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YearEnd\YearEnd2Web\"/>
    </mc:Choice>
  </mc:AlternateContent>
  <bookViews>
    <workbookView xWindow="0" yWindow="0" windowWidth="23040" windowHeight="10824" tabRatio="847"/>
  </bookViews>
  <sheets>
    <sheet name="data" sheetId="1" r:id="rId1"/>
    <sheet name="HL Data" sheetId="11" r:id="rId2"/>
    <sheet name="Transmittal" sheetId="2" r:id="rId3"/>
    <sheet name="INFO_PG1" sheetId="3" r:id="rId4"/>
    <sheet name="INFO_PG2" sheetId="4" r:id="rId5"/>
    <sheet name="SS2_3_5_6" sheetId="5" r:id="rId6"/>
    <sheet name="SS4" sheetId="6" r:id="rId7"/>
    <sheet name="SS8" sheetId="7" r:id="rId8"/>
    <sheet name="FS" sheetId="8" r:id="rId9"/>
    <sheet name="CC's" sheetId="9" r:id="rId10"/>
    <sheet name="Prior Year" sheetId="10" r:id="rId11"/>
  </sheets>
  <definedNames>
    <definedName name="_Fill" localSheetId="10" hidden="1">'Prior Year'!$DR$819:$DR$864</definedName>
    <definedName name="_Fill" hidden="1">data!$DR$813:$DR$858</definedName>
    <definedName name="Costcenter" localSheetId="10">'Prior Year'!#REF!</definedName>
    <definedName name="Costcenter">data!#REF!</definedName>
    <definedName name="Edit" localSheetId="10">'Prior Year'!$A$410:$E$477</definedName>
    <definedName name="Edit">data!$A$411:$E$478</definedName>
    <definedName name="Funds" localSheetId="10">'Prior Year'!#REF!</definedName>
    <definedName name="Funds">data!#REF!</definedName>
    <definedName name="Hospital" localSheetId="10">'Prior Year'!#REF!</definedName>
    <definedName name="Hospital">data!#REF!</definedName>
    <definedName name="_xlnm.Print_Area" localSheetId="9">'CC''s'!$A$1:$I$384</definedName>
    <definedName name="_xlnm.Print_Area" localSheetId="0">data!$A$411:$E$478</definedName>
    <definedName name="_xlnm.Print_Area" localSheetId="8">FS!$A$1:$D$153</definedName>
    <definedName name="_xlnm.Print_Area" localSheetId="3">INFO_PG1!$A$1:$G$40</definedName>
    <definedName name="_xlnm.Print_Area" localSheetId="4">INFO_PG2!$A$1:$G$33</definedName>
    <definedName name="_xlnm.Print_Area" localSheetId="10">'Prior Year'!$A$410:$E$477</definedName>
    <definedName name="_xlnm.Print_Area" localSheetId="5">SS2_3_5_6!$A$1:$C$40</definedName>
    <definedName name="_xlnm.Print_Area" localSheetId="6">'SS4'!$A$1:$F$32</definedName>
    <definedName name="_xlnm.Print_Area" localSheetId="7">'SS8'!$A$1:$D$34</definedName>
    <definedName name="Support" localSheetId="10">'Prior Year'!#REF!</definedName>
    <definedName name="Support">data!#REF!</definedName>
  </definedNames>
  <calcPr calcId="152511"/>
  <pivotCaches>
    <pivotCache cacheId="0" r:id="rId12"/>
    <pivotCache cacheId="1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B78" i="1" l="1"/>
  <c r="CA78" i="1"/>
  <c r="BZ78" i="1"/>
  <c r="BY78" i="1"/>
  <c r="BX78" i="1"/>
  <c r="BW78" i="1"/>
  <c r="BV78" i="1"/>
  <c r="BU78" i="1"/>
  <c r="BT78" i="1"/>
  <c r="BS78" i="1"/>
  <c r="BM78" i="1"/>
  <c r="BL78" i="1"/>
  <c r="BK78" i="1"/>
  <c r="BI78" i="1"/>
  <c r="BH78" i="1"/>
  <c r="BC78" i="1"/>
  <c r="BB78" i="1"/>
  <c r="BA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T96" i="11" l="1"/>
  <c r="CC69" i="1"/>
  <c r="S93" i="11" l="1"/>
  <c r="S89" i="11"/>
  <c r="S86" i="11"/>
  <c r="S82" i="11"/>
  <c r="S78" i="11"/>
  <c r="S74" i="11"/>
  <c r="S70" i="11"/>
  <c r="S66" i="11"/>
  <c r="S62" i="11"/>
  <c r="S58" i="11"/>
  <c r="S92" i="11"/>
  <c r="S85" i="11"/>
  <c r="S81" i="11"/>
  <c r="S77" i="11"/>
  <c r="S73" i="11"/>
  <c r="S69" i="11"/>
  <c r="S65" i="11"/>
  <c r="S61" i="11"/>
  <c r="S57" i="11"/>
  <c r="S95" i="11"/>
  <c r="S91" i="11"/>
  <c r="S88" i="11"/>
  <c r="S84" i="11"/>
  <c r="S80" i="11"/>
  <c r="S76" i="11"/>
  <c r="S72" i="11"/>
  <c r="S68" i="11"/>
  <c r="S64" i="11"/>
  <c r="S60" i="11"/>
  <c r="S56" i="11"/>
  <c r="S94" i="11"/>
  <c r="S90" i="11"/>
  <c r="S87" i="11"/>
  <c r="S83" i="11"/>
  <c r="S79" i="11"/>
  <c r="S75" i="11"/>
  <c r="S71" i="11"/>
  <c r="S67" i="11"/>
  <c r="S63" i="11"/>
  <c r="S59" i="11"/>
  <c r="CD69" i="1"/>
  <c r="S96" i="11" l="1"/>
  <c r="O59" i="1"/>
  <c r="E59" i="1"/>
  <c r="C59" i="1"/>
  <c r="C32" i="11" l="1"/>
  <c r="C7" i="11" l="1"/>
  <c r="C8" i="11"/>
  <c r="C167" i="1" l="1"/>
  <c r="C189" i="1" l="1"/>
  <c r="D213" i="1" l="1"/>
  <c r="C213" i="1"/>
  <c r="C215" i="1"/>
  <c r="C211" i="1"/>
  <c r="C210" i="1" l="1"/>
  <c r="B213" i="1" l="1"/>
  <c r="B212" i="1"/>
  <c r="B215" i="1"/>
  <c r="B210" i="1"/>
  <c r="B211" i="1"/>
  <c r="C272" i="1" l="1"/>
  <c r="C274" i="1"/>
  <c r="C273" i="1"/>
  <c r="C271" i="1"/>
  <c r="C270" i="1"/>
  <c r="C269" i="1"/>
  <c r="C200" i="1"/>
  <c r="B197" i="1"/>
  <c r="C203" i="1"/>
  <c r="C199" i="1"/>
  <c r="C198" i="1"/>
  <c r="B199" i="1"/>
  <c r="B202" i="1" l="1"/>
  <c r="B198" i="1"/>
  <c r="C324" i="1" l="1"/>
  <c r="C327" i="1"/>
  <c r="C323" i="1"/>
  <c r="C326" i="1"/>
  <c r="C307" i="1"/>
  <c r="C281" i="1"/>
  <c r="C282" i="1"/>
  <c r="C286" i="1"/>
  <c r="C392" i="1" l="1"/>
  <c r="C378" i="1"/>
  <c r="C370" i="1"/>
  <c r="C238" i="1"/>
  <c r="C366" i="1"/>
  <c r="C364" i="1" s="1"/>
  <c r="C224" i="1"/>
  <c r="C223" i="1"/>
  <c r="C228" i="1"/>
  <c r="C227" i="1" l="1"/>
  <c r="C170" i="1"/>
  <c r="C169" i="1"/>
  <c r="C168" i="1"/>
  <c r="C166" i="1"/>
  <c r="C276" i="1" l="1"/>
  <c r="D200" i="1"/>
  <c r="C202" i="1"/>
  <c r="B203" i="1"/>
  <c r="B200" i="1"/>
  <c r="C212" i="1"/>
  <c r="C332" i="1"/>
  <c r="C318" i="1"/>
  <c r="C313" i="1"/>
  <c r="C306" i="1"/>
  <c r="C305" i="1"/>
  <c r="C257" i="1"/>
  <c r="C258" i="1"/>
  <c r="C255" i="1"/>
  <c r="C253" i="1"/>
  <c r="C252" i="1"/>
  <c r="C250" i="1"/>
  <c r="D138" i="1" l="1"/>
  <c r="C64" i="1" l="1"/>
  <c r="C63" i="1"/>
  <c r="C68" i="1"/>
  <c r="C69" i="1"/>
  <c r="C70" i="1" l="1"/>
  <c r="C61" i="1"/>
  <c r="C180" i="1"/>
  <c r="C176" i="1"/>
  <c r="C51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389" i="1"/>
  <c r="C165" i="1" l="1"/>
  <c r="C171" i="1" s="1"/>
  <c r="J504" i="1" l="1"/>
  <c r="J503" i="1"/>
  <c r="C58" i="11"/>
  <c r="C55" i="11"/>
  <c r="C51" i="11"/>
  <c r="T21" i="11" l="1"/>
  <c r="V60" i="11"/>
  <c r="V57" i="11"/>
  <c r="T52" i="11" l="1"/>
  <c r="AJ69" i="1"/>
  <c r="V53" i="11"/>
  <c r="V55" i="11" s="1"/>
  <c r="R96" i="11" l="1"/>
  <c r="Q59" i="11" s="1"/>
  <c r="Q78" i="11" l="1"/>
  <c r="Q58" i="11"/>
  <c r="Q94" i="11"/>
  <c r="Q74" i="11"/>
  <c r="Q90" i="11"/>
  <c r="Q70" i="11"/>
  <c r="Q86" i="11"/>
  <c r="Q62" i="11"/>
  <c r="Q82" i="11"/>
  <c r="Q66" i="11"/>
  <c r="Q93" i="11"/>
  <c r="Q89" i="11"/>
  <c r="Q85" i="11"/>
  <c r="Q81" i="11"/>
  <c r="Q77" i="11"/>
  <c r="Q73" i="11"/>
  <c r="Q69" i="11"/>
  <c r="Q65" i="11"/>
  <c r="Q61" i="11"/>
  <c r="Q57" i="11"/>
  <c r="Q56" i="11"/>
  <c r="Q92" i="11"/>
  <c r="Q84" i="11"/>
  <c r="Q80" i="11"/>
  <c r="Q76" i="11"/>
  <c r="Q72" i="11"/>
  <c r="Q68" i="11"/>
  <c r="Q64" i="11"/>
  <c r="Q60" i="11"/>
  <c r="Q95" i="11"/>
  <c r="Q91" i="11"/>
  <c r="Q87" i="11"/>
  <c r="Q83" i="11"/>
  <c r="Q79" i="11"/>
  <c r="Q75" i="11"/>
  <c r="Q71" i="11"/>
  <c r="Q67" i="11"/>
  <c r="Q63" i="11"/>
  <c r="Q96" i="11" l="1"/>
  <c r="CC66" i="1"/>
  <c r="O52" i="11" l="1"/>
  <c r="S50" i="11" l="1"/>
  <c r="S52" i="11" s="1"/>
  <c r="C388" i="1" l="1"/>
  <c r="C384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C68" i="1" l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P21" i="11"/>
  <c r="P16" i="11"/>
  <c r="P20" i="11"/>
  <c r="P29" i="11"/>
  <c r="CC64" i="1" l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J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J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AJ80" i="1" l="1"/>
  <c r="AJ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C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D59" i="1"/>
  <c r="F59" i="1"/>
  <c r="G59" i="1"/>
  <c r="H59" i="1"/>
  <c r="I59" i="1"/>
  <c r="AJ59" i="1" l="1"/>
  <c r="D139" i="1" l="1"/>
  <c r="AU59" i="1" l="1"/>
  <c r="AT59" i="1"/>
  <c r="AS59" i="1"/>
  <c r="AR59" i="1"/>
  <c r="AQ59" i="1"/>
  <c r="AP59" i="1"/>
  <c r="AO59" i="1"/>
  <c r="AN59" i="1"/>
  <c r="AM59" i="1"/>
  <c r="AL59" i="1"/>
  <c r="AK59" i="1"/>
  <c r="AI59" i="1"/>
  <c r="AH59" i="1"/>
  <c r="AG59" i="1"/>
  <c r="AF59" i="1"/>
  <c r="AE59" i="1"/>
  <c r="AD59" i="1"/>
  <c r="AC59" i="1"/>
  <c r="AA59" i="1"/>
  <c r="Z59" i="1"/>
  <c r="Y59" i="1"/>
  <c r="X59" i="1"/>
  <c r="W59" i="1"/>
  <c r="V59" i="1"/>
  <c r="U59" i="1"/>
  <c r="R59" i="1"/>
  <c r="Q59" i="1"/>
  <c r="P59" i="1"/>
  <c r="N59" i="1"/>
  <c r="M59" i="1"/>
  <c r="L59" i="1"/>
  <c r="K59" i="1"/>
  <c r="CB77" i="1" l="1"/>
  <c r="CA77" i="1"/>
  <c r="BZ77" i="1"/>
  <c r="BY77" i="1"/>
  <c r="BX77" i="1"/>
  <c r="BW77" i="1"/>
  <c r="BV77" i="1"/>
  <c r="BU77" i="1"/>
  <c r="BT77" i="1"/>
  <c r="BS77" i="1"/>
  <c r="BR77" i="1"/>
  <c r="BM77" i="1"/>
  <c r="BL77" i="1"/>
  <c r="BK77" i="1"/>
  <c r="BI77" i="1"/>
  <c r="BH77" i="1"/>
  <c r="BF77" i="1"/>
  <c r="BC77" i="1"/>
  <c r="BB77" i="1"/>
  <c r="BA77" i="1"/>
  <c r="AZ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22" i="11" l="1"/>
  <c r="C25" i="11" s="1"/>
  <c r="CB79" i="1"/>
  <c r="CA79" i="1"/>
  <c r="BZ79" i="1"/>
  <c r="BY79" i="1"/>
  <c r="BX79" i="1"/>
  <c r="BW79" i="1"/>
  <c r="BV79" i="1"/>
  <c r="BU79" i="1"/>
  <c r="BT79" i="1"/>
  <c r="BS79" i="1"/>
  <c r="BM79" i="1"/>
  <c r="BL79" i="1"/>
  <c r="BK79" i="1"/>
  <c r="BI79" i="1"/>
  <c r="BH79" i="1"/>
  <c r="BC79" i="1"/>
  <c r="BB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 l="1"/>
  <c r="C234" i="1" l="1"/>
  <c r="C184" i="1" l="1"/>
  <c r="C183" i="1"/>
  <c r="C179" i="1"/>
  <c r="C175" i="1"/>
  <c r="C142" i="1"/>
  <c r="B142" i="1"/>
  <c r="D142" i="1" s="1"/>
  <c r="D141" i="1"/>
  <c r="C387" i="1" l="1"/>
  <c r="C383" i="1"/>
  <c r="C386" i="1" l="1"/>
  <c r="C382" i="1"/>
  <c r="C385" i="1"/>
  <c r="C381" i="1"/>
  <c r="C379" i="1"/>
  <c r="C365" i="1"/>
  <c r="C360" i="1"/>
  <c r="O817" i="10" l="1"/>
  <c r="K817" i="10"/>
  <c r="J817" i="10"/>
  <c r="H817" i="10"/>
  <c r="G817" i="10"/>
  <c r="E817" i="10"/>
  <c r="X813" i="10"/>
  <c r="X815" i="10" s="1"/>
  <c r="W813" i="10"/>
  <c r="W815" i="10" s="1"/>
  <c r="A813" i="10"/>
  <c r="T812" i="10"/>
  <c r="S812" i="10"/>
  <c r="R812" i="10"/>
  <c r="Q812" i="10"/>
  <c r="P812" i="10"/>
  <c r="A812" i="10"/>
  <c r="T811" i="10"/>
  <c r="R811" i="10"/>
  <c r="P811" i="10"/>
  <c r="A811" i="10"/>
  <c r="T810" i="10"/>
  <c r="R810" i="10"/>
  <c r="P810" i="10"/>
  <c r="A810" i="10"/>
  <c r="T809" i="10"/>
  <c r="R809" i="10"/>
  <c r="P809" i="10"/>
  <c r="A809" i="10"/>
  <c r="T808" i="10"/>
  <c r="R808" i="10"/>
  <c r="P808" i="10"/>
  <c r="A808" i="10"/>
  <c r="T807" i="10"/>
  <c r="R807" i="10"/>
  <c r="P807" i="10"/>
  <c r="A807" i="10"/>
  <c r="T806" i="10"/>
  <c r="R806" i="10"/>
  <c r="P806" i="10"/>
  <c r="A806" i="10"/>
  <c r="T805" i="10"/>
  <c r="R805" i="10"/>
  <c r="P805" i="10"/>
  <c r="A805" i="10"/>
  <c r="T804" i="10"/>
  <c r="R804" i="10"/>
  <c r="P804" i="10"/>
  <c r="A804" i="10"/>
  <c r="T803" i="10"/>
  <c r="R803" i="10"/>
  <c r="P803" i="10"/>
  <c r="A803" i="10"/>
  <c r="T802" i="10"/>
  <c r="R802" i="10"/>
  <c r="P802" i="10"/>
  <c r="A802" i="10"/>
  <c r="T801" i="10"/>
  <c r="S801" i="10"/>
  <c r="R801" i="10"/>
  <c r="P801" i="10"/>
  <c r="A801" i="10"/>
  <c r="T800" i="10"/>
  <c r="S800" i="10"/>
  <c r="R800" i="10"/>
  <c r="Q800" i="10"/>
  <c r="P800" i="10"/>
  <c r="A800" i="10"/>
  <c r="T799" i="10"/>
  <c r="S799" i="10"/>
  <c r="R799" i="10"/>
  <c r="Q799" i="10"/>
  <c r="P799" i="10"/>
  <c r="A799" i="10"/>
  <c r="T798" i="10"/>
  <c r="S798" i="10"/>
  <c r="R798" i="10"/>
  <c r="Q798" i="10"/>
  <c r="P798" i="10"/>
  <c r="A798" i="10"/>
  <c r="T797" i="10"/>
  <c r="S797" i="10"/>
  <c r="R797" i="10"/>
  <c r="Q797" i="10"/>
  <c r="P797" i="10"/>
  <c r="A797" i="10"/>
  <c r="T796" i="10"/>
  <c r="R796" i="10"/>
  <c r="P796" i="10"/>
  <c r="A796" i="10"/>
  <c r="T795" i="10"/>
  <c r="R795" i="10"/>
  <c r="P795" i="10"/>
  <c r="A795" i="10"/>
  <c r="T794" i="10"/>
  <c r="R794" i="10"/>
  <c r="P794" i="10"/>
  <c r="A794" i="10"/>
  <c r="T793" i="10"/>
  <c r="S793" i="10"/>
  <c r="R793" i="10"/>
  <c r="Q793" i="10"/>
  <c r="P793" i="10"/>
  <c r="A793" i="10"/>
  <c r="T792" i="10"/>
  <c r="R792" i="10"/>
  <c r="P792" i="10"/>
  <c r="A792" i="10"/>
  <c r="T791" i="10"/>
  <c r="R791" i="10"/>
  <c r="P791" i="10"/>
  <c r="A791" i="10"/>
  <c r="T790" i="10"/>
  <c r="S790" i="10"/>
  <c r="R790" i="10"/>
  <c r="Q790" i="10"/>
  <c r="P790" i="10"/>
  <c r="A790" i="10"/>
  <c r="T789" i="10"/>
  <c r="S789" i="10"/>
  <c r="R789" i="10"/>
  <c r="Q789" i="10"/>
  <c r="P789" i="10"/>
  <c r="A789" i="10"/>
  <c r="T788" i="10"/>
  <c r="S788" i="10"/>
  <c r="R788" i="10"/>
  <c r="Q788" i="10"/>
  <c r="P788" i="10"/>
  <c r="B788" i="10"/>
  <c r="A788" i="10"/>
  <c r="T787" i="10"/>
  <c r="S787" i="10"/>
  <c r="R787" i="10"/>
  <c r="Q787" i="10"/>
  <c r="P787" i="10"/>
  <c r="A787" i="10"/>
  <c r="T786" i="10"/>
  <c r="R786" i="10"/>
  <c r="P786" i="10"/>
  <c r="A786" i="10"/>
  <c r="T785" i="10"/>
  <c r="R785" i="10"/>
  <c r="P785" i="10"/>
  <c r="A785" i="10"/>
  <c r="T784" i="10"/>
  <c r="S784" i="10"/>
  <c r="R784" i="10"/>
  <c r="P784" i="10"/>
  <c r="B784" i="10"/>
  <c r="A784" i="10"/>
  <c r="T783" i="10"/>
  <c r="S783" i="10"/>
  <c r="R783" i="10"/>
  <c r="P783" i="10"/>
  <c r="B783" i="10"/>
  <c r="A783" i="10"/>
  <c r="T782" i="10"/>
  <c r="S782" i="10"/>
  <c r="R782" i="10"/>
  <c r="Q782" i="10"/>
  <c r="P782" i="10"/>
  <c r="B782" i="10"/>
  <c r="A782" i="10"/>
  <c r="T781" i="10"/>
  <c r="S781" i="10"/>
  <c r="R781" i="10"/>
  <c r="Q781" i="10"/>
  <c r="P781" i="10"/>
  <c r="A781" i="10"/>
  <c r="T780" i="10"/>
  <c r="R780" i="10"/>
  <c r="P780" i="10"/>
  <c r="A780" i="10"/>
  <c r="R779" i="10"/>
  <c r="P779" i="10"/>
  <c r="A779" i="10"/>
  <c r="R778" i="10"/>
  <c r="P778" i="10"/>
  <c r="A778" i="10"/>
  <c r="R777" i="10"/>
  <c r="P777" i="10"/>
  <c r="A777" i="10"/>
  <c r="R776" i="10"/>
  <c r="P776" i="10"/>
  <c r="A776" i="10"/>
  <c r="R775" i="10"/>
  <c r="P775" i="10"/>
  <c r="A775" i="10"/>
  <c r="R774" i="10"/>
  <c r="P774" i="10"/>
  <c r="A774" i="10"/>
  <c r="R773" i="10"/>
  <c r="P773" i="10"/>
  <c r="A773" i="10"/>
  <c r="R772" i="10"/>
  <c r="P772" i="10"/>
  <c r="A772" i="10"/>
  <c r="R771" i="10"/>
  <c r="P771" i="10"/>
  <c r="A771" i="10"/>
  <c r="R770" i="10"/>
  <c r="P770" i="10"/>
  <c r="A770" i="10"/>
  <c r="R769" i="10"/>
  <c r="P769" i="10"/>
  <c r="A769" i="10"/>
  <c r="R768" i="10"/>
  <c r="P768" i="10"/>
  <c r="A768" i="10"/>
  <c r="R767" i="10"/>
  <c r="P767" i="10"/>
  <c r="A767" i="10"/>
  <c r="R766" i="10"/>
  <c r="P766" i="10"/>
  <c r="A766" i="10"/>
  <c r="R765" i="10"/>
  <c r="P765" i="10"/>
  <c r="A765" i="10"/>
  <c r="R764" i="10"/>
  <c r="P764" i="10"/>
  <c r="A764" i="10"/>
  <c r="R763" i="10"/>
  <c r="P763" i="10"/>
  <c r="A763" i="10"/>
  <c r="R762" i="10"/>
  <c r="P762" i="10"/>
  <c r="A762" i="10"/>
  <c r="R761" i="10"/>
  <c r="P761" i="10"/>
  <c r="A761" i="10"/>
  <c r="R760" i="10"/>
  <c r="P760" i="10"/>
  <c r="A760" i="10"/>
  <c r="R759" i="10"/>
  <c r="P759" i="10"/>
  <c r="A759" i="10"/>
  <c r="R758" i="10"/>
  <c r="P758" i="10"/>
  <c r="A758" i="10"/>
  <c r="R757" i="10"/>
  <c r="P757" i="10"/>
  <c r="A757" i="10"/>
  <c r="R756" i="10"/>
  <c r="P756" i="10"/>
  <c r="A756" i="10"/>
  <c r="R755" i="10"/>
  <c r="P755" i="10"/>
  <c r="A755" i="10"/>
  <c r="R754" i="10"/>
  <c r="P754" i="10"/>
  <c r="A754" i="10"/>
  <c r="R753" i="10"/>
  <c r="P753" i="10"/>
  <c r="A753" i="10"/>
  <c r="R752" i="10"/>
  <c r="P752" i="10"/>
  <c r="A752" i="10"/>
  <c r="R751" i="10"/>
  <c r="P751" i="10"/>
  <c r="A751" i="10"/>
  <c r="R750" i="10"/>
  <c r="P750" i="10"/>
  <c r="A750" i="10"/>
  <c r="R749" i="10"/>
  <c r="P749" i="10"/>
  <c r="A749" i="10"/>
  <c r="R748" i="10"/>
  <c r="P748" i="10"/>
  <c r="A748" i="10"/>
  <c r="R747" i="10"/>
  <c r="P747" i="10"/>
  <c r="A747" i="10"/>
  <c r="R746" i="10"/>
  <c r="P746" i="10"/>
  <c r="A746" i="10"/>
  <c r="R745" i="10"/>
  <c r="P745" i="10"/>
  <c r="A745" i="10"/>
  <c r="R744" i="10"/>
  <c r="P744" i="10"/>
  <c r="A744" i="10"/>
  <c r="R743" i="10"/>
  <c r="P743" i="10"/>
  <c r="A743" i="10"/>
  <c r="R742" i="10"/>
  <c r="P742" i="10"/>
  <c r="A742" i="10"/>
  <c r="R741" i="10"/>
  <c r="P741" i="10"/>
  <c r="B741" i="10"/>
  <c r="A741" i="10"/>
  <c r="R740" i="10"/>
  <c r="P740" i="10"/>
  <c r="A740" i="10"/>
  <c r="R739" i="10"/>
  <c r="P739" i="10"/>
  <c r="A739" i="10"/>
  <c r="R738" i="10"/>
  <c r="P738" i="10"/>
  <c r="A738" i="10"/>
  <c r="R737" i="10"/>
  <c r="P737" i="10"/>
  <c r="A737" i="10"/>
  <c r="R736" i="10"/>
  <c r="P736" i="10"/>
  <c r="A736" i="10"/>
  <c r="R735" i="10"/>
  <c r="P735" i="10"/>
  <c r="A735" i="10"/>
  <c r="R734" i="10"/>
  <c r="P734" i="10"/>
  <c r="A734" i="10"/>
  <c r="CF730" i="10"/>
  <c r="CE730" i="10"/>
  <c r="CD730" i="10"/>
  <c r="CB730" i="10"/>
  <c r="CA730" i="10"/>
  <c r="BY730" i="10"/>
  <c r="BX730" i="10"/>
  <c r="BW730" i="10"/>
  <c r="BU730" i="10"/>
  <c r="BT730" i="10"/>
  <c r="BR730" i="10"/>
  <c r="BP730" i="10"/>
  <c r="BN730" i="10"/>
  <c r="BM730" i="10"/>
  <c r="BL730" i="10"/>
  <c r="BJ730" i="10"/>
  <c r="BF730" i="10"/>
  <c r="BE730" i="10"/>
  <c r="BB730" i="10"/>
  <c r="BA730" i="10"/>
  <c r="AZ730" i="10"/>
  <c r="AY730" i="10"/>
  <c r="AW730" i="10"/>
  <c r="AV730" i="10"/>
  <c r="AU730" i="10"/>
  <c r="AT730" i="10"/>
  <c r="AS730" i="10"/>
  <c r="AR730" i="10"/>
  <c r="AQ730" i="10"/>
  <c r="AP730" i="10"/>
  <c r="AN730" i="10"/>
  <c r="AM730" i="10"/>
  <c r="AL730" i="10"/>
  <c r="AK730" i="10"/>
  <c r="AJ730" i="10"/>
  <c r="AI730" i="10"/>
  <c r="AH730" i="10"/>
  <c r="AG730" i="10"/>
  <c r="AF730" i="10"/>
  <c r="AE730" i="10"/>
  <c r="AD730" i="10"/>
  <c r="AC730" i="10"/>
  <c r="AB730" i="10"/>
  <c r="AA730" i="10"/>
  <c r="Z730" i="10"/>
  <c r="Y730" i="10"/>
  <c r="X730" i="10"/>
  <c r="W730" i="10"/>
  <c r="U730" i="10"/>
  <c r="T730" i="10"/>
  <c r="S730" i="10"/>
  <c r="R730" i="10"/>
  <c r="Q730" i="10"/>
  <c r="P730" i="10"/>
  <c r="O730" i="10"/>
  <c r="N730" i="10"/>
  <c r="L730" i="10"/>
  <c r="K730" i="10"/>
  <c r="J730" i="10"/>
  <c r="I730" i="10"/>
  <c r="H730" i="10"/>
  <c r="G730" i="10"/>
  <c r="F730" i="10"/>
  <c r="D730" i="10"/>
  <c r="C730" i="10"/>
  <c r="B730" i="10"/>
  <c r="A730" i="10"/>
  <c r="BR726" i="10"/>
  <c r="BQ726" i="10"/>
  <c r="BP726" i="10"/>
  <c r="BO726" i="10"/>
  <c r="BN726" i="10"/>
  <c r="BM726" i="10"/>
  <c r="BL726" i="10"/>
  <c r="BK726" i="10"/>
  <c r="BJ726" i="10"/>
  <c r="BI726" i="10"/>
  <c r="BH726" i="10"/>
  <c r="BG726" i="10"/>
  <c r="BF726" i="10"/>
  <c r="BE726" i="10"/>
  <c r="BD726" i="10"/>
  <c r="BC726" i="10"/>
  <c r="BB726" i="10"/>
  <c r="BA726" i="10"/>
  <c r="AZ726" i="10"/>
  <c r="AY726" i="10"/>
  <c r="AX726" i="10"/>
  <c r="AW726" i="10"/>
  <c r="AV726" i="10"/>
  <c r="AU726" i="10"/>
  <c r="AT726" i="10"/>
  <c r="AS726" i="10"/>
  <c r="AR726" i="10"/>
  <c r="AQ726" i="10"/>
  <c r="AP726" i="10"/>
  <c r="AO726" i="10"/>
  <c r="AN726" i="10"/>
  <c r="AM726" i="10"/>
  <c r="AJ726" i="10"/>
  <c r="AF726" i="10"/>
  <c r="AE726" i="10"/>
  <c r="AD726" i="10"/>
  <c r="AC726" i="10"/>
  <c r="AA726" i="10"/>
  <c r="Z726" i="10"/>
  <c r="Y726" i="10"/>
  <c r="X726" i="10"/>
  <c r="W726" i="10"/>
  <c r="V726" i="10"/>
  <c r="U726" i="10"/>
  <c r="S726" i="10"/>
  <c r="R726" i="10"/>
  <c r="Q726" i="10"/>
  <c r="P726" i="10"/>
  <c r="O726" i="10"/>
  <c r="N726" i="10"/>
  <c r="M726" i="10"/>
  <c r="L726" i="10"/>
  <c r="K726" i="10"/>
  <c r="J726" i="10"/>
  <c r="I726" i="10"/>
  <c r="H726" i="10"/>
  <c r="G726" i="10"/>
  <c r="F726" i="10"/>
  <c r="E726" i="10"/>
  <c r="D726" i="10"/>
  <c r="C726" i="10"/>
  <c r="B726" i="10"/>
  <c r="A726" i="10"/>
  <c r="CC722" i="10"/>
  <c r="CA722" i="10"/>
  <c r="BZ722" i="10"/>
  <c r="BW722" i="10"/>
  <c r="BV722" i="10"/>
  <c r="BS722" i="10"/>
  <c r="BR722" i="10"/>
  <c r="BQ722" i="10"/>
  <c r="BP722" i="10"/>
  <c r="BO722" i="10"/>
  <c r="BN722" i="10"/>
  <c r="BM722" i="10"/>
  <c r="BL722" i="10"/>
  <c r="BK722" i="10"/>
  <c r="BH722" i="10"/>
  <c r="BG722" i="10"/>
  <c r="BE722" i="10"/>
  <c r="BD722" i="10"/>
  <c r="BB722" i="10"/>
  <c r="BA722" i="10"/>
  <c r="AY722" i="10"/>
  <c r="AX722" i="10"/>
  <c r="AW722" i="10"/>
  <c r="AV722" i="10"/>
  <c r="AR722" i="10"/>
  <c r="AP722" i="10"/>
  <c r="AO722" i="10"/>
  <c r="AN722" i="10"/>
  <c r="AM722" i="10"/>
  <c r="AL722" i="10"/>
  <c r="AK722" i="10"/>
  <c r="AJ722" i="10"/>
  <c r="AI722" i="10"/>
  <c r="AG722" i="10"/>
  <c r="AF722" i="10"/>
  <c r="AD722" i="10"/>
  <c r="AC722" i="10"/>
  <c r="AA722" i="10"/>
  <c r="Z722" i="10"/>
  <c r="Y722" i="10"/>
  <c r="X722" i="10"/>
  <c r="W722" i="10"/>
  <c r="V722" i="10"/>
  <c r="U722" i="10"/>
  <c r="T722" i="10"/>
  <c r="S722" i="10"/>
  <c r="R722" i="10"/>
  <c r="Q722" i="10"/>
  <c r="P722" i="10"/>
  <c r="O722" i="10"/>
  <c r="N722" i="10"/>
  <c r="M722" i="10"/>
  <c r="L722" i="10"/>
  <c r="D722" i="10"/>
  <c r="C722" i="10"/>
  <c r="B722" i="10"/>
  <c r="A722" i="10"/>
  <c r="F550" i="10"/>
  <c r="E550" i="10"/>
  <c r="F546" i="10"/>
  <c r="E546" i="10"/>
  <c r="H546" i="10"/>
  <c r="E545" i="10"/>
  <c r="H545" i="10"/>
  <c r="E544" i="10"/>
  <c r="F544" i="10"/>
  <c r="H540" i="10"/>
  <c r="F540" i="10"/>
  <c r="F539" i="10"/>
  <c r="F538" i="10"/>
  <c r="H538" i="10"/>
  <c r="F537" i="10"/>
  <c r="H535" i="10"/>
  <c r="F535" i="10"/>
  <c r="H534" i="10"/>
  <c r="F534" i="10"/>
  <c r="F533" i="10"/>
  <c r="H533" i="10"/>
  <c r="H532" i="10"/>
  <c r="F532" i="10"/>
  <c r="F530" i="10"/>
  <c r="F529" i="10"/>
  <c r="H527" i="10"/>
  <c r="F527" i="10"/>
  <c r="F526" i="10"/>
  <c r="F525" i="10"/>
  <c r="H525" i="10"/>
  <c r="F524" i="10"/>
  <c r="F523" i="10"/>
  <c r="F522" i="10"/>
  <c r="F521" i="10"/>
  <c r="F520" i="10"/>
  <c r="F518" i="10"/>
  <c r="F516" i="10"/>
  <c r="F515" i="10"/>
  <c r="H515" i="10"/>
  <c r="E514" i="10"/>
  <c r="F512" i="10"/>
  <c r="F511" i="10"/>
  <c r="F509" i="10"/>
  <c r="F508" i="10"/>
  <c r="F507" i="10"/>
  <c r="H507" i="10"/>
  <c r="F506" i="10"/>
  <c r="F505" i="10"/>
  <c r="F504" i="10"/>
  <c r="H504" i="10"/>
  <c r="H503" i="10"/>
  <c r="F503" i="10"/>
  <c r="E503" i="10"/>
  <c r="F502" i="10"/>
  <c r="H502" i="10"/>
  <c r="H501" i="10"/>
  <c r="F501" i="10"/>
  <c r="H499" i="10"/>
  <c r="F499" i="10"/>
  <c r="F498" i="10"/>
  <c r="H497" i="10"/>
  <c r="F496" i="10"/>
  <c r="G493" i="10"/>
  <c r="E493" i="10"/>
  <c r="C493" i="10"/>
  <c r="A493" i="10"/>
  <c r="B478" i="10"/>
  <c r="B474" i="10"/>
  <c r="B473" i="10"/>
  <c r="B472" i="10"/>
  <c r="B471" i="10"/>
  <c r="B470" i="10"/>
  <c r="B469" i="10"/>
  <c r="B468" i="10"/>
  <c r="B463" i="10"/>
  <c r="C459" i="10"/>
  <c r="B459" i="10"/>
  <c r="B458" i="10"/>
  <c r="B454" i="10"/>
  <c r="B453" i="10"/>
  <c r="C447" i="10"/>
  <c r="C446" i="10"/>
  <c r="C445" i="10"/>
  <c r="C444" i="10"/>
  <c r="B437" i="10"/>
  <c r="B435" i="10"/>
  <c r="B434" i="10"/>
  <c r="B433" i="10"/>
  <c r="B431" i="10"/>
  <c r="B430" i="10"/>
  <c r="B428" i="10"/>
  <c r="D424" i="10"/>
  <c r="B424" i="10"/>
  <c r="B423" i="10"/>
  <c r="B421" i="10"/>
  <c r="B420" i="10"/>
  <c r="B418" i="10"/>
  <c r="B417" i="10"/>
  <c r="B415" i="10"/>
  <c r="B414" i="10"/>
  <c r="A412" i="10"/>
  <c r="C389" i="10"/>
  <c r="CC730" i="10" s="1"/>
  <c r="C387" i="10"/>
  <c r="B438" i="10" s="1"/>
  <c r="C383" i="10"/>
  <c r="B432" i="10" s="1"/>
  <c r="C380" i="10"/>
  <c r="C378" i="10"/>
  <c r="C370" i="10"/>
  <c r="D372" i="10" s="1"/>
  <c r="D367" i="10"/>
  <c r="C448" i="10" s="1"/>
  <c r="C360" i="10"/>
  <c r="BK730" i="10" s="1"/>
  <c r="D329" i="10"/>
  <c r="C325" i="10"/>
  <c r="AX730" i="10" s="1"/>
  <c r="D319" i="10"/>
  <c r="C312" i="10"/>
  <c r="AO730" i="10" s="1"/>
  <c r="D290" i="10"/>
  <c r="D283" i="10"/>
  <c r="C274" i="10"/>
  <c r="V730" i="10" s="1"/>
  <c r="C263" i="10"/>
  <c r="M730" i="10" s="1"/>
  <c r="C253" i="10"/>
  <c r="D240" i="10"/>
  <c r="B447" i="10" s="1"/>
  <c r="C234" i="10"/>
  <c r="CB722" i="10" s="1"/>
  <c r="C228" i="10"/>
  <c r="BY722" i="10" s="1"/>
  <c r="C227" i="10"/>
  <c r="BX722" i="10" s="1"/>
  <c r="C224" i="10"/>
  <c r="C223" i="10"/>
  <c r="BT722" i="10" s="1"/>
  <c r="D221" i="10"/>
  <c r="CD722" i="10" s="1"/>
  <c r="B217" i="10"/>
  <c r="E216" i="10"/>
  <c r="E215" i="10"/>
  <c r="E214" i="10"/>
  <c r="D213" i="10"/>
  <c r="BJ722" i="10" s="1"/>
  <c r="C213" i="10"/>
  <c r="BI722" i="10" s="1"/>
  <c r="C212" i="10"/>
  <c r="BF722" i="10" s="1"/>
  <c r="C211" i="10"/>
  <c r="C210" i="10"/>
  <c r="AZ722" i="10" s="1"/>
  <c r="E209" i="10"/>
  <c r="D204" i="10"/>
  <c r="B204" i="10"/>
  <c r="C203" i="10"/>
  <c r="AQ722" i="10" s="1"/>
  <c r="E202" i="10"/>
  <c r="C474" i="10" s="1"/>
  <c r="E201" i="10"/>
  <c r="C200" i="10"/>
  <c r="AH722" i="10" s="1"/>
  <c r="C199" i="10"/>
  <c r="AE722" i="10" s="1"/>
  <c r="C198" i="10"/>
  <c r="AB722" i="10" s="1"/>
  <c r="E197" i="10"/>
  <c r="C470" i="10" s="1"/>
  <c r="E196" i="10"/>
  <c r="C469" i="10" s="1"/>
  <c r="E195" i="10"/>
  <c r="C468" i="10" s="1"/>
  <c r="D190" i="10"/>
  <c r="D437" i="10" s="1"/>
  <c r="D186" i="10"/>
  <c r="D436" i="10" s="1"/>
  <c r="C179" i="10"/>
  <c r="C176" i="10"/>
  <c r="J722" i="10" s="1"/>
  <c r="C175" i="10"/>
  <c r="I722" i="10" s="1"/>
  <c r="C170" i="10"/>
  <c r="G722" i="10" s="1"/>
  <c r="C169" i="10"/>
  <c r="F722" i="10" s="1"/>
  <c r="C168" i="10"/>
  <c r="E154" i="10"/>
  <c r="E153" i="10"/>
  <c r="E152" i="10"/>
  <c r="E151" i="10"/>
  <c r="C421" i="10" s="1"/>
  <c r="E150" i="10"/>
  <c r="C420" i="10" s="1"/>
  <c r="E148" i="10"/>
  <c r="E147" i="10"/>
  <c r="E146" i="10"/>
  <c r="E145" i="10"/>
  <c r="C418" i="10" s="1"/>
  <c r="E144" i="10"/>
  <c r="C417" i="10" s="1"/>
  <c r="C142" i="10"/>
  <c r="AG726" i="10" s="1"/>
  <c r="B142" i="10"/>
  <c r="AB726" i="10" s="1"/>
  <c r="D141" i="10"/>
  <c r="E140" i="10"/>
  <c r="E139" i="10"/>
  <c r="C415" i="10" s="1"/>
  <c r="D139" i="10"/>
  <c r="AI726" i="10" s="1"/>
  <c r="D138" i="10"/>
  <c r="AH726" i="10" s="1"/>
  <c r="E127" i="10"/>
  <c r="T779" i="10"/>
  <c r="T778" i="10"/>
  <c r="T777" i="10"/>
  <c r="T776" i="10"/>
  <c r="T775" i="10"/>
  <c r="T774" i="10"/>
  <c r="T773" i="10"/>
  <c r="T772" i="10"/>
  <c r="T771" i="10"/>
  <c r="T770" i="10"/>
  <c r="T769" i="10"/>
  <c r="T768" i="10"/>
  <c r="T767" i="10"/>
  <c r="T766" i="10"/>
  <c r="T765" i="10"/>
  <c r="T764" i="10"/>
  <c r="T763" i="10"/>
  <c r="T762" i="10"/>
  <c r="T761" i="10"/>
  <c r="T760" i="10"/>
  <c r="T759" i="10"/>
  <c r="T758" i="10"/>
  <c r="T757" i="10"/>
  <c r="T756" i="10"/>
  <c r="T755" i="10"/>
  <c r="T754" i="10"/>
  <c r="T753" i="10"/>
  <c r="T752" i="10"/>
  <c r="T751" i="10"/>
  <c r="T750" i="10"/>
  <c r="T749" i="10"/>
  <c r="T748" i="10"/>
  <c r="T747" i="10"/>
  <c r="T746" i="10"/>
  <c r="T745" i="10"/>
  <c r="T744" i="10"/>
  <c r="T743" i="10"/>
  <c r="T742" i="10"/>
  <c r="T741" i="10"/>
  <c r="T740" i="10"/>
  <c r="T739" i="10"/>
  <c r="T738" i="10"/>
  <c r="T737" i="10"/>
  <c r="T736" i="10"/>
  <c r="T735" i="10"/>
  <c r="T734" i="10"/>
  <c r="CF79" i="10"/>
  <c r="S811" i="10"/>
  <c r="S810" i="10"/>
  <c r="S809" i="10"/>
  <c r="S808" i="10"/>
  <c r="S807" i="10"/>
  <c r="S806" i="10"/>
  <c r="S805" i="10"/>
  <c r="S804" i="10"/>
  <c r="S803" i="10"/>
  <c r="S802" i="10"/>
  <c r="S796" i="10"/>
  <c r="S795" i="10"/>
  <c r="S794" i="10"/>
  <c r="S792" i="10"/>
  <c r="S791" i="10"/>
  <c r="S786" i="10"/>
  <c r="S785" i="10"/>
  <c r="S780" i="10"/>
  <c r="S779" i="10"/>
  <c r="S778" i="10"/>
  <c r="S777" i="10"/>
  <c r="S776" i="10"/>
  <c r="S775" i="10"/>
  <c r="S774" i="10"/>
  <c r="S773" i="10"/>
  <c r="S772" i="10"/>
  <c r="S771" i="10"/>
  <c r="S770" i="10"/>
  <c r="S769" i="10"/>
  <c r="S768" i="10"/>
  <c r="S767" i="10"/>
  <c r="S766" i="10"/>
  <c r="S765" i="10"/>
  <c r="S764" i="10"/>
  <c r="S763" i="10"/>
  <c r="S762" i="10"/>
  <c r="S761" i="10"/>
  <c r="S760" i="10"/>
  <c r="S759" i="10"/>
  <c r="S758" i="10"/>
  <c r="S757" i="10"/>
  <c r="S756" i="10"/>
  <c r="S755" i="10"/>
  <c r="S754" i="10"/>
  <c r="S753" i="10"/>
  <c r="S752" i="10"/>
  <c r="S751" i="10"/>
  <c r="S750" i="10"/>
  <c r="S749" i="10"/>
  <c r="S748" i="10"/>
  <c r="S747" i="10"/>
  <c r="S746" i="10"/>
  <c r="S745" i="10"/>
  <c r="S744" i="10"/>
  <c r="S743" i="10"/>
  <c r="S742" i="10"/>
  <c r="S741" i="10"/>
  <c r="S740" i="10"/>
  <c r="S739" i="10"/>
  <c r="S738" i="10"/>
  <c r="S737" i="10"/>
  <c r="S736" i="10"/>
  <c r="S735" i="10"/>
  <c r="S734" i="10"/>
  <c r="CE78" i="10"/>
  <c r="Q811" i="10"/>
  <c r="Q810" i="10"/>
  <c r="Q809" i="10"/>
  <c r="Q808" i="10"/>
  <c r="Q807" i="10"/>
  <c r="Q806" i="10"/>
  <c r="Q805" i="10"/>
  <c r="Q804" i="10"/>
  <c r="Q803" i="10"/>
  <c r="Q802" i="10"/>
  <c r="Q801" i="10"/>
  <c r="Q796" i="10"/>
  <c r="Q795" i="10"/>
  <c r="Q794" i="10"/>
  <c r="Q792" i="10"/>
  <c r="Q791" i="10"/>
  <c r="Q786" i="10"/>
  <c r="Q785" i="10"/>
  <c r="Q784" i="10"/>
  <c r="Q783" i="10"/>
  <c r="Q780" i="10"/>
  <c r="Q779" i="10"/>
  <c r="Q778" i="10"/>
  <c r="Q777" i="10"/>
  <c r="Q776" i="10"/>
  <c r="Q775" i="10"/>
  <c r="Q774" i="10"/>
  <c r="Q773" i="10"/>
  <c r="Q772" i="10"/>
  <c r="Q771" i="10"/>
  <c r="Q770" i="10"/>
  <c r="Q769" i="10"/>
  <c r="Q768" i="10"/>
  <c r="Q767" i="10"/>
  <c r="Q766" i="10"/>
  <c r="Q765" i="10"/>
  <c r="Q764" i="10"/>
  <c r="Q763" i="10"/>
  <c r="Q762" i="10"/>
  <c r="Q761" i="10"/>
  <c r="Q760" i="10"/>
  <c r="Q759" i="10"/>
  <c r="Q758" i="10"/>
  <c r="Q757" i="10"/>
  <c r="Q756" i="10"/>
  <c r="Q755" i="10"/>
  <c r="Q754" i="10"/>
  <c r="Q753" i="10"/>
  <c r="Q752" i="10"/>
  <c r="Q751" i="10"/>
  <c r="Q750" i="10"/>
  <c r="Q749" i="10"/>
  <c r="Q748" i="10"/>
  <c r="Q747" i="10"/>
  <c r="Q746" i="10"/>
  <c r="Q745" i="10"/>
  <c r="Q744" i="10"/>
  <c r="Q743" i="10"/>
  <c r="Q742" i="10"/>
  <c r="Q741" i="10"/>
  <c r="Q740" i="10"/>
  <c r="Q739" i="10"/>
  <c r="Q738" i="10"/>
  <c r="Q737" i="10"/>
  <c r="Q736" i="10"/>
  <c r="Q735" i="10"/>
  <c r="Q734" i="10"/>
  <c r="CE76" i="10"/>
  <c r="AO75" i="10"/>
  <c r="N772" i="10" s="1"/>
  <c r="AG75" i="10"/>
  <c r="N764" i="10" s="1"/>
  <c r="Y75" i="10"/>
  <c r="N756" i="10" s="1"/>
  <c r="Q75" i="10"/>
  <c r="N748" i="10" s="1"/>
  <c r="I75" i="10"/>
  <c r="N740" i="10" s="1"/>
  <c r="O779" i="10"/>
  <c r="O777" i="10"/>
  <c r="O776" i="10"/>
  <c r="O775" i="10"/>
  <c r="O774" i="10"/>
  <c r="O773" i="10"/>
  <c r="O772" i="10"/>
  <c r="O771" i="10"/>
  <c r="O769" i="10"/>
  <c r="O768" i="10"/>
  <c r="O767" i="10"/>
  <c r="O766" i="10"/>
  <c r="O765" i="10"/>
  <c r="O764" i="10"/>
  <c r="O763" i="10"/>
  <c r="O761" i="10"/>
  <c r="O760" i="10"/>
  <c r="O759" i="10"/>
  <c r="O758" i="10"/>
  <c r="O757" i="10"/>
  <c r="O756" i="10"/>
  <c r="O755" i="10"/>
  <c r="O753" i="10"/>
  <c r="O752" i="10"/>
  <c r="O751" i="10"/>
  <c r="O750" i="10"/>
  <c r="O749" i="10"/>
  <c r="O748" i="10"/>
  <c r="O747" i="10"/>
  <c r="O745" i="10"/>
  <c r="O744" i="10"/>
  <c r="O743" i="10"/>
  <c r="O742" i="10"/>
  <c r="O741" i="10"/>
  <c r="O740" i="10"/>
  <c r="O739" i="10"/>
  <c r="O737" i="10"/>
  <c r="O736" i="10"/>
  <c r="O735" i="10"/>
  <c r="O734" i="10"/>
  <c r="V813" i="10"/>
  <c r="V815" i="10" s="1"/>
  <c r="M811" i="10"/>
  <c r="M810" i="10"/>
  <c r="M809" i="10"/>
  <c r="M808" i="10"/>
  <c r="M807" i="10"/>
  <c r="M806" i="10"/>
  <c r="M805" i="10"/>
  <c r="M803" i="10"/>
  <c r="M802" i="10"/>
  <c r="M801" i="10"/>
  <c r="M800" i="10"/>
  <c r="M799" i="10"/>
  <c r="M798" i="10"/>
  <c r="M797" i="10"/>
  <c r="M795" i="10"/>
  <c r="M794" i="10"/>
  <c r="M793" i="10"/>
  <c r="M792" i="10"/>
  <c r="M791" i="10"/>
  <c r="M790" i="10"/>
  <c r="M789" i="10"/>
  <c r="M787" i="10"/>
  <c r="M786" i="10"/>
  <c r="M785" i="10"/>
  <c r="M784" i="10"/>
  <c r="M783" i="10"/>
  <c r="M782" i="10"/>
  <c r="M781" i="10"/>
  <c r="M779" i="10"/>
  <c r="M778" i="10"/>
  <c r="M777" i="10"/>
  <c r="M776" i="10"/>
  <c r="M775" i="10"/>
  <c r="M774" i="10"/>
  <c r="M773" i="10"/>
  <c r="M771" i="10"/>
  <c r="M770" i="10"/>
  <c r="M769" i="10"/>
  <c r="M768" i="10"/>
  <c r="M767" i="10"/>
  <c r="M766" i="10"/>
  <c r="M765" i="10"/>
  <c r="M763" i="10"/>
  <c r="M762" i="10"/>
  <c r="M761" i="10"/>
  <c r="M760" i="10"/>
  <c r="M759" i="10"/>
  <c r="M758" i="10"/>
  <c r="M757" i="10"/>
  <c r="M755" i="10"/>
  <c r="M754" i="10"/>
  <c r="M753" i="10"/>
  <c r="M752" i="10"/>
  <c r="M751" i="10"/>
  <c r="M750" i="10"/>
  <c r="M749" i="10"/>
  <c r="M747" i="10"/>
  <c r="M746" i="10"/>
  <c r="M745" i="10"/>
  <c r="M744" i="10"/>
  <c r="M743" i="10"/>
  <c r="M742" i="10"/>
  <c r="M741" i="10"/>
  <c r="M739" i="10"/>
  <c r="M738" i="10"/>
  <c r="M737" i="10"/>
  <c r="M736" i="10"/>
  <c r="M735" i="10"/>
  <c r="M734" i="10"/>
  <c r="C438" i="10"/>
  <c r="L812" i="10"/>
  <c r="L811" i="10"/>
  <c r="L810" i="10"/>
  <c r="L809" i="10"/>
  <c r="L808" i="10"/>
  <c r="L807" i="10"/>
  <c r="L806" i="10"/>
  <c r="L805" i="10"/>
  <c r="L804" i="10"/>
  <c r="L803" i="10"/>
  <c r="L802" i="10"/>
  <c r="L801" i="10"/>
  <c r="L800" i="10"/>
  <c r="L799" i="10"/>
  <c r="L798" i="10"/>
  <c r="L797" i="10"/>
  <c r="L796" i="10"/>
  <c r="L795" i="10"/>
  <c r="L794" i="10"/>
  <c r="L793" i="10"/>
  <c r="L792" i="10"/>
  <c r="L791" i="10"/>
  <c r="L790" i="10"/>
  <c r="L789" i="10"/>
  <c r="L788" i="10"/>
  <c r="L787" i="10"/>
  <c r="L786" i="10"/>
  <c r="L785" i="10"/>
  <c r="L784" i="10"/>
  <c r="L783" i="10"/>
  <c r="L782" i="10"/>
  <c r="L781" i="10"/>
  <c r="L780" i="10"/>
  <c r="L779" i="10"/>
  <c r="L778" i="10"/>
  <c r="L777" i="10"/>
  <c r="L776" i="10"/>
  <c r="L775" i="10"/>
  <c r="L774" i="10"/>
  <c r="L773" i="10"/>
  <c r="L772" i="10"/>
  <c r="L771" i="10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4" i="10"/>
  <c r="L743" i="10"/>
  <c r="L742" i="10"/>
  <c r="L741" i="10"/>
  <c r="L740" i="10"/>
  <c r="L739" i="10"/>
  <c r="L738" i="10"/>
  <c r="L737" i="10"/>
  <c r="L736" i="10"/>
  <c r="L735" i="10"/>
  <c r="L734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D812" i="10"/>
  <c r="D811" i="10"/>
  <c r="D810" i="10"/>
  <c r="D809" i="10"/>
  <c r="D808" i="10"/>
  <c r="D807" i="10"/>
  <c r="D805" i="10"/>
  <c r="D804" i="10"/>
  <c r="D803" i="10"/>
  <c r="D802" i="10"/>
  <c r="D801" i="10"/>
  <c r="D800" i="10"/>
  <c r="D799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B774" i="10"/>
  <c r="B752" i="10"/>
  <c r="D415" i="10"/>
  <c r="B736" i="10"/>
  <c r="B53" i="10"/>
  <c r="B49" i="10"/>
  <c r="E213" i="10" l="1"/>
  <c r="D390" i="10"/>
  <c r="B441" i="10" s="1"/>
  <c r="E199" i="10"/>
  <c r="C472" i="10" s="1"/>
  <c r="E198" i="10"/>
  <c r="C471" i="10" s="1"/>
  <c r="D236" i="10"/>
  <c r="B446" i="10" s="1"/>
  <c r="D265" i="10"/>
  <c r="B427" i="10"/>
  <c r="B436" i="10"/>
  <c r="B475" i="10"/>
  <c r="E212" i="10"/>
  <c r="D275" i="10"/>
  <c r="D328" i="10"/>
  <c r="D330" i="10" s="1"/>
  <c r="B444" i="10"/>
  <c r="E203" i="10"/>
  <c r="C475" i="10" s="1"/>
  <c r="D314" i="10"/>
  <c r="CE63" i="10"/>
  <c r="B740" i="10"/>
  <c r="E502" i="10"/>
  <c r="D421" i="10"/>
  <c r="B737" i="10"/>
  <c r="E499" i="10"/>
  <c r="B746" i="10"/>
  <c r="E508" i="10"/>
  <c r="B756" i="10"/>
  <c r="E518" i="10"/>
  <c r="B765" i="10"/>
  <c r="E527" i="10"/>
  <c r="B773" i="10"/>
  <c r="E535" i="10"/>
  <c r="E730" i="10"/>
  <c r="D260" i="10"/>
  <c r="CE47" i="10"/>
  <c r="B739" i="10"/>
  <c r="E501" i="10"/>
  <c r="B748" i="10"/>
  <c r="E510" i="10"/>
  <c r="B758" i="10"/>
  <c r="E520" i="10"/>
  <c r="B767" i="10"/>
  <c r="E529" i="10"/>
  <c r="B775" i="10"/>
  <c r="E537" i="10"/>
  <c r="M740" i="10"/>
  <c r="M748" i="10"/>
  <c r="M815" i="10" s="1"/>
  <c r="M756" i="10"/>
  <c r="M764" i="10"/>
  <c r="M772" i="10"/>
  <c r="M780" i="10"/>
  <c r="M788" i="10"/>
  <c r="M796" i="10"/>
  <c r="M804" i="10"/>
  <c r="M812" i="10"/>
  <c r="O738" i="10"/>
  <c r="G75" i="10"/>
  <c r="N738" i="10" s="1"/>
  <c r="O746" i="10"/>
  <c r="O75" i="10"/>
  <c r="N746" i="10" s="1"/>
  <c r="O754" i="10"/>
  <c r="W75" i="10"/>
  <c r="N754" i="10" s="1"/>
  <c r="O762" i="10"/>
  <c r="AE75" i="10"/>
  <c r="N762" i="10" s="1"/>
  <c r="O770" i="10"/>
  <c r="AM75" i="10"/>
  <c r="N770" i="10" s="1"/>
  <c r="O778" i="10"/>
  <c r="AU75" i="10"/>
  <c r="N778" i="10" s="1"/>
  <c r="BU722" i="10"/>
  <c r="D229" i="10"/>
  <c r="B445" i="10" s="1"/>
  <c r="E536" i="10"/>
  <c r="B738" i="10"/>
  <c r="E500" i="10"/>
  <c r="CE65" i="10"/>
  <c r="B768" i="10"/>
  <c r="E530" i="10"/>
  <c r="B776" i="10"/>
  <c r="E538" i="10"/>
  <c r="CE68" i="10"/>
  <c r="U813" i="10"/>
  <c r="U815" i="10" s="1"/>
  <c r="C615" i="10"/>
  <c r="CD71" i="10"/>
  <c r="C575" i="10" s="1"/>
  <c r="K722" i="10"/>
  <c r="D181" i="10"/>
  <c r="B747" i="10"/>
  <c r="E509" i="10"/>
  <c r="B760" i="10"/>
  <c r="E522" i="10"/>
  <c r="B742" i="10"/>
  <c r="D418" i="10"/>
  <c r="B761" i="10"/>
  <c r="E523" i="10"/>
  <c r="B769" i="10"/>
  <c r="E531" i="10"/>
  <c r="B777" i="10"/>
  <c r="E539" i="10"/>
  <c r="CE74" i="10"/>
  <c r="C464" i="10" s="1"/>
  <c r="R816" i="10"/>
  <c r="I612" i="10"/>
  <c r="B734" i="10"/>
  <c r="E496" i="10"/>
  <c r="B743" i="10"/>
  <c r="E505" i="10"/>
  <c r="B753" i="10"/>
  <c r="E515" i="10"/>
  <c r="B762" i="10"/>
  <c r="E524" i="10"/>
  <c r="B770" i="10"/>
  <c r="E532" i="10"/>
  <c r="B778" i="10"/>
  <c r="E540" i="10"/>
  <c r="CE60" i="10"/>
  <c r="CE61" i="10"/>
  <c r="B766" i="10"/>
  <c r="E528" i="10"/>
  <c r="CE64" i="10"/>
  <c r="CE66" i="10"/>
  <c r="B735" i="10"/>
  <c r="E497" i="10"/>
  <c r="B744" i="10"/>
  <c r="E506" i="10"/>
  <c r="B754" i="10"/>
  <c r="E516" i="10"/>
  <c r="B763" i="10"/>
  <c r="E525" i="10"/>
  <c r="B771" i="10"/>
  <c r="E533" i="10"/>
  <c r="C815" i="10"/>
  <c r="D798" i="10"/>
  <c r="D815" i="10" s="1"/>
  <c r="D806" i="10"/>
  <c r="E722" i="10"/>
  <c r="C171" i="10"/>
  <c r="H722" i="10" s="1"/>
  <c r="BC722" i="10"/>
  <c r="C217" i="10"/>
  <c r="D433" i="10" s="1"/>
  <c r="E211" i="10"/>
  <c r="E504" i="10"/>
  <c r="H519" i="10"/>
  <c r="F519" i="10"/>
  <c r="B757" i="10"/>
  <c r="E519" i="10"/>
  <c r="AK726" i="10"/>
  <c r="E141" i="10"/>
  <c r="D463" i="10" s="1"/>
  <c r="CE51" i="10"/>
  <c r="B749" i="10"/>
  <c r="E511" i="10"/>
  <c r="B745" i="10"/>
  <c r="E507" i="10"/>
  <c r="B755" i="10"/>
  <c r="E517" i="10"/>
  <c r="B764" i="10"/>
  <c r="E526" i="10"/>
  <c r="B772" i="10"/>
  <c r="E534" i="10"/>
  <c r="E498" i="10"/>
  <c r="H75" i="10"/>
  <c r="N739" i="10" s="1"/>
  <c r="P75" i="10"/>
  <c r="N747" i="10" s="1"/>
  <c r="X75" i="10"/>
  <c r="N755" i="10" s="1"/>
  <c r="AF75" i="10"/>
  <c r="N763" i="10" s="1"/>
  <c r="AN75" i="10"/>
  <c r="N771" i="10" s="1"/>
  <c r="AV75" i="10"/>
  <c r="N779" i="10" s="1"/>
  <c r="D177" i="10"/>
  <c r="D434" i="10" s="1"/>
  <c r="E210" i="10"/>
  <c r="M817" i="10"/>
  <c r="BO730" i="10"/>
  <c r="F500" i="10"/>
  <c r="H505" i="10"/>
  <c r="F815" i="10"/>
  <c r="G815" i="10"/>
  <c r="H815" i="10"/>
  <c r="I815" i="10"/>
  <c r="K815" i="10"/>
  <c r="CE69" i="10"/>
  <c r="J75" i="10"/>
  <c r="N741" i="10" s="1"/>
  <c r="R75" i="10"/>
  <c r="N749" i="10" s="1"/>
  <c r="Z75" i="10"/>
  <c r="N757" i="10" s="1"/>
  <c r="AH75" i="10"/>
  <c r="N765" i="10" s="1"/>
  <c r="AP75" i="10"/>
  <c r="N773" i="10" s="1"/>
  <c r="P816" i="10"/>
  <c r="D612" i="10"/>
  <c r="S815" i="10"/>
  <c r="CE79" i="10"/>
  <c r="CE80" i="10"/>
  <c r="H539" i="10"/>
  <c r="CE70" i="10"/>
  <c r="CE73" i="10"/>
  <c r="C75" i="10"/>
  <c r="K75" i="10"/>
  <c r="N742" i="10" s="1"/>
  <c r="S75" i="10"/>
  <c r="N750" i="10" s="1"/>
  <c r="AA75" i="10"/>
  <c r="N758" i="10" s="1"/>
  <c r="AI75" i="10"/>
  <c r="N766" i="10" s="1"/>
  <c r="AQ75" i="10"/>
  <c r="N774" i="10" s="1"/>
  <c r="CF76" i="10"/>
  <c r="C204" i="10"/>
  <c r="D817" i="10"/>
  <c r="BQ730" i="10"/>
  <c r="B439" i="10"/>
  <c r="B440" i="10" s="1"/>
  <c r="F497" i="10"/>
  <c r="D75" i="10"/>
  <c r="N735" i="10" s="1"/>
  <c r="L75" i="10"/>
  <c r="N743" i="10" s="1"/>
  <c r="T75" i="10"/>
  <c r="N751" i="10" s="1"/>
  <c r="AB75" i="10"/>
  <c r="N759" i="10" s="1"/>
  <c r="AJ75" i="10"/>
  <c r="N767" i="10" s="1"/>
  <c r="AR75" i="10"/>
  <c r="N775" i="10" s="1"/>
  <c r="Q815" i="10"/>
  <c r="T815" i="10"/>
  <c r="F817" i="10"/>
  <c r="BS730" i="10"/>
  <c r="B429" i="10"/>
  <c r="C439" i="10"/>
  <c r="E75" i="10"/>
  <c r="N736" i="10" s="1"/>
  <c r="M75" i="10"/>
  <c r="N744" i="10" s="1"/>
  <c r="U75" i="10"/>
  <c r="N752" i="10" s="1"/>
  <c r="AC75" i="10"/>
  <c r="N760" i="10" s="1"/>
  <c r="AK75" i="10"/>
  <c r="N768" i="10" s="1"/>
  <c r="AS75" i="10"/>
  <c r="N776" i="10" s="1"/>
  <c r="E138" i="10"/>
  <c r="C414" i="10" s="1"/>
  <c r="D142" i="10"/>
  <c r="AL726" i="10" s="1"/>
  <c r="E200" i="10"/>
  <c r="C473" i="10" s="1"/>
  <c r="D217" i="10"/>
  <c r="D361" i="10"/>
  <c r="I817" i="10"/>
  <c r="BV730" i="10"/>
  <c r="B455" i="10"/>
  <c r="B464" i="10"/>
  <c r="F513" i="10"/>
  <c r="F531" i="10"/>
  <c r="F75" i="10"/>
  <c r="N737" i="10" s="1"/>
  <c r="N75" i="10"/>
  <c r="N745" i="10" s="1"/>
  <c r="V75" i="10"/>
  <c r="N753" i="10" s="1"/>
  <c r="AD75" i="10"/>
  <c r="N761" i="10" s="1"/>
  <c r="AL75" i="10"/>
  <c r="N769" i="10" s="1"/>
  <c r="AT75" i="10"/>
  <c r="N777" i="10" s="1"/>
  <c r="E142" i="10"/>
  <c r="D464" i="10" s="1"/>
  <c r="L817" i="10"/>
  <c r="F510" i="10"/>
  <c r="F517" i="10"/>
  <c r="H528" i="10"/>
  <c r="F528" i="10"/>
  <c r="CE77" i="10"/>
  <c r="F514" i="10"/>
  <c r="H536" i="10"/>
  <c r="F536" i="10"/>
  <c r="BZ730" i="10"/>
  <c r="F545" i="10"/>
  <c r="R815" i="10"/>
  <c r="P815" i="10"/>
  <c r="E217" i="10" l="1"/>
  <c r="C478" i="10" s="1"/>
  <c r="O815" i="10"/>
  <c r="D242" i="10"/>
  <c r="B448" i="10" s="1"/>
  <c r="D173" i="10"/>
  <c r="D428" i="10" s="1"/>
  <c r="D339" i="10"/>
  <c r="C482" i="10" s="1"/>
  <c r="B476" i="10"/>
  <c r="D277" i="10"/>
  <c r="D292" i="10" s="1"/>
  <c r="D341" i="10" s="1"/>
  <c r="C481" i="10" s="1"/>
  <c r="N734" i="10"/>
  <c r="N815" i="10" s="1"/>
  <c r="CE75" i="10"/>
  <c r="O816" i="10"/>
  <c r="C463" i="10"/>
  <c r="L815" i="10"/>
  <c r="Q816" i="10"/>
  <c r="G612" i="10"/>
  <c r="CF77" i="10"/>
  <c r="N817" i="10"/>
  <c r="D368" i="10"/>
  <c r="D373" i="10" s="1"/>
  <c r="D391" i="10" s="1"/>
  <c r="D393" i="10" s="1"/>
  <c r="D396" i="10" s="1"/>
  <c r="B465" i="10"/>
  <c r="M816" i="10"/>
  <c r="C458" i="10"/>
  <c r="D435" i="10"/>
  <c r="D438" i="10"/>
  <c r="F816" i="10"/>
  <c r="C429" i="10"/>
  <c r="E204" i="10"/>
  <c r="C476" i="10" s="1"/>
  <c r="I816" i="10"/>
  <c r="C432" i="10"/>
  <c r="T816" i="10"/>
  <c r="L612" i="10"/>
  <c r="G816" i="10"/>
  <c r="F612" i="10"/>
  <c r="C430" i="10"/>
  <c r="D816" i="10"/>
  <c r="C427" i="10"/>
  <c r="CA48" i="10"/>
  <c r="CA62" i="10" s="1"/>
  <c r="BS48" i="10"/>
  <c r="BS62" i="10" s="1"/>
  <c r="BK48" i="10"/>
  <c r="BK62" i="10" s="1"/>
  <c r="BC48" i="10"/>
  <c r="BC62" i="10" s="1"/>
  <c r="AU48" i="10"/>
  <c r="AU62" i="10" s="1"/>
  <c r="AM48" i="10"/>
  <c r="AM62" i="10" s="1"/>
  <c r="AE48" i="10"/>
  <c r="AE62" i="10" s="1"/>
  <c r="W48" i="10"/>
  <c r="W62" i="10" s="1"/>
  <c r="O48" i="10"/>
  <c r="O62" i="10" s="1"/>
  <c r="G48" i="10"/>
  <c r="G62" i="10" s="1"/>
  <c r="BM48" i="10"/>
  <c r="BM62" i="10" s="1"/>
  <c r="AW48" i="10"/>
  <c r="AW62" i="10" s="1"/>
  <c r="Q48" i="10"/>
  <c r="Q62" i="10" s="1"/>
  <c r="BZ48" i="10"/>
  <c r="BZ62" i="10" s="1"/>
  <c r="BR48" i="10"/>
  <c r="BR62" i="10" s="1"/>
  <c r="BJ48" i="10"/>
  <c r="BJ62" i="10" s="1"/>
  <c r="BB48" i="10"/>
  <c r="BB62" i="10" s="1"/>
  <c r="AT48" i="10"/>
  <c r="AT62" i="10" s="1"/>
  <c r="AL48" i="10"/>
  <c r="AL62" i="10" s="1"/>
  <c r="AD48" i="10"/>
  <c r="AD62" i="10" s="1"/>
  <c r="V48" i="10"/>
  <c r="V62" i="10" s="1"/>
  <c r="N48" i="10"/>
  <c r="N62" i="10" s="1"/>
  <c r="F48" i="10"/>
  <c r="F62" i="10" s="1"/>
  <c r="BY48" i="10"/>
  <c r="BY62" i="10" s="1"/>
  <c r="BQ48" i="10"/>
  <c r="BQ62" i="10" s="1"/>
  <c r="BI48" i="10"/>
  <c r="BI62" i="10" s="1"/>
  <c r="BA48" i="10"/>
  <c r="BA62" i="10" s="1"/>
  <c r="AS48" i="10"/>
  <c r="AS62" i="10" s="1"/>
  <c r="AK48" i="10"/>
  <c r="AK62" i="10" s="1"/>
  <c r="AC48" i="10"/>
  <c r="AC62" i="10" s="1"/>
  <c r="U48" i="10"/>
  <c r="U62" i="10" s="1"/>
  <c r="M48" i="10"/>
  <c r="M62" i="10" s="1"/>
  <c r="E48" i="10"/>
  <c r="E62" i="10" s="1"/>
  <c r="BW48" i="10"/>
  <c r="BW62" i="10" s="1"/>
  <c r="BO48" i="10"/>
  <c r="BO62" i="10" s="1"/>
  <c r="AY48" i="10"/>
  <c r="AY62" i="10" s="1"/>
  <c r="AI48" i="10"/>
  <c r="AI62" i="10" s="1"/>
  <c r="S48" i="10"/>
  <c r="S62" i="10" s="1"/>
  <c r="C48" i="10"/>
  <c r="BU48" i="10"/>
  <c r="BU62" i="10" s="1"/>
  <c r="AO48" i="10"/>
  <c r="AO62" i="10" s="1"/>
  <c r="I48" i="10"/>
  <c r="I62" i="10" s="1"/>
  <c r="BX48" i="10"/>
  <c r="BX62" i="10" s="1"/>
  <c r="BP48" i="10"/>
  <c r="BP62" i="10" s="1"/>
  <c r="BH48" i="10"/>
  <c r="BH62" i="10" s="1"/>
  <c r="AZ48" i="10"/>
  <c r="AZ62" i="10" s="1"/>
  <c r="AR48" i="10"/>
  <c r="AR62" i="10" s="1"/>
  <c r="AJ48" i="10"/>
  <c r="AJ62" i="10" s="1"/>
  <c r="AB48" i="10"/>
  <c r="AB62" i="10" s="1"/>
  <c r="T48" i="10"/>
  <c r="T62" i="10" s="1"/>
  <c r="L48" i="10"/>
  <c r="L62" i="10" s="1"/>
  <c r="D48" i="10"/>
  <c r="D62" i="10" s="1"/>
  <c r="BG48" i="10"/>
  <c r="BG62" i="10" s="1"/>
  <c r="AA48" i="10"/>
  <c r="AA62" i="10" s="1"/>
  <c r="K48" i="10"/>
  <c r="K62" i="10" s="1"/>
  <c r="AG48" i="10"/>
  <c r="AG62" i="10" s="1"/>
  <c r="BV48" i="10"/>
  <c r="BV62" i="10" s="1"/>
  <c r="BN48" i="10"/>
  <c r="BN62" i="10" s="1"/>
  <c r="BF48" i="10"/>
  <c r="BF62" i="10" s="1"/>
  <c r="AX48" i="10"/>
  <c r="AX62" i="10" s="1"/>
  <c r="AP48" i="10"/>
  <c r="AP62" i="10" s="1"/>
  <c r="AH48" i="10"/>
  <c r="AH62" i="10" s="1"/>
  <c r="Z48" i="10"/>
  <c r="Z62" i="10" s="1"/>
  <c r="R48" i="10"/>
  <c r="R62" i="10" s="1"/>
  <c r="J48" i="10"/>
  <c r="J62" i="10" s="1"/>
  <c r="CB48" i="10"/>
  <c r="CB62" i="10" s="1"/>
  <c r="BT48" i="10"/>
  <c r="BT62" i="10" s="1"/>
  <c r="BL48" i="10"/>
  <c r="BL62" i="10" s="1"/>
  <c r="BD48" i="10"/>
  <c r="BD62" i="10" s="1"/>
  <c r="AV48" i="10"/>
  <c r="AV62" i="10" s="1"/>
  <c r="AN48" i="10"/>
  <c r="AN62" i="10" s="1"/>
  <c r="AF48" i="10"/>
  <c r="AF62" i="10" s="1"/>
  <c r="X48" i="10"/>
  <c r="X62" i="10" s="1"/>
  <c r="P48" i="10"/>
  <c r="P62" i="10" s="1"/>
  <c r="H48" i="10"/>
  <c r="H62" i="10" s="1"/>
  <c r="AQ48" i="10"/>
  <c r="AQ62" i="10" s="1"/>
  <c r="CC48" i="10"/>
  <c r="CC62" i="10" s="1"/>
  <c r="BE48" i="10"/>
  <c r="BE62" i="10" s="1"/>
  <c r="Y48" i="10"/>
  <c r="Y62" i="10" s="1"/>
  <c r="H816" i="10"/>
  <c r="C431" i="10"/>
  <c r="S816" i="10"/>
  <c r="J612" i="10"/>
  <c r="D465" i="10"/>
  <c r="C816" i="10"/>
  <c r="BI730" i="10"/>
  <c r="H612" i="10"/>
  <c r="BZ52" i="10"/>
  <c r="BZ67" i="10" s="1"/>
  <c r="J809" i="10" s="1"/>
  <c r="BR52" i="10"/>
  <c r="BR67" i="10" s="1"/>
  <c r="J801" i="10" s="1"/>
  <c r="BJ52" i="10"/>
  <c r="BJ67" i="10" s="1"/>
  <c r="J793" i="10" s="1"/>
  <c r="BB52" i="10"/>
  <c r="BB67" i="10" s="1"/>
  <c r="J785" i="10" s="1"/>
  <c r="AT52" i="10"/>
  <c r="AT67" i="10" s="1"/>
  <c r="J777" i="10" s="1"/>
  <c r="AL52" i="10"/>
  <c r="AL67" i="10" s="1"/>
  <c r="J769" i="10" s="1"/>
  <c r="AD52" i="10"/>
  <c r="AD67" i="10" s="1"/>
  <c r="J761" i="10" s="1"/>
  <c r="V52" i="10"/>
  <c r="V67" i="10" s="1"/>
  <c r="J753" i="10" s="1"/>
  <c r="N52" i="10"/>
  <c r="N67" i="10" s="1"/>
  <c r="J745" i="10" s="1"/>
  <c r="F52" i="10"/>
  <c r="F67" i="10" s="1"/>
  <c r="J737" i="10" s="1"/>
  <c r="H52" i="10"/>
  <c r="H67" i="10" s="1"/>
  <c r="J739" i="10" s="1"/>
  <c r="BY52" i="10"/>
  <c r="BY67" i="10" s="1"/>
  <c r="J808" i="10" s="1"/>
  <c r="BQ52" i="10"/>
  <c r="BQ67" i="10" s="1"/>
  <c r="J800" i="10" s="1"/>
  <c r="BI52" i="10"/>
  <c r="BI67" i="10" s="1"/>
  <c r="J792" i="10" s="1"/>
  <c r="BA52" i="10"/>
  <c r="BA67" i="10" s="1"/>
  <c r="J784" i="10" s="1"/>
  <c r="AS52" i="10"/>
  <c r="AS67" i="10" s="1"/>
  <c r="J776" i="10" s="1"/>
  <c r="AK52" i="10"/>
  <c r="AK67" i="10" s="1"/>
  <c r="J768" i="10" s="1"/>
  <c r="AC52" i="10"/>
  <c r="AC67" i="10" s="1"/>
  <c r="J760" i="10" s="1"/>
  <c r="U52" i="10"/>
  <c r="U67" i="10" s="1"/>
  <c r="J752" i="10" s="1"/>
  <c r="M52" i="10"/>
  <c r="M67" i="10" s="1"/>
  <c r="J744" i="10" s="1"/>
  <c r="E52" i="10"/>
  <c r="E67" i="10" s="1"/>
  <c r="J736" i="10" s="1"/>
  <c r="BL52" i="10"/>
  <c r="BL67" i="10" s="1"/>
  <c r="J795" i="10" s="1"/>
  <c r="AF52" i="10"/>
  <c r="AF67" i="10" s="1"/>
  <c r="J763" i="10" s="1"/>
  <c r="BX52" i="10"/>
  <c r="BX67" i="10" s="1"/>
  <c r="J807" i="10" s="1"/>
  <c r="BP52" i="10"/>
  <c r="BP67" i="10" s="1"/>
  <c r="J799" i="10" s="1"/>
  <c r="BH52" i="10"/>
  <c r="BH67" i="10" s="1"/>
  <c r="J791" i="10" s="1"/>
  <c r="AZ52" i="10"/>
  <c r="AZ67" i="10" s="1"/>
  <c r="J783" i="10" s="1"/>
  <c r="AR52" i="10"/>
  <c r="AR67" i="10" s="1"/>
  <c r="J775" i="10" s="1"/>
  <c r="AJ52" i="10"/>
  <c r="AJ67" i="10" s="1"/>
  <c r="J767" i="10" s="1"/>
  <c r="AB52" i="10"/>
  <c r="AB67" i="10" s="1"/>
  <c r="J759" i="10" s="1"/>
  <c r="T52" i="10"/>
  <c r="T67" i="10" s="1"/>
  <c r="J751" i="10" s="1"/>
  <c r="L52" i="10"/>
  <c r="L67" i="10" s="1"/>
  <c r="J743" i="10" s="1"/>
  <c r="D52" i="10"/>
  <c r="D67" i="10" s="1"/>
  <c r="J735" i="10" s="1"/>
  <c r="AV52" i="10"/>
  <c r="AV67" i="10" s="1"/>
  <c r="J779" i="10" s="1"/>
  <c r="BW52" i="10"/>
  <c r="BW67" i="10" s="1"/>
  <c r="J806" i="10" s="1"/>
  <c r="BO52" i="10"/>
  <c r="BO67" i="10" s="1"/>
  <c r="J798" i="10" s="1"/>
  <c r="BG52" i="10"/>
  <c r="BG67" i="10" s="1"/>
  <c r="J790" i="10" s="1"/>
  <c r="AY52" i="10"/>
  <c r="AY67" i="10" s="1"/>
  <c r="J782" i="10" s="1"/>
  <c r="AQ52" i="10"/>
  <c r="AQ67" i="10" s="1"/>
  <c r="J774" i="10" s="1"/>
  <c r="AI52" i="10"/>
  <c r="AI67" i="10" s="1"/>
  <c r="J766" i="10" s="1"/>
  <c r="AA52" i="10"/>
  <c r="AA67" i="10" s="1"/>
  <c r="J758" i="10" s="1"/>
  <c r="S52" i="10"/>
  <c r="S67" i="10" s="1"/>
  <c r="J750" i="10" s="1"/>
  <c r="K52" i="10"/>
  <c r="K67" i="10" s="1"/>
  <c r="J742" i="10" s="1"/>
  <c r="C52" i="10"/>
  <c r="BV52" i="10"/>
  <c r="BV67" i="10" s="1"/>
  <c r="J805" i="10" s="1"/>
  <c r="BN52" i="10"/>
  <c r="BN67" i="10" s="1"/>
  <c r="J797" i="10" s="1"/>
  <c r="BF52" i="10"/>
  <c r="BF67" i="10" s="1"/>
  <c r="J789" i="10" s="1"/>
  <c r="AX52" i="10"/>
  <c r="AX67" i="10" s="1"/>
  <c r="J781" i="10" s="1"/>
  <c r="AP52" i="10"/>
  <c r="AP67" i="10" s="1"/>
  <c r="J773" i="10" s="1"/>
  <c r="AH52" i="10"/>
  <c r="AH67" i="10" s="1"/>
  <c r="J765" i="10" s="1"/>
  <c r="Z52" i="10"/>
  <c r="Z67" i="10" s="1"/>
  <c r="J757" i="10" s="1"/>
  <c r="R52" i="10"/>
  <c r="R67" i="10" s="1"/>
  <c r="J749" i="10" s="1"/>
  <c r="J52" i="10"/>
  <c r="J67" i="10" s="1"/>
  <c r="J741" i="10" s="1"/>
  <c r="CC52" i="10"/>
  <c r="CC67" i="10" s="1"/>
  <c r="J812" i="10" s="1"/>
  <c r="BU52" i="10"/>
  <c r="BU67" i="10" s="1"/>
  <c r="J804" i="10" s="1"/>
  <c r="BM52" i="10"/>
  <c r="BM67" i="10" s="1"/>
  <c r="J796" i="10" s="1"/>
  <c r="BE52" i="10"/>
  <c r="BE67" i="10" s="1"/>
  <c r="J788" i="10" s="1"/>
  <c r="AW52" i="10"/>
  <c r="AW67" i="10" s="1"/>
  <c r="J780" i="10" s="1"/>
  <c r="AO52" i="10"/>
  <c r="AO67" i="10" s="1"/>
  <c r="J772" i="10" s="1"/>
  <c r="AG52" i="10"/>
  <c r="AG67" i="10" s="1"/>
  <c r="J764" i="10" s="1"/>
  <c r="Y52" i="10"/>
  <c r="Y67" i="10" s="1"/>
  <c r="J756" i="10" s="1"/>
  <c r="Q52" i="10"/>
  <c r="Q67" i="10" s="1"/>
  <c r="J748" i="10" s="1"/>
  <c r="I52" i="10"/>
  <c r="I67" i="10" s="1"/>
  <c r="J740" i="10" s="1"/>
  <c r="CB52" i="10"/>
  <c r="CB67" i="10" s="1"/>
  <c r="J811" i="10" s="1"/>
  <c r="BD52" i="10"/>
  <c r="BD67" i="10" s="1"/>
  <c r="J787" i="10" s="1"/>
  <c r="AN52" i="10"/>
  <c r="AN67" i="10" s="1"/>
  <c r="J771" i="10" s="1"/>
  <c r="P52" i="10"/>
  <c r="P67" i="10" s="1"/>
  <c r="J747" i="10" s="1"/>
  <c r="CA52" i="10"/>
  <c r="CA67" i="10" s="1"/>
  <c r="J810" i="10" s="1"/>
  <c r="BS52" i="10"/>
  <c r="BS67" i="10" s="1"/>
  <c r="J802" i="10" s="1"/>
  <c r="BK52" i="10"/>
  <c r="BK67" i="10" s="1"/>
  <c r="J794" i="10" s="1"/>
  <c r="BC52" i="10"/>
  <c r="BC67" i="10" s="1"/>
  <c r="J786" i="10" s="1"/>
  <c r="AU52" i="10"/>
  <c r="AU67" i="10" s="1"/>
  <c r="J778" i="10" s="1"/>
  <c r="AM52" i="10"/>
  <c r="AM67" i="10" s="1"/>
  <c r="J770" i="10" s="1"/>
  <c r="AE52" i="10"/>
  <c r="AE67" i="10" s="1"/>
  <c r="J762" i="10" s="1"/>
  <c r="W52" i="10"/>
  <c r="W67" i="10" s="1"/>
  <c r="J754" i="10" s="1"/>
  <c r="O52" i="10"/>
  <c r="O67" i="10" s="1"/>
  <c r="J746" i="10" s="1"/>
  <c r="G52" i="10"/>
  <c r="G67" i="10" s="1"/>
  <c r="J738" i="10" s="1"/>
  <c r="BT52" i="10"/>
  <c r="BT67" i="10" s="1"/>
  <c r="J803" i="10" s="1"/>
  <c r="X52" i="10"/>
  <c r="X67" i="10" s="1"/>
  <c r="J755" i="10" s="1"/>
  <c r="L816" i="10"/>
  <c r="C440" i="10"/>
  <c r="K816" i="10"/>
  <c r="C434" i="10"/>
  <c r="E779" i="10" l="1"/>
  <c r="AV71" i="10"/>
  <c r="E783" i="10"/>
  <c r="AZ71" i="10"/>
  <c r="E787" i="10"/>
  <c r="BD71" i="10"/>
  <c r="E790" i="10"/>
  <c r="BG71" i="10"/>
  <c r="E766" i="10"/>
  <c r="AI71" i="10"/>
  <c r="E774" i="10"/>
  <c r="AQ71" i="10"/>
  <c r="E795" i="10"/>
  <c r="BL71" i="10"/>
  <c r="E781" i="10"/>
  <c r="AX71" i="10"/>
  <c r="E735" i="10"/>
  <c r="D71" i="10"/>
  <c r="E799" i="10"/>
  <c r="BP71" i="10"/>
  <c r="E782" i="10"/>
  <c r="AY71" i="10"/>
  <c r="E776" i="10"/>
  <c r="AS71" i="10"/>
  <c r="E761" i="10"/>
  <c r="AD71" i="10"/>
  <c r="E780" i="10"/>
  <c r="AW71" i="10"/>
  <c r="E786" i="10"/>
  <c r="BC71" i="10"/>
  <c r="E739" i="10"/>
  <c r="H71" i="10"/>
  <c r="E743" i="10"/>
  <c r="L71" i="10"/>
  <c r="E807" i="10"/>
  <c r="BX71" i="10"/>
  <c r="E798" i="10"/>
  <c r="BO71" i="10"/>
  <c r="E784" i="10"/>
  <c r="BA71" i="10"/>
  <c r="E769" i="10"/>
  <c r="AL71" i="10"/>
  <c r="E796" i="10"/>
  <c r="BM71" i="10"/>
  <c r="E794" i="10"/>
  <c r="BK71" i="10"/>
  <c r="E747" i="10"/>
  <c r="P71" i="10"/>
  <c r="E811" i="10"/>
  <c r="CB71" i="10"/>
  <c r="E797" i="10"/>
  <c r="BN71" i="10"/>
  <c r="E751" i="10"/>
  <c r="T71" i="10"/>
  <c r="E740" i="10"/>
  <c r="I71" i="10"/>
  <c r="E806" i="10"/>
  <c r="BW71" i="10"/>
  <c r="E792" i="10"/>
  <c r="BI71" i="10"/>
  <c r="E777" i="10"/>
  <c r="AT71" i="10"/>
  <c r="E738" i="10"/>
  <c r="G71" i="10"/>
  <c r="E802" i="10"/>
  <c r="BS71" i="10"/>
  <c r="E789" i="10"/>
  <c r="BF71" i="10"/>
  <c r="E755" i="10"/>
  <c r="X71" i="10"/>
  <c r="E741" i="10"/>
  <c r="J71" i="10"/>
  <c r="E805" i="10"/>
  <c r="BV71" i="10"/>
  <c r="E759" i="10"/>
  <c r="AB71" i="10"/>
  <c r="E772" i="10"/>
  <c r="AO71" i="10"/>
  <c r="E736" i="10"/>
  <c r="E71" i="10"/>
  <c r="E800" i="10"/>
  <c r="BQ71" i="10"/>
  <c r="E785" i="10"/>
  <c r="BB71" i="10"/>
  <c r="E746" i="10"/>
  <c r="O71" i="10"/>
  <c r="E810" i="10"/>
  <c r="CA71" i="10"/>
  <c r="E803" i="10"/>
  <c r="BT71" i="10"/>
  <c r="E764" i="10"/>
  <c r="AG71" i="10"/>
  <c r="CE52" i="10"/>
  <c r="C67" i="10"/>
  <c r="E763" i="10"/>
  <c r="AF71" i="10"/>
  <c r="E749" i="10"/>
  <c r="R71" i="10"/>
  <c r="E767" i="10"/>
  <c r="AJ71" i="10"/>
  <c r="E804" i="10"/>
  <c r="BU71" i="10"/>
  <c r="E744" i="10"/>
  <c r="M71" i="10"/>
  <c r="E808" i="10"/>
  <c r="BY71" i="10"/>
  <c r="E793" i="10"/>
  <c r="BJ71" i="10"/>
  <c r="E754" i="10"/>
  <c r="W71" i="10"/>
  <c r="E756" i="10"/>
  <c r="Y71" i="10"/>
  <c r="E771" i="10"/>
  <c r="AN71" i="10"/>
  <c r="E757" i="10"/>
  <c r="Z71" i="10"/>
  <c r="E742" i="10"/>
  <c r="K71" i="10"/>
  <c r="E775" i="10"/>
  <c r="AR71" i="10"/>
  <c r="CE48" i="10"/>
  <c r="C62" i="10"/>
  <c r="E752" i="10"/>
  <c r="U71" i="10"/>
  <c r="E737" i="10"/>
  <c r="F71" i="10"/>
  <c r="E801" i="10"/>
  <c r="BR71" i="10"/>
  <c r="E762" i="10"/>
  <c r="AE71" i="10"/>
  <c r="E788" i="10"/>
  <c r="BE71" i="10"/>
  <c r="E758" i="10"/>
  <c r="AA71" i="10"/>
  <c r="E750" i="10"/>
  <c r="S71" i="10"/>
  <c r="E760" i="10"/>
  <c r="AC71" i="10"/>
  <c r="E745" i="10"/>
  <c r="N71" i="10"/>
  <c r="E809" i="10"/>
  <c r="BZ71" i="10"/>
  <c r="E770" i="10"/>
  <c r="AM71" i="10"/>
  <c r="N816" i="10"/>
  <c r="K612" i="10"/>
  <c r="C465" i="10"/>
  <c r="E765" i="10"/>
  <c r="AH71" i="10"/>
  <c r="E812" i="10"/>
  <c r="CC71" i="10"/>
  <c r="E773" i="10"/>
  <c r="AP71" i="10"/>
  <c r="E791" i="10"/>
  <c r="BH71" i="10"/>
  <c r="E768" i="10"/>
  <c r="AK71" i="10"/>
  <c r="E753" i="10"/>
  <c r="V71" i="10"/>
  <c r="E748" i="10"/>
  <c r="Q71" i="10"/>
  <c r="E778" i="10"/>
  <c r="AU71" i="10"/>
  <c r="C682" i="10" l="1"/>
  <c r="C510" i="10"/>
  <c r="C565" i="10"/>
  <c r="C640" i="10"/>
  <c r="C639" i="10"/>
  <c r="C564" i="10"/>
  <c r="C573" i="10"/>
  <c r="C622" i="10"/>
  <c r="C505" i="10"/>
  <c r="G505" i="10" s="1"/>
  <c r="C677" i="10"/>
  <c r="C669" i="10"/>
  <c r="C497" i="10"/>
  <c r="G497" i="10" s="1"/>
  <c r="C713" i="10"/>
  <c r="C541" i="10"/>
  <c r="C704" i="10"/>
  <c r="C532" i="10"/>
  <c r="G532" i="10" s="1"/>
  <c r="C684" i="10"/>
  <c r="C512" i="10"/>
  <c r="C626" i="10"/>
  <c r="C563" i="10"/>
  <c r="C690" i="10"/>
  <c r="C518" i="10"/>
  <c r="C678" i="10"/>
  <c r="C506" i="10"/>
  <c r="C697" i="10"/>
  <c r="C525" i="10"/>
  <c r="G525" i="10" s="1"/>
  <c r="C687" i="10"/>
  <c r="C515" i="10"/>
  <c r="G515" i="10" s="1"/>
  <c r="C620" i="10"/>
  <c r="C574" i="10"/>
  <c r="C572" i="10"/>
  <c r="C647" i="10"/>
  <c r="C670" i="10"/>
  <c r="C498" i="10"/>
  <c r="C675" i="10"/>
  <c r="C503" i="10"/>
  <c r="G503" i="10" s="1"/>
  <c r="C672" i="10"/>
  <c r="C500" i="10"/>
  <c r="C674" i="10"/>
  <c r="C502" i="10"/>
  <c r="G502" i="10" s="1"/>
  <c r="C681" i="10"/>
  <c r="C509" i="10"/>
  <c r="C546" i="10"/>
  <c r="G546" i="10" s="1"/>
  <c r="C630" i="10"/>
  <c r="C673" i="10"/>
  <c r="C501" i="10"/>
  <c r="G501" i="10" s="1"/>
  <c r="C710" i="10"/>
  <c r="C538" i="10"/>
  <c r="G538" i="10" s="1"/>
  <c r="C543" i="10"/>
  <c r="C616" i="10"/>
  <c r="C552" i="10"/>
  <c r="C618" i="10"/>
  <c r="C646" i="10"/>
  <c r="C571" i="10"/>
  <c r="C692" i="10"/>
  <c r="C520" i="10"/>
  <c r="C671" i="10"/>
  <c r="C499" i="10"/>
  <c r="G499" i="10" s="1"/>
  <c r="C676" i="10"/>
  <c r="C504" i="10"/>
  <c r="G504" i="10" s="1"/>
  <c r="C688" i="10"/>
  <c r="C516" i="10"/>
  <c r="C641" i="10"/>
  <c r="C566" i="10"/>
  <c r="C702" i="10"/>
  <c r="C530" i="10"/>
  <c r="C699" i="10"/>
  <c r="C527" i="10"/>
  <c r="G527" i="10" s="1"/>
  <c r="J734" i="10"/>
  <c r="J815" i="10" s="1"/>
  <c r="CE67" i="10"/>
  <c r="C680" i="10"/>
  <c r="C508" i="10"/>
  <c r="C706" i="10"/>
  <c r="C534" i="10"/>
  <c r="G534" i="10" s="1"/>
  <c r="C689" i="10"/>
  <c r="C517" i="10"/>
  <c r="C711" i="10"/>
  <c r="C539" i="10"/>
  <c r="G539" i="10" s="1"/>
  <c r="C685" i="10"/>
  <c r="C513" i="10"/>
  <c r="C556" i="10"/>
  <c r="C635" i="10"/>
  <c r="C627" i="10"/>
  <c r="C560" i="10"/>
  <c r="C548" i="10"/>
  <c r="C633" i="10"/>
  <c r="C625" i="10"/>
  <c r="C544" i="10"/>
  <c r="C557" i="10"/>
  <c r="C637" i="10"/>
  <c r="C624" i="10"/>
  <c r="C549" i="10"/>
  <c r="C686" i="10"/>
  <c r="C514" i="10"/>
  <c r="C614" i="10"/>
  <c r="C550" i="10"/>
  <c r="C712" i="10"/>
  <c r="C540" i="10"/>
  <c r="G540" i="10" s="1"/>
  <c r="C632" i="10"/>
  <c r="C547" i="10"/>
  <c r="C638" i="10"/>
  <c r="C558" i="10"/>
  <c r="C569" i="10"/>
  <c r="C644" i="10"/>
  <c r="C561" i="10"/>
  <c r="C621" i="10"/>
  <c r="C708" i="10"/>
  <c r="C536" i="10"/>
  <c r="G536" i="10" s="1"/>
  <c r="C628" i="10"/>
  <c r="C545" i="10"/>
  <c r="G545" i="10" s="1"/>
  <c r="C679" i="10"/>
  <c r="C507" i="10"/>
  <c r="G507" i="10" s="1"/>
  <c r="C691" i="10"/>
  <c r="C519" i="10"/>
  <c r="G519" i="10" s="1"/>
  <c r="C555" i="10"/>
  <c r="C617" i="10"/>
  <c r="C701" i="10"/>
  <c r="C529" i="10"/>
  <c r="C553" i="10"/>
  <c r="C636" i="10"/>
  <c r="C698" i="10"/>
  <c r="C526" i="10"/>
  <c r="C693" i="10"/>
  <c r="C521" i="10"/>
  <c r="C629" i="10"/>
  <c r="C551" i="10"/>
  <c r="C634" i="10"/>
  <c r="C554" i="10"/>
  <c r="C619" i="10"/>
  <c r="C559" i="10"/>
  <c r="C631" i="10"/>
  <c r="C542" i="10"/>
  <c r="C694" i="10"/>
  <c r="C522" i="10"/>
  <c r="C696" i="10"/>
  <c r="C524" i="10"/>
  <c r="E734" i="10"/>
  <c r="E815" i="10" s="1"/>
  <c r="CE62" i="10"/>
  <c r="C71" i="10"/>
  <c r="C705" i="10"/>
  <c r="C533" i="10"/>
  <c r="G533" i="10" s="1"/>
  <c r="C645" i="10"/>
  <c r="C570" i="10"/>
  <c r="C683" i="10"/>
  <c r="C511" i="10"/>
  <c r="C623" i="10"/>
  <c r="C562" i="10"/>
  <c r="C695" i="10"/>
  <c r="C523" i="10"/>
  <c r="C707" i="10"/>
  <c r="C535" i="10"/>
  <c r="G535" i="10" s="1"/>
  <c r="C642" i="10"/>
  <c r="C567" i="10"/>
  <c r="C568" i="10"/>
  <c r="C643" i="10"/>
  <c r="C531" i="10"/>
  <c r="C703" i="10"/>
  <c r="C700" i="10"/>
  <c r="C528" i="10"/>
  <c r="G528" i="10" s="1"/>
  <c r="C709" i="10"/>
  <c r="C537" i="10"/>
  <c r="G537" i="10" l="1"/>
  <c r="H537" i="10"/>
  <c r="G524" i="10"/>
  <c r="H524" i="10"/>
  <c r="G550" i="10"/>
  <c r="H550" i="10" s="1"/>
  <c r="G544" i="10"/>
  <c r="H544" i="10" s="1"/>
  <c r="G513" i="10"/>
  <c r="H513" i="10"/>
  <c r="G508" i="10"/>
  <c r="H508" i="10"/>
  <c r="G520" i="10"/>
  <c r="H520" i="10" s="1"/>
  <c r="G506" i="10"/>
  <c r="H506" i="10"/>
  <c r="E816" i="10"/>
  <c r="C428" i="10"/>
  <c r="CE71" i="10"/>
  <c r="C716" i="10" s="1"/>
  <c r="C648" i="10"/>
  <c r="M716" i="10" s="1"/>
  <c r="Y816" i="10" s="1"/>
  <c r="D615" i="10"/>
  <c r="G522" i="10"/>
  <c r="H522" i="10" s="1"/>
  <c r="G529" i="10"/>
  <c r="H529" i="10"/>
  <c r="G514" i="10"/>
  <c r="H514" i="10" s="1"/>
  <c r="J816" i="10"/>
  <c r="C433" i="10"/>
  <c r="G516" i="10"/>
  <c r="H516" i="10"/>
  <c r="G500" i="10"/>
  <c r="H500" i="10"/>
  <c r="G518" i="10"/>
  <c r="H518" i="10" s="1"/>
  <c r="G523" i="10"/>
  <c r="H523" i="10" s="1"/>
  <c r="G521" i="10"/>
  <c r="H521" i="10"/>
  <c r="G531" i="10"/>
  <c r="H531" i="10"/>
  <c r="G517" i="10"/>
  <c r="H517" i="10" s="1"/>
  <c r="C668" i="10"/>
  <c r="C715" i="10" s="1"/>
  <c r="C496" i="10"/>
  <c r="G526" i="10"/>
  <c r="H526" i="10" s="1"/>
  <c r="G530" i="10"/>
  <c r="H530" i="10"/>
  <c r="G509" i="10"/>
  <c r="H509" i="10" s="1"/>
  <c r="G498" i="10"/>
  <c r="H498" i="10" s="1"/>
  <c r="G512" i="10"/>
  <c r="H512" i="10"/>
  <c r="G510" i="10"/>
  <c r="H510" i="10" s="1"/>
  <c r="G511" i="10"/>
  <c r="H511" i="10"/>
  <c r="C441" i="10" l="1"/>
  <c r="G496" i="10"/>
  <c r="H496" i="10" s="1"/>
  <c r="D708" i="10"/>
  <c r="D713" i="10"/>
  <c r="D705" i="10"/>
  <c r="D697" i="10"/>
  <c r="D716" i="10"/>
  <c r="D709" i="10"/>
  <c r="D701" i="10"/>
  <c r="D710" i="10"/>
  <c r="D692" i="10"/>
  <c r="D684" i="10"/>
  <c r="D676" i="10"/>
  <c r="D668" i="10"/>
  <c r="D628" i="10"/>
  <c r="D622" i="10"/>
  <c r="D711" i="10"/>
  <c r="D694" i="10"/>
  <c r="D686" i="10"/>
  <c r="D678" i="10"/>
  <c r="D670" i="10"/>
  <c r="D647" i="10"/>
  <c r="D646" i="10"/>
  <c r="D645" i="10"/>
  <c r="D629" i="10"/>
  <c r="D626" i="10"/>
  <c r="D621" i="10"/>
  <c r="D707" i="10"/>
  <c r="D696" i="10"/>
  <c r="D693" i="10"/>
  <c r="D685" i="10"/>
  <c r="D677" i="10"/>
  <c r="D669" i="10"/>
  <c r="D627" i="10"/>
  <c r="D689" i="10"/>
  <c r="D682" i="10"/>
  <c r="D675" i="10"/>
  <c r="D642" i="10"/>
  <c r="D634" i="10"/>
  <c r="D624" i="10"/>
  <c r="D619" i="10"/>
  <c r="D702" i="10"/>
  <c r="D699" i="10"/>
  <c r="D690" i="10"/>
  <c r="D683" i="10"/>
  <c r="D637" i="10"/>
  <c r="D691" i="10"/>
  <c r="D640" i="10"/>
  <c r="D632" i="10"/>
  <c r="D623" i="10"/>
  <c r="D618" i="10"/>
  <c r="D643" i="10"/>
  <c r="D635" i="10"/>
  <c r="D712" i="10"/>
  <c r="D703" i="10"/>
  <c r="D700" i="10"/>
  <c r="D671" i="10"/>
  <c r="D638" i="10"/>
  <c r="D630" i="10"/>
  <c r="D617" i="10"/>
  <c r="D679" i="10"/>
  <c r="D672" i="10"/>
  <c r="D641" i="10"/>
  <c r="D633" i="10"/>
  <c r="D704" i="10"/>
  <c r="D695" i="10"/>
  <c r="D688" i="10"/>
  <c r="D681" i="10"/>
  <c r="D674" i="10"/>
  <c r="D639" i="10"/>
  <c r="D631" i="10"/>
  <c r="D680" i="10"/>
  <c r="D625" i="10"/>
  <c r="D698" i="10"/>
  <c r="D620" i="10"/>
  <c r="D687" i="10"/>
  <c r="D636" i="10"/>
  <c r="D616" i="10"/>
  <c r="D706" i="10"/>
  <c r="D644" i="10"/>
  <c r="D673" i="10"/>
  <c r="E612" i="10" l="1"/>
  <c r="D715" i="10"/>
  <c r="E623" i="10"/>
  <c r="E713" i="10" l="1"/>
  <c r="E705" i="10"/>
  <c r="E710" i="10"/>
  <c r="E702" i="10"/>
  <c r="E706" i="10"/>
  <c r="E698" i="10"/>
  <c r="E689" i="10"/>
  <c r="E681" i="10"/>
  <c r="E673" i="10"/>
  <c r="E712" i="10"/>
  <c r="E704" i="10"/>
  <c r="E703" i="10"/>
  <c r="E691" i="10"/>
  <c r="E683" i="10"/>
  <c r="E67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4" i="10"/>
  <c r="E690" i="10"/>
  <c r="E682" i="10"/>
  <c r="E674" i="10"/>
  <c r="E711" i="10"/>
  <c r="E699" i="10"/>
  <c r="E696" i="10"/>
  <c r="E668" i="10"/>
  <c r="E645" i="10"/>
  <c r="E629" i="10"/>
  <c r="E709" i="10"/>
  <c r="E707" i="10"/>
  <c r="E676" i="10"/>
  <c r="E669" i="10"/>
  <c r="E684" i="10"/>
  <c r="E677" i="10"/>
  <c r="E670" i="10"/>
  <c r="E626" i="10"/>
  <c r="E716" i="10"/>
  <c r="E700" i="10"/>
  <c r="E697" i="10"/>
  <c r="E692" i="10"/>
  <c r="E685" i="10"/>
  <c r="E678" i="10"/>
  <c r="E671" i="10"/>
  <c r="E646" i="10"/>
  <c r="E693" i="10"/>
  <c r="E686" i="10"/>
  <c r="E679" i="10"/>
  <c r="E672" i="10"/>
  <c r="E628" i="10"/>
  <c r="E708" i="10"/>
  <c r="E694" i="10"/>
  <c r="E687" i="10"/>
  <c r="E680" i="10"/>
  <c r="E625" i="10"/>
  <c r="E627" i="10"/>
  <c r="E688" i="10"/>
  <c r="E695" i="10"/>
  <c r="E647" i="10"/>
  <c r="E701" i="10"/>
  <c r="E715" i="10" l="1"/>
  <c r="F624" i="10"/>
  <c r="F713" i="10" l="1"/>
  <c r="F710" i="10"/>
  <c r="F716" i="10"/>
  <c r="F707" i="10"/>
  <c r="F699" i="10"/>
  <c r="F711" i="10"/>
  <c r="F703" i="10"/>
  <c r="F694" i="10"/>
  <c r="F686" i="10"/>
  <c r="F678" i="10"/>
  <c r="F670" i="10"/>
  <c r="F647" i="10"/>
  <c r="F646" i="10"/>
  <c r="F645" i="10"/>
  <c r="F629" i="10"/>
  <c r="F626" i="10"/>
  <c r="F705" i="10"/>
  <c r="F702" i="10"/>
  <c r="F701" i="10"/>
  <c r="F700" i="10"/>
  <c r="F688" i="10"/>
  <c r="F680" i="10"/>
  <c r="F672" i="10"/>
  <c r="F708" i="10"/>
  <c r="F695" i="10"/>
  <c r="F687" i="10"/>
  <c r="F679" i="10"/>
  <c r="F671" i="10"/>
  <c r="F625" i="10"/>
  <c r="F709" i="10"/>
  <c r="F690" i="10"/>
  <c r="F683" i="10"/>
  <c r="F676" i="10"/>
  <c r="F669" i="10"/>
  <c r="F637" i="10"/>
  <c r="F691" i="10"/>
  <c r="F684" i="10"/>
  <c r="F677" i="10"/>
  <c r="F640" i="10"/>
  <c r="F632" i="10"/>
  <c r="F697" i="10"/>
  <c r="F692" i="10"/>
  <c r="F685" i="10"/>
  <c r="F643" i="10"/>
  <c r="F635" i="10"/>
  <c r="F712" i="10"/>
  <c r="F693" i="10"/>
  <c r="F638" i="10"/>
  <c r="F630" i="10"/>
  <c r="F628" i="10"/>
  <c r="F641" i="10"/>
  <c r="F633" i="10"/>
  <c r="F706" i="10"/>
  <c r="F698" i="10"/>
  <c r="F673" i="10"/>
  <c r="F644" i="10"/>
  <c r="F636" i="10"/>
  <c r="F696" i="10"/>
  <c r="F689" i="10"/>
  <c r="F682" i="10"/>
  <c r="F675" i="10"/>
  <c r="F668" i="10"/>
  <c r="F642" i="10"/>
  <c r="F634" i="10"/>
  <c r="F639" i="10"/>
  <c r="F704" i="10"/>
  <c r="F674" i="10"/>
  <c r="F631" i="10"/>
  <c r="F681" i="10"/>
  <c r="F627" i="10"/>
  <c r="F715" i="10" l="1"/>
  <c r="G625" i="10"/>
  <c r="G716" i="10" l="1"/>
  <c r="G707" i="10"/>
  <c r="G712" i="10"/>
  <c r="G704" i="10"/>
  <c r="G696" i="10"/>
  <c r="G708" i="10"/>
  <c r="G700" i="10"/>
  <c r="G711" i="10"/>
  <c r="G691" i="10"/>
  <c r="G683" i="10"/>
  <c r="G67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706" i="10"/>
  <c r="G699" i="10"/>
  <c r="G698" i="10"/>
  <c r="G697" i="10"/>
  <c r="G693" i="10"/>
  <c r="G685" i="10"/>
  <c r="G677" i="10"/>
  <c r="G669" i="10"/>
  <c r="G627" i="10"/>
  <c r="G709" i="10"/>
  <c r="G692" i="10"/>
  <c r="G684" i="10"/>
  <c r="G676" i="10"/>
  <c r="G668" i="10"/>
  <c r="G628" i="10"/>
  <c r="G713" i="10"/>
  <c r="G702" i="10"/>
  <c r="G705" i="10"/>
  <c r="G670" i="10"/>
  <c r="G626" i="10"/>
  <c r="G678" i="10"/>
  <c r="G671" i="10"/>
  <c r="G646" i="10"/>
  <c r="G703" i="10"/>
  <c r="G686" i="10"/>
  <c r="G679" i="10"/>
  <c r="G672" i="10"/>
  <c r="G710" i="10"/>
  <c r="G694" i="10"/>
  <c r="G687" i="10"/>
  <c r="G680" i="10"/>
  <c r="G673" i="10"/>
  <c r="G701" i="10"/>
  <c r="G695" i="10"/>
  <c r="G688" i="10"/>
  <c r="G681" i="10"/>
  <c r="G674" i="10"/>
  <c r="G647" i="10"/>
  <c r="G690" i="10"/>
  <c r="G645" i="10"/>
  <c r="G629" i="10"/>
  <c r="G689" i="10"/>
  <c r="G682" i="10"/>
  <c r="G715" i="10" l="1"/>
  <c r="H628" i="10"/>
  <c r="H716" i="10" l="1"/>
  <c r="H712" i="10"/>
  <c r="H709" i="10"/>
  <c r="H701" i="10"/>
  <c r="H713" i="10"/>
  <c r="H705" i="10"/>
  <c r="H697" i="10"/>
  <c r="H704" i="10"/>
  <c r="H703" i="10"/>
  <c r="H702" i="10"/>
  <c r="H688" i="10"/>
  <c r="H680" i="10"/>
  <c r="H672" i="10"/>
  <c r="H696" i="10"/>
  <c r="H690" i="10"/>
  <c r="H682" i="10"/>
  <c r="H674" i="10"/>
  <c r="H689" i="10"/>
  <c r="H681" i="10"/>
  <c r="H673" i="10"/>
  <c r="H707" i="10"/>
  <c r="H691" i="10"/>
  <c r="H684" i="10"/>
  <c r="H677" i="10"/>
  <c r="H670" i="10"/>
  <c r="H640" i="10"/>
  <c r="H632" i="10"/>
  <c r="H692" i="10"/>
  <c r="H685" i="10"/>
  <c r="H678" i="10"/>
  <c r="H671" i="10"/>
  <c r="H646" i="10"/>
  <c r="H643" i="10"/>
  <c r="H635" i="10"/>
  <c r="H700" i="10"/>
  <c r="H693" i="10"/>
  <c r="H686" i="10"/>
  <c r="H679" i="10"/>
  <c r="H638" i="10"/>
  <c r="H630" i="10"/>
  <c r="H710" i="10"/>
  <c r="H694" i="10"/>
  <c r="H687" i="10"/>
  <c r="H641" i="10"/>
  <c r="H633" i="10"/>
  <c r="H708" i="10"/>
  <c r="H706" i="10"/>
  <c r="H698" i="10"/>
  <c r="H695" i="10"/>
  <c r="H647" i="10"/>
  <c r="H644" i="10"/>
  <c r="H636" i="10"/>
  <c r="H639" i="10"/>
  <c r="H631" i="10"/>
  <c r="H711" i="10"/>
  <c r="H699" i="10"/>
  <c r="H683" i="10"/>
  <c r="H676" i="10"/>
  <c r="H669" i="10"/>
  <c r="H637" i="10"/>
  <c r="H668" i="10"/>
  <c r="H634" i="10"/>
  <c r="H675" i="10"/>
  <c r="H645" i="10"/>
  <c r="H629" i="10"/>
  <c r="H642" i="10"/>
  <c r="H715" i="10" l="1"/>
  <c r="I629" i="10"/>
  <c r="I709" i="10" l="1"/>
  <c r="I706" i="10"/>
  <c r="I698" i="10"/>
  <c r="I710" i="10"/>
  <c r="I702" i="10"/>
  <c r="I712" i="10"/>
  <c r="I705" i="10"/>
  <c r="I701" i="10"/>
  <c r="I700" i="10"/>
  <c r="I699" i="10"/>
  <c r="I693" i="10"/>
  <c r="I685" i="10"/>
  <c r="I677" i="10"/>
  <c r="I669" i="10"/>
  <c r="I707" i="10"/>
  <c r="I695" i="10"/>
  <c r="I687" i="10"/>
  <c r="I679" i="10"/>
  <c r="I671" i="10"/>
  <c r="I694" i="10"/>
  <c r="I686" i="10"/>
  <c r="I678" i="10"/>
  <c r="I670" i="10"/>
  <c r="I647" i="10"/>
  <c r="I646" i="10"/>
  <c r="I645" i="10"/>
  <c r="I692" i="10"/>
  <c r="I643" i="10"/>
  <c r="I635" i="10"/>
  <c r="I697" i="10"/>
  <c r="I638" i="10"/>
  <c r="I630" i="10"/>
  <c r="I716" i="10"/>
  <c r="I703" i="10"/>
  <c r="I672" i="10"/>
  <c r="I641" i="10"/>
  <c r="I633" i="10"/>
  <c r="I708" i="10"/>
  <c r="I680" i="10"/>
  <c r="I673" i="10"/>
  <c r="I644" i="10"/>
  <c r="I636" i="10"/>
  <c r="I688" i="10"/>
  <c r="I681" i="10"/>
  <c r="I674" i="10"/>
  <c r="I639" i="10"/>
  <c r="I631" i="10"/>
  <c r="I704" i="10"/>
  <c r="I689" i="10"/>
  <c r="I682" i="10"/>
  <c r="I675" i="10"/>
  <c r="I668" i="10"/>
  <c r="I642" i="10"/>
  <c r="I634" i="10"/>
  <c r="I713" i="10"/>
  <c r="I691" i="10"/>
  <c r="I684" i="10"/>
  <c r="I640" i="10"/>
  <c r="I632" i="10"/>
  <c r="I711" i="10"/>
  <c r="I637" i="10"/>
  <c r="I696" i="10"/>
  <c r="I676" i="10"/>
  <c r="I683" i="10"/>
  <c r="I690" i="10"/>
  <c r="I715" i="10" l="1"/>
  <c r="J630" i="10"/>
  <c r="J706" i="10" l="1"/>
  <c r="J711" i="10"/>
  <c r="J703" i="10"/>
  <c r="J713" i="10"/>
  <c r="J716" i="10"/>
  <c r="J707" i="10"/>
  <c r="J699" i="10"/>
  <c r="J698" i="10"/>
  <c r="J697" i="10"/>
  <c r="J696" i="10"/>
  <c r="J690" i="10"/>
  <c r="J682" i="10"/>
  <c r="J674" i="10"/>
  <c r="J708" i="10"/>
  <c r="J692" i="10"/>
  <c r="J684" i="10"/>
  <c r="J676" i="10"/>
  <c r="J668" i="10"/>
  <c r="J710" i="10"/>
  <c r="J691" i="10"/>
  <c r="J683" i="10"/>
  <c r="J67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705" i="10"/>
  <c r="J685" i="10"/>
  <c r="J678" i="10"/>
  <c r="J671" i="10"/>
  <c r="J646" i="10"/>
  <c r="J700" i="10"/>
  <c r="J693" i="10"/>
  <c r="J686" i="10"/>
  <c r="J679" i="10"/>
  <c r="J672" i="10"/>
  <c r="J712" i="10"/>
  <c r="J694" i="10"/>
  <c r="J687" i="10"/>
  <c r="J680" i="10"/>
  <c r="J673" i="10"/>
  <c r="J695" i="10"/>
  <c r="J688" i="10"/>
  <c r="J681" i="10"/>
  <c r="J647" i="10"/>
  <c r="J704" i="10"/>
  <c r="J701" i="10"/>
  <c r="J689" i="10"/>
  <c r="J645" i="10"/>
  <c r="J709" i="10"/>
  <c r="J702" i="10"/>
  <c r="J677" i="10"/>
  <c r="J670" i="10"/>
  <c r="J669" i="10"/>
  <c r="L647" i="10" l="1"/>
  <c r="K644" i="10"/>
  <c r="K708" i="10" s="1"/>
  <c r="J715" i="10"/>
  <c r="K716" i="10"/>
  <c r="K673" i="10"/>
  <c r="K674" i="10"/>
  <c r="K690" i="10"/>
  <c r="K678" i="10"/>
  <c r="K677" i="10"/>
  <c r="L708" i="10"/>
  <c r="L713" i="10"/>
  <c r="L705" i="10"/>
  <c r="L697" i="10"/>
  <c r="L716" i="10"/>
  <c r="L709" i="10"/>
  <c r="L701" i="10"/>
  <c r="L707" i="10"/>
  <c r="L692" i="10"/>
  <c r="L684" i="10"/>
  <c r="L676" i="10"/>
  <c r="L668" i="10"/>
  <c r="L694" i="10"/>
  <c r="L686" i="10"/>
  <c r="L678" i="10"/>
  <c r="L670" i="10"/>
  <c r="L711" i="10"/>
  <c r="L704" i="10"/>
  <c r="L703" i="10"/>
  <c r="L702" i="10"/>
  <c r="L693" i="10"/>
  <c r="L685" i="10"/>
  <c r="L677" i="10"/>
  <c r="L669" i="10"/>
  <c r="L700" i="10"/>
  <c r="L679" i="10"/>
  <c r="L672" i="10"/>
  <c r="L712" i="10"/>
  <c r="L710" i="10"/>
  <c r="L687" i="10"/>
  <c r="L680" i="10"/>
  <c r="L673" i="10"/>
  <c r="L698" i="10"/>
  <c r="L695" i="10"/>
  <c r="L688" i="10"/>
  <c r="L681" i="10"/>
  <c r="L674" i="10"/>
  <c r="M674" i="10" s="1"/>
  <c r="Y740" i="10" s="1"/>
  <c r="L706" i="10"/>
  <c r="L689" i="10"/>
  <c r="L682" i="10"/>
  <c r="L675" i="10"/>
  <c r="L690" i="10"/>
  <c r="L683" i="10"/>
  <c r="L699" i="10"/>
  <c r="L696" i="10"/>
  <c r="L691" i="10"/>
  <c r="L671" i="10"/>
  <c r="K707" i="10" l="1"/>
  <c r="M707" i="10" s="1"/>
  <c r="Y773" i="10" s="1"/>
  <c r="K697" i="10"/>
  <c r="M697" i="10" s="1"/>
  <c r="Y763" i="10" s="1"/>
  <c r="K712" i="10"/>
  <c r="K694" i="10"/>
  <c r="M694" i="10" s="1"/>
  <c r="Y760" i="10" s="1"/>
  <c r="K695" i="10"/>
  <c r="M708" i="10"/>
  <c r="Y774" i="10" s="1"/>
  <c r="M673" i="10"/>
  <c r="Y739" i="10" s="1"/>
  <c r="M712" i="10"/>
  <c r="Y778" i="10" s="1"/>
  <c r="M670" i="10"/>
  <c r="Y736" i="10" s="1"/>
  <c r="K691" i="10"/>
  <c r="M691" i="10" s="1"/>
  <c r="Y757" i="10" s="1"/>
  <c r="K709" i="10"/>
  <c r="M709" i="10" s="1"/>
  <c r="Y775" i="10" s="1"/>
  <c r="K685" i="10"/>
  <c r="K669" i="10"/>
  <c r="K668" i="10"/>
  <c r="K698" i="10"/>
  <c r="M698" i="10" s="1"/>
  <c r="Y764" i="10" s="1"/>
  <c r="K703" i="10"/>
  <c r="K672" i="10"/>
  <c r="K681" i="10"/>
  <c r="M681" i="10" s="1"/>
  <c r="Y747" i="10" s="1"/>
  <c r="K671" i="10"/>
  <c r="K706" i="10"/>
  <c r="K700" i="10"/>
  <c r="M677" i="10"/>
  <c r="Y743" i="10" s="1"/>
  <c r="M703" i="10"/>
  <c r="Y769" i="10" s="1"/>
  <c r="M690" i="10"/>
  <c r="Y756" i="10" s="1"/>
  <c r="M706" i="10"/>
  <c r="Y772" i="10" s="1"/>
  <c r="M695" i="10"/>
  <c r="Y761" i="10" s="1"/>
  <c r="M679" i="10"/>
  <c r="Y745" i="10" s="1"/>
  <c r="M685" i="10"/>
  <c r="Y751" i="10" s="1"/>
  <c r="K684" i="10"/>
  <c r="K699" i="10"/>
  <c r="M699" i="10" s="1"/>
  <c r="Y765" i="10" s="1"/>
  <c r="K705" i="10"/>
  <c r="K683" i="10"/>
  <c r="M683" i="10" s="1"/>
  <c r="Y749" i="10" s="1"/>
  <c r="K682" i="10"/>
  <c r="M682" i="10" s="1"/>
  <c r="Y748" i="10" s="1"/>
  <c r="K710" i="10"/>
  <c r="M710" i="10" s="1"/>
  <c r="Y776" i="10" s="1"/>
  <c r="K693" i="10"/>
  <c r="K688" i="10"/>
  <c r="M688" i="10" s="1"/>
  <c r="Y754" i="10" s="1"/>
  <c r="K713" i="10"/>
  <c r="K687" i="10"/>
  <c r="M687" i="10" s="1"/>
  <c r="Y753" i="10" s="1"/>
  <c r="K704" i="10"/>
  <c r="M704" i="10" s="1"/>
  <c r="Y770" i="10" s="1"/>
  <c r="K711" i="10"/>
  <c r="M711" i="10" s="1"/>
  <c r="Y777" i="10" s="1"/>
  <c r="M700" i="10"/>
  <c r="Y766" i="10" s="1"/>
  <c r="M693" i="10"/>
  <c r="Y759" i="10" s="1"/>
  <c r="M669" i="10"/>
  <c r="Y735" i="10" s="1"/>
  <c r="M672" i="10"/>
  <c r="Y738" i="10" s="1"/>
  <c r="M678" i="10"/>
  <c r="Y744" i="10" s="1"/>
  <c r="M701" i="10"/>
  <c r="Y767" i="10" s="1"/>
  <c r="K702" i="10"/>
  <c r="M702" i="10" s="1"/>
  <c r="Y768" i="10" s="1"/>
  <c r="K670" i="10"/>
  <c r="K692" i="10"/>
  <c r="K676" i="10"/>
  <c r="M676" i="10" s="1"/>
  <c r="Y742" i="10" s="1"/>
  <c r="K675" i="10"/>
  <c r="M675" i="10" s="1"/>
  <c r="Y741" i="10" s="1"/>
  <c r="K701" i="10"/>
  <c r="K686" i="10"/>
  <c r="K680" i="10"/>
  <c r="M680" i="10" s="1"/>
  <c r="Y746" i="10" s="1"/>
  <c r="K689" i="10"/>
  <c r="M689" i="10" s="1"/>
  <c r="Y755" i="10" s="1"/>
  <c r="K679" i="10"/>
  <c r="K696" i="10"/>
  <c r="M696" i="10" s="1"/>
  <c r="Y762" i="10" s="1"/>
  <c r="M686" i="10"/>
  <c r="Y752" i="10" s="1"/>
  <c r="L715" i="10"/>
  <c r="M668" i="10"/>
  <c r="M705" i="10"/>
  <c r="Y771" i="10" s="1"/>
  <c r="M684" i="10"/>
  <c r="Y750" i="10" s="1"/>
  <c r="M713" i="10"/>
  <c r="Y779" i="10" s="1"/>
  <c r="M692" i="10"/>
  <c r="Y758" i="10" s="1"/>
  <c r="K715" i="10" l="1"/>
  <c r="M671" i="10"/>
  <c r="Y737" i="10" s="1"/>
  <c r="Y734" i="10"/>
  <c r="Y815" i="10" s="1"/>
  <c r="M715" i="10"/>
  <c r="F493" i="1" l="1"/>
  <c r="D493" i="1"/>
  <c r="B493" i="1"/>
  <c r="B575" i="1"/>
  <c r="A493" i="1" l="1"/>
  <c r="C115" i="8"/>
  <c r="C444" i="1"/>
  <c r="D367" i="1"/>
  <c r="C119" i="8" s="1"/>
  <c r="D221" i="1"/>
  <c r="B444" i="1" s="1"/>
  <c r="D12" i="6"/>
  <c r="I286" i="9"/>
  <c r="G159" i="9"/>
  <c r="D127" i="9"/>
  <c r="I63" i="9"/>
  <c r="CE47" i="1"/>
  <c r="C101" i="8"/>
  <c r="C100" i="8"/>
  <c r="C91" i="8"/>
  <c r="C93" i="8"/>
  <c r="C95" i="8"/>
  <c r="C97" i="8"/>
  <c r="E20" i="2"/>
  <c r="E19" i="2"/>
  <c r="D550" i="1"/>
  <c r="D546" i="1"/>
  <c r="D545" i="1"/>
  <c r="D544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0" i="1"/>
  <c r="D519" i="1"/>
  <c r="D518" i="1"/>
  <c r="D517" i="1"/>
  <c r="D516" i="1"/>
  <c r="D515" i="1"/>
  <c r="D514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G221" i="9"/>
  <c r="C384" i="9"/>
  <c r="C383" i="9"/>
  <c r="C382" i="9"/>
  <c r="C381" i="9"/>
  <c r="D384" i="9"/>
  <c r="D383" i="9"/>
  <c r="D382" i="9"/>
  <c r="D381" i="9"/>
  <c r="I314" i="9"/>
  <c r="H314" i="9"/>
  <c r="G314" i="9"/>
  <c r="F314" i="9"/>
  <c r="E314" i="9"/>
  <c r="D314" i="9"/>
  <c r="C314" i="9"/>
  <c r="I313" i="9"/>
  <c r="H313" i="9"/>
  <c r="G313" i="9"/>
  <c r="F313" i="9"/>
  <c r="E313" i="9"/>
  <c r="D313" i="9"/>
  <c r="C313" i="9"/>
  <c r="D317" i="9"/>
  <c r="C352" i="9"/>
  <c r="I346" i="9"/>
  <c r="H346" i="9"/>
  <c r="G346" i="9"/>
  <c r="F346" i="9"/>
  <c r="E346" i="9"/>
  <c r="D346" i="9"/>
  <c r="C346" i="9"/>
  <c r="I345" i="9"/>
  <c r="H345" i="9"/>
  <c r="G345" i="9"/>
  <c r="F345" i="9"/>
  <c r="E345" i="9"/>
  <c r="D345" i="9"/>
  <c r="C345" i="9"/>
  <c r="I250" i="9"/>
  <c r="H250" i="9"/>
  <c r="G250" i="9"/>
  <c r="F250" i="9"/>
  <c r="E250" i="9"/>
  <c r="D250" i="9"/>
  <c r="C250" i="9"/>
  <c r="I249" i="9"/>
  <c r="H249" i="9"/>
  <c r="G249" i="9"/>
  <c r="F249" i="9"/>
  <c r="E249" i="9"/>
  <c r="D249" i="9"/>
  <c r="C249" i="9"/>
  <c r="H252" i="9"/>
  <c r="I374" i="9"/>
  <c r="I256" i="9"/>
  <c r="H221" i="9"/>
  <c r="I217" i="9"/>
  <c r="H217" i="9"/>
  <c r="I216" i="9"/>
  <c r="H216" i="9"/>
  <c r="A356" i="9"/>
  <c r="H356" i="9"/>
  <c r="H324" i="9"/>
  <c r="H292" i="9"/>
  <c r="H260" i="9"/>
  <c r="H228" i="9"/>
  <c r="H196" i="9"/>
  <c r="H164" i="9"/>
  <c r="H132" i="9"/>
  <c r="H100" i="9"/>
  <c r="H68" i="9"/>
  <c r="H36" i="9"/>
  <c r="H4" i="9"/>
  <c r="I352" i="9"/>
  <c r="H352" i="9"/>
  <c r="G352" i="9"/>
  <c r="F352" i="9"/>
  <c r="E352" i="9"/>
  <c r="D352" i="9"/>
  <c r="I351" i="9"/>
  <c r="H351" i="9"/>
  <c r="G351" i="9"/>
  <c r="F351" i="9"/>
  <c r="E351" i="9"/>
  <c r="D351" i="9"/>
  <c r="I350" i="9"/>
  <c r="H350" i="9"/>
  <c r="G350" i="9"/>
  <c r="F350" i="9"/>
  <c r="E350" i="9"/>
  <c r="D350" i="9"/>
  <c r="I349" i="9"/>
  <c r="H349" i="9"/>
  <c r="G349" i="9"/>
  <c r="F349" i="9"/>
  <c r="E349" i="9"/>
  <c r="D349" i="9"/>
  <c r="C351" i="9"/>
  <c r="C350" i="9"/>
  <c r="C349" i="9"/>
  <c r="I319" i="9"/>
  <c r="H319" i="9"/>
  <c r="I318" i="9"/>
  <c r="H318" i="9"/>
  <c r="I317" i="9"/>
  <c r="H317" i="9"/>
  <c r="G317" i="9"/>
  <c r="I287" i="9"/>
  <c r="H287" i="9"/>
  <c r="G287" i="9"/>
  <c r="H286" i="9"/>
  <c r="G286" i="9"/>
  <c r="I285" i="9"/>
  <c r="H285" i="9"/>
  <c r="G285" i="9"/>
  <c r="D287" i="9"/>
  <c r="D286" i="9"/>
  <c r="E285" i="9"/>
  <c r="D285" i="9"/>
  <c r="I253" i="9"/>
  <c r="I224" i="9"/>
  <c r="H224" i="9"/>
  <c r="I223" i="9"/>
  <c r="H223" i="9"/>
  <c r="I222" i="9"/>
  <c r="H222" i="9"/>
  <c r="I221" i="9"/>
  <c r="G224" i="9"/>
  <c r="G217" i="9"/>
  <c r="G216" i="9"/>
  <c r="A228" i="9"/>
  <c r="A196" i="9"/>
  <c r="D377" i="9"/>
  <c r="D376" i="9"/>
  <c r="C377" i="9"/>
  <c r="C376" i="9"/>
  <c r="I320" i="9"/>
  <c r="H320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F317" i="9"/>
  <c r="E317" i="9"/>
  <c r="I312" i="9"/>
  <c r="H312" i="9"/>
  <c r="G312" i="9"/>
  <c r="F312" i="9"/>
  <c r="E312" i="9"/>
  <c r="D312" i="9"/>
  <c r="C317" i="9"/>
  <c r="C318" i="9"/>
  <c r="I344" i="9"/>
  <c r="H344" i="9"/>
  <c r="G344" i="9"/>
  <c r="F344" i="9"/>
  <c r="E344" i="9"/>
  <c r="D344" i="9"/>
  <c r="C344" i="9"/>
  <c r="A324" i="9"/>
  <c r="C320" i="9"/>
  <c r="C319" i="9"/>
  <c r="C312" i="9"/>
  <c r="A292" i="9"/>
  <c r="I288" i="9"/>
  <c r="H288" i="9"/>
  <c r="G288" i="9"/>
  <c r="F288" i="9"/>
  <c r="E288" i="9"/>
  <c r="D288" i="9"/>
  <c r="F287" i="9"/>
  <c r="F286" i="9"/>
  <c r="F285" i="9"/>
  <c r="I281" i="9"/>
  <c r="H281" i="9"/>
  <c r="G281" i="9"/>
  <c r="F281" i="9"/>
  <c r="E281" i="9"/>
  <c r="D281" i="9"/>
  <c r="I280" i="9"/>
  <c r="H280" i="9"/>
  <c r="G280" i="9"/>
  <c r="F280" i="9"/>
  <c r="E280" i="9"/>
  <c r="D280" i="9"/>
  <c r="C288" i="9"/>
  <c r="C287" i="9"/>
  <c r="C286" i="9"/>
  <c r="C285" i="9"/>
  <c r="C281" i="9"/>
  <c r="C280" i="9"/>
  <c r="A260" i="9"/>
  <c r="I255" i="9"/>
  <c r="I254" i="9"/>
  <c r="H256" i="9"/>
  <c r="H255" i="9"/>
  <c r="H254" i="9"/>
  <c r="H253" i="9"/>
  <c r="G256" i="9"/>
  <c r="G255" i="9"/>
  <c r="G254" i="9"/>
  <c r="G253" i="9"/>
  <c r="F256" i="9"/>
  <c r="E256" i="9"/>
  <c r="D256" i="9"/>
  <c r="D255" i="9"/>
  <c r="I248" i="9"/>
  <c r="G248" i="9"/>
  <c r="F248" i="9"/>
  <c r="E248" i="9"/>
  <c r="H248" i="9"/>
  <c r="D248" i="9"/>
  <c r="C256" i="9"/>
  <c r="C255" i="9"/>
  <c r="C254" i="9"/>
  <c r="C248" i="9"/>
  <c r="A164" i="9"/>
  <c r="A132" i="9"/>
  <c r="A100" i="9"/>
  <c r="A68" i="9"/>
  <c r="A36" i="9"/>
  <c r="C31" i="9"/>
  <c r="C30" i="9"/>
  <c r="C29" i="9"/>
  <c r="C28" i="9"/>
  <c r="C20" i="9"/>
  <c r="A4" i="9"/>
  <c r="C32" i="9"/>
  <c r="I218" i="9"/>
  <c r="H218" i="9"/>
  <c r="G218" i="9"/>
  <c r="D378" i="9"/>
  <c r="C378" i="9"/>
  <c r="I282" i="9"/>
  <c r="H282" i="9"/>
  <c r="G282" i="9"/>
  <c r="F282" i="9"/>
  <c r="E282" i="9"/>
  <c r="D282" i="9"/>
  <c r="C282" i="9"/>
  <c r="C9" i="9"/>
  <c r="C15" i="9"/>
  <c r="C25" i="9"/>
  <c r="D32" i="9"/>
  <c r="D31" i="9"/>
  <c r="D30" i="9"/>
  <c r="D29" i="9"/>
  <c r="D28" i="9"/>
  <c r="H105" i="9"/>
  <c r="G28" i="9"/>
  <c r="G29" i="9"/>
  <c r="G30" i="9"/>
  <c r="G31" i="9"/>
  <c r="H92" i="9"/>
  <c r="I252" i="9"/>
  <c r="F284" i="9"/>
  <c r="H284" i="9"/>
  <c r="H316" i="9"/>
  <c r="D348" i="9"/>
  <c r="G348" i="9"/>
  <c r="E316" i="9"/>
  <c r="C96" i="9"/>
  <c r="H94" i="9"/>
  <c r="F96" i="9"/>
  <c r="G156" i="9"/>
  <c r="G157" i="9"/>
  <c r="E160" i="9"/>
  <c r="G160" i="9"/>
  <c r="H28" i="9"/>
  <c r="I28" i="9"/>
  <c r="H29" i="9"/>
  <c r="F30" i="9"/>
  <c r="H30" i="9"/>
  <c r="I30" i="9"/>
  <c r="F31" i="9"/>
  <c r="H31" i="9"/>
  <c r="I31" i="9"/>
  <c r="G32" i="9"/>
  <c r="H32" i="9"/>
  <c r="I32" i="9"/>
  <c r="C62" i="9"/>
  <c r="C63" i="9"/>
  <c r="D60" i="9"/>
  <c r="E60" i="9"/>
  <c r="F60" i="9"/>
  <c r="G60" i="9"/>
  <c r="H60" i="9"/>
  <c r="D61" i="9"/>
  <c r="E61" i="9"/>
  <c r="F61" i="9"/>
  <c r="G61" i="9"/>
  <c r="D62" i="9"/>
  <c r="E62" i="9"/>
  <c r="F62" i="9"/>
  <c r="G62" i="9"/>
  <c r="H62" i="9"/>
  <c r="D63" i="9"/>
  <c r="E63" i="9"/>
  <c r="F63" i="9"/>
  <c r="G63" i="9"/>
  <c r="D64" i="9"/>
  <c r="E64" i="9"/>
  <c r="F64" i="9"/>
  <c r="G64" i="9"/>
  <c r="H64" i="9"/>
  <c r="C92" i="9"/>
  <c r="C93" i="9"/>
  <c r="C94" i="9"/>
  <c r="D92" i="9"/>
  <c r="D93" i="9"/>
  <c r="D94" i="9"/>
  <c r="D95" i="9"/>
  <c r="D96" i="9"/>
  <c r="I92" i="9"/>
  <c r="G93" i="9"/>
  <c r="H93" i="9"/>
  <c r="I93" i="9"/>
  <c r="I94" i="9"/>
  <c r="G95" i="9"/>
  <c r="H95" i="9"/>
  <c r="I95" i="9"/>
  <c r="G96" i="9"/>
  <c r="H96" i="9"/>
  <c r="I96" i="9"/>
  <c r="E92" i="9"/>
  <c r="F92" i="9"/>
  <c r="E93" i="9"/>
  <c r="F93" i="9"/>
  <c r="E94" i="9"/>
  <c r="F94" i="9"/>
  <c r="E95" i="9"/>
  <c r="F95" i="9"/>
  <c r="E96" i="9"/>
  <c r="C124" i="9"/>
  <c r="C125" i="9"/>
  <c r="C126" i="9"/>
  <c r="C128" i="9"/>
  <c r="E124" i="9"/>
  <c r="F124" i="9"/>
  <c r="D125" i="9"/>
  <c r="E125" i="9"/>
  <c r="F125" i="9"/>
  <c r="E126" i="9"/>
  <c r="F126" i="9"/>
  <c r="E127" i="9"/>
  <c r="F127" i="9"/>
  <c r="E128" i="9"/>
  <c r="F128" i="9"/>
  <c r="I124" i="9"/>
  <c r="H125" i="9"/>
  <c r="I125" i="9"/>
  <c r="H126" i="9"/>
  <c r="I126" i="9"/>
  <c r="H127" i="9"/>
  <c r="I127" i="9"/>
  <c r="H128" i="9"/>
  <c r="I128" i="9"/>
  <c r="G125" i="9"/>
  <c r="G126" i="9"/>
  <c r="G127" i="9"/>
  <c r="G128" i="9"/>
  <c r="C157" i="9"/>
  <c r="C159" i="9"/>
  <c r="C160" i="9"/>
  <c r="D156" i="9"/>
  <c r="F156" i="9"/>
  <c r="I156" i="9"/>
  <c r="D157" i="9"/>
  <c r="F157" i="9"/>
  <c r="H157" i="9"/>
  <c r="I157" i="9"/>
  <c r="D158" i="9"/>
  <c r="E158" i="9"/>
  <c r="F158" i="9"/>
  <c r="G158" i="9"/>
  <c r="I158" i="9"/>
  <c r="D159" i="9"/>
  <c r="E159" i="9"/>
  <c r="F159" i="9"/>
  <c r="I159" i="9"/>
  <c r="D160" i="9"/>
  <c r="F160" i="9"/>
  <c r="H160" i="9"/>
  <c r="I160" i="9"/>
  <c r="C188" i="9"/>
  <c r="C189" i="9"/>
  <c r="C190" i="9"/>
  <c r="C191" i="9"/>
  <c r="C192" i="9"/>
  <c r="D188" i="9"/>
  <c r="E188" i="9"/>
  <c r="F188" i="9"/>
  <c r="G188" i="9"/>
  <c r="H188" i="9"/>
  <c r="I188" i="9"/>
  <c r="D189" i="9"/>
  <c r="E189" i="9"/>
  <c r="F189" i="9"/>
  <c r="G189" i="9"/>
  <c r="H189" i="9"/>
  <c r="I189" i="9"/>
  <c r="D190" i="9"/>
  <c r="E190" i="9"/>
  <c r="F190" i="9"/>
  <c r="G190" i="9"/>
  <c r="H190" i="9"/>
  <c r="I190" i="9"/>
  <c r="D191" i="9"/>
  <c r="E191" i="9"/>
  <c r="F191" i="9"/>
  <c r="G191" i="9"/>
  <c r="H191" i="9"/>
  <c r="I191" i="9"/>
  <c r="D192" i="9"/>
  <c r="E192" i="9"/>
  <c r="F192" i="9"/>
  <c r="G192" i="9"/>
  <c r="H192" i="9"/>
  <c r="I192" i="9"/>
  <c r="C220" i="9"/>
  <c r="C221" i="9"/>
  <c r="C222" i="9"/>
  <c r="C223" i="9"/>
  <c r="C224" i="9"/>
  <c r="D220" i="9"/>
  <c r="E220" i="9"/>
  <c r="D221" i="9"/>
  <c r="E221" i="9"/>
  <c r="D222" i="9"/>
  <c r="E222" i="9"/>
  <c r="D223" i="9"/>
  <c r="E223" i="9"/>
  <c r="D224" i="9"/>
  <c r="E224" i="9"/>
  <c r="F221" i="9"/>
  <c r="F223" i="9"/>
  <c r="C253" i="9"/>
  <c r="D253" i="9"/>
  <c r="E253" i="9"/>
  <c r="F253" i="9"/>
  <c r="D254" i="9"/>
  <c r="E254" i="9"/>
  <c r="F254" i="9"/>
  <c r="E255" i="9"/>
  <c r="F255" i="9"/>
  <c r="C284" i="9"/>
  <c r="E284" i="9"/>
  <c r="D316" i="9"/>
  <c r="F316" i="9"/>
  <c r="I316" i="9"/>
  <c r="C348" i="9"/>
  <c r="E348" i="9"/>
  <c r="F348" i="9"/>
  <c r="H348" i="9"/>
  <c r="I348" i="9"/>
  <c r="C380" i="9"/>
  <c r="D252" i="9"/>
  <c r="G252" i="9"/>
  <c r="G220" i="9"/>
  <c r="G222" i="9"/>
  <c r="G223" i="9"/>
  <c r="H220" i="9"/>
  <c r="C252" i="9"/>
  <c r="E252" i="9"/>
  <c r="F252" i="9"/>
  <c r="G92" i="9"/>
  <c r="G94" i="9"/>
  <c r="H156" i="9"/>
  <c r="E30" i="9"/>
  <c r="D126" i="9"/>
  <c r="C158" i="9"/>
  <c r="H158" i="9"/>
  <c r="F220" i="9"/>
  <c r="F222" i="9"/>
  <c r="D11" i="9"/>
  <c r="D10" i="9"/>
  <c r="D9" i="9"/>
  <c r="D73" i="9"/>
  <c r="H41" i="9"/>
  <c r="F41" i="9"/>
  <c r="E41" i="9"/>
  <c r="D41" i="9"/>
  <c r="C41" i="9"/>
  <c r="I9" i="9"/>
  <c r="H9" i="9"/>
  <c r="G9" i="9"/>
  <c r="C73" i="9"/>
  <c r="I41" i="9"/>
  <c r="G41" i="9"/>
  <c r="E42" i="9"/>
  <c r="F42" i="9"/>
  <c r="G42" i="9"/>
  <c r="H42" i="9"/>
  <c r="E43" i="9"/>
  <c r="F43" i="9"/>
  <c r="H43" i="9"/>
  <c r="D75" i="9"/>
  <c r="E107" i="9"/>
  <c r="F75" i="9"/>
  <c r="I75" i="9"/>
  <c r="H75" i="9"/>
  <c r="F105" i="9"/>
  <c r="I73" i="9"/>
  <c r="D105" i="9"/>
  <c r="I106" i="9"/>
  <c r="I107" i="9"/>
  <c r="I105" i="9"/>
  <c r="H137" i="9"/>
  <c r="E203" i="9"/>
  <c r="D203" i="9"/>
  <c r="D202" i="9"/>
  <c r="C203" i="9"/>
  <c r="C202" i="9"/>
  <c r="H171" i="9"/>
  <c r="F171" i="9"/>
  <c r="E171" i="9"/>
  <c r="H170" i="9"/>
  <c r="G170" i="9"/>
  <c r="F170" i="9"/>
  <c r="E170" i="9"/>
  <c r="F139" i="9"/>
  <c r="D139" i="9"/>
  <c r="F138" i="9"/>
  <c r="D138" i="9"/>
  <c r="D171" i="9"/>
  <c r="D170" i="9"/>
  <c r="C169" i="9"/>
  <c r="I137" i="9"/>
  <c r="E137" i="9"/>
  <c r="G169" i="9"/>
  <c r="D137" i="9"/>
  <c r="F137" i="9"/>
  <c r="D169" i="9"/>
  <c r="E169" i="9"/>
  <c r="F169" i="9"/>
  <c r="H169" i="9"/>
  <c r="C201" i="9"/>
  <c r="D201" i="9"/>
  <c r="E201" i="9"/>
  <c r="G203" i="9"/>
  <c r="E235" i="9"/>
  <c r="E267" i="9"/>
  <c r="E266" i="9"/>
  <c r="E234" i="9"/>
  <c r="C266" i="9"/>
  <c r="D233" i="9"/>
  <c r="C267" i="9"/>
  <c r="H267" i="9"/>
  <c r="G235" i="9"/>
  <c r="F331" i="9"/>
  <c r="G299" i="9"/>
  <c r="C363" i="9"/>
  <c r="C233" i="9"/>
  <c r="F235" i="9"/>
  <c r="I266" i="9"/>
  <c r="D267" i="9"/>
  <c r="I267" i="9"/>
  <c r="C331" i="9"/>
  <c r="H330" i="9"/>
  <c r="E331" i="9"/>
  <c r="H331" i="9"/>
  <c r="F298" i="9"/>
  <c r="D299" i="9"/>
  <c r="F299" i="9"/>
  <c r="H299" i="9"/>
  <c r="D362" i="9"/>
  <c r="D363" i="9"/>
  <c r="F234" i="9"/>
  <c r="D13" i="9"/>
  <c r="D18" i="9"/>
  <c r="D16" i="9"/>
  <c r="D15" i="9"/>
  <c r="D14" i="9"/>
  <c r="D365" i="9"/>
  <c r="D336" i="9"/>
  <c r="G112" i="9"/>
  <c r="D240" i="9"/>
  <c r="I240" i="9"/>
  <c r="C270" i="9"/>
  <c r="C272" i="9"/>
  <c r="E240" i="9"/>
  <c r="H112" i="9"/>
  <c r="E272" i="9"/>
  <c r="F272" i="9"/>
  <c r="E304" i="9"/>
  <c r="G304" i="9"/>
  <c r="G16" i="9"/>
  <c r="E80" i="9"/>
  <c r="I144" i="9"/>
  <c r="C176" i="9"/>
  <c r="D174" i="9"/>
  <c r="D176" i="9"/>
  <c r="E239" i="9"/>
  <c r="F335" i="9"/>
  <c r="H335" i="9"/>
  <c r="E336" i="9"/>
  <c r="F336" i="9"/>
  <c r="H304" i="9"/>
  <c r="F207" i="9"/>
  <c r="H77" i="9"/>
  <c r="G269" i="9"/>
  <c r="C271" i="9"/>
  <c r="G272" i="9"/>
  <c r="G336" i="9"/>
  <c r="H109" i="9"/>
  <c r="G77" i="9"/>
  <c r="D301" i="9"/>
  <c r="D304" i="9"/>
  <c r="I207" i="9"/>
  <c r="H208" i="9"/>
  <c r="G13" i="9"/>
  <c r="C80" i="9"/>
  <c r="D80" i="9"/>
  <c r="C112" i="9"/>
  <c r="I112" i="9"/>
  <c r="F176" i="9"/>
  <c r="I336" i="9"/>
  <c r="E13" i="9"/>
  <c r="C368" i="9"/>
  <c r="F15" i="9"/>
  <c r="H15" i="9"/>
  <c r="I15" i="9"/>
  <c r="H16" i="9"/>
  <c r="I16" i="9"/>
  <c r="C47" i="9"/>
  <c r="E45" i="9"/>
  <c r="F45" i="9"/>
  <c r="G45" i="9"/>
  <c r="H45" i="9"/>
  <c r="E46" i="9"/>
  <c r="F46" i="9"/>
  <c r="E47" i="9"/>
  <c r="F47" i="9"/>
  <c r="G47" i="9"/>
  <c r="H47" i="9"/>
  <c r="D48" i="9"/>
  <c r="E48" i="9"/>
  <c r="F48" i="9"/>
  <c r="G48" i="9"/>
  <c r="H48" i="9"/>
  <c r="C77" i="9"/>
  <c r="C79" i="9"/>
  <c r="D77" i="9"/>
  <c r="D79" i="9"/>
  <c r="I77" i="9"/>
  <c r="G79" i="9"/>
  <c r="H79" i="9"/>
  <c r="H80" i="9"/>
  <c r="I80" i="9"/>
  <c r="E77" i="9"/>
  <c r="F77" i="9"/>
  <c r="E79" i="9"/>
  <c r="F79" i="9"/>
  <c r="F80" i="9"/>
  <c r="C109" i="9"/>
  <c r="E109" i="9"/>
  <c r="F109" i="9"/>
  <c r="E111" i="9"/>
  <c r="E112" i="9"/>
  <c r="F112" i="9"/>
  <c r="I109" i="9"/>
  <c r="H111" i="9"/>
  <c r="I111" i="9"/>
  <c r="G109" i="9"/>
  <c r="G111" i="9"/>
  <c r="C141" i="9"/>
  <c r="C143" i="9"/>
  <c r="D141" i="9"/>
  <c r="F141" i="9"/>
  <c r="G141" i="9"/>
  <c r="I141" i="9"/>
  <c r="D142" i="9"/>
  <c r="D143" i="9"/>
  <c r="F143" i="9"/>
  <c r="G143" i="9"/>
  <c r="I143" i="9"/>
  <c r="D144" i="9"/>
  <c r="G144" i="9"/>
  <c r="C173" i="9"/>
  <c r="C175" i="9"/>
  <c r="D173" i="9"/>
  <c r="E173" i="9"/>
  <c r="F173" i="9"/>
  <c r="H173" i="9"/>
  <c r="E174" i="9"/>
  <c r="F174" i="9"/>
  <c r="H174" i="9"/>
  <c r="D175" i="9"/>
  <c r="E175" i="9"/>
  <c r="F175" i="9"/>
  <c r="H175" i="9"/>
  <c r="E176" i="9"/>
  <c r="G176" i="9"/>
  <c r="H176" i="9"/>
  <c r="C205" i="9"/>
  <c r="C206" i="9"/>
  <c r="C207" i="9"/>
  <c r="C208" i="9"/>
  <c r="C239" i="9"/>
  <c r="D237" i="9"/>
  <c r="H237" i="9"/>
  <c r="E237" i="9"/>
  <c r="F237" i="9"/>
  <c r="F238" i="9"/>
  <c r="F239" i="9"/>
  <c r="F240" i="9"/>
  <c r="G237" i="9"/>
  <c r="G239" i="9"/>
  <c r="G240" i="9"/>
  <c r="I237" i="9"/>
  <c r="I239" i="9"/>
  <c r="C269" i="9"/>
  <c r="D269" i="9"/>
  <c r="E269" i="9"/>
  <c r="H269" i="9"/>
  <c r="I269" i="9"/>
  <c r="I270" i="9"/>
  <c r="D271" i="9"/>
  <c r="E271" i="9"/>
  <c r="F271" i="9"/>
  <c r="H271" i="9"/>
  <c r="I271" i="9"/>
  <c r="D272" i="9"/>
  <c r="H272" i="9"/>
  <c r="I272" i="9"/>
  <c r="C333" i="9"/>
  <c r="C335" i="9"/>
  <c r="C336" i="9"/>
  <c r="D333" i="9"/>
  <c r="E333" i="9"/>
  <c r="F333" i="9"/>
  <c r="G333" i="9"/>
  <c r="H333" i="9"/>
  <c r="I333" i="9"/>
  <c r="H334" i="9"/>
  <c r="D335" i="9"/>
  <c r="E335" i="9"/>
  <c r="G335" i="9"/>
  <c r="I335" i="9"/>
  <c r="H336" i="9"/>
  <c r="E301" i="9"/>
  <c r="F301" i="9"/>
  <c r="G301" i="9"/>
  <c r="H301" i="9"/>
  <c r="I301" i="9"/>
  <c r="F302" i="9"/>
  <c r="D303" i="9"/>
  <c r="E303" i="9"/>
  <c r="F303" i="9"/>
  <c r="G303" i="9"/>
  <c r="H303" i="9"/>
  <c r="I303" i="9"/>
  <c r="F304" i="9"/>
  <c r="I304" i="9"/>
  <c r="C365" i="9"/>
  <c r="C367" i="9"/>
  <c r="D367" i="9"/>
  <c r="D205" i="9"/>
  <c r="E205" i="9"/>
  <c r="D206" i="9"/>
  <c r="D207" i="9"/>
  <c r="E207" i="9"/>
  <c r="D208" i="9"/>
  <c r="E208" i="9"/>
  <c r="G205" i="9"/>
  <c r="G208" i="9"/>
  <c r="H205" i="9"/>
  <c r="H207" i="9"/>
  <c r="H13" i="9"/>
  <c r="I13" i="9"/>
  <c r="G18" i="9"/>
  <c r="C146" i="9"/>
  <c r="E18" i="9"/>
  <c r="H242" i="9"/>
  <c r="D306" i="9"/>
  <c r="H210" i="9"/>
  <c r="C114" i="9"/>
  <c r="H114" i="9"/>
  <c r="H146" i="9"/>
  <c r="C274" i="9"/>
  <c r="H274" i="9"/>
  <c r="H18" i="9"/>
  <c r="I18" i="9"/>
  <c r="D50" i="9"/>
  <c r="E50" i="9"/>
  <c r="F50" i="9"/>
  <c r="G50" i="9"/>
  <c r="H50" i="9"/>
  <c r="I50" i="9"/>
  <c r="C82" i="9"/>
  <c r="D82" i="9"/>
  <c r="F82" i="9"/>
  <c r="E114" i="9"/>
  <c r="F114" i="9"/>
  <c r="I114" i="9"/>
  <c r="G114" i="9"/>
  <c r="D146" i="9"/>
  <c r="F146" i="9"/>
  <c r="G146" i="9"/>
  <c r="I146" i="9"/>
  <c r="D178" i="9"/>
  <c r="E178" i="9"/>
  <c r="F178" i="9"/>
  <c r="G178" i="9"/>
  <c r="H178" i="9"/>
  <c r="C210" i="9"/>
  <c r="D242" i="9"/>
  <c r="E242" i="9"/>
  <c r="F242" i="9"/>
  <c r="G242" i="9"/>
  <c r="I242" i="9"/>
  <c r="D274" i="9"/>
  <c r="E274" i="9"/>
  <c r="I274" i="9"/>
  <c r="C338" i="9"/>
  <c r="D338" i="9"/>
  <c r="E338" i="9"/>
  <c r="F338" i="9"/>
  <c r="G338" i="9"/>
  <c r="H338" i="9"/>
  <c r="I338" i="9"/>
  <c r="E306" i="9"/>
  <c r="F306" i="9"/>
  <c r="H306" i="9"/>
  <c r="I306" i="9"/>
  <c r="C370" i="9"/>
  <c r="D370" i="9"/>
  <c r="D210" i="9"/>
  <c r="E210" i="9"/>
  <c r="G210" i="9"/>
  <c r="H144" i="9"/>
  <c r="G80" i="9"/>
  <c r="G238" i="9"/>
  <c r="G302" i="9"/>
  <c r="H46" i="9"/>
  <c r="I110" i="9"/>
  <c r="F142" i="9"/>
  <c r="F144" i="9"/>
  <c r="H302" i="9"/>
  <c r="F274" i="9"/>
  <c r="G274" i="9"/>
  <c r="G82" i="9"/>
  <c r="H82" i="9"/>
  <c r="D19" i="9"/>
  <c r="D179" i="9"/>
  <c r="H51" i="9"/>
  <c r="E51" i="9"/>
  <c r="F51" i="9"/>
  <c r="D147" i="9"/>
  <c r="E179" i="9"/>
  <c r="F179" i="9"/>
  <c r="H179" i="9"/>
  <c r="C211" i="9"/>
  <c r="F243" i="9"/>
  <c r="H339" i="9"/>
  <c r="F307" i="9"/>
  <c r="D211" i="9"/>
  <c r="F147" i="9"/>
  <c r="G244" i="9"/>
  <c r="H244" i="9"/>
  <c r="G276" i="9"/>
  <c r="H212" i="9"/>
  <c r="G212" i="9"/>
  <c r="E212" i="9"/>
  <c r="D212" i="9"/>
  <c r="C372" i="9"/>
  <c r="I308" i="9"/>
  <c r="H308" i="9"/>
  <c r="G308" i="9"/>
  <c r="F308" i="9"/>
  <c r="H340" i="9"/>
  <c r="G340" i="9"/>
  <c r="F340" i="9"/>
  <c r="C340" i="9"/>
  <c r="H276" i="9"/>
  <c r="F276" i="9"/>
  <c r="E276" i="9"/>
  <c r="D276" i="9"/>
  <c r="I244" i="9"/>
  <c r="F244" i="9"/>
  <c r="E244" i="9"/>
  <c r="D244" i="9"/>
  <c r="C212" i="9"/>
  <c r="H180" i="9"/>
  <c r="G180" i="9"/>
  <c r="F180" i="9"/>
  <c r="E180" i="9"/>
  <c r="D180" i="9"/>
  <c r="I148" i="9"/>
  <c r="G148" i="9"/>
  <c r="F148" i="9"/>
  <c r="D148" i="9"/>
  <c r="I116" i="9"/>
  <c r="H116" i="9"/>
  <c r="F116" i="9"/>
  <c r="D116" i="9"/>
  <c r="C116" i="9"/>
  <c r="F84" i="9"/>
  <c r="E84" i="9"/>
  <c r="I84" i="9"/>
  <c r="H84" i="9"/>
  <c r="D84" i="9"/>
  <c r="C84" i="9"/>
  <c r="I52" i="9"/>
  <c r="H52" i="9"/>
  <c r="G52" i="9"/>
  <c r="F52" i="9"/>
  <c r="E52" i="9"/>
  <c r="D52" i="9"/>
  <c r="C52" i="9"/>
  <c r="I20" i="9"/>
  <c r="H20" i="9"/>
  <c r="G20" i="9"/>
  <c r="F20" i="9"/>
  <c r="E20" i="9"/>
  <c r="E148" i="9"/>
  <c r="D308" i="9"/>
  <c r="E340" i="9"/>
  <c r="H148" i="9"/>
  <c r="D372" i="9"/>
  <c r="D20" i="9"/>
  <c r="E217" i="9"/>
  <c r="D217" i="9"/>
  <c r="E216" i="9"/>
  <c r="D216" i="9"/>
  <c r="C217" i="9"/>
  <c r="C216" i="9"/>
  <c r="H185" i="9"/>
  <c r="F185" i="9"/>
  <c r="E185" i="9"/>
  <c r="I184" i="9"/>
  <c r="H184" i="9"/>
  <c r="G184" i="9"/>
  <c r="E184" i="9"/>
  <c r="F153" i="9"/>
  <c r="D153" i="9"/>
  <c r="F152" i="9"/>
  <c r="D152" i="9"/>
  <c r="I121" i="9"/>
  <c r="I89" i="9"/>
  <c r="G57" i="9"/>
  <c r="F57" i="9"/>
  <c r="E57" i="9"/>
  <c r="D57" i="9"/>
  <c r="G56" i="9"/>
  <c r="F56" i="9"/>
  <c r="E56" i="9"/>
  <c r="I25" i="9"/>
  <c r="H25" i="9"/>
  <c r="I24" i="9"/>
  <c r="H24" i="9"/>
  <c r="G152" i="9"/>
  <c r="F184" i="9"/>
  <c r="I120" i="9"/>
  <c r="E121" i="9"/>
  <c r="F120" i="9"/>
  <c r="E120" i="9"/>
  <c r="C120" i="9"/>
  <c r="I88" i="9"/>
  <c r="F88" i="9"/>
  <c r="D89" i="9"/>
  <c r="D88" i="9"/>
  <c r="C89" i="9"/>
  <c r="C88" i="9"/>
  <c r="H152" i="9"/>
  <c r="H89" i="9"/>
  <c r="H88" i="9"/>
  <c r="F121" i="9"/>
  <c r="C121" i="9"/>
  <c r="G121" i="9"/>
  <c r="D185" i="9"/>
  <c r="D184" i="9"/>
  <c r="G25" i="9"/>
  <c r="G24" i="9"/>
  <c r="I153" i="9"/>
  <c r="H121" i="9"/>
  <c r="D24" i="9"/>
  <c r="D25" i="9"/>
  <c r="H233" i="9"/>
  <c r="H124" i="9"/>
  <c r="F203" i="9"/>
  <c r="I176" i="9"/>
  <c r="I178" i="9"/>
  <c r="I180" i="9"/>
  <c r="G84" i="9"/>
  <c r="I185" i="9"/>
  <c r="D380" i="9"/>
  <c r="E287" i="9"/>
  <c r="E286" i="9"/>
  <c r="I60" i="9"/>
  <c r="G124" i="9"/>
  <c r="E156" i="9"/>
  <c r="D284" i="9"/>
  <c r="G284" i="9"/>
  <c r="G316" i="9"/>
  <c r="I62" i="9"/>
  <c r="H61" i="9"/>
  <c r="I61" i="9"/>
  <c r="H63" i="9"/>
  <c r="E157" i="9"/>
  <c r="I284" i="9"/>
  <c r="I201" i="9"/>
  <c r="D124" i="9"/>
  <c r="C156" i="9"/>
  <c r="F208" i="9"/>
  <c r="C304" i="9"/>
  <c r="C144" i="9"/>
  <c r="I48" i="9"/>
  <c r="E144" i="9"/>
  <c r="E143" i="9"/>
  <c r="I45" i="9"/>
  <c r="I47" i="9"/>
  <c r="D109" i="9"/>
  <c r="E82" i="9"/>
  <c r="D112" i="9"/>
  <c r="E141" i="9"/>
  <c r="E146" i="9"/>
  <c r="I275" i="9"/>
  <c r="I276" i="9"/>
  <c r="H56" i="9"/>
  <c r="G153" i="9"/>
  <c r="I56" i="9"/>
  <c r="H57" i="9"/>
  <c r="C316" i="9"/>
  <c r="I220" i="9"/>
  <c r="E28" i="9"/>
  <c r="C139" i="9"/>
  <c r="C148" i="9"/>
  <c r="C153" i="9"/>
  <c r="G43" i="9"/>
  <c r="E75" i="9"/>
  <c r="G171" i="9"/>
  <c r="F267" i="9"/>
  <c r="I235" i="9"/>
  <c r="H235" i="9"/>
  <c r="E270" i="9"/>
  <c r="E15" i="9"/>
  <c r="G46" i="9"/>
  <c r="D47" i="9"/>
  <c r="G173" i="9"/>
  <c r="G174" i="9"/>
  <c r="G175" i="9"/>
  <c r="F269" i="9"/>
  <c r="D334" i="9"/>
  <c r="E238" i="9"/>
  <c r="E243" i="9"/>
  <c r="E275" i="9"/>
  <c r="G179" i="9"/>
  <c r="G51" i="9"/>
  <c r="G211" i="9"/>
  <c r="G185" i="9"/>
  <c r="D56" i="9"/>
  <c r="G120" i="9"/>
  <c r="C184" i="9"/>
  <c r="I152" i="9"/>
  <c r="H120" i="9"/>
  <c r="H240" i="9"/>
  <c r="G334" i="9"/>
  <c r="E25" i="9"/>
  <c r="E152" i="9"/>
  <c r="E88" i="9"/>
  <c r="D120" i="9"/>
  <c r="E89" i="9"/>
  <c r="D121" i="9"/>
  <c r="G88" i="9"/>
  <c r="E153" i="9"/>
  <c r="C152" i="9"/>
  <c r="E24" i="9"/>
  <c r="C10" i="9"/>
  <c r="C127" i="9"/>
  <c r="H159" i="9"/>
  <c r="G73" i="9"/>
  <c r="G10" i="9"/>
  <c r="G11" i="9"/>
  <c r="C74" i="9"/>
  <c r="D74" i="9"/>
  <c r="H10" i="9"/>
  <c r="I10" i="9"/>
  <c r="H11" i="9"/>
  <c r="I11" i="9"/>
  <c r="D42" i="9"/>
  <c r="C75" i="9"/>
  <c r="G74" i="9"/>
  <c r="F107" i="9"/>
  <c r="C107" i="9"/>
  <c r="C106" i="9"/>
  <c r="I74" i="9"/>
  <c r="F106" i="9"/>
  <c r="F74" i="9"/>
  <c r="E74" i="9"/>
  <c r="C105" i="9"/>
  <c r="G106" i="9"/>
  <c r="G107" i="9"/>
  <c r="H107" i="9"/>
  <c r="H106" i="9"/>
  <c r="H138" i="9"/>
  <c r="H139" i="9"/>
  <c r="E202" i="9"/>
  <c r="G139" i="9"/>
  <c r="G138" i="9"/>
  <c r="C171" i="9"/>
  <c r="I139" i="9"/>
  <c r="I138" i="9"/>
  <c r="C170" i="9"/>
  <c r="C137" i="9"/>
  <c r="H202" i="9"/>
  <c r="H203" i="9"/>
  <c r="G267" i="9"/>
  <c r="G266" i="9"/>
  <c r="D330" i="9"/>
  <c r="D234" i="9"/>
  <c r="D235" i="9"/>
  <c r="D298" i="9"/>
  <c r="F266" i="9"/>
  <c r="I331" i="9"/>
  <c r="E299" i="9"/>
  <c r="E330" i="9"/>
  <c r="I330" i="9"/>
  <c r="H298" i="9"/>
  <c r="I298" i="9"/>
  <c r="C362" i="9"/>
  <c r="C330" i="9"/>
  <c r="I299" i="9"/>
  <c r="G234" i="9"/>
  <c r="I234" i="9"/>
  <c r="G14" i="9"/>
  <c r="C174" i="9"/>
  <c r="I173" i="9"/>
  <c r="H78" i="9"/>
  <c r="C366" i="9"/>
  <c r="H14" i="9"/>
  <c r="I14" i="9"/>
  <c r="D45" i="9"/>
  <c r="I79" i="9"/>
  <c r="C110" i="9"/>
  <c r="C111" i="9"/>
  <c r="E110" i="9"/>
  <c r="F111" i="9"/>
  <c r="H143" i="9"/>
  <c r="I175" i="9"/>
  <c r="D239" i="9"/>
  <c r="G271" i="9"/>
  <c r="F334" i="9"/>
  <c r="I302" i="9"/>
  <c r="E206" i="9"/>
  <c r="F210" i="9"/>
  <c r="C178" i="9"/>
  <c r="D114" i="9"/>
  <c r="C306" i="9"/>
  <c r="I82" i="9"/>
  <c r="G306" i="9"/>
  <c r="I142" i="9"/>
  <c r="H142" i="9"/>
  <c r="G270" i="9"/>
  <c r="D302" i="9"/>
  <c r="H206" i="9"/>
  <c r="F78" i="9"/>
  <c r="F110" i="9"/>
  <c r="H270" i="9"/>
  <c r="E302" i="9"/>
  <c r="C78" i="9"/>
  <c r="D78" i="9"/>
  <c r="I78" i="9"/>
  <c r="H141" i="9"/>
  <c r="G142" i="9"/>
  <c r="D270" i="9"/>
  <c r="C334" i="9"/>
  <c r="E334" i="9"/>
  <c r="G19" i="9"/>
  <c r="I147" i="9"/>
  <c r="C179" i="9"/>
  <c r="C275" i="9"/>
  <c r="H115" i="9"/>
  <c r="G243" i="9"/>
  <c r="H19" i="9"/>
  <c r="I19" i="9"/>
  <c r="D83" i="9"/>
  <c r="H83" i="9"/>
  <c r="F83" i="9"/>
  <c r="E115" i="9"/>
  <c r="I115" i="9"/>
  <c r="C339" i="9"/>
  <c r="F339" i="9"/>
  <c r="H307" i="9"/>
  <c r="I307" i="9"/>
  <c r="C371" i="9"/>
  <c r="E211" i="9"/>
  <c r="H211" i="9"/>
  <c r="G275" i="9"/>
  <c r="I243" i="9"/>
  <c r="G115" i="9"/>
  <c r="D307" i="9"/>
  <c r="E307" i="9"/>
  <c r="G307" i="9"/>
  <c r="H275" i="9"/>
  <c r="I339" i="9"/>
  <c r="C115" i="9"/>
  <c r="F115" i="9"/>
  <c r="D275" i="9"/>
  <c r="E339" i="9"/>
  <c r="C83" i="9"/>
  <c r="I83" i="9"/>
  <c r="G147" i="9"/>
  <c r="F212" i="9"/>
  <c r="E308" i="9"/>
  <c r="I340" i="9"/>
  <c r="C180" i="9"/>
  <c r="G116" i="9"/>
  <c r="D340" i="9"/>
  <c r="F89" i="9"/>
  <c r="C185" i="9"/>
  <c r="E31" i="9"/>
  <c r="I170" i="9"/>
  <c r="I171" i="9"/>
  <c r="I169" i="9"/>
  <c r="I174" i="9"/>
  <c r="I179" i="9"/>
  <c r="I43" i="9"/>
  <c r="E138" i="9"/>
  <c r="F205" i="9"/>
  <c r="D111" i="9"/>
  <c r="C303" i="9"/>
  <c r="F206" i="9"/>
  <c r="I46" i="9"/>
  <c r="F211" i="9"/>
  <c r="I51" i="9"/>
  <c r="I57" i="9"/>
  <c r="G89" i="9"/>
  <c r="F216" i="9"/>
  <c r="C147" i="9"/>
  <c r="D43" i="9"/>
  <c r="G75" i="9"/>
  <c r="D331" i="9"/>
  <c r="G331" i="9"/>
  <c r="D46" i="9"/>
  <c r="H110" i="9"/>
  <c r="G110" i="9"/>
  <c r="H238" i="9"/>
  <c r="D238" i="9"/>
  <c r="I238" i="9"/>
  <c r="F270" i="9"/>
  <c r="I334" i="9"/>
  <c r="D339" i="9"/>
  <c r="D243" i="9"/>
  <c r="D51" i="9"/>
  <c r="H243" i="9"/>
  <c r="F275" i="9"/>
  <c r="G83" i="9"/>
  <c r="E11" i="9"/>
  <c r="H239" i="9"/>
  <c r="E14" i="9"/>
  <c r="G339" i="9"/>
  <c r="E19" i="9"/>
  <c r="E139" i="9"/>
  <c r="C299" i="9"/>
  <c r="E78" i="9"/>
  <c r="G78" i="9"/>
  <c r="D110" i="9"/>
  <c r="E142" i="9"/>
  <c r="C302" i="9"/>
  <c r="E83" i="9"/>
  <c r="D115" i="9"/>
  <c r="E147" i="9"/>
  <c r="D107" i="9"/>
  <c r="C301" i="9"/>
  <c r="C142" i="9"/>
  <c r="F32" i="9"/>
  <c r="F224" i="9"/>
  <c r="F28" i="9"/>
  <c r="F29" i="9"/>
  <c r="E32" i="9"/>
  <c r="C60" i="9"/>
  <c r="C61" i="9"/>
  <c r="C64" i="9"/>
  <c r="D128" i="9"/>
  <c r="F9" i="9"/>
  <c r="C42" i="9"/>
  <c r="C43" i="9"/>
  <c r="E106" i="9"/>
  <c r="G202" i="9"/>
  <c r="C234" i="9"/>
  <c r="C235" i="9"/>
  <c r="G15" i="9"/>
  <c r="F16" i="9"/>
  <c r="C45" i="9"/>
  <c r="C46" i="9"/>
  <c r="C48" i="9"/>
  <c r="F13" i="9"/>
  <c r="G206" i="9"/>
  <c r="G207" i="9"/>
  <c r="F18" i="9"/>
  <c r="C50" i="9"/>
  <c r="C51" i="9"/>
  <c r="D371" i="9"/>
  <c r="E116" i="9"/>
  <c r="C57" i="9"/>
  <c r="C56" i="9"/>
  <c r="F24" i="9"/>
  <c r="H153" i="9"/>
  <c r="E16" i="9"/>
  <c r="C18" i="9"/>
  <c r="C16" i="9"/>
  <c r="E29" i="9"/>
  <c r="I64" i="9"/>
  <c r="E9" i="9"/>
  <c r="C138" i="9"/>
  <c r="C24" i="9"/>
  <c r="F10" i="9"/>
  <c r="F11" i="9"/>
  <c r="H74" i="9"/>
  <c r="C298" i="9"/>
  <c r="G330" i="9"/>
  <c r="H266" i="9"/>
  <c r="E298" i="9"/>
  <c r="D266" i="9"/>
  <c r="F330" i="9"/>
  <c r="G298" i="9"/>
  <c r="H234" i="9"/>
  <c r="F14" i="9"/>
  <c r="H147" i="9"/>
  <c r="F19" i="9"/>
  <c r="F25" i="9"/>
  <c r="E371" i="9"/>
  <c r="E10" i="9"/>
  <c r="F202" i="9"/>
  <c r="C11" i="9"/>
  <c r="C13" i="9"/>
  <c r="C14" i="9"/>
  <c r="I42" i="9"/>
  <c r="I202" i="9"/>
  <c r="F217" i="9"/>
  <c r="D106" i="9"/>
  <c r="C308" i="9"/>
  <c r="I203" i="9"/>
  <c r="C307" i="9"/>
  <c r="C19" i="9"/>
  <c r="C240" i="9"/>
  <c r="C238" i="9"/>
  <c r="C237" i="9"/>
  <c r="C242" i="9"/>
  <c r="C243" i="9"/>
  <c r="C244" i="9"/>
  <c r="I205" i="9"/>
  <c r="I208" i="9"/>
  <c r="I210" i="9"/>
  <c r="I212" i="9"/>
  <c r="I211" i="9"/>
  <c r="I206" i="9"/>
  <c r="CE60" i="1"/>
  <c r="H612" i="1" s="1"/>
  <c r="CE61" i="1"/>
  <c r="BK48" i="1" s="1"/>
  <c r="BK62" i="1" s="1"/>
  <c r="G268" i="9" s="1"/>
  <c r="CE65" i="1"/>
  <c r="C431" i="1" s="1"/>
  <c r="CE63" i="1"/>
  <c r="I365" i="9" s="1"/>
  <c r="CE66" i="1"/>
  <c r="I368" i="9" s="1"/>
  <c r="CE68" i="1"/>
  <c r="I370" i="9" s="1"/>
  <c r="D75" i="1"/>
  <c r="AR75" i="1"/>
  <c r="I186" i="9" s="1"/>
  <c r="AS75" i="1"/>
  <c r="AT75" i="1"/>
  <c r="D218" i="9" s="1"/>
  <c r="AU75" i="1"/>
  <c r="E218" i="9" s="1"/>
  <c r="AQ75" i="1"/>
  <c r="H186" i="9" s="1"/>
  <c r="AO75" i="1"/>
  <c r="AN75" i="1"/>
  <c r="E186" i="9" s="1"/>
  <c r="AM75" i="1"/>
  <c r="AI75" i="1"/>
  <c r="G154" i="9" s="1"/>
  <c r="AH75" i="1"/>
  <c r="AF75" i="1"/>
  <c r="D154" i="9" s="1"/>
  <c r="AD75" i="1"/>
  <c r="I122" i="9" s="1"/>
  <c r="AA75" i="1"/>
  <c r="F122" i="9" s="1"/>
  <c r="Z75" i="1"/>
  <c r="E122" i="9" s="1"/>
  <c r="X75" i="1"/>
  <c r="C122" i="9" s="1"/>
  <c r="W75" i="1"/>
  <c r="V75" i="1"/>
  <c r="H90" i="9" s="1"/>
  <c r="T75" i="1"/>
  <c r="F90" i="9" s="1"/>
  <c r="R75" i="1"/>
  <c r="Q75" i="1"/>
  <c r="C90" i="9" s="1"/>
  <c r="P75" i="1"/>
  <c r="I58" i="9" s="1"/>
  <c r="O75" i="1"/>
  <c r="N75" i="1"/>
  <c r="G58" i="9" s="1"/>
  <c r="M75" i="1"/>
  <c r="F58" i="9" s="1"/>
  <c r="L75" i="1"/>
  <c r="E58" i="9" s="1"/>
  <c r="I75" i="1"/>
  <c r="H75" i="1"/>
  <c r="H26" i="9" s="1"/>
  <c r="G75" i="1"/>
  <c r="F75" i="1"/>
  <c r="F26" i="9" s="1"/>
  <c r="AV75" i="1"/>
  <c r="AP75" i="1"/>
  <c r="G186" i="9" s="1"/>
  <c r="AJ75" i="1"/>
  <c r="AL75" i="1"/>
  <c r="C186" i="9" s="1"/>
  <c r="AK75" i="1"/>
  <c r="I154" i="9" s="1"/>
  <c r="AG75" i="1"/>
  <c r="E154" i="9" s="1"/>
  <c r="AE75" i="1"/>
  <c r="C154" i="9" s="1"/>
  <c r="AC75" i="1"/>
  <c r="H122" i="9" s="1"/>
  <c r="AB75" i="1"/>
  <c r="Y75" i="1"/>
  <c r="D122" i="9" s="1"/>
  <c r="U75" i="1"/>
  <c r="G90" i="9" s="1"/>
  <c r="S75" i="1"/>
  <c r="E90" i="9" s="1"/>
  <c r="K75" i="1"/>
  <c r="J75" i="1"/>
  <c r="E75" i="1"/>
  <c r="E26" i="9" s="1"/>
  <c r="CE73" i="1"/>
  <c r="CE74" i="1"/>
  <c r="C75" i="1"/>
  <c r="C26" i="9" s="1"/>
  <c r="CE80" i="1"/>
  <c r="CE78" i="1"/>
  <c r="I382" i="9" s="1"/>
  <c r="CE69" i="1"/>
  <c r="D361" i="1"/>
  <c r="D372" i="1"/>
  <c r="C125" i="8" s="1"/>
  <c r="D260" i="1"/>
  <c r="C16" i="8" s="1"/>
  <c r="D265" i="1"/>
  <c r="D275" i="1"/>
  <c r="D277" i="1" s="1"/>
  <c r="C35" i="8" s="1"/>
  <c r="D290" i="1"/>
  <c r="C49" i="8" s="1"/>
  <c r="D314" i="1"/>
  <c r="C68" i="8" s="1"/>
  <c r="D319" i="1"/>
  <c r="C74" i="8" s="1"/>
  <c r="D328" i="1"/>
  <c r="D329" i="1"/>
  <c r="C85" i="8" s="1"/>
  <c r="D236" i="1"/>
  <c r="D240" i="1"/>
  <c r="E209" i="1"/>
  <c r="F24" i="6" s="1"/>
  <c r="E210" i="1"/>
  <c r="F25" i="6" s="1"/>
  <c r="E211" i="1"/>
  <c r="F26" i="6" s="1"/>
  <c r="E212" i="1"/>
  <c r="F27" i="6" s="1"/>
  <c r="E213" i="1"/>
  <c r="F28" i="6" s="1"/>
  <c r="E214" i="1"/>
  <c r="F29" i="6" s="1"/>
  <c r="E215" i="1"/>
  <c r="F30" i="6" s="1"/>
  <c r="E216" i="1"/>
  <c r="D217" i="1"/>
  <c r="E32" i="6" s="1"/>
  <c r="C217" i="1"/>
  <c r="D433" i="1" s="1"/>
  <c r="E196" i="1"/>
  <c r="E197" i="1"/>
  <c r="F9" i="6" s="1"/>
  <c r="E198" i="1"/>
  <c r="E199" i="1"/>
  <c r="E200" i="1"/>
  <c r="E201" i="1"/>
  <c r="E202" i="1"/>
  <c r="C474" i="1" s="1"/>
  <c r="E203" i="1"/>
  <c r="F15" i="6" s="1"/>
  <c r="D204" i="1"/>
  <c r="E16" i="6" s="1"/>
  <c r="B204" i="1"/>
  <c r="C16" i="6" s="1"/>
  <c r="D190" i="1"/>
  <c r="D437" i="1" s="1"/>
  <c r="D186" i="1"/>
  <c r="D436" i="1" s="1"/>
  <c r="D181" i="1"/>
  <c r="D435" i="1" s="1"/>
  <c r="D177" i="1"/>
  <c r="C20" i="5" s="1"/>
  <c r="E154" i="1"/>
  <c r="E153" i="1"/>
  <c r="E28" i="4" s="1"/>
  <c r="E152" i="1"/>
  <c r="E151" i="1"/>
  <c r="C28" i="4" s="1"/>
  <c r="E150" i="1"/>
  <c r="E148" i="1"/>
  <c r="E147" i="1"/>
  <c r="E146" i="1"/>
  <c r="D19" i="4" s="1"/>
  <c r="E145" i="1"/>
  <c r="C19" i="4" s="1"/>
  <c r="E144" i="1"/>
  <c r="B19" i="4" s="1"/>
  <c r="E141" i="1"/>
  <c r="E140" i="1"/>
  <c r="D10" i="4" s="1"/>
  <c r="E139" i="1"/>
  <c r="C415" i="1" s="1"/>
  <c r="E127" i="1"/>
  <c r="CF79" i="1"/>
  <c r="B53" i="1"/>
  <c r="CE51" i="1"/>
  <c r="B49" i="1"/>
  <c r="A412" i="1"/>
  <c r="G493" i="1"/>
  <c r="E493" i="1"/>
  <c r="C493" i="1"/>
  <c r="E550" i="1"/>
  <c r="E546" i="1"/>
  <c r="E545" i="1"/>
  <c r="E544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7" i="1"/>
  <c r="E526" i="1"/>
  <c r="E525" i="1"/>
  <c r="E524" i="1"/>
  <c r="E523" i="1"/>
  <c r="E522" i="1"/>
  <c r="E520" i="1"/>
  <c r="E518" i="1"/>
  <c r="E517" i="1"/>
  <c r="E516" i="1"/>
  <c r="E514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B478" i="1"/>
  <c r="B475" i="1"/>
  <c r="B474" i="1"/>
  <c r="B473" i="1"/>
  <c r="C472" i="1"/>
  <c r="B472" i="1"/>
  <c r="B471" i="1"/>
  <c r="B470" i="1"/>
  <c r="B469" i="1"/>
  <c r="B468" i="1"/>
  <c r="B464" i="1"/>
  <c r="B463" i="1"/>
  <c r="C459" i="1"/>
  <c r="B459" i="1"/>
  <c r="B458" i="1"/>
  <c r="B455" i="1"/>
  <c r="B454" i="1"/>
  <c r="B453" i="1"/>
  <c r="C447" i="1"/>
  <c r="B447" i="1"/>
  <c r="C446" i="1"/>
  <c r="C445" i="1"/>
  <c r="C440" i="1"/>
  <c r="C432" i="1"/>
  <c r="B438" i="1"/>
  <c r="B439" i="1"/>
  <c r="C439" i="1"/>
  <c r="C438" i="1"/>
  <c r="B437" i="1"/>
  <c r="B436" i="1"/>
  <c r="B435" i="1"/>
  <c r="B434" i="1"/>
  <c r="B433" i="1"/>
  <c r="B432" i="1"/>
  <c r="B431" i="1"/>
  <c r="B430" i="1"/>
  <c r="B429" i="1"/>
  <c r="B428" i="1"/>
  <c r="B427" i="1"/>
  <c r="D424" i="1"/>
  <c r="B424" i="1"/>
  <c r="B423" i="1"/>
  <c r="D421" i="1"/>
  <c r="C421" i="1"/>
  <c r="B421" i="1"/>
  <c r="B420" i="1"/>
  <c r="D418" i="1"/>
  <c r="B418" i="1"/>
  <c r="B417" i="1"/>
  <c r="D415" i="1"/>
  <c r="B415" i="1"/>
  <c r="B414" i="1"/>
  <c r="C3" i="8"/>
  <c r="A3" i="8"/>
  <c r="C149" i="8"/>
  <c r="C148" i="8"/>
  <c r="C144" i="8"/>
  <c r="C139" i="8"/>
  <c r="C138" i="8"/>
  <c r="C137" i="8"/>
  <c r="C136" i="8"/>
  <c r="C135" i="8"/>
  <c r="C134" i="8"/>
  <c r="C133" i="8"/>
  <c r="C132" i="8"/>
  <c r="C131" i="8"/>
  <c r="C130" i="8"/>
  <c r="C129" i="8"/>
  <c r="C124" i="8"/>
  <c r="C123" i="8"/>
  <c r="C118" i="8"/>
  <c r="C117" i="8"/>
  <c r="C116" i="8"/>
  <c r="C111" i="8"/>
  <c r="C110" i="8"/>
  <c r="C107" i="8"/>
  <c r="A107" i="8"/>
  <c r="C88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A55" i="8"/>
  <c r="C55" i="8"/>
  <c r="C48" i="8"/>
  <c r="C47" i="8"/>
  <c r="C46" i="8"/>
  <c r="C45" i="8"/>
  <c r="C41" i="8"/>
  <c r="C39" i="8"/>
  <c r="C38" i="8"/>
  <c r="C34" i="8"/>
  <c r="C32" i="8"/>
  <c r="C31" i="8"/>
  <c r="C30" i="8"/>
  <c r="C29" i="8"/>
  <c r="C28" i="8"/>
  <c r="C27" i="8"/>
  <c r="C26" i="8"/>
  <c r="C25" i="8"/>
  <c r="C22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G31" i="3"/>
  <c r="B4" i="3"/>
  <c r="G37" i="3"/>
  <c r="G36" i="3"/>
  <c r="G34" i="3"/>
  <c r="G33" i="3"/>
  <c r="G32" i="3"/>
  <c r="G30" i="3"/>
  <c r="D40" i="3"/>
  <c r="D36" i="3"/>
  <c r="D35" i="3"/>
  <c r="D34" i="3"/>
  <c r="D33" i="3"/>
  <c r="D32" i="3"/>
  <c r="D31" i="3"/>
  <c r="D30" i="3"/>
  <c r="G26" i="3"/>
  <c r="G25" i="3"/>
  <c r="G24" i="3"/>
  <c r="G23" i="3"/>
  <c r="F26" i="3"/>
  <c r="F25" i="3"/>
  <c r="F24" i="3"/>
  <c r="F23" i="3"/>
  <c r="E18" i="3"/>
  <c r="E17" i="3"/>
  <c r="E16" i="3"/>
  <c r="C17" i="3"/>
  <c r="C16" i="3"/>
  <c r="A19" i="3"/>
  <c r="A17" i="3"/>
  <c r="A16" i="3"/>
  <c r="D11" i="3"/>
  <c r="D10" i="3"/>
  <c r="D9" i="3"/>
  <c r="D8" i="3"/>
  <c r="D7" i="3"/>
  <c r="D6" i="3"/>
  <c r="D5" i="3"/>
  <c r="F4" i="3"/>
  <c r="G3" i="4"/>
  <c r="C33" i="4"/>
  <c r="C32" i="4"/>
  <c r="G27" i="4"/>
  <c r="G26" i="4"/>
  <c r="G25" i="4"/>
  <c r="F27" i="4"/>
  <c r="F26" i="4"/>
  <c r="F25" i="4"/>
  <c r="E27" i="4"/>
  <c r="E26" i="4"/>
  <c r="E25" i="4"/>
  <c r="D28" i="4"/>
  <c r="D27" i="4"/>
  <c r="D26" i="4"/>
  <c r="D25" i="4"/>
  <c r="C27" i="4"/>
  <c r="C26" i="4"/>
  <c r="C25" i="4"/>
  <c r="B27" i="4"/>
  <c r="B26" i="4"/>
  <c r="B25" i="4"/>
  <c r="G19" i="4"/>
  <c r="G18" i="4"/>
  <c r="G17" i="4"/>
  <c r="G16" i="4"/>
  <c r="F19" i="4"/>
  <c r="F18" i="4"/>
  <c r="F17" i="4"/>
  <c r="F16" i="4"/>
  <c r="E19" i="4"/>
  <c r="E18" i="4"/>
  <c r="E17" i="4"/>
  <c r="E16" i="4"/>
  <c r="D18" i="4"/>
  <c r="D17" i="4"/>
  <c r="D16" i="4"/>
  <c r="C18" i="4"/>
  <c r="C17" i="4"/>
  <c r="C16" i="4"/>
  <c r="B18" i="4"/>
  <c r="B17" i="4"/>
  <c r="B16" i="4"/>
  <c r="A2" i="4"/>
  <c r="G8" i="4"/>
  <c r="G7" i="4"/>
  <c r="F8" i="4"/>
  <c r="F7" i="4"/>
  <c r="E10" i="4"/>
  <c r="E9" i="4"/>
  <c r="E8" i="4"/>
  <c r="E7" i="4"/>
  <c r="D9" i="4"/>
  <c r="D8" i="4"/>
  <c r="D7" i="4"/>
  <c r="C9" i="4"/>
  <c r="C8" i="4"/>
  <c r="C7" i="4"/>
  <c r="B9" i="4"/>
  <c r="B8" i="4"/>
  <c r="B7" i="4"/>
  <c r="C3" i="5"/>
  <c r="A3" i="5"/>
  <c r="C39" i="5"/>
  <c r="C38" i="5"/>
  <c r="C33" i="5"/>
  <c r="C32" i="5"/>
  <c r="C31" i="5"/>
  <c r="C27" i="5"/>
  <c r="C26" i="5"/>
  <c r="C25" i="5"/>
  <c r="C19" i="5"/>
  <c r="C18" i="5"/>
  <c r="C13" i="5"/>
  <c r="C12" i="5"/>
  <c r="C11" i="5"/>
  <c r="C10" i="5"/>
  <c r="C8" i="5"/>
  <c r="C7" i="5"/>
  <c r="C6" i="5"/>
  <c r="F31" i="6"/>
  <c r="E31" i="6"/>
  <c r="D31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15" i="6"/>
  <c r="D15" i="6"/>
  <c r="E14" i="6"/>
  <c r="D14" i="6"/>
  <c r="F13" i="6"/>
  <c r="E13" i="6"/>
  <c r="D13" i="6"/>
  <c r="E12" i="6"/>
  <c r="F11" i="6"/>
  <c r="E11" i="6"/>
  <c r="D11" i="6"/>
  <c r="E10" i="6"/>
  <c r="D10" i="6"/>
  <c r="E9" i="6"/>
  <c r="D9" i="6"/>
  <c r="E8" i="6"/>
  <c r="D8" i="6"/>
  <c r="E7" i="6"/>
  <c r="D7" i="6"/>
  <c r="C31" i="6"/>
  <c r="C30" i="6"/>
  <c r="C29" i="6"/>
  <c r="C27" i="6"/>
  <c r="C26" i="6"/>
  <c r="C25" i="6"/>
  <c r="C24" i="6"/>
  <c r="C15" i="6"/>
  <c r="C14" i="6"/>
  <c r="C13" i="6"/>
  <c r="C12" i="6"/>
  <c r="C11" i="6"/>
  <c r="C10" i="6"/>
  <c r="C9" i="6"/>
  <c r="C8" i="6"/>
  <c r="C7" i="6"/>
  <c r="F3" i="6"/>
  <c r="A3" i="6"/>
  <c r="D16" i="7"/>
  <c r="D2" i="7"/>
  <c r="A2" i="7"/>
  <c r="D26" i="7"/>
  <c r="D24" i="7"/>
  <c r="D19" i="7"/>
  <c r="D18" i="7"/>
  <c r="D12" i="7"/>
  <c r="D10" i="7"/>
  <c r="D9" i="7"/>
  <c r="D8" i="7"/>
  <c r="D7" i="7"/>
  <c r="B28" i="2"/>
  <c r="E21" i="2"/>
  <c r="E18" i="2"/>
  <c r="E17" i="2"/>
  <c r="C469" i="1"/>
  <c r="F8" i="6"/>
  <c r="I377" i="9"/>
  <c r="C464" i="1"/>
  <c r="G122" i="9"/>
  <c r="I26" i="9"/>
  <c r="H58" i="9"/>
  <c r="D366" i="9"/>
  <c r="CE64" i="1"/>
  <c r="F612" i="1" s="1"/>
  <c r="D368" i="9"/>
  <c r="C276" i="9"/>
  <c r="CE70" i="1"/>
  <c r="C458" i="1" s="1"/>
  <c r="CE76" i="1"/>
  <c r="CE77" i="1"/>
  <c r="I29" i="9"/>
  <c r="C95" i="9"/>
  <c r="CE79" i="1"/>
  <c r="J612" i="1" s="1"/>
  <c r="E142" i="1"/>
  <c r="F10" i="4" s="1"/>
  <c r="G9" i="4"/>
  <c r="F9" i="4"/>
  <c r="E138" i="1"/>
  <c r="C414" i="1" s="1"/>
  <c r="C204" i="1"/>
  <c r="D16" i="6" s="1"/>
  <c r="E195" i="1"/>
  <c r="C28" i="6"/>
  <c r="B217" i="1"/>
  <c r="C32" i="6" s="1"/>
  <c r="C140" i="8"/>
  <c r="D390" i="1"/>
  <c r="B441" i="1" s="1"/>
  <c r="D283" i="1"/>
  <c r="C42" i="8" s="1"/>
  <c r="C40" i="8"/>
  <c r="E515" i="1"/>
  <c r="H73" i="9"/>
  <c r="E105" i="9"/>
  <c r="E519" i="1"/>
  <c r="E528" i="1"/>
  <c r="G137" i="9"/>
  <c r="C9" i="5"/>
  <c r="D173" i="1"/>
  <c r="AM48" i="1"/>
  <c r="AM62" i="1" s="1"/>
  <c r="CD71" i="1"/>
  <c r="E373" i="9" s="1"/>
  <c r="C615" i="1"/>
  <c r="E372" i="9"/>
  <c r="BN48" i="1"/>
  <c r="BN62" i="1" s="1"/>
  <c r="AH48" i="1"/>
  <c r="AH62" i="1" s="1"/>
  <c r="I371" i="9" l="1"/>
  <c r="D5" i="7"/>
  <c r="C448" i="1"/>
  <c r="C470" i="1"/>
  <c r="C475" i="1"/>
  <c r="C34" i="5"/>
  <c r="D368" i="1"/>
  <c r="C120" i="8" s="1"/>
  <c r="G28" i="4"/>
  <c r="C417" i="1"/>
  <c r="D463" i="1"/>
  <c r="C10" i="4"/>
  <c r="D330" i="1"/>
  <c r="C86" i="8" s="1"/>
  <c r="G10" i="4"/>
  <c r="F28" i="4"/>
  <c r="C112" i="8"/>
  <c r="B465" i="1"/>
  <c r="CC48" i="1"/>
  <c r="CC62" i="1" s="1"/>
  <c r="AX48" i="1"/>
  <c r="AX62" i="1" s="1"/>
  <c r="BM48" i="1"/>
  <c r="BM62" i="1" s="1"/>
  <c r="I268" i="9" s="1"/>
  <c r="G48" i="1"/>
  <c r="G62" i="1" s="1"/>
  <c r="G12" i="9" s="1"/>
  <c r="D48" i="1"/>
  <c r="D62" i="1" s="1"/>
  <c r="F48" i="1"/>
  <c r="F62" i="1" s="1"/>
  <c r="F12" i="9" s="1"/>
  <c r="S48" i="1"/>
  <c r="S62" i="1" s="1"/>
  <c r="B10" i="4"/>
  <c r="C473" i="1"/>
  <c r="AP48" i="1"/>
  <c r="AP62" i="1" s="1"/>
  <c r="G172" i="9" s="1"/>
  <c r="BV48" i="1"/>
  <c r="BV62" i="1" s="1"/>
  <c r="D332" i="9" s="1"/>
  <c r="AG48" i="1"/>
  <c r="AG62" i="1" s="1"/>
  <c r="E140" i="9" s="1"/>
  <c r="T48" i="1"/>
  <c r="T62" i="1" s="1"/>
  <c r="F76" i="9" s="1"/>
  <c r="V48" i="1"/>
  <c r="V62" i="1" s="1"/>
  <c r="H76" i="9" s="1"/>
  <c r="BF48" i="1"/>
  <c r="BF62" i="1" s="1"/>
  <c r="AY48" i="1"/>
  <c r="AY62" i="1" s="1"/>
  <c r="AK48" i="1"/>
  <c r="AK62" i="1" s="1"/>
  <c r="M48" i="1"/>
  <c r="M62" i="1" s="1"/>
  <c r="D32" i="6"/>
  <c r="I612" i="1"/>
  <c r="I380" i="9"/>
  <c r="CF76" i="1"/>
  <c r="C52" i="1" s="1"/>
  <c r="D612" i="1"/>
  <c r="I381" i="9"/>
  <c r="C429" i="1"/>
  <c r="N48" i="1"/>
  <c r="N62" i="1" s="1"/>
  <c r="G44" i="9" s="1"/>
  <c r="AD48" i="1"/>
  <c r="AD62" i="1" s="1"/>
  <c r="I108" i="9" s="1"/>
  <c r="AL48" i="1"/>
  <c r="AL62" i="1" s="1"/>
  <c r="C172" i="9" s="1"/>
  <c r="AT48" i="1"/>
  <c r="AT62" i="1" s="1"/>
  <c r="BB48" i="1"/>
  <c r="BB62" i="1" s="1"/>
  <c r="BJ48" i="1"/>
  <c r="BJ62" i="1" s="1"/>
  <c r="BR48" i="1"/>
  <c r="BR62" i="1" s="1"/>
  <c r="BY48" i="1"/>
  <c r="BY62" i="1" s="1"/>
  <c r="CB48" i="1"/>
  <c r="CB62" i="1" s="1"/>
  <c r="C364" i="9" s="1"/>
  <c r="AI48" i="1"/>
  <c r="AI62" i="1" s="1"/>
  <c r="BO48" i="1"/>
  <c r="BO62" i="1" s="1"/>
  <c r="D300" i="9" s="1"/>
  <c r="Q48" i="1"/>
  <c r="Q62" i="1" s="1"/>
  <c r="AW48" i="1"/>
  <c r="AW62" i="1" s="1"/>
  <c r="E48" i="1"/>
  <c r="E62" i="1" s="1"/>
  <c r="BQ48" i="1"/>
  <c r="BQ62" i="1" s="1"/>
  <c r="F300" i="9" s="1"/>
  <c r="C427" i="1"/>
  <c r="BC48" i="1"/>
  <c r="BC62" i="1" s="1"/>
  <c r="F236" i="9" s="1"/>
  <c r="AU48" i="1"/>
  <c r="AU62" i="1" s="1"/>
  <c r="L48" i="1"/>
  <c r="L62" i="1" s="1"/>
  <c r="E44" i="9" s="1"/>
  <c r="AB48" i="1"/>
  <c r="AB62" i="1" s="1"/>
  <c r="AS48" i="1"/>
  <c r="AS62" i="1" s="1"/>
  <c r="R48" i="1"/>
  <c r="R62" i="1" s="1"/>
  <c r="AF48" i="1"/>
  <c r="AF62" i="1" s="1"/>
  <c r="AN48" i="1"/>
  <c r="AN62" i="1" s="1"/>
  <c r="AV48" i="1"/>
  <c r="AV62" i="1" s="1"/>
  <c r="BD48" i="1"/>
  <c r="BD62" i="1" s="1"/>
  <c r="BL48" i="1"/>
  <c r="BL62" i="1" s="1"/>
  <c r="BT48" i="1"/>
  <c r="BT62" i="1" s="1"/>
  <c r="CA48" i="1"/>
  <c r="CA62" i="1" s="1"/>
  <c r="C48" i="1"/>
  <c r="C62" i="1" s="1"/>
  <c r="C12" i="9" s="1"/>
  <c r="K48" i="1"/>
  <c r="K62" i="1" s="1"/>
  <c r="AQ48" i="1"/>
  <c r="AQ62" i="1" s="1"/>
  <c r="BW48" i="1"/>
  <c r="BW62" i="1" s="1"/>
  <c r="E332" i="9" s="1"/>
  <c r="Y48" i="1"/>
  <c r="Y62" i="1" s="1"/>
  <c r="BE48" i="1"/>
  <c r="BE62" i="1" s="1"/>
  <c r="U48" i="1"/>
  <c r="U62" i="1" s="1"/>
  <c r="G76" i="9" s="1"/>
  <c r="BI48" i="1"/>
  <c r="BI62" i="1" s="1"/>
  <c r="E268" i="9" s="1"/>
  <c r="AE48" i="1"/>
  <c r="AE62" i="1" s="1"/>
  <c r="AC48" i="1"/>
  <c r="AC62" i="1" s="1"/>
  <c r="H108" i="9" s="1"/>
  <c r="P48" i="1"/>
  <c r="P62" i="1" s="1"/>
  <c r="I363" i="9"/>
  <c r="W48" i="1"/>
  <c r="W62" i="1" s="1"/>
  <c r="J48" i="1"/>
  <c r="J62" i="1" s="1"/>
  <c r="Z48" i="1"/>
  <c r="Z62" i="1" s="1"/>
  <c r="E108" i="9" s="1"/>
  <c r="AJ48" i="1"/>
  <c r="AJ62" i="1" s="1"/>
  <c r="AR48" i="1"/>
  <c r="AR62" i="1" s="1"/>
  <c r="I172" i="9" s="1"/>
  <c r="AZ48" i="1"/>
  <c r="AZ62" i="1" s="1"/>
  <c r="BH48" i="1"/>
  <c r="BH62" i="1" s="1"/>
  <c r="BP48" i="1"/>
  <c r="BP62" i="1" s="1"/>
  <c r="BX48" i="1"/>
  <c r="BX62" i="1" s="1"/>
  <c r="AA48" i="1"/>
  <c r="AA62" i="1" s="1"/>
  <c r="F108" i="9" s="1"/>
  <c r="BG48" i="1"/>
  <c r="BG62" i="1" s="1"/>
  <c r="C268" i="9" s="1"/>
  <c r="I48" i="1"/>
  <c r="I62" i="1" s="1"/>
  <c r="I12" i="9" s="1"/>
  <c r="AO48" i="1"/>
  <c r="AO62" i="1" s="1"/>
  <c r="BU48" i="1"/>
  <c r="BU62" i="1" s="1"/>
  <c r="C332" i="9" s="1"/>
  <c r="BA48" i="1"/>
  <c r="BA62" i="1" s="1"/>
  <c r="O48" i="1"/>
  <c r="O62" i="1" s="1"/>
  <c r="BS48" i="1"/>
  <c r="BS62" i="1" s="1"/>
  <c r="BZ48" i="1"/>
  <c r="BZ62" i="1" s="1"/>
  <c r="H332" i="9" s="1"/>
  <c r="H48" i="1"/>
  <c r="H62" i="1" s="1"/>
  <c r="X48" i="1"/>
  <c r="X62" i="1" s="1"/>
  <c r="C434" i="1"/>
  <c r="CF77" i="1"/>
  <c r="G612" i="1"/>
  <c r="C575" i="1"/>
  <c r="I372" i="9"/>
  <c r="C430" i="1"/>
  <c r="I366" i="9"/>
  <c r="D172" i="9"/>
  <c r="F154" i="9"/>
  <c r="C218" i="9"/>
  <c r="I90" i="9"/>
  <c r="D186" i="9"/>
  <c r="I362" i="9"/>
  <c r="C14" i="5"/>
  <c r="B440" i="1"/>
  <c r="F12" i="6"/>
  <c r="D428" i="1"/>
  <c r="C141" i="8"/>
  <c r="B476" i="1"/>
  <c r="C33" i="8"/>
  <c r="F140" i="9"/>
  <c r="D12" i="9"/>
  <c r="C300" i="9"/>
  <c r="B446" i="1"/>
  <c r="C418" i="1"/>
  <c r="D438" i="1"/>
  <c r="F14" i="6"/>
  <c r="C471" i="1"/>
  <c r="F10" i="6"/>
  <c r="D26" i="9"/>
  <c r="CE75" i="1"/>
  <c r="F7" i="6"/>
  <c r="E204" i="1"/>
  <c r="C468" i="1"/>
  <c r="I383" i="9"/>
  <c r="D22" i="7"/>
  <c r="C40" i="5"/>
  <c r="C420" i="1"/>
  <c r="B28" i="4"/>
  <c r="F186" i="9"/>
  <c r="I376" i="9"/>
  <c r="C463" i="1"/>
  <c r="D58" i="9"/>
  <c r="G26" i="9"/>
  <c r="E217" i="1"/>
  <c r="I384" i="9"/>
  <c r="L612" i="1"/>
  <c r="F218" i="9"/>
  <c r="D90" i="9"/>
  <c r="D364" i="9"/>
  <c r="D464" i="1"/>
  <c r="D465" i="1" s="1"/>
  <c r="H154" i="9"/>
  <c r="I367" i="9"/>
  <c r="D373" i="1"/>
  <c r="D434" i="1"/>
  <c r="D292" i="1"/>
  <c r="C58" i="9"/>
  <c r="D339" i="1" l="1"/>
  <c r="C102" i="8" s="1"/>
  <c r="H204" i="9"/>
  <c r="G204" i="9"/>
  <c r="F44" i="9"/>
  <c r="I204" i="9"/>
  <c r="G332" i="9"/>
  <c r="BE52" i="1"/>
  <c r="BE67" i="1" s="1"/>
  <c r="E76" i="9"/>
  <c r="I236" i="9"/>
  <c r="I140" i="9"/>
  <c r="H172" i="9"/>
  <c r="E236" i="9"/>
  <c r="AM52" i="1"/>
  <c r="AM67" i="1" s="1"/>
  <c r="AM71" i="1" s="1"/>
  <c r="C532" i="1" s="1"/>
  <c r="G532" i="1" s="1"/>
  <c r="AK52" i="1"/>
  <c r="AK67" i="1" s="1"/>
  <c r="AK71" i="1" s="1"/>
  <c r="C530" i="1" s="1"/>
  <c r="G530" i="1" s="1"/>
  <c r="AW52" i="1"/>
  <c r="AW67" i="1" s="1"/>
  <c r="AW71" i="1" s="1"/>
  <c r="C631" i="1" s="1"/>
  <c r="BL52" i="1"/>
  <c r="BL67" i="1" s="1"/>
  <c r="BY52" i="1"/>
  <c r="BY67" i="1" s="1"/>
  <c r="G337" i="9" s="1"/>
  <c r="BB52" i="1"/>
  <c r="BB67" i="1" s="1"/>
  <c r="E241" i="9" s="1"/>
  <c r="X52" i="1"/>
  <c r="X67" i="1" s="1"/>
  <c r="X71" i="1" s="1"/>
  <c r="C67" i="1"/>
  <c r="AA52" i="1"/>
  <c r="AA67" i="1" s="1"/>
  <c r="CB52" i="1"/>
  <c r="CB67" i="1" s="1"/>
  <c r="CB71" i="1" s="1"/>
  <c r="C622" i="1" s="1"/>
  <c r="BD52" i="1"/>
  <c r="BD67" i="1" s="1"/>
  <c r="BD71" i="1" s="1"/>
  <c r="G245" i="9" s="1"/>
  <c r="Z52" i="1"/>
  <c r="Z67" i="1" s="1"/>
  <c r="Z71" i="1" s="1"/>
  <c r="AR52" i="1"/>
  <c r="AR67" i="1" s="1"/>
  <c r="AR71" i="1" s="1"/>
  <c r="BU52" i="1"/>
  <c r="BU67" i="1" s="1"/>
  <c r="BU71" i="1" s="1"/>
  <c r="C641" i="1" s="1"/>
  <c r="AI52" i="1"/>
  <c r="AI67" i="1" s="1"/>
  <c r="AI71" i="1" s="1"/>
  <c r="AG52" i="1"/>
  <c r="AG67" i="1" s="1"/>
  <c r="Y52" i="1"/>
  <c r="Y67" i="1" s="1"/>
  <c r="Y71" i="1" s="1"/>
  <c r="BO52" i="1"/>
  <c r="BO67" i="1" s="1"/>
  <c r="D305" i="9" s="1"/>
  <c r="G52" i="1"/>
  <c r="G67" i="1" s="1"/>
  <c r="G71" i="1" s="1"/>
  <c r="G21" i="9" s="1"/>
  <c r="BN52" i="1"/>
  <c r="BN67" i="1" s="1"/>
  <c r="BN71" i="1" s="1"/>
  <c r="C619" i="1" s="1"/>
  <c r="BQ52" i="1"/>
  <c r="BQ67" i="1" s="1"/>
  <c r="AX52" i="1"/>
  <c r="AX67" i="1" s="1"/>
  <c r="AX71" i="1" s="1"/>
  <c r="C543" i="1" s="1"/>
  <c r="BV52" i="1"/>
  <c r="BV67" i="1" s="1"/>
  <c r="BV71" i="1" s="1"/>
  <c r="D341" i="9" s="1"/>
  <c r="T52" i="1"/>
  <c r="T67" i="1" s="1"/>
  <c r="T71" i="1" s="1"/>
  <c r="C685" i="1" s="1"/>
  <c r="AY52" i="1"/>
  <c r="AY67" i="1" s="1"/>
  <c r="AY71" i="1" s="1"/>
  <c r="I213" i="9" s="1"/>
  <c r="BF52" i="1"/>
  <c r="BF67" i="1" s="1"/>
  <c r="BF71" i="1" s="1"/>
  <c r="I245" i="9" s="1"/>
  <c r="AB52" i="1"/>
  <c r="AB67" i="1" s="1"/>
  <c r="AB71" i="1" s="1"/>
  <c r="C521" i="1" s="1"/>
  <c r="G521" i="1" s="1"/>
  <c r="R52" i="1"/>
  <c r="R67" i="1" s="1"/>
  <c r="P52" i="1"/>
  <c r="P67" i="1" s="1"/>
  <c r="BG52" i="1"/>
  <c r="BG67" i="1" s="1"/>
  <c r="BG71" i="1" s="1"/>
  <c r="H52" i="1"/>
  <c r="H67" i="1" s="1"/>
  <c r="H71" i="1" s="1"/>
  <c r="H21" i="9" s="1"/>
  <c r="CC52" i="1"/>
  <c r="CC67" i="1" s="1"/>
  <c r="CC71" i="1" s="1"/>
  <c r="AZ52" i="1"/>
  <c r="AZ67" i="1" s="1"/>
  <c r="AF52" i="1"/>
  <c r="AF67" i="1" s="1"/>
  <c r="AF71" i="1" s="1"/>
  <c r="D149" i="9" s="1"/>
  <c r="N52" i="1"/>
  <c r="N67" i="1" s="1"/>
  <c r="BW52" i="1"/>
  <c r="BW67" i="1" s="1"/>
  <c r="BW71" i="1" s="1"/>
  <c r="E341" i="9" s="1"/>
  <c r="O52" i="1"/>
  <c r="O67" i="1" s="1"/>
  <c r="O71" i="1" s="1"/>
  <c r="H53" i="9" s="1"/>
  <c r="BX52" i="1"/>
  <c r="BX67" i="1" s="1"/>
  <c r="BX71" i="1" s="1"/>
  <c r="AH52" i="1"/>
  <c r="AH67" i="1" s="1"/>
  <c r="AE52" i="1"/>
  <c r="AE67" i="1" s="1"/>
  <c r="AE71" i="1" s="1"/>
  <c r="C524" i="1" s="1"/>
  <c r="G524" i="1" s="1"/>
  <c r="BR52" i="1"/>
  <c r="BR67" i="1" s="1"/>
  <c r="BR71" i="1" s="1"/>
  <c r="M52" i="1"/>
  <c r="M67" i="1" s="1"/>
  <c r="M71" i="1" s="1"/>
  <c r="F53" i="9" s="1"/>
  <c r="F52" i="1"/>
  <c r="F67" i="1" s="1"/>
  <c r="F71" i="1" s="1"/>
  <c r="F21" i="9" s="1"/>
  <c r="K52" i="1"/>
  <c r="K67" i="1" s="1"/>
  <c r="K71" i="1" s="1"/>
  <c r="D53" i="9" s="1"/>
  <c r="D52" i="1"/>
  <c r="D67" i="1" s="1"/>
  <c r="D71" i="1" s="1"/>
  <c r="C497" i="1" s="1"/>
  <c r="G497" i="1" s="1"/>
  <c r="BM52" i="1"/>
  <c r="BM67" i="1" s="1"/>
  <c r="BM71" i="1" s="1"/>
  <c r="C638" i="1" s="1"/>
  <c r="BZ52" i="1"/>
  <c r="BZ67" i="1" s="1"/>
  <c r="H337" i="9" s="1"/>
  <c r="AT52" i="1"/>
  <c r="AT67" i="1" s="1"/>
  <c r="D209" i="9" s="1"/>
  <c r="BT52" i="1"/>
  <c r="BT67" i="1" s="1"/>
  <c r="BT71" i="1" s="1"/>
  <c r="AJ52" i="1"/>
  <c r="AJ67" i="1" s="1"/>
  <c r="H145" i="9" s="1"/>
  <c r="AU52" i="1"/>
  <c r="AU67" i="1" s="1"/>
  <c r="E209" i="9" s="1"/>
  <c r="I52" i="1"/>
  <c r="I67" i="1" s="1"/>
  <c r="I71" i="1" s="1"/>
  <c r="BA52" i="1"/>
  <c r="BA67" i="1" s="1"/>
  <c r="BC52" i="1"/>
  <c r="BC67" i="1" s="1"/>
  <c r="BC71" i="1" s="1"/>
  <c r="F245" i="9" s="1"/>
  <c r="S52" i="1"/>
  <c r="S67" i="1" s="1"/>
  <c r="AS52" i="1"/>
  <c r="AS67" i="1" s="1"/>
  <c r="AS71" i="1" s="1"/>
  <c r="BS52" i="1"/>
  <c r="BS67" i="1" s="1"/>
  <c r="BS71" i="1" s="1"/>
  <c r="C639" i="1" s="1"/>
  <c r="AO52" i="1"/>
  <c r="AO67" i="1" s="1"/>
  <c r="CA52" i="1"/>
  <c r="CA67" i="1" s="1"/>
  <c r="CA71" i="1" s="1"/>
  <c r="I341" i="9" s="1"/>
  <c r="BJ52" i="1"/>
  <c r="BJ67" i="1" s="1"/>
  <c r="BJ71" i="1" s="1"/>
  <c r="C617" i="1" s="1"/>
  <c r="BK52" i="1"/>
  <c r="BK67" i="1" s="1"/>
  <c r="U52" i="1"/>
  <c r="U67" i="1" s="1"/>
  <c r="AC52" i="1"/>
  <c r="AC67" i="1" s="1"/>
  <c r="AC71" i="1" s="1"/>
  <c r="BP52" i="1"/>
  <c r="BP67" i="1" s="1"/>
  <c r="BP71" i="1" s="1"/>
  <c r="C561" i="1" s="1"/>
  <c r="L52" i="1"/>
  <c r="L67" i="1" s="1"/>
  <c r="L71" i="1" s="1"/>
  <c r="C505" i="1" s="1"/>
  <c r="G505" i="1" s="1"/>
  <c r="BH52" i="1"/>
  <c r="BH67" i="1" s="1"/>
  <c r="BH71" i="1" s="1"/>
  <c r="AQ52" i="1"/>
  <c r="AQ67" i="1" s="1"/>
  <c r="AQ71" i="1" s="1"/>
  <c r="AP52" i="1"/>
  <c r="AP67" i="1" s="1"/>
  <c r="V52" i="1"/>
  <c r="V67" i="1" s="1"/>
  <c r="W52" i="1"/>
  <c r="W67" i="1" s="1"/>
  <c r="W71" i="1" s="1"/>
  <c r="C516" i="1" s="1"/>
  <c r="G516" i="1" s="1"/>
  <c r="Q52" i="1"/>
  <c r="Q67" i="1" s="1"/>
  <c r="Q71" i="1" s="1"/>
  <c r="E52" i="1"/>
  <c r="E67" i="1" s="1"/>
  <c r="E71" i="1" s="1"/>
  <c r="AL52" i="1"/>
  <c r="AL67" i="1" s="1"/>
  <c r="AL71" i="1" s="1"/>
  <c r="AD52" i="1"/>
  <c r="AD67" i="1" s="1"/>
  <c r="AN52" i="1"/>
  <c r="AN67" i="1" s="1"/>
  <c r="AN71" i="1" s="1"/>
  <c r="E181" i="9" s="1"/>
  <c r="AV52" i="1"/>
  <c r="AV67" i="1" s="1"/>
  <c r="AV71" i="1" s="1"/>
  <c r="BI52" i="1"/>
  <c r="BI67" i="1" s="1"/>
  <c r="BI71" i="1" s="1"/>
  <c r="C634" i="1" s="1"/>
  <c r="J52" i="1"/>
  <c r="J67" i="1" s="1"/>
  <c r="J71" i="1" s="1"/>
  <c r="C108" i="9"/>
  <c r="H44" i="9"/>
  <c r="F268" i="9"/>
  <c r="E172" i="9"/>
  <c r="I300" i="9"/>
  <c r="F332" i="9"/>
  <c r="I44" i="9"/>
  <c r="E12" i="9"/>
  <c r="G140" i="9"/>
  <c r="C44" i="9"/>
  <c r="H300" i="9"/>
  <c r="C236" i="9"/>
  <c r="I332" i="9"/>
  <c r="G300" i="9"/>
  <c r="F172" i="9"/>
  <c r="E204" i="9"/>
  <c r="F204" i="9"/>
  <c r="G236" i="9"/>
  <c r="CE62" i="1"/>
  <c r="D204" i="9"/>
  <c r="C140" i="9"/>
  <c r="D76" i="9"/>
  <c r="D268" i="9"/>
  <c r="D108" i="9"/>
  <c r="G108" i="9"/>
  <c r="E300" i="9"/>
  <c r="I76" i="9"/>
  <c r="D44" i="9"/>
  <c r="C76" i="9"/>
  <c r="H268" i="9"/>
  <c r="D140" i="9"/>
  <c r="D236" i="9"/>
  <c r="H236" i="9"/>
  <c r="C204" i="9"/>
  <c r="H12" i="9"/>
  <c r="CE48" i="1"/>
  <c r="H140" i="9"/>
  <c r="B570" i="1"/>
  <c r="B523" i="1"/>
  <c r="B557" i="1"/>
  <c r="B509" i="1"/>
  <c r="B506" i="1"/>
  <c r="B513" i="1"/>
  <c r="B518" i="1"/>
  <c r="B543" i="1"/>
  <c r="B502" i="1"/>
  <c r="B564" i="1"/>
  <c r="B521" i="1"/>
  <c r="B534" i="1"/>
  <c r="B501" i="1"/>
  <c r="B519" i="1"/>
  <c r="B498" i="1"/>
  <c r="B515" i="1"/>
  <c r="B565" i="1"/>
  <c r="B526" i="1"/>
  <c r="B560" i="1"/>
  <c r="B572" i="1"/>
  <c r="B562" i="1"/>
  <c r="B558" i="1"/>
  <c r="B574" i="1"/>
  <c r="B573" i="1"/>
  <c r="B527" i="1"/>
  <c r="B540" i="1"/>
  <c r="H540" i="1" s="1"/>
  <c r="D341" i="1"/>
  <c r="C481" i="1" s="1"/>
  <c r="C50" i="8"/>
  <c r="I378" i="9"/>
  <c r="K612" i="1"/>
  <c r="C465" i="1"/>
  <c r="C126" i="8"/>
  <c r="D391" i="1"/>
  <c r="F32" i="6"/>
  <c r="C478" i="1"/>
  <c r="C482" i="1"/>
  <c r="C476" i="1"/>
  <c r="F16" i="6"/>
  <c r="BB71" i="1" l="1"/>
  <c r="E245" i="9" s="1"/>
  <c r="C309" i="9"/>
  <c r="C542" i="1"/>
  <c r="G209" i="9"/>
  <c r="BE71" i="1"/>
  <c r="H245" i="9" s="1"/>
  <c r="H241" i="9"/>
  <c r="I277" i="9"/>
  <c r="C506" i="1"/>
  <c r="G506" i="1" s="1"/>
  <c r="I145" i="9"/>
  <c r="I149" i="9"/>
  <c r="C702" i="1"/>
  <c r="C671" i="1"/>
  <c r="G213" i="9"/>
  <c r="D181" i="9"/>
  <c r="BY71" i="1"/>
  <c r="G341" i="9" s="1"/>
  <c r="C544" i="1"/>
  <c r="G544" i="1" s="1"/>
  <c r="C428" i="1"/>
  <c r="F113" i="9"/>
  <c r="D177" i="9"/>
  <c r="C704" i="1"/>
  <c r="BZ71" i="1"/>
  <c r="C571" i="1" s="1"/>
  <c r="AA71" i="1"/>
  <c r="F117" i="9" s="1"/>
  <c r="C559" i="1"/>
  <c r="F85" i="9"/>
  <c r="C499" i="1"/>
  <c r="G499" i="1" s="1"/>
  <c r="H273" i="9"/>
  <c r="F81" i="9"/>
  <c r="C305" i="9"/>
  <c r="BL71" i="1"/>
  <c r="C637" i="1" s="1"/>
  <c r="C117" i="9"/>
  <c r="C689" i="1"/>
  <c r="C517" i="1"/>
  <c r="G517" i="1" s="1"/>
  <c r="C629" i="1"/>
  <c r="CE52" i="1"/>
  <c r="E21" i="9"/>
  <c r="C670" i="1"/>
  <c r="C498" i="1"/>
  <c r="G498" i="1" s="1"/>
  <c r="C644" i="1"/>
  <c r="F341" i="9"/>
  <c r="C708" i="1"/>
  <c r="H181" i="9"/>
  <c r="G241" i="9"/>
  <c r="C500" i="1"/>
  <c r="G500" i="1" s="1"/>
  <c r="C678" i="1"/>
  <c r="D337" i="9"/>
  <c r="C558" i="1"/>
  <c r="I273" i="9"/>
  <c r="C551" i="1"/>
  <c r="C616" i="1"/>
  <c r="BO71" i="1"/>
  <c r="C627" i="1" s="1"/>
  <c r="C369" i="9"/>
  <c r="D17" i="9"/>
  <c r="H213" i="9"/>
  <c r="I241" i="9"/>
  <c r="H209" i="9"/>
  <c r="C113" i="9"/>
  <c r="C555" i="1"/>
  <c r="C508" i="1"/>
  <c r="G508" i="1" s="1"/>
  <c r="C669" i="1"/>
  <c r="AU71" i="1"/>
  <c r="C540" i="1" s="1"/>
  <c r="G540" i="1" s="1"/>
  <c r="I181" i="9"/>
  <c r="C709" i="1"/>
  <c r="C537" i="1"/>
  <c r="G537" i="1" s="1"/>
  <c r="C710" i="1"/>
  <c r="C213" i="9"/>
  <c r="C519" i="1"/>
  <c r="G519" i="1" s="1"/>
  <c r="E117" i="9"/>
  <c r="C510" i="1"/>
  <c r="G510" i="1" s="1"/>
  <c r="C682" i="1"/>
  <c r="C522" i="1"/>
  <c r="G522" i="1" s="1"/>
  <c r="C694" i="1"/>
  <c r="C640" i="1"/>
  <c r="C565" i="1"/>
  <c r="I309" i="9"/>
  <c r="C618" i="1"/>
  <c r="C552" i="1"/>
  <c r="C690" i="1"/>
  <c r="D117" i="9"/>
  <c r="C518" i="1"/>
  <c r="G518" i="1" s="1"/>
  <c r="F213" i="9"/>
  <c r="C713" i="1"/>
  <c r="C541" i="1"/>
  <c r="C625" i="1"/>
  <c r="C536" i="1"/>
  <c r="G536" i="1" s="1"/>
  <c r="I209" i="9"/>
  <c r="F17" i="9"/>
  <c r="F49" i="9"/>
  <c r="F305" i="9"/>
  <c r="C513" i="1"/>
  <c r="G513" i="1" s="1"/>
  <c r="C697" i="1"/>
  <c r="BA71" i="1"/>
  <c r="D245" i="9" s="1"/>
  <c r="BQ71" i="1"/>
  <c r="D241" i="9"/>
  <c r="N71" i="1"/>
  <c r="C507" i="1" s="1"/>
  <c r="G507" i="1" s="1"/>
  <c r="C525" i="1"/>
  <c r="G525" i="1" s="1"/>
  <c r="AJ71" i="1"/>
  <c r="H149" i="9" s="1"/>
  <c r="C569" i="1"/>
  <c r="G49" i="9"/>
  <c r="C675" i="1"/>
  <c r="C503" i="1"/>
  <c r="G503" i="1" s="1"/>
  <c r="C53" i="9"/>
  <c r="C563" i="1"/>
  <c r="C626" i="1"/>
  <c r="C528" i="1"/>
  <c r="G528" i="1" s="1"/>
  <c r="C700" i="1"/>
  <c r="G149" i="9"/>
  <c r="C181" i="9"/>
  <c r="C703" i="1"/>
  <c r="C674" i="1"/>
  <c r="C502" i="1"/>
  <c r="G502" i="1" s="1"/>
  <c r="C241" i="9"/>
  <c r="G305" i="9"/>
  <c r="C567" i="1"/>
  <c r="C672" i="1"/>
  <c r="C642" i="1"/>
  <c r="D21" i="9"/>
  <c r="C85" i="9"/>
  <c r="I305" i="9"/>
  <c r="F337" i="9"/>
  <c r="D145" i="9"/>
  <c r="C273" i="9"/>
  <c r="AG71" i="1"/>
  <c r="E145" i="9"/>
  <c r="E113" i="9"/>
  <c r="I49" i="9"/>
  <c r="P71" i="1"/>
  <c r="G145" i="9"/>
  <c r="C680" i="1"/>
  <c r="C693" i="1"/>
  <c r="AT71" i="1"/>
  <c r="D49" i="9"/>
  <c r="C145" i="9"/>
  <c r="E337" i="9"/>
  <c r="D369" i="9"/>
  <c r="D81" i="9"/>
  <c r="C337" i="9"/>
  <c r="I17" i="9"/>
  <c r="H49" i="9"/>
  <c r="AZ71" i="1"/>
  <c r="G17" i="9"/>
  <c r="C538" i="1"/>
  <c r="G538" i="1" s="1"/>
  <c r="R71" i="1"/>
  <c r="F241" i="9"/>
  <c r="F145" i="9"/>
  <c r="AH71" i="1"/>
  <c r="H17" i="9"/>
  <c r="G113" i="9"/>
  <c r="D113" i="9"/>
  <c r="I177" i="9"/>
  <c r="C71" i="1"/>
  <c r="C17" i="9"/>
  <c r="CE67" i="1"/>
  <c r="CE71" i="1" s="1"/>
  <c r="C636" i="1"/>
  <c r="D277" i="9"/>
  <c r="C553" i="1"/>
  <c r="AD71" i="1"/>
  <c r="I113" i="9"/>
  <c r="F277" i="9"/>
  <c r="C49" i="9"/>
  <c r="C81" i="9"/>
  <c r="H177" i="9"/>
  <c r="H113" i="9"/>
  <c r="I337" i="9"/>
  <c r="E81" i="9"/>
  <c r="S71" i="1"/>
  <c r="E273" i="9"/>
  <c r="I81" i="9"/>
  <c r="D273" i="9"/>
  <c r="G81" i="9"/>
  <c r="I21" i="9"/>
  <c r="U71" i="1"/>
  <c r="F209" i="9"/>
  <c r="C177" i="9"/>
  <c r="V71" i="1"/>
  <c r="H81" i="9"/>
  <c r="E49" i="9"/>
  <c r="G273" i="9"/>
  <c r="BK71" i="1"/>
  <c r="H305" i="9"/>
  <c r="F177" i="9"/>
  <c r="E177" i="9"/>
  <c r="AO71" i="1"/>
  <c r="E17" i="9"/>
  <c r="AP71" i="1"/>
  <c r="G177" i="9"/>
  <c r="E305" i="9"/>
  <c r="F273" i="9"/>
  <c r="C209" i="9"/>
  <c r="C566" i="1"/>
  <c r="C688" i="1"/>
  <c r="C647" i="1"/>
  <c r="C643" i="1"/>
  <c r="C568" i="1"/>
  <c r="C501" i="1"/>
  <c r="G501" i="1" s="1"/>
  <c r="C705" i="1"/>
  <c r="I85" i="9"/>
  <c r="C673" i="1"/>
  <c r="C533" i="1"/>
  <c r="G533" i="1" s="1"/>
  <c r="C572" i="1"/>
  <c r="E277" i="9"/>
  <c r="C621" i="1"/>
  <c r="C554" i="1"/>
  <c r="C573" i="1"/>
  <c r="E53" i="9"/>
  <c r="C373" i="9"/>
  <c r="C548" i="1"/>
  <c r="C633" i="1"/>
  <c r="E309" i="9"/>
  <c r="C341" i="9"/>
  <c r="I364" i="9"/>
  <c r="C677" i="1"/>
  <c r="C531" i="1"/>
  <c r="G531" i="1" s="1"/>
  <c r="H117" i="9"/>
  <c r="C549" i="1"/>
  <c r="C149" i="9"/>
  <c r="C691" i="1"/>
  <c r="H309" i="9"/>
  <c r="G309" i="9"/>
  <c r="C624" i="1"/>
  <c r="G117" i="9"/>
  <c r="C277" i="9"/>
  <c r="C564" i="1"/>
  <c r="C696" i="1"/>
  <c r="C676" i="1"/>
  <c r="C504" i="1"/>
  <c r="G504" i="1" s="1"/>
  <c r="F498" i="1"/>
  <c r="B541" i="1"/>
  <c r="F540" i="1"/>
  <c r="B503" i="1"/>
  <c r="H503" i="1" s="1"/>
  <c r="B554" i="1"/>
  <c r="B522" i="1"/>
  <c r="F522" i="1" s="1"/>
  <c r="B556" i="1"/>
  <c r="B555" i="1"/>
  <c r="B507" i="1"/>
  <c r="H507" i="1" s="1"/>
  <c r="B548" i="1"/>
  <c r="B500" i="1"/>
  <c r="B552" i="1"/>
  <c r="B524" i="1"/>
  <c r="B571" i="1"/>
  <c r="B536" i="1"/>
  <c r="B551" i="1"/>
  <c r="B561" i="1"/>
  <c r="B535" i="1"/>
  <c r="B517" i="1"/>
  <c r="B529" i="1"/>
  <c r="B550" i="1"/>
  <c r="B568" i="1"/>
  <c r="B504" i="1"/>
  <c r="F504" i="1" s="1"/>
  <c r="B563" i="1"/>
  <c r="B537" i="1"/>
  <c r="B512" i="1"/>
  <c r="B549" i="1"/>
  <c r="B520" i="1"/>
  <c r="B530" i="1"/>
  <c r="B569" i="1"/>
  <c r="B566" i="1"/>
  <c r="B544" i="1"/>
  <c r="B511" i="1"/>
  <c r="B545" i="1"/>
  <c r="B567" i="1"/>
  <c r="B553" i="1"/>
  <c r="B538" i="1"/>
  <c r="F538" i="1" s="1"/>
  <c r="B499" i="1"/>
  <c r="B539" i="1"/>
  <c r="B505" i="1"/>
  <c r="B531" i="1"/>
  <c r="B516" i="1"/>
  <c r="B525" i="1"/>
  <c r="F515" i="1"/>
  <c r="H515" i="1"/>
  <c r="B546" i="1"/>
  <c r="F546" i="1" s="1"/>
  <c r="B542" i="1"/>
  <c r="B547" i="1"/>
  <c r="B508" i="1"/>
  <c r="F508" i="1" s="1"/>
  <c r="B532" i="1"/>
  <c r="B533" i="1"/>
  <c r="B559" i="1"/>
  <c r="B510" i="1"/>
  <c r="F510" i="1" s="1"/>
  <c r="F501" i="1"/>
  <c r="H501" i="1"/>
  <c r="B528" i="1"/>
  <c r="B514" i="1"/>
  <c r="F514" i="1" s="1"/>
  <c r="B497" i="1"/>
  <c r="F513" i="1"/>
  <c r="C142" i="8"/>
  <c r="D393" i="1"/>
  <c r="F534" i="1"/>
  <c r="H534" i="1"/>
  <c r="H502" i="1"/>
  <c r="F502" i="1"/>
  <c r="F512" i="1"/>
  <c r="F526" i="1"/>
  <c r="F503" i="1"/>
  <c r="F518" i="1"/>
  <c r="F506" i="1"/>
  <c r="F500" i="1"/>
  <c r="F509" i="1"/>
  <c r="C632" i="1" l="1"/>
  <c r="C547" i="1"/>
  <c r="C550" i="1"/>
  <c r="G550" i="1" s="1"/>
  <c r="C614" i="1"/>
  <c r="D615" i="1" s="1"/>
  <c r="D644" i="1" s="1"/>
  <c r="C570" i="1"/>
  <c r="H341" i="9"/>
  <c r="H518" i="1"/>
  <c r="C646" i="1"/>
  <c r="C645" i="1"/>
  <c r="H506" i="1"/>
  <c r="H277" i="9"/>
  <c r="C679" i="1"/>
  <c r="C557" i="1"/>
  <c r="C692" i="1"/>
  <c r="C520" i="1"/>
  <c r="G520" i="1" s="1"/>
  <c r="H508" i="1"/>
  <c r="H500" i="1"/>
  <c r="C630" i="1"/>
  <c r="H513" i="1"/>
  <c r="H498" i="1"/>
  <c r="D309" i="9"/>
  <c r="C560" i="1"/>
  <c r="C712" i="1"/>
  <c r="E213" i="9"/>
  <c r="C701" i="1"/>
  <c r="G53" i="9"/>
  <c r="C529" i="1"/>
  <c r="C546" i="1"/>
  <c r="G546" i="1" s="1"/>
  <c r="F309" i="9"/>
  <c r="C623" i="1"/>
  <c r="C562" i="1"/>
  <c r="C668" i="1"/>
  <c r="C21" i="9"/>
  <c r="C496" i="1"/>
  <c r="G496" i="1" s="1"/>
  <c r="C620" i="1"/>
  <c r="D373" i="9"/>
  <c r="C574" i="1"/>
  <c r="C433" i="1"/>
  <c r="C441" i="1" s="1"/>
  <c r="I369" i="9"/>
  <c r="I53" i="9"/>
  <c r="C681" i="1"/>
  <c r="C509" i="1"/>
  <c r="C539" i="1"/>
  <c r="G539" i="1" s="1"/>
  <c r="D213" i="9"/>
  <c r="C711" i="1"/>
  <c r="F149" i="9"/>
  <c r="C699" i="1"/>
  <c r="C527" i="1"/>
  <c r="G527" i="1" s="1"/>
  <c r="D85" i="9"/>
  <c r="C683" i="1"/>
  <c r="C511" i="1"/>
  <c r="G511" i="1" s="1"/>
  <c r="C245" i="9"/>
  <c r="C545" i="1"/>
  <c r="G545" i="1" s="1"/>
  <c r="C628" i="1"/>
  <c r="C526" i="1"/>
  <c r="E149" i="9"/>
  <c r="C698" i="1"/>
  <c r="C515" i="1"/>
  <c r="G515" i="1" s="1"/>
  <c r="H85" i="9"/>
  <c r="C687" i="1"/>
  <c r="C684" i="1"/>
  <c r="E85" i="9"/>
  <c r="C512" i="1"/>
  <c r="C514" i="1"/>
  <c r="G514" i="1" s="1"/>
  <c r="G85" i="9"/>
  <c r="C686" i="1"/>
  <c r="C707" i="1"/>
  <c r="G181" i="9"/>
  <c r="C535" i="1"/>
  <c r="G535" i="1" s="1"/>
  <c r="F181" i="9"/>
  <c r="C534" i="1"/>
  <c r="G534" i="1" s="1"/>
  <c r="C706" i="1"/>
  <c r="G277" i="9"/>
  <c r="C556" i="1"/>
  <c r="C635" i="1"/>
  <c r="C695" i="1"/>
  <c r="C523" i="1"/>
  <c r="I117" i="9"/>
  <c r="F507" i="1"/>
  <c r="H538" i="1"/>
  <c r="H510" i="1"/>
  <c r="H504" i="1"/>
  <c r="H522" i="1"/>
  <c r="F499" i="1"/>
  <c r="H499" i="1"/>
  <c r="H536" i="1"/>
  <c r="F536" i="1"/>
  <c r="H505" i="1"/>
  <c r="F505" i="1"/>
  <c r="B496" i="1"/>
  <c r="F516" i="1"/>
  <c r="H516" i="1" s="1"/>
  <c r="H511" i="1"/>
  <c r="F511" i="1"/>
  <c r="F517" i="1"/>
  <c r="H517" i="1" s="1"/>
  <c r="F530" i="1"/>
  <c r="H530" i="1" s="1"/>
  <c r="F524" i="1"/>
  <c r="H524" i="1" s="1"/>
  <c r="H497" i="1"/>
  <c r="F497" i="1"/>
  <c r="H528" i="1"/>
  <c r="F528" i="1"/>
  <c r="H532" i="1"/>
  <c r="F532" i="1"/>
  <c r="F520" i="1"/>
  <c r="F550" i="1"/>
  <c r="F544" i="1"/>
  <c r="H544" i="1" s="1"/>
  <c r="H545" i="1"/>
  <c r="F545" i="1"/>
  <c r="H525" i="1"/>
  <c r="F525" i="1"/>
  <c r="F529" i="1"/>
  <c r="C146" i="8"/>
  <c r="D396" i="1"/>
  <c r="F521" i="1"/>
  <c r="H521" i="1"/>
  <c r="F535" i="1"/>
  <c r="H533" i="1"/>
  <c r="F533" i="1"/>
  <c r="H527" i="1"/>
  <c r="F527" i="1"/>
  <c r="F539" i="1"/>
  <c r="H539" i="1"/>
  <c r="F519" i="1"/>
  <c r="H519" i="1"/>
  <c r="F523" i="1"/>
  <c r="F537" i="1"/>
  <c r="H537" i="1"/>
  <c r="F531" i="1"/>
  <c r="H531" i="1" s="1"/>
  <c r="D689" i="1" l="1"/>
  <c r="D692" i="1"/>
  <c r="D701" i="1"/>
  <c r="H550" i="1"/>
  <c r="D683" i="1"/>
  <c r="D716" i="1"/>
  <c r="D708" i="1"/>
  <c r="D684" i="1"/>
  <c r="D707" i="1"/>
  <c r="D626" i="1"/>
  <c r="D691" i="1"/>
  <c r="D699" i="1"/>
  <c r="D697" i="1"/>
  <c r="D635" i="1"/>
  <c r="D634" i="1"/>
  <c r="D686" i="1"/>
  <c r="D624" i="1"/>
  <c r="D680" i="1"/>
  <c r="D617" i="1"/>
  <c r="D673" i="1"/>
  <c r="D713" i="1"/>
  <c r="D631" i="1"/>
  <c r="D622" i="1"/>
  <c r="D618" i="1"/>
  <c r="D643" i="1"/>
  <c r="D637" i="1"/>
  <c r="D627" i="1"/>
  <c r="D629" i="1"/>
  <c r="D682" i="1"/>
  <c r="D639" i="1"/>
  <c r="D709" i="1"/>
  <c r="D625" i="1"/>
  <c r="D695" i="1"/>
  <c r="D633" i="1"/>
  <c r="D710" i="1"/>
  <c r="D685" i="1"/>
  <c r="D712" i="1"/>
  <c r="D677" i="1"/>
  <c r="D669" i="1"/>
  <c r="D647" i="1"/>
  <c r="D674" i="1"/>
  <c r="D630" i="1"/>
  <c r="D705" i="1"/>
  <c r="D700" i="1"/>
  <c r="D687" i="1"/>
  <c r="D616" i="1"/>
  <c r="D681" i="1"/>
  <c r="D679" i="1"/>
  <c r="D619" i="1"/>
  <c r="D668" i="1"/>
  <c r="D698" i="1"/>
  <c r="D696" i="1"/>
  <c r="D640" i="1"/>
  <c r="D703" i="1"/>
  <c r="D620" i="1"/>
  <c r="D690" i="1"/>
  <c r="D676" i="1"/>
  <c r="D675" i="1"/>
  <c r="D623" i="1"/>
  <c r="D645" i="1"/>
  <c r="D694" i="1"/>
  <c r="D632" i="1"/>
  <c r="D693" i="1"/>
  <c r="D688" i="1"/>
  <c r="D646" i="1"/>
  <c r="D641" i="1"/>
  <c r="D672" i="1"/>
  <c r="D636" i="1"/>
  <c r="D678" i="1"/>
  <c r="D621" i="1"/>
  <c r="D670" i="1"/>
  <c r="D638" i="1"/>
  <c r="D671" i="1"/>
  <c r="D702" i="1"/>
  <c r="D642" i="1"/>
  <c r="D706" i="1"/>
  <c r="D711" i="1"/>
  <c r="D628" i="1"/>
  <c r="D704" i="1"/>
  <c r="H520" i="1"/>
  <c r="C648" i="1"/>
  <c r="M716" i="1" s="1"/>
  <c r="I373" i="9"/>
  <c r="C716" i="1"/>
  <c r="H535" i="1"/>
  <c r="G523" i="1"/>
  <c r="H523" i="1" s="1"/>
  <c r="G529" i="1"/>
  <c r="H529" i="1" s="1"/>
  <c r="C715" i="1"/>
  <c r="H546" i="1"/>
  <c r="G509" i="1"/>
  <c r="H509" i="1" s="1"/>
  <c r="G526" i="1"/>
  <c r="H526" i="1" s="1"/>
  <c r="G512" i="1"/>
  <c r="H512" i="1"/>
  <c r="H514" i="1"/>
  <c r="C151" i="8"/>
  <c r="F496" i="1"/>
  <c r="H496" i="1" s="1"/>
  <c r="E623" i="1" l="1"/>
  <c r="E716" i="1" s="1"/>
  <c r="D715" i="1"/>
  <c r="E612" i="1"/>
  <c r="E709" i="1" l="1"/>
  <c r="E643" i="1"/>
  <c r="E670" i="1"/>
  <c r="E684" i="1"/>
  <c r="E628" i="1"/>
  <c r="E697" i="1"/>
  <c r="E639" i="1"/>
  <c r="E647" i="1"/>
  <c r="E704" i="1"/>
  <c r="E707" i="1"/>
  <c r="E710" i="1"/>
  <c r="E688" i="1"/>
  <c r="E645" i="1"/>
  <c r="E690" i="1"/>
  <c r="E687" i="1"/>
  <c r="E705" i="1"/>
  <c r="E698" i="1"/>
  <c r="E629" i="1"/>
  <c r="E693" i="1"/>
  <c r="E701" i="1"/>
  <c r="E646" i="1"/>
  <c r="E695" i="1"/>
  <c r="E641" i="1"/>
  <c r="E680" i="1"/>
  <c r="E633" i="1"/>
  <c r="E689" i="1"/>
  <c r="E683" i="1"/>
  <c r="E702" i="1"/>
  <c r="E675" i="1"/>
  <c r="E625" i="1"/>
  <c r="E644" i="1"/>
  <c r="E699" i="1"/>
  <c r="E677" i="1"/>
  <c r="E679" i="1"/>
  <c r="E671" i="1"/>
  <c r="E640" i="1"/>
  <c r="E627" i="1"/>
  <c r="E674" i="1"/>
  <c r="E678" i="1"/>
  <c r="E711" i="1"/>
  <c r="E626" i="1"/>
  <c r="E686" i="1"/>
  <c r="E634" i="1"/>
  <c r="E637" i="1"/>
  <c r="E700" i="1"/>
  <c r="E672" i="1"/>
  <c r="E642" i="1"/>
  <c r="E703" i="1"/>
  <c r="E630" i="1"/>
  <c r="E668" i="1"/>
  <c r="E713" i="1"/>
  <c r="E669" i="1"/>
  <c r="E694" i="1"/>
  <c r="E685" i="1"/>
  <c r="E676" i="1"/>
  <c r="E624" i="1"/>
  <c r="F624" i="1" s="1"/>
  <c r="F633" i="1" s="1"/>
  <c r="E681" i="1"/>
  <c r="E712" i="1"/>
  <c r="E635" i="1"/>
  <c r="E691" i="1"/>
  <c r="E673" i="1"/>
  <c r="E631" i="1"/>
  <c r="E638" i="1"/>
  <c r="E692" i="1"/>
  <c r="E632" i="1"/>
  <c r="E708" i="1"/>
  <c r="E682" i="1"/>
  <c r="E636" i="1"/>
  <c r="E706" i="1"/>
  <c r="E696" i="1"/>
  <c r="F706" i="1" l="1"/>
  <c r="F679" i="1"/>
  <c r="F693" i="1"/>
  <c r="F669" i="1"/>
  <c r="F712" i="1"/>
  <c r="F627" i="1"/>
  <c r="F643" i="1"/>
  <c r="F682" i="1"/>
  <c r="F636" i="1"/>
  <c r="F638" i="1"/>
  <c r="F639" i="1"/>
  <c r="F678" i="1"/>
  <c r="F646" i="1"/>
  <c r="F707" i="1"/>
  <c r="F703" i="1"/>
  <c r="F687" i="1"/>
  <c r="F677" i="1"/>
  <c r="F691" i="1"/>
  <c r="F701" i="1"/>
  <c r="F688" i="1"/>
  <c r="F632" i="1"/>
  <c r="F685" i="1"/>
  <c r="F681" i="1"/>
  <c r="F634" i="1"/>
  <c r="F710" i="1"/>
  <c r="F628" i="1"/>
  <c r="F702" i="1"/>
  <c r="F625" i="1"/>
  <c r="G625" i="1" s="1"/>
  <c r="G644" i="1" s="1"/>
  <c r="F671" i="1"/>
  <c r="F640" i="1"/>
  <c r="F680" i="1"/>
  <c r="F647" i="1"/>
  <c r="F626" i="1"/>
  <c r="F697" i="1"/>
  <c r="F683" i="1"/>
  <c r="F709" i="1"/>
  <c r="F704" i="1"/>
  <c r="F668" i="1"/>
  <c r="F676" i="1"/>
  <c r="F637" i="1"/>
  <c r="F642" i="1"/>
  <c r="F672" i="1"/>
  <c r="F705" i="1"/>
  <c r="F629" i="1"/>
  <c r="F630" i="1"/>
  <c r="F670" i="1"/>
  <c r="F698" i="1"/>
  <c r="F716" i="1"/>
  <c r="F699" i="1"/>
  <c r="F674" i="1"/>
  <c r="F644" i="1"/>
  <c r="F694" i="1"/>
  <c r="F689" i="1"/>
  <c r="F673" i="1"/>
  <c r="F695" i="1"/>
  <c r="F713" i="1"/>
  <c r="F645" i="1"/>
  <c r="F696" i="1"/>
  <c r="F684" i="1"/>
  <c r="F708" i="1"/>
  <c r="F692" i="1"/>
  <c r="F675" i="1"/>
  <c r="F690" i="1"/>
  <c r="F686" i="1"/>
  <c r="F711" i="1"/>
  <c r="F635" i="1"/>
  <c r="F631" i="1"/>
  <c r="F641" i="1"/>
  <c r="F700" i="1"/>
  <c r="E715" i="1"/>
  <c r="G686" i="1"/>
  <c r="G700" i="1"/>
  <c r="G685" i="1" l="1"/>
  <c r="G630" i="1"/>
  <c r="G697" i="1"/>
  <c r="G690" i="1"/>
  <c r="G693" i="1"/>
  <c r="G681" i="1"/>
  <c r="G638" i="1"/>
  <c r="G692" i="1"/>
  <c r="G698" i="1"/>
  <c r="G701" i="1"/>
  <c r="G677" i="1"/>
  <c r="G705" i="1"/>
  <c r="G639" i="1"/>
  <c r="G632" i="1"/>
  <c r="G689" i="1"/>
  <c r="G712" i="1"/>
  <c r="G691" i="1"/>
  <c r="G627" i="1"/>
  <c r="G637" i="1"/>
  <c r="G704" i="1"/>
  <c r="G628" i="1"/>
  <c r="G676" i="1"/>
  <c r="G636" i="1"/>
  <c r="G640" i="1"/>
  <c r="G683" i="1"/>
  <c r="G679" i="1"/>
  <c r="G678" i="1"/>
  <c r="G699" i="1"/>
  <c r="G641" i="1"/>
  <c r="G694" i="1"/>
  <c r="G634" i="1"/>
  <c r="G711" i="1"/>
  <c r="G669" i="1"/>
  <c r="G708" i="1"/>
  <c r="G643" i="1"/>
  <c r="G631" i="1"/>
  <c r="G703" i="1"/>
  <c r="G716" i="1"/>
  <c r="G647" i="1"/>
  <c r="G642" i="1"/>
  <c r="G668" i="1"/>
  <c r="G695" i="1"/>
  <c r="G674" i="1"/>
  <c r="G682" i="1"/>
  <c r="G709" i="1"/>
  <c r="G646" i="1"/>
  <c r="G706" i="1"/>
  <c r="G629" i="1"/>
  <c r="G626" i="1"/>
  <c r="G702" i="1"/>
  <c r="F715" i="1"/>
  <c r="G675" i="1"/>
  <c r="G635" i="1"/>
  <c r="G680" i="1"/>
  <c r="G684" i="1"/>
  <c r="G670" i="1"/>
  <c r="G633" i="1"/>
  <c r="G673" i="1"/>
  <c r="G713" i="1"/>
  <c r="G671" i="1"/>
  <c r="G672" i="1"/>
  <c r="G687" i="1"/>
  <c r="G707" i="1"/>
  <c r="G688" i="1"/>
  <c r="G710" i="1"/>
  <c r="G696" i="1"/>
  <c r="G645" i="1"/>
  <c r="H628" i="1" l="1"/>
  <c r="H708" i="1" s="1"/>
  <c r="G715" i="1"/>
  <c r="H630" i="1"/>
  <c r="H693" i="1"/>
  <c r="H716" i="1"/>
  <c r="H681" i="1"/>
  <c r="H700" i="1"/>
  <c r="H646" i="1"/>
  <c r="H679" i="1"/>
  <c r="H642" i="1"/>
  <c r="H674" i="1"/>
  <c r="H694" i="1"/>
  <c r="H672" i="1"/>
  <c r="H682" i="1"/>
  <c r="H675" i="1"/>
  <c r="H633" i="1"/>
  <c r="H704" i="1"/>
  <c r="H670" i="1"/>
  <c r="H689" i="1"/>
  <c r="H707" i="1"/>
  <c r="H709" i="1"/>
  <c r="H639" i="1"/>
  <c r="H635" i="1"/>
  <c r="H699" i="1"/>
  <c r="H706" i="1"/>
  <c r="H641" i="1"/>
  <c r="H685" i="1"/>
  <c r="H712" i="1"/>
  <c r="H678" i="1"/>
  <c r="H713" i="1"/>
  <c r="H710" i="1"/>
  <c r="H638" i="1"/>
  <c r="H695" i="1"/>
  <c r="H701" i="1" l="1"/>
  <c r="H645" i="1"/>
  <c r="H703" i="1"/>
  <c r="H631" i="1"/>
  <c r="H686" i="1"/>
  <c r="H669" i="1"/>
  <c r="H702" i="1"/>
  <c r="H688" i="1"/>
  <c r="H690" i="1"/>
  <c r="H676" i="1"/>
  <c r="H636" i="1"/>
  <c r="H680" i="1"/>
  <c r="H629" i="1"/>
  <c r="H715" i="1" s="1"/>
  <c r="H683" i="1"/>
  <c r="H677" i="1"/>
  <c r="H684" i="1"/>
  <c r="H647" i="1"/>
  <c r="H711" i="1"/>
  <c r="H671" i="1"/>
  <c r="H644" i="1"/>
  <c r="H640" i="1"/>
  <c r="H673" i="1"/>
  <c r="H698" i="1"/>
  <c r="H696" i="1"/>
  <c r="H691" i="1"/>
  <c r="H668" i="1"/>
  <c r="H692" i="1"/>
  <c r="H697" i="1"/>
  <c r="H687" i="1"/>
  <c r="H634" i="1"/>
  <c r="H637" i="1"/>
  <c r="H705" i="1"/>
  <c r="H643" i="1"/>
  <c r="H632" i="1"/>
  <c r="I629" i="1" l="1"/>
  <c r="I635" i="1" s="1"/>
  <c r="I693" i="1"/>
  <c r="I705" i="1"/>
  <c r="I689" i="1"/>
  <c r="I675" i="1" l="1"/>
  <c r="I707" i="1"/>
  <c r="I687" i="1"/>
  <c r="I672" i="1"/>
  <c r="I711" i="1"/>
  <c r="I680" i="1"/>
  <c r="I676" i="1"/>
  <c r="I639" i="1"/>
  <c r="I706" i="1"/>
  <c r="I712" i="1"/>
  <c r="I647" i="1"/>
  <c r="I681" i="1"/>
  <c r="I697" i="1"/>
  <c r="I686" i="1"/>
  <c r="I646" i="1"/>
  <c r="I692" i="1"/>
  <c r="I671" i="1"/>
  <c r="I703" i="1"/>
  <c r="I631" i="1"/>
  <c r="I709" i="1"/>
  <c r="I704" i="1"/>
  <c r="I701" i="1"/>
  <c r="I678" i="1"/>
  <c r="I716" i="1"/>
  <c r="I684" i="1"/>
  <c r="I702" i="1"/>
  <c r="I700" i="1"/>
  <c r="I644" i="1"/>
  <c r="I677" i="1"/>
  <c r="I632" i="1"/>
  <c r="I637" i="1"/>
  <c r="I638" i="1"/>
  <c r="I690" i="1"/>
  <c r="I642" i="1"/>
  <c r="I645" i="1"/>
  <c r="I710" i="1"/>
  <c r="I668" i="1"/>
  <c r="I708" i="1"/>
  <c r="I699" i="1"/>
  <c r="I683" i="1"/>
  <c r="I685" i="1"/>
  <c r="I682" i="1"/>
  <c r="I698" i="1"/>
  <c r="I643" i="1"/>
  <c r="I641" i="1"/>
  <c r="I670" i="1"/>
  <c r="I674" i="1"/>
  <c r="I688" i="1"/>
  <c r="I640" i="1"/>
  <c r="I713" i="1"/>
  <c r="I696" i="1"/>
  <c r="I636" i="1"/>
  <c r="I669" i="1"/>
  <c r="I673" i="1"/>
  <c r="I694" i="1"/>
  <c r="I634" i="1"/>
  <c r="I715" i="1" s="1"/>
  <c r="I679" i="1"/>
  <c r="I691" i="1"/>
  <c r="I630" i="1"/>
  <c r="I633" i="1"/>
  <c r="I695" i="1"/>
  <c r="J630" i="1"/>
  <c r="J716" i="1" l="1"/>
  <c r="J634" i="1"/>
  <c r="J680" i="1"/>
  <c r="J707" i="1"/>
  <c r="J636" i="1"/>
  <c r="J635" i="1"/>
  <c r="J702" i="1"/>
  <c r="J638" i="1"/>
  <c r="J677" i="1"/>
  <c r="J640" i="1"/>
  <c r="J705" i="1"/>
  <c r="J693" i="1"/>
  <c r="J637" i="1"/>
  <c r="J712" i="1"/>
  <c r="J692" i="1"/>
  <c r="J645" i="1"/>
  <c r="J669" i="1"/>
  <c r="J631" i="1"/>
  <c r="J678" i="1"/>
  <c r="J696" i="1"/>
  <c r="J703" i="1"/>
  <c r="J672" i="1"/>
  <c r="J639" i="1"/>
  <c r="J713" i="1"/>
  <c r="J643" i="1"/>
  <c r="J706" i="1"/>
  <c r="J681" i="1"/>
  <c r="J694" i="1"/>
  <c r="J687" i="1"/>
  <c r="J676" i="1"/>
  <c r="J679" i="1"/>
  <c r="J646" i="1"/>
  <c r="J710" i="1"/>
  <c r="J673" i="1"/>
  <c r="J697" i="1"/>
  <c r="J688" i="1"/>
  <c r="J633" i="1"/>
  <c r="J704" i="1"/>
  <c r="J698" i="1"/>
  <c r="J699" i="1"/>
  <c r="J641" i="1"/>
  <c r="J711" i="1"/>
  <c r="J668" i="1"/>
  <c r="J642" i="1"/>
  <c r="J632" i="1"/>
  <c r="J701" i="1"/>
  <c r="J675" i="1"/>
  <c r="J695" i="1"/>
  <c r="J644" i="1"/>
  <c r="J671" i="1"/>
  <c r="J647" i="1"/>
  <c r="J670" i="1"/>
  <c r="J682" i="1"/>
  <c r="J686" i="1"/>
  <c r="J691" i="1"/>
  <c r="J674" i="1"/>
  <c r="J690" i="1"/>
  <c r="J684" i="1"/>
  <c r="J683" i="1"/>
  <c r="J709" i="1"/>
  <c r="J708" i="1"/>
  <c r="J689" i="1"/>
  <c r="J700" i="1"/>
  <c r="J685" i="1"/>
  <c r="L647" i="1" l="1"/>
  <c r="L678" i="1" s="1"/>
  <c r="K644" i="1"/>
  <c r="K685" i="1" s="1"/>
  <c r="J715" i="1"/>
  <c r="L674" i="1" l="1"/>
  <c r="K705" i="1"/>
  <c r="K702" i="1"/>
  <c r="K694" i="1"/>
  <c r="K675" i="1"/>
  <c r="K674" i="1"/>
  <c r="K673" i="1"/>
  <c r="K711" i="1"/>
  <c r="K697" i="1"/>
  <c r="K668" i="1"/>
  <c r="K700" i="1"/>
  <c r="K704" i="1"/>
  <c r="K696" i="1"/>
  <c r="K695" i="1"/>
  <c r="K710" i="1"/>
  <c r="K692" i="1"/>
  <c r="K703" i="1"/>
  <c r="K713" i="1"/>
  <c r="K676" i="1"/>
  <c r="L704" i="1"/>
  <c r="K683" i="1"/>
  <c r="K690" i="1"/>
  <c r="K712" i="1"/>
  <c r="K670" i="1"/>
  <c r="K677" i="1"/>
  <c r="K687" i="1"/>
  <c r="L680" i="1"/>
  <c r="K693" i="1"/>
  <c r="K699" i="1"/>
  <c r="K682" i="1"/>
  <c r="K671" i="1"/>
  <c r="K701" i="1"/>
  <c r="L706" i="1"/>
  <c r="L695" i="1"/>
  <c r="L707" i="1"/>
  <c r="K681" i="1"/>
  <c r="K672" i="1"/>
  <c r="K684" i="1"/>
  <c r="K698" i="1"/>
  <c r="K689" i="1"/>
  <c r="K716" i="1"/>
  <c r="L671" i="1"/>
  <c r="L694" i="1"/>
  <c r="L713" i="1"/>
  <c r="L708" i="1"/>
  <c r="L705" i="1"/>
  <c r="M705" i="1" s="1"/>
  <c r="L709" i="1"/>
  <c r="L701" i="1"/>
  <c r="L681" i="1"/>
  <c r="L696" i="1"/>
  <c r="L711" i="1"/>
  <c r="L699" i="1"/>
  <c r="L690" i="1"/>
  <c r="L698" i="1"/>
  <c r="L676" i="1"/>
  <c r="M676" i="1" s="1"/>
  <c r="L688" i="1"/>
  <c r="L683" i="1"/>
  <c r="M683" i="1" s="1"/>
  <c r="L691" i="1"/>
  <c r="L710" i="1"/>
  <c r="M710" i="1" s="1"/>
  <c r="L697" i="1"/>
  <c r="L677" i="1"/>
  <c r="M677" i="1" s="1"/>
  <c r="L672" i="1"/>
  <c r="L702" i="1"/>
  <c r="M702" i="1" s="1"/>
  <c r="L703" i="1"/>
  <c r="L700" i="1"/>
  <c r="L684" i="1"/>
  <c r="L685" i="1"/>
  <c r="M685" i="1" s="1"/>
  <c r="L673" i="1"/>
  <c r="L670" i="1"/>
  <c r="L693" i="1"/>
  <c r="L675" i="1"/>
  <c r="L687" i="1"/>
  <c r="L686" i="1"/>
  <c r="L692" i="1"/>
  <c r="L716" i="1"/>
  <c r="L682" i="1"/>
  <c r="L668" i="1"/>
  <c r="L712" i="1"/>
  <c r="L689" i="1"/>
  <c r="L679" i="1"/>
  <c r="L669" i="1"/>
  <c r="K686" i="1"/>
  <c r="K678" i="1"/>
  <c r="M678" i="1" s="1"/>
  <c r="K707" i="1"/>
  <c r="K680" i="1"/>
  <c r="K691" i="1"/>
  <c r="K708" i="1"/>
  <c r="K679" i="1"/>
  <c r="K669" i="1"/>
  <c r="K688" i="1"/>
  <c r="K709" i="1"/>
  <c r="K706" i="1"/>
  <c r="M684" i="1" l="1"/>
  <c r="E87" i="9" s="1"/>
  <c r="M701" i="1"/>
  <c r="M695" i="1"/>
  <c r="I119" i="9" s="1"/>
  <c r="M674" i="1"/>
  <c r="I23" i="9" s="1"/>
  <c r="M673" i="1"/>
  <c r="M713" i="1"/>
  <c r="F215" i="9" s="1"/>
  <c r="M700" i="1"/>
  <c r="M671" i="1"/>
  <c r="M670" i="1"/>
  <c r="E23" i="9" s="1"/>
  <c r="M672" i="1"/>
  <c r="M686" i="1"/>
  <c r="M697" i="1"/>
  <c r="M699" i="1"/>
  <c r="F151" i="9" s="1"/>
  <c r="M704" i="1"/>
  <c r="D183" i="9" s="1"/>
  <c r="M708" i="1"/>
  <c r="H183" i="9" s="1"/>
  <c r="M696" i="1"/>
  <c r="C151" i="9" s="1"/>
  <c r="M703" i="1"/>
  <c r="M706" i="1"/>
  <c r="M675" i="1"/>
  <c r="C55" i="9" s="1"/>
  <c r="M694" i="1"/>
  <c r="H119" i="9" s="1"/>
  <c r="M692" i="1"/>
  <c r="F119" i="9" s="1"/>
  <c r="M689" i="1"/>
  <c r="M711" i="1"/>
  <c r="M693" i="1"/>
  <c r="M668" i="1"/>
  <c r="C23" i="9" s="1"/>
  <c r="D55" i="9"/>
  <c r="M690" i="1"/>
  <c r="M712" i="1"/>
  <c r="M680" i="1"/>
  <c r="M687" i="1"/>
  <c r="H87" i="9" s="1"/>
  <c r="F87" i="9"/>
  <c r="I151" i="9"/>
  <c r="C215" i="9"/>
  <c r="K715" i="1"/>
  <c r="M698" i="1"/>
  <c r="M707" i="1"/>
  <c r="M709" i="1"/>
  <c r="I183" i="9" s="1"/>
  <c r="M682" i="1"/>
  <c r="C87" i="9" s="1"/>
  <c r="E55" i="9"/>
  <c r="E183" i="9"/>
  <c r="H151" i="9"/>
  <c r="M691" i="1"/>
  <c r="E119" i="9" s="1"/>
  <c r="M681" i="1"/>
  <c r="L715" i="1"/>
  <c r="M679" i="1"/>
  <c r="G55" i="9" s="1"/>
  <c r="M669" i="1"/>
  <c r="M688" i="1"/>
  <c r="F55" i="9"/>
  <c r="D87" i="9"/>
  <c r="G23" i="9" l="1"/>
  <c r="H23" i="9"/>
  <c r="G151" i="9"/>
  <c r="H55" i="9"/>
  <c r="D23" i="9"/>
  <c r="F23" i="9"/>
  <c r="G119" i="9"/>
  <c r="E215" i="9"/>
  <c r="G87" i="9"/>
  <c r="D151" i="9"/>
  <c r="F183" i="9"/>
  <c r="C119" i="9"/>
  <c r="C183" i="9"/>
  <c r="I87" i="9"/>
  <c r="D215" i="9"/>
  <c r="G183" i="9"/>
  <c r="D119" i="9"/>
  <c r="E151" i="9"/>
  <c r="M715" i="1"/>
  <c r="I55" i="9"/>
  <c r="D229" i="1" l="1"/>
  <c r="B445" i="1" s="1"/>
  <c r="D11" i="7"/>
  <c r="D242" i="1" l="1"/>
  <c r="D13" i="7"/>
  <c r="B448" i="1" l="1"/>
  <c r="D27" i="7"/>
</calcChain>
</file>

<file path=xl/comments1.xml><?xml version="1.0" encoding="utf-8"?>
<comments xmlns="http://schemas.openxmlformats.org/spreadsheetml/2006/main">
  <authors>
    <author>Catholic Health Initiatives</author>
  </authors>
  <commentList>
    <comment ref="C39" authorId="0" shapeId="0">
      <text>
        <r>
          <rPr>
            <b/>
            <sz val="9"/>
            <color indexed="81"/>
            <rFont val="Tahoma"/>
            <family val="2"/>
          </rPr>
          <t>Catholic Health Initiatives:</t>
        </r>
        <r>
          <rPr>
            <sz val="9"/>
            <color indexed="81"/>
            <rFont val="Tahoma"/>
            <family val="2"/>
          </rPr>
          <t xml:space="preserve">
Refer Stat File</t>
        </r>
      </text>
    </comment>
    <comment ref="P55" authorId="0" shapeId="0">
      <text>
        <r>
          <rPr>
            <b/>
            <sz val="9"/>
            <color indexed="81"/>
            <rFont val="Tahoma"/>
            <family val="2"/>
          </rPr>
          <t>Catholic Health Initiatives:</t>
        </r>
        <r>
          <rPr>
            <sz val="9"/>
            <color indexed="81"/>
            <rFont val="Tahoma"/>
            <family val="2"/>
          </rPr>
          <t xml:space="preserve">
From CC 6005106</t>
        </r>
      </text>
    </comment>
  </commentList>
</comments>
</file>

<file path=xl/sharedStrings.xml><?xml version="1.0" encoding="utf-8"?>
<sst xmlns="http://schemas.openxmlformats.org/spreadsheetml/2006/main" count="4838" uniqueCount="1378">
  <si>
    <t xml:space="preserve">B thru G.  Increases or decreases in operating expenses per unit of measure exceeding 25% are stated in column H.  Please submit an </t>
  </si>
  <si>
    <t>attachment with the report that addresses why those changes took place.  Also please provide any corrections that might be in order.</t>
  </si>
  <si>
    <t>If you want to review what you reported for the prior year you can click on the tab titled prior year.</t>
  </si>
  <si>
    <t>Employee Benefits</t>
  </si>
  <si>
    <t>1)    Enter the amount of employee benefits directly recorded in cell B47.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</si>
  <si>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</si>
  <si>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</si>
  <si>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</si>
  <si>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</si>
  <si>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 xml:space="preserve">3)    Enter the amount of depreciation that will be assigned by square footage in cell B52.  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</si>
  <si>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</si>
  <si>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</si>
  <si>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</si>
  <si>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</si>
  <si>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</si>
  <si>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</si>
  <si>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</si>
  <si>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</si>
  <si>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</si>
  <si>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</si>
  <si>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</si>
  <si>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</si>
  <si>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</si>
  <si>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</si>
  <si>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</si>
  <si>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</si>
  <si>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</si>
  <si>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</si>
  <si>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</si>
  <si>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</si>
  <si>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</si>
  <si>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</si>
  <si>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</si>
  <si>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</si>
  <si>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</si>
  <si>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</si>
  <si>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</si>
  <si>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</si>
  <si>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</si>
  <si>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</si>
  <si>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</si>
  <si>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</si>
  <si>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</si>
  <si>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</si>
  <si>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</si>
  <si>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</si>
  <si>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</si>
  <si>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</si>
  <si>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</si>
  <si>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</si>
  <si>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</si>
  <si>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</si>
  <si>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</si>
  <si>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</si>
  <si>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</si>
  <si>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</si>
  <si>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</si>
  <si>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</si>
  <si>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</si>
  <si>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</si>
  <si>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</si>
  <si>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</si>
  <si>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</si>
  <si>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</si>
  <si>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</si>
  <si>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</si>
  <si>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</si>
  <si>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</si>
  <si>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</si>
  <si>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</si>
  <si>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</si>
  <si>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</si>
  <si>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</si>
  <si>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</si>
  <si>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</si>
  <si>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</si>
  <si>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</si>
  <si>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</si>
  <si>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</si>
  <si>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</si>
  <si>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</si>
  <si>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</si>
  <si>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</si>
  <si>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</si>
  <si>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</si>
  <si>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</si>
  <si>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</si>
  <si>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</si>
  <si>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</si>
  <si>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</si>
  <si>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</si>
  <si>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</si>
  <si>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</si>
  <si>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</si>
  <si>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</si>
  <si>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</si>
  <si>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</si>
  <si>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</si>
  <si>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</si>
  <si>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</si>
  <si>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</si>
  <si>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</si>
  <si>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</si>
  <si>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</si>
  <si>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</si>
  <si>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</si>
  <si>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</si>
  <si>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</si>
  <si>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</si>
  <si>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</si>
  <si>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</si>
  <si>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</si>
  <si>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</si>
  <si>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</si>
  <si>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</si>
  <si>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</si>
  <si>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</si>
  <si>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</si>
  <si>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</si>
  <si>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</si>
  <si>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</si>
  <si>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</si>
  <si>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</si>
  <si>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</si>
  <si>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</si>
  <si>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</si>
  <si>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</si>
  <si>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</si>
  <si>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</si>
  <si>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</si>
  <si>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</si>
  <si>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</si>
  <si>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</si>
  <si>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</si>
  <si>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</si>
  <si>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</si>
  <si>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</si>
  <si>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</si>
  <si>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</si>
  <si>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</si>
  <si>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</si>
  <si>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</si>
  <si>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</si>
  <si>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</si>
  <si>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</si>
  <si>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</si>
  <si>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</si>
  <si>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</si>
  <si>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</si>
  <si>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</si>
  <si>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</si>
  <si>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</si>
  <si>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</si>
  <si>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</si>
  <si>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</si>
  <si>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</si>
  <si>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</si>
  <si>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</si>
  <si>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</si>
  <si>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</si>
  <si>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</si>
  <si>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</si>
  <si>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</si>
  <si>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</si>
  <si>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</si>
  <si>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</si>
  <si>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</si>
  <si>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</si>
  <si>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</si>
  <si>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</si>
  <si>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</si>
  <si>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</si>
  <si>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</si>
  <si>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</si>
  <si>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</si>
  <si>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</si>
  <si>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</si>
  <si>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</si>
  <si>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</si>
  <si>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</si>
  <si>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</si>
  <si>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</si>
  <si>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</si>
  <si>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</si>
  <si>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</si>
  <si>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</si>
  <si>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</si>
  <si>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</si>
  <si>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</si>
  <si>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</si>
  <si>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</si>
  <si>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</si>
  <si>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</si>
  <si>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</si>
  <si>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</si>
  <si>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</si>
  <si>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</si>
  <si>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</si>
  <si>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</si>
  <si>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</si>
  <si>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</si>
  <si>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</si>
  <si>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</si>
  <si>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</si>
  <si>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</si>
  <si>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</si>
  <si>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</si>
  <si>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</si>
  <si>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</si>
  <si>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</si>
  <si>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</si>
  <si>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</si>
  <si>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</si>
  <si>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</si>
  <si>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</si>
  <si>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</si>
  <si>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</si>
  <si>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</si>
  <si>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</si>
  <si>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</si>
  <si>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</si>
  <si>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</si>
  <si>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</si>
  <si>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</si>
  <si>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</si>
  <si>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</si>
  <si>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</si>
  <si>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</si>
  <si>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</si>
  <si>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</si>
  <si>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</si>
  <si>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</si>
  <si>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</si>
  <si>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</si>
  <si>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</si>
  <si>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</si>
  <si>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</si>
  <si>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</si>
  <si>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</si>
  <si>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</si>
  <si>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</si>
  <si>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</si>
  <si>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</si>
  <si>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</si>
  <si>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</si>
  <si>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</si>
  <si>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</si>
  <si>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</si>
  <si>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</si>
  <si>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</si>
  <si>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</si>
  <si>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</si>
  <si>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</si>
  <si>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</si>
  <si>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</si>
  <si>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License Number</t>
  </si>
  <si>
    <t>:</t>
  </si>
  <si>
    <t>Hospital Name</t>
  </si>
  <si>
    <t>City, State, 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</si>
  <si>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</si>
  <si>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</si>
  <si>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</si>
  <si>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</si>
  <si>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</si>
  <si>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</si>
  <si>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TYPE OF ORGANIZATION  (If applies enter 1)</t>
  </si>
  <si>
    <t>Governmental</t>
  </si>
  <si>
    <t>State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</si>
  <si>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</si>
  <si>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</si>
  <si>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</si>
  <si>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</si>
  <si>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</si>
  <si>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</si>
  <si>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</si>
  <si>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</si>
  <si>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</si>
  <si>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</si>
  <si>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</si>
  <si>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</si>
  <si>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</si>
  <si>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</si>
  <si>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</si>
  <si>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</si>
  <si>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</si>
  <si>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</si>
  <si>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</si>
  <si>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</si>
  <si>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</si>
  <si>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</si>
  <si>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</si>
  <si>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</si>
  <si>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</si>
  <si>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</si>
  <si>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</si>
  <si>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</si>
  <si>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</si>
  <si>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</si>
  <si>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</si>
  <si>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</si>
  <si>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</si>
  <si>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</si>
  <si>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</si>
  <si>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</si>
  <si>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</si>
  <si>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</si>
  <si>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</si>
  <si>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</si>
  <si>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</si>
  <si>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</si>
  <si>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</si>
  <si>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</si>
  <si>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</si>
  <si>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</si>
  <si>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</si>
  <si>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</si>
  <si>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</si>
  <si>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</si>
  <si>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</si>
  <si>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</si>
  <si>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</si>
  <si>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</si>
  <si>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</si>
  <si>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</si>
  <si>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</si>
  <si>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</si>
  <si>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</si>
  <si>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</si>
  <si>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</si>
  <si>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</si>
  <si>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</si>
  <si>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</si>
  <si>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</si>
  <si>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</si>
  <si>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</si>
  <si>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</si>
  <si>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</si>
  <si>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</si>
  <si>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</si>
  <si>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</si>
  <si>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</si>
  <si>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</si>
  <si>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</si>
  <si>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</si>
  <si>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</si>
  <si>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</si>
  <si>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</si>
  <si>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</si>
  <si>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</si>
  <si>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</si>
  <si>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</si>
  <si>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</si>
  <si>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</si>
  <si>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</si>
  <si>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</si>
  <si>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</si>
  <si>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</si>
  <si>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</si>
  <si>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</si>
  <si>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</si>
  <si>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</si>
  <si>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</si>
  <si>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</si>
  <si>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</si>
  <si>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</si>
  <si>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</si>
  <si>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</si>
  <si>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</si>
  <si>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</si>
  <si>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</si>
  <si>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</si>
  <si>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</si>
  <si>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</si>
  <si>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</si>
  <si>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</si>
  <si>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</si>
  <si>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</si>
  <si>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</si>
  <si>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</si>
  <si>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</si>
  <si>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</si>
  <si>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</si>
  <si>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</si>
  <si>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</si>
  <si>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</si>
  <si>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</si>
  <si>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</si>
  <si>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</si>
  <si>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</si>
  <si>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</si>
  <si>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</si>
  <si>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</si>
  <si>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</si>
  <si>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</si>
  <si>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</si>
  <si>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</si>
  <si>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</si>
  <si>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</si>
  <si>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</si>
  <si>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</si>
  <si>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</si>
  <si>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</si>
  <si>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</si>
  <si>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</si>
  <si>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</si>
  <si>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</si>
  <si>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</si>
  <si>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</si>
  <si>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</si>
  <si>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</si>
  <si>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</si>
  <si>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</si>
  <si>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</si>
  <si>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</si>
  <si>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</si>
  <si>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</si>
  <si>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</si>
  <si>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</si>
  <si>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Noncurrent Liabilities</t>
  </si>
  <si>
    <t>Less Current Maturities LTD</t>
  </si>
  <si>
    <t>Total Long Term Debt</t>
  </si>
  <si>
    <t>Unrestricted Fund Balance</t>
  </si>
  <si>
    <t>Retained Earnings</t>
  </si>
  <si>
    <t>Additional Paid In Capital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</si>
  <si>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</si>
  <si>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</si>
  <si>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</si>
  <si>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</si>
  <si>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</si>
  <si>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</si>
  <si>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</si>
  <si>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</si>
  <si>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</si>
  <si>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</si>
  <si>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</si>
  <si>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</si>
  <si>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</si>
  <si>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</si>
  <si>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</si>
  <si>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</si>
  <si>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</si>
  <si>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</si>
  <si>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</si>
  <si>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</si>
  <si>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</si>
  <si>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</si>
  <si>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</si>
  <si>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</si>
  <si>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</si>
  <si>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</si>
  <si>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Provision for Bad Debts</t>
  </si>
  <si>
    <t>Other Direct Expense</t>
  </si>
  <si>
    <t>Total Operating Expenses</t>
  </si>
  <si>
    <t>Net Operating Revenue</t>
  </si>
  <si>
    <t>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</si>
  <si>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</si>
  <si>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</si>
  <si>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</si>
  <si>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</si>
  <si>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EDIT</t>
  </si>
  <si>
    <t>VOLUME:</t>
  </si>
  <si>
    <t>Info Page</t>
  </si>
  <si>
    <t>CC Detail</t>
  </si>
  <si>
    <t>Hospital Admissions</t>
  </si>
  <si>
    <t>Hospital Patient Days</t>
  </si>
  <si>
    <t>SNF/Swing Admissions</t>
  </si>
  <si>
    <t>SNF/Swing Patient Days</t>
  </si>
  <si>
    <t>ATC Admissions</t>
  </si>
  <si>
    <t>ATC Patient Days</t>
  </si>
  <si>
    <t>Newborn Admissions</t>
  </si>
  <si>
    <t>OPERATING EXPENSES:</t>
  </si>
  <si>
    <t>FS-3</t>
  </si>
  <si>
    <t>Support Sched.</t>
  </si>
  <si>
    <t>Salaries</t>
  </si>
  <si>
    <t>Leases/Rentals</t>
  </si>
  <si>
    <t>Licenses &amp; Taxes</t>
  </si>
  <si>
    <t>Ins, Lic. &amp; Taxes, and Interest</t>
  </si>
  <si>
    <t>Total Other Direct Expense</t>
  </si>
  <si>
    <t>Total Expenses</t>
  </si>
  <si>
    <t>DEDUCTIONS:</t>
  </si>
  <si>
    <t>SS-8</t>
  </si>
  <si>
    <t>CHARITY CARE</t>
  </si>
  <si>
    <t>Deductions</t>
  </si>
  <si>
    <t>From Revenue</t>
  </si>
  <si>
    <t># Of Patients</t>
  </si>
  <si>
    <t>OTHER REVENUES:</t>
  </si>
  <si>
    <t>CC-DETAIL</t>
  </si>
  <si>
    <t>Other Revenue</t>
  </si>
  <si>
    <t>PATIENT SERVICE REVENUE:</t>
  </si>
  <si>
    <t>PAYOR</t>
  </si>
  <si>
    <t>INFO</t>
  </si>
  <si>
    <t>FIXED ASSET ENDING BALANCES:</t>
  </si>
  <si>
    <t>FS-1</t>
  </si>
  <si>
    <t>SS-4</t>
  </si>
  <si>
    <t>Fixed Equip - Bldg Serv</t>
  </si>
  <si>
    <t>Equipment (Moveable)</t>
  </si>
  <si>
    <t>Accum Depre Ending Balance</t>
  </si>
  <si>
    <t>Balance Sheet</t>
  </si>
  <si>
    <t>FS-1   Assets</t>
  </si>
  <si>
    <t>FS-1  Liabilities &amp; Fund Balance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</si>
  <si>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</si>
  <si>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</si>
  <si>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varies by more or less than 25 %, the variance appears in column H.</t>
  </si>
  <si>
    <t>If the percentage change is more or less than 25%., please provide an explanation that is provided as an attachment with your</t>
  </si>
  <si>
    <t>year end report submittal.  Also please provide any corrections required to the prior years information.</t>
  </si>
  <si>
    <t>Operating</t>
  </si>
  <si>
    <t xml:space="preserve">Units of </t>
  </si>
  <si>
    <t>Op Exp /</t>
  </si>
  <si>
    <t xml:space="preserve">% chg </t>
  </si>
  <si>
    <t>Measure</t>
  </si>
  <si>
    <t>U O M</t>
  </si>
  <si>
    <t>&lt;&gt; 25%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</si>
  <si>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</si>
  <si>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</si>
  <si>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</si>
  <si>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</si>
  <si>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</si>
  <si>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</si>
  <si>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</si>
  <si>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</si>
  <si>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</si>
  <si>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</si>
  <si>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</si>
  <si>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</si>
  <si>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</si>
  <si>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</si>
  <si>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</si>
  <si>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</si>
  <si>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</si>
  <si>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</si>
  <si>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</si>
  <si>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</si>
  <si>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</si>
  <si>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</si>
  <si>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</si>
  <si>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</si>
  <si>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</si>
  <si>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</si>
  <si>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</si>
  <si>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</si>
  <si>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</si>
  <si>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</si>
  <si>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</si>
  <si>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</si>
  <si>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</si>
  <si>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</si>
  <si>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</si>
  <si>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</si>
  <si>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</si>
  <si>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</si>
  <si>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</si>
  <si>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</si>
  <si>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</si>
  <si>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</si>
  <si>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</si>
  <si>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</si>
  <si>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</si>
  <si>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</si>
  <si>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</si>
  <si>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</si>
  <si>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</si>
  <si>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</si>
  <si>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</si>
  <si>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</si>
  <si>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</si>
  <si>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</si>
  <si>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</si>
  <si>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</si>
  <si>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</si>
  <si>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</si>
  <si>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</si>
  <si>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</si>
  <si>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</si>
  <si>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</si>
  <si>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</si>
  <si>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</si>
  <si>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</si>
  <si>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</si>
  <si>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</si>
  <si>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</si>
  <si>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</si>
  <si>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</si>
  <si>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</si>
  <si>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</si>
  <si>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</si>
  <si>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</si>
  <si>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</si>
  <si>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</si>
  <si>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</si>
  <si>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</si>
  <si>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</si>
  <si>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</si>
  <si>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</si>
  <si>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</si>
  <si>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</si>
  <si>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</si>
  <si>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</si>
  <si>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</si>
  <si>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</si>
  <si>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</si>
  <si>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</si>
  <si>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</si>
  <si>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</si>
  <si>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</si>
  <si>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</si>
  <si>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</si>
  <si>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</si>
  <si>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</si>
  <si>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</si>
  <si>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</si>
  <si>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</si>
  <si>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</si>
  <si>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</si>
  <si>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</si>
  <si>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</si>
  <si>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</si>
  <si>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</si>
  <si>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</si>
  <si>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</si>
  <si>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</si>
  <si>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</si>
  <si>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</si>
  <si>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</si>
  <si>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</si>
  <si>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</si>
  <si>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</si>
  <si>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</si>
  <si>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</si>
  <si>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</si>
  <si>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</si>
  <si>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</si>
  <si>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</si>
  <si>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</si>
  <si>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</si>
  <si>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</si>
  <si>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</si>
  <si>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</si>
  <si>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</si>
  <si>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</si>
  <si>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</si>
  <si>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</si>
  <si>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</si>
  <si>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</si>
  <si>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</si>
  <si>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</si>
  <si>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</si>
  <si>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</si>
  <si>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</si>
  <si>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</si>
  <si>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</si>
  <si>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</si>
  <si>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</si>
  <si>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</si>
  <si>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</si>
  <si>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</si>
  <si>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</si>
  <si>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</si>
  <si>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</si>
  <si>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</si>
  <si>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</si>
  <si>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</si>
  <si>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</si>
  <si>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</si>
  <si>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</si>
  <si>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</si>
  <si>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</si>
  <si>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</si>
  <si>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</si>
  <si>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</si>
  <si>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</si>
  <si>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</si>
  <si>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</si>
  <si>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</si>
  <si>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</si>
  <si>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</si>
  <si>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</si>
  <si>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</si>
  <si>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</si>
  <si>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</si>
  <si>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</si>
  <si>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</si>
  <si>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</si>
  <si>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</si>
  <si>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</si>
  <si>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</si>
  <si>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</si>
  <si>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</si>
  <si>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</si>
  <si>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</si>
  <si>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</si>
  <si>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</si>
  <si>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</si>
  <si>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</si>
  <si>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</si>
  <si>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</si>
  <si>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</si>
  <si>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</si>
  <si>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</si>
  <si>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</si>
  <si>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</si>
  <si>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</si>
  <si>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</si>
  <si>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</si>
  <si>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</si>
  <si>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</si>
  <si>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</si>
  <si>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</si>
  <si>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</si>
  <si>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</si>
  <si>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</si>
  <si>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</si>
  <si>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</si>
  <si>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</si>
  <si>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</si>
  <si>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</si>
  <si>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</si>
  <si>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</si>
  <si>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</si>
  <si>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</si>
  <si>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</si>
  <si>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</si>
  <si>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</si>
  <si>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</si>
  <si>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</si>
  <si>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</si>
  <si>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</si>
  <si>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</si>
  <si>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</si>
  <si>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</si>
  <si>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</si>
  <si>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</si>
  <si>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</si>
  <si>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</si>
  <si>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</si>
  <si>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</si>
  <si>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</si>
  <si>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</si>
  <si>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</si>
  <si>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</si>
  <si>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</si>
  <si>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</si>
  <si>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</si>
  <si>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</si>
  <si>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</si>
  <si>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Support</t>
  </si>
  <si>
    <t>@ID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</si>
  <si>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</si>
  <si>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</si>
  <si>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</si>
  <si>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</si>
  <si>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</si>
  <si>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</si>
  <si>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</si>
  <si>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</si>
  <si>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</si>
  <si>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</si>
  <si>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</si>
  <si>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</si>
  <si>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</si>
  <si>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</si>
  <si>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</si>
  <si>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</si>
  <si>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</si>
  <si>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</si>
  <si>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</si>
  <si>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</si>
  <si>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</si>
  <si>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</si>
  <si>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</si>
  <si>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</si>
  <si>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</si>
  <si>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</si>
  <si>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</si>
  <si>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</si>
  <si>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</si>
  <si>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</si>
  <si>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</si>
  <si>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</si>
  <si>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</si>
  <si>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</si>
  <si>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</si>
  <si>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</si>
  <si>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</si>
  <si>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</si>
  <si>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</si>
  <si>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</si>
  <si>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</si>
  <si>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</si>
  <si>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</si>
  <si>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</si>
  <si>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</si>
  <si>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</si>
  <si>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</si>
  <si>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</si>
  <si>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</si>
  <si>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</si>
  <si>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</si>
  <si>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</si>
  <si>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</si>
  <si>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</si>
  <si>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</si>
  <si>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</si>
  <si>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</si>
  <si>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</si>
  <si>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</si>
  <si>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</si>
  <si>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</si>
  <si>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</si>
  <si>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</si>
  <si>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</si>
  <si>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</si>
  <si>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</si>
  <si>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</si>
  <si>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</si>
  <si>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</si>
  <si>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</si>
  <si>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</si>
  <si>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</si>
  <si>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</si>
  <si>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</si>
  <si>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</si>
  <si>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</si>
  <si>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</si>
  <si>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</si>
  <si>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</si>
  <si>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</si>
  <si>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</si>
  <si>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</si>
  <si>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</si>
  <si>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</si>
  <si>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</si>
  <si>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</si>
  <si>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</si>
  <si>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</si>
  <si>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</si>
  <si>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</si>
  <si>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</si>
  <si>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</si>
  <si>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</si>
  <si>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</si>
  <si>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</si>
  <si>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</si>
  <si>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</si>
  <si>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</si>
  <si>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YICF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</si>
  <si>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</si>
  <si>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</si>
  <si>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</si>
  <si>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</si>
  <si>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</si>
  <si>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</si>
  <si>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</si>
  <si>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</si>
  <si>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</si>
  <si>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</si>
  <si>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</si>
  <si>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</si>
  <si>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</si>
  <si>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</si>
  <si>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</si>
  <si>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</si>
  <si>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</si>
  <si>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</si>
  <si>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</si>
  <si>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</si>
  <si>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</si>
  <si>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</si>
  <si>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</si>
  <si>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</si>
  <si>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</si>
  <si>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</si>
  <si>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</si>
  <si>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</si>
  <si>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</si>
  <si>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</si>
  <si>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</si>
  <si>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</si>
  <si>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</si>
  <si>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</si>
  <si>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</si>
  <si>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</si>
  <si>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</si>
  <si>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</si>
  <si>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</si>
  <si>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</si>
  <si>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</si>
  <si>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</si>
  <si>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</si>
  <si>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</si>
  <si>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</si>
  <si>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</si>
  <si>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</si>
  <si>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</si>
  <si>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</si>
  <si>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</si>
  <si>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Funds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</si>
  <si>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</si>
  <si>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</si>
  <si>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</si>
  <si>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</si>
  <si>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</si>
  <si>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</si>
  <si>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</si>
  <si>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</si>
  <si>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</si>
  <si>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</si>
  <si>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</si>
  <si>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</si>
  <si>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</si>
  <si>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</si>
  <si>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</si>
  <si>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</si>
  <si>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</si>
  <si>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</si>
  <si>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</si>
  <si>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</si>
  <si>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</si>
  <si>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</si>
  <si>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</si>
  <si>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</si>
  <si>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</si>
  <si>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</si>
  <si>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</si>
  <si>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</si>
  <si>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</si>
  <si>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</si>
  <si>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</si>
  <si>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</si>
  <si>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</si>
  <si>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</si>
  <si>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</si>
  <si>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</si>
  <si>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</si>
  <si>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</si>
  <si>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</si>
  <si>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</si>
  <si>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</si>
  <si>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</si>
  <si>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</si>
  <si>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</si>
  <si>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</si>
  <si>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</si>
  <si>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</si>
  <si>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</si>
  <si>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</si>
  <si>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</si>
  <si>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</si>
  <si>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</si>
  <si>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</si>
  <si>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</si>
  <si>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</si>
  <si>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</si>
  <si>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</si>
  <si>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</si>
  <si>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YBSEOE</t>
  </si>
  <si>
    <t>YCSFTE</t>
  </si>
  <si>
    <t>YCSIPR</t>
  </si>
  <si>
    <t>YCSOPR</t>
  </si>
  <si>
    <t>YCSCA</t>
  </si>
  <si>
    <t>YCSCUC</t>
  </si>
  <si>
    <t>YCSOAA</t>
  </si>
  <si>
    <t>YCSOOR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</si>
  <si>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</si>
  <si>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</si>
  <si>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</si>
  <si>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</si>
  <si>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</si>
  <si>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</si>
  <si>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</si>
  <si>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</si>
  <si>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</si>
  <si>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</si>
  <si>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</si>
  <si>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</si>
  <si>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</si>
  <si>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</si>
  <si>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YCSNORNE</t>
  </si>
  <si>
    <t>YCSEI</t>
  </si>
  <si>
    <t>YCSFIT</t>
  </si>
  <si>
    <t>Costcenter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</si>
  <si>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</si>
  <si>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</si>
  <si>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</si>
  <si>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</si>
  <si>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</si>
  <si>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</si>
  <si>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</si>
  <si>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</si>
  <si>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</si>
  <si>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</si>
  <si>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</si>
  <si>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</si>
  <si>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</si>
  <si>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</si>
  <si>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</si>
  <si>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</si>
  <si>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</si>
  <si>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</si>
  <si>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</si>
  <si>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YUNAS</t>
  </si>
  <si>
    <t>YUNAREC</t>
  </si>
  <si>
    <t>YTAX</t>
  </si>
  <si>
    <t>SNAR</t>
  </si>
  <si>
    <t>YCAS</t>
  </si>
  <si>
    <t>Upload Costcenter</t>
  </si>
  <si>
    <t>CC's</t>
  </si>
  <si>
    <t>NA</t>
  </si>
  <si>
    <t xml:space="preserve">  ----------------</t>
  </si>
  <si>
    <t>Page 1 of 21</t>
  </si>
  <si>
    <t>TRANSMITTAL AND CERTIFICATION</t>
  </si>
  <si>
    <t>HOSPITAL'S YEAR END REPORT</t>
  </si>
  <si>
    <t>TO</t>
  </si>
  <si>
    <t>The Department of Health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</si>
  <si>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</si>
  <si>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</si>
  <si>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</si>
  <si>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</si>
  <si>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</si>
  <si>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</si>
  <si>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</si>
  <si>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</si>
  <si>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</si>
  <si>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</si>
  <si>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</si>
  <si>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</si>
  <si>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</si>
  <si>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</si>
  <si>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</si>
  <si>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</si>
  <si>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</si>
  <si>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</si>
  <si>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</si>
  <si>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</si>
  <si>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</si>
  <si>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</si>
  <si>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</si>
  <si>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</si>
  <si>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</si>
  <si>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</si>
  <si>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</si>
  <si>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</si>
  <si>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</si>
  <si>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</si>
  <si>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</si>
  <si>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</si>
  <si>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</si>
  <si>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</si>
  <si>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</si>
  <si>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</si>
  <si>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</si>
  <si>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</si>
  <si>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</si>
  <si>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</si>
  <si>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</si>
  <si>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</si>
  <si>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</si>
  <si>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</si>
  <si>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</si>
  <si>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</si>
  <si>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</si>
  <si>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</si>
  <si>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</si>
  <si>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</si>
  <si>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</si>
  <si>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</si>
  <si>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</si>
  <si>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</si>
  <si>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</si>
  <si>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</si>
  <si>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</si>
  <si>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</si>
  <si>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</si>
  <si>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</si>
  <si>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</si>
  <si>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</si>
  <si>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</si>
  <si>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</si>
  <si>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</si>
  <si>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</si>
  <si>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</si>
  <si>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</si>
  <si>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</si>
  <si>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</si>
  <si>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</si>
  <si>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</si>
  <si>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</si>
  <si>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</si>
  <si>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</si>
  <si>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</si>
  <si>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</si>
  <si>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</si>
  <si>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</si>
  <si>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</si>
  <si>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</si>
  <si>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</si>
  <si>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</si>
  <si>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</si>
  <si>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</si>
  <si>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</si>
  <si>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</si>
  <si>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</si>
  <si>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</si>
  <si>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</si>
  <si>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</si>
  <si>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</si>
  <si>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</si>
  <si>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</si>
  <si>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</si>
  <si>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</si>
  <si>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</si>
  <si>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</si>
  <si>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</si>
  <si>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</si>
  <si>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</si>
  <si>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</si>
  <si>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</si>
  <si>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</si>
  <si>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</si>
  <si>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</si>
  <si>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</si>
  <si>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</si>
  <si>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</si>
  <si>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</si>
  <si>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</si>
  <si>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</si>
  <si>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</si>
  <si>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</si>
  <si>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</si>
  <si>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</si>
  <si>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</si>
  <si>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</si>
  <si>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</si>
  <si>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</si>
  <si>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</si>
  <si>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</si>
  <si>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</si>
  <si>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</si>
  <si>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</si>
  <si>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</si>
  <si>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</si>
  <si>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</si>
  <si>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</si>
  <si>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Preferred Stock</t>
  </si>
  <si>
    <t>Common Stock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</si>
  <si>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</si>
  <si>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</si>
  <si>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</si>
  <si>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</si>
  <si>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</si>
  <si>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</si>
  <si>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</si>
  <si>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</si>
  <si>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</si>
  <si>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</si>
  <si>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</si>
  <si>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Charity and Uncompensated Care</t>
  </si>
  <si>
    <t>Other Adjustments and Allowances</t>
  </si>
  <si>
    <t>NET PATIENT SERVICE REVENUE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</si>
  <si>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</si>
  <si>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</si>
  <si>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</si>
  <si>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</si>
  <si>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</si>
  <si>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</si>
  <si>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</si>
  <si>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</si>
  <si>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</si>
  <si>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</si>
  <si>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</si>
  <si>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</si>
  <si>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</si>
  <si>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</si>
  <si>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</si>
  <si>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</si>
  <si>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</si>
  <si>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</si>
  <si>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</si>
  <si>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</si>
  <si>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</si>
  <si>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</si>
  <si>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</si>
  <si>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</si>
  <si>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</si>
  <si>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</si>
  <si>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</si>
  <si>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</si>
  <si>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</si>
  <si>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</si>
  <si>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</si>
  <si>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</si>
  <si>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</si>
  <si>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</si>
  <si>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</si>
  <si>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</si>
  <si>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Intravenous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</si>
  <si>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</si>
  <si>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</si>
  <si>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</si>
  <si>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</si>
  <si>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</si>
  <si>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</si>
  <si>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</si>
  <si>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</si>
  <si>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</si>
  <si>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</si>
  <si>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</si>
  <si>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</si>
  <si>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</si>
  <si>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</si>
  <si>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</si>
  <si>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</si>
  <si>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</si>
  <si>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Acquisitions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</si>
  <si>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</si>
  <si>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</si>
  <si>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</si>
  <si>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</si>
  <si>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</si>
  <si>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</si>
  <si>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</si>
  <si>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</si>
  <si>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</si>
  <si>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</si>
  <si>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</si>
  <si>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</si>
  <si>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</si>
  <si>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</si>
  <si>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</si>
  <si>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Your hospital license number and fiscal year end have already been entered. These items need to be in alpha format rather</t>
  </si>
  <si>
    <t>calculated on lines 48 and 52, respectively.</t>
  </si>
  <si>
    <t>To submit your report by electronic mail, please send to:</t>
  </si>
  <si>
    <t>than numeric format in order to pick up correctly for upload to the year end report database.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</si>
  <si>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</si>
  <si>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</si>
  <si>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Please remember to send a signed certification page and an audited financial statement by regular mail when they are available.</t>
  </si>
  <si>
    <t>The employee benefits can be entered directly, assigned to the cost centers based on a percentage of salaries, or a combination of the two.</t>
  </si>
  <si>
    <t>2)    Enter the employee benefits directly recorded by cost center in cells C47..CC47.</t>
  </si>
  <si>
    <t>2)    Enter the amount of depreciation directly recorded by cost center in cells C51..CC51.</t>
  </si>
  <si>
    <t xml:space="preserve">After the salaries and the departmental square footage statistics are entered, the departmental employee benefits and depreciation will be </t>
  </si>
  <si>
    <t>Acute Care - Med/Surg</t>
  </si>
  <si>
    <t>PAYER UNITS OF SERVICE AND REVENUE</t>
  </si>
  <si>
    <t>Rec. From 3rd Party Payers</t>
  </si>
  <si>
    <t>Payables to 3rd Party Payers</t>
  </si>
  <si>
    <t>Payer</t>
  </si>
  <si>
    <t>Newborn Patient Days</t>
  </si>
  <si>
    <t>PAYER</t>
  </si>
  <si>
    <t>7060  Intravenous Therapy</t>
  </si>
  <si>
    <t>7340  Electromyography</t>
  </si>
  <si>
    <t>8200  Research / Education</t>
  </si>
  <si>
    <t>8660  Auxiliary Groups</t>
  </si>
  <si>
    <t>Radiology - Diagnostic</t>
  </si>
  <si>
    <t>Street Address</t>
  </si>
  <si>
    <t>Mailing Address</t>
  </si>
  <si>
    <t>Less: Treasury Stock</t>
  </si>
  <si>
    <t>It is only necessary to enter data on this page. Items will automatically transfer from this page to the report pages.</t>
  </si>
  <si>
    <t>Provision for Bad Debt</t>
  </si>
  <si>
    <t>YDRTBD</t>
  </si>
  <si>
    <t>Bad Debt</t>
  </si>
  <si>
    <t>The operating expenses, the units of measure and the operating expenses per unit of measure are stated on line 496 thru line 575 in columns</t>
  </si>
  <si>
    <t>hos@doh.wa.gov.</t>
  </si>
  <si>
    <t>If you have any questions or concerns please call Communty Health Systems at 360-236-4210 or send an e-mail to</t>
  </si>
  <si>
    <t>Office of Community Health Systems</t>
  </si>
  <si>
    <t>P.O. Box 47853</t>
  </si>
  <si>
    <t>Olympia, Washington 98504-7853</t>
  </si>
  <si>
    <t>DOH FORM 689-182 (Rev 12/05/2017)</t>
  </si>
  <si>
    <t>King</t>
  </si>
  <si>
    <t>06/30/2018</t>
  </si>
  <si>
    <t>2017</t>
  </si>
  <si>
    <t>06/30/2019</t>
  </si>
  <si>
    <t>Roy Brooks</t>
  </si>
  <si>
    <t>126</t>
  </si>
  <si>
    <t>Highline Medical Center</t>
  </si>
  <si>
    <t>16251 Sylvester Rd SW</t>
  </si>
  <si>
    <t>Burien, WA 98166</t>
  </si>
  <si>
    <t>Ketul Petal</t>
  </si>
  <si>
    <t>Michael Fitzgerald</t>
  </si>
  <si>
    <t>206-244-9970</t>
  </si>
  <si>
    <t>206-246-5385</t>
  </si>
  <si>
    <t>S&amp;W, Professional Fees, Depreciation, Purchased Services declined by $500K each, Recovery declined by $495K.  CPT4 Procedures in place FY18.</t>
  </si>
  <si>
    <t>Total Pt Visits per Premier.</t>
  </si>
  <si>
    <t>CPT4 Procedures in place FY18.</t>
  </si>
  <si>
    <t>Total Pt Days per Premier.</t>
  </si>
  <si>
    <t>Sum of Weight</t>
  </si>
  <si>
    <t>DOH Dept #</t>
  </si>
  <si>
    <t>Regional</t>
  </si>
  <si>
    <t>not wanted by DOH</t>
  </si>
  <si>
    <t>Grand Total</t>
  </si>
  <si>
    <t>Summary Total</t>
  </si>
  <si>
    <t>Row Labels</t>
  </si>
  <si>
    <t>Sum of Total</t>
  </si>
  <si>
    <t>Laundry</t>
  </si>
  <si>
    <t>DOH Department</t>
  </si>
  <si>
    <t>FY19</t>
  </si>
  <si>
    <t>Sum of FY19</t>
  </si>
  <si>
    <t>Values</t>
  </si>
  <si>
    <t>Zone</t>
  </si>
  <si>
    <t>DOH Acct</t>
  </si>
  <si>
    <t>Sum of Nurse FTE</t>
  </si>
  <si>
    <t>Sum of Total FTE</t>
  </si>
  <si>
    <t>Sum of FTE</t>
  </si>
  <si>
    <t>106</t>
  </si>
  <si>
    <t>7260 Clinics</t>
  </si>
  <si>
    <t>Paid FTE</t>
  </si>
  <si>
    <t>ICU</t>
  </si>
  <si>
    <t>Physical Rehab</t>
  </si>
  <si>
    <t>Surgery</t>
  </si>
  <si>
    <t>Medical Supplies</t>
  </si>
  <si>
    <t>IV Therapy</t>
  </si>
  <si>
    <t>Lab</t>
  </si>
  <si>
    <t>MRI</t>
  </si>
  <si>
    <t>CT Scan</t>
  </si>
  <si>
    <t>Radiology</t>
  </si>
  <si>
    <t>Nucl Med</t>
  </si>
  <si>
    <t>Resp Therapy</t>
  </si>
  <si>
    <t>OT</t>
  </si>
  <si>
    <t>Other Ancilliary</t>
  </si>
  <si>
    <t>Patient Acctg</t>
  </si>
  <si>
    <t>Employee Health</t>
  </si>
  <si>
    <t>Other Admin</t>
  </si>
  <si>
    <t>Sum of Total P/S</t>
  </si>
  <si>
    <t>IP Rev</t>
  </si>
  <si>
    <t>Total Out Rev</t>
  </si>
  <si>
    <t>Non-Patient Rev</t>
  </si>
  <si>
    <t>Operating Rev</t>
  </si>
  <si>
    <t>S&amp;W</t>
  </si>
  <si>
    <t>Emp Benefits</t>
  </si>
  <si>
    <t>Supp Expense</t>
  </si>
  <si>
    <t>Utilities</t>
  </si>
  <si>
    <t>Rent &amp; Lease</t>
  </si>
  <si>
    <t>Other Expenses</t>
  </si>
  <si>
    <t>Total Other Expense</t>
  </si>
  <si>
    <t>Total Operating Exp</t>
  </si>
  <si>
    <t>Non-Oper Gains</t>
  </si>
  <si>
    <t>Total Income Stat</t>
  </si>
  <si>
    <t>Sum of YTD</t>
  </si>
  <si>
    <t>Expense Type</t>
  </si>
  <si>
    <t>936</t>
  </si>
  <si>
    <t>Net Income</t>
  </si>
  <si>
    <t>Inpatient Service Gross Rev</t>
  </si>
  <si>
    <t>Outpatient care Services Rev</t>
  </si>
  <si>
    <t>Physician Services Gross Rev</t>
  </si>
  <si>
    <t>Contractual Allowance</t>
  </si>
  <si>
    <t>Charity Care Allowance</t>
  </si>
  <si>
    <t>Provision for Doutful Account</t>
  </si>
  <si>
    <t>Donations</t>
  </si>
  <si>
    <t>Changes in equity of unconsolidated organizations</t>
  </si>
  <si>
    <t>Other Operating revenues</t>
  </si>
  <si>
    <t>Contract Labor</t>
  </si>
  <si>
    <t>Benefits</t>
  </si>
  <si>
    <t>Medical Professional Fees</t>
  </si>
  <si>
    <t>Purchase Services</t>
  </si>
  <si>
    <t xml:space="preserve">Consulting </t>
  </si>
  <si>
    <t>Supplies Expenses</t>
  </si>
  <si>
    <t>Utilities expense</t>
  </si>
  <si>
    <t>Insurance Expense</t>
  </si>
  <si>
    <t>Depreciation and amortization</t>
  </si>
  <si>
    <t>Interest Expense</t>
  </si>
  <si>
    <t>National Assessment</t>
  </si>
  <si>
    <t>Repairs and maintenance</t>
  </si>
  <si>
    <t>Rentals and leases</t>
  </si>
  <si>
    <t>Nonoperating gains (losses) (Investment Inc)</t>
  </si>
  <si>
    <t>Restructuring expense</t>
  </si>
  <si>
    <t>Prof Fees</t>
  </si>
  <si>
    <t>Total Benefits</t>
  </si>
  <si>
    <t>Hskpg Hours</t>
  </si>
  <si>
    <t>Square Footage</t>
  </si>
  <si>
    <t>Renal</t>
  </si>
  <si>
    <t>Occup Therapy</t>
  </si>
  <si>
    <t>Ketul Patel</t>
  </si>
  <si>
    <t>from DOH</t>
  </si>
  <si>
    <t>Decline in S&amp;W expense by $1M or 49%.  It follows a decline of 44% in FTE in the department.</t>
  </si>
  <si>
    <t>Physician expenses and visits.</t>
  </si>
  <si>
    <t>UOM reported FY18 was partial.  Should have been 11,189.</t>
  </si>
  <si>
    <t>UOM reported FY18 was partial.  Should have been 4,685.  Other Operating revenue in FY18 included more service revenue from regional hospital by $221K.</t>
  </si>
  <si>
    <t>Cost of retail sales increased 51% in FY19 resulting in decreased meal equivalents by close to half.</t>
  </si>
  <si>
    <t>Benefits Not including FICA</t>
  </si>
  <si>
    <t>Revised Sq Footage</t>
  </si>
  <si>
    <t>Revised Hskpg Hrs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</si>
</sst>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_)"/>
    <numFmt numFmtId="165" formatCode="0_);\(0\)"/>
    <numFmt numFmtId="166" formatCode="_(* #,##0_);_(* \(#,##0\);_(* &quot;-&quot;??_);_(@_)"/>
  </numFmts>
  <fonts count="19" x14ac:knownFonts="1">
    <font>
      <sz val="12"/>
      <name val="Courie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8"/>
      <name val="Arial"/>
      <family val="2"/>
    </font>
    <font>
      <sz val="6"/>
      <name val="Arial"/>
      <family val="2"/>
    </font>
    <font>
      <sz val="11"/>
      <color indexed="12"/>
      <name val="Arial"/>
      <family val="2"/>
    </font>
    <font>
      <sz val="11"/>
      <name val="Courier"/>
      <family val="3"/>
    </font>
    <font>
      <u/>
      <sz val="9"/>
      <color indexed="12"/>
      <name val="Courier"/>
      <family val="3"/>
    </font>
    <font>
      <u/>
      <sz val="11"/>
      <color indexed="12"/>
      <name val="Arial"/>
      <family val="2"/>
    </font>
    <font>
      <sz val="9"/>
      <name val="Arial"/>
      <family val="2"/>
    </font>
    <font>
      <sz val="10"/>
      <name val="Tahoma"/>
      <family val="2"/>
    </font>
    <font>
      <b/>
      <sz val="12"/>
      <name val="Courie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D5EF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37" fontId="0" fillId="0" borderId="0"/>
    <xf numFmtId="43" fontId="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" fillId="0" borderId="0"/>
  </cellStyleXfs>
  <cellXfs count="312">
    <xf numFmtId="37" fontId="0" fillId="0" borderId="0" xfId="0"/>
    <xf numFmtId="37" fontId="3" fillId="0" borderId="0" xfId="0" applyFont="1" applyBorder="1"/>
    <xf numFmtId="37" fontId="3" fillId="0" borderId="0" xfId="0" applyFont="1"/>
    <xf numFmtId="37" fontId="2" fillId="0" borderId="0" xfId="0" applyFont="1" applyFill="1" applyBorder="1"/>
    <xf numFmtId="37" fontId="4" fillId="0" borderId="0" xfId="0" applyNumberFormat="1" applyFont="1" applyFill="1" applyBorder="1" applyAlignment="1" applyProtection="1">
      <alignment horizontal="centerContinuous"/>
    </xf>
    <xf numFmtId="37" fontId="5" fillId="0" borderId="0" xfId="0" applyFont="1" applyBorder="1" applyAlignment="1">
      <alignment horizontal="centerContinuous"/>
    </xf>
    <xf numFmtId="37" fontId="5" fillId="0" borderId="0" xfId="0" applyFont="1" applyAlignment="1">
      <alignment horizontal="centerContinuous"/>
    </xf>
    <xf numFmtId="37" fontId="5" fillId="0" borderId="0" xfId="0" applyFont="1"/>
    <xf numFmtId="37" fontId="5" fillId="0" borderId="0" xfId="0" applyFont="1" applyBorder="1"/>
    <xf numFmtId="37" fontId="4" fillId="0" borderId="0" xfId="0" applyNumberFormat="1" applyFont="1" applyFill="1" applyBorder="1" applyAlignment="1" applyProtection="1">
      <alignment horizontal="center"/>
    </xf>
    <xf numFmtId="37" fontId="5" fillId="0" borderId="0" xfId="0" quotePrefix="1" applyNumberFormat="1" applyFont="1" applyBorder="1" applyAlignment="1" applyProtection="1">
      <alignment horizontal="left"/>
    </xf>
    <xf numFmtId="37" fontId="6" fillId="0" borderId="0" xfId="0" applyFont="1"/>
    <xf numFmtId="37" fontId="5" fillId="0" borderId="0" xfId="0" quotePrefix="1" applyNumberFormat="1" applyFont="1" applyBorder="1" applyAlignment="1" applyProtection="1">
      <alignment horizontal="center"/>
    </xf>
    <xf numFmtId="37" fontId="4" fillId="0" borderId="1" xfId="0" applyNumberFormat="1" applyFont="1" applyFill="1" applyBorder="1" applyProtection="1"/>
    <xf numFmtId="37" fontId="4" fillId="0" borderId="2" xfId="0" applyNumberFormat="1" applyFont="1" applyFill="1" applyBorder="1" applyAlignment="1" applyProtection="1"/>
    <xf numFmtId="37" fontId="4" fillId="0" borderId="2" xfId="0" applyNumberFormat="1" applyFont="1" applyFill="1" applyBorder="1" applyAlignment="1" applyProtection="1">
      <alignment horizontal="center"/>
    </xf>
    <xf numFmtId="37" fontId="4" fillId="0" borderId="3" xfId="0" applyNumberFormat="1" applyFont="1" applyFill="1" applyBorder="1" applyProtection="1"/>
    <xf numFmtId="37" fontId="4" fillId="0" borderId="4" xfId="0" applyNumberFormat="1" applyFont="1" applyFill="1" applyBorder="1" applyAlignment="1" applyProtection="1"/>
    <xf numFmtId="37" fontId="4" fillId="0" borderId="4" xfId="0" applyNumberFormat="1" applyFont="1" applyFill="1" applyBorder="1" applyAlignment="1" applyProtection="1">
      <alignment horizontal="center"/>
    </xf>
    <xf numFmtId="37" fontId="4" fillId="0" borderId="3" xfId="0" applyFont="1" applyFill="1" applyBorder="1"/>
    <xf numFmtId="37" fontId="4" fillId="0" borderId="4" xfId="0" applyFont="1" applyFill="1" applyBorder="1"/>
    <xf numFmtId="37" fontId="4" fillId="0" borderId="2" xfId="0" applyNumberFormat="1" applyFont="1" applyFill="1" applyBorder="1" applyProtection="1"/>
    <xf numFmtId="37" fontId="4" fillId="0" borderId="2" xfId="0" quotePrefix="1" applyNumberFormat="1" applyFont="1" applyFill="1" applyBorder="1" applyAlignment="1" applyProtection="1">
      <alignment horizontal="left"/>
    </xf>
    <xf numFmtId="37" fontId="4" fillId="0" borderId="1" xfId="0" applyNumberFormat="1" applyFont="1" applyFill="1" applyBorder="1" applyAlignment="1" applyProtection="1"/>
    <xf numFmtId="37" fontId="4" fillId="0" borderId="2" xfId="0" applyFont="1" applyFill="1" applyBorder="1"/>
    <xf numFmtId="37" fontId="4" fillId="0" borderId="4" xfId="0" applyFont="1" applyFill="1" applyBorder="1" applyAlignment="1">
      <alignment horizontal="center"/>
    </xf>
    <xf numFmtId="39" fontId="4" fillId="0" borderId="2" xfId="0" applyNumberFormat="1" applyFont="1" applyFill="1" applyBorder="1" applyAlignment="1" applyProtection="1"/>
    <xf numFmtId="37" fontId="5" fillId="0" borderId="2" xfId="0" applyFont="1" applyBorder="1"/>
    <xf numFmtId="37" fontId="5" fillId="0" borderId="4" xfId="0" applyFont="1" applyBorder="1"/>
    <xf numFmtId="37" fontId="4" fillId="0" borderId="0" xfId="0" quotePrefix="1" applyNumberFormat="1" applyFont="1" applyFill="1" applyBorder="1" applyAlignment="1" applyProtection="1">
      <alignment horizontal="left"/>
    </xf>
    <xf numFmtId="37" fontId="4" fillId="0" borderId="0" xfId="0" applyFont="1" applyFill="1" applyBorder="1"/>
    <xf numFmtId="37" fontId="4" fillId="0" borderId="0" xfId="0" quotePrefix="1" applyNumberFormat="1" applyFont="1" applyFill="1" applyBorder="1" applyAlignment="1" applyProtection="1">
      <alignment horizontal="center"/>
    </xf>
    <xf numFmtId="37" fontId="4" fillId="0" borderId="5" xfId="0" applyFont="1" applyFill="1" applyBorder="1"/>
    <xf numFmtId="37" fontId="4" fillId="0" borderId="6" xfId="0" quotePrefix="1" applyNumberFormat="1" applyFont="1" applyFill="1" applyBorder="1" applyAlignment="1" applyProtection="1">
      <alignment horizontal="centerContinuous"/>
    </xf>
    <xf numFmtId="37" fontId="4" fillId="0" borderId="7" xfId="0" applyFont="1" applyFill="1" applyBorder="1" applyAlignment="1">
      <alignment horizontal="centerContinuous"/>
    </xf>
    <xf numFmtId="37" fontId="4" fillId="0" borderId="2" xfId="0" applyNumberFormat="1" applyFont="1" applyFill="1" applyBorder="1" applyAlignment="1" applyProtection="1">
      <alignment horizontal="centerContinuous"/>
    </xf>
    <xf numFmtId="37" fontId="4" fillId="0" borderId="2" xfId="0" applyFont="1" applyFill="1" applyBorder="1" applyAlignment="1">
      <alignment horizontal="centerContinuous"/>
    </xf>
    <xf numFmtId="37" fontId="4" fillId="0" borderId="8" xfId="0" applyNumberFormat="1" applyFont="1" applyFill="1" applyBorder="1" applyAlignment="1" applyProtection="1">
      <alignment horizontal="centerContinuous"/>
    </xf>
    <xf numFmtId="37" fontId="4" fillId="0" borderId="8" xfId="0" applyFont="1" applyFill="1" applyBorder="1"/>
    <xf numFmtId="37" fontId="4" fillId="0" borderId="1" xfId="0" applyNumberFormat="1" applyFont="1" applyFill="1" applyBorder="1" applyAlignment="1" applyProtection="1">
      <alignment horizontal="centerContinuous"/>
    </xf>
    <xf numFmtId="37" fontId="4" fillId="0" borderId="9" xfId="0" applyNumberFormat="1" applyFont="1" applyFill="1" applyBorder="1" applyProtection="1"/>
    <xf numFmtId="37" fontId="4" fillId="0" borderId="10" xfId="0" applyNumberFormat="1" applyFont="1" applyFill="1" applyBorder="1" applyAlignment="1" applyProtection="1"/>
    <xf numFmtId="37" fontId="4" fillId="0" borderId="11" xfId="0" applyFont="1" applyFill="1" applyBorder="1"/>
    <xf numFmtId="37" fontId="4" fillId="0" borderId="6" xfId="0" applyNumberFormat="1" applyFont="1" applyFill="1" applyBorder="1" applyAlignment="1" applyProtection="1">
      <alignment horizontal="centerContinuous"/>
    </xf>
    <xf numFmtId="37" fontId="4" fillId="0" borderId="4" xfId="0" applyFont="1" applyFill="1" applyBorder="1" applyAlignment="1">
      <alignment horizontal="centerContinuous"/>
    </xf>
    <xf numFmtId="37" fontId="4" fillId="0" borderId="0" xfId="0" applyNumberFormat="1" applyFont="1" applyFill="1" applyBorder="1" applyAlignment="1" applyProtection="1"/>
    <xf numFmtId="37" fontId="4" fillId="0" borderId="6" xfId="0" applyFont="1" applyFill="1" applyBorder="1" applyAlignment="1">
      <alignment horizontal="center"/>
    </xf>
    <xf numFmtId="37" fontId="4" fillId="0" borderId="7" xfId="0" applyFont="1" applyFill="1" applyBorder="1" applyAlignment="1">
      <alignment horizontal="center"/>
    </xf>
    <xf numFmtId="37" fontId="4" fillId="0" borderId="2" xfId="0" quotePrefix="1" applyNumberFormat="1" applyFont="1" applyFill="1" applyBorder="1" applyAlignment="1" applyProtection="1"/>
    <xf numFmtId="37" fontId="4" fillId="0" borderId="8" xfId="0" applyNumberFormat="1" applyFont="1" applyFill="1" applyBorder="1" applyAlignment="1" applyProtection="1"/>
    <xf numFmtId="37" fontId="4" fillId="0" borderId="12" xfId="0" applyFont="1" applyFill="1" applyBorder="1"/>
    <xf numFmtId="37" fontId="4" fillId="0" borderId="10" xfId="0" applyFont="1" applyFill="1" applyBorder="1"/>
    <xf numFmtId="37" fontId="4" fillId="0" borderId="7" xfId="0" applyFont="1" applyFill="1" applyBorder="1"/>
    <xf numFmtId="37" fontId="4" fillId="0" borderId="9" xfId="0" applyFont="1" applyFill="1" applyBorder="1"/>
    <xf numFmtId="37" fontId="4" fillId="0" borderId="10" xfId="0" applyFont="1" applyFill="1" applyBorder="1" applyAlignment="1">
      <alignment horizontal="center"/>
    </xf>
    <xf numFmtId="164" fontId="4" fillId="0" borderId="2" xfId="0" applyNumberFormat="1" applyFont="1" applyFill="1" applyBorder="1" applyProtection="1"/>
    <xf numFmtId="37" fontId="4" fillId="0" borderId="2" xfId="0" applyFont="1" applyFill="1" applyBorder="1" applyAlignment="1">
      <alignment horizontal="center"/>
    </xf>
    <xf numFmtId="37" fontId="4" fillId="0" borderId="13" xfId="0" applyNumberFormat="1" applyFont="1" applyFill="1" applyBorder="1" applyProtection="1"/>
    <xf numFmtId="37" fontId="4" fillId="0" borderId="0" xfId="0" applyFont="1" applyFill="1" applyBorder="1" applyAlignment="1">
      <alignment horizontal="center"/>
    </xf>
    <xf numFmtId="164" fontId="4" fillId="0" borderId="2" xfId="0" applyNumberFormat="1" applyFont="1" applyFill="1" applyBorder="1" applyAlignment="1" applyProtection="1">
      <alignment horizontal="right"/>
    </xf>
    <xf numFmtId="37" fontId="4" fillId="0" borderId="2" xfId="0" applyFont="1" applyFill="1" applyBorder="1" applyAlignment="1"/>
    <xf numFmtId="164" fontId="4" fillId="0" borderId="1" xfId="0" applyNumberFormat="1" applyFont="1" applyFill="1" applyBorder="1" applyProtection="1"/>
    <xf numFmtId="164" fontId="4" fillId="0" borderId="1" xfId="0" applyNumberFormat="1" applyFont="1" applyFill="1" applyBorder="1" applyAlignment="1" applyProtection="1"/>
    <xf numFmtId="164" fontId="4" fillId="0" borderId="2" xfId="0" quotePrefix="1" applyNumberFormat="1" applyFont="1" applyFill="1" applyBorder="1" applyAlignment="1" applyProtection="1">
      <alignment horizontal="left"/>
    </xf>
    <xf numFmtId="37" fontId="4" fillId="0" borderId="9" xfId="0" applyNumberFormat="1" applyFont="1" applyFill="1" applyBorder="1" applyAlignment="1" applyProtection="1"/>
    <xf numFmtId="37" fontId="4" fillId="0" borderId="12" xfId="0" quotePrefix="1" applyNumberFormat="1" applyFont="1" applyFill="1" applyBorder="1" applyAlignment="1" applyProtection="1">
      <alignment horizontal="left"/>
    </xf>
    <xf numFmtId="37" fontId="4" fillId="0" borderId="14" xfId="0" applyFont="1" applyFill="1" applyBorder="1" applyAlignment="1">
      <alignment horizontal="center"/>
    </xf>
    <xf numFmtId="37" fontId="4" fillId="0" borderId="8" xfId="0" applyFont="1" applyFill="1" applyBorder="1" applyAlignment="1">
      <alignment horizontal="center"/>
    </xf>
    <xf numFmtId="37" fontId="4" fillId="0" borderId="14" xfId="0" applyFont="1" applyFill="1" applyBorder="1"/>
    <xf numFmtId="37" fontId="5" fillId="0" borderId="14" xfId="0" applyFont="1" applyBorder="1"/>
    <xf numFmtId="37" fontId="5" fillId="0" borderId="8" xfId="0" applyFont="1" applyBorder="1"/>
    <xf numFmtId="37" fontId="4" fillId="0" borderId="8" xfId="0" applyFont="1" applyFill="1" applyBorder="1" applyAlignment="1">
      <alignment horizontal="centerContinuous"/>
    </xf>
    <xf numFmtId="37" fontId="4" fillId="0" borderId="7" xfId="0" applyNumberFormat="1" applyFont="1" applyFill="1" applyBorder="1" applyAlignment="1" applyProtection="1">
      <alignment horizontal="center"/>
    </xf>
    <xf numFmtId="37" fontId="4" fillId="0" borderId="13" xfId="0" applyFont="1" applyFill="1" applyBorder="1"/>
    <xf numFmtId="37" fontId="5" fillId="0" borderId="13" xfId="0" applyFont="1" applyBorder="1"/>
    <xf numFmtId="37" fontId="4" fillId="0" borderId="3" xfId="0" applyFont="1" applyFill="1" applyBorder="1" applyAlignment="1">
      <alignment horizontal="centerContinuous"/>
    </xf>
    <xf numFmtId="37" fontId="5" fillId="0" borderId="0" xfId="0" applyFont="1" applyBorder="1" applyAlignment="1">
      <alignment horizontal="center"/>
    </xf>
    <xf numFmtId="37" fontId="5" fillId="0" borderId="0" xfId="0" applyFont="1" applyBorder="1" applyAlignment="1"/>
    <xf numFmtId="37" fontId="5" fillId="0" borderId="0" xfId="0" applyFont="1" applyAlignment="1"/>
    <xf numFmtId="37" fontId="5" fillId="0" borderId="0" xfId="0" quotePrefix="1" applyNumberFormat="1" applyFont="1" applyBorder="1" applyAlignment="1" applyProtection="1"/>
    <xf numFmtId="37" fontId="6" fillId="0" borderId="0" xfId="0" applyFont="1" applyAlignment="1"/>
    <xf numFmtId="37" fontId="4" fillId="0" borderId="3" xfId="0" applyNumberFormat="1" applyFont="1" applyFill="1" applyBorder="1" applyAlignment="1" applyProtection="1"/>
    <xf numFmtId="37" fontId="4" fillId="0" borderId="3" xfId="0" applyFont="1" applyFill="1" applyBorder="1" applyAlignment="1"/>
    <xf numFmtId="37" fontId="4" fillId="0" borderId="4" xfId="0" applyFont="1" applyFill="1" applyBorder="1" applyAlignment="1"/>
    <xf numFmtId="4" fontId="4" fillId="0" borderId="2" xfId="0" applyNumberFormat="1" applyFont="1" applyFill="1" applyBorder="1" applyAlignment="1" applyProtection="1"/>
    <xf numFmtId="37" fontId="5" fillId="0" borderId="10" xfId="0" applyFont="1" applyBorder="1" applyAlignment="1"/>
    <xf numFmtId="3" fontId="4" fillId="0" borderId="2" xfId="0" applyNumberFormat="1" applyFont="1" applyFill="1" applyBorder="1" applyAlignment="1" applyProtection="1"/>
    <xf numFmtId="2" fontId="4" fillId="0" borderId="2" xfId="0" applyNumberFormat="1" applyFont="1" applyFill="1" applyBorder="1" applyAlignment="1" applyProtection="1"/>
    <xf numFmtId="37" fontId="4" fillId="0" borderId="4" xfId="0" quotePrefix="1" applyNumberFormat="1" applyFont="1" applyFill="1" applyBorder="1" applyAlignment="1" applyProtection="1">
      <alignment horizontal="center"/>
    </xf>
    <xf numFmtId="37" fontId="4" fillId="0" borderId="2" xfId="0" quotePrefix="1" applyNumberFormat="1" applyFont="1" applyFill="1" applyBorder="1" applyAlignment="1" applyProtection="1">
      <alignment horizontal="center"/>
    </xf>
    <xf numFmtId="37" fontId="5" fillId="0" borderId="2" xfId="0" applyFont="1" applyBorder="1" applyAlignment="1">
      <alignment horizontal="center"/>
    </xf>
    <xf numFmtId="37" fontId="5" fillId="0" borderId="4" xfId="0" applyFont="1" applyBorder="1" applyAlignment="1">
      <alignment horizontal="center"/>
    </xf>
    <xf numFmtId="37" fontId="4" fillId="2" borderId="2" xfId="0" applyNumberFormat="1" applyFont="1" applyFill="1" applyBorder="1" applyProtection="1"/>
    <xf numFmtId="37" fontId="4" fillId="2" borderId="2" xfId="0" applyNumberFormat="1" applyFont="1" applyFill="1" applyBorder="1" applyAlignment="1" applyProtection="1"/>
    <xf numFmtId="37" fontId="4" fillId="0" borderId="0" xfId="0" applyNumberFormat="1" applyFont="1" applyFill="1" applyBorder="1" applyAlignment="1" applyProtection="1">
      <alignment horizontal="left"/>
    </xf>
    <xf numFmtId="37" fontId="5" fillId="0" borderId="7" xfId="0" applyFont="1" applyBorder="1" applyAlignment="1">
      <alignment horizontal="centerContinuous"/>
    </xf>
    <xf numFmtId="37" fontId="4" fillId="0" borderId="9" xfId="0" quotePrefix="1" applyNumberFormat="1" applyFont="1" applyFill="1" applyBorder="1" applyAlignment="1" applyProtection="1"/>
    <xf numFmtId="37" fontId="4" fillId="0" borderId="8" xfId="0" quotePrefix="1" applyNumberFormat="1" applyFont="1" applyFill="1" applyBorder="1" applyAlignment="1" applyProtection="1">
      <alignment horizontal="left"/>
    </xf>
    <xf numFmtId="37" fontId="4" fillId="0" borderId="4" xfId="0" applyNumberFormat="1" applyFont="1" applyFill="1" applyBorder="1" applyProtection="1"/>
    <xf numFmtId="37" fontId="5" fillId="0" borderId="1" xfId="0" applyFont="1" applyBorder="1"/>
    <xf numFmtId="37" fontId="5" fillId="0" borderId="8" xfId="0" applyFont="1" applyBorder="1" applyAlignment="1">
      <alignment horizontal="centerContinuous"/>
    </xf>
    <xf numFmtId="37" fontId="5" fillId="0" borderId="2" xfId="0" applyFont="1" applyBorder="1" applyAlignment="1">
      <alignment horizontal="centerContinuous"/>
    </xf>
    <xf numFmtId="37" fontId="4" fillId="0" borderId="11" xfId="0" applyNumberFormat="1" applyFont="1" applyFill="1" applyBorder="1" applyProtection="1"/>
    <xf numFmtId="37" fontId="4" fillId="0" borderId="6" xfId="0" applyFont="1" applyFill="1" applyBorder="1" applyAlignment="1">
      <alignment horizontal="centerContinuous"/>
    </xf>
    <xf numFmtId="37" fontId="4" fillId="0" borderId="1" xfId="0" applyFont="1" applyFill="1" applyBorder="1" applyAlignment="1">
      <alignment horizontal="centerContinuous"/>
    </xf>
    <xf numFmtId="37" fontId="5" fillId="0" borderId="0" xfId="0" applyNumberFormat="1" applyFont="1" applyBorder="1" applyProtection="1"/>
    <xf numFmtId="37" fontId="5" fillId="0" borderId="0" xfId="0" applyNumberFormat="1" applyFont="1" applyBorder="1" applyAlignment="1" applyProtection="1">
      <alignment horizontal="center"/>
    </xf>
    <xf numFmtId="37" fontId="4" fillId="0" borderId="5" xfId="0" applyNumberFormat="1" applyFont="1" applyFill="1" applyBorder="1" applyAlignment="1" applyProtection="1">
      <alignment horizontal="centerContinuous"/>
    </xf>
    <xf numFmtId="37" fontId="5" fillId="0" borderId="6" xfId="0" applyFont="1" applyBorder="1" applyAlignment="1">
      <alignment horizontal="centerContinuous"/>
    </xf>
    <xf numFmtId="37" fontId="4" fillId="0" borderId="2" xfId="0" quotePrefix="1" applyNumberFormat="1" applyFont="1" applyFill="1" applyBorder="1" applyAlignment="1" applyProtection="1">
      <alignment horizontal="centerContinuous"/>
    </xf>
    <xf numFmtId="37" fontId="4" fillId="0" borderId="3" xfId="0" applyNumberFormat="1" applyFont="1" applyFill="1" applyBorder="1" applyAlignment="1" applyProtection="1">
      <alignment horizontal="center"/>
    </xf>
    <xf numFmtId="37" fontId="4" fillId="0" borderId="1" xfId="0" applyNumberFormat="1" applyFont="1" applyFill="1" applyBorder="1" applyAlignment="1" applyProtection="1">
      <alignment horizontal="center"/>
    </xf>
    <xf numFmtId="37" fontId="4" fillId="0" borderId="13" xfId="0" applyNumberFormat="1" applyFont="1" applyFill="1" applyBorder="1" applyAlignment="1" applyProtection="1">
      <alignment horizontal="center"/>
    </xf>
    <xf numFmtId="37" fontId="4" fillId="0" borderId="0" xfId="0" quotePrefix="1" applyNumberFormat="1" applyFont="1" applyFill="1" applyBorder="1" applyAlignment="1" applyProtection="1"/>
    <xf numFmtId="37" fontId="4" fillId="0" borderId="4" xfId="0" quotePrefix="1" applyNumberFormat="1" applyFont="1" applyFill="1" applyBorder="1" applyAlignment="1" applyProtection="1"/>
    <xf numFmtId="37" fontId="4" fillId="0" borderId="13" xfId="0" applyNumberFormat="1" applyFont="1" applyFill="1" applyBorder="1" applyAlignment="1" applyProtection="1">
      <alignment horizontal="centerContinuous"/>
    </xf>
    <xf numFmtId="37" fontId="5" fillId="0" borderId="4" xfId="0" applyFont="1" applyBorder="1" applyAlignment="1">
      <alignment horizontal="centerContinuous"/>
    </xf>
    <xf numFmtId="37" fontId="4" fillId="0" borderId="7" xfId="0" applyNumberFormat="1" applyFont="1" applyFill="1" applyBorder="1" applyAlignment="1" applyProtection="1">
      <alignment horizontal="centerContinuous"/>
    </xf>
    <xf numFmtId="37" fontId="4" fillId="0" borderId="14" xfId="0" applyNumberFormat="1" applyFont="1" applyFill="1" applyBorder="1" applyAlignment="1" applyProtection="1">
      <alignment horizontal="left"/>
    </xf>
    <xf numFmtId="37" fontId="5" fillId="0" borderId="12" xfId="0" applyFont="1" applyBorder="1"/>
    <xf numFmtId="37" fontId="5" fillId="0" borderId="6" xfId="0" applyFont="1" applyBorder="1"/>
    <xf numFmtId="37" fontId="5" fillId="0" borderId="7" xfId="0" applyFont="1" applyBorder="1"/>
    <xf numFmtId="37" fontId="5" fillId="0" borderId="15" xfId="0" applyFont="1" applyBorder="1"/>
    <xf numFmtId="37" fontId="5" fillId="0" borderId="12" xfId="0" quotePrefix="1" applyNumberFormat="1" applyFont="1" applyBorder="1" applyAlignment="1" applyProtection="1"/>
    <xf numFmtId="37" fontId="5" fillId="0" borderId="12" xfId="0" quotePrefix="1" applyNumberFormat="1" applyFont="1" applyBorder="1" applyAlignment="1" applyProtection="1">
      <alignment horizontal="left"/>
    </xf>
    <xf numFmtId="37" fontId="5" fillId="0" borderId="12" xfId="0" applyNumberFormat="1" applyFont="1" applyBorder="1" applyAlignment="1" applyProtection="1"/>
    <xf numFmtId="37" fontId="5" fillId="0" borderId="10" xfId="0" applyFont="1" applyBorder="1"/>
    <xf numFmtId="37" fontId="4" fillId="0" borderId="8" xfId="0" applyNumberFormat="1" applyFont="1" applyFill="1" applyBorder="1" applyProtection="1"/>
    <xf numFmtId="37" fontId="4" fillId="0" borderId="14" xfId="0" applyFont="1" applyFill="1" applyBorder="1" applyAlignment="1">
      <alignment horizontal="centerContinuous"/>
    </xf>
    <xf numFmtId="37" fontId="4" fillId="0" borderId="12" xfId="0" applyNumberFormat="1" applyFont="1" applyFill="1" applyBorder="1" applyAlignment="1" applyProtection="1"/>
    <xf numFmtId="37" fontId="4" fillId="0" borderId="1" xfId="0" applyFont="1" applyFill="1" applyBorder="1"/>
    <xf numFmtId="37" fontId="5" fillId="0" borderId="3" xfId="0" applyNumberFormat="1" applyFont="1" applyBorder="1" applyProtection="1"/>
    <xf numFmtId="37" fontId="5" fillId="2" borderId="0" xfId="0" applyFont="1" applyFill="1" applyBorder="1"/>
    <xf numFmtId="37" fontId="5" fillId="2" borderId="4" xfId="0" applyFont="1" applyFill="1" applyBorder="1"/>
    <xf numFmtId="37" fontId="5" fillId="0" borderId="9" xfId="0" applyFont="1" applyBorder="1"/>
    <xf numFmtId="37" fontId="4" fillId="0" borderId="12" xfId="0" applyNumberFormat="1" applyFont="1" applyFill="1" applyBorder="1" applyAlignment="1" applyProtection="1">
      <alignment horizontal="left"/>
    </xf>
    <xf numFmtId="37" fontId="4" fillId="0" borderId="10" xfId="0" applyNumberFormat="1" applyFont="1" applyFill="1" applyBorder="1" applyAlignment="1" applyProtection="1">
      <alignment horizontal="right"/>
    </xf>
    <xf numFmtId="37" fontId="5" fillId="0" borderId="10" xfId="0" applyNumberFormat="1" applyFont="1" applyBorder="1" applyProtection="1"/>
    <xf numFmtId="37" fontId="5" fillId="2" borderId="12" xfId="0" applyFont="1" applyFill="1" applyBorder="1"/>
    <xf numFmtId="37" fontId="5" fillId="2" borderId="10" xfId="0" applyFont="1" applyFill="1" applyBorder="1"/>
    <xf numFmtId="37" fontId="4" fillId="0" borderId="1" xfId="0" applyFont="1" applyFill="1" applyBorder="1" applyAlignment="1"/>
    <xf numFmtId="37" fontId="5" fillId="0" borderId="16" xfId="0" applyFont="1" applyBorder="1"/>
    <xf numFmtId="37" fontId="5" fillId="0" borderId="17" xfId="0" applyFont="1" applyBorder="1"/>
    <xf numFmtId="37" fontId="5" fillId="0" borderId="18" xfId="0" applyFont="1" applyBorder="1"/>
    <xf numFmtId="37" fontId="5" fillId="0" borderId="19" xfId="0" applyFont="1" applyBorder="1"/>
    <xf numFmtId="37" fontId="5" fillId="0" borderId="20" xfId="0" applyFont="1" applyBorder="1"/>
    <xf numFmtId="37" fontId="5" fillId="0" borderId="21" xfId="0" applyFont="1" applyBorder="1"/>
    <xf numFmtId="37" fontId="5" fillId="0" borderId="22" xfId="0" applyFont="1" applyBorder="1"/>
    <xf numFmtId="37" fontId="5" fillId="0" borderId="23" xfId="0" applyFont="1" applyBorder="1"/>
    <xf numFmtId="37" fontId="5" fillId="0" borderId="17" xfId="0" applyFont="1" applyBorder="1" applyAlignment="1">
      <alignment horizontal="center"/>
    </xf>
    <xf numFmtId="37" fontId="5" fillId="0" borderId="17" xfId="0" applyFont="1" applyBorder="1" applyAlignment="1">
      <alignment horizontal="right"/>
    </xf>
    <xf numFmtId="37" fontId="5" fillId="0" borderId="0" xfId="0" applyFont="1" applyBorder="1" applyAlignment="1">
      <alignment horizontal="right"/>
    </xf>
    <xf numFmtId="37" fontId="5" fillId="0" borderId="24" xfId="0" applyFont="1" applyBorder="1"/>
    <xf numFmtId="37" fontId="5" fillId="0" borderId="8" xfId="0" applyFont="1" applyBorder="1" applyAlignment="1">
      <alignment horizontal="center"/>
    </xf>
    <xf numFmtId="37" fontId="5" fillId="0" borderId="25" xfId="0" applyFont="1" applyBorder="1"/>
    <xf numFmtId="37" fontId="5" fillId="0" borderId="26" xfId="0" applyFont="1" applyBorder="1"/>
    <xf numFmtId="37" fontId="5" fillId="0" borderId="27" xfId="0" applyFont="1" applyBorder="1"/>
    <xf numFmtId="37" fontId="5" fillId="0" borderId="28" xfId="0" quotePrefix="1" applyFont="1" applyBorder="1" applyAlignment="1">
      <alignment horizontal="left"/>
    </xf>
    <xf numFmtId="37" fontId="5" fillId="0" borderId="29" xfId="0" applyFont="1" applyBorder="1"/>
    <xf numFmtId="37" fontId="5" fillId="0" borderId="28" xfId="0" applyFont="1" applyBorder="1" applyAlignment="1">
      <alignment horizontal="center"/>
    </xf>
    <xf numFmtId="37" fontId="5" fillId="0" borderId="30" xfId="0" applyFont="1" applyBorder="1"/>
    <xf numFmtId="37" fontId="5" fillId="0" borderId="31" xfId="0" applyFont="1" applyBorder="1"/>
    <xf numFmtId="37" fontId="5" fillId="0" borderId="31" xfId="0" applyFont="1" applyBorder="1" applyAlignment="1">
      <alignment horizontal="center"/>
    </xf>
    <xf numFmtId="37" fontId="5" fillId="0" borderId="32" xfId="0" applyFont="1" applyBorder="1"/>
    <xf numFmtId="37" fontId="8" fillId="0" borderId="0" xfId="0" applyFont="1"/>
    <xf numFmtId="37" fontId="6" fillId="0" borderId="0" xfId="0" quotePrefix="1" applyFont="1" applyAlignment="1">
      <alignment horizontal="right"/>
    </xf>
    <xf numFmtId="37" fontId="7" fillId="0" borderId="0" xfId="0" quotePrefix="1" applyFont="1" applyAlignment="1">
      <alignment horizontal="right"/>
    </xf>
    <xf numFmtId="37" fontId="5" fillId="0" borderId="0" xfId="0" quotePrefix="1" applyFont="1" applyBorder="1" applyAlignment="1">
      <alignment horizontal="right"/>
    </xf>
    <xf numFmtId="37" fontId="4" fillId="0" borderId="0" xfId="0" quotePrefix="1" applyNumberFormat="1" applyFont="1" applyFill="1" applyBorder="1" applyAlignment="1" applyProtection="1">
      <alignment horizontal="right"/>
    </xf>
    <xf numFmtId="37" fontId="5" fillId="0" borderId="0" xfId="0" quotePrefix="1" applyFont="1" applyAlignment="1">
      <alignment horizontal="right"/>
    </xf>
    <xf numFmtId="37" fontId="3" fillId="3" borderId="0" xfId="0" applyFont="1" applyFill="1" applyAlignment="1" applyProtection="1">
      <alignment horizontal="center"/>
    </xf>
    <xf numFmtId="37" fontId="3" fillId="3" borderId="0" xfId="0" quotePrefix="1" applyFont="1" applyFill="1" applyAlignment="1" applyProtection="1">
      <alignment horizontal="left"/>
    </xf>
    <xf numFmtId="37" fontId="3" fillId="3" borderId="0" xfId="0" applyFont="1" applyFill="1" applyAlignment="1" applyProtection="1">
      <alignment horizontal="right"/>
    </xf>
    <xf numFmtId="37" fontId="3" fillId="3" borderId="0" xfId="0" applyFont="1" applyFill="1" applyAlignment="1" applyProtection="1"/>
    <xf numFmtId="37" fontId="9" fillId="4" borderId="1" xfId="0" applyFont="1" applyFill="1" applyBorder="1" applyProtection="1">
      <protection locked="0"/>
    </xf>
    <xf numFmtId="37" fontId="3" fillId="3" borderId="0" xfId="0" applyFont="1" applyFill="1" applyProtection="1"/>
    <xf numFmtId="37" fontId="9" fillId="3" borderId="0" xfId="0" applyFont="1" applyFill="1" applyAlignment="1" applyProtection="1">
      <alignment horizontal="center"/>
    </xf>
    <xf numFmtId="37" fontId="3" fillId="3" borderId="0" xfId="0" quotePrefix="1" applyFont="1" applyFill="1" applyAlignment="1" applyProtection="1"/>
    <xf numFmtId="37" fontId="9" fillId="3" borderId="0" xfId="0" applyFont="1" applyFill="1" applyProtection="1"/>
    <xf numFmtId="37" fontId="3" fillId="0" borderId="0" xfId="0" applyFont="1" applyAlignment="1" applyProtection="1"/>
    <xf numFmtId="37" fontId="3" fillId="0" borderId="0" xfId="0" applyFont="1" applyProtection="1"/>
    <xf numFmtId="37" fontId="3" fillId="0" borderId="0" xfId="0" applyFont="1" applyAlignment="1" applyProtection="1">
      <alignment horizontal="center"/>
    </xf>
    <xf numFmtId="38" fontId="3" fillId="3" borderId="0" xfId="0" applyNumberFormat="1" applyFont="1" applyFill="1" applyAlignment="1" applyProtection="1">
      <alignment horizontal="center"/>
    </xf>
    <xf numFmtId="37" fontId="9" fillId="0" borderId="1" xfId="0" applyNumberFormat="1" applyFont="1" applyBorder="1" applyAlignment="1" applyProtection="1">
      <protection locked="0"/>
    </xf>
    <xf numFmtId="37" fontId="9" fillId="0" borderId="1" xfId="0" quotePrefix="1" applyNumberFormat="1" applyFont="1" applyBorder="1" applyProtection="1">
      <protection locked="0"/>
    </xf>
    <xf numFmtId="37" fontId="9" fillId="0" borderId="1" xfId="1" quotePrefix="1" applyNumberFormat="1" applyFont="1" applyBorder="1" applyProtection="1">
      <protection locked="0"/>
    </xf>
    <xf numFmtId="37" fontId="9" fillId="4" borderId="1" xfId="0" quotePrefix="1" applyNumberFormat="1" applyFont="1" applyFill="1" applyBorder="1" applyProtection="1">
      <protection locked="0"/>
    </xf>
    <xf numFmtId="38" fontId="9" fillId="4" borderId="1" xfId="0" applyNumberFormat="1" applyFont="1" applyFill="1" applyBorder="1" applyProtection="1">
      <protection locked="0"/>
    </xf>
    <xf numFmtId="38" fontId="3" fillId="3" borderId="0" xfId="0" applyNumberFormat="1" applyFont="1" applyFill="1" applyAlignment="1" applyProtection="1">
      <alignment horizontal="right"/>
    </xf>
    <xf numFmtId="38" fontId="3" fillId="3" borderId="0" xfId="0" applyNumberFormat="1" applyFont="1" applyFill="1" applyProtection="1"/>
    <xf numFmtId="38" fontId="9" fillId="3" borderId="0" xfId="0" applyNumberFormat="1" applyFont="1" applyFill="1" applyAlignment="1" applyProtection="1">
      <alignment horizontal="center"/>
    </xf>
    <xf numFmtId="38" fontId="9" fillId="3" borderId="0" xfId="0" applyNumberFormat="1" applyFont="1" applyFill="1" applyProtection="1"/>
    <xf numFmtId="37" fontId="3" fillId="0" borderId="0" xfId="0" applyFont="1" applyFill="1" applyAlignment="1" applyProtection="1"/>
    <xf numFmtId="37" fontId="3" fillId="3" borderId="0" xfId="0" applyNumberFormat="1" applyFont="1" applyFill="1" applyProtection="1"/>
    <xf numFmtId="164" fontId="3" fillId="0" borderId="0" xfId="0" applyNumberFormat="1" applyFont="1" applyProtection="1"/>
    <xf numFmtId="39" fontId="3" fillId="0" borderId="0" xfId="0" applyNumberFormat="1" applyFont="1" applyProtection="1"/>
    <xf numFmtId="37" fontId="3" fillId="0" borderId="0" xfId="0" applyFont="1" applyAlignment="1" applyProtection="1">
      <alignment horizontal="left"/>
    </xf>
    <xf numFmtId="37" fontId="3" fillId="0" borderId="0" xfId="0" quotePrefix="1" applyFont="1" applyAlignment="1" applyProtection="1">
      <alignment horizontal="left"/>
    </xf>
    <xf numFmtId="164" fontId="3" fillId="0" borderId="0" xfId="0" applyNumberFormat="1" applyFont="1" applyAlignment="1" applyProtection="1">
      <alignment horizontal="left"/>
    </xf>
    <xf numFmtId="37" fontId="3" fillId="2" borderId="0" xfId="0" applyFont="1" applyFill="1" applyAlignment="1" applyProtection="1">
      <alignment horizontal="centerContinuous"/>
    </xf>
    <xf numFmtId="37" fontId="3" fillId="2" borderId="0" xfId="0" applyFont="1" applyFill="1" applyAlignment="1" applyProtection="1">
      <alignment horizontal="left"/>
    </xf>
    <xf numFmtId="37" fontId="3" fillId="2" borderId="0" xfId="0" applyFont="1" applyFill="1" applyAlignment="1" applyProtection="1">
      <alignment horizontal="center"/>
    </xf>
    <xf numFmtId="38" fontId="9" fillId="4" borderId="2" xfId="0" applyNumberFormat="1" applyFont="1" applyFill="1" applyBorder="1" applyProtection="1">
      <protection locked="0"/>
    </xf>
    <xf numFmtId="38" fontId="9" fillId="4" borderId="8" xfId="0" applyNumberFormat="1" applyFont="1" applyFill="1" applyBorder="1" applyProtection="1">
      <protection locked="0"/>
    </xf>
    <xf numFmtId="37" fontId="3" fillId="0" borderId="0" xfId="0" quotePrefix="1" applyFont="1" applyAlignment="1" applyProtection="1">
      <alignment horizontal="fill"/>
    </xf>
    <xf numFmtId="37" fontId="3" fillId="3" borderId="0" xfId="0" quotePrefix="1" applyFont="1" applyFill="1" applyAlignment="1" applyProtection="1">
      <alignment horizontal="centerContinuous"/>
    </xf>
    <xf numFmtId="37" fontId="3" fillId="3" borderId="0" xfId="0" applyFont="1" applyFill="1" applyAlignment="1" applyProtection="1">
      <alignment horizontal="centerContinuous"/>
    </xf>
    <xf numFmtId="37" fontId="3" fillId="2" borderId="0" xfId="0" applyFont="1" applyFill="1" applyAlignment="1" applyProtection="1"/>
    <xf numFmtId="37" fontId="4" fillId="5" borderId="2" xfId="0" applyFont="1" applyFill="1" applyBorder="1" applyAlignment="1"/>
    <xf numFmtId="37" fontId="4" fillId="6" borderId="2" xfId="0" applyFont="1" applyFill="1" applyBorder="1" applyAlignment="1"/>
    <xf numFmtId="37" fontId="4" fillId="6" borderId="2" xfId="0" applyFont="1" applyFill="1" applyBorder="1" applyAlignment="1">
      <alignment horizontal="center"/>
    </xf>
    <xf numFmtId="37" fontId="4" fillId="6" borderId="2" xfId="0" quotePrefix="1" applyNumberFormat="1" applyFont="1" applyFill="1" applyBorder="1" applyAlignment="1" applyProtection="1">
      <alignment horizontal="center"/>
    </xf>
    <xf numFmtId="37" fontId="4" fillId="6" borderId="2" xfId="0" applyNumberFormat="1" applyFont="1" applyFill="1" applyBorder="1" applyAlignment="1" applyProtection="1"/>
    <xf numFmtId="37" fontId="4" fillId="6" borderId="2" xfId="0" quotePrefix="1" applyFont="1" applyFill="1" applyBorder="1" applyAlignment="1"/>
    <xf numFmtId="39" fontId="4" fillId="6" borderId="2" xfId="0" quotePrefix="1" applyNumberFormat="1" applyFont="1" applyFill="1" applyBorder="1" applyAlignment="1" applyProtection="1">
      <alignment horizontal="center"/>
    </xf>
    <xf numFmtId="39" fontId="4" fillId="6" borderId="2" xfId="0" applyNumberFormat="1" applyFont="1" applyFill="1" applyBorder="1" applyAlignment="1" applyProtection="1"/>
    <xf numFmtId="3" fontId="4" fillId="6" borderId="2" xfId="0" applyNumberFormat="1" applyFont="1" applyFill="1" applyBorder="1" applyAlignment="1" applyProtection="1"/>
    <xf numFmtId="3" fontId="4" fillId="6" borderId="2" xfId="0" applyNumberFormat="1" applyFont="1" applyFill="1" applyBorder="1" applyAlignment="1"/>
    <xf numFmtId="37" fontId="4" fillId="6" borderId="2" xfId="0" applyNumberFormat="1" applyFont="1" applyFill="1" applyBorder="1" applyAlignment="1"/>
    <xf numFmtId="38" fontId="9" fillId="4" borderId="1" xfId="0" applyNumberFormat="1" applyFont="1" applyFill="1" applyBorder="1" applyAlignment="1" applyProtection="1">
      <alignment horizontal="center"/>
      <protection locked="0"/>
    </xf>
    <xf numFmtId="38" fontId="9" fillId="4" borderId="1" xfId="0" quotePrefix="1" applyNumberFormat="1" applyFont="1" applyFill="1" applyBorder="1" applyAlignment="1" applyProtection="1">
      <alignment horizontal="left"/>
      <protection locked="0"/>
    </xf>
    <xf numFmtId="38" fontId="9" fillId="4" borderId="1" xfId="0" quotePrefix="1" applyNumberFormat="1" applyFont="1" applyFill="1" applyBorder="1" applyAlignment="1" applyProtection="1">
      <protection locked="0"/>
    </xf>
    <xf numFmtId="37" fontId="11" fillId="0" borderId="0" xfId="2" applyNumberFormat="1" applyFont="1" applyAlignment="1" applyProtection="1">
      <alignment horizontal="left"/>
    </xf>
    <xf numFmtId="3" fontId="5" fillId="0" borderId="2" xfId="0" applyNumberFormat="1" applyFont="1" applyFill="1" applyBorder="1" applyAlignment="1" applyProtection="1"/>
    <xf numFmtId="38" fontId="9" fillId="4" borderId="14" xfId="0" applyNumberFormat="1" applyFont="1" applyFill="1" applyBorder="1" applyProtection="1">
      <protection locked="0"/>
    </xf>
    <xf numFmtId="38" fontId="9" fillId="4" borderId="14" xfId="0" quotePrefix="1" applyNumberFormat="1" applyFont="1" applyFill="1" applyBorder="1" applyAlignment="1" applyProtection="1">
      <alignment horizontal="left"/>
      <protection locked="0"/>
    </xf>
    <xf numFmtId="38" fontId="9" fillId="3" borderId="8" xfId="0" applyNumberFormat="1" applyFont="1" applyFill="1" applyBorder="1" applyAlignment="1" applyProtection="1">
      <alignment horizontal="center"/>
      <protection locked="0"/>
    </xf>
    <xf numFmtId="37" fontId="3" fillId="0" borderId="0" xfId="0" applyFont="1" applyFill="1" applyAlignment="1" applyProtection="1">
      <alignment horizontal="left"/>
    </xf>
    <xf numFmtId="37" fontId="3" fillId="0" borderId="0" xfId="0" applyFont="1" applyFill="1" applyProtection="1"/>
    <xf numFmtId="38" fontId="3" fillId="0" borderId="0" xfId="0" applyNumberFormat="1" applyFont="1" applyFill="1" applyProtection="1"/>
    <xf numFmtId="38" fontId="3" fillId="0" borderId="0" xfId="0" applyNumberFormat="1" applyFont="1" applyProtection="1"/>
    <xf numFmtId="37" fontId="3" fillId="7" borderId="0" xfId="0" applyFont="1" applyFill="1" applyProtection="1"/>
    <xf numFmtId="37" fontId="3" fillId="7" borderId="0" xfId="0" quotePrefix="1" applyFont="1" applyFill="1" applyAlignment="1" applyProtection="1">
      <alignment horizontal="left"/>
    </xf>
    <xf numFmtId="38" fontId="3" fillId="7" borderId="0" xfId="0" applyNumberFormat="1" applyFont="1" applyFill="1" applyProtection="1"/>
    <xf numFmtId="37" fontId="3" fillId="0" borderId="0" xfId="0" quotePrefix="1" applyFont="1" applyAlignment="1" applyProtection="1"/>
    <xf numFmtId="0" fontId="3" fillId="0" borderId="0" xfId="0" applyNumberFormat="1" applyFont="1" applyAlignment="1" applyProtection="1">
      <alignment horizontal="center"/>
    </xf>
    <xf numFmtId="0" fontId="3" fillId="0" borderId="0" xfId="0" applyNumberFormat="1" applyFont="1" applyAlignment="1" applyProtection="1"/>
    <xf numFmtId="0" fontId="3" fillId="0" borderId="0" xfId="0" quotePrefix="1" applyNumberFormat="1" applyFont="1" applyAlignment="1" applyProtection="1">
      <alignment horizontal="center"/>
    </xf>
    <xf numFmtId="37" fontId="3" fillId="3" borderId="0" xfId="0" quotePrefix="1" applyFont="1" applyFill="1" applyAlignment="1" applyProtection="1">
      <alignment horizontal="center"/>
    </xf>
    <xf numFmtId="37" fontId="3" fillId="3" borderId="0" xfId="0" quotePrefix="1" applyNumberFormat="1" applyFont="1" applyFill="1" applyAlignment="1" applyProtection="1"/>
    <xf numFmtId="165" fontId="3" fillId="3" borderId="0" xfId="0" applyNumberFormat="1" applyFont="1" applyFill="1" applyAlignment="1" applyProtection="1">
      <alignment horizontal="center"/>
    </xf>
    <xf numFmtId="37" fontId="3" fillId="3" borderId="0" xfId="0" quotePrefix="1" applyFont="1" applyFill="1" applyAlignment="1" applyProtection="1">
      <alignment horizontal="fill"/>
    </xf>
    <xf numFmtId="37" fontId="3" fillId="3" borderId="0" xfId="1" applyNumberFormat="1" applyFont="1" applyFill="1" applyProtection="1"/>
    <xf numFmtId="37" fontId="3" fillId="3" borderId="0" xfId="0" quotePrefix="1" applyNumberFormat="1" applyFont="1" applyFill="1" applyAlignment="1" applyProtection="1">
      <alignment horizontal="fill"/>
    </xf>
    <xf numFmtId="39" fontId="3" fillId="3" borderId="0" xfId="0" quotePrefix="1" applyNumberFormat="1" applyFont="1" applyFill="1" applyAlignment="1" applyProtection="1">
      <alignment horizontal="left"/>
    </xf>
    <xf numFmtId="4" fontId="3" fillId="3" borderId="0" xfId="0" applyNumberFormat="1" applyFont="1" applyFill="1" applyProtection="1"/>
    <xf numFmtId="37" fontId="3" fillId="0" borderId="0" xfId="0" applyNumberFormat="1" applyFont="1" applyProtection="1"/>
    <xf numFmtId="37" fontId="3" fillId="3" borderId="0" xfId="1" quotePrefix="1" applyNumberFormat="1" applyFont="1" applyFill="1" applyAlignment="1" applyProtection="1">
      <alignment horizontal="fill"/>
    </xf>
    <xf numFmtId="39" fontId="3" fillId="3" borderId="0" xfId="0" quotePrefix="1" applyNumberFormat="1" applyFont="1" applyFill="1" applyAlignment="1" applyProtection="1">
      <alignment horizontal="fill"/>
    </xf>
    <xf numFmtId="39" fontId="3" fillId="3" borderId="0" xfId="0" applyNumberFormat="1" applyFont="1" applyFill="1" applyProtection="1"/>
    <xf numFmtId="37" fontId="10" fillId="3" borderId="0" xfId="0" applyFont="1" applyFill="1" applyProtection="1"/>
    <xf numFmtId="37" fontId="9" fillId="3" borderId="0" xfId="0" applyFont="1" applyFill="1" applyAlignment="1" applyProtection="1">
      <alignment horizontal="centerContinuous"/>
    </xf>
    <xf numFmtId="37" fontId="9" fillId="3" borderId="0" xfId="0" quotePrefix="1" applyFont="1" applyFill="1" applyAlignment="1" applyProtection="1">
      <alignment horizontal="left"/>
    </xf>
    <xf numFmtId="37" fontId="0" fillId="0" borderId="0" xfId="0" applyProtection="1"/>
    <xf numFmtId="3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37" fontId="3" fillId="0" borderId="0" xfId="0" quotePrefix="1" applyFont="1" applyAlignment="1" applyProtection="1">
      <alignment horizontal="center"/>
    </xf>
    <xf numFmtId="2" fontId="3" fillId="0" borderId="0" xfId="0" applyNumberFormat="1" applyFont="1" applyProtection="1"/>
    <xf numFmtId="2" fontId="3" fillId="0" borderId="0" xfId="0" applyNumberFormat="1" applyFont="1" applyAlignment="1" applyProtection="1"/>
    <xf numFmtId="10" fontId="3" fillId="0" borderId="0" xfId="0" applyNumberFormat="1" applyFont="1" applyProtection="1"/>
    <xf numFmtId="37" fontId="9" fillId="0" borderId="0" xfId="0" applyFont="1" applyProtection="1"/>
    <xf numFmtId="37" fontId="3" fillId="0" borderId="0" xfId="0" applyFont="1" applyProtection="1">
      <protection locked="0"/>
    </xf>
    <xf numFmtId="37" fontId="5" fillId="0" borderId="0" xfId="0" applyFont="1" applyAlignment="1" applyProtection="1"/>
    <xf numFmtId="37" fontId="5" fillId="0" borderId="0" xfId="0" applyFont="1" applyProtection="1"/>
    <xf numFmtId="49" fontId="9" fillId="4" borderId="1" xfId="0" applyNumberFormat="1" applyFont="1" applyFill="1" applyBorder="1" applyAlignment="1" applyProtection="1">
      <alignment horizontal="left"/>
      <protection locked="0"/>
    </xf>
    <xf numFmtId="38" fontId="9" fillId="4" borderId="14" xfId="0" quotePrefix="1" applyNumberFormat="1" applyFont="1" applyFill="1" applyBorder="1" applyProtection="1">
      <protection locked="0"/>
    </xf>
    <xf numFmtId="37" fontId="3" fillId="3" borderId="0" xfId="0" applyFont="1" applyFill="1" applyAlignment="1" applyProtection="1">
      <alignment horizontal="left"/>
    </xf>
    <xf numFmtId="37" fontId="3" fillId="8" borderId="0" xfId="0" applyFont="1" applyFill="1" applyProtection="1"/>
    <xf numFmtId="37" fontId="4" fillId="0" borderId="8" xfId="0" applyNumberFormat="1" applyFont="1" applyFill="1" applyBorder="1" applyAlignment="1" applyProtection="1">
      <alignment horizontal="left"/>
    </xf>
    <xf numFmtId="164" fontId="4" fillId="0" borderId="3" xfId="0" applyNumberFormat="1" applyFont="1" applyFill="1" applyBorder="1" applyAlignment="1" applyProtection="1"/>
    <xf numFmtId="37" fontId="3" fillId="2" borderId="0" xfId="0" applyFont="1" applyFill="1" applyAlignment="1" applyProtection="1">
      <alignment horizontal="right"/>
    </xf>
    <xf numFmtId="37" fontId="3" fillId="0" borderId="0" xfId="0" applyFont="1" applyAlignment="1" applyProtection="1">
      <alignment horizontal="right"/>
    </xf>
    <xf numFmtId="4" fontId="3" fillId="2" borderId="0" xfId="0" applyNumberFormat="1" applyFont="1" applyFill="1" applyAlignment="1" applyProtection="1">
      <alignment horizontal="right"/>
    </xf>
    <xf numFmtId="39" fontId="3" fillId="2" borderId="0" xfId="0" applyNumberFormat="1" applyFont="1" applyFill="1" applyAlignment="1" applyProtection="1">
      <alignment horizontal="right"/>
    </xf>
    <xf numFmtId="37" fontId="3" fillId="0" borderId="0" xfId="0" quotePrefix="1" applyFont="1" applyAlignment="1" applyProtection="1">
      <alignment horizontal="right"/>
    </xf>
    <xf numFmtId="2" fontId="3" fillId="0" borderId="0" xfId="0" applyNumberFormat="1" applyFont="1" applyAlignment="1" applyProtection="1">
      <alignment horizontal="right"/>
    </xf>
    <xf numFmtId="49" fontId="9" fillId="4" borderId="1" xfId="0" quotePrefix="1" applyNumberFormat="1" applyFont="1" applyFill="1" applyBorder="1" applyAlignment="1" applyProtection="1">
      <protection locked="0"/>
    </xf>
    <xf numFmtId="37" fontId="12" fillId="0" borderId="0" xfId="2" applyNumberFormat="1" applyFont="1" applyAlignment="1" applyProtection="1"/>
    <xf numFmtId="38" fontId="3" fillId="8" borderId="0" xfId="0" applyNumberFormat="1" applyFont="1" applyFill="1" applyProtection="1"/>
    <xf numFmtId="37" fontId="13" fillId="0" borderId="23" xfId="0" applyFont="1" applyBorder="1" applyAlignment="1">
      <alignment horizontal="right"/>
    </xf>
    <xf numFmtId="37" fontId="15" fillId="0" borderId="0" xfId="0" applyFont="1"/>
    <xf numFmtId="37" fontId="0" fillId="0" borderId="0" xfId="0" applyAlignment="1">
      <alignment horizontal="center"/>
    </xf>
    <xf numFmtId="37" fontId="0" fillId="0" borderId="0" xfId="0" applyNumberFormat="1"/>
    <xf numFmtId="37" fontId="0" fillId="0" borderId="0" xfId="0" pivotButton="1"/>
    <xf numFmtId="37" fontId="0" fillId="0" borderId="0" xfId="0" applyAlignment="1">
      <alignment horizontal="left"/>
    </xf>
    <xf numFmtId="37" fontId="0" fillId="0" borderId="0" xfId="0" applyNumberFormat="1" applyAlignment="1">
      <alignment horizontal="left"/>
    </xf>
    <xf numFmtId="37" fontId="0" fillId="8" borderId="0" xfId="0" applyFill="1"/>
    <xf numFmtId="43" fontId="0" fillId="0" borderId="0" xfId="1" applyFont="1"/>
    <xf numFmtId="43" fontId="0" fillId="0" borderId="0" xfId="1" pivotButton="1" applyFont="1"/>
    <xf numFmtId="0" fontId="1" fillId="0" borderId="0" xfId="4"/>
    <xf numFmtId="37" fontId="0" fillId="0" borderId="0" xfId="0" applyFill="1"/>
    <xf numFmtId="37" fontId="0" fillId="0" borderId="0" xfId="0" applyFill="1" applyAlignment="1">
      <alignment indent="1"/>
    </xf>
    <xf numFmtId="37" fontId="0" fillId="0" borderId="0" xfId="0" applyAlignment="1">
      <alignment indent="1"/>
    </xf>
    <xf numFmtId="43" fontId="1" fillId="0" borderId="0" xfId="1"/>
    <xf numFmtId="43" fontId="0" fillId="0" borderId="0" xfId="1" applyFont="1" applyFill="1"/>
    <xf numFmtId="37" fontId="9" fillId="0" borderId="1" xfId="0" quotePrefix="1" applyNumberFormat="1" applyFont="1" applyFill="1" applyBorder="1" applyProtection="1">
      <protection locked="0"/>
    </xf>
    <xf numFmtId="43" fontId="0" fillId="8" borderId="0" xfId="1" applyFont="1" applyFill="1"/>
    <xf numFmtId="43" fontId="15" fillId="0" borderId="0" xfId="1" applyFont="1"/>
    <xf numFmtId="43" fontId="0" fillId="0" borderId="0" xfId="0" applyNumberFormat="1"/>
    <xf numFmtId="43" fontId="3" fillId="0" borderId="0" xfId="1" applyFont="1" applyProtection="1"/>
    <xf numFmtId="43" fontId="3" fillId="0" borderId="0" xfId="1" applyFont="1" applyAlignment="1" applyProtection="1">
      <alignment horizontal="center"/>
    </xf>
    <xf numFmtId="37" fontId="18" fillId="0" borderId="0" xfId="0" applyFont="1" applyProtection="1"/>
    <xf numFmtId="37" fontId="18" fillId="0" borderId="0" xfId="0" quotePrefix="1" applyFont="1" applyAlignment="1" applyProtection="1">
      <alignment horizontal="left"/>
    </xf>
    <xf numFmtId="37" fontId="0" fillId="10" borderId="0" xfId="0" applyFill="1"/>
    <xf numFmtId="37" fontId="0" fillId="9" borderId="0" xfId="0" applyFill="1"/>
    <xf numFmtId="166" fontId="3" fillId="0" borderId="0" xfId="1" applyNumberFormat="1" applyFont="1" applyFill="1" applyAlignment="1" applyProtection="1"/>
    <xf numFmtId="37" fontId="9" fillId="0" borderId="1" xfId="1" quotePrefix="1" applyNumberFormat="1" applyFont="1" applyFill="1" applyBorder="1" applyProtection="1">
      <protection locked="0"/>
    </xf>
    <xf numFmtId="38" fontId="9" fillId="0" borderId="1" xfId="0" applyNumberFormat="1" applyFont="1" applyFill="1" applyBorder="1" applyAlignment="1" applyProtection="1">
      <alignment horizontal="center"/>
      <protection locked="0"/>
    </xf>
    <xf numFmtId="38" fontId="9" fillId="0" borderId="1" xfId="0" applyNumberFormat="1" applyFont="1" applyFill="1" applyBorder="1" applyProtection="1">
      <protection locked="0"/>
    </xf>
    <xf numFmtId="37" fontId="9" fillId="0" borderId="1" xfId="0" applyFont="1" applyFill="1" applyBorder="1" applyProtection="1">
      <protection locked="0"/>
    </xf>
    <xf numFmtId="37" fontId="9" fillId="0" borderId="0" xfId="0" applyFont="1" applyFill="1" applyAlignment="1" applyProtection="1">
      <alignment horizontal="centerContinuous"/>
    </xf>
    <xf numFmtId="37" fontId="9" fillId="3" borderId="0" xfId="0" applyFont="1" applyFill="1" applyAlignment="1" applyProtection="1">
      <alignment horizontal="center" vertical="center"/>
    </xf>
  </cellXfs>
  <cellStyles count="5">
    <cellStyle name="Comma" xfId="1" builtinId="3"/>
    <cellStyle name="Hyperlink" xfId="2" builtinId="8"/>
    <cellStyle name="Normal" xfId="0" builtinId="0"/>
    <cellStyle name="Normal 2" xfId="3"/>
    <cellStyle name="Normal 3" xfId="4"/>
  </cellStyles>
  <dxfs count="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_(* #,##0_);_(* \(#,##0\);_(* &quot;-&quot;??_);_(@_)"/>
    </dxf>
    <dxf>
      <alignment relativeIndent="1"/>
    </dxf>
    <dxf>
      <alignment relativeIndent="1"/>
    </dxf>
    <dxf>
      <alignment relativeIndent="1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ECFF"/>
      <color rgb="FFD5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wtac1mss09\RAOShared\RAO\Department%20of%20Health%20Reports\DOH%20FY19\Physician%20zones%20June%202019%20Tacoma%20Hard%20Close%20YT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, Nhon N (Tacoma)" refreshedDate="43711.576973842595" createdVersion="4" refreshedVersion="6" minRefreshableVersion="3" recordCount="51292">
  <cacheSource type="worksheet">
    <worksheetSource ref="A1:W1048576" sheet="Lawson Qry" r:id="rId2"/>
  </cacheSource>
  <cacheFields count="23">
    <cacheField name="Expense Type" numFmtId="0">
      <sharedItems containsBlank="1" count="32">
        <s v="Other Expenses"/>
        <s v="Physician Services Gross Rev"/>
        <s v="Contractual Allowance"/>
        <s v="Charity Care Allowance"/>
        <s v="Provision for Doutful Account"/>
        <s v="Salaries"/>
        <s v="Benefits"/>
        <s v="Purchase Services"/>
        <s v="Insurance Expense"/>
        <s v="Nonoperating gains (losses) (Investment Inc)"/>
        <s v="Contract Labor"/>
        <s v="Supplies Expenses"/>
        <s v="Rentals and leases"/>
        <s v="Depreciation and amortization"/>
        <s v="Other Operating revenues"/>
        <s v="Utilities expense"/>
        <s v="Repairs and maintenance"/>
        <s v="Medical Professional Fees"/>
        <s v="Inpatient Service Gross Rev"/>
        <s v="Outpatient care Services Rev"/>
        <s v="Donations"/>
        <s v="Consulting "/>
        <s v="Changes in equity of unconsolidated organizations"/>
        <s v="Home-Base services Gross Rev"/>
        <s v="Interest Expense"/>
        <s v="Restructuring expense"/>
        <s v="National Assessment"/>
        <s v="Residential Services Gross Rev"/>
        <m/>
        <s v="Rentals, leases and maintenance" u="1"/>
        <s v="Nonoperating gains (losses)" u="1"/>
        <s v="Investment income (loss)" u="1"/>
      </sharedItems>
    </cacheField>
    <cacheField name="Zone" numFmtId="0">
      <sharedItems containsBlank="1" count="31">
        <s v="102"/>
        <s v="200"/>
        <s v="207"/>
        <s v="101"/>
        <s v="103"/>
        <s v="106"/>
        <s v="107"/>
        <s v="150"/>
        <s v="104"/>
        <s v="501"/>
        <s v="306"/>
        <s v="211"/>
        <s v="201"/>
        <s v="500"/>
        <s v="730"/>
        <s v="206"/>
        <s v="460"/>
        <s v="467"/>
        <s v="504"/>
        <s v="601"/>
        <s v="840"/>
        <s v="900"/>
        <s v="931"/>
        <s v="932"/>
        <s v="933"/>
        <s v="934"/>
        <s v="935"/>
        <s v="936"/>
        <s v="937"/>
        <s v="938"/>
        <m/>
      </sharedItems>
    </cacheField>
    <cacheField name="COMPANY" numFmtId="0">
      <sharedItems containsString="0" containsBlank="1" containsNumber="1" containsInteger="1" minValue="5100" maxValue="5100" count="2">
        <n v="5100"/>
        <m/>
      </sharedItems>
    </cacheField>
    <cacheField name="ACCT-UNIT" numFmtId="0">
      <sharedItems containsBlank="1"/>
    </cacheField>
    <cacheField name="ACCOUNT" numFmtId="0">
      <sharedItems containsString="0" containsBlank="1" containsNumber="1" containsInteger="1" minValue="400010" maxValue="804050"/>
    </cacheField>
    <cacheField name="GLMASTER.ACCT-DESC" numFmtId="0">
      <sharedItems containsBlank="1"/>
    </cacheField>
    <cacheField name="ACCT-UNIT.DESCRIPTION" numFmtId="0">
      <sharedItems containsBlank="1"/>
    </cacheField>
    <cacheField name="FISCAL-YEAR" numFmtId="0">
      <sharedItems containsString="0" containsBlank="1" containsNumber="1" containsInteger="1" minValue="2019" maxValue="2019" count="2">
        <n v="2019"/>
        <m/>
      </sharedItems>
    </cacheField>
    <cacheField name="SUB-ACCOUNT" numFmtId="0">
      <sharedItems containsString="0" containsBlank="1" containsNumber="1" containsInteger="1" minValue="1000" maxValue="9013"/>
    </cacheField>
    <cacheField name="CYPAMT1" numFmtId="0">
      <sharedItems containsString="0" containsBlank="1" containsNumber="1" minValue="-16297786.84" maxValue="54978975.159999996"/>
    </cacheField>
    <cacheField name="CYPAMT2" numFmtId="0">
      <sharedItems containsString="0" containsBlank="1" containsNumber="1" minValue="-15190017.49" maxValue="62207094.469999999"/>
    </cacheField>
    <cacheField name="CYPAMT3" numFmtId="0">
      <sharedItems containsString="0" containsBlank="1" containsNumber="1" minValue="-15569430.359999999" maxValue="54932115.079999998"/>
    </cacheField>
    <cacheField name="CYPAMT4" numFmtId="0">
      <sharedItems containsString="0" containsBlank="1" containsNumber="1" minValue="-15811525.130000001" maxValue="74031300.920000002"/>
    </cacheField>
    <cacheField name="CYPAMT5" numFmtId="0">
      <sharedItems containsString="0" containsBlank="1" containsNumber="1" minValue="-14116963.869999999" maxValue="62361499.950000003"/>
    </cacheField>
    <cacheField name="CYPAMT6" numFmtId="0">
      <sharedItems containsString="0" containsBlank="1" containsNumber="1" minValue="-15510682.050000001" maxValue="63246683.030000001"/>
    </cacheField>
    <cacheField name="CYPAMT7" numFmtId="0">
      <sharedItems containsString="0" containsBlank="1" containsNumber="1" minValue="-15583777.51" maxValue="64380749.280000001"/>
    </cacheField>
    <cacheField name="CYPAMT8" numFmtId="0">
      <sharedItems containsString="0" containsBlank="1" containsNumber="1" minValue="-14499424.77" maxValue="61017463.75"/>
    </cacheField>
    <cacheField name="CYPAMT9" numFmtId="0">
      <sharedItems containsString="0" containsBlank="1" containsNumber="1" minValue="-15990631.560000001" maxValue="70711444.349999994"/>
    </cacheField>
    <cacheField name="CYPAMT10" numFmtId="0">
      <sharedItems containsString="0" containsBlank="1" containsNumber="1" minValue="-15121419.359999999" maxValue="67757332.090000004"/>
    </cacheField>
    <cacheField name="CYPAMT11" numFmtId="0">
      <sharedItems containsString="0" containsBlank="1" containsNumber="1" minValue="-19443682.079999998" maxValue="66732023.659999996"/>
    </cacheField>
    <cacheField name="CYPAMT12" numFmtId="0">
      <sharedItems containsString="0" containsBlank="1" containsNumber="1" minValue="-187563673.81999999" maxValue="280043410.23000002"/>
    </cacheField>
    <cacheField name="YTD" numFmtId="0">
      <sharedItems containsString="0" containsBlank="1" containsNumber="1" minValue="-190668589.53999999" maxValue="768653847.94000006"/>
    </cacheField>
    <cacheField name="VARIANCE" numFmtId="0">
      <sharedItems containsString="0" containsBlank="1" containsNumber="1" minValue="-280043410.23000002" maxValue="187563673.81999999"/>
    </cacheField>
  </cacheFields>
  <extLst>
    <ext xmlns:x14="http://schemas.microsoft.com/office/spreadsheetml/2009/9/main" uri="{725AE2AE-9491-48be-B2B4-4EB974FC3084}">
      <x14:pivotCacheDefinition pivotCacheId="43986661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atholic Health Initiatives" refreshedDate="43733.47113888889" createdVersion="5" refreshedVersion="5" minRefreshableVersion="3" recordCount="45">
  <cacheSource type="worksheet">
    <worksheetSource ref="B43:C88" sheet="HL Data"/>
  </cacheSource>
  <cacheFields count="2">
    <cacheField name="DOH Department" numFmtId="37">
      <sharedItems containsSemiMixedTypes="0" containsString="0" containsNumber="1" containsInteger="1" minValue="6010" maxValue="8720" count="28">
        <n v="6010"/>
        <n v="6070"/>
        <n v="6170"/>
        <n v="7020"/>
        <n v="7030"/>
        <n v="7040"/>
        <n v="7050"/>
        <n v="7070"/>
        <n v="7120"/>
        <n v="7130"/>
        <n v="7140"/>
        <n v="7160"/>
        <n v="7180"/>
        <n v="7170"/>
        <n v="7190"/>
        <n v="7200"/>
        <n v="7230"/>
        <n v="7260"/>
        <n v="7310"/>
        <n v="7320"/>
        <n v="7400"/>
        <n v="8320"/>
        <n v="8370"/>
        <n v="8420"/>
        <n v="8430"/>
        <n v="8460"/>
        <n v="8650"/>
        <n v="8720"/>
      </sharedItems>
    </cacheField>
    <cacheField name="FY19" numFmtId="37">
      <sharedItems containsString="0" containsBlank="1" containsNumber="1" minValue="0" maxValue="1201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292">
  <r>
    <x v="0"/>
    <x v="0"/>
    <x v="0"/>
    <s v="1000102"/>
    <n v="740020"/>
    <s v="Education-Registration Fees"/>
    <s v="St Francis"/>
    <x v="0"/>
    <m/>
    <n v="0"/>
    <n v="0"/>
    <n v="0"/>
    <n v="0"/>
    <n v="0"/>
    <n v="0"/>
    <n v="0"/>
    <n v="0"/>
    <n v="0"/>
    <n v="70"/>
    <n v="0"/>
    <n v="0"/>
    <n v="70"/>
    <n v="0"/>
  </r>
  <r>
    <x v="0"/>
    <x v="0"/>
    <x v="0"/>
    <s v="1000102"/>
    <n v="749510"/>
    <s v="Miscellaneous Expenses"/>
    <s v="St Francis"/>
    <x v="0"/>
    <m/>
    <n v="0"/>
    <n v="0"/>
    <n v="0"/>
    <n v="0"/>
    <n v="0"/>
    <n v="0"/>
    <n v="0"/>
    <n v="0"/>
    <n v="70"/>
    <n v="-70"/>
    <n v="0"/>
    <n v="0"/>
    <n v="0"/>
    <n v="0"/>
  </r>
  <r>
    <x v="1"/>
    <x v="1"/>
    <x v="0"/>
    <s v="2300200"/>
    <n v="400029"/>
    <s v="MD Practice Other Rev--Medicare"/>
    <s v="Lakewood Clinic-Fam Med"/>
    <x v="0"/>
    <n v="1100"/>
    <n v="-54"/>
    <n v="-68"/>
    <n v="-149"/>
    <n v="-140"/>
    <n v="-159"/>
    <n v="-40"/>
    <n v="-131"/>
    <n v="-260"/>
    <n v="-913"/>
    <n v="-593"/>
    <n v="-450"/>
    <n v="-279"/>
    <n v="-3236"/>
    <n v="-171"/>
  </r>
  <r>
    <x v="1"/>
    <x v="1"/>
    <x v="0"/>
    <s v="2300200"/>
    <n v="400029"/>
    <s v="MD Practice Other Rev--Medicaid"/>
    <s v="Lakewood Clinic-Fam Med"/>
    <x v="0"/>
    <n v="1200"/>
    <n v="-281"/>
    <n v="-168"/>
    <n v="-204"/>
    <n v="-283"/>
    <n v="-555"/>
    <n v="-450"/>
    <n v="-309"/>
    <n v="-237"/>
    <n v="-1624"/>
    <n v="-607"/>
    <n v="-1055"/>
    <n v="-361"/>
    <n v="-6134"/>
    <n v="-694"/>
  </r>
  <r>
    <x v="1"/>
    <x v="1"/>
    <x v="0"/>
    <s v="2300200"/>
    <n v="400029"/>
    <s v="MD Practice Other Rev--Comm Insurance"/>
    <s v="Lakewood Clinic-Fam Med"/>
    <x v="0"/>
    <n v="1300"/>
    <n v="-10"/>
    <n v="-10"/>
    <n v="-10"/>
    <n v="-21"/>
    <n v="-124"/>
    <n v="-24"/>
    <n v="-10"/>
    <n v="-34"/>
    <n v="-226"/>
    <n v="-78"/>
    <n v="-206"/>
    <n v="-138"/>
    <n v="-891"/>
    <n v="-68"/>
  </r>
  <r>
    <x v="1"/>
    <x v="1"/>
    <x v="0"/>
    <s v="2300200"/>
    <n v="400029"/>
    <s v="MD Practice Other Rev--BCBS Comm"/>
    <s v="Lakewood Clinic-Fam Med"/>
    <x v="0"/>
    <n v="1301"/>
    <n v="-55"/>
    <n v="-48"/>
    <n v="-78"/>
    <n v="-45"/>
    <n v="-10"/>
    <n v="-135"/>
    <n v="-72"/>
    <n v="-124"/>
    <n v="-269"/>
    <n v="-44"/>
    <n v="-58"/>
    <n v="-44"/>
    <n v="-982"/>
    <n v="-14"/>
  </r>
  <r>
    <x v="1"/>
    <x v="1"/>
    <x v="0"/>
    <s v="2300200"/>
    <n v="400029"/>
    <s v="MD Practice Other Rev--Managed Care"/>
    <s v="Lakewood Clinic-Fam Med"/>
    <x v="0"/>
    <n v="1400"/>
    <n v="-188"/>
    <n v="-142"/>
    <n v="-145"/>
    <n v="-156"/>
    <n v="-219"/>
    <n v="-59"/>
    <n v="-396"/>
    <n v="-307"/>
    <n v="-1906"/>
    <n v="-225"/>
    <n v="-386"/>
    <n v="-168"/>
    <n v="-4297"/>
    <n v="-218"/>
  </r>
  <r>
    <x v="1"/>
    <x v="1"/>
    <x v="0"/>
    <s v="2300200"/>
    <n v="400029"/>
    <s v="MD Practice Other Rev--Self Pay"/>
    <s v="Lakewood Clinic-Fam Med"/>
    <x v="0"/>
    <n v="1500"/>
    <n v="0"/>
    <n v="0"/>
    <n v="0"/>
    <n v="-24"/>
    <n v="-15"/>
    <n v="0"/>
    <n v="-10"/>
    <n v="0"/>
    <n v="-90"/>
    <n v="0"/>
    <n v="0"/>
    <n v="0"/>
    <n v="-139"/>
    <n v="0"/>
  </r>
  <r>
    <x v="1"/>
    <x v="1"/>
    <x v="0"/>
    <s v="2300200"/>
    <n v="400029"/>
    <s v="MD Practice Other Rev--Other"/>
    <s v="Lakewood Clinic-Fam Med"/>
    <x v="0"/>
    <n v="1700"/>
    <n v="0"/>
    <n v="-154"/>
    <n v="-68"/>
    <n v="-24"/>
    <n v="-206"/>
    <n v="-89"/>
    <n v="-48"/>
    <n v="-156"/>
    <n v="-278"/>
    <n v="-405"/>
    <n v="-151"/>
    <n v="-117"/>
    <n v="-1696"/>
    <n v="-34"/>
  </r>
  <r>
    <x v="1"/>
    <x v="1"/>
    <x v="0"/>
    <s v="2300200"/>
    <n v="400040"/>
    <s v="Physician Svcs Rev--Medicare"/>
    <s v="Lakewood Clinic-Fam Med"/>
    <x v="0"/>
    <n v="1100"/>
    <n v="-99154"/>
    <n v="-127068"/>
    <n v="-117506"/>
    <n v="-154201"/>
    <n v="-128135"/>
    <n v="-115028"/>
    <n v="-130514"/>
    <n v="-111051"/>
    <n v="-139456"/>
    <n v="-132391"/>
    <n v="-144088"/>
    <n v="-134316"/>
    <n v="-1532908"/>
    <n v="-9772"/>
  </r>
  <r>
    <x v="1"/>
    <x v="1"/>
    <x v="0"/>
    <s v="2300200"/>
    <n v="400040"/>
    <s v="Physician Svcs Rev--Medicaid"/>
    <s v="Lakewood Clinic-Fam Med"/>
    <x v="0"/>
    <n v="1200"/>
    <n v="-88162.64"/>
    <n v="-82687.399999999994"/>
    <n v="-85484.04"/>
    <n v="-99988.4"/>
    <n v="-98952.97"/>
    <n v="-59259.69"/>
    <n v="-96030.52"/>
    <n v="-98192.88"/>
    <n v="-150527.28"/>
    <n v="-134179.29999999999"/>
    <n v="-169605.4"/>
    <n v="-128221.32"/>
    <n v="-1291291.8399999999"/>
    <n v="-41384.079999999987"/>
  </r>
  <r>
    <x v="1"/>
    <x v="1"/>
    <x v="0"/>
    <s v="2300200"/>
    <n v="400040"/>
    <s v="Physician Svcs Rev--Comm Insurance"/>
    <s v="Lakewood Clinic-Fam Med"/>
    <x v="0"/>
    <n v="1300"/>
    <n v="-11098.91"/>
    <n v="-15263"/>
    <n v="-11975.12"/>
    <n v="-12061"/>
    <n v="-12047"/>
    <n v="-12780"/>
    <n v="-13745.88"/>
    <n v="-18049"/>
    <n v="-30499"/>
    <n v="-24010"/>
    <n v="-23398"/>
    <n v="-24356"/>
    <n v="-209282.91"/>
    <n v="958"/>
  </r>
  <r>
    <x v="1"/>
    <x v="1"/>
    <x v="0"/>
    <s v="2300200"/>
    <n v="400040"/>
    <s v="Physician Svcs Rev--BCBS Comm"/>
    <s v="Lakewood Clinic-Fam Med"/>
    <x v="0"/>
    <n v="1301"/>
    <n v="-24043.02"/>
    <n v="-20759.560000000001"/>
    <n v="-21259.119999999999"/>
    <n v="-21435.5"/>
    <n v="-19056.28"/>
    <n v="-20668.650000000001"/>
    <n v="-26352.91"/>
    <n v="-20907"/>
    <n v="-32681.88"/>
    <n v="-28608"/>
    <n v="-25087"/>
    <n v="-23150"/>
    <n v="-284008.92000000004"/>
    <n v="-1937"/>
  </r>
  <r>
    <x v="1"/>
    <x v="1"/>
    <x v="0"/>
    <s v="2300200"/>
    <n v="400040"/>
    <s v="Physician Svcs Rev--Managed Care"/>
    <s v="Lakewood Clinic-Fam Med"/>
    <x v="0"/>
    <n v="1400"/>
    <n v="-103080.1"/>
    <n v="-51579"/>
    <n v="-76741.16"/>
    <n v="-105417"/>
    <n v="-86190.67"/>
    <n v="-74404"/>
    <n v="-94225.12"/>
    <n v="-85247.16"/>
    <n v="-127652.12"/>
    <n v="-109893.82"/>
    <n v="-125834.69"/>
    <n v="-95560.55"/>
    <n v="-1135825.3900000001"/>
    <n v="-30274.14"/>
  </r>
  <r>
    <x v="1"/>
    <x v="1"/>
    <x v="0"/>
    <s v="2300200"/>
    <n v="400040"/>
    <s v="Physician Svcs Rev--Self Pay"/>
    <s v="Lakewood Clinic-Fam Med"/>
    <x v="0"/>
    <n v="1500"/>
    <n v="-5617.7"/>
    <n v="-2138"/>
    <n v="-3606"/>
    <n v="-3381"/>
    <n v="-3123"/>
    <n v="-3623"/>
    <n v="-4173"/>
    <n v="-1811"/>
    <n v="-7230"/>
    <n v="-6152"/>
    <n v="-7242.75"/>
    <n v="-5935"/>
    <n v="-54032.45"/>
    <n v="-1307.75"/>
  </r>
  <r>
    <x v="1"/>
    <x v="1"/>
    <x v="0"/>
    <s v="2300200"/>
    <n v="400040"/>
    <s v="Physician Svcs Rev--Other"/>
    <s v="Lakewood Clinic-Fam Med"/>
    <x v="0"/>
    <n v="1700"/>
    <n v="-34057"/>
    <n v="-39023"/>
    <n v="-30793"/>
    <n v="-36503"/>
    <n v="-34022.26"/>
    <n v="-25318.91"/>
    <n v="-32298"/>
    <n v="-31372.52"/>
    <n v="-41235.910000000003"/>
    <n v="-41052.129999999997"/>
    <n v="-57026"/>
    <n v="-38736.519999999997"/>
    <n v="-441438.25"/>
    <n v="-18289.480000000003"/>
  </r>
  <r>
    <x v="2"/>
    <x v="1"/>
    <x v="0"/>
    <s v="2300200"/>
    <n v="450029"/>
    <s v="Contr Allow--MD Other-Medicare"/>
    <s v="Lakewood Clinic-Fam Med"/>
    <x v="0"/>
    <n v="1100"/>
    <n v="49.06"/>
    <n v="23.79"/>
    <n v="30.38"/>
    <n v="118.23"/>
    <n v="124.31"/>
    <n v="56.76"/>
    <n v="43.73"/>
    <n v="138.78"/>
    <n v="178.84"/>
    <n v="529.94000000000005"/>
    <n v="378.04"/>
    <n v="157.62"/>
    <n v="1829.48"/>
    <n v="220.42000000000002"/>
  </r>
  <r>
    <x v="2"/>
    <x v="1"/>
    <x v="0"/>
    <s v="2300200"/>
    <n v="450029"/>
    <s v="Contr Allow--MD Other-Medicaid"/>
    <s v="Lakewood Clinic-Fam Med"/>
    <x v="0"/>
    <n v="1200"/>
    <n v="82.8"/>
    <n v="237.32"/>
    <n v="125.63"/>
    <n v="190.83"/>
    <n v="353.48"/>
    <n v="235.67"/>
    <n v="155.87"/>
    <n v="278.95999999999998"/>
    <n v="508.31"/>
    <n v="987.2"/>
    <n v="575.79"/>
    <n v="381.94"/>
    <n v="4113.7999999999993"/>
    <n v="193.84999999999997"/>
  </r>
  <r>
    <x v="2"/>
    <x v="1"/>
    <x v="0"/>
    <s v="2300200"/>
    <n v="450029"/>
    <s v="Contr Allow--MD Other-Comm Insurance"/>
    <s v="Lakewood Clinic-Fam Med"/>
    <x v="0"/>
    <n v="1300"/>
    <n v="11.02"/>
    <n v="4.43"/>
    <n v="4.43"/>
    <n v="25.22"/>
    <n v="26.74"/>
    <n v="53.59"/>
    <n v="0"/>
    <n v="15.73"/>
    <n v="12.24"/>
    <n v="54.26"/>
    <n v="71.599999999999994"/>
    <n v="105.88"/>
    <n v="385.14"/>
    <n v="-34.28"/>
  </r>
  <r>
    <x v="2"/>
    <x v="1"/>
    <x v="0"/>
    <s v="2300200"/>
    <n v="450029"/>
    <s v="Contr Allow--MD Other BCBS Comm"/>
    <s v="Lakewood Clinic-Fam Med"/>
    <x v="0"/>
    <n v="1301"/>
    <n v="47.34"/>
    <n v="58.75"/>
    <n v="14.82"/>
    <n v="13"/>
    <n v="13"/>
    <n v="85.68"/>
    <n v="56.49"/>
    <n v="-19.09"/>
    <n v="88.95"/>
    <n v="168.13"/>
    <n v="6.5"/>
    <n v="69.77"/>
    <n v="603.33999999999992"/>
    <n v="-63.269999999999996"/>
  </r>
  <r>
    <x v="2"/>
    <x v="1"/>
    <x v="0"/>
    <s v="2300200"/>
    <n v="450029"/>
    <s v="Contr Allow--MD Other-Managed Care"/>
    <s v="Lakewood Clinic-Fam Med"/>
    <x v="0"/>
    <n v="1400"/>
    <n v="131.82"/>
    <n v="111.2"/>
    <n v="108.78"/>
    <n v="109.62"/>
    <n v="54.21"/>
    <n v="125.17"/>
    <n v="184.07"/>
    <n v="150.27000000000001"/>
    <n v="558.30999999999995"/>
    <n v="848.08"/>
    <n v="188.53"/>
    <n v="194.04"/>
    <n v="2764.1"/>
    <n v="-5.5099999999999909"/>
  </r>
  <r>
    <x v="2"/>
    <x v="1"/>
    <x v="0"/>
    <s v="2300200"/>
    <n v="450029"/>
    <s v="Admin Adjust-MD Other-Self Pay"/>
    <s v="Lakewood Clinic-Fam Med"/>
    <x v="0"/>
    <n v="1600"/>
    <n v="12.21"/>
    <n v="4.7"/>
    <n v="7.86"/>
    <n v="10.73"/>
    <n v="1.1100000000000001"/>
    <n v="18.61"/>
    <n v="14.4"/>
    <n v="27.4"/>
    <n v="38.799999999999997"/>
    <n v="4.5"/>
    <n v="23.27"/>
    <n v="0"/>
    <n v="163.59"/>
    <n v="23.27"/>
  </r>
  <r>
    <x v="2"/>
    <x v="1"/>
    <x v="0"/>
    <s v="2300200"/>
    <n v="450029"/>
    <s v="Contr Allow--MD Other-Other"/>
    <s v="Lakewood Clinic-Fam Med"/>
    <x v="0"/>
    <n v="1700"/>
    <n v="104.75"/>
    <n v="30.69"/>
    <n v="48.34"/>
    <n v="83.13"/>
    <n v="39.56"/>
    <n v="48.55"/>
    <n v="114.1"/>
    <n v="17"/>
    <n v="75.17"/>
    <n v="182.04"/>
    <n v="362.46"/>
    <n v="68"/>
    <n v="1173.79"/>
    <n v="294.45999999999998"/>
  </r>
  <r>
    <x v="2"/>
    <x v="1"/>
    <x v="0"/>
    <s v="2300200"/>
    <n v="450040"/>
    <s v="Contr Allow--Phys Svcs--Mcare"/>
    <s v="Lakewood Clinic-Fam Med"/>
    <x v="0"/>
    <n v="1100"/>
    <n v="62122.07"/>
    <n v="70145.55"/>
    <n v="71028.55"/>
    <n v="101136.79"/>
    <n v="91143.75"/>
    <n v="80057.56"/>
    <n v="82037.929999999993"/>
    <n v="68040.52"/>
    <n v="70060.58"/>
    <n v="80550.77"/>
    <n v="83133.16"/>
    <n v="91973.46"/>
    <n v="951430.69"/>
    <n v="-8840.3000000000029"/>
  </r>
  <r>
    <x v="2"/>
    <x v="1"/>
    <x v="0"/>
    <s v="2300200"/>
    <n v="450040"/>
    <s v="Contr Allow--Phys Svcs--Mcaid"/>
    <s v="Lakewood Clinic-Fam Med"/>
    <x v="0"/>
    <n v="1200"/>
    <n v="56930.25"/>
    <n v="80790.28"/>
    <n v="58293.08"/>
    <n v="80415.11"/>
    <n v="61545.46"/>
    <n v="57731.55"/>
    <n v="64115.78"/>
    <n v="59405.31"/>
    <n v="83359.259999999995"/>
    <n v="129165.41"/>
    <n v="111730.83"/>
    <n v="111769.5"/>
    <n v="955251.82"/>
    <n v="-38.669999999998254"/>
  </r>
  <r>
    <x v="2"/>
    <x v="1"/>
    <x v="0"/>
    <s v="2300200"/>
    <n v="450040"/>
    <s v="Contr Allow--Phys Svcs--Comm Insurance"/>
    <s v="Lakewood Clinic-Fam Med"/>
    <x v="0"/>
    <n v="1300"/>
    <n v="6024.41"/>
    <n v="5866.41"/>
    <n v="4080.6"/>
    <n v="7548.43"/>
    <n v="4122.82"/>
    <n v="4089.67"/>
    <n v="3365.21"/>
    <n v="3971.45"/>
    <n v="4276.29"/>
    <n v="8122.39"/>
    <n v="6856.43"/>
    <n v="16116.88"/>
    <n v="74440.989999999991"/>
    <n v="-9260.4499999999989"/>
  </r>
  <r>
    <x v="2"/>
    <x v="1"/>
    <x v="0"/>
    <s v="2300200"/>
    <n v="450040"/>
    <s v="Contr Allow--Phys Svcs--BCBS Comm Ins"/>
    <s v="Lakewood Clinic-Fam Med"/>
    <x v="0"/>
    <n v="1301"/>
    <n v="7552.12"/>
    <n v="6336.3"/>
    <n v="6337.13"/>
    <n v="6619.31"/>
    <n v="7540.67"/>
    <n v="5955.45"/>
    <n v="6192.21"/>
    <n v="4774.3900000000003"/>
    <n v="8593.6"/>
    <n v="8732.83"/>
    <n v="7555.64"/>
    <n v="8322.18"/>
    <n v="84511.829999999987"/>
    <n v="-766.54"/>
  </r>
  <r>
    <x v="2"/>
    <x v="1"/>
    <x v="0"/>
    <s v="2300200"/>
    <n v="450040"/>
    <s v="Contr Allow--Phys Svcs--Managed Care"/>
    <s v="Lakewood Clinic-Fam Med"/>
    <x v="0"/>
    <n v="1400"/>
    <n v="24565.45"/>
    <n v="31001.39"/>
    <n v="23400.04"/>
    <n v="35624.160000000003"/>
    <n v="36384.22"/>
    <n v="27591.63"/>
    <n v="25562.11"/>
    <n v="27663.09"/>
    <n v="38645.08"/>
    <n v="44971.06"/>
    <n v="42996.38"/>
    <n v="33201.57"/>
    <n v="391606.18"/>
    <n v="9794.8099999999977"/>
  </r>
  <r>
    <x v="2"/>
    <x v="1"/>
    <x v="0"/>
    <s v="2300200"/>
    <n v="450040"/>
    <s v="Contr Allow--Phys Svcs--BCBS Mgnd Care"/>
    <s v="Lakewood Clinic-Fam Med"/>
    <x v="0"/>
    <n v="1401"/>
    <n v="7042.13"/>
    <n v="-30742.61"/>
    <n v="14521.92"/>
    <n v="-11027.79"/>
    <n v="-9803.68"/>
    <n v="-17296.82"/>
    <n v="32337.47"/>
    <n v="25856.34"/>
    <n v="66360.23"/>
    <n v="-33193.660000000003"/>
    <n v="34858.15"/>
    <n v="-45160.72"/>
    <n v="33750.959999999992"/>
    <n v="80018.87"/>
  </r>
  <r>
    <x v="2"/>
    <x v="1"/>
    <x v="0"/>
    <s v="2300200"/>
    <n v="450040"/>
    <s v="Prompt Pay Disc-Phys Svcs-Self Pay"/>
    <s v="Lakewood Clinic-Fam Med"/>
    <x v="0"/>
    <n v="1500"/>
    <n v="0"/>
    <n v="0"/>
    <n v="0"/>
    <n v="0"/>
    <n v="0"/>
    <n v="0"/>
    <n v="0"/>
    <n v="0"/>
    <n v="0"/>
    <n v="0"/>
    <n v="185.22"/>
    <n v="0"/>
    <n v="185.22"/>
    <n v="185.22"/>
  </r>
  <r>
    <x v="2"/>
    <x v="1"/>
    <x v="0"/>
    <s v="2300200"/>
    <n v="450040"/>
    <s v="Admin Adjust-Phys Svcs-Self Pay"/>
    <s v="Lakewood Clinic-Fam Med"/>
    <x v="0"/>
    <n v="1600"/>
    <n v="1839.37"/>
    <n v="1685.94"/>
    <n v="1997.9"/>
    <n v="2892.57"/>
    <n v="1920.33"/>
    <n v="1456.98"/>
    <n v="2123.87"/>
    <n v="1370"/>
    <n v="5392.67"/>
    <n v="2658.99"/>
    <n v="2933.33"/>
    <n v="23407.95"/>
    <n v="49679.899999999994"/>
    <n v="-20474.620000000003"/>
  </r>
  <r>
    <x v="2"/>
    <x v="1"/>
    <x v="0"/>
    <s v="2300200"/>
    <n v="450040"/>
    <s v="Contr Allow--Phys Svcs--Other"/>
    <s v="Lakewood Clinic-Fam Med"/>
    <x v="0"/>
    <n v="1700"/>
    <n v="31884.240000000002"/>
    <n v="23254.82"/>
    <n v="17093.46"/>
    <n v="24775.98"/>
    <n v="17983.86"/>
    <n v="17805.05"/>
    <n v="21451.25"/>
    <n v="16614.18"/>
    <n v="17049.27"/>
    <n v="32878.82"/>
    <n v="32720.01"/>
    <n v="25535.53"/>
    <n v="279046.46999999997"/>
    <n v="7184.48"/>
  </r>
  <r>
    <x v="3"/>
    <x v="1"/>
    <x v="0"/>
    <s v="2300200"/>
    <n v="470040"/>
    <s v="Charity Care-Physician Svcs"/>
    <s v="Lakewood Clinic-Fam Med"/>
    <x v="0"/>
    <m/>
    <n v="250.37"/>
    <n v="3402.39"/>
    <n v="1305.24"/>
    <n v="380.29"/>
    <n v="1072.01"/>
    <n v="-298.70999999999998"/>
    <n v="2188.0500000000002"/>
    <n v="2281.48"/>
    <n v="10956.51"/>
    <n v="1259.6400000000001"/>
    <n v="3009.46"/>
    <n v="3969.19"/>
    <n v="29775.919999999995"/>
    <n v="-959.73"/>
  </r>
  <r>
    <x v="4"/>
    <x v="1"/>
    <x v="0"/>
    <s v="2300200"/>
    <n v="490010"/>
    <s v="Provision for Bad Debts"/>
    <s v="Lakewood Clinic-Fam Med"/>
    <x v="0"/>
    <m/>
    <n v="10386.08"/>
    <n v="756.08"/>
    <n v="10320.08"/>
    <n v="6679.11"/>
    <n v="7828.6"/>
    <n v="-350.76"/>
    <n v="3526.49"/>
    <n v="5441.58"/>
    <n v="15056.6"/>
    <n v="792.41"/>
    <n v="5322.86"/>
    <n v="918.73"/>
    <n v="66677.859999999986"/>
    <n v="4404.1299999999992"/>
  </r>
  <r>
    <x v="5"/>
    <x v="1"/>
    <x v="0"/>
    <s v="2300200"/>
    <n v="700022"/>
    <s v="Salaries-Physician-Productive"/>
    <s v="Lakewood Clinic-Fam Med"/>
    <x v="0"/>
    <m/>
    <n v="72683.09"/>
    <n v="92605.05"/>
    <n v="72283.48"/>
    <n v="82138.19"/>
    <n v="86219.62"/>
    <n v="78309.7"/>
    <n v="85860.01"/>
    <n v="102026.64"/>
    <n v="103546.05"/>
    <n v="98140.479999999996"/>
    <n v="117219.83"/>
    <n v="65529.36"/>
    <n v="1056561.5"/>
    <n v="51690.47"/>
  </r>
  <r>
    <x v="5"/>
    <x v="1"/>
    <x v="0"/>
    <s v="2300200"/>
    <n v="700024"/>
    <s v="Salaries-Advanced Practice Clinician-Productive"/>
    <s v="Lakewood Clinic-Fam Med"/>
    <x v="0"/>
    <m/>
    <n v="0"/>
    <n v="0"/>
    <n v="0"/>
    <n v="0"/>
    <n v="0"/>
    <n v="0"/>
    <n v="0"/>
    <n v="11366.94"/>
    <n v="9060.8799999999992"/>
    <n v="10719.09"/>
    <n v="9712.33"/>
    <n v="10067.66"/>
    <n v="50926.899999999994"/>
    <n v="-355.32999999999993"/>
  </r>
  <r>
    <x v="5"/>
    <x v="1"/>
    <x v="0"/>
    <s v="2300200"/>
    <n v="700026"/>
    <s v="Salaries-RN-Productive"/>
    <s v="Lakewood Clinic-Fam Med"/>
    <x v="0"/>
    <m/>
    <n v="0"/>
    <n v="0"/>
    <n v="0"/>
    <n v="0"/>
    <n v="0"/>
    <n v="0"/>
    <n v="0"/>
    <n v="365.09"/>
    <n v="-104.31"/>
    <n v="0"/>
    <n v="0"/>
    <n v="0"/>
    <n v="260.77999999999997"/>
    <n v="0"/>
  </r>
  <r>
    <x v="5"/>
    <x v="1"/>
    <x v="0"/>
    <s v="2300200"/>
    <n v="700030"/>
    <s v="Salaries-LPN-Productive"/>
    <s v="Lakewood Clinic-Fam Med"/>
    <x v="0"/>
    <m/>
    <n v="10167.27"/>
    <n v="9907.4699999999993"/>
    <n v="8207.94"/>
    <n v="11618.9"/>
    <n v="8245.84"/>
    <n v="6519.85"/>
    <n v="8631.5300000000007"/>
    <n v="6894.74"/>
    <n v="5977.05"/>
    <n v="8397"/>
    <n v="7522.39"/>
    <n v="3749.79"/>
    <n v="95839.76999999999"/>
    <n v="3772.6000000000004"/>
  </r>
  <r>
    <x v="5"/>
    <x v="1"/>
    <x v="0"/>
    <s v="2300200"/>
    <n v="700030"/>
    <s v="Salaries-LPN-OT"/>
    <s v="Lakewood Clinic-Fam Med"/>
    <x v="0"/>
    <n v="1000"/>
    <n v="110.14"/>
    <n v="159.01"/>
    <n v="195.91"/>
    <n v="398.18"/>
    <n v="101.51"/>
    <n v="-56.51"/>
    <n v="173.37"/>
    <n v="143.29"/>
    <n v="158.63999999999999"/>
    <n v="474.73"/>
    <n v="549.77"/>
    <n v="100.97"/>
    <n v="2509.0099999999998"/>
    <n v="448.79999999999995"/>
  </r>
  <r>
    <x v="5"/>
    <x v="1"/>
    <x v="0"/>
    <s v="2300200"/>
    <n v="700030"/>
    <s v="Salaries-LPN-Other"/>
    <s v="Lakewood Clinic-Fam Med"/>
    <x v="0"/>
    <n v="2000"/>
    <n v="65.5"/>
    <n v="99.12"/>
    <n v="80.16"/>
    <n v="94.91"/>
    <n v="89.62"/>
    <n v="83.92"/>
    <n v="93.16"/>
    <n v="64.510000000000005"/>
    <n v="49.86"/>
    <n v="74.75"/>
    <n v="66.39"/>
    <n v="35.94"/>
    <n v="897.83999999999992"/>
    <n v="30.450000000000003"/>
  </r>
  <r>
    <x v="5"/>
    <x v="1"/>
    <x v="0"/>
    <s v="2300200"/>
    <n v="700032"/>
    <s v="Salaries-Other Pat Care Providers-Productive"/>
    <s v="Lakewood Clinic-Fam Med"/>
    <x v="0"/>
    <m/>
    <n v="10710.58"/>
    <n v="13054.77"/>
    <n v="12550.45"/>
    <n v="11570.92"/>
    <n v="16478.18"/>
    <n v="11231.38"/>
    <n v="16358.99"/>
    <n v="13503.02"/>
    <n v="16021.91"/>
    <n v="15058.39"/>
    <n v="12521.02"/>
    <n v="14334.57"/>
    <n v="163394.18000000002"/>
    <n v="-1813.5499999999993"/>
  </r>
  <r>
    <x v="5"/>
    <x v="1"/>
    <x v="0"/>
    <s v="2300200"/>
    <n v="700032"/>
    <s v="Salaries-Other Pat Care Providers-OT"/>
    <s v="Lakewood Clinic-Fam Med"/>
    <x v="0"/>
    <n v="1000"/>
    <n v="483.77"/>
    <n v="322.08999999999997"/>
    <n v="378.14"/>
    <n v="37.89"/>
    <n v="118.49"/>
    <n v="23.42"/>
    <n v="146.44"/>
    <n v="86.77"/>
    <n v="140.44"/>
    <n v="14.73"/>
    <n v="514.67999999999995"/>
    <n v="113.38"/>
    <n v="2380.2400000000002"/>
    <n v="401.29999999999995"/>
  </r>
  <r>
    <x v="5"/>
    <x v="1"/>
    <x v="0"/>
    <s v="2300200"/>
    <n v="700032"/>
    <s v="Salaries-Other Pat Care Providers-Other"/>
    <s v="Lakewood Clinic-Fam Med"/>
    <x v="0"/>
    <n v="2000"/>
    <n v="0"/>
    <n v="16.87"/>
    <n v="-5.62"/>
    <n v="10.31"/>
    <n v="0"/>
    <n v="0"/>
    <n v="0"/>
    <n v="0"/>
    <n v="0"/>
    <n v="0"/>
    <n v="0"/>
    <n v="0"/>
    <n v="21.560000000000002"/>
    <n v="0"/>
  </r>
  <r>
    <x v="5"/>
    <x v="1"/>
    <x v="0"/>
    <s v="2300200"/>
    <n v="700054"/>
    <s v="Salaries-Management-NonProd-Other"/>
    <s v="Lakewood Clinic-Fam Med"/>
    <x v="0"/>
    <n v="2000"/>
    <n v="0"/>
    <n v="0"/>
    <n v="0"/>
    <n v="0"/>
    <n v="0"/>
    <n v="1369.66"/>
    <n v="-1369.66"/>
    <n v="0"/>
    <n v="0"/>
    <n v="0"/>
    <n v="0"/>
    <n v="0"/>
    <n v="0"/>
    <n v="0"/>
  </r>
  <r>
    <x v="5"/>
    <x v="1"/>
    <x v="0"/>
    <s v="2300200"/>
    <n v="700062"/>
    <s v="Salaries-Physician-Non-productive"/>
    <s v="Lakewood Clinic-Fam Med"/>
    <x v="0"/>
    <m/>
    <n v="6067.8"/>
    <n v="5710.29"/>
    <n v="7418.92"/>
    <n v="9519.56"/>
    <n v="5011.83"/>
    <n v="9852.06"/>
    <n v="10249.99"/>
    <n v="3542.01"/>
    <n v="3505.56"/>
    <n v="13899.88"/>
    <n v="-230.84"/>
    <n v="36195.33"/>
    <n v="110742.39"/>
    <n v="-36426.17"/>
  </r>
  <r>
    <x v="5"/>
    <x v="1"/>
    <x v="0"/>
    <s v="2300200"/>
    <n v="700062"/>
    <s v="Salaries-Physician-NonProd-Other"/>
    <s v="Lakewood Clini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0200"/>
    <n v="700064"/>
    <s v="Salaries-Advanced Practice Clinician-Non-Productive"/>
    <s v="Lakewood Clinic-Fam Med"/>
    <x v="0"/>
    <m/>
    <n v="0"/>
    <n v="0"/>
    <n v="0"/>
    <n v="0"/>
    <n v="0"/>
    <n v="0"/>
    <n v="0"/>
    <n v="219.9"/>
    <n v="1123.0999999999999"/>
    <n v="-63.29"/>
    <n v="1416.92"/>
    <n v="-361.63"/>
    <n v="2335"/>
    <n v="1778.5500000000002"/>
  </r>
  <r>
    <x v="5"/>
    <x v="1"/>
    <x v="0"/>
    <s v="2300200"/>
    <n v="700070"/>
    <s v="Salaries-LPN-Non-productive"/>
    <s v="Lakewood Clinic-Fam Med"/>
    <x v="0"/>
    <m/>
    <n v="1353.79"/>
    <n v="1395.71"/>
    <n v="783.27"/>
    <n v="1018.84"/>
    <n v="1177.5999999999999"/>
    <n v="2340.42"/>
    <n v="1147.33"/>
    <n v="668.61"/>
    <n v="858.12"/>
    <n v="-65.14"/>
    <n v="488.23"/>
    <n v="2132.64"/>
    <n v="13299.42"/>
    <n v="-1644.4099999999999"/>
  </r>
  <r>
    <x v="5"/>
    <x v="1"/>
    <x v="0"/>
    <s v="2300200"/>
    <n v="700070"/>
    <s v="Salaries-LPN-NonProd-Other"/>
    <s v="Lakewood Clinic-Fam Med"/>
    <x v="0"/>
    <n v="2000"/>
    <n v="0"/>
    <n v="0"/>
    <n v="0"/>
    <n v="0"/>
    <n v="0"/>
    <n v="0"/>
    <n v="33.520000000000003"/>
    <n v="-5.58"/>
    <n v="0"/>
    <n v="0"/>
    <n v="0"/>
    <n v="0"/>
    <n v="27.940000000000005"/>
    <n v="0"/>
  </r>
  <r>
    <x v="5"/>
    <x v="1"/>
    <x v="0"/>
    <s v="2300200"/>
    <n v="700072"/>
    <s v="Salaries-Other Pat Care Providers-Non-productive"/>
    <s v="Lakewood Clinic-Fam Med"/>
    <x v="0"/>
    <m/>
    <n v="2539.3000000000002"/>
    <n v="1535.02"/>
    <n v="2921.44"/>
    <n v="7210.71"/>
    <n v="702.45"/>
    <n v="4025.89"/>
    <n v="2138.89"/>
    <n v="2554.6799999999998"/>
    <n v="1098.53"/>
    <n v="2512.67"/>
    <n v="6181.88"/>
    <n v="45.62"/>
    <n v="33467.08"/>
    <n v="6136.26"/>
  </r>
  <r>
    <x v="5"/>
    <x v="1"/>
    <x v="0"/>
    <s v="2300200"/>
    <n v="700072"/>
    <s v="Salaries-Other Pat Care Providers-NonProd-Other"/>
    <s v="Lakewood Clini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0200"/>
    <n v="700084"/>
    <s v="Accrued PTO"/>
    <s v="Lakewood Clinic-Fam Med"/>
    <x v="0"/>
    <m/>
    <n v="-3.06"/>
    <n v="1175.02"/>
    <n v="-2426.52"/>
    <n v="-1571.2"/>
    <n v="-62.29"/>
    <n v="-2828.87"/>
    <n v="555.75"/>
    <n v="99.34"/>
    <n v="972.21"/>
    <n v="366.81"/>
    <n v="940.65"/>
    <n v="-733"/>
    <n v="-3515.16"/>
    <n v="1673.65"/>
  </r>
  <r>
    <x v="6"/>
    <x v="1"/>
    <x v="0"/>
    <s v="2300200"/>
    <n v="713010"/>
    <s v="Benefits-FICA/Medicare"/>
    <s v="Lakewood Clinic-Fam Med"/>
    <x v="0"/>
    <m/>
    <n v="2992.6"/>
    <n v="3354.18"/>
    <n v="2911.06"/>
    <n v="3626.48"/>
    <n v="3291.18"/>
    <n v="5990.94"/>
    <n v="9387.4699999999993"/>
    <n v="10491.05"/>
    <n v="10625.9"/>
    <n v="8100.26"/>
    <n v="9127.19"/>
    <n v="4872.6000000000004"/>
    <n v="74770.91"/>
    <n v="4254.59"/>
  </r>
  <r>
    <x v="6"/>
    <x v="1"/>
    <x v="0"/>
    <s v="2300200"/>
    <n v="713090"/>
    <s v="Benefits-Allocated Amounts"/>
    <s v="Lakewood Clinic-Fam Med"/>
    <x v="0"/>
    <m/>
    <n v="0"/>
    <n v="0"/>
    <n v="0"/>
    <n v="0"/>
    <n v="0"/>
    <n v="0"/>
    <n v="0"/>
    <n v="0"/>
    <n v="86673.59"/>
    <n v="11528.49"/>
    <n v="11689.49"/>
    <n v="11046.36"/>
    <n v="120937.93000000001"/>
    <n v="643.1299999999992"/>
  </r>
  <r>
    <x v="6"/>
    <x v="1"/>
    <x v="0"/>
    <s v="2300200"/>
    <n v="713092"/>
    <s v="Allocated Benefits-Physician"/>
    <s v="Lakewood Clinic-Fam Med"/>
    <x v="0"/>
    <m/>
    <n v="8296.8799999999992"/>
    <n v="7997.97"/>
    <n v="8065.22"/>
    <n v="9221.2000000000007"/>
    <n v="8378.9"/>
    <n v="8376.5300000000007"/>
    <n v="10460.200000000001"/>
    <n v="11725.73"/>
    <n v="-31110.37"/>
    <n v="5508.25"/>
    <n v="5585.19"/>
    <n v="5277.9"/>
    <n v="57783.600000000013"/>
    <n v="307.28999999999996"/>
  </r>
  <r>
    <x v="6"/>
    <x v="1"/>
    <x v="0"/>
    <s v="2300200"/>
    <n v="713093"/>
    <s v="Allocated Benefits-Advanced Practice Clinician"/>
    <s v="Lakewood Clinic-Fam Med"/>
    <x v="0"/>
    <m/>
    <n v="4302.8"/>
    <n v="4147.79"/>
    <n v="4182.6499999999996"/>
    <n v="4782.17"/>
    <n v="4345.33"/>
    <n v="4344.1000000000004"/>
    <n v="5424.72"/>
    <n v="6081.02"/>
    <n v="-37610.58"/>
    <n v="0"/>
    <n v="0"/>
    <n v="0"/>
    <n v="0"/>
    <n v="0"/>
  </r>
  <r>
    <x v="7"/>
    <x v="1"/>
    <x v="0"/>
    <s v="2300200"/>
    <n v="718040"/>
    <s v="Contract Svcs-Laboratory"/>
    <s v="Lakewood Clinic-Fam Med"/>
    <x v="0"/>
    <m/>
    <n v="0"/>
    <n v="0"/>
    <n v="0"/>
    <n v="0"/>
    <n v="0"/>
    <n v="0"/>
    <n v="0"/>
    <n v="0"/>
    <n v="94.2"/>
    <n v="0"/>
    <n v="0"/>
    <n v="0"/>
    <n v="94.2"/>
    <n v="0"/>
  </r>
  <r>
    <x v="0"/>
    <x v="1"/>
    <x v="0"/>
    <s v="2300200"/>
    <n v="740022"/>
    <s v="Education-Physician"/>
    <s v="Lakewood Clinic-Fam Med"/>
    <x v="0"/>
    <m/>
    <n v="795"/>
    <n v="0"/>
    <n v="0"/>
    <n v="0"/>
    <n v="795"/>
    <n v="0"/>
    <n v="0"/>
    <n v="0"/>
    <n v="0"/>
    <n v="0"/>
    <n v="0"/>
    <n v="0"/>
    <n v="1590"/>
    <n v="0"/>
  </r>
  <r>
    <x v="8"/>
    <x v="1"/>
    <x v="0"/>
    <s v="2300200"/>
    <n v="741012"/>
    <s v="Physician Liab Insurance-CHI Program"/>
    <s v="Lakewood Clinic-Fam Med"/>
    <x v="0"/>
    <m/>
    <n v="2273.6"/>
    <n v="2273.6"/>
    <n v="2273.6"/>
    <n v="2273.6"/>
    <n v="2273.61"/>
    <n v="2273.59"/>
    <n v="2273.61"/>
    <n v="2753.23"/>
    <n v="2753.25"/>
    <n v="2753.22"/>
    <n v="2753.25"/>
    <n v="2753.22"/>
    <n v="29681.380000000005"/>
    <n v="3.0000000000200089E-2"/>
  </r>
  <r>
    <x v="0"/>
    <x v="1"/>
    <x v="0"/>
    <s v="2300200"/>
    <n v="743022"/>
    <s v="Dues-Physician"/>
    <s v="Lakewood Clinic-Fam Med"/>
    <x v="0"/>
    <m/>
    <n v="0"/>
    <n v="0"/>
    <n v="0"/>
    <n v="0"/>
    <n v="885"/>
    <n v="0"/>
    <n v="0"/>
    <n v="1695"/>
    <n v="0"/>
    <n v="0"/>
    <n v="0"/>
    <n v="0"/>
    <n v="2580"/>
    <n v="0"/>
  </r>
  <r>
    <x v="0"/>
    <x v="1"/>
    <x v="0"/>
    <s v="2300200"/>
    <n v="749510"/>
    <s v="Miscellaneous Expenses"/>
    <s v="Lakewood Clinic-Fam Med"/>
    <x v="0"/>
    <m/>
    <n v="0"/>
    <n v="0"/>
    <n v="0"/>
    <n v="4820.3599999999997"/>
    <n v="-4820.3599999999997"/>
    <n v="0"/>
    <n v="854"/>
    <n v="0"/>
    <n v="0"/>
    <n v="0"/>
    <n v="0"/>
    <n v="657"/>
    <n v="1511"/>
    <n v="-657"/>
  </r>
  <r>
    <x v="0"/>
    <x v="1"/>
    <x v="0"/>
    <s v="2300200"/>
    <n v="749512"/>
    <s v="Licenses-Physician"/>
    <s v="Lakewood Clinic-Fam Med"/>
    <x v="0"/>
    <n v="2000"/>
    <n v="600"/>
    <n v="0"/>
    <n v="0"/>
    <n v="0"/>
    <n v="200"/>
    <n v="0"/>
    <n v="-657"/>
    <n v="731"/>
    <n v="657"/>
    <n v="0"/>
    <n v="657"/>
    <n v="0"/>
    <n v="2188"/>
    <n v="657"/>
  </r>
  <r>
    <x v="0"/>
    <x v="1"/>
    <x v="0"/>
    <s v="2300200"/>
    <n v="749532"/>
    <s v="Travel-Physician"/>
    <s v="Lakewood Clinic-Fam Med"/>
    <x v="0"/>
    <m/>
    <n v="215.4"/>
    <n v="0"/>
    <n v="0"/>
    <n v="0"/>
    <n v="2940.36"/>
    <n v="0"/>
    <n v="0"/>
    <n v="0"/>
    <n v="0"/>
    <n v="0"/>
    <n v="0"/>
    <n v="0"/>
    <n v="3155.76"/>
    <n v="0"/>
  </r>
  <r>
    <x v="9"/>
    <x v="1"/>
    <x v="0"/>
    <s v="2300200"/>
    <n v="800015"/>
    <s v="Interest Income-Ext to CHI"/>
    <s v="Lakewood Clinic-Fam Med"/>
    <x v="0"/>
    <m/>
    <n v="0"/>
    <n v="0"/>
    <n v="0"/>
    <n v="0"/>
    <n v="0"/>
    <n v="0"/>
    <n v="0"/>
    <n v="-46.29"/>
    <n v="-105.8"/>
    <n v="-97.93"/>
    <n v="-96.6"/>
    <n v="-89.04"/>
    <n v="-435.66"/>
    <n v="-7.5599999999999881"/>
  </r>
  <r>
    <x v="1"/>
    <x v="1"/>
    <x v="0"/>
    <s v="2301200"/>
    <n v="400029"/>
    <s v="MD Practice Other Rev--Medicare"/>
    <s v="Lakewood Clinic-Int Med"/>
    <x v="0"/>
    <n v="1100"/>
    <n v="-50"/>
    <n v="-335"/>
    <n v="-28"/>
    <n v="-20"/>
    <n v="-20"/>
    <n v="-40"/>
    <n v="-189"/>
    <n v="-249"/>
    <n v="-69"/>
    <n v="-237"/>
    <n v="-129"/>
    <n v="-143"/>
    <n v="-1509"/>
    <n v="14"/>
  </r>
  <r>
    <x v="1"/>
    <x v="1"/>
    <x v="0"/>
    <s v="2301200"/>
    <n v="400029"/>
    <s v="MD Practice Other Rev--Medicaid"/>
    <s v="Lakewood Clinic-Int Med"/>
    <x v="0"/>
    <n v="1200"/>
    <n v="-19"/>
    <n v="-20"/>
    <n v="0"/>
    <n v="0"/>
    <n v="0"/>
    <n v="-10"/>
    <n v="-40"/>
    <n v="-10"/>
    <n v="-10"/>
    <n v="-67"/>
    <n v="-55"/>
    <n v="0"/>
    <n v="-231"/>
    <n v="-55"/>
  </r>
  <r>
    <x v="1"/>
    <x v="1"/>
    <x v="0"/>
    <s v="2301200"/>
    <n v="400029"/>
    <s v="MD Practice Other Rev--Comm Insurance"/>
    <s v="Lakewood Clinic-Int Med"/>
    <x v="0"/>
    <n v="1300"/>
    <n v="-10"/>
    <n v="0"/>
    <n v="0"/>
    <n v="0"/>
    <n v="-10"/>
    <n v="0"/>
    <n v="0"/>
    <n v="-10"/>
    <n v="0"/>
    <n v="0"/>
    <n v="0"/>
    <n v="0"/>
    <n v="-30"/>
    <n v="0"/>
  </r>
  <r>
    <x v="1"/>
    <x v="1"/>
    <x v="0"/>
    <s v="2301200"/>
    <n v="400029"/>
    <s v="MD Practice Other Rev--BCBS Comm"/>
    <s v="Lakewood Clinic-Int Med"/>
    <x v="0"/>
    <n v="1301"/>
    <n v="0"/>
    <n v="0"/>
    <n v="0"/>
    <n v="0"/>
    <n v="0"/>
    <n v="0"/>
    <n v="0"/>
    <n v="0"/>
    <n v="0"/>
    <n v="0"/>
    <n v="-45"/>
    <n v="0"/>
    <n v="-45"/>
    <n v="-45"/>
  </r>
  <r>
    <x v="1"/>
    <x v="1"/>
    <x v="0"/>
    <s v="2301200"/>
    <n v="400029"/>
    <s v="MD Practice Other Rev--Managed Care"/>
    <s v="Lakewood Clinic-Int Med"/>
    <x v="0"/>
    <n v="1400"/>
    <n v="-10"/>
    <n v="-1"/>
    <n v="-100"/>
    <n v="0"/>
    <n v="-9"/>
    <n v="0"/>
    <n v="-10"/>
    <n v="-10"/>
    <n v="-44"/>
    <n v="-45"/>
    <n v="0"/>
    <n v="-10"/>
    <n v="-239"/>
    <n v="10"/>
  </r>
  <r>
    <x v="1"/>
    <x v="1"/>
    <x v="0"/>
    <s v="2301200"/>
    <n v="400040"/>
    <s v="Physician Svcs Rev--Medicare"/>
    <s v="Lakewood Clinic-Int Med"/>
    <x v="0"/>
    <n v="1100"/>
    <n v="-153233"/>
    <n v="-159490"/>
    <n v="-136114.20000000001"/>
    <n v="-189619"/>
    <n v="-147087.20000000001"/>
    <n v="-145720"/>
    <n v="-168060.6"/>
    <n v="-128247"/>
    <n v="-156160"/>
    <n v="-144336"/>
    <n v="-130717"/>
    <n v="-129587.22"/>
    <n v="-1788371.22"/>
    <n v="-1129.7799999999988"/>
  </r>
  <r>
    <x v="1"/>
    <x v="1"/>
    <x v="0"/>
    <s v="2301200"/>
    <n v="400040"/>
    <s v="Physician Svcs Rev--Medicaid"/>
    <s v="Lakewood Clinic-Int Med"/>
    <x v="0"/>
    <n v="1200"/>
    <n v="-16521"/>
    <n v="-16765"/>
    <n v="-7632"/>
    <n v="-14449"/>
    <n v="-20618"/>
    <n v="-14857"/>
    <n v="-19308"/>
    <n v="-12221"/>
    <n v="-12790"/>
    <n v="-16331.28"/>
    <n v="-12392"/>
    <n v="-14367.11"/>
    <n v="-178251.39"/>
    <n v="1975.1100000000006"/>
  </r>
  <r>
    <x v="1"/>
    <x v="1"/>
    <x v="0"/>
    <s v="2301200"/>
    <n v="400040"/>
    <s v="Physician Svcs Rev--Comm Insurance"/>
    <s v="Lakewood Clinic-Int Med"/>
    <x v="0"/>
    <n v="1300"/>
    <n v="-3119"/>
    <n v="-1977"/>
    <n v="-3152"/>
    <n v="-1232"/>
    <n v="-3874"/>
    <n v="-1970"/>
    <n v="-2604"/>
    <n v="-3368"/>
    <n v="-2750"/>
    <n v="-2559"/>
    <n v="-589"/>
    <n v="-2087"/>
    <n v="-29281"/>
    <n v="1498"/>
  </r>
  <r>
    <x v="1"/>
    <x v="1"/>
    <x v="0"/>
    <s v="2301200"/>
    <n v="400040"/>
    <s v="Physician Svcs Rev--BCBS Comm"/>
    <s v="Lakewood Clinic-Int Med"/>
    <x v="0"/>
    <n v="1301"/>
    <n v="-1969"/>
    <n v="-5529"/>
    <n v="-4719"/>
    <n v="-4423"/>
    <n v="-3864"/>
    <n v="-5549"/>
    <n v="-5905"/>
    <n v="-2878"/>
    <n v="-4740"/>
    <n v="-4720"/>
    <n v="-3498"/>
    <n v="-6037"/>
    <n v="-53831"/>
    <n v="2539"/>
  </r>
  <r>
    <x v="1"/>
    <x v="1"/>
    <x v="0"/>
    <s v="2301200"/>
    <n v="400040"/>
    <s v="Physician Svcs Rev--Managed Care"/>
    <s v="Lakewood Clinic-Int Med"/>
    <x v="0"/>
    <n v="1400"/>
    <n v="-18118"/>
    <n v="-27206"/>
    <n v="-17230"/>
    <n v="-27462"/>
    <n v="-23917"/>
    <n v="-18241"/>
    <n v="-23482"/>
    <n v="-18444"/>
    <n v="-22921"/>
    <n v="-15003"/>
    <n v="-18900"/>
    <n v="-20900"/>
    <n v="-251824"/>
    <n v="2000"/>
  </r>
  <r>
    <x v="1"/>
    <x v="1"/>
    <x v="0"/>
    <s v="2301200"/>
    <n v="400040"/>
    <s v="Physician Svcs Rev--Self Pay"/>
    <s v="Lakewood Clinic-Int Med"/>
    <x v="0"/>
    <n v="1500"/>
    <n v="-964"/>
    <n v="-780"/>
    <n v="-200"/>
    <n v="-712"/>
    <n v="-430"/>
    <n v="-200"/>
    <n v="-738"/>
    <n v="-530"/>
    <n v="-600"/>
    <n v="-695"/>
    <n v="-495"/>
    <n v="-295"/>
    <n v="-6639"/>
    <n v="-200"/>
  </r>
  <r>
    <x v="1"/>
    <x v="1"/>
    <x v="0"/>
    <s v="2301200"/>
    <n v="400040"/>
    <s v="Physician Svcs Rev--Other"/>
    <s v="Lakewood Clinic-Int Med"/>
    <x v="0"/>
    <n v="1700"/>
    <n v="-1625"/>
    <n v="-4102"/>
    <n v="-2996"/>
    <n v="-6481"/>
    <n v="-3275"/>
    <n v="-2073"/>
    <n v="-5089"/>
    <n v="-3455"/>
    <n v="-1632"/>
    <n v="-5864"/>
    <n v="-3330"/>
    <n v="-4403"/>
    <n v="-44325"/>
    <n v="1073"/>
  </r>
  <r>
    <x v="2"/>
    <x v="1"/>
    <x v="0"/>
    <s v="2301200"/>
    <n v="450029"/>
    <s v="Contr Allow--MD Other-Medicare"/>
    <s v="Lakewood Clinic-Int Med"/>
    <x v="0"/>
    <n v="1100"/>
    <n v="40.9"/>
    <n v="70.53"/>
    <n v="163.31"/>
    <n v="5.72"/>
    <n v="19.77"/>
    <n v="6.59"/>
    <n v="45.93"/>
    <n v="115.04"/>
    <n v="176.57"/>
    <n v="32.93"/>
    <n v="175.2"/>
    <n v="123.17"/>
    <n v="975.66"/>
    <n v="52.029999999999987"/>
  </r>
  <r>
    <x v="2"/>
    <x v="1"/>
    <x v="0"/>
    <s v="2301200"/>
    <n v="450029"/>
    <s v="Contr Allow--MD Other-Medicaid"/>
    <s v="Lakewood Clinic-Int Med"/>
    <x v="0"/>
    <n v="1200"/>
    <n v="6.69"/>
    <n v="13.45"/>
    <n v="7.2"/>
    <n v="0"/>
    <n v="0"/>
    <n v="0"/>
    <n v="7.12"/>
    <n v="20.59"/>
    <n v="13.81"/>
    <n v="49.6"/>
    <n v="7.03"/>
    <n v="36.46"/>
    <n v="161.95000000000002"/>
    <n v="-29.43"/>
  </r>
  <r>
    <x v="2"/>
    <x v="1"/>
    <x v="0"/>
    <s v="2301200"/>
    <n v="450029"/>
    <s v="Contr Allow--MD Other-Comm Insurance"/>
    <s v="Lakewood Clinic-Int Med"/>
    <x v="0"/>
    <n v="1300"/>
    <n v="5.08"/>
    <n v="6.22"/>
    <n v="0"/>
    <n v="0"/>
    <n v="3.74"/>
    <n v="0"/>
    <n v="0"/>
    <n v="3.74"/>
    <n v="0"/>
    <n v="0"/>
    <n v="0"/>
    <n v="0"/>
    <n v="18.78"/>
    <n v="0"/>
  </r>
  <r>
    <x v="2"/>
    <x v="1"/>
    <x v="0"/>
    <s v="2301200"/>
    <n v="450029"/>
    <s v="Contr Allow--MD Other BCBS Comm"/>
    <s v="Lakewood Clinic-Int Med"/>
    <x v="0"/>
    <n v="1301"/>
    <n v="0"/>
    <n v="0"/>
    <n v="0"/>
    <n v="0"/>
    <n v="0"/>
    <n v="0"/>
    <n v="0"/>
    <n v="0"/>
    <n v="0"/>
    <n v="0"/>
    <n v="28.56"/>
    <n v="0"/>
    <n v="28.56"/>
    <n v="28.56"/>
  </r>
  <r>
    <x v="2"/>
    <x v="1"/>
    <x v="0"/>
    <s v="2301200"/>
    <n v="450029"/>
    <s v="Contr Allow--MD Other-Managed Care"/>
    <s v="Lakewood Clinic-Int Med"/>
    <x v="0"/>
    <n v="1400"/>
    <n v="6.5"/>
    <n v="6.52"/>
    <n v="0"/>
    <n v="63.46"/>
    <n v="0"/>
    <n v="6.44"/>
    <n v="0"/>
    <n v="6.52"/>
    <n v="12.74"/>
    <n v="21.83"/>
    <n v="28.47"/>
    <n v="0"/>
    <n v="152.47999999999999"/>
    <n v="28.47"/>
  </r>
  <r>
    <x v="2"/>
    <x v="1"/>
    <x v="0"/>
    <s v="2301200"/>
    <n v="450029"/>
    <s v="Admin Adjust-MD Other-Self Pay"/>
    <s v="Lakewood Clinic-Int Med"/>
    <x v="0"/>
    <n v="1600"/>
    <n v="13.48"/>
    <n v="0"/>
    <n v="0"/>
    <n v="3.28"/>
    <n v="0"/>
    <n v="0"/>
    <n v="-1.54"/>
    <n v="0"/>
    <n v="0"/>
    <n v="0"/>
    <n v="0.34"/>
    <n v="0"/>
    <n v="15.560000000000002"/>
    <n v="0.34"/>
  </r>
  <r>
    <x v="2"/>
    <x v="1"/>
    <x v="0"/>
    <s v="2301200"/>
    <n v="450029"/>
    <s v="Contr Allow--MD Other-Other"/>
    <s v="Lakewood Clinic-Int Med"/>
    <x v="0"/>
    <n v="1700"/>
    <n v="5.72"/>
    <n v="0"/>
    <n v="0"/>
    <n v="0"/>
    <n v="0"/>
    <n v="0"/>
    <n v="0"/>
    <n v="0"/>
    <n v="0"/>
    <n v="0"/>
    <n v="0"/>
    <n v="0"/>
    <n v="5.72"/>
    <n v="0"/>
  </r>
  <r>
    <x v="2"/>
    <x v="1"/>
    <x v="0"/>
    <s v="2301200"/>
    <n v="450040"/>
    <s v="Contr Allow--Phys Svcs--Mcare"/>
    <s v="Lakewood Clinic-Int Med"/>
    <x v="0"/>
    <n v="1100"/>
    <n v="97536.05"/>
    <n v="87486.32"/>
    <n v="90188.49"/>
    <n v="101229.48"/>
    <n v="124697.53"/>
    <n v="80560.11"/>
    <n v="103351.34"/>
    <n v="90259.28"/>
    <n v="98258.74"/>
    <n v="91275.27"/>
    <n v="96898.59"/>
    <n v="79220.179999999993"/>
    <n v="1140961.3799999999"/>
    <n v="17678.410000000003"/>
  </r>
  <r>
    <x v="2"/>
    <x v="1"/>
    <x v="0"/>
    <s v="2301200"/>
    <n v="450040"/>
    <s v="Contr Allow--Phys Svcs--Mcaid"/>
    <s v="Lakewood Clinic-Int Med"/>
    <x v="0"/>
    <n v="1200"/>
    <n v="13287.79"/>
    <n v="13977.93"/>
    <n v="10497.44"/>
    <n v="7375.66"/>
    <n v="14324.23"/>
    <n v="10858.78"/>
    <n v="9063.23"/>
    <n v="12541.18"/>
    <n v="10593.18"/>
    <n v="13920.17"/>
    <n v="10899.68"/>
    <n v="11281.85"/>
    <n v="138621.12"/>
    <n v="-382.17000000000007"/>
  </r>
  <r>
    <x v="2"/>
    <x v="1"/>
    <x v="0"/>
    <s v="2301200"/>
    <n v="450040"/>
    <s v="Contr Allow--Phys Svcs--Comm Insurance"/>
    <s v="Lakewood Clinic-Int Med"/>
    <x v="0"/>
    <n v="1300"/>
    <n v="647.77"/>
    <n v="1254.8599999999999"/>
    <n v="1401.67"/>
    <n v="691.61"/>
    <n v="1188.8399999999999"/>
    <n v="719.44"/>
    <n v="855.72"/>
    <n v="282.17"/>
    <n v="1000.76"/>
    <n v="1167.92"/>
    <n v="331.27"/>
    <n v="1622.26"/>
    <n v="11164.290000000003"/>
    <n v="-1290.99"/>
  </r>
  <r>
    <x v="2"/>
    <x v="1"/>
    <x v="0"/>
    <s v="2301200"/>
    <n v="450040"/>
    <s v="Contr Allow--Phys Svcs--BCBS Comm Ins"/>
    <s v="Lakewood Clinic-Int Med"/>
    <x v="0"/>
    <n v="1301"/>
    <n v="739.44"/>
    <n v="1615.79"/>
    <n v="763.28"/>
    <n v="1358.9"/>
    <n v="1217.6199999999999"/>
    <n v="1335.55"/>
    <n v="1028.04"/>
    <n v="1226.8499999999999"/>
    <n v="1031.5"/>
    <n v="1618.62"/>
    <n v="1378.51"/>
    <n v="1635.54"/>
    <n v="14949.64"/>
    <n v="-257.02999999999997"/>
  </r>
  <r>
    <x v="2"/>
    <x v="1"/>
    <x v="0"/>
    <s v="2301200"/>
    <n v="450040"/>
    <s v="Contr Allow--Phys Svcs--Managed Care"/>
    <s v="Lakewood Clinic-Int Med"/>
    <x v="0"/>
    <n v="1400"/>
    <n v="7562.69"/>
    <n v="8965.7000000000007"/>
    <n v="7205.6"/>
    <n v="7767.69"/>
    <n v="9972.27"/>
    <n v="6009.33"/>
    <n v="7161.1"/>
    <n v="6850.93"/>
    <n v="9938.51"/>
    <n v="5142.2"/>
    <n v="6750.91"/>
    <n v="7114.89"/>
    <n v="90441.819999999992"/>
    <n v="-363.98000000000047"/>
  </r>
  <r>
    <x v="2"/>
    <x v="1"/>
    <x v="0"/>
    <s v="2301200"/>
    <n v="450040"/>
    <s v="Contr Allow--Phys Svcs--BCBS Mgnd Care"/>
    <s v="Lakewood Clinic-Int Med"/>
    <x v="0"/>
    <n v="1401"/>
    <n v="-3399.16"/>
    <n v="9520.51"/>
    <n v="-4849.21"/>
    <n v="19912.939999999999"/>
    <n v="-25836.93"/>
    <n v="9348.2900000000009"/>
    <n v="18925.61"/>
    <n v="-6697.81"/>
    <n v="-289.14"/>
    <n v="-2539.7399999999998"/>
    <n v="-14836.49"/>
    <n v="4325.92"/>
    <n v="3584.7899999999991"/>
    <n v="-19162.41"/>
  </r>
  <r>
    <x v="2"/>
    <x v="1"/>
    <x v="0"/>
    <s v="2301200"/>
    <n v="450040"/>
    <s v="Admin Adjust-Phys Svcs-Self Pay"/>
    <s v="Lakewood Clinic-Int Med"/>
    <x v="0"/>
    <n v="1600"/>
    <n v="428"/>
    <n v="1278.05"/>
    <n v="232.34"/>
    <n v="644.37"/>
    <n v="545.15"/>
    <n v="-83.14"/>
    <n v="575.55999999999995"/>
    <n v="393.97"/>
    <n v="431.71"/>
    <n v="1504.01"/>
    <n v="203.43"/>
    <n v="114.69"/>
    <n v="6268.14"/>
    <n v="88.740000000000009"/>
  </r>
  <r>
    <x v="2"/>
    <x v="1"/>
    <x v="0"/>
    <s v="2301200"/>
    <n v="450040"/>
    <s v="Contr Allow--Phys Svcs--Other"/>
    <s v="Lakewood Clinic-Int Med"/>
    <x v="0"/>
    <n v="1700"/>
    <n v="2670.92"/>
    <n v="2063.1999999999998"/>
    <n v="1599.23"/>
    <n v="2777.76"/>
    <n v="940.87"/>
    <n v="3450.05"/>
    <n v="1455.03"/>
    <n v="1541.33"/>
    <n v="2042.16"/>
    <n v="3450.04"/>
    <n v="1902.06"/>
    <n v="2534.08"/>
    <n v="26426.730000000003"/>
    <n v="-632.02"/>
  </r>
  <r>
    <x v="3"/>
    <x v="1"/>
    <x v="0"/>
    <s v="2301200"/>
    <n v="470040"/>
    <s v="Charity Care-Physician Svcs"/>
    <s v="Lakewood Clinic-Int Med"/>
    <x v="0"/>
    <m/>
    <n v="217.58"/>
    <n v="2158.42"/>
    <n v="-351.65"/>
    <n v="1223.8699999999999"/>
    <n v="-452.99"/>
    <n v="111.33"/>
    <n v="2053.2600000000002"/>
    <n v="111.92"/>
    <n v="957.49"/>
    <n v="422.52"/>
    <n v="-184.86"/>
    <n v="3239.11"/>
    <n v="9506"/>
    <n v="-3423.9700000000003"/>
  </r>
  <r>
    <x v="4"/>
    <x v="1"/>
    <x v="0"/>
    <s v="2301200"/>
    <n v="490010"/>
    <s v="Provision for Bad Debts"/>
    <s v="Lakewood Clinic-Int Med"/>
    <x v="0"/>
    <m/>
    <n v="974.89"/>
    <n v="1594.47"/>
    <n v="9.9499999999999993"/>
    <n v="3193.41"/>
    <n v="-1219.92"/>
    <n v="1373.6"/>
    <n v="502.83"/>
    <n v="-103.41"/>
    <n v="1737.82"/>
    <n v="701.07"/>
    <n v="-1668.1"/>
    <n v="165.84"/>
    <n v="7262.4499999999989"/>
    <n v="-1833.9399999999998"/>
  </r>
  <r>
    <x v="5"/>
    <x v="1"/>
    <x v="0"/>
    <s v="2301200"/>
    <n v="700022"/>
    <s v="Salaries-Physician-Productive"/>
    <s v="Lakewood Clinic-Int Med"/>
    <x v="0"/>
    <m/>
    <n v="46426.52"/>
    <n v="74839.320000000007"/>
    <n v="43521.94"/>
    <n v="53330.93"/>
    <n v="59727.32"/>
    <n v="45218.06"/>
    <n v="56571.040000000001"/>
    <n v="53745.14"/>
    <n v="56552.26"/>
    <n v="49419.61"/>
    <n v="52603.9"/>
    <n v="38447.4"/>
    <n v="630403.44000000006"/>
    <n v="14156.5"/>
  </r>
  <r>
    <x v="5"/>
    <x v="1"/>
    <x v="0"/>
    <s v="2301200"/>
    <n v="700026"/>
    <s v="Salaries-RN-Productive"/>
    <s v="Lakewood Clinic-Int Med"/>
    <x v="0"/>
    <m/>
    <n v="0"/>
    <n v="0"/>
    <n v="0"/>
    <n v="0"/>
    <n v="0"/>
    <n v="0"/>
    <n v="252.63"/>
    <n v="2544.25"/>
    <n v="-726.92"/>
    <n v="0"/>
    <n v="0"/>
    <n v="0"/>
    <n v="2069.96"/>
    <n v="0"/>
  </r>
  <r>
    <x v="5"/>
    <x v="1"/>
    <x v="0"/>
    <s v="2301200"/>
    <n v="700026"/>
    <s v="Salaries-RN-OT"/>
    <s v="Lakewood Clinic-Int Med"/>
    <x v="0"/>
    <n v="1000"/>
    <n v="0"/>
    <n v="0"/>
    <n v="0"/>
    <n v="0"/>
    <n v="0"/>
    <n v="0"/>
    <n v="12.23"/>
    <n v="0"/>
    <n v="0"/>
    <n v="0"/>
    <n v="0"/>
    <n v="0"/>
    <n v="12.23"/>
    <n v="0"/>
  </r>
  <r>
    <x v="5"/>
    <x v="1"/>
    <x v="0"/>
    <s v="2301200"/>
    <n v="700030"/>
    <s v="Salaries-LPN-Productive"/>
    <s v="Lakewood Clinic-Int Med"/>
    <x v="0"/>
    <m/>
    <n v="952.9"/>
    <n v="3069.43"/>
    <n v="3576.8"/>
    <n v="5170.8599999999997"/>
    <n v="8492.9699999999993"/>
    <n v="4551.79"/>
    <n v="3548.48"/>
    <n v="2573.4299999999998"/>
    <n v="2942.64"/>
    <n v="-622.69000000000005"/>
    <n v="0"/>
    <n v="0"/>
    <n v="34256.61"/>
    <n v="0"/>
  </r>
  <r>
    <x v="5"/>
    <x v="1"/>
    <x v="0"/>
    <s v="2301200"/>
    <n v="700030"/>
    <s v="Salaries-LPN-OT"/>
    <s v="Lakewood Clinic-Int Med"/>
    <x v="0"/>
    <n v="1000"/>
    <n v="0"/>
    <n v="96.52"/>
    <n v="193.07"/>
    <n v="143.97"/>
    <n v="-0.37"/>
    <n v="73.88"/>
    <n v="33.06"/>
    <n v="-9.91"/>
    <n v="70.27"/>
    <n v="-12.4"/>
    <n v="0"/>
    <n v="0"/>
    <n v="588.08999999999992"/>
    <n v="0"/>
  </r>
  <r>
    <x v="5"/>
    <x v="1"/>
    <x v="0"/>
    <s v="2301200"/>
    <n v="700032"/>
    <s v="Salaries-Other Pat Care Providers-Productive"/>
    <s v="Lakewood Clinic-Int Med"/>
    <x v="0"/>
    <m/>
    <n v="16051.82"/>
    <n v="12564.83"/>
    <n v="11940.39"/>
    <n v="13140.66"/>
    <n v="12535.27"/>
    <n v="9300.9699999999993"/>
    <n v="12753.03"/>
    <n v="11570.6"/>
    <n v="13484.38"/>
    <n v="12162.9"/>
    <n v="13805.71"/>
    <n v="10551"/>
    <n v="149861.56"/>
    <n v="3254.7099999999991"/>
  </r>
  <r>
    <x v="5"/>
    <x v="1"/>
    <x v="0"/>
    <s v="2301200"/>
    <n v="700032"/>
    <s v="Salaries-Other Pat Care Providers-OT"/>
    <s v="Lakewood Clinic-Int Med"/>
    <x v="0"/>
    <n v="1000"/>
    <n v="209.74"/>
    <n v="717.12"/>
    <n v="1060.19"/>
    <n v="-156.27000000000001"/>
    <n v="322.95999999999998"/>
    <n v="63.74"/>
    <n v="155.13999999999999"/>
    <n v="161.66"/>
    <n v="524.70000000000005"/>
    <n v="341.57"/>
    <n v="1022.05"/>
    <n v="453.28"/>
    <n v="4875.8799999999992"/>
    <n v="568.77"/>
  </r>
  <r>
    <x v="5"/>
    <x v="1"/>
    <x v="0"/>
    <s v="2301200"/>
    <n v="700032"/>
    <s v="Salaries-Other Pat Care Providers-Other"/>
    <s v="Lakewood Clinic-Int Med"/>
    <x v="0"/>
    <n v="2000"/>
    <n v="220.2"/>
    <n v="237.79"/>
    <n v="216.1"/>
    <n v="223.99"/>
    <n v="221.96"/>
    <n v="212.51"/>
    <n v="233.49"/>
    <n v="209.5"/>
    <n v="235.99"/>
    <n v="222.49"/>
    <n v="243.36"/>
    <n v="218.77"/>
    <n v="2696.15"/>
    <n v="24.590000000000003"/>
  </r>
  <r>
    <x v="5"/>
    <x v="1"/>
    <x v="0"/>
    <s v="2301200"/>
    <n v="700062"/>
    <s v="Salaries-Physician-Non-productive"/>
    <s v="Lakewood Clinic-Int Med"/>
    <x v="0"/>
    <m/>
    <n v="9626.9599999999991"/>
    <n v="-1375.28"/>
    <n v="14971.51"/>
    <n v="11338.2"/>
    <n v="0"/>
    <n v="11849.86"/>
    <n v="6027.59"/>
    <n v="0"/>
    <n v="0"/>
    <n v="13056.62"/>
    <n v="9045.35"/>
    <n v="16492.8"/>
    <n v="91033.61"/>
    <n v="-7447.4499999999989"/>
  </r>
  <r>
    <x v="5"/>
    <x v="1"/>
    <x v="0"/>
    <s v="2301200"/>
    <n v="700062"/>
    <s v="Salaries-Physician-NonProd-Other"/>
    <s v="Lakewood Clini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1200"/>
    <n v="700070"/>
    <s v="Salaries-LPN-Non-productive"/>
    <s v="Lakewood Clinic-Int Med"/>
    <x v="0"/>
    <m/>
    <n v="171.6"/>
    <n v="1410.34"/>
    <n v="0"/>
    <n v="284.11"/>
    <n v="439.86"/>
    <n v="670.75"/>
    <n v="541.72"/>
    <n v="890.54"/>
    <n v="802.88"/>
    <n v="-267.26"/>
    <n v="0"/>
    <n v="0"/>
    <n v="4944.54"/>
    <n v="0"/>
  </r>
  <r>
    <x v="5"/>
    <x v="1"/>
    <x v="0"/>
    <s v="2301200"/>
    <n v="700070"/>
    <s v="Salaries-LPN-NonProd-Other"/>
    <s v="Lakewood Clini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1200"/>
    <n v="700072"/>
    <s v="Salaries-Other Pat Care Providers-Non-productive"/>
    <s v="Lakewood Clinic-Int Med"/>
    <x v="0"/>
    <m/>
    <n v="1282.8599999999999"/>
    <n v="3507.06"/>
    <n v="864.05"/>
    <n v="795.07"/>
    <n v="2064.77"/>
    <n v="3123.26"/>
    <n v="2220.5"/>
    <n v="527.03"/>
    <n v="936.34"/>
    <n v="1625.23"/>
    <n v="759.16"/>
    <n v="1265.1199999999999"/>
    <n v="18970.45"/>
    <n v="-505.95999999999992"/>
  </r>
  <r>
    <x v="5"/>
    <x v="1"/>
    <x v="0"/>
    <s v="2301200"/>
    <n v="700072"/>
    <s v="Salaries-Other Pat Care Providers-NonProd-Other"/>
    <s v="Lakewood Clinic-Int Med"/>
    <x v="0"/>
    <n v="2000"/>
    <n v="0"/>
    <n v="0"/>
    <n v="0"/>
    <n v="0"/>
    <n v="0"/>
    <n v="0"/>
    <n v="0"/>
    <n v="0"/>
    <n v="71.099999999999994"/>
    <n v="-11.84"/>
    <n v="0"/>
    <n v="0"/>
    <n v="59.259999999999991"/>
    <n v="0"/>
  </r>
  <r>
    <x v="5"/>
    <x v="1"/>
    <x v="0"/>
    <s v="2301200"/>
    <n v="700084"/>
    <s v="Accrued PTO"/>
    <s v="Lakewood Clinic-Int Med"/>
    <x v="0"/>
    <m/>
    <n v="316.88"/>
    <n v="-2393.73"/>
    <n v="537.12"/>
    <n v="1082.1199999999999"/>
    <n v="-136.03"/>
    <n v="-2005.72"/>
    <n v="-257.91000000000003"/>
    <n v="767.12"/>
    <n v="806.41"/>
    <n v="867.2"/>
    <n v="985.28"/>
    <n v="715.68"/>
    <n v="1284.4199999999996"/>
    <n v="269.60000000000002"/>
  </r>
  <r>
    <x v="6"/>
    <x v="1"/>
    <x v="0"/>
    <s v="2301200"/>
    <n v="713010"/>
    <s v="Benefits-FICA/Medicare"/>
    <s v="Lakewood Clinic-Int Med"/>
    <x v="0"/>
    <m/>
    <n v="2197.04"/>
    <n v="2730.83"/>
    <n v="2089.48"/>
    <n v="2411.73"/>
    <n v="2674.54"/>
    <n v="3987.07"/>
    <n v="6209.72"/>
    <n v="5441.37"/>
    <n v="5649.6"/>
    <n v="4552.68"/>
    <n v="1333.09"/>
    <n v="1714.76"/>
    <n v="40991.909999999996"/>
    <n v="-381.67000000000007"/>
  </r>
  <r>
    <x v="6"/>
    <x v="1"/>
    <x v="0"/>
    <s v="2301200"/>
    <n v="713090"/>
    <s v="Benefits-Allocated Amounts"/>
    <s v="Lakewood Clinic-Int Med"/>
    <x v="0"/>
    <m/>
    <n v="0"/>
    <n v="0"/>
    <n v="0"/>
    <n v="0"/>
    <n v="0"/>
    <n v="0"/>
    <n v="0"/>
    <n v="0"/>
    <n v="59490.58"/>
    <n v="6222.33"/>
    <n v="5776.29"/>
    <n v="5591.05"/>
    <n v="77080.25"/>
    <n v="185.23999999999978"/>
  </r>
  <r>
    <x v="6"/>
    <x v="1"/>
    <x v="0"/>
    <s v="2301200"/>
    <n v="713092"/>
    <s v="Allocated Benefits-Physician"/>
    <s v="Lakewood Clinic-Int Med"/>
    <x v="0"/>
    <m/>
    <n v="8721.0300000000007"/>
    <n v="8721.86"/>
    <n v="8731.99"/>
    <n v="8269.39"/>
    <n v="9481.52"/>
    <n v="9020.5"/>
    <n v="10305.370000000001"/>
    <n v="9743.1200000000008"/>
    <n v="-49534.06"/>
    <n v="2453.84"/>
    <n v="2277.94"/>
    <n v="2204.88"/>
    <n v="30397.38"/>
    <n v="73.059999999999945"/>
  </r>
  <r>
    <x v="8"/>
    <x v="1"/>
    <x v="0"/>
    <s v="2301200"/>
    <n v="741012"/>
    <s v="Physician Liab Insurance-CHI Program"/>
    <s v="Lakewood Clinic-Int Med"/>
    <x v="0"/>
    <m/>
    <n v="1278.9000000000001"/>
    <n v="1278.9000000000001"/>
    <n v="1278.9000000000001"/>
    <n v="1278.9000000000001"/>
    <n v="1278.9000000000001"/>
    <n v="1278.9000000000001"/>
    <n v="1278.9000000000001"/>
    <n v="1278.9000000000001"/>
    <n v="1278.9000000000001"/>
    <n v="1278.9000000000001"/>
    <n v="1278.9000000000001"/>
    <n v="1278.9000000000001"/>
    <n v="15346.799999999997"/>
    <n v="0"/>
  </r>
  <r>
    <x v="0"/>
    <x v="1"/>
    <x v="0"/>
    <s v="2301200"/>
    <n v="743022"/>
    <s v="Dues-Physician"/>
    <s v="Lakewood Clinic-Int Med"/>
    <x v="0"/>
    <m/>
    <n v="0"/>
    <n v="0"/>
    <n v="0"/>
    <n v="0"/>
    <n v="0"/>
    <n v="0"/>
    <n v="0"/>
    <n v="570"/>
    <n v="0"/>
    <n v="0"/>
    <n v="0"/>
    <n v="0"/>
    <n v="570"/>
    <n v="0"/>
  </r>
  <r>
    <x v="0"/>
    <x v="1"/>
    <x v="0"/>
    <s v="2301200"/>
    <n v="749530"/>
    <s v="Mileage"/>
    <s v="Lakewood Clinic-Int Med"/>
    <x v="0"/>
    <n v="1001"/>
    <n v="21.8"/>
    <n v="0"/>
    <n v="0"/>
    <n v="0"/>
    <n v="0"/>
    <n v="0"/>
    <n v="0"/>
    <n v="0"/>
    <n v="0"/>
    <n v="41.76"/>
    <n v="53.36"/>
    <n v="0"/>
    <n v="116.92"/>
    <n v="53.36"/>
  </r>
  <r>
    <x v="1"/>
    <x v="1"/>
    <x v="0"/>
    <s v="2302200"/>
    <n v="400029"/>
    <s v="MD Practice Other Rev--Medicare"/>
    <s v="Surprise Lake-Fam Med"/>
    <x v="0"/>
    <n v="1100"/>
    <n v="-556"/>
    <n v="-911"/>
    <n v="-409"/>
    <n v="-872"/>
    <n v="-584"/>
    <n v="-662"/>
    <n v="-985"/>
    <n v="-1006"/>
    <n v="-1579"/>
    <n v="-1444"/>
    <n v="-1174"/>
    <n v="-1222"/>
    <n v="-11404"/>
    <n v="48"/>
  </r>
  <r>
    <x v="1"/>
    <x v="1"/>
    <x v="0"/>
    <s v="2302200"/>
    <n v="400029"/>
    <s v="MD Practice Other Rev--Medicaid"/>
    <s v="Surprise Lake-Fam Med"/>
    <x v="0"/>
    <n v="1200"/>
    <n v="-607"/>
    <n v="-798"/>
    <n v="-553"/>
    <n v="-1218"/>
    <n v="-1155"/>
    <n v="-571"/>
    <n v="-2062"/>
    <n v="-2051"/>
    <n v="-4241"/>
    <n v="-2744"/>
    <n v="-1472"/>
    <n v="-977"/>
    <n v="-18449"/>
    <n v="-495"/>
  </r>
  <r>
    <x v="1"/>
    <x v="1"/>
    <x v="0"/>
    <s v="2302200"/>
    <n v="400029"/>
    <s v="MD Practice Other Rev--Comm Insurance"/>
    <s v="Surprise Lake-Fam Med"/>
    <x v="0"/>
    <n v="1300"/>
    <n v="-66"/>
    <n v="-172"/>
    <n v="-43"/>
    <n v="-124"/>
    <n v="-160"/>
    <n v="-19"/>
    <n v="-175"/>
    <n v="-166"/>
    <n v="-418"/>
    <n v="-333"/>
    <n v="-204"/>
    <n v="-41"/>
    <n v="-1921"/>
    <n v="-163"/>
  </r>
  <r>
    <x v="1"/>
    <x v="1"/>
    <x v="0"/>
    <s v="2302200"/>
    <n v="400029"/>
    <s v="MD Practice Other Rev--BCBS Comm"/>
    <s v="Surprise Lake-Fam Med"/>
    <x v="0"/>
    <n v="1301"/>
    <n v="-338"/>
    <n v="-282"/>
    <n v="-152"/>
    <n v="-193"/>
    <n v="-159"/>
    <n v="-108"/>
    <n v="-226"/>
    <n v="-266"/>
    <n v="-358"/>
    <n v="-300"/>
    <n v="-227"/>
    <n v="-286"/>
    <n v="-2895"/>
    <n v="59"/>
  </r>
  <r>
    <x v="1"/>
    <x v="1"/>
    <x v="0"/>
    <s v="2302200"/>
    <n v="400029"/>
    <s v="MD Practice Other Rev--Managed Care"/>
    <s v="Surprise Lake-Fam Med"/>
    <x v="0"/>
    <n v="1400"/>
    <n v="-613"/>
    <n v="-600"/>
    <n v="-334"/>
    <n v="-1043"/>
    <n v="-381"/>
    <n v="-778"/>
    <n v="-789"/>
    <n v="-884"/>
    <n v="-2005"/>
    <n v="-1399"/>
    <n v="-588"/>
    <n v="-648"/>
    <n v="-10062"/>
    <n v="60"/>
  </r>
  <r>
    <x v="1"/>
    <x v="1"/>
    <x v="0"/>
    <s v="2302200"/>
    <n v="400029"/>
    <s v="MD Practice Other Rev--Self Pay"/>
    <s v="Surprise Lake-Fam Med"/>
    <x v="0"/>
    <n v="1500"/>
    <n v="-40"/>
    <n v="-110"/>
    <n v="-68"/>
    <n v="-145"/>
    <n v="-95"/>
    <n v="-15"/>
    <n v="-157"/>
    <n v="-63"/>
    <n v="-159"/>
    <n v="-134"/>
    <n v="-109"/>
    <n v="-99"/>
    <n v="-1194"/>
    <n v="-10"/>
  </r>
  <r>
    <x v="1"/>
    <x v="1"/>
    <x v="0"/>
    <s v="2302200"/>
    <n v="400029"/>
    <s v="MD Practice Other Rev--Other"/>
    <s v="Surprise Lake-Fam Med"/>
    <x v="0"/>
    <n v="1700"/>
    <n v="-45"/>
    <n v="-67"/>
    <n v="-10"/>
    <n v="9"/>
    <n v="0"/>
    <n v="-10"/>
    <n v="-21"/>
    <n v="-15"/>
    <n v="-90"/>
    <n v="-40"/>
    <n v="-20"/>
    <n v="-10"/>
    <n v="-319"/>
    <n v="-10"/>
  </r>
  <r>
    <x v="1"/>
    <x v="1"/>
    <x v="0"/>
    <s v="2302200"/>
    <n v="400040"/>
    <s v="Physician Svcs Rev--Medicare"/>
    <s v="Surprise Lake-Fam Med"/>
    <x v="0"/>
    <n v="1100"/>
    <n v="-100977"/>
    <n v="-91956"/>
    <n v="-75471"/>
    <n v="-141334"/>
    <n v="-104737"/>
    <n v="-124320"/>
    <n v="-124198"/>
    <n v="-80542"/>
    <n v="-103702"/>
    <n v="-117125"/>
    <n v="-105444"/>
    <n v="-100184"/>
    <n v="-1269990"/>
    <n v="-5260"/>
  </r>
  <r>
    <x v="1"/>
    <x v="1"/>
    <x v="0"/>
    <s v="2302200"/>
    <n v="400040"/>
    <s v="Physician Svcs Rev--Medicaid"/>
    <s v="Surprise Lake-Fam Med"/>
    <x v="0"/>
    <n v="1200"/>
    <n v="-96050.44"/>
    <n v="-106655.76"/>
    <n v="-65476.7"/>
    <n v="-127307.59"/>
    <n v="-105931.08"/>
    <n v="-69570.2"/>
    <n v="-120526.26"/>
    <n v="-85448.98"/>
    <n v="-119546.68"/>
    <n v="-114141.7"/>
    <n v="-86811.08"/>
    <n v="-94265.52"/>
    <n v="-1191731.99"/>
    <n v="7454.4400000000023"/>
  </r>
  <r>
    <x v="1"/>
    <x v="1"/>
    <x v="0"/>
    <s v="2302200"/>
    <n v="400040"/>
    <s v="Physician Svcs Rev--Comm Insurance"/>
    <s v="Surprise Lake-Fam Med"/>
    <x v="0"/>
    <n v="1300"/>
    <n v="-17894"/>
    <n v="-5355"/>
    <n v="-11459.24"/>
    <n v="-16085"/>
    <n v="-23214.57"/>
    <n v="-9642"/>
    <n v="-19059.330000000002"/>
    <n v="-13462"/>
    <n v="-22432.92"/>
    <n v="-16646.53"/>
    <n v="-15707"/>
    <n v="-18037"/>
    <n v="-188994.59"/>
    <n v="2330"/>
  </r>
  <r>
    <x v="1"/>
    <x v="1"/>
    <x v="0"/>
    <s v="2302200"/>
    <n v="400040"/>
    <s v="Physician Svcs Rev--BCBS Comm"/>
    <s v="Surprise Lake-Fam Med"/>
    <x v="0"/>
    <n v="1301"/>
    <n v="-36370.550000000003"/>
    <n v="-29497.15"/>
    <n v="-20208.150000000001"/>
    <n v="-39047.25"/>
    <n v="-31980.19"/>
    <n v="-23776"/>
    <n v="-31956.37"/>
    <n v="-22560.22"/>
    <n v="-32521.05"/>
    <n v="-34252.9"/>
    <n v="-28194.799999999999"/>
    <n v="-22085.91"/>
    <n v="-352450.54"/>
    <n v="-6108.8899999999994"/>
  </r>
  <r>
    <x v="1"/>
    <x v="1"/>
    <x v="0"/>
    <s v="2302200"/>
    <n v="400040"/>
    <s v="Physician Svcs Rev--Managed Care"/>
    <s v="Surprise Lake-Fam Med"/>
    <x v="0"/>
    <n v="1400"/>
    <n v="-77813.460000000006"/>
    <n v="-93040.639999999999"/>
    <n v="-62621.46"/>
    <n v="-125001.1"/>
    <n v="-111732.46"/>
    <n v="-90346.46"/>
    <n v="-103041.18"/>
    <n v="-80256.53"/>
    <n v="-99686.26"/>
    <n v="-104584.83"/>
    <n v="-84022.8"/>
    <n v="-98697.89"/>
    <n v="-1130845.07"/>
    <n v="14675.089999999997"/>
  </r>
  <r>
    <x v="1"/>
    <x v="1"/>
    <x v="0"/>
    <s v="2302200"/>
    <n v="400040"/>
    <s v="Physician Svcs Rev--Self Pay"/>
    <s v="Surprise Lake-Fam Med"/>
    <x v="0"/>
    <n v="1500"/>
    <n v="-672.44"/>
    <n v="-5771.76"/>
    <n v="-2737"/>
    <n v="-4639"/>
    <n v="-5059.76"/>
    <n v="-5483"/>
    <n v="-4755.24"/>
    <n v="-4884"/>
    <n v="-4429"/>
    <n v="-7458"/>
    <n v="-7709.04"/>
    <n v="-5398.83"/>
    <n v="-58997.07"/>
    <n v="-2310.21"/>
  </r>
  <r>
    <x v="1"/>
    <x v="1"/>
    <x v="0"/>
    <s v="2302200"/>
    <n v="400040"/>
    <s v="Physician Svcs Rev--Other"/>
    <s v="Surprise Lake-Fam Med"/>
    <x v="0"/>
    <n v="1700"/>
    <n v="-6885"/>
    <n v="-7289"/>
    <n v="-3799"/>
    <n v="-4642.91"/>
    <n v="-3957"/>
    <n v="-5581.91"/>
    <n v="-4251.1499999999996"/>
    <n v="-6467"/>
    <n v="-3446.09"/>
    <n v="-5388"/>
    <n v="-4807"/>
    <n v="-5141"/>
    <n v="-61655.06"/>
    <n v="334"/>
  </r>
  <r>
    <x v="2"/>
    <x v="1"/>
    <x v="0"/>
    <s v="2302200"/>
    <n v="450029"/>
    <s v="Contr Allow--MD Other-Medicare"/>
    <s v="Surprise Lake-Fam Med"/>
    <x v="0"/>
    <n v="1100"/>
    <n v="476.88"/>
    <n v="588.39"/>
    <n v="403.14"/>
    <n v="597.52"/>
    <n v="526.04"/>
    <n v="468.21"/>
    <n v="540.52"/>
    <n v="641.63"/>
    <n v="922.73"/>
    <n v="1255.68"/>
    <n v="973.19"/>
    <n v="768.29"/>
    <n v="8162.22"/>
    <n v="204.90000000000009"/>
  </r>
  <r>
    <x v="2"/>
    <x v="1"/>
    <x v="0"/>
    <s v="2302200"/>
    <n v="450029"/>
    <s v="Contr Allow--MD Other-Medicaid"/>
    <s v="Surprise Lake-Fam Med"/>
    <x v="0"/>
    <n v="1200"/>
    <n v="585.54999999999995"/>
    <n v="577.67999999999995"/>
    <n v="406.89"/>
    <n v="618.84"/>
    <n v="869.24"/>
    <n v="447.78"/>
    <n v="990.17"/>
    <n v="1052.1500000000001"/>
    <n v="2711.46"/>
    <n v="2162.16"/>
    <n v="1195.1199999999999"/>
    <n v="841.96"/>
    <n v="12458.999999999996"/>
    <n v="353.15999999999985"/>
  </r>
  <r>
    <x v="2"/>
    <x v="1"/>
    <x v="0"/>
    <s v="2302200"/>
    <n v="450029"/>
    <s v="Contr Allow--MD Other-Comm Insurance"/>
    <s v="Surprise Lake-Fam Med"/>
    <x v="0"/>
    <n v="1300"/>
    <n v="50.52"/>
    <n v="89.75"/>
    <n v="28.39"/>
    <n v="32.07"/>
    <n v="72.06"/>
    <n v="68.17"/>
    <n v="59.92"/>
    <n v="5.12"/>
    <n v="82.55"/>
    <n v="158.55000000000001"/>
    <n v="187.64"/>
    <n v="88.78"/>
    <n v="923.5200000000001"/>
    <n v="98.859999999999985"/>
  </r>
  <r>
    <x v="2"/>
    <x v="1"/>
    <x v="0"/>
    <s v="2302200"/>
    <n v="450029"/>
    <s v="Contr Allow--MD Other BCBS Comm"/>
    <s v="Surprise Lake-Fam Med"/>
    <x v="0"/>
    <n v="1301"/>
    <n v="228.37"/>
    <n v="227.56"/>
    <n v="108.58"/>
    <n v="154.30000000000001"/>
    <n v="116.31"/>
    <n v="77.510000000000005"/>
    <n v="131.68"/>
    <n v="101.3"/>
    <n v="202.92"/>
    <n v="121.91"/>
    <n v="268.97000000000003"/>
    <n v="137.94999999999999"/>
    <n v="1877.3600000000001"/>
    <n v="131.02000000000004"/>
  </r>
  <r>
    <x v="2"/>
    <x v="1"/>
    <x v="0"/>
    <s v="2302200"/>
    <n v="450029"/>
    <s v="Contr Allow--MD Other-Managed Care"/>
    <s v="Surprise Lake-Fam Med"/>
    <x v="0"/>
    <n v="1400"/>
    <n v="240.06"/>
    <n v="556.1"/>
    <n v="264.39999999999998"/>
    <n v="444.2"/>
    <n v="417.87"/>
    <n v="380.8"/>
    <n v="438.11"/>
    <n v="405.84"/>
    <n v="934.67"/>
    <n v="1107.96"/>
    <n v="668.07"/>
    <n v="336.28"/>
    <n v="6194.36"/>
    <n v="331.79000000000008"/>
  </r>
  <r>
    <x v="2"/>
    <x v="1"/>
    <x v="0"/>
    <s v="2302200"/>
    <n v="450029"/>
    <s v="Admin Adjust-MD Other-Self Pay"/>
    <s v="Surprise Lake-Fam Med"/>
    <x v="0"/>
    <n v="1600"/>
    <n v="52.31"/>
    <n v="131.43"/>
    <n v="85.16"/>
    <n v="78.38"/>
    <n v="70.56"/>
    <n v="6.95"/>
    <n v="75.7"/>
    <n v="44.55"/>
    <n v="101.28"/>
    <n v="64.75"/>
    <n v="95.15"/>
    <n v="114.04"/>
    <n v="920.25999999999988"/>
    <n v="-18.89"/>
  </r>
  <r>
    <x v="2"/>
    <x v="1"/>
    <x v="0"/>
    <s v="2302200"/>
    <n v="450029"/>
    <s v="Contr Allow--MD Other-Other"/>
    <s v="Surprise Lake-Fam Med"/>
    <x v="0"/>
    <n v="1700"/>
    <n v="34.01"/>
    <n v="42.99"/>
    <n v="0"/>
    <n v="2.2000000000000002"/>
    <n v="0"/>
    <n v="17"/>
    <n v="12.87"/>
    <n v="22.29"/>
    <n v="15.67"/>
    <n v="80.87"/>
    <n v="14.34"/>
    <n v="21.51"/>
    <n v="263.75"/>
    <n v="-7.1700000000000017"/>
  </r>
  <r>
    <x v="2"/>
    <x v="1"/>
    <x v="0"/>
    <s v="2302200"/>
    <n v="450040"/>
    <s v="Contr Allow--Phys Svcs--Mcare"/>
    <s v="Surprise Lake-Fam Med"/>
    <x v="0"/>
    <n v="1100"/>
    <n v="59114.400000000001"/>
    <n v="61464.86"/>
    <n v="43561.45"/>
    <n v="84109.07"/>
    <n v="75173.850000000006"/>
    <n v="75325.81"/>
    <n v="78546.710000000006"/>
    <n v="60691.86"/>
    <n v="59910.27"/>
    <n v="71220.63"/>
    <n v="69272.289999999994"/>
    <n v="63651.22"/>
    <n v="802042.42"/>
    <n v="5621.0699999999924"/>
  </r>
  <r>
    <x v="2"/>
    <x v="1"/>
    <x v="0"/>
    <s v="2302200"/>
    <n v="450040"/>
    <s v="Contr Allow--Phys Svcs--Mcaid"/>
    <s v="Surprise Lake-Fam Med"/>
    <x v="0"/>
    <n v="1200"/>
    <n v="66310.47"/>
    <n v="89228.08"/>
    <n v="56415.3"/>
    <n v="75742.61"/>
    <n v="71299.320000000007"/>
    <n v="53076.5"/>
    <n v="72251.86"/>
    <n v="58795"/>
    <n v="82631.679999999993"/>
    <n v="78959.92"/>
    <n v="73351.429999999993"/>
    <n v="61175.99"/>
    <n v="839238.15999999992"/>
    <n v="12175.439999999995"/>
  </r>
  <r>
    <x v="2"/>
    <x v="1"/>
    <x v="0"/>
    <s v="2302200"/>
    <n v="450040"/>
    <s v="Contr Allow--Phys Svcs--Comm Insurance"/>
    <s v="Surprise Lake-Fam Med"/>
    <x v="0"/>
    <n v="1300"/>
    <n v="6948.76"/>
    <n v="9836.9500000000007"/>
    <n v="-7506.54"/>
    <n v="6416.65"/>
    <n v="6638.2"/>
    <n v="7264.57"/>
    <n v="6425.9"/>
    <n v="6342.79"/>
    <n v="6604.95"/>
    <n v="7392.54"/>
    <n v="4931.1400000000003"/>
    <n v="5905.7"/>
    <n v="67201.61"/>
    <n v="-974.55999999999949"/>
  </r>
  <r>
    <x v="2"/>
    <x v="1"/>
    <x v="0"/>
    <s v="2302200"/>
    <n v="450040"/>
    <s v="Contr Allow--Phys Svcs--BCBS Comm Ins"/>
    <s v="Surprise Lake-Fam Med"/>
    <x v="0"/>
    <n v="1301"/>
    <n v="17363.66"/>
    <n v="12174.05"/>
    <n v="7486.12"/>
    <n v="10007.06"/>
    <n v="11693.34"/>
    <n v="9544.2000000000007"/>
    <n v="8713.76"/>
    <n v="8273.84"/>
    <n v="12135.54"/>
    <n v="9501.23"/>
    <n v="9375.26"/>
    <n v="10456.75"/>
    <n v="126724.80999999997"/>
    <n v="-1081.4899999999998"/>
  </r>
  <r>
    <x v="2"/>
    <x v="1"/>
    <x v="0"/>
    <s v="2302200"/>
    <n v="450040"/>
    <s v="Contr Allow--Phys Svcs--Managed Care"/>
    <s v="Surprise Lake-Fam Med"/>
    <x v="0"/>
    <n v="1400"/>
    <n v="31209.71"/>
    <n v="39038.400000000001"/>
    <n v="23212.5"/>
    <n v="36125.51"/>
    <n v="42672.51"/>
    <n v="35642.76"/>
    <n v="31490.2"/>
    <n v="27611.52"/>
    <n v="39606.1"/>
    <n v="34964.550000000003"/>
    <n v="38132.230000000003"/>
    <n v="31422.95"/>
    <n v="411128.94"/>
    <n v="6709.2800000000025"/>
  </r>
  <r>
    <x v="2"/>
    <x v="1"/>
    <x v="0"/>
    <s v="2302200"/>
    <n v="450040"/>
    <s v="Contr Allow--Phys Svcs--BCBS Mgnd Care"/>
    <s v="Surprise Lake-Fam Med"/>
    <x v="0"/>
    <n v="1401"/>
    <n v="-2838.83"/>
    <n v="-32399.9"/>
    <n v="4992.29"/>
    <n v="32734.29"/>
    <n v="-2077"/>
    <n v="-10161.799999999999"/>
    <n v="25189.05"/>
    <n v="-2318.83"/>
    <n v="1647.96"/>
    <n v="7426.29"/>
    <n v="-16645.79"/>
    <n v="6310.2"/>
    <n v="11857.93"/>
    <n v="-22955.99"/>
  </r>
  <r>
    <x v="2"/>
    <x v="1"/>
    <x v="0"/>
    <s v="2302200"/>
    <n v="450040"/>
    <s v="Admin Adjust-Phys Svcs-Self Pay"/>
    <s v="Surprise Lake-Fam Med"/>
    <x v="0"/>
    <n v="1600"/>
    <n v="641.91"/>
    <n v="2742.6"/>
    <n v="1256.73"/>
    <n v="2779.1"/>
    <n v="3164.63"/>
    <n v="1887.94"/>
    <n v="2790.64"/>
    <n v="2342.9499999999998"/>
    <n v="1894.14"/>
    <n v="3748.05"/>
    <n v="4037.36"/>
    <n v="2767.85"/>
    <n v="30053.899999999998"/>
    <n v="1269.5100000000002"/>
  </r>
  <r>
    <x v="2"/>
    <x v="1"/>
    <x v="0"/>
    <s v="2302200"/>
    <n v="450040"/>
    <s v="Contr Allow--Phys Svcs--Other"/>
    <s v="Surprise Lake-Fam Med"/>
    <x v="0"/>
    <n v="1700"/>
    <n v="2841.71"/>
    <n v="5442.64"/>
    <n v="1364.27"/>
    <n v="1830.83"/>
    <n v="2759.49"/>
    <n v="3087.39"/>
    <n v="4004.13"/>
    <n v="2927.25"/>
    <n v="3246.13"/>
    <n v="2987.38"/>
    <n v="2328.12"/>
    <n v="3284.36"/>
    <n v="36103.700000000004"/>
    <n v="-956.24000000000024"/>
  </r>
  <r>
    <x v="3"/>
    <x v="1"/>
    <x v="0"/>
    <s v="2302200"/>
    <n v="470040"/>
    <s v="Charity Care-Physician Svcs"/>
    <s v="Surprise Lake-Fam Med"/>
    <x v="0"/>
    <m/>
    <n v="-268.66000000000003"/>
    <n v="1093.04"/>
    <n v="709.06"/>
    <n v="2287.29"/>
    <n v="1472.41"/>
    <n v="-57.48"/>
    <n v="780.63"/>
    <n v="443.34"/>
    <n v="1553.81"/>
    <n v="2546.86"/>
    <n v="-1007.22"/>
    <n v="3551.86"/>
    <n v="13104.940000000002"/>
    <n v="-4559.08"/>
  </r>
  <r>
    <x v="4"/>
    <x v="1"/>
    <x v="0"/>
    <s v="2302200"/>
    <n v="490010"/>
    <s v="Provision for Bad Debts"/>
    <s v="Surprise Lake-Fam Med"/>
    <x v="0"/>
    <m/>
    <n v="2944.98"/>
    <n v="-3635.25"/>
    <n v="1745.37"/>
    <n v="4661.8999999999996"/>
    <n v="2649.47"/>
    <n v="417.51"/>
    <n v="4141.08"/>
    <n v="2432.19"/>
    <n v="1985.36"/>
    <n v="955.5"/>
    <n v="-423.48"/>
    <n v="2139.66"/>
    <n v="20014.29"/>
    <n v="-2563.14"/>
  </r>
  <r>
    <x v="5"/>
    <x v="1"/>
    <x v="0"/>
    <s v="2302200"/>
    <n v="700022"/>
    <s v="Salaries-Physician-Productive"/>
    <s v="Surprise Lake-Fam Med"/>
    <x v="0"/>
    <m/>
    <n v="51534.26"/>
    <n v="40919.64"/>
    <n v="29889.81"/>
    <n v="49882.03"/>
    <n v="46478.720000000001"/>
    <n v="48595.73"/>
    <n v="47626.79"/>
    <n v="43156.84"/>
    <n v="45206.15"/>
    <n v="47358.83"/>
    <n v="44907.360000000001"/>
    <n v="33276.85"/>
    <n v="528833.01"/>
    <n v="11630.510000000002"/>
  </r>
  <r>
    <x v="5"/>
    <x v="1"/>
    <x v="0"/>
    <s v="2302200"/>
    <n v="700024"/>
    <s v="Salaries-Advanced Practice Clinician-Productive"/>
    <s v="Surprise Lake-Fam Med"/>
    <x v="0"/>
    <m/>
    <n v="31339.64"/>
    <n v="42698.080000000002"/>
    <n v="11957.45"/>
    <n v="41154.89"/>
    <n v="37275.360000000001"/>
    <n v="24758.37"/>
    <n v="35489.47"/>
    <n v="24576.54"/>
    <n v="38276.839999999997"/>
    <n v="37090.19"/>
    <n v="32541.81"/>
    <n v="25451.38"/>
    <n v="382610.02"/>
    <n v="7090.43"/>
  </r>
  <r>
    <x v="5"/>
    <x v="1"/>
    <x v="0"/>
    <s v="2302200"/>
    <n v="700026"/>
    <s v="Salaries-RN-Productive"/>
    <s v="Surprise Lake-Fam Med"/>
    <x v="0"/>
    <m/>
    <n v="1218.47"/>
    <n v="1153.67"/>
    <n v="1840.68"/>
    <n v="955.98"/>
    <n v="2526.31"/>
    <n v="763.75"/>
    <n v="1901.58"/>
    <n v="1168.73"/>
    <n v="1901.54"/>
    <n v="1128.5899999999999"/>
    <n v="1104.55"/>
    <n v="1363.94"/>
    <n v="17027.789999999997"/>
    <n v="-259.3900000000001"/>
  </r>
  <r>
    <x v="5"/>
    <x v="1"/>
    <x v="0"/>
    <s v="2302200"/>
    <n v="700030"/>
    <s v="Salaries-LPN-Productive"/>
    <s v="Surprise Lake-Fam Med"/>
    <x v="0"/>
    <m/>
    <n v="3330.64"/>
    <n v="3578.6"/>
    <n v="3339.83"/>
    <n v="4530.9399999999996"/>
    <n v="2400.9699999999998"/>
    <n v="4301.26"/>
    <n v="4197.9399999999996"/>
    <n v="3355.41"/>
    <n v="3994.4"/>
    <n v="3144.49"/>
    <n v="4337.8999999999996"/>
    <n v="3712.77"/>
    <n v="44225.149999999994"/>
    <n v="625.12999999999965"/>
  </r>
  <r>
    <x v="5"/>
    <x v="1"/>
    <x v="0"/>
    <s v="2302200"/>
    <n v="700030"/>
    <s v="Salaries-LPN-OT"/>
    <s v="Surprise Lake-Fam Med"/>
    <x v="0"/>
    <n v="1000"/>
    <n v="452.06"/>
    <n v="24.3"/>
    <n v="210.15"/>
    <n v="576.02"/>
    <n v="88.46"/>
    <n v="809.7"/>
    <n v="585.41999999999996"/>
    <n v="-40.43"/>
    <n v="117.46"/>
    <n v="1064.8399999999999"/>
    <n v="-63.54"/>
    <n v="163.66999999999999"/>
    <n v="3988.1100000000006"/>
    <n v="-227.20999999999998"/>
  </r>
  <r>
    <x v="5"/>
    <x v="1"/>
    <x v="0"/>
    <s v="2302200"/>
    <n v="700030"/>
    <s v="Salaries-LPN-Other"/>
    <s v="Surprise Lake-Fam Med"/>
    <x v="0"/>
    <n v="2000"/>
    <n v="234.51"/>
    <n v="215.51"/>
    <n v="196.7"/>
    <n v="244.66"/>
    <n v="175.37"/>
    <n v="254.26"/>
    <n v="234.47"/>
    <n v="171.88"/>
    <n v="214.32"/>
    <n v="271.29000000000002"/>
    <n v="208.81"/>
    <n v="221.29"/>
    <n v="2643.07"/>
    <n v="-12.47999999999999"/>
  </r>
  <r>
    <x v="5"/>
    <x v="1"/>
    <x v="0"/>
    <s v="2302200"/>
    <n v="700032"/>
    <s v="Salaries-Other Pat Care Providers-Productive"/>
    <s v="Surprise Lake-Fam Med"/>
    <x v="0"/>
    <m/>
    <n v="12968.56"/>
    <n v="15067.44"/>
    <n v="8025.27"/>
    <n v="13562.49"/>
    <n v="19000.61"/>
    <n v="11812.28"/>
    <n v="16043.14"/>
    <n v="12736.64"/>
    <n v="16094.43"/>
    <n v="13962.03"/>
    <n v="17110.189999999999"/>
    <n v="12749.54"/>
    <n v="169132.62"/>
    <n v="4360.6499999999978"/>
  </r>
  <r>
    <x v="5"/>
    <x v="1"/>
    <x v="0"/>
    <s v="2302200"/>
    <n v="700032"/>
    <s v="Salaries-Other Pat Care Providers-OT"/>
    <s v="Surprise Lake-Fam Med"/>
    <x v="0"/>
    <n v="1000"/>
    <n v="687.71"/>
    <n v="988.35"/>
    <n v="71.3"/>
    <n v="1909.98"/>
    <n v="-45.98"/>
    <n v="671.15"/>
    <n v="274.55"/>
    <n v="375.64"/>
    <n v="417.03"/>
    <n v="1024.19"/>
    <n v="408.37"/>
    <n v="831.19"/>
    <n v="7613.48"/>
    <n v="-422.82000000000005"/>
  </r>
  <r>
    <x v="5"/>
    <x v="1"/>
    <x v="0"/>
    <s v="2302200"/>
    <n v="700032"/>
    <s v="Salaries-Other Pat Care Providers-Other"/>
    <s v="Surprise Lake-Fam Med"/>
    <x v="0"/>
    <n v="2000"/>
    <n v="148.88"/>
    <n v="166.79"/>
    <n v="89.88"/>
    <n v="190.02"/>
    <n v="181.1"/>
    <n v="144.88999999999999"/>
    <n v="141.99"/>
    <n v="107.81"/>
    <n v="124.76"/>
    <n v="90.09"/>
    <n v="110.73"/>
    <n v="88.53"/>
    <n v="1585.4699999999998"/>
    <n v="22.200000000000003"/>
  </r>
  <r>
    <x v="5"/>
    <x v="1"/>
    <x v="0"/>
    <s v="2302200"/>
    <n v="700054"/>
    <s v="Salaries-Management-NonProd-Other"/>
    <s v="Surprise Lake-Fam Med"/>
    <x v="0"/>
    <n v="2000"/>
    <n v="0"/>
    <n v="0"/>
    <n v="0"/>
    <n v="0"/>
    <n v="0"/>
    <n v="1513.99"/>
    <n v="-1513.99"/>
    <n v="0"/>
    <n v="0"/>
    <n v="0"/>
    <n v="0"/>
    <n v="0"/>
    <n v="0"/>
    <n v="0"/>
  </r>
  <r>
    <x v="5"/>
    <x v="1"/>
    <x v="0"/>
    <s v="2302200"/>
    <n v="700062"/>
    <s v="Salaries-Physician-Non-productive"/>
    <s v="Surprise Lake-Fam Med"/>
    <x v="0"/>
    <m/>
    <n v="0"/>
    <n v="17987.599999999999"/>
    <n v="20383.05"/>
    <n v="5430.21"/>
    <n v="3593.44"/>
    <n v="-1070.21"/>
    <n v="4504.6400000000003"/>
    <n v="-558.41999999999996"/>
    <n v="0"/>
    <n v="0"/>
    <n v="2772.67"/>
    <n v="7891.04"/>
    <n v="60934.02"/>
    <n v="-5118.37"/>
  </r>
  <r>
    <x v="5"/>
    <x v="1"/>
    <x v="0"/>
    <s v="2302200"/>
    <n v="700062"/>
    <s v="Salaries-Physician-NonProd-Other"/>
    <s v="Surprise Lake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2200"/>
    <n v="700064"/>
    <s v="Salaries-Advanced Practice Clinician-Non-Productive"/>
    <s v="Surprise Lake-Fam Med"/>
    <x v="0"/>
    <m/>
    <n v="3413.11"/>
    <n v="0"/>
    <n v="22220.15"/>
    <n v="-425.65"/>
    <n v="0"/>
    <n v="10792.11"/>
    <n v="3506.38"/>
    <n v="10349.83"/>
    <n v="-1782.49"/>
    <n v="1141.98"/>
    <n v="7586.82"/>
    <n v="9463.76"/>
    <n v="66266"/>
    <n v="-1876.9400000000005"/>
  </r>
  <r>
    <x v="5"/>
    <x v="1"/>
    <x v="0"/>
    <s v="2302200"/>
    <n v="700064"/>
    <s v="Salaries-Advanced Practice Clinician-Non-Prod-Other"/>
    <s v="Surprise Lake-Fam Med"/>
    <x v="0"/>
    <n v="2000"/>
    <n v="0"/>
    <n v="0"/>
    <n v="0"/>
    <n v="0"/>
    <n v="397.79"/>
    <n v="0"/>
    <n v="0"/>
    <n v="-397.79"/>
    <n v="0"/>
    <n v="0"/>
    <n v="0"/>
    <n v="0"/>
    <n v="0"/>
    <n v="0"/>
  </r>
  <r>
    <x v="5"/>
    <x v="1"/>
    <x v="0"/>
    <s v="2302200"/>
    <n v="700070"/>
    <s v="Salaries-LPN-Non-productive"/>
    <s v="Surprise Lake-Fam Med"/>
    <x v="0"/>
    <m/>
    <n v="967.36"/>
    <n v="627.55999999999995"/>
    <n v="312.26"/>
    <n v="-2.3199999999999998"/>
    <n v="1079.42"/>
    <n v="242.11"/>
    <n v="149.08000000000001"/>
    <n v="138.91"/>
    <n v="252.57"/>
    <n v="1631"/>
    <n v="-83.98"/>
    <n v="644.04999999999995"/>
    <n v="5958.0200000000013"/>
    <n v="-728.03"/>
  </r>
  <r>
    <x v="5"/>
    <x v="1"/>
    <x v="0"/>
    <s v="2302200"/>
    <n v="700072"/>
    <s v="Salaries-Other Pat Care Providers-Non-productive"/>
    <s v="Surprise Lake-Fam Med"/>
    <x v="0"/>
    <m/>
    <n v="1160.98"/>
    <n v="141.25"/>
    <n v="2045.07"/>
    <n v="2272.79"/>
    <n v="-662.02"/>
    <n v="2417.06"/>
    <n v="1401.9"/>
    <n v="2044.29"/>
    <n v="-141.02000000000001"/>
    <n v="3559.72"/>
    <n v="-23.35"/>
    <n v="2459.8200000000002"/>
    <n v="16676.489999999998"/>
    <n v="-2483.17"/>
  </r>
  <r>
    <x v="5"/>
    <x v="1"/>
    <x v="0"/>
    <s v="2302200"/>
    <n v="700072"/>
    <s v="Salaries-Other Pat Care Providers-NonProd-Other"/>
    <s v="Surprise Lake-Fam Med"/>
    <x v="0"/>
    <n v="2000"/>
    <n v="0"/>
    <n v="0"/>
    <n v="0"/>
    <n v="0"/>
    <n v="360.94"/>
    <n v="360.94"/>
    <n v="0"/>
    <n v="-721.88"/>
    <n v="0"/>
    <n v="0"/>
    <n v="0"/>
    <n v="0"/>
    <n v="0"/>
    <n v="0"/>
  </r>
  <r>
    <x v="5"/>
    <x v="1"/>
    <x v="0"/>
    <s v="2302200"/>
    <n v="700084"/>
    <s v="Accrued PTO"/>
    <s v="Surprise Lake-Fam Med"/>
    <x v="0"/>
    <m/>
    <n v="497.96"/>
    <n v="1114.99"/>
    <n v="-630.52"/>
    <n v="426.2"/>
    <n v="1298.44"/>
    <n v="-397.02"/>
    <n v="158.83000000000001"/>
    <n v="-81.93"/>
    <n v="1611.83"/>
    <n v="-739.36"/>
    <n v="971.36"/>
    <n v="-268.43"/>
    <n v="3962.35"/>
    <n v="1239.79"/>
  </r>
  <r>
    <x v="6"/>
    <x v="1"/>
    <x v="0"/>
    <s v="2302200"/>
    <n v="713010"/>
    <s v="Benefits-FICA/Medicare"/>
    <s v="Surprise Lake-Fam Med"/>
    <x v="0"/>
    <m/>
    <n v="4160.6499999999996"/>
    <n v="4330.63"/>
    <n v="2326.6799999999998"/>
    <n v="3111.7"/>
    <n v="3123.41"/>
    <n v="5455.44"/>
    <n v="8719.43"/>
    <n v="7227.09"/>
    <n v="7757.45"/>
    <n v="8232.7199999999993"/>
    <n v="8219.33"/>
    <n v="5454.71"/>
    <n v="68119.240000000005"/>
    <n v="2764.62"/>
  </r>
  <r>
    <x v="6"/>
    <x v="1"/>
    <x v="0"/>
    <s v="2302200"/>
    <n v="713090"/>
    <s v="Benefits-Allocated Amounts"/>
    <s v="Surprise Lake-Fam Med"/>
    <x v="0"/>
    <m/>
    <n v="0"/>
    <n v="-0.01"/>
    <n v="0.01"/>
    <n v="-0.01"/>
    <n v="0"/>
    <n v="0.01"/>
    <n v="-0.01"/>
    <n v="0.01"/>
    <n v="65644.179999999993"/>
    <n v="8069.11"/>
    <n v="7618.08"/>
    <n v="7706.23"/>
    <n v="89037.599999999991"/>
    <n v="-88.149999999999636"/>
  </r>
  <r>
    <x v="6"/>
    <x v="1"/>
    <x v="0"/>
    <s v="2302200"/>
    <n v="713092"/>
    <s v="Allocated Benefits-Physician"/>
    <s v="Surprise Lake-Fam Med"/>
    <x v="0"/>
    <m/>
    <n v="6329.53"/>
    <n v="6028.7"/>
    <n v="5625.1"/>
    <n v="6322.46"/>
    <n v="6544.02"/>
    <n v="6424.46"/>
    <n v="7693"/>
    <n v="6944.31"/>
    <n v="-25340.43"/>
    <n v="3266.18"/>
    <n v="3083.6"/>
    <n v="3119.3"/>
    <n v="36040.230000000003"/>
    <n v="-35.700000000000273"/>
  </r>
  <r>
    <x v="6"/>
    <x v="1"/>
    <x v="0"/>
    <s v="2302200"/>
    <n v="713093"/>
    <s v="Allocated Benefits-Advanced Practice Clinician"/>
    <s v="Surprise Lake-Fam Med"/>
    <x v="0"/>
    <m/>
    <n v="6329.53"/>
    <n v="6028.7"/>
    <n v="5625.1"/>
    <n v="6322.46"/>
    <n v="6544.02"/>
    <n v="6424.46"/>
    <n v="7693"/>
    <n v="6944.31"/>
    <n v="-25530.68"/>
    <n v="3242.79"/>
    <n v="3061.53"/>
    <n v="3096.96"/>
    <n v="35782.18"/>
    <n v="-35.429999999999836"/>
  </r>
  <r>
    <x v="0"/>
    <x v="1"/>
    <x v="0"/>
    <s v="2302200"/>
    <n v="740022"/>
    <s v="Education-Physician"/>
    <s v="Surprise Lake-Fam Med"/>
    <x v="0"/>
    <m/>
    <n v="0"/>
    <n v="0"/>
    <n v="0"/>
    <n v="0"/>
    <n v="837.96"/>
    <n v="0"/>
    <n v="0"/>
    <n v="0"/>
    <n v="0"/>
    <n v="0"/>
    <n v="0"/>
    <n v="725"/>
    <n v="1562.96"/>
    <n v="-725"/>
  </r>
  <r>
    <x v="0"/>
    <x v="1"/>
    <x v="0"/>
    <s v="2302200"/>
    <n v="740023"/>
    <s v="Education-Advanced Practice Clinician"/>
    <s v="Surprise Lake-Fam Med"/>
    <x v="0"/>
    <m/>
    <n v="0"/>
    <n v="0"/>
    <n v="0"/>
    <n v="0"/>
    <n v="0"/>
    <n v="0"/>
    <n v="309"/>
    <n v="0"/>
    <n v="170"/>
    <n v="0"/>
    <n v="0"/>
    <n v="0"/>
    <n v="479"/>
    <n v="0"/>
  </r>
  <r>
    <x v="8"/>
    <x v="1"/>
    <x v="0"/>
    <s v="2302200"/>
    <n v="741012"/>
    <s v="Physician Liab Insurance-CHI Program"/>
    <s v="Surprise Lake-Fam Med"/>
    <x v="0"/>
    <m/>
    <n v="899.97"/>
    <n v="899.97"/>
    <n v="899.97"/>
    <n v="899.97"/>
    <n v="899.97"/>
    <n v="899.96"/>
    <n v="899.97"/>
    <n v="899.96"/>
    <n v="899.97"/>
    <n v="899.96"/>
    <n v="899.97"/>
    <n v="899.96"/>
    <n v="10799.600000000002"/>
    <n v="9.9999999999909051E-3"/>
  </r>
  <r>
    <x v="0"/>
    <x v="1"/>
    <x v="0"/>
    <s v="2302200"/>
    <n v="743020"/>
    <s v="Dues--Individual"/>
    <s v="Surprise Lake-Fam Med"/>
    <x v="0"/>
    <m/>
    <n v="0"/>
    <n v="0"/>
    <n v="0"/>
    <n v="0"/>
    <n v="0"/>
    <n v="0"/>
    <n v="0"/>
    <n v="1070"/>
    <n v="0"/>
    <n v="0"/>
    <n v="0"/>
    <n v="0"/>
    <n v="1070"/>
    <n v="0"/>
  </r>
  <r>
    <x v="0"/>
    <x v="1"/>
    <x v="0"/>
    <s v="2302200"/>
    <n v="743022"/>
    <s v="Dues-Physician"/>
    <s v="Surprise Lake-Fam Med"/>
    <x v="0"/>
    <m/>
    <n v="0"/>
    <n v="0"/>
    <n v="0"/>
    <n v="0"/>
    <n v="0"/>
    <n v="0"/>
    <n v="420"/>
    <n v="570"/>
    <n v="0"/>
    <n v="885"/>
    <n v="0"/>
    <n v="0"/>
    <n v="1875"/>
    <n v="0"/>
  </r>
  <r>
    <x v="0"/>
    <x v="1"/>
    <x v="0"/>
    <s v="2302200"/>
    <n v="743023"/>
    <s v="Dues-Advanced Practice Clinician"/>
    <s v="Surprise Lake-Fam Med"/>
    <x v="0"/>
    <m/>
    <n v="0"/>
    <n v="0"/>
    <n v="0"/>
    <n v="0"/>
    <n v="0"/>
    <n v="0"/>
    <n v="0"/>
    <n v="125"/>
    <n v="0"/>
    <n v="0"/>
    <n v="0"/>
    <n v="0"/>
    <n v="125"/>
    <n v="0"/>
  </r>
  <r>
    <x v="0"/>
    <x v="1"/>
    <x v="0"/>
    <s v="2302200"/>
    <n v="743043"/>
    <s v="Subscriptions-Advanced Practice Clinician"/>
    <s v="Surprise Lake-Fam Med"/>
    <x v="0"/>
    <m/>
    <n v="0"/>
    <n v="0"/>
    <n v="0"/>
    <n v="0"/>
    <n v="0"/>
    <n v="0"/>
    <n v="0"/>
    <n v="0"/>
    <n v="21.35"/>
    <n v="0"/>
    <n v="71"/>
    <n v="0"/>
    <n v="92.35"/>
    <n v="71"/>
  </r>
  <r>
    <x v="0"/>
    <x v="1"/>
    <x v="0"/>
    <s v="2302200"/>
    <n v="749510"/>
    <s v="Miscellaneous Expenses"/>
    <s v="Surprise Lake-Fam Med"/>
    <x v="0"/>
    <m/>
    <n v="-400.88"/>
    <n v="0"/>
    <n v="0"/>
    <n v="3000"/>
    <n v="-3000"/>
    <n v="881.03"/>
    <n v="-881.03"/>
    <n v="2500"/>
    <n v="-2500"/>
    <n v="71"/>
    <n v="-71"/>
    <n v="153.04"/>
    <n v="-247.84000000000012"/>
    <n v="-224.04"/>
  </r>
  <r>
    <x v="0"/>
    <x v="1"/>
    <x v="0"/>
    <s v="2302200"/>
    <n v="749512"/>
    <s v="Licenses-Physician"/>
    <s v="Surprise Lake-Fam Med"/>
    <x v="0"/>
    <n v="2000"/>
    <n v="0"/>
    <n v="0"/>
    <n v="0"/>
    <n v="0"/>
    <n v="0"/>
    <n v="0"/>
    <n v="731"/>
    <n v="0"/>
    <n v="0"/>
    <n v="731"/>
    <n v="0"/>
    <n v="0"/>
    <n v="1462"/>
    <n v="0"/>
  </r>
  <r>
    <x v="0"/>
    <x v="1"/>
    <x v="0"/>
    <s v="2302200"/>
    <n v="749513"/>
    <s v="Licenses-Advanced Practice Clinician"/>
    <s v="Surprise Lake-Fam Med"/>
    <x v="0"/>
    <n v="2000"/>
    <n v="0"/>
    <n v="0"/>
    <n v="0"/>
    <n v="0"/>
    <n v="0"/>
    <n v="0"/>
    <n v="0"/>
    <n v="0"/>
    <n v="375"/>
    <n v="250"/>
    <n v="0"/>
    <n v="245"/>
    <n v="870"/>
    <n v="-245"/>
  </r>
  <r>
    <x v="0"/>
    <x v="1"/>
    <x v="0"/>
    <s v="2302200"/>
    <n v="749532"/>
    <s v="Travel-Physician"/>
    <s v="Surprise Lake-Fam Med"/>
    <x v="0"/>
    <m/>
    <n v="0"/>
    <n v="0"/>
    <n v="0"/>
    <n v="0"/>
    <n v="2162.04"/>
    <n v="0"/>
    <n v="0"/>
    <n v="0"/>
    <n v="0"/>
    <n v="0"/>
    <n v="0"/>
    <n v="2275"/>
    <n v="4437.04"/>
    <n v="-2275"/>
  </r>
  <r>
    <x v="0"/>
    <x v="1"/>
    <x v="0"/>
    <s v="2302200"/>
    <n v="749533"/>
    <s v="Travel-Advanced Practice Clinician"/>
    <s v="Surprise Lake-Fam Med"/>
    <x v="0"/>
    <m/>
    <n v="0"/>
    <n v="0"/>
    <n v="0"/>
    <n v="0"/>
    <n v="0"/>
    <n v="0"/>
    <n v="572.03"/>
    <n v="0"/>
    <n v="2308.65"/>
    <n v="1525.03"/>
    <n v="0"/>
    <n v="0"/>
    <n v="4405.71"/>
    <n v="0"/>
  </r>
  <r>
    <x v="0"/>
    <x v="1"/>
    <x v="0"/>
    <s v="2302200"/>
    <n v="749533"/>
    <s v="Business Meals-Advanced Practice Clinician"/>
    <s v="Surprise Lake-Fam Med"/>
    <x v="0"/>
    <n v="2000"/>
    <n v="0"/>
    <n v="0"/>
    <n v="0"/>
    <n v="0"/>
    <n v="0"/>
    <n v="0"/>
    <n v="0"/>
    <n v="0"/>
    <n v="0"/>
    <n v="22.94"/>
    <n v="0"/>
    <n v="0"/>
    <n v="22.94"/>
    <n v="0"/>
  </r>
  <r>
    <x v="1"/>
    <x v="1"/>
    <x v="0"/>
    <s v="2303200"/>
    <n v="400029"/>
    <s v="MD Practice Other Rev--Medicare"/>
    <s v="Port Orchard-Fam Med"/>
    <x v="0"/>
    <n v="1100"/>
    <n v="-1566"/>
    <n v="-727"/>
    <n v="-693"/>
    <n v="-698"/>
    <n v="-606"/>
    <n v="-821"/>
    <n v="-863"/>
    <n v="-918"/>
    <n v="-4681"/>
    <n v="-2797"/>
    <n v="-3391"/>
    <n v="-4998"/>
    <n v="-22759"/>
    <n v="1607"/>
  </r>
  <r>
    <x v="1"/>
    <x v="1"/>
    <x v="0"/>
    <s v="2303200"/>
    <n v="400029"/>
    <s v="MD Practice Other Rev--Medicaid"/>
    <s v="Port Orchard-Fam Med"/>
    <x v="0"/>
    <n v="1200"/>
    <n v="-1464"/>
    <n v="-21"/>
    <n v="-270"/>
    <n v="-548"/>
    <n v="-239"/>
    <n v="-539"/>
    <n v="-484"/>
    <n v="-635"/>
    <n v="-1706"/>
    <n v="-1677"/>
    <n v="-1074"/>
    <n v="-2076"/>
    <n v="-10733"/>
    <n v="1002"/>
  </r>
  <r>
    <x v="1"/>
    <x v="1"/>
    <x v="0"/>
    <s v="2303200"/>
    <n v="400029"/>
    <s v="MD Practice Other Rev--Comm Insurance"/>
    <s v="Port Orchard-Fam Med"/>
    <x v="0"/>
    <n v="1300"/>
    <n v="-145"/>
    <n v="-310"/>
    <n v="-33"/>
    <n v="-231"/>
    <n v="0"/>
    <n v="-90"/>
    <n v="0"/>
    <n v="0"/>
    <n v="-134"/>
    <n v="-155"/>
    <n v="-291"/>
    <n v="-394"/>
    <n v="-1783"/>
    <n v="103"/>
  </r>
  <r>
    <x v="1"/>
    <x v="1"/>
    <x v="0"/>
    <s v="2303200"/>
    <n v="400029"/>
    <s v="MD Practice Other Rev--BCBS Comm"/>
    <s v="Port Orchard-Fam Med"/>
    <x v="0"/>
    <n v="1301"/>
    <n v="-779"/>
    <n v="-267"/>
    <n v="-202"/>
    <n v="-320"/>
    <n v="-261"/>
    <n v="-377"/>
    <n v="-347"/>
    <n v="-65"/>
    <n v="-856"/>
    <n v="-623"/>
    <n v="-818"/>
    <n v="-871"/>
    <n v="-5786"/>
    <n v="53"/>
  </r>
  <r>
    <x v="1"/>
    <x v="1"/>
    <x v="0"/>
    <s v="2303200"/>
    <n v="400029"/>
    <s v="MD Practice Other Rev--Managed Care"/>
    <s v="Port Orchard-Fam Med"/>
    <x v="0"/>
    <n v="1400"/>
    <n v="-1609"/>
    <n v="-534"/>
    <n v="-498"/>
    <n v="-827"/>
    <n v="-1189"/>
    <n v="-764"/>
    <n v="-667"/>
    <n v="-476"/>
    <n v="-2133"/>
    <n v="-855"/>
    <n v="-1685"/>
    <n v="-2011"/>
    <n v="-13248"/>
    <n v="326"/>
  </r>
  <r>
    <x v="1"/>
    <x v="1"/>
    <x v="0"/>
    <s v="2303200"/>
    <n v="400029"/>
    <s v="MD Practice Other Rev--Self Pay"/>
    <s v="Port Orchard-Fam Med"/>
    <x v="0"/>
    <n v="1500"/>
    <n v="0"/>
    <n v="0"/>
    <n v="-24"/>
    <n v="0"/>
    <n v="-114"/>
    <n v="-64"/>
    <n v="-43"/>
    <n v="-8"/>
    <n v="-85"/>
    <n v="-117"/>
    <n v="-151"/>
    <n v="-68"/>
    <n v="-674"/>
    <n v="-83"/>
  </r>
  <r>
    <x v="1"/>
    <x v="1"/>
    <x v="0"/>
    <s v="2303200"/>
    <n v="400029"/>
    <s v="MD Practice Other Rev--Other"/>
    <s v="Port Orchard-Fam Med"/>
    <x v="0"/>
    <n v="1700"/>
    <n v="-275"/>
    <n v="-420"/>
    <n v="-314"/>
    <n v="-266"/>
    <n v="-36"/>
    <n v="-221"/>
    <n v="-385"/>
    <n v="-159"/>
    <n v="-577"/>
    <n v="-435"/>
    <n v="-634"/>
    <n v="-409"/>
    <n v="-4131"/>
    <n v="-225"/>
  </r>
  <r>
    <x v="1"/>
    <x v="1"/>
    <x v="0"/>
    <s v="2303200"/>
    <n v="400040"/>
    <s v="Physician Svcs Rev--Medicare"/>
    <s v="Port Orchard-Fam Med"/>
    <x v="0"/>
    <n v="1100"/>
    <n v="-80851"/>
    <n v="-83835"/>
    <n v="-75200"/>
    <n v="-99695"/>
    <n v="-73624"/>
    <n v="-68366"/>
    <n v="-61799"/>
    <n v="-59824"/>
    <n v="-123222.2"/>
    <n v="-115740"/>
    <n v="-121914"/>
    <n v="-126752.44"/>
    <n v="-1090822.6399999999"/>
    <n v="4838.4400000000023"/>
  </r>
  <r>
    <x v="1"/>
    <x v="1"/>
    <x v="0"/>
    <s v="2303200"/>
    <n v="400040"/>
    <s v="Physician Svcs Rev--Medicaid"/>
    <s v="Port Orchard-Fam Med"/>
    <x v="0"/>
    <n v="1200"/>
    <n v="-71811.95"/>
    <n v="-75311.72"/>
    <n v="-69706.880000000005"/>
    <n v="-81357.490000000005"/>
    <n v="-70185.850000000006"/>
    <n v="-62809.36"/>
    <n v="-60618.400000000001"/>
    <n v="-55632.68"/>
    <n v="-95857.919999999998"/>
    <n v="-85247.56"/>
    <n v="-103738.96"/>
    <n v="-86627.32"/>
    <n v="-918906.09000000008"/>
    <n v="-17111.64"/>
  </r>
  <r>
    <x v="1"/>
    <x v="1"/>
    <x v="0"/>
    <s v="2303200"/>
    <n v="400040"/>
    <s v="Physician Svcs Rev--Comm Insurance"/>
    <s v="Port Orchard-Fam Med"/>
    <x v="0"/>
    <n v="1300"/>
    <n v="-9502.91"/>
    <n v="-9212.11"/>
    <n v="-7088.53"/>
    <n v="-11143.13"/>
    <n v="-9808.43"/>
    <n v="-13942"/>
    <n v="-6338.52"/>
    <n v="-7414"/>
    <n v="-11057.14"/>
    <n v="-10955.83"/>
    <n v="-13103"/>
    <n v="-11460"/>
    <n v="-121025.60000000001"/>
    <n v="-1643"/>
  </r>
  <r>
    <x v="1"/>
    <x v="1"/>
    <x v="0"/>
    <s v="2303200"/>
    <n v="400040"/>
    <s v="Physician Svcs Rev--BCBS Comm"/>
    <s v="Port Orchard-Fam Med"/>
    <x v="0"/>
    <n v="1301"/>
    <n v="-47409.73"/>
    <n v="-27968.46"/>
    <n v="-28452.66"/>
    <n v="-32987.78"/>
    <n v="-32537.88"/>
    <n v="-37744.03"/>
    <n v="-22796.03"/>
    <n v="-21742.99"/>
    <n v="-52159.83"/>
    <n v="-34902.620000000003"/>
    <n v="-44586.91"/>
    <n v="-42689.64"/>
    <n v="-425978.56000000006"/>
    <n v="-1897.2700000000041"/>
  </r>
  <r>
    <x v="1"/>
    <x v="1"/>
    <x v="0"/>
    <s v="2303200"/>
    <n v="400040"/>
    <s v="Physician Svcs Rev--Managed Care"/>
    <s v="Port Orchard-Fam Med"/>
    <x v="0"/>
    <n v="1400"/>
    <n v="-103520.69"/>
    <n v="-46519.19"/>
    <n v="-70432.37"/>
    <n v="-91124.6"/>
    <n v="-88947.59"/>
    <n v="-77404.7"/>
    <n v="-54652.69"/>
    <n v="-70691.759999999995"/>
    <n v="-113733.98"/>
    <n v="-95223"/>
    <n v="-116187.2"/>
    <n v="-110607.03"/>
    <n v="-1039044.7999999999"/>
    <n v="-5580.1699999999983"/>
  </r>
  <r>
    <x v="1"/>
    <x v="1"/>
    <x v="0"/>
    <s v="2303200"/>
    <n v="400040"/>
    <s v="Physician Svcs Rev--Self Pay"/>
    <s v="Port Orchard-Fam Med"/>
    <x v="0"/>
    <n v="1500"/>
    <n v="-3621"/>
    <n v="-2345"/>
    <n v="-1907"/>
    <n v="-3178.96"/>
    <n v="-2594.44"/>
    <n v="-162"/>
    <n v="-3230.44"/>
    <n v="-5217.4399999999996"/>
    <n v="-4030"/>
    <n v="-4595.88"/>
    <n v="-6034.12"/>
    <n v="-4726.4399999999996"/>
    <n v="-41642.720000000001"/>
    <n v="-1307.6800000000003"/>
  </r>
  <r>
    <x v="1"/>
    <x v="1"/>
    <x v="0"/>
    <s v="2303200"/>
    <n v="400040"/>
    <s v="Physician Svcs Rev--Other"/>
    <s v="Port Orchard-Fam Med"/>
    <x v="0"/>
    <n v="1700"/>
    <n v="-29703.91"/>
    <n v="-25084.53"/>
    <n v="-14890.35"/>
    <n v="-32055.74"/>
    <n v="-19860.240000000002"/>
    <n v="-17738.689999999999"/>
    <n v="-17177.52"/>
    <n v="-14906.12"/>
    <n v="-25576.06"/>
    <n v="-26958.33"/>
    <n v="-34515.75"/>
    <n v="-27074.63"/>
    <n v="-285541.87"/>
    <n v="-7441.119999999999"/>
  </r>
  <r>
    <x v="2"/>
    <x v="1"/>
    <x v="0"/>
    <s v="2303200"/>
    <n v="450029"/>
    <s v="Contr Allow--MD Other-Medicare"/>
    <s v="Port Orchard-Fam Med"/>
    <x v="0"/>
    <n v="1100"/>
    <n v="731.33"/>
    <n v="791.98"/>
    <n v="375.8"/>
    <n v="608.21"/>
    <n v="365"/>
    <n v="565.75"/>
    <n v="348.69"/>
    <n v="682.95"/>
    <n v="484.95"/>
    <n v="3148.21"/>
    <n v="1531.18"/>
    <n v="2560.35"/>
    <n v="12194.4"/>
    <n v="-1029.1699999999998"/>
  </r>
  <r>
    <x v="2"/>
    <x v="1"/>
    <x v="0"/>
    <s v="2303200"/>
    <n v="450029"/>
    <s v="Contr Allow--MD Other-Medicaid"/>
    <s v="Port Orchard-Fam Med"/>
    <x v="0"/>
    <n v="1200"/>
    <n v="854.97"/>
    <n v="408.82"/>
    <n v="299.32"/>
    <n v="263.82"/>
    <n v="167.77"/>
    <n v="96.59"/>
    <n v="502.49"/>
    <n v="293.24"/>
    <n v="315.45"/>
    <n v="708.8"/>
    <n v="549.16999999999996"/>
    <n v="955.8"/>
    <n v="5416.24"/>
    <n v="-406.63"/>
  </r>
  <r>
    <x v="2"/>
    <x v="1"/>
    <x v="0"/>
    <s v="2303200"/>
    <n v="450029"/>
    <s v="Contr Allow--MD Other-Comm Insurance"/>
    <s v="Port Orchard-Fam Med"/>
    <x v="0"/>
    <n v="1300"/>
    <n v="27.29"/>
    <n v="192.09"/>
    <n v="37.409999999999997"/>
    <n v="27.51"/>
    <n v="84.52"/>
    <n v="0"/>
    <n v="30.09"/>
    <n v="18.670000000000002"/>
    <n v="18.670000000000002"/>
    <n v="60.6"/>
    <n v="62.11"/>
    <n v="223.36"/>
    <n v="782.31999999999994"/>
    <n v="-161.25"/>
  </r>
  <r>
    <x v="2"/>
    <x v="1"/>
    <x v="0"/>
    <s v="2303200"/>
    <n v="450029"/>
    <s v="Contr Allow--MD Other BCBS Comm"/>
    <s v="Port Orchard-Fam Med"/>
    <x v="0"/>
    <n v="1301"/>
    <n v="278.55"/>
    <n v="265.43"/>
    <n v="159.79"/>
    <n v="121.88"/>
    <n v="137.57"/>
    <n v="115.13"/>
    <n v="93.17"/>
    <n v="135.15"/>
    <n v="108.67"/>
    <n v="207.49"/>
    <n v="479.24"/>
    <n v="377.65"/>
    <n v="2479.7200000000003"/>
    <n v="101.59000000000003"/>
  </r>
  <r>
    <x v="2"/>
    <x v="1"/>
    <x v="0"/>
    <s v="2303200"/>
    <n v="450029"/>
    <s v="Contr Allow--MD Other-Managed Care"/>
    <s v="Port Orchard-Fam Med"/>
    <x v="0"/>
    <n v="1400"/>
    <n v="699.3"/>
    <n v="438.03"/>
    <n v="438.15"/>
    <n v="253.65"/>
    <n v="520.61"/>
    <n v="503.18"/>
    <n v="332.59"/>
    <n v="394.56"/>
    <n v="249.81"/>
    <n v="842.86"/>
    <n v="1134.6400000000001"/>
    <n v="858.77"/>
    <n v="6666.15"/>
    <n v="275.87000000000012"/>
  </r>
  <r>
    <x v="2"/>
    <x v="1"/>
    <x v="0"/>
    <s v="2303200"/>
    <n v="450029"/>
    <s v="Prompt Pay Disc-MD Other-Self Pay"/>
    <s v="Port Orchard-Fam Med"/>
    <x v="0"/>
    <n v="1500"/>
    <n v="0"/>
    <n v="24.01"/>
    <n v="0"/>
    <n v="0"/>
    <n v="0"/>
    <n v="0"/>
    <n v="0"/>
    <n v="0"/>
    <n v="0"/>
    <n v="0"/>
    <n v="0"/>
    <n v="0"/>
    <n v="24.01"/>
    <n v="0"/>
  </r>
  <r>
    <x v="2"/>
    <x v="1"/>
    <x v="0"/>
    <s v="2303200"/>
    <n v="450029"/>
    <s v="Admin Adjust-MD Other-Self Pay"/>
    <s v="Port Orchard-Fam Med"/>
    <x v="0"/>
    <n v="1600"/>
    <n v="6.57"/>
    <n v="63.14"/>
    <n v="69.069999999999993"/>
    <n v="14.65"/>
    <n v="141.21"/>
    <n v="35.979999999999997"/>
    <n v="10.7"/>
    <n v="12.54"/>
    <n v="76.69"/>
    <n v="162.33000000000001"/>
    <n v="65.95"/>
    <n v="25.78"/>
    <n v="684.61"/>
    <n v="40.17"/>
  </r>
  <r>
    <x v="2"/>
    <x v="1"/>
    <x v="0"/>
    <s v="2303200"/>
    <n v="450029"/>
    <s v="Contr Allow--MD Other-Other"/>
    <s v="Port Orchard-Fam Med"/>
    <x v="0"/>
    <n v="1700"/>
    <n v="87.15"/>
    <n v="213.68"/>
    <n v="215.62"/>
    <n v="132.62"/>
    <n v="193.01"/>
    <n v="53.94"/>
    <n v="172.98"/>
    <n v="5.75"/>
    <n v="380.89"/>
    <n v="261.48"/>
    <n v="253.9"/>
    <n v="409.39"/>
    <n v="2380.41"/>
    <n v="-155.48999999999998"/>
  </r>
  <r>
    <x v="2"/>
    <x v="1"/>
    <x v="0"/>
    <s v="2303200"/>
    <n v="450040"/>
    <s v="Contr Allow--Phys Svcs--Mcare"/>
    <s v="Port Orchard-Fam Med"/>
    <x v="0"/>
    <n v="1100"/>
    <n v="38580.22"/>
    <n v="57897.68"/>
    <n v="45246.1"/>
    <n v="63855.23"/>
    <n v="57789.45"/>
    <n v="45645.69"/>
    <n v="43662.74"/>
    <n v="30407.7"/>
    <n v="40674.31"/>
    <n v="85887.01"/>
    <n v="61357.16"/>
    <n v="68195.09"/>
    <n v="639198.38"/>
    <n v="-6837.929999999993"/>
  </r>
  <r>
    <x v="2"/>
    <x v="1"/>
    <x v="0"/>
    <s v="2303200"/>
    <n v="450040"/>
    <s v="Contr Allow--Phys Svcs--Mcaid"/>
    <s v="Port Orchard-Fam Med"/>
    <x v="0"/>
    <n v="1200"/>
    <n v="66480.09"/>
    <n v="60567.15"/>
    <n v="49107.94"/>
    <n v="54540.09"/>
    <n v="40982.36"/>
    <n v="30088.720000000001"/>
    <n v="65588.429999999993"/>
    <n v="25290.76"/>
    <n v="41246.28"/>
    <n v="59015.5"/>
    <n v="61375.31"/>
    <n v="63963.18"/>
    <n v="618245.80999999994"/>
    <n v="-2587.8700000000026"/>
  </r>
  <r>
    <x v="2"/>
    <x v="1"/>
    <x v="0"/>
    <s v="2303200"/>
    <n v="450040"/>
    <s v="Contr Allow--Phys Svcs--Comm Insurance"/>
    <s v="Port Orchard-Fam Med"/>
    <x v="0"/>
    <n v="1300"/>
    <n v="3781.19"/>
    <n v="4221.67"/>
    <n v="2861.82"/>
    <n v="3863.59"/>
    <n v="3137.27"/>
    <n v="3118.58"/>
    <n v="3688.7"/>
    <n v="1885.82"/>
    <n v="1731.4"/>
    <n v="3587.26"/>
    <n v="6016.79"/>
    <n v="2725.69"/>
    <n v="40619.780000000006"/>
    <n v="3291.1"/>
  </r>
  <r>
    <x v="2"/>
    <x v="1"/>
    <x v="0"/>
    <s v="2303200"/>
    <n v="450040"/>
    <s v="Contr Allow--Phys Svcs--BCBS Comm Ins"/>
    <s v="Port Orchard-Fam Med"/>
    <x v="0"/>
    <n v="1301"/>
    <n v="17915.150000000001"/>
    <n v="18610.95"/>
    <n v="8887.67"/>
    <n v="11349.28"/>
    <n v="11228.23"/>
    <n v="12574.9"/>
    <n v="9636.4599999999991"/>
    <n v="8912.58"/>
    <n v="13761.32"/>
    <n v="11423.99"/>
    <n v="13281.18"/>
    <n v="24244.41"/>
    <n v="161826.12"/>
    <n v="-10963.23"/>
  </r>
  <r>
    <x v="2"/>
    <x v="1"/>
    <x v="0"/>
    <s v="2303200"/>
    <n v="450040"/>
    <s v="Contr Allow--Phys Svcs--Managed Care"/>
    <s v="Port Orchard-Fam Med"/>
    <x v="0"/>
    <n v="1400"/>
    <n v="28978.77"/>
    <n v="38761.07"/>
    <n v="27489.61"/>
    <n v="34099.599999999999"/>
    <n v="38188.730000000003"/>
    <n v="27402.2"/>
    <n v="22159.98"/>
    <n v="21126.31"/>
    <n v="25073.37"/>
    <n v="40026.589999999997"/>
    <n v="48441.32"/>
    <n v="50994.42"/>
    <n v="402741.97"/>
    <n v="-2553.0999999999985"/>
  </r>
  <r>
    <x v="2"/>
    <x v="1"/>
    <x v="0"/>
    <s v="2303200"/>
    <n v="450040"/>
    <s v="Contr Allow--Phys Svcs--BCBS Mgnd Care"/>
    <s v="Port Orchard-Fam Med"/>
    <x v="0"/>
    <n v="1401"/>
    <n v="19994.78"/>
    <n v="-48922.77"/>
    <n v="-168.47"/>
    <n v="9681.61"/>
    <n v="-2037.68"/>
    <n v="24031.759999999998"/>
    <n v="-27919.57"/>
    <n v="29930.69"/>
    <n v="102241.02"/>
    <n v="-9934.73"/>
    <n v="30615.06"/>
    <n v="-9411.65"/>
    <n v="118100.05"/>
    <n v="40026.71"/>
  </r>
  <r>
    <x v="2"/>
    <x v="1"/>
    <x v="0"/>
    <s v="2303200"/>
    <n v="450040"/>
    <s v="Prompt Pay Disc-Phys Svcs-Self Pay"/>
    <s v="Port Orchard-Fam Med"/>
    <x v="0"/>
    <n v="1500"/>
    <n v="0"/>
    <n v="4"/>
    <n v="0"/>
    <n v="0"/>
    <n v="0"/>
    <n v="0"/>
    <n v="0"/>
    <n v="0"/>
    <n v="0"/>
    <n v="0"/>
    <n v="0"/>
    <n v="0"/>
    <n v="4"/>
    <n v="0"/>
  </r>
  <r>
    <x v="2"/>
    <x v="1"/>
    <x v="0"/>
    <s v="2303200"/>
    <n v="450040"/>
    <s v="Admin Adjust-Phys Svcs-Self Pay"/>
    <s v="Port Orchard-Fam Med"/>
    <x v="0"/>
    <n v="1600"/>
    <n v="2280.14"/>
    <n v="421.68"/>
    <n v="2162.87"/>
    <n v="1963.67"/>
    <n v="1983.48"/>
    <n v="107.19"/>
    <n v="1746.39"/>
    <n v="3679.59"/>
    <n v="1858.63"/>
    <n v="2065.23"/>
    <n v="2952.63"/>
    <n v="3007.13"/>
    <n v="24228.63"/>
    <n v="-54.5"/>
  </r>
  <r>
    <x v="2"/>
    <x v="1"/>
    <x v="0"/>
    <s v="2303200"/>
    <n v="450040"/>
    <s v="Contr Allow--Phys Svcs--Other"/>
    <s v="Port Orchard-Fam Med"/>
    <x v="0"/>
    <n v="1700"/>
    <n v="13236.76"/>
    <n v="21246.49"/>
    <n v="16962.04"/>
    <n v="17014.89"/>
    <n v="15311.98"/>
    <n v="7991.07"/>
    <n v="13625.6"/>
    <n v="8163.74"/>
    <n v="8468.5499999999993"/>
    <n v="19861.18"/>
    <n v="25017.39"/>
    <n v="18162.62"/>
    <n v="185062.31"/>
    <n v="6854.77"/>
  </r>
  <r>
    <x v="3"/>
    <x v="1"/>
    <x v="0"/>
    <s v="2303200"/>
    <n v="470040"/>
    <s v="Charity Care-Physician Svcs"/>
    <s v="Port Orchard-Fam Med"/>
    <x v="0"/>
    <m/>
    <n v="806.44"/>
    <n v="975.84"/>
    <n v="154.18"/>
    <n v="681.66"/>
    <n v="438.03"/>
    <n v="751.83"/>
    <n v="-60.32"/>
    <n v="885.46"/>
    <n v="6054.82"/>
    <n v="2084.2399999999998"/>
    <n v="546.21"/>
    <n v="4151.67"/>
    <n v="17470.059999999998"/>
    <n v="-3605.46"/>
  </r>
  <r>
    <x v="4"/>
    <x v="1"/>
    <x v="0"/>
    <s v="2303200"/>
    <n v="490010"/>
    <s v="Provision for Bad Debts"/>
    <s v="Port Orchard-Fam Med"/>
    <x v="0"/>
    <m/>
    <n v="4605.5200000000004"/>
    <n v="-5318.88"/>
    <n v="6898.88"/>
    <n v="7096.04"/>
    <n v="2630.19"/>
    <n v="6382.19"/>
    <n v="1458.81"/>
    <n v="4874.8900000000003"/>
    <n v="12336.32"/>
    <n v="-2174.5300000000002"/>
    <n v="4743.0600000000004"/>
    <n v="2938.45"/>
    <n v="46470.94"/>
    <n v="1804.6100000000006"/>
  </r>
  <r>
    <x v="5"/>
    <x v="1"/>
    <x v="0"/>
    <s v="2303200"/>
    <n v="700018"/>
    <s v="Salaries-Supervisory-Productive"/>
    <s v="Port Orchard-Fam Med"/>
    <x v="0"/>
    <m/>
    <n v="0"/>
    <n v="0"/>
    <n v="2433.6"/>
    <n v="8373.1200000000008"/>
    <n v="5785.92"/>
    <n v="2667.95"/>
    <n v="2221.31"/>
    <n v="6888.9"/>
    <n v="2060.23"/>
    <n v="7500.52"/>
    <n v="3766.36"/>
    <n v="4184.84"/>
    <n v="45882.75"/>
    <n v="-418.48"/>
  </r>
  <r>
    <x v="5"/>
    <x v="1"/>
    <x v="0"/>
    <s v="2303200"/>
    <n v="700020"/>
    <s v="Salaries-Physician Admin-Productive"/>
    <s v="Port Orchard-Fam Med"/>
    <x v="0"/>
    <m/>
    <n v="0"/>
    <n v="0"/>
    <n v="0"/>
    <n v="0"/>
    <n v="98560"/>
    <n v="-38864"/>
    <n v="10431.790000000001"/>
    <n v="8973.16"/>
    <n v="6056.87"/>
    <n v="10992.12"/>
    <n v="10319.14"/>
    <n v="4486.5600000000004"/>
    <n v="110955.64"/>
    <n v="5832.579999999999"/>
  </r>
  <r>
    <x v="5"/>
    <x v="1"/>
    <x v="0"/>
    <s v="2303200"/>
    <n v="700022"/>
    <s v="Salaries-Physician-Productive"/>
    <s v="Port Orchard-Fam Med"/>
    <x v="0"/>
    <m/>
    <n v="28015.94"/>
    <n v="36904.800000000003"/>
    <n v="9046.65"/>
    <n v="17396.29"/>
    <n v="92803.56"/>
    <n v="-22274.85"/>
    <n v="8744.23"/>
    <n v="7740.11"/>
    <n v="16363.38"/>
    <n v="19178.29"/>
    <n v="25939.59"/>
    <n v="19363"/>
    <n v="259220.99"/>
    <n v="6576.59"/>
  </r>
  <r>
    <x v="5"/>
    <x v="1"/>
    <x v="0"/>
    <s v="2303200"/>
    <n v="700024"/>
    <s v="Salaries-Advanced Practice Clinician-Productive"/>
    <s v="Port Orchard-Fam Med"/>
    <x v="0"/>
    <m/>
    <n v="31425.3"/>
    <n v="36031.230000000003"/>
    <n v="41182.35"/>
    <n v="48173.49"/>
    <n v="43980.97"/>
    <n v="43617.21"/>
    <n v="53179.83"/>
    <n v="41539.26"/>
    <n v="60747.5"/>
    <n v="46034.37"/>
    <n v="58045.91"/>
    <n v="42765.46"/>
    <n v="546722.88"/>
    <n v="15280.450000000004"/>
  </r>
  <r>
    <x v="5"/>
    <x v="1"/>
    <x v="0"/>
    <s v="2303200"/>
    <n v="700024"/>
    <s v="Salaries-Advanced Practice Clinician-Other"/>
    <s v="Port Orchard-Fam Med"/>
    <x v="0"/>
    <n v="2000"/>
    <n v="0"/>
    <n v="0"/>
    <n v="214.79"/>
    <n v="0"/>
    <n v="0"/>
    <n v="0"/>
    <n v="0"/>
    <n v="0"/>
    <n v="0"/>
    <n v="0"/>
    <n v="0"/>
    <n v="0"/>
    <n v="214.79"/>
    <n v="0"/>
  </r>
  <r>
    <x v="5"/>
    <x v="1"/>
    <x v="0"/>
    <s v="2303200"/>
    <n v="700030"/>
    <s v="Salaries-LPN-Productive"/>
    <s v="Port Orchard-Fam Med"/>
    <x v="0"/>
    <m/>
    <n v="15408.7"/>
    <n v="16359.33"/>
    <n v="16414.43"/>
    <n v="22174.400000000001"/>
    <n v="21618.74"/>
    <n v="17146.650000000001"/>
    <n v="16143.05"/>
    <n v="13310.18"/>
    <n v="20665.560000000001"/>
    <n v="23006.62"/>
    <n v="22781.02"/>
    <n v="17149.52"/>
    <n v="222178.19999999998"/>
    <n v="5631.5"/>
  </r>
  <r>
    <x v="5"/>
    <x v="1"/>
    <x v="0"/>
    <s v="2303200"/>
    <n v="700030"/>
    <s v="Salaries-LPN-OT"/>
    <s v="Port Orchard-Fam Med"/>
    <x v="0"/>
    <n v="1000"/>
    <n v="712.68"/>
    <n v="626.36"/>
    <n v="1185.19"/>
    <n v="1531.69"/>
    <n v="1203.05"/>
    <n v="491.23"/>
    <n v="1349.52"/>
    <n v="582.22"/>
    <n v="1213.32"/>
    <n v="1306.8699999999999"/>
    <n v="1074.53"/>
    <n v="1016.94"/>
    <n v="12293.600000000002"/>
    <n v="57.589999999999918"/>
  </r>
  <r>
    <x v="5"/>
    <x v="1"/>
    <x v="0"/>
    <s v="2303200"/>
    <n v="700030"/>
    <s v="Salaries-LPN-Other"/>
    <s v="Port Orchard-Fam Med"/>
    <x v="0"/>
    <n v="2000"/>
    <n v="0"/>
    <n v="0"/>
    <n v="30"/>
    <n v="0"/>
    <n v="0"/>
    <n v="0"/>
    <n v="0"/>
    <n v="0"/>
    <n v="30.07"/>
    <n v="-0.02"/>
    <n v="0"/>
    <n v="0"/>
    <n v="60.05"/>
    <n v="0"/>
  </r>
  <r>
    <x v="5"/>
    <x v="1"/>
    <x v="0"/>
    <s v="2303200"/>
    <n v="700032"/>
    <s v="Salaries-Other Pat Care Providers-Productive"/>
    <s v="Port Orchard-Fam Med"/>
    <x v="0"/>
    <m/>
    <n v="10724.1"/>
    <n v="13083.74"/>
    <n v="10940.78"/>
    <n v="13772.14"/>
    <n v="17524.55"/>
    <n v="13435.29"/>
    <n v="15853.71"/>
    <n v="12162.38"/>
    <n v="16214.65"/>
    <n v="16530.34"/>
    <n v="17628.28"/>
    <n v="14284.31"/>
    <n v="172154.27"/>
    <n v="3343.9699999999993"/>
  </r>
  <r>
    <x v="5"/>
    <x v="1"/>
    <x v="0"/>
    <s v="2303200"/>
    <n v="700032"/>
    <s v="Salaries-Other Pat Care Providers-OT"/>
    <s v="Port Orchard-Fam Med"/>
    <x v="0"/>
    <n v="1000"/>
    <n v="106.23"/>
    <n v="473.11"/>
    <n v="92.76"/>
    <n v="551.91999999999996"/>
    <n v="479.29"/>
    <n v="-38.369999999999997"/>
    <n v="209.36"/>
    <n v="119.73"/>
    <n v="964.84"/>
    <n v="383.88"/>
    <n v="1198.57"/>
    <n v="1172.2"/>
    <n v="5713.52"/>
    <n v="26.369999999999891"/>
  </r>
  <r>
    <x v="5"/>
    <x v="1"/>
    <x v="0"/>
    <s v="2303200"/>
    <n v="700032"/>
    <s v="Salaries-Other Pat Care Providers-Other"/>
    <s v="Port Orchard-Fam Med"/>
    <x v="0"/>
    <n v="2000"/>
    <n v="0"/>
    <n v="0"/>
    <n v="0"/>
    <n v="0"/>
    <n v="47.33"/>
    <n v="35.450000000000003"/>
    <n v="35.97"/>
    <n v="32.56"/>
    <n v="14.88"/>
    <n v="39.76"/>
    <n v="35.61"/>
    <n v="33.25"/>
    <n v="274.81"/>
    <n v="2.3599999999999994"/>
  </r>
  <r>
    <x v="5"/>
    <x v="1"/>
    <x v="0"/>
    <s v="2303200"/>
    <n v="700054"/>
    <s v="Salaries-Management-NonProd-Other"/>
    <s v="Port Orchard-Fam Med"/>
    <x v="0"/>
    <n v="2000"/>
    <n v="0"/>
    <n v="0"/>
    <n v="0"/>
    <n v="0"/>
    <n v="0"/>
    <n v="282.86"/>
    <n v="-282.86"/>
    <n v="0"/>
    <n v="0"/>
    <n v="0"/>
    <n v="0"/>
    <n v="0"/>
    <n v="0"/>
    <n v="0"/>
  </r>
  <r>
    <x v="5"/>
    <x v="1"/>
    <x v="0"/>
    <s v="2303200"/>
    <n v="700058"/>
    <s v="Salaries-Supervisory-Non-productive"/>
    <s v="Port Orchard-Fam Med"/>
    <x v="0"/>
    <m/>
    <n v="0"/>
    <n v="0"/>
    <n v="0"/>
    <n v="0"/>
    <n v="1285.76"/>
    <n v="1703.63"/>
    <n v="1126.8499999999999"/>
    <n v="193.13"/>
    <n v="-128.75"/>
    <n v="547.23"/>
    <n v="-225.32"/>
    <n v="643.83000000000004"/>
    <n v="5146.3600000000006"/>
    <n v="-869.15000000000009"/>
  </r>
  <r>
    <x v="5"/>
    <x v="1"/>
    <x v="0"/>
    <s v="2303200"/>
    <n v="700060"/>
    <s v="Salaries-Physician Admin-Non-productive"/>
    <s v="Port Orchard-Fam Med"/>
    <x v="0"/>
    <m/>
    <n v="0"/>
    <n v="0"/>
    <n v="0"/>
    <n v="0"/>
    <n v="0"/>
    <n v="0"/>
    <n v="0"/>
    <n v="0"/>
    <n v="0"/>
    <n v="0"/>
    <n v="0"/>
    <n v="2243.27"/>
    <n v="2243.27"/>
    <n v="-2243.27"/>
  </r>
  <r>
    <x v="5"/>
    <x v="1"/>
    <x v="0"/>
    <s v="2303200"/>
    <n v="700062"/>
    <s v="Salaries-Physician-Non-productive"/>
    <s v="Port Orchard-Fam Med"/>
    <x v="0"/>
    <m/>
    <n v="5401.43"/>
    <n v="1345.26"/>
    <n v="4015.6"/>
    <n v="1606.24"/>
    <n v="3212.48"/>
    <n v="12785.91"/>
    <n v="18300.64"/>
    <n v="15077.43"/>
    <n v="9719.6200000000008"/>
    <n v="4690.42"/>
    <n v="-158.83000000000001"/>
    <n v="751.44"/>
    <n v="76747.64"/>
    <n v="-910.2700000000001"/>
  </r>
  <r>
    <x v="5"/>
    <x v="1"/>
    <x v="0"/>
    <s v="2303200"/>
    <n v="700062"/>
    <s v="Salaries-Physician-NonProd-Other"/>
    <s v="Port Orchard-Fam Med"/>
    <x v="0"/>
    <n v="2000"/>
    <n v="0"/>
    <n v="0"/>
    <n v="0"/>
    <n v="0"/>
    <n v="0"/>
    <n v="0"/>
    <n v="-1867.47"/>
    <n v="-5846.36"/>
    <n v="-2423.91"/>
    <n v="0"/>
    <n v="0"/>
    <n v="0"/>
    <n v="-10137.74"/>
    <n v="0"/>
  </r>
  <r>
    <x v="5"/>
    <x v="1"/>
    <x v="0"/>
    <s v="2303200"/>
    <n v="700064"/>
    <s v="Salaries-Advanced Practice Clinician-Non-Productive"/>
    <s v="Port Orchard-Fam Med"/>
    <x v="0"/>
    <m/>
    <n v="6242.43"/>
    <n v="8179.81"/>
    <n v="6426.35"/>
    <n v="11583.01"/>
    <n v="8605.16"/>
    <n v="5962.19"/>
    <n v="10322.15"/>
    <n v="15750.06"/>
    <n v="-673.03"/>
    <n v="9746.5300000000007"/>
    <n v="-806.72"/>
    <n v="8387.14"/>
    <n v="89725.080000000016"/>
    <n v="-9193.8599999999988"/>
  </r>
  <r>
    <x v="5"/>
    <x v="1"/>
    <x v="0"/>
    <s v="2303200"/>
    <n v="700064"/>
    <s v="Salaries-Advanced Practice Clinician-Non-Prod-Other"/>
    <s v="Port Orchard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3200"/>
    <n v="700070"/>
    <s v="Salaries-LPN-Non-productive"/>
    <s v="Port Orchard-Fam Med"/>
    <x v="0"/>
    <m/>
    <n v="2749.05"/>
    <n v="2457.91"/>
    <n v="1056.3499999999999"/>
    <n v="1827.96"/>
    <n v="1358.04"/>
    <n v="4827.8"/>
    <n v="5353.38"/>
    <n v="3554.51"/>
    <n v="1800.41"/>
    <n v="910.12"/>
    <n v="2865.5"/>
    <n v="2494.69"/>
    <n v="31255.719999999998"/>
    <n v="370.80999999999995"/>
  </r>
  <r>
    <x v="5"/>
    <x v="1"/>
    <x v="0"/>
    <s v="2303200"/>
    <n v="700070"/>
    <s v="Salaries-LPN-NonProd-Other"/>
    <s v="Port Orchard-Fam Med"/>
    <x v="0"/>
    <n v="2000"/>
    <n v="0"/>
    <n v="0"/>
    <n v="0"/>
    <n v="0"/>
    <n v="385.95"/>
    <n v="385.95"/>
    <n v="0"/>
    <n v="-771.9"/>
    <n v="0"/>
    <n v="0"/>
    <n v="0"/>
    <n v="0"/>
    <n v="0"/>
    <n v="0"/>
  </r>
  <r>
    <x v="5"/>
    <x v="1"/>
    <x v="0"/>
    <s v="2303200"/>
    <n v="700072"/>
    <s v="Salaries-Other Pat Care Providers-Non-productive"/>
    <s v="Port Orchard-Fam Med"/>
    <x v="0"/>
    <m/>
    <n v="3708"/>
    <n v="2009.08"/>
    <n v="1377.91"/>
    <n v="1492.47"/>
    <n v="239.2"/>
    <n v="3128.19"/>
    <n v="1660.89"/>
    <n v="3351.05"/>
    <n v="118.03"/>
    <n v="607.65"/>
    <n v="132.6"/>
    <n v="1464.64"/>
    <n v="19289.71"/>
    <n v="-1332.0400000000002"/>
  </r>
  <r>
    <x v="5"/>
    <x v="1"/>
    <x v="0"/>
    <s v="2303200"/>
    <n v="700072"/>
    <s v="Salaries-Other Pat Care Providers-NonProd-Other"/>
    <s v="Port Orchard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3200"/>
    <n v="700084"/>
    <s v="Accrued PTO"/>
    <s v="Port Orchard-Fam Med"/>
    <x v="0"/>
    <m/>
    <n v="-2223.35"/>
    <n v="-1344.56"/>
    <n v="1612.73"/>
    <n v="2900.46"/>
    <n v="2526.39"/>
    <n v="-2354.65"/>
    <n v="-775.16"/>
    <n v="-311.38"/>
    <n v="2596.5500000000002"/>
    <n v="3043.26"/>
    <n v="2702.85"/>
    <n v="1127.3599999999999"/>
    <n v="9500.5000000000018"/>
    <n v="1575.49"/>
  </r>
  <r>
    <x v="10"/>
    <x v="1"/>
    <x v="0"/>
    <s v="2303200"/>
    <n v="710040"/>
    <s v="Contract Labor-Physician (Locum Tenum)"/>
    <s v="Port Orchard-Fam Med"/>
    <x v="0"/>
    <m/>
    <n v="0"/>
    <n v="0"/>
    <n v="0"/>
    <n v="0"/>
    <n v="0"/>
    <n v="0"/>
    <n v="0"/>
    <n v="0"/>
    <n v="0"/>
    <n v="0"/>
    <n v="0"/>
    <n v="344241.84"/>
    <n v="344241.84"/>
    <n v="-344241.84"/>
  </r>
  <r>
    <x v="10"/>
    <x v="1"/>
    <x v="0"/>
    <s v="2303200"/>
    <n v="710042"/>
    <s v="Locum Tenens Travel-Physician"/>
    <s v="Port Orchard-Fam Med"/>
    <x v="0"/>
    <m/>
    <n v="0"/>
    <n v="0"/>
    <n v="0"/>
    <n v="0"/>
    <n v="0"/>
    <n v="0"/>
    <n v="0"/>
    <n v="0"/>
    <n v="0"/>
    <n v="0"/>
    <n v="0"/>
    <n v="40310"/>
    <n v="40310"/>
    <n v="-40310"/>
  </r>
  <r>
    <x v="6"/>
    <x v="1"/>
    <x v="0"/>
    <s v="2303200"/>
    <n v="713010"/>
    <s v="Benefits-FICA/Medicare"/>
    <s v="Port Orchard-Fam Med"/>
    <x v="0"/>
    <m/>
    <n v="7439.49"/>
    <n v="7415.12"/>
    <n v="6001.3"/>
    <n v="8417.6299999999992"/>
    <n v="9356.5"/>
    <n v="6184.04"/>
    <n v="10749.86"/>
    <n v="9251.58"/>
    <n v="9886.7000000000007"/>
    <n v="10544.47"/>
    <n v="10663.07"/>
    <n v="8973.07"/>
    <n v="104882.83000000002"/>
    <n v="1690"/>
  </r>
  <r>
    <x v="6"/>
    <x v="1"/>
    <x v="0"/>
    <s v="2303200"/>
    <n v="713090"/>
    <s v="Benefits-Allocated Amounts"/>
    <s v="Port Orchard-Fam Med"/>
    <x v="0"/>
    <m/>
    <n v="0"/>
    <n v="0"/>
    <n v="0"/>
    <n v="0"/>
    <n v="0"/>
    <n v="0"/>
    <n v="0"/>
    <n v="0"/>
    <n v="107254.95"/>
    <n v="13385.82"/>
    <n v="13067.9"/>
    <n v="12517.11"/>
    <n v="146225.77999999997"/>
    <n v="550.78999999999905"/>
  </r>
  <r>
    <x v="6"/>
    <x v="1"/>
    <x v="0"/>
    <s v="2303200"/>
    <n v="713092"/>
    <s v="Allocated Benefits-Physician"/>
    <s v="Port Orchard-Fam Med"/>
    <x v="0"/>
    <m/>
    <n v="5406.49"/>
    <n v="5068.88"/>
    <n v="5358.76"/>
    <n v="6399.23"/>
    <n v="9973.35"/>
    <n v="5860.19"/>
    <n v="7866.1"/>
    <n v="7427.54"/>
    <n v="-27917.45"/>
    <n v="3175.4"/>
    <n v="3099.98"/>
    <n v="2969.31"/>
    <n v="34687.78"/>
    <n v="130.67000000000007"/>
  </r>
  <r>
    <x v="6"/>
    <x v="1"/>
    <x v="0"/>
    <s v="2303200"/>
    <n v="713093"/>
    <s v="Allocated Benefits-Advanced Practice Clinician"/>
    <s v="Port Orchard-Fam Med"/>
    <x v="0"/>
    <m/>
    <n v="10467.07"/>
    <n v="9813.44"/>
    <n v="10374.66"/>
    <n v="12389.03"/>
    <n v="19308.599999999999"/>
    <n v="11345.44"/>
    <n v="15228.93"/>
    <n v="14379.85"/>
    <n v="-56790.44"/>
    <n v="5805.45"/>
    <n v="5667.57"/>
    <n v="5428.68"/>
    <n v="63418.280000000013"/>
    <n v="238.88999999999942"/>
  </r>
  <r>
    <x v="6"/>
    <x v="1"/>
    <x v="0"/>
    <s v="2303200"/>
    <n v="713096"/>
    <s v="Employee Recognition"/>
    <s v="Port Orchard-Fam Med"/>
    <x v="0"/>
    <n v="1017"/>
    <n v="0"/>
    <n v="0"/>
    <n v="0"/>
    <n v="0"/>
    <n v="0"/>
    <n v="0"/>
    <n v="0"/>
    <n v="0"/>
    <n v="0"/>
    <n v="0"/>
    <n v="97.94"/>
    <n v="0"/>
    <n v="97.94"/>
    <n v="97.94"/>
  </r>
  <r>
    <x v="7"/>
    <x v="1"/>
    <x v="0"/>
    <s v="2303200"/>
    <n v="718040"/>
    <s v="Contract Svcs-Laboratory"/>
    <s v="Port Orchard-Fam Med"/>
    <x v="0"/>
    <m/>
    <n v="43"/>
    <n v="0"/>
    <n v="0"/>
    <n v="0"/>
    <n v="102.4"/>
    <n v="0"/>
    <n v="0"/>
    <n v="0"/>
    <n v="0"/>
    <n v="0"/>
    <n v="0"/>
    <n v="0"/>
    <n v="145.4"/>
    <n v="0"/>
  </r>
  <r>
    <x v="11"/>
    <x v="1"/>
    <x v="0"/>
    <s v="2303200"/>
    <n v="721250"/>
    <s v="Supplies-Pharmacy Drugs - Billable"/>
    <s v="Port Orchard-Fam Med"/>
    <x v="0"/>
    <m/>
    <n v="0"/>
    <n v="331"/>
    <n v="0"/>
    <n v="0"/>
    <n v="0"/>
    <n v="0"/>
    <n v="0"/>
    <n v="0"/>
    <n v="0"/>
    <n v="0"/>
    <n v="0"/>
    <n v="0"/>
    <n v="331"/>
    <n v="0"/>
  </r>
  <r>
    <x v="11"/>
    <x v="1"/>
    <x v="0"/>
    <s v="2303200"/>
    <n v="721710"/>
    <s v="Supplies-Laboratory - Nonbillable"/>
    <s v="Port Orchard-Fam Med"/>
    <x v="0"/>
    <m/>
    <n v="0"/>
    <n v="0"/>
    <n v="0"/>
    <n v="0"/>
    <n v="53.59"/>
    <n v="0"/>
    <n v="0"/>
    <n v="0"/>
    <n v="0"/>
    <n v="0"/>
    <n v="0"/>
    <n v="0"/>
    <n v="53.59"/>
    <n v="0"/>
  </r>
  <r>
    <x v="11"/>
    <x v="1"/>
    <x v="0"/>
    <s v="2303200"/>
    <n v="721830"/>
    <s v="Supplies-Office"/>
    <s v="Port Orchard-Fam Med"/>
    <x v="0"/>
    <m/>
    <n v="0"/>
    <n v="0"/>
    <n v="0"/>
    <n v="0"/>
    <n v="0"/>
    <n v="0"/>
    <n v="0"/>
    <n v="0"/>
    <n v="0"/>
    <n v="41.52"/>
    <n v="0"/>
    <n v="0"/>
    <n v="41.52"/>
    <n v="0"/>
  </r>
  <r>
    <x v="11"/>
    <x v="1"/>
    <x v="0"/>
    <s v="2303200"/>
    <n v="721835"/>
    <s v="Supplies-Forms"/>
    <s v="Port Orchard-Fam Med"/>
    <x v="0"/>
    <m/>
    <n v="0"/>
    <n v="0"/>
    <n v="0"/>
    <n v="0"/>
    <n v="0"/>
    <n v="2.85"/>
    <n v="0"/>
    <n v="0"/>
    <n v="0"/>
    <n v="0"/>
    <n v="0"/>
    <n v="1.8"/>
    <n v="4.6500000000000004"/>
    <n v="-1.8"/>
  </r>
  <r>
    <x v="11"/>
    <x v="1"/>
    <x v="0"/>
    <s v="2303200"/>
    <n v="721910"/>
    <s v="Supplies-Small Equipment"/>
    <s v="Port Orchard-Fam Med"/>
    <x v="0"/>
    <m/>
    <n v="0"/>
    <n v="0"/>
    <n v="0"/>
    <n v="0"/>
    <n v="-14.45"/>
    <n v="0"/>
    <n v="0"/>
    <n v="0"/>
    <n v="0"/>
    <n v="0"/>
    <n v="0"/>
    <n v="0"/>
    <n v="-14.45"/>
    <n v="0"/>
  </r>
  <r>
    <x v="11"/>
    <x v="1"/>
    <x v="0"/>
    <s v="2303200"/>
    <n v="721980"/>
    <s v="Supplies-Other"/>
    <s v="Port Orchard-Fam Med"/>
    <x v="0"/>
    <m/>
    <n v="0"/>
    <n v="0"/>
    <n v="0"/>
    <n v="0"/>
    <n v="0"/>
    <n v="0"/>
    <n v="0"/>
    <n v="0"/>
    <n v="0"/>
    <n v="0"/>
    <n v="0"/>
    <n v="88.29"/>
    <n v="88.29"/>
    <n v="-88.29"/>
  </r>
  <r>
    <x v="12"/>
    <x v="1"/>
    <x v="0"/>
    <s v="2303200"/>
    <n v="730020"/>
    <s v="Rental and Leases-Equipment (DO NOT USE)"/>
    <s v="Port Orchard-Fam Med"/>
    <x v="0"/>
    <m/>
    <n v="0"/>
    <n v="0"/>
    <n v="0"/>
    <n v="0"/>
    <n v="367.67"/>
    <n v="0"/>
    <n v="76.040000000000006"/>
    <n v="0"/>
    <n v="38.020000000000003"/>
    <n v="0"/>
    <n v="76.040000000000006"/>
    <n v="38.020000000000003"/>
    <n v="595.79"/>
    <n v="38.020000000000003"/>
  </r>
  <r>
    <x v="12"/>
    <x v="1"/>
    <x v="0"/>
    <s v="2303200"/>
    <n v="730020"/>
    <s v="Rental and Leases-Copier Usage Fees (DO NOT USE)"/>
    <s v="Port Orchard-Fam Med"/>
    <x v="0"/>
    <n v="5100"/>
    <n v="0"/>
    <n v="0"/>
    <n v="0"/>
    <n v="0"/>
    <n v="-474.35"/>
    <n v="0"/>
    <n v="1152.28"/>
    <n v="0"/>
    <n v="0"/>
    <n v="0"/>
    <n v="0"/>
    <n v="0"/>
    <n v="677.93"/>
    <n v="0"/>
  </r>
  <r>
    <x v="13"/>
    <x v="1"/>
    <x v="0"/>
    <s v="2303200"/>
    <n v="735050"/>
    <s v="Amortization-Leasehold Improvements"/>
    <s v="Port Orchard-Fam Med"/>
    <x v="0"/>
    <m/>
    <n v="0"/>
    <n v="0"/>
    <n v="0"/>
    <n v="0"/>
    <n v="6181.82"/>
    <n v="6181.81"/>
    <n v="6181.83"/>
    <n v="6181.81"/>
    <n v="6181.83"/>
    <n v="6181.81"/>
    <n v="6181.83"/>
    <n v="6181.81"/>
    <n v="49454.549999999996"/>
    <n v="1.9999999999527063E-2"/>
  </r>
  <r>
    <x v="13"/>
    <x v="1"/>
    <x v="0"/>
    <s v="2303200"/>
    <n v="735070"/>
    <s v="Depreciation-Movable Equipment"/>
    <s v="Port Orchard-Fam Med"/>
    <x v="0"/>
    <m/>
    <n v="0"/>
    <n v="0"/>
    <n v="0"/>
    <n v="0"/>
    <n v="24583.93"/>
    <n v="0"/>
    <n v="0"/>
    <n v="0"/>
    <n v="0"/>
    <n v="0"/>
    <n v="0"/>
    <n v="0"/>
    <n v="24583.93"/>
    <n v="0"/>
  </r>
  <r>
    <x v="0"/>
    <x v="1"/>
    <x v="0"/>
    <s v="2303200"/>
    <n v="740022"/>
    <s v="Education-Physician"/>
    <s v="Port Orchard-Fam Med"/>
    <x v="0"/>
    <m/>
    <n v="0"/>
    <n v="0"/>
    <n v="895"/>
    <n v="0"/>
    <n v="600"/>
    <n v="0"/>
    <n v="0"/>
    <n v="0"/>
    <n v="0"/>
    <n v="0"/>
    <n v="0"/>
    <n v="0"/>
    <n v="1495"/>
    <n v="0"/>
  </r>
  <r>
    <x v="0"/>
    <x v="1"/>
    <x v="0"/>
    <s v="2303200"/>
    <n v="740023"/>
    <s v="Books-Advanced Practice Clinician"/>
    <s v="Port Orchard-Fam Med"/>
    <x v="0"/>
    <n v="2000"/>
    <n v="264"/>
    <n v="0"/>
    <n v="0"/>
    <n v="0"/>
    <n v="0"/>
    <n v="0"/>
    <n v="0"/>
    <n v="0"/>
    <n v="0"/>
    <n v="0"/>
    <n v="0"/>
    <n v="0"/>
    <n v="264"/>
    <n v="0"/>
  </r>
  <r>
    <x v="8"/>
    <x v="1"/>
    <x v="0"/>
    <s v="2303200"/>
    <n v="741012"/>
    <s v="Physician Liab Insurance-CHI Program"/>
    <s v="Port Orchard-Fam Med"/>
    <x v="0"/>
    <m/>
    <n v="767.34"/>
    <n v="767.34"/>
    <n v="426.3"/>
    <n v="426.3"/>
    <n v="2320.96"/>
    <n v="805.23"/>
    <n v="805.24"/>
    <n v="805.23"/>
    <n v="805.24"/>
    <n v="805.23"/>
    <n v="805.24"/>
    <n v="805.23"/>
    <n v="10344.879999999997"/>
    <n v="9.9999999999909051E-3"/>
  </r>
  <r>
    <x v="0"/>
    <x v="1"/>
    <x v="0"/>
    <s v="2303200"/>
    <n v="743022"/>
    <s v="Dues-Physician"/>
    <s v="Port Orchard-Fam Med"/>
    <x v="0"/>
    <m/>
    <n v="0"/>
    <n v="0"/>
    <n v="0"/>
    <n v="0"/>
    <n v="1402"/>
    <n v="0"/>
    <n v="0"/>
    <n v="1660"/>
    <n v="0"/>
    <n v="0"/>
    <n v="0"/>
    <n v="0"/>
    <n v="3062"/>
    <n v="0"/>
  </r>
  <r>
    <x v="0"/>
    <x v="1"/>
    <x v="0"/>
    <s v="2303200"/>
    <n v="743023"/>
    <s v="Dues-Advanced Practice Clinician"/>
    <s v="Port Orchard-Fam Med"/>
    <x v="0"/>
    <m/>
    <n v="195"/>
    <n v="0"/>
    <n v="0"/>
    <n v="0"/>
    <n v="0"/>
    <n v="0"/>
    <n v="0"/>
    <n v="360"/>
    <n v="118.25"/>
    <n v="0"/>
    <n v="0"/>
    <n v="0"/>
    <n v="673.25"/>
    <n v="0"/>
  </r>
  <r>
    <x v="0"/>
    <x v="1"/>
    <x v="0"/>
    <s v="2303200"/>
    <n v="743042"/>
    <s v="Subscriptions-Physician"/>
    <s v="Port Orchard-Fam Med"/>
    <x v="0"/>
    <m/>
    <n v="0"/>
    <n v="0"/>
    <n v="0"/>
    <n v="0"/>
    <n v="0"/>
    <n v="0"/>
    <n v="0"/>
    <n v="0"/>
    <n v="1031"/>
    <n v="0"/>
    <n v="0"/>
    <n v="0"/>
    <n v="1031"/>
    <n v="0"/>
  </r>
  <r>
    <x v="0"/>
    <x v="1"/>
    <x v="0"/>
    <s v="2303200"/>
    <n v="743043"/>
    <s v="Subscriptions-Advanced Practice Clinician"/>
    <s v="Port Orchard-Fam Med"/>
    <x v="0"/>
    <m/>
    <n v="0"/>
    <n v="0"/>
    <n v="0"/>
    <n v="0"/>
    <n v="0"/>
    <n v="0"/>
    <n v="0"/>
    <n v="0"/>
    <n v="1374.14"/>
    <n v="0"/>
    <n v="0"/>
    <n v="0"/>
    <n v="1374.14"/>
    <n v="0"/>
  </r>
  <r>
    <x v="0"/>
    <x v="1"/>
    <x v="0"/>
    <s v="2303200"/>
    <n v="749510"/>
    <s v="Miscellaneous Expenses"/>
    <s v="Port Orchard-Fam Med"/>
    <x v="0"/>
    <m/>
    <n v="-526.6"/>
    <n v="289.88"/>
    <n v="-289.88"/>
    <n v="120"/>
    <n v="-123.27"/>
    <n v="31.6"/>
    <n v="42.54"/>
    <n v="52.85"/>
    <n v="-160.79"/>
    <n v="97.94"/>
    <n v="-97.94"/>
    <n v="69.599999999999994"/>
    <n v="-494.06999999999994"/>
    <n v="-167.54"/>
  </r>
  <r>
    <x v="0"/>
    <x v="1"/>
    <x v="0"/>
    <s v="2303200"/>
    <n v="749512"/>
    <s v="Licenses-Physician"/>
    <s v="Port Orchard-Fam Med"/>
    <x v="0"/>
    <n v="2000"/>
    <n v="0"/>
    <n v="0"/>
    <n v="0"/>
    <n v="0"/>
    <n v="0"/>
    <n v="400"/>
    <n v="0"/>
    <n v="0"/>
    <n v="0"/>
    <n v="0"/>
    <n v="0"/>
    <n v="0"/>
    <n v="400"/>
    <n v="0"/>
  </r>
  <r>
    <x v="0"/>
    <x v="1"/>
    <x v="0"/>
    <s v="2303200"/>
    <n v="749513"/>
    <s v="Licenses-Advanced Practice Clinician"/>
    <s v="Port Orchard-Fam Med"/>
    <x v="0"/>
    <n v="2000"/>
    <n v="0"/>
    <n v="0"/>
    <n v="250"/>
    <n v="0"/>
    <n v="120"/>
    <n v="0"/>
    <n v="0"/>
    <n v="0"/>
    <n v="245"/>
    <n v="0"/>
    <n v="0"/>
    <n v="0"/>
    <n v="615"/>
    <n v="0"/>
  </r>
  <r>
    <x v="0"/>
    <x v="1"/>
    <x v="0"/>
    <s v="2303200"/>
    <n v="749530"/>
    <s v="Travel"/>
    <s v="Port Orchard-Fam Med"/>
    <x v="0"/>
    <m/>
    <n v="12"/>
    <n v="114.75"/>
    <n v="17"/>
    <n v="53"/>
    <n v="0"/>
    <n v="6"/>
    <n v="0"/>
    <n v="0"/>
    <n v="30"/>
    <n v="11"/>
    <n v="0"/>
    <n v="0"/>
    <n v="243.75"/>
    <n v="0"/>
  </r>
  <r>
    <x v="0"/>
    <x v="1"/>
    <x v="0"/>
    <s v="2303200"/>
    <n v="749530"/>
    <s v="Mileage"/>
    <s v="Port Orchard-Fam Med"/>
    <x v="0"/>
    <n v="1001"/>
    <n v="55.6"/>
    <n v="27.8"/>
    <n v="166.77"/>
    <n v="278.54000000000002"/>
    <n v="67.040000000000006"/>
    <n v="27.8"/>
    <n v="28"/>
    <n v="65.400000000000006"/>
    <n v="178.64"/>
    <n v="68.44"/>
    <n v="0"/>
    <n v="85.26"/>
    <n v="1049.29"/>
    <n v="-85.26"/>
  </r>
  <r>
    <x v="0"/>
    <x v="1"/>
    <x v="0"/>
    <s v="2303200"/>
    <n v="749532"/>
    <s v="Travel-Physician"/>
    <s v="Port Orchard-Fam Med"/>
    <x v="0"/>
    <m/>
    <n v="0"/>
    <n v="0"/>
    <n v="1919"/>
    <n v="0"/>
    <n v="173.3"/>
    <n v="0"/>
    <n v="0"/>
    <n v="0"/>
    <n v="0"/>
    <n v="0"/>
    <n v="12"/>
    <n v="0"/>
    <n v="2104.3000000000002"/>
    <n v="12"/>
  </r>
  <r>
    <x v="0"/>
    <x v="1"/>
    <x v="0"/>
    <s v="2303200"/>
    <n v="749532"/>
    <s v="Vehicle Expense-Physician"/>
    <s v="Port Orchard-Fam Med"/>
    <x v="0"/>
    <n v="2001"/>
    <n v="0"/>
    <n v="0"/>
    <n v="0"/>
    <n v="0"/>
    <n v="679.21"/>
    <n v="54.53"/>
    <n v="0"/>
    <n v="0"/>
    <n v="0"/>
    <n v="0"/>
    <n v="356.7"/>
    <n v="0"/>
    <n v="1090.44"/>
    <n v="356.7"/>
  </r>
  <r>
    <x v="0"/>
    <x v="1"/>
    <x v="0"/>
    <s v="2303200"/>
    <n v="749533"/>
    <s v="Travel-Advanced Practice Clinician"/>
    <s v="Port Orchard-Fam Med"/>
    <x v="0"/>
    <m/>
    <n v="0"/>
    <n v="460.68"/>
    <n v="0"/>
    <n v="0"/>
    <n v="0"/>
    <n v="0"/>
    <n v="0"/>
    <n v="0"/>
    <n v="0"/>
    <n v="0"/>
    <n v="0"/>
    <n v="0"/>
    <n v="460.68"/>
    <n v="0"/>
  </r>
  <r>
    <x v="0"/>
    <x v="1"/>
    <x v="0"/>
    <s v="2303200"/>
    <n v="766010"/>
    <s v="Property Tax"/>
    <s v="Port Orchard-Fam Med"/>
    <x v="0"/>
    <m/>
    <n v="0"/>
    <n v="723.22"/>
    <n v="361.61"/>
    <n v="-1084.83"/>
    <n v="0"/>
    <n v="0"/>
    <n v="0"/>
    <n v="0"/>
    <n v="0"/>
    <n v="844.78"/>
    <n v="-1958.46"/>
    <n v="211.19"/>
    <n v="-902.49"/>
    <n v="-2169.65"/>
  </r>
  <r>
    <x v="9"/>
    <x v="1"/>
    <x v="0"/>
    <s v="2303200"/>
    <n v="800015"/>
    <s v="Interest Income-Ext to CHI"/>
    <s v="Port Orchard-Fam Med"/>
    <x v="0"/>
    <m/>
    <n v="0"/>
    <n v="0"/>
    <n v="-7.89"/>
    <n v="-14.65"/>
    <n v="-14.74"/>
    <n v="-13.37"/>
    <n v="-19.670000000000002"/>
    <n v="-25.26"/>
    <n v="-26.64"/>
    <n v="-24.49"/>
    <n v="-23.99"/>
    <n v="-21.92"/>
    <n v="-192.62"/>
    <n v="-2.0699999999999967"/>
  </r>
  <r>
    <x v="1"/>
    <x v="1"/>
    <x v="0"/>
    <s v="2304200"/>
    <n v="400029"/>
    <s v="MD Practice Other Rev--Medicare"/>
    <s v="Port Orchard-Int Med"/>
    <x v="0"/>
    <n v="1100"/>
    <n v="-3269"/>
    <n v="-2949"/>
    <n v="-4705"/>
    <n v="-5172"/>
    <n v="-5093"/>
    <n v="-3476"/>
    <n v="-5991"/>
    <n v="-3099"/>
    <n v="-6297"/>
    <n v="-4636"/>
    <n v="-5886"/>
    <n v="-6099"/>
    <n v="-56672"/>
    <n v="213"/>
  </r>
  <r>
    <x v="1"/>
    <x v="1"/>
    <x v="0"/>
    <s v="2304200"/>
    <n v="400029"/>
    <s v="MD Practice Other Rev--Medicaid"/>
    <s v="Port Orchard-Int Med"/>
    <x v="0"/>
    <n v="1200"/>
    <n v="-1085"/>
    <n v="-2009"/>
    <n v="-1719"/>
    <n v="-2208"/>
    <n v="-3082"/>
    <n v="-1767"/>
    <n v="-2597"/>
    <n v="-2407"/>
    <n v="-3592"/>
    <n v="-2874"/>
    <n v="-2436"/>
    <n v="-2021"/>
    <n v="-27797"/>
    <n v="-415"/>
  </r>
  <r>
    <x v="1"/>
    <x v="1"/>
    <x v="0"/>
    <s v="2304200"/>
    <n v="400029"/>
    <s v="MD Practice Other Rev--Comm Insurance"/>
    <s v="Port Orchard-Int Med"/>
    <x v="0"/>
    <n v="1300"/>
    <n v="-193"/>
    <n v="-229"/>
    <n v="0"/>
    <n v="-113"/>
    <n v="-82"/>
    <n v="-201"/>
    <n v="-365"/>
    <n v="-33"/>
    <n v="-827"/>
    <n v="-266"/>
    <n v="-203"/>
    <n v="-247"/>
    <n v="-2759"/>
    <n v="44"/>
  </r>
  <r>
    <x v="1"/>
    <x v="1"/>
    <x v="0"/>
    <s v="2304200"/>
    <n v="400029"/>
    <s v="MD Practice Other Rev--BCBS Comm"/>
    <s v="Port Orchard-Int Med"/>
    <x v="0"/>
    <n v="1301"/>
    <n v="-369"/>
    <n v="-672"/>
    <n v="-634"/>
    <n v="-978"/>
    <n v="-989"/>
    <n v="-714"/>
    <n v="-780"/>
    <n v="-1032"/>
    <n v="-795"/>
    <n v="-699"/>
    <n v="-2050"/>
    <n v="-653"/>
    <n v="-10365"/>
    <n v="-1397"/>
  </r>
  <r>
    <x v="1"/>
    <x v="1"/>
    <x v="0"/>
    <s v="2304200"/>
    <n v="400029"/>
    <s v="MD Practice Other Rev--Managed Care"/>
    <s v="Port Orchard-Int Med"/>
    <x v="0"/>
    <n v="1400"/>
    <n v="-1478"/>
    <n v="-1964"/>
    <n v="-1390"/>
    <n v="-1811"/>
    <n v="-2419"/>
    <n v="-1677"/>
    <n v="-3200"/>
    <n v="-1930"/>
    <n v="-2179"/>
    <n v="-1773"/>
    <n v="-2790"/>
    <n v="-2528"/>
    <n v="-25139"/>
    <n v="-262"/>
  </r>
  <r>
    <x v="1"/>
    <x v="1"/>
    <x v="0"/>
    <s v="2304200"/>
    <n v="400029"/>
    <s v="MD Practice Other Rev--Self Pay"/>
    <s v="Port Orchard-Int Med"/>
    <x v="0"/>
    <n v="1500"/>
    <n v="-68"/>
    <n v="-167"/>
    <n v="113"/>
    <n v="0"/>
    <n v="-106"/>
    <n v="-170"/>
    <n v="-33"/>
    <n v="-126"/>
    <n v="-109"/>
    <n v="-87"/>
    <n v="-47"/>
    <n v="0"/>
    <n v="-800"/>
    <n v="-47"/>
  </r>
  <r>
    <x v="1"/>
    <x v="1"/>
    <x v="0"/>
    <s v="2304200"/>
    <n v="400029"/>
    <s v="MD Practice Other Rev--Other"/>
    <s v="Port Orchard-Int Med"/>
    <x v="0"/>
    <n v="1700"/>
    <n v="-733"/>
    <n v="-823"/>
    <n v="-75"/>
    <n v="-1243"/>
    <n v="-696"/>
    <n v="-793"/>
    <n v="-590"/>
    <n v="-362"/>
    <n v="-858"/>
    <n v="-1101"/>
    <n v="-794"/>
    <n v="-621"/>
    <n v="-8689"/>
    <n v="-173"/>
  </r>
  <r>
    <x v="1"/>
    <x v="1"/>
    <x v="0"/>
    <s v="2304200"/>
    <n v="400040"/>
    <s v="Physician Svcs Rev--Medicare"/>
    <s v="Port Orchard-Int Med"/>
    <x v="0"/>
    <n v="1100"/>
    <n v="-142746"/>
    <n v="-145731"/>
    <n v="-89274"/>
    <n v="-216172"/>
    <n v="-142982"/>
    <n v="-83427"/>
    <n v="-132800"/>
    <n v="-121024"/>
    <n v="-148416.75"/>
    <n v="-141002"/>
    <n v="-153492"/>
    <n v="-116392"/>
    <n v="-1633458.75"/>
    <n v="-37100"/>
  </r>
  <r>
    <x v="1"/>
    <x v="1"/>
    <x v="0"/>
    <s v="2304200"/>
    <n v="400040"/>
    <s v="Physician Svcs Rev--Medicaid"/>
    <s v="Port Orchard-Int Med"/>
    <x v="0"/>
    <n v="1200"/>
    <n v="-40607"/>
    <n v="-49231.44"/>
    <n v="-34914.01"/>
    <n v="-45972.31"/>
    <n v="-35588.26"/>
    <n v="-23812"/>
    <n v="-46898.87"/>
    <n v="-34636"/>
    <n v="-30780.19"/>
    <n v="-34352.47"/>
    <n v="-35823.089999999997"/>
    <n v="-28266.98"/>
    <n v="-440882.62"/>
    <n v="-7556.1099999999969"/>
  </r>
  <r>
    <x v="1"/>
    <x v="1"/>
    <x v="0"/>
    <s v="2304200"/>
    <n v="400040"/>
    <s v="Physician Svcs Rev--Comm Insurance"/>
    <s v="Port Orchard-Int Med"/>
    <x v="0"/>
    <n v="1300"/>
    <n v="-4351"/>
    <n v="-5509"/>
    <n v="-5891"/>
    <n v="-5326"/>
    <n v="-3406"/>
    <n v="-4271"/>
    <n v="-6133"/>
    <n v="-5272"/>
    <n v="-8584"/>
    <n v="-3237"/>
    <n v="-5463"/>
    <n v="-781"/>
    <n v="-58224"/>
    <n v="-4682"/>
  </r>
  <r>
    <x v="1"/>
    <x v="1"/>
    <x v="0"/>
    <s v="2304200"/>
    <n v="400040"/>
    <s v="Physician Svcs Rev--BCBS Comm"/>
    <s v="Port Orchard-Int Med"/>
    <x v="0"/>
    <n v="1301"/>
    <n v="-13565"/>
    <n v="-19049"/>
    <n v="-11409"/>
    <n v="-22998"/>
    <n v="-18289"/>
    <n v="-9505"/>
    <n v="-15742"/>
    <n v="-11535"/>
    <n v="-14147"/>
    <n v="-20594"/>
    <n v="-18302"/>
    <n v="-8349"/>
    <n v="-183484"/>
    <n v="-9953"/>
  </r>
  <r>
    <x v="1"/>
    <x v="1"/>
    <x v="0"/>
    <s v="2304200"/>
    <n v="400040"/>
    <s v="Physician Svcs Rev--Managed Care"/>
    <s v="Port Orchard-Int Med"/>
    <x v="0"/>
    <n v="1400"/>
    <n v="-71637.5"/>
    <n v="-14321"/>
    <n v="-30774"/>
    <n v="-59019"/>
    <n v="-36849"/>
    <n v="-29907"/>
    <n v="-43752.5"/>
    <n v="-37992.5"/>
    <n v="-39573.5"/>
    <n v="-34147.5"/>
    <n v="-43964"/>
    <n v="-30106"/>
    <n v="-472043.5"/>
    <n v="-13858"/>
  </r>
  <r>
    <x v="1"/>
    <x v="1"/>
    <x v="0"/>
    <s v="2304200"/>
    <n v="400040"/>
    <s v="Physician Svcs Rev--Self Pay"/>
    <s v="Port Orchard-Int Med"/>
    <x v="0"/>
    <n v="1500"/>
    <n v="-2108"/>
    <n v="-1254"/>
    <n v="-2155"/>
    <n v="-1807"/>
    <n v="-796"/>
    <n v="-1894"/>
    <n v="-2580"/>
    <n v="-895"/>
    <n v="-2350"/>
    <n v="-2491"/>
    <n v="-2144"/>
    <n v="-1191"/>
    <n v="-21665"/>
    <n v="-953"/>
  </r>
  <r>
    <x v="1"/>
    <x v="1"/>
    <x v="0"/>
    <s v="2304200"/>
    <n v="400040"/>
    <s v="Physician Svcs Rev--Other"/>
    <s v="Port Orchard-Int Med"/>
    <x v="0"/>
    <n v="1700"/>
    <n v="-46040"/>
    <n v="230"/>
    <n v="-14284.26"/>
    <n v="-22210"/>
    <n v="10139"/>
    <n v="-7684"/>
    <n v="-18411"/>
    <n v="-17689"/>
    <n v="-16748"/>
    <n v="-18427.5"/>
    <n v="-20280.5"/>
    <n v="-13101"/>
    <n v="-184506.26"/>
    <n v="-7179.5"/>
  </r>
  <r>
    <x v="2"/>
    <x v="1"/>
    <x v="0"/>
    <s v="2304200"/>
    <n v="450029"/>
    <s v="Contr Allow--MD Other-Medicare"/>
    <s v="Port Orchard-Int Med"/>
    <x v="0"/>
    <n v="1100"/>
    <n v="2399.58"/>
    <n v="2130.5700000000002"/>
    <n v="2227.75"/>
    <n v="3887.13"/>
    <n v="3357.57"/>
    <n v="2312.13"/>
    <n v="3769.97"/>
    <n v="2277.3000000000002"/>
    <n v="2648.96"/>
    <n v="3879.38"/>
    <n v="3430.37"/>
    <n v="3264.94"/>
    <n v="35585.65"/>
    <n v="165.42999999999984"/>
  </r>
  <r>
    <x v="2"/>
    <x v="1"/>
    <x v="0"/>
    <s v="2304200"/>
    <n v="450029"/>
    <s v="Contr Allow--MD Other-Medicaid"/>
    <s v="Port Orchard-Int Med"/>
    <x v="0"/>
    <n v="1200"/>
    <n v="1168.5999999999999"/>
    <n v="972.63"/>
    <n v="1279.74"/>
    <n v="1819.28"/>
    <n v="1381.9"/>
    <n v="1255.52"/>
    <n v="2592.58"/>
    <n v="1681.47"/>
    <n v="2141.52"/>
    <n v="1963.4"/>
    <n v="2808.24"/>
    <n v="921.26"/>
    <n v="19986.139999999996"/>
    <n v="1886.9799999999998"/>
  </r>
  <r>
    <x v="2"/>
    <x v="1"/>
    <x v="0"/>
    <s v="2304200"/>
    <n v="450029"/>
    <s v="Contr Allow--MD Other-Comm Insurance"/>
    <s v="Port Orchard-Int Med"/>
    <x v="0"/>
    <n v="1300"/>
    <n v="27.93"/>
    <n v="67.260000000000005"/>
    <n v="64.94"/>
    <n v="42.43"/>
    <n v="36.03"/>
    <n v="34.340000000000003"/>
    <n v="117.2"/>
    <n v="141.44"/>
    <n v="61.34"/>
    <n v="209.11"/>
    <n v="192.62"/>
    <n v="154.41999999999999"/>
    <n v="1149.06"/>
    <n v="38.200000000000017"/>
  </r>
  <r>
    <x v="2"/>
    <x v="1"/>
    <x v="0"/>
    <s v="2304200"/>
    <n v="450029"/>
    <s v="Contr Allow--MD Other BCBS Comm"/>
    <s v="Port Orchard-Int Med"/>
    <x v="0"/>
    <n v="1301"/>
    <n v="195.71"/>
    <n v="231.38"/>
    <n v="182.93"/>
    <n v="223.06"/>
    <n v="255.92"/>
    <n v="323.33"/>
    <n v="233.55"/>
    <n v="209.47"/>
    <n v="406.15"/>
    <n v="191.98"/>
    <n v="816.7"/>
    <n v="266.63"/>
    <n v="3536.8100000000004"/>
    <n v="550.07000000000005"/>
  </r>
  <r>
    <x v="2"/>
    <x v="1"/>
    <x v="0"/>
    <s v="2304200"/>
    <n v="450029"/>
    <s v="Contr Allow--MD Other-Managed Care"/>
    <s v="Port Orchard-Int Med"/>
    <x v="0"/>
    <n v="1400"/>
    <n v="551.67999999999995"/>
    <n v="865.11"/>
    <n v="509.67"/>
    <n v="730.82"/>
    <n v="995.75"/>
    <n v="266.10000000000002"/>
    <n v="983.14"/>
    <n v="1266.07"/>
    <n v="891.4"/>
    <n v="742.63"/>
    <n v="1239.8499999999999"/>
    <n v="1062.8"/>
    <n v="10105.019999999999"/>
    <n v="177.04999999999995"/>
  </r>
  <r>
    <x v="2"/>
    <x v="1"/>
    <x v="0"/>
    <s v="2304200"/>
    <n v="450029"/>
    <s v="Admin Adjust-MD Other-Self Pay"/>
    <s v="Port Orchard-Int Med"/>
    <x v="0"/>
    <n v="1600"/>
    <n v="26.79"/>
    <n v="101.16"/>
    <n v="31.45"/>
    <n v="38.090000000000003"/>
    <n v="58.59"/>
    <n v="70.27"/>
    <n v="24.55"/>
    <n v="110.22"/>
    <n v="41.65"/>
    <n v="111.07"/>
    <n v="12.04"/>
    <n v="-4.74"/>
    <n v="621.13999999999987"/>
    <n v="16.78"/>
  </r>
  <r>
    <x v="2"/>
    <x v="1"/>
    <x v="0"/>
    <s v="2304200"/>
    <n v="450029"/>
    <s v="Contr Allow--MD Other-Other"/>
    <s v="Port Orchard-Int Med"/>
    <x v="0"/>
    <n v="1700"/>
    <n v="348.81"/>
    <n v="527.49"/>
    <n v="615.70000000000005"/>
    <n v="480.05"/>
    <n v="273.08"/>
    <n v="207.23"/>
    <n v="660.32"/>
    <n v="360.28"/>
    <n v="505.42"/>
    <n v="495.29"/>
    <n v="651.96"/>
    <n v="608.14"/>
    <n v="5733.77"/>
    <n v="43.82000000000005"/>
  </r>
  <r>
    <x v="2"/>
    <x v="1"/>
    <x v="0"/>
    <s v="2304200"/>
    <n v="450040"/>
    <s v="Contr Allow--Phys Svcs--Mcare"/>
    <s v="Port Orchard-Int Med"/>
    <x v="0"/>
    <n v="1100"/>
    <n v="71251.98"/>
    <n v="99385.36"/>
    <n v="72328.929999999993"/>
    <n v="115103.07"/>
    <n v="97591.99"/>
    <n v="61032.83"/>
    <n v="74730.289999999994"/>
    <n v="61976.81"/>
    <n v="83551.44"/>
    <n v="105746.51"/>
    <n v="90827.7"/>
    <n v="79893.259999999995"/>
    <n v="1013420.1699999999"/>
    <n v="10934.440000000002"/>
  </r>
  <r>
    <x v="2"/>
    <x v="1"/>
    <x v="0"/>
    <s v="2304200"/>
    <n v="450040"/>
    <s v="Contr Allow--Phys Svcs--Mcaid"/>
    <s v="Port Orchard-Int Med"/>
    <x v="0"/>
    <n v="1200"/>
    <n v="32993.620000000003"/>
    <n v="39272.080000000002"/>
    <n v="32627.58"/>
    <n v="39261.620000000003"/>
    <n v="19438.3"/>
    <n v="12164.36"/>
    <n v="32619.65"/>
    <n v="21379.54"/>
    <n v="24574.79"/>
    <n v="22324.55"/>
    <n v="31465.64"/>
    <n v="27586.84"/>
    <n v="335708.57000000007"/>
    <n v="3878.7999999999993"/>
  </r>
  <r>
    <x v="2"/>
    <x v="1"/>
    <x v="0"/>
    <s v="2304200"/>
    <n v="450040"/>
    <s v="Contr Allow--Phys Svcs--Comm Insurance"/>
    <s v="Port Orchard-Int Med"/>
    <x v="0"/>
    <n v="1300"/>
    <n v="2113.89"/>
    <n v="1904.09"/>
    <n v="1664.01"/>
    <n v="2472.79"/>
    <n v="1568.72"/>
    <n v="903.95"/>
    <n v="734.45"/>
    <n v="2273.35"/>
    <n v="1227.47"/>
    <n v="2956.01"/>
    <n v="2395.98"/>
    <n v="779.98"/>
    <n v="20994.690000000002"/>
    <n v="1616"/>
  </r>
  <r>
    <x v="2"/>
    <x v="1"/>
    <x v="0"/>
    <s v="2304200"/>
    <n v="450040"/>
    <s v="Contr Allow--Phys Svcs--BCBS Comm Ins"/>
    <s v="Port Orchard-Int Med"/>
    <x v="0"/>
    <n v="1301"/>
    <n v="3687.59"/>
    <n v="7323.65"/>
    <n v="3751.81"/>
    <n v="6047.66"/>
    <n v="5665.54"/>
    <n v="4551.78"/>
    <n v="2408.3200000000002"/>
    <n v="2815.88"/>
    <n v="4023.53"/>
    <n v="7103.65"/>
    <n v="5503.53"/>
    <n v="4128.8900000000003"/>
    <n v="57011.829999999994"/>
    <n v="1374.6399999999994"/>
  </r>
  <r>
    <x v="2"/>
    <x v="1"/>
    <x v="0"/>
    <s v="2304200"/>
    <n v="450040"/>
    <s v="Contr Allow--Phys Svcs--Managed Care"/>
    <s v="Port Orchard-Int Med"/>
    <x v="0"/>
    <n v="1400"/>
    <n v="12034.38"/>
    <n v="22408.97"/>
    <n v="13273.04"/>
    <n v="22997.57"/>
    <n v="17426.490000000002"/>
    <n v="2982.74"/>
    <n v="21246.7"/>
    <n v="13284.13"/>
    <n v="14304.93"/>
    <n v="18294.2"/>
    <n v="20228.41"/>
    <n v="10649.51"/>
    <n v="189131.07000000004"/>
    <n v="9578.9"/>
  </r>
  <r>
    <x v="2"/>
    <x v="1"/>
    <x v="0"/>
    <s v="2304200"/>
    <n v="450040"/>
    <s v="Contr Allow--Phys Svcs--BCBS Mgnd Care"/>
    <s v="Port Orchard-Int Med"/>
    <x v="0"/>
    <n v="1401"/>
    <n v="45578.080000000002"/>
    <n v="-64779.49"/>
    <n v="-16202.36"/>
    <n v="18453.86"/>
    <n v="-10090.99"/>
    <n v="3660.74"/>
    <n v="21085"/>
    <n v="24383.94"/>
    <n v="16136.78"/>
    <n v="-29185.26"/>
    <n v="-1696.34"/>
    <n v="-14048.49"/>
    <n v="-6704.5299999999934"/>
    <n v="12352.15"/>
  </r>
  <r>
    <x v="2"/>
    <x v="1"/>
    <x v="0"/>
    <s v="2304200"/>
    <n v="450040"/>
    <s v="Admin Adjust-Phys Svcs-Self Pay"/>
    <s v="Port Orchard-Int Med"/>
    <x v="0"/>
    <n v="1600"/>
    <n v="641.05999999999995"/>
    <n v="791.92"/>
    <n v="982.11"/>
    <n v="1171.5999999999999"/>
    <n v="118.49"/>
    <n v="1197.18"/>
    <n v="1213.25"/>
    <n v="684.17"/>
    <n v="1130.76"/>
    <n v="14474.26"/>
    <n v="1013.73"/>
    <n v="385.87"/>
    <n v="23804.399999999998"/>
    <n v="627.86"/>
  </r>
  <r>
    <x v="2"/>
    <x v="1"/>
    <x v="0"/>
    <s v="2304200"/>
    <n v="450040"/>
    <s v="Contr Allow--Phys Svcs--Other"/>
    <s v="Port Orchard-Int Med"/>
    <x v="0"/>
    <n v="1700"/>
    <n v="11901.8"/>
    <n v="38529.61"/>
    <n v="4089.66"/>
    <n v="12063.42"/>
    <n v="-45.86"/>
    <n v="1788.84"/>
    <n v="4121.29"/>
    <n v="7987.21"/>
    <n v="10219.030000000001"/>
    <n v="12788.04"/>
    <n v="15510.54"/>
    <n v="10893.95"/>
    <n v="129847.53000000001"/>
    <n v="4616.59"/>
  </r>
  <r>
    <x v="3"/>
    <x v="1"/>
    <x v="0"/>
    <s v="2304200"/>
    <n v="470040"/>
    <s v="Charity Care-Physician Svcs"/>
    <s v="Port Orchard-Int Med"/>
    <x v="0"/>
    <m/>
    <n v="1511.49"/>
    <n v="1347.45"/>
    <n v="-216.98"/>
    <n v="938.46"/>
    <n v="603.53"/>
    <n v="543.52"/>
    <n v="1052.0899999999999"/>
    <n v="581.53"/>
    <n v="2774.19"/>
    <n v="34.81"/>
    <n v="-79.89"/>
    <n v="1465.55"/>
    <n v="10555.749999999998"/>
    <n v="-1545.44"/>
  </r>
  <r>
    <x v="4"/>
    <x v="1"/>
    <x v="0"/>
    <s v="2304200"/>
    <n v="490010"/>
    <s v="Provision for Bad Debts"/>
    <s v="Port Orchard-Int Med"/>
    <x v="0"/>
    <m/>
    <n v="8453.7900000000009"/>
    <n v="-9238.1200000000008"/>
    <n v="4566.78"/>
    <n v="5499.42"/>
    <n v="2350.38"/>
    <n v="1813.71"/>
    <n v="2304.89"/>
    <n v="2702.97"/>
    <n v="2695.33"/>
    <n v="-1275.28"/>
    <n v="-313.91000000000003"/>
    <n v="1328.32"/>
    <n v="20888.280000000002"/>
    <n v="-1642.23"/>
  </r>
  <r>
    <x v="5"/>
    <x v="1"/>
    <x v="0"/>
    <s v="2304200"/>
    <n v="700018"/>
    <s v="Salaries-Supervisory-Productive"/>
    <s v="Port Orchard-Int Med"/>
    <x v="0"/>
    <m/>
    <n v="0"/>
    <n v="0"/>
    <n v="2433.6"/>
    <n v="-540.79999999999995"/>
    <n v="0"/>
    <n v="1028.5999999999999"/>
    <n v="2575.37"/>
    <n v="-386.28"/>
    <n v="3219.1"/>
    <n v="-643.82000000000005"/>
    <n v="2575.2800000000002"/>
    <n v="965.73"/>
    <n v="11226.78"/>
    <n v="1609.5500000000002"/>
  </r>
  <r>
    <x v="5"/>
    <x v="1"/>
    <x v="0"/>
    <s v="2304200"/>
    <n v="700022"/>
    <s v="Salaries-Physician-Productive"/>
    <s v="Port Orchard-Int Med"/>
    <x v="0"/>
    <m/>
    <n v="68250.69"/>
    <n v="79543.12"/>
    <n v="38221.08"/>
    <n v="87630.7"/>
    <n v="45033.96"/>
    <n v="34465.19"/>
    <n v="58400.99"/>
    <n v="46064.29"/>
    <n v="49093.93"/>
    <n v="53430.44"/>
    <n v="59928.22"/>
    <n v="29600.639999999999"/>
    <n v="649663.25"/>
    <n v="30327.58"/>
  </r>
  <r>
    <x v="5"/>
    <x v="1"/>
    <x v="0"/>
    <s v="2304200"/>
    <n v="700022"/>
    <s v="Salaries-Physician-Other"/>
    <s v="Port Orchard-Int Med"/>
    <x v="0"/>
    <n v="2000"/>
    <n v="0"/>
    <n v="0"/>
    <n v="0"/>
    <n v="0"/>
    <n v="0"/>
    <n v="0"/>
    <n v="0"/>
    <n v="2402.9299999999998"/>
    <n v="0"/>
    <n v="0"/>
    <n v="0"/>
    <n v="0"/>
    <n v="2402.9299999999998"/>
    <n v="0"/>
  </r>
  <r>
    <x v="5"/>
    <x v="1"/>
    <x v="0"/>
    <s v="2304200"/>
    <n v="700022"/>
    <s v="Salaries-Physician-Recruitment Bonus"/>
    <s v="Port Orchard-Int Med"/>
    <x v="0"/>
    <n v="4005"/>
    <n v="0"/>
    <n v="0"/>
    <n v="0"/>
    <n v="-460.28"/>
    <n v="0"/>
    <n v="0"/>
    <n v="0"/>
    <n v="0"/>
    <n v="0"/>
    <n v="0"/>
    <n v="0"/>
    <n v="0"/>
    <n v="-460.28"/>
    <n v="0"/>
  </r>
  <r>
    <x v="5"/>
    <x v="1"/>
    <x v="0"/>
    <s v="2304200"/>
    <n v="700026"/>
    <s v="Salaries-RN-Productive"/>
    <s v="Port Orchard-Int Med"/>
    <x v="0"/>
    <m/>
    <n v="10236.379999999999"/>
    <n v="9931.4"/>
    <n v="9047.74"/>
    <n v="10178.77"/>
    <n v="10389.959999999999"/>
    <n v="8526.2099999999991"/>
    <n v="11348.34"/>
    <n v="8611.61"/>
    <n v="9111.7999999999993"/>
    <n v="11208.59"/>
    <n v="11787.76"/>
    <n v="7817.15"/>
    <n v="118195.70999999998"/>
    <n v="3970.6100000000006"/>
  </r>
  <r>
    <x v="5"/>
    <x v="1"/>
    <x v="0"/>
    <s v="2304200"/>
    <n v="700026"/>
    <s v="Salaries-RN-OT"/>
    <s v="Port Orchard-Int Med"/>
    <x v="0"/>
    <n v="1000"/>
    <n v="802.33"/>
    <n v="763.62"/>
    <n v="516.12"/>
    <n v="428.18"/>
    <n v="389.67"/>
    <n v="467.74"/>
    <n v="637.45000000000005"/>
    <n v="-29.64"/>
    <n v="361.76"/>
    <n v="781.56"/>
    <n v="522.69000000000005"/>
    <n v="197.99"/>
    <n v="5839.4699999999993"/>
    <n v="324.70000000000005"/>
  </r>
  <r>
    <x v="5"/>
    <x v="1"/>
    <x v="0"/>
    <s v="2304200"/>
    <n v="700030"/>
    <s v="Salaries-LPN-Productive"/>
    <s v="Port Orchard-Int Med"/>
    <x v="0"/>
    <m/>
    <n v="13527.79"/>
    <n v="15542.51"/>
    <n v="11189.55"/>
    <n v="14711.05"/>
    <n v="13046.56"/>
    <n v="11279.31"/>
    <n v="13668.94"/>
    <n v="10204.44"/>
    <n v="15136.13"/>
    <n v="13214.51"/>
    <n v="14812.06"/>
    <n v="11326.75"/>
    <n v="157659.6"/>
    <n v="3485.3099999999995"/>
  </r>
  <r>
    <x v="5"/>
    <x v="1"/>
    <x v="0"/>
    <s v="2304200"/>
    <n v="700030"/>
    <s v="Salaries-LPN-OT"/>
    <s v="Port Orchard-Int Med"/>
    <x v="0"/>
    <n v="1000"/>
    <n v="1735.08"/>
    <n v="1686.72"/>
    <n v="400.38"/>
    <n v="970.83"/>
    <n v="1559.17"/>
    <n v="409.16"/>
    <n v="1292.83"/>
    <n v="294.18"/>
    <n v="1267.49"/>
    <n v="237.59"/>
    <n v="205.93"/>
    <n v="954.06"/>
    <n v="11013.42"/>
    <n v="-748.12999999999988"/>
  </r>
  <r>
    <x v="5"/>
    <x v="1"/>
    <x v="0"/>
    <s v="2304200"/>
    <n v="700032"/>
    <s v="Salaries-Other Pat Care Providers-Productive"/>
    <s v="Port Orchard-Int Med"/>
    <x v="0"/>
    <m/>
    <n v="3640.3"/>
    <n v="4726.33"/>
    <n v="7619.17"/>
    <n v="7052.07"/>
    <n v="11248.25"/>
    <n v="7723.94"/>
    <n v="9538.67"/>
    <n v="8332.16"/>
    <n v="8518.7800000000007"/>
    <n v="9927.85"/>
    <n v="11073.72"/>
    <n v="6789.11"/>
    <n v="96190.35"/>
    <n v="4284.6099999999997"/>
  </r>
  <r>
    <x v="5"/>
    <x v="1"/>
    <x v="0"/>
    <s v="2304200"/>
    <n v="700032"/>
    <s v="Salaries-Other Pat Care Providers-OT"/>
    <s v="Port Orchard-Int Med"/>
    <x v="0"/>
    <n v="1000"/>
    <n v="17.22"/>
    <n v="219.55"/>
    <n v="-38.74"/>
    <n v="13.81"/>
    <n v="0"/>
    <n v="33.4"/>
    <n v="91.25"/>
    <n v="-11.98"/>
    <n v="38.22"/>
    <n v="148.87"/>
    <n v="-19.440000000000001"/>
    <n v="27.79"/>
    <n v="519.95000000000005"/>
    <n v="-47.230000000000004"/>
  </r>
  <r>
    <x v="5"/>
    <x v="1"/>
    <x v="0"/>
    <s v="2304200"/>
    <n v="700032"/>
    <s v="Salaries-Other Pat Care Providers-Other"/>
    <s v="Port Orchard-Int Med"/>
    <x v="0"/>
    <n v="2000"/>
    <n v="0"/>
    <n v="30"/>
    <n v="0"/>
    <n v="0"/>
    <n v="0"/>
    <n v="0"/>
    <n v="0"/>
    <n v="0"/>
    <n v="0"/>
    <n v="0"/>
    <n v="0"/>
    <n v="0"/>
    <n v="30"/>
    <n v="0"/>
  </r>
  <r>
    <x v="5"/>
    <x v="1"/>
    <x v="0"/>
    <s v="2304200"/>
    <n v="700038"/>
    <s v="Salaries-Service/Support-Productive"/>
    <s v="Port Orchard-Int Med"/>
    <x v="0"/>
    <m/>
    <n v="3365.38"/>
    <n v="3879.26"/>
    <n v="2961.57"/>
    <n v="4026.31"/>
    <n v="2450.98"/>
    <n v="3543.06"/>
    <n v="3848.25"/>
    <n v="2496.91"/>
    <n v="3424.98"/>
    <n v="3912.62"/>
    <n v="3909.94"/>
    <n v="3307.14"/>
    <n v="41126.400000000001"/>
    <n v="602.80000000000018"/>
  </r>
  <r>
    <x v="5"/>
    <x v="1"/>
    <x v="0"/>
    <s v="2304200"/>
    <n v="700038"/>
    <s v="Salaries-Service/Support-OT"/>
    <s v="Port Orchard-Int Med"/>
    <x v="0"/>
    <n v="1000"/>
    <n v="75.83"/>
    <n v="125.58"/>
    <n v="39.5"/>
    <n v="56.92"/>
    <n v="43.93"/>
    <n v="34.97"/>
    <n v="74.13"/>
    <n v="32.57"/>
    <n v="65.989999999999995"/>
    <n v="75.77"/>
    <n v="66.790000000000006"/>
    <n v="81.47"/>
    <n v="773.44999999999993"/>
    <n v="-14.679999999999993"/>
  </r>
  <r>
    <x v="5"/>
    <x v="1"/>
    <x v="0"/>
    <s v="2304200"/>
    <n v="700038"/>
    <s v="Salaries-Service/Support-Other"/>
    <s v="Port Orchard-Int Med"/>
    <x v="0"/>
    <n v="2000"/>
    <n v="0"/>
    <n v="0"/>
    <n v="0"/>
    <n v="0"/>
    <n v="0"/>
    <n v="0"/>
    <n v="0"/>
    <n v="0.7"/>
    <n v="-0.2"/>
    <n v="0"/>
    <n v="0"/>
    <n v="0"/>
    <n v="0.49999999999999994"/>
    <n v="0"/>
  </r>
  <r>
    <x v="5"/>
    <x v="1"/>
    <x v="0"/>
    <s v="2304200"/>
    <n v="700054"/>
    <s v="Salaries-Management-NonProd-Other"/>
    <s v="Port Orchard-Int Med"/>
    <x v="0"/>
    <n v="2000"/>
    <n v="0"/>
    <n v="0"/>
    <n v="0"/>
    <n v="0"/>
    <n v="0"/>
    <n v="276.77999999999997"/>
    <n v="-276.77999999999997"/>
    <n v="0"/>
    <n v="0"/>
    <n v="0"/>
    <n v="0"/>
    <n v="0"/>
    <n v="0"/>
    <n v="0"/>
  </r>
  <r>
    <x v="5"/>
    <x v="1"/>
    <x v="0"/>
    <s v="2304200"/>
    <n v="700062"/>
    <s v="Salaries-Physician-Non-productive"/>
    <s v="Port Orchard-Int Med"/>
    <x v="0"/>
    <m/>
    <n v="9368.7099999999991"/>
    <n v="7161.81"/>
    <n v="31737.33"/>
    <n v="-7178.54"/>
    <n v="8814.56"/>
    <n v="25498.91"/>
    <n v="4421.7299999999996"/>
    <n v="8020.36"/>
    <n v="7789.57"/>
    <n v="6161.73"/>
    <n v="433.9"/>
    <n v="1416.01"/>
    <n v="103646.07999999999"/>
    <n v="-982.11"/>
  </r>
  <r>
    <x v="5"/>
    <x v="1"/>
    <x v="0"/>
    <s v="2304200"/>
    <n v="700066"/>
    <s v="Salaries-RN-Non-productive"/>
    <s v="Port Orchard-Int Med"/>
    <x v="0"/>
    <m/>
    <n v="750.72"/>
    <n v="500.48"/>
    <n v="500.48"/>
    <n v="1933.99"/>
    <n v="1001.03"/>
    <n v="2459.5500000000002"/>
    <n v="734.95"/>
    <n v="990.13"/>
    <n v="2035.56"/>
    <n v="39.35"/>
    <n v="94.94"/>
    <n v="2715.56"/>
    <n v="13756.74"/>
    <n v="-2620.62"/>
  </r>
  <r>
    <x v="5"/>
    <x v="1"/>
    <x v="0"/>
    <s v="2304200"/>
    <n v="700066"/>
    <s v="Salaries-RN-NonProd-Other"/>
    <s v="Port Orchard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4200"/>
    <n v="700070"/>
    <s v="Salaries-LPN-Non-productive"/>
    <s v="Port Orchard-Int Med"/>
    <x v="0"/>
    <m/>
    <n v="1385.97"/>
    <n v="-16.52"/>
    <n v="2503.64"/>
    <n v="1255.71"/>
    <n v="1747.55"/>
    <n v="3595.44"/>
    <n v="1103.5"/>
    <n v="2963.97"/>
    <n v="-447.88"/>
    <n v="1874.74"/>
    <n v="703.97"/>
    <n v="2981.11"/>
    <n v="19651.2"/>
    <n v="-2277.1400000000003"/>
  </r>
  <r>
    <x v="5"/>
    <x v="1"/>
    <x v="0"/>
    <s v="2304200"/>
    <n v="700070"/>
    <s v="Salaries-LPN-NonProd-Other"/>
    <s v="Port Orchard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4200"/>
    <n v="700072"/>
    <s v="Salaries-Other Pat Care Providers-Non-productive"/>
    <s v="Port Orchard-Int Med"/>
    <x v="0"/>
    <m/>
    <n v="603.84"/>
    <n v="529.80999999999995"/>
    <n v="727.36"/>
    <n v="653.62"/>
    <n v="878.84"/>
    <n v="1806.94"/>
    <n v="260.44"/>
    <n v="988.92"/>
    <n v="1533.62"/>
    <n v="530.26"/>
    <n v="-153.55000000000001"/>
    <n v="1316.28"/>
    <n v="9676.380000000001"/>
    <n v="-1469.83"/>
  </r>
  <r>
    <x v="5"/>
    <x v="1"/>
    <x v="0"/>
    <s v="2304200"/>
    <n v="700072"/>
    <s v="Salaries-Other Pat Care Providers-NonProd-Other"/>
    <s v="Port Orchard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4200"/>
    <n v="700078"/>
    <s v="Salaries-Service/Support-Non-productive"/>
    <s v="Port Orchard-Int Med"/>
    <x v="0"/>
    <m/>
    <n v="362.23"/>
    <n v="-4.21"/>
    <n v="421.2"/>
    <n v="-63.18"/>
    <n v="1388.16"/>
    <n v="109.53"/>
    <n v="179.21"/>
    <n v="772.22"/>
    <n v="304.68"/>
    <n v="-84.17"/>
    <n v="92.33"/>
    <n v="173.77"/>
    <n v="3651.7700000000004"/>
    <n v="-81.440000000000012"/>
  </r>
  <r>
    <x v="5"/>
    <x v="1"/>
    <x v="0"/>
    <s v="2304200"/>
    <n v="700078"/>
    <s v="Salaries-Service/Support-NonProd-Other"/>
    <s v="Port Orchard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4200"/>
    <n v="700084"/>
    <s v="Accrued PTO"/>
    <s v="Port Orchard-Int Med"/>
    <x v="0"/>
    <m/>
    <n v="131.63999999999999"/>
    <n v="1825.92"/>
    <n v="-114.06"/>
    <n v="379.62"/>
    <n v="-80.06"/>
    <n v="-3396.76"/>
    <n v="691.24"/>
    <n v="-851.21"/>
    <n v="-190.75"/>
    <n v="816.01"/>
    <n v="2520.3000000000002"/>
    <n v="-908.08"/>
    <n v="823.80999999999983"/>
    <n v="3428.38"/>
  </r>
  <r>
    <x v="6"/>
    <x v="1"/>
    <x v="0"/>
    <s v="2304200"/>
    <n v="713010"/>
    <s v="Benefits-FICA/Medicare"/>
    <s v="Port Orchard-Int Med"/>
    <x v="0"/>
    <m/>
    <n v="5971.32"/>
    <n v="4432.18"/>
    <n v="3834.84"/>
    <n v="4170.54"/>
    <n v="4062.83"/>
    <n v="5721.19"/>
    <n v="8140.1"/>
    <n v="6814.75"/>
    <n v="7588.85"/>
    <n v="7529.89"/>
    <n v="7919.77"/>
    <n v="5069.2700000000004"/>
    <n v="71255.53"/>
    <n v="2850.5"/>
  </r>
  <r>
    <x v="6"/>
    <x v="1"/>
    <x v="0"/>
    <s v="2304200"/>
    <n v="713090"/>
    <s v="Benefits-Allocated Amounts"/>
    <s v="Port Orchard-Int Med"/>
    <x v="0"/>
    <m/>
    <n v="0"/>
    <n v="0"/>
    <n v="0"/>
    <n v="0"/>
    <n v="0"/>
    <n v="201.85"/>
    <n v="-201.85"/>
    <n v="0"/>
    <n v="98485.47"/>
    <n v="11157.14"/>
    <n v="11397.33"/>
    <n v="9666.23"/>
    <n v="130706.17"/>
    <n v="1731.1000000000004"/>
  </r>
  <r>
    <x v="6"/>
    <x v="1"/>
    <x v="0"/>
    <s v="2304200"/>
    <n v="713092"/>
    <s v="Allocated Benefits-Physician"/>
    <s v="Port Orchard-Int Med"/>
    <x v="0"/>
    <m/>
    <n v="15059.8"/>
    <n v="13988.12"/>
    <n v="15461.53"/>
    <n v="15562.37"/>
    <n v="14410.88"/>
    <n v="14949.51"/>
    <n v="17942.36"/>
    <n v="15823.12"/>
    <n v="-81407.960000000006"/>
    <n v="4734.25"/>
    <n v="4836.1499999999996"/>
    <n v="4101.6099999999997"/>
    <n v="55461.739999999983"/>
    <n v="734.54"/>
  </r>
  <r>
    <x v="7"/>
    <x v="1"/>
    <x v="0"/>
    <s v="2304200"/>
    <n v="718040"/>
    <s v="Contract Svcs-Laboratory"/>
    <s v="Port Orchard-Int Med"/>
    <x v="0"/>
    <m/>
    <n v="43"/>
    <n v="0"/>
    <n v="0"/>
    <n v="0"/>
    <n v="0"/>
    <n v="0"/>
    <n v="0"/>
    <n v="0"/>
    <n v="0"/>
    <n v="0"/>
    <n v="0"/>
    <n v="0"/>
    <n v="43"/>
    <n v="0"/>
  </r>
  <r>
    <x v="7"/>
    <x v="1"/>
    <x v="0"/>
    <s v="2304200"/>
    <n v="718050"/>
    <s v="Miscellaneous Purchased Svcs"/>
    <s v="Port Orchard-Int Med"/>
    <x v="0"/>
    <n v="1020"/>
    <n v="17.02"/>
    <n v="-18.239999999999998"/>
    <n v="18.09"/>
    <n v="12.87"/>
    <n v="26.56"/>
    <n v="13.77"/>
    <n v="18.100000000000001"/>
    <n v="16.62"/>
    <n v="23.07"/>
    <n v="1.51"/>
    <n v="29.84"/>
    <n v="19.489999999999998"/>
    <n v="178.7"/>
    <n v="10.350000000000001"/>
  </r>
  <r>
    <x v="0"/>
    <x v="1"/>
    <x v="0"/>
    <s v="2304200"/>
    <n v="740022"/>
    <s v="Education-Physician"/>
    <s v="Port Orchard-Int Med"/>
    <x v="0"/>
    <m/>
    <n v="0"/>
    <n v="0"/>
    <n v="0"/>
    <n v="0"/>
    <n v="0"/>
    <n v="0"/>
    <n v="0"/>
    <n v="0"/>
    <n v="1358"/>
    <n v="0"/>
    <n v="0"/>
    <n v="0"/>
    <n v="1358"/>
    <n v="0"/>
  </r>
  <r>
    <x v="0"/>
    <x v="1"/>
    <x v="0"/>
    <s v="2304200"/>
    <n v="740022"/>
    <s v="Books-Physician"/>
    <s v="Port Orchard-Int Med"/>
    <x v="0"/>
    <n v="2000"/>
    <n v="431.06"/>
    <n v="0"/>
    <n v="0"/>
    <n v="0"/>
    <n v="0"/>
    <n v="0"/>
    <n v="0"/>
    <n v="0"/>
    <n v="0"/>
    <n v="0"/>
    <n v="0"/>
    <n v="0"/>
    <n v="431.06"/>
    <n v="0"/>
  </r>
  <r>
    <x v="8"/>
    <x v="1"/>
    <x v="0"/>
    <s v="2304200"/>
    <n v="741012"/>
    <s v="Physician Liab Insurance-CHI Program"/>
    <s v="Port Orchard-Int Med"/>
    <x v="0"/>
    <m/>
    <n v="2036.77"/>
    <n v="2036.77"/>
    <n v="2036.77"/>
    <n v="2036.77"/>
    <n v="1500.06"/>
    <n v="1657.82"/>
    <n v="1657.84"/>
    <n v="1657.82"/>
    <n v="1657.84"/>
    <n v="1657.82"/>
    <n v="1657.84"/>
    <n v="1143.93"/>
    <n v="20738.05"/>
    <n v="513.90999999999985"/>
  </r>
  <r>
    <x v="0"/>
    <x v="1"/>
    <x v="0"/>
    <s v="2304200"/>
    <n v="743022"/>
    <s v="Dues-Physician"/>
    <s v="Port Orchard-Int Med"/>
    <x v="0"/>
    <m/>
    <n v="260"/>
    <n v="0"/>
    <n v="0"/>
    <n v="0"/>
    <n v="0"/>
    <n v="0"/>
    <n v="0"/>
    <n v="2490"/>
    <n v="0"/>
    <n v="0"/>
    <n v="0"/>
    <n v="0"/>
    <n v="2750"/>
    <n v="0"/>
  </r>
  <r>
    <x v="0"/>
    <x v="1"/>
    <x v="0"/>
    <s v="2304200"/>
    <n v="749510"/>
    <s v="Miscellaneous Expenses"/>
    <s v="Port Orchard-Int Med"/>
    <x v="0"/>
    <m/>
    <n v="-691.06"/>
    <n v="-1496.56"/>
    <n v="0"/>
    <n v="0"/>
    <n v="0"/>
    <n v="0"/>
    <n v="6.96"/>
    <n v="3504.6"/>
    <n v="-3511.56"/>
    <n v="0"/>
    <n v="0"/>
    <n v="585"/>
    <n v="-1602.62"/>
    <n v="-585"/>
  </r>
  <r>
    <x v="0"/>
    <x v="1"/>
    <x v="0"/>
    <s v="2304200"/>
    <n v="749512"/>
    <s v="Licenses-Physician"/>
    <s v="Port Orchard-Int Med"/>
    <x v="0"/>
    <n v="2000"/>
    <n v="0"/>
    <n v="0"/>
    <n v="0"/>
    <n v="0"/>
    <n v="0"/>
    <n v="0"/>
    <n v="0"/>
    <n v="0"/>
    <n v="657"/>
    <n v="0"/>
    <n v="0"/>
    <n v="0"/>
    <n v="657"/>
    <n v="0"/>
  </r>
  <r>
    <x v="0"/>
    <x v="1"/>
    <x v="0"/>
    <s v="2304200"/>
    <n v="749530"/>
    <s v="Travel"/>
    <s v="Port Orchard-Int Med"/>
    <x v="0"/>
    <m/>
    <n v="0"/>
    <n v="0"/>
    <n v="0"/>
    <n v="14"/>
    <n v="0"/>
    <n v="0"/>
    <n v="0"/>
    <n v="0"/>
    <n v="0"/>
    <n v="0"/>
    <n v="0"/>
    <n v="0"/>
    <n v="14"/>
    <n v="0"/>
  </r>
  <r>
    <x v="0"/>
    <x v="1"/>
    <x v="0"/>
    <s v="2304200"/>
    <n v="749530"/>
    <s v="Mileage"/>
    <s v="Port Orchard-Int Med"/>
    <x v="0"/>
    <n v="1001"/>
    <n v="0"/>
    <n v="0"/>
    <n v="0"/>
    <n v="54.5"/>
    <n v="0"/>
    <n v="0"/>
    <n v="0"/>
    <n v="6.96"/>
    <n v="38.28"/>
    <n v="0"/>
    <n v="6.96"/>
    <n v="0"/>
    <n v="106.7"/>
    <n v="6.96"/>
  </r>
  <r>
    <x v="0"/>
    <x v="1"/>
    <x v="0"/>
    <s v="2304200"/>
    <n v="749532"/>
    <s v="Travel-Physician"/>
    <s v="Port Orchard-Int Med"/>
    <x v="0"/>
    <m/>
    <n v="0"/>
    <n v="0"/>
    <n v="0"/>
    <n v="0"/>
    <n v="0"/>
    <n v="0"/>
    <n v="0"/>
    <n v="0"/>
    <n v="1496.56"/>
    <n v="0"/>
    <n v="0"/>
    <n v="0"/>
    <n v="1496.56"/>
    <n v="0"/>
  </r>
  <r>
    <x v="9"/>
    <x v="1"/>
    <x v="0"/>
    <s v="2304200"/>
    <n v="800015"/>
    <s v="Interest Income-Ext to CHI"/>
    <s v="Port Orchard-Int Med"/>
    <x v="0"/>
    <m/>
    <n v="0"/>
    <n v="0"/>
    <n v="0"/>
    <n v="0"/>
    <n v="-25.3"/>
    <n v="0"/>
    <n v="0"/>
    <n v="0"/>
    <n v="0"/>
    <n v="0"/>
    <n v="0"/>
    <n v="0"/>
    <n v="-25.3"/>
    <n v="0"/>
  </r>
  <r>
    <x v="1"/>
    <x v="1"/>
    <x v="0"/>
    <s v="2305200"/>
    <n v="400029"/>
    <s v="MD Practice Other Rev--Medicare"/>
    <s v="Enumclaw Med &amp; Spec-Fam Med"/>
    <x v="0"/>
    <n v="1100"/>
    <n v="-5030"/>
    <n v="-4505"/>
    <n v="-2314"/>
    <n v="-4695"/>
    <n v="-3822"/>
    <n v="-2593"/>
    <n v="-4610"/>
    <n v="-5280"/>
    <n v="-7486"/>
    <n v="-5652"/>
    <n v="-4822"/>
    <n v="-5809"/>
    <n v="-56618"/>
    <n v="987"/>
  </r>
  <r>
    <x v="1"/>
    <x v="1"/>
    <x v="0"/>
    <s v="2305200"/>
    <n v="400029"/>
    <s v="MD Practice Other Rev--Medicaid"/>
    <s v="Enumclaw Med &amp; Spec-Fam Med"/>
    <x v="0"/>
    <n v="1200"/>
    <n v="-1734"/>
    <n v="-1542"/>
    <n v="-632"/>
    <n v="-1132"/>
    <n v="-3132"/>
    <n v="-1831"/>
    <n v="-2933"/>
    <n v="-2611"/>
    <n v="-3456"/>
    <n v="-1817"/>
    <n v="-5155"/>
    <n v="-5226"/>
    <n v="-31201"/>
    <n v="71"/>
  </r>
  <r>
    <x v="1"/>
    <x v="1"/>
    <x v="0"/>
    <s v="2305200"/>
    <n v="400029"/>
    <s v="MD Practice Other Rev--Comm Insurance"/>
    <s v="Enumclaw Med &amp; Spec-Fam Med"/>
    <x v="0"/>
    <n v="1300"/>
    <n v="-249"/>
    <n v="-148"/>
    <n v="-218"/>
    <n v="-246"/>
    <n v="-388"/>
    <n v="-78"/>
    <n v="-23"/>
    <n v="-232"/>
    <n v="-483"/>
    <n v="-619"/>
    <n v="-215"/>
    <n v="-294"/>
    <n v="-3193"/>
    <n v="79"/>
  </r>
  <r>
    <x v="1"/>
    <x v="1"/>
    <x v="0"/>
    <s v="2305200"/>
    <n v="400029"/>
    <s v="MD Practice Other Rev--BCBS Comm"/>
    <s v="Enumclaw Med &amp; Spec-Fam Med"/>
    <x v="0"/>
    <n v="1301"/>
    <n v="-1085"/>
    <n v="-1136"/>
    <n v="-664"/>
    <n v="-1375"/>
    <n v="-1403"/>
    <n v="-1265"/>
    <n v="-1328"/>
    <n v="-2041"/>
    <n v="-2314"/>
    <n v="-1739"/>
    <n v="-1231"/>
    <n v="-1595"/>
    <n v="-17176"/>
    <n v="364"/>
  </r>
  <r>
    <x v="1"/>
    <x v="1"/>
    <x v="0"/>
    <s v="2305200"/>
    <n v="400029"/>
    <s v="MD Practice Other Rev--Managed Care"/>
    <s v="Enumclaw Med &amp; Spec-Fam Med"/>
    <x v="0"/>
    <n v="1400"/>
    <n v="-3683"/>
    <n v="-3386"/>
    <n v="-1695"/>
    <n v="-2709"/>
    <n v="-4136"/>
    <n v="-2768"/>
    <n v="-4952"/>
    <n v="-4084"/>
    <n v="-8228"/>
    <n v="-1428"/>
    <n v="-2319"/>
    <n v="-3607"/>
    <n v="-42995"/>
    <n v="1288"/>
  </r>
  <r>
    <x v="1"/>
    <x v="1"/>
    <x v="0"/>
    <s v="2305200"/>
    <n v="400029"/>
    <s v="MD Practice Other Rev--Self Pay"/>
    <s v="Enumclaw Med &amp; Spec-Fam Med"/>
    <x v="0"/>
    <n v="1500"/>
    <n v="0"/>
    <n v="0"/>
    <n v="-68"/>
    <n v="-208"/>
    <n v="0"/>
    <n v="-62"/>
    <n v="-328"/>
    <n v="-355"/>
    <n v="-29"/>
    <n v="-261"/>
    <n v="-180"/>
    <n v="34"/>
    <n v="-1457"/>
    <n v="-214"/>
  </r>
  <r>
    <x v="1"/>
    <x v="1"/>
    <x v="0"/>
    <s v="2305200"/>
    <n v="400029"/>
    <s v="MD Practice Other Rev--Other"/>
    <s v="Enumclaw Med &amp; Spec-Fam Med"/>
    <x v="0"/>
    <n v="1700"/>
    <n v="-172"/>
    <n v="-626"/>
    <n v="-255"/>
    <n v="-24"/>
    <n v="-110"/>
    <n v="-377"/>
    <n v="-407"/>
    <n v="-448"/>
    <n v="-345"/>
    <n v="-429"/>
    <n v="-185"/>
    <n v="-218"/>
    <n v="-3596"/>
    <n v="33"/>
  </r>
  <r>
    <x v="1"/>
    <x v="1"/>
    <x v="0"/>
    <s v="2305200"/>
    <n v="400040"/>
    <s v="Physician Svcs Rev--Medicare"/>
    <s v="Enumclaw Med &amp; Spec-Fam Med"/>
    <x v="0"/>
    <n v="1100"/>
    <n v="-218991"/>
    <n v="-269578.59999999998"/>
    <n v="-266072"/>
    <n v="-353703"/>
    <n v="-292725.40000000002"/>
    <n v="-248741"/>
    <n v="-321695.59999999998"/>
    <n v="-267617"/>
    <n v="-320226"/>
    <n v="-331457"/>
    <n v="-304606"/>
    <n v="-325976.59999999998"/>
    <n v="-3521389.2"/>
    <n v="21370.599999999977"/>
  </r>
  <r>
    <x v="1"/>
    <x v="1"/>
    <x v="0"/>
    <s v="2305200"/>
    <n v="400040"/>
    <s v="Physician Svcs Rev--Medicaid"/>
    <s v="Enumclaw Med &amp; Spec-Fam Med"/>
    <x v="0"/>
    <n v="1200"/>
    <n v="-103042.08"/>
    <n v="-97479.8"/>
    <n v="-87099.61"/>
    <n v="-75494.38"/>
    <n v="-101361.69"/>
    <n v="-89973.69"/>
    <n v="-119798.16"/>
    <n v="-101878.05"/>
    <n v="-124404.13"/>
    <n v="-112686"/>
    <n v="-98452.479999999996"/>
    <n v="-104125.75999999999"/>
    <n v="-1215795.83"/>
    <n v="5673.2799999999988"/>
  </r>
  <r>
    <x v="1"/>
    <x v="1"/>
    <x v="0"/>
    <s v="2305200"/>
    <n v="400040"/>
    <s v="Physician Svcs Rev--Comm Insurance"/>
    <s v="Enumclaw Med &amp; Spec-Fam Med"/>
    <x v="0"/>
    <n v="1300"/>
    <n v="10551.84"/>
    <n v="-13398.09"/>
    <n v="-16949"/>
    <n v="-13636.83"/>
    <n v="-23958.84"/>
    <n v="-12480.1"/>
    <n v="-20557.16"/>
    <n v="-21451.919999999998"/>
    <n v="-23375.53"/>
    <n v="-22090.78"/>
    <n v="-22991"/>
    <n v="-16626"/>
    <n v="-196963.41"/>
    <n v="-6365"/>
  </r>
  <r>
    <x v="1"/>
    <x v="1"/>
    <x v="0"/>
    <s v="2305200"/>
    <n v="400040"/>
    <s v="Physician Svcs Rev--BCBS Comm"/>
    <s v="Enumclaw Med &amp; Spec-Fam Med"/>
    <x v="0"/>
    <n v="1301"/>
    <n v="15578.52"/>
    <n v="-12535.47"/>
    <n v="-67250.22"/>
    <n v="-70941.3"/>
    <n v="-87174.86"/>
    <n v="-73861.62"/>
    <n v="-93237.99"/>
    <n v="-77398.600000000006"/>
    <n v="-94172.65"/>
    <n v="-92123.01"/>
    <n v="-89056.39"/>
    <n v="-74330.14"/>
    <n v="-816503.7300000001"/>
    <n v="-14726.25"/>
  </r>
  <r>
    <x v="1"/>
    <x v="1"/>
    <x v="0"/>
    <s v="2305200"/>
    <n v="400040"/>
    <s v="Physician Svcs Rev--Managed Care"/>
    <s v="Enumclaw Med &amp; Spec-Fam Med"/>
    <x v="0"/>
    <n v="1400"/>
    <n v="-62965.61"/>
    <n v="-112072.98"/>
    <n v="-165081.15"/>
    <n v="-186298.01"/>
    <n v="-208464.08"/>
    <n v="-165545.51"/>
    <n v="-240128.84"/>
    <n v="-196669.47"/>
    <n v="-222202.94"/>
    <n v="-217645.85"/>
    <n v="-223939.87"/>
    <n v="-202961.06"/>
    <n v="-2203975.37"/>
    <n v="-20978.809999999998"/>
  </r>
  <r>
    <x v="1"/>
    <x v="1"/>
    <x v="0"/>
    <s v="2305200"/>
    <n v="400040"/>
    <s v="Physician Svcs Rev--Self Pay"/>
    <s v="Enumclaw Med &amp; Spec-Fam Med"/>
    <x v="0"/>
    <n v="1500"/>
    <n v="-7916"/>
    <n v="-9170.76"/>
    <n v="-5251.68"/>
    <n v="-5260.2"/>
    <n v="-6064.2"/>
    <n v="-2087.2399999999998"/>
    <n v="-11604.64"/>
    <n v="-8185.59"/>
    <n v="-7462.88"/>
    <n v="-10029.76"/>
    <n v="-10402.32"/>
    <n v="-9396.8799999999992"/>
    <n v="-92832.15"/>
    <n v="-1005.4400000000005"/>
  </r>
  <r>
    <x v="1"/>
    <x v="1"/>
    <x v="0"/>
    <s v="2305200"/>
    <n v="400040"/>
    <s v="Physician Svcs Rev--Other"/>
    <s v="Enumclaw Med &amp; Spec-Fam Med"/>
    <x v="0"/>
    <n v="1700"/>
    <n v="-5001"/>
    <n v="-13893.91"/>
    <n v="-13523.52"/>
    <n v="-10790.13"/>
    <n v="-11724.26"/>
    <n v="-13606"/>
    <n v="-16451"/>
    <n v="-11707"/>
    <n v="-15466.16"/>
    <n v="-16373.96"/>
    <n v="-15817"/>
    <n v="-13934.99"/>
    <n v="-158288.93"/>
    <n v="-1882.0100000000002"/>
  </r>
  <r>
    <x v="2"/>
    <x v="1"/>
    <x v="0"/>
    <s v="2305200"/>
    <n v="450029"/>
    <s v="Contr Allow--MD Other-Medicare"/>
    <s v="Enumclaw Med &amp; Spec-Fam Med"/>
    <x v="0"/>
    <n v="1100"/>
    <n v="3321.18"/>
    <n v="2840.71"/>
    <n v="1778.54"/>
    <n v="3040.13"/>
    <n v="2273.0100000000002"/>
    <n v="1667.28"/>
    <n v="2597.54"/>
    <n v="2413"/>
    <n v="3409.15"/>
    <n v="5131.32"/>
    <n v="3030.62"/>
    <n v="3390.61"/>
    <n v="34893.089999999997"/>
    <n v="-359.99000000000024"/>
  </r>
  <r>
    <x v="2"/>
    <x v="1"/>
    <x v="0"/>
    <s v="2305200"/>
    <n v="450029"/>
    <s v="Contr Allow--MD Other-Medicaid"/>
    <s v="Enumclaw Med &amp; Spec-Fam Med"/>
    <x v="0"/>
    <n v="1200"/>
    <n v="1021.52"/>
    <n v="1640.02"/>
    <n v="514.58000000000004"/>
    <n v="644.76"/>
    <n v="1894.55"/>
    <n v="1584.38"/>
    <n v="1784.37"/>
    <n v="1624.74"/>
    <n v="2597.86"/>
    <n v="1549.6"/>
    <n v="1699.6"/>
    <n v="1085.1199999999999"/>
    <n v="17641.099999999999"/>
    <n v="614.48"/>
  </r>
  <r>
    <x v="2"/>
    <x v="1"/>
    <x v="0"/>
    <s v="2305200"/>
    <n v="450029"/>
    <s v="Contr Allow--MD Other-Comm Insurance"/>
    <s v="Enumclaw Med &amp; Spec-Fam Med"/>
    <x v="0"/>
    <n v="1300"/>
    <n v="45.98"/>
    <n v="96.48"/>
    <n v="31.4"/>
    <n v="49.97"/>
    <n v="151.84"/>
    <n v="73.36"/>
    <n v="33.21"/>
    <n v="14.42"/>
    <n v="135.35"/>
    <n v="209.45"/>
    <n v="92.17"/>
    <n v="178.64"/>
    <n v="1112.27"/>
    <n v="-86.469999999999985"/>
  </r>
  <r>
    <x v="2"/>
    <x v="1"/>
    <x v="0"/>
    <s v="2305200"/>
    <n v="450029"/>
    <s v="Contr Allow--MD Other BCBS Comm"/>
    <s v="Enumclaw Med &amp; Spec-Fam Med"/>
    <x v="0"/>
    <n v="1301"/>
    <n v="390.41"/>
    <n v="500.39"/>
    <n v="268.61"/>
    <n v="489.16"/>
    <n v="671.97"/>
    <n v="481.78"/>
    <n v="534.54"/>
    <n v="543.97"/>
    <n v="1514.05"/>
    <n v="635.52"/>
    <n v="491.91"/>
    <n v="611.11"/>
    <n v="7133.4199999999992"/>
    <n v="-119.19999999999999"/>
  </r>
  <r>
    <x v="2"/>
    <x v="1"/>
    <x v="0"/>
    <s v="2305200"/>
    <n v="450029"/>
    <s v="Contr Allow--MD Other-Managed Care"/>
    <s v="Enumclaw Med &amp; Spec-Fam Med"/>
    <x v="0"/>
    <n v="1400"/>
    <n v="1387.77"/>
    <n v="1601.81"/>
    <n v="844.23"/>
    <n v="1213.28"/>
    <n v="1504.68"/>
    <n v="1307.23"/>
    <n v="1067.55"/>
    <n v="1893.26"/>
    <n v="2306.56"/>
    <n v="2512.5500000000002"/>
    <n v="1485.68"/>
    <n v="1174.77"/>
    <n v="18299.37"/>
    <n v="310.91000000000008"/>
  </r>
  <r>
    <x v="2"/>
    <x v="1"/>
    <x v="0"/>
    <s v="2305200"/>
    <n v="450029"/>
    <s v="Admin Adjust-MD Other-Self Pay"/>
    <s v="Enumclaw Med &amp; Spec-Fam Med"/>
    <x v="0"/>
    <n v="1600"/>
    <n v="-9.99"/>
    <n v="179.82"/>
    <n v="164.08"/>
    <n v="66.540000000000006"/>
    <n v="20.05"/>
    <n v="22.94"/>
    <n v="224.95"/>
    <n v="259.77999999999997"/>
    <n v="20.04"/>
    <n v="326.2"/>
    <n v="181.38"/>
    <n v="7.86"/>
    <n v="1463.6499999999999"/>
    <n v="173.51999999999998"/>
  </r>
  <r>
    <x v="2"/>
    <x v="1"/>
    <x v="0"/>
    <s v="2305200"/>
    <n v="450029"/>
    <s v="Contr Allow--MD Other-Other"/>
    <s v="Enumclaw Med &amp; Spec-Fam Med"/>
    <x v="0"/>
    <n v="1700"/>
    <n v="98.99"/>
    <n v="156.37"/>
    <n v="210.07"/>
    <n v="94.54"/>
    <n v="73.69"/>
    <n v="14.59"/>
    <n v="215.25"/>
    <n v="363.41"/>
    <n v="273.43"/>
    <n v="100.36"/>
    <n v="168.68"/>
    <n v="117.39"/>
    <n v="1886.7700000000002"/>
    <n v="51.290000000000006"/>
  </r>
  <r>
    <x v="2"/>
    <x v="1"/>
    <x v="0"/>
    <s v="2305200"/>
    <n v="450040"/>
    <s v="Contr Allow--Phys Svcs--Mcare"/>
    <s v="Enumclaw Med &amp; Spec-Fam Med"/>
    <x v="0"/>
    <n v="1100"/>
    <n v="121955.17"/>
    <n v="148032.20000000001"/>
    <n v="151519.04999999999"/>
    <n v="223527.08"/>
    <n v="194620"/>
    <n v="148225.62"/>
    <n v="186883.05"/>
    <n v="130830.31"/>
    <n v="179329.47"/>
    <n v="225388.52"/>
    <n v="202040.91"/>
    <n v="167285.84"/>
    <n v="2079637.22"/>
    <n v="34755.070000000007"/>
  </r>
  <r>
    <x v="2"/>
    <x v="1"/>
    <x v="0"/>
    <s v="2305200"/>
    <n v="450040"/>
    <s v="Contr Allow--Phys Svcs--Mcaid"/>
    <s v="Enumclaw Med &amp; Spec-Fam Med"/>
    <x v="0"/>
    <n v="1200"/>
    <n v="66258.13"/>
    <n v="87818.49"/>
    <n v="57256.76"/>
    <n v="64446.91"/>
    <n v="60004.26"/>
    <n v="66151.11"/>
    <n v="77342.19"/>
    <n v="64092.14"/>
    <n v="96416.42"/>
    <n v="87686.7"/>
    <n v="67982.570000000007"/>
    <n v="70098.63"/>
    <n v="865554.30999999994"/>
    <n v="-2116.0599999999977"/>
  </r>
  <r>
    <x v="2"/>
    <x v="1"/>
    <x v="0"/>
    <s v="2305200"/>
    <n v="450040"/>
    <s v="Contr Allow--Phys Svcs--Comm Insurance"/>
    <s v="Enumclaw Med &amp; Spec-Fam Med"/>
    <x v="0"/>
    <n v="1300"/>
    <n v="6757.82"/>
    <n v="4510.87"/>
    <n v="4637.32"/>
    <n v="4809.16"/>
    <n v="6504.49"/>
    <n v="4518.22"/>
    <n v="5388.4"/>
    <n v="5319.09"/>
    <n v="7113.19"/>
    <n v="6436.23"/>
    <n v="6543.24"/>
    <n v="7169.45"/>
    <n v="69707.48"/>
    <n v="-626.21"/>
  </r>
  <r>
    <x v="2"/>
    <x v="1"/>
    <x v="0"/>
    <s v="2305200"/>
    <n v="450040"/>
    <s v="Contr Allow--Phys Svcs--BCBS Comm Ins"/>
    <s v="Enumclaw Med &amp; Spec-Fam Med"/>
    <x v="0"/>
    <n v="1301"/>
    <n v="52406.6"/>
    <n v="22209.47"/>
    <n v="20280.59"/>
    <n v="18163.82"/>
    <n v="24107.86"/>
    <n v="23291.32"/>
    <n v="23635.13"/>
    <n v="19974.810000000001"/>
    <n v="40633.56"/>
    <n v="25346.27"/>
    <n v="28700.3"/>
    <n v="27315.919999999998"/>
    <n v="326065.65000000002"/>
    <n v="1384.380000000001"/>
  </r>
  <r>
    <x v="2"/>
    <x v="1"/>
    <x v="0"/>
    <s v="2305200"/>
    <n v="450040"/>
    <s v="Contr Allow--Phys Svcs--Managed Care"/>
    <s v="Enumclaw Med &amp; Spec-Fam Med"/>
    <x v="0"/>
    <n v="1400"/>
    <n v="80984.61"/>
    <n v="98492.27"/>
    <n v="44753.7"/>
    <n v="76255.839999999997"/>
    <n v="52993.17"/>
    <n v="57135.29"/>
    <n v="58278.77"/>
    <n v="66067.039999999994"/>
    <n v="95187.01"/>
    <n v="74064.5"/>
    <n v="79727.7"/>
    <n v="71635.06"/>
    <n v="855574.96"/>
    <n v="8092.6399999999994"/>
  </r>
  <r>
    <x v="2"/>
    <x v="1"/>
    <x v="0"/>
    <s v="2305200"/>
    <n v="450040"/>
    <s v="Contr Allow--Phys Svcs--BCBS Mgnd Care"/>
    <s v="Enumclaw Med &amp; Spec-Fam Med"/>
    <x v="0"/>
    <n v="1401"/>
    <n v="-205968.88"/>
    <n v="-46737.57"/>
    <n v="53717.64"/>
    <n v="-43504.06"/>
    <n v="19218.23"/>
    <n v="4717.3100000000004"/>
    <n v="94149.29"/>
    <n v="58911.5"/>
    <n v="-8855.4599999999991"/>
    <n v="-51210.59"/>
    <n v="-3170.09"/>
    <n v="24584.71"/>
    <n v="-104147.97"/>
    <n v="-27754.799999999999"/>
  </r>
  <r>
    <x v="2"/>
    <x v="1"/>
    <x v="0"/>
    <s v="2305200"/>
    <n v="450040"/>
    <s v="Prompt Pay Disc-Phys Svcs-Self Pay"/>
    <s v="Enumclaw Med &amp; Spec-Fam Med"/>
    <x v="0"/>
    <n v="1500"/>
    <n v="0"/>
    <n v="0"/>
    <n v="0"/>
    <n v="288.20999999999998"/>
    <n v="74.94"/>
    <n v="8.9499999999999993"/>
    <n v="0"/>
    <n v="0"/>
    <n v="0"/>
    <n v="0"/>
    <n v="0"/>
    <n v="0"/>
    <n v="372.09999999999997"/>
    <n v="0"/>
  </r>
  <r>
    <x v="2"/>
    <x v="1"/>
    <x v="0"/>
    <s v="2305200"/>
    <n v="450040"/>
    <s v="Admin Adjust-Phys Svcs-Self Pay"/>
    <s v="Enumclaw Med &amp; Spec-Fam Med"/>
    <x v="0"/>
    <n v="1600"/>
    <n v="4701.8500000000004"/>
    <n v="4166.04"/>
    <n v="3720.53"/>
    <n v="3936.71"/>
    <n v="3299.86"/>
    <n v="1264.27"/>
    <n v="6693.74"/>
    <n v="3640.11"/>
    <n v="4663.82"/>
    <n v="61849.47"/>
    <n v="5084.76"/>
    <n v="4416.79"/>
    <n v="107437.94999999998"/>
    <n v="667.97000000000025"/>
  </r>
  <r>
    <x v="2"/>
    <x v="1"/>
    <x v="0"/>
    <s v="2305200"/>
    <n v="450040"/>
    <s v="Contr Allow--Phys Svcs--Other"/>
    <s v="Enumclaw Med &amp; Spec-Fam Med"/>
    <x v="0"/>
    <n v="1700"/>
    <n v="5716.93"/>
    <n v="9366.61"/>
    <n v="6360.84"/>
    <n v="9912.5300000000007"/>
    <n v="4516"/>
    <n v="5799.78"/>
    <n v="4729.8900000000003"/>
    <n v="8890.86"/>
    <n v="8168.21"/>
    <n v="8750.42"/>
    <n v="9228.0400000000009"/>
    <n v="7530.09"/>
    <n v="88970.200000000012"/>
    <n v="1697.9500000000007"/>
  </r>
  <r>
    <x v="3"/>
    <x v="1"/>
    <x v="0"/>
    <s v="2305200"/>
    <n v="470040"/>
    <s v="Charity Care-Physician Svcs"/>
    <s v="Enumclaw Med &amp; Spec-Fam Med"/>
    <x v="0"/>
    <m/>
    <n v="-4972.8"/>
    <n v="4594.01"/>
    <n v="2782.9"/>
    <n v="3471.84"/>
    <n v="3287.39"/>
    <n v="-974.24"/>
    <n v="7658.19"/>
    <n v="3590.55"/>
    <n v="5639.07"/>
    <n v="735.33"/>
    <n v="1126.51"/>
    <n v="7663.82"/>
    <n v="34602.57"/>
    <n v="-6537.3099999999995"/>
  </r>
  <r>
    <x v="4"/>
    <x v="1"/>
    <x v="0"/>
    <s v="2305200"/>
    <n v="490010"/>
    <s v="Provision for Bad Debts"/>
    <s v="Enumclaw Med &amp; Spec-Fam Med"/>
    <x v="0"/>
    <m/>
    <n v="-19026.11"/>
    <n v="-1350.75"/>
    <n v="11778.65"/>
    <n v="-1553.25"/>
    <n v="11032.18"/>
    <n v="3815.98"/>
    <n v="1851.95"/>
    <n v="5655.36"/>
    <n v="1810.88"/>
    <n v="-2468.69"/>
    <n v="3797.39"/>
    <n v="11323.79"/>
    <n v="26667.379999999997"/>
    <n v="-7526.4000000000015"/>
  </r>
  <r>
    <x v="14"/>
    <x v="1"/>
    <x v="0"/>
    <s v="2305200"/>
    <n v="600050"/>
    <s v="Miscellaneous Revenue"/>
    <s v="Enumclaw Med &amp; Spec-Fam Med"/>
    <x v="0"/>
    <m/>
    <n v="0"/>
    <n v="0"/>
    <n v="0"/>
    <n v="0"/>
    <n v="0"/>
    <n v="-50"/>
    <n v="0"/>
    <n v="0"/>
    <n v="0"/>
    <n v="0"/>
    <n v="0"/>
    <n v="0"/>
    <n v="-50"/>
    <n v="0"/>
  </r>
  <r>
    <x v="5"/>
    <x v="1"/>
    <x v="0"/>
    <s v="2305200"/>
    <n v="700018"/>
    <s v="Salaries-Supervisory-Productive"/>
    <s v="Enumclaw Med &amp; Spec-Fam Med"/>
    <x v="0"/>
    <m/>
    <n v="3105.08"/>
    <n v="4657.6400000000003"/>
    <n v="4015.2"/>
    <n v="4389.95"/>
    <n v="4175.8100000000004"/>
    <n v="3078.32"/>
    <n v="4745.07"/>
    <n v="4021.09"/>
    <n v="3640.79"/>
    <n v="3138.11"/>
    <n v="-750.59"/>
    <n v="0"/>
    <n v="38216.47"/>
    <n v="-750.59"/>
  </r>
  <r>
    <x v="5"/>
    <x v="1"/>
    <x v="0"/>
    <s v="2305200"/>
    <n v="700022"/>
    <s v="Salaries-Physician-Productive"/>
    <s v="Enumclaw Med &amp; Spec-Fam Med"/>
    <x v="0"/>
    <m/>
    <n v="94445.97"/>
    <n v="99452.88"/>
    <n v="92878.82"/>
    <n v="118275.86"/>
    <n v="124644.98"/>
    <n v="90887.58"/>
    <n v="121297.74"/>
    <n v="94750.34"/>
    <n v="123829.38"/>
    <n v="128597.96"/>
    <n v="124050.63"/>
    <n v="98677.54"/>
    <n v="1311789.6800000002"/>
    <n v="25373.090000000011"/>
  </r>
  <r>
    <x v="5"/>
    <x v="1"/>
    <x v="0"/>
    <s v="2305200"/>
    <n v="700022"/>
    <s v="Salaries-Physician-Other"/>
    <s v="Enumclaw Med &amp; Spec-Fam Med"/>
    <x v="0"/>
    <n v="2000"/>
    <n v="5330.73"/>
    <n v="5573.07"/>
    <n v="4846.1400000000003"/>
    <n v="5573.07"/>
    <n v="5330.76"/>
    <n v="5088.42"/>
    <n v="5581.56"/>
    <n v="6794.5"/>
    <n v="6793.98"/>
    <n v="7112.19"/>
    <n v="7433.81"/>
    <n v="6463.24"/>
    <n v="71921.47"/>
    <n v="970.57000000000062"/>
  </r>
  <r>
    <x v="5"/>
    <x v="1"/>
    <x v="0"/>
    <s v="2305200"/>
    <n v="700024"/>
    <s v="Salaries-Advanced Practice Clinician-Productive"/>
    <s v="Enumclaw Med &amp; Spec-Fam Med"/>
    <x v="0"/>
    <m/>
    <n v="24495.81"/>
    <n v="26324.55"/>
    <n v="18723.009999999998"/>
    <n v="16735.63"/>
    <n v="22943.25"/>
    <n v="22951.06"/>
    <n v="26309.9"/>
    <n v="21512.97"/>
    <n v="23225.13"/>
    <n v="23566.32"/>
    <n v="23344.38"/>
    <n v="14264.59"/>
    <n v="264396.60000000003"/>
    <n v="9079.7900000000009"/>
  </r>
  <r>
    <x v="5"/>
    <x v="1"/>
    <x v="0"/>
    <s v="2305200"/>
    <n v="700024"/>
    <s v="Salaries-Advanced Practice Clinician-Other"/>
    <s v="Enumclaw Med &amp; Spec-Fam Med"/>
    <x v="0"/>
    <n v="2000"/>
    <n v="1484.61"/>
    <n v="1150"/>
    <n v="1000"/>
    <n v="1150"/>
    <n v="1100.01"/>
    <n v="1049.99"/>
    <n v="1151.75"/>
    <n v="1001.46"/>
    <n v="1051.53"/>
    <n v="2141.58"/>
    <n v="2037.62"/>
    <n v="1463.68"/>
    <n v="15782.23"/>
    <n v="573.93999999999983"/>
  </r>
  <r>
    <x v="5"/>
    <x v="1"/>
    <x v="0"/>
    <s v="2305200"/>
    <n v="700026"/>
    <s v="Salaries-RN-Productive"/>
    <s v="Enumclaw Med &amp; Spec-Fam Med"/>
    <x v="0"/>
    <m/>
    <n v="5131.6899999999996"/>
    <n v="5420.58"/>
    <n v="6469.28"/>
    <n v="7617.12"/>
    <n v="4947.76"/>
    <n v="7400.99"/>
    <n v="12594.36"/>
    <n v="18858.71"/>
    <n v="24798.12"/>
    <n v="22028.45"/>
    <n v="24432.98"/>
    <n v="13402.77"/>
    <n v="153102.80999999997"/>
    <n v="11030.21"/>
  </r>
  <r>
    <x v="5"/>
    <x v="1"/>
    <x v="0"/>
    <s v="2305200"/>
    <n v="700026"/>
    <s v="Salaries-RN-OT"/>
    <s v="Enumclaw Med &amp; Spec-Fam Med"/>
    <x v="0"/>
    <n v="1000"/>
    <n v="376.33"/>
    <n v="319.31"/>
    <n v="11.41"/>
    <n v="593.53"/>
    <n v="877.59"/>
    <n v="-256.45"/>
    <n v="826.02"/>
    <n v="401"/>
    <n v="1843.16"/>
    <n v="1614.11"/>
    <n v="391.83"/>
    <n v="1893.13"/>
    <n v="8890.9699999999993"/>
    <n v="-1501.3000000000002"/>
  </r>
  <r>
    <x v="5"/>
    <x v="1"/>
    <x v="0"/>
    <s v="2305200"/>
    <n v="700026"/>
    <s v="Salaries-RN-Other"/>
    <s v="Enumclaw Med &amp; Spec-Fam Med"/>
    <x v="0"/>
    <n v="2000"/>
    <n v="0"/>
    <n v="0"/>
    <n v="30"/>
    <n v="30"/>
    <n v="0"/>
    <n v="30"/>
    <n v="0"/>
    <n v="60.08"/>
    <n v="0"/>
    <n v="0"/>
    <n v="0"/>
    <n v="0"/>
    <n v="150.07999999999998"/>
    <n v="0"/>
  </r>
  <r>
    <x v="5"/>
    <x v="1"/>
    <x v="0"/>
    <s v="2305200"/>
    <n v="700030"/>
    <s v="Salaries-LPN-Productive"/>
    <s v="Enumclaw Med &amp; Spec-Fam Med"/>
    <x v="0"/>
    <m/>
    <n v="7515.26"/>
    <n v="7275.92"/>
    <n v="4935.71"/>
    <n v="4445.58"/>
    <n v="4513.1400000000003"/>
    <n v="1535.26"/>
    <n v="0"/>
    <n v="0"/>
    <n v="1661.32"/>
    <n v="5837.09"/>
    <n v="12465.21"/>
    <n v="7028.16"/>
    <n v="57212.649999999994"/>
    <n v="5437.0499999999993"/>
  </r>
  <r>
    <x v="5"/>
    <x v="1"/>
    <x v="0"/>
    <s v="2305200"/>
    <n v="700030"/>
    <s v="Salaries-LPN-OT"/>
    <s v="Enumclaw Med &amp; Spec-Fam Med"/>
    <x v="0"/>
    <n v="1000"/>
    <n v="504.9"/>
    <n v="516.04"/>
    <n v="155.41999999999999"/>
    <n v="378.7"/>
    <n v="-71.45"/>
    <n v="-9.93"/>
    <n v="0"/>
    <n v="0"/>
    <n v="0"/>
    <n v="315.43"/>
    <n v="295.35000000000002"/>
    <n v="452.32"/>
    <n v="2536.7800000000002"/>
    <n v="-156.96999999999997"/>
  </r>
  <r>
    <x v="5"/>
    <x v="1"/>
    <x v="0"/>
    <s v="2305200"/>
    <n v="700030"/>
    <s v="Salaries-LPN-Other"/>
    <s v="Enumclaw Med &amp; Spec-Fam Med"/>
    <x v="0"/>
    <n v="2000"/>
    <n v="0"/>
    <n v="0"/>
    <n v="0"/>
    <n v="0"/>
    <n v="0"/>
    <n v="0"/>
    <n v="0"/>
    <n v="0"/>
    <n v="30.06"/>
    <n v="-0.02"/>
    <n v="-19.25"/>
    <n v="0"/>
    <n v="10.79"/>
    <n v="-19.25"/>
  </r>
  <r>
    <x v="5"/>
    <x v="1"/>
    <x v="0"/>
    <s v="2305200"/>
    <n v="700032"/>
    <s v="Salaries-Other Pat Care Providers-Productive"/>
    <s v="Enumclaw Med &amp; Spec-Fam Med"/>
    <x v="0"/>
    <m/>
    <n v="25599.99"/>
    <n v="24116.16"/>
    <n v="21325.98"/>
    <n v="24094.87"/>
    <n v="30289.05"/>
    <n v="21293"/>
    <n v="26099.51"/>
    <n v="21735.040000000001"/>
    <n v="28469.63"/>
    <n v="24839.93"/>
    <n v="28176.84"/>
    <n v="25376.07"/>
    <n v="301416.07"/>
    <n v="2800.7700000000004"/>
  </r>
  <r>
    <x v="5"/>
    <x v="1"/>
    <x v="0"/>
    <s v="2305200"/>
    <n v="700032"/>
    <s v="Salaries-Other Pat Care Providers-OT"/>
    <s v="Enumclaw Med &amp; Spec-Fam Med"/>
    <x v="0"/>
    <n v="1000"/>
    <n v="1769.14"/>
    <n v="1444.41"/>
    <n v="1800.28"/>
    <n v="1940.2"/>
    <n v="1858.65"/>
    <n v="984.93"/>
    <n v="1709.67"/>
    <n v="817.39"/>
    <n v="2725.28"/>
    <n v="1426.59"/>
    <n v="857.31"/>
    <n v="1382.44"/>
    <n v="18716.29"/>
    <n v="-525.13000000000011"/>
  </r>
  <r>
    <x v="5"/>
    <x v="1"/>
    <x v="0"/>
    <s v="2305200"/>
    <n v="700032"/>
    <s v="Salaries-Other Pat Care Providers-Other"/>
    <s v="Enumclaw Med &amp; Spec-Fam Med"/>
    <x v="0"/>
    <n v="2000"/>
    <n v="84.84"/>
    <n v="84.5"/>
    <n v="76.5"/>
    <n v="78.7"/>
    <n v="161.57"/>
    <n v="130.44999999999999"/>
    <n v="142.66999999999999"/>
    <n v="148.71"/>
    <n v="137.30000000000001"/>
    <n v="86.77"/>
    <n v="178.18"/>
    <n v="130.08000000000001"/>
    <n v="1440.27"/>
    <n v="48.099999999999994"/>
  </r>
  <r>
    <x v="5"/>
    <x v="1"/>
    <x v="0"/>
    <s v="2305200"/>
    <n v="700034"/>
    <s v="Salaries-Tech/Professional-Productive"/>
    <s v="Enumclaw Med &amp; Spec-Fam Med"/>
    <x v="0"/>
    <m/>
    <n v="712.6"/>
    <n v="313.12"/>
    <n v="-143.96"/>
    <n v="0"/>
    <n v="0"/>
    <n v="0"/>
    <n v="0"/>
    <n v="0"/>
    <n v="0"/>
    <n v="0"/>
    <n v="0"/>
    <n v="0"/>
    <n v="881.76"/>
    <n v="0"/>
  </r>
  <r>
    <x v="5"/>
    <x v="1"/>
    <x v="0"/>
    <s v="2305200"/>
    <n v="700054"/>
    <s v="Salaries-Management-NonProd-Other"/>
    <s v="Enumclaw Med &amp; Spec-Fam Med"/>
    <x v="0"/>
    <n v="2000"/>
    <n v="0"/>
    <n v="0"/>
    <n v="0"/>
    <n v="0"/>
    <n v="0"/>
    <n v="571.36"/>
    <n v="-571.36"/>
    <n v="0"/>
    <n v="0"/>
    <n v="0"/>
    <n v="0"/>
    <n v="0"/>
    <n v="0"/>
    <n v="0"/>
  </r>
  <r>
    <x v="5"/>
    <x v="1"/>
    <x v="0"/>
    <s v="2305200"/>
    <n v="700058"/>
    <s v="Salaries-Supervisory-Non-productive"/>
    <s v="Enumclaw Med &amp; Spec-Fam Med"/>
    <x v="0"/>
    <m/>
    <n v="2141.44"/>
    <n v="267.68"/>
    <n v="535.36"/>
    <n v="803.04"/>
    <n v="535.36"/>
    <n v="1713.15"/>
    <n v="429.07"/>
    <n v="536.14"/>
    <n v="850.29"/>
    <n v="2048.2399999999998"/>
    <n v="-938.25"/>
    <n v="0"/>
    <n v="8921.52"/>
    <n v="-938.25"/>
  </r>
  <r>
    <x v="5"/>
    <x v="1"/>
    <x v="0"/>
    <s v="2305200"/>
    <n v="700058"/>
    <s v="Salaries-Supervisory-NonProd-Other"/>
    <s v="Enumclaw Med &amp; 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5200"/>
    <n v="700062"/>
    <s v="Salaries-Physician-Non-productive"/>
    <s v="Enumclaw Med &amp; Spec-Fam Med"/>
    <x v="0"/>
    <m/>
    <n v="8901.5499999999993"/>
    <n v="23672.62"/>
    <n v="5840.07"/>
    <n v="-731.45"/>
    <n v="4790.3999999999996"/>
    <n v="24073.08"/>
    <n v="5285.9"/>
    <n v="21260.48"/>
    <n v="-1702.76"/>
    <n v="-775.29"/>
    <n v="7439.55"/>
    <n v="15373.33"/>
    <n v="113427.48000000001"/>
    <n v="-7933.78"/>
  </r>
  <r>
    <x v="5"/>
    <x v="1"/>
    <x v="0"/>
    <s v="2305200"/>
    <n v="700062"/>
    <s v="Salaries-Physician-NonProd-Other"/>
    <s v="Enumclaw Med &amp; 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5200"/>
    <n v="700064"/>
    <s v="Salaries-Advanced Practice Clinician-Non-Productive"/>
    <s v="Enumclaw Med &amp; Spec-Fam Med"/>
    <x v="0"/>
    <m/>
    <n v="1612.35"/>
    <n v="0"/>
    <n v="3028.37"/>
    <n v="11209.43"/>
    <n v="401.41"/>
    <n v="2689.73"/>
    <n v="689.71"/>
    <n v="0"/>
    <n v="536.19000000000005"/>
    <n v="2521.9899999999998"/>
    <n v="142.15"/>
    <n v="4792.5200000000004"/>
    <n v="27623.850000000002"/>
    <n v="-4650.3700000000008"/>
  </r>
  <r>
    <x v="5"/>
    <x v="1"/>
    <x v="0"/>
    <s v="2305200"/>
    <n v="700066"/>
    <s v="Salaries-RN-Non-productive"/>
    <s v="Enumclaw Med &amp; Spec-Fam Med"/>
    <x v="0"/>
    <m/>
    <n v="243.28"/>
    <n v="304.10000000000002"/>
    <n v="1201.2"/>
    <n v="-121.64"/>
    <n v="0"/>
    <n v="0"/>
    <n v="110.02"/>
    <n v="-0.06"/>
    <n v="0"/>
    <n v="125.8"/>
    <n v="1108.67"/>
    <n v="3278.59"/>
    <n v="6249.96"/>
    <n v="-2169.92"/>
  </r>
  <r>
    <x v="5"/>
    <x v="1"/>
    <x v="0"/>
    <s v="2305200"/>
    <n v="700066"/>
    <s v="Salaries-RN-NonProd-Other"/>
    <s v="Enumclaw Med &amp; 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5200"/>
    <n v="700070"/>
    <s v="Salaries-LPN-Non-productive"/>
    <s v="Enumclaw Med &amp; Spec-Fam Med"/>
    <x v="0"/>
    <m/>
    <n v="972.45"/>
    <n v="616.22"/>
    <n v="350.07"/>
    <n v="408.45"/>
    <n v="225"/>
    <n v="734.54"/>
    <n v="0"/>
    <n v="0"/>
    <n v="0"/>
    <n v="0"/>
    <n v="526.78"/>
    <n v="944.92"/>
    <n v="4778.43"/>
    <n v="-418.14"/>
  </r>
  <r>
    <x v="5"/>
    <x v="1"/>
    <x v="0"/>
    <s v="2305200"/>
    <n v="700070"/>
    <s v="Salaries-LPN-NonProd-Other"/>
    <s v="Enumclaw Med &amp; 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5200"/>
    <n v="700072"/>
    <s v="Salaries-Other Pat Care Providers-Non-productive"/>
    <s v="Enumclaw Med &amp; Spec-Fam Med"/>
    <x v="0"/>
    <m/>
    <n v="4277.1499999999996"/>
    <n v="3776.73"/>
    <n v="2469.1999999999998"/>
    <n v="3739.32"/>
    <n v="2206.2199999999998"/>
    <n v="8193.61"/>
    <n v="6565.6"/>
    <n v="3584.14"/>
    <n v="276.60000000000002"/>
    <n v="3305.8"/>
    <n v="4632.82"/>
    <n v="5825.97"/>
    <n v="48853.16"/>
    <n v="-1193.1500000000005"/>
  </r>
  <r>
    <x v="5"/>
    <x v="1"/>
    <x v="0"/>
    <s v="2305200"/>
    <n v="700072"/>
    <s v="Salaries-Other Pat Care Providers-NonProd-Other"/>
    <s v="Enumclaw Med &amp; 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5200"/>
    <n v="700084"/>
    <s v="Accrued PTO"/>
    <s v="Enumclaw Med &amp; Spec-Fam Med"/>
    <x v="0"/>
    <m/>
    <n v="-1948.59"/>
    <n v="874.01"/>
    <n v="1671.03"/>
    <n v="1323.86"/>
    <n v="1373.79"/>
    <n v="-3061.42"/>
    <n v="2097.46"/>
    <n v="211.12"/>
    <n v="4316.6400000000003"/>
    <n v="2322.46"/>
    <n v="3768"/>
    <n v="-2624.97"/>
    <n v="10323.390000000001"/>
    <n v="6392.9699999999993"/>
  </r>
  <r>
    <x v="6"/>
    <x v="1"/>
    <x v="0"/>
    <s v="2305200"/>
    <n v="713010"/>
    <s v="Benefits-FICA/Medicare"/>
    <s v="Enumclaw Med &amp; Spec-Fam Med"/>
    <x v="0"/>
    <m/>
    <n v="7242.1"/>
    <n v="7638.03"/>
    <n v="6359.32"/>
    <n v="6833.02"/>
    <n v="7691.53"/>
    <n v="10254.02"/>
    <n v="16211.09"/>
    <n v="14626.92"/>
    <n v="16101.58"/>
    <n v="11399.43"/>
    <n v="11187.39"/>
    <n v="8426.66"/>
    <n v="123971.09000000001"/>
    <n v="2760.7299999999996"/>
  </r>
  <r>
    <x v="6"/>
    <x v="1"/>
    <x v="0"/>
    <s v="2305200"/>
    <n v="713090"/>
    <s v="Benefits-Allocated Amounts"/>
    <s v="Enumclaw Med &amp; Spec-Fam Med"/>
    <x v="0"/>
    <m/>
    <n v="0"/>
    <n v="0"/>
    <n v="0"/>
    <n v="0"/>
    <n v="0"/>
    <n v="0"/>
    <n v="0"/>
    <n v="0"/>
    <n v="145530.35999999999"/>
    <n v="19880.830000000002"/>
    <n v="20073.419999999998"/>
    <n v="19862.79"/>
    <n v="205347.4"/>
    <n v="210.62999999999738"/>
  </r>
  <r>
    <x v="6"/>
    <x v="1"/>
    <x v="0"/>
    <s v="2305200"/>
    <n v="713092"/>
    <s v="Allocated Benefits-Physician"/>
    <s v="Enumclaw Med &amp; Spec-Fam Med"/>
    <x v="0"/>
    <m/>
    <n v="13758.84"/>
    <n v="12006.09"/>
    <n v="12098.34"/>
    <n v="12513.4"/>
    <n v="12758.56"/>
    <n v="12736.69"/>
    <n v="15565.84"/>
    <n v="15123.72"/>
    <n v="-62862.2"/>
    <n v="5969.73"/>
    <n v="6027.57"/>
    <n v="5964.32"/>
    <n v="61660.899999999994"/>
    <n v="63.25"/>
  </r>
  <r>
    <x v="6"/>
    <x v="1"/>
    <x v="0"/>
    <s v="2305200"/>
    <n v="713093"/>
    <s v="Allocated Benefits-Advanced Practice Clinician"/>
    <s v="Enumclaw Med &amp; Spec-Fam Med"/>
    <x v="0"/>
    <m/>
    <n v="9395.9599999999991"/>
    <n v="8198.99"/>
    <n v="8261.99"/>
    <n v="8545.44"/>
    <n v="8712.86"/>
    <n v="8697.92"/>
    <n v="10629.96"/>
    <n v="10328.02"/>
    <n v="-53587.37"/>
    <n v="2620.69"/>
    <n v="2646.07"/>
    <n v="2618.31"/>
    <n v="27068.839999999997"/>
    <n v="27.760000000000218"/>
  </r>
  <r>
    <x v="6"/>
    <x v="1"/>
    <x v="0"/>
    <s v="2305200"/>
    <n v="713096"/>
    <s v="Employee Recognition"/>
    <s v="Enumclaw Med &amp; Spec-Fam Med"/>
    <x v="0"/>
    <n v="1017"/>
    <n v="0"/>
    <n v="0"/>
    <n v="111.85"/>
    <n v="178.22"/>
    <n v="0"/>
    <n v="0"/>
    <n v="0"/>
    <n v="0"/>
    <n v="0"/>
    <n v="0"/>
    <n v="0"/>
    <n v="0"/>
    <n v="290.07"/>
    <n v="0"/>
  </r>
  <r>
    <x v="7"/>
    <x v="1"/>
    <x v="0"/>
    <s v="2305200"/>
    <n v="718050"/>
    <s v="Contract Svcs-Other"/>
    <s v="Enumclaw Med &amp; Spec-Fam Med"/>
    <x v="0"/>
    <m/>
    <n v="0"/>
    <n v="0"/>
    <n v="0"/>
    <n v="0"/>
    <n v="0"/>
    <n v="0"/>
    <n v="0"/>
    <n v="0"/>
    <n v="76.05"/>
    <n v="0"/>
    <n v="0"/>
    <n v="0"/>
    <n v="76.05"/>
    <n v="0"/>
  </r>
  <r>
    <x v="15"/>
    <x v="1"/>
    <x v="0"/>
    <s v="2305200"/>
    <n v="731060"/>
    <s v="Pagers"/>
    <s v="Enumclaw Med &amp; Spec-Fam Med"/>
    <x v="0"/>
    <n v="1002"/>
    <n v="8.1"/>
    <n v="8.1"/>
    <n v="8.1"/>
    <n v="8.1199999999999992"/>
    <n v="8.1199999999999992"/>
    <n v="0"/>
    <n v="0"/>
    <n v="0"/>
    <n v="0"/>
    <n v="0"/>
    <n v="0"/>
    <n v="0"/>
    <n v="40.539999999999992"/>
    <n v="0"/>
  </r>
  <r>
    <x v="0"/>
    <x v="1"/>
    <x v="0"/>
    <s v="2305200"/>
    <n v="740023"/>
    <s v="Education-Advanced Practice Clinician"/>
    <s v="Enumclaw Med &amp; Spec-Fam Med"/>
    <x v="0"/>
    <m/>
    <n v="0"/>
    <n v="0"/>
    <n v="0"/>
    <n v="0"/>
    <n v="0"/>
    <n v="0"/>
    <n v="0"/>
    <n v="0"/>
    <n v="0"/>
    <n v="0"/>
    <n v="0"/>
    <n v="425"/>
    <n v="425"/>
    <n v="-425"/>
  </r>
  <r>
    <x v="8"/>
    <x v="1"/>
    <x v="0"/>
    <s v="2305200"/>
    <n v="741012"/>
    <s v="Physician Liab Insurance-CHI Program"/>
    <s v="Enumclaw Med &amp; Spec-Fam Med"/>
    <x v="0"/>
    <m/>
    <n v="1373.64"/>
    <n v="1373.64"/>
    <n v="1373.64"/>
    <n v="1373.64"/>
    <n v="2300.21"/>
    <n v="2300.19"/>
    <n v="2300.21"/>
    <n v="2300.19"/>
    <n v="2300.21"/>
    <n v="2300.19"/>
    <n v="2300.21"/>
    <n v="2300.1799999999998"/>
    <n v="23896.15"/>
    <n v="3.0000000000200089E-2"/>
  </r>
  <r>
    <x v="0"/>
    <x v="1"/>
    <x v="0"/>
    <s v="2305200"/>
    <n v="743022"/>
    <s v="Dues-Physician"/>
    <s v="Enumclaw Med &amp; Spec-Fam Med"/>
    <x v="0"/>
    <m/>
    <n v="0"/>
    <n v="0"/>
    <n v="0"/>
    <n v="885"/>
    <n v="1135"/>
    <n v="0"/>
    <n v="0"/>
    <n v="285"/>
    <n v="0"/>
    <n v="0"/>
    <n v="0"/>
    <n v="0"/>
    <n v="2305"/>
    <n v="0"/>
  </r>
  <r>
    <x v="0"/>
    <x v="1"/>
    <x v="0"/>
    <s v="2305200"/>
    <n v="749510"/>
    <s v="Miscellaneous Expenses"/>
    <s v="Enumclaw Med &amp; Spec-Fam Med"/>
    <x v="0"/>
    <m/>
    <n v="-3726.58"/>
    <n v="0"/>
    <n v="0"/>
    <n v="0"/>
    <n v="731"/>
    <n v="-731"/>
    <n v="0"/>
    <n v="0"/>
    <n v="0"/>
    <n v="61"/>
    <n v="53.94"/>
    <n v="882.06"/>
    <n v="-2729.58"/>
    <n v="-828.11999999999989"/>
  </r>
  <r>
    <x v="0"/>
    <x v="1"/>
    <x v="0"/>
    <s v="2305200"/>
    <n v="749510"/>
    <s v="Licenses"/>
    <s v="Enumclaw Med &amp; Spec-Fam Med"/>
    <x v="0"/>
    <n v="1002"/>
    <n v="0"/>
    <n v="0"/>
    <n v="0"/>
    <n v="0"/>
    <n v="0"/>
    <n v="19"/>
    <n v="0"/>
    <n v="0"/>
    <n v="0"/>
    <n v="0"/>
    <n v="0"/>
    <n v="0"/>
    <n v="19"/>
    <n v="0"/>
  </r>
  <r>
    <x v="0"/>
    <x v="1"/>
    <x v="0"/>
    <s v="2305200"/>
    <n v="749512"/>
    <s v="Licenses-Physician"/>
    <s v="Enumclaw Med &amp; Spec-Fam Med"/>
    <x v="0"/>
    <n v="2000"/>
    <n v="0"/>
    <n v="0"/>
    <n v="0"/>
    <n v="0"/>
    <n v="657"/>
    <n v="731"/>
    <n v="0"/>
    <n v="0"/>
    <n v="1172"/>
    <n v="441"/>
    <n v="0"/>
    <n v="0"/>
    <n v="3001"/>
    <n v="0"/>
  </r>
  <r>
    <x v="0"/>
    <x v="1"/>
    <x v="0"/>
    <s v="2305200"/>
    <n v="749513"/>
    <s v="Licenses-Advanced Practice Clinician"/>
    <s v="Enumclaw Med &amp; Spec-Fam Med"/>
    <x v="0"/>
    <n v="2000"/>
    <n v="0"/>
    <n v="0"/>
    <n v="0"/>
    <n v="0"/>
    <n v="0"/>
    <n v="0"/>
    <n v="0"/>
    <n v="0"/>
    <n v="122.5"/>
    <n v="0"/>
    <n v="0"/>
    <n v="0"/>
    <n v="122.5"/>
    <n v="0"/>
  </r>
  <r>
    <x v="0"/>
    <x v="1"/>
    <x v="0"/>
    <s v="2305200"/>
    <n v="749530"/>
    <s v="Mileage"/>
    <s v="Enumclaw Med &amp; Spec-Fam Med"/>
    <x v="0"/>
    <n v="1001"/>
    <n v="0"/>
    <n v="0"/>
    <n v="232.19"/>
    <n v="31.07"/>
    <n v="0"/>
    <n v="0"/>
    <n v="0"/>
    <n v="0"/>
    <n v="0"/>
    <n v="197.2"/>
    <n v="0"/>
    <n v="219.24"/>
    <n v="679.7"/>
    <n v="-219.24"/>
  </r>
  <r>
    <x v="0"/>
    <x v="1"/>
    <x v="0"/>
    <s v="2305200"/>
    <n v="749532"/>
    <s v="Travel-Physician"/>
    <s v="Enumclaw Med &amp; Spec-Fam Med"/>
    <x v="0"/>
    <m/>
    <n v="0"/>
    <n v="0"/>
    <n v="0"/>
    <n v="0"/>
    <n v="0"/>
    <n v="0"/>
    <n v="0"/>
    <n v="0"/>
    <n v="0"/>
    <n v="0"/>
    <n v="0"/>
    <n v="2456.69"/>
    <n v="2456.69"/>
    <n v="-2456.69"/>
  </r>
  <r>
    <x v="0"/>
    <x v="1"/>
    <x v="0"/>
    <s v="2305200"/>
    <n v="749591"/>
    <s v="Other Expense-Intracompany Allocation"/>
    <s v="Enumclaw Med &amp; Spec-Fam Med"/>
    <x v="0"/>
    <m/>
    <n v="100449.02"/>
    <n v="116403.82"/>
    <n v="107095.71"/>
    <n v="132926"/>
    <n v="127970.61"/>
    <n v="132334.65"/>
    <n v="172604.97"/>
    <n v="127548.05"/>
    <n v="143801.42000000001"/>
    <n v="148172.96"/>
    <n v="147930.64000000001"/>
    <n v="123167.14"/>
    <n v="1580404.99"/>
    <n v="24763.500000000015"/>
  </r>
  <r>
    <x v="1"/>
    <x v="1"/>
    <x v="0"/>
    <s v="2306200"/>
    <n v="400029"/>
    <s v="MD Practice Other Rev--Medicare"/>
    <s v="Enumclaw Med&amp; Spec-Fam Med wOB"/>
    <x v="0"/>
    <n v="1100"/>
    <n v="-164"/>
    <n v="-388"/>
    <n v="-672"/>
    <n v="-671"/>
    <n v="-372"/>
    <n v="-197"/>
    <n v="-191"/>
    <n v="-750"/>
    <n v="-399"/>
    <n v="-566"/>
    <n v="-982"/>
    <n v="-641"/>
    <n v="-5993"/>
    <n v="-341"/>
  </r>
  <r>
    <x v="1"/>
    <x v="1"/>
    <x v="0"/>
    <s v="2306200"/>
    <n v="400029"/>
    <s v="MD Practice Other Rev--Medicaid"/>
    <s v="Enumclaw Med&amp; Spec-Fam Med wOB"/>
    <x v="0"/>
    <n v="1200"/>
    <n v="-483"/>
    <n v="-178"/>
    <n v="-919"/>
    <n v="-160"/>
    <n v="-740"/>
    <n v="-1178"/>
    <n v="-1016"/>
    <n v="-870"/>
    <n v="-1012"/>
    <n v="-280"/>
    <n v="-226"/>
    <n v="-116"/>
    <n v="-7178"/>
    <n v="-110"/>
  </r>
  <r>
    <x v="1"/>
    <x v="1"/>
    <x v="0"/>
    <s v="2306200"/>
    <n v="400029"/>
    <s v="MD Practice Other Rev--Comm Insurance"/>
    <s v="Enumclaw Med&amp; Spec-Fam Med wOB"/>
    <x v="0"/>
    <n v="1300"/>
    <n v="0"/>
    <n v="-59"/>
    <n v="0"/>
    <n v="0"/>
    <n v="-62"/>
    <n v="-138"/>
    <n v="0"/>
    <n v="-124"/>
    <n v="-73"/>
    <n v="-155"/>
    <n v="0"/>
    <n v="0"/>
    <n v="-611"/>
    <n v="0"/>
  </r>
  <r>
    <x v="1"/>
    <x v="1"/>
    <x v="0"/>
    <s v="2306200"/>
    <n v="400029"/>
    <s v="MD Practice Other Rev--BCBS Comm"/>
    <s v="Enumclaw Med&amp; Spec-Fam Med wOB"/>
    <x v="0"/>
    <n v="1301"/>
    <n v="-298"/>
    <n v="-218"/>
    <n v="-179"/>
    <n v="-272"/>
    <n v="-414"/>
    <n v="-576"/>
    <n v="-285"/>
    <n v="-702"/>
    <n v="-272"/>
    <n v="0"/>
    <n v="-164"/>
    <n v="-87"/>
    <n v="-3467"/>
    <n v="-77"/>
  </r>
  <r>
    <x v="1"/>
    <x v="1"/>
    <x v="0"/>
    <s v="2306200"/>
    <n v="400029"/>
    <s v="MD Practice Other Rev--Managed Care"/>
    <s v="Enumclaw Med&amp; Spec-Fam Med wOB"/>
    <x v="0"/>
    <n v="1400"/>
    <n v="-55"/>
    <n v="-444"/>
    <n v="-271"/>
    <n v="-380"/>
    <n v="-1047"/>
    <n v="-1080"/>
    <n v="-994"/>
    <n v="-628"/>
    <n v="-351"/>
    <n v="-524"/>
    <n v="-128"/>
    <n v="-465"/>
    <n v="-6367"/>
    <n v="337"/>
  </r>
  <r>
    <x v="1"/>
    <x v="1"/>
    <x v="0"/>
    <s v="2306200"/>
    <n v="400029"/>
    <s v="MD Practice Other Rev--Self Pay"/>
    <s v="Enumclaw Med&amp; Spec-Fam Med wOB"/>
    <x v="0"/>
    <n v="1500"/>
    <n v="0"/>
    <n v="-23"/>
    <n v="0"/>
    <n v="0"/>
    <n v="0"/>
    <n v="0"/>
    <n v="0"/>
    <n v="0"/>
    <n v="0"/>
    <n v="-139"/>
    <n v="0"/>
    <n v="0"/>
    <n v="-162"/>
    <n v="0"/>
  </r>
  <r>
    <x v="1"/>
    <x v="1"/>
    <x v="0"/>
    <s v="2306200"/>
    <n v="400029"/>
    <s v="MD Practice Other Rev--Other"/>
    <s v="Enumclaw Med&amp; Spec-Fam Med wOB"/>
    <x v="0"/>
    <n v="1700"/>
    <n v="0"/>
    <n v="-228"/>
    <n v="-60"/>
    <n v="0"/>
    <n v="0"/>
    <n v="0"/>
    <n v="0"/>
    <n v="0"/>
    <n v="0"/>
    <n v="-146"/>
    <n v="-54"/>
    <n v="0"/>
    <n v="-488"/>
    <n v="-54"/>
  </r>
  <r>
    <x v="1"/>
    <x v="1"/>
    <x v="0"/>
    <s v="2306200"/>
    <n v="400040"/>
    <s v="Physician Svcs Rev--Medicare"/>
    <s v="Enumclaw Med&amp; Spec-Fam Med wOB"/>
    <x v="0"/>
    <n v="1100"/>
    <n v="-21271"/>
    <n v="-34121"/>
    <n v="-25401"/>
    <n v="-28999"/>
    <n v="-24424"/>
    <n v="-20223"/>
    <n v="-18250"/>
    <n v="-21577"/>
    <n v="-20194"/>
    <n v="-26063"/>
    <n v="-24610"/>
    <n v="-31470.22"/>
    <n v="-296603.21999999997"/>
    <n v="6860.2200000000012"/>
  </r>
  <r>
    <x v="1"/>
    <x v="1"/>
    <x v="0"/>
    <s v="2306200"/>
    <n v="400040"/>
    <s v="Physician Svcs Rev--Medicaid"/>
    <s v="Enumclaw Med&amp; Spec-Fam Med wOB"/>
    <x v="0"/>
    <n v="1200"/>
    <n v="-59599.62"/>
    <n v="-19641.759999999998"/>
    <n v="-30269.08"/>
    <n v="-50492.88"/>
    <n v="-22929.17"/>
    <n v="-12523.68"/>
    <n v="-14282.44"/>
    <n v="-43903.28"/>
    <n v="-35185.4"/>
    <n v="-37975.49"/>
    <n v="-38156.68"/>
    <n v="-15366.44"/>
    <n v="-380325.92"/>
    <n v="-22790.239999999998"/>
  </r>
  <r>
    <x v="1"/>
    <x v="1"/>
    <x v="0"/>
    <s v="2306200"/>
    <n v="400040"/>
    <s v="Physician Svcs Rev--Comm Insurance"/>
    <s v="Enumclaw Med&amp; Spec-Fam Med wOB"/>
    <x v="0"/>
    <n v="1300"/>
    <n v="-4723.71"/>
    <n v="-2726.2"/>
    <n v="-2306.5700000000002"/>
    <n v="-1919.72"/>
    <n v="-1184.1199999999999"/>
    <n v="-3109.76"/>
    <n v="-13348"/>
    <n v="-2975.23"/>
    <n v="-4906.16"/>
    <n v="-9705"/>
    <n v="-17932.16"/>
    <n v="-3948.28"/>
    <n v="-68784.91"/>
    <n v="-13983.88"/>
  </r>
  <r>
    <x v="1"/>
    <x v="1"/>
    <x v="0"/>
    <s v="2306200"/>
    <n v="400040"/>
    <s v="Physician Svcs Rev--BCBS Comm"/>
    <s v="Enumclaw Med&amp; Spec-Fam Med wOB"/>
    <x v="0"/>
    <n v="1301"/>
    <n v="-36754.379999999997"/>
    <n v="-39827.68"/>
    <n v="-15026.3"/>
    <n v="-34750.35"/>
    <n v="-9694.85"/>
    <n v="-14419"/>
    <n v="-8034.59"/>
    <n v="-29267.5"/>
    <n v="-26079.75"/>
    <n v="-28477.24"/>
    <n v="-37249.61"/>
    <n v="-27669.7"/>
    <n v="-307250.95"/>
    <n v="-9579.91"/>
  </r>
  <r>
    <x v="1"/>
    <x v="1"/>
    <x v="0"/>
    <s v="2306200"/>
    <n v="400040"/>
    <s v="Physician Svcs Rev--Managed Care"/>
    <s v="Enumclaw Med&amp; Spec-Fam Med wOB"/>
    <x v="0"/>
    <n v="1400"/>
    <n v="-59414.86"/>
    <n v="-43431.95"/>
    <n v="-41924.400000000001"/>
    <n v="-58423.25"/>
    <n v="-60373.15"/>
    <n v="-35151.47"/>
    <n v="-36911.21"/>
    <n v="-24324.68"/>
    <n v="-42211"/>
    <n v="-47011.19"/>
    <n v="-57985.84"/>
    <n v="-66433.59"/>
    <n v="-573596.59"/>
    <n v="8447.75"/>
  </r>
  <r>
    <x v="1"/>
    <x v="1"/>
    <x v="0"/>
    <s v="2306200"/>
    <n v="400040"/>
    <s v="Physician Svcs Rev--Self Pay"/>
    <s v="Enumclaw Med&amp; Spec-Fam Med wOB"/>
    <x v="0"/>
    <n v="1500"/>
    <n v="-6575.88"/>
    <n v="3177.24"/>
    <n v="-1870.4"/>
    <n v="-764"/>
    <n v="-2404.4"/>
    <n v="-252.24"/>
    <n v="-1691.88"/>
    <n v="45.44"/>
    <n v="-1369.2"/>
    <n v="-1165.1199999999999"/>
    <n v="-1474.76"/>
    <n v="-4424"/>
    <n v="-18769.200000000004"/>
    <n v="2949.24"/>
  </r>
  <r>
    <x v="1"/>
    <x v="1"/>
    <x v="0"/>
    <s v="2306200"/>
    <n v="400040"/>
    <s v="Physician Svcs Rev--Other"/>
    <s v="Enumclaw Med&amp; Spec-Fam Med wOB"/>
    <x v="0"/>
    <n v="1700"/>
    <n v="-200"/>
    <n v="-294"/>
    <n v="-840"/>
    <n v="-81.52"/>
    <n v="-924"/>
    <n v="-650"/>
    <n v="-1417"/>
    <n v="-341"/>
    <n v="-884"/>
    <n v="-1320"/>
    <n v="-12690"/>
    <n v="-1240"/>
    <n v="-20881.52"/>
    <n v="-11450"/>
  </r>
  <r>
    <x v="2"/>
    <x v="1"/>
    <x v="0"/>
    <s v="2306200"/>
    <n v="450029"/>
    <s v="Contr Allow--MD Other-Medicare"/>
    <s v="Enumclaw Med&amp; Spec-Fam Med wOB"/>
    <x v="0"/>
    <n v="1100"/>
    <n v="445.69"/>
    <n v="175.45"/>
    <n v="345.24"/>
    <n v="407.69"/>
    <n v="363.99"/>
    <n v="123.19"/>
    <n v="70.180000000000007"/>
    <n v="269.02"/>
    <n v="372.53"/>
    <n v="173.32"/>
    <n v="613.65"/>
    <n v="561.42999999999995"/>
    <n v="3921.3799999999997"/>
    <n v="52.220000000000027"/>
  </r>
  <r>
    <x v="2"/>
    <x v="1"/>
    <x v="0"/>
    <s v="2306200"/>
    <n v="450029"/>
    <s v="Contr Allow--MD Other-Medicaid"/>
    <s v="Enumclaw Med&amp; Spec-Fam Med wOB"/>
    <x v="0"/>
    <n v="1200"/>
    <n v="295.98"/>
    <n v="302.58999999999997"/>
    <n v="567.39"/>
    <n v="239.92"/>
    <n v="373.87"/>
    <n v="579.14"/>
    <n v="812.63"/>
    <n v="1002.6"/>
    <n v="643.34"/>
    <n v="232.73"/>
    <n v="306.63"/>
    <n v="40.54"/>
    <n v="5397.36"/>
    <n v="266.08999999999997"/>
  </r>
  <r>
    <x v="2"/>
    <x v="1"/>
    <x v="0"/>
    <s v="2306200"/>
    <n v="450029"/>
    <s v="Contr Allow--MD Other-Comm Insurance"/>
    <s v="Enumclaw Med&amp; Spec-Fam Med wOB"/>
    <x v="0"/>
    <n v="1300"/>
    <n v="0"/>
    <n v="15.33"/>
    <n v="0"/>
    <n v="0"/>
    <n v="27.3"/>
    <n v="30.45"/>
    <n v="0"/>
    <n v="15.35"/>
    <n v="24.52"/>
    <n v="19.03"/>
    <n v="0"/>
    <n v="0"/>
    <n v="131.97999999999999"/>
    <n v="0"/>
  </r>
  <r>
    <x v="2"/>
    <x v="1"/>
    <x v="0"/>
    <s v="2306200"/>
    <n v="450029"/>
    <s v="Contr Allow--MD Other BCBS Comm"/>
    <s v="Enumclaw Med&amp; Spec-Fam Med wOB"/>
    <x v="0"/>
    <n v="1301"/>
    <n v="39.53"/>
    <n v="70.84"/>
    <n v="57.76"/>
    <n v="144.78"/>
    <n v="148.24"/>
    <n v="166.13"/>
    <n v="160.86000000000001"/>
    <n v="192.3"/>
    <n v="348.73"/>
    <n v="60.92"/>
    <n v="78.33"/>
    <n v="-54.58"/>
    <n v="1413.8400000000001"/>
    <n v="132.91"/>
  </r>
  <r>
    <x v="2"/>
    <x v="1"/>
    <x v="0"/>
    <s v="2306200"/>
    <n v="450029"/>
    <s v="Contr Allow--MD Other-Managed Care"/>
    <s v="Enumclaw Med&amp; Spec-Fam Med wOB"/>
    <x v="0"/>
    <n v="1400"/>
    <n v="265.25"/>
    <n v="78.13"/>
    <n v="125.71"/>
    <n v="205.56"/>
    <n v="315.45"/>
    <n v="341.57"/>
    <n v="300.94"/>
    <n v="196.84"/>
    <n v="385.73"/>
    <n v="176.97"/>
    <n v="222.76"/>
    <n v="208.65"/>
    <n v="2823.56"/>
    <n v="14.109999999999985"/>
  </r>
  <r>
    <x v="2"/>
    <x v="1"/>
    <x v="0"/>
    <s v="2306200"/>
    <n v="450029"/>
    <s v="Admin Adjust-MD Other-Self Pay"/>
    <s v="Enumclaw Med&amp; Spec-Fam Med wOB"/>
    <x v="0"/>
    <n v="1600"/>
    <n v="9.01"/>
    <n v="7.58"/>
    <n v="14.75"/>
    <n v="0"/>
    <n v="-4.12"/>
    <n v="0"/>
    <n v="0"/>
    <n v="12.67"/>
    <n v="8.14"/>
    <n v="63.27"/>
    <n v="4.49"/>
    <n v="4.3600000000000003"/>
    <n v="120.15"/>
    <n v="0.12999999999999989"/>
  </r>
  <r>
    <x v="2"/>
    <x v="1"/>
    <x v="0"/>
    <s v="2306200"/>
    <n v="450029"/>
    <s v="Contr Allow--MD Other-Other"/>
    <s v="Enumclaw Med&amp; Spec-Fam Med wOB"/>
    <x v="0"/>
    <n v="1700"/>
    <n v="63.26"/>
    <n v="16.45"/>
    <n v="102.44"/>
    <n v="25.4"/>
    <n v="0"/>
    <n v="0"/>
    <n v="0"/>
    <n v="0"/>
    <n v="9.92"/>
    <n v="0"/>
    <n v="43.86"/>
    <n v="55"/>
    <n v="316.33"/>
    <n v="-11.14"/>
  </r>
  <r>
    <x v="2"/>
    <x v="1"/>
    <x v="0"/>
    <s v="2306200"/>
    <n v="450040"/>
    <s v="Contr Allow--Phys Svcs--Mcare"/>
    <s v="Enumclaw Med&amp; Spec-Fam Med wOB"/>
    <x v="0"/>
    <n v="1100"/>
    <n v="13101.65"/>
    <n v="19608.86"/>
    <n v="16081.38"/>
    <n v="19325.830000000002"/>
    <n v="16341.4"/>
    <n v="17936.13"/>
    <n v="10159.74"/>
    <n v="9646.6200000000008"/>
    <n v="12067.41"/>
    <n v="16200.4"/>
    <n v="15631.17"/>
    <n v="16658.61"/>
    <n v="182759.2"/>
    <n v="-1027.4400000000005"/>
  </r>
  <r>
    <x v="2"/>
    <x v="1"/>
    <x v="0"/>
    <s v="2306200"/>
    <n v="450040"/>
    <s v="Contr Allow--Phys Svcs--Mcaid"/>
    <s v="Enumclaw Med&amp; Spec-Fam Med wOB"/>
    <x v="0"/>
    <n v="1200"/>
    <n v="32975.440000000002"/>
    <n v="21144.86"/>
    <n v="12942.49"/>
    <n v="35384.870000000003"/>
    <n v="20159.330000000002"/>
    <n v="6540.55"/>
    <n v="5754.61"/>
    <n v="22367.51"/>
    <n v="15813.49"/>
    <n v="30877.64"/>
    <n v="24702"/>
    <n v="14908.12"/>
    <n v="243570.90999999997"/>
    <n v="9793.8799999999992"/>
  </r>
  <r>
    <x v="2"/>
    <x v="1"/>
    <x v="0"/>
    <s v="2306200"/>
    <n v="450040"/>
    <s v="Contr Allow--Phys Svcs--Comm Insurance"/>
    <s v="Enumclaw Med&amp; Spec-Fam Med wOB"/>
    <x v="0"/>
    <n v="1300"/>
    <n v="1551.47"/>
    <n v="1001.61"/>
    <n v="1491.33"/>
    <n v="891.32"/>
    <n v="1379.99"/>
    <n v="1129.97"/>
    <n v="1479.56"/>
    <n v="738.99"/>
    <n v="3702.65"/>
    <n v="2106.23"/>
    <n v="2499.7800000000002"/>
    <n v="2041.55"/>
    <n v="20014.449999999997"/>
    <n v="458.23000000000025"/>
  </r>
  <r>
    <x v="2"/>
    <x v="1"/>
    <x v="0"/>
    <s v="2306200"/>
    <n v="450040"/>
    <s v="Contr Allow--Phys Svcs--BCBS Comm Ins"/>
    <s v="Enumclaw Med&amp; Spec-Fam Med wOB"/>
    <x v="0"/>
    <n v="1301"/>
    <n v="24085.37"/>
    <n v="15865.8"/>
    <n v="7788.24"/>
    <n v="7656.83"/>
    <n v="7707.8"/>
    <n v="8895.59"/>
    <n v="3045.53"/>
    <n v="4975.3999999999996"/>
    <n v="11767.83"/>
    <n v="7606.31"/>
    <n v="9569.6"/>
    <n v="16189.83"/>
    <n v="125154.13"/>
    <n v="-6620.23"/>
  </r>
  <r>
    <x v="2"/>
    <x v="1"/>
    <x v="0"/>
    <s v="2306200"/>
    <n v="450040"/>
    <s v="Contr Allow--Phys Svcs--Managed Care"/>
    <s v="Enumclaw Med&amp; Spec-Fam Med wOB"/>
    <x v="0"/>
    <n v="1400"/>
    <n v="42122.41"/>
    <n v="24642.92"/>
    <n v="21559.13"/>
    <n v="21216.720000000001"/>
    <n v="23449.67"/>
    <n v="11451.29"/>
    <n v="11419.42"/>
    <n v="17888.439999999999"/>
    <n v="12091.51"/>
    <n v="21847.62"/>
    <n v="19540.240000000002"/>
    <n v="23553.24"/>
    <n v="250782.61000000002"/>
    <n v="-4013"/>
  </r>
  <r>
    <x v="2"/>
    <x v="1"/>
    <x v="0"/>
    <s v="2306200"/>
    <n v="450040"/>
    <s v="Contr Allow--Phys Svcs--BCBS Mgnd Care"/>
    <s v="Enumclaw Med&amp; Spec-Fam Med wOB"/>
    <x v="0"/>
    <n v="1401"/>
    <n v="-10385.959999999999"/>
    <n v="-17371.669999999998"/>
    <n v="-4175.59"/>
    <n v="-1223.28"/>
    <n v="-13370.51"/>
    <n v="-4964.62"/>
    <n v="13721.5"/>
    <n v="12533.99"/>
    <n v="9383.2800000000007"/>
    <n v="-7009.88"/>
    <n v="13364.25"/>
    <n v="-11101.7"/>
    <n v="-20600.190000000006"/>
    <n v="24465.95"/>
  </r>
  <r>
    <x v="2"/>
    <x v="1"/>
    <x v="0"/>
    <s v="2306200"/>
    <n v="450040"/>
    <s v="Admin Adjust-Phys Svcs-Self Pay"/>
    <s v="Enumclaw Med&amp; Spec-Fam Med wOB"/>
    <x v="0"/>
    <n v="1600"/>
    <n v="2189.27"/>
    <n v="1487.05"/>
    <n v="1568.13"/>
    <n v="537.29999999999995"/>
    <n v="898.72"/>
    <n v="175.5"/>
    <n v="1190.8"/>
    <n v="184.82"/>
    <n v="803.86"/>
    <n v="939.12"/>
    <n v="687.38"/>
    <n v="1954.23"/>
    <n v="12616.18"/>
    <n v="-1266.8499999999999"/>
  </r>
  <r>
    <x v="2"/>
    <x v="1"/>
    <x v="0"/>
    <s v="2306200"/>
    <n v="450040"/>
    <s v="Contr Allow--Phys Svcs--Other"/>
    <s v="Enumclaw Med&amp; Spec-Fam Med wOB"/>
    <x v="0"/>
    <n v="1700"/>
    <n v="1023.32"/>
    <n v="328.88"/>
    <n v="636.66"/>
    <n v="447.79"/>
    <n v="594.55999999999995"/>
    <n v="302.74"/>
    <n v="834.34"/>
    <n v="119.71"/>
    <n v="184.55"/>
    <n v="500.77"/>
    <n v="3920.88"/>
    <n v="4797.8500000000004"/>
    <n v="13692.050000000001"/>
    <n v="-876.97000000000025"/>
  </r>
  <r>
    <x v="3"/>
    <x v="1"/>
    <x v="0"/>
    <s v="2306200"/>
    <n v="470040"/>
    <s v="Charity Care-Physician Svcs"/>
    <s v="Enumclaw Med&amp; Spec-Fam Med wOB"/>
    <x v="0"/>
    <m/>
    <n v="3435.6"/>
    <n v="1102.28"/>
    <n v="-278.29000000000002"/>
    <n v="2266.5"/>
    <n v="-99.57"/>
    <n v="-156.08000000000001"/>
    <n v="1123.99"/>
    <n v="248.5"/>
    <n v="1675.66"/>
    <n v="-242.82"/>
    <n v="1099.71"/>
    <n v="680.65"/>
    <n v="10856.13"/>
    <n v="419.06000000000006"/>
  </r>
  <r>
    <x v="4"/>
    <x v="1"/>
    <x v="0"/>
    <s v="2306200"/>
    <n v="490010"/>
    <s v="Provision for Bad Debts"/>
    <s v="Enumclaw Med&amp; Spec-Fam Med wOB"/>
    <x v="0"/>
    <m/>
    <n v="-1399.01"/>
    <n v="-2199.11"/>
    <n v="15258.51"/>
    <n v="2321.7399999999998"/>
    <n v="-782.94"/>
    <n v="-629.77"/>
    <n v="636.70000000000005"/>
    <n v="2233.02"/>
    <n v="2372.9699999999998"/>
    <n v="-1592.08"/>
    <n v="2257.19"/>
    <n v="988.59"/>
    <n v="19465.810000000001"/>
    <n v="1268.5999999999999"/>
  </r>
  <r>
    <x v="5"/>
    <x v="1"/>
    <x v="0"/>
    <s v="2306200"/>
    <n v="700022"/>
    <s v="Salaries-Physician-Productive"/>
    <s v="Enumclaw Med&amp; Spec-Fam Med wOB"/>
    <x v="0"/>
    <m/>
    <n v="39417.18"/>
    <n v="48321"/>
    <n v="44673.79"/>
    <n v="38723.919999999998"/>
    <n v="60851.45"/>
    <n v="37907.78"/>
    <n v="46402.33"/>
    <n v="57620.21"/>
    <n v="54643.7"/>
    <n v="59687.040000000001"/>
    <n v="58271.95"/>
    <n v="40037.56"/>
    <n v="586557.90999999992"/>
    <n v="18234.39"/>
  </r>
  <r>
    <x v="5"/>
    <x v="1"/>
    <x v="0"/>
    <s v="2306200"/>
    <n v="700022"/>
    <s v="Salaries-Physician-Other"/>
    <s v="Enumclaw Med&amp; Spec-Fam Med wOB"/>
    <x v="0"/>
    <n v="2000"/>
    <n v="3553.82"/>
    <n v="3715.38"/>
    <n v="3230.76"/>
    <n v="3715.38"/>
    <n v="3553.84"/>
    <n v="3392.28"/>
    <n v="3721.06"/>
    <n v="3208.07"/>
    <n v="3397.28"/>
    <n v="3557.51"/>
    <n v="3717.48"/>
    <n v="3229.79"/>
    <n v="41992.65"/>
    <n v="487.69000000000005"/>
  </r>
  <r>
    <x v="5"/>
    <x v="1"/>
    <x v="0"/>
    <s v="2306200"/>
    <n v="700024"/>
    <s v="Salaries-Advanced Practice Clinician-Productive"/>
    <s v="Enumclaw Med&amp; Spec-Fam Med wOB"/>
    <x v="0"/>
    <m/>
    <n v="0"/>
    <n v="0"/>
    <n v="0"/>
    <n v="0"/>
    <n v="0"/>
    <n v="4683.88"/>
    <n v="10471.91"/>
    <n v="9476.31"/>
    <n v="7817.93"/>
    <n v="-1658.35"/>
    <n v="0"/>
    <n v="0"/>
    <n v="30791.68"/>
    <n v="0"/>
  </r>
  <r>
    <x v="5"/>
    <x v="1"/>
    <x v="0"/>
    <s v="2306200"/>
    <n v="700024"/>
    <s v="Salaries-Advanced Practice Clinician-Other"/>
    <s v="Enumclaw Med&amp; Spec-Fam Med wOB"/>
    <x v="0"/>
    <n v="2000"/>
    <n v="0"/>
    <n v="0"/>
    <n v="0"/>
    <n v="0"/>
    <n v="0"/>
    <n v="453.08"/>
    <n v="885.96"/>
    <n v="770.36"/>
    <n v="808.89"/>
    <n v="-192.59"/>
    <n v="0"/>
    <n v="0"/>
    <n v="2725.7"/>
    <n v="0"/>
  </r>
  <r>
    <x v="5"/>
    <x v="1"/>
    <x v="0"/>
    <s v="2306200"/>
    <n v="700026"/>
    <s v="Salaries-RN-Productive"/>
    <s v="Enumclaw Med&amp; Spec-Fam Med wOB"/>
    <x v="0"/>
    <m/>
    <n v="4847.5600000000004"/>
    <n v="4945.88"/>
    <n v="4454.3100000000004"/>
    <n v="5718.64"/>
    <n v="4806.08"/>
    <n v="4771.6499999999996"/>
    <n v="5330.82"/>
    <n v="3900.67"/>
    <n v="5172.16"/>
    <n v="4509.01"/>
    <n v="5916.88"/>
    <n v="4327.12"/>
    <n v="58700.780000000006"/>
    <n v="1589.7600000000002"/>
  </r>
  <r>
    <x v="5"/>
    <x v="1"/>
    <x v="0"/>
    <s v="2306200"/>
    <n v="700026"/>
    <s v="Salaries-RN-OT"/>
    <s v="Enumclaw Med&amp; Spec-Fam Med wOB"/>
    <x v="0"/>
    <n v="1000"/>
    <n v="104.36"/>
    <n v="-13.61"/>
    <n v="68.05"/>
    <n v="248.49"/>
    <n v="7.06"/>
    <n v="410.94"/>
    <n v="543.25"/>
    <n v="206.94"/>
    <n v="366.88"/>
    <n v="47.03"/>
    <n v="35.26"/>
    <n v="117.58"/>
    <n v="2142.23"/>
    <n v="-82.32"/>
  </r>
  <r>
    <x v="5"/>
    <x v="1"/>
    <x v="0"/>
    <s v="2306200"/>
    <n v="700030"/>
    <s v="Salaries-LPN-Productive"/>
    <s v="Enumclaw Med&amp; Spec-Fam Med wOB"/>
    <x v="0"/>
    <m/>
    <n v="8570.26"/>
    <n v="10219.75"/>
    <n v="10932.95"/>
    <n v="11949.87"/>
    <n v="12339.97"/>
    <n v="5026.04"/>
    <n v="9305.33"/>
    <n v="10859.06"/>
    <n v="11353.17"/>
    <n v="11363.56"/>
    <n v="12448.22"/>
    <n v="9298.98"/>
    <n v="123667.15999999999"/>
    <n v="3149.24"/>
  </r>
  <r>
    <x v="5"/>
    <x v="1"/>
    <x v="0"/>
    <s v="2306200"/>
    <n v="700030"/>
    <s v="Salaries-LPN-OT"/>
    <s v="Enumclaw Med&amp; Spec-Fam Med wOB"/>
    <x v="0"/>
    <n v="1000"/>
    <n v="523.1"/>
    <n v="723.83"/>
    <n v="1496.31"/>
    <n v="1445.23"/>
    <n v="407.83"/>
    <n v="193.51"/>
    <n v="139.52000000000001"/>
    <n v="513.22"/>
    <n v="835.87"/>
    <n v="1118.0899999999999"/>
    <n v="1280.5899999999999"/>
    <n v="124.59"/>
    <n v="8801.69"/>
    <n v="1156"/>
  </r>
  <r>
    <x v="5"/>
    <x v="1"/>
    <x v="0"/>
    <s v="2306200"/>
    <n v="700030"/>
    <s v="Salaries-LPN-Other"/>
    <s v="Enumclaw Med&amp; Spec-Fam Med wOB"/>
    <x v="0"/>
    <n v="2000"/>
    <n v="0"/>
    <n v="0"/>
    <n v="0"/>
    <n v="3.25"/>
    <n v="0"/>
    <n v="163.53"/>
    <n v="9.91"/>
    <n v="-0.9"/>
    <n v="0"/>
    <n v="0"/>
    <n v="0"/>
    <n v="0"/>
    <n v="175.79"/>
    <n v="0"/>
  </r>
  <r>
    <x v="5"/>
    <x v="1"/>
    <x v="0"/>
    <s v="2306200"/>
    <n v="700032"/>
    <s v="Salaries-Other Pat Care Providers-Productive"/>
    <s v="Enumclaw Med&amp; Spec-Fam Med wOB"/>
    <x v="0"/>
    <m/>
    <n v="0"/>
    <n v="0"/>
    <n v="0"/>
    <n v="0"/>
    <n v="0"/>
    <n v="0"/>
    <n v="333.83"/>
    <n v="-95.38"/>
    <n v="0"/>
    <n v="0"/>
    <n v="0"/>
    <n v="0"/>
    <n v="238.45"/>
    <n v="0"/>
  </r>
  <r>
    <x v="5"/>
    <x v="1"/>
    <x v="0"/>
    <s v="2306200"/>
    <n v="700062"/>
    <s v="Salaries-Physician-Non-productive"/>
    <s v="Enumclaw Med&amp; Spec-Fam Med wOB"/>
    <x v="0"/>
    <m/>
    <n v="9079.58"/>
    <n v="7430.75"/>
    <n v="3315.45"/>
    <n v="16463.7"/>
    <n v="-4298.4799999999996"/>
    <n v="16433.96"/>
    <n v="13205.87"/>
    <n v="-2815.32"/>
    <n v="2357.54"/>
    <n v="0"/>
    <n v="0"/>
    <n v="10060.08"/>
    <n v="71233.13"/>
    <n v="-10060.08"/>
  </r>
  <r>
    <x v="5"/>
    <x v="1"/>
    <x v="0"/>
    <s v="2306200"/>
    <n v="700064"/>
    <s v="Salaries-Advanced Practice Clinician-Non-Productive"/>
    <s v="Enumclaw Med&amp; Spec-Fam Med wOB"/>
    <x v="0"/>
    <m/>
    <n v="0"/>
    <n v="0"/>
    <n v="0"/>
    <n v="0"/>
    <n v="0"/>
    <n v="520.42999999999995"/>
    <n v="426.51"/>
    <n v="0"/>
    <n v="2132.16"/>
    <n v="-710.72"/>
    <n v="0"/>
    <n v="0"/>
    <n v="2368.38"/>
    <n v="0"/>
  </r>
  <r>
    <x v="5"/>
    <x v="1"/>
    <x v="0"/>
    <s v="2306200"/>
    <n v="700066"/>
    <s v="Salaries-RN-Non-productive"/>
    <s v="Enumclaw Med&amp; Spec-Fam Med wOB"/>
    <x v="0"/>
    <m/>
    <n v="484"/>
    <n v="605"/>
    <n v="393.25"/>
    <n v="0"/>
    <n v="704.48"/>
    <n v="594.1"/>
    <n v="555.84"/>
    <n v="1091.19"/>
    <n v="125.43"/>
    <n v="727.45"/>
    <n v="-45.47"/>
    <n v="877.98"/>
    <n v="6113.25"/>
    <n v="-923.45"/>
  </r>
  <r>
    <x v="5"/>
    <x v="1"/>
    <x v="0"/>
    <s v="2306200"/>
    <n v="700066"/>
    <s v="Salaries-RN-NonProd-Other"/>
    <s v="Enumclaw Med&amp; Spec-Fam Med wOB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6200"/>
    <n v="700070"/>
    <s v="Salaries-LPN-Non-productive"/>
    <s v="Enumclaw Med&amp; Spec-Fam Med wOB"/>
    <x v="0"/>
    <m/>
    <n v="2588.0300000000002"/>
    <n v="1380.46"/>
    <n v="459.02"/>
    <n v="0"/>
    <n v="0"/>
    <n v="5725.92"/>
    <n v="3750.59"/>
    <n v="-52.22"/>
    <n v="123.57"/>
    <n v="340.84"/>
    <n v="230.71"/>
    <n v="1238.8900000000001"/>
    <n v="15785.81"/>
    <n v="-1008.1800000000001"/>
  </r>
  <r>
    <x v="5"/>
    <x v="1"/>
    <x v="0"/>
    <s v="2306200"/>
    <n v="700070"/>
    <s v="Salaries-LPN-NonProd-Other"/>
    <s v="Enumclaw Med&amp; Spec-Fam Med wOB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6200"/>
    <n v="700084"/>
    <s v="Accrued PTO"/>
    <s v="Enumclaw Med&amp; Spec-Fam Med wOB"/>
    <x v="0"/>
    <m/>
    <n v="-1191.74"/>
    <n v="294.45999999999998"/>
    <n v="614.52"/>
    <n v="2235.2399999999998"/>
    <n v="1555.01"/>
    <n v="-2994.81"/>
    <n v="-2865.14"/>
    <n v="197.23"/>
    <n v="1383.74"/>
    <n v="1485.76"/>
    <n v="1422.57"/>
    <n v="549.30999999999995"/>
    <n v="2686.15"/>
    <n v="873.26"/>
  </r>
  <r>
    <x v="6"/>
    <x v="1"/>
    <x v="0"/>
    <s v="2306200"/>
    <n v="713010"/>
    <s v="Benefits-FICA/Medicare"/>
    <s v="Enumclaw Med&amp; Spec-Fam Med wOB"/>
    <x v="0"/>
    <m/>
    <n v="2009.28"/>
    <n v="2165.6799999999998"/>
    <n v="2052.3000000000002"/>
    <n v="2275.2800000000002"/>
    <n v="2211.2600000000002"/>
    <n v="4463.2299999999996"/>
    <n v="7167.8"/>
    <n v="6394.41"/>
    <n v="6720.79"/>
    <n v="4909.47"/>
    <n v="3667.37"/>
    <n v="1361.69"/>
    <n v="45398.560000000005"/>
    <n v="2305.6799999999998"/>
  </r>
  <r>
    <x v="6"/>
    <x v="1"/>
    <x v="0"/>
    <s v="2306200"/>
    <n v="713090"/>
    <s v="Benefits-Allocated Amounts"/>
    <s v="Enumclaw Med&amp; Spec-Fam Med wOB"/>
    <x v="0"/>
    <m/>
    <n v="0"/>
    <n v="0"/>
    <n v="0"/>
    <n v="0"/>
    <n v="0"/>
    <n v="0"/>
    <n v="0"/>
    <n v="0"/>
    <n v="47088.78"/>
    <n v="5298.38"/>
    <n v="5310.19"/>
    <n v="4964.78"/>
    <n v="62662.13"/>
    <n v="345.40999999999985"/>
  </r>
  <r>
    <x v="6"/>
    <x v="1"/>
    <x v="0"/>
    <s v="2306200"/>
    <n v="713092"/>
    <s v="Allocated Benefits-Physician"/>
    <s v="Enumclaw Med&amp; Spec-Fam Med wOB"/>
    <x v="0"/>
    <m/>
    <n v="7446.53"/>
    <n v="7117.55"/>
    <n v="7469.95"/>
    <n v="7717.74"/>
    <n v="7717.76"/>
    <n v="8318.4599999999991"/>
    <n v="10750.83"/>
    <n v="10258.709999999999"/>
    <n v="-37360.410000000003"/>
    <n v="3312.24"/>
    <n v="3319.61"/>
    <n v="3103.69"/>
    <n v="39172.659999999996"/>
    <n v="215.92000000000007"/>
  </r>
  <r>
    <x v="6"/>
    <x v="1"/>
    <x v="0"/>
    <s v="2306200"/>
    <n v="713093"/>
    <s v="Allocated Benefits-Advanced Practice Clinician"/>
    <s v="Enumclaw Med&amp; Spec-Fam Med wOB"/>
    <x v="0"/>
    <m/>
    <n v="0"/>
    <n v="0"/>
    <n v="0"/>
    <n v="0"/>
    <n v="0"/>
    <n v="0"/>
    <n v="0"/>
    <n v="0"/>
    <n v="1132.2"/>
    <n v="127.39"/>
    <n v="127.68"/>
    <n v="119.37"/>
    <n v="1506.6400000000003"/>
    <n v="8.3100000000000023"/>
  </r>
  <r>
    <x v="7"/>
    <x v="1"/>
    <x v="0"/>
    <s v="2306200"/>
    <n v="718040"/>
    <s v="Contract Svcs-Laboratory"/>
    <s v="Enumclaw Med&amp; Spec-Fam Med wOB"/>
    <x v="0"/>
    <m/>
    <n v="51.2"/>
    <n v="0"/>
    <n v="0"/>
    <n v="0"/>
    <n v="0"/>
    <n v="0"/>
    <n v="0"/>
    <n v="0"/>
    <n v="0"/>
    <n v="0"/>
    <n v="0"/>
    <n v="0"/>
    <n v="51.2"/>
    <n v="0"/>
  </r>
  <r>
    <x v="0"/>
    <x v="1"/>
    <x v="0"/>
    <s v="2306200"/>
    <n v="740022"/>
    <s v="Education-Physician"/>
    <s v="Enumclaw Med&amp; Spec-Fam Med wOB"/>
    <x v="0"/>
    <m/>
    <n v="0"/>
    <n v="0"/>
    <n v="0"/>
    <n v="0"/>
    <n v="0"/>
    <n v="0"/>
    <n v="0"/>
    <n v="0"/>
    <n v="0"/>
    <n v="0"/>
    <n v="0"/>
    <n v="2030"/>
    <n v="2030"/>
    <n v="-2030"/>
  </r>
  <r>
    <x v="8"/>
    <x v="1"/>
    <x v="0"/>
    <s v="2306200"/>
    <n v="741012"/>
    <s v="Physician Liab Insurance-CHI Program"/>
    <s v="Enumclaw Med&amp; Spec-Fam Med wOB"/>
    <x v="0"/>
    <m/>
    <n v="2368.34"/>
    <n v="2368.34"/>
    <n v="2368.34"/>
    <n v="2368.34"/>
    <n v="2368.34"/>
    <n v="2368.3200000000002"/>
    <n v="2368.34"/>
    <n v="2368.3200000000002"/>
    <n v="2368.34"/>
    <n v="2368.3200000000002"/>
    <n v="2368.34"/>
    <n v="2368.3200000000002"/>
    <n v="28420"/>
    <n v="1.999999999998181E-2"/>
  </r>
  <r>
    <x v="0"/>
    <x v="1"/>
    <x v="0"/>
    <s v="2306200"/>
    <n v="743022"/>
    <s v="Dues-Physician"/>
    <s v="Enumclaw Med&amp; Spec-Fam Med wOB"/>
    <x v="0"/>
    <m/>
    <n v="0"/>
    <n v="0"/>
    <n v="0"/>
    <n v="1500"/>
    <n v="0"/>
    <n v="0"/>
    <n v="0"/>
    <n v="0"/>
    <n v="0"/>
    <n v="0"/>
    <n v="0"/>
    <n v="885"/>
    <n v="2385"/>
    <n v="-885"/>
  </r>
  <r>
    <x v="0"/>
    <x v="1"/>
    <x v="0"/>
    <s v="2306200"/>
    <n v="743042"/>
    <s v="Subscriptions-Physician"/>
    <s v="Enumclaw Med&amp; Spec-Fam Med wOB"/>
    <x v="0"/>
    <m/>
    <n v="0"/>
    <n v="0"/>
    <n v="0"/>
    <n v="0"/>
    <n v="499.8"/>
    <n v="0"/>
    <n v="0"/>
    <n v="0"/>
    <n v="0"/>
    <n v="0"/>
    <n v="0"/>
    <n v="459"/>
    <n v="958.8"/>
    <n v="-459"/>
  </r>
  <r>
    <x v="0"/>
    <x v="1"/>
    <x v="0"/>
    <s v="2306200"/>
    <n v="743043"/>
    <s v="Subscriptions-Advanced Practice Clinician"/>
    <s v="Enumclaw Med&amp; Spec-Fam Med wOB"/>
    <x v="0"/>
    <m/>
    <n v="0"/>
    <n v="0"/>
    <n v="0"/>
    <n v="0"/>
    <n v="0"/>
    <n v="0"/>
    <n v="0"/>
    <n v="0"/>
    <n v="190.21"/>
    <n v="0"/>
    <n v="0"/>
    <n v="0"/>
    <n v="190.21"/>
    <n v="0"/>
  </r>
  <r>
    <x v="0"/>
    <x v="1"/>
    <x v="0"/>
    <s v="2306200"/>
    <n v="744012"/>
    <s v="Recruitment-Physician"/>
    <s v="Enumclaw Med&amp; Spec-Fam Med wOB"/>
    <x v="0"/>
    <m/>
    <n v="0"/>
    <n v="0"/>
    <n v="0"/>
    <n v="483.39"/>
    <n v="0"/>
    <n v="0"/>
    <n v="0"/>
    <n v="0"/>
    <n v="0"/>
    <n v="0"/>
    <n v="0"/>
    <n v="0"/>
    <n v="483.39"/>
    <n v="0"/>
  </r>
  <r>
    <x v="0"/>
    <x v="1"/>
    <x v="0"/>
    <s v="2306200"/>
    <n v="749510"/>
    <s v="Miscellaneous Expenses"/>
    <s v="Enumclaw Med&amp; Spec-Fam Med wOB"/>
    <x v="0"/>
    <m/>
    <n v="-5526.72"/>
    <n v="-11"/>
    <n v="0"/>
    <n v="1235.6099999999999"/>
    <n v="-1235.6099999999999"/>
    <n v="0"/>
    <n v="0"/>
    <n v="0"/>
    <n v="0"/>
    <n v="0"/>
    <n v="0"/>
    <n v="484"/>
    <n v="-5053.72"/>
    <n v="-484"/>
  </r>
  <r>
    <x v="0"/>
    <x v="1"/>
    <x v="0"/>
    <s v="2306200"/>
    <n v="749512"/>
    <s v="Licenses-Physician"/>
    <s v="Enumclaw Med&amp; Spec-Fam Med wOB"/>
    <x v="0"/>
    <n v="2000"/>
    <n v="0"/>
    <n v="0"/>
    <n v="0"/>
    <n v="0"/>
    <n v="659.5"/>
    <n v="657"/>
    <n v="0"/>
    <n v="0"/>
    <n v="0"/>
    <n v="0"/>
    <n v="0"/>
    <n v="0"/>
    <n v="1316.5"/>
    <n v="0"/>
  </r>
  <r>
    <x v="0"/>
    <x v="1"/>
    <x v="0"/>
    <s v="2306200"/>
    <n v="749513"/>
    <s v="Licenses-Advanced Practice Clinician"/>
    <s v="Enumclaw Med&amp; Spec-Fam Med wOB"/>
    <x v="0"/>
    <n v="2000"/>
    <n v="0"/>
    <n v="0"/>
    <n v="0"/>
    <n v="0"/>
    <n v="0"/>
    <n v="0"/>
    <n v="0"/>
    <n v="0"/>
    <n v="122.5"/>
    <n v="0"/>
    <n v="0"/>
    <n v="0"/>
    <n v="122.5"/>
    <n v="0"/>
  </r>
  <r>
    <x v="0"/>
    <x v="1"/>
    <x v="0"/>
    <s v="2306200"/>
    <n v="749530"/>
    <s v="Mileage"/>
    <s v="Enumclaw Med&amp; Spec-Fam Med wOB"/>
    <x v="0"/>
    <n v="1001"/>
    <n v="28.89"/>
    <n v="0"/>
    <n v="0"/>
    <n v="28.89"/>
    <n v="0"/>
    <n v="0"/>
    <n v="0"/>
    <n v="0"/>
    <n v="33.64"/>
    <n v="0"/>
    <n v="0"/>
    <n v="0"/>
    <n v="91.42"/>
    <n v="0"/>
  </r>
  <r>
    <x v="0"/>
    <x v="1"/>
    <x v="0"/>
    <s v="2306200"/>
    <n v="749532"/>
    <s v="Travel-Physician"/>
    <s v="Enumclaw Med&amp; Spec-Fam Med wOB"/>
    <x v="0"/>
    <m/>
    <n v="0"/>
    <n v="0"/>
    <n v="0"/>
    <n v="0"/>
    <n v="1580.61"/>
    <n v="0"/>
    <n v="0"/>
    <n v="0"/>
    <n v="0"/>
    <n v="0"/>
    <n v="0"/>
    <n v="993.41"/>
    <n v="2574.02"/>
    <n v="-993.41"/>
  </r>
  <r>
    <x v="0"/>
    <x v="1"/>
    <x v="0"/>
    <s v="2306200"/>
    <n v="749532"/>
    <s v="Business Meals-Physician"/>
    <s v="Enumclaw Med&amp; Spec-Fam Med wOB"/>
    <x v="0"/>
    <n v="2000"/>
    <n v="0"/>
    <n v="0"/>
    <n v="0"/>
    <n v="0"/>
    <n v="0"/>
    <n v="0"/>
    <n v="0"/>
    <n v="349.99"/>
    <n v="0"/>
    <n v="0"/>
    <n v="0"/>
    <n v="0"/>
    <n v="349.99"/>
    <n v="0"/>
  </r>
  <r>
    <x v="0"/>
    <x v="1"/>
    <x v="0"/>
    <s v="2306200"/>
    <n v="749532"/>
    <s v="Vehicle Expense-Physician"/>
    <s v="Enumclaw Med&amp; Spec-Fam Med wOB"/>
    <x v="0"/>
    <n v="2001"/>
    <n v="0"/>
    <n v="0"/>
    <n v="165.18"/>
    <n v="0"/>
    <n v="0"/>
    <n v="280.18"/>
    <n v="0"/>
    <n v="110.2"/>
    <n v="0"/>
    <n v="267.95999999999998"/>
    <n v="79.459999999999994"/>
    <n v="190.82"/>
    <n v="1093.8"/>
    <n v="-111.36"/>
  </r>
  <r>
    <x v="0"/>
    <x v="1"/>
    <x v="0"/>
    <s v="2306200"/>
    <n v="749591"/>
    <s v="Other Expense-Intracompany Allocation"/>
    <s v="Enumclaw Med&amp; Spec-Fam Med wOB"/>
    <x v="0"/>
    <m/>
    <n v="38581.910000000003"/>
    <n v="26467.17"/>
    <n v="20833.59"/>
    <n v="35395.31"/>
    <n v="21298.57"/>
    <n v="19025.09"/>
    <n v="19425.490000000002"/>
    <n v="21393.439999999999"/>
    <n v="23093.23"/>
    <n v="28497.55"/>
    <n v="40576.379999999997"/>
    <n v="24966.080000000002"/>
    <n v="319553.81"/>
    <n v="15610.299999999996"/>
  </r>
  <r>
    <x v="1"/>
    <x v="1"/>
    <x v="0"/>
    <s v="2307200"/>
    <n v="400029"/>
    <s v="MD Practice Other Rev--Medicare"/>
    <s v="Enumclaw Med &amp; Spec-Int Med"/>
    <x v="0"/>
    <n v="1100"/>
    <n v="-1061"/>
    <n v="-504"/>
    <n v="-756"/>
    <n v="-533"/>
    <n v="-287"/>
    <n v="-262"/>
    <n v="-939"/>
    <n v="-1442"/>
    <n v="-602"/>
    <n v="-1092"/>
    <n v="-1023"/>
    <n v="-1073"/>
    <n v="-9574"/>
    <n v="50"/>
  </r>
  <r>
    <x v="1"/>
    <x v="1"/>
    <x v="0"/>
    <s v="2307200"/>
    <n v="400029"/>
    <s v="MD Practice Other Rev--Medicaid"/>
    <s v="Enumclaw Med &amp; Spec-Int Med"/>
    <x v="0"/>
    <n v="1200"/>
    <n v="-769"/>
    <n v="-312"/>
    <n v="-224"/>
    <n v="-540"/>
    <n v="183"/>
    <n v="-144"/>
    <n v="-315"/>
    <n v="-363"/>
    <n v="-173"/>
    <n v="-87"/>
    <n v="-201"/>
    <n v="-38"/>
    <n v="-2983"/>
    <n v="-163"/>
  </r>
  <r>
    <x v="1"/>
    <x v="1"/>
    <x v="0"/>
    <s v="2307200"/>
    <n v="400029"/>
    <s v="MD Practice Other Rev--Comm Insurance"/>
    <s v="Enumclaw Med &amp; Spec-Int Med"/>
    <x v="0"/>
    <n v="1300"/>
    <n v="0"/>
    <n v="-194"/>
    <n v="-50"/>
    <n v="-142"/>
    <n v="-54"/>
    <n v="-90"/>
    <n v="0"/>
    <n v="0"/>
    <n v="-195"/>
    <n v="0"/>
    <n v="0"/>
    <n v="0"/>
    <n v="-725"/>
    <n v="0"/>
  </r>
  <r>
    <x v="1"/>
    <x v="1"/>
    <x v="0"/>
    <s v="2307200"/>
    <n v="400029"/>
    <s v="MD Practice Other Rev--BCBS Comm"/>
    <s v="Enumclaw Med &amp; Spec-Int Med"/>
    <x v="0"/>
    <n v="1301"/>
    <n v="-286"/>
    <n v="-234"/>
    <n v="-166"/>
    <n v="19"/>
    <n v="-189"/>
    <n v="-373"/>
    <n v="-300"/>
    <n v="-356"/>
    <n v="-221"/>
    <n v="-127"/>
    <n v="-339"/>
    <n v="-63"/>
    <n v="-2635"/>
    <n v="-276"/>
  </r>
  <r>
    <x v="1"/>
    <x v="1"/>
    <x v="0"/>
    <s v="2307200"/>
    <n v="400029"/>
    <s v="MD Practice Other Rev--Managed Care"/>
    <s v="Enumclaw Med &amp; Spec-Int Med"/>
    <x v="0"/>
    <n v="1400"/>
    <n v="-1512"/>
    <n v="-403"/>
    <n v="-498"/>
    <n v="-988"/>
    <n v="-405"/>
    <n v="221"/>
    <n v="-319"/>
    <n v="-709"/>
    <n v="-612"/>
    <n v="-182"/>
    <n v="-132"/>
    <n v="-448"/>
    <n v="-5987"/>
    <n v="316"/>
  </r>
  <r>
    <x v="1"/>
    <x v="1"/>
    <x v="0"/>
    <s v="2307200"/>
    <n v="400029"/>
    <s v="MD Practice Other Rev--Self Pay"/>
    <s v="Enumclaw Med &amp; Spec-Int Med"/>
    <x v="0"/>
    <n v="1500"/>
    <n v="-65"/>
    <n v="0"/>
    <n v="-40"/>
    <n v="0"/>
    <n v="-90"/>
    <n v="0"/>
    <n v="-45"/>
    <n v="0"/>
    <n v="0"/>
    <n v="0"/>
    <n v="0"/>
    <n v="0"/>
    <n v="-240"/>
    <n v="0"/>
  </r>
  <r>
    <x v="1"/>
    <x v="1"/>
    <x v="0"/>
    <s v="2307200"/>
    <n v="400029"/>
    <s v="MD Practice Other Rev--Other"/>
    <s v="Enumclaw Med &amp; Spec-Int Med"/>
    <x v="0"/>
    <n v="1700"/>
    <n v="-78"/>
    <n v="54"/>
    <n v="0"/>
    <n v="0"/>
    <n v="0"/>
    <n v="0"/>
    <n v="0"/>
    <n v="-68"/>
    <n v="0"/>
    <n v="0"/>
    <n v="0"/>
    <n v="-33"/>
    <n v="-125"/>
    <n v="33"/>
  </r>
  <r>
    <x v="1"/>
    <x v="1"/>
    <x v="0"/>
    <s v="2307200"/>
    <n v="400040"/>
    <s v="Physician Svcs Rev--Medicare"/>
    <s v="Enumclaw Med &amp; Spec-Int Med"/>
    <x v="0"/>
    <n v="1100"/>
    <n v="-92674"/>
    <n v="-121632"/>
    <n v="-95387"/>
    <n v="-98688"/>
    <n v="-97197"/>
    <n v="-87111"/>
    <n v="-81007"/>
    <n v="-108595"/>
    <n v="-84900"/>
    <n v="-97615"/>
    <n v="-90553"/>
    <n v="-123323.76"/>
    <n v="-1178682.76"/>
    <n v="32770.759999999995"/>
  </r>
  <r>
    <x v="1"/>
    <x v="1"/>
    <x v="0"/>
    <s v="2307200"/>
    <n v="400040"/>
    <s v="Physician Svcs Rev--Medicaid"/>
    <s v="Enumclaw Med &amp; Spec-Int Med"/>
    <x v="0"/>
    <n v="1200"/>
    <n v="-3138"/>
    <n v="-3604"/>
    <n v="-4164"/>
    <n v="-5000"/>
    <n v="-5582"/>
    <n v="-4512"/>
    <n v="-8624"/>
    <n v="-4210"/>
    <n v="-3782"/>
    <n v="-3994"/>
    <n v="-4347"/>
    <n v="-6204"/>
    <n v="-57161"/>
    <n v="1857"/>
  </r>
  <r>
    <x v="1"/>
    <x v="1"/>
    <x v="0"/>
    <s v="2307200"/>
    <n v="400040"/>
    <s v="Physician Svcs Rev--Comm Insurance"/>
    <s v="Enumclaw Med &amp; Spec-Int Med"/>
    <x v="0"/>
    <n v="1300"/>
    <n v="-1942"/>
    <n v="-1857"/>
    <n v="-622"/>
    <n v="-1795"/>
    <n v="-1507"/>
    <n v="-1059"/>
    <n v="-945"/>
    <n v="-96"/>
    <n v="-1033"/>
    <n v="747"/>
    <n v="-738"/>
    <n v="-589"/>
    <n v="-11436"/>
    <n v="-149"/>
  </r>
  <r>
    <x v="1"/>
    <x v="1"/>
    <x v="0"/>
    <s v="2307200"/>
    <n v="400040"/>
    <s v="Physician Svcs Rev--BCBS Comm"/>
    <s v="Enumclaw Med &amp; Spec-Int Med"/>
    <x v="0"/>
    <n v="1301"/>
    <n v="-7878"/>
    <n v="-2663"/>
    <n v="-6008"/>
    <n v="-9277"/>
    <n v="-5950"/>
    <n v="-7204"/>
    <n v="-5978"/>
    <n v="-9046"/>
    <n v="-4341"/>
    <n v="-5532"/>
    <n v="-9545"/>
    <n v="-10744"/>
    <n v="-84166"/>
    <n v="1199"/>
  </r>
  <r>
    <x v="1"/>
    <x v="1"/>
    <x v="0"/>
    <s v="2307200"/>
    <n v="400040"/>
    <s v="Physician Svcs Rev--Managed Care"/>
    <s v="Enumclaw Med &amp; Spec-Int Med"/>
    <x v="0"/>
    <n v="1400"/>
    <n v="-20195"/>
    <n v="-20430"/>
    <n v="-21899"/>
    <n v="-27333"/>
    <n v="-25099"/>
    <n v="-23591"/>
    <n v="-17536"/>
    <n v="-27684"/>
    <n v="-25002"/>
    <n v="-15464"/>
    <n v="-14116"/>
    <n v="-24645"/>
    <n v="-262994"/>
    <n v="10529"/>
  </r>
  <r>
    <x v="1"/>
    <x v="1"/>
    <x v="0"/>
    <s v="2307200"/>
    <n v="400040"/>
    <s v="Physician Svcs Rev--Self Pay"/>
    <s v="Enumclaw Med &amp; Spec-Int Med"/>
    <x v="0"/>
    <n v="1500"/>
    <n v="-294"/>
    <n v="-1747"/>
    <n v="-495"/>
    <n v="-646.88"/>
    <n v="-295"/>
    <n v="-816"/>
    <n v="-2341"/>
    <n v="-845"/>
    <n v="643"/>
    <n v="-93"/>
    <n v="-572"/>
    <n v="-790"/>
    <n v="-8291.880000000001"/>
    <n v="218"/>
  </r>
  <r>
    <x v="1"/>
    <x v="1"/>
    <x v="0"/>
    <s v="2307200"/>
    <n v="400040"/>
    <s v="Physician Svcs Rev--Other"/>
    <s v="Enumclaw Med &amp; Spec-Int Med"/>
    <x v="0"/>
    <n v="1700"/>
    <n v="-384"/>
    <n v="-2580"/>
    <n v="-989"/>
    <n v="-3249"/>
    <n v="-3307"/>
    <n v="-1295"/>
    <n v="-908"/>
    <n v="-2511"/>
    <n v="-249"/>
    <n v="-1739"/>
    <n v="-589"/>
    <n v="-981"/>
    <n v="-18781"/>
    <n v="392"/>
  </r>
  <r>
    <x v="2"/>
    <x v="1"/>
    <x v="0"/>
    <s v="2307200"/>
    <n v="450029"/>
    <s v="Contr Allow--MD Other-Medicare"/>
    <s v="Enumclaw Med &amp; Spec-Int Med"/>
    <x v="0"/>
    <n v="1100"/>
    <n v="614.39"/>
    <n v="561.23"/>
    <n v="125.29"/>
    <n v="568.9"/>
    <n v="258.33999999999997"/>
    <n v="256.17"/>
    <n v="275.94"/>
    <n v="835.01"/>
    <n v="708.55"/>
    <n v="446.12"/>
    <n v="594.16999999999996"/>
    <n v="918.05"/>
    <n v="6162.1600000000008"/>
    <n v="-323.88"/>
  </r>
  <r>
    <x v="2"/>
    <x v="1"/>
    <x v="0"/>
    <s v="2307200"/>
    <n v="450029"/>
    <s v="Contr Allow--MD Other-Medicaid"/>
    <s v="Enumclaw Med &amp; Spec-Int Med"/>
    <x v="0"/>
    <n v="1200"/>
    <n v="875.52"/>
    <n v="553.24"/>
    <n v="0"/>
    <n v="504.08"/>
    <n v="148.41999999999999"/>
    <n v="89.4"/>
    <n v="73.739999999999995"/>
    <n v="242.93"/>
    <n v="298.67"/>
    <n v="0"/>
    <n v="220"/>
    <n v="51.76"/>
    <n v="3057.7599999999998"/>
    <n v="168.24"/>
  </r>
  <r>
    <x v="2"/>
    <x v="1"/>
    <x v="0"/>
    <s v="2307200"/>
    <n v="450029"/>
    <s v="Contr Allow--MD Other-Comm Insurance"/>
    <s v="Enumclaw Med &amp; Spec-Int Med"/>
    <x v="0"/>
    <n v="1300"/>
    <n v="63.62"/>
    <n v="0"/>
    <n v="0"/>
    <n v="21.7"/>
    <n v="26.95"/>
    <n v="63.9"/>
    <n v="0"/>
    <n v="0"/>
    <n v="0"/>
    <n v="0"/>
    <n v="0"/>
    <n v="20.3"/>
    <n v="196.47"/>
    <n v="-20.3"/>
  </r>
  <r>
    <x v="2"/>
    <x v="1"/>
    <x v="0"/>
    <s v="2307200"/>
    <n v="450029"/>
    <s v="Contr Allow--MD Other BCBS Comm"/>
    <s v="Enumclaw Med &amp; Spec-Int Med"/>
    <x v="0"/>
    <n v="1301"/>
    <n v="209.8"/>
    <n v="116.22"/>
    <n v="38.21"/>
    <n v="68.739999999999995"/>
    <n v="44.12"/>
    <n v="10.92"/>
    <n v="129.66"/>
    <n v="261.52"/>
    <n v="94.26"/>
    <n v="81.48"/>
    <n v="135.07"/>
    <n v="51.71"/>
    <n v="1241.7099999999998"/>
    <n v="83.359999999999985"/>
  </r>
  <r>
    <x v="2"/>
    <x v="1"/>
    <x v="0"/>
    <s v="2307200"/>
    <n v="450029"/>
    <s v="Contr Allow--MD Other-Managed Care"/>
    <s v="Enumclaw Med &amp; Spec-Int Med"/>
    <x v="0"/>
    <n v="1400"/>
    <n v="374.26"/>
    <n v="523.63"/>
    <n v="176.83"/>
    <n v="176.26"/>
    <n v="359.66"/>
    <n v="12.98"/>
    <n v="146.22"/>
    <n v="84.63"/>
    <n v="389.88"/>
    <n v="250.76"/>
    <n v="100.97"/>
    <n v="117.12"/>
    <n v="2713.2000000000003"/>
    <n v="-16.150000000000006"/>
  </r>
  <r>
    <x v="2"/>
    <x v="1"/>
    <x v="0"/>
    <s v="2307200"/>
    <n v="450029"/>
    <s v="Admin Adjust-MD Other-Self Pay"/>
    <s v="Enumclaw Med &amp; Spec-Int Med"/>
    <x v="0"/>
    <n v="1600"/>
    <n v="53.64"/>
    <n v="3.81"/>
    <n v="28.95"/>
    <n v="17.170000000000002"/>
    <n v="45.3"/>
    <n v="0"/>
    <n v="16.25"/>
    <n v="7.65"/>
    <n v="0.27"/>
    <n v="0.9"/>
    <n v="0"/>
    <n v="5.65"/>
    <n v="179.59000000000003"/>
    <n v="-5.65"/>
  </r>
  <r>
    <x v="2"/>
    <x v="1"/>
    <x v="0"/>
    <s v="2307200"/>
    <n v="450029"/>
    <s v="Contr Allow--MD Other-Other"/>
    <s v="Enumclaw Med &amp; Spec-Int Med"/>
    <x v="0"/>
    <n v="1700"/>
    <n v="123.12"/>
    <n v="46.72"/>
    <n v="43.55"/>
    <n v="0"/>
    <n v="0"/>
    <n v="0"/>
    <n v="0"/>
    <n v="0"/>
    <n v="0"/>
    <n v="0"/>
    <n v="24.95"/>
    <n v="24.29"/>
    <n v="262.63"/>
    <n v="0.66000000000000014"/>
  </r>
  <r>
    <x v="2"/>
    <x v="1"/>
    <x v="0"/>
    <s v="2307200"/>
    <n v="450040"/>
    <s v="Contr Allow--Phys Svcs--Mcare"/>
    <s v="Enumclaw Med &amp; Spec-Int Med"/>
    <x v="0"/>
    <n v="1100"/>
    <n v="30759.11"/>
    <n v="75797.2"/>
    <n v="57272.14"/>
    <n v="70462.240000000005"/>
    <n v="59703.95"/>
    <n v="47426.1"/>
    <n v="53306.04"/>
    <n v="54586.76"/>
    <n v="66513.649999999994"/>
    <n v="50215.66"/>
    <n v="69296.289999999994"/>
    <n v="56571.39"/>
    <n v="691910.53"/>
    <n v="12724.899999999994"/>
  </r>
  <r>
    <x v="2"/>
    <x v="1"/>
    <x v="0"/>
    <s v="2307200"/>
    <n v="450040"/>
    <s v="Contr Allow--Phys Svcs--Mcaid"/>
    <s v="Enumclaw Med &amp; Spec-Int Med"/>
    <x v="0"/>
    <n v="1200"/>
    <n v="2220.85"/>
    <n v="3621.62"/>
    <n v="3466.01"/>
    <n v="3063.99"/>
    <n v="4744.07"/>
    <n v="3105.86"/>
    <n v="5603.75"/>
    <n v="4342.8"/>
    <n v="4543.82"/>
    <n v="2665.81"/>
    <n v="1981.82"/>
    <n v="3429.49"/>
    <n v="42789.89"/>
    <n v="-1447.6699999999998"/>
  </r>
  <r>
    <x v="2"/>
    <x v="1"/>
    <x v="0"/>
    <s v="2307200"/>
    <n v="450040"/>
    <s v="Contr Allow--Phys Svcs--Comm Insurance"/>
    <s v="Enumclaw Med &amp; Spec-Int Med"/>
    <x v="0"/>
    <n v="1300"/>
    <n v="604.66999999999996"/>
    <n v="594.38"/>
    <n v="162.06"/>
    <n v="85.58"/>
    <n v="417.2"/>
    <n v="1551.46"/>
    <n v="-35.97"/>
    <n v="166.31"/>
    <n v="215.69"/>
    <n v="528.66999999999996"/>
    <n v="0"/>
    <n v="534.86"/>
    <n v="4824.91"/>
    <n v="-534.86"/>
  </r>
  <r>
    <x v="2"/>
    <x v="1"/>
    <x v="0"/>
    <s v="2307200"/>
    <n v="450040"/>
    <s v="Contr Allow--Phys Svcs--BCBS Comm Ins"/>
    <s v="Enumclaw Med &amp; Spec-Int Med"/>
    <x v="0"/>
    <n v="1301"/>
    <n v="1788.14"/>
    <n v="1784.83"/>
    <n v="1276.4100000000001"/>
    <n v="3011.47"/>
    <n v="2013.54"/>
    <n v="1699.56"/>
    <n v="1607.39"/>
    <n v="1763.82"/>
    <n v="2528.17"/>
    <n v="1252.33"/>
    <n v="2073.62"/>
    <n v="2844.78"/>
    <n v="23644.059999999994"/>
    <n v="-771.16000000000031"/>
  </r>
  <r>
    <x v="2"/>
    <x v="1"/>
    <x v="0"/>
    <s v="2307200"/>
    <n v="450040"/>
    <s v="Contr Allow--Phys Svcs--Managed Care"/>
    <s v="Enumclaw Med &amp; Spec-Int Med"/>
    <x v="0"/>
    <n v="1400"/>
    <n v="5295.26"/>
    <n v="7934.04"/>
    <n v="9186.35"/>
    <n v="8341.15"/>
    <n v="11619.62"/>
    <n v="7513.47"/>
    <n v="5223.99"/>
    <n v="7955.24"/>
    <n v="12860.62"/>
    <n v="7965.05"/>
    <n v="6649.52"/>
    <n v="5670.29"/>
    <n v="96214.6"/>
    <n v="979.23000000000047"/>
  </r>
  <r>
    <x v="2"/>
    <x v="1"/>
    <x v="0"/>
    <s v="2307200"/>
    <n v="450040"/>
    <s v="Contr Allow--Phys Svcs--BCBS Mgnd Care"/>
    <s v="Enumclaw Med &amp; Spec-Int Med"/>
    <x v="0"/>
    <n v="1401"/>
    <n v="21346.13"/>
    <n v="-3334.69"/>
    <n v="2061.7800000000002"/>
    <n v="-5374.39"/>
    <n v="-4480.67"/>
    <n v="6673.64"/>
    <n v="4505.3100000000004"/>
    <n v="17482.240000000002"/>
    <n v="-19328.990000000002"/>
    <n v="4059.81"/>
    <n v="-11135.45"/>
    <n v="23423.53"/>
    <n v="35898.25"/>
    <n v="-34558.979999999996"/>
  </r>
  <r>
    <x v="2"/>
    <x v="1"/>
    <x v="0"/>
    <s v="2307200"/>
    <n v="450040"/>
    <s v="Admin Adjust-Phys Svcs-Self Pay"/>
    <s v="Enumclaw Med &amp; Spec-Int Med"/>
    <x v="0"/>
    <n v="1600"/>
    <n v="150.82"/>
    <n v="1204.6099999999999"/>
    <n v="307.27999999999997"/>
    <n v="569.59"/>
    <n v="459.97"/>
    <n v="526.51"/>
    <n v="-132.54"/>
    <n v="650.59"/>
    <n v="-658.62"/>
    <n v="88.71"/>
    <n v="851.85"/>
    <n v="95.42"/>
    <n v="4114.1899999999996"/>
    <n v="756.43000000000006"/>
  </r>
  <r>
    <x v="2"/>
    <x v="1"/>
    <x v="0"/>
    <s v="2307200"/>
    <n v="450040"/>
    <s v="Contr Allow--Phys Svcs--Other"/>
    <s v="Enumclaw Med &amp; Spec-Int Med"/>
    <x v="0"/>
    <n v="1700"/>
    <n v="1308.8699999999999"/>
    <n v="432.65"/>
    <n v="1.37"/>
    <n v="3370.45"/>
    <n v="1824.02"/>
    <n v="196.3"/>
    <n v="820.09"/>
    <n v="1006.02"/>
    <n v="148.15"/>
    <n v="1091.33"/>
    <n v="780.85"/>
    <n v="1235.3699999999999"/>
    <n v="12215.470000000001"/>
    <n v="-454.51999999999987"/>
  </r>
  <r>
    <x v="3"/>
    <x v="1"/>
    <x v="0"/>
    <s v="2307200"/>
    <n v="470040"/>
    <s v="Charity Care-Physician Svcs"/>
    <s v="Enumclaw Med &amp; Spec-Int Med"/>
    <x v="0"/>
    <m/>
    <n v="933.21"/>
    <n v="1415.99"/>
    <n v="35.97"/>
    <n v="-88.75"/>
    <n v="-71.819999999999993"/>
    <n v="23.8"/>
    <n v="745.96"/>
    <n v="992.09"/>
    <n v="-104.97"/>
    <n v="977.24"/>
    <n v="-547.44000000000005"/>
    <n v="3132.37"/>
    <n v="7443.6500000000005"/>
    <n v="-3679.81"/>
  </r>
  <r>
    <x v="4"/>
    <x v="1"/>
    <x v="0"/>
    <s v="2307200"/>
    <n v="490010"/>
    <s v="Provision for Bad Debts"/>
    <s v="Enumclaw Med &amp; Spec-Int Med"/>
    <x v="0"/>
    <m/>
    <n v="5046.1000000000004"/>
    <n v="-47.55"/>
    <n v="1156.97"/>
    <n v="-1022.97"/>
    <n v="-20.75"/>
    <n v="552.22"/>
    <n v="-343.59"/>
    <n v="1686.5"/>
    <n v="-1059.76"/>
    <n v="1501.38"/>
    <n v="-1420.87"/>
    <n v="2392.36"/>
    <n v="8420.0400000000009"/>
    <n v="-3813.23"/>
  </r>
  <r>
    <x v="5"/>
    <x v="1"/>
    <x v="0"/>
    <s v="2307200"/>
    <n v="700022"/>
    <s v="Salaries-Physician-Productive"/>
    <s v="Enumclaw Med &amp; Spec-Int Med"/>
    <x v="0"/>
    <m/>
    <n v="37675.620000000003"/>
    <n v="43014.64"/>
    <n v="34747.5"/>
    <n v="38453.9"/>
    <n v="39470.300000000003"/>
    <n v="21283.48"/>
    <n v="38095.69"/>
    <n v="34403.68"/>
    <n v="36428.22"/>
    <n v="29461.07"/>
    <n v="36236.44"/>
    <n v="24902.400000000001"/>
    <n v="414172.94000000006"/>
    <n v="11334.04"/>
  </r>
  <r>
    <x v="5"/>
    <x v="1"/>
    <x v="0"/>
    <s v="2307200"/>
    <n v="700022"/>
    <s v="Salaries-Physician-Other"/>
    <s v="Enumclaw Med &amp; Spec-Int Med"/>
    <x v="0"/>
    <n v="2000"/>
    <n v="1776.91"/>
    <n v="1857.69"/>
    <n v="1615.38"/>
    <n v="1857.69"/>
    <n v="1776.92"/>
    <n v="1696.14"/>
    <n v="1860.52"/>
    <n v="1617.74"/>
    <n v="1697.52"/>
    <n v="1776.7"/>
    <n v="1857.69"/>
    <n v="1615.38"/>
    <n v="21006.28"/>
    <n v="242.30999999999995"/>
  </r>
  <r>
    <x v="5"/>
    <x v="1"/>
    <x v="0"/>
    <s v="2307200"/>
    <n v="700026"/>
    <s v="Salaries-RN-Productive"/>
    <s v="Enumclaw Med &amp; Spec-Int Med"/>
    <x v="0"/>
    <m/>
    <n v="6029.16"/>
    <n v="5191.28"/>
    <n v="5828.8"/>
    <n v="6505.51"/>
    <n v="6761.11"/>
    <n v="3522.19"/>
    <n v="6732.61"/>
    <n v="5688.85"/>
    <n v="4825.58"/>
    <n v="4077.81"/>
    <n v="6062.73"/>
    <n v="-1362.09"/>
    <n v="59863.540000000008"/>
    <n v="7424.82"/>
  </r>
  <r>
    <x v="5"/>
    <x v="1"/>
    <x v="0"/>
    <s v="2307200"/>
    <n v="700026"/>
    <s v="Salaries-RN-OT"/>
    <s v="Enumclaw Med &amp; Spec-Int Med"/>
    <x v="0"/>
    <n v="1000"/>
    <n v="505.47"/>
    <n v="819.69"/>
    <n v="601.1"/>
    <n v="420.87"/>
    <n v="548.73"/>
    <n v="661.29"/>
    <n v="1099.07"/>
    <n v="47.91"/>
    <n v="480.49"/>
    <n v="-119.76"/>
    <n v="84.56"/>
    <n v="-42.28"/>
    <n v="5107.1400000000003"/>
    <n v="126.84"/>
  </r>
  <r>
    <x v="5"/>
    <x v="1"/>
    <x v="0"/>
    <s v="2307200"/>
    <n v="700026"/>
    <s v="Salaries-RN-Other"/>
    <s v="Enumclaw Med &amp; Spec-Int Med"/>
    <x v="0"/>
    <n v="2000"/>
    <n v="0"/>
    <n v="0"/>
    <n v="0"/>
    <n v="0"/>
    <n v="0"/>
    <n v="11.55"/>
    <n v="-1.05"/>
    <n v="0"/>
    <n v="0"/>
    <n v="0"/>
    <n v="0"/>
    <n v="0"/>
    <n v="10.5"/>
    <n v="0"/>
  </r>
  <r>
    <x v="5"/>
    <x v="1"/>
    <x v="0"/>
    <s v="2307200"/>
    <n v="700032"/>
    <s v="Salaries-Other Pat Care Providers-Productive"/>
    <s v="Enumclaw Med &amp; Spec-Int Med"/>
    <x v="0"/>
    <m/>
    <n v="2176.5300000000002"/>
    <n v="1499.64"/>
    <n v="696.42"/>
    <n v="426.24"/>
    <n v="0"/>
    <n v="1944.29"/>
    <n v="336.9"/>
    <n v="1660.2"/>
    <n v="1549.86"/>
    <n v="1508.57"/>
    <n v="1778.25"/>
    <n v="1525.87"/>
    <n v="15102.77"/>
    <n v="252.38000000000011"/>
  </r>
  <r>
    <x v="5"/>
    <x v="1"/>
    <x v="0"/>
    <s v="2307200"/>
    <n v="700032"/>
    <s v="Salaries-Other Pat Care Providers-OT"/>
    <s v="Enumclaw Med &amp; Spec-Int Med"/>
    <x v="0"/>
    <n v="1000"/>
    <n v="0"/>
    <n v="0"/>
    <n v="0"/>
    <n v="0"/>
    <n v="0"/>
    <n v="0"/>
    <n v="0"/>
    <n v="60.47"/>
    <n v="-17.27"/>
    <n v="0"/>
    <n v="0"/>
    <n v="0"/>
    <n v="43.2"/>
    <n v="0"/>
  </r>
  <r>
    <x v="5"/>
    <x v="1"/>
    <x v="0"/>
    <s v="2307200"/>
    <n v="700054"/>
    <s v="Salaries-Management-NonProd-Other"/>
    <s v="Enumclaw Med &amp; Spec-Int Med"/>
    <x v="0"/>
    <n v="2000"/>
    <n v="0"/>
    <n v="0"/>
    <n v="0"/>
    <n v="0"/>
    <n v="0"/>
    <n v="726.8"/>
    <n v="-726.8"/>
    <n v="0"/>
    <n v="0"/>
    <n v="0"/>
    <n v="0"/>
    <n v="0"/>
    <n v="0"/>
    <n v="0"/>
  </r>
  <r>
    <x v="5"/>
    <x v="1"/>
    <x v="0"/>
    <s v="2307200"/>
    <n v="700062"/>
    <s v="Salaries-Physician-Non-productive"/>
    <s v="Enumclaw Med &amp; Spec-Int Med"/>
    <x v="0"/>
    <m/>
    <n v="2072.1"/>
    <n v="0"/>
    <n v="2316.5"/>
    <n v="4169.7"/>
    <n v="463.3"/>
    <n v="16755.080000000002"/>
    <n v="3629.38"/>
    <n v="0"/>
    <n v="0"/>
    <n v="8666.4"/>
    <n v="2166.6"/>
    <n v="8300.7999999999993"/>
    <n v="48539.86"/>
    <n v="-6134.1999999999989"/>
  </r>
  <r>
    <x v="5"/>
    <x v="1"/>
    <x v="0"/>
    <s v="2307200"/>
    <n v="700062"/>
    <s v="Salaries-Physician-NonProd-Other"/>
    <s v="Enumclaw Med &amp; 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7200"/>
    <n v="700066"/>
    <s v="Salaries-RN-Non-productive"/>
    <s v="Enumclaw Med &amp; Spec-Int Med"/>
    <x v="0"/>
    <m/>
    <n v="1087.22"/>
    <n v="1457.2"/>
    <n v="364.3"/>
    <n v="101.3"/>
    <n v="-45.02"/>
    <n v="2449.11"/>
    <n v="121.47"/>
    <n v="0"/>
    <n v="1333.91"/>
    <n v="2615.2199999999998"/>
    <n v="813.51"/>
    <n v="0"/>
    <n v="10298.220000000001"/>
    <n v="813.51"/>
  </r>
  <r>
    <x v="5"/>
    <x v="1"/>
    <x v="0"/>
    <s v="2307200"/>
    <n v="700066"/>
    <s v="Salaries-RN-NonProd-Other"/>
    <s v="Enumclaw Med &amp; 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7200"/>
    <n v="700072"/>
    <s v="Salaries-Other Pat Care Providers-Non-productive"/>
    <s v="Enumclaw Med &amp; Spec-Int Med"/>
    <x v="0"/>
    <m/>
    <n v="0"/>
    <n v="0"/>
    <n v="0"/>
    <n v="331.63"/>
    <n v="0"/>
    <n v="0"/>
    <n v="0"/>
    <n v="0"/>
    <n v="0"/>
    <n v="191.94"/>
    <n v="0"/>
    <n v="0"/>
    <n v="523.56999999999994"/>
    <n v="0"/>
  </r>
  <r>
    <x v="5"/>
    <x v="1"/>
    <x v="0"/>
    <s v="2307200"/>
    <n v="700072"/>
    <s v="Salaries-Other Pat Care Providers-NonProd-Other"/>
    <s v="Enumclaw Med &amp; 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7200"/>
    <n v="700084"/>
    <s v="Accrued PTO"/>
    <s v="Enumclaw Med &amp; Spec-Int Med"/>
    <x v="0"/>
    <m/>
    <n v="-377.42"/>
    <n v="-960.66"/>
    <n v="250.28"/>
    <n v="537.54999999999995"/>
    <n v="586.80999999999995"/>
    <n v="-1405.12"/>
    <n v="292.27999999999997"/>
    <n v="564.66999999999996"/>
    <n v="244.63"/>
    <n v="-121.19"/>
    <n v="-813.8"/>
    <n v="1.06"/>
    <n v="-1200.9100000000001"/>
    <n v="-814.8599999999999"/>
  </r>
  <r>
    <x v="6"/>
    <x v="1"/>
    <x v="0"/>
    <s v="2307200"/>
    <n v="713010"/>
    <s v="Benefits-FICA/Medicare"/>
    <s v="Enumclaw Med &amp; Spec-Int Med"/>
    <x v="0"/>
    <m/>
    <n v="1313.6"/>
    <n v="1287.17"/>
    <n v="1094.97"/>
    <n v="1195.3"/>
    <n v="1117.76"/>
    <n v="2530.9299999999998"/>
    <n v="3949.79"/>
    <n v="3262.17"/>
    <n v="2570.0700000000002"/>
    <n v="925.84"/>
    <n v="1218.96"/>
    <n v="573"/>
    <n v="21039.56"/>
    <n v="645.96"/>
  </r>
  <r>
    <x v="6"/>
    <x v="1"/>
    <x v="0"/>
    <s v="2307200"/>
    <n v="713090"/>
    <s v="Benefits-Allocated Amounts"/>
    <s v="Enumclaw Med &amp; Spec-Int Med"/>
    <x v="0"/>
    <m/>
    <n v="0"/>
    <n v="0"/>
    <n v="0"/>
    <n v="0"/>
    <n v="0"/>
    <n v="0"/>
    <n v="0"/>
    <n v="0"/>
    <n v="20741.78"/>
    <n v="2389.5100000000002"/>
    <n v="2358.98"/>
    <n v="1575.35"/>
    <n v="27065.62"/>
    <n v="783.63000000000011"/>
  </r>
  <r>
    <x v="6"/>
    <x v="1"/>
    <x v="0"/>
    <s v="2307200"/>
    <n v="713092"/>
    <s v="Allocated Benefits-Physician"/>
    <s v="Enumclaw Med &amp; Spec-Int Med"/>
    <x v="0"/>
    <m/>
    <n v="4325.32"/>
    <n v="3778.9"/>
    <n v="3756.47"/>
    <n v="3833.44"/>
    <n v="3640.53"/>
    <n v="4065.04"/>
    <n v="4684.24"/>
    <n v="4488.3999999999996"/>
    <n v="-15966.15"/>
    <n v="1913.08"/>
    <n v="1888.64"/>
    <n v="1261.25"/>
    <n v="21669.160000000003"/>
    <n v="627.3900000000001"/>
  </r>
  <r>
    <x v="6"/>
    <x v="1"/>
    <x v="0"/>
    <s v="2307200"/>
    <n v="713096"/>
    <s v="Employee Recognition"/>
    <s v="Enumclaw Med &amp; Spec-Int Med"/>
    <x v="0"/>
    <n v="1017"/>
    <n v="0"/>
    <n v="0"/>
    <n v="70"/>
    <n v="0"/>
    <n v="0"/>
    <n v="0"/>
    <n v="0"/>
    <n v="0"/>
    <n v="0"/>
    <n v="0"/>
    <n v="0"/>
    <n v="0"/>
    <n v="70"/>
    <n v="0"/>
  </r>
  <r>
    <x v="8"/>
    <x v="1"/>
    <x v="0"/>
    <s v="2307200"/>
    <n v="741012"/>
    <s v="Physician Liab Insurance-CHI Program"/>
    <s v="Enumclaw Med &amp; Spec-Int Med"/>
    <x v="0"/>
    <m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7673.3999999999987"/>
    <n v="0"/>
  </r>
  <r>
    <x v="0"/>
    <x v="1"/>
    <x v="0"/>
    <s v="2307200"/>
    <n v="743022"/>
    <s v="Dues-Physician"/>
    <s v="Enumclaw Med &amp; Spec-Int Med"/>
    <x v="0"/>
    <m/>
    <n v="0"/>
    <n v="0"/>
    <n v="420"/>
    <n v="0"/>
    <n v="0"/>
    <n v="0"/>
    <n v="0"/>
    <n v="0"/>
    <n v="0"/>
    <n v="0"/>
    <n v="0"/>
    <n v="0"/>
    <n v="420"/>
    <n v="0"/>
  </r>
  <r>
    <x v="0"/>
    <x v="1"/>
    <x v="0"/>
    <s v="2307200"/>
    <n v="743042"/>
    <s v="Subscriptions-Physician"/>
    <s v="Enumclaw Med &amp; Spec-Int Med"/>
    <x v="0"/>
    <m/>
    <n v="0"/>
    <n v="0"/>
    <n v="0"/>
    <n v="0"/>
    <n v="0"/>
    <n v="0"/>
    <n v="0"/>
    <n v="0"/>
    <n v="0"/>
    <n v="0"/>
    <n v="0"/>
    <n v="1323.63"/>
    <n v="1323.63"/>
    <n v="-1323.63"/>
  </r>
  <r>
    <x v="0"/>
    <x v="1"/>
    <x v="0"/>
    <s v="2307200"/>
    <n v="744012"/>
    <s v="Recruitment-Physician"/>
    <s v="Enumclaw Med &amp; Spec-Int Med"/>
    <x v="0"/>
    <m/>
    <n v="0"/>
    <n v="0"/>
    <n v="427.19"/>
    <n v="0"/>
    <n v="0"/>
    <n v="0"/>
    <n v="0"/>
    <n v="0"/>
    <n v="0"/>
    <n v="0"/>
    <n v="0"/>
    <n v="0"/>
    <n v="427.19"/>
    <n v="0"/>
  </r>
  <r>
    <x v="0"/>
    <x v="1"/>
    <x v="0"/>
    <s v="2307200"/>
    <n v="749510"/>
    <s v="Miscellaneous Expenses"/>
    <s v="Enumclaw Med &amp; Spec-Int Med"/>
    <x v="0"/>
    <m/>
    <n v="0"/>
    <n v="70"/>
    <n v="-70"/>
    <n v="0"/>
    <n v="0"/>
    <n v="0"/>
    <n v="0"/>
    <n v="0"/>
    <n v="0"/>
    <n v="0"/>
    <n v="198.94"/>
    <n v="-104.4"/>
    <n v="94.539999999999992"/>
    <n v="303.34000000000003"/>
  </r>
  <r>
    <x v="0"/>
    <x v="1"/>
    <x v="0"/>
    <s v="2307200"/>
    <n v="749512"/>
    <s v="Licenses-Physician"/>
    <s v="Enumclaw Med &amp; Spec-Int Med"/>
    <x v="0"/>
    <n v="2000"/>
    <n v="0"/>
    <n v="0"/>
    <n v="0"/>
    <n v="0"/>
    <n v="0"/>
    <n v="0"/>
    <n v="0"/>
    <n v="0"/>
    <n v="0"/>
    <n v="731"/>
    <n v="0"/>
    <n v="0"/>
    <n v="731"/>
    <n v="0"/>
  </r>
  <r>
    <x v="0"/>
    <x v="1"/>
    <x v="0"/>
    <s v="2307200"/>
    <n v="749513"/>
    <s v="Licenses-Advanced Practice Clinician"/>
    <s v="Enumclaw Med &amp; Spec-Int Med"/>
    <x v="0"/>
    <n v="2000"/>
    <n v="0"/>
    <n v="0"/>
    <n v="0"/>
    <n v="0"/>
    <n v="-61"/>
    <n v="0"/>
    <n v="0"/>
    <n v="0"/>
    <n v="0"/>
    <n v="0"/>
    <n v="0"/>
    <n v="0"/>
    <n v="-61"/>
    <n v="0"/>
  </r>
  <r>
    <x v="0"/>
    <x v="1"/>
    <x v="0"/>
    <s v="2307200"/>
    <n v="749532"/>
    <s v="Business Meals-Physician"/>
    <s v="Enumclaw Med &amp; Spec-Int Med"/>
    <x v="0"/>
    <n v="2000"/>
    <n v="0"/>
    <n v="0"/>
    <n v="0"/>
    <n v="0"/>
    <n v="0"/>
    <n v="342.5"/>
    <n v="0"/>
    <n v="0"/>
    <n v="0"/>
    <n v="0"/>
    <n v="0"/>
    <n v="0"/>
    <n v="342.5"/>
    <n v="0"/>
  </r>
  <r>
    <x v="0"/>
    <x v="1"/>
    <x v="0"/>
    <s v="2307200"/>
    <n v="749532"/>
    <s v="Vehicle Expense-Physician"/>
    <s v="Enumclaw Med &amp; Spec-Int Med"/>
    <x v="0"/>
    <n v="2001"/>
    <n v="0"/>
    <n v="215.31"/>
    <n v="112.29"/>
    <n v="0"/>
    <n v="0"/>
    <n v="349.93"/>
    <n v="0"/>
    <n v="81.2"/>
    <n v="124.7"/>
    <n v="0"/>
    <n v="0"/>
    <n v="378.16"/>
    <n v="1261.5900000000001"/>
    <n v="-378.16"/>
  </r>
  <r>
    <x v="0"/>
    <x v="1"/>
    <x v="0"/>
    <s v="2307200"/>
    <n v="749591"/>
    <s v="Other Expense-Intracompany Allocation"/>
    <s v="Enumclaw Med &amp; Spec-Int Med"/>
    <x v="0"/>
    <m/>
    <n v="26355.68"/>
    <n v="30724.959999999999"/>
    <n v="23604.97"/>
    <n v="28062.69"/>
    <n v="24279.23"/>
    <n v="29406.52"/>
    <n v="26365.439999999999"/>
    <n v="28816.22"/>
    <n v="21581.24"/>
    <n v="24798.97"/>
    <n v="24732.46"/>
    <n v="28146"/>
    <n v="316874.38"/>
    <n v="-3413.5400000000009"/>
  </r>
  <r>
    <x v="1"/>
    <x v="1"/>
    <x v="0"/>
    <s v="2308200"/>
    <n v="400029"/>
    <s v="MD Practice Other Rev--Medicare"/>
    <s v="Gig Harbor-Fam Med"/>
    <x v="0"/>
    <n v="1100"/>
    <n v="-239"/>
    <n v="-325"/>
    <n v="-279"/>
    <n v="-445"/>
    <n v="-54"/>
    <n v="-174"/>
    <n v="-143"/>
    <n v="-61"/>
    <n v="-160"/>
    <n v="-574"/>
    <n v="-493"/>
    <n v="-398"/>
    <n v="-3345"/>
    <n v="-95"/>
  </r>
  <r>
    <x v="1"/>
    <x v="1"/>
    <x v="0"/>
    <s v="2308200"/>
    <n v="400029"/>
    <s v="MD Practice Other Rev--Medicaid"/>
    <s v="Gig Harbor-Fam Med"/>
    <x v="0"/>
    <n v="1200"/>
    <n v="-49"/>
    <n v="-58"/>
    <n v="-193"/>
    <n v="-244"/>
    <n v="-199"/>
    <n v="-88"/>
    <n v="-38"/>
    <n v="-57"/>
    <n v="-179"/>
    <n v="-297"/>
    <n v="-202"/>
    <n v="-305"/>
    <n v="-1909"/>
    <n v="103"/>
  </r>
  <r>
    <x v="1"/>
    <x v="1"/>
    <x v="0"/>
    <s v="2308200"/>
    <n v="400029"/>
    <s v="MD Practice Other Rev--Comm Insurance"/>
    <s v="Gig Harbor-Fam Med"/>
    <x v="0"/>
    <n v="1300"/>
    <n v="0"/>
    <n v="0"/>
    <n v="0"/>
    <n v="-55"/>
    <n v="0"/>
    <n v="0"/>
    <n v="0"/>
    <n v="-33"/>
    <n v="-57"/>
    <n v="-45"/>
    <n v="-57"/>
    <n v="-67"/>
    <n v="-314"/>
    <n v="10"/>
  </r>
  <r>
    <x v="1"/>
    <x v="1"/>
    <x v="0"/>
    <s v="2308200"/>
    <n v="400029"/>
    <s v="MD Practice Other Rev--BCBS Comm"/>
    <s v="Gig Harbor-Fam Med"/>
    <x v="0"/>
    <n v="1301"/>
    <n v="-10"/>
    <n v="-55"/>
    <n v="-20"/>
    <n v="-99"/>
    <n v="-34"/>
    <n v="-33"/>
    <n v="0"/>
    <n v="-10"/>
    <n v="-192"/>
    <n v="-93"/>
    <n v="-85"/>
    <n v="-131"/>
    <n v="-762"/>
    <n v="46"/>
  </r>
  <r>
    <x v="1"/>
    <x v="1"/>
    <x v="0"/>
    <s v="2308200"/>
    <n v="400029"/>
    <s v="MD Practice Other Rev--Managed Care"/>
    <s v="Gig Harbor-Fam Med"/>
    <x v="0"/>
    <n v="1400"/>
    <n v="-289"/>
    <n v="-242"/>
    <n v="-124"/>
    <n v="-469"/>
    <n v="-345"/>
    <n v="-147"/>
    <n v="-526"/>
    <n v="-345"/>
    <n v="-1248"/>
    <n v="-1277"/>
    <n v="-631"/>
    <n v="-462"/>
    <n v="-6105"/>
    <n v="-169"/>
  </r>
  <r>
    <x v="1"/>
    <x v="1"/>
    <x v="0"/>
    <s v="2308200"/>
    <n v="400029"/>
    <s v="MD Practice Other Rev--Self Pay"/>
    <s v="Gig Harbor-Fam Med"/>
    <x v="0"/>
    <n v="1500"/>
    <n v="0"/>
    <n v="0"/>
    <n v="-14"/>
    <n v="0"/>
    <n v="-24"/>
    <n v="0"/>
    <n v="0"/>
    <n v="0"/>
    <n v="0"/>
    <n v="-33"/>
    <n v="-66"/>
    <n v="-47"/>
    <n v="-184"/>
    <n v="-19"/>
  </r>
  <r>
    <x v="1"/>
    <x v="1"/>
    <x v="0"/>
    <s v="2308200"/>
    <n v="400029"/>
    <s v="MD Practice Other Rev--Other"/>
    <s v="Gig Harbor-Fam Med"/>
    <x v="0"/>
    <n v="1700"/>
    <n v="0"/>
    <n v="0"/>
    <n v="-274"/>
    <n v="-79"/>
    <n v="0"/>
    <n v="-10"/>
    <n v="0"/>
    <n v="0"/>
    <n v="-114"/>
    <n v="-98"/>
    <n v="-34"/>
    <n v="-34"/>
    <n v="-643"/>
    <n v="0"/>
  </r>
  <r>
    <x v="1"/>
    <x v="1"/>
    <x v="0"/>
    <s v="2308200"/>
    <n v="400040"/>
    <s v="Physician Svcs Rev--Medicare"/>
    <s v="Gig Harbor-Fam Med"/>
    <x v="0"/>
    <n v="1100"/>
    <n v="-109065.5"/>
    <n v="-169115.8"/>
    <n v="-161193.4"/>
    <n v="-213452.4"/>
    <n v="-176119.4"/>
    <n v="-73753"/>
    <n v="-54839.6"/>
    <n v="-41642.199999999997"/>
    <n v="-45825.7"/>
    <n v="-58077.2"/>
    <n v="-61659.199999999997"/>
    <n v="-60290.64"/>
    <n v="-1225034.0399999998"/>
    <n v="-1368.5599999999977"/>
  </r>
  <r>
    <x v="1"/>
    <x v="1"/>
    <x v="0"/>
    <s v="2308200"/>
    <n v="400040"/>
    <s v="Physician Svcs Rev--Medicaid"/>
    <s v="Gig Harbor-Fam Med"/>
    <x v="0"/>
    <n v="1200"/>
    <n v="-29385"/>
    <n v="-52356.160000000003"/>
    <n v="-60415.72"/>
    <n v="-61485.72"/>
    <n v="-46753.08"/>
    <n v="-22270.560000000001"/>
    <n v="-26507.200000000001"/>
    <n v="-12924"/>
    <n v="-24056.2"/>
    <n v="-30120.52"/>
    <n v="-27380.16"/>
    <n v="-29061.08"/>
    <n v="-422715.4"/>
    <n v="1680.9200000000019"/>
  </r>
  <r>
    <x v="1"/>
    <x v="1"/>
    <x v="0"/>
    <s v="2308200"/>
    <n v="400040"/>
    <s v="Physician Svcs Rev--Comm Insurance"/>
    <s v="Gig Harbor-Fam Med"/>
    <x v="0"/>
    <n v="1300"/>
    <n v="-7974"/>
    <n v="-15144.52"/>
    <n v="-14107"/>
    <n v="-22216.26"/>
    <n v="-16894.29"/>
    <n v="-5174"/>
    <n v="-2240"/>
    <n v="-3397"/>
    <n v="-8185"/>
    <n v="-6370"/>
    <n v="-9676.09"/>
    <n v="-12425.65"/>
    <n v="-123803.81"/>
    <n v="2749.5599999999995"/>
  </r>
  <r>
    <x v="1"/>
    <x v="1"/>
    <x v="0"/>
    <s v="2308200"/>
    <n v="400040"/>
    <s v="Physician Svcs Rev--BCBS Comm"/>
    <s v="Gig Harbor-Fam Med"/>
    <x v="0"/>
    <n v="1301"/>
    <n v="-20323.52"/>
    <n v="-33692.28"/>
    <n v="-34316.410000000003"/>
    <n v="-36845.47"/>
    <n v="-26439.13"/>
    <n v="-12830"/>
    <n v="-10125"/>
    <n v="-6797.4"/>
    <n v="-14614.04"/>
    <n v="-14921"/>
    <n v="-20429.23"/>
    <n v="-16363.56"/>
    <n v="-247697.04"/>
    <n v="-4065.67"/>
  </r>
  <r>
    <x v="1"/>
    <x v="1"/>
    <x v="0"/>
    <s v="2308200"/>
    <n v="400040"/>
    <s v="Physician Svcs Rev--Managed Care"/>
    <s v="Gig Harbor-Fam Med"/>
    <x v="0"/>
    <n v="1400"/>
    <n v="-34944.65"/>
    <n v="-30794.639999999999"/>
    <n v="-117574.74"/>
    <n v="-172424.06"/>
    <n v="-127167.23"/>
    <n v="-45526.07"/>
    <n v="-28526.59"/>
    <n v="-23244.18"/>
    <n v="-42032.78"/>
    <n v="-47564.639999999999"/>
    <n v="-69708.05"/>
    <n v="-52345.31"/>
    <n v="-791852.94000000018"/>
    <n v="-17362.740000000005"/>
  </r>
  <r>
    <x v="1"/>
    <x v="1"/>
    <x v="0"/>
    <s v="2308200"/>
    <n v="400040"/>
    <s v="Physician Svcs Rev--Self Pay"/>
    <s v="Gig Harbor-Fam Med"/>
    <x v="0"/>
    <n v="1500"/>
    <n v="-1669"/>
    <n v="-3953"/>
    <n v="-4900"/>
    <n v="-8364"/>
    <n v="-2979"/>
    <n v="-171"/>
    <n v="-619"/>
    <n v="-1006"/>
    <n v="-907.76"/>
    <n v="-3473"/>
    <n v="-4320"/>
    <n v="-3736.45"/>
    <n v="-36098.21"/>
    <n v="-583.55000000000018"/>
  </r>
  <r>
    <x v="1"/>
    <x v="1"/>
    <x v="0"/>
    <s v="2308200"/>
    <n v="400040"/>
    <s v="Physician Svcs Rev--Other"/>
    <s v="Gig Harbor-Fam Med"/>
    <x v="0"/>
    <n v="1700"/>
    <n v="15393.09"/>
    <n v="-21376.57"/>
    <n v="-18243.669999999998"/>
    <n v="-25980.7"/>
    <n v="-23014.39"/>
    <n v="-9596"/>
    <n v="-8123.86"/>
    <n v="-6040.28"/>
    <n v="-6500"/>
    <n v="-10684.92"/>
    <n v="-14599.3"/>
    <n v="-10641.65"/>
    <n v="-139408.25"/>
    <n v="-3957.6499999999996"/>
  </r>
  <r>
    <x v="2"/>
    <x v="1"/>
    <x v="0"/>
    <s v="2308200"/>
    <n v="450029"/>
    <s v="Contr Allow--MD Other-Medicare"/>
    <s v="Gig Harbor-Fam Med"/>
    <x v="0"/>
    <n v="1100"/>
    <n v="85.46"/>
    <n v="147.72999999999999"/>
    <n v="130.41"/>
    <n v="274.77999999999997"/>
    <n v="63.03"/>
    <n v="183.49"/>
    <n v="69.709999999999994"/>
    <n v="88.71"/>
    <n v="58.3"/>
    <n v="314.05"/>
    <n v="202.23"/>
    <n v="345.89"/>
    <n v="1963.79"/>
    <n v="-143.66"/>
  </r>
  <r>
    <x v="2"/>
    <x v="1"/>
    <x v="0"/>
    <s v="2308200"/>
    <n v="450029"/>
    <s v="Contr Allow--MD Other-Medicaid"/>
    <s v="Gig Harbor-Fam Med"/>
    <x v="0"/>
    <n v="1200"/>
    <n v="17.510000000000002"/>
    <n v="35.76"/>
    <n v="61.13"/>
    <n v="73.22"/>
    <n v="67.7"/>
    <n v="98.66"/>
    <n v="83.11"/>
    <n v="9.5"/>
    <n v="70.64"/>
    <n v="123.34"/>
    <n v="238.95"/>
    <n v="207.88"/>
    <n v="1087.4000000000001"/>
    <n v="31.069999999999993"/>
  </r>
  <r>
    <x v="2"/>
    <x v="1"/>
    <x v="0"/>
    <s v="2308200"/>
    <n v="450029"/>
    <s v="Contr Allow--MD Other-Comm Insurance"/>
    <s v="Gig Harbor-Fam Med"/>
    <x v="0"/>
    <n v="1300"/>
    <n v="312.62"/>
    <n v="0"/>
    <n v="0"/>
    <n v="20.48"/>
    <n v="0"/>
    <n v="0"/>
    <n v="0"/>
    <n v="0"/>
    <n v="0"/>
    <n v="42.15"/>
    <n v="50.1"/>
    <n v="21.93"/>
    <n v="447.28000000000003"/>
    <n v="28.17"/>
  </r>
  <r>
    <x v="2"/>
    <x v="1"/>
    <x v="0"/>
    <s v="2308200"/>
    <n v="450029"/>
    <s v="Contr Allow--MD Other BCBS Comm"/>
    <s v="Gig Harbor-Fam Med"/>
    <x v="0"/>
    <n v="1301"/>
    <n v="13.82"/>
    <n v="0"/>
    <n v="13"/>
    <n v="13"/>
    <n v="55.13"/>
    <n v="35.65"/>
    <n v="0"/>
    <n v="0"/>
    <n v="6.5"/>
    <n v="159.25"/>
    <n v="22.2"/>
    <n v="77.19"/>
    <n v="395.74"/>
    <n v="-54.989999999999995"/>
  </r>
  <r>
    <x v="2"/>
    <x v="1"/>
    <x v="0"/>
    <s v="2308200"/>
    <n v="450029"/>
    <s v="Contr Allow--MD Other-Managed Care"/>
    <s v="Gig Harbor-Fam Med"/>
    <x v="0"/>
    <n v="1400"/>
    <n v="176.82"/>
    <n v="67.260000000000005"/>
    <n v="69.52"/>
    <n v="209.76"/>
    <n v="315.66000000000003"/>
    <n v="118.71"/>
    <n v="300.70999999999998"/>
    <n v="39.159999999999997"/>
    <n v="141.69999999999999"/>
    <n v="966.02"/>
    <n v="633.42999999999995"/>
    <n v="274.33"/>
    <n v="3313.08"/>
    <n v="359.09999999999997"/>
  </r>
  <r>
    <x v="2"/>
    <x v="1"/>
    <x v="0"/>
    <s v="2308200"/>
    <n v="450029"/>
    <s v="Admin Adjust-MD Other-Self Pay"/>
    <s v="Gig Harbor-Fam Med"/>
    <x v="0"/>
    <n v="1600"/>
    <n v="2.36"/>
    <n v="23.25"/>
    <n v="14.68"/>
    <n v="0"/>
    <n v="13.2"/>
    <n v="44"/>
    <n v="0"/>
    <n v="-8.67"/>
    <n v="0"/>
    <n v="12.21"/>
    <n v="30.36"/>
    <n v="25.85"/>
    <n v="157.23999999999998"/>
    <n v="4.509999999999998"/>
  </r>
  <r>
    <x v="2"/>
    <x v="1"/>
    <x v="0"/>
    <s v="2308200"/>
    <n v="450029"/>
    <s v="Contr Allow--MD Other-Other"/>
    <s v="Gig Harbor-Fam Med"/>
    <x v="0"/>
    <n v="1700"/>
    <n v="36.74"/>
    <n v="0"/>
    <n v="5.72"/>
    <n v="187.65"/>
    <n v="46.52"/>
    <n v="38.72"/>
    <n v="0"/>
    <n v="0"/>
    <n v="15.67"/>
    <n v="68.959999999999994"/>
    <n v="48.55"/>
    <n v="55.56"/>
    <n v="504.09000000000003"/>
    <n v="-7.0100000000000051"/>
  </r>
  <r>
    <x v="2"/>
    <x v="1"/>
    <x v="0"/>
    <s v="2308200"/>
    <n v="450040"/>
    <s v="Contr Allow--Phys Svcs--Mcare"/>
    <s v="Gig Harbor-Fam Med"/>
    <x v="0"/>
    <n v="1100"/>
    <n v="63690.06"/>
    <n v="80756.87"/>
    <n v="88755.5"/>
    <n v="119506.86"/>
    <n v="121982.7"/>
    <n v="105763.76"/>
    <n v="39402.050000000003"/>
    <n v="29340.42"/>
    <n v="25241.21"/>
    <n v="30436.19"/>
    <n v="33734.39"/>
    <n v="41451.67"/>
    <n v="780061.68"/>
    <n v="-7717.2799999999988"/>
  </r>
  <r>
    <x v="2"/>
    <x v="1"/>
    <x v="0"/>
    <s v="2308200"/>
    <n v="450040"/>
    <s v="Contr Allow--Phys Svcs--Mcaid"/>
    <s v="Gig Harbor-Fam Med"/>
    <x v="0"/>
    <n v="1200"/>
    <n v="22123.09"/>
    <n v="32234.78"/>
    <n v="37539.949999999997"/>
    <n v="53860.1"/>
    <n v="38201.839999999997"/>
    <n v="24650.19"/>
    <n v="16996.54"/>
    <n v="14362.78"/>
    <n v="12714.88"/>
    <n v="23960.25"/>
    <n v="19117.68"/>
    <n v="21152.61"/>
    <n v="316914.69"/>
    <n v="-2034.9300000000003"/>
  </r>
  <r>
    <x v="2"/>
    <x v="1"/>
    <x v="0"/>
    <s v="2308200"/>
    <n v="450040"/>
    <s v="Contr Allow--Phys Svcs--Comm Insurance"/>
    <s v="Gig Harbor-Fam Med"/>
    <x v="0"/>
    <n v="1300"/>
    <n v="2515.14"/>
    <n v="4131.29"/>
    <n v="5910.72"/>
    <n v="5829.35"/>
    <n v="6270.52"/>
    <n v="4673.6400000000003"/>
    <n v="2186.21"/>
    <n v="1306.23"/>
    <n v="1602.21"/>
    <n v="2800.78"/>
    <n v="3969.36"/>
    <n v="4136.18"/>
    <n v="45331.63"/>
    <n v="-166.82000000000016"/>
  </r>
  <r>
    <x v="2"/>
    <x v="1"/>
    <x v="0"/>
    <s v="2308200"/>
    <n v="450040"/>
    <s v="Contr Allow--Phys Svcs--BCBS Comm Ins"/>
    <s v="Gig Harbor-Fam Med"/>
    <x v="0"/>
    <n v="1301"/>
    <n v="9680.9599999999991"/>
    <n v="7961.73"/>
    <n v="13182.39"/>
    <n v="12037.34"/>
    <n v="11406.18"/>
    <n v="6194.93"/>
    <n v="3723.01"/>
    <n v="3029.95"/>
    <n v="2335.36"/>
    <n v="6115.36"/>
    <n v="4082.64"/>
    <n v="7403.77"/>
    <n v="87153.62000000001"/>
    <n v="-3321.1300000000006"/>
  </r>
  <r>
    <x v="2"/>
    <x v="1"/>
    <x v="0"/>
    <s v="2308200"/>
    <n v="450040"/>
    <s v="Contr Allow--Phys Svcs--Managed Care"/>
    <s v="Gig Harbor-Fam Med"/>
    <x v="0"/>
    <n v="1400"/>
    <n v="28064.94"/>
    <n v="62603.88"/>
    <n v="43829.27"/>
    <n v="57392.1"/>
    <n v="37095.589999999997"/>
    <n v="24119.22"/>
    <n v="11915.78"/>
    <n v="13948.89"/>
    <n v="9426.27"/>
    <n v="19745.18"/>
    <n v="18130.11"/>
    <n v="24399.96"/>
    <n v="350671.19000000006"/>
    <n v="-6269.8499999999985"/>
  </r>
  <r>
    <x v="2"/>
    <x v="1"/>
    <x v="0"/>
    <s v="2308200"/>
    <n v="450040"/>
    <s v="Contr Allow--Phys Svcs--BCBS Mgnd Care"/>
    <s v="Gig Harbor-Fam Med"/>
    <x v="0"/>
    <n v="1401"/>
    <n v="-35422.86"/>
    <n v="-14341.06"/>
    <n v="14270.12"/>
    <n v="25855.9"/>
    <n v="-22163.33"/>
    <n v="-82927.87"/>
    <n v="-9555.2999999999993"/>
    <n v="-14206.29"/>
    <n v="28807.86"/>
    <n v="-2070.52"/>
    <n v="25131.3"/>
    <n v="-12439.34"/>
    <n v="-99061.39"/>
    <n v="37570.639999999999"/>
  </r>
  <r>
    <x v="2"/>
    <x v="1"/>
    <x v="0"/>
    <s v="2308200"/>
    <n v="450040"/>
    <s v="Admin Adjust-Phys Svcs-Self Pay"/>
    <s v="Gig Harbor-Fam Med"/>
    <x v="0"/>
    <n v="1600"/>
    <n v="1196.95"/>
    <n v="2013.96"/>
    <n v="2821.13"/>
    <n v="3205.71"/>
    <n v="2559.04"/>
    <n v="13655.09"/>
    <n v="1013.87"/>
    <n v="792.85"/>
    <n v="1005.95"/>
    <n v="869.92"/>
    <n v="2668.37"/>
    <n v="1566.05"/>
    <n v="33368.89"/>
    <n v="1102.32"/>
  </r>
  <r>
    <x v="2"/>
    <x v="1"/>
    <x v="0"/>
    <s v="2308200"/>
    <n v="450040"/>
    <s v="Contr Allow--Phys Svcs--Other"/>
    <s v="Gig Harbor-Fam Med"/>
    <x v="0"/>
    <n v="1700"/>
    <n v="8861.65"/>
    <n v="10371.540000000001"/>
    <n v="7554.81"/>
    <n v="16723.34"/>
    <n v="13140.59"/>
    <n v="11162.92"/>
    <n v="8651.19"/>
    <n v="5805.43"/>
    <n v="4268.79"/>
    <n v="6164.77"/>
    <n v="6291.08"/>
    <n v="8619.67"/>
    <n v="107615.78"/>
    <n v="-2328.59"/>
  </r>
  <r>
    <x v="3"/>
    <x v="1"/>
    <x v="0"/>
    <s v="2308200"/>
    <n v="470040"/>
    <s v="Charity Care-Physician Svcs"/>
    <s v="Gig Harbor-Fam Med"/>
    <x v="0"/>
    <m/>
    <n v="-787.77"/>
    <n v="1605.9"/>
    <n v="1009"/>
    <n v="2664.92"/>
    <n v="-211.25"/>
    <n v="-2905.22"/>
    <n v="333.44"/>
    <n v="-230.56"/>
    <n v="4535.5200000000004"/>
    <n v="1672.79"/>
    <n v="1770.12"/>
    <n v="1388.3"/>
    <n v="10845.19"/>
    <n v="381.81999999999994"/>
  </r>
  <r>
    <x v="4"/>
    <x v="1"/>
    <x v="0"/>
    <s v="2308200"/>
    <n v="490010"/>
    <s v="Provision for Bad Debts"/>
    <s v="Gig Harbor-Fam Med"/>
    <x v="0"/>
    <m/>
    <n v="-1685.86"/>
    <n v="1800.8"/>
    <n v="6821.1"/>
    <n v="2079.75"/>
    <n v="599.96"/>
    <n v="-9918.7199999999993"/>
    <n v="-122.3"/>
    <n v="-994.64"/>
    <n v="2223.59"/>
    <n v="3078.66"/>
    <n v="5006.41"/>
    <n v="-1061.33"/>
    <n v="7827.42"/>
    <n v="6067.74"/>
  </r>
  <r>
    <x v="5"/>
    <x v="1"/>
    <x v="0"/>
    <s v="2308200"/>
    <n v="700022"/>
    <s v="Salaries-Physician-Productive"/>
    <s v="Gig Harbor-Fam Med"/>
    <x v="0"/>
    <m/>
    <n v="39067.019999999997"/>
    <n v="71001.649999999994"/>
    <n v="59923.42"/>
    <n v="100528.36"/>
    <n v="95661.82"/>
    <n v="30201.07"/>
    <n v="43819.18"/>
    <n v="43515.89"/>
    <n v="44835.38"/>
    <n v="44099.839999999997"/>
    <n v="46615.6"/>
    <n v="27849.38"/>
    <n v="647118.60999999987"/>
    <n v="18766.219999999998"/>
  </r>
  <r>
    <x v="5"/>
    <x v="1"/>
    <x v="0"/>
    <s v="2308200"/>
    <n v="700024"/>
    <s v="Salaries-Advanced Practice Clinician-Productive"/>
    <s v="Gig Harbor-Fam Med"/>
    <x v="0"/>
    <m/>
    <n v="8258.0400000000009"/>
    <n v="26639.02"/>
    <n v="8010.61"/>
    <n v="10815.13"/>
    <n v="8800"/>
    <n v="-2000"/>
    <n v="0"/>
    <n v="6629.04"/>
    <n v="9950.2900000000009"/>
    <n v="9238.5300000000007"/>
    <n v="9712.33"/>
    <n v="5922.14"/>
    <n v="101975.13"/>
    <n v="3790.1899999999996"/>
  </r>
  <r>
    <x v="5"/>
    <x v="1"/>
    <x v="0"/>
    <s v="2308200"/>
    <n v="700030"/>
    <s v="Salaries-LPN-Productive"/>
    <s v="Gig Harbor-Fam Med"/>
    <x v="0"/>
    <m/>
    <n v="8242.69"/>
    <n v="9373.4599999999991"/>
    <n v="6594.77"/>
    <n v="9460.44"/>
    <n v="8709.7800000000007"/>
    <n v="5678.67"/>
    <n v="3434.34"/>
    <n v="5000.08"/>
    <n v="2629.25"/>
    <n v="-588.73"/>
    <n v="7705.46"/>
    <n v="3355.68"/>
    <n v="69595.889999999985"/>
    <n v="4349.7800000000007"/>
  </r>
  <r>
    <x v="5"/>
    <x v="1"/>
    <x v="0"/>
    <s v="2308200"/>
    <n v="700030"/>
    <s v="Salaries-LPN-OT"/>
    <s v="Gig Harbor-Fam Med"/>
    <x v="0"/>
    <n v="1000"/>
    <n v="73.709999999999994"/>
    <n v="38.92"/>
    <n v="107.5"/>
    <n v="51.59"/>
    <n v="255"/>
    <n v="-9.64"/>
    <n v="0"/>
    <n v="99.15"/>
    <n v="-16.8"/>
    <n v="0"/>
    <n v="157.63999999999999"/>
    <n v="94.58"/>
    <n v="851.65000000000009"/>
    <n v="63.059999999999988"/>
  </r>
  <r>
    <x v="5"/>
    <x v="1"/>
    <x v="0"/>
    <s v="2308200"/>
    <n v="700030"/>
    <s v="Salaries-LPN-Other"/>
    <s v="Gig Harbor-Fam Med"/>
    <x v="0"/>
    <n v="2000"/>
    <n v="0"/>
    <n v="0"/>
    <n v="0"/>
    <n v="0"/>
    <n v="0"/>
    <n v="0"/>
    <n v="0"/>
    <n v="0"/>
    <n v="0"/>
    <n v="0"/>
    <n v="16.52"/>
    <n v="-8.26"/>
    <n v="8.26"/>
    <n v="24.78"/>
  </r>
  <r>
    <x v="5"/>
    <x v="1"/>
    <x v="0"/>
    <s v="2308200"/>
    <n v="700032"/>
    <s v="Salaries-Other Pat Care Providers-Productive"/>
    <s v="Gig Harbor-Fam Med"/>
    <x v="0"/>
    <m/>
    <n v="5927.84"/>
    <n v="6124.46"/>
    <n v="5911.97"/>
    <n v="6905.38"/>
    <n v="8434.84"/>
    <n v="1587.61"/>
    <n v="2086.7399999999998"/>
    <n v="3534.92"/>
    <n v="2100.36"/>
    <n v="1056.31"/>
    <n v="1091.56"/>
    <n v="1105.6199999999999"/>
    <n v="45867.61"/>
    <n v="-14.059999999999945"/>
  </r>
  <r>
    <x v="5"/>
    <x v="1"/>
    <x v="0"/>
    <s v="2308200"/>
    <n v="700032"/>
    <s v="Salaries-Other Pat Care Providers-OT"/>
    <s v="Gig Harbor-Fam Med"/>
    <x v="0"/>
    <n v="1000"/>
    <n v="243.51"/>
    <n v="111.59"/>
    <n v="51.21"/>
    <n v="18.02"/>
    <n v="117.14"/>
    <n v="313.42"/>
    <n v="238.82"/>
    <n v="0"/>
    <n v="23.05"/>
    <n v="0"/>
    <n v="0"/>
    <n v="0"/>
    <n v="1116.76"/>
    <n v="0"/>
  </r>
  <r>
    <x v="5"/>
    <x v="1"/>
    <x v="0"/>
    <s v="2308200"/>
    <n v="700032"/>
    <s v="Salaries-Other Pat Care Providers-Other"/>
    <s v="Gig Harbor-Fam Med"/>
    <x v="0"/>
    <n v="2000"/>
    <n v="0"/>
    <n v="0"/>
    <n v="0"/>
    <n v="0"/>
    <n v="23.42"/>
    <n v="28.82"/>
    <n v="16.63"/>
    <n v="16.02"/>
    <n v="17.739999999999998"/>
    <n v="17.16"/>
    <n v="17.75"/>
    <n v="17.47"/>
    <n v="155.01"/>
    <n v="0.28000000000000114"/>
  </r>
  <r>
    <x v="5"/>
    <x v="1"/>
    <x v="0"/>
    <s v="2308200"/>
    <n v="700062"/>
    <s v="Salaries-Physician-Non-productive"/>
    <s v="Gig Harbor-Fam Med"/>
    <x v="0"/>
    <m/>
    <n v="26031.279999999999"/>
    <n v="3468.32"/>
    <n v="3120.7"/>
    <n v="5258.7"/>
    <n v="0"/>
    <n v="17447.02"/>
    <n v="8446.69"/>
    <n v="1562.56"/>
    <n v="3262.82"/>
    <n v="-746.02"/>
    <n v="563.48"/>
    <n v="12162.31"/>
    <n v="80577.86"/>
    <n v="-11598.83"/>
  </r>
  <r>
    <x v="5"/>
    <x v="1"/>
    <x v="0"/>
    <s v="2308200"/>
    <n v="700062"/>
    <s v="Salaries-Physician-NonProd-Other"/>
    <s v="Gig Harbor-Fam Med"/>
    <x v="0"/>
    <n v="2000"/>
    <n v="0"/>
    <n v="0"/>
    <n v="0"/>
    <n v="0"/>
    <n v="670.17"/>
    <n v="399.91"/>
    <n v="0"/>
    <n v="-1070.08"/>
    <n v="0"/>
    <n v="0"/>
    <n v="0"/>
    <n v="0"/>
    <n v="0"/>
    <n v="0"/>
  </r>
  <r>
    <x v="5"/>
    <x v="1"/>
    <x v="0"/>
    <s v="2308200"/>
    <n v="700064"/>
    <s v="Salaries-Advanced Practice Clinician-Non-Productive"/>
    <s v="Gig Harbor-Fam Med"/>
    <x v="0"/>
    <m/>
    <n v="0"/>
    <n v="834.79"/>
    <n v="4119.49"/>
    <n v="417.4"/>
    <n v="0"/>
    <n v="2000"/>
    <n v="0"/>
    <n v="0"/>
    <n v="141.56"/>
    <n v="1324.78"/>
    <n v="1324.6"/>
    <n v="3692.33"/>
    <n v="13854.95"/>
    <n v="-2367.73"/>
  </r>
  <r>
    <x v="5"/>
    <x v="1"/>
    <x v="0"/>
    <s v="2308200"/>
    <n v="700070"/>
    <s v="Salaries-LPN-Non-productive"/>
    <s v="Gig Harbor-Fam Med"/>
    <x v="0"/>
    <m/>
    <n v="1269.5"/>
    <n v="802.75"/>
    <n v="2108.4699999999998"/>
    <n v="612.65"/>
    <n v="931.85"/>
    <n v="801.91"/>
    <n v="573.1"/>
    <n v="1167.08"/>
    <n v="-330.64"/>
    <n v="259.89999999999998"/>
    <n v="-21.7"/>
    <n v="553.42999999999995"/>
    <n v="8728.2999999999993"/>
    <n v="-575.13"/>
  </r>
  <r>
    <x v="5"/>
    <x v="1"/>
    <x v="0"/>
    <s v="2308200"/>
    <n v="700070"/>
    <s v="Salaries-LPN-NonProd-Other"/>
    <s v="Gig Harbor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8200"/>
    <n v="700072"/>
    <s v="Salaries-Other Pat Care Providers-Non-productive"/>
    <s v="Gig Harbor-Fam Med"/>
    <x v="0"/>
    <m/>
    <n v="210"/>
    <n v="505"/>
    <n v="245"/>
    <n v="397.6"/>
    <n v="41.4"/>
    <n v="207"/>
    <n v="0"/>
    <n v="0"/>
    <n v="256.13"/>
    <n v="0"/>
    <n v="0"/>
    <n v="0"/>
    <n v="1862.13"/>
    <n v="0"/>
  </r>
  <r>
    <x v="5"/>
    <x v="1"/>
    <x v="0"/>
    <s v="2308200"/>
    <n v="700072"/>
    <s v="Salaries-Other Pat Care Providers-NonProd-Other"/>
    <s v="Gig Harbor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8200"/>
    <n v="700084"/>
    <s v="Accrued PTO"/>
    <s v="Gig Harbor-Fam Med"/>
    <x v="0"/>
    <m/>
    <n v="-100.16"/>
    <n v="116.71"/>
    <n v="-1400.7"/>
    <n v="524.95000000000005"/>
    <n v="268.07"/>
    <n v="-65.19"/>
    <n v="-178.79"/>
    <n v="340.02"/>
    <n v="-351.5"/>
    <n v="218.53"/>
    <n v="398.71"/>
    <n v="57.36"/>
    <n v="-171.99000000000018"/>
    <n v="341.34999999999997"/>
  </r>
  <r>
    <x v="6"/>
    <x v="1"/>
    <x v="0"/>
    <s v="2308200"/>
    <n v="713010"/>
    <s v="Benefits-FICA/Medicare"/>
    <s v="Gig Harbor-Fam Med"/>
    <x v="0"/>
    <m/>
    <n v="2722.11"/>
    <n v="4400.07"/>
    <n v="2911.14"/>
    <n v="3641.47"/>
    <n v="3419.36"/>
    <n v="2828.23"/>
    <n v="4394.43"/>
    <n v="4558.95"/>
    <n v="4814.9799999999996"/>
    <n v="4033.53"/>
    <n v="5101.92"/>
    <n v="3009.02"/>
    <n v="45835.209999999992"/>
    <n v="2092.9"/>
  </r>
  <r>
    <x v="6"/>
    <x v="1"/>
    <x v="0"/>
    <s v="2308200"/>
    <n v="713090"/>
    <s v="Benefits-Allocated Amounts"/>
    <s v="Gig Harbor-Fam Med"/>
    <x v="0"/>
    <m/>
    <n v="0"/>
    <n v="0"/>
    <n v="0"/>
    <n v="0"/>
    <n v="0"/>
    <n v="0"/>
    <n v="0"/>
    <n v="0"/>
    <n v="41118.400000000001"/>
    <n v="2724.97"/>
    <n v="3238.66"/>
    <n v="2786.65"/>
    <n v="49868.68"/>
    <n v="452.00999999999976"/>
  </r>
  <r>
    <x v="6"/>
    <x v="1"/>
    <x v="0"/>
    <s v="2308200"/>
    <n v="713092"/>
    <s v="Allocated Benefits-Physician"/>
    <s v="Gig Harbor-Fam Med"/>
    <x v="0"/>
    <m/>
    <n v="8612.18"/>
    <n v="9865.56"/>
    <n v="9094.33"/>
    <n v="10896.79"/>
    <n v="10470.61"/>
    <n v="5256.03"/>
    <n v="6407.29"/>
    <n v="6451"/>
    <n v="-30511.25"/>
    <n v="2421.7199999999998"/>
    <n v="2878.23"/>
    <n v="2476.5500000000002"/>
    <n v="44319.040000000015"/>
    <n v="401.67999999999984"/>
  </r>
  <r>
    <x v="6"/>
    <x v="1"/>
    <x v="0"/>
    <s v="2308200"/>
    <n v="713093"/>
    <s v="Allocated Benefits-Advanced Practice Clinician"/>
    <s v="Gig Harbor-Fam Med"/>
    <x v="0"/>
    <m/>
    <n v="2000.45"/>
    <n v="2291.6"/>
    <n v="2112.4499999999998"/>
    <n v="2531.12"/>
    <n v="2432.14"/>
    <n v="1220.8800000000001"/>
    <n v="1488.3"/>
    <n v="1498.44"/>
    <n v="-2611.48"/>
    <n v="859.14"/>
    <n v="1021.08"/>
    <n v="878.59"/>
    <n v="15722.71"/>
    <n v="142.49"/>
  </r>
  <r>
    <x v="6"/>
    <x v="1"/>
    <x v="0"/>
    <s v="2308200"/>
    <n v="713096"/>
    <s v="Employee Recognition"/>
    <s v="Gig Harbor-Fam Med"/>
    <x v="0"/>
    <n v="1017"/>
    <n v="0"/>
    <n v="0"/>
    <n v="0"/>
    <n v="0"/>
    <n v="0"/>
    <n v="0"/>
    <n v="0"/>
    <n v="0"/>
    <n v="187"/>
    <n v="0"/>
    <n v="42.88"/>
    <n v="0"/>
    <n v="229.88"/>
    <n v="42.88"/>
  </r>
  <r>
    <x v="7"/>
    <x v="1"/>
    <x v="0"/>
    <s v="2308200"/>
    <n v="718040"/>
    <s v="Contract Svcs-Laboratory"/>
    <s v="Gig Harbor-Fam Med"/>
    <x v="0"/>
    <m/>
    <n v="0"/>
    <n v="0"/>
    <n v="0"/>
    <n v="0"/>
    <n v="0"/>
    <n v="0"/>
    <n v="20"/>
    <n v="0"/>
    <n v="0"/>
    <n v="0"/>
    <n v="0"/>
    <n v="0"/>
    <n v="20"/>
    <n v="0"/>
  </r>
  <r>
    <x v="7"/>
    <x v="1"/>
    <x v="0"/>
    <s v="2308200"/>
    <n v="718050"/>
    <s v="Miscellaneous Purchased Svcs"/>
    <s v="Gig Harbor-Fam Med"/>
    <x v="0"/>
    <n v="1020"/>
    <n v="31.01"/>
    <n v="-33.229999999999997"/>
    <n v="32.97"/>
    <n v="23.45"/>
    <n v="48.4"/>
    <n v="25.1"/>
    <n v="32.97"/>
    <n v="30.27"/>
    <n v="42.04"/>
    <n v="2.74"/>
    <n v="5505.22"/>
    <n v="35.51"/>
    <n v="5776.4500000000007"/>
    <n v="5469.71"/>
  </r>
  <r>
    <x v="11"/>
    <x v="1"/>
    <x v="0"/>
    <s v="2308200"/>
    <n v="721830"/>
    <s v="Supplies-Office"/>
    <s v="Gig Harbor-Fam Med"/>
    <x v="0"/>
    <m/>
    <n v="0"/>
    <n v="0"/>
    <n v="0"/>
    <n v="0"/>
    <n v="0"/>
    <n v="0"/>
    <n v="0"/>
    <n v="0"/>
    <n v="0"/>
    <n v="0"/>
    <n v="29.36"/>
    <n v="0"/>
    <n v="29.36"/>
    <n v="29.36"/>
  </r>
  <r>
    <x v="0"/>
    <x v="1"/>
    <x v="0"/>
    <s v="2308200"/>
    <n v="740022"/>
    <s v="Education-Physician"/>
    <s v="Gig Harbor-Fam Med"/>
    <x v="0"/>
    <m/>
    <n v="0"/>
    <n v="0"/>
    <n v="0"/>
    <n v="0"/>
    <n v="0"/>
    <n v="795"/>
    <n v="0"/>
    <n v="0"/>
    <n v="85.92"/>
    <n v="0"/>
    <n v="0"/>
    <n v="0"/>
    <n v="880.92"/>
    <n v="0"/>
  </r>
  <r>
    <x v="0"/>
    <x v="1"/>
    <x v="0"/>
    <s v="2308200"/>
    <n v="740023"/>
    <s v="Education-Advanced Practice Clinician"/>
    <s v="Gig Harbor-Fam Med"/>
    <x v="0"/>
    <m/>
    <n v="0"/>
    <n v="0"/>
    <n v="0"/>
    <n v="0"/>
    <n v="0"/>
    <n v="0"/>
    <n v="0"/>
    <n v="0"/>
    <n v="0"/>
    <n v="375"/>
    <n v="0"/>
    <n v="0"/>
    <n v="375"/>
    <n v="0"/>
  </r>
  <r>
    <x v="8"/>
    <x v="1"/>
    <x v="0"/>
    <s v="2308200"/>
    <n v="741012"/>
    <s v="Physician Liab Insurance-CHI Program"/>
    <s v="Gig Harbor-Fam Med"/>
    <x v="0"/>
    <m/>
    <n v="1326.27"/>
    <n v="1326.27"/>
    <n v="1752.57"/>
    <n v="1752.57"/>
    <n v="1752.57"/>
    <n v="852.6"/>
    <n v="852.6"/>
    <n v="852.6"/>
    <n v="852.6"/>
    <n v="935"/>
    <n v="935.01"/>
    <n v="935"/>
    <n v="14125.66"/>
    <n v="9.9999999999909051E-3"/>
  </r>
  <r>
    <x v="0"/>
    <x v="1"/>
    <x v="0"/>
    <s v="2308200"/>
    <n v="743022"/>
    <s v="Dues-Physician"/>
    <s v="Gig Harbor-Fam Med"/>
    <x v="0"/>
    <m/>
    <n v="0"/>
    <n v="0"/>
    <n v="0"/>
    <n v="0"/>
    <n v="0"/>
    <n v="0"/>
    <n v="0"/>
    <n v="570"/>
    <n v="745"/>
    <n v="0"/>
    <n v="0"/>
    <n v="0"/>
    <n v="1315"/>
    <n v="0"/>
  </r>
  <r>
    <x v="0"/>
    <x v="1"/>
    <x v="0"/>
    <s v="2308200"/>
    <n v="743043"/>
    <s v="Subscriptions-Advanced Practice Clinician"/>
    <s v="Gig Harbor-Fam Med"/>
    <x v="0"/>
    <m/>
    <n v="0"/>
    <n v="0"/>
    <n v="0"/>
    <n v="0"/>
    <n v="0"/>
    <n v="0"/>
    <n v="0"/>
    <n v="0"/>
    <n v="0"/>
    <n v="0"/>
    <n v="0"/>
    <n v="171.71"/>
    <n v="171.71"/>
    <n v="-171.71"/>
  </r>
  <r>
    <x v="0"/>
    <x v="1"/>
    <x v="0"/>
    <s v="2308200"/>
    <n v="749510"/>
    <s v="Miscellaneous Expenses"/>
    <s v="Gig Harbor-Fam Med"/>
    <x v="0"/>
    <m/>
    <n v="0"/>
    <n v="0"/>
    <n v="0"/>
    <n v="0"/>
    <n v="0"/>
    <n v="3.27"/>
    <n v="-3.27"/>
    <n v="0"/>
    <n v="0"/>
    <n v="0"/>
    <n v="243.52"/>
    <n v="-243.52"/>
    <n v="0"/>
    <n v="487.04"/>
  </r>
  <r>
    <x v="0"/>
    <x v="1"/>
    <x v="0"/>
    <s v="2308200"/>
    <n v="749512"/>
    <s v="Licenses-Physician"/>
    <s v="Gig Harbor-Fam Med"/>
    <x v="0"/>
    <n v="2000"/>
    <n v="0"/>
    <n v="0"/>
    <n v="0"/>
    <n v="657"/>
    <n v="731"/>
    <n v="0"/>
    <n v="0"/>
    <n v="0"/>
    <n v="731"/>
    <n v="0"/>
    <n v="0"/>
    <n v="0"/>
    <n v="2119"/>
    <n v="0"/>
  </r>
  <r>
    <x v="0"/>
    <x v="1"/>
    <x v="0"/>
    <s v="2308200"/>
    <n v="749513"/>
    <s v="Licenses-Advanced Practice Clinician"/>
    <s v="Gig Harbor-Fam Med"/>
    <x v="0"/>
    <n v="2000"/>
    <n v="0"/>
    <n v="0"/>
    <n v="0"/>
    <n v="0"/>
    <n v="0"/>
    <n v="0"/>
    <n v="0"/>
    <n v="0"/>
    <n v="0"/>
    <n v="731"/>
    <n v="0"/>
    <n v="0"/>
    <n v="731"/>
    <n v="0"/>
  </r>
  <r>
    <x v="0"/>
    <x v="1"/>
    <x v="0"/>
    <s v="2308200"/>
    <n v="749530"/>
    <s v="Travel"/>
    <s v="Gig Harbor-Fam Med"/>
    <x v="0"/>
    <m/>
    <n v="5"/>
    <n v="0"/>
    <n v="0"/>
    <n v="0"/>
    <n v="5"/>
    <n v="0"/>
    <n v="0"/>
    <n v="0"/>
    <n v="0"/>
    <n v="0"/>
    <n v="0"/>
    <n v="0"/>
    <n v="10"/>
    <n v="0"/>
  </r>
  <r>
    <x v="0"/>
    <x v="1"/>
    <x v="0"/>
    <s v="2308200"/>
    <n v="749530"/>
    <s v="Mileage"/>
    <s v="Gig Harbor-Fam Med"/>
    <x v="0"/>
    <n v="1001"/>
    <n v="11.45"/>
    <n v="0"/>
    <n v="0"/>
    <n v="0"/>
    <n v="10.9"/>
    <n v="0"/>
    <n v="0"/>
    <n v="0"/>
    <n v="0"/>
    <n v="0"/>
    <n v="0"/>
    <n v="0"/>
    <n v="22.35"/>
    <n v="0"/>
  </r>
  <r>
    <x v="0"/>
    <x v="1"/>
    <x v="0"/>
    <s v="2308200"/>
    <n v="749532"/>
    <s v="Travel-Physician"/>
    <s v="Gig Harbor-Fam Med"/>
    <x v="0"/>
    <m/>
    <n v="0"/>
    <n v="0"/>
    <n v="0"/>
    <n v="0"/>
    <n v="0"/>
    <n v="891"/>
    <n v="0"/>
    <n v="0"/>
    <n v="0"/>
    <n v="0"/>
    <n v="0"/>
    <n v="0"/>
    <n v="891"/>
    <n v="0"/>
  </r>
  <r>
    <x v="0"/>
    <x v="1"/>
    <x v="0"/>
    <s v="2308200"/>
    <n v="749532"/>
    <s v="Business Meals-Physician"/>
    <s v="Gig Harbor-Fam Med"/>
    <x v="0"/>
    <n v="2000"/>
    <n v="0"/>
    <n v="0"/>
    <n v="0"/>
    <n v="0"/>
    <n v="0"/>
    <n v="65.08"/>
    <n v="0"/>
    <n v="0"/>
    <n v="0"/>
    <n v="0"/>
    <n v="0"/>
    <n v="0"/>
    <n v="65.08"/>
    <n v="0"/>
  </r>
  <r>
    <x v="0"/>
    <x v="1"/>
    <x v="0"/>
    <s v="2308200"/>
    <n v="749532"/>
    <s v="Vehicle Expense-Physician"/>
    <s v="Gig Harbor-Fam Med"/>
    <x v="0"/>
    <n v="2001"/>
    <n v="0"/>
    <n v="0"/>
    <n v="0"/>
    <n v="101.92"/>
    <n v="0"/>
    <n v="0"/>
    <n v="3.27"/>
    <n v="0"/>
    <n v="0"/>
    <n v="0"/>
    <n v="0"/>
    <n v="0"/>
    <n v="105.19"/>
    <n v="0"/>
  </r>
  <r>
    <x v="0"/>
    <x v="1"/>
    <x v="0"/>
    <s v="2308200"/>
    <n v="749533"/>
    <s v="Travel-Advanced Practice Clinician"/>
    <s v="Gig Harbor-Fam Med"/>
    <x v="0"/>
    <m/>
    <n v="0"/>
    <n v="0"/>
    <n v="0"/>
    <n v="0"/>
    <n v="0"/>
    <n v="0"/>
    <n v="0"/>
    <n v="0"/>
    <n v="0"/>
    <n v="478.51"/>
    <n v="0"/>
    <n v="0"/>
    <n v="478.51"/>
    <n v="0"/>
  </r>
  <r>
    <x v="0"/>
    <x v="1"/>
    <x v="0"/>
    <s v="2308200"/>
    <n v="749533"/>
    <s v="Vehicle Expense-Advanced Practice Clinician"/>
    <s v="Gig Harbor-Fam Med"/>
    <x v="0"/>
    <n v="2001"/>
    <n v="0"/>
    <n v="0"/>
    <n v="0"/>
    <n v="0"/>
    <n v="0"/>
    <n v="0"/>
    <n v="0"/>
    <n v="0"/>
    <n v="0"/>
    <n v="60.32"/>
    <n v="0"/>
    <n v="0"/>
    <n v="60.32"/>
    <n v="0"/>
  </r>
  <r>
    <x v="0"/>
    <x v="1"/>
    <x v="0"/>
    <s v="2308200"/>
    <n v="749535"/>
    <s v="Meetings"/>
    <s v="Gig Harbor-Fam Med"/>
    <x v="0"/>
    <m/>
    <n v="0"/>
    <n v="0"/>
    <n v="0"/>
    <n v="0"/>
    <n v="0"/>
    <n v="0"/>
    <n v="0"/>
    <n v="0"/>
    <n v="0"/>
    <n v="0"/>
    <n v="0"/>
    <n v="71.81"/>
    <n v="71.81"/>
    <n v="-71.81"/>
  </r>
  <r>
    <x v="9"/>
    <x v="1"/>
    <x v="0"/>
    <s v="2308200"/>
    <n v="800015"/>
    <s v="Interest Income-Ext to CHI"/>
    <s v="Gig Harbor-Fam Med"/>
    <x v="0"/>
    <m/>
    <n v="0"/>
    <n v="0"/>
    <n v="0"/>
    <n v="0"/>
    <n v="0"/>
    <n v="0"/>
    <n v="0"/>
    <n v="0"/>
    <n v="-16.559999999999999"/>
    <n v="-53.81"/>
    <n v="-78.66"/>
    <n v="-72.78"/>
    <n v="-221.81"/>
    <n v="-5.8799999999999955"/>
  </r>
  <r>
    <x v="1"/>
    <x v="1"/>
    <x v="0"/>
    <s v="2309200"/>
    <n v="400029"/>
    <s v="MD Practice Other Rev--Medicare"/>
    <s v="Gig Harbor-Int Med"/>
    <x v="0"/>
    <n v="1100"/>
    <n v="-44"/>
    <n v="-29"/>
    <n v="0"/>
    <n v="-10"/>
    <n v="-14"/>
    <n v="-74"/>
    <n v="-141"/>
    <n v="-261"/>
    <n v="-420"/>
    <n v="-47"/>
    <n v="-260"/>
    <n v="-515"/>
    <n v="-1815"/>
    <n v="255"/>
  </r>
  <r>
    <x v="1"/>
    <x v="1"/>
    <x v="0"/>
    <s v="2309200"/>
    <n v="400029"/>
    <s v="MD Practice Other Rev--Medicaid"/>
    <s v="Gig Harbor-Int Med"/>
    <x v="0"/>
    <n v="1200"/>
    <n v="-10"/>
    <n v="-10"/>
    <n v="-10"/>
    <n v="-65"/>
    <n v="-45"/>
    <n v="-20"/>
    <n v="-78"/>
    <n v="-45"/>
    <n v="-87"/>
    <n v="-76"/>
    <n v="0"/>
    <n v="0"/>
    <n v="-446"/>
    <n v="0"/>
  </r>
  <r>
    <x v="1"/>
    <x v="1"/>
    <x v="0"/>
    <s v="2309200"/>
    <n v="400029"/>
    <s v="MD Practice Other Rev--Comm Insurance"/>
    <s v="Gig Harbor-Int Med"/>
    <x v="0"/>
    <n v="1300"/>
    <n v="0"/>
    <n v="-48"/>
    <n v="0"/>
    <n v="0"/>
    <n v="0"/>
    <n v="0"/>
    <n v="-55"/>
    <n v="-10"/>
    <n v="0"/>
    <n v="0"/>
    <n v="0"/>
    <n v="0"/>
    <n v="-113"/>
    <n v="0"/>
  </r>
  <r>
    <x v="1"/>
    <x v="1"/>
    <x v="0"/>
    <s v="2309200"/>
    <n v="400029"/>
    <s v="MD Practice Other Rev--BCBS Comm"/>
    <s v="Gig Harbor-Int Med"/>
    <x v="0"/>
    <n v="1301"/>
    <n v="-24"/>
    <n v="0"/>
    <n v="-24"/>
    <n v="-24"/>
    <n v="-24"/>
    <n v="-58"/>
    <n v="-24"/>
    <n v="-135"/>
    <n v="-66"/>
    <n v="0"/>
    <n v="0"/>
    <n v="0"/>
    <n v="-379"/>
    <n v="0"/>
  </r>
  <r>
    <x v="1"/>
    <x v="1"/>
    <x v="0"/>
    <s v="2309200"/>
    <n v="400029"/>
    <s v="MD Practice Other Rev--Managed Care"/>
    <s v="Gig Harbor-Int Med"/>
    <x v="0"/>
    <n v="1400"/>
    <n v="-10"/>
    <n v="-10"/>
    <n v="0"/>
    <n v="-90"/>
    <n v="-10"/>
    <n v="-145"/>
    <n v="0"/>
    <n v="-223"/>
    <n v="-109"/>
    <n v="-983"/>
    <n v="-1292"/>
    <n v="-90"/>
    <n v="-2962"/>
    <n v="-1202"/>
  </r>
  <r>
    <x v="1"/>
    <x v="1"/>
    <x v="0"/>
    <s v="2309200"/>
    <n v="400029"/>
    <s v="MD Practice Other Rev--Self Pay"/>
    <s v="Gig Harbor-Int Med"/>
    <x v="0"/>
    <n v="1500"/>
    <n v="-10"/>
    <n v="10"/>
    <n v="0"/>
    <n v="0"/>
    <n v="0"/>
    <n v="0"/>
    <n v="0"/>
    <n v="0"/>
    <n v="-45"/>
    <n v="0"/>
    <n v="0"/>
    <n v="0"/>
    <n v="-45"/>
    <n v="0"/>
  </r>
  <r>
    <x v="1"/>
    <x v="1"/>
    <x v="0"/>
    <s v="2309200"/>
    <n v="400040"/>
    <s v="Physician Svcs Rev--Medicare"/>
    <s v="Gig Harbor-Int Med"/>
    <x v="0"/>
    <n v="1100"/>
    <n v="-123969"/>
    <n v="-116801"/>
    <n v="-122518"/>
    <n v="-148924.35999999999"/>
    <n v="-149377.01"/>
    <n v="-148298"/>
    <n v="-175097.27"/>
    <n v="-124774.27"/>
    <n v="-148071.63"/>
    <n v="-132195.69"/>
    <n v="-146244.35"/>
    <n v="-140771.25"/>
    <n v="-1677041.83"/>
    <n v="-5473.1000000000058"/>
  </r>
  <r>
    <x v="1"/>
    <x v="1"/>
    <x v="0"/>
    <s v="2309200"/>
    <n v="400040"/>
    <s v="Physician Svcs Rev--Medicaid"/>
    <s v="Gig Harbor-Int Med"/>
    <x v="0"/>
    <n v="1200"/>
    <n v="-19547"/>
    <n v="-18566"/>
    <n v="-16465"/>
    <n v="-20652.32"/>
    <n v="-21557.439999999999"/>
    <n v="-16583"/>
    <n v="-27640.81"/>
    <n v="-23691"/>
    <n v="-18157"/>
    <n v="-17031"/>
    <n v="-17527.439999999999"/>
    <n v="-19367.439999999999"/>
    <n v="-236785.45"/>
    <n v="1840"/>
  </r>
  <r>
    <x v="1"/>
    <x v="1"/>
    <x v="0"/>
    <s v="2309200"/>
    <n v="400040"/>
    <s v="Physician Svcs Rev--Comm Insurance"/>
    <s v="Gig Harbor-Int Med"/>
    <x v="0"/>
    <n v="1300"/>
    <n v="-5142"/>
    <n v="-3290"/>
    <n v="-3265"/>
    <n v="-7744"/>
    <n v="-6342"/>
    <n v="-2852"/>
    <n v="-3702"/>
    <n v="-2612"/>
    <n v="-6297"/>
    <n v="-10013"/>
    <n v="-4748"/>
    <n v="-2988"/>
    <n v="-58995"/>
    <n v="-1760"/>
  </r>
  <r>
    <x v="1"/>
    <x v="1"/>
    <x v="0"/>
    <s v="2309200"/>
    <n v="400040"/>
    <s v="Physician Svcs Rev--BCBS Comm"/>
    <s v="Gig Harbor-Int Med"/>
    <x v="0"/>
    <n v="1301"/>
    <n v="-7840"/>
    <n v="-6815"/>
    <n v="-9681"/>
    <n v="-10932.13"/>
    <n v="-13666"/>
    <n v="-7561"/>
    <n v="-10648"/>
    <n v="-6202"/>
    <n v="-7310"/>
    <n v="-5956"/>
    <n v="-9073"/>
    <n v="-4972"/>
    <n v="-100656.13"/>
    <n v="-4101"/>
  </r>
  <r>
    <x v="1"/>
    <x v="1"/>
    <x v="0"/>
    <s v="2309200"/>
    <n v="400040"/>
    <s v="Physician Svcs Rev--Managed Care"/>
    <s v="Gig Harbor-Int Med"/>
    <x v="0"/>
    <n v="1400"/>
    <n v="-14514"/>
    <n v="-37504"/>
    <n v="-27028"/>
    <n v="-41800.26"/>
    <n v="-43352.09"/>
    <n v="-40503"/>
    <n v="-47195"/>
    <n v="-40124"/>
    <n v="-39868"/>
    <n v="-40112"/>
    <n v="-47134"/>
    <n v="-31294"/>
    <n v="-450428.35"/>
    <n v="-15840"/>
  </r>
  <r>
    <x v="1"/>
    <x v="1"/>
    <x v="0"/>
    <s v="2309200"/>
    <n v="400040"/>
    <s v="Physician Svcs Rev--Self Pay"/>
    <s v="Gig Harbor-Int Med"/>
    <x v="0"/>
    <n v="1500"/>
    <n v="-1665"/>
    <n v="1035"/>
    <n v="-1514"/>
    <n v="-2828"/>
    <n v="-2310"/>
    <n v="-1290"/>
    <n v="-295"/>
    <n v="-1380"/>
    <n v="-1654"/>
    <n v="-1577"/>
    <n v="105"/>
    <n v="-1788"/>
    <n v="-15161"/>
    <n v="1893"/>
  </r>
  <r>
    <x v="1"/>
    <x v="1"/>
    <x v="0"/>
    <s v="2309200"/>
    <n v="400040"/>
    <s v="Physician Svcs Rev--Other"/>
    <s v="Gig Harbor-Int Med"/>
    <x v="0"/>
    <n v="1700"/>
    <n v="-3461"/>
    <n v="-5245"/>
    <n v="-5096"/>
    <n v="-5126"/>
    <n v="-2426"/>
    <n v="-3281"/>
    <n v="-5271"/>
    <n v="-4544"/>
    <n v="-5543"/>
    <n v="-3963"/>
    <n v="-5038"/>
    <n v="-5159"/>
    <n v="-54153"/>
    <n v="121"/>
  </r>
  <r>
    <x v="2"/>
    <x v="1"/>
    <x v="0"/>
    <s v="2309200"/>
    <n v="450029"/>
    <s v="Contr Allow--MD Other-Medicare"/>
    <s v="Gig Harbor-Int Med"/>
    <x v="0"/>
    <n v="1100"/>
    <n v="13.18"/>
    <n v="17.739999999999998"/>
    <n v="13.67"/>
    <n v="7.95"/>
    <n v="-6.59"/>
    <n v="23.23"/>
    <n v="79.400000000000006"/>
    <n v="101.09"/>
    <n v="240.7"/>
    <n v="180.27"/>
    <n v="154.13"/>
    <n v="202.04"/>
    <n v="1026.81"/>
    <n v="-47.91"/>
  </r>
  <r>
    <x v="2"/>
    <x v="1"/>
    <x v="0"/>
    <s v="2309200"/>
    <n v="450029"/>
    <s v="Contr Allow--MD Other-Medicaid"/>
    <s v="Gig Harbor-Int Med"/>
    <x v="0"/>
    <n v="1200"/>
    <n v="0"/>
    <n v="13.47"/>
    <n v="6.78"/>
    <n v="6.78"/>
    <n v="36.630000000000003"/>
    <n v="43.49"/>
    <n v="0"/>
    <n v="53.64"/>
    <n v="30.48"/>
    <n v="91.97"/>
    <n v="22.76"/>
    <n v="0"/>
    <n v="306"/>
    <n v="22.76"/>
  </r>
  <r>
    <x v="2"/>
    <x v="1"/>
    <x v="0"/>
    <s v="2309200"/>
    <n v="450029"/>
    <s v="Contr Allow--MD Other-Comm Insurance"/>
    <s v="Gig Harbor-Int Med"/>
    <x v="0"/>
    <n v="1300"/>
    <n v="0"/>
    <n v="9.01"/>
    <n v="0"/>
    <n v="0"/>
    <n v="0"/>
    <n v="0"/>
    <n v="0"/>
    <n v="15.25"/>
    <n v="8.91"/>
    <n v="0"/>
    <n v="0"/>
    <n v="0"/>
    <n v="33.17"/>
    <n v="0"/>
  </r>
  <r>
    <x v="2"/>
    <x v="1"/>
    <x v="0"/>
    <s v="2309200"/>
    <n v="450029"/>
    <s v="Contr Allow--MD Other BCBS Comm"/>
    <s v="Gig Harbor-Int Med"/>
    <x v="0"/>
    <n v="1301"/>
    <n v="0"/>
    <n v="8.32"/>
    <n v="0"/>
    <n v="16.64"/>
    <n v="0"/>
    <n v="14.18"/>
    <n v="20.68"/>
    <n v="85.68"/>
    <n v="19.68"/>
    <n v="19.68"/>
    <n v="0"/>
    <n v="0"/>
    <n v="184.86"/>
    <n v="0"/>
  </r>
  <r>
    <x v="2"/>
    <x v="1"/>
    <x v="0"/>
    <s v="2309200"/>
    <n v="450029"/>
    <s v="Contr Allow--MD Other-Managed Care"/>
    <s v="Gig Harbor-Int Med"/>
    <x v="0"/>
    <n v="1400"/>
    <n v="0"/>
    <n v="13.04"/>
    <n v="0"/>
    <n v="0"/>
    <n v="45"/>
    <n v="13.04"/>
    <n v="83.05"/>
    <n v="74.260000000000005"/>
    <n v="6.52"/>
    <n v="239"/>
    <n v="1110.3599999999999"/>
    <n v="53.21"/>
    <n v="1637.48"/>
    <n v="1057.1499999999999"/>
  </r>
  <r>
    <x v="2"/>
    <x v="1"/>
    <x v="0"/>
    <s v="2309200"/>
    <n v="450029"/>
    <s v="Admin Adjust-MD Other-Self Pay"/>
    <s v="Gig Harbor-Int Med"/>
    <x v="0"/>
    <n v="1600"/>
    <n v="3.7"/>
    <n v="-2.17"/>
    <n v="3.28"/>
    <n v="0"/>
    <n v="0"/>
    <n v="0.52"/>
    <n v="0.52"/>
    <n v="0"/>
    <n v="24.75"/>
    <n v="0"/>
    <n v="0.5"/>
    <n v="0"/>
    <n v="31.1"/>
    <n v="0.5"/>
  </r>
  <r>
    <x v="2"/>
    <x v="1"/>
    <x v="0"/>
    <s v="2309200"/>
    <n v="450040"/>
    <s v="Contr Allow--Phys Svcs--Mcare"/>
    <s v="Gig Harbor-Int Med"/>
    <x v="0"/>
    <n v="1100"/>
    <n v="64845.73"/>
    <n v="71160.72"/>
    <n v="70710.63"/>
    <n v="103496.26"/>
    <n v="83965.06"/>
    <n v="92202.05"/>
    <n v="108550.13"/>
    <n v="83380.570000000007"/>
    <n v="87900.24"/>
    <n v="85879.15"/>
    <n v="95911.12"/>
    <n v="85416.49"/>
    <n v="1033418.1500000001"/>
    <n v="10494.62999999999"/>
  </r>
  <r>
    <x v="2"/>
    <x v="1"/>
    <x v="0"/>
    <s v="2309200"/>
    <n v="450040"/>
    <s v="Contr Allow--Phys Svcs--Mcaid"/>
    <s v="Gig Harbor-Int Med"/>
    <x v="0"/>
    <n v="1200"/>
    <n v="11622.91"/>
    <n v="18054.7"/>
    <n v="13261.92"/>
    <n v="14084.56"/>
    <n v="15074.1"/>
    <n v="14728.67"/>
    <n v="13689.57"/>
    <n v="17153.27"/>
    <n v="15670.82"/>
    <n v="17054.68"/>
    <n v="14185.17"/>
    <n v="13712.49"/>
    <n v="178292.86"/>
    <n v="472.68000000000029"/>
  </r>
  <r>
    <x v="2"/>
    <x v="1"/>
    <x v="0"/>
    <s v="2309200"/>
    <n v="450040"/>
    <s v="Contr Allow--Phys Svcs--Comm Insurance"/>
    <s v="Gig Harbor-Int Med"/>
    <x v="0"/>
    <n v="1300"/>
    <n v="233.57"/>
    <n v="1269.48"/>
    <n v="1137.3900000000001"/>
    <n v="2849.29"/>
    <n v="1987.68"/>
    <n v="1787.84"/>
    <n v="3104.45"/>
    <n v="694.85"/>
    <n v="1653.18"/>
    <n v="2175.71"/>
    <n v="2818.79"/>
    <n v="2899.93"/>
    <n v="22612.160000000003"/>
    <n v="-81.139999999999873"/>
  </r>
  <r>
    <x v="2"/>
    <x v="1"/>
    <x v="0"/>
    <s v="2309200"/>
    <n v="450040"/>
    <s v="Contr Allow--Phys Svcs--BCBS Comm Ins"/>
    <s v="Gig Harbor-Int Med"/>
    <x v="0"/>
    <n v="1301"/>
    <n v="2048.66"/>
    <n v="2437.4899999999998"/>
    <n v="2863.98"/>
    <n v="3044.99"/>
    <n v="4482.34"/>
    <n v="2530.92"/>
    <n v="3105.41"/>
    <n v="2020.02"/>
    <n v="2105.7600000000002"/>
    <n v="1356.83"/>
    <n v="1980.89"/>
    <n v="2585.85"/>
    <n v="30563.14"/>
    <n v="-604.95999999999981"/>
  </r>
  <r>
    <x v="2"/>
    <x v="1"/>
    <x v="0"/>
    <s v="2309200"/>
    <n v="450040"/>
    <s v="Contr Allow--Phys Svcs--Managed Care"/>
    <s v="Gig Harbor-Int Med"/>
    <x v="0"/>
    <n v="1400"/>
    <n v="8272.7199999999993"/>
    <n v="11669.31"/>
    <n v="12236.15"/>
    <n v="13148.25"/>
    <n v="14345.35"/>
    <n v="13684.75"/>
    <n v="14706.93"/>
    <n v="14791.62"/>
    <n v="16083.11"/>
    <n v="14528.81"/>
    <n v="16593.64"/>
    <n v="13825.71"/>
    <n v="163886.35"/>
    <n v="2767.9300000000003"/>
  </r>
  <r>
    <x v="2"/>
    <x v="1"/>
    <x v="0"/>
    <s v="2309200"/>
    <n v="450040"/>
    <s v="Contr Allow--Phys Svcs--BCBS Mgnd Care"/>
    <s v="Gig Harbor-Int Med"/>
    <x v="0"/>
    <n v="1401"/>
    <n v="10913.91"/>
    <n v="1650.45"/>
    <n v="5664.45"/>
    <n v="-2158.4699999999998"/>
    <n v="11363.88"/>
    <n v="423.14"/>
    <n v="18588.52"/>
    <n v="-525.96"/>
    <n v="3167.87"/>
    <n v="-7010.61"/>
    <n v="-2943.63"/>
    <n v="-7339.9"/>
    <n v="31793.650000000009"/>
    <n v="4396.2699999999995"/>
  </r>
  <r>
    <x v="2"/>
    <x v="1"/>
    <x v="0"/>
    <s v="2309200"/>
    <n v="450040"/>
    <s v="Prompt Pay Disc-Phys Svcs-Self Pay"/>
    <s v="Gig Harbor-Int Med"/>
    <x v="0"/>
    <n v="1500"/>
    <n v="0"/>
    <n v="253.65"/>
    <n v="0"/>
    <n v="0"/>
    <n v="0"/>
    <n v="0"/>
    <n v="0"/>
    <n v="22.25"/>
    <n v="0"/>
    <n v="0"/>
    <n v="0"/>
    <n v="0"/>
    <n v="275.89999999999998"/>
    <n v="0"/>
  </r>
  <r>
    <x v="2"/>
    <x v="1"/>
    <x v="0"/>
    <s v="2309200"/>
    <n v="450040"/>
    <s v="Admin Adjust-Phys Svcs-Self Pay"/>
    <s v="Gig Harbor-Int Med"/>
    <x v="0"/>
    <n v="1600"/>
    <n v="859.86"/>
    <n v="-287.08"/>
    <n v="851.27"/>
    <n v="1235.1600000000001"/>
    <n v="1282.44"/>
    <n v="417.94"/>
    <n v="543.48"/>
    <n v="607.73"/>
    <n v="1025.32"/>
    <n v="1033.48"/>
    <n v="260.04000000000002"/>
    <n v="424.64"/>
    <n v="8254.2799999999988"/>
    <n v="-164.59999999999997"/>
  </r>
  <r>
    <x v="2"/>
    <x v="1"/>
    <x v="0"/>
    <s v="2309200"/>
    <n v="450040"/>
    <s v="Contr Allow--Phys Svcs--Other"/>
    <s v="Gig Harbor-Int Med"/>
    <x v="0"/>
    <n v="1700"/>
    <n v="1754.78"/>
    <n v="2114.6"/>
    <n v="2990.33"/>
    <n v="2381.86"/>
    <n v="2020.76"/>
    <n v="1770.24"/>
    <n v="2642.26"/>
    <n v="2036.62"/>
    <n v="2129.4299999999998"/>
    <n v="4531.8500000000004"/>
    <n v="3790.63"/>
    <n v="3793.03"/>
    <n v="31956.390000000003"/>
    <n v="-2.4000000000000909"/>
  </r>
  <r>
    <x v="3"/>
    <x v="1"/>
    <x v="0"/>
    <s v="2309200"/>
    <n v="470040"/>
    <s v="Charity Care-Physician Svcs"/>
    <s v="Gig Harbor-Int Med"/>
    <x v="0"/>
    <m/>
    <n v="773.2"/>
    <n v="1535.9"/>
    <n v="856.9"/>
    <n v="507.06"/>
    <n v="610.25"/>
    <n v="-9.23"/>
    <n v="2938.43"/>
    <n v="-101.48"/>
    <n v="1361.9"/>
    <n v="1130.17"/>
    <n v="-420.6"/>
    <n v="951.57"/>
    <n v="10134.07"/>
    <n v="-1372.17"/>
  </r>
  <r>
    <x v="4"/>
    <x v="1"/>
    <x v="0"/>
    <s v="2309200"/>
    <n v="490010"/>
    <s v="Provision for Bad Debts"/>
    <s v="Gig Harbor-Int Med"/>
    <x v="0"/>
    <m/>
    <n v="462.9"/>
    <n v="-100.43"/>
    <n v="844.85"/>
    <n v="724.96"/>
    <n v="3091.57"/>
    <n v="192.25"/>
    <n v="609.69000000000005"/>
    <n v="-614.33000000000004"/>
    <n v="1403.04"/>
    <n v="56.91"/>
    <n v="71.62"/>
    <n v="531.41999999999996"/>
    <n v="7274.4500000000007"/>
    <n v="-459.79999999999995"/>
  </r>
  <r>
    <x v="5"/>
    <x v="1"/>
    <x v="0"/>
    <s v="2309200"/>
    <n v="700022"/>
    <s v="Salaries-Physician-Productive"/>
    <s v="Gig Harbor-Int Med"/>
    <x v="0"/>
    <m/>
    <n v="32141.74"/>
    <n v="42287.53"/>
    <n v="29283.8"/>
    <n v="31760"/>
    <n v="33620"/>
    <n v="31471.84"/>
    <n v="36914.550000000003"/>
    <n v="23470.22"/>
    <n v="36945.339999999997"/>
    <n v="59636.02"/>
    <n v="65273.82"/>
    <n v="39638.69"/>
    <n v="462443.55000000005"/>
    <n v="25635.129999999997"/>
  </r>
  <r>
    <x v="5"/>
    <x v="1"/>
    <x v="0"/>
    <s v="2309200"/>
    <n v="700026"/>
    <s v="Salaries-RN-Productive"/>
    <s v="Gig Harbor-Int Med"/>
    <x v="0"/>
    <m/>
    <n v="0"/>
    <n v="0"/>
    <n v="0"/>
    <n v="0"/>
    <n v="0"/>
    <n v="0"/>
    <n v="678.03"/>
    <n v="142.16999999999999"/>
    <n v="0"/>
    <n v="0"/>
    <n v="0"/>
    <n v="0"/>
    <n v="820.19999999999993"/>
    <n v="0"/>
  </r>
  <r>
    <x v="5"/>
    <x v="1"/>
    <x v="0"/>
    <s v="2309200"/>
    <n v="700026"/>
    <s v="Salaries-RN-Other"/>
    <s v="Gig Harbor-Int Med"/>
    <x v="0"/>
    <n v="2000"/>
    <n v="0"/>
    <n v="0"/>
    <n v="0"/>
    <n v="0"/>
    <n v="0"/>
    <n v="0"/>
    <n v="27.17"/>
    <n v="5.7"/>
    <n v="0"/>
    <n v="0"/>
    <n v="0"/>
    <n v="0"/>
    <n v="32.870000000000005"/>
    <n v="0"/>
  </r>
  <r>
    <x v="5"/>
    <x v="1"/>
    <x v="0"/>
    <s v="2309200"/>
    <n v="700030"/>
    <s v="Salaries-LPN-Productive"/>
    <s v="Gig Harbor-Int Med"/>
    <x v="0"/>
    <m/>
    <n v="5401.26"/>
    <n v="4083.38"/>
    <n v="5535.08"/>
    <n v="5443.43"/>
    <n v="5751.63"/>
    <n v="4562.53"/>
    <n v="8705.15"/>
    <n v="4558.79"/>
    <n v="11444.07"/>
    <n v="10041.950000000001"/>
    <n v="4802.9799999999996"/>
    <n v="4642.32"/>
    <n v="74972.570000000007"/>
    <n v="160.65999999999985"/>
  </r>
  <r>
    <x v="5"/>
    <x v="1"/>
    <x v="0"/>
    <s v="2309200"/>
    <n v="700030"/>
    <s v="Salaries-LPN-OT"/>
    <s v="Gig Harbor-Int Med"/>
    <x v="0"/>
    <n v="1000"/>
    <n v="206.81"/>
    <n v="36.5"/>
    <n v="243.3"/>
    <n v="355.23"/>
    <n v="557.6"/>
    <n v="-144.16999999999999"/>
    <n v="715.31"/>
    <n v="-57.52"/>
    <n v="239.25"/>
    <n v="77.52"/>
    <n v="76.23"/>
    <n v="37.369999999999997"/>
    <n v="2343.4299999999998"/>
    <n v="38.860000000000007"/>
  </r>
  <r>
    <x v="5"/>
    <x v="1"/>
    <x v="0"/>
    <s v="2309200"/>
    <n v="700030"/>
    <s v="Salaries-LPN-Other"/>
    <s v="Gig Harbor-Int Med"/>
    <x v="0"/>
    <n v="2000"/>
    <n v="0"/>
    <n v="0"/>
    <n v="0"/>
    <n v="0"/>
    <n v="0"/>
    <n v="119.54"/>
    <n v="0"/>
    <n v="0"/>
    <n v="0"/>
    <n v="0"/>
    <n v="0"/>
    <n v="0"/>
    <n v="119.54"/>
    <n v="0"/>
  </r>
  <r>
    <x v="5"/>
    <x v="1"/>
    <x v="0"/>
    <s v="2309200"/>
    <n v="700032"/>
    <s v="Salaries-Other Pat Care Providers-Productive"/>
    <s v="Gig Harbor-Int Med"/>
    <x v="0"/>
    <m/>
    <n v="4578.8"/>
    <n v="10082.23"/>
    <n v="4654.47"/>
    <n v="7350.82"/>
    <n v="10544.68"/>
    <n v="4018.61"/>
    <n v="5525.88"/>
    <n v="1040.54"/>
    <n v="0"/>
    <n v="0"/>
    <n v="3539.92"/>
    <n v="2779.39"/>
    <n v="54115.34"/>
    <n v="760.5300000000002"/>
  </r>
  <r>
    <x v="5"/>
    <x v="1"/>
    <x v="0"/>
    <s v="2309200"/>
    <n v="700032"/>
    <s v="Salaries-Other Pat Care Providers-OT"/>
    <s v="Gig Harbor-Int Med"/>
    <x v="0"/>
    <n v="1000"/>
    <n v="25"/>
    <n v="91.68"/>
    <n v="224.99"/>
    <n v="149.66"/>
    <n v="-10.31"/>
    <n v="17.170000000000002"/>
    <n v="60.18"/>
    <n v="0"/>
    <n v="0"/>
    <n v="0"/>
    <n v="0"/>
    <n v="13.82"/>
    <n v="572.19000000000005"/>
    <n v="-13.82"/>
  </r>
  <r>
    <x v="5"/>
    <x v="1"/>
    <x v="0"/>
    <s v="2309200"/>
    <n v="700032"/>
    <s v="Salaries-Other Pat Care Providers-Other"/>
    <s v="Gig Harbor-Int Med"/>
    <x v="0"/>
    <n v="2000"/>
    <n v="0"/>
    <n v="0"/>
    <n v="0"/>
    <n v="0"/>
    <n v="0"/>
    <n v="0"/>
    <n v="0"/>
    <n v="0"/>
    <n v="0"/>
    <n v="0"/>
    <n v="30.04"/>
    <n v="0"/>
    <n v="30.04"/>
    <n v="30.04"/>
  </r>
  <r>
    <x v="5"/>
    <x v="1"/>
    <x v="0"/>
    <s v="2309200"/>
    <n v="700062"/>
    <s v="Salaries-Physician-Non-productive"/>
    <s v="Gig Harbor-Int Med"/>
    <x v="0"/>
    <m/>
    <n v="1278"/>
    <n v="0"/>
    <n v="2553.8000000000002"/>
    <n v="5133.24"/>
    <n v="3422.16"/>
    <n v="4079.48"/>
    <n v="2082.21"/>
    <n v="9024.57"/>
    <n v="-2578.44"/>
    <n v="8261.1"/>
    <n v="1177.42"/>
    <n v="18314.98"/>
    <n v="52748.520000000004"/>
    <n v="-17137.559999999998"/>
  </r>
  <r>
    <x v="5"/>
    <x v="1"/>
    <x v="0"/>
    <s v="2309200"/>
    <n v="700070"/>
    <s v="Salaries-LPN-Non-productive"/>
    <s v="Gig Harbor-Int Med"/>
    <x v="0"/>
    <m/>
    <n v="324.39999999999998"/>
    <n v="1885.57"/>
    <n v="-304.12"/>
    <n v="525.52"/>
    <n v="74.62"/>
    <n v="1228.94"/>
    <n v="554.79999999999995"/>
    <n v="1014.83"/>
    <n v="-259.10000000000002"/>
    <n v="0"/>
    <n v="0"/>
    <n v="622.84"/>
    <n v="5668.2999999999993"/>
    <n v="-622.84"/>
  </r>
  <r>
    <x v="5"/>
    <x v="1"/>
    <x v="0"/>
    <s v="2309200"/>
    <n v="700072"/>
    <s v="Salaries-Other Pat Care Providers-Non-productive"/>
    <s v="Gig Harbor-Int Med"/>
    <x v="0"/>
    <m/>
    <n v="5548.37"/>
    <n v="552.39"/>
    <n v="431.9"/>
    <n v="1457.88"/>
    <n v="-439.66"/>
    <n v="3281.86"/>
    <n v="542.79"/>
    <n v="0"/>
    <n v="0"/>
    <n v="0"/>
    <n v="0"/>
    <n v="0"/>
    <n v="11375.529999999999"/>
    <n v="0"/>
  </r>
  <r>
    <x v="5"/>
    <x v="1"/>
    <x v="0"/>
    <s v="2309200"/>
    <n v="700072"/>
    <s v="Salaries-Other Pat Care Providers-NonProd-Other"/>
    <s v="Gig Harbor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09200"/>
    <n v="700084"/>
    <s v="Accrued PTO"/>
    <s v="Gig Harbor-Int Med"/>
    <x v="0"/>
    <m/>
    <n v="-704.04"/>
    <n v="-277.72000000000003"/>
    <n v="462.79"/>
    <n v="544.94000000000005"/>
    <n v="750.94"/>
    <n v="-1687.71"/>
    <n v="77.28"/>
    <n v="-159.88"/>
    <n v="602.04"/>
    <n v="598.39"/>
    <n v="613"/>
    <n v="653.85"/>
    <n v="1473.88"/>
    <n v="-40.850000000000023"/>
  </r>
  <r>
    <x v="6"/>
    <x v="1"/>
    <x v="0"/>
    <s v="2309200"/>
    <n v="713010"/>
    <s v="Benefits-FICA/Medicare"/>
    <s v="Gig Harbor-Int Med"/>
    <x v="0"/>
    <m/>
    <n v="2263.79"/>
    <n v="2640.21"/>
    <n v="1736.62"/>
    <n v="2311.21"/>
    <n v="2383.62"/>
    <n v="2898.88"/>
    <n v="4165.54"/>
    <n v="2942.81"/>
    <n v="3422.38"/>
    <n v="5855.31"/>
    <n v="4250.1099999999997"/>
    <n v="1456.91"/>
    <n v="36327.390000000007"/>
    <n v="2793.2"/>
  </r>
  <r>
    <x v="6"/>
    <x v="1"/>
    <x v="0"/>
    <s v="2309200"/>
    <n v="713090"/>
    <s v="Benefits-Allocated Amounts"/>
    <s v="Gig Harbor-Int Med"/>
    <x v="0"/>
    <m/>
    <n v="0"/>
    <n v="0"/>
    <n v="0"/>
    <n v="0"/>
    <n v="0"/>
    <n v="0"/>
    <n v="0"/>
    <n v="0"/>
    <n v="33261.97"/>
    <n v="4837.07"/>
    <n v="4699.13"/>
    <n v="4824.8599999999997"/>
    <n v="47623.03"/>
    <n v="-125.72999999999956"/>
  </r>
  <r>
    <x v="6"/>
    <x v="1"/>
    <x v="0"/>
    <s v="2309200"/>
    <n v="713092"/>
    <s v="Allocated Benefits-Physician"/>
    <s v="Gig Harbor-Int Med"/>
    <x v="0"/>
    <m/>
    <n v="5974.2"/>
    <n v="5716.75"/>
    <n v="5110.47"/>
    <n v="5676.78"/>
    <n v="5791.89"/>
    <n v="5714.01"/>
    <n v="7023.7"/>
    <n v="5221.95"/>
    <n v="-27210.720000000001"/>
    <n v="2765.81"/>
    <n v="2686.95"/>
    <n v="2758.83"/>
    <n v="27230.619999999995"/>
    <n v="-71.880000000000109"/>
  </r>
  <r>
    <x v="7"/>
    <x v="1"/>
    <x v="0"/>
    <s v="2309200"/>
    <n v="718040"/>
    <s v="Contract Svcs-Laboratory"/>
    <s v="Gig Harbor-Int Med"/>
    <x v="0"/>
    <m/>
    <n v="0"/>
    <n v="0"/>
    <n v="0"/>
    <n v="0"/>
    <n v="0"/>
    <n v="0"/>
    <n v="20"/>
    <n v="0"/>
    <n v="49.12"/>
    <n v="0"/>
    <n v="0"/>
    <n v="0"/>
    <n v="69.12"/>
    <n v="0"/>
  </r>
  <r>
    <x v="7"/>
    <x v="1"/>
    <x v="0"/>
    <s v="2309200"/>
    <n v="718050"/>
    <s v="Miscellaneous Purchased Svcs"/>
    <s v="Gig Harbor-Int Med"/>
    <x v="0"/>
    <n v="1020"/>
    <n v="98.72"/>
    <n v="-105.8"/>
    <n v="104.98"/>
    <n v="74.69"/>
    <n v="154.09"/>
    <n v="79.91"/>
    <n v="104.99"/>
    <n v="96.37"/>
    <n v="133.97"/>
    <n v="8.75"/>
    <n v="173.12"/>
    <n v="113.08"/>
    <n v="1036.8700000000001"/>
    <n v="60.040000000000006"/>
  </r>
  <r>
    <x v="0"/>
    <x v="1"/>
    <x v="0"/>
    <s v="2309200"/>
    <n v="740020"/>
    <s v="Education-Registration Fees"/>
    <s v="Gig Harbor-Int Med"/>
    <x v="0"/>
    <m/>
    <n v="0"/>
    <n v="0"/>
    <n v="0"/>
    <n v="0"/>
    <n v="0"/>
    <n v="49.5"/>
    <n v="0"/>
    <n v="0"/>
    <n v="0"/>
    <n v="0"/>
    <n v="0"/>
    <n v="0"/>
    <n v="49.5"/>
    <n v="0"/>
  </r>
  <r>
    <x v="0"/>
    <x v="1"/>
    <x v="0"/>
    <s v="2309200"/>
    <n v="740022"/>
    <s v="Education-Physician"/>
    <s v="Gig Harbor-Int Med"/>
    <x v="0"/>
    <m/>
    <n v="0"/>
    <n v="0"/>
    <n v="0"/>
    <n v="0"/>
    <n v="0"/>
    <n v="0"/>
    <n v="0"/>
    <n v="0"/>
    <n v="0"/>
    <n v="750"/>
    <n v="0"/>
    <n v="0"/>
    <n v="750"/>
    <n v="0"/>
  </r>
  <r>
    <x v="0"/>
    <x v="1"/>
    <x v="0"/>
    <s v="2309200"/>
    <n v="740022"/>
    <s v="Books-Physician"/>
    <s v="Gig Harbor-Int Med"/>
    <x v="0"/>
    <n v="2000"/>
    <n v="0"/>
    <n v="0"/>
    <n v="0"/>
    <n v="0"/>
    <n v="0"/>
    <n v="0"/>
    <n v="0"/>
    <n v="0"/>
    <n v="0"/>
    <n v="0"/>
    <n v="0"/>
    <n v="1110"/>
    <n v="1110"/>
    <n v="-1110"/>
  </r>
  <r>
    <x v="8"/>
    <x v="1"/>
    <x v="0"/>
    <s v="2309200"/>
    <n v="741012"/>
    <s v="Physician Liab Insurance-CHI Program"/>
    <s v="Gig Harbor-Int Med"/>
    <x v="0"/>
    <m/>
    <n v="781.55"/>
    <n v="781.55"/>
    <n v="781.55"/>
    <n v="781.55"/>
    <n v="781.55"/>
    <n v="781.55"/>
    <n v="781.55"/>
    <n v="781.55"/>
    <n v="781.55"/>
    <n v="1207.8499999999999"/>
    <n v="1207.8499999999999"/>
    <n v="1207.8499999999999"/>
    <n v="10657.500000000002"/>
    <n v="0"/>
  </r>
  <r>
    <x v="0"/>
    <x v="1"/>
    <x v="0"/>
    <s v="2309200"/>
    <n v="743022"/>
    <s v="Dues-Physician"/>
    <s v="Gig Harbor-Int Med"/>
    <x v="0"/>
    <m/>
    <n v="0"/>
    <n v="0"/>
    <n v="0"/>
    <n v="0"/>
    <n v="0"/>
    <n v="0"/>
    <n v="0"/>
    <n v="570"/>
    <n v="0"/>
    <n v="0"/>
    <n v="585"/>
    <n v="0"/>
    <n v="1155"/>
    <n v="585"/>
  </r>
  <r>
    <x v="0"/>
    <x v="1"/>
    <x v="0"/>
    <s v="2309200"/>
    <n v="749512"/>
    <s v="Licenses-Physician"/>
    <s v="Gig Harbor-Int Med"/>
    <x v="0"/>
    <n v="2000"/>
    <n v="0"/>
    <n v="0"/>
    <n v="0"/>
    <n v="0"/>
    <n v="0"/>
    <n v="0"/>
    <n v="0"/>
    <n v="659.5"/>
    <n v="0"/>
    <n v="0"/>
    <n v="0"/>
    <n v="0"/>
    <n v="659.5"/>
    <n v="0"/>
  </r>
  <r>
    <x v="1"/>
    <x v="1"/>
    <x v="0"/>
    <s v="2310200"/>
    <n v="400029"/>
    <s v="MD Practice Other Rev--Medicare"/>
    <s v="St Francis Med &amp; Spec-Int Med"/>
    <x v="0"/>
    <n v="1100"/>
    <n v="-1405"/>
    <n v="-1703"/>
    <n v="-1228"/>
    <n v="-1242"/>
    <n v="-1008"/>
    <n v="-1316"/>
    <n v="-1424"/>
    <n v="-961"/>
    <n v="-1755"/>
    <n v="-1761"/>
    <n v="-1302"/>
    <n v="-1454"/>
    <n v="-16559"/>
    <n v="152"/>
  </r>
  <r>
    <x v="1"/>
    <x v="1"/>
    <x v="0"/>
    <s v="2310200"/>
    <n v="400029"/>
    <s v="MD Practice Other Rev--Medicaid"/>
    <s v="St Francis Med &amp; Spec-Int Med"/>
    <x v="0"/>
    <n v="1200"/>
    <n v="-172"/>
    <n v="-397"/>
    <n v="-303"/>
    <n v="-332"/>
    <n v="-267"/>
    <n v="-241"/>
    <n v="-299"/>
    <n v="-207"/>
    <n v="-236"/>
    <n v="-399"/>
    <n v="-432"/>
    <n v="-502"/>
    <n v="-3787"/>
    <n v="70"/>
  </r>
  <r>
    <x v="1"/>
    <x v="1"/>
    <x v="0"/>
    <s v="2310200"/>
    <n v="400029"/>
    <s v="MD Practice Other Rev--Comm Insurance"/>
    <s v="St Francis Med &amp; Spec-Int Med"/>
    <x v="0"/>
    <n v="1300"/>
    <n v="-57"/>
    <n v="-15"/>
    <n v="0"/>
    <n v="-53"/>
    <n v="0"/>
    <n v="-35"/>
    <n v="-15"/>
    <n v="-10"/>
    <n v="-42"/>
    <n v="-10"/>
    <n v="-85"/>
    <n v="-10"/>
    <n v="-332"/>
    <n v="-75"/>
  </r>
  <r>
    <x v="1"/>
    <x v="1"/>
    <x v="0"/>
    <s v="2310200"/>
    <n v="400029"/>
    <s v="MD Practice Other Rev--BCBS Comm"/>
    <s v="St Francis Med &amp; Spec-Int Med"/>
    <x v="0"/>
    <n v="1301"/>
    <n v="-188"/>
    <n v="-125"/>
    <n v="-13"/>
    <n v="-93"/>
    <n v="-79"/>
    <n v="-201"/>
    <n v="-252"/>
    <n v="-109"/>
    <n v="-195"/>
    <n v="-82"/>
    <n v="-122"/>
    <n v="-194"/>
    <n v="-1653"/>
    <n v="72"/>
  </r>
  <r>
    <x v="1"/>
    <x v="1"/>
    <x v="0"/>
    <s v="2310200"/>
    <n v="400029"/>
    <s v="MD Practice Other Rev--Managed Care"/>
    <s v="St Francis Med &amp; Spec-Int Med"/>
    <x v="0"/>
    <n v="1400"/>
    <n v="-973"/>
    <n v="-977"/>
    <n v="-832"/>
    <n v="-1009"/>
    <n v="-654"/>
    <n v="-726"/>
    <n v="-696"/>
    <n v="-618"/>
    <n v="-801"/>
    <n v="-1017"/>
    <n v="-687"/>
    <n v="-629"/>
    <n v="-9619"/>
    <n v="-58"/>
  </r>
  <r>
    <x v="1"/>
    <x v="1"/>
    <x v="0"/>
    <s v="2310200"/>
    <n v="400029"/>
    <s v="MD Practice Other Rev--Self Pay"/>
    <s v="St Francis Med &amp; Spec-Int Med"/>
    <x v="0"/>
    <n v="1500"/>
    <n v="-216"/>
    <n v="-29"/>
    <n v="0"/>
    <n v="-9"/>
    <n v="0"/>
    <n v="-28"/>
    <n v="-132"/>
    <n v="-141"/>
    <n v="-28.05"/>
    <n v="-75"/>
    <n v="-19"/>
    <n v="-32"/>
    <n v="-709.05"/>
    <n v="13"/>
  </r>
  <r>
    <x v="1"/>
    <x v="1"/>
    <x v="0"/>
    <s v="2310200"/>
    <n v="400029"/>
    <s v="MD Practice Other Rev--Other"/>
    <s v="St Francis Med &amp; Spec-Int Med"/>
    <x v="0"/>
    <n v="1700"/>
    <n v="-42"/>
    <n v="-81"/>
    <n v="24"/>
    <n v="-39"/>
    <n v="-34"/>
    <n v="0"/>
    <n v="-33"/>
    <n v="-48"/>
    <n v="0"/>
    <n v="-9"/>
    <n v="-10"/>
    <n v="-10"/>
    <n v="-282"/>
    <n v="0"/>
  </r>
  <r>
    <x v="1"/>
    <x v="1"/>
    <x v="0"/>
    <s v="2310200"/>
    <n v="400040"/>
    <s v="Physician Svcs Rev--Medicare"/>
    <s v="St Francis Med &amp; Spec-Int Med"/>
    <x v="0"/>
    <n v="1100"/>
    <n v="-257993"/>
    <n v="-312252"/>
    <n v="-341074"/>
    <n v="-389122"/>
    <n v="-300903"/>
    <n v="-310158"/>
    <n v="-289323"/>
    <n v="-242478"/>
    <n v="-314308"/>
    <n v="-296274"/>
    <n v="-292153"/>
    <n v="-320216"/>
    <n v="-3666254"/>
    <n v="28063"/>
  </r>
  <r>
    <x v="1"/>
    <x v="1"/>
    <x v="0"/>
    <s v="2310200"/>
    <n v="400040"/>
    <s v="Physician Svcs Rev--Medicaid"/>
    <s v="St Francis Med &amp; Spec-Int Med"/>
    <x v="0"/>
    <n v="1200"/>
    <n v="-39653"/>
    <n v="-50475"/>
    <n v="-53897"/>
    <n v="-61915.57"/>
    <n v="-44778.53"/>
    <n v="-43494"/>
    <n v="-42388"/>
    <n v="-31970"/>
    <n v="-48778"/>
    <n v="-40418.85"/>
    <n v="-45545.84"/>
    <n v="-38524.75"/>
    <n v="-541838.53999999992"/>
    <n v="-7021.0899999999965"/>
  </r>
  <r>
    <x v="1"/>
    <x v="1"/>
    <x v="0"/>
    <s v="2310200"/>
    <n v="400040"/>
    <s v="Physician Svcs Rev--Comm Insurance"/>
    <s v="St Francis Med &amp; Spec-Int Med"/>
    <x v="0"/>
    <n v="1300"/>
    <n v="-6570"/>
    <n v="-6275"/>
    <n v="-9221"/>
    <n v="-7936"/>
    <n v="-7590"/>
    <n v="-9718"/>
    <n v="-8207"/>
    <n v="-8321"/>
    <n v="-9599"/>
    <n v="-9880"/>
    <n v="-9426"/>
    <n v="-10893"/>
    <n v="-103636"/>
    <n v="1467"/>
  </r>
  <r>
    <x v="1"/>
    <x v="1"/>
    <x v="0"/>
    <s v="2310200"/>
    <n v="400040"/>
    <s v="Physician Svcs Rev--BCBS Comm"/>
    <s v="St Francis Med &amp; Spec-Int Med"/>
    <x v="0"/>
    <n v="1301"/>
    <n v="-28224"/>
    <n v="-30693"/>
    <n v="-29453"/>
    <n v="-40017"/>
    <n v="-37116"/>
    <n v="-37716"/>
    <n v="-39791"/>
    <n v="-26957"/>
    <n v="-40302"/>
    <n v="-37007"/>
    <n v="-42049"/>
    <n v="-36082"/>
    <n v="-425407"/>
    <n v="-5967"/>
  </r>
  <r>
    <x v="1"/>
    <x v="1"/>
    <x v="0"/>
    <s v="2310200"/>
    <n v="400040"/>
    <s v="Physician Svcs Rev--Managed Care"/>
    <s v="St Francis Med &amp; Spec-Int Med"/>
    <x v="0"/>
    <n v="1400"/>
    <n v="-100274"/>
    <n v="-125099"/>
    <n v="-131182"/>
    <n v="-157525"/>
    <n v="-136765"/>
    <n v="-117586"/>
    <n v="-131126.5"/>
    <n v="-104194.13"/>
    <n v="-136929"/>
    <n v="-125938"/>
    <n v="-128065.60000000001"/>
    <n v="-117010.4"/>
    <n v="-1511694.63"/>
    <n v="-11055.200000000012"/>
  </r>
  <r>
    <x v="1"/>
    <x v="1"/>
    <x v="0"/>
    <s v="2310200"/>
    <n v="400040"/>
    <s v="Physician Svcs Rev--Self Pay"/>
    <s v="St Francis Med &amp; Spec-Int Med"/>
    <x v="0"/>
    <n v="1500"/>
    <n v="-4966"/>
    <n v="-5119.57"/>
    <n v="-5288.2"/>
    <n v="-4037"/>
    <n v="-292"/>
    <n v="-5401.5"/>
    <n v="-2181"/>
    <n v="-5583"/>
    <n v="-2141.75"/>
    <n v="-4353"/>
    <n v="-4602.75"/>
    <n v="-1633.25"/>
    <n v="-45599.020000000004"/>
    <n v="-2969.5"/>
  </r>
  <r>
    <x v="1"/>
    <x v="1"/>
    <x v="0"/>
    <s v="2310200"/>
    <n v="400040"/>
    <s v="Physician Svcs Rev--Other"/>
    <s v="St Francis Med &amp; Spec-Int Med"/>
    <x v="0"/>
    <n v="1700"/>
    <n v="-7690"/>
    <n v="-8276"/>
    <n v="-4435"/>
    <n v="-6706"/>
    <n v="-9421"/>
    <n v="-5809"/>
    <n v="-5143"/>
    <n v="-8269"/>
    <n v="-5182"/>
    <n v="-5355"/>
    <n v="-3565"/>
    <n v="-4470"/>
    <n v="-74321"/>
    <n v="905"/>
  </r>
  <r>
    <x v="2"/>
    <x v="1"/>
    <x v="0"/>
    <s v="2310200"/>
    <n v="450029"/>
    <s v="Contr Allow--MD Other-Medicare"/>
    <s v="St Francis Med &amp; Spec-Int Med"/>
    <x v="0"/>
    <n v="1100"/>
    <n v="776.15"/>
    <n v="1122.8"/>
    <n v="784.37"/>
    <n v="842.69"/>
    <n v="750.67"/>
    <n v="617.64"/>
    <n v="1031.44"/>
    <n v="818.71"/>
    <n v="896"/>
    <n v="1290.81"/>
    <n v="1219.76"/>
    <n v="868.43"/>
    <n v="11019.470000000001"/>
    <n v="351.33000000000004"/>
  </r>
  <r>
    <x v="2"/>
    <x v="1"/>
    <x v="0"/>
    <s v="2310200"/>
    <n v="450029"/>
    <s v="Contr Allow--MD Other-Medicaid"/>
    <s v="St Francis Med &amp; Spec-Int Med"/>
    <x v="0"/>
    <n v="1200"/>
    <n v="192.09"/>
    <n v="242.16"/>
    <n v="222.41"/>
    <n v="137.78"/>
    <n v="187.61"/>
    <n v="113.49"/>
    <n v="266.02"/>
    <n v="183.89"/>
    <n v="129.18"/>
    <n v="280.5"/>
    <n v="348.53"/>
    <n v="112.07"/>
    <n v="2415.73"/>
    <n v="236.45999999999998"/>
  </r>
  <r>
    <x v="2"/>
    <x v="1"/>
    <x v="0"/>
    <s v="2310200"/>
    <n v="450029"/>
    <s v="Contr Allow--MD Other-Comm Insurance"/>
    <s v="St Francis Med &amp; Spec-Int Med"/>
    <x v="0"/>
    <n v="1300"/>
    <n v="24.64"/>
    <n v="25.01"/>
    <n v="0"/>
    <n v="10.39"/>
    <n v="10.34"/>
    <n v="0"/>
    <n v="7.12"/>
    <n v="2"/>
    <n v="22.74"/>
    <n v="6.74"/>
    <n v="6.44"/>
    <n v="29.14"/>
    <n v="144.56"/>
    <n v="-22.7"/>
  </r>
  <r>
    <x v="2"/>
    <x v="1"/>
    <x v="0"/>
    <s v="2310200"/>
    <n v="450029"/>
    <s v="Contr Allow--MD Other BCBS Comm"/>
    <s v="St Francis Med &amp; Spec-Int Med"/>
    <x v="0"/>
    <n v="1301"/>
    <n v="100.77"/>
    <n v="102.94"/>
    <n v="43.28"/>
    <n v="53.67"/>
    <n v="74.930000000000007"/>
    <n v="27.54"/>
    <n v="176.54"/>
    <n v="110.63"/>
    <n v="92.97"/>
    <n v="109.89"/>
    <n v="78.430000000000007"/>
    <n v="108.7"/>
    <n v="1080.29"/>
    <n v="-30.269999999999996"/>
  </r>
  <r>
    <x v="2"/>
    <x v="1"/>
    <x v="0"/>
    <s v="2310200"/>
    <n v="450029"/>
    <s v="Contr Allow--MD Other-Managed Care"/>
    <s v="St Francis Med &amp; Spec-Int Med"/>
    <x v="0"/>
    <n v="1400"/>
    <n v="507.74"/>
    <n v="588.71"/>
    <n v="517.51"/>
    <n v="571.9"/>
    <n v="626.76"/>
    <n v="379.32"/>
    <n v="379.37"/>
    <n v="506.72"/>
    <n v="394.11"/>
    <n v="638.45000000000005"/>
    <n v="570.04999999999995"/>
    <n v="441.6"/>
    <n v="6122.24"/>
    <n v="128.44999999999993"/>
  </r>
  <r>
    <x v="2"/>
    <x v="1"/>
    <x v="0"/>
    <s v="2310200"/>
    <n v="450029"/>
    <s v="Admin Adjust-MD Other-Self Pay"/>
    <s v="St Francis Med &amp; Spec-Int Med"/>
    <x v="0"/>
    <n v="1600"/>
    <n v="118.16"/>
    <n v="60.27"/>
    <n v="22.01"/>
    <n v="33.479999999999997"/>
    <n v="32.1"/>
    <n v="14.43"/>
    <n v="64.53"/>
    <n v="64.39"/>
    <n v="5.39"/>
    <n v="38.14"/>
    <n v="3.74"/>
    <n v="17.809999999999999"/>
    <n v="474.45"/>
    <n v="-14.069999999999999"/>
  </r>
  <r>
    <x v="2"/>
    <x v="1"/>
    <x v="0"/>
    <s v="2310200"/>
    <n v="450029"/>
    <s v="Contr Allow--MD Other-Other"/>
    <s v="St Francis Med &amp; Spec-Int Med"/>
    <x v="0"/>
    <n v="1700"/>
    <n v="6.33"/>
    <n v="29.58"/>
    <n v="14.59"/>
    <n v="35.6"/>
    <n v="22.9"/>
    <n v="0"/>
    <n v="0"/>
    <n v="23.32"/>
    <n v="0"/>
    <n v="35.75"/>
    <n v="13.52"/>
    <n v="0"/>
    <n v="181.59"/>
    <n v="13.52"/>
  </r>
  <r>
    <x v="2"/>
    <x v="1"/>
    <x v="0"/>
    <s v="2310200"/>
    <n v="450040"/>
    <s v="Contr Allow--Phys Svcs--Mcare"/>
    <s v="St Francis Med &amp; Spec-Int Med"/>
    <x v="0"/>
    <n v="1100"/>
    <n v="153674.01"/>
    <n v="165782.12"/>
    <n v="182514.58"/>
    <n v="261829.92"/>
    <n v="207053.55"/>
    <n v="156714.53"/>
    <n v="208442.29"/>
    <n v="153456.35999999999"/>
    <n v="180558.66"/>
    <n v="192932.79"/>
    <n v="183293.5"/>
    <n v="157168.78"/>
    <n v="2203421.09"/>
    <n v="26124.720000000001"/>
  </r>
  <r>
    <x v="2"/>
    <x v="1"/>
    <x v="0"/>
    <s v="2310200"/>
    <n v="450040"/>
    <s v="Contr Allow--Phys Svcs--Mcaid"/>
    <s v="St Francis Med &amp; Spec-Int Med"/>
    <x v="0"/>
    <n v="1200"/>
    <n v="31643.5"/>
    <n v="37534.769999999997"/>
    <n v="36239.5"/>
    <n v="44720.53"/>
    <n v="34590.43"/>
    <n v="26665.43"/>
    <n v="29725.89"/>
    <n v="27208.6"/>
    <n v="35546.68"/>
    <n v="33097.49"/>
    <n v="31326.7"/>
    <n v="23780.21"/>
    <n v="392079.73"/>
    <n v="7546.4900000000016"/>
  </r>
  <r>
    <x v="2"/>
    <x v="1"/>
    <x v="0"/>
    <s v="2310200"/>
    <n v="450040"/>
    <s v="Contr Allow--Phys Svcs--Comm Insurance"/>
    <s v="St Francis Med &amp; Spec-Int Med"/>
    <x v="0"/>
    <n v="1300"/>
    <n v="1870.92"/>
    <n v="2149.44"/>
    <n v="929.7"/>
    <n v="3208.16"/>
    <n v="1860.72"/>
    <n v="2265.5500000000002"/>
    <n v="1291.5"/>
    <n v="1221.29"/>
    <n v="2765.95"/>
    <n v="1957.41"/>
    <n v="2139.33"/>
    <n v="3423.18"/>
    <n v="25083.15"/>
    <n v="-1283.8499999999999"/>
  </r>
  <r>
    <x v="2"/>
    <x v="1"/>
    <x v="0"/>
    <s v="2310200"/>
    <n v="450040"/>
    <s v="Contr Allow--Phys Svcs--BCBS Comm Ins"/>
    <s v="St Francis Med &amp; Spec-Int Med"/>
    <x v="0"/>
    <n v="1301"/>
    <n v="10268.25"/>
    <n v="11688.96"/>
    <n v="8489.9699999999993"/>
    <n v="10862.87"/>
    <n v="12960.8"/>
    <n v="10843.84"/>
    <n v="13076.78"/>
    <n v="9892.84"/>
    <n v="11902.97"/>
    <n v="11302.39"/>
    <n v="10060.209999999999"/>
    <n v="12108.52"/>
    <n v="133458.4"/>
    <n v="-2048.3100000000013"/>
  </r>
  <r>
    <x v="2"/>
    <x v="1"/>
    <x v="0"/>
    <s v="2310200"/>
    <n v="450040"/>
    <s v="Contr Allow--Phys Svcs--Managed Care"/>
    <s v="St Francis Med &amp; Spec-Int Med"/>
    <x v="0"/>
    <n v="1400"/>
    <n v="35556.36"/>
    <n v="50951.82"/>
    <n v="39550.46"/>
    <n v="53165.66"/>
    <n v="61558.34"/>
    <n v="36976.089999999997"/>
    <n v="44482.11"/>
    <n v="36099.589999999997"/>
    <n v="46817.99"/>
    <n v="45651.65"/>
    <n v="50376.2"/>
    <n v="38028.28"/>
    <n v="539214.54999999993"/>
    <n v="12347.919999999998"/>
  </r>
  <r>
    <x v="2"/>
    <x v="1"/>
    <x v="0"/>
    <s v="2310200"/>
    <n v="450040"/>
    <s v="Contr Allow--Phys Svcs--BCBS Mgnd Care"/>
    <s v="St Francis Med &amp; Spec-Int Med"/>
    <x v="0"/>
    <n v="1401"/>
    <n v="-7099.97"/>
    <n v="5996.97"/>
    <n v="38238.67"/>
    <n v="-14529.84"/>
    <n v="-33907.25"/>
    <n v="44995.75"/>
    <n v="-3253.59"/>
    <n v="-3639.57"/>
    <n v="15340.2"/>
    <n v="-15180.35"/>
    <n v="-2930.14"/>
    <n v="35552.01"/>
    <n v="59582.890000000007"/>
    <n v="-38482.15"/>
  </r>
  <r>
    <x v="2"/>
    <x v="1"/>
    <x v="0"/>
    <s v="2310200"/>
    <n v="450040"/>
    <s v="Prompt Pay Disc-Phys Svcs-Self Pay"/>
    <s v="St Francis Med &amp; Spec-Int Med"/>
    <x v="0"/>
    <n v="1500"/>
    <n v="0"/>
    <n v="0"/>
    <n v="0"/>
    <n v="0"/>
    <n v="0"/>
    <n v="0"/>
    <n v="0"/>
    <n v="0"/>
    <n v="0"/>
    <n v="0"/>
    <n v="128.83000000000001"/>
    <n v="0"/>
    <n v="128.83000000000001"/>
    <n v="128.83000000000001"/>
  </r>
  <r>
    <x v="2"/>
    <x v="1"/>
    <x v="0"/>
    <s v="2310200"/>
    <n v="450040"/>
    <s v="Admin Adjust-Phys Svcs-Self Pay"/>
    <s v="St Francis Med &amp; Spec-Int Med"/>
    <x v="0"/>
    <n v="1600"/>
    <n v="2852.84"/>
    <n v="4001.71"/>
    <n v="3423.27"/>
    <n v="2084.7600000000002"/>
    <n v="277.70999999999998"/>
    <n v="1801.67"/>
    <n v="1820.69"/>
    <n v="2887.15"/>
    <n v="1628.87"/>
    <n v="1821.22"/>
    <n v="1828.33"/>
    <n v="1421.1"/>
    <n v="25849.32"/>
    <n v="407.23"/>
  </r>
  <r>
    <x v="2"/>
    <x v="1"/>
    <x v="0"/>
    <s v="2310200"/>
    <n v="450040"/>
    <s v="Contr Allow--Phys Svcs--Other"/>
    <s v="St Francis Med &amp; Spec-Int Med"/>
    <x v="0"/>
    <n v="1700"/>
    <n v="5279.11"/>
    <n v="4633.2700000000004"/>
    <n v="2408.39"/>
    <n v="3182.88"/>
    <n v="5247.02"/>
    <n v="3055.27"/>
    <n v="2552.4699999999998"/>
    <n v="2738.94"/>
    <n v="2895.2"/>
    <n v="5015.83"/>
    <n v="2828.21"/>
    <n v="2026.35"/>
    <n v="41862.94"/>
    <n v="801.86000000000013"/>
  </r>
  <r>
    <x v="3"/>
    <x v="1"/>
    <x v="0"/>
    <s v="2310200"/>
    <n v="470040"/>
    <s v="Charity Care-Physician Svcs"/>
    <s v="St Francis Med &amp; Spec-Int Med"/>
    <x v="0"/>
    <m/>
    <n v="732.06"/>
    <n v="4410.1400000000003"/>
    <n v="1657.15"/>
    <n v="1007.74"/>
    <n v="-252.66"/>
    <n v="1391.91"/>
    <n v="705.02"/>
    <n v="2634.87"/>
    <n v="3013.02"/>
    <n v="974.12"/>
    <n v="-741.6"/>
    <n v="4367.1099999999997"/>
    <n v="19898.88"/>
    <n v="-5108.71"/>
  </r>
  <r>
    <x v="4"/>
    <x v="1"/>
    <x v="0"/>
    <s v="2310200"/>
    <n v="490010"/>
    <s v="Provision for Bad Debts"/>
    <s v="St Francis Med &amp; Spec-Int Med"/>
    <x v="0"/>
    <m/>
    <n v="2060.9"/>
    <n v="1970.35"/>
    <n v="12019.56"/>
    <n v="2494.89"/>
    <n v="398.12"/>
    <n v="6391.43"/>
    <n v="-1572.38"/>
    <n v="-1390.27"/>
    <n v="8014.73"/>
    <n v="780.97"/>
    <n v="1652.75"/>
    <n v="12113.57"/>
    <n v="44934.62"/>
    <n v="-10460.82"/>
  </r>
  <r>
    <x v="5"/>
    <x v="1"/>
    <x v="0"/>
    <s v="2310200"/>
    <n v="700022"/>
    <s v="Salaries-Physician-Productive"/>
    <s v="St Francis Med &amp; Spec-Int Med"/>
    <x v="0"/>
    <m/>
    <n v="102581.24"/>
    <n v="106352.13"/>
    <n v="104320.44"/>
    <n v="112860.65"/>
    <n v="100598.07"/>
    <n v="89740.31"/>
    <n v="106397.91"/>
    <n v="85825.52"/>
    <n v="110815.4"/>
    <n v="105490.63"/>
    <n v="112983.79"/>
    <n v="92283.53"/>
    <n v="1230249.6200000001"/>
    <n v="20700.259999999995"/>
  </r>
  <r>
    <x v="5"/>
    <x v="1"/>
    <x v="0"/>
    <s v="2310200"/>
    <n v="700024"/>
    <s v="Salaries-Advanced Practice Clinician-Productive"/>
    <s v="St Francis Med &amp; Spec-Int Med"/>
    <x v="0"/>
    <m/>
    <n v="6057.69"/>
    <n v="8682.7099999999991"/>
    <n v="8278.84"/>
    <n v="9288.4500000000007"/>
    <n v="12896.66"/>
    <n v="12430.33"/>
    <n v="13200.06"/>
    <n v="12347.53"/>
    <n v="12487.3"/>
    <n v="14512.23"/>
    <n v="15344.33"/>
    <n v="8879.57"/>
    <n v="134405.70000000001"/>
    <n v="6464.76"/>
  </r>
  <r>
    <x v="5"/>
    <x v="1"/>
    <x v="0"/>
    <s v="2310200"/>
    <n v="700026"/>
    <s v="Salaries-RN-Productive"/>
    <s v="St Francis Med &amp; Spec-Int Med"/>
    <x v="0"/>
    <m/>
    <n v="16171.11"/>
    <n v="16750.61"/>
    <n v="13948.39"/>
    <n v="17913.29"/>
    <n v="17371.84"/>
    <n v="12592.95"/>
    <n v="18118.330000000002"/>
    <n v="13873.95"/>
    <n v="17083.05"/>
    <n v="18671.22"/>
    <n v="18097.599999999999"/>
    <n v="14570.41"/>
    <n v="195162.75"/>
    <n v="3527.1899999999987"/>
  </r>
  <r>
    <x v="5"/>
    <x v="1"/>
    <x v="0"/>
    <s v="2310200"/>
    <n v="700026"/>
    <s v="Salaries-RN-OT"/>
    <s v="St Francis Med &amp; Spec-Int Med"/>
    <x v="0"/>
    <n v="1000"/>
    <n v="856.36"/>
    <n v="413.9"/>
    <n v="1047.53"/>
    <n v="931.55"/>
    <n v="1432.68"/>
    <n v="402.07"/>
    <n v="1374.25"/>
    <n v="493.93"/>
    <n v="1440.4"/>
    <n v="2015.02"/>
    <n v="301.70999999999998"/>
    <n v="2168.0700000000002"/>
    <n v="12877.47"/>
    <n v="-1866.3600000000001"/>
  </r>
  <r>
    <x v="5"/>
    <x v="1"/>
    <x v="0"/>
    <s v="2310200"/>
    <n v="700026"/>
    <s v="Salaries-RN-Other"/>
    <s v="St Francis Med &amp; Spec-Int Med"/>
    <x v="0"/>
    <n v="2000"/>
    <n v="0"/>
    <n v="18.739999999999998"/>
    <n v="-6.24"/>
    <n v="3.75"/>
    <n v="0"/>
    <n v="0"/>
    <n v="0"/>
    <n v="0"/>
    <n v="0"/>
    <n v="32.35"/>
    <n v="1313.88"/>
    <n v="-1.95"/>
    <n v="1360.53"/>
    <n v="1315.8300000000002"/>
  </r>
  <r>
    <x v="5"/>
    <x v="1"/>
    <x v="0"/>
    <s v="2310200"/>
    <n v="700030"/>
    <s v="Salaries-LPN-Productive"/>
    <s v="St Francis Med &amp; Spec-Int Med"/>
    <x v="0"/>
    <m/>
    <n v="0"/>
    <n v="0"/>
    <n v="0"/>
    <n v="0"/>
    <n v="0"/>
    <n v="0"/>
    <n v="0"/>
    <n v="0"/>
    <n v="0"/>
    <n v="504.62"/>
    <n v="-207.78"/>
    <n v="0"/>
    <n v="296.84000000000003"/>
    <n v="-207.78"/>
  </r>
  <r>
    <x v="5"/>
    <x v="1"/>
    <x v="0"/>
    <s v="2310200"/>
    <n v="700030"/>
    <s v="Salaries-LPN-Other"/>
    <s v="St Francis Med &amp; Spec-Int Med"/>
    <x v="0"/>
    <n v="2000"/>
    <n v="0"/>
    <n v="0"/>
    <n v="0"/>
    <n v="0"/>
    <n v="0"/>
    <n v="0"/>
    <n v="0"/>
    <n v="0"/>
    <n v="0"/>
    <n v="22.13"/>
    <n v="-9.11"/>
    <n v="0"/>
    <n v="13.02"/>
    <n v="-9.11"/>
  </r>
  <r>
    <x v="5"/>
    <x v="1"/>
    <x v="0"/>
    <s v="2310200"/>
    <n v="700032"/>
    <s v="Salaries-Other Pat Care Providers-Productive"/>
    <s v="St Francis Med &amp; Spec-Int Med"/>
    <x v="0"/>
    <m/>
    <n v="16516.87"/>
    <n v="15718.16"/>
    <n v="11772.99"/>
    <n v="16527.150000000001"/>
    <n v="13025.78"/>
    <n v="15346.1"/>
    <n v="19747.830000000002"/>
    <n v="13802.15"/>
    <n v="18218.39"/>
    <n v="16708.759999999998"/>
    <n v="15870.47"/>
    <n v="16762.32"/>
    <n v="190016.97"/>
    <n v="-891.85000000000036"/>
  </r>
  <r>
    <x v="5"/>
    <x v="1"/>
    <x v="0"/>
    <s v="2310200"/>
    <n v="700032"/>
    <s v="Salaries-Other Pat Care Providers-OT"/>
    <s v="St Francis Med &amp; Spec-Int Med"/>
    <x v="0"/>
    <n v="1000"/>
    <n v="368.74"/>
    <n v="395.61"/>
    <n v="444.2"/>
    <n v="717.13"/>
    <n v="622.76"/>
    <n v="214.73"/>
    <n v="656.58"/>
    <n v="455.75"/>
    <n v="707.92"/>
    <n v="439.37"/>
    <n v="587.6"/>
    <n v="272.16000000000003"/>
    <n v="5882.5499999999993"/>
    <n v="315.44"/>
  </r>
  <r>
    <x v="5"/>
    <x v="1"/>
    <x v="0"/>
    <s v="2310200"/>
    <n v="700032"/>
    <s v="Salaries-Other Pat Care Providers-Other"/>
    <s v="St Francis Med &amp; Spec-Int Med"/>
    <x v="0"/>
    <n v="2000"/>
    <n v="93.38"/>
    <n v="91.77"/>
    <n v="76.62"/>
    <n v="185.23"/>
    <n v="88.9"/>
    <n v="104"/>
    <n v="6.26"/>
    <n v="0"/>
    <n v="0"/>
    <n v="0"/>
    <n v="835.34"/>
    <n v="-26.59"/>
    <n v="1454.91"/>
    <n v="861.93000000000006"/>
  </r>
  <r>
    <x v="5"/>
    <x v="1"/>
    <x v="0"/>
    <s v="2310200"/>
    <n v="700054"/>
    <s v="Salaries-Management-NonProd-Other"/>
    <s v="St Francis Med &amp; Spec-Int Med"/>
    <x v="0"/>
    <n v="2000"/>
    <n v="0"/>
    <n v="0"/>
    <n v="0"/>
    <n v="0"/>
    <n v="0"/>
    <n v="1511.13"/>
    <n v="-1511.13"/>
    <n v="0"/>
    <n v="0"/>
    <n v="0"/>
    <n v="0"/>
    <n v="0"/>
    <n v="0"/>
    <n v="0"/>
  </r>
  <r>
    <x v="5"/>
    <x v="1"/>
    <x v="0"/>
    <s v="2310200"/>
    <n v="700062"/>
    <s v="Salaries-Physician-Non-productive"/>
    <s v="St Francis Med &amp; Spec-Int Med"/>
    <x v="0"/>
    <m/>
    <n v="9440.58"/>
    <n v="17422.98"/>
    <n v="-12.2"/>
    <n v="3563.92"/>
    <n v="13191.16"/>
    <n v="21281.49"/>
    <n v="13957.7"/>
    <n v="19238.72"/>
    <n v="-1161.72"/>
    <n v="16423.419999999998"/>
    <n v="3730.83"/>
    <n v="11639.94"/>
    <n v="128716.82"/>
    <n v="-7909.1100000000006"/>
  </r>
  <r>
    <x v="5"/>
    <x v="1"/>
    <x v="0"/>
    <s v="2310200"/>
    <n v="700062"/>
    <s v="Salaries-Physician-NonProd-Other"/>
    <s v="St Francis Med &amp; 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0200"/>
    <n v="700064"/>
    <s v="Salaries-Advanced Practice Clinician-Non-Productive"/>
    <s v="St Francis Med &amp; Spec-Int Med"/>
    <x v="0"/>
    <m/>
    <n v="3054.71"/>
    <n v="832.6"/>
    <n v="23.36"/>
    <n v="224.87"/>
    <n v="627.25"/>
    <n v="910.03"/>
    <n v="1410.59"/>
    <n v="1569.73"/>
    <n v="1907.47"/>
    <n v="556.19000000000005"/>
    <n v="1697.98"/>
    <n v="6136.5"/>
    <n v="18951.28"/>
    <n v="-4438.5200000000004"/>
  </r>
  <r>
    <x v="5"/>
    <x v="1"/>
    <x v="0"/>
    <s v="2310200"/>
    <n v="700066"/>
    <s v="Salaries-RN-Non-productive"/>
    <s v="St Francis Med &amp; Spec-Int Med"/>
    <x v="0"/>
    <m/>
    <n v="1867.82"/>
    <n v="0"/>
    <n v="2396.8200000000002"/>
    <n v="1002.18"/>
    <n v="-319.35000000000002"/>
    <n v="3856.35"/>
    <n v="1099.28"/>
    <n v="1950.84"/>
    <n v="388.83"/>
    <n v="-168.32"/>
    <n v="3110.02"/>
    <n v="1359.66"/>
    <n v="16544.13"/>
    <n v="1750.36"/>
  </r>
  <r>
    <x v="5"/>
    <x v="1"/>
    <x v="0"/>
    <s v="2310200"/>
    <n v="700066"/>
    <s v="Salaries-RN-NonProd-Other"/>
    <s v="St Francis Med &amp; Spec-Int Med"/>
    <x v="0"/>
    <n v="2000"/>
    <n v="0"/>
    <n v="0"/>
    <n v="0"/>
    <n v="0"/>
    <n v="0"/>
    <n v="0"/>
    <n v="0"/>
    <n v="0"/>
    <n v="0"/>
    <n v="26.1"/>
    <n v="-10.74"/>
    <n v="0"/>
    <n v="15.360000000000001"/>
    <n v="-10.74"/>
  </r>
  <r>
    <x v="5"/>
    <x v="1"/>
    <x v="0"/>
    <s v="2310200"/>
    <n v="700072"/>
    <s v="Salaries-Other Pat Care Providers-Non-productive"/>
    <s v="St Francis Med &amp; Spec-Int Med"/>
    <x v="0"/>
    <m/>
    <n v="2212.0700000000002"/>
    <n v="2869.16"/>
    <n v="3308.6"/>
    <n v="682.12"/>
    <n v="382.32"/>
    <n v="2503.91"/>
    <n v="972.28"/>
    <n v="1635.58"/>
    <n v="495.39"/>
    <n v="1433.5"/>
    <n v="5345.53"/>
    <n v="-226.06"/>
    <n v="21614.399999999998"/>
    <n v="5571.59"/>
  </r>
  <r>
    <x v="5"/>
    <x v="1"/>
    <x v="0"/>
    <s v="2310200"/>
    <n v="700072"/>
    <s v="Salaries-Other Pat Care Providers-NonProd-Other"/>
    <s v="St Francis Med &amp; 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0200"/>
    <n v="700084"/>
    <s v="Accrued PTO"/>
    <s v="St Francis Med &amp; Spec-Int Med"/>
    <x v="0"/>
    <m/>
    <n v="-878.28"/>
    <n v="1731.94"/>
    <n v="-2189.35"/>
    <n v="668.92"/>
    <n v="1774.62"/>
    <n v="-1917.25"/>
    <n v="453.92"/>
    <n v="255.88"/>
    <n v="2015.22"/>
    <n v="1766.51"/>
    <n v="-1372.27"/>
    <n v="676.34"/>
    <n v="2986.2000000000003"/>
    <n v="-2048.61"/>
  </r>
  <r>
    <x v="6"/>
    <x v="1"/>
    <x v="0"/>
    <s v="2310200"/>
    <n v="713010"/>
    <s v="Benefits-FICA/Medicare"/>
    <s v="St Francis Med &amp; Spec-Int Med"/>
    <x v="0"/>
    <m/>
    <n v="6525.84"/>
    <n v="5347.32"/>
    <n v="4601.34"/>
    <n v="5176.29"/>
    <n v="5108.63"/>
    <n v="8932.23"/>
    <n v="13431.12"/>
    <n v="11355.12"/>
    <n v="12200.49"/>
    <n v="13284.41"/>
    <n v="13555.99"/>
    <n v="7550.25"/>
    <n v="107069.03000000001"/>
    <n v="6005.74"/>
  </r>
  <r>
    <x v="6"/>
    <x v="1"/>
    <x v="0"/>
    <s v="2310200"/>
    <n v="713090"/>
    <s v="Benefits-Allocated Amounts"/>
    <s v="St Francis Med &amp; Spec-Int Med"/>
    <x v="0"/>
    <m/>
    <n v="0"/>
    <n v="0"/>
    <n v="0"/>
    <n v="0"/>
    <n v="0"/>
    <n v="0"/>
    <n v="0"/>
    <n v="0"/>
    <n v="95011.29"/>
    <n v="11800.71"/>
    <n v="11487.89"/>
    <n v="11354.34"/>
    <n v="129654.23"/>
    <n v="133.54999999999927"/>
  </r>
  <r>
    <x v="6"/>
    <x v="1"/>
    <x v="0"/>
    <s v="2310200"/>
    <n v="713092"/>
    <s v="Allocated Benefits-Physician"/>
    <s v="St Francis Med &amp; Spec-Int Med"/>
    <x v="0"/>
    <m/>
    <n v="17392.91"/>
    <n v="15869.31"/>
    <n v="15880.98"/>
    <n v="16134.01"/>
    <n v="15764.86"/>
    <n v="17193.95"/>
    <n v="20920.02"/>
    <n v="18917.439999999999"/>
    <n v="-77291.820000000007"/>
    <n v="7549.28"/>
    <n v="7349.15"/>
    <n v="7263.73"/>
    <n v="82943.819999999992"/>
    <n v="85.420000000000073"/>
  </r>
  <r>
    <x v="6"/>
    <x v="1"/>
    <x v="0"/>
    <s v="2310200"/>
    <n v="713093"/>
    <s v="Allocated Benefits-Advanced Practice Clinician"/>
    <s v="St Francis Med &amp; Spec-Int Med"/>
    <x v="0"/>
    <m/>
    <n v="1177.18"/>
    <n v="1074.07"/>
    <n v="1074.8499999999999"/>
    <n v="1091.99"/>
    <n v="1066.99"/>
    <n v="1163.72"/>
    <n v="1415.91"/>
    <n v="1280.3599999999999"/>
    <n v="4085.91"/>
    <n v="1668.18"/>
    <n v="1623.95"/>
    <n v="1605.07"/>
    <n v="18328.18"/>
    <n v="18.880000000000109"/>
  </r>
  <r>
    <x v="7"/>
    <x v="1"/>
    <x v="0"/>
    <s v="2310200"/>
    <n v="718040"/>
    <s v="Contract Svcs-Laboratory"/>
    <s v="St Francis Med &amp; Spec-Int Med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2310200"/>
    <n v="718050"/>
    <s v="Contract Svcs-Other"/>
    <s v="St Francis Med &amp; Spec-Int Med"/>
    <x v="0"/>
    <m/>
    <n v="0"/>
    <n v="0"/>
    <n v="0"/>
    <n v="0"/>
    <n v="405"/>
    <n v="0"/>
    <n v="0"/>
    <n v="0"/>
    <n v="0"/>
    <n v="0"/>
    <n v="0"/>
    <n v="0"/>
    <n v="405"/>
    <n v="0"/>
  </r>
  <r>
    <x v="7"/>
    <x v="1"/>
    <x v="0"/>
    <s v="2310200"/>
    <n v="718050"/>
    <s v="Miscellaneous Purchased Svcs"/>
    <s v="St Francis Med &amp; Spec-Int Med"/>
    <x v="0"/>
    <n v="1020"/>
    <n v="0"/>
    <n v="0"/>
    <n v="0"/>
    <n v="0"/>
    <n v="0"/>
    <n v="0"/>
    <n v="0"/>
    <n v="0"/>
    <n v="0"/>
    <n v="0"/>
    <n v="5450.83"/>
    <n v="0"/>
    <n v="5450.83"/>
    <n v="5450.83"/>
  </r>
  <r>
    <x v="7"/>
    <x v="1"/>
    <x v="0"/>
    <s v="2310200"/>
    <n v="718050"/>
    <s v="Translation Services"/>
    <s v="St Francis Med &amp; Spec-Int Med"/>
    <x v="0"/>
    <n v="1025"/>
    <n v="0"/>
    <n v="0"/>
    <n v="0"/>
    <n v="58.5"/>
    <n v="0"/>
    <n v="0"/>
    <n v="0"/>
    <n v="0"/>
    <n v="0"/>
    <n v="0"/>
    <n v="0"/>
    <n v="0"/>
    <n v="58.5"/>
    <n v="0"/>
  </r>
  <r>
    <x v="11"/>
    <x v="1"/>
    <x v="0"/>
    <s v="2310200"/>
    <n v="721410"/>
    <s v="Supplies-Medical - Nonbillable"/>
    <s v="St Francis Med &amp; Spec-Int Med"/>
    <x v="0"/>
    <m/>
    <n v="0"/>
    <n v="0"/>
    <n v="0"/>
    <n v="0"/>
    <n v="0"/>
    <n v="0"/>
    <n v="0"/>
    <n v="0"/>
    <n v="93.05"/>
    <n v="0"/>
    <n v="0"/>
    <n v="0"/>
    <n v="93.05"/>
    <n v="0"/>
  </r>
  <r>
    <x v="12"/>
    <x v="1"/>
    <x v="0"/>
    <s v="2310200"/>
    <n v="730020"/>
    <s v="Rental and Leases-Copier Usage Fees (DO NOT USE)"/>
    <s v="St Francis Med &amp; Spec-Int Med"/>
    <x v="0"/>
    <n v="5100"/>
    <n v="114.61"/>
    <n v="115.95"/>
    <n v="115.28"/>
    <n v="115.28"/>
    <n v="115.28"/>
    <n v="115.28"/>
    <n v="249.77"/>
    <n v="105.32"/>
    <n v="105.01"/>
    <n v="199.9"/>
    <n v="102.48"/>
    <n v="122.09"/>
    <n v="1576.25"/>
    <n v="-19.61"/>
  </r>
  <r>
    <x v="0"/>
    <x v="1"/>
    <x v="0"/>
    <s v="2310200"/>
    <n v="740020"/>
    <s v="Education-Registration Fees"/>
    <s v="St Francis Med &amp; Spec-Int Med"/>
    <x v="0"/>
    <m/>
    <n v="0"/>
    <n v="0"/>
    <n v="0"/>
    <n v="0"/>
    <n v="0"/>
    <n v="49.5"/>
    <n v="0"/>
    <n v="0"/>
    <n v="0"/>
    <n v="0"/>
    <n v="0"/>
    <n v="0"/>
    <n v="49.5"/>
    <n v="0"/>
  </r>
  <r>
    <x v="0"/>
    <x v="1"/>
    <x v="0"/>
    <s v="2310200"/>
    <n v="740022"/>
    <s v="Education-Physician"/>
    <s v="St Francis Med &amp; Spec-Int Med"/>
    <x v="0"/>
    <m/>
    <n v="0"/>
    <n v="0"/>
    <n v="0"/>
    <n v="0"/>
    <n v="0"/>
    <n v="679"/>
    <n v="0"/>
    <n v="0"/>
    <n v="770"/>
    <n v="0"/>
    <n v="0"/>
    <n v="2999.97"/>
    <n v="4448.9699999999993"/>
    <n v="-2999.97"/>
  </r>
  <r>
    <x v="0"/>
    <x v="1"/>
    <x v="0"/>
    <s v="2310200"/>
    <n v="740022"/>
    <s v="Education Travel-Physician"/>
    <s v="St Francis Med &amp; Spec-Int Med"/>
    <x v="0"/>
    <n v="2001"/>
    <n v="0"/>
    <n v="0"/>
    <n v="0"/>
    <n v="0"/>
    <n v="0"/>
    <n v="0"/>
    <n v="0"/>
    <n v="0"/>
    <n v="2157"/>
    <n v="0"/>
    <n v="0"/>
    <n v="0"/>
    <n v="2157"/>
    <n v="0"/>
  </r>
  <r>
    <x v="0"/>
    <x v="1"/>
    <x v="0"/>
    <s v="2310200"/>
    <n v="740023"/>
    <s v="Education-Advanced Practice Clinician"/>
    <s v="St Francis Med &amp; Spec-Int Med"/>
    <x v="0"/>
    <m/>
    <n v="0"/>
    <n v="0"/>
    <n v="0"/>
    <n v="0"/>
    <n v="0"/>
    <n v="0"/>
    <n v="0"/>
    <n v="0"/>
    <n v="0"/>
    <n v="250"/>
    <n v="0"/>
    <n v="650"/>
    <n v="900"/>
    <n v="-650"/>
  </r>
  <r>
    <x v="8"/>
    <x v="1"/>
    <x v="0"/>
    <s v="2310200"/>
    <n v="741012"/>
    <s v="Physician Liab Insurance-CHI Program"/>
    <s v="St Francis Med &amp; Spec-Int Med"/>
    <x v="0"/>
    <m/>
    <n v="2046.24"/>
    <n v="2046.24"/>
    <n v="2046.24"/>
    <n v="2046.24"/>
    <n v="2046.25"/>
    <n v="2046.23"/>
    <n v="2046.25"/>
    <n v="2046.23"/>
    <n v="2046.25"/>
    <n v="2046.23"/>
    <n v="2046.25"/>
    <n v="2046.23"/>
    <n v="24554.879999999997"/>
    <n v="1.999999999998181E-2"/>
  </r>
  <r>
    <x v="0"/>
    <x v="1"/>
    <x v="0"/>
    <s v="2310200"/>
    <n v="743022"/>
    <s v="Dues-Physician"/>
    <s v="St Francis Med &amp; Spec-Int Med"/>
    <x v="0"/>
    <m/>
    <n v="0"/>
    <n v="0"/>
    <n v="0"/>
    <n v="0"/>
    <n v="0"/>
    <n v="0"/>
    <n v="0"/>
    <n v="0"/>
    <n v="0"/>
    <n v="0"/>
    <n v="585"/>
    <n v="0"/>
    <n v="585"/>
    <n v="585"/>
  </r>
  <r>
    <x v="0"/>
    <x v="1"/>
    <x v="0"/>
    <s v="2310200"/>
    <n v="743042"/>
    <s v="Subscriptions-Physician"/>
    <s v="St Francis Med &amp; Spec-Int Med"/>
    <x v="0"/>
    <m/>
    <n v="3000"/>
    <n v="0"/>
    <n v="0"/>
    <n v="0"/>
    <n v="340.99"/>
    <n v="338"/>
    <n v="659.5"/>
    <n v="0"/>
    <n v="0"/>
    <n v="0"/>
    <n v="0"/>
    <n v="0"/>
    <n v="4338.49"/>
    <n v="0"/>
  </r>
  <r>
    <x v="0"/>
    <x v="1"/>
    <x v="0"/>
    <s v="2310200"/>
    <n v="749510"/>
    <s v="Miscellaneous Expenses"/>
    <s v="St Francis Med &amp; Spec-Int Med"/>
    <x v="0"/>
    <m/>
    <n v="-1811.14"/>
    <n v="0"/>
    <n v="0"/>
    <n v="0"/>
    <n v="0"/>
    <n v="0"/>
    <n v="0"/>
    <n v="0"/>
    <n v="0"/>
    <n v="0"/>
    <n v="2884.97"/>
    <n v="-2884.97"/>
    <n v="-1811.14"/>
    <n v="5769.94"/>
  </r>
  <r>
    <x v="0"/>
    <x v="1"/>
    <x v="0"/>
    <s v="2310200"/>
    <n v="749512"/>
    <s v="Licenses-Physician"/>
    <s v="St Francis Med &amp; Spec-Int Med"/>
    <x v="0"/>
    <n v="2000"/>
    <n v="0"/>
    <n v="0"/>
    <n v="0"/>
    <n v="0"/>
    <n v="0"/>
    <n v="0"/>
    <n v="0"/>
    <n v="731"/>
    <n v="0"/>
    <n v="585"/>
    <n v="0"/>
    <n v="0"/>
    <n v="1316"/>
    <n v="0"/>
  </r>
  <r>
    <x v="0"/>
    <x v="1"/>
    <x v="0"/>
    <s v="2310200"/>
    <n v="749532"/>
    <s v="Travel-Physician"/>
    <s v="St Francis Med &amp; Spec-Int Med"/>
    <x v="0"/>
    <m/>
    <n v="0"/>
    <n v="0"/>
    <n v="0"/>
    <n v="0"/>
    <n v="2790.58"/>
    <n v="0"/>
    <n v="676.6"/>
    <n v="0"/>
    <n v="0"/>
    <n v="1294.1199999999999"/>
    <n v="0"/>
    <n v="0"/>
    <n v="4761.2999999999993"/>
    <n v="0"/>
  </r>
  <r>
    <x v="0"/>
    <x v="1"/>
    <x v="0"/>
    <s v="2310200"/>
    <n v="749533"/>
    <s v="Travel-Advanced Practice Clinician"/>
    <s v="St Francis Med &amp; Spec-Int Med"/>
    <x v="0"/>
    <m/>
    <n v="0"/>
    <n v="0"/>
    <n v="0"/>
    <n v="0"/>
    <n v="0"/>
    <n v="0"/>
    <n v="0"/>
    <n v="0"/>
    <n v="0"/>
    <n v="232.44"/>
    <n v="0"/>
    <n v="1072"/>
    <n v="1304.44"/>
    <n v="-1072"/>
  </r>
  <r>
    <x v="0"/>
    <x v="1"/>
    <x v="0"/>
    <s v="2310200"/>
    <n v="749591"/>
    <s v="Other Expense-Intracompany Allocation"/>
    <s v="St Francis Med &amp; Spec-Int Med"/>
    <x v="0"/>
    <m/>
    <n v="96805.759999999995"/>
    <n v="88984.52"/>
    <n v="84683.8"/>
    <n v="107866.53"/>
    <n v="127688.89"/>
    <n v="106382.48"/>
    <n v="118827.81"/>
    <n v="59890.41"/>
    <n v="132065.29999999999"/>
    <n v="92180.52"/>
    <n v="110567.11"/>
    <n v="94548.96"/>
    <n v="1220492.0900000001"/>
    <n v="16018.149999999994"/>
  </r>
  <r>
    <x v="9"/>
    <x v="1"/>
    <x v="0"/>
    <s v="2310200"/>
    <n v="800015"/>
    <s v="Interest Income-Ext to CHI"/>
    <s v="St Francis Med &amp; Spec-Int Med"/>
    <x v="0"/>
    <m/>
    <n v="-19.46"/>
    <n v="-18.489999999999998"/>
    <n v="-16.95"/>
    <n v="-16.54"/>
    <n v="-15.06"/>
    <n v="-14.59"/>
    <n v="-13.62"/>
    <n v="-11.42"/>
    <n v="-11.67"/>
    <n v="-10.35"/>
    <n v="-9.73"/>
    <n v="-8.4700000000000006"/>
    <n v="-166.35"/>
    <n v="-1.2599999999999998"/>
  </r>
  <r>
    <x v="1"/>
    <x v="1"/>
    <x v="0"/>
    <s v="2311200"/>
    <n v="400029"/>
    <s v="MD Practice Other Rev--Medicare"/>
    <s v="St Joseph Med&amp;Spec-Fam Med"/>
    <x v="0"/>
    <n v="1100"/>
    <n v="-268"/>
    <n v="-484"/>
    <n v="-413"/>
    <n v="-482"/>
    <n v="-457"/>
    <n v="-525"/>
    <n v="-1985"/>
    <n v="-1181"/>
    <n v="-1624"/>
    <n v="-1828"/>
    <n v="-626"/>
    <n v="-721"/>
    <n v="-10594"/>
    <n v="95"/>
  </r>
  <r>
    <x v="1"/>
    <x v="1"/>
    <x v="0"/>
    <s v="2311200"/>
    <n v="400029"/>
    <s v="MD Practice Other Rev--Medicaid"/>
    <s v="St Joseph Med&amp;Spec-Fam Med"/>
    <x v="0"/>
    <n v="1200"/>
    <n v="-550"/>
    <n v="-304"/>
    <n v="-562"/>
    <n v="-762"/>
    <n v="-772"/>
    <n v="-610"/>
    <n v="-2748"/>
    <n v="-1922"/>
    <n v="-3054"/>
    <n v="-2395"/>
    <n v="-1133"/>
    <n v="-758"/>
    <n v="-15570"/>
    <n v="-375"/>
  </r>
  <r>
    <x v="1"/>
    <x v="1"/>
    <x v="0"/>
    <s v="2311200"/>
    <n v="400029"/>
    <s v="MD Practice Other Rev--Comm Insurance"/>
    <s v="St Joseph Med&amp;Spec-Fam Med"/>
    <x v="0"/>
    <n v="1300"/>
    <n v="-68"/>
    <n v="-77"/>
    <n v="-112"/>
    <n v="-134"/>
    <n v="-124"/>
    <n v="-50"/>
    <n v="-489"/>
    <n v="-256"/>
    <n v="-449"/>
    <n v="-585"/>
    <n v="-156"/>
    <n v="-176"/>
    <n v="-2676"/>
    <n v="20"/>
  </r>
  <r>
    <x v="1"/>
    <x v="1"/>
    <x v="0"/>
    <s v="2311200"/>
    <n v="400029"/>
    <s v="MD Practice Other Rev--BCBS Comm"/>
    <s v="St Joseph Med&amp;Spec-Fam Med"/>
    <x v="0"/>
    <n v="1301"/>
    <n v="-75"/>
    <n v="-127"/>
    <n v="-165"/>
    <n v="-192"/>
    <n v="-237"/>
    <n v="-171"/>
    <n v="-509"/>
    <n v="-760"/>
    <n v="-616"/>
    <n v="-496"/>
    <n v="-289"/>
    <n v="-315"/>
    <n v="-3952"/>
    <n v="26"/>
  </r>
  <r>
    <x v="1"/>
    <x v="1"/>
    <x v="0"/>
    <s v="2311200"/>
    <n v="400029"/>
    <s v="MD Practice Other Rev--Managed Care"/>
    <s v="St Joseph Med&amp;Spec-Fam Med"/>
    <x v="0"/>
    <n v="1400"/>
    <n v="-328"/>
    <n v="-567"/>
    <n v="-441"/>
    <n v="-601"/>
    <n v="-625"/>
    <n v="-904"/>
    <n v="-2247"/>
    <n v="-3552"/>
    <n v="-1854"/>
    <n v="-1516"/>
    <n v="-897"/>
    <n v="-896"/>
    <n v="-14428"/>
    <n v="-1"/>
  </r>
  <r>
    <x v="1"/>
    <x v="1"/>
    <x v="0"/>
    <s v="2311200"/>
    <n v="400029"/>
    <s v="MD Practice Other Rev--Self Pay"/>
    <s v="St Joseph Med&amp;Spec-Fam Med"/>
    <x v="0"/>
    <n v="1500"/>
    <n v="1"/>
    <n v="-132"/>
    <n v="52"/>
    <n v="-24"/>
    <n v="-40"/>
    <n v="-70"/>
    <n v="-57"/>
    <n v="-159"/>
    <n v="-148"/>
    <n v="-101"/>
    <n v="-66"/>
    <n v="-33"/>
    <n v="-777"/>
    <n v="-33"/>
  </r>
  <r>
    <x v="1"/>
    <x v="1"/>
    <x v="0"/>
    <s v="2311200"/>
    <n v="400029"/>
    <s v="MD Practice Other Rev--Other"/>
    <s v="St Joseph Med&amp;Spec-Fam Med"/>
    <x v="0"/>
    <n v="1700"/>
    <n v="-34"/>
    <n v="-250"/>
    <n v="-126"/>
    <n v="-26"/>
    <n v="-127"/>
    <n v="-148"/>
    <n v="-44"/>
    <n v="-180"/>
    <n v="-89"/>
    <n v="-209"/>
    <n v="-87"/>
    <n v="-99"/>
    <n v="-1419"/>
    <n v="12"/>
  </r>
  <r>
    <x v="1"/>
    <x v="1"/>
    <x v="0"/>
    <s v="2311200"/>
    <n v="400040"/>
    <s v="Physician Svcs Rev--Medicare"/>
    <s v="St Joseph Med&amp;Spec-Fam Med"/>
    <x v="0"/>
    <n v="1100"/>
    <n v="-207349"/>
    <n v="-233626"/>
    <n v="-243634"/>
    <n v="-277966"/>
    <n v="-202823"/>
    <n v="-229002"/>
    <n v="-272014"/>
    <n v="-185959"/>
    <n v="-230093"/>
    <n v="-232386"/>
    <n v="-262687"/>
    <n v="-245317"/>
    <n v="-2822856"/>
    <n v="-17370"/>
  </r>
  <r>
    <x v="1"/>
    <x v="1"/>
    <x v="0"/>
    <s v="2311200"/>
    <n v="400040"/>
    <s v="Physician Svcs Rev--Medicaid"/>
    <s v="St Joseph Med&amp;Spec-Fam Med"/>
    <x v="0"/>
    <n v="1200"/>
    <n v="-158304.74"/>
    <n v="-165197.32999999999"/>
    <n v="-190938.76"/>
    <n v="-228058.34"/>
    <n v="-181938.29"/>
    <n v="-159532.1"/>
    <n v="-231288.97"/>
    <n v="-173124.51"/>
    <n v="-202100.16"/>
    <n v="-210026.99"/>
    <n v="-218611.95"/>
    <n v="-188991.24"/>
    <n v="-2308113.38"/>
    <n v="-29620.710000000021"/>
  </r>
  <r>
    <x v="1"/>
    <x v="1"/>
    <x v="0"/>
    <s v="2311200"/>
    <n v="400040"/>
    <s v="Physician Svcs Rev--Comm Insurance"/>
    <s v="St Joseph Med&amp;Spec-Fam Med"/>
    <x v="0"/>
    <n v="1300"/>
    <n v="-42372"/>
    <n v="-35544"/>
    <n v="-35864"/>
    <n v="-49800.39"/>
    <n v="-35233.040000000001"/>
    <n v="-31411"/>
    <n v="-42305"/>
    <n v="-36891"/>
    <n v="-49593.29"/>
    <n v="-42630"/>
    <n v="-43756"/>
    <n v="-49247.62"/>
    <n v="-494647.34"/>
    <n v="5491.6200000000026"/>
  </r>
  <r>
    <x v="1"/>
    <x v="1"/>
    <x v="0"/>
    <s v="2311200"/>
    <n v="400040"/>
    <s v="Physician Svcs Rev--BCBS Comm"/>
    <s v="St Joseph Med&amp;Spec-Fam Med"/>
    <x v="0"/>
    <n v="1301"/>
    <n v="-45059.95"/>
    <n v="-33030"/>
    <n v="-55003.040000000001"/>
    <n v="-54979.15"/>
    <n v="-49005.52"/>
    <n v="-35217.910000000003"/>
    <n v="-50643.13"/>
    <n v="-36932.410000000003"/>
    <n v="-52082"/>
    <n v="-56976"/>
    <n v="-41536"/>
    <n v="-52320"/>
    <n v="-562785.11"/>
    <n v="10784"/>
  </r>
  <r>
    <x v="1"/>
    <x v="1"/>
    <x v="0"/>
    <s v="2311200"/>
    <n v="400040"/>
    <s v="Physician Svcs Rev--Managed Care"/>
    <s v="St Joseph Med&amp;Spec-Fam Med"/>
    <x v="0"/>
    <n v="1400"/>
    <n v="-181327.2"/>
    <n v="-206323.62"/>
    <n v="-196361.26"/>
    <n v="-239461.78"/>
    <n v="-217628"/>
    <n v="-192709.26"/>
    <n v="-222546.28"/>
    <n v="-197255.95"/>
    <n v="-213747.46"/>
    <n v="-229637.69"/>
    <n v="-245696.02"/>
    <n v="-181612.82"/>
    <n v="-2524307.34"/>
    <n v="-64083.199999999983"/>
  </r>
  <r>
    <x v="1"/>
    <x v="1"/>
    <x v="0"/>
    <s v="2311200"/>
    <n v="400040"/>
    <s v="Physician Svcs Rev--Self Pay"/>
    <s v="St Joseph Med&amp;Spec-Fam Med"/>
    <x v="0"/>
    <n v="1500"/>
    <n v="-8098.88"/>
    <n v="-11368"/>
    <n v="-9068"/>
    <n v="-6428"/>
    <n v="-11112.2"/>
    <n v="-10159"/>
    <n v="-11407"/>
    <n v="-6864.8"/>
    <n v="-7837"/>
    <n v="-10082"/>
    <n v="-10185"/>
    <n v="-7283"/>
    <n v="-109892.88"/>
    <n v="-2902"/>
  </r>
  <r>
    <x v="1"/>
    <x v="1"/>
    <x v="0"/>
    <s v="2311200"/>
    <n v="400040"/>
    <s v="Physician Svcs Rev--Other"/>
    <s v="St Joseph Med&amp;Spec-Fam Med"/>
    <x v="0"/>
    <n v="1700"/>
    <n v="-16793.82"/>
    <n v="-21142"/>
    <n v="-32825"/>
    <n v="-34907.07"/>
    <n v="-32291.91"/>
    <n v="-29726.3"/>
    <n v="-27674"/>
    <n v="-21211"/>
    <n v="-20538"/>
    <n v="-26139"/>
    <n v="-27562"/>
    <n v="-21834"/>
    <n v="-312644.09999999998"/>
    <n v="-5728"/>
  </r>
  <r>
    <x v="2"/>
    <x v="1"/>
    <x v="0"/>
    <s v="2311200"/>
    <n v="450029"/>
    <s v="Contr Allow--MD Other-Medicare"/>
    <s v="St Joseph Med&amp;Spec-Fam Med"/>
    <x v="0"/>
    <n v="1100"/>
    <n v="248.6"/>
    <n v="157.24"/>
    <n v="328.11"/>
    <n v="367.35"/>
    <n v="280.20999999999998"/>
    <n v="375.39"/>
    <n v="513.33000000000004"/>
    <n v="1340.67"/>
    <n v="694.46"/>
    <n v="1744.88"/>
    <n v="588.30999999999995"/>
    <n v="420.96"/>
    <n v="7059.5100000000011"/>
    <n v="167.34999999999997"/>
  </r>
  <r>
    <x v="2"/>
    <x v="1"/>
    <x v="0"/>
    <s v="2311200"/>
    <n v="450029"/>
    <s v="Contr Allow--MD Other-Medicaid"/>
    <s v="St Joseph Med&amp;Spec-Fam Med"/>
    <x v="0"/>
    <n v="1200"/>
    <n v="410.25"/>
    <n v="312.07"/>
    <n v="325.12"/>
    <n v="491.05"/>
    <n v="419.82"/>
    <n v="450.33"/>
    <n v="999.34"/>
    <n v="1392.24"/>
    <n v="2300.59"/>
    <n v="1837.08"/>
    <n v="787.33"/>
    <n v="586.15"/>
    <n v="10311.369999999999"/>
    <n v="201.18000000000006"/>
  </r>
  <r>
    <x v="2"/>
    <x v="1"/>
    <x v="0"/>
    <s v="2311200"/>
    <n v="450029"/>
    <s v="Contr Allow--MD Other-Comm Insurance"/>
    <s v="St Joseph Med&amp;Spec-Fam Med"/>
    <x v="0"/>
    <n v="1300"/>
    <n v="91.96"/>
    <n v="51.77"/>
    <n v="8.17"/>
    <n v="34.85"/>
    <n v="84.06"/>
    <n v="28.54"/>
    <n v="101.29"/>
    <n v="94.65"/>
    <n v="166.85"/>
    <n v="117.34"/>
    <n v="58.5"/>
    <n v="249.26"/>
    <n v="1087.24"/>
    <n v="-190.76"/>
  </r>
  <r>
    <x v="2"/>
    <x v="1"/>
    <x v="0"/>
    <s v="2311200"/>
    <n v="450029"/>
    <s v="Contr Allow--MD Other BCBS Comm"/>
    <s v="St Joseph Med&amp;Spec-Fam Med"/>
    <x v="0"/>
    <n v="1301"/>
    <n v="120.71"/>
    <n v="75.5"/>
    <n v="41.65"/>
    <n v="165.57"/>
    <n v="120.22"/>
    <n v="230.53"/>
    <n v="275.94"/>
    <n v="227.08"/>
    <n v="425.83"/>
    <n v="511.87"/>
    <n v="197.65"/>
    <n v="175.79"/>
    <n v="2568.3399999999997"/>
    <n v="21.860000000000014"/>
  </r>
  <r>
    <x v="2"/>
    <x v="1"/>
    <x v="0"/>
    <s v="2311200"/>
    <n v="450029"/>
    <s v="Contr Allow--MD Other-Managed Care"/>
    <s v="St Joseph Med&amp;Spec-Fam Med"/>
    <x v="0"/>
    <n v="1400"/>
    <n v="209.24"/>
    <n v="298.19"/>
    <n v="274.62"/>
    <n v="385.68"/>
    <n v="412.03"/>
    <n v="472.72"/>
    <n v="643.67999999999995"/>
    <n v="1319.61"/>
    <n v="2300.9"/>
    <n v="1292.29"/>
    <n v="820.8"/>
    <n v="671.91"/>
    <n v="9101.67"/>
    <n v="148.88999999999999"/>
  </r>
  <r>
    <x v="2"/>
    <x v="1"/>
    <x v="0"/>
    <s v="2311200"/>
    <n v="450029"/>
    <s v="Admin Adjust-MD Other-Self Pay"/>
    <s v="St Joseph Med&amp;Spec-Fam Med"/>
    <x v="0"/>
    <n v="1600"/>
    <n v="33.340000000000003"/>
    <n v="95.3"/>
    <n v="16.510000000000002"/>
    <n v="36.130000000000003"/>
    <n v="18.02"/>
    <n v="55.98"/>
    <n v="52.97"/>
    <n v="73.22"/>
    <n v="72.47"/>
    <n v="97.37"/>
    <n v="147.84"/>
    <n v="2.04"/>
    <n v="701.19"/>
    <n v="145.80000000000001"/>
  </r>
  <r>
    <x v="2"/>
    <x v="1"/>
    <x v="0"/>
    <s v="2311200"/>
    <n v="450029"/>
    <s v="Contr Allow--MD Other-Other"/>
    <s v="St Joseph Med&amp;Spec-Fam Med"/>
    <x v="0"/>
    <n v="1700"/>
    <n v="94.02"/>
    <n v="48.34"/>
    <n v="31.34"/>
    <n v="97.77"/>
    <n v="89.72"/>
    <n v="45.47"/>
    <n v="65.55"/>
    <n v="123.99"/>
    <n v="-7.17"/>
    <n v="247.1"/>
    <n v="146.55000000000001"/>
    <n v="30.86"/>
    <n v="1013.5400000000001"/>
    <n v="115.69000000000001"/>
  </r>
  <r>
    <x v="2"/>
    <x v="1"/>
    <x v="0"/>
    <s v="2311200"/>
    <n v="450040"/>
    <s v="Contr Allow--Phys Svcs--Mcare"/>
    <s v="St Joseph Med&amp;Spec-Fam Med"/>
    <x v="0"/>
    <n v="1100"/>
    <n v="121092.04"/>
    <n v="123445.52"/>
    <n v="142762.79999999999"/>
    <n v="181448.55"/>
    <n v="146128.88"/>
    <n v="153962.82"/>
    <n v="158210.32999999999"/>
    <n v="136245.99"/>
    <n v="128798.95"/>
    <n v="150324.12"/>
    <n v="157159.46"/>
    <n v="156260.23000000001"/>
    <n v="1755839.6899999995"/>
    <n v="899.22999999998137"/>
  </r>
  <r>
    <x v="2"/>
    <x v="1"/>
    <x v="0"/>
    <s v="2311200"/>
    <n v="450040"/>
    <s v="Contr Allow--Phys Svcs--Mcaid"/>
    <s v="St Joseph Med&amp;Spec-Fam Med"/>
    <x v="0"/>
    <n v="1200"/>
    <n v="118542.67"/>
    <n v="134877.82999999999"/>
    <n v="126545.54"/>
    <n v="174112.68"/>
    <n v="138951.1"/>
    <n v="123495.24"/>
    <n v="142526.01999999999"/>
    <n v="129102.14"/>
    <n v="160125.37"/>
    <n v="160811.12"/>
    <n v="154375.26"/>
    <n v="140108.29"/>
    <n v="1703573.26"/>
    <n v="14266.970000000001"/>
  </r>
  <r>
    <x v="2"/>
    <x v="1"/>
    <x v="0"/>
    <s v="2311200"/>
    <n v="450040"/>
    <s v="Contr Allow--Phys Svcs--Comm Insurance"/>
    <s v="St Joseph Med&amp;Spec-Fam Med"/>
    <x v="0"/>
    <n v="1300"/>
    <n v="12121.2"/>
    <n v="18044.75"/>
    <n v="13258.18"/>
    <n v="15796.45"/>
    <n v="12372.37"/>
    <n v="7586.22"/>
    <n v="9921.4500000000007"/>
    <n v="9058.1"/>
    <n v="12924.25"/>
    <n v="9740.5400000000009"/>
    <n v="10128.23"/>
    <n v="32688.03"/>
    <n v="163639.77000000002"/>
    <n v="-22559.8"/>
  </r>
  <r>
    <x v="2"/>
    <x v="1"/>
    <x v="0"/>
    <s v="2311200"/>
    <n v="450040"/>
    <s v="Contr Allow--Phys Svcs--BCBS Comm Ins"/>
    <s v="St Joseph Med&amp;Spec-Fam Med"/>
    <x v="0"/>
    <n v="1301"/>
    <n v="12816.85"/>
    <n v="13093.3"/>
    <n v="11067.21"/>
    <n v="19056.86"/>
    <n v="16558.810000000001"/>
    <n v="13317.34"/>
    <n v="11594.57"/>
    <n v="10777.96"/>
    <n v="15644.06"/>
    <n v="14213.84"/>
    <n v="12086.87"/>
    <n v="14347.47"/>
    <n v="164575.13999999998"/>
    <n v="-2260.5999999999985"/>
  </r>
  <r>
    <x v="2"/>
    <x v="1"/>
    <x v="0"/>
    <s v="2311200"/>
    <n v="450040"/>
    <s v="Contr Allow--Phys Svcs--Managed Care"/>
    <s v="St Joseph Med&amp;Spec-Fam Med"/>
    <x v="0"/>
    <n v="1400"/>
    <n v="58932.98"/>
    <n v="75583.66"/>
    <n v="58707.67"/>
    <n v="82024.990000000005"/>
    <n v="86248.93"/>
    <n v="63236.69"/>
    <n v="56796.26"/>
    <n v="67111.16"/>
    <n v="85707.01"/>
    <n v="72688.28"/>
    <n v="98859.16"/>
    <n v="67893.86"/>
    <n v="873790.65"/>
    <n v="30965.300000000003"/>
  </r>
  <r>
    <x v="2"/>
    <x v="1"/>
    <x v="0"/>
    <s v="2311200"/>
    <n v="450040"/>
    <s v="Contr Allow--Phys Svcs--BCBS Mgnd Care"/>
    <s v="St Joseph Med&amp;Spec-Fam Med"/>
    <x v="0"/>
    <n v="1401"/>
    <n v="10789.14"/>
    <n v="-6495.6"/>
    <n v="57880.13"/>
    <n v="-1888.3"/>
    <n v="-31800.49"/>
    <n v="331.39"/>
    <n v="88432.23"/>
    <n v="-1850.93"/>
    <n v="-3330.93"/>
    <n v="13581.87"/>
    <n v="8876.8799999999992"/>
    <n v="-28908.26"/>
    <n v="105617.12999999999"/>
    <n v="37785.14"/>
  </r>
  <r>
    <x v="2"/>
    <x v="1"/>
    <x v="0"/>
    <s v="2311200"/>
    <n v="450040"/>
    <s v="Prompt Pay Disc-Phys Svcs-Self Pay"/>
    <s v="St Joseph Med&amp;Spec-Fam Med"/>
    <x v="0"/>
    <n v="1500"/>
    <n v="182.7"/>
    <n v="164.81"/>
    <n v="186.09"/>
    <n v="21.93"/>
    <n v="0"/>
    <n v="10.36"/>
    <n v="0"/>
    <n v="52.39"/>
    <n v="0"/>
    <n v="126"/>
    <n v="0"/>
    <n v="0"/>
    <n v="744.28"/>
    <n v="0"/>
  </r>
  <r>
    <x v="2"/>
    <x v="1"/>
    <x v="0"/>
    <s v="2311200"/>
    <n v="450040"/>
    <s v="Admin Adjust-Phys Svcs-Self Pay"/>
    <s v="St Joseph Med&amp;Spec-Fam Med"/>
    <x v="0"/>
    <n v="1600"/>
    <n v="3577.54"/>
    <n v="4683.5"/>
    <n v="4913.95"/>
    <n v="3038.83"/>
    <n v="4271.5"/>
    <n v="8382.3700000000008"/>
    <n v="6708.62"/>
    <n v="3404.93"/>
    <n v="4314.9399999999996"/>
    <n v="5183.16"/>
    <n v="4618.0600000000004"/>
    <n v="3242.94"/>
    <n v="56340.340000000011"/>
    <n v="1375.1200000000003"/>
  </r>
  <r>
    <x v="2"/>
    <x v="1"/>
    <x v="0"/>
    <s v="2311200"/>
    <n v="450040"/>
    <s v="Contr Allow--Phys Svcs--Other"/>
    <s v="St Joseph Med&amp;Spec-Fam Med"/>
    <x v="0"/>
    <n v="1700"/>
    <n v="14092.03"/>
    <n v="14985.28"/>
    <n v="9258.49"/>
    <n v="15527.66"/>
    <n v="20969.39"/>
    <n v="16233.02"/>
    <n v="17834.2"/>
    <n v="15717.38"/>
    <n v="14111.44"/>
    <n v="19577.419999999998"/>
    <n v="19367.03"/>
    <n v="14045.04"/>
    <n v="191718.38"/>
    <n v="5321.989999999998"/>
  </r>
  <r>
    <x v="3"/>
    <x v="1"/>
    <x v="0"/>
    <s v="2311200"/>
    <n v="470040"/>
    <s v="Charity Care-Physician Svcs"/>
    <s v="St Joseph Med&amp;Spec-Fam Med"/>
    <x v="0"/>
    <m/>
    <n v="1891.73"/>
    <n v="7329.75"/>
    <n v="4449.57"/>
    <n v="4350.95"/>
    <n v="2770.9"/>
    <n v="2689.19"/>
    <n v="8856.59"/>
    <n v="4109.01"/>
    <n v="9578.3799999999992"/>
    <n v="4510.76"/>
    <n v="4288.3500000000004"/>
    <n v="6420.43"/>
    <n v="61245.61"/>
    <n v="-2132.08"/>
  </r>
  <r>
    <x v="4"/>
    <x v="1"/>
    <x v="0"/>
    <s v="2311200"/>
    <n v="490010"/>
    <s v="Provision for Bad Debts"/>
    <s v="St Joseph Med&amp;Spec-Fam Med"/>
    <x v="0"/>
    <m/>
    <n v="11997.14"/>
    <n v="6665.75"/>
    <n v="13066.95"/>
    <n v="7311.33"/>
    <n v="9785.9"/>
    <n v="4639.25"/>
    <n v="9293.27"/>
    <n v="7063.41"/>
    <n v="9121.85"/>
    <n v="8175.25"/>
    <n v="13001.77"/>
    <n v="13106.63"/>
    <n v="113228.50000000001"/>
    <n v="-104.85999999999876"/>
  </r>
  <r>
    <x v="5"/>
    <x v="1"/>
    <x v="0"/>
    <s v="2311200"/>
    <n v="700018"/>
    <s v="Salaries-Supervisory-Productive"/>
    <s v="St Joseph Med&amp;Spec-Fam Med"/>
    <x v="0"/>
    <m/>
    <n v="4430.16"/>
    <n v="6821.04"/>
    <n v="6849.36"/>
    <n v="8394.16"/>
    <n v="8067.84"/>
    <n v="5060.7299999999996"/>
    <n v="8153.56"/>
    <n v="5361.96"/>
    <n v="4186.75"/>
    <n v="9628.7099999999991"/>
    <n v="9226.18"/>
    <n v="7007.22"/>
    <n v="83187.669999999984"/>
    <n v="2218.96"/>
  </r>
  <r>
    <x v="5"/>
    <x v="1"/>
    <x v="0"/>
    <s v="2311200"/>
    <n v="700018"/>
    <s v="Salaries-Supervisory-Other"/>
    <s v="St Joseph Med&amp;Spec-Fam Med"/>
    <x v="0"/>
    <n v="2000"/>
    <n v="0"/>
    <n v="0"/>
    <n v="25.6"/>
    <n v="0"/>
    <n v="0"/>
    <n v="0"/>
    <n v="0"/>
    <n v="0"/>
    <n v="0"/>
    <n v="0"/>
    <n v="0"/>
    <n v="0"/>
    <n v="25.6"/>
    <n v="0"/>
  </r>
  <r>
    <x v="5"/>
    <x v="1"/>
    <x v="0"/>
    <s v="2311200"/>
    <n v="700022"/>
    <s v="Salaries-Physician-Productive"/>
    <s v="St Joseph Med&amp;Spec-Fam Med"/>
    <x v="0"/>
    <m/>
    <n v="140241.78"/>
    <n v="191811.02"/>
    <n v="148900.06"/>
    <n v="178597.57"/>
    <n v="183710.17"/>
    <n v="123275.45"/>
    <n v="177954.58"/>
    <n v="149621.97"/>
    <n v="164675.29999999999"/>
    <n v="160643.49"/>
    <n v="177466.43"/>
    <n v="139502.84"/>
    <n v="1936400.66"/>
    <n v="37963.589999999997"/>
  </r>
  <r>
    <x v="5"/>
    <x v="1"/>
    <x v="0"/>
    <s v="2311200"/>
    <n v="700022"/>
    <s v="Salaries-Physician-Other"/>
    <s v="St Joseph Med&amp;Spec-Fam Med"/>
    <x v="0"/>
    <n v="2000"/>
    <n v="0"/>
    <n v="1410.2"/>
    <n v="0"/>
    <n v="0"/>
    <n v="0"/>
    <n v="0"/>
    <n v="0"/>
    <n v="0"/>
    <n v="0"/>
    <n v="0"/>
    <n v="0"/>
    <n v="0"/>
    <n v="1410.2"/>
    <n v="0"/>
  </r>
  <r>
    <x v="5"/>
    <x v="1"/>
    <x v="0"/>
    <s v="2311200"/>
    <n v="700024"/>
    <s v="Salaries-Advanced Practice Clinician-Productive"/>
    <s v="St Joseph Med&amp;Spec-Fam Med"/>
    <x v="0"/>
    <m/>
    <n v="411.93"/>
    <n v="961.19"/>
    <n v="1029.8399999999999"/>
    <n v="1579.08"/>
    <n v="1510.44"/>
    <n v="720.88"/>
    <n v="2684.62"/>
    <n v="8.9600000000000009"/>
    <n v="1866.25"/>
    <n v="184.97"/>
    <n v="0"/>
    <n v="0"/>
    <n v="10958.159999999998"/>
    <n v="0"/>
  </r>
  <r>
    <x v="5"/>
    <x v="1"/>
    <x v="0"/>
    <s v="2311200"/>
    <n v="700026"/>
    <s v="Salaries-RN-Productive"/>
    <s v="St Joseph Med&amp;Spec-Fam Med"/>
    <x v="0"/>
    <m/>
    <n v="2706.17"/>
    <n v="984.07"/>
    <n v="6811.74"/>
    <n v="7335.8"/>
    <n v="3731.56"/>
    <n v="3665.05"/>
    <n v="3655.22"/>
    <n v="4676.21"/>
    <n v="6173.66"/>
    <n v="5421.68"/>
    <n v="1132.0899999999999"/>
    <n v="2431.19"/>
    <n v="48724.439999999995"/>
    <n v="-1299.1000000000001"/>
  </r>
  <r>
    <x v="5"/>
    <x v="1"/>
    <x v="0"/>
    <s v="2311200"/>
    <n v="700026"/>
    <s v="Salaries-RN-OT"/>
    <s v="St Joseph Med&amp;Spec-Fam Med"/>
    <x v="0"/>
    <n v="1000"/>
    <n v="43.25"/>
    <n v="28.83"/>
    <n v="241.53"/>
    <n v="-80.510000000000005"/>
    <n v="46.14"/>
    <n v="180.68"/>
    <n v="0"/>
    <n v="11.56"/>
    <n v="14.66"/>
    <n v="266.83999999999997"/>
    <n v="-58.89"/>
    <n v="207.93"/>
    <n v="902.02"/>
    <n v="-266.82"/>
  </r>
  <r>
    <x v="5"/>
    <x v="1"/>
    <x v="0"/>
    <s v="2311200"/>
    <n v="700026"/>
    <s v="Salaries-RN-Other"/>
    <s v="St Joseph Med&amp;Spec-Fam Med"/>
    <x v="0"/>
    <n v="2000"/>
    <n v="0"/>
    <n v="0"/>
    <n v="30"/>
    <n v="0"/>
    <n v="0"/>
    <n v="3.25"/>
    <n v="0"/>
    <n v="0"/>
    <n v="0"/>
    <n v="0"/>
    <n v="0"/>
    <n v="0"/>
    <n v="33.25"/>
    <n v="0"/>
  </r>
  <r>
    <x v="5"/>
    <x v="1"/>
    <x v="0"/>
    <s v="2311200"/>
    <n v="700030"/>
    <s v="Salaries-LPN-Productive"/>
    <s v="St Joseph Med&amp;Spec-Fam Med"/>
    <x v="0"/>
    <m/>
    <n v="37932.129999999997"/>
    <n v="41066.410000000003"/>
    <n v="33921.21"/>
    <n v="41985.1"/>
    <n v="45768.39"/>
    <n v="36972.47"/>
    <n v="47468.11"/>
    <n v="36705.660000000003"/>
    <n v="38917.699999999997"/>
    <n v="35363.19"/>
    <n v="43313.4"/>
    <n v="30655.759999999998"/>
    <n v="470069.53"/>
    <n v="12657.640000000003"/>
  </r>
  <r>
    <x v="5"/>
    <x v="1"/>
    <x v="0"/>
    <s v="2311200"/>
    <n v="700030"/>
    <s v="Salaries-LPN-OT"/>
    <s v="St Joseph Med&amp;Spec-Fam Med"/>
    <x v="0"/>
    <n v="1000"/>
    <n v="2350.9699999999998"/>
    <n v="3628.71"/>
    <n v="2659.96"/>
    <n v="1602.14"/>
    <n v="2588.42"/>
    <n v="794.44"/>
    <n v="1633.18"/>
    <n v="578.29999999999995"/>
    <n v="4665.6899999999996"/>
    <n v="6338.14"/>
    <n v="7779.76"/>
    <n v="4192.1099999999997"/>
    <n v="38811.82"/>
    <n v="3587.6500000000005"/>
  </r>
  <r>
    <x v="5"/>
    <x v="1"/>
    <x v="0"/>
    <s v="2311200"/>
    <n v="700030"/>
    <s v="Salaries-LPN-Other"/>
    <s v="St Joseph Med&amp;Spec-Fam Med"/>
    <x v="0"/>
    <n v="2000"/>
    <n v="60"/>
    <n v="60"/>
    <n v="0"/>
    <n v="0"/>
    <n v="0"/>
    <n v="0"/>
    <n v="7.52"/>
    <n v="0"/>
    <n v="21.51"/>
    <n v="71.930000000000007"/>
    <n v="26.2"/>
    <n v="58.84"/>
    <n v="306"/>
    <n v="-32.64"/>
  </r>
  <r>
    <x v="5"/>
    <x v="1"/>
    <x v="0"/>
    <s v="2311200"/>
    <n v="700032"/>
    <s v="Salaries-Other Pat Care Providers-Productive"/>
    <s v="St Joseph Med&amp;Spec-Fam Med"/>
    <x v="0"/>
    <m/>
    <n v="0"/>
    <n v="2106.5"/>
    <n v="-0.51"/>
    <n v="104.98"/>
    <n v="4673.5200000000004"/>
    <n v="4051.24"/>
    <n v="3967.48"/>
    <n v="3249.03"/>
    <n v="3770.76"/>
    <n v="6481.91"/>
    <n v="4237.78"/>
    <n v="5120.22"/>
    <n v="37762.909999999996"/>
    <n v="-882.44000000000051"/>
  </r>
  <r>
    <x v="5"/>
    <x v="1"/>
    <x v="0"/>
    <s v="2311200"/>
    <n v="700032"/>
    <s v="Salaries-Other Pat Care Providers-OT"/>
    <s v="St Joseph Med&amp;Spec-Fam Med"/>
    <x v="0"/>
    <n v="1000"/>
    <n v="0"/>
    <n v="129.37"/>
    <n v="-43.12"/>
    <n v="0"/>
    <n v="0"/>
    <n v="0"/>
    <n v="0"/>
    <n v="0"/>
    <n v="0"/>
    <n v="683.7"/>
    <n v="-144.69"/>
    <n v="118.44"/>
    <n v="743.7"/>
    <n v="-263.13"/>
  </r>
  <r>
    <x v="5"/>
    <x v="1"/>
    <x v="0"/>
    <s v="2311200"/>
    <n v="700032"/>
    <s v="Salaries-Other Pat Care Providers-Other"/>
    <s v="St Joseph Med&amp;Spec-Fam Med"/>
    <x v="0"/>
    <n v="2000"/>
    <n v="0"/>
    <n v="0"/>
    <n v="3.63"/>
    <n v="0"/>
    <n v="25.25"/>
    <n v="60.6"/>
    <n v="55.54"/>
    <n v="28.5"/>
    <n v="59.91"/>
    <n v="71.099999999999994"/>
    <n v="65.790000000000006"/>
    <n v="90.61"/>
    <n v="460.93"/>
    <n v="-24.819999999999993"/>
  </r>
  <r>
    <x v="5"/>
    <x v="1"/>
    <x v="0"/>
    <s v="2311200"/>
    <n v="700054"/>
    <s v="Salaries-Management-NonProd-Other"/>
    <s v="St Joseph Med&amp;Spec-Fam Med"/>
    <x v="0"/>
    <n v="2000"/>
    <n v="0"/>
    <n v="0"/>
    <n v="0"/>
    <n v="0"/>
    <n v="0"/>
    <n v="453.49"/>
    <n v="-453.49"/>
    <n v="0"/>
    <n v="0"/>
    <n v="0"/>
    <n v="0"/>
    <n v="0"/>
    <n v="0"/>
    <n v="0"/>
  </r>
  <r>
    <x v="5"/>
    <x v="1"/>
    <x v="0"/>
    <s v="2311200"/>
    <n v="700058"/>
    <s v="Salaries-Supervisory-Non-productive"/>
    <s v="St Joseph Med&amp;Spec-Fam Med"/>
    <x v="0"/>
    <m/>
    <n v="3305.04"/>
    <n v="1265.76"/>
    <n v="358.64"/>
    <n v="0"/>
    <n v="0"/>
    <n v="2640.38"/>
    <n v="293.92"/>
    <n v="1983.18"/>
    <n v="3525.69"/>
    <n v="-1174.51"/>
    <n v="-272.49"/>
    <n v="778.58"/>
    <n v="12704.19"/>
    <n v="-1051.0700000000002"/>
  </r>
  <r>
    <x v="5"/>
    <x v="1"/>
    <x v="0"/>
    <s v="2311200"/>
    <n v="700062"/>
    <s v="Salaries-Physician-Non-productive"/>
    <s v="St Joseph Med&amp;Spec-Fam Med"/>
    <x v="0"/>
    <m/>
    <n v="15877.02"/>
    <n v="24457.599999999999"/>
    <n v="12160.4"/>
    <n v="12767.29"/>
    <n v="1594.96"/>
    <n v="54095.29"/>
    <n v="16331.66"/>
    <n v="21014.52"/>
    <n v="11219.26"/>
    <n v="26285.16"/>
    <n v="18028.990000000002"/>
    <n v="30386.62"/>
    <n v="244218.77"/>
    <n v="-12357.629999999997"/>
  </r>
  <r>
    <x v="5"/>
    <x v="1"/>
    <x v="0"/>
    <s v="2311200"/>
    <n v="700062"/>
    <s v="Salaries-Physician-NonProd-Other"/>
    <s v="St Joseph Med&amp;Spec-Fam Med"/>
    <x v="0"/>
    <n v="2000"/>
    <n v="0"/>
    <n v="0"/>
    <n v="0"/>
    <n v="0"/>
    <n v="465.25"/>
    <n v="0"/>
    <n v="0"/>
    <n v="-465.25"/>
    <n v="0"/>
    <n v="0"/>
    <n v="0"/>
    <n v="0"/>
    <n v="0"/>
    <n v="0"/>
  </r>
  <r>
    <x v="5"/>
    <x v="1"/>
    <x v="0"/>
    <s v="2311200"/>
    <n v="700064"/>
    <s v="Salaries-Advanced Practice Clinician-Non-Productive"/>
    <s v="St Joseph Med&amp;Spec-Fam Med"/>
    <x v="0"/>
    <m/>
    <n v="0"/>
    <n v="527.61"/>
    <n v="556.71"/>
    <n v="556.04999999999995"/>
    <n v="551.78"/>
    <n v="550.95000000000005"/>
    <n v="548.41"/>
    <n v="541.41999999999996"/>
    <n v="543.30999999999995"/>
    <n v="539.45000000000005"/>
    <n v="538.21"/>
    <n v="534.52"/>
    <n v="5988.42"/>
    <n v="3.6900000000000546"/>
  </r>
  <r>
    <x v="5"/>
    <x v="1"/>
    <x v="0"/>
    <s v="2311200"/>
    <n v="700066"/>
    <s v="Salaries-RN-Non-productive"/>
    <s v="St Joseph Med&amp;Spec-Fam Med"/>
    <x v="0"/>
    <m/>
    <n v="0"/>
    <n v="1412.67"/>
    <n v="-470.89"/>
    <n v="0"/>
    <n v="0"/>
    <n v="1082.75"/>
    <n v="1078.31"/>
    <n v="93.95"/>
    <n v="77"/>
    <n v="0"/>
    <n v="0"/>
    <n v="138.62"/>
    <n v="3412.41"/>
    <n v="-138.62"/>
  </r>
  <r>
    <x v="5"/>
    <x v="1"/>
    <x v="0"/>
    <s v="2311200"/>
    <n v="700066"/>
    <s v="Salaries-RN-NonProd-Other"/>
    <s v="St Joseph Med&amp;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1200"/>
    <n v="700070"/>
    <s v="Salaries-LPN-Non-productive"/>
    <s v="St Joseph Med&amp;Spec-Fam Med"/>
    <x v="0"/>
    <m/>
    <n v="6166.2"/>
    <n v="5177.25"/>
    <n v="4542.41"/>
    <n v="811.4"/>
    <n v="4442.76"/>
    <n v="9293.3799999999992"/>
    <n v="5272.83"/>
    <n v="4596.8999999999996"/>
    <n v="1735.7"/>
    <n v="4552.7"/>
    <n v="5934.49"/>
    <n v="5444.99"/>
    <n v="57971.009999999995"/>
    <n v="489.5"/>
  </r>
  <r>
    <x v="5"/>
    <x v="1"/>
    <x v="0"/>
    <s v="2311200"/>
    <n v="700070"/>
    <s v="Salaries-LPN-NonProd-Other"/>
    <s v="St Joseph Med&amp;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1200"/>
    <n v="700072"/>
    <s v="Salaries-Other Pat Care Providers-NonProd-Other"/>
    <s v="St Joseph Med&amp;Spec-Fam Med"/>
    <x v="0"/>
    <n v="2000"/>
    <n v="0"/>
    <n v="0"/>
    <n v="0"/>
    <n v="0"/>
    <n v="0"/>
    <n v="0"/>
    <n v="0"/>
    <n v="0"/>
    <n v="0"/>
    <n v="0"/>
    <n v="0"/>
    <n v="9.92"/>
    <n v="9.92"/>
    <n v="-9.92"/>
  </r>
  <r>
    <x v="5"/>
    <x v="1"/>
    <x v="0"/>
    <s v="2311200"/>
    <n v="700084"/>
    <s v="Accrued PTO"/>
    <s v="St Joseph Med&amp;Spec-Fam Med"/>
    <x v="0"/>
    <m/>
    <n v="-1092.54"/>
    <n v="-2728.97"/>
    <n v="1930.14"/>
    <n v="5822.07"/>
    <n v="3702.63"/>
    <n v="-6757.84"/>
    <n v="-47.39"/>
    <n v="24.22"/>
    <n v="2930.67"/>
    <n v="1365.41"/>
    <n v="2117.1999999999998"/>
    <n v="1090.6199999999999"/>
    <n v="8356.2199999999993"/>
    <n v="1026.58"/>
  </r>
  <r>
    <x v="6"/>
    <x v="1"/>
    <x v="0"/>
    <s v="2311200"/>
    <n v="713010"/>
    <s v="Benefits-FICA/Medicare"/>
    <s v="St Joseph Med&amp;Spec-Fam Med"/>
    <x v="0"/>
    <m/>
    <n v="6648.98"/>
    <n v="10180.620000000001"/>
    <n v="8867.75"/>
    <n v="10026.379999999999"/>
    <n v="10550.15"/>
    <n v="14252.28"/>
    <n v="20274.02"/>
    <n v="17191.79"/>
    <n v="18153.310000000001"/>
    <n v="19267.22"/>
    <n v="19094.25"/>
    <n v="10867.73"/>
    <n v="165374.48000000001"/>
    <n v="8226.52"/>
  </r>
  <r>
    <x v="6"/>
    <x v="1"/>
    <x v="0"/>
    <s v="2311200"/>
    <n v="713090"/>
    <s v="Benefits-Allocated Amounts"/>
    <s v="St Joseph Med&amp;Spec-Fam Med"/>
    <x v="0"/>
    <m/>
    <n v="0"/>
    <n v="0"/>
    <n v="0"/>
    <n v="0"/>
    <n v="0"/>
    <n v="0"/>
    <n v="0"/>
    <n v="0"/>
    <n v="269650.3"/>
    <n v="31725.07"/>
    <n v="32857.72"/>
    <n v="30436.21"/>
    <n v="364669.3"/>
    <n v="2421.510000000002"/>
  </r>
  <r>
    <x v="6"/>
    <x v="1"/>
    <x v="0"/>
    <s v="2311200"/>
    <n v="713092"/>
    <s v="Allocated Benefits-Physician"/>
    <s v="St Joseph Med&amp;Spec-Fam Med"/>
    <x v="0"/>
    <m/>
    <n v="23035.53"/>
    <n v="24565.7"/>
    <n v="24008.639999999999"/>
    <n v="24723.439999999999"/>
    <n v="26246.74"/>
    <n v="26678.83"/>
    <n v="31905"/>
    <n v="28628.23"/>
    <n v="-209792.11"/>
    <n v="0"/>
    <n v="0"/>
    <n v="0"/>
    <n v="2.9103830456733704E-11"/>
    <n v="0"/>
  </r>
  <r>
    <x v="6"/>
    <x v="1"/>
    <x v="0"/>
    <s v="2311200"/>
    <n v="713093"/>
    <s v="Allocated Benefits-Advanced Practice Clinician"/>
    <s v="St Joseph Med&amp;Spec-Fam Med"/>
    <x v="0"/>
    <m/>
    <n v="3078.51"/>
    <n v="3283.01"/>
    <n v="3208.56"/>
    <n v="3304.09"/>
    <n v="3507.67"/>
    <n v="3565.41"/>
    <n v="4263.8500000000004"/>
    <n v="3825.93"/>
    <n v="-26457.82"/>
    <n v="185.79"/>
    <n v="192.44"/>
    <n v="178.25"/>
    <n v="2135.6899999999991"/>
    <n v="14.189999999999998"/>
  </r>
  <r>
    <x v="6"/>
    <x v="1"/>
    <x v="0"/>
    <s v="2311200"/>
    <n v="713096"/>
    <s v="Employee Recognition"/>
    <s v="St Joseph Med&amp;Spec-Fam Med"/>
    <x v="0"/>
    <n v="1017"/>
    <n v="0"/>
    <n v="0"/>
    <n v="0"/>
    <n v="0"/>
    <n v="0"/>
    <n v="0"/>
    <n v="50.46"/>
    <n v="0"/>
    <n v="0"/>
    <n v="83.53"/>
    <n v="106.71"/>
    <n v="0"/>
    <n v="240.7"/>
    <n v="106.71"/>
  </r>
  <r>
    <x v="7"/>
    <x v="1"/>
    <x v="0"/>
    <s v="2311200"/>
    <n v="718040"/>
    <s v="Contract Svcs-Laboratory"/>
    <s v="St Joseph Med&amp;Spec-Fam Med"/>
    <x v="0"/>
    <m/>
    <n v="141.19999999999999"/>
    <n v="0"/>
    <n v="0"/>
    <n v="0"/>
    <n v="0"/>
    <n v="0"/>
    <n v="0"/>
    <n v="0"/>
    <n v="0"/>
    <n v="0"/>
    <n v="0"/>
    <n v="0"/>
    <n v="141.19999999999999"/>
    <n v="0"/>
  </r>
  <r>
    <x v="7"/>
    <x v="1"/>
    <x v="0"/>
    <s v="2311200"/>
    <n v="718050"/>
    <s v="Contract Svcs-Other"/>
    <s v="St Joseph Med&amp;Spec-Fam Med"/>
    <x v="0"/>
    <m/>
    <n v="0"/>
    <n v="0"/>
    <n v="0"/>
    <n v="0"/>
    <n v="0"/>
    <n v="0"/>
    <n v="0"/>
    <n v="0"/>
    <n v="0"/>
    <n v="0"/>
    <n v="0"/>
    <n v="83.44"/>
    <n v="83.44"/>
    <n v="-83.44"/>
  </r>
  <r>
    <x v="11"/>
    <x v="1"/>
    <x v="0"/>
    <s v="2311200"/>
    <n v="721250"/>
    <s v="Supplies-Pharmacy Drugs - Billable"/>
    <s v="St Joseph Med&amp;Spec-Fam Med"/>
    <x v="0"/>
    <m/>
    <n v="0"/>
    <n v="0"/>
    <n v="0"/>
    <n v="0"/>
    <n v="0"/>
    <n v="0"/>
    <n v="0"/>
    <n v="0"/>
    <n v="0"/>
    <n v="0"/>
    <n v="4"/>
    <n v="0"/>
    <n v="4"/>
    <n v="4"/>
  </r>
  <r>
    <x v="11"/>
    <x v="1"/>
    <x v="0"/>
    <s v="2311200"/>
    <n v="721830"/>
    <s v="Supplies-Office"/>
    <s v="St Joseph Med&amp;Spec-Fam Med"/>
    <x v="0"/>
    <m/>
    <n v="76.25"/>
    <n v="0"/>
    <n v="0"/>
    <n v="274.02999999999997"/>
    <n v="-39.15"/>
    <n v="0"/>
    <n v="0"/>
    <n v="0"/>
    <n v="0"/>
    <n v="0"/>
    <n v="0"/>
    <n v="0"/>
    <n v="311.13"/>
    <n v="0"/>
  </r>
  <r>
    <x v="11"/>
    <x v="1"/>
    <x v="0"/>
    <s v="2311200"/>
    <n v="721870"/>
    <s v="Supplies-Environmental Services"/>
    <s v="St Joseph Med&amp;Spec-Fam Med"/>
    <x v="0"/>
    <m/>
    <n v="0"/>
    <n v="13.3"/>
    <n v="30.93"/>
    <n v="0"/>
    <n v="0"/>
    <n v="0"/>
    <n v="0"/>
    <n v="0"/>
    <n v="0"/>
    <n v="0"/>
    <n v="0"/>
    <n v="0"/>
    <n v="44.230000000000004"/>
    <n v="0"/>
  </r>
  <r>
    <x v="0"/>
    <x v="1"/>
    <x v="0"/>
    <s v="2311200"/>
    <n v="740022"/>
    <s v="Education-Physician"/>
    <s v="St Joseph Med&amp;Spec-Fam Med"/>
    <x v="0"/>
    <m/>
    <n v="837.72"/>
    <n v="0"/>
    <n v="175"/>
    <n v="0"/>
    <n v="795"/>
    <n v="750"/>
    <n v="400"/>
    <n v="0"/>
    <n v="1195"/>
    <n v="0"/>
    <n v="925"/>
    <n v="558.62"/>
    <n v="5636.34"/>
    <n v="366.38"/>
  </r>
  <r>
    <x v="0"/>
    <x v="1"/>
    <x v="0"/>
    <s v="2311200"/>
    <n v="740022"/>
    <s v="Books-Physician"/>
    <s v="St Joseph Med&amp;Spec-Fam Med"/>
    <x v="0"/>
    <n v="2000"/>
    <n v="0"/>
    <n v="0"/>
    <n v="0"/>
    <n v="0"/>
    <n v="0"/>
    <n v="0"/>
    <n v="984.5"/>
    <n v="0"/>
    <n v="0"/>
    <n v="2991.84"/>
    <n v="0"/>
    <n v="0"/>
    <n v="3976.34"/>
    <n v="0"/>
  </r>
  <r>
    <x v="0"/>
    <x v="1"/>
    <x v="0"/>
    <s v="2311200"/>
    <n v="740022"/>
    <s v="Education Travel-Physician"/>
    <s v="St Joseph Med&amp;Spec-Fam Med"/>
    <x v="0"/>
    <n v="2001"/>
    <n v="0"/>
    <n v="0"/>
    <n v="0"/>
    <n v="0"/>
    <n v="0"/>
    <n v="0"/>
    <n v="0"/>
    <n v="0"/>
    <n v="0"/>
    <n v="0"/>
    <n v="577.19000000000005"/>
    <n v="0"/>
    <n v="577.19000000000005"/>
    <n v="577.19000000000005"/>
  </r>
  <r>
    <x v="8"/>
    <x v="1"/>
    <x v="0"/>
    <s v="2311200"/>
    <n v="741012"/>
    <s v="Physician Liab Insurance-CHI Program"/>
    <s v="St Joseph Med&amp;Spec-Fam Med"/>
    <x v="0"/>
    <m/>
    <n v="3931.44"/>
    <n v="4882.78"/>
    <n v="5814.31"/>
    <n v="5814.3"/>
    <n v="5814.32"/>
    <n v="5814.28"/>
    <n v="5814.32"/>
    <n v="5814.28"/>
    <n v="5814.32"/>
    <n v="5814.28"/>
    <n v="5814.32"/>
    <n v="5814.28"/>
    <n v="66957.23"/>
    <n v="3.999999999996362E-2"/>
  </r>
  <r>
    <x v="0"/>
    <x v="1"/>
    <x v="0"/>
    <s v="2311200"/>
    <n v="743022"/>
    <s v="Dues-Physician"/>
    <s v="St Joseph Med&amp;Spec-Fam Med"/>
    <x v="0"/>
    <m/>
    <n v="0"/>
    <n v="0"/>
    <n v="0"/>
    <n v="0"/>
    <n v="1680"/>
    <n v="0"/>
    <n v="885"/>
    <n v="1712"/>
    <n v="0"/>
    <n v="0"/>
    <n v="840"/>
    <n v="0"/>
    <n v="5117"/>
    <n v="840"/>
  </r>
  <r>
    <x v="0"/>
    <x v="1"/>
    <x v="0"/>
    <s v="2311200"/>
    <n v="743030"/>
    <s v="Subscriptions--Institutional"/>
    <s v="St Joseph Med&amp;Spec-Fam Med"/>
    <x v="0"/>
    <m/>
    <n v="92.94"/>
    <n v="0"/>
    <n v="0"/>
    <n v="0"/>
    <n v="0"/>
    <n v="0"/>
    <n v="0"/>
    <n v="0"/>
    <n v="0"/>
    <n v="0"/>
    <n v="0"/>
    <n v="0"/>
    <n v="92.94"/>
    <n v="0"/>
  </r>
  <r>
    <x v="0"/>
    <x v="1"/>
    <x v="0"/>
    <s v="2311200"/>
    <n v="743042"/>
    <s v="Subscriptions-Physician"/>
    <s v="St Joseph Med&amp;Spec-Fam Med"/>
    <x v="0"/>
    <m/>
    <n v="0"/>
    <n v="0"/>
    <n v="0"/>
    <n v="0"/>
    <n v="0"/>
    <n v="0"/>
    <n v="0"/>
    <n v="0"/>
    <n v="0"/>
    <n v="0"/>
    <n v="4601.0200000000004"/>
    <n v="0"/>
    <n v="4601.0200000000004"/>
    <n v="4601.0200000000004"/>
  </r>
  <r>
    <x v="0"/>
    <x v="1"/>
    <x v="0"/>
    <s v="2311200"/>
    <n v="749510"/>
    <s v="Miscellaneous Expenses"/>
    <s v="St Joseph Med&amp;Spec-Fam Med"/>
    <x v="0"/>
    <m/>
    <n v="-767.94"/>
    <n v="659.5"/>
    <n v="-659.5"/>
    <n v="3580.59"/>
    <n v="-2830.59"/>
    <n v="185.46"/>
    <n v="-935.46"/>
    <n v="1237.6600000000001"/>
    <n v="-1237.6600000000001"/>
    <n v="0"/>
    <n v="511"/>
    <n v="146"/>
    <n v="-110.94000000000005"/>
    <n v="365"/>
  </r>
  <r>
    <x v="0"/>
    <x v="1"/>
    <x v="0"/>
    <s v="2311200"/>
    <n v="749512"/>
    <s v="Licenses-Physician"/>
    <s v="St Joseph Med&amp;Spec-Fam Med"/>
    <x v="0"/>
    <n v="2000"/>
    <n v="14.99"/>
    <n v="0"/>
    <n v="659.5"/>
    <n v="0"/>
    <n v="0"/>
    <n v="840"/>
    <n v="0"/>
    <n v="731"/>
    <n v="1234.5"/>
    <n v="0"/>
    <n v="0"/>
    <n v="0"/>
    <n v="3479.99"/>
    <n v="0"/>
  </r>
  <r>
    <x v="0"/>
    <x v="1"/>
    <x v="0"/>
    <s v="2311200"/>
    <n v="749532"/>
    <s v="Travel-Physician"/>
    <s v="St Joseph Med&amp;Spec-Fam Med"/>
    <x v="0"/>
    <m/>
    <n v="0"/>
    <n v="0"/>
    <n v="0"/>
    <n v="0"/>
    <n v="1945.59"/>
    <n v="0"/>
    <n v="0"/>
    <n v="453.72"/>
    <n v="1237.6600000000001"/>
    <n v="0"/>
    <n v="1576.99"/>
    <n v="511"/>
    <n v="5724.96"/>
    <n v="1065.99"/>
  </r>
  <r>
    <x v="0"/>
    <x v="1"/>
    <x v="0"/>
    <s v="2311200"/>
    <n v="749591"/>
    <s v="Other Expense-Intracompany Allocation"/>
    <s v="St Joseph Med&amp;Spec-Fam Med"/>
    <x v="0"/>
    <m/>
    <n v="108681.51"/>
    <n v="112556.09"/>
    <n v="-221237.6"/>
    <n v="483371.31"/>
    <n v="133602.98000000001"/>
    <n v="129163.13"/>
    <n v="131879.78"/>
    <n v="116879.08"/>
    <n v="120623.3"/>
    <n v="119920.19"/>
    <n v="118344.34"/>
    <n v="115419.16"/>
    <n v="1469203.2699999998"/>
    <n v="2925.179999999993"/>
  </r>
  <r>
    <x v="9"/>
    <x v="1"/>
    <x v="0"/>
    <s v="2311200"/>
    <n v="800015"/>
    <s v="Interest Income-Ext to CHI"/>
    <s v="St Joseph Med&amp;Spec-Fam Med"/>
    <x v="0"/>
    <m/>
    <n v="0"/>
    <n v="-27.61"/>
    <n v="-56.71"/>
    <n v="-56.05"/>
    <n v="-51.78"/>
    <n v="-50.95"/>
    <n v="-48.41"/>
    <n v="-41.42"/>
    <n v="-43.31"/>
    <n v="-39.450000000000003"/>
    <n v="-38.21"/>
    <n v="-34.520000000000003"/>
    <n v="-488.41999999999996"/>
    <n v="-3.6899999999999977"/>
  </r>
  <r>
    <x v="1"/>
    <x v="1"/>
    <x v="0"/>
    <s v="2312200"/>
    <n v="400029"/>
    <s v="MD Practice Other Rev--Medicare"/>
    <s v="St Joseph Med&amp;Spec-Int Med"/>
    <x v="0"/>
    <n v="1100"/>
    <n v="-376"/>
    <n v="-327"/>
    <n v="-446"/>
    <n v="-535"/>
    <n v="-263"/>
    <n v="-663"/>
    <n v="-1337"/>
    <n v="-1515"/>
    <n v="-2450"/>
    <n v="-2109"/>
    <n v="-2484"/>
    <n v="-1938"/>
    <n v="-14443"/>
    <n v="-546"/>
  </r>
  <r>
    <x v="1"/>
    <x v="1"/>
    <x v="0"/>
    <s v="2312200"/>
    <n v="400029"/>
    <s v="MD Practice Other Rev--Medicaid"/>
    <s v="St Joseph Med&amp;Spec-Int Med"/>
    <x v="0"/>
    <n v="1200"/>
    <n v="-323"/>
    <n v="-252"/>
    <n v="-153"/>
    <n v="-178"/>
    <n v="-144"/>
    <n v="-122"/>
    <n v="-252"/>
    <n v="-379"/>
    <n v="-636"/>
    <n v="-746"/>
    <n v="-866"/>
    <n v="-945"/>
    <n v="-4996"/>
    <n v="79"/>
  </r>
  <r>
    <x v="1"/>
    <x v="1"/>
    <x v="0"/>
    <s v="2312200"/>
    <n v="400029"/>
    <s v="MD Practice Other Rev--Comm Insurance"/>
    <s v="St Joseph Med&amp;Spec-Int Med"/>
    <x v="0"/>
    <n v="1300"/>
    <n v="-40"/>
    <n v="-45"/>
    <n v="-40"/>
    <n v="-44"/>
    <n v="0"/>
    <n v="-10"/>
    <n v="-10"/>
    <n v="-133"/>
    <n v="-156"/>
    <n v="-166"/>
    <n v="-218"/>
    <n v="-81"/>
    <n v="-943"/>
    <n v="-137"/>
  </r>
  <r>
    <x v="1"/>
    <x v="1"/>
    <x v="0"/>
    <s v="2312200"/>
    <n v="400029"/>
    <s v="MD Practice Other Rev--BCBS Comm"/>
    <s v="St Joseph Med&amp;Spec-Int Med"/>
    <x v="0"/>
    <n v="1301"/>
    <n v="0"/>
    <n v="-34"/>
    <n v="-34"/>
    <n v="-102"/>
    <n v="-20"/>
    <n v="-173"/>
    <n v="-30"/>
    <n v="-347"/>
    <n v="-208"/>
    <n v="-298"/>
    <n v="-203"/>
    <n v="-76"/>
    <n v="-1525"/>
    <n v="-127"/>
  </r>
  <r>
    <x v="1"/>
    <x v="1"/>
    <x v="0"/>
    <s v="2312200"/>
    <n v="400029"/>
    <s v="MD Practice Other Rev--Managed Care"/>
    <s v="St Joseph Med&amp;Spec-Int Med"/>
    <x v="0"/>
    <n v="1400"/>
    <n v="-135"/>
    <n v="-365"/>
    <n v="-187"/>
    <n v="-211"/>
    <n v="-202"/>
    <n v="-356"/>
    <n v="-770"/>
    <n v="-812"/>
    <n v="-1422"/>
    <n v="-1339"/>
    <n v="-1079"/>
    <n v="-896"/>
    <n v="-7774"/>
    <n v="-183"/>
  </r>
  <r>
    <x v="1"/>
    <x v="1"/>
    <x v="0"/>
    <s v="2312200"/>
    <n v="400029"/>
    <s v="MD Practice Other Rev--Self Pay"/>
    <s v="St Joseph Med&amp;Spec-Int Med"/>
    <x v="0"/>
    <n v="1500"/>
    <n v="20"/>
    <n v="-4"/>
    <n v="0"/>
    <n v="-38"/>
    <n v="0"/>
    <n v="0"/>
    <n v="-14"/>
    <n v="-54"/>
    <n v="-24"/>
    <n v="-30"/>
    <n v="-33"/>
    <n v="-33"/>
    <n v="-210"/>
    <n v="0"/>
  </r>
  <r>
    <x v="1"/>
    <x v="1"/>
    <x v="0"/>
    <s v="2312200"/>
    <n v="400029"/>
    <s v="MD Practice Other Rev--Other"/>
    <s v="St Joseph Med&amp;Spec-Int Med"/>
    <x v="0"/>
    <n v="1700"/>
    <n v="-48"/>
    <n v="4"/>
    <n v="-10"/>
    <n v="-10"/>
    <n v="-69"/>
    <n v="-10"/>
    <n v="-214"/>
    <n v="0"/>
    <n v="-133"/>
    <n v="-10"/>
    <n v="-226"/>
    <n v="-43"/>
    <n v="-769"/>
    <n v="-183"/>
  </r>
  <r>
    <x v="1"/>
    <x v="1"/>
    <x v="0"/>
    <s v="2312200"/>
    <n v="400040"/>
    <s v="Physician Svcs Rev--Medicare"/>
    <s v="St Joseph Med&amp;Spec-Int Med"/>
    <x v="0"/>
    <n v="1100"/>
    <n v="-413394"/>
    <n v="-450553"/>
    <n v="-406293"/>
    <n v="-454954"/>
    <n v="-366779"/>
    <n v="-410802"/>
    <n v="-400671"/>
    <n v="-350968"/>
    <n v="-408511"/>
    <n v="-419716"/>
    <n v="-456287.5"/>
    <n v="-442330"/>
    <n v="-4981258.5"/>
    <n v="-13957.5"/>
  </r>
  <r>
    <x v="1"/>
    <x v="1"/>
    <x v="0"/>
    <s v="2312200"/>
    <n v="400040"/>
    <s v="Physician Svcs Rev--Medicaid"/>
    <s v="St Joseph Med&amp;Spec-Int Med"/>
    <x v="0"/>
    <n v="1200"/>
    <n v="-69543"/>
    <n v="-89353"/>
    <n v="-82016.13"/>
    <n v="-83550"/>
    <n v="-71193.45"/>
    <n v="-60253.19"/>
    <n v="-63566.13"/>
    <n v="-62798"/>
    <n v="-86337.97"/>
    <n v="-76913.34"/>
    <n v="-105260.19"/>
    <n v="-84130.28"/>
    <n v="-934914.67999999993"/>
    <n v="-21129.910000000003"/>
  </r>
  <r>
    <x v="1"/>
    <x v="1"/>
    <x v="0"/>
    <s v="2312200"/>
    <n v="400040"/>
    <s v="Physician Svcs Rev--Comm Insurance"/>
    <s v="St Joseph Med&amp;Spec-Int Med"/>
    <x v="0"/>
    <n v="1300"/>
    <n v="-45527.01"/>
    <n v="-19298"/>
    <n v="-21525"/>
    <n v="-23513"/>
    <n v="-15541"/>
    <n v="-24539"/>
    <n v="-21346"/>
    <n v="-19130"/>
    <n v="-20630"/>
    <n v="-19894"/>
    <n v="-30620"/>
    <n v="-17081"/>
    <n v="-278644.01"/>
    <n v="-13539"/>
  </r>
  <r>
    <x v="1"/>
    <x v="1"/>
    <x v="0"/>
    <s v="2312200"/>
    <n v="400040"/>
    <s v="Physician Svcs Rev--BCBS Comm"/>
    <s v="St Joseph Med&amp;Spec-Int Med"/>
    <x v="0"/>
    <n v="1301"/>
    <n v="-38277"/>
    <n v="-36610"/>
    <n v="-51970"/>
    <n v="-25997"/>
    <n v="-39480"/>
    <n v="-33443"/>
    <n v="-28210"/>
    <n v="-30771"/>
    <n v="-33995"/>
    <n v="-42719"/>
    <n v="-45295"/>
    <n v="-30225.8"/>
    <n v="-436992.8"/>
    <n v="-15069.2"/>
  </r>
  <r>
    <x v="1"/>
    <x v="1"/>
    <x v="0"/>
    <s v="2312200"/>
    <n v="400040"/>
    <s v="Physician Svcs Rev--Managed Care"/>
    <s v="St Joseph Med&amp;Spec-Int Med"/>
    <x v="0"/>
    <n v="1400"/>
    <n v="-157675"/>
    <n v="-159392"/>
    <n v="-165963"/>
    <n v="-202927"/>
    <n v="-143352"/>
    <n v="-148614"/>
    <n v="-169583"/>
    <n v="-145538"/>
    <n v="-194992"/>
    <n v="-213649"/>
    <n v="-214246"/>
    <n v="-184388.28"/>
    <n v="-2100319.2799999998"/>
    <n v="-29857.72"/>
  </r>
  <r>
    <x v="1"/>
    <x v="1"/>
    <x v="0"/>
    <s v="2312200"/>
    <n v="400040"/>
    <s v="Physician Svcs Rev--Self Pay"/>
    <s v="St Joseph Med&amp;Spec-Int Med"/>
    <x v="0"/>
    <n v="1500"/>
    <n v="-4295"/>
    <n v="-6754"/>
    <n v="-3921"/>
    <n v="-6805"/>
    <n v="-3620"/>
    <n v="-4861"/>
    <n v="-4725"/>
    <n v="-5696"/>
    <n v="-2464"/>
    <n v="-10710"/>
    <n v="-6747"/>
    <n v="-3019"/>
    <n v="-63617"/>
    <n v="-3728"/>
  </r>
  <r>
    <x v="1"/>
    <x v="1"/>
    <x v="0"/>
    <s v="2312200"/>
    <n v="400040"/>
    <s v="Physician Svcs Rev--Other"/>
    <s v="St Joseph Med&amp;Spec-Int Med"/>
    <x v="0"/>
    <n v="1700"/>
    <n v="-17151"/>
    <n v="-15847"/>
    <n v="-20621"/>
    <n v="-18874"/>
    <n v="-10116"/>
    <n v="-11409"/>
    <n v="-16065"/>
    <n v="-14385"/>
    <n v="-14438"/>
    <n v="-17745"/>
    <n v="-17654"/>
    <n v="-16372"/>
    <n v="-190677"/>
    <n v="-1282"/>
  </r>
  <r>
    <x v="2"/>
    <x v="1"/>
    <x v="0"/>
    <s v="2312200"/>
    <n v="450029"/>
    <s v="Contr Allow--MD Other-Medicare"/>
    <s v="St Joseph Med&amp;Spec-Int Med"/>
    <x v="0"/>
    <n v="1100"/>
    <n v="287.8"/>
    <n v="321.38"/>
    <n v="208.88"/>
    <n v="380.05"/>
    <n v="243.3"/>
    <n v="479.26"/>
    <n v="513.22"/>
    <n v="915.51"/>
    <n v="981.33"/>
    <n v="2128.2199999999998"/>
    <n v="1490.69"/>
    <n v="1538.17"/>
    <n v="9487.8100000000013"/>
    <n v="-47.480000000000018"/>
  </r>
  <r>
    <x v="2"/>
    <x v="1"/>
    <x v="0"/>
    <s v="2312200"/>
    <n v="450029"/>
    <s v="Contr Allow--MD Other-Medicaid"/>
    <s v="St Joseph Med&amp;Spec-Int Med"/>
    <x v="0"/>
    <n v="1200"/>
    <n v="54.55"/>
    <n v="256.81"/>
    <n v="180.12"/>
    <n v="135.97999999999999"/>
    <n v="43.39"/>
    <n v="105.11"/>
    <n v="118.86"/>
    <n v="201.28"/>
    <n v="252.27"/>
    <n v="657.54"/>
    <n v="420.83"/>
    <n v="532.57000000000005"/>
    <n v="2959.3100000000004"/>
    <n v="-111.74000000000007"/>
  </r>
  <r>
    <x v="2"/>
    <x v="1"/>
    <x v="0"/>
    <s v="2312200"/>
    <n v="450029"/>
    <s v="Contr Allow--MD Other-Comm Insurance"/>
    <s v="St Joseph Med&amp;Spec-Int Med"/>
    <x v="0"/>
    <n v="1300"/>
    <n v="229.21"/>
    <n v="3.91"/>
    <n v="22.63"/>
    <n v="29.92"/>
    <n v="3.91"/>
    <n v="6.22"/>
    <n v="0"/>
    <n v="8.86"/>
    <n v="54.79"/>
    <n v="123.8"/>
    <n v="51.09"/>
    <n v="107.52"/>
    <n v="641.86000000000013"/>
    <n v="-56.429999999999993"/>
  </r>
  <r>
    <x v="2"/>
    <x v="1"/>
    <x v="0"/>
    <s v="2312200"/>
    <n v="450029"/>
    <s v="Contr Allow--MD Other BCBS Comm"/>
    <s v="St Joseph Med&amp;Spec-Int Med"/>
    <x v="0"/>
    <n v="1301"/>
    <n v="13"/>
    <n v="25.33"/>
    <n v="15.11"/>
    <n v="44.16"/>
    <n v="44.83"/>
    <n v="83.12"/>
    <n v="26.03"/>
    <n v="45.68"/>
    <n v="252.91"/>
    <n v="191.93"/>
    <n v="66.39"/>
    <n v="156.61000000000001"/>
    <n v="965.09999999999991"/>
    <n v="-90.220000000000013"/>
  </r>
  <r>
    <x v="2"/>
    <x v="1"/>
    <x v="0"/>
    <s v="2312200"/>
    <n v="450029"/>
    <s v="Contr Allow--MD Other-Managed Care"/>
    <s v="St Joseph Med&amp;Spec-Int Med"/>
    <x v="0"/>
    <n v="1400"/>
    <n v="44.06"/>
    <n v="225.6"/>
    <n v="171.47"/>
    <n v="53.56"/>
    <n v="156.27000000000001"/>
    <n v="147.66"/>
    <n v="371.84"/>
    <n v="406.1"/>
    <n v="790.01"/>
    <n v="857.41"/>
    <n v="828.61"/>
    <n v="610.75"/>
    <n v="4663.34"/>
    <n v="217.86"/>
  </r>
  <r>
    <x v="2"/>
    <x v="1"/>
    <x v="0"/>
    <s v="2312200"/>
    <n v="450029"/>
    <s v="Admin Adjust-MD Other-Self Pay"/>
    <s v="St Joseph Med&amp;Spec-Int Med"/>
    <x v="0"/>
    <n v="1600"/>
    <n v="8.32"/>
    <n v="20.329999999999998"/>
    <n v="10.46"/>
    <n v="25.99"/>
    <n v="3.5"/>
    <n v="21.33"/>
    <n v="11.36"/>
    <n v="33.92"/>
    <n v="20.64"/>
    <n v="-4.24"/>
    <n v="12.56"/>
    <n v="43.07"/>
    <n v="207.23999999999995"/>
    <n v="-30.509999999999998"/>
  </r>
  <r>
    <x v="2"/>
    <x v="1"/>
    <x v="0"/>
    <s v="2312200"/>
    <n v="450029"/>
    <s v="Contr Allow--MD Other-Other"/>
    <s v="St Joseph Med&amp;Spec-Int Med"/>
    <x v="0"/>
    <n v="1700"/>
    <n v="0"/>
    <n v="27"/>
    <n v="6.59"/>
    <n v="14.79"/>
    <n v="7.17"/>
    <n v="7.17"/>
    <n v="47.22"/>
    <n v="78.75"/>
    <n v="73.08"/>
    <n v="77.42"/>
    <n v="46.68"/>
    <n v="77.48"/>
    <n v="463.35"/>
    <n v="-30.800000000000004"/>
  </r>
  <r>
    <x v="2"/>
    <x v="1"/>
    <x v="0"/>
    <s v="2312200"/>
    <n v="450040"/>
    <s v="Contr Allow--Phys Svcs--Mcare"/>
    <s v="St Joseph Med&amp;Spec-Int Med"/>
    <x v="0"/>
    <n v="1100"/>
    <n v="242705.06"/>
    <n v="265411.57"/>
    <n v="253533.74"/>
    <n v="300882.58"/>
    <n v="292538.46000000002"/>
    <n v="235964.21"/>
    <n v="293055.59999999998"/>
    <n v="221253.21"/>
    <n v="245735.57"/>
    <n v="293746.2"/>
    <n v="265677.3"/>
    <n v="304157.90999999997"/>
    <n v="3214661.4099999997"/>
    <n v="-38480.609999999986"/>
  </r>
  <r>
    <x v="2"/>
    <x v="1"/>
    <x v="0"/>
    <s v="2312200"/>
    <n v="450040"/>
    <s v="Contr Allow--Phys Svcs--Mcaid"/>
    <s v="St Joseph Med&amp;Spec-Int Med"/>
    <x v="0"/>
    <n v="1200"/>
    <n v="48763.28"/>
    <n v="67217.570000000007"/>
    <n v="62727.89"/>
    <n v="69226.210000000006"/>
    <n v="51355.8"/>
    <n v="42358.34"/>
    <n v="49337.37"/>
    <n v="41022.199999999997"/>
    <n v="61599.89"/>
    <n v="71993.98"/>
    <n v="57533.51"/>
    <n v="70690.960000000006"/>
    <n v="693827"/>
    <n v="-13157.450000000004"/>
  </r>
  <r>
    <x v="2"/>
    <x v="1"/>
    <x v="0"/>
    <s v="2312200"/>
    <n v="450040"/>
    <s v="Contr Allow--Phys Svcs--Comm Insurance"/>
    <s v="St Joseph Med&amp;Spec-Int Med"/>
    <x v="0"/>
    <n v="1300"/>
    <n v="8879.99"/>
    <n v="8068.22"/>
    <n v="7189.05"/>
    <n v="7409.16"/>
    <n v="8472.18"/>
    <n v="4500.01"/>
    <n v="7606.13"/>
    <n v="6544.61"/>
    <n v="7971.24"/>
    <n v="5658.79"/>
    <n v="8173.61"/>
    <n v="8332.41"/>
    <n v="88805.4"/>
    <n v="-158.80000000000018"/>
  </r>
  <r>
    <x v="2"/>
    <x v="1"/>
    <x v="0"/>
    <s v="2312200"/>
    <n v="450040"/>
    <s v="Contr Allow--Phys Svcs--BCBS Comm Ins"/>
    <s v="St Joseph Med&amp;Spec-Int Med"/>
    <x v="0"/>
    <n v="1301"/>
    <n v="11053.08"/>
    <n v="17218.78"/>
    <n v="16804.97"/>
    <n v="4436.7700000000004"/>
    <n v="21670.19"/>
    <n v="5196.87"/>
    <n v="10461.57"/>
    <n v="7386.32"/>
    <n v="13315.88"/>
    <n v="11387.8"/>
    <n v="13848.44"/>
    <n v="13114.56"/>
    <n v="145895.23000000001"/>
    <n v="733.88000000000102"/>
  </r>
  <r>
    <x v="2"/>
    <x v="1"/>
    <x v="0"/>
    <s v="2312200"/>
    <n v="450040"/>
    <s v="Contr Allow--Phys Svcs--Managed Care"/>
    <s v="St Joseph Med&amp;Spec-Int Med"/>
    <x v="0"/>
    <n v="1400"/>
    <n v="65298.02"/>
    <n v="70145.48"/>
    <n v="64053.52"/>
    <n v="69573.41"/>
    <n v="73139.59"/>
    <n v="52938.19"/>
    <n v="55553.48"/>
    <n v="56092.47"/>
    <n v="68200.25"/>
    <n v="77829.990000000005"/>
    <n v="85988"/>
    <n v="72537.210000000006"/>
    <n v="811349.61"/>
    <n v="13450.789999999994"/>
  </r>
  <r>
    <x v="2"/>
    <x v="1"/>
    <x v="0"/>
    <s v="2312200"/>
    <n v="450040"/>
    <s v="Contr Allow--Phys Svcs--BCBS Mgnd Care"/>
    <s v="St Joseph Med&amp;Spec-Int Med"/>
    <x v="0"/>
    <n v="1401"/>
    <n v="20747.62"/>
    <n v="-3486.01"/>
    <n v="8032.91"/>
    <n v="-1571.95"/>
    <n v="-79581.8"/>
    <n v="44855.24"/>
    <n v="459.94"/>
    <n v="30676.82"/>
    <n v="23995.39"/>
    <n v="-19689.14"/>
    <n v="50849.17"/>
    <n v="-30278.959999999999"/>
    <n v="45009.23"/>
    <n v="81128.13"/>
  </r>
  <r>
    <x v="2"/>
    <x v="1"/>
    <x v="0"/>
    <s v="2312200"/>
    <n v="450040"/>
    <s v="Prompt Pay Disc-Phys Svcs-Self Pay"/>
    <s v="St Joseph Med&amp;Spec-Int Med"/>
    <x v="0"/>
    <n v="1500"/>
    <n v="0"/>
    <n v="0"/>
    <n v="147.44999999999999"/>
    <n v="0"/>
    <n v="187.09"/>
    <n v="0"/>
    <n v="0"/>
    <n v="0"/>
    <n v="0"/>
    <n v="0"/>
    <n v="0"/>
    <n v="0"/>
    <n v="334.53999999999996"/>
    <n v="0"/>
  </r>
  <r>
    <x v="2"/>
    <x v="1"/>
    <x v="0"/>
    <s v="2312200"/>
    <n v="450040"/>
    <s v="Admin Adjust-Phys Svcs-Self Pay"/>
    <s v="St Joseph Med&amp;Spec-Int Med"/>
    <x v="0"/>
    <n v="1600"/>
    <n v="2149.2800000000002"/>
    <n v="2685.79"/>
    <n v="2462.79"/>
    <n v="3418.37"/>
    <n v="1885.73"/>
    <n v="2905.97"/>
    <n v="2792.33"/>
    <n v="3313.75"/>
    <n v="2492.08"/>
    <n v="4998.29"/>
    <n v="3403.17"/>
    <n v="1455.16"/>
    <n v="33962.71"/>
    <n v="1948.01"/>
  </r>
  <r>
    <x v="2"/>
    <x v="1"/>
    <x v="0"/>
    <s v="2312200"/>
    <n v="450040"/>
    <s v="Contr Allow--Phys Svcs--Other"/>
    <s v="St Joseph Med&amp;Spec-Int Med"/>
    <x v="0"/>
    <n v="1700"/>
    <n v="8509.86"/>
    <n v="10696.54"/>
    <n v="9278.7900000000009"/>
    <n v="9614.91"/>
    <n v="8735.09"/>
    <n v="8253.7999999999993"/>
    <n v="6683.2"/>
    <n v="5843.33"/>
    <n v="9245.3700000000008"/>
    <n v="11923"/>
    <n v="7960.14"/>
    <n v="8327.92"/>
    <n v="105071.95"/>
    <n v="-367.77999999999975"/>
  </r>
  <r>
    <x v="3"/>
    <x v="1"/>
    <x v="0"/>
    <s v="2312200"/>
    <n v="470040"/>
    <s v="Charity Care-Physician Svcs"/>
    <s v="St Joseph Med&amp;Spec-Int Med"/>
    <x v="0"/>
    <m/>
    <n v="1163.3699999999999"/>
    <n v="7031.27"/>
    <n v="2618.12"/>
    <n v="5125.9399999999996"/>
    <n v="204.22"/>
    <n v="1846.98"/>
    <n v="2143.39"/>
    <n v="2629.39"/>
    <n v="7179.44"/>
    <n v="2525.7199999999998"/>
    <n v="2474.44"/>
    <n v="7281.1"/>
    <n v="42223.38"/>
    <n v="-4806.66"/>
  </r>
  <r>
    <x v="4"/>
    <x v="1"/>
    <x v="0"/>
    <s v="2312200"/>
    <n v="490010"/>
    <s v="Provision for Bad Debts"/>
    <s v="St Joseph Med&amp;Spec-Int Med"/>
    <x v="0"/>
    <m/>
    <n v="10928.11"/>
    <n v="3465.2"/>
    <n v="7343.79"/>
    <n v="2579.73"/>
    <n v="-2415.35"/>
    <n v="6963.81"/>
    <n v="2796.45"/>
    <n v="6226.91"/>
    <n v="8369.6200000000008"/>
    <n v="4712.3100000000004"/>
    <n v="9303.98"/>
    <n v="21.81"/>
    <n v="60296.37000000001"/>
    <n v="9282.17"/>
  </r>
  <r>
    <x v="5"/>
    <x v="1"/>
    <x v="0"/>
    <s v="2312200"/>
    <n v="700022"/>
    <s v="Salaries-Physician-Productive"/>
    <s v="St Joseph Med&amp;Spec-Int Med"/>
    <x v="0"/>
    <m/>
    <n v="122686.69"/>
    <n v="174760.5"/>
    <n v="99962.1"/>
    <n v="136019.48000000001"/>
    <n v="103122.03"/>
    <n v="77444.679999999993"/>
    <n v="78013.279999999999"/>
    <n v="79464.5"/>
    <n v="106700.94"/>
    <n v="102782.49"/>
    <n v="124887.75"/>
    <n v="77461.25"/>
    <n v="1283305.69"/>
    <n v="47426.5"/>
  </r>
  <r>
    <x v="5"/>
    <x v="1"/>
    <x v="0"/>
    <s v="2312200"/>
    <n v="700022"/>
    <s v="Salaries-Physician-Other"/>
    <s v="St Joseph Med&amp;Spec-Int Med"/>
    <x v="0"/>
    <n v="2000"/>
    <n v="0"/>
    <n v="66.290000000000006"/>
    <n v="0"/>
    <n v="0"/>
    <n v="1115.3900000000001"/>
    <n v="3346.17"/>
    <n v="2234.71"/>
    <n v="2245.37"/>
    <n v="2231.86"/>
    <n v="2230.75"/>
    <n v="2230.7800000000002"/>
    <n v="3346.17"/>
    <n v="19047.490000000002"/>
    <n v="-1115.3899999999999"/>
  </r>
  <r>
    <x v="5"/>
    <x v="1"/>
    <x v="0"/>
    <s v="2312200"/>
    <n v="700024"/>
    <s v="Salaries-Advanced Practice Clinician-Productive"/>
    <s v="St Joseph Med&amp;Spec-Int Med"/>
    <x v="0"/>
    <m/>
    <n v="35867.1"/>
    <n v="30575.22"/>
    <n v="33095.15"/>
    <n v="33962.519999999997"/>
    <n v="52576.04"/>
    <n v="43053.05"/>
    <n v="54812.33"/>
    <n v="47993.87"/>
    <n v="53039.64"/>
    <n v="63005.32"/>
    <n v="67205.03"/>
    <n v="51314.28"/>
    <n v="566499.55000000005"/>
    <n v="15890.75"/>
  </r>
  <r>
    <x v="5"/>
    <x v="1"/>
    <x v="0"/>
    <s v="2312200"/>
    <n v="700024"/>
    <s v="Salaries-Advanced Practice Clinician-Other"/>
    <s v="St Joseph Med&amp;Spec-Int Med"/>
    <x v="0"/>
    <n v="2000"/>
    <n v="0"/>
    <n v="0"/>
    <n v="0"/>
    <n v="0"/>
    <n v="0"/>
    <n v="0"/>
    <n v="0"/>
    <n v="0"/>
    <n v="0"/>
    <n v="0"/>
    <n v="361.18"/>
    <n v="0"/>
    <n v="361.18"/>
    <n v="361.18"/>
  </r>
  <r>
    <x v="5"/>
    <x v="1"/>
    <x v="0"/>
    <s v="2312200"/>
    <n v="700024"/>
    <s v="Salaries-Advanced Practice Clinician-Provider Incentive"/>
    <s v="St Joseph Med&amp;Spec-Int Med"/>
    <x v="0"/>
    <n v="4003"/>
    <n v="0"/>
    <n v="0"/>
    <n v="0"/>
    <n v="0"/>
    <n v="0"/>
    <n v="0"/>
    <n v="0"/>
    <n v="0"/>
    <n v="0"/>
    <n v="0"/>
    <n v="2080.88"/>
    <n v="-3.04"/>
    <n v="2077.84"/>
    <n v="2083.92"/>
  </r>
  <r>
    <x v="5"/>
    <x v="1"/>
    <x v="0"/>
    <s v="2312200"/>
    <n v="700026"/>
    <s v="Salaries-RN-Productive"/>
    <s v="St Joseph Med&amp;Spec-Int Med"/>
    <x v="0"/>
    <m/>
    <n v="2029.63"/>
    <n v="738.05"/>
    <n v="2752.48"/>
    <n v="5588.48"/>
    <n v="8195.2000000000007"/>
    <n v="5295.36"/>
    <n v="7008.06"/>
    <n v="9231.9"/>
    <n v="11248.96"/>
    <n v="9561.48"/>
    <n v="17884.990000000002"/>
    <n v="12227.09"/>
    <n v="91761.680000000008"/>
    <n v="5657.9000000000015"/>
  </r>
  <r>
    <x v="5"/>
    <x v="1"/>
    <x v="0"/>
    <s v="2312200"/>
    <n v="700026"/>
    <s v="Salaries-RN-OT"/>
    <s v="St Joseph Med&amp;Spec-Int Med"/>
    <x v="0"/>
    <n v="1000"/>
    <n v="0"/>
    <n v="0"/>
    <n v="43.24"/>
    <n v="61.79"/>
    <n v="65.02"/>
    <n v="-14.78"/>
    <n v="71.03"/>
    <n v="34.6"/>
    <n v="75.680000000000007"/>
    <n v="321.87"/>
    <n v="1356.45"/>
    <n v="808.11"/>
    <n v="2823.01"/>
    <n v="548.34"/>
  </r>
  <r>
    <x v="5"/>
    <x v="1"/>
    <x v="0"/>
    <s v="2312200"/>
    <n v="700026"/>
    <s v="Salaries-RN-Other"/>
    <s v="St Joseph Med&amp;Spec-Int Med"/>
    <x v="0"/>
    <n v="2000"/>
    <n v="0"/>
    <n v="0"/>
    <n v="0"/>
    <n v="0"/>
    <n v="0"/>
    <n v="0"/>
    <n v="0"/>
    <n v="30.04"/>
    <n v="0"/>
    <n v="0"/>
    <n v="0"/>
    <n v="0"/>
    <n v="30.04"/>
    <n v="0"/>
  </r>
  <r>
    <x v="5"/>
    <x v="1"/>
    <x v="0"/>
    <s v="2312200"/>
    <n v="700030"/>
    <s v="Salaries-LPN-Productive"/>
    <s v="St Joseph Med&amp;Spec-Int Med"/>
    <x v="0"/>
    <m/>
    <n v="30534.63"/>
    <n v="35099.040000000001"/>
    <n v="28387.68"/>
    <n v="36749.5"/>
    <n v="40702.239999999998"/>
    <n v="27585.41"/>
    <n v="35444.69"/>
    <n v="32523.78"/>
    <n v="36449.97"/>
    <n v="29108.44"/>
    <n v="34175.800000000003"/>
    <n v="34736.080000000002"/>
    <n v="401497.25999999995"/>
    <n v="-560.27999999999884"/>
  </r>
  <r>
    <x v="5"/>
    <x v="1"/>
    <x v="0"/>
    <s v="2312200"/>
    <n v="700030"/>
    <s v="Salaries-LPN-OT"/>
    <s v="St Joseph Med&amp;Spec-Int Med"/>
    <x v="0"/>
    <n v="1000"/>
    <n v="2165.5100000000002"/>
    <n v="2581.84"/>
    <n v="2595.9"/>
    <n v="1270.76"/>
    <n v="2103.02"/>
    <n v="367.02"/>
    <n v="1771.32"/>
    <n v="618.58000000000004"/>
    <n v="2008.37"/>
    <n v="4500.71"/>
    <n v="2500.61"/>
    <n v="2818.37"/>
    <n v="25302.01"/>
    <n v="-317.75999999999976"/>
  </r>
  <r>
    <x v="5"/>
    <x v="1"/>
    <x v="0"/>
    <s v="2312200"/>
    <n v="700030"/>
    <s v="Salaries-LPN-Other"/>
    <s v="St Joseph Med&amp;Spec-Int Med"/>
    <x v="0"/>
    <n v="2000"/>
    <n v="0"/>
    <n v="0"/>
    <n v="0"/>
    <n v="30"/>
    <n v="60"/>
    <n v="259.79000000000002"/>
    <n v="3.25"/>
    <n v="0"/>
    <n v="0"/>
    <n v="41.52"/>
    <n v="27.61"/>
    <n v="50.28"/>
    <n v="472.45000000000005"/>
    <n v="-22.67"/>
  </r>
  <r>
    <x v="5"/>
    <x v="1"/>
    <x v="0"/>
    <s v="2312200"/>
    <n v="700032"/>
    <s v="Salaries-Other Pat Care Providers-Productive"/>
    <s v="St Joseph Med&amp;Spec-Int Med"/>
    <x v="0"/>
    <m/>
    <n v="12242.4"/>
    <n v="17141.900000000001"/>
    <n v="12536.21"/>
    <n v="18614.68"/>
    <n v="13302.09"/>
    <n v="8911.91"/>
    <n v="11175.65"/>
    <n v="10350.16"/>
    <n v="11523.27"/>
    <n v="13118.95"/>
    <n v="19115.14"/>
    <n v="12843.93"/>
    <n v="160876.28999999998"/>
    <n v="6271.2099999999991"/>
  </r>
  <r>
    <x v="5"/>
    <x v="1"/>
    <x v="0"/>
    <s v="2312200"/>
    <n v="700032"/>
    <s v="Salaries-Other Pat Care Providers-OT"/>
    <s v="St Joseph Med&amp;Spec-Int Med"/>
    <x v="0"/>
    <n v="1000"/>
    <n v="144.65"/>
    <n v="342.1"/>
    <n v="109.47"/>
    <n v="178.46"/>
    <n v="301.88"/>
    <n v="14.52"/>
    <n v="-1.85"/>
    <n v="36.950000000000003"/>
    <n v="1024.75"/>
    <n v="324.14999999999998"/>
    <n v="1323.85"/>
    <n v="209.9"/>
    <n v="4008.8300000000004"/>
    <n v="1113.9499999999998"/>
  </r>
  <r>
    <x v="5"/>
    <x v="1"/>
    <x v="0"/>
    <s v="2312200"/>
    <n v="700032"/>
    <s v="Salaries-Other Pat Care Providers-Other"/>
    <s v="St Joseph Med&amp;Spec-Int Med"/>
    <x v="0"/>
    <n v="2000"/>
    <n v="0"/>
    <n v="0"/>
    <n v="0"/>
    <n v="0"/>
    <n v="0"/>
    <n v="0"/>
    <n v="0"/>
    <n v="0"/>
    <n v="0"/>
    <n v="0"/>
    <n v="20.02"/>
    <n v="25.79"/>
    <n v="45.81"/>
    <n v="-5.77"/>
  </r>
  <r>
    <x v="5"/>
    <x v="1"/>
    <x v="0"/>
    <s v="2312200"/>
    <n v="700038"/>
    <s v="Salaries-Service/Support-Productive"/>
    <s v="St Joseph Med&amp;Spec-Int Med"/>
    <x v="0"/>
    <m/>
    <n v="221.85"/>
    <n v="-36.97"/>
    <n v="0"/>
    <n v="0"/>
    <n v="0"/>
    <n v="0"/>
    <n v="0"/>
    <n v="0"/>
    <n v="0"/>
    <n v="0"/>
    <n v="0"/>
    <n v="0"/>
    <n v="184.88"/>
    <n v="0"/>
  </r>
  <r>
    <x v="5"/>
    <x v="1"/>
    <x v="0"/>
    <s v="2312200"/>
    <n v="700038"/>
    <s v="Salaries-Service/Support-Other"/>
    <s v="St Joseph Med&amp;Spec-Int Med"/>
    <x v="0"/>
    <n v="2000"/>
    <n v="9.9"/>
    <n v="-1.65"/>
    <n v="0"/>
    <n v="0"/>
    <n v="0"/>
    <n v="0"/>
    <n v="0"/>
    <n v="0"/>
    <n v="0"/>
    <n v="0"/>
    <n v="0"/>
    <n v="0"/>
    <n v="8.25"/>
    <n v="0"/>
  </r>
  <r>
    <x v="5"/>
    <x v="1"/>
    <x v="0"/>
    <s v="2312200"/>
    <n v="700054"/>
    <s v="Salaries-Management-NonProd-Other"/>
    <s v="St Joseph Med&amp;Spec-Int Med"/>
    <x v="0"/>
    <n v="2000"/>
    <n v="0"/>
    <n v="0"/>
    <n v="0"/>
    <n v="0"/>
    <n v="0"/>
    <n v="763.77"/>
    <n v="-763.77"/>
    <n v="0"/>
    <n v="0"/>
    <n v="0"/>
    <n v="0"/>
    <n v="0"/>
    <n v="0"/>
    <n v="0"/>
  </r>
  <r>
    <x v="5"/>
    <x v="1"/>
    <x v="0"/>
    <s v="2312200"/>
    <n v="700062"/>
    <s v="Salaries-Physician-Non-productive"/>
    <s v="St Joseph Med&amp;Spec-Int Med"/>
    <x v="0"/>
    <m/>
    <n v="20751.12"/>
    <n v="3318.22"/>
    <n v="42614.54"/>
    <n v="-4777.53"/>
    <n v="27342.19"/>
    <n v="47019.48"/>
    <n v="58513.25"/>
    <n v="11063.86"/>
    <n v="2681.73"/>
    <n v="21269.25"/>
    <n v="5995.86"/>
    <n v="36384.370000000003"/>
    <n v="272176.34000000003"/>
    <n v="-30388.510000000002"/>
  </r>
  <r>
    <x v="5"/>
    <x v="1"/>
    <x v="0"/>
    <s v="2312200"/>
    <n v="700062"/>
    <s v="Salaries-Physician-NonProd-Other"/>
    <s v="St Joseph Med&amp;Spec-Int Med"/>
    <x v="0"/>
    <n v="2000"/>
    <n v="0"/>
    <n v="0"/>
    <n v="0"/>
    <n v="0"/>
    <n v="0"/>
    <n v="0"/>
    <n v="-3871.03"/>
    <n v="790"/>
    <n v="0"/>
    <n v="0"/>
    <n v="0"/>
    <n v="0"/>
    <n v="-3081.03"/>
    <n v="0"/>
  </r>
  <r>
    <x v="5"/>
    <x v="1"/>
    <x v="0"/>
    <s v="2312200"/>
    <n v="700064"/>
    <s v="Salaries-Advanced Practice Clinician-Non-Productive"/>
    <s v="St Joseph Med&amp;Spec-Int Med"/>
    <x v="0"/>
    <m/>
    <n v="3782.17"/>
    <n v="8682.2900000000009"/>
    <n v="1110.1500000000001"/>
    <n v="13349.66"/>
    <n v="2189.9899999999998"/>
    <n v="10811.78"/>
    <n v="5181.01"/>
    <n v="4917.12"/>
    <n v="77.209999999999994"/>
    <n v="5130.8"/>
    <n v="4466.5200000000004"/>
    <n v="11910.59"/>
    <n v="71609.290000000008"/>
    <n v="-7444.07"/>
  </r>
  <r>
    <x v="5"/>
    <x v="1"/>
    <x v="0"/>
    <s v="2312200"/>
    <n v="700064"/>
    <s v="Salaries-Advanced Practice Clinician-Non-Prod-Other"/>
    <s v="St Joseph Med&amp;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2200"/>
    <n v="700066"/>
    <s v="Salaries-RN-Non-productive"/>
    <s v="St Joseph Med&amp;Spec-Int Med"/>
    <x v="0"/>
    <m/>
    <n v="0"/>
    <n v="1383.84"/>
    <n v="-461.28"/>
    <n v="0"/>
    <n v="0"/>
    <n v="1008.64"/>
    <n v="252.63"/>
    <n v="0"/>
    <n v="631.32000000000005"/>
    <n v="2683.12"/>
    <n v="-425.87"/>
    <n v="1102.18"/>
    <n v="6174.5800000000008"/>
    <n v="-1528.0500000000002"/>
  </r>
  <r>
    <x v="5"/>
    <x v="1"/>
    <x v="0"/>
    <s v="2312200"/>
    <n v="700066"/>
    <s v="Salaries-RN-NonProd-Other"/>
    <s v="St Joseph Med&amp;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2200"/>
    <n v="700070"/>
    <s v="Salaries-LPN-Non-productive"/>
    <s v="St Joseph Med&amp;Spec-Int Med"/>
    <x v="0"/>
    <m/>
    <n v="4104.6000000000004"/>
    <n v="4399.3900000000003"/>
    <n v="4618.57"/>
    <n v="5130.24"/>
    <n v="1903.44"/>
    <n v="11534.94"/>
    <n v="5505.3"/>
    <n v="6426.28"/>
    <n v="4046.13"/>
    <n v="1635.5"/>
    <n v="657.09"/>
    <n v="1151.1199999999999"/>
    <n v="51112.6"/>
    <n v="-494.02999999999986"/>
  </r>
  <r>
    <x v="5"/>
    <x v="1"/>
    <x v="0"/>
    <s v="2312200"/>
    <n v="700070"/>
    <s v="Salaries-LPN-NonProd-Other"/>
    <s v="St Joseph Med&amp;Spec-Int Med"/>
    <x v="0"/>
    <n v="2000"/>
    <n v="0"/>
    <n v="0"/>
    <n v="0"/>
    <n v="0"/>
    <n v="806.85"/>
    <n v="368.53"/>
    <n v="0"/>
    <n v="-1175.3800000000001"/>
    <n v="0"/>
    <n v="0"/>
    <n v="0"/>
    <n v="10.9"/>
    <n v="10.9"/>
    <n v="-10.9"/>
  </r>
  <r>
    <x v="5"/>
    <x v="1"/>
    <x v="0"/>
    <s v="2312200"/>
    <n v="700072"/>
    <s v="Salaries-Other Pat Care Providers-Non-productive"/>
    <s v="St Joseph Med&amp;Spec-Int Med"/>
    <x v="0"/>
    <m/>
    <n v="2356.13"/>
    <n v="375.97"/>
    <n v="1685.11"/>
    <n v="927.94"/>
    <n v="1469.85"/>
    <n v="1935.52"/>
    <n v="2979.17"/>
    <n v="8.99"/>
    <n v="1689.66"/>
    <n v="1825.34"/>
    <n v="92.29"/>
    <n v="2883.83"/>
    <n v="18229.800000000003"/>
    <n v="-2791.54"/>
  </r>
  <r>
    <x v="5"/>
    <x v="1"/>
    <x v="0"/>
    <s v="2312200"/>
    <n v="700072"/>
    <s v="Salaries-Other Pat Care Providers-NonProd-Other"/>
    <s v="St Joseph Med&amp;Spec-Int Med"/>
    <x v="0"/>
    <n v="2000"/>
    <n v="0"/>
    <n v="0"/>
    <n v="0"/>
    <n v="0"/>
    <n v="500"/>
    <n v="0"/>
    <n v="0"/>
    <n v="-500"/>
    <n v="28.79"/>
    <n v="-9.59"/>
    <n v="0"/>
    <n v="9.92"/>
    <n v="29.119999999999997"/>
    <n v="-9.92"/>
  </r>
  <r>
    <x v="5"/>
    <x v="1"/>
    <x v="0"/>
    <s v="2312200"/>
    <n v="700084"/>
    <s v="Accrued PTO"/>
    <s v="St Joseph Med&amp;Spec-Int Med"/>
    <x v="0"/>
    <m/>
    <n v="-1863.74"/>
    <n v="328.82"/>
    <n v="145.88999999999999"/>
    <n v="-252.57"/>
    <n v="1630.95"/>
    <n v="-2867.51"/>
    <n v="503.04"/>
    <n v="1084.68"/>
    <n v="762.04"/>
    <n v="3025.02"/>
    <n v="3293.46"/>
    <n v="3031.24"/>
    <n v="8821.32"/>
    <n v="262.22000000000025"/>
  </r>
  <r>
    <x v="6"/>
    <x v="1"/>
    <x v="0"/>
    <s v="2312200"/>
    <n v="713010"/>
    <s v="Benefits-FICA/Medicare"/>
    <s v="St Joseph Med&amp;Spec-Int Med"/>
    <x v="0"/>
    <m/>
    <n v="9736.23"/>
    <n v="11963.25"/>
    <n v="9558.48"/>
    <n v="10835.15"/>
    <n v="11537.92"/>
    <n v="14017.39"/>
    <n v="19516.400000000001"/>
    <n v="15419.38"/>
    <n v="16007.52"/>
    <n v="16477.849999999999"/>
    <n v="18993.5"/>
    <n v="10757.44"/>
    <n v="164820.51"/>
    <n v="8236.06"/>
  </r>
  <r>
    <x v="6"/>
    <x v="1"/>
    <x v="0"/>
    <s v="2312200"/>
    <n v="713090"/>
    <s v="Benefits-Allocated Amounts"/>
    <s v="St Joseph Med&amp;Spec-Int Med"/>
    <x v="0"/>
    <m/>
    <n v="0"/>
    <n v="0"/>
    <n v="0"/>
    <n v="0"/>
    <n v="0"/>
    <n v="0"/>
    <n v="0"/>
    <n v="0"/>
    <n v="164264.01999999999"/>
    <n v="20056.46"/>
    <n v="21238.57"/>
    <n v="22629.119999999999"/>
    <n v="228188.16999999998"/>
    <n v="-1390.5499999999993"/>
  </r>
  <r>
    <x v="6"/>
    <x v="1"/>
    <x v="0"/>
    <s v="2312200"/>
    <n v="713092"/>
    <s v="Allocated Benefits-Physician"/>
    <s v="St Joseph Med&amp;Spec-Int Med"/>
    <x v="0"/>
    <m/>
    <n v="14584.22"/>
    <n v="14981.75"/>
    <n v="14559.46"/>
    <n v="14934.14"/>
    <n v="15550.09"/>
    <n v="15712.49"/>
    <n v="18285.689999999999"/>
    <n v="16876.61"/>
    <n v="-68564.91"/>
    <n v="6949.81"/>
    <n v="7359.43"/>
    <n v="7841.28"/>
    <n v="79070.06"/>
    <n v="-481.84999999999945"/>
  </r>
  <r>
    <x v="6"/>
    <x v="1"/>
    <x v="0"/>
    <s v="2312200"/>
    <n v="713093"/>
    <s v="Allocated Benefits-Advanced Practice Clinician"/>
    <s v="St Joseph Med&amp;Spec-Int Med"/>
    <x v="0"/>
    <m/>
    <n v="12062.11"/>
    <n v="12390.89"/>
    <n v="12041.64"/>
    <n v="12351.51"/>
    <n v="12860.96"/>
    <n v="12995.26"/>
    <n v="15123.47"/>
    <n v="13958.07"/>
    <n v="-62154.53"/>
    <n v="5082.8999999999996"/>
    <n v="5382.48"/>
    <n v="5734.89"/>
    <n v="57829.650000000009"/>
    <n v="-352.41000000000076"/>
  </r>
  <r>
    <x v="7"/>
    <x v="1"/>
    <x v="0"/>
    <s v="2312200"/>
    <n v="718040"/>
    <s v="Contract Svcs-Laboratory"/>
    <s v="St Joseph Med&amp;Spec-Int Med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2312200"/>
    <n v="718050"/>
    <s v="Translation Services"/>
    <s v="St Joseph Med&amp;Spec-Int Med"/>
    <x v="0"/>
    <n v="1025"/>
    <n v="0"/>
    <n v="0"/>
    <n v="0"/>
    <n v="0"/>
    <n v="0"/>
    <n v="0"/>
    <n v="0"/>
    <n v="0"/>
    <n v="0"/>
    <n v="0"/>
    <n v="0"/>
    <n v="26.86"/>
    <n v="26.86"/>
    <n v="-26.86"/>
  </r>
  <r>
    <x v="11"/>
    <x v="1"/>
    <x v="0"/>
    <s v="2312200"/>
    <n v="721830"/>
    <s v="Supplies-Office"/>
    <s v="St Joseph Med&amp;Spec-Int Med"/>
    <x v="0"/>
    <m/>
    <n v="0"/>
    <n v="0"/>
    <n v="0"/>
    <n v="0"/>
    <n v="0"/>
    <n v="0"/>
    <n v="0"/>
    <n v="0"/>
    <n v="0"/>
    <n v="0"/>
    <n v="0"/>
    <n v="271.06"/>
    <n v="271.06"/>
    <n v="-271.06"/>
  </r>
  <r>
    <x v="11"/>
    <x v="1"/>
    <x v="0"/>
    <s v="2312200"/>
    <n v="721910"/>
    <s v="Supplies-Small Equipment"/>
    <s v="St Joseph Med&amp;Spec-Int Med"/>
    <x v="0"/>
    <m/>
    <n v="1441.16"/>
    <n v="0"/>
    <n v="500.27"/>
    <n v="0"/>
    <n v="0"/>
    <n v="0"/>
    <n v="0"/>
    <n v="0"/>
    <n v="952.7"/>
    <n v="0"/>
    <n v="0"/>
    <n v="0"/>
    <n v="2894.13"/>
    <n v="0"/>
  </r>
  <r>
    <x v="15"/>
    <x v="1"/>
    <x v="0"/>
    <s v="2312200"/>
    <n v="731063"/>
    <s v="Cell Phones-Advanced Practice Clinician"/>
    <s v="St Joseph Med&amp;Spec-Int Med"/>
    <x v="0"/>
    <n v="2000"/>
    <n v="0"/>
    <n v="0"/>
    <n v="0"/>
    <n v="0"/>
    <n v="0"/>
    <n v="0"/>
    <n v="0"/>
    <n v="0"/>
    <n v="718.96"/>
    <n v="0"/>
    <n v="0"/>
    <n v="0"/>
    <n v="718.96"/>
    <n v="0"/>
  </r>
  <r>
    <x v="0"/>
    <x v="1"/>
    <x v="0"/>
    <s v="2312200"/>
    <n v="740010"/>
    <s v="Education-Materials"/>
    <s v="St Joseph Med&amp;Spec-Int Med"/>
    <x v="0"/>
    <m/>
    <n v="0"/>
    <n v="0"/>
    <n v="0"/>
    <n v="0"/>
    <n v="0"/>
    <n v="0"/>
    <n v="0"/>
    <n v="0"/>
    <n v="0"/>
    <n v="0"/>
    <n v="0"/>
    <n v="486.36"/>
    <n v="486.36"/>
    <n v="-486.36"/>
  </r>
  <r>
    <x v="0"/>
    <x v="1"/>
    <x v="0"/>
    <s v="2312200"/>
    <n v="740020"/>
    <s v="Education-Registration Fees"/>
    <s v="St Joseph Med&amp;Spec-Int Med"/>
    <x v="0"/>
    <m/>
    <n v="0"/>
    <n v="0"/>
    <n v="0"/>
    <n v="0"/>
    <n v="81"/>
    <n v="0"/>
    <n v="0"/>
    <n v="0"/>
    <n v="0"/>
    <n v="0"/>
    <n v="0"/>
    <n v="0"/>
    <n v="81"/>
    <n v="0"/>
  </r>
  <r>
    <x v="0"/>
    <x v="1"/>
    <x v="0"/>
    <s v="2312200"/>
    <n v="740022"/>
    <s v="Education-Physician"/>
    <s v="St Joseph Med&amp;Spec-Int Med"/>
    <x v="0"/>
    <m/>
    <n v="0"/>
    <n v="0"/>
    <n v="0"/>
    <n v="0"/>
    <n v="0"/>
    <n v="0"/>
    <n v="0"/>
    <n v="0"/>
    <n v="0"/>
    <n v="335"/>
    <n v="0"/>
    <n v="650"/>
    <n v="985"/>
    <n v="-650"/>
  </r>
  <r>
    <x v="0"/>
    <x v="1"/>
    <x v="0"/>
    <s v="2312200"/>
    <n v="740022"/>
    <s v="Books-Physician"/>
    <s v="St Joseph Med&amp;Spec-Int Med"/>
    <x v="0"/>
    <n v="2000"/>
    <n v="0"/>
    <n v="0"/>
    <n v="0"/>
    <n v="0"/>
    <n v="0"/>
    <n v="0"/>
    <n v="0"/>
    <n v="240"/>
    <n v="0"/>
    <n v="0"/>
    <n v="0"/>
    <n v="0"/>
    <n v="240"/>
    <n v="0"/>
  </r>
  <r>
    <x v="0"/>
    <x v="1"/>
    <x v="0"/>
    <s v="2312200"/>
    <n v="740023"/>
    <s v="Books-Advanced Practice Clinician"/>
    <s v="St Joseph Med&amp;Spec-Int Med"/>
    <x v="0"/>
    <n v="2000"/>
    <n v="0"/>
    <n v="0"/>
    <n v="0"/>
    <n v="0"/>
    <n v="0"/>
    <n v="0"/>
    <n v="0"/>
    <n v="192"/>
    <n v="0"/>
    <n v="0"/>
    <n v="0"/>
    <n v="0"/>
    <n v="192"/>
    <n v="0"/>
  </r>
  <r>
    <x v="0"/>
    <x v="1"/>
    <x v="0"/>
    <s v="2312200"/>
    <n v="740030"/>
    <s v="Education-Travel"/>
    <s v="St Joseph Med&amp;Spec-Int Med"/>
    <x v="0"/>
    <m/>
    <n v="0"/>
    <n v="0"/>
    <n v="0"/>
    <n v="0"/>
    <n v="0"/>
    <n v="83.72"/>
    <n v="0"/>
    <n v="0"/>
    <n v="0"/>
    <n v="0"/>
    <n v="0"/>
    <n v="0"/>
    <n v="83.72"/>
    <n v="0"/>
  </r>
  <r>
    <x v="8"/>
    <x v="1"/>
    <x v="0"/>
    <s v="2312200"/>
    <n v="741012"/>
    <s v="Physician Liab Insurance-CHI Program"/>
    <s v="St Joseph Med&amp;Spec-Int Med"/>
    <x v="0"/>
    <m/>
    <n v="2481.2399999999998"/>
    <n v="2481.2399999999998"/>
    <n v="2054.94"/>
    <n v="2054.94"/>
    <n v="2054.94"/>
    <n v="2054.92"/>
    <n v="2054.94"/>
    <n v="2054.92"/>
    <n v="2054.94"/>
    <n v="2054.92"/>
    <n v="2054.9499999999998"/>
    <n v="2054.92"/>
    <n v="25511.810000000005"/>
    <n v="2.9999999999745341E-2"/>
  </r>
  <r>
    <x v="0"/>
    <x v="1"/>
    <x v="0"/>
    <s v="2312200"/>
    <n v="743022"/>
    <s v="Dues-Physician"/>
    <s v="St Joseph Med&amp;Spec-Int Med"/>
    <x v="0"/>
    <m/>
    <n v="0"/>
    <n v="0"/>
    <n v="0"/>
    <n v="0"/>
    <n v="0"/>
    <n v="0"/>
    <n v="0"/>
    <n v="1283"/>
    <n v="0"/>
    <n v="0"/>
    <n v="0"/>
    <n v="0"/>
    <n v="1283"/>
    <n v="0"/>
  </r>
  <r>
    <x v="0"/>
    <x v="1"/>
    <x v="0"/>
    <s v="2312200"/>
    <n v="743042"/>
    <s v="Subscriptions-Physician"/>
    <s v="St Joseph Med&amp;Spec-Int Med"/>
    <x v="0"/>
    <m/>
    <n v="0"/>
    <n v="0"/>
    <n v="0"/>
    <n v="0"/>
    <n v="1067.43"/>
    <n v="412.88"/>
    <n v="499"/>
    <n v="2055.4899999999998"/>
    <n v="0"/>
    <n v="33.75"/>
    <n v="2385.92"/>
    <n v="3851.39"/>
    <n v="10305.859999999999"/>
    <n v="-1465.4699999999998"/>
  </r>
  <r>
    <x v="0"/>
    <x v="1"/>
    <x v="0"/>
    <s v="2312200"/>
    <n v="743043"/>
    <s v="Subscriptions-Advanced Practice Clinician"/>
    <s v="St Joseph Med&amp;Spec-Int Med"/>
    <x v="0"/>
    <m/>
    <n v="0"/>
    <n v="0"/>
    <n v="2186.91"/>
    <n v="0"/>
    <n v="0"/>
    <n v="195"/>
    <n v="0"/>
    <n v="0"/>
    <n v="0"/>
    <n v="0"/>
    <n v="470.22"/>
    <n v="62.37"/>
    <n v="2914.5"/>
    <n v="407.85"/>
  </r>
  <r>
    <x v="0"/>
    <x v="1"/>
    <x v="0"/>
    <s v="2312200"/>
    <n v="749510"/>
    <s v="Miscellaneous Expenses"/>
    <s v="St Joseph Med&amp;Spec-Int Med"/>
    <x v="0"/>
    <m/>
    <n v="-445.54"/>
    <n v="0"/>
    <n v="0"/>
    <n v="81"/>
    <n v="2.72"/>
    <n v="-83.72"/>
    <n v="0"/>
    <n v="-1"/>
    <n v="0"/>
    <n v="650"/>
    <n v="0"/>
    <n v="0.83"/>
    <n v="204.29000000000005"/>
    <n v="-0.83"/>
  </r>
  <r>
    <x v="0"/>
    <x v="1"/>
    <x v="0"/>
    <s v="2312200"/>
    <n v="749512"/>
    <s v="Licenses-Physician"/>
    <s v="St Joseph Med&amp;Spec-Int Med"/>
    <x v="0"/>
    <n v="2000"/>
    <n v="0"/>
    <n v="0"/>
    <n v="0"/>
    <n v="657"/>
    <n v="0"/>
    <n v="0"/>
    <n v="0"/>
    <n v="0"/>
    <n v="0"/>
    <n v="0"/>
    <n v="0"/>
    <n v="0"/>
    <n v="657"/>
    <n v="0"/>
  </r>
  <r>
    <x v="0"/>
    <x v="1"/>
    <x v="0"/>
    <s v="2312200"/>
    <n v="749513"/>
    <s v="Licenses-Advanced Practice Clinician"/>
    <s v="St Joseph Med&amp;Spec-Int Med"/>
    <x v="0"/>
    <n v="2000"/>
    <n v="0"/>
    <n v="0"/>
    <n v="0"/>
    <n v="0"/>
    <n v="0"/>
    <n v="1353.5"/>
    <n v="0"/>
    <n v="0"/>
    <n v="122.5"/>
    <n v="0"/>
    <n v="195"/>
    <n v="120"/>
    <n v="1791"/>
    <n v="75"/>
  </r>
  <r>
    <x v="0"/>
    <x v="1"/>
    <x v="0"/>
    <s v="2312200"/>
    <n v="749591"/>
    <s v="Other Expense-Intracompany Allocation"/>
    <s v="St Joseph Med&amp;Spec-Int Med"/>
    <x v="0"/>
    <m/>
    <n v="118578.21"/>
    <n v="125927.3"/>
    <n v="-244505.51"/>
    <n v="491516.54"/>
    <n v="119103.47"/>
    <n v="119880.68"/>
    <n v="105085.3"/>
    <n v="109883.65"/>
    <n v="116889.39"/>
    <n v="115950.42"/>
    <n v="123201.92"/>
    <n v="120065.77"/>
    <n v="1421577.14"/>
    <n v="3136.1499999999942"/>
  </r>
  <r>
    <x v="9"/>
    <x v="1"/>
    <x v="0"/>
    <s v="2312200"/>
    <n v="800015"/>
    <s v="Interest Income-Ext to CHI"/>
    <s v="St Joseph Med&amp;Spec-Int Med"/>
    <x v="0"/>
    <m/>
    <n v="0"/>
    <n v="-73.63"/>
    <n v="-103.97"/>
    <n v="-102.76"/>
    <n v="-94.93"/>
    <n v="-93.41"/>
    <n v="-88.75"/>
    <n v="-75.94"/>
    <n v="-79.400000000000006"/>
    <n v="-72.319999999999993"/>
    <n v="-70.05"/>
    <n v="-63.28"/>
    <n v="-918.44"/>
    <n v="-6.769999999999996"/>
  </r>
  <r>
    <x v="1"/>
    <x v="1"/>
    <x v="0"/>
    <s v="2313200"/>
    <n v="400029"/>
    <s v="MD Practice Other Rev--Medicaid"/>
    <s v="St Joseph Med&amp;Spec-Peds"/>
    <x v="0"/>
    <n v="1200"/>
    <n v="-532"/>
    <n v="-345"/>
    <n v="-510"/>
    <n v="-1061"/>
    <n v="-527"/>
    <n v="-1085"/>
    <n v="-2373"/>
    <n v="-2240"/>
    <n v="-1703"/>
    <n v="-1325"/>
    <n v="-1077"/>
    <n v="-572"/>
    <n v="-13350"/>
    <n v="-505"/>
  </r>
  <r>
    <x v="1"/>
    <x v="1"/>
    <x v="0"/>
    <s v="2313200"/>
    <n v="400029"/>
    <s v="MD Practice Other Rev--Comm Insurance"/>
    <s v="St Joseph Med&amp;Spec-Peds"/>
    <x v="0"/>
    <n v="1300"/>
    <n v="10"/>
    <n v="-20"/>
    <n v="-44"/>
    <n v="0"/>
    <n v="-90"/>
    <n v="0"/>
    <n v="-135"/>
    <n v="-10"/>
    <n v="-135"/>
    <n v="0"/>
    <n v="0"/>
    <n v="0"/>
    <n v="-424"/>
    <n v="0"/>
  </r>
  <r>
    <x v="1"/>
    <x v="1"/>
    <x v="0"/>
    <s v="2313200"/>
    <n v="400029"/>
    <s v="MD Practice Other Rev--BCBS Comm"/>
    <s v="St Joseph Med&amp;Spec-Peds"/>
    <x v="0"/>
    <n v="1301"/>
    <n v="-89"/>
    <n v="-58"/>
    <n v="-155"/>
    <n v="-64"/>
    <n v="-65"/>
    <n v="-90"/>
    <n v="-325"/>
    <n v="-289"/>
    <n v="-235"/>
    <n v="-165"/>
    <n v="-55"/>
    <n v="-48"/>
    <n v="-1638"/>
    <n v="-7"/>
  </r>
  <r>
    <x v="1"/>
    <x v="1"/>
    <x v="0"/>
    <s v="2313200"/>
    <n v="400029"/>
    <s v="MD Practice Other Rev--Managed Care"/>
    <s v="St Joseph Med&amp;Spec-Peds"/>
    <x v="0"/>
    <n v="1400"/>
    <n v="-16"/>
    <n v="-28"/>
    <n v="-189"/>
    <n v="-306"/>
    <n v="-65"/>
    <n v="-407"/>
    <n v="-514"/>
    <n v="-1100"/>
    <n v="-570"/>
    <n v="-551"/>
    <n v="-385"/>
    <n v="-149"/>
    <n v="-4280"/>
    <n v="-236"/>
  </r>
  <r>
    <x v="1"/>
    <x v="1"/>
    <x v="0"/>
    <s v="2313200"/>
    <n v="400029"/>
    <s v="MD Practice Other Rev--Self Pay"/>
    <s v="St Joseph Med&amp;Spec-Peds"/>
    <x v="0"/>
    <n v="1500"/>
    <n v="-10"/>
    <n v="-45"/>
    <n v="0"/>
    <n v="0"/>
    <n v="0"/>
    <n v="0"/>
    <n v="0"/>
    <n v="0"/>
    <n v="0"/>
    <n v="0"/>
    <n v="-45"/>
    <n v="0"/>
    <n v="-100"/>
    <n v="-45"/>
  </r>
  <r>
    <x v="1"/>
    <x v="1"/>
    <x v="0"/>
    <s v="2313200"/>
    <n v="400029"/>
    <s v="MD Practice Other Rev--Other"/>
    <s v="St Joseph Med&amp;Spec-Peds"/>
    <x v="0"/>
    <n v="1700"/>
    <n v="-65"/>
    <n v="-105"/>
    <n v="-55"/>
    <n v="-69"/>
    <n v="-64"/>
    <n v="-20"/>
    <n v="-145"/>
    <n v="-180"/>
    <n v="-279"/>
    <n v="-90"/>
    <n v="0"/>
    <n v="-20"/>
    <n v="-1092"/>
    <n v="20"/>
  </r>
  <r>
    <x v="1"/>
    <x v="1"/>
    <x v="0"/>
    <s v="2313200"/>
    <n v="400040"/>
    <s v="Physician Svcs Rev--Medicare"/>
    <s v="St Joseph Med&amp;Spec-Peds"/>
    <x v="0"/>
    <n v="1100"/>
    <n v="0"/>
    <n v="0"/>
    <n v="-772.13"/>
    <n v="-568"/>
    <n v="199"/>
    <n v="511"/>
    <n v="757"/>
    <n v="0"/>
    <n v="0"/>
    <n v="0"/>
    <n v="0"/>
    <n v="0"/>
    <n v="126.86999999999989"/>
    <n v="0"/>
  </r>
  <r>
    <x v="1"/>
    <x v="1"/>
    <x v="0"/>
    <s v="2313200"/>
    <n v="400040"/>
    <s v="Physician Svcs Rev--Medicaid"/>
    <s v="St Joseph Med&amp;Spec-Peds"/>
    <x v="0"/>
    <n v="1200"/>
    <n v="-226211.6"/>
    <n v="-259839.4"/>
    <n v="-268280.84000000003"/>
    <n v="-259054.03"/>
    <n v="-230086.05"/>
    <n v="-235658.33"/>
    <n v="-302548.68"/>
    <n v="-192681.84"/>
    <n v="-235191.52"/>
    <n v="-231335.82"/>
    <n v="-262949.12"/>
    <n v="-264625.84000000003"/>
    <n v="-2968463.07"/>
    <n v="1676.7200000000303"/>
  </r>
  <r>
    <x v="1"/>
    <x v="1"/>
    <x v="0"/>
    <s v="2313200"/>
    <n v="400040"/>
    <s v="Physician Svcs Rev--Comm Insurance"/>
    <s v="St Joseph Med&amp;Spec-Peds"/>
    <x v="0"/>
    <n v="1300"/>
    <n v="-4347.41"/>
    <n v="-9087.1200000000008"/>
    <n v="-5423.04"/>
    <n v="-5715.28"/>
    <n v="-8358.9599999999991"/>
    <n v="-9233.8799999999992"/>
    <n v="-17687.150000000001"/>
    <n v="-11913.09"/>
    <n v="-9320.26"/>
    <n v="-9301.81"/>
    <n v="-9104.24"/>
    <n v="-6708.99"/>
    <n v="-106201.23"/>
    <n v="-2395.25"/>
  </r>
  <r>
    <x v="1"/>
    <x v="1"/>
    <x v="0"/>
    <s v="2313200"/>
    <n v="400040"/>
    <s v="Physician Svcs Rev--BCBS Comm"/>
    <s v="St Joseph Med&amp;Spec-Peds"/>
    <x v="0"/>
    <n v="1301"/>
    <n v="-37842.620000000003"/>
    <n v="-41447.57"/>
    <n v="-39084.120000000003"/>
    <n v="-35983.14"/>
    <n v="-40518.870000000003"/>
    <n v="-36691.39"/>
    <n v="-46041.7"/>
    <n v="-25336.44"/>
    <n v="-45061.34"/>
    <n v="-32358.560000000001"/>
    <n v="-42530.080000000002"/>
    <n v="-33785.730000000003"/>
    <n v="-456681.56000000006"/>
    <n v="-8744.3499999999985"/>
  </r>
  <r>
    <x v="1"/>
    <x v="1"/>
    <x v="0"/>
    <s v="2313200"/>
    <n v="400040"/>
    <s v="Physician Svcs Rev--Managed Care"/>
    <s v="St Joseph Med&amp;Spec-Peds"/>
    <x v="0"/>
    <n v="1400"/>
    <n v="-120009.75"/>
    <n v="-162985.06"/>
    <n v="-138963.75"/>
    <n v="-164860.85999999999"/>
    <n v="-150697.42000000001"/>
    <n v="-139055.59"/>
    <n v="-177399.13"/>
    <n v="-127939.94"/>
    <n v="-149066.54"/>
    <n v="-120843.04"/>
    <n v="-183376.59"/>
    <n v="-140638.79999999999"/>
    <n v="-1775836.4700000002"/>
    <n v="-42737.790000000008"/>
  </r>
  <r>
    <x v="1"/>
    <x v="1"/>
    <x v="0"/>
    <s v="2313200"/>
    <n v="400040"/>
    <s v="Physician Svcs Rev--Self Pay"/>
    <s v="St Joseph Med&amp;Spec-Peds"/>
    <x v="0"/>
    <n v="1500"/>
    <n v="-2274.0700000000002"/>
    <n v="-3363.4"/>
    <n v="-7619.1"/>
    <n v="-6760"/>
    <n v="-6818.57"/>
    <n v="-7196.61"/>
    <n v="-4595.1099999999997"/>
    <n v="-5387.57"/>
    <n v="-11005.43"/>
    <n v="-6218.55"/>
    <n v="-8157"/>
    <n v="-5678.04"/>
    <n v="-75073.45"/>
    <n v="-2478.96"/>
  </r>
  <r>
    <x v="1"/>
    <x v="1"/>
    <x v="0"/>
    <s v="2313200"/>
    <n v="400040"/>
    <s v="Physician Svcs Rev--Other"/>
    <s v="St Joseph Med&amp;Spec-Peds"/>
    <x v="0"/>
    <n v="1700"/>
    <n v="-42735.199999999997"/>
    <n v="-59347.09"/>
    <n v="-42116.83"/>
    <n v="-43525.279999999999"/>
    <n v="-38115.18"/>
    <n v="-38205.24"/>
    <n v="-64472.44"/>
    <n v="-30276.55"/>
    <n v="-47432.38"/>
    <n v="-33383.919999999998"/>
    <n v="-39871.269999999997"/>
    <n v="-42839.14"/>
    <n v="-522320.52"/>
    <n v="2967.8700000000026"/>
  </r>
  <r>
    <x v="2"/>
    <x v="1"/>
    <x v="0"/>
    <s v="2313200"/>
    <n v="450029"/>
    <s v="Contr Allow--MD Other-Medicaid"/>
    <s v="St Joseph Med&amp;Spec-Peds"/>
    <x v="0"/>
    <n v="1200"/>
    <n v="683.69"/>
    <n v="347.62"/>
    <n v="324.47000000000003"/>
    <n v="530"/>
    <n v="599.99"/>
    <n v="553.41999999999996"/>
    <n v="886.86"/>
    <n v="1325.41"/>
    <n v="1788.73"/>
    <n v="848.45"/>
    <n v="921.66"/>
    <n v="415.14"/>
    <n v="9225.44"/>
    <n v="506.52"/>
  </r>
  <r>
    <x v="2"/>
    <x v="1"/>
    <x v="0"/>
    <s v="2313200"/>
    <n v="450029"/>
    <s v="Contr Allow--MD Other-Comm Insurance"/>
    <s v="St Joseph Med&amp;Spec-Peds"/>
    <x v="0"/>
    <n v="1300"/>
    <n v="6.22"/>
    <n v="13"/>
    <n v="7.74"/>
    <n v="11.02"/>
    <n v="45.6"/>
    <n v="0"/>
    <n v="83.05"/>
    <n v="3.5"/>
    <n v="0"/>
    <n v="30.16"/>
    <n v="4.37"/>
    <n v="0"/>
    <n v="204.66"/>
    <n v="4.37"/>
  </r>
  <r>
    <x v="2"/>
    <x v="1"/>
    <x v="0"/>
    <s v="2313200"/>
    <n v="450029"/>
    <s v="Contr Allow--MD Other BCBS Comm"/>
    <s v="St Joseph Med&amp;Spec-Peds"/>
    <x v="0"/>
    <n v="1301"/>
    <n v="79.319999999999993"/>
    <n v="44.98"/>
    <n v="45.63"/>
    <n v="131.44"/>
    <n v="76.03"/>
    <n v="35.06"/>
    <n v="122.66"/>
    <n v="184.39"/>
    <n v="196.06"/>
    <n v="206.42"/>
    <n v="13"/>
    <n v="41.72"/>
    <n v="1176.71"/>
    <n v="-28.72"/>
  </r>
  <r>
    <x v="2"/>
    <x v="1"/>
    <x v="0"/>
    <s v="2313200"/>
    <n v="450029"/>
    <s v="Contr Allow--MD Other-Managed Care"/>
    <s v="St Joseph Med&amp;Spec-Peds"/>
    <x v="0"/>
    <n v="1400"/>
    <n v="110.37"/>
    <n v="86.37"/>
    <n v="53.4"/>
    <n v="321.91000000000003"/>
    <n v="77.75"/>
    <n v="15.39"/>
    <n v="313.10000000000002"/>
    <n v="388.28"/>
    <n v="621.70000000000005"/>
    <n v="397.56"/>
    <n v="379.09"/>
    <n v="73.27"/>
    <n v="2838.1900000000005"/>
    <n v="305.82"/>
  </r>
  <r>
    <x v="2"/>
    <x v="1"/>
    <x v="0"/>
    <s v="2313200"/>
    <n v="450029"/>
    <s v="Admin Adjust-MD Other-Self Pay"/>
    <s v="St Joseph Med&amp;Spec-Peds"/>
    <x v="0"/>
    <n v="1600"/>
    <n v="30.75"/>
    <n v="3.8"/>
    <n v="6.96"/>
    <n v="6.77"/>
    <n v="0.56999999999999995"/>
    <n v="1.56"/>
    <n v="13.52"/>
    <n v="0"/>
    <n v="0"/>
    <n v="0"/>
    <n v="9.77"/>
    <n v="-0.16"/>
    <n v="73.540000000000006"/>
    <n v="9.93"/>
  </r>
  <r>
    <x v="2"/>
    <x v="1"/>
    <x v="0"/>
    <s v="2313200"/>
    <n v="450029"/>
    <s v="Contr Allow--MD Other-Other"/>
    <s v="St Joseph Med&amp;Spec-Peds"/>
    <x v="0"/>
    <n v="1700"/>
    <n v="31.55"/>
    <n v="35.78"/>
    <n v="62.36"/>
    <n v="70.27"/>
    <n v="54.51"/>
    <n v="7.17"/>
    <n v="52.17"/>
    <n v="101.8"/>
    <n v="62.89"/>
    <n v="338.2"/>
    <n v="0"/>
    <n v="7.17"/>
    <n v="823.87"/>
    <n v="-7.17"/>
  </r>
  <r>
    <x v="2"/>
    <x v="1"/>
    <x v="0"/>
    <s v="2313200"/>
    <n v="450040"/>
    <s v="Contr Allow--Phys Svcs--Mcare"/>
    <s v="St Joseph Med&amp;Spec-Peds"/>
    <x v="0"/>
    <n v="1100"/>
    <n v="0"/>
    <n v="0"/>
    <n v="15.13"/>
    <n v="682.28"/>
    <n v="373.21"/>
    <n v="0"/>
    <n v="-436.74"/>
    <n v="0"/>
    <n v="0"/>
    <n v="-5.96"/>
    <n v="0"/>
    <n v="0"/>
    <n v="627.91999999999985"/>
    <n v="0"/>
  </r>
  <r>
    <x v="2"/>
    <x v="1"/>
    <x v="0"/>
    <s v="2313200"/>
    <n v="450040"/>
    <s v="Contr Allow--Phys Svcs--Mcaid"/>
    <s v="St Joseph Med&amp;Spec-Peds"/>
    <x v="0"/>
    <n v="1200"/>
    <n v="154956.01"/>
    <n v="192137.52"/>
    <n v="178517.54"/>
    <n v="189683.88"/>
    <n v="146459.03"/>
    <n v="140497.54999999999"/>
    <n v="162835.15"/>
    <n v="140850.91"/>
    <n v="159258.07"/>
    <n v="148156.62"/>
    <n v="162548.10999999999"/>
    <n v="152640.9"/>
    <n v="1928541.2899999996"/>
    <n v="9907.2099999999919"/>
  </r>
  <r>
    <x v="2"/>
    <x v="1"/>
    <x v="0"/>
    <s v="2313200"/>
    <n v="450040"/>
    <s v="Contr Allow--Phys Svcs--Comm Insurance"/>
    <s v="St Joseph Med&amp;Spec-Peds"/>
    <x v="0"/>
    <n v="1300"/>
    <n v="8174.93"/>
    <n v="3263.67"/>
    <n v="3434.18"/>
    <n v="2765.11"/>
    <n v="3971.16"/>
    <n v="2881.35"/>
    <n v="7516.01"/>
    <n v="4640.6400000000003"/>
    <n v="5380.35"/>
    <n v="4323.29"/>
    <n v="3948.74"/>
    <n v="2719.57"/>
    <n v="53018.999999999993"/>
    <n v="1229.1699999999996"/>
  </r>
  <r>
    <x v="2"/>
    <x v="1"/>
    <x v="0"/>
    <s v="2313200"/>
    <n v="450040"/>
    <s v="Contr Allow--Phys Svcs--BCBS Comm Ins"/>
    <s v="St Joseph Med&amp;Spec-Peds"/>
    <x v="0"/>
    <n v="1301"/>
    <n v="53093.279999999999"/>
    <n v="15243.72"/>
    <n v="25975.94"/>
    <n v="15675.45"/>
    <n v="16331.15"/>
    <n v="15324.47"/>
    <n v="20553.57"/>
    <n v="13194.23"/>
    <n v="18118.46"/>
    <n v="14891.61"/>
    <n v="16701.93"/>
    <n v="18904.400000000001"/>
    <n v="244008.21"/>
    <n v="-2202.4700000000012"/>
  </r>
  <r>
    <x v="2"/>
    <x v="1"/>
    <x v="0"/>
    <s v="2313200"/>
    <n v="450040"/>
    <s v="Contr Allow--Phys Svcs--Managed Care"/>
    <s v="St Joseph Med&amp;Spec-Peds"/>
    <x v="0"/>
    <n v="1400"/>
    <n v="146508.48000000001"/>
    <n v="65856.759999999995"/>
    <n v="93549.19"/>
    <n v="71452.55"/>
    <n v="82019.240000000005"/>
    <n v="62174.07"/>
    <n v="68996.58"/>
    <n v="59532.76"/>
    <n v="78601.509999999995"/>
    <n v="61553.34"/>
    <n v="79947.23"/>
    <n v="71050.94"/>
    <n v="941242.64999999991"/>
    <n v="8896.2899999999936"/>
  </r>
  <r>
    <x v="2"/>
    <x v="1"/>
    <x v="0"/>
    <s v="2313200"/>
    <n v="450040"/>
    <s v="Contr Allow--Phys Svcs--BCBS Mgnd Care"/>
    <s v="St Joseph Med&amp;Spec-Peds"/>
    <x v="0"/>
    <n v="1401"/>
    <n v="-80842.69"/>
    <n v="-10061.370000000001"/>
    <n v="-9164.0400000000009"/>
    <n v="-14875.1"/>
    <n v="-13572.1"/>
    <n v="16229.44"/>
    <n v="52848.46"/>
    <n v="-19885.830000000002"/>
    <n v="-11026.7"/>
    <n v="-22759.3"/>
    <n v="26246.86"/>
    <n v="5788.47"/>
    <n v="-81073.900000000009"/>
    <n v="20458.39"/>
  </r>
  <r>
    <x v="2"/>
    <x v="1"/>
    <x v="0"/>
    <s v="2313200"/>
    <n v="450040"/>
    <s v="Prompt Pay Disc-Phys Svcs-Self Pay"/>
    <s v="St Joseph Med&amp;Spec-Peds"/>
    <x v="0"/>
    <n v="1500"/>
    <n v="23.44"/>
    <n v="0"/>
    <n v="132.55000000000001"/>
    <n v="0"/>
    <n v="0"/>
    <n v="677.17"/>
    <n v="0"/>
    <n v="0"/>
    <n v="178.08"/>
    <n v="0"/>
    <n v="271"/>
    <n v="0"/>
    <n v="1282.24"/>
    <n v="271"/>
  </r>
  <r>
    <x v="2"/>
    <x v="1"/>
    <x v="0"/>
    <s v="2313200"/>
    <n v="450040"/>
    <s v="Admin Adjust-Phys Svcs-Self Pay"/>
    <s v="St Joseph Med&amp;Spec-Peds"/>
    <x v="0"/>
    <n v="1600"/>
    <n v="1678.69"/>
    <n v="2795.43"/>
    <n v="5682.08"/>
    <n v="3675.06"/>
    <n v="5295.28"/>
    <n v="3227.12"/>
    <n v="1700.23"/>
    <n v="2961.72"/>
    <n v="4937.17"/>
    <n v="666.69"/>
    <n v="2580.69"/>
    <n v="2792.86"/>
    <n v="37993.019999999997"/>
    <n v="-212.17000000000007"/>
  </r>
  <r>
    <x v="2"/>
    <x v="1"/>
    <x v="0"/>
    <s v="2313200"/>
    <n v="450040"/>
    <s v="Contr Allow--Phys Svcs--Other"/>
    <s v="St Joseph Med&amp;Spec-Peds"/>
    <x v="0"/>
    <n v="1700"/>
    <n v="50597.88"/>
    <n v="47193.96"/>
    <n v="36916.730000000003"/>
    <n v="38661.21"/>
    <n v="25092.76"/>
    <n v="28619.86"/>
    <n v="34080.449999999997"/>
    <n v="25450.86"/>
    <n v="33536.699999999997"/>
    <n v="31499.7"/>
    <n v="27721.16"/>
    <n v="29602.67"/>
    <n v="408973.94"/>
    <n v="-1881.5099999999984"/>
  </r>
  <r>
    <x v="3"/>
    <x v="1"/>
    <x v="0"/>
    <s v="2313200"/>
    <n v="470040"/>
    <s v="Charity Care-Physician Svcs"/>
    <s v="St Joseph Med&amp;Spec-Peds"/>
    <x v="0"/>
    <m/>
    <n v="-2712.6"/>
    <n v="2192.36"/>
    <n v="-161.80000000000001"/>
    <n v="571.29999999999995"/>
    <n v="1524.33"/>
    <n v="-242.62"/>
    <n v="2786.78"/>
    <n v="-130.51"/>
    <n v="2033.76"/>
    <n v="-493.49"/>
    <n v="845.6"/>
    <n v="4944.43"/>
    <n v="11157.54"/>
    <n v="-4098.83"/>
  </r>
  <r>
    <x v="4"/>
    <x v="1"/>
    <x v="0"/>
    <s v="2313200"/>
    <n v="490010"/>
    <s v="Provision for Bad Debts"/>
    <s v="St Joseph Med&amp;Spec-Peds"/>
    <x v="0"/>
    <m/>
    <n v="-5267.48"/>
    <n v="2779.46"/>
    <n v="2297.3000000000002"/>
    <n v="1135.0899999999999"/>
    <n v="10064.09"/>
    <n v="3732.36"/>
    <n v="7727.16"/>
    <n v="2734.11"/>
    <n v="2254.9699999999998"/>
    <n v="3853.31"/>
    <n v="6077.31"/>
    <n v="5792.65"/>
    <n v="43180.330000000009"/>
    <n v="284.66000000000076"/>
  </r>
  <r>
    <x v="14"/>
    <x v="1"/>
    <x v="0"/>
    <s v="2313200"/>
    <n v="600050"/>
    <s v="Miscellaneous Revenue"/>
    <s v="St Joseph Med&amp;Spec-Peds"/>
    <x v="0"/>
    <m/>
    <n v="0"/>
    <n v="0"/>
    <n v="0"/>
    <n v="0"/>
    <n v="0"/>
    <n v="0"/>
    <n v="0"/>
    <n v="0"/>
    <n v="0"/>
    <n v="0"/>
    <n v="-1000"/>
    <n v="0"/>
    <n v="-1000"/>
    <n v="-1000"/>
  </r>
  <r>
    <x v="5"/>
    <x v="1"/>
    <x v="0"/>
    <s v="2313200"/>
    <n v="700018"/>
    <s v="Salaries-Supervisory-Productive"/>
    <s v="St Joseph Med&amp;Spec-Peds"/>
    <x v="0"/>
    <m/>
    <n v="4694.97"/>
    <n v="5264.07"/>
    <n v="4505.28"/>
    <n v="3378.72"/>
    <n v="6092"/>
    <n v="4361.87"/>
    <n v="5393.56"/>
    <n v="4636.72"/>
    <n v="4880.76"/>
    <n v="5368.83"/>
    <n v="5124.8"/>
    <n v="3660.57"/>
    <n v="57362.150000000009"/>
    <n v="1464.23"/>
  </r>
  <r>
    <x v="5"/>
    <x v="1"/>
    <x v="0"/>
    <s v="2313200"/>
    <n v="700022"/>
    <s v="Salaries-Physician-Productive"/>
    <s v="St Joseph Med&amp;Spec-Peds"/>
    <x v="0"/>
    <m/>
    <n v="83160.37"/>
    <n v="97705.85"/>
    <n v="83864.55"/>
    <n v="86615.89"/>
    <n v="108178"/>
    <n v="71497.06"/>
    <n v="100100.83"/>
    <n v="63442.89"/>
    <n v="76463.789999999994"/>
    <n v="76057.59"/>
    <n v="113349.31"/>
    <n v="72579.69"/>
    <n v="1033015.8199999998"/>
    <n v="40769.619999999995"/>
  </r>
  <r>
    <x v="5"/>
    <x v="1"/>
    <x v="0"/>
    <s v="2313200"/>
    <n v="700024"/>
    <s v="Salaries-Advanced Practice Clinician-Productive"/>
    <s v="St Joseph Med&amp;Spec-Peds"/>
    <x v="0"/>
    <m/>
    <n v="10187.07"/>
    <n v="7773.41"/>
    <n v="14368.32"/>
    <n v="13889.37"/>
    <n v="11244.87"/>
    <n v="12044.28"/>
    <n v="12728.04"/>
    <n v="10974.29"/>
    <n v="10626.58"/>
    <n v="15493.7"/>
    <n v="14106.99"/>
    <n v="10539.19"/>
    <n v="143976.11000000002"/>
    <n v="3567.7999999999993"/>
  </r>
  <r>
    <x v="5"/>
    <x v="1"/>
    <x v="0"/>
    <s v="2313200"/>
    <n v="700026"/>
    <s v="Salaries-RN-Productive"/>
    <s v="St Joseph Med&amp;Spec-Peds"/>
    <x v="0"/>
    <m/>
    <n v="1722.11"/>
    <n v="738.05"/>
    <n v="1383.84"/>
    <n v="-461.28"/>
    <n v="0"/>
    <n v="0"/>
    <n v="0"/>
    <n v="0"/>
    <n v="0"/>
    <n v="0"/>
    <n v="0"/>
    <n v="8030.75"/>
    <n v="11413.470000000001"/>
    <n v="-8030.75"/>
  </r>
  <r>
    <x v="5"/>
    <x v="1"/>
    <x v="0"/>
    <s v="2313200"/>
    <n v="700026"/>
    <s v="Salaries-RN-OT"/>
    <s v="St Joseph Med&amp;Spec-Peds"/>
    <x v="0"/>
    <n v="1000"/>
    <n v="0"/>
    <n v="0"/>
    <n v="0"/>
    <n v="0"/>
    <n v="0"/>
    <n v="0"/>
    <n v="0"/>
    <n v="0"/>
    <n v="0"/>
    <n v="0"/>
    <n v="0"/>
    <n v="125.68"/>
    <n v="125.68"/>
    <n v="-125.68"/>
  </r>
  <r>
    <x v="5"/>
    <x v="1"/>
    <x v="0"/>
    <s v="2313200"/>
    <n v="700026"/>
    <s v="Salaries-RN-Other"/>
    <s v="St Joseph Med&amp;Spec-Peds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313200"/>
    <n v="700030"/>
    <s v="Salaries-LPN-Productive"/>
    <s v="St Joseph Med&amp;Spec-Peds"/>
    <x v="0"/>
    <m/>
    <n v="25464.39"/>
    <n v="23796.639999999999"/>
    <n v="19428.669999999998"/>
    <n v="26912.21"/>
    <n v="29173.200000000001"/>
    <n v="25472.240000000002"/>
    <n v="34523.69"/>
    <n v="21747.87"/>
    <n v="28703.52"/>
    <n v="20212.91"/>
    <n v="25244.61"/>
    <n v="19863.66"/>
    <n v="300543.61"/>
    <n v="5380.9500000000007"/>
  </r>
  <r>
    <x v="5"/>
    <x v="1"/>
    <x v="0"/>
    <s v="2313200"/>
    <n v="700030"/>
    <s v="Salaries-LPN-OT"/>
    <s v="St Joseph Med&amp;Spec-Peds"/>
    <x v="0"/>
    <n v="1000"/>
    <n v="948.14"/>
    <n v="1191.51"/>
    <n v="636.04"/>
    <n v="1012.01"/>
    <n v="2587.04"/>
    <n v="113.69"/>
    <n v="1193.3900000000001"/>
    <n v="-42.58"/>
    <n v="600.72"/>
    <n v="2894.78"/>
    <n v="896.36"/>
    <n v="361.04"/>
    <n v="12392.140000000001"/>
    <n v="535.31999999999994"/>
  </r>
  <r>
    <x v="5"/>
    <x v="1"/>
    <x v="0"/>
    <s v="2313200"/>
    <n v="700030"/>
    <s v="Salaries-LPN-Other"/>
    <s v="St Joseph Med&amp;Spec-Peds"/>
    <x v="0"/>
    <n v="2000"/>
    <n v="33.450000000000003"/>
    <n v="22.54"/>
    <n v="35.26"/>
    <n v="22"/>
    <n v="62.75"/>
    <n v="50.8"/>
    <n v="64.430000000000007"/>
    <n v="22.48"/>
    <n v="35.46"/>
    <n v="19.62"/>
    <n v="30.47"/>
    <n v="44.81"/>
    <n v="444.07"/>
    <n v="-14.340000000000003"/>
  </r>
  <r>
    <x v="5"/>
    <x v="1"/>
    <x v="0"/>
    <s v="2313200"/>
    <n v="700032"/>
    <s v="Salaries-Other Pat Care Providers-Productive"/>
    <s v="St Joseph Med&amp;Spec-Peds"/>
    <x v="0"/>
    <m/>
    <n v="1906.41"/>
    <n v="4506.95"/>
    <n v="1981.04"/>
    <n v="2502.56"/>
    <n v="4169.79"/>
    <n v="2302.02"/>
    <n v="3413.11"/>
    <n v="2956.35"/>
    <n v="1905.48"/>
    <n v="2495.92"/>
    <n v="4027.04"/>
    <n v="1859.76"/>
    <n v="34026.43"/>
    <n v="2167.2799999999997"/>
  </r>
  <r>
    <x v="5"/>
    <x v="1"/>
    <x v="0"/>
    <s v="2313200"/>
    <n v="700032"/>
    <s v="Salaries-Other Pat Care Providers-OT"/>
    <s v="St Joseph Med&amp;Spec-Peds"/>
    <x v="0"/>
    <n v="1000"/>
    <n v="0"/>
    <n v="110.13"/>
    <n v="-36.71"/>
    <n v="0"/>
    <n v="0"/>
    <n v="0"/>
    <n v="0"/>
    <n v="0"/>
    <n v="0"/>
    <n v="0"/>
    <n v="0"/>
    <n v="0"/>
    <n v="73.419999999999987"/>
    <n v="0"/>
  </r>
  <r>
    <x v="5"/>
    <x v="1"/>
    <x v="0"/>
    <s v="2313200"/>
    <n v="700032"/>
    <s v="Salaries-Other Pat Care Providers-Other"/>
    <s v="St Joseph Med&amp;Spec-Peds"/>
    <x v="0"/>
    <n v="2000"/>
    <n v="44.03"/>
    <n v="106.23"/>
    <n v="43.45"/>
    <n v="64.349999999999994"/>
    <n v="87.12"/>
    <n v="55.24"/>
    <n v="80.25"/>
    <n v="63.98"/>
    <n v="43.52"/>
    <n v="49.56"/>
    <n v="89.84"/>
    <n v="50.45"/>
    <n v="778.0200000000001"/>
    <n v="39.39"/>
  </r>
  <r>
    <x v="5"/>
    <x v="1"/>
    <x v="0"/>
    <s v="2313200"/>
    <n v="700058"/>
    <s v="Salaries-Supervisory-Non-productive"/>
    <s v="St Joseph Med&amp;Spec-Peds"/>
    <x v="0"/>
    <m/>
    <n v="358.64"/>
    <n v="434.23"/>
    <n v="155.61000000000001"/>
    <n v="2193.11"/>
    <n v="-731.03"/>
    <n v="755.4"/>
    <n v="219.68"/>
    <n v="244.04"/>
    <n v="244.04"/>
    <n v="0"/>
    <n v="488.08"/>
    <n v="1220.19"/>
    <n v="5581.99"/>
    <n v="-732.11000000000013"/>
  </r>
  <r>
    <x v="5"/>
    <x v="1"/>
    <x v="0"/>
    <s v="2313200"/>
    <n v="700058"/>
    <s v="Salaries-Supervisory-NonProd-Other"/>
    <s v="St Joseph Med&amp;Spec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3200"/>
    <n v="700062"/>
    <s v="Salaries-Physician-Non-productive"/>
    <s v="St Joseph Med&amp;Spec-Peds"/>
    <x v="0"/>
    <m/>
    <n v="10259.02"/>
    <n v="9438.07"/>
    <n v="6076.83"/>
    <n v="16816.68"/>
    <n v="-6132.14"/>
    <n v="26207.21"/>
    <n v="7072.35"/>
    <n v="30146.82"/>
    <n v="21735.19"/>
    <n v="26817.46"/>
    <n v="-7597.83"/>
    <n v="19114.8"/>
    <n v="159954.46"/>
    <n v="-26712.629999999997"/>
  </r>
  <r>
    <x v="5"/>
    <x v="1"/>
    <x v="0"/>
    <s v="2313200"/>
    <n v="700062"/>
    <s v="Salaries-Physician-NonProd-Other"/>
    <s v="St Joseph Med&amp;Spec-Peds"/>
    <x v="0"/>
    <n v="2000"/>
    <n v="0"/>
    <n v="0"/>
    <n v="0"/>
    <n v="0"/>
    <n v="0"/>
    <n v="0"/>
    <n v="0"/>
    <n v="0"/>
    <n v="-4388.72"/>
    <n v="1111.06"/>
    <n v="0"/>
    <n v="0"/>
    <n v="-3277.6600000000003"/>
    <n v="0"/>
  </r>
  <r>
    <x v="5"/>
    <x v="1"/>
    <x v="0"/>
    <s v="2313200"/>
    <n v="700064"/>
    <s v="Salaries-Advanced Practice Clinician-Non-Productive"/>
    <s v="St Joseph Med&amp;Spec-Peds"/>
    <x v="0"/>
    <m/>
    <n v="1888.56"/>
    <n v="7184.16"/>
    <n v="-1596.48"/>
    <n v="798.24"/>
    <n v="3322.56"/>
    <n v="1910.47"/>
    <n v="2579.12"/>
    <n v="1938.6"/>
    <n v="3001.39"/>
    <n v="-1216.78"/>
    <n v="811.19"/>
    <n v="2432.13"/>
    <n v="23053.159999999996"/>
    <n v="-1620.94"/>
  </r>
  <r>
    <x v="5"/>
    <x v="1"/>
    <x v="0"/>
    <s v="2313200"/>
    <n v="700066"/>
    <s v="Salaries-RN-Non-productive"/>
    <s v="St Joseph Med&amp;Spec-Peds"/>
    <x v="0"/>
    <m/>
    <n v="307.52"/>
    <n v="1383.84"/>
    <n v="-461.28"/>
    <n v="0"/>
    <n v="0"/>
    <n v="0"/>
    <n v="0"/>
    <n v="0"/>
    <n v="0"/>
    <n v="0"/>
    <n v="0"/>
    <n v="0"/>
    <n v="1230.08"/>
    <n v="0"/>
  </r>
  <r>
    <x v="5"/>
    <x v="1"/>
    <x v="0"/>
    <s v="2313200"/>
    <n v="700066"/>
    <s v="Salaries-RN-NonProd-Other"/>
    <s v="St Joseph Med&amp;Spec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3200"/>
    <n v="700070"/>
    <s v="Salaries-LPN-Non-productive"/>
    <s v="St Joseph Med&amp;Spec-Peds"/>
    <x v="0"/>
    <m/>
    <n v="3925.64"/>
    <n v="2719.07"/>
    <n v="2095.63"/>
    <n v="2502.13"/>
    <n v="3260.97"/>
    <n v="4628.71"/>
    <n v="2439.6"/>
    <n v="3123"/>
    <n v="120.71"/>
    <n v="8184.21"/>
    <n v="1084.07"/>
    <n v="4543.4799999999996"/>
    <n v="38627.22"/>
    <n v="-3459.41"/>
  </r>
  <r>
    <x v="5"/>
    <x v="1"/>
    <x v="0"/>
    <s v="2313200"/>
    <n v="700070"/>
    <s v="Salaries-LPN-NonProd-Other"/>
    <s v="St Joseph Med&amp;Spec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3200"/>
    <n v="700072"/>
    <s v="Salaries-Other Pat Care Providers-Non-productive"/>
    <s v="St Joseph Med&amp;Spec-Peds"/>
    <x v="0"/>
    <m/>
    <n v="0"/>
    <n v="0"/>
    <n v="0"/>
    <n v="0"/>
    <n v="0"/>
    <n v="248.8"/>
    <n v="0"/>
    <n v="0"/>
    <n v="442.27"/>
    <n v="0"/>
    <n v="0"/>
    <n v="186.87"/>
    <n v="877.93999999999994"/>
    <n v="-186.87"/>
  </r>
  <r>
    <x v="5"/>
    <x v="1"/>
    <x v="0"/>
    <s v="2313200"/>
    <n v="700084"/>
    <s v="Accrued PTO"/>
    <s v="St Joseph Med&amp;Spec-Peds"/>
    <x v="0"/>
    <m/>
    <n v="465.7"/>
    <n v="328.14"/>
    <n v="388.2"/>
    <n v="1090.8599999999999"/>
    <n v="846.67"/>
    <n v="-899.23"/>
    <n v="827.95"/>
    <n v="336.99"/>
    <n v="2095.5100000000002"/>
    <n v="454.66"/>
    <n v="1009.69"/>
    <n v="-209.27"/>
    <n v="6735.869999999999"/>
    <n v="1218.96"/>
  </r>
  <r>
    <x v="6"/>
    <x v="1"/>
    <x v="0"/>
    <s v="2313200"/>
    <n v="713010"/>
    <s v="Benefits-FICA/Medicare"/>
    <s v="St Joseph Med&amp;Spec-Peds"/>
    <x v="0"/>
    <m/>
    <n v="6198.13"/>
    <n v="5744.91"/>
    <n v="4430.3100000000004"/>
    <n v="5415.96"/>
    <n v="4924.74"/>
    <n v="8017.24"/>
    <n v="12839.5"/>
    <n v="10487.44"/>
    <n v="10835.48"/>
    <n v="11833.31"/>
    <n v="8681.1200000000008"/>
    <n v="6501.96"/>
    <n v="95910.1"/>
    <n v="2179.1600000000008"/>
  </r>
  <r>
    <x v="6"/>
    <x v="1"/>
    <x v="0"/>
    <s v="2313200"/>
    <n v="713090"/>
    <s v="Benefits-Allocated Amounts"/>
    <s v="St Joseph Med&amp;Spec-Peds"/>
    <x v="0"/>
    <m/>
    <n v="0"/>
    <n v="0"/>
    <n v="0"/>
    <n v="0"/>
    <n v="0"/>
    <n v="0"/>
    <n v="0"/>
    <n v="0"/>
    <n v="115970.31"/>
    <n v="13756.95"/>
    <n v="12920.5"/>
    <n v="13328"/>
    <n v="155975.76"/>
    <n v="-407.5"/>
  </r>
  <r>
    <x v="6"/>
    <x v="1"/>
    <x v="0"/>
    <s v="2313200"/>
    <n v="713092"/>
    <s v="Allocated Benefits-Physician"/>
    <s v="St Joseph Med&amp;Spec-Peds"/>
    <x v="0"/>
    <m/>
    <n v="14674.66"/>
    <n v="13697.83"/>
    <n v="12754.76"/>
    <n v="13850.12"/>
    <n v="15025.34"/>
    <n v="15396.02"/>
    <n v="18626.39"/>
    <n v="16177.78"/>
    <n v="-73220.69"/>
    <n v="5573.25"/>
    <n v="5234.3900000000003"/>
    <n v="5399.47"/>
    <n v="63189.320000000007"/>
    <n v="-165.07999999999993"/>
  </r>
  <r>
    <x v="6"/>
    <x v="1"/>
    <x v="0"/>
    <s v="2313200"/>
    <n v="713093"/>
    <s v="Allocated Benefits-Advanced Practice Clinician"/>
    <s v="St Joseph Med&amp;Spec-Peds"/>
    <x v="0"/>
    <m/>
    <n v="3890.39"/>
    <n v="3631.42"/>
    <n v="3381.4"/>
    <n v="3671.8"/>
    <n v="3983.35"/>
    <n v="4081.63"/>
    <n v="4938.0200000000004"/>
    <n v="4288.88"/>
    <n v="-21569.42"/>
    <n v="1221.53"/>
    <n v="1147.27"/>
    <n v="1183.44"/>
    <n v="13849.710000000003"/>
    <n v="-36.170000000000073"/>
  </r>
  <r>
    <x v="7"/>
    <x v="1"/>
    <x v="0"/>
    <s v="2313200"/>
    <n v="718050"/>
    <s v="Translation Services"/>
    <s v="St Joseph Med&amp;Spec-Peds"/>
    <x v="0"/>
    <n v="1025"/>
    <n v="63.27"/>
    <n v="0"/>
    <n v="49.23"/>
    <n v="3.16"/>
    <n v="0.79"/>
    <n v="0"/>
    <n v="0"/>
    <n v="0"/>
    <n v="0"/>
    <n v="0"/>
    <n v="1.58"/>
    <n v="0"/>
    <n v="118.03"/>
    <n v="1.58"/>
  </r>
  <r>
    <x v="11"/>
    <x v="1"/>
    <x v="0"/>
    <s v="2313200"/>
    <n v="721830"/>
    <s v="Supplies-Office"/>
    <s v="St Joseph Med&amp;Spec-Peds"/>
    <x v="0"/>
    <m/>
    <n v="0"/>
    <n v="0"/>
    <n v="0"/>
    <n v="0"/>
    <n v="0"/>
    <n v="0"/>
    <n v="0"/>
    <n v="0"/>
    <n v="0"/>
    <n v="0"/>
    <n v="0"/>
    <n v="10.86"/>
    <n v="10.86"/>
    <n v="-10.86"/>
  </r>
  <r>
    <x v="0"/>
    <x v="1"/>
    <x v="0"/>
    <s v="2313200"/>
    <n v="740020"/>
    <s v="Education-Registration Fees"/>
    <s v="St Joseph Med&amp;Spec-Peds"/>
    <x v="0"/>
    <m/>
    <n v="65"/>
    <n v="0"/>
    <n v="0"/>
    <n v="0"/>
    <n v="0"/>
    <n v="65"/>
    <n v="0"/>
    <n v="0"/>
    <n v="0"/>
    <n v="0"/>
    <n v="0"/>
    <n v="0"/>
    <n v="130"/>
    <n v="0"/>
  </r>
  <r>
    <x v="0"/>
    <x v="1"/>
    <x v="0"/>
    <s v="2313200"/>
    <n v="740022"/>
    <s v="Education-Physician"/>
    <s v="St Joseph Med&amp;Spec-Peds"/>
    <x v="0"/>
    <m/>
    <n v="0"/>
    <n v="0"/>
    <n v="0"/>
    <n v="0"/>
    <n v="0"/>
    <n v="0"/>
    <n v="0"/>
    <n v="0"/>
    <n v="925"/>
    <n v="0"/>
    <n v="0"/>
    <n v="1450"/>
    <n v="2375"/>
    <n v="-1450"/>
  </r>
  <r>
    <x v="0"/>
    <x v="1"/>
    <x v="0"/>
    <s v="2313200"/>
    <n v="740023"/>
    <s v="Education-Advanced Practice Clinician"/>
    <s v="St Joseph Med&amp;Spec-Peds"/>
    <x v="0"/>
    <m/>
    <n v="0"/>
    <n v="0"/>
    <n v="300"/>
    <n v="0"/>
    <n v="0"/>
    <n v="0"/>
    <n v="0"/>
    <n v="0"/>
    <n v="0"/>
    <n v="0"/>
    <n v="0"/>
    <n v="0"/>
    <n v="300"/>
    <n v="0"/>
  </r>
  <r>
    <x v="8"/>
    <x v="1"/>
    <x v="0"/>
    <s v="2313200"/>
    <n v="741012"/>
    <s v="Physician Liab Insurance-CHI Program"/>
    <s v="St Joseph Med&amp;Spec-Peds"/>
    <x v="0"/>
    <m/>
    <n v="1901.77"/>
    <n v="1901.78"/>
    <n v="1901.77"/>
    <n v="1901.78"/>
    <n v="1901.78"/>
    <n v="1901.76"/>
    <n v="1901.78"/>
    <n v="1901.76"/>
    <n v="1901.78"/>
    <n v="1901.76"/>
    <n v="1901.78"/>
    <n v="1901.76"/>
    <n v="22821.259999999995"/>
    <n v="1.999999999998181E-2"/>
  </r>
  <r>
    <x v="0"/>
    <x v="1"/>
    <x v="0"/>
    <s v="2313200"/>
    <n v="743022"/>
    <s v="Dues-Physician"/>
    <s v="St Joseph Med&amp;Spec-Peds"/>
    <x v="0"/>
    <m/>
    <n v="0"/>
    <n v="0"/>
    <n v="0"/>
    <n v="0"/>
    <n v="0"/>
    <n v="0"/>
    <n v="0"/>
    <n v="940"/>
    <n v="0"/>
    <n v="0"/>
    <n v="0"/>
    <n v="0"/>
    <n v="940"/>
    <n v="0"/>
  </r>
  <r>
    <x v="0"/>
    <x v="1"/>
    <x v="0"/>
    <s v="2313200"/>
    <n v="743030"/>
    <s v="Subscriptions--Institutional"/>
    <s v="St Joseph Med&amp;Spec-Peds"/>
    <x v="0"/>
    <m/>
    <n v="0"/>
    <n v="0"/>
    <n v="0"/>
    <n v="0"/>
    <n v="0"/>
    <n v="0"/>
    <n v="0"/>
    <n v="0"/>
    <n v="0"/>
    <n v="0"/>
    <n v="0"/>
    <n v="474"/>
    <n v="474"/>
    <n v="-474"/>
  </r>
  <r>
    <x v="0"/>
    <x v="1"/>
    <x v="0"/>
    <s v="2313200"/>
    <n v="743042"/>
    <s v="Subscriptions-Physician"/>
    <s v="St Joseph Med&amp;Spec-Peds"/>
    <x v="0"/>
    <m/>
    <n v="0"/>
    <n v="0"/>
    <n v="0"/>
    <n v="0"/>
    <n v="0"/>
    <n v="0"/>
    <n v="0"/>
    <n v="0"/>
    <n v="0"/>
    <n v="0"/>
    <n v="549.79999999999995"/>
    <n v="1047.98"/>
    <n v="1597.78"/>
    <n v="-498.18000000000006"/>
  </r>
  <r>
    <x v="0"/>
    <x v="1"/>
    <x v="0"/>
    <s v="2313200"/>
    <n v="743043"/>
    <s v="Subscriptions-Advanced Practice Clinician"/>
    <s v="St Joseph Med&amp;Spec-Peds"/>
    <x v="0"/>
    <m/>
    <n v="0"/>
    <n v="0"/>
    <n v="0"/>
    <n v="0"/>
    <n v="0"/>
    <n v="0"/>
    <n v="0"/>
    <n v="0"/>
    <n v="0"/>
    <n v="0"/>
    <n v="0"/>
    <n v="296.72000000000003"/>
    <n v="296.72000000000003"/>
    <n v="-296.72000000000003"/>
  </r>
  <r>
    <x v="0"/>
    <x v="1"/>
    <x v="0"/>
    <s v="2313200"/>
    <n v="749510"/>
    <s v="Miscellaneous Expenses"/>
    <s v="St Joseph Med&amp;Spec-Peds"/>
    <x v="0"/>
    <m/>
    <n v="0"/>
    <n v="185.3"/>
    <n v="-659.5"/>
    <n v="0"/>
    <n v="65"/>
    <n v="-65"/>
    <n v="0"/>
    <n v="0"/>
    <n v="0"/>
    <n v="0"/>
    <n v="4047.98"/>
    <n v="-4047.98"/>
    <n v="-474.19999999999982"/>
    <n v="8095.96"/>
  </r>
  <r>
    <x v="0"/>
    <x v="1"/>
    <x v="0"/>
    <s v="2313200"/>
    <n v="749512"/>
    <s v="Licenses-Physician"/>
    <s v="St Joseph Med&amp;Spec-Peds"/>
    <x v="0"/>
    <n v="2000"/>
    <n v="0"/>
    <n v="0"/>
    <n v="659.5"/>
    <n v="0"/>
    <n v="0"/>
    <n v="659.5"/>
    <n v="0"/>
    <n v="0"/>
    <n v="0"/>
    <n v="731"/>
    <n v="0"/>
    <n v="0"/>
    <n v="2050"/>
    <n v="0"/>
  </r>
  <r>
    <x v="0"/>
    <x v="1"/>
    <x v="0"/>
    <s v="2313200"/>
    <n v="749513"/>
    <s v="Licenses-Advanced Practice Clinician"/>
    <s v="St Joseph Med&amp;Spec-Peds"/>
    <x v="0"/>
    <n v="2000"/>
    <n v="0"/>
    <n v="0"/>
    <n v="204.5"/>
    <n v="0"/>
    <n v="0"/>
    <n v="0"/>
    <n v="0"/>
    <n v="0"/>
    <n v="0"/>
    <n v="0"/>
    <n v="0"/>
    <n v="0"/>
    <n v="204.5"/>
    <n v="0"/>
  </r>
  <r>
    <x v="0"/>
    <x v="1"/>
    <x v="0"/>
    <s v="2313200"/>
    <n v="749532"/>
    <s v="Travel-Physician"/>
    <s v="St Joseph Med&amp;Spec-Peds"/>
    <x v="0"/>
    <m/>
    <n v="0"/>
    <n v="1671.24"/>
    <n v="0"/>
    <n v="0"/>
    <n v="0"/>
    <n v="0"/>
    <n v="0"/>
    <n v="0"/>
    <n v="0"/>
    <n v="0"/>
    <n v="0"/>
    <n v="4424.4399999999996"/>
    <n v="6095.6799999999994"/>
    <n v="-4424.4399999999996"/>
  </r>
  <r>
    <x v="0"/>
    <x v="1"/>
    <x v="0"/>
    <s v="2313200"/>
    <n v="749532"/>
    <s v="Business Meals-Physician"/>
    <s v="St Joseph Med&amp;Spec-Peds"/>
    <x v="0"/>
    <n v="2000"/>
    <n v="0"/>
    <n v="0"/>
    <n v="0"/>
    <n v="0"/>
    <n v="0"/>
    <n v="0"/>
    <n v="0"/>
    <n v="0"/>
    <n v="0"/>
    <n v="0"/>
    <n v="0"/>
    <n v="68"/>
    <n v="68"/>
    <n v="-68"/>
  </r>
  <r>
    <x v="0"/>
    <x v="1"/>
    <x v="0"/>
    <s v="2313200"/>
    <n v="749533"/>
    <s v="Travel-Advanced Practice Clinician"/>
    <s v="St Joseph Med&amp;Spec-Peds"/>
    <x v="0"/>
    <m/>
    <n v="0"/>
    <n v="0"/>
    <n v="1411.87"/>
    <n v="0"/>
    <n v="0"/>
    <n v="0"/>
    <n v="0"/>
    <n v="0"/>
    <n v="0"/>
    <n v="0"/>
    <n v="0"/>
    <n v="0"/>
    <n v="1411.87"/>
    <n v="0"/>
  </r>
  <r>
    <x v="0"/>
    <x v="1"/>
    <x v="0"/>
    <s v="2313200"/>
    <n v="749591"/>
    <s v="Other Expense-Intracompany Allocation"/>
    <s v="St Joseph Med&amp;Spec-Peds"/>
    <x v="0"/>
    <m/>
    <n v="70328.91"/>
    <n v="82198.09"/>
    <n v="-152527"/>
    <n v="318139.18"/>
    <n v="85853.09"/>
    <n v="83471.19"/>
    <n v="92684.23"/>
    <n v="68450.13"/>
    <n v="71092.639999999999"/>
    <n v="58601.49"/>
    <n v="71381.13"/>
    <n v="76270.649999999994"/>
    <n v="925943.7300000001"/>
    <n v="-4889.5199999999895"/>
  </r>
  <r>
    <x v="1"/>
    <x v="1"/>
    <x v="0"/>
    <s v="2314200"/>
    <n v="400029"/>
    <s v="MD Practice Other Rev--Medicare"/>
    <s v="Univ Place Med&amp;Spec-Fam Med"/>
    <x v="0"/>
    <n v="1100"/>
    <n v="-204"/>
    <n v="-199"/>
    <n v="-124"/>
    <n v="-248"/>
    <n v="-130"/>
    <n v="-295"/>
    <n v="-476"/>
    <n v="-643"/>
    <n v="-1223"/>
    <n v="-559"/>
    <n v="-281"/>
    <n v="-477"/>
    <n v="-4859"/>
    <n v="196"/>
  </r>
  <r>
    <x v="1"/>
    <x v="1"/>
    <x v="0"/>
    <s v="2314200"/>
    <n v="400029"/>
    <s v="MD Practice Other Rev--Medicaid"/>
    <s v="Univ Place Med&amp;Spec-Fam Med"/>
    <x v="0"/>
    <n v="1200"/>
    <n v="-164"/>
    <n v="-233"/>
    <n v="-346"/>
    <n v="-234"/>
    <n v="-242"/>
    <n v="-593"/>
    <n v="-941"/>
    <n v="-601"/>
    <n v="-1068"/>
    <n v="-471"/>
    <n v="-615"/>
    <n v="-457"/>
    <n v="-5965"/>
    <n v="-158"/>
  </r>
  <r>
    <x v="1"/>
    <x v="1"/>
    <x v="0"/>
    <s v="2314200"/>
    <n v="400029"/>
    <s v="MD Practice Other Rev--Comm Insurance"/>
    <s v="Univ Place Med&amp;Spec-Fam Med"/>
    <x v="0"/>
    <n v="1300"/>
    <n v="-79"/>
    <n v="-151"/>
    <n v="-68"/>
    <n v="-20"/>
    <n v="-79"/>
    <n v="-44"/>
    <n v="-251"/>
    <n v="-82"/>
    <n v="15"/>
    <n v="-203"/>
    <n v="-34"/>
    <n v="-20"/>
    <n v="-1016"/>
    <n v="-14"/>
  </r>
  <r>
    <x v="1"/>
    <x v="1"/>
    <x v="0"/>
    <s v="2314200"/>
    <n v="400029"/>
    <s v="MD Practice Other Rev--BCBS Comm"/>
    <s v="Univ Place Med&amp;Spec-Fam Med"/>
    <x v="0"/>
    <n v="1301"/>
    <n v="-34"/>
    <n v="-1"/>
    <n v="-44"/>
    <n v="-54"/>
    <n v="-137"/>
    <n v="-261"/>
    <n v="-573"/>
    <n v="-315"/>
    <n v="-519"/>
    <n v="-229"/>
    <n v="-179"/>
    <n v="-34"/>
    <n v="-2380"/>
    <n v="-145"/>
  </r>
  <r>
    <x v="1"/>
    <x v="1"/>
    <x v="0"/>
    <s v="2314200"/>
    <n v="400029"/>
    <s v="MD Practice Other Rev--Managed Care"/>
    <s v="Univ Place Med&amp;Spec-Fam Med"/>
    <x v="0"/>
    <n v="1400"/>
    <n v="-207"/>
    <n v="-439"/>
    <n v="-429"/>
    <n v="-730"/>
    <n v="-210"/>
    <n v="-427"/>
    <n v="-1125"/>
    <n v="-2193"/>
    <n v="-1922"/>
    <n v="-1014"/>
    <n v="-729"/>
    <n v="-1529"/>
    <n v="-10954"/>
    <n v="800"/>
  </r>
  <r>
    <x v="1"/>
    <x v="1"/>
    <x v="0"/>
    <s v="2314200"/>
    <n v="400029"/>
    <s v="MD Practice Other Rev--Self Pay"/>
    <s v="Univ Place Med&amp;Spec-Fam Med"/>
    <x v="0"/>
    <n v="1500"/>
    <n v="0"/>
    <n v="-9"/>
    <n v="0"/>
    <n v="0"/>
    <n v="-20"/>
    <n v="-10"/>
    <n v="-10"/>
    <n v="0"/>
    <n v="-114"/>
    <n v="0"/>
    <n v="-24"/>
    <n v="-10"/>
    <n v="-197"/>
    <n v="-14"/>
  </r>
  <r>
    <x v="1"/>
    <x v="1"/>
    <x v="0"/>
    <s v="2314200"/>
    <n v="400029"/>
    <s v="MD Practice Other Rev--Other"/>
    <s v="Univ Place Med&amp;Spec-Fam Med"/>
    <x v="0"/>
    <n v="1700"/>
    <n v="-48"/>
    <n v="-136"/>
    <n v="-78"/>
    <n v="-157"/>
    <n v="-65"/>
    <n v="-90"/>
    <n v="-315"/>
    <n v="-100"/>
    <n v="-228"/>
    <n v="-90"/>
    <n v="-338"/>
    <n v="-48"/>
    <n v="-1693"/>
    <n v="-290"/>
  </r>
  <r>
    <x v="1"/>
    <x v="1"/>
    <x v="0"/>
    <s v="2314200"/>
    <n v="400040"/>
    <s v="Physician Svcs Rev--Medicare"/>
    <s v="Univ Place Med&amp;Spec-Fam Med"/>
    <x v="0"/>
    <n v="1100"/>
    <n v="-142934"/>
    <n v="-201682"/>
    <n v="-181421"/>
    <n v="-233983"/>
    <n v="-183986"/>
    <n v="-173844"/>
    <n v="-177610"/>
    <n v="-160107"/>
    <n v="-196475"/>
    <n v="-184758"/>
    <n v="-189057"/>
    <n v="-183035"/>
    <n v="-2208892"/>
    <n v="-6022"/>
  </r>
  <r>
    <x v="1"/>
    <x v="1"/>
    <x v="0"/>
    <s v="2314200"/>
    <n v="400040"/>
    <s v="Physician Svcs Rev--Medicaid"/>
    <s v="Univ Place Med&amp;Spec-Fam Med"/>
    <x v="0"/>
    <n v="1200"/>
    <n v="-91981.759999999995"/>
    <n v="-118082.63"/>
    <n v="-113815.8"/>
    <n v="-138181.70000000001"/>
    <n v="-111487.32"/>
    <n v="-85451.77"/>
    <n v="-126029"/>
    <n v="-102453.88"/>
    <n v="-128557.84"/>
    <n v="-108538.4"/>
    <n v="-124153.82"/>
    <n v="-96798.39"/>
    <n v="-1345532.3099999998"/>
    <n v="-27355.430000000008"/>
  </r>
  <r>
    <x v="1"/>
    <x v="1"/>
    <x v="0"/>
    <s v="2314200"/>
    <n v="400040"/>
    <s v="Physician Svcs Rev--Comm Insurance"/>
    <s v="Univ Place Med&amp;Spec-Fam Med"/>
    <x v="0"/>
    <n v="1300"/>
    <n v="-20566"/>
    <n v="-30662"/>
    <n v="-24850.91"/>
    <n v="-28629.24"/>
    <n v="-19787"/>
    <n v="-20297"/>
    <n v="-23501.13"/>
    <n v="-19360"/>
    <n v="-24463"/>
    <n v="-26372.52"/>
    <n v="-21820.05"/>
    <n v="-17892"/>
    <n v="-278200.84999999998"/>
    <n v="-3928.0499999999993"/>
  </r>
  <r>
    <x v="1"/>
    <x v="1"/>
    <x v="0"/>
    <s v="2314200"/>
    <n v="400040"/>
    <s v="Physician Svcs Rev--BCBS Comm"/>
    <s v="Univ Place Med&amp;Spec-Fam Med"/>
    <x v="0"/>
    <n v="1301"/>
    <n v="-31352"/>
    <n v="-42757.64"/>
    <n v="-37240.15"/>
    <n v="-44664.99"/>
    <n v="-43457.05"/>
    <n v="-30325"/>
    <n v="-43483.93"/>
    <n v="-38049.910000000003"/>
    <n v="-49341"/>
    <n v="-45264.37"/>
    <n v="-47537"/>
    <n v="-33635.96"/>
    <n v="-487109.00000000006"/>
    <n v="-13901.04"/>
  </r>
  <r>
    <x v="1"/>
    <x v="1"/>
    <x v="0"/>
    <s v="2314200"/>
    <n v="400040"/>
    <s v="Physician Svcs Rev--Managed Care"/>
    <s v="Univ Place Med&amp;Spec-Fam Med"/>
    <x v="0"/>
    <n v="1400"/>
    <n v="-146521.51999999999"/>
    <n v="-138337.60000000001"/>
    <n v="-159469.18"/>
    <n v="-199206.5"/>
    <n v="-156132.43"/>
    <n v="-157297.99"/>
    <n v="-184655.76"/>
    <n v="-155632.31"/>
    <n v="-185769.63"/>
    <n v="-175980.44"/>
    <n v="-187662.27"/>
    <n v="-160022.44"/>
    <n v="-2006688.0699999998"/>
    <n v="-27639.829999999987"/>
  </r>
  <r>
    <x v="1"/>
    <x v="1"/>
    <x v="0"/>
    <s v="2314200"/>
    <n v="400040"/>
    <s v="Physician Svcs Rev--Self Pay"/>
    <s v="Univ Place Med&amp;Spec-Fam Med"/>
    <x v="0"/>
    <n v="1500"/>
    <n v="-2951"/>
    <n v="-5380"/>
    <n v="-4255"/>
    <n v="-4471"/>
    <n v="-5710.44"/>
    <n v="-5961"/>
    <n v="-3475"/>
    <n v="-4949"/>
    <n v="-5615"/>
    <n v="-2933"/>
    <n v="-4897"/>
    <n v="-6456"/>
    <n v="-57053.440000000002"/>
    <n v="1559"/>
  </r>
  <r>
    <x v="1"/>
    <x v="1"/>
    <x v="0"/>
    <s v="2314200"/>
    <n v="400040"/>
    <s v="Physician Svcs Rev--Other"/>
    <s v="Univ Place Med&amp;Spec-Fam Med"/>
    <x v="0"/>
    <n v="1700"/>
    <n v="-18714.5"/>
    <n v="-27842.14"/>
    <n v="-20569.650000000001"/>
    <n v="-27003.61"/>
    <n v="-23411"/>
    <n v="-20842"/>
    <n v="-16799.849999999999"/>
    <n v="-16946.060000000001"/>
    <n v="-25075.01"/>
    <n v="-14976"/>
    <n v="-25371.25"/>
    <n v="-21441"/>
    <n v="-258992.07000000004"/>
    <n v="-3930.25"/>
  </r>
  <r>
    <x v="2"/>
    <x v="1"/>
    <x v="0"/>
    <s v="2314200"/>
    <n v="450029"/>
    <s v="Contr Allow--MD Other-Medicare"/>
    <s v="Univ Place Med&amp;Spec-Fam Med"/>
    <x v="0"/>
    <n v="1100"/>
    <n v="116.31"/>
    <n v="128.72"/>
    <n v="85.76"/>
    <n v="106.83"/>
    <n v="110.64"/>
    <n v="94.01"/>
    <n v="184.83"/>
    <n v="444.98"/>
    <n v="542.92999999999995"/>
    <n v="669.86"/>
    <n v="380.13"/>
    <n v="242.69"/>
    <n v="3107.69"/>
    <n v="137.44"/>
  </r>
  <r>
    <x v="2"/>
    <x v="1"/>
    <x v="0"/>
    <s v="2314200"/>
    <n v="450029"/>
    <s v="Contr Allow--MD Other-Medicaid"/>
    <s v="Univ Place Med&amp;Spec-Fam Med"/>
    <x v="0"/>
    <n v="1200"/>
    <n v="143.69"/>
    <n v="200.03"/>
    <n v="159.44"/>
    <n v="237.19"/>
    <n v="168.74"/>
    <n v="197.23"/>
    <n v="611.66999999999996"/>
    <n v="617.82000000000005"/>
    <n v="314.27"/>
    <n v="419.95"/>
    <n v="568.79"/>
    <n v="367.78"/>
    <n v="4006.5999999999995"/>
    <n v="201.01"/>
  </r>
  <r>
    <x v="2"/>
    <x v="1"/>
    <x v="0"/>
    <s v="2314200"/>
    <n v="450029"/>
    <s v="Contr Allow--MD Other-Comm Insurance"/>
    <s v="Univ Place Med&amp;Spec-Fam Med"/>
    <x v="0"/>
    <n v="1300"/>
    <n v="75.81"/>
    <n v="105.71"/>
    <n v="22.94"/>
    <n v="29.1"/>
    <n v="32.43"/>
    <n v="30.89"/>
    <n v="55.84"/>
    <n v="135.06"/>
    <n v="34.520000000000003"/>
    <n v="28.01"/>
    <n v="19.8"/>
    <n v="47.14"/>
    <n v="617.24999999999989"/>
    <n v="-27.34"/>
  </r>
  <r>
    <x v="2"/>
    <x v="1"/>
    <x v="0"/>
    <s v="2314200"/>
    <n v="450029"/>
    <s v="Contr Allow--MD Other BCBS Comm"/>
    <s v="Univ Place Med&amp;Spec-Fam Med"/>
    <x v="0"/>
    <n v="1301"/>
    <n v="25.31"/>
    <n v="44.16"/>
    <n v="13"/>
    <n v="34.32"/>
    <n v="14.18"/>
    <n v="116.13"/>
    <n v="276.5"/>
    <n v="191.54"/>
    <n v="247.31"/>
    <n v="277.13"/>
    <n v="76.62"/>
    <n v="141.1"/>
    <n v="1457.2999999999997"/>
    <n v="-64.47999999999999"/>
  </r>
  <r>
    <x v="2"/>
    <x v="1"/>
    <x v="0"/>
    <s v="2314200"/>
    <n v="450029"/>
    <s v="Contr Allow--MD Other-Managed Care"/>
    <s v="Univ Place Med&amp;Spec-Fam Med"/>
    <x v="0"/>
    <n v="1400"/>
    <n v="240.51"/>
    <n v="179.78"/>
    <n v="185.12"/>
    <n v="415.8"/>
    <n v="265.13"/>
    <n v="208.34"/>
    <n v="338.51"/>
    <n v="912.76"/>
    <n v="1105.0999999999999"/>
    <n v="1250.17"/>
    <n v="542.79"/>
    <n v="302.39"/>
    <n v="5946.4"/>
    <n v="240.39999999999998"/>
  </r>
  <r>
    <x v="2"/>
    <x v="1"/>
    <x v="0"/>
    <s v="2314200"/>
    <n v="450029"/>
    <s v="Admin Adjust-MD Other-Self Pay"/>
    <s v="Univ Place Med&amp;Spec-Fam Med"/>
    <x v="0"/>
    <n v="1600"/>
    <n v="12.46"/>
    <n v="20.56"/>
    <n v="0"/>
    <n v="77.099999999999994"/>
    <n v="21.34"/>
    <n v="37.31"/>
    <n v="21.75"/>
    <n v="10.34"/>
    <n v="90.49"/>
    <n v="3.53"/>
    <n v="9.56"/>
    <n v="33.840000000000003"/>
    <n v="338.28"/>
    <n v="-24.28"/>
  </r>
  <r>
    <x v="2"/>
    <x v="1"/>
    <x v="0"/>
    <s v="2314200"/>
    <n v="450029"/>
    <s v="Contr Allow--MD Other-Other"/>
    <s v="Univ Place Med&amp;Spec-Fam Med"/>
    <x v="0"/>
    <n v="1700"/>
    <n v="27"/>
    <n v="48.34"/>
    <n v="65.510000000000005"/>
    <n v="39.299999999999997"/>
    <n v="47.22"/>
    <n v="38.72"/>
    <n v="7.17"/>
    <n v="126.16"/>
    <n v="181.88"/>
    <n v="200.06"/>
    <n v="-8.8800000000000008"/>
    <n v="235.13"/>
    <n v="1007.6100000000001"/>
    <n v="-244.01"/>
  </r>
  <r>
    <x v="2"/>
    <x v="1"/>
    <x v="0"/>
    <s v="2314200"/>
    <n v="450040"/>
    <s v="Contr Allow--Phys Svcs--Mcare"/>
    <s v="Univ Place Med&amp;Spec-Fam Med"/>
    <x v="0"/>
    <n v="1100"/>
    <n v="91252.26"/>
    <n v="98712.7"/>
    <n v="113864.03"/>
    <n v="158128.13"/>
    <n v="124503.79"/>
    <n v="110927.85"/>
    <n v="114102.46"/>
    <n v="96416.01"/>
    <n v="119533.95"/>
    <n v="124035.76"/>
    <n v="116592.68"/>
    <n v="112063.74"/>
    <n v="1380133.3599999999"/>
    <n v="4528.9399999999878"/>
  </r>
  <r>
    <x v="2"/>
    <x v="1"/>
    <x v="0"/>
    <s v="2314200"/>
    <n v="450040"/>
    <s v="Contr Allow--Phys Svcs--Mcaid"/>
    <s v="Univ Place Med&amp;Spec-Fam Med"/>
    <x v="0"/>
    <n v="1200"/>
    <n v="73494.63"/>
    <n v="93778.32"/>
    <n v="79143.210000000006"/>
    <n v="107089.29"/>
    <n v="83660.83"/>
    <n v="67703.05"/>
    <n v="77542.23"/>
    <n v="78885.11"/>
    <n v="87527"/>
    <n v="91716.69"/>
    <n v="87428.84"/>
    <n v="79876.67"/>
    <n v="1007845.8700000001"/>
    <n v="7552.1699999999983"/>
  </r>
  <r>
    <x v="2"/>
    <x v="1"/>
    <x v="0"/>
    <s v="2314200"/>
    <n v="450040"/>
    <s v="Contr Allow--Phys Svcs--Comm Insurance"/>
    <s v="Univ Place Med&amp;Spec-Fam Med"/>
    <x v="0"/>
    <n v="1300"/>
    <n v="10381.33"/>
    <n v="8579.68"/>
    <n v="8916.0400000000009"/>
    <n v="11665.38"/>
    <n v="9179.9500000000007"/>
    <n v="6171.6"/>
    <n v="8088.63"/>
    <n v="6313.4"/>
    <n v="7813.41"/>
    <n v="6178.75"/>
    <n v="6996.09"/>
    <n v="9410.92"/>
    <n v="99695.18"/>
    <n v="-2414.83"/>
  </r>
  <r>
    <x v="2"/>
    <x v="1"/>
    <x v="0"/>
    <s v="2314200"/>
    <n v="450040"/>
    <s v="Contr Allow--Phys Svcs--BCBS Comm Ins"/>
    <s v="Univ Place Med&amp;Spec-Fam Med"/>
    <x v="0"/>
    <n v="1301"/>
    <n v="12367.84"/>
    <n v="11215.01"/>
    <n v="12941.45"/>
    <n v="12504.26"/>
    <n v="13465.25"/>
    <n v="10167.620000000001"/>
    <n v="13652.34"/>
    <n v="9565.59"/>
    <n v="15072"/>
    <n v="11929.68"/>
    <n v="11260.41"/>
    <n v="15296.42"/>
    <n v="149437.87000000002"/>
    <n v="-4036.01"/>
  </r>
  <r>
    <x v="2"/>
    <x v="1"/>
    <x v="0"/>
    <s v="2314200"/>
    <n v="450040"/>
    <s v="Contr Allow--Phys Svcs--Managed Care"/>
    <s v="Univ Place Med&amp;Spec-Fam Med"/>
    <x v="0"/>
    <n v="1400"/>
    <n v="50121.54"/>
    <n v="56739.98"/>
    <n v="62754.46"/>
    <n v="71123.360000000001"/>
    <n v="57746.43"/>
    <n v="49603.67"/>
    <n v="50991.18"/>
    <n v="57170.99"/>
    <n v="69309.490000000005"/>
    <n v="60163.81"/>
    <n v="72197.39"/>
    <n v="54155.41"/>
    <n v="712077.71"/>
    <n v="18041.979999999996"/>
  </r>
  <r>
    <x v="2"/>
    <x v="1"/>
    <x v="0"/>
    <s v="2314200"/>
    <n v="450040"/>
    <s v="Contr Allow--Phys Svcs--BCBS Mgnd Care"/>
    <s v="Univ Place Med&amp;Spec-Fam Med"/>
    <x v="0"/>
    <n v="1401"/>
    <n v="-19453.13"/>
    <n v="19913.77"/>
    <n v="11216.71"/>
    <n v="-9200.7999999999993"/>
    <n v="-22100.79"/>
    <n v="773.8"/>
    <n v="34689.82"/>
    <n v="7581.1"/>
    <n v="13247.21"/>
    <n v="-15415.99"/>
    <n v="8599.16"/>
    <n v="-14495.26"/>
    <n v="15355.599999999997"/>
    <n v="23094.42"/>
  </r>
  <r>
    <x v="2"/>
    <x v="1"/>
    <x v="0"/>
    <s v="2314200"/>
    <n v="450040"/>
    <s v="Admin Adjust-Phys Svcs-Self Pay"/>
    <s v="Univ Place Med&amp;Spec-Fam Med"/>
    <x v="0"/>
    <n v="1600"/>
    <n v="1680.54"/>
    <n v="2482.9899999999998"/>
    <n v="3164.26"/>
    <n v="3014.4"/>
    <n v="3336.12"/>
    <n v="2741.8"/>
    <n v="2818.65"/>
    <n v="3230.34"/>
    <n v="3292.5"/>
    <n v="916.95"/>
    <n v="2829.05"/>
    <n v="3096.93"/>
    <n v="32604.530000000002"/>
    <n v="-267.87999999999965"/>
  </r>
  <r>
    <x v="2"/>
    <x v="1"/>
    <x v="0"/>
    <s v="2314200"/>
    <n v="450040"/>
    <s v="Contr Allow--Phys Svcs--Other"/>
    <s v="Univ Place Med&amp;Spec-Fam Med"/>
    <x v="0"/>
    <n v="1700"/>
    <n v="14243.63"/>
    <n v="13629.49"/>
    <n v="11462.96"/>
    <n v="16679.919999999998"/>
    <n v="11019.93"/>
    <n v="13893.22"/>
    <n v="11220.8"/>
    <n v="11039.55"/>
    <n v="10738.14"/>
    <n v="14205.91"/>
    <n v="12526.99"/>
    <n v="10174.049999999999"/>
    <n v="150834.59"/>
    <n v="2352.9400000000005"/>
  </r>
  <r>
    <x v="3"/>
    <x v="1"/>
    <x v="0"/>
    <s v="2314200"/>
    <n v="470040"/>
    <s v="Charity Care-Physician Svcs"/>
    <s v="Univ Place Med&amp;Spec-Fam Med"/>
    <x v="0"/>
    <m/>
    <n v="262.60000000000002"/>
    <n v="3749.8"/>
    <n v="1747.98"/>
    <n v="2897.43"/>
    <n v="1750.11"/>
    <n v="164.26"/>
    <n v="4061.04"/>
    <n v="2072.52"/>
    <n v="14270.02"/>
    <n v="3337.81"/>
    <n v="2840.73"/>
    <n v="6790.06"/>
    <n v="43944.36"/>
    <n v="-3949.3300000000004"/>
  </r>
  <r>
    <x v="4"/>
    <x v="1"/>
    <x v="0"/>
    <s v="2314200"/>
    <n v="490010"/>
    <s v="Provision for Bad Debts"/>
    <s v="Univ Place Med&amp;Spec-Fam Med"/>
    <x v="0"/>
    <m/>
    <n v="4756.5"/>
    <n v="9250.9699999999993"/>
    <n v="7344.39"/>
    <n v="1906.66"/>
    <n v="9357.3700000000008"/>
    <n v="404.76"/>
    <n v="6513"/>
    <n v="2429.87"/>
    <n v="4993.46"/>
    <n v="3575.23"/>
    <n v="4579.62"/>
    <n v="4831.68"/>
    <n v="59943.510000000009"/>
    <n v="-252.0600000000004"/>
  </r>
  <r>
    <x v="5"/>
    <x v="1"/>
    <x v="0"/>
    <s v="2314200"/>
    <n v="700022"/>
    <s v="Salaries-Physician-Productive"/>
    <s v="Univ Place Med&amp;Spec-Fam Med"/>
    <x v="0"/>
    <m/>
    <n v="88187.21"/>
    <n v="135674.23000000001"/>
    <n v="108314.76"/>
    <n v="131157.44"/>
    <n v="124514.42"/>
    <n v="89190.8"/>
    <n v="122301.51"/>
    <n v="106427.48"/>
    <n v="120660.62"/>
    <n v="124808.51"/>
    <n v="137901.29999999999"/>
    <n v="99617.62"/>
    <n v="1388755.9"/>
    <n v="38283.679999999993"/>
  </r>
  <r>
    <x v="5"/>
    <x v="1"/>
    <x v="0"/>
    <s v="2314200"/>
    <n v="700024"/>
    <s v="Salaries-Advanced Practice Clinician-Productive"/>
    <s v="Univ Place Med&amp;Spec-Fam Med"/>
    <x v="0"/>
    <m/>
    <n v="6922.82"/>
    <n v="11215.92"/>
    <n v="9280.7999999999993"/>
    <n v="9512.82"/>
    <n v="10333.68"/>
    <n v="8582.61"/>
    <n v="9773.15"/>
    <n v="8905.0499999999993"/>
    <n v="9440.32"/>
    <n v="7979.33"/>
    <n v="9833.99"/>
    <n v="8822.52"/>
    <n v="110603.01000000002"/>
    <n v="1011.4699999999993"/>
  </r>
  <r>
    <x v="5"/>
    <x v="1"/>
    <x v="0"/>
    <s v="2314200"/>
    <n v="700030"/>
    <s v="Salaries-LPN-Productive"/>
    <s v="Univ Place Med&amp;Spec-Fam Med"/>
    <x v="0"/>
    <m/>
    <n v="6735.18"/>
    <n v="7310.86"/>
    <n v="3293.64"/>
    <n v="4080.72"/>
    <n v="3938.88"/>
    <n v="2997.24"/>
    <n v="4153.8599999999997"/>
    <n v="4945.6499999999996"/>
    <n v="8369.58"/>
    <n v="2844.87"/>
    <n v="3899.84"/>
    <n v="2900.66"/>
    <n v="55470.98000000001"/>
    <n v="999.18000000000029"/>
  </r>
  <r>
    <x v="5"/>
    <x v="1"/>
    <x v="0"/>
    <s v="2314200"/>
    <n v="700030"/>
    <s v="Salaries-LPN-OT"/>
    <s v="Univ Place Med&amp;Spec-Fam Med"/>
    <x v="0"/>
    <n v="1000"/>
    <n v="172.75"/>
    <n v="481.18"/>
    <n v="321.76"/>
    <n v="486.27"/>
    <n v="419.64"/>
    <n v="726.79"/>
    <n v="507.74"/>
    <n v="140.94999999999999"/>
    <n v="596.78"/>
    <n v="367.17"/>
    <n v="224.42"/>
    <n v="109.27"/>
    <n v="4554.72"/>
    <n v="115.14999999999999"/>
  </r>
  <r>
    <x v="5"/>
    <x v="1"/>
    <x v="0"/>
    <s v="2314200"/>
    <n v="700032"/>
    <s v="Salaries-Other Pat Care Providers-Productive"/>
    <s v="Univ Place Med&amp;Spec-Fam Med"/>
    <x v="0"/>
    <m/>
    <n v="24258.71"/>
    <n v="24680.01"/>
    <n v="22296.14"/>
    <n v="29193.73"/>
    <n v="23980.43"/>
    <n v="19506.89"/>
    <n v="23111.75"/>
    <n v="22491.11"/>
    <n v="22408.36"/>
    <n v="22771.61"/>
    <n v="26334.38"/>
    <n v="20374.62"/>
    <n v="281407.73999999993"/>
    <n v="5959.760000000002"/>
  </r>
  <r>
    <x v="5"/>
    <x v="1"/>
    <x v="0"/>
    <s v="2314200"/>
    <n v="700032"/>
    <s v="Salaries-Other Pat Care Providers-OT"/>
    <s v="Univ Place Med&amp;Spec-Fam Med"/>
    <x v="0"/>
    <n v="1000"/>
    <n v="752.53"/>
    <n v="1588.11"/>
    <n v="138.36000000000001"/>
    <n v="1100.71"/>
    <n v="982.76"/>
    <n v="1541.95"/>
    <n v="2119.7199999999998"/>
    <n v="100.32"/>
    <n v="549.38"/>
    <n v="1941.78"/>
    <n v="2051.58"/>
    <n v="2232.2399999999998"/>
    <n v="15099.439999999999"/>
    <n v="-180.65999999999985"/>
  </r>
  <r>
    <x v="5"/>
    <x v="1"/>
    <x v="0"/>
    <s v="2314200"/>
    <n v="700032"/>
    <s v="Salaries-Other Pat Care Providers-Other"/>
    <s v="Univ Place Med&amp;Spec-Fam Med"/>
    <x v="0"/>
    <n v="2000"/>
    <n v="88.41"/>
    <n v="94.18"/>
    <n v="80.63"/>
    <n v="92.79"/>
    <n v="88.57"/>
    <n v="109.01"/>
    <n v="113.03"/>
    <n v="94.37"/>
    <n v="109.04"/>
    <n v="109.64"/>
    <n v="116.15"/>
    <n v="99.5"/>
    <n v="1195.32"/>
    <n v="16.650000000000006"/>
  </r>
  <r>
    <x v="5"/>
    <x v="1"/>
    <x v="0"/>
    <s v="2314200"/>
    <n v="700054"/>
    <s v="Salaries-Management-NonProd-Other"/>
    <s v="Univ Place Med&amp;Spec-Fam Med"/>
    <x v="0"/>
    <n v="2000"/>
    <n v="0"/>
    <n v="0"/>
    <n v="0"/>
    <n v="0"/>
    <n v="0"/>
    <n v="790.09"/>
    <n v="-790.09"/>
    <n v="0"/>
    <n v="0"/>
    <n v="0"/>
    <n v="0"/>
    <n v="0"/>
    <n v="0"/>
    <n v="0"/>
  </r>
  <r>
    <x v="5"/>
    <x v="1"/>
    <x v="0"/>
    <s v="2314200"/>
    <n v="700062"/>
    <s v="Salaries-Physician-Non-productive"/>
    <s v="Univ Place Med&amp;Spec-Fam Med"/>
    <x v="0"/>
    <m/>
    <n v="35125.64"/>
    <n v="9514.16"/>
    <n v="10132"/>
    <n v="3785.08"/>
    <n v="8082.12"/>
    <n v="37701.019999999997"/>
    <n v="17098.28"/>
    <n v="14806.35"/>
    <n v="6651.25"/>
    <n v="8565.7900000000009"/>
    <n v="2042.41"/>
    <n v="22145.75"/>
    <n v="175649.85"/>
    <n v="-20103.34"/>
  </r>
  <r>
    <x v="5"/>
    <x v="1"/>
    <x v="0"/>
    <s v="2314200"/>
    <n v="700062"/>
    <s v="Salaries-Physician-NonProd-Other"/>
    <s v="Univ Place Med&amp;Spec-Fam Med"/>
    <x v="0"/>
    <n v="2000"/>
    <n v="0"/>
    <n v="0"/>
    <n v="0"/>
    <n v="0"/>
    <n v="275"/>
    <n v="0"/>
    <n v="0"/>
    <n v="-275"/>
    <n v="0"/>
    <n v="0"/>
    <n v="0"/>
    <n v="0"/>
    <n v="0"/>
    <n v="0"/>
  </r>
  <r>
    <x v="5"/>
    <x v="1"/>
    <x v="0"/>
    <s v="2314200"/>
    <n v="700064"/>
    <s v="Salaries-Advanced Practice Clinician-Non-Productive"/>
    <s v="Univ Place Med&amp;Spec-Fam Med"/>
    <x v="0"/>
    <m/>
    <n v="2310.48"/>
    <n v="-385.08"/>
    <n v="0"/>
    <n v="1160.0999999999999"/>
    <n v="0"/>
    <n v="1293.27"/>
    <n v="1059.8499999999999"/>
    <n v="0"/>
    <n v="0"/>
    <n v="1910.52"/>
    <n v="337.16"/>
    <n v="0"/>
    <n v="7686.3000000000011"/>
    <n v="337.16"/>
  </r>
  <r>
    <x v="5"/>
    <x v="1"/>
    <x v="0"/>
    <s v="2314200"/>
    <n v="700070"/>
    <s v="Salaries-LPN-Non-productive"/>
    <s v="Univ Place Med&amp;Spec-Fam Med"/>
    <x v="0"/>
    <m/>
    <n v="1283.1600000000001"/>
    <n v="997.71"/>
    <n v="-12.46"/>
    <n v="0"/>
    <n v="0"/>
    <n v="1008.78"/>
    <n v="127.27"/>
    <n v="0"/>
    <n v="492.98"/>
    <n v="-3.44"/>
    <n v="123.27"/>
    <n v="1832.92"/>
    <n v="5850.19"/>
    <n v="-1709.65"/>
  </r>
  <r>
    <x v="5"/>
    <x v="1"/>
    <x v="0"/>
    <s v="2314200"/>
    <n v="700070"/>
    <s v="Salaries-LPN-NonProd-Other"/>
    <s v="Univ Place Med&amp;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4200"/>
    <n v="700072"/>
    <s v="Salaries-Other Pat Care Providers-Non-productive"/>
    <s v="Univ Place Med&amp;Spec-Fam Med"/>
    <x v="0"/>
    <m/>
    <n v="3821.81"/>
    <n v="4400.1099999999997"/>
    <n v="3391.65"/>
    <n v="391.84"/>
    <n v="4475.08"/>
    <n v="10766.96"/>
    <n v="8324.99"/>
    <n v="2202.5300000000002"/>
    <n v="2982.93"/>
    <n v="2466.16"/>
    <n v="576.4"/>
    <n v="3523.38"/>
    <n v="47323.839999999997"/>
    <n v="-2946.98"/>
  </r>
  <r>
    <x v="5"/>
    <x v="1"/>
    <x v="0"/>
    <s v="2314200"/>
    <n v="700072"/>
    <s v="Salaries-Other Pat Care Providers-NonProd-Other"/>
    <s v="Univ Place Med&amp;Spec-Fam Med"/>
    <x v="0"/>
    <n v="2000"/>
    <n v="0"/>
    <n v="0"/>
    <n v="0"/>
    <n v="0"/>
    <n v="1362.46"/>
    <n v="1984.09"/>
    <n v="0"/>
    <n v="-3346.55"/>
    <n v="0"/>
    <n v="0"/>
    <n v="0"/>
    <n v="0"/>
    <n v="0"/>
    <n v="0"/>
  </r>
  <r>
    <x v="5"/>
    <x v="1"/>
    <x v="0"/>
    <s v="2314200"/>
    <n v="700084"/>
    <s v="Accrued PTO"/>
    <s v="Univ Place Med&amp;Spec-Fam Med"/>
    <x v="0"/>
    <m/>
    <n v="-661.21"/>
    <n v="-532.09"/>
    <n v="-244.35"/>
    <n v="2947.3"/>
    <n v="1351.16"/>
    <n v="-2148.52"/>
    <n v="-1717.3"/>
    <n v="-97.61"/>
    <n v="814.66"/>
    <n v="1412.5"/>
    <n v="1772.6"/>
    <n v="-1141.47"/>
    <n v="1755.6700000000003"/>
    <n v="2914.0699999999997"/>
  </r>
  <r>
    <x v="6"/>
    <x v="1"/>
    <x v="0"/>
    <s v="2314200"/>
    <n v="713010"/>
    <s v="Benefits-FICA/Medicare"/>
    <s v="Univ Place Med&amp;Spec-Fam Med"/>
    <x v="0"/>
    <m/>
    <n v="6429.43"/>
    <n v="6049.07"/>
    <n v="4631.21"/>
    <n v="5292.11"/>
    <n v="5454.16"/>
    <n v="9362.68"/>
    <n v="14089.73"/>
    <n v="11902.97"/>
    <n v="12803.37"/>
    <n v="12936.11"/>
    <n v="11647.98"/>
    <n v="3676.22"/>
    <n v="104275.04"/>
    <n v="7971.76"/>
  </r>
  <r>
    <x v="6"/>
    <x v="1"/>
    <x v="0"/>
    <s v="2314200"/>
    <n v="713090"/>
    <s v="Benefits-Allocated Amounts"/>
    <s v="Univ Place Med&amp;Spec-Fam Med"/>
    <x v="0"/>
    <m/>
    <n v="0"/>
    <n v="0"/>
    <n v="0"/>
    <n v="0"/>
    <n v="0"/>
    <n v="0"/>
    <n v="0"/>
    <n v="0"/>
    <n v="112142.15"/>
    <n v="12162.78"/>
    <n v="12472"/>
    <n v="12121.45"/>
    <n v="148898.38"/>
    <n v="350.54999999999927"/>
  </r>
  <r>
    <x v="6"/>
    <x v="1"/>
    <x v="0"/>
    <s v="2314200"/>
    <n v="713092"/>
    <s v="Allocated Benefits-Physician"/>
    <s v="Univ Place Med&amp;Spec-Fam Med"/>
    <x v="0"/>
    <m/>
    <n v="17687.13"/>
    <n v="16763.75"/>
    <n v="15917.31"/>
    <n v="16345.81"/>
    <n v="16343.44"/>
    <n v="17432.689999999999"/>
    <n v="20351.189999999999"/>
    <n v="18034.11"/>
    <n v="-72599.66"/>
    <n v="7188.17"/>
    <n v="7370.92"/>
    <n v="7163.76"/>
    <n v="87998.619999999981"/>
    <n v="207.15999999999985"/>
  </r>
  <r>
    <x v="6"/>
    <x v="1"/>
    <x v="0"/>
    <s v="2314200"/>
    <n v="713093"/>
    <s v="Allocated Benefits-Advanced Practice Clinician"/>
    <s v="Univ Place Med&amp;Spec-Fam Med"/>
    <x v="0"/>
    <m/>
    <n v="2922.9"/>
    <n v="2770.31"/>
    <n v="2630.43"/>
    <n v="2701.24"/>
    <n v="2700.86"/>
    <n v="2880.85"/>
    <n v="3363.16"/>
    <n v="2980.24"/>
    <n v="-16399.88"/>
    <n v="710.41"/>
    <n v="728.48"/>
    <n v="708"/>
    <n v="8696.9999999999964"/>
    <n v="20.480000000000018"/>
  </r>
  <r>
    <x v="7"/>
    <x v="1"/>
    <x v="0"/>
    <s v="2314200"/>
    <n v="718040"/>
    <s v="Contract Svcs-Laboratory"/>
    <s v="Univ Place Med&amp;Spec-Fam Med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2314200"/>
    <n v="718050"/>
    <s v="Contract Svcs-Other"/>
    <s v="Univ Place Med&amp;Spec-Fam Med"/>
    <x v="0"/>
    <m/>
    <n v="0"/>
    <n v="0"/>
    <n v="0"/>
    <n v="0"/>
    <n v="0"/>
    <n v="0"/>
    <n v="0"/>
    <n v="0"/>
    <n v="0"/>
    <n v="294.38"/>
    <n v="0"/>
    <n v="0"/>
    <n v="294.38"/>
    <n v="0"/>
  </r>
  <r>
    <x v="0"/>
    <x v="1"/>
    <x v="0"/>
    <s v="2314200"/>
    <n v="740022"/>
    <s v="Education-Physician"/>
    <s v="Univ Place Med&amp;Spec-Fam Med"/>
    <x v="0"/>
    <m/>
    <n v="0"/>
    <n v="0"/>
    <n v="250"/>
    <n v="0"/>
    <n v="1590"/>
    <n v="0"/>
    <n v="0"/>
    <n v="0"/>
    <n v="390"/>
    <n v="1410"/>
    <n v="0"/>
    <n v="1295"/>
    <n v="4935"/>
    <n v="-1295"/>
  </r>
  <r>
    <x v="0"/>
    <x v="1"/>
    <x v="0"/>
    <s v="2314200"/>
    <n v="740022"/>
    <s v="Books-Physician"/>
    <s v="Univ Place Med&amp;Spec-Fam Med"/>
    <x v="0"/>
    <n v="2000"/>
    <n v="0"/>
    <n v="0"/>
    <n v="0"/>
    <n v="0"/>
    <n v="0"/>
    <n v="0"/>
    <n v="0"/>
    <n v="0"/>
    <n v="569.28"/>
    <n v="0"/>
    <n v="0"/>
    <n v="0"/>
    <n v="569.28"/>
    <n v="0"/>
  </r>
  <r>
    <x v="0"/>
    <x v="1"/>
    <x v="0"/>
    <s v="2314200"/>
    <n v="740022"/>
    <s v="Education Travel-Physician"/>
    <s v="Univ Place Med&amp;Spec-Fam Med"/>
    <x v="0"/>
    <n v="2001"/>
    <n v="0"/>
    <n v="0"/>
    <n v="0"/>
    <n v="0"/>
    <n v="0"/>
    <n v="0"/>
    <n v="0"/>
    <n v="0"/>
    <n v="0"/>
    <n v="446.6"/>
    <n v="0"/>
    <n v="0"/>
    <n v="446.6"/>
    <n v="0"/>
  </r>
  <r>
    <x v="8"/>
    <x v="1"/>
    <x v="0"/>
    <s v="2314200"/>
    <n v="741012"/>
    <s v="Physician Liab Insurance-CHI Program"/>
    <s v="Univ Place Med&amp;Spec-Fam Med"/>
    <x v="0"/>
    <m/>
    <n v="3126.2"/>
    <n v="3126.2"/>
    <n v="3126.2"/>
    <n v="3126.2"/>
    <n v="3126.21"/>
    <n v="3126.19"/>
    <n v="3126.21"/>
    <n v="3126.19"/>
    <n v="3126.21"/>
    <n v="3126.19"/>
    <n v="3126.21"/>
    <n v="3126.19"/>
    <n v="37514.399999999994"/>
    <n v="1.999999999998181E-2"/>
  </r>
  <r>
    <x v="0"/>
    <x v="1"/>
    <x v="0"/>
    <s v="2314200"/>
    <n v="743022"/>
    <s v="Dues-Physician"/>
    <s v="Univ Place Med&amp;Spec-Fam Med"/>
    <x v="0"/>
    <m/>
    <n v="200"/>
    <n v="0"/>
    <n v="0"/>
    <n v="0"/>
    <n v="0"/>
    <n v="2520"/>
    <n v="0"/>
    <n v="3030"/>
    <n v="0"/>
    <n v="800"/>
    <n v="0"/>
    <n v="0"/>
    <n v="6550"/>
    <n v="0"/>
  </r>
  <r>
    <x v="0"/>
    <x v="1"/>
    <x v="0"/>
    <s v="2314200"/>
    <n v="749510"/>
    <s v="Miscellaneous Expenses"/>
    <s v="Univ Place Med&amp;Spec-Fam Med"/>
    <x v="0"/>
    <m/>
    <n v="0"/>
    <n v="0"/>
    <n v="0"/>
    <n v="2125.1"/>
    <n v="-1285.0999999999999"/>
    <n v="-840"/>
    <n v="0"/>
    <n v="0"/>
    <n v="164.84"/>
    <n v="0"/>
    <n v="0"/>
    <n v="2828.61"/>
    <n v="2993.4500000000003"/>
    <n v="-2828.61"/>
  </r>
  <r>
    <x v="0"/>
    <x v="1"/>
    <x v="0"/>
    <s v="2314200"/>
    <n v="749512"/>
    <s v="Licenses-Physician"/>
    <s v="Univ Place Med&amp;Spec-Fam Med"/>
    <x v="0"/>
    <n v="2000"/>
    <n v="200"/>
    <n v="0"/>
    <n v="0"/>
    <n v="0"/>
    <n v="659.5"/>
    <n v="0"/>
    <n v="0"/>
    <n v="659.5"/>
    <n v="2231"/>
    <n v="441"/>
    <n v="0"/>
    <n v="659.5"/>
    <n v="4850.5"/>
    <n v="-659.5"/>
  </r>
  <r>
    <x v="0"/>
    <x v="1"/>
    <x v="0"/>
    <s v="2314200"/>
    <n v="749513"/>
    <s v="Licenses-Advanced Practice Clinician"/>
    <s v="Univ Place Med&amp;Spec-Fam Med"/>
    <x v="0"/>
    <n v="2000"/>
    <n v="0"/>
    <n v="0"/>
    <n v="0"/>
    <n v="0"/>
    <n v="0"/>
    <n v="0"/>
    <n v="0"/>
    <n v="120"/>
    <n v="0"/>
    <n v="0"/>
    <n v="0"/>
    <n v="926"/>
    <n v="1046"/>
    <n v="-926"/>
  </r>
  <r>
    <x v="0"/>
    <x v="1"/>
    <x v="0"/>
    <s v="2314200"/>
    <n v="749532"/>
    <s v="Travel-Physician"/>
    <s v="Univ Place Med&amp;Spec-Fam Med"/>
    <x v="0"/>
    <m/>
    <n v="0"/>
    <n v="0"/>
    <n v="0"/>
    <n v="0"/>
    <n v="2417.69"/>
    <n v="0"/>
    <n v="0"/>
    <n v="0"/>
    <n v="0"/>
    <n v="2074.12"/>
    <n v="0"/>
    <n v="0"/>
    <n v="4491.8099999999995"/>
    <n v="0"/>
  </r>
  <r>
    <x v="0"/>
    <x v="1"/>
    <x v="0"/>
    <s v="2314200"/>
    <n v="749591"/>
    <s v="Other Expense-Intracompany Allocation"/>
    <s v="Univ Place Med&amp;Spec-Fam Med"/>
    <x v="0"/>
    <m/>
    <n v="77964.69"/>
    <n v="76502.16"/>
    <n v="76085.2"/>
    <n v="97029.27"/>
    <n v="89848.62"/>
    <n v="85870.18"/>
    <n v="77075.37"/>
    <n v="76724.09"/>
    <n v="78102.97"/>
    <n v="95001.11"/>
    <n v="95438.51"/>
    <n v="78152.479999999996"/>
    <n v="1003794.6499999999"/>
    <n v="17286.03"/>
  </r>
  <r>
    <x v="1"/>
    <x v="1"/>
    <x v="0"/>
    <s v="2315200"/>
    <n v="400029"/>
    <s v="MD Practice Other Rev--Medicare"/>
    <s v="Univ Place Med&amp;Spec-Int Med"/>
    <x v="0"/>
    <n v="1100"/>
    <n v="-84"/>
    <n v="-77"/>
    <n v="-20"/>
    <n v="-20"/>
    <n v="-65"/>
    <n v="-99"/>
    <n v="-124"/>
    <n v="-195"/>
    <n v="-315"/>
    <n v="-149"/>
    <n v="-134"/>
    <n v="-49"/>
    <n v="-1331"/>
    <n v="-85"/>
  </r>
  <r>
    <x v="1"/>
    <x v="1"/>
    <x v="0"/>
    <s v="2315200"/>
    <n v="400029"/>
    <s v="MD Practice Other Rev--Medicaid"/>
    <s v="Univ Place Med&amp;Spec-Int Med"/>
    <x v="0"/>
    <n v="1200"/>
    <n v="-113"/>
    <n v="-139"/>
    <n v="-55"/>
    <n v="-34"/>
    <n v="-44"/>
    <n v="-59"/>
    <n v="-144"/>
    <n v="-214"/>
    <n v="-120"/>
    <n v="-64"/>
    <n v="-124"/>
    <n v="-20"/>
    <n v="-1130"/>
    <n v="-104"/>
  </r>
  <r>
    <x v="1"/>
    <x v="1"/>
    <x v="0"/>
    <s v="2315200"/>
    <n v="400029"/>
    <s v="MD Practice Other Rev--Comm Insurance"/>
    <s v="Univ Place Med&amp;Spec-Int Med"/>
    <x v="0"/>
    <n v="1300"/>
    <n v="0"/>
    <n v="0"/>
    <n v="-10"/>
    <n v="0"/>
    <n v="-10"/>
    <n v="0"/>
    <n v="-65"/>
    <n v="-190"/>
    <n v="-55"/>
    <n v="0"/>
    <n v="0"/>
    <n v="0"/>
    <n v="-330"/>
    <n v="0"/>
  </r>
  <r>
    <x v="1"/>
    <x v="1"/>
    <x v="0"/>
    <s v="2315200"/>
    <n v="400029"/>
    <s v="MD Practice Other Rev--BCBS Comm"/>
    <s v="Univ Place Med&amp;Spec-Int Med"/>
    <x v="0"/>
    <n v="1301"/>
    <n v="0"/>
    <n v="0"/>
    <n v="0"/>
    <n v="-69"/>
    <n v="0"/>
    <n v="0"/>
    <n v="0"/>
    <n v="-145"/>
    <n v="0"/>
    <n v="-100"/>
    <n v="-24"/>
    <n v="-45"/>
    <n v="-383"/>
    <n v="21"/>
  </r>
  <r>
    <x v="1"/>
    <x v="1"/>
    <x v="0"/>
    <s v="2315200"/>
    <n v="400029"/>
    <s v="MD Practice Other Rev--Managed Care"/>
    <s v="Univ Place Med&amp;Spec-Int Med"/>
    <x v="0"/>
    <n v="1400"/>
    <n v="-58"/>
    <n v="-64"/>
    <n v="-10"/>
    <n v="-24"/>
    <n v="-89"/>
    <n v="-65"/>
    <n v="-55"/>
    <n v="-639"/>
    <n v="-235"/>
    <n v="-785"/>
    <n v="-85"/>
    <n v="-68"/>
    <n v="-2177"/>
    <n v="-17"/>
  </r>
  <r>
    <x v="1"/>
    <x v="1"/>
    <x v="0"/>
    <s v="2315200"/>
    <n v="400029"/>
    <s v="MD Practice Other Rev--Self Pay"/>
    <s v="Univ Place Med&amp;Spec-Int Med"/>
    <x v="0"/>
    <n v="1500"/>
    <n v="0"/>
    <n v="0"/>
    <n v="0"/>
    <n v="-10"/>
    <n v="0"/>
    <n v="-24"/>
    <n v="0"/>
    <n v="0"/>
    <n v="0"/>
    <n v="-10"/>
    <n v="0"/>
    <n v="0"/>
    <n v="-44"/>
    <n v="0"/>
  </r>
  <r>
    <x v="1"/>
    <x v="1"/>
    <x v="0"/>
    <s v="2315200"/>
    <n v="400029"/>
    <s v="MD Practice Other Rev--Other"/>
    <s v="Univ Place Med&amp;Spec-Int Med"/>
    <x v="0"/>
    <n v="1700"/>
    <n v="0"/>
    <n v="0"/>
    <n v="0"/>
    <n v="0"/>
    <n v="0"/>
    <n v="0"/>
    <n v="0"/>
    <n v="0"/>
    <n v="0"/>
    <n v="0"/>
    <n v="-10"/>
    <n v="-10"/>
    <n v="-20"/>
    <n v="0"/>
  </r>
  <r>
    <x v="1"/>
    <x v="1"/>
    <x v="0"/>
    <s v="2315200"/>
    <n v="400040"/>
    <s v="Physician Svcs Rev--Medicare"/>
    <s v="Univ Place Med&amp;Spec-Int Med"/>
    <x v="0"/>
    <n v="1100"/>
    <n v="-48775"/>
    <n v="-59462"/>
    <n v="-46308"/>
    <n v="-53193"/>
    <n v="-48260"/>
    <n v="-53982"/>
    <n v="-52176.5"/>
    <n v="-42895"/>
    <n v="-46210"/>
    <n v="-54794"/>
    <n v="-55837"/>
    <n v="-53603.6"/>
    <n v="-615496.1"/>
    <n v="-2233.4000000000015"/>
  </r>
  <r>
    <x v="1"/>
    <x v="1"/>
    <x v="0"/>
    <s v="2315200"/>
    <n v="400040"/>
    <s v="Physician Svcs Rev--Medicaid"/>
    <s v="Univ Place Med&amp;Spec-Int Med"/>
    <x v="0"/>
    <n v="1200"/>
    <n v="-19870"/>
    <n v="-22686"/>
    <n v="-19040"/>
    <n v="-24212"/>
    <n v="-21077.13"/>
    <n v="-15852.19"/>
    <n v="-22510"/>
    <n v="-18578"/>
    <n v="-21627"/>
    <n v="-20979.81"/>
    <n v="-18516"/>
    <n v="-18457"/>
    <n v="-243405.13"/>
    <n v="-59"/>
  </r>
  <r>
    <x v="1"/>
    <x v="1"/>
    <x v="0"/>
    <s v="2315200"/>
    <n v="400040"/>
    <s v="Physician Svcs Rev--Comm Insurance"/>
    <s v="Univ Place Med&amp;Spec-Int Med"/>
    <x v="0"/>
    <n v="1300"/>
    <n v="-3798"/>
    <n v="-4735"/>
    <n v="-4148"/>
    <n v="-4459"/>
    <n v="-2501"/>
    <n v="-2343"/>
    <n v="-5141"/>
    <n v="-4427"/>
    <n v="-1505"/>
    <n v="-1451"/>
    <n v="-1850"/>
    <n v="-2450"/>
    <n v="-38808"/>
    <n v="600"/>
  </r>
  <r>
    <x v="1"/>
    <x v="1"/>
    <x v="0"/>
    <s v="2315200"/>
    <n v="400040"/>
    <s v="Physician Svcs Rev--BCBS Comm"/>
    <s v="Univ Place Med&amp;Spec-Int Med"/>
    <x v="0"/>
    <n v="1301"/>
    <n v="-7411"/>
    <n v="-7035"/>
    <n v="-7251"/>
    <n v="-6758"/>
    <n v="-5297"/>
    <n v="-6941"/>
    <n v="-6504"/>
    <n v="-6566"/>
    <n v="-6047"/>
    <n v="-4369"/>
    <n v="-9537"/>
    <n v="-5824"/>
    <n v="-79540"/>
    <n v="-3713"/>
  </r>
  <r>
    <x v="1"/>
    <x v="1"/>
    <x v="0"/>
    <s v="2315200"/>
    <n v="400040"/>
    <s v="Physician Svcs Rev--Managed Care"/>
    <s v="Univ Place Med&amp;Spec-Int Med"/>
    <x v="0"/>
    <n v="1400"/>
    <n v="-16473.23"/>
    <n v="-31775"/>
    <n v="-28157"/>
    <n v="-27779"/>
    <n v="-21592"/>
    <n v="-36087"/>
    <n v="-27233"/>
    <n v="-31393"/>
    <n v="-28701"/>
    <n v="-29925"/>
    <n v="-29439"/>
    <n v="-24226"/>
    <n v="-332780.23"/>
    <n v="-5213"/>
  </r>
  <r>
    <x v="1"/>
    <x v="1"/>
    <x v="0"/>
    <s v="2315200"/>
    <n v="400040"/>
    <s v="Physician Svcs Rev--Self Pay"/>
    <s v="Univ Place Med&amp;Spec-Int Med"/>
    <x v="0"/>
    <n v="1500"/>
    <n v="-295"/>
    <n v="-295"/>
    <n v="-200"/>
    <n v="-1006"/>
    <n v="-294"/>
    <n v="-1085"/>
    <n v="-583"/>
    <n v="-521"/>
    <n v="-200"/>
    <n v="-1279"/>
    <n v="-121"/>
    <n v="-200"/>
    <n v="-6079"/>
    <n v="79"/>
  </r>
  <r>
    <x v="1"/>
    <x v="1"/>
    <x v="0"/>
    <s v="2315200"/>
    <n v="400040"/>
    <s v="Physician Svcs Rev--Other"/>
    <s v="Univ Place Med&amp;Spec-Int Med"/>
    <x v="0"/>
    <n v="1700"/>
    <n v="-1817"/>
    <n v="-2276"/>
    <n v="-4410"/>
    <n v="-3789"/>
    <n v="-2481"/>
    <n v="-2409"/>
    <n v="-3530"/>
    <n v="-1284"/>
    <n v="-50"/>
    <n v="-3200"/>
    <n v="-2718"/>
    <n v="-2841"/>
    <n v="-30805"/>
    <n v="123"/>
  </r>
  <r>
    <x v="2"/>
    <x v="1"/>
    <x v="0"/>
    <s v="2315200"/>
    <n v="450029"/>
    <s v="Contr Allow--MD Other-Medicare"/>
    <s v="Univ Place Med&amp;Spec-Int Med"/>
    <x v="0"/>
    <n v="1100"/>
    <n v="12.38"/>
    <n v="57.69"/>
    <n v="12.38"/>
    <n v="28.97"/>
    <n v="13.11"/>
    <n v="35.369999999999997"/>
    <n v="69.84"/>
    <n v="59.54"/>
    <n v="173.89"/>
    <n v="255.49"/>
    <n v="19.77"/>
    <n v="109.96"/>
    <n v="848.39"/>
    <n v="-90.19"/>
  </r>
  <r>
    <x v="2"/>
    <x v="1"/>
    <x v="0"/>
    <s v="2315200"/>
    <n v="450029"/>
    <s v="Contr Allow--MD Other-Medicaid"/>
    <s v="Univ Place Med&amp;Spec-Int Med"/>
    <x v="0"/>
    <n v="1200"/>
    <n v="55.48"/>
    <n v="127.72"/>
    <n v="57.55"/>
    <n v="6.78"/>
    <n v="34.450000000000003"/>
    <n v="44.57"/>
    <n v="29.68"/>
    <n v="192.06"/>
    <n v="102.56"/>
    <n v="27.62"/>
    <n v="107.33"/>
    <n v="0"/>
    <n v="785.8"/>
    <n v="107.33"/>
  </r>
  <r>
    <x v="2"/>
    <x v="1"/>
    <x v="0"/>
    <s v="2315200"/>
    <n v="450029"/>
    <s v="Contr Allow--MD Other-Comm Insurance"/>
    <s v="Univ Place Med&amp;Spec-Int Med"/>
    <x v="0"/>
    <n v="1300"/>
    <n v="0"/>
    <n v="0"/>
    <n v="0"/>
    <n v="6.38"/>
    <n v="4.43"/>
    <n v="0"/>
    <n v="8.52"/>
    <n v="75.98"/>
    <n v="22.32"/>
    <n v="18.059999999999999"/>
    <n v="0"/>
    <n v="0"/>
    <n v="135.69"/>
    <n v="0"/>
  </r>
  <r>
    <x v="2"/>
    <x v="1"/>
    <x v="0"/>
    <s v="2315200"/>
    <n v="450029"/>
    <s v="Contr Allow--MD Other BCBS Comm"/>
    <s v="Univ Place Med&amp;Spec-Int Med"/>
    <x v="0"/>
    <n v="1301"/>
    <n v="7.32"/>
    <n v="0"/>
    <n v="0"/>
    <n v="18.829999999999998"/>
    <n v="0"/>
    <n v="0"/>
    <n v="0"/>
    <n v="63.62"/>
    <n v="28.56"/>
    <n v="57.12"/>
    <n v="6.5"/>
    <n v="7.09"/>
    <n v="189.04"/>
    <n v="-0.58999999999999986"/>
  </r>
  <r>
    <x v="2"/>
    <x v="1"/>
    <x v="0"/>
    <s v="2315200"/>
    <n v="450029"/>
    <s v="Contr Allow--MD Other-Managed Care"/>
    <s v="Univ Place Med&amp;Spec-Int Med"/>
    <x v="0"/>
    <n v="1400"/>
    <n v="6.52"/>
    <n v="37.82"/>
    <n v="13.04"/>
    <n v="21.61"/>
    <n v="37.58"/>
    <n v="6.22"/>
    <n v="41.58"/>
    <n v="189.33"/>
    <n v="259.47000000000003"/>
    <n v="303.68"/>
    <n v="226.88"/>
    <n v="35.26"/>
    <n v="1178.99"/>
    <n v="191.62"/>
  </r>
  <r>
    <x v="2"/>
    <x v="1"/>
    <x v="0"/>
    <s v="2315200"/>
    <n v="450029"/>
    <s v="Admin Adjust-MD Other-Self Pay"/>
    <s v="Univ Place Med&amp;Spec-Int Med"/>
    <x v="0"/>
    <n v="1600"/>
    <n v="0"/>
    <n v="-4.76"/>
    <n v="0"/>
    <n v="7.08"/>
    <n v="0"/>
    <n v="8.8800000000000008"/>
    <n v="0"/>
    <n v="0"/>
    <n v="0"/>
    <n v="5.5"/>
    <n v="3.28"/>
    <n v="0"/>
    <n v="19.980000000000004"/>
    <n v="3.28"/>
  </r>
  <r>
    <x v="2"/>
    <x v="1"/>
    <x v="0"/>
    <s v="2315200"/>
    <n v="450029"/>
    <s v="Contr Allow--MD Other-Other"/>
    <s v="Univ Place Med&amp;Spec-Int Med"/>
    <x v="0"/>
    <n v="1700"/>
    <n v="0"/>
    <n v="0"/>
    <n v="0"/>
    <n v="0"/>
    <n v="0"/>
    <n v="0"/>
    <n v="0"/>
    <n v="0"/>
    <n v="0"/>
    <n v="0"/>
    <n v="0"/>
    <n v="7.17"/>
    <n v="7.17"/>
    <n v="-7.17"/>
  </r>
  <r>
    <x v="2"/>
    <x v="1"/>
    <x v="0"/>
    <s v="2315200"/>
    <n v="450040"/>
    <s v="Contr Allow--Phys Svcs--Mcare"/>
    <s v="Univ Place Med&amp;Spec-Int Med"/>
    <x v="0"/>
    <n v="1100"/>
    <n v="31073.65"/>
    <n v="33565.17"/>
    <n v="31429.05"/>
    <n v="34989.370000000003"/>
    <n v="32114.33"/>
    <n v="31486.32"/>
    <n v="33168.949999999997"/>
    <n v="30784.3"/>
    <n v="27040.52"/>
    <n v="35956.639999999999"/>
    <n v="34119.46"/>
    <n v="31152.27"/>
    <n v="386880.03000000009"/>
    <n v="2967.1899999999987"/>
  </r>
  <r>
    <x v="2"/>
    <x v="1"/>
    <x v="0"/>
    <s v="2315200"/>
    <n v="450040"/>
    <s v="Contr Allow--Phys Svcs--Mcaid"/>
    <s v="Univ Place Med&amp;Spec-Int Med"/>
    <x v="0"/>
    <n v="1200"/>
    <n v="15391.5"/>
    <n v="18376.669999999998"/>
    <n v="14378.84"/>
    <n v="14524.04"/>
    <n v="18176"/>
    <n v="10581.7"/>
    <n v="17509.34"/>
    <n v="13641.05"/>
    <n v="15842.86"/>
    <n v="18517.98"/>
    <n v="15253.74"/>
    <n v="12407.91"/>
    <n v="184601.63"/>
    <n v="2845.83"/>
  </r>
  <r>
    <x v="2"/>
    <x v="1"/>
    <x v="0"/>
    <s v="2315200"/>
    <n v="450040"/>
    <s v="Contr Allow--Phys Svcs--Comm Insurance"/>
    <s v="Univ Place Med&amp;Spec-Int Med"/>
    <x v="0"/>
    <n v="1300"/>
    <n v="801.97"/>
    <n v="1874.85"/>
    <n v="1363.49"/>
    <n v="2371.23"/>
    <n v="1619.96"/>
    <n v="438.44"/>
    <n v="1044.4000000000001"/>
    <n v="1682.07"/>
    <n v="1337.32"/>
    <n v="632.13"/>
    <n v="466.37"/>
    <n v="1014.82"/>
    <n v="14647.049999999997"/>
    <n v="-548.45000000000005"/>
  </r>
  <r>
    <x v="2"/>
    <x v="1"/>
    <x v="0"/>
    <s v="2315200"/>
    <n v="450040"/>
    <s v="Contr Allow--Phys Svcs--BCBS Comm Ins"/>
    <s v="Univ Place Med&amp;Spec-Int Med"/>
    <x v="0"/>
    <n v="1301"/>
    <n v="2012.26"/>
    <n v="2793.9"/>
    <n v="1859.34"/>
    <n v="1946.07"/>
    <n v="1483.85"/>
    <n v="2228.0300000000002"/>
    <n v="915.35"/>
    <n v="1893.81"/>
    <n v="2731.06"/>
    <n v="1241.8800000000001"/>
    <n v="1550.88"/>
    <n v="2107.41"/>
    <n v="22763.840000000004"/>
    <n v="-556.52999999999975"/>
  </r>
  <r>
    <x v="2"/>
    <x v="1"/>
    <x v="0"/>
    <s v="2315200"/>
    <n v="450040"/>
    <s v="Contr Allow--Phys Svcs--Managed Care"/>
    <s v="Univ Place Med&amp;Spec-Int Med"/>
    <x v="0"/>
    <n v="1400"/>
    <n v="7494.25"/>
    <n v="11926.88"/>
    <n v="9090.43"/>
    <n v="9387.24"/>
    <n v="10456.530000000001"/>
    <n v="9013.2800000000007"/>
    <n v="8242.74"/>
    <n v="9975.93"/>
    <n v="12219.31"/>
    <n v="9300.83"/>
    <n v="13103.44"/>
    <n v="8793.3799999999992"/>
    <n v="119004.24"/>
    <n v="4310.0600000000013"/>
  </r>
  <r>
    <x v="2"/>
    <x v="1"/>
    <x v="0"/>
    <s v="2315200"/>
    <n v="450040"/>
    <s v="Contr Allow--Phys Svcs--BCBS Mgnd Care"/>
    <s v="Univ Place Med&amp;Spec-Int Med"/>
    <x v="0"/>
    <n v="1401"/>
    <n v="-2664.33"/>
    <n v="252.76"/>
    <n v="1851.69"/>
    <n v="509.25"/>
    <n v="-7818.29"/>
    <n v="7543.99"/>
    <n v="6781.47"/>
    <n v="66.849999999999994"/>
    <n v="-3948.38"/>
    <n v="445.01"/>
    <n v="-98.72"/>
    <n v="2675.85"/>
    <n v="5597.1500000000005"/>
    <n v="-2774.5699999999997"/>
  </r>
  <r>
    <x v="2"/>
    <x v="1"/>
    <x v="0"/>
    <s v="2315200"/>
    <n v="450040"/>
    <s v="Admin Adjust-Phys Svcs-Self Pay"/>
    <s v="Univ Place Med&amp;Spec-Int Med"/>
    <x v="0"/>
    <n v="1600"/>
    <n v="352.93"/>
    <n v="-160.31"/>
    <n v="295.14999999999998"/>
    <n v="702.02"/>
    <n v="109.23"/>
    <n v="485.69"/>
    <n v="387.17"/>
    <n v="255.05"/>
    <n v="206.24"/>
    <n v="522.01"/>
    <n v="-216.05"/>
    <n v="242.69"/>
    <n v="3181.82"/>
    <n v="-458.74"/>
  </r>
  <r>
    <x v="2"/>
    <x v="1"/>
    <x v="0"/>
    <s v="2315200"/>
    <n v="450040"/>
    <s v="Contr Allow--Phys Svcs--Other"/>
    <s v="Univ Place Med&amp;Spec-Int Med"/>
    <x v="0"/>
    <n v="1700"/>
    <n v="841.1"/>
    <n v="2386"/>
    <n v="311.02"/>
    <n v="3294.16"/>
    <n v="1543.37"/>
    <n v="1809.35"/>
    <n v="1832.7"/>
    <n v="1258.18"/>
    <n v="1541.29"/>
    <n v="1213.3499999999999"/>
    <n v="1321"/>
    <n v="924.43"/>
    <n v="18275.950000000004"/>
    <n v="396.57000000000005"/>
  </r>
  <r>
    <x v="3"/>
    <x v="1"/>
    <x v="0"/>
    <s v="2315200"/>
    <n v="470040"/>
    <s v="Charity Care-Physician Svcs"/>
    <s v="Univ Place Med&amp;Spec-Int Med"/>
    <x v="0"/>
    <m/>
    <n v="-175.11"/>
    <n v="625.59"/>
    <n v="458.67"/>
    <n v="618.72"/>
    <n v="-202.45"/>
    <n v="282.69"/>
    <n v="408.57"/>
    <n v="-39.369999999999997"/>
    <n v="1372.32"/>
    <n v="634.99"/>
    <n v="51.02"/>
    <n v="763.08"/>
    <n v="4798.72"/>
    <n v="-712.06000000000006"/>
  </r>
  <r>
    <x v="4"/>
    <x v="1"/>
    <x v="0"/>
    <s v="2315200"/>
    <n v="490010"/>
    <s v="Provision for Bad Debts"/>
    <s v="Univ Place Med&amp;Spec-Int Med"/>
    <x v="0"/>
    <m/>
    <n v="1125.8800000000001"/>
    <n v="-138.15"/>
    <n v="165.47"/>
    <n v="780.26"/>
    <n v="-13.25"/>
    <n v="1336.83"/>
    <n v="1591.99"/>
    <n v="597.39"/>
    <n v="-905.52"/>
    <n v="-318.72000000000003"/>
    <n v="363.52"/>
    <n v="1875.85"/>
    <n v="6461.5499999999993"/>
    <n v="-1512.33"/>
  </r>
  <r>
    <x v="5"/>
    <x v="1"/>
    <x v="0"/>
    <s v="2315200"/>
    <n v="700022"/>
    <s v="Salaries-Physician-Productive"/>
    <s v="Univ Place Med&amp;Spec-Int Med"/>
    <x v="0"/>
    <m/>
    <n v="25055.34"/>
    <n v="29287.200000000001"/>
    <n v="21257.1"/>
    <n v="23776.46"/>
    <n v="26746.04"/>
    <n v="24115.35"/>
    <n v="28752.55"/>
    <n v="26099.97"/>
    <n v="24987.84"/>
    <n v="29560.76"/>
    <n v="30094.98"/>
    <n v="22895.54"/>
    <n v="312629.13"/>
    <n v="7199.4399999999987"/>
  </r>
  <r>
    <x v="5"/>
    <x v="1"/>
    <x v="0"/>
    <s v="2315200"/>
    <n v="700032"/>
    <s v="Salaries-Other Pat Care Providers-Productive"/>
    <s v="Univ Place Med&amp;Spec-Int Med"/>
    <x v="0"/>
    <m/>
    <n v="4503.18"/>
    <n v="2583.17"/>
    <n v="5903.1"/>
    <n v="6761.14"/>
    <n v="6259.5"/>
    <n v="3616.57"/>
    <n v="5979.04"/>
    <n v="5731.09"/>
    <n v="4910.33"/>
    <n v="4916.99"/>
    <n v="6518.13"/>
    <n v="5357.65"/>
    <n v="63039.889999999992"/>
    <n v="1160.4800000000005"/>
  </r>
  <r>
    <x v="5"/>
    <x v="1"/>
    <x v="0"/>
    <s v="2315200"/>
    <n v="700032"/>
    <s v="Salaries-Other Pat Care Providers-OT"/>
    <s v="Univ Place Med&amp;Spec-Int Med"/>
    <x v="0"/>
    <n v="1000"/>
    <n v="94.83"/>
    <n v="16.739999999999998"/>
    <n v="404.38"/>
    <n v="72.48"/>
    <n v="192.49"/>
    <n v="0"/>
    <n v="164.13"/>
    <n v="133.61000000000001"/>
    <n v="212.81"/>
    <n v="108.79"/>
    <n v="134.58000000000001"/>
    <n v="381.71"/>
    <n v="1916.55"/>
    <n v="-247.12999999999997"/>
  </r>
  <r>
    <x v="5"/>
    <x v="1"/>
    <x v="0"/>
    <s v="2315200"/>
    <n v="700062"/>
    <s v="Salaries-Physician-Non-productive"/>
    <s v="Univ Place Med&amp;Spec-Int Med"/>
    <x v="0"/>
    <m/>
    <n v="1378"/>
    <n v="0"/>
    <n v="3936.5"/>
    <n v="5196.18"/>
    <n v="2021.32"/>
    <n v="3445.05"/>
    <n v="1478.85"/>
    <n v="0"/>
    <n v="2449.77"/>
    <n v="-816.59"/>
    <n v="0"/>
    <n v="3271.2"/>
    <n v="22360.28"/>
    <n v="-3271.2"/>
  </r>
  <r>
    <x v="5"/>
    <x v="1"/>
    <x v="0"/>
    <s v="2315200"/>
    <n v="700062"/>
    <s v="Salaries-Physician-NonProd-Other"/>
    <s v="Univ Place Med&amp;Spec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5200"/>
    <n v="700072"/>
    <s v="Salaries-Other Pat Care Providers-Non-productive"/>
    <s v="Univ Place Med&amp;Spec-Int Med"/>
    <x v="0"/>
    <m/>
    <n v="991.6"/>
    <n v="3086.36"/>
    <n v="-297.48"/>
    <n v="0"/>
    <n v="419.26"/>
    <n v="1837.14"/>
    <n v="651.65"/>
    <n v="-86.51"/>
    <n v="311.73"/>
    <n v="1539.92"/>
    <n v="141.24"/>
    <n v="381.71"/>
    <n v="8976.619999999999"/>
    <n v="-240.46999999999997"/>
  </r>
  <r>
    <x v="5"/>
    <x v="1"/>
    <x v="0"/>
    <s v="2315200"/>
    <n v="700072"/>
    <s v="Salaries-Other Pat Care Providers-NonProd-Other"/>
    <s v="Univ Place Med&amp;Spec-Int Med"/>
    <x v="0"/>
    <n v="2000"/>
    <n v="0"/>
    <n v="0"/>
    <n v="0"/>
    <n v="0"/>
    <n v="295.98"/>
    <n v="0"/>
    <n v="0"/>
    <n v="-295.98"/>
    <n v="0"/>
    <n v="0"/>
    <n v="0"/>
    <n v="0"/>
    <n v="0"/>
    <n v="0"/>
  </r>
  <r>
    <x v="5"/>
    <x v="1"/>
    <x v="0"/>
    <s v="2315200"/>
    <n v="700084"/>
    <s v="Accrued PTO"/>
    <s v="Univ Place Med&amp;Spec-Int Med"/>
    <x v="0"/>
    <m/>
    <n v="259.94"/>
    <n v="-1650.27"/>
    <n v="-231.79"/>
    <n v="505.95"/>
    <n v="257.91000000000003"/>
    <n v="-1344.45"/>
    <n v="-142.80000000000001"/>
    <n v="543.27"/>
    <n v="234.53"/>
    <n v="-561.04999999999995"/>
    <n v="338.97"/>
    <n v="454.58"/>
    <n v="-1335.2100000000003"/>
    <n v="-115.60999999999996"/>
  </r>
  <r>
    <x v="6"/>
    <x v="1"/>
    <x v="0"/>
    <s v="2315200"/>
    <n v="713010"/>
    <s v="Benefits-FICA/Medicare"/>
    <s v="Univ Place Med&amp;Spec-Int Med"/>
    <x v="0"/>
    <m/>
    <n v="770"/>
    <n v="810.82"/>
    <n v="783.15"/>
    <n v="894.95"/>
    <n v="964.5"/>
    <n v="1643.7"/>
    <n v="2759.51"/>
    <n v="2375.33"/>
    <n v="2450.94"/>
    <n v="2631.5"/>
    <n v="1571.17"/>
    <n v="592.72"/>
    <n v="18248.29"/>
    <n v="978.45"/>
  </r>
  <r>
    <x v="6"/>
    <x v="1"/>
    <x v="0"/>
    <s v="2315200"/>
    <n v="713090"/>
    <s v="Benefits-Allocated Amounts"/>
    <s v="Univ Place Med&amp;Spec-Int Med"/>
    <x v="0"/>
    <m/>
    <n v="0"/>
    <n v="0"/>
    <n v="0"/>
    <n v="0"/>
    <n v="0"/>
    <n v="0"/>
    <n v="0"/>
    <n v="0"/>
    <n v="17312.150000000001"/>
    <n v="2125.27"/>
    <n v="2083.27"/>
    <n v="2035.97"/>
    <n v="23556.660000000003"/>
    <n v="47.299999999999955"/>
  </r>
  <r>
    <x v="6"/>
    <x v="1"/>
    <x v="0"/>
    <s v="2315200"/>
    <n v="713092"/>
    <s v="Allocated Benefits-Physician"/>
    <s v="Univ Place Med&amp;Spec-Int Med"/>
    <x v="0"/>
    <m/>
    <n v="3280.66"/>
    <n v="3002.42"/>
    <n v="3174.14"/>
    <n v="3388.51"/>
    <n v="3372.19"/>
    <n v="3356.43"/>
    <n v="4085.23"/>
    <n v="3795.41"/>
    <n v="-13241.74"/>
    <n v="1744.85"/>
    <n v="1710.35"/>
    <n v="1671.54"/>
    <n v="19339.989999999998"/>
    <n v="38.809999999999945"/>
  </r>
  <r>
    <x v="0"/>
    <x v="1"/>
    <x v="0"/>
    <s v="2315200"/>
    <n v="740022"/>
    <s v="Education-Physician"/>
    <s v="Univ Place Med&amp;Spec-Int Med"/>
    <x v="0"/>
    <m/>
    <n v="0"/>
    <n v="0"/>
    <n v="0"/>
    <n v="0"/>
    <n v="0"/>
    <n v="0"/>
    <n v="125"/>
    <n v="0"/>
    <n v="0"/>
    <n v="0"/>
    <n v="0"/>
    <n v="1410"/>
    <n v="1535"/>
    <n v="-1410"/>
  </r>
  <r>
    <x v="8"/>
    <x v="1"/>
    <x v="0"/>
    <s v="2315200"/>
    <n v="741012"/>
    <s v="Physician Liab Insurance-CHI Program"/>
    <s v="Univ Place Med&amp;Spec-Int Med"/>
    <x v="0"/>
    <m/>
    <n v="473.67"/>
    <n v="473.67"/>
    <n v="473.67"/>
    <n v="473.67"/>
    <n v="473.67"/>
    <n v="473.66"/>
    <n v="473.67"/>
    <n v="473.66"/>
    <n v="473.67"/>
    <n v="473.66"/>
    <n v="473.67"/>
    <n v="473.66"/>
    <n v="5683.9999999999991"/>
    <n v="9.9999999999909051E-3"/>
  </r>
  <r>
    <x v="0"/>
    <x v="1"/>
    <x v="0"/>
    <s v="2315200"/>
    <n v="743022"/>
    <s v="Dues-Physician"/>
    <s v="Univ Place Med&amp;Spec-Int Med"/>
    <x v="0"/>
    <m/>
    <n v="0"/>
    <n v="0"/>
    <n v="0"/>
    <n v="0"/>
    <n v="0"/>
    <n v="0"/>
    <n v="0"/>
    <n v="820"/>
    <n v="0"/>
    <n v="0"/>
    <n v="0"/>
    <n v="0"/>
    <n v="820"/>
    <n v="0"/>
  </r>
  <r>
    <x v="0"/>
    <x v="1"/>
    <x v="0"/>
    <s v="2315200"/>
    <n v="743030"/>
    <s v="Subscriptions--Institutional"/>
    <s v="Univ Place Med&amp;Spec-Int Med"/>
    <x v="0"/>
    <m/>
    <n v="1169.1099999999999"/>
    <n v="0"/>
    <n v="0"/>
    <n v="0"/>
    <n v="0"/>
    <n v="0"/>
    <n v="0"/>
    <n v="0"/>
    <n v="0"/>
    <n v="0"/>
    <n v="0"/>
    <n v="0"/>
    <n v="1169.1099999999999"/>
    <n v="0"/>
  </r>
  <r>
    <x v="0"/>
    <x v="1"/>
    <x v="0"/>
    <s v="2315200"/>
    <n v="743042"/>
    <s v="Subscriptions-Physician"/>
    <s v="Univ Place Med&amp;Spec-Int Med"/>
    <x v="0"/>
    <m/>
    <n v="624.23"/>
    <n v="0"/>
    <n v="0"/>
    <n v="0"/>
    <n v="0"/>
    <n v="0"/>
    <n v="0"/>
    <n v="0"/>
    <n v="0"/>
    <n v="0"/>
    <n v="0"/>
    <n v="0"/>
    <n v="624.23"/>
    <n v="0"/>
  </r>
  <r>
    <x v="0"/>
    <x v="1"/>
    <x v="0"/>
    <s v="2315200"/>
    <n v="749510"/>
    <s v="Miscellaneous Expenses"/>
    <s v="Univ Place Med&amp;Spec-Int Med"/>
    <x v="0"/>
    <m/>
    <n v="-1169.1099999999999"/>
    <n v="0"/>
    <n v="0"/>
    <n v="0"/>
    <n v="0"/>
    <n v="592.4"/>
    <n v="-592.4"/>
    <n v="0"/>
    <n v="0"/>
    <n v="0"/>
    <n v="0"/>
    <n v="0"/>
    <n v="-1169.1099999999999"/>
    <n v="0"/>
  </r>
  <r>
    <x v="0"/>
    <x v="1"/>
    <x v="0"/>
    <s v="2315200"/>
    <n v="749532"/>
    <s v="Travel-Physician"/>
    <s v="Univ Place Med&amp;Spec-Int Med"/>
    <x v="0"/>
    <m/>
    <n v="0"/>
    <n v="0"/>
    <n v="0"/>
    <n v="0"/>
    <n v="377.41"/>
    <n v="0"/>
    <n v="467.4"/>
    <n v="0"/>
    <n v="0"/>
    <n v="0"/>
    <n v="0"/>
    <n v="0"/>
    <n v="844.81"/>
    <n v="0"/>
  </r>
  <r>
    <x v="0"/>
    <x v="1"/>
    <x v="0"/>
    <s v="2315200"/>
    <n v="749591"/>
    <s v="Other Expense-Intracompany Allocation"/>
    <s v="Univ Place Med&amp;Spec-Int Med"/>
    <x v="0"/>
    <m/>
    <n v="17991.849999999999"/>
    <n v="15324.53"/>
    <n v="16410.53"/>
    <n v="14502.66"/>
    <n v="17619.43"/>
    <n v="16837.29"/>
    <n v="17388.8"/>
    <n v="15344.82"/>
    <n v="15620.6"/>
    <n v="15744.52"/>
    <n v="18713.43"/>
    <n v="21186.22"/>
    <n v="202684.68"/>
    <n v="-2472.7900000000009"/>
  </r>
  <r>
    <x v="1"/>
    <x v="1"/>
    <x v="0"/>
    <s v="2316200"/>
    <n v="400029"/>
    <s v="MD Practice Other Rev--Medicaid"/>
    <s v="Univ Place Med&amp;Spec-Peds"/>
    <x v="0"/>
    <n v="1200"/>
    <n v="-328"/>
    <n v="-354"/>
    <n v="-555"/>
    <n v="-548"/>
    <n v="-563"/>
    <n v="-519"/>
    <n v="-356"/>
    <n v="-1033"/>
    <n v="-1086"/>
    <n v="-718"/>
    <n v="-927"/>
    <n v="-610"/>
    <n v="-7597"/>
    <n v="-317"/>
  </r>
  <r>
    <x v="1"/>
    <x v="1"/>
    <x v="0"/>
    <s v="2316200"/>
    <n v="400029"/>
    <s v="MD Practice Other Rev--Comm Insurance"/>
    <s v="Univ Place Med&amp;Spec-Peds"/>
    <x v="0"/>
    <n v="1300"/>
    <n v="0"/>
    <n v="0"/>
    <n v="0"/>
    <n v="0"/>
    <n v="-55"/>
    <n v="0"/>
    <n v="0"/>
    <n v="0"/>
    <n v="0"/>
    <n v="0"/>
    <n v="-45"/>
    <n v="-45"/>
    <n v="-145"/>
    <n v="0"/>
  </r>
  <r>
    <x v="1"/>
    <x v="1"/>
    <x v="0"/>
    <s v="2316200"/>
    <n v="400029"/>
    <s v="MD Practice Other Rev--BCBS Comm"/>
    <s v="Univ Place Med&amp;Spec-Peds"/>
    <x v="0"/>
    <n v="1301"/>
    <n v="-90"/>
    <n v="-180"/>
    <n v="-55"/>
    <n v="-240"/>
    <n v="-89"/>
    <n v="-55"/>
    <n v="-40"/>
    <n v="-155"/>
    <n v="-560"/>
    <n v="-234"/>
    <n v="-100"/>
    <n v="-45"/>
    <n v="-1843"/>
    <n v="-55"/>
  </r>
  <r>
    <x v="1"/>
    <x v="1"/>
    <x v="0"/>
    <s v="2316200"/>
    <n v="400029"/>
    <s v="MD Practice Other Rev--Managed Care"/>
    <s v="Univ Place Med&amp;Spec-Peds"/>
    <x v="0"/>
    <n v="1400"/>
    <n v="-367"/>
    <n v="-174"/>
    <n v="-210"/>
    <n v="-309"/>
    <n v="-358"/>
    <n v="-499"/>
    <n v="-455"/>
    <n v="-470"/>
    <n v="-1604"/>
    <n v="-425"/>
    <n v="-325"/>
    <n v="-257"/>
    <n v="-5453"/>
    <n v="-68"/>
  </r>
  <r>
    <x v="1"/>
    <x v="1"/>
    <x v="0"/>
    <s v="2316200"/>
    <n v="400029"/>
    <s v="MD Practice Other Rev--Self Pay"/>
    <s v="Univ Place Med&amp;Spec-Peds"/>
    <x v="0"/>
    <n v="1500"/>
    <n v="0"/>
    <n v="0"/>
    <n v="-45"/>
    <n v="0"/>
    <n v="0"/>
    <n v="0"/>
    <n v="0"/>
    <n v="0"/>
    <n v="0"/>
    <n v="0"/>
    <n v="-10"/>
    <n v="-10"/>
    <n v="-65"/>
    <n v="0"/>
  </r>
  <r>
    <x v="1"/>
    <x v="1"/>
    <x v="0"/>
    <s v="2316200"/>
    <n v="400029"/>
    <s v="MD Practice Other Rev--Other"/>
    <s v="Univ Place Med&amp;Spec-Peds"/>
    <x v="0"/>
    <n v="1700"/>
    <n v="-95"/>
    <n v="-20"/>
    <n v="-55"/>
    <n v="0"/>
    <n v="-124"/>
    <n v="-65"/>
    <n v="-214"/>
    <n v="-65"/>
    <n v="-144"/>
    <n v="-145"/>
    <n v="-45"/>
    <n v="-100"/>
    <n v="-1072"/>
    <n v="55"/>
  </r>
  <r>
    <x v="1"/>
    <x v="1"/>
    <x v="0"/>
    <s v="2316200"/>
    <n v="400040"/>
    <s v="Physician Svcs Rev--Medicare"/>
    <s v="Univ Place Med&amp;Spec-Peds"/>
    <x v="0"/>
    <n v="1100"/>
    <n v="0"/>
    <n v="0"/>
    <n v="0"/>
    <n v="0"/>
    <n v="275"/>
    <n v="0"/>
    <n v="0"/>
    <n v="-464"/>
    <n v="0"/>
    <n v="0"/>
    <n v="0"/>
    <n v="0"/>
    <n v="-189"/>
    <n v="0"/>
  </r>
  <r>
    <x v="1"/>
    <x v="1"/>
    <x v="0"/>
    <s v="2316200"/>
    <n v="400040"/>
    <s v="Physician Svcs Rev--Medicaid"/>
    <s v="Univ Place Med&amp;Spec-Peds"/>
    <x v="0"/>
    <n v="1200"/>
    <n v="-99221.32"/>
    <n v="-138952.48000000001"/>
    <n v="-136537.12"/>
    <n v="-133593.49"/>
    <n v="-132134.24"/>
    <n v="-121324.08"/>
    <n v="-158400.04"/>
    <n v="-140689.35999999999"/>
    <n v="-156914.07999999999"/>
    <n v="-135886.66"/>
    <n v="-152594.84"/>
    <n v="-125238.38"/>
    <n v="-1631486.0899999999"/>
    <n v="-27356.459999999992"/>
  </r>
  <r>
    <x v="1"/>
    <x v="1"/>
    <x v="0"/>
    <s v="2316200"/>
    <n v="400040"/>
    <s v="Physician Svcs Rev--Comm Insurance"/>
    <s v="Univ Place Med&amp;Spec-Peds"/>
    <x v="0"/>
    <n v="1300"/>
    <n v="-4776.05"/>
    <n v="-5908.03"/>
    <n v="-6686.01"/>
    <n v="-5699.75"/>
    <n v="-9017.9"/>
    <n v="-4237.33"/>
    <n v="-6713.74"/>
    <n v="-4399.13"/>
    <n v="-4090.34"/>
    <n v="-3290.82"/>
    <n v="-4923.5200000000004"/>
    <n v="-5395.09"/>
    <n v="-65137.709999999992"/>
    <n v="471.56999999999971"/>
  </r>
  <r>
    <x v="1"/>
    <x v="1"/>
    <x v="0"/>
    <s v="2316200"/>
    <n v="400040"/>
    <s v="Physician Svcs Rev--BCBS Comm"/>
    <s v="Univ Place Med&amp;Spec-Peds"/>
    <x v="0"/>
    <n v="1301"/>
    <n v="-19451.939999999999"/>
    <n v="-30014.21"/>
    <n v="-27457.59"/>
    <n v="-34200.92"/>
    <n v="-34420.97"/>
    <n v="-25089.57"/>
    <n v="-30568.11"/>
    <n v="-26478.27"/>
    <n v="-32351.64"/>
    <n v="-27556.31"/>
    <n v="-26413.17"/>
    <n v="-33173.480000000003"/>
    <n v="-347176.17999999993"/>
    <n v="6760.3100000000049"/>
  </r>
  <r>
    <x v="1"/>
    <x v="1"/>
    <x v="0"/>
    <s v="2316200"/>
    <n v="400040"/>
    <s v="Physician Svcs Rev--Managed Care"/>
    <s v="Univ Place Med&amp;Spec-Peds"/>
    <x v="0"/>
    <n v="1400"/>
    <n v="-81365.259999999995"/>
    <n v="-138972.41"/>
    <n v="-109737.12"/>
    <n v="-122044.61"/>
    <n v="-116106.4"/>
    <n v="-111124.42"/>
    <n v="-124228.44"/>
    <n v="-102357.45"/>
    <n v="-107578.31"/>
    <n v="-99848.14"/>
    <n v="-124630.18"/>
    <n v="-107114.54"/>
    <n v="-1345107.2799999998"/>
    <n v="-17515.64"/>
  </r>
  <r>
    <x v="1"/>
    <x v="1"/>
    <x v="0"/>
    <s v="2316200"/>
    <n v="400040"/>
    <s v="Physician Svcs Rev--Self Pay"/>
    <s v="Univ Place Med&amp;Spec-Peds"/>
    <x v="0"/>
    <n v="1500"/>
    <n v="-4253.8100000000004"/>
    <n v="-4145.4799999999996"/>
    <n v="-3869.25"/>
    <n v="-2133"/>
    <n v="-2492.16"/>
    <n v="-1388.56"/>
    <n v="-1213.96"/>
    <n v="-5822.27"/>
    <n v="-1323.57"/>
    <n v="-1860.08"/>
    <n v="-2014.07"/>
    <n v="-1106"/>
    <n v="-31622.21"/>
    <n v="-908.06999999999994"/>
  </r>
  <r>
    <x v="1"/>
    <x v="1"/>
    <x v="0"/>
    <s v="2316200"/>
    <n v="400040"/>
    <s v="Physician Svcs Rev--Other"/>
    <s v="Univ Place Med&amp;Spec-Peds"/>
    <x v="0"/>
    <n v="1700"/>
    <n v="-19737.68"/>
    <n v="-23409.06"/>
    <n v="-29349.27"/>
    <n v="-26920.45"/>
    <n v="-23179.88"/>
    <n v="-22217.9"/>
    <n v="-29306.04"/>
    <n v="-28114.01"/>
    <n v="-29734.11"/>
    <n v="-25563.07"/>
    <n v="-31478.880000000001"/>
    <n v="-22746.09"/>
    <n v="-311756.44000000006"/>
    <n v="-8732.7900000000009"/>
  </r>
  <r>
    <x v="2"/>
    <x v="1"/>
    <x v="0"/>
    <s v="2316200"/>
    <n v="450029"/>
    <s v="Contr Allow--MD Other-Medicaid"/>
    <s v="Univ Place Med&amp;Spec-Peds"/>
    <x v="0"/>
    <n v="1200"/>
    <n v="386.03"/>
    <n v="354.53"/>
    <n v="147.21"/>
    <n v="545.75"/>
    <n v="481.04"/>
    <n v="355.79"/>
    <n v="270.05"/>
    <n v="409.12"/>
    <n v="700.14"/>
    <n v="704.79"/>
    <n v="590.53"/>
    <n v="353.44"/>
    <n v="5298.4199999999992"/>
    <n v="237.08999999999997"/>
  </r>
  <r>
    <x v="2"/>
    <x v="1"/>
    <x v="0"/>
    <s v="2316200"/>
    <n v="450029"/>
    <s v="Contr Allow--MD Other-Comm Insurance"/>
    <s v="Univ Place Med&amp;Spec-Peds"/>
    <x v="0"/>
    <n v="1300"/>
    <n v="22.8"/>
    <n v="0"/>
    <n v="0"/>
    <n v="27.29"/>
    <n v="0"/>
    <n v="0"/>
    <n v="3.91"/>
    <n v="0"/>
    <n v="0"/>
    <n v="0"/>
    <n v="27.29"/>
    <n v="27.29"/>
    <n v="108.57999999999998"/>
    <n v="0"/>
  </r>
  <r>
    <x v="2"/>
    <x v="1"/>
    <x v="0"/>
    <s v="2316200"/>
    <n v="450029"/>
    <s v="Contr Allow--MD Other BCBS Comm"/>
    <s v="Univ Place Med&amp;Spec-Peds"/>
    <x v="0"/>
    <n v="1301"/>
    <n v="6.48"/>
    <n v="30.21"/>
    <n v="85.53"/>
    <n v="63.62"/>
    <n v="120.65"/>
    <n v="105.39"/>
    <n v="13"/>
    <n v="13"/>
    <n v="270.04000000000002"/>
    <n v="248.57"/>
    <n v="128.88999999999999"/>
    <n v="30.73"/>
    <n v="1116.1100000000001"/>
    <n v="98.159999999999982"/>
  </r>
  <r>
    <x v="2"/>
    <x v="1"/>
    <x v="0"/>
    <s v="2316200"/>
    <n v="450029"/>
    <s v="Contr Allow--MD Other-Managed Care"/>
    <s v="Univ Place Med&amp;Spec-Peds"/>
    <x v="0"/>
    <n v="1400"/>
    <n v="110.83"/>
    <n v="342.16"/>
    <n v="75"/>
    <n v="270.55"/>
    <n v="197.75"/>
    <n v="177.93"/>
    <n v="213.49"/>
    <n v="315.55"/>
    <n v="730.67"/>
    <n v="759.88"/>
    <n v="177.51"/>
    <n v="170.96"/>
    <n v="3542.2799999999997"/>
    <n v="6.5499999999999829"/>
  </r>
  <r>
    <x v="2"/>
    <x v="1"/>
    <x v="0"/>
    <s v="2316200"/>
    <n v="450029"/>
    <s v="Admin Adjust-MD Other-Self Pay"/>
    <s v="Univ Place Med&amp;Spec-Peds"/>
    <x v="0"/>
    <n v="1600"/>
    <n v="5.82"/>
    <n v="-18.510000000000002"/>
    <n v="34.75"/>
    <n v="23.64"/>
    <n v="0"/>
    <n v="9.34"/>
    <n v="0.88"/>
    <n v="10"/>
    <n v="11.92"/>
    <n v="9.1999999999999993"/>
    <n v="6.45"/>
    <n v="3.99"/>
    <n v="97.480000000000018"/>
    <n v="2.46"/>
  </r>
  <r>
    <x v="2"/>
    <x v="1"/>
    <x v="0"/>
    <s v="2316200"/>
    <n v="450029"/>
    <s v="Contr Allow--MD Other-Other"/>
    <s v="Univ Place Med&amp;Spec-Peds"/>
    <x v="0"/>
    <n v="1700"/>
    <n v="37.17"/>
    <n v="100.72"/>
    <n v="38.72"/>
    <n v="0"/>
    <n v="0"/>
    <n v="62.89"/>
    <n v="70.27"/>
    <n v="17"/>
    <n v="227.14"/>
    <n v="73.099999999999994"/>
    <n v="104.65"/>
    <n v="31.55"/>
    <n v="763.20999999999992"/>
    <n v="73.100000000000009"/>
  </r>
  <r>
    <x v="2"/>
    <x v="1"/>
    <x v="0"/>
    <s v="2316200"/>
    <n v="450040"/>
    <s v="Contr Allow--Phys Svcs--Mcaid"/>
    <s v="Univ Place Med&amp;Spec-Peds"/>
    <x v="0"/>
    <n v="1200"/>
    <n v="73251.23"/>
    <n v="97680.18"/>
    <n v="88154.49"/>
    <n v="98467.89"/>
    <n v="82571.520000000004"/>
    <n v="73898.06"/>
    <n v="89523.77"/>
    <n v="85023.21"/>
    <n v="107019"/>
    <n v="85966.55"/>
    <n v="96253.66"/>
    <n v="83426.720000000001"/>
    <n v="1061236.28"/>
    <n v="12826.940000000002"/>
  </r>
  <r>
    <x v="2"/>
    <x v="1"/>
    <x v="0"/>
    <s v="2316200"/>
    <n v="450040"/>
    <s v="Contr Allow--Phys Svcs--Comm Insurance"/>
    <s v="Univ Place Med&amp;Spec-Peds"/>
    <x v="0"/>
    <n v="1300"/>
    <n v="5100.92"/>
    <n v="2927.04"/>
    <n v="3067.63"/>
    <n v="2434.4899999999998"/>
    <n v="4572.8599999999997"/>
    <n v="2032.81"/>
    <n v="2278.58"/>
    <n v="1777.5"/>
    <n v="2097.11"/>
    <n v="1247.03"/>
    <n v="1831.21"/>
    <n v="2413.66"/>
    <n v="31780.84"/>
    <n v="-582.44999999999982"/>
  </r>
  <r>
    <x v="2"/>
    <x v="1"/>
    <x v="0"/>
    <s v="2316200"/>
    <n v="450040"/>
    <s v="Contr Allow--Phys Svcs--BCBS Comm Ins"/>
    <s v="Univ Place Med&amp;Spec-Peds"/>
    <x v="0"/>
    <n v="1301"/>
    <n v="33823.61"/>
    <n v="8295.2000000000007"/>
    <n v="18849.47"/>
    <n v="12468.33"/>
    <n v="12998.23"/>
    <n v="12714.9"/>
    <n v="10541.81"/>
    <n v="10818.02"/>
    <n v="13719.21"/>
    <n v="10195.27"/>
    <n v="10461.549999999999"/>
    <n v="15762.55"/>
    <n v="170648.14999999997"/>
    <n v="-5301"/>
  </r>
  <r>
    <x v="2"/>
    <x v="1"/>
    <x v="0"/>
    <s v="2316200"/>
    <n v="450040"/>
    <s v="Contr Allow--Phys Svcs--Managed Care"/>
    <s v="Univ Place Med&amp;Spec-Peds"/>
    <x v="0"/>
    <n v="1400"/>
    <n v="115317.44"/>
    <n v="41533.160000000003"/>
    <n v="83496.960000000006"/>
    <n v="50933.85"/>
    <n v="60239.6"/>
    <n v="47599.98"/>
    <n v="49261.98"/>
    <n v="46127.34"/>
    <n v="51731.58"/>
    <n v="48893.68"/>
    <n v="55439.1"/>
    <n v="55390.79"/>
    <n v="705965.46"/>
    <n v="48.309999999997672"/>
  </r>
  <r>
    <x v="2"/>
    <x v="1"/>
    <x v="0"/>
    <s v="2316200"/>
    <n v="450040"/>
    <s v="Contr Allow--Phys Svcs--BCBS Mgnd Care"/>
    <s v="Univ Place Med&amp;Spec-Peds"/>
    <x v="0"/>
    <n v="1401"/>
    <n v="-65974.880000000005"/>
    <n v="10455.91"/>
    <n v="-14827.18"/>
    <n v="1952.7"/>
    <n v="-6133.13"/>
    <n v="4353.2700000000004"/>
    <n v="26283.42"/>
    <n v="7616.64"/>
    <n v="-11659.56"/>
    <n v="-7503.84"/>
    <n v="5547.08"/>
    <n v="-2758.61"/>
    <n v="-52648.179999999993"/>
    <n v="8305.69"/>
  </r>
  <r>
    <x v="2"/>
    <x v="1"/>
    <x v="0"/>
    <s v="2316200"/>
    <n v="450040"/>
    <s v="Prompt Pay Disc-Phys Svcs-Self Pay"/>
    <s v="Univ Place Med&amp;Spec-Peds"/>
    <x v="0"/>
    <n v="1500"/>
    <n v="0"/>
    <n v="0"/>
    <n v="0"/>
    <n v="0"/>
    <n v="0"/>
    <n v="0"/>
    <n v="205.33"/>
    <n v="0"/>
    <n v="0"/>
    <n v="0"/>
    <n v="0"/>
    <n v="0"/>
    <n v="205.33"/>
    <n v="0"/>
  </r>
  <r>
    <x v="2"/>
    <x v="1"/>
    <x v="0"/>
    <s v="2316200"/>
    <n v="450040"/>
    <s v="Admin Adjust-Phys Svcs-Self Pay"/>
    <s v="Univ Place Med&amp;Spec-Peds"/>
    <x v="0"/>
    <n v="1600"/>
    <n v="1463.81"/>
    <n v="1247.48"/>
    <n v="3128.5"/>
    <n v="1572.01"/>
    <n v="914.85"/>
    <n v="1056.29"/>
    <n v="736.07"/>
    <n v="3001.64"/>
    <n v="251.29"/>
    <n v="101.11"/>
    <n v="1290.8399999999999"/>
    <n v="906.11"/>
    <n v="15670"/>
    <n v="384.7299999999999"/>
  </r>
  <r>
    <x v="2"/>
    <x v="1"/>
    <x v="0"/>
    <s v="2316200"/>
    <n v="450040"/>
    <s v="Contr Allow--Phys Svcs--Other"/>
    <s v="Univ Place Med&amp;Spec-Peds"/>
    <x v="0"/>
    <n v="1700"/>
    <n v="24655.24"/>
    <n v="29777.72"/>
    <n v="21065.72"/>
    <n v="20752.11"/>
    <n v="14735.55"/>
    <n v="16108.19"/>
    <n v="16296.06"/>
    <n v="16302.91"/>
    <n v="20000.310000000001"/>
    <n v="22973.53"/>
    <n v="24080.95"/>
    <n v="14351.34"/>
    <n v="241099.63000000003"/>
    <n v="9729.61"/>
  </r>
  <r>
    <x v="3"/>
    <x v="1"/>
    <x v="0"/>
    <s v="2316200"/>
    <n v="470040"/>
    <s v="Charity Care-Physician Svcs"/>
    <s v="Univ Place Med&amp;Spec-Peds"/>
    <x v="0"/>
    <m/>
    <n v="-1758.34"/>
    <n v="1644.91"/>
    <n v="-896.94"/>
    <n v="49.49"/>
    <n v="269.7"/>
    <n v="-386.73"/>
    <n v="1519.02"/>
    <n v="505.15"/>
    <n v="802.87"/>
    <n v="-358.35"/>
    <n v="11.85"/>
    <n v="2167.4"/>
    <n v="3570.03"/>
    <n v="-2155.5500000000002"/>
  </r>
  <r>
    <x v="4"/>
    <x v="1"/>
    <x v="0"/>
    <s v="2316200"/>
    <n v="490010"/>
    <s v="Provision for Bad Debts"/>
    <s v="Univ Place Med&amp;Spec-Peds"/>
    <x v="0"/>
    <m/>
    <n v="-7865.28"/>
    <n v="4035.33"/>
    <n v="-1749.51"/>
    <n v="919.46"/>
    <n v="3977.79"/>
    <n v="886.52"/>
    <n v="2937.57"/>
    <n v="1210.2"/>
    <n v="2430.91"/>
    <n v="1695.5"/>
    <n v="1716.12"/>
    <n v="3871.93"/>
    <n v="14066.54"/>
    <n v="-2155.81"/>
  </r>
  <r>
    <x v="14"/>
    <x v="1"/>
    <x v="0"/>
    <s v="2316200"/>
    <n v="600050"/>
    <s v="Miscellaneous Revenue"/>
    <s v="Univ Place Med&amp;Spec-Peds"/>
    <x v="0"/>
    <m/>
    <n v="0"/>
    <n v="0"/>
    <n v="0"/>
    <n v="0"/>
    <n v="0"/>
    <n v="0"/>
    <n v="0"/>
    <n v="0"/>
    <n v="0"/>
    <n v="0"/>
    <n v="-1000"/>
    <n v="0"/>
    <n v="-1000"/>
    <n v="-1000"/>
  </r>
  <r>
    <x v="5"/>
    <x v="1"/>
    <x v="0"/>
    <s v="2316200"/>
    <n v="700022"/>
    <s v="Salaries-Physician-Productive"/>
    <s v="Univ Place Med&amp;Spec-Peds"/>
    <x v="0"/>
    <m/>
    <n v="52468"/>
    <n v="80959.19"/>
    <n v="59973.49"/>
    <n v="70445.69"/>
    <n v="70983.199999999997"/>
    <n v="55921.89"/>
    <n v="72423.14"/>
    <n v="63137.15"/>
    <n v="70218.58"/>
    <n v="58449.41"/>
    <n v="76408.960000000006"/>
    <n v="51784"/>
    <n v="783172.7"/>
    <n v="24624.960000000006"/>
  </r>
  <r>
    <x v="5"/>
    <x v="1"/>
    <x v="0"/>
    <s v="2316200"/>
    <n v="700030"/>
    <s v="Salaries-LPN-Productive"/>
    <s v="Univ Place Med&amp;Spec-Peds"/>
    <x v="0"/>
    <m/>
    <n v="6472.42"/>
    <n v="7109.29"/>
    <n v="12274.16"/>
    <n v="11653.73"/>
    <n v="12230.73"/>
    <n v="10037.58"/>
    <n v="13408.8"/>
    <n v="10357.299999999999"/>
    <n v="13008.29"/>
    <n v="11732.45"/>
    <n v="12356.83"/>
    <n v="9780.58"/>
    <n v="130422.16000000002"/>
    <n v="2576.25"/>
  </r>
  <r>
    <x v="5"/>
    <x v="1"/>
    <x v="0"/>
    <s v="2316200"/>
    <n v="700030"/>
    <s v="Salaries-LPN-OT"/>
    <s v="Univ Place Med&amp;Spec-Peds"/>
    <x v="0"/>
    <n v="1000"/>
    <n v="0"/>
    <n v="0"/>
    <n v="106.45"/>
    <n v="159.03"/>
    <n v="-27.07"/>
    <n v="116.11"/>
    <n v="558.62"/>
    <n v="99.49"/>
    <n v="75.12"/>
    <n v="121.12"/>
    <n v="416.29"/>
    <n v="824.92"/>
    <n v="2450.08"/>
    <n v="-408.62999999999994"/>
  </r>
  <r>
    <x v="5"/>
    <x v="1"/>
    <x v="0"/>
    <s v="2316200"/>
    <n v="700030"/>
    <s v="Salaries-LPN-Other"/>
    <s v="Univ Place Med&amp;Spec-Peds"/>
    <x v="0"/>
    <n v="2000"/>
    <n v="0"/>
    <n v="0"/>
    <n v="0"/>
    <n v="0"/>
    <n v="0"/>
    <n v="12.82"/>
    <n v="0"/>
    <n v="0"/>
    <n v="0"/>
    <n v="0"/>
    <n v="0"/>
    <n v="0"/>
    <n v="12.82"/>
    <n v="0"/>
  </r>
  <r>
    <x v="5"/>
    <x v="1"/>
    <x v="0"/>
    <s v="2316200"/>
    <n v="700032"/>
    <s v="Salaries-Other Pat Care Providers-Productive"/>
    <s v="Univ Place Med&amp;Spec-Peds"/>
    <x v="0"/>
    <m/>
    <n v="3498.79"/>
    <n v="3703.68"/>
    <n v="3615.77"/>
    <n v="4632.8500000000004"/>
    <n v="3963.2"/>
    <n v="2330.46"/>
    <n v="-50.87"/>
    <n v="3630.18"/>
    <n v="4525.5"/>
    <n v="4367.9799999999996"/>
    <n v="4482.51"/>
    <n v="3196.09"/>
    <n v="41896.14"/>
    <n v="1286.42"/>
  </r>
  <r>
    <x v="5"/>
    <x v="1"/>
    <x v="0"/>
    <s v="2316200"/>
    <n v="700032"/>
    <s v="Salaries-Other Pat Care Providers-OT"/>
    <s v="Univ Place Med&amp;Spec-Peds"/>
    <x v="0"/>
    <n v="1000"/>
    <n v="0"/>
    <n v="0"/>
    <n v="0"/>
    <n v="249.76"/>
    <n v="-111"/>
    <n v="0"/>
    <n v="0"/>
    <n v="0"/>
    <n v="0"/>
    <n v="0"/>
    <n v="9.92"/>
    <n v="258.08"/>
    <n v="406.76"/>
    <n v="-248.16"/>
  </r>
  <r>
    <x v="5"/>
    <x v="1"/>
    <x v="0"/>
    <s v="2316200"/>
    <n v="700054"/>
    <s v="Salaries-Management-NonProd-Other"/>
    <s v="Univ Place Med&amp;Spec-Peds"/>
    <x v="0"/>
    <n v="2000"/>
    <n v="0"/>
    <n v="0"/>
    <n v="0"/>
    <n v="0"/>
    <n v="0"/>
    <n v="988.86"/>
    <n v="-988.86"/>
    <n v="0"/>
    <n v="0"/>
    <n v="0"/>
    <n v="0"/>
    <n v="0"/>
    <n v="0"/>
    <n v="0"/>
  </r>
  <r>
    <x v="5"/>
    <x v="1"/>
    <x v="0"/>
    <s v="2316200"/>
    <n v="700062"/>
    <s v="Salaries-Physician-Non-productive"/>
    <s v="Univ Place Med&amp;Spec-Peds"/>
    <x v="0"/>
    <m/>
    <n v="18218.12"/>
    <n v="2582.59"/>
    <n v="6599.56"/>
    <n v="6113.3"/>
    <n v="2753.24"/>
    <n v="15186.17"/>
    <n v="4835.8999999999996"/>
    <n v="3104.93"/>
    <n v="-500.66"/>
    <n v="14588.32"/>
    <n v="188.29"/>
    <n v="14840.64"/>
    <n v="88510.399999999994"/>
    <n v="-14652.349999999999"/>
  </r>
  <r>
    <x v="5"/>
    <x v="1"/>
    <x v="0"/>
    <s v="2316200"/>
    <n v="700070"/>
    <s v="Salaries-LPN-Non-productive"/>
    <s v="Univ Place Med&amp;Spec-Peds"/>
    <x v="0"/>
    <m/>
    <n v="7044.58"/>
    <n v="6708.76"/>
    <n v="-203.96"/>
    <n v="2717.96"/>
    <n v="1442.05"/>
    <n v="2829.19"/>
    <n v="1274.9100000000001"/>
    <n v="1211.7"/>
    <n v="247.2"/>
    <n v="1695.17"/>
    <n v="1735.65"/>
    <n v="2917.7"/>
    <n v="29620.91"/>
    <n v="-1182.0499999999997"/>
  </r>
  <r>
    <x v="5"/>
    <x v="1"/>
    <x v="0"/>
    <s v="2316200"/>
    <n v="700070"/>
    <s v="Salaries-LPN-NonProd-Other"/>
    <s v="Univ Place Med&amp;Spec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6200"/>
    <n v="700072"/>
    <s v="Salaries-Other Pat Care Providers-Non-productive"/>
    <s v="Univ Place Med&amp;Spec-Peds"/>
    <x v="0"/>
    <m/>
    <n v="1154.21"/>
    <n v="1052.75"/>
    <n v="520.23"/>
    <n v="207.09"/>
    <n v="688.51"/>
    <n v="2109.7600000000002"/>
    <n v="4921.4399999999996"/>
    <n v="604.80999999999995"/>
    <n v="-78.72"/>
    <n v="290.51"/>
    <n v="387.79"/>
    <n v="1038.9100000000001"/>
    <n v="12897.29"/>
    <n v="-651.12000000000012"/>
  </r>
  <r>
    <x v="5"/>
    <x v="1"/>
    <x v="0"/>
    <s v="2316200"/>
    <n v="700072"/>
    <s v="Salaries-Other Pat Care Providers-NonProd-Other"/>
    <s v="Univ Place Med&amp;Spec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6200"/>
    <n v="700084"/>
    <s v="Accrued PTO"/>
    <s v="Univ Place Med&amp;Spec-Peds"/>
    <x v="0"/>
    <m/>
    <n v="-1980.49"/>
    <n v="-2247.09"/>
    <n v="656.46"/>
    <n v="635"/>
    <n v="11.18"/>
    <n v="-1050.27"/>
    <n v="244.16"/>
    <n v="-65.290000000000006"/>
    <n v="1782.24"/>
    <n v="353.95"/>
    <n v="1030.75"/>
    <n v="819.26"/>
    <n v="189.8599999999999"/>
    <n v="211.49"/>
  </r>
  <r>
    <x v="6"/>
    <x v="1"/>
    <x v="0"/>
    <s v="2316200"/>
    <n v="713010"/>
    <s v="Benefits-FICA/Medicare"/>
    <s v="Univ Place Med&amp;Spec-Peds"/>
    <x v="0"/>
    <m/>
    <n v="5336.79"/>
    <n v="4126.87"/>
    <n v="2044.78"/>
    <n v="2474.5500000000002"/>
    <n v="2337.04"/>
    <n v="4559.66"/>
    <n v="7259.66"/>
    <n v="6054.39"/>
    <n v="6452.05"/>
    <n v="6727.36"/>
    <n v="7081.64"/>
    <n v="5915.69"/>
    <n v="60370.48000000001"/>
    <n v="1165.9500000000007"/>
  </r>
  <r>
    <x v="6"/>
    <x v="1"/>
    <x v="0"/>
    <s v="2316200"/>
    <n v="713090"/>
    <s v="Benefits-Allocated Amounts"/>
    <s v="Univ Place Med&amp;Spec-Peds"/>
    <x v="0"/>
    <m/>
    <n v="0"/>
    <n v="0"/>
    <n v="0"/>
    <n v="0"/>
    <n v="0"/>
    <n v="0"/>
    <n v="0"/>
    <n v="0"/>
    <n v="52044.01"/>
    <n v="6054.57"/>
    <n v="6144.55"/>
    <n v="6081.28"/>
    <n v="70324.41"/>
    <n v="63.270000000000437"/>
  </r>
  <r>
    <x v="6"/>
    <x v="1"/>
    <x v="0"/>
    <s v="2316200"/>
    <n v="713092"/>
    <s v="Allocated Benefits-Physician"/>
    <s v="Univ Place Med&amp;Spec-Peds"/>
    <x v="0"/>
    <m/>
    <n v="9930.44"/>
    <n v="9348.7999999999993"/>
    <n v="9356.9500000000007"/>
    <n v="9791.33"/>
    <n v="9599.91"/>
    <n v="9990.2999999999993"/>
    <n v="11986.92"/>
    <n v="10833.48"/>
    <n v="-40367.75"/>
    <n v="4708.1499999999996"/>
    <n v="4778.12"/>
    <n v="4728.91"/>
    <n v="54685.56"/>
    <n v="49.210000000000036"/>
  </r>
  <r>
    <x v="0"/>
    <x v="1"/>
    <x v="0"/>
    <s v="2316200"/>
    <n v="740022"/>
    <s v="Education-Physician"/>
    <s v="Univ Place Med&amp;Spec-Peds"/>
    <x v="0"/>
    <m/>
    <n v="0"/>
    <n v="0"/>
    <n v="0"/>
    <n v="0"/>
    <n v="0"/>
    <n v="0"/>
    <n v="0"/>
    <n v="0"/>
    <n v="0"/>
    <n v="0"/>
    <n v="795"/>
    <n v="1605"/>
    <n v="2400"/>
    <n v="-810"/>
  </r>
  <r>
    <x v="0"/>
    <x v="1"/>
    <x v="0"/>
    <s v="2316200"/>
    <n v="740022"/>
    <s v="Books-Physician"/>
    <s v="Univ Place Med&amp;Spec-Peds"/>
    <x v="0"/>
    <n v="2000"/>
    <n v="375"/>
    <n v="0"/>
    <n v="0"/>
    <n v="0"/>
    <n v="0"/>
    <n v="0"/>
    <n v="0"/>
    <n v="0"/>
    <n v="0"/>
    <n v="0"/>
    <n v="230"/>
    <n v="335"/>
    <n v="940"/>
    <n v="-105"/>
  </r>
  <r>
    <x v="8"/>
    <x v="1"/>
    <x v="0"/>
    <s v="2316200"/>
    <n v="741012"/>
    <s v="Physician Liab Insurance-CHI Program"/>
    <s v="Univ Place Med&amp;Spec-Peds"/>
    <x v="0"/>
    <m/>
    <n v="1769.14"/>
    <n v="1769.15"/>
    <n v="1769.14"/>
    <n v="1769.15"/>
    <n v="1769.14"/>
    <n v="1769.15"/>
    <n v="1769.14"/>
    <n v="1769.15"/>
    <n v="1769.14"/>
    <n v="1769.15"/>
    <n v="1769.14"/>
    <n v="1769.15"/>
    <n v="21229.739999999998"/>
    <n v="-9.9999999999909051E-3"/>
  </r>
  <r>
    <x v="0"/>
    <x v="1"/>
    <x v="0"/>
    <s v="2316200"/>
    <n v="743022"/>
    <s v="Dues-Physician"/>
    <s v="Univ Place Med&amp;Spec-Peds"/>
    <x v="0"/>
    <m/>
    <n v="860"/>
    <n v="0"/>
    <n v="0"/>
    <n v="200"/>
    <n v="0"/>
    <n v="0"/>
    <n v="0"/>
    <n v="3280"/>
    <n v="0"/>
    <n v="0"/>
    <n v="0"/>
    <n v="866"/>
    <n v="5206"/>
    <n v="-866"/>
  </r>
  <r>
    <x v="0"/>
    <x v="1"/>
    <x v="0"/>
    <s v="2316200"/>
    <n v="749510"/>
    <s v="Miscellaneous Expenses"/>
    <s v="Univ Place Med&amp;Spec-Peds"/>
    <x v="0"/>
    <m/>
    <n v="0"/>
    <n v="0"/>
    <n v="0"/>
    <n v="0"/>
    <n v="0"/>
    <n v="0"/>
    <n v="0"/>
    <n v="0"/>
    <n v="0"/>
    <n v="0"/>
    <n v="335"/>
    <n v="-335"/>
    <n v="0"/>
    <n v="670"/>
  </r>
  <r>
    <x v="0"/>
    <x v="1"/>
    <x v="0"/>
    <s v="2316200"/>
    <n v="749512"/>
    <s v="Licenses-Physician"/>
    <s v="Univ Place Med&amp;Spec-Peds"/>
    <x v="0"/>
    <n v="2000"/>
    <n v="0"/>
    <n v="0"/>
    <n v="0"/>
    <n v="0"/>
    <n v="731"/>
    <n v="731"/>
    <n v="659.5"/>
    <n v="0"/>
    <n v="0"/>
    <n v="0"/>
    <n v="657"/>
    <n v="0"/>
    <n v="2778.5"/>
    <n v="657"/>
  </r>
  <r>
    <x v="0"/>
    <x v="1"/>
    <x v="0"/>
    <s v="2316200"/>
    <n v="749532"/>
    <s v="Travel-Physician"/>
    <s v="Univ Place Med&amp;Spec-Peds"/>
    <x v="0"/>
    <m/>
    <n v="0"/>
    <n v="0"/>
    <n v="0"/>
    <n v="0"/>
    <n v="0"/>
    <n v="0"/>
    <n v="0"/>
    <n v="0"/>
    <n v="0"/>
    <n v="0"/>
    <n v="0"/>
    <n v="775.53"/>
    <n v="775.53"/>
    <n v="-775.53"/>
  </r>
  <r>
    <x v="0"/>
    <x v="1"/>
    <x v="0"/>
    <s v="2316200"/>
    <n v="749591"/>
    <s v="Other Expense-Intracompany Allocation"/>
    <s v="Univ Place Med&amp;Spec-Peds"/>
    <x v="0"/>
    <m/>
    <n v="37483.019999999997"/>
    <n v="38236.019999999997"/>
    <n v="46337.919999999998"/>
    <n v="44939.93"/>
    <n v="53995.43"/>
    <n v="45460.68"/>
    <n v="46949.760000000002"/>
    <n v="41431.01"/>
    <n v="42175.6"/>
    <n v="42510.21"/>
    <n v="50526.27"/>
    <n v="51647.33"/>
    <n v="541693.18000000005"/>
    <n v="-1121.0600000000049"/>
  </r>
  <r>
    <x v="1"/>
    <x v="1"/>
    <x v="0"/>
    <s v="2317200"/>
    <n v="400029"/>
    <s v="MD Practice Other Rev--Medicare"/>
    <s v="Federal Way Med&amp;Spec-Fam Med"/>
    <x v="0"/>
    <n v="1100"/>
    <n v="-4160"/>
    <n v="-4068"/>
    <n v="-4981"/>
    <n v="-5062"/>
    <n v="-4915"/>
    <n v="-1647"/>
    <n v="-2158"/>
    <n v="-8249"/>
    <n v="-5583"/>
    <n v="-2577"/>
    <n v="-3840"/>
    <n v="-4526"/>
    <n v="-51766"/>
    <n v="686"/>
  </r>
  <r>
    <x v="1"/>
    <x v="1"/>
    <x v="0"/>
    <s v="2317200"/>
    <n v="400029"/>
    <s v="MD Practice Other Rev--Medicaid"/>
    <s v="Federal Way Med&amp;Spec-Fam Med"/>
    <x v="0"/>
    <n v="1200"/>
    <n v="-3889"/>
    <n v="-4236"/>
    <n v="-3764"/>
    <n v="-6357"/>
    <n v="-3820"/>
    <n v="-1827"/>
    <n v="-1153"/>
    <n v="-8061"/>
    <n v="-4478"/>
    <n v="-1855"/>
    <n v="-2043"/>
    <n v="-2245"/>
    <n v="-43728"/>
    <n v="202"/>
  </r>
  <r>
    <x v="1"/>
    <x v="1"/>
    <x v="0"/>
    <s v="2317200"/>
    <n v="400029"/>
    <s v="MD Practice Other Rev--Comm Insurance"/>
    <s v="Federal Way Med&amp;Spec-Fam Med"/>
    <x v="0"/>
    <n v="1300"/>
    <n v="-211"/>
    <n v="-169"/>
    <n v="-207"/>
    <n v="-643"/>
    <n v="-150"/>
    <n v="-381"/>
    <n v="-407"/>
    <n v="-1237"/>
    <n v="-326"/>
    <n v="-551"/>
    <n v="-490"/>
    <n v="-546"/>
    <n v="-5318"/>
    <n v="56"/>
  </r>
  <r>
    <x v="1"/>
    <x v="1"/>
    <x v="0"/>
    <s v="2317200"/>
    <n v="400029"/>
    <s v="MD Practice Other Rev--BCBS Comm"/>
    <s v="Federal Way Med&amp;Spec-Fam Med"/>
    <x v="0"/>
    <n v="1301"/>
    <n v="-2724"/>
    <n v="-2141"/>
    <n v="-1563"/>
    <n v="-2080"/>
    <n v="-1534"/>
    <n v="-1501"/>
    <n v="-845"/>
    <n v="-3853"/>
    <n v="-3017"/>
    <n v="-1264"/>
    <n v="-841"/>
    <n v="-969"/>
    <n v="-22332"/>
    <n v="128"/>
  </r>
  <r>
    <x v="1"/>
    <x v="1"/>
    <x v="0"/>
    <s v="2317200"/>
    <n v="400029"/>
    <s v="MD Practice Other Rev--Managed Care"/>
    <s v="Federal Way Med&amp;Spec-Fam Med"/>
    <x v="0"/>
    <n v="1400"/>
    <n v="-5048"/>
    <n v="-3817"/>
    <n v="-5318"/>
    <n v="-5927"/>
    <n v="-3959"/>
    <n v="-1604"/>
    <n v="-2186"/>
    <n v="-8812"/>
    <n v="-6226"/>
    <n v="-2569"/>
    <n v="-2493"/>
    <n v="-3581"/>
    <n v="-51540"/>
    <n v="1088"/>
  </r>
  <r>
    <x v="1"/>
    <x v="1"/>
    <x v="0"/>
    <s v="2317200"/>
    <n v="400029"/>
    <s v="MD Practice Other Rev--Self Pay"/>
    <s v="Federal Way Med&amp;Spec-Fam Med"/>
    <x v="0"/>
    <n v="1500"/>
    <n v="-118"/>
    <n v="-124"/>
    <n v="-159"/>
    <n v="-54"/>
    <n v="-190"/>
    <n v="0"/>
    <n v="64"/>
    <n v="-195"/>
    <n v="-122"/>
    <n v="-108"/>
    <n v="-427"/>
    <n v="-66"/>
    <n v="-1499"/>
    <n v="-361"/>
  </r>
  <r>
    <x v="1"/>
    <x v="1"/>
    <x v="0"/>
    <s v="2317200"/>
    <n v="400029"/>
    <s v="MD Practice Other Rev--Other"/>
    <s v="Federal Way Med&amp;Spec-Fam Med"/>
    <x v="0"/>
    <n v="1700"/>
    <n v="-478"/>
    <n v="-13"/>
    <n v="-515"/>
    <n v="-1014"/>
    <n v="-309"/>
    <n v="-254"/>
    <n v="-108"/>
    <n v="-347"/>
    <n v="-494"/>
    <n v="-401"/>
    <n v="-207"/>
    <n v="-306"/>
    <n v="-4446"/>
    <n v="99"/>
  </r>
  <r>
    <x v="1"/>
    <x v="1"/>
    <x v="0"/>
    <s v="2317200"/>
    <n v="400040"/>
    <s v="Physician Svcs Rev--Medicare"/>
    <s v="Federal Way Med&amp;Spec-Fam Med"/>
    <x v="0"/>
    <n v="1100"/>
    <n v="-178908"/>
    <n v="-216532"/>
    <n v="-183282"/>
    <n v="-229440"/>
    <n v="-167865"/>
    <n v="-183996.09"/>
    <n v="-209398"/>
    <n v="-150181"/>
    <n v="-179392.18"/>
    <n v="-145797"/>
    <n v="-165445"/>
    <n v="-158898.91"/>
    <n v="-2169135.1800000002"/>
    <n v="-6546.0899999999965"/>
  </r>
  <r>
    <x v="1"/>
    <x v="1"/>
    <x v="0"/>
    <s v="2317200"/>
    <n v="400040"/>
    <s v="Physician Svcs Rev--Medicaid"/>
    <s v="Federal Way Med&amp;Spec-Fam Med"/>
    <x v="0"/>
    <n v="1200"/>
    <n v="-147607.92000000001"/>
    <n v="-175182.12"/>
    <n v="-159869.68"/>
    <n v="-171477.87"/>
    <n v="-137811.07999999999"/>
    <n v="-114798.83"/>
    <n v="-125418.63"/>
    <n v="-107223.56"/>
    <n v="-119582.42"/>
    <n v="-122236.82"/>
    <n v="-112367.03999999999"/>
    <n v="-101605.75999999999"/>
    <n v="-1595181.73"/>
    <n v="-10761.279999999999"/>
  </r>
  <r>
    <x v="1"/>
    <x v="1"/>
    <x v="0"/>
    <s v="2317200"/>
    <n v="400040"/>
    <s v="Physician Svcs Rev--Comm Insurance"/>
    <s v="Federal Way Med&amp;Spec-Fam Med"/>
    <x v="0"/>
    <n v="1300"/>
    <n v="-16097"/>
    <n v="-21434.41"/>
    <n v="-16991.03"/>
    <n v="-17874.240000000002"/>
    <n v="-17535"/>
    <n v="-12516"/>
    <n v="-16738"/>
    <n v="-15063"/>
    <n v="-14145"/>
    <n v="-20041"/>
    <n v="-17932.91"/>
    <n v="-16099.57"/>
    <n v="-202467.16"/>
    <n v="-1833.3400000000001"/>
  </r>
  <r>
    <x v="1"/>
    <x v="1"/>
    <x v="0"/>
    <s v="2317200"/>
    <n v="400040"/>
    <s v="Physician Svcs Rev--BCBS Comm"/>
    <s v="Federal Way Med&amp;Spec-Fam Med"/>
    <x v="0"/>
    <n v="1301"/>
    <n v="-75661.070000000007"/>
    <n v="-64243.9"/>
    <n v="-68001.240000000005"/>
    <n v="-58383.65"/>
    <n v="-61862.99"/>
    <n v="-58750.720000000001"/>
    <n v="-75422.53"/>
    <n v="-53495.95"/>
    <n v="-64901.96"/>
    <n v="-47999.31"/>
    <n v="-38907"/>
    <n v="-33870.17"/>
    <n v="-701500.49000000011"/>
    <n v="-5036.8300000000017"/>
  </r>
  <r>
    <x v="1"/>
    <x v="1"/>
    <x v="0"/>
    <s v="2317200"/>
    <n v="400040"/>
    <s v="Physician Svcs Rev--Managed Care"/>
    <s v="Federal Way Med&amp;Spec-Fam Med"/>
    <x v="0"/>
    <n v="1400"/>
    <n v="-204109.2"/>
    <n v="-234653.91"/>
    <n v="-209578.83"/>
    <n v="-239837.21"/>
    <n v="-184303.74"/>
    <n v="-205241.83"/>
    <n v="-215850.56"/>
    <n v="-141936.48000000001"/>
    <n v="-160716.01999999999"/>
    <n v="-160043.54999999999"/>
    <n v="-138214.16"/>
    <n v="-142493.94"/>
    <n v="-2236979.4300000002"/>
    <n v="4279.7799999999988"/>
  </r>
  <r>
    <x v="1"/>
    <x v="1"/>
    <x v="0"/>
    <s v="2317200"/>
    <n v="400040"/>
    <s v="Physician Svcs Rev--Self Pay"/>
    <s v="Federal Way Med&amp;Spec-Fam Med"/>
    <x v="0"/>
    <n v="1500"/>
    <n v="-5836"/>
    <n v="-9927"/>
    <n v="-10183.76"/>
    <n v="-7424"/>
    <n v="-7174.32"/>
    <n v="-6667"/>
    <n v="-7116"/>
    <n v="-4848.08"/>
    <n v="-4392.24"/>
    <n v="-5601"/>
    <n v="-4698"/>
    <n v="-3655"/>
    <n v="-77522.399999999994"/>
    <n v="-1043"/>
  </r>
  <r>
    <x v="1"/>
    <x v="1"/>
    <x v="0"/>
    <s v="2317200"/>
    <n v="400040"/>
    <s v="Physician Svcs Rev--Other"/>
    <s v="Federal Way Med&amp;Spec-Fam Med"/>
    <x v="0"/>
    <n v="1700"/>
    <n v="-13238"/>
    <n v="-21153.16"/>
    <n v="-13789.15"/>
    <n v="-16822.62"/>
    <n v="-17138.13"/>
    <n v="-13956.73"/>
    <n v="-19049.12"/>
    <n v="-13777"/>
    <n v="-11374.5"/>
    <n v="-10633"/>
    <n v="-10763"/>
    <n v="-13369"/>
    <n v="-175063.41"/>
    <n v="2606"/>
  </r>
  <r>
    <x v="2"/>
    <x v="1"/>
    <x v="0"/>
    <s v="2317200"/>
    <n v="450029"/>
    <s v="Contr Allow--MD Other-Medicare"/>
    <s v="Federal Way Med&amp;Spec-Fam Med"/>
    <x v="0"/>
    <n v="1100"/>
    <n v="3467.83"/>
    <n v="2303.77"/>
    <n v="2404.2199999999998"/>
    <n v="4063.95"/>
    <n v="2959.71"/>
    <n v="2363.11"/>
    <n v="714.36"/>
    <n v="3729.71"/>
    <n v="3322.35"/>
    <n v="3332.24"/>
    <n v="1777.72"/>
    <n v="3421.61"/>
    <n v="33860.58"/>
    <n v="-1643.89"/>
  </r>
  <r>
    <x v="2"/>
    <x v="1"/>
    <x v="0"/>
    <s v="2317200"/>
    <n v="450029"/>
    <s v="Contr Allow--MD Other-Medicaid"/>
    <s v="Federal Way Med&amp;Spec-Fam Med"/>
    <x v="0"/>
    <n v="1200"/>
    <n v="3975.39"/>
    <n v="2890.35"/>
    <n v="2930.52"/>
    <n v="4336.8599999999997"/>
    <n v="4839.54"/>
    <n v="1637.4"/>
    <n v="776.52"/>
    <n v="4085.71"/>
    <n v="4076.46"/>
    <n v="2460.41"/>
    <n v="1367.37"/>
    <n v="1976.76"/>
    <n v="35353.29"/>
    <n v="-609.3900000000001"/>
  </r>
  <r>
    <x v="2"/>
    <x v="1"/>
    <x v="0"/>
    <s v="2317200"/>
    <n v="450029"/>
    <s v="Contr Allow--MD Other-Comm Insurance"/>
    <s v="Federal Way Med&amp;Spec-Fam Med"/>
    <x v="0"/>
    <n v="1300"/>
    <n v="178.18"/>
    <n v="160.87"/>
    <n v="65.56"/>
    <n v="155.18"/>
    <n v="89.29"/>
    <n v="47.26"/>
    <n v="343.4"/>
    <n v="179.9"/>
    <n v="150.75"/>
    <n v="43.33"/>
    <n v="104.27"/>
    <n v="286.85000000000002"/>
    <n v="1804.8399999999997"/>
    <n v="-182.58000000000004"/>
  </r>
  <r>
    <x v="2"/>
    <x v="1"/>
    <x v="0"/>
    <s v="2317200"/>
    <n v="450029"/>
    <s v="Contr Allow--MD Other BCBS Comm"/>
    <s v="Federal Way Med&amp;Spec-Fam Med"/>
    <x v="0"/>
    <n v="1301"/>
    <n v="810.09"/>
    <n v="878.68"/>
    <n v="579.97"/>
    <n v="705.78"/>
    <n v="584.45000000000005"/>
    <n v="1005.44"/>
    <n v="186.38"/>
    <n v="850.3"/>
    <n v="1262.0999999999999"/>
    <n v="855.79"/>
    <n v="681.69"/>
    <n v="498.31"/>
    <n v="8898.98"/>
    <n v="183.38000000000005"/>
  </r>
  <r>
    <x v="2"/>
    <x v="1"/>
    <x v="0"/>
    <s v="2317200"/>
    <n v="450029"/>
    <s v="Contr Allow--MD Other-Managed Care"/>
    <s v="Federal Way Med&amp;Spec-Fam Med"/>
    <x v="0"/>
    <n v="1400"/>
    <n v="1746.6"/>
    <n v="1975.09"/>
    <n v="1985.38"/>
    <n v="2185.67"/>
    <n v="2564.46"/>
    <n v="1052.6400000000001"/>
    <n v="829.41"/>
    <n v="2082.63"/>
    <n v="3577.25"/>
    <n v="2318.0700000000002"/>
    <n v="1520.31"/>
    <n v="1458.53"/>
    <n v="23296.04"/>
    <n v="61.779999999999973"/>
  </r>
  <r>
    <x v="2"/>
    <x v="1"/>
    <x v="0"/>
    <s v="2317200"/>
    <n v="450029"/>
    <s v="Admin Adjust-MD Other-Self Pay"/>
    <s v="Federal Way Med&amp;Spec-Fam Med"/>
    <x v="0"/>
    <n v="1600"/>
    <n v="122.48"/>
    <n v="165.77"/>
    <n v="108.57"/>
    <n v="170.15"/>
    <n v="94.01"/>
    <n v="20.34"/>
    <n v="38.81"/>
    <n v="282.06"/>
    <n v="79.55"/>
    <n v="50.77"/>
    <n v="208.43"/>
    <n v="130.19999999999999"/>
    <n v="1471.14"/>
    <n v="78.230000000000018"/>
  </r>
  <r>
    <x v="2"/>
    <x v="1"/>
    <x v="0"/>
    <s v="2317200"/>
    <n v="450029"/>
    <s v="Contr Allow--MD Other-Other"/>
    <s v="Federal Way Med&amp;Spec-Fam Med"/>
    <x v="0"/>
    <n v="1700"/>
    <n v="232.41"/>
    <n v="366.22"/>
    <n v="236.28"/>
    <n v="417.14"/>
    <n v="367.57"/>
    <n v="111.28"/>
    <n v="62.98"/>
    <n v="115.43"/>
    <n v="360.21"/>
    <n v="229.28"/>
    <n v="84.65"/>
    <n v="201.35"/>
    <n v="2784.8"/>
    <n v="-116.69999999999999"/>
  </r>
  <r>
    <x v="2"/>
    <x v="1"/>
    <x v="0"/>
    <s v="2317200"/>
    <n v="450040"/>
    <s v="Contr Allow--Phys Svcs--Mcare"/>
    <s v="Federal Way Med&amp;Spec-Fam Med"/>
    <x v="0"/>
    <n v="1100"/>
    <n v="97237.52"/>
    <n v="123532.92"/>
    <n v="111256.32000000001"/>
    <n v="139563.91"/>
    <n v="134221.6"/>
    <n v="99077.67"/>
    <n v="123765.51"/>
    <n v="107453.99"/>
    <n v="106682.29"/>
    <n v="104963.73"/>
    <n v="97721.68"/>
    <n v="90798.58"/>
    <n v="1336275.7200000002"/>
    <n v="6923.0999999999913"/>
  </r>
  <r>
    <x v="2"/>
    <x v="1"/>
    <x v="0"/>
    <s v="2317200"/>
    <n v="450040"/>
    <s v="Contr Allow--Phys Svcs--Mcaid"/>
    <s v="Federal Way Med&amp;Spec-Fam Med"/>
    <x v="0"/>
    <n v="1200"/>
    <n v="92883.26"/>
    <n v="142834.20000000001"/>
    <n v="118796.44"/>
    <n v="127195.11"/>
    <n v="113697.4"/>
    <n v="82622.97"/>
    <n v="80772.42"/>
    <n v="76731.899999999994"/>
    <n v="96361.77"/>
    <n v="97340.91"/>
    <n v="85884.18"/>
    <n v="69296.69"/>
    <n v="1184417.25"/>
    <n v="16587.489999999991"/>
  </r>
  <r>
    <x v="2"/>
    <x v="1"/>
    <x v="0"/>
    <s v="2317200"/>
    <n v="450040"/>
    <s v="Contr Allow--Phys Svcs--Comm Insurance"/>
    <s v="Federal Way Med&amp;Spec-Fam Med"/>
    <x v="0"/>
    <n v="1300"/>
    <n v="4960.3599999999997"/>
    <n v="6604.59"/>
    <n v="4217.0600000000004"/>
    <n v="4422.37"/>
    <n v="3461.51"/>
    <n v="4173.62"/>
    <n v="3984.43"/>
    <n v="3385.28"/>
    <n v="3681.8"/>
    <n v="4670.58"/>
    <n v="4731.32"/>
    <n v="5041.8"/>
    <n v="53334.720000000008"/>
    <n v="-310.48000000000047"/>
  </r>
  <r>
    <x v="2"/>
    <x v="1"/>
    <x v="0"/>
    <s v="2317200"/>
    <n v="450040"/>
    <s v="Contr Allow--Phys Svcs--BCBS Comm Ins"/>
    <s v="Federal Way Med&amp;Spec-Fam Med"/>
    <x v="0"/>
    <n v="1301"/>
    <n v="25830.9"/>
    <n v="25701.37"/>
    <n v="22068.959999999999"/>
    <n v="13726.11"/>
    <n v="21452.94"/>
    <n v="18054.59"/>
    <n v="18845.57"/>
    <n v="20848.939999999999"/>
    <n v="20523.75"/>
    <n v="13811.08"/>
    <n v="14897.47"/>
    <n v="13712.58"/>
    <n v="229474.25999999998"/>
    <n v="1184.8899999999994"/>
  </r>
  <r>
    <x v="2"/>
    <x v="1"/>
    <x v="0"/>
    <s v="2317200"/>
    <n v="450040"/>
    <s v="Contr Allow--Phys Svcs--Managed Care"/>
    <s v="Federal Way Med&amp;Spec-Fam Med"/>
    <x v="0"/>
    <n v="1400"/>
    <n v="56435.92"/>
    <n v="99821.17"/>
    <n v="68510.960000000006"/>
    <n v="84905.86"/>
    <n v="88470.65"/>
    <n v="63727.17"/>
    <n v="58018.36"/>
    <n v="65560.13"/>
    <n v="61584.07"/>
    <n v="50416.47"/>
    <n v="59306.52"/>
    <n v="43734.37"/>
    <n v="800491.64999999991"/>
    <n v="15572.149999999994"/>
  </r>
  <r>
    <x v="2"/>
    <x v="1"/>
    <x v="0"/>
    <s v="2317200"/>
    <n v="450040"/>
    <s v="Contr Allow--Phys Svcs--BCBS Mgnd Care"/>
    <s v="Federal Way Med&amp;Spec-Fam Med"/>
    <x v="0"/>
    <n v="1401"/>
    <n v="35934.370000000003"/>
    <n v="-37168.71"/>
    <n v="7842.97"/>
    <n v="-1378.02"/>
    <n v="-71116.539999999994"/>
    <n v="22991.86"/>
    <n v="60021.01"/>
    <n v="-24266.12"/>
    <n v="-17203.22"/>
    <n v="-25236.31"/>
    <n v="-15409.67"/>
    <n v="9283.19"/>
    <n v="-55705.189999999988"/>
    <n v="-24692.86"/>
  </r>
  <r>
    <x v="2"/>
    <x v="1"/>
    <x v="0"/>
    <s v="2317200"/>
    <n v="450040"/>
    <s v="Prompt Pay Disc-Phys Svcs-Self Pay"/>
    <s v="Federal Way Med&amp;Spec-Fam Med"/>
    <x v="0"/>
    <n v="1500"/>
    <n v="0"/>
    <n v="0"/>
    <n v="0"/>
    <n v="0"/>
    <n v="0"/>
    <n v="0"/>
    <n v="0"/>
    <n v="0"/>
    <n v="0"/>
    <n v="127.16"/>
    <n v="0"/>
    <n v="0"/>
    <n v="127.16"/>
    <n v="0"/>
  </r>
  <r>
    <x v="2"/>
    <x v="1"/>
    <x v="0"/>
    <s v="2317200"/>
    <n v="450040"/>
    <s v="Admin Adjust-Phys Svcs-Self Pay"/>
    <s v="Federal Way Med&amp;Spec-Fam Med"/>
    <x v="0"/>
    <n v="1600"/>
    <n v="3536.17"/>
    <n v="3588.16"/>
    <n v="5647.1"/>
    <n v="6860.21"/>
    <n v="3163.12"/>
    <n v="3389.41"/>
    <n v="3137.55"/>
    <n v="2301.2399999999998"/>
    <n v="2948.47"/>
    <n v="3670.08"/>
    <n v="1917.57"/>
    <n v="2995.59"/>
    <n v="43154.67"/>
    <n v="-1078.0200000000002"/>
  </r>
  <r>
    <x v="2"/>
    <x v="1"/>
    <x v="0"/>
    <s v="2317200"/>
    <n v="450040"/>
    <s v="Contr Allow--Phys Svcs--Other"/>
    <s v="Federal Way Med&amp;Spec-Fam Med"/>
    <x v="0"/>
    <n v="1700"/>
    <n v="7305.5"/>
    <n v="13580.16"/>
    <n v="6365.35"/>
    <n v="9680.31"/>
    <n v="8470.61"/>
    <n v="6038.36"/>
    <n v="9090.59"/>
    <n v="6675.87"/>
    <n v="7827.71"/>
    <n v="8156.46"/>
    <n v="4989.21"/>
    <n v="6392.89"/>
    <n v="94573.020000000019"/>
    <n v="-1403.6800000000003"/>
  </r>
  <r>
    <x v="3"/>
    <x v="1"/>
    <x v="0"/>
    <s v="2317200"/>
    <n v="470040"/>
    <s v="Charity Care-Physician Svcs"/>
    <s v="Federal Way Med&amp;Spec-Fam Med"/>
    <x v="0"/>
    <m/>
    <n v="2270.63"/>
    <n v="3843.39"/>
    <n v="2280.0100000000002"/>
    <n v="1397.64"/>
    <n v="-482.04"/>
    <n v="-715.95"/>
    <n v="3614.81"/>
    <n v="337.3"/>
    <n v="2882.48"/>
    <n v="1486.35"/>
    <n v="2535.11"/>
    <n v="4688.8"/>
    <n v="24138.529999999995"/>
    <n v="-2153.69"/>
  </r>
  <r>
    <x v="4"/>
    <x v="1"/>
    <x v="0"/>
    <s v="2317200"/>
    <n v="490010"/>
    <s v="Provision for Bad Debts"/>
    <s v="Federal Way Med&amp;Spec-Fam Med"/>
    <x v="0"/>
    <m/>
    <n v="16453.189999999999"/>
    <n v="4388.1499999999996"/>
    <n v="16046.67"/>
    <n v="7418.66"/>
    <n v="3964.7"/>
    <n v="7879.29"/>
    <n v="12793.01"/>
    <n v="4610.93"/>
    <n v="5708.16"/>
    <n v="4644.6099999999997"/>
    <n v="4785.1400000000003"/>
    <n v="9621"/>
    <n v="98313.510000000009"/>
    <n v="-4835.8599999999997"/>
  </r>
  <r>
    <x v="5"/>
    <x v="1"/>
    <x v="0"/>
    <s v="2317200"/>
    <n v="700018"/>
    <s v="Salaries-Supervisory-Productive"/>
    <s v="Federal Way Med&amp;Spec-Fam Med"/>
    <x v="0"/>
    <m/>
    <n v="0"/>
    <n v="1544.4"/>
    <n v="7722"/>
    <n v="7910.88"/>
    <n v="7571.52"/>
    <n v="7227.36"/>
    <n v="7927.8"/>
    <n v="6893.3"/>
    <n v="8239.43"/>
    <n v="7582.63"/>
    <n v="7927.3"/>
    <n v="-344.67"/>
    <n v="70201.95"/>
    <n v="8271.9699999999993"/>
  </r>
  <r>
    <x v="5"/>
    <x v="1"/>
    <x v="0"/>
    <s v="2317200"/>
    <n v="700018"/>
    <s v="Salaries-Supervisory-Other"/>
    <s v="Federal Way Med&amp;Spec-Fam Med"/>
    <x v="0"/>
    <n v="2000"/>
    <n v="0"/>
    <n v="30"/>
    <n v="30"/>
    <n v="0"/>
    <n v="0"/>
    <n v="0"/>
    <n v="0"/>
    <n v="0"/>
    <n v="0"/>
    <n v="0"/>
    <n v="0"/>
    <n v="0"/>
    <n v="60"/>
    <n v="0"/>
  </r>
  <r>
    <x v="5"/>
    <x v="1"/>
    <x v="0"/>
    <s v="2317200"/>
    <n v="700022"/>
    <s v="Salaries-Physician-Productive"/>
    <s v="Federal Way Med&amp;Spec-Fam Med"/>
    <x v="0"/>
    <m/>
    <n v="125611.69"/>
    <n v="181758.3"/>
    <n v="143190.9"/>
    <n v="164669.54"/>
    <n v="160262.63"/>
    <n v="153240.71"/>
    <n v="168091.91"/>
    <n v="111609.5"/>
    <n v="124611.93"/>
    <n v="121756.89"/>
    <n v="123904.64"/>
    <n v="80879.59"/>
    <n v="1659588.2299999997"/>
    <n v="43025.05"/>
  </r>
  <r>
    <x v="5"/>
    <x v="1"/>
    <x v="0"/>
    <s v="2317200"/>
    <n v="700024"/>
    <s v="Salaries-Advanced Practice Clinician-Productive"/>
    <s v="Federal Way Med&amp;Spec-Fam Med"/>
    <x v="0"/>
    <m/>
    <n v="12942.88"/>
    <n v="18172.560000000001"/>
    <n v="15448"/>
    <n v="17765.2"/>
    <n v="17372"/>
    <n v="16618.560000000001"/>
    <n v="18229.14"/>
    <n v="17638.64"/>
    <n v="19189.84"/>
    <n v="20515.240000000002"/>
    <n v="20689.84"/>
    <n v="17892.3"/>
    <n v="212474.19999999995"/>
    <n v="2797.5400000000009"/>
  </r>
  <r>
    <x v="5"/>
    <x v="1"/>
    <x v="0"/>
    <s v="2317200"/>
    <n v="700026"/>
    <s v="Salaries-RN-Productive"/>
    <s v="Federal Way Med&amp;Spec-Fam Med"/>
    <x v="0"/>
    <m/>
    <n v="0"/>
    <n v="7165.33"/>
    <n v="5180.38"/>
    <n v="2870.79"/>
    <n v="-749.19"/>
    <n v="1401.51"/>
    <n v="8042.84"/>
    <n v="6227.12"/>
    <n v="6460.75"/>
    <n v="11248.41"/>
    <n v="12519.15"/>
    <n v="7938.79"/>
    <n v="68305.88"/>
    <n v="4580.3599999999997"/>
  </r>
  <r>
    <x v="5"/>
    <x v="1"/>
    <x v="0"/>
    <s v="2317200"/>
    <n v="700026"/>
    <s v="Salaries-RN-OT"/>
    <s v="Federal Way Med&amp;Spec-Fam Med"/>
    <x v="0"/>
    <n v="1000"/>
    <n v="0"/>
    <n v="372.36"/>
    <n v="-72.069999999999993"/>
    <n v="0"/>
    <n v="0"/>
    <n v="0"/>
    <n v="850.84"/>
    <n v="684.11"/>
    <n v="157.88"/>
    <n v="666.4"/>
    <n v="408.92"/>
    <n v="672.58"/>
    <n v="3741.0200000000004"/>
    <n v="-263.66000000000003"/>
  </r>
  <r>
    <x v="5"/>
    <x v="1"/>
    <x v="0"/>
    <s v="2317200"/>
    <n v="700026"/>
    <s v="Salaries-RN-Other"/>
    <s v="Federal Way Med&amp;Spec-Fam Med"/>
    <x v="0"/>
    <n v="2000"/>
    <n v="0"/>
    <n v="25.5"/>
    <n v="-8.5"/>
    <n v="0"/>
    <n v="0"/>
    <n v="30"/>
    <n v="51.53"/>
    <n v="20.329999999999998"/>
    <n v="6.01"/>
    <n v="48.77"/>
    <n v="-7.71"/>
    <n v="0"/>
    <n v="165.93"/>
    <n v="-7.71"/>
  </r>
  <r>
    <x v="5"/>
    <x v="1"/>
    <x v="0"/>
    <s v="2317200"/>
    <n v="700030"/>
    <s v="Salaries-LPN-Productive"/>
    <s v="Federal Way Med&amp;Spec-Fam Med"/>
    <x v="0"/>
    <m/>
    <n v="9299.7199999999993"/>
    <n v="12122.06"/>
    <n v="10309.370000000001"/>
    <n v="11711.34"/>
    <n v="8451.7000000000007"/>
    <n v="3937.39"/>
    <n v="4112.4799999999996"/>
    <n v="3256.39"/>
    <n v="3839.52"/>
    <n v="361.81"/>
    <n v="6736.35"/>
    <n v="7334.58"/>
    <n v="81472.710000000006"/>
    <n v="-598.22999999999956"/>
  </r>
  <r>
    <x v="5"/>
    <x v="1"/>
    <x v="0"/>
    <s v="2317200"/>
    <n v="700030"/>
    <s v="Salaries-LPN-OT"/>
    <s v="Federal Way Med&amp;Spec-Fam Med"/>
    <x v="0"/>
    <n v="1000"/>
    <n v="154.72999999999999"/>
    <n v="88.17"/>
    <n v="204.77"/>
    <n v="933.32"/>
    <n v="-173.64"/>
    <n v="484.95"/>
    <n v="0"/>
    <n v="0"/>
    <n v="0"/>
    <n v="0"/>
    <n v="0"/>
    <n v="191.94"/>
    <n v="1884.24"/>
    <n v="-191.94"/>
  </r>
  <r>
    <x v="5"/>
    <x v="1"/>
    <x v="0"/>
    <s v="2317200"/>
    <n v="700030"/>
    <s v="Salaries-LPN-Other"/>
    <s v="Federal Way Med&amp;Spec-Fam Med"/>
    <x v="0"/>
    <n v="2000"/>
    <n v="0"/>
    <n v="0"/>
    <n v="0"/>
    <n v="0"/>
    <n v="0"/>
    <n v="0"/>
    <n v="0"/>
    <n v="0"/>
    <n v="21.78"/>
    <n v="-4.25"/>
    <n v="30.08"/>
    <n v="-0.04"/>
    <n v="47.57"/>
    <n v="30.119999999999997"/>
  </r>
  <r>
    <x v="5"/>
    <x v="1"/>
    <x v="0"/>
    <s v="2317200"/>
    <n v="700032"/>
    <s v="Salaries-Other Pat Care Providers-Productive"/>
    <s v="Federal Way Med&amp;Spec-Fam Med"/>
    <x v="0"/>
    <m/>
    <n v="21633.599999999999"/>
    <n v="26567.98"/>
    <n v="23809.13"/>
    <n v="26055.03"/>
    <n v="25953.62"/>
    <n v="20126.71"/>
    <n v="25872.07"/>
    <n v="24220.15"/>
    <n v="25179.24"/>
    <n v="26718.240000000002"/>
    <n v="30489.439999999999"/>
    <n v="21166.799999999999"/>
    <n v="297792.00999999995"/>
    <n v="9322.64"/>
  </r>
  <r>
    <x v="5"/>
    <x v="1"/>
    <x v="0"/>
    <s v="2317200"/>
    <n v="700032"/>
    <s v="Salaries-Other Pat Care Providers-OT"/>
    <s v="Federal Way Med&amp;Spec-Fam Med"/>
    <x v="0"/>
    <n v="1000"/>
    <n v="3595.3"/>
    <n v="2732.16"/>
    <n v="2806.97"/>
    <n v="2403.7600000000002"/>
    <n v="4907.6400000000003"/>
    <n v="2103.5700000000002"/>
    <n v="3851.03"/>
    <n v="2016.28"/>
    <n v="2854.19"/>
    <n v="2716"/>
    <n v="3396.1"/>
    <n v="1045.1300000000001"/>
    <n v="34428.129999999997"/>
    <n v="2350.9699999999998"/>
  </r>
  <r>
    <x v="5"/>
    <x v="1"/>
    <x v="0"/>
    <s v="2317200"/>
    <n v="700032"/>
    <s v="Salaries-Other Pat Care Providers-Other"/>
    <s v="Federal Way Med&amp;Spec-Fam Med"/>
    <x v="0"/>
    <n v="2000"/>
    <n v="274.75"/>
    <n v="282.08999999999997"/>
    <n v="248.19"/>
    <n v="225.93"/>
    <n v="343.18"/>
    <n v="246.79"/>
    <n v="366.99"/>
    <n v="269.29000000000002"/>
    <n v="264.74"/>
    <n v="245.17"/>
    <n v="316.49"/>
    <n v="271.2"/>
    <n v="3354.8099999999995"/>
    <n v="45.29000000000002"/>
  </r>
  <r>
    <x v="5"/>
    <x v="1"/>
    <x v="0"/>
    <s v="2317200"/>
    <n v="700034"/>
    <s v="Salaries-Tech/Professional-Productive"/>
    <s v="Federal Way Med&amp;Spec-Fam Med"/>
    <x v="0"/>
    <m/>
    <n v="0"/>
    <n v="0"/>
    <n v="0"/>
    <n v="0"/>
    <n v="0"/>
    <n v="0"/>
    <n v="3341.38"/>
    <n v="2963.57"/>
    <n v="6550.31"/>
    <n v="1889.37"/>
    <n v="1320.43"/>
    <n v="449.8"/>
    <n v="16514.86"/>
    <n v="870.63000000000011"/>
  </r>
  <r>
    <x v="5"/>
    <x v="1"/>
    <x v="0"/>
    <s v="2317200"/>
    <n v="700034"/>
    <s v="Salaries-Tech/Professional-OT"/>
    <s v="Federal Way Med&amp;Spec-Fam Med"/>
    <x v="0"/>
    <n v="1000"/>
    <n v="0"/>
    <n v="0"/>
    <n v="0"/>
    <n v="0"/>
    <n v="0"/>
    <n v="0"/>
    <n v="31.33"/>
    <n v="-8.9499999999999993"/>
    <n v="16.760000000000002"/>
    <n v="-5.58"/>
    <n v="0"/>
    <n v="0"/>
    <n v="33.56"/>
    <n v="0"/>
  </r>
  <r>
    <x v="5"/>
    <x v="1"/>
    <x v="0"/>
    <s v="2317200"/>
    <n v="700054"/>
    <s v="Salaries-Management-NonProd-Other"/>
    <s v="Federal Way Med&amp;Spec-Fam Med"/>
    <x v="0"/>
    <n v="2000"/>
    <n v="0"/>
    <n v="0"/>
    <n v="0"/>
    <n v="0"/>
    <n v="0"/>
    <n v="4698.3500000000004"/>
    <n v="-4698.3500000000004"/>
    <n v="0"/>
    <n v="0"/>
    <n v="0"/>
    <n v="0"/>
    <n v="0"/>
    <n v="0"/>
    <n v="0"/>
  </r>
  <r>
    <x v="5"/>
    <x v="1"/>
    <x v="0"/>
    <s v="2317200"/>
    <n v="700058"/>
    <s v="Salaries-Supervisory-Non-productive"/>
    <s v="Federal Way Med&amp;Spec-Fam Med"/>
    <x v="0"/>
    <m/>
    <n v="0"/>
    <n v="0"/>
    <n v="0"/>
    <n v="0"/>
    <n v="0"/>
    <n v="0"/>
    <n v="0"/>
    <n v="0"/>
    <n v="0"/>
    <n v="0"/>
    <n v="0"/>
    <n v="2412.66"/>
    <n v="2412.66"/>
    <n v="-2412.66"/>
  </r>
  <r>
    <x v="5"/>
    <x v="1"/>
    <x v="0"/>
    <s v="2317200"/>
    <n v="700058"/>
    <s v="Salaries-Supervisory-NonProd-Other"/>
    <s v="Federal Way Med&amp;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7200"/>
    <n v="700062"/>
    <s v="Salaries-Physician-Non-productive"/>
    <s v="Federal Way Med&amp;Spec-Fam Med"/>
    <x v="0"/>
    <m/>
    <n v="17160.54"/>
    <n v="0"/>
    <n v="0"/>
    <n v="0"/>
    <n v="0"/>
    <n v="0"/>
    <n v="0"/>
    <n v="0"/>
    <n v="0"/>
    <n v="0"/>
    <n v="0"/>
    <n v="25256.66"/>
    <n v="42417.2"/>
    <n v="-25256.66"/>
  </r>
  <r>
    <x v="5"/>
    <x v="1"/>
    <x v="0"/>
    <s v="2317200"/>
    <n v="700062"/>
    <s v="Salaries-Physician-NonProd-Other"/>
    <s v="Federal Way Med&amp;Spec-Fam Med"/>
    <x v="0"/>
    <n v="2000"/>
    <n v="0"/>
    <n v="0"/>
    <n v="0"/>
    <n v="0"/>
    <n v="1115.19"/>
    <n v="1608.58"/>
    <n v="0"/>
    <n v="-2723.77"/>
    <n v="0"/>
    <n v="0"/>
    <n v="0"/>
    <n v="0"/>
    <n v="0"/>
    <n v="0"/>
  </r>
  <r>
    <x v="5"/>
    <x v="1"/>
    <x v="0"/>
    <s v="2317200"/>
    <n v="700064"/>
    <s v="Salaries-Advanced Practice Clinician-Non-Productive"/>
    <s v="Federal Way Med&amp;Spec-Fam Med"/>
    <x v="0"/>
    <m/>
    <n v="568.72"/>
    <n v="0"/>
    <n v="0"/>
    <n v="0"/>
    <n v="0"/>
    <n v="0"/>
    <n v="0"/>
    <n v="0"/>
    <n v="0"/>
    <n v="0"/>
    <n v="0"/>
    <n v="0"/>
    <n v="568.72"/>
    <n v="0"/>
  </r>
  <r>
    <x v="5"/>
    <x v="1"/>
    <x v="0"/>
    <s v="2317200"/>
    <n v="700066"/>
    <s v="Salaries-RN-Non-productive"/>
    <s v="Federal Way Med&amp;Spec-Fam Med"/>
    <x v="0"/>
    <m/>
    <n v="0"/>
    <n v="0"/>
    <n v="736.69"/>
    <n v="1662.43"/>
    <n v="-696.15"/>
    <n v="0"/>
    <n v="0"/>
    <n v="0"/>
    <n v="0"/>
    <n v="2324.69"/>
    <n v="-834.5"/>
    <n v="2598.5100000000002"/>
    <n v="5791.67"/>
    <n v="-3433.01"/>
  </r>
  <r>
    <x v="5"/>
    <x v="1"/>
    <x v="0"/>
    <s v="2317200"/>
    <n v="700070"/>
    <s v="Salaries-LPN-Non-productive"/>
    <s v="Federal Way Med&amp;Spec-Fam Med"/>
    <x v="0"/>
    <m/>
    <n v="1618.84"/>
    <n v="529.16"/>
    <n v="2180.66"/>
    <n v="1364.66"/>
    <n v="271.02"/>
    <n v="2181.9"/>
    <n v="129.74"/>
    <n v="659.42"/>
    <n v="186.01"/>
    <n v="720.73"/>
    <n v="561.52"/>
    <n v="704.52"/>
    <n v="11108.18"/>
    <n v="-143"/>
  </r>
  <r>
    <x v="5"/>
    <x v="1"/>
    <x v="0"/>
    <s v="2317200"/>
    <n v="700070"/>
    <s v="Salaries-LPN-NonProd-Other"/>
    <s v="Federal Way Med&amp;Spec-Fam Med"/>
    <x v="0"/>
    <n v="2000"/>
    <n v="0"/>
    <n v="34.86"/>
    <n v="2.69"/>
    <n v="5.36"/>
    <n v="0"/>
    <n v="0"/>
    <n v="0"/>
    <n v="0"/>
    <n v="0"/>
    <n v="0"/>
    <n v="0"/>
    <n v="0"/>
    <n v="42.91"/>
    <n v="0"/>
  </r>
  <r>
    <x v="5"/>
    <x v="1"/>
    <x v="0"/>
    <s v="2317200"/>
    <n v="700072"/>
    <s v="Salaries-Other Pat Care Providers-Non-productive"/>
    <s v="Federal Way Med&amp;Spec-Fam Med"/>
    <x v="0"/>
    <m/>
    <n v="7657.1"/>
    <n v="3260.01"/>
    <n v="1245.52"/>
    <n v="3374.22"/>
    <n v="3298.64"/>
    <n v="7169.63"/>
    <n v="3206.6"/>
    <n v="2779.39"/>
    <n v="6836.08"/>
    <n v="5085.33"/>
    <n v="2607.4"/>
    <n v="10059.51"/>
    <n v="56579.430000000008"/>
    <n v="-7452.1100000000006"/>
  </r>
  <r>
    <x v="5"/>
    <x v="1"/>
    <x v="0"/>
    <s v="2317200"/>
    <n v="700072"/>
    <s v="Salaries-Other Pat Care Providers-NonProd-Other"/>
    <s v="Federal Way Med&amp;Spec-Fam Med"/>
    <x v="0"/>
    <n v="2000"/>
    <n v="211.25"/>
    <n v="61.56"/>
    <n v="137.1"/>
    <n v="39.409999999999997"/>
    <n v="9.91"/>
    <n v="0"/>
    <n v="0"/>
    <n v="13.88"/>
    <n v="10.91"/>
    <n v="-4.95"/>
    <n v="0"/>
    <n v="0"/>
    <n v="479.07"/>
    <n v="0"/>
  </r>
  <r>
    <x v="5"/>
    <x v="1"/>
    <x v="0"/>
    <s v="2317200"/>
    <n v="700084"/>
    <s v="Accrued PTO"/>
    <s v="Federal Way Med&amp;Spec-Fam Med"/>
    <x v="0"/>
    <m/>
    <n v="-3096.18"/>
    <n v="2393.56"/>
    <n v="2402.58"/>
    <n v="1331.34"/>
    <n v="1792.22"/>
    <n v="-2900.09"/>
    <n v="1547.45"/>
    <n v="2476.62"/>
    <n v="2697.91"/>
    <n v="2123.06"/>
    <n v="3059.52"/>
    <n v="-11164"/>
    <n v="2663.99"/>
    <n v="14223.52"/>
  </r>
  <r>
    <x v="6"/>
    <x v="1"/>
    <x v="0"/>
    <s v="2317200"/>
    <n v="713010"/>
    <s v="Benefits-FICA/Medicare"/>
    <s v="Federal Way Med&amp;Spec-Fam Med"/>
    <x v="0"/>
    <m/>
    <n v="7569.2"/>
    <n v="8039.02"/>
    <n v="7166.85"/>
    <n v="7145.93"/>
    <n v="6272.58"/>
    <n v="11628.24"/>
    <n v="18662.97"/>
    <n v="13395.34"/>
    <n v="15319.72"/>
    <n v="14281.02"/>
    <n v="13280.64"/>
    <n v="7029.5"/>
    <n v="129791.01000000001"/>
    <n v="6251.1399999999994"/>
  </r>
  <r>
    <x v="6"/>
    <x v="1"/>
    <x v="0"/>
    <s v="2317200"/>
    <n v="713090"/>
    <s v="Benefits-Allocated Amounts"/>
    <s v="Federal Way Med&amp;Spec-Fam Med"/>
    <x v="0"/>
    <m/>
    <n v="0"/>
    <n v="0"/>
    <n v="0"/>
    <n v="0"/>
    <n v="0"/>
    <n v="0"/>
    <n v="0"/>
    <n v="0"/>
    <n v="144471.74"/>
    <n v="16590.75"/>
    <n v="16551.23"/>
    <n v="16087.67"/>
    <n v="193701.39"/>
    <n v="463.55999999999949"/>
  </r>
  <r>
    <x v="6"/>
    <x v="1"/>
    <x v="0"/>
    <s v="2317200"/>
    <n v="713092"/>
    <s v="Allocated Benefits-Physician"/>
    <s v="Federal Way Med&amp;Spec-Fam Med"/>
    <x v="0"/>
    <m/>
    <n v="19996.86"/>
    <n v="20992.66"/>
    <n v="21600.93"/>
    <n v="21942.58"/>
    <n v="20694.72"/>
    <n v="20467.34"/>
    <n v="25712.59"/>
    <n v="21978.66"/>
    <n v="-96798.34"/>
    <n v="8795.17"/>
    <n v="8774.2099999999991"/>
    <n v="8528.4699999999993"/>
    <n v="102685.85"/>
    <n v="245.73999999999978"/>
  </r>
  <r>
    <x v="6"/>
    <x v="1"/>
    <x v="0"/>
    <s v="2317200"/>
    <n v="713093"/>
    <s v="Allocated Benefits-Advanced Practice Clinician"/>
    <s v="Federal Way Med&amp;Spec-Fam Med"/>
    <x v="0"/>
    <m/>
    <n v="3580.36"/>
    <n v="3758.67"/>
    <n v="3867.56"/>
    <n v="3928.74"/>
    <n v="3705.32"/>
    <n v="3664.6"/>
    <n v="4603.75"/>
    <n v="3935.2"/>
    <n v="-17839.37"/>
    <n v="1516.41"/>
    <n v="1512.79"/>
    <n v="1470.43"/>
    <n v="17704.460000000003"/>
    <n v="42.3599999999999"/>
  </r>
  <r>
    <x v="7"/>
    <x v="1"/>
    <x v="0"/>
    <s v="2317200"/>
    <n v="718050"/>
    <s v="Contract Svcs-Other"/>
    <s v="Federal Way Med&amp;Spec-Fam Med"/>
    <x v="0"/>
    <m/>
    <n v="0"/>
    <n v="0"/>
    <n v="0"/>
    <n v="0"/>
    <n v="45"/>
    <n v="0"/>
    <n v="0"/>
    <n v="0"/>
    <n v="0"/>
    <n v="0"/>
    <n v="0"/>
    <n v="0"/>
    <n v="45"/>
    <n v="0"/>
  </r>
  <r>
    <x v="11"/>
    <x v="1"/>
    <x v="0"/>
    <s v="2317200"/>
    <n v="721010"/>
    <s v="Supplies-Medical - Billable"/>
    <s v="Federal Way Med&amp;Spec-Fam Med"/>
    <x v="0"/>
    <m/>
    <n v="0"/>
    <n v="0"/>
    <n v="0"/>
    <n v="0"/>
    <n v="0"/>
    <n v="0"/>
    <n v="0"/>
    <n v="0"/>
    <n v="1182.98"/>
    <n v="964.05"/>
    <n v="1949.95"/>
    <n v="2776.69"/>
    <n v="6873.67"/>
    <n v="-826.74"/>
  </r>
  <r>
    <x v="11"/>
    <x v="1"/>
    <x v="0"/>
    <s v="2317200"/>
    <n v="721410"/>
    <s v="Supplies-Medical - Nonbillable"/>
    <s v="Federal Way Med&amp;Spec-Fam Med"/>
    <x v="0"/>
    <m/>
    <n v="0"/>
    <n v="0"/>
    <n v="0"/>
    <n v="0"/>
    <n v="0"/>
    <n v="0"/>
    <n v="0"/>
    <n v="0"/>
    <n v="493"/>
    <n v="572.73"/>
    <n v="101.17"/>
    <n v="1255.8599999999999"/>
    <n v="2422.7600000000002"/>
    <n v="-1154.6899999999998"/>
  </r>
  <r>
    <x v="12"/>
    <x v="1"/>
    <x v="0"/>
    <s v="2317200"/>
    <n v="730020"/>
    <s v="Rental and Leases-Equipment (DO NOT USE)"/>
    <s v="Federal Way Med&amp;Spec-Fam Med"/>
    <x v="0"/>
    <m/>
    <n v="0"/>
    <n v="0"/>
    <n v="0"/>
    <n v="0"/>
    <n v="0"/>
    <n v="0"/>
    <n v="0"/>
    <n v="0"/>
    <n v="0"/>
    <n v="0"/>
    <n v="0"/>
    <n v="48.29"/>
    <n v="48.29"/>
    <n v="-48.29"/>
  </r>
  <r>
    <x v="16"/>
    <x v="1"/>
    <x v="0"/>
    <s v="2317200"/>
    <n v="732030"/>
    <s v="Repairs---Other"/>
    <s v="Federal Way Med&amp;Spec-Fam Med"/>
    <x v="0"/>
    <m/>
    <n v="0"/>
    <n v="1724.72"/>
    <n v="0"/>
    <n v="0"/>
    <n v="0"/>
    <n v="0"/>
    <n v="0"/>
    <n v="0"/>
    <n v="0"/>
    <n v="0"/>
    <n v="0"/>
    <n v="0"/>
    <n v="1724.72"/>
    <n v="0"/>
  </r>
  <r>
    <x v="0"/>
    <x v="1"/>
    <x v="0"/>
    <s v="2317200"/>
    <n v="740020"/>
    <s v="Education-Registration Fees"/>
    <s v="Federal Way Med&amp;Spec-Fam Med"/>
    <x v="0"/>
    <m/>
    <n v="0"/>
    <n v="0"/>
    <n v="0"/>
    <n v="0"/>
    <n v="0"/>
    <n v="0"/>
    <n v="0"/>
    <n v="0"/>
    <n v="0"/>
    <n v="0"/>
    <n v="0"/>
    <n v="365"/>
    <n v="365"/>
    <n v="-365"/>
  </r>
  <r>
    <x v="0"/>
    <x v="1"/>
    <x v="0"/>
    <s v="2317200"/>
    <n v="740022"/>
    <s v="Education-Physician"/>
    <s v="Federal Way Med&amp;Spec-Fam Med"/>
    <x v="0"/>
    <m/>
    <n v="0"/>
    <n v="0"/>
    <n v="0"/>
    <n v="2774.6"/>
    <n v="0"/>
    <n v="0"/>
    <n v="0"/>
    <n v="2890"/>
    <n v="0"/>
    <n v="565"/>
    <n v="0"/>
    <n v="46.31"/>
    <n v="6275.9100000000008"/>
    <n v="-46.31"/>
  </r>
  <r>
    <x v="0"/>
    <x v="1"/>
    <x v="0"/>
    <s v="2317200"/>
    <n v="740022"/>
    <s v="Books-Physician"/>
    <s v="Federal Way Med&amp;Spec-Fam Med"/>
    <x v="0"/>
    <n v="2000"/>
    <n v="0"/>
    <n v="0"/>
    <n v="0"/>
    <n v="589"/>
    <n v="0"/>
    <n v="0"/>
    <n v="0"/>
    <n v="0"/>
    <n v="0"/>
    <n v="0"/>
    <n v="0"/>
    <n v="0"/>
    <n v="589"/>
    <n v="0"/>
  </r>
  <r>
    <x v="8"/>
    <x v="1"/>
    <x v="0"/>
    <s v="2317200"/>
    <n v="741012"/>
    <s v="Physician Liab Insurance-CHI Program"/>
    <s v="Federal Way Med&amp;Spec-Fam Med"/>
    <x v="0"/>
    <m/>
    <n v="4026.17"/>
    <n v="4026.17"/>
    <n v="4026.17"/>
    <n v="4026.17"/>
    <n v="4026.19"/>
    <n v="4026.14"/>
    <n v="4026.19"/>
    <n v="3444.76"/>
    <n v="2238.19"/>
    <n v="2238.16"/>
    <n v="2238.1799999999998"/>
    <n v="2238.16"/>
    <n v="40580.649999999994"/>
    <n v="1.999999999998181E-2"/>
  </r>
  <r>
    <x v="0"/>
    <x v="1"/>
    <x v="0"/>
    <s v="2317200"/>
    <n v="743020"/>
    <s v="Dues--Individual"/>
    <s v="Federal Way Med&amp;Spec-Fam Med"/>
    <x v="0"/>
    <m/>
    <n v="0"/>
    <n v="0"/>
    <n v="0"/>
    <n v="0"/>
    <n v="0"/>
    <n v="0"/>
    <n v="0"/>
    <n v="2675"/>
    <n v="0"/>
    <n v="0"/>
    <n v="0"/>
    <n v="0"/>
    <n v="2675"/>
    <n v="0"/>
  </r>
  <r>
    <x v="0"/>
    <x v="1"/>
    <x v="0"/>
    <s v="2317200"/>
    <n v="743022"/>
    <s v="Dues-Physician"/>
    <s v="Federal Way Med&amp;Spec-Fam Med"/>
    <x v="0"/>
    <m/>
    <n v="90"/>
    <n v="0"/>
    <n v="420"/>
    <n v="0"/>
    <n v="0"/>
    <n v="640"/>
    <n v="885"/>
    <n v="885"/>
    <n v="0"/>
    <n v="174.99"/>
    <n v="0"/>
    <n v="0"/>
    <n v="3094.99"/>
    <n v="0"/>
  </r>
  <r>
    <x v="0"/>
    <x v="1"/>
    <x v="0"/>
    <s v="2317200"/>
    <n v="743042"/>
    <s v="Subscriptions-Physician"/>
    <s v="Federal Way Med&amp;Spec-Fam Med"/>
    <x v="0"/>
    <m/>
    <n v="0"/>
    <n v="0"/>
    <n v="378.9"/>
    <n v="0"/>
    <n v="0"/>
    <n v="0"/>
    <n v="0"/>
    <n v="0"/>
    <n v="0"/>
    <n v="0"/>
    <n v="0"/>
    <n v="0"/>
    <n v="378.9"/>
    <n v="0"/>
  </r>
  <r>
    <x v="0"/>
    <x v="1"/>
    <x v="0"/>
    <s v="2317200"/>
    <n v="744013"/>
    <s v="Retention-Advanced Practice Clinician"/>
    <s v="Federal Way Med&amp;Spec-Fam Med"/>
    <x v="0"/>
    <n v="2005"/>
    <n v="0"/>
    <n v="0"/>
    <n v="0"/>
    <n v="0"/>
    <n v="0"/>
    <n v="0"/>
    <n v="0"/>
    <n v="0"/>
    <n v="0"/>
    <n v="0"/>
    <n v="407"/>
    <n v="0"/>
    <n v="407"/>
    <n v="407"/>
  </r>
  <r>
    <x v="0"/>
    <x v="1"/>
    <x v="0"/>
    <s v="2317200"/>
    <n v="749510"/>
    <s v="Miscellaneous Expenses"/>
    <s v="Federal Way Med&amp;Spec-Fam Med"/>
    <x v="0"/>
    <m/>
    <n v="-7442.54"/>
    <n v="-85.91"/>
    <n v="0"/>
    <n v="0"/>
    <n v="0"/>
    <n v="0"/>
    <n v="766"/>
    <n v="-766"/>
    <n v="1588.64"/>
    <n v="-703.64"/>
    <n v="367.9"/>
    <n v="1239.08"/>
    <n v="-5036.47"/>
    <n v="-871.18"/>
  </r>
  <r>
    <x v="0"/>
    <x v="1"/>
    <x v="0"/>
    <s v="2317200"/>
    <n v="749510"/>
    <s v="Licenses"/>
    <s v="Federal Way Med&amp;Spec-Fam Med"/>
    <x v="0"/>
    <n v="1002"/>
    <n v="0"/>
    <n v="0"/>
    <n v="0"/>
    <n v="0"/>
    <n v="0"/>
    <n v="0"/>
    <n v="0"/>
    <n v="0"/>
    <n v="0"/>
    <n v="0"/>
    <n v="0"/>
    <n v="63.5"/>
    <n v="63.5"/>
    <n v="-63.5"/>
  </r>
  <r>
    <x v="0"/>
    <x v="1"/>
    <x v="0"/>
    <s v="2317200"/>
    <n v="749512"/>
    <s v="Licenses-Physician"/>
    <s v="Federal Way Med&amp;Spec-Fam Med"/>
    <x v="0"/>
    <n v="2000"/>
    <n v="0"/>
    <n v="0"/>
    <n v="0"/>
    <n v="1390.5"/>
    <n v="0"/>
    <n v="441"/>
    <n v="731"/>
    <n v="441"/>
    <n v="0"/>
    <n v="0"/>
    <n v="0"/>
    <n v="0"/>
    <n v="3003.5"/>
    <n v="0"/>
  </r>
  <r>
    <x v="0"/>
    <x v="1"/>
    <x v="0"/>
    <s v="2317200"/>
    <n v="749513"/>
    <s v="Licenses-Advanced Practice Clinician"/>
    <s v="Federal Way Med&amp;Spec-Fam Med"/>
    <x v="0"/>
    <n v="2000"/>
    <n v="0"/>
    <n v="0"/>
    <n v="0"/>
    <n v="0"/>
    <n v="0"/>
    <n v="731"/>
    <n v="0"/>
    <n v="0"/>
    <n v="500"/>
    <n v="122"/>
    <n v="0"/>
    <n v="0"/>
    <n v="1353"/>
    <n v="0"/>
  </r>
  <r>
    <x v="0"/>
    <x v="1"/>
    <x v="0"/>
    <s v="2317200"/>
    <n v="749530"/>
    <s v="Mileage"/>
    <s v="Federal Way Med&amp;Spec-Fam Med"/>
    <x v="0"/>
    <n v="1001"/>
    <n v="0"/>
    <n v="0"/>
    <n v="0"/>
    <n v="0"/>
    <n v="0"/>
    <n v="0"/>
    <n v="0"/>
    <n v="122.96"/>
    <n v="0"/>
    <n v="170.52"/>
    <n v="85.26"/>
    <n v="0"/>
    <n v="378.74"/>
    <n v="85.26"/>
  </r>
  <r>
    <x v="0"/>
    <x v="1"/>
    <x v="0"/>
    <s v="2317200"/>
    <n v="749532"/>
    <s v="Travel-Physician"/>
    <s v="Federal Way Med&amp;Spec-Fam Med"/>
    <x v="0"/>
    <m/>
    <n v="0"/>
    <n v="0"/>
    <n v="0"/>
    <n v="1858.85"/>
    <n v="0"/>
    <n v="0"/>
    <n v="0"/>
    <n v="0"/>
    <n v="0"/>
    <n v="1588.64"/>
    <n v="316.85000000000002"/>
    <n v="824.85"/>
    <n v="4589.1899999999996"/>
    <n v="-508"/>
  </r>
  <r>
    <x v="0"/>
    <x v="1"/>
    <x v="0"/>
    <s v="2317200"/>
    <n v="749532"/>
    <s v="Business Meals-Physician"/>
    <s v="Federal Way Med&amp;Spec-Fam Med"/>
    <x v="0"/>
    <n v="2000"/>
    <n v="0"/>
    <n v="0"/>
    <n v="0"/>
    <n v="0"/>
    <n v="0"/>
    <n v="869.91"/>
    <n v="379.8"/>
    <n v="0"/>
    <n v="0"/>
    <n v="0"/>
    <n v="0"/>
    <n v="0"/>
    <n v="1249.71"/>
    <n v="0"/>
  </r>
  <r>
    <x v="1"/>
    <x v="1"/>
    <x v="0"/>
    <s v="2318200"/>
    <n v="400029"/>
    <s v="MD Practice Other Rev--Medicare"/>
    <s v="St Anthony PC-Fam Med"/>
    <x v="0"/>
    <n v="1100"/>
    <n v="-21393"/>
    <n v="-20500"/>
    <n v="-17361"/>
    <n v="-22371"/>
    <n v="-21564"/>
    <n v="-16304"/>
    <n v="-20154"/>
    <n v="-17896"/>
    <n v="-24895"/>
    <n v="-20812"/>
    <n v="-18485"/>
    <n v="-19123"/>
    <n v="-240858"/>
    <n v="638"/>
  </r>
  <r>
    <x v="1"/>
    <x v="1"/>
    <x v="0"/>
    <s v="2318200"/>
    <n v="400029"/>
    <s v="MD Practice Other Rev--Medicaid"/>
    <s v="St Anthony PC-Fam Med"/>
    <x v="0"/>
    <n v="1200"/>
    <n v="-6187"/>
    <n v="-5355"/>
    <n v="-7102"/>
    <n v="-7478"/>
    <n v="-5895"/>
    <n v="-7184"/>
    <n v="-8559"/>
    <n v="-5657"/>
    <n v="-8966"/>
    <n v="-7151"/>
    <n v="-5050"/>
    <n v="-5331"/>
    <n v="-79915"/>
    <n v="281"/>
  </r>
  <r>
    <x v="1"/>
    <x v="1"/>
    <x v="0"/>
    <s v="2318200"/>
    <n v="400029"/>
    <s v="MD Practice Other Rev--Comm Insurance"/>
    <s v="St Anthony PC-Fam Med"/>
    <x v="0"/>
    <n v="1300"/>
    <n v="-2711"/>
    <n v="-2774"/>
    <n v="-3466"/>
    <n v="-2596"/>
    <n v="-3156"/>
    <n v="-2794"/>
    <n v="-3631"/>
    <n v="-3352"/>
    <n v="-4389"/>
    <n v="-3447"/>
    <n v="-2735"/>
    <n v="-1965"/>
    <n v="-37016"/>
    <n v="-770"/>
  </r>
  <r>
    <x v="1"/>
    <x v="1"/>
    <x v="0"/>
    <s v="2318200"/>
    <n v="400029"/>
    <s v="MD Practice Other Rev--BCBS Comm"/>
    <s v="St Anthony PC-Fam Med"/>
    <x v="0"/>
    <n v="1301"/>
    <n v="-6010"/>
    <n v="-6781"/>
    <n v="-5528"/>
    <n v="-8324"/>
    <n v="-7954"/>
    <n v="-7642"/>
    <n v="-7659"/>
    <n v="-8111"/>
    <n v="-9407"/>
    <n v="-7396"/>
    <n v="-5966"/>
    <n v="-5500"/>
    <n v="-86278"/>
    <n v="-466"/>
  </r>
  <r>
    <x v="1"/>
    <x v="1"/>
    <x v="0"/>
    <s v="2318200"/>
    <n v="400029"/>
    <s v="MD Practice Other Rev--Managed Care"/>
    <s v="St Anthony PC-Fam Med"/>
    <x v="0"/>
    <n v="1400"/>
    <n v="-21011"/>
    <n v="-20652"/>
    <n v="-19296"/>
    <n v="-22254"/>
    <n v="-20412"/>
    <n v="-21378"/>
    <n v="-23736"/>
    <n v="-22325"/>
    <n v="-31499"/>
    <n v="-23507"/>
    <n v="-19912"/>
    <n v="-16955"/>
    <n v="-262937"/>
    <n v="-2957"/>
  </r>
  <r>
    <x v="1"/>
    <x v="1"/>
    <x v="0"/>
    <s v="2318200"/>
    <n v="400029"/>
    <s v="MD Practice Other Rev--Self Pay"/>
    <s v="St Anthony PC-Fam Med"/>
    <x v="0"/>
    <n v="1500"/>
    <n v="-1437.3"/>
    <n v="-274.32"/>
    <n v="-514"/>
    <n v="-1752.84"/>
    <n v="-955.84"/>
    <n v="-1524.13"/>
    <n v="-1150"/>
    <n v="-998.97"/>
    <n v="-1853"/>
    <n v="-1722"/>
    <n v="-1634.84"/>
    <n v="-1166"/>
    <n v="-14983.24"/>
    <n v="-468.83999999999992"/>
  </r>
  <r>
    <x v="1"/>
    <x v="1"/>
    <x v="0"/>
    <s v="2318200"/>
    <n v="400029"/>
    <s v="MD Practice Other Rev--Other"/>
    <s v="St Anthony PC-Fam Med"/>
    <x v="0"/>
    <n v="1700"/>
    <n v="-2726"/>
    <n v="-3714"/>
    <n v="-3308"/>
    <n v="-3634"/>
    <n v="-3032"/>
    <n v="-2561"/>
    <n v="-3900"/>
    <n v="-2797"/>
    <n v="-4606"/>
    <n v="-3838"/>
    <n v="-2512"/>
    <n v="-2239"/>
    <n v="-38867"/>
    <n v="-273"/>
  </r>
  <r>
    <x v="1"/>
    <x v="1"/>
    <x v="0"/>
    <s v="2318200"/>
    <n v="400040"/>
    <s v="Physician Svcs Rev--Medicare"/>
    <s v="St Anthony PC-Fam Med"/>
    <x v="0"/>
    <n v="1100"/>
    <n v="-99611"/>
    <n v="-85965"/>
    <n v="-81467"/>
    <n v="-92304"/>
    <n v="-74968"/>
    <n v="-95648"/>
    <n v="-85547"/>
    <n v="-62614"/>
    <n v="-104635"/>
    <n v="-85351"/>
    <n v="-91166"/>
    <n v="-91779"/>
    <n v="-1051055"/>
    <n v="613"/>
  </r>
  <r>
    <x v="1"/>
    <x v="1"/>
    <x v="0"/>
    <s v="2318200"/>
    <n v="400040"/>
    <s v="Physician Svcs Rev--Medicaid"/>
    <s v="St Anthony PC-Fam Med"/>
    <x v="0"/>
    <n v="1200"/>
    <n v="-37417"/>
    <n v="-36402.44"/>
    <n v="-28905"/>
    <n v="-41591"/>
    <n v="-41308"/>
    <n v="-38716"/>
    <n v="-49539"/>
    <n v="-32342"/>
    <n v="-45002"/>
    <n v="-44088"/>
    <n v="-36630"/>
    <n v="-32547"/>
    <n v="-464487.44"/>
    <n v="-4083"/>
  </r>
  <r>
    <x v="1"/>
    <x v="1"/>
    <x v="0"/>
    <s v="2318200"/>
    <n v="400040"/>
    <s v="Physician Svcs Rev--Comm Insurance"/>
    <s v="St Anthony PC-Fam Med"/>
    <x v="0"/>
    <n v="1300"/>
    <n v="-13038"/>
    <n v="-19189"/>
    <n v="-19181"/>
    <n v="-13664"/>
    <n v="-11373"/>
    <n v="-18204"/>
    <n v="-24316"/>
    <n v="-20402"/>
    <n v="-20533"/>
    <n v="-13088"/>
    <n v="-14991"/>
    <n v="-17729"/>
    <n v="-205708"/>
    <n v="2738"/>
  </r>
  <r>
    <x v="1"/>
    <x v="1"/>
    <x v="0"/>
    <s v="2318200"/>
    <n v="400040"/>
    <s v="Physician Svcs Rev--BCBS Comm"/>
    <s v="St Anthony PC-Fam Med"/>
    <x v="0"/>
    <n v="1301"/>
    <n v="-31165.439999999999"/>
    <n v="-34688"/>
    <n v="-35978"/>
    <n v="-35925"/>
    <n v="-35466"/>
    <n v="-39076"/>
    <n v="-51168"/>
    <n v="-40576"/>
    <n v="-53340"/>
    <n v="-46993"/>
    <n v="-39649"/>
    <n v="-31910"/>
    <n v="-475934.44"/>
    <n v="-7739"/>
  </r>
  <r>
    <x v="1"/>
    <x v="1"/>
    <x v="0"/>
    <s v="2318200"/>
    <n v="400040"/>
    <s v="Physician Svcs Rev--Managed Care"/>
    <s v="St Anthony PC-Fam Med"/>
    <x v="0"/>
    <n v="1400"/>
    <n v="-125702"/>
    <n v="-113384"/>
    <n v="-99741"/>
    <n v="-110182"/>
    <n v="-108529"/>
    <n v="-132297"/>
    <n v="-143834"/>
    <n v="-115268"/>
    <n v="-159856"/>
    <n v="-127146.5"/>
    <n v="-115874"/>
    <n v="-93066"/>
    <n v="-1444879.5"/>
    <n v="-22808"/>
  </r>
  <r>
    <x v="1"/>
    <x v="1"/>
    <x v="0"/>
    <s v="2318200"/>
    <n v="400040"/>
    <s v="Physician Svcs Rev--Self Pay"/>
    <s v="St Anthony PC-Fam Med"/>
    <x v="0"/>
    <n v="1500"/>
    <n v="-9313.85"/>
    <n v="-10684.8"/>
    <n v="-9731"/>
    <n v="-15348.11"/>
    <n v="-11722.16"/>
    <n v="-11298.74"/>
    <n v="-10278.74"/>
    <n v="-12443.9"/>
    <n v="-14689"/>
    <n v="-12736.24"/>
    <n v="-13295.72"/>
    <n v="-8793"/>
    <n v="-140335.26"/>
    <n v="-4502.7199999999993"/>
  </r>
  <r>
    <x v="1"/>
    <x v="1"/>
    <x v="0"/>
    <s v="2318200"/>
    <n v="400040"/>
    <s v="Physician Svcs Rev--Other"/>
    <s v="St Anthony PC-Fam Med"/>
    <x v="0"/>
    <n v="1700"/>
    <n v="-20413"/>
    <n v="-17135"/>
    <n v="-19997"/>
    <n v="-18938"/>
    <n v="-16942"/>
    <n v="-24317"/>
    <n v="-22978"/>
    <n v="-19388"/>
    <n v="-26301"/>
    <n v="-16257"/>
    <n v="-19988"/>
    <n v="-17163"/>
    <n v="-239817"/>
    <n v="-2825"/>
  </r>
  <r>
    <x v="2"/>
    <x v="1"/>
    <x v="0"/>
    <s v="2318200"/>
    <n v="450029"/>
    <s v="Contr Allow--MD Other-Medicare"/>
    <s v="St Anthony PC-Fam Med"/>
    <x v="0"/>
    <n v="1100"/>
    <n v="12820.34"/>
    <n v="12772.45"/>
    <n v="11028.61"/>
    <n v="15436.5"/>
    <n v="13809.4"/>
    <n v="10484.11"/>
    <n v="14439.29"/>
    <n v="10430.959999999999"/>
    <n v="12023.88"/>
    <n v="14154.95"/>
    <n v="11456.41"/>
    <n v="12231.1"/>
    <n v="151088"/>
    <n v="-774.69000000000051"/>
  </r>
  <r>
    <x v="2"/>
    <x v="1"/>
    <x v="0"/>
    <s v="2318200"/>
    <n v="450029"/>
    <s v="Contr Allow--MD Other-Medicaid"/>
    <s v="St Anthony PC-Fam Med"/>
    <x v="0"/>
    <n v="1200"/>
    <n v="5622.76"/>
    <n v="5658.28"/>
    <n v="4495.7700000000004"/>
    <n v="6717.35"/>
    <n v="3699.2"/>
    <n v="5126.1000000000004"/>
    <n v="5928.3"/>
    <n v="4647.47"/>
    <n v="5742.29"/>
    <n v="6020.35"/>
    <n v="3747.61"/>
    <n v="3856.28"/>
    <n v="61261.760000000009"/>
    <n v="-108.67000000000007"/>
  </r>
  <r>
    <x v="2"/>
    <x v="1"/>
    <x v="0"/>
    <s v="2318200"/>
    <n v="450029"/>
    <s v="Contr Allow--MD Other-Comm Insurance"/>
    <s v="St Anthony PC-Fam Med"/>
    <x v="0"/>
    <n v="1300"/>
    <n v="1020.76"/>
    <n v="1246.43"/>
    <n v="562.94000000000005"/>
    <n v="1561.45"/>
    <n v="1011.25"/>
    <n v="771.79"/>
    <n v="1278.74"/>
    <n v="1144.9000000000001"/>
    <n v="1315.45"/>
    <n v="1060.02"/>
    <n v="1227.95"/>
    <n v="1099.6400000000001"/>
    <n v="13301.320000000002"/>
    <n v="128.30999999999995"/>
  </r>
  <r>
    <x v="2"/>
    <x v="1"/>
    <x v="0"/>
    <s v="2318200"/>
    <n v="450029"/>
    <s v="Contr Allow--MD Other BCBS Comm"/>
    <s v="St Anthony PC-Fam Med"/>
    <x v="0"/>
    <n v="1301"/>
    <n v="2939.05"/>
    <n v="2111.6"/>
    <n v="1911"/>
    <n v="2256.34"/>
    <n v="2412.08"/>
    <n v="2129.3000000000002"/>
    <n v="2972.72"/>
    <n v="3115.81"/>
    <n v="3502.4"/>
    <n v="3186.69"/>
    <n v="2262.4"/>
    <n v="2405.37"/>
    <n v="31204.760000000002"/>
    <n v="-142.9699999999998"/>
  </r>
  <r>
    <x v="2"/>
    <x v="1"/>
    <x v="0"/>
    <s v="2318200"/>
    <n v="450029"/>
    <s v="Contr Allow--MD Other-Managed Care"/>
    <s v="St Anthony PC-Fam Med"/>
    <x v="0"/>
    <n v="1400"/>
    <n v="8074.31"/>
    <n v="9029.67"/>
    <n v="6463.83"/>
    <n v="9270.31"/>
    <n v="10289.77"/>
    <n v="8386.84"/>
    <n v="7579.73"/>
    <n v="10666.2"/>
    <n v="12027.5"/>
    <n v="14118.85"/>
    <n v="9582.8799999999992"/>
    <n v="7941.57"/>
    <n v="113431.45999999999"/>
    <n v="1641.3099999999995"/>
  </r>
  <r>
    <x v="2"/>
    <x v="1"/>
    <x v="0"/>
    <s v="2318200"/>
    <n v="450029"/>
    <s v="Prompt Pay Disc-MD Other-Self Pay"/>
    <s v="St Anthony PC-Fam Med"/>
    <x v="0"/>
    <n v="1500"/>
    <n v="0"/>
    <n v="42.72"/>
    <n v="0"/>
    <n v="0"/>
    <n v="0"/>
    <n v="18.86"/>
    <n v="0"/>
    <n v="0"/>
    <n v="0"/>
    <n v="0"/>
    <n v="0"/>
    <n v="0"/>
    <n v="61.58"/>
    <n v="0"/>
  </r>
  <r>
    <x v="2"/>
    <x v="1"/>
    <x v="0"/>
    <s v="2318200"/>
    <n v="450029"/>
    <s v="Admin Adjust-MD Other-Self Pay"/>
    <s v="St Anthony PC-Fam Med"/>
    <x v="0"/>
    <n v="1600"/>
    <n v="587.29"/>
    <n v="583.42999999999995"/>
    <n v="568.02"/>
    <n v="960.33"/>
    <n v="415.74"/>
    <n v="705.08"/>
    <n v="744.36"/>
    <n v="790.22"/>
    <n v="907.07"/>
    <n v="923.63"/>
    <n v="764.75"/>
    <n v="528.20000000000005"/>
    <n v="8478.119999999999"/>
    <n v="236.54999999999995"/>
  </r>
  <r>
    <x v="2"/>
    <x v="1"/>
    <x v="0"/>
    <s v="2318200"/>
    <n v="450029"/>
    <s v="Contr Allow--MD Other-Other"/>
    <s v="St Anthony PC-Fam Med"/>
    <x v="0"/>
    <n v="1700"/>
    <n v="1159.9000000000001"/>
    <n v="1179.31"/>
    <n v="1272.8499999999999"/>
    <n v="2098.54"/>
    <n v="1494.15"/>
    <n v="1719.99"/>
    <n v="1993.08"/>
    <n v="1885.23"/>
    <n v="3035.73"/>
    <n v="2688.52"/>
    <n v="1245.8"/>
    <n v="1260.5"/>
    <n v="21033.599999999999"/>
    <n v="-14.700000000000045"/>
  </r>
  <r>
    <x v="2"/>
    <x v="1"/>
    <x v="0"/>
    <s v="2318200"/>
    <n v="450040"/>
    <s v="Contr Allow--Phys Svcs--Mcare"/>
    <s v="St Anthony PC-Fam Med"/>
    <x v="0"/>
    <n v="1100"/>
    <n v="70301.52"/>
    <n v="49695.7"/>
    <n v="52853.71"/>
    <n v="60408.43"/>
    <n v="44970.42"/>
    <n v="46648.3"/>
    <n v="87098.6"/>
    <n v="47310.67"/>
    <n v="50063.38"/>
    <n v="71276.33"/>
    <n v="53193.72"/>
    <n v="54042.31"/>
    <n v="687863.08999999985"/>
    <n v="-848.58999999999651"/>
  </r>
  <r>
    <x v="2"/>
    <x v="1"/>
    <x v="0"/>
    <s v="2318200"/>
    <n v="450040"/>
    <s v="Contr Allow--Phys Svcs--Mcaid"/>
    <s v="St Anthony PC-Fam Med"/>
    <x v="0"/>
    <n v="1200"/>
    <n v="35109.33"/>
    <n v="29760.959999999999"/>
    <n v="21296.880000000001"/>
    <n v="29369.3"/>
    <n v="22158.38"/>
    <n v="32915.32"/>
    <n v="33448.720000000001"/>
    <n v="25471.98"/>
    <n v="29904.85"/>
    <n v="35929.89"/>
    <n v="30138.21"/>
    <n v="20557.169999999998"/>
    <n v="346060.99000000005"/>
    <n v="9581.0400000000009"/>
  </r>
  <r>
    <x v="2"/>
    <x v="1"/>
    <x v="0"/>
    <s v="2318200"/>
    <n v="450040"/>
    <s v="Contr Allow--Phys Svcs--Comm Insurance"/>
    <s v="St Anthony PC-Fam Med"/>
    <x v="0"/>
    <n v="1300"/>
    <n v="4824.58"/>
    <n v="7110.36"/>
    <n v="4729.88"/>
    <n v="4971.7299999999996"/>
    <n v="3577.8"/>
    <n v="4980.6899999999996"/>
    <n v="7550.07"/>
    <n v="5906.07"/>
    <n v="7721.45"/>
    <n v="5158.3100000000004"/>
    <n v="4545.9799999999996"/>
    <n v="5924.19"/>
    <n v="67001.11"/>
    <n v="-1378.21"/>
  </r>
  <r>
    <x v="2"/>
    <x v="1"/>
    <x v="0"/>
    <s v="2318200"/>
    <n v="450040"/>
    <s v="Contr Allow--Phys Svcs--BCBS Comm Ins"/>
    <s v="St Anthony PC-Fam Med"/>
    <x v="0"/>
    <n v="1301"/>
    <n v="11649.21"/>
    <n v="10988.65"/>
    <n v="9987"/>
    <n v="8801.7099999999991"/>
    <n v="8810.0499999999993"/>
    <n v="9709.1200000000008"/>
    <n v="15881.36"/>
    <n v="12521.62"/>
    <n v="16256.39"/>
    <n v="15552.69"/>
    <n v="11672.6"/>
    <n v="14361.21"/>
    <n v="146191.60999999999"/>
    <n v="-2688.6099999999988"/>
  </r>
  <r>
    <x v="2"/>
    <x v="1"/>
    <x v="0"/>
    <s v="2318200"/>
    <n v="450040"/>
    <s v="Contr Allow--Phys Svcs--Managed Care"/>
    <s v="St Anthony PC-Fam Med"/>
    <x v="0"/>
    <n v="1400"/>
    <n v="47518.35"/>
    <n v="45594.53"/>
    <n v="33028.33"/>
    <n v="36152.129999999997"/>
    <n v="34417.519999999997"/>
    <n v="48816.08"/>
    <n v="44050.32"/>
    <n v="45531.61"/>
    <n v="52240.36"/>
    <n v="53019.26"/>
    <n v="41533.49"/>
    <n v="34236.089999999997"/>
    <n v="516138.06999999995"/>
    <n v="7297.4000000000015"/>
  </r>
  <r>
    <x v="2"/>
    <x v="1"/>
    <x v="0"/>
    <s v="2318200"/>
    <n v="450040"/>
    <s v="Contr Allow--Phys Svcs--BCBS Mgnd Care"/>
    <s v="St Anthony PC-Fam Med"/>
    <x v="0"/>
    <n v="1401"/>
    <n v="-17958.099999999999"/>
    <n v="-13903.65"/>
    <n v="11122.12"/>
    <n v="1841.47"/>
    <n v="15457.12"/>
    <n v="17825.03"/>
    <n v="-1159.95"/>
    <n v="-6668.25"/>
    <n v="38824"/>
    <n v="-39971.39"/>
    <n v="-3960.57"/>
    <n v="-10804.32"/>
    <n v="-9356.489999999998"/>
    <n v="6843.75"/>
  </r>
  <r>
    <x v="2"/>
    <x v="1"/>
    <x v="0"/>
    <s v="2318200"/>
    <n v="450040"/>
    <s v="Prompt Pay Disc-Phys Svcs-Self Pay"/>
    <s v="St Anthony PC-Fam Med"/>
    <x v="0"/>
    <n v="1500"/>
    <n v="0"/>
    <n v="208.44"/>
    <n v="0"/>
    <n v="0"/>
    <n v="0"/>
    <n v="0"/>
    <n v="0"/>
    <n v="0"/>
    <n v="0"/>
    <n v="0"/>
    <n v="0"/>
    <n v="0"/>
    <n v="208.44"/>
    <n v="0"/>
  </r>
  <r>
    <x v="2"/>
    <x v="1"/>
    <x v="0"/>
    <s v="2318200"/>
    <n v="450040"/>
    <s v="Admin Adjust-Phys Svcs-Self Pay"/>
    <s v="St Anthony PC-Fam Med"/>
    <x v="0"/>
    <n v="1600"/>
    <n v="5061.26"/>
    <n v="4837.13"/>
    <n v="5255.14"/>
    <n v="8311.2900000000009"/>
    <n v="5324.28"/>
    <n v="4866.8900000000003"/>
    <n v="6610.9"/>
    <n v="5464.42"/>
    <n v="7105.09"/>
    <n v="5897.34"/>
    <n v="6547.99"/>
    <n v="4378.6499999999996"/>
    <n v="69660.37999999999"/>
    <n v="2169.34"/>
  </r>
  <r>
    <x v="2"/>
    <x v="1"/>
    <x v="0"/>
    <s v="2318200"/>
    <n v="450040"/>
    <s v="Contr Allow--Phys Svcs--Other"/>
    <s v="St Anthony PC-Fam Med"/>
    <x v="0"/>
    <n v="1700"/>
    <n v="7379.08"/>
    <n v="10988.87"/>
    <n v="6109.77"/>
    <n v="9925.16"/>
    <n v="8396.26"/>
    <n v="11845.28"/>
    <n v="12555.66"/>
    <n v="13105.55"/>
    <n v="12723.59"/>
    <n v="13150"/>
    <n v="10409.34"/>
    <n v="9152.06"/>
    <n v="125740.62"/>
    <n v="1257.2800000000007"/>
  </r>
  <r>
    <x v="3"/>
    <x v="1"/>
    <x v="0"/>
    <s v="2318200"/>
    <n v="470040"/>
    <s v="Charity Care-Physician Svcs"/>
    <s v="St Anthony PC-Fam Med"/>
    <x v="0"/>
    <m/>
    <n v="-453.96"/>
    <n v="2448.23"/>
    <n v="999.3"/>
    <n v="2160.62"/>
    <n v="3335.59"/>
    <n v="842.1"/>
    <n v="1165.8800000000001"/>
    <n v="-20.62"/>
    <n v="3736.88"/>
    <n v="597.41999999999996"/>
    <n v="1178.8399999999999"/>
    <n v="3412.26"/>
    <n v="19402.539999999997"/>
    <n v="-2233.42"/>
  </r>
  <r>
    <x v="4"/>
    <x v="1"/>
    <x v="0"/>
    <s v="2318200"/>
    <n v="490010"/>
    <s v="Provision for Bad Debts"/>
    <s v="St Anthony PC-Fam Med"/>
    <x v="0"/>
    <m/>
    <n v="2578.14"/>
    <n v="2694.83"/>
    <n v="6874.07"/>
    <n v="4841.1899999999996"/>
    <n v="10693.27"/>
    <n v="5924.29"/>
    <n v="1849.23"/>
    <n v="3727.23"/>
    <n v="9677.99"/>
    <n v="-3705.63"/>
    <n v="4032.58"/>
    <n v="7389.04"/>
    <n v="56576.23000000001"/>
    <n v="-3356.46"/>
  </r>
  <r>
    <x v="5"/>
    <x v="1"/>
    <x v="0"/>
    <s v="2318200"/>
    <n v="700018"/>
    <s v="Salaries-Supervisory-Productive"/>
    <s v="St Anthony PC-Fam Med"/>
    <x v="0"/>
    <m/>
    <n v="6238.4"/>
    <n v="4522.84"/>
    <n v="2339.4"/>
    <n v="4513.3599999999997"/>
    <n v="8025.28"/>
    <n v="4077.36"/>
    <n v="4991.0200000000004"/>
    <n v="4861.13"/>
    <n v="6805.57"/>
    <n v="6157.42"/>
    <n v="7453.73"/>
    <n v="1620.38"/>
    <n v="61605.889999999992"/>
    <n v="5833.3499999999995"/>
  </r>
  <r>
    <x v="5"/>
    <x v="1"/>
    <x v="0"/>
    <s v="2318200"/>
    <n v="700022"/>
    <s v="Salaries-Physician-Productive"/>
    <s v="St Anthony PC-Fam Med"/>
    <x v="0"/>
    <m/>
    <n v="53769.22"/>
    <n v="54808.77"/>
    <n v="45370.54"/>
    <n v="50995.22"/>
    <n v="48141.78"/>
    <n v="51574.58"/>
    <n v="52927.21"/>
    <n v="47295.27"/>
    <n v="50960.73"/>
    <n v="53387.42"/>
    <n v="55814.15"/>
    <n v="33609.97"/>
    <n v="598654.86"/>
    <n v="22204.18"/>
  </r>
  <r>
    <x v="5"/>
    <x v="1"/>
    <x v="0"/>
    <s v="2318200"/>
    <n v="700022"/>
    <s v="Salaries-Physician-Other"/>
    <s v="St Anthony PC-Fam Med"/>
    <x v="0"/>
    <n v="2000"/>
    <n v="3399.28"/>
    <n v="4125.17"/>
    <n v="7152.04"/>
    <n v="175.42"/>
    <n v="2796.17"/>
    <n v="807.7"/>
    <n v="885.96"/>
    <n v="770.36"/>
    <n v="808.89"/>
    <n v="5075.82"/>
    <n v="2921.87"/>
    <n v="3895.43"/>
    <n v="32814.11"/>
    <n v="-973.56"/>
  </r>
  <r>
    <x v="5"/>
    <x v="1"/>
    <x v="0"/>
    <s v="2318200"/>
    <n v="700022"/>
    <s v="Salaries-Physician-Provider Incentive"/>
    <s v="St Anthony PC-Fam Med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318200"/>
    <n v="700024"/>
    <s v="Salaries-Advanced Practice Clinician-Productive"/>
    <s v="St Anthony PC-Fam Med"/>
    <x v="0"/>
    <m/>
    <n v="21290.7"/>
    <n v="21586.87"/>
    <n v="19461.96"/>
    <n v="34745.39"/>
    <n v="30725.34"/>
    <n v="26662.73"/>
    <n v="31576.34"/>
    <n v="28943.19"/>
    <n v="30697.33"/>
    <n v="32159.06"/>
    <n v="33620.9"/>
    <n v="18515.57"/>
    <n v="329985.38"/>
    <n v="15105.330000000002"/>
  </r>
  <r>
    <x v="5"/>
    <x v="1"/>
    <x v="0"/>
    <s v="2318200"/>
    <n v="700024"/>
    <s v="Salaries-Advanced Practice Clinician-Other"/>
    <s v="St Anthony PC-Fam Med"/>
    <x v="0"/>
    <n v="2000"/>
    <n v="1485"/>
    <n v="2463.61"/>
    <n v="1849.5"/>
    <n v="1737.5"/>
    <n v="2000"/>
    <n v="900"/>
    <n v="1214.28"/>
    <n v="1176.71"/>
    <n v="4656.82"/>
    <n v="-1402.05"/>
    <n v="2804.08"/>
    <n v="6018.8"/>
    <n v="24904.250000000004"/>
    <n v="-3214.7200000000003"/>
  </r>
  <r>
    <x v="5"/>
    <x v="1"/>
    <x v="0"/>
    <s v="2318200"/>
    <n v="700024"/>
    <s v="Salaries-Advanced Practice Clinician-Provider Incentive"/>
    <s v="St Anthony PC-Fam Med"/>
    <x v="0"/>
    <n v="4003"/>
    <n v="0"/>
    <n v="4121.46"/>
    <n v="0"/>
    <n v="0"/>
    <n v="6667.68"/>
    <n v="0"/>
    <n v="0"/>
    <n v="7039.97"/>
    <n v="0"/>
    <n v="0"/>
    <n v="9897.56"/>
    <n v="-14.47"/>
    <n v="27712.199999999997"/>
    <n v="9912.0299999999988"/>
  </r>
  <r>
    <x v="5"/>
    <x v="1"/>
    <x v="0"/>
    <s v="2318200"/>
    <n v="700026"/>
    <s v="Salaries-RN-Productive"/>
    <s v="St Anthony PC-Fam Med"/>
    <x v="0"/>
    <m/>
    <n v="5623.01"/>
    <n v="5989.2"/>
    <n v="4072.81"/>
    <n v="6531.76"/>
    <n v="5087.2"/>
    <n v="5855.56"/>
    <n v="6246.37"/>
    <n v="4375.99"/>
    <n v="5847.03"/>
    <n v="5668.24"/>
    <n v="6208.07"/>
    <n v="4360.83"/>
    <n v="65866.069999999992"/>
    <n v="1847.2399999999998"/>
  </r>
  <r>
    <x v="5"/>
    <x v="1"/>
    <x v="0"/>
    <s v="2318200"/>
    <n v="700026"/>
    <s v="Salaries-RN-OT"/>
    <s v="St Anthony PC-Fam Med"/>
    <x v="0"/>
    <n v="1000"/>
    <n v="26.92"/>
    <n v="138.26"/>
    <n v="61.18"/>
    <n v="88.39"/>
    <n v="17.739999999999998"/>
    <n v="72.63"/>
    <n v="149.03"/>
    <n v="53.26"/>
    <n v="270.07"/>
    <n v="54.52"/>
    <n v="167.4"/>
    <n v="-25.35"/>
    <n v="1074.0500000000002"/>
    <n v="192.75"/>
  </r>
  <r>
    <x v="5"/>
    <x v="1"/>
    <x v="0"/>
    <s v="2318200"/>
    <n v="700026"/>
    <s v="Salaries-RN-Other"/>
    <s v="St Anthony PC-Fam Med"/>
    <x v="0"/>
    <n v="2000"/>
    <n v="180.36"/>
    <n v="39.299999999999997"/>
    <n v="34.25"/>
    <n v="39.1"/>
    <n v="37.4"/>
    <n v="19.5"/>
    <n v="242.11"/>
    <n v="21.94"/>
    <n v="38.39"/>
    <n v="28.55"/>
    <n v="40.409999999999997"/>
    <n v="24.53"/>
    <n v="745.83999999999992"/>
    <n v="15.879999999999995"/>
  </r>
  <r>
    <x v="5"/>
    <x v="1"/>
    <x v="0"/>
    <s v="2318200"/>
    <n v="700030"/>
    <s v="Salaries-LPN-Productive"/>
    <s v="St Anthony PC-Fam Med"/>
    <x v="0"/>
    <m/>
    <n v="10931.4"/>
    <n v="11398.7"/>
    <n v="9301.18"/>
    <n v="14077.5"/>
    <n v="11309.04"/>
    <n v="13494.25"/>
    <n v="13901"/>
    <n v="9536.82"/>
    <n v="13627.14"/>
    <n v="14291.59"/>
    <n v="14775.02"/>
    <n v="10055.92"/>
    <n v="146699.56000000003"/>
    <n v="4719.1000000000004"/>
  </r>
  <r>
    <x v="5"/>
    <x v="1"/>
    <x v="0"/>
    <s v="2318200"/>
    <n v="700030"/>
    <s v="Salaries-LPN-OT"/>
    <s v="St Anthony PC-Fam Med"/>
    <x v="0"/>
    <n v="1000"/>
    <n v="585.13"/>
    <n v="799.94"/>
    <n v="907.74"/>
    <n v="699.05"/>
    <n v="807.83"/>
    <n v="224.23"/>
    <n v="1264.05"/>
    <n v="770.43"/>
    <n v="446.25"/>
    <n v="451.92"/>
    <n v="1292.83"/>
    <n v="327.12"/>
    <n v="8576.5200000000023"/>
    <n v="965.70999999999992"/>
  </r>
  <r>
    <x v="5"/>
    <x v="1"/>
    <x v="0"/>
    <s v="2318200"/>
    <n v="700030"/>
    <s v="Salaries-LPN-Other"/>
    <s v="St Anthony PC-Fam Med"/>
    <x v="0"/>
    <n v="2000"/>
    <n v="191.39"/>
    <n v="108.67"/>
    <n v="325.76"/>
    <n v="120.85"/>
    <n v="95.65"/>
    <n v="126.87"/>
    <n v="284.5"/>
    <n v="72.56"/>
    <n v="112.78"/>
    <n v="114.23"/>
    <n v="113.47"/>
    <n v="317.57"/>
    <n v="1984.3"/>
    <n v="-204.1"/>
  </r>
  <r>
    <x v="5"/>
    <x v="1"/>
    <x v="0"/>
    <s v="2318200"/>
    <n v="700032"/>
    <s v="Salaries-Other Pat Care Providers-Productive"/>
    <s v="St Anthony PC-Fam Med"/>
    <x v="0"/>
    <m/>
    <n v="4264.4799999999996"/>
    <n v="4458.32"/>
    <n v="3649.64"/>
    <n v="4446.21"/>
    <n v="3893.67"/>
    <n v="4018.49"/>
    <n v="3983.62"/>
    <n v="3230.22"/>
    <n v="4210.3500000000004"/>
    <n v="3383.2"/>
    <n v="2102.0700000000002"/>
    <n v="6708.36"/>
    <n v="48348.63"/>
    <n v="-4606.2899999999991"/>
  </r>
  <r>
    <x v="5"/>
    <x v="1"/>
    <x v="0"/>
    <s v="2318200"/>
    <n v="700032"/>
    <s v="Salaries-Other Pat Care Providers-OT"/>
    <s v="St Anthony PC-Fam Med"/>
    <x v="0"/>
    <n v="1000"/>
    <n v="388.72"/>
    <n v="1149.26"/>
    <n v="223.91"/>
    <n v="84.32"/>
    <n v="131.16"/>
    <n v="177.05"/>
    <n v="19.63"/>
    <n v="451.71"/>
    <n v="668.32"/>
    <n v="122.88"/>
    <n v="284.91000000000003"/>
    <n v="309.25"/>
    <n v="4011.1200000000003"/>
    <n v="-24.339999999999975"/>
  </r>
  <r>
    <x v="5"/>
    <x v="1"/>
    <x v="0"/>
    <s v="2318200"/>
    <n v="700032"/>
    <s v="Salaries-Other Pat Care Providers-Other"/>
    <s v="St Anthony PC-Fam Med"/>
    <x v="0"/>
    <n v="2000"/>
    <n v="62.1"/>
    <n v="66.52"/>
    <n v="200.98"/>
    <n v="72.349999999999994"/>
    <n v="68.150000000000006"/>
    <n v="67.5"/>
    <n v="44.65"/>
    <n v="60.43"/>
    <n v="65.03"/>
    <n v="55.99"/>
    <n v="34.520000000000003"/>
    <n v="230.01"/>
    <n v="1028.23"/>
    <n v="-195.48999999999998"/>
  </r>
  <r>
    <x v="5"/>
    <x v="1"/>
    <x v="0"/>
    <s v="2318200"/>
    <n v="700054"/>
    <s v="Salaries-Management-NonProd-Other"/>
    <s v="St Anthony PC-Fam Med"/>
    <x v="0"/>
    <n v="2000"/>
    <n v="0"/>
    <n v="0"/>
    <n v="0"/>
    <n v="0"/>
    <n v="0"/>
    <n v="4726.97"/>
    <n v="-4726.97"/>
    <n v="0"/>
    <n v="0"/>
    <n v="0"/>
    <n v="0"/>
    <n v="0"/>
    <n v="0"/>
    <n v="0"/>
  </r>
  <r>
    <x v="5"/>
    <x v="1"/>
    <x v="0"/>
    <s v="2318200"/>
    <n v="700058"/>
    <s v="Salaries-Supervisory-Non-productive"/>
    <s v="St Anthony PC-Fam Med"/>
    <x v="0"/>
    <m/>
    <n v="623.84"/>
    <n v="2651.32"/>
    <n v="-779.8"/>
    <n v="311.92"/>
    <n v="647.20000000000005"/>
    <n v="2718.24"/>
    <n v="194.64"/>
    <n v="324.08999999999997"/>
    <n v="0"/>
    <n v="972.23"/>
    <n v="0"/>
    <n v="1620.37"/>
    <n v="9284.0499999999993"/>
    <n v="-1620.37"/>
  </r>
  <r>
    <x v="5"/>
    <x v="1"/>
    <x v="0"/>
    <s v="2318200"/>
    <n v="700058"/>
    <s v="Salaries-Supervisory-NonProd-Other"/>
    <s v="St Anthony P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8200"/>
    <n v="700062"/>
    <s v="Salaries-Physician-Non-productive"/>
    <s v="St Anthony PC-Fam Med"/>
    <x v="0"/>
    <m/>
    <n v="0"/>
    <n v="0"/>
    <n v="0"/>
    <n v="0"/>
    <n v="0"/>
    <n v="2403.9"/>
    <n v="0"/>
    <n v="0"/>
    <n v="0"/>
    <n v="0"/>
    <n v="0"/>
    <n v="12831.06"/>
    <n v="15234.96"/>
    <n v="-12831.06"/>
  </r>
  <r>
    <x v="5"/>
    <x v="1"/>
    <x v="0"/>
    <s v="2318200"/>
    <n v="700062"/>
    <s v="Salaries-Physician-NonProd-Other"/>
    <s v="St Anthony P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8200"/>
    <n v="700064"/>
    <s v="Salaries-Advanced Practice Clinician-Non-Productive"/>
    <s v="St Anthony PC-Fam Med"/>
    <x v="0"/>
    <m/>
    <n v="922.86"/>
    <n v="918.79"/>
    <n v="912.1"/>
    <n v="1051.57"/>
    <n v="1043.98"/>
    <n v="2015.2"/>
    <n v="1037.3699999999999"/>
    <n v="1025.45"/>
    <n v="1027.9000000000001"/>
    <n v="1021.08"/>
    <n v="1018.43"/>
    <n v="1499.16"/>
    <n v="13493.89"/>
    <n v="-480.73000000000013"/>
  </r>
  <r>
    <x v="5"/>
    <x v="1"/>
    <x v="0"/>
    <s v="2318200"/>
    <n v="700064"/>
    <s v="Salaries-Advanced Practice Clinician-Non-Prod-Other"/>
    <s v="St Anthony P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8200"/>
    <n v="700066"/>
    <s v="Salaries-RN-Non-productive"/>
    <s v="St Anthony PC-Fam Med"/>
    <x v="0"/>
    <m/>
    <n v="352.93"/>
    <n v="0"/>
    <n v="1419.99"/>
    <n v="-386.53"/>
    <n v="404.28"/>
    <n v="735.28"/>
    <n v="-36.21"/>
    <n v="1057.72"/>
    <n v="-188.93"/>
    <n v="269.91000000000003"/>
    <n v="0"/>
    <n v="1349.58"/>
    <n v="4978.0200000000004"/>
    <n v="-1349.58"/>
  </r>
  <r>
    <x v="5"/>
    <x v="1"/>
    <x v="0"/>
    <s v="2318200"/>
    <n v="700070"/>
    <s v="Salaries-LPN-Non-productive"/>
    <s v="St Anthony PC-Fam Med"/>
    <x v="0"/>
    <m/>
    <n v="1710.36"/>
    <n v="1372.28"/>
    <n v="812.36"/>
    <n v="-112.42"/>
    <n v="1052.53"/>
    <n v="1233.3699999999999"/>
    <n v="1168.99"/>
    <n v="3002.17"/>
    <n v="-603.26"/>
    <n v="108.06"/>
    <n v="552.5"/>
    <n v="2938.68"/>
    <n v="13235.619999999999"/>
    <n v="-2386.1799999999998"/>
  </r>
  <r>
    <x v="5"/>
    <x v="1"/>
    <x v="0"/>
    <s v="2318200"/>
    <n v="700070"/>
    <s v="Salaries-LPN-NonProd-Other"/>
    <s v="St Anthony P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18200"/>
    <n v="700072"/>
    <s v="Salaries-Other Pat Care Providers-Non-productive"/>
    <s v="St Anthony PC-Fam Med"/>
    <x v="0"/>
    <m/>
    <n v="290.76"/>
    <n v="0"/>
    <n v="290.76"/>
    <n v="109.04"/>
    <n v="496.8"/>
    <n v="675.64"/>
    <n v="895.6"/>
    <n v="753.77"/>
    <n v="-149.26"/>
    <n v="995.05"/>
    <n v="2500.06"/>
    <n v="-677.87"/>
    <n v="6180.3499999999995"/>
    <n v="3177.93"/>
  </r>
  <r>
    <x v="5"/>
    <x v="1"/>
    <x v="0"/>
    <s v="2318200"/>
    <n v="700072"/>
    <s v="Salaries-Other Pat Care Providers-NonProd-Other"/>
    <s v="St Anthony PC-Fam Med"/>
    <x v="0"/>
    <n v="2000"/>
    <n v="0"/>
    <n v="0"/>
    <n v="0"/>
    <n v="0"/>
    <n v="383.95"/>
    <n v="0"/>
    <n v="0"/>
    <n v="-383.95"/>
    <n v="0"/>
    <n v="0"/>
    <n v="0"/>
    <n v="0"/>
    <n v="0"/>
    <n v="0"/>
  </r>
  <r>
    <x v="5"/>
    <x v="1"/>
    <x v="0"/>
    <s v="2318200"/>
    <n v="700084"/>
    <s v="Accrued PTO"/>
    <s v="St Anthony PC-Fam Med"/>
    <x v="0"/>
    <m/>
    <n v="290.19"/>
    <n v="-388.93"/>
    <n v="380.84"/>
    <n v="3341.53"/>
    <n v="1053.93"/>
    <n v="-666.91"/>
    <n v="912.67"/>
    <n v="-1055.27"/>
    <n v="3015.94"/>
    <n v="864.37"/>
    <n v="1297.51"/>
    <n v="-836.46"/>
    <n v="8209.41"/>
    <n v="2133.9700000000003"/>
  </r>
  <r>
    <x v="6"/>
    <x v="1"/>
    <x v="0"/>
    <s v="2318200"/>
    <n v="713010"/>
    <s v="Benefits-FICA/Medicare"/>
    <s v="St Anthony PC-Fam Med"/>
    <x v="0"/>
    <m/>
    <n v="6421.27"/>
    <n v="6700.49"/>
    <n v="5258.84"/>
    <n v="5784.7"/>
    <n v="4651.4399999999996"/>
    <n v="6770.57"/>
    <n v="9326.01"/>
    <n v="8526.7099999999991"/>
    <n v="8852.24"/>
    <n v="9110.01"/>
    <n v="11306.93"/>
    <n v="6253.57"/>
    <n v="88962.78"/>
    <n v="5053.3600000000006"/>
  </r>
  <r>
    <x v="6"/>
    <x v="1"/>
    <x v="0"/>
    <s v="2318200"/>
    <n v="713090"/>
    <s v="Benefits-Allocated Amounts"/>
    <s v="St Anthony PC-Fam Med"/>
    <x v="0"/>
    <m/>
    <n v="0"/>
    <n v="0"/>
    <n v="0"/>
    <n v="0"/>
    <n v="0"/>
    <n v="0"/>
    <n v="0"/>
    <n v="0"/>
    <n v="77453.64"/>
    <n v="9553.85"/>
    <n v="10028.9"/>
    <n v="8971.11"/>
    <n v="106007.5"/>
    <n v="1057.7899999999991"/>
  </r>
  <r>
    <x v="6"/>
    <x v="1"/>
    <x v="0"/>
    <s v="2318200"/>
    <n v="713092"/>
    <s v="Allocated Benefits-Physician"/>
    <s v="St Anthony PC-Fam Med"/>
    <x v="0"/>
    <m/>
    <n v="9414.1299999999992"/>
    <n v="8591.66"/>
    <n v="8222.18"/>
    <n v="9369.42"/>
    <n v="9504.02"/>
    <n v="10602.08"/>
    <n v="11562.65"/>
    <n v="10837.74"/>
    <n v="-47300.85"/>
    <n v="3799.53"/>
    <n v="3988.46"/>
    <n v="3567.77"/>
    <n v="42158.79"/>
    <n v="420.69000000000005"/>
  </r>
  <r>
    <x v="6"/>
    <x v="1"/>
    <x v="0"/>
    <s v="2318200"/>
    <n v="713093"/>
    <s v="Allocated Benefits-Advanced Practice Clinician"/>
    <s v="St Anthony PC-Fam Med"/>
    <x v="0"/>
    <m/>
    <n v="5212.87"/>
    <n v="4757.45"/>
    <n v="4552.8500000000004"/>
    <n v="5188.1099999999997"/>
    <n v="5262.65"/>
    <n v="5870.67"/>
    <n v="6402.57"/>
    <n v="6001.16"/>
    <n v="-12200.88"/>
    <n v="3829.68"/>
    <n v="4020.1"/>
    <n v="3596.09"/>
    <n v="42493.320000000007"/>
    <n v="424.00999999999976"/>
  </r>
  <r>
    <x v="6"/>
    <x v="1"/>
    <x v="0"/>
    <s v="2318200"/>
    <n v="713096"/>
    <s v="Employee Recognition"/>
    <s v="St Anthony PC-Fam Med"/>
    <x v="0"/>
    <n v="1017"/>
    <n v="0"/>
    <n v="0"/>
    <n v="0"/>
    <n v="0"/>
    <n v="0"/>
    <n v="0"/>
    <n v="0"/>
    <n v="0"/>
    <n v="0"/>
    <n v="0"/>
    <n v="66.319999999999993"/>
    <n v="0"/>
    <n v="66.319999999999993"/>
    <n v="66.319999999999993"/>
  </r>
  <r>
    <x v="7"/>
    <x v="1"/>
    <x v="0"/>
    <s v="2318200"/>
    <n v="718040"/>
    <s v="Contract Svcs-Laboratory"/>
    <s v="St Anthony PC-Fam Med"/>
    <x v="0"/>
    <m/>
    <n v="67.650000000000006"/>
    <n v="0"/>
    <n v="0"/>
    <n v="0"/>
    <n v="0"/>
    <n v="0"/>
    <n v="0"/>
    <n v="0"/>
    <n v="0"/>
    <n v="0"/>
    <n v="0"/>
    <n v="0"/>
    <n v="67.650000000000006"/>
    <n v="0"/>
  </r>
  <r>
    <x v="7"/>
    <x v="1"/>
    <x v="0"/>
    <s v="2318200"/>
    <n v="718050"/>
    <s v="Miscellaneous Purchased Svcs"/>
    <s v="St Anthony PC-Fam Med"/>
    <x v="0"/>
    <n v="1020"/>
    <n v="28.37"/>
    <n v="-30.41"/>
    <n v="30.17"/>
    <n v="21.46"/>
    <n v="44.29"/>
    <n v="22.97"/>
    <n v="30.17"/>
    <n v="27.7"/>
    <n v="38.47"/>
    <n v="2.5099999999999998"/>
    <n v="49.76"/>
    <n v="32.5"/>
    <n v="297.95999999999998"/>
    <n v="17.259999999999998"/>
  </r>
  <r>
    <x v="0"/>
    <x v="1"/>
    <x v="0"/>
    <s v="2318200"/>
    <n v="740022"/>
    <s v="Education-Physician"/>
    <s v="St Anthony PC-Fam Med"/>
    <x v="0"/>
    <m/>
    <n v="0"/>
    <n v="0"/>
    <n v="60"/>
    <n v="1225"/>
    <n v="0"/>
    <n v="0"/>
    <n v="0"/>
    <n v="1875"/>
    <n v="0"/>
    <n v="0"/>
    <n v="0"/>
    <n v="0"/>
    <n v="3160"/>
    <n v="0"/>
  </r>
  <r>
    <x v="0"/>
    <x v="1"/>
    <x v="0"/>
    <s v="2318200"/>
    <n v="740022"/>
    <s v="Books-Physician"/>
    <s v="St Anthony PC-Fam Med"/>
    <x v="0"/>
    <n v="2000"/>
    <n v="0"/>
    <n v="0"/>
    <n v="28.5"/>
    <n v="0"/>
    <n v="0"/>
    <n v="0"/>
    <n v="0"/>
    <n v="0"/>
    <n v="0"/>
    <n v="0"/>
    <n v="0"/>
    <n v="0"/>
    <n v="28.5"/>
    <n v="0"/>
  </r>
  <r>
    <x v="0"/>
    <x v="1"/>
    <x v="0"/>
    <s v="2318200"/>
    <n v="740023"/>
    <s v="Education-Advanced Practice Clinician"/>
    <s v="St Anthony PC-Fam Med"/>
    <x v="0"/>
    <m/>
    <n v="0"/>
    <n v="0"/>
    <n v="0"/>
    <n v="0"/>
    <n v="0"/>
    <n v="0"/>
    <n v="0"/>
    <n v="0"/>
    <n v="0"/>
    <n v="0"/>
    <n v="349"/>
    <n v="2234.31"/>
    <n v="2583.31"/>
    <n v="-1885.31"/>
  </r>
  <r>
    <x v="8"/>
    <x v="1"/>
    <x v="0"/>
    <s v="2318200"/>
    <n v="741012"/>
    <s v="Physician Liab Insurance-CHI Program"/>
    <s v="St Anthony PC-Fam Med"/>
    <x v="0"/>
    <m/>
    <n v="1942.03"/>
    <n v="1942.03"/>
    <n v="1942.03"/>
    <n v="1373.63"/>
    <n v="1799.94"/>
    <n v="1799.93"/>
    <n v="1799.94"/>
    <n v="1799.93"/>
    <n v="1799.94"/>
    <n v="1799.93"/>
    <n v="1799.94"/>
    <n v="1799.93"/>
    <n v="21599.200000000001"/>
    <n v="9.9999999999909051E-3"/>
  </r>
  <r>
    <x v="0"/>
    <x v="1"/>
    <x v="0"/>
    <s v="2318200"/>
    <n v="743020"/>
    <s v="Dues--Individual"/>
    <s v="St Anthony PC-Fam Med"/>
    <x v="0"/>
    <m/>
    <n v="0"/>
    <n v="0"/>
    <n v="0"/>
    <n v="0"/>
    <n v="0"/>
    <n v="0"/>
    <n v="0"/>
    <n v="1195"/>
    <n v="0"/>
    <n v="0"/>
    <n v="0"/>
    <n v="0"/>
    <n v="1195"/>
    <n v="0"/>
  </r>
  <r>
    <x v="0"/>
    <x v="1"/>
    <x v="0"/>
    <s v="2318200"/>
    <n v="743022"/>
    <s v="Dues-Physician"/>
    <s v="St Anthony PC-Fam Med"/>
    <x v="0"/>
    <m/>
    <n v="0"/>
    <n v="0"/>
    <n v="0"/>
    <n v="0"/>
    <n v="0"/>
    <n v="0"/>
    <n v="0"/>
    <n v="1410"/>
    <n v="0"/>
    <n v="0"/>
    <n v="840"/>
    <n v="0"/>
    <n v="2250"/>
    <n v="840"/>
  </r>
  <r>
    <x v="0"/>
    <x v="1"/>
    <x v="0"/>
    <s v="2318200"/>
    <n v="743042"/>
    <s v="Subscriptions-Physician"/>
    <s v="St Anthony PC-Fam Med"/>
    <x v="0"/>
    <m/>
    <n v="0"/>
    <n v="395"/>
    <n v="0"/>
    <n v="0"/>
    <n v="0"/>
    <n v="0"/>
    <n v="0"/>
    <n v="0"/>
    <n v="0"/>
    <n v="2168.92"/>
    <n v="432.92"/>
    <n v="0"/>
    <n v="2996.84"/>
    <n v="432.92"/>
  </r>
  <r>
    <x v="0"/>
    <x v="1"/>
    <x v="0"/>
    <s v="2318200"/>
    <n v="743043"/>
    <s v="Subscriptions-Advanced Practice Clinician"/>
    <s v="St Anthony PC-Fam Med"/>
    <x v="0"/>
    <m/>
    <n v="1749.99"/>
    <n v="0"/>
    <n v="0"/>
    <n v="0"/>
    <n v="0"/>
    <n v="0"/>
    <n v="0"/>
    <n v="0"/>
    <n v="0"/>
    <n v="0"/>
    <n v="0"/>
    <n v="0"/>
    <n v="1749.99"/>
    <n v="0"/>
  </r>
  <r>
    <x v="0"/>
    <x v="1"/>
    <x v="0"/>
    <s v="2318200"/>
    <n v="749510"/>
    <s v="Miscellaneous Expenses"/>
    <s v="St Anthony PC-Fam Med"/>
    <x v="0"/>
    <m/>
    <n v="-2725.11"/>
    <n v="0"/>
    <n v="0"/>
    <n v="0"/>
    <n v="0"/>
    <n v="42.7"/>
    <n v="21.76"/>
    <n v="0"/>
    <n v="2111"/>
    <n v="-2159.44"/>
    <n v="714.98"/>
    <n v="188.92"/>
    <n v="-1805.19"/>
    <n v="526.06000000000006"/>
  </r>
  <r>
    <x v="0"/>
    <x v="1"/>
    <x v="0"/>
    <s v="2318200"/>
    <n v="749513"/>
    <s v="Licenses-Advanced Practice Clinician"/>
    <s v="St Anthony PC-Fam Med"/>
    <x v="0"/>
    <n v="2000"/>
    <n v="0"/>
    <n v="0"/>
    <n v="0"/>
    <n v="0"/>
    <n v="0"/>
    <n v="881"/>
    <n v="0"/>
    <n v="0"/>
    <n v="245"/>
    <n v="0"/>
    <n v="0"/>
    <n v="0"/>
    <n v="1126"/>
    <n v="0"/>
  </r>
  <r>
    <x v="0"/>
    <x v="1"/>
    <x v="0"/>
    <s v="2318200"/>
    <n v="749530"/>
    <s v="Travel"/>
    <s v="St Anthony PC-Fam Med"/>
    <x v="0"/>
    <m/>
    <n v="0"/>
    <n v="0"/>
    <n v="0"/>
    <n v="0"/>
    <n v="0"/>
    <n v="10"/>
    <n v="20"/>
    <n v="0"/>
    <n v="15"/>
    <n v="0"/>
    <n v="5"/>
    <n v="390.58"/>
    <n v="440.58"/>
    <n v="-385.58"/>
  </r>
  <r>
    <x v="0"/>
    <x v="1"/>
    <x v="0"/>
    <s v="2318200"/>
    <n v="749530"/>
    <s v="Mileage"/>
    <s v="St Anthony PC-Fam Med"/>
    <x v="0"/>
    <n v="1001"/>
    <n v="0"/>
    <n v="0"/>
    <n v="0"/>
    <n v="0"/>
    <n v="0"/>
    <n v="23.98"/>
    <n v="54"/>
    <n v="0"/>
    <n v="42.92"/>
    <n v="6.54"/>
    <n v="11.02"/>
    <n v="0"/>
    <n v="138.46"/>
    <n v="11.02"/>
  </r>
  <r>
    <x v="0"/>
    <x v="1"/>
    <x v="0"/>
    <s v="2318200"/>
    <n v="749532"/>
    <s v="Travel-Physician"/>
    <s v="St Anthony PC-Fam Med"/>
    <x v="0"/>
    <m/>
    <n v="0"/>
    <n v="0"/>
    <n v="0"/>
    <n v="309.39999999999998"/>
    <n v="0"/>
    <n v="0"/>
    <n v="0"/>
    <n v="224.6"/>
    <n v="0"/>
    <n v="0"/>
    <n v="0"/>
    <n v="337.81"/>
    <n v="871.81"/>
    <n v="-337.81"/>
  </r>
  <r>
    <x v="0"/>
    <x v="1"/>
    <x v="0"/>
    <s v="2318200"/>
    <n v="749532"/>
    <s v="Vehicle Expense-Physician"/>
    <s v="St Anthony PC-Fam Med"/>
    <x v="0"/>
    <n v="2001"/>
    <n v="0"/>
    <n v="0"/>
    <n v="0"/>
    <n v="56.69"/>
    <n v="0"/>
    <n v="0"/>
    <n v="0"/>
    <n v="0"/>
    <n v="0"/>
    <n v="0"/>
    <n v="0"/>
    <n v="0"/>
    <n v="56.69"/>
    <n v="0"/>
  </r>
  <r>
    <x v="0"/>
    <x v="1"/>
    <x v="0"/>
    <s v="2318200"/>
    <n v="749533"/>
    <s v="Travel-Advanced Practice Clinician"/>
    <s v="St Anthony PC-Fam Med"/>
    <x v="0"/>
    <m/>
    <n v="0"/>
    <n v="0"/>
    <n v="0"/>
    <n v="0"/>
    <n v="0"/>
    <n v="0"/>
    <n v="0"/>
    <n v="0"/>
    <n v="0"/>
    <n v="0"/>
    <n v="400.68"/>
    <n v="0"/>
    <n v="400.68"/>
    <n v="400.68"/>
  </r>
  <r>
    <x v="0"/>
    <x v="1"/>
    <x v="0"/>
    <s v="2318200"/>
    <n v="749533"/>
    <s v="Vehicle Expense-Advanced Practice Clinician"/>
    <s v="St Anthony PC-Fam Med"/>
    <x v="0"/>
    <n v="2001"/>
    <n v="0"/>
    <n v="0"/>
    <n v="30.52"/>
    <n v="0"/>
    <n v="0"/>
    <n v="0"/>
    <n v="0"/>
    <n v="0"/>
    <n v="0"/>
    <n v="0"/>
    <n v="0"/>
    <n v="0"/>
    <n v="30.52"/>
    <n v="0"/>
  </r>
  <r>
    <x v="9"/>
    <x v="1"/>
    <x v="0"/>
    <s v="2318200"/>
    <n v="800015"/>
    <s v="Interest Income-Ext to CHI"/>
    <s v="St Anthony PC-Fam Med"/>
    <x v="0"/>
    <m/>
    <n v="-89.53"/>
    <n v="-85.46"/>
    <n v="-78.760000000000005"/>
    <n v="-93.24"/>
    <n v="-85.65"/>
    <n v="-83.77"/>
    <n v="-79.040000000000006"/>
    <n v="-67.11"/>
    <n v="-69.569999999999993"/>
    <n v="-62.74"/>
    <n v="-60.1"/>
    <n v="-53.59"/>
    <n v="-908.56"/>
    <n v="-6.509999999999998"/>
  </r>
  <r>
    <x v="5"/>
    <x v="1"/>
    <x v="0"/>
    <s v="2319200"/>
    <n v="700034"/>
    <s v="Salaries-Tech/Professional-Productive"/>
    <s v="St Anthony PC-Radiology"/>
    <x v="0"/>
    <m/>
    <n v="13391.72"/>
    <n v="14150.74"/>
    <n v="12823.14"/>
    <n v="16010.95"/>
    <n v="15309.67"/>
    <n v="13009.12"/>
    <n v="15283.82"/>
    <n v="11938.6"/>
    <n v="15495.24"/>
    <n v="13796.37"/>
    <n v="13247.02"/>
    <n v="14004.69"/>
    <n v="168461.08000000002"/>
    <n v="-757.67000000000007"/>
  </r>
  <r>
    <x v="5"/>
    <x v="1"/>
    <x v="0"/>
    <s v="2319200"/>
    <n v="700034"/>
    <s v="Salaries-Tech/Professional-OT"/>
    <s v="St Anthony PC-Radiology"/>
    <x v="0"/>
    <n v="1000"/>
    <n v="66.87"/>
    <n v="1033.25"/>
    <n v="-334.2"/>
    <n v="13.48"/>
    <n v="110.28"/>
    <n v="13.86"/>
    <n v="428.89"/>
    <n v="19.350000000000001"/>
    <n v="98.03"/>
    <n v="370.4"/>
    <n v="738.97"/>
    <n v="882.92"/>
    <n v="3442.0999999999995"/>
    <n v="-143.94999999999993"/>
  </r>
  <r>
    <x v="5"/>
    <x v="1"/>
    <x v="0"/>
    <s v="2319200"/>
    <n v="700034"/>
    <s v="Salaries-Tech/Professional-Other"/>
    <s v="St Anthony PC-Radiology"/>
    <x v="0"/>
    <n v="2000"/>
    <n v="212.44"/>
    <n v="77.7"/>
    <n v="277.2"/>
    <n v="77.63"/>
    <n v="73.75"/>
    <n v="72.45"/>
    <n v="301.81"/>
    <n v="63.78"/>
    <n v="71.58"/>
    <n v="129.9"/>
    <n v="116.96"/>
    <n v="282.10000000000002"/>
    <n v="1757.3000000000002"/>
    <n v="-165.14000000000004"/>
  </r>
  <r>
    <x v="5"/>
    <x v="1"/>
    <x v="0"/>
    <s v="2319200"/>
    <n v="700074"/>
    <s v="Salaries-Tech/Professional-Non-productive"/>
    <s v="St Anthony PC-Radiology"/>
    <x v="0"/>
    <m/>
    <n v="1518.09"/>
    <n v="593.22"/>
    <n v="1703.53"/>
    <n v="1068.17"/>
    <n v="927.59"/>
    <n v="2720.53"/>
    <n v="1745.78"/>
    <n v="2698.5"/>
    <n v="234.21"/>
    <n v="4114.0200000000004"/>
    <n v="5987.01"/>
    <n v="2423.56"/>
    <n v="25734.210000000003"/>
    <n v="3563.4500000000003"/>
  </r>
  <r>
    <x v="5"/>
    <x v="1"/>
    <x v="0"/>
    <s v="2319200"/>
    <n v="700074"/>
    <s v="Salaries-Tech/Professional-NonProd-Other"/>
    <s v="St Anthony PC-Radiology"/>
    <x v="0"/>
    <n v="2000"/>
    <n v="0"/>
    <n v="0"/>
    <n v="0"/>
    <n v="0"/>
    <n v="335.01"/>
    <n v="0"/>
    <n v="0"/>
    <n v="-335.01"/>
    <n v="0"/>
    <n v="0"/>
    <n v="0"/>
    <n v="0"/>
    <n v="0"/>
    <n v="0"/>
  </r>
  <r>
    <x v="5"/>
    <x v="1"/>
    <x v="0"/>
    <s v="2319200"/>
    <n v="700084"/>
    <s v="Accrued PTO"/>
    <s v="St Anthony PC-Radiology"/>
    <x v="0"/>
    <m/>
    <n v="925.46"/>
    <n v="1126.0899999999999"/>
    <n v="504.49"/>
    <n v="1412.82"/>
    <n v="1056.03"/>
    <n v="-509.96"/>
    <n v="348.27"/>
    <n v="-195.89"/>
    <n v="1540.84"/>
    <n v="-737.34"/>
    <n v="-2768.14"/>
    <n v="-3163.81"/>
    <n v="-461.14000000000124"/>
    <n v="395.67000000000007"/>
  </r>
  <r>
    <x v="6"/>
    <x v="1"/>
    <x v="0"/>
    <s v="2319200"/>
    <n v="713010"/>
    <s v="Benefits-FICA/Medicare"/>
    <s v="St Anthony PC-Radiology"/>
    <x v="0"/>
    <m/>
    <n v="1115.3800000000001"/>
    <n v="1166.8499999999999"/>
    <n v="1063.57"/>
    <n v="1260.54"/>
    <n v="1332.04"/>
    <n v="1136.07"/>
    <n v="1311.17"/>
    <n v="1081.3900000000001"/>
    <n v="1169.6400000000001"/>
    <n v="1359.3"/>
    <n v="1483.54"/>
    <n v="1298.4000000000001"/>
    <n v="14777.889999999998"/>
    <n v="185.13999999999987"/>
  </r>
  <r>
    <x v="6"/>
    <x v="1"/>
    <x v="0"/>
    <s v="2319200"/>
    <n v="713090"/>
    <s v="Benefits-Allocated Amounts"/>
    <s v="St Anthony PC-Radiology"/>
    <x v="0"/>
    <m/>
    <n v="2849.84"/>
    <n v="2541.41"/>
    <n v="2820.42"/>
    <n v="3013.22"/>
    <n v="2989.45"/>
    <n v="3061.39"/>
    <n v="3482.7"/>
    <n v="3165.82"/>
    <n v="3325.68"/>
    <n v="3510.93"/>
    <n v="3509.04"/>
    <n v="3667.96"/>
    <n v="37937.86"/>
    <n v="-158.92000000000007"/>
  </r>
  <r>
    <x v="0"/>
    <x v="1"/>
    <x v="0"/>
    <s v="2319200"/>
    <n v="740020"/>
    <s v="Education-Registration Fees"/>
    <s v="St Anthony PC-Radiology"/>
    <x v="0"/>
    <m/>
    <n v="0"/>
    <n v="0"/>
    <n v="0"/>
    <n v="0"/>
    <n v="0"/>
    <n v="0"/>
    <n v="0"/>
    <n v="45"/>
    <n v="0"/>
    <n v="0"/>
    <n v="0"/>
    <n v="0"/>
    <n v="45"/>
    <n v="0"/>
  </r>
  <r>
    <x v="0"/>
    <x v="1"/>
    <x v="0"/>
    <s v="2319200"/>
    <n v="749510"/>
    <s v="Miscellaneous Expenses"/>
    <s v="St Anthony PC-Radiology"/>
    <x v="0"/>
    <m/>
    <n v="-21.26"/>
    <n v="85.04"/>
    <n v="-85.04"/>
    <n v="0"/>
    <n v="0"/>
    <n v="0"/>
    <n v="0"/>
    <n v="0"/>
    <n v="0"/>
    <n v="0"/>
    <n v="0"/>
    <n v="0"/>
    <n v="-21.260000000000005"/>
    <n v="0"/>
  </r>
  <r>
    <x v="0"/>
    <x v="1"/>
    <x v="0"/>
    <s v="2319200"/>
    <n v="749530"/>
    <s v="Travel"/>
    <s v="St Anthony PC-Radiology"/>
    <x v="0"/>
    <m/>
    <n v="10"/>
    <n v="5"/>
    <n v="0"/>
    <n v="0"/>
    <n v="0"/>
    <n v="0"/>
    <n v="0"/>
    <n v="10"/>
    <n v="0"/>
    <n v="0"/>
    <n v="35"/>
    <n v="121.29"/>
    <n v="181.29000000000002"/>
    <n v="-86.29"/>
  </r>
  <r>
    <x v="0"/>
    <x v="1"/>
    <x v="0"/>
    <s v="2319200"/>
    <n v="749530"/>
    <s v="Mileage"/>
    <s v="St Anthony PC-Radiology"/>
    <x v="0"/>
    <n v="1001"/>
    <n v="12"/>
    <n v="6"/>
    <n v="0"/>
    <n v="0"/>
    <n v="0"/>
    <n v="0"/>
    <n v="0"/>
    <n v="12.76"/>
    <n v="0"/>
    <n v="0"/>
    <n v="44.66"/>
    <n v="31.9"/>
    <n v="107.32"/>
    <n v="12.759999999999998"/>
  </r>
  <r>
    <x v="2"/>
    <x v="1"/>
    <x v="0"/>
    <s v="2320200"/>
    <n v="450029"/>
    <s v="Admin Adjust-MD Other-Self Pay"/>
    <s v="Dupont-Fam Med"/>
    <x v="0"/>
    <n v="1600"/>
    <n v="0"/>
    <n v="0.7"/>
    <n v="0"/>
    <n v="0"/>
    <n v="0"/>
    <n v="0"/>
    <n v="0"/>
    <n v="0"/>
    <n v="0"/>
    <n v="0"/>
    <n v="0"/>
    <n v="0"/>
    <n v="0.7"/>
    <n v="0"/>
  </r>
  <r>
    <x v="2"/>
    <x v="1"/>
    <x v="0"/>
    <s v="2320200"/>
    <n v="450040"/>
    <s v="Admin Adjust-Phys Svcs-Self Pay"/>
    <s v="Dupont-Fam Med"/>
    <x v="0"/>
    <n v="1600"/>
    <n v="0"/>
    <n v="1.5"/>
    <n v="-10.14"/>
    <n v="9.2799999999999994"/>
    <n v="0"/>
    <n v="0"/>
    <n v="6"/>
    <n v="0"/>
    <n v="0"/>
    <n v="0"/>
    <n v="0"/>
    <n v="0"/>
    <n v="6.6399999999999988"/>
    <n v="0"/>
  </r>
  <r>
    <x v="4"/>
    <x v="1"/>
    <x v="0"/>
    <s v="2320200"/>
    <n v="490010"/>
    <s v="Provision for Bad Debts"/>
    <s v="Dupont-Fam Med"/>
    <x v="0"/>
    <m/>
    <n v="20.13"/>
    <n v="-0.11"/>
    <n v="-64.95"/>
    <n v="-50.88"/>
    <n v="-14"/>
    <n v="-24.5"/>
    <n v="-6"/>
    <n v="0"/>
    <n v="-293.08999999999997"/>
    <n v="-30.31"/>
    <n v="-15"/>
    <n v="-121.27"/>
    <n v="-599.98"/>
    <n v="106.27"/>
  </r>
  <r>
    <x v="1"/>
    <x v="1"/>
    <x v="0"/>
    <s v="2321200"/>
    <n v="400029"/>
    <s v="MD Practice Other Rev--Medicare"/>
    <s v="St Anthony-Fam Med"/>
    <x v="0"/>
    <n v="1100"/>
    <n v="-991"/>
    <n v="-674"/>
    <n v="-634"/>
    <n v="-799"/>
    <n v="-417"/>
    <n v="-656"/>
    <n v="-651"/>
    <n v="-709"/>
    <n v="-942"/>
    <n v="-1051"/>
    <n v="-386"/>
    <n v="-731"/>
    <n v="-8641"/>
    <n v="345"/>
  </r>
  <r>
    <x v="1"/>
    <x v="1"/>
    <x v="0"/>
    <s v="2321200"/>
    <n v="400029"/>
    <s v="MD Practice Other Rev--Medicaid"/>
    <s v="St Anthony-Fam Med"/>
    <x v="0"/>
    <n v="1200"/>
    <n v="-561"/>
    <n v="-800"/>
    <n v="-397"/>
    <n v="-684"/>
    <n v="-360"/>
    <n v="-426"/>
    <n v="-375"/>
    <n v="-281"/>
    <n v="-576"/>
    <n v="-522"/>
    <n v="-225"/>
    <n v="-392"/>
    <n v="-5599"/>
    <n v="167"/>
  </r>
  <r>
    <x v="1"/>
    <x v="1"/>
    <x v="0"/>
    <s v="2321200"/>
    <n v="400029"/>
    <s v="MD Practice Other Rev--Comm Insurance"/>
    <s v="St Anthony-Fam Med"/>
    <x v="0"/>
    <n v="1300"/>
    <n v="-184"/>
    <n v="-100"/>
    <n v="-101"/>
    <n v="-281"/>
    <n v="-122"/>
    <n v="-251"/>
    <n v="-316"/>
    <n v="-156"/>
    <n v="-378"/>
    <n v="-41"/>
    <n v="-195"/>
    <n v="-77"/>
    <n v="-2202"/>
    <n v="-118"/>
  </r>
  <r>
    <x v="1"/>
    <x v="1"/>
    <x v="0"/>
    <s v="2321200"/>
    <n v="400029"/>
    <s v="MD Practice Other Rev--BCBS Comm"/>
    <s v="St Anthony-Fam Med"/>
    <x v="0"/>
    <n v="1301"/>
    <n v="-376"/>
    <n v="-535"/>
    <n v="-389"/>
    <n v="-376"/>
    <n v="-225"/>
    <n v="-304"/>
    <n v="-317"/>
    <n v="-152"/>
    <n v="-631"/>
    <n v="-265"/>
    <n v="-408"/>
    <n v="-97"/>
    <n v="-4075"/>
    <n v="-311"/>
  </r>
  <r>
    <x v="1"/>
    <x v="1"/>
    <x v="0"/>
    <s v="2321200"/>
    <n v="400029"/>
    <s v="MD Practice Other Rev--Managed Care"/>
    <s v="St Anthony-Fam Med"/>
    <x v="0"/>
    <n v="1400"/>
    <n v="-826"/>
    <n v="-1442"/>
    <n v="-1683"/>
    <n v="-3516"/>
    <n v="-923"/>
    <n v="-1806"/>
    <n v="-1096"/>
    <n v="-1312"/>
    <n v="-1745"/>
    <n v="-3344"/>
    <n v="-758"/>
    <n v="-606"/>
    <n v="-19057"/>
    <n v="-152"/>
  </r>
  <r>
    <x v="1"/>
    <x v="1"/>
    <x v="0"/>
    <s v="2321200"/>
    <n v="400029"/>
    <s v="MD Practice Other Rev--Self Pay"/>
    <s v="St Anthony-Fam Med"/>
    <x v="0"/>
    <n v="1500"/>
    <n v="21"/>
    <n v="14"/>
    <n v="-24"/>
    <n v="-24"/>
    <n v="-24"/>
    <n v="-100"/>
    <n v="0"/>
    <n v="-172"/>
    <n v="-454"/>
    <n v="-21"/>
    <n v="9"/>
    <n v="-45"/>
    <n v="-820"/>
    <n v="54"/>
  </r>
  <r>
    <x v="1"/>
    <x v="1"/>
    <x v="0"/>
    <s v="2321200"/>
    <n v="400029"/>
    <s v="MD Practice Other Rev--Other"/>
    <s v="St Anthony-Fam Med"/>
    <x v="0"/>
    <n v="1700"/>
    <n v="-83"/>
    <n v="-101"/>
    <n v="-53"/>
    <n v="-135"/>
    <n v="-242"/>
    <n v="-190"/>
    <n v="-130"/>
    <n v="-212"/>
    <n v="-258"/>
    <n v="-234"/>
    <n v="-143"/>
    <n v="-135"/>
    <n v="-1916"/>
    <n v="-8"/>
  </r>
  <r>
    <x v="1"/>
    <x v="1"/>
    <x v="0"/>
    <s v="2321200"/>
    <n v="400040"/>
    <s v="Physician Svcs Rev--Medicare"/>
    <s v="St Anthony-Fam Med"/>
    <x v="0"/>
    <n v="1100"/>
    <n v="-206476"/>
    <n v="-211896"/>
    <n v="-220361.48"/>
    <n v="-246457"/>
    <n v="-233775"/>
    <n v="-192678"/>
    <n v="-247581.52"/>
    <n v="-167890"/>
    <n v="-175017"/>
    <n v="-197210"/>
    <n v="-203788"/>
    <n v="-185037"/>
    <n v="-2488167"/>
    <n v="-18751"/>
  </r>
  <r>
    <x v="1"/>
    <x v="1"/>
    <x v="0"/>
    <s v="2321200"/>
    <n v="400040"/>
    <s v="Physician Svcs Rev--Medicaid"/>
    <s v="St Anthony-Fam Med"/>
    <x v="0"/>
    <n v="1200"/>
    <n v="-96350.68"/>
    <n v="-106655.03999999999"/>
    <n v="-78929.039999999994"/>
    <n v="-97564.7"/>
    <n v="-89558.8"/>
    <n v="-68757.399999999994"/>
    <n v="-104365.32"/>
    <n v="-71903.520000000004"/>
    <n v="-86045.54"/>
    <n v="-88933.16"/>
    <n v="-79564.160000000003"/>
    <n v="-76035.600000000006"/>
    <n v="-1044662.9600000001"/>
    <n v="-3528.5599999999977"/>
  </r>
  <r>
    <x v="1"/>
    <x v="1"/>
    <x v="0"/>
    <s v="2321200"/>
    <n v="400040"/>
    <s v="Physician Svcs Rev--Comm Insurance"/>
    <s v="St Anthony-Fam Med"/>
    <x v="0"/>
    <n v="1300"/>
    <n v="-16698.75"/>
    <n v="-35673.879999999997"/>
    <n v="-27601"/>
    <n v="-34539.699999999997"/>
    <n v="-31523.59"/>
    <n v="-26836.78"/>
    <n v="-40869.56"/>
    <n v="-27196.03"/>
    <n v="-34722.910000000003"/>
    <n v="-31625.34"/>
    <n v="-25836"/>
    <n v="-31099"/>
    <n v="-364222.54000000004"/>
    <n v="5263"/>
  </r>
  <r>
    <x v="1"/>
    <x v="1"/>
    <x v="0"/>
    <s v="2321200"/>
    <n v="400040"/>
    <s v="Physician Svcs Rev--BCBS Comm"/>
    <s v="St Anthony-Fam Med"/>
    <x v="0"/>
    <n v="1301"/>
    <n v="-69390.460000000006"/>
    <n v="-76206.95"/>
    <n v="-66672.570000000007"/>
    <n v="-77708.039999999994"/>
    <n v="-71229.47"/>
    <n v="-57404"/>
    <n v="-70340.649999999994"/>
    <n v="-58965.43"/>
    <n v="-62929.11"/>
    <n v="-67889.710000000006"/>
    <n v="-65958.61"/>
    <n v="-65378.58"/>
    <n v="-810073.58"/>
    <n v="-580.02999999999884"/>
  </r>
  <r>
    <x v="1"/>
    <x v="1"/>
    <x v="0"/>
    <s v="2321200"/>
    <n v="400040"/>
    <s v="Physician Svcs Rev--Managed Care"/>
    <s v="St Anthony-Fam Med"/>
    <x v="0"/>
    <n v="1400"/>
    <n v="-211015.51"/>
    <n v="-244163.85"/>
    <n v="-211701.78"/>
    <n v="-267368.75"/>
    <n v="-232386.22"/>
    <n v="-197952.8"/>
    <n v="-244246.18"/>
    <n v="-200986.23999999999"/>
    <n v="-196214.26"/>
    <n v="-219186.79"/>
    <n v="-226431.03"/>
    <n v="-175659.04"/>
    <n v="-2627312.4499999997"/>
    <n v="-50771.989999999991"/>
  </r>
  <r>
    <x v="1"/>
    <x v="1"/>
    <x v="0"/>
    <s v="2321200"/>
    <n v="400040"/>
    <s v="Physician Svcs Rev--Self Pay"/>
    <s v="St Anthony-Fam Med"/>
    <x v="0"/>
    <n v="1500"/>
    <n v="9022.31"/>
    <n v="-19637"/>
    <n v="-5061"/>
    <n v="8493"/>
    <n v="-7067"/>
    <n v="-8067.32"/>
    <n v="-6508"/>
    <n v="-7561"/>
    <n v="-7486.08"/>
    <n v="-4549.92"/>
    <n v="-10544"/>
    <n v="-6077"/>
    <n v="-65043.01"/>
    <n v="-4467"/>
  </r>
  <r>
    <x v="1"/>
    <x v="1"/>
    <x v="0"/>
    <s v="2321200"/>
    <n v="400040"/>
    <s v="Physician Svcs Rev--Other"/>
    <s v="St Anthony-Fam Med"/>
    <x v="0"/>
    <n v="1700"/>
    <n v="-38784"/>
    <n v="-30570.28"/>
    <n v="-36106.06"/>
    <n v="-37212.67"/>
    <n v="-40088.94"/>
    <n v="-31022.52"/>
    <n v="-38802.71"/>
    <n v="-27121.39"/>
    <n v="-29636.49"/>
    <n v="-28777.82"/>
    <n v="-36066.79"/>
    <n v="-27223.88"/>
    <n v="-401413.55"/>
    <n v="-8842.91"/>
  </r>
  <r>
    <x v="2"/>
    <x v="1"/>
    <x v="0"/>
    <s v="2321200"/>
    <n v="450029"/>
    <s v="Contr Allow--MD Other-Medicare"/>
    <s v="St Anthony-Fam Med"/>
    <x v="0"/>
    <n v="1100"/>
    <n v="537.08000000000004"/>
    <n v="530.33000000000004"/>
    <n v="417.05"/>
    <n v="599.24"/>
    <n v="409.58"/>
    <n v="388.53"/>
    <n v="822.51"/>
    <n v="331.49"/>
    <n v="470.31"/>
    <n v="915.28"/>
    <n v="453.86"/>
    <n v="350.26"/>
    <n v="6225.5199999999995"/>
    <n v="103.60000000000002"/>
  </r>
  <r>
    <x v="2"/>
    <x v="1"/>
    <x v="0"/>
    <s v="2321200"/>
    <n v="450029"/>
    <s v="Contr Allow--MD Other-Medicaid"/>
    <s v="St Anthony-Fam Med"/>
    <x v="0"/>
    <n v="1200"/>
    <n v="291.08"/>
    <n v="798.15"/>
    <n v="289.56"/>
    <n v="296.89"/>
    <n v="379.14"/>
    <n v="350.32"/>
    <n v="254.29"/>
    <n v="265.87"/>
    <n v="234.71"/>
    <n v="425.92"/>
    <n v="161.77000000000001"/>
    <n v="217.27"/>
    <n v="3964.97"/>
    <n v="-55.5"/>
  </r>
  <r>
    <x v="2"/>
    <x v="1"/>
    <x v="0"/>
    <s v="2321200"/>
    <n v="450029"/>
    <s v="Contr Allow--MD Other-Comm Insurance"/>
    <s v="St Anthony-Fam Med"/>
    <x v="0"/>
    <n v="1300"/>
    <n v="185.53"/>
    <n v="65.91"/>
    <n v="55.02"/>
    <n v="127.21"/>
    <n v="55.39"/>
    <n v="32.46"/>
    <n v="155.54"/>
    <n v="49.49"/>
    <n v="147.78"/>
    <n v="96.13"/>
    <n v="97.57"/>
    <n v="113.89"/>
    <n v="1181.92"/>
    <n v="-16.320000000000007"/>
  </r>
  <r>
    <x v="2"/>
    <x v="1"/>
    <x v="0"/>
    <s v="2321200"/>
    <n v="450029"/>
    <s v="Contr Allow--MD Other BCBS Comm"/>
    <s v="St Anthony-Fam Med"/>
    <x v="0"/>
    <n v="1301"/>
    <n v="397.13"/>
    <n v="356.62"/>
    <n v="196.63"/>
    <n v="173.73"/>
    <n v="240.12"/>
    <n v="168.89"/>
    <n v="207.31"/>
    <n v="97.01"/>
    <n v="150.58000000000001"/>
    <n v="313.61"/>
    <n v="265.16000000000003"/>
    <n v="166.94"/>
    <n v="2733.7299999999996"/>
    <n v="98.220000000000027"/>
  </r>
  <r>
    <x v="2"/>
    <x v="1"/>
    <x v="0"/>
    <s v="2321200"/>
    <n v="450029"/>
    <s v="Contr Allow--MD Other-Managed Care"/>
    <s v="St Anthony-Fam Med"/>
    <x v="0"/>
    <n v="1400"/>
    <n v="692.65"/>
    <n v="728.56"/>
    <n v="615.85"/>
    <n v="1808.68"/>
    <n v="1056.92"/>
    <n v="479.76"/>
    <n v="930.21"/>
    <n v="936.29"/>
    <n v="1257.96"/>
    <n v="1236.3399999999999"/>
    <n v="1260.46"/>
    <n v="431.47"/>
    <n v="11435.15"/>
    <n v="828.99"/>
  </r>
  <r>
    <x v="2"/>
    <x v="1"/>
    <x v="0"/>
    <s v="2321200"/>
    <n v="450029"/>
    <s v="Admin Adjust-MD Other-Self Pay"/>
    <s v="St Anthony-Fam Med"/>
    <x v="0"/>
    <n v="1600"/>
    <n v="14.82"/>
    <n v="26.86"/>
    <n v="25.08"/>
    <n v="58.43"/>
    <n v="54.8"/>
    <n v="53.2"/>
    <n v="-403.16"/>
    <n v="69.84"/>
    <n v="238.26"/>
    <n v="36.869999999999997"/>
    <n v="12.46"/>
    <n v="26.06"/>
    <n v="213.51999999999998"/>
    <n v="-13.599999999999998"/>
  </r>
  <r>
    <x v="2"/>
    <x v="1"/>
    <x v="0"/>
    <s v="2321200"/>
    <n v="450029"/>
    <s v="Contr Allow--MD Other-Other"/>
    <s v="St Anthony-Fam Med"/>
    <x v="0"/>
    <n v="1700"/>
    <n v="96.57"/>
    <n v="91.86"/>
    <n v="74.59"/>
    <n v="74.28"/>
    <n v="73.569999999999993"/>
    <n v="77.84"/>
    <n v="116.99"/>
    <n v="123.08"/>
    <n v="127.5"/>
    <n v="213.8"/>
    <n v="177.05"/>
    <n v="84.45"/>
    <n v="1331.58"/>
    <n v="92.600000000000009"/>
  </r>
  <r>
    <x v="2"/>
    <x v="1"/>
    <x v="0"/>
    <s v="2321200"/>
    <n v="450040"/>
    <s v="Contr Allow--Phys Svcs--Mcare"/>
    <s v="St Anthony-Fam Med"/>
    <x v="0"/>
    <n v="1100"/>
    <n v="110085.57"/>
    <n v="132892.91"/>
    <n v="121418.27"/>
    <n v="173687.9"/>
    <n v="161244.82"/>
    <n v="138267.54"/>
    <n v="145941.18"/>
    <n v="123017.78"/>
    <n v="109914.46"/>
    <n v="118570.33"/>
    <n v="133376.66"/>
    <n v="113351.24"/>
    <n v="1581768.66"/>
    <n v="20025.419999999998"/>
  </r>
  <r>
    <x v="2"/>
    <x v="1"/>
    <x v="0"/>
    <s v="2321200"/>
    <n v="450040"/>
    <s v="Contr Allow--Phys Svcs--Mcaid"/>
    <s v="St Anthony-Fam Med"/>
    <x v="0"/>
    <n v="1200"/>
    <n v="64841.4"/>
    <n v="90087.87"/>
    <n v="59456.85"/>
    <n v="75142.78"/>
    <n v="58183.68"/>
    <n v="50851.26"/>
    <n v="63994.97"/>
    <n v="54202.03"/>
    <n v="60169.919999999998"/>
    <n v="68626.63"/>
    <n v="61665.93"/>
    <n v="50105.29"/>
    <n v="757328.61000000022"/>
    <n v="11560.64"/>
  </r>
  <r>
    <x v="2"/>
    <x v="1"/>
    <x v="0"/>
    <s v="2321200"/>
    <n v="450040"/>
    <s v="Contr Allow--Phys Svcs--Comm Insurance"/>
    <s v="St Anthony-Fam Med"/>
    <x v="0"/>
    <n v="1300"/>
    <n v="11923.1"/>
    <n v="13822.05"/>
    <n v="11021.16"/>
    <n v="13144.65"/>
    <n v="12419.6"/>
    <n v="10396.870000000001"/>
    <n v="12053.09"/>
    <n v="10783.38"/>
    <n v="10332.56"/>
    <n v="10604.85"/>
    <n v="10908.15"/>
    <n v="14699.33"/>
    <n v="142108.78999999998"/>
    <n v="-3791.1800000000003"/>
  </r>
  <r>
    <x v="2"/>
    <x v="1"/>
    <x v="0"/>
    <s v="2321200"/>
    <n v="450040"/>
    <s v="Contr Allow--Phys Svcs--BCBS Comm Ins"/>
    <s v="St Anthony-Fam Med"/>
    <x v="0"/>
    <n v="1301"/>
    <n v="33345.599999999999"/>
    <n v="34185.71"/>
    <n v="24849.68"/>
    <n v="21065.34"/>
    <n v="29614.89"/>
    <n v="20982.55"/>
    <n v="18169.009999999998"/>
    <n v="21414.83"/>
    <n v="33064.839999999997"/>
    <n v="20578.28"/>
    <n v="23427.06"/>
    <n v="23163.7"/>
    <n v="303861.49"/>
    <n v="263.36000000000058"/>
  </r>
  <r>
    <x v="2"/>
    <x v="1"/>
    <x v="0"/>
    <s v="2321200"/>
    <n v="450040"/>
    <s v="Contr Allow--Phys Svcs--Managed Care"/>
    <s v="St Anthony-Fam Med"/>
    <x v="0"/>
    <n v="1400"/>
    <n v="79230.86"/>
    <n v="93678.69"/>
    <n v="77955.64"/>
    <n v="95891.3"/>
    <n v="90281.89"/>
    <n v="77550.740000000005"/>
    <n v="67063.69"/>
    <n v="82819.679999999993"/>
    <n v="85227.14"/>
    <n v="80198.179999999993"/>
    <n v="85110.46"/>
    <n v="73776.11"/>
    <n v="988784.38"/>
    <n v="11334.350000000006"/>
  </r>
  <r>
    <x v="2"/>
    <x v="1"/>
    <x v="0"/>
    <s v="2321200"/>
    <n v="450040"/>
    <s v="Contr Allow--Phys Svcs--BCBS Mgnd Care"/>
    <s v="St Anthony-Fam Med"/>
    <x v="0"/>
    <n v="1401"/>
    <n v="2653.15"/>
    <n v="-23877.13"/>
    <n v="25057.86"/>
    <n v="-12566.89"/>
    <n v="-21311.06"/>
    <n v="-19706.46"/>
    <n v="79400.800000000003"/>
    <n v="-22169.25"/>
    <n v="-20147"/>
    <n v="7199.41"/>
    <n v="-1016.46"/>
    <n v="-12264.06"/>
    <n v="-18747.089999999997"/>
    <n v="11247.599999999999"/>
  </r>
  <r>
    <x v="2"/>
    <x v="1"/>
    <x v="0"/>
    <s v="2321200"/>
    <n v="450040"/>
    <s v="Prompt Pay Disc-Phys Svcs-Self Pay"/>
    <s v="St Anthony-Fam Med"/>
    <x v="0"/>
    <n v="1500"/>
    <n v="0"/>
    <n v="0"/>
    <n v="0"/>
    <n v="0"/>
    <n v="0"/>
    <n v="0"/>
    <n v="0"/>
    <n v="0"/>
    <n v="0"/>
    <n v="99.63"/>
    <n v="0"/>
    <n v="0"/>
    <n v="99.63"/>
    <n v="0"/>
  </r>
  <r>
    <x v="2"/>
    <x v="1"/>
    <x v="0"/>
    <s v="2321200"/>
    <n v="450040"/>
    <s v="Admin Adjust-Phys Svcs-Self Pay"/>
    <s v="St Anthony-Fam Med"/>
    <x v="0"/>
    <n v="1600"/>
    <n v="-2556.5300000000002"/>
    <n v="7031.31"/>
    <n v="3645.8"/>
    <n v="-1478.87"/>
    <n v="4109.72"/>
    <n v="3212.79"/>
    <n v="4678.93"/>
    <n v="2436.0100000000002"/>
    <n v="3273.43"/>
    <n v="2683.35"/>
    <n v="4741.09"/>
    <n v="3147.02"/>
    <n v="34924.050000000003"/>
    <n v="1594.0700000000002"/>
  </r>
  <r>
    <x v="2"/>
    <x v="1"/>
    <x v="0"/>
    <s v="2321200"/>
    <n v="450040"/>
    <s v="Contr Allow--Phys Svcs--Other"/>
    <s v="St Anthony-Fam Med"/>
    <x v="0"/>
    <n v="1700"/>
    <n v="20586.71"/>
    <n v="26258.85"/>
    <n v="16857.830000000002"/>
    <n v="23220.85"/>
    <n v="25019.919999999998"/>
    <n v="17414.86"/>
    <n v="19275.939999999999"/>
    <n v="21587.61"/>
    <n v="22287.23"/>
    <n v="21725.07"/>
    <n v="21012.49"/>
    <n v="17738.54"/>
    <n v="252985.90000000002"/>
    <n v="3273.9500000000007"/>
  </r>
  <r>
    <x v="3"/>
    <x v="1"/>
    <x v="0"/>
    <s v="2321200"/>
    <n v="470040"/>
    <s v="Charity Care-Physician Svcs"/>
    <s v="St Anthony-Fam Med"/>
    <x v="0"/>
    <m/>
    <n v="10.5"/>
    <n v="4479.55"/>
    <n v="3438.4"/>
    <n v="868.84"/>
    <n v="278.06"/>
    <n v="-936.2"/>
    <n v="3077.3"/>
    <n v="-161.36000000000001"/>
    <n v="3719.17"/>
    <n v="3812.99"/>
    <n v="-1002.21"/>
    <n v="5644.59"/>
    <n v="23229.63"/>
    <n v="-6646.8"/>
  </r>
  <r>
    <x v="4"/>
    <x v="1"/>
    <x v="0"/>
    <s v="2321200"/>
    <n v="490010"/>
    <s v="Provision for Bad Debts"/>
    <s v="St Anthony-Fam Med"/>
    <x v="0"/>
    <m/>
    <n v="7610.69"/>
    <n v="2889.65"/>
    <n v="6612.14"/>
    <n v="2277.0500000000002"/>
    <n v="5476.15"/>
    <n v="-723.03"/>
    <n v="10074.709999999999"/>
    <n v="-1171.17"/>
    <n v="2790.09"/>
    <n v="6297.53"/>
    <n v="1207.98"/>
    <n v="4739.51"/>
    <n v="48081.3"/>
    <n v="-3531.53"/>
  </r>
  <r>
    <x v="5"/>
    <x v="1"/>
    <x v="0"/>
    <s v="2321200"/>
    <n v="700018"/>
    <s v="Salaries-Supervisory-Productive"/>
    <s v="St Anthony-Fam Med"/>
    <x v="0"/>
    <m/>
    <n v="0"/>
    <n v="0"/>
    <n v="2807.28"/>
    <n v="1706.08"/>
    <n v="-1035.52"/>
    <n v="0"/>
    <n v="1361.1"/>
    <n v="583.34"/>
    <n v="0"/>
    <n v="0"/>
    <n v="0"/>
    <n v="0"/>
    <n v="5422.2800000000007"/>
    <n v="0"/>
  </r>
  <r>
    <x v="5"/>
    <x v="1"/>
    <x v="0"/>
    <s v="2321200"/>
    <n v="700022"/>
    <s v="Salaries-Physician-Productive"/>
    <s v="St Anthony-Fam Med"/>
    <x v="0"/>
    <m/>
    <n v="68786.52"/>
    <n v="63924.56"/>
    <n v="69935.38"/>
    <n v="70712.44"/>
    <n v="85137.76"/>
    <n v="38044.660000000003"/>
    <n v="78556.02"/>
    <n v="60424.639999999999"/>
    <n v="47909.56"/>
    <n v="58733.47"/>
    <n v="74043.429999999993"/>
    <n v="63609.89"/>
    <n v="779818.33"/>
    <n v="10433.539999999994"/>
  </r>
  <r>
    <x v="5"/>
    <x v="1"/>
    <x v="0"/>
    <s v="2321200"/>
    <n v="700024"/>
    <s v="Salaries-Advanced Practice Clinician-Productive"/>
    <s v="St Anthony-Fam Med"/>
    <x v="0"/>
    <m/>
    <n v="62079.46"/>
    <n v="67833.73"/>
    <n v="56858.65"/>
    <n v="70419.91"/>
    <n v="73733.3"/>
    <n v="62659.27"/>
    <n v="81487.899999999994"/>
    <n v="53959.25"/>
    <n v="71323.039999999994"/>
    <n v="68930.100000000006"/>
    <n v="59479.43"/>
    <n v="38358.559999999998"/>
    <n v="767122.60000000009"/>
    <n v="21120.870000000003"/>
  </r>
  <r>
    <x v="5"/>
    <x v="1"/>
    <x v="0"/>
    <s v="2321200"/>
    <n v="700030"/>
    <s v="Salaries-LPN-Productive"/>
    <s v="St Anthony-Fam Med"/>
    <x v="0"/>
    <m/>
    <n v="4374.8"/>
    <n v="6036.12"/>
    <n v="9092.4500000000007"/>
    <n v="9064.51"/>
    <n v="10631.72"/>
    <n v="8138.85"/>
    <n v="10473.74"/>
    <n v="7526.97"/>
    <n v="9805.7999999999993"/>
    <n v="10195.99"/>
    <n v="9355.3700000000008"/>
    <n v="8423.92"/>
    <n v="103120.24"/>
    <n v="931.45000000000073"/>
  </r>
  <r>
    <x v="5"/>
    <x v="1"/>
    <x v="0"/>
    <s v="2321200"/>
    <n v="700030"/>
    <s v="Salaries-LPN-OT"/>
    <s v="St Anthony-Fam Med"/>
    <x v="0"/>
    <n v="1000"/>
    <n v="21.13"/>
    <n v="79.23"/>
    <n v="985.33"/>
    <n v="556.33000000000004"/>
    <n v="478.72"/>
    <n v="764.61"/>
    <n v="1429"/>
    <n v="191.21"/>
    <n v="575.72"/>
    <n v="751.51"/>
    <n v="386.99"/>
    <n v="9.6999999999999993"/>
    <n v="6229.4800000000005"/>
    <n v="377.29"/>
  </r>
  <r>
    <x v="5"/>
    <x v="1"/>
    <x v="0"/>
    <s v="2321200"/>
    <n v="700030"/>
    <s v="Salaries-LPN-Other"/>
    <s v="St Anthony-Fam Med"/>
    <x v="0"/>
    <n v="2000"/>
    <n v="0"/>
    <n v="30"/>
    <n v="8.5"/>
    <n v="0"/>
    <n v="0"/>
    <n v="0"/>
    <n v="0"/>
    <n v="0"/>
    <n v="0"/>
    <n v="8.01"/>
    <n v="6.5"/>
    <n v="-3.25"/>
    <n v="49.76"/>
    <n v="9.75"/>
  </r>
  <r>
    <x v="5"/>
    <x v="1"/>
    <x v="0"/>
    <s v="2321200"/>
    <n v="700032"/>
    <s v="Salaries-Other Pat Care Providers-Productive"/>
    <s v="St Anthony-Fam Med"/>
    <x v="0"/>
    <m/>
    <n v="22930.78"/>
    <n v="23569.95"/>
    <n v="16169.94"/>
    <n v="25370.59"/>
    <n v="21065.52"/>
    <n v="15537.03"/>
    <n v="18119.650000000001"/>
    <n v="16292.26"/>
    <n v="20463.310000000001"/>
    <n v="19704.98"/>
    <n v="15572.37"/>
    <n v="18705.97"/>
    <n v="233502.35"/>
    <n v="-3133.6000000000004"/>
  </r>
  <r>
    <x v="5"/>
    <x v="1"/>
    <x v="0"/>
    <s v="2321200"/>
    <n v="700032"/>
    <s v="Salaries-Other Pat Care Providers-OT"/>
    <s v="St Anthony-Fam Med"/>
    <x v="0"/>
    <n v="1000"/>
    <n v="146.88999999999999"/>
    <n v="344.33"/>
    <n v="483.16"/>
    <n v="687.09"/>
    <n v="387.79"/>
    <n v="102.41"/>
    <n v="762.42"/>
    <n v="-71.239999999999995"/>
    <n v="595.28"/>
    <n v="988.67"/>
    <n v="775.53"/>
    <n v="88.01"/>
    <n v="5290.34"/>
    <n v="687.52"/>
  </r>
  <r>
    <x v="5"/>
    <x v="1"/>
    <x v="0"/>
    <s v="2321200"/>
    <n v="700032"/>
    <s v="Salaries-Other Pat Care Providers-Other"/>
    <s v="St Anthony-Fam Med"/>
    <x v="0"/>
    <n v="2000"/>
    <n v="0"/>
    <n v="0"/>
    <n v="0"/>
    <n v="0"/>
    <n v="23.92"/>
    <n v="-7.42"/>
    <n v="8.01"/>
    <n v="20.05"/>
    <n v="18.079999999999998"/>
    <n v="19.5"/>
    <n v="17.37"/>
    <n v="48.82"/>
    <n v="148.33000000000001"/>
    <n v="-31.45"/>
  </r>
  <r>
    <x v="5"/>
    <x v="1"/>
    <x v="0"/>
    <s v="2321200"/>
    <n v="700054"/>
    <s v="Salaries-Management-NonProd-Other"/>
    <s v="St Anthony-Fam Med"/>
    <x v="0"/>
    <n v="2000"/>
    <n v="0"/>
    <n v="0"/>
    <n v="0"/>
    <n v="0"/>
    <n v="0"/>
    <n v="338.1"/>
    <n v="-338.1"/>
    <n v="0"/>
    <n v="0"/>
    <n v="0"/>
    <n v="0"/>
    <n v="0"/>
    <n v="0"/>
    <n v="0"/>
  </r>
  <r>
    <x v="5"/>
    <x v="1"/>
    <x v="0"/>
    <s v="2321200"/>
    <n v="700058"/>
    <s v="Salaries-Supervisory-Non-productive"/>
    <s v="St Anthony-Fam Med"/>
    <x v="0"/>
    <m/>
    <n v="0"/>
    <n v="0"/>
    <n v="311.92"/>
    <n v="0"/>
    <n v="0"/>
    <n v="0"/>
    <n v="0"/>
    <n v="0"/>
    <n v="0"/>
    <n v="0"/>
    <n v="0"/>
    <n v="0"/>
    <n v="311.92"/>
    <n v="0"/>
  </r>
  <r>
    <x v="5"/>
    <x v="1"/>
    <x v="0"/>
    <s v="2321200"/>
    <n v="700062"/>
    <s v="Salaries-Physician-Non-productive"/>
    <s v="St Anthony-Fam Med"/>
    <x v="0"/>
    <m/>
    <n v="9935.16"/>
    <n v="25498.5"/>
    <n v="1851.2"/>
    <n v="12903.66"/>
    <n v="-5362.56"/>
    <n v="38084.75"/>
    <n v="4951.43"/>
    <n v="9542.43"/>
    <n v="26018.51"/>
    <n v="18714.93"/>
    <n v="6691.08"/>
    <n v="6535.94"/>
    <n v="155365.03"/>
    <n v="155.14000000000033"/>
  </r>
  <r>
    <x v="5"/>
    <x v="1"/>
    <x v="0"/>
    <s v="2321200"/>
    <n v="700062"/>
    <s v="Salaries-Physician-NonProd-Other"/>
    <s v="St Anthony-Fam Med"/>
    <x v="0"/>
    <n v="2000"/>
    <n v="0"/>
    <n v="0"/>
    <n v="0"/>
    <n v="0"/>
    <n v="761.74"/>
    <n v="1523.48"/>
    <n v="0"/>
    <n v="-2285.2199999999998"/>
    <n v="0"/>
    <n v="0"/>
    <n v="0"/>
    <n v="0"/>
    <n v="4.5474735088646412E-13"/>
    <n v="0"/>
  </r>
  <r>
    <x v="5"/>
    <x v="1"/>
    <x v="0"/>
    <s v="2321200"/>
    <n v="700064"/>
    <s v="Salaries-Advanced Practice Clinician-Non-Productive"/>
    <s v="St Anthony-Fam Med"/>
    <x v="0"/>
    <m/>
    <n v="6521.9"/>
    <n v="4167.87"/>
    <n v="16076.99"/>
    <n v="8820.99"/>
    <n v="3325.7"/>
    <n v="11026.94"/>
    <n v="-683.74"/>
    <n v="16898.37"/>
    <n v="2967.12"/>
    <n v="8885.26"/>
    <n v="21690.69"/>
    <n v="24486.6"/>
    <n v="124184.69"/>
    <n v="-2795.91"/>
  </r>
  <r>
    <x v="5"/>
    <x v="1"/>
    <x v="0"/>
    <s v="2321200"/>
    <n v="700064"/>
    <s v="Salaries-Advanced Practice Clinician-Non-Prod-Other"/>
    <s v="St Anthony-Fam Med"/>
    <x v="0"/>
    <n v="2000"/>
    <n v="0"/>
    <n v="0"/>
    <n v="0"/>
    <n v="0"/>
    <n v="0"/>
    <n v="0"/>
    <n v="0"/>
    <n v="0"/>
    <n v="0"/>
    <n v="0"/>
    <n v="0"/>
    <n v="-1725.55"/>
    <n v="-1725.55"/>
    <n v="1725.55"/>
  </r>
  <r>
    <x v="5"/>
    <x v="1"/>
    <x v="0"/>
    <s v="2321200"/>
    <n v="700070"/>
    <s v="Salaries-LPN-Non-productive"/>
    <s v="St Anthony-Fam Med"/>
    <x v="0"/>
    <m/>
    <n v="597.20000000000005"/>
    <n v="832.43"/>
    <n v="545.79999999999995"/>
    <n v="1276.82"/>
    <n v="-490.79"/>
    <n v="1794.31"/>
    <n v="348.74"/>
    <n v="1463.63"/>
    <n v="15.51"/>
    <n v="-144.56"/>
    <n v="1450.23"/>
    <n v="799.43"/>
    <n v="8488.75"/>
    <n v="650.80000000000007"/>
  </r>
  <r>
    <x v="5"/>
    <x v="1"/>
    <x v="0"/>
    <s v="2321200"/>
    <n v="700070"/>
    <s v="Salaries-LPN-NonProd-Other"/>
    <s v="St Anthony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1200"/>
    <n v="700072"/>
    <s v="Salaries-Other Pat Care Providers-Non-productive"/>
    <s v="St Anthony-Fam Med"/>
    <x v="0"/>
    <m/>
    <n v="4084.3"/>
    <n v="1947.68"/>
    <n v="6392.58"/>
    <n v="218.8"/>
    <n v="-65.69"/>
    <n v="5075.95"/>
    <n v="4140.6099999999997"/>
    <n v="1132.04"/>
    <n v="364.82"/>
    <n v="952.98"/>
    <n v="1890.81"/>
    <n v="962.04"/>
    <n v="27096.920000000002"/>
    <n v="928.77"/>
  </r>
  <r>
    <x v="5"/>
    <x v="1"/>
    <x v="0"/>
    <s v="2321200"/>
    <n v="700072"/>
    <s v="Salaries-Other Pat Care Providers-NonProd-Other"/>
    <s v="St Anthony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1200"/>
    <n v="700084"/>
    <s v="Accrued PTO"/>
    <s v="St Anthony-Fam Med"/>
    <x v="0"/>
    <m/>
    <n v="-1438.78"/>
    <n v="666.81"/>
    <n v="-803.1"/>
    <n v="1729.3"/>
    <n v="1684.01"/>
    <n v="-1753.56"/>
    <n v="850.37"/>
    <n v="284.76"/>
    <n v="1897.21"/>
    <n v="1824.63"/>
    <n v="107.66"/>
    <n v="1232.68"/>
    <n v="6281.99"/>
    <n v="-1125.02"/>
  </r>
  <r>
    <x v="6"/>
    <x v="1"/>
    <x v="0"/>
    <s v="2321200"/>
    <n v="713010"/>
    <s v="Benefits-FICA/Medicare"/>
    <s v="St Anthony-Fam Med"/>
    <x v="0"/>
    <m/>
    <n v="8435.7199999999993"/>
    <n v="6393.56"/>
    <n v="4987.1400000000003"/>
    <n v="5199.7"/>
    <n v="4620.1000000000004"/>
    <n v="9217.7000000000007"/>
    <n v="14938.65"/>
    <n v="12449.54"/>
    <n v="13358.18"/>
    <n v="13926.2"/>
    <n v="12308.31"/>
    <n v="8097.36"/>
    <n v="113932.16"/>
    <n v="4210.95"/>
  </r>
  <r>
    <x v="6"/>
    <x v="1"/>
    <x v="0"/>
    <s v="2321200"/>
    <n v="713090"/>
    <s v="Benefits-Allocated Amounts"/>
    <s v="St Anthony-Fam Med"/>
    <x v="0"/>
    <m/>
    <n v="0"/>
    <n v="0"/>
    <n v="0"/>
    <n v="0"/>
    <n v="0"/>
    <n v="0"/>
    <n v="0"/>
    <n v="0"/>
    <n v="105041.88"/>
    <n v="12158.81"/>
    <n v="11456.69"/>
    <n v="10904.27"/>
    <n v="139561.65"/>
    <n v="552.42000000000007"/>
  </r>
  <r>
    <x v="6"/>
    <x v="1"/>
    <x v="0"/>
    <s v="2321200"/>
    <n v="713092"/>
    <s v="Allocated Benefits-Physician"/>
    <s v="St Anthony-Fam Med"/>
    <x v="0"/>
    <m/>
    <n v="8894.99"/>
    <n v="7849.53"/>
    <n v="8803.36"/>
    <n v="8990.86"/>
    <n v="8429.8799999999992"/>
    <n v="8558.18"/>
    <n v="10427.23"/>
    <n v="9372.57"/>
    <n v="-34195.49"/>
    <n v="4297.99"/>
    <n v="4049.82"/>
    <n v="3854.53"/>
    <n v="49333.450000000004"/>
    <n v="195.28999999999996"/>
  </r>
  <r>
    <x v="6"/>
    <x v="1"/>
    <x v="0"/>
    <s v="2321200"/>
    <n v="713093"/>
    <s v="Allocated Benefits-Advanced Practice Clinician"/>
    <s v="St Anthony-Fam Med"/>
    <x v="0"/>
    <m/>
    <n v="12024.72"/>
    <n v="10611.38"/>
    <n v="11900.85"/>
    <n v="12154.32"/>
    <n v="11395.95"/>
    <n v="11569.37"/>
    <n v="14096.09"/>
    <n v="12670.32"/>
    <n v="-47764.93"/>
    <n v="5632.27"/>
    <n v="5307.03"/>
    <n v="5051.13"/>
    <n v="64648.499999999993"/>
    <n v="255.89999999999964"/>
  </r>
  <r>
    <x v="7"/>
    <x v="1"/>
    <x v="0"/>
    <s v="2321200"/>
    <n v="718050"/>
    <s v="Miscellaneous Purchased Svcs"/>
    <s v="St Anthony-Fam Med"/>
    <x v="0"/>
    <n v="1020"/>
    <n v="300.27999999999997"/>
    <n v="-321.68"/>
    <n v="319.32"/>
    <n v="227.2"/>
    <n v="468.86"/>
    <n v="243.01"/>
    <n v="319.2"/>
    <n v="293.11"/>
    <n v="407.23"/>
    <n v="26.47"/>
    <n v="526.58000000000004"/>
    <n v="343.97"/>
    <n v="3153.5499999999993"/>
    <n v="182.61"/>
  </r>
  <r>
    <x v="0"/>
    <x v="1"/>
    <x v="0"/>
    <s v="2321200"/>
    <n v="740022"/>
    <s v="Education-Physician"/>
    <s v="St Anthony-Fam Med"/>
    <x v="0"/>
    <m/>
    <n v="0"/>
    <n v="0"/>
    <n v="0"/>
    <n v="0"/>
    <n v="795"/>
    <n v="0"/>
    <n v="0"/>
    <n v="0"/>
    <n v="0"/>
    <n v="0"/>
    <n v="1211.95"/>
    <n v="895"/>
    <n v="2901.95"/>
    <n v="316.95000000000005"/>
  </r>
  <r>
    <x v="0"/>
    <x v="1"/>
    <x v="0"/>
    <s v="2321200"/>
    <n v="740022"/>
    <s v="Education Travel-Physician"/>
    <s v="St Anthony-Fam Med"/>
    <x v="0"/>
    <n v="2001"/>
    <n v="0"/>
    <n v="0"/>
    <n v="0"/>
    <n v="0"/>
    <n v="0"/>
    <n v="0"/>
    <n v="0"/>
    <n v="0"/>
    <n v="1028.06"/>
    <n v="0"/>
    <n v="0"/>
    <n v="0"/>
    <n v="1028.06"/>
    <n v="0"/>
  </r>
  <r>
    <x v="0"/>
    <x v="1"/>
    <x v="0"/>
    <s v="2321200"/>
    <n v="740023"/>
    <s v="Education-Advanced Practice Clinician"/>
    <s v="St Anthony-Fam Med"/>
    <x v="0"/>
    <m/>
    <n v="434.68"/>
    <n v="0"/>
    <n v="0"/>
    <n v="0"/>
    <n v="0"/>
    <n v="0"/>
    <n v="0"/>
    <n v="195"/>
    <n v="0"/>
    <n v="0"/>
    <n v="659.68"/>
    <n v="1307.3800000000001"/>
    <n v="2596.7400000000002"/>
    <n v="-647.70000000000016"/>
  </r>
  <r>
    <x v="8"/>
    <x v="1"/>
    <x v="0"/>
    <s v="2321200"/>
    <n v="741012"/>
    <s v="Physician Liab Insurance-CHI Program"/>
    <s v="St Anthony-Fam Med"/>
    <x v="0"/>
    <m/>
    <n v="2178.86"/>
    <n v="2178.86"/>
    <n v="2178.86"/>
    <n v="2178.86"/>
    <n v="2178.88"/>
    <n v="2178.86"/>
    <n v="2178.88"/>
    <n v="2178.86"/>
    <n v="2178.88"/>
    <n v="2178.86"/>
    <n v="2178.88"/>
    <n v="2178.86"/>
    <n v="26146.400000000005"/>
    <n v="1.999999999998181E-2"/>
  </r>
  <r>
    <x v="0"/>
    <x v="1"/>
    <x v="0"/>
    <s v="2321200"/>
    <n v="743020"/>
    <s v="Provider-Dues"/>
    <s v="St Anthony-Fam Med"/>
    <x v="0"/>
    <n v="2200"/>
    <n v="0"/>
    <n v="0"/>
    <n v="0"/>
    <n v="0"/>
    <n v="0"/>
    <n v="0"/>
    <n v="0"/>
    <n v="1730"/>
    <n v="0"/>
    <n v="0"/>
    <n v="0"/>
    <n v="0"/>
    <n v="1730"/>
    <n v="0"/>
  </r>
  <r>
    <x v="0"/>
    <x v="1"/>
    <x v="0"/>
    <s v="2321200"/>
    <n v="743022"/>
    <s v="Dues-Physician"/>
    <s v="St Anthony-Fam Med"/>
    <x v="0"/>
    <m/>
    <n v="0"/>
    <n v="0"/>
    <n v="0"/>
    <n v="0"/>
    <n v="840"/>
    <n v="840"/>
    <n v="0"/>
    <n v="940"/>
    <n v="0"/>
    <n v="0"/>
    <n v="0"/>
    <n v="0"/>
    <n v="2620"/>
    <n v="0"/>
  </r>
  <r>
    <x v="0"/>
    <x v="1"/>
    <x v="0"/>
    <s v="2321200"/>
    <n v="743023"/>
    <s v="Dues-Advanced Practice Clinician"/>
    <s v="St Anthony-Fam Med"/>
    <x v="0"/>
    <m/>
    <n v="0"/>
    <n v="0"/>
    <n v="0"/>
    <n v="322"/>
    <n v="0"/>
    <n v="0"/>
    <n v="0"/>
    <n v="0"/>
    <n v="0"/>
    <n v="0"/>
    <n v="0"/>
    <n v="0"/>
    <n v="322"/>
    <n v="0"/>
  </r>
  <r>
    <x v="0"/>
    <x v="1"/>
    <x v="0"/>
    <s v="2321200"/>
    <n v="743042"/>
    <s v="Subscriptions-Physician"/>
    <s v="St Anthony-Fam Med"/>
    <x v="0"/>
    <m/>
    <n v="0"/>
    <n v="59.5"/>
    <n v="0"/>
    <n v="1016.95"/>
    <n v="0"/>
    <n v="0"/>
    <n v="0"/>
    <n v="0"/>
    <n v="159.99"/>
    <n v="0"/>
    <n v="0"/>
    <n v="1211.95"/>
    <n v="2448.3900000000003"/>
    <n v="-1211.95"/>
  </r>
  <r>
    <x v="0"/>
    <x v="1"/>
    <x v="0"/>
    <s v="2321200"/>
    <n v="743043"/>
    <s v="Subscriptions-Advanced Practice Clinician"/>
    <s v="St Anthony-Fam Med"/>
    <x v="0"/>
    <m/>
    <n v="627.14"/>
    <n v="0"/>
    <n v="0"/>
    <n v="0"/>
    <n v="0"/>
    <n v="0"/>
    <n v="0"/>
    <n v="0"/>
    <n v="0"/>
    <n v="0"/>
    <n v="0"/>
    <n v="0"/>
    <n v="627.14"/>
    <n v="0"/>
  </r>
  <r>
    <x v="0"/>
    <x v="1"/>
    <x v="0"/>
    <s v="2321200"/>
    <n v="749510"/>
    <s v="Miscellaneous Expenses"/>
    <s v="St Anthony-Fam Med"/>
    <x v="0"/>
    <m/>
    <n v="-3713.05"/>
    <n v="0"/>
    <n v="0"/>
    <n v="840"/>
    <n v="-840"/>
    <n v="0"/>
    <n v="195"/>
    <n v="993.05"/>
    <n v="-1188.05"/>
    <n v="4008.4"/>
    <n v="-1156.32"/>
    <n v="-1592.49"/>
    <n v="-2453.46"/>
    <n v="436.17000000000007"/>
  </r>
  <r>
    <x v="0"/>
    <x v="1"/>
    <x v="0"/>
    <s v="2321200"/>
    <n v="749512"/>
    <s v="Licenses-Physician"/>
    <s v="St Anthony-Fam Med"/>
    <x v="0"/>
    <n v="2000"/>
    <n v="0"/>
    <n v="0"/>
    <n v="0"/>
    <n v="731"/>
    <n v="0"/>
    <n v="0"/>
    <n v="0"/>
    <n v="0"/>
    <n v="441"/>
    <n v="0"/>
    <n v="0"/>
    <n v="0"/>
    <n v="1172"/>
    <n v="0"/>
  </r>
  <r>
    <x v="0"/>
    <x v="1"/>
    <x v="0"/>
    <s v="2321200"/>
    <n v="749513"/>
    <s v="Licenses-Advanced Practice Clinician"/>
    <s v="St Anthony-Fam Med"/>
    <x v="0"/>
    <n v="2000"/>
    <n v="0"/>
    <n v="0"/>
    <n v="0"/>
    <n v="497.5"/>
    <n v="0"/>
    <n v="0"/>
    <n v="0"/>
    <n v="0"/>
    <n v="567.5"/>
    <n v="0"/>
    <n v="247.5"/>
    <n v="245"/>
    <n v="1557.5"/>
    <n v="2.5"/>
  </r>
  <r>
    <x v="0"/>
    <x v="1"/>
    <x v="0"/>
    <s v="2321200"/>
    <n v="749530"/>
    <s v="Travel"/>
    <s v="St Anthony-Fam Med"/>
    <x v="0"/>
    <m/>
    <n v="0"/>
    <n v="0"/>
    <n v="0"/>
    <n v="0"/>
    <n v="0"/>
    <n v="0"/>
    <n v="0"/>
    <n v="80"/>
    <n v="0"/>
    <n v="0"/>
    <n v="0"/>
    <n v="0"/>
    <n v="80"/>
    <n v="0"/>
  </r>
  <r>
    <x v="0"/>
    <x v="1"/>
    <x v="0"/>
    <s v="2321200"/>
    <n v="749530"/>
    <s v="Mileage"/>
    <s v="St Anthony-Fam Med"/>
    <x v="0"/>
    <n v="1001"/>
    <n v="0"/>
    <n v="0"/>
    <n v="0"/>
    <n v="0"/>
    <n v="0"/>
    <n v="0"/>
    <n v="0"/>
    <n v="201.26"/>
    <n v="0"/>
    <n v="0"/>
    <n v="0"/>
    <n v="0"/>
    <n v="201.26"/>
    <n v="0"/>
  </r>
  <r>
    <x v="0"/>
    <x v="1"/>
    <x v="0"/>
    <s v="2321200"/>
    <n v="749532"/>
    <s v="Travel-Physician"/>
    <s v="St Anthony-Fam Med"/>
    <x v="0"/>
    <m/>
    <n v="0"/>
    <n v="0"/>
    <n v="0"/>
    <n v="0"/>
    <n v="0"/>
    <n v="0"/>
    <n v="0"/>
    <n v="0"/>
    <n v="0"/>
    <n v="0"/>
    <n v="497.05"/>
    <n v="1937.09"/>
    <n v="2434.14"/>
    <n v="-1440.04"/>
  </r>
  <r>
    <x v="0"/>
    <x v="1"/>
    <x v="0"/>
    <s v="2321200"/>
    <n v="749533"/>
    <s v="Travel-Advanced Practice Clinician"/>
    <s v="St Anthony-Fam Med"/>
    <x v="0"/>
    <m/>
    <n v="0"/>
    <n v="0"/>
    <n v="0"/>
    <n v="0"/>
    <n v="0"/>
    <n v="0"/>
    <n v="0"/>
    <n v="0"/>
    <n v="0"/>
    <n v="0"/>
    <n v="885.19"/>
    <n v="0"/>
    <n v="885.19"/>
    <n v="885.19"/>
  </r>
  <r>
    <x v="0"/>
    <x v="1"/>
    <x v="0"/>
    <s v="2321200"/>
    <n v="749533"/>
    <s v="Business Meals-Advanced Practice Clinician"/>
    <s v="St Anthony-Fam Med"/>
    <x v="0"/>
    <n v="2000"/>
    <n v="0"/>
    <n v="0"/>
    <n v="0"/>
    <n v="0"/>
    <n v="0"/>
    <n v="0"/>
    <n v="0"/>
    <n v="0"/>
    <n v="0"/>
    <n v="0"/>
    <n v="50.4"/>
    <n v="0"/>
    <n v="50.4"/>
    <n v="50.4"/>
  </r>
  <r>
    <x v="9"/>
    <x v="1"/>
    <x v="0"/>
    <s v="2321200"/>
    <n v="800015"/>
    <s v="Interest Income-Ext to CHI"/>
    <s v="St Anthony-Fam Med"/>
    <x v="0"/>
    <m/>
    <n v="0"/>
    <n v="-23.01"/>
    <n v="-23.63"/>
    <n v="-23.35"/>
    <n v="-21.57"/>
    <n v="-21.23"/>
    <n v="-20.170000000000002"/>
    <n v="-17.260000000000002"/>
    <n v="-18.04"/>
    <n v="-16.43"/>
    <n v="-15.92"/>
    <n v="-14.38"/>
    <n v="-214.98999999999998"/>
    <n v="-1.5399999999999991"/>
  </r>
  <r>
    <x v="1"/>
    <x v="1"/>
    <x v="0"/>
    <s v="2322200"/>
    <n v="400029"/>
    <s v="MD Practice Other Rev--Medicare"/>
    <s v="St Anthony-Int Med"/>
    <x v="0"/>
    <n v="1100"/>
    <n v="-60"/>
    <n v="-64"/>
    <n v="-48"/>
    <n v="-29"/>
    <n v="-10"/>
    <n v="-10"/>
    <n v="0"/>
    <n v="-9"/>
    <n v="-39"/>
    <n v="-10"/>
    <n v="-20"/>
    <n v="0"/>
    <n v="-299"/>
    <n v="-20"/>
  </r>
  <r>
    <x v="1"/>
    <x v="1"/>
    <x v="0"/>
    <s v="2322200"/>
    <n v="400029"/>
    <s v="MD Practice Other Rev--Medicaid"/>
    <s v="St Anthony-Int Med"/>
    <x v="0"/>
    <n v="1200"/>
    <n v="0"/>
    <n v="-10"/>
    <n v="0"/>
    <n v="0"/>
    <n v="0"/>
    <n v="0"/>
    <n v="0"/>
    <n v="-20"/>
    <n v="0"/>
    <n v="0"/>
    <n v="0"/>
    <n v="0"/>
    <n v="-30"/>
    <n v="0"/>
  </r>
  <r>
    <x v="1"/>
    <x v="1"/>
    <x v="0"/>
    <s v="2322200"/>
    <n v="400029"/>
    <s v="MD Practice Other Rev--Comm Insurance"/>
    <s v="St Anthony-Int Med"/>
    <x v="0"/>
    <n v="1300"/>
    <n v="-10"/>
    <n v="0"/>
    <n v="0"/>
    <n v="0"/>
    <n v="0"/>
    <n v="-90"/>
    <n v="0"/>
    <n v="-10"/>
    <n v="0"/>
    <n v="0"/>
    <n v="0"/>
    <n v="0"/>
    <n v="-110"/>
    <n v="0"/>
  </r>
  <r>
    <x v="1"/>
    <x v="1"/>
    <x v="0"/>
    <s v="2322200"/>
    <n v="400029"/>
    <s v="MD Practice Other Rev--BCBS Comm"/>
    <s v="St Anthony-Int Med"/>
    <x v="0"/>
    <n v="1301"/>
    <n v="0"/>
    <n v="0"/>
    <n v="0"/>
    <n v="0"/>
    <n v="-10"/>
    <n v="0"/>
    <n v="0"/>
    <n v="0"/>
    <n v="-24"/>
    <n v="0"/>
    <n v="-34"/>
    <n v="0"/>
    <n v="-68"/>
    <n v="-34"/>
  </r>
  <r>
    <x v="1"/>
    <x v="1"/>
    <x v="0"/>
    <s v="2322200"/>
    <n v="400029"/>
    <s v="MD Practice Other Rev--Managed Care"/>
    <s v="St Anthony-Int Med"/>
    <x v="0"/>
    <n v="1400"/>
    <n v="-55"/>
    <n v="-527"/>
    <n v="-20"/>
    <n v="-10"/>
    <n v="-55"/>
    <n v="0"/>
    <n v="-10"/>
    <n v="-100"/>
    <n v="-20"/>
    <n v="-200"/>
    <n v="-20"/>
    <n v="-461"/>
    <n v="-1478"/>
    <n v="441"/>
  </r>
  <r>
    <x v="1"/>
    <x v="1"/>
    <x v="0"/>
    <s v="2322200"/>
    <n v="400029"/>
    <s v="MD Practice Other Rev--Self Pay"/>
    <s v="St Anthony-Int Med"/>
    <x v="0"/>
    <n v="1500"/>
    <n v="0"/>
    <n v="0"/>
    <n v="0"/>
    <n v="0"/>
    <n v="0"/>
    <n v="-48"/>
    <n v="0"/>
    <n v="0"/>
    <n v="0"/>
    <n v="0"/>
    <n v="0"/>
    <n v="0"/>
    <n v="-48"/>
    <n v="0"/>
  </r>
  <r>
    <x v="1"/>
    <x v="1"/>
    <x v="0"/>
    <s v="2322200"/>
    <n v="400029"/>
    <s v="MD Practice Other Rev--Other"/>
    <s v="St Anthony-Int Med"/>
    <x v="0"/>
    <n v="1700"/>
    <n v="0"/>
    <n v="-20"/>
    <n v="0"/>
    <n v="0"/>
    <n v="0"/>
    <n v="0"/>
    <n v="0"/>
    <n v="0"/>
    <n v="10"/>
    <n v="0"/>
    <n v="0"/>
    <n v="0"/>
    <n v="-10"/>
    <n v="0"/>
  </r>
  <r>
    <x v="1"/>
    <x v="1"/>
    <x v="0"/>
    <s v="2322200"/>
    <n v="400040"/>
    <s v="Physician Svcs Rev--Medicare"/>
    <s v="St Anthony-Int Med"/>
    <x v="0"/>
    <n v="1100"/>
    <n v="-44643"/>
    <n v="-47143"/>
    <n v="-54752"/>
    <n v="-58804"/>
    <n v="-43826"/>
    <n v="-47456"/>
    <n v="-44203"/>
    <n v="-40922"/>
    <n v="-42977"/>
    <n v="-39022"/>
    <n v="-51533"/>
    <n v="-25534"/>
    <n v="-540815"/>
    <n v="-25999"/>
  </r>
  <r>
    <x v="1"/>
    <x v="1"/>
    <x v="0"/>
    <s v="2322200"/>
    <n v="400040"/>
    <s v="Physician Svcs Rev--Medicaid"/>
    <s v="St Anthony-Int Med"/>
    <x v="0"/>
    <n v="1200"/>
    <n v="-6547"/>
    <n v="-7234"/>
    <n v="-7510"/>
    <n v="-8726"/>
    <n v="-5141.13"/>
    <n v="-4951"/>
    <n v="-6522"/>
    <n v="-5652"/>
    <n v="-7994"/>
    <n v="-2854"/>
    <n v="-5840"/>
    <n v="-5002"/>
    <n v="-73973.13"/>
    <n v="-838"/>
  </r>
  <r>
    <x v="1"/>
    <x v="1"/>
    <x v="0"/>
    <s v="2322200"/>
    <n v="400040"/>
    <s v="Physician Svcs Rev--Comm Insurance"/>
    <s v="St Anthony-Int Med"/>
    <x v="0"/>
    <n v="1300"/>
    <n v="-1432"/>
    <n v="-2055"/>
    <n v="-1207"/>
    <n v="-1048"/>
    <n v="-1645"/>
    <n v="-1640"/>
    <n v="-1311"/>
    <n v="-2115"/>
    <n v="-1714"/>
    <n v="-751"/>
    <n v="-3802"/>
    <n v="-885"/>
    <n v="-19605"/>
    <n v="-2917"/>
  </r>
  <r>
    <x v="1"/>
    <x v="1"/>
    <x v="0"/>
    <s v="2322200"/>
    <n v="400040"/>
    <s v="Physician Svcs Rev--BCBS Comm"/>
    <s v="St Anthony-Int Med"/>
    <x v="0"/>
    <n v="1301"/>
    <n v="-15504"/>
    <n v="4921"/>
    <n v="-4894"/>
    <n v="-7105"/>
    <n v="-5284"/>
    <n v="-3925"/>
    <n v="-7608"/>
    <n v="-4562"/>
    <n v="-6356"/>
    <n v="-4831"/>
    <n v="-5530"/>
    <n v="-2969"/>
    <n v="-63647"/>
    <n v="-2561"/>
  </r>
  <r>
    <x v="1"/>
    <x v="1"/>
    <x v="0"/>
    <s v="2322200"/>
    <n v="400040"/>
    <s v="Physician Svcs Rev--Managed Care"/>
    <s v="St Anthony-Int Med"/>
    <x v="0"/>
    <n v="1400"/>
    <n v="-23126"/>
    <n v="-29268"/>
    <n v="-24792"/>
    <n v="-32569"/>
    <n v="-24806"/>
    <n v="-23935"/>
    <n v="-15765"/>
    <n v="-20141"/>
    <n v="-30068"/>
    <n v="-21426"/>
    <n v="-27200"/>
    <n v="-16448"/>
    <n v="-289544"/>
    <n v="-10752"/>
  </r>
  <r>
    <x v="1"/>
    <x v="1"/>
    <x v="0"/>
    <s v="2322200"/>
    <n v="400040"/>
    <s v="Physician Svcs Rev--Self Pay"/>
    <s v="St Anthony-Int Med"/>
    <x v="0"/>
    <n v="1500"/>
    <n v="-695"/>
    <n v="-1147"/>
    <n v="-695"/>
    <n v="-1147"/>
    <n v="-460"/>
    <n v="-2161"/>
    <n v="-960"/>
    <n v="-295"/>
    <n v="-1195"/>
    <n v="252"/>
    <n v="0"/>
    <n v="-295"/>
    <n v="-8798"/>
    <n v="295"/>
  </r>
  <r>
    <x v="1"/>
    <x v="1"/>
    <x v="0"/>
    <s v="2322200"/>
    <n v="400040"/>
    <s v="Physician Svcs Rev--Other"/>
    <s v="St Anthony-Int Med"/>
    <x v="0"/>
    <n v="1700"/>
    <n v="-1696"/>
    <n v="-4627"/>
    <n v="-4693"/>
    <n v="-3221"/>
    <n v="-895"/>
    <n v="-4304"/>
    <n v="-2273"/>
    <n v="-3154"/>
    <n v="-4788"/>
    <n v="-1085"/>
    <n v="-3302"/>
    <n v="-695"/>
    <n v="-34733"/>
    <n v="-2607"/>
  </r>
  <r>
    <x v="2"/>
    <x v="1"/>
    <x v="0"/>
    <s v="2322200"/>
    <n v="450029"/>
    <s v="Contr Allow--MD Other-Medicare"/>
    <s v="St Anthony-Int Med"/>
    <x v="0"/>
    <n v="1100"/>
    <n v="33.51"/>
    <n v="19.77"/>
    <n v="39.630000000000003"/>
    <n v="40.03"/>
    <n v="13.18"/>
    <n v="0"/>
    <n v="6.59"/>
    <n v="0"/>
    <n v="13.7"/>
    <n v="18.8"/>
    <n v="13.18"/>
    <n v="6.59"/>
    <n v="204.98000000000002"/>
    <n v="6.59"/>
  </r>
  <r>
    <x v="2"/>
    <x v="1"/>
    <x v="0"/>
    <s v="2322200"/>
    <n v="450029"/>
    <s v="Contr Allow--MD Other-Medicaid"/>
    <s v="St Anthony-Int Med"/>
    <x v="0"/>
    <n v="1200"/>
    <n v="0"/>
    <n v="6.95"/>
    <n v="0"/>
    <n v="0"/>
    <n v="0"/>
    <n v="0"/>
    <n v="0"/>
    <n v="6.78"/>
    <n v="6.78"/>
    <n v="0"/>
    <n v="0"/>
    <n v="0"/>
    <n v="20.51"/>
    <n v="0"/>
  </r>
  <r>
    <x v="2"/>
    <x v="1"/>
    <x v="0"/>
    <s v="2322200"/>
    <n v="450029"/>
    <s v="Contr Allow--MD Other-Comm Insurance"/>
    <s v="St Anthony-Int Med"/>
    <x v="0"/>
    <n v="1300"/>
    <n v="3.74"/>
    <n v="0"/>
    <n v="0"/>
    <n v="0"/>
    <n v="0"/>
    <n v="30.42"/>
    <n v="0"/>
    <n v="4.26"/>
    <n v="0"/>
    <n v="0"/>
    <n v="0"/>
    <n v="0"/>
    <n v="38.42"/>
    <n v="0"/>
  </r>
  <r>
    <x v="2"/>
    <x v="1"/>
    <x v="0"/>
    <s v="2322200"/>
    <n v="450029"/>
    <s v="Contr Allow--MD Other BCBS Comm"/>
    <s v="St Anthony-Int Med"/>
    <x v="0"/>
    <n v="1301"/>
    <n v="0"/>
    <n v="0"/>
    <n v="0"/>
    <n v="0"/>
    <n v="0"/>
    <n v="6.5"/>
    <n v="0"/>
    <n v="0"/>
    <n v="0"/>
    <n v="7.09"/>
    <n v="0"/>
    <n v="25.86"/>
    <n v="39.450000000000003"/>
    <n v="-25.86"/>
  </r>
  <r>
    <x v="2"/>
    <x v="1"/>
    <x v="0"/>
    <s v="2322200"/>
    <n v="450029"/>
    <s v="Contr Allow--MD Other-Managed Care"/>
    <s v="St Anthony-Int Med"/>
    <x v="0"/>
    <n v="1400"/>
    <n v="28.47"/>
    <n v="256.45"/>
    <n v="31.37"/>
    <n v="13.04"/>
    <n v="35.08"/>
    <n v="0"/>
    <n v="0"/>
    <n v="13.04"/>
    <n v="61.1"/>
    <n v="63.42"/>
    <n v="75.28"/>
    <n v="6.52"/>
    <n v="583.77"/>
    <n v="68.760000000000005"/>
  </r>
  <r>
    <x v="2"/>
    <x v="1"/>
    <x v="0"/>
    <s v="2322200"/>
    <n v="450029"/>
    <s v="Admin Adjust-MD Other-Self Pay"/>
    <s v="St Anthony-Int Med"/>
    <x v="0"/>
    <n v="1600"/>
    <n v="0"/>
    <n v="0.62"/>
    <n v="14"/>
    <n v="3.48"/>
    <n v="0"/>
    <n v="17.760000000000002"/>
    <n v="0"/>
    <n v="0"/>
    <n v="0"/>
    <n v="0"/>
    <n v="0"/>
    <n v="0"/>
    <n v="35.86"/>
    <n v="0"/>
  </r>
  <r>
    <x v="2"/>
    <x v="1"/>
    <x v="0"/>
    <s v="2322200"/>
    <n v="450040"/>
    <s v="Contr Allow--Phys Svcs--Mcare"/>
    <s v="St Anthony-Int Med"/>
    <x v="0"/>
    <n v="1100"/>
    <n v="18483.3"/>
    <n v="29117.89"/>
    <n v="31531.25"/>
    <n v="36948.67"/>
    <n v="33371.24"/>
    <n v="30155.8"/>
    <n v="26777.919999999998"/>
    <n v="24368.97"/>
    <n v="28111.11"/>
    <n v="20612.080000000002"/>
    <n v="33806.21"/>
    <n v="25659.53"/>
    <n v="338943.97000000009"/>
    <n v="8146.68"/>
  </r>
  <r>
    <x v="2"/>
    <x v="1"/>
    <x v="0"/>
    <s v="2322200"/>
    <n v="450040"/>
    <s v="Contr Allow--Phys Svcs--Mcaid"/>
    <s v="St Anthony-Int Med"/>
    <x v="0"/>
    <n v="1200"/>
    <n v="3789.42"/>
    <n v="6233.44"/>
    <n v="6213.92"/>
    <n v="7118.31"/>
    <n v="4020.27"/>
    <n v="4049.19"/>
    <n v="2855.03"/>
    <n v="4890.38"/>
    <n v="4619.6899999999996"/>
    <n v="5131.6000000000004"/>
    <n v="4618.7299999999996"/>
    <n v="4114.8999999999996"/>
    <n v="57654.879999999997"/>
    <n v="503.82999999999993"/>
  </r>
  <r>
    <x v="2"/>
    <x v="1"/>
    <x v="0"/>
    <s v="2322200"/>
    <n v="450040"/>
    <s v="Contr Allow--Phys Svcs--Comm Insurance"/>
    <s v="St Anthony-Int Med"/>
    <x v="0"/>
    <n v="1300"/>
    <n v="425"/>
    <n v="748.14"/>
    <n v="445.95"/>
    <n v="284.14"/>
    <n v="192.62"/>
    <n v="1206.33"/>
    <n v="349.4"/>
    <n v="463.9"/>
    <n v="1132.42"/>
    <n v="230.28"/>
    <n v="743.35"/>
    <n v="1027.46"/>
    <n v="7248.99"/>
    <n v="-284.11"/>
  </r>
  <r>
    <x v="2"/>
    <x v="1"/>
    <x v="0"/>
    <s v="2322200"/>
    <n v="450040"/>
    <s v="Contr Allow--Phys Svcs--BCBS Comm Ins"/>
    <s v="St Anthony-Int Med"/>
    <x v="0"/>
    <n v="1301"/>
    <n v="3683.2"/>
    <n v="-1391.95"/>
    <n v="1370.66"/>
    <n v="-1397.2"/>
    <n v="4485.1000000000004"/>
    <n v="2572.3000000000002"/>
    <n v="609.78"/>
    <n v="2180.7800000000002"/>
    <n v="1538.51"/>
    <n v="1609.44"/>
    <n v="1887.43"/>
    <n v="1314.04"/>
    <n v="18462.090000000004"/>
    <n v="573.3900000000001"/>
  </r>
  <r>
    <x v="2"/>
    <x v="1"/>
    <x v="0"/>
    <s v="2322200"/>
    <n v="450040"/>
    <s v="Contr Allow--Phys Svcs--Managed Care"/>
    <s v="St Anthony-Int Med"/>
    <x v="0"/>
    <n v="1400"/>
    <n v="3658.11"/>
    <n v="9591.32"/>
    <n v="8131.25"/>
    <n v="10152.950000000001"/>
    <n v="11575.55"/>
    <n v="8744.92"/>
    <n v="4802.42"/>
    <n v="6476.01"/>
    <n v="8670.07"/>
    <n v="7288.78"/>
    <n v="9936.93"/>
    <n v="8979.39"/>
    <n v="98007.7"/>
    <n v="957.54000000000087"/>
  </r>
  <r>
    <x v="2"/>
    <x v="1"/>
    <x v="0"/>
    <s v="2322200"/>
    <n v="450040"/>
    <s v="Contr Allow--Phys Svcs--BCBS Mgnd Care"/>
    <s v="St Anthony-Int Med"/>
    <x v="0"/>
    <n v="1401"/>
    <n v="14351.74"/>
    <n v="514.58000000000004"/>
    <n v="3068.28"/>
    <n v="6821.96"/>
    <n v="-15097.65"/>
    <n v="-2453.67"/>
    <n v="8080.5"/>
    <n v="3519"/>
    <n v="1571.85"/>
    <n v="-2787.04"/>
    <n v="23.19"/>
    <n v="-16873.900000000001"/>
    <n v="738.83999999999287"/>
    <n v="16897.09"/>
  </r>
  <r>
    <x v="2"/>
    <x v="1"/>
    <x v="0"/>
    <s v="2322200"/>
    <n v="450040"/>
    <s v="Admin Adjust-Phys Svcs-Self Pay"/>
    <s v="St Anthony-Int Med"/>
    <x v="0"/>
    <n v="1600"/>
    <n v="103.91"/>
    <n v="876.48"/>
    <n v="1901.16"/>
    <n v="1376.68"/>
    <n v="389.01"/>
    <n v="675.27"/>
    <n v="441.7"/>
    <n v="166.7"/>
    <n v="336.37"/>
    <n v="754.53"/>
    <n v="280.39999999999998"/>
    <n v="117.52"/>
    <n v="7419.73"/>
    <n v="162.88"/>
  </r>
  <r>
    <x v="2"/>
    <x v="1"/>
    <x v="0"/>
    <s v="2322200"/>
    <n v="450040"/>
    <s v="Contr Allow--Phys Svcs--Other"/>
    <s v="St Anthony-Int Med"/>
    <x v="0"/>
    <n v="1700"/>
    <n v="1190.1199999999999"/>
    <n v="1738.17"/>
    <n v="2619.04"/>
    <n v="1579.6"/>
    <n v="1713.75"/>
    <n v="2308.2399999999998"/>
    <n v="1264.0999999999999"/>
    <n v="906.14"/>
    <n v="1630.85"/>
    <n v="2922.97"/>
    <n v="1336.35"/>
    <n v="1754.69"/>
    <n v="20964.019999999997"/>
    <n v="-418.34000000000015"/>
  </r>
  <r>
    <x v="3"/>
    <x v="1"/>
    <x v="0"/>
    <s v="2322200"/>
    <n v="470040"/>
    <s v="Charity Care-Physician Svcs"/>
    <s v="St Anthony-Int Med"/>
    <x v="0"/>
    <m/>
    <n v="434.33"/>
    <n v="1819.87"/>
    <n v="-10.27"/>
    <n v="238.33"/>
    <n v="-468.13"/>
    <n v="-216.55"/>
    <n v="312.8"/>
    <n v="1.78"/>
    <n v="2445.7399999999998"/>
    <n v="310.14"/>
    <n v="261.95999999999998"/>
    <n v="422.79"/>
    <n v="5552.79"/>
    <n v="-160.83000000000004"/>
  </r>
  <r>
    <x v="4"/>
    <x v="1"/>
    <x v="0"/>
    <s v="2322200"/>
    <n v="490010"/>
    <s v="Provision for Bad Debts"/>
    <s v="St Anthony-Int Med"/>
    <x v="0"/>
    <m/>
    <n v="2743.11"/>
    <n v="-368.32"/>
    <n v="471.35"/>
    <n v="2549.2600000000002"/>
    <n v="-1441.52"/>
    <n v="-761.68"/>
    <n v="565.45000000000005"/>
    <n v="360.87"/>
    <n v="513.67999999999995"/>
    <n v="-104.19"/>
    <n v="392.08"/>
    <n v="-1549.25"/>
    <n v="3370.84"/>
    <n v="1941.33"/>
  </r>
  <r>
    <x v="5"/>
    <x v="1"/>
    <x v="0"/>
    <s v="2322200"/>
    <n v="700018"/>
    <s v="Salaries-Supervisory-Productive"/>
    <s v="St Anthony-Int Med"/>
    <x v="0"/>
    <m/>
    <n v="0"/>
    <n v="0"/>
    <n v="1559.6"/>
    <n v="853.04"/>
    <n v="-517.76"/>
    <n v="0"/>
    <n v="907.42"/>
    <n v="712.96"/>
    <n v="0"/>
    <n v="0"/>
    <n v="0"/>
    <n v="0"/>
    <n v="3515.2599999999998"/>
    <n v="0"/>
  </r>
  <r>
    <x v="5"/>
    <x v="1"/>
    <x v="0"/>
    <s v="2322200"/>
    <n v="700022"/>
    <s v="Salaries-Physician-Productive"/>
    <s v="St Anthony-Int Med"/>
    <x v="0"/>
    <m/>
    <n v="22206.04"/>
    <n v="25983"/>
    <n v="19818"/>
    <n v="24310.080000000002"/>
    <n v="23163.52"/>
    <n v="17760.599999999999"/>
    <n v="19368.650000000001"/>
    <n v="19248.41"/>
    <n v="22673.58"/>
    <n v="17927.939999999999"/>
    <n v="22294.68"/>
    <n v="8941.69"/>
    <n v="243696.19"/>
    <n v="13352.99"/>
  </r>
  <r>
    <x v="5"/>
    <x v="1"/>
    <x v="0"/>
    <s v="2322200"/>
    <n v="700032"/>
    <s v="Salaries-Other Pat Care Providers-Productive"/>
    <s v="St Anthony-Int Med"/>
    <x v="0"/>
    <m/>
    <n v="3851.07"/>
    <n v="4245.22"/>
    <n v="3651.78"/>
    <n v="4173.28"/>
    <n v="4092.19"/>
    <n v="2464.0300000000002"/>
    <n v="3448.29"/>
    <n v="1370.4"/>
    <n v="3924.12"/>
    <n v="3465.14"/>
    <n v="4055.16"/>
    <n v="2157.9699999999998"/>
    <n v="40898.650000000009"/>
    <n v="1897.19"/>
  </r>
  <r>
    <x v="5"/>
    <x v="1"/>
    <x v="0"/>
    <s v="2322200"/>
    <n v="700062"/>
    <s v="Salaries-Physician-Non-productive"/>
    <s v="St Anthony-Int Med"/>
    <x v="0"/>
    <m/>
    <n v="1221.3"/>
    <n v="0"/>
    <n v="1321.2"/>
    <n v="0"/>
    <n v="0"/>
    <n v="4341.4799999999996"/>
    <n v="4875.4399999999996"/>
    <n v="1845.53"/>
    <n v="-527.29"/>
    <n v="5272.93"/>
    <n v="1318.24"/>
    <n v="11487.67"/>
    <n v="31156.5"/>
    <n v="-10169.43"/>
  </r>
  <r>
    <x v="5"/>
    <x v="1"/>
    <x v="0"/>
    <s v="2322200"/>
    <n v="700072"/>
    <s v="Salaries-Other Pat Care Providers-Non-productive"/>
    <s v="St Anthony-Int Med"/>
    <x v="0"/>
    <m/>
    <n v="326.01"/>
    <n v="183.39"/>
    <n v="203.76"/>
    <n v="241.97"/>
    <n v="0"/>
    <n v="1627.5"/>
    <n v="821.64"/>
    <n v="2403.1"/>
    <n v="165.6"/>
    <n v="808.42"/>
    <n v="469.42"/>
    <n v="1642.92"/>
    <n v="8893.73"/>
    <n v="-1173.5"/>
  </r>
  <r>
    <x v="5"/>
    <x v="1"/>
    <x v="0"/>
    <s v="2322200"/>
    <n v="700084"/>
    <s v="Accrued PTO"/>
    <s v="St Anthony-Int Med"/>
    <x v="0"/>
    <m/>
    <n v="200.26"/>
    <n v="307.86"/>
    <n v="312.25"/>
    <n v="314.73"/>
    <n v="501.57"/>
    <n v="-739.93"/>
    <n v="261.89999999999998"/>
    <n v="207.41"/>
    <n v="204.13"/>
    <n v="-419.42"/>
    <n v="328.06"/>
    <n v="-999.39"/>
    <n v="479.42999999999972"/>
    <n v="1327.45"/>
  </r>
  <r>
    <x v="6"/>
    <x v="1"/>
    <x v="0"/>
    <s v="2322200"/>
    <n v="713010"/>
    <s v="Benefits-FICA/Medicare"/>
    <s v="St Anthony-Int Med"/>
    <x v="0"/>
    <m/>
    <n v="637.89"/>
    <n v="698.47"/>
    <n v="683.36"/>
    <n v="727.93"/>
    <n v="586.65"/>
    <n v="1316.44"/>
    <n v="2191.14"/>
    <n v="1905.43"/>
    <n v="1955.02"/>
    <n v="2047.33"/>
    <n v="2099.02"/>
    <n v="1123.72"/>
    <n v="15972.4"/>
    <n v="975.3"/>
  </r>
  <r>
    <x v="6"/>
    <x v="1"/>
    <x v="0"/>
    <s v="2322200"/>
    <n v="713090"/>
    <s v="Benefits-Allocated Amounts"/>
    <s v="St Anthony-Int Med"/>
    <x v="0"/>
    <m/>
    <n v="0"/>
    <n v="0"/>
    <n v="0"/>
    <n v="0"/>
    <n v="0"/>
    <n v="0"/>
    <n v="0"/>
    <n v="0"/>
    <n v="13509.27"/>
    <n v="1488.86"/>
    <n v="1545.33"/>
    <n v="1499.77"/>
    <n v="18043.23"/>
    <n v="45.559999999999945"/>
  </r>
  <r>
    <x v="6"/>
    <x v="1"/>
    <x v="0"/>
    <s v="2322200"/>
    <n v="713092"/>
    <s v="Allocated Benefits-Physician"/>
    <s v="St Anthony-Int Med"/>
    <x v="0"/>
    <m/>
    <n v="2915.72"/>
    <n v="2735.79"/>
    <n v="2965.68"/>
    <n v="2944.38"/>
    <n v="2720.62"/>
    <n v="2804.83"/>
    <n v="3485.94"/>
    <n v="3291.52"/>
    <n v="-10015.64"/>
    <n v="1526.27"/>
    <n v="1584.17"/>
    <n v="1537.47"/>
    <n v="18496.75"/>
    <n v="46.700000000000045"/>
  </r>
  <r>
    <x v="7"/>
    <x v="1"/>
    <x v="0"/>
    <s v="2322200"/>
    <n v="718040"/>
    <s v="Contract Svcs-Laboratory"/>
    <s v="St Anthony-Int Med"/>
    <x v="0"/>
    <m/>
    <n v="0"/>
    <n v="0"/>
    <n v="0"/>
    <n v="0"/>
    <n v="0"/>
    <n v="0"/>
    <n v="0"/>
    <n v="0"/>
    <n v="20"/>
    <n v="0"/>
    <n v="0"/>
    <n v="0"/>
    <n v="20"/>
    <n v="0"/>
  </r>
  <r>
    <x v="7"/>
    <x v="1"/>
    <x v="0"/>
    <s v="2322200"/>
    <n v="718050"/>
    <s v="Miscellaneous Purchased Svcs"/>
    <s v="St Anthony-Int Med"/>
    <x v="0"/>
    <n v="1020"/>
    <n v="45.34"/>
    <n v="-48.6"/>
    <n v="48.21"/>
    <n v="34.299999999999997"/>
    <n v="70.78"/>
    <n v="36.69"/>
    <n v="48.21"/>
    <n v="44.26"/>
    <n v="61.47"/>
    <n v="4.01"/>
    <n v="79.52"/>
    <n v="51.93"/>
    <n v="476.11999999999995"/>
    <n v="27.589999999999996"/>
  </r>
  <r>
    <x v="0"/>
    <x v="1"/>
    <x v="0"/>
    <s v="2322200"/>
    <n v="740022"/>
    <s v="Education-Physician"/>
    <s v="St Anthony-Int Med"/>
    <x v="0"/>
    <m/>
    <n v="0"/>
    <n v="0"/>
    <n v="0"/>
    <n v="0"/>
    <n v="0"/>
    <n v="0"/>
    <n v="0"/>
    <n v="0"/>
    <n v="0"/>
    <n v="1774.94"/>
    <n v="0"/>
    <n v="0"/>
    <n v="1774.94"/>
    <n v="0"/>
  </r>
  <r>
    <x v="8"/>
    <x v="1"/>
    <x v="0"/>
    <s v="2322200"/>
    <n v="741012"/>
    <s v="Physician Liab Insurance-CHI Program"/>
    <s v="St Anthony-Int Med"/>
    <x v="0"/>
    <m/>
    <n v="426.3"/>
    <n v="426.3"/>
    <n v="426.3"/>
    <n v="426.3"/>
    <n v="426.3"/>
    <n v="426.3"/>
    <n v="426.3"/>
    <n v="426.3"/>
    <n v="426.3"/>
    <n v="426.3"/>
    <n v="426.3"/>
    <n v="426.3"/>
    <n v="5115.6000000000013"/>
    <n v="0"/>
  </r>
  <r>
    <x v="0"/>
    <x v="1"/>
    <x v="0"/>
    <s v="2322200"/>
    <n v="743020"/>
    <s v="Provider-Dues"/>
    <s v="St Anthony-Int Med"/>
    <x v="0"/>
    <n v="2200"/>
    <n v="0"/>
    <n v="0"/>
    <n v="0"/>
    <n v="0"/>
    <n v="0"/>
    <n v="0"/>
    <n v="0"/>
    <n v="535"/>
    <n v="0"/>
    <n v="0"/>
    <n v="0"/>
    <n v="0"/>
    <n v="535"/>
    <n v="0"/>
  </r>
  <r>
    <x v="0"/>
    <x v="1"/>
    <x v="0"/>
    <s v="2322200"/>
    <n v="743022"/>
    <s v="Dues-Physician"/>
    <s v="St Anthony-Int Med"/>
    <x v="0"/>
    <m/>
    <n v="0"/>
    <n v="0"/>
    <n v="0"/>
    <n v="0"/>
    <n v="0"/>
    <n v="0"/>
    <n v="0"/>
    <n v="0"/>
    <n v="0"/>
    <n v="0"/>
    <n v="585"/>
    <n v="0"/>
    <n v="585"/>
    <n v="585"/>
  </r>
  <r>
    <x v="0"/>
    <x v="1"/>
    <x v="0"/>
    <s v="2322200"/>
    <n v="743042"/>
    <s v="Subscriptions-Physician"/>
    <s v="St Anthony-Int Med"/>
    <x v="0"/>
    <m/>
    <n v="0"/>
    <n v="0"/>
    <n v="0"/>
    <n v="0"/>
    <n v="0"/>
    <n v="0"/>
    <n v="0"/>
    <n v="0"/>
    <n v="0"/>
    <n v="0"/>
    <n v="0"/>
    <n v="975.42"/>
    <n v="975.42"/>
    <n v="-975.42"/>
  </r>
  <r>
    <x v="0"/>
    <x v="1"/>
    <x v="0"/>
    <s v="2322200"/>
    <n v="749512"/>
    <s v="Licenses-Physician"/>
    <s v="St Anthony-Int Med"/>
    <x v="0"/>
    <n v="2000"/>
    <n v="0"/>
    <n v="0"/>
    <n v="0"/>
    <n v="0"/>
    <n v="0"/>
    <n v="0"/>
    <n v="0"/>
    <n v="659.5"/>
    <n v="0"/>
    <n v="0"/>
    <n v="0"/>
    <n v="0"/>
    <n v="659.5"/>
    <n v="0"/>
  </r>
  <r>
    <x v="1"/>
    <x v="1"/>
    <x v="0"/>
    <s v="2323200"/>
    <n v="400029"/>
    <s v="MD Practice Other Rev--Medicare"/>
    <s v="St Anthony-Radiology"/>
    <x v="0"/>
    <n v="1100"/>
    <n v="0"/>
    <n v="0"/>
    <n v="0"/>
    <n v="-82"/>
    <n v="0"/>
    <n v="0"/>
    <n v="0"/>
    <n v="0"/>
    <n v="0"/>
    <n v="0"/>
    <n v="0"/>
    <n v="0"/>
    <n v="-82"/>
    <n v="0"/>
  </r>
  <r>
    <x v="1"/>
    <x v="1"/>
    <x v="0"/>
    <s v="2323200"/>
    <n v="400029"/>
    <s v="MD Practice Other Rev--Managed Care"/>
    <s v="St Anthony-Radiology"/>
    <x v="0"/>
    <n v="1400"/>
    <n v="0"/>
    <n v="-123"/>
    <n v="0"/>
    <n v="0"/>
    <n v="67"/>
    <n v="0"/>
    <n v="0"/>
    <n v="0"/>
    <n v="0"/>
    <n v="0"/>
    <n v="0"/>
    <n v="0"/>
    <n v="-56"/>
    <n v="0"/>
  </r>
  <r>
    <x v="1"/>
    <x v="1"/>
    <x v="0"/>
    <s v="2323200"/>
    <n v="400029"/>
    <s v="MD Practice Other Rev--Self Pay"/>
    <s v="St Anthony-Radiology"/>
    <x v="0"/>
    <n v="1500"/>
    <n v="0"/>
    <n v="0"/>
    <n v="0"/>
    <n v="82"/>
    <n v="0"/>
    <n v="0"/>
    <n v="0"/>
    <n v="0"/>
    <n v="0"/>
    <n v="0"/>
    <n v="0"/>
    <n v="0"/>
    <n v="82"/>
    <n v="0"/>
  </r>
  <r>
    <x v="2"/>
    <x v="1"/>
    <x v="0"/>
    <s v="2323200"/>
    <n v="450029"/>
    <s v="Contr Allow--MD Other-Medicare"/>
    <s v="St Anthony-Radiology"/>
    <x v="0"/>
    <n v="1100"/>
    <n v="0"/>
    <n v="0"/>
    <n v="0"/>
    <n v="24.32"/>
    <n v="0"/>
    <n v="0"/>
    <n v="0"/>
    <n v="5.39"/>
    <n v="0"/>
    <n v="0"/>
    <n v="0"/>
    <n v="89.56"/>
    <n v="119.27000000000001"/>
    <n v="-89.56"/>
  </r>
  <r>
    <x v="2"/>
    <x v="1"/>
    <x v="0"/>
    <s v="2323200"/>
    <n v="450029"/>
    <s v="Contr Allow--MD Other-Medicaid"/>
    <s v="St Anthony-Radiology"/>
    <x v="0"/>
    <n v="1200"/>
    <n v="-45.39"/>
    <n v="0"/>
    <n v="0"/>
    <n v="0"/>
    <n v="0"/>
    <n v="-52.51"/>
    <n v="0"/>
    <n v="0"/>
    <n v="0"/>
    <n v="0"/>
    <n v="0"/>
    <n v="0"/>
    <n v="-97.9"/>
    <n v="0"/>
  </r>
  <r>
    <x v="2"/>
    <x v="1"/>
    <x v="0"/>
    <s v="2323200"/>
    <n v="450029"/>
    <s v="Contr Allow--MD Other-Comm Insurance"/>
    <s v="St Anthony-Radiology"/>
    <x v="0"/>
    <n v="1300"/>
    <n v="0"/>
    <n v="-19.440000000000001"/>
    <n v="0"/>
    <n v="0"/>
    <n v="-86.55"/>
    <n v="0"/>
    <n v="0"/>
    <n v="0"/>
    <n v="0"/>
    <n v="0"/>
    <n v="0"/>
    <n v="0"/>
    <n v="-105.99"/>
    <n v="0"/>
  </r>
  <r>
    <x v="2"/>
    <x v="1"/>
    <x v="0"/>
    <s v="2323200"/>
    <n v="450029"/>
    <s v="Contr Allow--MD Other BCBS Comm"/>
    <s v="St Anthony-Radiology"/>
    <x v="0"/>
    <n v="1301"/>
    <n v="0"/>
    <n v="0"/>
    <n v="-150.16"/>
    <n v="0"/>
    <n v="0"/>
    <n v="0"/>
    <n v="0"/>
    <n v="0"/>
    <n v="0"/>
    <n v="0"/>
    <n v="0"/>
    <n v="0"/>
    <n v="-150.16"/>
    <n v="0"/>
  </r>
  <r>
    <x v="2"/>
    <x v="1"/>
    <x v="0"/>
    <s v="2323200"/>
    <n v="450029"/>
    <s v="Contr Allow--MD Other-Managed Care"/>
    <s v="St Anthony-Radiology"/>
    <x v="0"/>
    <n v="1400"/>
    <n v="27.76"/>
    <n v="0"/>
    <n v="40.01"/>
    <n v="0"/>
    <n v="5.95"/>
    <n v="0"/>
    <n v="0"/>
    <n v="0"/>
    <n v="0"/>
    <n v="0"/>
    <n v="0"/>
    <n v="0"/>
    <n v="73.72"/>
    <n v="0"/>
  </r>
  <r>
    <x v="2"/>
    <x v="1"/>
    <x v="0"/>
    <s v="2323200"/>
    <n v="450029"/>
    <s v="Admin Adjust-MD Other-Self Pay"/>
    <s v="St Anthony-Radiology"/>
    <x v="0"/>
    <n v="1600"/>
    <n v="53.88"/>
    <n v="14.76"/>
    <n v="22.64"/>
    <n v="61.66"/>
    <n v="-10.57"/>
    <n v="-34.35"/>
    <n v="5.75"/>
    <n v="-28.93"/>
    <n v="21.83"/>
    <n v="-10.43"/>
    <n v="70.48"/>
    <n v="-149.9"/>
    <n v="16.820000000000022"/>
    <n v="220.38"/>
  </r>
  <r>
    <x v="2"/>
    <x v="1"/>
    <x v="0"/>
    <s v="2323200"/>
    <n v="450029"/>
    <s v="Contr Allow--MD Other-Other"/>
    <s v="St Anthony-Radiology"/>
    <x v="0"/>
    <n v="1700"/>
    <n v="0"/>
    <n v="0"/>
    <n v="0"/>
    <n v="0"/>
    <n v="-30.41"/>
    <n v="53"/>
    <n v="-88.48"/>
    <n v="0"/>
    <n v="0"/>
    <n v="0"/>
    <n v="0"/>
    <n v="0"/>
    <n v="-65.89"/>
    <n v="0"/>
  </r>
  <r>
    <x v="2"/>
    <x v="1"/>
    <x v="0"/>
    <s v="2323200"/>
    <n v="450040"/>
    <s v="Contr Allow--Phys Svcs--BCBS Mgnd Care"/>
    <s v="St Anthony-Radiology"/>
    <x v="0"/>
    <n v="1401"/>
    <n v="0"/>
    <n v="9.94"/>
    <n v="95.29"/>
    <n v="-43.61"/>
    <n v="149.55000000000001"/>
    <n v="46.83"/>
    <n v="-32.85"/>
    <n v="-29.52"/>
    <n v="12.14"/>
    <n v="-5.99"/>
    <n v="-7.39"/>
    <n v="26.3"/>
    <n v="220.69"/>
    <n v="-33.69"/>
  </r>
  <r>
    <x v="2"/>
    <x v="1"/>
    <x v="0"/>
    <s v="2323200"/>
    <n v="450040"/>
    <s v="Admin Adjust-Phys Svcs-Self Pay"/>
    <s v="St Anthony-Radiology"/>
    <x v="0"/>
    <n v="1600"/>
    <n v="0"/>
    <n v="0"/>
    <n v="0"/>
    <n v="0"/>
    <n v="0"/>
    <n v="0"/>
    <n v="0"/>
    <n v="0"/>
    <n v="0"/>
    <n v="0"/>
    <n v="0"/>
    <n v="0"/>
    <n v="0"/>
    <n v="0"/>
  </r>
  <r>
    <x v="3"/>
    <x v="1"/>
    <x v="0"/>
    <s v="2323200"/>
    <n v="470040"/>
    <s v="Charity Care-Physician Svcs"/>
    <s v="St Anthony-Radiology"/>
    <x v="0"/>
    <m/>
    <n v="0"/>
    <n v="85.79"/>
    <n v="3.28"/>
    <n v="164.85"/>
    <n v="5.43"/>
    <n v="58.18"/>
    <n v="13.67"/>
    <n v="-1.37"/>
    <n v="16.32"/>
    <n v="7.95"/>
    <n v="-1.01"/>
    <n v="254"/>
    <n v="607.09"/>
    <n v="-255.01"/>
  </r>
  <r>
    <x v="4"/>
    <x v="1"/>
    <x v="0"/>
    <s v="2323200"/>
    <n v="490010"/>
    <s v="Provision for Bad Debts"/>
    <s v="St Anthony-Radiology"/>
    <x v="0"/>
    <m/>
    <n v="-120.61"/>
    <n v="-249.6"/>
    <n v="-27.05"/>
    <n v="-189"/>
    <n v="-40.31"/>
    <n v="-224.15"/>
    <n v="-226.08"/>
    <n v="-37.54"/>
    <n v="-61.15"/>
    <n v="-152.06"/>
    <n v="-11.25"/>
    <n v="-272.10000000000002"/>
    <n v="-1610.9"/>
    <n v="260.85000000000002"/>
  </r>
  <r>
    <x v="4"/>
    <x v="1"/>
    <x v="0"/>
    <s v="2324200"/>
    <n v="490010"/>
    <s v="Provision for Bad Debts"/>
    <s v="UW Tacoma-Fam Med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4200"/>
    <n v="700054"/>
    <s v="Salaries-Management-NonProd-Other"/>
    <s v="UW Tacoma-Fam Med"/>
    <x v="0"/>
    <n v="2000"/>
    <n v="0"/>
    <n v="0"/>
    <n v="0"/>
    <n v="0"/>
    <n v="0"/>
    <n v="414.38"/>
    <n v="-414.38"/>
    <n v="0"/>
    <n v="0"/>
    <n v="0"/>
    <n v="0"/>
    <n v="0"/>
    <n v="0"/>
    <n v="0"/>
  </r>
  <r>
    <x v="6"/>
    <x v="1"/>
    <x v="0"/>
    <s v="2324200"/>
    <n v="713010"/>
    <s v="Benefits-FICA/Medicare"/>
    <s v="UW Tacoma-Fam Med"/>
    <x v="0"/>
    <m/>
    <n v="0"/>
    <n v="0"/>
    <n v="0"/>
    <n v="0"/>
    <n v="0"/>
    <n v="31.7"/>
    <n v="31.7"/>
    <n v="0"/>
    <n v="0"/>
    <n v="0"/>
    <n v="0"/>
    <n v="0"/>
    <n v="63.4"/>
    <n v="0"/>
  </r>
  <r>
    <x v="1"/>
    <x v="1"/>
    <x v="0"/>
    <s v="2325200"/>
    <n v="400029"/>
    <s v="MD Practice Other Rev--Medicare"/>
    <s v="Canyon Road-Fam Med"/>
    <x v="0"/>
    <n v="1100"/>
    <n v="-3778"/>
    <n v="-3378"/>
    <n v="-1686"/>
    <n v="-2488"/>
    <n v="-2186"/>
    <n v="-4104"/>
    <n v="-2377"/>
    <n v="-2552"/>
    <n v="-1862"/>
    <n v="-2552"/>
    <n v="-1946"/>
    <n v="-1077"/>
    <n v="-29986"/>
    <n v="-869"/>
  </r>
  <r>
    <x v="1"/>
    <x v="1"/>
    <x v="0"/>
    <s v="2325200"/>
    <n v="400029"/>
    <s v="MD Practice Other Rev--Medicaid"/>
    <s v="Canyon Road-Fam Med"/>
    <x v="0"/>
    <n v="1200"/>
    <n v="-1858"/>
    <n v="-2794"/>
    <n v="-1861"/>
    <n v="-988"/>
    <n v="-2155"/>
    <n v="-3095"/>
    <n v="-964"/>
    <n v="-2409"/>
    <n v="-1803"/>
    <n v="-1720"/>
    <n v="-1258"/>
    <n v="-995"/>
    <n v="-21900"/>
    <n v="-263"/>
  </r>
  <r>
    <x v="1"/>
    <x v="1"/>
    <x v="0"/>
    <s v="2325200"/>
    <n v="400029"/>
    <s v="MD Practice Other Rev--Comm Insurance"/>
    <s v="Canyon Road-Fam Med"/>
    <x v="0"/>
    <n v="1300"/>
    <n v="-357"/>
    <n v="-1004"/>
    <n v="-478"/>
    <n v="-484"/>
    <n v="-371"/>
    <n v="-476"/>
    <n v="-272"/>
    <n v="-767"/>
    <n v="-367"/>
    <n v="-336"/>
    <n v="-246"/>
    <n v="-353"/>
    <n v="-5511"/>
    <n v="107"/>
  </r>
  <r>
    <x v="1"/>
    <x v="1"/>
    <x v="0"/>
    <s v="2325200"/>
    <n v="400029"/>
    <s v="MD Practice Other Rev--BCBS Comm"/>
    <s v="Canyon Road-Fam Med"/>
    <x v="0"/>
    <n v="1301"/>
    <n v="-927"/>
    <n v="-1176"/>
    <n v="-763"/>
    <n v="-220"/>
    <n v="-970"/>
    <n v="-1076"/>
    <n v="-1009"/>
    <n v="-1123"/>
    <n v="-1014"/>
    <n v="-633"/>
    <n v="-325"/>
    <n v="-353"/>
    <n v="-9589"/>
    <n v="28"/>
  </r>
  <r>
    <x v="1"/>
    <x v="1"/>
    <x v="0"/>
    <s v="2325200"/>
    <n v="400029"/>
    <s v="MD Practice Other Rev--Managed Care"/>
    <s v="Canyon Road-Fam Med"/>
    <x v="0"/>
    <n v="1400"/>
    <n v="-3445"/>
    <n v="-2909"/>
    <n v="-2799"/>
    <n v="-2879"/>
    <n v="-2131"/>
    <n v="-2744"/>
    <n v="-1579"/>
    <n v="-3294"/>
    <n v="-2902"/>
    <n v="-2185"/>
    <n v="-2057"/>
    <n v="-1388"/>
    <n v="-30312"/>
    <n v="-669"/>
  </r>
  <r>
    <x v="1"/>
    <x v="1"/>
    <x v="0"/>
    <s v="2325200"/>
    <n v="400029"/>
    <s v="MD Practice Other Rev--Self Pay"/>
    <s v="Canyon Road-Fam Med"/>
    <x v="0"/>
    <n v="1500"/>
    <n v="-57"/>
    <n v="-97"/>
    <n v="-290"/>
    <n v="-34"/>
    <n v="-64"/>
    <n v="-118"/>
    <n v="-45"/>
    <n v="-319"/>
    <n v="-222"/>
    <n v="-20"/>
    <n v="-152"/>
    <n v="-24"/>
    <n v="-1442"/>
    <n v="-128"/>
  </r>
  <r>
    <x v="1"/>
    <x v="1"/>
    <x v="0"/>
    <s v="2325200"/>
    <n v="400029"/>
    <s v="MD Practice Other Rev--Other"/>
    <s v="Canyon Road-Fam Med"/>
    <x v="0"/>
    <n v="1700"/>
    <n v="-876"/>
    <n v="-673"/>
    <n v="-463"/>
    <n v="-231"/>
    <n v="-166"/>
    <n v="-956"/>
    <n v="-179"/>
    <n v="-671"/>
    <n v="-454"/>
    <n v="-819"/>
    <n v="-68"/>
    <n v="-59"/>
    <n v="-5615"/>
    <n v="-9"/>
  </r>
  <r>
    <x v="1"/>
    <x v="1"/>
    <x v="0"/>
    <s v="2325200"/>
    <n v="400040"/>
    <s v="Physician Svcs Rev--Medicare"/>
    <s v="Canyon Road-Fam Med"/>
    <x v="0"/>
    <n v="1100"/>
    <n v="-196141"/>
    <n v="-206639"/>
    <n v="-182704"/>
    <n v="-225316"/>
    <n v="-155569"/>
    <n v="-208724"/>
    <n v="-196283"/>
    <n v="-144748"/>
    <n v="-148508"/>
    <n v="-147809"/>
    <n v="-152083"/>
    <n v="-116899"/>
    <n v="-2081423"/>
    <n v="-35184"/>
  </r>
  <r>
    <x v="1"/>
    <x v="1"/>
    <x v="0"/>
    <s v="2325200"/>
    <n v="400040"/>
    <s v="Physician Svcs Rev--Medicaid"/>
    <s v="Canyon Road-Fam Med"/>
    <x v="0"/>
    <n v="1200"/>
    <n v="-102360.24"/>
    <n v="-108137.96"/>
    <n v="-96062.61"/>
    <n v="-123835.48"/>
    <n v="-85283.56"/>
    <n v="-82218.240000000005"/>
    <n v="-100370.66"/>
    <n v="-68702.13"/>
    <n v="-90612.68"/>
    <n v="-83539.839999999997"/>
    <n v="-69559.199999999997"/>
    <n v="-58388.08"/>
    <n v="-1069070.68"/>
    <n v="-11171.119999999995"/>
  </r>
  <r>
    <x v="1"/>
    <x v="1"/>
    <x v="0"/>
    <s v="2325200"/>
    <n v="400040"/>
    <s v="Physician Svcs Rev--Comm Insurance"/>
    <s v="Canyon Road-Fam Med"/>
    <x v="0"/>
    <n v="1300"/>
    <n v="-28354.91"/>
    <n v="-27504"/>
    <n v="-19527"/>
    <n v="-25087"/>
    <n v="-20176.91"/>
    <n v="-13432"/>
    <n v="-20977"/>
    <n v="-14886"/>
    <n v="-19600.91"/>
    <n v="-17154"/>
    <n v="-16875"/>
    <n v="-10901"/>
    <n v="-234475.73"/>
    <n v="-5974"/>
  </r>
  <r>
    <x v="1"/>
    <x v="1"/>
    <x v="0"/>
    <s v="2325200"/>
    <n v="400040"/>
    <s v="Physician Svcs Rev--BCBS Comm"/>
    <s v="Canyon Road-Fam Med"/>
    <x v="0"/>
    <n v="1301"/>
    <n v="-30186.48"/>
    <n v="-56004.9"/>
    <n v="-44821.81"/>
    <n v="-48832.08"/>
    <n v="-46303"/>
    <n v="-45938.91"/>
    <n v="-55298.41"/>
    <n v="-44367"/>
    <n v="-36656.910000000003"/>
    <n v="-46235.16"/>
    <n v="-30391.94"/>
    <n v="-21423.73"/>
    <n v="-506460.33000000013"/>
    <n v="-8968.2099999999991"/>
  </r>
  <r>
    <x v="1"/>
    <x v="1"/>
    <x v="0"/>
    <s v="2325200"/>
    <n v="400040"/>
    <s v="Physician Svcs Rev--Managed Care"/>
    <s v="Canyon Road-Fam Med"/>
    <x v="0"/>
    <n v="1400"/>
    <n v="-89117.97"/>
    <n v="-172456.34"/>
    <n v="-155284.39000000001"/>
    <n v="-190230.14"/>
    <n v="-145128.10999999999"/>
    <n v="-139148.31"/>
    <n v="-171449.32"/>
    <n v="-143848.54"/>
    <n v="-136825.51999999999"/>
    <n v="-136723.57999999999"/>
    <n v="-127200.25"/>
    <n v="-87703.25"/>
    <n v="-1695115.7200000002"/>
    <n v="-39497"/>
  </r>
  <r>
    <x v="1"/>
    <x v="1"/>
    <x v="0"/>
    <s v="2325200"/>
    <n v="400040"/>
    <s v="Physician Svcs Rev--Self Pay"/>
    <s v="Canyon Road-Fam Med"/>
    <x v="0"/>
    <n v="1500"/>
    <n v="-3033"/>
    <n v="-4463.8999999999996"/>
    <n v="-2827"/>
    <n v="-3794"/>
    <n v="-2415"/>
    <n v="-4404.42"/>
    <n v="-2921"/>
    <n v="-3996.24"/>
    <n v="-1917.74"/>
    <n v="-4286.3900000000003"/>
    <n v="-5768.34"/>
    <n v="-1384"/>
    <n v="-41211.03"/>
    <n v="-4384.34"/>
  </r>
  <r>
    <x v="1"/>
    <x v="1"/>
    <x v="0"/>
    <s v="2325200"/>
    <n v="400040"/>
    <s v="Physician Svcs Rev--Other"/>
    <s v="Canyon Road-Fam Med"/>
    <x v="0"/>
    <n v="1700"/>
    <n v="-17455"/>
    <n v="-20166.830000000002"/>
    <n v="-23697.82"/>
    <n v="-15868.82"/>
    <n v="-15036.13"/>
    <n v="-15508"/>
    <n v="-14730"/>
    <n v="-15255"/>
    <n v="-17126"/>
    <n v="-15836.91"/>
    <n v="-13696.3"/>
    <n v="-6786"/>
    <n v="-191162.81"/>
    <n v="-6910.2999999999993"/>
  </r>
  <r>
    <x v="2"/>
    <x v="1"/>
    <x v="0"/>
    <s v="2325200"/>
    <n v="450029"/>
    <s v="Contr Allow--MD Other-Medicare"/>
    <s v="Canyon Road-Fam Med"/>
    <x v="0"/>
    <n v="1100"/>
    <n v="1881.81"/>
    <n v="1877.88"/>
    <n v="1724.87"/>
    <n v="1805.98"/>
    <n v="1499.26"/>
    <n v="2097.34"/>
    <n v="2384.09"/>
    <n v="1506.04"/>
    <n v="1444.58"/>
    <n v="1102.8900000000001"/>
    <n v="1709.87"/>
    <n v="1377.35"/>
    <n v="20411.96"/>
    <n v="332.52"/>
  </r>
  <r>
    <x v="2"/>
    <x v="1"/>
    <x v="0"/>
    <s v="2325200"/>
    <n v="450029"/>
    <s v="Contr Allow--MD Other-Medicaid"/>
    <s v="Canyon Road-Fam Med"/>
    <x v="0"/>
    <n v="1200"/>
    <n v="1076.82"/>
    <n v="2124.81"/>
    <n v="1614.33"/>
    <n v="1363.36"/>
    <n v="539.21"/>
    <n v="2607.35"/>
    <n v="1097.9000000000001"/>
    <n v="1536.45"/>
    <n v="1405"/>
    <n v="1397.25"/>
    <n v="1079.1400000000001"/>
    <n v="962.75"/>
    <n v="16804.37"/>
    <n v="116.3900000000001"/>
  </r>
  <r>
    <x v="2"/>
    <x v="1"/>
    <x v="0"/>
    <s v="2325200"/>
    <n v="450029"/>
    <s v="Contr Allow--MD Other-Comm Insurance"/>
    <s v="Canyon Road-Fam Med"/>
    <x v="0"/>
    <n v="1300"/>
    <n v="267.02"/>
    <n v="428.11"/>
    <n v="365.93"/>
    <n v="95.04"/>
    <n v="168.18"/>
    <n v="190.67"/>
    <n v="130.30000000000001"/>
    <n v="132.02000000000001"/>
    <n v="80.930000000000007"/>
    <n v="153.05000000000001"/>
    <n v="49.68"/>
    <n v="171.41"/>
    <n v="2232.3399999999997"/>
    <n v="-121.72999999999999"/>
  </r>
  <r>
    <x v="2"/>
    <x v="1"/>
    <x v="0"/>
    <s v="2325200"/>
    <n v="450029"/>
    <s v="Contr Allow--MD Other BCBS Comm"/>
    <s v="Canyon Road-Fam Med"/>
    <x v="0"/>
    <n v="1301"/>
    <n v="325.51"/>
    <n v="361.16"/>
    <n v="331.51"/>
    <n v="307.76"/>
    <n v="255.66"/>
    <n v="698.2"/>
    <n v="161.94"/>
    <n v="421.22"/>
    <n v="532.77"/>
    <n v="202.33"/>
    <n v="136.15"/>
    <n v="120.3"/>
    <n v="3854.51"/>
    <n v="15.850000000000009"/>
  </r>
  <r>
    <x v="2"/>
    <x v="1"/>
    <x v="0"/>
    <s v="2325200"/>
    <n v="450029"/>
    <s v="Contr Allow--MD Other-Managed Care"/>
    <s v="Canyon Road-Fam Med"/>
    <x v="0"/>
    <n v="1400"/>
    <n v="1010.68"/>
    <n v="1376.17"/>
    <n v="1099.26"/>
    <n v="1496.68"/>
    <n v="933.19"/>
    <n v="1244.5999999999999"/>
    <n v="569.52"/>
    <n v="857.38"/>
    <n v="1686.62"/>
    <n v="1173.77"/>
    <n v="1119.6400000000001"/>
    <n v="688.95"/>
    <n v="13256.46"/>
    <n v="430.69000000000005"/>
  </r>
  <r>
    <x v="2"/>
    <x v="1"/>
    <x v="0"/>
    <s v="2325200"/>
    <n v="450029"/>
    <s v="Admin Adjust-MD Other-Self Pay"/>
    <s v="Canyon Road-Fam Med"/>
    <x v="0"/>
    <n v="1600"/>
    <n v="89.71"/>
    <n v="15.42"/>
    <n v="242.79"/>
    <n v="74.83"/>
    <n v="31.52"/>
    <n v="7.05"/>
    <n v="59.45"/>
    <n v="222.29"/>
    <n v="178.5"/>
    <n v="27.55"/>
    <n v="-39.54"/>
    <n v="-0.45"/>
    <n v="909.11999999999989"/>
    <n v="-39.089999999999996"/>
  </r>
  <r>
    <x v="2"/>
    <x v="1"/>
    <x v="0"/>
    <s v="2325200"/>
    <n v="450029"/>
    <s v="Contr Allow--MD Other-Other"/>
    <s v="Canyon Road-Fam Med"/>
    <x v="0"/>
    <n v="1700"/>
    <n v="163.06"/>
    <n v="636.33000000000004"/>
    <n v="360.23"/>
    <n v="210.33"/>
    <n v="117.61"/>
    <n v="172.84"/>
    <n v="406.91"/>
    <n v="181.24"/>
    <n v="413.99"/>
    <n v="549.98"/>
    <n v="228.73"/>
    <n v="49.91"/>
    <n v="3491.16"/>
    <n v="178.82"/>
  </r>
  <r>
    <x v="2"/>
    <x v="1"/>
    <x v="0"/>
    <s v="2325200"/>
    <n v="450040"/>
    <s v="Contr Allow--Phys Svcs--Mcare"/>
    <s v="Canyon Road-Fam Med"/>
    <x v="0"/>
    <n v="1100"/>
    <n v="100491.36"/>
    <n v="132388.73000000001"/>
    <n v="116569.01"/>
    <n v="149230.65"/>
    <n v="126123.72"/>
    <n v="100398.26"/>
    <n v="143328.67000000001"/>
    <n v="105697.93"/>
    <n v="97905.77"/>
    <n v="96685.48"/>
    <n v="99071.81"/>
    <n v="80269.25"/>
    <n v="1348160.6400000001"/>
    <n v="18802.559999999998"/>
  </r>
  <r>
    <x v="2"/>
    <x v="1"/>
    <x v="0"/>
    <s v="2325200"/>
    <n v="450040"/>
    <s v="Contr Allow--Phys Svcs--Mcaid"/>
    <s v="Canyon Road-Fam Med"/>
    <x v="0"/>
    <n v="1200"/>
    <n v="60637.16"/>
    <n v="93865.96"/>
    <n v="67848.649999999994"/>
    <n v="86146.43"/>
    <n v="71096.98"/>
    <n v="63085.82"/>
    <n v="64042.85"/>
    <n v="56602.79"/>
    <n v="63361.37"/>
    <n v="67099.22"/>
    <n v="55653.38"/>
    <n v="46959.53"/>
    <n v="796400.1399999999"/>
    <n v="8693.8499999999985"/>
  </r>
  <r>
    <x v="2"/>
    <x v="1"/>
    <x v="0"/>
    <s v="2325200"/>
    <n v="450040"/>
    <s v="Contr Allow--Phys Svcs--Comm Insurance"/>
    <s v="Canyon Road-Fam Med"/>
    <x v="0"/>
    <n v="1300"/>
    <n v="7542.54"/>
    <n v="14000.39"/>
    <n v="8823.92"/>
    <n v="8673.44"/>
    <n v="7378.29"/>
    <n v="5825.76"/>
    <n v="4346.6899999999996"/>
    <n v="3722.52"/>
    <n v="4888.72"/>
    <n v="4836.4399999999996"/>
    <n v="4064.01"/>
    <n v="14792.39"/>
    <n v="88895.11"/>
    <n v="-10728.38"/>
  </r>
  <r>
    <x v="2"/>
    <x v="1"/>
    <x v="0"/>
    <s v="2325200"/>
    <n v="450040"/>
    <s v="Contr Allow--Phys Svcs--BCBS Comm Ins"/>
    <s v="Canyon Road-Fam Med"/>
    <x v="0"/>
    <n v="1301"/>
    <n v="24205.41"/>
    <n v="7740.68"/>
    <n v="15234.76"/>
    <n v="15892.66"/>
    <n v="29914.16"/>
    <n v="14896.56"/>
    <n v="18980.650000000001"/>
    <n v="15863.8"/>
    <n v="19170.849999999999"/>
    <n v="12474.07"/>
    <n v="13607.56"/>
    <n v="9103.85"/>
    <n v="197085.01"/>
    <n v="4503.7099999999991"/>
  </r>
  <r>
    <x v="2"/>
    <x v="1"/>
    <x v="0"/>
    <s v="2325200"/>
    <n v="450040"/>
    <s v="Contr Allow--Phys Svcs--Managed Care"/>
    <s v="Canyon Road-Fam Med"/>
    <x v="0"/>
    <n v="1400"/>
    <n v="52802.77"/>
    <n v="138496.34"/>
    <n v="61782.49"/>
    <n v="3971.22"/>
    <n v="71235.37"/>
    <n v="51412.63"/>
    <n v="51393.63"/>
    <n v="57999.74"/>
    <n v="57694.8"/>
    <n v="54229.53"/>
    <n v="43817.19"/>
    <n v="37735.33"/>
    <n v="682571.03999999992"/>
    <n v="6081.8600000000006"/>
  </r>
  <r>
    <x v="2"/>
    <x v="1"/>
    <x v="0"/>
    <s v="2325200"/>
    <n v="450040"/>
    <s v="Contr Allow--Phys Svcs--BCBS Mgnd Care"/>
    <s v="Canyon Road-Fam Med"/>
    <x v="0"/>
    <n v="1401"/>
    <n v="-15307.08"/>
    <n v="-34778.699999999997"/>
    <n v="10051.06"/>
    <n v="35111.89"/>
    <n v="-62461.77"/>
    <n v="28981.51"/>
    <n v="28111.16"/>
    <n v="-10747.96"/>
    <n v="-19262.07"/>
    <n v="-4370.59"/>
    <n v="-10024.1"/>
    <n v="-34986.449999999997"/>
    <n v="-89683.1"/>
    <n v="24962.35"/>
  </r>
  <r>
    <x v="2"/>
    <x v="1"/>
    <x v="0"/>
    <s v="2325200"/>
    <n v="450040"/>
    <s v="Prompt Pay Disc-Phys Svcs-Self Pay"/>
    <s v="Canyon Road-Fam Med"/>
    <x v="0"/>
    <n v="1500"/>
    <n v="0"/>
    <n v="0"/>
    <n v="0"/>
    <n v="52.95"/>
    <n v="-8.48"/>
    <n v="0"/>
    <n v="0"/>
    <n v="0"/>
    <n v="103.16"/>
    <n v="0"/>
    <n v="429.68"/>
    <n v="0"/>
    <n v="577.30999999999995"/>
    <n v="429.68"/>
  </r>
  <r>
    <x v="2"/>
    <x v="1"/>
    <x v="0"/>
    <s v="2325200"/>
    <n v="450040"/>
    <s v="Admin Adjust-Phys Svcs-Self Pay"/>
    <s v="Canyon Road-Fam Med"/>
    <x v="0"/>
    <n v="1600"/>
    <n v="4708.7299999999996"/>
    <n v="1906.24"/>
    <n v="3649.97"/>
    <n v="1506.45"/>
    <n v="1205.55"/>
    <n v="2428.9"/>
    <n v="2853.4"/>
    <n v="1647.74"/>
    <n v="1931.32"/>
    <n v="2291.38"/>
    <n v="1502.24"/>
    <n v="786.2"/>
    <n v="26418.120000000003"/>
    <n v="716.04"/>
  </r>
  <r>
    <x v="2"/>
    <x v="1"/>
    <x v="0"/>
    <s v="2325200"/>
    <n v="450040"/>
    <s v="Contr Allow--Phys Svcs--Other"/>
    <s v="Canyon Road-Fam Med"/>
    <x v="0"/>
    <n v="1700"/>
    <n v="12782.6"/>
    <n v="12461.53"/>
    <n v="11279.19"/>
    <n v="15047.79"/>
    <n v="11535.56"/>
    <n v="7904.48"/>
    <n v="8656.82"/>
    <n v="9433.69"/>
    <n v="10236.879999999999"/>
    <n v="11430.86"/>
    <n v="11688.1"/>
    <n v="6565.58"/>
    <n v="129023.08000000002"/>
    <n v="5122.5200000000004"/>
  </r>
  <r>
    <x v="3"/>
    <x v="1"/>
    <x v="0"/>
    <s v="2325200"/>
    <n v="470040"/>
    <s v="Charity Care-Physician Svcs"/>
    <s v="Canyon Road-Fam Med"/>
    <x v="0"/>
    <m/>
    <n v="-250.95"/>
    <n v="4075.37"/>
    <n v="397.92"/>
    <n v="3894.6"/>
    <n v="-898.98"/>
    <n v="383.95"/>
    <n v="3091.85"/>
    <n v="566.36"/>
    <n v="7750.61"/>
    <n v="2068.6"/>
    <n v="-94.68"/>
    <n v="3353.55"/>
    <n v="24338.199999999997"/>
    <n v="-3448.23"/>
  </r>
  <r>
    <x v="4"/>
    <x v="1"/>
    <x v="0"/>
    <s v="2325200"/>
    <n v="490010"/>
    <s v="Provision for Bad Debts"/>
    <s v="Canyon Road-Fam Med"/>
    <x v="0"/>
    <m/>
    <n v="5689.29"/>
    <n v="-3177.74"/>
    <n v="9332.7800000000007"/>
    <n v="10062.709999999999"/>
    <n v="1497.06"/>
    <n v="4574.1000000000004"/>
    <n v="4606.4799999999996"/>
    <n v="-124.3"/>
    <n v="4107.49"/>
    <n v="4811.58"/>
    <n v="641.38"/>
    <n v="3176.46"/>
    <n v="45197.29"/>
    <n v="-2535.08"/>
  </r>
  <r>
    <x v="5"/>
    <x v="1"/>
    <x v="0"/>
    <s v="2325200"/>
    <n v="700018"/>
    <s v="Salaries-Supervisory-Productive"/>
    <s v="Canyon Road-Fam Med"/>
    <x v="0"/>
    <m/>
    <n v="2969.32"/>
    <n v="2923.94"/>
    <n v="3188"/>
    <n v="3825.1"/>
    <n v="3603.6"/>
    <n v="2424.2399999999998"/>
    <n v="3477.84"/>
    <n v="2952.72"/>
    <n v="3444.84"/>
    <n v="2214.54"/>
    <n v="4347.0600000000004"/>
    <n v="2624.64"/>
    <n v="37995.839999999997"/>
    <n v="1722.4200000000005"/>
  </r>
  <r>
    <x v="5"/>
    <x v="1"/>
    <x v="0"/>
    <s v="2325200"/>
    <n v="700022"/>
    <s v="Salaries-Physician-Productive"/>
    <s v="Canyon Road-Fam Med"/>
    <x v="0"/>
    <m/>
    <n v="84749.33"/>
    <n v="81685.210000000006"/>
    <n v="74449.759999999995"/>
    <n v="71968.39"/>
    <n v="67612.899999999994"/>
    <n v="69238.28"/>
    <n v="72574.91"/>
    <n v="56066.09"/>
    <n v="66968.2"/>
    <n v="59680.79"/>
    <n v="50650.080000000002"/>
    <n v="34562.519999999997"/>
    <n v="790206.46"/>
    <n v="16087.560000000005"/>
  </r>
  <r>
    <x v="5"/>
    <x v="1"/>
    <x v="0"/>
    <s v="2325200"/>
    <n v="700022"/>
    <s v="Salaries-Physician-Other"/>
    <s v="Canyon Road-Fam Med"/>
    <x v="0"/>
    <n v="2000"/>
    <n v="0"/>
    <n v="0"/>
    <n v="-1797.25"/>
    <n v="0"/>
    <n v="0"/>
    <n v="0"/>
    <n v="0"/>
    <n v="0"/>
    <n v="0"/>
    <n v="0"/>
    <n v="0"/>
    <n v="0"/>
    <n v="-1797.25"/>
    <n v="0"/>
  </r>
  <r>
    <x v="5"/>
    <x v="1"/>
    <x v="0"/>
    <s v="2325200"/>
    <n v="700024"/>
    <s v="Salaries-Advanced Practice Clinician-Productive"/>
    <s v="Canyon Road-Fam Med"/>
    <x v="0"/>
    <m/>
    <n v="37247.919999999998"/>
    <n v="41591.47"/>
    <n v="33965.230000000003"/>
    <n v="46712.82"/>
    <n v="31381.279999999999"/>
    <n v="44042.879999999997"/>
    <n v="44580.51"/>
    <n v="33209.160000000003"/>
    <n v="43528.38"/>
    <n v="43836.15"/>
    <n v="40964.54"/>
    <n v="16534.95"/>
    <n v="457595.29000000004"/>
    <n v="24429.59"/>
  </r>
  <r>
    <x v="5"/>
    <x v="1"/>
    <x v="0"/>
    <s v="2325200"/>
    <n v="700024"/>
    <s v="Salaries-Advanced Practice Clinician-Other"/>
    <s v="Canyon Road-Fam Med"/>
    <x v="0"/>
    <n v="2000"/>
    <n v="0"/>
    <n v="0"/>
    <n v="696.08"/>
    <n v="0"/>
    <n v="0"/>
    <n v="0"/>
    <n v="0"/>
    <n v="0"/>
    <n v="0"/>
    <n v="0"/>
    <n v="0"/>
    <n v="0"/>
    <n v="696.08"/>
    <n v="0"/>
  </r>
  <r>
    <x v="5"/>
    <x v="1"/>
    <x v="0"/>
    <s v="2325200"/>
    <n v="700026"/>
    <s v="Salaries-RN-Productive"/>
    <s v="Canyon Road-Fam Med"/>
    <x v="0"/>
    <m/>
    <n v="6108.83"/>
    <n v="4688.49"/>
    <n v="3575.37"/>
    <n v="7397.11"/>
    <n v="6292.44"/>
    <n v="4163.54"/>
    <n v="6157.65"/>
    <n v="5630.93"/>
    <n v="6211"/>
    <n v="5490.12"/>
    <n v="6752.33"/>
    <n v="3396.05"/>
    <n v="65863.86"/>
    <n v="3356.2799999999997"/>
  </r>
  <r>
    <x v="5"/>
    <x v="1"/>
    <x v="0"/>
    <s v="2325200"/>
    <n v="700026"/>
    <s v="Salaries-RN-OT"/>
    <s v="Canyon Road-Fam Med"/>
    <x v="0"/>
    <n v="1000"/>
    <n v="145.94999999999999"/>
    <n v="29.74"/>
    <n v="202.71"/>
    <n v="238.79"/>
    <n v="14.02"/>
    <n v="-42.05"/>
    <n v="179.66"/>
    <n v="-11.22"/>
    <n v="245.64"/>
    <n v="64.569999999999993"/>
    <n v="335.48"/>
    <n v="-42.11"/>
    <n v="1361.18"/>
    <n v="377.59000000000003"/>
  </r>
  <r>
    <x v="5"/>
    <x v="1"/>
    <x v="0"/>
    <s v="2325200"/>
    <n v="700026"/>
    <s v="Salaries-RN-Other"/>
    <s v="Canyon Road-Fam Med"/>
    <x v="0"/>
    <n v="2000"/>
    <n v="222.13"/>
    <n v="230.7"/>
    <n v="204.69"/>
    <n v="235.32"/>
    <n v="220.34"/>
    <n v="209.09"/>
    <n v="234.37"/>
    <n v="200.04"/>
    <n v="215.8"/>
    <n v="187.13"/>
    <n v="235.88"/>
    <n v="184.66"/>
    <n v="2580.1499999999996"/>
    <n v="51.22"/>
  </r>
  <r>
    <x v="5"/>
    <x v="1"/>
    <x v="0"/>
    <s v="2325200"/>
    <n v="700030"/>
    <s v="Salaries-LPN-Productive"/>
    <s v="Canyon Road-Fam Med"/>
    <x v="0"/>
    <m/>
    <n v="31189.759999999998"/>
    <n v="37036.18"/>
    <n v="34106.129999999997"/>
    <n v="38191.120000000003"/>
    <n v="34809.040000000001"/>
    <n v="29816.639999999999"/>
    <n v="33703.769999999997"/>
    <n v="25746.93"/>
    <n v="33570.25"/>
    <n v="32644.76"/>
    <n v="31384.37"/>
    <n v="21449.94"/>
    <n v="383648.89"/>
    <n v="9934.43"/>
  </r>
  <r>
    <x v="5"/>
    <x v="1"/>
    <x v="0"/>
    <s v="2325200"/>
    <n v="700030"/>
    <s v="Salaries-LPN-OT"/>
    <s v="Canyon Road-Fam Med"/>
    <x v="0"/>
    <n v="1000"/>
    <n v="791.73"/>
    <n v="1156.2"/>
    <n v="249.73"/>
    <n v="618.23"/>
    <n v="757.85"/>
    <n v="316.91000000000003"/>
    <n v="1670.59"/>
    <n v="24.42"/>
    <n v="1185.4000000000001"/>
    <n v="1009.1"/>
    <n v="686.62"/>
    <n v="883.45"/>
    <n v="9350.2300000000014"/>
    <n v="-196.83000000000004"/>
  </r>
  <r>
    <x v="5"/>
    <x v="1"/>
    <x v="0"/>
    <s v="2325200"/>
    <n v="700030"/>
    <s v="Salaries-LPN-Other"/>
    <s v="Canyon Road-Fam Med"/>
    <x v="0"/>
    <n v="2000"/>
    <n v="0"/>
    <n v="13.5"/>
    <n v="22.87"/>
    <n v="38.58"/>
    <n v="20.55"/>
    <n v="260.83999999999997"/>
    <n v="18.510000000000002"/>
    <n v="6.71"/>
    <n v="45.56"/>
    <n v="8.5299999999999994"/>
    <n v="51.57"/>
    <n v="-21.28"/>
    <n v="465.93999999999994"/>
    <n v="72.849999999999994"/>
  </r>
  <r>
    <x v="5"/>
    <x v="1"/>
    <x v="0"/>
    <s v="2325200"/>
    <n v="700032"/>
    <s v="Salaries-Other Pat Care Providers-Productive"/>
    <s v="Canyon Road-Fam Med"/>
    <x v="0"/>
    <m/>
    <n v="1554.67"/>
    <n v="2447.92"/>
    <n v="1211.43"/>
    <n v="2957.49"/>
    <n v="926.74"/>
    <n v="754.65"/>
    <n v="1629.97"/>
    <n v="2862.55"/>
    <n v="933.93"/>
    <n v="997.09"/>
    <n v="1389.4"/>
    <n v="2606.09"/>
    <n v="20271.93"/>
    <n v="-1216.69"/>
  </r>
  <r>
    <x v="5"/>
    <x v="1"/>
    <x v="0"/>
    <s v="2325200"/>
    <n v="700054"/>
    <s v="Salaries-Management-NonProd-Other"/>
    <s v="Canyon Road-Fam Med"/>
    <x v="0"/>
    <n v="2000"/>
    <n v="0"/>
    <n v="0"/>
    <n v="0"/>
    <n v="0"/>
    <n v="0"/>
    <n v="44.9"/>
    <n v="-44.9"/>
    <n v="0"/>
    <n v="0"/>
    <n v="0"/>
    <n v="0"/>
    <n v="0"/>
    <n v="0"/>
    <n v="0"/>
  </r>
  <r>
    <x v="5"/>
    <x v="1"/>
    <x v="0"/>
    <s v="2325200"/>
    <n v="700058"/>
    <s v="Salaries-Supervisory-Non-productive"/>
    <s v="Canyon Road-Fam Med"/>
    <x v="0"/>
    <m/>
    <n v="312.56"/>
    <n v="956.4"/>
    <n v="239.1"/>
    <n v="-79.7"/>
    <n v="0"/>
    <n v="1015.56"/>
    <n v="295.33"/>
    <n v="328.08"/>
    <n v="0"/>
    <n v="1394.34"/>
    <n v="-574.14"/>
    <n v="656.16"/>
    <n v="4543.6900000000005"/>
    <n v="-1230.3"/>
  </r>
  <r>
    <x v="5"/>
    <x v="1"/>
    <x v="0"/>
    <s v="2325200"/>
    <n v="700062"/>
    <s v="Salaries-Physician-Non-productive"/>
    <s v="Canyon Road-Fam Med"/>
    <x v="0"/>
    <m/>
    <n v="7257.08"/>
    <n v="26154.880000000001"/>
    <n v="11671.92"/>
    <n v="9861.57"/>
    <n v="8632.31"/>
    <n v="14830.1"/>
    <n v="9153.25"/>
    <n v="14810.2"/>
    <n v="-2405.84"/>
    <n v="3324.47"/>
    <n v="11594.91"/>
    <n v="21174.27"/>
    <n v="136059.12"/>
    <n v="-9579.36"/>
  </r>
  <r>
    <x v="5"/>
    <x v="1"/>
    <x v="0"/>
    <s v="2325200"/>
    <n v="700062"/>
    <s v="Salaries-Physician-NonProd-Other"/>
    <s v="Canyon Road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5200"/>
    <n v="700064"/>
    <s v="Salaries-Advanced Practice Clinician-Non-Productive"/>
    <s v="Canyon Road-Fam Med"/>
    <x v="0"/>
    <m/>
    <n v="3133.48"/>
    <n v="6930.54"/>
    <n v="6336.62"/>
    <n v="-410.49"/>
    <n v="16576.04"/>
    <n v="2089.15"/>
    <n v="6011.01"/>
    <n v="10201.81"/>
    <n v="2151.44"/>
    <n v="4012.93"/>
    <n v="1710.64"/>
    <n v="8006.23"/>
    <n v="66749.400000000009"/>
    <n v="-6295.5899999999992"/>
  </r>
  <r>
    <x v="5"/>
    <x v="1"/>
    <x v="0"/>
    <s v="2325200"/>
    <n v="700064"/>
    <s v="Salaries-Advanced Practice Clinician-Non-Prod-Other"/>
    <s v="Canyon Road-Fam Med"/>
    <x v="0"/>
    <n v="2000"/>
    <n v="0"/>
    <n v="0"/>
    <n v="0"/>
    <n v="0"/>
    <n v="446.64"/>
    <n v="0"/>
    <n v="0"/>
    <n v="-446.64"/>
    <n v="0"/>
    <n v="0"/>
    <n v="0"/>
    <n v="0"/>
    <n v="0"/>
    <n v="0"/>
  </r>
  <r>
    <x v="5"/>
    <x v="1"/>
    <x v="0"/>
    <s v="2325200"/>
    <n v="700066"/>
    <s v="Salaries-RN-Non-productive"/>
    <s v="Canyon Road-Fam Med"/>
    <x v="0"/>
    <m/>
    <n v="124.67"/>
    <n v="1865.61"/>
    <n v="2123.85"/>
    <n v="-650.05999999999995"/>
    <n v="212.52"/>
    <n v="2045.73"/>
    <n v="653.41"/>
    <n v="640.34"/>
    <n v="7.42"/>
    <n v="0"/>
    <n v="0"/>
    <n v="2091.3000000000002"/>
    <n v="9114.7900000000009"/>
    <n v="-2091.3000000000002"/>
  </r>
  <r>
    <x v="5"/>
    <x v="1"/>
    <x v="0"/>
    <s v="2325200"/>
    <n v="700066"/>
    <s v="Salaries-RN-NonProd-Other"/>
    <s v="Canyon Road-Fam Med"/>
    <x v="0"/>
    <n v="2000"/>
    <n v="17.809999999999999"/>
    <n v="0"/>
    <n v="0"/>
    <n v="0"/>
    <n v="0"/>
    <n v="-452.86"/>
    <n v="0"/>
    <n v="452.86"/>
    <n v="0"/>
    <n v="0"/>
    <n v="0"/>
    <n v="0"/>
    <n v="17.810000000000002"/>
    <n v="0"/>
  </r>
  <r>
    <x v="5"/>
    <x v="1"/>
    <x v="0"/>
    <s v="2325200"/>
    <n v="700070"/>
    <s v="Salaries-LPN-Non-productive"/>
    <s v="Canyon Road-Fam Med"/>
    <x v="0"/>
    <m/>
    <n v="4977.96"/>
    <n v="3266.24"/>
    <n v="3823.2"/>
    <n v="6524.5"/>
    <n v="1984.06"/>
    <n v="7224.63"/>
    <n v="2213.3000000000002"/>
    <n v="5260.99"/>
    <n v="566.02"/>
    <n v="1764.19"/>
    <n v="5619.69"/>
    <n v="3263.01"/>
    <n v="46487.790000000008"/>
    <n v="2356.6799999999994"/>
  </r>
  <r>
    <x v="5"/>
    <x v="1"/>
    <x v="0"/>
    <s v="2325200"/>
    <n v="700070"/>
    <s v="Salaries-LPN-NonProd-Other"/>
    <s v="Canyon Road-Fam Med"/>
    <x v="0"/>
    <n v="2000"/>
    <n v="15"/>
    <n v="0"/>
    <n v="0"/>
    <n v="0"/>
    <n v="0"/>
    <n v="0"/>
    <n v="0"/>
    <n v="0"/>
    <n v="0"/>
    <n v="0"/>
    <n v="0"/>
    <n v="0"/>
    <n v="15"/>
    <n v="0"/>
  </r>
  <r>
    <x v="5"/>
    <x v="1"/>
    <x v="0"/>
    <s v="2325200"/>
    <n v="700072"/>
    <s v="Salaries-Other Pat Care Providers-Non-productive"/>
    <s v="Canyon Road-Fam Med"/>
    <x v="0"/>
    <m/>
    <n v="331.6"/>
    <n v="497.4"/>
    <n v="673.04"/>
    <n v="-169.08"/>
    <n v="688"/>
    <n v="378.4"/>
    <n v="71.11"/>
    <n v="-919.38"/>
    <n v="792.38"/>
    <n v="-172.26"/>
    <n v="624.44000000000005"/>
    <n v="2099.3200000000002"/>
    <n v="4894.97"/>
    <n v="-1474.88"/>
  </r>
  <r>
    <x v="5"/>
    <x v="1"/>
    <x v="0"/>
    <s v="2325200"/>
    <n v="700084"/>
    <s v="Accrued PTO"/>
    <s v="Canyon Road-Fam Med"/>
    <x v="0"/>
    <m/>
    <n v="-1737.47"/>
    <n v="562.1"/>
    <n v="-1506.53"/>
    <n v="4010.45"/>
    <n v="3052.23"/>
    <n v="-6322.96"/>
    <n v="967.94"/>
    <n v="597.34"/>
    <n v="3751.04"/>
    <n v="1807.26"/>
    <n v="2559.21"/>
    <n v="-3766.97"/>
    <n v="3973.6400000000008"/>
    <n v="6326.18"/>
  </r>
  <r>
    <x v="6"/>
    <x v="1"/>
    <x v="0"/>
    <s v="2325200"/>
    <n v="713010"/>
    <s v="Benefits-FICA/Medicare"/>
    <s v="Canyon Road-Fam Med"/>
    <x v="0"/>
    <m/>
    <n v="9045.17"/>
    <n v="8624.25"/>
    <n v="6811.62"/>
    <n v="6947.85"/>
    <n v="6291.33"/>
    <n v="10311.4"/>
    <n v="13727.08"/>
    <n v="11712.94"/>
    <n v="11754.13"/>
    <n v="11670.29"/>
    <n v="10150.280000000001"/>
    <n v="5314.75"/>
    <n v="112361.09"/>
    <n v="4835.5300000000007"/>
  </r>
  <r>
    <x v="6"/>
    <x v="1"/>
    <x v="0"/>
    <s v="2325200"/>
    <n v="713090"/>
    <s v="Benefits-Allocated Amounts"/>
    <s v="Canyon Road-Fam Med"/>
    <x v="0"/>
    <m/>
    <n v="0"/>
    <n v="0"/>
    <n v="0"/>
    <n v="0"/>
    <n v="0"/>
    <n v="0"/>
    <n v="0"/>
    <n v="0"/>
    <n v="122725.33"/>
    <n v="12692.72"/>
    <n v="12432.84"/>
    <n v="10032.27"/>
    <n v="157883.15999999997"/>
    <n v="2400.5699999999997"/>
  </r>
  <r>
    <x v="6"/>
    <x v="1"/>
    <x v="0"/>
    <s v="2325200"/>
    <n v="713092"/>
    <s v="Allocated Benefits-Physician"/>
    <s v="Canyon Road-Fam Med"/>
    <x v="0"/>
    <m/>
    <n v="12487.17"/>
    <n v="12334.08"/>
    <n v="12537.63"/>
    <n v="12644.12"/>
    <n v="11750.45"/>
    <n v="12270.2"/>
    <n v="13883.82"/>
    <n v="12941.36"/>
    <n v="-58833.58"/>
    <n v="4345.38"/>
    <n v="4256.41"/>
    <n v="3434.56"/>
    <n v="54051.599999999991"/>
    <n v="821.84999999999991"/>
  </r>
  <r>
    <x v="6"/>
    <x v="1"/>
    <x v="0"/>
    <s v="2325200"/>
    <n v="713093"/>
    <s v="Allocated Benefits-Advanced Practice Clinician"/>
    <s v="Canyon Road-Fam Med"/>
    <x v="0"/>
    <m/>
    <n v="9657.02"/>
    <n v="9538.6299999999992"/>
    <n v="9696.06"/>
    <n v="9778.4"/>
    <n v="9087.27"/>
    <n v="9489.23"/>
    <n v="10737.14"/>
    <n v="10008.280000000001"/>
    <n v="-40992.99"/>
    <n v="3826.58"/>
    <n v="3748.23"/>
    <n v="3024.51"/>
    <n v="47598.360000000008"/>
    <n v="723.7199999999998"/>
  </r>
  <r>
    <x v="6"/>
    <x v="1"/>
    <x v="0"/>
    <s v="2325200"/>
    <n v="713096"/>
    <s v="Employee Recognition"/>
    <s v="Canyon Road-Fam Med"/>
    <x v="0"/>
    <n v="1017"/>
    <n v="2.2000000000000002"/>
    <n v="0"/>
    <n v="11.46"/>
    <n v="0"/>
    <n v="18.989999999999998"/>
    <n v="0"/>
    <n v="38.979999999999997"/>
    <n v="55"/>
    <n v="29.05"/>
    <n v="24.04"/>
    <n v="30.48"/>
    <n v="0"/>
    <n v="210.2"/>
    <n v="30.48"/>
  </r>
  <r>
    <x v="7"/>
    <x v="1"/>
    <x v="0"/>
    <s v="2325200"/>
    <n v="718040"/>
    <s v="Contract Svcs-Laboratory"/>
    <s v="Canyon Road-Fam Med"/>
    <x v="0"/>
    <m/>
    <n v="0"/>
    <n v="0"/>
    <n v="0"/>
    <n v="0"/>
    <n v="0"/>
    <n v="0"/>
    <n v="51.2"/>
    <n v="0"/>
    <n v="0"/>
    <n v="0"/>
    <n v="0"/>
    <n v="0"/>
    <n v="51.2"/>
    <n v="0"/>
  </r>
  <r>
    <x v="7"/>
    <x v="1"/>
    <x v="0"/>
    <s v="2325200"/>
    <n v="718050"/>
    <s v="Purchased Srvcs--Medical Waste"/>
    <s v="Canyon Road-Fam Med"/>
    <x v="0"/>
    <n v="1027"/>
    <n v="0"/>
    <n v="0"/>
    <n v="0"/>
    <n v="0"/>
    <n v="0"/>
    <n v="0"/>
    <n v="0"/>
    <n v="87.18"/>
    <n v="0"/>
    <n v="0"/>
    <n v="0"/>
    <n v="0"/>
    <n v="87.18"/>
    <n v="0"/>
  </r>
  <r>
    <x v="11"/>
    <x v="1"/>
    <x v="0"/>
    <s v="2325200"/>
    <n v="721410"/>
    <s v="Supplies-Medical - Nonbillable"/>
    <s v="Canyon Road-Fam Med"/>
    <x v="0"/>
    <m/>
    <n v="1405.19"/>
    <n v="866.04"/>
    <n v="808.4"/>
    <n v="1046.93"/>
    <n v="643.94000000000005"/>
    <n v="2000.53"/>
    <n v="787.04"/>
    <n v="2074.27"/>
    <n v="232.17"/>
    <n v="531.9"/>
    <n v="0"/>
    <n v="1552.45"/>
    <n v="11948.86"/>
    <n v="-1552.45"/>
  </r>
  <r>
    <x v="11"/>
    <x v="1"/>
    <x v="0"/>
    <s v="2325200"/>
    <n v="721830"/>
    <s v="Supplies-Office"/>
    <s v="Canyon Road-Fam Med"/>
    <x v="0"/>
    <m/>
    <n v="0"/>
    <n v="0"/>
    <n v="47.16"/>
    <n v="0"/>
    <n v="0"/>
    <n v="0"/>
    <n v="0"/>
    <n v="0"/>
    <n v="0"/>
    <n v="0"/>
    <n v="0"/>
    <n v="0"/>
    <n v="47.16"/>
    <n v="0"/>
  </r>
  <r>
    <x v="11"/>
    <x v="1"/>
    <x v="0"/>
    <s v="2325200"/>
    <n v="721835"/>
    <s v="Supplies-Forms"/>
    <s v="Canyon Road-Fam Med"/>
    <x v="0"/>
    <m/>
    <n v="0"/>
    <n v="0"/>
    <n v="0"/>
    <n v="0"/>
    <n v="0"/>
    <n v="0.08"/>
    <n v="0"/>
    <n v="0"/>
    <n v="0"/>
    <n v="0"/>
    <n v="0"/>
    <n v="10.37"/>
    <n v="10.45"/>
    <n v="-10.37"/>
  </r>
  <r>
    <x v="11"/>
    <x v="1"/>
    <x v="0"/>
    <s v="2325200"/>
    <n v="722000"/>
    <s v="Supplies-Freight Expense"/>
    <s v="Canyon Road-Fam Med"/>
    <x v="0"/>
    <m/>
    <n v="0"/>
    <n v="0"/>
    <n v="0"/>
    <n v="46.78"/>
    <n v="0"/>
    <n v="0"/>
    <n v="0"/>
    <n v="0"/>
    <n v="0"/>
    <n v="0"/>
    <n v="0"/>
    <n v="27.49"/>
    <n v="74.27"/>
    <n v="-27.49"/>
  </r>
  <r>
    <x v="0"/>
    <x v="1"/>
    <x v="0"/>
    <s v="2325200"/>
    <n v="740020"/>
    <s v="Education-Registration Fees"/>
    <s v="Canyon Road-Fam Med"/>
    <x v="0"/>
    <m/>
    <n v="0"/>
    <n v="0"/>
    <n v="0"/>
    <n v="0"/>
    <n v="0"/>
    <n v="49.5"/>
    <n v="0"/>
    <n v="45"/>
    <n v="0"/>
    <n v="0"/>
    <n v="0"/>
    <n v="0"/>
    <n v="94.5"/>
    <n v="0"/>
  </r>
  <r>
    <x v="0"/>
    <x v="1"/>
    <x v="0"/>
    <s v="2325200"/>
    <n v="740022"/>
    <s v="Education-Physician"/>
    <s v="Canyon Road-Fam Med"/>
    <x v="0"/>
    <m/>
    <n v="5500"/>
    <n v="258"/>
    <n v="0"/>
    <n v="0"/>
    <n v="0"/>
    <n v="0"/>
    <n v="0"/>
    <n v="0"/>
    <n v="0"/>
    <n v="435"/>
    <n v="0"/>
    <n v="0"/>
    <n v="6193"/>
    <n v="0"/>
  </r>
  <r>
    <x v="0"/>
    <x v="1"/>
    <x v="0"/>
    <s v="2325200"/>
    <n v="740022"/>
    <s v="Books-Physician"/>
    <s v="Canyon Road-Fam Med"/>
    <x v="0"/>
    <n v="2000"/>
    <n v="0"/>
    <n v="0"/>
    <n v="2242"/>
    <n v="0"/>
    <n v="0"/>
    <n v="0"/>
    <n v="0"/>
    <n v="0"/>
    <n v="0"/>
    <n v="0"/>
    <n v="0"/>
    <n v="0"/>
    <n v="2242"/>
    <n v="0"/>
  </r>
  <r>
    <x v="0"/>
    <x v="1"/>
    <x v="0"/>
    <s v="2325200"/>
    <n v="740023"/>
    <s v="Education-Advanced Practice Clinician"/>
    <s v="Canyon Road-Fam Med"/>
    <x v="0"/>
    <m/>
    <n v="0"/>
    <n v="0"/>
    <n v="0"/>
    <n v="0"/>
    <n v="750"/>
    <n v="0"/>
    <n v="0"/>
    <n v="0"/>
    <n v="259.95"/>
    <n v="128.25"/>
    <n v="682.63"/>
    <n v="192.31"/>
    <n v="2013.1399999999999"/>
    <n v="490.32"/>
  </r>
  <r>
    <x v="8"/>
    <x v="1"/>
    <x v="0"/>
    <s v="2325200"/>
    <n v="741012"/>
    <s v="Physician Liab Insurance-CHI Program"/>
    <s v="Canyon Road-Fam Med"/>
    <x v="0"/>
    <m/>
    <n v="2084.14"/>
    <n v="2084.14"/>
    <n v="2084.14"/>
    <n v="1344.95"/>
    <n v="1326.27"/>
    <n v="1326.26"/>
    <n v="1657.85"/>
    <n v="1373.62"/>
    <n v="1054.8"/>
    <n v="947.32"/>
    <n v="947.34"/>
    <n v="994.03"/>
    <n v="17224.859999999997"/>
    <n v="-46.689999999999941"/>
  </r>
  <r>
    <x v="0"/>
    <x v="1"/>
    <x v="0"/>
    <s v="2325200"/>
    <n v="743010"/>
    <s v="Dues--Institutional"/>
    <s v="Canyon Road-Fam Med"/>
    <x v="0"/>
    <m/>
    <n v="0"/>
    <n v="0"/>
    <n v="840"/>
    <n v="0"/>
    <n v="0"/>
    <n v="0"/>
    <n v="0"/>
    <n v="0"/>
    <n v="0"/>
    <n v="0"/>
    <n v="0"/>
    <n v="0"/>
    <n v="840"/>
    <n v="0"/>
  </r>
  <r>
    <x v="0"/>
    <x v="1"/>
    <x v="0"/>
    <s v="2325200"/>
    <n v="743020"/>
    <s v="Dues--Individual"/>
    <s v="Canyon Road-Fam Med"/>
    <x v="0"/>
    <m/>
    <n v="0"/>
    <n v="0"/>
    <n v="0"/>
    <n v="0"/>
    <n v="0"/>
    <n v="0"/>
    <n v="0"/>
    <n v="1560"/>
    <n v="0"/>
    <n v="0"/>
    <n v="0"/>
    <n v="0"/>
    <n v="1560"/>
    <n v="0"/>
  </r>
  <r>
    <x v="0"/>
    <x v="1"/>
    <x v="0"/>
    <s v="2325200"/>
    <n v="743022"/>
    <s v="Dues-Physician"/>
    <s v="Canyon Road-Fam Med"/>
    <x v="0"/>
    <m/>
    <n v="0"/>
    <n v="0"/>
    <n v="0"/>
    <n v="0"/>
    <n v="0"/>
    <n v="441"/>
    <n v="0"/>
    <n v="1140"/>
    <n v="0"/>
    <n v="0"/>
    <n v="0"/>
    <n v="0"/>
    <n v="1581"/>
    <n v="0"/>
  </r>
  <r>
    <x v="0"/>
    <x v="1"/>
    <x v="0"/>
    <s v="2325200"/>
    <n v="743023"/>
    <s v="Dues-Advanced Practice Clinician"/>
    <s v="Canyon Road-Fam Med"/>
    <x v="0"/>
    <m/>
    <n v="0"/>
    <n v="0"/>
    <n v="0"/>
    <n v="0"/>
    <n v="0"/>
    <n v="0"/>
    <n v="0"/>
    <n v="0"/>
    <n v="981"/>
    <n v="0"/>
    <n v="0"/>
    <n v="238.25"/>
    <n v="1219.25"/>
    <n v="-238.25"/>
  </r>
  <r>
    <x v="0"/>
    <x v="1"/>
    <x v="0"/>
    <s v="2325200"/>
    <n v="749510"/>
    <s v="Miscellaneous Expenses"/>
    <s v="Canyon Road-Fam Med"/>
    <x v="0"/>
    <m/>
    <n v="-1569"/>
    <n v="-2371.84"/>
    <n v="-128.16"/>
    <n v="53.89"/>
    <n v="679.68"/>
    <n v="-717.22"/>
    <n v="31.21"/>
    <n v="10.55"/>
    <n v="-58.11"/>
    <n v="712.79"/>
    <n v="-608.39"/>
    <n v="-69.599999999999994"/>
    <n v="-4034.2000000000003"/>
    <n v="-538.79"/>
  </r>
  <r>
    <x v="0"/>
    <x v="1"/>
    <x v="0"/>
    <s v="2325200"/>
    <n v="749513"/>
    <s v="Licenses-Advanced Practice Clinician"/>
    <s v="Canyon Road-Fam Med"/>
    <x v="0"/>
    <n v="2000"/>
    <n v="0"/>
    <n v="0"/>
    <n v="0"/>
    <n v="0"/>
    <n v="0"/>
    <n v="0"/>
    <n v="0"/>
    <n v="0"/>
    <n v="0"/>
    <n v="0"/>
    <n v="189"/>
    <n v="0"/>
    <n v="189"/>
    <n v="189"/>
  </r>
  <r>
    <x v="0"/>
    <x v="1"/>
    <x v="0"/>
    <s v="2325200"/>
    <n v="749530"/>
    <s v="Travel"/>
    <s v="Canyon Road-Fam Med"/>
    <x v="0"/>
    <m/>
    <n v="6"/>
    <n v="0"/>
    <n v="0"/>
    <n v="0"/>
    <n v="0"/>
    <n v="0"/>
    <n v="0"/>
    <n v="0"/>
    <n v="0"/>
    <n v="0"/>
    <n v="0"/>
    <n v="0"/>
    <n v="6"/>
    <n v="0"/>
  </r>
  <r>
    <x v="0"/>
    <x v="1"/>
    <x v="0"/>
    <s v="2325200"/>
    <n v="749530"/>
    <s v="Mileage"/>
    <s v="Canyon Road-Fam Med"/>
    <x v="0"/>
    <n v="1001"/>
    <n v="25.08"/>
    <n v="0"/>
    <n v="24.54"/>
    <n v="0"/>
    <n v="92.17"/>
    <n v="16.899999999999999"/>
    <n v="17.399999999999999"/>
    <n v="21.46"/>
    <n v="0"/>
    <n v="17.399999999999999"/>
    <n v="0"/>
    <n v="33.64"/>
    <n v="248.59000000000003"/>
    <n v="-33.64"/>
  </r>
  <r>
    <x v="0"/>
    <x v="1"/>
    <x v="0"/>
    <s v="2325200"/>
    <n v="749532"/>
    <s v="Travel-Physician"/>
    <s v="Canyon Road-Fam Med"/>
    <x v="0"/>
    <m/>
    <n v="0"/>
    <n v="0"/>
    <n v="0"/>
    <n v="0"/>
    <n v="0"/>
    <n v="0"/>
    <n v="0"/>
    <n v="0"/>
    <n v="0"/>
    <n v="2630.98"/>
    <n v="0"/>
    <n v="0"/>
    <n v="2630.98"/>
    <n v="0"/>
  </r>
  <r>
    <x v="0"/>
    <x v="1"/>
    <x v="0"/>
    <s v="2325200"/>
    <n v="749535"/>
    <s v="Meetings"/>
    <s v="Canyon Road-Fam Med"/>
    <x v="0"/>
    <m/>
    <n v="0"/>
    <n v="0"/>
    <n v="0"/>
    <n v="0"/>
    <n v="0"/>
    <n v="0"/>
    <n v="0"/>
    <n v="0"/>
    <n v="0"/>
    <n v="30.62"/>
    <n v="0"/>
    <n v="0"/>
    <n v="30.62"/>
    <n v="0"/>
  </r>
  <r>
    <x v="9"/>
    <x v="1"/>
    <x v="0"/>
    <s v="2325200"/>
    <n v="800015"/>
    <s v="Interest Income-Ext to CHI"/>
    <s v="Canyon Road-Fam Med"/>
    <x v="0"/>
    <m/>
    <n v="-10.17"/>
    <n v="-9.66"/>
    <n v="-8.86"/>
    <n v="-8.64"/>
    <n v="-7.87"/>
    <n v="-7.63"/>
    <n v="-7.12"/>
    <n v="-5.97"/>
    <n v="-6.1"/>
    <n v="-5.41"/>
    <n v="-5.08"/>
    <n v="-4.43"/>
    <n v="-86.94"/>
    <n v="-0.65000000000000036"/>
  </r>
  <r>
    <x v="1"/>
    <x v="1"/>
    <x v="0"/>
    <s v="2326200"/>
    <n v="400029"/>
    <s v="MD Practice Other Rev--Managed Care"/>
    <s v="Canyon Road-Radiology"/>
    <x v="0"/>
    <n v="1400"/>
    <n v="0"/>
    <n v="0"/>
    <n v="0"/>
    <n v="0"/>
    <n v="0"/>
    <n v="0"/>
    <n v="-59"/>
    <n v="0"/>
    <n v="0"/>
    <n v="0"/>
    <n v="0"/>
    <n v="0"/>
    <n v="-59"/>
    <n v="0"/>
  </r>
  <r>
    <x v="2"/>
    <x v="1"/>
    <x v="0"/>
    <s v="2326200"/>
    <n v="450029"/>
    <s v="Contr Allow--MD Other-Medicaid"/>
    <s v="Canyon Road-Radiology"/>
    <x v="0"/>
    <n v="1200"/>
    <n v="0"/>
    <n v="0"/>
    <n v="0"/>
    <n v="0"/>
    <n v="0"/>
    <n v="0"/>
    <n v="0"/>
    <n v="0"/>
    <n v="0"/>
    <n v="0"/>
    <n v="0"/>
    <n v="66.48"/>
    <n v="66.48"/>
    <n v="-66.48"/>
  </r>
  <r>
    <x v="2"/>
    <x v="1"/>
    <x v="0"/>
    <s v="2326200"/>
    <n v="450029"/>
    <s v="Contr Allow--MD Other-Managed Care"/>
    <s v="Canyon Road-Radiology"/>
    <x v="0"/>
    <n v="1400"/>
    <n v="0"/>
    <n v="0"/>
    <n v="0"/>
    <n v="-99.48"/>
    <n v="0"/>
    <n v="0"/>
    <n v="0"/>
    <n v="21.5"/>
    <n v="0"/>
    <n v="0"/>
    <n v="0"/>
    <n v="0"/>
    <n v="-77.98"/>
    <n v="0"/>
  </r>
  <r>
    <x v="2"/>
    <x v="1"/>
    <x v="0"/>
    <s v="2326200"/>
    <n v="450029"/>
    <s v="Admin Adjust-MD Other-Self Pay"/>
    <s v="Canyon Road-Radiology"/>
    <x v="0"/>
    <n v="1600"/>
    <n v="4.7699999999999996"/>
    <n v="0.33"/>
    <n v="0"/>
    <n v="0"/>
    <n v="0"/>
    <n v="16.12"/>
    <n v="0"/>
    <n v="0"/>
    <n v="0"/>
    <n v="0"/>
    <n v="0"/>
    <n v="0"/>
    <n v="21.22"/>
    <n v="0"/>
  </r>
  <r>
    <x v="2"/>
    <x v="1"/>
    <x v="0"/>
    <s v="2326200"/>
    <n v="450040"/>
    <s v="Contr Allow--Phys Svcs--BCBS Mgnd Care"/>
    <s v="Canyon Road-Radiology"/>
    <x v="0"/>
    <n v="1401"/>
    <n v="1.52"/>
    <n v="-83.64"/>
    <n v="58.01"/>
    <n v="-16.8"/>
    <n v="17.850000000000001"/>
    <n v="1.47"/>
    <n v="34"/>
    <n v="-29.33"/>
    <n v="0.08"/>
    <n v="18.47"/>
    <n v="2.63"/>
    <n v="-54.92"/>
    <n v="-50.660000000000011"/>
    <n v="57.550000000000004"/>
  </r>
  <r>
    <x v="3"/>
    <x v="1"/>
    <x v="0"/>
    <s v="2326200"/>
    <n v="470040"/>
    <s v="Charity Care-Physician Svcs"/>
    <s v="Canyon Road-Radiology"/>
    <x v="0"/>
    <m/>
    <n v="-0.33"/>
    <n v="-2.12"/>
    <n v="1.82"/>
    <n v="29.38"/>
    <n v="0.79"/>
    <n v="-0.44"/>
    <n v="0.87"/>
    <n v="-1.2"/>
    <n v="0.62"/>
    <n v="0.36"/>
    <n v="-0.53"/>
    <n v="4.37"/>
    <n v="33.589999999999996"/>
    <n v="-4.9000000000000004"/>
  </r>
  <r>
    <x v="4"/>
    <x v="1"/>
    <x v="0"/>
    <s v="2326200"/>
    <n v="490010"/>
    <s v="Provision for Bad Debts"/>
    <s v="Canyon Road-Radiology"/>
    <x v="0"/>
    <m/>
    <n v="-136.16999999999999"/>
    <n v="-12.12"/>
    <n v="-57.7"/>
    <n v="199.56"/>
    <n v="-98.03"/>
    <n v="-17.11"/>
    <n v="1.8"/>
    <n v="-4.2300000000000004"/>
    <n v="-23"/>
    <n v="0.68"/>
    <n v="-10.17"/>
    <n v="-16.010000000000002"/>
    <n v="-172.49999999999997"/>
    <n v="5.8400000000000016"/>
  </r>
  <r>
    <x v="5"/>
    <x v="1"/>
    <x v="0"/>
    <s v="2326200"/>
    <n v="700034"/>
    <s v="Salaries-Tech/Professional-Productive"/>
    <s v="Canyon Road-Radiology"/>
    <x v="0"/>
    <m/>
    <n v="10326.75"/>
    <n v="12301.76"/>
    <n v="9829.32"/>
    <n v="12915.93"/>
    <n v="12330.64"/>
    <n v="10448.14"/>
    <n v="12857.26"/>
    <n v="9982.01"/>
    <n v="11314.55"/>
    <n v="11720.99"/>
    <n v="12645.98"/>
    <n v="10979.79"/>
    <n v="137653.12"/>
    <n v="1666.1899999999987"/>
  </r>
  <r>
    <x v="5"/>
    <x v="1"/>
    <x v="0"/>
    <s v="2326200"/>
    <n v="700034"/>
    <s v="Salaries-Tech/Professional-OT"/>
    <s v="Canyon Road-Radiology"/>
    <x v="0"/>
    <n v="1000"/>
    <n v="1135.1199999999999"/>
    <n v="-185.17"/>
    <n v="607.15"/>
    <n v="-182.33"/>
    <n v="83.48"/>
    <n v="-12.51"/>
    <n v="139.87"/>
    <n v="-26.1"/>
    <n v="794.57"/>
    <n v="199.16"/>
    <n v="79.040000000000006"/>
    <n v="48.44"/>
    <n v="2680.7200000000003"/>
    <n v="30.600000000000009"/>
  </r>
  <r>
    <x v="5"/>
    <x v="1"/>
    <x v="0"/>
    <s v="2326200"/>
    <n v="700034"/>
    <s v="Salaries-Tech/Professional-Other"/>
    <s v="Canyon Road-Radiology"/>
    <x v="0"/>
    <n v="2000"/>
    <n v="248.22"/>
    <n v="113.25"/>
    <n v="230.93"/>
    <n v="82.83"/>
    <n v="76.05"/>
    <n v="108.98"/>
    <n v="308.49"/>
    <n v="74.5"/>
    <n v="77.790000000000006"/>
    <n v="119.87"/>
    <n v="123"/>
    <n v="299.16000000000003"/>
    <n v="1863.07"/>
    <n v="-176.16000000000003"/>
  </r>
  <r>
    <x v="5"/>
    <x v="1"/>
    <x v="0"/>
    <s v="2326200"/>
    <n v="700074"/>
    <s v="Salaries-Tech/Professional-Non-productive"/>
    <s v="Canyon Road-Radiology"/>
    <x v="0"/>
    <m/>
    <n v="2731.1"/>
    <n v="1141.49"/>
    <n v="960.55"/>
    <n v="-100.88"/>
    <n v="8.2799999999999994"/>
    <n v="2518.9299999999998"/>
    <n v="436.94"/>
    <n v="1806.75"/>
    <n v="648.01"/>
    <n v="1971.83"/>
    <n v="1548.27"/>
    <n v="1472.6"/>
    <n v="15143.87"/>
    <n v="75.670000000000073"/>
  </r>
  <r>
    <x v="5"/>
    <x v="1"/>
    <x v="0"/>
    <s v="2326200"/>
    <n v="700074"/>
    <s v="Salaries-Tech/Professional-NonProd-Other"/>
    <s v="Canyon Road-Radi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6200"/>
    <n v="700084"/>
    <s v="Accrued PTO"/>
    <s v="Canyon Road-Radiology"/>
    <x v="0"/>
    <m/>
    <n v="-939.2"/>
    <n v="-397.93"/>
    <n v="413.22"/>
    <n v="1343.03"/>
    <n v="1082.01"/>
    <n v="-693.74"/>
    <n v="737.49"/>
    <n v="-563.73"/>
    <n v="450.27"/>
    <n v="-576.11"/>
    <n v="-540.34"/>
    <n v="429.29"/>
    <n v="744.25999999999976"/>
    <n v="-969.63000000000011"/>
  </r>
  <r>
    <x v="6"/>
    <x v="1"/>
    <x v="0"/>
    <s v="2326200"/>
    <n v="713010"/>
    <s v="Benefits-FICA/Medicare"/>
    <s v="Canyon Road-Radiology"/>
    <x v="0"/>
    <m/>
    <n v="1084.58"/>
    <n v="1001.4"/>
    <n v="870.7"/>
    <n v="954.5"/>
    <n v="940.79"/>
    <n v="980.67"/>
    <n v="1030.72"/>
    <n v="886.85"/>
    <n v="963.5"/>
    <n v="1049.56"/>
    <n v="1080.54"/>
    <n v="957.84"/>
    <n v="11801.650000000001"/>
    <n v="122.69999999999993"/>
  </r>
  <r>
    <x v="6"/>
    <x v="1"/>
    <x v="0"/>
    <s v="2326200"/>
    <n v="713090"/>
    <s v="Benefits-Allocated Amounts"/>
    <s v="Canyon Road-Radiology"/>
    <x v="0"/>
    <m/>
    <n v="2729.62"/>
    <n v="2366.7199999999998"/>
    <n v="2395.3000000000002"/>
    <n v="2348.69"/>
    <n v="2317.5300000000002"/>
    <n v="2680.16"/>
    <n v="2824.23"/>
    <n v="2675.71"/>
    <n v="2805.14"/>
    <n v="2784.4"/>
    <n v="2872.61"/>
    <n v="2867.13"/>
    <n v="31667.24"/>
    <n v="5.4800000000000182"/>
  </r>
  <r>
    <x v="16"/>
    <x v="1"/>
    <x v="0"/>
    <s v="2326200"/>
    <n v="732015"/>
    <s v="Repairs-Clinical Equip-T&amp;M-Ext to CHI Programs"/>
    <s v="Canyon Road-Radiology"/>
    <x v="0"/>
    <m/>
    <n v="0"/>
    <n v="0"/>
    <n v="0"/>
    <n v="0"/>
    <n v="487.93"/>
    <n v="0"/>
    <n v="0"/>
    <n v="0"/>
    <n v="0"/>
    <n v="0"/>
    <n v="0"/>
    <n v="0"/>
    <n v="487.93"/>
    <n v="0"/>
  </r>
  <r>
    <x v="0"/>
    <x v="1"/>
    <x v="0"/>
    <s v="2326200"/>
    <n v="740010"/>
    <s v="Education-Materials"/>
    <s v="Canyon Road-Radiology"/>
    <x v="0"/>
    <m/>
    <n v="0"/>
    <n v="0"/>
    <n v="0"/>
    <n v="0"/>
    <n v="0"/>
    <n v="0"/>
    <n v="45"/>
    <n v="0"/>
    <n v="0"/>
    <n v="0"/>
    <n v="0"/>
    <n v="0"/>
    <n v="45"/>
    <n v="0"/>
  </r>
  <r>
    <x v="0"/>
    <x v="1"/>
    <x v="0"/>
    <s v="2326200"/>
    <n v="749530"/>
    <s v="Mileage"/>
    <s v="Canyon Road-Radiology"/>
    <x v="0"/>
    <n v="1001"/>
    <n v="88.29"/>
    <n v="58.86"/>
    <n v="117.72"/>
    <n v="0"/>
    <n v="0"/>
    <n v="88.29"/>
    <n v="58.86"/>
    <n v="31.32"/>
    <n v="62.64"/>
    <n v="31.32"/>
    <n v="219.24"/>
    <n v="99.18"/>
    <n v="855.72"/>
    <n v="120.06"/>
  </r>
  <r>
    <x v="1"/>
    <x v="1"/>
    <x v="0"/>
    <s v="2327200"/>
    <n v="400029"/>
    <s v="MD Practice Other Rev--Medicare"/>
    <s v="Spanaway-Fam Med"/>
    <x v="0"/>
    <n v="1100"/>
    <n v="-223"/>
    <n v="-617"/>
    <n v="-429"/>
    <n v="-604"/>
    <n v="-503"/>
    <n v="-424"/>
    <n v="-1131"/>
    <n v="-977"/>
    <n v="-1127"/>
    <n v="-1284"/>
    <n v="-574"/>
    <n v="-990"/>
    <n v="-8883"/>
    <n v="416"/>
  </r>
  <r>
    <x v="1"/>
    <x v="1"/>
    <x v="0"/>
    <s v="2327200"/>
    <n v="400029"/>
    <s v="MD Practice Other Rev--Medicaid"/>
    <s v="Spanaway-Fam Med"/>
    <x v="0"/>
    <n v="1200"/>
    <n v="-738"/>
    <n v="-1358"/>
    <n v="-838"/>
    <n v="-732"/>
    <n v="-924"/>
    <n v="-964"/>
    <n v="-956"/>
    <n v="-1859"/>
    <n v="-2062"/>
    <n v="-1988"/>
    <n v="-1374"/>
    <n v="-740"/>
    <n v="-14533"/>
    <n v="-634"/>
  </r>
  <r>
    <x v="1"/>
    <x v="1"/>
    <x v="0"/>
    <s v="2327200"/>
    <n v="400029"/>
    <s v="MD Practice Other Rev--Comm Insurance"/>
    <s v="Spanaway-Fam Med"/>
    <x v="0"/>
    <n v="1300"/>
    <n v="-93"/>
    <n v="-44"/>
    <n v="-70"/>
    <n v="-44"/>
    <n v="-44"/>
    <n v="-55"/>
    <n v="-362"/>
    <n v="-109"/>
    <n v="-60"/>
    <n v="-154"/>
    <n v="-119"/>
    <n v="-134"/>
    <n v="-1288"/>
    <n v="15"/>
  </r>
  <r>
    <x v="1"/>
    <x v="1"/>
    <x v="0"/>
    <s v="2327200"/>
    <n v="400029"/>
    <s v="MD Practice Other Rev--BCBS Comm"/>
    <s v="Spanaway-Fam Med"/>
    <x v="0"/>
    <n v="1301"/>
    <n v="-220"/>
    <n v="-246"/>
    <n v="-233"/>
    <n v="-165"/>
    <n v="-370"/>
    <n v="-222"/>
    <n v="-426"/>
    <n v="-493"/>
    <n v="-793"/>
    <n v="-578"/>
    <n v="-154"/>
    <n v="-132"/>
    <n v="-4032"/>
    <n v="-22"/>
  </r>
  <r>
    <x v="1"/>
    <x v="1"/>
    <x v="0"/>
    <s v="2327200"/>
    <n v="400029"/>
    <s v="MD Practice Other Rev--Managed Care"/>
    <s v="Spanaway-Fam Med"/>
    <x v="0"/>
    <n v="1400"/>
    <n v="-295"/>
    <n v="-576"/>
    <n v="-557"/>
    <n v="-478"/>
    <n v="-597"/>
    <n v="-713"/>
    <n v="-1292"/>
    <n v="-1517"/>
    <n v="-1421"/>
    <n v="-1380"/>
    <n v="-616"/>
    <n v="-339"/>
    <n v="-9781"/>
    <n v="-277"/>
  </r>
  <r>
    <x v="1"/>
    <x v="1"/>
    <x v="0"/>
    <s v="2327200"/>
    <n v="400029"/>
    <s v="MD Practice Other Rev--Self Pay"/>
    <s v="Spanaway-Fam Med"/>
    <x v="0"/>
    <n v="1500"/>
    <n v="0"/>
    <n v="-20"/>
    <n v="-10"/>
    <n v="-39"/>
    <n v="19"/>
    <n v="0"/>
    <n v="-14"/>
    <n v="-174"/>
    <n v="-10"/>
    <n v="-10"/>
    <n v="10"/>
    <n v="-24"/>
    <n v="-272"/>
    <n v="34"/>
  </r>
  <r>
    <x v="1"/>
    <x v="1"/>
    <x v="0"/>
    <s v="2327200"/>
    <n v="400029"/>
    <s v="MD Practice Other Rev--Other"/>
    <s v="Spanaway-Fam Med"/>
    <x v="0"/>
    <n v="1700"/>
    <n v="-132"/>
    <n v="-245"/>
    <n v="-58"/>
    <n v="-5"/>
    <n v="-79"/>
    <n v="-144"/>
    <n v="-118"/>
    <n v="-189"/>
    <n v="-244"/>
    <n v="-146"/>
    <n v="-200"/>
    <n v="-186"/>
    <n v="-1746"/>
    <n v="-14"/>
  </r>
  <r>
    <x v="1"/>
    <x v="1"/>
    <x v="0"/>
    <s v="2327200"/>
    <n v="400040"/>
    <s v="Physician Svcs Rev--Medicare"/>
    <s v="Spanaway-Fam Med"/>
    <x v="0"/>
    <n v="1100"/>
    <n v="-149945"/>
    <n v="-200906"/>
    <n v="-198862"/>
    <n v="-231497"/>
    <n v="-155998"/>
    <n v="-160694"/>
    <n v="-149164"/>
    <n v="-147045"/>
    <n v="-154070"/>
    <n v="-141516"/>
    <n v="-188995"/>
    <n v="-145529.88"/>
    <n v="-2024221.88"/>
    <n v="-43465.119999999995"/>
  </r>
  <r>
    <x v="1"/>
    <x v="1"/>
    <x v="0"/>
    <s v="2327200"/>
    <n v="400040"/>
    <s v="Physician Svcs Rev--Medicaid"/>
    <s v="Spanaway-Fam Med"/>
    <x v="0"/>
    <n v="1200"/>
    <n v="-115623.12"/>
    <n v="-145798.14000000001"/>
    <n v="-132926.79999999999"/>
    <n v="-158234.92000000001"/>
    <n v="-129438.65"/>
    <n v="-109644.51"/>
    <n v="-134616.68"/>
    <n v="-119646.58"/>
    <n v="-119800.42"/>
    <n v="-123645.49"/>
    <n v="-137717.06"/>
    <n v="-128209"/>
    <n v="-1555301.37"/>
    <n v="-9508.0599999999977"/>
  </r>
  <r>
    <x v="1"/>
    <x v="1"/>
    <x v="0"/>
    <s v="2327200"/>
    <n v="400040"/>
    <s v="Physician Svcs Rev--Comm Insurance"/>
    <s v="Spanaway-Fam Med"/>
    <x v="0"/>
    <n v="1300"/>
    <n v="-17879"/>
    <n v="-22028.91"/>
    <n v="-18347"/>
    <n v="-31013"/>
    <n v="-17773"/>
    <n v="-15839.13"/>
    <n v="-17670"/>
    <n v="-13521"/>
    <n v="-23557"/>
    <n v="-16685.41"/>
    <n v="-21004"/>
    <n v="-19756.62"/>
    <n v="-235074.07"/>
    <n v="-1247.380000000001"/>
  </r>
  <r>
    <x v="1"/>
    <x v="1"/>
    <x v="0"/>
    <s v="2327200"/>
    <n v="400040"/>
    <s v="Physician Svcs Rev--BCBS Comm"/>
    <s v="Spanaway-Fam Med"/>
    <x v="0"/>
    <n v="1301"/>
    <n v="-31813.88"/>
    <n v="-36792.53"/>
    <n v="-34292.99"/>
    <n v="-38616.17"/>
    <n v="-31095.69"/>
    <n v="-25162.37"/>
    <n v="-41237.279999999999"/>
    <n v="-36730.51"/>
    <n v="-34032.449999999997"/>
    <n v="-41934.57"/>
    <n v="-29022.73"/>
    <n v="-19232.990000000002"/>
    <n v="-399964.15999999997"/>
    <n v="-9789.739999999998"/>
  </r>
  <r>
    <x v="1"/>
    <x v="1"/>
    <x v="0"/>
    <s v="2327200"/>
    <n v="400040"/>
    <s v="Physician Svcs Rev--Managed Care"/>
    <s v="Spanaway-Fam Med"/>
    <x v="0"/>
    <n v="1400"/>
    <n v="-69061.100000000006"/>
    <n v="-95959.49"/>
    <n v="-90562.84"/>
    <n v="-123492"/>
    <n v="-104408.87"/>
    <n v="-82861.440000000002"/>
    <n v="-110599.23"/>
    <n v="-94488.68"/>
    <n v="-94006"/>
    <n v="-105630.85"/>
    <n v="-107062.41"/>
    <n v="-89846"/>
    <n v="-1167978.9099999999"/>
    <n v="-17216.410000000003"/>
  </r>
  <r>
    <x v="1"/>
    <x v="1"/>
    <x v="0"/>
    <s v="2327200"/>
    <n v="400040"/>
    <s v="Physician Svcs Rev--Self Pay"/>
    <s v="Spanaway-Fam Med"/>
    <x v="0"/>
    <n v="1500"/>
    <n v="-2951"/>
    <n v="-7654"/>
    <n v="-4442"/>
    <n v="-5469.88"/>
    <n v="-4000.44"/>
    <n v="-3024"/>
    <n v="-4737"/>
    <n v="-6417"/>
    <n v="-3388"/>
    <n v="-8067"/>
    <n v="-6850"/>
    <n v="-3674.44"/>
    <n v="-60674.76"/>
    <n v="-3175.56"/>
  </r>
  <r>
    <x v="1"/>
    <x v="1"/>
    <x v="0"/>
    <s v="2327200"/>
    <n v="400040"/>
    <s v="Physician Svcs Rev--Other"/>
    <s v="Spanaway-Fam Med"/>
    <x v="0"/>
    <n v="1700"/>
    <n v="-14909.83"/>
    <n v="-20207.28"/>
    <n v="-21968.43"/>
    <n v="-25312.07"/>
    <n v="-22668.99"/>
    <n v="-13831.83"/>
    <n v="-21813.13"/>
    <n v="-20491.04"/>
    <n v="-23349.82"/>
    <n v="-16340.4"/>
    <n v="-19455.47"/>
    <n v="-17488.41"/>
    <n v="-237836.7"/>
    <n v="-1967.0600000000013"/>
  </r>
  <r>
    <x v="2"/>
    <x v="1"/>
    <x v="0"/>
    <s v="2327200"/>
    <n v="450029"/>
    <s v="Contr Allow--MD Other-Medicare"/>
    <s v="Spanaway-Fam Med"/>
    <x v="0"/>
    <n v="1100"/>
    <n v="122.1"/>
    <n v="388.48"/>
    <n v="174.01"/>
    <n v="347.9"/>
    <n v="512.29999999999995"/>
    <n v="272.31"/>
    <n v="376.38"/>
    <n v="703.24"/>
    <n v="877.08"/>
    <n v="954.81"/>
    <n v="406.59"/>
    <n v="332.04"/>
    <n v="5467.2400000000007"/>
    <n v="74.549999999999955"/>
  </r>
  <r>
    <x v="2"/>
    <x v="1"/>
    <x v="0"/>
    <s v="2327200"/>
    <n v="450029"/>
    <s v="Contr Allow--MD Other-Medicaid"/>
    <s v="Spanaway-Fam Med"/>
    <x v="0"/>
    <n v="1200"/>
    <n v="619.85"/>
    <n v="1050.6600000000001"/>
    <n v="547.04"/>
    <n v="608.36"/>
    <n v="573.59"/>
    <n v="505.84"/>
    <n v="789.17"/>
    <n v="689.08"/>
    <n v="1446.08"/>
    <n v="1450.45"/>
    <n v="1190.43"/>
    <n v="565.58000000000004"/>
    <n v="10036.130000000001"/>
    <n v="624.85"/>
  </r>
  <r>
    <x v="2"/>
    <x v="1"/>
    <x v="0"/>
    <s v="2327200"/>
    <n v="450029"/>
    <s v="Contr Allow--MD Other-Comm Insurance"/>
    <s v="Spanaway-Fam Med"/>
    <x v="0"/>
    <n v="1300"/>
    <n v="39.93"/>
    <n v="51.41"/>
    <n v="34.909999999999997"/>
    <n v="17.13"/>
    <n v="44.11"/>
    <n v="0"/>
    <n v="66.06"/>
    <n v="151.36000000000001"/>
    <n v="42.65"/>
    <n v="78.17"/>
    <n v="43.85"/>
    <n v="51.9"/>
    <n v="621.48"/>
    <n v="-8.0499999999999972"/>
  </r>
  <r>
    <x v="2"/>
    <x v="1"/>
    <x v="0"/>
    <s v="2327200"/>
    <n v="450029"/>
    <s v="Contr Allow--MD Other BCBS Comm"/>
    <s v="Spanaway-Fam Med"/>
    <x v="0"/>
    <n v="1301"/>
    <n v="137.52000000000001"/>
    <n v="211.55"/>
    <n v="93.59"/>
    <n v="148.46"/>
    <n v="203.72"/>
    <n v="264.22000000000003"/>
    <n v="212.99"/>
    <n v="117.34"/>
    <n v="433.5"/>
    <n v="576.52"/>
    <n v="195.1"/>
    <n v="77.14"/>
    <n v="2671.6499999999996"/>
    <n v="117.96"/>
  </r>
  <r>
    <x v="2"/>
    <x v="1"/>
    <x v="0"/>
    <s v="2327200"/>
    <n v="450029"/>
    <s v="Contr Allow--MD Other-Managed Care"/>
    <s v="Spanaway-Fam Med"/>
    <x v="0"/>
    <n v="1400"/>
    <n v="165.73"/>
    <n v="350.16"/>
    <n v="263.62"/>
    <n v="321.23"/>
    <n v="313.14"/>
    <n v="235.8"/>
    <n v="688.85"/>
    <n v="825.59"/>
    <n v="1225.9000000000001"/>
    <n v="836.53"/>
    <n v="541.70000000000005"/>
    <n v="150.53"/>
    <n v="5918.78"/>
    <n v="391.17000000000007"/>
  </r>
  <r>
    <x v="2"/>
    <x v="1"/>
    <x v="0"/>
    <s v="2327200"/>
    <n v="450029"/>
    <s v="Admin Adjust-MD Other-Self Pay"/>
    <s v="Spanaway-Fam Med"/>
    <x v="0"/>
    <n v="1600"/>
    <n v="49.72"/>
    <n v="73.92"/>
    <n v="15.36"/>
    <n v="27.36"/>
    <n v="-6.33"/>
    <n v="22"/>
    <n v="37.97"/>
    <n v="106.51"/>
    <n v="10.87"/>
    <n v="23.7"/>
    <n v="8.7100000000000009"/>
    <n v="-11.65"/>
    <n v="358.14"/>
    <n v="20.36"/>
  </r>
  <r>
    <x v="2"/>
    <x v="1"/>
    <x v="0"/>
    <s v="2327200"/>
    <n v="450029"/>
    <s v="Contr Allow--MD Other-Other"/>
    <s v="Spanaway-Fam Med"/>
    <x v="0"/>
    <n v="1700"/>
    <n v="80.37"/>
    <n v="85.67"/>
    <n v="113.47"/>
    <n v="-3.87"/>
    <n v="91.08"/>
    <n v="7.17"/>
    <n v="101.59"/>
    <n v="129.46"/>
    <n v="48.51"/>
    <n v="283.89"/>
    <n v="30.86"/>
    <n v="148.63999999999999"/>
    <n v="1116.8400000000001"/>
    <n v="-117.77999999999999"/>
  </r>
  <r>
    <x v="2"/>
    <x v="1"/>
    <x v="0"/>
    <s v="2327200"/>
    <n v="450040"/>
    <s v="Contr Allow--Phys Svcs--Mcare"/>
    <s v="Spanaway-Fam Med"/>
    <x v="0"/>
    <n v="1100"/>
    <n v="89863.77"/>
    <n v="97202.04"/>
    <n v="125283.17"/>
    <n v="161740.5"/>
    <n v="122270.83"/>
    <n v="97467.9"/>
    <n v="115381.86"/>
    <n v="90100.58"/>
    <n v="97732.74"/>
    <n v="97259.04"/>
    <n v="101754.2"/>
    <n v="111590.5"/>
    <n v="1307647.1299999999"/>
    <n v="-9836.3000000000029"/>
  </r>
  <r>
    <x v="2"/>
    <x v="1"/>
    <x v="0"/>
    <s v="2327200"/>
    <n v="450040"/>
    <s v="Contr Allow--Phys Svcs--Mcaid"/>
    <s v="Spanaway-Fam Med"/>
    <x v="0"/>
    <n v="1200"/>
    <n v="93160.34"/>
    <n v="115513.03"/>
    <n v="92953.61"/>
    <n v="119848.9"/>
    <n v="101358.96"/>
    <n v="77179.91"/>
    <n v="81925.94"/>
    <n v="91165.46"/>
    <n v="91195.33"/>
    <n v="100910.36"/>
    <n v="101582.75"/>
    <n v="86315.47"/>
    <n v="1153110.0599999998"/>
    <n v="15267.279999999999"/>
  </r>
  <r>
    <x v="2"/>
    <x v="1"/>
    <x v="0"/>
    <s v="2327200"/>
    <n v="450040"/>
    <s v="Contr Allow--Phys Svcs--Comm Insurance"/>
    <s v="Spanaway-Fam Med"/>
    <x v="0"/>
    <n v="1300"/>
    <n v="7514.04"/>
    <n v="11736.79"/>
    <n v="7320.26"/>
    <n v="12782.29"/>
    <n v="9322.7099999999991"/>
    <n v="5350.06"/>
    <n v="7175.16"/>
    <n v="7016.09"/>
    <n v="8792.5499999999993"/>
    <n v="6974.93"/>
    <n v="6502.89"/>
    <n v="10505.05"/>
    <n v="100992.82"/>
    <n v="-4002.1599999999989"/>
  </r>
  <r>
    <x v="2"/>
    <x v="1"/>
    <x v="0"/>
    <s v="2327200"/>
    <n v="450040"/>
    <s v="Contr Allow--Phys Svcs--BCBS Comm Ins"/>
    <s v="Spanaway-Fam Med"/>
    <x v="0"/>
    <n v="1301"/>
    <n v="14614.54"/>
    <n v="14647.89"/>
    <n v="11326.64"/>
    <n v="11772.22"/>
    <n v="13531.4"/>
    <n v="11127.34"/>
    <n v="11990.66"/>
    <n v="9950.44"/>
    <n v="16481.79"/>
    <n v="14168.32"/>
    <n v="12970.6"/>
    <n v="9033.0499999999993"/>
    <n v="151614.89000000001"/>
    <n v="3937.5500000000011"/>
  </r>
  <r>
    <x v="2"/>
    <x v="1"/>
    <x v="0"/>
    <s v="2327200"/>
    <n v="450040"/>
    <s v="Contr Allow--Phys Svcs--Managed Care"/>
    <s v="Spanaway-Fam Med"/>
    <x v="0"/>
    <n v="1400"/>
    <n v="31706.12"/>
    <n v="36381.33"/>
    <n v="34355.14"/>
    <n v="44276.08"/>
    <n v="47779.519999999997"/>
    <n v="34842.32"/>
    <n v="32389.89"/>
    <n v="38443.599999999999"/>
    <n v="41112.239999999998"/>
    <n v="37480.97"/>
    <n v="45331.42"/>
    <n v="35482.050000000003"/>
    <n v="459580.67999999993"/>
    <n v="9849.3699999999953"/>
  </r>
  <r>
    <x v="2"/>
    <x v="1"/>
    <x v="0"/>
    <s v="2327200"/>
    <n v="450040"/>
    <s v="Contr Allow--Phys Svcs--BCBS Mgnd Care"/>
    <s v="Spanaway-Fam Med"/>
    <x v="0"/>
    <n v="1401"/>
    <n v="-17741.79"/>
    <n v="11573.34"/>
    <n v="19242.32"/>
    <n v="-4872.1000000000004"/>
    <n v="-41221.120000000003"/>
    <n v="-4422.42"/>
    <n v="22425.32"/>
    <n v="14783.01"/>
    <n v="-17639.490000000002"/>
    <n v="-13632.1"/>
    <n v="14004.61"/>
    <n v="-17021.3"/>
    <n v="-34521.72"/>
    <n v="31025.91"/>
  </r>
  <r>
    <x v="2"/>
    <x v="1"/>
    <x v="0"/>
    <s v="2327200"/>
    <n v="450040"/>
    <s v="Prompt Pay Disc-Phys Svcs-Self Pay"/>
    <s v="Spanaway-Fam Med"/>
    <x v="0"/>
    <n v="1500"/>
    <n v="0"/>
    <n v="0"/>
    <n v="0"/>
    <n v="0"/>
    <n v="0"/>
    <n v="0"/>
    <n v="0"/>
    <n v="0"/>
    <n v="0"/>
    <n v="0"/>
    <n v="0"/>
    <n v="311.77999999999997"/>
    <n v="311.77999999999997"/>
    <n v="-311.77999999999997"/>
  </r>
  <r>
    <x v="2"/>
    <x v="1"/>
    <x v="0"/>
    <s v="2327200"/>
    <n v="450040"/>
    <s v="Admin Adjust-Phys Svcs-Self Pay"/>
    <s v="Spanaway-Fam Med"/>
    <x v="0"/>
    <n v="1600"/>
    <n v="1399.63"/>
    <n v="2191.23"/>
    <n v="1797.84"/>
    <n v="3658.31"/>
    <n v="1643.86"/>
    <n v="1100.71"/>
    <n v="2910.08"/>
    <n v="2740.97"/>
    <n v="2348.44"/>
    <n v="3494.85"/>
    <n v="3205.23"/>
    <n v="1783.97"/>
    <n v="28275.119999999999"/>
    <n v="1421.26"/>
  </r>
  <r>
    <x v="2"/>
    <x v="1"/>
    <x v="0"/>
    <s v="2327200"/>
    <n v="450040"/>
    <s v="Contr Allow--Phys Svcs--Other"/>
    <s v="Spanaway-Fam Med"/>
    <x v="0"/>
    <n v="1700"/>
    <n v="14679.81"/>
    <n v="14932.07"/>
    <n v="5980.12"/>
    <n v="13812.61"/>
    <n v="15508.28"/>
    <n v="14658.13"/>
    <n v="11041.76"/>
    <n v="8808.4699999999993"/>
    <n v="13933.62"/>
    <n v="17665.080000000002"/>
    <n v="12815.98"/>
    <n v="11770.44"/>
    <n v="155606.37"/>
    <n v="1045.5399999999991"/>
  </r>
  <r>
    <x v="3"/>
    <x v="1"/>
    <x v="0"/>
    <s v="2327200"/>
    <n v="470040"/>
    <s v="Charity Care-Physician Svcs"/>
    <s v="Spanaway-Fam Med"/>
    <x v="0"/>
    <m/>
    <n v="1047.1500000000001"/>
    <n v="5418.18"/>
    <n v="1719.82"/>
    <n v="1793.39"/>
    <n v="-143.13"/>
    <n v="-457.92"/>
    <n v="1647.48"/>
    <n v="2920.54"/>
    <n v="8161.18"/>
    <n v="2267.7199999999998"/>
    <n v="3332.53"/>
    <n v="5614.63"/>
    <n v="33321.57"/>
    <n v="-2282.1"/>
  </r>
  <r>
    <x v="4"/>
    <x v="1"/>
    <x v="0"/>
    <s v="2327200"/>
    <n v="490010"/>
    <s v="Provision for Bad Debts"/>
    <s v="Spanaway-Fam Med"/>
    <x v="0"/>
    <m/>
    <n v="7068.18"/>
    <n v="7558.39"/>
    <n v="4488.53"/>
    <n v="3558.55"/>
    <n v="3363.23"/>
    <n v="5635.88"/>
    <n v="6489.63"/>
    <n v="3811.54"/>
    <n v="7853.8"/>
    <n v="4526.3100000000004"/>
    <n v="7590.24"/>
    <n v="4484.0600000000004"/>
    <n v="66428.34"/>
    <n v="3106.1799999999994"/>
  </r>
  <r>
    <x v="5"/>
    <x v="1"/>
    <x v="0"/>
    <s v="2327200"/>
    <n v="700018"/>
    <s v="Salaries-Supervisory-Productive"/>
    <s v="Spanaway-Fam Med"/>
    <x v="0"/>
    <m/>
    <n v="2594.2399999999998"/>
    <n v="3464.66"/>
    <n v="2709.8"/>
    <n v="3825.1"/>
    <n v="3276"/>
    <n v="1769.04"/>
    <n v="3149.77"/>
    <n v="2952.73"/>
    <n v="3444.86"/>
    <n v="2214.5500000000002"/>
    <n v="4347.09"/>
    <n v="2296.5500000000002"/>
    <n v="36044.39"/>
    <n v="2050.54"/>
  </r>
  <r>
    <x v="5"/>
    <x v="1"/>
    <x v="0"/>
    <s v="2327200"/>
    <n v="700022"/>
    <s v="Salaries-Physician-Productive"/>
    <s v="Spanaway-Fam Med"/>
    <x v="0"/>
    <m/>
    <n v="16275.22"/>
    <n v="20749.580000000002"/>
    <n v="25953.9"/>
    <n v="26714.58"/>
    <n v="26359.52"/>
    <n v="22800.959999999999"/>
    <n v="22606.12"/>
    <n v="21560.12"/>
    <n v="25152.84"/>
    <n v="26350.58"/>
    <n v="27341.43"/>
    <n v="9776.64"/>
    <n v="271641.49"/>
    <n v="17564.79"/>
  </r>
  <r>
    <x v="5"/>
    <x v="1"/>
    <x v="0"/>
    <s v="2327200"/>
    <n v="700024"/>
    <s v="Salaries-Advanced Practice Clinician-Productive"/>
    <s v="Spanaway-Fam Med"/>
    <x v="0"/>
    <m/>
    <n v="38817.08"/>
    <n v="54231.23"/>
    <n v="42463.88"/>
    <n v="52787.839999999997"/>
    <n v="53524.56"/>
    <n v="32021.16"/>
    <n v="56173.91"/>
    <n v="45610.400000000001"/>
    <n v="52636.61"/>
    <n v="48987.4"/>
    <n v="54364.480000000003"/>
    <n v="34949.61"/>
    <n v="566568.16"/>
    <n v="19414.870000000003"/>
  </r>
  <r>
    <x v="5"/>
    <x v="1"/>
    <x v="0"/>
    <s v="2327200"/>
    <n v="700024"/>
    <s v="Salaries-Advanced Practice Clinician-Other"/>
    <s v="Spanaway-Fam Med"/>
    <x v="0"/>
    <n v="2000"/>
    <n v="0"/>
    <n v="44364.78"/>
    <n v="0"/>
    <n v="0"/>
    <n v="0"/>
    <n v="0"/>
    <n v="0"/>
    <n v="0"/>
    <n v="0"/>
    <n v="0"/>
    <n v="0"/>
    <n v="0"/>
    <n v="44364.78"/>
    <n v="0"/>
  </r>
  <r>
    <x v="5"/>
    <x v="1"/>
    <x v="0"/>
    <s v="2327200"/>
    <n v="700026"/>
    <s v="Salaries-RN-Productive"/>
    <s v="Spanaway-Fam Med"/>
    <x v="0"/>
    <m/>
    <n v="4452.08"/>
    <n v="7536.62"/>
    <n v="6145.85"/>
    <n v="7118.9"/>
    <n v="6117.82"/>
    <n v="5531.44"/>
    <n v="7852.24"/>
    <n v="5176.24"/>
    <n v="7225.94"/>
    <n v="5480.55"/>
    <n v="8035.07"/>
    <n v="6218.38"/>
    <n v="76891.13"/>
    <n v="1816.6899999999996"/>
  </r>
  <r>
    <x v="5"/>
    <x v="1"/>
    <x v="0"/>
    <s v="2327200"/>
    <n v="700026"/>
    <s v="Salaries-RN-OT"/>
    <s v="Spanaway-Fam Med"/>
    <x v="0"/>
    <n v="1000"/>
    <n v="0"/>
    <n v="128.77000000000001"/>
    <n v="106.05"/>
    <n v="242.24"/>
    <n v="207.32"/>
    <n v="76.22"/>
    <n v="363.33"/>
    <n v="48.85"/>
    <n v="534.32000000000005"/>
    <n v="-19.87"/>
    <n v="264.10000000000002"/>
    <n v="244.27"/>
    <n v="2195.6"/>
    <n v="19.830000000000013"/>
  </r>
  <r>
    <x v="5"/>
    <x v="1"/>
    <x v="0"/>
    <s v="2327200"/>
    <n v="700026"/>
    <s v="Salaries-RN-Other"/>
    <s v="Spanaway-Fam Med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1"/>
    <x v="0"/>
    <s v="2327200"/>
    <n v="700030"/>
    <s v="Salaries-LPN-Productive"/>
    <s v="Spanaway-Fam Med"/>
    <x v="0"/>
    <m/>
    <n v="14905.95"/>
    <n v="17714.59"/>
    <n v="14603.32"/>
    <n v="17600.48"/>
    <n v="18112.27"/>
    <n v="12519.81"/>
    <n v="18791.490000000002"/>
    <n v="14740.87"/>
    <n v="16102.17"/>
    <n v="16935.32"/>
    <n v="19208"/>
    <n v="13470.73"/>
    <n v="194705.00000000003"/>
    <n v="5737.27"/>
  </r>
  <r>
    <x v="5"/>
    <x v="1"/>
    <x v="0"/>
    <s v="2327200"/>
    <n v="700030"/>
    <s v="Salaries-LPN-OT"/>
    <s v="Spanaway-Fam Med"/>
    <x v="0"/>
    <n v="1000"/>
    <n v="189.43"/>
    <n v="103.08"/>
    <n v="58.94"/>
    <n v="46.41"/>
    <n v="113.56"/>
    <n v="-59.35"/>
    <n v="295.01"/>
    <n v="5.14"/>
    <n v="494.95"/>
    <n v="654.08000000000004"/>
    <n v="294.04000000000002"/>
    <n v="304.41000000000003"/>
    <n v="2499.6999999999998"/>
    <n v="-10.370000000000005"/>
  </r>
  <r>
    <x v="5"/>
    <x v="1"/>
    <x v="0"/>
    <s v="2327200"/>
    <n v="700030"/>
    <s v="Salaries-LPN-Other"/>
    <s v="Spanaway-Fam Med"/>
    <x v="0"/>
    <n v="2000"/>
    <n v="0"/>
    <n v="0"/>
    <n v="0"/>
    <n v="0"/>
    <n v="0"/>
    <n v="0"/>
    <n v="0"/>
    <n v="0"/>
    <n v="0"/>
    <n v="34.909999999999997"/>
    <n v="-14.37"/>
    <n v="0"/>
    <n v="20.54"/>
    <n v="-14.37"/>
  </r>
  <r>
    <x v="5"/>
    <x v="1"/>
    <x v="0"/>
    <s v="2327200"/>
    <n v="700032"/>
    <s v="Salaries-Other Pat Care Providers-Productive"/>
    <s v="Spanaway-Fam Med"/>
    <x v="0"/>
    <m/>
    <n v="6556.57"/>
    <n v="6495.59"/>
    <n v="8938.7099999999991"/>
    <n v="6446.97"/>
    <n v="4665.93"/>
    <n v="4530.49"/>
    <n v="5288.6"/>
    <n v="5143.07"/>
    <n v="6763.34"/>
    <n v="7291.96"/>
    <n v="6545.31"/>
    <n v="5150.46"/>
    <n v="73817.000000000015"/>
    <n v="1394.8500000000004"/>
  </r>
  <r>
    <x v="5"/>
    <x v="1"/>
    <x v="0"/>
    <s v="2327200"/>
    <n v="700032"/>
    <s v="Salaries-Other Pat Care Providers-OT"/>
    <s v="Spanaway-Fam Med"/>
    <x v="0"/>
    <n v="1000"/>
    <n v="74.69"/>
    <n v="357.8"/>
    <n v="162.69999999999999"/>
    <n v="74.95"/>
    <n v="173.98"/>
    <n v="96.39"/>
    <n v="108.64"/>
    <n v="50.58"/>
    <n v="74.959999999999994"/>
    <n v="6.58"/>
    <n v="59.02"/>
    <n v="131.13"/>
    <n v="1371.42"/>
    <n v="-72.109999999999985"/>
  </r>
  <r>
    <x v="5"/>
    <x v="1"/>
    <x v="0"/>
    <s v="2327200"/>
    <n v="700032"/>
    <s v="Salaries-Other Pat Care Providers-Other"/>
    <s v="Spanaway-Fam Med"/>
    <x v="0"/>
    <n v="2000"/>
    <n v="0"/>
    <n v="45.37"/>
    <n v="-15.12"/>
    <n v="0"/>
    <n v="0"/>
    <n v="0"/>
    <n v="0"/>
    <n v="0"/>
    <n v="0"/>
    <n v="25.53"/>
    <n v="-10.51"/>
    <n v="0"/>
    <n v="45.27"/>
    <n v="-10.51"/>
  </r>
  <r>
    <x v="5"/>
    <x v="1"/>
    <x v="0"/>
    <s v="2327200"/>
    <n v="700058"/>
    <s v="Salaries-Supervisory-Non-productive"/>
    <s v="Spanaway-Fam Med"/>
    <x v="0"/>
    <m/>
    <n v="1000.19"/>
    <n v="-62.51"/>
    <n v="239.1"/>
    <n v="-79.7"/>
    <n v="327.60000000000002"/>
    <n v="1670.76"/>
    <n v="623.4"/>
    <n v="328.09"/>
    <n v="0"/>
    <n v="1394.35"/>
    <n v="-574.14"/>
    <n v="984.27"/>
    <n v="5851.41"/>
    <n v="-1558.4099999999999"/>
  </r>
  <r>
    <x v="5"/>
    <x v="1"/>
    <x v="0"/>
    <s v="2327200"/>
    <n v="700062"/>
    <s v="Salaries-Physician-Non-productive"/>
    <s v="Spanaway-Fam Med"/>
    <x v="0"/>
    <m/>
    <n v="12227.72"/>
    <n v="8894.3799999999992"/>
    <n v="-1526.7"/>
    <n v="1526.7"/>
    <n v="0"/>
    <n v="3139.08"/>
    <n v="4940.29"/>
    <n v="2395.6"/>
    <n v="0"/>
    <n v="0"/>
    <n v="0"/>
    <n v="12590.41"/>
    <n v="44187.479999999996"/>
    <n v="-12590.41"/>
  </r>
  <r>
    <x v="5"/>
    <x v="1"/>
    <x v="0"/>
    <s v="2327200"/>
    <n v="700064"/>
    <s v="Salaries-Advanced Practice Clinician-Non-Productive"/>
    <s v="Spanaway-Fam Med"/>
    <x v="0"/>
    <m/>
    <n v="8786.31"/>
    <n v="4107"/>
    <n v="7392.13"/>
    <n v="4696.5600000000004"/>
    <n v="1909.04"/>
    <n v="20949.240000000002"/>
    <n v="1930.08"/>
    <n v="4826.99"/>
    <n v="337.48"/>
    <n v="6509.23"/>
    <n v="3768.53"/>
    <n v="15615.65"/>
    <n v="80828.239999999991"/>
    <n v="-11847.119999999999"/>
  </r>
  <r>
    <x v="5"/>
    <x v="1"/>
    <x v="0"/>
    <s v="2327200"/>
    <n v="700064"/>
    <s v="Salaries-Advanced Practice Clinician-Non-Prod-Other"/>
    <s v="Spanaway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7200"/>
    <n v="700066"/>
    <s v="Salaries-RN-Non-productive"/>
    <s v="Spanaway-Fam Med"/>
    <x v="0"/>
    <m/>
    <n v="0"/>
    <n v="0"/>
    <n v="0"/>
    <n v="0"/>
    <n v="1199.18"/>
    <n v="1297.75"/>
    <n v="512.04"/>
    <n v="1125.6199999999999"/>
    <n v="-321.60000000000002"/>
    <n v="1684.33"/>
    <n v="-564.82000000000005"/>
    <n v="305.32"/>
    <n v="5237.82"/>
    <n v="-870.1400000000001"/>
  </r>
  <r>
    <x v="5"/>
    <x v="1"/>
    <x v="0"/>
    <s v="2327200"/>
    <n v="700066"/>
    <s v="Salaries-RN-NonProd-Other"/>
    <s v="Spanaway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7200"/>
    <n v="700070"/>
    <s v="Salaries-LPN-Non-productive"/>
    <s v="Spanaway-Fam Med"/>
    <x v="0"/>
    <m/>
    <n v="3800.93"/>
    <n v="1850.15"/>
    <n v="1752.43"/>
    <n v="1437.86"/>
    <n v="1322.19"/>
    <n v="5583.58"/>
    <n v="1203.2"/>
    <n v="1746.25"/>
    <n v="2528.21"/>
    <n v="2574.9299999999998"/>
    <n v="-370.4"/>
    <n v="2910.6"/>
    <n v="26339.929999999997"/>
    <n v="-3281"/>
  </r>
  <r>
    <x v="5"/>
    <x v="1"/>
    <x v="0"/>
    <s v="2327200"/>
    <n v="700070"/>
    <s v="Salaries-LPN-NonProd-Other"/>
    <s v="Spanaway-Fam Med"/>
    <x v="0"/>
    <n v="2000"/>
    <n v="0"/>
    <n v="0"/>
    <n v="0"/>
    <n v="0"/>
    <n v="400"/>
    <n v="0"/>
    <n v="0"/>
    <n v="-400"/>
    <n v="0"/>
    <n v="0"/>
    <n v="0"/>
    <n v="0"/>
    <n v="0"/>
    <n v="0"/>
  </r>
  <r>
    <x v="5"/>
    <x v="1"/>
    <x v="0"/>
    <s v="2327200"/>
    <n v="700072"/>
    <s v="Salaries-Other Pat Care Providers-Non-productive"/>
    <s v="Spanaway-Fam Med"/>
    <x v="0"/>
    <m/>
    <n v="2696.09"/>
    <n v="3737.94"/>
    <n v="-252.89"/>
    <n v="133.82"/>
    <n v="0"/>
    <n v="951.15"/>
    <n v="1026.9000000000001"/>
    <n v="675.14"/>
    <n v="32.479999999999997"/>
    <n v="224.78"/>
    <n v="505.77"/>
    <n v="1017.82"/>
    <n v="10749"/>
    <n v="-512.05000000000007"/>
  </r>
  <r>
    <x v="5"/>
    <x v="1"/>
    <x v="0"/>
    <s v="2327200"/>
    <n v="700072"/>
    <s v="Salaries-Other Pat Care Providers-NonProd-Other"/>
    <s v="Spanaway-Fam Med"/>
    <x v="0"/>
    <n v="2000"/>
    <n v="0"/>
    <n v="0"/>
    <n v="0"/>
    <n v="0"/>
    <n v="0"/>
    <n v="0"/>
    <n v="0"/>
    <n v="0"/>
    <n v="0"/>
    <n v="33.72"/>
    <n v="-13.88"/>
    <n v="0"/>
    <n v="19.839999999999996"/>
    <n v="-13.88"/>
  </r>
  <r>
    <x v="5"/>
    <x v="1"/>
    <x v="0"/>
    <s v="2327200"/>
    <n v="700084"/>
    <s v="Accrued PTO"/>
    <s v="Spanaway-Fam Med"/>
    <x v="0"/>
    <m/>
    <n v="-2358.94"/>
    <n v="149.41"/>
    <n v="972.56"/>
    <n v="2464.9899999999998"/>
    <n v="1763.45"/>
    <n v="-3800.6"/>
    <n v="601.29999999999995"/>
    <n v="378.01"/>
    <n v="1696.5"/>
    <n v="595.66999999999996"/>
    <n v="2464.4899999999998"/>
    <n v="709.7"/>
    <n v="5636.5399999999991"/>
    <n v="1754.7899999999997"/>
  </r>
  <r>
    <x v="6"/>
    <x v="1"/>
    <x v="0"/>
    <s v="2327200"/>
    <n v="713010"/>
    <s v="Benefits-FICA/Medicare"/>
    <s v="Spanaway-Fam Med"/>
    <x v="0"/>
    <m/>
    <n v="6600.54"/>
    <n v="7376.44"/>
    <n v="4407.6000000000004"/>
    <n v="4090.2"/>
    <n v="3892.7"/>
    <n v="6231.95"/>
    <n v="9312.26"/>
    <n v="7930.75"/>
    <n v="8579.56"/>
    <n v="8975.09"/>
    <n v="9277.5400000000009"/>
    <n v="5975.64"/>
    <n v="82650.27"/>
    <n v="3301.9000000000005"/>
  </r>
  <r>
    <x v="6"/>
    <x v="1"/>
    <x v="0"/>
    <s v="2327200"/>
    <n v="713090"/>
    <s v="Benefits-Allocated Amounts"/>
    <s v="Spanaway-Fam Med"/>
    <x v="0"/>
    <m/>
    <n v="0"/>
    <n v="0"/>
    <n v="0"/>
    <n v="0"/>
    <n v="0"/>
    <n v="0"/>
    <n v="0"/>
    <n v="0"/>
    <n v="89569.78"/>
    <n v="10321.950000000001"/>
    <n v="10199.41"/>
    <n v="9821.39"/>
    <n v="119912.53"/>
    <n v="378.02000000000044"/>
  </r>
  <r>
    <x v="6"/>
    <x v="1"/>
    <x v="0"/>
    <s v="2327200"/>
    <n v="713092"/>
    <s v="Allocated Benefits-Physician"/>
    <s v="Spanaway-Fam Med"/>
    <x v="0"/>
    <m/>
    <n v="3796.69"/>
    <n v="4094.53"/>
    <n v="3623.61"/>
    <n v="3685.09"/>
    <n v="3576.12"/>
    <n v="3572.5"/>
    <n v="4405.04"/>
    <n v="4001"/>
    <n v="-17822.560000000001"/>
    <n v="1490.27"/>
    <n v="1472.58"/>
    <n v="1418.01"/>
    <n v="17312.88"/>
    <n v="54.569999999999936"/>
  </r>
  <r>
    <x v="6"/>
    <x v="1"/>
    <x v="0"/>
    <s v="2327200"/>
    <n v="713093"/>
    <s v="Allocated Benefits-Advanced Practice Clinician"/>
    <s v="Spanaway-Fam Med"/>
    <x v="0"/>
    <m/>
    <n v="11391.8"/>
    <n v="12285.47"/>
    <n v="10872.48"/>
    <n v="11056.96"/>
    <n v="10730.03"/>
    <n v="10719.12"/>
    <n v="13217.15"/>
    <n v="12004.83"/>
    <n v="-54744.92"/>
    <n v="4325.26"/>
    <n v="4273.91"/>
    <n v="4115.5200000000004"/>
    <n v="50247.61"/>
    <n v="158.38999999999942"/>
  </r>
  <r>
    <x v="6"/>
    <x v="1"/>
    <x v="0"/>
    <s v="2327200"/>
    <n v="713096"/>
    <s v="Employee Recognition"/>
    <s v="Spanaway-Fam Med"/>
    <x v="0"/>
    <n v="1017"/>
    <n v="0"/>
    <n v="0"/>
    <n v="0"/>
    <n v="0"/>
    <n v="0"/>
    <n v="0"/>
    <n v="0"/>
    <n v="0"/>
    <n v="87.81"/>
    <n v="0"/>
    <n v="0"/>
    <n v="0"/>
    <n v="87.81"/>
    <n v="0"/>
  </r>
  <r>
    <x v="7"/>
    <x v="1"/>
    <x v="0"/>
    <s v="2327200"/>
    <n v="718050"/>
    <s v="Document Shredding/Storage"/>
    <s v="Spanaway-Fam Med"/>
    <x v="0"/>
    <n v="1012"/>
    <n v="0"/>
    <n v="0"/>
    <n v="139.78"/>
    <n v="69.89"/>
    <n v="32.82"/>
    <n v="0"/>
    <n v="0"/>
    <n v="-86.3"/>
    <n v="0"/>
    <n v="0"/>
    <n v="0"/>
    <n v="0"/>
    <n v="156.19"/>
    <n v="0"/>
  </r>
  <r>
    <x v="11"/>
    <x v="1"/>
    <x v="0"/>
    <s v="2327200"/>
    <n v="721220"/>
    <s v="Supplies-Medical Gases - Billable"/>
    <s v="Spanaway-Fam Med"/>
    <x v="0"/>
    <m/>
    <n v="0"/>
    <n v="0"/>
    <n v="0"/>
    <n v="0"/>
    <n v="0"/>
    <n v="0"/>
    <n v="0"/>
    <n v="0"/>
    <n v="0"/>
    <n v="103.72"/>
    <n v="0"/>
    <n v="76.349999999999994"/>
    <n v="180.07"/>
    <n v="-76.349999999999994"/>
  </r>
  <r>
    <x v="11"/>
    <x v="1"/>
    <x v="0"/>
    <s v="2327200"/>
    <n v="721410"/>
    <s v="Supplies-Medical - Nonbillable"/>
    <s v="Spanaway-Fam Med"/>
    <x v="0"/>
    <m/>
    <n v="1966.87"/>
    <n v="529.86"/>
    <n v="0"/>
    <n v="2488.65"/>
    <n v="1460.32"/>
    <n v="1340.33"/>
    <n v="55.34"/>
    <n v="1065.6099999999999"/>
    <n v="1717.25"/>
    <n v="34.74"/>
    <n v="0"/>
    <n v="1216.9100000000001"/>
    <n v="11875.88"/>
    <n v="-1216.9100000000001"/>
  </r>
  <r>
    <x v="11"/>
    <x v="1"/>
    <x v="0"/>
    <s v="2327200"/>
    <n v="721830"/>
    <s v="Supplies-Office"/>
    <s v="Spanaway-Fam Med"/>
    <x v="0"/>
    <m/>
    <n v="0"/>
    <n v="0"/>
    <n v="0"/>
    <n v="0"/>
    <n v="0"/>
    <n v="0"/>
    <n v="324.45"/>
    <n v="0"/>
    <n v="0"/>
    <n v="0"/>
    <n v="0"/>
    <n v="0"/>
    <n v="324.45"/>
    <n v="0"/>
  </r>
  <r>
    <x v="11"/>
    <x v="1"/>
    <x v="0"/>
    <s v="2327200"/>
    <n v="722000"/>
    <s v="Supplies-Freight Expense"/>
    <s v="Spanaway-Fam Med"/>
    <x v="0"/>
    <m/>
    <n v="0"/>
    <n v="0"/>
    <n v="0"/>
    <n v="29"/>
    <n v="0"/>
    <n v="0"/>
    <n v="0"/>
    <n v="0"/>
    <n v="0"/>
    <n v="0"/>
    <n v="0"/>
    <n v="27.64"/>
    <n v="56.64"/>
    <n v="-27.64"/>
  </r>
  <r>
    <x v="0"/>
    <x v="1"/>
    <x v="0"/>
    <s v="2327200"/>
    <n v="740022"/>
    <s v="Education-Physician"/>
    <s v="Spanaway-Fam Med"/>
    <x v="0"/>
    <m/>
    <n v="0"/>
    <n v="0"/>
    <n v="2936.97"/>
    <n v="0"/>
    <n v="0"/>
    <n v="-2303.6999999999998"/>
    <n v="0"/>
    <n v="0"/>
    <n v="0"/>
    <n v="0"/>
    <n v="0"/>
    <n v="0"/>
    <n v="633.27"/>
    <n v="0"/>
  </r>
  <r>
    <x v="0"/>
    <x v="1"/>
    <x v="0"/>
    <s v="2327200"/>
    <n v="740023"/>
    <s v="Education-Advanced Practice Clinician"/>
    <s v="Spanaway-Fam Med"/>
    <x v="0"/>
    <m/>
    <n v="0"/>
    <n v="0"/>
    <n v="0"/>
    <n v="0"/>
    <n v="0"/>
    <n v="0"/>
    <n v="250"/>
    <n v="45"/>
    <n v="0"/>
    <n v="0"/>
    <n v="1006.97"/>
    <n v="3478.94"/>
    <n v="4780.91"/>
    <n v="-2471.9700000000003"/>
  </r>
  <r>
    <x v="0"/>
    <x v="1"/>
    <x v="0"/>
    <s v="2327200"/>
    <n v="740023"/>
    <s v="Books-Advanced Practice Clinician"/>
    <s v="Spanaway-Fam Med"/>
    <x v="0"/>
    <n v="2000"/>
    <n v="69.95"/>
    <n v="764.71"/>
    <n v="0"/>
    <n v="0"/>
    <n v="0"/>
    <n v="0"/>
    <n v="0"/>
    <n v="0"/>
    <n v="0"/>
    <n v="0"/>
    <n v="0"/>
    <n v="595"/>
    <n v="1429.66"/>
    <n v="-595"/>
  </r>
  <r>
    <x v="8"/>
    <x v="1"/>
    <x v="0"/>
    <s v="2327200"/>
    <n v="741012"/>
    <s v="Physician Liab Insurance-CHI Program"/>
    <s v="Spanaway-Fam Med"/>
    <x v="0"/>
    <m/>
    <n v="899.97"/>
    <n v="899.97"/>
    <n v="899.97"/>
    <n v="899.97"/>
    <n v="899.97"/>
    <n v="899.96"/>
    <n v="899.97"/>
    <n v="899.96"/>
    <n v="899.97"/>
    <n v="899.96"/>
    <n v="899.97"/>
    <n v="899.96"/>
    <n v="10799.600000000002"/>
    <n v="9.9999999999909051E-3"/>
  </r>
  <r>
    <x v="0"/>
    <x v="1"/>
    <x v="0"/>
    <s v="2327200"/>
    <n v="743020"/>
    <s v="Dues--Individual"/>
    <s v="Spanaway-Fam Med"/>
    <x v="0"/>
    <m/>
    <n v="0"/>
    <n v="0"/>
    <n v="0"/>
    <n v="0"/>
    <n v="0"/>
    <n v="0"/>
    <n v="0"/>
    <n v="535"/>
    <n v="0"/>
    <n v="0"/>
    <n v="0"/>
    <n v="0"/>
    <n v="535"/>
    <n v="0"/>
  </r>
  <r>
    <x v="0"/>
    <x v="1"/>
    <x v="0"/>
    <s v="2327200"/>
    <n v="743022"/>
    <s v="Dues-Physician"/>
    <s v="Spanaway-Fam Med"/>
    <x v="0"/>
    <m/>
    <n v="0"/>
    <n v="0"/>
    <n v="0"/>
    <n v="0"/>
    <n v="0"/>
    <n v="0"/>
    <n v="0"/>
    <n v="285"/>
    <n v="0"/>
    <n v="0"/>
    <n v="0"/>
    <n v="0"/>
    <n v="285"/>
    <n v="0"/>
  </r>
  <r>
    <x v="0"/>
    <x v="1"/>
    <x v="0"/>
    <s v="2327200"/>
    <n v="743023"/>
    <s v="Dues-Advanced Practice Clinician"/>
    <s v="Spanaway-Fam Med"/>
    <x v="0"/>
    <m/>
    <n v="0"/>
    <n v="0"/>
    <n v="122.5"/>
    <n v="0"/>
    <n v="0"/>
    <n v="0"/>
    <n v="0"/>
    <n v="0"/>
    <n v="0"/>
    <n v="122.5"/>
    <n v="0"/>
    <n v="0"/>
    <n v="245"/>
    <n v="0"/>
  </r>
  <r>
    <x v="0"/>
    <x v="1"/>
    <x v="0"/>
    <s v="2327200"/>
    <n v="743043"/>
    <s v="Subscriptions-Advanced Practice Clinician"/>
    <s v="Spanaway-Fam Med"/>
    <x v="0"/>
    <m/>
    <n v="0"/>
    <n v="0"/>
    <n v="0"/>
    <n v="0"/>
    <n v="0"/>
    <n v="0"/>
    <n v="0"/>
    <n v="0"/>
    <n v="192.31"/>
    <n v="0"/>
    <n v="0"/>
    <n v="0"/>
    <n v="192.31"/>
    <n v="0"/>
  </r>
  <r>
    <x v="0"/>
    <x v="1"/>
    <x v="0"/>
    <s v="2327200"/>
    <n v="749510"/>
    <s v="Miscellaneous Expenses"/>
    <s v="Spanaway-Fam Med"/>
    <x v="0"/>
    <m/>
    <n v="764.71"/>
    <n v="-764.71"/>
    <n v="0"/>
    <n v="0"/>
    <n v="0"/>
    <n v="0"/>
    <n v="0"/>
    <n v="192.31"/>
    <n v="-192.31"/>
    <n v="0"/>
    <n v="0"/>
    <n v="0"/>
    <n v="0"/>
    <n v="0"/>
  </r>
  <r>
    <x v="0"/>
    <x v="1"/>
    <x v="0"/>
    <s v="2327200"/>
    <n v="749512"/>
    <s v="Licenses-Physician"/>
    <s v="Spanaway-Fam Med"/>
    <x v="0"/>
    <n v="2000"/>
    <n v="0"/>
    <n v="0"/>
    <n v="0"/>
    <n v="0"/>
    <n v="0"/>
    <n v="0"/>
    <n v="0"/>
    <n v="0"/>
    <n v="0"/>
    <n v="0"/>
    <n v="0"/>
    <n v="200"/>
    <n v="200"/>
    <n v="-200"/>
  </r>
  <r>
    <x v="0"/>
    <x v="1"/>
    <x v="0"/>
    <s v="2327200"/>
    <n v="749530"/>
    <s v="Mileage"/>
    <s v="Spanaway-Fam Med"/>
    <x v="0"/>
    <n v="1001"/>
    <n v="12.55"/>
    <n v="0"/>
    <n v="0"/>
    <n v="0"/>
    <n v="0"/>
    <n v="0"/>
    <n v="0"/>
    <n v="0"/>
    <n v="0"/>
    <n v="0"/>
    <n v="0"/>
    <n v="0"/>
    <n v="12.55"/>
    <n v="0"/>
  </r>
  <r>
    <x v="0"/>
    <x v="1"/>
    <x v="0"/>
    <s v="2327200"/>
    <n v="749535"/>
    <s v="Meetings"/>
    <s v="Spanaway-Fam Med"/>
    <x v="0"/>
    <m/>
    <n v="0"/>
    <n v="0"/>
    <n v="0"/>
    <n v="0"/>
    <n v="0"/>
    <n v="0"/>
    <n v="0"/>
    <n v="0"/>
    <n v="0"/>
    <n v="20.420000000000002"/>
    <n v="0"/>
    <n v="0"/>
    <n v="20.420000000000002"/>
    <n v="0"/>
  </r>
  <r>
    <x v="1"/>
    <x v="1"/>
    <x v="0"/>
    <s v="2328200"/>
    <n v="400029"/>
    <s v="MD Practice Other Rev--Medicare"/>
    <s v="PC-Bonney Lake-Fam Med"/>
    <x v="0"/>
    <n v="1100"/>
    <n v="-969"/>
    <n v="-821"/>
    <n v="-671"/>
    <n v="-897"/>
    <n v="-1690"/>
    <n v="-1207"/>
    <n v="-1930"/>
    <n v="-1903"/>
    <n v="-4271"/>
    <n v="-2359"/>
    <n v="-883"/>
    <n v="-931"/>
    <n v="-18532"/>
    <n v="48"/>
  </r>
  <r>
    <x v="1"/>
    <x v="1"/>
    <x v="0"/>
    <s v="2328200"/>
    <n v="400029"/>
    <s v="MD Practice Other Rev--Medicaid"/>
    <s v="PC-Bonney Lake-Fam Med"/>
    <x v="0"/>
    <n v="1200"/>
    <n v="-2757"/>
    <n v="-2363"/>
    <n v="-2711"/>
    <n v="-4301"/>
    <n v="-3912"/>
    <n v="-3362"/>
    <n v="-6153"/>
    <n v="-7456"/>
    <n v="-11802"/>
    <n v="-6807"/>
    <n v="-3409"/>
    <n v="-2935"/>
    <n v="-57968"/>
    <n v="-474"/>
  </r>
  <r>
    <x v="1"/>
    <x v="1"/>
    <x v="0"/>
    <s v="2328200"/>
    <n v="400029"/>
    <s v="MD Practice Other Rev--Comm Insurance"/>
    <s v="PC-Bonney Lake-Fam Med"/>
    <x v="0"/>
    <n v="1300"/>
    <n v="-259"/>
    <n v="-354"/>
    <n v="-464"/>
    <n v="-666"/>
    <n v="-426"/>
    <n v="-392"/>
    <n v="-1014"/>
    <n v="-1217"/>
    <n v="-2278"/>
    <n v="-633"/>
    <n v="-622"/>
    <n v="-237"/>
    <n v="-8562"/>
    <n v="-385"/>
  </r>
  <r>
    <x v="1"/>
    <x v="1"/>
    <x v="0"/>
    <s v="2328200"/>
    <n v="400029"/>
    <s v="MD Practice Other Rev--BCBS Comm"/>
    <s v="PC-Bonney Lake-Fam Med"/>
    <x v="0"/>
    <n v="1301"/>
    <n v="-1523"/>
    <n v="-1615"/>
    <n v="-2375"/>
    <n v="-2371"/>
    <n v="-3072"/>
    <n v="-3629"/>
    <n v="-5756"/>
    <n v="-7058"/>
    <n v="-8598"/>
    <n v="-5590"/>
    <n v="-3770"/>
    <n v="-2986"/>
    <n v="-48343"/>
    <n v="-784"/>
  </r>
  <r>
    <x v="1"/>
    <x v="1"/>
    <x v="0"/>
    <s v="2328200"/>
    <n v="400029"/>
    <s v="MD Practice Other Rev--Managed Care"/>
    <s v="PC-Bonney Lake-Fam Med"/>
    <x v="0"/>
    <n v="1400"/>
    <n v="-4677"/>
    <n v="-5054"/>
    <n v="-5233"/>
    <n v="-6247"/>
    <n v="-5517"/>
    <n v="-6930"/>
    <n v="-11242"/>
    <n v="-14098"/>
    <n v="-22615"/>
    <n v="-11610"/>
    <n v="-5541"/>
    <n v="-5276"/>
    <n v="-104040"/>
    <n v="-265"/>
  </r>
  <r>
    <x v="1"/>
    <x v="1"/>
    <x v="0"/>
    <s v="2328200"/>
    <n v="400029"/>
    <s v="MD Practice Other Rev--Self Pay"/>
    <s v="PC-Bonney Lake-Fam Med"/>
    <x v="0"/>
    <n v="1500"/>
    <n v="-383"/>
    <n v="-408"/>
    <n v="-342"/>
    <n v="-303"/>
    <n v="-565"/>
    <n v="-427"/>
    <n v="-937.84"/>
    <n v="-628"/>
    <n v="-738"/>
    <n v="-603"/>
    <n v="-483"/>
    <n v="-407"/>
    <n v="-6224.84"/>
    <n v="-76"/>
  </r>
  <r>
    <x v="1"/>
    <x v="1"/>
    <x v="0"/>
    <s v="2328200"/>
    <n v="400029"/>
    <s v="MD Practice Other Rev--Other"/>
    <s v="PC-Bonney Lake-Fam Med"/>
    <x v="0"/>
    <n v="1700"/>
    <n v="-83"/>
    <n v="-258"/>
    <n v="-316"/>
    <n v="-262"/>
    <n v="-170"/>
    <n v="-452"/>
    <n v="-1152"/>
    <n v="-490"/>
    <n v="-1698"/>
    <n v="-668"/>
    <n v="-315"/>
    <n v="-245"/>
    <n v="-6109"/>
    <n v="-70"/>
  </r>
  <r>
    <x v="1"/>
    <x v="1"/>
    <x v="0"/>
    <s v="2328200"/>
    <n v="400040"/>
    <s v="Physician Svcs Rev--Medicare"/>
    <s v="PC-Bonney Lake-Fam Med"/>
    <x v="0"/>
    <n v="1100"/>
    <n v="-88232"/>
    <n v="-82153"/>
    <n v="-83398"/>
    <n v="-79999"/>
    <n v="-72278"/>
    <n v="-82122"/>
    <n v="-87601"/>
    <n v="-62951"/>
    <n v="-89227"/>
    <n v="-80151"/>
    <n v="-82384"/>
    <n v="-80476"/>
    <n v="-970972"/>
    <n v="-1908"/>
  </r>
  <r>
    <x v="1"/>
    <x v="1"/>
    <x v="0"/>
    <s v="2328200"/>
    <n v="400040"/>
    <s v="Physician Svcs Rev--Medicaid"/>
    <s v="PC-Bonney Lake-Fam Med"/>
    <x v="0"/>
    <n v="1200"/>
    <n v="-100525"/>
    <n v="-130080"/>
    <n v="-113565.52"/>
    <n v="-142348.20000000001"/>
    <n v="-136143.32"/>
    <n v="-115008.32000000001"/>
    <n v="-145238.07999999999"/>
    <n v="-120866"/>
    <n v="-163499.32"/>
    <n v="-157519.44"/>
    <n v="-130052"/>
    <n v="-125507.44"/>
    <n v="-1580352.64"/>
    <n v="-4544.5599999999977"/>
  </r>
  <r>
    <x v="1"/>
    <x v="1"/>
    <x v="0"/>
    <s v="2328200"/>
    <n v="400040"/>
    <s v="Physician Svcs Rev--Comm Insurance"/>
    <s v="PC-Bonney Lake-Fam Med"/>
    <x v="0"/>
    <n v="1300"/>
    <n v="-24741"/>
    <n v="-28292.81"/>
    <n v="-26060"/>
    <n v="-29083"/>
    <n v="-28435"/>
    <n v="-26218.39"/>
    <n v="-21760"/>
    <n v="-18554"/>
    <n v="-35132"/>
    <n v="-18365"/>
    <n v="-20145"/>
    <n v="-20180.650000000001"/>
    <n v="-296966.85000000003"/>
    <n v="35.650000000001455"/>
  </r>
  <r>
    <x v="1"/>
    <x v="1"/>
    <x v="0"/>
    <s v="2328200"/>
    <n v="400040"/>
    <s v="Physician Svcs Rev--BCBS Comm"/>
    <s v="PC-Bonney Lake-Fam Med"/>
    <x v="0"/>
    <n v="1301"/>
    <n v="-91019.98"/>
    <n v="-95168.98"/>
    <n v="-80444.960000000006"/>
    <n v="-99747.14"/>
    <n v="-95000.85"/>
    <n v="-101105.66"/>
    <n v="-98185"/>
    <n v="-104481"/>
    <n v="-121853.98"/>
    <n v="-119305.5"/>
    <n v="-109973.48"/>
    <n v="-96483.04"/>
    <n v="-1212769.57"/>
    <n v="-13490.440000000002"/>
  </r>
  <r>
    <x v="1"/>
    <x v="1"/>
    <x v="0"/>
    <s v="2328200"/>
    <n v="400040"/>
    <s v="Physician Svcs Rev--Managed Care"/>
    <s v="PC-Bonney Lake-Fam Med"/>
    <x v="0"/>
    <n v="1400"/>
    <n v="-227513"/>
    <n v="-245960.95999999999"/>
    <n v="-224857.07"/>
    <n v="-252767.51"/>
    <n v="-232193.74"/>
    <n v="-236020.57"/>
    <n v="-256621.49"/>
    <n v="-234400"/>
    <n v="-280155.01"/>
    <n v="-249262.13"/>
    <n v="-247081"/>
    <n v="-236591.15"/>
    <n v="-2923423.63"/>
    <n v="-10489.850000000006"/>
  </r>
  <r>
    <x v="1"/>
    <x v="1"/>
    <x v="0"/>
    <s v="2328200"/>
    <n v="400040"/>
    <s v="Physician Svcs Rev--Self Pay"/>
    <s v="PC-Bonney Lake-Fam Med"/>
    <x v="0"/>
    <n v="1500"/>
    <n v="-19109.439999999999"/>
    <n v="-27531"/>
    <n v="-20101"/>
    <n v="-25145.439999999999"/>
    <n v="-20446.36"/>
    <n v="-22648.18"/>
    <n v="-22058.85"/>
    <n v="-13598.16"/>
    <n v="-22333"/>
    <n v="-23317"/>
    <n v="-21709"/>
    <n v="-18316"/>
    <n v="-256313.43000000002"/>
    <n v="-3393"/>
  </r>
  <r>
    <x v="1"/>
    <x v="1"/>
    <x v="0"/>
    <s v="2328200"/>
    <n v="400040"/>
    <s v="Physician Svcs Rev--Other"/>
    <s v="PC-Bonney Lake-Fam Med"/>
    <x v="0"/>
    <n v="1700"/>
    <n v="-31366"/>
    <n v="-37944"/>
    <n v="-33624"/>
    <n v="-28089.98"/>
    <n v="-24632.65"/>
    <n v="-45285.53"/>
    <n v="-36446"/>
    <n v="-21234"/>
    <n v="-37837"/>
    <n v="-36056.980000000003"/>
    <n v="-30861.02"/>
    <n v="-29665"/>
    <n v="-393042.16000000003"/>
    <n v="-1196.0200000000004"/>
  </r>
  <r>
    <x v="2"/>
    <x v="1"/>
    <x v="0"/>
    <s v="2328200"/>
    <n v="450029"/>
    <s v="Contr Allow--MD Other-Medicare"/>
    <s v="PC-Bonney Lake-Fam Med"/>
    <x v="0"/>
    <n v="1100"/>
    <n v="606.55999999999995"/>
    <n v="522.04"/>
    <n v="485.2"/>
    <n v="717.09"/>
    <n v="598.76"/>
    <n v="759.27"/>
    <n v="986.85"/>
    <n v="1115.6400000000001"/>
    <n v="1583.33"/>
    <n v="2635.87"/>
    <n v="1305.95"/>
    <n v="660.96"/>
    <n v="11977.52"/>
    <n v="644.99"/>
  </r>
  <r>
    <x v="2"/>
    <x v="1"/>
    <x v="0"/>
    <s v="2328200"/>
    <n v="450029"/>
    <s v="Contr Allow--MD Other-Medicaid"/>
    <s v="PC-Bonney Lake-Fam Med"/>
    <x v="0"/>
    <n v="1200"/>
    <n v="1868.76"/>
    <n v="1717.25"/>
    <n v="1972.66"/>
    <n v="2456.5700000000002"/>
    <n v="2760.8"/>
    <n v="1644.1"/>
    <n v="3487.3"/>
    <n v="4758.8100000000004"/>
    <n v="6287.37"/>
    <n v="6120.03"/>
    <n v="3677.76"/>
    <n v="2042.28"/>
    <n v="38793.69"/>
    <n v="1635.4800000000002"/>
  </r>
  <r>
    <x v="2"/>
    <x v="1"/>
    <x v="0"/>
    <s v="2328200"/>
    <n v="450029"/>
    <s v="Contr Allow--MD Other-Comm Insurance"/>
    <s v="PC-Bonney Lake-Fam Med"/>
    <x v="0"/>
    <n v="1300"/>
    <n v="35.049999999999997"/>
    <n v="133.27000000000001"/>
    <n v="196.26"/>
    <n v="339.46"/>
    <n v="256.17"/>
    <n v="308.22000000000003"/>
    <n v="288.38"/>
    <n v="561.19000000000005"/>
    <n v="669.77"/>
    <n v="787.79"/>
    <n v="190.61"/>
    <n v="326.89999999999998"/>
    <n v="4093.07"/>
    <n v="-136.28999999999996"/>
  </r>
  <r>
    <x v="2"/>
    <x v="1"/>
    <x v="0"/>
    <s v="2328200"/>
    <n v="450029"/>
    <s v="Contr Allow--MD Other BCBS Comm"/>
    <s v="PC-Bonney Lake-Fam Med"/>
    <x v="0"/>
    <n v="1301"/>
    <n v="1553.12"/>
    <n v="1484.9"/>
    <n v="1191.8900000000001"/>
    <n v="1332.78"/>
    <n v="2171.09"/>
    <n v="2140.0700000000002"/>
    <n v="2600.02"/>
    <n v="3227.5"/>
    <n v="5413.19"/>
    <n v="4602.82"/>
    <n v="2549.85"/>
    <n v="2849.12"/>
    <n v="31116.35"/>
    <n v="-299.27"/>
  </r>
  <r>
    <x v="2"/>
    <x v="1"/>
    <x v="0"/>
    <s v="2328200"/>
    <n v="450029"/>
    <s v="Contr Allow--MD Other-Managed Care"/>
    <s v="PC-Bonney Lake-Fam Med"/>
    <x v="0"/>
    <n v="1400"/>
    <n v="3429.67"/>
    <n v="3274.14"/>
    <n v="3052.08"/>
    <n v="4062.4"/>
    <n v="4049.01"/>
    <n v="3643.97"/>
    <n v="4299.1099999999997"/>
    <n v="7030.95"/>
    <n v="11211.48"/>
    <n v="12713.58"/>
    <n v="5136.59"/>
    <n v="3749.55"/>
    <n v="65652.53"/>
    <n v="1387.04"/>
  </r>
  <r>
    <x v="2"/>
    <x v="1"/>
    <x v="0"/>
    <s v="2328200"/>
    <n v="450029"/>
    <s v="Admin Adjust-MD Other-Self Pay"/>
    <s v="PC-Bonney Lake-Fam Med"/>
    <x v="0"/>
    <n v="1600"/>
    <n v="303.12"/>
    <n v="591.22"/>
    <n v="299.12"/>
    <n v="355.26"/>
    <n v="466.96"/>
    <n v="290.77999999999997"/>
    <n v="720.16"/>
    <n v="322.91000000000003"/>
    <n v="431.95"/>
    <n v="279.61"/>
    <n v="247.57"/>
    <n v="299.83"/>
    <n v="4608.49"/>
    <n v="-52.259999999999991"/>
  </r>
  <r>
    <x v="2"/>
    <x v="1"/>
    <x v="0"/>
    <s v="2328200"/>
    <n v="450029"/>
    <s v="Contr Allow--MD Other-Other"/>
    <s v="PC-Bonney Lake-Fam Med"/>
    <x v="0"/>
    <n v="1700"/>
    <n v="95.38"/>
    <n v="187.15"/>
    <n v="124.5"/>
    <n v="244.89"/>
    <n v="249.7"/>
    <n v="264.97000000000003"/>
    <n v="172.07"/>
    <n v="724.7"/>
    <n v="638.72"/>
    <n v="1187.47"/>
    <n v="131.27000000000001"/>
    <n v="133.54"/>
    <n v="4154.3600000000006"/>
    <n v="-2.2699999999999818"/>
  </r>
  <r>
    <x v="2"/>
    <x v="1"/>
    <x v="0"/>
    <s v="2328200"/>
    <n v="450040"/>
    <s v="Contr Allow--Phys Svcs--Mcare"/>
    <s v="PC-Bonney Lake-Fam Med"/>
    <x v="0"/>
    <n v="1100"/>
    <n v="50165.24"/>
    <n v="51911.07"/>
    <n v="49773.46"/>
    <n v="57831.839999999997"/>
    <n v="45961.91"/>
    <n v="48659.49"/>
    <n v="67505.8"/>
    <n v="40949.68"/>
    <n v="45461.120000000003"/>
    <n v="56545.41"/>
    <n v="56172.97"/>
    <n v="55712.76"/>
    <n v="626650.75"/>
    <n v="460.20999999999913"/>
  </r>
  <r>
    <x v="2"/>
    <x v="1"/>
    <x v="0"/>
    <s v="2328200"/>
    <n v="450040"/>
    <s v="Contr Allow--Phys Svcs--Mcaid"/>
    <s v="PC-Bonney Lake-Fam Med"/>
    <x v="0"/>
    <n v="1200"/>
    <n v="76685.56"/>
    <n v="91827.05"/>
    <n v="91838.34"/>
    <n v="93615.7"/>
    <n v="92233.49"/>
    <n v="86518.32"/>
    <n v="89468.06"/>
    <n v="89258.74"/>
    <n v="102261.3"/>
    <n v="118316.18"/>
    <n v="104711.57"/>
    <n v="87945.5"/>
    <n v="1124679.81"/>
    <n v="16766.070000000007"/>
  </r>
  <r>
    <x v="2"/>
    <x v="1"/>
    <x v="0"/>
    <s v="2328200"/>
    <n v="450040"/>
    <s v="Contr Allow--Phys Svcs--Comm Insurance"/>
    <s v="PC-Bonney Lake-Fam Med"/>
    <x v="0"/>
    <n v="1300"/>
    <n v="6679.35"/>
    <n v="8318.35"/>
    <n v="8542.27"/>
    <n v="7922.2"/>
    <n v="8749.76"/>
    <n v="7743.36"/>
    <n v="7024.02"/>
    <n v="7195.49"/>
    <n v="8424.3700000000008"/>
    <n v="9414.85"/>
    <n v="7029.45"/>
    <n v="6560.36"/>
    <n v="93603.83"/>
    <n v="469.09000000000015"/>
  </r>
  <r>
    <x v="2"/>
    <x v="1"/>
    <x v="0"/>
    <s v="2328200"/>
    <n v="450040"/>
    <s v="Contr Allow--Phys Svcs--BCBS Comm Ins"/>
    <s v="PC-Bonney Lake-Fam Med"/>
    <x v="0"/>
    <n v="1301"/>
    <n v="34071.22"/>
    <n v="30739.74"/>
    <n v="27108.799999999999"/>
    <n v="26733.71"/>
    <n v="34974.550000000003"/>
    <n v="28359.24"/>
    <n v="28373.18"/>
    <n v="25456.84"/>
    <n v="43808.21"/>
    <n v="38190.959999999999"/>
    <n v="35305.760000000002"/>
    <n v="42222.15"/>
    <n v="395344.36000000004"/>
    <n v="-6916.3899999999994"/>
  </r>
  <r>
    <x v="2"/>
    <x v="1"/>
    <x v="0"/>
    <s v="2328200"/>
    <n v="450040"/>
    <s v="Contr Allow--Phys Svcs--Managed Care"/>
    <s v="PC-Bonney Lake-Fam Med"/>
    <x v="0"/>
    <n v="1400"/>
    <n v="78066.820000000007"/>
    <n v="96907.26"/>
    <n v="71920.22"/>
    <n v="81184.759999999995"/>
    <n v="93451.42"/>
    <n v="75290.92"/>
    <n v="76212.289999999994"/>
    <n v="80680.19"/>
    <n v="94881.64"/>
    <n v="98152.37"/>
    <n v="95933.3"/>
    <n v="83181.73"/>
    <n v="1025862.9199999999"/>
    <n v="12751.570000000007"/>
  </r>
  <r>
    <x v="2"/>
    <x v="1"/>
    <x v="0"/>
    <s v="2328200"/>
    <n v="450040"/>
    <s v="Contr Allow--Phys Svcs--BCBS Mgnd Care"/>
    <s v="PC-Bonney Lake-Fam Med"/>
    <x v="0"/>
    <n v="1401"/>
    <n v="-5058.49"/>
    <n v="-12977.15"/>
    <n v="1225.47"/>
    <n v="7081.65"/>
    <n v="-18635.16"/>
    <n v="29777"/>
    <n v="38585.660000000003"/>
    <n v="14104.97"/>
    <n v="43247.95"/>
    <n v="-31623.02"/>
    <n v="-9956.25"/>
    <n v="-15072.24"/>
    <n v="40700.389999999992"/>
    <n v="5115.99"/>
  </r>
  <r>
    <x v="2"/>
    <x v="1"/>
    <x v="0"/>
    <s v="2328200"/>
    <n v="450040"/>
    <s v="Prompt Pay Disc-Phys Svcs-Self Pay"/>
    <s v="PC-Bonney Lake-Fam Med"/>
    <x v="0"/>
    <n v="1500"/>
    <n v="0"/>
    <n v="0"/>
    <n v="-163.58000000000001"/>
    <n v="0"/>
    <n v="0"/>
    <n v="0"/>
    <n v="0"/>
    <n v="0"/>
    <n v="0"/>
    <n v="0"/>
    <n v="0"/>
    <n v="0"/>
    <n v="-163.58000000000001"/>
    <n v="0"/>
  </r>
  <r>
    <x v="2"/>
    <x v="1"/>
    <x v="0"/>
    <s v="2328200"/>
    <n v="450040"/>
    <s v="Admin Adjust-Phys Svcs-Self Pay"/>
    <s v="PC-Bonney Lake-Fam Med"/>
    <x v="0"/>
    <n v="1600"/>
    <n v="7222.12"/>
    <n v="12482.36"/>
    <n v="11188.88"/>
    <n v="14516.6"/>
    <n v="10145.379999999999"/>
    <n v="8798.15"/>
    <n v="11175.65"/>
    <n v="7124.02"/>
    <n v="9952.19"/>
    <n v="10555.81"/>
    <n v="9825.24"/>
    <n v="10011.17"/>
    <n v="122997.57"/>
    <n v="-185.93000000000029"/>
  </r>
  <r>
    <x v="2"/>
    <x v="1"/>
    <x v="0"/>
    <s v="2328200"/>
    <n v="450040"/>
    <s v="Contr Allow--Phys Svcs--Other"/>
    <s v="PC-Bonney Lake-Fam Med"/>
    <x v="0"/>
    <n v="1700"/>
    <n v="12757.81"/>
    <n v="16126.16"/>
    <n v="10222.36"/>
    <n v="14708.48"/>
    <n v="11444"/>
    <n v="11709.35"/>
    <n v="13789.64"/>
    <n v="14569.8"/>
    <n v="17115.490000000002"/>
    <n v="15962.01"/>
    <n v="13613.82"/>
    <n v="9947.4599999999991"/>
    <n v="161966.38"/>
    <n v="3666.3600000000006"/>
  </r>
  <r>
    <x v="3"/>
    <x v="1"/>
    <x v="0"/>
    <s v="2328200"/>
    <n v="470040"/>
    <s v="Charity Care-Physician Svcs"/>
    <s v="PC-Bonney Lake-Fam Med"/>
    <x v="0"/>
    <m/>
    <n v="628.77"/>
    <n v="6357.52"/>
    <n v="289.18"/>
    <n v="3870.91"/>
    <n v="2088.81"/>
    <n v="1873.27"/>
    <n v="2827.05"/>
    <n v="1893.69"/>
    <n v="5596.88"/>
    <n v="2259.1799999999998"/>
    <n v="816.99"/>
    <n v="8252.74"/>
    <n v="36754.990000000005"/>
    <n v="-7435.75"/>
  </r>
  <r>
    <x v="4"/>
    <x v="1"/>
    <x v="0"/>
    <s v="2328200"/>
    <n v="490010"/>
    <s v="Provision for Bad Debts"/>
    <s v="PC-Bonney Lake-Fam Med"/>
    <x v="0"/>
    <m/>
    <n v="16594.73"/>
    <n v="15859.69"/>
    <n v="19943.21"/>
    <n v="17241.88"/>
    <n v="15150.24"/>
    <n v="12154.54"/>
    <n v="16731.73"/>
    <n v="16586.900000000001"/>
    <n v="21553.78"/>
    <n v="9577.59"/>
    <n v="12050.98"/>
    <n v="14850.08"/>
    <n v="188295.35"/>
    <n v="-2799.1000000000004"/>
  </r>
  <r>
    <x v="5"/>
    <x v="1"/>
    <x v="0"/>
    <s v="2328200"/>
    <n v="700018"/>
    <s v="Salaries-Supervisory-Productive"/>
    <s v="PC-Bonney Lake-Fam Med"/>
    <x v="0"/>
    <m/>
    <n v="1404.83"/>
    <n v="1149.4100000000001"/>
    <n v="1277.1199999999999"/>
    <n v="915.58"/>
    <n v="1060.0999999999999"/>
    <n v="1358.24"/>
    <n v="1227.5999999999999"/>
    <n v="1327.08"/>
    <n v="1393.44"/>
    <n v="1459.78"/>
    <n v="1526.15"/>
    <n v="1327.08"/>
    <n v="15426.41"/>
    <n v="199.07000000000016"/>
  </r>
  <r>
    <x v="5"/>
    <x v="1"/>
    <x v="0"/>
    <s v="2328200"/>
    <n v="700022"/>
    <s v="Salaries-Physician-Productive"/>
    <s v="PC-Bonney Lake-Fam Med"/>
    <x v="0"/>
    <m/>
    <n v="85649.75"/>
    <n v="84716.59"/>
    <n v="73692.92"/>
    <n v="80467.17"/>
    <n v="81565.710000000006"/>
    <n v="68658"/>
    <n v="61520.79"/>
    <n v="63889.2"/>
    <n v="79662.44"/>
    <n v="53330.41"/>
    <n v="68733"/>
    <n v="52186.879999999997"/>
    <n v="854072.8600000001"/>
    <n v="16546.120000000003"/>
  </r>
  <r>
    <x v="5"/>
    <x v="1"/>
    <x v="0"/>
    <s v="2328200"/>
    <n v="700022"/>
    <s v="Salaries-Physician-Other"/>
    <s v="PC-Bonney Lake-Fam Med"/>
    <x v="0"/>
    <n v="2000"/>
    <n v="0"/>
    <n v="3461.53"/>
    <n v="0"/>
    <n v="638.28"/>
    <n v="3971.52"/>
    <n v="979.56"/>
    <n v="5940.56"/>
    <n v="8397.18"/>
    <n v="295.94"/>
    <n v="-532.67999999999995"/>
    <n v="0"/>
    <n v="3131.98"/>
    <n v="26283.87"/>
    <n v="-3131.98"/>
  </r>
  <r>
    <x v="5"/>
    <x v="1"/>
    <x v="0"/>
    <s v="2328200"/>
    <n v="700022"/>
    <s v="Salaries-Physician-Provider Incentive"/>
    <s v="PC-Bonney Lake-Fam Med"/>
    <x v="0"/>
    <n v="4003"/>
    <n v="0"/>
    <n v="7223.8"/>
    <n v="0"/>
    <n v="0"/>
    <n v="5865.9"/>
    <n v="0"/>
    <n v="0"/>
    <n v="9308.14"/>
    <n v="0"/>
    <n v="0"/>
    <n v="6746.73"/>
    <n v="-9.86"/>
    <n v="29134.71"/>
    <n v="6756.5899999999992"/>
  </r>
  <r>
    <x v="5"/>
    <x v="1"/>
    <x v="0"/>
    <s v="2328200"/>
    <n v="700024"/>
    <s v="Salaries-Advanced Practice Clinician-Productive"/>
    <s v="PC-Bonney Lake-Fam Med"/>
    <x v="0"/>
    <m/>
    <n v="30300.28"/>
    <n v="31363.22"/>
    <n v="23945.54"/>
    <n v="21773.56"/>
    <n v="30642.62"/>
    <n v="26535.01"/>
    <n v="28788.52"/>
    <n v="32793.160000000003"/>
    <n v="46036.66"/>
    <n v="51327.199999999997"/>
    <n v="46095.18"/>
    <n v="36666.660000000003"/>
    <n v="406267.61"/>
    <n v="9428.5199999999968"/>
  </r>
  <r>
    <x v="5"/>
    <x v="1"/>
    <x v="0"/>
    <s v="2328200"/>
    <n v="700024"/>
    <s v="Salaries-Advanced Practice Clinician-Other"/>
    <s v="PC-Bonney Lake-Fam Med"/>
    <x v="0"/>
    <n v="2000"/>
    <n v="900"/>
    <n v="5550.95"/>
    <n v="2887.5"/>
    <n v="4807.5"/>
    <n v="7830"/>
    <n v="16526.25"/>
    <n v="20007"/>
    <n v="8032.99"/>
    <n v="5039.88"/>
    <n v="8323.42"/>
    <n v="13141.76"/>
    <n v="3998.34"/>
    <n v="97045.59"/>
    <n v="9143.42"/>
  </r>
  <r>
    <x v="5"/>
    <x v="1"/>
    <x v="0"/>
    <s v="2328200"/>
    <n v="700024"/>
    <s v="Salaries-Advanced Practice Clinician-Provider Incentive"/>
    <s v="PC-Bonney Lake-Fam Med"/>
    <x v="0"/>
    <n v="4003"/>
    <n v="0"/>
    <n v="11913.49"/>
    <n v="0"/>
    <n v="0"/>
    <n v="8894.24"/>
    <n v="0"/>
    <n v="0"/>
    <n v="11425.14"/>
    <n v="0"/>
    <n v="0"/>
    <n v="17607.98"/>
    <n v="-25.75"/>
    <n v="49815.1"/>
    <n v="17633.73"/>
  </r>
  <r>
    <x v="5"/>
    <x v="1"/>
    <x v="0"/>
    <s v="2328200"/>
    <n v="700026"/>
    <s v="Salaries-RN-Productive"/>
    <s v="PC-Bonney Lake-Fam Med"/>
    <x v="0"/>
    <m/>
    <n v="19957.38"/>
    <n v="21515.41"/>
    <n v="13203.17"/>
    <n v="16325.17"/>
    <n v="13904.36"/>
    <n v="23557.4"/>
    <n v="28296.41"/>
    <n v="18821.29"/>
    <n v="20347.48"/>
    <n v="21921.5"/>
    <n v="22818.23"/>
    <n v="17428.71"/>
    <n v="238096.51000000004"/>
    <n v="5389.52"/>
  </r>
  <r>
    <x v="5"/>
    <x v="1"/>
    <x v="0"/>
    <s v="2328200"/>
    <n v="700026"/>
    <s v="Salaries-RN-OT"/>
    <s v="PC-Bonney Lake-Fam Med"/>
    <x v="0"/>
    <n v="1000"/>
    <n v="34.96"/>
    <n v="187.28"/>
    <n v="-14.44"/>
    <n v="50.99"/>
    <n v="114.67"/>
    <n v="170.27"/>
    <n v="188.51"/>
    <n v="862.3"/>
    <n v="2115.41"/>
    <n v="-419.03"/>
    <n v="1600.84"/>
    <n v="1852.48"/>
    <n v="6744.24"/>
    <n v="-251.6400000000001"/>
  </r>
  <r>
    <x v="5"/>
    <x v="1"/>
    <x v="0"/>
    <s v="2328200"/>
    <n v="700026"/>
    <s v="Salaries-RN-Other"/>
    <s v="PC-Bonney Lake-Fam Med"/>
    <x v="0"/>
    <n v="2000"/>
    <n v="300.04000000000002"/>
    <n v="120.92"/>
    <n v="268.74"/>
    <n v="81.05"/>
    <n v="40.950000000000003"/>
    <n v="491.65"/>
    <n v="812.33"/>
    <n v="227.28"/>
    <n v="316.2"/>
    <n v="360.88"/>
    <n v="290.02"/>
    <n v="723.7"/>
    <n v="4033.76"/>
    <n v="-433.68000000000006"/>
  </r>
  <r>
    <x v="5"/>
    <x v="1"/>
    <x v="0"/>
    <s v="2328200"/>
    <n v="700030"/>
    <s v="Salaries-LPN-Productive"/>
    <s v="PC-Bonney Lake-Fam Med"/>
    <x v="0"/>
    <m/>
    <n v="13890.37"/>
    <n v="13590.72"/>
    <n v="15642.92"/>
    <n v="15219.22"/>
    <n v="16610.39"/>
    <n v="14762.21"/>
    <n v="11420.16"/>
    <n v="11054.73"/>
    <n v="14236.79"/>
    <n v="14539.57"/>
    <n v="5104.84"/>
    <n v="13594.92"/>
    <n v="159666.84"/>
    <n v="-8490.08"/>
  </r>
  <r>
    <x v="5"/>
    <x v="1"/>
    <x v="0"/>
    <s v="2328200"/>
    <n v="700030"/>
    <s v="Salaries-LPN-OT"/>
    <s v="PC-Bonney Lake-Fam Med"/>
    <x v="0"/>
    <n v="1000"/>
    <n v="293.14"/>
    <n v="147.76"/>
    <n v="510.26"/>
    <n v="3812.66"/>
    <n v="4528.96"/>
    <n v="1961.98"/>
    <n v="3522.85"/>
    <n v="193.56"/>
    <n v="3440.48"/>
    <n v="1390.63"/>
    <n v="3881.19"/>
    <n v="5138.72"/>
    <n v="28822.19"/>
    <n v="-1257.5300000000002"/>
  </r>
  <r>
    <x v="5"/>
    <x v="1"/>
    <x v="0"/>
    <s v="2328200"/>
    <n v="700030"/>
    <s v="Salaries-LPN-Other"/>
    <s v="PC-Bonney Lake-Fam Med"/>
    <x v="0"/>
    <n v="2000"/>
    <n v="437.63"/>
    <n v="112.5"/>
    <n v="509.51"/>
    <n v="116.57"/>
    <n v="174.45"/>
    <n v="114.68"/>
    <n v="459.54"/>
    <n v="87.63"/>
    <n v="98.7"/>
    <n v="96.79"/>
    <n v="117.94"/>
    <n v="326.31"/>
    <n v="2652.2499999999995"/>
    <n v="-208.37"/>
  </r>
  <r>
    <x v="5"/>
    <x v="1"/>
    <x v="0"/>
    <s v="2328200"/>
    <n v="700032"/>
    <s v="Salaries-Other Pat Care Providers-Productive"/>
    <s v="PC-Bonney Lake-Fam Med"/>
    <x v="0"/>
    <m/>
    <n v="0"/>
    <n v="0"/>
    <n v="0"/>
    <n v="0"/>
    <n v="0"/>
    <n v="0"/>
    <n v="0"/>
    <n v="0"/>
    <n v="0"/>
    <n v="0"/>
    <n v="0"/>
    <n v="713.07"/>
    <n v="713.07"/>
    <n v="-713.07"/>
  </r>
  <r>
    <x v="5"/>
    <x v="1"/>
    <x v="0"/>
    <s v="2328200"/>
    <n v="700032"/>
    <s v="Salaries-Other Pat Care Providers-Other"/>
    <s v="PC-Bonney Lake-Fam Med"/>
    <x v="0"/>
    <n v="2000"/>
    <n v="0"/>
    <n v="0"/>
    <n v="0"/>
    <n v="0"/>
    <n v="0"/>
    <n v="0"/>
    <n v="0"/>
    <n v="0"/>
    <n v="0"/>
    <n v="0"/>
    <n v="0"/>
    <n v="58.01"/>
    <n v="58.01"/>
    <n v="-58.01"/>
  </r>
  <r>
    <x v="5"/>
    <x v="1"/>
    <x v="0"/>
    <s v="2328200"/>
    <n v="700054"/>
    <s v="Salaries-Management-NonProd-Other"/>
    <s v="PC-Bonney Lake-Fam Med"/>
    <x v="0"/>
    <n v="2000"/>
    <n v="0"/>
    <n v="0"/>
    <n v="0"/>
    <n v="0"/>
    <n v="0"/>
    <n v="2094.79"/>
    <n v="-2094.79"/>
    <n v="0"/>
    <n v="0"/>
    <n v="0"/>
    <n v="0"/>
    <n v="0"/>
    <n v="0"/>
    <n v="0"/>
  </r>
  <r>
    <x v="5"/>
    <x v="1"/>
    <x v="0"/>
    <s v="2328200"/>
    <n v="700058"/>
    <s v="Salaries-Supervisory-Non-productive"/>
    <s v="PC-Bonney Lake-Fam Med"/>
    <x v="0"/>
    <m/>
    <n v="319.27999999999997"/>
    <n v="1915.68"/>
    <n v="798.2"/>
    <n v="2544.85"/>
    <n v="1590.15"/>
    <n v="-629.44000000000005"/>
    <n v="298.63"/>
    <n v="0"/>
    <n v="0"/>
    <n v="0"/>
    <n v="1990.56"/>
    <n v="-0.02"/>
    <n v="8827.89"/>
    <n v="1990.58"/>
  </r>
  <r>
    <x v="5"/>
    <x v="1"/>
    <x v="0"/>
    <s v="2328200"/>
    <n v="700062"/>
    <s v="Salaries-Physician-Non-productive"/>
    <s v="PC-Bonney Lake-Fam Med"/>
    <x v="0"/>
    <m/>
    <n v="4024.6"/>
    <n v="13510.26"/>
    <n v="8696.68"/>
    <n v="14280.85"/>
    <n v="9062.8700000000008"/>
    <n v="-5950.36"/>
    <n v="12284.88"/>
    <n v="10322.51"/>
    <n v="1443.4"/>
    <n v="26004.49"/>
    <n v="9547.94"/>
    <n v="7339.74"/>
    <n v="110567.86"/>
    <n v="2208.2000000000007"/>
  </r>
  <r>
    <x v="5"/>
    <x v="1"/>
    <x v="0"/>
    <s v="2328200"/>
    <n v="700062"/>
    <s v="Salaries-Physician-NonProd-Other"/>
    <s v="PC-Bonney Lake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8200"/>
    <n v="700064"/>
    <s v="Salaries-Advanced Practice Clinician-Non-Productive"/>
    <s v="PC-Bonney Lake-Fam Med"/>
    <x v="0"/>
    <m/>
    <n v="806.54"/>
    <n v="3495.21"/>
    <n v="2858.54"/>
    <n v="8198.5300000000007"/>
    <n v="-413.57"/>
    <n v="875.8"/>
    <n v="4093.29"/>
    <n v="4092.97"/>
    <n v="5046.58"/>
    <n v="-984.25"/>
    <n v="6811.75"/>
    <n v="9367.91"/>
    <n v="44249.3"/>
    <n v="-2556.16"/>
  </r>
  <r>
    <x v="5"/>
    <x v="1"/>
    <x v="0"/>
    <s v="2328200"/>
    <n v="700066"/>
    <s v="Salaries-RN-Non-productive"/>
    <s v="PC-Bonney Lake-Fam Med"/>
    <x v="0"/>
    <m/>
    <n v="1456.57"/>
    <n v="1973.78"/>
    <n v="999.28"/>
    <n v="1024.22"/>
    <n v="842.57"/>
    <n v="3297.98"/>
    <n v="1939.83"/>
    <n v="1682.57"/>
    <n v="2373.0100000000002"/>
    <n v="3058.55"/>
    <n v="-498.54"/>
    <n v="746.77"/>
    <n v="18896.59"/>
    <n v="-1245.31"/>
  </r>
  <r>
    <x v="5"/>
    <x v="1"/>
    <x v="0"/>
    <s v="2328200"/>
    <n v="700066"/>
    <s v="Salaries-RN-NonProd-Other"/>
    <s v="PC-Bonney Lake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8200"/>
    <n v="700070"/>
    <s v="Salaries-LPN-Non-productive"/>
    <s v="PC-Bonney Lake-Fam Med"/>
    <x v="0"/>
    <m/>
    <n v="1882.79"/>
    <n v="2076.9"/>
    <n v="1184"/>
    <n v="1046.04"/>
    <n v="990.22"/>
    <n v="2864.38"/>
    <n v="6340.87"/>
    <n v="3504.58"/>
    <n v="2186.08"/>
    <n v="-21.25"/>
    <n v="-65.28"/>
    <n v="1058.79"/>
    <n v="23048.120000000003"/>
    <n v="-1124.07"/>
  </r>
  <r>
    <x v="5"/>
    <x v="1"/>
    <x v="0"/>
    <s v="2328200"/>
    <n v="700070"/>
    <s v="Salaries-LPN-NonProd-Other"/>
    <s v="PC-Bonney Lake-Fam Med"/>
    <x v="0"/>
    <n v="2000"/>
    <n v="0"/>
    <n v="0"/>
    <n v="0"/>
    <n v="0"/>
    <n v="427.14"/>
    <n v="0"/>
    <n v="0"/>
    <n v="-427.14"/>
    <n v="0"/>
    <n v="0"/>
    <n v="0"/>
    <n v="0"/>
    <n v="0"/>
    <n v="0"/>
  </r>
  <r>
    <x v="5"/>
    <x v="1"/>
    <x v="0"/>
    <s v="2328200"/>
    <n v="700084"/>
    <s v="Accrued PTO"/>
    <s v="PC-Bonney Lake-Fam Med"/>
    <x v="0"/>
    <m/>
    <n v="1331.13"/>
    <n v="-1176.25"/>
    <n v="428.54"/>
    <n v="466.81"/>
    <n v="422.13"/>
    <n v="-579.05999999999995"/>
    <n v="616.80999999999995"/>
    <n v="1512.37"/>
    <n v="431.11"/>
    <n v="870.42"/>
    <n v="-3995.67"/>
    <n v="1029.8900000000001"/>
    <n v="1358.2300000000002"/>
    <n v="-5025.5600000000004"/>
  </r>
  <r>
    <x v="6"/>
    <x v="1"/>
    <x v="0"/>
    <s v="2328200"/>
    <n v="713010"/>
    <s v="Benefits-FICA/Medicare"/>
    <s v="PC-Bonney Lake-Fam Med"/>
    <x v="0"/>
    <m/>
    <n v="7927.55"/>
    <n v="9526.26"/>
    <n v="6583"/>
    <n v="7694.89"/>
    <n v="7973.12"/>
    <n v="8714.42"/>
    <n v="14067.89"/>
    <n v="13779.4"/>
    <n v="13792.07"/>
    <n v="13460.99"/>
    <n v="17080.060000000001"/>
    <n v="9583.57"/>
    <n v="130183.22"/>
    <n v="7496.4900000000016"/>
  </r>
  <r>
    <x v="6"/>
    <x v="1"/>
    <x v="0"/>
    <s v="2328200"/>
    <n v="713090"/>
    <s v="Benefits-Allocated Amounts"/>
    <s v="PC-Bonney Lake-Fam Med"/>
    <x v="0"/>
    <m/>
    <n v="0"/>
    <n v="0"/>
    <n v="0"/>
    <n v="0"/>
    <n v="0"/>
    <n v="0"/>
    <n v="0"/>
    <n v="0"/>
    <n v="94887.72"/>
    <n v="11815.81"/>
    <n v="11265.34"/>
    <n v="10976.24"/>
    <n v="128945.11"/>
    <n v="289.10000000000036"/>
  </r>
  <r>
    <x v="6"/>
    <x v="1"/>
    <x v="0"/>
    <s v="2328200"/>
    <n v="713092"/>
    <s v="Allocated Benefits-Physician"/>
    <s v="PC-Bonney Lake-Fam Med"/>
    <x v="0"/>
    <m/>
    <n v="12003.47"/>
    <n v="11929.83"/>
    <n v="11046.33"/>
    <n v="11382.86"/>
    <n v="11833.47"/>
    <n v="12131.92"/>
    <n v="14915.97"/>
    <n v="14540.9"/>
    <n v="-41691.56"/>
    <n v="7234.01"/>
    <n v="6897"/>
    <n v="6719.99"/>
    <n v="78944.190000000017"/>
    <n v="177.01000000000022"/>
  </r>
  <r>
    <x v="6"/>
    <x v="1"/>
    <x v="0"/>
    <s v="2328200"/>
    <n v="713093"/>
    <s v="Allocated Benefits-Advanced Practice Clinician"/>
    <s v="PC-Bonney Lake-Fam Med"/>
    <x v="0"/>
    <m/>
    <n v="7843.01"/>
    <n v="7794.91"/>
    <n v="7217.62"/>
    <n v="7437.51"/>
    <n v="7731.94"/>
    <n v="7926.94"/>
    <n v="9746.0300000000007"/>
    <n v="9500.9599999999991"/>
    <n v="-27068.78"/>
    <n v="4748.13"/>
    <n v="4526.92"/>
    <n v="4410.74"/>
    <n v="51815.93"/>
    <n v="116.18000000000029"/>
  </r>
  <r>
    <x v="7"/>
    <x v="1"/>
    <x v="0"/>
    <s v="2328200"/>
    <n v="718040"/>
    <s v="Contract Svcs-Laboratory"/>
    <s v="PC-Bonney Lake-Fam Med"/>
    <x v="0"/>
    <m/>
    <n v="0"/>
    <n v="0"/>
    <n v="0"/>
    <n v="0"/>
    <n v="0"/>
    <n v="0"/>
    <n v="51.2"/>
    <n v="0"/>
    <n v="0"/>
    <n v="0"/>
    <n v="0"/>
    <n v="0"/>
    <n v="51.2"/>
    <n v="0"/>
  </r>
  <r>
    <x v="7"/>
    <x v="1"/>
    <x v="0"/>
    <s v="2328200"/>
    <n v="718050"/>
    <s v="Contract Svcs-Other"/>
    <s v="PC-Bonney Lake-Fam Med"/>
    <x v="0"/>
    <m/>
    <n v="0"/>
    <n v="0"/>
    <n v="0"/>
    <n v="0"/>
    <n v="28.5"/>
    <n v="0"/>
    <n v="0"/>
    <n v="0"/>
    <n v="0"/>
    <n v="0"/>
    <n v="0"/>
    <n v="0"/>
    <n v="28.5"/>
    <n v="0"/>
  </r>
  <r>
    <x v="7"/>
    <x v="1"/>
    <x v="0"/>
    <s v="2328200"/>
    <n v="718050"/>
    <s v="Contract Management--Linen"/>
    <s v="PC-Bonney Lake-Fam Med"/>
    <x v="0"/>
    <n v="1026"/>
    <n v="283.41000000000003"/>
    <n v="594.02"/>
    <n v="237"/>
    <n v="240.21"/>
    <n v="437.54"/>
    <n v="240.56"/>
    <n v="517.53"/>
    <n v="118.5"/>
    <n v="555.51"/>
    <n v="237"/>
    <n v="118.5"/>
    <n v="327.49"/>
    <n v="3907.2699999999995"/>
    <n v="-208.99"/>
  </r>
  <r>
    <x v="11"/>
    <x v="1"/>
    <x v="0"/>
    <s v="2328200"/>
    <n v="721410"/>
    <s v="Supplies-Medical - Nonbillable"/>
    <s v="PC-Bonney Lake-Fam Med"/>
    <x v="0"/>
    <m/>
    <n v="3601.79"/>
    <n v="5639.35"/>
    <n v="4496.74"/>
    <n v="5471.08"/>
    <n v="5105.6000000000004"/>
    <n v="5911.53"/>
    <n v="3472.62"/>
    <n v="4968.88"/>
    <n v="8606.91"/>
    <n v="5770.77"/>
    <n v="1590.71"/>
    <n v="12261.27"/>
    <n v="66897.25"/>
    <n v="-10670.560000000001"/>
  </r>
  <r>
    <x v="11"/>
    <x v="1"/>
    <x v="0"/>
    <s v="2328200"/>
    <n v="721835"/>
    <s v="Supplies-Forms"/>
    <s v="PC-Bonney Lake-Fam Med"/>
    <x v="0"/>
    <m/>
    <n v="0"/>
    <n v="0"/>
    <n v="0"/>
    <n v="0"/>
    <n v="3.36"/>
    <n v="0"/>
    <n v="0"/>
    <n v="0"/>
    <n v="3.3"/>
    <n v="0"/>
    <n v="0"/>
    <n v="0"/>
    <n v="6.66"/>
    <n v="0"/>
  </r>
  <r>
    <x v="11"/>
    <x v="1"/>
    <x v="0"/>
    <s v="2328200"/>
    <n v="722000"/>
    <s v="Supplies-Freight Expense"/>
    <s v="PC-Bonney Lake-Fam Med"/>
    <x v="0"/>
    <m/>
    <n v="0"/>
    <n v="0"/>
    <n v="0"/>
    <n v="12.44"/>
    <n v="0"/>
    <n v="0"/>
    <n v="0"/>
    <n v="0"/>
    <n v="13.34"/>
    <n v="0"/>
    <n v="0"/>
    <n v="32.799999999999997"/>
    <n v="58.58"/>
    <n v="-32.799999999999997"/>
  </r>
  <r>
    <x v="12"/>
    <x v="1"/>
    <x v="0"/>
    <s v="2328200"/>
    <n v="730020"/>
    <s v="Rental and Leases-Copier Usage Fees (DO NOT USE)"/>
    <s v="PC-Bonney Lake-Fam Med"/>
    <x v="0"/>
    <n v="5100"/>
    <n v="0"/>
    <n v="0"/>
    <n v="0"/>
    <n v="0"/>
    <n v="0"/>
    <n v="0"/>
    <n v="0"/>
    <n v="0"/>
    <n v="0"/>
    <n v="0"/>
    <n v="11.2"/>
    <n v="11.19"/>
    <n v="22.39"/>
    <n v="9.9999999999997868E-3"/>
  </r>
  <r>
    <x v="16"/>
    <x v="1"/>
    <x v="0"/>
    <s v="2328200"/>
    <n v="732030"/>
    <s v="Repairs---Other"/>
    <s v="PC-Bonney Lake-Fam Med"/>
    <x v="0"/>
    <m/>
    <n v="0"/>
    <n v="0"/>
    <n v="113.2"/>
    <n v="0"/>
    <n v="0"/>
    <n v="58.52"/>
    <n v="18.760000000000002"/>
    <n v="0"/>
    <n v="0"/>
    <n v="0"/>
    <n v="0"/>
    <n v="15.22"/>
    <n v="205.7"/>
    <n v="-15.22"/>
  </r>
  <r>
    <x v="0"/>
    <x v="1"/>
    <x v="0"/>
    <s v="2328200"/>
    <n v="740020"/>
    <s v="Education-Registration Fees"/>
    <s v="PC-Bonney Lake-Fam Med"/>
    <x v="0"/>
    <m/>
    <n v="0"/>
    <n v="0"/>
    <n v="0"/>
    <n v="0"/>
    <n v="0"/>
    <n v="0"/>
    <n v="0"/>
    <n v="45"/>
    <n v="0"/>
    <n v="0"/>
    <n v="0"/>
    <n v="0"/>
    <n v="45"/>
    <n v="0"/>
  </r>
  <r>
    <x v="0"/>
    <x v="1"/>
    <x v="0"/>
    <s v="2328200"/>
    <n v="740022"/>
    <s v="Education-Physician"/>
    <s v="PC-Bonney Lake-Fam Med"/>
    <x v="0"/>
    <m/>
    <n v="0"/>
    <n v="0"/>
    <n v="0"/>
    <n v="0"/>
    <n v="299"/>
    <n v="1188"/>
    <n v="0"/>
    <n v="0"/>
    <n v="0"/>
    <n v="0"/>
    <n v="0"/>
    <n v="900"/>
    <n v="2387"/>
    <n v="-900"/>
  </r>
  <r>
    <x v="0"/>
    <x v="1"/>
    <x v="0"/>
    <s v="2328200"/>
    <n v="740023"/>
    <s v="Education-Advanced Practice Clinician"/>
    <s v="PC-Bonney Lake-Fam Med"/>
    <x v="0"/>
    <m/>
    <n v="0"/>
    <n v="350"/>
    <n v="0"/>
    <n v="0"/>
    <n v="0"/>
    <n v="995"/>
    <n v="0"/>
    <n v="0"/>
    <n v="0"/>
    <n v="0"/>
    <n v="0"/>
    <n v="0"/>
    <n v="1345"/>
    <n v="0"/>
  </r>
  <r>
    <x v="0"/>
    <x v="1"/>
    <x v="0"/>
    <s v="2328200"/>
    <n v="740023"/>
    <s v="Books-Advanced Practice Clinician"/>
    <s v="PC-Bonney Lake-Fam Med"/>
    <x v="0"/>
    <n v="2000"/>
    <n v="0"/>
    <n v="0"/>
    <n v="0"/>
    <n v="100"/>
    <n v="0"/>
    <n v="0"/>
    <n v="0"/>
    <n v="0"/>
    <n v="0"/>
    <n v="0"/>
    <n v="0"/>
    <n v="2407.91"/>
    <n v="2507.91"/>
    <n v="-2407.91"/>
  </r>
  <r>
    <x v="8"/>
    <x v="1"/>
    <x v="0"/>
    <s v="2328200"/>
    <n v="741012"/>
    <s v="Physician Liab Insurance-CHI Program"/>
    <s v="PC-Bonney Lake-Fam Med"/>
    <x v="0"/>
    <m/>
    <n v="2060.4499999999998"/>
    <n v="2060.4499999999998"/>
    <n v="2060.4499999999998"/>
    <n v="2060.4499999999998"/>
    <n v="2060.46"/>
    <n v="1586.78"/>
    <n v="1586.79"/>
    <n v="2546.0500000000002"/>
    <n v="6335.4"/>
    <n v="2546.0500000000002"/>
    <n v="2546.0700000000002"/>
    <n v="2546.0500000000002"/>
    <n v="29995.449999999997"/>
    <n v="1.999999999998181E-2"/>
  </r>
  <r>
    <x v="0"/>
    <x v="1"/>
    <x v="0"/>
    <s v="2328200"/>
    <n v="743022"/>
    <s v="Dues-Physician"/>
    <s v="PC-Bonney Lake-Fam Med"/>
    <x v="0"/>
    <m/>
    <n v="0"/>
    <n v="0"/>
    <n v="0"/>
    <n v="840"/>
    <n v="885"/>
    <n v="0"/>
    <n v="2100"/>
    <n v="1465"/>
    <n v="0"/>
    <n v="0"/>
    <n v="0"/>
    <n v="0"/>
    <n v="5290"/>
    <n v="0"/>
  </r>
  <r>
    <x v="0"/>
    <x v="1"/>
    <x v="0"/>
    <s v="2328200"/>
    <n v="743023"/>
    <s v="Dues-Advanced Practice Clinician"/>
    <s v="PC-Bonney Lake-Fam Med"/>
    <x v="0"/>
    <m/>
    <n v="0"/>
    <n v="0"/>
    <n v="0"/>
    <n v="0"/>
    <n v="0"/>
    <n v="0"/>
    <n v="0"/>
    <n v="0"/>
    <n v="0"/>
    <n v="0"/>
    <n v="135"/>
    <n v="395.25"/>
    <n v="530.25"/>
    <n v="-260.25"/>
  </r>
  <r>
    <x v="0"/>
    <x v="1"/>
    <x v="0"/>
    <s v="2328200"/>
    <n v="743030"/>
    <s v="Subscriptions--Institutional"/>
    <s v="PC-Bonney Lake-Fam Med"/>
    <x v="0"/>
    <m/>
    <n v="0"/>
    <n v="0"/>
    <n v="0"/>
    <n v="0"/>
    <n v="0"/>
    <n v="0"/>
    <n v="0"/>
    <n v="0"/>
    <n v="0"/>
    <n v="0"/>
    <n v="26.6"/>
    <n v="0"/>
    <n v="26.6"/>
    <n v="26.6"/>
  </r>
  <r>
    <x v="0"/>
    <x v="1"/>
    <x v="0"/>
    <s v="2328200"/>
    <n v="743042"/>
    <s v="Subscriptions-Physician"/>
    <s v="PC-Bonney Lake-Fam Med"/>
    <x v="0"/>
    <m/>
    <n v="250"/>
    <n v="0"/>
    <n v="0"/>
    <n v="0"/>
    <n v="0"/>
    <n v="0"/>
    <n v="0"/>
    <n v="0"/>
    <n v="0"/>
    <n v="2615.0300000000002"/>
    <n v="0"/>
    <n v="0"/>
    <n v="2865.03"/>
    <n v="0"/>
  </r>
  <r>
    <x v="0"/>
    <x v="1"/>
    <x v="0"/>
    <s v="2328200"/>
    <n v="743043"/>
    <s v="Subscriptions-Advanced Practice Clinician"/>
    <s v="PC-Bonney Lake-Fam Med"/>
    <x v="0"/>
    <m/>
    <n v="0"/>
    <n v="0"/>
    <n v="0"/>
    <n v="0"/>
    <n v="0"/>
    <n v="0"/>
    <n v="0"/>
    <n v="0"/>
    <n v="0"/>
    <n v="0"/>
    <n v="0"/>
    <n v="2405.71"/>
    <n v="2405.71"/>
    <n v="-2405.71"/>
  </r>
  <r>
    <x v="0"/>
    <x v="1"/>
    <x v="0"/>
    <s v="2328200"/>
    <n v="749510"/>
    <s v="Miscellaneous Expenses"/>
    <s v="PC-Bonney Lake-Fam Med"/>
    <x v="0"/>
    <m/>
    <n v="350"/>
    <n v="-522.08000000000004"/>
    <n v="0"/>
    <n v="885"/>
    <n v="-765"/>
    <n v="2221.02"/>
    <n v="-1991"/>
    <n v="0"/>
    <n v="1303.32"/>
    <n v="-1303.32"/>
    <n v="0"/>
    <n v="1294.95"/>
    <n v="1472.89"/>
    <n v="-1294.95"/>
  </r>
  <r>
    <x v="0"/>
    <x v="1"/>
    <x v="0"/>
    <s v="2328200"/>
    <n v="749510"/>
    <s v="RICE Rewards"/>
    <s v="PC-Bonney Lake-Fam Med"/>
    <x v="0"/>
    <n v="5100"/>
    <n v="0"/>
    <n v="0"/>
    <n v="0"/>
    <n v="0"/>
    <n v="0"/>
    <n v="0"/>
    <n v="0"/>
    <n v="0"/>
    <n v="0"/>
    <n v="121.95"/>
    <n v="292.14999999999998"/>
    <n v="0"/>
    <n v="414.09999999999997"/>
    <n v="292.14999999999998"/>
  </r>
  <r>
    <x v="0"/>
    <x v="1"/>
    <x v="0"/>
    <s v="2328200"/>
    <n v="749512"/>
    <s v="Licenses-Physician"/>
    <s v="PC-Bonney Lake-Fam Med"/>
    <x v="0"/>
    <n v="2000"/>
    <n v="0"/>
    <n v="0"/>
    <n v="0"/>
    <n v="0"/>
    <n v="657"/>
    <n v="0"/>
    <n v="731"/>
    <n v="0"/>
    <n v="0"/>
    <n v="0"/>
    <n v="1388"/>
    <n v="0"/>
    <n v="2776"/>
    <n v="1388"/>
  </r>
  <r>
    <x v="0"/>
    <x v="1"/>
    <x v="0"/>
    <s v="2328200"/>
    <n v="749513"/>
    <s v="Licenses-Advanced Practice Clinician"/>
    <s v="PC-Bonney Lake-Fam Med"/>
    <x v="0"/>
    <n v="2000"/>
    <n v="0"/>
    <n v="0"/>
    <n v="0"/>
    <n v="0"/>
    <n v="0"/>
    <n v="120"/>
    <n v="0"/>
    <n v="0"/>
    <n v="0"/>
    <n v="120"/>
    <n v="0"/>
    <n v="395"/>
    <n v="635"/>
    <n v="-395"/>
  </r>
  <r>
    <x v="0"/>
    <x v="1"/>
    <x v="0"/>
    <s v="2328200"/>
    <n v="749530"/>
    <s v="Travel"/>
    <s v="PC-Bonney Lake-Fam Med"/>
    <x v="0"/>
    <m/>
    <n v="0"/>
    <n v="0"/>
    <n v="61.12"/>
    <n v="0"/>
    <n v="0"/>
    <n v="0"/>
    <n v="0"/>
    <n v="0"/>
    <n v="0"/>
    <n v="0"/>
    <n v="0"/>
    <n v="0"/>
    <n v="61.12"/>
    <n v="0"/>
  </r>
  <r>
    <x v="0"/>
    <x v="1"/>
    <x v="0"/>
    <s v="2328200"/>
    <n v="749530"/>
    <s v="Mileage"/>
    <s v="PC-Bonney Lake-Fam Med"/>
    <x v="0"/>
    <n v="1001"/>
    <n v="0"/>
    <n v="0"/>
    <n v="0"/>
    <n v="16.350000000000001"/>
    <n v="0"/>
    <n v="400.03"/>
    <n v="63.91"/>
    <n v="87"/>
    <n v="69.599999999999994"/>
    <n v="34.799999999999997"/>
    <n v="121.8"/>
    <n v="435"/>
    <n v="1228.4899999999998"/>
    <n v="-313.2"/>
  </r>
  <r>
    <x v="0"/>
    <x v="1"/>
    <x v="0"/>
    <s v="2328200"/>
    <n v="749532"/>
    <s v="Travel-Physician"/>
    <s v="PC-Bonney Lake-Fam Med"/>
    <x v="0"/>
    <m/>
    <n v="0"/>
    <n v="0"/>
    <n v="0"/>
    <n v="0"/>
    <n v="0"/>
    <n v="0"/>
    <n v="0"/>
    <n v="0"/>
    <n v="0"/>
    <n v="0"/>
    <n v="0"/>
    <n v="1095.55"/>
    <n v="1095.55"/>
    <n v="-1095.55"/>
  </r>
  <r>
    <x v="0"/>
    <x v="1"/>
    <x v="0"/>
    <s v="2328200"/>
    <n v="749533"/>
    <s v="Travel-Advanced Practice Clinician"/>
    <s v="PC-Bonney Lake-Fam Med"/>
    <x v="0"/>
    <m/>
    <n v="0"/>
    <n v="0"/>
    <n v="0"/>
    <n v="0"/>
    <n v="0"/>
    <n v="398.33"/>
    <n v="0"/>
    <n v="0"/>
    <n v="2363.89"/>
    <n v="0"/>
    <n v="0"/>
    <n v="0"/>
    <n v="2762.22"/>
    <n v="0"/>
  </r>
  <r>
    <x v="9"/>
    <x v="1"/>
    <x v="0"/>
    <s v="2328200"/>
    <n v="800015"/>
    <s v="Interest Income-Ext to CHI"/>
    <s v="PC-Bonney Lake-Fam Med"/>
    <x v="0"/>
    <m/>
    <n v="0"/>
    <n v="0"/>
    <n v="0"/>
    <n v="0"/>
    <n v="0"/>
    <n v="0"/>
    <n v="0"/>
    <n v="-46.3"/>
    <n v="-120.05"/>
    <n v="-123.53"/>
    <n v="-121.9"/>
    <n v="-112.41"/>
    <n v="-524.18999999999994"/>
    <n v="-9.4900000000000091"/>
  </r>
  <r>
    <x v="1"/>
    <x v="1"/>
    <x v="0"/>
    <s v="2329200"/>
    <n v="400029"/>
    <s v="MD Practice Other Rev--Medicare"/>
    <s v="Bonney Lake-Fam Med"/>
    <x v="0"/>
    <n v="1100"/>
    <n v="-257"/>
    <n v="-232"/>
    <n v="-299"/>
    <n v="-231"/>
    <n v="-222"/>
    <n v="-446"/>
    <n v="-341"/>
    <n v="-1017"/>
    <n v="-497"/>
    <n v="-425"/>
    <n v="-220"/>
    <n v="-350"/>
    <n v="-4537"/>
    <n v="130"/>
  </r>
  <r>
    <x v="1"/>
    <x v="1"/>
    <x v="0"/>
    <s v="2329200"/>
    <n v="400029"/>
    <s v="MD Practice Other Rev--Medicaid"/>
    <s v="Bonney Lake-Fam Med"/>
    <x v="0"/>
    <n v="1200"/>
    <n v="-175"/>
    <n v="-120"/>
    <n v="-295"/>
    <n v="-373"/>
    <n v="-252"/>
    <n v="-137"/>
    <n v="-279"/>
    <n v="-412"/>
    <n v="-701"/>
    <n v="-677"/>
    <n v="-408"/>
    <n v="-242"/>
    <n v="-4071"/>
    <n v="-166"/>
  </r>
  <r>
    <x v="1"/>
    <x v="1"/>
    <x v="0"/>
    <s v="2329200"/>
    <n v="400029"/>
    <s v="MD Practice Other Rev--Comm Insurance"/>
    <s v="Bonney Lake-Fam Med"/>
    <x v="0"/>
    <n v="1300"/>
    <n v="0"/>
    <n v="-30"/>
    <n v="0"/>
    <n v="-26"/>
    <n v="-20"/>
    <n v="-54"/>
    <n v="-68"/>
    <n v="-193"/>
    <n v="-75"/>
    <n v="-151"/>
    <n v="-88"/>
    <n v="-211"/>
    <n v="-916"/>
    <n v="123"/>
  </r>
  <r>
    <x v="1"/>
    <x v="1"/>
    <x v="0"/>
    <s v="2329200"/>
    <n v="400029"/>
    <s v="MD Practice Other Rev--BCBS Comm"/>
    <s v="Bonney Lake-Fam Med"/>
    <x v="0"/>
    <n v="1301"/>
    <n v="-194"/>
    <n v="-66"/>
    <n v="-79"/>
    <n v="-90"/>
    <n v="-113"/>
    <n v="-151"/>
    <n v="-229"/>
    <n v="-266"/>
    <n v="-461"/>
    <n v="-445"/>
    <n v="-246"/>
    <n v="-72"/>
    <n v="-2412"/>
    <n v="-174"/>
  </r>
  <r>
    <x v="1"/>
    <x v="1"/>
    <x v="0"/>
    <s v="2329200"/>
    <n v="400029"/>
    <s v="MD Practice Other Rev--Managed Care"/>
    <s v="Bonney Lake-Fam Med"/>
    <x v="0"/>
    <n v="1400"/>
    <n v="-47"/>
    <n v="-469"/>
    <n v="-401"/>
    <n v="-539"/>
    <n v="-359"/>
    <n v="-548"/>
    <n v="-268"/>
    <n v="-1197"/>
    <n v="-1118"/>
    <n v="-852"/>
    <n v="-1011"/>
    <n v="-247"/>
    <n v="-7056"/>
    <n v="-764"/>
  </r>
  <r>
    <x v="1"/>
    <x v="1"/>
    <x v="0"/>
    <s v="2329200"/>
    <n v="400029"/>
    <s v="MD Practice Other Rev--Self Pay"/>
    <s v="Bonney Lake-Fam Med"/>
    <x v="0"/>
    <n v="1500"/>
    <n v="0"/>
    <n v="-180"/>
    <n v="135"/>
    <n v="-45"/>
    <n v="0"/>
    <n v="-10"/>
    <n v="-90"/>
    <n v="0"/>
    <n v="-34"/>
    <n v="-20"/>
    <n v="-10"/>
    <n v="-55"/>
    <n v="-309"/>
    <n v="45"/>
  </r>
  <r>
    <x v="1"/>
    <x v="1"/>
    <x v="0"/>
    <s v="2329200"/>
    <n v="400029"/>
    <s v="MD Practice Other Rev--Other"/>
    <s v="Bonney Lake-Fam Med"/>
    <x v="0"/>
    <n v="1700"/>
    <n v="-10"/>
    <n v="0"/>
    <n v="-24"/>
    <n v="0"/>
    <n v="0"/>
    <n v="-34"/>
    <n v="0"/>
    <n v="0"/>
    <n v="-155"/>
    <n v="-124"/>
    <n v="45"/>
    <n v="0"/>
    <n v="-302"/>
    <n v="45"/>
  </r>
  <r>
    <x v="1"/>
    <x v="1"/>
    <x v="0"/>
    <s v="2329200"/>
    <n v="400040"/>
    <s v="Physician Svcs Rev--Medicare"/>
    <s v="Bonney Lake-Fam Med"/>
    <x v="0"/>
    <n v="1100"/>
    <n v="-71647"/>
    <n v="-74241.399999999994"/>
    <n v="-75496.800000000003"/>
    <n v="-76651"/>
    <n v="-61620.4"/>
    <n v="-64509"/>
    <n v="-68173.8"/>
    <n v="-85259"/>
    <n v="-100109"/>
    <n v="-101491"/>
    <n v="-105315.5"/>
    <n v="-111551"/>
    <n v="-996064.9"/>
    <n v="6235.5"/>
  </r>
  <r>
    <x v="1"/>
    <x v="1"/>
    <x v="0"/>
    <s v="2329200"/>
    <n v="400040"/>
    <s v="Physician Svcs Rev--Medicaid"/>
    <s v="Bonney Lake-Fam Med"/>
    <x v="0"/>
    <n v="1200"/>
    <n v="-62498.76"/>
    <n v="-70961.279999999999"/>
    <n v="-61115.21"/>
    <n v="-67873"/>
    <n v="-39848.199999999997"/>
    <n v="-57100.73"/>
    <n v="-56110.52"/>
    <n v="-78238.679999999993"/>
    <n v="-87402.66"/>
    <n v="-100511.87"/>
    <n v="-107146.72"/>
    <n v="-80372.2"/>
    <n v="-869179.83"/>
    <n v="-26774.520000000004"/>
  </r>
  <r>
    <x v="1"/>
    <x v="1"/>
    <x v="0"/>
    <s v="2329200"/>
    <n v="400040"/>
    <s v="Physician Svcs Rev--Comm Insurance"/>
    <s v="Bonney Lake-Fam Med"/>
    <x v="0"/>
    <n v="1300"/>
    <n v="-8740.98"/>
    <n v="-21286.73"/>
    <n v="-15046"/>
    <n v="-15631.58"/>
    <n v="-14704"/>
    <n v="-13054"/>
    <n v="-20457"/>
    <n v="-24166.87"/>
    <n v="-35628"/>
    <n v="-30651.91"/>
    <n v="-27161"/>
    <n v="-30281"/>
    <n v="-256809.07"/>
    <n v="3120"/>
  </r>
  <r>
    <x v="1"/>
    <x v="1"/>
    <x v="0"/>
    <s v="2329200"/>
    <n v="400040"/>
    <s v="Physician Svcs Rev--BCBS Comm"/>
    <s v="Bonney Lake-Fam Med"/>
    <x v="0"/>
    <n v="1301"/>
    <n v="-34365.82"/>
    <n v="-29983.4"/>
    <n v="-35622.230000000003"/>
    <n v="-52052.43"/>
    <n v="-37846"/>
    <n v="-41921.129999999997"/>
    <n v="-47123.76"/>
    <n v="-53834.64"/>
    <n v="-69741.039999999994"/>
    <n v="-64777"/>
    <n v="-66749.03"/>
    <n v="-54002.41"/>
    <n v="-588018.89"/>
    <n v="-12746.619999999995"/>
  </r>
  <r>
    <x v="1"/>
    <x v="1"/>
    <x v="0"/>
    <s v="2329200"/>
    <n v="400040"/>
    <s v="Physician Svcs Rev--Managed Care"/>
    <s v="Bonney Lake-Fam Med"/>
    <x v="0"/>
    <n v="1400"/>
    <n v="-138748.43"/>
    <n v="-100628.24"/>
    <n v="-110048.13"/>
    <n v="-131279.67000000001"/>
    <n v="-102336.19"/>
    <n v="-105585.17"/>
    <n v="-114784.73"/>
    <n v="-150973.60999999999"/>
    <n v="-193073.34"/>
    <n v="-162985.1"/>
    <n v="-191733.64"/>
    <n v="-132191.29999999999"/>
    <n v="-1634367.55"/>
    <n v="-59542.340000000026"/>
  </r>
  <r>
    <x v="1"/>
    <x v="1"/>
    <x v="0"/>
    <s v="2329200"/>
    <n v="400040"/>
    <s v="Physician Svcs Rev--Self Pay"/>
    <s v="Bonney Lake-Fam Med"/>
    <x v="0"/>
    <n v="1500"/>
    <n v="-742"/>
    <n v="-18261"/>
    <n v="9339"/>
    <n v="-3673"/>
    <n v="-3045"/>
    <n v="-3356"/>
    <n v="-3728"/>
    <n v="-4534"/>
    <n v="-6416"/>
    <n v="-5129"/>
    <n v="-4351"/>
    <n v="-7548.13"/>
    <n v="-51444.13"/>
    <n v="3197.13"/>
  </r>
  <r>
    <x v="1"/>
    <x v="1"/>
    <x v="0"/>
    <s v="2329200"/>
    <n v="400040"/>
    <s v="Physician Svcs Rev--Other"/>
    <s v="Bonney Lake-Fam Med"/>
    <x v="0"/>
    <n v="1700"/>
    <n v="-5477"/>
    <n v="-11737.56"/>
    <n v="-5473.52"/>
    <n v="-6671.13"/>
    <n v="-4047"/>
    <n v="-3552.52"/>
    <n v="-4437"/>
    <n v="-6875.43"/>
    <n v="-12277.95"/>
    <n v="-11243.69"/>
    <n v="-9481"/>
    <n v="-11585"/>
    <n v="-92858.8"/>
    <n v="2104"/>
  </r>
  <r>
    <x v="2"/>
    <x v="1"/>
    <x v="0"/>
    <s v="2329200"/>
    <n v="450029"/>
    <s v="Contr Allow--MD Other-Medicare"/>
    <s v="Bonney Lake-Fam Med"/>
    <x v="0"/>
    <n v="1100"/>
    <n v="167.51"/>
    <n v="133.9"/>
    <n v="169.76"/>
    <n v="128.01"/>
    <n v="183.89"/>
    <n v="232.41"/>
    <n v="242.99"/>
    <n v="215.86"/>
    <n v="601.5"/>
    <n v="476.42"/>
    <n v="199.75"/>
    <n v="204.17"/>
    <n v="2956.17"/>
    <n v="-4.4199999999999875"/>
  </r>
  <r>
    <x v="2"/>
    <x v="1"/>
    <x v="0"/>
    <s v="2329200"/>
    <n v="450029"/>
    <s v="Contr Allow--MD Other-Medicaid"/>
    <s v="Bonney Lake-Fam Med"/>
    <x v="0"/>
    <n v="1200"/>
    <n v="159.72"/>
    <n v="218"/>
    <n v="136.66999999999999"/>
    <n v="285.83"/>
    <n v="238.81"/>
    <n v="61.67"/>
    <n v="205.9"/>
    <n v="232.5"/>
    <n v="373.63"/>
    <n v="540.1"/>
    <n v="214.64"/>
    <n v="232.02"/>
    <n v="2899.49"/>
    <n v="-17.380000000000024"/>
  </r>
  <r>
    <x v="2"/>
    <x v="1"/>
    <x v="0"/>
    <s v="2329200"/>
    <n v="450029"/>
    <s v="Contr Allow--MD Other-Comm Insurance"/>
    <s v="Bonney Lake-Fam Med"/>
    <x v="0"/>
    <n v="1300"/>
    <n v="0"/>
    <n v="10.47"/>
    <n v="6.22"/>
    <n v="0"/>
    <n v="14.9"/>
    <n v="34.020000000000003"/>
    <n v="24.8"/>
    <n v="96.52"/>
    <n v="13.06"/>
    <n v="40.76"/>
    <n v="15.38"/>
    <n v="160.08000000000001"/>
    <n v="416.21000000000004"/>
    <n v="-144.70000000000002"/>
  </r>
  <r>
    <x v="2"/>
    <x v="1"/>
    <x v="0"/>
    <s v="2329200"/>
    <n v="450029"/>
    <s v="Contr Allow--MD Other BCBS Comm"/>
    <s v="Bonney Lake-Fam Med"/>
    <x v="0"/>
    <n v="1301"/>
    <n v="82.35"/>
    <n v="41.45"/>
    <n v="81.040000000000006"/>
    <n v="34.61"/>
    <n v="76.66"/>
    <n v="31.83"/>
    <n v="113.16"/>
    <n v="204.15"/>
    <n v="281.29000000000002"/>
    <n v="240.99"/>
    <n v="140.22"/>
    <n v="184.15"/>
    <n v="1511.9"/>
    <n v="-43.930000000000007"/>
  </r>
  <r>
    <x v="2"/>
    <x v="1"/>
    <x v="0"/>
    <s v="2329200"/>
    <n v="450029"/>
    <s v="Contr Allow--MD Other-Managed Care"/>
    <s v="Bonney Lake-Fam Med"/>
    <x v="0"/>
    <n v="1400"/>
    <n v="290.79000000000002"/>
    <n v="190.13"/>
    <n v="256.7"/>
    <n v="335.01"/>
    <n v="334.08"/>
    <n v="193.16"/>
    <n v="265.64"/>
    <n v="198.24"/>
    <n v="973.2"/>
    <n v="679.3"/>
    <n v="673.05"/>
    <n v="300.07"/>
    <n v="4689.37"/>
    <n v="372.97999999999996"/>
  </r>
  <r>
    <x v="2"/>
    <x v="1"/>
    <x v="0"/>
    <s v="2329200"/>
    <n v="450029"/>
    <s v="Admin Adjust-MD Other-Self Pay"/>
    <s v="Bonney Lake-Fam Med"/>
    <x v="0"/>
    <n v="1600"/>
    <n v="19.96"/>
    <n v="86.66"/>
    <n v="-43.69"/>
    <n v="16"/>
    <n v="0.65"/>
    <n v="86.95"/>
    <n v="-47.34"/>
    <n v="10.69"/>
    <n v="17.23"/>
    <n v="11.45"/>
    <n v="-44.89"/>
    <n v="28.79"/>
    <n v="142.46"/>
    <n v="-73.680000000000007"/>
  </r>
  <r>
    <x v="2"/>
    <x v="1"/>
    <x v="0"/>
    <s v="2329200"/>
    <n v="450029"/>
    <s v="Contr Allow--MD Other-Other"/>
    <s v="Bonney Lake-Fam Med"/>
    <x v="0"/>
    <n v="1700"/>
    <n v="0"/>
    <n v="7.17"/>
    <n v="0"/>
    <n v="17"/>
    <n v="0"/>
    <n v="24.17"/>
    <n v="0"/>
    <n v="0"/>
    <n v="77.42"/>
    <n v="38.99"/>
    <n v="0"/>
    <n v="31.55"/>
    <n v="196.3"/>
    <n v="-31.55"/>
  </r>
  <r>
    <x v="2"/>
    <x v="1"/>
    <x v="0"/>
    <s v="2329200"/>
    <n v="450040"/>
    <s v="Contr Allow--Phys Svcs--Mcare"/>
    <s v="Bonney Lake-Fam Med"/>
    <x v="0"/>
    <n v="1100"/>
    <n v="47312.82"/>
    <n v="36692.42"/>
    <n v="48970.19"/>
    <n v="60347.75"/>
    <n v="41776.120000000003"/>
    <n v="34590.43"/>
    <n v="41037.629999999997"/>
    <n v="39784.21"/>
    <n v="55710.27"/>
    <n v="71951.38"/>
    <n v="73385.53"/>
    <n v="64323.28"/>
    <n v="615882.03"/>
    <n v="9062.25"/>
  </r>
  <r>
    <x v="2"/>
    <x v="1"/>
    <x v="0"/>
    <s v="2329200"/>
    <n v="450040"/>
    <s v="Contr Allow--Phys Svcs--Mcaid"/>
    <s v="Bonney Lake-Fam Med"/>
    <x v="0"/>
    <n v="1200"/>
    <n v="47643.18"/>
    <n v="55963.62"/>
    <n v="49611.77"/>
    <n v="50071.29"/>
    <n v="31606.33"/>
    <n v="34148.21"/>
    <n v="44026.7"/>
    <n v="41747.769999999997"/>
    <n v="61872.17"/>
    <n v="73447.17"/>
    <n v="75679.509999999995"/>
    <n v="65867.199999999997"/>
    <n v="631684.91999999993"/>
    <n v="9812.3099999999977"/>
  </r>
  <r>
    <x v="2"/>
    <x v="1"/>
    <x v="0"/>
    <s v="2329200"/>
    <n v="450040"/>
    <s v="Contr Allow--Phys Svcs--Comm Insurance"/>
    <s v="Bonney Lake-Fam Med"/>
    <x v="0"/>
    <n v="1300"/>
    <n v="16331.57"/>
    <n v="-1175.1600000000001"/>
    <n v="8084.91"/>
    <n v="7108.7"/>
    <n v="4415.2700000000004"/>
    <n v="5931.59"/>
    <n v="5476.31"/>
    <n v="6801.41"/>
    <n v="9714.4599999999991"/>
    <n v="9039.17"/>
    <n v="9464.4"/>
    <n v="19716.849999999999"/>
    <n v="100909.48000000001"/>
    <n v="-10252.449999999999"/>
  </r>
  <r>
    <x v="2"/>
    <x v="1"/>
    <x v="0"/>
    <s v="2329200"/>
    <n v="450040"/>
    <s v="Contr Allow--Phys Svcs--BCBS Comm Ins"/>
    <s v="Bonney Lake-Fam Med"/>
    <x v="0"/>
    <n v="1301"/>
    <n v="17676.650000000001"/>
    <n v="13616.64"/>
    <n v="7823.23"/>
    <n v="14171.91"/>
    <n v="14712.92"/>
    <n v="14242.21"/>
    <n v="14857.59"/>
    <n v="12687.7"/>
    <n v="24973.61"/>
    <n v="20333.259999999998"/>
    <n v="16832.84"/>
    <n v="25604.68"/>
    <n v="197533.24"/>
    <n v="-8771.84"/>
  </r>
  <r>
    <x v="2"/>
    <x v="1"/>
    <x v="0"/>
    <s v="2329200"/>
    <n v="450040"/>
    <s v="Contr Allow--Phys Svcs--Managed Care"/>
    <s v="Bonney Lake-Fam Med"/>
    <x v="0"/>
    <n v="1400"/>
    <n v="42771.43"/>
    <n v="46226.59"/>
    <n v="39091.83"/>
    <n v="43169.23"/>
    <n v="46003.98"/>
    <n v="34920.379999999997"/>
    <n v="34919.32"/>
    <n v="37116.879999999997"/>
    <n v="70484.02"/>
    <n v="63787.19"/>
    <n v="73398.3"/>
    <n v="52180.15"/>
    <n v="584069.30000000005"/>
    <n v="21218.15"/>
  </r>
  <r>
    <x v="2"/>
    <x v="1"/>
    <x v="0"/>
    <s v="2329200"/>
    <n v="450040"/>
    <s v="Contr Allow--Phys Svcs--BCBS Mgnd Care"/>
    <s v="Bonney Lake-Fam Med"/>
    <x v="0"/>
    <n v="1401"/>
    <n v="-6859.62"/>
    <n v="-284.17"/>
    <n v="2084.71"/>
    <n v="-1990.93"/>
    <n v="-15876.85"/>
    <n v="14853.36"/>
    <n v="22940.73"/>
    <n v="67181.710000000006"/>
    <n v="21710.2"/>
    <n v="-10326.15"/>
    <n v="7605.77"/>
    <n v="-27538.66"/>
    <n v="73500.100000000006"/>
    <n v="35144.43"/>
  </r>
  <r>
    <x v="2"/>
    <x v="1"/>
    <x v="0"/>
    <s v="2329200"/>
    <n v="450040"/>
    <s v="Admin Adjust-Phys Svcs-Self Pay"/>
    <s v="Bonney Lake-Fam Med"/>
    <x v="0"/>
    <n v="1600"/>
    <n v="426.04"/>
    <n v="9102.07"/>
    <n v="-3080.37"/>
    <n v="2471.21"/>
    <n v="1706.97"/>
    <n v="1583.17"/>
    <n v="1706.12"/>
    <n v="2470.54"/>
    <n v="3493.17"/>
    <n v="9886.7900000000009"/>
    <n v="3142.43"/>
    <n v="3248.35"/>
    <n v="36156.49"/>
    <n v="-105.92000000000007"/>
  </r>
  <r>
    <x v="2"/>
    <x v="1"/>
    <x v="0"/>
    <s v="2329200"/>
    <n v="450040"/>
    <s v="Contr Allow--Phys Svcs--Other"/>
    <s v="Bonney Lake-Fam Med"/>
    <x v="0"/>
    <n v="1700"/>
    <n v="4801.76"/>
    <n v="4312.8599999999997"/>
    <n v="5087.76"/>
    <n v="4507.43"/>
    <n v="2697.28"/>
    <n v="2766.06"/>
    <n v="2128.75"/>
    <n v="4337.75"/>
    <n v="4544.87"/>
    <n v="6211.5"/>
    <n v="4991.66"/>
    <n v="7747.42"/>
    <n v="54135.099999999991"/>
    <n v="-2755.76"/>
  </r>
  <r>
    <x v="3"/>
    <x v="1"/>
    <x v="0"/>
    <s v="2329200"/>
    <n v="470040"/>
    <s v="Charity Care-Physician Svcs"/>
    <s v="Bonney Lake-Fam Med"/>
    <x v="0"/>
    <m/>
    <n v="-69.17"/>
    <n v="2541.0300000000002"/>
    <n v="588.64"/>
    <n v="1134.3900000000001"/>
    <n v="-256.70999999999998"/>
    <n v="391.92"/>
    <n v="1174.04"/>
    <n v="1997.26"/>
    <n v="6551.86"/>
    <n v="2943.57"/>
    <n v="1023.79"/>
    <n v="3734.43"/>
    <n v="21755.050000000003"/>
    <n v="-2710.64"/>
  </r>
  <r>
    <x v="4"/>
    <x v="1"/>
    <x v="0"/>
    <s v="2329200"/>
    <n v="490010"/>
    <s v="Provision for Bad Debts"/>
    <s v="Bonney Lake-Fam Med"/>
    <x v="0"/>
    <m/>
    <n v="2309.9499999999998"/>
    <n v="4503.3599999999997"/>
    <n v="2191.06"/>
    <n v="6813.26"/>
    <n v="3143.37"/>
    <n v="1315.03"/>
    <n v="2339.14"/>
    <n v="10312.57"/>
    <n v="7149.41"/>
    <n v="1950.63"/>
    <n v="3421.25"/>
    <n v="818.63"/>
    <n v="46267.659999999989"/>
    <n v="2602.62"/>
  </r>
  <r>
    <x v="5"/>
    <x v="1"/>
    <x v="0"/>
    <s v="2329200"/>
    <n v="700018"/>
    <s v="Salaries-Supervisory-Productive"/>
    <s v="Bonney Lake-Fam Med"/>
    <x v="0"/>
    <m/>
    <n v="1787.96"/>
    <n v="1005.74"/>
    <n v="1277.1199999999999"/>
    <n v="1591.7"/>
    <n v="1457.64"/>
    <n v="2583.98"/>
    <n v="2289.33"/>
    <n v="1990.6"/>
    <n v="2090.14"/>
    <n v="2189.65"/>
    <n v="1293.9000000000001"/>
    <n v="1658.83"/>
    <n v="21216.590000000004"/>
    <n v="-364.92999999999984"/>
  </r>
  <r>
    <x v="5"/>
    <x v="1"/>
    <x v="0"/>
    <s v="2329200"/>
    <n v="700022"/>
    <s v="Salaries-Physician-Productive"/>
    <s v="Bonney Lake-Fam Med"/>
    <x v="0"/>
    <m/>
    <n v="25870.5"/>
    <n v="30262.799999999999"/>
    <n v="23400.240000000002"/>
    <n v="28606.98"/>
    <n v="26739.01"/>
    <n v="42238.16"/>
    <n v="48923.12"/>
    <n v="44308.05"/>
    <n v="42841.45"/>
    <n v="46944.59"/>
    <n v="43545.24"/>
    <n v="24276.16"/>
    <n v="427956.3"/>
    <n v="19269.079999999998"/>
  </r>
  <r>
    <x v="5"/>
    <x v="1"/>
    <x v="0"/>
    <s v="2329200"/>
    <n v="700022"/>
    <s v="Salaries-Physician-Other"/>
    <s v="Bonney Lake-Fam Med"/>
    <x v="0"/>
    <n v="2000"/>
    <n v="0"/>
    <n v="0"/>
    <n v="0"/>
    <n v="0"/>
    <n v="0"/>
    <n v="0"/>
    <n v="0"/>
    <n v="0"/>
    <n v="0"/>
    <n v="0"/>
    <n v="3505.13"/>
    <n v="0"/>
    <n v="3505.13"/>
    <n v="3505.13"/>
  </r>
  <r>
    <x v="5"/>
    <x v="1"/>
    <x v="0"/>
    <s v="2329200"/>
    <n v="700024"/>
    <s v="Salaries-Advanced Practice Clinician-Productive"/>
    <s v="Bonney Lake-Fam Med"/>
    <x v="0"/>
    <m/>
    <n v="35666.019999999997"/>
    <n v="47677.72"/>
    <n v="33979.980000000003"/>
    <n v="43204.38"/>
    <n v="30554.16"/>
    <n v="20873.68"/>
    <n v="17682.759999999998"/>
    <n v="39983.06"/>
    <n v="35717.199999999997"/>
    <n v="39542.43"/>
    <n v="40558.82"/>
    <n v="36855.71"/>
    <n v="422295.92000000004"/>
    <n v="3703.1100000000006"/>
  </r>
  <r>
    <x v="5"/>
    <x v="1"/>
    <x v="0"/>
    <s v="2329200"/>
    <n v="700030"/>
    <s v="Salaries-LPN-Productive"/>
    <s v="Bonney Lake-Fam Med"/>
    <x v="0"/>
    <m/>
    <n v="15451.97"/>
    <n v="16661.71"/>
    <n v="14376.7"/>
    <n v="17778.82"/>
    <n v="19960.240000000002"/>
    <n v="9052.89"/>
    <n v="21048.02"/>
    <n v="19730.05"/>
    <n v="21671.86"/>
    <n v="24395.57"/>
    <n v="28954.29"/>
    <n v="20663.09"/>
    <n v="229745.21000000002"/>
    <n v="8291.2000000000007"/>
  </r>
  <r>
    <x v="5"/>
    <x v="1"/>
    <x v="0"/>
    <s v="2329200"/>
    <n v="700030"/>
    <s v="Salaries-LPN-OT"/>
    <s v="Bonney Lake-Fam Med"/>
    <x v="0"/>
    <n v="1000"/>
    <n v="192.62"/>
    <n v="72.86"/>
    <n v="248.68"/>
    <n v="17.010000000000002"/>
    <n v="231.97"/>
    <n v="-3.35"/>
    <n v="323.39"/>
    <n v="136.87"/>
    <n v="568.84"/>
    <n v="91.78"/>
    <n v="688.81"/>
    <n v="45.52"/>
    <n v="2615.0000000000005"/>
    <n v="643.29"/>
  </r>
  <r>
    <x v="5"/>
    <x v="1"/>
    <x v="0"/>
    <s v="2329200"/>
    <n v="700030"/>
    <s v="Salaries-LPN-Other"/>
    <s v="Bonney Lake-Fam Med"/>
    <x v="0"/>
    <n v="2000"/>
    <n v="223.02"/>
    <n v="232.65"/>
    <n v="172.65"/>
    <n v="238.91"/>
    <n v="203.77"/>
    <n v="204.68"/>
    <n v="231.12"/>
    <n v="197.97"/>
    <n v="214.37"/>
    <n v="220.65"/>
    <n v="238.81"/>
    <n v="188.41"/>
    <n v="2567.0100000000002"/>
    <n v="50.400000000000006"/>
  </r>
  <r>
    <x v="5"/>
    <x v="1"/>
    <x v="0"/>
    <s v="2329200"/>
    <n v="700032"/>
    <s v="Salaries-Other Pat Care Providers-Productive"/>
    <s v="Bonney Lake-Fam Med"/>
    <x v="0"/>
    <m/>
    <n v="6985.45"/>
    <n v="7509.3"/>
    <n v="4936.49"/>
    <n v="8375.7199999999993"/>
    <n v="7086.32"/>
    <n v="5951.68"/>
    <n v="7476.41"/>
    <n v="8108.31"/>
    <n v="8192.81"/>
    <n v="8001.83"/>
    <n v="3771.82"/>
    <n v="4163.43"/>
    <n v="80559.570000000007"/>
    <n v="-391.61000000000013"/>
  </r>
  <r>
    <x v="5"/>
    <x v="1"/>
    <x v="0"/>
    <s v="2329200"/>
    <n v="700032"/>
    <s v="Salaries-Other Pat Care Providers-OT"/>
    <s v="Bonney Lake-Fam Med"/>
    <x v="0"/>
    <n v="1000"/>
    <n v="18.09"/>
    <n v="48.71"/>
    <n v="21.56"/>
    <n v="-1.69"/>
    <n v="27.96"/>
    <n v="-1.94"/>
    <n v="40.380000000000003"/>
    <n v="37.700000000000003"/>
    <n v="108.43"/>
    <n v="84.4"/>
    <n v="70.260000000000005"/>
    <n v="214.46"/>
    <n v="668.32"/>
    <n v="-144.19999999999999"/>
  </r>
  <r>
    <x v="5"/>
    <x v="1"/>
    <x v="0"/>
    <s v="2329200"/>
    <n v="700032"/>
    <s v="Salaries-Other Pat Care Providers-Other"/>
    <s v="Bonney Lake-Fam Med"/>
    <x v="0"/>
    <n v="2000"/>
    <n v="0"/>
    <n v="0"/>
    <n v="0"/>
    <n v="0"/>
    <n v="24.39"/>
    <n v="20.57"/>
    <n v="8.0500000000000007"/>
    <n v="22.5"/>
    <n v="20.86"/>
    <n v="19.23"/>
    <n v="1.98"/>
    <n v="4.5"/>
    <n v="122.08000000000001"/>
    <n v="-2.52"/>
  </r>
  <r>
    <x v="5"/>
    <x v="1"/>
    <x v="0"/>
    <s v="2329200"/>
    <n v="700062"/>
    <s v="Salaries-Physician-Non-productive"/>
    <s v="Bonney Lake-Fam Med"/>
    <x v="0"/>
    <m/>
    <n v="0"/>
    <n v="2950.8"/>
    <n v="1475.4"/>
    <n v="0"/>
    <n v="1475.4"/>
    <n v="8968.3700000000008"/>
    <n v="2060.75"/>
    <n v="1299.6400000000001"/>
    <n v="4823.25"/>
    <n v="2989.81"/>
    <n v="8470.92"/>
    <n v="20918.03"/>
    <n v="55432.37"/>
    <n v="-12447.109999999999"/>
  </r>
  <r>
    <x v="5"/>
    <x v="1"/>
    <x v="0"/>
    <s v="2329200"/>
    <n v="700064"/>
    <s v="Salaries-Advanced Practice Clinician-Non-Productive"/>
    <s v="Bonney Lake-Fam Med"/>
    <x v="0"/>
    <m/>
    <n v="5639.36"/>
    <n v="650.52"/>
    <n v="6677.62"/>
    <n v="3551.86"/>
    <n v="20239.84"/>
    <n v="26071.63"/>
    <n v="20998.38"/>
    <n v="896.93"/>
    <n v="5433.98"/>
    <n v="3555.53"/>
    <n v="6000.51"/>
    <n v="3855.99"/>
    <n v="103572.15"/>
    <n v="2144.5200000000004"/>
  </r>
  <r>
    <x v="5"/>
    <x v="1"/>
    <x v="0"/>
    <s v="2329200"/>
    <n v="700064"/>
    <s v="Salaries-Advanced Practice Clinician-Non-Prod-Other"/>
    <s v="Bonney Lake-Fam Med"/>
    <x v="0"/>
    <n v="2000"/>
    <n v="0"/>
    <n v="0"/>
    <n v="0"/>
    <n v="0"/>
    <n v="404.04"/>
    <n v="-1979.5"/>
    <n v="18.239999999999998"/>
    <n v="-404.04"/>
    <n v="0"/>
    <n v="0"/>
    <n v="0"/>
    <n v="0"/>
    <n v="-1961.26"/>
    <n v="0"/>
  </r>
  <r>
    <x v="5"/>
    <x v="1"/>
    <x v="0"/>
    <s v="2329200"/>
    <n v="700070"/>
    <s v="Salaries-LPN-Non-productive"/>
    <s v="Bonney Lake-Fam Med"/>
    <x v="0"/>
    <m/>
    <n v="3902.77"/>
    <n v="3566.61"/>
    <n v="914.68"/>
    <n v="3632.56"/>
    <n v="-493.21"/>
    <n v="9458.2800000000007"/>
    <n v="3444.66"/>
    <n v="1883.91"/>
    <n v="2741.13"/>
    <n v="3130.04"/>
    <n v="2980.69"/>
    <n v="7976.9"/>
    <n v="43139.020000000004"/>
    <n v="-4996.2099999999991"/>
  </r>
  <r>
    <x v="5"/>
    <x v="1"/>
    <x v="0"/>
    <s v="2329200"/>
    <n v="700070"/>
    <s v="Salaries-LPN-NonProd-Other"/>
    <s v="Bonney Lake-Fam Med"/>
    <x v="0"/>
    <n v="2000"/>
    <n v="0"/>
    <n v="0"/>
    <n v="0"/>
    <n v="0"/>
    <n v="1244.82"/>
    <n v="2489.64"/>
    <n v="0"/>
    <n v="-3734.46"/>
    <n v="0"/>
    <n v="0"/>
    <n v="0"/>
    <n v="0"/>
    <n v="0"/>
    <n v="0"/>
  </r>
  <r>
    <x v="5"/>
    <x v="1"/>
    <x v="0"/>
    <s v="2329200"/>
    <n v="700072"/>
    <s v="Salaries-Other Pat Care Providers-Non-productive"/>
    <s v="Bonney Lake-Fam Med"/>
    <x v="0"/>
    <m/>
    <n v="651.16999999999996"/>
    <n v="402.64"/>
    <n v="2029.87"/>
    <n v="-227.8"/>
    <n v="2336.4499999999998"/>
    <n v="2214.4899999999998"/>
    <n v="505.9"/>
    <n v="-118.36"/>
    <n v="718.29"/>
    <n v="1111.3499999999999"/>
    <n v="2641.9"/>
    <n v="-348.34"/>
    <n v="11917.56"/>
    <n v="2990.2400000000002"/>
  </r>
  <r>
    <x v="5"/>
    <x v="1"/>
    <x v="0"/>
    <s v="2329200"/>
    <n v="700072"/>
    <s v="Salaries-Other Pat Care Providers-NonProd-Other"/>
    <s v="Bonney Lake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29200"/>
    <n v="700084"/>
    <s v="Accrued PTO"/>
    <s v="Bonney Lake-Fam Med"/>
    <x v="0"/>
    <m/>
    <n v="438.02"/>
    <n v="-25.27"/>
    <n v="-572.70000000000005"/>
    <n v="837.64"/>
    <n v="1290.18"/>
    <n v="-3907.27"/>
    <n v="-214.86"/>
    <n v="1966.24"/>
    <n v="1556.19"/>
    <n v="741.77"/>
    <n v="-78.44"/>
    <n v="-1861.95"/>
    <n v="169.5499999999995"/>
    <n v="1783.51"/>
  </r>
  <r>
    <x v="6"/>
    <x v="1"/>
    <x v="0"/>
    <s v="2329200"/>
    <n v="713010"/>
    <s v="Benefits-FICA/Medicare"/>
    <s v="Bonney Lake-Fam Med"/>
    <x v="0"/>
    <m/>
    <n v="4610.17"/>
    <n v="5008.28"/>
    <n v="3096.24"/>
    <n v="3843.89"/>
    <n v="4525.5200000000004"/>
    <n v="6891.46"/>
    <n v="9302.76"/>
    <n v="8808.6299999999992"/>
    <n v="9319.2900000000009"/>
    <n v="9779.17"/>
    <n v="9223.16"/>
    <n v="6758.14"/>
    <n v="81166.709999999992"/>
    <n v="2465.0199999999995"/>
  </r>
  <r>
    <x v="6"/>
    <x v="1"/>
    <x v="0"/>
    <s v="2329200"/>
    <n v="713090"/>
    <s v="Benefits-Allocated Amounts"/>
    <s v="Bonney Lake-Fam Med"/>
    <x v="0"/>
    <m/>
    <n v="0"/>
    <n v="0"/>
    <n v="0"/>
    <n v="0"/>
    <n v="0"/>
    <n v="0"/>
    <n v="0"/>
    <n v="0"/>
    <n v="81416.759999999995"/>
    <n v="11042.06"/>
    <n v="11171.08"/>
    <n v="10993.64"/>
    <n v="114623.54"/>
    <n v="177.44000000000051"/>
  </r>
  <r>
    <x v="6"/>
    <x v="1"/>
    <x v="0"/>
    <s v="2329200"/>
    <n v="713092"/>
    <s v="Allocated Benefits-Physician"/>
    <s v="Bonney Lake-Fam Med"/>
    <x v="0"/>
    <m/>
    <n v="6250.49"/>
    <n v="5844.32"/>
    <n v="5727.71"/>
    <n v="6148.83"/>
    <n v="6590.6"/>
    <n v="7581.85"/>
    <n v="8305.74"/>
    <n v="8414.6200000000008"/>
    <n v="-39149.72"/>
    <n v="2131.25"/>
    <n v="2156.16"/>
    <n v="2121.91"/>
    <n v="22123.759999999995"/>
    <n v="34.25"/>
  </r>
  <r>
    <x v="6"/>
    <x v="1"/>
    <x v="0"/>
    <s v="2329200"/>
    <n v="713093"/>
    <s v="Allocated Benefits-Advanced Practice Clinician"/>
    <s v="Bonney Lake-Fam Med"/>
    <x v="0"/>
    <m/>
    <n v="6768"/>
    <n v="6328.2"/>
    <n v="6201.95"/>
    <n v="6657.92"/>
    <n v="7136.28"/>
    <n v="8209.6"/>
    <n v="8993.41"/>
    <n v="9111.31"/>
    <n v="-23922.45"/>
    <n v="4812.51"/>
    <n v="4868.74"/>
    <n v="4791.3999999999996"/>
    <n v="49956.87"/>
    <n v="77.340000000000146"/>
  </r>
  <r>
    <x v="7"/>
    <x v="1"/>
    <x v="0"/>
    <s v="2329200"/>
    <n v="718010"/>
    <s v="Media/Print Advertising"/>
    <s v="Bonney Lake-Fam Med"/>
    <x v="0"/>
    <n v="1004"/>
    <n v="0"/>
    <n v="0"/>
    <n v="84.37"/>
    <n v="0"/>
    <n v="266.68"/>
    <n v="0"/>
    <n v="0"/>
    <n v="0"/>
    <n v="0"/>
    <n v="0"/>
    <n v="335.55"/>
    <n v="0"/>
    <n v="686.6"/>
    <n v="335.55"/>
  </r>
  <r>
    <x v="7"/>
    <x v="1"/>
    <x v="0"/>
    <s v="2329200"/>
    <n v="718050"/>
    <s v="Management Fees"/>
    <s v="Bonney Lake-Fam Med"/>
    <x v="0"/>
    <n v="1004"/>
    <n v="0"/>
    <n v="0"/>
    <n v="0"/>
    <n v="0"/>
    <n v="0"/>
    <n v="0"/>
    <n v="99.65"/>
    <n v="0"/>
    <n v="0"/>
    <n v="0"/>
    <n v="0"/>
    <n v="0"/>
    <n v="99.65"/>
    <n v="0"/>
  </r>
  <r>
    <x v="7"/>
    <x v="1"/>
    <x v="0"/>
    <s v="2329200"/>
    <n v="718050"/>
    <s v="Document Shredding/Storage"/>
    <s v="Bonney Lake-Fam Med"/>
    <x v="0"/>
    <n v="1012"/>
    <n v="0"/>
    <n v="0"/>
    <n v="9.08"/>
    <n v="4.54"/>
    <n v="-9.08"/>
    <n v="0"/>
    <n v="0"/>
    <n v="0"/>
    <n v="0"/>
    <n v="0"/>
    <n v="0"/>
    <n v="0"/>
    <n v="4.5400000000000009"/>
    <n v="0"/>
  </r>
  <r>
    <x v="7"/>
    <x v="1"/>
    <x v="0"/>
    <s v="2329200"/>
    <n v="718050"/>
    <s v="Translation Services"/>
    <s v="Bonney Lake-Fam Med"/>
    <x v="0"/>
    <n v="1025"/>
    <n v="32"/>
    <n v="0"/>
    <n v="0"/>
    <n v="0"/>
    <n v="96"/>
    <n v="0"/>
    <n v="86"/>
    <n v="96"/>
    <n v="106.5"/>
    <n v="0"/>
    <n v="32"/>
    <n v="0"/>
    <n v="448.5"/>
    <n v="32"/>
  </r>
  <r>
    <x v="7"/>
    <x v="1"/>
    <x v="0"/>
    <s v="2329200"/>
    <n v="718050"/>
    <s v="Contract Management--Linen"/>
    <s v="Bonney Lake-Fam Med"/>
    <x v="0"/>
    <n v="1026"/>
    <n v="0"/>
    <n v="0"/>
    <n v="0"/>
    <n v="98.09"/>
    <n v="0"/>
    <n v="0"/>
    <n v="0"/>
    <n v="0"/>
    <n v="0"/>
    <n v="0"/>
    <n v="0"/>
    <n v="0"/>
    <n v="98.09"/>
    <n v="0"/>
  </r>
  <r>
    <x v="11"/>
    <x v="1"/>
    <x v="0"/>
    <s v="2329200"/>
    <n v="721410"/>
    <s v="Supplies-Medical - Nonbillable"/>
    <s v="Bonney Lake-Fam Med"/>
    <x v="0"/>
    <m/>
    <n v="988"/>
    <n v="929.16"/>
    <n v="1018.82"/>
    <n v="793.72"/>
    <n v="807.39"/>
    <n v="1740.94"/>
    <n v="719.86"/>
    <n v="1406.3"/>
    <n v="2134.94"/>
    <n v="918.64"/>
    <n v="133.43"/>
    <n v="2166.91"/>
    <n v="13758.11"/>
    <n v="-2033.4799999999998"/>
  </r>
  <r>
    <x v="11"/>
    <x v="1"/>
    <x v="0"/>
    <s v="2329200"/>
    <n v="721830"/>
    <s v="Supplies-Office"/>
    <s v="Bonney Lake-Fam Med"/>
    <x v="0"/>
    <m/>
    <n v="0"/>
    <n v="0"/>
    <n v="0"/>
    <n v="0"/>
    <n v="0"/>
    <n v="0"/>
    <n v="0"/>
    <n v="50.41"/>
    <n v="0"/>
    <n v="0"/>
    <n v="0"/>
    <n v="0"/>
    <n v="50.41"/>
    <n v="0"/>
  </r>
  <r>
    <x v="11"/>
    <x v="1"/>
    <x v="0"/>
    <s v="2329200"/>
    <n v="721835"/>
    <s v="Supplies-Forms"/>
    <s v="Bonney Lake-Fam Med"/>
    <x v="0"/>
    <m/>
    <n v="0"/>
    <n v="0"/>
    <n v="0"/>
    <n v="0"/>
    <n v="3.14"/>
    <n v="0"/>
    <n v="0"/>
    <n v="0"/>
    <n v="0"/>
    <n v="0"/>
    <n v="6.75"/>
    <n v="0"/>
    <n v="9.89"/>
    <n v="6.75"/>
  </r>
  <r>
    <x v="11"/>
    <x v="1"/>
    <x v="0"/>
    <s v="2329200"/>
    <n v="722000"/>
    <s v="Supplies-Freight Expense"/>
    <s v="Bonney Lake-Fam Med"/>
    <x v="0"/>
    <m/>
    <n v="0"/>
    <n v="0"/>
    <n v="0"/>
    <n v="12.44"/>
    <n v="0"/>
    <n v="0"/>
    <n v="0"/>
    <n v="0"/>
    <n v="0"/>
    <n v="0"/>
    <n v="0"/>
    <n v="0"/>
    <n v="12.44"/>
    <n v="0"/>
  </r>
  <r>
    <x v="16"/>
    <x v="1"/>
    <x v="0"/>
    <s v="2329200"/>
    <n v="732030"/>
    <s v="Repairs---Other"/>
    <s v="Bonney Lake-Fam Med"/>
    <x v="0"/>
    <m/>
    <n v="0"/>
    <n v="134.54"/>
    <n v="0"/>
    <n v="0"/>
    <n v="0"/>
    <n v="0"/>
    <n v="0"/>
    <n v="1029.45"/>
    <n v="51.4"/>
    <n v="0"/>
    <n v="0"/>
    <n v="272.76"/>
    <n v="1488.15"/>
    <n v="-272.76"/>
  </r>
  <r>
    <x v="13"/>
    <x v="1"/>
    <x v="0"/>
    <s v="2329200"/>
    <n v="735070"/>
    <s v="Depreciation-Movable Equipment"/>
    <s v="Bonney Lake-Fam Med"/>
    <x v="0"/>
    <m/>
    <n v="0"/>
    <n v="319.25"/>
    <n v="362.92"/>
    <n v="362.92"/>
    <n v="362.92"/>
    <n v="362.91"/>
    <n v="362.93"/>
    <n v="362.9"/>
    <n v="362.93"/>
    <n v="362.9"/>
    <n v="362.93"/>
    <n v="362.9"/>
    <n v="3948.4100000000003"/>
    <n v="3.0000000000029559E-2"/>
  </r>
  <r>
    <x v="0"/>
    <x v="1"/>
    <x v="0"/>
    <s v="2329200"/>
    <n v="740022"/>
    <s v="Education-Physician"/>
    <s v="Bonney Lake-Fam Med"/>
    <x v="0"/>
    <m/>
    <n v="0"/>
    <n v="0"/>
    <n v="0"/>
    <n v="0"/>
    <n v="0"/>
    <n v="496"/>
    <n v="0"/>
    <n v="0"/>
    <n v="0"/>
    <n v="0"/>
    <n v="1089"/>
    <n v="835"/>
    <n v="2420"/>
    <n v="254"/>
  </r>
  <r>
    <x v="0"/>
    <x v="1"/>
    <x v="0"/>
    <s v="2329200"/>
    <n v="740023"/>
    <s v="Education-Advanced Practice Clinician"/>
    <s v="Bonney Lake-Fam Med"/>
    <x v="0"/>
    <m/>
    <n v="0"/>
    <n v="750"/>
    <n v="0"/>
    <n v="0"/>
    <n v="0"/>
    <n v="0"/>
    <n v="0"/>
    <n v="0"/>
    <n v="0"/>
    <n v="0"/>
    <n v="0"/>
    <n v="30"/>
    <n v="780"/>
    <n v="-30"/>
  </r>
  <r>
    <x v="0"/>
    <x v="1"/>
    <x v="0"/>
    <s v="2329200"/>
    <n v="740023"/>
    <s v="Books-Advanced Practice Clinician"/>
    <s v="Bonney Lake-Fam Med"/>
    <x v="0"/>
    <n v="2000"/>
    <n v="0"/>
    <n v="0"/>
    <n v="0"/>
    <n v="0"/>
    <n v="0"/>
    <n v="0"/>
    <n v="0"/>
    <n v="0"/>
    <n v="0"/>
    <n v="0"/>
    <n v="0"/>
    <n v="199"/>
    <n v="199"/>
    <n v="-199"/>
  </r>
  <r>
    <x v="8"/>
    <x v="1"/>
    <x v="0"/>
    <s v="2329200"/>
    <n v="741012"/>
    <s v="Physician Liab Insurance-CHI Program"/>
    <s v="Bonney Lake-Fam Med"/>
    <x v="0"/>
    <m/>
    <n v="473.67"/>
    <n v="473.67"/>
    <n v="473.67"/>
    <n v="473.67"/>
    <n v="473.67"/>
    <n v="947.32"/>
    <n v="947.34"/>
    <n v="947.32"/>
    <n v="947.34"/>
    <n v="947.32"/>
    <n v="947.34"/>
    <n v="947.32"/>
    <n v="8999.65"/>
    <n v="1.999999999998181E-2"/>
  </r>
  <r>
    <x v="0"/>
    <x v="1"/>
    <x v="0"/>
    <s v="2329200"/>
    <n v="743022"/>
    <s v="Dues-Physician"/>
    <s v="Bonney Lake-Fam Med"/>
    <x v="0"/>
    <m/>
    <n v="0"/>
    <n v="0"/>
    <n v="0"/>
    <n v="0"/>
    <n v="0"/>
    <n v="0"/>
    <n v="0"/>
    <n v="1105"/>
    <n v="0"/>
    <n v="0"/>
    <n v="0"/>
    <n v="0"/>
    <n v="1105"/>
    <n v="0"/>
  </r>
  <r>
    <x v="0"/>
    <x v="1"/>
    <x v="0"/>
    <s v="2329200"/>
    <n v="743023"/>
    <s v="Dues-Advanced Practice Clinician"/>
    <s v="Bonney Lake-Fam Med"/>
    <x v="0"/>
    <m/>
    <n v="0"/>
    <n v="0"/>
    <n v="0"/>
    <n v="0"/>
    <n v="0"/>
    <n v="0"/>
    <n v="0"/>
    <n v="0"/>
    <n v="0"/>
    <n v="0"/>
    <n v="0"/>
    <n v="135"/>
    <n v="135"/>
    <n v="-135"/>
  </r>
  <r>
    <x v="0"/>
    <x v="1"/>
    <x v="0"/>
    <s v="2329200"/>
    <n v="743030"/>
    <s v="Subscriptions--Institutional"/>
    <s v="Bonney Lake-Fam Med"/>
    <x v="0"/>
    <m/>
    <n v="0"/>
    <n v="0"/>
    <n v="0"/>
    <n v="0"/>
    <n v="0"/>
    <n v="0"/>
    <n v="0"/>
    <n v="0"/>
    <n v="0"/>
    <n v="0"/>
    <n v="26.6"/>
    <n v="0"/>
    <n v="26.6"/>
    <n v="26.6"/>
  </r>
  <r>
    <x v="0"/>
    <x v="1"/>
    <x v="0"/>
    <s v="2329200"/>
    <n v="749510"/>
    <s v="Miscellaneous Expenses"/>
    <s v="Bonney Lake-Fam Med"/>
    <x v="0"/>
    <m/>
    <n v="0"/>
    <n v="0"/>
    <n v="0"/>
    <n v="0"/>
    <n v="65.400000000000006"/>
    <n v="-65.400000000000006"/>
    <n v="120"/>
    <n v="-120"/>
    <n v="0"/>
    <n v="1089"/>
    <n v="-432"/>
    <n v="-657"/>
    <n v="0"/>
    <n v="225"/>
  </r>
  <r>
    <x v="0"/>
    <x v="1"/>
    <x v="0"/>
    <s v="2329200"/>
    <n v="749512"/>
    <s v="Licenses-Physician"/>
    <s v="Bonney Lake-Fam Med"/>
    <x v="0"/>
    <n v="2000"/>
    <n v="0"/>
    <n v="0"/>
    <n v="0"/>
    <n v="0"/>
    <n v="0"/>
    <n v="0"/>
    <n v="0"/>
    <n v="0"/>
    <n v="0"/>
    <n v="0"/>
    <n v="0"/>
    <n v="657"/>
    <n v="657"/>
    <n v="-657"/>
  </r>
  <r>
    <x v="0"/>
    <x v="1"/>
    <x v="0"/>
    <s v="2329200"/>
    <n v="749513"/>
    <s v="Licenses-Advanced Practice Clinician"/>
    <s v="Bonney Lake-Fam Med"/>
    <x v="0"/>
    <n v="2000"/>
    <n v="0"/>
    <n v="0"/>
    <n v="0"/>
    <n v="0"/>
    <n v="0"/>
    <n v="0"/>
    <n v="0"/>
    <n v="120"/>
    <n v="0"/>
    <n v="0"/>
    <n v="981"/>
    <n v="0"/>
    <n v="1101"/>
    <n v="981"/>
  </r>
  <r>
    <x v="0"/>
    <x v="1"/>
    <x v="0"/>
    <s v="2329200"/>
    <n v="749532"/>
    <s v="Travel-Physician"/>
    <s v="Bonney Lake-Fam Med"/>
    <x v="0"/>
    <m/>
    <n v="0"/>
    <n v="0"/>
    <n v="0"/>
    <n v="0"/>
    <n v="0"/>
    <n v="0"/>
    <n v="0"/>
    <n v="0"/>
    <n v="0"/>
    <n v="0"/>
    <n v="0"/>
    <n v="821.76"/>
    <n v="821.76"/>
    <n v="-821.76"/>
  </r>
  <r>
    <x v="0"/>
    <x v="1"/>
    <x v="0"/>
    <s v="2329200"/>
    <n v="749532"/>
    <s v="Business Meals-Physician"/>
    <s v="Bonney Lake-Fam Med"/>
    <x v="0"/>
    <n v="2000"/>
    <n v="0"/>
    <n v="0"/>
    <n v="0"/>
    <n v="0"/>
    <n v="0"/>
    <n v="0"/>
    <n v="0"/>
    <n v="0"/>
    <n v="0"/>
    <n v="0"/>
    <n v="0"/>
    <n v="58.96"/>
    <n v="58.96"/>
    <n v="-58.96"/>
  </r>
  <r>
    <x v="0"/>
    <x v="1"/>
    <x v="0"/>
    <s v="2329200"/>
    <n v="749591"/>
    <s v="Other Expense-Intracompany Allocation"/>
    <s v="Bonney Lake-Fam Med"/>
    <x v="0"/>
    <m/>
    <n v="112130.01"/>
    <n v="110188.39"/>
    <n v="105688.7"/>
    <n v="121897.56"/>
    <n v="99000.01"/>
    <n v="117486.11"/>
    <n v="108887.67"/>
    <n v="125930.78"/>
    <n v="133959.21"/>
    <n v="136911.76999999999"/>
    <n v="134360.70000000001"/>
    <n v="115051.74"/>
    <n v="1421492.65"/>
    <n v="19308.960000000006"/>
  </r>
  <r>
    <x v="9"/>
    <x v="1"/>
    <x v="0"/>
    <s v="2329200"/>
    <n v="800015"/>
    <s v="Interest Income-Ext to CHI"/>
    <s v="Bonney Lake-Fam Med"/>
    <x v="0"/>
    <m/>
    <n v="0"/>
    <n v="0"/>
    <n v="0"/>
    <n v="0"/>
    <n v="-23.11"/>
    <n v="-25.43"/>
    <n v="-24.32"/>
    <n v="-20.97"/>
    <n v="-22.11"/>
    <n v="-20.329999999999998"/>
    <n v="-19.899999999999999"/>
    <n v="-18.190000000000001"/>
    <n v="-174.35999999999999"/>
    <n v="-1.7099999999999973"/>
  </r>
  <r>
    <x v="5"/>
    <x v="1"/>
    <x v="0"/>
    <s v="2330200"/>
    <n v="700032"/>
    <s v="Salaries-Other Pat Care Providers-Productive"/>
    <s v="FMC-11th Place INT MED"/>
    <x v="0"/>
    <m/>
    <n v="0"/>
    <n v="0"/>
    <n v="0"/>
    <n v="0"/>
    <n v="2400.7600000000002"/>
    <n v="406.82"/>
    <n v="0"/>
    <n v="0"/>
    <n v="0"/>
    <n v="0"/>
    <n v="0"/>
    <n v="0"/>
    <n v="2807.5800000000004"/>
    <n v="0"/>
  </r>
  <r>
    <x v="6"/>
    <x v="1"/>
    <x v="0"/>
    <s v="2330200"/>
    <n v="713010"/>
    <s v="Benefits-FICA/Medicare"/>
    <s v="FMC-11th Place INT MED"/>
    <x v="0"/>
    <m/>
    <n v="0"/>
    <n v="0"/>
    <n v="0"/>
    <n v="0"/>
    <n v="167.4"/>
    <n v="29.42"/>
    <n v="0"/>
    <n v="0"/>
    <n v="0"/>
    <n v="0"/>
    <n v="0"/>
    <n v="0"/>
    <n v="196.82"/>
    <n v="0"/>
  </r>
  <r>
    <x v="6"/>
    <x v="1"/>
    <x v="0"/>
    <s v="2330200"/>
    <n v="713090"/>
    <s v="Benefits-Allocated Amounts"/>
    <s v="FMC-11th Place INT MED"/>
    <x v="0"/>
    <m/>
    <n v="0"/>
    <n v="0"/>
    <n v="0"/>
    <n v="0"/>
    <n v="418.83"/>
    <n v="483.67"/>
    <n v="21.38"/>
    <n v="-118.88"/>
    <n v="104.98"/>
    <n v="108.23"/>
    <n v="-143.83000000000001"/>
    <n v="83.1"/>
    <n v="957.48"/>
    <n v="-226.93"/>
  </r>
  <r>
    <x v="3"/>
    <x v="1"/>
    <x v="0"/>
    <s v="2332200"/>
    <n v="470040"/>
    <s v="Charity Care-Physician Svcs"/>
    <s v="Endocrinology-Tacoma-Int Med"/>
    <x v="0"/>
    <m/>
    <n v="0"/>
    <n v="380.19"/>
    <n v="0"/>
    <n v="0"/>
    <n v="95.14"/>
    <n v="0"/>
    <n v="0"/>
    <n v="0"/>
    <n v="0"/>
    <n v="0"/>
    <n v="0"/>
    <n v="100.65"/>
    <n v="575.98"/>
    <n v="-100.65"/>
  </r>
  <r>
    <x v="4"/>
    <x v="1"/>
    <x v="0"/>
    <s v="2332200"/>
    <n v="490010"/>
    <s v="Provision for Bad Debts"/>
    <s v="Endocrinology-Tacoma-Int Med"/>
    <x v="0"/>
    <m/>
    <n v="-30.56"/>
    <n v="-380.19"/>
    <n v="0"/>
    <n v="0"/>
    <n v="-95.14"/>
    <n v="0"/>
    <n v="0"/>
    <n v="0"/>
    <n v="0"/>
    <n v="0"/>
    <n v="0"/>
    <n v="-100.65"/>
    <n v="-606.54"/>
    <n v="100.65"/>
  </r>
  <r>
    <x v="1"/>
    <x v="1"/>
    <x v="0"/>
    <s v="2333200"/>
    <n v="400029"/>
    <s v="MD Practice Other Rev--Medicare"/>
    <s v="PC-Canyon Rd-Fam Med"/>
    <x v="0"/>
    <n v="1100"/>
    <n v="-8143"/>
    <n v="-8083"/>
    <n v="-9723"/>
    <n v="-11618"/>
    <n v="-9715"/>
    <n v="-8681"/>
    <n v="-14028"/>
    <n v="-10882"/>
    <n v="-13326"/>
    <n v="-10133"/>
    <n v="-14336"/>
    <n v="-11309"/>
    <n v="-129977"/>
    <n v="-3027"/>
  </r>
  <r>
    <x v="1"/>
    <x v="1"/>
    <x v="0"/>
    <s v="2333200"/>
    <n v="400029"/>
    <s v="MD Practice Other Rev--Medicaid"/>
    <s v="PC-Canyon Rd-Fam Med"/>
    <x v="0"/>
    <n v="1200"/>
    <n v="-7654"/>
    <n v="-8589"/>
    <n v="-11763"/>
    <n v="-11802"/>
    <n v="-10429"/>
    <n v="-10597"/>
    <n v="-16761"/>
    <n v="-17750"/>
    <n v="-20919"/>
    <n v="-14745"/>
    <n v="-13133"/>
    <n v="-12061"/>
    <n v="-156203"/>
    <n v="-1072"/>
  </r>
  <r>
    <x v="1"/>
    <x v="1"/>
    <x v="0"/>
    <s v="2333200"/>
    <n v="400029"/>
    <s v="MD Practice Other Rev--Comm Insurance"/>
    <s v="PC-Canyon Rd-Fam Med"/>
    <x v="0"/>
    <n v="1300"/>
    <n v="-1894"/>
    <n v="-2455"/>
    <n v="-2140"/>
    <n v="-3751"/>
    <n v="-2498"/>
    <n v="-3369"/>
    <n v="-2367"/>
    <n v="-3043"/>
    <n v="-4134"/>
    <n v="-2345"/>
    <n v="-2380"/>
    <n v="-2406"/>
    <n v="-32782"/>
    <n v="26"/>
  </r>
  <r>
    <x v="1"/>
    <x v="1"/>
    <x v="0"/>
    <s v="2333200"/>
    <n v="400029"/>
    <s v="MD Practice Other Rev--BCBS Comm"/>
    <s v="PC-Canyon Rd-Fam Med"/>
    <x v="0"/>
    <n v="1301"/>
    <n v="-4399"/>
    <n v="-4553"/>
    <n v="-4967"/>
    <n v="-5149"/>
    <n v="-4527"/>
    <n v="-4452"/>
    <n v="-8267"/>
    <n v="-6869"/>
    <n v="-10976"/>
    <n v="-6975"/>
    <n v="-4279"/>
    <n v="-4671"/>
    <n v="-70084"/>
    <n v="392"/>
  </r>
  <r>
    <x v="1"/>
    <x v="1"/>
    <x v="0"/>
    <s v="2333200"/>
    <n v="400029"/>
    <s v="MD Practice Other Rev--Managed Care"/>
    <s v="PC-Canyon Rd-Fam Med"/>
    <x v="0"/>
    <n v="1400"/>
    <n v="-11629"/>
    <n v="-12398"/>
    <n v="-15311"/>
    <n v="-16846"/>
    <n v="-14895"/>
    <n v="-15641"/>
    <n v="-22096"/>
    <n v="-24036"/>
    <n v="-32317"/>
    <n v="-20470"/>
    <n v="-18563"/>
    <n v="-15178"/>
    <n v="-219380"/>
    <n v="-3385"/>
  </r>
  <r>
    <x v="1"/>
    <x v="1"/>
    <x v="0"/>
    <s v="2333200"/>
    <n v="400029"/>
    <s v="MD Practice Other Rev--Self Pay"/>
    <s v="PC-Canyon Rd-Fam Med"/>
    <x v="0"/>
    <n v="1500"/>
    <n v="-739"/>
    <n v="-411.64"/>
    <n v="-400.68"/>
    <n v="-1615.84"/>
    <n v="-401"/>
    <n v="-531"/>
    <n v="-1083"/>
    <n v="-691"/>
    <n v="-1333.1"/>
    <n v="-1492.1"/>
    <n v="-1388"/>
    <n v="-931"/>
    <n v="-11017.36"/>
    <n v="-457"/>
  </r>
  <r>
    <x v="1"/>
    <x v="1"/>
    <x v="0"/>
    <s v="2333200"/>
    <n v="400029"/>
    <s v="MD Practice Other Rev--Other"/>
    <s v="PC-Canyon Rd-Fam Med"/>
    <x v="0"/>
    <n v="1700"/>
    <n v="-2663"/>
    <n v="-2921"/>
    <n v="-2985"/>
    <n v="-3949"/>
    <n v="-2218"/>
    <n v="-1963"/>
    <n v="-3377"/>
    <n v="-3920"/>
    <n v="-3755"/>
    <n v="-2413"/>
    <n v="-3418"/>
    <n v="-2693"/>
    <n v="-36275"/>
    <n v="-725"/>
  </r>
  <r>
    <x v="1"/>
    <x v="1"/>
    <x v="0"/>
    <s v="2333200"/>
    <n v="400040"/>
    <s v="Physician Svcs Rev--Medicare"/>
    <s v="PC-Canyon Rd-Fam Med"/>
    <x v="0"/>
    <n v="1100"/>
    <n v="-89154"/>
    <n v="-78777"/>
    <n v="-76581"/>
    <n v="-86836.44"/>
    <n v="-81975.679999999993"/>
    <n v="-89087"/>
    <n v="-95561.32"/>
    <n v="-75649"/>
    <n v="-90687"/>
    <n v="-79159"/>
    <n v="-107212"/>
    <n v="-97505"/>
    <n v="-1048184.44"/>
    <n v="-9707"/>
  </r>
  <r>
    <x v="1"/>
    <x v="1"/>
    <x v="0"/>
    <s v="2333200"/>
    <n v="400040"/>
    <s v="Physician Svcs Rev--Medicaid"/>
    <s v="PC-Canyon Rd-Fam Med"/>
    <x v="0"/>
    <n v="1200"/>
    <n v="-107773"/>
    <n v="-112509.2"/>
    <n v="-120792.18"/>
    <n v="-126087.58"/>
    <n v="-122366.53"/>
    <n v="-138305.96"/>
    <n v="-164992.76"/>
    <n v="-133728.34"/>
    <n v="-166441.44"/>
    <n v="-151779.88"/>
    <n v="-164807.32"/>
    <n v="-120803.64"/>
    <n v="-1630387.83"/>
    <n v="-44003.680000000008"/>
  </r>
  <r>
    <x v="1"/>
    <x v="1"/>
    <x v="0"/>
    <s v="2333200"/>
    <n v="400040"/>
    <s v="Physician Svcs Rev--Comm Insurance"/>
    <s v="PC-Canyon Rd-Fam Med"/>
    <x v="0"/>
    <n v="1300"/>
    <n v="-29579"/>
    <n v="-25668"/>
    <n v="-25739"/>
    <n v="-33892.129999999997"/>
    <n v="-26435.66"/>
    <n v="-32062"/>
    <n v="-31130.13"/>
    <n v="-27989"/>
    <n v="-33442"/>
    <n v="-23364"/>
    <n v="-40276"/>
    <n v="-29019"/>
    <n v="-358595.92000000004"/>
    <n v="-11257"/>
  </r>
  <r>
    <x v="1"/>
    <x v="1"/>
    <x v="0"/>
    <s v="2333200"/>
    <n v="400040"/>
    <s v="Physician Svcs Rev--BCBS Comm"/>
    <s v="PC-Canyon Rd-Fam Med"/>
    <x v="0"/>
    <n v="1301"/>
    <n v="-56398"/>
    <n v="-59043.96"/>
    <n v="-50127.11"/>
    <n v="-57987.13"/>
    <n v="-57025"/>
    <n v="-63432.13"/>
    <n v="-83418.98"/>
    <n v="-68906.570000000007"/>
    <n v="-83352.56"/>
    <n v="-66687"/>
    <n v="-63059"/>
    <n v="-62971"/>
    <n v="-772408.44"/>
    <n v="-88"/>
  </r>
  <r>
    <x v="1"/>
    <x v="1"/>
    <x v="0"/>
    <s v="2333200"/>
    <n v="400040"/>
    <s v="Physician Svcs Rev--Managed Care"/>
    <s v="PC-Canyon Rd-Fam Med"/>
    <x v="0"/>
    <n v="1400"/>
    <n v="-158409.98000000001"/>
    <n v="-172104"/>
    <n v="-180922.68"/>
    <n v="-200532.12"/>
    <n v="-178348.92"/>
    <n v="-210063.33"/>
    <n v="-229027.05"/>
    <n v="-219414"/>
    <n v="-256012"/>
    <n v="-198707"/>
    <n v="-220178.44"/>
    <n v="-192963"/>
    <n v="-2416682.52"/>
    <n v="-27215.440000000002"/>
  </r>
  <r>
    <x v="1"/>
    <x v="1"/>
    <x v="0"/>
    <s v="2333200"/>
    <n v="400040"/>
    <s v="Physician Svcs Rev--Self Pay"/>
    <s v="PC-Canyon Rd-Fam Med"/>
    <x v="0"/>
    <n v="1500"/>
    <n v="-13496.99"/>
    <n v="-17904.18"/>
    <n v="-14351.06"/>
    <n v="-20792.240000000002"/>
    <n v="-16114.68"/>
    <n v="-15908.63"/>
    <n v="-18855.43"/>
    <n v="-17402.93"/>
    <n v="-24868.400000000001"/>
    <n v="-19602.23"/>
    <n v="-22958"/>
    <n v="-15672"/>
    <n v="-217926.77"/>
    <n v="-7286"/>
  </r>
  <r>
    <x v="1"/>
    <x v="1"/>
    <x v="0"/>
    <s v="2333200"/>
    <n v="400040"/>
    <s v="Physician Svcs Rev--Other"/>
    <s v="PC-Canyon Rd-Fam Med"/>
    <x v="0"/>
    <n v="1700"/>
    <n v="-38663.980000000003"/>
    <n v="-39172"/>
    <n v="-41131.980000000003"/>
    <n v="-38435.08"/>
    <n v="-31203.13"/>
    <n v="-39567"/>
    <n v="-37136"/>
    <n v="-41089.980000000003"/>
    <n v="-41908"/>
    <n v="-34643"/>
    <n v="-48415"/>
    <n v="-40184"/>
    <n v="-471549.15"/>
    <n v="-8231"/>
  </r>
  <r>
    <x v="2"/>
    <x v="1"/>
    <x v="0"/>
    <s v="2333200"/>
    <n v="450029"/>
    <s v="Contr Allow--MD Other-Medicare"/>
    <s v="PC-Canyon Rd-Fam Med"/>
    <x v="0"/>
    <n v="1100"/>
    <n v="5266"/>
    <n v="5341.53"/>
    <n v="4650.6000000000004"/>
    <n v="7838.17"/>
    <n v="7186.19"/>
    <n v="4894.74"/>
    <n v="8067.03"/>
    <n v="7864"/>
    <n v="7102.34"/>
    <n v="8195.17"/>
    <n v="7371.1"/>
    <n v="8560.66"/>
    <n v="82337.53"/>
    <n v="-1189.5599999999995"/>
  </r>
  <r>
    <x v="2"/>
    <x v="1"/>
    <x v="0"/>
    <s v="2333200"/>
    <n v="450029"/>
    <s v="Contr Allow--MD Other-Medicaid"/>
    <s v="PC-Canyon Rd-Fam Med"/>
    <x v="0"/>
    <n v="1200"/>
    <n v="6170.63"/>
    <n v="6678.53"/>
    <n v="7319.34"/>
    <n v="8893.0300000000007"/>
    <n v="8104.98"/>
    <n v="7029.34"/>
    <n v="9448.64"/>
    <n v="13546.66"/>
    <n v="13854.89"/>
    <n v="11376.71"/>
    <n v="11074.21"/>
    <n v="9556.7199999999993"/>
    <n v="113053.68"/>
    <n v="1517.4899999999998"/>
  </r>
  <r>
    <x v="2"/>
    <x v="1"/>
    <x v="0"/>
    <s v="2333200"/>
    <n v="450029"/>
    <s v="Contr Allow--MD Other-Comm Insurance"/>
    <s v="PC-Canyon Rd-Fam Med"/>
    <x v="0"/>
    <n v="1300"/>
    <n v="370.4"/>
    <n v="832.36"/>
    <n v="1077.4000000000001"/>
    <n v="1092.8900000000001"/>
    <n v="1118.6400000000001"/>
    <n v="823.67"/>
    <n v="1268.1099999999999"/>
    <n v="950.99"/>
    <n v="1320.85"/>
    <n v="1559.9"/>
    <n v="1094.1199999999999"/>
    <n v="1190.3699999999999"/>
    <n v="12699.699999999997"/>
    <n v="-96.25"/>
  </r>
  <r>
    <x v="2"/>
    <x v="1"/>
    <x v="0"/>
    <s v="2333200"/>
    <n v="450029"/>
    <s v="Contr Allow--MD Other BCBS Comm"/>
    <s v="PC-Canyon Rd-Fam Med"/>
    <x v="0"/>
    <n v="1301"/>
    <n v="1782.77"/>
    <n v="2035.12"/>
    <n v="1591.58"/>
    <n v="1653.5"/>
    <n v="1823.11"/>
    <n v="2131.0100000000002"/>
    <n v="2142.17"/>
    <n v="3214.76"/>
    <n v="4758.6400000000003"/>
    <n v="3542.47"/>
    <n v="3071.75"/>
    <n v="2337.8000000000002"/>
    <n v="30084.68"/>
    <n v="733.94999999999982"/>
  </r>
  <r>
    <x v="2"/>
    <x v="1"/>
    <x v="0"/>
    <s v="2333200"/>
    <n v="450029"/>
    <s v="Contr Allow--MD Other-Managed Care"/>
    <s v="PC-Canyon Rd-Fam Med"/>
    <x v="0"/>
    <n v="1400"/>
    <n v="5504.35"/>
    <n v="6011.68"/>
    <n v="5704.41"/>
    <n v="7027.27"/>
    <n v="7898.23"/>
    <n v="6526.97"/>
    <n v="6896.72"/>
    <n v="10198.18"/>
    <n v="15131.92"/>
    <n v="15506.91"/>
    <n v="9178.19"/>
    <n v="7323.75"/>
    <n v="102908.58000000002"/>
    <n v="1854.4400000000005"/>
  </r>
  <r>
    <x v="2"/>
    <x v="1"/>
    <x v="0"/>
    <s v="2333200"/>
    <n v="450029"/>
    <s v="Prompt Pay Disc-MD Other-Self Pay"/>
    <s v="PC-Canyon Rd-Fam Med"/>
    <x v="0"/>
    <n v="1500"/>
    <n v="0"/>
    <n v="0"/>
    <n v="0"/>
    <n v="0"/>
    <n v="0"/>
    <n v="0"/>
    <n v="0"/>
    <n v="-17.48"/>
    <n v="0"/>
    <n v="0"/>
    <n v="0"/>
    <n v="0"/>
    <n v="-17.48"/>
    <n v="0"/>
  </r>
  <r>
    <x v="2"/>
    <x v="1"/>
    <x v="0"/>
    <s v="2333200"/>
    <n v="450029"/>
    <s v="Admin Adjust-MD Other-Self Pay"/>
    <s v="PC-Canyon Rd-Fam Med"/>
    <x v="0"/>
    <n v="1600"/>
    <n v="526.84"/>
    <n v="467.66"/>
    <n v="711.3"/>
    <n v="1005.9"/>
    <n v="255.16"/>
    <n v="128.38"/>
    <n v="462.75"/>
    <n v="836.8"/>
    <n v="854.1"/>
    <n v="796.02"/>
    <n v="698.57"/>
    <n v="405.49"/>
    <n v="7148.9699999999993"/>
    <n v="293.08000000000004"/>
  </r>
  <r>
    <x v="2"/>
    <x v="1"/>
    <x v="0"/>
    <s v="2333200"/>
    <n v="450029"/>
    <s v="Contr Allow--MD Other-Other"/>
    <s v="PC-Canyon Rd-Fam Med"/>
    <x v="0"/>
    <n v="1700"/>
    <n v="1552.18"/>
    <n v="1755.96"/>
    <n v="1339.79"/>
    <n v="1854.53"/>
    <n v="1362.73"/>
    <n v="996.08"/>
    <n v="1503"/>
    <n v="1182.3699999999999"/>
    <n v="2522.08"/>
    <n v="2079.2600000000002"/>
    <n v="1792.56"/>
    <n v="1661.29"/>
    <n v="19601.830000000002"/>
    <n v="131.26999999999998"/>
  </r>
  <r>
    <x v="2"/>
    <x v="1"/>
    <x v="0"/>
    <s v="2333200"/>
    <n v="450040"/>
    <s v="Contr Allow--Phys Svcs--Mcare"/>
    <s v="PC-Canyon Rd-Fam Med"/>
    <x v="0"/>
    <n v="1100"/>
    <n v="57009.57"/>
    <n v="45420.76"/>
    <n v="57028.480000000003"/>
    <n v="56745.01"/>
    <n v="55089.81"/>
    <n v="44540.3"/>
    <n v="76295.679999999993"/>
    <n v="51141.81"/>
    <n v="52889.58"/>
    <n v="57834.15"/>
    <n v="63147.41"/>
    <n v="74280.58"/>
    <n v="691423.14"/>
    <n v="-11133.169999999998"/>
  </r>
  <r>
    <x v="2"/>
    <x v="1"/>
    <x v="0"/>
    <s v="2333200"/>
    <n v="450040"/>
    <s v="Contr Allow--Phys Svcs--Mcaid"/>
    <s v="PC-Canyon Rd-Fam Med"/>
    <x v="0"/>
    <n v="1200"/>
    <n v="76783.490000000005"/>
    <n v="94086.91"/>
    <n v="85746.69"/>
    <n v="88992.87"/>
    <n v="80344.070000000007"/>
    <n v="87997.86"/>
    <n v="110772.6"/>
    <n v="104898.74"/>
    <n v="112691.4"/>
    <n v="110821.56"/>
    <n v="126780.83"/>
    <n v="103162.7"/>
    <n v="1183079.72"/>
    <n v="23618.130000000005"/>
  </r>
  <r>
    <x v="2"/>
    <x v="1"/>
    <x v="0"/>
    <s v="2333200"/>
    <n v="450040"/>
    <s v="Contr Allow--Phys Svcs--Comm Insurance"/>
    <s v="PC-Canyon Rd-Fam Med"/>
    <x v="0"/>
    <n v="1300"/>
    <n v="8619.4500000000007"/>
    <n v="13853.63"/>
    <n v="8760.0499999999993"/>
    <n v="9518"/>
    <n v="9049.2199999999993"/>
    <n v="8488.9"/>
    <n v="11171.77"/>
    <n v="10954.72"/>
    <n v="10368.57"/>
    <n v="12008.07"/>
    <n v="9924.51"/>
    <n v="9604.51"/>
    <n v="122321.4"/>
    <n v="320"/>
  </r>
  <r>
    <x v="2"/>
    <x v="1"/>
    <x v="0"/>
    <s v="2333200"/>
    <n v="450040"/>
    <s v="Contr Allow--Phys Svcs--BCBS Comm Ins"/>
    <s v="PC-Canyon Rd-Fam Med"/>
    <x v="0"/>
    <n v="1301"/>
    <n v="19191.490000000002"/>
    <n v="23717.37"/>
    <n v="14939.45"/>
    <n v="18399.7"/>
    <n v="21152.38"/>
    <n v="18879"/>
    <n v="18931.669999999998"/>
    <n v="21665.45"/>
    <n v="30365.87"/>
    <n v="22775.75"/>
    <n v="21096.880000000001"/>
    <n v="24367.94"/>
    <n v="255482.95"/>
    <n v="-3271.0599999999977"/>
  </r>
  <r>
    <x v="2"/>
    <x v="1"/>
    <x v="0"/>
    <s v="2333200"/>
    <n v="450040"/>
    <s v="Contr Allow--Phys Svcs--Managed Care"/>
    <s v="PC-Canyon Rd-Fam Med"/>
    <x v="0"/>
    <n v="1400"/>
    <n v="58095.25"/>
    <n v="63689.32"/>
    <n v="55388.04"/>
    <n v="71754.69"/>
    <n v="72878.100000000006"/>
    <n v="61810.81"/>
    <n v="65321.41"/>
    <n v="71733.23"/>
    <n v="94512.41"/>
    <n v="87340.05"/>
    <n v="80430.820000000007"/>
    <n v="76963.360000000001"/>
    <n v="859917.49000000011"/>
    <n v="3467.4600000000064"/>
  </r>
  <r>
    <x v="2"/>
    <x v="1"/>
    <x v="0"/>
    <s v="2333200"/>
    <n v="450040"/>
    <s v="Contr Allow--Phys Svcs--BCBS Mgnd Care"/>
    <s v="PC-Canyon Rd-Fam Med"/>
    <x v="0"/>
    <n v="1401"/>
    <n v="-6574.53"/>
    <n v="-35421.660000000003"/>
    <n v="16992.060000000001"/>
    <n v="-7480.69"/>
    <n v="-17135.419999999998"/>
    <n v="57308.71"/>
    <n v="48676.37"/>
    <n v="25637.439999999999"/>
    <n v="14936.02"/>
    <n v="-50760.93"/>
    <n v="15881.85"/>
    <n v="-45014.55"/>
    <n v="17044.669999999998"/>
    <n v="60896.4"/>
  </r>
  <r>
    <x v="2"/>
    <x v="1"/>
    <x v="0"/>
    <s v="2333200"/>
    <n v="450040"/>
    <s v="Prompt Pay Disc-Phys Svcs-Self Pay"/>
    <s v="PC-Canyon Rd-Fam Med"/>
    <x v="0"/>
    <n v="1500"/>
    <n v="0"/>
    <n v="2.2999999999999998"/>
    <n v="0"/>
    <n v="30.39"/>
    <n v="124.93"/>
    <n v="0"/>
    <n v="0"/>
    <n v="-86.3"/>
    <n v="0"/>
    <n v="0"/>
    <n v="314.37"/>
    <n v="0"/>
    <n v="385.69"/>
    <n v="314.37"/>
  </r>
  <r>
    <x v="2"/>
    <x v="1"/>
    <x v="0"/>
    <s v="2333200"/>
    <n v="450040"/>
    <s v="Admin Adjust-Phys Svcs-Self Pay"/>
    <s v="PC-Canyon Rd-Fam Med"/>
    <x v="0"/>
    <n v="1600"/>
    <n v="5698.43"/>
    <n v="9943.86"/>
    <n v="9184.31"/>
    <n v="11888.49"/>
    <n v="7988.03"/>
    <n v="7238.3"/>
    <n v="8262.24"/>
    <n v="7807.68"/>
    <n v="11864.38"/>
    <n v="9393.23"/>
    <n v="10916.09"/>
    <n v="7532.06"/>
    <n v="107717.09999999999"/>
    <n v="3384.0299999999997"/>
  </r>
  <r>
    <x v="2"/>
    <x v="1"/>
    <x v="0"/>
    <s v="2333200"/>
    <n v="450040"/>
    <s v="Contr Allow--Phys Svcs--Other"/>
    <s v="PC-Canyon Rd-Fam Med"/>
    <x v="0"/>
    <n v="1700"/>
    <n v="16199.03"/>
    <n v="23593.86"/>
    <n v="14393.92"/>
    <n v="25947.33"/>
    <n v="14408.77"/>
    <n v="13521.77"/>
    <n v="17102.560000000001"/>
    <n v="16087.78"/>
    <n v="20983.09"/>
    <n v="21251.41"/>
    <n v="20987.29"/>
    <n v="21018.22"/>
    <n v="225495.03000000003"/>
    <n v="-30.930000000000291"/>
  </r>
  <r>
    <x v="3"/>
    <x v="1"/>
    <x v="0"/>
    <s v="2333200"/>
    <n v="470040"/>
    <s v="Charity Care-Physician Svcs"/>
    <s v="PC-Canyon Rd-Fam Med"/>
    <x v="0"/>
    <m/>
    <n v="606.61"/>
    <n v="6468.98"/>
    <n v="1801.72"/>
    <n v="2454.4499999999998"/>
    <n v="844.19"/>
    <n v="1136.5999999999999"/>
    <n v="3526.82"/>
    <n v="1411.66"/>
    <n v="7396.76"/>
    <n v="2017.14"/>
    <n v="614.07000000000005"/>
    <n v="7760.86"/>
    <n v="36039.86"/>
    <n v="-7146.79"/>
  </r>
  <r>
    <x v="4"/>
    <x v="1"/>
    <x v="0"/>
    <s v="2333200"/>
    <n v="490010"/>
    <s v="Provision for Bad Debts"/>
    <s v="PC-Canyon Rd-Fam Med"/>
    <x v="0"/>
    <m/>
    <n v="15687.28"/>
    <n v="10327.42"/>
    <n v="17859.22"/>
    <n v="16796.57"/>
    <n v="19724.68"/>
    <n v="9749.9"/>
    <n v="11692.74"/>
    <n v="10135.6"/>
    <n v="18409.259999999998"/>
    <n v="6304.45"/>
    <n v="15243.64"/>
    <n v="12177.24"/>
    <n v="164108"/>
    <n v="3066.3999999999996"/>
  </r>
  <r>
    <x v="5"/>
    <x v="1"/>
    <x v="0"/>
    <s v="2333200"/>
    <n v="700018"/>
    <s v="Salaries-Supervisory-Productive"/>
    <s v="PC-Canyon Rd-Fam Med"/>
    <x v="0"/>
    <m/>
    <n v="3355.93"/>
    <n v="3477.73"/>
    <n v="3585.98"/>
    <n v="3474.44"/>
    <n v="3931.2"/>
    <n v="3215.16"/>
    <n v="4316.78"/>
    <n v="2755.88"/>
    <n v="4190.05"/>
    <n v="3430.77"/>
    <n v="2755.88"/>
    <n v="3374.54"/>
    <n v="41864.339999999997"/>
    <n v="-618.65999999999985"/>
  </r>
  <r>
    <x v="5"/>
    <x v="1"/>
    <x v="0"/>
    <s v="2333200"/>
    <n v="700022"/>
    <s v="Salaries-Physician-Productive"/>
    <s v="PC-Canyon Rd-Fam Med"/>
    <x v="0"/>
    <m/>
    <n v="40433.040000000001"/>
    <n v="48247.83"/>
    <n v="37357.919999999998"/>
    <n v="44277.55"/>
    <n v="44480.05"/>
    <n v="33664.910000000003"/>
    <n v="47782.86"/>
    <n v="49013.08"/>
    <n v="60442.95"/>
    <n v="64647.89"/>
    <n v="61508.29"/>
    <n v="28439.599999999999"/>
    <n v="560295.97000000009"/>
    <n v="33068.69"/>
  </r>
  <r>
    <x v="5"/>
    <x v="1"/>
    <x v="0"/>
    <s v="2333200"/>
    <n v="700022"/>
    <s v="Salaries-Physician-Other"/>
    <s v="PC-Canyon Rd-Fam Med"/>
    <x v="0"/>
    <n v="2000"/>
    <n v="600"/>
    <n v="1438.46"/>
    <n v="0"/>
    <n v="1918.4"/>
    <n v="0"/>
    <n v="0"/>
    <n v="0"/>
    <n v="4610.92"/>
    <n v="829.54"/>
    <n v="1598.04"/>
    <n v="1420.49"/>
    <n v="4061.01"/>
    <n v="16476.86"/>
    <n v="-2640.5200000000004"/>
  </r>
  <r>
    <x v="5"/>
    <x v="1"/>
    <x v="0"/>
    <s v="2333200"/>
    <n v="700022"/>
    <s v="Salaries-Physician-Provider Incentive"/>
    <s v="PC-Canyon Rd-Fam Med"/>
    <x v="0"/>
    <n v="4003"/>
    <n v="0"/>
    <n v="6687.4"/>
    <n v="0"/>
    <n v="0"/>
    <n v="5513.4"/>
    <n v="0"/>
    <n v="0"/>
    <n v="7609.94"/>
    <n v="0"/>
    <n v="0"/>
    <n v="11271.88"/>
    <n v="-16.489999999999998"/>
    <n v="31066.129999999994"/>
    <n v="11288.369999999999"/>
  </r>
  <r>
    <x v="5"/>
    <x v="1"/>
    <x v="0"/>
    <s v="2333200"/>
    <n v="700024"/>
    <s v="Salaries-Advanced Practice Clinician-Productive"/>
    <s v="PC-Canyon Rd-Fam Med"/>
    <x v="0"/>
    <m/>
    <n v="48172.72"/>
    <n v="60011.16"/>
    <n v="49726.21"/>
    <n v="56084.53"/>
    <n v="51424.22"/>
    <n v="49928.67"/>
    <n v="54642.06"/>
    <n v="46895.95"/>
    <n v="48878.84"/>
    <n v="37944.199999999997"/>
    <n v="58087.9"/>
    <n v="46919.51"/>
    <n v="608715.97"/>
    <n v="11168.39"/>
  </r>
  <r>
    <x v="5"/>
    <x v="1"/>
    <x v="0"/>
    <s v="2333200"/>
    <n v="700024"/>
    <s v="Salaries-Advanced Practice Clinician-Other"/>
    <s v="PC-Canyon Rd-Fam Med"/>
    <x v="0"/>
    <n v="2000"/>
    <n v="3870"/>
    <n v="4564.1400000000003"/>
    <n v="1043.0999999999999"/>
    <n v="540"/>
    <n v="-540"/>
    <n v="5321.25"/>
    <n v="942.71"/>
    <n v="8622.59"/>
    <n v="3023.18"/>
    <n v="9512.65"/>
    <n v="600.89"/>
    <n v="13657.46"/>
    <n v="51157.97"/>
    <n v="-13056.57"/>
  </r>
  <r>
    <x v="5"/>
    <x v="1"/>
    <x v="0"/>
    <s v="2333200"/>
    <n v="700024"/>
    <s v="Salaries-Advanced Practice Clinician-Provider Incentive"/>
    <s v="PC-Canyon Rd-Fam Med"/>
    <x v="0"/>
    <n v="4003"/>
    <n v="0"/>
    <n v="9105.0300000000007"/>
    <n v="0"/>
    <n v="0"/>
    <n v="7895.08"/>
    <n v="0"/>
    <n v="0"/>
    <n v="11999.88"/>
    <n v="0"/>
    <n v="0"/>
    <n v="13735.01"/>
    <n v="-20.079999999999998"/>
    <n v="42714.92"/>
    <n v="13755.09"/>
  </r>
  <r>
    <x v="5"/>
    <x v="1"/>
    <x v="0"/>
    <s v="2333200"/>
    <n v="700024"/>
    <s v="Salaries-Advanced Practice Clinician-Recruitment Bonus"/>
    <s v="PC-Canyon Rd-Fam Med"/>
    <x v="0"/>
    <n v="4005"/>
    <n v="0"/>
    <n v="0"/>
    <n v="1695.2"/>
    <n v="0"/>
    <n v="0"/>
    <n v="0"/>
    <n v="0"/>
    <n v="0"/>
    <n v="0"/>
    <n v="0"/>
    <n v="0"/>
    <n v="0"/>
    <n v="1695.2"/>
    <n v="0"/>
  </r>
  <r>
    <x v="5"/>
    <x v="1"/>
    <x v="0"/>
    <s v="2333200"/>
    <n v="700026"/>
    <s v="Salaries-RN-Productive"/>
    <s v="PC-Canyon Rd-Fam Med"/>
    <x v="0"/>
    <m/>
    <n v="10268.19"/>
    <n v="11974.54"/>
    <n v="10163.93"/>
    <n v="13506.3"/>
    <n v="12684.83"/>
    <n v="15460.95"/>
    <n v="19687.810000000001"/>
    <n v="15546.69"/>
    <n v="17196.46"/>
    <n v="19521.03"/>
    <n v="15651.55"/>
    <n v="16623.87"/>
    <n v="178286.15"/>
    <n v="-972.31999999999971"/>
  </r>
  <r>
    <x v="5"/>
    <x v="1"/>
    <x v="0"/>
    <s v="2333200"/>
    <n v="700026"/>
    <s v="Salaries-RN-OT"/>
    <s v="PC-Canyon Rd-Fam Med"/>
    <x v="0"/>
    <n v="1000"/>
    <n v="16.25"/>
    <n v="0"/>
    <n v="97.5"/>
    <n v="16.25"/>
    <n v="183.14"/>
    <n v="135.59"/>
    <n v="262.7"/>
    <n v="139.13999999999999"/>
    <n v="443.23"/>
    <n v="208.26"/>
    <n v="412.98"/>
    <n v="168.31"/>
    <n v="2083.3500000000004"/>
    <n v="244.67000000000002"/>
  </r>
  <r>
    <x v="5"/>
    <x v="1"/>
    <x v="0"/>
    <s v="2333200"/>
    <n v="700026"/>
    <s v="Salaries-RN-Other"/>
    <s v="PC-Canyon Rd-Fam Med"/>
    <x v="0"/>
    <n v="2000"/>
    <n v="638.96"/>
    <n v="259.60000000000002"/>
    <n v="593.36"/>
    <n v="296.44"/>
    <n v="274.86"/>
    <n v="300.56"/>
    <n v="825.37"/>
    <n v="262.24"/>
    <n v="308.44"/>
    <n v="331.06"/>
    <n v="323.70999999999998"/>
    <n v="717.99"/>
    <n v="5132.59"/>
    <n v="-394.28000000000003"/>
  </r>
  <r>
    <x v="5"/>
    <x v="1"/>
    <x v="0"/>
    <s v="2333200"/>
    <n v="700030"/>
    <s v="Salaries-LPN-Productive"/>
    <s v="PC-Canyon Rd-Fam Med"/>
    <x v="0"/>
    <m/>
    <n v="20739.45"/>
    <n v="22065.11"/>
    <n v="20407.439999999999"/>
    <n v="24415.93"/>
    <n v="23150.07"/>
    <n v="17209.53"/>
    <n v="19022.240000000002"/>
    <n v="14132.9"/>
    <n v="17674.91"/>
    <n v="16599.16"/>
    <n v="12825.43"/>
    <n v="16417.78"/>
    <n v="224659.94999999998"/>
    <n v="-3592.3499999999985"/>
  </r>
  <r>
    <x v="5"/>
    <x v="1"/>
    <x v="0"/>
    <s v="2333200"/>
    <n v="700030"/>
    <s v="Salaries-LPN-OT"/>
    <s v="PC-Canyon Rd-Fam Med"/>
    <x v="0"/>
    <n v="1000"/>
    <n v="0"/>
    <n v="1093.22"/>
    <n v="-125.41"/>
    <n v="-42.1"/>
    <n v="58.01"/>
    <n v="153.11000000000001"/>
    <n v="110.64"/>
    <n v="-29.48"/>
    <n v="966.01"/>
    <n v="2020.39"/>
    <n v="705.62"/>
    <n v="1128.58"/>
    <n v="6038.59"/>
    <n v="-422.95999999999992"/>
  </r>
  <r>
    <x v="5"/>
    <x v="1"/>
    <x v="0"/>
    <s v="2333200"/>
    <n v="700030"/>
    <s v="Salaries-LPN-Other"/>
    <s v="PC-Canyon Rd-Fam Med"/>
    <x v="0"/>
    <n v="2000"/>
    <n v="276.63"/>
    <n v="209.36"/>
    <n v="344.2"/>
    <n v="158.22999999999999"/>
    <n v="147.9"/>
    <n v="124.29"/>
    <n v="420.7"/>
    <n v="79.739999999999995"/>
    <n v="103.65"/>
    <n v="133.87"/>
    <n v="80.06"/>
    <n v="260.52999999999997"/>
    <n v="2339.16"/>
    <n v="-180.46999999999997"/>
  </r>
  <r>
    <x v="5"/>
    <x v="1"/>
    <x v="0"/>
    <s v="2333200"/>
    <n v="700032"/>
    <s v="Salaries-Other Pat Care Providers-Productive"/>
    <s v="PC-Canyon Rd-Fam Med"/>
    <x v="0"/>
    <m/>
    <n v="2820.21"/>
    <n v="2002.14"/>
    <n v="2830.25"/>
    <n v="2369.08"/>
    <n v="2530.5"/>
    <n v="2285.4699999999998"/>
    <n v="2756.6"/>
    <n v="2457.5"/>
    <n v="2184.6999999999998"/>
    <n v="2399.0500000000002"/>
    <n v="3221.04"/>
    <n v="2435.5700000000002"/>
    <n v="30292.11"/>
    <n v="785.4699999999998"/>
  </r>
  <r>
    <x v="5"/>
    <x v="1"/>
    <x v="0"/>
    <s v="2333200"/>
    <n v="700032"/>
    <s v="Salaries-Other Pat Care Providers-Other"/>
    <s v="PC-Canyon Rd-Fam Med"/>
    <x v="0"/>
    <n v="2000"/>
    <n v="130.04"/>
    <n v="7"/>
    <n v="173.71"/>
    <n v="15.75"/>
    <n v="20.5"/>
    <n v="9.15"/>
    <n v="166.96"/>
    <n v="33.79"/>
    <n v="20.96"/>
    <n v="15.19"/>
    <n v="56.04"/>
    <n v="142.59"/>
    <n v="791.68000000000006"/>
    <n v="-86.550000000000011"/>
  </r>
  <r>
    <x v="5"/>
    <x v="1"/>
    <x v="0"/>
    <s v="2333200"/>
    <n v="700038"/>
    <s v="Salaries-Service/Support-Productive"/>
    <s v="PC-Canyon Rd-Fam Med"/>
    <x v="0"/>
    <m/>
    <n v="0"/>
    <n v="0"/>
    <n v="288.08999999999997"/>
    <n v="-96.03"/>
    <n v="0"/>
    <n v="0"/>
    <n v="0"/>
    <n v="0"/>
    <n v="73.37"/>
    <n v="0"/>
    <n v="0"/>
    <n v="104.87"/>
    <n v="370.29999999999995"/>
    <n v="-104.87"/>
  </r>
  <r>
    <x v="5"/>
    <x v="1"/>
    <x v="0"/>
    <s v="2333200"/>
    <n v="700038"/>
    <s v="Salaries-Service/Support-OT"/>
    <s v="PC-Canyon Rd-Fam Med"/>
    <x v="0"/>
    <n v="1000"/>
    <n v="0"/>
    <n v="0"/>
    <n v="0"/>
    <n v="0"/>
    <n v="0"/>
    <n v="0"/>
    <n v="0"/>
    <n v="0"/>
    <n v="0"/>
    <n v="0"/>
    <n v="0"/>
    <n v="17.52"/>
    <n v="17.52"/>
    <n v="-17.52"/>
  </r>
  <r>
    <x v="5"/>
    <x v="1"/>
    <x v="0"/>
    <s v="2333200"/>
    <n v="700038"/>
    <s v="Salaries-Service/Support-Other"/>
    <s v="PC-Canyon Rd-Fam Med"/>
    <x v="0"/>
    <n v="2000"/>
    <n v="0"/>
    <n v="0"/>
    <n v="26.24"/>
    <n v="-8.74"/>
    <n v="0"/>
    <n v="0"/>
    <n v="0"/>
    <n v="0"/>
    <n v="3.75"/>
    <n v="0"/>
    <n v="0"/>
    <n v="5.01"/>
    <n v="26.259999999999998"/>
    <n v="-5.01"/>
  </r>
  <r>
    <x v="5"/>
    <x v="1"/>
    <x v="0"/>
    <s v="2333200"/>
    <n v="700054"/>
    <s v="Salaries-Management-NonProd-Other"/>
    <s v="PC-Canyon Rd-Fam Med"/>
    <x v="0"/>
    <n v="2000"/>
    <n v="0"/>
    <n v="0"/>
    <n v="0"/>
    <n v="0"/>
    <n v="0"/>
    <n v="605.89"/>
    <n v="-605.89"/>
    <n v="0"/>
    <n v="0"/>
    <n v="0"/>
    <n v="0"/>
    <n v="0"/>
    <n v="0"/>
    <n v="0"/>
  </r>
  <r>
    <x v="5"/>
    <x v="1"/>
    <x v="0"/>
    <s v="2333200"/>
    <n v="700058"/>
    <s v="Salaries-Supervisory-Non-productive"/>
    <s v="PC-Canyon Rd-Fam Med"/>
    <x v="0"/>
    <m/>
    <n v="0"/>
    <n v="0"/>
    <n v="541.28"/>
    <n v="0"/>
    <n v="561.6"/>
    <n v="1024.92"/>
    <n v="239.09"/>
    <n v="393.69"/>
    <n v="-112.48"/>
    <n v="899.87"/>
    <n v="1490.42"/>
    <n v="-281.2"/>
    <n v="4757.1900000000005"/>
    <n v="1771.6200000000001"/>
  </r>
  <r>
    <x v="5"/>
    <x v="1"/>
    <x v="0"/>
    <s v="2333200"/>
    <n v="700058"/>
    <s v="Salaries-Supervisory-NonProd-Other"/>
    <s v="PC-Canyon Rd-Fam Med"/>
    <x v="0"/>
    <n v="2000"/>
    <n v="0"/>
    <n v="0"/>
    <n v="0"/>
    <n v="0"/>
    <n v="501.07"/>
    <n v="1002.14"/>
    <n v="0"/>
    <n v="-1503.21"/>
    <n v="0"/>
    <n v="0"/>
    <n v="0"/>
    <n v="0"/>
    <n v="0"/>
    <n v="0"/>
  </r>
  <r>
    <x v="5"/>
    <x v="1"/>
    <x v="0"/>
    <s v="2333200"/>
    <n v="700062"/>
    <s v="Salaries-Physician-Non-productive"/>
    <s v="PC-Canyon Rd-Fam Med"/>
    <x v="0"/>
    <m/>
    <n v="2096.15"/>
    <n v="1048.08"/>
    <n v="1144.3"/>
    <n v="0"/>
    <n v="0"/>
    <n v="5698.61"/>
    <n v="-205.97"/>
    <n v="1604.37"/>
    <n v="721.29"/>
    <n v="1169.6600000000001"/>
    <n v="6737.87"/>
    <n v="29798.02"/>
    <n v="49812.380000000005"/>
    <n v="-23060.15"/>
  </r>
  <r>
    <x v="5"/>
    <x v="1"/>
    <x v="0"/>
    <s v="2333200"/>
    <n v="700062"/>
    <s v="Salaries-Physician-NonProd-Other"/>
    <s v="PC-Canyon Rd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33200"/>
    <n v="700064"/>
    <s v="Salaries-Advanced Practice Clinician-Non-Productive"/>
    <s v="PC-Canyon Rd-Fam Med"/>
    <x v="0"/>
    <m/>
    <n v="14688.25"/>
    <n v="1853.44"/>
    <n v="501.7"/>
    <n v="623.15"/>
    <n v="135.63"/>
    <n v="5390.13"/>
    <n v="-254.46"/>
    <n v="6272.79"/>
    <n v="4835.74"/>
    <n v="18234.73"/>
    <n v="-793.42"/>
    <n v="7927.71"/>
    <n v="59415.390000000007"/>
    <n v="-8721.1299999999992"/>
  </r>
  <r>
    <x v="5"/>
    <x v="1"/>
    <x v="0"/>
    <s v="2333200"/>
    <n v="700064"/>
    <s v="Salaries-Advanced Practice Clinician-Non-Prod-Other"/>
    <s v="PC-Canyon Rd-Fam Med"/>
    <x v="0"/>
    <n v="2000"/>
    <n v="0"/>
    <n v="0"/>
    <n v="0"/>
    <n v="0"/>
    <n v="0"/>
    <n v="0"/>
    <n v="0"/>
    <n v="0"/>
    <n v="0"/>
    <n v="-1449.63"/>
    <n v="-85.28"/>
    <n v="0"/>
    <n v="-1534.91"/>
    <n v="-85.28"/>
  </r>
  <r>
    <x v="5"/>
    <x v="1"/>
    <x v="0"/>
    <s v="2333200"/>
    <n v="700066"/>
    <s v="Salaries-RN-Non-productive"/>
    <s v="PC-Canyon Rd-Fam Med"/>
    <x v="0"/>
    <m/>
    <n v="2379.6"/>
    <n v="1195.3"/>
    <n v="1308.95"/>
    <n v="424.84"/>
    <n v="651.52"/>
    <n v="2302.08"/>
    <n v="240.41"/>
    <n v="1055.99"/>
    <n v="697.21"/>
    <n v="2192.5"/>
    <n v="3209.24"/>
    <n v="806.22"/>
    <n v="16463.859999999997"/>
    <n v="2403.0199999999995"/>
  </r>
  <r>
    <x v="5"/>
    <x v="1"/>
    <x v="0"/>
    <s v="2333200"/>
    <n v="700066"/>
    <s v="Salaries-RN-NonProd-Other"/>
    <s v="PC-Canyon Rd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33200"/>
    <n v="700070"/>
    <s v="Salaries-LPN-Non-productive"/>
    <s v="PC-Canyon Rd-Fam Med"/>
    <x v="0"/>
    <m/>
    <n v="4011.59"/>
    <n v="3769.74"/>
    <n v="2293.67"/>
    <n v="1099.3399999999999"/>
    <n v="1991.52"/>
    <n v="2814.17"/>
    <n v="4122.87"/>
    <n v="4961.6899999999996"/>
    <n v="-70.489999999999995"/>
    <n v="1250.49"/>
    <n v="2002.16"/>
    <n v="984.2"/>
    <n v="29230.95"/>
    <n v="1017.96"/>
  </r>
  <r>
    <x v="5"/>
    <x v="1"/>
    <x v="0"/>
    <s v="2333200"/>
    <n v="700070"/>
    <s v="Salaries-LPN-NonProd-Other"/>
    <s v="PC-Canyon Rd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33200"/>
    <n v="700072"/>
    <s v="Salaries-Other Pat Care Providers-Non-productive"/>
    <s v="PC-Canyon Rd-Fam Med"/>
    <x v="0"/>
    <m/>
    <n v="21.25"/>
    <n v="580.80999999999995"/>
    <n v="17.71"/>
    <n v="77.47"/>
    <n v="74.180000000000007"/>
    <n v="141.66"/>
    <n v="9.14"/>
    <n v="154.66"/>
    <n v="650.30999999999995"/>
    <n v="152.22"/>
    <n v="0"/>
    <n v="60.88"/>
    <n v="1940.2900000000002"/>
    <n v="-60.88"/>
  </r>
  <r>
    <x v="5"/>
    <x v="1"/>
    <x v="0"/>
    <s v="2333200"/>
    <n v="700072"/>
    <s v="Salaries-Other Pat Care Providers-NonProd-Other"/>
    <s v="PC-Canyon Rd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33200"/>
    <n v="700084"/>
    <s v="Accrued PTO"/>
    <s v="PC-Canyon Rd-Fam Med"/>
    <x v="0"/>
    <m/>
    <n v="-1451.72"/>
    <n v="1083.05"/>
    <n v="202.59"/>
    <n v="2589.92"/>
    <n v="1805.36"/>
    <n v="-364.69"/>
    <n v="1187.72"/>
    <n v="-922.33"/>
    <n v="2122.69"/>
    <n v="923.34"/>
    <n v="483.73"/>
    <n v="1539.59"/>
    <n v="9199.25"/>
    <n v="-1055.8599999999999"/>
  </r>
  <r>
    <x v="6"/>
    <x v="1"/>
    <x v="0"/>
    <s v="2333200"/>
    <n v="713010"/>
    <s v="Benefits-FICA/Medicare"/>
    <s v="PC-Canyon Rd-Fam Med"/>
    <x v="0"/>
    <m/>
    <n v="9048.7000000000007"/>
    <n v="10030.459999999999"/>
    <n v="7512.51"/>
    <n v="8319.59"/>
    <n v="7340.37"/>
    <n v="7773.21"/>
    <n v="11636.26"/>
    <n v="13205.34"/>
    <n v="12428.84"/>
    <n v="13494.01"/>
    <n v="16570.02"/>
    <n v="9443.35"/>
    <n v="126802.66"/>
    <n v="7126.67"/>
  </r>
  <r>
    <x v="6"/>
    <x v="1"/>
    <x v="0"/>
    <s v="2333200"/>
    <n v="713090"/>
    <s v="Benefits-Allocated Amounts"/>
    <s v="PC-Canyon Rd-Fam Med"/>
    <x v="0"/>
    <m/>
    <n v="0"/>
    <n v="0"/>
    <n v="0"/>
    <n v="0"/>
    <n v="0"/>
    <n v="0"/>
    <n v="0"/>
    <n v="0"/>
    <n v="107485.79"/>
    <n v="13354.54"/>
    <n v="12988.85"/>
    <n v="13336.54"/>
    <n v="147165.72"/>
    <n v="-347.69000000000051"/>
  </r>
  <r>
    <x v="6"/>
    <x v="1"/>
    <x v="0"/>
    <s v="2333200"/>
    <n v="713092"/>
    <s v="Allocated Benefits-Physician"/>
    <s v="PC-Canyon Rd-Fam Med"/>
    <x v="0"/>
    <m/>
    <n v="9443.1299999999992"/>
    <n v="8817.76"/>
    <n v="8632.42"/>
    <n v="8590.2000000000007"/>
    <n v="8763.23"/>
    <n v="9039.65"/>
    <n v="10513.86"/>
    <n v="10714.36"/>
    <n v="-49835.519999999997"/>
    <n v="3066.24"/>
    <n v="2982.29"/>
    <n v="3062.11"/>
    <n v="33789.729999999989"/>
    <n v="-79.820000000000164"/>
  </r>
  <r>
    <x v="6"/>
    <x v="1"/>
    <x v="0"/>
    <s v="2333200"/>
    <n v="713093"/>
    <s v="Allocated Benefits-Advanced Practice Clinician"/>
    <s v="PC-Canyon Rd-Fam Med"/>
    <x v="0"/>
    <m/>
    <n v="12549.18"/>
    <n v="11718.1"/>
    <n v="11471.81"/>
    <n v="11415.71"/>
    <n v="11645.64"/>
    <n v="12013"/>
    <n v="13972.08"/>
    <n v="14238.56"/>
    <n v="-32644.62"/>
    <n v="8247.2900000000009"/>
    <n v="8021.47"/>
    <n v="8236.18"/>
    <n v="90884.4"/>
    <n v="-214.71000000000004"/>
  </r>
  <r>
    <x v="6"/>
    <x v="1"/>
    <x v="0"/>
    <s v="2333200"/>
    <n v="713096"/>
    <s v="Employee Recognition"/>
    <s v="PC-Canyon Rd-Fam Med"/>
    <x v="0"/>
    <n v="1017"/>
    <n v="0"/>
    <n v="0"/>
    <n v="0"/>
    <n v="0"/>
    <n v="0"/>
    <n v="0"/>
    <n v="0"/>
    <n v="0"/>
    <n v="0"/>
    <n v="43.91"/>
    <n v="0"/>
    <n v="0"/>
    <n v="43.91"/>
    <n v="0"/>
  </r>
  <r>
    <x v="7"/>
    <x v="1"/>
    <x v="0"/>
    <s v="2333200"/>
    <n v="718040"/>
    <s v="Contract Svcs-Laboratory"/>
    <s v="PC-Canyon Rd-Fam Med"/>
    <x v="0"/>
    <m/>
    <n v="0"/>
    <n v="0"/>
    <n v="0"/>
    <n v="0"/>
    <n v="0"/>
    <n v="0"/>
    <n v="74.2"/>
    <n v="0"/>
    <n v="0"/>
    <n v="0"/>
    <n v="0"/>
    <n v="0"/>
    <n v="74.2"/>
    <n v="0"/>
  </r>
  <r>
    <x v="7"/>
    <x v="1"/>
    <x v="0"/>
    <s v="2333200"/>
    <n v="718050"/>
    <s v="Cleaning Services"/>
    <s v="PC-Canyon Rd-Fam Med"/>
    <x v="0"/>
    <n v="1011"/>
    <n v="0"/>
    <n v="0"/>
    <n v="0"/>
    <n v="4428"/>
    <n v="0"/>
    <n v="0"/>
    <n v="0"/>
    <n v="0"/>
    <n v="0"/>
    <n v="0"/>
    <n v="0"/>
    <n v="0"/>
    <n v="4428"/>
    <n v="0"/>
  </r>
  <r>
    <x v="7"/>
    <x v="1"/>
    <x v="0"/>
    <s v="2333200"/>
    <n v="718050"/>
    <s v="Miscellaneous Purchased Svcs"/>
    <s v="PC-Canyon Rd-Fam Med"/>
    <x v="0"/>
    <n v="1020"/>
    <n v="0"/>
    <n v="0"/>
    <n v="45"/>
    <n v="0"/>
    <n v="0"/>
    <n v="0"/>
    <n v="0"/>
    <n v="0"/>
    <n v="0"/>
    <n v="0"/>
    <n v="0"/>
    <n v="0"/>
    <n v="45"/>
    <n v="0"/>
  </r>
  <r>
    <x v="7"/>
    <x v="1"/>
    <x v="0"/>
    <s v="2333200"/>
    <n v="718050"/>
    <s v="Contract Management--Linen"/>
    <s v="PC-Canyon Rd-Fam Med"/>
    <x v="0"/>
    <n v="1026"/>
    <n v="180.92"/>
    <n v="0"/>
    <n v="114.1"/>
    <n v="0"/>
    <n v="0"/>
    <n v="0"/>
    <n v="0"/>
    <n v="0"/>
    <n v="0"/>
    <n v="0"/>
    <n v="0"/>
    <n v="0"/>
    <n v="295.02"/>
    <n v="0"/>
  </r>
  <r>
    <x v="7"/>
    <x v="1"/>
    <x v="0"/>
    <s v="2333200"/>
    <n v="718050"/>
    <s v="Purchased Srvcs--Medical Waste"/>
    <s v="PC-Canyon Rd-Fam Med"/>
    <x v="0"/>
    <n v="1027"/>
    <n v="0"/>
    <n v="0"/>
    <n v="10.36"/>
    <n v="0"/>
    <n v="0"/>
    <n v="0"/>
    <n v="0"/>
    <n v="87.17"/>
    <n v="0"/>
    <n v="0"/>
    <n v="0"/>
    <n v="0"/>
    <n v="97.53"/>
    <n v="0"/>
  </r>
  <r>
    <x v="11"/>
    <x v="1"/>
    <x v="0"/>
    <s v="2333200"/>
    <n v="721220"/>
    <s v="Supplies-Medical Gases - Billable"/>
    <s v="PC-Canyon Rd-Fam Med"/>
    <x v="0"/>
    <m/>
    <n v="0"/>
    <n v="0"/>
    <n v="0"/>
    <n v="0"/>
    <n v="0"/>
    <n v="0"/>
    <n v="0"/>
    <n v="0"/>
    <n v="0"/>
    <n v="77.650000000000006"/>
    <n v="0"/>
    <n v="131.30000000000001"/>
    <n v="208.95000000000002"/>
    <n v="-131.30000000000001"/>
  </r>
  <r>
    <x v="11"/>
    <x v="1"/>
    <x v="0"/>
    <s v="2333200"/>
    <n v="721410"/>
    <s v="Supplies-Medical - Nonbillable"/>
    <s v="PC-Canyon Rd-Fam Med"/>
    <x v="0"/>
    <m/>
    <n v="3139.42"/>
    <n v="6434.26"/>
    <n v="4957.82"/>
    <n v="6202.65"/>
    <n v="2362.61"/>
    <n v="5677.9"/>
    <n v="2974.15"/>
    <n v="10922.37"/>
    <n v="4375.6400000000003"/>
    <n v="4305.6000000000004"/>
    <n v="1581.2"/>
    <n v="7044.3"/>
    <n v="59977.920000000006"/>
    <n v="-5463.1"/>
  </r>
  <r>
    <x v="11"/>
    <x v="1"/>
    <x v="0"/>
    <s v="2333200"/>
    <n v="722000"/>
    <s v="Supplies-Freight Expense"/>
    <s v="PC-Canyon Rd-Fam Med"/>
    <x v="0"/>
    <m/>
    <n v="0"/>
    <n v="0"/>
    <n v="0"/>
    <n v="26.17"/>
    <n v="0"/>
    <n v="0"/>
    <n v="0"/>
    <n v="0"/>
    <n v="10"/>
    <n v="0"/>
    <n v="0"/>
    <n v="27.49"/>
    <n v="63.66"/>
    <n v="-27.49"/>
  </r>
  <r>
    <x v="16"/>
    <x v="1"/>
    <x v="0"/>
    <s v="2333200"/>
    <n v="732030"/>
    <s v="Repairs---Other"/>
    <s v="PC-Canyon Rd-Fam Med"/>
    <x v="0"/>
    <m/>
    <n v="0"/>
    <n v="0"/>
    <n v="0"/>
    <n v="0"/>
    <n v="0"/>
    <n v="0"/>
    <n v="213.59"/>
    <n v="0"/>
    <n v="0"/>
    <n v="0"/>
    <n v="0"/>
    <n v="0"/>
    <n v="213.59"/>
    <n v="0"/>
  </r>
  <r>
    <x v="0"/>
    <x v="1"/>
    <x v="0"/>
    <s v="2333200"/>
    <n v="740020"/>
    <s v="Education-Registration Fees"/>
    <s v="PC-Canyon Rd-Fam Med"/>
    <x v="0"/>
    <m/>
    <n v="0"/>
    <n v="0"/>
    <n v="0"/>
    <n v="0"/>
    <n v="0"/>
    <n v="0"/>
    <n v="0"/>
    <n v="0"/>
    <n v="0"/>
    <n v="45"/>
    <n v="0"/>
    <n v="0"/>
    <n v="45"/>
    <n v="0"/>
  </r>
  <r>
    <x v="0"/>
    <x v="1"/>
    <x v="0"/>
    <s v="2333200"/>
    <n v="740022"/>
    <s v="Education-Physician"/>
    <s v="PC-Canyon Rd-Fam Med"/>
    <x v="0"/>
    <m/>
    <n v="0"/>
    <n v="0"/>
    <n v="0"/>
    <n v="3000"/>
    <n v="0"/>
    <n v="3000"/>
    <n v="0"/>
    <n v="0"/>
    <n v="0"/>
    <n v="1250"/>
    <n v="0"/>
    <n v="0"/>
    <n v="7250"/>
    <n v="0"/>
  </r>
  <r>
    <x v="0"/>
    <x v="1"/>
    <x v="0"/>
    <s v="2333200"/>
    <n v="740023"/>
    <s v="Education-Advanced Practice Clinician"/>
    <s v="PC-Canyon Rd-Fam Med"/>
    <x v="0"/>
    <m/>
    <n v="1080"/>
    <n v="0"/>
    <n v="0"/>
    <n v="45"/>
    <n v="0"/>
    <n v="0"/>
    <n v="0"/>
    <n v="0"/>
    <n v="0"/>
    <n v="650"/>
    <n v="2972.61"/>
    <n v="970"/>
    <n v="5717.6100000000006"/>
    <n v="2002.6100000000001"/>
  </r>
  <r>
    <x v="8"/>
    <x v="1"/>
    <x v="0"/>
    <s v="2333200"/>
    <n v="741012"/>
    <s v="Physician Liab Insurance-CHI Program"/>
    <s v="PC-Canyon Rd-Fam Med"/>
    <x v="0"/>
    <m/>
    <n v="615.77"/>
    <n v="615.77"/>
    <n v="615.77"/>
    <n v="615.77"/>
    <n v="615.77"/>
    <n v="615.76"/>
    <n v="615.77"/>
    <n v="1487.82"/>
    <n v="1487.84"/>
    <n v="1487.82"/>
    <n v="1487.84"/>
    <n v="1487.82"/>
    <n v="11749.519999999999"/>
    <n v="1.999999999998181E-2"/>
  </r>
  <r>
    <x v="0"/>
    <x v="1"/>
    <x v="0"/>
    <s v="2333200"/>
    <n v="743020"/>
    <s v="Dues--Individual"/>
    <s v="PC-Canyon Rd-Fam Med"/>
    <x v="0"/>
    <m/>
    <n v="0"/>
    <n v="0"/>
    <n v="0"/>
    <n v="0"/>
    <n v="0"/>
    <n v="0"/>
    <n v="0"/>
    <n v="660"/>
    <n v="0"/>
    <n v="0"/>
    <n v="0"/>
    <n v="0"/>
    <n v="660"/>
    <n v="0"/>
  </r>
  <r>
    <x v="0"/>
    <x v="1"/>
    <x v="0"/>
    <s v="2333200"/>
    <n v="743022"/>
    <s v="Dues-Physician"/>
    <s v="PC-Canyon Rd-Fam Med"/>
    <x v="0"/>
    <m/>
    <n v="0"/>
    <n v="0"/>
    <n v="731"/>
    <n v="0"/>
    <n v="1440"/>
    <n v="0"/>
    <n v="0"/>
    <n v="655"/>
    <n v="600"/>
    <n v="0"/>
    <n v="0"/>
    <n v="0"/>
    <n v="3426"/>
    <n v="0"/>
  </r>
  <r>
    <x v="0"/>
    <x v="1"/>
    <x v="0"/>
    <s v="2333200"/>
    <n v="749510"/>
    <s v="Miscellaneous Expenses"/>
    <s v="PC-Canyon Rd-Fam Med"/>
    <x v="0"/>
    <m/>
    <n v="-1505"/>
    <n v="-4236.7700000000004"/>
    <n v="-11.99"/>
    <n v="875.97"/>
    <n v="244.49"/>
    <n v="-1120.46"/>
    <n v="0"/>
    <n v="0"/>
    <n v="0"/>
    <n v="0"/>
    <n v="0"/>
    <n v="0"/>
    <n v="-5753.76"/>
    <n v="0"/>
  </r>
  <r>
    <x v="0"/>
    <x v="1"/>
    <x v="0"/>
    <s v="2333200"/>
    <n v="749512"/>
    <s v="Licenses-Physician"/>
    <s v="PC-Canyon Rd-Fam Med"/>
    <x v="0"/>
    <n v="2000"/>
    <n v="0"/>
    <n v="0"/>
    <n v="0"/>
    <n v="0"/>
    <n v="0"/>
    <n v="657"/>
    <n v="0"/>
    <n v="0"/>
    <n v="810"/>
    <n v="0"/>
    <n v="0"/>
    <n v="0"/>
    <n v="1467"/>
    <n v="0"/>
  </r>
  <r>
    <x v="0"/>
    <x v="1"/>
    <x v="0"/>
    <s v="2333200"/>
    <n v="749513"/>
    <s v="Licenses-Advanced Practice Clinician"/>
    <s v="PC-Canyon Rd-Fam Med"/>
    <x v="0"/>
    <n v="2000"/>
    <n v="0"/>
    <n v="0"/>
    <n v="150"/>
    <n v="0"/>
    <n v="245"/>
    <n v="976"/>
    <n v="0"/>
    <n v="0"/>
    <n v="0"/>
    <n v="731"/>
    <n v="0"/>
    <n v="0"/>
    <n v="2102"/>
    <n v="0"/>
  </r>
  <r>
    <x v="0"/>
    <x v="1"/>
    <x v="0"/>
    <s v="2333200"/>
    <n v="749530"/>
    <s v="Mileage"/>
    <s v="PC-Canyon Rd-Fam Med"/>
    <x v="0"/>
    <n v="1001"/>
    <n v="0"/>
    <n v="0"/>
    <n v="0"/>
    <n v="0"/>
    <n v="11.99"/>
    <n v="60.53"/>
    <n v="0"/>
    <n v="0"/>
    <n v="0"/>
    <n v="17.399999999999999"/>
    <n v="0"/>
    <n v="0"/>
    <n v="89.919999999999987"/>
    <n v="0"/>
  </r>
  <r>
    <x v="0"/>
    <x v="1"/>
    <x v="0"/>
    <s v="2333200"/>
    <n v="749533"/>
    <s v="Travel-Advanced Practice Clinician"/>
    <s v="PC-Canyon Rd-Fam Med"/>
    <x v="0"/>
    <m/>
    <n v="1558.62"/>
    <n v="-1558.62"/>
    <n v="0"/>
    <n v="0"/>
    <n v="0"/>
    <n v="0"/>
    <n v="0"/>
    <n v="0"/>
    <n v="0"/>
    <n v="2300.23"/>
    <n v="1667"/>
    <n v="0"/>
    <n v="3967.23"/>
    <n v="1667"/>
  </r>
  <r>
    <x v="0"/>
    <x v="1"/>
    <x v="0"/>
    <s v="2333200"/>
    <n v="749533"/>
    <s v="Vehicle Expense-Advanced Practice Clinician"/>
    <s v="PC-Canyon Rd-Fam Med"/>
    <x v="0"/>
    <n v="2001"/>
    <n v="0"/>
    <n v="0"/>
    <n v="0"/>
    <n v="44.69"/>
    <n v="0"/>
    <n v="40.33"/>
    <n v="77.72"/>
    <n v="0"/>
    <n v="17.399999999999999"/>
    <n v="0"/>
    <n v="0"/>
    <n v="0"/>
    <n v="180.14000000000001"/>
    <n v="0"/>
  </r>
  <r>
    <x v="9"/>
    <x v="1"/>
    <x v="0"/>
    <s v="2333200"/>
    <n v="800015"/>
    <s v="Interest Income-Ext to CHI"/>
    <s v="PC-Canyon Rd-Fam Med"/>
    <x v="0"/>
    <m/>
    <n v="-13.42"/>
    <n v="-12.81"/>
    <n v="-11.81"/>
    <n v="-11.59"/>
    <n v="-10.63"/>
    <n v="-10.37"/>
    <n v="-9.76"/>
    <n v="-8.27"/>
    <n v="-146.55000000000001"/>
    <n v="-135.66"/>
    <n v="-133.83000000000001"/>
    <n v="-123.35"/>
    <n v="-628.05000000000007"/>
    <n v="-10.480000000000018"/>
  </r>
  <r>
    <x v="5"/>
    <x v="1"/>
    <x v="0"/>
    <s v="2334200"/>
    <n v="700034"/>
    <s v="Salaries-Tech/Professional-Productive"/>
    <s v="PC-Canyon Rd-Radiology"/>
    <x v="0"/>
    <m/>
    <n v="0"/>
    <n v="0"/>
    <n v="597.91"/>
    <n v="-199.3"/>
    <n v="0"/>
    <n v="0"/>
    <n v="0"/>
    <n v="0"/>
    <n v="0"/>
    <n v="0"/>
    <n v="0"/>
    <n v="0"/>
    <n v="398.60999999999996"/>
    <n v="0"/>
  </r>
  <r>
    <x v="5"/>
    <x v="1"/>
    <x v="0"/>
    <s v="2334200"/>
    <n v="700034"/>
    <s v="Salaries-Tech/Professional-OT"/>
    <s v="PC-Canyon Rd-Radiology"/>
    <x v="0"/>
    <n v="1000"/>
    <n v="0"/>
    <n v="0"/>
    <n v="104.68"/>
    <n v="-34.89"/>
    <n v="0"/>
    <n v="0"/>
    <n v="0"/>
    <n v="0"/>
    <n v="0"/>
    <n v="0"/>
    <n v="0"/>
    <n v="0"/>
    <n v="69.790000000000006"/>
    <n v="0"/>
  </r>
  <r>
    <x v="5"/>
    <x v="1"/>
    <x v="0"/>
    <s v="2334200"/>
    <n v="700034"/>
    <s v="Salaries-Tech/Professional-Other"/>
    <s v="PC-Canyon Rd-Radiology"/>
    <x v="0"/>
    <n v="2000"/>
    <n v="0"/>
    <n v="0"/>
    <n v="13.12"/>
    <n v="-4.37"/>
    <n v="0"/>
    <n v="0"/>
    <n v="0"/>
    <n v="0"/>
    <n v="0"/>
    <n v="0"/>
    <n v="0"/>
    <n v="0"/>
    <n v="8.75"/>
    <n v="0"/>
  </r>
  <r>
    <x v="6"/>
    <x v="1"/>
    <x v="0"/>
    <s v="2334200"/>
    <n v="713010"/>
    <s v="Benefits-FICA/Medicare"/>
    <s v="PC-Canyon Rd-Radiology"/>
    <x v="0"/>
    <m/>
    <n v="0"/>
    <n v="0"/>
    <n v="52.51"/>
    <n v="-17.5"/>
    <n v="0"/>
    <n v="0"/>
    <n v="0"/>
    <n v="0"/>
    <n v="0"/>
    <n v="0"/>
    <n v="0"/>
    <n v="0"/>
    <n v="35.01"/>
    <n v="0"/>
  </r>
  <r>
    <x v="6"/>
    <x v="1"/>
    <x v="0"/>
    <s v="2334200"/>
    <n v="713090"/>
    <s v="Benefits-Allocated Amounts"/>
    <s v="PC-Canyon Rd-Radiology"/>
    <x v="0"/>
    <m/>
    <n v="0"/>
    <n v="0"/>
    <n v="92.09"/>
    <n v="-5.12"/>
    <n v="22.46"/>
    <n v="-109.43"/>
    <n v="0"/>
    <n v="0"/>
    <n v="0"/>
    <n v="0"/>
    <n v="0"/>
    <n v="0"/>
    <n v="0"/>
    <n v="0"/>
  </r>
  <r>
    <x v="0"/>
    <x v="1"/>
    <x v="0"/>
    <s v="2334200"/>
    <n v="749530"/>
    <s v="Travel"/>
    <s v="PC-Canyon Rd-Radiology"/>
    <x v="0"/>
    <m/>
    <n v="0"/>
    <n v="0"/>
    <n v="12"/>
    <n v="0"/>
    <n v="0"/>
    <n v="0"/>
    <n v="0"/>
    <n v="0"/>
    <n v="0"/>
    <n v="0"/>
    <n v="0"/>
    <n v="0"/>
    <n v="12"/>
    <n v="0"/>
  </r>
  <r>
    <x v="0"/>
    <x v="1"/>
    <x v="0"/>
    <s v="2334200"/>
    <n v="749530"/>
    <s v="Mileage"/>
    <s v="PC-Canyon Rd-Radiology"/>
    <x v="0"/>
    <n v="1001"/>
    <n v="0"/>
    <n v="0"/>
    <n v="49.06"/>
    <n v="0"/>
    <n v="0"/>
    <n v="0"/>
    <n v="0"/>
    <n v="0"/>
    <n v="0"/>
    <n v="0"/>
    <n v="0"/>
    <n v="0"/>
    <n v="49.06"/>
    <n v="0"/>
  </r>
  <r>
    <x v="12"/>
    <x v="1"/>
    <x v="0"/>
    <s v="2335200"/>
    <n v="730020"/>
    <s v="Rental and Leases-Copier Usage Fees (DO NOT USE)"/>
    <s v="Closed Clinics/Providers-PC"/>
    <x v="0"/>
    <n v="5100"/>
    <n v="-8.6300000000000008"/>
    <n v="-10.93"/>
    <n v="-9.7799999999999994"/>
    <n v="-9.7799999999999994"/>
    <n v="-9.7799999999999994"/>
    <n v="-9.7799999999999994"/>
    <n v="113.34"/>
    <n v="0"/>
    <n v="0"/>
    <n v="0"/>
    <n v="0"/>
    <n v="0"/>
    <n v="54.66"/>
    <n v="0"/>
  </r>
  <r>
    <x v="8"/>
    <x v="1"/>
    <x v="0"/>
    <s v="2335200"/>
    <n v="741012"/>
    <s v="Physician Liab Insurance-CHI Program"/>
    <s v="Closed Clinics/Providers-PC"/>
    <x v="0"/>
    <m/>
    <n v="0"/>
    <n v="0"/>
    <n v="3978.8"/>
    <n v="3978.8"/>
    <n v="3978.81"/>
    <n v="3978.79"/>
    <n v="6507.49"/>
    <n v="0"/>
    <n v="0"/>
    <n v="0"/>
    <n v="0"/>
    <n v="0"/>
    <n v="22422.690000000002"/>
    <n v="0"/>
  </r>
  <r>
    <x v="1"/>
    <x v="1"/>
    <x v="0"/>
    <s v="2336200"/>
    <n v="400029"/>
    <s v="MD Practice Other Rev--Medicaid"/>
    <s v="Enumclaw Med &amp; Spec-Peds"/>
    <x v="0"/>
    <n v="1200"/>
    <n v="-262"/>
    <n v="-248"/>
    <n v="-203"/>
    <n v="-787"/>
    <n v="-940"/>
    <n v="-663"/>
    <n v="-1335"/>
    <n v="-1789"/>
    <n v="-3116"/>
    <n v="-1746"/>
    <n v="-1557"/>
    <n v="-1564"/>
    <n v="-14210"/>
    <n v="7"/>
  </r>
  <r>
    <x v="1"/>
    <x v="1"/>
    <x v="0"/>
    <s v="2336200"/>
    <n v="400029"/>
    <s v="MD Practice Other Rev--Comm Insurance"/>
    <s v="Enumclaw Med &amp; Spec-Peds"/>
    <x v="0"/>
    <n v="1300"/>
    <n v="0"/>
    <n v="-10"/>
    <n v="0"/>
    <n v="-45"/>
    <n v="-45"/>
    <n v="-45"/>
    <n v="-405"/>
    <n v="-159"/>
    <n v="-275"/>
    <n v="0"/>
    <n v="-95"/>
    <n v="-135"/>
    <n v="-1214"/>
    <n v="40"/>
  </r>
  <r>
    <x v="1"/>
    <x v="1"/>
    <x v="0"/>
    <s v="2336200"/>
    <n v="400029"/>
    <s v="MD Practice Other Rev--BCBS Comm"/>
    <s v="Enumclaw Med &amp; Spec-Peds"/>
    <x v="0"/>
    <n v="1301"/>
    <n v="-68"/>
    <n v="-55"/>
    <n v="-180"/>
    <n v="-326"/>
    <n v="-335"/>
    <n v="-840"/>
    <n v="-945"/>
    <n v="-1372"/>
    <n v="-1151"/>
    <n v="-993"/>
    <n v="-643"/>
    <n v="-519"/>
    <n v="-7427"/>
    <n v="-124"/>
  </r>
  <r>
    <x v="1"/>
    <x v="1"/>
    <x v="0"/>
    <s v="2336200"/>
    <n v="400029"/>
    <s v="MD Practice Other Rev--Managed Care"/>
    <s v="Enumclaw Med &amp; Spec-Peds"/>
    <x v="0"/>
    <n v="1400"/>
    <n v="-144"/>
    <n v="0"/>
    <n v="-280"/>
    <n v="-458"/>
    <n v="-369"/>
    <n v="-756"/>
    <n v="-1077"/>
    <n v="-1836"/>
    <n v="-2288"/>
    <n v="-1107"/>
    <n v="-899"/>
    <n v="-1398"/>
    <n v="-10612"/>
    <n v="499"/>
  </r>
  <r>
    <x v="1"/>
    <x v="1"/>
    <x v="0"/>
    <s v="2336200"/>
    <n v="400029"/>
    <s v="MD Practice Other Rev--Self Pay"/>
    <s v="Enumclaw Med &amp; Spec-Peds"/>
    <x v="0"/>
    <n v="1500"/>
    <n v="0"/>
    <n v="45"/>
    <n v="0"/>
    <n v="-45"/>
    <n v="-90"/>
    <n v="0"/>
    <n v="0"/>
    <n v="0"/>
    <n v="-90"/>
    <n v="0"/>
    <n v="0"/>
    <n v="-49"/>
    <n v="-229"/>
    <n v="49"/>
  </r>
  <r>
    <x v="1"/>
    <x v="1"/>
    <x v="0"/>
    <s v="2336200"/>
    <n v="400029"/>
    <s v="MD Practice Other Rev--Other"/>
    <s v="Enumclaw Med &amp; Spec-Peds"/>
    <x v="0"/>
    <n v="1700"/>
    <n v="0"/>
    <n v="0"/>
    <n v="0"/>
    <n v="-10"/>
    <n v="-10"/>
    <n v="-114"/>
    <n v="-90"/>
    <n v="0"/>
    <n v="-90"/>
    <n v="-45"/>
    <n v="-221"/>
    <n v="-45"/>
    <n v="-625"/>
    <n v="-176"/>
  </r>
  <r>
    <x v="1"/>
    <x v="1"/>
    <x v="0"/>
    <s v="2336200"/>
    <n v="400040"/>
    <s v="Physician Svcs Rev--Medicare"/>
    <s v="Enumclaw Med &amp; Spec-Peds"/>
    <x v="0"/>
    <n v="1100"/>
    <n v="0"/>
    <n v="0"/>
    <n v="0"/>
    <n v="0"/>
    <n v="0"/>
    <n v="200"/>
    <n v="0"/>
    <n v="0"/>
    <n v="-382"/>
    <n v="0"/>
    <n v="0"/>
    <n v="0"/>
    <n v="-182"/>
    <n v="0"/>
  </r>
  <r>
    <x v="1"/>
    <x v="1"/>
    <x v="0"/>
    <s v="2336200"/>
    <n v="400040"/>
    <s v="Physician Svcs Rev--Medicaid"/>
    <s v="Enumclaw Med &amp; Spec-Peds"/>
    <x v="0"/>
    <n v="1200"/>
    <n v="-49922.28"/>
    <n v="-63093.62"/>
    <n v="-63416.92"/>
    <n v="-72873.16"/>
    <n v="-63015.16"/>
    <n v="-51270.84"/>
    <n v="-62016.78"/>
    <n v="-63969"/>
    <n v="-89337.12"/>
    <n v="-67564.84"/>
    <n v="-87399.57"/>
    <n v="-66129.16"/>
    <n v="-800008.45000000007"/>
    <n v="-21270.410000000003"/>
  </r>
  <r>
    <x v="1"/>
    <x v="1"/>
    <x v="0"/>
    <s v="2336200"/>
    <n v="400040"/>
    <s v="Physician Svcs Rev--Comm Insurance"/>
    <s v="Enumclaw Med &amp; Spec-Peds"/>
    <x v="0"/>
    <n v="1300"/>
    <n v="-6320.78"/>
    <n v="-5803.01"/>
    <n v="-4493.24"/>
    <n v="-4925.6899999999996"/>
    <n v="-6253.17"/>
    <n v="-6492.88"/>
    <n v="-7398.05"/>
    <n v="-2823"/>
    <n v="-5190.57"/>
    <n v="-2713.55"/>
    <n v="-8075.94"/>
    <n v="-7514.08"/>
    <n v="-68003.960000000006"/>
    <n v="-561.85999999999967"/>
  </r>
  <r>
    <x v="1"/>
    <x v="1"/>
    <x v="0"/>
    <s v="2336200"/>
    <n v="400040"/>
    <s v="Physician Svcs Rev--BCBS Comm"/>
    <s v="Enumclaw Med &amp; Spec-Peds"/>
    <x v="0"/>
    <n v="1301"/>
    <n v="-31130.49"/>
    <n v="-44285.94"/>
    <n v="-23178.52"/>
    <n v="-30954.83"/>
    <n v="-29568.07"/>
    <n v="-32285.07"/>
    <n v="-36305.21"/>
    <n v="-37305.74"/>
    <n v="-36499.620000000003"/>
    <n v="-35261.050000000003"/>
    <n v="-32035.73"/>
    <n v="-30074.9"/>
    <n v="-398885.17"/>
    <n v="-1960.8299999999981"/>
  </r>
  <r>
    <x v="1"/>
    <x v="1"/>
    <x v="0"/>
    <s v="2336200"/>
    <n v="400040"/>
    <s v="Physician Svcs Rev--Managed Care"/>
    <s v="Enumclaw Med &amp; Spec-Peds"/>
    <x v="0"/>
    <n v="1400"/>
    <n v="-53146.23"/>
    <n v="-73606.44"/>
    <n v="-62617.39"/>
    <n v="-79453.649999999994"/>
    <n v="-70012.53"/>
    <n v="-60063.23"/>
    <n v="-62666.5"/>
    <n v="-65320.1"/>
    <n v="-79892.44"/>
    <n v="-57429.06"/>
    <n v="-70789.19"/>
    <n v="-54359.09"/>
    <n v="-789355.85"/>
    <n v="-16430.100000000006"/>
  </r>
  <r>
    <x v="1"/>
    <x v="1"/>
    <x v="0"/>
    <s v="2336200"/>
    <n v="400040"/>
    <s v="Physician Svcs Rev--Self Pay"/>
    <s v="Enumclaw Med &amp; Spec-Peds"/>
    <x v="0"/>
    <n v="1500"/>
    <n v="-920.2"/>
    <n v="-1104.8800000000001"/>
    <n v="-2590.04"/>
    <n v="-2904.28"/>
    <n v="-1124.56"/>
    <n v="-2303.3200000000002"/>
    <n v="-4559.3999999999996"/>
    <n v="-1596.94"/>
    <n v="-661.72"/>
    <n v="-1927.76"/>
    <n v="-2074.08"/>
    <n v="-2337.3200000000002"/>
    <n v="-24104.5"/>
    <n v="263.24000000000024"/>
  </r>
  <r>
    <x v="1"/>
    <x v="1"/>
    <x v="0"/>
    <s v="2336200"/>
    <n v="400040"/>
    <s v="Physician Svcs Rev--Other"/>
    <s v="Enumclaw Med &amp; Spec-Peds"/>
    <x v="0"/>
    <n v="1700"/>
    <n v="-3779.57"/>
    <n v="-2317.14"/>
    <n v="-5845.42"/>
    <n v="-4449.7"/>
    <n v="-1526.34"/>
    <n v="-2425"/>
    <n v="-1951.13"/>
    <n v="-617.16"/>
    <n v="-6148.44"/>
    <n v="-2494"/>
    <n v="-5118.88"/>
    <n v="-6645.17"/>
    <n v="-43317.95"/>
    <n v="1526.29"/>
  </r>
  <r>
    <x v="2"/>
    <x v="1"/>
    <x v="0"/>
    <s v="2336200"/>
    <n v="450029"/>
    <s v="Contr Allow--MD Other-Medicaid"/>
    <s v="Enumclaw Med &amp; Spec-Peds"/>
    <x v="0"/>
    <n v="1200"/>
    <n v="236.97"/>
    <n v="228.96"/>
    <n v="143.11000000000001"/>
    <n v="242"/>
    <n v="612.11"/>
    <n v="617.45000000000005"/>
    <n v="598.75"/>
    <n v="1089.96"/>
    <n v="1863.88"/>
    <n v="1645.11"/>
    <n v="913.47"/>
    <n v="996.51"/>
    <n v="9188.2800000000007"/>
    <n v="-83.039999999999964"/>
  </r>
  <r>
    <x v="2"/>
    <x v="1"/>
    <x v="0"/>
    <s v="2336200"/>
    <n v="450029"/>
    <s v="Contr Allow--MD Other-Comm Insurance"/>
    <s v="Enumclaw Med &amp; Spec-Peds"/>
    <x v="0"/>
    <n v="1300"/>
    <n v="0"/>
    <n v="0"/>
    <n v="6.22"/>
    <n v="27.29"/>
    <n v="0"/>
    <n v="15.25"/>
    <n v="0"/>
    <n v="211.79"/>
    <n v="187.45"/>
    <n v="27.29"/>
    <n v="0"/>
    <n v="16.23"/>
    <n v="491.52000000000004"/>
    <n v="-16.23"/>
  </r>
  <r>
    <x v="2"/>
    <x v="1"/>
    <x v="0"/>
    <s v="2336200"/>
    <n v="450029"/>
    <s v="Contr Allow--MD Other BCBS Comm"/>
    <s v="Enumclaw Med &amp; Spec-Peds"/>
    <x v="0"/>
    <n v="1301"/>
    <n v="66.8"/>
    <n v="144.4"/>
    <n v="63.62"/>
    <n v="218.55"/>
    <n v="233.59"/>
    <n v="196.06"/>
    <n v="812.58"/>
    <n v="429.44"/>
    <n v="808.54"/>
    <n v="712.69"/>
    <n v="325.63"/>
    <n v="270.23"/>
    <n v="4282.13"/>
    <n v="55.399999999999977"/>
  </r>
  <r>
    <x v="2"/>
    <x v="1"/>
    <x v="0"/>
    <s v="2336200"/>
    <n v="450029"/>
    <s v="Contr Allow--MD Other-Managed Care"/>
    <s v="Enumclaw Med &amp; Spec-Peds"/>
    <x v="0"/>
    <n v="1400"/>
    <n v="240.31"/>
    <n v="41.51"/>
    <n v="98.2"/>
    <n v="183.82"/>
    <n v="389.49"/>
    <n v="290.56"/>
    <n v="377.94"/>
    <n v="433.34"/>
    <n v="1558.33"/>
    <n v="1131.8800000000001"/>
    <n v="346.13"/>
    <n v="687.19"/>
    <n v="5778.7000000000007"/>
    <n v="-341.06000000000006"/>
  </r>
  <r>
    <x v="2"/>
    <x v="1"/>
    <x v="0"/>
    <s v="2336200"/>
    <n v="450029"/>
    <s v="Admin Adjust-MD Other-Self Pay"/>
    <s v="Enumclaw Med &amp; Spec-Peds"/>
    <x v="0"/>
    <n v="1600"/>
    <n v="16.170000000000002"/>
    <n v="-9.92"/>
    <n v="5.14"/>
    <n v="0"/>
    <n v="51.4"/>
    <n v="0"/>
    <n v="37.68"/>
    <n v="5.59"/>
    <n v="74.44"/>
    <n v="18.66"/>
    <n v="0"/>
    <n v="27.9"/>
    <n v="227.06"/>
    <n v="-27.9"/>
  </r>
  <r>
    <x v="2"/>
    <x v="1"/>
    <x v="0"/>
    <s v="2336200"/>
    <n v="450029"/>
    <s v="Contr Allow--MD Other-Other"/>
    <s v="Enumclaw Med &amp; Spec-Peds"/>
    <x v="0"/>
    <n v="1700"/>
    <n v="0"/>
    <n v="0"/>
    <n v="0"/>
    <n v="0"/>
    <n v="0"/>
    <n v="80.31"/>
    <n v="0"/>
    <n v="63.08"/>
    <n v="63.26"/>
    <n v="31.65"/>
    <n v="97.14"/>
    <n v="0"/>
    <n v="335.44"/>
    <n v="97.14"/>
  </r>
  <r>
    <x v="2"/>
    <x v="1"/>
    <x v="0"/>
    <s v="2336200"/>
    <n v="450040"/>
    <s v="Contr Allow--Phys Svcs--Mcare"/>
    <s v="Enumclaw Med &amp; Spec-Peds"/>
    <x v="0"/>
    <n v="1100"/>
    <n v="0"/>
    <n v="0"/>
    <n v="0"/>
    <n v="0"/>
    <n v="0"/>
    <n v="0"/>
    <n v="0"/>
    <n v="0"/>
    <n v="0"/>
    <n v="250.75"/>
    <n v="0"/>
    <n v="0"/>
    <n v="250.75"/>
    <n v="0"/>
  </r>
  <r>
    <x v="2"/>
    <x v="1"/>
    <x v="0"/>
    <s v="2336200"/>
    <n v="450040"/>
    <s v="Contr Allow--Phys Svcs--Mcaid"/>
    <s v="Enumclaw Med &amp; Spec-Peds"/>
    <x v="0"/>
    <n v="1200"/>
    <n v="30588.9"/>
    <n v="45619.81"/>
    <n v="42146.87"/>
    <n v="51676.74"/>
    <n v="46152.47"/>
    <n v="29727.71"/>
    <n v="37011.24"/>
    <n v="40099.730000000003"/>
    <n v="50552.959999999999"/>
    <n v="50430.14"/>
    <n v="50388.44"/>
    <n v="40493.43"/>
    <n v="514888.44"/>
    <n v="9895.010000000002"/>
  </r>
  <r>
    <x v="2"/>
    <x v="1"/>
    <x v="0"/>
    <s v="2336200"/>
    <n v="450040"/>
    <s v="Contr Allow--Phys Svcs--Comm Insurance"/>
    <s v="Enumclaw Med &amp; Spec-Peds"/>
    <x v="0"/>
    <n v="1300"/>
    <n v="3464.78"/>
    <n v="1955.55"/>
    <n v="3837.15"/>
    <n v="1880.02"/>
    <n v="2138.02"/>
    <n v="2685.59"/>
    <n v="1552.37"/>
    <n v="1843.09"/>
    <n v="2401.8200000000002"/>
    <n v="1677.4"/>
    <n v="2139.7600000000002"/>
    <n v="4013.37"/>
    <n v="29588.920000000002"/>
    <n v="-1873.6099999999997"/>
  </r>
  <r>
    <x v="2"/>
    <x v="1"/>
    <x v="0"/>
    <s v="2336200"/>
    <n v="450040"/>
    <s v="Contr Allow--Phys Svcs--BCBS Comm Ins"/>
    <s v="Enumclaw Med &amp; Spec-Peds"/>
    <x v="0"/>
    <n v="1301"/>
    <n v="35532.69"/>
    <n v="11444.03"/>
    <n v="21497.47"/>
    <n v="10580.3"/>
    <n v="12822.86"/>
    <n v="10642.32"/>
    <n v="13470.45"/>
    <n v="13338.27"/>
    <n v="16991.22"/>
    <n v="13190.3"/>
    <n v="10376.24"/>
    <n v="14138.76"/>
    <n v="184024.91"/>
    <n v="-3762.5200000000004"/>
  </r>
  <r>
    <x v="2"/>
    <x v="1"/>
    <x v="0"/>
    <s v="2336200"/>
    <n v="450040"/>
    <s v="Contr Allow--Phys Svcs--Managed Care"/>
    <s v="Enumclaw Med &amp; Spec-Peds"/>
    <x v="0"/>
    <n v="1400"/>
    <n v="54490.080000000002"/>
    <n v="22587.78"/>
    <n v="42802.01"/>
    <n v="26517.360000000001"/>
    <n v="36111.31"/>
    <n v="24577.57"/>
    <n v="23417.86"/>
    <n v="24795.86"/>
    <n v="41436.730000000003"/>
    <n v="27029.35"/>
    <n v="28288.75"/>
    <n v="27749.75"/>
    <n v="379804.40999999992"/>
    <n v="539"/>
  </r>
  <r>
    <x v="2"/>
    <x v="1"/>
    <x v="0"/>
    <s v="2336200"/>
    <n v="450040"/>
    <s v="Contr Allow--Phys Svcs--BCBS Mgnd Care"/>
    <s v="Enumclaw Med &amp; Spec-Peds"/>
    <x v="0"/>
    <n v="1401"/>
    <n v="-22212.15"/>
    <n v="8955.15"/>
    <n v="-17563.68"/>
    <n v="7522.12"/>
    <n v="-16083.16"/>
    <n v="5440.2"/>
    <n v="12489.14"/>
    <n v="9203.07"/>
    <n v="-3342.85"/>
    <n v="-17677.97"/>
    <n v="15861.7"/>
    <n v="-6636.09"/>
    <n v="-24044.520000000004"/>
    <n v="22497.79"/>
  </r>
  <r>
    <x v="2"/>
    <x v="1"/>
    <x v="0"/>
    <s v="2336200"/>
    <n v="450040"/>
    <s v="Prompt Pay Disc-Phys Svcs-Self Pay"/>
    <s v="Enumclaw Med &amp; Spec-Peds"/>
    <x v="0"/>
    <n v="1500"/>
    <n v="0"/>
    <n v="0"/>
    <n v="0"/>
    <n v="235.95"/>
    <n v="0"/>
    <n v="74.209999999999994"/>
    <n v="0"/>
    <n v="0"/>
    <n v="0"/>
    <n v="228.5"/>
    <n v="0"/>
    <n v="193.06"/>
    <n v="731.72"/>
    <n v="-193.06"/>
  </r>
  <r>
    <x v="2"/>
    <x v="1"/>
    <x v="0"/>
    <s v="2336200"/>
    <n v="450040"/>
    <s v="Admin Adjust-Phys Svcs-Self Pay"/>
    <s v="Enumclaw Med &amp; Spec-Peds"/>
    <x v="0"/>
    <n v="1600"/>
    <n v="596.16999999999996"/>
    <n v="541.44000000000005"/>
    <n v="1356.19"/>
    <n v="1884.08"/>
    <n v="1214.23"/>
    <n v="1017.07"/>
    <n v="3512.08"/>
    <n v="427.71"/>
    <n v="697.64"/>
    <n v="1137.3800000000001"/>
    <n v="392.73"/>
    <n v="2414.4699999999998"/>
    <n v="15191.189999999997"/>
    <n v="-2021.7399999999998"/>
  </r>
  <r>
    <x v="2"/>
    <x v="1"/>
    <x v="0"/>
    <s v="2336200"/>
    <n v="450040"/>
    <s v="Contr Allow--Phys Svcs--Other"/>
    <s v="Enumclaw Med &amp; Spec-Peds"/>
    <x v="0"/>
    <n v="1700"/>
    <n v="2430.19"/>
    <n v="4133.8599999999997"/>
    <n v="3562.89"/>
    <n v="2825.75"/>
    <n v="1235.9100000000001"/>
    <n v="3199.57"/>
    <n v="478.48"/>
    <n v="578.73"/>
    <n v="3214.66"/>
    <n v="3102.05"/>
    <n v="2298.44"/>
    <n v="3353.63"/>
    <n v="30414.159999999996"/>
    <n v="-1055.19"/>
  </r>
  <r>
    <x v="3"/>
    <x v="1"/>
    <x v="0"/>
    <s v="2336200"/>
    <n v="470040"/>
    <s v="Charity Care-Physician Svcs"/>
    <s v="Enumclaw Med &amp; Spec-Peds"/>
    <x v="0"/>
    <m/>
    <n v="-990.18"/>
    <n v="1273.05"/>
    <n v="-571.92999999999995"/>
    <n v="1889.72"/>
    <n v="375.92"/>
    <n v="-121.69"/>
    <n v="322.08999999999997"/>
    <n v="2591.91"/>
    <n v="821.53"/>
    <n v="1103.8699999999999"/>
    <n v="281.17"/>
    <n v="1240.5899999999999"/>
    <n v="8216.0499999999993"/>
    <n v="-959.41999999999985"/>
  </r>
  <r>
    <x v="4"/>
    <x v="1"/>
    <x v="0"/>
    <s v="2336200"/>
    <n v="490010"/>
    <s v="Provision for Bad Debts"/>
    <s v="Enumclaw Med &amp; Spec-Peds"/>
    <x v="0"/>
    <m/>
    <n v="-400.46"/>
    <n v="2773.86"/>
    <n v="-1059.8599999999999"/>
    <n v="4240.6000000000004"/>
    <n v="1731.97"/>
    <n v="2123.59"/>
    <n v="462.29"/>
    <n v="520.82000000000005"/>
    <n v="779.56"/>
    <n v="-2519.65"/>
    <n v="4681.08"/>
    <n v="2961.97"/>
    <n v="16295.77"/>
    <n v="1719.1100000000001"/>
  </r>
  <r>
    <x v="14"/>
    <x v="1"/>
    <x v="0"/>
    <s v="2336200"/>
    <n v="600050"/>
    <s v="Miscellaneous Revenue"/>
    <s v="Enumclaw Med &amp; Spec-Peds"/>
    <x v="0"/>
    <m/>
    <n v="0"/>
    <n v="0"/>
    <n v="0"/>
    <n v="0"/>
    <n v="0"/>
    <n v="0"/>
    <n v="0"/>
    <n v="0"/>
    <n v="0"/>
    <n v="0"/>
    <n v="-1000"/>
    <n v="0"/>
    <n v="-1000"/>
    <n v="-1000"/>
  </r>
  <r>
    <x v="5"/>
    <x v="1"/>
    <x v="0"/>
    <s v="2336200"/>
    <n v="700022"/>
    <s v="Salaries-Physician-Productive"/>
    <s v="Enumclaw Med &amp; Spec-Peds"/>
    <x v="0"/>
    <m/>
    <n v="35652.76"/>
    <n v="47851.59"/>
    <n v="37804.1"/>
    <n v="45545.75"/>
    <n v="122791.1"/>
    <n v="-40980.370000000003"/>
    <n v="37703.26"/>
    <n v="38139.620000000003"/>
    <n v="40177.51"/>
    <n v="30421.119999999999"/>
    <n v="48473.17"/>
    <n v="34536.400000000001"/>
    <n v="478116.01000000007"/>
    <n v="13936.769999999997"/>
  </r>
  <r>
    <x v="5"/>
    <x v="1"/>
    <x v="0"/>
    <s v="2336200"/>
    <n v="700022"/>
    <s v="Salaries-Physician-Other"/>
    <s v="Enumclaw Med &amp; Spec-Peds"/>
    <x v="0"/>
    <n v="2000"/>
    <n v="2665.38"/>
    <n v="2786.54"/>
    <n v="2423.08"/>
    <n v="2786.55"/>
    <n v="2665.39"/>
    <n v="2544.2199999999998"/>
    <n v="2790.79"/>
    <n v="2426.62"/>
    <n v="2547.9499999999998"/>
    <n v="2669.28"/>
    <n v="2787.17"/>
    <n v="2422.9"/>
    <n v="31515.869999999995"/>
    <n v="364.27"/>
  </r>
  <r>
    <x v="5"/>
    <x v="1"/>
    <x v="0"/>
    <s v="2336200"/>
    <n v="700022"/>
    <s v="Salaries-Physician-Provider Incentive"/>
    <s v="Enumclaw Med &amp; Spec-Peds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336200"/>
    <n v="700032"/>
    <s v="Salaries-Other Pat Care Providers-Productive"/>
    <s v="Enumclaw Med &amp; Spec-Peds"/>
    <x v="0"/>
    <m/>
    <n v="6015.89"/>
    <n v="7036.82"/>
    <n v="5202.1899999999996"/>
    <n v="7024.48"/>
    <n v="6471.25"/>
    <n v="5865.18"/>
    <n v="6778.61"/>
    <n v="5860.85"/>
    <n v="5295.61"/>
    <n v="5495.54"/>
    <n v="7839.58"/>
    <n v="5069.55"/>
    <n v="73955.55"/>
    <n v="2770.0299999999997"/>
  </r>
  <r>
    <x v="5"/>
    <x v="1"/>
    <x v="0"/>
    <s v="2336200"/>
    <n v="700032"/>
    <s v="Salaries-Other Pat Care Providers-OT"/>
    <s v="Enumclaw Med &amp; Spec-Peds"/>
    <x v="0"/>
    <n v="1000"/>
    <n v="0"/>
    <n v="76.66"/>
    <n v="187.37"/>
    <n v="109.99"/>
    <n v="-48.88"/>
    <n v="71.58"/>
    <n v="236.07"/>
    <n v="-13.99"/>
    <n v="90.93"/>
    <n v="156.05000000000001"/>
    <n v="8.27"/>
    <n v="69.94"/>
    <n v="943.99"/>
    <n v="-61.67"/>
  </r>
  <r>
    <x v="5"/>
    <x v="1"/>
    <x v="0"/>
    <s v="2336200"/>
    <n v="700062"/>
    <s v="Salaries-Physician-Non-productive"/>
    <s v="Enumclaw Med &amp; Spec-Peds"/>
    <x v="0"/>
    <m/>
    <n v="6266"/>
    <n v="0"/>
    <n v="1800.9"/>
    <n v="0"/>
    <n v="0"/>
    <n v="1752.5"/>
    <n v="7020.29"/>
    <n v="0"/>
    <n v="0"/>
    <n v="11669.58"/>
    <n v="-4805.12"/>
    <n v="3392.6"/>
    <n v="27096.749999999996"/>
    <n v="-8197.7199999999993"/>
  </r>
  <r>
    <x v="5"/>
    <x v="1"/>
    <x v="0"/>
    <s v="2336200"/>
    <n v="700072"/>
    <s v="Salaries-Other Pat Care Providers-Non-productive"/>
    <s v="Enumclaw Med &amp; Spec-Peds"/>
    <x v="0"/>
    <m/>
    <n v="1318.77"/>
    <n v="517.30999999999995"/>
    <n v="1341.78"/>
    <n v="595.70000000000005"/>
    <n v="753.36"/>
    <n v="788.64"/>
    <n v="574.29999999999995"/>
    <n v="386.49"/>
    <n v="1788.85"/>
    <n v="1953.11"/>
    <n v="-21.6"/>
    <n v="1592.64"/>
    <n v="11589.349999999999"/>
    <n v="-1614.24"/>
  </r>
  <r>
    <x v="5"/>
    <x v="1"/>
    <x v="0"/>
    <s v="2336200"/>
    <n v="700072"/>
    <s v="Salaries-Other Pat Care Providers-NonProd-Other"/>
    <s v="Enumclaw Med &amp; Spec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36200"/>
    <n v="700084"/>
    <s v="Accrued PTO"/>
    <s v="Enumclaw Med &amp; Spec-Peds"/>
    <x v="0"/>
    <m/>
    <n v="-312.02999999999997"/>
    <n v="131.19"/>
    <n v="-99.09"/>
    <n v="19.78"/>
    <n v="199.32"/>
    <n v="-149.38"/>
    <n v="69.91"/>
    <n v="326.33999999999997"/>
    <n v="-80.44"/>
    <n v="-325.41000000000003"/>
    <n v="338.46"/>
    <n v="-264.98"/>
    <n v="-146.33000000000007"/>
    <n v="603.44000000000005"/>
  </r>
  <r>
    <x v="6"/>
    <x v="1"/>
    <x v="0"/>
    <s v="2336200"/>
    <n v="713010"/>
    <s v="Benefits-FICA/Medicare"/>
    <s v="Enumclaw Med &amp; Spec-Peds"/>
    <x v="0"/>
    <m/>
    <n v="1168.9000000000001"/>
    <n v="1291.3699999999999"/>
    <n v="1071.95"/>
    <n v="1247.97"/>
    <n v="2331.83"/>
    <n v="1342.72"/>
    <n v="4100.46"/>
    <n v="3480.57"/>
    <n v="3712.76"/>
    <n v="3896.27"/>
    <n v="1585.34"/>
    <n v="1089.68"/>
    <n v="26319.82"/>
    <n v="495.65999999999985"/>
  </r>
  <r>
    <x v="6"/>
    <x v="1"/>
    <x v="0"/>
    <s v="2336200"/>
    <n v="713090"/>
    <s v="Benefits-Allocated Amounts"/>
    <s v="Enumclaw Med &amp; Spec-Peds"/>
    <x v="0"/>
    <m/>
    <n v="0"/>
    <n v="0"/>
    <n v="0"/>
    <n v="0"/>
    <n v="0"/>
    <n v="0"/>
    <n v="0"/>
    <n v="0"/>
    <n v="26852.55"/>
    <n v="3237.77"/>
    <n v="3090.28"/>
    <n v="3138.89"/>
    <n v="36319.49"/>
    <n v="-48.609999999999673"/>
  </r>
  <r>
    <x v="6"/>
    <x v="1"/>
    <x v="0"/>
    <s v="2336200"/>
    <n v="713092"/>
    <s v="Allocated Benefits-Physician"/>
    <s v="Enumclaw Med &amp; Spec-Peds"/>
    <x v="0"/>
    <m/>
    <n v="5246.6"/>
    <n v="5004.07"/>
    <n v="4932.8999999999996"/>
    <n v="5089.87"/>
    <n v="7773.91"/>
    <n v="2349.7399999999998"/>
    <n v="6217.84"/>
    <n v="5536.53"/>
    <n v="-20833.400000000001"/>
    <n v="2570.4299999999998"/>
    <n v="2453.36"/>
    <n v="2491.94"/>
    <n v="28833.78999999999"/>
    <n v="-38.579999999999927"/>
  </r>
  <r>
    <x v="6"/>
    <x v="1"/>
    <x v="0"/>
    <s v="2336200"/>
    <n v="713096"/>
    <s v="Employee Recognition"/>
    <s v="Enumclaw Med &amp; Spec-Peds"/>
    <x v="0"/>
    <n v="1017"/>
    <n v="0"/>
    <n v="0"/>
    <n v="0"/>
    <n v="0"/>
    <n v="0"/>
    <n v="0"/>
    <n v="0"/>
    <n v="0"/>
    <n v="0"/>
    <n v="0"/>
    <n v="11.98"/>
    <n v="0"/>
    <n v="11.98"/>
    <n v="11.98"/>
  </r>
  <r>
    <x v="15"/>
    <x v="1"/>
    <x v="0"/>
    <s v="2336200"/>
    <n v="731060"/>
    <s v="Pagers"/>
    <s v="Enumclaw Med &amp; Spec-Peds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0"/>
    <x v="1"/>
    <x v="0"/>
    <s v="2336200"/>
    <n v="740022"/>
    <s v="Education-Physician"/>
    <s v="Enumclaw Med &amp; Spec-Peds"/>
    <x v="0"/>
    <m/>
    <n v="0"/>
    <n v="3000"/>
    <n v="0"/>
    <n v="0"/>
    <n v="0"/>
    <n v="0"/>
    <n v="0"/>
    <n v="0"/>
    <n v="0"/>
    <n v="0"/>
    <n v="0"/>
    <n v="0"/>
    <n v="3000"/>
    <n v="0"/>
  </r>
  <r>
    <x v="8"/>
    <x v="1"/>
    <x v="0"/>
    <s v="2336200"/>
    <n v="741012"/>
    <s v="Physician Liab Insurance-CHI Program"/>
    <s v="Enumclaw Med &amp; Spec-Peds"/>
    <x v="0"/>
    <m/>
    <n v="1113.1199999999999"/>
    <n v="1113.1199999999999"/>
    <n v="1113.1199999999999"/>
    <n v="1113.1199999999999"/>
    <n v="1113.1199999999999"/>
    <n v="1113.1099999999999"/>
    <n v="1113.1199999999999"/>
    <n v="1113.1099999999999"/>
    <n v="1113.1199999999999"/>
    <n v="1113.1099999999999"/>
    <n v="1113.1199999999999"/>
    <n v="1113.1099999999999"/>
    <n v="13357.399999999998"/>
    <n v="9.9999999999909051E-3"/>
  </r>
  <r>
    <x v="0"/>
    <x v="1"/>
    <x v="0"/>
    <s v="2336200"/>
    <n v="749510"/>
    <s v="Miscellaneous Expenses"/>
    <s v="Enumclaw Med &amp; Spec-Peds"/>
    <x v="0"/>
    <m/>
    <n v="0"/>
    <n v="-73.849999999999994"/>
    <n v="0"/>
    <n v="1000.83"/>
    <n v="708.16"/>
    <n v="-1708.99"/>
    <n v="0"/>
    <n v="0"/>
    <n v="0"/>
    <n v="0"/>
    <n v="0"/>
    <n v="0"/>
    <n v="-73.850000000000136"/>
    <n v="0"/>
  </r>
  <r>
    <x v="0"/>
    <x v="1"/>
    <x v="0"/>
    <s v="2336200"/>
    <n v="749512"/>
    <s v="Licenses-Physician"/>
    <s v="Enumclaw Med &amp; Spec-Peds"/>
    <x v="0"/>
    <n v="2000"/>
    <n v="0"/>
    <n v="0"/>
    <n v="0"/>
    <n v="0"/>
    <n v="0"/>
    <n v="1304"/>
    <n v="0"/>
    <n v="0"/>
    <n v="0"/>
    <n v="0"/>
    <n v="0"/>
    <n v="0"/>
    <n v="1304"/>
    <n v="0"/>
  </r>
  <r>
    <x v="0"/>
    <x v="1"/>
    <x v="0"/>
    <s v="2336200"/>
    <n v="749532"/>
    <s v="Travel-Physician"/>
    <s v="Enumclaw Med &amp; Spec-Peds"/>
    <x v="0"/>
    <m/>
    <n v="0"/>
    <n v="0"/>
    <n v="0"/>
    <n v="0"/>
    <n v="291.33999999999997"/>
    <n v="0"/>
    <n v="0"/>
    <n v="0"/>
    <n v="0"/>
    <n v="0"/>
    <n v="1293.8699999999999"/>
    <n v="0"/>
    <n v="1585.2099999999998"/>
    <n v="1293.8699999999999"/>
  </r>
  <r>
    <x v="0"/>
    <x v="1"/>
    <x v="0"/>
    <s v="2336200"/>
    <n v="749532"/>
    <s v="Business Meals-Physician"/>
    <s v="Enumclaw Med &amp; Spec-Peds"/>
    <x v="0"/>
    <n v="2000"/>
    <n v="0"/>
    <n v="73.849999999999994"/>
    <n v="0"/>
    <n v="0"/>
    <n v="0"/>
    <n v="0"/>
    <n v="0"/>
    <n v="0"/>
    <n v="0"/>
    <n v="0"/>
    <n v="0"/>
    <n v="0"/>
    <n v="73.849999999999994"/>
    <n v="0"/>
  </r>
  <r>
    <x v="0"/>
    <x v="1"/>
    <x v="0"/>
    <s v="2336200"/>
    <n v="749535"/>
    <s v="Meetings"/>
    <s v="Enumclaw Med &amp; Spec-Peds"/>
    <x v="0"/>
    <m/>
    <n v="0"/>
    <n v="0"/>
    <n v="0"/>
    <n v="0"/>
    <n v="0"/>
    <n v="0"/>
    <n v="0"/>
    <n v="0"/>
    <n v="48.57"/>
    <n v="0"/>
    <n v="0"/>
    <n v="29.51"/>
    <n v="78.08"/>
    <n v="-29.51"/>
  </r>
  <r>
    <x v="0"/>
    <x v="1"/>
    <x v="0"/>
    <s v="2336200"/>
    <n v="749591"/>
    <s v="Other Expense-Intracompany Allocation"/>
    <s v="Enumclaw Med &amp; Spec-Peds"/>
    <x v="0"/>
    <m/>
    <n v="26920.82"/>
    <n v="34181.980000000003"/>
    <n v="27607.72"/>
    <n v="38751.75"/>
    <n v="29130.22"/>
    <n v="32848.75"/>
    <n v="35502.5"/>
    <n v="30346.47"/>
    <n v="37784.32"/>
    <n v="30135.95"/>
    <n v="38117.56"/>
    <n v="25121.85"/>
    <n v="386449.88999999996"/>
    <n v="12995.71"/>
  </r>
  <r>
    <x v="1"/>
    <x v="1"/>
    <x v="0"/>
    <s v="2337200"/>
    <n v="400029"/>
    <s v="MD Practice Other Rev--Medicare"/>
    <s v="FMC-11th Place FAM MED"/>
    <x v="0"/>
    <n v="1100"/>
    <n v="0"/>
    <n v="-24"/>
    <n v="0"/>
    <n v="0"/>
    <n v="0"/>
    <n v="0"/>
    <n v="0"/>
    <n v="0"/>
    <n v="0"/>
    <n v="0"/>
    <n v="0"/>
    <n v="0"/>
    <n v="-24"/>
    <n v="0"/>
  </r>
  <r>
    <x v="1"/>
    <x v="1"/>
    <x v="0"/>
    <s v="2337200"/>
    <n v="400029"/>
    <s v="MD Practice Other Rev--Comm Insurance"/>
    <s v="FMC-11th Place FAM MED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37200"/>
    <n v="400029"/>
    <s v="MD Practice Other Rev--Managed Care"/>
    <s v="FMC-11th Place FAM MED"/>
    <x v="0"/>
    <n v="14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37200"/>
    <n v="400029"/>
    <s v="MD Practice Other Rev--Other"/>
    <s v="FMC-11th Place FAM MED"/>
    <x v="0"/>
    <n v="1700"/>
    <n v="0"/>
    <n v="24"/>
    <n v="0"/>
    <n v="0"/>
    <n v="0"/>
    <n v="0"/>
    <n v="0"/>
    <n v="0"/>
    <n v="0"/>
    <n v="0"/>
    <n v="0"/>
    <n v="0"/>
    <n v="24"/>
    <n v="0"/>
  </r>
  <r>
    <x v="1"/>
    <x v="1"/>
    <x v="0"/>
    <s v="2337200"/>
    <n v="400040"/>
    <s v="Physician Svcs Rev--Medicare"/>
    <s v="FMC-11th Place FAM MED"/>
    <x v="0"/>
    <n v="1100"/>
    <n v="0"/>
    <n v="-391"/>
    <n v="0"/>
    <n v="0"/>
    <n v="0"/>
    <n v="0"/>
    <n v="0"/>
    <n v="-294"/>
    <n v="-290"/>
    <n v="0"/>
    <n v="0"/>
    <n v="290"/>
    <n v="-685"/>
    <n v="-290"/>
  </r>
  <r>
    <x v="1"/>
    <x v="1"/>
    <x v="0"/>
    <s v="2337200"/>
    <n v="400040"/>
    <s v="Physician Svcs Rev--Medicaid"/>
    <s v="FMC-11th Place FAM MED"/>
    <x v="0"/>
    <n v="1200"/>
    <n v="0"/>
    <n v="196"/>
    <n v="0"/>
    <n v="0"/>
    <n v="0"/>
    <n v="0"/>
    <n v="0"/>
    <n v="294"/>
    <n v="290"/>
    <n v="0"/>
    <n v="0"/>
    <n v="-290"/>
    <n v="490"/>
    <n v="290"/>
  </r>
  <r>
    <x v="1"/>
    <x v="1"/>
    <x v="0"/>
    <s v="2337200"/>
    <n v="400040"/>
    <s v="Physician Svcs Rev--Comm Insurance"/>
    <s v="FMC-11th Place FAM MED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37200"/>
    <n v="400040"/>
    <s v="Physician Svcs Rev--BCBS Comm"/>
    <s v="FMC-11th Place FAM MED"/>
    <x v="0"/>
    <n v="1301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37200"/>
    <n v="400040"/>
    <s v="Physician Svcs Rev--Managed Care"/>
    <s v="FMC-11th Place FAM MED"/>
    <x v="0"/>
    <n v="1400"/>
    <n v="0"/>
    <n v="-211"/>
    <n v="0"/>
    <n v="0"/>
    <n v="0"/>
    <n v="0"/>
    <n v="0"/>
    <n v="0"/>
    <n v="0"/>
    <n v="0"/>
    <n v="0"/>
    <n v="0"/>
    <n v="-211"/>
    <n v="0"/>
  </r>
  <r>
    <x v="1"/>
    <x v="1"/>
    <x v="0"/>
    <s v="2337200"/>
    <n v="400040"/>
    <s v="Physician Svcs Rev--Other"/>
    <s v="FMC-11th Place FAM MED"/>
    <x v="0"/>
    <n v="1700"/>
    <n v="0"/>
    <n v="391"/>
    <n v="0"/>
    <n v="0"/>
    <n v="0"/>
    <n v="0"/>
    <n v="0"/>
    <n v="0"/>
    <n v="0"/>
    <n v="0"/>
    <n v="0"/>
    <n v="0"/>
    <n v="391"/>
    <n v="0"/>
  </r>
  <r>
    <x v="2"/>
    <x v="1"/>
    <x v="0"/>
    <s v="2337200"/>
    <n v="450029"/>
    <s v="Contr Allow--MD Other-Medicare"/>
    <s v="FMC-11th Place FAM MED"/>
    <x v="0"/>
    <n v="1100"/>
    <n v="0"/>
    <n v="0"/>
    <n v="0"/>
    <n v="0.27"/>
    <n v="0"/>
    <n v="0"/>
    <n v="0"/>
    <n v="0"/>
    <n v="0"/>
    <n v="0"/>
    <n v="0"/>
    <n v="0"/>
    <n v="0.27"/>
    <n v="0"/>
  </r>
  <r>
    <x v="2"/>
    <x v="1"/>
    <x v="0"/>
    <s v="2337200"/>
    <n v="450029"/>
    <s v="Contr Allow--MD Other-Medicaid"/>
    <s v="FMC-11th Place FAM MED"/>
    <x v="0"/>
    <n v="1200"/>
    <n v="0"/>
    <n v="-12.17"/>
    <n v="0"/>
    <n v="0"/>
    <n v="0"/>
    <n v="0"/>
    <n v="0"/>
    <n v="0"/>
    <n v="0"/>
    <n v="0"/>
    <n v="0"/>
    <n v="0"/>
    <n v="-12.17"/>
    <n v="0"/>
  </r>
  <r>
    <x v="2"/>
    <x v="1"/>
    <x v="0"/>
    <s v="2337200"/>
    <n v="450029"/>
    <s v="Contr Allow--MD Other-Comm Insurance"/>
    <s v="FMC-11th Place FAM MED"/>
    <x v="0"/>
    <n v="1300"/>
    <n v="0"/>
    <n v="0"/>
    <n v="0"/>
    <n v="0"/>
    <n v="0"/>
    <n v="0"/>
    <n v="0"/>
    <n v="3.7"/>
    <n v="0"/>
    <n v="0"/>
    <n v="0"/>
    <n v="0"/>
    <n v="3.7"/>
    <n v="0"/>
  </r>
  <r>
    <x v="2"/>
    <x v="1"/>
    <x v="0"/>
    <s v="2337200"/>
    <n v="450029"/>
    <s v="Contr Allow--MD Other BCBS Comm"/>
    <s v="FMC-11th Place FAM MED"/>
    <x v="0"/>
    <n v="1301"/>
    <n v="0"/>
    <n v="0"/>
    <n v="0"/>
    <n v="9.5"/>
    <n v="0"/>
    <n v="0"/>
    <n v="0"/>
    <n v="0"/>
    <n v="0"/>
    <n v="0"/>
    <n v="0"/>
    <n v="0"/>
    <n v="9.5"/>
    <n v="0"/>
  </r>
  <r>
    <x v="2"/>
    <x v="1"/>
    <x v="0"/>
    <s v="2337200"/>
    <n v="450029"/>
    <s v="Contr Allow--MD Other-Managed Care"/>
    <s v="FMC-11th Place FAM MED"/>
    <x v="0"/>
    <n v="1400"/>
    <n v="-30.77"/>
    <n v="0"/>
    <n v="0"/>
    <n v="0"/>
    <n v="0"/>
    <n v="0"/>
    <n v="0"/>
    <n v="0"/>
    <n v="0"/>
    <n v="0"/>
    <n v="0"/>
    <n v="-6.48"/>
    <n v="-37.25"/>
    <n v="6.48"/>
  </r>
  <r>
    <x v="2"/>
    <x v="1"/>
    <x v="0"/>
    <s v="2337200"/>
    <n v="450029"/>
    <s v="Admin Adjust-MD Other-Self Pay"/>
    <s v="FMC-11th Place FAM MED"/>
    <x v="0"/>
    <n v="1600"/>
    <n v="1.63"/>
    <n v="44.38"/>
    <n v="10"/>
    <n v="0"/>
    <n v="0"/>
    <n v="0"/>
    <n v="53.38"/>
    <n v="15.51"/>
    <n v="30.36"/>
    <n v="-7.04"/>
    <n v="-0.34"/>
    <n v="-0.7"/>
    <n v="147.18000000000004"/>
    <n v="0.35999999999999993"/>
  </r>
  <r>
    <x v="2"/>
    <x v="1"/>
    <x v="0"/>
    <s v="2337200"/>
    <n v="450040"/>
    <s v="Contr Allow--Phys Svcs--Mcare"/>
    <s v="FMC-11th Place FAM MED"/>
    <x v="0"/>
    <n v="1100"/>
    <n v="0"/>
    <n v="141.68"/>
    <n v="515.52"/>
    <n v="736.58"/>
    <n v="-172.36"/>
    <n v="0"/>
    <n v="862.24"/>
    <n v="0"/>
    <n v="-312.83999999999997"/>
    <n v="0"/>
    <n v="202.38"/>
    <n v="-70.36"/>
    <n v="1902.84"/>
    <n v="272.74"/>
  </r>
  <r>
    <x v="2"/>
    <x v="1"/>
    <x v="0"/>
    <s v="2337200"/>
    <n v="450040"/>
    <s v="Contr Allow--Phys Svcs--Mcaid"/>
    <s v="FMC-11th Place FAM MED"/>
    <x v="0"/>
    <n v="1200"/>
    <n v="-133.91999999999999"/>
    <n v="229.66"/>
    <n v="-205.32"/>
    <n v="-127.21"/>
    <n v="0"/>
    <n v="-264.57"/>
    <n v="0"/>
    <n v="-671.14"/>
    <n v="-222.38"/>
    <n v="0"/>
    <n v="462.4"/>
    <n v="-57.35"/>
    <n v="-989.83000000000015"/>
    <n v="519.75"/>
  </r>
  <r>
    <x v="2"/>
    <x v="1"/>
    <x v="0"/>
    <s v="2337200"/>
    <n v="450040"/>
    <s v="Contr Allow--Phys Svcs--Comm Insurance"/>
    <s v="FMC-11th Place FAM MED"/>
    <x v="0"/>
    <n v="1300"/>
    <n v="63.58"/>
    <n v="0"/>
    <n v="0"/>
    <n v="0"/>
    <n v="0"/>
    <n v="0"/>
    <n v="0"/>
    <n v="79.650000000000006"/>
    <n v="0"/>
    <n v="0"/>
    <n v="0"/>
    <n v="0"/>
    <n v="143.23000000000002"/>
    <n v="0"/>
  </r>
  <r>
    <x v="2"/>
    <x v="1"/>
    <x v="0"/>
    <s v="2337200"/>
    <n v="450040"/>
    <s v="Contr Allow--Phys Svcs--BCBS Comm Ins"/>
    <s v="FMC-11th Place FAM MED"/>
    <x v="0"/>
    <n v="1301"/>
    <n v="0"/>
    <n v="0"/>
    <n v="290"/>
    <n v="90.79"/>
    <n v="0"/>
    <n v="0"/>
    <n v="209.32"/>
    <n v="0"/>
    <n v="159.88999999999999"/>
    <n v="-3.82"/>
    <n v="0"/>
    <n v="259"/>
    <n v="1005.18"/>
    <n v="-259"/>
  </r>
  <r>
    <x v="2"/>
    <x v="1"/>
    <x v="0"/>
    <s v="2337200"/>
    <n v="450040"/>
    <s v="Contr Allow--Phys Svcs--Managed Care"/>
    <s v="FMC-11th Place FAM MED"/>
    <x v="0"/>
    <n v="1400"/>
    <n v="270.27999999999997"/>
    <n v="38.06"/>
    <n v="104.54"/>
    <n v="216.51"/>
    <n v="-39.31"/>
    <n v="497.5"/>
    <n v="677.67"/>
    <n v="639"/>
    <n v="0"/>
    <n v="38.49"/>
    <n v="-349.94"/>
    <n v="-136.29"/>
    <n v="1956.5099999999998"/>
    <n v="-213.65"/>
  </r>
  <r>
    <x v="2"/>
    <x v="1"/>
    <x v="0"/>
    <s v="2337200"/>
    <n v="450040"/>
    <s v="Contr Allow--Phys Svcs--BCBS Mgnd Care"/>
    <s v="FMC-11th Place FAM MED"/>
    <x v="0"/>
    <n v="1401"/>
    <n v="-1730.75"/>
    <n v="-390.89"/>
    <n v="-1966.48"/>
    <n v="-2083.96"/>
    <n v="217.51"/>
    <n v="410.19"/>
    <n v="-930.49"/>
    <n v="-371.15"/>
    <n v="166.82"/>
    <n v="-154.55000000000001"/>
    <n v="-150.69"/>
    <n v="442.48"/>
    <n v="-6541.9599999999991"/>
    <n v="-593.17000000000007"/>
  </r>
  <r>
    <x v="2"/>
    <x v="1"/>
    <x v="0"/>
    <s v="2337200"/>
    <n v="450040"/>
    <s v="Admin Adjust-Phys Svcs-Self Pay"/>
    <s v="FMC-11th Place FAM MED"/>
    <x v="0"/>
    <n v="1600"/>
    <n v="579.89"/>
    <n v="-567.02"/>
    <n v="1101.98"/>
    <n v="207.6"/>
    <n v="406.14"/>
    <n v="51.93"/>
    <n v="-114.94"/>
    <n v="112.72"/>
    <n v="399.73"/>
    <n v="-60.37"/>
    <n v="3.88"/>
    <n v="203.48"/>
    <n v="2325.02"/>
    <n v="-199.6"/>
  </r>
  <r>
    <x v="2"/>
    <x v="1"/>
    <x v="0"/>
    <s v="2337200"/>
    <n v="450040"/>
    <s v="Contr Allow--Phys Svcs--Other"/>
    <s v="FMC-11th Place FAM MED"/>
    <x v="0"/>
    <n v="1700"/>
    <n v="252.69"/>
    <n v="177.69"/>
    <n v="0"/>
    <n v="11.26"/>
    <n v="0"/>
    <n v="0"/>
    <n v="0"/>
    <n v="0"/>
    <n v="0"/>
    <n v="0"/>
    <n v="0"/>
    <n v="-1.99"/>
    <n v="439.65"/>
    <n v="1.99"/>
  </r>
  <r>
    <x v="3"/>
    <x v="1"/>
    <x v="0"/>
    <s v="2337200"/>
    <n v="470040"/>
    <s v="Charity Care-Physician Svcs"/>
    <s v="FMC-11th Place FAM MED"/>
    <x v="0"/>
    <m/>
    <n v="1275.04"/>
    <n v="51.69"/>
    <n v="-71.510000000000005"/>
    <n v="-42.92"/>
    <n v="696.57"/>
    <n v="545.6"/>
    <n v="101.64"/>
    <n v="-21.96"/>
    <n v="26.57"/>
    <n v="-12.5"/>
    <n v="-22.02"/>
    <n v="372.95"/>
    <n v="2899.1499999999996"/>
    <n v="-394.96999999999997"/>
  </r>
  <r>
    <x v="4"/>
    <x v="1"/>
    <x v="0"/>
    <s v="2337200"/>
    <n v="490010"/>
    <s v="Provision for Bad Debts"/>
    <s v="FMC-11th Place FAM MED"/>
    <x v="0"/>
    <m/>
    <n v="-1922.65"/>
    <n v="-612.73"/>
    <n v="947.4"/>
    <n v="1485.73"/>
    <n v="-2145.04"/>
    <n v="-1970.44"/>
    <n v="-1983.14"/>
    <n v="-10.25"/>
    <n v="-1560.54"/>
    <n v="-487.27"/>
    <n v="-806.6"/>
    <n v="-1765.4"/>
    <n v="-10830.93"/>
    <n v="958.80000000000007"/>
  </r>
  <r>
    <x v="5"/>
    <x v="1"/>
    <x v="0"/>
    <s v="2337200"/>
    <n v="700054"/>
    <s v="Salaries-Management-NonProd-Other"/>
    <s v="FMC-11th Place FAM MED"/>
    <x v="0"/>
    <n v="2000"/>
    <n v="0"/>
    <n v="0"/>
    <n v="0"/>
    <n v="0"/>
    <n v="0"/>
    <n v="2224.5100000000002"/>
    <n v="-2224.5100000000002"/>
    <n v="0"/>
    <n v="0"/>
    <n v="0"/>
    <n v="0"/>
    <n v="0"/>
    <n v="0"/>
    <n v="0"/>
  </r>
  <r>
    <x v="6"/>
    <x v="1"/>
    <x v="0"/>
    <s v="2337200"/>
    <n v="713010"/>
    <s v="Benefits-FICA/Medicare"/>
    <s v="FMC-11th Place FAM MED"/>
    <x v="0"/>
    <m/>
    <n v="0"/>
    <n v="0"/>
    <n v="0"/>
    <n v="0"/>
    <n v="0"/>
    <n v="170.18"/>
    <n v="170.18"/>
    <n v="0"/>
    <n v="0"/>
    <n v="0"/>
    <n v="0"/>
    <n v="0"/>
    <n v="340.36"/>
    <n v="0"/>
  </r>
  <r>
    <x v="6"/>
    <x v="1"/>
    <x v="0"/>
    <s v="2337200"/>
    <n v="713090"/>
    <s v="Benefits-Allocated Amounts"/>
    <s v="FMC-11th Place FAM MED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337200"/>
    <n v="713092"/>
    <s v="Allocated Benefits-Physician"/>
    <s v="FMC-11th Place FAM MED"/>
    <x v="0"/>
    <m/>
    <n v="0"/>
    <n v="0"/>
    <n v="0"/>
    <n v="0"/>
    <n v="0"/>
    <n v="55.65"/>
    <n v="13.17"/>
    <n v="-68.819999999999993"/>
    <n v="0"/>
    <n v="0"/>
    <n v="0"/>
    <n v="0"/>
    <n v="0"/>
    <n v="0"/>
  </r>
  <r>
    <x v="2"/>
    <x v="1"/>
    <x v="0"/>
    <s v="2338200"/>
    <n v="450040"/>
    <s v="Contr Allow--Phys Svcs--Mcare"/>
    <s v="Yakima Med &amp; Spec-Int Med"/>
    <x v="0"/>
    <n v="1100"/>
    <n v="0"/>
    <n v="0"/>
    <n v="0"/>
    <n v="0"/>
    <n v="0"/>
    <n v="0"/>
    <n v="0"/>
    <n v="41.1"/>
    <n v="-93.35"/>
    <n v="0"/>
    <n v="95.64"/>
    <n v="0"/>
    <n v="43.390000000000008"/>
    <n v="95.64"/>
  </r>
  <r>
    <x v="2"/>
    <x v="1"/>
    <x v="0"/>
    <s v="2338200"/>
    <n v="450040"/>
    <s v="Contr Allow--Phys Svcs--Mcaid"/>
    <s v="Yakima Med &amp; Spec-Int Med"/>
    <x v="0"/>
    <n v="1200"/>
    <n v="289"/>
    <n v="0"/>
    <n v="0"/>
    <n v="0"/>
    <n v="0"/>
    <n v="0"/>
    <n v="0"/>
    <n v="0"/>
    <n v="0"/>
    <n v="0"/>
    <n v="0"/>
    <n v="0"/>
    <n v="289"/>
    <n v="0"/>
  </r>
  <r>
    <x v="2"/>
    <x v="1"/>
    <x v="0"/>
    <s v="2338200"/>
    <n v="450040"/>
    <s v="Contr Allow--Phys Svcs--BCBS Comm Ins"/>
    <s v="Yakima Med &amp; Spec-Int Med"/>
    <x v="0"/>
    <n v="1301"/>
    <n v="0"/>
    <n v="162.74"/>
    <n v="0"/>
    <n v="0"/>
    <n v="0"/>
    <n v="0"/>
    <n v="0"/>
    <n v="0"/>
    <n v="-162.74"/>
    <n v="0"/>
    <n v="0"/>
    <n v="0"/>
    <n v="0"/>
    <n v="0"/>
  </r>
  <r>
    <x v="2"/>
    <x v="1"/>
    <x v="0"/>
    <s v="2338200"/>
    <n v="450040"/>
    <s v="Contr Allow--Phys Svcs--Managed Care"/>
    <s v="Yakima Med &amp; Spec-Int Med"/>
    <x v="0"/>
    <n v="1400"/>
    <n v="0"/>
    <n v="0"/>
    <n v="0"/>
    <n v="-116.68"/>
    <n v="0"/>
    <n v="0"/>
    <n v="0"/>
    <n v="0"/>
    <n v="0"/>
    <n v="0"/>
    <n v="0"/>
    <n v="0"/>
    <n v="-116.68"/>
    <n v="0"/>
  </r>
  <r>
    <x v="2"/>
    <x v="1"/>
    <x v="0"/>
    <s v="2338200"/>
    <n v="450040"/>
    <s v="Admin Adjust-Phys Svcs-Self Pay"/>
    <s v="Yakima Med &amp; Spec-Int Med"/>
    <x v="0"/>
    <n v="1600"/>
    <n v="1.92"/>
    <n v="15"/>
    <n v="0"/>
    <n v="0"/>
    <n v="0"/>
    <n v="0"/>
    <n v="0"/>
    <n v="66"/>
    <n v="143.84"/>
    <n v="0"/>
    <n v="0"/>
    <n v="0"/>
    <n v="226.76"/>
    <n v="0"/>
  </r>
  <r>
    <x v="3"/>
    <x v="1"/>
    <x v="0"/>
    <s v="2338200"/>
    <n v="470040"/>
    <s v="Charity Care-Physician Svcs"/>
    <s v="Yakima Med &amp; Spec-Int Med"/>
    <x v="0"/>
    <m/>
    <n v="0"/>
    <n v="0"/>
    <n v="0"/>
    <n v="50.18"/>
    <n v="0"/>
    <n v="0"/>
    <n v="0"/>
    <n v="0"/>
    <n v="0"/>
    <n v="0"/>
    <n v="0"/>
    <n v="10"/>
    <n v="60.18"/>
    <n v="-10"/>
  </r>
  <r>
    <x v="4"/>
    <x v="1"/>
    <x v="0"/>
    <s v="2338200"/>
    <n v="490010"/>
    <s v="Provision for Bad Debts"/>
    <s v="Yakima Med &amp; Spec-Int Med"/>
    <x v="0"/>
    <m/>
    <n v="-35.549999999999997"/>
    <n v="-159.75"/>
    <n v="-122.79"/>
    <n v="-72.28"/>
    <n v="-118.81"/>
    <n v="-63.49"/>
    <n v="-25.33"/>
    <n v="-146.58000000000001"/>
    <n v="-149.16999999999999"/>
    <n v="-8.81"/>
    <n v="-0.33"/>
    <n v="-1.58"/>
    <n v="-904.47"/>
    <n v="1.25"/>
  </r>
  <r>
    <x v="7"/>
    <x v="1"/>
    <x v="0"/>
    <s v="2339200"/>
    <n v="718077"/>
    <s v="PACS"/>
    <s v="Spec Ctr-Canyon Rd Radiology"/>
    <x v="0"/>
    <n v="1000"/>
    <n v="0"/>
    <n v="2.25"/>
    <n v="2.25"/>
    <n v="0"/>
    <n v="0"/>
    <n v="0"/>
    <n v="4.5"/>
    <n v="0"/>
    <n v="0"/>
    <n v="2.25"/>
    <n v="4.5"/>
    <n v="0"/>
    <n v="15.75"/>
    <n v="4.5"/>
  </r>
  <r>
    <x v="1"/>
    <x v="1"/>
    <x v="0"/>
    <s v="2340200"/>
    <n v="400029"/>
    <s v="MD Practice Other Rev--Medicare"/>
    <s v="Bonney Lake-Int Med"/>
    <x v="0"/>
    <n v="1100"/>
    <n v="-50"/>
    <n v="-82"/>
    <n v="-18"/>
    <n v="-10"/>
    <n v="0"/>
    <n v="-150"/>
    <n v="-150"/>
    <n v="-124"/>
    <n v="-165"/>
    <n v="-70"/>
    <n v="-70"/>
    <n v="-20"/>
    <n v="-909"/>
    <n v="-50"/>
  </r>
  <r>
    <x v="1"/>
    <x v="1"/>
    <x v="0"/>
    <s v="2340200"/>
    <n v="400029"/>
    <s v="MD Practice Other Rev--Medicaid"/>
    <s v="Bonney Lake-Int Med"/>
    <x v="0"/>
    <n v="1200"/>
    <n v="0"/>
    <n v="0"/>
    <n v="0"/>
    <n v="0"/>
    <n v="-10"/>
    <n v="0"/>
    <n v="-24"/>
    <n v="-10"/>
    <n v="0"/>
    <n v="0"/>
    <n v="0"/>
    <n v="0"/>
    <n v="-44"/>
    <n v="0"/>
  </r>
  <r>
    <x v="1"/>
    <x v="1"/>
    <x v="0"/>
    <s v="2340200"/>
    <n v="400029"/>
    <s v="MD Practice Other Rev--Comm Insurance"/>
    <s v="Bonney Lake-Int Med"/>
    <x v="0"/>
    <n v="1300"/>
    <n v="0"/>
    <n v="-45"/>
    <n v="0"/>
    <n v="0"/>
    <n v="0"/>
    <n v="0"/>
    <n v="-10"/>
    <n v="0"/>
    <n v="-90"/>
    <n v="0"/>
    <n v="-10"/>
    <n v="0"/>
    <n v="-155"/>
    <n v="-10"/>
  </r>
  <r>
    <x v="1"/>
    <x v="1"/>
    <x v="0"/>
    <s v="2340200"/>
    <n v="400029"/>
    <s v="MD Practice Other Rev--BCBS Comm"/>
    <s v="Bonney Lake-Int Med"/>
    <x v="0"/>
    <n v="1301"/>
    <n v="-34"/>
    <n v="0"/>
    <n v="0"/>
    <n v="0"/>
    <n v="0"/>
    <n v="0"/>
    <n v="-100"/>
    <n v="0"/>
    <n v="0"/>
    <n v="-10"/>
    <n v="-10"/>
    <n v="0"/>
    <n v="-154"/>
    <n v="-10"/>
  </r>
  <r>
    <x v="1"/>
    <x v="1"/>
    <x v="0"/>
    <s v="2340200"/>
    <n v="400029"/>
    <s v="MD Practice Other Rev--Managed Care"/>
    <s v="Bonney Lake-Int Med"/>
    <x v="0"/>
    <n v="1400"/>
    <n v="-30"/>
    <n v="-28"/>
    <n v="-68"/>
    <n v="-24"/>
    <n v="-10"/>
    <n v="-55"/>
    <n v="-120"/>
    <n v="-100"/>
    <n v="-20"/>
    <n v="-65"/>
    <n v="-30"/>
    <n v="0"/>
    <n v="-550"/>
    <n v="-30"/>
  </r>
  <r>
    <x v="1"/>
    <x v="1"/>
    <x v="0"/>
    <s v="2340200"/>
    <n v="400029"/>
    <s v="MD Practice Other Rev--Self Pay"/>
    <s v="Bonney Lake-Int Med"/>
    <x v="0"/>
    <n v="15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40200"/>
    <n v="400040"/>
    <s v="Physician Svcs Rev--Medicare"/>
    <s v="Bonney Lake-Int Med"/>
    <x v="0"/>
    <n v="1100"/>
    <n v="-54240"/>
    <n v="-81627.600000000006"/>
    <n v="-63731"/>
    <n v="-54177"/>
    <n v="-56703.4"/>
    <n v="-62872"/>
    <n v="-73554"/>
    <n v="-54176"/>
    <n v="-52999"/>
    <n v="-67045"/>
    <n v="-63089"/>
    <n v="-54696"/>
    <n v="-738910"/>
    <n v="-8393"/>
  </r>
  <r>
    <x v="1"/>
    <x v="1"/>
    <x v="0"/>
    <s v="2340200"/>
    <n v="400040"/>
    <s v="Physician Svcs Rev--Medicaid"/>
    <s v="Bonney Lake-Int Med"/>
    <x v="0"/>
    <n v="1200"/>
    <n v="-5571"/>
    <n v="-10687.4"/>
    <n v="-7844"/>
    <n v="-7681.4"/>
    <n v="-6682.4"/>
    <n v="-5979"/>
    <n v="-6891.8"/>
    <n v="-8957"/>
    <n v="-7038"/>
    <n v="-5180"/>
    <n v="-6872"/>
    <n v="-9123"/>
    <n v="-88507"/>
    <n v="2251"/>
  </r>
  <r>
    <x v="1"/>
    <x v="1"/>
    <x v="0"/>
    <s v="2340200"/>
    <n v="400040"/>
    <s v="Physician Svcs Rev--Comm Insurance"/>
    <s v="Bonney Lake-Int Med"/>
    <x v="0"/>
    <n v="1300"/>
    <n v="-1975"/>
    <n v="-2878"/>
    <n v="-2836"/>
    <n v="-3412"/>
    <n v="-4587"/>
    <n v="-3056"/>
    <n v="-3764"/>
    <n v="-1836"/>
    <n v="-2470"/>
    <n v="-1362"/>
    <n v="-1238"/>
    <n v="-2393"/>
    <n v="-31807"/>
    <n v="1155"/>
  </r>
  <r>
    <x v="1"/>
    <x v="1"/>
    <x v="0"/>
    <s v="2340200"/>
    <n v="400040"/>
    <s v="Physician Svcs Rev--BCBS Comm"/>
    <s v="Bonney Lake-Int Med"/>
    <x v="0"/>
    <n v="1301"/>
    <n v="-6374"/>
    <n v="-7779"/>
    <n v="-7972"/>
    <n v="-6567"/>
    <n v="-5409"/>
    <n v="-6881"/>
    <n v="-7733"/>
    <n v="-6668"/>
    <n v="-7552"/>
    <n v="-8010"/>
    <n v="-8932"/>
    <n v="-5981"/>
    <n v="-85858"/>
    <n v="-2951"/>
  </r>
  <r>
    <x v="1"/>
    <x v="1"/>
    <x v="0"/>
    <s v="2340200"/>
    <n v="400040"/>
    <s v="Physician Svcs Rev--Managed Care"/>
    <s v="Bonney Lake-Int Med"/>
    <x v="0"/>
    <n v="1400"/>
    <n v="-17458"/>
    <n v="-34224.800000000003"/>
    <n v="-28478.400000000001"/>
    <n v="-25037"/>
    <n v="-24981"/>
    <n v="-29739"/>
    <n v="-31770.799999999999"/>
    <n v="-19637"/>
    <n v="-19171"/>
    <n v="-28059"/>
    <n v="-32097"/>
    <n v="-27728"/>
    <n v="-318381"/>
    <n v="-4369"/>
  </r>
  <r>
    <x v="1"/>
    <x v="1"/>
    <x v="0"/>
    <s v="2340200"/>
    <n v="400040"/>
    <s v="Physician Svcs Rev--Self Pay"/>
    <s v="Bonney Lake-Int Med"/>
    <x v="0"/>
    <n v="1500"/>
    <n v="0"/>
    <n v="-295"/>
    <n v="-888"/>
    <n v="-790"/>
    <n v="-200"/>
    <n v="-200"/>
    <n v="-1164"/>
    <n v="-542"/>
    <n v="-547"/>
    <n v="0"/>
    <n v="-1596"/>
    <n v="-784"/>
    <n v="-7006"/>
    <n v="-812"/>
  </r>
  <r>
    <x v="1"/>
    <x v="1"/>
    <x v="0"/>
    <s v="2340200"/>
    <n v="400040"/>
    <s v="Physician Svcs Rev--Other"/>
    <s v="Bonney Lake-Int Med"/>
    <x v="0"/>
    <n v="1700"/>
    <n v="-495"/>
    <n v="-476"/>
    <n v="-1135"/>
    <n v="295"/>
    <n v="-380.13"/>
    <n v="-1240"/>
    <n v="-1164"/>
    <n v="-968"/>
    <n v="-200"/>
    <n v="-1165"/>
    <n v="-817"/>
    <n v="-200"/>
    <n v="-7945.13"/>
    <n v="-617"/>
  </r>
  <r>
    <x v="2"/>
    <x v="1"/>
    <x v="0"/>
    <s v="2340200"/>
    <n v="450029"/>
    <s v="Contr Allow--MD Other-Medicare"/>
    <s v="Bonney Lake-Int Med"/>
    <x v="0"/>
    <n v="1100"/>
    <n v="19.77"/>
    <n v="24.95"/>
    <n v="6.52"/>
    <n v="0"/>
    <n v="6.59"/>
    <n v="89.68"/>
    <n v="26.3"/>
    <n v="99.59"/>
    <n v="73.83"/>
    <n v="125.94"/>
    <n v="59.31"/>
    <n v="36.42"/>
    <n v="568.9"/>
    <n v="22.89"/>
  </r>
  <r>
    <x v="2"/>
    <x v="1"/>
    <x v="0"/>
    <s v="2340200"/>
    <n v="450029"/>
    <s v="Contr Allow--MD Other-Medicaid"/>
    <s v="Bonney Lake-Int Med"/>
    <x v="0"/>
    <n v="1200"/>
    <n v="0"/>
    <n v="0"/>
    <n v="0"/>
    <n v="0"/>
    <n v="0"/>
    <n v="7.03"/>
    <n v="18.43"/>
    <n v="0"/>
    <n v="7.03"/>
    <n v="0"/>
    <n v="0"/>
    <n v="0"/>
    <n v="32.49"/>
    <n v="0"/>
  </r>
  <r>
    <x v="2"/>
    <x v="1"/>
    <x v="0"/>
    <s v="2340200"/>
    <n v="450029"/>
    <s v="Contr Allow--MD Other-Comm Insurance"/>
    <s v="Bonney Lake-Int Med"/>
    <x v="0"/>
    <n v="1300"/>
    <n v="0"/>
    <n v="15.25"/>
    <n v="0"/>
    <n v="0"/>
    <n v="0"/>
    <n v="0"/>
    <n v="0"/>
    <n v="4.26"/>
    <n v="56.02"/>
    <n v="0"/>
    <n v="0"/>
    <n v="6.38"/>
    <n v="81.91"/>
    <n v="-6.38"/>
  </r>
  <r>
    <x v="2"/>
    <x v="1"/>
    <x v="0"/>
    <s v="2340200"/>
    <n v="450029"/>
    <s v="Contr Allow--MD Other BCBS Comm"/>
    <s v="Bonney Lake-Int Med"/>
    <x v="0"/>
    <n v="1301"/>
    <n v="0"/>
    <n v="18.829999999999998"/>
    <n v="6.5"/>
    <n v="0"/>
    <n v="0"/>
    <n v="0"/>
    <n v="0"/>
    <n v="63.62"/>
    <n v="0.44"/>
    <n v="0"/>
    <n v="13"/>
    <n v="0"/>
    <n v="102.38999999999999"/>
    <n v="13"/>
  </r>
  <r>
    <x v="2"/>
    <x v="1"/>
    <x v="0"/>
    <s v="2340200"/>
    <n v="450029"/>
    <s v="Contr Allow--MD Other-Managed Care"/>
    <s v="Bonney Lake-Int Med"/>
    <x v="0"/>
    <n v="1400"/>
    <n v="12.74"/>
    <n v="24.71"/>
    <n v="6.52"/>
    <n v="36.43"/>
    <n v="13.04"/>
    <n v="6.73"/>
    <n v="85.37"/>
    <n v="13.04"/>
    <n v="63.43"/>
    <n v="13.04"/>
    <n v="62"/>
    <n v="0"/>
    <n v="337.05"/>
    <n v="62"/>
  </r>
  <r>
    <x v="2"/>
    <x v="1"/>
    <x v="0"/>
    <s v="2340200"/>
    <n v="450029"/>
    <s v="Admin Adjust-MD Other-Self Pay"/>
    <s v="Bonney Lake-Int Med"/>
    <x v="0"/>
    <n v="1600"/>
    <n v="0"/>
    <n v="3.48"/>
    <n v="0.72"/>
    <n v="0"/>
    <n v="0"/>
    <n v="0"/>
    <n v="0.34"/>
    <n v="0"/>
    <n v="0"/>
    <n v="0"/>
    <n v="0"/>
    <n v="0"/>
    <n v="4.54"/>
    <n v="0"/>
  </r>
  <r>
    <x v="2"/>
    <x v="1"/>
    <x v="0"/>
    <s v="2340200"/>
    <n v="450040"/>
    <s v="Contr Allow--Phys Svcs--Mcare"/>
    <s v="Bonney Lake-Int Med"/>
    <x v="0"/>
    <n v="1100"/>
    <n v="30517.86"/>
    <n v="46175.59"/>
    <n v="39070.559999999998"/>
    <n v="50019.12"/>
    <n v="30490.04"/>
    <n v="39465.22"/>
    <n v="37742.46"/>
    <n v="42319.39"/>
    <n v="25453.17"/>
    <n v="45857.93"/>
    <n v="39104.160000000003"/>
    <n v="32880.129999999997"/>
    <n v="459095.63"/>
    <n v="6224.0300000000061"/>
  </r>
  <r>
    <x v="2"/>
    <x v="1"/>
    <x v="0"/>
    <s v="2340200"/>
    <n v="450040"/>
    <s v="Contr Allow--Phys Svcs--Mcaid"/>
    <s v="Bonney Lake-Int Med"/>
    <x v="0"/>
    <n v="1200"/>
    <n v="5742.6"/>
    <n v="6509.6"/>
    <n v="6267.91"/>
    <n v="5599.28"/>
    <n v="4041.6"/>
    <n v="4434.55"/>
    <n v="5001.2299999999996"/>
    <n v="6374.03"/>
    <n v="5036.05"/>
    <n v="6281.42"/>
    <n v="5071.1400000000003"/>
    <n v="5491.17"/>
    <n v="65850.58"/>
    <n v="-420.02999999999975"/>
  </r>
  <r>
    <x v="2"/>
    <x v="1"/>
    <x v="0"/>
    <s v="2340200"/>
    <n v="450040"/>
    <s v="Contr Allow--Phys Svcs--Comm Insurance"/>
    <s v="Bonney Lake-Int Med"/>
    <x v="0"/>
    <n v="1300"/>
    <n v="761.76"/>
    <n v="899.56"/>
    <n v="908.04"/>
    <n v="1566.24"/>
    <n v="780.14"/>
    <n v="663.66"/>
    <n v="1507.79"/>
    <n v="980.76"/>
    <n v="555.44000000000005"/>
    <n v="1629.63"/>
    <n v="96.61"/>
    <n v="680.01"/>
    <n v="11029.640000000001"/>
    <n v="-583.4"/>
  </r>
  <r>
    <x v="2"/>
    <x v="1"/>
    <x v="0"/>
    <s v="2340200"/>
    <n v="450040"/>
    <s v="Contr Allow--Phys Svcs--BCBS Comm Ins"/>
    <s v="Bonney Lake-Int Med"/>
    <x v="0"/>
    <n v="1301"/>
    <n v="2527.3000000000002"/>
    <n v="2533.94"/>
    <n v="2272.2600000000002"/>
    <n v="2319.7800000000002"/>
    <n v="1390.46"/>
    <n v="2132.65"/>
    <n v="2235.94"/>
    <n v="1978.58"/>
    <n v="2093.5500000000002"/>
    <n v="2148.11"/>
    <n v="2310.06"/>
    <n v="1936.33"/>
    <n v="25878.960000000006"/>
    <n v="373.73"/>
  </r>
  <r>
    <x v="2"/>
    <x v="1"/>
    <x v="0"/>
    <s v="2340200"/>
    <n v="450040"/>
    <s v="Contr Allow--Phys Svcs--Managed Care"/>
    <s v="Bonney Lake-Int Med"/>
    <x v="0"/>
    <n v="1400"/>
    <n v="7291.19"/>
    <n v="8497.2999999999993"/>
    <n v="10234.450000000001"/>
    <n v="11730.86"/>
    <n v="9587.32"/>
    <n v="10101.719999999999"/>
    <n v="9060.43"/>
    <n v="11919.41"/>
    <n v="6596.35"/>
    <n v="9527.23"/>
    <n v="11674.48"/>
    <n v="8011.55"/>
    <n v="114232.29000000001"/>
    <n v="3662.9299999999994"/>
  </r>
  <r>
    <x v="2"/>
    <x v="1"/>
    <x v="0"/>
    <s v="2340200"/>
    <n v="450040"/>
    <s v="Contr Allow--Phys Svcs--BCBS Mgnd Care"/>
    <s v="Bonney Lake-Int Med"/>
    <x v="0"/>
    <n v="1401"/>
    <n v="-714.66"/>
    <n v="10904.17"/>
    <n v="3036.54"/>
    <n v="-18429.23"/>
    <n v="4936.1400000000003"/>
    <n v="2171.77"/>
    <n v="13917"/>
    <n v="-12361.74"/>
    <n v="6920.51"/>
    <n v="-5282.84"/>
    <n v="2773.05"/>
    <n v="2544.21"/>
    <n v="10414.92"/>
    <n v="228.84000000000015"/>
  </r>
  <r>
    <x v="2"/>
    <x v="1"/>
    <x v="0"/>
    <s v="2340200"/>
    <n v="450040"/>
    <s v="Prompt Pay Disc-Phys Svcs-Self Pay"/>
    <s v="Bonney Lake-Int Med"/>
    <x v="0"/>
    <n v="1500"/>
    <n v="0"/>
    <n v="0"/>
    <n v="0"/>
    <n v="0"/>
    <n v="0"/>
    <n v="0"/>
    <n v="0"/>
    <n v="0"/>
    <n v="40.31"/>
    <n v="0"/>
    <n v="0"/>
    <n v="0"/>
    <n v="40.31"/>
    <n v="0"/>
  </r>
  <r>
    <x v="2"/>
    <x v="1"/>
    <x v="0"/>
    <s v="2340200"/>
    <n v="450040"/>
    <s v="Admin Adjust-Phys Svcs-Self Pay"/>
    <s v="Bonney Lake-Int Med"/>
    <x v="0"/>
    <n v="1600"/>
    <n v="13.62"/>
    <n v="119.3"/>
    <n v="444.11"/>
    <n v="703.75"/>
    <n v="378.69"/>
    <n v="52.04"/>
    <n v="1805.32"/>
    <n v="571.57000000000005"/>
    <n v="430.61"/>
    <n v="111.1"/>
    <n v="392.78"/>
    <n v="367.95"/>
    <n v="5390.84"/>
    <n v="24.829999999999984"/>
  </r>
  <r>
    <x v="2"/>
    <x v="1"/>
    <x v="0"/>
    <s v="2340200"/>
    <n v="450040"/>
    <s v="Contr Allow--Phys Svcs--Other"/>
    <s v="Bonney Lake-Int Med"/>
    <x v="0"/>
    <n v="1700"/>
    <n v="647.54"/>
    <n v="496.47"/>
    <n v="40.299999999999997"/>
    <n v="307.5"/>
    <n v="297.94"/>
    <n v="452.81"/>
    <n v="497.76"/>
    <n v="0"/>
    <n v="556.45000000000005"/>
    <n v="784.78"/>
    <n v="309"/>
    <n v="409.6"/>
    <n v="4800.1499999999996"/>
    <n v="-100.60000000000002"/>
  </r>
  <r>
    <x v="3"/>
    <x v="1"/>
    <x v="0"/>
    <s v="2340200"/>
    <n v="470040"/>
    <s v="Charity Care-Physician Svcs"/>
    <s v="Bonney Lake-Int Med"/>
    <x v="0"/>
    <m/>
    <n v="-84.83"/>
    <n v="1167.94"/>
    <n v="278.8"/>
    <n v="-564.45000000000005"/>
    <n v="293.06"/>
    <n v="-97.76"/>
    <n v="526.32000000000005"/>
    <n v="-211.78"/>
    <n v="489.17"/>
    <n v="-64.459999999999994"/>
    <n v="-26.11"/>
    <n v="902.54"/>
    <n v="2608.44"/>
    <n v="-928.65"/>
  </r>
  <r>
    <x v="4"/>
    <x v="1"/>
    <x v="0"/>
    <s v="2340200"/>
    <n v="490010"/>
    <s v="Provision for Bad Debts"/>
    <s v="Bonney Lake-Int Med"/>
    <x v="0"/>
    <m/>
    <n v="454.92"/>
    <n v="2743.36"/>
    <n v="342.87"/>
    <n v="-2759.23"/>
    <n v="901.55"/>
    <n v="163.72"/>
    <n v="1060.58"/>
    <n v="-1650.19"/>
    <n v="1447.12"/>
    <n v="-552.67999999999995"/>
    <n v="392.71"/>
    <n v="1590.66"/>
    <n v="4135.3900000000003"/>
    <n v="-1197.95"/>
  </r>
  <r>
    <x v="5"/>
    <x v="1"/>
    <x v="0"/>
    <s v="2340200"/>
    <n v="700018"/>
    <s v="Salaries-Supervisory-Productive"/>
    <s v="Bonney Lake-Int Med"/>
    <x v="0"/>
    <m/>
    <n v="702.41"/>
    <n v="335.25"/>
    <n v="478.92"/>
    <n v="676.12"/>
    <n v="397.54"/>
    <n v="861.32"/>
    <n v="763.1"/>
    <n v="663.52"/>
    <n v="696.7"/>
    <n v="729.86"/>
    <n v="431.3"/>
    <n v="663.52"/>
    <n v="7399.5599999999995"/>
    <n v="-232.21999999999997"/>
  </r>
  <r>
    <x v="5"/>
    <x v="1"/>
    <x v="0"/>
    <s v="2340200"/>
    <n v="700022"/>
    <s v="Salaries-Physician-Productive"/>
    <s v="Bonney Lake-Int Med"/>
    <x v="0"/>
    <m/>
    <n v="19179.52"/>
    <n v="26516.36"/>
    <n v="20511.400000000001"/>
    <n v="20154.68"/>
    <n v="17963.919999999998"/>
    <n v="21478.959999999999"/>
    <n v="24371.48"/>
    <n v="23271.97"/>
    <n v="15045.17"/>
    <n v="25553.19"/>
    <n v="25814.52"/>
    <n v="17686.900000000001"/>
    <n v="257548.07"/>
    <n v="8127.619999999999"/>
  </r>
  <r>
    <x v="5"/>
    <x v="1"/>
    <x v="0"/>
    <s v="2340200"/>
    <n v="700030"/>
    <s v="Salaries-LPN-Productive"/>
    <s v="Bonney Lake-Int Med"/>
    <x v="0"/>
    <m/>
    <n v="3850.3"/>
    <n v="4668.55"/>
    <n v="2671.9"/>
    <n v="5640.95"/>
    <n v="4829.3999999999996"/>
    <n v="3921.83"/>
    <n v="4876.63"/>
    <n v="3202.47"/>
    <n v="4098.54"/>
    <n v="4843.6000000000004"/>
    <n v="4886.3599999999997"/>
    <n v="3988.83"/>
    <n v="51479.360000000001"/>
    <n v="897.52999999999975"/>
  </r>
  <r>
    <x v="5"/>
    <x v="1"/>
    <x v="0"/>
    <s v="2340200"/>
    <n v="700030"/>
    <s v="Salaries-LPN-OT"/>
    <s v="Bonney Lake-Int Med"/>
    <x v="0"/>
    <n v="1000"/>
    <n v="0"/>
    <n v="20.82"/>
    <n v="15.61"/>
    <n v="46.85"/>
    <n v="192.04"/>
    <n v="43.74"/>
    <n v="60.91"/>
    <n v="-8.5399999999999991"/>
    <n v="443.4"/>
    <n v="54.5"/>
    <n v="431.66"/>
    <n v="256.44"/>
    <n v="1557.43"/>
    <n v="175.22000000000003"/>
  </r>
  <r>
    <x v="5"/>
    <x v="1"/>
    <x v="0"/>
    <s v="2340200"/>
    <n v="700032"/>
    <s v="Salaries-Other Pat Care Providers-Productive"/>
    <s v="Bonney Lake-Int Med"/>
    <x v="0"/>
    <m/>
    <n v="2176.9"/>
    <n v="3238.95"/>
    <n v="2282.59"/>
    <n v="3524.35"/>
    <n v="2951.79"/>
    <n v="1902.43"/>
    <n v="1953.65"/>
    <n v="3032.97"/>
    <n v="3013.22"/>
    <n v="2718.91"/>
    <n v="4034.45"/>
    <n v="3206.48"/>
    <n v="34036.69000000001"/>
    <n v="827.9699999999998"/>
  </r>
  <r>
    <x v="5"/>
    <x v="1"/>
    <x v="0"/>
    <s v="2340200"/>
    <n v="700032"/>
    <s v="Salaries-Other Pat Care Providers-OT"/>
    <s v="Bonney Lake-Int Med"/>
    <x v="0"/>
    <n v="1000"/>
    <n v="0"/>
    <n v="0"/>
    <n v="0"/>
    <n v="0"/>
    <n v="0"/>
    <n v="0"/>
    <n v="0"/>
    <n v="0"/>
    <n v="0"/>
    <n v="0"/>
    <n v="32.950000000000003"/>
    <n v="0"/>
    <n v="32.950000000000003"/>
    <n v="32.950000000000003"/>
  </r>
  <r>
    <x v="5"/>
    <x v="1"/>
    <x v="0"/>
    <s v="2340200"/>
    <n v="700062"/>
    <s v="Salaries-Physician-Non-productive"/>
    <s v="Bonney Lake-Int Med"/>
    <x v="0"/>
    <m/>
    <n v="5053.12"/>
    <n v="0"/>
    <n v="2318.6799999999998"/>
    <n v="6099.91"/>
    <n v="7306.61"/>
    <n v="2657.93"/>
    <n v="2104.64"/>
    <n v="0"/>
    <n v="9346.52"/>
    <n v="0"/>
    <n v="1179.6600000000001"/>
    <n v="5778.56"/>
    <n v="41845.630000000005"/>
    <n v="-4598.9000000000005"/>
  </r>
  <r>
    <x v="5"/>
    <x v="1"/>
    <x v="0"/>
    <s v="2340200"/>
    <n v="700070"/>
    <s v="Salaries-LPN-Non-productive"/>
    <s v="Bonney Lake-Int Med"/>
    <x v="0"/>
    <m/>
    <n v="1035.44"/>
    <n v="439.31"/>
    <n v="1769.7"/>
    <n v="-433.75"/>
    <n v="177.81"/>
    <n v="857.77"/>
    <n v="366.17"/>
    <n v="1356.19"/>
    <n v="517.14"/>
    <n v="227.93"/>
    <n v="370.41"/>
    <n v="462.98"/>
    <n v="7147.1"/>
    <n v="-92.57"/>
  </r>
  <r>
    <x v="5"/>
    <x v="1"/>
    <x v="0"/>
    <s v="2340200"/>
    <n v="700072"/>
    <s v="Salaries-Other Pat Care Providers-Non-productive"/>
    <s v="Bonney Lake-Int Med"/>
    <x v="0"/>
    <m/>
    <n v="917.26"/>
    <n v="-92.99"/>
    <n v="1141.29"/>
    <n v="-169.08"/>
    <n v="0"/>
    <n v="1859.66"/>
    <n v="1230.05"/>
    <n v="-281.11"/>
    <n v="0"/>
    <n v="351.4"/>
    <n v="0"/>
    <n v="351.39"/>
    <n v="5307.8700000000008"/>
    <n v="-351.39"/>
  </r>
  <r>
    <x v="5"/>
    <x v="1"/>
    <x v="0"/>
    <s v="2340200"/>
    <n v="700072"/>
    <s v="Salaries-Other Pat Care Providers-NonProd-Other"/>
    <s v="Bonney Lake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40200"/>
    <n v="700084"/>
    <s v="Accrued PTO"/>
    <s v="Bonney Lake-Int Med"/>
    <x v="0"/>
    <m/>
    <n v="-687.67"/>
    <n v="484.85"/>
    <n v="-1790.13"/>
    <n v="1088.81"/>
    <n v="833.91"/>
    <n v="-981.99"/>
    <n v="-1006.28"/>
    <n v="-214.65"/>
    <n v="606.84"/>
    <n v="230.92"/>
    <n v="702.06"/>
    <n v="828.76"/>
    <n v="95.430000000000064"/>
    <n v="-126.70000000000005"/>
  </r>
  <r>
    <x v="6"/>
    <x v="1"/>
    <x v="0"/>
    <s v="2340200"/>
    <n v="713010"/>
    <s v="Benefits-FICA/Medicare"/>
    <s v="Bonney Lake-Int Med"/>
    <x v="0"/>
    <m/>
    <n v="982.8"/>
    <n v="1005.75"/>
    <n v="938.23"/>
    <n v="1054.07"/>
    <n v="1001.17"/>
    <n v="1795.67"/>
    <n v="2633.2"/>
    <n v="2302.92"/>
    <n v="2446.34"/>
    <n v="2542.06"/>
    <n v="2745.67"/>
    <n v="879.25"/>
    <n v="20327.129999999997"/>
    <n v="1866.42"/>
  </r>
  <r>
    <x v="6"/>
    <x v="1"/>
    <x v="0"/>
    <s v="2340200"/>
    <n v="713090"/>
    <s v="Benefits-Allocated Amounts"/>
    <s v="Bonney Lake-Int Med"/>
    <x v="0"/>
    <m/>
    <n v="0"/>
    <n v="0"/>
    <n v="0"/>
    <n v="0"/>
    <n v="0"/>
    <n v="0"/>
    <n v="0"/>
    <n v="0"/>
    <n v="21212.31"/>
    <n v="2529.29"/>
    <n v="2542.54"/>
    <n v="2487.14"/>
    <n v="28771.280000000002"/>
    <n v="55.400000000000091"/>
  </r>
  <r>
    <x v="6"/>
    <x v="1"/>
    <x v="0"/>
    <s v="2340200"/>
    <n v="713092"/>
    <s v="Allocated Benefits-Physician"/>
    <s v="Bonney Lake-Int Med"/>
    <x v="0"/>
    <m/>
    <n v="3456.59"/>
    <n v="3156.77"/>
    <n v="3256.77"/>
    <n v="3447.24"/>
    <n v="3292.99"/>
    <n v="3678.96"/>
    <n v="4087.66"/>
    <n v="3902.19"/>
    <n v="-17153.16"/>
    <n v="1326.64"/>
    <n v="1333.58"/>
    <n v="1304.52"/>
    <n v="15090.749999999998"/>
    <n v="29.059999999999945"/>
  </r>
  <r>
    <x v="7"/>
    <x v="1"/>
    <x v="0"/>
    <s v="2340200"/>
    <n v="718050"/>
    <s v="Cleaning Services"/>
    <s v="Bonney Lake-Int Med"/>
    <x v="0"/>
    <n v="1011"/>
    <n v="0"/>
    <n v="0"/>
    <n v="214.77"/>
    <n v="0"/>
    <n v="0"/>
    <n v="71.59"/>
    <n v="0"/>
    <n v="71.59"/>
    <n v="71.59"/>
    <n v="0"/>
    <n v="0"/>
    <n v="0"/>
    <n v="429.54000000000008"/>
    <n v="0"/>
  </r>
  <r>
    <x v="0"/>
    <x v="1"/>
    <x v="0"/>
    <s v="2340200"/>
    <n v="740020"/>
    <s v="Education-Registration Fees"/>
    <s v="Bonney Lake-Int Med"/>
    <x v="0"/>
    <m/>
    <n v="0"/>
    <n v="0"/>
    <n v="0"/>
    <n v="0"/>
    <n v="0"/>
    <n v="0"/>
    <n v="0"/>
    <n v="0"/>
    <n v="0"/>
    <n v="275"/>
    <n v="0"/>
    <n v="0"/>
    <n v="275"/>
    <n v="0"/>
  </r>
  <r>
    <x v="8"/>
    <x v="1"/>
    <x v="0"/>
    <s v="2340200"/>
    <n v="741012"/>
    <s v="Physician Liab Insurance-CHI Program"/>
    <s v="Bonney Lake-Int Med"/>
    <x v="0"/>
    <m/>
    <n v="341.04"/>
    <n v="341.04"/>
    <n v="341.04"/>
    <n v="341.04"/>
    <n v="341.04"/>
    <n v="341.04"/>
    <n v="341.04"/>
    <n v="341.04"/>
    <n v="341.04"/>
    <n v="341.04"/>
    <n v="341.04"/>
    <n v="341.04"/>
    <n v="4092.48"/>
    <n v="0"/>
  </r>
  <r>
    <x v="0"/>
    <x v="1"/>
    <x v="0"/>
    <s v="2340200"/>
    <n v="743022"/>
    <s v="Dues-Physician"/>
    <s v="Bonney Lake-Int Med"/>
    <x v="0"/>
    <m/>
    <n v="0"/>
    <n v="0"/>
    <n v="0"/>
    <n v="0"/>
    <n v="0"/>
    <n v="0"/>
    <n v="0"/>
    <n v="820"/>
    <n v="0"/>
    <n v="0"/>
    <n v="160"/>
    <n v="1090"/>
    <n v="2070"/>
    <n v="-930"/>
  </r>
  <r>
    <x v="0"/>
    <x v="1"/>
    <x v="0"/>
    <s v="2340200"/>
    <n v="743042"/>
    <s v="Subscriptions-Physician"/>
    <s v="Bonney Lake-Int Med"/>
    <x v="0"/>
    <m/>
    <n v="0"/>
    <n v="0"/>
    <n v="0"/>
    <n v="0"/>
    <n v="0"/>
    <n v="0"/>
    <n v="0"/>
    <n v="0"/>
    <n v="0"/>
    <n v="0"/>
    <n v="0"/>
    <n v="699"/>
    <n v="699"/>
    <n v="-699"/>
  </r>
  <r>
    <x v="0"/>
    <x v="1"/>
    <x v="0"/>
    <s v="2340200"/>
    <n v="749510"/>
    <s v="Miscellaneous Expenses"/>
    <s v="Bonney Lake-Int Med"/>
    <x v="0"/>
    <m/>
    <n v="-724.85"/>
    <n v="0"/>
    <n v="0"/>
    <n v="0"/>
    <n v="0"/>
    <n v="0"/>
    <n v="0"/>
    <n v="0"/>
    <n v="0"/>
    <n v="0"/>
    <n v="1789"/>
    <n v="-1789"/>
    <n v="-724.84999999999991"/>
    <n v="3578"/>
  </r>
  <r>
    <x v="0"/>
    <x v="1"/>
    <x v="0"/>
    <s v="2340200"/>
    <n v="749530"/>
    <s v="Mileage"/>
    <s v="Bonney Lake-Int Med"/>
    <x v="0"/>
    <n v="1001"/>
    <n v="0"/>
    <n v="0"/>
    <n v="0"/>
    <n v="0"/>
    <n v="0"/>
    <n v="0"/>
    <n v="0"/>
    <n v="0"/>
    <n v="0"/>
    <n v="27.84"/>
    <n v="0"/>
    <n v="18.559999999999999"/>
    <n v="46.4"/>
    <n v="-18.559999999999999"/>
  </r>
  <r>
    <x v="0"/>
    <x v="1"/>
    <x v="0"/>
    <s v="2340200"/>
    <n v="749591"/>
    <s v="Other Expense-Intracompany Allocation"/>
    <s v="Bonney Lake-Int Med"/>
    <x v="0"/>
    <m/>
    <n v="30767.34"/>
    <n v="42991.19"/>
    <n v="36476.14"/>
    <n v="32063.85"/>
    <n v="35517.47"/>
    <n v="42395.11"/>
    <n v="40193.69"/>
    <n v="27175.52"/>
    <n v="18438.43"/>
    <n v="30863.06"/>
    <n v="28367.79"/>
    <n v="26160.74"/>
    <n v="391410.32999999996"/>
    <n v="2207.0499999999993"/>
  </r>
  <r>
    <x v="1"/>
    <x v="1"/>
    <x v="0"/>
    <s v="2341200"/>
    <n v="400029"/>
    <s v="MD Practice Other Rev--Medicaid"/>
    <s v="Bonney Lake-Peds"/>
    <x v="0"/>
    <n v="1200"/>
    <n v="0"/>
    <n v="-69"/>
    <n v="-69"/>
    <n v="-88"/>
    <n v="-45"/>
    <n v="-435"/>
    <n v="-250"/>
    <n v="-335"/>
    <n v="-350"/>
    <n v="-65"/>
    <n v="-209"/>
    <n v="-100"/>
    <n v="-2015"/>
    <n v="-109"/>
  </r>
  <r>
    <x v="1"/>
    <x v="1"/>
    <x v="0"/>
    <s v="2341200"/>
    <n v="400029"/>
    <s v="MD Practice Other Rev--BCBS Comm"/>
    <s v="Bonney Lake-Peds"/>
    <x v="0"/>
    <n v="1301"/>
    <n v="-10"/>
    <n v="0"/>
    <n v="0"/>
    <n v="-10"/>
    <n v="-10"/>
    <n v="0"/>
    <n v="-86"/>
    <n v="-10"/>
    <n v="-325"/>
    <n v="-10"/>
    <n v="-20"/>
    <n v="-10"/>
    <n v="-491"/>
    <n v="-10"/>
  </r>
  <r>
    <x v="1"/>
    <x v="1"/>
    <x v="0"/>
    <s v="2341200"/>
    <n v="400029"/>
    <s v="MD Practice Other Rev--Managed Care"/>
    <s v="Bonney Lake-Peds"/>
    <x v="0"/>
    <n v="1400"/>
    <n v="-24"/>
    <n v="0"/>
    <n v="-24"/>
    <n v="-57"/>
    <n v="-41"/>
    <n v="-45"/>
    <n v="-215"/>
    <n v="-10"/>
    <n v="-280"/>
    <n v="-45"/>
    <n v="-145"/>
    <n v="-294"/>
    <n v="-1180"/>
    <n v="149"/>
  </r>
  <r>
    <x v="1"/>
    <x v="1"/>
    <x v="0"/>
    <s v="2341200"/>
    <n v="400029"/>
    <s v="MD Practice Other Rev--Self Pay"/>
    <s v="Bonney Lake-Peds"/>
    <x v="0"/>
    <n v="1500"/>
    <n v="0"/>
    <n v="0"/>
    <n v="0"/>
    <n v="0"/>
    <n v="0"/>
    <n v="0"/>
    <n v="-10"/>
    <n v="0"/>
    <n v="0"/>
    <n v="0"/>
    <n v="0"/>
    <n v="0"/>
    <n v="-10"/>
    <n v="0"/>
  </r>
  <r>
    <x v="1"/>
    <x v="1"/>
    <x v="0"/>
    <s v="2341200"/>
    <n v="400029"/>
    <s v="MD Practice Other Rev--Other"/>
    <s v="Bonney Lake-Peds"/>
    <x v="0"/>
    <n v="1700"/>
    <n v="0"/>
    <n v="-10"/>
    <n v="0"/>
    <n v="-69"/>
    <n v="-10"/>
    <n v="0"/>
    <n v="0"/>
    <n v="0"/>
    <n v="-90"/>
    <n v="0"/>
    <n v="-10"/>
    <n v="0"/>
    <n v="-189"/>
    <n v="-10"/>
  </r>
  <r>
    <x v="1"/>
    <x v="1"/>
    <x v="0"/>
    <s v="2341200"/>
    <n v="400040"/>
    <s v="Physician Svcs Rev--Medicaid"/>
    <s v="Bonney Lake-Peds"/>
    <x v="0"/>
    <n v="1200"/>
    <n v="-44425.919999999998"/>
    <n v="-45939.08"/>
    <n v="-37973.089999999997"/>
    <n v="-45938.44"/>
    <n v="-49387.87"/>
    <n v="-36899.919999999998"/>
    <n v="-46795.72"/>
    <n v="-35876.76"/>
    <n v="-48678.559999999998"/>
    <n v="-41197.879999999997"/>
    <n v="-52104.54"/>
    <n v="-30395.439999999999"/>
    <n v="-515613.22000000003"/>
    <n v="-21709.100000000002"/>
  </r>
  <r>
    <x v="1"/>
    <x v="1"/>
    <x v="0"/>
    <s v="2341200"/>
    <n v="400040"/>
    <s v="Physician Svcs Rev--Comm Insurance"/>
    <s v="Bonney Lake-Peds"/>
    <x v="0"/>
    <n v="1300"/>
    <n v="-1198.45"/>
    <n v="-3567.64"/>
    <n v="-369.43"/>
    <n v="-1573.69"/>
    <n v="-917.13"/>
    <n v="-3700.73"/>
    <n v="-597.53"/>
    <n v="-3095.34"/>
    <n v="-3532"/>
    <n v="-3268.76"/>
    <n v="-1029"/>
    <n v="-1030"/>
    <n v="-23879.700000000004"/>
    <n v="1"/>
  </r>
  <r>
    <x v="1"/>
    <x v="1"/>
    <x v="0"/>
    <s v="2341200"/>
    <n v="400040"/>
    <s v="Physician Svcs Rev--BCBS Comm"/>
    <s v="Bonney Lake-Peds"/>
    <x v="0"/>
    <n v="1301"/>
    <n v="-23108.45"/>
    <n v="-21186.89"/>
    <n v="-17433.009999999998"/>
    <n v="-21185.16"/>
    <n v="-19018.23"/>
    <n v="-19231.96"/>
    <n v="-17096.689999999999"/>
    <n v="-11755.74"/>
    <n v="-17531.84"/>
    <n v="-18508.66"/>
    <n v="-17412.55"/>
    <n v="-18731.13"/>
    <n v="-222200.30999999997"/>
    <n v="1318.5800000000017"/>
  </r>
  <r>
    <x v="1"/>
    <x v="1"/>
    <x v="0"/>
    <s v="2341200"/>
    <n v="400040"/>
    <s v="Physician Svcs Rev--Managed Care"/>
    <s v="Bonney Lake-Peds"/>
    <x v="0"/>
    <n v="1400"/>
    <n v="-2730.87"/>
    <n v="-41421.5"/>
    <n v="-28810.5"/>
    <n v="-36076.230000000003"/>
    <n v="-42228.54"/>
    <n v="-35463.300000000003"/>
    <n v="-39288.949999999997"/>
    <n v="-22452.82"/>
    <n v="-34843.279999999999"/>
    <n v="-23270.13"/>
    <n v="-38063.629999999997"/>
    <n v="-33246.35"/>
    <n v="-377896.1"/>
    <n v="-4817.2799999999988"/>
  </r>
  <r>
    <x v="1"/>
    <x v="1"/>
    <x v="0"/>
    <s v="2341200"/>
    <n v="400040"/>
    <s v="Physician Svcs Rev--Self Pay"/>
    <s v="Bonney Lake-Peds"/>
    <x v="0"/>
    <n v="1500"/>
    <n v="-1282.32"/>
    <n v="-460.64"/>
    <n v="-3089.21"/>
    <n v="-1510.08"/>
    <n v="-990.88"/>
    <n v="-1748.32"/>
    <n v="-3499.64"/>
    <n v="-748.44"/>
    <n v="-196.52"/>
    <n v="360.76"/>
    <n v="-1061.76"/>
    <n v="-2886.32"/>
    <n v="-17113.370000000003"/>
    <n v="1824.5600000000002"/>
  </r>
  <r>
    <x v="1"/>
    <x v="1"/>
    <x v="0"/>
    <s v="2341200"/>
    <n v="400040"/>
    <s v="Physician Svcs Rev--Other"/>
    <s v="Bonney Lake-Peds"/>
    <x v="0"/>
    <n v="1700"/>
    <n v="-7252.2"/>
    <n v="-10563.1"/>
    <n v="-7439.69"/>
    <n v="-4389.3599999999997"/>
    <n v="-8357.07"/>
    <n v="-2939.24"/>
    <n v="-6404.07"/>
    <n v="-5545.05"/>
    <n v="-5998.14"/>
    <n v="-3680.06"/>
    <n v="-4962.57"/>
    <n v="-5773.77"/>
    <n v="-73304.319999999992"/>
    <n v="811.20000000000073"/>
  </r>
  <r>
    <x v="2"/>
    <x v="1"/>
    <x v="0"/>
    <s v="2341200"/>
    <n v="450029"/>
    <s v="Contr Allow--MD Other-Medicaid"/>
    <s v="Bonney Lake-Peds"/>
    <x v="0"/>
    <n v="1200"/>
    <n v="0"/>
    <n v="0"/>
    <n v="62.92"/>
    <n v="108.74"/>
    <n v="43.24"/>
    <n v="244.94"/>
    <n v="86.44"/>
    <n v="109.63"/>
    <n v="343.12"/>
    <n v="64.650000000000006"/>
    <n v="85.63"/>
    <n v="83.91"/>
    <n v="1233.22"/>
    <n v="1.7199999999999989"/>
  </r>
  <r>
    <x v="2"/>
    <x v="1"/>
    <x v="0"/>
    <s v="2341200"/>
    <n v="450029"/>
    <s v="Contr Allow--MD Other BCBS Comm"/>
    <s v="Bonney Lake-Peds"/>
    <x v="0"/>
    <n v="1301"/>
    <n v="6.48"/>
    <n v="0"/>
    <n v="6.5"/>
    <n v="0"/>
    <n v="6.48"/>
    <n v="13"/>
    <n v="0"/>
    <n v="53.12"/>
    <n v="92.18"/>
    <n v="127.24"/>
    <n v="0"/>
    <n v="13"/>
    <n v="318"/>
    <n v="-13"/>
  </r>
  <r>
    <x v="2"/>
    <x v="1"/>
    <x v="0"/>
    <s v="2341200"/>
    <n v="450029"/>
    <s v="Contr Allow--MD Other-Managed Care"/>
    <s v="Bonney Lake-Peds"/>
    <x v="0"/>
    <n v="1400"/>
    <n v="15.39"/>
    <n v="0"/>
    <n v="0"/>
    <n v="43.84"/>
    <n v="6.52"/>
    <n v="54.67"/>
    <n v="63.63"/>
    <n v="73.41"/>
    <n v="92.1"/>
    <n v="91.89"/>
    <n v="85.41"/>
    <n v="206.17"/>
    <n v="733.03"/>
    <n v="-120.75999999999999"/>
  </r>
  <r>
    <x v="2"/>
    <x v="1"/>
    <x v="0"/>
    <s v="2341200"/>
    <n v="450029"/>
    <s v="Admin Adjust-MD Other-Self Pay"/>
    <s v="Bonney Lake-Peds"/>
    <x v="0"/>
    <n v="1600"/>
    <n v="0"/>
    <n v="0"/>
    <n v="0"/>
    <n v="0"/>
    <n v="0"/>
    <n v="0"/>
    <n v="5.5"/>
    <n v="0"/>
    <n v="0"/>
    <n v="0"/>
    <n v="0"/>
    <n v="0.03"/>
    <n v="5.53"/>
    <n v="-0.03"/>
  </r>
  <r>
    <x v="2"/>
    <x v="1"/>
    <x v="0"/>
    <s v="2341200"/>
    <n v="450029"/>
    <s v="Contr Allow--MD Other-Other"/>
    <s v="Bonney Lake-Peds"/>
    <x v="0"/>
    <n v="1700"/>
    <n v="0"/>
    <n v="7.17"/>
    <n v="0"/>
    <n v="48.55"/>
    <n v="7.17"/>
    <n v="0"/>
    <n v="0"/>
    <n v="0"/>
    <n v="63.08"/>
    <n v="0"/>
    <n v="0"/>
    <n v="7.17"/>
    <n v="133.13999999999999"/>
    <n v="-7.17"/>
  </r>
  <r>
    <x v="2"/>
    <x v="1"/>
    <x v="0"/>
    <s v="2341200"/>
    <n v="450040"/>
    <s v="Contr Allow--Phys Svcs--Mcare"/>
    <s v="Bonney Lake-Peds"/>
    <x v="0"/>
    <n v="1100"/>
    <n v="0"/>
    <n v="0"/>
    <n v="0"/>
    <n v="0"/>
    <n v="0"/>
    <n v="0"/>
    <n v="0"/>
    <n v="0"/>
    <n v="0"/>
    <n v="0"/>
    <n v="970"/>
    <n v="0"/>
    <n v="970"/>
    <n v="970"/>
  </r>
  <r>
    <x v="2"/>
    <x v="1"/>
    <x v="0"/>
    <s v="2341200"/>
    <n v="450040"/>
    <s v="Contr Allow--Phys Svcs--Mcaid"/>
    <s v="Bonney Lake-Peds"/>
    <x v="0"/>
    <n v="1200"/>
    <n v="27280.13"/>
    <n v="35281.089999999997"/>
    <n v="25370.23"/>
    <n v="37684.089999999997"/>
    <n v="24962.92"/>
    <n v="28366.33"/>
    <n v="24075.49"/>
    <n v="20176.97"/>
    <n v="34859.29"/>
    <n v="28623.18"/>
    <n v="31977.55"/>
    <n v="21577.47"/>
    <n v="340234.74"/>
    <n v="10400.079999999998"/>
  </r>
  <r>
    <x v="2"/>
    <x v="1"/>
    <x v="0"/>
    <s v="2341200"/>
    <n v="450040"/>
    <s v="Contr Allow--Phys Svcs--Comm Insurance"/>
    <s v="Bonney Lake-Peds"/>
    <x v="0"/>
    <n v="1300"/>
    <n v="4473.74"/>
    <n v="1332"/>
    <n v="1620.8"/>
    <n v="1704.64"/>
    <n v="73.400000000000006"/>
    <n v="968.52"/>
    <n v="231.02"/>
    <n v="898.63"/>
    <n v="1549.59"/>
    <n v="1701.64"/>
    <n v="619.02"/>
    <n v="582.57000000000005"/>
    <n v="15755.57"/>
    <n v="36.449999999999932"/>
  </r>
  <r>
    <x v="2"/>
    <x v="1"/>
    <x v="0"/>
    <s v="2341200"/>
    <n v="450040"/>
    <s v="Contr Allow--Phys Svcs--BCBS Comm Ins"/>
    <s v="Bonney Lake-Peds"/>
    <x v="0"/>
    <n v="1301"/>
    <n v="19085"/>
    <n v="6942.45"/>
    <n v="15097.75"/>
    <n v="7717.34"/>
    <n v="5933.75"/>
    <n v="8165.96"/>
    <n v="6720.07"/>
    <n v="6161.66"/>
    <n v="8138.31"/>
    <n v="7894.75"/>
    <n v="6290.55"/>
    <n v="8069.31"/>
    <n v="106216.9"/>
    <n v="-1778.7600000000002"/>
  </r>
  <r>
    <x v="2"/>
    <x v="1"/>
    <x v="0"/>
    <s v="2341200"/>
    <n v="450040"/>
    <s v="Contr Allow--Phys Svcs--Managed Care"/>
    <s v="Bonney Lake-Peds"/>
    <x v="0"/>
    <n v="1400"/>
    <n v="28175.03"/>
    <n v="13105.18"/>
    <n v="19366.8"/>
    <n v="18627.75"/>
    <n v="13567.62"/>
    <n v="19044.8"/>
    <n v="15796.45"/>
    <n v="11555.48"/>
    <n v="14986.32"/>
    <n v="11331.5"/>
    <n v="15228.04"/>
    <n v="16599.27"/>
    <n v="197384.24"/>
    <n v="-1371.2299999999996"/>
  </r>
  <r>
    <x v="2"/>
    <x v="1"/>
    <x v="0"/>
    <s v="2341200"/>
    <n v="450040"/>
    <s v="Contr Allow--Phys Svcs--BCBS Mgnd Care"/>
    <s v="Bonney Lake-Peds"/>
    <x v="0"/>
    <n v="1401"/>
    <n v="-22423.96"/>
    <n v="-2351.71"/>
    <n v="-5712.54"/>
    <n v="-7287.24"/>
    <n v="13100.16"/>
    <n v="-5740.53"/>
    <n v="10522.17"/>
    <n v="-2025.76"/>
    <n v="-4081.48"/>
    <n v="-5478.46"/>
    <n v="6380.19"/>
    <n v="-4383.34"/>
    <n v="-29482.499999999993"/>
    <n v="10763.529999999999"/>
  </r>
  <r>
    <x v="2"/>
    <x v="1"/>
    <x v="0"/>
    <s v="2341200"/>
    <n v="450040"/>
    <s v="Admin Adjust-Phys Svcs-Self Pay"/>
    <s v="Bonney Lake-Peds"/>
    <x v="0"/>
    <n v="1600"/>
    <n v="705.83"/>
    <n v="415.69"/>
    <n v="2092.69"/>
    <n v="918.92"/>
    <n v="516.01"/>
    <n v="15.84"/>
    <n v="1599.64"/>
    <n v="304.25"/>
    <n v="362.26"/>
    <n v="22.88"/>
    <n v="268.19"/>
    <n v="1034.1300000000001"/>
    <n v="8256.3300000000017"/>
    <n v="-765.94"/>
  </r>
  <r>
    <x v="2"/>
    <x v="1"/>
    <x v="0"/>
    <s v="2341200"/>
    <n v="450040"/>
    <s v="Contr Allow--Phys Svcs--Other"/>
    <s v="Bonney Lake-Peds"/>
    <x v="0"/>
    <n v="1700"/>
    <n v="6022.69"/>
    <n v="12558.49"/>
    <n v="5731.86"/>
    <n v="3229.07"/>
    <n v="6177.21"/>
    <n v="3502.64"/>
    <n v="2672.04"/>
    <n v="2017.1"/>
    <n v="3790.13"/>
    <n v="3897.66"/>
    <n v="2392.4299999999998"/>
    <n v="5278.1"/>
    <n v="57269.42"/>
    <n v="-2885.6700000000005"/>
  </r>
  <r>
    <x v="3"/>
    <x v="1"/>
    <x v="0"/>
    <s v="2341200"/>
    <n v="470040"/>
    <s v="Charity Care-Physician Svcs"/>
    <s v="Bonney Lake-Peds"/>
    <x v="0"/>
    <m/>
    <n v="-524.36"/>
    <n v="1290.9000000000001"/>
    <n v="-468.6"/>
    <n v="-243.77"/>
    <n v="1357.27"/>
    <n v="-460.98"/>
    <n v="570.77"/>
    <n v="503.43"/>
    <n v="154.47"/>
    <n v="258.87"/>
    <n v="-56.83"/>
    <n v="806.19"/>
    <n v="3187.36"/>
    <n v="-863.0200000000001"/>
  </r>
  <r>
    <x v="4"/>
    <x v="1"/>
    <x v="0"/>
    <s v="2341200"/>
    <n v="490010"/>
    <s v="Provision for Bad Debts"/>
    <s v="Bonney Lake-Peds"/>
    <x v="0"/>
    <m/>
    <n v="-2404.0500000000002"/>
    <n v="628.66999999999996"/>
    <n v="291.37"/>
    <n v="272.74"/>
    <n v="3869.65"/>
    <n v="115.02"/>
    <n v="2312.7800000000002"/>
    <n v="4352.75"/>
    <n v="1102.3900000000001"/>
    <n v="-227.97"/>
    <n v="3086.66"/>
    <n v="728.06"/>
    <n v="14128.07"/>
    <n v="2358.6"/>
  </r>
  <r>
    <x v="5"/>
    <x v="1"/>
    <x v="0"/>
    <s v="2341200"/>
    <n v="700018"/>
    <s v="Salaries-Supervisory-Productive"/>
    <s v="Bonney Lake-Peds"/>
    <x v="0"/>
    <m/>
    <n v="1404.83"/>
    <n v="1468.69"/>
    <n v="1277.1199999999999"/>
    <n v="915.58"/>
    <n v="1722.66"/>
    <n v="1391.37"/>
    <n v="1526.24"/>
    <n v="1327.08"/>
    <n v="1393.44"/>
    <n v="1459.78"/>
    <n v="1526.15"/>
    <n v="1327.08"/>
    <n v="16740.02"/>
    <n v="199.07000000000016"/>
  </r>
  <r>
    <x v="5"/>
    <x v="1"/>
    <x v="0"/>
    <s v="2341200"/>
    <n v="700022"/>
    <s v="Salaries-Physician-Productive"/>
    <s v="Bonney Lake-Peds"/>
    <x v="0"/>
    <m/>
    <n v="22851.96"/>
    <n v="26391.919999999998"/>
    <n v="14714.96"/>
    <n v="26034.16"/>
    <n v="19585.04"/>
    <n v="19303.87"/>
    <n v="23936.42"/>
    <n v="15427.93"/>
    <n v="21630.59"/>
    <n v="13905.37"/>
    <n v="27548.13"/>
    <n v="16927.04"/>
    <n v="248257.39"/>
    <n v="10621.09"/>
  </r>
  <r>
    <x v="5"/>
    <x v="1"/>
    <x v="0"/>
    <s v="2341200"/>
    <n v="700032"/>
    <s v="Salaries-Other Pat Care Providers-Productive"/>
    <s v="Bonney Lake-Peds"/>
    <x v="0"/>
    <m/>
    <n v="4060.31"/>
    <n v="3673.47"/>
    <n v="3121.7"/>
    <n v="4500.57"/>
    <n v="3983.58"/>
    <n v="3789.32"/>
    <n v="4307.33"/>
    <n v="3769.03"/>
    <n v="4111.3599999999997"/>
    <n v="4174.09"/>
    <n v="3219.9"/>
    <n v="2339.48"/>
    <n v="45050.14"/>
    <n v="880.42000000000007"/>
  </r>
  <r>
    <x v="5"/>
    <x v="1"/>
    <x v="0"/>
    <s v="2341200"/>
    <n v="700032"/>
    <s v="Salaries-Other Pat Care Providers-OT"/>
    <s v="Bonney Lake-Peds"/>
    <x v="0"/>
    <n v="1000"/>
    <n v="107.96"/>
    <n v="49.48"/>
    <n v="0.01"/>
    <n v="48.08"/>
    <n v="38.729999999999997"/>
    <n v="46.11"/>
    <n v="105.27"/>
    <n v="29.55"/>
    <n v="132.97"/>
    <n v="97.88"/>
    <n v="133.02000000000001"/>
    <n v="573.54999999999995"/>
    <n v="1362.61"/>
    <n v="-440.53"/>
  </r>
  <r>
    <x v="5"/>
    <x v="1"/>
    <x v="0"/>
    <s v="2341200"/>
    <n v="700062"/>
    <s v="Salaries-Physician-Non-productive"/>
    <s v="Bonney Lake-Peds"/>
    <x v="0"/>
    <m/>
    <n v="0"/>
    <n v="0"/>
    <n v="7923.44"/>
    <n v="0"/>
    <n v="5659.6"/>
    <n v="4825.96"/>
    <n v="920.92"/>
    <n v="5150.1400000000003"/>
    <n v="0"/>
    <n v="8755.23"/>
    <n v="-3605.09"/>
    <n v="3904.2"/>
    <n v="33534.399999999994"/>
    <n v="-7509.29"/>
  </r>
  <r>
    <x v="5"/>
    <x v="1"/>
    <x v="0"/>
    <s v="2341200"/>
    <n v="700072"/>
    <s v="Salaries-Other Pat Care Providers-Non-productive"/>
    <s v="Bonney Lake-Peds"/>
    <x v="0"/>
    <m/>
    <n v="161.93"/>
    <n v="740.7"/>
    <n v="572.76"/>
    <n v="0"/>
    <n v="344.26"/>
    <n v="341.8"/>
    <n v="224.16"/>
    <n v="146.52000000000001"/>
    <n v="25.86"/>
    <n v="160.09"/>
    <n v="1311.33"/>
    <n v="1040.47"/>
    <n v="5069.88"/>
    <n v="270.8599999999999"/>
  </r>
  <r>
    <x v="5"/>
    <x v="1"/>
    <x v="0"/>
    <s v="2341200"/>
    <n v="700072"/>
    <s v="Salaries-Other Pat Care Providers-NonProd-Other"/>
    <s v="Bonney Lake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41200"/>
    <n v="700084"/>
    <s v="Accrued PTO"/>
    <s v="Bonney Lake-Peds"/>
    <x v="0"/>
    <m/>
    <n v="207.09"/>
    <n v="-380"/>
    <n v="-12.48"/>
    <n v="374.7"/>
    <n v="187.13"/>
    <n v="68.61"/>
    <n v="116.31"/>
    <n v="246.39"/>
    <n v="333.69"/>
    <n v="189.34"/>
    <n v="-903.68"/>
    <n v="-490.08"/>
    <n v="-62.979999999999961"/>
    <n v="-413.59999999999997"/>
  </r>
  <r>
    <x v="6"/>
    <x v="1"/>
    <x v="0"/>
    <s v="2341200"/>
    <n v="713010"/>
    <s v="Benefits-FICA/Medicare"/>
    <s v="Bonney Lake-Peds"/>
    <x v="0"/>
    <m/>
    <n v="747.19"/>
    <n v="807"/>
    <n v="685.28"/>
    <n v="770.65"/>
    <n v="808.27"/>
    <n v="1537.02"/>
    <n v="2342.4699999999998"/>
    <n v="1951.2"/>
    <n v="2060.33"/>
    <n v="2155.23"/>
    <n v="2275.44"/>
    <n v="1057.3699999999999"/>
    <n v="17197.45"/>
    <n v="1218.0700000000002"/>
  </r>
  <r>
    <x v="6"/>
    <x v="1"/>
    <x v="0"/>
    <s v="2341200"/>
    <n v="713090"/>
    <s v="Benefits-Allocated Amounts"/>
    <s v="Bonney Lake-Peds"/>
    <x v="0"/>
    <m/>
    <n v="0"/>
    <n v="0"/>
    <n v="0"/>
    <n v="0"/>
    <n v="0"/>
    <n v="0"/>
    <n v="0"/>
    <n v="0"/>
    <n v="16144.52"/>
    <n v="1793.37"/>
    <n v="1786.65"/>
    <n v="1866.97"/>
    <n v="21591.510000000002"/>
    <n v="-80.319999999999936"/>
  </r>
  <r>
    <x v="6"/>
    <x v="1"/>
    <x v="0"/>
    <s v="2341200"/>
    <n v="713092"/>
    <s v="Allocated Benefits-Physician"/>
    <s v="Bonney Lake-Peds"/>
    <x v="0"/>
    <m/>
    <n v="3218.91"/>
    <n v="3015.37"/>
    <n v="2980.01"/>
    <n v="3103.2"/>
    <n v="3157.09"/>
    <n v="3300.09"/>
    <n v="3832.93"/>
    <n v="3452.52"/>
    <n v="-12541.36"/>
    <n v="1501.7"/>
    <n v="1496.06"/>
    <n v="1563.32"/>
    <n v="18079.840000000004"/>
    <n v="-67.259999999999991"/>
  </r>
  <r>
    <x v="7"/>
    <x v="1"/>
    <x v="0"/>
    <s v="2341200"/>
    <n v="718050"/>
    <s v="Physician Answering"/>
    <s v="Bonney Lake-Peds"/>
    <x v="0"/>
    <n v="1015"/>
    <n v="128"/>
    <n v="0"/>
    <n v="320"/>
    <n v="208"/>
    <n v="96"/>
    <n v="0"/>
    <n v="0"/>
    <n v="0"/>
    <n v="0"/>
    <n v="272"/>
    <n v="0"/>
    <n v="262.5"/>
    <n v="1286.5"/>
    <n v="-262.5"/>
  </r>
  <r>
    <x v="7"/>
    <x v="1"/>
    <x v="0"/>
    <s v="2341200"/>
    <n v="718050"/>
    <s v="Translation Services"/>
    <s v="Bonney Lake-Peds"/>
    <x v="0"/>
    <n v="1025"/>
    <n v="32"/>
    <n v="0"/>
    <n v="70"/>
    <n v="0"/>
    <n v="0"/>
    <n v="0"/>
    <n v="0"/>
    <n v="0"/>
    <n v="175.5"/>
    <n v="0"/>
    <n v="0"/>
    <n v="0"/>
    <n v="277.5"/>
    <n v="0"/>
  </r>
  <r>
    <x v="7"/>
    <x v="1"/>
    <x v="0"/>
    <s v="2341200"/>
    <n v="718050"/>
    <s v="Contract Management--Linen"/>
    <s v="Bonney Lake-Peds"/>
    <x v="0"/>
    <n v="1026"/>
    <n v="0"/>
    <n v="0"/>
    <n v="0"/>
    <n v="106"/>
    <n v="0"/>
    <n v="0"/>
    <n v="0"/>
    <n v="0"/>
    <n v="0"/>
    <n v="0"/>
    <n v="0"/>
    <n v="0"/>
    <n v="106"/>
    <n v="0"/>
  </r>
  <r>
    <x v="11"/>
    <x v="1"/>
    <x v="0"/>
    <s v="2341200"/>
    <n v="721410"/>
    <s v="Supplies-Medical - Nonbillable"/>
    <s v="Bonney Lake-Peds"/>
    <x v="0"/>
    <m/>
    <n v="431.51"/>
    <n v="431.92"/>
    <n v="306.04000000000002"/>
    <n v="0"/>
    <n v="368.2"/>
    <n v="478.6"/>
    <n v="0"/>
    <n v="375.27"/>
    <n v="270.01"/>
    <n v="315.86"/>
    <n v="0"/>
    <n v="534.20000000000005"/>
    <n v="3511.6100000000006"/>
    <n v="-534.20000000000005"/>
  </r>
  <r>
    <x v="0"/>
    <x v="1"/>
    <x v="0"/>
    <s v="2341200"/>
    <n v="740022"/>
    <s v="Education-Physician"/>
    <s v="Bonney Lake-Peds"/>
    <x v="0"/>
    <m/>
    <n v="0"/>
    <n v="0"/>
    <n v="0"/>
    <n v="0"/>
    <n v="0"/>
    <n v="695"/>
    <n v="0"/>
    <n v="0"/>
    <n v="0"/>
    <n v="0"/>
    <n v="0"/>
    <n v="0"/>
    <n v="695"/>
    <n v="0"/>
  </r>
  <r>
    <x v="8"/>
    <x v="1"/>
    <x v="0"/>
    <s v="2341200"/>
    <n v="741012"/>
    <s v="Physician Liab Insurance-CHI Program"/>
    <s v="Bonney Lake-Peds"/>
    <x v="0"/>
    <m/>
    <n v="426.3"/>
    <n v="426.3"/>
    <n v="426.3"/>
    <n v="426.3"/>
    <n v="426.3"/>
    <n v="426.3"/>
    <n v="426.3"/>
    <n v="377.25"/>
    <n v="377.24"/>
    <n v="377.25"/>
    <n v="377.24"/>
    <n v="377.25"/>
    <n v="4870.33"/>
    <n v="-9.9999999999909051E-3"/>
  </r>
  <r>
    <x v="0"/>
    <x v="1"/>
    <x v="0"/>
    <s v="2341200"/>
    <n v="743022"/>
    <s v="Dues-Physician"/>
    <s v="Bonney Lake-Peds"/>
    <x v="0"/>
    <m/>
    <n v="0"/>
    <n v="0"/>
    <n v="0"/>
    <n v="0"/>
    <n v="0"/>
    <n v="0"/>
    <n v="0"/>
    <n v="820"/>
    <n v="0"/>
    <n v="0"/>
    <n v="0"/>
    <n v="0"/>
    <n v="820"/>
    <n v="0"/>
  </r>
  <r>
    <x v="0"/>
    <x v="1"/>
    <x v="0"/>
    <s v="2341200"/>
    <n v="749532"/>
    <s v="Travel-Physician"/>
    <s v="Bonney Lake-Peds"/>
    <x v="0"/>
    <m/>
    <n v="0"/>
    <n v="0"/>
    <n v="0"/>
    <n v="0"/>
    <n v="0"/>
    <n v="2282.29"/>
    <n v="0"/>
    <n v="0"/>
    <n v="0"/>
    <n v="0"/>
    <n v="0"/>
    <n v="0"/>
    <n v="2282.29"/>
    <n v="0"/>
  </r>
  <r>
    <x v="0"/>
    <x v="1"/>
    <x v="0"/>
    <s v="2341200"/>
    <n v="749591"/>
    <s v="Other Expense-Intracompany Allocation"/>
    <s v="Bonney Lake-Peds"/>
    <x v="0"/>
    <m/>
    <n v="29159.119999999999"/>
    <n v="37798.9"/>
    <n v="32228.46"/>
    <n v="38240.25"/>
    <n v="44777.72"/>
    <n v="37822.79"/>
    <n v="38104.58"/>
    <n v="22457.15"/>
    <n v="25281.78"/>
    <n v="22791.33"/>
    <n v="26875.5"/>
    <n v="21905.13"/>
    <n v="377442.71"/>
    <n v="4970.369999999999"/>
  </r>
  <r>
    <x v="1"/>
    <x v="1"/>
    <x v="0"/>
    <s v="2343200"/>
    <n v="400029"/>
    <s v="MD Practice Other Rev--Medicare"/>
    <s v="Auburn Med&amp;Spec-Fam Med"/>
    <x v="0"/>
    <n v="1100"/>
    <n v="-3013"/>
    <n v="-3746"/>
    <n v="-2659"/>
    <n v="-4624"/>
    <n v="-3804"/>
    <n v="-2942"/>
    <n v="-3162"/>
    <n v="-2455"/>
    <n v="-5680"/>
    <n v="-5081"/>
    <n v="-4360"/>
    <n v="-4712"/>
    <n v="-46238"/>
    <n v="352"/>
  </r>
  <r>
    <x v="1"/>
    <x v="1"/>
    <x v="0"/>
    <s v="2343200"/>
    <n v="400029"/>
    <s v="MD Practice Other Rev--Medicaid"/>
    <s v="Auburn Med&amp;Spec-Fam Med"/>
    <x v="0"/>
    <n v="1200"/>
    <n v="-3019"/>
    <n v="-2438"/>
    <n v="-2541"/>
    <n v="-2975"/>
    <n v="-2798"/>
    <n v="-2609"/>
    <n v="-1985"/>
    <n v="-2963"/>
    <n v="-3117"/>
    <n v="-3586"/>
    <n v="-4461"/>
    <n v="-2391"/>
    <n v="-34883"/>
    <n v="-2070"/>
  </r>
  <r>
    <x v="1"/>
    <x v="1"/>
    <x v="0"/>
    <s v="2343200"/>
    <n v="400029"/>
    <s v="MD Practice Other Rev--Comm Insurance"/>
    <s v="Auburn Med&amp;Spec-Fam Med"/>
    <x v="0"/>
    <n v="1300"/>
    <n v="-118"/>
    <n v="-197"/>
    <n v="-95"/>
    <n v="-464"/>
    <n v="-414"/>
    <n v="-344"/>
    <n v="-371"/>
    <n v="-1123"/>
    <n v="-419"/>
    <n v="-280"/>
    <n v="-127"/>
    <n v="-580"/>
    <n v="-4532"/>
    <n v="453"/>
  </r>
  <r>
    <x v="1"/>
    <x v="1"/>
    <x v="0"/>
    <s v="2343200"/>
    <n v="400029"/>
    <s v="MD Practice Other Rev--BCBS Comm"/>
    <s v="Auburn Med&amp;Spec-Fam Med"/>
    <x v="0"/>
    <n v="1301"/>
    <n v="-1124"/>
    <n v="-674"/>
    <n v="-419"/>
    <n v="-478"/>
    <n v="-901"/>
    <n v="-1291"/>
    <n v="-795"/>
    <n v="-1008"/>
    <n v="-869"/>
    <n v="-718"/>
    <n v="-1544"/>
    <n v="-468"/>
    <n v="-10289"/>
    <n v="-1076"/>
  </r>
  <r>
    <x v="1"/>
    <x v="1"/>
    <x v="0"/>
    <s v="2343200"/>
    <n v="400029"/>
    <s v="MD Practice Other Rev--Managed Care"/>
    <s v="Auburn Med&amp;Spec-Fam Med"/>
    <x v="0"/>
    <n v="1400"/>
    <n v="-3766"/>
    <n v="-3001"/>
    <n v="-2585"/>
    <n v="-4213"/>
    <n v="-3234"/>
    <n v="-3569"/>
    <n v="-1606"/>
    <n v="-3644"/>
    <n v="-3753"/>
    <n v="-4164"/>
    <n v="-2997"/>
    <n v="-2499"/>
    <n v="-39031"/>
    <n v="-498"/>
  </r>
  <r>
    <x v="1"/>
    <x v="1"/>
    <x v="0"/>
    <s v="2343200"/>
    <n v="400029"/>
    <s v="MD Practice Other Rev--Self Pay"/>
    <s v="Auburn Med&amp;Spec-Fam Med"/>
    <x v="0"/>
    <n v="1500"/>
    <n v="-124"/>
    <n v="-220"/>
    <n v="-90"/>
    <n v="-34"/>
    <n v="-29"/>
    <n v="-219"/>
    <n v="-100"/>
    <n v="-66"/>
    <n v="-54"/>
    <n v="21"/>
    <n v="-54"/>
    <n v="-132"/>
    <n v="-1101"/>
    <n v="78"/>
  </r>
  <r>
    <x v="1"/>
    <x v="1"/>
    <x v="0"/>
    <s v="2343200"/>
    <n v="400029"/>
    <s v="MD Practice Other Rev--Other"/>
    <s v="Auburn Med&amp;Spec-Fam Med"/>
    <x v="0"/>
    <n v="1700"/>
    <n v="-508"/>
    <n v="-121"/>
    <n v="-24"/>
    <n v="-201"/>
    <n v="-128"/>
    <n v="-685"/>
    <n v="-220"/>
    <n v="-362"/>
    <n v="-179"/>
    <n v="-123"/>
    <n v="-33"/>
    <n v="-349"/>
    <n v="-2933"/>
    <n v="316"/>
  </r>
  <r>
    <x v="1"/>
    <x v="1"/>
    <x v="0"/>
    <s v="2343200"/>
    <n v="400040"/>
    <s v="Physician Svcs Rev--Medicare"/>
    <s v="Auburn Med&amp;Spec-Fam Med"/>
    <x v="0"/>
    <n v="1100"/>
    <n v="-109045"/>
    <n v="-119966"/>
    <n v="-131550"/>
    <n v="-136045"/>
    <n v="-110340.2"/>
    <n v="-128276"/>
    <n v="-119705.8"/>
    <n v="-105059"/>
    <n v="-108988"/>
    <n v="-134696"/>
    <n v="-119983"/>
    <n v="-139075.44"/>
    <n v="-1462729.44"/>
    <n v="19092.440000000002"/>
  </r>
  <r>
    <x v="1"/>
    <x v="1"/>
    <x v="0"/>
    <s v="2343200"/>
    <n v="400040"/>
    <s v="Physician Svcs Rev--Medicaid"/>
    <s v="Auburn Med&amp;Spec-Fam Med"/>
    <x v="0"/>
    <n v="1200"/>
    <n v="-90084.68"/>
    <n v="-106561.63"/>
    <n v="-103631.63"/>
    <n v="-100802.58"/>
    <n v="-107957.65"/>
    <n v="-88219.8"/>
    <n v="-103099.92"/>
    <n v="-81092.63"/>
    <n v="-102322.72"/>
    <n v="-100552.78"/>
    <n v="-92827.16"/>
    <n v="-83704.14"/>
    <n v="-1160857.32"/>
    <n v="-9123.0200000000041"/>
  </r>
  <r>
    <x v="1"/>
    <x v="1"/>
    <x v="0"/>
    <s v="2343200"/>
    <n v="400040"/>
    <s v="Physician Svcs Rev--Comm Insurance"/>
    <s v="Auburn Med&amp;Spec-Fam Med"/>
    <x v="0"/>
    <n v="1300"/>
    <n v="-6824"/>
    <n v="-11632.56"/>
    <n v="-9397.1299999999992"/>
    <n v="-11246"/>
    <n v="-7536"/>
    <n v="-13422"/>
    <n v="-9807.1299999999992"/>
    <n v="-13056"/>
    <n v="-15227.29"/>
    <n v="-12057"/>
    <n v="-8592.9699999999993"/>
    <n v="-12045"/>
    <n v="-130843.07999999999"/>
    <n v="3452.0300000000007"/>
  </r>
  <r>
    <x v="1"/>
    <x v="1"/>
    <x v="0"/>
    <s v="2343200"/>
    <n v="400040"/>
    <s v="Physician Svcs Rev--BCBS Comm"/>
    <s v="Auburn Med&amp;Spec-Fam Med"/>
    <x v="0"/>
    <n v="1301"/>
    <n v="-28820.74"/>
    <n v="-42664.22"/>
    <n v="-37746.28"/>
    <n v="-36000.230000000003"/>
    <n v="-40982.03"/>
    <n v="-40844.410000000003"/>
    <n v="-48173.1"/>
    <n v="-34835.230000000003"/>
    <n v="-39693.82"/>
    <n v="-37511.160000000003"/>
    <n v="-36094.43"/>
    <n v="-30923.25"/>
    <n v="-454288.89999999997"/>
    <n v="-5171.18"/>
  </r>
  <r>
    <x v="1"/>
    <x v="1"/>
    <x v="0"/>
    <s v="2343200"/>
    <n v="400040"/>
    <s v="Physician Svcs Rev--Managed Care"/>
    <s v="Auburn Med&amp;Spec-Fam Med"/>
    <x v="0"/>
    <n v="1400"/>
    <n v="-108532.7"/>
    <n v="-137125.57999999999"/>
    <n v="-120635.8"/>
    <n v="-145901.03"/>
    <n v="-118736.49"/>
    <n v="-126210.31"/>
    <n v="-119105.62"/>
    <n v="-96821.04"/>
    <n v="-102471.79"/>
    <n v="-129466.12"/>
    <n v="-101354.14"/>
    <n v="-97597.93"/>
    <n v="-1403958.5499999998"/>
    <n v="-3756.2100000000064"/>
  </r>
  <r>
    <x v="1"/>
    <x v="1"/>
    <x v="0"/>
    <s v="2343200"/>
    <n v="400040"/>
    <s v="Physician Svcs Rev--Self Pay"/>
    <s v="Auburn Med&amp;Spec-Fam Med"/>
    <x v="0"/>
    <n v="1500"/>
    <n v="-5469"/>
    <n v="-6835"/>
    <n v="-3818.52"/>
    <n v="-4780"/>
    <n v="-5655"/>
    <n v="-6168"/>
    <n v="-3586.24"/>
    <n v="-5813.2"/>
    <n v="-5519.44"/>
    <n v="-7074"/>
    <n v="-3921"/>
    <n v="-5256"/>
    <n v="-63895.4"/>
    <n v="1335"/>
  </r>
  <r>
    <x v="1"/>
    <x v="1"/>
    <x v="0"/>
    <s v="2343200"/>
    <n v="400040"/>
    <s v="Physician Svcs Rev--Other"/>
    <s v="Auburn Med&amp;Spec-Fam Med"/>
    <x v="0"/>
    <n v="1700"/>
    <n v="-12344"/>
    <n v="-11865.06"/>
    <n v="-11400.78"/>
    <n v="-12837"/>
    <n v="-6920"/>
    <n v="-13353.84"/>
    <n v="-9227"/>
    <n v="-9948"/>
    <n v="-9443.74"/>
    <n v="-10104"/>
    <n v="-6204"/>
    <n v="-8191.44"/>
    <n v="-121838.86"/>
    <n v="1987.4399999999996"/>
  </r>
  <r>
    <x v="2"/>
    <x v="1"/>
    <x v="0"/>
    <s v="2343200"/>
    <n v="450029"/>
    <s v="Contr Allow--MD Other-Medicare"/>
    <s v="Auburn Med&amp;Spec-Fam Med"/>
    <x v="0"/>
    <n v="1100"/>
    <n v="1554.03"/>
    <n v="2584.84"/>
    <n v="1374.41"/>
    <n v="2857.8"/>
    <n v="2739.15"/>
    <n v="2256.5100000000002"/>
    <n v="1548.25"/>
    <n v="2000.6"/>
    <n v="2761.73"/>
    <n v="2721.85"/>
    <n v="3145.49"/>
    <n v="3201.37"/>
    <n v="28746.029999999995"/>
    <n v="-55.880000000000109"/>
  </r>
  <r>
    <x v="2"/>
    <x v="1"/>
    <x v="0"/>
    <s v="2343200"/>
    <n v="450029"/>
    <s v="Contr Allow--MD Other-Medicaid"/>
    <s v="Auburn Med&amp;Spec-Fam Med"/>
    <x v="0"/>
    <n v="1200"/>
    <n v="1676.37"/>
    <n v="2209.16"/>
    <n v="1896.83"/>
    <n v="2243.9899999999998"/>
    <n v="2288.1999999999998"/>
    <n v="2163.4699999999998"/>
    <n v="1106.03"/>
    <n v="1986.03"/>
    <n v="2689.93"/>
    <n v="2293.1"/>
    <n v="3162.91"/>
    <n v="2268.87"/>
    <n v="25984.889999999996"/>
    <n v="894.04"/>
  </r>
  <r>
    <x v="2"/>
    <x v="1"/>
    <x v="0"/>
    <s v="2343200"/>
    <n v="450029"/>
    <s v="Contr Allow--MD Other-Comm Insurance"/>
    <s v="Auburn Med&amp;Spec-Fam Med"/>
    <x v="0"/>
    <n v="1300"/>
    <n v="44.94"/>
    <n v="41.15"/>
    <n v="45.22"/>
    <n v="19.84"/>
    <n v="76.239999999999995"/>
    <n v="95.9"/>
    <n v="66.39"/>
    <n v="215.25"/>
    <n v="205.27"/>
    <n v="289.70999999999998"/>
    <n v="77.8"/>
    <n v="116.2"/>
    <n v="1293.9099999999999"/>
    <n v="-38.400000000000006"/>
  </r>
  <r>
    <x v="2"/>
    <x v="1"/>
    <x v="0"/>
    <s v="2343200"/>
    <n v="450029"/>
    <s v="Contr Allow--MD Other BCBS Comm"/>
    <s v="Auburn Med&amp;Spec-Fam Med"/>
    <x v="0"/>
    <n v="1301"/>
    <n v="292.7"/>
    <n v="288.81"/>
    <n v="248.82"/>
    <n v="186.03"/>
    <n v="307.97000000000003"/>
    <n v="414.37"/>
    <n v="379.46"/>
    <n v="414.76"/>
    <n v="325.13"/>
    <n v="245.73"/>
    <n v="363.96"/>
    <n v="401.2"/>
    <n v="3868.94"/>
    <n v="-37.240000000000009"/>
  </r>
  <r>
    <x v="2"/>
    <x v="1"/>
    <x v="0"/>
    <s v="2343200"/>
    <n v="450029"/>
    <s v="Contr Allow--MD Other-Managed Care"/>
    <s v="Auburn Med&amp;Spec-Fam Med"/>
    <x v="0"/>
    <n v="1400"/>
    <n v="870.15"/>
    <n v="1497.26"/>
    <n v="927.76"/>
    <n v="1421.93"/>
    <n v="1425.57"/>
    <n v="1420.6"/>
    <n v="948.98"/>
    <n v="836.63"/>
    <n v="1795.03"/>
    <n v="1202.8499999999999"/>
    <n v="1792.05"/>
    <n v="1122.3"/>
    <n v="15261.109999999999"/>
    <n v="669.75"/>
  </r>
  <r>
    <x v="2"/>
    <x v="1"/>
    <x v="0"/>
    <s v="2343200"/>
    <n v="450029"/>
    <s v="Admin Adjust-MD Other-Self Pay"/>
    <s v="Auburn Med&amp;Spec-Fam Med"/>
    <x v="0"/>
    <n v="1600"/>
    <n v="96.58"/>
    <n v="96.89"/>
    <n v="76.319999999999993"/>
    <n v="37.479999999999997"/>
    <n v="21.66"/>
    <n v="104.97"/>
    <n v="61.88"/>
    <n v="141.57"/>
    <n v="71.599999999999994"/>
    <n v="26.33"/>
    <n v="31.74"/>
    <n v="65.41"/>
    <n v="832.43"/>
    <n v="-33.67"/>
  </r>
  <r>
    <x v="2"/>
    <x v="1"/>
    <x v="0"/>
    <s v="2343200"/>
    <n v="450029"/>
    <s v="Contr Allow--MD Other-Other"/>
    <s v="Auburn Med&amp;Spec-Fam Med"/>
    <x v="0"/>
    <n v="1700"/>
    <n v="123.51"/>
    <n v="129.84"/>
    <n v="174.04"/>
    <n v="42.3"/>
    <n v="0"/>
    <n v="313.01"/>
    <n v="203.45"/>
    <n v="181.73"/>
    <n v="186.66"/>
    <n v="81.99"/>
    <n v="27.41"/>
    <n v="78.77"/>
    <n v="1542.7100000000003"/>
    <n v="-51.36"/>
  </r>
  <r>
    <x v="2"/>
    <x v="1"/>
    <x v="0"/>
    <s v="2343200"/>
    <n v="450040"/>
    <s v="Contr Allow--Phys Svcs--Mcare"/>
    <s v="Auburn Med&amp;Spec-Fam Med"/>
    <x v="0"/>
    <n v="1100"/>
    <n v="64817.74"/>
    <n v="73523.63"/>
    <n v="65871.31"/>
    <n v="97749.94"/>
    <n v="72523"/>
    <n v="71409.350000000006"/>
    <n v="79895.34"/>
    <n v="65448.18"/>
    <n v="68516.83"/>
    <n v="75540.28"/>
    <n v="74874.7"/>
    <n v="75616.34"/>
    <n v="885786.6399999999"/>
    <n v="-741.63999999999942"/>
  </r>
  <r>
    <x v="2"/>
    <x v="1"/>
    <x v="0"/>
    <s v="2343200"/>
    <n v="450040"/>
    <s v="Contr Allow--Phys Svcs--Mcaid"/>
    <s v="Auburn Med&amp;Spec-Fam Med"/>
    <x v="0"/>
    <n v="1200"/>
    <n v="65633.86"/>
    <n v="86995.81"/>
    <n v="75099.45"/>
    <n v="83246.78"/>
    <n v="71910.83"/>
    <n v="67133.179999999993"/>
    <n v="64848.95"/>
    <n v="60486.36"/>
    <n v="74397.06"/>
    <n v="78538.710000000006"/>
    <n v="75718.559999999998"/>
    <n v="60440.71"/>
    <n v="864450.26"/>
    <n v="15277.849999999999"/>
  </r>
  <r>
    <x v="2"/>
    <x v="1"/>
    <x v="0"/>
    <s v="2343200"/>
    <n v="450040"/>
    <s v="Contr Allow--Phys Svcs--Comm Insurance"/>
    <s v="Auburn Med&amp;Spec-Fam Med"/>
    <x v="0"/>
    <n v="1300"/>
    <n v="2727.16"/>
    <n v="3777.31"/>
    <n v="1824.75"/>
    <n v="2652.15"/>
    <n v="2410.75"/>
    <n v="2536.85"/>
    <n v="4809.72"/>
    <n v="2548.81"/>
    <n v="5031.74"/>
    <n v="2635.72"/>
    <n v="2983.34"/>
    <n v="3393.76"/>
    <n v="37332.060000000005"/>
    <n v="-410.42000000000007"/>
  </r>
  <r>
    <x v="2"/>
    <x v="1"/>
    <x v="0"/>
    <s v="2343200"/>
    <n v="450040"/>
    <s v="Contr Allow--Phys Svcs--BCBS Comm Ins"/>
    <s v="Auburn Med&amp;Spec-Fam Med"/>
    <x v="0"/>
    <n v="1301"/>
    <n v="13731.96"/>
    <n v="14340.75"/>
    <n v="12290.51"/>
    <n v="9375.93"/>
    <n v="15585.94"/>
    <n v="12854.45"/>
    <n v="14862.56"/>
    <n v="10393.129999999999"/>
    <n v="17144.2"/>
    <n v="11045.87"/>
    <n v="9334.1200000000008"/>
    <n v="14640"/>
    <n v="155599.42000000001"/>
    <n v="-5305.8799999999992"/>
  </r>
  <r>
    <x v="2"/>
    <x v="1"/>
    <x v="0"/>
    <s v="2343200"/>
    <n v="450040"/>
    <s v="Contr Allow--Phys Svcs--Managed Care"/>
    <s v="Auburn Med&amp;Spec-Fam Med"/>
    <x v="0"/>
    <n v="1400"/>
    <n v="36941.64"/>
    <n v="46665.25"/>
    <n v="43887.66"/>
    <n v="50585.24"/>
    <n v="50503.42"/>
    <n v="44055.98"/>
    <n v="33645.26"/>
    <n v="32105.21"/>
    <n v="42813.85"/>
    <n v="40041.83"/>
    <n v="41269.199999999997"/>
    <n v="34372.370000000003"/>
    <n v="496886.91000000003"/>
    <n v="6896.8299999999945"/>
  </r>
  <r>
    <x v="2"/>
    <x v="1"/>
    <x v="0"/>
    <s v="2343200"/>
    <n v="450040"/>
    <s v="Contr Allow--Phys Svcs--BCBS Mgnd Care"/>
    <s v="Auburn Med&amp;Spec-Fam Med"/>
    <x v="0"/>
    <n v="1401"/>
    <n v="-1094.1600000000001"/>
    <n v="-4445.4399999999996"/>
    <n v="17668.63"/>
    <n v="-13879.94"/>
    <n v="-15241.9"/>
    <n v="13386.71"/>
    <n v="20389.080000000002"/>
    <n v="9646.8700000000008"/>
    <n v="-15218.57"/>
    <n v="9349.24"/>
    <n v="-15492.33"/>
    <n v="3862.8"/>
    <n v="8930.9900000000052"/>
    <n v="-19355.13"/>
  </r>
  <r>
    <x v="2"/>
    <x v="1"/>
    <x v="0"/>
    <s v="2343200"/>
    <n v="450040"/>
    <s v="Prompt Pay Disc-Phys Svcs-Self Pay"/>
    <s v="Auburn Med&amp;Spec-Fam Med"/>
    <x v="0"/>
    <n v="1500"/>
    <n v="0"/>
    <n v="0"/>
    <n v="0"/>
    <n v="0"/>
    <n v="0"/>
    <n v="0"/>
    <n v="0"/>
    <n v="0"/>
    <n v="179.31"/>
    <n v="0"/>
    <n v="0"/>
    <n v="0"/>
    <n v="179.31"/>
    <n v="0"/>
  </r>
  <r>
    <x v="2"/>
    <x v="1"/>
    <x v="0"/>
    <s v="2343200"/>
    <n v="450040"/>
    <s v="Admin Adjust-Phys Svcs-Self Pay"/>
    <s v="Auburn Med&amp;Spec-Fam Med"/>
    <x v="0"/>
    <n v="1600"/>
    <n v="2990.27"/>
    <n v="3547.53"/>
    <n v="2037.82"/>
    <n v="2294.8000000000002"/>
    <n v="2704.81"/>
    <n v="2934.62"/>
    <n v="1807.96"/>
    <n v="2807.36"/>
    <n v="2076.73"/>
    <n v="3404.1"/>
    <n v="2371.63"/>
    <n v="3068.57"/>
    <n v="32046.2"/>
    <n v="-696.94"/>
  </r>
  <r>
    <x v="2"/>
    <x v="1"/>
    <x v="0"/>
    <s v="2343200"/>
    <n v="450040"/>
    <s v="Contr Allow--Phys Svcs--Other"/>
    <s v="Auburn Med&amp;Spec-Fam Med"/>
    <x v="0"/>
    <n v="1700"/>
    <n v="9736.74"/>
    <n v="7165.63"/>
    <n v="5095.05"/>
    <n v="9469.1299999999992"/>
    <n v="5701.32"/>
    <n v="4126.1499999999996"/>
    <n v="7259.46"/>
    <n v="3591.26"/>
    <n v="5263.73"/>
    <n v="6192.64"/>
    <n v="5799.84"/>
    <n v="2540.59"/>
    <n v="71941.539999999994"/>
    <n v="3259.25"/>
  </r>
  <r>
    <x v="3"/>
    <x v="1"/>
    <x v="0"/>
    <s v="2343200"/>
    <n v="470040"/>
    <s v="Charity Care-Physician Svcs"/>
    <s v="Auburn Med&amp;Spec-Fam Med"/>
    <x v="0"/>
    <m/>
    <n v="-41.1"/>
    <n v="2811.85"/>
    <n v="950.74"/>
    <n v="366.43"/>
    <n v="-61.43"/>
    <n v="257"/>
    <n v="1781.32"/>
    <n v="148.88"/>
    <n v="1233.78"/>
    <n v="849.16"/>
    <n v="561.95000000000005"/>
    <n v="2059.77"/>
    <n v="10918.35"/>
    <n v="-1497.82"/>
  </r>
  <r>
    <x v="4"/>
    <x v="1"/>
    <x v="0"/>
    <s v="2343200"/>
    <n v="490010"/>
    <s v="Provision for Bad Debts"/>
    <s v="Auburn Med&amp;Spec-Fam Med"/>
    <x v="0"/>
    <m/>
    <n v="7683.8"/>
    <n v="1911.5"/>
    <n v="6000.7"/>
    <n v="2294.7600000000002"/>
    <n v="3146.84"/>
    <n v="3503.2"/>
    <n v="3631.74"/>
    <n v="1658.05"/>
    <n v="4364.24"/>
    <n v="8032.64"/>
    <n v="2697.77"/>
    <n v="9099.35"/>
    <n v="54024.59"/>
    <n v="-6401.58"/>
  </r>
  <r>
    <x v="5"/>
    <x v="1"/>
    <x v="0"/>
    <s v="2343200"/>
    <n v="700018"/>
    <s v="Salaries-Supervisory-Productive"/>
    <s v="Auburn Med&amp;Spec-Fam Med"/>
    <x v="0"/>
    <m/>
    <n v="1034.8800000000001"/>
    <n v="5691.84"/>
    <n v="4398.24"/>
    <n v="5526.33"/>
    <n v="5434.63"/>
    <n v="3553.4"/>
    <n v="5599.84"/>
    <n v="4866.95"/>
    <n v="4945.47"/>
    <n v="-1177.49"/>
    <n v="0"/>
    <n v="0"/>
    <n v="39874.090000000004"/>
    <n v="0"/>
  </r>
  <r>
    <x v="5"/>
    <x v="1"/>
    <x v="0"/>
    <s v="2343200"/>
    <n v="700022"/>
    <s v="Salaries-Physician-Productive"/>
    <s v="Auburn Med&amp;Spec-Fam Med"/>
    <x v="0"/>
    <m/>
    <n v="49552.03"/>
    <n v="70509.05"/>
    <n v="56351.09"/>
    <n v="56499.48"/>
    <n v="62548.3"/>
    <n v="61395.55"/>
    <n v="63188.05"/>
    <n v="60094.02"/>
    <n v="49871.9"/>
    <n v="65005.56"/>
    <n v="64296.37"/>
    <n v="47337.93"/>
    <n v="706649.33000000007"/>
    <n v="16958.440000000002"/>
  </r>
  <r>
    <x v="5"/>
    <x v="1"/>
    <x v="0"/>
    <s v="2343200"/>
    <n v="700024"/>
    <s v="Salaries-Advanced Practice Clinician-Productive"/>
    <s v="Auburn Med&amp;Spec-Fam Med"/>
    <x v="0"/>
    <m/>
    <n v="22187.3"/>
    <n v="27105.43"/>
    <n v="23479.8"/>
    <n v="22699.439999999999"/>
    <n v="27715.360000000001"/>
    <n v="22056.87"/>
    <n v="30332.799999999999"/>
    <n v="24014.400000000001"/>
    <n v="26714.11"/>
    <n v="28976.07"/>
    <n v="32144.28"/>
    <n v="23430.23"/>
    <n v="310856.08999999997"/>
    <n v="8714.0499999999993"/>
  </r>
  <r>
    <x v="5"/>
    <x v="1"/>
    <x v="0"/>
    <s v="2343200"/>
    <n v="700026"/>
    <s v="Salaries-RN-Productive"/>
    <s v="Auburn Med&amp;Spec-Fam Med"/>
    <x v="0"/>
    <m/>
    <n v="0"/>
    <n v="0"/>
    <n v="0"/>
    <n v="0"/>
    <n v="0"/>
    <n v="0"/>
    <n v="0"/>
    <n v="0"/>
    <n v="0"/>
    <n v="0"/>
    <n v="906.08"/>
    <n v="437.71"/>
    <n v="1343.79"/>
    <n v="468.37000000000006"/>
  </r>
  <r>
    <x v="5"/>
    <x v="1"/>
    <x v="0"/>
    <s v="2343200"/>
    <n v="700026"/>
    <s v="Salaries-RN-Other"/>
    <s v="Auburn Med&amp;Spec-Fam Med"/>
    <x v="0"/>
    <n v="2000"/>
    <n v="0"/>
    <n v="0"/>
    <n v="0"/>
    <n v="0"/>
    <n v="0"/>
    <n v="0"/>
    <n v="0"/>
    <n v="0"/>
    <n v="0"/>
    <n v="0"/>
    <n v="29.54"/>
    <n v="14.3"/>
    <n v="43.84"/>
    <n v="15.239999999999998"/>
  </r>
  <r>
    <x v="5"/>
    <x v="1"/>
    <x v="0"/>
    <s v="2343200"/>
    <n v="700030"/>
    <s v="Salaries-LPN-Productive"/>
    <s v="Auburn Med&amp;Spec-Fam Med"/>
    <x v="0"/>
    <m/>
    <n v="0"/>
    <n v="0"/>
    <n v="0"/>
    <n v="0"/>
    <n v="0"/>
    <n v="0"/>
    <n v="0"/>
    <n v="0"/>
    <n v="460.08"/>
    <n v="0"/>
    <n v="136.19999999999999"/>
    <n v="1031.94"/>
    <n v="1628.22"/>
    <n v="-895.74"/>
  </r>
  <r>
    <x v="5"/>
    <x v="1"/>
    <x v="0"/>
    <s v="2343200"/>
    <n v="700030"/>
    <s v="Salaries-LPN-OT"/>
    <s v="Auburn Med&amp;Spec-Fam Med"/>
    <x v="0"/>
    <n v="1000"/>
    <n v="0"/>
    <n v="0"/>
    <n v="0"/>
    <n v="0"/>
    <n v="0"/>
    <n v="0"/>
    <n v="0"/>
    <n v="0"/>
    <n v="0"/>
    <n v="0"/>
    <n v="0"/>
    <n v="526.82000000000005"/>
    <n v="526.82000000000005"/>
    <n v="-526.82000000000005"/>
  </r>
  <r>
    <x v="5"/>
    <x v="1"/>
    <x v="0"/>
    <s v="2343200"/>
    <n v="700030"/>
    <s v="Salaries-LPN-Other"/>
    <s v="Auburn Med&amp;Spec-Fam Med"/>
    <x v="0"/>
    <n v="2000"/>
    <n v="0"/>
    <n v="0"/>
    <n v="0"/>
    <n v="0"/>
    <n v="0"/>
    <n v="0"/>
    <n v="0"/>
    <n v="0"/>
    <n v="0"/>
    <n v="0"/>
    <n v="6.26"/>
    <n v="60.99"/>
    <n v="67.25"/>
    <n v="-54.730000000000004"/>
  </r>
  <r>
    <x v="5"/>
    <x v="1"/>
    <x v="0"/>
    <s v="2343200"/>
    <n v="700032"/>
    <s v="Salaries-Other Pat Care Providers-Productive"/>
    <s v="Auburn Med&amp;Spec-Fam Med"/>
    <x v="0"/>
    <m/>
    <n v="13500.41"/>
    <n v="16329.28"/>
    <n v="11621.18"/>
    <n v="17419.36"/>
    <n v="10988.85"/>
    <n v="9824.1200000000008"/>
    <n v="14080.74"/>
    <n v="10524.67"/>
    <n v="10973.04"/>
    <n v="13526.15"/>
    <n v="14815.76"/>
    <n v="12794.63"/>
    <n v="156398.19"/>
    <n v="2021.130000000001"/>
  </r>
  <r>
    <x v="5"/>
    <x v="1"/>
    <x v="0"/>
    <s v="2343200"/>
    <n v="700032"/>
    <s v="Salaries-Other Pat Care Providers-OT"/>
    <s v="Auburn Med&amp;Spec-Fam Med"/>
    <x v="0"/>
    <n v="1000"/>
    <n v="717.25"/>
    <n v="229.25"/>
    <n v="309.89999999999998"/>
    <n v="756.2"/>
    <n v="348.26"/>
    <n v="-15.7"/>
    <n v="168.13"/>
    <n v="475.25"/>
    <n v="755.69"/>
    <n v="500.99"/>
    <n v="638.66999999999996"/>
    <n v="972.77"/>
    <n v="5856.66"/>
    <n v="-334.1"/>
  </r>
  <r>
    <x v="5"/>
    <x v="1"/>
    <x v="0"/>
    <s v="2343200"/>
    <n v="700032"/>
    <s v="Salaries-Other Pat Care Providers-Other"/>
    <s v="Auburn Med&amp;Spec-Fam Med"/>
    <x v="0"/>
    <n v="2000"/>
    <n v="87.53"/>
    <n v="92.61"/>
    <n v="80.34"/>
    <n v="93.22"/>
    <n v="90.11"/>
    <n v="85.65"/>
    <n v="36.04"/>
    <n v="0"/>
    <n v="0"/>
    <n v="67.36"/>
    <n v="1360.16"/>
    <n v="102.83"/>
    <n v="2095.85"/>
    <n v="1257.3300000000002"/>
  </r>
  <r>
    <x v="5"/>
    <x v="1"/>
    <x v="0"/>
    <s v="2343200"/>
    <n v="700034"/>
    <s v="Salaries-Tech/Professional-Productive"/>
    <s v="Auburn Med&amp;Spec-Fam Med"/>
    <x v="0"/>
    <m/>
    <n v="4951.45"/>
    <n v="5996.03"/>
    <n v="1990.45"/>
    <n v="6162.47"/>
    <n v="5890.02"/>
    <n v="4404.6400000000003"/>
    <n v="1945.42"/>
    <n v="5402.8"/>
    <n v="5267.2"/>
    <n v="5802.14"/>
    <n v="6296.45"/>
    <n v="4887.32"/>
    <n v="58996.39"/>
    <n v="1409.13"/>
  </r>
  <r>
    <x v="5"/>
    <x v="1"/>
    <x v="0"/>
    <s v="2343200"/>
    <n v="700034"/>
    <s v="Salaries-Tech/Professional-OT"/>
    <s v="Auburn Med&amp;Spec-Fam Med"/>
    <x v="0"/>
    <n v="1000"/>
    <n v="0"/>
    <n v="0"/>
    <n v="49.36"/>
    <n v="32.53"/>
    <n v="29.92"/>
    <n v="0"/>
    <n v="0"/>
    <n v="0"/>
    <n v="24.97"/>
    <n v="104.84"/>
    <n v="-15.11"/>
    <n v="11.55"/>
    <n v="238.06"/>
    <n v="-26.66"/>
  </r>
  <r>
    <x v="5"/>
    <x v="1"/>
    <x v="0"/>
    <s v="2343200"/>
    <n v="700034"/>
    <s v="Salaries-Tech/Professional-Other"/>
    <s v="Auburn Med&amp;Spec-Fam Med"/>
    <x v="0"/>
    <n v="2000"/>
    <n v="0"/>
    <n v="0"/>
    <n v="0"/>
    <n v="0"/>
    <n v="0"/>
    <n v="0"/>
    <n v="0"/>
    <n v="0"/>
    <n v="0"/>
    <n v="0"/>
    <n v="784"/>
    <n v="-1.18"/>
    <n v="782.82"/>
    <n v="785.18"/>
  </r>
  <r>
    <x v="5"/>
    <x v="1"/>
    <x v="0"/>
    <s v="2343200"/>
    <n v="700054"/>
    <s v="Salaries-Management-NonProd-Other"/>
    <s v="Auburn Med&amp;Spec-Fam Med"/>
    <x v="0"/>
    <n v="2000"/>
    <n v="0"/>
    <n v="0"/>
    <n v="0"/>
    <n v="0"/>
    <n v="0"/>
    <n v="17"/>
    <n v="-17"/>
    <n v="0"/>
    <n v="0"/>
    <n v="0"/>
    <n v="0"/>
    <n v="0"/>
    <n v="0"/>
    <n v="0"/>
  </r>
  <r>
    <x v="5"/>
    <x v="1"/>
    <x v="0"/>
    <s v="2343200"/>
    <n v="700058"/>
    <s v="Salaries-Supervisory-Non-productive"/>
    <s v="Auburn Med&amp;Spec-Fam Med"/>
    <x v="0"/>
    <m/>
    <n v="4656.96"/>
    <n v="258.72000000000003"/>
    <n v="776.16"/>
    <n v="470.3"/>
    <n v="313.54000000000002"/>
    <n v="1704.85"/>
    <n v="418.82"/>
    <n v="366.32"/>
    <n v="549.49"/>
    <n v="-130.83000000000001"/>
    <n v="0"/>
    <n v="0"/>
    <n v="9384.33"/>
    <n v="0"/>
  </r>
  <r>
    <x v="5"/>
    <x v="1"/>
    <x v="0"/>
    <s v="2343200"/>
    <n v="700058"/>
    <s v="Salaries-Supervisory-NonProd-Other"/>
    <s v="Auburn Med&amp;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43200"/>
    <n v="700062"/>
    <s v="Salaries-Physician-Non-productive"/>
    <s v="Auburn Med&amp;Spec-Fam Med"/>
    <x v="0"/>
    <m/>
    <n v="11362.65"/>
    <n v="1354.94"/>
    <n v="2289.1799999999998"/>
    <n v="10936.81"/>
    <n v="4954.72"/>
    <n v="3325.34"/>
    <n v="7805.23"/>
    <n v="145.77000000000001"/>
    <n v="13640.55"/>
    <n v="1531.27"/>
    <n v="3740.73"/>
    <n v="11554.09"/>
    <n v="72641.279999999984"/>
    <n v="-7813.3600000000006"/>
  </r>
  <r>
    <x v="5"/>
    <x v="1"/>
    <x v="0"/>
    <s v="2343200"/>
    <n v="700062"/>
    <s v="Salaries-Physician-NonProd-Other"/>
    <s v="Auburn Med&amp;Spec-Fam Med"/>
    <x v="0"/>
    <n v="2000"/>
    <n v="0"/>
    <n v="0"/>
    <n v="0"/>
    <n v="0"/>
    <n v="425.6"/>
    <n v="0"/>
    <n v="0"/>
    <n v="-425.6"/>
    <n v="0"/>
    <n v="0"/>
    <n v="0"/>
    <n v="0"/>
    <n v="0"/>
    <n v="0"/>
  </r>
  <r>
    <x v="5"/>
    <x v="1"/>
    <x v="0"/>
    <s v="2343200"/>
    <n v="700064"/>
    <s v="Salaries-Advanced Practice Clinician-Non-Productive"/>
    <s v="Auburn Med&amp;Spec-Fam Med"/>
    <x v="0"/>
    <m/>
    <n v="2549.63"/>
    <n v="4312.6499999999996"/>
    <n v="1840.2"/>
    <n v="6418.56"/>
    <n v="1811.84"/>
    <n v="6288.08"/>
    <n v="759.17"/>
    <n v="4324.07"/>
    <n v="2813.16"/>
    <n v="1957.24"/>
    <n v="-444.24"/>
    <n v="4051.61"/>
    <n v="36681.969999999994"/>
    <n v="-4495.8500000000004"/>
  </r>
  <r>
    <x v="5"/>
    <x v="1"/>
    <x v="0"/>
    <s v="2343200"/>
    <n v="700066"/>
    <s v="Salaries-RN-NonProd-Other"/>
    <s v="Auburn Med&amp;Spec-Fam Med"/>
    <x v="0"/>
    <n v="2000"/>
    <n v="0"/>
    <n v="0"/>
    <n v="0"/>
    <n v="0"/>
    <n v="0"/>
    <n v="0"/>
    <n v="0"/>
    <n v="0"/>
    <n v="0"/>
    <n v="0"/>
    <n v="30.72"/>
    <n v="0"/>
    <n v="30.72"/>
    <n v="30.72"/>
  </r>
  <r>
    <x v="5"/>
    <x v="1"/>
    <x v="0"/>
    <s v="2343200"/>
    <n v="700072"/>
    <s v="Salaries-Other Pat Care Providers-Non-productive"/>
    <s v="Auburn Med&amp;Spec-Fam Med"/>
    <x v="0"/>
    <m/>
    <n v="2932.55"/>
    <n v="823.58"/>
    <n v="3219.25"/>
    <n v="454.33"/>
    <n v="5405.24"/>
    <n v="3440.09"/>
    <n v="911.94"/>
    <n v="1671.24"/>
    <n v="1217.06"/>
    <n v="1169.3800000000001"/>
    <n v="1484.72"/>
    <n v="746.4"/>
    <n v="23475.780000000006"/>
    <n v="738.32"/>
  </r>
  <r>
    <x v="5"/>
    <x v="1"/>
    <x v="0"/>
    <s v="2343200"/>
    <n v="700072"/>
    <s v="Salaries-Other Pat Care Providers-NonProd-Other"/>
    <s v="Auburn Med&amp;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43200"/>
    <n v="700074"/>
    <s v="Salaries-Tech/Professional-Non-productive"/>
    <s v="Auburn Med&amp;Spec-Fam Med"/>
    <x v="0"/>
    <m/>
    <n v="575.75"/>
    <n v="0"/>
    <n v="3290"/>
    <n v="-61.34"/>
    <n v="-132.91999999999999"/>
    <n v="1128.1600000000001"/>
    <n v="4178.2700000000004"/>
    <n v="-532.46"/>
    <n v="386.86"/>
    <n v="-128.94999999999999"/>
    <n v="0"/>
    <n v="543.04"/>
    <n v="9246.41"/>
    <n v="-543.04"/>
  </r>
  <r>
    <x v="5"/>
    <x v="1"/>
    <x v="0"/>
    <s v="2343200"/>
    <n v="700074"/>
    <s v="Salaries-Tech/Professional-NonProd-Other"/>
    <s v="Auburn Med&amp;Spec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43200"/>
    <n v="700084"/>
    <s v="Accrued PTO"/>
    <s v="Auburn Med&amp;Spec-Fam Med"/>
    <x v="0"/>
    <m/>
    <n v="-2055.2600000000002"/>
    <n v="1443.79"/>
    <n v="-2684.22"/>
    <n v="1162.7"/>
    <n v="1272.08"/>
    <n v="-3162.76"/>
    <n v="720.78"/>
    <n v="461.89"/>
    <n v="334.49"/>
    <n v="1150.08"/>
    <n v="620.53"/>
    <n v="438.06"/>
    <n v="-297.84000000000032"/>
    <n v="182.46999999999997"/>
  </r>
  <r>
    <x v="6"/>
    <x v="1"/>
    <x v="0"/>
    <s v="2343200"/>
    <n v="713010"/>
    <s v="Benefits-FICA/Medicare"/>
    <s v="Auburn Med&amp;Spec-Fam Med"/>
    <x v="0"/>
    <m/>
    <n v="5918.01"/>
    <n v="6286.82"/>
    <n v="4530.92"/>
    <n v="4588.8599999999997"/>
    <n v="4309.0200000000004"/>
    <n v="6434.54"/>
    <n v="9809.73"/>
    <n v="8419.08"/>
    <n v="8886.2800000000007"/>
    <n v="9062.2000000000007"/>
    <n v="9702.25"/>
    <n v="5241.49"/>
    <n v="83189.200000000012"/>
    <n v="4460.76"/>
  </r>
  <r>
    <x v="6"/>
    <x v="1"/>
    <x v="0"/>
    <s v="2343200"/>
    <n v="713090"/>
    <s v="Benefits-Allocated Amounts"/>
    <s v="Auburn Med&amp;Spec-Fam Med"/>
    <x v="0"/>
    <m/>
    <n v="0"/>
    <n v="0"/>
    <n v="0"/>
    <n v="0"/>
    <n v="0"/>
    <n v="0"/>
    <n v="0"/>
    <n v="0"/>
    <n v="76262.45"/>
    <n v="8218.4599999999991"/>
    <n v="8452.86"/>
    <n v="8496.35"/>
    <n v="101430.12000000001"/>
    <n v="-43.489999999999782"/>
  </r>
  <r>
    <x v="6"/>
    <x v="1"/>
    <x v="0"/>
    <s v="2343200"/>
    <n v="713092"/>
    <s v="Allocated Benefits-Physician"/>
    <s v="Auburn Med&amp;Spec-Fam Med"/>
    <x v="0"/>
    <m/>
    <n v="8438.57"/>
    <n v="8064.01"/>
    <n v="8010.12"/>
    <n v="8516.32"/>
    <n v="8436.33"/>
    <n v="8181.48"/>
    <n v="9825.59"/>
    <n v="8979.2800000000007"/>
    <n v="-34602.82"/>
    <n v="3647.74"/>
    <n v="3751.78"/>
    <n v="3771.09"/>
    <n v="45019.489999999991"/>
    <n v="-19.309999999999945"/>
  </r>
  <r>
    <x v="6"/>
    <x v="1"/>
    <x v="0"/>
    <s v="2343200"/>
    <n v="713093"/>
    <s v="Allocated Benefits-Advanced Practice Clinician"/>
    <s v="Auburn Med&amp;Spec-Fam Med"/>
    <x v="0"/>
    <m/>
    <n v="6234.75"/>
    <n v="5958.03"/>
    <n v="5918.19"/>
    <n v="6292.2"/>
    <n v="6233.1"/>
    <n v="6044.82"/>
    <n v="7259.54"/>
    <n v="6634.26"/>
    <n v="-25501.65"/>
    <n v="2702.04"/>
    <n v="2779.09"/>
    <n v="2793.4"/>
    <n v="33347.769999999997"/>
    <n v="-14.309999999999945"/>
  </r>
  <r>
    <x v="7"/>
    <x v="1"/>
    <x v="0"/>
    <s v="2343200"/>
    <n v="718040"/>
    <s v="Contract Svcs-Laboratory"/>
    <s v="Auburn Med&amp;Spec-Fam Med"/>
    <x v="0"/>
    <m/>
    <n v="0"/>
    <n v="0"/>
    <n v="0"/>
    <n v="0"/>
    <n v="0"/>
    <n v="0"/>
    <n v="0"/>
    <n v="0"/>
    <n v="0"/>
    <n v="0"/>
    <n v="20"/>
    <n v="0"/>
    <n v="20"/>
    <n v="20"/>
  </r>
  <r>
    <x v="7"/>
    <x v="1"/>
    <x v="0"/>
    <s v="2343200"/>
    <n v="718050"/>
    <s v="Miscellaneous Purchased Svcs"/>
    <s v="Auburn Med&amp;Spec-Fam Med"/>
    <x v="0"/>
    <n v="1020"/>
    <n v="0"/>
    <n v="0"/>
    <n v="0"/>
    <n v="0"/>
    <n v="0"/>
    <n v="0"/>
    <n v="0"/>
    <n v="0"/>
    <n v="0"/>
    <n v="0"/>
    <n v="5450.83"/>
    <n v="0"/>
    <n v="5450.83"/>
    <n v="5450.83"/>
  </r>
  <r>
    <x v="11"/>
    <x v="1"/>
    <x v="0"/>
    <s v="2343200"/>
    <n v="721250"/>
    <s v="Supplies-Pharmacy Drugs - Billable"/>
    <s v="Auburn Med&amp;Spec-Fam Med"/>
    <x v="0"/>
    <m/>
    <n v="0"/>
    <n v="0"/>
    <n v="0"/>
    <n v="0"/>
    <n v="0"/>
    <n v="0"/>
    <n v="0"/>
    <n v="0"/>
    <n v="0"/>
    <n v="14572.2"/>
    <n v="0"/>
    <n v="0"/>
    <n v="14572.2"/>
    <n v="0"/>
  </r>
  <r>
    <x v="12"/>
    <x v="1"/>
    <x v="0"/>
    <s v="2343200"/>
    <n v="730020"/>
    <s v="Rental and Leases-Copier Usage Fees (DO NOT USE)"/>
    <s v="Auburn Med&amp;Spec-Fam Med"/>
    <x v="0"/>
    <n v="5100"/>
    <n v="5"/>
    <n v="-7.11"/>
    <n v="0"/>
    <n v="0"/>
    <n v="0"/>
    <n v="0"/>
    <n v="0"/>
    <n v="0"/>
    <n v="0"/>
    <n v="0"/>
    <n v="0"/>
    <n v="0"/>
    <n v="-2.1100000000000003"/>
    <n v="0"/>
  </r>
  <r>
    <x v="0"/>
    <x v="1"/>
    <x v="0"/>
    <s v="2343200"/>
    <n v="740022"/>
    <s v="Education-Physician"/>
    <s v="Auburn Med&amp;Spec-Fam Med"/>
    <x v="0"/>
    <m/>
    <n v="0"/>
    <n v="0"/>
    <n v="0"/>
    <n v="0"/>
    <n v="0"/>
    <n v="0"/>
    <n v="0"/>
    <n v="0"/>
    <n v="0"/>
    <n v="200"/>
    <n v="0"/>
    <n v="2415.63"/>
    <n v="2615.63"/>
    <n v="-2415.63"/>
  </r>
  <r>
    <x v="0"/>
    <x v="1"/>
    <x v="0"/>
    <s v="2343200"/>
    <n v="740022"/>
    <s v="Books-Physician"/>
    <s v="Auburn Med&amp;Spec-Fam Med"/>
    <x v="0"/>
    <n v="2000"/>
    <n v="0"/>
    <n v="0"/>
    <n v="0"/>
    <n v="0"/>
    <n v="0"/>
    <n v="0"/>
    <n v="0"/>
    <n v="0"/>
    <n v="0"/>
    <n v="0"/>
    <n v="0"/>
    <n v="2901.95"/>
    <n v="2901.95"/>
    <n v="-2901.95"/>
  </r>
  <r>
    <x v="0"/>
    <x v="1"/>
    <x v="0"/>
    <s v="2343200"/>
    <n v="740023"/>
    <s v="Education-Advanced Practice Clinician"/>
    <s v="Auburn Med&amp;Spec-Fam Med"/>
    <x v="0"/>
    <m/>
    <n v="0"/>
    <n v="0"/>
    <n v="0"/>
    <n v="0"/>
    <n v="0"/>
    <n v="0"/>
    <n v="0"/>
    <n v="0"/>
    <n v="0"/>
    <n v="0"/>
    <n v="0"/>
    <n v="2305"/>
    <n v="2305"/>
    <n v="-2305"/>
  </r>
  <r>
    <x v="8"/>
    <x v="1"/>
    <x v="0"/>
    <s v="2343200"/>
    <n v="741012"/>
    <s v="Physician Liab Insurance-CHI Program"/>
    <s v="Auburn Med&amp;Spec-Fam Med"/>
    <x v="0"/>
    <m/>
    <n v="2302.02"/>
    <n v="2302.02"/>
    <n v="2302.02"/>
    <n v="2302.02"/>
    <n v="2302.02"/>
    <n v="2302.02"/>
    <n v="2302.02"/>
    <n v="2302.02"/>
    <n v="2302.02"/>
    <n v="2302.02"/>
    <n v="2302.02"/>
    <n v="2302.02"/>
    <n v="27624.240000000002"/>
    <n v="0"/>
  </r>
  <r>
    <x v="0"/>
    <x v="1"/>
    <x v="0"/>
    <s v="2343200"/>
    <n v="743022"/>
    <s v="Dues-Physician"/>
    <s v="Auburn Med&amp;Spec-Fam Med"/>
    <x v="0"/>
    <m/>
    <n v="0"/>
    <n v="0"/>
    <n v="0"/>
    <n v="0"/>
    <n v="885"/>
    <n v="1770"/>
    <n v="0"/>
    <n v="0"/>
    <n v="0"/>
    <n v="1081"/>
    <n v="157.5"/>
    <n v="0"/>
    <n v="3893.5"/>
    <n v="157.5"/>
  </r>
  <r>
    <x v="0"/>
    <x v="1"/>
    <x v="0"/>
    <s v="2343200"/>
    <n v="743043"/>
    <s v="Subscriptions-Advanced Practice Clinician"/>
    <s v="Auburn Med&amp;Spec-Fam Med"/>
    <x v="0"/>
    <m/>
    <n v="0"/>
    <n v="0"/>
    <n v="0"/>
    <n v="0"/>
    <n v="0"/>
    <n v="0"/>
    <n v="0"/>
    <n v="0"/>
    <n v="0"/>
    <n v="0"/>
    <n v="0"/>
    <n v="192.49"/>
    <n v="192.49"/>
    <n v="-192.49"/>
  </r>
  <r>
    <x v="0"/>
    <x v="1"/>
    <x v="0"/>
    <s v="2343200"/>
    <n v="749510"/>
    <s v="Miscellaneous Expenses"/>
    <s v="Auburn Med&amp;Spec-Fam Med"/>
    <x v="0"/>
    <m/>
    <n v="-2555.4899999999998"/>
    <n v="0"/>
    <n v="0"/>
    <n v="0"/>
    <n v="0"/>
    <n v="0"/>
    <n v="0"/>
    <n v="0"/>
    <n v="0"/>
    <n v="0"/>
    <n v="0"/>
    <n v="962.4"/>
    <n v="-1593.0899999999997"/>
    <n v="-962.4"/>
  </r>
  <r>
    <x v="0"/>
    <x v="1"/>
    <x v="0"/>
    <s v="2343200"/>
    <n v="749512"/>
    <s v="Licenses-Physician"/>
    <s v="Auburn Med&amp;Spec-Fam Med"/>
    <x v="0"/>
    <n v="2000"/>
    <n v="0"/>
    <n v="0"/>
    <n v="0"/>
    <n v="0"/>
    <n v="0"/>
    <n v="0"/>
    <n v="657"/>
    <n v="0"/>
    <n v="0"/>
    <n v="657"/>
    <n v="0"/>
    <n v="0"/>
    <n v="1314"/>
    <n v="0"/>
  </r>
  <r>
    <x v="0"/>
    <x v="1"/>
    <x v="0"/>
    <s v="2343200"/>
    <n v="749513"/>
    <s v="Licenses-Advanced Practice Clinician"/>
    <s v="Auburn Med&amp;Spec-Fam Med"/>
    <x v="0"/>
    <n v="2000"/>
    <n v="0"/>
    <n v="0"/>
    <n v="0"/>
    <n v="0"/>
    <n v="0"/>
    <n v="0"/>
    <n v="0"/>
    <n v="0"/>
    <n v="0"/>
    <n v="0"/>
    <n v="0"/>
    <n v="933"/>
    <n v="933"/>
    <n v="-933"/>
  </r>
  <r>
    <x v="0"/>
    <x v="1"/>
    <x v="0"/>
    <s v="2343200"/>
    <n v="749591"/>
    <s v="Other Expense-Intracompany Allocation"/>
    <s v="Auburn Med&amp;Spec-Fam Med"/>
    <x v="0"/>
    <m/>
    <n v="94272.1"/>
    <n v="109300.38"/>
    <n v="114189.1"/>
    <n v="117782.69"/>
    <n v="127312.12"/>
    <n v="114544.39"/>
    <n v="108170.89"/>
    <n v="115509"/>
    <n v="125421.46"/>
    <n v="207366.05"/>
    <n v="140734.98000000001"/>
    <n v="140030.48000000001"/>
    <n v="1514633.64"/>
    <n v="704.5"/>
  </r>
  <r>
    <x v="1"/>
    <x v="1"/>
    <x v="0"/>
    <s v="2344200"/>
    <n v="400029"/>
    <s v="MD Practice Other Rev--Medicaid"/>
    <s v="Auburn Med&amp;Spec-Radiology"/>
    <x v="0"/>
    <n v="1200"/>
    <n v="0"/>
    <n v="-51"/>
    <n v="0"/>
    <n v="0"/>
    <n v="0"/>
    <n v="0"/>
    <n v="0"/>
    <n v="0"/>
    <n v="0"/>
    <n v="0"/>
    <n v="0"/>
    <n v="0"/>
    <n v="-51"/>
    <n v="0"/>
  </r>
  <r>
    <x v="1"/>
    <x v="1"/>
    <x v="0"/>
    <s v="2344200"/>
    <n v="400029"/>
    <s v="MD Practice Other Rev--Comm Insurance"/>
    <s v="Auburn Med&amp;Spec-Radiology"/>
    <x v="0"/>
    <n v="1300"/>
    <n v="0"/>
    <n v="-67"/>
    <n v="0"/>
    <n v="-53"/>
    <n v="0"/>
    <n v="0"/>
    <n v="0"/>
    <n v="0"/>
    <n v="0"/>
    <n v="0"/>
    <n v="0"/>
    <n v="0"/>
    <n v="-120"/>
    <n v="0"/>
  </r>
  <r>
    <x v="1"/>
    <x v="1"/>
    <x v="0"/>
    <s v="2344200"/>
    <n v="400029"/>
    <s v="MD Practice Other Rev--Managed Care"/>
    <s v="Auburn Med&amp;Spec-Radiology"/>
    <x v="0"/>
    <n v="1400"/>
    <n v="0"/>
    <n v="0"/>
    <n v="0"/>
    <n v="0"/>
    <n v="0"/>
    <n v="0"/>
    <n v="0"/>
    <n v="-133"/>
    <n v="0"/>
    <n v="0"/>
    <n v="0"/>
    <n v="0"/>
    <n v="-133"/>
    <n v="0"/>
  </r>
  <r>
    <x v="1"/>
    <x v="1"/>
    <x v="0"/>
    <s v="2344200"/>
    <n v="400029"/>
    <s v="MD Practice Other Rev--Self Pay"/>
    <s v="Auburn Med&amp;Spec-Radiology"/>
    <x v="0"/>
    <n v="1500"/>
    <n v="-67"/>
    <n v="67"/>
    <n v="0"/>
    <n v="0"/>
    <n v="0"/>
    <n v="0"/>
    <n v="0"/>
    <n v="0"/>
    <n v="0"/>
    <n v="0"/>
    <n v="0"/>
    <n v="0"/>
    <n v="0"/>
    <n v="0"/>
  </r>
  <r>
    <x v="2"/>
    <x v="1"/>
    <x v="0"/>
    <s v="2344200"/>
    <n v="450029"/>
    <s v="Contr Allow--MD Other-Medicaid"/>
    <s v="Auburn Med&amp;Spec-Radiology"/>
    <x v="0"/>
    <n v="1200"/>
    <n v="-28.82"/>
    <n v="51"/>
    <n v="0"/>
    <n v="0"/>
    <n v="0"/>
    <n v="0"/>
    <n v="0"/>
    <n v="0"/>
    <n v="0"/>
    <n v="30.48"/>
    <n v="0"/>
    <n v="0"/>
    <n v="52.66"/>
    <n v="0"/>
  </r>
  <r>
    <x v="2"/>
    <x v="1"/>
    <x v="0"/>
    <s v="2344200"/>
    <n v="450029"/>
    <s v="Contr Allow--MD Other BCBS Comm"/>
    <s v="Auburn Med&amp;Spec-Radiology"/>
    <x v="0"/>
    <n v="1301"/>
    <n v="0"/>
    <n v="65"/>
    <n v="0"/>
    <n v="0"/>
    <n v="0"/>
    <n v="0"/>
    <n v="0"/>
    <n v="0"/>
    <n v="0"/>
    <n v="0"/>
    <n v="0"/>
    <n v="0"/>
    <n v="65"/>
    <n v="0"/>
  </r>
  <r>
    <x v="2"/>
    <x v="1"/>
    <x v="0"/>
    <s v="2344200"/>
    <n v="450029"/>
    <s v="Contr Allow--MD Other-Managed Care"/>
    <s v="Auburn Med&amp;Spec-Radiology"/>
    <x v="0"/>
    <n v="1400"/>
    <n v="23.68"/>
    <n v="0"/>
    <n v="0"/>
    <n v="-20.23"/>
    <n v="0"/>
    <n v="0"/>
    <n v="0"/>
    <n v="0"/>
    <n v="45.44"/>
    <n v="0"/>
    <n v="0"/>
    <n v="0"/>
    <n v="48.89"/>
    <n v="0"/>
  </r>
  <r>
    <x v="2"/>
    <x v="1"/>
    <x v="0"/>
    <s v="2344200"/>
    <n v="450029"/>
    <s v="Admin Adjust-MD Other-Self Pay"/>
    <s v="Auburn Med&amp;Spec-Radiology"/>
    <x v="0"/>
    <n v="1600"/>
    <n v="36.85"/>
    <n v="-35.950000000000003"/>
    <n v="0"/>
    <n v="0.02"/>
    <n v="0"/>
    <n v="0"/>
    <n v="0"/>
    <n v="0"/>
    <n v="0"/>
    <n v="0"/>
    <n v="0"/>
    <n v="0"/>
    <n v="0.9199999999999986"/>
    <n v="0"/>
  </r>
  <r>
    <x v="2"/>
    <x v="1"/>
    <x v="0"/>
    <s v="2344200"/>
    <n v="450029"/>
    <s v="Contr Allow--MD Other-Other"/>
    <s v="Auburn Med&amp;Spec-Radiology"/>
    <x v="0"/>
    <n v="1700"/>
    <n v="0"/>
    <n v="22.72"/>
    <n v="0"/>
    <n v="0"/>
    <n v="0"/>
    <n v="0"/>
    <n v="0"/>
    <n v="0"/>
    <n v="0"/>
    <n v="0"/>
    <n v="0"/>
    <n v="0"/>
    <n v="22.72"/>
    <n v="0"/>
  </r>
  <r>
    <x v="2"/>
    <x v="1"/>
    <x v="0"/>
    <s v="2344200"/>
    <n v="450040"/>
    <s v="Contr Allow--Phys Svcs--BCBS Mgnd Care"/>
    <s v="Auburn Med&amp;Spec-Radiology"/>
    <x v="0"/>
    <n v="1401"/>
    <n v="-20.91"/>
    <n v="-48.96"/>
    <n v="-33.590000000000003"/>
    <n v="54.62"/>
    <n v="-41.77"/>
    <n v="-26.19"/>
    <n v="1.21"/>
    <n v="72.209999999999994"/>
    <n v="-71.260000000000005"/>
    <n v="-16.62"/>
    <n v="0.83"/>
    <n v="-0.28000000000000003"/>
    <n v="-130.71"/>
    <n v="1.1099999999999999"/>
  </r>
  <r>
    <x v="3"/>
    <x v="1"/>
    <x v="0"/>
    <s v="2344200"/>
    <n v="470040"/>
    <s v="Charity Care-Physician Svcs"/>
    <s v="Auburn Med&amp;Spec-Radiology"/>
    <x v="0"/>
    <m/>
    <n v="-1.1000000000000001"/>
    <n v="-0.76"/>
    <n v="-1.48"/>
    <n v="1.85"/>
    <n v="-1.31"/>
    <n v="-1.17"/>
    <n v="-0.05"/>
    <n v="1.88"/>
    <n v="-1.7"/>
    <n v="-0.62"/>
    <n v="-0.17"/>
    <n v="0.27"/>
    <n v="-4.3599999999999994"/>
    <n v="-0.44000000000000006"/>
  </r>
  <r>
    <x v="4"/>
    <x v="1"/>
    <x v="0"/>
    <s v="2344200"/>
    <n v="490010"/>
    <s v="Provision for Bad Debts"/>
    <s v="Auburn Med&amp;Spec-Radiology"/>
    <x v="0"/>
    <m/>
    <n v="44.35"/>
    <n v="-15.57"/>
    <n v="-5.17"/>
    <n v="5.86"/>
    <n v="77.19"/>
    <n v="-3.99"/>
    <n v="-0.76"/>
    <n v="6.51"/>
    <n v="-6.56"/>
    <n v="0.13"/>
    <n v="-0.05"/>
    <n v="0.19"/>
    <n v="102.13"/>
    <n v="-0.24"/>
  </r>
  <r>
    <x v="0"/>
    <x v="1"/>
    <x v="0"/>
    <s v="2344200"/>
    <n v="749591"/>
    <s v="Other Expense-Intracompany Allocation"/>
    <s v="Auburn Med&amp;Spec-Radiology"/>
    <x v="0"/>
    <m/>
    <n v="0"/>
    <n v="0"/>
    <n v="0"/>
    <n v="0"/>
    <n v="0"/>
    <n v="10.91"/>
    <n v="0.52"/>
    <n v="-11.43"/>
    <n v="0"/>
    <n v="0"/>
    <n v="0"/>
    <n v="0"/>
    <n v="0"/>
    <n v="0"/>
  </r>
  <r>
    <x v="1"/>
    <x v="1"/>
    <x v="0"/>
    <s v="2345200"/>
    <n v="400029"/>
    <s v="MD Practice Other Rev--Medicare"/>
    <s v="FPC-Gravelly Lake-Fam Med"/>
    <x v="0"/>
    <n v="1100"/>
    <n v="-507"/>
    <n v="-494"/>
    <n v="-952"/>
    <n v="-1171"/>
    <n v="-860"/>
    <n v="-347"/>
    <n v="-898"/>
    <n v="-591"/>
    <n v="-270"/>
    <n v="-299"/>
    <n v="-243"/>
    <n v="-248"/>
    <n v="-6880"/>
    <n v="5"/>
  </r>
  <r>
    <x v="1"/>
    <x v="1"/>
    <x v="0"/>
    <s v="2345200"/>
    <n v="400029"/>
    <s v="MD Practice Other Rev--Medicaid"/>
    <s v="FPC-Gravelly Lake-Fam Med"/>
    <x v="0"/>
    <n v="1200"/>
    <n v="-992"/>
    <n v="-1148"/>
    <n v="-1345"/>
    <n v="-2181"/>
    <n v="-1499"/>
    <n v="-1355"/>
    <n v="-2778"/>
    <n v="-1318"/>
    <n v="-2334"/>
    <n v="-725"/>
    <n v="-556"/>
    <n v="-372"/>
    <n v="-16603"/>
    <n v="-184"/>
  </r>
  <r>
    <x v="1"/>
    <x v="1"/>
    <x v="0"/>
    <s v="2345200"/>
    <n v="400029"/>
    <s v="MD Practice Other Rev--Comm Insurance"/>
    <s v="FPC-Gravelly Lake-Fam Med"/>
    <x v="0"/>
    <n v="1300"/>
    <n v="-402"/>
    <n v="-511"/>
    <n v="-547"/>
    <n v="-363"/>
    <n v="-18"/>
    <n v="-284"/>
    <n v="-304"/>
    <n v="-279"/>
    <n v="-20"/>
    <n v="-77"/>
    <n v="-200"/>
    <n v="-227"/>
    <n v="-3232"/>
    <n v="27"/>
  </r>
  <r>
    <x v="1"/>
    <x v="1"/>
    <x v="0"/>
    <s v="2345200"/>
    <n v="400029"/>
    <s v="MD Practice Other Rev--BCBS Comm"/>
    <s v="FPC-Gravelly Lake-Fam Med"/>
    <x v="0"/>
    <n v="1301"/>
    <n v="-576"/>
    <n v="-790"/>
    <n v="-682"/>
    <n v="-975"/>
    <n v="-404"/>
    <n v="-630"/>
    <n v="-615"/>
    <n v="-336"/>
    <n v="-1123"/>
    <n v="-281"/>
    <n v="-214"/>
    <n v="-79"/>
    <n v="-6705"/>
    <n v="-135"/>
  </r>
  <r>
    <x v="1"/>
    <x v="1"/>
    <x v="0"/>
    <s v="2345200"/>
    <n v="400029"/>
    <s v="MD Practice Other Rev--Managed Care"/>
    <s v="FPC-Gravelly Lake-Fam Med"/>
    <x v="0"/>
    <n v="1400"/>
    <n v="-1216"/>
    <n v="-1242"/>
    <n v="-1737"/>
    <n v="-1716"/>
    <n v="-2354"/>
    <n v="-1211"/>
    <n v="-2194"/>
    <n v="-1235"/>
    <n v="-2436"/>
    <n v="-710"/>
    <n v="-576"/>
    <n v="-15"/>
    <n v="-16642"/>
    <n v="-561"/>
  </r>
  <r>
    <x v="1"/>
    <x v="1"/>
    <x v="0"/>
    <s v="2345200"/>
    <n v="400029"/>
    <s v="MD Practice Other Rev--Self Pay"/>
    <s v="FPC-Gravelly Lake-Fam Med"/>
    <x v="0"/>
    <n v="1500"/>
    <n v="-63"/>
    <n v="-335"/>
    <n v="-394.3"/>
    <n v="-201.84"/>
    <n v="10"/>
    <n v="-176"/>
    <n v="-88"/>
    <n v="-212.47"/>
    <n v="-90"/>
    <n v="56"/>
    <n v="-143"/>
    <n v="45"/>
    <n v="-1592.61"/>
    <n v="-188"/>
  </r>
  <r>
    <x v="1"/>
    <x v="1"/>
    <x v="0"/>
    <s v="2345200"/>
    <n v="400029"/>
    <s v="MD Practice Other Rev--Other"/>
    <s v="FPC-Gravelly Lake-Fam Med"/>
    <x v="0"/>
    <n v="1700"/>
    <n v="-359"/>
    <n v="-438"/>
    <n v="-636"/>
    <n v="-669"/>
    <n v="-763"/>
    <n v="-696"/>
    <n v="-326"/>
    <n v="-396"/>
    <n v="-1471"/>
    <n v="-354"/>
    <n v="-534"/>
    <n v="-156"/>
    <n v="-6798"/>
    <n v="-378"/>
  </r>
  <r>
    <x v="1"/>
    <x v="1"/>
    <x v="0"/>
    <s v="2345200"/>
    <n v="400040"/>
    <s v="Physician Svcs Rev--Medicare"/>
    <s v="FPC-Gravelly Lake-Fam Med"/>
    <x v="0"/>
    <n v="1100"/>
    <n v="-51968"/>
    <n v="-57696"/>
    <n v="-46318"/>
    <n v="-49591"/>
    <n v="-41292"/>
    <n v="-28843"/>
    <n v="-28063"/>
    <n v="-14040"/>
    <n v="-8313"/>
    <n v="-14024"/>
    <n v="-14635"/>
    <n v="-10204"/>
    <n v="-364987"/>
    <n v="-4431"/>
  </r>
  <r>
    <x v="1"/>
    <x v="1"/>
    <x v="0"/>
    <s v="2345200"/>
    <n v="400040"/>
    <s v="Physician Svcs Rev--Medicaid"/>
    <s v="FPC-Gravelly Lake-Fam Med"/>
    <x v="0"/>
    <n v="1200"/>
    <n v="-71073.56"/>
    <n v="-81299.44"/>
    <n v="-75766.52"/>
    <n v="-87180.05"/>
    <n v="-66488.09"/>
    <n v="-45879.76"/>
    <n v="-57267"/>
    <n v="-33352"/>
    <n v="-23169"/>
    <n v="-21985"/>
    <n v="-18343"/>
    <n v="-18481"/>
    <n v="-600284.42000000004"/>
    <n v="138"/>
  </r>
  <r>
    <x v="1"/>
    <x v="1"/>
    <x v="0"/>
    <s v="2345200"/>
    <n v="400040"/>
    <s v="Physician Svcs Rev--Comm Insurance"/>
    <s v="FPC-Gravelly Lake-Fam Med"/>
    <x v="0"/>
    <n v="1300"/>
    <n v="-14808"/>
    <n v="-18899"/>
    <n v="-11627"/>
    <n v="-12192"/>
    <n v="-7081"/>
    <n v="-10576"/>
    <n v="-10149"/>
    <n v="-7328"/>
    <n v="-3809"/>
    <n v="-2479"/>
    <n v="-3512"/>
    <n v="-3580"/>
    <n v="-106040"/>
    <n v="68"/>
  </r>
  <r>
    <x v="1"/>
    <x v="1"/>
    <x v="0"/>
    <s v="2345200"/>
    <n v="400040"/>
    <s v="Physician Svcs Rev--BCBS Comm"/>
    <s v="FPC-Gravelly Lake-Fam Med"/>
    <x v="0"/>
    <n v="1301"/>
    <n v="-26439"/>
    <n v="-19587"/>
    <n v="-24070"/>
    <n v="-20653"/>
    <n v="-15754"/>
    <n v="-16951"/>
    <n v="-12862"/>
    <n v="-9214"/>
    <n v="-8990"/>
    <n v="-4812"/>
    <n v="-4460"/>
    <n v="-4167"/>
    <n v="-167959"/>
    <n v="-293"/>
  </r>
  <r>
    <x v="1"/>
    <x v="1"/>
    <x v="0"/>
    <s v="2345200"/>
    <n v="400040"/>
    <s v="Physician Svcs Rev--Managed Care"/>
    <s v="FPC-Gravelly Lake-Fam Med"/>
    <x v="0"/>
    <n v="1400"/>
    <n v="-73923"/>
    <n v="-74149"/>
    <n v="-68773.13"/>
    <n v="-70459.13"/>
    <n v="-63086.13"/>
    <n v="-48930"/>
    <n v="-50593"/>
    <n v="-27266"/>
    <n v="-23808.13"/>
    <n v="-17700"/>
    <n v="-23039"/>
    <n v="-13805"/>
    <n v="-555531.52000000002"/>
    <n v="-9234"/>
  </r>
  <r>
    <x v="1"/>
    <x v="1"/>
    <x v="0"/>
    <s v="2345200"/>
    <n v="400040"/>
    <s v="Physician Svcs Rev--Self Pay"/>
    <s v="FPC-Gravelly Lake-Fam Med"/>
    <x v="0"/>
    <n v="1500"/>
    <n v="-7970.44"/>
    <n v="-9016"/>
    <n v="-11486.87"/>
    <n v="-8516.6299999999992"/>
    <n v="-6324.53"/>
    <n v="-5575"/>
    <n v="-11000"/>
    <n v="-2559.88"/>
    <n v="-2173"/>
    <n v="-3159"/>
    <n v="-1570.13"/>
    <n v="-1943.68"/>
    <n v="-71295.159999999989"/>
    <n v="373.54999999999995"/>
  </r>
  <r>
    <x v="1"/>
    <x v="1"/>
    <x v="0"/>
    <s v="2345200"/>
    <n v="400040"/>
    <s v="Physician Svcs Rev--Other"/>
    <s v="FPC-Gravelly Lake-Fam Med"/>
    <x v="0"/>
    <n v="1700"/>
    <n v="-21457"/>
    <n v="-21918"/>
    <n v="-28235"/>
    <n v="-26559"/>
    <n v="-19196"/>
    <n v="-21775.53"/>
    <n v="-17991"/>
    <n v="-8030"/>
    <n v="-8862"/>
    <n v="-4862"/>
    <n v="-5869"/>
    <n v="-3856"/>
    <n v="-188610.53"/>
    <n v="-2013"/>
  </r>
  <r>
    <x v="2"/>
    <x v="1"/>
    <x v="0"/>
    <s v="2345200"/>
    <n v="450029"/>
    <s v="Contr Allow--MD Other-Medicare"/>
    <s v="FPC-Gravelly Lake-Fam Med"/>
    <x v="0"/>
    <n v="1100"/>
    <n v="80.34"/>
    <n v="687.97"/>
    <n v="632.24"/>
    <n v="677.16"/>
    <n v="904.94"/>
    <n v="236"/>
    <n v="394.85"/>
    <n v="522.28"/>
    <n v="398.76"/>
    <n v="116.65"/>
    <n v="297.83"/>
    <n v="443.66"/>
    <n v="5392.6799999999994"/>
    <n v="-145.83000000000004"/>
  </r>
  <r>
    <x v="2"/>
    <x v="1"/>
    <x v="0"/>
    <s v="2345200"/>
    <n v="450029"/>
    <s v="Contr Allow--MD Other-Medicaid"/>
    <s v="FPC-Gravelly Lake-Fam Med"/>
    <x v="0"/>
    <n v="1200"/>
    <n v="1105.5899999999999"/>
    <n v="975.11"/>
    <n v="659.46"/>
    <n v="1344.92"/>
    <n v="697.56"/>
    <n v="1258.05"/>
    <n v="1623.18"/>
    <n v="1166.6500000000001"/>
    <n v="1544.03"/>
    <n v="970.94"/>
    <n v="852.4"/>
    <n v="358.12"/>
    <n v="12556.010000000002"/>
    <n v="494.28"/>
  </r>
  <r>
    <x v="2"/>
    <x v="1"/>
    <x v="0"/>
    <s v="2345200"/>
    <n v="450029"/>
    <s v="Contr Allow--MD Other-Comm Insurance"/>
    <s v="FPC-Gravelly Lake-Fam Med"/>
    <x v="0"/>
    <n v="1300"/>
    <n v="236.92"/>
    <n v="183.82"/>
    <n v="162.76"/>
    <n v="405.74"/>
    <n v="179.7"/>
    <n v="92.78"/>
    <n v="153.53"/>
    <n v="129.56"/>
    <n v="45.5"/>
    <n v="34.31"/>
    <n v="14.74"/>
    <n v="102.44"/>
    <n v="1741.8"/>
    <n v="-87.7"/>
  </r>
  <r>
    <x v="2"/>
    <x v="1"/>
    <x v="0"/>
    <s v="2345200"/>
    <n v="450029"/>
    <s v="Contr Allow--MD Other BCBS Comm"/>
    <s v="FPC-Gravelly Lake-Fam Med"/>
    <x v="0"/>
    <n v="1301"/>
    <n v="403.29"/>
    <n v="457.03"/>
    <n v="471.33"/>
    <n v="417.25"/>
    <n v="376.61"/>
    <n v="387.66"/>
    <n v="310.24"/>
    <n v="308.3"/>
    <n v="652.6"/>
    <n v="390.93"/>
    <n v="328.34"/>
    <n v="152.80000000000001"/>
    <n v="4656.38"/>
    <n v="175.53999999999996"/>
  </r>
  <r>
    <x v="2"/>
    <x v="1"/>
    <x v="0"/>
    <s v="2345200"/>
    <n v="450029"/>
    <s v="Contr Allow--MD Other-Managed Care"/>
    <s v="FPC-Gravelly Lake-Fam Med"/>
    <x v="0"/>
    <n v="1400"/>
    <n v="637.01"/>
    <n v="1007.47"/>
    <n v="806.77"/>
    <n v="1062.32"/>
    <n v="1432.78"/>
    <n v="920.66"/>
    <n v="1285.9100000000001"/>
    <n v="1252.48"/>
    <n v="1204.53"/>
    <n v="1109.3800000000001"/>
    <n v="465.2"/>
    <n v="337.61"/>
    <n v="11522.120000000003"/>
    <n v="127.58999999999997"/>
  </r>
  <r>
    <x v="2"/>
    <x v="1"/>
    <x v="0"/>
    <s v="2345200"/>
    <n v="450029"/>
    <s v="Prompt Pay Disc-MD Other-Self Pay"/>
    <s v="FPC-Gravelly Lake-Fam Med"/>
    <x v="0"/>
    <n v="1500"/>
    <n v="0"/>
    <n v="0"/>
    <n v="6.78"/>
    <n v="0"/>
    <n v="0"/>
    <n v="0"/>
    <n v="0"/>
    <n v="0"/>
    <n v="0"/>
    <n v="0"/>
    <n v="40.32"/>
    <n v="0"/>
    <n v="47.1"/>
    <n v="40.32"/>
  </r>
  <r>
    <x v="2"/>
    <x v="1"/>
    <x v="0"/>
    <s v="2345200"/>
    <n v="450029"/>
    <s v="Admin Adjust-MD Other-Self Pay"/>
    <s v="FPC-Gravelly Lake-Fam Med"/>
    <x v="0"/>
    <n v="1600"/>
    <n v="107.03"/>
    <n v="173.92"/>
    <n v="313.02999999999997"/>
    <n v="79.010000000000005"/>
    <n v="46.74"/>
    <n v="75.5"/>
    <n v="80.819999999999993"/>
    <n v="274.82"/>
    <n v="112.54"/>
    <n v="-50.78"/>
    <n v="39.369999999999997"/>
    <n v="-14.26"/>
    <n v="1237.7399999999998"/>
    <n v="53.629999999999995"/>
  </r>
  <r>
    <x v="2"/>
    <x v="1"/>
    <x v="0"/>
    <s v="2345200"/>
    <n v="450029"/>
    <s v="Contr Allow--MD Other-Other"/>
    <s v="FPC-Gravelly Lake-Fam Med"/>
    <x v="0"/>
    <n v="1700"/>
    <n v="442.11"/>
    <n v="200.91"/>
    <n v="255.56"/>
    <n v="593.22"/>
    <n v="201.83"/>
    <n v="703.91"/>
    <n v="345.47"/>
    <n v="412.06"/>
    <n v="671.83"/>
    <n v="525.59"/>
    <n v="361.82"/>
    <n v="229.85"/>
    <n v="4944.16"/>
    <n v="131.97"/>
  </r>
  <r>
    <x v="2"/>
    <x v="1"/>
    <x v="0"/>
    <s v="2345200"/>
    <n v="450040"/>
    <s v="Contr Allow--Phys Svcs--Mcare"/>
    <s v="FPC-Gravelly Lake-Fam Med"/>
    <x v="0"/>
    <n v="1100"/>
    <n v="27281.53"/>
    <n v="35139.629999999997"/>
    <n v="34656.86"/>
    <n v="34306.97"/>
    <n v="27255.06"/>
    <n v="21803.9"/>
    <n v="23695.24"/>
    <n v="11778.38"/>
    <n v="11500.49"/>
    <n v="9394.92"/>
    <n v="9375.0400000000009"/>
    <n v="10614.6"/>
    <n v="256802.62"/>
    <n v="-1239.5599999999995"/>
  </r>
  <r>
    <x v="2"/>
    <x v="1"/>
    <x v="0"/>
    <s v="2345200"/>
    <n v="450040"/>
    <s v="Contr Allow--Phys Svcs--Mcaid"/>
    <s v="FPC-Gravelly Lake-Fam Med"/>
    <x v="0"/>
    <n v="1200"/>
    <n v="51543.62"/>
    <n v="65906.19"/>
    <n v="52761.03"/>
    <n v="59817.85"/>
    <n v="56493.73"/>
    <n v="39551.769999999997"/>
    <n v="41384.269999999997"/>
    <n v="21844.560000000001"/>
    <n v="31391.61"/>
    <n v="19252.79"/>
    <n v="23256.27"/>
    <n v="14580.4"/>
    <n v="477784.09"/>
    <n v="8675.8700000000008"/>
  </r>
  <r>
    <x v="2"/>
    <x v="1"/>
    <x v="0"/>
    <s v="2345200"/>
    <n v="450040"/>
    <s v="Contr Allow--Phys Svcs--Comm Insurance"/>
    <s v="FPC-Gravelly Lake-Fam Med"/>
    <x v="0"/>
    <n v="1300"/>
    <n v="4418.8599999999997"/>
    <n v="5427.4"/>
    <n v="5847.81"/>
    <n v="4477.87"/>
    <n v="3605.32"/>
    <n v="3831.1"/>
    <n v="3895.79"/>
    <n v="1190.8900000000001"/>
    <n v="1935.61"/>
    <n v="1615.47"/>
    <n v="713.15"/>
    <n v="1853.07"/>
    <n v="38812.339999999997"/>
    <n v="-1139.92"/>
  </r>
  <r>
    <x v="2"/>
    <x v="1"/>
    <x v="0"/>
    <s v="2345200"/>
    <n v="450040"/>
    <s v="Contr Allow--Phys Svcs--BCBS Comm Ins"/>
    <s v="FPC-Gravelly Lake-Fam Med"/>
    <x v="0"/>
    <n v="1301"/>
    <n v="10541.62"/>
    <n v="10378.91"/>
    <n v="7805.58"/>
    <n v="6433.48"/>
    <n v="7854.61"/>
    <n v="4830.49"/>
    <n v="3961.32"/>
    <n v="4042.42"/>
    <n v="5069.6499999999996"/>
    <n v="2229.1799999999998"/>
    <n v="1977.59"/>
    <n v="2594.02"/>
    <n v="67718.87"/>
    <n v="-616.43000000000006"/>
  </r>
  <r>
    <x v="2"/>
    <x v="1"/>
    <x v="0"/>
    <s v="2345200"/>
    <n v="450040"/>
    <s v="Contr Allow--Phys Svcs--Managed Care"/>
    <s v="FPC-Gravelly Lake-Fam Med"/>
    <x v="0"/>
    <n v="1400"/>
    <n v="27276.3"/>
    <n v="32358.48"/>
    <n v="26280.21"/>
    <n v="26473.06"/>
    <n v="27161.63"/>
    <n v="14545.69"/>
    <n v="22835.42"/>
    <n v="12027.22"/>
    <n v="13326.71"/>
    <n v="8913.85"/>
    <n v="8377.85"/>
    <n v="7431.64"/>
    <n v="227008.06"/>
    <n v="946.21"/>
  </r>
  <r>
    <x v="2"/>
    <x v="1"/>
    <x v="0"/>
    <s v="2345200"/>
    <n v="450040"/>
    <s v="Contr Allow--Phys Svcs--BCBS Mgnd Care"/>
    <s v="FPC-Gravelly Lake-Fam Med"/>
    <x v="0"/>
    <n v="1401"/>
    <n v="2458.19"/>
    <n v="-12298.64"/>
    <n v="8011.49"/>
    <n v="-5231.03"/>
    <n v="-17638.939999999999"/>
    <n v="-2288.12"/>
    <n v="-2413.67"/>
    <n v="-12264.88"/>
    <n v="-32485.82"/>
    <n v="-14315.51"/>
    <n v="-7532.07"/>
    <n v="-12785.16"/>
    <n v="-108784.15999999997"/>
    <n v="5253.09"/>
  </r>
  <r>
    <x v="2"/>
    <x v="1"/>
    <x v="0"/>
    <s v="2345200"/>
    <n v="450040"/>
    <s v="Prompt Pay Disc-Phys Svcs-Self Pay"/>
    <s v="FPC-Gravelly Lake-Fam Med"/>
    <x v="0"/>
    <n v="1500"/>
    <n v="0"/>
    <n v="0"/>
    <n v="227.39"/>
    <n v="0"/>
    <n v="0"/>
    <n v="0"/>
    <n v="0"/>
    <n v="0"/>
    <n v="0"/>
    <n v="0"/>
    <n v="426.83"/>
    <n v="0"/>
    <n v="654.22"/>
    <n v="426.83"/>
  </r>
  <r>
    <x v="2"/>
    <x v="1"/>
    <x v="0"/>
    <s v="2345200"/>
    <n v="450040"/>
    <s v="Admin Adjust-Phys Svcs-Self Pay"/>
    <s v="FPC-Gravelly Lake-Fam Med"/>
    <x v="0"/>
    <n v="1600"/>
    <n v="3286.15"/>
    <n v="3746.51"/>
    <n v="4251.51"/>
    <n v="4112.6400000000003"/>
    <n v="3104.88"/>
    <n v="2196.16"/>
    <n v="4908.28"/>
    <n v="2695.01"/>
    <n v="1478.31"/>
    <n v="1500.79"/>
    <n v="483.82"/>
    <n v="896.46"/>
    <n v="32660.52"/>
    <n v="-412.64000000000004"/>
  </r>
  <r>
    <x v="2"/>
    <x v="1"/>
    <x v="0"/>
    <s v="2345200"/>
    <n v="450040"/>
    <s v="Contr Allow--Phys Svcs--Other"/>
    <s v="FPC-Gravelly Lake-Fam Med"/>
    <x v="0"/>
    <n v="1700"/>
    <n v="13231.94"/>
    <n v="14471.09"/>
    <n v="5101.8"/>
    <n v="24339.040000000001"/>
    <n v="11780.94"/>
    <n v="13596.18"/>
    <n v="12024.3"/>
    <n v="10164.69"/>
    <n v="8054.48"/>
    <n v="3935.31"/>
    <n v="4441.79"/>
    <n v="2493.1799999999998"/>
    <n v="123634.73999999998"/>
    <n v="1948.6100000000001"/>
  </r>
  <r>
    <x v="3"/>
    <x v="1"/>
    <x v="0"/>
    <s v="2345200"/>
    <n v="470040"/>
    <s v="Charity Care-Physician Svcs"/>
    <s v="FPC-Gravelly Lake-Fam Med"/>
    <x v="0"/>
    <m/>
    <n v="1317.57"/>
    <n v="3087.17"/>
    <n v="1753.68"/>
    <n v="985.53"/>
    <n v="796.83"/>
    <n v="-307.23"/>
    <n v="2820.11"/>
    <n v="467.56"/>
    <n v="862.69"/>
    <n v="10.4"/>
    <n v="149.1"/>
    <n v="587.5"/>
    <n v="12530.91"/>
    <n v="-438.4"/>
  </r>
  <r>
    <x v="4"/>
    <x v="1"/>
    <x v="0"/>
    <s v="2345200"/>
    <n v="490010"/>
    <s v="Provision for Bad Debts"/>
    <s v="FPC-Gravelly Lake-Fam Med"/>
    <x v="0"/>
    <m/>
    <n v="12776.5"/>
    <n v="9375.35"/>
    <n v="10165.84"/>
    <n v="9360.06"/>
    <n v="8627.01"/>
    <n v="5184.72"/>
    <n v="1347.3"/>
    <n v="3722.15"/>
    <n v="7289.95"/>
    <n v="6209.92"/>
    <n v="3119.95"/>
    <n v="4826.8599999999997"/>
    <n v="82005.61"/>
    <n v="-1706.9099999999999"/>
  </r>
  <r>
    <x v="14"/>
    <x v="1"/>
    <x v="0"/>
    <s v="2345200"/>
    <n v="600050"/>
    <s v="Miscellaneous Revenue"/>
    <s v="FPC-Gravelly Lake-Fam Med"/>
    <x v="0"/>
    <m/>
    <n v="0"/>
    <n v="0"/>
    <n v="0"/>
    <n v="0"/>
    <n v="0"/>
    <n v="0"/>
    <n v="0"/>
    <n v="-415"/>
    <n v="0"/>
    <n v="0"/>
    <n v="0"/>
    <n v="0"/>
    <n v="-415"/>
    <n v="0"/>
  </r>
  <r>
    <x v="5"/>
    <x v="1"/>
    <x v="0"/>
    <s v="2345200"/>
    <n v="700022"/>
    <s v="Salaries-Physician-Productive"/>
    <s v="FPC-Gravelly Lake-Fam Med"/>
    <x v="0"/>
    <m/>
    <n v="0"/>
    <n v="0"/>
    <n v="0"/>
    <n v="2368.56"/>
    <n v="1524.31"/>
    <n v="0"/>
    <n v="0"/>
    <n v="0"/>
    <n v="0"/>
    <n v="0"/>
    <n v="0"/>
    <n v="0"/>
    <n v="3892.87"/>
    <n v="0"/>
  </r>
  <r>
    <x v="5"/>
    <x v="1"/>
    <x v="0"/>
    <s v="2345200"/>
    <n v="700022"/>
    <s v="Salaries-Physician-Other"/>
    <s v="FPC-Gravelly Lake-Fam Med"/>
    <x v="0"/>
    <n v="2000"/>
    <n v="0"/>
    <n v="0"/>
    <n v="0"/>
    <n v="2553.12"/>
    <n v="-134.72"/>
    <n v="-500"/>
    <n v="0"/>
    <n v="0"/>
    <n v="0"/>
    <n v="0"/>
    <n v="0"/>
    <n v="0"/>
    <n v="1918.4"/>
    <n v="0"/>
  </r>
  <r>
    <x v="5"/>
    <x v="1"/>
    <x v="0"/>
    <s v="2345200"/>
    <n v="700024"/>
    <s v="Salaries-Advanced Practice Clinician-Productive"/>
    <s v="FPC-Gravelly Lake-Fam Med"/>
    <x v="0"/>
    <m/>
    <n v="45925.04"/>
    <n v="49314.28"/>
    <n v="40601.480000000003"/>
    <n v="35164.44"/>
    <n v="25850.55"/>
    <n v="27568.89"/>
    <n v="17497.189999999999"/>
    <n v="5090.91"/>
    <n v="2716.76"/>
    <n v="0"/>
    <n v="0"/>
    <n v="0"/>
    <n v="249729.54"/>
    <n v="0"/>
  </r>
  <r>
    <x v="5"/>
    <x v="1"/>
    <x v="0"/>
    <s v="2345200"/>
    <n v="700024"/>
    <s v="Salaries-Advanced Practice Clinician-Other"/>
    <s v="FPC-Gravelly Lake-Fam Med"/>
    <x v="0"/>
    <n v="2000"/>
    <n v="5722.5"/>
    <n v="3381.33"/>
    <n v="26437.5"/>
    <n v="11550"/>
    <n v="16898.66"/>
    <n v="9642"/>
    <n v="4903.03"/>
    <n v="-1171.7"/>
    <n v="2203.23"/>
    <n v="0"/>
    <n v="0"/>
    <n v="0"/>
    <n v="79566.55"/>
    <n v="0"/>
  </r>
  <r>
    <x v="5"/>
    <x v="1"/>
    <x v="0"/>
    <s v="2345200"/>
    <n v="700024"/>
    <s v="Salaries-Advanced Practice Clinician-Provider Incentive"/>
    <s v="FPC-Gravelly Lake-Fam Med"/>
    <x v="0"/>
    <n v="4003"/>
    <n v="0"/>
    <n v="6134.36"/>
    <n v="0"/>
    <n v="0"/>
    <n v="7457.46"/>
    <n v="0"/>
    <n v="0"/>
    <n v="2707.45"/>
    <n v="0"/>
    <n v="0"/>
    <n v="0"/>
    <n v="0"/>
    <n v="16299.27"/>
    <n v="0"/>
  </r>
  <r>
    <x v="5"/>
    <x v="1"/>
    <x v="0"/>
    <s v="2345200"/>
    <n v="700026"/>
    <s v="Salaries-RN-Productive"/>
    <s v="FPC-Gravelly Lake-Fam Med"/>
    <x v="0"/>
    <m/>
    <n v="6705.63"/>
    <n v="805.77"/>
    <n v="1029.93"/>
    <n v="-191.46"/>
    <n v="821"/>
    <n v="373.35"/>
    <n v="-33.94"/>
    <n v="569.35"/>
    <n v="-162.66999999999999"/>
    <n v="2576.85"/>
    <n v="6762.41"/>
    <n v="7964.8"/>
    <n v="27221.02"/>
    <n v="-1202.3900000000003"/>
  </r>
  <r>
    <x v="5"/>
    <x v="1"/>
    <x v="0"/>
    <s v="2345200"/>
    <n v="700026"/>
    <s v="Salaries-RN-OT"/>
    <s v="FPC-Gravelly Lake-Fam Med"/>
    <x v="0"/>
    <n v="1000"/>
    <n v="72.89"/>
    <n v="-5.4"/>
    <n v="0"/>
    <n v="0"/>
    <n v="0"/>
    <n v="0"/>
    <n v="0"/>
    <n v="0"/>
    <n v="0"/>
    <n v="0"/>
    <n v="0"/>
    <n v="0"/>
    <n v="67.489999999999995"/>
    <n v="0"/>
  </r>
  <r>
    <x v="5"/>
    <x v="1"/>
    <x v="0"/>
    <s v="2345200"/>
    <n v="700026"/>
    <s v="Salaries-RN-Other"/>
    <s v="FPC-Gravelly Lake-Fam Med"/>
    <x v="0"/>
    <n v="2000"/>
    <n v="40.200000000000003"/>
    <n v="-3.7"/>
    <n v="0"/>
    <n v="0"/>
    <n v="0"/>
    <n v="0"/>
    <n v="0"/>
    <n v="0"/>
    <n v="0"/>
    <n v="0"/>
    <n v="0"/>
    <n v="100.66"/>
    <n v="137.16"/>
    <n v="-100.66"/>
  </r>
  <r>
    <x v="5"/>
    <x v="1"/>
    <x v="0"/>
    <s v="2345200"/>
    <n v="700030"/>
    <s v="Salaries-LPN-Productive"/>
    <s v="FPC-Gravelly Lake-Fam Med"/>
    <x v="0"/>
    <m/>
    <n v="1070.83"/>
    <n v="3182.37"/>
    <n v="2183.6"/>
    <n v="4222.55"/>
    <n v="5859.54"/>
    <n v="2279.64"/>
    <n v="1615.82"/>
    <n v="409.81"/>
    <n v="465.83"/>
    <n v="316.39"/>
    <n v="441.45"/>
    <n v="233.81"/>
    <n v="22281.640000000003"/>
    <n v="207.64"/>
  </r>
  <r>
    <x v="5"/>
    <x v="1"/>
    <x v="0"/>
    <s v="2345200"/>
    <n v="700030"/>
    <s v="Salaries-LPN-OT"/>
    <s v="FPC-Gravelly Lake-Fam Med"/>
    <x v="0"/>
    <n v="1000"/>
    <n v="256.5"/>
    <n v="1635.1"/>
    <n v="6425.3"/>
    <n v="6876.37"/>
    <n v="5265.28"/>
    <n v="4098.6899999999996"/>
    <n v="2123.36"/>
    <n v="284.89999999999998"/>
    <n v="2671"/>
    <n v="718.66"/>
    <n v="4510.18"/>
    <n v="-2237.19"/>
    <n v="32628.149999999998"/>
    <n v="6747.3700000000008"/>
  </r>
  <r>
    <x v="5"/>
    <x v="1"/>
    <x v="0"/>
    <s v="2345200"/>
    <n v="700030"/>
    <s v="Salaries-LPN-Other"/>
    <s v="FPC-Gravelly Lake-Fam Med"/>
    <x v="0"/>
    <n v="2000"/>
    <n v="10.5"/>
    <n v="-1.75"/>
    <n v="185.67"/>
    <n v="-8.8699999999999992"/>
    <n v="47.63"/>
    <n v="38.270000000000003"/>
    <n v="16.37"/>
    <n v="0"/>
    <n v="7.51"/>
    <n v="0"/>
    <n v="6.26"/>
    <n v="0"/>
    <n v="301.58999999999997"/>
    <n v="6.26"/>
  </r>
  <r>
    <x v="5"/>
    <x v="1"/>
    <x v="0"/>
    <s v="2345200"/>
    <n v="700032"/>
    <s v="Salaries-Other Pat Care Providers-Productive"/>
    <s v="FPC-Gravelly Lake-Fam Med"/>
    <x v="0"/>
    <m/>
    <n v="682.7"/>
    <n v="1020.16"/>
    <n v="253.6"/>
    <n v="4149.1099999999997"/>
    <n v="3558.95"/>
    <n v="2393.63"/>
    <n v="3277.29"/>
    <n v="2758.77"/>
    <n v="2798.15"/>
    <n v="-570.1"/>
    <n v="208.32"/>
    <n v="0"/>
    <n v="20530.580000000005"/>
    <n v="208.32"/>
  </r>
  <r>
    <x v="5"/>
    <x v="1"/>
    <x v="0"/>
    <s v="2345200"/>
    <n v="700032"/>
    <s v="Salaries-Other Pat Care Providers-OT"/>
    <s v="FPC-Gravelly Lake-Fam Med"/>
    <x v="0"/>
    <n v="1000"/>
    <n v="135.33000000000001"/>
    <n v="919.38"/>
    <n v="-218.5"/>
    <n v="1038.76"/>
    <n v="1742.97"/>
    <n v="-189.79"/>
    <n v="351.36"/>
    <n v="14.4"/>
    <n v="364.28"/>
    <n v="-122.38"/>
    <n v="0"/>
    <n v="0"/>
    <n v="4035.8100000000004"/>
    <n v="0"/>
  </r>
  <r>
    <x v="5"/>
    <x v="1"/>
    <x v="0"/>
    <s v="2345200"/>
    <n v="700032"/>
    <s v="Salaries-Other Pat Care Providers-Other"/>
    <s v="FPC-Gravelly Lake-Fam Med"/>
    <x v="0"/>
    <n v="2000"/>
    <n v="0"/>
    <n v="43.99"/>
    <n v="-1.24"/>
    <n v="92"/>
    <n v="17.75"/>
    <n v="2.75"/>
    <n v="-0.25"/>
    <n v="0"/>
    <n v="0"/>
    <n v="8.51"/>
    <n v="10.52"/>
    <n v="0"/>
    <n v="174.03"/>
    <n v="10.52"/>
  </r>
  <r>
    <x v="5"/>
    <x v="1"/>
    <x v="0"/>
    <s v="2345200"/>
    <n v="700034"/>
    <s v="Salaries-Tech/Professional-Productive"/>
    <s v="FPC-Gravelly Lake-Fam Med"/>
    <x v="0"/>
    <m/>
    <n v="0"/>
    <n v="0"/>
    <n v="1915.72"/>
    <n v="1433.01"/>
    <n v="2494.8000000000002"/>
    <n v="3516.49"/>
    <n v="1335.74"/>
    <n v="655.86"/>
    <n v="-121.95"/>
    <n v="0"/>
    <n v="0"/>
    <n v="0"/>
    <n v="11229.67"/>
    <n v="0"/>
  </r>
  <r>
    <x v="5"/>
    <x v="1"/>
    <x v="0"/>
    <s v="2345200"/>
    <n v="700034"/>
    <s v="Salaries-Tech/Professional-OT"/>
    <s v="FPC-Gravelly Lake-Fam Med"/>
    <x v="0"/>
    <n v="1000"/>
    <n v="0"/>
    <n v="0"/>
    <n v="0"/>
    <n v="0"/>
    <n v="0"/>
    <n v="147.01"/>
    <n v="-13.36"/>
    <n v="0"/>
    <n v="0"/>
    <n v="0"/>
    <n v="0"/>
    <n v="0"/>
    <n v="133.64999999999998"/>
    <n v="0"/>
  </r>
  <r>
    <x v="5"/>
    <x v="1"/>
    <x v="0"/>
    <s v="2345200"/>
    <n v="700034"/>
    <s v="Salaries-Tech/Professional-Other"/>
    <s v="FPC-Gravelly Lake-Fam Med"/>
    <x v="0"/>
    <n v="2000"/>
    <n v="0"/>
    <n v="0"/>
    <n v="30"/>
    <n v="0"/>
    <n v="0"/>
    <n v="0"/>
    <n v="66.92"/>
    <n v="0"/>
    <n v="0"/>
    <n v="0"/>
    <n v="0"/>
    <n v="0"/>
    <n v="96.92"/>
    <n v="0"/>
  </r>
  <r>
    <x v="5"/>
    <x v="1"/>
    <x v="0"/>
    <s v="2345200"/>
    <n v="700038"/>
    <s v="Salaries-Service/Support-Productive"/>
    <s v="FPC-Gravelly Lake-Fam Med"/>
    <x v="0"/>
    <m/>
    <n v="0"/>
    <n v="0"/>
    <n v="0"/>
    <n v="0"/>
    <n v="0"/>
    <n v="0"/>
    <n v="0"/>
    <n v="0"/>
    <n v="0"/>
    <n v="281.66000000000003"/>
    <n v="-115.97"/>
    <n v="0"/>
    <n v="165.69000000000003"/>
    <n v="-115.97"/>
  </r>
  <r>
    <x v="5"/>
    <x v="1"/>
    <x v="0"/>
    <s v="2345200"/>
    <n v="700054"/>
    <s v="Salaries-Management-NonProd-Other"/>
    <s v="FPC-Gravelly Lake-Fam Med"/>
    <x v="0"/>
    <n v="2000"/>
    <n v="0"/>
    <n v="0"/>
    <n v="0"/>
    <n v="0"/>
    <n v="0"/>
    <n v="3372.27"/>
    <n v="-3372.27"/>
    <n v="0"/>
    <n v="0"/>
    <n v="0"/>
    <n v="0"/>
    <n v="0"/>
    <n v="0"/>
    <n v="0"/>
  </r>
  <r>
    <x v="5"/>
    <x v="1"/>
    <x v="0"/>
    <s v="2345200"/>
    <n v="700064"/>
    <s v="Salaries-Advanced Practice Clinician-Non-Productive"/>
    <s v="FPC-Gravelly Lake-Fam Med"/>
    <x v="0"/>
    <m/>
    <n v="0"/>
    <n v="0"/>
    <n v="0"/>
    <n v="11190.88"/>
    <n v="973.12"/>
    <n v="3381.54"/>
    <n v="2558.4"/>
    <n v="-97.45"/>
    <n v="0"/>
    <n v="0"/>
    <n v="0"/>
    <n v="0"/>
    <n v="18006.490000000002"/>
    <n v="0"/>
  </r>
  <r>
    <x v="5"/>
    <x v="1"/>
    <x v="0"/>
    <s v="2345200"/>
    <n v="700064"/>
    <s v="Salaries-Advanced Practice Clinician-Non-Prod-Other"/>
    <s v="FPC-Gravelly Lake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45200"/>
    <n v="700066"/>
    <s v="Salaries-RN-Non-productive"/>
    <s v="FPC-Gravelly Lake-Fam Med"/>
    <x v="0"/>
    <m/>
    <n v="71.84"/>
    <n v="0"/>
    <n v="0"/>
    <n v="0"/>
    <n v="0"/>
    <n v="0"/>
    <n v="0"/>
    <n v="0"/>
    <n v="0"/>
    <n v="0"/>
    <n v="0"/>
    <n v="945.35"/>
    <n v="1017.19"/>
    <n v="-945.35"/>
  </r>
  <r>
    <x v="5"/>
    <x v="1"/>
    <x v="0"/>
    <s v="2345200"/>
    <n v="700066"/>
    <s v="Salaries-RN-NonProd-Other"/>
    <s v="FPC-Gravelly Lake-Fam Med"/>
    <x v="0"/>
    <n v="2000"/>
    <n v="0"/>
    <n v="0"/>
    <n v="0"/>
    <n v="0"/>
    <n v="0"/>
    <n v="0"/>
    <n v="0"/>
    <n v="0"/>
    <n v="0"/>
    <n v="0"/>
    <n v="0"/>
    <n v="16.3"/>
    <n v="16.3"/>
    <n v="-16.3"/>
  </r>
  <r>
    <x v="5"/>
    <x v="1"/>
    <x v="0"/>
    <s v="2345200"/>
    <n v="700072"/>
    <s v="Salaries-Other Pat Care Providers-Non-productive"/>
    <s v="FPC-Gravelly Lake-Fam Med"/>
    <x v="0"/>
    <m/>
    <n v="0"/>
    <n v="0"/>
    <n v="0"/>
    <n v="0"/>
    <n v="0"/>
    <n v="134.19"/>
    <n v="0"/>
    <n v="107.5"/>
    <n v="314.85000000000002"/>
    <n v="0"/>
    <n v="0"/>
    <n v="0"/>
    <n v="556.54"/>
    <n v="0"/>
  </r>
  <r>
    <x v="5"/>
    <x v="1"/>
    <x v="0"/>
    <s v="2345200"/>
    <n v="700072"/>
    <s v="Salaries-Other Pat Care Providers-NonProd-Other"/>
    <s v="FPC-Gravelly Lake-Fam Med"/>
    <x v="0"/>
    <n v="2000"/>
    <n v="0"/>
    <n v="0"/>
    <n v="0"/>
    <n v="0"/>
    <n v="19.809999999999999"/>
    <n v="0"/>
    <n v="0"/>
    <n v="0"/>
    <n v="0"/>
    <n v="0"/>
    <n v="9.92"/>
    <n v="0"/>
    <n v="29.729999999999997"/>
    <n v="9.92"/>
  </r>
  <r>
    <x v="5"/>
    <x v="1"/>
    <x v="0"/>
    <s v="2345200"/>
    <n v="700084"/>
    <s v="Accrued PTO"/>
    <s v="FPC-Gravelly Lake-Fam Med"/>
    <x v="0"/>
    <m/>
    <n v="497.9"/>
    <n v="85.13"/>
    <n v="-2338.39"/>
    <n v="0"/>
    <n v="0"/>
    <n v="0"/>
    <n v="0"/>
    <n v="0"/>
    <n v="0"/>
    <n v="284.81"/>
    <n v="581.02"/>
    <n v="-84.63"/>
    <n v="-974.16"/>
    <n v="665.65"/>
  </r>
  <r>
    <x v="10"/>
    <x v="1"/>
    <x v="0"/>
    <s v="2345200"/>
    <n v="710060"/>
    <s v="Contract Labor-Other"/>
    <s v="FPC-Gravelly Lake-Fam Med"/>
    <x v="0"/>
    <m/>
    <n v="0"/>
    <n v="0"/>
    <n v="0"/>
    <n v="0"/>
    <n v="0"/>
    <n v="0"/>
    <n v="0"/>
    <n v="0"/>
    <n v="0"/>
    <n v="0"/>
    <n v="0"/>
    <n v="0"/>
    <n v="0"/>
    <n v="0"/>
  </r>
  <r>
    <x v="10"/>
    <x v="1"/>
    <x v="0"/>
    <s v="2345200"/>
    <n v="710060"/>
    <s v="Contract Labor-Overtime"/>
    <s v="FPC-Gravelly Lake-Fam Med"/>
    <x v="0"/>
    <n v="51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345200"/>
    <n v="713010"/>
    <s v="Benefits-FICA/Medicare"/>
    <s v="FPC-Gravelly Lake-Fam Med"/>
    <x v="0"/>
    <m/>
    <n v="4582.63"/>
    <n v="5067.87"/>
    <n v="5858.66"/>
    <n v="4665.92"/>
    <n v="2255.1799999999998"/>
    <n v="3454.95"/>
    <n v="2805.89"/>
    <n v="863.45"/>
    <n v="855.08"/>
    <n v="242.83"/>
    <n v="859.84"/>
    <n v="505.1"/>
    <n v="32017.400000000005"/>
    <n v="354.74"/>
  </r>
  <r>
    <x v="6"/>
    <x v="1"/>
    <x v="0"/>
    <s v="2345200"/>
    <n v="713090"/>
    <s v="Benefits-Allocated Amounts"/>
    <s v="FPC-Gravelly Lake-Fam Med"/>
    <x v="0"/>
    <m/>
    <n v="0"/>
    <n v="0"/>
    <n v="0"/>
    <n v="0"/>
    <n v="0"/>
    <n v="0"/>
    <n v="0"/>
    <n v="0"/>
    <n v="25660.560000000001"/>
    <n v="533.11"/>
    <n v="950.51"/>
    <n v="383.82"/>
    <n v="27528"/>
    <n v="566.69000000000005"/>
  </r>
  <r>
    <x v="6"/>
    <x v="1"/>
    <x v="0"/>
    <s v="2345200"/>
    <n v="713092"/>
    <s v="Allocated Benefits-Physician"/>
    <s v="FPC-Gravelly Lake-Fam Med"/>
    <x v="0"/>
    <m/>
    <n v="1532.22"/>
    <n v="1390.12"/>
    <n v="1658.06"/>
    <n v="1868.22"/>
    <n v="1809.8"/>
    <n v="1437.05"/>
    <n v="1223.8699999999999"/>
    <n v="663.83"/>
    <n v="-11279.01"/>
    <n v="6.32"/>
    <n v="11.27"/>
    <n v="4.55"/>
    <n v="326.29999999999984"/>
    <n v="6.72"/>
  </r>
  <r>
    <x v="6"/>
    <x v="1"/>
    <x v="0"/>
    <s v="2345200"/>
    <n v="713093"/>
    <s v="Allocated Benefits-Advanced Practice Clinician"/>
    <s v="FPC-Gravelly Lake-Fam Med"/>
    <x v="0"/>
    <m/>
    <n v="6308.81"/>
    <n v="5723.69"/>
    <n v="6826.91"/>
    <n v="7692.22"/>
    <n v="7451.73"/>
    <n v="5916.92"/>
    <n v="5039.18"/>
    <n v="2733.24"/>
    <n v="-11357.54"/>
    <n v="754.88"/>
    <n v="1345.92"/>
    <n v="543.49"/>
    <n v="38979.44999999999"/>
    <n v="802.43000000000006"/>
  </r>
  <r>
    <x v="6"/>
    <x v="1"/>
    <x v="0"/>
    <s v="2345200"/>
    <n v="713096"/>
    <s v="Employee Recognition"/>
    <s v="FPC-Gravelly Lake-Fam Med"/>
    <x v="0"/>
    <n v="1017"/>
    <n v="0"/>
    <n v="0"/>
    <n v="0"/>
    <n v="70"/>
    <n v="90"/>
    <n v="0"/>
    <n v="0"/>
    <n v="0"/>
    <n v="0"/>
    <n v="0"/>
    <n v="0"/>
    <n v="0"/>
    <n v="160"/>
    <n v="0"/>
  </r>
  <r>
    <x v="7"/>
    <x v="1"/>
    <x v="0"/>
    <s v="2345200"/>
    <n v="718040"/>
    <s v="Contract Svcs-Laboratory"/>
    <s v="FPC-Gravelly Lake-Fam Med"/>
    <x v="0"/>
    <m/>
    <n v="51.2"/>
    <n v="0"/>
    <n v="0"/>
    <n v="0"/>
    <n v="0"/>
    <n v="0"/>
    <n v="0"/>
    <n v="0"/>
    <n v="63"/>
    <n v="0"/>
    <n v="0"/>
    <n v="0"/>
    <n v="114.2"/>
    <n v="0"/>
  </r>
  <r>
    <x v="7"/>
    <x v="1"/>
    <x v="0"/>
    <s v="2345200"/>
    <n v="718050"/>
    <s v="Cleaning Services"/>
    <s v="FPC-Gravelly Lake-Fam Med"/>
    <x v="0"/>
    <n v="1011"/>
    <n v="2498.94"/>
    <n v="2900.93"/>
    <n v="994.63"/>
    <n v="0"/>
    <n v="0"/>
    <n v="0"/>
    <n v="0"/>
    <n v="0"/>
    <n v="0"/>
    <n v="0"/>
    <n v="0"/>
    <n v="0"/>
    <n v="6394.5"/>
    <n v="0"/>
  </r>
  <r>
    <x v="7"/>
    <x v="1"/>
    <x v="0"/>
    <s v="2345200"/>
    <n v="718050"/>
    <s v="Miscellaneous Purchased Svcs"/>
    <s v="FPC-Gravelly Lake-Fam Med"/>
    <x v="0"/>
    <n v="1020"/>
    <n v="152.44999999999999"/>
    <n v="346.07"/>
    <n v="64.400000000000006"/>
    <n v="64.400000000000006"/>
    <n v="0"/>
    <n v="0"/>
    <n v="0"/>
    <n v="0"/>
    <n v="0"/>
    <n v="0"/>
    <n v="0"/>
    <n v="0"/>
    <n v="627.31999999999994"/>
    <n v="0"/>
  </r>
  <r>
    <x v="7"/>
    <x v="1"/>
    <x v="0"/>
    <s v="2345200"/>
    <n v="718050"/>
    <s v="Translation Services"/>
    <s v="FPC-Gravelly Lake-Fam Med"/>
    <x v="0"/>
    <n v="1025"/>
    <n v="128"/>
    <n v="248"/>
    <n v="0"/>
    <n v="32"/>
    <n v="0"/>
    <n v="0"/>
    <n v="0"/>
    <n v="0"/>
    <n v="0"/>
    <n v="0"/>
    <n v="0"/>
    <n v="0"/>
    <n v="408"/>
    <n v="0"/>
  </r>
  <r>
    <x v="7"/>
    <x v="1"/>
    <x v="0"/>
    <s v="2345200"/>
    <n v="718050"/>
    <s v="Contract Management--Linen"/>
    <s v="FPC-Gravelly Lake-Fam Med"/>
    <x v="0"/>
    <n v="1026"/>
    <n v="391.34"/>
    <n v="402.95"/>
    <n v="590.88"/>
    <n v="0"/>
    <n v="0"/>
    <n v="0"/>
    <n v="0"/>
    <n v="0"/>
    <n v="0"/>
    <n v="0"/>
    <n v="0"/>
    <n v="0"/>
    <n v="1385.17"/>
    <n v="0"/>
  </r>
  <r>
    <x v="7"/>
    <x v="1"/>
    <x v="0"/>
    <s v="2345200"/>
    <n v="718050"/>
    <s v="Purchased Srvcs--Medical Waste"/>
    <s v="FPC-Gravelly Lake-Fam Med"/>
    <x v="0"/>
    <n v="1027"/>
    <n v="300.64999999999998"/>
    <n v="0"/>
    <n v="623.33000000000004"/>
    <n v="0"/>
    <n v="0"/>
    <n v="0"/>
    <n v="0"/>
    <n v="0"/>
    <n v="0"/>
    <n v="0"/>
    <n v="0"/>
    <n v="0"/>
    <n v="923.98"/>
    <n v="0"/>
  </r>
  <r>
    <x v="11"/>
    <x v="1"/>
    <x v="0"/>
    <s v="2345200"/>
    <n v="721410"/>
    <s v="Supplies-Medical - Nonbillable"/>
    <s v="FPC-Gravelly Lake-Fam Med"/>
    <x v="0"/>
    <m/>
    <n v="3514.33"/>
    <n v="2250.81"/>
    <n v="2701.25"/>
    <n v="739.46"/>
    <n v="0"/>
    <n v="0"/>
    <n v="0"/>
    <n v="0"/>
    <n v="0"/>
    <n v="0"/>
    <n v="0"/>
    <n v="-16.489999999999998"/>
    <n v="9189.3599999999988"/>
    <n v="16.489999999999998"/>
  </r>
  <r>
    <x v="11"/>
    <x v="1"/>
    <x v="0"/>
    <s v="2345200"/>
    <n v="721830"/>
    <s v="Supplies-Office"/>
    <s v="FPC-Gravelly Lake-Fam Med"/>
    <x v="0"/>
    <m/>
    <n v="367.2"/>
    <n v="1465.3"/>
    <n v="0"/>
    <n v="-63.01"/>
    <n v="0"/>
    <n v="0"/>
    <n v="0"/>
    <n v="0"/>
    <n v="0"/>
    <n v="0"/>
    <n v="0"/>
    <n v="-128.44"/>
    <n v="1641.05"/>
    <n v="128.44"/>
  </r>
  <r>
    <x v="11"/>
    <x v="1"/>
    <x v="0"/>
    <s v="2345200"/>
    <n v="721835"/>
    <s v="Supplies-Forms"/>
    <s v="FPC-Gravelly Lake-Fam Med"/>
    <x v="0"/>
    <m/>
    <n v="0"/>
    <n v="0"/>
    <n v="0"/>
    <n v="0"/>
    <n v="73.900000000000006"/>
    <n v="0"/>
    <n v="0"/>
    <n v="0"/>
    <n v="0"/>
    <n v="0"/>
    <n v="0"/>
    <n v="0"/>
    <n v="73.900000000000006"/>
    <n v="0"/>
  </r>
  <r>
    <x v="11"/>
    <x v="1"/>
    <x v="0"/>
    <s v="2345200"/>
    <n v="722000"/>
    <s v="Supplies-Freight Expense"/>
    <s v="FPC-Gravelly Lake-Fam Med"/>
    <x v="0"/>
    <m/>
    <n v="0"/>
    <n v="0"/>
    <n v="0"/>
    <n v="112.57"/>
    <n v="0"/>
    <n v="0"/>
    <n v="0"/>
    <n v="0"/>
    <n v="0"/>
    <n v="0"/>
    <n v="0"/>
    <n v="144.93"/>
    <n v="257.5"/>
    <n v="-144.93"/>
  </r>
  <r>
    <x v="16"/>
    <x v="1"/>
    <x v="0"/>
    <s v="2345200"/>
    <n v="732030"/>
    <s v="Repairs---Other"/>
    <s v="FPC-Gravelly Lake-Fam Med"/>
    <x v="0"/>
    <m/>
    <n v="90.9"/>
    <n v="95.89"/>
    <n v="0"/>
    <n v="450.69"/>
    <n v="1072.2"/>
    <n v="0"/>
    <n v="0"/>
    <n v="29.66"/>
    <n v="0"/>
    <n v="0"/>
    <n v="0"/>
    <n v="0"/>
    <n v="1739.3400000000001"/>
    <n v="0"/>
  </r>
  <r>
    <x v="0"/>
    <x v="1"/>
    <x v="0"/>
    <s v="2345200"/>
    <n v="740023"/>
    <s v="Education-Advanced Practice Clinician"/>
    <s v="FPC-Gravelly Lake-Fam Med"/>
    <x v="0"/>
    <m/>
    <n v="0"/>
    <n v="3566.35"/>
    <n v="0"/>
    <n v="0"/>
    <n v="120"/>
    <n v="0"/>
    <n v="0"/>
    <n v="0"/>
    <n v="0"/>
    <n v="0"/>
    <n v="0"/>
    <n v="0"/>
    <n v="3686.35"/>
    <n v="0"/>
  </r>
  <r>
    <x v="0"/>
    <x v="1"/>
    <x v="0"/>
    <s v="2345200"/>
    <n v="740023"/>
    <s v="Books-Advanced Practice Clinician"/>
    <s v="FPC-Gravelly Lake-Fam Med"/>
    <x v="0"/>
    <n v="2000"/>
    <n v="2500"/>
    <n v="0"/>
    <n v="0"/>
    <n v="0"/>
    <n v="0"/>
    <n v="0"/>
    <n v="0"/>
    <n v="0"/>
    <n v="0"/>
    <n v="0"/>
    <n v="0"/>
    <n v="0"/>
    <n v="2500"/>
    <n v="0"/>
  </r>
  <r>
    <x v="0"/>
    <x v="1"/>
    <x v="0"/>
    <s v="2345200"/>
    <n v="749510"/>
    <s v="Miscellaneous Expenses"/>
    <s v="FPC-Gravelly Lake-Fam Med"/>
    <x v="0"/>
    <m/>
    <n v="-2024.32"/>
    <n v="0"/>
    <n v="0"/>
    <n v="0"/>
    <n v="0"/>
    <n v="0"/>
    <n v="0"/>
    <n v="0"/>
    <n v="0"/>
    <n v="0"/>
    <n v="0"/>
    <n v="23.2"/>
    <n v="-2001.12"/>
    <n v="-23.2"/>
  </r>
  <r>
    <x v="0"/>
    <x v="1"/>
    <x v="0"/>
    <s v="2345200"/>
    <n v="749513"/>
    <s v="Licenses-Advanced Practice Clinician"/>
    <s v="FPC-Gravelly Lake-Fam Med"/>
    <x v="0"/>
    <n v="2000"/>
    <n v="0"/>
    <n v="0"/>
    <n v="135"/>
    <n v="0"/>
    <n v="0"/>
    <n v="0"/>
    <n v="0"/>
    <n v="0"/>
    <n v="0"/>
    <n v="0"/>
    <n v="0"/>
    <n v="0"/>
    <n v="135"/>
    <n v="0"/>
  </r>
  <r>
    <x v="0"/>
    <x v="1"/>
    <x v="0"/>
    <s v="2345200"/>
    <n v="749530"/>
    <s v="Mileage"/>
    <s v="FPC-Gravelly Lake-Fam Med"/>
    <x v="0"/>
    <n v="1001"/>
    <n v="0"/>
    <n v="0"/>
    <n v="47.96"/>
    <n v="167.33"/>
    <n v="35.97"/>
    <n v="700.87"/>
    <n v="234.87"/>
    <n v="25.52"/>
    <n v="38.28"/>
    <n v="38.28"/>
    <n v="12.76"/>
    <n v="51.04"/>
    <n v="1352.8799999999999"/>
    <n v="-38.28"/>
  </r>
  <r>
    <x v="0"/>
    <x v="1"/>
    <x v="0"/>
    <s v="2345200"/>
    <n v="749533"/>
    <s v="Travel-Advanced Practice Clinician"/>
    <s v="FPC-Gravelly Lake-Fam Med"/>
    <x v="0"/>
    <m/>
    <n v="0"/>
    <n v="948.54"/>
    <n v="0"/>
    <n v="2050.46"/>
    <n v="0"/>
    <n v="0"/>
    <n v="0"/>
    <n v="0"/>
    <n v="0"/>
    <n v="0"/>
    <n v="0"/>
    <n v="0"/>
    <n v="2999"/>
    <n v="0"/>
  </r>
  <r>
    <x v="0"/>
    <x v="1"/>
    <x v="0"/>
    <s v="2345200"/>
    <n v="749535"/>
    <s v="Meetings"/>
    <s v="FPC-Gravelly Lake-Fam Med"/>
    <x v="0"/>
    <m/>
    <n v="0"/>
    <n v="0"/>
    <n v="181.74"/>
    <n v="0"/>
    <n v="0"/>
    <n v="0"/>
    <n v="0"/>
    <n v="0"/>
    <n v="0"/>
    <n v="0"/>
    <n v="0"/>
    <n v="0"/>
    <n v="181.74"/>
    <n v="0"/>
  </r>
  <r>
    <x v="2"/>
    <x v="1"/>
    <x v="0"/>
    <s v="2346200"/>
    <n v="450029"/>
    <s v="Admin Adjust-MD Other-Self Pay"/>
    <s v="Federal Way Med&amp;Spec-Radio"/>
    <x v="0"/>
    <n v="1600"/>
    <n v="1.17"/>
    <n v="0"/>
    <n v="0"/>
    <n v="0"/>
    <n v="0"/>
    <n v="0"/>
    <n v="0"/>
    <n v="0"/>
    <n v="0"/>
    <n v="0"/>
    <n v="0"/>
    <n v="0"/>
    <n v="1.17"/>
    <n v="0"/>
  </r>
  <r>
    <x v="4"/>
    <x v="1"/>
    <x v="0"/>
    <s v="2346200"/>
    <n v="490010"/>
    <s v="Provision for Bad Debts"/>
    <s v="Federal Way Med&amp;Spec-Radio"/>
    <x v="0"/>
    <m/>
    <n v="-3.12"/>
    <n v="0"/>
    <n v="0"/>
    <n v="0"/>
    <n v="0"/>
    <n v="0"/>
    <n v="-15"/>
    <n v="0"/>
    <n v="0"/>
    <n v="-50.4"/>
    <n v="0"/>
    <n v="0"/>
    <n v="-68.52"/>
    <n v="0"/>
  </r>
  <r>
    <x v="13"/>
    <x v="1"/>
    <x v="0"/>
    <s v="2346200"/>
    <n v="735070"/>
    <s v="Depreciation-Movable Equipment"/>
    <s v="Federal Way Med&amp;Spec-Radio"/>
    <x v="0"/>
    <m/>
    <n v="919.53"/>
    <n v="919.53"/>
    <n v="919.53"/>
    <n v="919.53"/>
    <n v="919.53"/>
    <n v="919.52"/>
    <n v="919.53"/>
    <n v="919.52"/>
    <n v="919.53"/>
    <n v="919.52"/>
    <n v="919.53"/>
    <n v="919.52"/>
    <n v="11034.320000000002"/>
    <n v="9.9999999999909051E-3"/>
  </r>
  <r>
    <x v="1"/>
    <x v="1"/>
    <x v="0"/>
    <s v="2347200"/>
    <n v="400029"/>
    <s v="MD Practice Other Rev--Medicare"/>
    <s v="Federal Way Med&amp;Spec-Int Med"/>
    <x v="0"/>
    <n v="1100"/>
    <n v="-10"/>
    <n v="-521"/>
    <n v="-592"/>
    <n v="-575"/>
    <n v="-524"/>
    <n v="-20"/>
    <n v="0"/>
    <n v="-442"/>
    <n v="-1415"/>
    <n v="-70"/>
    <n v="-162"/>
    <n v="-392"/>
    <n v="-4723"/>
    <n v="230"/>
  </r>
  <r>
    <x v="1"/>
    <x v="1"/>
    <x v="0"/>
    <s v="2347200"/>
    <n v="400029"/>
    <s v="MD Practice Other Rev--Medicaid"/>
    <s v="Federal Way Med&amp;Spec-Int Med"/>
    <x v="0"/>
    <n v="1200"/>
    <n v="0"/>
    <n v="-257"/>
    <n v="-68"/>
    <n v="-290"/>
    <n v="-334"/>
    <n v="-64"/>
    <n v="-24"/>
    <n v="-372"/>
    <n v="-645"/>
    <n v="-105"/>
    <n v="-120"/>
    <n v="-487"/>
    <n v="-2766"/>
    <n v="367"/>
  </r>
  <r>
    <x v="1"/>
    <x v="1"/>
    <x v="0"/>
    <s v="2347200"/>
    <n v="400029"/>
    <s v="MD Practice Other Rev--Comm Insurance"/>
    <s v="Federal Way Med&amp;Spec-Int Med"/>
    <x v="0"/>
    <n v="1300"/>
    <n v="0"/>
    <n v="0"/>
    <n v="0"/>
    <n v="-125"/>
    <n v="0"/>
    <n v="0"/>
    <n v="0"/>
    <n v="0"/>
    <n v="-260"/>
    <n v="-55"/>
    <n v="-64"/>
    <n v="0"/>
    <n v="-504"/>
    <n v="-64"/>
  </r>
  <r>
    <x v="1"/>
    <x v="1"/>
    <x v="0"/>
    <s v="2347200"/>
    <n v="400029"/>
    <s v="MD Practice Other Rev--BCBS Comm"/>
    <s v="Federal Way Med&amp;Spec-Int Med"/>
    <x v="0"/>
    <n v="1301"/>
    <n v="0"/>
    <n v="-213"/>
    <n v="-116"/>
    <n v="-87"/>
    <n v="-261"/>
    <n v="0"/>
    <n v="-10"/>
    <n v="-95"/>
    <n v="-283"/>
    <n v="0"/>
    <n v="-129"/>
    <n v="-54"/>
    <n v="-1248"/>
    <n v="-75"/>
  </r>
  <r>
    <x v="1"/>
    <x v="1"/>
    <x v="0"/>
    <s v="2347200"/>
    <n v="400029"/>
    <s v="MD Practice Other Rev--Managed Care"/>
    <s v="Federal Way Med&amp;Spec-Int Med"/>
    <x v="0"/>
    <n v="1400"/>
    <n v="0"/>
    <n v="-353"/>
    <n v="-186"/>
    <n v="-140"/>
    <n v="-578"/>
    <n v="-87"/>
    <n v="-20"/>
    <n v="-266"/>
    <n v="-1117"/>
    <n v="-102"/>
    <n v="-124"/>
    <n v="-489"/>
    <n v="-3462"/>
    <n v="365"/>
  </r>
  <r>
    <x v="1"/>
    <x v="1"/>
    <x v="0"/>
    <s v="2347200"/>
    <n v="400029"/>
    <s v="MD Practice Other Rev--Self Pay"/>
    <s v="Federal Way Med&amp;Spec-Int Med"/>
    <x v="0"/>
    <n v="1500"/>
    <n v="0"/>
    <n v="0"/>
    <n v="-55"/>
    <n v="0"/>
    <n v="0"/>
    <n v="0"/>
    <n v="0"/>
    <n v="0"/>
    <n v="-68"/>
    <n v="0"/>
    <n v="0"/>
    <n v="0"/>
    <n v="-123"/>
    <n v="0"/>
  </r>
  <r>
    <x v="1"/>
    <x v="1"/>
    <x v="0"/>
    <s v="2347200"/>
    <n v="400029"/>
    <s v="MD Practice Other Rev--Other"/>
    <s v="Federal Way Med&amp;Spec-Int Med"/>
    <x v="0"/>
    <n v="1700"/>
    <n v="0"/>
    <n v="0"/>
    <n v="0"/>
    <n v="0"/>
    <n v="0"/>
    <n v="0"/>
    <n v="-24"/>
    <n v="0"/>
    <n v="-90"/>
    <n v="-56"/>
    <n v="0"/>
    <n v="-64"/>
    <n v="-234"/>
    <n v="64"/>
  </r>
  <r>
    <x v="1"/>
    <x v="1"/>
    <x v="0"/>
    <s v="2347200"/>
    <n v="400040"/>
    <s v="Physician Svcs Rev--Medicare"/>
    <s v="Federal Way Med&amp;Spec-Int Med"/>
    <x v="0"/>
    <n v="1100"/>
    <n v="-47614"/>
    <n v="-66204"/>
    <n v="-65757"/>
    <n v="-83966"/>
    <n v="-63065"/>
    <n v="-65804"/>
    <n v="-63230"/>
    <n v="-50484"/>
    <n v="-73842"/>
    <n v="-63140"/>
    <n v="-63207"/>
    <n v="-54849"/>
    <n v="-761162"/>
    <n v="-8358"/>
  </r>
  <r>
    <x v="1"/>
    <x v="1"/>
    <x v="0"/>
    <s v="2347200"/>
    <n v="400040"/>
    <s v="Physician Svcs Rev--Medicaid"/>
    <s v="Federal Way Med&amp;Spec-Int Med"/>
    <x v="0"/>
    <n v="1200"/>
    <n v="-25066"/>
    <n v="-28890"/>
    <n v="-26692"/>
    <n v="-35295"/>
    <n v="-27706"/>
    <n v="-27495.19"/>
    <n v="-28647.13"/>
    <n v="-25272"/>
    <n v="-25370"/>
    <n v="-23764"/>
    <n v="-25076"/>
    <n v="-17348"/>
    <n v="-316621.32"/>
    <n v="-7728"/>
  </r>
  <r>
    <x v="1"/>
    <x v="1"/>
    <x v="0"/>
    <s v="2347200"/>
    <n v="400040"/>
    <s v="Physician Svcs Rev--Comm Insurance"/>
    <s v="Federal Way Med&amp;Spec-Int Med"/>
    <x v="0"/>
    <n v="1300"/>
    <n v="-3291"/>
    <n v="-4569"/>
    <n v="-3728"/>
    <n v="-5985"/>
    <n v="-4548"/>
    <n v="-3573"/>
    <n v="-4346"/>
    <n v="-4712"/>
    <n v="-3068"/>
    <n v="-3047"/>
    <n v="-6420"/>
    <n v="-3883"/>
    <n v="-51170"/>
    <n v="-2537"/>
  </r>
  <r>
    <x v="1"/>
    <x v="1"/>
    <x v="0"/>
    <s v="2347200"/>
    <n v="400040"/>
    <s v="Physician Svcs Rev--BCBS Comm"/>
    <s v="Federal Way Med&amp;Spec-Int Med"/>
    <x v="0"/>
    <n v="1301"/>
    <n v="-1148"/>
    <n v="-13265"/>
    <n v="-11089"/>
    <n v="-15455"/>
    <n v="-15302"/>
    <n v="-15344"/>
    <n v="-14956"/>
    <n v="-12120"/>
    <n v="-12517"/>
    <n v="-9329"/>
    <n v="-11367"/>
    <n v="-7336"/>
    <n v="-139228"/>
    <n v="-4031"/>
  </r>
  <r>
    <x v="1"/>
    <x v="1"/>
    <x v="0"/>
    <s v="2347200"/>
    <n v="400040"/>
    <s v="Physician Svcs Rev--Managed Care"/>
    <s v="Federal Way Med&amp;Spec-Int Med"/>
    <x v="0"/>
    <n v="1400"/>
    <n v="-27466"/>
    <n v="-35026"/>
    <n v="-40714"/>
    <n v="-54000"/>
    <n v="-47757"/>
    <n v="-39551"/>
    <n v="-37902"/>
    <n v="-39666.19"/>
    <n v="-41868"/>
    <n v="-41317"/>
    <n v="-47812"/>
    <n v="-33083"/>
    <n v="-486162.19"/>
    <n v="-14729"/>
  </r>
  <r>
    <x v="1"/>
    <x v="1"/>
    <x v="0"/>
    <s v="2347200"/>
    <n v="400040"/>
    <s v="Physician Svcs Rev--Self Pay"/>
    <s v="Federal Way Med&amp;Spec-Int Med"/>
    <x v="0"/>
    <n v="1500"/>
    <n v="-3301"/>
    <n v="-3160"/>
    <n v="-2429"/>
    <n v="-2556"/>
    <n v="-2270"/>
    <n v="-1800"/>
    <n v="-2759"/>
    <n v="-1400"/>
    <n v="-1295"/>
    <n v="-1790"/>
    <n v="-2295"/>
    <n v="-2544"/>
    <n v="-27599"/>
    <n v="249"/>
  </r>
  <r>
    <x v="1"/>
    <x v="1"/>
    <x v="0"/>
    <s v="2347200"/>
    <n v="400040"/>
    <s v="Physician Svcs Rev--Other"/>
    <s v="Federal Way Med&amp;Spec-Int Med"/>
    <x v="0"/>
    <n v="1700"/>
    <n v="-1837"/>
    <n v="-2011"/>
    <n v="-2740"/>
    <n v="-3525"/>
    <n v="-2846"/>
    <n v="-3656"/>
    <n v="-3577"/>
    <n v="-3308"/>
    <n v="-3283"/>
    <n v="-3005"/>
    <n v="-2531"/>
    <n v="-2424"/>
    <n v="-34743"/>
    <n v="-107"/>
  </r>
  <r>
    <x v="2"/>
    <x v="1"/>
    <x v="0"/>
    <s v="2347200"/>
    <n v="450029"/>
    <s v="Contr Allow--MD Other-Medicare"/>
    <s v="Federal Way Med&amp;Spec-Int Med"/>
    <x v="0"/>
    <n v="1100"/>
    <n v="0"/>
    <n v="102.58"/>
    <n v="349.9"/>
    <n v="486.03"/>
    <n v="409.68"/>
    <n v="98.89"/>
    <n v="15.86"/>
    <n v="227.77"/>
    <n v="339.65"/>
    <n v="480.85"/>
    <n v="6.59"/>
    <n v="259.42"/>
    <n v="2777.2200000000003"/>
    <n v="-252.83"/>
  </r>
  <r>
    <x v="2"/>
    <x v="1"/>
    <x v="0"/>
    <s v="2347200"/>
    <n v="450029"/>
    <s v="Contr Allow--MD Other-Medicaid"/>
    <s v="Federal Way Med&amp;Spec-Int Med"/>
    <x v="0"/>
    <n v="1200"/>
    <n v="37.06"/>
    <n v="146.37"/>
    <n v="66.5"/>
    <n v="162.80000000000001"/>
    <n v="238.79"/>
    <n v="164.32"/>
    <n v="16.440000000000001"/>
    <n v="92.3"/>
    <n v="231.59"/>
    <n v="473.84"/>
    <n v="6.78"/>
    <n v="278.11"/>
    <n v="1914.8999999999996"/>
    <n v="-271.33000000000004"/>
  </r>
  <r>
    <x v="2"/>
    <x v="1"/>
    <x v="0"/>
    <s v="2347200"/>
    <n v="450029"/>
    <s v="Contr Allow--MD Other-Comm Insurance"/>
    <s v="Federal Way Med&amp;Spec-Int Med"/>
    <x v="0"/>
    <n v="1300"/>
    <n v="0"/>
    <n v="0"/>
    <n v="0"/>
    <n v="0"/>
    <n v="16.579999999999998"/>
    <n v="0"/>
    <n v="0"/>
    <n v="0"/>
    <n v="42.42"/>
    <n v="47.18"/>
    <n v="0"/>
    <n v="35.130000000000003"/>
    <n v="141.31"/>
    <n v="-35.130000000000003"/>
  </r>
  <r>
    <x v="2"/>
    <x v="1"/>
    <x v="0"/>
    <s v="2347200"/>
    <n v="450029"/>
    <s v="Contr Allow--MD Other BCBS Comm"/>
    <s v="Federal Way Med&amp;Spec-Int Med"/>
    <x v="0"/>
    <n v="1301"/>
    <n v="0"/>
    <n v="62.69"/>
    <n v="30.47"/>
    <n v="19.11"/>
    <n v="41.4"/>
    <n v="37.479999999999997"/>
    <n v="0"/>
    <n v="30.95"/>
    <n v="19.5"/>
    <n v="73.760000000000005"/>
    <n v="16.95"/>
    <n v="32.69"/>
    <n v="364.99999999999994"/>
    <n v="-15.739999999999998"/>
  </r>
  <r>
    <x v="2"/>
    <x v="1"/>
    <x v="0"/>
    <s v="2347200"/>
    <n v="450029"/>
    <s v="Contr Allow--MD Other-Managed Care"/>
    <s v="Federal Way Med&amp;Spec-Int Med"/>
    <x v="0"/>
    <n v="1400"/>
    <n v="6.52"/>
    <n v="92.38"/>
    <n v="55.31"/>
    <n v="66.41"/>
    <n v="73.13"/>
    <n v="178.86"/>
    <n v="0"/>
    <n v="19.260000000000002"/>
    <n v="351.55"/>
    <n v="140.59"/>
    <n v="34.909999999999997"/>
    <n v="131.91"/>
    <n v="1150.8300000000002"/>
    <n v="-97"/>
  </r>
  <r>
    <x v="2"/>
    <x v="1"/>
    <x v="0"/>
    <s v="2347200"/>
    <n v="450029"/>
    <s v="Admin Adjust-MD Other-Self Pay"/>
    <s v="Federal Way Med&amp;Spec-Int Med"/>
    <x v="0"/>
    <n v="1600"/>
    <n v="1.06"/>
    <n v="7.55"/>
    <n v="21.11"/>
    <n v="4.49"/>
    <n v="-4.83"/>
    <n v="0"/>
    <n v="0"/>
    <n v="0"/>
    <n v="37.4"/>
    <n v="0"/>
    <n v="0"/>
    <n v="0"/>
    <n v="66.78"/>
    <n v="0"/>
  </r>
  <r>
    <x v="2"/>
    <x v="1"/>
    <x v="0"/>
    <s v="2347200"/>
    <n v="450029"/>
    <s v="Contr Allow--MD Other-Other"/>
    <s v="Federal Way Med&amp;Spec-Int Med"/>
    <x v="0"/>
    <n v="1700"/>
    <n v="0"/>
    <n v="0"/>
    <n v="0"/>
    <n v="0"/>
    <n v="0"/>
    <n v="0"/>
    <n v="0"/>
    <n v="17.05"/>
    <n v="0"/>
    <n v="63.26"/>
    <n v="0"/>
    <n v="36.4"/>
    <n v="116.71000000000001"/>
    <n v="-36.4"/>
  </r>
  <r>
    <x v="2"/>
    <x v="1"/>
    <x v="0"/>
    <s v="2347200"/>
    <n v="450040"/>
    <s v="Contr Allow--Phys Svcs--Mcare"/>
    <s v="Federal Way Med&amp;Spec-Int Med"/>
    <x v="0"/>
    <n v="1100"/>
    <n v="27063.59"/>
    <n v="35575.22"/>
    <n v="35308.03"/>
    <n v="49276.33"/>
    <n v="46271.33"/>
    <n v="38840.129999999997"/>
    <n v="44831.22"/>
    <n v="31700.2"/>
    <n v="41403.26"/>
    <n v="47321.24"/>
    <n v="36275.86"/>
    <n v="39653.1"/>
    <n v="473519.50999999995"/>
    <n v="-3377.239999999998"/>
  </r>
  <r>
    <x v="2"/>
    <x v="1"/>
    <x v="0"/>
    <s v="2347200"/>
    <n v="450040"/>
    <s v="Contr Allow--Phys Svcs--Mcaid"/>
    <s v="Federal Way Med&amp;Spec-Int Med"/>
    <x v="0"/>
    <n v="1200"/>
    <n v="17220.099999999999"/>
    <n v="24403.3"/>
    <n v="21200.37"/>
    <n v="22730.51"/>
    <n v="21364.58"/>
    <n v="19688.830000000002"/>
    <n v="21405.84"/>
    <n v="17447.52"/>
    <n v="20955.89"/>
    <n v="21985.26"/>
    <n v="16797.96"/>
    <n v="16132.68"/>
    <n v="241332.84"/>
    <n v="665.27999999999884"/>
  </r>
  <r>
    <x v="2"/>
    <x v="1"/>
    <x v="0"/>
    <s v="2347200"/>
    <n v="450040"/>
    <s v="Contr Allow--Phys Svcs--Comm Insurance"/>
    <s v="Federal Way Med&amp;Spec-Int Med"/>
    <x v="0"/>
    <n v="1300"/>
    <n v="893.97"/>
    <n v="962.85"/>
    <n v="1122.77"/>
    <n v="1136.3800000000001"/>
    <n v="1066.6099999999999"/>
    <n v="980.09"/>
    <n v="1075.23"/>
    <n v="1301.5"/>
    <n v="942.11"/>
    <n v="1147.2"/>
    <n v="1178.93"/>
    <n v="1608.56"/>
    <n v="13416.2"/>
    <n v="-429.62999999999988"/>
  </r>
  <r>
    <x v="2"/>
    <x v="1"/>
    <x v="0"/>
    <s v="2347200"/>
    <n v="450040"/>
    <s v="Contr Allow--Phys Svcs--BCBS Comm Ins"/>
    <s v="Federal Way Med&amp;Spec-Int Med"/>
    <x v="0"/>
    <n v="1301"/>
    <n v="4597.12"/>
    <n v="11968.96"/>
    <n v="3278.7"/>
    <n v="3398.24"/>
    <n v="4187.3599999999997"/>
    <n v="-5079.96"/>
    <n v="4061.17"/>
    <n v="2841.35"/>
    <n v="4111.91"/>
    <n v="3268.64"/>
    <n v="2365.31"/>
    <n v="3052.65"/>
    <n v="42051.44999999999"/>
    <n v="-687.34000000000015"/>
  </r>
  <r>
    <x v="2"/>
    <x v="1"/>
    <x v="0"/>
    <s v="2347200"/>
    <n v="450040"/>
    <s v="Contr Allow--Phys Svcs--Managed Care"/>
    <s v="Federal Way Med&amp;Spec-Int Med"/>
    <x v="0"/>
    <n v="1400"/>
    <n v="6268.8"/>
    <n v="12805.26"/>
    <n v="9991.23"/>
    <n v="16961.95"/>
    <n v="18257.560000000001"/>
    <n v="14483.79"/>
    <n v="13536.47"/>
    <n v="12379.02"/>
    <n v="14261.18"/>
    <n v="14101.18"/>
    <n v="15651.51"/>
    <n v="13239.94"/>
    <n v="161937.89000000001"/>
    <n v="2411.5699999999997"/>
  </r>
  <r>
    <x v="2"/>
    <x v="1"/>
    <x v="0"/>
    <s v="2347200"/>
    <n v="450040"/>
    <s v="Contr Allow--Phys Svcs--BCBS Mgnd Care"/>
    <s v="Federal Way Med&amp;Spec-Int Med"/>
    <x v="0"/>
    <n v="1401"/>
    <n v="-5084.87"/>
    <n v="-2064.3000000000002"/>
    <n v="9213.09"/>
    <n v="8263.19"/>
    <n v="-8218.5"/>
    <n v="7044.1"/>
    <n v="438.01"/>
    <n v="4846.12"/>
    <n v="1471.85"/>
    <n v="-15151.74"/>
    <n v="10107.68"/>
    <n v="-12891.07"/>
    <n v="-2026.4399999999987"/>
    <n v="22998.75"/>
  </r>
  <r>
    <x v="2"/>
    <x v="1"/>
    <x v="0"/>
    <s v="2347200"/>
    <n v="450040"/>
    <s v="Prompt Pay Disc-Phys Svcs-Self Pay"/>
    <s v="Federal Way Med&amp;Spec-Int Med"/>
    <x v="0"/>
    <n v="1500"/>
    <n v="0"/>
    <n v="0"/>
    <n v="0"/>
    <n v="0"/>
    <n v="0"/>
    <n v="0"/>
    <n v="0"/>
    <n v="0"/>
    <n v="0"/>
    <n v="0"/>
    <n v="113.5"/>
    <n v="0"/>
    <n v="113.5"/>
    <n v="113.5"/>
  </r>
  <r>
    <x v="2"/>
    <x v="1"/>
    <x v="0"/>
    <s v="2347200"/>
    <n v="450040"/>
    <s v="Admin Adjust-Phys Svcs-Self Pay"/>
    <s v="Federal Way Med&amp;Spec-Int Med"/>
    <x v="0"/>
    <n v="1600"/>
    <n v="1723.02"/>
    <n v="2086.86"/>
    <n v="1574.04"/>
    <n v="1338.79"/>
    <n v="1598.74"/>
    <n v="495"/>
    <n v="1305.3900000000001"/>
    <n v="1035.3699999999999"/>
    <n v="631.27"/>
    <n v="1113.56"/>
    <n v="1224.56"/>
    <n v="1211.46"/>
    <n v="15338.059999999998"/>
    <n v="13.099999999999909"/>
  </r>
  <r>
    <x v="2"/>
    <x v="1"/>
    <x v="0"/>
    <s v="2347200"/>
    <n v="450040"/>
    <s v="Contr Allow--Phys Svcs--Other"/>
    <s v="Federal Way Med&amp;Spec-Int Med"/>
    <x v="0"/>
    <n v="1700"/>
    <n v="589.65"/>
    <n v="1695.4"/>
    <n v="768.32"/>
    <n v="1413.83"/>
    <n v="565.91999999999996"/>
    <n v="1348.87"/>
    <n v="1943.06"/>
    <n v="3089.58"/>
    <n v="1578.86"/>
    <n v="2135.92"/>
    <n v="943.26"/>
    <n v="1157.1199999999999"/>
    <n v="17229.79"/>
    <n v="-213.8599999999999"/>
  </r>
  <r>
    <x v="3"/>
    <x v="1"/>
    <x v="0"/>
    <s v="2347200"/>
    <n v="470040"/>
    <s v="Charity Care-Physician Svcs"/>
    <s v="Federal Way Med&amp;Spec-Int Med"/>
    <x v="0"/>
    <m/>
    <n v="243.81"/>
    <n v="760.46"/>
    <n v="266.2"/>
    <n v="411.7"/>
    <n v="263.73"/>
    <n v="113.62"/>
    <n v="101.96"/>
    <n v="325.36"/>
    <n v="1374.43"/>
    <n v="-472.6"/>
    <n v="265.06"/>
    <n v="594.92999999999995"/>
    <n v="4248.6600000000008"/>
    <n v="-329.86999999999995"/>
  </r>
  <r>
    <x v="4"/>
    <x v="1"/>
    <x v="0"/>
    <s v="2347200"/>
    <n v="490010"/>
    <s v="Provision for Bad Debts"/>
    <s v="Federal Way Med&amp;Spec-Int Med"/>
    <x v="0"/>
    <m/>
    <n v="4866.62"/>
    <n v="2347.1999999999998"/>
    <n v="4185.29"/>
    <n v="4453.3999999999996"/>
    <n v="3011.25"/>
    <n v="1466.46"/>
    <n v="795.04"/>
    <n v="2668.94"/>
    <n v="2878.35"/>
    <n v="287.85000000000002"/>
    <n v="3769.18"/>
    <n v="1894.35"/>
    <n v="32623.929999999997"/>
    <n v="1874.83"/>
  </r>
  <r>
    <x v="5"/>
    <x v="1"/>
    <x v="0"/>
    <s v="2347200"/>
    <n v="700022"/>
    <s v="Salaries-Physician-Productive"/>
    <s v="Federal Way Med&amp;Spec-Int Med"/>
    <x v="0"/>
    <m/>
    <n v="29317.4"/>
    <n v="47502.82"/>
    <n v="36987.199999999997"/>
    <n v="42535.28"/>
    <n v="41128.720000000001"/>
    <n v="39144"/>
    <n v="42937.61"/>
    <n v="38678.730000000003"/>
    <n v="40377.11"/>
    <n v="42224.28"/>
    <n v="44039.76"/>
    <n v="28710"/>
    <n v="473582.91000000003"/>
    <n v="15329.760000000002"/>
  </r>
  <r>
    <x v="5"/>
    <x v="1"/>
    <x v="0"/>
    <s v="2347200"/>
    <n v="700032"/>
    <s v="Salaries-Other Pat Care Providers-Productive"/>
    <s v="Federal Way Med&amp;Spec-Int Med"/>
    <x v="0"/>
    <m/>
    <n v="1839.96"/>
    <n v="2303.42"/>
    <n v="2802.69"/>
    <n v="3344.16"/>
    <n v="3468.96"/>
    <n v="1928.78"/>
    <n v="2778.92"/>
    <n v="1770.25"/>
    <n v="3070.65"/>
    <n v="3179.77"/>
    <n v="2859.46"/>
    <n v="1459.38"/>
    <n v="30806.400000000001"/>
    <n v="1400.08"/>
  </r>
  <r>
    <x v="5"/>
    <x v="1"/>
    <x v="0"/>
    <s v="2347200"/>
    <n v="700062"/>
    <s v="Salaries-Physician-Non-productive"/>
    <s v="Federal Way Med&amp;Spec-Int Med"/>
    <x v="0"/>
    <m/>
    <n v="7907.2"/>
    <n v="0"/>
    <n v="0"/>
    <n v="0"/>
    <n v="0"/>
    <n v="0"/>
    <n v="0"/>
    <n v="0"/>
    <n v="0"/>
    <n v="0"/>
    <n v="0"/>
    <n v="9570"/>
    <n v="17477.2"/>
    <n v="-9570"/>
  </r>
  <r>
    <x v="6"/>
    <x v="1"/>
    <x v="0"/>
    <s v="2347200"/>
    <n v="713010"/>
    <s v="Benefits-FICA/Medicare"/>
    <s v="Federal Way Med&amp;Spec-Int Med"/>
    <x v="0"/>
    <m/>
    <n v="676.51"/>
    <n v="885.74"/>
    <n v="711.77"/>
    <n v="864.74"/>
    <n v="854.26"/>
    <n v="1952.5"/>
    <n v="3427.97"/>
    <n v="3034.19"/>
    <n v="3260.51"/>
    <n v="408"/>
    <n v="845.36"/>
    <n v="655.76"/>
    <n v="17577.309999999998"/>
    <n v="189.60000000000002"/>
  </r>
  <r>
    <x v="6"/>
    <x v="1"/>
    <x v="0"/>
    <s v="2347200"/>
    <n v="713090"/>
    <s v="Benefits-Allocated Amounts"/>
    <s v="Federal Way Med&amp;Spec-Int Med"/>
    <x v="0"/>
    <m/>
    <n v="0"/>
    <n v="0"/>
    <n v="0"/>
    <n v="0"/>
    <n v="0"/>
    <n v="0"/>
    <n v="0"/>
    <n v="0"/>
    <n v="6643.78"/>
    <n v="832.43"/>
    <n v="782.11"/>
    <n v="712.08"/>
    <n v="8970.4"/>
    <n v="70.029999999999973"/>
  </r>
  <r>
    <x v="6"/>
    <x v="1"/>
    <x v="0"/>
    <s v="2347200"/>
    <n v="713092"/>
    <s v="Allocated Benefits-Physician"/>
    <s v="Federal Way Med&amp;Spec-Int Med"/>
    <x v="0"/>
    <m/>
    <n v="2688.24"/>
    <n v="2851.52"/>
    <n v="2651.77"/>
    <n v="2820.02"/>
    <n v="2923.38"/>
    <n v="2798.85"/>
    <n v="3496.92"/>
    <n v="3339.7"/>
    <n v="-2821.06"/>
    <n v="2599.7800000000002"/>
    <n v="2442.62"/>
    <n v="2223.92"/>
    <n v="28015.659999999996"/>
    <n v="218.69999999999982"/>
  </r>
  <r>
    <x v="8"/>
    <x v="1"/>
    <x v="0"/>
    <s v="2347200"/>
    <n v="741012"/>
    <s v="Physician Liab Insurance-CHI Program"/>
    <s v="Federal Way Med&amp;Spec-Int Med"/>
    <x v="0"/>
    <m/>
    <n v="426.3"/>
    <n v="426.3"/>
    <n v="426.3"/>
    <n v="426.3"/>
    <n v="426.3"/>
    <n v="426.3"/>
    <n v="426.3"/>
    <n v="426.3"/>
    <n v="426.3"/>
    <n v="426.3"/>
    <n v="426.3"/>
    <n v="426.3"/>
    <n v="5115.6000000000013"/>
    <n v="0"/>
  </r>
  <r>
    <x v="0"/>
    <x v="1"/>
    <x v="0"/>
    <s v="2347200"/>
    <n v="743022"/>
    <s v="Dues-Physician"/>
    <s v="Federal Way Med&amp;Spec-Int Med"/>
    <x v="0"/>
    <m/>
    <n v="0"/>
    <n v="0"/>
    <n v="0"/>
    <n v="0"/>
    <n v="0"/>
    <n v="0"/>
    <n v="0"/>
    <n v="285"/>
    <n v="0"/>
    <n v="0"/>
    <n v="585"/>
    <n v="0"/>
    <n v="870"/>
    <n v="585"/>
  </r>
  <r>
    <x v="0"/>
    <x v="1"/>
    <x v="0"/>
    <s v="2347200"/>
    <n v="749510"/>
    <s v="Miscellaneous Expenses"/>
    <s v="Federal Way Med&amp;Spec-Int Med"/>
    <x v="0"/>
    <m/>
    <n v="250"/>
    <n v="150"/>
    <n v="0"/>
    <n v="0"/>
    <n v="0"/>
    <n v="0"/>
    <n v="0"/>
    <n v="0"/>
    <n v="0"/>
    <n v="2624.51"/>
    <n v="0"/>
    <n v="365.5"/>
    <n v="3390.01"/>
    <n v="-365.5"/>
  </r>
  <r>
    <x v="0"/>
    <x v="1"/>
    <x v="0"/>
    <s v="2347200"/>
    <n v="749512"/>
    <s v="Licenses-Physician"/>
    <s v="Federal Way Med&amp;Spec-Int Med"/>
    <x v="0"/>
    <n v="2000"/>
    <n v="0"/>
    <n v="0"/>
    <n v="659.5"/>
    <n v="0"/>
    <n v="0"/>
    <n v="0"/>
    <n v="0"/>
    <n v="0"/>
    <n v="0"/>
    <n v="0"/>
    <n v="0"/>
    <n v="0"/>
    <n v="659.5"/>
    <n v="0"/>
  </r>
  <r>
    <x v="1"/>
    <x v="1"/>
    <x v="0"/>
    <s v="2350200"/>
    <n v="400029"/>
    <s v="MD Practice Other Rev--Medicare"/>
    <s v="PC-St Joseph FM"/>
    <x v="0"/>
    <n v="1100"/>
    <n v="-4405"/>
    <n v="-3518"/>
    <n v="-2849"/>
    <n v="-4334"/>
    <n v="-3550"/>
    <n v="-3239"/>
    <n v="-5682"/>
    <n v="-6852"/>
    <n v="-6572"/>
    <n v="-3599"/>
    <n v="-2946"/>
    <n v="-4187"/>
    <n v="-51733"/>
    <n v="1241"/>
  </r>
  <r>
    <x v="1"/>
    <x v="1"/>
    <x v="0"/>
    <s v="2350200"/>
    <n v="400029"/>
    <s v="MD Practice Other Rev--Medicaid"/>
    <s v="PC-St Joseph FM"/>
    <x v="0"/>
    <n v="1200"/>
    <n v="-4704"/>
    <n v="-6052"/>
    <n v="-4775"/>
    <n v="-7394"/>
    <n v="-5750"/>
    <n v="-5032"/>
    <n v="-6031"/>
    <n v="-9457"/>
    <n v="-12058"/>
    <n v="-8009"/>
    <n v="-6294.13"/>
    <n v="-7051"/>
    <n v="-82607.13"/>
    <n v="756.86999999999989"/>
  </r>
  <r>
    <x v="1"/>
    <x v="1"/>
    <x v="0"/>
    <s v="2350200"/>
    <n v="400029"/>
    <s v="MD Practice Other Rev--Comm Insurance"/>
    <s v="PC-St Joseph FM"/>
    <x v="0"/>
    <n v="1300"/>
    <n v="-602"/>
    <n v="-1208"/>
    <n v="-1328"/>
    <n v="-1429"/>
    <n v="-648"/>
    <n v="-732"/>
    <n v="-2122"/>
    <n v="-958"/>
    <n v="-1909"/>
    <n v="-2039"/>
    <n v="-1165"/>
    <n v="-1450"/>
    <n v="-15590"/>
    <n v="285"/>
  </r>
  <r>
    <x v="1"/>
    <x v="1"/>
    <x v="0"/>
    <s v="2350200"/>
    <n v="400029"/>
    <s v="MD Practice Other Rev--BCBS Comm"/>
    <s v="PC-St Joseph FM"/>
    <x v="0"/>
    <n v="1301"/>
    <n v="-1999"/>
    <n v="-1464"/>
    <n v="-1495"/>
    <n v="-1657"/>
    <n v="-1910"/>
    <n v="-1370"/>
    <n v="-2522.2600000000002"/>
    <n v="-3083"/>
    <n v="-2968"/>
    <n v="-2984"/>
    <n v="-1377"/>
    <n v="-1839"/>
    <n v="-24668.260000000002"/>
    <n v="462"/>
  </r>
  <r>
    <x v="1"/>
    <x v="1"/>
    <x v="0"/>
    <s v="2350200"/>
    <n v="400029"/>
    <s v="MD Practice Other Rev--Managed Care"/>
    <s v="PC-St Joseph FM"/>
    <x v="0"/>
    <n v="1400"/>
    <n v="-8865"/>
    <n v="-7974"/>
    <n v="-9820"/>
    <n v="-12390"/>
    <n v="-7989"/>
    <n v="-8351"/>
    <n v="-10479.25"/>
    <n v="-14587.64"/>
    <n v="-14918"/>
    <n v="-11590"/>
    <n v="-8199"/>
    <n v="-6530"/>
    <n v="-121692.89"/>
    <n v="-1669"/>
  </r>
  <r>
    <x v="1"/>
    <x v="1"/>
    <x v="0"/>
    <s v="2350200"/>
    <n v="400029"/>
    <s v="MD Practice Other Rev--Self Pay"/>
    <s v="PC-St Joseph FM"/>
    <x v="0"/>
    <n v="1500"/>
    <n v="-1187.69"/>
    <n v="-991.31"/>
    <n v="-829.61"/>
    <n v="-1189.81"/>
    <n v="-907.27"/>
    <n v="-1144.02"/>
    <n v="-1280.55"/>
    <n v="-1964.69"/>
    <n v="-1503.91"/>
    <n v="-772.08"/>
    <n v="-1338.13"/>
    <n v="-585.70000000000005"/>
    <n v="-13694.77"/>
    <n v="-752.43000000000006"/>
  </r>
  <r>
    <x v="1"/>
    <x v="1"/>
    <x v="0"/>
    <s v="2350200"/>
    <n v="400029"/>
    <s v="MD Practice Other Rev--Other"/>
    <s v="PC-St Joseph FM"/>
    <x v="0"/>
    <n v="1700"/>
    <n v="-2217"/>
    <n v="-1106"/>
    <n v="-1248"/>
    <n v="-1457"/>
    <n v="-908"/>
    <n v="-319"/>
    <n v="-1551"/>
    <n v="-660"/>
    <n v="-745"/>
    <n v="-1249"/>
    <n v="-1050"/>
    <n v="-1145"/>
    <n v="-13655"/>
    <n v="95"/>
  </r>
  <r>
    <x v="1"/>
    <x v="1"/>
    <x v="0"/>
    <s v="2350200"/>
    <n v="400040"/>
    <s v="Physician Svcs Rev--Medicare"/>
    <s v="PC-St Joseph FM"/>
    <x v="0"/>
    <n v="1100"/>
    <n v="-49527"/>
    <n v="-44744"/>
    <n v="-36065"/>
    <n v="-46849"/>
    <n v="-35560"/>
    <n v="-43659"/>
    <n v="-43675"/>
    <n v="-40305"/>
    <n v="-39692"/>
    <n v="-42687"/>
    <n v="-35037"/>
    <n v="-40639"/>
    <n v="-498439"/>
    <n v="5602"/>
  </r>
  <r>
    <x v="1"/>
    <x v="1"/>
    <x v="0"/>
    <s v="2350200"/>
    <n v="400040"/>
    <s v="Physician Svcs Rev--Medicaid"/>
    <s v="PC-St Joseph FM"/>
    <x v="0"/>
    <n v="1200"/>
    <n v="-58709"/>
    <n v="-70906"/>
    <n v="-65103.13"/>
    <n v="-79483.13"/>
    <n v="-61932"/>
    <n v="-62997"/>
    <n v="-69754"/>
    <n v="-67197.75"/>
    <n v="-77453.75"/>
    <n v="-71087.75"/>
    <n v="-72498.25"/>
    <n v="-74874"/>
    <n v="-831995.76"/>
    <n v="2375.75"/>
  </r>
  <r>
    <x v="1"/>
    <x v="1"/>
    <x v="0"/>
    <s v="2350200"/>
    <n v="400040"/>
    <s v="Physician Svcs Rev--Comm Insurance"/>
    <s v="PC-St Joseph FM"/>
    <x v="0"/>
    <n v="1300"/>
    <n v="-11573"/>
    <n v="-19719"/>
    <n v="-15738"/>
    <n v="-18711"/>
    <n v="-10096"/>
    <n v="-9752"/>
    <n v="-15190"/>
    <n v="-10620"/>
    <n v="-11777"/>
    <n v="-17214"/>
    <n v="-11604"/>
    <n v="-20071"/>
    <n v="-172065"/>
    <n v="8467"/>
  </r>
  <r>
    <x v="1"/>
    <x v="1"/>
    <x v="0"/>
    <s v="2350200"/>
    <n v="400040"/>
    <s v="Physician Svcs Rev--BCBS Comm"/>
    <s v="PC-St Joseph FM"/>
    <x v="0"/>
    <n v="1301"/>
    <n v="-16027.28"/>
    <n v="-20140"/>
    <n v="-15579"/>
    <n v="-20317"/>
    <n v="-19386"/>
    <n v="-13826"/>
    <n v="-21621"/>
    <n v="-19842"/>
    <n v="-22379"/>
    <n v="-22104"/>
    <n v="-18314"/>
    <n v="-22591"/>
    <n v="-232126.28"/>
    <n v="4277"/>
  </r>
  <r>
    <x v="1"/>
    <x v="1"/>
    <x v="0"/>
    <s v="2350200"/>
    <n v="400040"/>
    <s v="Physician Svcs Rev--Managed Care"/>
    <s v="PC-St Joseph FM"/>
    <x v="0"/>
    <n v="1400"/>
    <n v="-96589"/>
    <n v="-95851"/>
    <n v="-101183"/>
    <n v="-109321.13"/>
    <n v="-91294"/>
    <n v="-98813"/>
    <n v="-115056.35"/>
    <n v="-95087.98"/>
    <n v="-110724"/>
    <n v="-102570"/>
    <n v="-93373"/>
    <n v="-86278.82"/>
    <n v="-1196141.28"/>
    <n v="-7094.179999999993"/>
  </r>
  <r>
    <x v="1"/>
    <x v="1"/>
    <x v="0"/>
    <s v="2350200"/>
    <n v="400040"/>
    <s v="Physician Svcs Rev--Self Pay"/>
    <s v="PC-St Joseph FM"/>
    <x v="0"/>
    <n v="1500"/>
    <n v="-16353.4"/>
    <n v="-18672.28"/>
    <n v="-20102.919999999998"/>
    <n v="-28320.05"/>
    <n v="-15595.76"/>
    <n v="-16405.63"/>
    <n v="-22153.63"/>
    <n v="-23275.65"/>
    <n v="-15700.49"/>
    <n v="-30582.42"/>
    <n v="-18264.05"/>
    <n v="-12182.44"/>
    <n v="-237608.71999999997"/>
    <n v="-6081.6099999999988"/>
  </r>
  <r>
    <x v="1"/>
    <x v="1"/>
    <x v="0"/>
    <s v="2350200"/>
    <n v="400040"/>
    <s v="Physician Svcs Rev--Other"/>
    <s v="PC-St Joseph FM"/>
    <x v="0"/>
    <n v="1700"/>
    <n v="-14249"/>
    <n v="-19119"/>
    <n v="-20615"/>
    <n v="-16840"/>
    <n v="-17371"/>
    <n v="-14686"/>
    <n v="-13183"/>
    <n v="-14220"/>
    <n v="-12834"/>
    <n v="-16914"/>
    <n v="-58868"/>
    <n v="-15819"/>
    <n v="-234718"/>
    <n v="-43049"/>
  </r>
  <r>
    <x v="2"/>
    <x v="1"/>
    <x v="0"/>
    <s v="2350200"/>
    <n v="450029"/>
    <s v="Contr Allow--MD Other-Medicare"/>
    <s v="PC-St Joseph FM"/>
    <x v="0"/>
    <n v="1100"/>
    <n v="2438.91"/>
    <n v="3206.8"/>
    <n v="1865.99"/>
    <n v="2157.48"/>
    <n v="2743.2"/>
    <n v="2296.4499999999998"/>
    <n v="3195.96"/>
    <n v="3294.92"/>
    <n v="4500.72"/>
    <n v="3480.8"/>
    <n v="2236.2800000000002"/>
    <n v="2697.76"/>
    <n v="34115.269999999997"/>
    <n v="-461.48"/>
  </r>
  <r>
    <x v="2"/>
    <x v="1"/>
    <x v="0"/>
    <s v="2350200"/>
    <n v="450029"/>
    <s v="Contr Allow--MD Other-Medicaid"/>
    <s v="PC-St Joseph FM"/>
    <x v="0"/>
    <n v="1200"/>
    <n v="4215.5600000000004"/>
    <n v="4525.59"/>
    <n v="3365.25"/>
    <n v="5146.29"/>
    <n v="4720.8"/>
    <n v="3473.04"/>
    <n v="3536.1"/>
    <n v="5058.83"/>
    <n v="7028.71"/>
    <n v="6910.86"/>
    <n v="4774.8999999999996"/>
    <n v="5893.84"/>
    <n v="58649.770000000004"/>
    <n v="-1118.9400000000005"/>
  </r>
  <r>
    <x v="2"/>
    <x v="1"/>
    <x v="0"/>
    <s v="2350200"/>
    <n v="450029"/>
    <s v="Contr Allow--MD Other-Comm Insurance"/>
    <s v="PC-St Joseph FM"/>
    <x v="0"/>
    <n v="1300"/>
    <n v="549.09"/>
    <n v="533.03"/>
    <n v="517.16"/>
    <n v="511.43"/>
    <n v="409.64"/>
    <n v="323.92"/>
    <n v="902.19"/>
    <n v="254.93"/>
    <n v="562.33000000000004"/>
    <n v="632.6"/>
    <n v="574.38"/>
    <n v="814.74"/>
    <n v="6585.44"/>
    <n v="-240.36"/>
  </r>
  <r>
    <x v="2"/>
    <x v="1"/>
    <x v="0"/>
    <s v="2350200"/>
    <n v="450029"/>
    <s v="Contr Allow--MD Other BCBS Comm"/>
    <s v="PC-St Joseph FM"/>
    <x v="0"/>
    <n v="1301"/>
    <n v="964.61"/>
    <n v="756.51"/>
    <n v="556.08000000000004"/>
    <n v="805.46"/>
    <n v="1039.45"/>
    <n v="760.36"/>
    <n v="820.17"/>
    <n v="1181.78"/>
    <n v="1524.36"/>
    <n v="1157.5899999999999"/>
    <n v="1582.62"/>
    <n v="838.73"/>
    <n v="11987.719999999998"/>
    <n v="743.88999999999987"/>
  </r>
  <r>
    <x v="2"/>
    <x v="1"/>
    <x v="0"/>
    <s v="2350200"/>
    <n v="450029"/>
    <s v="Contr Allow--MD Other-Managed Care"/>
    <s v="PC-St Joseph FM"/>
    <x v="0"/>
    <n v="1400"/>
    <n v="3963.03"/>
    <n v="5215.49"/>
    <n v="3364.76"/>
    <n v="5454.26"/>
    <n v="6106.99"/>
    <n v="3826.85"/>
    <n v="3276.58"/>
    <n v="5011.5200000000004"/>
    <n v="9024.85"/>
    <n v="6204.57"/>
    <n v="6805.87"/>
    <n v="3808.86"/>
    <n v="62063.63"/>
    <n v="2997.0099999999998"/>
  </r>
  <r>
    <x v="2"/>
    <x v="1"/>
    <x v="0"/>
    <s v="2350200"/>
    <n v="450029"/>
    <s v="Admin Adjust-MD Other-Self Pay"/>
    <s v="PC-St Joseph FM"/>
    <x v="0"/>
    <n v="1600"/>
    <n v="587.98"/>
    <n v="604.58000000000004"/>
    <n v="464.4"/>
    <n v="417.03"/>
    <n v="252.45"/>
    <n v="355.42"/>
    <n v="504.52"/>
    <n v="750.07"/>
    <n v="567.04"/>
    <n v="268.20999999999998"/>
    <n v="450.02"/>
    <n v="205.59"/>
    <n v="5427.3099999999995"/>
    <n v="244.42999999999998"/>
  </r>
  <r>
    <x v="2"/>
    <x v="1"/>
    <x v="0"/>
    <s v="2350200"/>
    <n v="450029"/>
    <s v="Contr Allow--MD Other-Other"/>
    <s v="PC-St Joseph FM"/>
    <x v="0"/>
    <n v="1700"/>
    <n v="629.94000000000005"/>
    <n v="854.3"/>
    <n v="557.28"/>
    <n v="589.35"/>
    <n v="578.76"/>
    <n v="56.01"/>
    <n v="680.5"/>
    <n v="401.29"/>
    <n v="791.69"/>
    <n v="554.02"/>
    <n v="667.48"/>
    <n v="384.57"/>
    <n v="6745.1900000000005"/>
    <n v="282.91000000000003"/>
  </r>
  <r>
    <x v="2"/>
    <x v="1"/>
    <x v="0"/>
    <s v="2350200"/>
    <n v="450040"/>
    <s v="Contr Allow--Phys Svcs--Mcare"/>
    <s v="PC-St Joseph FM"/>
    <x v="0"/>
    <n v="1100"/>
    <n v="27723.15"/>
    <n v="35257.14"/>
    <n v="21100.45"/>
    <n v="28843.279999999999"/>
    <n v="24221.15"/>
    <n v="35511.67"/>
    <n v="30898.75"/>
    <n v="21293.05"/>
    <n v="28062.560000000001"/>
    <n v="25671.3"/>
    <n v="31482.05"/>
    <n v="23251.64"/>
    <n v="333316.19"/>
    <n v="8230.41"/>
  </r>
  <r>
    <x v="2"/>
    <x v="1"/>
    <x v="0"/>
    <s v="2350200"/>
    <n v="450040"/>
    <s v="Contr Allow--Phys Svcs--Mcaid"/>
    <s v="PC-St Joseph FM"/>
    <x v="0"/>
    <n v="1200"/>
    <n v="46229.88"/>
    <n v="56647.65"/>
    <n v="44143.64"/>
    <n v="58086.34"/>
    <n v="54490.3"/>
    <n v="43735.21"/>
    <n v="44802.02"/>
    <n v="46221.84"/>
    <n v="53578.61"/>
    <n v="55520.95"/>
    <n v="58711.47"/>
    <n v="61050.49"/>
    <n v="623218.4"/>
    <n v="-2339.0199999999968"/>
  </r>
  <r>
    <x v="2"/>
    <x v="1"/>
    <x v="0"/>
    <s v="2350200"/>
    <n v="450040"/>
    <s v="Contr Allow--Phys Svcs--Comm Insurance"/>
    <s v="PC-St Joseph FM"/>
    <x v="0"/>
    <n v="1300"/>
    <n v="6797.21"/>
    <n v="7980.22"/>
    <n v="5758.13"/>
    <n v="6387.81"/>
    <n v="5632.85"/>
    <n v="4073.13"/>
    <n v="6967.87"/>
    <n v="2638.29"/>
    <n v="4499.5600000000004"/>
    <n v="5023.57"/>
    <n v="3736.7"/>
    <n v="8940.15"/>
    <n v="68435.489999999991"/>
    <n v="-5203.45"/>
  </r>
  <r>
    <x v="2"/>
    <x v="1"/>
    <x v="0"/>
    <s v="2350200"/>
    <n v="450040"/>
    <s v="Contr Allow--Phys Svcs--BCBS Comm Ins"/>
    <s v="PC-St Joseph FM"/>
    <x v="0"/>
    <n v="1301"/>
    <n v="6944.34"/>
    <n v="9028.81"/>
    <n v="5262.47"/>
    <n v="5198.1099999999997"/>
    <n v="9195.9599999999991"/>
    <n v="5130.3100000000004"/>
    <n v="5254.62"/>
    <n v="6413.53"/>
    <n v="7743.67"/>
    <n v="5974.59"/>
    <n v="8826.1"/>
    <n v="7877.05"/>
    <n v="82849.560000000012"/>
    <n v="949.05000000000018"/>
  </r>
  <r>
    <x v="2"/>
    <x v="1"/>
    <x v="0"/>
    <s v="2350200"/>
    <n v="450040"/>
    <s v="Contr Allow--Phys Svcs--Managed Care"/>
    <s v="PC-St Joseph FM"/>
    <x v="0"/>
    <n v="1400"/>
    <n v="34832.35"/>
    <n v="40565.120000000003"/>
    <n v="28374.61"/>
    <n v="40145.81"/>
    <n v="47078.81"/>
    <n v="29132.48"/>
    <n v="28999.79"/>
    <n v="32362.05"/>
    <n v="44663.92"/>
    <n v="31932.68"/>
    <n v="48563.79"/>
    <n v="30195.06"/>
    <n v="436846.47"/>
    <n v="18368.73"/>
  </r>
  <r>
    <x v="2"/>
    <x v="1"/>
    <x v="0"/>
    <s v="2350200"/>
    <n v="450040"/>
    <s v="Contr Allow--Phys Svcs--BCBS Mgnd Care"/>
    <s v="PC-St Joseph FM"/>
    <x v="0"/>
    <n v="1401"/>
    <n v="-6204.59"/>
    <n v="-18358.07"/>
    <n v="18458.77"/>
    <n v="10964.72"/>
    <n v="-26613.26"/>
    <n v="8312.2099999999991"/>
    <n v="29845.4"/>
    <n v="27883.75"/>
    <n v="-16390.650000000001"/>
    <n v="19825.25"/>
    <n v="-5237.6899999999996"/>
    <n v="-16308.87"/>
    <n v="26176.969999999994"/>
    <n v="11071.18"/>
  </r>
  <r>
    <x v="2"/>
    <x v="1"/>
    <x v="0"/>
    <s v="2350200"/>
    <n v="450040"/>
    <s v="Prompt Pay Disc-Phys Svcs-Self Pay"/>
    <s v="PC-St Joseph FM"/>
    <x v="0"/>
    <n v="1500"/>
    <n v="0"/>
    <n v="0"/>
    <n v="0"/>
    <n v="203.28"/>
    <n v="0"/>
    <n v="0"/>
    <n v="0"/>
    <n v="0"/>
    <n v="0"/>
    <n v="51.3"/>
    <n v="0"/>
    <n v="110.77"/>
    <n v="365.34999999999997"/>
    <n v="-110.77"/>
  </r>
  <r>
    <x v="2"/>
    <x v="1"/>
    <x v="0"/>
    <s v="2350200"/>
    <n v="450040"/>
    <s v="Admin Adjust-Phys Svcs-Self Pay"/>
    <s v="PC-St Joseph FM"/>
    <x v="0"/>
    <n v="1600"/>
    <n v="4815.38"/>
    <n v="5341.65"/>
    <n v="6190.72"/>
    <n v="4171.08"/>
    <n v="3494.19"/>
    <n v="3244.8"/>
    <n v="5902.86"/>
    <n v="4687.0600000000004"/>
    <n v="4300.93"/>
    <n v="6469.05"/>
    <n v="5536.49"/>
    <n v="5007.6899999999996"/>
    <n v="59161.9"/>
    <n v="528.80000000000018"/>
  </r>
  <r>
    <x v="2"/>
    <x v="1"/>
    <x v="0"/>
    <s v="2350200"/>
    <n v="450040"/>
    <s v="Contr Allow--Phys Svcs--Other"/>
    <s v="PC-St Joseph FM"/>
    <x v="0"/>
    <n v="1700"/>
    <n v="6608.04"/>
    <n v="9210.19"/>
    <n v="6906.5"/>
    <n v="11041.55"/>
    <n v="7272.77"/>
    <n v="4084.16"/>
    <n v="8877.32"/>
    <n v="7927.88"/>
    <n v="5919.99"/>
    <n v="8612.99"/>
    <n v="8648.98"/>
    <n v="16638.54"/>
    <n v="101748.91"/>
    <n v="-7989.5600000000013"/>
  </r>
  <r>
    <x v="3"/>
    <x v="1"/>
    <x v="0"/>
    <s v="2350200"/>
    <n v="470040"/>
    <s v="Charity Care-Physician Svcs"/>
    <s v="PC-St Joseph FM"/>
    <x v="0"/>
    <m/>
    <n v="3011.05"/>
    <n v="3964.03"/>
    <n v="2323.9299999999998"/>
    <n v="1983.25"/>
    <n v="464.38"/>
    <n v="2449.38"/>
    <n v="2489.0300000000002"/>
    <n v="1673.28"/>
    <n v="2937.09"/>
    <n v="2251.14"/>
    <n v="2898.48"/>
    <n v="5356.17"/>
    <n v="31801.21"/>
    <n v="-2457.69"/>
  </r>
  <r>
    <x v="4"/>
    <x v="1"/>
    <x v="0"/>
    <s v="2350200"/>
    <n v="490010"/>
    <s v="Provision for Bad Debts"/>
    <s v="PC-St Joseph FM"/>
    <x v="0"/>
    <m/>
    <n v="9976.61"/>
    <n v="9463.02"/>
    <n v="17609.099999999999"/>
    <n v="14037.26"/>
    <n v="6624.29"/>
    <n v="4988.91"/>
    <n v="9741.49"/>
    <n v="9783.39"/>
    <n v="5853.85"/>
    <n v="5777.8"/>
    <n v="6659.15"/>
    <n v="10979.27"/>
    <n v="111494.14000000001"/>
    <n v="-4320.1200000000008"/>
  </r>
  <r>
    <x v="5"/>
    <x v="1"/>
    <x v="0"/>
    <s v="2350200"/>
    <n v="700022"/>
    <s v="Salaries-Physician-Productive"/>
    <s v="PC-St Joseph FM"/>
    <x v="0"/>
    <m/>
    <n v="0"/>
    <n v="13730.76"/>
    <n v="13161.63"/>
    <n v="18479.37"/>
    <n v="25832.78"/>
    <n v="10768.94"/>
    <n v="25456.18"/>
    <n v="19573.330000000002"/>
    <n v="15641.67"/>
    <n v="19996.080000000002"/>
    <n v="16501.080000000002"/>
    <n v="14883.21"/>
    <n v="194025.03"/>
    <n v="1617.8700000000026"/>
  </r>
  <r>
    <x v="5"/>
    <x v="1"/>
    <x v="0"/>
    <s v="2350200"/>
    <n v="700022"/>
    <s v="Salaries-Physician-Other"/>
    <s v="PC-St Joseph FM"/>
    <x v="0"/>
    <n v="2000"/>
    <n v="2553.12"/>
    <n v="1170.18"/>
    <n v="218.1"/>
    <n v="-250"/>
    <n v="1000"/>
    <n v="3480"/>
    <n v="8892.5"/>
    <n v="-1991.78"/>
    <n v="1921.02"/>
    <n v="3266.05"/>
    <n v="2497.62"/>
    <n v="-1921.23"/>
    <n v="20835.579999999998"/>
    <n v="4418.8500000000004"/>
  </r>
  <r>
    <x v="5"/>
    <x v="1"/>
    <x v="0"/>
    <s v="2350200"/>
    <n v="700024"/>
    <s v="Salaries-Advanced Practice Clinician-Productive"/>
    <s v="PC-St Joseph FM"/>
    <x v="0"/>
    <m/>
    <n v="44411.07"/>
    <n v="44290.84"/>
    <n v="36711.24"/>
    <n v="44054.85"/>
    <n v="34621.769999999997"/>
    <n v="30041.49"/>
    <n v="27985.919999999998"/>
    <n v="37771.699999999997"/>
    <n v="45550.31"/>
    <n v="26637.34"/>
    <n v="40959.83"/>
    <n v="32827.550000000003"/>
    <n v="445863.91000000003"/>
    <n v="8132.2799999999988"/>
  </r>
  <r>
    <x v="5"/>
    <x v="1"/>
    <x v="0"/>
    <s v="2350200"/>
    <n v="700024"/>
    <s v="Salaries-Advanced Practice Clinician-Other"/>
    <s v="PC-St Joseph FM"/>
    <x v="0"/>
    <n v="2000"/>
    <n v="6255"/>
    <n v="7092.44"/>
    <n v="4479.5"/>
    <n v="-137.5"/>
    <n v="3600"/>
    <n v="3440"/>
    <n v="4892.3599999999997"/>
    <n v="7115.41"/>
    <n v="3124.58"/>
    <n v="7736.34"/>
    <n v="2754.03"/>
    <n v="7561.06"/>
    <n v="57913.22"/>
    <n v="-4807.0300000000007"/>
  </r>
  <r>
    <x v="5"/>
    <x v="1"/>
    <x v="0"/>
    <s v="2350200"/>
    <n v="700024"/>
    <s v="Salaries-Advanced Practice Clinician-Provider Incentive"/>
    <s v="PC-St Joseph FM"/>
    <x v="0"/>
    <n v="4003"/>
    <n v="0"/>
    <n v="8534.86"/>
    <n v="0"/>
    <n v="0"/>
    <n v="6299.64"/>
    <n v="0"/>
    <n v="0"/>
    <n v="8897.5400000000009"/>
    <n v="0"/>
    <n v="0"/>
    <n v="4156.8999999999996"/>
    <n v="-6.08"/>
    <n v="27882.86"/>
    <n v="4162.9799999999996"/>
  </r>
  <r>
    <x v="5"/>
    <x v="1"/>
    <x v="0"/>
    <s v="2350200"/>
    <n v="700026"/>
    <s v="Salaries-RN-Productive"/>
    <s v="PC-St Joseph FM"/>
    <x v="0"/>
    <m/>
    <n v="10523.83"/>
    <n v="13563.88"/>
    <n v="18283.39"/>
    <n v="16175.28"/>
    <n v="10764.09"/>
    <n v="5720.04"/>
    <n v="13528.84"/>
    <n v="5613.62"/>
    <n v="14287.81"/>
    <n v="13874.83"/>
    <n v="11966.72"/>
    <n v="11340.86"/>
    <n v="145643.19"/>
    <n v="625.85999999999876"/>
  </r>
  <r>
    <x v="5"/>
    <x v="1"/>
    <x v="0"/>
    <s v="2350200"/>
    <n v="700026"/>
    <s v="Salaries-RN-OT"/>
    <s v="PC-St Joseph FM"/>
    <x v="0"/>
    <n v="1000"/>
    <n v="658.98"/>
    <n v="3175.78"/>
    <n v="-765.01"/>
    <n v="811.55"/>
    <n v="985.76"/>
    <n v="-333.97"/>
    <n v="396.4"/>
    <n v="285.02"/>
    <n v="3751.53"/>
    <n v="905.16"/>
    <n v="4114.6899999999996"/>
    <n v="-870.81"/>
    <n v="13115.08"/>
    <n v="4985.5"/>
  </r>
  <r>
    <x v="5"/>
    <x v="1"/>
    <x v="0"/>
    <s v="2350200"/>
    <n v="700026"/>
    <s v="Salaries-RN-Other"/>
    <s v="PC-St Joseph FM"/>
    <x v="0"/>
    <n v="2000"/>
    <n v="210.21"/>
    <n v="123.27"/>
    <n v="233.88"/>
    <n v="78.19"/>
    <n v="32.950000000000003"/>
    <n v="65.97"/>
    <n v="187.74"/>
    <n v="29.69"/>
    <n v="44.8"/>
    <n v="53.52"/>
    <n v="95.35"/>
    <n v="296.12"/>
    <n v="1451.69"/>
    <n v="-200.77"/>
  </r>
  <r>
    <x v="5"/>
    <x v="1"/>
    <x v="0"/>
    <s v="2350200"/>
    <n v="700030"/>
    <s v="Salaries-LPN-Productive"/>
    <s v="PC-St Joseph FM"/>
    <x v="0"/>
    <m/>
    <n v="7967.9"/>
    <n v="5359.06"/>
    <n v="6865.05"/>
    <n v="6441.18"/>
    <n v="6412.97"/>
    <n v="3885.88"/>
    <n v="4909.45"/>
    <n v="3879.7"/>
    <n v="1197.3399999999999"/>
    <n v="3976.85"/>
    <n v="4854.18"/>
    <n v="7640.79"/>
    <n v="63390.349999999984"/>
    <n v="-2786.6099999999997"/>
  </r>
  <r>
    <x v="5"/>
    <x v="1"/>
    <x v="0"/>
    <s v="2350200"/>
    <n v="700030"/>
    <s v="Salaries-LPN-OT"/>
    <s v="PC-St Joseph FM"/>
    <x v="0"/>
    <n v="1000"/>
    <n v="1542.32"/>
    <n v="612.44000000000005"/>
    <n v="1529.54"/>
    <n v="2350.84"/>
    <n v="1563.95"/>
    <n v="2205.71"/>
    <n v="2111.02"/>
    <n v="1211.55"/>
    <n v="1668.39"/>
    <n v="1333.17"/>
    <n v="687.31"/>
    <n v="1222.55"/>
    <n v="18038.789999999997"/>
    <n v="-535.24"/>
  </r>
  <r>
    <x v="5"/>
    <x v="1"/>
    <x v="0"/>
    <s v="2350200"/>
    <n v="700030"/>
    <s v="Salaries-LPN-Other"/>
    <s v="PC-St Joseph FM"/>
    <x v="0"/>
    <n v="2000"/>
    <n v="237"/>
    <n v="101.55"/>
    <n v="279.92"/>
    <n v="82.05"/>
    <n v="71.45"/>
    <n v="48.59"/>
    <n v="201.99"/>
    <n v="50.04"/>
    <n v="56.14"/>
    <n v="61.83"/>
    <n v="60.12"/>
    <n v="444.32"/>
    <n v="1695"/>
    <n v="-384.2"/>
  </r>
  <r>
    <x v="5"/>
    <x v="1"/>
    <x v="0"/>
    <s v="2350200"/>
    <n v="700032"/>
    <s v="Salaries-Other Pat Care Providers-Productive"/>
    <s v="PC-St Joseph FM"/>
    <x v="0"/>
    <m/>
    <n v="3217.68"/>
    <n v="3418.79"/>
    <n v="-779.89"/>
    <n v="0"/>
    <n v="352.98"/>
    <n v="5067.43"/>
    <n v="3949.54"/>
    <n v="6074.64"/>
    <n v="1064.96"/>
    <n v="888.48"/>
    <n v="960.45"/>
    <n v="4664.93"/>
    <n v="28879.989999999998"/>
    <n v="-3704.4800000000005"/>
  </r>
  <r>
    <x v="5"/>
    <x v="1"/>
    <x v="0"/>
    <s v="2350200"/>
    <n v="700032"/>
    <s v="Salaries-Other Pat Care Providers-OT"/>
    <s v="PC-St Joseph FM"/>
    <x v="0"/>
    <n v="1000"/>
    <n v="423.53"/>
    <n v="4.2300000000000004"/>
    <n v="-7.36"/>
    <n v="0"/>
    <n v="426.52"/>
    <n v="1157.25"/>
    <n v="112.68"/>
    <n v="873.39"/>
    <n v="1107.25"/>
    <n v="-28.37"/>
    <n v="550.79999999999995"/>
    <n v="65.959999999999994"/>
    <n v="4685.88"/>
    <n v="484.84"/>
  </r>
  <r>
    <x v="5"/>
    <x v="1"/>
    <x v="0"/>
    <s v="2350200"/>
    <n v="700032"/>
    <s v="Salaries-Other Pat Care Providers-Other"/>
    <s v="PC-St Joseph FM"/>
    <x v="0"/>
    <n v="2000"/>
    <n v="10.5"/>
    <n v="-1.75"/>
    <n v="0"/>
    <n v="0"/>
    <n v="17.5"/>
    <n v="66.42"/>
    <n v="102.23"/>
    <n v="29.93"/>
    <n v="44.77"/>
    <n v="39.9"/>
    <n v="32.07"/>
    <n v="62.34"/>
    <n v="403.90999999999997"/>
    <n v="-30.270000000000003"/>
  </r>
  <r>
    <x v="5"/>
    <x v="1"/>
    <x v="0"/>
    <s v="2350200"/>
    <n v="700034"/>
    <s v="Salaries-Tech/Professional-Productive"/>
    <s v="PC-St Joseph FM"/>
    <x v="0"/>
    <m/>
    <n v="10499.2"/>
    <n v="11546.52"/>
    <n v="10913.25"/>
    <n v="11419.62"/>
    <n v="11796.83"/>
    <n v="8993.9699999999993"/>
    <n v="10764.17"/>
    <n v="8602.18"/>
    <n v="11519.03"/>
    <n v="11812.28"/>
    <n v="12340.4"/>
    <n v="10666.15"/>
    <n v="130873.60000000001"/>
    <n v="1674.25"/>
  </r>
  <r>
    <x v="5"/>
    <x v="1"/>
    <x v="0"/>
    <s v="2350200"/>
    <n v="700034"/>
    <s v="Salaries-Tech/Professional-OT"/>
    <s v="PC-St Joseph FM"/>
    <x v="0"/>
    <n v="1000"/>
    <n v="0"/>
    <n v="394.06"/>
    <n v="0"/>
    <n v="24.45"/>
    <n v="75.540000000000006"/>
    <n v="339.52"/>
    <n v="0"/>
    <n v="0"/>
    <n v="37.83"/>
    <n v="12.87"/>
    <n v="151.24"/>
    <n v="-12.58"/>
    <n v="1022.93"/>
    <n v="163.82000000000002"/>
  </r>
  <r>
    <x v="5"/>
    <x v="1"/>
    <x v="0"/>
    <s v="2350200"/>
    <n v="700034"/>
    <s v="Salaries-Tech/Professional-Other"/>
    <s v="PC-St Joseph FM"/>
    <x v="0"/>
    <n v="2000"/>
    <n v="220.43"/>
    <n v="164.66"/>
    <n v="259.33"/>
    <n v="123.81"/>
    <n v="62.45"/>
    <n v="79.3"/>
    <n v="241.61"/>
    <n v="97.71"/>
    <n v="76.97"/>
    <n v="76.510000000000005"/>
    <n v="82.56"/>
    <n v="291.88"/>
    <n v="1777.2200000000003"/>
    <n v="-209.32"/>
  </r>
  <r>
    <x v="5"/>
    <x v="1"/>
    <x v="0"/>
    <s v="2350200"/>
    <n v="700054"/>
    <s v="Salaries-Management-NonProd-Other"/>
    <s v="PC-St Joseph FM"/>
    <x v="0"/>
    <n v="2000"/>
    <n v="0"/>
    <n v="0"/>
    <n v="0"/>
    <n v="0"/>
    <n v="0"/>
    <n v="608.79999999999995"/>
    <n v="-608.79999999999995"/>
    <n v="0"/>
    <n v="0"/>
    <n v="0"/>
    <n v="0"/>
    <n v="0"/>
    <n v="0"/>
    <n v="0"/>
  </r>
  <r>
    <x v="5"/>
    <x v="1"/>
    <x v="0"/>
    <s v="2350200"/>
    <n v="700062"/>
    <s v="Salaries-Physician-Non-productive"/>
    <s v="PC-St Joseph FM"/>
    <x v="0"/>
    <m/>
    <n v="0"/>
    <n v="0"/>
    <n v="1373.07"/>
    <n v="2013.85"/>
    <n v="-1098.46"/>
    <n v="4576.92"/>
    <n v="0"/>
    <n v="0"/>
    <n v="3609.64"/>
    <n v="171.89"/>
    <n v="4583.6400000000003"/>
    <n v="5500.37"/>
    <n v="20730.919999999998"/>
    <n v="-916.72999999999956"/>
  </r>
  <r>
    <x v="5"/>
    <x v="1"/>
    <x v="0"/>
    <s v="2350200"/>
    <n v="700064"/>
    <s v="Salaries-Advanced Practice Clinician-Non-Productive"/>
    <s v="PC-St Joseph FM"/>
    <x v="0"/>
    <m/>
    <n v="806.54"/>
    <n v="3898.28"/>
    <n v="7500.52"/>
    <n v="6164.07"/>
    <n v="5692.03"/>
    <n v="606.24"/>
    <n v="3621.64"/>
    <n v="8192.31"/>
    <n v="2039.29"/>
    <n v="14518.79"/>
    <n v="982.56"/>
    <n v="5240.03"/>
    <n v="59262.299999999996"/>
    <n v="-4257.4699999999993"/>
  </r>
  <r>
    <x v="5"/>
    <x v="1"/>
    <x v="0"/>
    <s v="2350200"/>
    <n v="700066"/>
    <s v="Salaries-RN-Non-productive"/>
    <s v="PC-St Joseph FM"/>
    <x v="0"/>
    <m/>
    <n v="1413.09"/>
    <n v="0"/>
    <n v="1599.63"/>
    <n v="4671.08"/>
    <n v="5156.07"/>
    <n v="9399.4599999999991"/>
    <n v="7149.13"/>
    <n v="696.08"/>
    <n v="-49.88"/>
    <n v="0"/>
    <n v="0"/>
    <n v="297.60000000000002"/>
    <n v="30332.26"/>
    <n v="-297.60000000000002"/>
  </r>
  <r>
    <x v="5"/>
    <x v="1"/>
    <x v="0"/>
    <s v="2350200"/>
    <n v="700066"/>
    <s v="Salaries-RN-NonProd-Other"/>
    <s v="PC-St Joseph FM"/>
    <x v="0"/>
    <n v="2000"/>
    <n v="182.45"/>
    <n v="34.76"/>
    <n v="0"/>
    <n v="109.79"/>
    <n v="124.75"/>
    <n v="-15.34"/>
    <n v="52.21"/>
    <n v="4.4000000000000004"/>
    <n v="34.65"/>
    <n v="0"/>
    <n v="0"/>
    <n v="0"/>
    <n v="527.66999999999996"/>
    <n v="0"/>
  </r>
  <r>
    <x v="5"/>
    <x v="1"/>
    <x v="0"/>
    <s v="2350200"/>
    <n v="700070"/>
    <s v="Salaries-LPN-Non-productive"/>
    <s v="PC-St Joseph FM"/>
    <x v="0"/>
    <m/>
    <n v="655.16999999999996"/>
    <n v="4748.58"/>
    <n v="828"/>
    <n v="2865.87"/>
    <n v="2499.9899999999998"/>
    <n v="2602.4699999999998"/>
    <n v="3555.29"/>
    <n v="1011.67"/>
    <n v="1373.84"/>
    <n v="144.33000000000001"/>
    <n v="721.12"/>
    <n v="281.02"/>
    <n v="21287.35"/>
    <n v="440.1"/>
  </r>
  <r>
    <x v="5"/>
    <x v="1"/>
    <x v="0"/>
    <s v="2350200"/>
    <n v="700070"/>
    <s v="Salaries-LPN-NonProd-Other"/>
    <s v="PC-St Joseph FM"/>
    <x v="0"/>
    <n v="2000"/>
    <n v="29.72"/>
    <n v="-4.95"/>
    <n v="27.91"/>
    <n v="39.450000000000003"/>
    <n v="26.79"/>
    <n v="45.48"/>
    <n v="-0.64"/>
    <n v="8.94"/>
    <n v="23"/>
    <n v="0"/>
    <n v="0"/>
    <n v="6.39"/>
    <n v="202.08999999999997"/>
    <n v="-6.39"/>
  </r>
  <r>
    <x v="5"/>
    <x v="1"/>
    <x v="0"/>
    <s v="2350200"/>
    <n v="700072"/>
    <s v="Salaries-Other Pat Care Providers-Non-productive"/>
    <s v="PC-St Joseph FM"/>
    <x v="0"/>
    <m/>
    <n v="156.96"/>
    <n v="225.63"/>
    <n v="-9.81"/>
    <n v="0"/>
    <n v="0"/>
    <n v="552.16999999999996"/>
    <n v="755.18"/>
    <n v="602.24"/>
    <n v="-101.58"/>
    <n v="0"/>
    <n v="0"/>
    <n v="0"/>
    <n v="2180.79"/>
    <n v="0"/>
  </r>
  <r>
    <x v="5"/>
    <x v="1"/>
    <x v="0"/>
    <s v="2350200"/>
    <n v="700072"/>
    <s v="Salaries-Other Pat Care Providers-NonProd-Other"/>
    <s v="PC-St Joseph FM"/>
    <x v="0"/>
    <n v="2000"/>
    <n v="0"/>
    <n v="0"/>
    <n v="0"/>
    <n v="0"/>
    <n v="0"/>
    <n v="0"/>
    <n v="0"/>
    <n v="0"/>
    <n v="10.17"/>
    <n v="0"/>
    <n v="0"/>
    <n v="0"/>
    <n v="10.17"/>
    <n v="0"/>
  </r>
  <r>
    <x v="5"/>
    <x v="1"/>
    <x v="0"/>
    <s v="2350200"/>
    <n v="700074"/>
    <s v="Salaries-Tech/Professional-Non-productive"/>
    <s v="PC-St Joseph FM"/>
    <x v="0"/>
    <m/>
    <n v="1365.95"/>
    <n v="3233.08"/>
    <n v="877.96"/>
    <n v="1868.13"/>
    <n v="-450.57"/>
    <n v="1429.85"/>
    <n v="1709.86"/>
    <n v="3934.09"/>
    <n v="-278.75"/>
    <n v="1.57"/>
    <n v="132.88"/>
    <n v="1578.29"/>
    <n v="15402.34"/>
    <n v="-1445.4099999999999"/>
  </r>
  <r>
    <x v="5"/>
    <x v="1"/>
    <x v="0"/>
    <s v="2350200"/>
    <n v="700074"/>
    <s v="Salaries-Tech/Professional-NonProd-Other"/>
    <s v="PC-St Joseph FM"/>
    <x v="0"/>
    <n v="2000"/>
    <n v="0"/>
    <n v="0"/>
    <n v="0"/>
    <n v="0"/>
    <n v="0"/>
    <n v="0"/>
    <n v="0"/>
    <n v="0"/>
    <n v="16.78"/>
    <n v="0"/>
    <n v="0"/>
    <n v="0"/>
    <n v="16.78"/>
    <n v="0"/>
  </r>
  <r>
    <x v="5"/>
    <x v="1"/>
    <x v="0"/>
    <s v="2350200"/>
    <n v="700084"/>
    <s v="Accrued PTO"/>
    <s v="PC-St Joseph FM"/>
    <x v="0"/>
    <m/>
    <n v="427.71"/>
    <n v="-2796.61"/>
    <n v="594.79999999999995"/>
    <n v="-2507.91"/>
    <n v="1141.27"/>
    <n v="-4017.94"/>
    <n v="-7302.23"/>
    <n v="-3592.35"/>
    <n v="1417.77"/>
    <n v="2140.27"/>
    <n v="2095.35"/>
    <n v="2199.0700000000002"/>
    <n v="-10200.799999999997"/>
    <n v="-103.72000000000025"/>
  </r>
  <r>
    <x v="6"/>
    <x v="1"/>
    <x v="0"/>
    <s v="2350200"/>
    <n v="713010"/>
    <s v="Benefits-FICA/Medicare"/>
    <s v="PC-St Joseph FM"/>
    <x v="0"/>
    <m/>
    <n v="6850.18"/>
    <n v="9216.14"/>
    <n v="7680.98"/>
    <n v="8599.83"/>
    <n v="5724.25"/>
    <n v="5992.17"/>
    <n v="9069.4"/>
    <n v="8455.02"/>
    <n v="8180.93"/>
    <n v="7888.94"/>
    <n v="8489.44"/>
    <n v="6932.79"/>
    <n v="93080.069999999992"/>
    <n v="1556.6500000000005"/>
  </r>
  <r>
    <x v="6"/>
    <x v="1"/>
    <x v="0"/>
    <s v="2350200"/>
    <n v="713090"/>
    <s v="Benefits-Allocated Amounts"/>
    <s v="PC-St Joseph FM"/>
    <x v="0"/>
    <m/>
    <n v="0"/>
    <n v="0"/>
    <n v="0"/>
    <n v="0"/>
    <n v="0"/>
    <n v="0"/>
    <n v="0"/>
    <n v="0"/>
    <n v="92229.99"/>
    <n v="9904.43"/>
    <n v="9529.66"/>
    <n v="10669.76"/>
    <n v="122333.84000000001"/>
    <n v="-1140.1000000000004"/>
  </r>
  <r>
    <x v="6"/>
    <x v="1"/>
    <x v="0"/>
    <s v="2350200"/>
    <n v="713092"/>
    <s v="Allocated Benefits-Physician"/>
    <s v="PC-St Joseph FM"/>
    <x v="0"/>
    <m/>
    <n v="1573.48"/>
    <n v="1663.71"/>
    <n v="1709.47"/>
    <n v="1750.64"/>
    <n v="1658.45"/>
    <n v="1601.19"/>
    <n v="2019.95"/>
    <n v="1910.89"/>
    <n v="-5250.86"/>
    <n v="927.51"/>
    <n v="892.41"/>
    <n v="999.17"/>
    <n v="11456.010000000002"/>
    <n v="-106.75999999999999"/>
  </r>
  <r>
    <x v="6"/>
    <x v="1"/>
    <x v="0"/>
    <s v="2350200"/>
    <n v="713093"/>
    <s v="Allocated Benefits-Advanced Practice Clinician"/>
    <s v="PC-St Joseph FM"/>
    <x v="0"/>
    <m/>
    <n v="13174.38"/>
    <n v="13929.87"/>
    <n v="14312.98"/>
    <n v="14657.71"/>
    <n v="13885.83"/>
    <n v="13406.37"/>
    <n v="16912.62"/>
    <n v="15999.37"/>
    <n v="-69557.119999999995"/>
    <n v="5017.41"/>
    <n v="4827.55"/>
    <n v="5405.1"/>
    <n v="61972.069999999985"/>
    <n v="-577.55000000000018"/>
  </r>
  <r>
    <x v="7"/>
    <x v="1"/>
    <x v="0"/>
    <s v="2350200"/>
    <n v="718040"/>
    <s v="Contract Svcs-Laboratory"/>
    <s v="PC-St Joseph FM"/>
    <x v="0"/>
    <m/>
    <n v="0"/>
    <n v="0"/>
    <n v="0"/>
    <n v="0"/>
    <n v="0"/>
    <n v="0"/>
    <n v="51.2"/>
    <n v="0"/>
    <n v="51.2"/>
    <n v="0"/>
    <n v="43"/>
    <n v="0"/>
    <n v="145.4"/>
    <n v="43"/>
  </r>
  <r>
    <x v="7"/>
    <x v="1"/>
    <x v="0"/>
    <s v="2350200"/>
    <n v="718050"/>
    <s v="Purchased Srvcs--Medical Waste"/>
    <s v="PC-St Joseph FM"/>
    <x v="0"/>
    <n v="1027"/>
    <n v="0"/>
    <n v="0"/>
    <n v="0"/>
    <n v="0"/>
    <n v="0"/>
    <n v="0"/>
    <n v="191.4"/>
    <n v="0"/>
    <n v="0"/>
    <n v="0"/>
    <n v="0"/>
    <n v="0"/>
    <n v="191.4"/>
    <n v="0"/>
  </r>
  <r>
    <x v="11"/>
    <x v="1"/>
    <x v="0"/>
    <s v="2350200"/>
    <n v="721010"/>
    <s v="Supplies-Medical - Billable"/>
    <s v="PC-St Joseph FM"/>
    <x v="0"/>
    <m/>
    <n v="0"/>
    <n v="0"/>
    <n v="0"/>
    <n v="0"/>
    <n v="0"/>
    <n v="0"/>
    <n v="0"/>
    <n v="0"/>
    <n v="1067.7"/>
    <n v="0"/>
    <n v="0"/>
    <n v="0"/>
    <n v="1067.7"/>
    <n v="0"/>
  </r>
  <r>
    <x v="11"/>
    <x v="1"/>
    <x v="0"/>
    <s v="2350200"/>
    <n v="721250"/>
    <s v="Supplies-Pharmacy Drugs - Billable"/>
    <s v="PC-St Joseph FM"/>
    <x v="0"/>
    <m/>
    <n v="1600.17"/>
    <n v="3665.15"/>
    <n v="601.58000000000004"/>
    <n v="5727.94"/>
    <n v="6809.43"/>
    <n v="3240.96"/>
    <n v="2847.87"/>
    <n v="3852.85"/>
    <n v="1075.0899999999999"/>
    <n v="3378.89"/>
    <n v="3384.29"/>
    <n v="2771.97"/>
    <n v="38956.19"/>
    <n v="612.32000000000016"/>
  </r>
  <r>
    <x v="15"/>
    <x v="1"/>
    <x v="0"/>
    <s v="2350200"/>
    <n v="731065"/>
    <s v="Data Communications"/>
    <s v="PC-St Joseph FM"/>
    <x v="0"/>
    <m/>
    <n v="0"/>
    <n v="0"/>
    <n v="59.96"/>
    <n v="0"/>
    <n v="0"/>
    <n v="0"/>
    <n v="0"/>
    <n v="0"/>
    <n v="0"/>
    <n v="0"/>
    <n v="0"/>
    <n v="0"/>
    <n v="59.96"/>
    <n v="0"/>
  </r>
  <r>
    <x v="0"/>
    <x v="1"/>
    <x v="0"/>
    <s v="2350200"/>
    <n v="740022"/>
    <s v="Education-Physician"/>
    <s v="PC-St Joseph FM"/>
    <x v="0"/>
    <m/>
    <n v="0"/>
    <n v="0"/>
    <n v="0"/>
    <n v="0"/>
    <n v="0"/>
    <n v="0"/>
    <n v="0"/>
    <n v="0"/>
    <n v="0"/>
    <n v="0"/>
    <n v="0"/>
    <n v="1444.95"/>
    <n v="1444.95"/>
    <n v="-1444.95"/>
  </r>
  <r>
    <x v="0"/>
    <x v="1"/>
    <x v="0"/>
    <s v="2350200"/>
    <n v="740023"/>
    <s v="Education-Advanced Practice Clinician"/>
    <s v="PC-St Joseph FM"/>
    <x v="0"/>
    <m/>
    <n v="0"/>
    <n v="790"/>
    <n v="0"/>
    <n v="614"/>
    <n v="0"/>
    <n v="0"/>
    <n v="0"/>
    <n v="1000"/>
    <n v="0"/>
    <n v="0"/>
    <n v="0"/>
    <n v="1369"/>
    <n v="3773"/>
    <n v="-1369"/>
  </r>
  <r>
    <x v="8"/>
    <x v="1"/>
    <x v="0"/>
    <s v="2350200"/>
    <n v="741012"/>
    <s v="Physician Liab Insurance-CHI Program"/>
    <s v="PC-St Joseph FM"/>
    <x v="0"/>
    <m/>
    <n v="592.09"/>
    <n v="1503.79"/>
    <n v="1503.8"/>
    <n v="1503.79"/>
    <n v="1596.46"/>
    <n v="1596.43"/>
    <n v="1596.46"/>
    <n v="1596.42"/>
    <n v="-2802.76"/>
    <n v="983.98"/>
    <n v="983.99"/>
    <n v="983.98"/>
    <n v="11638.429999999998"/>
    <n v="9.9999999999909051E-3"/>
  </r>
  <r>
    <x v="0"/>
    <x v="1"/>
    <x v="0"/>
    <s v="2350200"/>
    <n v="743022"/>
    <s v="Dues-Physician"/>
    <s v="PC-St Joseph FM"/>
    <x v="0"/>
    <m/>
    <n v="0"/>
    <n v="0"/>
    <n v="0"/>
    <n v="0"/>
    <n v="0"/>
    <n v="0"/>
    <n v="0"/>
    <n v="695"/>
    <n v="0"/>
    <n v="0"/>
    <n v="0"/>
    <n v="0"/>
    <n v="695"/>
    <n v="0"/>
  </r>
  <r>
    <x v="0"/>
    <x v="1"/>
    <x v="0"/>
    <s v="2350200"/>
    <n v="743023"/>
    <s v="Dues-Advanced Practice Clinician"/>
    <s v="PC-St Joseph FM"/>
    <x v="0"/>
    <m/>
    <n v="445"/>
    <n v="295"/>
    <n v="0"/>
    <n v="0"/>
    <n v="0"/>
    <n v="150"/>
    <n v="0"/>
    <n v="125"/>
    <n v="0"/>
    <n v="0"/>
    <n v="0"/>
    <n v="0"/>
    <n v="1015"/>
    <n v="0"/>
  </r>
  <r>
    <x v="0"/>
    <x v="1"/>
    <x v="0"/>
    <s v="2350200"/>
    <n v="743030"/>
    <s v="Subscriptions--Institutional"/>
    <s v="PC-St Joseph FM"/>
    <x v="0"/>
    <m/>
    <n v="0"/>
    <n v="0"/>
    <n v="76.239999999999995"/>
    <n v="1058.21"/>
    <n v="0"/>
    <n v="0"/>
    <n v="0"/>
    <n v="0"/>
    <n v="0"/>
    <n v="0"/>
    <n v="0"/>
    <n v="0"/>
    <n v="1134.45"/>
    <n v="0"/>
  </r>
  <r>
    <x v="0"/>
    <x v="1"/>
    <x v="0"/>
    <s v="2350200"/>
    <n v="743042"/>
    <s v="Subscriptions-Physician"/>
    <s v="PC-St Joseph FM"/>
    <x v="0"/>
    <m/>
    <n v="0"/>
    <n v="0"/>
    <n v="0"/>
    <n v="0"/>
    <n v="0"/>
    <n v="0"/>
    <n v="0"/>
    <n v="63.31"/>
    <n v="0"/>
    <n v="0"/>
    <n v="0"/>
    <n v="138.41"/>
    <n v="201.72"/>
    <n v="-138.41"/>
  </r>
  <r>
    <x v="0"/>
    <x v="1"/>
    <x v="0"/>
    <s v="2350200"/>
    <n v="743043"/>
    <s v="Subscriptions-Advanced Practice Clinician"/>
    <s v="PC-St Joseph FM"/>
    <x v="0"/>
    <m/>
    <n v="174.99"/>
    <n v="0"/>
    <n v="0"/>
    <n v="1314.11"/>
    <n v="0"/>
    <n v="0"/>
    <n v="0"/>
    <n v="0"/>
    <n v="0"/>
    <n v="0"/>
    <n v="0"/>
    <n v="0"/>
    <n v="1489.1"/>
    <n v="0"/>
  </r>
  <r>
    <x v="0"/>
    <x v="1"/>
    <x v="0"/>
    <s v="2350200"/>
    <n v="749510"/>
    <s v="Miscellaneous Expenses"/>
    <s v="PC-St Joseph FM"/>
    <x v="0"/>
    <m/>
    <n v="-2313.4699999999998"/>
    <n v="0"/>
    <n v="0"/>
    <n v="0"/>
    <n v="881"/>
    <n v="-881"/>
    <n v="673.31"/>
    <n v="-673.31"/>
    <n v="0"/>
    <n v="0"/>
    <n v="3372.44"/>
    <n v="567"/>
    <n v="1625.9700000000003"/>
    <n v="2805.44"/>
  </r>
  <r>
    <x v="0"/>
    <x v="1"/>
    <x v="0"/>
    <s v="2350200"/>
    <n v="749510"/>
    <s v="Licenses"/>
    <s v="PC-St Joseph FM"/>
    <x v="0"/>
    <n v="1002"/>
    <n v="0"/>
    <n v="78.72"/>
    <n v="0"/>
    <n v="0"/>
    <n v="0"/>
    <n v="0"/>
    <n v="0"/>
    <n v="0"/>
    <n v="0"/>
    <n v="0"/>
    <n v="0"/>
    <n v="0"/>
    <n v="78.72"/>
    <n v="0"/>
  </r>
  <r>
    <x v="0"/>
    <x v="1"/>
    <x v="0"/>
    <s v="2350200"/>
    <n v="749512"/>
    <s v="Licenses-Physician"/>
    <s v="PC-St Joseph FM"/>
    <x v="0"/>
    <n v="2000"/>
    <n v="0"/>
    <n v="0"/>
    <n v="0"/>
    <n v="0"/>
    <n v="0"/>
    <n v="0"/>
    <n v="0"/>
    <n v="0"/>
    <n v="0"/>
    <n v="0"/>
    <n v="0"/>
    <n v="657"/>
    <n v="657"/>
    <n v="-657"/>
  </r>
  <r>
    <x v="0"/>
    <x v="1"/>
    <x v="0"/>
    <s v="2350200"/>
    <n v="749513"/>
    <s v="Licenses-Advanced Practice Clinician"/>
    <s v="PC-St Joseph FM"/>
    <x v="0"/>
    <n v="2000"/>
    <n v="49.95"/>
    <n v="0"/>
    <n v="0"/>
    <n v="0"/>
    <n v="0"/>
    <n v="731"/>
    <n v="0"/>
    <n v="202.5"/>
    <n v="731"/>
    <n v="0"/>
    <n v="0"/>
    <n v="385"/>
    <n v="2099.4499999999998"/>
    <n v="-385"/>
  </r>
  <r>
    <x v="0"/>
    <x v="1"/>
    <x v="0"/>
    <s v="2350200"/>
    <n v="749530"/>
    <s v="Travel"/>
    <s v="PC-St Joseph FM"/>
    <x v="0"/>
    <m/>
    <n v="12"/>
    <n v="0"/>
    <n v="0"/>
    <n v="0"/>
    <n v="0"/>
    <n v="0"/>
    <n v="0"/>
    <n v="0"/>
    <n v="0"/>
    <n v="0"/>
    <n v="0"/>
    <n v="0"/>
    <n v="12"/>
    <n v="0"/>
  </r>
  <r>
    <x v="0"/>
    <x v="1"/>
    <x v="0"/>
    <s v="2350200"/>
    <n v="749530"/>
    <s v="Mileage"/>
    <s v="PC-St Joseph FM"/>
    <x v="0"/>
    <n v="1001"/>
    <n v="21.8"/>
    <n v="30.52"/>
    <n v="122.08"/>
    <n v="0"/>
    <n v="30.52"/>
    <n v="16.350000000000001"/>
    <n v="15.81"/>
    <n v="0"/>
    <n v="48.72"/>
    <n v="0"/>
    <n v="0"/>
    <n v="17.98"/>
    <n v="303.78000000000003"/>
    <n v="-17.98"/>
  </r>
  <r>
    <x v="0"/>
    <x v="1"/>
    <x v="0"/>
    <s v="2350200"/>
    <n v="749532"/>
    <s v="Travel-Physician"/>
    <s v="PC-St Joseph FM"/>
    <x v="0"/>
    <m/>
    <n v="0"/>
    <n v="0"/>
    <n v="0"/>
    <n v="0"/>
    <n v="0"/>
    <n v="0"/>
    <n v="0"/>
    <n v="0"/>
    <n v="0"/>
    <n v="0"/>
    <n v="0"/>
    <n v="1018.49"/>
    <n v="1018.49"/>
    <n v="-1018.49"/>
  </r>
  <r>
    <x v="0"/>
    <x v="1"/>
    <x v="0"/>
    <s v="2350200"/>
    <n v="749533"/>
    <s v="Travel-Advanced Practice Clinician"/>
    <s v="PC-St Joseph FM"/>
    <x v="0"/>
    <m/>
    <n v="0"/>
    <n v="336.4"/>
    <n v="1053.9100000000001"/>
    <n v="1591.34"/>
    <n v="0"/>
    <n v="0"/>
    <n v="0"/>
    <n v="2000"/>
    <n v="2460.31"/>
    <n v="0"/>
    <n v="0"/>
    <n v="0"/>
    <n v="7441.9599999999991"/>
    <n v="0"/>
  </r>
  <r>
    <x v="9"/>
    <x v="1"/>
    <x v="0"/>
    <s v="2350200"/>
    <n v="800015"/>
    <s v="Interest Income-Ext to CHI"/>
    <s v="PC-St Joseph FM"/>
    <x v="0"/>
    <m/>
    <n v="0"/>
    <n v="0"/>
    <n v="-98.63"/>
    <n v="-97.67"/>
    <n v="-90.41"/>
    <n v="-89.17"/>
    <n v="-108.08"/>
    <n v="-120.65"/>
    <n v="-154.63"/>
    <n v="-142.19"/>
    <n v="-139.24"/>
    <n v="-127.3"/>
    <n v="-1167.97"/>
    <n v="-11.940000000000012"/>
  </r>
  <r>
    <x v="1"/>
    <x v="1"/>
    <x v="0"/>
    <s v="2351200"/>
    <n v="400029"/>
    <s v="MD Practice Other Rev--Medicare"/>
    <s v="PC-Burien FM"/>
    <x v="0"/>
    <n v="1100"/>
    <n v="-5049"/>
    <n v="5049"/>
    <n v="0"/>
    <n v="0"/>
    <n v="0"/>
    <n v="0"/>
    <n v="0"/>
    <n v="0"/>
    <n v="0"/>
    <n v="0"/>
    <n v="0"/>
    <n v="0"/>
    <n v="0"/>
    <n v="0"/>
  </r>
  <r>
    <x v="1"/>
    <x v="1"/>
    <x v="0"/>
    <s v="2351200"/>
    <n v="400029"/>
    <s v="MD Practice Other Rev--Medicaid"/>
    <s v="PC-Burien FM"/>
    <x v="0"/>
    <n v="1200"/>
    <n v="-4892"/>
    <n v="4892"/>
    <n v="0"/>
    <n v="0"/>
    <n v="0"/>
    <n v="0"/>
    <n v="0"/>
    <n v="0"/>
    <n v="0"/>
    <n v="0"/>
    <n v="0"/>
    <n v="0"/>
    <n v="0"/>
    <n v="0"/>
  </r>
  <r>
    <x v="1"/>
    <x v="1"/>
    <x v="0"/>
    <s v="2351200"/>
    <n v="400029"/>
    <s v="MD Practice Other Rev--Comm Insurance"/>
    <s v="PC-Burien FM"/>
    <x v="0"/>
    <n v="1300"/>
    <n v="-577"/>
    <n v="577"/>
    <n v="0"/>
    <n v="0"/>
    <n v="0"/>
    <n v="0"/>
    <n v="0"/>
    <n v="0"/>
    <n v="0"/>
    <n v="0"/>
    <n v="0"/>
    <n v="0"/>
    <n v="0"/>
    <n v="0"/>
  </r>
  <r>
    <x v="1"/>
    <x v="1"/>
    <x v="0"/>
    <s v="2351200"/>
    <n v="400029"/>
    <s v="MD Practice Other Rev--BCBS Comm"/>
    <s v="PC-Burien FM"/>
    <x v="0"/>
    <n v="1301"/>
    <n v="-2472"/>
    <n v="2472"/>
    <n v="0"/>
    <n v="0"/>
    <n v="0"/>
    <n v="0"/>
    <n v="0"/>
    <n v="0"/>
    <n v="0"/>
    <n v="0"/>
    <n v="0"/>
    <n v="0"/>
    <n v="0"/>
    <n v="0"/>
  </r>
  <r>
    <x v="1"/>
    <x v="1"/>
    <x v="0"/>
    <s v="2351200"/>
    <n v="400029"/>
    <s v="MD Practice Other Rev--Managed Care"/>
    <s v="PC-Burien FM"/>
    <x v="0"/>
    <n v="1400"/>
    <n v="-5804"/>
    <n v="5804"/>
    <n v="0"/>
    <n v="0"/>
    <n v="0"/>
    <n v="0"/>
    <n v="0"/>
    <n v="0"/>
    <n v="0"/>
    <n v="0"/>
    <n v="0"/>
    <n v="0"/>
    <n v="0"/>
    <n v="0"/>
  </r>
  <r>
    <x v="1"/>
    <x v="1"/>
    <x v="0"/>
    <s v="2351200"/>
    <n v="400029"/>
    <s v="MD Practice Other Rev--Self Pay"/>
    <s v="PC-Burien FM"/>
    <x v="0"/>
    <n v="1500"/>
    <n v="-173"/>
    <n v="173"/>
    <n v="0"/>
    <n v="0"/>
    <n v="0"/>
    <n v="0"/>
    <n v="0"/>
    <n v="0"/>
    <n v="0"/>
    <n v="0"/>
    <n v="0"/>
    <n v="0"/>
    <n v="0"/>
    <n v="0"/>
  </r>
  <r>
    <x v="1"/>
    <x v="1"/>
    <x v="0"/>
    <s v="2351200"/>
    <n v="400029"/>
    <s v="MD Practice Other Rev--Other"/>
    <s v="PC-Burien FM"/>
    <x v="0"/>
    <n v="1700"/>
    <n v="-1624"/>
    <n v="1624"/>
    <n v="0"/>
    <n v="0"/>
    <n v="0"/>
    <n v="0"/>
    <n v="0"/>
    <n v="0"/>
    <n v="0"/>
    <n v="0"/>
    <n v="0"/>
    <n v="0"/>
    <n v="0"/>
    <n v="0"/>
  </r>
  <r>
    <x v="1"/>
    <x v="1"/>
    <x v="0"/>
    <s v="2351200"/>
    <n v="400040"/>
    <s v="Physician Svcs Rev--Medicare"/>
    <s v="PC-Burien FM"/>
    <x v="0"/>
    <n v="1100"/>
    <n v="-54123"/>
    <n v="54123"/>
    <n v="0"/>
    <n v="0"/>
    <n v="0"/>
    <n v="0"/>
    <n v="0"/>
    <n v="0"/>
    <n v="0"/>
    <n v="0"/>
    <n v="0"/>
    <n v="0"/>
    <n v="0"/>
    <n v="0"/>
  </r>
  <r>
    <x v="1"/>
    <x v="1"/>
    <x v="0"/>
    <s v="2351200"/>
    <n v="400040"/>
    <s v="Physician Svcs Rev--Medicaid"/>
    <s v="PC-Burien FM"/>
    <x v="0"/>
    <n v="1200"/>
    <n v="-37613"/>
    <n v="37613"/>
    <n v="0"/>
    <n v="0"/>
    <n v="0"/>
    <n v="0"/>
    <n v="0"/>
    <n v="0"/>
    <n v="0"/>
    <n v="0"/>
    <n v="0"/>
    <n v="0"/>
    <n v="0"/>
    <n v="0"/>
  </r>
  <r>
    <x v="1"/>
    <x v="1"/>
    <x v="0"/>
    <s v="2351200"/>
    <n v="400040"/>
    <s v="Physician Svcs Rev--Comm Insurance"/>
    <s v="PC-Burien FM"/>
    <x v="0"/>
    <n v="1300"/>
    <n v="-4244"/>
    <n v="4244"/>
    <n v="0"/>
    <n v="0"/>
    <n v="0"/>
    <n v="0"/>
    <n v="0"/>
    <n v="0"/>
    <n v="0"/>
    <n v="0"/>
    <n v="0"/>
    <n v="0"/>
    <n v="0"/>
    <n v="0"/>
  </r>
  <r>
    <x v="1"/>
    <x v="1"/>
    <x v="0"/>
    <s v="2351200"/>
    <n v="400040"/>
    <s v="Physician Svcs Rev--BCBS Comm"/>
    <s v="PC-Burien FM"/>
    <x v="0"/>
    <n v="1301"/>
    <n v="-36952"/>
    <n v="36952"/>
    <n v="0"/>
    <n v="0"/>
    <n v="0"/>
    <n v="0"/>
    <n v="0"/>
    <n v="0"/>
    <n v="0"/>
    <n v="0"/>
    <n v="0"/>
    <n v="0"/>
    <n v="0"/>
    <n v="0"/>
  </r>
  <r>
    <x v="1"/>
    <x v="1"/>
    <x v="0"/>
    <s v="2351200"/>
    <n v="400040"/>
    <s v="Physician Svcs Rev--Managed Care"/>
    <s v="PC-Burien FM"/>
    <x v="0"/>
    <n v="1400"/>
    <n v="-93793"/>
    <n v="93793"/>
    <n v="0"/>
    <n v="0"/>
    <n v="0"/>
    <n v="0"/>
    <n v="0"/>
    <n v="0"/>
    <n v="0"/>
    <n v="0"/>
    <n v="0"/>
    <n v="0"/>
    <n v="0"/>
    <n v="0"/>
  </r>
  <r>
    <x v="1"/>
    <x v="1"/>
    <x v="0"/>
    <s v="2351200"/>
    <n v="400040"/>
    <s v="Physician Svcs Rev--Self Pay"/>
    <s v="PC-Burien FM"/>
    <x v="0"/>
    <n v="1500"/>
    <n v="-4345"/>
    <n v="4345"/>
    <n v="0"/>
    <n v="0"/>
    <n v="0"/>
    <n v="0"/>
    <n v="0"/>
    <n v="0"/>
    <n v="0"/>
    <n v="0"/>
    <n v="0"/>
    <n v="0"/>
    <n v="0"/>
    <n v="0"/>
  </r>
  <r>
    <x v="1"/>
    <x v="1"/>
    <x v="0"/>
    <s v="2351200"/>
    <n v="400040"/>
    <s v="Physician Svcs Rev--Other"/>
    <s v="PC-Burien FM"/>
    <x v="0"/>
    <n v="1700"/>
    <n v="-7537"/>
    <n v="7537"/>
    <n v="0"/>
    <n v="0"/>
    <n v="0"/>
    <n v="0"/>
    <n v="0"/>
    <n v="0"/>
    <n v="0"/>
    <n v="0"/>
    <n v="0"/>
    <n v="0"/>
    <n v="0"/>
    <n v="0"/>
  </r>
  <r>
    <x v="2"/>
    <x v="1"/>
    <x v="0"/>
    <s v="2351200"/>
    <n v="450029"/>
    <s v="Contr Allow--MD Other-Medicare"/>
    <s v="PC-Burien FM"/>
    <x v="0"/>
    <n v="1100"/>
    <n v="2998.54"/>
    <n v="-2998.54"/>
    <n v="0"/>
    <n v="0"/>
    <n v="0"/>
    <n v="0"/>
    <n v="0"/>
    <n v="0"/>
    <n v="0"/>
    <n v="0"/>
    <n v="0"/>
    <n v="0"/>
    <n v="0"/>
    <n v="0"/>
  </r>
  <r>
    <x v="2"/>
    <x v="1"/>
    <x v="0"/>
    <s v="2351200"/>
    <n v="450029"/>
    <s v="Contr Allow--MD Other-Medicaid"/>
    <s v="PC-Burien FM"/>
    <x v="0"/>
    <n v="1200"/>
    <n v="3678.7"/>
    <n v="-3678.7"/>
    <n v="0"/>
    <n v="0"/>
    <n v="0"/>
    <n v="0"/>
    <n v="0"/>
    <n v="0"/>
    <n v="0"/>
    <n v="0"/>
    <n v="0"/>
    <n v="0"/>
    <n v="0"/>
    <n v="0"/>
  </r>
  <r>
    <x v="2"/>
    <x v="1"/>
    <x v="0"/>
    <s v="2351200"/>
    <n v="450029"/>
    <s v="Contr Allow--MD Other-Comm Insurance"/>
    <s v="PC-Burien FM"/>
    <x v="0"/>
    <n v="1300"/>
    <n v="343.98"/>
    <n v="-343.98"/>
    <n v="0"/>
    <n v="0"/>
    <n v="0"/>
    <n v="0"/>
    <n v="0"/>
    <n v="0"/>
    <n v="0"/>
    <n v="0"/>
    <n v="0"/>
    <n v="0"/>
    <n v="0"/>
    <n v="0"/>
  </r>
  <r>
    <x v="2"/>
    <x v="1"/>
    <x v="0"/>
    <s v="2351200"/>
    <n v="450029"/>
    <s v="Contr Allow--MD Other BCBS Comm"/>
    <s v="PC-Burien FM"/>
    <x v="0"/>
    <n v="1301"/>
    <n v="1043.3499999999999"/>
    <n v="-1043.3499999999999"/>
    <n v="0"/>
    <n v="0"/>
    <n v="0"/>
    <n v="0"/>
    <n v="0"/>
    <n v="0"/>
    <n v="0"/>
    <n v="0"/>
    <n v="0"/>
    <n v="0"/>
    <n v="0"/>
    <n v="0"/>
  </r>
  <r>
    <x v="2"/>
    <x v="1"/>
    <x v="0"/>
    <s v="2351200"/>
    <n v="450029"/>
    <s v="Contr Allow--MD Other-Managed Care"/>
    <s v="PC-Burien FM"/>
    <x v="0"/>
    <n v="1400"/>
    <n v="3640.57"/>
    <n v="-3640.57"/>
    <n v="0"/>
    <n v="0"/>
    <n v="0"/>
    <n v="0"/>
    <n v="0"/>
    <n v="0"/>
    <n v="0"/>
    <n v="0"/>
    <n v="0"/>
    <n v="0"/>
    <n v="0"/>
    <n v="0"/>
  </r>
  <r>
    <x v="2"/>
    <x v="1"/>
    <x v="0"/>
    <s v="2351200"/>
    <n v="450029"/>
    <s v="Admin Adjust-MD Other-Self Pay"/>
    <s v="PC-Burien FM"/>
    <x v="0"/>
    <n v="1600"/>
    <n v="203.9"/>
    <n v="-203.9"/>
    <n v="0"/>
    <n v="0"/>
    <n v="0"/>
    <n v="0"/>
    <n v="0"/>
    <n v="0"/>
    <n v="0"/>
    <n v="0"/>
    <n v="0"/>
    <n v="0"/>
    <n v="0"/>
    <n v="0"/>
  </r>
  <r>
    <x v="2"/>
    <x v="1"/>
    <x v="0"/>
    <s v="2351200"/>
    <n v="450029"/>
    <s v="Contr Allow--MD Other-Other"/>
    <s v="PC-Burien FM"/>
    <x v="0"/>
    <n v="1700"/>
    <n v="613.65"/>
    <n v="-613.65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Contr Allow--Phys Svcs--Mcare"/>
    <s v="PC-Burien FM"/>
    <x v="0"/>
    <n v="1100"/>
    <n v="37342.58"/>
    <n v="-37342.58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Contr Allow--Phys Svcs--Mcaid"/>
    <s v="PC-Burien FM"/>
    <x v="0"/>
    <n v="1200"/>
    <n v="35587.81"/>
    <n v="-35587.81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Contr Allow--Phys Svcs--Comm Insurance"/>
    <s v="PC-Burien FM"/>
    <x v="0"/>
    <n v="1300"/>
    <n v="1223.6500000000001"/>
    <n v="-1223.6500000000001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Contr Allow--Phys Svcs--BCBS Comm Ins"/>
    <s v="PC-Burien FM"/>
    <x v="0"/>
    <n v="1301"/>
    <n v="12363.95"/>
    <n v="-12363.95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Contr Allow--Phys Svcs--Managed Care"/>
    <s v="PC-Burien FM"/>
    <x v="0"/>
    <n v="1400"/>
    <n v="36726.36"/>
    <n v="-36726.36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Contr Allow--Phys Svcs--BCBS Mgnd Care"/>
    <s v="PC-Burien FM"/>
    <x v="0"/>
    <n v="1401"/>
    <n v="-20494.27"/>
    <n v="20494.27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Admin Adjust-Phys Svcs-Self Pay"/>
    <s v="PC-Burien FM"/>
    <x v="0"/>
    <n v="1600"/>
    <n v="3686.23"/>
    <n v="-3686.23"/>
    <n v="0"/>
    <n v="0"/>
    <n v="0"/>
    <n v="0"/>
    <n v="0"/>
    <n v="0"/>
    <n v="0"/>
    <n v="0"/>
    <n v="0"/>
    <n v="0"/>
    <n v="0"/>
    <n v="0"/>
  </r>
  <r>
    <x v="2"/>
    <x v="1"/>
    <x v="0"/>
    <s v="2351200"/>
    <n v="450040"/>
    <s v="Contr Allow--Phys Svcs--Other"/>
    <s v="PC-Burien FM"/>
    <x v="0"/>
    <n v="1700"/>
    <n v="3082.04"/>
    <n v="-3082.04"/>
    <n v="0"/>
    <n v="0"/>
    <n v="0"/>
    <n v="0"/>
    <n v="0"/>
    <n v="0"/>
    <n v="0"/>
    <n v="0"/>
    <n v="0"/>
    <n v="0"/>
    <n v="0"/>
    <n v="0"/>
  </r>
  <r>
    <x v="3"/>
    <x v="1"/>
    <x v="0"/>
    <s v="2351200"/>
    <n v="470040"/>
    <s v="Charity Care-Physician Svcs"/>
    <s v="PC-Burien FM"/>
    <x v="0"/>
    <m/>
    <n v="-310.44"/>
    <n v="310.44"/>
    <n v="0"/>
    <n v="0"/>
    <n v="0"/>
    <n v="0"/>
    <n v="0"/>
    <n v="0"/>
    <n v="0"/>
    <n v="0"/>
    <n v="0"/>
    <n v="0"/>
    <n v="0"/>
    <n v="0"/>
  </r>
  <r>
    <x v="4"/>
    <x v="1"/>
    <x v="0"/>
    <s v="2351200"/>
    <n v="490010"/>
    <s v="Provision for Bad Debts"/>
    <s v="PC-Burien FM"/>
    <x v="0"/>
    <m/>
    <n v="7597.63"/>
    <n v="-7597.63"/>
    <n v="0"/>
    <n v="0"/>
    <n v="0"/>
    <n v="0"/>
    <n v="0"/>
    <n v="0"/>
    <n v="0"/>
    <n v="0"/>
    <n v="0"/>
    <n v="0"/>
    <n v="0"/>
    <n v="0"/>
  </r>
  <r>
    <x v="5"/>
    <x v="1"/>
    <x v="0"/>
    <s v="2351200"/>
    <n v="700022"/>
    <s v="Salaries-Physician-Other"/>
    <s v="PC-Burien FM"/>
    <x v="0"/>
    <n v="2000"/>
    <n v="1631.16"/>
    <n v="-1631.16"/>
    <n v="0"/>
    <n v="0"/>
    <n v="0"/>
    <n v="0"/>
    <n v="0"/>
    <n v="0"/>
    <n v="0"/>
    <n v="0"/>
    <n v="0"/>
    <n v="0"/>
    <n v="0"/>
    <n v="0"/>
  </r>
  <r>
    <x v="5"/>
    <x v="1"/>
    <x v="0"/>
    <s v="2351200"/>
    <n v="700022"/>
    <s v="Salaries-Physician-Provider Incentive"/>
    <s v="PC-Burien FM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1200"/>
    <n v="700024"/>
    <s v="Salaries-Advanced Practice Clinician-Other"/>
    <s v="PC-Burien FM"/>
    <x v="0"/>
    <n v="2000"/>
    <n v="900"/>
    <n v="-900"/>
    <n v="0"/>
    <n v="0"/>
    <n v="0"/>
    <n v="0"/>
    <n v="0"/>
    <n v="0"/>
    <n v="0"/>
    <n v="0"/>
    <n v="0"/>
    <n v="0"/>
    <n v="0"/>
    <n v="0"/>
  </r>
  <r>
    <x v="5"/>
    <x v="1"/>
    <x v="0"/>
    <s v="2351200"/>
    <n v="700030"/>
    <s v="Salaries-LPN-Productive"/>
    <s v="PC-Burien FM"/>
    <x v="0"/>
    <m/>
    <n v="161.94"/>
    <n v="-161.94"/>
    <n v="0"/>
    <n v="0"/>
    <n v="0"/>
    <n v="0"/>
    <n v="0"/>
    <n v="0"/>
    <n v="0"/>
    <n v="0"/>
    <n v="0"/>
    <n v="0"/>
    <n v="0"/>
    <n v="0"/>
  </r>
  <r>
    <x v="5"/>
    <x v="1"/>
    <x v="0"/>
    <s v="2351200"/>
    <n v="700030"/>
    <s v="Salaries-LPN-Other"/>
    <s v="PC-Burien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1200"/>
    <n v="700032"/>
    <s v="Salaries-Other Pat Care Providers-Productive"/>
    <s v="PC-Burien FM"/>
    <x v="0"/>
    <m/>
    <n v="178.23"/>
    <n v="-178.23"/>
    <n v="0"/>
    <n v="0"/>
    <n v="0"/>
    <n v="0"/>
    <n v="0"/>
    <n v="0"/>
    <n v="0"/>
    <n v="0"/>
    <n v="0"/>
    <n v="0"/>
    <n v="0"/>
    <n v="0"/>
  </r>
  <r>
    <x v="5"/>
    <x v="1"/>
    <x v="0"/>
    <s v="2351200"/>
    <n v="700032"/>
    <s v="Salaries-Other Pat Care Providers-OT"/>
    <s v="PC-Burien FM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1200"/>
    <n v="700032"/>
    <s v="Salaries-Other Pat Care Providers-Other"/>
    <s v="PC-Burien FM"/>
    <x v="0"/>
    <n v="2000"/>
    <n v="7.8"/>
    <n v="-7.8"/>
    <n v="0"/>
    <n v="0"/>
    <n v="0"/>
    <n v="0"/>
    <n v="0"/>
    <n v="0"/>
    <n v="0"/>
    <n v="0"/>
    <n v="0"/>
    <n v="0"/>
    <n v="0"/>
    <n v="0"/>
  </r>
  <r>
    <x v="5"/>
    <x v="1"/>
    <x v="0"/>
    <s v="2351200"/>
    <n v="700058"/>
    <s v="Salaries-Supervisory-Non-productive"/>
    <s v="PC-Burien FM"/>
    <x v="0"/>
    <m/>
    <n v="300.08"/>
    <n v="-300.08"/>
    <n v="0"/>
    <n v="0"/>
    <n v="0"/>
    <n v="0"/>
    <n v="0"/>
    <n v="0"/>
    <n v="0"/>
    <n v="0"/>
    <n v="0"/>
    <n v="0"/>
    <n v="0"/>
    <n v="0"/>
  </r>
  <r>
    <x v="5"/>
    <x v="1"/>
    <x v="0"/>
    <s v="2351200"/>
    <n v="700072"/>
    <s v="Salaries-Other Pat Care Providers-NonProd-Other"/>
    <s v="PC-Burien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1200"/>
    <n v="700084"/>
    <s v="Accrued PTO"/>
    <s v="PC-Burien FM"/>
    <x v="0"/>
    <m/>
    <n v="-249.66"/>
    <n v="249.66"/>
    <n v="0"/>
    <n v="0"/>
    <n v="0"/>
    <n v="0"/>
    <n v="0"/>
    <n v="0"/>
    <n v="0"/>
    <n v="0"/>
    <n v="0"/>
    <n v="0"/>
    <n v="0"/>
    <n v="0"/>
  </r>
  <r>
    <x v="6"/>
    <x v="1"/>
    <x v="0"/>
    <s v="2351200"/>
    <n v="713010"/>
    <s v="Benefits-FICA/Medicare"/>
    <s v="PC-Burien FM"/>
    <x v="0"/>
    <m/>
    <n v="139.5"/>
    <n v="-139.5"/>
    <n v="0"/>
    <n v="0"/>
    <n v="0"/>
    <n v="0"/>
    <n v="0"/>
    <n v="0"/>
    <n v="0"/>
    <n v="0"/>
    <n v="0"/>
    <n v="0"/>
    <n v="0"/>
    <n v="0"/>
  </r>
  <r>
    <x v="6"/>
    <x v="1"/>
    <x v="0"/>
    <s v="2351200"/>
    <n v="713090"/>
    <s v="Benefits-Allocated Amounts"/>
    <s v="PC-Burien FM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351200"/>
    <n v="713092"/>
    <s v="Allocated Benefits-Physician"/>
    <s v="PC-Burien FM"/>
    <x v="0"/>
    <m/>
    <n v="58.8"/>
    <n v="-58.8"/>
    <n v="0"/>
    <n v="0"/>
    <n v="0"/>
    <n v="0"/>
    <n v="0"/>
    <n v="0"/>
    <n v="0"/>
    <n v="0"/>
    <n v="0"/>
    <n v="0"/>
    <n v="0"/>
    <n v="0"/>
  </r>
  <r>
    <x v="6"/>
    <x v="1"/>
    <x v="0"/>
    <s v="2351200"/>
    <n v="713093"/>
    <s v="Allocated Benefits-Advanced Practice Clinician"/>
    <s v="PC-Burien FM"/>
    <x v="0"/>
    <m/>
    <n v="169.03"/>
    <n v="-169.03"/>
    <n v="0"/>
    <n v="0"/>
    <n v="0"/>
    <n v="0"/>
    <n v="0"/>
    <n v="0"/>
    <n v="0"/>
    <n v="0"/>
    <n v="0"/>
    <n v="0"/>
    <n v="0"/>
    <n v="0"/>
  </r>
  <r>
    <x v="0"/>
    <x v="1"/>
    <x v="0"/>
    <s v="2351200"/>
    <n v="749510"/>
    <s v="Miscellaneous Expenses"/>
    <s v="PC-Burien FM"/>
    <x v="0"/>
    <m/>
    <n v="-3066.62"/>
    <n v="3066.62"/>
    <n v="0"/>
    <n v="0"/>
    <n v="0"/>
    <n v="0"/>
    <n v="0"/>
    <n v="0"/>
    <n v="0"/>
    <n v="0"/>
    <n v="0"/>
    <n v="0"/>
    <n v="0"/>
    <n v="0"/>
  </r>
  <r>
    <x v="0"/>
    <x v="1"/>
    <x v="0"/>
    <s v="2351200"/>
    <n v="749535"/>
    <s v="Meetings"/>
    <s v="PC-Burien FM"/>
    <x v="0"/>
    <m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52200"/>
    <n v="400029"/>
    <s v="MD Practice Other Rev--Medicare"/>
    <s v="FMC-Gravelly Lake-Fam Med"/>
    <x v="0"/>
    <n v="1100"/>
    <n v="-543"/>
    <n v="-314"/>
    <n v="-2066"/>
    <n v="-4294"/>
    <n v="-5836"/>
    <n v="-4629"/>
    <n v="-7066"/>
    <n v="-4841"/>
    <n v="-4266"/>
    <n v="-3447"/>
    <n v="-2894"/>
    <n v="-2552"/>
    <n v="-42748"/>
    <n v="-342"/>
  </r>
  <r>
    <x v="1"/>
    <x v="1"/>
    <x v="0"/>
    <s v="2352200"/>
    <n v="400029"/>
    <s v="MD Practice Other Rev--Medicaid"/>
    <s v="FMC-Gravelly Lake-Fam Med"/>
    <x v="0"/>
    <n v="1200"/>
    <n v="-748"/>
    <n v="-331"/>
    <n v="-3294"/>
    <n v="-5736"/>
    <n v="-4886"/>
    <n v="-3787"/>
    <n v="-3733"/>
    <n v="-4019"/>
    <n v="-4117"/>
    <n v="-1571"/>
    <n v="-1528"/>
    <n v="-1516"/>
    <n v="-35266"/>
    <n v="-12"/>
  </r>
  <r>
    <x v="1"/>
    <x v="1"/>
    <x v="0"/>
    <s v="2352200"/>
    <n v="400029"/>
    <s v="MD Practice Other Rev--Comm Insurance"/>
    <s v="FMC-Gravelly Lake-Fam Med"/>
    <x v="0"/>
    <n v="1300"/>
    <n v="-42"/>
    <n v="-33"/>
    <n v="-611"/>
    <n v="-847"/>
    <n v="-847"/>
    <n v="-1139"/>
    <n v="-680"/>
    <n v="-1322"/>
    <n v="-622"/>
    <n v="-293"/>
    <n v="-363"/>
    <n v="-251"/>
    <n v="-7050"/>
    <n v="-112"/>
  </r>
  <r>
    <x v="1"/>
    <x v="1"/>
    <x v="0"/>
    <s v="2352200"/>
    <n v="400029"/>
    <s v="MD Practice Other Rev--BCBS Comm"/>
    <s v="FMC-Gravelly Lake-Fam Med"/>
    <x v="0"/>
    <n v="1301"/>
    <n v="-181"/>
    <n v="-255"/>
    <n v="-885"/>
    <n v="-1101"/>
    <n v="-1174"/>
    <n v="-1320"/>
    <n v="-1716"/>
    <n v="-1080"/>
    <n v="-1359"/>
    <n v="-375"/>
    <n v="-807"/>
    <n v="-612"/>
    <n v="-10865"/>
    <n v="-195"/>
  </r>
  <r>
    <x v="1"/>
    <x v="1"/>
    <x v="0"/>
    <s v="2352200"/>
    <n v="400029"/>
    <s v="MD Practice Other Rev--Managed Care"/>
    <s v="FMC-Gravelly Lake-Fam Med"/>
    <x v="0"/>
    <n v="1400"/>
    <n v="-413"/>
    <n v="-422"/>
    <n v="-1640"/>
    <n v="-4776"/>
    <n v="-4235"/>
    <n v="-3267"/>
    <n v="-5328"/>
    <n v="-4061"/>
    <n v="-3496"/>
    <n v="-2654"/>
    <n v="-2981"/>
    <n v="-1111"/>
    <n v="-34384"/>
    <n v="-1870"/>
  </r>
  <r>
    <x v="1"/>
    <x v="1"/>
    <x v="0"/>
    <s v="2352200"/>
    <n v="400029"/>
    <s v="MD Practice Other Rev--Self Pay"/>
    <s v="FMC-Gravelly Lake-Fam Med"/>
    <x v="0"/>
    <n v="1500"/>
    <n v="-164"/>
    <n v="-46"/>
    <n v="-396"/>
    <n v="-65"/>
    <n v="-496"/>
    <n v="-284"/>
    <n v="-326"/>
    <n v="-57"/>
    <n v="-181"/>
    <n v="-132"/>
    <n v="-166"/>
    <n v="-54"/>
    <n v="-2367"/>
    <n v="-112"/>
  </r>
  <r>
    <x v="1"/>
    <x v="1"/>
    <x v="0"/>
    <s v="2352200"/>
    <n v="400029"/>
    <s v="MD Practice Other Rev--Other"/>
    <s v="FMC-Gravelly Lake-Fam Med"/>
    <x v="0"/>
    <n v="1700"/>
    <n v="-114"/>
    <n v="-100"/>
    <n v="-1415"/>
    <n v="-901"/>
    <n v="-1788"/>
    <n v="-1353"/>
    <n v="-1310"/>
    <n v="-1512"/>
    <n v="-919"/>
    <n v="-392"/>
    <n v="-433"/>
    <n v="-422"/>
    <n v="-10659"/>
    <n v="-11"/>
  </r>
  <r>
    <x v="1"/>
    <x v="1"/>
    <x v="0"/>
    <s v="2352200"/>
    <n v="400040"/>
    <s v="Physician Svcs Rev--Medicare"/>
    <s v="FMC-Gravelly Lake-Fam Med"/>
    <x v="0"/>
    <n v="1100"/>
    <n v="-38517"/>
    <n v="-41715"/>
    <n v="-48576"/>
    <n v="-34162"/>
    <n v="-43471"/>
    <n v="-32988"/>
    <n v="-42131"/>
    <n v="-34631"/>
    <n v="-46551"/>
    <n v="-49577"/>
    <n v="-59533"/>
    <n v="-59042"/>
    <n v="-530894"/>
    <n v="-491"/>
  </r>
  <r>
    <x v="1"/>
    <x v="1"/>
    <x v="0"/>
    <s v="2352200"/>
    <n v="400040"/>
    <s v="Physician Svcs Rev--Medicaid"/>
    <s v="FMC-Gravelly Lake-Fam Med"/>
    <x v="0"/>
    <n v="1200"/>
    <n v="-45416.76"/>
    <n v="-48998.720000000001"/>
    <n v="-43346.400000000001"/>
    <n v="-45736.04"/>
    <n v="-49089.26"/>
    <n v="-39772.07"/>
    <n v="-36457.129999999997"/>
    <n v="-45371.92"/>
    <n v="-53601.440000000002"/>
    <n v="-50616.44"/>
    <n v="-44143.6"/>
    <n v="-45646.52"/>
    <n v="-548196.29999999993"/>
    <n v="1502.9199999999983"/>
  </r>
  <r>
    <x v="1"/>
    <x v="1"/>
    <x v="0"/>
    <s v="2352200"/>
    <n v="400040"/>
    <s v="Physician Svcs Rev--Comm Insurance"/>
    <s v="FMC-Gravelly Lake-Fam Med"/>
    <x v="0"/>
    <n v="1300"/>
    <n v="-8292"/>
    <n v="-8364"/>
    <n v="-10159"/>
    <n v="-9762"/>
    <n v="-11193"/>
    <n v="-6141"/>
    <n v="-4723"/>
    <n v="-8385"/>
    <n v="-7604"/>
    <n v="-6465"/>
    <n v="-10028"/>
    <n v="-7926"/>
    <n v="-99042"/>
    <n v="-2102"/>
  </r>
  <r>
    <x v="1"/>
    <x v="1"/>
    <x v="0"/>
    <s v="2352200"/>
    <n v="400040"/>
    <s v="Physician Svcs Rev--BCBS Comm"/>
    <s v="FMC-Gravelly Lake-Fam Med"/>
    <x v="0"/>
    <n v="1301"/>
    <n v="-13557"/>
    <n v="-15817"/>
    <n v="-13507"/>
    <n v="-11167"/>
    <n v="-18026"/>
    <n v="-8723.1299999999992"/>
    <n v="-11106"/>
    <n v="-16116"/>
    <n v="-18287"/>
    <n v="-12999"/>
    <n v="-15986"/>
    <n v="-13530"/>
    <n v="-168821.13"/>
    <n v="-2456"/>
  </r>
  <r>
    <x v="1"/>
    <x v="1"/>
    <x v="0"/>
    <s v="2352200"/>
    <n v="400040"/>
    <s v="Physician Svcs Rev--Managed Care"/>
    <s v="FMC-Gravelly Lake-Fam Med"/>
    <x v="0"/>
    <n v="1400"/>
    <n v="-44225"/>
    <n v="-46862"/>
    <n v="-37946"/>
    <n v="-40827.519999999997"/>
    <n v="-49452.97"/>
    <n v="-34746.129999999997"/>
    <n v="-40350.74"/>
    <n v="-34541"/>
    <n v="-47983.040000000001"/>
    <n v="-42941.120000000003"/>
    <n v="-40821"/>
    <n v="-31953.43"/>
    <n v="-492649.94999999995"/>
    <n v="-8867.57"/>
  </r>
  <r>
    <x v="1"/>
    <x v="1"/>
    <x v="0"/>
    <s v="2352200"/>
    <n v="400040"/>
    <s v="Physician Svcs Rev--Self Pay"/>
    <s v="FMC-Gravelly Lake-Fam Med"/>
    <x v="0"/>
    <n v="1500"/>
    <n v="-3236"/>
    <n v="-2527"/>
    <n v="-1797"/>
    <n v="-1212"/>
    <n v="-3408"/>
    <n v="-2630"/>
    <n v="-3199"/>
    <n v="-2722.75"/>
    <n v="-1164"/>
    <n v="-2037"/>
    <n v="-2865"/>
    <n v="-1659"/>
    <n v="-28456.75"/>
    <n v="-1206"/>
  </r>
  <r>
    <x v="1"/>
    <x v="1"/>
    <x v="0"/>
    <s v="2352200"/>
    <n v="400040"/>
    <s v="Physician Svcs Rev--Other"/>
    <s v="FMC-Gravelly Lake-Fam Med"/>
    <x v="0"/>
    <n v="1700"/>
    <n v="-16956.25"/>
    <n v="-16080"/>
    <n v="-13470"/>
    <n v="-17218.25"/>
    <n v="-19149.13"/>
    <n v="-12538"/>
    <n v="-14559.54"/>
    <n v="-12481.48"/>
    <n v="-13992.01"/>
    <n v="-12741.91"/>
    <n v="-11480"/>
    <n v="-8734"/>
    <n v="-169400.57"/>
    <n v="-2746"/>
  </r>
  <r>
    <x v="2"/>
    <x v="1"/>
    <x v="0"/>
    <s v="2352200"/>
    <n v="450029"/>
    <s v="Contr Allow--MD Other-Medicare"/>
    <s v="FMC-Gravelly Lake-Fam Med"/>
    <x v="0"/>
    <n v="1100"/>
    <n v="45.5"/>
    <n v="269"/>
    <n v="617.21"/>
    <n v="2124.6999999999998"/>
    <n v="3226.11"/>
    <n v="3743.24"/>
    <n v="4412.84"/>
    <n v="3007.75"/>
    <n v="2520.54"/>
    <n v="3052.18"/>
    <n v="1697.03"/>
    <n v="1687.05"/>
    <n v="26403.149999999998"/>
    <n v="9.9800000000000182"/>
  </r>
  <r>
    <x v="2"/>
    <x v="1"/>
    <x v="0"/>
    <s v="2352200"/>
    <n v="450029"/>
    <s v="Contr Allow--MD Other-Medicaid"/>
    <s v="FMC-Gravelly Lake-Fam Med"/>
    <x v="0"/>
    <n v="1200"/>
    <n v="301.94"/>
    <n v="486.29"/>
    <n v="1130.9000000000001"/>
    <n v="4027.65"/>
    <n v="3942.09"/>
    <n v="3034.36"/>
    <n v="2110.63"/>
    <n v="2884.48"/>
    <n v="3828"/>
    <n v="1595.7"/>
    <n v="867.91"/>
    <n v="1601.65"/>
    <n v="25811.600000000002"/>
    <n v="-733.74000000000012"/>
  </r>
  <r>
    <x v="2"/>
    <x v="1"/>
    <x v="0"/>
    <s v="2352200"/>
    <n v="450029"/>
    <s v="Contr Allow--MD Other-Comm Insurance"/>
    <s v="FMC-Gravelly Lake-Fam Med"/>
    <x v="0"/>
    <n v="1300"/>
    <n v="36.06"/>
    <n v="16.940000000000001"/>
    <n v="115.37"/>
    <n v="263.19"/>
    <n v="325.63"/>
    <n v="135.12"/>
    <n v="252"/>
    <n v="400.86"/>
    <n v="274.31"/>
    <n v="200.69"/>
    <n v="51.99"/>
    <n v="101.19"/>
    <n v="2173.35"/>
    <n v="-49.199999999999996"/>
  </r>
  <r>
    <x v="2"/>
    <x v="1"/>
    <x v="0"/>
    <s v="2352200"/>
    <n v="450029"/>
    <s v="Contr Allow--MD Other BCBS Comm"/>
    <s v="FMC-Gravelly Lake-Fam Med"/>
    <x v="0"/>
    <n v="1301"/>
    <n v="102.66"/>
    <n v="189.99"/>
    <n v="170.87"/>
    <n v="337.6"/>
    <n v="156.44999999999999"/>
    <n v="497.55"/>
    <n v="505.76"/>
    <n v="450.53"/>
    <n v="605.5"/>
    <n v="174.68"/>
    <n v="55.14"/>
    <n v="299.88"/>
    <n v="3546.6099999999997"/>
    <n v="-244.74"/>
  </r>
  <r>
    <x v="2"/>
    <x v="1"/>
    <x v="0"/>
    <s v="2352200"/>
    <n v="450029"/>
    <s v="Contr Allow--MD Other-Managed Care"/>
    <s v="FMC-Gravelly Lake-Fam Med"/>
    <x v="0"/>
    <n v="1400"/>
    <n v="131.05000000000001"/>
    <n v="375.08"/>
    <n v="281.42"/>
    <n v="1134.3499999999999"/>
    <n v="1703.38"/>
    <n v="1111.4000000000001"/>
    <n v="1505.54"/>
    <n v="1234.8599999999999"/>
    <n v="1994.3"/>
    <n v="1488.11"/>
    <n v="1296.54"/>
    <n v="862.28"/>
    <n v="13118.31"/>
    <n v="434.26"/>
  </r>
  <r>
    <x v="2"/>
    <x v="1"/>
    <x v="0"/>
    <s v="2352200"/>
    <n v="450029"/>
    <s v="Admin Adjust-MD Other-Self Pay"/>
    <s v="FMC-Gravelly Lake-Fam Med"/>
    <x v="0"/>
    <n v="1600"/>
    <n v="73.91"/>
    <n v="22.94"/>
    <n v="159.30000000000001"/>
    <n v="67.12"/>
    <n v="185.91"/>
    <n v="107.08"/>
    <n v="125.75"/>
    <n v="45.15"/>
    <n v="86.51"/>
    <n v="45.5"/>
    <n v="125.97"/>
    <n v="28.27"/>
    <n v="1073.4099999999999"/>
    <n v="97.7"/>
  </r>
  <r>
    <x v="2"/>
    <x v="1"/>
    <x v="0"/>
    <s v="2352200"/>
    <n v="450029"/>
    <s v="Contr Allow--MD Other-Other"/>
    <s v="FMC-Gravelly Lake-Fam Med"/>
    <x v="0"/>
    <n v="1700"/>
    <n v="98.79"/>
    <n v="77.27"/>
    <n v="88.91"/>
    <n v="442.56"/>
    <n v="947.56"/>
    <n v="796.55"/>
    <n v="617.05999999999995"/>
    <n v="878.54"/>
    <n v="684.64"/>
    <n v="759.52"/>
    <n v="256.54000000000002"/>
    <n v="188.69"/>
    <n v="5836.6299999999992"/>
    <n v="67.850000000000023"/>
  </r>
  <r>
    <x v="2"/>
    <x v="1"/>
    <x v="0"/>
    <s v="2352200"/>
    <n v="450040"/>
    <s v="Contr Allow--Phys Svcs--Mcare"/>
    <s v="FMC-Gravelly Lake-Fam Med"/>
    <x v="0"/>
    <n v="1100"/>
    <n v="16150.54"/>
    <n v="30525.87"/>
    <n v="18893.52"/>
    <n v="35537.730000000003"/>
    <n v="24361.74"/>
    <n v="25550.92"/>
    <n v="29533.72"/>
    <n v="20664.689999999999"/>
    <n v="22828.82"/>
    <n v="31157.89"/>
    <n v="31418.32"/>
    <n v="38902.25"/>
    <n v="325526.01"/>
    <n v="-7483.93"/>
  </r>
  <r>
    <x v="2"/>
    <x v="1"/>
    <x v="0"/>
    <s v="2352200"/>
    <n v="450040"/>
    <s v="Contr Allow--Phys Svcs--Mcaid"/>
    <s v="FMC-Gravelly Lake-Fam Med"/>
    <x v="0"/>
    <n v="1200"/>
    <n v="29109.74"/>
    <n v="41829.760000000002"/>
    <n v="31845.21"/>
    <n v="30233.040000000001"/>
    <n v="36758.17"/>
    <n v="32843.550000000003"/>
    <n v="26580.93"/>
    <n v="31334.720000000001"/>
    <n v="32675.29"/>
    <n v="43740.3"/>
    <n v="31274.9"/>
    <n v="33301.51"/>
    <n v="401527.12"/>
    <n v="-2026.6100000000006"/>
  </r>
  <r>
    <x v="2"/>
    <x v="1"/>
    <x v="0"/>
    <s v="2352200"/>
    <n v="450040"/>
    <s v="Contr Allow--Phys Svcs--Comm Insurance"/>
    <s v="FMC-Gravelly Lake-Fam Med"/>
    <x v="0"/>
    <n v="1300"/>
    <n v="3876.46"/>
    <n v="5069.6000000000004"/>
    <n v="4496.76"/>
    <n v="4166.47"/>
    <n v="4707.42"/>
    <n v="3221.38"/>
    <n v="2111.02"/>
    <n v="2572.04"/>
    <n v="1739.02"/>
    <n v="3123.6"/>
    <n v="2689.37"/>
    <n v="4016.9"/>
    <n v="41790.040000000008"/>
    <n v="-1327.5300000000002"/>
  </r>
  <r>
    <x v="2"/>
    <x v="1"/>
    <x v="0"/>
    <s v="2352200"/>
    <n v="450040"/>
    <s v="Contr Allow--Phys Svcs--BCBS Comm Ins"/>
    <s v="FMC-Gravelly Lake-Fam Med"/>
    <x v="0"/>
    <n v="1301"/>
    <n v="3629.85"/>
    <n v="6357.24"/>
    <n v="3712.55"/>
    <n v="3378.28"/>
    <n v="4393.07"/>
    <n v="4964.6000000000004"/>
    <n v="3677.09"/>
    <n v="2921.33"/>
    <n v="9232.0300000000007"/>
    <n v="3144.65"/>
    <n v="3109.36"/>
    <n v="6967.54"/>
    <n v="55487.59"/>
    <n v="-3858.18"/>
  </r>
  <r>
    <x v="2"/>
    <x v="1"/>
    <x v="0"/>
    <s v="2352200"/>
    <n v="450040"/>
    <s v="Contr Allow--Phys Svcs--Managed Care"/>
    <s v="FMC-Gravelly Lake-Fam Med"/>
    <x v="0"/>
    <n v="1400"/>
    <n v="10655.16"/>
    <n v="19065.55"/>
    <n v="13504.86"/>
    <n v="14039.29"/>
    <n v="18430.23"/>
    <n v="15129.2"/>
    <n v="11175.93"/>
    <n v="10936.22"/>
    <n v="16506.95"/>
    <n v="15668.19"/>
    <n v="19214.759999999998"/>
    <n v="12367.42"/>
    <n v="176693.76000000001"/>
    <n v="6847.3399999999983"/>
  </r>
  <r>
    <x v="2"/>
    <x v="1"/>
    <x v="0"/>
    <s v="2352200"/>
    <n v="450040"/>
    <s v="Contr Allow--Phys Svcs--BCBS Mgnd Care"/>
    <s v="FMC-Gravelly Lake-Fam Med"/>
    <x v="0"/>
    <n v="1401"/>
    <n v="15308.19"/>
    <n v="-13386.81"/>
    <n v="14884.75"/>
    <n v="-5290.34"/>
    <n v="6988.66"/>
    <n v="-15846.76"/>
    <n v="7914.6"/>
    <n v="11604.63"/>
    <n v="8144.72"/>
    <n v="-12588.38"/>
    <n v="4631.45"/>
    <n v="-6991.04"/>
    <n v="15373.670000000002"/>
    <n v="11622.49"/>
  </r>
  <r>
    <x v="2"/>
    <x v="1"/>
    <x v="0"/>
    <s v="2352200"/>
    <n v="450040"/>
    <s v="Prompt Pay Disc-Phys Svcs-Self Pay"/>
    <s v="FMC-Gravelly Lake-Fam Med"/>
    <x v="0"/>
    <n v="1500"/>
    <n v="0"/>
    <n v="0"/>
    <n v="0"/>
    <n v="0"/>
    <n v="0"/>
    <n v="0"/>
    <n v="0"/>
    <n v="0"/>
    <n v="0"/>
    <n v="0"/>
    <n v="126"/>
    <n v="0"/>
    <n v="126"/>
    <n v="126"/>
  </r>
  <r>
    <x v="2"/>
    <x v="1"/>
    <x v="0"/>
    <s v="2352200"/>
    <n v="450040"/>
    <s v="Admin Adjust-Phys Svcs-Self Pay"/>
    <s v="FMC-Gravelly Lake-Fam Med"/>
    <x v="0"/>
    <n v="1600"/>
    <n v="810.5"/>
    <n v="1178.94"/>
    <n v="1393.79"/>
    <n v="736.55"/>
    <n v="1592.4"/>
    <n v="1101.25"/>
    <n v="2348.58"/>
    <n v="1183.93"/>
    <n v="645.61"/>
    <n v="1077.49"/>
    <n v="1263.28"/>
    <n v="682.92"/>
    <n v="14015.240000000002"/>
    <n v="580.36"/>
  </r>
  <r>
    <x v="2"/>
    <x v="1"/>
    <x v="0"/>
    <s v="2352200"/>
    <n v="450040"/>
    <s v="Contr Allow--Phys Svcs--Other"/>
    <s v="FMC-Gravelly Lake-Fam Med"/>
    <x v="0"/>
    <n v="1700"/>
    <n v="13822.7"/>
    <n v="11625.89"/>
    <n v="7894.89"/>
    <n v="9583.48"/>
    <n v="8854.18"/>
    <n v="9512.1200000000008"/>
    <n v="8887.27"/>
    <n v="8505.74"/>
    <n v="8318.0499999999993"/>
    <n v="11559.92"/>
    <n v="9001.84"/>
    <n v="6661.74"/>
    <n v="114227.82000000002"/>
    <n v="2340.1000000000004"/>
  </r>
  <r>
    <x v="3"/>
    <x v="1"/>
    <x v="0"/>
    <s v="2352200"/>
    <n v="470040"/>
    <s v="Charity Care-Physician Svcs"/>
    <s v="FMC-Gravelly Lake-Fam Med"/>
    <x v="0"/>
    <m/>
    <n v="1554.54"/>
    <n v="536.05999999999995"/>
    <n v="1348.02"/>
    <n v="-35.6"/>
    <n v="544.13"/>
    <n v="-551.17999999999995"/>
    <n v="650.24"/>
    <n v="1041.8900000000001"/>
    <n v="4269.51"/>
    <n v="1061.69"/>
    <n v="502.42"/>
    <n v="1325.17"/>
    <n v="12246.890000000001"/>
    <n v="-822.75"/>
  </r>
  <r>
    <x v="4"/>
    <x v="1"/>
    <x v="0"/>
    <s v="2352200"/>
    <n v="490010"/>
    <s v="Provision for Bad Debts"/>
    <s v="FMC-Gravelly Lake-Fam Med"/>
    <x v="0"/>
    <m/>
    <n v="4476.22"/>
    <n v="689.3"/>
    <n v="5831.85"/>
    <n v="4491.7"/>
    <n v="4206.93"/>
    <n v="238.53"/>
    <n v="1346.26"/>
    <n v="2999.44"/>
    <n v="1536.65"/>
    <n v="2162.92"/>
    <n v="5156.04"/>
    <n v="1251.23"/>
    <n v="34387.07"/>
    <n v="3904.81"/>
  </r>
  <r>
    <x v="5"/>
    <x v="1"/>
    <x v="0"/>
    <s v="2352200"/>
    <n v="700022"/>
    <s v="Salaries-Physician-Productive"/>
    <s v="FMC-Gravelly Lake-Fam Med"/>
    <x v="0"/>
    <m/>
    <n v="18899.98"/>
    <n v="20948.84"/>
    <n v="18858.93"/>
    <n v="29579.5"/>
    <n v="27572.42"/>
    <n v="6780.36"/>
    <n v="20793.05"/>
    <n v="18717.34"/>
    <n v="20727.97"/>
    <n v="21715.01"/>
    <n v="25281.84"/>
    <n v="11160.35"/>
    <n v="241035.59"/>
    <n v="14121.49"/>
  </r>
  <r>
    <x v="5"/>
    <x v="1"/>
    <x v="0"/>
    <s v="2352200"/>
    <n v="700024"/>
    <s v="Salaries-Advanced Practice Clinician-Productive"/>
    <s v="FMC-Gravelly Lake-Fam Med"/>
    <x v="0"/>
    <m/>
    <n v="14082.48"/>
    <n v="19381.560000000001"/>
    <n v="14468.8"/>
    <n v="15011.38"/>
    <n v="16739.919999999998"/>
    <n v="14296.42"/>
    <n v="9211.48"/>
    <n v="19419.939999999999"/>
    <n v="26852.82"/>
    <n v="21570.45"/>
    <n v="31849.63"/>
    <n v="18256.150000000001"/>
    <n v="221141.03"/>
    <n v="13593.48"/>
  </r>
  <r>
    <x v="5"/>
    <x v="1"/>
    <x v="0"/>
    <s v="2352200"/>
    <n v="700024"/>
    <s v="Salaries-Advanced Practice Clinician-Other"/>
    <s v="FMC-Gravelly Lake-Fam Med"/>
    <x v="0"/>
    <n v="2000"/>
    <n v="0"/>
    <n v="0"/>
    <n v="0"/>
    <n v="0"/>
    <n v="0"/>
    <n v="0"/>
    <n v="0"/>
    <n v="0"/>
    <n v="0"/>
    <n v="1385.85"/>
    <n v="-1.42"/>
    <n v="0"/>
    <n v="1384.4299999999998"/>
    <n v="-1.42"/>
  </r>
  <r>
    <x v="5"/>
    <x v="1"/>
    <x v="0"/>
    <s v="2352200"/>
    <n v="700024"/>
    <s v="Salaries-Advanced Practice Clinician-Provider Incentive"/>
    <s v="FMC-Gravelly Lake-Fam Med"/>
    <x v="0"/>
    <n v="4003"/>
    <n v="0"/>
    <n v="0"/>
    <n v="0"/>
    <n v="0"/>
    <n v="0"/>
    <n v="0"/>
    <n v="0"/>
    <n v="0"/>
    <n v="0"/>
    <n v="0"/>
    <n v="3808.36"/>
    <n v="-5.57"/>
    <n v="3802.79"/>
    <n v="3813.9300000000003"/>
  </r>
  <r>
    <x v="5"/>
    <x v="1"/>
    <x v="0"/>
    <s v="2352200"/>
    <n v="700026"/>
    <s v="Salaries-RN-Productive"/>
    <s v="FMC-Gravelly Lake-Fam Med"/>
    <x v="0"/>
    <m/>
    <n v="0"/>
    <n v="0"/>
    <n v="0"/>
    <n v="0"/>
    <n v="0"/>
    <n v="0"/>
    <n v="0"/>
    <n v="305.19"/>
    <n v="2701.84"/>
    <n v="1519.32"/>
    <n v="0"/>
    <n v="0"/>
    <n v="4526.3500000000004"/>
    <n v="0"/>
  </r>
  <r>
    <x v="5"/>
    <x v="1"/>
    <x v="0"/>
    <s v="2352200"/>
    <n v="700026"/>
    <s v="Salaries-RN-OT"/>
    <s v="FMC-Gravelly Lake-Fam Med"/>
    <x v="0"/>
    <n v="1000"/>
    <n v="0"/>
    <n v="0"/>
    <n v="0"/>
    <n v="0"/>
    <n v="0"/>
    <n v="0"/>
    <n v="0"/>
    <n v="0"/>
    <n v="405.28"/>
    <n v="-123.34"/>
    <n v="0"/>
    <n v="0"/>
    <n v="281.93999999999994"/>
    <n v="0"/>
  </r>
  <r>
    <x v="5"/>
    <x v="1"/>
    <x v="0"/>
    <s v="2352200"/>
    <n v="700030"/>
    <s v="Salaries-LPN-Productive"/>
    <s v="FMC-Gravelly Lake-Fam Med"/>
    <x v="0"/>
    <m/>
    <n v="3837.43"/>
    <n v="2840.84"/>
    <n v="3791.61"/>
    <n v="555.57000000000005"/>
    <n v="0"/>
    <n v="0"/>
    <n v="0"/>
    <n v="876.34"/>
    <n v="-177.9"/>
    <n v="405.37"/>
    <n v="-166.91"/>
    <n v="0"/>
    <n v="11962.350000000002"/>
    <n v="-166.91"/>
  </r>
  <r>
    <x v="5"/>
    <x v="1"/>
    <x v="0"/>
    <s v="2352200"/>
    <n v="700030"/>
    <s v="Salaries-LPN-OT"/>
    <s v="FMC-Gravelly Lake-Fam Med"/>
    <x v="0"/>
    <n v="1000"/>
    <n v="534.36"/>
    <n v="341.95"/>
    <n v="1048.1400000000001"/>
    <n v="0"/>
    <n v="0"/>
    <n v="0"/>
    <n v="0"/>
    <n v="235.83"/>
    <n v="-67.38"/>
    <n v="0"/>
    <n v="0"/>
    <n v="0"/>
    <n v="2092.9"/>
    <n v="0"/>
  </r>
  <r>
    <x v="5"/>
    <x v="1"/>
    <x v="0"/>
    <s v="2352200"/>
    <n v="700030"/>
    <s v="Salaries-LPN-Other"/>
    <s v="FMC-Gravelly Lake-Fam Med"/>
    <x v="0"/>
    <n v="2000"/>
    <n v="0"/>
    <n v="0"/>
    <n v="0"/>
    <n v="0"/>
    <n v="0"/>
    <n v="0"/>
    <n v="0"/>
    <n v="22.09"/>
    <n v="-6.31"/>
    <n v="17.45"/>
    <n v="-7.18"/>
    <n v="0"/>
    <n v="26.050000000000004"/>
    <n v="-7.18"/>
  </r>
  <r>
    <x v="5"/>
    <x v="1"/>
    <x v="0"/>
    <s v="2352200"/>
    <n v="700032"/>
    <s v="Salaries-Other Pat Care Providers-Productive"/>
    <s v="FMC-Gravelly Lake-Fam Med"/>
    <x v="0"/>
    <m/>
    <n v="0"/>
    <n v="0"/>
    <n v="0"/>
    <n v="635.66999999999996"/>
    <n v="928.1"/>
    <n v="2437.81"/>
    <n v="-36.11"/>
    <n v="486.58"/>
    <n v="309.81"/>
    <n v="71.930000000000007"/>
    <n v="0"/>
    <n v="0"/>
    <n v="4833.7900000000009"/>
    <n v="0"/>
  </r>
  <r>
    <x v="5"/>
    <x v="1"/>
    <x v="0"/>
    <s v="2352200"/>
    <n v="700032"/>
    <s v="Salaries-Other Pat Care Providers-OT"/>
    <s v="FMC-Gravelly Lake-Fam Med"/>
    <x v="0"/>
    <n v="1000"/>
    <n v="0"/>
    <n v="0"/>
    <n v="0"/>
    <n v="0"/>
    <n v="0"/>
    <n v="30.22"/>
    <n v="0"/>
    <n v="22.61"/>
    <n v="106.67"/>
    <n v="0"/>
    <n v="0"/>
    <n v="0"/>
    <n v="159.5"/>
    <n v="0"/>
  </r>
  <r>
    <x v="5"/>
    <x v="1"/>
    <x v="0"/>
    <s v="2352200"/>
    <n v="700032"/>
    <s v="Salaries-Other Pat Care Providers-Other"/>
    <s v="FMC-Gravelly Lake-Fam Med"/>
    <x v="0"/>
    <n v="2000"/>
    <n v="0"/>
    <n v="0"/>
    <n v="0"/>
    <n v="0"/>
    <n v="20"/>
    <n v="94.8"/>
    <n v="-0.8"/>
    <n v="24.78"/>
    <n v="18.649999999999999"/>
    <n v="3.64"/>
    <n v="0"/>
    <n v="0"/>
    <n v="161.07"/>
    <n v="0"/>
  </r>
  <r>
    <x v="5"/>
    <x v="1"/>
    <x v="0"/>
    <s v="2352200"/>
    <n v="700038"/>
    <s v="Salaries-Service/Support-Productive"/>
    <s v="FMC-Gravelly Lake-Fam Med"/>
    <x v="0"/>
    <m/>
    <n v="0"/>
    <n v="0"/>
    <n v="0"/>
    <n v="0"/>
    <n v="0"/>
    <n v="0"/>
    <n v="0"/>
    <n v="0"/>
    <n v="0"/>
    <n v="1324.78"/>
    <n v="-545.49"/>
    <n v="0"/>
    <n v="779.29"/>
    <n v="-545.49"/>
  </r>
  <r>
    <x v="5"/>
    <x v="1"/>
    <x v="0"/>
    <s v="2352200"/>
    <n v="700062"/>
    <s v="Salaries-Physician-Non-productive"/>
    <s v="FMC-Gravelly Lake-Fam Med"/>
    <x v="0"/>
    <m/>
    <n v="2288.46"/>
    <n v="0"/>
    <n v="0"/>
    <n v="2059.61"/>
    <n v="-915.38"/>
    <n v="5132.16"/>
    <n v="701.56"/>
    <n v="1233.81"/>
    <n v="0"/>
    <n v="0"/>
    <n v="0"/>
    <n v="11147.34"/>
    <n v="21647.559999999998"/>
    <n v="-11147.34"/>
  </r>
  <r>
    <x v="5"/>
    <x v="1"/>
    <x v="0"/>
    <s v="2352200"/>
    <n v="700062"/>
    <s v="Salaries-Physician-NonProd-Other"/>
    <s v="FMC-Gravelly Lake-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2200"/>
    <n v="700064"/>
    <s v="Salaries-Advanced Practice Clinician-Non-Productive"/>
    <s v="FMC-Gravelly Lake-Fam Med"/>
    <x v="0"/>
    <m/>
    <n v="0"/>
    <n v="0"/>
    <n v="0"/>
    <n v="1627.74"/>
    <n v="-723.44"/>
    <n v="1001.66"/>
    <n v="7569.2"/>
    <n v="2088.63"/>
    <n v="-609.1"/>
    <n v="6511.33"/>
    <n v="-2374.5500000000002"/>
    <n v="5979.33"/>
    <n v="21070.800000000003"/>
    <n v="-8353.880000000001"/>
  </r>
  <r>
    <x v="5"/>
    <x v="1"/>
    <x v="0"/>
    <s v="2352200"/>
    <n v="700070"/>
    <s v="Salaries-LPN-Non-productive"/>
    <s v="FMC-Gravelly Lake-Fam Med"/>
    <x v="0"/>
    <m/>
    <n v="194.74"/>
    <n v="1374.6"/>
    <n v="-274.92"/>
    <n v="787.61"/>
    <n v="-189.68"/>
    <n v="0"/>
    <n v="0"/>
    <n v="0"/>
    <n v="0"/>
    <n v="0"/>
    <n v="0"/>
    <n v="0"/>
    <n v="1892.3499999999997"/>
    <n v="0"/>
  </r>
  <r>
    <x v="5"/>
    <x v="1"/>
    <x v="0"/>
    <s v="2352200"/>
    <n v="700072"/>
    <s v="Salaries-Other Pat Care Providers-NonProd-Other"/>
    <s v="FMC-Gravelly Lake-Fam Med"/>
    <x v="0"/>
    <n v="2000"/>
    <n v="0"/>
    <n v="0"/>
    <n v="0"/>
    <n v="0"/>
    <n v="0"/>
    <n v="39.630000000000003"/>
    <n v="0"/>
    <n v="0"/>
    <n v="14.87"/>
    <n v="-4.95"/>
    <n v="0"/>
    <n v="0"/>
    <n v="49.55"/>
    <n v="0"/>
  </r>
  <r>
    <x v="5"/>
    <x v="1"/>
    <x v="0"/>
    <s v="2352200"/>
    <n v="700084"/>
    <s v="Accrued PTO"/>
    <s v="FMC-Gravelly Lake-Fam Med"/>
    <x v="0"/>
    <m/>
    <n v="434.83"/>
    <n v="-499.67"/>
    <n v="-183.28"/>
    <n v="-289.57"/>
    <n v="0"/>
    <n v="0"/>
    <n v="0"/>
    <n v="0"/>
    <n v="0"/>
    <n v="0"/>
    <n v="0"/>
    <n v="0"/>
    <n v="-537.69000000000005"/>
    <n v="0"/>
  </r>
  <r>
    <x v="6"/>
    <x v="1"/>
    <x v="0"/>
    <s v="2352200"/>
    <n v="713010"/>
    <s v="Benefits-FICA/Medicare"/>
    <s v="FMC-Gravelly Lake-Fam Med"/>
    <x v="0"/>
    <m/>
    <n v="1815.92"/>
    <n v="2173.92"/>
    <n v="1146.3399999999999"/>
    <n v="1797.74"/>
    <n v="1058.1400000000001"/>
    <n v="1225.31"/>
    <n v="2877.43"/>
    <n v="3277.08"/>
    <n v="3792.45"/>
    <n v="4170.8"/>
    <n v="4591.07"/>
    <n v="2745.44"/>
    <n v="30671.64"/>
    <n v="1845.6299999999997"/>
  </r>
  <r>
    <x v="6"/>
    <x v="1"/>
    <x v="0"/>
    <s v="2352200"/>
    <n v="713090"/>
    <s v="Benefits-Allocated Amounts"/>
    <s v="FMC-Gravelly Lake-Fam Med"/>
    <x v="0"/>
    <m/>
    <n v="0"/>
    <n v="0"/>
    <n v="0"/>
    <n v="0"/>
    <n v="0"/>
    <n v="0"/>
    <n v="0"/>
    <n v="0"/>
    <n v="10935.19"/>
    <n v="1616.86"/>
    <n v="1477.54"/>
    <n v="1438.57"/>
    <n v="15468.16"/>
    <n v="38.970000000000027"/>
  </r>
  <r>
    <x v="6"/>
    <x v="1"/>
    <x v="0"/>
    <s v="2352200"/>
    <n v="713092"/>
    <s v="Allocated Benefits-Physician"/>
    <s v="FMC-Gravelly Lake-Fam Med"/>
    <x v="0"/>
    <m/>
    <n v="2557.2600000000002"/>
    <n v="2347.34"/>
    <n v="2401.7600000000002"/>
    <n v="2576.66"/>
    <n v="2202.66"/>
    <n v="1926.88"/>
    <n v="2318.3200000000002"/>
    <n v="2854.54"/>
    <n v="-3956.66"/>
    <n v="2251.71"/>
    <n v="2057.67"/>
    <n v="2003.42"/>
    <n v="21541.559999999998"/>
    <n v="54.25"/>
  </r>
  <r>
    <x v="6"/>
    <x v="1"/>
    <x v="0"/>
    <s v="2352200"/>
    <n v="713093"/>
    <s v="Allocated Benefits-Advanced Practice Clinician"/>
    <s v="FMC-Gravelly Lake-Fam Med"/>
    <x v="0"/>
    <m/>
    <n v="1983.37"/>
    <n v="1820.56"/>
    <n v="1862.77"/>
    <n v="1998.4"/>
    <n v="1708.36"/>
    <n v="1494.45"/>
    <n v="1798.05"/>
    <n v="2213.9299999999998"/>
    <n v="-925.79"/>
    <n v="2063.25"/>
    <n v="1885.44"/>
    <n v="1835.73"/>
    <n v="19738.52"/>
    <n v="49.710000000000036"/>
  </r>
  <r>
    <x v="6"/>
    <x v="1"/>
    <x v="0"/>
    <s v="2352200"/>
    <n v="713096"/>
    <s v="Employee Recognition"/>
    <s v="FMC-Gravelly Lake-Fam Med"/>
    <x v="0"/>
    <n v="1017"/>
    <n v="0"/>
    <n v="0"/>
    <n v="0"/>
    <n v="0"/>
    <n v="0"/>
    <n v="0"/>
    <n v="260.89"/>
    <n v="0"/>
    <n v="0"/>
    <n v="0"/>
    <n v="0"/>
    <n v="0"/>
    <n v="260.89"/>
    <n v="0"/>
  </r>
  <r>
    <x v="7"/>
    <x v="1"/>
    <x v="0"/>
    <s v="2352200"/>
    <n v="718050"/>
    <s v="Cleaning Services"/>
    <s v="FMC-Gravelly Lake-Fam Med"/>
    <x v="0"/>
    <n v="1011"/>
    <n v="0"/>
    <n v="0"/>
    <n v="0"/>
    <n v="2498.94"/>
    <n v="0"/>
    <n v="0"/>
    <n v="0"/>
    <n v="0"/>
    <n v="0"/>
    <n v="0"/>
    <n v="0"/>
    <n v="0"/>
    <n v="2498.94"/>
    <n v="0"/>
  </r>
  <r>
    <x v="7"/>
    <x v="1"/>
    <x v="0"/>
    <s v="2352200"/>
    <n v="718050"/>
    <s v="Miscellaneous Purchased Svcs"/>
    <s v="FMC-Gravelly Lake-Fam Med"/>
    <x v="0"/>
    <n v="1020"/>
    <n v="125.23"/>
    <n v="-134.19999999999999"/>
    <n v="340.67"/>
    <n v="94.61"/>
    <n v="195.46"/>
    <n v="101.36"/>
    <n v="133.33000000000001"/>
    <n v="122.08"/>
    <n v="169.77"/>
    <n v="11.09"/>
    <n v="219.6"/>
    <n v="143.44"/>
    <n v="1522.44"/>
    <n v="76.16"/>
  </r>
  <r>
    <x v="0"/>
    <x v="1"/>
    <x v="0"/>
    <s v="2352200"/>
    <n v="740022"/>
    <s v="Education-Physician"/>
    <s v="FMC-Gravelly Lake-Fam Med"/>
    <x v="0"/>
    <m/>
    <n v="0"/>
    <n v="0"/>
    <n v="0"/>
    <n v="945"/>
    <n v="0"/>
    <n v="0"/>
    <n v="0"/>
    <n v="0"/>
    <n v="0"/>
    <n v="0"/>
    <n v="0"/>
    <n v="0"/>
    <n v="945"/>
    <n v="0"/>
  </r>
  <r>
    <x v="8"/>
    <x v="1"/>
    <x v="0"/>
    <s v="2352200"/>
    <n v="741012"/>
    <s v="Physician Liab Insurance-CHI Program"/>
    <s v="FMC-Gravelly Lake-Fam Med"/>
    <x v="0"/>
    <m/>
    <n v="1184.1600000000001"/>
    <n v="1184.1600000000001"/>
    <n v="1184.1600000000001"/>
    <n v="1184.1600000000001"/>
    <n v="1184.18"/>
    <n v="1184.1600000000001"/>
    <n v="1184.18"/>
    <n v="1184.1600000000001"/>
    <n v="1184.18"/>
    <n v="1184.1600000000001"/>
    <n v="1184.18"/>
    <n v="1184.1600000000001"/>
    <n v="14210"/>
    <n v="1.999999999998181E-2"/>
  </r>
  <r>
    <x v="0"/>
    <x v="1"/>
    <x v="0"/>
    <s v="2352200"/>
    <n v="743022"/>
    <s v="Dues-Physician"/>
    <s v="FMC-Gravelly Lake-Fam Med"/>
    <x v="0"/>
    <m/>
    <n v="0"/>
    <n v="0"/>
    <n v="0"/>
    <n v="0"/>
    <n v="0"/>
    <n v="0"/>
    <n v="0"/>
    <n v="820"/>
    <n v="0"/>
    <n v="0"/>
    <n v="0"/>
    <n v="0"/>
    <n v="820"/>
    <n v="0"/>
  </r>
  <r>
    <x v="0"/>
    <x v="1"/>
    <x v="0"/>
    <s v="2352200"/>
    <n v="749510"/>
    <s v="Miscellaneous Expenses"/>
    <s v="FMC-Gravelly Lake-Fam Med"/>
    <x v="0"/>
    <m/>
    <n v="0"/>
    <n v="-35"/>
    <n v="0"/>
    <n v="0"/>
    <n v="541.84"/>
    <n v="-280.95"/>
    <n v="-260.89"/>
    <n v="0"/>
    <n v="0"/>
    <n v="0"/>
    <n v="0"/>
    <n v="0"/>
    <n v="-34.999999999999943"/>
    <n v="0"/>
  </r>
  <r>
    <x v="0"/>
    <x v="1"/>
    <x v="0"/>
    <s v="2352200"/>
    <n v="749512"/>
    <s v="Licenses-Physician"/>
    <s v="FMC-Gravelly Lake-Fam Med"/>
    <x v="0"/>
    <n v="2000"/>
    <n v="0"/>
    <n v="0"/>
    <n v="0"/>
    <n v="1867"/>
    <n v="0"/>
    <n v="441"/>
    <n v="0"/>
    <n v="0"/>
    <n v="0"/>
    <n v="731"/>
    <n v="0"/>
    <n v="0"/>
    <n v="3039"/>
    <n v="0"/>
  </r>
  <r>
    <x v="0"/>
    <x v="1"/>
    <x v="0"/>
    <s v="2352200"/>
    <n v="749513"/>
    <s v="Licenses-Advanced Practice Clinician"/>
    <s v="FMC-Gravelly Lake-Fam Med"/>
    <x v="0"/>
    <n v="2000"/>
    <n v="0"/>
    <n v="0"/>
    <n v="0"/>
    <n v="0"/>
    <n v="0"/>
    <n v="0"/>
    <n v="0"/>
    <n v="0"/>
    <n v="120"/>
    <n v="0"/>
    <n v="0"/>
    <n v="0"/>
    <n v="120"/>
    <n v="0"/>
  </r>
  <r>
    <x v="0"/>
    <x v="1"/>
    <x v="0"/>
    <s v="2352200"/>
    <n v="749530"/>
    <s v="Mileage"/>
    <s v="FMC-Gravelly Lake-Fam Med"/>
    <x v="0"/>
    <n v="1001"/>
    <n v="0"/>
    <n v="0"/>
    <n v="0"/>
    <n v="13.63"/>
    <n v="0"/>
    <n v="264.89999999999998"/>
    <n v="234.9"/>
    <n v="23.2"/>
    <n v="0"/>
    <n v="0"/>
    <n v="0"/>
    <n v="0"/>
    <n v="536.63"/>
    <n v="0"/>
  </r>
  <r>
    <x v="0"/>
    <x v="1"/>
    <x v="0"/>
    <s v="2352200"/>
    <n v="749532"/>
    <s v="Travel-Physician"/>
    <s v="FMC-Gravelly Lake-Fam Med"/>
    <x v="0"/>
    <m/>
    <n v="0"/>
    <n v="0"/>
    <n v="0"/>
    <n v="2005.04"/>
    <n v="0"/>
    <n v="0"/>
    <n v="0"/>
    <n v="0"/>
    <n v="0"/>
    <n v="0"/>
    <n v="0"/>
    <n v="0"/>
    <n v="2005.04"/>
    <n v="0"/>
  </r>
  <r>
    <x v="0"/>
    <x v="1"/>
    <x v="0"/>
    <s v="2352200"/>
    <n v="749591"/>
    <s v="Other Expense-Intracompany Allocation"/>
    <s v="FMC-Gravelly Lake-Fam Med"/>
    <x v="0"/>
    <m/>
    <n v="29725.46"/>
    <n v="35141.629999999997"/>
    <n v="43959.71"/>
    <n v="55537.49"/>
    <n v="35484.17"/>
    <n v="42884.83"/>
    <n v="31620.86"/>
    <n v="44787.03"/>
    <n v="27486.61"/>
    <n v="27367.48"/>
    <n v="69278.02"/>
    <n v="37426.04"/>
    <n v="480699.3299999999"/>
    <n v="31851.980000000003"/>
  </r>
  <r>
    <x v="1"/>
    <x v="1"/>
    <x v="0"/>
    <s v="2353200"/>
    <n v="400029"/>
    <s v="MD Practice Other Rev--Medicaid"/>
    <s v="Lakewood Clinic-Peds"/>
    <x v="0"/>
    <n v="1200"/>
    <n v="-24"/>
    <n v="-99"/>
    <n v="-105"/>
    <n v="-48"/>
    <n v="-69"/>
    <n v="-269"/>
    <n v="-1630"/>
    <n v="-1067"/>
    <n v="-1655"/>
    <n v="-397"/>
    <n v="-241"/>
    <n v="-75"/>
    <n v="-5679"/>
    <n v="-166"/>
  </r>
  <r>
    <x v="1"/>
    <x v="1"/>
    <x v="0"/>
    <s v="2353200"/>
    <n v="400029"/>
    <s v="MD Practice Other Rev--Comm Insurance"/>
    <s v="Lakewood Clinic-Peds"/>
    <x v="0"/>
    <n v="1300"/>
    <n v="0"/>
    <n v="0"/>
    <n v="0"/>
    <n v="0"/>
    <n v="0"/>
    <n v="0"/>
    <n v="0"/>
    <n v="0"/>
    <n v="-131"/>
    <n v="-24"/>
    <n v="0"/>
    <n v="0"/>
    <n v="-155"/>
    <n v="0"/>
  </r>
  <r>
    <x v="1"/>
    <x v="1"/>
    <x v="0"/>
    <s v="2353200"/>
    <n v="400029"/>
    <s v="MD Practice Other Rev--BCBS Comm"/>
    <s v="Lakewood Clinic-Peds"/>
    <x v="0"/>
    <n v="1301"/>
    <n v="0"/>
    <n v="0"/>
    <n v="-45"/>
    <n v="-45"/>
    <n v="-24"/>
    <n v="0"/>
    <n v="0"/>
    <n v="-131"/>
    <n v="-131"/>
    <n v="-24"/>
    <n v="-60"/>
    <n v="0"/>
    <n v="-460"/>
    <n v="-60"/>
  </r>
  <r>
    <x v="1"/>
    <x v="1"/>
    <x v="0"/>
    <s v="2353200"/>
    <n v="400029"/>
    <s v="MD Practice Other Rev--Managed Care"/>
    <s v="Lakewood Clinic-Peds"/>
    <x v="0"/>
    <n v="1400"/>
    <n v="0"/>
    <n v="-29"/>
    <n v="0"/>
    <n v="-95"/>
    <n v="0"/>
    <n v="0"/>
    <n v="-397"/>
    <n v="-491"/>
    <n v="-384"/>
    <n v="-69"/>
    <n v="-10"/>
    <n v="-24"/>
    <n v="-1499"/>
    <n v="14"/>
  </r>
  <r>
    <x v="1"/>
    <x v="1"/>
    <x v="0"/>
    <s v="2353200"/>
    <n v="400029"/>
    <s v="MD Practice Other Rev--Self Pay"/>
    <s v="Lakewood Clinic-Peds"/>
    <x v="0"/>
    <n v="1500"/>
    <n v="0"/>
    <n v="0"/>
    <n v="0"/>
    <n v="0"/>
    <n v="0"/>
    <n v="0"/>
    <n v="-45"/>
    <n v="45"/>
    <n v="0"/>
    <n v="0"/>
    <n v="0"/>
    <n v="0"/>
    <n v="0"/>
    <n v="0"/>
  </r>
  <r>
    <x v="1"/>
    <x v="1"/>
    <x v="0"/>
    <s v="2353200"/>
    <n v="400029"/>
    <s v="MD Practice Other Rev--Other"/>
    <s v="Lakewood Clinic-Peds"/>
    <x v="0"/>
    <n v="1700"/>
    <n v="-45"/>
    <n v="19"/>
    <n v="0"/>
    <n v="0"/>
    <n v="0"/>
    <n v="0"/>
    <n v="-10"/>
    <n v="-442"/>
    <n v="-483"/>
    <n v="-155"/>
    <n v="0"/>
    <n v="0"/>
    <n v="-1116"/>
    <n v="0"/>
  </r>
  <r>
    <x v="1"/>
    <x v="1"/>
    <x v="0"/>
    <s v="2353200"/>
    <n v="400040"/>
    <s v="Physician Svcs Rev--Medicare"/>
    <s v="Lakewood Clinic-Peds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53200"/>
    <n v="400040"/>
    <s v="Physician Svcs Rev--Medicaid"/>
    <s v="Lakewood Clinic-Peds"/>
    <x v="0"/>
    <n v="1200"/>
    <n v="-42914.44"/>
    <n v="-56175.32"/>
    <n v="-55754.68"/>
    <n v="-61810.46"/>
    <n v="-36197.96"/>
    <n v="-46393.72"/>
    <n v="-71170.850000000006"/>
    <n v="-50970.720000000001"/>
    <n v="-58948.4"/>
    <n v="-60003.519999999997"/>
    <n v="-55707.94"/>
    <n v="-54562.36"/>
    <n v="-650610.37"/>
    <n v="-1145.5800000000017"/>
  </r>
  <r>
    <x v="1"/>
    <x v="1"/>
    <x v="0"/>
    <s v="2353200"/>
    <n v="400040"/>
    <s v="Physician Svcs Rev--Comm Insurance"/>
    <s v="Lakewood Clinic-Peds"/>
    <x v="0"/>
    <n v="1300"/>
    <n v="-2204.81"/>
    <n v="-2130.5700000000002"/>
    <n v="-2230.85"/>
    <n v="-2633.13"/>
    <n v="-1356.65"/>
    <n v="-1880.7"/>
    <n v="-3162.17"/>
    <n v="-922.57"/>
    <n v="-2419.3000000000002"/>
    <n v="-973"/>
    <n v="-2657.57"/>
    <n v="-810"/>
    <n v="-23381.32"/>
    <n v="-1847.5700000000002"/>
  </r>
  <r>
    <x v="1"/>
    <x v="1"/>
    <x v="0"/>
    <s v="2353200"/>
    <n v="400040"/>
    <s v="Physician Svcs Rev--BCBS Comm"/>
    <s v="Lakewood Clinic-Peds"/>
    <x v="0"/>
    <n v="1301"/>
    <n v="-4542.88"/>
    <n v="-5449.98"/>
    <n v="-7407.75"/>
    <n v="-5798.1"/>
    <n v="-4567.6000000000004"/>
    <n v="-3154.19"/>
    <n v="-9506.93"/>
    <n v="-4473.33"/>
    <n v="-6116.15"/>
    <n v="-5156.1899999999996"/>
    <n v="-7874.32"/>
    <n v="-13134.47"/>
    <n v="-77181.89"/>
    <n v="5260.15"/>
  </r>
  <r>
    <x v="1"/>
    <x v="1"/>
    <x v="0"/>
    <s v="2353200"/>
    <n v="400040"/>
    <s v="Physician Svcs Rev--Managed Care"/>
    <s v="Lakewood Clinic-Peds"/>
    <x v="0"/>
    <n v="1400"/>
    <n v="-14421.31"/>
    <n v="-26699.52"/>
    <n v="-19090.62"/>
    <n v="-15970.66"/>
    <n v="-11170.32"/>
    <n v="-13533.77"/>
    <n v="-26814.240000000002"/>
    <n v="-17048.73"/>
    <n v="-17373.07"/>
    <n v="-16271.19"/>
    <n v="-15338.65"/>
    <n v="-21884.69"/>
    <n v="-215616.77000000002"/>
    <n v="6546.0399999999991"/>
  </r>
  <r>
    <x v="1"/>
    <x v="1"/>
    <x v="0"/>
    <s v="2353200"/>
    <n v="400040"/>
    <s v="Physician Svcs Rev--Self Pay"/>
    <s v="Lakewood Clinic-Peds"/>
    <x v="0"/>
    <n v="1500"/>
    <n v="-1051.76"/>
    <n v="-4089.89"/>
    <n v="-386.67"/>
    <n v="-600.28"/>
    <n v="-1592.32"/>
    <n v="-2141.84"/>
    <n v="-166.24"/>
    <n v="-172.32"/>
    <n v="-14.44"/>
    <n v="-57.24"/>
    <n v="-364.68"/>
    <n v="-1504.76"/>
    <n v="-12142.439999999999"/>
    <n v="1140.08"/>
  </r>
  <r>
    <x v="1"/>
    <x v="1"/>
    <x v="0"/>
    <s v="2353200"/>
    <n v="400040"/>
    <s v="Physician Svcs Rev--Other"/>
    <s v="Lakewood Clinic-Peds"/>
    <x v="0"/>
    <n v="1700"/>
    <n v="-18695.18"/>
    <n v="-27767.9"/>
    <n v="-23272.77"/>
    <n v="-31603.27"/>
    <n v="-17512.240000000002"/>
    <n v="-20340.330000000002"/>
    <n v="-32626.84"/>
    <n v="-25046.15"/>
    <n v="-25508.25"/>
    <n v="-24610.61"/>
    <n v="-25739.11"/>
    <n v="-29794.29"/>
    <n v="-302516.93999999994"/>
    <n v="4055.1800000000003"/>
  </r>
  <r>
    <x v="2"/>
    <x v="1"/>
    <x v="0"/>
    <s v="2353200"/>
    <n v="450029"/>
    <s v="Contr Allow--MD Other-Medicaid"/>
    <s v="Lakewood Clinic-Peds"/>
    <x v="0"/>
    <n v="1200"/>
    <n v="52.32"/>
    <n v="43.24"/>
    <n v="91.22"/>
    <n v="25.8"/>
    <n v="45.7"/>
    <n v="107.8"/>
    <n v="639.91999999999996"/>
    <n v="965.45"/>
    <n v="782.46"/>
    <n v="673.18"/>
    <n v="218.88"/>
    <n v="130.01"/>
    <n v="3775.9799999999996"/>
    <n v="88.87"/>
  </r>
  <r>
    <x v="2"/>
    <x v="1"/>
    <x v="0"/>
    <s v="2353200"/>
    <n v="450029"/>
    <s v="Contr Allow--MD Other-Comm Insurance"/>
    <s v="Lakewood Clinic-Peds"/>
    <x v="0"/>
    <n v="1300"/>
    <n v="0"/>
    <n v="0"/>
    <n v="0"/>
    <n v="0"/>
    <n v="0"/>
    <n v="0"/>
    <n v="0"/>
    <n v="0"/>
    <n v="0"/>
    <n v="77.87"/>
    <n v="0"/>
    <n v="0"/>
    <n v="77.87"/>
    <n v="0"/>
  </r>
  <r>
    <x v="2"/>
    <x v="1"/>
    <x v="0"/>
    <s v="2353200"/>
    <n v="450029"/>
    <s v="Contr Allow--MD Other BCBS Comm"/>
    <s v="Lakewood Clinic-Peds"/>
    <x v="0"/>
    <n v="1301"/>
    <n v="0"/>
    <n v="0"/>
    <n v="0"/>
    <n v="31.68"/>
    <n v="31.68"/>
    <n v="18.829999999999998"/>
    <n v="0"/>
    <n v="0"/>
    <n v="81.680000000000007"/>
    <n v="0"/>
    <n v="100.51"/>
    <n v="41.01"/>
    <n v="305.39"/>
    <n v="59.500000000000007"/>
  </r>
  <r>
    <x v="2"/>
    <x v="1"/>
    <x v="0"/>
    <s v="2353200"/>
    <n v="450029"/>
    <s v="Contr Allow--MD Other-Managed Care"/>
    <s v="Lakewood Clinic-Peds"/>
    <x v="0"/>
    <n v="1400"/>
    <n v="0"/>
    <n v="0"/>
    <n v="0"/>
    <n v="67.56"/>
    <n v="40.71"/>
    <n v="0"/>
    <n v="77.87"/>
    <n v="163.24"/>
    <n v="227.64"/>
    <n v="338.29"/>
    <n v="34.99"/>
    <n v="0"/>
    <n v="950.3"/>
    <n v="34.99"/>
  </r>
  <r>
    <x v="2"/>
    <x v="1"/>
    <x v="0"/>
    <s v="2353200"/>
    <n v="450029"/>
    <s v="Admin Adjust-MD Other-Self Pay"/>
    <s v="Lakewood Clinic-Peds"/>
    <x v="0"/>
    <n v="1600"/>
    <n v="0"/>
    <n v="0"/>
    <n v="20"/>
    <n v="0"/>
    <n v="0"/>
    <n v="0"/>
    <n v="16.649999999999999"/>
    <n v="-16.649999999999999"/>
    <n v="1.03"/>
    <n v="0"/>
    <n v="0"/>
    <n v="0"/>
    <n v="21.03"/>
    <n v="0"/>
  </r>
  <r>
    <x v="2"/>
    <x v="1"/>
    <x v="0"/>
    <s v="2353200"/>
    <n v="450029"/>
    <s v="Contr Allow--MD Other-Other"/>
    <s v="Lakewood Clinic-Peds"/>
    <x v="0"/>
    <n v="1700"/>
    <n v="0"/>
    <n v="7.17"/>
    <n v="0"/>
    <n v="48.55"/>
    <n v="0"/>
    <n v="0"/>
    <n v="0"/>
    <n v="63.08"/>
    <n v="410.65"/>
    <n v="17"/>
    <n v="279.72000000000003"/>
    <n v="0"/>
    <n v="826.17"/>
    <n v="279.72000000000003"/>
  </r>
  <r>
    <x v="2"/>
    <x v="1"/>
    <x v="0"/>
    <s v="2353200"/>
    <n v="450040"/>
    <s v="Contr Allow--Phys Svcs--Mcare"/>
    <s v="Lakewood Clinic-Peds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353200"/>
    <n v="450040"/>
    <s v="Contr Allow--Phys Svcs--Mcaid"/>
    <s v="Lakewood Clinic-Peds"/>
    <x v="0"/>
    <n v="1200"/>
    <n v="27512.87"/>
    <n v="40614.589999999997"/>
    <n v="36534.29"/>
    <n v="37977.730000000003"/>
    <n v="24015.73"/>
    <n v="31415.84"/>
    <n v="37334.660000000003"/>
    <n v="31639.67"/>
    <n v="38058.43"/>
    <n v="40118.239999999998"/>
    <n v="36933.03"/>
    <n v="32913.4"/>
    <n v="415068.48"/>
    <n v="4019.6299999999974"/>
  </r>
  <r>
    <x v="2"/>
    <x v="1"/>
    <x v="0"/>
    <s v="2353200"/>
    <n v="450040"/>
    <s v="Contr Allow--Phys Svcs--Comm Insurance"/>
    <s v="Lakewood Clinic-Peds"/>
    <x v="0"/>
    <n v="1300"/>
    <n v="1457.45"/>
    <n v="827.55"/>
    <n v="2755.2"/>
    <n v="1018.99"/>
    <n v="179.46"/>
    <n v="933.12"/>
    <n v="1017.32"/>
    <n v="999.05"/>
    <n v="1186.22"/>
    <n v="638.16"/>
    <n v="1232.8499999999999"/>
    <n v="724.76"/>
    <n v="12970.13"/>
    <n v="508.08999999999992"/>
  </r>
  <r>
    <x v="2"/>
    <x v="1"/>
    <x v="0"/>
    <s v="2353200"/>
    <n v="450040"/>
    <s v="Contr Allow--Phys Svcs--BCBS Comm Ins"/>
    <s v="Lakewood Clinic-Peds"/>
    <x v="0"/>
    <n v="1301"/>
    <n v="5440.09"/>
    <n v="2440.7600000000002"/>
    <n v="3786.9"/>
    <n v="1310.76"/>
    <n v="2193.35"/>
    <n v="1737.03"/>
    <n v="2621.41"/>
    <n v="2344.4699999999998"/>
    <n v="1609.36"/>
    <n v="1987.92"/>
    <n v="1974.1"/>
    <n v="4361.38"/>
    <n v="31807.530000000002"/>
    <n v="-2387.2800000000002"/>
  </r>
  <r>
    <x v="2"/>
    <x v="1"/>
    <x v="0"/>
    <s v="2353200"/>
    <n v="450040"/>
    <s v="Contr Allow--Phys Svcs--Managed Care"/>
    <s v="Lakewood Clinic-Peds"/>
    <x v="0"/>
    <n v="1400"/>
    <n v="15523.37"/>
    <n v="8407.57"/>
    <n v="12590.61"/>
    <n v="7900.22"/>
    <n v="8723.36"/>
    <n v="5778.39"/>
    <n v="8704.9"/>
    <n v="8999.93"/>
    <n v="10001.719999999999"/>
    <n v="8985.11"/>
    <n v="7180.31"/>
    <n v="9940.59"/>
    <n v="112736.08"/>
    <n v="-2760.2799999999997"/>
  </r>
  <r>
    <x v="2"/>
    <x v="1"/>
    <x v="0"/>
    <s v="2353200"/>
    <n v="450040"/>
    <s v="Contr Allow--Phys Svcs--BCBS Mgnd Care"/>
    <s v="Lakewood Clinic-Peds"/>
    <x v="0"/>
    <n v="1401"/>
    <n v="-7705.97"/>
    <n v="-1258.3900000000001"/>
    <n v="-2142.7399999999998"/>
    <n v="952.99"/>
    <n v="-3440.93"/>
    <n v="-6166.55"/>
    <n v="20787.12"/>
    <n v="1088.31"/>
    <n v="-6274.39"/>
    <n v="-9244.0499999999993"/>
    <n v="3830.89"/>
    <n v="6921.73"/>
    <n v="-2651.9800000000014"/>
    <n v="-3090.8399999999997"/>
  </r>
  <r>
    <x v="2"/>
    <x v="1"/>
    <x v="0"/>
    <s v="2353200"/>
    <n v="450040"/>
    <s v="Prompt Pay Disc-Phys Svcs-Self Pay"/>
    <s v="Lakewood Clinic-Peds"/>
    <x v="0"/>
    <n v="1500"/>
    <n v="0"/>
    <n v="0"/>
    <n v="0"/>
    <n v="0"/>
    <n v="0"/>
    <n v="0"/>
    <n v="0"/>
    <n v="332.39"/>
    <n v="0"/>
    <n v="0"/>
    <n v="0"/>
    <n v="0"/>
    <n v="332.39"/>
    <n v="0"/>
  </r>
  <r>
    <x v="2"/>
    <x v="1"/>
    <x v="0"/>
    <s v="2353200"/>
    <n v="450040"/>
    <s v="Admin Adjust-Phys Svcs-Self Pay"/>
    <s v="Lakewood Clinic-Peds"/>
    <x v="0"/>
    <n v="1600"/>
    <n v="447.11"/>
    <n v="1372.01"/>
    <n v="415.88"/>
    <n v="277.08999999999997"/>
    <n v="731.2"/>
    <n v="808.87"/>
    <n v="201.58"/>
    <n v="-92.97"/>
    <n v="277.11"/>
    <n v="898.08"/>
    <n v="380.88"/>
    <n v="577.14"/>
    <n v="6293.98"/>
    <n v="-196.26"/>
  </r>
  <r>
    <x v="2"/>
    <x v="1"/>
    <x v="0"/>
    <s v="2353200"/>
    <n v="450040"/>
    <s v="Contr Allow--Phys Svcs--Other"/>
    <s v="Lakewood Clinic-Peds"/>
    <x v="0"/>
    <n v="1700"/>
    <n v="16526.900000000001"/>
    <n v="26346.959999999999"/>
    <n v="20775.8"/>
    <n v="25105.13"/>
    <n v="9005.56"/>
    <n v="21816.14"/>
    <n v="14984.81"/>
    <n v="16295.94"/>
    <n v="24884.06"/>
    <n v="21013.599999999999"/>
    <n v="17164.59"/>
    <n v="18137.59"/>
    <n v="232057.08000000002"/>
    <n v="-973"/>
  </r>
  <r>
    <x v="3"/>
    <x v="1"/>
    <x v="0"/>
    <s v="2353200"/>
    <n v="470040"/>
    <s v="Charity Care-Physician Svcs"/>
    <s v="Lakewood Clinic-Peds"/>
    <x v="0"/>
    <m/>
    <n v="-278.24"/>
    <n v="1155.27"/>
    <n v="-382.61"/>
    <n v="54.9"/>
    <n v="116.49"/>
    <n v="-444.21"/>
    <n v="579.42999999999995"/>
    <n v="207.76"/>
    <n v="165.38"/>
    <n v="-164.25"/>
    <n v="-105.25"/>
    <n v="752.08"/>
    <n v="1656.75"/>
    <n v="-857.33"/>
  </r>
  <r>
    <x v="4"/>
    <x v="1"/>
    <x v="0"/>
    <s v="2353200"/>
    <n v="490010"/>
    <s v="Provision for Bad Debts"/>
    <s v="Lakewood Clinic-Peds"/>
    <x v="0"/>
    <m/>
    <n v="-446.66"/>
    <n v="205.16"/>
    <n v="-233.48"/>
    <n v="391.58"/>
    <n v="2873.42"/>
    <n v="1315.8"/>
    <n v="3156.33"/>
    <n v="-748.63"/>
    <n v="879.86"/>
    <n v="199.56"/>
    <n v="1288.8699999999999"/>
    <n v="1696.34"/>
    <n v="10578.15"/>
    <n v="-407.47"/>
  </r>
  <r>
    <x v="5"/>
    <x v="1"/>
    <x v="0"/>
    <s v="2353200"/>
    <n v="700022"/>
    <s v="Salaries-Physician-Productive"/>
    <s v="Lakewood Clinic-Peds"/>
    <x v="0"/>
    <m/>
    <n v="15000.02"/>
    <n v="19219.54"/>
    <n v="15568.5"/>
    <n v="19097.36"/>
    <n v="16760.240000000002"/>
    <n v="19010.560000000001"/>
    <n v="19762.830000000002"/>
    <n v="20717.72"/>
    <n v="21501.9"/>
    <n v="22525.8"/>
    <n v="22412.52"/>
    <n v="21290.95"/>
    <n v="232867.94"/>
    <n v="1121.5699999999997"/>
  </r>
  <r>
    <x v="5"/>
    <x v="1"/>
    <x v="0"/>
    <s v="2353200"/>
    <n v="700030"/>
    <s v="Salaries-LPN-Productive"/>
    <s v="Lakewood Clinic-Peds"/>
    <x v="0"/>
    <m/>
    <n v="1657.83"/>
    <n v="271.35000000000002"/>
    <n v="180.03"/>
    <n v="0"/>
    <n v="0"/>
    <n v="0"/>
    <n v="0"/>
    <n v="929.03"/>
    <n v="2004.77"/>
    <n v="372.32"/>
    <n v="-99.88"/>
    <n v="237.5"/>
    <n v="5552.95"/>
    <n v="-337.38"/>
  </r>
  <r>
    <x v="5"/>
    <x v="1"/>
    <x v="0"/>
    <s v="2353200"/>
    <n v="700030"/>
    <s v="Salaries-LPN-OT"/>
    <s v="Lakewood Clinic-Peds"/>
    <x v="0"/>
    <n v="1000"/>
    <n v="0"/>
    <n v="0"/>
    <n v="0"/>
    <n v="0"/>
    <n v="0"/>
    <n v="0"/>
    <n v="0"/>
    <n v="44.28"/>
    <n v="-12.65"/>
    <n v="0"/>
    <n v="0"/>
    <n v="0"/>
    <n v="31.630000000000003"/>
    <n v="0"/>
  </r>
  <r>
    <x v="5"/>
    <x v="1"/>
    <x v="0"/>
    <s v="2353200"/>
    <n v="700030"/>
    <s v="Salaries-LPN-Other"/>
    <s v="Lakewood Clinic-Peds"/>
    <x v="0"/>
    <n v="2000"/>
    <n v="23.3"/>
    <n v="-3.05"/>
    <n v="0"/>
    <n v="0"/>
    <n v="0"/>
    <n v="0"/>
    <n v="0"/>
    <n v="17.18"/>
    <n v="35.78"/>
    <n v="6.67"/>
    <n v="-1.78"/>
    <n v="4.26"/>
    <n v="82.360000000000014"/>
    <n v="-6.04"/>
  </r>
  <r>
    <x v="5"/>
    <x v="1"/>
    <x v="0"/>
    <s v="2353200"/>
    <n v="700032"/>
    <s v="Salaries-Other Pat Care Providers-Productive"/>
    <s v="Lakewood Clinic-Peds"/>
    <x v="0"/>
    <m/>
    <n v="3144.96"/>
    <n v="3643.26"/>
    <n v="2081.3000000000002"/>
    <n v="2544.63"/>
    <n v="3415.15"/>
    <n v="2069.4899999999998"/>
    <n v="3082.27"/>
    <n v="2805.87"/>
    <n v="3169.15"/>
    <n v="3105.43"/>
    <n v="3354.7"/>
    <n v="2938.52"/>
    <n v="35354.730000000003"/>
    <n v="416.17999999999984"/>
  </r>
  <r>
    <x v="5"/>
    <x v="1"/>
    <x v="0"/>
    <s v="2353200"/>
    <n v="700032"/>
    <s v="Salaries-Other Pat Care Providers-OT"/>
    <s v="Lakewood Clinic-Peds"/>
    <x v="0"/>
    <n v="1000"/>
    <n v="433.94"/>
    <n v="412.78"/>
    <n v="96.48"/>
    <n v="82.5"/>
    <n v="279.45999999999998"/>
    <n v="-139.72999999999999"/>
    <n v="0"/>
    <n v="54.42"/>
    <n v="34.97"/>
    <n v="54.44"/>
    <n v="19.43"/>
    <n v="7.78"/>
    <n v="1336.4700000000003"/>
    <n v="11.649999999999999"/>
  </r>
  <r>
    <x v="5"/>
    <x v="1"/>
    <x v="0"/>
    <s v="2353200"/>
    <n v="700062"/>
    <s v="Salaries-Physician-Non-productive"/>
    <s v="Lakewood Clinic-Peds"/>
    <x v="0"/>
    <m/>
    <n v="1923.08"/>
    <n v="0"/>
    <n v="1037.9000000000001"/>
    <n v="0"/>
    <n v="4151.6000000000004"/>
    <n v="1203.2"/>
    <n v="2409.9299999999998"/>
    <n v="0"/>
    <n v="0"/>
    <n v="0"/>
    <n v="2654.6"/>
    <n v="687.36"/>
    <n v="14067.670000000002"/>
    <n v="1967.2399999999998"/>
  </r>
  <r>
    <x v="5"/>
    <x v="1"/>
    <x v="0"/>
    <s v="2353200"/>
    <n v="700072"/>
    <s v="Salaries-Other Pat Care Providers-Non-productive"/>
    <s v="Lakewood Clinic-Peds"/>
    <x v="0"/>
    <m/>
    <n v="0"/>
    <n v="0"/>
    <n v="30"/>
    <n v="874.93"/>
    <n v="113.85"/>
    <n v="1104.8800000000001"/>
    <n v="385.12"/>
    <n v="454"/>
    <n v="143.06"/>
    <n v="566.45000000000005"/>
    <n v="262.8"/>
    <n v="378.36"/>
    <n v="4313.45"/>
    <n v="-115.56"/>
  </r>
  <r>
    <x v="5"/>
    <x v="1"/>
    <x v="0"/>
    <s v="2353200"/>
    <n v="700072"/>
    <s v="Salaries-Other Pat Care Providers-NonProd-Other"/>
    <s v="Lakewood Clinic-Ped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3200"/>
    <n v="700084"/>
    <s v="Accrued PTO"/>
    <s v="Lakewood Clinic-Peds"/>
    <x v="0"/>
    <m/>
    <n v="0.39"/>
    <n v="0"/>
    <n v="202.8"/>
    <n v="-74.19"/>
    <n v="21.53"/>
    <n v="-33.54"/>
    <n v="10.77"/>
    <n v="2.69"/>
    <n v="82.38"/>
    <n v="-72.45"/>
    <n v="26.29"/>
    <n v="77.63"/>
    <n v="244.29999999999998"/>
    <n v="-51.339999999999996"/>
  </r>
  <r>
    <x v="6"/>
    <x v="1"/>
    <x v="0"/>
    <s v="2353200"/>
    <n v="713010"/>
    <s v="Benefits-FICA/Medicare"/>
    <s v="Lakewood Clinic-Peds"/>
    <x v="0"/>
    <m/>
    <n v="1633.39"/>
    <n v="1015.71"/>
    <n v="388.24"/>
    <n v="515.72"/>
    <n v="566.16999999999996"/>
    <n v="1140.73"/>
    <n v="1900.29"/>
    <n v="1856.16"/>
    <n v="1990.89"/>
    <n v="1977.09"/>
    <n v="2127.36"/>
    <n v="1408.23"/>
    <n v="16519.980000000003"/>
    <n v="719.13000000000011"/>
  </r>
  <r>
    <x v="6"/>
    <x v="1"/>
    <x v="0"/>
    <s v="2353200"/>
    <n v="713090"/>
    <s v="Benefits-Allocated Amounts"/>
    <s v="Lakewood Clinic-Peds"/>
    <x v="0"/>
    <m/>
    <n v="0"/>
    <n v="0"/>
    <n v="0"/>
    <n v="0"/>
    <n v="0"/>
    <n v="0"/>
    <n v="0"/>
    <n v="0"/>
    <n v="13110.67"/>
    <n v="1653.79"/>
    <n v="1576.12"/>
    <n v="1614.21"/>
    <n v="17954.789999999997"/>
    <n v="-38.090000000000146"/>
  </r>
  <r>
    <x v="6"/>
    <x v="1"/>
    <x v="0"/>
    <s v="2353200"/>
    <n v="713092"/>
    <s v="Allocated Benefits-Physician"/>
    <s v="Lakewood Clinic-Peds"/>
    <x v="0"/>
    <m/>
    <n v="3041.64"/>
    <n v="2586.5300000000002"/>
    <n v="2363.5500000000002"/>
    <n v="2577.0100000000002"/>
    <n v="2781.46"/>
    <n v="2700.04"/>
    <n v="3146.24"/>
    <n v="3392.41"/>
    <n v="-9487.65"/>
    <n v="1652.59"/>
    <n v="1574.98"/>
    <n v="1613.05"/>
    <n v="17941.850000000002"/>
    <n v="-38.069999999999936"/>
  </r>
  <r>
    <x v="7"/>
    <x v="1"/>
    <x v="0"/>
    <s v="2353200"/>
    <n v="718070"/>
    <s v="Contract Srvcs-CHI Clinical Engineering"/>
    <s v="Lakewood Clinic-Peds"/>
    <x v="0"/>
    <m/>
    <n v="0"/>
    <n v="0"/>
    <n v="0"/>
    <n v="0"/>
    <n v="440.5"/>
    <n v="440.5"/>
    <n v="440.5"/>
    <n v="0"/>
    <n v="0"/>
    <n v="0"/>
    <n v="0"/>
    <n v="0"/>
    <n v="1321.5"/>
    <n v="0"/>
  </r>
  <r>
    <x v="11"/>
    <x v="1"/>
    <x v="0"/>
    <s v="2353200"/>
    <n v="721980"/>
    <s v="Supplies-Other"/>
    <s v="Lakewood Clinic-Peds"/>
    <x v="0"/>
    <m/>
    <n v="0"/>
    <n v="0"/>
    <n v="0"/>
    <n v="0"/>
    <n v="0"/>
    <n v="106.32"/>
    <n v="0"/>
    <n v="0"/>
    <n v="0"/>
    <n v="0"/>
    <n v="0"/>
    <n v="0"/>
    <n v="106.32"/>
    <n v="0"/>
  </r>
  <r>
    <x v="8"/>
    <x v="1"/>
    <x v="0"/>
    <s v="2353200"/>
    <n v="741012"/>
    <s v="Physician Liab Insurance-CHI Program"/>
    <s v="Lakewood Clinic-Peds"/>
    <x v="0"/>
    <m/>
    <n v="426.3"/>
    <n v="426.3"/>
    <n v="426.3"/>
    <n v="426.3"/>
    <n v="426.3"/>
    <n v="426.3"/>
    <n v="426.3"/>
    <n v="426.3"/>
    <n v="426.3"/>
    <n v="426.3"/>
    <n v="426.3"/>
    <n v="426.3"/>
    <n v="5115.6000000000013"/>
    <n v="0"/>
  </r>
  <r>
    <x v="0"/>
    <x v="1"/>
    <x v="0"/>
    <s v="2353200"/>
    <n v="743020"/>
    <s v="Dues--Individual"/>
    <s v="Lakewood Clinic-Peds"/>
    <x v="0"/>
    <m/>
    <n v="860"/>
    <n v="0"/>
    <n v="0"/>
    <n v="0"/>
    <n v="0"/>
    <n v="0"/>
    <n v="0"/>
    <n v="0"/>
    <n v="0"/>
    <n v="0"/>
    <n v="0"/>
    <n v="0"/>
    <n v="860"/>
    <n v="0"/>
  </r>
  <r>
    <x v="0"/>
    <x v="1"/>
    <x v="0"/>
    <s v="2353200"/>
    <n v="743022"/>
    <s v="Dues-Physician"/>
    <s v="Lakewood Clinic-Peds"/>
    <x v="0"/>
    <m/>
    <n v="0"/>
    <n v="0"/>
    <n v="0"/>
    <n v="0"/>
    <n v="0"/>
    <n v="0"/>
    <n v="0"/>
    <n v="285"/>
    <n v="0"/>
    <n v="0"/>
    <n v="0"/>
    <n v="0"/>
    <n v="285"/>
    <n v="0"/>
  </r>
  <r>
    <x v="0"/>
    <x v="1"/>
    <x v="0"/>
    <s v="2353200"/>
    <n v="743042"/>
    <s v="Subscriptions-Physician"/>
    <s v="Lakewood Clinic-Peds"/>
    <x v="0"/>
    <m/>
    <n v="0"/>
    <n v="0"/>
    <n v="0"/>
    <n v="0"/>
    <n v="0"/>
    <n v="145.54"/>
    <n v="0"/>
    <n v="0"/>
    <n v="0"/>
    <n v="0"/>
    <n v="0"/>
    <n v="908.96"/>
    <n v="1054.5"/>
    <n v="-908.96"/>
  </r>
  <r>
    <x v="0"/>
    <x v="1"/>
    <x v="0"/>
    <s v="2353200"/>
    <n v="749510"/>
    <s v="Miscellaneous Expenses"/>
    <s v="Lakewood Clinic-Peds"/>
    <x v="0"/>
    <m/>
    <n v="0"/>
    <n v="-828.72"/>
    <n v="0"/>
    <n v="0"/>
    <n v="0"/>
    <n v="0"/>
    <n v="0"/>
    <n v="0"/>
    <n v="0"/>
    <n v="0"/>
    <n v="409.96"/>
    <n v="-409.96"/>
    <n v="-828.72"/>
    <n v="819.92"/>
  </r>
  <r>
    <x v="0"/>
    <x v="1"/>
    <x v="0"/>
    <s v="2353200"/>
    <n v="749512"/>
    <s v="Licenses-Physician"/>
    <s v="Lakewood Clinic-Peds"/>
    <x v="0"/>
    <n v="2000"/>
    <n v="0"/>
    <n v="0"/>
    <n v="0"/>
    <n v="0"/>
    <n v="0"/>
    <n v="0"/>
    <n v="731"/>
    <n v="0"/>
    <n v="0"/>
    <n v="0"/>
    <n v="659.5"/>
    <n v="0"/>
    <n v="1390.5"/>
    <n v="659.5"/>
  </r>
  <r>
    <x v="0"/>
    <x v="1"/>
    <x v="0"/>
    <s v="2353200"/>
    <n v="749532"/>
    <s v="Travel-Physician"/>
    <s v="Lakewood Clinic-Peds"/>
    <x v="0"/>
    <m/>
    <n v="0"/>
    <n v="0"/>
    <n v="0"/>
    <n v="0"/>
    <n v="1884.05"/>
    <n v="0"/>
    <n v="0"/>
    <n v="0"/>
    <n v="0"/>
    <n v="0"/>
    <n v="0"/>
    <n v="0"/>
    <n v="1884.05"/>
    <n v="0"/>
  </r>
  <r>
    <x v="1"/>
    <x v="1"/>
    <x v="0"/>
    <s v="2354200"/>
    <n v="400029"/>
    <s v="MD Practice Other Rev--Medicare"/>
    <s v="FMC-Gravelly Lake-Internal Med"/>
    <x v="0"/>
    <n v="1100"/>
    <n v="-335"/>
    <n v="-541"/>
    <n v="-303"/>
    <n v="-587"/>
    <n v="-226"/>
    <n v="-251"/>
    <n v="-461"/>
    <n v="-849"/>
    <n v="-656"/>
    <n v="-598"/>
    <n v="-199"/>
    <n v="-304"/>
    <n v="-5310"/>
    <n v="105"/>
  </r>
  <r>
    <x v="1"/>
    <x v="1"/>
    <x v="0"/>
    <s v="2354200"/>
    <n v="400029"/>
    <s v="MD Practice Other Rev--Medicaid"/>
    <s v="FMC-Gravelly Lake-Internal Med"/>
    <x v="0"/>
    <n v="1200"/>
    <n v="-36"/>
    <n v="-204"/>
    <n v="0"/>
    <n v="-152"/>
    <n v="-6"/>
    <n v="-33"/>
    <n v="-123"/>
    <n v="-33"/>
    <n v="-213"/>
    <n v="-76"/>
    <n v="-33"/>
    <n v="0"/>
    <n v="-909"/>
    <n v="-33"/>
  </r>
  <r>
    <x v="1"/>
    <x v="1"/>
    <x v="0"/>
    <s v="2354200"/>
    <n v="400029"/>
    <s v="MD Practice Other Rev--Comm Insurance"/>
    <s v="FMC-Gravelly Lake-Internal Med"/>
    <x v="0"/>
    <n v="1300"/>
    <n v="0"/>
    <n v="0"/>
    <n v="-10"/>
    <n v="0"/>
    <n v="-23"/>
    <n v="0"/>
    <n v="0"/>
    <n v="-33"/>
    <n v="0"/>
    <n v="-33"/>
    <n v="-45"/>
    <n v="0"/>
    <n v="-144"/>
    <n v="-45"/>
  </r>
  <r>
    <x v="1"/>
    <x v="1"/>
    <x v="0"/>
    <s v="2354200"/>
    <n v="400029"/>
    <s v="MD Practice Other Rev--BCBS Comm"/>
    <s v="FMC-Gravelly Lake-Internal Med"/>
    <x v="0"/>
    <n v="1301"/>
    <n v="0"/>
    <n v="-33"/>
    <n v="-33"/>
    <n v="-128"/>
    <n v="0"/>
    <n v="-33"/>
    <n v="-33"/>
    <n v="-43"/>
    <n v="-33"/>
    <n v="0"/>
    <n v="-66"/>
    <n v="0"/>
    <n v="-402"/>
    <n v="-66"/>
  </r>
  <r>
    <x v="1"/>
    <x v="1"/>
    <x v="0"/>
    <s v="2354200"/>
    <n v="400029"/>
    <s v="MD Practice Other Rev--Managed Care"/>
    <s v="FMC-Gravelly Lake-Internal Med"/>
    <x v="0"/>
    <n v="1400"/>
    <n v="-36"/>
    <n v="-152"/>
    <n v="-43"/>
    <n v="-33"/>
    <n v="-10"/>
    <n v="-10"/>
    <n v="-189"/>
    <n v="-57"/>
    <n v="-66"/>
    <n v="-156"/>
    <n v="0"/>
    <n v="0"/>
    <n v="-752"/>
    <n v="0"/>
  </r>
  <r>
    <x v="1"/>
    <x v="1"/>
    <x v="0"/>
    <s v="2354200"/>
    <n v="400029"/>
    <s v="MD Practice Other Rev--Other"/>
    <s v="FMC-Gravelly Lake-Internal Med"/>
    <x v="0"/>
    <n v="1700"/>
    <n v="0"/>
    <n v="-33"/>
    <n v="0"/>
    <n v="0"/>
    <n v="-10"/>
    <n v="0"/>
    <n v="-33"/>
    <n v="0"/>
    <n v="-189"/>
    <n v="0"/>
    <n v="0"/>
    <n v="-33"/>
    <n v="-298"/>
    <n v="33"/>
  </r>
  <r>
    <x v="1"/>
    <x v="1"/>
    <x v="0"/>
    <s v="2354200"/>
    <n v="400040"/>
    <s v="Physician Svcs Rev--Medicare"/>
    <s v="FMC-Gravelly Lake-Internal Med"/>
    <x v="0"/>
    <n v="1100"/>
    <n v="-39426.269999999997"/>
    <n v="-68523.899999999994"/>
    <n v="-33153"/>
    <n v="-48113.09"/>
    <n v="-41383"/>
    <n v="-31378"/>
    <n v="-45338"/>
    <n v="-32293"/>
    <n v="-33179.089999999997"/>
    <n v="-38857.089999999997"/>
    <n v="-31512.09"/>
    <n v="-31131"/>
    <n v="-474287.52999999997"/>
    <n v="-381.09000000000015"/>
  </r>
  <r>
    <x v="1"/>
    <x v="1"/>
    <x v="0"/>
    <s v="2354200"/>
    <n v="400040"/>
    <s v="Physician Svcs Rev--Medicaid"/>
    <s v="FMC-Gravelly Lake-Internal Med"/>
    <x v="0"/>
    <n v="1200"/>
    <n v="-5004"/>
    <n v="-7944"/>
    <n v="-3072"/>
    <n v="-4100.13"/>
    <n v="-5601"/>
    <n v="-3322"/>
    <n v="-4008"/>
    <n v="-2560"/>
    <n v="-5262"/>
    <n v="-5655"/>
    <n v="-3245"/>
    <n v="-1180"/>
    <n v="-50953.130000000005"/>
    <n v="-2065"/>
  </r>
  <r>
    <x v="1"/>
    <x v="1"/>
    <x v="0"/>
    <s v="2354200"/>
    <n v="400040"/>
    <s v="Physician Svcs Rev--Comm Insurance"/>
    <s v="FMC-Gravelly Lake-Internal Med"/>
    <x v="0"/>
    <n v="1300"/>
    <n v="-588"/>
    <n v="-932"/>
    <n v="-495"/>
    <n v="0"/>
    <n v="-656"/>
    <n v="0"/>
    <n v="-495"/>
    <n v="-1246"/>
    <n v="0"/>
    <n v="-885"/>
    <n v="94"/>
    <n v="-590"/>
    <n v="-5793"/>
    <n v="684"/>
  </r>
  <r>
    <x v="1"/>
    <x v="1"/>
    <x v="0"/>
    <s v="2354200"/>
    <n v="400040"/>
    <s v="Physician Svcs Rev--BCBS Comm"/>
    <s v="FMC-Gravelly Lake-Internal Med"/>
    <x v="0"/>
    <n v="1301"/>
    <n v="-1472"/>
    <n v="-3696"/>
    <n v="-495"/>
    <n v="-497"/>
    <n v="-1692"/>
    <n v="-590"/>
    <n v="-1180"/>
    <n v="-4191"/>
    <n v="-295"/>
    <n v="-453"/>
    <n v="-1475"/>
    <n v="-295"/>
    <n v="-16331"/>
    <n v="-1180"/>
  </r>
  <r>
    <x v="1"/>
    <x v="1"/>
    <x v="0"/>
    <s v="2354200"/>
    <n v="400040"/>
    <s v="Physician Svcs Rev--Managed Care"/>
    <s v="FMC-Gravelly Lake-Internal Med"/>
    <x v="0"/>
    <n v="1400"/>
    <n v="-6105"/>
    <n v="-10800"/>
    <n v="-1683"/>
    <n v="-9601"/>
    <n v="-6151"/>
    <n v="-6184"/>
    <n v="-7192"/>
    <n v="-5893"/>
    <n v="-6379"/>
    <n v="-5703"/>
    <n v="-5139"/>
    <n v="-4622"/>
    <n v="-75452"/>
    <n v="-517"/>
  </r>
  <r>
    <x v="1"/>
    <x v="1"/>
    <x v="0"/>
    <s v="2354200"/>
    <n v="400040"/>
    <s v="Physician Svcs Rev--Self Pay"/>
    <s v="FMC-Gravelly Lake-Internal Med"/>
    <x v="0"/>
    <n v="1500"/>
    <n v="0"/>
    <n v="-656"/>
    <n v="0"/>
    <n v="0"/>
    <n v="-1287"/>
    <n v="-449"/>
    <n v="0"/>
    <n v="1448"/>
    <n v="-295"/>
    <n v="0"/>
    <n v="0"/>
    <n v="0"/>
    <n v="-1239"/>
    <n v="0"/>
  </r>
  <r>
    <x v="1"/>
    <x v="1"/>
    <x v="0"/>
    <s v="2354200"/>
    <n v="400040"/>
    <s v="Physician Svcs Rev--Other"/>
    <s v="FMC-Gravelly Lake-Internal Med"/>
    <x v="0"/>
    <n v="1700"/>
    <n v="-636"/>
    <n v="-1769"/>
    <n v="-1289"/>
    <n v="0"/>
    <n v="-295"/>
    <n v="-590"/>
    <n v="-2061"/>
    <n v="-1846"/>
    <n v="-1904"/>
    <n v="-2692"/>
    <n v="1440"/>
    <n v="-1770"/>
    <n v="-13412"/>
    <n v="3210"/>
  </r>
  <r>
    <x v="2"/>
    <x v="1"/>
    <x v="0"/>
    <s v="2354200"/>
    <n v="450029"/>
    <s v="Contr Allow--MD Other-Medicare"/>
    <s v="FMC-Gravelly Lake-Internal Med"/>
    <x v="0"/>
    <n v="1100"/>
    <n v="395.41"/>
    <n v="360.03"/>
    <n v="148.62"/>
    <n v="378.4"/>
    <n v="317.01"/>
    <n v="194.07"/>
    <n v="226.44"/>
    <n v="387.89"/>
    <n v="524.80999999999995"/>
    <n v="597.15"/>
    <n v="175.32"/>
    <n v="277.24"/>
    <n v="3982.3900000000003"/>
    <n v="-101.92000000000002"/>
  </r>
  <r>
    <x v="2"/>
    <x v="1"/>
    <x v="0"/>
    <s v="2354200"/>
    <n v="450029"/>
    <s v="Contr Allow--MD Other-Medicaid"/>
    <s v="FMC-Gravelly Lake-Internal Med"/>
    <x v="0"/>
    <n v="1200"/>
    <n v="24.05"/>
    <n v="118.97"/>
    <n v="0"/>
    <n v="139.19999999999999"/>
    <n v="21.89"/>
    <n v="21.89"/>
    <n v="22.47"/>
    <n v="61.72"/>
    <n v="61.72"/>
    <n v="91.14"/>
    <n v="44.65"/>
    <n v="22.76"/>
    <n v="630.46"/>
    <n v="21.889999999999997"/>
  </r>
  <r>
    <x v="2"/>
    <x v="1"/>
    <x v="0"/>
    <s v="2354200"/>
    <n v="450029"/>
    <s v="Contr Allow--MD Other-Comm Insurance"/>
    <s v="FMC-Gravelly Lake-Internal Med"/>
    <x v="0"/>
    <n v="1300"/>
    <n v="14.42"/>
    <n v="0"/>
    <n v="0"/>
    <n v="0"/>
    <n v="11.42"/>
    <n v="0"/>
    <n v="0"/>
    <n v="0"/>
    <n v="11.42"/>
    <n v="11.42"/>
    <n v="0"/>
    <n v="15.25"/>
    <n v="63.93"/>
    <n v="-15.25"/>
  </r>
  <r>
    <x v="2"/>
    <x v="1"/>
    <x v="0"/>
    <s v="2354200"/>
    <n v="450029"/>
    <s v="Contr Allow--MD Other BCBS Comm"/>
    <s v="FMC-Gravelly Lake-Internal Med"/>
    <x v="0"/>
    <n v="1301"/>
    <n v="26.9"/>
    <n v="19.68"/>
    <n v="19.68"/>
    <n v="26.63"/>
    <n v="19.68"/>
    <n v="0"/>
    <n v="19.68"/>
    <n v="26.18"/>
    <n v="39.36"/>
    <n v="0"/>
    <n v="19.68"/>
    <n v="19.68"/>
    <n v="237.15000000000003"/>
    <n v="0"/>
  </r>
  <r>
    <x v="2"/>
    <x v="1"/>
    <x v="0"/>
    <s v="2354200"/>
    <n v="450029"/>
    <s v="Contr Allow--MD Other-Managed Care"/>
    <s v="FMC-Gravelly Lake-Internal Med"/>
    <x v="0"/>
    <n v="1400"/>
    <n v="67.540000000000006"/>
    <n v="48.54"/>
    <n v="27.56"/>
    <n v="48.52"/>
    <n v="21.01"/>
    <n v="0.02"/>
    <n v="6.38"/>
    <n v="151.80000000000001"/>
    <n v="0"/>
    <n v="100.5"/>
    <n v="49.81"/>
    <n v="8.48"/>
    <n v="530.16000000000008"/>
    <n v="41.33"/>
  </r>
  <r>
    <x v="2"/>
    <x v="1"/>
    <x v="0"/>
    <s v="2354200"/>
    <n v="450029"/>
    <s v="Admin Adjust-MD Other-Self Pay"/>
    <s v="FMC-Gravelly Lake-Internal Med"/>
    <x v="0"/>
    <n v="1600"/>
    <n v="4.29"/>
    <n v="3.48"/>
    <n v="0"/>
    <n v="10"/>
    <n v="0"/>
    <n v="0"/>
    <n v="0"/>
    <n v="0"/>
    <n v="3.48"/>
    <n v="0"/>
    <n v="0"/>
    <n v="0"/>
    <n v="21.25"/>
    <n v="0"/>
  </r>
  <r>
    <x v="2"/>
    <x v="1"/>
    <x v="0"/>
    <s v="2354200"/>
    <n v="450029"/>
    <s v="Contr Allow--MD Other-Other"/>
    <s v="FMC-Gravelly Lake-Internal Med"/>
    <x v="0"/>
    <n v="1700"/>
    <n v="24.01"/>
    <n v="0"/>
    <n v="0"/>
    <n v="23.25"/>
    <n v="0"/>
    <n v="0"/>
    <n v="0"/>
    <n v="33.25"/>
    <n v="0"/>
    <n v="133.80000000000001"/>
    <n v="0"/>
    <n v="0"/>
    <n v="214.31"/>
    <n v="0"/>
  </r>
  <r>
    <x v="2"/>
    <x v="1"/>
    <x v="0"/>
    <s v="2354200"/>
    <n v="450040"/>
    <s v="Contr Allow--Phys Svcs--Mcare"/>
    <s v="FMC-Gravelly Lake-Internal Med"/>
    <x v="0"/>
    <n v="1100"/>
    <n v="22153.11"/>
    <n v="36868.58"/>
    <n v="21721.96"/>
    <n v="35840.160000000003"/>
    <n v="27907.16"/>
    <n v="17407.810000000001"/>
    <n v="28129.35"/>
    <n v="24708.799999999999"/>
    <n v="19864.91"/>
    <n v="26417.13"/>
    <n v="22512.25"/>
    <n v="22116.28"/>
    <n v="305647.5"/>
    <n v="395.97000000000116"/>
  </r>
  <r>
    <x v="2"/>
    <x v="1"/>
    <x v="0"/>
    <s v="2354200"/>
    <n v="450040"/>
    <s v="Contr Allow--Phys Svcs--Mcaid"/>
    <s v="FMC-Gravelly Lake-Internal Med"/>
    <x v="0"/>
    <n v="1200"/>
    <n v="3397.94"/>
    <n v="5497.72"/>
    <n v="2373.08"/>
    <n v="3292.98"/>
    <n v="4411.08"/>
    <n v="3482.89"/>
    <n v="2198.7399999999998"/>
    <n v="2213.11"/>
    <n v="2869.19"/>
    <n v="3184.81"/>
    <n v="4076.09"/>
    <n v="2303.88"/>
    <n v="39301.51"/>
    <n v="1772.21"/>
  </r>
  <r>
    <x v="2"/>
    <x v="1"/>
    <x v="0"/>
    <s v="2354200"/>
    <n v="450040"/>
    <s v="Contr Allow--Phys Svcs--Comm Insurance"/>
    <s v="FMC-Gravelly Lake-Internal Med"/>
    <x v="0"/>
    <n v="1300"/>
    <n v="345.94"/>
    <n v="399.69"/>
    <n v="141.58000000000001"/>
    <n v="0"/>
    <n v="234.38"/>
    <n v="0"/>
    <n v="0"/>
    <n v="214.51"/>
    <n v="1395.78"/>
    <n v="284.2"/>
    <n v="0"/>
    <n v="64.12"/>
    <n v="3080.2"/>
    <n v="-64.12"/>
  </r>
  <r>
    <x v="2"/>
    <x v="1"/>
    <x v="0"/>
    <s v="2354200"/>
    <n v="450040"/>
    <s v="Contr Allow--Phys Svcs--BCBS Comm Ins"/>
    <s v="FMC-Gravelly Lake-Internal Med"/>
    <x v="0"/>
    <n v="1301"/>
    <n v="703.9"/>
    <n v="1084.8800000000001"/>
    <n v="716.1"/>
    <n v="53.94"/>
    <n v="128.86000000000001"/>
    <n v="0"/>
    <n v="214.5"/>
    <n v="692.36"/>
    <n v="1045.6400000000001"/>
    <n v="0"/>
    <n v="233.95"/>
    <n v="346.5"/>
    <n v="5220.63"/>
    <n v="-112.55000000000001"/>
  </r>
  <r>
    <x v="2"/>
    <x v="1"/>
    <x v="0"/>
    <s v="2354200"/>
    <n v="450040"/>
    <s v="Contr Allow--Phys Svcs--Managed Care"/>
    <s v="FMC-Gravelly Lake-Internal Med"/>
    <x v="0"/>
    <n v="1400"/>
    <n v="1945.09"/>
    <n v="2562.46"/>
    <n v="2485.35"/>
    <n v="2213.2600000000002"/>
    <n v="3600.53"/>
    <n v="1474.42"/>
    <n v="1925.43"/>
    <n v="2943.84"/>
    <n v="1945.65"/>
    <n v="2497.73"/>
    <n v="2534.02"/>
    <n v="2148.5100000000002"/>
    <n v="28276.29"/>
    <n v="385.50999999999976"/>
  </r>
  <r>
    <x v="2"/>
    <x v="1"/>
    <x v="0"/>
    <s v="2354200"/>
    <n v="450040"/>
    <s v="Contr Allow--Phys Svcs--BCBS Mgnd Care"/>
    <s v="FMC-Gravelly Lake-Internal Med"/>
    <x v="0"/>
    <n v="1401"/>
    <n v="1005.8"/>
    <n v="9673.2199999999993"/>
    <n v="-3768.51"/>
    <n v="-3067.72"/>
    <n v="-2500.86"/>
    <n v="3303.12"/>
    <n v="5241.88"/>
    <n v="-2351.38"/>
    <n v="1273.5999999999999"/>
    <n v="-942.47"/>
    <n v="-3974.82"/>
    <n v="-2393.5700000000002"/>
    <n v="1498.2899999999972"/>
    <n v="-1581.25"/>
  </r>
  <r>
    <x v="2"/>
    <x v="1"/>
    <x v="0"/>
    <s v="2354200"/>
    <n v="450040"/>
    <s v="Admin Adjust-Phys Svcs-Self Pay"/>
    <s v="FMC-Gravelly Lake-Internal Med"/>
    <x v="0"/>
    <n v="1600"/>
    <n v="4.29"/>
    <n v="118.03"/>
    <n v="41.19"/>
    <n v="50.69"/>
    <n v="450.41"/>
    <n v="109.15"/>
    <n v="0"/>
    <n v="-376.29"/>
    <n v="109.15"/>
    <n v="0"/>
    <n v="0"/>
    <n v="0.32"/>
    <n v="506.94"/>
    <n v="-0.32"/>
  </r>
  <r>
    <x v="2"/>
    <x v="1"/>
    <x v="0"/>
    <s v="2354200"/>
    <n v="450040"/>
    <s v="Contr Allow--Phys Svcs--Other"/>
    <s v="FMC-Gravelly Lake-Internal Med"/>
    <x v="0"/>
    <n v="1700"/>
    <n v="494.36"/>
    <n v="215.19"/>
    <n v="555.17999999999995"/>
    <n v="1058.83"/>
    <n v="312.49"/>
    <n v="185.71"/>
    <n v="556.17999999999995"/>
    <n v="556.17999999999995"/>
    <n v="871.63"/>
    <n v="2277.02"/>
    <n v="84.78"/>
    <n v="327.99"/>
    <n v="7495.54"/>
    <n v="-243.21"/>
  </r>
  <r>
    <x v="3"/>
    <x v="1"/>
    <x v="0"/>
    <s v="2354200"/>
    <n v="470040"/>
    <s v="Charity Care-Physician Svcs"/>
    <s v="FMC-Gravelly Lake-Internal Med"/>
    <x v="0"/>
    <m/>
    <n v="-24.92"/>
    <n v="541.75"/>
    <n v="-224.2"/>
    <n v="4.6900000000000004"/>
    <n v="-31.19"/>
    <n v="14.59"/>
    <n v="1006.18"/>
    <n v="-141.13"/>
    <n v="179.44"/>
    <n v="-49.8"/>
    <n v="-225.92"/>
    <n v="69"/>
    <n v="1118.49"/>
    <n v="-294.91999999999996"/>
  </r>
  <r>
    <x v="4"/>
    <x v="1"/>
    <x v="0"/>
    <s v="2354200"/>
    <n v="490010"/>
    <s v="Provision for Bad Debts"/>
    <s v="FMC-Gravelly Lake-Internal Med"/>
    <x v="0"/>
    <m/>
    <n v="1786.7"/>
    <n v="1388.95"/>
    <n v="157.06"/>
    <n v="-593.66999999999996"/>
    <n v="277.24"/>
    <n v="292.44"/>
    <n v="406.71"/>
    <n v="-152.13"/>
    <n v="558.54"/>
    <n v="89.26"/>
    <n v="220.92"/>
    <n v="49.61"/>
    <n v="4481.63"/>
    <n v="171.31"/>
  </r>
  <r>
    <x v="5"/>
    <x v="1"/>
    <x v="0"/>
    <s v="2354200"/>
    <n v="700022"/>
    <s v="Salaries-Physician-Productive"/>
    <s v="FMC-Gravelly Lake-Internal Med"/>
    <x v="0"/>
    <m/>
    <n v="12393.24"/>
    <n v="12712.72"/>
    <n v="11004.8"/>
    <n v="12655.52"/>
    <n v="12696.88"/>
    <n v="8431.7999999999993"/>
    <n v="13641.05"/>
    <n v="13599.61"/>
    <n v="10798.55"/>
    <n v="14848"/>
    <n v="9547.76"/>
    <n v="10745.34"/>
    <n v="143075.26999999999"/>
    <n v="-1197.58"/>
  </r>
  <r>
    <x v="5"/>
    <x v="1"/>
    <x v="0"/>
    <s v="2354200"/>
    <n v="700030"/>
    <s v="Salaries-LPN-Productive"/>
    <s v="FMC-Gravelly Lake-Internal Med"/>
    <x v="0"/>
    <m/>
    <n v="1109.76"/>
    <n v="729.01"/>
    <n v="1342.64"/>
    <n v="-265.89"/>
    <n v="149.1"/>
    <n v="0"/>
    <n v="0"/>
    <n v="0"/>
    <n v="0"/>
    <n v="321.83"/>
    <n v="-10.37"/>
    <n v="0"/>
    <n v="3376.08"/>
    <n v="-10.37"/>
  </r>
  <r>
    <x v="5"/>
    <x v="1"/>
    <x v="0"/>
    <s v="2354200"/>
    <n v="700030"/>
    <s v="Salaries-LPN-OT"/>
    <s v="FMC-Gravelly Lake-Internal Med"/>
    <x v="0"/>
    <n v="1000"/>
    <n v="966.19"/>
    <n v="955.49"/>
    <n v="1738.59"/>
    <n v="-445.62"/>
    <n v="1079.31"/>
    <n v="598.69000000000005"/>
    <n v="761.24"/>
    <n v="287.64999999999998"/>
    <n v="0"/>
    <n v="303.14"/>
    <n v="-124.82"/>
    <n v="0"/>
    <n v="6119.86"/>
    <n v="-124.82"/>
  </r>
  <r>
    <x v="5"/>
    <x v="1"/>
    <x v="0"/>
    <s v="2354200"/>
    <n v="700030"/>
    <s v="Salaries-LPN-Other"/>
    <s v="FMC-Gravelly Lake-Internal Med"/>
    <x v="0"/>
    <n v="2000"/>
    <n v="151.47999999999999"/>
    <n v="18.22"/>
    <n v="199.67"/>
    <n v="-8.5"/>
    <n v="0"/>
    <n v="0"/>
    <n v="0"/>
    <n v="0"/>
    <n v="0"/>
    <n v="0"/>
    <n v="0"/>
    <n v="0"/>
    <n v="360.87"/>
    <n v="0"/>
  </r>
  <r>
    <x v="5"/>
    <x v="1"/>
    <x v="0"/>
    <s v="2354200"/>
    <n v="700032"/>
    <s v="Salaries-Other Pat Care Providers-Productive"/>
    <s v="FMC-Gravelly Lake-Internal Med"/>
    <x v="0"/>
    <m/>
    <n v="2846.1"/>
    <n v="2757.88"/>
    <n v="2924.79"/>
    <n v="3457.95"/>
    <n v="3780.64"/>
    <n v="3095.38"/>
    <n v="3175.99"/>
    <n v="3205.39"/>
    <n v="3257.35"/>
    <n v="3735.29"/>
    <n v="3646.98"/>
    <n v="3049.55"/>
    <n v="38933.290000000008"/>
    <n v="597.42999999999984"/>
  </r>
  <r>
    <x v="5"/>
    <x v="1"/>
    <x v="0"/>
    <s v="2354200"/>
    <n v="700032"/>
    <s v="Salaries-Other Pat Care Providers-OT"/>
    <s v="FMC-Gravelly Lake-Internal Med"/>
    <x v="0"/>
    <n v="1000"/>
    <n v="1018.03"/>
    <n v="1488.17"/>
    <n v="1460.93"/>
    <n v="299.25"/>
    <n v="2114.02"/>
    <n v="1371.83"/>
    <n v="32.020000000000003"/>
    <n v="308.58999999999997"/>
    <n v="1063.71"/>
    <n v="1388.66"/>
    <n v="170.66"/>
    <n v="802.66"/>
    <n v="11518.529999999999"/>
    <n v="-632"/>
  </r>
  <r>
    <x v="5"/>
    <x v="1"/>
    <x v="0"/>
    <s v="2354200"/>
    <n v="700032"/>
    <s v="Salaries-Other Pat Care Providers-Other"/>
    <s v="FMC-Gravelly Lake-Internal Med"/>
    <x v="0"/>
    <n v="2000"/>
    <n v="0"/>
    <n v="0"/>
    <n v="77.67"/>
    <n v="0"/>
    <n v="4"/>
    <n v="0"/>
    <n v="0"/>
    <n v="0"/>
    <n v="0"/>
    <n v="0"/>
    <n v="0"/>
    <n v="0"/>
    <n v="81.67"/>
    <n v="0"/>
  </r>
  <r>
    <x v="5"/>
    <x v="1"/>
    <x v="0"/>
    <s v="2354200"/>
    <n v="700062"/>
    <s v="Salaries-Physician-Non-productive"/>
    <s v="FMC-Gravelly Lake-Internal Med"/>
    <x v="0"/>
    <m/>
    <n v="0"/>
    <n v="0"/>
    <n v="0"/>
    <n v="0"/>
    <n v="1375.6"/>
    <n v="5188.8"/>
    <n v="1299.57"/>
    <n v="0"/>
    <n v="3374.54"/>
    <n v="0"/>
    <n v="4757.3500000000004"/>
    <n v="1535.04"/>
    <n v="17530.899999999998"/>
    <n v="3222.3100000000004"/>
  </r>
  <r>
    <x v="5"/>
    <x v="1"/>
    <x v="0"/>
    <s v="2354200"/>
    <n v="700062"/>
    <s v="Salaries-Physician-NonProd-Other"/>
    <s v="FMC-Gravelly Lake-Internal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4200"/>
    <n v="700072"/>
    <s v="Salaries-Other Pat Care Providers-Non-productive"/>
    <s v="FMC-Gravelly Lake-Internal Med"/>
    <x v="0"/>
    <m/>
    <n v="160.4"/>
    <n v="0"/>
    <n v="0"/>
    <n v="747"/>
    <n v="-332"/>
    <n v="384.91"/>
    <n v="902.91"/>
    <n v="330.41"/>
    <n v="438.47"/>
    <n v="0"/>
    <n v="457.17"/>
    <n v="519.51"/>
    <n v="3608.7799999999997"/>
    <n v="-62.339999999999975"/>
  </r>
  <r>
    <x v="5"/>
    <x v="1"/>
    <x v="0"/>
    <s v="2354200"/>
    <n v="700072"/>
    <s v="Salaries-Other Pat Care Providers-NonProd-Other"/>
    <s v="FMC-Gravelly Lake-Internal Med"/>
    <x v="0"/>
    <n v="2000"/>
    <n v="0"/>
    <n v="0"/>
    <n v="0"/>
    <n v="0"/>
    <n v="352.46"/>
    <n v="0"/>
    <n v="0"/>
    <n v="-352.46"/>
    <n v="0"/>
    <n v="0"/>
    <n v="0"/>
    <n v="0"/>
    <n v="0"/>
    <n v="0"/>
  </r>
  <r>
    <x v="5"/>
    <x v="1"/>
    <x v="0"/>
    <s v="2354200"/>
    <n v="700084"/>
    <s v="Accrued PTO"/>
    <s v="FMC-Gravelly Lake-Internal Med"/>
    <x v="0"/>
    <m/>
    <n v="453.03"/>
    <n v="578.84"/>
    <n v="541.35"/>
    <n v="425.26"/>
    <n v="578.51"/>
    <n v="449.24"/>
    <n v="-372.05"/>
    <n v="131.77000000000001"/>
    <n v="199.4"/>
    <n v="58.73"/>
    <n v="-332"/>
    <n v="-643.25"/>
    <n v="2068.8299999999995"/>
    <n v="311.25"/>
  </r>
  <r>
    <x v="6"/>
    <x v="1"/>
    <x v="0"/>
    <s v="2354200"/>
    <n v="713010"/>
    <s v="Benefits-FICA/Medicare"/>
    <s v="FMC-Gravelly Lake-Internal Med"/>
    <x v="0"/>
    <m/>
    <n v="1423.4"/>
    <n v="1412.65"/>
    <n v="1423.67"/>
    <n v="1256.32"/>
    <n v="1568.95"/>
    <n v="675.64"/>
    <n v="1510.4"/>
    <n v="1352.98"/>
    <n v="1445.61"/>
    <n v="1570.43"/>
    <n v="1408.69"/>
    <n v="1271.5"/>
    <n v="16320.240000000002"/>
    <n v="137.19000000000005"/>
  </r>
  <r>
    <x v="6"/>
    <x v="1"/>
    <x v="0"/>
    <s v="2354200"/>
    <n v="713090"/>
    <s v="Benefits-Allocated Amounts"/>
    <s v="FMC-Gravelly Lake-Internal Med"/>
    <x v="0"/>
    <m/>
    <n v="0"/>
    <n v="0"/>
    <n v="0"/>
    <n v="0"/>
    <n v="0"/>
    <n v="0"/>
    <n v="0"/>
    <n v="0"/>
    <n v="16690.29"/>
    <n v="2030.65"/>
    <n v="1721.49"/>
    <n v="1838.82"/>
    <n v="22281.250000000004"/>
    <n v="-117.32999999999993"/>
  </r>
  <r>
    <x v="6"/>
    <x v="1"/>
    <x v="0"/>
    <s v="2354200"/>
    <n v="713092"/>
    <s v="Allocated Benefits-Physician"/>
    <s v="FMC-Gravelly Lake-Internal Med"/>
    <x v="0"/>
    <m/>
    <n v="2374.04"/>
    <n v="2024.8"/>
    <n v="2568.83"/>
    <n v="1941.24"/>
    <n v="2505.3000000000002"/>
    <n v="2293.5"/>
    <n v="2535.75"/>
    <n v="2402.33"/>
    <n v="-12603"/>
    <n v="735.2"/>
    <n v="623.27"/>
    <n v="665.75"/>
    <n v="8067.01"/>
    <n v="-42.480000000000018"/>
  </r>
  <r>
    <x v="6"/>
    <x v="1"/>
    <x v="0"/>
    <s v="2354200"/>
    <n v="713093"/>
    <s v="Allocated Benefits-Advanced Practice Clinician"/>
    <s v="FMC-Gravelly Lake-Internal Med"/>
    <x v="0"/>
    <m/>
    <n v="175.85"/>
    <n v="149.99"/>
    <n v="190.28"/>
    <n v="143.80000000000001"/>
    <n v="185.58"/>
    <n v="169.89"/>
    <n v="187.83"/>
    <n v="177.95"/>
    <n v="-1381.17"/>
    <n v="0"/>
    <n v="0"/>
    <n v="0"/>
    <n v="0"/>
    <n v="0"/>
  </r>
  <r>
    <x v="8"/>
    <x v="1"/>
    <x v="0"/>
    <s v="2354200"/>
    <n v="741012"/>
    <s v="Physician Liab Insurance-CHI Program"/>
    <s v="FMC-Gravelly Lake-Internal Med"/>
    <x v="0"/>
    <m/>
    <n v="236.83"/>
    <n v="236.83"/>
    <n v="236.83"/>
    <n v="236.83"/>
    <n v="236.84"/>
    <n v="236.83"/>
    <n v="236.84"/>
    <n v="236.83"/>
    <n v="236.84"/>
    <n v="236.83"/>
    <n v="236.84"/>
    <n v="236.83"/>
    <n v="2842"/>
    <n v="9.9999999999909051E-3"/>
  </r>
  <r>
    <x v="0"/>
    <x v="1"/>
    <x v="0"/>
    <s v="2354200"/>
    <n v="743022"/>
    <s v="Dues-Physician"/>
    <s v="FMC-Gravelly Lake-Internal Med"/>
    <x v="0"/>
    <m/>
    <n v="0"/>
    <n v="0"/>
    <n v="0"/>
    <n v="0"/>
    <n v="0"/>
    <n v="0"/>
    <n v="0"/>
    <n v="602"/>
    <n v="0"/>
    <n v="0"/>
    <n v="0"/>
    <n v="0"/>
    <n v="602"/>
    <n v="0"/>
  </r>
  <r>
    <x v="0"/>
    <x v="1"/>
    <x v="0"/>
    <s v="2354200"/>
    <n v="749591"/>
    <s v="Other Expense-Intracompany Allocation"/>
    <s v="FMC-Gravelly Lake-Internal Med"/>
    <x v="0"/>
    <m/>
    <n v="9477.08"/>
    <n v="17506.419999999998"/>
    <n v="11769.1"/>
    <n v="18808.009999999998"/>
    <n v="9134.1299999999992"/>
    <n v="13412.85"/>
    <n v="12617.2"/>
    <n v="13435.29"/>
    <n v="6314.56"/>
    <n v="7977.97"/>
    <n v="18820.29"/>
    <n v="9595.6"/>
    <n v="148868.50000000003"/>
    <n v="9224.69"/>
  </r>
  <r>
    <x v="5"/>
    <x v="1"/>
    <x v="0"/>
    <s v="2356200"/>
    <n v="700022"/>
    <s v="Salaries-Physician-Productive"/>
    <s v="SPANAWAY-Int Med"/>
    <x v="0"/>
    <m/>
    <n v="17582.62"/>
    <n v="26475.040000000001"/>
    <n v="20537.8"/>
    <n v="26769.96"/>
    <n v="23745.040000000001"/>
    <n v="24086.94"/>
    <n v="26889.45"/>
    <n v="24913.919999999998"/>
    <n v="26101.74"/>
    <n v="24237.33"/>
    <n v="26350.87"/>
    <n v="18124.14"/>
    <n v="285814.85000000003"/>
    <n v="8226.73"/>
  </r>
  <r>
    <x v="5"/>
    <x v="1"/>
    <x v="0"/>
    <s v="2356200"/>
    <n v="700030"/>
    <s v="Salaries-LPN-Productive"/>
    <s v="SPANAWAY-Int Med"/>
    <x v="0"/>
    <m/>
    <n v="3115.76"/>
    <n v="4186.8"/>
    <n v="3476.59"/>
    <n v="3674.11"/>
    <n v="3953.66"/>
    <n v="2665"/>
    <n v="4229.1000000000004"/>
    <n v="3422.8"/>
    <n v="2661.78"/>
    <n v="4179.08"/>
    <n v="4268.12"/>
    <n v="3567.64"/>
    <n v="43400.44"/>
    <n v="700.48"/>
  </r>
  <r>
    <x v="5"/>
    <x v="1"/>
    <x v="0"/>
    <s v="2356200"/>
    <n v="700030"/>
    <s v="Salaries-LPN-OT"/>
    <s v="SPANAWAY-Int Med"/>
    <x v="0"/>
    <n v="1000"/>
    <n v="46.38"/>
    <n v="61.01"/>
    <n v="-12.89"/>
    <n v="64.02"/>
    <n v="-19.559999999999999"/>
    <n v="0"/>
    <n v="436.32"/>
    <n v="-124.66"/>
    <n v="293.83999999999997"/>
    <n v="26.71"/>
    <n v="204.82"/>
    <n v="658.92"/>
    <n v="1634.9099999999999"/>
    <n v="-454.09999999999997"/>
  </r>
  <r>
    <x v="5"/>
    <x v="1"/>
    <x v="0"/>
    <s v="2356200"/>
    <n v="700062"/>
    <s v="Salaries-Physician-Non-productive"/>
    <s v="SPANAWAY-Int Med"/>
    <x v="0"/>
    <m/>
    <n v="4632.3999999999996"/>
    <n v="0"/>
    <n v="2124.6"/>
    <n v="-708.2"/>
    <n v="3068.4"/>
    <n v="1687.62"/>
    <n v="1383.03"/>
    <n v="0"/>
    <n v="0"/>
    <n v="3107.35"/>
    <n v="1553.67"/>
    <n v="6042.4"/>
    <n v="22891.270000000004"/>
    <n v="-4488.7299999999996"/>
  </r>
  <r>
    <x v="5"/>
    <x v="1"/>
    <x v="0"/>
    <s v="2356200"/>
    <n v="700070"/>
    <s v="Salaries-LPN-Non-productive"/>
    <s v="SPANAWAY-Int Med"/>
    <x v="0"/>
    <m/>
    <n v="452.47"/>
    <n v="28.64"/>
    <n v="189.02"/>
    <n v="549.84"/>
    <n v="94.86"/>
    <n v="1282.7"/>
    <n v="140.22999999999999"/>
    <n v="376.37"/>
    <n v="1024.5999999999999"/>
    <n v="100.92"/>
    <n v="-166.21"/>
    <n v="243.39"/>
    <n v="4316.83"/>
    <n v="-409.6"/>
  </r>
  <r>
    <x v="5"/>
    <x v="1"/>
    <x v="0"/>
    <s v="2356200"/>
    <n v="700070"/>
    <s v="Salaries-LPN-NonProd-Other"/>
    <s v="SPANAWAY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6200"/>
    <n v="700084"/>
    <s v="Accrued PTO"/>
    <s v="SPANAWAY-Int Med"/>
    <x v="0"/>
    <m/>
    <n v="-75.63"/>
    <n v="312.26"/>
    <n v="201.38"/>
    <n v="-174.97"/>
    <n v="310.60000000000002"/>
    <n v="-736.67"/>
    <n v="143.91999999999999"/>
    <n v="36.04"/>
    <n v="-354.94"/>
    <n v="55.48"/>
    <n v="360.63"/>
    <n v="323.88"/>
    <n v="401.98"/>
    <n v="36.75"/>
  </r>
  <r>
    <x v="6"/>
    <x v="1"/>
    <x v="0"/>
    <s v="2356200"/>
    <n v="713010"/>
    <s v="Benefits-FICA/Medicare"/>
    <s v="SPANAWAY-Int Med"/>
    <x v="0"/>
    <m/>
    <n v="584.04999999999995"/>
    <n v="687.3"/>
    <n v="591.44000000000005"/>
    <n v="687.38"/>
    <n v="700.32"/>
    <n v="1549.62"/>
    <n v="2471.04"/>
    <n v="2141.38"/>
    <n v="2246.85"/>
    <n v="2364.44"/>
    <n v="1524.73"/>
    <n v="385.63"/>
    <n v="15934.18"/>
    <n v="1139.0999999999999"/>
  </r>
  <r>
    <x v="6"/>
    <x v="1"/>
    <x v="0"/>
    <s v="2356200"/>
    <n v="713090"/>
    <s v="Benefits-Allocated Amounts"/>
    <s v="SPANAWAY-Int Med"/>
    <x v="0"/>
    <m/>
    <n v="0"/>
    <n v="0"/>
    <n v="0"/>
    <n v="0"/>
    <n v="0"/>
    <n v="0"/>
    <n v="0"/>
    <n v="0"/>
    <n v="13830.88"/>
    <n v="1643.24"/>
    <n v="1657.93"/>
    <n v="1620.92"/>
    <n v="18752.97"/>
    <n v="37.009999999999991"/>
  </r>
  <r>
    <x v="6"/>
    <x v="1"/>
    <x v="0"/>
    <s v="2356200"/>
    <n v="713092"/>
    <s v="Allocated Benefits-Physician"/>
    <s v="SPANAWAY-Int Med"/>
    <x v="0"/>
    <m/>
    <n v="2783.32"/>
    <n v="2790.4"/>
    <n v="2831.39"/>
    <n v="2908.97"/>
    <n v="2949.25"/>
    <n v="3046.29"/>
    <n v="3607.47"/>
    <n v="3432.92"/>
    <n v="-10143.48"/>
    <n v="1687.87"/>
    <n v="1702.96"/>
    <n v="1664.95"/>
    <n v="19262.310000000001"/>
    <n v="38.009999999999991"/>
  </r>
  <r>
    <x v="0"/>
    <x v="1"/>
    <x v="0"/>
    <s v="2356200"/>
    <n v="740022"/>
    <s v="Education-Physician"/>
    <s v="SPANAWAY-Int Med"/>
    <x v="0"/>
    <m/>
    <n v="0"/>
    <n v="0"/>
    <n v="0"/>
    <n v="0"/>
    <n v="0"/>
    <n v="0"/>
    <n v="0"/>
    <n v="0"/>
    <n v="3000"/>
    <n v="0"/>
    <n v="0"/>
    <n v="0"/>
    <n v="3000"/>
    <n v="0"/>
  </r>
  <r>
    <x v="0"/>
    <x v="1"/>
    <x v="0"/>
    <s v="2356200"/>
    <n v="743022"/>
    <s v="Dues-Physician"/>
    <s v="SPANAWAY-Int Med"/>
    <x v="0"/>
    <m/>
    <n v="0"/>
    <n v="0"/>
    <n v="0"/>
    <n v="0"/>
    <n v="0"/>
    <n v="0"/>
    <n v="0"/>
    <n v="285"/>
    <n v="0"/>
    <n v="0"/>
    <n v="0"/>
    <n v="0"/>
    <n v="285"/>
    <n v="0"/>
  </r>
  <r>
    <x v="1"/>
    <x v="1"/>
    <x v="0"/>
    <s v="2357200"/>
    <n v="400029"/>
    <s v="MD Practice Other Rev--Medicare"/>
    <s v="St Joseph FP OB"/>
    <x v="0"/>
    <n v="1100"/>
    <n v="-10"/>
    <n v="-20"/>
    <n v="0"/>
    <n v="95"/>
    <n v="0"/>
    <n v="0"/>
    <n v="0"/>
    <n v="0"/>
    <n v="0"/>
    <n v="0"/>
    <n v="0"/>
    <n v="0"/>
    <n v="65"/>
    <n v="0"/>
  </r>
  <r>
    <x v="1"/>
    <x v="1"/>
    <x v="0"/>
    <s v="2357200"/>
    <n v="400029"/>
    <s v="MD Practice Other Rev--Medicaid"/>
    <s v="St Joseph FP OB"/>
    <x v="0"/>
    <n v="1200"/>
    <n v="-159"/>
    <n v="-69"/>
    <n v="0"/>
    <n v="0"/>
    <n v="0"/>
    <n v="0"/>
    <n v="0"/>
    <n v="0"/>
    <n v="0"/>
    <n v="0"/>
    <n v="0"/>
    <n v="0"/>
    <n v="-228"/>
    <n v="0"/>
  </r>
  <r>
    <x v="1"/>
    <x v="1"/>
    <x v="0"/>
    <s v="2357200"/>
    <n v="400029"/>
    <s v="MD Practice Other Rev--Comm Insurance"/>
    <s v="St Joseph FP OB"/>
    <x v="0"/>
    <n v="1300"/>
    <n v="0"/>
    <n v="-64"/>
    <n v="0"/>
    <n v="0"/>
    <n v="0"/>
    <n v="0"/>
    <n v="0"/>
    <n v="0"/>
    <n v="0"/>
    <n v="0"/>
    <n v="0"/>
    <n v="0"/>
    <n v="-64"/>
    <n v="0"/>
  </r>
  <r>
    <x v="1"/>
    <x v="1"/>
    <x v="0"/>
    <s v="2357200"/>
    <n v="400029"/>
    <s v="MD Practice Other Rev--BCBS Comm"/>
    <s v="St Joseph FP OB"/>
    <x v="0"/>
    <n v="1301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357200"/>
    <n v="400029"/>
    <s v="MD Practice Other Rev--Managed Care"/>
    <s v="St Joseph FP OB"/>
    <x v="0"/>
    <n v="1400"/>
    <n v="-190"/>
    <n v="-68"/>
    <n v="0"/>
    <n v="-45"/>
    <n v="0"/>
    <n v="0"/>
    <n v="0"/>
    <n v="0"/>
    <n v="0"/>
    <n v="0"/>
    <n v="0"/>
    <n v="0"/>
    <n v="-303"/>
    <n v="0"/>
  </r>
  <r>
    <x v="1"/>
    <x v="1"/>
    <x v="0"/>
    <s v="2357200"/>
    <n v="400029"/>
    <s v="MD Practice Other Rev--Self Pay"/>
    <s v="St Joseph FP OB"/>
    <x v="0"/>
    <n v="1500"/>
    <n v="-10.32"/>
    <n v="0"/>
    <n v="-38.700000000000003"/>
    <n v="-4.3"/>
    <n v="0"/>
    <n v="0"/>
    <n v="0"/>
    <n v="0"/>
    <n v="0"/>
    <n v="0"/>
    <n v="0"/>
    <n v="0"/>
    <n v="-53.32"/>
    <n v="0"/>
  </r>
  <r>
    <x v="1"/>
    <x v="1"/>
    <x v="0"/>
    <s v="2357200"/>
    <n v="400029"/>
    <s v="MD Practice Other Rev--Other"/>
    <s v="St Joseph FP OB"/>
    <x v="0"/>
    <n v="1700"/>
    <n v="-65"/>
    <n v="-54"/>
    <n v="0"/>
    <n v="-50"/>
    <n v="0"/>
    <n v="0"/>
    <n v="0"/>
    <n v="0"/>
    <n v="0"/>
    <n v="0"/>
    <n v="0"/>
    <n v="0"/>
    <n v="-169"/>
    <n v="0"/>
  </r>
  <r>
    <x v="1"/>
    <x v="1"/>
    <x v="0"/>
    <s v="2357200"/>
    <n v="400040"/>
    <s v="Physician Svcs Rev--Medicare"/>
    <s v="St Joseph FP OB"/>
    <x v="0"/>
    <n v="1100"/>
    <n v="-5414"/>
    <n v="-4006"/>
    <n v="0"/>
    <n v="62"/>
    <n v="-560"/>
    <n v="0"/>
    <n v="782"/>
    <n v="-334"/>
    <n v="0"/>
    <n v="0"/>
    <n v="0"/>
    <n v="0"/>
    <n v="-9470"/>
    <n v="0"/>
  </r>
  <r>
    <x v="1"/>
    <x v="1"/>
    <x v="0"/>
    <s v="2357200"/>
    <n v="400040"/>
    <s v="Physician Svcs Rev--Medicaid"/>
    <s v="St Joseph FP OB"/>
    <x v="0"/>
    <n v="1200"/>
    <n v="-15079"/>
    <n v="-9712.81"/>
    <n v="660"/>
    <n v="0"/>
    <n v="591"/>
    <n v="0"/>
    <n v="0"/>
    <n v="0"/>
    <n v="-600"/>
    <n v="0"/>
    <n v="0"/>
    <n v="0"/>
    <n v="-24140.809999999998"/>
    <n v="0"/>
  </r>
  <r>
    <x v="1"/>
    <x v="1"/>
    <x v="0"/>
    <s v="2357200"/>
    <n v="400040"/>
    <s v="Physician Svcs Rev--Comm Insurance"/>
    <s v="St Joseph FP OB"/>
    <x v="0"/>
    <n v="1300"/>
    <n v="-3029"/>
    <n v="-4944"/>
    <n v="294"/>
    <n v="0"/>
    <n v="0"/>
    <n v="0"/>
    <n v="-296"/>
    <n v="-205"/>
    <n v="-56"/>
    <n v="-417"/>
    <n v="0"/>
    <n v="0"/>
    <n v="-8653"/>
    <n v="0"/>
  </r>
  <r>
    <x v="1"/>
    <x v="1"/>
    <x v="0"/>
    <s v="2357200"/>
    <n v="400040"/>
    <s v="Physician Svcs Rev--BCBS Comm"/>
    <s v="St Joseph FP OB"/>
    <x v="0"/>
    <n v="1301"/>
    <n v="-2157"/>
    <n v="-1249"/>
    <n v="-2505"/>
    <n v="358"/>
    <n v="294"/>
    <n v="-590"/>
    <n v="0"/>
    <n v="0"/>
    <n v="0"/>
    <n v="296"/>
    <n v="0"/>
    <n v="0"/>
    <n v="-5553"/>
    <n v="0"/>
  </r>
  <r>
    <x v="1"/>
    <x v="1"/>
    <x v="0"/>
    <s v="2357200"/>
    <n v="400040"/>
    <s v="Physician Svcs Rev--Managed Care"/>
    <s v="St Joseph FP OB"/>
    <x v="0"/>
    <n v="1400"/>
    <n v="-13679"/>
    <n v="-18040"/>
    <n v="-588"/>
    <n v="107"/>
    <n v="-255"/>
    <n v="590"/>
    <n v="-38"/>
    <n v="539"/>
    <n v="0"/>
    <n v="296"/>
    <n v="0"/>
    <n v="0"/>
    <n v="-31068"/>
    <n v="0"/>
  </r>
  <r>
    <x v="1"/>
    <x v="1"/>
    <x v="0"/>
    <s v="2357200"/>
    <n v="400040"/>
    <s v="Physician Svcs Rev--Self Pay"/>
    <s v="St Joseph FP OB"/>
    <x v="0"/>
    <n v="1500"/>
    <n v="-5689.1"/>
    <n v="3854.07"/>
    <n v="-461.39"/>
    <n v="-505.25"/>
    <n v="0"/>
    <n v="0"/>
    <n v="0"/>
    <n v="0"/>
    <n v="0"/>
    <n v="-296"/>
    <n v="0"/>
    <n v="0"/>
    <n v="-3097.67"/>
    <n v="0"/>
  </r>
  <r>
    <x v="1"/>
    <x v="1"/>
    <x v="0"/>
    <s v="2357200"/>
    <n v="400040"/>
    <s v="Physician Svcs Rev--Other"/>
    <s v="St Joseph FP OB"/>
    <x v="0"/>
    <n v="1700"/>
    <n v="-1086"/>
    <n v="47"/>
    <n v="-294"/>
    <n v="-527"/>
    <n v="0"/>
    <n v="0"/>
    <n v="0"/>
    <n v="0"/>
    <n v="0"/>
    <n v="0"/>
    <n v="0"/>
    <n v="0"/>
    <n v="-1860"/>
    <n v="0"/>
  </r>
  <r>
    <x v="2"/>
    <x v="1"/>
    <x v="0"/>
    <s v="2357200"/>
    <n v="450029"/>
    <s v="Contr Allow--MD Other-Medicare"/>
    <s v="St Joseph FP OB"/>
    <x v="0"/>
    <n v="1100"/>
    <n v="48.08"/>
    <n v="7.95"/>
    <n v="0"/>
    <n v="-23.46"/>
    <n v="0"/>
    <n v="1.66"/>
    <n v="5.45"/>
    <n v="0"/>
    <n v="0"/>
    <n v="0"/>
    <n v="0"/>
    <n v="0"/>
    <n v="39.68"/>
    <n v="0"/>
  </r>
  <r>
    <x v="2"/>
    <x v="1"/>
    <x v="0"/>
    <s v="2357200"/>
    <n v="450029"/>
    <s v="Contr Allow--MD Other-Medicaid"/>
    <s v="St Joseph FP OB"/>
    <x v="0"/>
    <n v="1200"/>
    <n v="100.29"/>
    <n v="72.16"/>
    <n v="18.77"/>
    <n v="0"/>
    <n v="0"/>
    <n v="0"/>
    <n v="31.47"/>
    <n v="0"/>
    <n v="10"/>
    <n v="0"/>
    <n v="24"/>
    <n v="0"/>
    <n v="256.69"/>
    <n v="24"/>
  </r>
  <r>
    <x v="2"/>
    <x v="1"/>
    <x v="0"/>
    <s v="2357200"/>
    <n v="450029"/>
    <s v="Contr Allow--MD Other-Comm Insurance"/>
    <s v="St Joseph FP OB"/>
    <x v="0"/>
    <n v="1300"/>
    <n v="0"/>
    <n v="0"/>
    <n v="29.3"/>
    <n v="0"/>
    <n v="0"/>
    <n v="0"/>
    <n v="0"/>
    <n v="0"/>
    <n v="0"/>
    <n v="0"/>
    <n v="0"/>
    <n v="0"/>
    <n v="29.3"/>
    <n v="0"/>
  </r>
  <r>
    <x v="2"/>
    <x v="1"/>
    <x v="0"/>
    <s v="2357200"/>
    <n v="450029"/>
    <s v="Contr Allow--MD Other BCBS Comm"/>
    <s v="St Joseph FP OB"/>
    <x v="0"/>
    <n v="1301"/>
    <n v="23"/>
    <n v="0"/>
    <n v="0"/>
    <n v="0"/>
    <n v="0"/>
    <n v="0"/>
    <n v="0"/>
    <n v="0"/>
    <n v="0"/>
    <n v="0"/>
    <n v="0"/>
    <n v="0"/>
    <n v="23"/>
    <n v="0"/>
  </r>
  <r>
    <x v="2"/>
    <x v="1"/>
    <x v="0"/>
    <s v="2357200"/>
    <n v="450029"/>
    <s v="Contr Allow--MD Other-Managed Care"/>
    <s v="St Joseph FP OB"/>
    <x v="0"/>
    <n v="1400"/>
    <n v="57.11"/>
    <n v="50.42"/>
    <n v="47.24"/>
    <n v="29.98"/>
    <n v="0.9"/>
    <n v="0"/>
    <n v="0"/>
    <n v="6.52"/>
    <n v="0"/>
    <n v="0"/>
    <n v="0"/>
    <n v="-18.45"/>
    <n v="173.72000000000003"/>
    <n v="18.45"/>
  </r>
  <r>
    <x v="2"/>
    <x v="1"/>
    <x v="0"/>
    <s v="2357200"/>
    <n v="450029"/>
    <s v="Admin Adjust-MD Other-Self Pay"/>
    <s v="St Joseph FP OB"/>
    <x v="0"/>
    <n v="1600"/>
    <n v="0.98"/>
    <n v="20"/>
    <n v="0"/>
    <n v="1.56"/>
    <n v="0"/>
    <n v="0"/>
    <n v="0"/>
    <n v="0"/>
    <n v="0"/>
    <n v="0"/>
    <n v="0"/>
    <n v="0"/>
    <n v="22.54"/>
    <n v="0"/>
  </r>
  <r>
    <x v="2"/>
    <x v="1"/>
    <x v="0"/>
    <s v="2357200"/>
    <n v="450029"/>
    <s v="Contr Allow--MD Other-Other"/>
    <s v="St Joseph FP OB"/>
    <x v="0"/>
    <n v="1700"/>
    <n v="25.98"/>
    <n v="65.58"/>
    <n v="0"/>
    <n v="0"/>
    <n v="0"/>
    <n v="34.07"/>
    <n v="0"/>
    <n v="0"/>
    <n v="0"/>
    <n v="0"/>
    <n v="0"/>
    <n v="0"/>
    <n v="125.63"/>
    <n v="0"/>
  </r>
  <r>
    <x v="2"/>
    <x v="1"/>
    <x v="0"/>
    <s v="2357200"/>
    <n v="450040"/>
    <s v="Contr Allow--Phys Svcs--Mcare"/>
    <s v="St Joseph FP OB"/>
    <x v="0"/>
    <n v="1100"/>
    <n v="1550.77"/>
    <n v="3594.49"/>
    <n v="1770.86"/>
    <n v="1013.17"/>
    <n v="1746.04"/>
    <n v="474.69"/>
    <n v="98.34"/>
    <n v="213.17"/>
    <n v="0.02"/>
    <n v="100.19"/>
    <n v="1023.75"/>
    <n v="1189.97"/>
    <n v="12775.460000000001"/>
    <n v="-166.22000000000003"/>
  </r>
  <r>
    <x v="2"/>
    <x v="1"/>
    <x v="0"/>
    <s v="2357200"/>
    <n v="450040"/>
    <s v="Contr Allow--Phys Svcs--Mcaid"/>
    <s v="St Joseph FP OB"/>
    <x v="0"/>
    <n v="1200"/>
    <n v="7844.18"/>
    <n v="8575.19"/>
    <n v="1428.69"/>
    <n v="2086.48"/>
    <n v="1836.36"/>
    <n v="389.73"/>
    <n v="455.11"/>
    <n v="0"/>
    <n v="508.85"/>
    <n v="0"/>
    <n v="1915.7"/>
    <n v="751.3"/>
    <n v="25791.59"/>
    <n v="1164.4000000000001"/>
  </r>
  <r>
    <x v="2"/>
    <x v="1"/>
    <x v="0"/>
    <s v="2357200"/>
    <n v="450040"/>
    <s v="Contr Allow--Phys Svcs--Comm Insurance"/>
    <s v="St Joseph FP OB"/>
    <x v="0"/>
    <n v="1300"/>
    <n v="944.8"/>
    <n v="2582.0500000000002"/>
    <n v="367.74"/>
    <n v="0"/>
    <n v="416.58"/>
    <n v="1353"/>
    <n v="344"/>
    <n v="0"/>
    <n v="152.54"/>
    <n v="283.47000000000003"/>
    <n v="1446.99"/>
    <n v="-549.58000000000004"/>
    <n v="7341.59"/>
    <n v="1996.5700000000002"/>
  </r>
  <r>
    <x v="2"/>
    <x v="1"/>
    <x v="0"/>
    <s v="2357200"/>
    <n v="450040"/>
    <s v="Contr Allow--Phys Svcs--BCBS Comm Ins"/>
    <s v="St Joseph FP OB"/>
    <x v="0"/>
    <n v="1301"/>
    <n v="778.88"/>
    <n v="555.52"/>
    <n v="600.36"/>
    <n v="0"/>
    <n v="0"/>
    <n v="1514.78"/>
    <n v="0"/>
    <n v="-79.400000000000006"/>
    <n v="0"/>
    <n v="0"/>
    <n v="-79.400000000000006"/>
    <n v="0"/>
    <n v="3290.74"/>
    <n v="-79.400000000000006"/>
  </r>
  <r>
    <x v="2"/>
    <x v="1"/>
    <x v="0"/>
    <s v="2357200"/>
    <n v="450040"/>
    <s v="Contr Allow--Phys Svcs--Managed Care"/>
    <s v="St Joseph FP OB"/>
    <x v="0"/>
    <n v="1400"/>
    <n v="2217.4299999999998"/>
    <n v="5982.69"/>
    <n v="3139.2"/>
    <n v="912.83"/>
    <n v="214.69"/>
    <n v="3.37"/>
    <n v="91.27"/>
    <n v="193.76"/>
    <n v="131.78"/>
    <n v="259.87"/>
    <n v="325.55"/>
    <n v="-740.77"/>
    <n v="12731.670000000002"/>
    <n v="1066.32"/>
  </r>
  <r>
    <x v="2"/>
    <x v="1"/>
    <x v="0"/>
    <s v="2357200"/>
    <n v="450040"/>
    <s v="Contr Allow--Phys Svcs--BCBS Mgnd Care"/>
    <s v="St Joseph FP OB"/>
    <x v="0"/>
    <n v="1401"/>
    <n v="3427.1"/>
    <n v="-5031.67"/>
    <n v="-9714.0499999999993"/>
    <n v="-4062.86"/>
    <n v="-2891.36"/>
    <n v="-3313.8"/>
    <n v="-1269"/>
    <n v="-682.54"/>
    <n v="-912.41"/>
    <n v="-437.01"/>
    <n v="-3123.97"/>
    <n v="308.83999999999997"/>
    <n v="-27702.73"/>
    <n v="-3432.81"/>
  </r>
  <r>
    <x v="2"/>
    <x v="1"/>
    <x v="0"/>
    <s v="2357200"/>
    <n v="450040"/>
    <s v="Admin Adjust-Phys Svcs-Self Pay"/>
    <s v="St Joseph FP OB"/>
    <x v="0"/>
    <n v="1600"/>
    <n v="365.6"/>
    <n v="111.15"/>
    <n v="-86.97"/>
    <n v="7.36"/>
    <n v="0"/>
    <n v="1.51"/>
    <n v="1.02"/>
    <n v="0"/>
    <n v="0"/>
    <n v="109.52"/>
    <n v="0"/>
    <n v="1"/>
    <n v="510.18999999999994"/>
    <n v="-1"/>
  </r>
  <r>
    <x v="2"/>
    <x v="1"/>
    <x v="0"/>
    <s v="2357200"/>
    <n v="450040"/>
    <s v="Contr Allow--Phys Svcs--Other"/>
    <s v="St Joseph FP OB"/>
    <x v="0"/>
    <n v="1700"/>
    <n v="4450.7700000000004"/>
    <n v="514.83000000000004"/>
    <n v="388.33"/>
    <n v="-28.48"/>
    <n v="0"/>
    <n v="327.41000000000003"/>
    <n v="0"/>
    <n v="0"/>
    <n v="397.08"/>
    <n v="0"/>
    <n v="0"/>
    <n v="0"/>
    <n v="6049.9400000000005"/>
    <n v="0"/>
  </r>
  <r>
    <x v="3"/>
    <x v="1"/>
    <x v="0"/>
    <s v="2357200"/>
    <n v="470040"/>
    <s v="Charity Care-Physician Svcs"/>
    <s v="St Joseph FP OB"/>
    <x v="0"/>
    <m/>
    <n v="684.48"/>
    <n v="104.78"/>
    <n v="-355.62"/>
    <n v="-147.24"/>
    <n v="-78.78"/>
    <n v="45"/>
    <n v="-3.01"/>
    <n v="-42.39"/>
    <n v="12.8"/>
    <n v="298.79000000000002"/>
    <n v="-72.709999999999994"/>
    <n v="56.69"/>
    <n v="502.78999999999996"/>
    <n v="-129.39999999999998"/>
  </r>
  <r>
    <x v="4"/>
    <x v="1"/>
    <x v="0"/>
    <s v="2357200"/>
    <n v="490010"/>
    <s v="Provision for Bad Debts"/>
    <s v="St Joseph FP OB"/>
    <x v="0"/>
    <m/>
    <n v="3247.88"/>
    <n v="-413.46"/>
    <n v="-676.24"/>
    <n v="325.29000000000002"/>
    <n v="955.92"/>
    <n v="-586.88"/>
    <n v="41.37"/>
    <n v="537.67999999999995"/>
    <n v="155.11000000000001"/>
    <n v="-948.24"/>
    <n v="-411.82"/>
    <n v="277.64999999999998"/>
    <n v="2504.2600000000002"/>
    <n v="-689.47"/>
  </r>
  <r>
    <x v="13"/>
    <x v="1"/>
    <x v="0"/>
    <s v="2357200"/>
    <n v="735070"/>
    <s v="Depreciation-Movable Equipment"/>
    <s v="St Joseph FP OB"/>
    <x v="0"/>
    <m/>
    <n v="59.82"/>
    <n v="59.82"/>
    <n v="59.82"/>
    <n v="59.82"/>
    <n v="59.82"/>
    <n v="59.82"/>
    <n v="59.82"/>
    <n v="59.82"/>
    <n v="59.83"/>
    <n v="59.82"/>
    <n v="59.83"/>
    <n v="59.82"/>
    <n v="717.86000000000013"/>
    <n v="9.9999999999980105E-3"/>
  </r>
  <r>
    <x v="1"/>
    <x v="1"/>
    <x v="0"/>
    <s v="2358200"/>
    <n v="400029"/>
    <s v="MD Practice Other Rev--Medicare"/>
    <s v="FMC-Puyallup Fam Med"/>
    <x v="0"/>
    <n v="1100"/>
    <n v="-343"/>
    <n v="-196"/>
    <n v="-20"/>
    <n v="-30"/>
    <n v="-40"/>
    <n v="-140"/>
    <n v="-60"/>
    <n v="-155"/>
    <n v="-74"/>
    <n v="-239"/>
    <n v="-94"/>
    <n v="-184"/>
    <n v="-1575"/>
    <n v="90"/>
  </r>
  <r>
    <x v="1"/>
    <x v="1"/>
    <x v="0"/>
    <s v="2358200"/>
    <n v="400029"/>
    <s v="MD Practice Other Rev--Medicaid"/>
    <s v="FMC-Puyallup Fam Med"/>
    <x v="0"/>
    <n v="1200"/>
    <n v="-92"/>
    <n v="-242"/>
    <n v="-194"/>
    <n v="-143"/>
    <n v="-227"/>
    <n v="-58"/>
    <n v="-68"/>
    <n v="-79"/>
    <n v="-349"/>
    <n v="-394"/>
    <n v="-271"/>
    <n v="-204"/>
    <n v="-2321"/>
    <n v="-67"/>
  </r>
  <r>
    <x v="1"/>
    <x v="1"/>
    <x v="0"/>
    <s v="2358200"/>
    <n v="400029"/>
    <s v="MD Practice Other Rev--Comm Insurance"/>
    <s v="FMC-Puyallup Fam Med"/>
    <x v="0"/>
    <n v="1300"/>
    <n v="-34"/>
    <n v="-165"/>
    <n v="-44"/>
    <n v="-54"/>
    <n v="-58"/>
    <n v="-90"/>
    <n v="-24"/>
    <n v="-10"/>
    <n v="-34"/>
    <n v="-116"/>
    <n v="-24"/>
    <n v="-67"/>
    <n v="-720"/>
    <n v="43"/>
  </r>
  <r>
    <x v="1"/>
    <x v="1"/>
    <x v="0"/>
    <s v="2358200"/>
    <n v="400029"/>
    <s v="MD Practice Other Rev--BCBS Comm"/>
    <s v="FMC-Puyallup Fam Med"/>
    <x v="0"/>
    <n v="1301"/>
    <n v="-44"/>
    <n v="-131"/>
    <n v="-10"/>
    <n v="-45"/>
    <n v="-58"/>
    <n v="-10"/>
    <n v="-135"/>
    <n v="-10"/>
    <n v="-69"/>
    <n v="-196"/>
    <n v="-44"/>
    <n v="0"/>
    <n v="-752"/>
    <n v="-44"/>
  </r>
  <r>
    <x v="1"/>
    <x v="1"/>
    <x v="0"/>
    <s v="2358200"/>
    <n v="400029"/>
    <s v="MD Practice Other Rev--Managed Care"/>
    <s v="FMC-Puyallup Fam Med"/>
    <x v="0"/>
    <n v="1400"/>
    <n v="-98"/>
    <n v="-244"/>
    <n v="-165"/>
    <n v="-107"/>
    <n v="-68"/>
    <n v="-136"/>
    <n v="-155"/>
    <n v="-163"/>
    <n v="-217"/>
    <n v="-464"/>
    <n v="-150"/>
    <n v="-608"/>
    <n v="-2575"/>
    <n v="458"/>
  </r>
  <r>
    <x v="1"/>
    <x v="1"/>
    <x v="0"/>
    <s v="2358200"/>
    <n v="400029"/>
    <s v="MD Practice Other Rev--Self Pay"/>
    <s v="FMC-Puyallup Fam Med"/>
    <x v="0"/>
    <n v="1500"/>
    <n v="0"/>
    <n v="0"/>
    <n v="0"/>
    <n v="0"/>
    <n v="0"/>
    <n v="0"/>
    <n v="-45"/>
    <n v="-45"/>
    <n v="0"/>
    <n v="-48"/>
    <n v="0"/>
    <n v="-24"/>
    <n v="-162"/>
    <n v="24"/>
  </r>
  <r>
    <x v="1"/>
    <x v="1"/>
    <x v="0"/>
    <s v="2358200"/>
    <n v="400029"/>
    <s v="MD Practice Other Rev--Other"/>
    <s v="FMC-Puyallup Fam Med"/>
    <x v="0"/>
    <n v="1700"/>
    <n v="0"/>
    <n v="-10"/>
    <n v="-48"/>
    <n v="-55"/>
    <n v="-69"/>
    <n v="-24"/>
    <n v="-58"/>
    <n v="-45"/>
    <n v="-124"/>
    <n v="-96"/>
    <n v="0"/>
    <n v="-82"/>
    <n v="-611"/>
    <n v="82"/>
  </r>
  <r>
    <x v="1"/>
    <x v="1"/>
    <x v="0"/>
    <s v="2358200"/>
    <n v="400040"/>
    <s v="Physician Svcs Rev--Medicare"/>
    <s v="FMC-Puyallup Fam Med"/>
    <x v="0"/>
    <n v="1100"/>
    <n v="-24676"/>
    <n v="-39730"/>
    <n v="-39476.129999999997"/>
    <n v="-51472"/>
    <n v="-34892"/>
    <n v="-26043"/>
    <n v="-28903"/>
    <n v="-20102"/>
    <n v="-48578"/>
    <n v="-62899"/>
    <n v="-59807"/>
    <n v="-90432"/>
    <n v="-527010.13"/>
    <n v="30625"/>
  </r>
  <r>
    <x v="1"/>
    <x v="1"/>
    <x v="0"/>
    <s v="2358200"/>
    <n v="400040"/>
    <s v="Physician Svcs Rev--Medicaid"/>
    <s v="FMC-Puyallup Fam Med"/>
    <x v="0"/>
    <n v="1200"/>
    <n v="-29368"/>
    <n v="-40637.949999999997"/>
    <n v="-44626.44"/>
    <n v="-42309.43"/>
    <n v="-33403"/>
    <n v="-28454"/>
    <n v="-26116"/>
    <n v="-17964.759999999998"/>
    <n v="-41875.040000000001"/>
    <n v="-67774.44"/>
    <n v="-54587.360000000001"/>
    <n v="-77634.87"/>
    <n v="-504751.29"/>
    <n v="23047.509999999995"/>
  </r>
  <r>
    <x v="1"/>
    <x v="1"/>
    <x v="0"/>
    <s v="2358200"/>
    <n v="400040"/>
    <s v="Physician Svcs Rev--Comm Insurance"/>
    <s v="FMC-Puyallup Fam Med"/>
    <x v="0"/>
    <n v="1300"/>
    <n v="-6793"/>
    <n v="-14025"/>
    <n v="-22094"/>
    <n v="-16685"/>
    <n v="-12938"/>
    <n v="-8271"/>
    <n v="-10679.13"/>
    <n v="-6056"/>
    <n v="-17755"/>
    <n v="-19312"/>
    <n v="-12628"/>
    <n v="-22087.57"/>
    <n v="-169323.7"/>
    <n v="9459.57"/>
  </r>
  <r>
    <x v="1"/>
    <x v="1"/>
    <x v="0"/>
    <s v="2358200"/>
    <n v="400040"/>
    <s v="Physician Svcs Rev--BCBS Comm"/>
    <s v="FMC-Puyallup Fam Med"/>
    <x v="0"/>
    <n v="1301"/>
    <n v="-7929"/>
    <n v="-20626"/>
    <n v="-17045"/>
    <n v="-16149"/>
    <n v="-11677"/>
    <n v="-11152"/>
    <n v="-10274"/>
    <n v="-8226.49"/>
    <n v="-23360"/>
    <n v="-32424.5"/>
    <n v="-14608"/>
    <n v="-22364.32"/>
    <n v="-195835.31"/>
    <n v="7756.32"/>
  </r>
  <r>
    <x v="1"/>
    <x v="1"/>
    <x v="0"/>
    <s v="2358200"/>
    <n v="400040"/>
    <s v="Physician Svcs Rev--Managed Care"/>
    <s v="FMC-Puyallup Fam Med"/>
    <x v="0"/>
    <n v="1400"/>
    <n v="-36544"/>
    <n v="-30249"/>
    <n v="-58073.13"/>
    <n v="-60911"/>
    <n v="-48910.13"/>
    <n v="-46711"/>
    <n v="-41474"/>
    <n v="-25322.69"/>
    <n v="-43234.1"/>
    <n v="-72026.55"/>
    <n v="-61122.32"/>
    <n v="-80086.64"/>
    <n v="-604664.55999999994"/>
    <n v="18964.32"/>
  </r>
  <r>
    <x v="1"/>
    <x v="1"/>
    <x v="0"/>
    <s v="2358200"/>
    <n v="400040"/>
    <s v="Physician Svcs Rev--Self Pay"/>
    <s v="FMC-Puyallup Fam Med"/>
    <x v="0"/>
    <n v="1500"/>
    <n v="-1147"/>
    <n v="-2869"/>
    <n v="-1848"/>
    <n v="-1799"/>
    <n v="-296"/>
    <n v="-741"/>
    <n v="-695"/>
    <n v="-641"/>
    <n v="-1621"/>
    <n v="-3635"/>
    <n v="-1525"/>
    <n v="-1846"/>
    <n v="-18663"/>
    <n v="321"/>
  </r>
  <r>
    <x v="1"/>
    <x v="1"/>
    <x v="0"/>
    <s v="2358200"/>
    <n v="400040"/>
    <s v="Physician Svcs Rev--Other"/>
    <s v="FMC-Puyallup Fam Med"/>
    <x v="0"/>
    <n v="1700"/>
    <n v="-14636"/>
    <n v="-12680"/>
    <n v="-12997.91"/>
    <n v="-16950"/>
    <n v="-8842"/>
    <n v="-8897"/>
    <n v="-7055"/>
    <n v="-10302.14"/>
    <n v="-13156.74"/>
    <n v="-21873.040000000001"/>
    <n v="-21816.73"/>
    <n v="-23986"/>
    <n v="-173192.56000000003"/>
    <n v="2169.2700000000004"/>
  </r>
  <r>
    <x v="2"/>
    <x v="1"/>
    <x v="0"/>
    <s v="2358200"/>
    <n v="450029"/>
    <s v="Contr Allow--MD Other-Medicare"/>
    <s v="FMC-Puyallup Fam Med"/>
    <x v="0"/>
    <n v="1100"/>
    <n v="28.69"/>
    <n v="225.18"/>
    <n v="38.74"/>
    <n v="70.08"/>
    <n v="29"/>
    <n v="6.59"/>
    <n v="103.54"/>
    <n v="129.9"/>
    <n v="27.67"/>
    <n v="35.32"/>
    <n v="120.5"/>
    <n v="115.21"/>
    <n v="930.42000000000007"/>
    <n v="5.2900000000000063"/>
  </r>
  <r>
    <x v="2"/>
    <x v="1"/>
    <x v="0"/>
    <s v="2358200"/>
    <n v="450029"/>
    <s v="Contr Allow--MD Other-Medicaid"/>
    <s v="FMC-Puyallup Fam Med"/>
    <x v="0"/>
    <n v="1200"/>
    <n v="32.49"/>
    <n v="231.6"/>
    <n v="77.59"/>
    <n v="77.64"/>
    <n v="197.24"/>
    <n v="30.62"/>
    <n v="36.42"/>
    <n v="63.69"/>
    <n v="80.099999999999994"/>
    <n v="243.88"/>
    <n v="0"/>
    <n v="413.3"/>
    <n v="1484.57"/>
    <n v="-413.3"/>
  </r>
  <r>
    <x v="2"/>
    <x v="1"/>
    <x v="0"/>
    <s v="2358200"/>
    <n v="450029"/>
    <s v="Contr Allow--MD Other-Comm Insurance"/>
    <s v="FMC-Puyallup Fam Med"/>
    <x v="0"/>
    <n v="1300"/>
    <n v="4.43"/>
    <n v="22.88"/>
    <n v="4.43"/>
    <n v="11.47"/>
    <n v="38.86"/>
    <n v="37.78"/>
    <n v="0"/>
    <n v="18.45"/>
    <n v="0"/>
    <n v="8.5"/>
    <n v="0"/>
    <n v="33.590000000000003"/>
    <n v="180.39"/>
    <n v="-33.590000000000003"/>
  </r>
  <r>
    <x v="2"/>
    <x v="1"/>
    <x v="0"/>
    <s v="2358200"/>
    <n v="450029"/>
    <s v="Contr Allow--MD Other BCBS Comm"/>
    <s v="FMC-Puyallup Fam Med"/>
    <x v="0"/>
    <n v="1301"/>
    <n v="6.5"/>
    <n v="38.33"/>
    <n v="45.98"/>
    <n v="35.06"/>
    <n v="44.16"/>
    <n v="0"/>
    <n v="85.68"/>
    <n v="13.28"/>
    <n v="28.56"/>
    <n v="6.5"/>
    <n v="57.12"/>
    <n v="88.91"/>
    <n v="450.08000000000004"/>
    <n v="-31.79"/>
  </r>
  <r>
    <x v="2"/>
    <x v="1"/>
    <x v="0"/>
    <s v="2358200"/>
    <n v="450029"/>
    <s v="Contr Allow--MD Other-Managed Care"/>
    <s v="FMC-Puyallup Fam Med"/>
    <x v="0"/>
    <n v="1400"/>
    <n v="0"/>
    <n v="144.16999999999999"/>
    <n v="53.48"/>
    <n v="103.63"/>
    <n v="59.43"/>
    <n v="72.19"/>
    <n v="160.54"/>
    <n v="6.52"/>
    <n v="161.02000000000001"/>
    <n v="147.94"/>
    <n v="124.82"/>
    <n v="365.44"/>
    <n v="1399.1799999999998"/>
    <n v="-240.62"/>
  </r>
  <r>
    <x v="2"/>
    <x v="1"/>
    <x v="0"/>
    <s v="2358200"/>
    <n v="450029"/>
    <s v="Admin Adjust-MD Other-Self Pay"/>
    <s v="FMC-Puyallup Fam Med"/>
    <x v="0"/>
    <n v="1600"/>
    <n v="0"/>
    <n v="14.29"/>
    <n v="45"/>
    <n v="0"/>
    <n v="0"/>
    <n v="0.7"/>
    <n v="27.94"/>
    <n v="17.760000000000002"/>
    <n v="-6.72"/>
    <n v="23.89"/>
    <n v="0.52"/>
    <n v="16.54"/>
    <n v="139.92000000000002"/>
    <n v="-16.02"/>
  </r>
  <r>
    <x v="2"/>
    <x v="1"/>
    <x v="0"/>
    <s v="2358200"/>
    <n v="450029"/>
    <s v="Contr Allow--MD Other-Other"/>
    <s v="FMC-Puyallup Fam Med"/>
    <x v="0"/>
    <n v="1700"/>
    <n v="0"/>
    <n v="0"/>
    <n v="27"/>
    <n v="-2.83"/>
    <n v="78.77"/>
    <n v="22.19"/>
    <n v="0"/>
    <n v="41.17"/>
    <n v="45.47"/>
    <n v="73.900000000000006"/>
    <n v="31.44"/>
    <n v="30.69"/>
    <n v="347.8"/>
    <n v="0.75"/>
  </r>
  <r>
    <x v="2"/>
    <x v="1"/>
    <x v="0"/>
    <s v="2358200"/>
    <n v="450040"/>
    <s v="Contr Allow--Phys Svcs--Mcare"/>
    <s v="FMC-Puyallup Fam Med"/>
    <x v="0"/>
    <n v="1100"/>
    <n v="5604.77"/>
    <n v="20929.8"/>
    <n v="17522.93"/>
    <n v="32414.34"/>
    <n v="30341.25"/>
    <n v="14703.55"/>
    <n v="17806.560000000001"/>
    <n v="13021.67"/>
    <n v="20561.02"/>
    <n v="23966.97"/>
    <n v="26325.14"/>
    <n v="50744.04"/>
    <n v="273942.03999999998"/>
    <n v="-24418.9"/>
  </r>
  <r>
    <x v="2"/>
    <x v="1"/>
    <x v="0"/>
    <s v="2358200"/>
    <n v="450040"/>
    <s v="Contr Allow--Phys Svcs--Mcaid"/>
    <s v="FMC-Puyallup Fam Med"/>
    <x v="0"/>
    <n v="1200"/>
    <n v="7998.75"/>
    <n v="37720.79"/>
    <n v="24292.86"/>
    <n v="27684.01"/>
    <n v="30620.7"/>
    <n v="17297.03"/>
    <n v="19100.740000000002"/>
    <n v="11875.73"/>
    <n v="19244.07"/>
    <n v="32661.29"/>
    <n v="18852.18"/>
    <n v="77837.919999999998"/>
    <n v="325186.07"/>
    <n v="-58985.74"/>
  </r>
  <r>
    <x v="2"/>
    <x v="1"/>
    <x v="0"/>
    <s v="2358200"/>
    <n v="450040"/>
    <s v="Contr Allow--Phys Svcs--Comm Insurance"/>
    <s v="FMC-Puyallup Fam Med"/>
    <x v="0"/>
    <n v="1300"/>
    <n v="719"/>
    <n v="4189.4399999999996"/>
    <n v="7748.06"/>
    <n v="8525.7900000000009"/>
    <n v="3805.8"/>
    <n v="2982.8"/>
    <n v="2760.2"/>
    <n v="2241.42"/>
    <n v="1137.8599999999999"/>
    <n v="3392.42"/>
    <n v="2739.14"/>
    <n v="18486.59"/>
    <n v="58728.520000000004"/>
    <n v="-15747.45"/>
  </r>
  <r>
    <x v="2"/>
    <x v="1"/>
    <x v="0"/>
    <s v="2358200"/>
    <n v="450040"/>
    <s v="Contr Allow--Phys Svcs--BCBS Comm Ins"/>
    <s v="FMC-Puyallup Fam Med"/>
    <x v="0"/>
    <n v="1301"/>
    <n v="540.12"/>
    <n v="5545.93"/>
    <n v="4844.8999999999996"/>
    <n v="4765.21"/>
    <n v="6586.36"/>
    <n v="2881.41"/>
    <n v="3436.74"/>
    <n v="3294.3"/>
    <n v="5390.52"/>
    <n v="7510.83"/>
    <n v="4324.33"/>
    <n v="11609.96"/>
    <n v="60730.61"/>
    <n v="-7285.6299999999992"/>
  </r>
  <r>
    <x v="2"/>
    <x v="1"/>
    <x v="0"/>
    <s v="2358200"/>
    <n v="450040"/>
    <s v="Contr Allow--Phys Svcs--Managed Care"/>
    <s v="FMC-Puyallup Fam Med"/>
    <x v="0"/>
    <n v="1400"/>
    <n v="2948.32"/>
    <n v="14853.62"/>
    <n v="10757.78"/>
    <n v="22524.6"/>
    <n v="24792.48"/>
    <n v="14334.52"/>
    <n v="13527.72"/>
    <n v="13966.43"/>
    <n v="13402.96"/>
    <n v="15393.15"/>
    <n v="16838.36"/>
    <n v="38135.620000000003"/>
    <n v="201475.56"/>
    <n v="-21297.260000000002"/>
  </r>
  <r>
    <x v="2"/>
    <x v="1"/>
    <x v="0"/>
    <s v="2358200"/>
    <n v="450040"/>
    <s v="Contr Allow--Phys Svcs--BCBS Mgnd Care"/>
    <s v="FMC-Puyallup Fam Med"/>
    <x v="0"/>
    <n v="1401"/>
    <n v="43619.94"/>
    <n v="-1362.89"/>
    <n v="33595.230000000003"/>
    <n v="4955.29"/>
    <n v="-21061.3"/>
    <n v="10266.5"/>
    <n v="3315.59"/>
    <n v="-4905.51"/>
    <n v="32248.92"/>
    <n v="52703.95"/>
    <n v="42090.62"/>
    <n v="-28975.72"/>
    <n v="166490.61999999997"/>
    <n v="71066.34"/>
  </r>
  <r>
    <x v="2"/>
    <x v="1"/>
    <x v="0"/>
    <s v="2358200"/>
    <n v="450040"/>
    <s v="Prompt Pay Disc-Phys Svcs-Self Pay"/>
    <s v="FMC-Puyallup Fam Med"/>
    <x v="0"/>
    <n v="1500"/>
    <n v="0"/>
    <n v="0"/>
    <n v="0"/>
    <n v="126.05"/>
    <n v="0"/>
    <n v="0"/>
    <n v="0"/>
    <n v="0"/>
    <n v="0"/>
    <n v="0"/>
    <n v="0"/>
    <n v="56.04"/>
    <n v="182.09"/>
    <n v="-56.04"/>
  </r>
  <r>
    <x v="2"/>
    <x v="1"/>
    <x v="0"/>
    <s v="2358200"/>
    <n v="450040"/>
    <s v="Admin Adjust-Phys Svcs-Self Pay"/>
    <s v="FMC-Puyallup Fam Med"/>
    <x v="0"/>
    <n v="1600"/>
    <n v="424.39"/>
    <n v="1167.27"/>
    <n v="636.66999999999996"/>
    <n v="876.7"/>
    <n v="242.1"/>
    <n v="522.85"/>
    <n v="167.35"/>
    <n v="316.47000000000003"/>
    <n v="741.97"/>
    <n v="1014.19"/>
    <n v="583.88"/>
    <n v="1220.24"/>
    <n v="7914.079999999999"/>
    <n v="-636.36"/>
  </r>
  <r>
    <x v="2"/>
    <x v="1"/>
    <x v="0"/>
    <s v="2358200"/>
    <n v="450040"/>
    <s v="Contr Allow--Phys Svcs--Other"/>
    <s v="FMC-Puyallup Fam Med"/>
    <x v="0"/>
    <n v="1700"/>
    <n v="2541.0700000000002"/>
    <n v="8538.7800000000007"/>
    <n v="4765.1499999999996"/>
    <n v="8181.3"/>
    <n v="8072.41"/>
    <n v="7081.53"/>
    <n v="6419.3"/>
    <n v="4644.03"/>
    <n v="5901.1"/>
    <n v="15504.48"/>
    <n v="9153.82"/>
    <n v="11695.06"/>
    <n v="92498.03"/>
    <n v="-2541.2399999999998"/>
  </r>
  <r>
    <x v="3"/>
    <x v="1"/>
    <x v="0"/>
    <s v="2358200"/>
    <n v="470040"/>
    <s v="Charity Care-Physician Svcs"/>
    <s v="FMC-Puyallup Fam Med"/>
    <x v="0"/>
    <m/>
    <n v="1663.88"/>
    <n v="562.55999999999995"/>
    <n v="1577.66"/>
    <n v="349"/>
    <n v="-334.77"/>
    <n v="84.85"/>
    <n v="138.6"/>
    <n v="-325.38"/>
    <n v="1752.95"/>
    <n v="2015.23"/>
    <n v="604.91999999999996"/>
    <n v="462.37"/>
    <n v="8551.8700000000008"/>
    <n v="142.54999999999995"/>
  </r>
  <r>
    <x v="4"/>
    <x v="1"/>
    <x v="0"/>
    <s v="2358200"/>
    <n v="490010"/>
    <s v="Provision for Bad Debts"/>
    <s v="FMC-Puyallup Fam Med"/>
    <x v="0"/>
    <m/>
    <n v="6276.95"/>
    <n v="-313.39999999999998"/>
    <n v="4212.24"/>
    <n v="-381.97"/>
    <n v="-1566.28"/>
    <n v="1551.72"/>
    <n v="1633.24"/>
    <n v="1634.09"/>
    <n v="5959.21"/>
    <n v="6176.16"/>
    <n v="6300.44"/>
    <n v="-931.68"/>
    <n v="30550.719999999998"/>
    <n v="7232.12"/>
  </r>
  <r>
    <x v="5"/>
    <x v="1"/>
    <x v="0"/>
    <s v="2358200"/>
    <n v="700022"/>
    <s v="Salaries-Physician-Productive"/>
    <s v="FMC-Puyallup Fam Med"/>
    <x v="0"/>
    <m/>
    <n v="25677.18"/>
    <n v="27124.240000000002"/>
    <n v="41105.42"/>
    <n v="41849.760000000002"/>
    <n v="39216.85"/>
    <n v="34077.89"/>
    <n v="41536.6"/>
    <n v="16612.900000000001"/>
    <n v="38701.21"/>
    <n v="37268.21"/>
    <n v="35895.99"/>
    <n v="32088.59"/>
    <n v="411154.84000000008"/>
    <n v="3807.3999999999978"/>
  </r>
  <r>
    <x v="5"/>
    <x v="1"/>
    <x v="0"/>
    <s v="2358200"/>
    <n v="700022"/>
    <s v="Salaries-Physician-Other"/>
    <s v="FMC-Puyallup Fam Med"/>
    <x v="0"/>
    <n v="2000"/>
    <n v="0"/>
    <n v="384.61"/>
    <n v="0"/>
    <n v="0"/>
    <n v="0"/>
    <n v="0"/>
    <n v="0"/>
    <n v="0"/>
    <n v="0"/>
    <n v="0"/>
    <n v="0"/>
    <n v="0"/>
    <n v="384.61"/>
    <n v="0"/>
  </r>
  <r>
    <x v="5"/>
    <x v="1"/>
    <x v="0"/>
    <s v="2358200"/>
    <n v="700024"/>
    <s v="Salaries-Advanced Practice Clinician-Productive"/>
    <s v="FMC-Puyallup Fam Med"/>
    <x v="0"/>
    <m/>
    <n v="10796.8"/>
    <n v="8000"/>
    <n v="7400"/>
    <n v="7500"/>
    <n v="2440"/>
    <n v="-1020"/>
    <n v="0"/>
    <n v="0"/>
    <n v="18785.75"/>
    <n v="12925.63"/>
    <n v="9517.75"/>
    <n v="16307.32"/>
    <n v="92653.25"/>
    <n v="-6789.57"/>
  </r>
  <r>
    <x v="5"/>
    <x v="1"/>
    <x v="0"/>
    <s v="2358200"/>
    <n v="700026"/>
    <s v="Salaries-RN-Productive"/>
    <s v="FMC-Puyallup Fam Med"/>
    <x v="0"/>
    <m/>
    <n v="1920"/>
    <n v="6410"/>
    <n v="5460"/>
    <n v="7234.15"/>
    <n v="7250.85"/>
    <n v="5652.87"/>
    <n v="6583.35"/>
    <n v="5263.91"/>
    <n v="435.25"/>
    <n v="540.29999999999995"/>
    <n v="168.7"/>
    <n v="4979.32"/>
    <n v="51898.700000000004"/>
    <n v="-4810.62"/>
  </r>
  <r>
    <x v="5"/>
    <x v="1"/>
    <x v="0"/>
    <s v="2358200"/>
    <n v="700026"/>
    <s v="Salaries-RN-OT"/>
    <s v="FMC-Puyallup Fam Med"/>
    <x v="0"/>
    <n v="1000"/>
    <n v="198"/>
    <n v="372"/>
    <n v="465"/>
    <n v="400.13"/>
    <n v="922.51"/>
    <n v="-246"/>
    <n v="86.22"/>
    <n v="-9.23"/>
    <n v="0"/>
    <n v="0"/>
    <n v="48.9"/>
    <n v="183.36"/>
    <n v="2420.8900000000003"/>
    <n v="-134.46"/>
  </r>
  <r>
    <x v="5"/>
    <x v="1"/>
    <x v="0"/>
    <s v="2358200"/>
    <n v="700026"/>
    <s v="Salaries-RN-Other"/>
    <s v="FMC-Puyallup Fam Med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358200"/>
    <n v="700030"/>
    <s v="Salaries-LPN-Productive"/>
    <s v="FMC-Puyallup Fam Med"/>
    <x v="0"/>
    <m/>
    <n v="2393.65"/>
    <n v="-61.34"/>
    <n v="2674.93"/>
    <n v="-43.34"/>
    <n v="0"/>
    <n v="1029.42"/>
    <n v="0"/>
    <n v="0"/>
    <n v="2520.84"/>
    <n v="5746.98"/>
    <n v="4832.24"/>
    <n v="5569.74"/>
    <n v="24663.119999999995"/>
    <n v="-737.5"/>
  </r>
  <r>
    <x v="5"/>
    <x v="1"/>
    <x v="0"/>
    <s v="2358200"/>
    <n v="700030"/>
    <s v="Salaries-LPN-OT"/>
    <s v="FMC-Puyallup Fam Med"/>
    <x v="0"/>
    <n v="1000"/>
    <n v="313.33999999999997"/>
    <n v="0"/>
    <n v="210.03"/>
    <n v="-70.010000000000005"/>
    <n v="0"/>
    <n v="0"/>
    <n v="0"/>
    <n v="0"/>
    <n v="63.93"/>
    <n v="366.98"/>
    <n v="840.72"/>
    <n v="-432.3"/>
    <n v="1292.69"/>
    <n v="1273.02"/>
  </r>
  <r>
    <x v="5"/>
    <x v="1"/>
    <x v="0"/>
    <s v="2358200"/>
    <n v="700030"/>
    <s v="Salaries-LPN-Other"/>
    <s v="FMC-Puyallup Fam Med"/>
    <x v="0"/>
    <n v="2000"/>
    <n v="0"/>
    <n v="0"/>
    <n v="0"/>
    <n v="0"/>
    <n v="0"/>
    <n v="0"/>
    <n v="0"/>
    <n v="0"/>
    <n v="14.26"/>
    <n v="9.1"/>
    <n v="38.1"/>
    <n v="40.19"/>
    <n v="101.65"/>
    <n v="-2.0899999999999963"/>
  </r>
  <r>
    <x v="5"/>
    <x v="1"/>
    <x v="0"/>
    <s v="2358200"/>
    <n v="700032"/>
    <s v="Salaries-Other Pat Care Providers-Productive"/>
    <s v="FMC-Puyallup Fam Med"/>
    <x v="0"/>
    <m/>
    <n v="4941.76"/>
    <n v="4581.4399999999996"/>
    <n v="2762.07"/>
    <n v="3332.01"/>
    <n v="3830.85"/>
    <n v="2216.9499999999998"/>
    <n v="4130.3999999999996"/>
    <n v="2406.0700000000002"/>
    <n v="5609.79"/>
    <n v="5356.71"/>
    <n v="4034.16"/>
    <n v="3120.64"/>
    <n v="46322.850000000006"/>
    <n v="913.52"/>
  </r>
  <r>
    <x v="5"/>
    <x v="1"/>
    <x v="0"/>
    <s v="2358200"/>
    <n v="700032"/>
    <s v="Salaries-Other Pat Care Providers-OT"/>
    <s v="FMC-Puyallup Fam Med"/>
    <x v="0"/>
    <n v="1000"/>
    <n v="28.84"/>
    <n v="74.69"/>
    <n v="72.12"/>
    <n v="-20.03"/>
    <n v="0"/>
    <n v="0"/>
    <n v="0"/>
    <n v="0"/>
    <n v="611.30999999999995"/>
    <n v="335.79"/>
    <n v="-79.42"/>
    <n v="165.32"/>
    <n v="1188.6200000000001"/>
    <n v="-244.74"/>
  </r>
  <r>
    <x v="5"/>
    <x v="1"/>
    <x v="0"/>
    <s v="2358200"/>
    <n v="700032"/>
    <s v="Salaries-Other Pat Care Providers-Other"/>
    <s v="FMC-Puyallup Fam Med"/>
    <x v="0"/>
    <n v="2000"/>
    <n v="0"/>
    <n v="0"/>
    <n v="0"/>
    <n v="0"/>
    <n v="0"/>
    <n v="0"/>
    <n v="0"/>
    <n v="0"/>
    <n v="132.32"/>
    <n v="69.06"/>
    <n v="-22.6"/>
    <n v="0"/>
    <n v="178.78"/>
    <n v="-22.6"/>
  </r>
  <r>
    <x v="5"/>
    <x v="1"/>
    <x v="0"/>
    <s v="2358200"/>
    <n v="700034"/>
    <s v="Salaries-Tech/Professional-Productive"/>
    <s v="FMC-Puyallup Fam Med"/>
    <x v="0"/>
    <m/>
    <n v="0"/>
    <n v="0"/>
    <n v="0"/>
    <n v="865.29"/>
    <n v="1616.29"/>
    <n v="1234.29"/>
    <n v="1129.3900000000001"/>
    <n v="1501.53"/>
    <n v="1409.16"/>
    <n v="2182.0300000000002"/>
    <n v="-132.69999999999999"/>
    <n v="2875.56"/>
    <n v="12680.839999999998"/>
    <n v="-3008.2599999999998"/>
  </r>
  <r>
    <x v="5"/>
    <x v="1"/>
    <x v="0"/>
    <s v="2358200"/>
    <n v="700038"/>
    <s v="Salaries-Service/Support-Productive"/>
    <s v="FMC-Puyallup Fam Med"/>
    <x v="0"/>
    <m/>
    <n v="0"/>
    <n v="0"/>
    <n v="0"/>
    <n v="0"/>
    <n v="0"/>
    <n v="0"/>
    <n v="0"/>
    <n v="399.3"/>
    <n v="-114.08"/>
    <n v="0"/>
    <n v="0"/>
    <n v="0"/>
    <n v="285.22000000000003"/>
    <n v="0"/>
  </r>
  <r>
    <x v="5"/>
    <x v="1"/>
    <x v="0"/>
    <s v="2358200"/>
    <n v="700038"/>
    <s v="Salaries-Service/Support-Other"/>
    <s v="FMC-Puyallup Fam Med"/>
    <x v="0"/>
    <n v="2000"/>
    <n v="0"/>
    <n v="0"/>
    <n v="0"/>
    <n v="0"/>
    <n v="0"/>
    <n v="0"/>
    <n v="0"/>
    <n v="22.42"/>
    <n v="-6.4"/>
    <n v="0"/>
    <n v="0"/>
    <n v="0"/>
    <n v="16.020000000000003"/>
    <n v="0"/>
  </r>
  <r>
    <x v="5"/>
    <x v="1"/>
    <x v="0"/>
    <s v="2358200"/>
    <n v="700062"/>
    <s v="Salaries-Physician-Non-productive"/>
    <s v="FMC-Puyallup Fam Med"/>
    <x v="0"/>
    <m/>
    <n v="11854.78"/>
    <n v="17269.62"/>
    <n v="-3719.34"/>
    <n v="1144.23"/>
    <n v="1907.84"/>
    <n v="10796.9"/>
    <n v="1414.46"/>
    <n v="21739.360000000001"/>
    <n v="611.79999999999995"/>
    <n v="3916.81"/>
    <n v="7161.11"/>
    <n v="5349.12"/>
    <n v="79446.69"/>
    <n v="1811.9899999999998"/>
  </r>
  <r>
    <x v="5"/>
    <x v="1"/>
    <x v="0"/>
    <s v="2358200"/>
    <n v="700062"/>
    <s v="Salaries-Physician-NonProd-Other"/>
    <s v="FMC-Puyallup Fam Med"/>
    <x v="0"/>
    <n v="2000"/>
    <n v="0"/>
    <n v="0"/>
    <n v="0"/>
    <n v="0"/>
    <n v="254.27"/>
    <n v="0"/>
    <n v="0"/>
    <n v="-254.27"/>
    <n v="0"/>
    <n v="0"/>
    <n v="0"/>
    <n v="0"/>
    <n v="0"/>
    <n v="0"/>
  </r>
  <r>
    <x v="5"/>
    <x v="1"/>
    <x v="0"/>
    <s v="2358200"/>
    <n v="700064"/>
    <s v="Salaries-Advanced Practice Clinician-Non-Productive"/>
    <s v="FMC-Puyallup Fam Med"/>
    <x v="0"/>
    <m/>
    <n v="3841.69"/>
    <n v="1540.23"/>
    <n v="937.92"/>
    <n v="2037.3"/>
    <n v="6855.1"/>
    <n v="9922.39"/>
    <n v="4582.95"/>
    <n v="166.2"/>
    <n v="2409.5700000000002"/>
    <n v="7282.39"/>
    <n v="13106.19"/>
    <n v="3178.41"/>
    <n v="55860.34"/>
    <n v="9927.7800000000007"/>
  </r>
  <r>
    <x v="5"/>
    <x v="1"/>
    <x v="0"/>
    <s v="2358200"/>
    <n v="700064"/>
    <s v="Salaries-Advanced Practice Clinician-Non-Prod-Other"/>
    <s v="FMC-Puyallup Fam Med"/>
    <x v="0"/>
    <n v="2000"/>
    <n v="0"/>
    <n v="0"/>
    <n v="0"/>
    <n v="0"/>
    <n v="0"/>
    <n v="0"/>
    <n v="-829.45"/>
    <n v="32.68"/>
    <n v="0"/>
    <n v="0"/>
    <n v="-1756.96"/>
    <n v="4.8499999999999996"/>
    <n v="-2548.88"/>
    <n v="-1761.81"/>
  </r>
  <r>
    <x v="5"/>
    <x v="1"/>
    <x v="0"/>
    <s v="2358200"/>
    <n v="700066"/>
    <s v="Salaries-RN-Non-productive"/>
    <s v="FMC-Puyallup Fam Med"/>
    <x v="0"/>
    <m/>
    <n v="120"/>
    <n v="20"/>
    <n v="940"/>
    <n v="239.85"/>
    <n v="-34.85"/>
    <n v="1235.1199999999999"/>
    <n v="972.21"/>
    <n v="771.93"/>
    <n v="-106.75"/>
    <n v="0"/>
    <n v="0"/>
    <n v="0"/>
    <n v="4157.51"/>
    <n v="0"/>
  </r>
  <r>
    <x v="5"/>
    <x v="1"/>
    <x v="0"/>
    <s v="2358200"/>
    <n v="700066"/>
    <s v="Salaries-RN-NonProd-Other"/>
    <s v="FMC-Puyallup 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8200"/>
    <n v="700070"/>
    <s v="Salaries-LPN-Non-productive"/>
    <s v="FMC-Puyallup Fam Med"/>
    <x v="0"/>
    <m/>
    <n v="0"/>
    <n v="0"/>
    <n v="0"/>
    <n v="0"/>
    <n v="0"/>
    <n v="0"/>
    <n v="0"/>
    <n v="0"/>
    <n v="0"/>
    <n v="0"/>
    <n v="0"/>
    <n v="606.22"/>
    <n v="606.22"/>
    <n v="-606.22"/>
  </r>
  <r>
    <x v="5"/>
    <x v="1"/>
    <x v="0"/>
    <s v="2358200"/>
    <n v="700072"/>
    <s v="Salaries-Other Pat Care Providers-Non-productive"/>
    <s v="FMC-Puyallup Fam Med"/>
    <x v="0"/>
    <m/>
    <n v="845.18"/>
    <n v="47.03"/>
    <n v="641.1"/>
    <n v="667.87"/>
    <n v="67.14"/>
    <n v="787.42"/>
    <n v="208.9"/>
    <n v="419.91"/>
    <n v="558.24"/>
    <n v="729.59"/>
    <n v="83.22"/>
    <n v="501.47"/>
    <n v="5557.0700000000006"/>
    <n v="-418.25"/>
  </r>
  <r>
    <x v="5"/>
    <x v="1"/>
    <x v="0"/>
    <s v="2358200"/>
    <n v="700072"/>
    <s v="Salaries-Other Pat Care Providers-NonProd-Other"/>
    <s v="FMC-Puyallup Fam Med"/>
    <x v="0"/>
    <n v="2000"/>
    <n v="0"/>
    <n v="0"/>
    <n v="0"/>
    <n v="0"/>
    <n v="0"/>
    <n v="0"/>
    <n v="0"/>
    <n v="0"/>
    <n v="0"/>
    <n v="33.72"/>
    <n v="-13.88"/>
    <n v="0"/>
    <n v="19.839999999999996"/>
    <n v="-13.88"/>
  </r>
  <r>
    <x v="5"/>
    <x v="1"/>
    <x v="0"/>
    <s v="2358200"/>
    <n v="700078"/>
    <s v="Salaries-Service/Support-NonProd-Other"/>
    <s v="FMC-Puyallup Fam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358200"/>
    <n v="700084"/>
    <s v="Accrued PTO"/>
    <s v="FMC-Puyallup Fam Med"/>
    <x v="0"/>
    <m/>
    <n v="217.09"/>
    <n v="-960.86"/>
    <n v="-252.19"/>
    <n v="838.3"/>
    <n v="1033.4000000000001"/>
    <n v="-45.15"/>
    <n v="41.54"/>
    <n v="25.88"/>
    <n v="240.07"/>
    <n v="-0.66"/>
    <n v="418.6"/>
    <n v="343.76"/>
    <n v="1899.78"/>
    <n v="74.840000000000032"/>
  </r>
  <r>
    <x v="6"/>
    <x v="1"/>
    <x v="0"/>
    <s v="2358200"/>
    <n v="713010"/>
    <s v="Benefits-FICA/Medicare"/>
    <s v="FMC-Puyallup Fam Med"/>
    <x v="0"/>
    <m/>
    <n v="2438.23"/>
    <n v="2172.54"/>
    <n v="2097.46"/>
    <n v="2222.71"/>
    <n v="2290.64"/>
    <n v="3736.25"/>
    <n v="4399.72"/>
    <n v="3649.29"/>
    <n v="5572.44"/>
    <n v="5704.87"/>
    <n v="5468.59"/>
    <n v="5530.28"/>
    <n v="45283.020000000004"/>
    <n v="-61.6899999999996"/>
  </r>
  <r>
    <x v="6"/>
    <x v="1"/>
    <x v="0"/>
    <s v="2358200"/>
    <n v="713090"/>
    <s v="Benefits-Allocated Amounts"/>
    <s v="FMC-Puyallup Fam Med"/>
    <x v="0"/>
    <m/>
    <n v="0"/>
    <n v="0"/>
    <n v="0"/>
    <n v="0"/>
    <n v="0"/>
    <n v="0"/>
    <n v="0"/>
    <n v="0"/>
    <n v="28907.03"/>
    <n v="4386.2700000000004"/>
    <n v="4030.39"/>
    <n v="4806.7700000000004"/>
    <n v="42130.460000000006"/>
    <n v="-776.38000000000056"/>
  </r>
  <r>
    <x v="6"/>
    <x v="1"/>
    <x v="0"/>
    <s v="2358200"/>
    <n v="713092"/>
    <s v="Allocated Benefits-Physician"/>
    <s v="FMC-Puyallup Fam Med"/>
    <x v="0"/>
    <m/>
    <n v="2122.61"/>
    <n v="1788.02"/>
    <n v="1956.09"/>
    <n v="1944.94"/>
    <n v="1942"/>
    <n v="2087.1999999999998"/>
    <n v="2161.84"/>
    <n v="1824.4"/>
    <n v="9862.6"/>
    <n v="3898.07"/>
    <n v="3581.81"/>
    <n v="4271.79"/>
    <n v="37441.370000000003"/>
    <n v="-689.98"/>
  </r>
  <r>
    <x v="6"/>
    <x v="1"/>
    <x v="0"/>
    <s v="2358200"/>
    <n v="713093"/>
    <s v="Allocated Benefits-Advanced Practice Clinician"/>
    <s v="FMC-Puyallup Fam Med"/>
    <x v="0"/>
    <m/>
    <n v="5731.03"/>
    <n v="4827.66"/>
    <n v="5281.45"/>
    <n v="5251.35"/>
    <n v="5243.38"/>
    <n v="5635.45"/>
    <n v="5836.97"/>
    <n v="4925.88"/>
    <n v="-29018.94"/>
    <n v="2080.96"/>
    <n v="1912.12"/>
    <n v="2280.4499999999998"/>
    <n v="19987.759999999998"/>
    <n v="-368.32999999999993"/>
  </r>
  <r>
    <x v="7"/>
    <x v="1"/>
    <x v="0"/>
    <s v="2358200"/>
    <n v="718040"/>
    <s v="Contract Svcs-Laboratory"/>
    <s v="FMC-Puyallup Fam Med"/>
    <x v="0"/>
    <m/>
    <n v="51.2"/>
    <n v="0"/>
    <n v="0"/>
    <n v="0"/>
    <n v="0"/>
    <n v="0"/>
    <n v="0"/>
    <n v="0"/>
    <n v="0"/>
    <n v="0"/>
    <n v="0"/>
    <n v="0"/>
    <n v="51.2"/>
    <n v="0"/>
  </r>
  <r>
    <x v="11"/>
    <x v="1"/>
    <x v="0"/>
    <s v="2358200"/>
    <n v="721835"/>
    <s v="Supplies-Forms"/>
    <s v="FMC-Puyallup Fam Med"/>
    <x v="0"/>
    <m/>
    <n v="0"/>
    <n v="0"/>
    <n v="0"/>
    <n v="0"/>
    <n v="0"/>
    <n v="0.86"/>
    <n v="0"/>
    <n v="0"/>
    <n v="0"/>
    <n v="0"/>
    <n v="0"/>
    <n v="0"/>
    <n v="0.86"/>
    <n v="0"/>
  </r>
  <r>
    <x v="0"/>
    <x v="1"/>
    <x v="0"/>
    <s v="2358200"/>
    <n v="740022"/>
    <s v="Education-Physician"/>
    <s v="FMC-Puyallup Fam Med"/>
    <x v="0"/>
    <m/>
    <n v="0"/>
    <n v="0"/>
    <n v="0"/>
    <n v="0"/>
    <n v="0"/>
    <n v="0"/>
    <n v="0"/>
    <n v="0"/>
    <n v="925"/>
    <n v="0"/>
    <n v="0"/>
    <n v="0"/>
    <n v="925"/>
    <n v="0"/>
  </r>
  <r>
    <x v="8"/>
    <x v="1"/>
    <x v="0"/>
    <s v="2358200"/>
    <n v="741012"/>
    <s v="Physician Liab Insurance-CHI Program"/>
    <s v="FMC-Puyallup Fam Med"/>
    <x v="0"/>
    <m/>
    <n v="1539.42"/>
    <n v="1539.42"/>
    <n v="1539.42"/>
    <n v="1539.42"/>
    <n v="1539.42"/>
    <n v="1539.41"/>
    <n v="1539.42"/>
    <n v="1539.41"/>
    <n v="1539.42"/>
    <n v="1539.41"/>
    <n v="1539.42"/>
    <n v="1539.41"/>
    <n v="18473"/>
    <n v="9.9999999999909051E-3"/>
  </r>
  <r>
    <x v="0"/>
    <x v="1"/>
    <x v="0"/>
    <s v="2358200"/>
    <n v="743010"/>
    <s v="Dues--Institutional"/>
    <s v="FMC-Puyallup Fam Med"/>
    <x v="0"/>
    <m/>
    <n v="0"/>
    <n v="0"/>
    <n v="0"/>
    <n v="0"/>
    <n v="0"/>
    <n v="0"/>
    <n v="840"/>
    <n v="0"/>
    <n v="0"/>
    <n v="0"/>
    <n v="0"/>
    <n v="0"/>
    <n v="840"/>
    <n v="0"/>
  </r>
  <r>
    <x v="0"/>
    <x v="1"/>
    <x v="0"/>
    <s v="2358200"/>
    <n v="743022"/>
    <s v="Dues-Physician"/>
    <s v="FMC-Puyallup Fam Med"/>
    <x v="0"/>
    <m/>
    <n v="0"/>
    <n v="0"/>
    <n v="0"/>
    <n v="0"/>
    <n v="0"/>
    <n v="0"/>
    <n v="0"/>
    <n v="570"/>
    <n v="0"/>
    <n v="0"/>
    <n v="0"/>
    <n v="0"/>
    <n v="570"/>
    <n v="0"/>
  </r>
  <r>
    <x v="0"/>
    <x v="1"/>
    <x v="0"/>
    <s v="2358200"/>
    <n v="749510"/>
    <s v="Miscellaneous Expenses"/>
    <s v="FMC-Puyallup Fam Med"/>
    <x v="0"/>
    <m/>
    <n v="0"/>
    <n v="0"/>
    <n v="0"/>
    <n v="0"/>
    <n v="0"/>
    <n v="0"/>
    <n v="0"/>
    <n v="0"/>
    <n v="0"/>
    <n v="0"/>
    <n v="946.2"/>
    <n v="-946.2"/>
    <n v="0"/>
    <n v="1892.4"/>
  </r>
  <r>
    <x v="0"/>
    <x v="1"/>
    <x v="0"/>
    <s v="2358200"/>
    <n v="749512"/>
    <s v="Licenses-Physician"/>
    <s v="FMC-Puyallup Fam Med"/>
    <x v="0"/>
    <n v="2000"/>
    <n v="0"/>
    <n v="0"/>
    <n v="0"/>
    <n v="0"/>
    <n v="441"/>
    <n v="0"/>
    <n v="0"/>
    <n v="0"/>
    <n v="0"/>
    <n v="0"/>
    <n v="0"/>
    <n v="0"/>
    <n v="441"/>
    <n v="0"/>
  </r>
  <r>
    <x v="0"/>
    <x v="1"/>
    <x v="0"/>
    <s v="2358200"/>
    <n v="749513"/>
    <s v="Licenses-Advanced Practice Clinician"/>
    <s v="FMC-Puyallup Fam Med"/>
    <x v="0"/>
    <n v="2000"/>
    <n v="0"/>
    <n v="0"/>
    <n v="0"/>
    <n v="0"/>
    <n v="0"/>
    <n v="0"/>
    <n v="0"/>
    <n v="0"/>
    <n v="0"/>
    <n v="0"/>
    <n v="0"/>
    <n v="60"/>
    <n v="60"/>
    <n v="-60"/>
  </r>
  <r>
    <x v="0"/>
    <x v="1"/>
    <x v="0"/>
    <s v="2358200"/>
    <n v="749530"/>
    <s v="Mileage"/>
    <s v="FMC-Puyallup Fam Med"/>
    <x v="0"/>
    <n v="1001"/>
    <n v="0"/>
    <n v="0"/>
    <n v="0"/>
    <n v="0"/>
    <n v="0"/>
    <n v="59.97"/>
    <n v="0"/>
    <n v="0"/>
    <n v="0"/>
    <n v="0"/>
    <n v="0"/>
    <n v="0"/>
    <n v="59.97"/>
    <n v="0"/>
  </r>
  <r>
    <x v="0"/>
    <x v="1"/>
    <x v="0"/>
    <s v="2358200"/>
    <n v="749532"/>
    <s v="Travel-Physician"/>
    <s v="FMC-Puyallup Fam Med"/>
    <x v="0"/>
    <m/>
    <n v="0"/>
    <n v="0"/>
    <n v="0"/>
    <n v="0"/>
    <n v="0"/>
    <n v="0"/>
    <n v="0"/>
    <n v="0"/>
    <n v="0"/>
    <n v="0"/>
    <n v="0"/>
    <n v="2075"/>
    <n v="2075"/>
    <n v="-2075"/>
  </r>
  <r>
    <x v="0"/>
    <x v="1"/>
    <x v="0"/>
    <s v="2358200"/>
    <n v="749591"/>
    <s v="Other Expense-Intracompany Allocation"/>
    <s v="FMC-Puyallup Fam Med"/>
    <x v="0"/>
    <m/>
    <n v="39976.519999999997"/>
    <n v="48021.120000000003"/>
    <n v="58046.52"/>
    <n v="57433.53"/>
    <n v="37680.49"/>
    <n v="38396.120000000003"/>
    <n v="54134.28"/>
    <n v="51805.66"/>
    <n v="50819.67"/>
    <n v="61887.24"/>
    <n v="30181.3"/>
    <n v="63644.63"/>
    <n v="592027.07999999996"/>
    <n v="-33463.33"/>
  </r>
  <r>
    <x v="9"/>
    <x v="1"/>
    <x v="0"/>
    <s v="2358200"/>
    <n v="800015"/>
    <s v="Interest Income-Ext to CHI"/>
    <s v="FMC-Puyallup Fam Med"/>
    <x v="0"/>
    <m/>
    <n v="-29.19"/>
    <n v="-27.73"/>
    <n v="-25.42"/>
    <n v="-24.81"/>
    <n v="-22.59"/>
    <n v="-21.88"/>
    <n v="-20.43"/>
    <n v="-17.13"/>
    <n v="-45.99"/>
    <n v="-66.709999999999994"/>
    <n v="-65.19"/>
    <n v="-59.44"/>
    <n v="-426.51"/>
    <n v="-5.75"/>
  </r>
  <r>
    <x v="1"/>
    <x v="1"/>
    <x v="0"/>
    <s v="2359200"/>
    <n v="400029"/>
    <s v="MD Practice Other Rev--Medicare"/>
    <s v="FMC-Pearl Fam Med"/>
    <x v="0"/>
    <n v="1100"/>
    <n v="0"/>
    <n v="-20"/>
    <n v="-30"/>
    <n v="-164"/>
    <n v="-40"/>
    <n v="-95"/>
    <n v="-184"/>
    <n v="-155"/>
    <n v="-300"/>
    <n v="-94"/>
    <n v="-69"/>
    <n v="-173"/>
    <n v="-1324"/>
    <n v="104"/>
  </r>
  <r>
    <x v="1"/>
    <x v="1"/>
    <x v="0"/>
    <s v="2359200"/>
    <n v="400029"/>
    <s v="MD Practice Other Rev--Medicaid"/>
    <s v="FMC-Pearl Fam Med"/>
    <x v="0"/>
    <n v="1200"/>
    <n v="0"/>
    <n v="-10"/>
    <n v="-92"/>
    <n v="-234"/>
    <n v="-161"/>
    <n v="-204"/>
    <n v="-77"/>
    <n v="-102"/>
    <n v="-296"/>
    <n v="-438"/>
    <n v="-224"/>
    <n v="-142"/>
    <n v="-1980"/>
    <n v="-82"/>
  </r>
  <r>
    <x v="1"/>
    <x v="1"/>
    <x v="0"/>
    <s v="2359200"/>
    <n v="400029"/>
    <s v="MD Practice Other Rev--Comm Insurance"/>
    <s v="FMC-Pearl Fam Med"/>
    <x v="0"/>
    <n v="1300"/>
    <n v="0"/>
    <n v="0"/>
    <n v="0"/>
    <n v="-24"/>
    <n v="-10"/>
    <n v="-10"/>
    <n v="-10"/>
    <n v="-45"/>
    <n v="-58"/>
    <n v="-103"/>
    <n v="-115"/>
    <n v="-34"/>
    <n v="-409"/>
    <n v="-81"/>
  </r>
  <r>
    <x v="1"/>
    <x v="1"/>
    <x v="0"/>
    <s v="2359200"/>
    <n v="400029"/>
    <s v="MD Practice Other Rev--BCBS Comm"/>
    <s v="FMC-Pearl Fam Med"/>
    <x v="0"/>
    <n v="1301"/>
    <n v="0"/>
    <n v="0"/>
    <n v="-124"/>
    <n v="-90"/>
    <n v="-103"/>
    <n v="-10"/>
    <n v="-124"/>
    <n v="-72"/>
    <n v="0"/>
    <n v="-74"/>
    <n v="-58"/>
    <n v="-82"/>
    <n v="-737"/>
    <n v="24"/>
  </r>
  <r>
    <x v="1"/>
    <x v="1"/>
    <x v="0"/>
    <s v="2359200"/>
    <n v="400029"/>
    <s v="MD Practice Other Rev--Managed Care"/>
    <s v="FMC-Pearl Fam Med"/>
    <x v="0"/>
    <n v="1400"/>
    <n v="0"/>
    <n v="-54"/>
    <n v="-211"/>
    <n v="-433"/>
    <n v="-372"/>
    <n v="-176"/>
    <n v="-500"/>
    <n v="-624"/>
    <n v="-920"/>
    <n v="-715"/>
    <n v="-167"/>
    <n v="-250"/>
    <n v="-4422"/>
    <n v="83"/>
  </r>
  <r>
    <x v="1"/>
    <x v="1"/>
    <x v="0"/>
    <s v="2359200"/>
    <n v="400029"/>
    <s v="MD Practice Other Rev--Self Pay"/>
    <s v="FMC-Pearl Fam Med"/>
    <x v="0"/>
    <n v="1500"/>
    <n v="0"/>
    <n v="0"/>
    <n v="-10"/>
    <n v="10"/>
    <n v="0"/>
    <n v="0"/>
    <n v="0"/>
    <n v="0"/>
    <n v="-90"/>
    <n v="0"/>
    <n v="-58"/>
    <n v="-34"/>
    <n v="-182"/>
    <n v="-24"/>
  </r>
  <r>
    <x v="1"/>
    <x v="1"/>
    <x v="0"/>
    <s v="2359200"/>
    <n v="400029"/>
    <s v="MD Practice Other Rev--Other"/>
    <s v="FMC-Pearl Fam Med"/>
    <x v="0"/>
    <n v="1700"/>
    <n v="0"/>
    <n v="0"/>
    <n v="-19"/>
    <n v="-32"/>
    <n v="-10"/>
    <n v="0"/>
    <n v="-34"/>
    <n v="0"/>
    <n v="-100"/>
    <n v="-91"/>
    <n v="-100"/>
    <n v="-30"/>
    <n v="-416"/>
    <n v="-70"/>
  </r>
  <r>
    <x v="1"/>
    <x v="1"/>
    <x v="0"/>
    <s v="2359200"/>
    <n v="400040"/>
    <s v="Physician Svcs Rev--Medicare"/>
    <s v="FMC-Pearl Fam Med"/>
    <x v="0"/>
    <n v="1100"/>
    <n v="0"/>
    <n v="-7413"/>
    <n v="-52931"/>
    <n v="-49025"/>
    <n v="-60945"/>
    <n v="-61591"/>
    <n v="-55723"/>
    <n v="-33674"/>
    <n v="-54998"/>
    <n v="-59426"/>
    <n v="-93112"/>
    <n v="-71767"/>
    <n v="-600605"/>
    <n v="-21345"/>
  </r>
  <r>
    <x v="1"/>
    <x v="1"/>
    <x v="0"/>
    <s v="2359200"/>
    <n v="400040"/>
    <s v="Physician Svcs Rev--Medicaid"/>
    <s v="FMC-Pearl Fam Med"/>
    <x v="0"/>
    <n v="1200"/>
    <n v="0"/>
    <n v="-7184"/>
    <n v="-29840"/>
    <n v="-43428"/>
    <n v="-41453"/>
    <n v="-43561.32"/>
    <n v="-35601"/>
    <n v="-24402.32"/>
    <n v="-29134.959999999999"/>
    <n v="-49185.08"/>
    <n v="-58074.2"/>
    <n v="-57256.76"/>
    <n v="-419120.64000000001"/>
    <n v="-817.43999999999505"/>
  </r>
  <r>
    <x v="1"/>
    <x v="1"/>
    <x v="0"/>
    <s v="2359200"/>
    <n v="400040"/>
    <s v="Physician Svcs Rev--Comm Insurance"/>
    <s v="FMC-Pearl Fam Med"/>
    <x v="0"/>
    <n v="1300"/>
    <n v="0"/>
    <n v="-2065"/>
    <n v="-12837"/>
    <n v="-15501"/>
    <n v="-13574"/>
    <n v="-13450"/>
    <n v="-10865"/>
    <n v="-8247.52"/>
    <n v="-6134"/>
    <n v="-12259"/>
    <n v="-16374"/>
    <n v="-10663"/>
    <n v="-121969.52"/>
    <n v="-5711"/>
  </r>
  <r>
    <x v="1"/>
    <x v="1"/>
    <x v="0"/>
    <s v="2359200"/>
    <n v="400040"/>
    <s v="Physician Svcs Rev--BCBS Comm"/>
    <s v="FMC-Pearl Fam Med"/>
    <x v="0"/>
    <n v="1301"/>
    <n v="0"/>
    <n v="-1675"/>
    <n v="-14873"/>
    <n v="-16486"/>
    <n v="-12098"/>
    <n v="-16015"/>
    <n v="-16110"/>
    <n v="-10770.93"/>
    <n v="-10445.41"/>
    <n v="-20796.919999999998"/>
    <n v="-25617.52"/>
    <n v="-27087.52"/>
    <n v="-171975.3"/>
    <n v="1470"/>
  </r>
  <r>
    <x v="1"/>
    <x v="1"/>
    <x v="0"/>
    <s v="2359200"/>
    <n v="400040"/>
    <s v="Physician Svcs Rev--Managed Care"/>
    <s v="FMC-Pearl Fam Med"/>
    <x v="0"/>
    <n v="1400"/>
    <n v="0"/>
    <n v="-10757"/>
    <n v="-61291"/>
    <n v="-75031"/>
    <n v="-89902"/>
    <n v="-85934.13"/>
    <n v="-82064.600000000006"/>
    <n v="-49509"/>
    <n v="-77766.52"/>
    <n v="-102574.01"/>
    <n v="-112310.43"/>
    <n v="-86108.56"/>
    <n v="-833248.25"/>
    <n v="-26201.869999999995"/>
  </r>
  <r>
    <x v="1"/>
    <x v="1"/>
    <x v="0"/>
    <s v="2359200"/>
    <n v="400040"/>
    <s v="Physician Svcs Rev--Self Pay"/>
    <s v="FMC-Pearl Fam Med"/>
    <x v="0"/>
    <n v="1500"/>
    <n v="0"/>
    <n v="-321"/>
    <n v="-2524"/>
    <n v="-2396"/>
    <n v="-2546"/>
    <n v="-2745"/>
    <n v="-1484"/>
    <n v="-1228"/>
    <n v="-1951"/>
    <n v="-3159"/>
    <n v="-1086"/>
    <n v="-3261.75"/>
    <n v="-22701.75"/>
    <n v="2175.75"/>
  </r>
  <r>
    <x v="1"/>
    <x v="1"/>
    <x v="0"/>
    <s v="2359200"/>
    <n v="400040"/>
    <s v="Physician Svcs Rev--Other"/>
    <s v="FMC-Pearl Fam Med"/>
    <x v="0"/>
    <n v="1700"/>
    <n v="0"/>
    <n v="-790"/>
    <n v="-7911"/>
    <n v="-11392"/>
    <n v="-14540.13"/>
    <n v="-8123"/>
    <n v="-8093"/>
    <n v="-4940"/>
    <n v="-5583"/>
    <n v="-14855.91"/>
    <n v="-16781"/>
    <n v="-12391.91"/>
    <n v="-105400.95"/>
    <n v="-4389.09"/>
  </r>
  <r>
    <x v="2"/>
    <x v="1"/>
    <x v="0"/>
    <s v="2359200"/>
    <n v="450029"/>
    <s v="Contr Allow--MD Other-Medicare"/>
    <s v="FMC-Pearl Fam Med"/>
    <x v="0"/>
    <n v="1100"/>
    <n v="0"/>
    <n v="0"/>
    <n v="0"/>
    <n v="72.040000000000006"/>
    <n v="77.33"/>
    <n v="49.86"/>
    <n v="86.45"/>
    <n v="76.540000000000006"/>
    <n v="158.9"/>
    <n v="187.98"/>
    <n v="32.950000000000003"/>
    <n v="46.23"/>
    <n v="788.28000000000009"/>
    <n v="-13.279999999999994"/>
  </r>
  <r>
    <x v="2"/>
    <x v="1"/>
    <x v="0"/>
    <s v="2359200"/>
    <n v="450029"/>
    <s v="Contr Allow--MD Other-Medicaid"/>
    <s v="FMC-Pearl Fam Med"/>
    <x v="0"/>
    <n v="1200"/>
    <n v="0"/>
    <n v="0"/>
    <n v="0"/>
    <n v="215.79"/>
    <n v="52.8"/>
    <n v="143.74"/>
    <n v="101.06"/>
    <n v="45.71"/>
    <n v="219.33"/>
    <n v="243.02"/>
    <n v="161.26"/>
    <n v="137.11000000000001"/>
    <n v="1319.8200000000002"/>
    <n v="24.149999999999977"/>
  </r>
  <r>
    <x v="2"/>
    <x v="1"/>
    <x v="0"/>
    <s v="2359200"/>
    <n v="450029"/>
    <s v="Contr Allow--MD Other-Comm Insurance"/>
    <s v="FMC-Pearl Fam Med"/>
    <x v="0"/>
    <n v="1300"/>
    <n v="0"/>
    <n v="0"/>
    <n v="0"/>
    <n v="0"/>
    <n v="20.45"/>
    <n v="0"/>
    <n v="7.65"/>
    <n v="15.25"/>
    <n v="0"/>
    <n v="27.29"/>
    <n v="15.17"/>
    <n v="81.72"/>
    <n v="167.53"/>
    <n v="-66.55"/>
  </r>
  <r>
    <x v="2"/>
    <x v="1"/>
    <x v="0"/>
    <s v="2359200"/>
    <n v="450029"/>
    <s v="Contr Allow--MD Other BCBS Comm"/>
    <s v="FMC-Pearl Fam Med"/>
    <x v="0"/>
    <n v="1301"/>
    <n v="0"/>
    <n v="0"/>
    <n v="0"/>
    <n v="63.62"/>
    <n v="90.77"/>
    <n v="35.65"/>
    <n v="25.33"/>
    <n v="101.28"/>
    <n v="18.829999999999998"/>
    <n v="44.83"/>
    <n v="25.33"/>
    <n v="32.42"/>
    <n v="438.05999999999995"/>
    <n v="-7.0900000000000034"/>
  </r>
  <r>
    <x v="2"/>
    <x v="1"/>
    <x v="0"/>
    <s v="2359200"/>
    <n v="450029"/>
    <s v="Contr Allow--MD Other-Managed Care"/>
    <s v="FMC-Pearl Fam Med"/>
    <x v="0"/>
    <n v="1400"/>
    <n v="0"/>
    <n v="0"/>
    <n v="0"/>
    <n v="322.05"/>
    <n v="204.54"/>
    <n v="178.29"/>
    <n v="165.58"/>
    <n v="228.68"/>
    <n v="626.92999999999995"/>
    <n v="437.91"/>
    <n v="394.73"/>
    <n v="51.86"/>
    <n v="2610.5700000000002"/>
    <n v="342.87"/>
  </r>
  <r>
    <x v="2"/>
    <x v="1"/>
    <x v="0"/>
    <s v="2359200"/>
    <n v="450029"/>
    <s v="Admin Adjust-MD Other-Self Pay"/>
    <s v="FMC-Pearl Fam Med"/>
    <x v="0"/>
    <n v="1600"/>
    <n v="0"/>
    <n v="0"/>
    <n v="3.7"/>
    <n v="4.3"/>
    <n v="0"/>
    <n v="0"/>
    <n v="1.64"/>
    <n v="1.46"/>
    <n v="50.04"/>
    <n v="0.86"/>
    <n v="27.5"/>
    <n v="20.260000000000002"/>
    <n v="109.76"/>
    <n v="7.2399999999999984"/>
  </r>
  <r>
    <x v="2"/>
    <x v="1"/>
    <x v="0"/>
    <s v="2359200"/>
    <n v="450029"/>
    <s v="Contr Allow--MD Other-Other"/>
    <s v="FMC-Pearl Fam Med"/>
    <x v="0"/>
    <n v="1700"/>
    <n v="0"/>
    <n v="0"/>
    <n v="0"/>
    <n v="6.33"/>
    <n v="27.14"/>
    <n v="0"/>
    <n v="6.52"/>
    <n v="7.17"/>
    <n v="24.17"/>
    <n v="56.9"/>
    <n v="43.47"/>
    <n v="37.21"/>
    <n v="208.91"/>
    <n v="6.259999999999998"/>
  </r>
  <r>
    <x v="2"/>
    <x v="1"/>
    <x v="0"/>
    <s v="2359200"/>
    <n v="450040"/>
    <s v="Contr Allow--Phys Svcs--Mcare"/>
    <s v="FMC-Pearl Fam Med"/>
    <x v="0"/>
    <n v="1100"/>
    <n v="0"/>
    <n v="0"/>
    <n v="12282.78"/>
    <n v="37748.629999999997"/>
    <n v="36068.39"/>
    <n v="33570.730000000003"/>
    <n v="42207.14"/>
    <n v="21881.91"/>
    <n v="29237.23"/>
    <n v="35222.620000000003"/>
    <n v="43761.19"/>
    <n v="50887.47"/>
    <n v="342868.08999999997"/>
    <n v="-7126.2799999999988"/>
  </r>
  <r>
    <x v="2"/>
    <x v="1"/>
    <x v="0"/>
    <s v="2359200"/>
    <n v="450040"/>
    <s v="Contr Allow--Phys Svcs--Mcaid"/>
    <s v="FMC-Pearl Fam Med"/>
    <x v="0"/>
    <n v="1200"/>
    <n v="0"/>
    <n v="0"/>
    <n v="13767.77"/>
    <n v="32708.959999999999"/>
    <n v="25152.36"/>
    <n v="33953.17"/>
    <n v="24885.7"/>
    <n v="15548.24"/>
    <n v="24437.54"/>
    <n v="27742.27"/>
    <n v="39489.949999999997"/>
    <n v="37939.620000000003"/>
    <n v="275625.57999999996"/>
    <n v="1550.3299999999945"/>
  </r>
  <r>
    <x v="2"/>
    <x v="1"/>
    <x v="0"/>
    <s v="2359200"/>
    <n v="450040"/>
    <s v="Contr Allow--Phys Svcs--Comm Insurance"/>
    <s v="FMC-Pearl Fam Med"/>
    <x v="0"/>
    <n v="1300"/>
    <n v="0"/>
    <n v="0"/>
    <n v="3202.66"/>
    <n v="4645.9799999999996"/>
    <n v="4403.59"/>
    <n v="4650.9799999999996"/>
    <n v="5229.6400000000003"/>
    <n v="2273.2199999999998"/>
    <n v="1806.4"/>
    <n v="1701.4"/>
    <n v="3236.16"/>
    <n v="11525.5"/>
    <n v="42675.53"/>
    <n v="-8289.34"/>
  </r>
  <r>
    <x v="2"/>
    <x v="1"/>
    <x v="0"/>
    <s v="2359200"/>
    <n v="450040"/>
    <s v="Contr Allow--Phys Svcs--BCBS Comm Ins"/>
    <s v="FMC-Pearl Fam Med"/>
    <x v="0"/>
    <n v="1301"/>
    <n v="0"/>
    <n v="0"/>
    <n v="1424.04"/>
    <n v="6236.05"/>
    <n v="5068.18"/>
    <n v="3906.48"/>
    <n v="5188.72"/>
    <n v="3427.51"/>
    <n v="5383.52"/>
    <n v="6740.59"/>
    <n v="4876.3500000000004"/>
    <n v="10050.93"/>
    <n v="52302.37"/>
    <n v="-5174.58"/>
  </r>
  <r>
    <x v="2"/>
    <x v="1"/>
    <x v="0"/>
    <s v="2359200"/>
    <n v="450040"/>
    <s v="Contr Allow--Phys Svcs--Managed Care"/>
    <s v="FMC-Pearl Fam Med"/>
    <x v="0"/>
    <n v="1400"/>
    <n v="0"/>
    <n v="0"/>
    <n v="10928.58"/>
    <n v="29866.21"/>
    <n v="32727.360000000001"/>
    <n v="26366.68"/>
    <n v="24786.13"/>
    <n v="24022.1"/>
    <n v="26461.89"/>
    <n v="30301.24"/>
    <n v="42357.71"/>
    <n v="33131.71"/>
    <n v="280949.61"/>
    <n v="9226"/>
  </r>
  <r>
    <x v="2"/>
    <x v="1"/>
    <x v="0"/>
    <s v="2359200"/>
    <n v="450040"/>
    <s v="Contr Allow--Phys Svcs--BCBS Mgnd Care"/>
    <s v="FMC-Pearl Fam Med"/>
    <x v="0"/>
    <n v="1401"/>
    <n v="0"/>
    <n v="14988.87"/>
    <n v="52250.16"/>
    <n v="906.11"/>
    <n v="10275.85"/>
    <n v="12829.42"/>
    <n v="4875.32"/>
    <n v="-4636.05"/>
    <n v="4162.91"/>
    <n v="27729.47"/>
    <n v="28998.77"/>
    <n v="-16269.18"/>
    <n v="136111.65000000002"/>
    <n v="45267.95"/>
  </r>
  <r>
    <x v="2"/>
    <x v="1"/>
    <x v="0"/>
    <s v="2359200"/>
    <n v="450040"/>
    <s v="Admin Adjust-Phys Svcs-Self Pay"/>
    <s v="FMC-Pearl Fam Med"/>
    <x v="0"/>
    <n v="1600"/>
    <n v="0"/>
    <n v="140.55000000000001"/>
    <n v="1070.22"/>
    <n v="1493.8"/>
    <n v="1216.1199999999999"/>
    <n v="2836.39"/>
    <n v="-706.19"/>
    <n v="814.2"/>
    <n v="1050.95"/>
    <n v="1796.3"/>
    <n v="609.85"/>
    <n v="1656.7"/>
    <n v="11978.89"/>
    <n v="-1046.8499999999999"/>
  </r>
  <r>
    <x v="2"/>
    <x v="1"/>
    <x v="0"/>
    <s v="2359200"/>
    <n v="450040"/>
    <s v="Contr Allow--Phys Svcs--Other"/>
    <s v="FMC-Pearl Fam Med"/>
    <x v="0"/>
    <n v="1700"/>
    <n v="0"/>
    <n v="0"/>
    <n v="1179.22"/>
    <n v="3712.66"/>
    <n v="7345.54"/>
    <n v="6418.67"/>
    <n v="6254.38"/>
    <n v="4236.8999999999996"/>
    <n v="3467.29"/>
    <n v="6220.91"/>
    <n v="8359.35"/>
    <n v="10591.96"/>
    <n v="57786.880000000005"/>
    <n v="-2232.6099999999988"/>
  </r>
  <r>
    <x v="3"/>
    <x v="1"/>
    <x v="0"/>
    <s v="2359200"/>
    <n v="470040"/>
    <s v="Charity Care-Physician Svcs"/>
    <s v="FMC-Pearl Fam Med"/>
    <x v="0"/>
    <m/>
    <n v="0"/>
    <n v="563.55999999999995"/>
    <n v="1795.11"/>
    <n v="352.6"/>
    <n v="677.94"/>
    <n v="154.15"/>
    <n v="412.25"/>
    <n v="177.29"/>
    <n v="965.6"/>
    <n v="1875.86"/>
    <n v="786.19"/>
    <n v="1571.82"/>
    <n v="9332.3700000000008"/>
    <n v="-785.62999999999988"/>
  </r>
  <r>
    <x v="4"/>
    <x v="1"/>
    <x v="0"/>
    <s v="2359200"/>
    <n v="490010"/>
    <s v="Provision for Bad Debts"/>
    <s v="FMC-Pearl Fam Med"/>
    <x v="0"/>
    <m/>
    <n v="0"/>
    <n v="2111.11"/>
    <n v="6958.5"/>
    <n v="-654.70000000000005"/>
    <n v="1808.24"/>
    <n v="803.15"/>
    <n v="-808.05"/>
    <n v="562.77"/>
    <n v="3895.03"/>
    <n v="5161.04"/>
    <n v="3036.67"/>
    <n v="931.24"/>
    <n v="23805.000000000004"/>
    <n v="2105.4300000000003"/>
  </r>
  <r>
    <x v="5"/>
    <x v="1"/>
    <x v="0"/>
    <s v="2359200"/>
    <n v="700022"/>
    <s v="Salaries-Physician-Productive"/>
    <s v="FMC-Pearl Fam Med"/>
    <x v="0"/>
    <m/>
    <n v="0"/>
    <n v="0"/>
    <n v="43481.93"/>
    <n v="22335.74"/>
    <n v="46734.75"/>
    <n v="33349.629999999997"/>
    <n v="24434.84"/>
    <n v="20217.78"/>
    <n v="22140.68"/>
    <n v="30898.66"/>
    <n v="42366.27"/>
    <n v="31542.62"/>
    <n v="317502.89999999997"/>
    <n v="10823.649999999998"/>
  </r>
  <r>
    <x v="5"/>
    <x v="1"/>
    <x v="0"/>
    <s v="2359200"/>
    <n v="700024"/>
    <s v="Salaries-Advanced Practice Clinician-Productive"/>
    <s v="FMC-Pearl Fam Med"/>
    <x v="0"/>
    <m/>
    <n v="0"/>
    <n v="0"/>
    <n v="6600"/>
    <n v="10200"/>
    <n v="8800"/>
    <n v="5840"/>
    <n v="8699.64"/>
    <n v="5160.33"/>
    <n v="14700.18"/>
    <n v="19242.25"/>
    <n v="21043.33"/>
    <n v="14287.94"/>
    <n v="114573.67"/>
    <n v="6755.3900000000012"/>
  </r>
  <r>
    <x v="5"/>
    <x v="1"/>
    <x v="0"/>
    <s v="2359200"/>
    <n v="700026"/>
    <s v="Salaries-RN-Productive"/>
    <s v="FMC-Pearl Fam Med"/>
    <x v="0"/>
    <m/>
    <n v="0"/>
    <n v="0"/>
    <n v="1435.95"/>
    <n v="0"/>
    <n v="0"/>
    <n v="0"/>
    <n v="2919.62"/>
    <n v="4235.32"/>
    <n v="3785.17"/>
    <n v="6016.42"/>
    <n v="3101.07"/>
    <n v="5798.54"/>
    <n v="27292.09"/>
    <n v="-2697.47"/>
  </r>
  <r>
    <x v="5"/>
    <x v="1"/>
    <x v="0"/>
    <s v="2359200"/>
    <n v="700026"/>
    <s v="Salaries-RN-OT"/>
    <s v="FMC-Pearl Fam Med"/>
    <x v="0"/>
    <n v="1000"/>
    <n v="0"/>
    <n v="0"/>
    <n v="0"/>
    <n v="0"/>
    <n v="0"/>
    <n v="0"/>
    <n v="143.41"/>
    <n v="259.12"/>
    <n v="-13.96"/>
    <n v="743.89"/>
    <n v="-267.04000000000002"/>
    <n v="0"/>
    <n v="865.42000000000007"/>
    <n v="-267.04000000000002"/>
  </r>
  <r>
    <x v="5"/>
    <x v="1"/>
    <x v="0"/>
    <s v="2359200"/>
    <n v="700026"/>
    <s v="Salaries-RN-Other"/>
    <s v="FMC-Pearl Fam Med"/>
    <x v="0"/>
    <n v="2000"/>
    <n v="0"/>
    <n v="0"/>
    <n v="30"/>
    <n v="0"/>
    <n v="0"/>
    <n v="0"/>
    <n v="30.05"/>
    <n v="-0.01"/>
    <n v="0"/>
    <n v="0"/>
    <n v="0"/>
    <n v="0"/>
    <n v="60.04"/>
    <n v="0"/>
  </r>
  <r>
    <x v="5"/>
    <x v="1"/>
    <x v="0"/>
    <s v="2359200"/>
    <n v="700030"/>
    <s v="Salaries-LPN-Productive"/>
    <s v="FMC-Pearl Fam Med"/>
    <x v="0"/>
    <m/>
    <n v="1667.74"/>
    <n v="255.7"/>
    <n v="8028.57"/>
    <n v="8685.27"/>
    <n v="7768.2"/>
    <n v="6013.95"/>
    <n v="7950.23"/>
    <n v="7386.55"/>
    <n v="6041.06"/>
    <n v="9882.49"/>
    <n v="9395.7900000000009"/>
    <n v="7013.69"/>
    <n v="80089.240000000005"/>
    <n v="2382.1000000000013"/>
  </r>
  <r>
    <x v="5"/>
    <x v="1"/>
    <x v="0"/>
    <s v="2359200"/>
    <n v="700030"/>
    <s v="Salaries-LPN-OT"/>
    <s v="FMC-Pearl Fam Med"/>
    <x v="0"/>
    <n v="1000"/>
    <n v="0"/>
    <n v="0"/>
    <n v="100.85"/>
    <n v="416.8"/>
    <n v="953.98"/>
    <n v="620.76"/>
    <n v="1051.6199999999999"/>
    <n v="368.41"/>
    <n v="1007.07"/>
    <n v="680.66"/>
    <n v="1098.3599999999999"/>
    <n v="179.56"/>
    <n v="6478.07"/>
    <n v="918.8"/>
  </r>
  <r>
    <x v="5"/>
    <x v="1"/>
    <x v="0"/>
    <s v="2359200"/>
    <n v="700030"/>
    <s v="Salaries-LPN-Other"/>
    <s v="FMC-Pearl Fam Med"/>
    <x v="0"/>
    <n v="2000"/>
    <n v="0"/>
    <n v="0"/>
    <n v="0"/>
    <n v="0"/>
    <n v="15"/>
    <n v="-7.5"/>
    <n v="0"/>
    <n v="0"/>
    <n v="7.51"/>
    <n v="14.88"/>
    <n v="12.4"/>
    <n v="-9.26"/>
    <n v="33.03"/>
    <n v="21.66"/>
  </r>
  <r>
    <x v="5"/>
    <x v="1"/>
    <x v="0"/>
    <s v="2359200"/>
    <n v="700032"/>
    <s v="Salaries-Other Pat Care Providers-Productive"/>
    <s v="FMC-Pearl Fam Med"/>
    <x v="0"/>
    <m/>
    <n v="88.29"/>
    <n v="-14.71"/>
    <n v="3717.99"/>
    <n v="3554.06"/>
    <n v="4608.54"/>
    <n v="2835.92"/>
    <n v="1614.79"/>
    <n v="278.45"/>
    <n v="2237.38"/>
    <n v="3921.91"/>
    <n v="4409.12"/>
    <n v="2744.75"/>
    <n v="29996.489999999998"/>
    <n v="1664.37"/>
  </r>
  <r>
    <x v="5"/>
    <x v="1"/>
    <x v="0"/>
    <s v="2359200"/>
    <n v="700032"/>
    <s v="Salaries-Other Pat Care Providers-OT"/>
    <s v="FMC-Pearl Fam Med"/>
    <x v="0"/>
    <n v="1000"/>
    <n v="8.83"/>
    <n v="-1.47"/>
    <n v="121.41"/>
    <n v="214.36"/>
    <n v="75.33"/>
    <n v="321.47000000000003"/>
    <n v="121.15"/>
    <n v="7.73"/>
    <n v="0"/>
    <n v="46.54"/>
    <n v="6.92"/>
    <n v="38.130000000000003"/>
    <n v="960.4"/>
    <n v="-31.21"/>
  </r>
  <r>
    <x v="5"/>
    <x v="1"/>
    <x v="0"/>
    <s v="2359200"/>
    <n v="700032"/>
    <s v="Salaries-Other Pat Care Providers-Other"/>
    <s v="FMC-Pearl Fam Med"/>
    <x v="0"/>
    <n v="2000"/>
    <n v="0"/>
    <n v="0"/>
    <n v="0"/>
    <n v="0"/>
    <n v="51.25"/>
    <n v="4.25"/>
    <n v="54.67"/>
    <n v="-2.6"/>
    <n v="0"/>
    <n v="14.88"/>
    <n v="29.46"/>
    <n v="-17.79"/>
    <n v="134.12"/>
    <n v="47.25"/>
  </r>
  <r>
    <x v="5"/>
    <x v="1"/>
    <x v="0"/>
    <s v="2359200"/>
    <n v="700062"/>
    <s v="Salaries-Physician-Non-productive"/>
    <s v="FMC-Pearl Fam Med"/>
    <x v="0"/>
    <m/>
    <n v="0"/>
    <n v="0"/>
    <n v="2288.52"/>
    <n v="19773.09"/>
    <n v="-6774.19"/>
    <n v="4764.22"/>
    <n v="17372.84"/>
    <n v="16134.4"/>
    <n v="4840.33"/>
    <n v="5054.45"/>
    <n v="0"/>
    <n v="4796.01"/>
    <n v="68249.67"/>
    <n v="-4796.01"/>
  </r>
  <r>
    <x v="5"/>
    <x v="1"/>
    <x v="0"/>
    <s v="2359200"/>
    <n v="700062"/>
    <s v="Salaries-Physician-NonProd-Other"/>
    <s v="FMC-Pearl Fam Med"/>
    <x v="0"/>
    <n v="2000"/>
    <n v="0"/>
    <n v="0"/>
    <n v="0"/>
    <n v="0"/>
    <n v="0"/>
    <n v="288.33999999999997"/>
    <n v="0"/>
    <n v="-2661.74"/>
    <n v="-968.07"/>
    <n v="0"/>
    <n v="0"/>
    <n v="0"/>
    <n v="-3341.47"/>
    <n v="0"/>
  </r>
  <r>
    <x v="5"/>
    <x v="1"/>
    <x v="0"/>
    <s v="2359200"/>
    <n v="700064"/>
    <s v="Salaries-Advanced Practice Clinician-Non-Productive"/>
    <s v="FMC-Pearl Fam Med"/>
    <x v="0"/>
    <m/>
    <n v="344.54"/>
    <n v="343.02"/>
    <n v="3740.56"/>
    <n v="-660.03"/>
    <n v="337.6"/>
    <n v="2896.91"/>
    <n v="1537.39"/>
    <n v="3296.14"/>
    <n v="1013.32"/>
    <n v="530.52"/>
    <n v="329.28"/>
    <n v="4159.46"/>
    <n v="17868.71"/>
    <n v="-3830.1800000000003"/>
  </r>
  <r>
    <x v="5"/>
    <x v="1"/>
    <x v="0"/>
    <s v="2359200"/>
    <n v="700066"/>
    <s v="Salaries-RN-Non-productive"/>
    <s v="FMC-Pearl Fam Med"/>
    <x v="0"/>
    <m/>
    <n v="0"/>
    <n v="0"/>
    <n v="0"/>
    <n v="0"/>
    <n v="0"/>
    <n v="0"/>
    <n v="0"/>
    <n v="0"/>
    <n v="1449.64"/>
    <n v="0"/>
    <n v="2407.58"/>
    <n v="-983.37"/>
    <n v="2873.8500000000004"/>
    <n v="3390.95"/>
  </r>
  <r>
    <x v="5"/>
    <x v="1"/>
    <x v="0"/>
    <s v="2359200"/>
    <n v="700066"/>
    <s v="Salaries-RN-NonProd-Other"/>
    <s v="FMC-Pearl Fam Med"/>
    <x v="0"/>
    <n v="2000"/>
    <n v="0"/>
    <n v="0"/>
    <n v="0"/>
    <n v="0"/>
    <n v="0"/>
    <n v="0"/>
    <n v="0"/>
    <n v="33.909999999999997"/>
    <n v="0"/>
    <n v="57.64"/>
    <n v="10.18"/>
    <n v="0"/>
    <n v="101.72999999999999"/>
    <n v="10.18"/>
  </r>
  <r>
    <x v="5"/>
    <x v="1"/>
    <x v="0"/>
    <s v="2359200"/>
    <n v="700070"/>
    <s v="Salaries-LPN-Non-productive"/>
    <s v="FMC-Pearl Fam Med"/>
    <x v="0"/>
    <m/>
    <n v="306.83999999999997"/>
    <n v="206.26"/>
    <n v="475.57"/>
    <n v="590.74"/>
    <n v="203.53"/>
    <n v="2249.81"/>
    <n v="239.66"/>
    <n v="-42.2"/>
    <n v="2488.94"/>
    <n v="-471.52"/>
    <n v="85.74"/>
    <n v="937.93"/>
    <n v="7271.2999999999993"/>
    <n v="-852.18999999999994"/>
  </r>
  <r>
    <x v="5"/>
    <x v="1"/>
    <x v="0"/>
    <s v="2359200"/>
    <n v="700070"/>
    <s v="Salaries-LPN-NonProd-Other"/>
    <s v="FMC-Pearl Fam Med"/>
    <x v="0"/>
    <n v="2000"/>
    <n v="0"/>
    <n v="0"/>
    <n v="0"/>
    <n v="39.159999999999997"/>
    <n v="-17.399999999999999"/>
    <n v="0"/>
    <n v="0"/>
    <n v="0"/>
    <n v="0"/>
    <n v="0"/>
    <n v="0"/>
    <n v="0"/>
    <n v="21.759999999999998"/>
    <n v="0"/>
  </r>
  <r>
    <x v="5"/>
    <x v="1"/>
    <x v="0"/>
    <s v="2359200"/>
    <n v="700072"/>
    <s v="Salaries-Other Pat Care Providers-Non-productive"/>
    <s v="FMC-Pearl Fam Med"/>
    <x v="0"/>
    <m/>
    <n v="0"/>
    <n v="0"/>
    <n v="206.01"/>
    <n v="0"/>
    <n v="0"/>
    <n v="497.6"/>
    <n v="2369.61"/>
    <n v="-325.43"/>
    <n v="274.55"/>
    <n v="54.44"/>
    <n v="11.73"/>
    <n v="294.91000000000003"/>
    <n v="3383.4200000000005"/>
    <n v="-283.18"/>
  </r>
  <r>
    <x v="5"/>
    <x v="1"/>
    <x v="0"/>
    <s v="2359200"/>
    <n v="700072"/>
    <s v="Salaries-Other Pat Care Providers-NonProd-Other"/>
    <s v="FMC-Pearl Fam Med"/>
    <x v="0"/>
    <n v="2000"/>
    <n v="0"/>
    <n v="0"/>
    <n v="0"/>
    <n v="0"/>
    <n v="0"/>
    <n v="0"/>
    <n v="0"/>
    <n v="0"/>
    <n v="0"/>
    <n v="0"/>
    <n v="19.84"/>
    <n v="-9.92"/>
    <n v="9.92"/>
    <n v="29.759999999999998"/>
  </r>
  <r>
    <x v="5"/>
    <x v="1"/>
    <x v="0"/>
    <s v="2359200"/>
    <n v="700084"/>
    <s v="Accrued PTO"/>
    <s v="FMC-Pearl Fam Med"/>
    <x v="0"/>
    <m/>
    <n v="433.28"/>
    <n v="626.1"/>
    <n v="372.26"/>
    <n v="782.65"/>
    <n v="531.27"/>
    <n v="-1069.51"/>
    <n v="-2355.21"/>
    <n v="1035.8599999999999"/>
    <n v="-1275.74"/>
    <n v="1768.58"/>
    <n v="480.77"/>
    <n v="1211.1199999999999"/>
    <n v="2541.4299999999994"/>
    <n v="-730.34999999999991"/>
  </r>
  <r>
    <x v="6"/>
    <x v="1"/>
    <x v="0"/>
    <s v="2359200"/>
    <n v="713010"/>
    <s v="Benefits-FICA/Medicare"/>
    <s v="FMC-Pearl Fam Med"/>
    <x v="0"/>
    <m/>
    <n v="145.18"/>
    <n v="31.15"/>
    <n v="2412.15"/>
    <n v="2254.42"/>
    <n v="2246.89"/>
    <n v="3323.97"/>
    <n v="5116.58"/>
    <n v="4020.92"/>
    <n v="4418.0600000000004"/>
    <n v="5637.82"/>
    <n v="6249.24"/>
    <n v="4877.26"/>
    <n v="40733.64"/>
    <n v="1371.9799999999996"/>
  </r>
  <r>
    <x v="6"/>
    <x v="1"/>
    <x v="0"/>
    <s v="2359200"/>
    <n v="713090"/>
    <s v="Benefits-Allocated Amounts"/>
    <s v="FMC-Pearl Fam Med"/>
    <x v="0"/>
    <m/>
    <n v="0"/>
    <n v="0"/>
    <n v="0"/>
    <n v="0"/>
    <n v="0"/>
    <n v="0"/>
    <n v="0"/>
    <n v="0"/>
    <n v="32614.14"/>
    <n v="5772.04"/>
    <n v="6087.31"/>
    <n v="6330.4"/>
    <n v="50803.89"/>
    <n v="-243.08999999999924"/>
  </r>
  <r>
    <x v="6"/>
    <x v="1"/>
    <x v="0"/>
    <s v="2359200"/>
    <n v="713092"/>
    <s v="Allocated Benefits-Physician"/>
    <s v="FMC-Pearl Fam Med"/>
    <x v="0"/>
    <m/>
    <n v="152.21"/>
    <n v="29.84"/>
    <n v="1825.33"/>
    <n v="1777.61"/>
    <n v="1795.01"/>
    <n v="1996.77"/>
    <n v="2114.1"/>
    <n v="1838.3"/>
    <n v="4942.67"/>
    <n v="2915.18"/>
    <n v="3074.41"/>
    <n v="3197.18"/>
    <n v="25658.61"/>
    <n v="-122.76999999999998"/>
  </r>
  <r>
    <x v="6"/>
    <x v="1"/>
    <x v="0"/>
    <s v="2359200"/>
    <n v="713093"/>
    <s v="Allocated Benefits-Advanced Practice Clinician"/>
    <s v="FMC-Pearl Fam Med"/>
    <x v="0"/>
    <m/>
    <n v="505.63"/>
    <n v="99.11"/>
    <n v="6063.38"/>
    <n v="5904.87"/>
    <n v="5962.64"/>
    <n v="6632.88"/>
    <n v="7022.6"/>
    <n v="6106.46"/>
    <n v="-28492.9"/>
    <n v="1735.22"/>
    <n v="1830.01"/>
    <n v="1903.08"/>
    <n v="15272.979999999998"/>
    <n v="-73.069999999999936"/>
  </r>
  <r>
    <x v="6"/>
    <x v="1"/>
    <x v="0"/>
    <s v="2359200"/>
    <n v="713096"/>
    <s v="Employee Recognition"/>
    <s v="FMC-Pearl Fam Med"/>
    <x v="0"/>
    <n v="1017"/>
    <n v="0"/>
    <n v="0"/>
    <n v="19.559999999999999"/>
    <n v="38.19"/>
    <n v="0"/>
    <n v="93.25"/>
    <n v="0"/>
    <n v="0"/>
    <n v="0"/>
    <n v="67.260000000000005"/>
    <n v="0"/>
    <n v="0"/>
    <n v="218.26"/>
    <n v="0"/>
  </r>
  <r>
    <x v="11"/>
    <x v="1"/>
    <x v="0"/>
    <s v="2359200"/>
    <n v="721830"/>
    <s v="Supplies-Office"/>
    <s v="FMC-Pearl Fam Med"/>
    <x v="0"/>
    <m/>
    <n v="0"/>
    <n v="0"/>
    <n v="125.6"/>
    <n v="31.5"/>
    <n v="0"/>
    <n v="33.49"/>
    <n v="0"/>
    <n v="0"/>
    <n v="0"/>
    <n v="54.65"/>
    <n v="0"/>
    <n v="0"/>
    <n v="245.24"/>
    <n v="0"/>
  </r>
  <r>
    <x v="11"/>
    <x v="1"/>
    <x v="0"/>
    <s v="2359200"/>
    <n v="721980"/>
    <s v="Supplies-Other"/>
    <s v="FMC-Pearl Fam Med"/>
    <x v="0"/>
    <m/>
    <n v="0"/>
    <n v="0"/>
    <n v="0"/>
    <n v="0"/>
    <n v="0"/>
    <n v="0"/>
    <n v="0"/>
    <n v="0"/>
    <n v="0"/>
    <n v="0"/>
    <n v="26.86"/>
    <n v="0"/>
    <n v="26.86"/>
    <n v="26.86"/>
  </r>
  <r>
    <x v="0"/>
    <x v="1"/>
    <x v="0"/>
    <s v="2359200"/>
    <n v="740022"/>
    <s v="Education-Physician"/>
    <s v="FMC-Pearl Fam Med"/>
    <x v="0"/>
    <m/>
    <n v="0"/>
    <n v="0"/>
    <n v="0"/>
    <n v="0"/>
    <n v="0"/>
    <n v="1095"/>
    <n v="0"/>
    <n v="0"/>
    <n v="0"/>
    <n v="0"/>
    <n v="0"/>
    <n v="0"/>
    <n v="1095"/>
    <n v="0"/>
  </r>
  <r>
    <x v="0"/>
    <x v="1"/>
    <x v="0"/>
    <s v="2359200"/>
    <n v="740022"/>
    <s v="Education Travel-Physician"/>
    <s v="FMC-Pearl Fam Med"/>
    <x v="0"/>
    <n v="2001"/>
    <n v="0"/>
    <n v="0"/>
    <n v="0"/>
    <n v="0"/>
    <n v="0"/>
    <n v="1564"/>
    <n v="0"/>
    <n v="0"/>
    <n v="0"/>
    <n v="0"/>
    <n v="0"/>
    <n v="0"/>
    <n v="1564"/>
    <n v="0"/>
  </r>
  <r>
    <x v="0"/>
    <x v="1"/>
    <x v="0"/>
    <s v="2359200"/>
    <n v="740023"/>
    <s v="Education-Advanced Practice Clinician"/>
    <s v="FMC-Pearl Fam Med"/>
    <x v="0"/>
    <m/>
    <n v="0"/>
    <n v="0"/>
    <n v="0"/>
    <n v="0"/>
    <n v="0"/>
    <n v="0"/>
    <n v="0"/>
    <n v="0"/>
    <n v="0"/>
    <n v="0"/>
    <n v="0"/>
    <n v="650"/>
    <n v="650"/>
    <n v="-650"/>
  </r>
  <r>
    <x v="8"/>
    <x v="1"/>
    <x v="0"/>
    <s v="2359200"/>
    <n v="741012"/>
    <s v="Physician Liab Insurance-CHI Program"/>
    <s v="FMC-Pearl Fam Med"/>
    <x v="0"/>
    <m/>
    <n v="341.04"/>
    <n v="341.04"/>
    <n v="1525.21"/>
    <n v="1525.21"/>
    <n v="1525.21"/>
    <n v="1525.2"/>
    <n v="1525.21"/>
    <n v="1525.2"/>
    <n v="1525.21"/>
    <n v="1525.2"/>
    <n v="1525.21"/>
    <n v="1525.2"/>
    <n v="15934.14"/>
    <n v="9.9999999999909051E-3"/>
  </r>
  <r>
    <x v="0"/>
    <x v="1"/>
    <x v="0"/>
    <s v="2359200"/>
    <n v="743022"/>
    <s v="Dues-Physician"/>
    <s v="FMC-Pearl Fam Med"/>
    <x v="0"/>
    <m/>
    <n v="0"/>
    <n v="0"/>
    <n v="0"/>
    <n v="840"/>
    <n v="0"/>
    <n v="840"/>
    <n v="0"/>
    <n v="570"/>
    <n v="0"/>
    <n v="225"/>
    <n v="503"/>
    <n v="0"/>
    <n v="2978"/>
    <n v="503"/>
  </r>
  <r>
    <x v="0"/>
    <x v="1"/>
    <x v="0"/>
    <s v="2359200"/>
    <n v="743042"/>
    <s v="Subscriptions-Physician"/>
    <s v="FMC-Pearl Fam Med"/>
    <x v="0"/>
    <m/>
    <n v="0"/>
    <n v="0"/>
    <n v="272.72000000000003"/>
    <n v="0"/>
    <n v="0"/>
    <n v="0"/>
    <n v="0"/>
    <n v="0"/>
    <n v="0"/>
    <n v="0"/>
    <n v="0"/>
    <n v="0"/>
    <n v="272.72000000000003"/>
    <n v="0"/>
  </r>
  <r>
    <x v="0"/>
    <x v="1"/>
    <x v="0"/>
    <s v="2359200"/>
    <n v="749510"/>
    <s v="Miscellaneous Expenses"/>
    <s v="FMC-Pearl Fam Med"/>
    <x v="0"/>
    <m/>
    <n v="0"/>
    <n v="0"/>
    <n v="0"/>
    <n v="645.59"/>
    <n v="840"/>
    <n v="-233.77"/>
    <n v="-232.64"/>
    <n v="0"/>
    <n v="0"/>
    <n v="503"/>
    <n v="-503"/>
    <n v="0"/>
    <n v="1019.1800000000003"/>
    <n v="-503"/>
  </r>
  <r>
    <x v="0"/>
    <x v="1"/>
    <x v="0"/>
    <s v="2359200"/>
    <n v="749512"/>
    <s v="Licenses-Physician"/>
    <s v="FMC-Pearl Fam Med"/>
    <x v="0"/>
    <n v="2000"/>
    <n v="0"/>
    <n v="0"/>
    <n v="0"/>
    <n v="0"/>
    <n v="0"/>
    <n v="0"/>
    <n v="0"/>
    <n v="657"/>
    <n v="0"/>
    <n v="441"/>
    <n v="0"/>
    <n v="0"/>
    <n v="1098"/>
    <n v="0"/>
  </r>
  <r>
    <x v="0"/>
    <x v="1"/>
    <x v="0"/>
    <s v="2359200"/>
    <n v="749513"/>
    <s v="Licenses-Advanced Practice Clinician"/>
    <s v="FMC-Pearl Fam Med"/>
    <x v="0"/>
    <n v="2000"/>
    <n v="0"/>
    <n v="0"/>
    <n v="0"/>
    <n v="0"/>
    <n v="0"/>
    <n v="0"/>
    <n v="0"/>
    <n v="0"/>
    <n v="0"/>
    <n v="731"/>
    <n v="0"/>
    <n v="0"/>
    <n v="731"/>
    <n v="0"/>
  </r>
  <r>
    <x v="0"/>
    <x v="1"/>
    <x v="0"/>
    <s v="2359200"/>
    <n v="749530"/>
    <s v="Travel"/>
    <s v="FMC-Pearl Fam Med"/>
    <x v="0"/>
    <m/>
    <n v="0"/>
    <n v="0"/>
    <n v="15"/>
    <n v="5"/>
    <n v="0"/>
    <n v="60"/>
    <n v="56"/>
    <n v="0"/>
    <n v="0"/>
    <n v="0"/>
    <n v="0"/>
    <n v="0"/>
    <n v="136"/>
    <n v="0"/>
  </r>
  <r>
    <x v="0"/>
    <x v="1"/>
    <x v="0"/>
    <s v="2359200"/>
    <n v="749530"/>
    <s v="Mileage"/>
    <s v="FMC-Pearl Fam Med"/>
    <x v="0"/>
    <n v="1001"/>
    <n v="0"/>
    <n v="0"/>
    <n v="107.4"/>
    <n v="43.61"/>
    <n v="0"/>
    <n v="149.94"/>
    <n v="176.64"/>
    <n v="0"/>
    <n v="0"/>
    <n v="0"/>
    <n v="0"/>
    <n v="0"/>
    <n v="477.59"/>
    <n v="0"/>
  </r>
  <r>
    <x v="0"/>
    <x v="1"/>
    <x v="0"/>
    <s v="2359200"/>
    <n v="749532"/>
    <s v="Travel-Physician"/>
    <s v="FMC-Pearl Fam Med"/>
    <x v="0"/>
    <m/>
    <n v="0"/>
    <n v="0"/>
    <n v="1095.81"/>
    <n v="0"/>
    <n v="1243.28"/>
    <n v="0"/>
    <n v="0"/>
    <n v="0"/>
    <n v="0"/>
    <n v="0"/>
    <n v="0"/>
    <n v="0"/>
    <n v="2339.09"/>
    <n v="0"/>
  </r>
  <r>
    <x v="0"/>
    <x v="1"/>
    <x v="0"/>
    <s v="2359200"/>
    <n v="749533"/>
    <s v="Travel-Advanced Practice Clinician"/>
    <s v="FMC-Pearl Fam Med"/>
    <x v="0"/>
    <m/>
    <n v="0"/>
    <n v="1558.62"/>
    <n v="0"/>
    <n v="0"/>
    <n v="0"/>
    <n v="0"/>
    <n v="0"/>
    <n v="0"/>
    <n v="0"/>
    <n v="0"/>
    <n v="0"/>
    <n v="0"/>
    <n v="1558.62"/>
    <n v="0"/>
  </r>
  <r>
    <x v="9"/>
    <x v="1"/>
    <x v="0"/>
    <s v="2359200"/>
    <n v="800015"/>
    <s v="Interest Income-Ext to CHI"/>
    <s v="FMC-Pearl Fam Med"/>
    <x v="0"/>
    <m/>
    <n v="-32.04"/>
    <n v="-30.52"/>
    <n v="-28.06"/>
    <n v="-27.47"/>
    <n v="-25.1"/>
    <n v="-24.41"/>
    <n v="-22.89"/>
    <n v="-19.29"/>
    <n v="-19.829999999999998"/>
    <n v="-17.72"/>
    <n v="-16.78"/>
    <n v="-14.76"/>
    <n v="-278.87"/>
    <n v="-2.0200000000000014"/>
  </r>
  <r>
    <x v="1"/>
    <x v="1"/>
    <x v="0"/>
    <s v="2360200"/>
    <n v="400029"/>
    <s v="MD Practice Other Rev--Medicare"/>
    <s v="FMC-Puyallup Int Med"/>
    <x v="0"/>
    <n v="1100"/>
    <n v="0"/>
    <n v="0"/>
    <n v="0"/>
    <n v="0"/>
    <n v="0"/>
    <n v="-10"/>
    <n v="0"/>
    <n v="-65"/>
    <n v="-24"/>
    <n v="0"/>
    <n v="0"/>
    <n v="0"/>
    <n v="-99"/>
    <n v="0"/>
  </r>
  <r>
    <x v="1"/>
    <x v="1"/>
    <x v="0"/>
    <s v="2360200"/>
    <n v="400029"/>
    <s v="MD Practice Other Rev--Medicaid"/>
    <s v="FMC-Puyallup Int Med"/>
    <x v="0"/>
    <n v="1200"/>
    <n v="0"/>
    <n v="0"/>
    <n v="0"/>
    <n v="0"/>
    <n v="0"/>
    <n v="0"/>
    <n v="-55"/>
    <n v="21"/>
    <n v="0"/>
    <n v="0"/>
    <n v="0"/>
    <n v="0"/>
    <n v="-34"/>
    <n v="0"/>
  </r>
  <r>
    <x v="1"/>
    <x v="1"/>
    <x v="0"/>
    <s v="2360200"/>
    <n v="400029"/>
    <s v="MD Practice Other Rev--Comm Insurance"/>
    <s v="FMC-Puyallup Int Med"/>
    <x v="0"/>
    <n v="1300"/>
    <n v="0"/>
    <n v="0"/>
    <n v="0"/>
    <n v="0"/>
    <n v="0"/>
    <n v="0"/>
    <n v="0"/>
    <n v="-90"/>
    <n v="0"/>
    <n v="0"/>
    <n v="0"/>
    <n v="0"/>
    <n v="-90"/>
    <n v="0"/>
  </r>
  <r>
    <x v="1"/>
    <x v="1"/>
    <x v="0"/>
    <s v="2360200"/>
    <n v="400029"/>
    <s v="MD Practice Other Rev--Managed Care"/>
    <s v="FMC-Puyallup Int Med"/>
    <x v="0"/>
    <n v="1400"/>
    <n v="0"/>
    <n v="0"/>
    <n v="0"/>
    <n v="0"/>
    <n v="0"/>
    <n v="0"/>
    <n v="-30"/>
    <n v="0"/>
    <n v="0"/>
    <n v="0"/>
    <n v="0"/>
    <n v="0"/>
    <n v="-30"/>
    <n v="0"/>
  </r>
  <r>
    <x v="1"/>
    <x v="1"/>
    <x v="0"/>
    <s v="2360200"/>
    <n v="400040"/>
    <s v="Physician Svcs Rev--Medicare"/>
    <s v="FMC-Puyallup Int Med"/>
    <x v="0"/>
    <n v="1100"/>
    <n v="0"/>
    <n v="0"/>
    <n v="0"/>
    <n v="0"/>
    <n v="-295"/>
    <n v="-4405"/>
    <n v="-5818"/>
    <n v="-6691"/>
    <n v="466"/>
    <n v="-200"/>
    <n v="0"/>
    <n v="0"/>
    <n v="-16943"/>
    <n v="0"/>
  </r>
  <r>
    <x v="1"/>
    <x v="1"/>
    <x v="0"/>
    <s v="2360200"/>
    <n v="400040"/>
    <s v="Physician Svcs Rev--Medicaid"/>
    <s v="FMC-Puyallup Int Med"/>
    <x v="0"/>
    <n v="1200"/>
    <n v="0"/>
    <n v="0"/>
    <n v="0"/>
    <n v="0"/>
    <n v="-417"/>
    <n v="-4879"/>
    <n v="-4645"/>
    <n v="-3789"/>
    <n v="-15"/>
    <n v="-81"/>
    <n v="0"/>
    <n v="0"/>
    <n v="-13826"/>
    <n v="0"/>
  </r>
  <r>
    <x v="1"/>
    <x v="1"/>
    <x v="0"/>
    <s v="2360200"/>
    <n v="400040"/>
    <s v="Physician Svcs Rev--Comm Insurance"/>
    <s v="FMC-Puyallup Int Med"/>
    <x v="0"/>
    <n v="1300"/>
    <n v="0"/>
    <n v="0"/>
    <n v="0"/>
    <n v="0"/>
    <n v="-417"/>
    <n v="-1575"/>
    <n v="-2988"/>
    <n v="-1547"/>
    <n v="-296"/>
    <n v="0"/>
    <n v="0"/>
    <n v="0"/>
    <n v="-6823"/>
    <n v="0"/>
  </r>
  <r>
    <x v="1"/>
    <x v="1"/>
    <x v="0"/>
    <s v="2360200"/>
    <n v="400040"/>
    <s v="Physician Svcs Rev--BCBS Comm"/>
    <s v="FMC-Puyallup Int Med"/>
    <x v="0"/>
    <n v="1301"/>
    <n v="0"/>
    <n v="0"/>
    <n v="0"/>
    <n v="0"/>
    <n v="0"/>
    <n v="-2297"/>
    <n v="-322"/>
    <n v="-1206"/>
    <n v="0"/>
    <n v="0"/>
    <n v="0"/>
    <n v="-321"/>
    <n v="-4146"/>
    <n v="321"/>
  </r>
  <r>
    <x v="1"/>
    <x v="1"/>
    <x v="0"/>
    <s v="2360200"/>
    <n v="400040"/>
    <s v="Physician Svcs Rev--Managed Care"/>
    <s v="FMC-Puyallup Int Med"/>
    <x v="0"/>
    <n v="1400"/>
    <n v="0"/>
    <n v="0"/>
    <n v="0"/>
    <n v="0"/>
    <n v="0"/>
    <n v="-2541"/>
    <n v="-3623"/>
    <n v="-3321"/>
    <n v="-652"/>
    <n v="0"/>
    <n v="0"/>
    <n v="321"/>
    <n v="-9816"/>
    <n v="-321"/>
  </r>
  <r>
    <x v="1"/>
    <x v="1"/>
    <x v="0"/>
    <s v="2360200"/>
    <n v="400040"/>
    <s v="Physician Svcs Rev--Self Pay"/>
    <s v="FMC-Puyallup Int Med"/>
    <x v="0"/>
    <n v="1500"/>
    <n v="0"/>
    <n v="0"/>
    <n v="0"/>
    <n v="0"/>
    <n v="0"/>
    <n v="-400"/>
    <n v="200"/>
    <n v="-296"/>
    <n v="-200"/>
    <n v="0"/>
    <n v="0"/>
    <n v="0"/>
    <n v="-696"/>
    <n v="0"/>
  </r>
  <r>
    <x v="1"/>
    <x v="1"/>
    <x v="0"/>
    <s v="2360200"/>
    <n v="400040"/>
    <s v="Physician Svcs Rev--Other"/>
    <s v="FMC-Puyallup Int Med"/>
    <x v="0"/>
    <n v="1700"/>
    <n v="0"/>
    <n v="0"/>
    <n v="0"/>
    <n v="0"/>
    <n v="0"/>
    <n v="-2154"/>
    <n v="-2561"/>
    <n v="-652"/>
    <n v="0"/>
    <n v="0"/>
    <n v="0"/>
    <n v="0"/>
    <n v="-5367"/>
    <n v="0"/>
  </r>
  <r>
    <x v="2"/>
    <x v="1"/>
    <x v="0"/>
    <s v="2360200"/>
    <n v="450029"/>
    <s v="Contr Allow--MD Other-Medicare"/>
    <s v="FMC-Puyallup Int Med"/>
    <x v="0"/>
    <n v="1100"/>
    <n v="0"/>
    <n v="0"/>
    <n v="0"/>
    <n v="0"/>
    <n v="0"/>
    <n v="0"/>
    <n v="7.95"/>
    <n v="6.59"/>
    <n v="6.59"/>
    <n v="0"/>
    <n v="31.68"/>
    <n v="0"/>
    <n v="52.81"/>
    <n v="31.68"/>
  </r>
  <r>
    <x v="2"/>
    <x v="1"/>
    <x v="0"/>
    <s v="2360200"/>
    <n v="450029"/>
    <s v="Contr Allow--MD Other-Medicaid"/>
    <s v="FMC-Puyallup Int Med"/>
    <x v="0"/>
    <n v="1200"/>
    <n v="0"/>
    <n v="0"/>
    <n v="0"/>
    <n v="0"/>
    <n v="0"/>
    <n v="0"/>
    <n v="6.95"/>
    <n v="16.440000000000001"/>
    <n v="0"/>
    <n v="0"/>
    <n v="0"/>
    <n v="0"/>
    <n v="23.39"/>
    <n v="0"/>
  </r>
  <r>
    <x v="2"/>
    <x v="1"/>
    <x v="0"/>
    <s v="2360200"/>
    <n v="450029"/>
    <s v="Contr Allow--MD Other-Comm Insurance"/>
    <s v="FMC-Puyallup Int Med"/>
    <x v="0"/>
    <n v="1300"/>
    <n v="0"/>
    <n v="0"/>
    <n v="0"/>
    <n v="0"/>
    <n v="0"/>
    <n v="0"/>
    <n v="0"/>
    <n v="0"/>
    <n v="54.58"/>
    <n v="0"/>
    <n v="0"/>
    <n v="0"/>
    <n v="54.58"/>
    <n v="0"/>
  </r>
  <r>
    <x v="2"/>
    <x v="1"/>
    <x v="0"/>
    <s v="2360200"/>
    <n v="450029"/>
    <s v="Contr Allow--MD Other-Managed Care"/>
    <s v="FMC-Puyallup Int Med"/>
    <x v="0"/>
    <n v="1400"/>
    <n v="0"/>
    <n v="0"/>
    <n v="0"/>
    <n v="0"/>
    <n v="0"/>
    <n v="0"/>
    <n v="0"/>
    <n v="19.559999999999999"/>
    <n v="0"/>
    <n v="0"/>
    <n v="0"/>
    <n v="0"/>
    <n v="19.559999999999999"/>
    <n v="0"/>
  </r>
  <r>
    <x v="2"/>
    <x v="1"/>
    <x v="0"/>
    <s v="2360200"/>
    <n v="450040"/>
    <s v="Contr Allow--Phys Svcs--Mcare"/>
    <s v="FMC-Puyallup Int Med"/>
    <x v="0"/>
    <n v="1100"/>
    <n v="0"/>
    <n v="0"/>
    <n v="0"/>
    <n v="0"/>
    <n v="0"/>
    <n v="1445.96"/>
    <n v="3240.55"/>
    <n v="3638.39"/>
    <n v="2596.14"/>
    <n v="-125.95"/>
    <n v="14.13"/>
    <n v="0.61"/>
    <n v="10809.829999999998"/>
    <n v="13.520000000000001"/>
  </r>
  <r>
    <x v="2"/>
    <x v="1"/>
    <x v="0"/>
    <s v="2360200"/>
    <n v="450040"/>
    <s v="Contr Allow--Phys Svcs--Mcaid"/>
    <s v="FMC-Puyallup Int Med"/>
    <x v="0"/>
    <n v="1200"/>
    <n v="0"/>
    <n v="0"/>
    <n v="0"/>
    <n v="0"/>
    <n v="0"/>
    <n v="1938.53"/>
    <n v="3850.37"/>
    <n v="1906.82"/>
    <n v="2046.05"/>
    <n v="182.79"/>
    <n v="0"/>
    <n v="0"/>
    <n v="9924.56"/>
    <n v="0"/>
  </r>
  <r>
    <x v="2"/>
    <x v="1"/>
    <x v="0"/>
    <s v="2360200"/>
    <n v="450040"/>
    <s v="Contr Allow--Phys Svcs--Comm Insurance"/>
    <s v="FMC-Puyallup Int Med"/>
    <x v="0"/>
    <n v="1300"/>
    <n v="0"/>
    <n v="0"/>
    <n v="0"/>
    <n v="0"/>
    <n v="0"/>
    <n v="277.7"/>
    <n v="452"/>
    <n v="1578.86"/>
    <n v="262.95999999999998"/>
    <n v="0"/>
    <n v="0"/>
    <n v="0"/>
    <n v="2571.52"/>
    <n v="0"/>
  </r>
  <r>
    <x v="2"/>
    <x v="1"/>
    <x v="0"/>
    <s v="2360200"/>
    <n v="450040"/>
    <s v="Contr Allow--Phys Svcs--BCBS Comm Ins"/>
    <s v="FMC-Puyallup Int Med"/>
    <x v="0"/>
    <n v="1301"/>
    <n v="0"/>
    <n v="0"/>
    <n v="0"/>
    <n v="0"/>
    <n v="0"/>
    <n v="321.85000000000002"/>
    <n v="250.75"/>
    <n v="156.43"/>
    <n v="311.86"/>
    <n v="0"/>
    <n v="0"/>
    <n v="9.86"/>
    <n v="1050.7499999999998"/>
    <n v="-9.86"/>
  </r>
  <r>
    <x v="2"/>
    <x v="1"/>
    <x v="0"/>
    <s v="2360200"/>
    <n v="450040"/>
    <s v="Contr Allow--Phys Svcs--Managed Care"/>
    <s v="FMC-Puyallup Int Med"/>
    <x v="0"/>
    <n v="1400"/>
    <n v="0"/>
    <n v="0"/>
    <n v="0"/>
    <n v="0"/>
    <n v="0"/>
    <n v="61.7"/>
    <n v="771.34"/>
    <n v="1388.07"/>
    <n v="805.01"/>
    <n v="152.66999999999999"/>
    <n v="0"/>
    <n v="0"/>
    <n v="3178.79"/>
    <n v="0"/>
  </r>
  <r>
    <x v="2"/>
    <x v="1"/>
    <x v="0"/>
    <s v="2360200"/>
    <n v="450040"/>
    <s v="Contr Allow--Phys Svcs--BCBS Mgnd Care"/>
    <s v="FMC-Puyallup Int Med"/>
    <x v="0"/>
    <n v="1401"/>
    <n v="0"/>
    <n v="0"/>
    <n v="0"/>
    <n v="0"/>
    <n v="576.52"/>
    <n v="5735.61"/>
    <n v="3168.39"/>
    <n v="-742.09"/>
    <n v="-5976.69"/>
    <n v="-680.09"/>
    <n v="-438.93"/>
    <n v="-394.97"/>
    <n v="1247.7499999999986"/>
    <n v="-43.95999999999998"/>
  </r>
  <r>
    <x v="2"/>
    <x v="1"/>
    <x v="0"/>
    <s v="2360200"/>
    <n v="450040"/>
    <s v="Admin Adjust-Phys Svcs-Self Pay"/>
    <s v="FMC-Puyallup Int Med"/>
    <x v="0"/>
    <n v="1600"/>
    <n v="0"/>
    <n v="0"/>
    <n v="0"/>
    <n v="0"/>
    <n v="0"/>
    <n v="148"/>
    <n v="-74"/>
    <n v="109.52"/>
    <n v="74"/>
    <n v="0"/>
    <n v="0"/>
    <n v="0"/>
    <n v="257.52"/>
    <n v="0"/>
  </r>
  <r>
    <x v="2"/>
    <x v="1"/>
    <x v="0"/>
    <s v="2360200"/>
    <n v="450040"/>
    <s v="Contr Allow--Phys Svcs--Other"/>
    <s v="FMC-Puyallup Int Med"/>
    <x v="0"/>
    <n v="1700"/>
    <n v="0"/>
    <n v="0"/>
    <n v="0"/>
    <n v="0"/>
    <n v="0"/>
    <n v="185.34"/>
    <n v="436.7"/>
    <n v="1926.49"/>
    <n v="311.77"/>
    <n v="409.6"/>
    <n v="0"/>
    <n v="0"/>
    <n v="3269.8999999999996"/>
    <n v="0"/>
  </r>
  <r>
    <x v="3"/>
    <x v="1"/>
    <x v="0"/>
    <s v="2360200"/>
    <n v="470040"/>
    <s v="Charity Care-Physician Svcs"/>
    <s v="FMC-Puyallup Int Med"/>
    <x v="0"/>
    <m/>
    <n v="0"/>
    <n v="0"/>
    <n v="0"/>
    <n v="0"/>
    <n v="20.62"/>
    <n v="180.09"/>
    <n v="98.38"/>
    <n v="115.43"/>
    <n v="31.63"/>
    <n v="-25.8"/>
    <n v="-5.29"/>
    <n v="171.5"/>
    <n v="586.55999999999995"/>
    <n v="-176.79"/>
  </r>
  <r>
    <x v="4"/>
    <x v="1"/>
    <x v="0"/>
    <s v="2360200"/>
    <n v="490010"/>
    <s v="Provision for Bad Debts"/>
    <s v="FMC-Puyallup Int Med"/>
    <x v="0"/>
    <m/>
    <n v="0"/>
    <n v="0"/>
    <n v="0"/>
    <n v="0"/>
    <n v="75.16"/>
    <n v="687.57"/>
    <n v="245.06"/>
    <n v="-154.44"/>
    <n v="-566.12"/>
    <n v="-74.92"/>
    <n v="564.95000000000005"/>
    <n v="359.7"/>
    <n v="1136.96"/>
    <n v="205.25000000000006"/>
  </r>
  <r>
    <x v="0"/>
    <x v="1"/>
    <x v="0"/>
    <s v="2360200"/>
    <n v="749591"/>
    <s v="Other Expense-Intracompany Allocation"/>
    <s v="FMC-Puyallup Int Med"/>
    <x v="0"/>
    <m/>
    <n v="0"/>
    <n v="0"/>
    <n v="0"/>
    <n v="0"/>
    <n v="334.06"/>
    <n v="5768.23"/>
    <n v="7211.44"/>
    <n v="7369.17"/>
    <n v="-448.96"/>
    <n v="-1094.94"/>
    <n v="-1390.59"/>
    <n v="-941.91"/>
    <n v="16806.500000000004"/>
    <n v="-448.67999999999995"/>
  </r>
  <r>
    <x v="1"/>
    <x v="1"/>
    <x v="0"/>
    <s v="2361200"/>
    <n v="400029"/>
    <s v="MD Practice Other Rev--Medicare"/>
    <s v="Milgard-Fam Med"/>
    <x v="0"/>
    <n v="1100"/>
    <n v="0"/>
    <n v="0"/>
    <n v="0"/>
    <n v="0"/>
    <n v="0"/>
    <n v="0"/>
    <n v="0"/>
    <n v="-90"/>
    <n v="-90"/>
    <n v="0"/>
    <n v="0"/>
    <n v="-10"/>
    <n v="-190"/>
    <n v="10"/>
  </r>
  <r>
    <x v="1"/>
    <x v="1"/>
    <x v="0"/>
    <s v="2361200"/>
    <n v="400029"/>
    <s v="MD Practice Other Rev--Medicaid"/>
    <s v="Milgard-Fam Med"/>
    <x v="0"/>
    <n v="1200"/>
    <n v="0"/>
    <n v="0"/>
    <n v="0"/>
    <n v="0"/>
    <n v="0"/>
    <n v="0"/>
    <n v="0"/>
    <n v="-45"/>
    <n v="-45"/>
    <n v="0"/>
    <n v="-34"/>
    <n v="0"/>
    <n v="-124"/>
    <n v="-34"/>
  </r>
  <r>
    <x v="1"/>
    <x v="1"/>
    <x v="0"/>
    <s v="2361200"/>
    <n v="400029"/>
    <s v="MD Practice Other Rev--Managed Care"/>
    <s v="Milgard-Fam Med"/>
    <x v="0"/>
    <n v="1400"/>
    <n v="0"/>
    <n v="0"/>
    <n v="0"/>
    <n v="0"/>
    <n v="0"/>
    <n v="0"/>
    <n v="0"/>
    <n v="-45"/>
    <n v="-45"/>
    <n v="0"/>
    <n v="0"/>
    <n v="-10"/>
    <n v="-100"/>
    <n v="10"/>
  </r>
  <r>
    <x v="1"/>
    <x v="1"/>
    <x v="0"/>
    <s v="2361200"/>
    <n v="400029"/>
    <s v="MD Practice Other Rev--Self Pay"/>
    <s v="Milgard-Fam Med"/>
    <x v="0"/>
    <n v="1500"/>
    <n v="0"/>
    <n v="0"/>
    <n v="0"/>
    <n v="0"/>
    <n v="0"/>
    <n v="0"/>
    <n v="0"/>
    <n v="0"/>
    <n v="-45"/>
    <n v="0"/>
    <n v="0"/>
    <n v="0"/>
    <n v="-45"/>
    <n v="0"/>
  </r>
  <r>
    <x v="1"/>
    <x v="1"/>
    <x v="0"/>
    <s v="2361200"/>
    <n v="400040"/>
    <s v="Physician Svcs Rev--Medicare"/>
    <s v="Milgard-Fam Med"/>
    <x v="0"/>
    <n v="1100"/>
    <n v="0"/>
    <n v="0"/>
    <n v="0"/>
    <n v="0"/>
    <n v="-295"/>
    <n v="-57602"/>
    <n v="-108406"/>
    <n v="-94649"/>
    <n v="-88143"/>
    <n v="-103905"/>
    <n v="-86175"/>
    <n v="-79891"/>
    <n v="-619066"/>
    <n v="-6284"/>
  </r>
  <r>
    <x v="1"/>
    <x v="1"/>
    <x v="0"/>
    <s v="2361200"/>
    <n v="400040"/>
    <s v="Physician Svcs Rev--Medicaid"/>
    <s v="Milgard-Fam Med"/>
    <x v="0"/>
    <n v="1200"/>
    <n v="0"/>
    <n v="0"/>
    <n v="0"/>
    <n v="0"/>
    <n v="0"/>
    <n v="-18990"/>
    <n v="-27087"/>
    <n v="-25611"/>
    <n v="-27880"/>
    <n v="-25114"/>
    <n v="-35803"/>
    <n v="-27588"/>
    <n v="-188073"/>
    <n v="-8215"/>
  </r>
  <r>
    <x v="1"/>
    <x v="1"/>
    <x v="0"/>
    <s v="2361200"/>
    <n v="400040"/>
    <s v="Physician Svcs Rev--Comm Insurance"/>
    <s v="Milgard-Fam Med"/>
    <x v="0"/>
    <n v="1300"/>
    <n v="0"/>
    <n v="0"/>
    <n v="0"/>
    <n v="0"/>
    <n v="0"/>
    <n v="-7526"/>
    <n v="-9883"/>
    <n v="-9948"/>
    <n v="-14740"/>
    <n v="-14218"/>
    <n v="-9412"/>
    <n v="-6979"/>
    <n v="-72706"/>
    <n v="-2433"/>
  </r>
  <r>
    <x v="1"/>
    <x v="1"/>
    <x v="0"/>
    <s v="2361200"/>
    <n v="400040"/>
    <s v="Physician Svcs Rev--BCBS Comm"/>
    <s v="Milgard-Fam Med"/>
    <x v="0"/>
    <n v="1301"/>
    <n v="0"/>
    <n v="0"/>
    <n v="0"/>
    <n v="0"/>
    <n v="0"/>
    <n v="-15067"/>
    <n v="-17050"/>
    <n v="-15141"/>
    <n v="-16882"/>
    <n v="-24916"/>
    <n v="-19036"/>
    <n v="-19924"/>
    <n v="-128016"/>
    <n v="888"/>
  </r>
  <r>
    <x v="1"/>
    <x v="1"/>
    <x v="0"/>
    <s v="2361200"/>
    <n v="400040"/>
    <s v="Physician Svcs Rev--Managed Care"/>
    <s v="Milgard-Fam Med"/>
    <x v="0"/>
    <n v="1400"/>
    <n v="0"/>
    <n v="0"/>
    <n v="0"/>
    <n v="0"/>
    <n v="0"/>
    <n v="-47890"/>
    <n v="-76784"/>
    <n v="-65385"/>
    <n v="-75918"/>
    <n v="-68690"/>
    <n v="-69301"/>
    <n v="-51058"/>
    <n v="-455026"/>
    <n v="-18243"/>
  </r>
  <r>
    <x v="1"/>
    <x v="1"/>
    <x v="0"/>
    <s v="2361200"/>
    <n v="400040"/>
    <s v="Physician Svcs Rev--Self Pay"/>
    <s v="Milgard-Fam Med"/>
    <x v="0"/>
    <n v="1500"/>
    <n v="0"/>
    <n v="0"/>
    <n v="0"/>
    <n v="0"/>
    <n v="0"/>
    <n v="-1296"/>
    <n v="-2128"/>
    <n v="-1274.75"/>
    <n v="-2543"/>
    <n v="-2057"/>
    <n v="-2300"/>
    <n v="-3080"/>
    <n v="-14678.75"/>
    <n v="780"/>
  </r>
  <r>
    <x v="1"/>
    <x v="1"/>
    <x v="0"/>
    <s v="2361200"/>
    <n v="400040"/>
    <s v="Physician Svcs Rev--Other"/>
    <s v="Milgard-Fam Med"/>
    <x v="0"/>
    <n v="1700"/>
    <n v="0"/>
    <n v="0"/>
    <n v="0"/>
    <n v="0"/>
    <n v="0"/>
    <n v="-5820"/>
    <n v="-6084"/>
    <n v="-7234"/>
    <n v="-7642"/>
    <n v="-9980"/>
    <n v="-13092"/>
    <n v="-7283"/>
    <n v="-57135"/>
    <n v="-5809"/>
  </r>
  <r>
    <x v="2"/>
    <x v="1"/>
    <x v="0"/>
    <s v="2361200"/>
    <n v="450029"/>
    <s v="Contr Allow--MD Other-Medicare"/>
    <s v="Milgard-Fam Med"/>
    <x v="0"/>
    <n v="1100"/>
    <n v="0"/>
    <n v="0"/>
    <n v="0"/>
    <n v="0"/>
    <n v="0"/>
    <n v="0"/>
    <n v="0"/>
    <n v="0"/>
    <n v="57.56"/>
    <n v="62"/>
    <n v="0"/>
    <n v="0"/>
    <n v="119.56"/>
    <n v="0"/>
  </r>
  <r>
    <x v="2"/>
    <x v="1"/>
    <x v="0"/>
    <s v="2361200"/>
    <n v="450029"/>
    <s v="Contr Allow--MD Other-Medicaid"/>
    <s v="Milgard-Fam Med"/>
    <x v="0"/>
    <n v="1200"/>
    <n v="0"/>
    <n v="0"/>
    <n v="0"/>
    <n v="0"/>
    <n v="0"/>
    <n v="0"/>
    <n v="0"/>
    <n v="0"/>
    <n v="60.14"/>
    <n v="0"/>
    <n v="7.03"/>
    <n v="16.02"/>
    <n v="83.19"/>
    <n v="-8.9899999999999984"/>
  </r>
  <r>
    <x v="2"/>
    <x v="1"/>
    <x v="0"/>
    <s v="2361200"/>
    <n v="450029"/>
    <s v="Contr Allow--MD Other-Managed Care"/>
    <s v="Milgard-Fam Med"/>
    <x v="0"/>
    <n v="1400"/>
    <n v="0"/>
    <n v="0"/>
    <n v="0"/>
    <n v="0"/>
    <n v="0"/>
    <n v="0"/>
    <n v="0"/>
    <n v="0"/>
    <n v="28.45"/>
    <n v="0"/>
    <n v="0"/>
    <n v="6.73"/>
    <n v="35.18"/>
    <n v="-6.73"/>
  </r>
  <r>
    <x v="2"/>
    <x v="1"/>
    <x v="0"/>
    <s v="2361200"/>
    <n v="450029"/>
    <s v="Admin Adjust-MD Other-Self Pay"/>
    <s v="Milgard-Fam Med"/>
    <x v="0"/>
    <n v="1600"/>
    <n v="0"/>
    <n v="0"/>
    <n v="0"/>
    <n v="0"/>
    <n v="0"/>
    <n v="0"/>
    <n v="0"/>
    <n v="0"/>
    <n v="16.649999999999999"/>
    <n v="0"/>
    <n v="0"/>
    <n v="0"/>
    <n v="16.649999999999999"/>
    <n v="0"/>
  </r>
  <r>
    <x v="2"/>
    <x v="1"/>
    <x v="0"/>
    <s v="2361200"/>
    <n v="450040"/>
    <s v="Contr Allow--Phys Svcs--Mcare"/>
    <s v="Milgard-Fam Med"/>
    <x v="0"/>
    <n v="1100"/>
    <n v="0"/>
    <n v="0"/>
    <n v="0"/>
    <n v="0"/>
    <n v="0"/>
    <n v="13493.94"/>
    <n v="58721.22"/>
    <n v="55795.34"/>
    <n v="52720.17"/>
    <n v="64941.8"/>
    <n v="59721.86"/>
    <n v="47580.13"/>
    <n v="352974.45999999996"/>
    <n v="12141.730000000003"/>
  </r>
  <r>
    <x v="2"/>
    <x v="1"/>
    <x v="0"/>
    <s v="2361200"/>
    <n v="450040"/>
    <s v="Contr Allow--Phys Svcs--Mcaid"/>
    <s v="Milgard-Fam Med"/>
    <x v="0"/>
    <n v="1200"/>
    <n v="0"/>
    <n v="0"/>
    <n v="0"/>
    <n v="0"/>
    <n v="0"/>
    <n v="6759.52"/>
    <n v="18532.62"/>
    <n v="16888.55"/>
    <n v="20448.96"/>
    <n v="19296.41"/>
    <n v="23608.31"/>
    <n v="19703.59"/>
    <n v="125237.95999999999"/>
    <n v="3904.7200000000012"/>
  </r>
  <r>
    <x v="2"/>
    <x v="1"/>
    <x v="0"/>
    <s v="2361200"/>
    <n v="450040"/>
    <s v="Contr Allow--Phys Svcs--Comm Insurance"/>
    <s v="Milgard-Fam Med"/>
    <x v="0"/>
    <n v="1300"/>
    <n v="0"/>
    <n v="0"/>
    <n v="0"/>
    <n v="0"/>
    <n v="0"/>
    <n v="1243.1199999999999"/>
    <n v="2401.0500000000002"/>
    <n v="2556.7600000000002"/>
    <n v="4446.2700000000004"/>
    <n v="5039.13"/>
    <n v="3837.92"/>
    <n v="2866.37"/>
    <n v="22390.62"/>
    <n v="971.55000000000018"/>
  </r>
  <r>
    <x v="2"/>
    <x v="1"/>
    <x v="0"/>
    <s v="2361200"/>
    <n v="450040"/>
    <s v="Contr Allow--Phys Svcs--BCBS Comm Ins"/>
    <s v="Milgard-Fam Med"/>
    <x v="0"/>
    <n v="1301"/>
    <n v="0"/>
    <n v="0"/>
    <n v="0"/>
    <n v="0"/>
    <n v="0"/>
    <n v="815.12"/>
    <n v="4360.91"/>
    <n v="4441.91"/>
    <n v="7432.11"/>
    <n v="5515.94"/>
    <n v="5803.65"/>
    <n v="7493.25"/>
    <n v="35862.89"/>
    <n v="-1689.6000000000004"/>
  </r>
  <r>
    <x v="2"/>
    <x v="1"/>
    <x v="0"/>
    <s v="2361200"/>
    <n v="450040"/>
    <s v="Contr Allow--Phys Svcs--Managed Care"/>
    <s v="Milgard-Fam Med"/>
    <x v="0"/>
    <n v="1400"/>
    <n v="0"/>
    <n v="0"/>
    <n v="0"/>
    <n v="0"/>
    <n v="0"/>
    <n v="6467.05"/>
    <n v="20114.38"/>
    <n v="23142.46"/>
    <n v="25174.720000000001"/>
    <n v="27466.6"/>
    <n v="24943.39"/>
    <n v="18576.04"/>
    <n v="145884.63999999998"/>
    <n v="6367.3499999999985"/>
  </r>
  <r>
    <x v="2"/>
    <x v="1"/>
    <x v="0"/>
    <s v="2361200"/>
    <n v="450040"/>
    <s v="Contr Allow--Phys Svcs--BCBS Mgnd Care"/>
    <s v="Milgard-Fam Med"/>
    <x v="0"/>
    <n v="1401"/>
    <n v="0"/>
    <n v="0"/>
    <n v="0"/>
    <n v="0"/>
    <n v="0"/>
    <n v="52306.86"/>
    <n v="34859.08"/>
    <n v="11979.86"/>
    <n v="4676.22"/>
    <n v="967.88"/>
    <n v="1595.45"/>
    <n v="-5969.51"/>
    <n v="100415.84000000001"/>
    <n v="7564.96"/>
  </r>
  <r>
    <x v="2"/>
    <x v="1"/>
    <x v="0"/>
    <s v="2361200"/>
    <n v="450040"/>
    <s v="Admin Adjust-Phys Svcs-Self Pay"/>
    <s v="Milgard-Fam Med"/>
    <x v="0"/>
    <n v="1600"/>
    <n v="0"/>
    <n v="0"/>
    <n v="0"/>
    <n v="0"/>
    <n v="0"/>
    <n v="659.52"/>
    <n v="1288.32"/>
    <n v="832.53"/>
    <n v="1445.34"/>
    <n v="1294.03"/>
    <n v="813.77"/>
    <n v="1577.77"/>
    <n v="7911.2800000000007"/>
    <n v="-764"/>
  </r>
  <r>
    <x v="2"/>
    <x v="1"/>
    <x v="0"/>
    <s v="2361200"/>
    <n v="450040"/>
    <s v="Contr Allow--Phys Svcs--Other"/>
    <s v="Milgard-Fam Med"/>
    <x v="0"/>
    <n v="1700"/>
    <n v="0"/>
    <n v="0"/>
    <n v="0"/>
    <n v="0"/>
    <n v="0"/>
    <n v="403.58"/>
    <n v="2564.1999999999998"/>
    <n v="5562.74"/>
    <n v="3601.82"/>
    <n v="6085.82"/>
    <n v="6030.26"/>
    <n v="4632.92"/>
    <n v="28881.339999999997"/>
    <n v="1397.3400000000001"/>
  </r>
  <r>
    <x v="3"/>
    <x v="1"/>
    <x v="0"/>
    <s v="2361200"/>
    <n v="470040"/>
    <s v="Charity Care-Physician Svcs"/>
    <s v="Milgard-Fam Med"/>
    <x v="0"/>
    <m/>
    <n v="0"/>
    <n v="0"/>
    <n v="0"/>
    <n v="0"/>
    <n v="5.39"/>
    <n v="1657.86"/>
    <n v="1023.04"/>
    <n v="716.57"/>
    <n v="836.89"/>
    <n v="985.42"/>
    <n v="738.1"/>
    <n v="783.61"/>
    <n v="6746.88"/>
    <n v="-45.509999999999991"/>
  </r>
  <r>
    <x v="4"/>
    <x v="1"/>
    <x v="0"/>
    <s v="2361200"/>
    <n v="490010"/>
    <s v="Provision for Bad Debts"/>
    <s v="Milgard-Fam Med"/>
    <x v="0"/>
    <m/>
    <n v="0"/>
    <n v="0"/>
    <n v="0"/>
    <n v="0"/>
    <n v="19.64"/>
    <n v="6300.89"/>
    <n v="2945.28"/>
    <n v="416.27"/>
    <n v="1176.3699999999999"/>
    <n v="-110.13"/>
    <n v="235.43"/>
    <n v="4698.42"/>
    <n v="15682.170000000002"/>
    <n v="-4462.99"/>
  </r>
  <r>
    <x v="5"/>
    <x v="1"/>
    <x v="0"/>
    <s v="2361200"/>
    <n v="700022"/>
    <s v="Salaries-Physician-Productive"/>
    <s v="Milgard-Fam Med"/>
    <x v="0"/>
    <m/>
    <n v="0"/>
    <n v="0"/>
    <n v="0"/>
    <n v="0"/>
    <n v="0"/>
    <n v="31145.19"/>
    <n v="42628.65"/>
    <n v="36112.379999999997"/>
    <n v="47284.28"/>
    <n v="47365.19"/>
    <n v="49442.52"/>
    <n v="36530.36"/>
    <n v="290508.57"/>
    <n v="12912.159999999996"/>
  </r>
  <r>
    <x v="5"/>
    <x v="1"/>
    <x v="0"/>
    <s v="2361200"/>
    <n v="700024"/>
    <s v="Salaries-Advanced Practice Clinician-Productive"/>
    <s v="Milgard-Fam Med"/>
    <x v="0"/>
    <m/>
    <n v="0"/>
    <n v="0"/>
    <n v="0"/>
    <n v="0"/>
    <n v="0"/>
    <n v="8400"/>
    <n v="9214.08"/>
    <n v="8011.74"/>
    <n v="8412.33"/>
    <n v="8812.9"/>
    <n v="15977.01"/>
    <n v="11081.43"/>
    <n v="69909.490000000005"/>
    <n v="4895.58"/>
  </r>
  <r>
    <x v="5"/>
    <x v="1"/>
    <x v="0"/>
    <s v="2361200"/>
    <n v="700026"/>
    <s v="Salaries-RN-Productive"/>
    <s v="Milgard-Fam Med"/>
    <x v="0"/>
    <m/>
    <n v="0"/>
    <n v="0"/>
    <n v="0"/>
    <n v="0"/>
    <n v="0"/>
    <n v="0"/>
    <n v="0"/>
    <n v="4598.6400000000003"/>
    <n v="2743.38"/>
    <n v="4029.31"/>
    <n v="3414.53"/>
    <n v="5591.66"/>
    <n v="20377.52"/>
    <n v="-2177.1299999999997"/>
  </r>
  <r>
    <x v="5"/>
    <x v="1"/>
    <x v="0"/>
    <s v="2361200"/>
    <n v="700026"/>
    <s v="Salaries-RN-OT"/>
    <s v="Milgard-Fam Med"/>
    <x v="0"/>
    <n v="1000"/>
    <n v="0"/>
    <n v="0"/>
    <n v="0"/>
    <n v="0"/>
    <n v="0"/>
    <n v="0"/>
    <n v="0"/>
    <n v="32.880000000000003"/>
    <n v="296.02999999999997"/>
    <n v="548.55999999999995"/>
    <n v="-19.97"/>
    <n v="187.97"/>
    <n v="1045.4699999999998"/>
    <n v="-207.94"/>
  </r>
  <r>
    <x v="5"/>
    <x v="1"/>
    <x v="0"/>
    <s v="2361200"/>
    <n v="700030"/>
    <s v="Salaries-LPN-Productive"/>
    <s v="Milgard-Fam Med"/>
    <x v="0"/>
    <m/>
    <n v="0"/>
    <n v="0"/>
    <n v="0"/>
    <n v="0"/>
    <n v="0"/>
    <n v="2764.32"/>
    <n v="2326.48"/>
    <n v="1760.38"/>
    <n v="1271.6600000000001"/>
    <n v="5783.09"/>
    <n v="3718.79"/>
    <n v="4282.4799999999996"/>
    <n v="21907.200000000001"/>
    <n v="-563.6899999999996"/>
  </r>
  <r>
    <x v="5"/>
    <x v="1"/>
    <x v="0"/>
    <s v="2361200"/>
    <n v="700030"/>
    <s v="Salaries-LPN-OT"/>
    <s v="Milgard-Fam Med"/>
    <x v="0"/>
    <n v="1000"/>
    <n v="0"/>
    <n v="0"/>
    <n v="0"/>
    <n v="0"/>
    <n v="0"/>
    <n v="1049.93"/>
    <n v="0"/>
    <n v="0"/>
    <n v="604.79999999999995"/>
    <n v="-201.6"/>
    <n v="0"/>
    <n v="10.09"/>
    <n v="1463.22"/>
    <n v="-10.09"/>
  </r>
  <r>
    <x v="5"/>
    <x v="1"/>
    <x v="0"/>
    <s v="2361200"/>
    <n v="700030"/>
    <s v="Salaries-LPN-Other"/>
    <s v="Milgard-Fam Med"/>
    <x v="0"/>
    <n v="2000"/>
    <n v="0"/>
    <n v="0"/>
    <n v="0"/>
    <n v="0"/>
    <n v="0"/>
    <n v="7.5"/>
    <n v="0"/>
    <n v="0"/>
    <n v="0"/>
    <n v="0"/>
    <n v="0"/>
    <n v="8.76"/>
    <n v="16.259999999999998"/>
    <n v="-8.76"/>
  </r>
  <r>
    <x v="5"/>
    <x v="1"/>
    <x v="0"/>
    <s v="2361200"/>
    <n v="700032"/>
    <s v="Salaries-Other Pat Care Providers-Productive"/>
    <s v="Milgard-Fam Med"/>
    <x v="0"/>
    <m/>
    <n v="0"/>
    <n v="0"/>
    <n v="0"/>
    <n v="0"/>
    <n v="0"/>
    <n v="1521.83"/>
    <n v="4975.6099999999997"/>
    <n v="4073.14"/>
    <n v="6275.52"/>
    <n v="6705.96"/>
    <n v="7728.45"/>
    <n v="5819.3"/>
    <n v="37099.81"/>
    <n v="1909.1499999999996"/>
  </r>
  <r>
    <x v="5"/>
    <x v="1"/>
    <x v="0"/>
    <s v="2361200"/>
    <n v="700032"/>
    <s v="Salaries-Other Pat Care Providers-OT"/>
    <s v="Milgard-Fam Med"/>
    <x v="0"/>
    <n v="1000"/>
    <n v="0"/>
    <n v="0"/>
    <n v="0"/>
    <n v="0"/>
    <n v="0"/>
    <n v="0"/>
    <n v="70.3"/>
    <n v="54.59"/>
    <n v="27.36"/>
    <n v="99.01"/>
    <n v="66.81"/>
    <n v="141.57"/>
    <n v="459.64"/>
    <n v="-74.759999999999991"/>
  </r>
  <r>
    <x v="5"/>
    <x v="1"/>
    <x v="0"/>
    <s v="2361200"/>
    <n v="700032"/>
    <s v="Salaries-Other Pat Care Providers-Other"/>
    <s v="Milgard-Fam Med"/>
    <x v="0"/>
    <n v="2000"/>
    <n v="0"/>
    <n v="0"/>
    <n v="0"/>
    <n v="0"/>
    <n v="0"/>
    <n v="0"/>
    <n v="18.22"/>
    <n v="-5.2"/>
    <n v="0"/>
    <n v="0"/>
    <n v="0"/>
    <n v="0"/>
    <n v="13.02"/>
    <n v="0"/>
  </r>
  <r>
    <x v="5"/>
    <x v="1"/>
    <x v="0"/>
    <s v="2361200"/>
    <n v="700038"/>
    <s v="Salaries-Service/Support-Productive"/>
    <s v="Milgard-Fam Med"/>
    <x v="0"/>
    <m/>
    <n v="0"/>
    <n v="0"/>
    <n v="0"/>
    <n v="0"/>
    <n v="0"/>
    <n v="2255.91"/>
    <n v="0"/>
    <n v="0"/>
    <n v="169.69"/>
    <n v="0"/>
    <n v="0"/>
    <n v="0"/>
    <n v="2425.6"/>
    <n v="0"/>
  </r>
  <r>
    <x v="5"/>
    <x v="1"/>
    <x v="0"/>
    <s v="2361200"/>
    <n v="700038"/>
    <s v="Salaries-Service/Support-OT"/>
    <s v="Milgard-Fam Med"/>
    <x v="0"/>
    <n v="1000"/>
    <n v="0"/>
    <n v="0"/>
    <n v="0"/>
    <n v="0"/>
    <n v="0"/>
    <n v="158.18"/>
    <n v="0"/>
    <n v="0"/>
    <n v="0"/>
    <n v="0"/>
    <n v="0"/>
    <n v="0"/>
    <n v="158.18"/>
    <n v="0"/>
  </r>
  <r>
    <x v="5"/>
    <x v="1"/>
    <x v="0"/>
    <s v="2361200"/>
    <n v="700062"/>
    <s v="Salaries-Physician-Non-productive"/>
    <s v="Milgard-Fam Med"/>
    <x v="0"/>
    <m/>
    <n v="0"/>
    <n v="0"/>
    <n v="0"/>
    <n v="0"/>
    <n v="0"/>
    <n v="12399.75"/>
    <n v="5136.43"/>
    <n v="7252.27"/>
    <n v="-2072.0700000000002"/>
    <n v="0"/>
    <n v="0"/>
    <n v="6404.54"/>
    <n v="29120.920000000002"/>
    <n v="-6404.54"/>
  </r>
  <r>
    <x v="5"/>
    <x v="1"/>
    <x v="0"/>
    <s v="2361200"/>
    <n v="700064"/>
    <s v="Salaries-Advanced Practice Clinician-Non-Productive"/>
    <s v="Milgard-Fam Med"/>
    <x v="0"/>
    <m/>
    <n v="0"/>
    <n v="0"/>
    <n v="0"/>
    <n v="0"/>
    <n v="0"/>
    <n v="0"/>
    <n v="0"/>
    <n v="0"/>
    <n v="0"/>
    <n v="0"/>
    <n v="0"/>
    <n v="3693.81"/>
    <n v="3693.81"/>
    <n v="-3693.81"/>
  </r>
  <r>
    <x v="5"/>
    <x v="1"/>
    <x v="0"/>
    <s v="2361200"/>
    <n v="700066"/>
    <s v="Salaries-RN-Non-productive"/>
    <s v="Milgard-Fam Med"/>
    <x v="0"/>
    <m/>
    <n v="0"/>
    <n v="0"/>
    <n v="0"/>
    <n v="0"/>
    <n v="0"/>
    <n v="0"/>
    <n v="0"/>
    <n v="263.14"/>
    <n v="300.73"/>
    <n v="-125.3"/>
    <n v="689.18"/>
    <n v="-187.96"/>
    <n v="939.79"/>
    <n v="877.14"/>
  </r>
  <r>
    <x v="5"/>
    <x v="1"/>
    <x v="0"/>
    <s v="2361200"/>
    <n v="700066"/>
    <s v="Salaries-RN-NonProd-Other"/>
    <s v="Milgard-Fam Med"/>
    <x v="0"/>
    <n v="2000"/>
    <n v="0"/>
    <n v="0"/>
    <n v="0"/>
    <n v="0"/>
    <n v="0"/>
    <n v="0"/>
    <n v="0"/>
    <n v="62.65"/>
    <n v="0"/>
    <n v="0"/>
    <n v="0"/>
    <n v="0"/>
    <n v="62.65"/>
    <n v="0"/>
  </r>
  <r>
    <x v="5"/>
    <x v="1"/>
    <x v="0"/>
    <s v="2361200"/>
    <n v="700070"/>
    <s v="Salaries-LPN-Non-productive"/>
    <s v="Milgard-Fam Med"/>
    <x v="0"/>
    <m/>
    <n v="0"/>
    <n v="0"/>
    <n v="0"/>
    <n v="0"/>
    <n v="0"/>
    <n v="361.66"/>
    <n v="885.06"/>
    <n v="896.43"/>
    <n v="-87.35"/>
    <n v="0"/>
    <n v="362.85"/>
    <n v="645.12"/>
    <n v="3063.77"/>
    <n v="-282.27"/>
  </r>
  <r>
    <x v="5"/>
    <x v="1"/>
    <x v="0"/>
    <s v="2361200"/>
    <n v="700070"/>
    <s v="Salaries-LPN-NonProd-Other"/>
    <s v="Milgard-Fam Med"/>
    <x v="0"/>
    <n v="2000"/>
    <n v="0"/>
    <n v="0"/>
    <n v="0"/>
    <n v="0"/>
    <n v="0"/>
    <n v="0"/>
    <n v="0"/>
    <n v="80.64"/>
    <n v="0"/>
    <n v="0"/>
    <n v="0"/>
    <n v="13.44"/>
    <n v="94.08"/>
    <n v="-13.44"/>
  </r>
  <r>
    <x v="5"/>
    <x v="1"/>
    <x v="0"/>
    <s v="2361200"/>
    <n v="700072"/>
    <s v="Salaries-Other Pat Care Providers-Non-productive"/>
    <s v="Milgard-Fam Med"/>
    <x v="0"/>
    <m/>
    <n v="0"/>
    <n v="0"/>
    <n v="0"/>
    <n v="0"/>
    <n v="0"/>
    <n v="280.86"/>
    <n v="167.45"/>
    <n v="1559.3"/>
    <n v="770.28"/>
    <n v="781.27"/>
    <n v="57.31"/>
    <n v="880.69"/>
    <n v="4497.16"/>
    <n v="-823.38000000000011"/>
  </r>
  <r>
    <x v="5"/>
    <x v="1"/>
    <x v="0"/>
    <s v="2361200"/>
    <n v="700072"/>
    <s v="Salaries-Other Pat Care Providers-NonProd-Other"/>
    <s v="Milgard-Fam Med"/>
    <x v="0"/>
    <n v="2000"/>
    <n v="0"/>
    <n v="0"/>
    <n v="0"/>
    <n v="0"/>
    <n v="0"/>
    <n v="0"/>
    <n v="0"/>
    <n v="136.32"/>
    <n v="9.65"/>
    <n v="110.72"/>
    <n v="-45.58"/>
    <n v="32.6"/>
    <n v="243.71"/>
    <n v="-78.180000000000007"/>
  </r>
  <r>
    <x v="5"/>
    <x v="1"/>
    <x v="0"/>
    <s v="2361200"/>
    <n v="700084"/>
    <s v="Accrued PTO"/>
    <s v="Milgard-Fam Med"/>
    <x v="0"/>
    <m/>
    <n v="0"/>
    <n v="0"/>
    <n v="0"/>
    <n v="0"/>
    <n v="0"/>
    <n v="-280.39"/>
    <n v="-1683.01"/>
    <n v="-983.92"/>
    <n v="626.07000000000005"/>
    <n v="1107.1400000000001"/>
    <n v="792.95"/>
    <n v="358.09"/>
    <n v="-63.069999999999879"/>
    <n v="434.86000000000007"/>
  </r>
  <r>
    <x v="6"/>
    <x v="1"/>
    <x v="0"/>
    <s v="2361200"/>
    <n v="713010"/>
    <s v="Benefits-FICA/Medicare"/>
    <s v="Milgard-Fam Med"/>
    <x v="0"/>
    <m/>
    <n v="0"/>
    <n v="0"/>
    <n v="0"/>
    <n v="0"/>
    <n v="0"/>
    <n v="3255.03"/>
    <n v="4883.71"/>
    <n v="4847.8500000000004"/>
    <n v="4945.4399999999996"/>
    <n v="5478.53"/>
    <n v="6101.97"/>
    <n v="3332.12"/>
    <n v="32844.65"/>
    <n v="2769.8500000000004"/>
  </r>
  <r>
    <x v="6"/>
    <x v="1"/>
    <x v="0"/>
    <s v="2361200"/>
    <n v="713090"/>
    <s v="Benefits-Allocated Amounts"/>
    <s v="Milgard-Fam Med"/>
    <x v="0"/>
    <m/>
    <n v="0"/>
    <n v="0"/>
    <n v="0"/>
    <n v="0"/>
    <n v="0"/>
    <n v="6653.82"/>
    <n v="6763.25"/>
    <n v="8347.6299999999992"/>
    <n v="8835.98"/>
    <n v="9462.2000000000007"/>
    <n v="9869.7199999999993"/>
    <n v="11407.28"/>
    <n v="61339.88"/>
    <n v="-1537.5600000000013"/>
  </r>
  <r>
    <x v="6"/>
    <x v="1"/>
    <x v="0"/>
    <s v="2361200"/>
    <n v="713096"/>
    <s v="Employee Recognition"/>
    <s v="Milgard-Fam Med"/>
    <x v="0"/>
    <n v="1017"/>
    <n v="0"/>
    <n v="0"/>
    <n v="0"/>
    <n v="0"/>
    <n v="0"/>
    <n v="0"/>
    <n v="0"/>
    <n v="0"/>
    <n v="0"/>
    <n v="59.3"/>
    <n v="0"/>
    <n v="0"/>
    <n v="59.3"/>
    <n v="0"/>
  </r>
  <r>
    <x v="0"/>
    <x v="1"/>
    <x v="0"/>
    <s v="2361200"/>
    <n v="740020"/>
    <s v="Education-Registration Fees"/>
    <s v="Milgard-Fam Med"/>
    <x v="0"/>
    <m/>
    <n v="0"/>
    <n v="0"/>
    <n v="0"/>
    <n v="0"/>
    <n v="0"/>
    <n v="0"/>
    <n v="250"/>
    <n v="0"/>
    <n v="0"/>
    <n v="0"/>
    <n v="0"/>
    <n v="0"/>
    <n v="250"/>
    <n v="0"/>
  </r>
  <r>
    <x v="0"/>
    <x v="1"/>
    <x v="0"/>
    <s v="2361200"/>
    <n v="740022"/>
    <s v="Education-Physician"/>
    <s v="Milgard-Fam Med"/>
    <x v="0"/>
    <m/>
    <n v="0"/>
    <n v="0"/>
    <n v="0"/>
    <n v="0"/>
    <n v="0"/>
    <n v="0"/>
    <n v="0"/>
    <n v="795"/>
    <n v="795"/>
    <n v="0"/>
    <n v="0"/>
    <n v="0"/>
    <n v="1590"/>
    <n v="0"/>
  </r>
  <r>
    <x v="0"/>
    <x v="1"/>
    <x v="0"/>
    <s v="2361200"/>
    <n v="740023"/>
    <s v="Education-Advanced Practice Clinician"/>
    <s v="Milgard-Fam Med"/>
    <x v="0"/>
    <m/>
    <n v="0"/>
    <n v="0"/>
    <n v="0"/>
    <n v="0"/>
    <n v="0"/>
    <n v="0"/>
    <n v="0"/>
    <n v="0"/>
    <n v="0"/>
    <n v="0"/>
    <n v="0"/>
    <n v="699"/>
    <n v="699"/>
    <n v="-699"/>
  </r>
  <r>
    <x v="8"/>
    <x v="1"/>
    <x v="0"/>
    <s v="2361200"/>
    <n v="741012"/>
    <s v="Physician Liab Insurance-CHI Program"/>
    <s v="Milgard-Fam Med"/>
    <x v="0"/>
    <m/>
    <n v="0"/>
    <n v="0"/>
    <n v="0"/>
    <n v="0"/>
    <n v="0"/>
    <n v="899.96"/>
    <n v="899.97"/>
    <n v="899.96"/>
    <n v="899.97"/>
    <n v="899.96"/>
    <n v="899.97"/>
    <n v="899.96"/>
    <n v="6299.7500000000009"/>
    <n v="9.9999999999909051E-3"/>
  </r>
  <r>
    <x v="0"/>
    <x v="1"/>
    <x v="0"/>
    <s v="2361200"/>
    <n v="743022"/>
    <s v="Dues-Physician"/>
    <s v="Milgard-Fam Med"/>
    <x v="0"/>
    <m/>
    <n v="0"/>
    <n v="0"/>
    <n v="0"/>
    <n v="0"/>
    <n v="0"/>
    <n v="0"/>
    <n v="200"/>
    <n v="570"/>
    <n v="0"/>
    <n v="0"/>
    <n v="0"/>
    <n v="0"/>
    <n v="770"/>
    <n v="0"/>
  </r>
  <r>
    <x v="0"/>
    <x v="1"/>
    <x v="0"/>
    <s v="2361200"/>
    <n v="743023"/>
    <s v="Dues-Advanced Practice Clinician"/>
    <s v="Milgard-Fam Med"/>
    <x v="0"/>
    <m/>
    <n v="0"/>
    <n v="0"/>
    <n v="0"/>
    <n v="0"/>
    <n v="0"/>
    <n v="0"/>
    <n v="0"/>
    <n v="0"/>
    <n v="0"/>
    <n v="0"/>
    <n v="135"/>
    <n v="0"/>
    <n v="135"/>
    <n v="135"/>
  </r>
  <r>
    <x v="0"/>
    <x v="1"/>
    <x v="0"/>
    <s v="2361200"/>
    <n v="743030"/>
    <s v="Subscriptions--Institutional"/>
    <s v="Milgard-Fam Med"/>
    <x v="0"/>
    <m/>
    <n v="0"/>
    <n v="0"/>
    <n v="0"/>
    <n v="0"/>
    <n v="0"/>
    <n v="0"/>
    <n v="0"/>
    <n v="0"/>
    <n v="0"/>
    <n v="243.55"/>
    <n v="0"/>
    <n v="0"/>
    <n v="243.55"/>
    <n v="0"/>
  </r>
  <r>
    <x v="0"/>
    <x v="1"/>
    <x v="0"/>
    <s v="2361200"/>
    <n v="749510"/>
    <s v="Miscellaneous Expenses"/>
    <s v="Milgard-Fam Med"/>
    <x v="0"/>
    <m/>
    <n v="0"/>
    <n v="0"/>
    <n v="0"/>
    <n v="0"/>
    <n v="0"/>
    <n v="1429.08"/>
    <n v="-955"/>
    <n v="0"/>
    <n v="93.12"/>
    <n v="575.13"/>
    <n v="1050"/>
    <n v="-1430"/>
    <n v="762.32999999999993"/>
    <n v="2480"/>
  </r>
  <r>
    <x v="0"/>
    <x v="1"/>
    <x v="0"/>
    <s v="2361200"/>
    <n v="749512"/>
    <s v="Licenses-Physician"/>
    <s v="Milgard-Fam Med"/>
    <x v="0"/>
    <n v="2000"/>
    <n v="0"/>
    <n v="0"/>
    <n v="0"/>
    <n v="0"/>
    <n v="0"/>
    <n v="0"/>
    <n v="955"/>
    <n v="0"/>
    <n v="0"/>
    <n v="0"/>
    <n v="0"/>
    <n v="0"/>
    <n v="955"/>
    <n v="0"/>
  </r>
  <r>
    <x v="0"/>
    <x v="1"/>
    <x v="0"/>
    <s v="2361200"/>
    <n v="749513"/>
    <s v="Licenses-Advanced Practice Clinician"/>
    <s v="Milgard-Fam Med"/>
    <x v="0"/>
    <n v="2000"/>
    <n v="0"/>
    <n v="0"/>
    <n v="0"/>
    <n v="0"/>
    <n v="0"/>
    <n v="0"/>
    <n v="0"/>
    <n v="0"/>
    <n v="0"/>
    <n v="0"/>
    <n v="245"/>
    <n v="731"/>
    <n v="976"/>
    <n v="-486"/>
  </r>
  <r>
    <x v="0"/>
    <x v="1"/>
    <x v="0"/>
    <s v="2361200"/>
    <n v="749530"/>
    <s v="Travel"/>
    <s v="Milgard-Fam Med"/>
    <x v="0"/>
    <m/>
    <n v="0"/>
    <n v="0"/>
    <n v="0"/>
    <n v="0"/>
    <n v="0"/>
    <n v="6"/>
    <n v="0"/>
    <n v="0"/>
    <n v="40"/>
    <n v="50"/>
    <n v="0"/>
    <n v="0"/>
    <n v="96"/>
    <n v="0"/>
  </r>
  <r>
    <x v="0"/>
    <x v="1"/>
    <x v="0"/>
    <s v="2361200"/>
    <n v="749530"/>
    <s v="Mileage"/>
    <s v="Milgard-Fam Med"/>
    <x v="0"/>
    <n v="1001"/>
    <n v="0"/>
    <n v="0"/>
    <n v="0"/>
    <n v="0"/>
    <n v="0"/>
    <n v="29.43"/>
    <n v="0"/>
    <n v="0"/>
    <n v="129.34"/>
    <n v="191.4"/>
    <n v="0"/>
    <n v="0"/>
    <n v="350.17"/>
    <n v="0"/>
  </r>
  <r>
    <x v="0"/>
    <x v="1"/>
    <x v="0"/>
    <s v="2361200"/>
    <n v="749532"/>
    <s v="Travel-Physician"/>
    <s v="Milgard-Fam Med"/>
    <x v="0"/>
    <m/>
    <n v="0"/>
    <n v="0"/>
    <n v="0"/>
    <n v="0"/>
    <n v="0"/>
    <n v="0"/>
    <n v="0"/>
    <n v="2131.6999999999998"/>
    <n v="1909.6"/>
    <n v="0"/>
    <n v="0"/>
    <n v="345.73"/>
    <n v="4387.03"/>
    <n v="-345.73"/>
  </r>
  <r>
    <x v="1"/>
    <x v="1"/>
    <x v="0"/>
    <s v="2450200"/>
    <n v="400029"/>
    <s v="MD Practice Other Rev--Medicare"/>
    <s v="FMC-Burien FM"/>
    <x v="0"/>
    <n v="1100"/>
    <n v="-2717"/>
    <n v="-14809"/>
    <n v="-5371"/>
    <n v="-3287"/>
    <n v="-3055"/>
    <n v="-4540"/>
    <n v="-4976"/>
    <n v="-4471"/>
    <n v="-6330"/>
    <n v="-7095"/>
    <n v="-4339"/>
    <n v="-3723"/>
    <n v="-64713"/>
    <n v="-616"/>
  </r>
  <r>
    <x v="1"/>
    <x v="1"/>
    <x v="0"/>
    <s v="2450200"/>
    <n v="400029"/>
    <s v="MD Practice Other Rev--Medicaid"/>
    <s v="FMC-Burien FM"/>
    <x v="0"/>
    <n v="1200"/>
    <n v="-1075"/>
    <n v="-12902"/>
    <n v="-3339"/>
    <n v="-2157"/>
    <n v="-2753"/>
    <n v="-4479"/>
    <n v="-5310"/>
    <n v="-6738"/>
    <n v="-8026"/>
    <n v="-5199"/>
    <n v="-3692"/>
    <n v="-1838"/>
    <n v="-57508"/>
    <n v="-1854"/>
  </r>
  <r>
    <x v="1"/>
    <x v="1"/>
    <x v="0"/>
    <s v="2450200"/>
    <n v="400029"/>
    <s v="MD Practice Other Rev--Comm Insurance"/>
    <s v="FMC-Burien FM"/>
    <x v="0"/>
    <n v="1300"/>
    <n v="-53"/>
    <n v="-1578"/>
    <n v="-348"/>
    <n v="-347"/>
    <n v="-273"/>
    <n v="-418"/>
    <n v="-43"/>
    <n v="-484"/>
    <n v="-695"/>
    <n v="-461"/>
    <n v="-758"/>
    <n v="-328"/>
    <n v="-5786"/>
    <n v="-430"/>
  </r>
  <r>
    <x v="1"/>
    <x v="1"/>
    <x v="0"/>
    <s v="2450200"/>
    <n v="400029"/>
    <s v="MD Practice Other Rev--BCBS Comm"/>
    <s v="FMC-Burien FM"/>
    <x v="0"/>
    <n v="1301"/>
    <n v="-510"/>
    <n v="-5395"/>
    <n v="-1763"/>
    <n v="-1521"/>
    <n v="-2252"/>
    <n v="-3521"/>
    <n v="-4014"/>
    <n v="-2813"/>
    <n v="-4711"/>
    <n v="-5571"/>
    <n v="-2315"/>
    <n v="-2311"/>
    <n v="-36697"/>
    <n v="-4"/>
  </r>
  <r>
    <x v="1"/>
    <x v="1"/>
    <x v="0"/>
    <s v="2450200"/>
    <n v="400029"/>
    <s v="MD Practice Other Rev--Managed Care"/>
    <s v="FMC-Burien FM"/>
    <x v="0"/>
    <n v="1400"/>
    <n v="-2038"/>
    <n v="-15746"/>
    <n v="-5908"/>
    <n v="-7049"/>
    <n v="-5367"/>
    <n v="-8179"/>
    <n v="-13204"/>
    <n v="-12780"/>
    <n v="-17455"/>
    <n v="-13431"/>
    <n v="-7962"/>
    <n v="-6128"/>
    <n v="-115247"/>
    <n v="-1834"/>
  </r>
  <r>
    <x v="1"/>
    <x v="1"/>
    <x v="0"/>
    <s v="2450200"/>
    <n v="400029"/>
    <s v="MD Practice Other Rev--Self Pay"/>
    <s v="FMC-Burien FM"/>
    <x v="0"/>
    <n v="1500"/>
    <n v="99"/>
    <n v="-897.32"/>
    <n v="-365"/>
    <n v="-168"/>
    <n v="-133"/>
    <n v="-658"/>
    <n v="-333"/>
    <n v="-575"/>
    <n v="-594"/>
    <n v="-714"/>
    <n v="-277"/>
    <n v="-124"/>
    <n v="-4739.32"/>
    <n v="-153"/>
  </r>
  <r>
    <x v="1"/>
    <x v="1"/>
    <x v="0"/>
    <s v="2450200"/>
    <n v="400029"/>
    <s v="MD Practice Other Rev--Other"/>
    <s v="FMC-Burien FM"/>
    <x v="0"/>
    <n v="1700"/>
    <n v="0"/>
    <n v="-3280"/>
    <n v="-634"/>
    <n v="-78"/>
    <n v="-124"/>
    <n v="-163"/>
    <n v="-43"/>
    <n v="-169"/>
    <n v="-383"/>
    <n v="-178"/>
    <n v="29"/>
    <n v="0"/>
    <n v="-5023"/>
    <n v="29"/>
  </r>
  <r>
    <x v="1"/>
    <x v="1"/>
    <x v="0"/>
    <s v="2450200"/>
    <n v="400040"/>
    <s v="Physician Svcs Rev--Medicare"/>
    <s v="FMC-Burien FM"/>
    <x v="0"/>
    <n v="1100"/>
    <n v="-245366"/>
    <n v="-426285"/>
    <n v="-326387"/>
    <n v="-400162.6"/>
    <n v="-284202.05"/>
    <n v="-303807"/>
    <n v="-262490.40000000002"/>
    <n v="-235370"/>
    <n v="-267598"/>
    <n v="-336663"/>
    <n v="-330912"/>
    <n v="-340090"/>
    <n v="-3759333.0500000003"/>
    <n v="9178"/>
  </r>
  <r>
    <x v="1"/>
    <x v="1"/>
    <x v="0"/>
    <s v="2450200"/>
    <n v="400040"/>
    <s v="Physician Svcs Rev--Medicaid"/>
    <s v="FMC-Burien FM"/>
    <x v="0"/>
    <n v="1200"/>
    <n v="-102916.01"/>
    <n v="-210945.66"/>
    <n v="-161808.79"/>
    <n v="-151157.85"/>
    <n v="-119492.08"/>
    <n v="-112904.92"/>
    <n v="-95648.41"/>
    <n v="-105605.2"/>
    <n v="-119915.64"/>
    <n v="-116123.04"/>
    <n v="-134548.44"/>
    <n v="-110051.61"/>
    <n v="-1541117.65"/>
    <n v="-24496.83"/>
  </r>
  <r>
    <x v="1"/>
    <x v="1"/>
    <x v="0"/>
    <s v="2450200"/>
    <n v="400040"/>
    <s v="Physician Svcs Rev--Comm Insurance"/>
    <s v="FMC-Burien FM"/>
    <x v="0"/>
    <n v="1300"/>
    <n v="-10272.43"/>
    <n v="-33305.82"/>
    <n v="-25616.25"/>
    <n v="-28054.83"/>
    <n v="-14474.39"/>
    <n v="-20016"/>
    <n v="-14993.14"/>
    <n v="-18698"/>
    <n v="-19186"/>
    <n v="-21235"/>
    <n v="-16189"/>
    <n v="-20335"/>
    <n v="-242375.86"/>
    <n v="4146"/>
  </r>
  <r>
    <x v="1"/>
    <x v="1"/>
    <x v="0"/>
    <s v="2450200"/>
    <n v="400040"/>
    <s v="Physician Svcs Rev--BCBS Comm"/>
    <s v="FMC-Burien FM"/>
    <x v="0"/>
    <n v="1301"/>
    <n v="-71541.77"/>
    <n v="-155668.43"/>
    <n v="-115323.74"/>
    <n v="-118173.17"/>
    <n v="-94594.97"/>
    <n v="-85738.13"/>
    <n v="-93946.96"/>
    <n v="-76918.94"/>
    <n v="-93278.399999999994"/>
    <n v="-118898.78"/>
    <n v="-115561.91"/>
    <n v="-100159.37"/>
    <n v="-1239804.5699999998"/>
    <n v="-15402.540000000008"/>
  </r>
  <r>
    <x v="1"/>
    <x v="1"/>
    <x v="0"/>
    <s v="2450200"/>
    <n v="400040"/>
    <s v="Physician Svcs Rev--Managed Care"/>
    <s v="FMC-Burien FM"/>
    <x v="0"/>
    <n v="1400"/>
    <n v="-221978.27"/>
    <n v="-461972.31"/>
    <n v="-335159.15999999997"/>
    <n v="-424832.78"/>
    <n v="-255897.54"/>
    <n v="-307181.40999999997"/>
    <n v="-272255.67"/>
    <n v="-249195.5"/>
    <n v="-312303.95"/>
    <n v="-335579.26"/>
    <n v="-347275"/>
    <n v="-296628.64"/>
    <n v="-3820259.4900000007"/>
    <n v="-50646.359999999986"/>
  </r>
  <r>
    <x v="1"/>
    <x v="1"/>
    <x v="0"/>
    <s v="2450200"/>
    <n v="400040"/>
    <s v="Physician Svcs Rev--Self Pay"/>
    <s v="FMC-Burien FM"/>
    <x v="0"/>
    <n v="1500"/>
    <n v="-3275"/>
    <n v="-18529.310000000001"/>
    <n v="-12028.68"/>
    <n v="-11444.95"/>
    <n v="-6417.76"/>
    <n v="-10152.879999999999"/>
    <n v="-8411.93"/>
    <n v="-5330"/>
    <n v="-6302"/>
    <n v="-7017"/>
    <n v="-8994"/>
    <n v="-7867.05"/>
    <n v="-105770.56000000001"/>
    <n v="-1126.9499999999998"/>
  </r>
  <r>
    <x v="1"/>
    <x v="1"/>
    <x v="0"/>
    <s v="2450200"/>
    <n v="400040"/>
    <s v="Physician Svcs Rev--Other"/>
    <s v="FMC-Burien FM"/>
    <x v="0"/>
    <n v="1700"/>
    <n v="-3079.14"/>
    <n v="-21846"/>
    <n v="-10508.26"/>
    <n v="-12485.26"/>
    <n v="-7715.13"/>
    <n v="-9202.02"/>
    <n v="-9945.25"/>
    <n v="-6689"/>
    <n v="-10471.129999999999"/>
    <n v="-11381.88"/>
    <n v="-8487"/>
    <n v="-11195.91"/>
    <n v="-123005.98000000001"/>
    <n v="2708.91"/>
  </r>
  <r>
    <x v="2"/>
    <x v="1"/>
    <x v="0"/>
    <s v="2450200"/>
    <n v="450029"/>
    <s v="Contr Allow--MD Other-Medicare"/>
    <s v="FMC-Burien FM"/>
    <x v="0"/>
    <n v="1100"/>
    <n v="2124.84"/>
    <n v="8773.74"/>
    <n v="5417.65"/>
    <n v="2965.75"/>
    <n v="2156"/>
    <n v="2375.66"/>
    <n v="3970.86"/>
    <n v="2277.58"/>
    <n v="3944.26"/>
    <n v="5234.5"/>
    <n v="4010.41"/>
    <n v="3282.96"/>
    <n v="46534.21"/>
    <n v="727.44999999999982"/>
  </r>
  <r>
    <x v="2"/>
    <x v="1"/>
    <x v="0"/>
    <s v="2450200"/>
    <n v="450029"/>
    <s v="Contr Allow--MD Other-Medicaid"/>
    <s v="FMC-Burien FM"/>
    <x v="0"/>
    <n v="1200"/>
    <n v="751.65"/>
    <n v="9012.83"/>
    <n v="3762.66"/>
    <n v="2071.71"/>
    <n v="1729.62"/>
    <n v="2141.6999999999998"/>
    <n v="3349.99"/>
    <n v="3742.26"/>
    <n v="4778.55"/>
    <n v="5457.65"/>
    <n v="2849.9"/>
    <n v="1791.59"/>
    <n v="41440.109999999993"/>
    <n v="1058.3100000000002"/>
  </r>
  <r>
    <x v="2"/>
    <x v="1"/>
    <x v="0"/>
    <s v="2450200"/>
    <n v="450029"/>
    <s v="Contr Allow--MD Other-Comm Insurance"/>
    <s v="FMC-Burien FM"/>
    <x v="0"/>
    <n v="1300"/>
    <n v="53.73"/>
    <n v="800.52"/>
    <n v="171.45"/>
    <n v="213.16"/>
    <n v="91.5"/>
    <n v="122.96"/>
    <n v="136.27000000000001"/>
    <n v="73.260000000000005"/>
    <n v="339.46"/>
    <n v="210.9"/>
    <n v="275.01"/>
    <n v="209.57"/>
    <n v="2697.7900000000004"/>
    <n v="65.44"/>
  </r>
  <r>
    <x v="2"/>
    <x v="1"/>
    <x v="0"/>
    <s v="2450200"/>
    <n v="450029"/>
    <s v="Contr Allow--MD Other BCBS Comm"/>
    <s v="FMC-Burien FM"/>
    <x v="0"/>
    <n v="1301"/>
    <n v="448.22"/>
    <n v="2514.64"/>
    <n v="1473.7"/>
    <n v="1022.15"/>
    <n v="1351.54"/>
    <n v="1280.6199999999999"/>
    <n v="2553.5300000000002"/>
    <n v="1637.61"/>
    <n v="3025.37"/>
    <n v="3706.86"/>
    <n v="1694.14"/>
    <n v="2088.63"/>
    <n v="22797.010000000002"/>
    <n v="-394.49"/>
  </r>
  <r>
    <x v="2"/>
    <x v="1"/>
    <x v="0"/>
    <s v="2450200"/>
    <n v="450029"/>
    <s v="Contr Allow--MD Other-Managed Care"/>
    <s v="FMC-Burien FM"/>
    <x v="0"/>
    <n v="1400"/>
    <n v="1155.23"/>
    <n v="8635.35"/>
    <n v="4184.6899999999996"/>
    <n v="3894.04"/>
    <n v="4439.5200000000004"/>
    <n v="3494.5"/>
    <n v="6078.01"/>
    <n v="7499.81"/>
    <n v="9006.76"/>
    <n v="11447.38"/>
    <n v="6983.24"/>
    <n v="4228"/>
    <n v="71046.53"/>
    <n v="2755.24"/>
  </r>
  <r>
    <x v="2"/>
    <x v="1"/>
    <x v="0"/>
    <s v="2450200"/>
    <n v="450029"/>
    <s v="Admin Adjust-MD Other-Self Pay"/>
    <s v="FMC-Burien FM"/>
    <x v="0"/>
    <n v="1600"/>
    <n v="27.78"/>
    <n v="698.47"/>
    <n v="312.52999999999997"/>
    <n v="196.7"/>
    <n v="148.52000000000001"/>
    <n v="233.84"/>
    <n v="368.36"/>
    <n v="337.41"/>
    <n v="301.49"/>
    <n v="376.22"/>
    <n v="203.71"/>
    <n v="194.88"/>
    <n v="3399.91"/>
    <n v="8.8300000000000125"/>
  </r>
  <r>
    <x v="2"/>
    <x v="1"/>
    <x v="0"/>
    <s v="2450200"/>
    <n v="450029"/>
    <s v="Contr Allow--MD Other-Other"/>
    <s v="FMC-Burien FM"/>
    <x v="0"/>
    <n v="1700"/>
    <n v="0"/>
    <n v="1381.47"/>
    <n v="580.33000000000004"/>
    <n v="610.11"/>
    <n v="69.19"/>
    <n v="68.760000000000005"/>
    <n v="31.66"/>
    <n v="157.99"/>
    <n v="402.67"/>
    <n v="177.22"/>
    <n v="36.15"/>
    <n v="0"/>
    <n v="3515.55"/>
    <n v="36.15"/>
  </r>
  <r>
    <x v="2"/>
    <x v="1"/>
    <x v="0"/>
    <s v="2450200"/>
    <n v="450040"/>
    <s v="Contr Allow--Phys Svcs--Mcare"/>
    <s v="FMC-Burien FM"/>
    <x v="0"/>
    <n v="1100"/>
    <n v="163526.85999999999"/>
    <n v="237272.24"/>
    <n v="190574.07999999999"/>
    <n v="262706.3"/>
    <n v="192946.51"/>
    <n v="178339.81"/>
    <n v="199859.31"/>
    <n v="134803.84"/>
    <n v="155763.85999999999"/>
    <n v="170214.14"/>
    <n v="211576.72"/>
    <n v="227623.97"/>
    <n v="2325207.6400000006"/>
    <n v="-16047.25"/>
  </r>
  <r>
    <x v="2"/>
    <x v="1"/>
    <x v="0"/>
    <s v="2450200"/>
    <n v="450040"/>
    <s v="Contr Allow--Phys Svcs--Mcaid"/>
    <s v="FMC-Burien FM"/>
    <x v="0"/>
    <n v="1200"/>
    <n v="83358.23"/>
    <n v="160107.93"/>
    <n v="126355.64"/>
    <n v="120010.64"/>
    <n v="92076.88"/>
    <n v="71561.23"/>
    <n v="77037.5"/>
    <n v="65996.289999999994"/>
    <n v="82011.98"/>
    <n v="95839.25"/>
    <n v="105004.45"/>
    <n v="86572.63"/>
    <n v="1165932.6499999999"/>
    <n v="18431.819999999992"/>
  </r>
  <r>
    <x v="2"/>
    <x v="1"/>
    <x v="0"/>
    <s v="2450200"/>
    <n v="450040"/>
    <s v="Contr Allow--Phys Svcs--Comm Insurance"/>
    <s v="FMC-Burien FM"/>
    <x v="0"/>
    <n v="1300"/>
    <n v="6130.07"/>
    <n v="8695.44"/>
    <n v="4921.9399999999996"/>
    <n v="8928.2999999999993"/>
    <n v="4954.53"/>
    <n v="4397.7"/>
    <n v="5568.15"/>
    <n v="3685.42"/>
    <n v="7085.57"/>
    <n v="5472.05"/>
    <n v="5901.09"/>
    <n v="5138"/>
    <n v="70878.259999999995"/>
    <n v="763.09000000000015"/>
  </r>
  <r>
    <x v="2"/>
    <x v="1"/>
    <x v="0"/>
    <s v="2450200"/>
    <n v="450040"/>
    <s v="Contr Allow--Phys Svcs--BCBS Comm Ins"/>
    <s v="FMC-Burien FM"/>
    <x v="0"/>
    <n v="1301"/>
    <n v="36579.74"/>
    <n v="53829.4"/>
    <n v="40844.06"/>
    <n v="35516.57"/>
    <n v="38481.21"/>
    <n v="29283.599999999999"/>
    <n v="26437.439999999999"/>
    <n v="23173.52"/>
    <n v="33164.32"/>
    <n v="27871.61"/>
    <n v="33481.69"/>
    <n v="42109.88"/>
    <n v="420773.04000000004"/>
    <n v="-8628.1899999999951"/>
  </r>
  <r>
    <x v="2"/>
    <x v="1"/>
    <x v="0"/>
    <s v="2450200"/>
    <n v="450040"/>
    <s v="Contr Allow--Phys Svcs--Managed Care"/>
    <s v="FMC-Burien FM"/>
    <x v="0"/>
    <n v="1400"/>
    <n v="98400.53"/>
    <n v="177404.54"/>
    <n v="122662.89"/>
    <n v="142559.60999999999"/>
    <n v="134535.94"/>
    <n v="81083.56"/>
    <n v="89501.3"/>
    <n v="85956.99"/>
    <n v="104768.39"/>
    <n v="110086.06"/>
    <n v="139144.22"/>
    <n v="102912.58"/>
    <n v="1389016.61"/>
    <n v="36231.64"/>
  </r>
  <r>
    <x v="2"/>
    <x v="1"/>
    <x v="0"/>
    <s v="2450200"/>
    <n v="450040"/>
    <s v="Contr Allow--Phys Svcs--BCBS Mgnd Care"/>
    <s v="FMC-Burien FM"/>
    <x v="0"/>
    <n v="1401"/>
    <n v="-63992.72"/>
    <n v="-15784.87"/>
    <n v="11811.41"/>
    <n v="-5892.63"/>
    <n v="-99894.77"/>
    <n v="48676.3"/>
    <n v="-15118.13"/>
    <n v="33192.46"/>
    <n v="12952.21"/>
    <n v="36268.92"/>
    <n v="-22549.52"/>
    <n v="-42911.88"/>
    <n v="-123243.22000000003"/>
    <n v="20362.359999999997"/>
  </r>
  <r>
    <x v="2"/>
    <x v="1"/>
    <x v="0"/>
    <s v="2450200"/>
    <n v="450040"/>
    <s v="Prompt Pay Disc-Phys Svcs-Self Pay"/>
    <s v="FMC-Burien FM"/>
    <x v="0"/>
    <n v="1500"/>
    <n v="0"/>
    <n v="0"/>
    <n v="0"/>
    <n v="-405.64"/>
    <n v="118.78"/>
    <n v="0"/>
    <n v="293.10000000000002"/>
    <n v="0"/>
    <n v="0"/>
    <n v="0"/>
    <n v="0"/>
    <n v="0"/>
    <n v="6.2400000000000091"/>
    <n v="0"/>
  </r>
  <r>
    <x v="2"/>
    <x v="1"/>
    <x v="0"/>
    <s v="2450200"/>
    <n v="450040"/>
    <s v="Admin Adjust-Phys Svcs-Self Pay"/>
    <s v="FMC-Burien FM"/>
    <x v="0"/>
    <n v="1600"/>
    <n v="1749.48"/>
    <n v="9259.49"/>
    <n v="8562.8799999999992"/>
    <n v="6247.3"/>
    <n v="3825.57"/>
    <n v="3697.2"/>
    <n v="20500.96"/>
    <n v="3088.94"/>
    <n v="3829.5"/>
    <n v="2671.53"/>
    <n v="4007.46"/>
    <n v="7314.39"/>
    <n v="74754.7"/>
    <n v="-3306.9300000000003"/>
  </r>
  <r>
    <x v="2"/>
    <x v="1"/>
    <x v="0"/>
    <s v="2450200"/>
    <n v="450040"/>
    <s v="Contr Allow--Phys Svcs--Other"/>
    <s v="FMC-Burien FM"/>
    <x v="0"/>
    <n v="1700"/>
    <n v="1388.36"/>
    <n v="11886.88"/>
    <n v="5356.2"/>
    <n v="5537.13"/>
    <n v="4278.95"/>
    <n v="5806.11"/>
    <n v="3082.79"/>
    <n v="4435.1000000000004"/>
    <n v="5133.87"/>
    <n v="5461.16"/>
    <n v="5043.55"/>
    <n v="4491.84"/>
    <n v="61901.94"/>
    <n v="551.71"/>
  </r>
  <r>
    <x v="3"/>
    <x v="1"/>
    <x v="0"/>
    <s v="2450200"/>
    <n v="470040"/>
    <s v="Charity Care-Physician Svcs"/>
    <s v="FMC-Burien FM"/>
    <x v="0"/>
    <m/>
    <n v="-1283.49"/>
    <n v="7321.93"/>
    <n v="710.37"/>
    <n v="941.89"/>
    <n v="-1147.5"/>
    <n v="1219.02"/>
    <n v="1168.23"/>
    <n v="2031.19"/>
    <n v="5791.49"/>
    <n v="6237.35"/>
    <n v="-138.02000000000001"/>
    <n v="16308.11"/>
    <n v="39160.570000000007"/>
    <n v="-16446.13"/>
  </r>
  <r>
    <x v="4"/>
    <x v="1"/>
    <x v="0"/>
    <s v="2450200"/>
    <n v="490010"/>
    <s v="Provision for Bad Debts"/>
    <s v="FMC-Burien FM"/>
    <x v="0"/>
    <m/>
    <n v="425.45"/>
    <n v="27611.61"/>
    <n v="15703.2"/>
    <n v="11615.33"/>
    <n v="9269.86"/>
    <n v="10981.22"/>
    <n v="1668.24"/>
    <n v="9995.7900000000009"/>
    <n v="24657.75"/>
    <n v="12962.95"/>
    <n v="3084.6"/>
    <n v="5396.9"/>
    <n v="133372.90000000002"/>
    <n v="-2312.2999999999997"/>
  </r>
  <r>
    <x v="14"/>
    <x v="1"/>
    <x v="0"/>
    <s v="2450200"/>
    <n v="600050"/>
    <s v="Miscellaneous Revenue"/>
    <s v="FMC-Burien FM"/>
    <x v="0"/>
    <m/>
    <n v="0"/>
    <n v="0"/>
    <n v="0"/>
    <n v="0"/>
    <n v="0"/>
    <n v="0"/>
    <n v="-50"/>
    <n v="0"/>
    <n v="0"/>
    <n v="0"/>
    <n v="0"/>
    <n v="0"/>
    <n v="-50"/>
    <n v="0"/>
  </r>
  <r>
    <x v="5"/>
    <x v="1"/>
    <x v="0"/>
    <s v="2450200"/>
    <n v="700018"/>
    <s v="Salaries-Supervisory-Productive"/>
    <s v="FMC-Burien FM"/>
    <x v="0"/>
    <m/>
    <n v="4621.2299999999996"/>
    <n v="5425.41"/>
    <n v="4681.2"/>
    <n v="5955.39"/>
    <n v="5099.33"/>
    <n v="4118.68"/>
    <n v="5434.46"/>
    <n v="4452.1000000000004"/>
    <n v="1702.28"/>
    <n v="0"/>
    <n v="0"/>
    <n v="6547.2"/>
    <n v="48037.279999999992"/>
    <n v="-6547.2"/>
  </r>
  <r>
    <x v="5"/>
    <x v="1"/>
    <x v="0"/>
    <s v="2450200"/>
    <n v="700022"/>
    <s v="Salaries-Physician-Productive"/>
    <s v="FMC-Burien FM"/>
    <x v="0"/>
    <m/>
    <n v="173116.97"/>
    <n v="201115.51"/>
    <n v="151282.96"/>
    <n v="184189.18"/>
    <n v="137015.21"/>
    <n v="125624.45"/>
    <n v="133676.81"/>
    <n v="136423.15"/>
    <n v="169138.63"/>
    <n v="169099.8"/>
    <n v="179940.78"/>
    <n v="150117.03"/>
    <n v="1910740.4799999997"/>
    <n v="29823.75"/>
  </r>
  <r>
    <x v="5"/>
    <x v="1"/>
    <x v="0"/>
    <s v="2450200"/>
    <n v="700022"/>
    <s v="Salaries-Physician-Other"/>
    <s v="FMC-Burien FM"/>
    <x v="0"/>
    <n v="2000"/>
    <n v="0"/>
    <n v="4765.5200000000004"/>
    <n v="3069.42"/>
    <n v="1418.4"/>
    <n v="0"/>
    <n v="1063.8"/>
    <n v="3175.98"/>
    <n v="-311.94"/>
    <n v="5135.08"/>
    <n v="-1001.47"/>
    <n v="7830.46"/>
    <n v="-3132.18"/>
    <n v="22013.069999999996"/>
    <n v="10962.64"/>
  </r>
  <r>
    <x v="5"/>
    <x v="1"/>
    <x v="0"/>
    <s v="2450200"/>
    <n v="700022"/>
    <s v="Salaries-Physician-Provider Incentive"/>
    <s v="FMC-Burien FM"/>
    <x v="0"/>
    <n v="4003"/>
    <n v="0"/>
    <n v="6063.03"/>
    <n v="0"/>
    <n v="0"/>
    <n v="3322.9"/>
    <n v="0"/>
    <n v="0"/>
    <n v="780.94"/>
    <n v="0"/>
    <n v="0"/>
    <n v="0"/>
    <n v="0"/>
    <n v="10166.870000000001"/>
    <n v="0"/>
  </r>
  <r>
    <x v="5"/>
    <x v="1"/>
    <x v="0"/>
    <s v="2450200"/>
    <n v="700024"/>
    <s v="Salaries-Advanced Practice Clinician-Productive"/>
    <s v="FMC-Burien FM"/>
    <x v="0"/>
    <m/>
    <n v="45457.01"/>
    <n v="44146.68"/>
    <n v="41365.53"/>
    <n v="47495.519999999997"/>
    <n v="42010.51"/>
    <n v="38245.42"/>
    <n v="39398.26"/>
    <n v="44549.120000000003"/>
    <n v="30904.44"/>
    <n v="31672.29"/>
    <n v="28748.69"/>
    <n v="30697.81"/>
    <n v="464691.27999999997"/>
    <n v="-1949.1200000000026"/>
  </r>
  <r>
    <x v="5"/>
    <x v="1"/>
    <x v="0"/>
    <s v="2450200"/>
    <n v="700024"/>
    <s v="Salaries-Advanced Practice Clinician-Other"/>
    <s v="FMC-Burien FM"/>
    <x v="0"/>
    <n v="2000"/>
    <n v="0"/>
    <n v="5356.72"/>
    <n v="3302.88"/>
    <n v="-431.25"/>
    <n v="0"/>
    <n v="0"/>
    <n v="0"/>
    <n v="0"/>
    <n v="1765.08"/>
    <n v="1412.06"/>
    <n v="4909.7"/>
    <n v="-1176.73"/>
    <n v="15138.46"/>
    <n v="6086.43"/>
  </r>
  <r>
    <x v="5"/>
    <x v="1"/>
    <x v="0"/>
    <s v="2450200"/>
    <n v="700024"/>
    <s v="Salaries-Advanced Practice Clinician-Provider Incentive"/>
    <s v="FMC-Burien FM"/>
    <x v="0"/>
    <n v="4003"/>
    <n v="0"/>
    <n v="2090.86"/>
    <n v="0"/>
    <n v="0"/>
    <n v="4072.95"/>
    <n v="0"/>
    <n v="0"/>
    <n v="2214.0700000000002"/>
    <n v="2191.65"/>
    <n v="0"/>
    <n v="4022.04"/>
    <n v="-5.88"/>
    <n v="14585.69"/>
    <n v="4027.92"/>
  </r>
  <r>
    <x v="5"/>
    <x v="1"/>
    <x v="0"/>
    <s v="2450200"/>
    <n v="700026"/>
    <s v="Salaries-RN-Productive"/>
    <s v="FMC-Burien FM"/>
    <x v="0"/>
    <m/>
    <n v="35488.870000000003"/>
    <n v="41376.5"/>
    <n v="38342.78"/>
    <n v="42379.03"/>
    <n v="32385.67"/>
    <n v="31267.87"/>
    <n v="24076.720000000001"/>
    <n v="31195.22"/>
    <n v="33844"/>
    <n v="32661.32"/>
    <n v="33863.35"/>
    <n v="27337.4"/>
    <n v="404218.73"/>
    <n v="6525.9499999999971"/>
  </r>
  <r>
    <x v="5"/>
    <x v="1"/>
    <x v="0"/>
    <s v="2450200"/>
    <n v="700026"/>
    <s v="Salaries-RN-OT"/>
    <s v="FMC-Burien FM"/>
    <x v="0"/>
    <n v="1000"/>
    <n v="144.85"/>
    <n v="583.04999999999995"/>
    <n v="340.39"/>
    <n v="574.16999999999996"/>
    <n v="571.32000000000005"/>
    <n v="-31.14"/>
    <n v="165.1"/>
    <n v="141.07"/>
    <n v="292.82"/>
    <n v="245.24"/>
    <n v="1430.43"/>
    <n v="1049"/>
    <n v="5506.3000000000011"/>
    <n v="381.43000000000006"/>
  </r>
  <r>
    <x v="5"/>
    <x v="1"/>
    <x v="0"/>
    <s v="2450200"/>
    <n v="700026"/>
    <s v="Salaries-RN-Other"/>
    <s v="FMC-Burien FM"/>
    <x v="0"/>
    <n v="2000"/>
    <n v="521.97"/>
    <n v="169.87"/>
    <n v="663.52"/>
    <n v="157.51"/>
    <n v="99.25"/>
    <n v="181.64"/>
    <n v="724.8"/>
    <n v="153.01"/>
    <n v="196.17"/>
    <n v="150.54"/>
    <n v="229.92"/>
    <n v="728.5"/>
    <n v="3976.7000000000007"/>
    <n v="-498.58000000000004"/>
  </r>
  <r>
    <x v="5"/>
    <x v="1"/>
    <x v="0"/>
    <s v="2450200"/>
    <n v="700030"/>
    <s v="Salaries-LPN-Productive"/>
    <s v="FMC-Burien FM"/>
    <x v="0"/>
    <m/>
    <n v="570"/>
    <n v="134.94999999999999"/>
    <n v="0"/>
    <n v="2106.73"/>
    <n v="5056.16"/>
    <n v="4340.16"/>
    <n v="4851.6099999999997"/>
    <n v="4350.05"/>
    <n v="4768.84"/>
    <n v="4687.75"/>
    <n v="5302.55"/>
    <n v="2459.66"/>
    <n v="38628.460000000006"/>
    <n v="2842.8900000000003"/>
  </r>
  <r>
    <x v="5"/>
    <x v="1"/>
    <x v="0"/>
    <s v="2450200"/>
    <n v="700030"/>
    <s v="Salaries-LPN-OT"/>
    <s v="FMC-Burien FM"/>
    <x v="0"/>
    <n v="1000"/>
    <n v="0"/>
    <n v="0"/>
    <n v="0"/>
    <n v="0"/>
    <n v="42.24"/>
    <n v="272.51"/>
    <n v="689.63"/>
    <n v="198.81"/>
    <n v="504.46"/>
    <n v="511.85"/>
    <n v="572.14"/>
    <n v="359.57"/>
    <n v="3151.21"/>
    <n v="212.57"/>
  </r>
  <r>
    <x v="5"/>
    <x v="1"/>
    <x v="0"/>
    <s v="2450200"/>
    <n v="700030"/>
    <s v="Salaries-LPN-Other"/>
    <s v="FMC-Burien FM"/>
    <x v="0"/>
    <n v="2000"/>
    <n v="0"/>
    <n v="0"/>
    <n v="0"/>
    <n v="9"/>
    <n v="0"/>
    <n v="1.5"/>
    <n v="1.5"/>
    <n v="0"/>
    <n v="0"/>
    <n v="0"/>
    <n v="0"/>
    <n v="8.76"/>
    <n v="20.759999999999998"/>
    <n v="-8.76"/>
  </r>
  <r>
    <x v="5"/>
    <x v="1"/>
    <x v="0"/>
    <s v="2450200"/>
    <n v="700032"/>
    <s v="Salaries-Other Pat Care Providers-Productive"/>
    <s v="FMC-Burien FM"/>
    <x v="0"/>
    <m/>
    <n v="40072.07"/>
    <n v="46024.33"/>
    <n v="38499.56"/>
    <n v="46917.93"/>
    <n v="50183.11"/>
    <n v="39195.49"/>
    <n v="35858.35"/>
    <n v="32285.89"/>
    <n v="35129.42"/>
    <n v="39652.9"/>
    <n v="40034.629999999997"/>
    <n v="27785.85"/>
    <n v="471639.52999999997"/>
    <n v="12248.779999999999"/>
  </r>
  <r>
    <x v="5"/>
    <x v="1"/>
    <x v="0"/>
    <s v="2450200"/>
    <n v="700032"/>
    <s v="Salaries-Other Pat Care Providers-OT"/>
    <s v="FMC-Burien FM"/>
    <x v="0"/>
    <n v="1000"/>
    <n v="1910.21"/>
    <n v="3044.91"/>
    <n v="1704.94"/>
    <n v="2829.74"/>
    <n v="1515.21"/>
    <n v="983.24"/>
    <n v="1445.07"/>
    <n v="1843.18"/>
    <n v="3407.96"/>
    <n v="2316.7199999999998"/>
    <n v="1938.51"/>
    <n v="1152.4100000000001"/>
    <n v="24092.1"/>
    <n v="786.09999999999991"/>
  </r>
  <r>
    <x v="5"/>
    <x v="1"/>
    <x v="0"/>
    <s v="2450200"/>
    <n v="700032"/>
    <s v="Salaries-Other Pat Care Providers-Other"/>
    <s v="FMC-Burien FM"/>
    <x v="0"/>
    <n v="2000"/>
    <n v="397.22"/>
    <n v="314.10000000000002"/>
    <n v="573.94000000000005"/>
    <n v="340.24"/>
    <n v="395.27"/>
    <n v="292.04000000000002"/>
    <n v="358.72"/>
    <n v="303.26"/>
    <n v="289.69"/>
    <n v="327.31"/>
    <n v="332.25"/>
    <n v="328.89"/>
    <n v="4252.9300000000012"/>
    <n v="3.3600000000000136"/>
  </r>
  <r>
    <x v="5"/>
    <x v="1"/>
    <x v="0"/>
    <s v="2450200"/>
    <n v="700054"/>
    <s v="Salaries-Management-NonProd-Other"/>
    <s v="FMC-Burien FM"/>
    <x v="0"/>
    <n v="2000"/>
    <n v="0"/>
    <n v="0"/>
    <n v="0"/>
    <n v="0"/>
    <n v="0"/>
    <n v="1463.11"/>
    <n v="-1463.11"/>
    <n v="0"/>
    <n v="0"/>
    <n v="0"/>
    <n v="0"/>
    <n v="0"/>
    <n v="0"/>
    <n v="0"/>
  </r>
  <r>
    <x v="5"/>
    <x v="1"/>
    <x v="0"/>
    <s v="2450200"/>
    <n v="700058"/>
    <s v="Salaries-Supervisory-Non-productive"/>
    <s v="FMC-Burien FM"/>
    <x v="0"/>
    <m/>
    <n v="720.19"/>
    <n v="1248.33"/>
    <n v="156.04"/>
    <n v="1212.54"/>
    <n v="392.26"/>
    <n v="2386.2199999999998"/>
    <n v="1014.96"/>
    <n v="1113.02"/>
    <n v="4648.5200000000004"/>
    <n v="4071.55"/>
    <n v="-767.24"/>
    <n v="-10.220000000000001"/>
    <n v="16186.170000000002"/>
    <n v="-757.02"/>
  </r>
  <r>
    <x v="5"/>
    <x v="1"/>
    <x v="0"/>
    <s v="2450200"/>
    <n v="700058"/>
    <s v="Salaries-Supervisory-NonProd-Other"/>
    <s v="FMC-Burien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0200"/>
    <n v="700062"/>
    <s v="Salaries-Physician-Non-productive"/>
    <s v="FMC-Burien FM"/>
    <x v="0"/>
    <m/>
    <n v="28277.02"/>
    <n v="22960.17"/>
    <n v="21233.599999999999"/>
    <n v="16836.53"/>
    <n v="28796.38"/>
    <n v="35552.89"/>
    <n v="43120.91"/>
    <n v="8173.24"/>
    <n v="8110.85"/>
    <n v="22430.87"/>
    <n v="18339.48"/>
    <n v="22085.86"/>
    <n v="275917.80000000005"/>
    <n v="-3746.380000000001"/>
  </r>
  <r>
    <x v="5"/>
    <x v="1"/>
    <x v="0"/>
    <s v="2450200"/>
    <n v="700062"/>
    <s v="Salaries-Physician-NonProd-Other"/>
    <s v="FMC-Burien FM"/>
    <x v="0"/>
    <n v="2000"/>
    <n v="0"/>
    <n v="0"/>
    <n v="0"/>
    <n v="0"/>
    <n v="0"/>
    <n v="-1761.85"/>
    <n v="0"/>
    <n v="0"/>
    <n v="0"/>
    <n v="0"/>
    <n v="0"/>
    <n v="0"/>
    <n v="-1761.85"/>
    <n v="0"/>
  </r>
  <r>
    <x v="5"/>
    <x v="1"/>
    <x v="0"/>
    <s v="2450200"/>
    <n v="700064"/>
    <s v="Salaries-Advanced Practice Clinician-Non-Productive"/>
    <s v="FMC-Burien FM"/>
    <x v="0"/>
    <m/>
    <n v="11447.76"/>
    <n v="21609.15"/>
    <n v="10670.02"/>
    <n v="6044.42"/>
    <n v="20175.16"/>
    <n v="19631.61"/>
    <n v="10897.56"/>
    <n v="-1340.36"/>
    <n v="11242.65"/>
    <n v="-1941.37"/>
    <n v="4872.72"/>
    <n v="-1461.82"/>
    <n v="111847.5"/>
    <n v="6334.54"/>
  </r>
  <r>
    <x v="5"/>
    <x v="1"/>
    <x v="0"/>
    <s v="2450200"/>
    <n v="700064"/>
    <s v="Salaries-Advanced Practice Clinician-Non-Prod-Other"/>
    <s v="FMC-Burien FM"/>
    <x v="0"/>
    <n v="2000"/>
    <n v="0"/>
    <n v="-1176.21"/>
    <n v="212.84"/>
    <n v="0"/>
    <n v="0"/>
    <n v="-2375.5100000000002"/>
    <n v="-2513.2199999999998"/>
    <n v="0"/>
    <n v="0"/>
    <n v="0"/>
    <n v="0"/>
    <n v="0"/>
    <n v="-5852.1"/>
    <n v="0"/>
  </r>
  <r>
    <x v="5"/>
    <x v="1"/>
    <x v="0"/>
    <s v="2450200"/>
    <n v="700066"/>
    <s v="Salaries-RN-Non-productive"/>
    <s v="FMC-Burien FM"/>
    <x v="0"/>
    <m/>
    <n v="7284.36"/>
    <n v="4588.57"/>
    <n v="2125.98"/>
    <n v="5679.33"/>
    <n v="6575.94"/>
    <n v="4880.7299999999996"/>
    <n v="3910.98"/>
    <n v="1362.89"/>
    <n v="2347.42"/>
    <n v="4907.3"/>
    <n v="-981.77"/>
    <n v="4283.04"/>
    <n v="46964.770000000004"/>
    <n v="-5264.8099999999995"/>
  </r>
  <r>
    <x v="5"/>
    <x v="1"/>
    <x v="0"/>
    <s v="2450200"/>
    <n v="700066"/>
    <s v="Salaries-RN-NonProd-Other"/>
    <s v="FMC-Burien FM"/>
    <x v="0"/>
    <n v="2000"/>
    <n v="0"/>
    <n v="0"/>
    <n v="0"/>
    <n v="0"/>
    <n v="0"/>
    <n v="0"/>
    <n v="0"/>
    <n v="0"/>
    <n v="308.05"/>
    <n v="0"/>
    <n v="61.44"/>
    <n v="0"/>
    <n v="369.49"/>
    <n v="61.44"/>
  </r>
  <r>
    <x v="5"/>
    <x v="1"/>
    <x v="0"/>
    <s v="2450200"/>
    <n v="700070"/>
    <s v="Salaries-LPN-Non-productive"/>
    <s v="FMC-Burien FM"/>
    <x v="0"/>
    <m/>
    <n v="3106.86"/>
    <n v="-98.88"/>
    <n v="0"/>
    <n v="0"/>
    <n v="253.44"/>
    <n v="599.79999999999995"/>
    <n v="659.96"/>
    <n v="-90.24"/>
    <n v="0"/>
    <n v="407.5"/>
    <n v="-167.79"/>
    <n v="1988.19"/>
    <n v="6658.84"/>
    <n v="-2155.98"/>
  </r>
  <r>
    <x v="5"/>
    <x v="1"/>
    <x v="0"/>
    <s v="2450200"/>
    <n v="700070"/>
    <s v="Salaries-LPN-NonProd-Other"/>
    <s v="FMC-Burien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0200"/>
    <n v="700072"/>
    <s v="Salaries-Other Pat Care Providers-Non-productive"/>
    <s v="FMC-Burien FM"/>
    <x v="0"/>
    <m/>
    <n v="5299.92"/>
    <n v="3330.79"/>
    <n v="5065.5200000000004"/>
    <n v="5481.21"/>
    <n v="4552.6099999999997"/>
    <n v="11879.11"/>
    <n v="6849.31"/>
    <n v="4778.78"/>
    <n v="3949.31"/>
    <n v="1233.5999999999999"/>
    <n v="2366.23"/>
    <n v="8606.5300000000007"/>
    <n v="63392.92"/>
    <n v="-6240.3000000000011"/>
  </r>
  <r>
    <x v="5"/>
    <x v="1"/>
    <x v="0"/>
    <s v="2450200"/>
    <n v="700072"/>
    <s v="Salaries-Other Pat Care Providers-NonProd-Other"/>
    <s v="FMC-Burien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0200"/>
    <n v="700084"/>
    <s v="Accrued PTO"/>
    <s v="FMC-Burien FM"/>
    <x v="0"/>
    <m/>
    <n v="-2077.44"/>
    <n v="1120.68"/>
    <n v="812.69"/>
    <n v="3783.99"/>
    <n v="61.89"/>
    <n v="-10586.86"/>
    <n v="-2009.85"/>
    <n v="-217.14"/>
    <n v="2236.04"/>
    <n v="2986.72"/>
    <n v="4191.32"/>
    <n v="-2824.33"/>
    <n v="-2522.2900000000013"/>
    <n v="7015.65"/>
  </r>
  <r>
    <x v="6"/>
    <x v="1"/>
    <x v="0"/>
    <s v="2450200"/>
    <n v="713010"/>
    <s v="Benefits-FICA/Medicare"/>
    <s v="FMC-Burien FM"/>
    <x v="0"/>
    <m/>
    <n v="15810.27"/>
    <n v="16967.88"/>
    <n v="13369.61"/>
    <n v="15307.67"/>
    <n v="14400.79"/>
    <n v="17202.8"/>
    <n v="23595.03"/>
    <n v="20217.16"/>
    <n v="23922.1"/>
    <n v="23443.58"/>
    <n v="22655.3"/>
    <n v="14143.24"/>
    <n v="221035.43"/>
    <n v="8512.06"/>
  </r>
  <r>
    <x v="6"/>
    <x v="1"/>
    <x v="0"/>
    <s v="2450200"/>
    <n v="713090"/>
    <s v="Benefits-Allocated Amounts"/>
    <s v="FMC-Burien FM"/>
    <x v="0"/>
    <m/>
    <n v="0"/>
    <n v="0"/>
    <n v="-131911.46"/>
    <n v="-44723.32"/>
    <n v="-43564.21"/>
    <n v="220198.99"/>
    <n v="0"/>
    <n v="0"/>
    <n v="245430.61"/>
    <n v="26508.36"/>
    <n v="25638.38"/>
    <n v="24237.13"/>
    <n v="321814.48"/>
    <n v="1401.25"/>
  </r>
  <r>
    <x v="6"/>
    <x v="1"/>
    <x v="0"/>
    <s v="2450200"/>
    <n v="713092"/>
    <s v="Allocated Benefits-Physician"/>
    <s v="FMC-Burien FM"/>
    <x v="0"/>
    <m/>
    <n v="33912.76"/>
    <n v="32418.38"/>
    <n v="65316.12"/>
    <n v="44521.89"/>
    <n v="43449.38"/>
    <n v="-24846.1"/>
    <n v="33777.879999999997"/>
    <n v="31244.28"/>
    <n v="-163664.24"/>
    <n v="10382.790000000001"/>
    <n v="10042.06"/>
    <n v="9493.2000000000007"/>
    <n v="126048.40000000004"/>
    <n v="548.85999999999876"/>
  </r>
  <r>
    <x v="6"/>
    <x v="1"/>
    <x v="0"/>
    <s v="2450200"/>
    <n v="713093"/>
    <s v="Allocated Benefits-Advanced Practice Clinician"/>
    <s v="FMC-Burien FM"/>
    <x v="0"/>
    <m/>
    <n v="11960.88"/>
    <n v="11379.03"/>
    <n v="109003.25"/>
    <n v="44757.25"/>
    <n v="43679.040000000001"/>
    <n v="-152084.09"/>
    <n v="11913.3"/>
    <n v="11019.72"/>
    <n v="-35805.82"/>
    <n v="6029.25"/>
    <n v="5831.39"/>
    <n v="5512.67"/>
    <n v="73195.870000000024"/>
    <n v="318.72000000000025"/>
  </r>
  <r>
    <x v="6"/>
    <x v="1"/>
    <x v="0"/>
    <s v="2450200"/>
    <n v="713096"/>
    <s v="Employee Recognition"/>
    <s v="FMC-Burien FM"/>
    <x v="0"/>
    <n v="1017"/>
    <n v="0"/>
    <n v="0"/>
    <n v="0"/>
    <n v="0"/>
    <n v="0"/>
    <n v="0"/>
    <n v="0"/>
    <n v="56.51"/>
    <n v="44.6"/>
    <n v="0"/>
    <n v="0"/>
    <n v="61.62"/>
    <n v="162.72999999999999"/>
    <n v="-61.62"/>
  </r>
  <r>
    <x v="7"/>
    <x v="1"/>
    <x v="0"/>
    <s v="2450200"/>
    <n v="718010"/>
    <s v="Media/Print Advertising"/>
    <s v="FMC-Burien FM"/>
    <x v="0"/>
    <n v="1004"/>
    <n v="0"/>
    <n v="0"/>
    <n v="0"/>
    <n v="0"/>
    <n v="0"/>
    <n v="0"/>
    <n v="0"/>
    <n v="0"/>
    <n v="0"/>
    <n v="0"/>
    <n v="779.5"/>
    <n v="0"/>
    <n v="779.5"/>
    <n v="779.5"/>
  </r>
  <r>
    <x v="7"/>
    <x v="1"/>
    <x v="0"/>
    <s v="2450200"/>
    <n v="718040"/>
    <s v="Contract Svcs-Laboratory"/>
    <s v="FMC-Burien FM"/>
    <x v="0"/>
    <m/>
    <n v="0"/>
    <n v="0"/>
    <n v="0"/>
    <n v="0"/>
    <n v="0"/>
    <n v="0"/>
    <n v="148.4"/>
    <n v="0"/>
    <n v="0"/>
    <n v="0"/>
    <n v="20"/>
    <n v="0"/>
    <n v="168.4"/>
    <n v="20"/>
  </r>
  <r>
    <x v="7"/>
    <x v="1"/>
    <x v="0"/>
    <s v="2450200"/>
    <n v="718050"/>
    <s v="Contract Svcs-Other"/>
    <s v="FMC-Burien FM"/>
    <x v="0"/>
    <m/>
    <n v="0"/>
    <n v="0"/>
    <n v="0"/>
    <n v="0"/>
    <n v="0"/>
    <n v="1445.93"/>
    <n v="0"/>
    <n v="0"/>
    <n v="0"/>
    <n v="0"/>
    <n v="0"/>
    <n v="1404.49"/>
    <n v="2850.42"/>
    <n v="-1404.49"/>
  </r>
  <r>
    <x v="7"/>
    <x v="1"/>
    <x v="0"/>
    <s v="2450200"/>
    <n v="718050"/>
    <s v="Physician Answering"/>
    <s v="FMC-Burien FM"/>
    <x v="0"/>
    <n v="1015"/>
    <n v="816"/>
    <n v="0"/>
    <n v="400"/>
    <n v="928"/>
    <n v="384"/>
    <n v="0"/>
    <n v="480"/>
    <n v="240"/>
    <n v="176"/>
    <n v="320"/>
    <n v="176"/>
    <n v="752.5"/>
    <n v="4672.5"/>
    <n v="-576.5"/>
  </r>
  <r>
    <x v="7"/>
    <x v="1"/>
    <x v="0"/>
    <s v="2450200"/>
    <n v="718050"/>
    <s v="Miscellaneous Purchased Svcs"/>
    <s v="FMC-Burien FM"/>
    <x v="0"/>
    <n v="1020"/>
    <n v="0"/>
    <n v="1224.3699999999999"/>
    <n v="902.83"/>
    <n v="0"/>
    <n v="182.78"/>
    <n v="-33.799999999999997"/>
    <n v="0"/>
    <n v="-30.82"/>
    <n v="0"/>
    <n v="0"/>
    <n v="409.5"/>
    <n v="-43.9"/>
    <n v="2610.9599999999996"/>
    <n v="453.4"/>
  </r>
  <r>
    <x v="7"/>
    <x v="1"/>
    <x v="0"/>
    <s v="2450200"/>
    <n v="718050"/>
    <s v="Translation Services"/>
    <s v="FMC-Burien FM"/>
    <x v="0"/>
    <n v="1025"/>
    <n v="0"/>
    <n v="0"/>
    <n v="0"/>
    <n v="0"/>
    <n v="0"/>
    <n v="0"/>
    <n v="594"/>
    <n v="0"/>
    <n v="0"/>
    <n v="0"/>
    <n v="0"/>
    <n v="0"/>
    <n v="594"/>
    <n v="0"/>
  </r>
  <r>
    <x v="7"/>
    <x v="1"/>
    <x v="0"/>
    <s v="2450200"/>
    <n v="718050"/>
    <s v="Contract Management--Linen"/>
    <s v="FMC-Burien FM"/>
    <x v="0"/>
    <n v="1026"/>
    <n v="0"/>
    <n v="174.5"/>
    <n v="0"/>
    <n v="0"/>
    <n v="228.78"/>
    <n v="0"/>
    <n v="2631.84"/>
    <n v="850.99"/>
    <n v="1919.96"/>
    <n v="1535.72"/>
    <n v="959.27"/>
    <n v="2971.75"/>
    <n v="11272.81"/>
    <n v="-2012.48"/>
  </r>
  <r>
    <x v="7"/>
    <x v="1"/>
    <x v="0"/>
    <s v="2450200"/>
    <n v="718050"/>
    <s v="Purchased Srvcs--Medical Waste"/>
    <s v="FMC-Burien FM"/>
    <x v="0"/>
    <n v="1027"/>
    <n v="0"/>
    <n v="2871.14"/>
    <n v="0"/>
    <n v="0"/>
    <n v="0"/>
    <n v="0"/>
    <n v="1374.77"/>
    <n v="1374.77"/>
    <n v="1374.77"/>
    <n v="1457.59"/>
    <n v="8462.81"/>
    <n v="-2589.16"/>
    <n v="14326.689999999999"/>
    <n v="11051.97"/>
  </r>
  <r>
    <x v="7"/>
    <x v="1"/>
    <x v="0"/>
    <s v="2450200"/>
    <n v="718070"/>
    <s v="Contract Srvcs-CHI Clinical Engineering"/>
    <s v="FMC-Burien FM"/>
    <x v="0"/>
    <m/>
    <n v="708.31"/>
    <n v="2243.35"/>
    <n v="2717.37"/>
    <n v="500"/>
    <n v="4745.5"/>
    <n v="5216"/>
    <n v="3569.66"/>
    <n v="2430.8000000000002"/>
    <n v="127.76"/>
    <n v="0"/>
    <n v="0"/>
    <n v="0"/>
    <n v="22258.749999999996"/>
    <n v="0"/>
  </r>
  <r>
    <x v="11"/>
    <x v="1"/>
    <x v="0"/>
    <s v="2450200"/>
    <n v="721010"/>
    <s v="Supplies-Medical - Billable"/>
    <s v="FMC-Burien FM"/>
    <x v="0"/>
    <m/>
    <n v="3050.9"/>
    <n v="5778.89"/>
    <n v="3163.61"/>
    <n v="1152.01"/>
    <n v="8819.5499999999993"/>
    <n v="5273.24"/>
    <n v="3072.51"/>
    <n v="5970.41"/>
    <n v="1884.09"/>
    <n v="5484.25"/>
    <n v="930.39"/>
    <n v="10012.57"/>
    <n v="54592.419999999991"/>
    <n v="-9082.18"/>
  </r>
  <r>
    <x v="11"/>
    <x v="1"/>
    <x v="0"/>
    <s v="2450200"/>
    <n v="721250"/>
    <s v="Supplies-Pharmacy Drugs - Billable"/>
    <s v="FMC-Burien FM"/>
    <x v="0"/>
    <m/>
    <n v="10668.96"/>
    <n v="22104.35"/>
    <n v="11933.97"/>
    <n v="20555.21"/>
    <n v="10476.9"/>
    <n v="28919.68"/>
    <n v="4027.03"/>
    <n v="12740.68"/>
    <n v="20449.72"/>
    <n v="15353.55"/>
    <n v="23598.06"/>
    <n v="14559.75"/>
    <n v="195387.86"/>
    <n v="9038.3100000000013"/>
  </r>
  <r>
    <x v="11"/>
    <x v="1"/>
    <x v="0"/>
    <s v="2450200"/>
    <n v="721410"/>
    <s v="Supplies-Medical - Nonbillable"/>
    <s v="FMC-Burien FM"/>
    <x v="0"/>
    <m/>
    <n v="1675.26"/>
    <n v="1106.96"/>
    <n v="3242"/>
    <n v="155.47999999999999"/>
    <n v="1186.7"/>
    <n v="1817.47"/>
    <n v="1796.18"/>
    <n v="1705.84"/>
    <n v="78.900000000000006"/>
    <n v="361.42"/>
    <n v="294.60000000000002"/>
    <n v="3523.27"/>
    <n v="16944.079999999998"/>
    <n v="-3228.67"/>
  </r>
  <r>
    <x v="11"/>
    <x v="1"/>
    <x v="0"/>
    <s v="2450200"/>
    <n v="721810"/>
    <s v="Supplies-Dietary/Cafeteria"/>
    <s v="FMC-Burien FM"/>
    <x v="0"/>
    <m/>
    <n v="0"/>
    <n v="0"/>
    <n v="0"/>
    <n v="0"/>
    <n v="0"/>
    <n v="0"/>
    <n v="0"/>
    <n v="372"/>
    <n v="98.85"/>
    <n v="98.85"/>
    <n v="0"/>
    <n v="98.85"/>
    <n v="668.55000000000007"/>
    <n v="-98.85"/>
  </r>
  <r>
    <x v="11"/>
    <x v="1"/>
    <x v="0"/>
    <s v="2450200"/>
    <n v="722000"/>
    <s v="Supplies-Freight Expense"/>
    <s v="FMC-Burien FM"/>
    <x v="0"/>
    <m/>
    <n v="0"/>
    <n v="0"/>
    <n v="0"/>
    <n v="105.71"/>
    <n v="0"/>
    <n v="0"/>
    <n v="0"/>
    <n v="0"/>
    <n v="0"/>
    <n v="17.84"/>
    <n v="8.65"/>
    <n v="231.24"/>
    <n v="363.44"/>
    <n v="-222.59"/>
  </r>
  <r>
    <x v="12"/>
    <x v="1"/>
    <x v="0"/>
    <s v="2450200"/>
    <n v="730020"/>
    <s v="Rental and Leases-Equipment (DO NOT USE)"/>
    <s v="FMC-Burien FM"/>
    <x v="0"/>
    <m/>
    <n v="0"/>
    <n v="0"/>
    <n v="76.91"/>
    <n v="0"/>
    <n v="180.02"/>
    <n v="215.84"/>
    <n v="352.44"/>
    <n v="196.97"/>
    <n v="139.04"/>
    <n v="217.09"/>
    <n v="139.04"/>
    <n v="295.14"/>
    <n v="1812.4899999999998"/>
    <n v="-156.1"/>
  </r>
  <r>
    <x v="12"/>
    <x v="1"/>
    <x v="0"/>
    <s v="2450200"/>
    <n v="730020"/>
    <s v="Rental and Leases-Copier Usage Fees (DO NOT USE)"/>
    <s v="FMC-Burien FM"/>
    <x v="0"/>
    <n v="5100"/>
    <n v="0"/>
    <n v="0"/>
    <n v="0"/>
    <n v="0"/>
    <n v="0"/>
    <n v="0"/>
    <n v="0"/>
    <n v="0"/>
    <n v="0"/>
    <n v="148.94"/>
    <n v="148.94"/>
    <n v="74.47"/>
    <n v="372.35"/>
    <n v="74.47"/>
  </r>
  <r>
    <x v="0"/>
    <x v="1"/>
    <x v="0"/>
    <s v="2450200"/>
    <n v="740020"/>
    <s v="Education-Registration Fees"/>
    <s v="FMC-Burien FM"/>
    <x v="0"/>
    <m/>
    <n v="0"/>
    <n v="0"/>
    <n v="0"/>
    <n v="0"/>
    <n v="0"/>
    <n v="49.5"/>
    <n v="0"/>
    <n v="0"/>
    <n v="0"/>
    <n v="0"/>
    <n v="0"/>
    <n v="0"/>
    <n v="49.5"/>
    <n v="0"/>
  </r>
  <r>
    <x v="0"/>
    <x v="1"/>
    <x v="0"/>
    <s v="2450200"/>
    <n v="740022"/>
    <s v="Education-Physician"/>
    <s v="FMC-Burien FM"/>
    <x v="0"/>
    <m/>
    <n v="1950"/>
    <n v="0"/>
    <n v="0"/>
    <n v="1810"/>
    <n v="310"/>
    <n v="450"/>
    <n v="200"/>
    <n v="0"/>
    <n v="0"/>
    <n v="1440"/>
    <n v="0"/>
    <n v="0"/>
    <n v="6160"/>
    <n v="0"/>
  </r>
  <r>
    <x v="0"/>
    <x v="1"/>
    <x v="0"/>
    <s v="2450200"/>
    <n v="740022"/>
    <s v="Books-Physician"/>
    <s v="FMC-Burien FM"/>
    <x v="0"/>
    <n v="2000"/>
    <n v="0"/>
    <n v="0"/>
    <n v="0"/>
    <n v="0"/>
    <n v="0"/>
    <n v="0"/>
    <n v="461.95"/>
    <n v="0"/>
    <n v="0"/>
    <n v="0"/>
    <n v="0"/>
    <n v="475"/>
    <n v="936.95"/>
    <n v="-475"/>
  </r>
  <r>
    <x v="0"/>
    <x v="1"/>
    <x v="0"/>
    <s v="2450200"/>
    <n v="740023"/>
    <s v="Education-Advanced Practice Clinician"/>
    <s v="FMC-Burien FM"/>
    <x v="0"/>
    <m/>
    <n v="0"/>
    <n v="0"/>
    <n v="0"/>
    <n v="0"/>
    <n v="1650"/>
    <n v="0"/>
    <n v="0"/>
    <n v="0"/>
    <n v="0"/>
    <n v="0"/>
    <n v="0"/>
    <n v="0"/>
    <n v="1650"/>
    <n v="0"/>
  </r>
  <r>
    <x v="0"/>
    <x v="1"/>
    <x v="0"/>
    <s v="2450200"/>
    <n v="740023"/>
    <s v="Books-Advanced Practice Clinician"/>
    <s v="FMC-Burien FM"/>
    <x v="0"/>
    <n v="2000"/>
    <n v="0"/>
    <n v="0"/>
    <n v="0"/>
    <n v="0"/>
    <n v="0"/>
    <n v="0"/>
    <n v="0"/>
    <n v="0"/>
    <n v="0"/>
    <n v="0"/>
    <n v="0"/>
    <n v="2502.5100000000002"/>
    <n v="2502.5100000000002"/>
    <n v="-2502.5100000000002"/>
  </r>
  <r>
    <x v="8"/>
    <x v="1"/>
    <x v="0"/>
    <s v="2450200"/>
    <n v="741012"/>
    <s v="Physician Liab Insurance-CHI Program"/>
    <s v="FMC-Burien FM"/>
    <x v="0"/>
    <m/>
    <n v="5142.2700000000004"/>
    <n v="5129.82"/>
    <n v="4917.49"/>
    <n v="4917.49"/>
    <n v="4018.16"/>
    <n v="4064.86"/>
    <n v="4064.88"/>
    <n v="3966.23"/>
    <n v="4463.2700000000004"/>
    <n v="4463.26"/>
    <n v="4463.3"/>
    <n v="4463.26"/>
    <n v="54074.290000000008"/>
    <n v="3.999999999996362E-2"/>
  </r>
  <r>
    <x v="0"/>
    <x v="1"/>
    <x v="0"/>
    <s v="2450200"/>
    <n v="742040"/>
    <s v="Freight-Other"/>
    <s v="FMC-Burien FM"/>
    <x v="0"/>
    <m/>
    <n v="0"/>
    <n v="0"/>
    <n v="0"/>
    <n v="0"/>
    <n v="0"/>
    <n v="0"/>
    <n v="0"/>
    <n v="0"/>
    <n v="0"/>
    <n v="0"/>
    <n v="0"/>
    <n v="43.9"/>
    <n v="43.9"/>
    <n v="-43.9"/>
  </r>
  <r>
    <x v="0"/>
    <x v="1"/>
    <x v="0"/>
    <s v="2450200"/>
    <n v="743022"/>
    <s v="Dues-Physician"/>
    <s v="FMC-Burien FM"/>
    <x v="0"/>
    <m/>
    <n v="0"/>
    <n v="0"/>
    <n v="225"/>
    <n v="885"/>
    <n v="0"/>
    <n v="1430"/>
    <n v="1616"/>
    <n v="885"/>
    <n v="535"/>
    <n v="4080"/>
    <n v="840"/>
    <n v="508.75"/>
    <n v="11004.75"/>
    <n v="331.25"/>
  </r>
  <r>
    <x v="0"/>
    <x v="1"/>
    <x v="0"/>
    <s v="2450200"/>
    <n v="743023"/>
    <s v="Dues-Advanced Practice Clinician"/>
    <s v="FMC-Burien FM"/>
    <x v="0"/>
    <m/>
    <n v="0"/>
    <n v="0"/>
    <n v="0"/>
    <n v="0"/>
    <n v="0"/>
    <n v="0"/>
    <n v="0"/>
    <n v="135"/>
    <n v="0"/>
    <n v="135"/>
    <n v="0"/>
    <n v="853.5"/>
    <n v="1123.5"/>
    <n v="-853.5"/>
  </r>
  <r>
    <x v="0"/>
    <x v="1"/>
    <x v="0"/>
    <s v="2450200"/>
    <n v="743042"/>
    <s v="Subscriptions-Physician"/>
    <s v="FMC-Burien FM"/>
    <x v="0"/>
    <m/>
    <n v="0"/>
    <n v="0"/>
    <n v="580"/>
    <n v="0"/>
    <n v="0"/>
    <n v="0"/>
    <n v="0"/>
    <n v="0"/>
    <n v="0"/>
    <n v="0"/>
    <n v="175.87"/>
    <n v="1358.9"/>
    <n v="2114.77"/>
    <n v="-1183.0300000000002"/>
  </r>
  <r>
    <x v="0"/>
    <x v="1"/>
    <x v="0"/>
    <s v="2450200"/>
    <n v="743043"/>
    <s v="Subscriptions-Advanced Practice Clinician"/>
    <s v="FMC-Burien FM"/>
    <x v="0"/>
    <m/>
    <n v="0"/>
    <n v="0"/>
    <n v="0"/>
    <n v="0"/>
    <n v="0"/>
    <n v="0"/>
    <n v="0"/>
    <n v="0"/>
    <n v="0"/>
    <n v="175.99"/>
    <n v="0"/>
    <n v="0"/>
    <n v="175.99"/>
    <n v="0"/>
  </r>
  <r>
    <x v="0"/>
    <x v="1"/>
    <x v="0"/>
    <s v="2450200"/>
    <n v="749510"/>
    <s v="Miscellaneous Expenses"/>
    <s v="FMC-Burien FM"/>
    <x v="0"/>
    <m/>
    <n v="-2217.8000000000002"/>
    <n v="-2841.62"/>
    <n v="-225"/>
    <n v="37.619999999999997"/>
    <n v="424.92"/>
    <n v="-396.04"/>
    <n v="960.16"/>
    <n v="-362.52"/>
    <n v="-597.64"/>
    <n v="62.64"/>
    <n v="-62.64"/>
    <n v="503"/>
    <n v="-4714.920000000001"/>
    <n v="-565.64"/>
  </r>
  <r>
    <x v="0"/>
    <x v="1"/>
    <x v="0"/>
    <s v="2450200"/>
    <n v="749512"/>
    <s v="Licenses-Physician"/>
    <s v="FMC-Burien FM"/>
    <x v="0"/>
    <n v="2000"/>
    <n v="0"/>
    <n v="0"/>
    <n v="0"/>
    <n v="0"/>
    <n v="0"/>
    <n v="0"/>
    <n v="0"/>
    <n v="0"/>
    <n v="857"/>
    <n v="0"/>
    <n v="0"/>
    <n v="0"/>
    <n v="857"/>
    <n v="0"/>
  </r>
  <r>
    <x v="0"/>
    <x v="1"/>
    <x v="0"/>
    <s v="2450200"/>
    <n v="749513"/>
    <s v="Licenses-Advanced Practice Clinician"/>
    <s v="FMC-Burien FM"/>
    <x v="0"/>
    <n v="2000"/>
    <n v="0"/>
    <n v="0"/>
    <n v="245"/>
    <n v="120"/>
    <n v="0"/>
    <n v="0"/>
    <n v="0"/>
    <n v="0"/>
    <n v="247.5"/>
    <n v="0"/>
    <n v="0"/>
    <n v="0"/>
    <n v="612.5"/>
    <n v="0"/>
  </r>
  <r>
    <x v="0"/>
    <x v="1"/>
    <x v="0"/>
    <s v="2450200"/>
    <n v="749530"/>
    <s v="Mileage"/>
    <s v="FMC-Burien FM"/>
    <x v="0"/>
    <n v="1001"/>
    <n v="0"/>
    <n v="0"/>
    <n v="0"/>
    <n v="0"/>
    <n v="37.619999999999997"/>
    <n v="73.58"/>
    <n v="0"/>
    <n v="0"/>
    <n v="62.64"/>
    <n v="62.64"/>
    <n v="62.64"/>
    <n v="0"/>
    <n v="299.11999999999995"/>
    <n v="62.64"/>
  </r>
  <r>
    <x v="0"/>
    <x v="1"/>
    <x v="0"/>
    <s v="2450200"/>
    <n v="749532"/>
    <s v="Travel-Physician"/>
    <s v="FMC-Burien FM"/>
    <x v="0"/>
    <m/>
    <n v="0"/>
    <n v="0"/>
    <n v="0"/>
    <n v="1190"/>
    <n v="0"/>
    <n v="0"/>
    <n v="0"/>
    <n v="0"/>
    <n v="0"/>
    <n v="652.74"/>
    <n v="0"/>
    <n v="141.78"/>
    <n v="1984.52"/>
    <n v="-141.78"/>
  </r>
  <r>
    <x v="0"/>
    <x v="1"/>
    <x v="0"/>
    <s v="2450200"/>
    <n v="749535"/>
    <s v="Meetings"/>
    <s v="FMC-Burien FM"/>
    <x v="0"/>
    <m/>
    <n v="0"/>
    <n v="91.56"/>
    <n v="0"/>
    <n v="0"/>
    <n v="0"/>
    <n v="0"/>
    <n v="0"/>
    <n v="18.649999999999999"/>
    <n v="18.649999999999999"/>
    <n v="0"/>
    <n v="0"/>
    <n v="0"/>
    <n v="128.86000000000001"/>
    <n v="0"/>
  </r>
  <r>
    <x v="0"/>
    <x v="1"/>
    <x v="0"/>
    <s v="2450200"/>
    <n v="749550"/>
    <s v="Cash Over/Short"/>
    <s v="FMC-Burien FM"/>
    <x v="0"/>
    <m/>
    <n v="0"/>
    <n v="0"/>
    <n v="0"/>
    <n v="0"/>
    <n v="0"/>
    <n v="0"/>
    <n v="0"/>
    <n v="0"/>
    <n v="24"/>
    <n v="0"/>
    <n v="0"/>
    <n v="0"/>
    <n v="24"/>
    <n v="0"/>
  </r>
  <r>
    <x v="9"/>
    <x v="1"/>
    <x v="0"/>
    <s v="2450200"/>
    <n v="800015"/>
    <s v="Interest Income-Ext to CHI"/>
    <s v="FMC-Burien FM"/>
    <x v="0"/>
    <m/>
    <n v="0"/>
    <n v="0"/>
    <n v="0"/>
    <n v="0"/>
    <n v="0"/>
    <n v="0"/>
    <n v="0"/>
    <n v="0"/>
    <n v="-70.510000000000005"/>
    <n v="-122.86"/>
    <n v="-121.44"/>
    <n v="-112.18"/>
    <n v="-426.99"/>
    <n v="-9.2599999999999909"/>
  </r>
  <r>
    <x v="1"/>
    <x v="1"/>
    <x v="0"/>
    <s v="2451200"/>
    <n v="400029"/>
    <s v="MD Practice Other Rev--Medicare"/>
    <s v="FMC Des Moines FM"/>
    <x v="0"/>
    <n v="1100"/>
    <n v="-1042"/>
    <n v="-1144"/>
    <n v="-815"/>
    <n v="-1273"/>
    <n v="-832"/>
    <n v="-1452"/>
    <n v="-1259"/>
    <n v="-1028"/>
    <n v="-1662"/>
    <n v="-1873"/>
    <n v="-1343"/>
    <n v="-1886"/>
    <n v="-15609"/>
    <n v="543"/>
  </r>
  <r>
    <x v="1"/>
    <x v="1"/>
    <x v="0"/>
    <s v="2451200"/>
    <n v="400029"/>
    <s v="MD Practice Other Rev--Medicaid"/>
    <s v="FMC Des Moines FM"/>
    <x v="0"/>
    <n v="1200"/>
    <n v="-750"/>
    <n v="-833"/>
    <n v="-975"/>
    <n v="-762"/>
    <n v="-652"/>
    <n v="-913"/>
    <n v="-1002"/>
    <n v="-1462"/>
    <n v="-1515"/>
    <n v="-1123"/>
    <n v="-1381"/>
    <n v="-1038"/>
    <n v="-12406"/>
    <n v="-343"/>
  </r>
  <r>
    <x v="1"/>
    <x v="1"/>
    <x v="0"/>
    <s v="2451200"/>
    <n v="400029"/>
    <s v="MD Practice Other Rev--Comm Insurance"/>
    <s v="FMC Des Moines FM"/>
    <x v="0"/>
    <n v="1300"/>
    <n v="-244"/>
    <n v="-121"/>
    <n v="-100"/>
    <n v="-150"/>
    <n v="-79"/>
    <n v="-260"/>
    <n v="-224"/>
    <n v="-71"/>
    <n v="-132"/>
    <n v="-62"/>
    <n v="-169"/>
    <n v="-113"/>
    <n v="-1725"/>
    <n v="-56"/>
  </r>
  <r>
    <x v="1"/>
    <x v="1"/>
    <x v="0"/>
    <s v="2451200"/>
    <n v="400029"/>
    <s v="MD Practice Other Rev--BCBS Comm"/>
    <s v="FMC Des Moines FM"/>
    <x v="0"/>
    <n v="1301"/>
    <n v="-278"/>
    <n v="-394"/>
    <n v="-225"/>
    <n v="-181"/>
    <n v="-503"/>
    <n v="-367"/>
    <n v="-469"/>
    <n v="-566"/>
    <n v="-679"/>
    <n v="-249"/>
    <n v="-348"/>
    <n v="-414"/>
    <n v="-4673"/>
    <n v="66"/>
  </r>
  <r>
    <x v="1"/>
    <x v="1"/>
    <x v="0"/>
    <s v="2451200"/>
    <n v="400029"/>
    <s v="MD Practice Other Rev--Managed Care"/>
    <s v="FMC Des Moines FM"/>
    <x v="0"/>
    <n v="1400"/>
    <n v="-1211"/>
    <n v="-1183"/>
    <n v="-737"/>
    <n v="-836"/>
    <n v="-1015"/>
    <n v="-859"/>
    <n v="-1394"/>
    <n v="-1559"/>
    <n v="-1742"/>
    <n v="-1130"/>
    <n v="-1222"/>
    <n v="-1396"/>
    <n v="-14284"/>
    <n v="174"/>
  </r>
  <r>
    <x v="1"/>
    <x v="1"/>
    <x v="0"/>
    <s v="2451200"/>
    <n v="400029"/>
    <s v="MD Practice Other Rev--Self Pay"/>
    <s v="FMC Des Moines FM"/>
    <x v="0"/>
    <n v="1500"/>
    <n v="-53"/>
    <n v="-37"/>
    <n v="-80"/>
    <n v="0"/>
    <n v="-76"/>
    <n v="-52"/>
    <n v="-103"/>
    <n v="-57"/>
    <n v="-66"/>
    <n v="-99"/>
    <n v="-165"/>
    <n v="-66"/>
    <n v="-854"/>
    <n v="-99"/>
  </r>
  <r>
    <x v="1"/>
    <x v="1"/>
    <x v="0"/>
    <s v="2451200"/>
    <n v="400029"/>
    <s v="MD Practice Other Rev--Other"/>
    <s v="FMC Des Moines FM"/>
    <x v="0"/>
    <n v="1700"/>
    <n v="-10"/>
    <n v="41"/>
    <n v="0"/>
    <n v="-24"/>
    <n v="-47"/>
    <n v="-58"/>
    <n v="-111"/>
    <n v="-10"/>
    <n v="0"/>
    <n v="0"/>
    <n v="0"/>
    <n v="-33"/>
    <n v="-252"/>
    <n v="33"/>
  </r>
  <r>
    <x v="1"/>
    <x v="1"/>
    <x v="0"/>
    <s v="2451200"/>
    <n v="400040"/>
    <s v="Physician Svcs Rev--Medicare"/>
    <s v="FMC Des Moines FM"/>
    <x v="0"/>
    <n v="1100"/>
    <n v="-103010"/>
    <n v="-107503.5"/>
    <n v="-91075"/>
    <n v="-148988"/>
    <n v="-121103"/>
    <n v="-120791"/>
    <n v="-124048"/>
    <n v="-92003"/>
    <n v="-121703"/>
    <n v="-109162"/>
    <n v="-114961"/>
    <n v="-106910"/>
    <n v="-1361257.5"/>
    <n v="-8051"/>
  </r>
  <r>
    <x v="1"/>
    <x v="1"/>
    <x v="0"/>
    <s v="2451200"/>
    <n v="400040"/>
    <s v="Physician Svcs Rev--Medicaid"/>
    <s v="FMC Des Moines FM"/>
    <x v="0"/>
    <n v="1200"/>
    <n v="-83709.119999999995"/>
    <n v="-86939.12"/>
    <n v="-98413.36"/>
    <n v="-84282.4"/>
    <n v="-82514"/>
    <n v="-81913.8"/>
    <n v="-108721.8"/>
    <n v="-80638.600000000006"/>
    <n v="-92405.33"/>
    <n v="-93695.45"/>
    <n v="-93457.16"/>
    <n v="-85647.6"/>
    <n v="-1072337.74"/>
    <n v="-7809.5599999999977"/>
  </r>
  <r>
    <x v="1"/>
    <x v="1"/>
    <x v="0"/>
    <s v="2451200"/>
    <n v="400040"/>
    <s v="Physician Svcs Rev--Comm Insurance"/>
    <s v="FMC Des Moines FM"/>
    <x v="0"/>
    <n v="1300"/>
    <n v="-7880"/>
    <n v="-4258"/>
    <n v="-8305"/>
    <n v="-9814"/>
    <n v="-8385"/>
    <n v="-10304"/>
    <n v="-9509"/>
    <n v="-11050"/>
    <n v="-11211"/>
    <n v="-7501"/>
    <n v="-8469"/>
    <n v="-8518"/>
    <n v="-105204"/>
    <n v="49"/>
  </r>
  <r>
    <x v="1"/>
    <x v="1"/>
    <x v="0"/>
    <s v="2451200"/>
    <n v="400040"/>
    <s v="Physician Svcs Rev--BCBS Comm"/>
    <s v="FMC Des Moines FM"/>
    <x v="0"/>
    <n v="1301"/>
    <n v="-22585"/>
    <n v="-29775.81"/>
    <n v="-25337.93"/>
    <n v="-26424.32"/>
    <n v="-31590.95"/>
    <n v="-34002.26"/>
    <n v="-39631.22"/>
    <n v="-27417.82"/>
    <n v="-29267.73"/>
    <n v="-29714.06"/>
    <n v="-29146"/>
    <n v="-24679.18"/>
    <n v="-349572.28"/>
    <n v="-4466.82"/>
  </r>
  <r>
    <x v="1"/>
    <x v="1"/>
    <x v="0"/>
    <s v="2451200"/>
    <n v="400040"/>
    <s v="Physician Svcs Rev--Managed Care"/>
    <s v="FMC Des Moines FM"/>
    <x v="0"/>
    <n v="1400"/>
    <n v="-81098.16"/>
    <n v="-95649.77"/>
    <n v="-80671.25"/>
    <n v="-84021.38"/>
    <n v="-85203.56"/>
    <n v="-86937.59"/>
    <n v="-104907.88"/>
    <n v="-75202.31"/>
    <n v="-99539.08"/>
    <n v="-93091.03"/>
    <n v="-92046.95"/>
    <n v="-93069.43"/>
    <n v="-1071438.3899999999"/>
    <n v="1022.4799999999959"/>
  </r>
  <r>
    <x v="1"/>
    <x v="1"/>
    <x v="0"/>
    <s v="2451200"/>
    <n v="400040"/>
    <s v="Physician Svcs Rev--Self Pay"/>
    <s v="FMC Des Moines FM"/>
    <x v="0"/>
    <n v="1500"/>
    <n v="-3466.88"/>
    <n v="-7540.02"/>
    <n v="-4760.76"/>
    <n v="-3721.88"/>
    <n v="-2949"/>
    <n v="-4846.68"/>
    <n v="-7496.44"/>
    <n v="-5166.4399999999996"/>
    <n v="-8655.2000000000007"/>
    <n v="-5072.75"/>
    <n v="-5862.44"/>
    <n v="-3970"/>
    <n v="-63508.490000000005"/>
    <n v="-1892.4399999999996"/>
  </r>
  <r>
    <x v="1"/>
    <x v="1"/>
    <x v="0"/>
    <s v="2451200"/>
    <n v="400040"/>
    <s v="Physician Svcs Rev--Other"/>
    <s v="FMC Des Moines FM"/>
    <x v="0"/>
    <n v="1700"/>
    <n v="-5194"/>
    <n v="-3931"/>
    <n v="-4468"/>
    <n v="-2966"/>
    <n v="-2000.13"/>
    <n v="-8142"/>
    <n v="-10249"/>
    <n v="-8162"/>
    <n v="-6704"/>
    <n v="-4996"/>
    <n v="-6192.89"/>
    <n v="-3985"/>
    <n v="-66990.02"/>
    <n v="-2207.8900000000003"/>
  </r>
  <r>
    <x v="2"/>
    <x v="1"/>
    <x v="0"/>
    <s v="2451200"/>
    <n v="450029"/>
    <s v="Contr Allow--MD Other-Medicare"/>
    <s v="FMC Des Moines FM"/>
    <x v="0"/>
    <n v="1100"/>
    <n v="859.13"/>
    <n v="701.82"/>
    <n v="664.1"/>
    <n v="779.98"/>
    <n v="734.51"/>
    <n v="563.11"/>
    <n v="935.8"/>
    <n v="1086.58"/>
    <n v="877.16"/>
    <n v="1491.12"/>
    <n v="1168.43"/>
    <n v="1089.45"/>
    <n v="10951.19"/>
    <n v="78.980000000000018"/>
  </r>
  <r>
    <x v="2"/>
    <x v="1"/>
    <x v="0"/>
    <s v="2451200"/>
    <n v="450029"/>
    <s v="Contr Allow--MD Other-Medicaid"/>
    <s v="FMC Des Moines FM"/>
    <x v="0"/>
    <n v="1200"/>
    <n v="567.61"/>
    <n v="868.02"/>
    <n v="581.32000000000005"/>
    <n v="494.56"/>
    <n v="712.73"/>
    <n v="457.37"/>
    <n v="637.38"/>
    <n v="856.75"/>
    <n v="749.22"/>
    <n v="1325.17"/>
    <n v="821.99"/>
    <n v="686.99"/>
    <n v="8759.11"/>
    <n v="135"/>
  </r>
  <r>
    <x v="2"/>
    <x v="1"/>
    <x v="0"/>
    <s v="2451200"/>
    <n v="450029"/>
    <s v="Contr Allow--MD Other-Comm Insurance"/>
    <s v="FMC Des Moines FM"/>
    <x v="0"/>
    <n v="1300"/>
    <n v="72.14"/>
    <n v="31.44"/>
    <n v="51.53"/>
    <n v="38.21"/>
    <n v="37.01"/>
    <n v="85.31"/>
    <n v="50.9"/>
    <n v="41.08"/>
    <n v="53.36"/>
    <n v="41.04"/>
    <n v="43.52"/>
    <n v="20.420000000000002"/>
    <n v="565.95999999999992"/>
    <n v="23.1"/>
  </r>
  <r>
    <x v="2"/>
    <x v="1"/>
    <x v="0"/>
    <s v="2451200"/>
    <n v="450029"/>
    <s v="Contr Allow--MD Other BCBS Comm"/>
    <s v="FMC Des Moines FM"/>
    <x v="0"/>
    <n v="1301"/>
    <n v="115.93"/>
    <n v="228.7"/>
    <n v="131.08000000000001"/>
    <n v="145.65"/>
    <n v="263.57"/>
    <n v="205.54"/>
    <n v="260.24"/>
    <n v="240.56"/>
    <n v="429.72"/>
    <n v="255.05"/>
    <n v="287.57"/>
    <n v="230.15"/>
    <n v="2793.76"/>
    <n v="57.419999999999987"/>
  </r>
  <r>
    <x v="2"/>
    <x v="1"/>
    <x v="0"/>
    <s v="2451200"/>
    <n v="450029"/>
    <s v="Contr Allow--MD Other-Managed Care"/>
    <s v="FMC Des Moines FM"/>
    <x v="0"/>
    <n v="1400"/>
    <n v="636.39"/>
    <n v="1050.8"/>
    <n v="397.52"/>
    <n v="530.25"/>
    <n v="653.87"/>
    <n v="612.16"/>
    <n v="502.34"/>
    <n v="683.72"/>
    <n v="1242.78"/>
    <n v="904.97"/>
    <n v="1099.28"/>
    <n v="557.28"/>
    <n v="8871.36"/>
    <n v="542"/>
  </r>
  <r>
    <x v="2"/>
    <x v="1"/>
    <x v="0"/>
    <s v="2451200"/>
    <n v="450029"/>
    <s v="Admin Adjust-MD Other-Self Pay"/>
    <s v="FMC Des Moines FM"/>
    <x v="0"/>
    <n v="1600"/>
    <n v="123.88"/>
    <n v="108.87"/>
    <n v="50.36"/>
    <n v="109.69"/>
    <n v="37.74"/>
    <n v="25.65"/>
    <n v="78.39"/>
    <n v="34.99"/>
    <n v="54.55"/>
    <n v="51.32"/>
    <n v="137.25"/>
    <n v="45.73"/>
    <n v="858.42000000000007"/>
    <n v="91.52000000000001"/>
  </r>
  <r>
    <x v="2"/>
    <x v="1"/>
    <x v="0"/>
    <s v="2451200"/>
    <n v="450029"/>
    <s v="Contr Allow--MD Other-Other"/>
    <s v="FMC Des Moines FM"/>
    <x v="0"/>
    <n v="1700"/>
    <n v="0"/>
    <n v="7.19"/>
    <n v="0"/>
    <n v="17.05"/>
    <n v="0"/>
    <n v="46.02"/>
    <n v="18.02"/>
    <n v="0"/>
    <n v="43.23"/>
    <n v="0"/>
    <n v="18.02"/>
    <n v="24.29"/>
    <n v="173.82"/>
    <n v="-6.27"/>
  </r>
  <r>
    <x v="2"/>
    <x v="1"/>
    <x v="0"/>
    <s v="2451200"/>
    <n v="450040"/>
    <s v="Contr Allow--Phys Svcs--Mcare"/>
    <s v="FMC Des Moines FM"/>
    <x v="0"/>
    <n v="1100"/>
    <n v="58905.440000000002"/>
    <n v="65824.31"/>
    <n v="57873.07"/>
    <n v="85132.52"/>
    <n v="77570.84"/>
    <n v="76004.59"/>
    <n v="77451.94"/>
    <n v="68528.179999999993"/>
    <n v="65536.89"/>
    <n v="72876.009999999995"/>
    <n v="77263.990000000005"/>
    <n v="64376.18"/>
    <n v="847343.96000000008"/>
    <n v="12887.810000000005"/>
  </r>
  <r>
    <x v="2"/>
    <x v="1"/>
    <x v="0"/>
    <s v="2451200"/>
    <n v="450040"/>
    <s v="Contr Allow--Phys Svcs--Mcaid"/>
    <s v="FMC Des Moines FM"/>
    <x v="0"/>
    <n v="1200"/>
    <n v="61497.64"/>
    <n v="70981.070000000007"/>
    <n v="61099.03"/>
    <n v="69260.25"/>
    <n v="60031.37"/>
    <n v="57922.31"/>
    <n v="65090.559999999998"/>
    <n v="60092.39"/>
    <n v="65438.7"/>
    <n v="71069.509999999995"/>
    <n v="70142.559999999998"/>
    <n v="52854.76"/>
    <n v="765480.14999999991"/>
    <n v="17287.799999999996"/>
  </r>
  <r>
    <x v="2"/>
    <x v="1"/>
    <x v="0"/>
    <s v="2451200"/>
    <n v="450040"/>
    <s v="Contr Allow--Phys Svcs--Comm Insurance"/>
    <s v="FMC Des Moines FM"/>
    <x v="0"/>
    <n v="1300"/>
    <n v="2532.69"/>
    <n v="1559.28"/>
    <n v="2035.26"/>
    <n v="2112.0700000000002"/>
    <n v="2691.17"/>
    <n v="2889.67"/>
    <n v="1656.68"/>
    <n v="2415.08"/>
    <n v="3646.45"/>
    <n v="1713.14"/>
    <n v="2343.77"/>
    <n v="2392.62"/>
    <n v="27987.88"/>
    <n v="-48.849999999999909"/>
  </r>
  <r>
    <x v="2"/>
    <x v="1"/>
    <x v="0"/>
    <s v="2451200"/>
    <n v="450040"/>
    <s v="Contr Allow--Phys Svcs--BCBS Comm Ins"/>
    <s v="FMC Des Moines FM"/>
    <x v="0"/>
    <n v="1301"/>
    <n v="9336.6299999999992"/>
    <n v="10364.790000000001"/>
    <n v="8398.41"/>
    <n v="8683.6299999999992"/>
    <n v="9773.8799999999992"/>
    <n v="10891.14"/>
    <n v="11514.52"/>
    <n v="9020.8700000000008"/>
    <n v="11440.69"/>
    <n v="9172.35"/>
    <n v="9947.6200000000008"/>
    <n v="9170.9"/>
    <n v="117715.43"/>
    <n v="776.72000000000116"/>
  </r>
  <r>
    <x v="2"/>
    <x v="1"/>
    <x v="0"/>
    <s v="2451200"/>
    <n v="450040"/>
    <s v="Contr Allow--Phys Svcs--Managed Care"/>
    <s v="FMC Des Moines FM"/>
    <x v="0"/>
    <n v="1400"/>
    <n v="27531.62"/>
    <n v="36299.69"/>
    <n v="27848.63"/>
    <n v="31897.24"/>
    <n v="32423.03"/>
    <n v="27596.37"/>
    <n v="28111.119999999999"/>
    <n v="28788.89"/>
    <n v="34383.07"/>
    <n v="33709.699999999997"/>
    <n v="34407.89"/>
    <n v="27242.18"/>
    <n v="370239.43000000005"/>
    <n v="7165.7099999999991"/>
  </r>
  <r>
    <x v="2"/>
    <x v="1"/>
    <x v="0"/>
    <s v="2451200"/>
    <n v="450040"/>
    <s v="Contr Allow--Phys Svcs--BCBS Mgnd Care"/>
    <s v="FMC Des Moines FM"/>
    <x v="0"/>
    <n v="1401"/>
    <n v="6370.44"/>
    <n v="-14921.77"/>
    <n v="12200.57"/>
    <n v="20.84"/>
    <n v="-3411.17"/>
    <n v="9649.5400000000009"/>
    <n v="35973.61"/>
    <n v="-7766.46"/>
    <n v="10139.66"/>
    <n v="-11026.97"/>
    <n v="-6282.3"/>
    <n v="11820.56"/>
    <n v="42766.549999999996"/>
    <n v="-18102.86"/>
  </r>
  <r>
    <x v="2"/>
    <x v="1"/>
    <x v="0"/>
    <s v="2451200"/>
    <n v="450040"/>
    <s v="Prompt Pay Disc-Phys Svcs-Self Pay"/>
    <s v="FMC Des Moines FM"/>
    <x v="0"/>
    <n v="1500"/>
    <n v="75.849999999999994"/>
    <n v="216.18"/>
    <n v="0"/>
    <n v="0"/>
    <n v="0"/>
    <n v="0"/>
    <n v="0"/>
    <n v="0"/>
    <n v="0"/>
    <n v="0"/>
    <n v="0"/>
    <n v="0"/>
    <n v="292.02999999999997"/>
    <n v="0"/>
  </r>
  <r>
    <x v="2"/>
    <x v="1"/>
    <x v="0"/>
    <s v="2451200"/>
    <n v="450040"/>
    <s v="Admin Adjust-Phys Svcs-Self Pay"/>
    <s v="FMC Des Moines FM"/>
    <x v="0"/>
    <n v="1600"/>
    <n v="2402.9299999999998"/>
    <n v="4376.24"/>
    <n v="2884.18"/>
    <n v="3328.01"/>
    <n v="1602.75"/>
    <n v="2296.0700000000002"/>
    <n v="3936.44"/>
    <n v="2789.87"/>
    <n v="4359.88"/>
    <n v="2503.63"/>
    <n v="3299.69"/>
    <n v="1954.76"/>
    <n v="35734.450000000004"/>
    <n v="1344.93"/>
  </r>
  <r>
    <x v="2"/>
    <x v="1"/>
    <x v="0"/>
    <s v="2451200"/>
    <n v="450040"/>
    <s v="Contr Allow--Phys Svcs--Other"/>
    <s v="FMC Des Moines FM"/>
    <x v="0"/>
    <n v="1700"/>
    <n v="1005.88"/>
    <n v="5610.89"/>
    <n v="1373.8"/>
    <n v="1320.89"/>
    <n v="1712.07"/>
    <n v="2172.6799999999998"/>
    <n v="2254.5300000000002"/>
    <n v="2294.86"/>
    <n v="3939.19"/>
    <n v="2694.41"/>
    <n v="3610.38"/>
    <n v="2736.86"/>
    <n v="30726.440000000002"/>
    <n v="873.52"/>
  </r>
  <r>
    <x v="3"/>
    <x v="1"/>
    <x v="0"/>
    <s v="2451200"/>
    <n v="470040"/>
    <s v="Charity Care-Physician Svcs"/>
    <s v="FMC Des Moines FM"/>
    <x v="0"/>
    <m/>
    <n v="65.95"/>
    <n v="1424.75"/>
    <n v="369.99"/>
    <n v="682.58"/>
    <n v="664"/>
    <n v="-35.07"/>
    <n v="1914.8"/>
    <n v="-209.1"/>
    <n v="2301.5100000000002"/>
    <n v="670.35"/>
    <n v="217.61"/>
    <n v="3277.71"/>
    <n v="11345.08"/>
    <n v="-3060.1"/>
  </r>
  <r>
    <x v="4"/>
    <x v="1"/>
    <x v="0"/>
    <s v="2451200"/>
    <n v="490010"/>
    <s v="Provision for Bad Debts"/>
    <s v="FMC Des Moines FM"/>
    <x v="0"/>
    <m/>
    <n v="4075.22"/>
    <n v="4310.68"/>
    <n v="5591.87"/>
    <n v="2103.14"/>
    <n v="3613.42"/>
    <n v="1642.42"/>
    <n v="4475.04"/>
    <n v="1891.38"/>
    <n v="6863.16"/>
    <n v="3693.63"/>
    <n v="1173.6300000000001"/>
    <n v="4642.78"/>
    <n v="44076.369999999995"/>
    <n v="-3469.1499999999996"/>
  </r>
  <r>
    <x v="5"/>
    <x v="1"/>
    <x v="0"/>
    <s v="2451200"/>
    <n v="700022"/>
    <s v="Salaries-Physician-Productive"/>
    <s v="FMC Des Moines FM"/>
    <x v="0"/>
    <m/>
    <n v="46578.83"/>
    <n v="42943"/>
    <n v="47810.36"/>
    <n v="26798.240000000002"/>
    <n v="52979.1"/>
    <n v="49522"/>
    <n v="51647.09"/>
    <n v="42729.29"/>
    <n v="44912.98"/>
    <n v="43461.99"/>
    <n v="47967.15"/>
    <n v="38620.400000000001"/>
    <n v="535970.42999999993"/>
    <n v="9346.75"/>
  </r>
  <r>
    <x v="5"/>
    <x v="1"/>
    <x v="0"/>
    <s v="2451200"/>
    <n v="700022"/>
    <s v="Salaries-Physician-Other"/>
    <s v="FMC Des Moines FM"/>
    <x v="0"/>
    <n v="2000"/>
    <n v="1015.38"/>
    <n v="1061.55"/>
    <n v="923.08"/>
    <n v="1061.54"/>
    <n v="1015.39"/>
    <n v="969.23"/>
    <n v="1063.17"/>
    <n v="1495.29"/>
    <n v="970.34"/>
    <n v="1016.87"/>
    <n v="1062.3800000000001"/>
    <n v="1120.05"/>
    <n v="12774.27"/>
    <n v="-57.669999999999845"/>
  </r>
  <r>
    <x v="5"/>
    <x v="1"/>
    <x v="0"/>
    <s v="2451200"/>
    <n v="700024"/>
    <s v="Salaries-Advanced Practice Clinician-Productive"/>
    <s v="FMC Des Moines FM"/>
    <x v="0"/>
    <m/>
    <n v="30105.89"/>
    <n v="37475.68"/>
    <n v="22330.54"/>
    <n v="31709.599999999999"/>
    <n v="29896"/>
    <n v="34275.15"/>
    <n v="36010.49"/>
    <n v="31136.9"/>
    <n v="32724.3"/>
    <n v="34282.58"/>
    <n v="29485.68"/>
    <n v="27946.12"/>
    <n v="377378.93"/>
    <n v="1539.5600000000013"/>
  </r>
  <r>
    <x v="5"/>
    <x v="1"/>
    <x v="0"/>
    <s v="2451200"/>
    <n v="700026"/>
    <s v="Salaries-RN-Productive"/>
    <s v="FMC Des Moines FM"/>
    <x v="0"/>
    <m/>
    <n v="0"/>
    <n v="0"/>
    <n v="0"/>
    <n v="0"/>
    <n v="0"/>
    <n v="0"/>
    <n v="0"/>
    <n v="4086.93"/>
    <n v="10072.44"/>
    <n v="4552.1499999999996"/>
    <n v="5541"/>
    <n v="4148.22"/>
    <n v="28400.74"/>
    <n v="1392.7799999999997"/>
  </r>
  <r>
    <x v="5"/>
    <x v="1"/>
    <x v="0"/>
    <s v="2451200"/>
    <n v="700026"/>
    <s v="Salaries-RN-OT"/>
    <s v="FMC Des Moines FM"/>
    <x v="0"/>
    <n v="1000"/>
    <n v="0"/>
    <n v="0"/>
    <n v="0"/>
    <n v="0"/>
    <n v="0"/>
    <n v="0"/>
    <n v="0"/>
    <n v="293.42"/>
    <n v="865.11"/>
    <n v="484.94"/>
    <n v="131"/>
    <n v="33.880000000000003"/>
    <n v="1808.3500000000001"/>
    <n v="97.12"/>
  </r>
  <r>
    <x v="5"/>
    <x v="1"/>
    <x v="0"/>
    <s v="2451200"/>
    <n v="700026"/>
    <s v="Salaries-RN-Other"/>
    <s v="FMC Des Moines FM"/>
    <x v="0"/>
    <n v="2000"/>
    <n v="0"/>
    <n v="0"/>
    <n v="0"/>
    <n v="0"/>
    <n v="0"/>
    <n v="0"/>
    <n v="0"/>
    <n v="124.91"/>
    <n v="144.06"/>
    <n v="-11.38"/>
    <n v="0"/>
    <n v="0"/>
    <n v="257.59000000000003"/>
    <n v="0"/>
  </r>
  <r>
    <x v="5"/>
    <x v="1"/>
    <x v="0"/>
    <s v="2451200"/>
    <n v="700030"/>
    <s v="Salaries-LPN-Productive"/>
    <s v="FMC Des Moines FM"/>
    <x v="0"/>
    <m/>
    <n v="0"/>
    <n v="0"/>
    <n v="0"/>
    <n v="0"/>
    <n v="0"/>
    <n v="0"/>
    <n v="0"/>
    <n v="152.54"/>
    <n v="-43.58"/>
    <n v="445.25"/>
    <n v="0"/>
    <n v="0"/>
    <n v="554.21"/>
    <n v="0"/>
  </r>
  <r>
    <x v="5"/>
    <x v="1"/>
    <x v="0"/>
    <s v="2451200"/>
    <n v="700030"/>
    <s v="Salaries-LPN-Other"/>
    <s v="FMC Des Moines FM"/>
    <x v="0"/>
    <n v="2000"/>
    <n v="0"/>
    <n v="0"/>
    <n v="0"/>
    <n v="0"/>
    <n v="0"/>
    <n v="0"/>
    <n v="0"/>
    <n v="7.01"/>
    <n v="-2"/>
    <n v="19.53"/>
    <n v="0"/>
    <n v="0"/>
    <n v="24.54"/>
    <n v="0"/>
  </r>
  <r>
    <x v="5"/>
    <x v="1"/>
    <x v="0"/>
    <s v="2451200"/>
    <n v="700032"/>
    <s v="Salaries-Other Pat Care Providers-Productive"/>
    <s v="FMC Des Moines FM"/>
    <x v="0"/>
    <m/>
    <n v="14792.25"/>
    <n v="13741.58"/>
    <n v="9550.3799999999992"/>
    <n v="12249.17"/>
    <n v="11731.86"/>
    <n v="9582.4"/>
    <n v="12276.99"/>
    <n v="8176.79"/>
    <n v="10446.16"/>
    <n v="11931.67"/>
    <n v="15409.39"/>
    <n v="9685.17"/>
    <n v="139573.81"/>
    <n v="5724.2199999999993"/>
  </r>
  <r>
    <x v="5"/>
    <x v="1"/>
    <x v="0"/>
    <s v="2451200"/>
    <n v="700032"/>
    <s v="Salaries-Other Pat Care Providers-OT"/>
    <s v="FMC Des Moines FM"/>
    <x v="0"/>
    <n v="1000"/>
    <n v="448.9"/>
    <n v="262.98"/>
    <n v="1435.28"/>
    <n v="521.37"/>
    <n v="786.73"/>
    <n v="1124.74"/>
    <n v="1678.99"/>
    <n v="-355.3"/>
    <n v="605.12"/>
    <n v="907.57"/>
    <n v="34.619999999999997"/>
    <n v="84.71"/>
    <n v="7535.7099999999991"/>
    <n v="-50.089999999999996"/>
  </r>
  <r>
    <x v="5"/>
    <x v="1"/>
    <x v="0"/>
    <s v="2451200"/>
    <n v="700032"/>
    <s v="Salaries-Other Pat Care Providers-Other"/>
    <s v="FMC Des Moines FM"/>
    <x v="0"/>
    <n v="2000"/>
    <n v="238.88"/>
    <n v="229.89"/>
    <n v="677.91"/>
    <n v="227.35"/>
    <n v="241.76"/>
    <n v="270.58"/>
    <n v="242.38"/>
    <n v="202.75"/>
    <n v="216.14"/>
    <n v="262.49"/>
    <n v="227.32"/>
    <n v="207.51"/>
    <n v="3244.9599999999991"/>
    <n v="19.810000000000002"/>
  </r>
  <r>
    <x v="5"/>
    <x v="1"/>
    <x v="0"/>
    <s v="2451200"/>
    <n v="700054"/>
    <s v="Salaries-Management-NonProd-Other"/>
    <s v="FMC Des Moines FM"/>
    <x v="0"/>
    <n v="2000"/>
    <n v="0"/>
    <n v="0"/>
    <n v="0"/>
    <n v="0"/>
    <n v="0"/>
    <n v="351"/>
    <n v="-351"/>
    <n v="0"/>
    <n v="0"/>
    <n v="0"/>
    <n v="0"/>
    <n v="0"/>
    <n v="0"/>
    <n v="0"/>
  </r>
  <r>
    <x v="5"/>
    <x v="1"/>
    <x v="0"/>
    <s v="2451200"/>
    <n v="700062"/>
    <s v="Salaries-Physician-Non-productive"/>
    <s v="FMC Des Moines FM"/>
    <x v="0"/>
    <m/>
    <n v="1220.94"/>
    <n v="9914.34"/>
    <n v="-3304.78"/>
    <n v="24383.17"/>
    <n v="-3686.63"/>
    <n v="-2438.0100000000002"/>
    <n v="0"/>
    <n v="1354.77"/>
    <n v="2018.48"/>
    <n v="5704.27"/>
    <n v="5046.1899999999996"/>
    <n v="8236.82"/>
    <n v="48449.560000000005"/>
    <n v="-3190.63"/>
  </r>
  <r>
    <x v="5"/>
    <x v="1"/>
    <x v="0"/>
    <s v="2451200"/>
    <n v="700062"/>
    <s v="Salaries-Physician-NonProd-Other"/>
    <s v="FMC Des Moines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1200"/>
    <n v="700064"/>
    <s v="Salaries-Advanced Practice Clinician-Non-Productive"/>
    <s v="FMC Des Moines FM"/>
    <x v="0"/>
    <m/>
    <n v="0"/>
    <n v="0"/>
    <n v="7982.1"/>
    <n v="3149.92"/>
    <n v="4400.88"/>
    <n v="-1446.28"/>
    <n v="250.51"/>
    <n v="-0.14000000000000001"/>
    <n v="0"/>
    <n v="250.64"/>
    <n v="6634.1"/>
    <n v="3999.7"/>
    <n v="25221.430000000004"/>
    <n v="2634.4000000000005"/>
  </r>
  <r>
    <x v="5"/>
    <x v="1"/>
    <x v="0"/>
    <s v="2451200"/>
    <n v="700064"/>
    <s v="Salaries-Advanced Practice Clinician-Non-Prod-Other"/>
    <s v="FMC Des Moines FM"/>
    <x v="0"/>
    <n v="2000"/>
    <n v="0"/>
    <n v="0"/>
    <n v="0"/>
    <n v="0"/>
    <n v="429.36"/>
    <n v="0"/>
    <n v="0"/>
    <n v="-429.36"/>
    <n v="0"/>
    <n v="0"/>
    <n v="0"/>
    <n v="0"/>
    <n v="0"/>
    <n v="0"/>
  </r>
  <r>
    <x v="5"/>
    <x v="1"/>
    <x v="0"/>
    <s v="2451200"/>
    <n v="700066"/>
    <s v="Salaries-RN-Non-productive"/>
    <s v="FMC Des Moines FM"/>
    <x v="0"/>
    <m/>
    <n v="0"/>
    <n v="0"/>
    <n v="0"/>
    <n v="0"/>
    <n v="0"/>
    <n v="0"/>
    <n v="0"/>
    <n v="0"/>
    <n v="0"/>
    <n v="0"/>
    <n v="0"/>
    <n v="240.91"/>
    <n v="240.91"/>
    <n v="-240.91"/>
  </r>
  <r>
    <x v="5"/>
    <x v="1"/>
    <x v="0"/>
    <s v="2451200"/>
    <n v="700066"/>
    <s v="Salaries-RN-NonProd-Other"/>
    <s v="FMC Des Moines FM"/>
    <x v="0"/>
    <n v="2000"/>
    <n v="0"/>
    <n v="0"/>
    <n v="0"/>
    <n v="0"/>
    <n v="0"/>
    <n v="0"/>
    <n v="0"/>
    <n v="0"/>
    <n v="0"/>
    <n v="30.72"/>
    <n v="0"/>
    <n v="0"/>
    <n v="30.72"/>
    <n v="0"/>
  </r>
  <r>
    <x v="5"/>
    <x v="1"/>
    <x v="0"/>
    <s v="2451200"/>
    <n v="700072"/>
    <s v="Salaries-Other Pat Care Providers-Non-productive"/>
    <s v="FMC Des Moines FM"/>
    <x v="0"/>
    <m/>
    <n v="779.08"/>
    <n v="2003.02"/>
    <n v="665.08"/>
    <n v="576.12"/>
    <n v="75.73"/>
    <n v="3034.08"/>
    <n v="430.34"/>
    <n v="2620.09"/>
    <n v="1137.02"/>
    <n v="1099.33"/>
    <n v="696.45"/>
    <n v="2441.13"/>
    <n v="15557.470000000001"/>
    <n v="-1744.68"/>
  </r>
  <r>
    <x v="5"/>
    <x v="1"/>
    <x v="0"/>
    <s v="2451200"/>
    <n v="700072"/>
    <s v="Salaries-Other Pat Care Providers-NonProd-Other"/>
    <s v="FMC Des Moines FM"/>
    <x v="0"/>
    <n v="2000"/>
    <n v="0"/>
    <n v="0"/>
    <n v="0"/>
    <n v="0"/>
    <n v="494.42"/>
    <n v="499.37"/>
    <n v="0"/>
    <n v="-988.84"/>
    <n v="0"/>
    <n v="0"/>
    <n v="0"/>
    <n v="0"/>
    <n v="4.9499999999999318"/>
    <n v="0"/>
  </r>
  <r>
    <x v="5"/>
    <x v="1"/>
    <x v="0"/>
    <s v="2451200"/>
    <n v="700084"/>
    <s v="Accrued PTO"/>
    <s v="FMC Des Moines FM"/>
    <x v="0"/>
    <m/>
    <n v="-12.41"/>
    <n v="78.97"/>
    <n v="0.13"/>
    <n v="755.05"/>
    <n v="805.58"/>
    <n v="-1168.27"/>
    <n v="530.36"/>
    <n v="-978.1"/>
    <n v="313.04000000000002"/>
    <n v="280.31"/>
    <n v="1127.82"/>
    <n v="-291.55"/>
    <n v="1440.93"/>
    <n v="1419.37"/>
  </r>
  <r>
    <x v="6"/>
    <x v="1"/>
    <x v="0"/>
    <s v="2451200"/>
    <n v="713010"/>
    <s v="Benefits-FICA/Medicare"/>
    <s v="FMC Des Moines FM"/>
    <x v="0"/>
    <m/>
    <n v="3881.27"/>
    <n v="3486.09"/>
    <n v="2641.43"/>
    <n v="3056.98"/>
    <n v="2188.19"/>
    <n v="4752.68"/>
    <n v="7741.58"/>
    <n v="6860.98"/>
    <n v="7739.16"/>
    <n v="7783.33"/>
    <n v="7815.53"/>
    <n v="4521.88"/>
    <n v="62469.1"/>
    <n v="3293.6499999999996"/>
  </r>
  <r>
    <x v="6"/>
    <x v="1"/>
    <x v="0"/>
    <s v="2451200"/>
    <n v="713090"/>
    <s v="Benefits-Allocated Amounts"/>
    <s v="FMC Des Moines FM"/>
    <x v="0"/>
    <m/>
    <n v="0"/>
    <n v="0"/>
    <n v="0"/>
    <n v="0"/>
    <n v="0"/>
    <n v="0"/>
    <n v="0"/>
    <n v="0"/>
    <n v="48494.21"/>
    <n v="6218.42"/>
    <n v="6406.4"/>
    <n v="6256.26"/>
    <n v="67375.289999999994"/>
    <n v="150.13999999999942"/>
  </r>
  <r>
    <x v="6"/>
    <x v="1"/>
    <x v="0"/>
    <s v="2451200"/>
    <n v="713092"/>
    <s v="Allocated Benefits-Physician"/>
    <s v="FMC Des Moines FM"/>
    <x v="0"/>
    <m/>
    <n v="5778.39"/>
    <n v="5370.97"/>
    <n v="5107.05"/>
    <n v="5179.12"/>
    <n v="5087.26"/>
    <n v="5498.54"/>
    <n v="6497.61"/>
    <n v="6168.75"/>
    <n v="-18253.330000000002"/>
    <n v="3389.68"/>
    <n v="3492.15"/>
    <n v="3410.32"/>
    <n v="36726.51"/>
    <n v="81.829999999999927"/>
  </r>
  <r>
    <x v="6"/>
    <x v="1"/>
    <x v="0"/>
    <s v="2451200"/>
    <n v="713093"/>
    <s v="Allocated Benefits-Advanced Practice Clinician"/>
    <s v="FMC Des Moines FM"/>
    <x v="0"/>
    <m/>
    <n v="5170.1400000000003"/>
    <n v="4805.6099999999997"/>
    <n v="4569.46"/>
    <n v="4633.9399999999996"/>
    <n v="4551.76"/>
    <n v="4919.76"/>
    <n v="5813.64"/>
    <n v="5519.42"/>
    <n v="-16331.94"/>
    <n v="3032.88"/>
    <n v="3124.55"/>
    <n v="3051.34"/>
    <n v="32860.559999999998"/>
    <n v="73.210000000000036"/>
  </r>
  <r>
    <x v="7"/>
    <x v="1"/>
    <x v="0"/>
    <s v="2451200"/>
    <n v="718050"/>
    <s v="Management Fees"/>
    <s v="FMC Des Moines FM"/>
    <x v="0"/>
    <n v="1004"/>
    <n v="0"/>
    <n v="0"/>
    <n v="0"/>
    <n v="0"/>
    <n v="0"/>
    <n v="294.5"/>
    <n v="0"/>
    <n v="0"/>
    <n v="0"/>
    <n v="0"/>
    <n v="0"/>
    <n v="0"/>
    <n v="294.5"/>
    <n v="0"/>
  </r>
  <r>
    <x v="7"/>
    <x v="1"/>
    <x v="0"/>
    <s v="2451200"/>
    <n v="718050"/>
    <s v="Miscellaneous Purchased Svcs"/>
    <s v="FMC Des Moines FM"/>
    <x v="0"/>
    <n v="1020"/>
    <n v="117.59"/>
    <n v="233.7"/>
    <n v="8.3800000000000008"/>
    <n v="117.59"/>
    <n v="117.59"/>
    <n v="117.59"/>
    <n v="301.47000000000003"/>
    <n v="-63.2"/>
    <n v="88.72"/>
    <n v="117.59"/>
    <n v="117.59"/>
    <n v="1479.37"/>
    <n v="2753.9799999999996"/>
    <n v="-1361.78"/>
  </r>
  <r>
    <x v="7"/>
    <x v="1"/>
    <x v="0"/>
    <s v="2451200"/>
    <n v="718050"/>
    <s v="Translation Services"/>
    <s v="FMC Des Moines FM"/>
    <x v="0"/>
    <n v="1025"/>
    <n v="0"/>
    <n v="0"/>
    <n v="0"/>
    <n v="0"/>
    <n v="32"/>
    <n v="0"/>
    <n v="49"/>
    <n v="0"/>
    <n v="0"/>
    <n v="0"/>
    <n v="0"/>
    <n v="0"/>
    <n v="81"/>
    <n v="0"/>
  </r>
  <r>
    <x v="7"/>
    <x v="1"/>
    <x v="0"/>
    <s v="2451200"/>
    <n v="718050"/>
    <s v="Contract Management--Linen"/>
    <s v="FMC Des Moines FM"/>
    <x v="0"/>
    <n v="1026"/>
    <n v="158.79"/>
    <n v="287.26"/>
    <n v="287.89"/>
    <n v="193.95"/>
    <n v="185.52"/>
    <n v="90.89"/>
    <n v="373.18"/>
    <n v="141.03"/>
    <n v="278.14999999999998"/>
    <n v="101.01"/>
    <n v="39.5"/>
    <n v="186.15"/>
    <n v="2323.3200000000002"/>
    <n v="-146.65"/>
  </r>
  <r>
    <x v="7"/>
    <x v="1"/>
    <x v="0"/>
    <s v="2451200"/>
    <n v="718050"/>
    <s v="Purchased Srvcs--Medical Waste"/>
    <s v="FMC Des Moines FM"/>
    <x v="0"/>
    <n v="1027"/>
    <n v="61.73"/>
    <n v="0.77"/>
    <n v="81.680000000000007"/>
    <n v="72.09"/>
    <n v="61.73"/>
    <n v="118.42"/>
    <n v="123.46"/>
    <n v="62.03"/>
    <n v="62.03"/>
    <n v="10.36"/>
    <n v="61.26"/>
    <n v="0"/>
    <n v="715.56"/>
    <n v="61.26"/>
  </r>
  <r>
    <x v="11"/>
    <x v="1"/>
    <x v="0"/>
    <s v="2451200"/>
    <n v="721010"/>
    <s v="Supplies-Medical - Billable"/>
    <s v="FMC Des Moines FM"/>
    <x v="0"/>
    <m/>
    <n v="0"/>
    <n v="0"/>
    <n v="0"/>
    <n v="0"/>
    <n v="0"/>
    <n v="0"/>
    <n v="0"/>
    <n v="0"/>
    <n v="0"/>
    <n v="682"/>
    <n v="0"/>
    <n v="0"/>
    <n v="682"/>
    <n v="0"/>
  </r>
  <r>
    <x v="11"/>
    <x v="1"/>
    <x v="0"/>
    <s v="2451200"/>
    <n v="721250"/>
    <s v="Supplies-Pharmacy Drugs - Billable"/>
    <s v="FMC Des Moines FM"/>
    <x v="0"/>
    <m/>
    <n v="4553.05"/>
    <n v="4918.1499999999996"/>
    <n v="4949.97"/>
    <n v="7285.49"/>
    <n v="7131.25"/>
    <n v="11383.39"/>
    <n v="6688.2"/>
    <n v="2531.4"/>
    <n v="5605.42"/>
    <n v="1037"/>
    <n v="5794.19"/>
    <n v="7118.09"/>
    <n v="68995.600000000006"/>
    <n v="-1323.9000000000005"/>
  </r>
  <r>
    <x v="11"/>
    <x v="1"/>
    <x v="0"/>
    <s v="2451200"/>
    <n v="721410"/>
    <s v="Supplies-Medical - Nonbillable"/>
    <s v="FMC Des Moines FM"/>
    <x v="0"/>
    <m/>
    <n v="2295.46"/>
    <n v="1256.1600000000001"/>
    <n v="1225.3399999999999"/>
    <n v="2775.58"/>
    <n v="1959.23"/>
    <n v="81.78"/>
    <n v="1640.51"/>
    <n v="2340.65"/>
    <n v="1556.97"/>
    <n v="1607.26"/>
    <n v="350.04"/>
    <n v="3393.21"/>
    <n v="20482.189999999999"/>
    <n v="-3043.17"/>
  </r>
  <r>
    <x v="11"/>
    <x v="1"/>
    <x v="0"/>
    <s v="2451200"/>
    <n v="721830"/>
    <s v="Supplies-Office"/>
    <s v="FMC Des Moines FM"/>
    <x v="0"/>
    <m/>
    <n v="0"/>
    <n v="0"/>
    <n v="0"/>
    <n v="0"/>
    <n v="0"/>
    <n v="0"/>
    <n v="0"/>
    <n v="0"/>
    <n v="0"/>
    <n v="568.77"/>
    <n v="0"/>
    <n v="0"/>
    <n v="568.77"/>
    <n v="0"/>
  </r>
  <r>
    <x v="11"/>
    <x v="1"/>
    <x v="0"/>
    <s v="2451200"/>
    <n v="721980"/>
    <s v="Supplies-Other"/>
    <s v="FMC Des Moines FM"/>
    <x v="0"/>
    <m/>
    <n v="0"/>
    <n v="0"/>
    <n v="0"/>
    <n v="0"/>
    <n v="0"/>
    <n v="0"/>
    <n v="0"/>
    <n v="0"/>
    <n v="0"/>
    <n v="0"/>
    <n v="0"/>
    <n v="280.5"/>
    <n v="280.5"/>
    <n v="-280.5"/>
  </r>
  <r>
    <x v="11"/>
    <x v="1"/>
    <x v="0"/>
    <s v="2451200"/>
    <n v="722000"/>
    <s v="Supplies-Freight Expense"/>
    <s v="FMC Des Moines FM"/>
    <x v="0"/>
    <m/>
    <n v="0"/>
    <n v="0"/>
    <n v="0"/>
    <n v="65.19"/>
    <n v="0"/>
    <n v="0"/>
    <n v="0"/>
    <n v="0"/>
    <n v="0"/>
    <n v="0"/>
    <n v="0"/>
    <n v="27.67"/>
    <n v="92.86"/>
    <n v="-27.67"/>
  </r>
  <r>
    <x v="12"/>
    <x v="1"/>
    <x v="0"/>
    <s v="2451200"/>
    <n v="730020"/>
    <s v="Rental and Leases-Equipment (DO NOT USE)"/>
    <s v="FMC Des Moines FM"/>
    <x v="0"/>
    <m/>
    <n v="0"/>
    <n v="0"/>
    <n v="0"/>
    <n v="61.5"/>
    <n v="192.1"/>
    <n v="0"/>
    <n v="41.9"/>
    <n v="41.9"/>
    <n v="20.95"/>
    <n v="0"/>
    <n v="0"/>
    <n v="0"/>
    <n v="358.34999999999997"/>
    <n v="0"/>
  </r>
  <r>
    <x v="12"/>
    <x v="1"/>
    <x v="0"/>
    <s v="2451200"/>
    <n v="730020"/>
    <s v="Rental and Leases-Copier Usage Fees (DO NOT USE)"/>
    <s v="FMC Des Moines FM"/>
    <x v="0"/>
    <n v="5100"/>
    <n v="308.85000000000002"/>
    <n v="310.39"/>
    <n v="309.62"/>
    <n v="309.62"/>
    <n v="309.62"/>
    <n v="309.62"/>
    <n v="178.84"/>
    <n v="227.32"/>
    <n v="226.84"/>
    <n v="414.32"/>
    <n v="230.02"/>
    <n v="266.25"/>
    <n v="3401.31"/>
    <n v="-36.22999999999999"/>
  </r>
  <r>
    <x v="0"/>
    <x v="1"/>
    <x v="0"/>
    <s v="2451200"/>
    <n v="740020"/>
    <s v="Education-Registration Fees"/>
    <s v="FMC Des Moines FM"/>
    <x v="0"/>
    <m/>
    <n v="0"/>
    <n v="0"/>
    <n v="0"/>
    <n v="0"/>
    <n v="0"/>
    <n v="0"/>
    <n v="0"/>
    <n v="0"/>
    <n v="495"/>
    <n v="0"/>
    <n v="0"/>
    <n v="0"/>
    <n v="495"/>
    <n v="0"/>
  </r>
  <r>
    <x v="0"/>
    <x v="1"/>
    <x v="0"/>
    <s v="2451200"/>
    <n v="740022"/>
    <s v="Education-Physician"/>
    <s v="FMC Des Moines FM"/>
    <x v="0"/>
    <m/>
    <n v="1250"/>
    <n v="0"/>
    <n v="0"/>
    <n v="0"/>
    <n v="0"/>
    <n v="0"/>
    <n v="0"/>
    <n v="0"/>
    <n v="0"/>
    <n v="0"/>
    <n v="0"/>
    <n v="0"/>
    <n v="1250"/>
    <n v="0"/>
  </r>
  <r>
    <x v="0"/>
    <x v="1"/>
    <x v="0"/>
    <s v="2451200"/>
    <n v="740022"/>
    <s v="Books-Physician"/>
    <s v="FMC Des Moines FM"/>
    <x v="0"/>
    <n v="2000"/>
    <n v="0"/>
    <n v="0"/>
    <n v="0"/>
    <n v="0"/>
    <n v="0"/>
    <n v="0"/>
    <n v="0"/>
    <n v="0"/>
    <n v="0"/>
    <n v="0"/>
    <n v="0"/>
    <n v="672"/>
    <n v="672"/>
    <n v="-672"/>
  </r>
  <r>
    <x v="0"/>
    <x v="1"/>
    <x v="0"/>
    <s v="2451200"/>
    <n v="740022"/>
    <s v="Education Travel-Physician"/>
    <s v="FMC Des Moines FM"/>
    <x v="0"/>
    <n v="2001"/>
    <n v="146"/>
    <n v="0"/>
    <n v="0"/>
    <n v="0"/>
    <n v="0"/>
    <n v="0"/>
    <n v="0"/>
    <n v="0"/>
    <n v="0"/>
    <n v="0"/>
    <n v="0"/>
    <n v="0"/>
    <n v="146"/>
    <n v="0"/>
  </r>
  <r>
    <x v="0"/>
    <x v="1"/>
    <x v="0"/>
    <s v="2451200"/>
    <n v="740023"/>
    <s v="Education-Advanced Practice Clinician"/>
    <s v="FMC Des Moines FM"/>
    <x v="0"/>
    <m/>
    <n v="0"/>
    <n v="0"/>
    <n v="0"/>
    <n v="0"/>
    <n v="0"/>
    <n v="0"/>
    <n v="0"/>
    <n v="0"/>
    <n v="0"/>
    <n v="0"/>
    <n v="0"/>
    <n v="650"/>
    <n v="650"/>
    <n v="-650"/>
  </r>
  <r>
    <x v="0"/>
    <x v="1"/>
    <x v="0"/>
    <s v="2451200"/>
    <n v="740023"/>
    <s v="Education Travel-Advanced Practice Clinician"/>
    <s v="FMC Des Moines FM"/>
    <x v="0"/>
    <n v="2001"/>
    <n v="0"/>
    <n v="0"/>
    <n v="0"/>
    <n v="0"/>
    <n v="0"/>
    <n v="0"/>
    <n v="0"/>
    <n v="0"/>
    <n v="0"/>
    <n v="0"/>
    <n v="0"/>
    <n v="1080"/>
    <n v="1080"/>
    <n v="-1080"/>
  </r>
  <r>
    <x v="8"/>
    <x v="1"/>
    <x v="0"/>
    <s v="2451200"/>
    <n v="741012"/>
    <s v="Physician Liab Insurance-CHI Program"/>
    <s v="FMC Des Moines FM"/>
    <x v="0"/>
    <m/>
    <n v="809.97"/>
    <n v="809.97"/>
    <n v="809.97"/>
    <n v="809.97"/>
    <n v="809.97"/>
    <n v="809.97"/>
    <n v="809.97"/>
    <n v="809.97"/>
    <n v="809.97"/>
    <n v="809.97"/>
    <n v="809.97"/>
    <n v="809.97"/>
    <n v="9719.6400000000012"/>
    <n v="0"/>
  </r>
  <r>
    <x v="0"/>
    <x v="1"/>
    <x v="0"/>
    <s v="2451200"/>
    <n v="742040"/>
    <s v="Freight-Other"/>
    <s v="FMC Des Moines FM"/>
    <x v="0"/>
    <m/>
    <n v="0"/>
    <n v="0"/>
    <n v="0"/>
    <n v="0"/>
    <n v="0"/>
    <n v="0"/>
    <n v="0"/>
    <n v="0"/>
    <n v="0"/>
    <n v="0"/>
    <n v="0"/>
    <n v="10.95"/>
    <n v="10.95"/>
    <n v="-10.95"/>
  </r>
  <r>
    <x v="0"/>
    <x v="1"/>
    <x v="0"/>
    <s v="2451200"/>
    <n v="743010"/>
    <s v="Dues--Institutional"/>
    <s v="FMC Des Moines FM"/>
    <x v="0"/>
    <m/>
    <n v="0"/>
    <n v="0"/>
    <n v="0"/>
    <n v="0"/>
    <n v="0"/>
    <n v="0"/>
    <n v="0"/>
    <n v="0"/>
    <n v="0"/>
    <n v="0"/>
    <n v="585"/>
    <n v="0"/>
    <n v="585"/>
    <n v="585"/>
  </r>
  <r>
    <x v="0"/>
    <x v="1"/>
    <x v="0"/>
    <s v="2451200"/>
    <n v="743020"/>
    <s v="Provider-Dues"/>
    <s v="FMC Des Moines FM"/>
    <x v="0"/>
    <n v="2200"/>
    <n v="0"/>
    <n v="0"/>
    <n v="0"/>
    <n v="0"/>
    <n v="0"/>
    <n v="0"/>
    <n v="0"/>
    <n v="1320"/>
    <n v="0"/>
    <n v="0"/>
    <n v="0"/>
    <n v="0"/>
    <n v="1320"/>
    <n v="0"/>
  </r>
  <r>
    <x v="0"/>
    <x v="1"/>
    <x v="0"/>
    <s v="2451200"/>
    <n v="743042"/>
    <s v="Subscriptions-Physician"/>
    <s v="FMC Des Moines FM"/>
    <x v="0"/>
    <m/>
    <n v="0"/>
    <n v="0"/>
    <n v="0"/>
    <n v="0"/>
    <n v="0"/>
    <n v="0"/>
    <n v="0"/>
    <n v="174.99"/>
    <n v="0"/>
    <n v="0"/>
    <n v="0"/>
    <n v="0"/>
    <n v="174.99"/>
    <n v="0"/>
  </r>
  <r>
    <x v="0"/>
    <x v="1"/>
    <x v="0"/>
    <s v="2451200"/>
    <n v="743043"/>
    <s v="Subscriptions-Advanced Practice Clinician"/>
    <s v="FMC Des Moines FM"/>
    <x v="0"/>
    <m/>
    <n v="0"/>
    <n v="0"/>
    <n v="0"/>
    <n v="0"/>
    <n v="0"/>
    <n v="0"/>
    <n v="0"/>
    <n v="0"/>
    <n v="0"/>
    <n v="185"/>
    <n v="0"/>
    <n v="87"/>
    <n v="272"/>
    <n v="-87"/>
  </r>
  <r>
    <x v="0"/>
    <x v="1"/>
    <x v="0"/>
    <s v="2451200"/>
    <n v="749510"/>
    <s v="Miscellaneous Expenses"/>
    <s v="FMC Des Moines FM"/>
    <x v="0"/>
    <m/>
    <n v="-2590.5100000000002"/>
    <n v="0"/>
    <n v="0"/>
    <n v="0"/>
    <n v="1085"/>
    <n v="0"/>
    <n v="0"/>
    <n v="0"/>
    <n v="0"/>
    <n v="0"/>
    <n v="0"/>
    <n v="699"/>
    <n v="-806.51000000000022"/>
    <n v="-699"/>
  </r>
  <r>
    <x v="0"/>
    <x v="1"/>
    <x v="0"/>
    <s v="2451200"/>
    <n v="749513"/>
    <s v="Licenses-Advanced Practice Clinician"/>
    <s v="FMC Des Moines FM"/>
    <x v="0"/>
    <n v="2000"/>
    <n v="0"/>
    <n v="0"/>
    <n v="0"/>
    <n v="0"/>
    <n v="0"/>
    <n v="0"/>
    <n v="0"/>
    <n v="0"/>
    <n v="0"/>
    <n v="204.5"/>
    <n v="0"/>
    <n v="0"/>
    <n v="204.5"/>
    <n v="0"/>
  </r>
  <r>
    <x v="0"/>
    <x v="1"/>
    <x v="0"/>
    <s v="2451200"/>
    <n v="749532"/>
    <s v="Travel-Physician"/>
    <s v="FMC Des Moines FM"/>
    <x v="0"/>
    <m/>
    <n v="2732.38"/>
    <n v="0"/>
    <n v="0"/>
    <n v="0"/>
    <n v="0"/>
    <n v="0"/>
    <n v="0"/>
    <n v="0"/>
    <n v="0"/>
    <n v="0"/>
    <n v="0"/>
    <n v="0"/>
    <n v="2732.38"/>
    <n v="0"/>
  </r>
  <r>
    <x v="0"/>
    <x v="1"/>
    <x v="0"/>
    <s v="2451200"/>
    <n v="749533"/>
    <s v="Travel-Advanced Practice Clinician"/>
    <s v="FMC Des Moines FM"/>
    <x v="0"/>
    <m/>
    <n v="0"/>
    <n v="0"/>
    <n v="0"/>
    <n v="1024.33"/>
    <n v="281.69"/>
    <n v="0"/>
    <n v="0"/>
    <n v="664.55"/>
    <n v="0"/>
    <n v="0"/>
    <n v="0"/>
    <n v="262.77"/>
    <n v="2233.34"/>
    <n v="-262.77"/>
  </r>
  <r>
    <x v="1"/>
    <x v="1"/>
    <x v="0"/>
    <s v="2453200"/>
    <n v="400040"/>
    <s v="Physician Svcs Rev--Medicaid"/>
    <s v="FMC-Riverton FM"/>
    <x v="0"/>
    <n v="1200"/>
    <n v="0"/>
    <n v="0"/>
    <n v="-399"/>
    <n v="0"/>
    <n v="0"/>
    <n v="0"/>
    <n v="0"/>
    <n v="0"/>
    <n v="0"/>
    <n v="0"/>
    <n v="0"/>
    <n v="0"/>
    <n v="-399"/>
    <n v="0"/>
  </r>
  <r>
    <x v="1"/>
    <x v="1"/>
    <x v="0"/>
    <s v="2453200"/>
    <n v="400040"/>
    <s v="Physician Svcs Rev--Other"/>
    <s v="FMC-Riverton FM"/>
    <x v="0"/>
    <n v="1700"/>
    <n v="0"/>
    <n v="0"/>
    <n v="437"/>
    <n v="0"/>
    <n v="0"/>
    <n v="0"/>
    <n v="0"/>
    <n v="0"/>
    <n v="0"/>
    <n v="0"/>
    <n v="0"/>
    <n v="0"/>
    <n v="437"/>
    <n v="0"/>
  </r>
  <r>
    <x v="2"/>
    <x v="1"/>
    <x v="0"/>
    <s v="2453200"/>
    <n v="450029"/>
    <s v="Admin Adjust-MD Other-Self Pay"/>
    <s v="FMC-Riverton FM"/>
    <x v="0"/>
    <n v="1600"/>
    <n v="2.2400000000000002"/>
    <n v="9.9600000000000009"/>
    <n v="0"/>
    <n v="16.989999999999998"/>
    <n v="0"/>
    <n v="0"/>
    <n v="0"/>
    <n v="5.82"/>
    <n v="0"/>
    <n v="0"/>
    <n v="0"/>
    <n v="0"/>
    <n v="35.01"/>
    <n v="0"/>
  </r>
  <r>
    <x v="2"/>
    <x v="1"/>
    <x v="0"/>
    <s v="2453200"/>
    <n v="450040"/>
    <s v="Contr Allow--Phys Svcs--Mcare"/>
    <s v="FMC-Riverton FM"/>
    <x v="0"/>
    <n v="1100"/>
    <n v="0"/>
    <n v="-0.22"/>
    <n v="0"/>
    <n v="0"/>
    <n v="0"/>
    <n v="138.65"/>
    <n v="0"/>
    <n v="0"/>
    <n v="0"/>
    <n v="-17.100000000000001"/>
    <n v="0"/>
    <n v="0"/>
    <n v="121.33000000000001"/>
    <n v="0"/>
  </r>
  <r>
    <x v="2"/>
    <x v="1"/>
    <x v="0"/>
    <s v="2453200"/>
    <n v="450040"/>
    <s v="Contr Allow--Phys Svcs--Mcaid"/>
    <s v="FMC-Riverton FM"/>
    <x v="0"/>
    <n v="1200"/>
    <n v="0"/>
    <n v="0"/>
    <n v="250.45"/>
    <n v="-156.38"/>
    <n v="0"/>
    <n v="-230.96"/>
    <n v="-315.52"/>
    <n v="-57.11"/>
    <n v="0"/>
    <n v="-11.92"/>
    <n v="0"/>
    <n v="0"/>
    <n v="-521.43999999999994"/>
    <n v="0"/>
  </r>
  <r>
    <x v="2"/>
    <x v="1"/>
    <x v="0"/>
    <s v="2453200"/>
    <n v="450040"/>
    <s v="Contr Allow--Phys Svcs--Comm Insurance"/>
    <s v="FMC-Riverton FM"/>
    <x v="0"/>
    <n v="1300"/>
    <n v="-218.02"/>
    <n v="0"/>
    <n v="0"/>
    <n v="0"/>
    <n v="-192"/>
    <n v="0"/>
    <n v="0"/>
    <n v="168.72"/>
    <n v="0"/>
    <n v="0"/>
    <n v="218.02"/>
    <n v="0"/>
    <n v="-23.279999999999973"/>
    <n v="218.02"/>
  </r>
  <r>
    <x v="2"/>
    <x v="1"/>
    <x v="0"/>
    <s v="2453200"/>
    <n v="450040"/>
    <s v="Contr Allow--Phys Svcs--Managed Care"/>
    <s v="FMC-Riverton FM"/>
    <x v="0"/>
    <n v="1400"/>
    <n v="0"/>
    <n v="50.05"/>
    <n v="-66.48"/>
    <n v="-93.49"/>
    <n v="-69.7"/>
    <n v="0"/>
    <n v="0"/>
    <n v="0"/>
    <n v="-277.18"/>
    <n v="0"/>
    <n v="0"/>
    <n v="0"/>
    <n v="-456.8"/>
    <n v="0"/>
  </r>
  <r>
    <x v="2"/>
    <x v="1"/>
    <x v="0"/>
    <s v="2453200"/>
    <n v="450040"/>
    <s v="Prompt Pay Disc-Phys Svcs-Self Pay"/>
    <s v="FMC-Riverton FM"/>
    <x v="0"/>
    <n v="1500"/>
    <n v="0"/>
    <n v="0"/>
    <n v="0"/>
    <n v="43.47"/>
    <n v="0"/>
    <n v="0"/>
    <n v="0"/>
    <n v="0"/>
    <n v="0"/>
    <n v="0"/>
    <n v="0"/>
    <n v="0"/>
    <n v="43.47"/>
    <n v="0"/>
  </r>
  <r>
    <x v="2"/>
    <x v="1"/>
    <x v="0"/>
    <s v="2453200"/>
    <n v="450040"/>
    <s v="Admin Adjust-Phys Svcs-Self Pay"/>
    <s v="FMC-Riverton FM"/>
    <x v="0"/>
    <n v="1600"/>
    <n v="2.5"/>
    <n v="42.2"/>
    <n v="-241"/>
    <n v="423.15"/>
    <n v="179.36"/>
    <n v="0"/>
    <n v="25"/>
    <n v="-234.78"/>
    <n v="0"/>
    <n v="0"/>
    <n v="0"/>
    <n v="0"/>
    <n v="196.42999999999998"/>
    <n v="0"/>
  </r>
  <r>
    <x v="3"/>
    <x v="1"/>
    <x v="0"/>
    <s v="2453200"/>
    <n v="470040"/>
    <s v="Charity Care-Physician Svcs"/>
    <s v="FMC-Riverton FM"/>
    <x v="0"/>
    <m/>
    <n v="89"/>
    <n v="0"/>
    <n v="53"/>
    <n v="0"/>
    <n v="0"/>
    <n v="0"/>
    <n v="0"/>
    <n v="0"/>
    <n v="0"/>
    <n v="0"/>
    <n v="0"/>
    <n v="123.65"/>
    <n v="265.64999999999998"/>
    <n v="-123.65"/>
  </r>
  <r>
    <x v="4"/>
    <x v="1"/>
    <x v="0"/>
    <s v="2453200"/>
    <n v="490010"/>
    <s v="Provision for Bad Debts"/>
    <s v="FMC-Riverton FM"/>
    <x v="0"/>
    <m/>
    <n v="-665.82"/>
    <n v="-40.65"/>
    <n v="-209.69"/>
    <n v="-107.88"/>
    <n v="-520.71"/>
    <n v="-253.71"/>
    <n v="-61.26"/>
    <n v="253.4"/>
    <n v="-6.25"/>
    <n v="-419.58"/>
    <n v="-18.34"/>
    <n v="-315.77"/>
    <n v="-2366.2599999999998"/>
    <n v="297.43"/>
  </r>
  <r>
    <x v="1"/>
    <x v="1"/>
    <x v="0"/>
    <s v="2454200"/>
    <n v="400029"/>
    <s v="MD Practice Other Rev--Medicare"/>
    <s v="FMC-South Seattle FM"/>
    <x v="0"/>
    <n v="1100"/>
    <n v="0"/>
    <n v="-10"/>
    <n v="0"/>
    <n v="0"/>
    <n v="0"/>
    <n v="0"/>
    <n v="0"/>
    <n v="0"/>
    <n v="0"/>
    <n v="0"/>
    <n v="0"/>
    <n v="0"/>
    <n v="-10"/>
    <n v="0"/>
  </r>
  <r>
    <x v="1"/>
    <x v="1"/>
    <x v="0"/>
    <s v="2454200"/>
    <n v="400029"/>
    <s v="MD Practice Other Rev--Medicaid"/>
    <s v="FMC-South Seattle FM"/>
    <x v="0"/>
    <n v="1200"/>
    <n v="0"/>
    <n v="10"/>
    <n v="0"/>
    <n v="0"/>
    <n v="0"/>
    <n v="0"/>
    <n v="0"/>
    <n v="0"/>
    <n v="0"/>
    <n v="0"/>
    <n v="0"/>
    <n v="0"/>
    <n v="10"/>
    <n v="0"/>
  </r>
  <r>
    <x v="1"/>
    <x v="1"/>
    <x v="0"/>
    <s v="2454200"/>
    <n v="400040"/>
    <s v="Physician Svcs Rev--Medicare"/>
    <s v="FMC-South Seattle FM"/>
    <x v="0"/>
    <n v="1100"/>
    <n v="0"/>
    <n v="-693"/>
    <n v="0"/>
    <n v="0"/>
    <n v="0"/>
    <n v="0"/>
    <n v="0"/>
    <n v="0"/>
    <n v="0"/>
    <n v="0"/>
    <n v="0"/>
    <n v="0"/>
    <n v="-693"/>
    <n v="0"/>
  </r>
  <r>
    <x v="1"/>
    <x v="1"/>
    <x v="0"/>
    <s v="2454200"/>
    <n v="400040"/>
    <s v="Physician Svcs Rev--Medicaid"/>
    <s v="FMC-South Seattle FM"/>
    <x v="0"/>
    <n v="1200"/>
    <n v="0"/>
    <n v="693"/>
    <n v="0"/>
    <n v="0"/>
    <n v="0"/>
    <n v="0"/>
    <n v="0"/>
    <n v="0"/>
    <n v="0"/>
    <n v="0"/>
    <n v="0"/>
    <n v="0"/>
    <n v="693"/>
    <n v="0"/>
  </r>
  <r>
    <x v="1"/>
    <x v="1"/>
    <x v="0"/>
    <s v="2454200"/>
    <n v="400040"/>
    <s v="Physician Svcs Rev--Comm Insurance"/>
    <s v="FMC-South Seattle FM"/>
    <x v="0"/>
    <n v="1300"/>
    <n v="196"/>
    <n v="0"/>
    <n v="0"/>
    <n v="0"/>
    <n v="0"/>
    <n v="0"/>
    <n v="0"/>
    <n v="0"/>
    <n v="0"/>
    <n v="0"/>
    <n v="0"/>
    <n v="0"/>
    <n v="196"/>
    <n v="0"/>
  </r>
  <r>
    <x v="1"/>
    <x v="1"/>
    <x v="0"/>
    <s v="2454200"/>
    <n v="400040"/>
    <s v="Physician Svcs Rev--Managed Care"/>
    <s v="FMC-South Seattle FM"/>
    <x v="0"/>
    <n v="1400"/>
    <n v="-196"/>
    <n v="0"/>
    <n v="0"/>
    <n v="0"/>
    <n v="0"/>
    <n v="0"/>
    <n v="0"/>
    <n v="0"/>
    <n v="0"/>
    <n v="0"/>
    <n v="0"/>
    <n v="0"/>
    <n v="-196"/>
    <n v="0"/>
  </r>
  <r>
    <x v="2"/>
    <x v="1"/>
    <x v="0"/>
    <s v="2454200"/>
    <n v="450029"/>
    <s v="Contr Allow--MD Other-Medicaid"/>
    <s v="FMC-South Seattle FM"/>
    <x v="0"/>
    <n v="1200"/>
    <n v="0"/>
    <n v="-6.78"/>
    <n v="0"/>
    <n v="0"/>
    <n v="0"/>
    <n v="0"/>
    <n v="0"/>
    <n v="0"/>
    <n v="0"/>
    <n v="0"/>
    <n v="0"/>
    <n v="0"/>
    <n v="-6.78"/>
    <n v="0"/>
  </r>
  <r>
    <x v="2"/>
    <x v="1"/>
    <x v="0"/>
    <s v="2454200"/>
    <n v="450029"/>
    <s v="Admin Adjust-MD Other-Self Pay"/>
    <s v="FMC-South Seattle FM"/>
    <x v="0"/>
    <n v="1600"/>
    <n v="0"/>
    <n v="14.74"/>
    <n v="0"/>
    <n v="1.99"/>
    <n v="0"/>
    <n v="0"/>
    <n v="0"/>
    <n v="0"/>
    <n v="0"/>
    <n v="0"/>
    <n v="0"/>
    <n v="0"/>
    <n v="16.73"/>
    <n v="0"/>
  </r>
  <r>
    <x v="2"/>
    <x v="1"/>
    <x v="0"/>
    <s v="2454200"/>
    <n v="450040"/>
    <s v="Contr Allow--Phys Svcs--Mcare"/>
    <s v="FMC-South Seattle FM"/>
    <x v="0"/>
    <n v="1100"/>
    <n v="-946.23"/>
    <n v="0"/>
    <n v="0"/>
    <n v="-59"/>
    <n v="0"/>
    <n v="0"/>
    <n v="743.2"/>
    <n v="0"/>
    <n v="0"/>
    <n v="0"/>
    <n v="0"/>
    <n v="0"/>
    <n v="-262.02999999999997"/>
    <n v="0"/>
  </r>
  <r>
    <x v="2"/>
    <x v="1"/>
    <x v="0"/>
    <s v="2454200"/>
    <n v="450040"/>
    <s v="Contr Allow--Phys Svcs--Mcaid"/>
    <s v="FMC-South Seattle FM"/>
    <x v="0"/>
    <n v="1200"/>
    <n v="0"/>
    <n v="-524.5"/>
    <n v="0"/>
    <n v="0"/>
    <n v="-177.66"/>
    <n v="0"/>
    <n v="0"/>
    <n v="-38.71"/>
    <n v="0"/>
    <n v="0"/>
    <n v="0"/>
    <n v="0"/>
    <n v="-740.87"/>
    <n v="0"/>
  </r>
  <r>
    <x v="2"/>
    <x v="1"/>
    <x v="0"/>
    <s v="2454200"/>
    <n v="450040"/>
    <s v="Contr Allow--Phys Svcs--BCBS Comm Ins"/>
    <s v="FMC-South Seattle FM"/>
    <x v="0"/>
    <n v="1301"/>
    <n v="25"/>
    <n v="0"/>
    <n v="-68.349999999999994"/>
    <n v="-100.46"/>
    <n v="0"/>
    <n v="0"/>
    <n v="0"/>
    <n v="0"/>
    <n v="0"/>
    <n v="0"/>
    <n v="0"/>
    <n v="0"/>
    <n v="-143.81"/>
    <n v="0"/>
  </r>
  <r>
    <x v="2"/>
    <x v="1"/>
    <x v="0"/>
    <s v="2454200"/>
    <n v="450040"/>
    <s v="Contr Allow--Phys Svcs--Managed Care"/>
    <s v="FMC-South Seattle FM"/>
    <x v="0"/>
    <n v="1400"/>
    <n v="196"/>
    <n v="0"/>
    <n v="321"/>
    <n v="-283.77999999999997"/>
    <n v="0"/>
    <n v="-66.48"/>
    <n v="0"/>
    <n v="0"/>
    <n v="0"/>
    <n v="-95.65"/>
    <n v="0"/>
    <n v="38"/>
    <n v="109.09"/>
    <n v="-38"/>
  </r>
  <r>
    <x v="2"/>
    <x v="1"/>
    <x v="0"/>
    <s v="2454200"/>
    <n v="450040"/>
    <s v="Admin Adjust-Phys Svcs-Self Pay"/>
    <s v="FMC-South Seattle FM"/>
    <x v="0"/>
    <n v="1600"/>
    <n v="1.92"/>
    <n v="1461.06"/>
    <n v="400"/>
    <n v="396.73"/>
    <n v="80.75"/>
    <n v="0"/>
    <n v="-192.33"/>
    <n v="0"/>
    <n v="0"/>
    <n v="0"/>
    <n v="0"/>
    <n v="0"/>
    <n v="2148.13"/>
    <n v="0"/>
  </r>
  <r>
    <x v="3"/>
    <x v="1"/>
    <x v="0"/>
    <s v="2454200"/>
    <n v="470040"/>
    <s v="Charity Care-Physician Svcs"/>
    <s v="FMC-South Seattle FM"/>
    <x v="0"/>
    <m/>
    <n v="0"/>
    <n v="0"/>
    <n v="0"/>
    <n v="0"/>
    <n v="0"/>
    <n v="0"/>
    <n v="0"/>
    <n v="196"/>
    <n v="0"/>
    <n v="0"/>
    <n v="0"/>
    <n v="156.53"/>
    <n v="352.53"/>
    <n v="-156.53"/>
  </r>
  <r>
    <x v="4"/>
    <x v="1"/>
    <x v="0"/>
    <s v="2454200"/>
    <n v="490010"/>
    <s v="Provision for Bad Debts"/>
    <s v="FMC-South Seattle FM"/>
    <x v="0"/>
    <m/>
    <n v="-168.09"/>
    <n v="-218.33"/>
    <n v="-412.57"/>
    <n v="-232.7"/>
    <n v="-235.68"/>
    <n v="-155.06"/>
    <n v="-100.98"/>
    <n v="47.95"/>
    <n v="-113.84"/>
    <n v="-342.32"/>
    <n v="-108.26"/>
    <n v="-108.49"/>
    <n v="-2148.37"/>
    <n v="0.22999999999998977"/>
  </r>
  <r>
    <x v="1"/>
    <x v="1"/>
    <x v="0"/>
    <s v="2455200"/>
    <n v="400029"/>
    <s v="MD Practice Other Rev--Medicare"/>
    <s v="FMC-Westwood FM"/>
    <x v="0"/>
    <n v="1100"/>
    <n v="-1224"/>
    <n v="-1242"/>
    <n v="-1107"/>
    <n v="-1565"/>
    <n v="-1011"/>
    <n v="-1215"/>
    <n v="-1499"/>
    <n v="-1176"/>
    <n v="-1986"/>
    <n v="-2100"/>
    <n v="-1409"/>
    <n v="-1630"/>
    <n v="-17164"/>
    <n v="221"/>
  </r>
  <r>
    <x v="1"/>
    <x v="1"/>
    <x v="0"/>
    <s v="2455200"/>
    <n v="400029"/>
    <s v="MD Practice Other Rev--Medicaid"/>
    <s v="FMC-Westwood FM"/>
    <x v="0"/>
    <n v="1200"/>
    <n v="-840"/>
    <n v="-1216"/>
    <n v="-1338"/>
    <n v="-850"/>
    <n v="-1130"/>
    <n v="-724"/>
    <n v="-1414"/>
    <n v="-1031"/>
    <n v="-2240"/>
    <n v="-2245"/>
    <n v="-1157"/>
    <n v="-677"/>
    <n v="-14862"/>
    <n v="-480"/>
  </r>
  <r>
    <x v="1"/>
    <x v="1"/>
    <x v="0"/>
    <s v="2455200"/>
    <n v="400029"/>
    <s v="MD Practice Other Rev--Comm Insurance"/>
    <s v="FMC-Westwood FM"/>
    <x v="0"/>
    <n v="1300"/>
    <n v="-119"/>
    <n v="-62"/>
    <n v="-60"/>
    <n v="-76"/>
    <n v="-66"/>
    <n v="-133"/>
    <n v="8"/>
    <n v="-111"/>
    <n v="-263"/>
    <n v="-114"/>
    <n v="-134"/>
    <n v="-66"/>
    <n v="-1196"/>
    <n v="-68"/>
  </r>
  <r>
    <x v="1"/>
    <x v="1"/>
    <x v="0"/>
    <s v="2455200"/>
    <n v="400029"/>
    <s v="MD Practice Other Rev--BCBS Comm"/>
    <s v="FMC-Westwood FM"/>
    <x v="0"/>
    <n v="1301"/>
    <n v="-390"/>
    <n v="-352"/>
    <n v="-493"/>
    <n v="-448"/>
    <n v="-583"/>
    <n v="-365"/>
    <n v="-491"/>
    <n v="-731"/>
    <n v="-635"/>
    <n v="-842"/>
    <n v="-558"/>
    <n v="-487"/>
    <n v="-6375"/>
    <n v="-71"/>
  </r>
  <r>
    <x v="1"/>
    <x v="1"/>
    <x v="0"/>
    <s v="2455200"/>
    <n v="400029"/>
    <s v="MD Practice Other Rev--Managed Care"/>
    <s v="FMC-Westwood FM"/>
    <x v="0"/>
    <n v="1400"/>
    <n v="-409"/>
    <n v="-965"/>
    <n v="-864"/>
    <n v="-1189"/>
    <n v="-1049"/>
    <n v="-1182"/>
    <n v="-1205"/>
    <n v="-1091"/>
    <n v="-1790"/>
    <n v="-1716"/>
    <n v="-1172"/>
    <n v="-1117"/>
    <n v="-13749"/>
    <n v="-55"/>
  </r>
  <r>
    <x v="1"/>
    <x v="1"/>
    <x v="0"/>
    <s v="2455200"/>
    <n v="400029"/>
    <s v="MD Practice Other Rev--Self Pay"/>
    <s v="FMC-Westwood FM"/>
    <x v="0"/>
    <n v="1500"/>
    <n v="0"/>
    <n v="-109"/>
    <n v="0"/>
    <n v="-45"/>
    <n v="-68"/>
    <n v="-90"/>
    <n v="-67"/>
    <n v="0"/>
    <n v="-42"/>
    <n v="-57"/>
    <n v="-87"/>
    <n v="-40"/>
    <n v="-605"/>
    <n v="-47"/>
  </r>
  <r>
    <x v="1"/>
    <x v="1"/>
    <x v="0"/>
    <s v="2455200"/>
    <n v="400029"/>
    <s v="MD Practice Other Rev--Other"/>
    <s v="FMC-Westwood FM"/>
    <x v="0"/>
    <n v="1700"/>
    <n v="-20"/>
    <n v="-43"/>
    <n v="0"/>
    <n v="-24"/>
    <n v="0"/>
    <n v="-60"/>
    <n v="0"/>
    <n v="-33"/>
    <n v="-180"/>
    <n v="-90"/>
    <n v="0"/>
    <n v="-57"/>
    <n v="-507"/>
    <n v="57"/>
  </r>
  <r>
    <x v="1"/>
    <x v="1"/>
    <x v="0"/>
    <s v="2455200"/>
    <n v="400040"/>
    <s v="Physician Svcs Rev--Medicare"/>
    <s v="FMC-Westwood FM"/>
    <x v="0"/>
    <n v="1100"/>
    <n v="-97757"/>
    <n v="-92818"/>
    <n v="-105873"/>
    <n v="-125800"/>
    <n v="-84278"/>
    <n v="-83233"/>
    <n v="-93991"/>
    <n v="-60623"/>
    <n v="-88367"/>
    <n v="-102278"/>
    <n v="-90251"/>
    <n v="-93337"/>
    <n v="-1118606"/>
    <n v="3086"/>
  </r>
  <r>
    <x v="1"/>
    <x v="1"/>
    <x v="0"/>
    <s v="2455200"/>
    <n v="400040"/>
    <s v="Physician Svcs Rev--Medicaid"/>
    <s v="FMC-Westwood FM"/>
    <x v="0"/>
    <n v="1200"/>
    <n v="-96859.88"/>
    <n v="-101220.8"/>
    <n v="-106839.22"/>
    <n v="-111808.81"/>
    <n v="-95196.6"/>
    <n v="-91577.21"/>
    <n v="-110034.79"/>
    <n v="-54539.6"/>
    <n v="-109016.28"/>
    <n v="-115436.6"/>
    <n v="-100119.52"/>
    <n v="-87013.16"/>
    <n v="-1179662.47"/>
    <n v="-13106.36"/>
  </r>
  <r>
    <x v="1"/>
    <x v="1"/>
    <x v="0"/>
    <s v="2455200"/>
    <n v="400040"/>
    <s v="Physician Svcs Rev--Comm Insurance"/>
    <s v="FMC-Westwood FM"/>
    <x v="0"/>
    <n v="1300"/>
    <n v="-7055"/>
    <n v="-5910"/>
    <n v="-6172.12"/>
    <n v="-10320"/>
    <n v="-9590.0300000000007"/>
    <n v="-6564"/>
    <n v="-9477.58"/>
    <n v="-8703"/>
    <n v="-16793.97"/>
    <n v="-13641"/>
    <n v="-17562.62"/>
    <n v="-14345.44"/>
    <n v="-126134.76000000001"/>
    <n v="-3217.1799999999985"/>
  </r>
  <r>
    <x v="1"/>
    <x v="1"/>
    <x v="0"/>
    <s v="2455200"/>
    <n v="400040"/>
    <s v="Physician Svcs Rev--BCBS Comm"/>
    <s v="FMC-Westwood FM"/>
    <x v="0"/>
    <n v="1301"/>
    <n v="-25604.18"/>
    <n v="-35551.949999999997"/>
    <n v="-45503.68"/>
    <n v="-41250.65"/>
    <n v="-41278.5"/>
    <n v="-42316.22"/>
    <n v="-41874.29"/>
    <n v="-34027.279999999999"/>
    <n v="-36922.46"/>
    <n v="-43731.78"/>
    <n v="-33503.019999999997"/>
    <n v="-41303.11"/>
    <n v="-462867.12"/>
    <n v="7800.0900000000038"/>
  </r>
  <r>
    <x v="1"/>
    <x v="1"/>
    <x v="0"/>
    <s v="2455200"/>
    <n v="400040"/>
    <s v="Physician Svcs Rev--Managed Care"/>
    <s v="FMC-Westwood FM"/>
    <x v="0"/>
    <n v="1400"/>
    <n v="-89377.57"/>
    <n v="-114483.09"/>
    <n v="-104916.4"/>
    <n v="-133196.10999999999"/>
    <n v="-111564.37"/>
    <n v="-123028.62"/>
    <n v="-113375.37"/>
    <n v="-81497.42"/>
    <n v="-102800.98"/>
    <n v="-126823.16"/>
    <n v="-138017.79"/>
    <n v="-120664.4"/>
    <n v="-1359745.28"/>
    <n v="-17353.390000000014"/>
  </r>
  <r>
    <x v="1"/>
    <x v="1"/>
    <x v="0"/>
    <s v="2455200"/>
    <n v="400040"/>
    <s v="Physician Svcs Rev--Self Pay"/>
    <s v="FMC-Westwood FM"/>
    <x v="0"/>
    <n v="1500"/>
    <n v="-1965.44"/>
    <n v="-3759"/>
    <n v="-1319"/>
    <n v="-3225"/>
    <n v="-2394"/>
    <n v="-4031.2"/>
    <n v="-3291"/>
    <n v="-903"/>
    <n v="-1590"/>
    <n v="-1943.8"/>
    <n v="-3221.44"/>
    <n v="-2136"/>
    <n v="-29778.879999999997"/>
    <n v="-1085.44"/>
  </r>
  <r>
    <x v="1"/>
    <x v="1"/>
    <x v="0"/>
    <s v="2455200"/>
    <n v="400040"/>
    <s v="Physician Svcs Rev--Other"/>
    <s v="FMC-Westwood FM"/>
    <x v="0"/>
    <n v="1700"/>
    <n v="-5522"/>
    <n v="-3311.09"/>
    <n v="-5982.02"/>
    <n v="-6603"/>
    <n v="-1766.53"/>
    <n v="-5519.23"/>
    <n v="-2669.87"/>
    <n v="-3237"/>
    <n v="-4445"/>
    <n v="-6205"/>
    <n v="-3142.18"/>
    <n v="-3330.73"/>
    <n v="-51733.65"/>
    <n v="188.55000000000018"/>
  </r>
  <r>
    <x v="2"/>
    <x v="1"/>
    <x v="0"/>
    <s v="2455200"/>
    <n v="450029"/>
    <s v="Contr Allow--MD Other-Medicare"/>
    <s v="FMC-Westwood FM"/>
    <x v="0"/>
    <n v="1100"/>
    <n v="799.54"/>
    <n v="849.06"/>
    <n v="860.04"/>
    <n v="943.73"/>
    <n v="990.53"/>
    <n v="785.06"/>
    <n v="951.76"/>
    <n v="1011.1"/>
    <n v="1273.21"/>
    <n v="1430.84"/>
    <n v="1165.51"/>
    <n v="1145.43"/>
    <n v="12205.81"/>
    <n v="20.079999999999927"/>
  </r>
  <r>
    <x v="2"/>
    <x v="1"/>
    <x v="0"/>
    <s v="2455200"/>
    <n v="450029"/>
    <s v="Contr Allow--MD Other-Medicaid"/>
    <s v="FMC-Westwood FM"/>
    <x v="0"/>
    <n v="1200"/>
    <n v="666.66"/>
    <n v="638.78"/>
    <n v="960.42"/>
    <n v="898.76"/>
    <n v="783.09"/>
    <n v="361.66"/>
    <n v="814.4"/>
    <n v="723.23"/>
    <n v="844.2"/>
    <n v="1658.65"/>
    <n v="1042.45"/>
    <n v="641.94000000000005"/>
    <n v="10034.240000000002"/>
    <n v="400.51"/>
  </r>
  <r>
    <x v="2"/>
    <x v="1"/>
    <x v="0"/>
    <s v="2455200"/>
    <n v="450029"/>
    <s v="Contr Allow--MD Other-Comm Insurance"/>
    <s v="FMC-Westwood FM"/>
    <x v="0"/>
    <n v="1300"/>
    <n v="51.36"/>
    <n v="32.03"/>
    <n v="30.09"/>
    <n v="58.8"/>
    <n v="2"/>
    <n v="41.51"/>
    <n v="24.48"/>
    <n v="40.17"/>
    <n v="58.97"/>
    <n v="7.61"/>
    <n v="89.11"/>
    <n v="21.58"/>
    <n v="457.71"/>
    <n v="67.53"/>
  </r>
  <r>
    <x v="2"/>
    <x v="1"/>
    <x v="0"/>
    <s v="2455200"/>
    <n v="450029"/>
    <s v="Contr Allow--MD Other BCBS Comm"/>
    <s v="FMC-Westwood FM"/>
    <x v="0"/>
    <n v="1301"/>
    <n v="280.11"/>
    <n v="203.91"/>
    <n v="316.44"/>
    <n v="223.54"/>
    <n v="312.79000000000002"/>
    <n v="223.31"/>
    <n v="137.02000000000001"/>
    <n v="355.75"/>
    <n v="593.67999999999995"/>
    <n v="274.89999999999998"/>
    <n v="533"/>
    <n v="365.3"/>
    <n v="3819.75"/>
    <n v="167.7"/>
  </r>
  <r>
    <x v="2"/>
    <x v="1"/>
    <x v="0"/>
    <s v="2455200"/>
    <n v="450029"/>
    <s v="Contr Allow--MD Other-Managed Care"/>
    <s v="FMC-Westwood FM"/>
    <x v="0"/>
    <n v="1400"/>
    <n v="490.62"/>
    <n v="531.27"/>
    <n v="629.08000000000004"/>
    <n v="635.25"/>
    <n v="653.91"/>
    <n v="786.08"/>
    <n v="695.89"/>
    <n v="676.56"/>
    <n v="1076.92"/>
    <n v="1072.82"/>
    <n v="874.59"/>
    <n v="643.85"/>
    <n v="8766.84"/>
    <n v="230.74"/>
  </r>
  <r>
    <x v="2"/>
    <x v="1"/>
    <x v="0"/>
    <s v="2455200"/>
    <n v="450029"/>
    <s v="Admin Adjust-MD Other-Self Pay"/>
    <s v="FMC-Westwood FM"/>
    <x v="0"/>
    <n v="1600"/>
    <n v="5.67"/>
    <n v="115.81"/>
    <n v="31.38"/>
    <n v="96.52"/>
    <n v="33.299999999999997"/>
    <n v="57.61"/>
    <n v="58.83"/>
    <n v="-7.72"/>
    <n v="35.35"/>
    <n v="39.44"/>
    <n v="70.31"/>
    <n v="36.880000000000003"/>
    <n v="573.38"/>
    <n v="33.43"/>
  </r>
  <r>
    <x v="2"/>
    <x v="1"/>
    <x v="0"/>
    <s v="2455200"/>
    <n v="450029"/>
    <s v="Contr Allow--MD Other-Other"/>
    <s v="FMC-Westwood FM"/>
    <x v="0"/>
    <n v="1700"/>
    <n v="7.19"/>
    <n v="37.700000000000003"/>
    <n v="20.059999999999999"/>
    <n v="17.05"/>
    <n v="0"/>
    <n v="26.52"/>
    <n v="17.05"/>
    <n v="0"/>
    <n v="86.58"/>
    <n v="111.84"/>
    <n v="17.05"/>
    <n v="24.29"/>
    <n v="365.33000000000004"/>
    <n v="-7.2399999999999984"/>
  </r>
  <r>
    <x v="2"/>
    <x v="1"/>
    <x v="0"/>
    <s v="2455200"/>
    <n v="450040"/>
    <s v="Contr Allow--Phys Svcs--Mcare"/>
    <s v="FMC-Westwood FM"/>
    <x v="0"/>
    <n v="1100"/>
    <n v="51121.599999999999"/>
    <n v="56879.99"/>
    <n v="53918.46"/>
    <n v="86675.17"/>
    <n v="64288.33"/>
    <n v="52582.81"/>
    <n v="51310.239999999998"/>
    <n v="51826.87"/>
    <n v="43860.42"/>
    <n v="63754.559999999998"/>
    <n v="52149.21"/>
    <n v="57754.18"/>
    <n v="686121.84"/>
    <n v="-5604.9700000000012"/>
  </r>
  <r>
    <x v="2"/>
    <x v="1"/>
    <x v="0"/>
    <s v="2455200"/>
    <n v="450040"/>
    <s v="Contr Allow--Phys Svcs--Mcaid"/>
    <s v="FMC-Westwood FM"/>
    <x v="0"/>
    <n v="1200"/>
    <n v="60459.46"/>
    <n v="70531.11"/>
    <n v="75550.39"/>
    <n v="79403.37"/>
    <n v="69754.98"/>
    <n v="56102.82"/>
    <n v="67493.490000000005"/>
    <n v="51054.62"/>
    <n v="52447.59"/>
    <n v="72301.759999999995"/>
    <n v="74862.22"/>
    <n v="65061.88"/>
    <n v="795023.69"/>
    <n v="9800.3400000000038"/>
  </r>
  <r>
    <x v="2"/>
    <x v="1"/>
    <x v="0"/>
    <s v="2455200"/>
    <n v="450040"/>
    <s v="Contr Allow--Phys Svcs--Comm Insurance"/>
    <s v="FMC-Westwood FM"/>
    <x v="0"/>
    <n v="1300"/>
    <n v="1908.13"/>
    <n v="2223.8200000000002"/>
    <n v="1235.54"/>
    <n v="1919.68"/>
    <n v="3349.05"/>
    <n v="2154.2600000000002"/>
    <n v="2771.24"/>
    <n v="2532.8200000000002"/>
    <n v="3093.16"/>
    <n v="4395.9799999999996"/>
    <n v="4008.4"/>
    <n v="5113.92"/>
    <n v="34706"/>
    <n v="-1105.52"/>
  </r>
  <r>
    <x v="2"/>
    <x v="1"/>
    <x v="0"/>
    <s v="2455200"/>
    <n v="450040"/>
    <s v="Contr Allow--Phys Svcs--BCBS Comm Ins"/>
    <s v="FMC-Westwood FM"/>
    <x v="0"/>
    <n v="1301"/>
    <n v="10961.49"/>
    <n v="12573.33"/>
    <n v="9916.93"/>
    <n v="15685.88"/>
    <n v="13696.11"/>
    <n v="12246.18"/>
    <n v="11639"/>
    <n v="9953.67"/>
    <n v="16478.5"/>
    <n v="7777.24"/>
    <n v="9997.5400000000009"/>
    <n v="12602.51"/>
    <n v="143528.38"/>
    <n v="-2604.9699999999993"/>
  </r>
  <r>
    <x v="2"/>
    <x v="1"/>
    <x v="0"/>
    <s v="2455200"/>
    <n v="450040"/>
    <s v="Contr Allow--Phys Svcs--Managed Care"/>
    <s v="FMC-Westwood FM"/>
    <x v="0"/>
    <n v="1400"/>
    <n v="28368.43"/>
    <n v="38841.379999999997"/>
    <n v="32387.59"/>
    <n v="46952.800000000003"/>
    <n v="49236.65"/>
    <n v="39635.22"/>
    <n v="35335.410000000003"/>
    <n v="32387.919999999998"/>
    <n v="37644.410000000003"/>
    <n v="34525.58"/>
    <n v="47723.31"/>
    <n v="40978.39"/>
    <n v="464017.08999999997"/>
    <n v="6744.9199999999983"/>
  </r>
  <r>
    <x v="2"/>
    <x v="1"/>
    <x v="0"/>
    <s v="2455200"/>
    <n v="450040"/>
    <s v="Contr Allow--Phys Svcs--BCBS Mgnd Care"/>
    <s v="FMC-Westwood FM"/>
    <x v="0"/>
    <n v="1401"/>
    <n v="9488.91"/>
    <n v="-3592.64"/>
    <n v="28939.79"/>
    <n v="-8174.88"/>
    <n v="-29639.439999999999"/>
    <n v="12011.45"/>
    <n v="21872.54"/>
    <n v="-24262.560000000001"/>
    <n v="17151.45"/>
    <n v="30969.52"/>
    <n v="-1340.43"/>
    <n v="-4781.88"/>
    <n v="48641.83"/>
    <n v="3441.45"/>
  </r>
  <r>
    <x v="2"/>
    <x v="1"/>
    <x v="0"/>
    <s v="2455200"/>
    <n v="450040"/>
    <s v="Prompt Pay Disc-Phys Svcs-Self Pay"/>
    <s v="FMC-Westwood FM"/>
    <x v="0"/>
    <n v="1500"/>
    <n v="0"/>
    <n v="0"/>
    <n v="0"/>
    <n v="0"/>
    <n v="0"/>
    <n v="0"/>
    <n v="0"/>
    <n v="148.86000000000001"/>
    <n v="0"/>
    <n v="0"/>
    <n v="235.78"/>
    <n v="0"/>
    <n v="384.64"/>
    <n v="235.78"/>
  </r>
  <r>
    <x v="2"/>
    <x v="1"/>
    <x v="0"/>
    <s v="2455200"/>
    <n v="450040"/>
    <s v="Admin Adjust-Phys Svcs-Self Pay"/>
    <s v="FMC-Westwood FM"/>
    <x v="0"/>
    <n v="1600"/>
    <n v="618.55999999999995"/>
    <n v="3127"/>
    <n v="-20.260000000000002"/>
    <n v="2181.5300000000002"/>
    <n v="1553.83"/>
    <n v="2118.64"/>
    <n v="3931.58"/>
    <n v="359.22"/>
    <n v="1003.87"/>
    <n v="1666.81"/>
    <n v="1483.69"/>
    <n v="1353.43"/>
    <n v="19377.899999999998"/>
    <n v="130.26"/>
  </r>
  <r>
    <x v="2"/>
    <x v="1"/>
    <x v="0"/>
    <s v="2455200"/>
    <n v="450040"/>
    <s v="Contr Allow--Phys Svcs--Other"/>
    <s v="FMC-Westwood FM"/>
    <x v="0"/>
    <n v="1700"/>
    <n v="1503.06"/>
    <n v="3937.96"/>
    <n v="1747.33"/>
    <n v="4969.13"/>
    <n v="2213.25"/>
    <n v="3613.22"/>
    <n v="1332.42"/>
    <n v="1443.97"/>
    <n v="2733.37"/>
    <n v="2395.31"/>
    <n v="3700.33"/>
    <n v="1574.07"/>
    <n v="31163.420000000006"/>
    <n v="2126.2600000000002"/>
  </r>
  <r>
    <x v="3"/>
    <x v="1"/>
    <x v="0"/>
    <s v="2455200"/>
    <n v="470040"/>
    <s v="Charity Care-Physician Svcs"/>
    <s v="FMC-Westwood FM"/>
    <x v="0"/>
    <m/>
    <n v="-94.15"/>
    <n v="1435.82"/>
    <n v="659.96"/>
    <n v="85.99"/>
    <n v="-160.25"/>
    <n v="36.71"/>
    <n v="1411.62"/>
    <n v="-912.32"/>
    <n v="1425.85"/>
    <n v="798.8"/>
    <n v="-578.19000000000005"/>
    <n v="2283.73"/>
    <n v="6393.57"/>
    <n v="-2861.92"/>
  </r>
  <r>
    <x v="4"/>
    <x v="1"/>
    <x v="0"/>
    <s v="2455200"/>
    <n v="490010"/>
    <s v="Provision for Bad Debts"/>
    <s v="FMC-Westwood FM"/>
    <x v="0"/>
    <m/>
    <n v="5836.23"/>
    <n v="2344.65"/>
    <n v="6406.46"/>
    <n v="-1085.3"/>
    <n v="2846.96"/>
    <n v="3324.8"/>
    <n v="3609.31"/>
    <n v="611.66999999999996"/>
    <n v="6317.68"/>
    <n v="3408.04"/>
    <n v="7237.25"/>
    <n v="5586.64"/>
    <n v="46444.39"/>
    <n v="1650.6099999999997"/>
  </r>
  <r>
    <x v="5"/>
    <x v="1"/>
    <x v="0"/>
    <s v="2455200"/>
    <n v="700022"/>
    <s v="Salaries-Physician-Productive"/>
    <s v="FMC-Westwood FM"/>
    <x v="0"/>
    <m/>
    <n v="77015.72"/>
    <n v="77068.7"/>
    <n v="77130.45"/>
    <n v="84435.87"/>
    <n v="79600.350000000006"/>
    <n v="66417.66"/>
    <n v="87091.71"/>
    <n v="48946.74"/>
    <n v="79468.639999999999"/>
    <n v="87206.48"/>
    <n v="85612.94"/>
    <n v="70028.289999999994"/>
    <n v="920023.55"/>
    <n v="15584.650000000009"/>
  </r>
  <r>
    <x v="5"/>
    <x v="1"/>
    <x v="0"/>
    <s v="2455200"/>
    <n v="700022"/>
    <s v="Salaries-Physician-Other"/>
    <s v="FMC-Westwood FM"/>
    <x v="0"/>
    <n v="2000"/>
    <n v="0"/>
    <n v="0"/>
    <n v="0"/>
    <n v="0"/>
    <n v="0"/>
    <n v="0"/>
    <n v="0"/>
    <n v="0"/>
    <n v="0"/>
    <n v="0"/>
    <n v="0"/>
    <n v="508.8"/>
    <n v="508.8"/>
    <n v="-508.8"/>
  </r>
  <r>
    <x v="5"/>
    <x v="1"/>
    <x v="0"/>
    <s v="2455200"/>
    <n v="700030"/>
    <s v="Salaries-LPN-Productive"/>
    <s v="FMC-Westwood FM"/>
    <x v="0"/>
    <m/>
    <n v="258.72000000000003"/>
    <n v="-43.12"/>
    <n v="1478.4"/>
    <n v="-492.8"/>
    <n v="0"/>
    <n v="0"/>
    <n v="0"/>
    <n v="0"/>
    <n v="0"/>
    <n v="0"/>
    <n v="0"/>
    <n v="0"/>
    <n v="1201.2"/>
    <n v="0"/>
  </r>
  <r>
    <x v="5"/>
    <x v="1"/>
    <x v="0"/>
    <s v="2455200"/>
    <n v="700030"/>
    <s v="Salaries-LPN-OT"/>
    <s v="FMC-Westwood FM"/>
    <x v="0"/>
    <n v="1000"/>
    <n v="0"/>
    <n v="0"/>
    <n v="27.72"/>
    <n v="-9.24"/>
    <n v="0"/>
    <n v="0"/>
    <n v="0"/>
    <n v="0"/>
    <n v="0"/>
    <n v="0"/>
    <n v="0"/>
    <n v="0"/>
    <n v="18.479999999999997"/>
    <n v="0"/>
  </r>
  <r>
    <x v="5"/>
    <x v="1"/>
    <x v="0"/>
    <s v="2455200"/>
    <n v="700032"/>
    <s v="Salaries-Other Pat Care Providers-Productive"/>
    <s v="FMC-Westwood FM"/>
    <x v="0"/>
    <m/>
    <n v="14040.55"/>
    <n v="11882.37"/>
    <n v="13804.78"/>
    <n v="15656.76"/>
    <n v="15275.69"/>
    <n v="11437.74"/>
    <n v="15623.14"/>
    <n v="8875.58"/>
    <n v="16029.11"/>
    <n v="14796.29"/>
    <n v="16257.67"/>
    <n v="12755.32"/>
    <n v="166435.00000000003"/>
    <n v="3502.3500000000004"/>
  </r>
  <r>
    <x v="5"/>
    <x v="1"/>
    <x v="0"/>
    <s v="2455200"/>
    <n v="700032"/>
    <s v="Salaries-Other Pat Care Providers-OT"/>
    <s v="FMC-Westwood FM"/>
    <x v="0"/>
    <n v="1000"/>
    <n v="420.68"/>
    <n v="987.43"/>
    <n v="302.58999999999997"/>
    <n v="676.49"/>
    <n v="599.13"/>
    <n v="214.76"/>
    <n v="521.6"/>
    <n v="153.47"/>
    <n v="655.97"/>
    <n v="754.22"/>
    <n v="1092.3"/>
    <n v="177.9"/>
    <n v="6556.54"/>
    <n v="914.4"/>
  </r>
  <r>
    <x v="5"/>
    <x v="1"/>
    <x v="0"/>
    <s v="2455200"/>
    <n v="700032"/>
    <s v="Salaries-Other Pat Care Providers-Other"/>
    <s v="FMC-Westwood FM"/>
    <x v="0"/>
    <n v="2000"/>
    <n v="217.25"/>
    <n v="243.86"/>
    <n v="467.92"/>
    <n v="241.66"/>
    <n v="234.78"/>
    <n v="204.05"/>
    <n v="250.77"/>
    <n v="162.69"/>
    <n v="226.22"/>
    <n v="235.57"/>
    <n v="233.9"/>
    <n v="215.96"/>
    <n v="2934.63"/>
    <n v="17.939999999999998"/>
  </r>
  <r>
    <x v="5"/>
    <x v="1"/>
    <x v="0"/>
    <s v="2455200"/>
    <n v="700062"/>
    <s v="Salaries-Physician-Non-productive"/>
    <s v="FMC-Westwood FM"/>
    <x v="0"/>
    <m/>
    <n v="4109.4399999999996"/>
    <n v="13866.97"/>
    <n v="-1427.28"/>
    <n v="2622.75"/>
    <n v="4724.54"/>
    <n v="14017.12"/>
    <n v="1138.33"/>
    <n v="28810.37"/>
    <n v="1994.4"/>
    <n v="-1864.34"/>
    <n v="2306.41"/>
    <n v="6762.38"/>
    <n v="77061.090000000011"/>
    <n v="-4455.97"/>
  </r>
  <r>
    <x v="5"/>
    <x v="1"/>
    <x v="0"/>
    <s v="2455200"/>
    <n v="700072"/>
    <s v="Salaries-Other Pat Care Providers-Non-productive"/>
    <s v="FMC-Westwood FM"/>
    <x v="0"/>
    <m/>
    <n v="1323.87"/>
    <n v="3936.7"/>
    <n v="1309.52"/>
    <n v="747.7"/>
    <n v="921.65"/>
    <n v="3592.67"/>
    <n v="1675.39"/>
    <n v="4470.79"/>
    <n v="-322.7"/>
    <n v="935.25"/>
    <n v="410.76"/>
    <n v="2304.4699999999998"/>
    <n v="21306.07"/>
    <n v="-1893.7099999999998"/>
  </r>
  <r>
    <x v="5"/>
    <x v="1"/>
    <x v="0"/>
    <s v="2455200"/>
    <n v="700072"/>
    <s v="Salaries-Other Pat Care Providers-NonProd-Other"/>
    <s v="FMC-Westwood FM"/>
    <x v="0"/>
    <n v="2000"/>
    <n v="0"/>
    <n v="0"/>
    <n v="0"/>
    <n v="0"/>
    <n v="553.71"/>
    <n v="1107.42"/>
    <n v="0"/>
    <n v="-1661.13"/>
    <n v="0"/>
    <n v="0"/>
    <n v="0"/>
    <n v="0"/>
    <n v="0"/>
    <n v="0"/>
  </r>
  <r>
    <x v="5"/>
    <x v="1"/>
    <x v="0"/>
    <s v="2455200"/>
    <n v="700084"/>
    <s v="Accrued PTO"/>
    <s v="FMC-Westwood FM"/>
    <x v="0"/>
    <m/>
    <n v="773.02"/>
    <n v="-1075.3399999999999"/>
    <n v="-219.83"/>
    <n v="864.08"/>
    <n v="1160.6199999999999"/>
    <n v="-914.73"/>
    <n v="244.65"/>
    <n v="-2013.55"/>
    <n v="1397.5"/>
    <n v="867.09"/>
    <n v="1463.44"/>
    <n v="483.36"/>
    <n v="3030.3100000000004"/>
    <n v="980.08"/>
  </r>
  <r>
    <x v="6"/>
    <x v="1"/>
    <x v="0"/>
    <s v="2455200"/>
    <n v="713010"/>
    <s v="Benefits-FICA/Medicare"/>
    <s v="FMC-Westwood FM"/>
    <x v="0"/>
    <m/>
    <n v="5157.5200000000004"/>
    <n v="3444.32"/>
    <n v="2779.28"/>
    <n v="2425.9499999999998"/>
    <n v="2604.4299999999998"/>
    <n v="4901.67"/>
    <n v="7960.77"/>
    <n v="6845.16"/>
    <n v="7345.05"/>
    <n v="7612.83"/>
    <n v="6121.22"/>
    <n v="5002.18"/>
    <n v="62200.380000000005"/>
    <n v="1119.04"/>
  </r>
  <r>
    <x v="6"/>
    <x v="1"/>
    <x v="0"/>
    <s v="2455200"/>
    <n v="713090"/>
    <s v="Benefits-Allocated Amounts"/>
    <s v="FMC-Westwood FM"/>
    <x v="0"/>
    <m/>
    <n v="0"/>
    <n v="0"/>
    <n v="0"/>
    <n v="0"/>
    <n v="0"/>
    <n v="0"/>
    <n v="0"/>
    <n v="0"/>
    <n v="54372.6"/>
    <n v="6413.95"/>
    <n v="6437.75"/>
    <n v="6289.59"/>
    <n v="73513.889999999985"/>
    <n v="148.15999999999985"/>
  </r>
  <r>
    <x v="6"/>
    <x v="1"/>
    <x v="0"/>
    <s v="2455200"/>
    <n v="713092"/>
    <s v="Allocated Benefits-Physician"/>
    <s v="FMC-Westwood FM"/>
    <x v="0"/>
    <m/>
    <n v="10670.58"/>
    <n v="9962.65"/>
    <n v="10419.66"/>
    <n v="10451.36"/>
    <n v="10451.25"/>
    <n v="10647.31"/>
    <n v="12798.39"/>
    <n v="11546.78"/>
    <n v="-41848.54"/>
    <n v="5320.06"/>
    <n v="5339.8"/>
    <n v="5216.92"/>
    <n v="60976.219999999994"/>
    <n v="122.88000000000011"/>
  </r>
  <r>
    <x v="7"/>
    <x v="1"/>
    <x v="0"/>
    <s v="2455200"/>
    <n v="718050"/>
    <s v="Contract Svcs-Other"/>
    <s v="FMC-Westwood FM"/>
    <x v="0"/>
    <m/>
    <n v="218.95"/>
    <n v="0"/>
    <n v="0"/>
    <n v="117.7"/>
    <n v="0"/>
    <n v="0"/>
    <n v="166.28"/>
    <n v="0"/>
    <n v="179.34"/>
    <n v="350.22"/>
    <n v="0"/>
    <n v="118.32"/>
    <n v="1150.81"/>
    <n v="-118.32"/>
  </r>
  <r>
    <x v="7"/>
    <x v="1"/>
    <x v="0"/>
    <s v="2455200"/>
    <n v="718050"/>
    <s v="Physician Answering"/>
    <s v="FMC-Westwood FM"/>
    <x v="0"/>
    <n v="1015"/>
    <n v="96"/>
    <n v="0"/>
    <n v="80"/>
    <n v="160"/>
    <n v="64"/>
    <n v="0"/>
    <n v="64"/>
    <n v="64"/>
    <n v="96"/>
    <n v="128"/>
    <n v="160"/>
    <n v="455"/>
    <n v="1367"/>
    <n v="-295"/>
  </r>
  <r>
    <x v="7"/>
    <x v="1"/>
    <x v="0"/>
    <s v="2455200"/>
    <n v="718050"/>
    <s v="Contract Management--Linen"/>
    <s v="FMC-Westwood FM"/>
    <x v="0"/>
    <n v="1026"/>
    <n v="0"/>
    <n v="0"/>
    <n v="0"/>
    <n v="0"/>
    <n v="0"/>
    <n v="0"/>
    <n v="0"/>
    <n v="0"/>
    <n v="119.32"/>
    <n v="53.71"/>
    <n v="0"/>
    <n v="0"/>
    <n v="173.03"/>
    <n v="0"/>
  </r>
  <r>
    <x v="7"/>
    <x v="1"/>
    <x v="0"/>
    <s v="2455200"/>
    <n v="718050"/>
    <s v="Purchased Srvcs--Medical Waste"/>
    <s v="FMC-Westwood FM"/>
    <x v="0"/>
    <n v="1027"/>
    <n v="0"/>
    <n v="0"/>
    <n v="0"/>
    <n v="0"/>
    <n v="0"/>
    <n v="0"/>
    <n v="530.73"/>
    <n v="0"/>
    <n v="0"/>
    <n v="181.41"/>
    <n v="0"/>
    <n v="555.89"/>
    <n v="1268.03"/>
    <n v="-555.89"/>
  </r>
  <r>
    <x v="11"/>
    <x v="1"/>
    <x v="0"/>
    <s v="2455200"/>
    <n v="721410"/>
    <s v="Supplies-Medical - Nonbillable"/>
    <s v="FMC-Westwood FM"/>
    <x v="0"/>
    <m/>
    <n v="2279.5700000000002"/>
    <n v="0"/>
    <n v="446.95"/>
    <n v="-21.12"/>
    <n v="2433.9"/>
    <n v="1586.05"/>
    <n v="1208.3499999999999"/>
    <n v="2726.86"/>
    <n v="326.10000000000002"/>
    <n v="506.77"/>
    <n v="1085.8499999999999"/>
    <n v="4309.16"/>
    <n v="16888.440000000002"/>
    <n v="-3223.31"/>
  </r>
  <r>
    <x v="11"/>
    <x v="1"/>
    <x v="0"/>
    <s v="2455200"/>
    <n v="722000"/>
    <s v="Supplies-Freight Expense"/>
    <s v="FMC-Westwood FM"/>
    <x v="0"/>
    <m/>
    <n v="0"/>
    <n v="0"/>
    <n v="0"/>
    <n v="98.55"/>
    <n v="0"/>
    <n v="0"/>
    <n v="0"/>
    <n v="0"/>
    <n v="0"/>
    <n v="0"/>
    <n v="0"/>
    <n v="35"/>
    <n v="133.55000000000001"/>
    <n v="-35"/>
  </r>
  <r>
    <x v="12"/>
    <x v="1"/>
    <x v="0"/>
    <s v="2455200"/>
    <n v="730020"/>
    <s v="Rental and Leases-Copier Usage Fees (DO NOT USE)"/>
    <s v="FMC-Westwood FM"/>
    <x v="0"/>
    <n v="5100"/>
    <n v="48.36"/>
    <n v="46.34"/>
    <n v="47.35"/>
    <n v="47.35"/>
    <n v="47.35"/>
    <n v="47.35"/>
    <n v="-62.77"/>
    <n v="22.24"/>
    <n v="22.19"/>
    <n v="22.29"/>
    <n v="22.24"/>
    <n v="22.24"/>
    <n v="332.53000000000009"/>
    <n v="0"/>
  </r>
  <r>
    <x v="16"/>
    <x v="1"/>
    <x v="0"/>
    <s v="2455200"/>
    <n v="733030"/>
    <s v="Maintenance Contracts-Other"/>
    <s v="FMC-Westwood FM"/>
    <x v="0"/>
    <m/>
    <n v="0"/>
    <n v="0"/>
    <n v="0"/>
    <n v="0"/>
    <n v="0"/>
    <n v="0"/>
    <n v="0"/>
    <n v="0"/>
    <n v="0"/>
    <n v="0"/>
    <n v="0"/>
    <n v="285.47000000000003"/>
    <n v="285.47000000000003"/>
    <n v="-285.47000000000003"/>
  </r>
  <r>
    <x v="0"/>
    <x v="1"/>
    <x v="0"/>
    <s v="2455200"/>
    <n v="740022"/>
    <s v="Education-Physician"/>
    <s v="FMC-Westwood FM"/>
    <x v="0"/>
    <m/>
    <n v="947.8"/>
    <n v="0"/>
    <n v="0"/>
    <n v="0"/>
    <n v="567.63"/>
    <n v="0"/>
    <n v="885"/>
    <n v="0"/>
    <n v="0"/>
    <n v="1796"/>
    <n v="425"/>
    <n v="0"/>
    <n v="4621.43"/>
    <n v="425"/>
  </r>
  <r>
    <x v="0"/>
    <x v="1"/>
    <x v="0"/>
    <s v="2455200"/>
    <n v="740022"/>
    <s v="Books-Physician"/>
    <s v="FMC-Westwood FM"/>
    <x v="0"/>
    <n v="2000"/>
    <n v="0"/>
    <n v="0"/>
    <n v="0"/>
    <n v="0"/>
    <n v="0"/>
    <n v="0"/>
    <n v="0"/>
    <n v="0"/>
    <n v="0"/>
    <n v="2305.2399999999998"/>
    <n v="0"/>
    <n v="0"/>
    <n v="2305.2399999999998"/>
    <n v="0"/>
  </r>
  <r>
    <x v="0"/>
    <x v="1"/>
    <x v="0"/>
    <s v="2455200"/>
    <n v="740022"/>
    <s v="Education Travel-Physician"/>
    <s v="FMC-Westwood FM"/>
    <x v="0"/>
    <n v="2001"/>
    <n v="0"/>
    <n v="0"/>
    <n v="0"/>
    <n v="0"/>
    <n v="0"/>
    <n v="0"/>
    <n v="0"/>
    <n v="0"/>
    <n v="0"/>
    <n v="0"/>
    <n v="0"/>
    <n v="127"/>
    <n v="127"/>
    <n v="-127"/>
  </r>
  <r>
    <x v="8"/>
    <x v="1"/>
    <x v="0"/>
    <s v="2455200"/>
    <n v="741012"/>
    <s v="Physician Liab Insurance-CHI Program"/>
    <s v="FMC-Westwood FM"/>
    <x v="0"/>
    <m/>
    <n v="2425.17"/>
    <n v="2425.17"/>
    <n v="2425.17"/>
    <n v="2425.17"/>
    <n v="2425.1799999999998"/>
    <n v="2425.17"/>
    <n v="2425.1799999999998"/>
    <n v="2425.17"/>
    <n v="2425.1799999999998"/>
    <n v="2425.17"/>
    <n v="2425.1799999999998"/>
    <n v="2425.17"/>
    <n v="29102.079999999994"/>
    <n v="9.9999999997635314E-3"/>
  </r>
  <r>
    <x v="0"/>
    <x v="1"/>
    <x v="0"/>
    <s v="2455200"/>
    <n v="743020"/>
    <s v="Dues--Individual"/>
    <s v="FMC-Westwood FM"/>
    <x v="0"/>
    <m/>
    <n v="0"/>
    <n v="0"/>
    <n v="0"/>
    <n v="0"/>
    <n v="0"/>
    <n v="0"/>
    <n v="0"/>
    <n v="2140"/>
    <n v="0"/>
    <n v="0"/>
    <n v="0"/>
    <n v="0"/>
    <n v="2140"/>
    <n v="0"/>
  </r>
  <r>
    <x v="0"/>
    <x v="1"/>
    <x v="0"/>
    <s v="2455200"/>
    <n v="743022"/>
    <s v="Dues-Physician"/>
    <s v="FMC-Westwood FM"/>
    <x v="0"/>
    <m/>
    <n v="0"/>
    <n v="0"/>
    <n v="0"/>
    <n v="0"/>
    <n v="0"/>
    <n v="0"/>
    <n v="0"/>
    <n v="0"/>
    <n v="0"/>
    <n v="885"/>
    <n v="0"/>
    <n v="1542"/>
    <n v="2427"/>
    <n v="-1542"/>
  </r>
  <r>
    <x v="0"/>
    <x v="1"/>
    <x v="0"/>
    <s v="2455200"/>
    <n v="749510"/>
    <s v="Miscellaneous Expenses"/>
    <s v="FMC-Westwood FM"/>
    <x v="0"/>
    <m/>
    <n v="-3575.39"/>
    <n v="0"/>
    <n v="0"/>
    <n v="0"/>
    <n v="0"/>
    <n v="0"/>
    <n v="0"/>
    <n v="0"/>
    <n v="0"/>
    <n v="0"/>
    <n v="0"/>
    <n v="4331.57"/>
    <n v="756.17999999999984"/>
    <n v="-4331.57"/>
  </r>
  <r>
    <x v="0"/>
    <x v="1"/>
    <x v="0"/>
    <s v="2455200"/>
    <n v="749512"/>
    <s v="Licenses-Physician"/>
    <s v="FMC-Westwood FM"/>
    <x v="0"/>
    <n v="2000"/>
    <n v="0"/>
    <n v="0"/>
    <n v="0"/>
    <n v="0"/>
    <n v="657"/>
    <n v="0"/>
    <n v="0"/>
    <n v="0"/>
    <n v="0"/>
    <n v="0"/>
    <n v="657"/>
    <n v="0"/>
    <n v="1314"/>
    <n v="657"/>
  </r>
  <r>
    <x v="0"/>
    <x v="1"/>
    <x v="0"/>
    <s v="2455200"/>
    <n v="749530"/>
    <s v="Mileage"/>
    <s v="FMC-Westwood FM"/>
    <x v="0"/>
    <n v="1001"/>
    <n v="0"/>
    <n v="0"/>
    <n v="0"/>
    <n v="53.46"/>
    <n v="0"/>
    <n v="0"/>
    <n v="24.36"/>
    <n v="0"/>
    <n v="25.52"/>
    <n v="58.58"/>
    <n v="24.36"/>
    <n v="24.36"/>
    <n v="210.64"/>
    <n v="0"/>
  </r>
  <r>
    <x v="0"/>
    <x v="1"/>
    <x v="0"/>
    <s v="2455200"/>
    <n v="749532"/>
    <s v="Travel-Physician"/>
    <s v="FMC-Westwood FM"/>
    <x v="0"/>
    <m/>
    <n v="0"/>
    <n v="1203.8800000000001"/>
    <n v="0"/>
    <n v="0"/>
    <n v="0"/>
    <n v="0"/>
    <n v="0"/>
    <n v="0"/>
    <n v="0"/>
    <n v="0"/>
    <n v="0"/>
    <n v="1815.49"/>
    <n v="3019.37"/>
    <n v="-1815.49"/>
  </r>
  <r>
    <x v="1"/>
    <x v="1"/>
    <x v="0"/>
    <s v="2456200"/>
    <n v="400029"/>
    <s v="MD Practice Other Rev--Managed Care"/>
    <s v="FMC-Vashon FM"/>
    <x v="0"/>
    <n v="1400"/>
    <n v="0"/>
    <n v="0"/>
    <n v="111"/>
    <n v="0"/>
    <n v="0"/>
    <n v="0"/>
    <n v="0"/>
    <n v="0"/>
    <n v="0"/>
    <n v="0"/>
    <n v="0"/>
    <n v="0"/>
    <n v="111"/>
    <n v="0"/>
  </r>
  <r>
    <x v="1"/>
    <x v="1"/>
    <x v="0"/>
    <s v="2456200"/>
    <n v="400040"/>
    <s v="Physician Svcs Rev--Medicare"/>
    <s v="FMC-Vashon FM"/>
    <x v="0"/>
    <n v="1100"/>
    <n v="0"/>
    <n v="0"/>
    <n v="0"/>
    <n v="-290"/>
    <n v="0"/>
    <n v="0"/>
    <n v="0"/>
    <n v="0"/>
    <n v="0"/>
    <n v="0"/>
    <n v="0"/>
    <n v="0"/>
    <n v="-290"/>
    <n v="0"/>
  </r>
  <r>
    <x v="1"/>
    <x v="1"/>
    <x v="0"/>
    <s v="2456200"/>
    <n v="400040"/>
    <s v="Physician Svcs Rev--Medicaid"/>
    <s v="FMC-Vashon FM"/>
    <x v="0"/>
    <n v="1200"/>
    <n v="0"/>
    <n v="0"/>
    <n v="0"/>
    <n v="290"/>
    <n v="0"/>
    <n v="0"/>
    <n v="0"/>
    <n v="0"/>
    <n v="0"/>
    <n v="0"/>
    <n v="0"/>
    <n v="0"/>
    <n v="290"/>
    <n v="0"/>
  </r>
  <r>
    <x v="2"/>
    <x v="1"/>
    <x v="0"/>
    <s v="2456200"/>
    <n v="450029"/>
    <s v="Contr Allow--MD Other-Medicare"/>
    <s v="FMC-Vashon FM"/>
    <x v="0"/>
    <n v="1100"/>
    <n v="0"/>
    <n v="0"/>
    <n v="0"/>
    <n v="0"/>
    <n v="0"/>
    <n v="0"/>
    <n v="0"/>
    <n v="0"/>
    <n v="-46.43"/>
    <n v="65.22"/>
    <n v="0"/>
    <n v="0"/>
    <n v="18.79"/>
    <n v="0"/>
  </r>
  <r>
    <x v="2"/>
    <x v="1"/>
    <x v="0"/>
    <s v="2456200"/>
    <n v="450029"/>
    <s v="Contr Allow--MD Other-Comm Insurance"/>
    <s v="FMC-Vashon FM"/>
    <x v="0"/>
    <n v="1300"/>
    <n v="0"/>
    <n v="0"/>
    <n v="0"/>
    <n v="0"/>
    <n v="0"/>
    <n v="0"/>
    <n v="0"/>
    <n v="0"/>
    <n v="0"/>
    <n v="19.600000000000001"/>
    <n v="0"/>
    <n v="0"/>
    <n v="19.600000000000001"/>
    <n v="0"/>
  </r>
  <r>
    <x v="2"/>
    <x v="1"/>
    <x v="0"/>
    <s v="2456200"/>
    <n v="450029"/>
    <s v="Contr Allow--MD Other-Managed Care"/>
    <s v="FMC-Vashon FM"/>
    <x v="0"/>
    <n v="1400"/>
    <n v="0"/>
    <n v="0"/>
    <n v="0"/>
    <n v="0"/>
    <n v="3.21"/>
    <n v="0"/>
    <n v="0"/>
    <n v="0"/>
    <n v="0"/>
    <n v="0"/>
    <n v="0"/>
    <n v="0"/>
    <n v="3.21"/>
    <n v="0"/>
  </r>
  <r>
    <x v="2"/>
    <x v="1"/>
    <x v="0"/>
    <s v="2456200"/>
    <n v="450029"/>
    <s v="Admin Adjust-MD Other-Self Pay"/>
    <s v="FMC-Vashon FM"/>
    <x v="0"/>
    <n v="1600"/>
    <n v="-44.49"/>
    <n v="12.79"/>
    <n v="0"/>
    <n v="95.48"/>
    <n v="0"/>
    <n v="0"/>
    <n v="0"/>
    <n v="15.07"/>
    <n v="0"/>
    <n v="9"/>
    <n v="0"/>
    <n v="0"/>
    <n v="87.85"/>
    <n v="0"/>
  </r>
  <r>
    <x v="2"/>
    <x v="1"/>
    <x v="0"/>
    <s v="2456200"/>
    <n v="450040"/>
    <s v="Contr Allow--Phys Svcs--Mcare"/>
    <s v="FMC-Vashon FM"/>
    <x v="0"/>
    <n v="1100"/>
    <n v="0"/>
    <n v="0"/>
    <n v="292"/>
    <n v="-416.13"/>
    <n v="0"/>
    <n v="0"/>
    <n v="0"/>
    <n v="-45.77"/>
    <n v="0"/>
    <n v="290"/>
    <n v="-1.81"/>
    <n v="-23.28"/>
    <n v="95.009999999999991"/>
    <n v="21.470000000000002"/>
  </r>
  <r>
    <x v="2"/>
    <x v="1"/>
    <x v="0"/>
    <s v="2456200"/>
    <n v="450040"/>
    <s v="Contr Allow--Phys Svcs--Mcaid"/>
    <s v="FMC-Vashon FM"/>
    <x v="0"/>
    <n v="1200"/>
    <n v="0"/>
    <n v="0"/>
    <n v="0"/>
    <n v="-474.52"/>
    <n v="0"/>
    <n v="0"/>
    <n v="0"/>
    <n v="0"/>
    <n v="-227.48"/>
    <n v="0"/>
    <n v="0"/>
    <n v="0"/>
    <n v="-702"/>
    <n v="0"/>
  </r>
  <r>
    <x v="2"/>
    <x v="1"/>
    <x v="0"/>
    <s v="2456200"/>
    <n v="450040"/>
    <s v="Contr Allow--Phys Svcs--Comm Insurance"/>
    <s v="FMC-Vashon FM"/>
    <x v="0"/>
    <n v="1300"/>
    <n v="0"/>
    <n v="0"/>
    <n v="0"/>
    <n v="0"/>
    <n v="0"/>
    <n v="0"/>
    <n v="-578"/>
    <n v="124.82"/>
    <n v="-721.6"/>
    <n v="136.19999999999999"/>
    <n v="0"/>
    <n v="0"/>
    <n v="-1038.58"/>
    <n v="0"/>
  </r>
  <r>
    <x v="2"/>
    <x v="1"/>
    <x v="0"/>
    <s v="2456200"/>
    <n v="450040"/>
    <s v="Contr Allow--Phys Svcs--Managed Care"/>
    <s v="FMC-Vashon FM"/>
    <x v="0"/>
    <n v="1400"/>
    <n v="0"/>
    <n v="0"/>
    <n v="0"/>
    <n v="-184.8"/>
    <n v="0"/>
    <n v="-30.69"/>
    <n v="-52.01"/>
    <n v="0"/>
    <n v="0"/>
    <n v="-100.11"/>
    <n v="0"/>
    <n v="-113.99"/>
    <n v="-481.6"/>
    <n v="113.99"/>
  </r>
  <r>
    <x v="2"/>
    <x v="1"/>
    <x v="0"/>
    <s v="2456200"/>
    <n v="450040"/>
    <s v="Contr Allow--Phys Svcs--BCBS Mgnd Care"/>
    <s v="FMC-Vashon FM"/>
    <x v="0"/>
    <n v="1401"/>
    <n v="-83.1"/>
    <n v="257.5"/>
    <n v="-67.38"/>
    <n v="748.46"/>
    <n v="479.98"/>
    <n v="41.98"/>
    <n v="-51.4"/>
    <n v="78.540000000000006"/>
    <n v="223.54"/>
    <n v="-222.39"/>
    <n v="108.02"/>
    <n v="-35.659999999999997"/>
    <n v="1478.09"/>
    <n v="143.68"/>
  </r>
  <r>
    <x v="2"/>
    <x v="1"/>
    <x v="0"/>
    <s v="2456200"/>
    <n v="450040"/>
    <s v="Prompt Pay Disc-Phys Svcs-Self Pay"/>
    <s v="FMC-Vashon FM"/>
    <x v="0"/>
    <n v="1500"/>
    <n v="0"/>
    <n v="0"/>
    <n v="0"/>
    <n v="7.92"/>
    <n v="0"/>
    <n v="0"/>
    <n v="0"/>
    <n v="0"/>
    <n v="0"/>
    <n v="0"/>
    <n v="0"/>
    <n v="0"/>
    <n v="7.92"/>
    <n v="0"/>
  </r>
  <r>
    <x v="2"/>
    <x v="1"/>
    <x v="0"/>
    <s v="2456200"/>
    <n v="450040"/>
    <s v="Admin Adjust-Phys Svcs-Self Pay"/>
    <s v="FMC-Vashon FM"/>
    <x v="0"/>
    <n v="1600"/>
    <n v="144.88999999999999"/>
    <n v="30.61"/>
    <n v="98.8"/>
    <n v="869.37"/>
    <n v="16.760000000000002"/>
    <n v="0"/>
    <n v="461"/>
    <n v="-293"/>
    <n v="64.680000000000007"/>
    <n v="68.8"/>
    <n v="96.77"/>
    <n v="0"/>
    <n v="1558.68"/>
    <n v="96.77"/>
  </r>
  <r>
    <x v="2"/>
    <x v="1"/>
    <x v="0"/>
    <s v="2456200"/>
    <n v="450040"/>
    <s v="Contr Allow--Phys Svcs--Other"/>
    <s v="FMC-Vashon FM"/>
    <x v="0"/>
    <n v="1700"/>
    <n v="-44.06"/>
    <n v="0"/>
    <n v="0"/>
    <n v="0"/>
    <n v="0"/>
    <n v="0"/>
    <n v="0"/>
    <n v="0"/>
    <n v="0"/>
    <n v="0"/>
    <n v="0"/>
    <n v="0"/>
    <n v="-44.06"/>
    <n v="0"/>
  </r>
  <r>
    <x v="3"/>
    <x v="1"/>
    <x v="0"/>
    <s v="2456200"/>
    <n v="470040"/>
    <s v="Charity Care-Physician Svcs"/>
    <s v="FMC-Vashon FM"/>
    <x v="0"/>
    <m/>
    <n v="-14.61"/>
    <n v="41.38"/>
    <n v="-16.36"/>
    <n v="23.95"/>
    <n v="152.81"/>
    <n v="-22.38"/>
    <n v="-9.43"/>
    <n v="-12.09"/>
    <n v="36.049999999999997"/>
    <n v="-17.38"/>
    <n v="-21.41"/>
    <n v="34.76"/>
    <n v="175.29"/>
    <n v="-56.17"/>
  </r>
  <r>
    <x v="4"/>
    <x v="1"/>
    <x v="0"/>
    <s v="2456200"/>
    <n v="490010"/>
    <s v="Provision for Bad Debts"/>
    <s v="FMC-Vashon FM"/>
    <x v="0"/>
    <m/>
    <n v="-83.48"/>
    <n v="-35.4"/>
    <n v="-792.8"/>
    <n v="-613.96"/>
    <n v="-659.3"/>
    <n v="-582.1"/>
    <n v="-523.91999999999996"/>
    <n v="-171.27"/>
    <n v="-940.18"/>
    <n v="-1933.76"/>
    <n v="-198.81"/>
    <n v="-47.61"/>
    <n v="-6582.59"/>
    <n v="-151.19999999999999"/>
  </r>
  <r>
    <x v="5"/>
    <x v="1"/>
    <x v="0"/>
    <s v="2456200"/>
    <n v="700054"/>
    <s v="Salaries-Management-NonProd-Other"/>
    <s v="FMC-Vashon FM"/>
    <x v="0"/>
    <n v="2000"/>
    <n v="0"/>
    <n v="0"/>
    <n v="0"/>
    <n v="0"/>
    <n v="0"/>
    <n v="4247.5"/>
    <n v="-4247.5"/>
    <n v="0"/>
    <n v="0"/>
    <n v="0"/>
    <n v="0"/>
    <n v="0"/>
    <n v="0"/>
    <n v="0"/>
  </r>
  <r>
    <x v="6"/>
    <x v="1"/>
    <x v="0"/>
    <s v="2456200"/>
    <n v="713010"/>
    <s v="Benefits-FICA/Medicare"/>
    <s v="FMC-Vashon FM"/>
    <x v="0"/>
    <m/>
    <n v="0"/>
    <n v="0"/>
    <n v="0"/>
    <n v="0"/>
    <n v="0"/>
    <n v="324.94"/>
    <n v="324.94"/>
    <n v="0"/>
    <n v="0"/>
    <n v="0"/>
    <n v="0"/>
    <n v="0"/>
    <n v="649.88"/>
    <n v="0"/>
  </r>
  <r>
    <x v="6"/>
    <x v="1"/>
    <x v="0"/>
    <s v="2456200"/>
    <n v="713090"/>
    <s v="Benefits-Allocated Amounts"/>
    <s v="FMC-Vashon FM"/>
    <x v="0"/>
    <m/>
    <n v="0"/>
    <n v="0"/>
    <n v="0"/>
    <n v="0"/>
    <n v="0"/>
    <n v="166.95"/>
    <n v="-29.3"/>
    <n v="-137.65"/>
    <n v="0"/>
    <n v="0"/>
    <n v="0"/>
    <n v="0"/>
    <n v="-2.8421709430404007E-14"/>
    <n v="0"/>
  </r>
  <r>
    <x v="1"/>
    <x v="1"/>
    <x v="0"/>
    <s v="2457200"/>
    <n v="400029"/>
    <s v="MD Practice Other Rev--Medicare"/>
    <s v="FMC-West Seattle FM"/>
    <x v="0"/>
    <n v="1100"/>
    <n v="-3338"/>
    <n v="-3466"/>
    <n v="-2509"/>
    <n v="-3684"/>
    <n v="-2642"/>
    <n v="-2462"/>
    <n v="-4013"/>
    <n v="-3232"/>
    <n v="-3390"/>
    <n v="-3814"/>
    <n v="-3835"/>
    <n v="-3445"/>
    <n v="-39830"/>
    <n v="-390"/>
  </r>
  <r>
    <x v="1"/>
    <x v="1"/>
    <x v="0"/>
    <s v="2457200"/>
    <n v="400029"/>
    <s v="MD Practice Other Rev--Medicaid"/>
    <s v="FMC-West Seattle FM"/>
    <x v="0"/>
    <n v="1200"/>
    <n v="-1190"/>
    <n v="-1583"/>
    <n v="-2073"/>
    <n v="-2090"/>
    <n v="-1375"/>
    <n v="-1678"/>
    <n v="-2418.35"/>
    <n v="-3267"/>
    <n v="-4478"/>
    <n v="-3673"/>
    <n v="-2070"/>
    <n v="-1622"/>
    <n v="-27517.35"/>
    <n v="-448"/>
  </r>
  <r>
    <x v="1"/>
    <x v="1"/>
    <x v="0"/>
    <s v="2457200"/>
    <n v="400029"/>
    <s v="MD Practice Other Rev--Comm Insurance"/>
    <s v="FMC-West Seattle FM"/>
    <x v="0"/>
    <n v="1300"/>
    <n v="-343"/>
    <n v="-689"/>
    <n v="-6"/>
    <n v="-509"/>
    <n v="-299"/>
    <n v="-421"/>
    <n v="-387"/>
    <n v="-572"/>
    <n v="-1548"/>
    <n v="-1056"/>
    <n v="-957"/>
    <n v="-345"/>
    <n v="-7132"/>
    <n v="-612"/>
  </r>
  <r>
    <x v="1"/>
    <x v="1"/>
    <x v="0"/>
    <s v="2457200"/>
    <n v="400029"/>
    <s v="MD Practice Other Rev--BCBS Comm"/>
    <s v="FMC-West Seattle FM"/>
    <x v="0"/>
    <n v="1301"/>
    <n v="-1358"/>
    <n v="-2733"/>
    <n v="-2097"/>
    <n v="-2187"/>
    <n v="-2370"/>
    <n v="-2186"/>
    <n v="-2650"/>
    <n v="-2105"/>
    <n v="-4376"/>
    <n v="-3696"/>
    <n v="-3356"/>
    <n v="-2096"/>
    <n v="-31210"/>
    <n v="-1260"/>
  </r>
  <r>
    <x v="1"/>
    <x v="1"/>
    <x v="0"/>
    <s v="2457200"/>
    <n v="400029"/>
    <s v="MD Practice Other Rev--Managed Care"/>
    <s v="FMC-West Seattle FM"/>
    <x v="0"/>
    <n v="1400"/>
    <n v="-4362"/>
    <n v="-7062"/>
    <n v="-6167"/>
    <n v="-8051"/>
    <n v="-5668"/>
    <n v="-6048"/>
    <n v="-7457"/>
    <n v="-8671"/>
    <n v="-12898"/>
    <n v="-9433"/>
    <n v="-7100"/>
    <n v="-6083"/>
    <n v="-89000"/>
    <n v="-1017"/>
  </r>
  <r>
    <x v="1"/>
    <x v="1"/>
    <x v="0"/>
    <s v="2457200"/>
    <n v="400029"/>
    <s v="MD Practice Other Rev--Self Pay"/>
    <s v="FMC-West Seattle FM"/>
    <x v="0"/>
    <n v="1500"/>
    <n v="-174"/>
    <n v="-629"/>
    <n v="-142"/>
    <n v="-327"/>
    <n v="-186.35"/>
    <n v="-243"/>
    <n v="-248.65"/>
    <n v="-344"/>
    <n v="-619"/>
    <n v="-339"/>
    <n v="-95"/>
    <n v="-343"/>
    <n v="-3690"/>
    <n v="248"/>
  </r>
  <r>
    <x v="1"/>
    <x v="1"/>
    <x v="0"/>
    <s v="2457200"/>
    <n v="400029"/>
    <s v="MD Practice Other Rev--Other"/>
    <s v="FMC-West Seattle FM"/>
    <x v="0"/>
    <n v="1700"/>
    <n v="-462"/>
    <n v="-202"/>
    <n v="-70"/>
    <n v="-590"/>
    <n v="-576"/>
    <n v="-422"/>
    <n v="-273"/>
    <n v="-445"/>
    <n v="-366"/>
    <n v="-660"/>
    <n v="-701"/>
    <n v="-422"/>
    <n v="-5189"/>
    <n v="-279"/>
  </r>
  <r>
    <x v="1"/>
    <x v="1"/>
    <x v="0"/>
    <s v="2457200"/>
    <n v="400040"/>
    <s v="Physician Svcs Rev--Medicare"/>
    <s v="FMC-West Seattle FM"/>
    <x v="0"/>
    <n v="1100"/>
    <n v="-87329.56"/>
    <n v="-130535"/>
    <n v="-96359"/>
    <n v="-132559"/>
    <n v="-106548"/>
    <n v="-100744"/>
    <n v="-98679"/>
    <n v="-78992"/>
    <n v="-84256"/>
    <n v="-100595"/>
    <n v="-101311"/>
    <n v="-111962"/>
    <n v="-1229869.56"/>
    <n v="10651"/>
  </r>
  <r>
    <x v="1"/>
    <x v="1"/>
    <x v="0"/>
    <s v="2457200"/>
    <n v="400040"/>
    <s v="Physician Svcs Rev--Medicaid"/>
    <s v="FMC-West Seattle FM"/>
    <x v="0"/>
    <n v="1200"/>
    <n v="-51852.959999999999"/>
    <n v="-82198.84"/>
    <n v="-59015.360000000001"/>
    <n v="-68455"/>
    <n v="-58819.24"/>
    <n v="-54527.839999999997"/>
    <n v="-55573.31"/>
    <n v="-58131.16"/>
    <n v="-65274.64"/>
    <n v="-60993.2"/>
    <n v="-44751.15"/>
    <n v="-60018.36"/>
    <n v="-719611.05999999994"/>
    <n v="15267.21"/>
  </r>
  <r>
    <x v="1"/>
    <x v="1"/>
    <x v="0"/>
    <s v="2457200"/>
    <n v="400040"/>
    <s v="Physician Svcs Rev--Comm Insurance"/>
    <s v="FMC-West Seattle FM"/>
    <x v="0"/>
    <n v="1300"/>
    <n v="-8406"/>
    <n v="-22953"/>
    <n v="-12579"/>
    <n v="-15006"/>
    <n v="-11302"/>
    <n v="-12222"/>
    <n v="-11826"/>
    <n v="-13252"/>
    <n v="-22835"/>
    <n v="-11823"/>
    <n v="-15676"/>
    <n v="-12733"/>
    <n v="-170613"/>
    <n v="-2943"/>
  </r>
  <r>
    <x v="1"/>
    <x v="1"/>
    <x v="0"/>
    <s v="2457200"/>
    <n v="400040"/>
    <s v="Physician Svcs Rev--BCBS Comm"/>
    <s v="FMC-West Seattle FM"/>
    <x v="0"/>
    <n v="1301"/>
    <n v="-47440.800000000003"/>
    <n v="-93851.85"/>
    <n v="-64153.71"/>
    <n v="-65670.649999999994"/>
    <n v="-69895.95"/>
    <n v="-60130.11"/>
    <n v="-61505.13"/>
    <n v="-50480.49"/>
    <n v="-72101.820000000007"/>
    <n v="-60254.59"/>
    <n v="-63982.06"/>
    <n v="-64936"/>
    <n v="-774403.15999999992"/>
    <n v="953.94000000000233"/>
  </r>
  <r>
    <x v="1"/>
    <x v="1"/>
    <x v="0"/>
    <s v="2457200"/>
    <n v="400040"/>
    <s v="Physician Svcs Rev--Managed Care"/>
    <s v="FMC-West Seattle FM"/>
    <x v="0"/>
    <n v="1400"/>
    <n v="-109002.16"/>
    <n v="-260863.56"/>
    <n v="-190024.05"/>
    <n v="-237472.73"/>
    <n v="-197871.65"/>
    <n v="-196563.25"/>
    <n v="-196389.87"/>
    <n v="-187262.32"/>
    <n v="-183871.28"/>
    <n v="-180614.46"/>
    <n v="-180382.51"/>
    <n v="-179139.96"/>
    <n v="-2299457.7999999998"/>
    <n v="-1242.5500000000175"/>
  </r>
  <r>
    <x v="1"/>
    <x v="1"/>
    <x v="0"/>
    <s v="2457200"/>
    <n v="400040"/>
    <s v="Physician Svcs Rev--Self Pay"/>
    <s v="FMC-West Seattle FM"/>
    <x v="0"/>
    <n v="1500"/>
    <n v="-3461"/>
    <n v="-16093"/>
    <n v="-9090"/>
    <n v="-9175.44"/>
    <n v="-10149.35"/>
    <n v="-7288"/>
    <n v="-10725.65"/>
    <n v="-7140"/>
    <n v="-8314"/>
    <n v="-6656"/>
    <n v="-7992"/>
    <n v="-10129"/>
    <n v="-106213.44"/>
    <n v="2137"/>
  </r>
  <r>
    <x v="1"/>
    <x v="1"/>
    <x v="0"/>
    <s v="2457200"/>
    <n v="400040"/>
    <s v="Physician Svcs Rev--Other"/>
    <s v="FMC-West Seattle FM"/>
    <x v="0"/>
    <n v="1700"/>
    <n v="-3659.94"/>
    <n v="-13776"/>
    <n v="-6357"/>
    <n v="-12701.95"/>
    <n v="-7568"/>
    <n v="-10268"/>
    <n v="-9860"/>
    <n v="-10182"/>
    <n v="-9128"/>
    <n v="-10008"/>
    <n v="-9516"/>
    <n v="-8035.73"/>
    <n v="-111060.62"/>
    <n v="-1480.2700000000004"/>
  </r>
  <r>
    <x v="2"/>
    <x v="1"/>
    <x v="0"/>
    <s v="2457200"/>
    <n v="450029"/>
    <s v="Contr Allow--MD Other-Medicare"/>
    <s v="FMC-West Seattle FM"/>
    <x v="0"/>
    <n v="1100"/>
    <n v="1727.05"/>
    <n v="2154.29"/>
    <n v="2079.42"/>
    <n v="2239.3000000000002"/>
    <n v="2183.35"/>
    <n v="1450.54"/>
    <n v="2603.85"/>
    <n v="1871.52"/>
    <n v="2215.44"/>
    <n v="1738.02"/>
    <n v="2503.69"/>
    <n v="2883.14"/>
    <n v="25649.61"/>
    <n v="-379.44999999999982"/>
  </r>
  <r>
    <x v="2"/>
    <x v="1"/>
    <x v="0"/>
    <s v="2457200"/>
    <n v="450029"/>
    <s v="Contr Allow--MD Other-Medicaid"/>
    <s v="FMC-West Seattle FM"/>
    <x v="0"/>
    <n v="1200"/>
    <n v="1051.02"/>
    <n v="1475.52"/>
    <n v="853.5"/>
    <n v="2184.71"/>
    <n v="928.36"/>
    <n v="1173.32"/>
    <n v="1360.07"/>
    <n v="1948.74"/>
    <n v="2822.6"/>
    <n v="2477.46"/>
    <n v="2363.56"/>
    <n v="1501.57"/>
    <n v="20140.43"/>
    <n v="861.99"/>
  </r>
  <r>
    <x v="2"/>
    <x v="1"/>
    <x v="0"/>
    <s v="2457200"/>
    <n v="450029"/>
    <s v="Contr Allow--MD Other-Comm Insurance"/>
    <s v="FMC-West Seattle FM"/>
    <x v="0"/>
    <n v="1300"/>
    <n v="128.13"/>
    <n v="207.97"/>
    <n v="146.96"/>
    <n v="135.56"/>
    <n v="68.42"/>
    <n v="127.37"/>
    <n v="217.18"/>
    <n v="101.45"/>
    <n v="515.22"/>
    <n v="210.77"/>
    <n v="253.63"/>
    <n v="159.76"/>
    <n v="2272.42"/>
    <n v="93.87"/>
  </r>
  <r>
    <x v="2"/>
    <x v="1"/>
    <x v="0"/>
    <s v="2457200"/>
    <n v="450029"/>
    <s v="Contr Allow--MD Other BCBS Comm"/>
    <s v="FMC-West Seattle FM"/>
    <x v="0"/>
    <n v="1301"/>
    <n v="604.66"/>
    <n v="1251.18"/>
    <n v="795.56"/>
    <n v="936.03"/>
    <n v="982"/>
    <n v="796.51"/>
    <n v="1004.18"/>
    <n v="566.48"/>
    <n v="2092.4"/>
    <n v="2580.92"/>
    <n v="1196.3"/>
    <n v="1190.1400000000001"/>
    <n v="13996.359999999999"/>
    <n v="6.1599999999998545"/>
  </r>
  <r>
    <x v="2"/>
    <x v="1"/>
    <x v="0"/>
    <s v="2457200"/>
    <n v="450029"/>
    <s v="Contr Allow--MD Other-Managed Care"/>
    <s v="FMC-West Seattle FM"/>
    <x v="0"/>
    <n v="1400"/>
    <n v="1664.96"/>
    <n v="4479.32"/>
    <n v="2546.0700000000002"/>
    <n v="3042.86"/>
    <n v="3390.17"/>
    <n v="2829.23"/>
    <n v="2427.34"/>
    <n v="3652.96"/>
    <n v="6151.8"/>
    <n v="6099"/>
    <n v="4488.92"/>
    <n v="2584.6799999999998"/>
    <n v="43357.31"/>
    <n v="1904.2400000000002"/>
  </r>
  <r>
    <x v="2"/>
    <x v="1"/>
    <x v="0"/>
    <s v="2457200"/>
    <n v="450029"/>
    <s v="Admin Adjust-MD Other-Self Pay"/>
    <s v="FMC-West Seattle FM"/>
    <x v="0"/>
    <n v="1600"/>
    <n v="141.85"/>
    <n v="521.52"/>
    <n v="234.61"/>
    <n v="473.73"/>
    <n v="225.1"/>
    <n v="126.51"/>
    <n v="54.55"/>
    <n v="259.87"/>
    <n v="341.02"/>
    <n v="200.73"/>
    <n v="42.38"/>
    <n v="225.63"/>
    <n v="2847.5"/>
    <n v="-183.25"/>
  </r>
  <r>
    <x v="2"/>
    <x v="1"/>
    <x v="0"/>
    <s v="2457200"/>
    <n v="450029"/>
    <s v="Contr Allow--MD Other-Other"/>
    <s v="FMC-West Seattle FM"/>
    <x v="0"/>
    <n v="1700"/>
    <n v="145.4"/>
    <n v="139.80000000000001"/>
    <n v="74.459999999999994"/>
    <n v="36.68"/>
    <n v="214.18"/>
    <n v="227.13"/>
    <n v="75.64"/>
    <n v="199.83"/>
    <n v="257.64"/>
    <n v="208.56"/>
    <n v="176.01"/>
    <n v="95.2"/>
    <n v="1850.5299999999997"/>
    <n v="80.809999999999988"/>
  </r>
  <r>
    <x v="2"/>
    <x v="1"/>
    <x v="0"/>
    <s v="2457200"/>
    <n v="450040"/>
    <s v="Contr Allow--Phys Svcs--Mcare"/>
    <s v="FMC-West Seattle FM"/>
    <x v="0"/>
    <n v="1100"/>
    <n v="52971.79"/>
    <n v="72613.86"/>
    <n v="61744.95"/>
    <n v="88016.69"/>
    <n v="75955.360000000001"/>
    <n v="62456.5"/>
    <n v="70307.83"/>
    <n v="42572.37"/>
    <n v="52459.49"/>
    <n v="57353.08"/>
    <n v="66116.100000000006"/>
    <n v="62116.79"/>
    <n v="764684.80999999994"/>
    <n v="3999.3100000000049"/>
  </r>
  <r>
    <x v="2"/>
    <x v="1"/>
    <x v="0"/>
    <s v="2457200"/>
    <n v="450040"/>
    <s v="Contr Allow--Phys Svcs--Mcaid"/>
    <s v="FMC-West Seattle FM"/>
    <x v="0"/>
    <n v="1200"/>
    <n v="39515.5"/>
    <n v="68563.61"/>
    <n v="47309.32"/>
    <n v="55023.93"/>
    <n v="44002.84"/>
    <n v="39786.5"/>
    <n v="41569.089999999997"/>
    <n v="31978.3"/>
    <n v="48217.85"/>
    <n v="43313.93"/>
    <n v="47278.47"/>
    <n v="35826.46"/>
    <n v="542385.79999999981"/>
    <n v="11452.010000000002"/>
  </r>
  <r>
    <x v="2"/>
    <x v="1"/>
    <x v="0"/>
    <s v="2457200"/>
    <n v="450040"/>
    <s v="Contr Allow--Phys Svcs--Comm Insurance"/>
    <s v="FMC-West Seattle FM"/>
    <x v="0"/>
    <n v="1300"/>
    <n v="3062.53"/>
    <n v="7240.42"/>
    <n v="3878.6"/>
    <n v="4196.58"/>
    <n v="3821.28"/>
    <n v="2466.87"/>
    <n v="5704.02"/>
    <n v="2583.7800000000002"/>
    <n v="5801.52"/>
    <n v="5048.24"/>
    <n v="3345.11"/>
    <n v="3360.76"/>
    <n v="50509.710000000006"/>
    <n v="-15.650000000000091"/>
  </r>
  <r>
    <x v="2"/>
    <x v="1"/>
    <x v="0"/>
    <s v="2457200"/>
    <n v="450040"/>
    <s v="Contr Allow--Phys Svcs--BCBS Comm Ins"/>
    <s v="FMC-West Seattle FM"/>
    <x v="0"/>
    <n v="1301"/>
    <n v="18907.72"/>
    <n v="36280"/>
    <n v="24409.37"/>
    <n v="20403.490000000002"/>
    <n v="26082.31"/>
    <n v="18835.72"/>
    <n v="21498.09"/>
    <n v="14276.25"/>
    <n v="30947.79"/>
    <n v="22174.13"/>
    <n v="18943.990000000002"/>
    <n v="20953.580000000002"/>
    <n v="273712.44"/>
    <n v="-2009.5900000000001"/>
  </r>
  <r>
    <x v="2"/>
    <x v="1"/>
    <x v="0"/>
    <s v="2457200"/>
    <n v="450040"/>
    <s v="Contr Allow--Phys Svcs--Managed Care"/>
    <s v="FMC-West Seattle FM"/>
    <x v="0"/>
    <n v="1400"/>
    <n v="46561.33"/>
    <n v="99720.62"/>
    <n v="64083.4"/>
    <n v="80098.25"/>
    <n v="82640.55"/>
    <n v="62817.79"/>
    <n v="60147.78"/>
    <n v="55349.48"/>
    <n v="83743.03"/>
    <n v="62199.58"/>
    <n v="64957.13"/>
    <n v="53644.65"/>
    <n v="815963.59"/>
    <n v="11312.479999999996"/>
  </r>
  <r>
    <x v="2"/>
    <x v="1"/>
    <x v="0"/>
    <s v="2457200"/>
    <n v="450040"/>
    <s v="Contr Allow--Phys Svcs--BCBS Mgnd Care"/>
    <s v="FMC-West Seattle FM"/>
    <x v="0"/>
    <n v="1401"/>
    <n v="-14994.02"/>
    <n v="-31812.799999999999"/>
    <n v="-3183.79"/>
    <n v="904.93"/>
    <n v="-29435.26"/>
    <n v="7601.11"/>
    <n v="13729.87"/>
    <n v="37396.99"/>
    <n v="-28457.01"/>
    <n v="-3400.63"/>
    <n v="-8836.2999999999993"/>
    <n v="25449.14"/>
    <n v="-35037.76999999999"/>
    <n v="-34285.440000000002"/>
  </r>
  <r>
    <x v="2"/>
    <x v="1"/>
    <x v="0"/>
    <s v="2457200"/>
    <n v="450040"/>
    <s v="Prompt Pay Disc-Phys Svcs-Self Pay"/>
    <s v="FMC-West Seattle FM"/>
    <x v="0"/>
    <n v="1500"/>
    <n v="0"/>
    <n v="289.54000000000002"/>
    <n v="0"/>
    <n v="0"/>
    <n v="0"/>
    <n v="0"/>
    <n v="0"/>
    <n v="0"/>
    <n v="0"/>
    <n v="0"/>
    <n v="0"/>
    <n v="67.69"/>
    <n v="357.23"/>
    <n v="-67.69"/>
  </r>
  <r>
    <x v="2"/>
    <x v="1"/>
    <x v="0"/>
    <s v="2457200"/>
    <n v="450040"/>
    <s v="Admin Adjust-Phys Svcs-Self Pay"/>
    <s v="FMC-West Seattle FM"/>
    <x v="0"/>
    <n v="1600"/>
    <n v="2257.5100000000002"/>
    <n v="12775.77"/>
    <n v="6792.75"/>
    <n v="7502.04"/>
    <n v="6597.56"/>
    <n v="3158.26"/>
    <n v="6722.1"/>
    <n v="4632.18"/>
    <n v="5132.32"/>
    <n v="4053.28"/>
    <n v="3765.25"/>
    <n v="5179.4799999999996"/>
    <n v="68568.5"/>
    <n v="-1414.2299999999996"/>
  </r>
  <r>
    <x v="2"/>
    <x v="1"/>
    <x v="0"/>
    <s v="2457200"/>
    <n v="450040"/>
    <s v="Contr Allow--Phys Svcs--Other"/>
    <s v="FMC-West Seattle FM"/>
    <x v="0"/>
    <n v="1700"/>
    <n v="1033.95"/>
    <n v="7052.63"/>
    <n v="2418.31"/>
    <n v="5224.8"/>
    <n v="3316.56"/>
    <n v="4145.29"/>
    <n v="4434.7299999999996"/>
    <n v="4692.05"/>
    <n v="3796.96"/>
    <n v="3310.85"/>
    <n v="4570.3900000000003"/>
    <n v="2144.73"/>
    <n v="46141.25"/>
    <n v="2425.6600000000003"/>
  </r>
  <r>
    <x v="3"/>
    <x v="1"/>
    <x v="0"/>
    <s v="2457200"/>
    <n v="470040"/>
    <s v="Charity Care-Physician Svcs"/>
    <s v="FMC-West Seattle FM"/>
    <x v="0"/>
    <m/>
    <n v="1214.05"/>
    <n v="2365.1"/>
    <n v="-879.91"/>
    <n v="35.630000000000003"/>
    <n v="-473.54"/>
    <n v="956.99"/>
    <n v="576.70000000000005"/>
    <n v="605.76"/>
    <n v="1412.67"/>
    <n v="824.27"/>
    <n v="-1318.81"/>
    <n v="3852.93"/>
    <n v="9171.84"/>
    <n v="-5171.74"/>
  </r>
  <r>
    <x v="4"/>
    <x v="1"/>
    <x v="0"/>
    <s v="2457200"/>
    <n v="490010"/>
    <s v="Provision for Bad Debts"/>
    <s v="FMC-West Seattle FM"/>
    <x v="0"/>
    <m/>
    <n v="3797.23"/>
    <n v="-1582.69"/>
    <n v="7624.08"/>
    <n v="8739.84"/>
    <n v="4469.88"/>
    <n v="2595.6799999999998"/>
    <n v="-642.70000000000005"/>
    <n v="6289.41"/>
    <n v="3327.31"/>
    <n v="2216.7800000000002"/>
    <n v="3216.6"/>
    <n v="8950.49"/>
    <n v="49001.909999999996"/>
    <n v="-5733.8899999999994"/>
  </r>
  <r>
    <x v="5"/>
    <x v="1"/>
    <x v="0"/>
    <s v="2457200"/>
    <n v="700018"/>
    <s v="Salaries-Supervisory-Productive"/>
    <s v="FMC-West Seattle FM"/>
    <x v="0"/>
    <m/>
    <n v="0"/>
    <n v="10090.120000000001"/>
    <n v="5458.44"/>
    <n v="5787.04"/>
    <n v="6388.8"/>
    <n v="4849.68"/>
    <n v="6485.71"/>
    <n v="3897.07"/>
    <n v="5700.19"/>
    <n v="5409.36"/>
    <n v="6514.5"/>
    <n v="5816.52"/>
    <n v="66397.430000000008"/>
    <n v="697.97999999999956"/>
  </r>
  <r>
    <x v="5"/>
    <x v="1"/>
    <x v="0"/>
    <s v="2457200"/>
    <n v="700022"/>
    <s v="Salaries-Physician-Productive"/>
    <s v="FMC-West Seattle FM"/>
    <x v="0"/>
    <m/>
    <n v="40157.699999999997"/>
    <n v="42268.33"/>
    <n v="26108.12"/>
    <n v="45519.32"/>
    <n v="37817.03"/>
    <n v="36001.67"/>
    <n v="43930.19"/>
    <n v="36242.559999999998"/>
    <n v="34325.919999999998"/>
    <n v="35949.879999999997"/>
    <n v="41743.33"/>
    <n v="40714.74"/>
    <n v="460778.79"/>
    <n v="1028.5900000000038"/>
  </r>
  <r>
    <x v="5"/>
    <x v="1"/>
    <x v="0"/>
    <s v="2457200"/>
    <n v="700024"/>
    <s v="Salaries-Advanced Practice Clinician-Productive"/>
    <s v="FMC-West Seattle FM"/>
    <x v="0"/>
    <m/>
    <n v="48180.66"/>
    <n v="68286.95"/>
    <n v="45712.7"/>
    <n v="71389.08"/>
    <n v="56212.38"/>
    <n v="57963.12"/>
    <n v="57099.87"/>
    <n v="56232.17"/>
    <n v="56758.78"/>
    <n v="46704.6"/>
    <n v="45890.44"/>
    <n v="41671.5"/>
    <n v="652102.25"/>
    <n v="4218.9400000000023"/>
  </r>
  <r>
    <x v="5"/>
    <x v="1"/>
    <x v="0"/>
    <s v="2457200"/>
    <n v="700024"/>
    <s v="Salaries-Advanced Practice Clinician-Other"/>
    <s v="FMC-West Seattle FM"/>
    <x v="0"/>
    <n v="2000"/>
    <n v="0"/>
    <n v="384.61"/>
    <n v="2278.12"/>
    <n v="-759.37"/>
    <n v="0"/>
    <n v="825"/>
    <n v="0"/>
    <n v="901.32"/>
    <n v="751.09"/>
    <n v="575.85"/>
    <n v="2203.2199999999998"/>
    <n v="1101.6099999999999"/>
    <n v="8261.4500000000007"/>
    <n v="1101.6099999999999"/>
  </r>
  <r>
    <x v="5"/>
    <x v="1"/>
    <x v="0"/>
    <s v="2457200"/>
    <n v="700024"/>
    <s v="Salaries-Advanced Practice Clinician-Provider Incentive"/>
    <s v="FMC-West Seattle FM"/>
    <x v="0"/>
    <n v="4003"/>
    <n v="0"/>
    <n v="5188.22"/>
    <n v="0"/>
    <n v="0"/>
    <n v="1695.12"/>
    <n v="0"/>
    <n v="0"/>
    <n v="1663.47"/>
    <n v="0"/>
    <n v="0"/>
    <n v="0"/>
    <n v="0"/>
    <n v="8546.81"/>
    <n v="0"/>
  </r>
  <r>
    <x v="5"/>
    <x v="1"/>
    <x v="0"/>
    <s v="2457200"/>
    <n v="700026"/>
    <s v="Salaries-RN-Productive"/>
    <s v="FMC-West Seattle FM"/>
    <x v="0"/>
    <m/>
    <n v="0"/>
    <n v="9783.09"/>
    <n v="3018.91"/>
    <n v="6704.72"/>
    <n v="5676.21"/>
    <n v="3685.62"/>
    <n v="6267.98"/>
    <n v="5270.17"/>
    <n v="5663.62"/>
    <n v="1410.26"/>
    <n v="0"/>
    <n v="0"/>
    <n v="47480.58"/>
    <n v="0"/>
  </r>
  <r>
    <x v="5"/>
    <x v="1"/>
    <x v="0"/>
    <s v="2457200"/>
    <n v="700026"/>
    <s v="Salaries-RN-OT"/>
    <s v="FMC-West Seattle FM"/>
    <x v="0"/>
    <n v="1000"/>
    <n v="0"/>
    <n v="0"/>
    <n v="0"/>
    <n v="176.79"/>
    <n v="52.16"/>
    <n v="293.56"/>
    <n v="435.35"/>
    <n v="-96.77"/>
    <n v="243.21"/>
    <n v="104.71"/>
    <n v="0"/>
    <n v="0"/>
    <n v="1209.01"/>
    <n v="0"/>
  </r>
  <r>
    <x v="5"/>
    <x v="1"/>
    <x v="0"/>
    <s v="2457200"/>
    <n v="700026"/>
    <s v="Salaries-RN-Other"/>
    <s v="FMC-West Seattle FM"/>
    <x v="0"/>
    <n v="2000"/>
    <n v="0"/>
    <n v="34.119999999999997"/>
    <n v="6.13"/>
    <n v="10.75"/>
    <n v="18"/>
    <n v="1.5"/>
    <n v="25.24"/>
    <n v="-4.2"/>
    <n v="10.52"/>
    <n v="10.52"/>
    <n v="0"/>
    <n v="0"/>
    <n v="112.57999999999998"/>
    <n v="0"/>
  </r>
  <r>
    <x v="5"/>
    <x v="1"/>
    <x v="0"/>
    <s v="2457200"/>
    <n v="700030"/>
    <s v="Salaries-LPN-Productive"/>
    <s v="FMC-West Seattle FM"/>
    <x v="0"/>
    <m/>
    <n v="3431.12"/>
    <n v="11502.32"/>
    <n v="4476.7700000000004"/>
    <n v="7528.76"/>
    <n v="8189.58"/>
    <n v="6726.55"/>
    <n v="5069.6499999999996"/>
    <n v="3245.14"/>
    <n v="3780.23"/>
    <n v="4658.54"/>
    <n v="4303.83"/>
    <n v="5147.74"/>
    <n v="68060.23000000001"/>
    <n v="-843.90999999999985"/>
  </r>
  <r>
    <x v="5"/>
    <x v="1"/>
    <x v="0"/>
    <s v="2457200"/>
    <n v="700030"/>
    <s v="Salaries-LPN-OT"/>
    <s v="FMC-West Seattle FM"/>
    <x v="0"/>
    <n v="1000"/>
    <n v="110.88"/>
    <n v="522.05999999999995"/>
    <n v="-170.94"/>
    <n v="333.95"/>
    <n v="198.88"/>
    <n v="105.91"/>
    <n v="140.88999999999999"/>
    <n v="367.95"/>
    <n v="318.51"/>
    <n v="981.71"/>
    <n v="981.72"/>
    <n v="65.17"/>
    <n v="3956.6900000000005"/>
    <n v="916.55000000000007"/>
  </r>
  <r>
    <x v="5"/>
    <x v="1"/>
    <x v="0"/>
    <s v="2457200"/>
    <n v="700030"/>
    <s v="Salaries-LPN-Other"/>
    <s v="FMC-West Seattle FM"/>
    <x v="0"/>
    <n v="2000"/>
    <n v="0"/>
    <n v="85.62"/>
    <n v="86.69"/>
    <n v="57.9"/>
    <n v="22.1"/>
    <n v="30.4"/>
    <n v="50.08"/>
    <n v="33.26"/>
    <n v="43.72"/>
    <n v="26.34"/>
    <n v="27.22"/>
    <n v="46.85"/>
    <n v="510.17999999999995"/>
    <n v="-19.630000000000003"/>
  </r>
  <r>
    <x v="5"/>
    <x v="1"/>
    <x v="0"/>
    <s v="2457200"/>
    <n v="700032"/>
    <s v="Salaries-Other Pat Care Providers-Productive"/>
    <s v="FMC-West Seattle FM"/>
    <x v="0"/>
    <m/>
    <n v="20103.23"/>
    <n v="25795.72"/>
    <n v="21130.33"/>
    <n v="25911.56"/>
    <n v="21625.05"/>
    <n v="16035.4"/>
    <n v="23181.11"/>
    <n v="16790.75"/>
    <n v="17728.849999999999"/>
    <n v="19807.78"/>
    <n v="24115.22"/>
    <n v="20923.55"/>
    <n v="253148.55"/>
    <n v="3191.6700000000019"/>
  </r>
  <r>
    <x v="5"/>
    <x v="1"/>
    <x v="0"/>
    <s v="2457200"/>
    <n v="700032"/>
    <s v="Salaries-Other Pat Care Providers-OT"/>
    <s v="FMC-West Seattle FM"/>
    <x v="0"/>
    <n v="1000"/>
    <n v="772.69"/>
    <n v="1372.95"/>
    <n v="424.01"/>
    <n v="705.57"/>
    <n v="327.02"/>
    <n v="526.63"/>
    <n v="1239.72"/>
    <n v="1077.04"/>
    <n v="2202.88"/>
    <n v="915.58"/>
    <n v="1658.07"/>
    <n v="859.49"/>
    <n v="12081.650000000001"/>
    <n v="798.57999999999993"/>
  </r>
  <r>
    <x v="5"/>
    <x v="1"/>
    <x v="0"/>
    <s v="2457200"/>
    <n v="700032"/>
    <s v="Salaries-Other Pat Care Providers-Other"/>
    <s v="FMC-West Seattle FM"/>
    <x v="0"/>
    <n v="2000"/>
    <n v="38.4"/>
    <n v="23.22"/>
    <n v="484.02"/>
    <n v="37.979999999999997"/>
    <n v="4.9000000000000004"/>
    <n v="29.12"/>
    <n v="24.87"/>
    <n v="34.270000000000003"/>
    <n v="34.67"/>
    <n v="45.11"/>
    <n v="65.819999999999993"/>
    <n v="39.32"/>
    <n v="861.69999999999993"/>
    <n v="26.499999999999993"/>
  </r>
  <r>
    <x v="5"/>
    <x v="1"/>
    <x v="0"/>
    <s v="2457200"/>
    <n v="700034"/>
    <s v="Salaries-Tech/Professional-Productive"/>
    <s v="FMC-West Seattle FM"/>
    <x v="0"/>
    <m/>
    <n v="0"/>
    <n v="12438.45"/>
    <n v="8107.72"/>
    <n v="10495.42"/>
    <n v="8591.51"/>
    <n v="7327.95"/>
    <n v="10172.450000000001"/>
    <n v="7759.13"/>
    <n v="8682.5499999999993"/>
    <n v="8519.16"/>
    <n v="9531.31"/>
    <n v="4078.49"/>
    <n v="95704.14"/>
    <n v="5452.82"/>
  </r>
  <r>
    <x v="5"/>
    <x v="1"/>
    <x v="0"/>
    <s v="2457200"/>
    <n v="700034"/>
    <s v="Salaries-Tech/Professional-OT"/>
    <s v="FMC-West Seattle FM"/>
    <x v="0"/>
    <n v="1000"/>
    <n v="0"/>
    <n v="667.44"/>
    <n v="-99.56"/>
    <n v="1160.8800000000001"/>
    <n v="-163.07"/>
    <n v="0"/>
    <n v="68.819999999999993"/>
    <n v="0"/>
    <n v="417.39"/>
    <n v="614.36"/>
    <n v="802.84"/>
    <n v="222.36"/>
    <n v="3691.4600000000005"/>
    <n v="580.48"/>
  </r>
  <r>
    <x v="5"/>
    <x v="1"/>
    <x v="0"/>
    <s v="2457200"/>
    <n v="700034"/>
    <s v="Salaries-Tech/Professional-Other"/>
    <s v="FMC-West Seattle FM"/>
    <x v="0"/>
    <n v="2000"/>
    <n v="0"/>
    <n v="77.62"/>
    <n v="20.88"/>
    <n v="52.9"/>
    <n v="22.6"/>
    <n v="30.62"/>
    <n v="50.01"/>
    <n v="32.24"/>
    <n v="44.34"/>
    <n v="43.45"/>
    <n v="49.69"/>
    <n v="26.03"/>
    <n v="450.38"/>
    <n v="23.659999999999997"/>
  </r>
  <r>
    <x v="5"/>
    <x v="1"/>
    <x v="0"/>
    <s v="2457200"/>
    <n v="700054"/>
    <s v="Salaries-Management-NonProd-Other"/>
    <s v="FMC-West Seattle FM"/>
    <x v="0"/>
    <n v="2000"/>
    <n v="0"/>
    <n v="0"/>
    <n v="0"/>
    <n v="0"/>
    <n v="0"/>
    <n v="6766.78"/>
    <n v="-3189.37"/>
    <n v="-3577.41"/>
    <n v="0"/>
    <n v="0"/>
    <n v="0"/>
    <n v="0"/>
    <n v="0"/>
    <n v="0"/>
  </r>
  <r>
    <x v="5"/>
    <x v="1"/>
    <x v="0"/>
    <s v="2457200"/>
    <n v="700058"/>
    <s v="Salaries-Supervisory-Non-productive"/>
    <s v="FMC-West Seattle FM"/>
    <x v="0"/>
    <m/>
    <n v="0"/>
    <n v="2340.6799999999998"/>
    <n v="139.96"/>
    <n v="839.76"/>
    <n v="0"/>
    <n v="1248.72"/>
    <n v="203.71"/>
    <n v="1919.45"/>
    <n v="407.16"/>
    <n v="988.8"/>
    <n v="174.51"/>
    <n v="0"/>
    <n v="8262.75"/>
    <n v="174.51"/>
  </r>
  <r>
    <x v="5"/>
    <x v="1"/>
    <x v="0"/>
    <s v="2457200"/>
    <n v="700062"/>
    <s v="Salaries-Physician-Non-productive"/>
    <s v="FMC-West Seattle FM"/>
    <x v="0"/>
    <m/>
    <n v="0"/>
    <n v="3272.94"/>
    <n v="11349.9"/>
    <n v="-2442.6"/>
    <n v="3943.04"/>
    <n v="3755.78"/>
    <n v="-319.66000000000003"/>
    <n v="1566.07"/>
    <n v="5392.61"/>
    <n v="5659.98"/>
    <n v="-998.75"/>
    <n v="1754.08"/>
    <n v="32933.39"/>
    <n v="-2752.83"/>
  </r>
  <r>
    <x v="5"/>
    <x v="1"/>
    <x v="0"/>
    <s v="2457200"/>
    <n v="700062"/>
    <s v="Salaries-Physician-NonProd-Other"/>
    <s v="FMC-West Seattle FM"/>
    <x v="0"/>
    <n v="2000"/>
    <n v="0"/>
    <n v="0"/>
    <n v="0"/>
    <n v="0"/>
    <n v="333.5"/>
    <n v="0"/>
    <n v="0"/>
    <n v="-333.5"/>
    <n v="0"/>
    <n v="0"/>
    <n v="0"/>
    <n v="0"/>
    <n v="0"/>
    <n v="0"/>
  </r>
  <r>
    <x v="5"/>
    <x v="1"/>
    <x v="0"/>
    <s v="2457200"/>
    <n v="700064"/>
    <s v="Salaries-Advanced Practice Clinician-Non-Productive"/>
    <s v="FMC-West Seattle FM"/>
    <x v="0"/>
    <m/>
    <n v="18738.77"/>
    <n v="1643.27"/>
    <n v="10780"/>
    <n v="-2349.04"/>
    <n v="7222.34"/>
    <n v="3027.57"/>
    <n v="5121.8500000000004"/>
    <n v="13668.49"/>
    <n v="6527.1"/>
    <n v="-2257.27"/>
    <n v="3183"/>
    <n v="886.57"/>
    <n v="66192.649999999994"/>
    <n v="2296.4299999999998"/>
  </r>
  <r>
    <x v="5"/>
    <x v="1"/>
    <x v="0"/>
    <s v="2457200"/>
    <n v="700064"/>
    <s v="Salaries-Advanced Practice Clinician-Non-Prod-Other"/>
    <s v="FMC-West Seattle FM"/>
    <x v="0"/>
    <n v="2000"/>
    <n v="0"/>
    <n v="0"/>
    <n v="0"/>
    <n v="0"/>
    <n v="443.75"/>
    <n v="887.5"/>
    <n v="0"/>
    <n v="-1331.25"/>
    <n v="0"/>
    <n v="0"/>
    <n v="0"/>
    <n v="0"/>
    <n v="0"/>
    <n v="0"/>
  </r>
  <r>
    <x v="5"/>
    <x v="1"/>
    <x v="0"/>
    <s v="2457200"/>
    <n v="700066"/>
    <s v="Salaries-RN-Non-productive"/>
    <s v="FMC-West Seattle FM"/>
    <x v="0"/>
    <m/>
    <n v="0"/>
    <n v="1435.98"/>
    <n v="2372.3000000000002"/>
    <n v="-354.25"/>
    <n v="-34.76"/>
    <n v="1961.89"/>
    <n v="124.67"/>
    <n v="0"/>
    <n v="235.04"/>
    <n v="-17.399999999999999"/>
    <n v="0"/>
    <n v="0"/>
    <n v="5723.47"/>
    <n v="0"/>
  </r>
  <r>
    <x v="5"/>
    <x v="1"/>
    <x v="0"/>
    <s v="2457200"/>
    <n v="700066"/>
    <s v="Salaries-RN-NonProd-Other"/>
    <s v="FMC-West Seattle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7200"/>
    <n v="700070"/>
    <s v="Salaries-LPN-Non-productive"/>
    <s v="FMC-West Seattle FM"/>
    <x v="0"/>
    <m/>
    <n v="0"/>
    <n v="1012.16"/>
    <n v="1314.32"/>
    <n v="245.84"/>
    <n v="336.32"/>
    <n v="1624.94"/>
    <n v="1273.3499999999999"/>
    <n v="437.36"/>
    <n v="114.92"/>
    <n v="233.55"/>
    <n v="687.81"/>
    <n v="304.07"/>
    <n v="7584.6399999999994"/>
    <n v="383.73999999999995"/>
  </r>
  <r>
    <x v="5"/>
    <x v="1"/>
    <x v="0"/>
    <s v="2457200"/>
    <n v="700070"/>
    <s v="Salaries-LPN-NonProd-Other"/>
    <s v="FMC-West Seattle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7200"/>
    <n v="700072"/>
    <s v="Salaries-Other Pat Care Providers-Non-productive"/>
    <s v="FMC-West Seattle FM"/>
    <x v="0"/>
    <m/>
    <n v="3481.08"/>
    <n v="3542.05"/>
    <n v="3055.27"/>
    <n v="2003.32"/>
    <n v="4675.8599999999997"/>
    <n v="7391.25"/>
    <n v="1280.6600000000001"/>
    <n v="3947.18"/>
    <n v="6217.9"/>
    <n v="4643.6400000000003"/>
    <n v="729.86"/>
    <n v="3038.82"/>
    <n v="44006.89"/>
    <n v="-2308.96"/>
  </r>
  <r>
    <x v="5"/>
    <x v="1"/>
    <x v="0"/>
    <s v="2457200"/>
    <n v="700072"/>
    <s v="Salaries-Other Pat Care Providers-NonProd-Other"/>
    <s v="FMC-West Seattle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7200"/>
    <n v="700074"/>
    <s v="Salaries-Tech/Professional-Non-productive"/>
    <s v="FMC-West Seattle FM"/>
    <x v="0"/>
    <m/>
    <n v="0"/>
    <n v="6327.62"/>
    <n v="437.76"/>
    <n v="149.38"/>
    <n v="1456.89"/>
    <n v="1916.54"/>
    <n v="639.21"/>
    <n v="832.18"/>
    <n v="48.36"/>
    <n v="1937.92"/>
    <n v="-349.08"/>
    <n v="1234.3499999999999"/>
    <n v="14631.13"/>
    <n v="-1583.4299999999998"/>
  </r>
  <r>
    <x v="5"/>
    <x v="1"/>
    <x v="0"/>
    <s v="2457200"/>
    <n v="700074"/>
    <s v="Salaries-Tech/Professional-NonProd-Other"/>
    <s v="FMC-West Seattle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7200"/>
    <n v="700084"/>
    <s v="Accrued PTO"/>
    <s v="FMC-West Seattle FM"/>
    <x v="0"/>
    <m/>
    <n v="-83.49"/>
    <n v="-4266.4799999999996"/>
    <n v="231.87"/>
    <n v="2570.29"/>
    <n v="1228.22"/>
    <n v="-6484.34"/>
    <n v="1860.83"/>
    <n v="-421.19"/>
    <n v="3483.65"/>
    <n v="-694.72"/>
    <n v="2982.93"/>
    <n v="1742.19"/>
    <n v="2149.7600000000011"/>
    <n v="1240.7399999999998"/>
  </r>
  <r>
    <x v="10"/>
    <x v="1"/>
    <x v="0"/>
    <s v="2457200"/>
    <n v="710040"/>
    <s v="Contract Labor-Physician (Locum Tenum)"/>
    <s v="FMC-West Seattle FM"/>
    <x v="0"/>
    <m/>
    <n v="0"/>
    <n v="0"/>
    <n v="0"/>
    <n v="0"/>
    <n v="0"/>
    <n v="0"/>
    <n v="0"/>
    <n v="0"/>
    <n v="0"/>
    <n v="0"/>
    <n v="0"/>
    <n v="20460"/>
    <n v="20460"/>
    <n v="-20460"/>
  </r>
  <r>
    <x v="6"/>
    <x v="1"/>
    <x v="0"/>
    <s v="2457200"/>
    <n v="713010"/>
    <s v="Benefits-FICA/Medicare"/>
    <s v="FMC-West Seattle FM"/>
    <x v="0"/>
    <m/>
    <n v="8856.61"/>
    <n v="11851.22"/>
    <n v="7177.06"/>
    <n v="6578.24"/>
    <n v="6659.37"/>
    <n v="8856.7999999999993"/>
    <n v="12261.46"/>
    <n v="11965.11"/>
    <n v="11596.44"/>
    <n v="10306.39"/>
    <n v="10527.87"/>
    <n v="9481.25"/>
    <n v="116117.81999999999"/>
    <n v="1046.6200000000008"/>
  </r>
  <r>
    <x v="6"/>
    <x v="1"/>
    <x v="0"/>
    <s v="2457200"/>
    <n v="713090"/>
    <s v="Benefits-Allocated Amounts"/>
    <s v="FMC-West Seattle FM"/>
    <x v="0"/>
    <m/>
    <n v="0"/>
    <n v="0"/>
    <n v="-67467.350000000006"/>
    <n v="-23686.83"/>
    <n v="-22850.94"/>
    <n v="114005.12"/>
    <n v="0"/>
    <n v="0"/>
    <n v="142829.49"/>
    <n v="14696.07"/>
    <n v="14004.19"/>
    <n v="13517.78"/>
    <n v="185047.53"/>
    <n v="486.40999999999985"/>
  </r>
  <r>
    <x v="6"/>
    <x v="1"/>
    <x v="0"/>
    <s v="2457200"/>
    <n v="713092"/>
    <s v="Allocated Benefits-Physician"/>
    <s v="FMC-West Seattle FM"/>
    <x v="0"/>
    <m/>
    <n v="7887.43"/>
    <n v="12482.29"/>
    <n v="25184.1"/>
    <n v="15840.86"/>
    <n v="15390.7"/>
    <n v="-16744.580000000002"/>
    <n v="11456.46"/>
    <n v="10892.5"/>
    <n v="-60076.800000000003"/>
    <n v="2295.84"/>
    <n v="2187.75"/>
    <n v="2111.75"/>
    <n v="28908.300000000007"/>
    <n v="76"/>
  </r>
  <r>
    <x v="6"/>
    <x v="1"/>
    <x v="0"/>
    <s v="2457200"/>
    <n v="713093"/>
    <s v="Allocated Benefits-Advanced Practice Clinician"/>
    <s v="FMC-West Seattle FM"/>
    <x v="0"/>
    <m/>
    <n v="10120.89"/>
    <n v="15452.8"/>
    <n v="64142.21"/>
    <n v="31197.78"/>
    <n v="30311.18"/>
    <n v="-74182.41"/>
    <n v="14700.58"/>
    <n v="13976.89"/>
    <n v="-57546.05"/>
    <n v="4956.72"/>
    <n v="4723.37"/>
    <n v="4559.3"/>
    <n v="62413.259999999987"/>
    <n v="164.06999999999971"/>
  </r>
  <r>
    <x v="6"/>
    <x v="1"/>
    <x v="0"/>
    <s v="2457200"/>
    <n v="713096"/>
    <s v="Employee Recognition"/>
    <s v="FMC-West Seattle FM"/>
    <x v="0"/>
    <n v="1017"/>
    <n v="0"/>
    <n v="0"/>
    <n v="9.9"/>
    <n v="0"/>
    <n v="44.15"/>
    <n v="0"/>
    <n v="70.95"/>
    <n v="0"/>
    <n v="78.06"/>
    <n v="0"/>
    <n v="0"/>
    <n v="0"/>
    <n v="203.06"/>
    <n v="0"/>
  </r>
  <r>
    <x v="7"/>
    <x v="1"/>
    <x v="0"/>
    <s v="2457200"/>
    <n v="718040"/>
    <s v="Contract Svcs-Laboratory"/>
    <s v="FMC-West Seattle FM"/>
    <x v="0"/>
    <m/>
    <n v="0"/>
    <n v="0"/>
    <n v="0"/>
    <n v="0"/>
    <n v="0"/>
    <n v="0"/>
    <n v="0"/>
    <n v="0"/>
    <n v="20"/>
    <n v="43"/>
    <n v="0"/>
    <n v="0"/>
    <n v="63"/>
    <n v="0"/>
  </r>
  <r>
    <x v="7"/>
    <x v="1"/>
    <x v="0"/>
    <s v="2457200"/>
    <n v="718050"/>
    <s v="Contract Svcs-Other"/>
    <s v="FMC-West Seattle FM"/>
    <x v="0"/>
    <m/>
    <n v="368.74"/>
    <n v="0"/>
    <n v="0"/>
    <n v="0"/>
    <n v="303.62"/>
    <n v="544.64"/>
    <n v="0"/>
    <n v="0"/>
    <n v="545.78"/>
    <n v="451.17"/>
    <n v="0"/>
    <n v="178.47"/>
    <n v="2392.4199999999996"/>
    <n v="-178.47"/>
  </r>
  <r>
    <x v="7"/>
    <x v="1"/>
    <x v="0"/>
    <s v="2457200"/>
    <n v="718050"/>
    <s v="Physician Answering"/>
    <s v="FMC-West Seattle FM"/>
    <x v="0"/>
    <n v="1015"/>
    <n v="112"/>
    <n v="112"/>
    <n v="80"/>
    <n v="272"/>
    <n v="112"/>
    <n v="0"/>
    <n v="304"/>
    <n v="64"/>
    <n v="192"/>
    <n v="176"/>
    <n v="192"/>
    <n v="805"/>
    <n v="2421"/>
    <n v="-613"/>
  </r>
  <r>
    <x v="7"/>
    <x v="1"/>
    <x v="0"/>
    <s v="2457200"/>
    <n v="718050"/>
    <s v="Miscellaneous Purchased Svcs"/>
    <s v="FMC-West Seattle FM"/>
    <x v="0"/>
    <n v="1020"/>
    <n v="0"/>
    <n v="0"/>
    <n v="0"/>
    <n v="0"/>
    <n v="0"/>
    <n v="0"/>
    <n v="-90.71"/>
    <n v="60.45"/>
    <n v="0"/>
    <n v="0"/>
    <n v="0"/>
    <n v="0"/>
    <n v="-30.259999999999991"/>
    <n v="0"/>
  </r>
  <r>
    <x v="7"/>
    <x v="1"/>
    <x v="0"/>
    <s v="2457200"/>
    <n v="718050"/>
    <s v="Contract Management--Linen"/>
    <s v="FMC-West Seattle FM"/>
    <x v="0"/>
    <n v="1026"/>
    <n v="0"/>
    <n v="0"/>
    <n v="0"/>
    <n v="0"/>
    <n v="0"/>
    <n v="0"/>
    <n v="0"/>
    <n v="0"/>
    <n v="183.39"/>
    <n v="550.16999999999996"/>
    <n v="0"/>
    <n v="0"/>
    <n v="733.56"/>
    <n v="0"/>
  </r>
  <r>
    <x v="7"/>
    <x v="1"/>
    <x v="0"/>
    <s v="2457200"/>
    <n v="718050"/>
    <s v="Purchased Srvcs--Medical Waste"/>
    <s v="FMC-West Seattle FM"/>
    <x v="0"/>
    <n v="1027"/>
    <n v="0"/>
    <n v="0"/>
    <n v="0"/>
    <n v="0"/>
    <n v="141.27000000000001"/>
    <n v="158.32"/>
    <n v="0"/>
    <n v="0"/>
    <n v="0"/>
    <n v="185.54"/>
    <n v="205.52"/>
    <n v="106.96"/>
    <n v="797.61"/>
    <n v="98.560000000000016"/>
  </r>
  <r>
    <x v="11"/>
    <x v="1"/>
    <x v="0"/>
    <s v="2457200"/>
    <n v="721410"/>
    <s v="Supplies-Medical - Nonbillable"/>
    <s v="FMC-West Seattle FM"/>
    <x v="0"/>
    <m/>
    <n v="3476.63"/>
    <n v="1308.74"/>
    <n v="0"/>
    <n v="2539"/>
    <n v="3164.91"/>
    <n v="4851.72"/>
    <n v="192.16"/>
    <n v="2653.56"/>
    <n v="2385.8200000000002"/>
    <n v="3713.79"/>
    <n v="701.65"/>
    <n v="4654.8900000000003"/>
    <n v="29642.870000000003"/>
    <n v="-3953.2400000000002"/>
  </r>
  <r>
    <x v="11"/>
    <x v="1"/>
    <x v="0"/>
    <s v="2457200"/>
    <n v="721830"/>
    <s v="Supplies-Office"/>
    <s v="FMC-West Seattle FM"/>
    <x v="0"/>
    <m/>
    <n v="0"/>
    <n v="0"/>
    <n v="138.66999999999999"/>
    <n v="118.61"/>
    <n v="26.32"/>
    <n v="0"/>
    <n v="44.02"/>
    <n v="32.54"/>
    <n v="0"/>
    <n v="227.11"/>
    <n v="44.03"/>
    <n v="117.72"/>
    <n v="749.02"/>
    <n v="-73.69"/>
  </r>
  <r>
    <x v="11"/>
    <x v="1"/>
    <x v="0"/>
    <s v="2457200"/>
    <n v="722000"/>
    <s v="Supplies-Freight Expense"/>
    <s v="FMC-West Seattle FM"/>
    <x v="0"/>
    <m/>
    <n v="0"/>
    <n v="0"/>
    <n v="0"/>
    <n v="33.19"/>
    <n v="0"/>
    <n v="0"/>
    <n v="0"/>
    <n v="0"/>
    <n v="9.77"/>
    <n v="27.7"/>
    <n v="0"/>
    <n v="0"/>
    <n v="70.66"/>
    <n v="0"/>
  </r>
  <r>
    <x v="11"/>
    <x v="1"/>
    <x v="0"/>
    <s v="2457200"/>
    <n v="723000"/>
    <s v="Supply Rebates/Patronage Dividend"/>
    <s v="FMC-West Seattle FM"/>
    <x v="0"/>
    <m/>
    <n v="0"/>
    <n v="0"/>
    <n v="0"/>
    <n v="0"/>
    <n v="0"/>
    <n v="0"/>
    <n v="0"/>
    <n v="0"/>
    <n v="0"/>
    <n v="0"/>
    <n v="0"/>
    <n v="0"/>
    <n v="0"/>
    <n v="0"/>
  </r>
  <r>
    <x v="16"/>
    <x v="1"/>
    <x v="0"/>
    <s v="2457200"/>
    <n v="733030"/>
    <s v="Maintenance Contracts-Other"/>
    <s v="FMC-West Seattle FM"/>
    <x v="0"/>
    <m/>
    <n v="0"/>
    <n v="0"/>
    <n v="0"/>
    <n v="0"/>
    <n v="0"/>
    <n v="0"/>
    <n v="0"/>
    <n v="0"/>
    <n v="0"/>
    <n v="0"/>
    <n v="0"/>
    <n v="251.17"/>
    <n v="251.17"/>
    <n v="-251.17"/>
  </r>
  <r>
    <x v="0"/>
    <x v="1"/>
    <x v="0"/>
    <s v="2457200"/>
    <n v="740022"/>
    <s v="Education-Physician"/>
    <s v="FMC-West Seattle FM"/>
    <x v="0"/>
    <m/>
    <n v="0"/>
    <n v="0"/>
    <n v="0"/>
    <n v="0"/>
    <n v="0"/>
    <n v="0"/>
    <n v="0"/>
    <n v="975"/>
    <n v="925"/>
    <n v="627.29999999999995"/>
    <n v="0"/>
    <n v="0"/>
    <n v="2527.3000000000002"/>
    <n v="0"/>
  </r>
  <r>
    <x v="0"/>
    <x v="1"/>
    <x v="0"/>
    <s v="2457200"/>
    <n v="740023"/>
    <s v="Education-Advanced Practice Clinician"/>
    <s v="FMC-West Seattle FM"/>
    <x v="0"/>
    <m/>
    <n v="0"/>
    <n v="0"/>
    <n v="0"/>
    <n v="250"/>
    <n v="0"/>
    <n v="795"/>
    <n v="0"/>
    <n v="0"/>
    <n v="0"/>
    <n v="0"/>
    <n v="1793.17"/>
    <n v="0"/>
    <n v="2838.17"/>
    <n v="1793.17"/>
  </r>
  <r>
    <x v="0"/>
    <x v="1"/>
    <x v="0"/>
    <s v="2457200"/>
    <n v="740023"/>
    <s v="Education Travel-Advanced Practice Clinician"/>
    <s v="FMC-West Seattle FM"/>
    <x v="0"/>
    <n v="2001"/>
    <n v="0"/>
    <n v="0"/>
    <n v="0"/>
    <n v="0"/>
    <n v="0"/>
    <n v="0"/>
    <n v="0"/>
    <n v="0"/>
    <n v="0"/>
    <n v="0"/>
    <n v="706.83"/>
    <n v="0"/>
    <n v="706.83"/>
    <n v="706.83"/>
  </r>
  <r>
    <x v="8"/>
    <x v="1"/>
    <x v="0"/>
    <s v="2457200"/>
    <n v="741012"/>
    <s v="Physician Liab Insurance-CHI Program"/>
    <s v="FMC-West Seattle FM"/>
    <x v="0"/>
    <m/>
    <n v="1241.01"/>
    <n v="1241.01"/>
    <n v="1241.01"/>
    <n v="1241.01"/>
    <n v="1241.01"/>
    <n v="1241"/>
    <n v="1241.01"/>
    <n v="1241"/>
    <n v="1241.01"/>
    <n v="1241"/>
    <n v="1241.01"/>
    <n v="1328.2"/>
    <n v="14979.28"/>
    <n v="-87.190000000000055"/>
  </r>
  <r>
    <x v="0"/>
    <x v="1"/>
    <x v="0"/>
    <s v="2457200"/>
    <n v="743010"/>
    <s v="Dues--Institutional"/>
    <s v="FMC-West Seattle FM"/>
    <x v="0"/>
    <m/>
    <n v="0"/>
    <n v="0"/>
    <n v="731"/>
    <n v="0"/>
    <n v="0"/>
    <n v="885"/>
    <n v="857"/>
    <n v="0"/>
    <n v="0"/>
    <n v="0"/>
    <n v="0"/>
    <n v="0"/>
    <n v="2473"/>
    <n v="0"/>
  </r>
  <r>
    <x v="0"/>
    <x v="1"/>
    <x v="0"/>
    <s v="2457200"/>
    <n v="743020"/>
    <s v="Dues--Individual"/>
    <s v="FMC-West Seattle FM"/>
    <x v="0"/>
    <m/>
    <n v="0"/>
    <n v="0"/>
    <n v="0"/>
    <n v="0"/>
    <n v="0"/>
    <n v="0"/>
    <n v="0"/>
    <n v="1320"/>
    <n v="0"/>
    <n v="0"/>
    <n v="0"/>
    <n v="0"/>
    <n v="1320"/>
    <n v="0"/>
  </r>
  <r>
    <x v="0"/>
    <x v="1"/>
    <x v="0"/>
    <s v="2457200"/>
    <n v="743022"/>
    <s v="Dues-Physician"/>
    <s v="FMC-West Seattle FM"/>
    <x v="0"/>
    <m/>
    <n v="0"/>
    <n v="0"/>
    <n v="0"/>
    <n v="395"/>
    <n v="0"/>
    <n v="0"/>
    <n v="0"/>
    <n v="425"/>
    <n v="728"/>
    <n v="0"/>
    <n v="0"/>
    <n v="0"/>
    <n v="1548"/>
    <n v="0"/>
  </r>
  <r>
    <x v="0"/>
    <x v="1"/>
    <x v="0"/>
    <s v="2457200"/>
    <n v="743023"/>
    <s v="Dues-Advanced Practice Clinician"/>
    <s v="FMC-West Seattle FM"/>
    <x v="0"/>
    <m/>
    <n v="0"/>
    <n v="0"/>
    <n v="0"/>
    <n v="0"/>
    <n v="0"/>
    <n v="0"/>
    <n v="0"/>
    <n v="0"/>
    <n v="280.25"/>
    <n v="0"/>
    <n v="0"/>
    <n v="150"/>
    <n v="430.25"/>
    <n v="-150"/>
  </r>
  <r>
    <x v="0"/>
    <x v="1"/>
    <x v="0"/>
    <s v="2457200"/>
    <n v="743030"/>
    <s v="Subscriptions--Institutional"/>
    <s v="FMC-West Seattle FM"/>
    <x v="0"/>
    <m/>
    <n v="0"/>
    <n v="0"/>
    <n v="0"/>
    <n v="0"/>
    <n v="295"/>
    <n v="0"/>
    <n v="0"/>
    <n v="0"/>
    <n v="0"/>
    <n v="0"/>
    <n v="0"/>
    <n v="0"/>
    <n v="295"/>
    <n v="0"/>
  </r>
  <r>
    <x v="0"/>
    <x v="1"/>
    <x v="0"/>
    <s v="2457200"/>
    <n v="743042"/>
    <s v="Subscriptions-Physician"/>
    <s v="FMC-West Seattle FM"/>
    <x v="0"/>
    <m/>
    <n v="0"/>
    <n v="0"/>
    <n v="275.22000000000003"/>
    <n v="0"/>
    <n v="0"/>
    <n v="0"/>
    <n v="0"/>
    <n v="0"/>
    <n v="0"/>
    <n v="0"/>
    <n v="0"/>
    <n v="0"/>
    <n v="275.22000000000003"/>
    <n v="0"/>
  </r>
  <r>
    <x v="0"/>
    <x v="1"/>
    <x v="0"/>
    <s v="2457200"/>
    <n v="743043"/>
    <s v="Subscriptions-Advanced Practice Clinician"/>
    <s v="FMC-West Seattle FM"/>
    <x v="0"/>
    <m/>
    <n v="0"/>
    <n v="0"/>
    <n v="0"/>
    <n v="0"/>
    <n v="399"/>
    <n v="0"/>
    <n v="0"/>
    <n v="0"/>
    <n v="0"/>
    <n v="0"/>
    <n v="0"/>
    <n v="0"/>
    <n v="399"/>
    <n v="0"/>
  </r>
  <r>
    <x v="0"/>
    <x v="1"/>
    <x v="0"/>
    <s v="2457200"/>
    <n v="749510"/>
    <s v="Miscellaneous Expenses"/>
    <s v="FMC-West Seattle FM"/>
    <x v="0"/>
    <m/>
    <n v="-2443.86"/>
    <n v="-170.04"/>
    <n v="1123.08"/>
    <n v="-159.4"/>
    <n v="1954.44"/>
    <n v="-2091.29"/>
    <n v="1107.3499999999999"/>
    <n v="446.9"/>
    <n v="-127.64"/>
    <n v="-1525.36"/>
    <n v="0"/>
    <n v="0"/>
    <n v="-1885.8200000000002"/>
    <n v="0"/>
  </r>
  <r>
    <x v="0"/>
    <x v="1"/>
    <x v="0"/>
    <s v="2457200"/>
    <n v="749510"/>
    <s v="Licenses"/>
    <s v="FMC-West Seattle FM"/>
    <x v="0"/>
    <n v="1002"/>
    <n v="0"/>
    <n v="0"/>
    <n v="267"/>
    <n v="0"/>
    <n v="0"/>
    <n v="0"/>
    <n v="0"/>
    <n v="0"/>
    <n v="0"/>
    <n v="0"/>
    <n v="0"/>
    <n v="0"/>
    <n v="267"/>
    <n v="0"/>
  </r>
  <r>
    <x v="0"/>
    <x v="1"/>
    <x v="0"/>
    <s v="2457200"/>
    <n v="749512"/>
    <s v="Licenses-Physician"/>
    <s v="FMC-West Seattle FM"/>
    <x v="0"/>
    <n v="2000"/>
    <n v="0"/>
    <n v="0"/>
    <n v="441"/>
    <n v="0"/>
    <n v="-441"/>
    <n v="0"/>
    <n v="0"/>
    <n v="0"/>
    <n v="0"/>
    <n v="731"/>
    <n v="0"/>
    <n v="0"/>
    <n v="731"/>
    <n v="0"/>
  </r>
  <r>
    <x v="0"/>
    <x v="1"/>
    <x v="0"/>
    <s v="2457200"/>
    <n v="749513"/>
    <s v="Licenses-Advanced Practice Clinician"/>
    <s v="FMC-West Seattle FM"/>
    <x v="0"/>
    <n v="2000"/>
    <n v="0"/>
    <n v="0"/>
    <n v="0"/>
    <n v="449.5"/>
    <n v="0"/>
    <n v="0"/>
    <n v="0"/>
    <n v="0"/>
    <n v="0"/>
    <n v="202"/>
    <n v="0"/>
    <n v="0"/>
    <n v="651.5"/>
    <n v="0"/>
  </r>
  <r>
    <x v="0"/>
    <x v="1"/>
    <x v="0"/>
    <s v="2457200"/>
    <n v="749530"/>
    <s v="Travel"/>
    <s v="FMC-West Seattle FM"/>
    <x v="0"/>
    <m/>
    <n v="0"/>
    <n v="22.5"/>
    <n v="0"/>
    <n v="0"/>
    <n v="0"/>
    <n v="0"/>
    <n v="0"/>
    <n v="0"/>
    <n v="0"/>
    <n v="0"/>
    <n v="0"/>
    <n v="0"/>
    <n v="22.5"/>
    <n v="0"/>
  </r>
  <r>
    <x v="0"/>
    <x v="1"/>
    <x v="0"/>
    <s v="2457200"/>
    <n v="749530"/>
    <s v="Mileage"/>
    <s v="FMC-West Seattle FM"/>
    <x v="0"/>
    <n v="1001"/>
    <n v="114.45"/>
    <n v="182.04"/>
    <n v="220.19"/>
    <n v="205.48"/>
    <n v="0"/>
    <n v="180.41"/>
    <n v="27.8"/>
    <n v="123.54"/>
    <n v="70.180000000000007"/>
    <n v="136.30000000000001"/>
    <n v="84.68"/>
    <n v="110.2"/>
    <n v="1455.2700000000002"/>
    <n v="-25.519999999999996"/>
  </r>
  <r>
    <x v="0"/>
    <x v="1"/>
    <x v="0"/>
    <s v="2457200"/>
    <n v="749532"/>
    <s v="Travel-Physician"/>
    <s v="FMC-West Seattle FM"/>
    <x v="0"/>
    <m/>
    <n v="0"/>
    <n v="0"/>
    <n v="0"/>
    <n v="0"/>
    <n v="0"/>
    <n v="0"/>
    <n v="0"/>
    <n v="0"/>
    <n v="0"/>
    <n v="2309.65"/>
    <n v="0"/>
    <n v="0"/>
    <n v="2309.65"/>
    <n v="0"/>
  </r>
  <r>
    <x v="0"/>
    <x v="1"/>
    <x v="0"/>
    <s v="2457200"/>
    <n v="749533"/>
    <s v="Travel-Advanced Practice Clinician"/>
    <s v="FMC-West Seattle FM"/>
    <x v="0"/>
    <m/>
    <n v="0"/>
    <n v="0"/>
    <n v="0"/>
    <n v="0"/>
    <n v="0"/>
    <n v="405.4"/>
    <n v="0"/>
    <n v="1299.5999999999999"/>
    <n v="0"/>
    <n v="2123.3000000000002"/>
    <n v="0"/>
    <n v="0"/>
    <n v="3828.3"/>
    <n v="0"/>
  </r>
  <r>
    <x v="0"/>
    <x v="1"/>
    <x v="0"/>
    <s v="2457200"/>
    <n v="749533"/>
    <s v="Business Meals-Advanced Practice Clinician"/>
    <s v="FMC-West Seattle FM"/>
    <x v="0"/>
    <n v="2000"/>
    <n v="0"/>
    <n v="0"/>
    <n v="0"/>
    <n v="23.43"/>
    <n v="0"/>
    <n v="0"/>
    <n v="0"/>
    <n v="0"/>
    <n v="0"/>
    <n v="0"/>
    <n v="0"/>
    <n v="0"/>
    <n v="23.43"/>
    <n v="0"/>
  </r>
  <r>
    <x v="0"/>
    <x v="1"/>
    <x v="0"/>
    <s v="2457200"/>
    <n v="749533"/>
    <s v="Vehicle Expense-Advanced Practice Clinician"/>
    <s v="FMC-West Seattle FM"/>
    <x v="0"/>
    <n v="2001"/>
    <n v="0"/>
    <n v="0"/>
    <n v="0"/>
    <n v="172.78"/>
    <n v="0"/>
    <n v="78.489999999999995"/>
    <n v="0"/>
    <n v="0"/>
    <n v="0"/>
    <n v="92.66"/>
    <n v="14.5"/>
    <n v="70.180000000000007"/>
    <n v="428.60999999999996"/>
    <n v="-55.680000000000007"/>
  </r>
  <r>
    <x v="0"/>
    <x v="1"/>
    <x v="0"/>
    <s v="2457200"/>
    <n v="749535"/>
    <s v="Meetings"/>
    <s v="FMC-West Seattle FM"/>
    <x v="0"/>
    <m/>
    <n v="0"/>
    <n v="0"/>
    <n v="20.04"/>
    <n v="0"/>
    <n v="33.42"/>
    <n v="0"/>
    <n v="0"/>
    <n v="0"/>
    <n v="0"/>
    <n v="0"/>
    <n v="0"/>
    <n v="0"/>
    <n v="53.46"/>
    <n v="0"/>
  </r>
  <r>
    <x v="9"/>
    <x v="1"/>
    <x v="0"/>
    <s v="2457200"/>
    <n v="800015"/>
    <s v="Interest Income-Ext to CHI"/>
    <s v="FMC-West Seattle FM"/>
    <x v="0"/>
    <m/>
    <n v="0"/>
    <n v="0"/>
    <n v="0"/>
    <n v="0"/>
    <n v="0"/>
    <n v="0"/>
    <n v="0"/>
    <n v="-14.95"/>
    <n v="-15.87"/>
    <n v="-14.69"/>
    <n v="-14.49"/>
    <n v="-13.35"/>
    <n v="-73.349999999999994"/>
    <n v="-1.1400000000000006"/>
  </r>
  <r>
    <x v="1"/>
    <x v="1"/>
    <x v="0"/>
    <s v="2458200"/>
    <n v="400029"/>
    <s v="MD Practice Other Rev--Medicare"/>
    <s v="FPC-West Seattle"/>
    <x v="0"/>
    <n v="1100"/>
    <n v="-59"/>
    <n v="59"/>
    <n v="0"/>
    <n v="0"/>
    <n v="0"/>
    <n v="0"/>
    <n v="0"/>
    <n v="0"/>
    <n v="0"/>
    <n v="0"/>
    <n v="0"/>
    <n v="0"/>
    <n v="0"/>
    <n v="0"/>
  </r>
  <r>
    <x v="1"/>
    <x v="1"/>
    <x v="0"/>
    <s v="2458200"/>
    <n v="400029"/>
    <s v="MD Practice Other Rev--Medicaid"/>
    <s v="FPC-West Seattle"/>
    <x v="0"/>
    <n v="1200"/>
    <n v="-239"/>
    <n v="239"/>
    <n v="0"/>
    <n v="0"/>
    <n v="0"/>
    <n v="0"/>
    <n v="0"/>
    <n v="0"/>
    <n v="0"/>
    <n v="0"/>
    <n v="0"/>
    <n v="0"/>
    <n v="0"/>
    <n v="0"/>
  </r>
  <r>
    <x v="1"/>
    <x v="1"/>
    <x v="0"/>
    <s v="2458200"/>
    <n v="400029"/>
    <s v="MD Practice Other Rev--Comm Insurance"/>
    <s v="FPC-West Seattle"/>
    <x v="0"/>
    <n v="1300"/>
    <n v="-151"/>
    <n v="151"/>
    <n v="0"/>
    <n v="0"/>
    <n v="0"/>
    <n v="0"/>
    <n v="0"/>
    <n v="0"/>
    <n v="0"/>
    <n v="0"/>
    <n v="0"/>
    <n v="0"/>
    <n v="0"/>
    <n v="0"/>
  </r>
  <r>
    <x v="1"/>
    <x v="1"/>
    <x v="0"/>
    <s v="2458200"/>
    <n v="400029"/>
    <s v="MD Practice Other Rev--BCBS Comm"/>
    <s v="FPC-West Seattle"/>
    <x v="0"/>
    <n v="1301"/>
    <n v="-460"/>
    <n v="460"/>
    <n v="0"/>
    <n v="0"/>
    <n v="0"/>
    <n v="0"/>
    <n v="0"/>
    <n v="0"/>
    <n v="0"/>
    <n v="0"/>
    <n v="0"/>
    <n v="0"/>
    <n v="0"/>
    <n v="0"/>
  </r>
  <r>
    <x v="1"/>
    <x v="1"/>
    <x v="0"/>
    <s v="2458200"/>
    <n v="400029"/>
    <s v="MD Practice Other Rev--Managed Care"/>
    <s v="FPC-West Seattle"/>
    <x v="0"/>
    <n v="1400"/>
    <n v="-1285"/>
    <n v="1285"/>
    <n v="0"/>
    <n v="0"/>
    <n v="0"/>
    <n v="0"/>
    <n v="0"/>
    <n v="0"/>
    <n v="0"/>
    <n v="0"/>
    <n v="0"/>
    <n v="0"/>
    <n v="0"/>
    <n v="0"/>
  </r>
  <r>
    <x v="1"/>
    <x v="1"/>
    <x v="0"/>
    <s v="2458200"/>
    <n v="400029"/>
    <s v="MD Practice Other Rev--Self Pay"/>
    <s v="FPC-West Seattle"/>
    <x v="0"/>
    <n v="1500"/>
    <n v="97"/>
    <n v="-97"/>
    <n v="0"/>
    <n v="0"/>
    <n v="0"/>
    <n v="0"/>
    <n v="0"/>
    <n v="0"/>
    <n v="0"/>
    <n v="0"/>
    <n v="0"/>
    <n v="0"/>
    <n v="0"/>
    <n v="0"/>
  </r>
  <r>
    <x v="1"/>
    <x v="1"/>
    <x v="0"/>
    <s v="2458200"/>
    <n v="400029"/>
    <s v="MD Practice Other Rev--Other"/>
    <s v="FPC-West Seattle"/>
    <x v="0"/>
    <n v="1700"/>
    <n v="-10"/>
    <n v="10"/>
    <n v="0"/>
    <n v="0"/>
    <n v="0"/>
    <n v="0"/>
    <n v="0"/>
    <n v="0"/>
    <n v="0"/>
    <n v="0"/>
    <n v="0"/>
    <n v="0"/>
    <n v="0"/>
    <n v="0"/>
  </r>
  <r>
    <x v="1"/>
    <x v="1"/>
    <x v="0"/>
    <s v="2458200"/>
    <n v="400040"/>
    <s v="Physician Svcs Rev--Medicare"/>
    <s v="FPC-West Seattle"/>
    <x v="0"/>
    <n v="1100"/>
    <n v="-19314"/>
    <n v="19314"/>
    <n v="0"/>
    <n v="0"/>
    <n v="0"/>
    <n v="0"/>
    <n v="0"/>
    <n v="0"/>
    <n v="0"/>
    <n v="0"/>
    <n v="0"/>
    <n v="0"/>
    <n v="0"/>
    <n v="0"/>
  </r>
  <r>
    <x v="1"/>
    <x v="1"/>
    <x v="0"/>
    <s v="2458200"/>
    <n v="400040"/>
    <s v="Physician Svcs Rev--Medicaid"/>
    <s v="FPC-West Seattle"/>
    <x v="0"/>
    <n v="1200"/>
    <n v="-15477"/>
    <n v="15477"/>
    <n v="0"/>
    <n v="0"/>
    <n v="0"/>
    <n v="0"/>
    <n v="0"/>
    <n v="0"/>
    <n v="0"/>
    <n v="0"/>
    <n v="0"/>
    <n v="0"/>
    <n v="0"/>
    <n v="0"/>
  </r>
  <r>
    <x v="1"/>
    <x v="1"/>
    <x v="0"/>
    <s v="2458200"/>
    <n v="400040"/>
    <s v="Physician Svcs Rev--Comm Insurance"/>
    <s v="FPC-West Seattle"/>
    <x v="0"/>
    <n v="1300"/>
    <n v="-3899"/>
    <n v="3899"/>
    <n v="0"/>
    <n v="0"/>
    <n v="0"/>
    <n v="0"/>
    <n v="0"/>
    <n v="0"/>
    <n v="0"/>
    <n v="0"/>
    <n v="0"/>
    <n v="0"/>
    <n v="0"/>
    <n v="0"/>
  </r>
  <r>
    <x v="1"/>
    <x v="1"/>
    <x v="0"/>
    <s v="2458200"/>
    <n v="400040"/>
    <s v="Physician Svcs Rev--BCBS Comm"/>
    <s v="FPC-West Seattle"/>
    <x v="0"/>
    <n v="1301"/>
    <n v="-17880"/>
    <n v="17880"/>
    <n v="0"/>
    <n v="0"/>
    <n v="0"/>
    <n v="0"/>
    <n v="0"/>
    <n v="0"/>
    <n v="0"/>
    <n v="0"/>
    <n v="0"/>
    <n v="0"/>
    <n v="0"/>
    <n v="0"/>
  </r>
  <r>
    <x v="1"/>
    <x v="1"/>
    <x v="0"/>
    <s v="2458200"/>
    <n v="400040"/>
    <s v="Physician Svcs Rev--Managed Care"/>
    <s v="FPC-West Seattle"/>
    <x v="0"/>
    <n v="1400"/>
    <n v="-59953"/>
    <n v="59953"/>
    <n v="0"/>
    <n v="0"/>
    <n v="0"/>
    <n v="0"/>
    <n v="0"/>
    <n v="0"/>
    <n v="0"/>
    <n v="0"/>
    <n v="0"/>
    <n v="0"/>
    <n v="0"/>
    <n v="0"/>
  </r>
  <r>
    <x v="1"/>
    <x v="1"/>
    <x v="0"/>
    <s v="2458200"/>
    <n v="400040"/>
    <s v="Physician Svcs Rev--Self Pay"/>
    <s v="FPC-West Seattle"/>
    <x v="0"/>
    <n v="1500"/>
    <n v="-4982"/>
    <n v="4982"/>
    <n v="0"/>
    <n v="0"/>
    <n v="0"/>
    <n v="0"/>
    <n v="0"/>
    <n v="0"/>
    <n v="0"/>
    <n v="0"/>
    <n v="0"/>
    <n v="0"/>
    <n v="0"/>
    <n v="0"/>
  </r>
  <r>
    <x v="1"/>
    <x v="1"/>
    <x v="0"/>
    <s v="2458200"/>
    <n v="400040"/>
    <s v="Physician Svcs Rev--Other"/>
    <s v="FPC-West Seattle"/>
    <x v="0"/>
    <n v="1700"/>
    <n v="-3258"/>
    <n v="3258"/>
    <n v="0"/>
    <n v="0"/>
    <n v="0"/>
    <n v="0"/>
    <n v="0"/>
    <n v="0"/>
    <n v="0"/>
    <n v="0"/>
    <n v="0"/>
    <n v="0"/>
    <n v="0"/>
    <n v="0"/>
  </r>
  <r>
    <x v="2"/>
    <x v="1"/>
    <x v="0"/>
    <s v="2458200"/>
    <n v="450029"/>
    <s v="Contr Allow--MD Other-Medicare"/>
    <s v="FPC-West Seattle"/>
    <x v="0"/>
    <n v="1100"/>
    <n v="70.23"/>
    <n v="-70.23"/>
    <n v="0"/>
    <n v="0"/>
    <n v="0"/>
    <n v="0"/>
    <n v="0"/>
    <n v="0"/>
    <n v="0"/>
    <n v="0"/>
    <n v="0"/>
    <n v="0"/>
    <n v="0"/>
    <n v="0"/>
  </r>
  <r>
    <x v="2"/>
    <x v="1"/>
    <x v="0"/>
    <s v="2458200"/>
    <n v="450029"/>
    <s v="Contr Allow--MD Other-Medicaid"/>
    <s v="FPC-West Seattle"/>
    <x v="0"/>
    <n v="1200"/>
    <n v="310.81"/>
    <n v="-310.81"/>
    <n v="0"/>
    <n v="0"/>
    <n v="0"/>
    <n v="0"/>
    <n v="0"/>
    <n v="0"/>
    <n v="0"/>
    <n v="0"/>
    <n v="0"/>
    <n v="0"/>
    <n v="0"/>
    <n v="0"/>
  </r>
  <r>
    <x v="2"/>
    <x v="1"/>
    <x v="0"/>
    <s v="2458200"/>
    <n v="450029"/>
    <s v="Contr Allow--MD Other-Comm Insurance"/>
    <s v="FPC-West Seattle"/>
    <x v="0"/>
    <n v="1300"/>
    <n v="39.979999999999997"/>
    <n v="-39.979999999999997"/>
    <n v="0"/>
    <n v="0"/>
    <n v="0"/>
    <n v="0"/>
    <n v="0"/>
    <n v="0"/>
    <n v="0"/>
    <n v="0"/>
    <n v="0"/>
    <n v="0"/>
    <n v="0"/>
    <n v="0"/>
  </r>
  <r>
    <x v="2"/>
    <x v="1"/>
    <x v="0"/>
    <s v="2458200"/>
    <n v="450029"/>
    <s v="Contr Allow--MD Other BCBS Comm"/>
    <s v="FPC-West Seattle"/>
    <x v="0"/>
    <n v="1301"/>
    <n v="378.21"/>
    <n v="-378.21"/>
    <n v="0"/>
    <n v="0"/>
    <n v="0"/>
    <n v="0"/>
    <n v="0"/>
    <n v="0"/>
    <n v="0"/>
    <n v="0"/>
    <n v="0"/>
    <n v="0"/>
    <n v="0"/>
    <n v="0"/>
  </r>
  <r>
    <x v="2"/>
    <x v="1"/>
    <x v="0"/>
    <s v="2458200"/>
    <n v="450029"/>
    <s v="Contr Allow--MD Other-Managed Care"/>
    <s v="FPC-West Seattle"/>
    <x v="0"/>
    <n v="1400"/>
    <n v="1312.74"/>
    <n v="-1312.74"/>
    <n v="0"/>
    <n v="0"/>
    <n v="0"/>
    <n v="0"/>
    <n v="0"/>
    <n v="0"/>
    <n v="0"/>
    <n v="0"/>
    <n v="0"/>
    <n v="0"/>
    <n v="0"/>
    <n v="0"/>
  </r>
  <r>
    <x v="2"/>
    <x v="1"/>
    <x v="0"/>
    <s v="2458200"/>
    <n v="450029"/>
    <s v="Admin Adjust-MD Other-Self Pay"/>
    <s v="FPC-West Seattle"/>
    <x v="0"/>
    <n v="1600"/>
    <n v="51.89"/>
    <n v="-51.89"/>
    <n v="0"/>
    <n v="0"/>
    <n v="0"/>
    <n v="0"/>
    <n v="0"/>
    <n v="0"/>
    <n v="0"/>
    <n v="0"/>
    <n v="0"/>
    <n v="0"/>
    <n v="0"/>
    <n v="0"/>
  </r>
  <r>
    <x v="2"/>
    <x v="1"/>
    <x v="0"/>
    <s v="2458200"/>
    <n v="450029"/>
    <s v="Contr Allow--MD Other-Other"/>
    <s v="FPC-West Seattle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Contr Allow--Phys Svcs--Mcare"/>
    <s v="FPC-West Seattle"/>
    <x v="0"/>
    <n v="1100"/>
    <n v="14416.15"/>
    <n v="-14416.15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Contr Allow--Phys Svcs--Mcaid"/>
    <s v="FPC-West Seattle"/>
    <x v="0"/>
    <n v="1200"/>
    <n v="13106.34"/>
    <n v="-13106.34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Contr Allow--Phys Svcs--Comm Insurance"/>
    <s v="FPC-West Seattle"/>
    <x v="0"/>
    <n v="1300"/>
    <n v="1361.57"/>
    <n v="-1361.57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Contr Allow--Phys Svcs--BCBS Comm Ins"/>
    <s v="FPC-West Seattle"/>
    <x v="0"/>
    <n v="1301"/>
    <n v="8046.97"/>
    <n v="-8046.97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Contr Allow--Phys Svcs--Managed Care"/>
    <s v="FPC-West Seattle"/>
    <x v="0"/>
    <n v="1400"/>
    <n v="21955.05"/>
    <n v="-21955.05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Contr Allow--Phys Svcs--BCBS Mgnd Care"/>
    <s v="FPC-West Seattle"/>
    <x v="0"/>
    <n v="1401"/>
    <n v="-12825.25"/>
    <n v="12825.25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Prompt Pay Disc-Phys Svcs-Self Pay"/>
    <s v="FPC-West Seattle"/>
    <x v="0"/>
    <n v="1500"/>
    <n v="157.22999999999999"/>
    <n v="-157.22999999999999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Admin Adjust-Phys Svcs-Self Pay"/>
    <s v="FPC-West Seattle"/>
    <x v="0"/>
    <n v="1600"/>
    <n v="3170.33"/>
    <n v="-3170.33"/>
    <n v="0"/>
    <n v="0"/>
    <n v="0"/>
    <n v="0"/>
    <n v="0"/>
    <n v="0"/>
    <n v="0"/>
    <n v="0"/>
    <n v="0"/>
    <n v="0"/>
    <n v="0"/>
    <n v="0"/>
  </r>
  <r>
    <x v="2"/>
    <x v="1"/>
    <x v="0"/>
    <s v="2458200"/>
    <n v="450040"/>
    <s v="Contr Allow--Phys Svcs--Other"/>
    <s v="FPC-West Seattle"/>
    <x v="0"/>
    <n v="1700"/>
    <n v="2033.5"/>
    <n v="-2033.5"/>
    <n v="0"/>
    <n v="0"/>
    <n v="0"/>
    <n v="0"/>
    <n v="0"/>
    <n v="0"/>
    <n v="0"/>
    <n v="0"/>
    <n v="0"/>
    <n v="0"/>
    <n v="0"/>
    <n v="0"/>
  </r>
  <r>
    <x v="3"/>
    <x v="1"/>
    <x v="0"/>
    <s v="2458200"/>
    <n v="470040"/>
    <s v="Charity Care-Physician Svcs"/>
    <s v="FPC-West Seattle"/>
    <x v="0"/>
    <m/>
    <n v="-508.94"/>
    <n v="508.94"/>
    <n v="0"/>
    <n v="0"/>
    <n v="0"/>
    <n v="0"/>
    <n v="0"/>
    <n v="0"/>
    <n v="0"/>
    <n v="0"/>
    <n v="0"/>
    <n v="0"/>
    <n v="0"/>
    <n v="0"/>
  </r>
  <r>
    <x v="4"/>
    <x v="1"/>
    <x v="0"/>
    <s v="2458200"/>
    <n v="490010"/>
    <s v="Provision for Bad Debts"/>
    <s v="FPC-West Seattle"/>
    <x v="0"/>
    <m/>
    <n v="-3564.56"/>
    <n v="3564.56"/>
    <n v="0"/>
    <n v="0"/>
    <n v="0"/>
    <n v="0"/>
    <n v="0"/>
    <n v="0"/>
    <n v="0"/>
    <n v="0"/>
    <n v="0"/>
    <n v="0"/>
    <n v="0"/>
    <n v="0"/>
  </r>
  <r>
    <x v="5"/>
    <x v="1"/>
    <x v="0"/>
    <s v="2458200"/>
    <n v="700018"/>
    <s v="Salaries-Supervisory-Productive"/>
    <s v="FPC-West Seattle"/>
    <x v="0"/>
    <m/>
    <n v="5433.12"/>
    <n v="-5433.12"/>
    <n v="0"/>
    <n v="0"/>
    <n v="0"/>
    <n v="0"/>
    <n v="0"/>
    <n v="0"/>
    <n v="0"/>
    <n v="0"/>
    <n v="0"/>
    <n v="0"/>
    <n v="0"/>
    <n v="0"/>
  </r>
  <r>
    <x v="5"/>
    <x v="1"/>
    <x v="0"/>
    <s v="2458200"/>
    <n v="700024"/>
    <s v="Salaries-Advanced Practice Clinician-Productive"/>
    <s v="FPC-West Seattle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8200"/>
    <n v="700024"/>
    <s v="Salaries-Advanced Practice Clinician-Other"/>
    <s v="FPC-West Seatt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8200"/>
    <n v="700026"/>
    <s v="Salaries-RN-Productive"/>
    <s v="FPC-West Seattle"/>
    <x v="0"/>
    <m/>
    <n v="4699.2299999999996"/>
    <n v="-4699.2299999999996"/>
    <n v="0"/>
    <n v="0"/>
    <n v="0"/>
    <n v="0"/>
    <n v="0"/>
    <n v="0"/>
    <n v="0"/>
    <n v="0"/>
    <n v="0"/>
    <n v="0"/>
    <n v="0"/>
    <n v="0"/>
  </r>
  <r>
    <x v="5"/>
    <x v="1"/>
    <x v="0"/>
    <s v="2458200"/>
    <n v="700026"/>
    <s v="Salaries-RN-Other"/>
    <s v="FPC-West Seattle"/>
    <x v="0"/>
    <n v="2000"/>
    <n v="12.6"/>
    <n v="-12.6"/>
    <n v="0"/>
    <n v="0"/>
    <n v="0"/>
    <n v="0"/>
    <n v="0"/>
    <n v="0"/>
    <n v="0"/>
    <n v="0"/>
    <n v="0"/>
    <n v="0"/>
    <n v="0"/>
    <n v="0"/>
  </r>
  <r>
    <x v="5"/>
    <x v="1"/>
    <x v="0"/>
    <s v="2458200"/>
    <n v="700030"/>
    <s v="Salaries-LPN-Productive"/>
    <s v="FPC-West Seattle"/>
    <x v="0"/>
    <m/>
    <n v="3201.31"/>
    <n v="-3201.31"/>
    <n v="0"/>
    <n v="0"/>
    <n v="0"/>
    <n v="0"/>
    <n v="0"/>
    <n v="0"/>
    <n v="0"/>
    <n v="0"/>
    <n v="0"/>
    <n v="0"/>
    <n v="0"/>
    <n v="0"/>
  </r>
  <r>
    <x v="5"/>
    <x v="1"/>
    <x v="0"/>
    <s v="2458200"/>
    <n v="700030"/>
    <s v="Salaries-LPN-Other"/>
    <s v="FPC-West Seattle"/>
    <x v="0"/>
    <n v="2000"/>
    <n v="35.4"/>
    <n v="-35.4"/>
    <n v="0"/>
    <n v="0"/>
    <n v="0"/>
    <n v="0"/>
    <n v="0"/>
    <n v="0"/>
    <n v="0"/>
    <n v="0"/>
    <n v="0"/>
    <n v="0"/>
    <n v="0"/>
    <n v="0"/>
  </r>
  <r>
    <x v="5"/>
    <x v="1"/>
    <x v="0"/>
    <s v="2458200"/>
    <n v="700032"/>
    <s v="Salaries-Other Pat Care Providers-Productive"/>
    <s v="FPC-West Seattle"/>
    <x v="0"/>
    <m/>
    <n v="1662.38"/>
    <n v="-1662.38"/>
    <n v="0"/>
    <n v="0"/>
    <n v="0"/>
    <n v="0"/>
    <n v="0"/>
    <n v="0"/>
    <n v="0"/>
    <n v="0"/>
    <n v="0"/>
    <n v="0"/>
    <n v="0"/>
    <n v="0"/>
  </r>
  <r>
    <x v="5"/>
    <x v="1"/>
    <x v="0"/>
    <s v="2458200"/>
    <n v="700032"/>
    <s v="Salaries-Other Pat Care Providers-OT"/>
    <s v="FPC-West Seattle"/>
    <x v="0"/>
    <n v="1000"/>
    <n v="131.63"/>
    <n v="-131.63"/>
    <n v="0"/>
    <n v="0"/>
    <n v="0"/>
    <n v="0"/>
    <n v="0"/>
    <n v="0"/>
    <n v="0"/>
    <n v="0"/>
    <n v="0"/>
    <n v="0"/>
    <n v="0"/>
    <n v="0"/>
  </r>
  <r>
    <x v="5"/>
    <x v="1"/>
    <x v="0"/>
    <s v="2458200"/>
    <n v="700034"/>
    <s v="Salaries-Tech/Professional-Productive"/>
    <s v="FPC-West Seattle"/>
    <x v="0"/>
    <m/>
    <n v="7725.77"/>
    <n v="-7725.77"/>
    <n v="0"/>
    <n v="0"/>
    <n v="0"/>
    <n v="0"/>
    <n v="0"/>
    <n v="0"/>
    <n v="0"/>
    <n v="0"/>
    <n v="0"/>
    <n v="0"/>
    <n v="0"/>
    <n v="0"/>
  </r>
  <r>
    <x v="5"/>
    <x v="1"/>
    <x v="0"/>
    <s v="2458200"/>
    <n v="700034"/>
    <s v="Salaries-Tech/Professional-OT"/>
    <s v="FPC-West Seattle"/>
    <x v="0"/>
    <n v="1000"/>
    <n v="236"/>
    <n v="-236"/>
    <n v="0"/>
    <n v="0"/>
    <n v="0"/>
    <n v="0"/>
    <n v="0"/>
    <n v="0"/>
    <n v="0"/>
    <n v="0"/>
    <n v="0"/>
    <n v="0"/>
    <n v="0"/>
    <n v="0"/>
  </r>
  <r>
    <x v="5"/>
    <x v="1"/>
    <x v="0"/>
    <s v="2458200"/>
    <n v="700034"/>
    <s v="Salaries-Tech/Professional-Other"/>
    <s v="FPC-West Seattle"/>
    <x v="0"/>
    <n v="2000"/>
    <n v="51"/>
    <n v="-51"/>
    <n v="0"/>
    <n v="0"/>
    <n v="0"/>
    <n v="0"/>
    <n v="0"/>
    <n v="0"/>
    <n v="0"/>
    <n v="0"/>
    <n v="0"/>
    <n v="0"/>
    <n v="0"/>
    <n v="0"/>
  </r>
  <r>
    <x v="5"/>
    <x v="1"/>
    <x v="0"/>
    <s v="2458200"/>
    <n v="700054"/>
    <s v="Salaries-Management-NonProd-Other"/>
    <s v="FPC-West Seattle"/>
    <x v="0"/>
    <n v="2000"/>
    <n v="0"/>
    <n v="0"/>
    <n v="0"/>
    <n v="0"/>
    <n v="0"/>
    <n v="0"/>
    <n v="-3577.41"/>
    <n v="3577.41"/>
    <n v="0"/>
    <n v="0"/>
    <n v="0"/>
    <n v="0"/>
    <n v="0"/>
    <n v="0"/>
  </r>
  <r>
    <x v="5"/>
    <x v="1"/>
    <x v="0"/>
    <s v="2458200"/>
    <n v="700058"/>
    <s v="Salaries-Supervisory-Non-productive"/>
    <s v="FPC-West Seattle"/>
    <x v="0"/>
    <m/>
    <n v="603.67999999999995"/>
    <n v="-603.67999999999995"/>
    <n v="0"/>
    <n v="0"/>
    <n v="0"/>
    <n v="0"/>
    <n v="0"/>
    <n v="0"/>
    <n v="0"/>
    <n v="0"/>
    <n v="0"/>
    <n v="0"/>
    <n v="0"/>
    <n v="0"/>
  </r>
  <r>
    <x v="5"/>
    <x v="1"/>
    <x v="0"/>
    <s v="2458200"/>
    <n v="700066"/>
    <s v="Salaries-RN-Non-productive"/>
    <s v="FPC-West Seattle"/>
    <x v="0"/>
    <m/>
    <n v="1212.5999999999999"/>
    <n v="-1212.5999999999999"/>
    <n v="0"/>
    <n v="0"/>
    <n v="0"/>
    <n v="0"/>
    <n v="0"/>
    <n v="0"/>
    <n v="0"/>
    <n v="0"/>
    <n v="0"/>
    <n v="0"/>
    <n v="0"/>
    <n v="0"/>
  </r>
  <r>
    <x v="5"/>
    <x v="1"/>
    <x v="0"/>
    <s v="2458200"/>
    <n v="700066"/>
    <s v="Salaries-RN-NonProd-Other"/>
    <s v="FPC-West Seatt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8200"/>
    <n v="700070"/>
    <s v="Salaries-LPN-Non-productive"/>
    <s v="FPC-West Seattle"/>
    <x v="0"/>
    <m/>
    <n v="463.54"/>
    <n v="-463.54"/>
    <n v="0"/>
    <n v="0"/>
    <n v="0"/>
    <n v="0"/>
    <n v="0"/>
    <n v="0"/>
    <n v="0"/>
    <n v="0"/>
    <n v="0"/>
    <n v="0"/>
    <n v="0"/>
    <n v="0"/>
  </r>
  <r>
    <x v="5"/>
    <x v="1"/>
    <x v="0"/>
    <s v="2458200"/>
    <n v="700072"/>
    <s v="Salaries-Other Pat Care Providers-Non-productive"/>
    <s v="FPC-West Seattle"/>
    <x v="0"/>
    <m/>
    <n v="942.83"/>
    <n v="-942.83"/>
    <n v="0"/>
    <n v="0"/>
    <n v="0"/>
    <n v="0"/>
    <n v="0"/>
    <n v="0"/>
    <n v="0"/>
    <n v="0"/>
    <n v="0"/>
    <n v="0"/>
    <n v="0"/>
    <n v="0"/>
  </r>
  <r>
    <x v="5"/>
    <x v="1"/>
    <x v="0"/>
    <s v="2458200"/>
    <n v="700072"/>
    <s v="Salaries-Other Pat Care Providers-NonProd-Other"/>
    <s v="FPC-West Seatt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8200"/>
    <n v="700074"/>
    <s v="Salaries-Tech/Professional-Non-productive"/>
    <s v="FPC-West Seattle"/>
    <x v="0"/>
    <m/>
    <n v="2355.1999999999998"/>
    <n v="-2355.1999999999998"/>
    <n v="0"/>
    <n v="0"/>
    <n v="0"/>
    <n v="0"/>
    <n v="0"/>
    <n v="0"/>
    <n v="0"/>
    <n v="0"/>
    <n v="0"/>
    <n v="0"/>
    <n v="0"/>
    <n v="0"/>
  </r>
  <r>
    <x v="5"/>
    <x v="1"/>
    <x v="0"/>
    <s v="2458200"/>
    <n v="700074"/>
    <s v="Salaries-Tech/Professional-NonProd-Other"/>
    <s v="FPC-West Seatt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8200"/>
    <n v="700084"/>
    <s v="Accrued PTO"/>
    <s v="FPC-West Seattle"/>
    <x v="0"/>
    <m/>
    <n v="-1670.79"/>
    <n v="1670.79"/>
    <n v="0"/>
    <n v="0"/>
    <n v="0"/>
    <n v="0"/>
    <n v="0"/>
    <n v="0"/>
    <n v="0"/>
    <n v="0"/>
    <n v="0"/>
    <n v="0"/>
    <n v="0"/>
    <n v="0"/>
  </r>
  <r>
    <x v="6"/>
    <x v="1"/>
    <x v="0"/>
    <s v="2458200"/>
    <n v="713010"/>
    <s v="Benefits-FICA/Medicare"/>
    <s v="FPC-West Seattle"/>
    <x v="0"/>
    <m/>
    <n v="2128.7399999999998"/>
    <n v="-2128.7399999999998"/>
    <n v="0"/>
    <n v="0"/>
    <n v="0"/>
    <n v="0"/>
    <n v="273.66000000000003"/>
    <n v="-273.66000000000003"/>
    <n v="0"/>
    <n v="0"/>
    <n v="0"/>
    <n v="0"/>
    <n v="0"/>
    <n v="0"/>
  </r>
  <r>
    <x v="6"/>
    <x v="1"/>
    <x v="0"/>
    <s v="2458200"/>
    <n v="713090"/>
    <s v="Benefits-Allocated Amounts"/>
    <s v="FPC-West Seattle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458200"/>
    <n v="713092"/>
    <s v="Allocated Benefits-Physician"/>
    <s v="FPC-West Seattle"/>
    <x v="0"/>
    <m/>
    <n v="1503.4"/>
    <n v="-1503.4"/>
    <n v="0"/>
    <n v="0"/>
    <n v="0"/>
    <n v="0"/>
    <n v="0"/>
    <n v="0"/>
    <n v="0"/>
    <n v="0"/>
    <n v="0"/>
    <n v="0"/>
    <n v="0"/>
    <n v="0"/>
  </r>
  <r>
    <x v="6"/>
    <x v="1"/>
    <x v="0"/>
    <s v="2458200"/>
    <n v="713093"/>
    <s v="Allocated Benefits-Advanced Practice Clinician"/>
    <s v="FPC-West Seattle"/>
    <x v="0"/>
    <m/>
    <n v="4879.43"/>
    <n v="-4879.43"/>
    <n v="0"/>
    <n v="0"/>
    <n v="0"/>
    <n v="0"/>
    <n v="0"/>
    <n v="0"/>
    <n v="0"/>
    <n v="0"/>
    <n v="0"/>
    <n v="0"/>
    <n v="0"/>
    <n v="0"/>
  </r>
  <r>
    <x v="7"/>
    <x v="1"/>
    <x v="0"/>
    <s v="2458200"/>
    <n v="718050"/>
    <s v="Physician Answering"/>
    <s v="FPC-West Seattle"/>
    <x v="0"/>
    <n v="1015"/>
    <n v="112"/>
    <n v="-112"/>
    <n v="0"/>
    <n v="0"/>
    <n v="0"/>
    <n v="0"/>
    <n v="0"/>
    <n v="0"/>
    <n v="0"/>
    <n v="0"/>
    <n v="0"/>
    <n v="0"/>
    <n v="0"/>
    <n v="0"/>
  </r>
  <r>
    <x v="0"/>
    <x v="1"/>
    <x v="0"/>
    <s v="2458200"/>
    <n v="749510"/>
    <s v="Miscellaneous Expenses"/>
    <s v="FPC-West Seattle"/>
    <x v="0"/>
    <m/>
    <n v="-192.39"/>
    <n v="192.39"/>
    <n v="0"/>
    <n v="0"/>
    <n v="0"/>
    <n v="0"/>
    <n v="0"/>
    <n v="0"/>
    <n v="0"/>
    <n v="0"/>
    <n v="0"/>
    <n v="0"/>
    <n v="0"/>
    <n v="0"/>
  </r>
  <r>
    <x v="0"/>
    <x v="1"/>
    <x v="0"/>
    <s v="2458200"/>
    <n v="749530"/>
    <s v="Travel"/>
    <s v="FPC-West Seattle"/>
    <x v="0"/>
    <m/>
    <n v="22.5"/>
    <n v="-22.5"/>
    <n v="0"/>
    <n v="0"/>
    <n v="0"/>
    <n v="0"/>
    <n v="0"/>
    <n v="0"/>
    <n v="0"/>
    <n v="0"/>
    <n v="0"/>
    <n v="0"/>
    <n v="0"/>
    <n v="0"/>
  </r>
  <r>
    <x v="0"/>
    <x v="1"/>
    <x v="0"/>
    <s v="2458200"/>
    <n v="749530"/>
    <s v="Mileage"/>
    <s v="FPC-West Seattle"/>
    <x v="0"/>
    <n v="1001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459200"/>
    <n v="400029"/>
    <s v="MD Practice Other Rev--Medicare"/>
    <s v="FMC-Seahurst FM"/>
    <x v="0"/>
    <n v="1100"/>
    <n v="-1331"/>
    <n v="-1704"/>
    <n v="-1998"/>
    <n v="-1794"/>
    <n v="-1183"/>
    <n v="-1528"/>
    <n v="-2164"/>
    <n v="-1026"/>
    <n v="-2213"/>
    <n v="-1132"/>
    <n v="-819"/>
    <n v="-586"/>
    <n v="-17478"/>
    <n v="-233"/>
  </r>
  <r>
    <x v="1"/>
    <x v="1"/>
    <x v="0"/>
    <s v="2459200"/>
    <n v="400029"/>
    <s v="MD Practice Other Rev--Medicaid"/>
    <s v="FMC-Seahurst FM"/>
    <x v="0"/>
    <n v="1200"/>
    <n v="-714"/>
    <n v="-920"/>
    <n v="-647"/>
    <n v="-651"/>
    <n v="-435"/>
    <n v="-522"/>
    <n v="-479"/>
    <n v="-437"/>
    <n v="-443"/>
    <n v="-198"/>
    <n v="-332"/>
    <n v="-246"/>
    <n v="-6024"/>
    <n v="-86"/>
  </r>
  <r>
    <x v="1"/>
    <x v="1"/>
    <x v="0"/>
    <s v="2459200"/>
    <n v="400029"/>
    <s v="MD Practice Other Rev--Comm Insurance"/>
    <s v="FMC-Seahurst FM"/>
    <x v="0"/>
    <n v="1300"/>
    <n v="-111"/>
    <n v="-180"/>
    <n v="-85"/>
    <n v="-113"/>
    <n v="-20"/>
    <n v="-173"/>
    <n v="-45"/>
    <n v="0"/>
    <n v="-142"/>
    <n v="0"/>
    <n v="-33"/>
    <n v="-80"/>
    <n v="-982"/>
    <n v="47"/>
  </r>
  <r>
    <x v="1"/>
    <x v="1"/>
    <x v="0"/>
    <s v="2459200"/>
    <n v="400029"/>
    <s v="MD Practice Other Rev--BCBS Comm"/>
    <s v="FMC-Seahurst FM"/>
    <x v="0"/>
    <n v="1301"/>
    <n v="-315"/>
    <n v="-427"/>
    <n v="-356"/>
    <n v="-505"/>
    <n v="-343"/>
    <n v="-432"/>
    <n v="-363"/>
    <n v="-363"/>
    <n v="-311"/>
    <n v="-176"/>
    <n v="-162"/>
    <n v="-144"/>
    <n v="-3897"/>
    <n v="-18"/>
  </r>
  <r>
    <x v="1"/>
    <x v="1"/>
    <x v="0"/>
    <s v="2459200"/>
    <n v="400029"/>
    <s v="MD Practice Other Rev--Managed Care"/>
    <s v="FMC-Seahurst FM"/>
    <x v="0"/>
    <n v="1400"/>
    <n v="-1219"/>
    <n v="-1052"/>
    <n v="-1187"/>
    <n v="-1446"/>
    <n v="-1045"/>
    <n v="-933"/>
    <n v="-1517"/>
    <n v="-1802"/>
    <n v="-1117"/>
    <n v="-1114"/>
    <n v="-700"/>
    <n v="-635"/>
    <n v="-13767"/>
    <n v="-65"/>
  </r>
  <r>
    <x v="1"/>
    <x v="1"/>
    <x v="0"/>
    <s v="2459200"/>
    <n v="400029"/>
    <s v="MD Practice Other Rev--Self Pay"/>
    <s v="FMC-Seahurst FM"/>
    <x v="0"/>
    <n v="1500"/>
    <n v="-155"/>
    <n v="2"/>
    <n v="-33"/>
    <n v="0"/>
    <n v="-33"/>
    <n v="0"/>
    <n v="70"/>
    <n v="0"/>
    <n v="-90"/>
    <n v="0"/>
    <n v="0"/>
    <n v="-10"/>
    <n v="-249"/>
    <n v="10"/>
  </r>
  <r>
    <x v="1"/>
    <x v="1"/>
    <x v="0"/>
    <s v="2459200"/>
    <n v="400029"/>
    <s v="MD Practice Other Rev--Other"/>
    <s v="FMC-Seahurst FM"/>
    <x v="0"/>
    <n v="1700"/>
    <n v="-33"/>
    <n v="-34"/>
    <n v="-43"/>
    <n v="0"/>
    <n v="-10"/>
    <n v="-33"/>
    <n v="-34"/>
    <n v="-10"/>
    <n v="0"/>
    <n v="0"/>
    <n v="0"/>
    <n v="0"/>
    <n v="-197"/>
    <n v="0"/>
  </r>
  <r>
    <x v="1"/>
    <x v="1"/>
    <x v="0"/>
    <s v="2459200"/>
    <n v="400040"/>
    <s v="Physician Svcs Rev--Medicare"/>
    <s v="FMC-Seahurst FM"/>
    <x v="0"/>
    <n v="1100"/>
    <n v="-143953"/>
    <n v="-192831"/>
    <n v="-172157"/>
    <n v="-218569"/>
    <n v="-156076"/>
    <n v="-177561"/>
    <n v="-191250"/>
    <n v="-104666"/>
    <n v="-128312"/>
    <n v="-119279"/>
    <n v="-129774"/>
    <n v="-115865"/>
    <n v="-1850293"/>
    <n v="-13909"/>
  </r>
  <r>
    <x v="1"/>
    <x v="1"/>
    <x v="0"/>
    <s v="2459200"/>
    <n v="400040"/>
    <s v="Physician Svcs Rev--Medicaid"/>
    <s v="FMC-Seahurst FM"/>
    <x v="0"/>
    <n v="1200"/>
    <n v="-51602.16"/>
    <n v="-74507.17"/>
    <n v="-61943.44"/>
    <n v="-62869.56"/>
    <n v="-42075.61"/>
    <n v="-56929.37"/>
    <n v="-55218.99"/>
    <n v="-40272.480000000003"/>
    <n v="-39654.519999999997"/>
    <n v="-28313.040000000001"/>
    <n v="-25648.880000000001"/>
    <n v="-24796.959999999999"/>
    <n v="-563832.17999999993"/>
    <n v="-851.92000000000189"/>
  </r>
  <r>
    <x v="1"/>
    <x v="1"/>
    <x v="0"/>
    <s v="2459200"/>
    <n v="400040"/>
    <s v="Physician Svcs Rev--Comm Insurance"/>
    <s v="FMC-Seahurst FM"/>
    <x v="0"/>
    <n v="1300"/>
    <n v="-9103"/>
    <n v="-11664"/>
    <n v="-6956.91"/>
    <n v="-11639.2"/>
    <n v="-5907"/>
    <n v="-10025.52"/>
    <n v="-7320.8"/>
    <n v="-6450"/>
    <n v="-10348"/>
    <n v="-3300"/>
    <n v="-4924"/>
    <n v="-4797"/>
    <n v="-92435.430000000008"/>
    <n v="-127"/>
  </r>
  <r>
    <x v="1"/>
    <x v="1"/>
    <x v="0"/>
    <s v="2459200"/>
    <n v="400040"/>
    <s v="Physician Svcs Rev--BCBS Comm"/>
    <s v="FMC-Seahurst FM"/>
    <x v="0"/>
    <n v="1301"/>
    <n v="-34014.94"/>
    <n v="-44523.57"/>
    <n v="-44536.56"/>
    <n v="-51082.67"/>
    <n v="-37686.17"/>
    <n v="-44128.3"/>
    <n v="-49860"/>
    <n v="-32640"/>
    <n v="-43905.13"/>
    <n v="-32655.14"/>
    <n v="-27495.16"/>
    <n v="-34450.04"/>
    <n v="-476977.67999999993"/>
    <n v="6954.880000000001"/>
  </r>
  <r>
    <x v="1"/>
    <x v="1"/>
    <x v="0"/>
    <s v="2459200"/>
    <n v="400040"/>
    <s v="Physician Svcs Rev--Managed Care"/>
    <s v="FMC-Seahurst FM"/>
    <x v="0"/>
    <n v="1400"/>
    <n v="-129611.8"/>
    <n v="-140497.75"/>
    <n v="-138852.29999999999"/>
    <n v="-180662.87"/>
    <n v="-122762.99"/>
    <n v="-156181.60999999999"/>
    <n v="-131652.63"/>
    <n v="-103011.93"/>
    <n v="-87934.34"/>
    <n v="-84051"/>
    <n v="-78521.25"/>
    <n v="-84599.87"/>
    <n v="-1438340.3399999999"/>
    <n v="6078.6199999999953"/>
  </r>
  <r>
    <x v="1"/>
    <x v="1"/>
    <x v="0"/>
    <s v="2459200"/>
    <n v="400040"/>
    <s v="Physician Svcs Rev--Self Pay"/>
    <s v="FMC-Seahurst FM"/>
    <x v="0"/>
    <n v="1500"/>
    <n v="-3349"/>
    <n v="-2633.88"/>
    <n v="-1283.76"/>
    <n v="-3997.32"/>
    <n v="-1315.68"/>
    <n v="-3886.44"/>
    <n v="-3361"/>
    <n v="-2482"/>
    <n v="-1648"/>
    <n v="-890"/>
    <n v="-790"/>
    <n v="-790"/>
    <n v="-26427.08"/>
    <n v="0"/>
  </r>
  <r>
    <x v="1"/>
    <x v="1"/>
    <x v="0"/>
    <s v="2459200"/>
    <n v="400040"/>
    <s v="Physician Svcs Rev--Other"/>
    <s v="FMC-Seahurst FM"/>
    <x v="0"/>
    <n v="1700"/>
    <n v="-2266"/>
    <n v="-3083.5"/>
    <n v="-1676"/>
    <n v="-1031"/>
    <n v="-1341"/>
    <n v="-1377"/>
    <n v="-1094"/>
    <n v="-1447"/>
    <n v="-2590"/>
    <n v="-1473"/>
    <n v="-1326"/>
    <n v="-295"/>
    <n v="-18999.5"/>
    <n v="-1031"/>
  </r>
  <r>
    <x v="2"/>
    <x v="1"/>
    <x v="0"/>
    <s v="2459200"/>
    <n v="450029"/>
    <s v="Contr Allow--MD Other-Medicare"/>
    <s v="FMC-Seahurst FM"/>
    <x v="0"/>
    <n v="1100"/>
    <n v="436.25"/>
    <n v="1361.55"/>
    <n v="826.71"/>
    <n v="1486.25"/>
    <n v="1207.68"/>
    <n v="1147.81"/>
    <n v="1506.25"/>
    <n v="1173.42"/>
    <n v="1248.99"/>
    <n v="1048.4000000000001"/>
    <n v="802.06"/>
    <n v="391.48"/>
    <n v="12636.849999999999"/>
    <n v="410.57999999999993"/>
  </r>
  <r>
    <x v="2"/>
    <x v="1"/>
    <x v="0"/>
    <s v="2459200"/>
    <n v="450029"/>
    <s v="Contr Allow--MD Other-Medicaid"/>
    <s v="FMC-Seahurst FM"/>
    <x v="0"/>
    <n v="1200"/>
    <n v="304.20999999999998"/>
    <n v="547.5"/>
    <n v="714.39"/>
    <n v="354.13"/>
    <n v="506.61"/>
    <n v="199.11"/>
    <n v="375.72"/>
    <n v="308.97000000000003"/>
    <n v="391.26"/>
    <n v="243.67"/>
    <n v="98.15"/>
    <n v="254.49"/>
    <n v="4298.2100000000009"/>
    <n v="-156.34"/>
  </r>
  <r>
    <x v="2"/>
    <x v="1"/>
    <x v="0"/>
    <s v="2459200"/>
    <n v="450029"/>
    <s v="Contr Allow--MD Other-Comm Insurance"/>
    <s v="FMC-Seahurst FM"/>
    <x v="0"/>
    <n v="1300"/>
    <n v="0"/>
    <n v="55.68"/>
    <n v="55.63"/>
    <n v="46.57"/>
    <n v="0"/>
    <n v="52.68"/>
    <n v="38.61"/>
    <n v="27.29"/>
    <n v="31.52"/>
    <n v="140.47"/>
    <n v="11.42"/>
    <n v="3.74"/>
    <n v="463.61000000000007"/>
    <n v="7.68"/>
  </r>
  <r>
    <x v="2"/>
    <x v="1"/>
    <x v="0"/>
    <s v="2459200"/>
    <n v="450029"/>
    <s v="Contr Allow--MD Other BCBS Comm"/>
    <s v="FMC-Seahurst FM"/>
    <x v="0"/>
    <n v="1301"/>
    <n v="291.75"/>
    <n v="422.55"/>
    <n v="121.02"/>
    <n v="280.87"/>
    <n v="279.52999999999997"/>
    <n v="307.58999999999997"/>
    <n v="162.71"/>
    <n v="171.78"/>
    <n v="417.35"/>
    <n v="194.05"/>
    <n v="55.4"/>
    <n v="66.39"/>
    <n v="2770.9900000000002"/>
    <n v="-10.990000000000002"/>
  </r>
  <r>
    <x v="2"/>
    <x v="1"/>
    <x v="0"/>
    <s v="2459200"/>
    <n v="450029"/>
    <s v="Contr Allow--MD Other-Managed Care"/>
    <s v="FMC-Seahurst FM"/>
    <x v="0"/>
    <n v="1400"/>
    <n v="439.27"/>
    <n v="640.46"/>
    <n v="768.44"/>
    <n v="832.88"/>
    <n v="524.83000000000004"/>
    <n v="665.06"/>
    <n v="611.4"/>
    <n v="871.83"/>
    <n v="1058.31"/>
    <n v="671.62"/>
    <n v="528.86"/>
    <n v="426.88"/>
    <n v="8039.8399999999992"/>
    <n v="101.98000000000002"/>
  </r>
  <r>
    <x v="2"/>
    <x v="1"/>
    <x v="0"/>
    <s v="2459200"/>
    <n v="450029"/>
    <s v="Admin Adjust-MD Other-Self Pay"/>
    <s v="FMC-Seahurst FM"/>
    <x v="0"/>
    <n v="1600"/>
    <n v="97.9"/>
    <n v="9.4700000000000006"/>
    <n v="64.39"/>
    <n v="26.97"/>
    <n v="49.68"/>
    <n v="13.62"/>
    <n v="8.33"/>
    <n v="11.87"/>
    <n v="63.19"/>
    <n v="-0.89"/>
    <n v="3.21"/>
    <n v="36.520000000000003"/>
    <n v="384.25999999999993"/>
    <n v="-33.31"/>
  </r>
  <r>
    <x v="2"/>
    <x v="1"/>
    <x v="0"/>
    <s v="2459200"/>
    <n v="450029"/>
    <s v="Contr Allow--MD Other-Other"/>
    <s v="FMC-Seahurst FM"/>
    <x v="0"/>
    <n v="1700"/>
    <n v="0"/>
    <n v="47.56"/>
    <n v="23.32"/>
    <n v="7.19"/>
    <n v="0"/>
    <n v="7.19"/>
    <n v="23.32"/>
    <n v="31.43"/>
    <n v="0"/>
    <n v="0"/>
    <n v="0"/>
    <n v="0"/>
    <n v="140.01"/>
    <n v="0"/>
  </r>
  <r>
    <x v="2"/>
    <x v="1"/>
    <x v="0"/>
    <s v="2459200"/>
    <n v="450040"/>
    <s v="Contr Allow--Phys Svcs--Mcare"/>
    <s v="FMC-Seahurst FM"/>
    <x v="0"/>
    <n v="1100"/>
    <n v="82058.75"/>
    <n v="107931.04"/>
    <n v="96319.47"/>
    <n v="143706.47"/>
    <n v="115725.5"/>
    <n v="106118.86"/>
    <n v="123282.62"/>
    <n v="88413.9"/>
    <n v="74590.61"/>
    <n v="87959.95"/>
    <n v="65798.27"/>
    <n v="73687.3"/>
    <n v="1165592.74"/>
    <n v="-7889.0299999999988"/>
  </r>
  <r>
    <x v="2"/>
    <x v="1"/>
    <x v="0"/>
    <s v="2459200"/>
    <n v="450040"/>
    <s v="Contr Allow--Phys Svcs--Mcaid"/>
    <s v="FMC-Seahurst FM"/>
    <x v="0"/>
    <n v="1200"/>
    <n v="37567"/>
    <n v="44469.120000000003"/>
    <n v="57017.93"/>
    <n v="48166.53"/>
    <n v="38759.86"/>
    <n v="30069.919999999998"/>
    <n v="43156.54"/>
    <n v="32159.69"/>
    <n v="30673.46"/>
    <n v="32973.31"/>
    <n v="17417.07"/>
    <n v="21480.81"/>
    <n v="433911.24"/>
    <n v="-4063.7400000000016"/>
  </r>
  <r>
    <x v="2"/>
    <x v="1"/>
    <x v="0"/>
    <s v="2459200"/>
    <n v="450040"/>
    <s v="Contr Allow--Phys Svcs--Comm Insurance"/>
    <s v="FMC-Seahurst FM"/>
    <x v="0"/>
    <n v="1300"/>
    <n v="1911.92"/>
    <n v="3220.49"/>
    <n v="2052.14"/>
    <n v="3018.31"/>
    <n v="1754.68"/>
    <n v="1483.28"/>
    <n v="2718.39"/>
    <n v="1542.15"/>
    <n v="2819.28"/>
    <n v="1711.58"/>
    <n v="1666.01"/>
    <n v="1080.75"/>
    <n v="24978.98"/>
    <n v="585.26"/>
  </r>
  <r>
    <x v="2"/>
    <x v="1"/>
    <x v="0"/>
    <s v="2459200"/>
    <n v="450040"/>
    <s v="Contr Allow--Phys Svcs--BCBS Comm Ins"/>
    <s v="FMC-Seahurst FM"/>
    <x v="0"/>
    <n v="1301"/>
    <n v="21267.89"/>
    <n v="14152.76"/>
    <n v="14419.38"/>
    <n v="13391.18"/>
    <n v="12896.17"/>
    <n v="14104.64"/>
    <n v="13903.03"/>
    <n v="12818.42"/>
    <n v="15165.2"/>
    <n v="11921.02"/>
    <n v="6061.79"/>
    <n v="11071.06"/>
    <n v="161172.54"/>
    <n v="-5009.2699999999995"/>
  </r>
  <r>
    <x v="2"/>
    <x v="1"/>
    <x v="0"/>
    <s v="2459200"/>
    <n v="450040"/>
    <s v="Contr Allow--Phys Svcs--Managed Care"/>
    <s v="FMC-Seahurst FM"/>
    <x v="0"/>
    <n v="1400"/>
    <n v="40613.14"/>
    <n v="50659.29"/>
    <n v="40499.32"/>
    <n v="56872.79"/>
    <n v="56948.67"/>
    <n v="48796.02"/>
    <n v="42923.4"/>
    <n v="41031.949999999997"/>
    <n v="39451"/>
    <n v="29892.59"/>
    <n v="27671.279999999999"/>
    <n v="25997.23"/>
    <n v="501356.68000000005"/>
    <n v="1674.0499999999993"/>
  </r>
  <r>
    <x v="2"/>
    <x v="1"/>
    <x v="0"/>
    <s v="2459200"/>
    <n v="450040"/>
    <s v="Contr Allow--Phys Svcs--BCBS Mgnd Care"/>
    <s v="FMC-Seahurst FM"/>
    <x v="0"/>
    <n v="1401"/>
    <n v="-3408.02"/>
    <n v="11267.82"/>
    <n v="14137.24"/>
    <n v="7841.93"/>
    <n v="-42378.75"/>
    <n v="23144.560000000001"/>
    <n v="5946.54"/>
    <n v="-28524.49"/>
    <n v="-13029.52"/>
    <n v="-28683.72"/>
    <n v="14847.91"/>
    <n v="-1425.21"/>
    <n v="-40263.71"/>
    <n v="16273.119999999999"/>
  </r>
  <r>
    <x v="2"/>
    <x v="1"/>
    <x v="0"/>
    <s v="2459200"/>
    <n v="450040"/>
    <s v="Prompt Pay Disc-Phys Svcs-Self Pay"/>
    <s v="FMC-Seahurst FM"/>
    <x v="0"/>
    <n v="1500"/>
    <n v="0"/>
    <n v="0"/>
    <n v="0"/>
    <n v="0"/>
    <n v="0"/>
    <n v="0"/>
    <n v="0"/>
    <n v="45"/>
    <n v="0"/>
    <n v="0"/>
    <n v="0"/>
    <n v="0"/>
    <n v="45"/>
    <n v="0"/>
  </r>
  <r>
    <x v="2"/>
    <x v="1"/>
    <x v="0"/>
    <s v="2459200"/>
    <n v="450040"/>
    <s v="Admin Adjust-Phys Svcs-Self Pay"/>
    <s v="FMC-Seahurst FM"/>
    <x v="0"/>
    <n v="1600"/>
    <n v="1649.96"/>
    <n v="797.14"/>
    <n v="2822.65"/>
    <n v="3151.37"/>
    <n v="596.76"/>
    <n v="1822.44"/>
    <n v="1774.97"/>
    <n v="1311.21"/>
    <n v="613.35"/>
    <n v="923.74"/>
    <n v="257.73"/>
    <n v="2127.1999999999998"/>
    <n v="17848.52"/>
    <n v="-1869.4699999999998"/>
  </r>
  <r>
    <x v="2"/>
    <x v="1"/>
    <x v="0"/>
    <s v="2459200"/>
    <n v="450040"/>
    <s v="Contr Allow--Phys Svcs--Other"/>
    <s v="FMC-Seahurst FM"/>
    <x v="0"/>
    <n v="1700"/>
    <n v="702.65"/>
    <n v="2404.4299999999998"/>
    <n v="1047.4000000000001"/>
    <n v="1062.48"/>
    <n v="771.03"/>
    <n v="853.62"/>
    <n v="256.63"/>
    <n v="1256.76"/>
    <n v="1262.8699999999999"/>
    <n v="1107.43"/>
    <n v="1096.5899999999999"/>
    <n v="0"/>
    <n v="11821.89"/>
    <n v="1096.5899999999999"/>
  </r>
  <r>
    <x v="3"/>
    <x v="1"/>
    <x v="0"/>
    <s v="2459200"/>
    <n v="470040"/>
    <s v="Charity Care-Physician Svcs"/>
    <s v="FMC-Seahurst FM"/>
    <x v="0"/>
    <m/>
    <n v="587.32000000000005"/>
    <n v="3527.42"/>
    <n v="1183.8900000000001"/>
    <n v="806.9"/>
    <n v="-680.14"/>
    <n v="3733.57"/>
    <n v="1293.18"/>
    <n v="-328.86"/>
    <n v="2709.25"/>
    <n v="-299.08999999999997"/>
    <n v="-164.57"/>
    <n v="1690.84"/>
    <n v="14059.71"/>
    <n v="-1855.4099999999999"/>
  </r>
  <r>
    <x v="4"/>
    <x v="1"/>
    <x v="0"/>
    <s v="2459200"/>
    <n v="490010"/>
    <s v="Provision for Bad Debts"/>
    <s v="FMC-Seahurst FM"/>
    <x v="0"/>
    <m/>
    <n v="4178.6000000000004"/>
    <n v="7121.66"/>
    <n v="5836.42"/>
    <n v="7919.32"/>
    <n v="1351.6"/>
    <n v="3158.39"/>
    <n v="969.45"/>
    <n v="-657.53"/>
    <n v="1863.31"/>
    <n v="-1586.03"/>
    <n v="3321.55"/>
    <n v="1132.49"/>
    <n v="34609.230000000003"/>
    <n v="2189.0600000000004"/>
  </r>
  <r>
    <x v="5"/>
    <x v="1"/>
    <x v="0"/>
    <s v="2459200"/>
    <n v="700022"/>
    <s v="Salaries-Physician-Productive"/>
    <s v="FMC-Seahurst FM"/>
    <x v="0"/>
    <m/>
    <n v="83225.88"/>
    <n v="103368.19"/>
    <n v="67813.64"/>
    <n v="96439.6"/>
    <n v="62875.32"/>
    <n v="80718.179999999993"/>
    <n v="83517.11"/>
    <n v="48299.11"/>
    <n v="61480.09"/>
    <n v="52657.14"/>
    <n v="61195.83"/>
    <n v="48508.77"/>
    <n v="850098.86"/>
    <n v="12687.060000000005"/>
  </r>
  <r>
    <x v="5"/>
    <x v="1"/>
    <x v="0"/>
    <s v="2459200"/>
    <n v="700024"/>
    <s v="Salaries-Advanced Practice Clinician-Productive"/>
    <s v="FMC-Seahurst FM"/>
    <x v="0"/>
    <m/>
    <n v="10732.5"/>
    <n v="8920.75"/>
    <n v="11851.2"/>
    <n v="10218.36"/>
    <n v="13704.2"/>
    <n v="7852.32"/>
    <n v="11056.92"/>
    <n v="9293.68"/>
    <n v="9696.3700000000008"/>
    <n v="8772.8799999999992"/>
    <n v="-2424.08"/>
    <n v="0"/>
    <n v="99675.099999999991"/>
    <n v="-2424.08"/>
  </r>
  <r>
    <x v="5"/>
    <x v="1"/>
    <x v="0"/>
    <s v="2459200"/>
    <n v="700024"/>
    <s v="Salaries-Advanced Practice Clinician-Other"/>
    <s v="FMC-Seahurst FM"/>
    <x v="0"/>
    <n v="2000"/>
    <n v="0"/>
    <n v="-130"/>
    <n v="0"/>
    <n v="0"/>
    <n v="0"/>
    <n v="0"/>
    <n v="0"/>
    <n v="0"/>
    <n v="0"/>
    <n v="0"/>
    <n v="0"/>
    <n v="0"/>
    <n v="-130"/>
    <n v="0"/>
  </r>
  <r>
    <x v="5"/>
    <x v="1"/>
    <x v="0"/>
    <s v="2459200"/>
    <n v="700026"/>
    <s v="Salaries-RN-Productive"/>
    <s v="FMC-Seahurst FM"/>
    <x v="0"/>
    <m/>
    <n v="6990.31"/>
    <n v="4972.49"/>
    <n v="5507.84"/>
    <n v="5041.3599999999997"/>
    <n v="7478.45"/>
    <n v="6400.74"/>
    <n v="7536.65"/>
    <n v="6288.36"/>
    <n v="7033.56"/>
    <n v="6931.56"/>
    <n v="7087.69"/>
    <n v="6255.06"/>
    <n v="77524.069999999992"/>
    <n v="832.6299999999992"/>
  </r>
  <r>
    <x v="5"/>
    <x v="1"/>
    <x v="0"/>
    <s v="2459200"/>
    <n v="700026"/>
    <s v="Salaries-RN-OT"/>
    <s v="FMC-Seahurst FM"/>
    <x v="0"/>
    <n v="1000"/>
    <n v="1179.81"/>
    <n v="9.27"/>
    <n v="-30.88"/>
    <n v="174.01"/>
    <n v="168.38"/>
    <n v="140.30000000000001"/>
    <n v="159.22999999999999"/>
    <n v="109.27"/>
    <n v="223.23"/>
    <n v="301.3"/>
    <n v="81.180000000000007"/>
    <n v="187.35"/>
    <n v="2702.4499999999994"/>
    <n v="-106.16999999999999"/>
  </r>
  <r>
    <x v="5"/>
    <x v="1"/>
    <x v="0"/>
    <s v="2459200"/>
    <n v="700032"/>
    <s v="Salaries-Other Pat Care Providers-Productive"/>
    <s v="FMC-Seahurst FM"/>
    <x v="0"/>
    <m/>
    <n v="15887.56"/>
    <n v="19834.37"/>
    <n v="17613.419999999998"/>
    <n v="23701.24"/>
    <n v="21793.62"/>
    <n v="17070.04"/>
    <n v="20512.89"/>
    <n v="15375.89"/>
    <n v="13445.72"/>
    <n v="18382.919999999998"/>
    <n v="14623.92"/>
    <n v="14264.75"/>
    <n v="212506.34000000005"/>
    <n v="359.17000000000007"/>
  </r>
  <r>
    <x v="5"/>
    <x v="1"/>
    <x v="0"/>
    <s v="2459200"/>
    <n v="700032"/>
    <s v="Salaries-Other Pat Care Providers-OT"/>
    <s v="FMC-Seahurst FM"/>
    <x v="0"/>
    <n v="1000"/>
    <n v="1637.31"/>
    <n v="2418.44"/>
    <n v="1908.01"/>
    <n v="2053.15"/>
    <n v="1313.98"/>
    <n v="1484.77"/>
    <n v="1573.28"/>
    <n v="728.36"/>
    <n v="1059.78"/>
    <n v="2065.52"/>
    <n v="711.07"/>
    <n v="578.12"/>
    <n v="17531.79"/>
    <n v="132.95000000000005"/>
  </r>
  <r>
    <x v="5"/>
    <x v="1"/>
    <x v="0"/>
    <s v="2459200"/>
    <n v="700032"/>
    <s v="Salaries-Other Pat Care Providers-Other"/>
    <s v="FMC-Seahurst FM"/>
    <x v="0"/>
    <n v="2000"/>
    <n v="34.25"/>
    <n v="30"/>
    <n v="209.92"/>
    <n v="0"/>
    <n v="0"/>
    <n v="0"/>
    <n v="0"/>
    <n v="0"/>
    <n v="0"/>
    <n v="0"/>
    <n v="0"/>
    <n v="0"/>
    <n v="274.16999999999996"/>
    <n v="0"/>
  </r>
  <r>
    <x v="5"/>
    <x v="1"/>
    <x v="0"/>
    <s v="2459200"/>
    <n v="700038"/>
    <s v="Salaries-Service/Support-Productive"/>
    <s v="FMC-Seahurst FM"/>
    <x v="0"/>
    <m/>
    <n v="2919.91"/>
    <n v="-286.58999999999997"/>
    <n v="0"/>
    <n v="0"/>
    <n v="0"/>
    <n v="0"/>
    <n v="0"/>
    <n v="0"/>
    <n v="0"/>
    <n v="0"/>
    <n v="0"/>
    <n v="0"/>
    <n v="2633.3199999999997"/>
    <n v="0"/>
  </r>
  <r>
    <x v="5"/>
    <x v="1"/>
    <x v="0"/>
    <s v="2459200"/>
    <n v="700038"/>
    <s v="Salaries-Service/Support-OT"/>
    <s v="FMC-Seahurst FM"/>
    <x v="0"/>
    <n v="1000"/>
    <n v="66.989999999999995"/>
    <n v="-11.16"/>
    <n v="0"/>
    <n v="0"/>
    <n v="0"/>
    <n v="0"/>
    <n v="0"/>
    <n v="0"/>
    <n v="0"/>
    <n v="0"/>
    <n v="0"/>
    <n v="0"/>
    <n v="55.83"/>
    <n v="0"/>
  </r>
  <r>
    <x v="5"/>
    <x v="1"/>
    <x v="0"/>
    <s v="2459200"/>
    <n v="700038"/>
    <s v="Salaries-Service/Support-Other"/>
    <s v="FMC-Seahurst FM"/>
    <x v="0"/>
    <n v="2000"/>
    <n v="34"/>
    <n v="0"/>
    <n v="0"/>
    <n v="0"/>
    <n v="0"/>
    <n v="0"/>
    <n v="0"/>
    <n v="0"/>
    <n v="0"/>
    <n v="0"/>
    <n v="0"/>
    <n v="0"/>
    <n v="34"/>
    <n v="0"/>
  </r>
  <r>
    <x v="5"/>
    <x v="1"/>
    <x v="0"/>
    <s v="2459200"/>
    <n v="700054"/>
    <s v="Salaries-Management-NonProd-Other"/>
    <s v="FMC-Seahurst FM"/>
    <x v="0"/>
    <n v="2000"/>
    <n v="0"/>
    <n v="0"/>
    <n v="0"/>
    <n v="0"/>
    <n v="0"/>
    <n v="389.96"/>
    <n v="-389.96"/>
    <n v="0"/>
    <n v="0"/>
    <n v="0"/>
    <n v="0"/>
    <n v="0"/>
    <n v="0"/>
    <n v="0"/>
  </r>
  <r>
    <x v="5"/>
    <x v="1"/>
    <x v="0"/>
    <s v="2459200"/>
    <n v="700062"/>
    <s v="Salaries-Physician-Non-productive"/>
    <s v="FMC-Seahurst FM"/>
    <x v="0"/>
    <m/>
    <n v="7049.92"/>
    <n v="1371.6"/>
    <n v="16116.92"/>
    <n v="80.53"/>
    <n v="28766.71"/>
    <n v="6693.22"/>
    <n v="12365.74"/>
    <n v="19508.87"/>
    <n v="3970.2"/>
    <n v="11882.76"/>
    <n v="5570.5"/>
    <n v="9411.08"/>
    <n v="122788.04999999999"/>
    <n v="-3840.58"/>
  </r>
  <r>
    <x v="5"/>
    <x v="1"/>
    <x v="0"/>
    <s v="2459200"/>
    <n v="700062"/>
    <s v="Salaries-Physician-NonProd-Other"/>
    <s v="FMC-Seahurst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9200"/>
    <n v="700064"/>
    <s v="Salaries-Advanced Practice Clinician-Non-Productive"/>
    <s v="FMC-Seahurst FM"/>
    <x v="0"/>
    <m/>
    <n v="0"/>
    <n v="3950.4"/>
    <n v="-1316.8"/>
    <n v="1896.19"/>
    <n v="-842.75"/>
    <n v="4546.08"/>
    <n v="2543.04"/>
    <n v="2193.1799999999998"/>
    <n v="2424.1"/>
    <n v="0"/>
    <n v="0"/>
    <n v="0"/>
    <n v="15393.44"/>
    <n v="0"/>
  </r>
  <r>
    <x v="5"/>
    <x v="1"/>
    <x v="0"/>
    <s v="2459200"/>
    <n v="700066"/>
    <s v="Salaries-RN-Non-productive"/>
    <s v="FMC-Seahurst FM"/>
    <x v="0"/>
    <m/>
    <n v="0"/>
    <n v="0"/>
    <n v="1847.96"/>
    <n v="1639.28"/>
    <n v="245.27"/>
    <n v="637.05999999999995"/>
    <n v="267.57"/>
    <n v="0"/>
    <n v="0"/>
    <n v="395.49"/>
    <n v="666.09"/>
    <n v="426.7"/>
    <n v="6125.4199999999992"/>
    <n v="239.39000000000004"/>
  </r>
  <r>
    <x v="5"/>
    <x v="1"/>
    <x v="0"/>
    <s v="2459200"/>
    <n v="700066"/>
    <s v="Salaries-RN-NonProd-Other"/>
    <s v="FMC-Seahurst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9200"/>
    <n v="700072"/>
    <s v="Salaries-Other Pat Care Providers-Non-productive"/>
    <s v="FMC-Seahurst FM"/>
    <x v="0"/>
    <m/>
    <n v="2742.27"/>
    <n v="934.93"/>
    <n v="2843.76"/>
    <n v="654.29"/>
    <n v="1096.9100000000001"/>
    <n v="4942.8500000000004"/>
    <n v="3218.22"/>
    <n v="1898.63"/>
    <n v="5812.11"/>
    <n v="354.56"/>
    <n v="2743.09"/>
    <n v="2113.06"/>
    <n v="29354.680000000004"/>
    <n v="630.0300000000002"/>
  </r>
  <r>
    <x v="5"/>
    <x v="1"/>
    <x v="0"/>
    <s v="2459200"/>
    <n v="700072"/>
    <s v="Salaries-Other Pat Care Providers-NonProd-Other"/>
    <s v="FMC-Seahurst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9200"/>
    <n v="700078"/>
    <s v="Salaries-Service/Support-NonProd-Other"/>
    <s v="FMC-Seahurst 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59200"/>
    <n v="700084"/>
    <s v="Accrued PTO"/>
    <s v="FMC-Seahurst FM"/>
    <x v="0"/>
    <m/>
    <n v="66.34"/>
    <n v="1623.74"/>
    <n v="-1294.47"/>
    <n v="510.32"/>
    <n v="1434.99"/>
    <n v="-811.28"/>
    <n v="-99.85"/>
    <n v="1084.3499999999999"/>
    <n v="1107.46"/>
    <n v="1336.64"/>
    <n v="-1026.5"/>
    <n v="1035.55"/>
    <n v="4967.2900000000009"/>
    <n v="-2062.0500000000002"/>
  </r>
  <r>
    <x v="6"/>
    <x v="1"/>
    <x v="0"/>
    <s v="2459200"/>
    <n v="713010"/>
    <s v="Benefits-FICA/Medicare"/>
    <s v="FMC-Seahurst FM"/>
    <x v="0"/>
    <m/>
    <n v="4579.3999999999996"/>
    <n v="4607.5200000000004"/>
    <n v="4178.3500000000004"/>
    <n v="4583.49"/>
    <n v="3706.45"/>
    <n v="6904.8"/>
    <n v="10680.48"/>
    <n v="7732.05"/>
    <n v="7818.5"/>
    <n v="7592.1"/>
    <n v="6725.7"/>
    <n v="4316.46"/>
    <n v="73425.300000000017"/>
    <n v="2409.2399999999998"/>
  </r>
  <r>
    <x v="6"/>
    <x v="1"/>
    <x v="0"/>
    <s v="2459200"/>
    <n v="713090"/>
    <s v="Benefits-Allocated Amounts"/>
    <s v="FMC-Seahurst FM"/>
    <x v="0"/>
    <m/>
    <n v="0"/>
    <n v="0"/>
    <n v="0"/>
    <n v="0"/>
    <n v="0"/>
    <n v="0"/>
    <n v="0"/>
    <n v="0"/>
    <n v="86298.63"/>
    <n v="8353.33"/>
    <n v="7115.94"/>
    <n v="6686.5"/>
    <n v="108454.40000000001"/>
    <n v="429.4399999999996"/>
  </r>
  <r>
    <x v="6"/>
    <x v="1"/>
    <x v="0"/>
    <s v="2459200"/>
    <n v="713092"/>
    <s v="Allocated Benefits-Physician"/>
    <s v="FMC-Seahurst FM"/>
    <x v="0"/>
    <m/>
    <n v="12977.23"/>
    <n v="11573.99"/>
    <n v="12328"/>
    <n v="12971.1"/>
    <n v="12849.49"/>
    <n v="13302.13"/>
    <n v="15381.48"/>
    <n v="12942.36"/>
    <n v="-55842.19"/>
    <n v="4693"/>
    <n v="3997.81"/>
    <n v="3756.55"/>
    <n v="60930.95"/>
    <n v="241.25999999999976"/>
  </r>
  <r>
    <x v="6"/>
    <x v="1"/>
    <x v="0"/>
    <s v="2459200"/>
    <n v="713093"/>
    <s v="Allocated Benefits-Advanced Practice Clinician"/>
    <s v="FMC-Seahurst FM"/>
    <x v="0"/>
    <m/>
    <n v="3327.49"/>
    <n v="2967.7"/>
    <n v="3161.02"/>
    <n v="3325.92"/>
    <n v="3294.75"/>
    <n v="3410.8"/>
    <n v="3943.96"/>
    <n v="3318.56"/>
    <n v="-14318.51"/>
    <n v="1203.33"/>
    <n v="1025.08"/>
    <n v="963.22"/>
    <n v="15623.32"/>
    <n v="61.8599999999999"/>
  </r>
  <r>
    <x v="7"/>
    <x v="1"/>
    <x v="0"/>
    <s v="2459200"/>
    <n v="718010"/>
    <s v="Media/Print Advertising"/>
    <s v="FMC-Seahurst FM"/>
    <x v="0"/>
    <n v="1004"/>
    <n v="0"/>
    <n v="0"/>
    <n v="0"/>
    <n v="0"/>
    <n v="140.37"/>
    <n v="0"/>
    <n v="0"/>
    <n v="0"/>
    <n v="0"/>
    <n v="284.93"/>
    <n v="0"/>
    <n v="0"/>
    <n v="425.3"/>
    <n v="0"/>
  </r>
  <r>
    <x v="7"/>
    <x v="1"/>
    <x v="0"/>
    <s v="2459200"/>
    <n v="718050"/>
    <s v="Contract Svcs-Other"/>
    <s v="FMC-Seahurst FM"/>
    <x v="0"/>
    <m/>
    <n v="0"/>
    <n v="170.15"/>
    <n v="0"/>
    <n v="128"/>
    <n v="0"/>
    <n v="0"/>
    <n v="0"/>
    <n v="0"/>
    <n v="0"/>
    <n v="0"/>
    <n v="0"/>
    <n v="0"/>
    <n v="298.14999999999998"/>
    <n v="0"/>
  </r>
  <r>
    <x v="7"/>
    <x v="1"/>
    <x v="0"/>
    <s v="2459200"/>
    <n v="718050"/>
    <s v="Management Fees"/>
    <s v="FMC-Seahurst FM"/>
    <x v="0"/>
    <n v="1004"/>
    <n v="0"/>
    <n v="0"/>
    <n v="0"/>
    <n v="183.43"/>
    <n v="0"/>
    <n v="0"/>
    <n v="0"/>
    <n v="0"/>
    <n v="0"/>
    <n v="0"/>
    <n v="0"/>
    <n v="0"/>
    <n v="183.43"/>
    <n v="0"/>
  </r>
  <r>
    <x v="7"/>
    <x v="1"/>
    <x v="0"/>
    <s v="2459200"/>
    <n v="718050"/>
    <s v="Physician Answering"/>
    <s v="FMC-Seahurst FM"/>
    <x v="0"/>
    <n v="1015"/>
    <n v="192"/>
    <n v="0"/>
    <n v="144"/>
    <n v="288"/>
    <n v="144"/>
    <n v="0"/>
    <n v="304"/>
    <n v="144"/>
    <n v="112"/>
    <n v="144"/>
    <n v="112"/>
    <n v="822.5"/>
    <n v="2406.5"/>
    <n v="-710.5"/>
  </r>
  <r>
    <x v="7"/>
    <x v="1"/>
    <x v="0"/>
    <s v="2459200"/>
    <n v="718050"/>
    <s v="Miscellaneous Purchased Svcs"/>
    <s v="FMC-Seahurst FM"/>
    <x v="0"/>
    <n v="1020"/>
    <n v="106.26"/>
    <n v="106.26"/>
    <n v="266.26"/>
    <n v="106.26"/>
    <n v="106.26"/>
    <n v="106.26"/>
    <n v="195.93"/>
    <n v="871.2"/>
    <n v="106.26"/>
    <n v="106.26"/>
    <n v="106.26"/>
    <n v="106.26"/>
    <n v="2289.7300000000005"/>
    <n v="0"/>
  </r>
  <r>
    <x v="7"/>
    <x v="1"/>
    <x v="0"/>
    <s v="2459200"/>
    <n v="718050"/>
    <s v="Translation Services"/>
    <s v="FMC-Seahurst FM"/>
    <x v="0"/>
    <n v="1025"/>
    <n v="94"/>
    <n v="0"/>
    <n v="0"/>
    <n v="0"/>
    <n v="0"/>
    <n v="0"/>
    <n v="0"/>
    <n v="0"/>
    <n v="0"/>
    <n v="0"/>
    <n v="0"/>
    <n v="0"/>
    <n v="94"/>
    <n v="0"/>
  </r>
  <r>
    <x v="7"/>
    <x v="1"/>
    <x v="0"/>
    <s v="2459200"/>
    <n v="718050"/>
    <s v="Contract Management--Linen"/>
    <s v="FMC-Seahurst FM"/>
    <x v="0"/>
    <n v="1026"/>
    <n v="168.98"/>
    <n v="454.06"/>
    <n v="668.6"/>
    <n v="359.62"/>
    <n v="386.45"/>
    <n v="169.3"/>
    <n v="551.66"/>
    <n v="390.12"/>
    <n v="535.17999999999995"/>
    <n v="112.63"/>
    <n v="83.98"/>
    <n v="444.43"/>
    <n v="4325.0099999999993"/>
    <n v="-360.45"/>
  </r>
  <r>
    <x v="7"/>
    <x v="1"/>
    <x v="0"/>
    <s v="2459200"/>
    <n v="718050"/>
    <s v="Purchased Srvcs--Medical Waste"/>
    <s v="FMC-Seahurst FM"/>
    <x v="0"/>
    <n v="1027"/>
    <n v="272.73"/>
    <n v="0.77"/>
    <n v="149.82"/>
    <n v="74.91"/>
    <n v="148.24"/>
    <n v="0"/>
    <n v="150.12"/>
    <n v="75.209999999999994"/>
    <n v="62.03"/>
    <n v="75.209999999999994"/>
    <n v="0"/>
    <n v="225.63"/>
    <n v="1234.67"/>
    <n v="-225.63"/>
  </r>
  <r>
    <x v="7"/>
    <x v="1"/>
    <x v="0"/>
    <s v="2459200"/>
    <n v="718070"/>
    <s v="Contract Srvcs-CHI Clinical Engineering"/>
    <s v="FMC-Seahurst FM"/>
    <x v="0"/>
    <m/>
    <n v="0"/>
    <n v="0"/>
    <n v="1355.22"/>
    <n v="2070.7199999999998"/>
    <n v="2858.08"/>
    <n v="1355.22"/>
    <n v="1355.22"/>
    <n v="1355.22"/>
    <n v="0"/>
    <n v="0"/>
    <n v="1494.03"/>
    <n v="0"/>
    <n v="11843.71"/>
    <n v="1494.03"/>
  </r>
  <r>
    <x v="11"/>
    <x v="1"/>
    <x v="0"/>
    <s v="2459200"/>
    <n v="721410"/>
    <s v="Supplies-Medical - Nonbillable"/>
    <s v="FMC-Seahurst FM"/>
    <x v="0"/>
    <m/>
    <n v="4491.1000000000004"/>
    <n v="4585.55"/>
    <n v="2407.65"/>
    <n v="1843.13"/>
    <n v="3236"/>
    <n v="1475.93"/>
    <n v="2183.27"/>
    <n v="2056.15"/>
    <n v="2515.04"/>
    <n v="1331.88"/>
    <n v="224.67"/>
    <n v="4107.97"/>
    <n v="30458.340000000004"/>
    <n v="-3883.3"/>
  </r>
  <r>
    <x v="11"/>
    <x v="1"/>
    <x v="0"/>
    <s v="2459200"/>
    <n v="721810"/>
    <s v="Supplies-Dietary/Cafeteria"/>
    <s v="FMC-Seahurst FM"/>
    <x v="0"/>
    <m/>
    <n v="0"/>
    <n v="0"/>
    <n v="0"/>
    <n v="0"/>
    <n v="0"/>
    <n v="82"/>
    <n v="0"/>
    <n v="0"/>
    <n v="0"/>
    <n v="0"/>
    <n v="0"/>
    <n v="0"/>
    <n v="82"/>
    <n v="0"/>
  </r>
  <r>
    <x v="11"/>
    <x v="1"/>
    <x v="0"/>
    <s v="2459200"/>
    <n v="721830"/>
    <s v="Supplies-Office"/>
    <s v="FMC-Seahurst FM"/>
    <x v="0"/>
    <m/>
    <n v="0"/>
    <n v="458.88"/>
    <n v="0"/>
    <n v="1301.8800000000001"/>
    <n v="357.06"/>
    <n v="0"/>
    <n v="0"/>
    <n v="0"/>
    <n v="0"/>
    <n v="0"/>
    <n v="0"/>
    <n v="-37.03"/>
    <n v="2080.79"/>
    <n v="37.03"/>
  </r>
  <r>
    <x v="11"/>
    <x v="1"/>
    <x v="0"/>
    <s v="2459200"/>
    <n v="721835"/>
    <s v="Supplies-Forms"/>
    <s v="FMC-Seahurst FM"/>
    <x v="0"/>
    <m/>
    <n v="0"/>
    <n v="0"/>
    <n v="0"/>
    <n v="0"/>
    <n v="0.86"/>
    <n v="0"/>
    <n v="0"/>
    <n v="0"/>
    <n v="0"/>
    <n v="0"/>
    <n v="0"/>
    <n v="0"/>
    <n v="0.86"/>
    <n v="0"/>
  </r>
  <r>
    <x v="11"/>
    <x v="1"/>
    <x v="0"/>
    <s v="2459200"/>
    <n v="722000"/>
    <s v="Supplies-Freight Expense"/>
    <s v="FMC-Seahurst FM"/>
    <x v="0"/>
    <m/>
    <n v="0"/>
    <n v="60.15"/>
    <n v="0"/>
    <n v="106.34"/>
    <n v="0"/>
    <n v="0"/>
    <n v="0"/>
    <n v="0"/>
    <n v="0"/>
    <n v="3"/>
    <n v="0"/>
    <n v="168.87"/>
    <n v="338.36"/>
    <n v="-168.87"/>
  </r>
  <r>
    <x v="12"/>
    <x v="1"/>
    <x v="0"/>
    <s v="2459200"/>
    <n v="730020"/>
    <s v="Rental and Leases-Equipment (DO NOT USE)"/>
    <s v="FMC-Seahurst FM"/>
    <x v="0"/>
    <m/>
    <n v="43.88"/>
    <n v="0"/>
    <n v="43.88"/>
    <n v="258.27"/>
    <n v="0"/>
    <n v="43.77"/>
    <n v="87.54"/>
    <n v="87.54"/>
    <n v="43.77"/>
    <n v="0"/>
    <n v="0"/>
    <n v="0"/>
    <n v="608.65"/>
    <n v="0"/>
  </r>
  <r>
    <x v="0"/>
    <x v="1"/>
    <x v="0"/>
    <s v="2459200"/>
    <n v="740020"/>
    <s v="Education-Registration Fees"/>
    <s v="FMC-Seahurst FM"/>
    <x v="0"/>
    <m/>
    <n v="0"/>
    <n v="0"/>
    <n v="0"/>
    <n v="0"/>
    <n v="0"/>
    <n v="0"/>
    <n v="0"/>
    <n v="0"/>
    <n v="0"/>
    <n v="0"/>
    <n v="450"/>
    <n v="0"/>
    <n v="450"/>
    <n v="450"/>
  </r>
  <r>
    <x v="0"/>
    <x v="1"/>
    <x v="0"/>
    <s v="2459200"/>
    <n v="740022"/>
    <s v="Education-Physician"/>
    <s v="FMC-Seahurst FM"/>
    <x v="0"/>
    <m/>
    <n v="0"/>
    <n v="795"/>
    <n v="0"/>
    <n v="0"/>
    <n v="0"/>
    <n v="1235"/>
    <n v="472.51"/>
    <n v="0"/>
    <n v="0"/>
    <n v="200"/>
    <n v="0"/>
    <n v="1019"/>
    <n v="3721.51"/>
    <n v="-1019"/>
  </r>
  <r>
    <x v="0"/>
    <x v="1"/>
    <x v="0"/>
    <s v="2459200"/>
    <n v="740022"/>
    <s v="Books-Physician"/>
    <s v="FMC-Seahurst FM"/>
    <x v="0"/>
    <n v="2000"/>
    <n v="0"/>
    <n v="1590"/>
    <n v="0"/>
    <n v="0"/>
    <n v="0"/>
    <n v="0"/>
    <n v="0"/>
    <n v="0"/>
    <n v="1446.95"/>
    <n v="0"/>
    <n v="0"/>
    <n v="0"/>
    <n v="3036.95"/>
    <n v="0"/>
  </r>
  <r>
    <x v="8"/>
    <x v="1"/>
    <x v="0"/>
    <s v="2459200"/>
    <n v="741012"/>
    <s v="Physician Liab Insurance-CHI Program"/>
    <s v="FMC-Seahurst FM"/>
    <x v="0"/>
    <m/>
    <n v="2320.9699999999998"/>
    <n v="2320.9699999999998"/>
    <n v="2320.9699999999998"/>
    <n v="2320.9699999999998"/>
    <n v="2320.98"/>
    <n v="2320.9499999999998"/>
    <n v="2320.98"/>
    <n v="2320.9499999999998"/>
    <n v="1904.41"/>
    <n v="1847.29"/>
    <n v="1847.31"/>
    <n v="1847.29"/>
    <n v="26014.04"/>
    <n v="1.999999999998181E-2"/>
  </r>
  <r>
    <x v="0"/>
    <x v="1"/>
    <x v="0"/>
    <s v="2459200"/>
    <n v="743022"/>
    <s v="Dues-Physician"/>
    <s v="FMC-Seahurst FM"/>
    <x v="0"/>
    <m/>
    <n v="0"/>
    <n v="0"/>
    <n v="0"/>
    <n v="885"/>
    <n v="0"/>
    <n v="2096"/>
    <n v="0"/>
    <n v="885"/>
    <n v="0"/>
    <n v="2040"/>
    <n v="0"/>
    <n v="885"/>
    <n v="6791"/>
    <n v="-885"/>
  </r>
  <r>
    <x v="0"/>
    <x v="1"/>
    <x v="0"/>
    <s v="2459200"/>
    <n v="743042"/>
    <s v="Subscriptions-Physician"/>
    <s v="FMC-Seahurst FM"/>
    <x v="0"/>
    <m/>
    <n v="0"/>
    <n v="0"/>
    <n v="0"/>
    <n v="0"/>
    <n v="0"/>
    <n v="0"/>
    <n v="0"/>
    <n v="0"/>
    <n v="0"/>
    <n v="0"/>
    <n v="0"/>
    <n v="149"/>
    <n v="149"/>
    <n v="-149"/>
  </r>
  <r>
    <x v="0"/>
    <x v="1"/>
    <x v="0"/>
    <s v="2459200"/>
    <n v="749510"/>
    <s v="Miscellaneous Expenses"/>
    <s v="FMC-Seahurst FM"/>
    <x v="0"/>
    <m/>
    <n v="-3061.2"/>
    <n v="0"/>
    <n v="0"/>
    <n v="0"/>
    <n v="0"/>
    <n v="0"/>
    <n v="885"/>
    <n v="-885"/>
    <n v="0"/>
    <n v="0"/>
    <n v="149"/>
    <n v="-149"/>
    <n v="-3061.2"/>
    <n v="298"/>
  </r>
  <r>
    <x v="0"/>
    <x v="1"/>
    <x v="0"/>
    <s v="2459200"/>
    <n v="749512"/>
    <s v="Licenses-Physician"/>
    <s v="FMC-Seahurst FM"/>
    <x v="0"/>
    <n v="2000"/>
    <n v="0"/>
    <n v="0"/>
    <n v="0"/>
    <n v="0"/>
    <n v="657"/>
    <n v="0"/>
    <n v="657"/>
    <n v="0"/>
    <n v="0"/>
    <n v="0"/>
    <n v="0"/>
    <n v="0"/>
    <n v="1314"/>
    <n v="0"/>
  </r>
  <r>
    <x v="0"/>
    <x v="1"/>
    <x v="0"/>
    <s v="2459200"/>
    <n v="749530"/>
    <s v="Mileage"/>
    <s v="FMC-Seahurst FM"/>
    <x v="0"/>
    <n v="1001"/>
    <n v="225.63"/>
    <n v="0"/>
    <n v="0"/>
    <n v="0"/>
    <n v="0"/>
    <n v="0"/>
    <n v="0"/>
    <n v="0"/>
    <n v="0"/>
    <n v="0"/>
    <n v="0"/>
    <n v="0"/>
    <n v="225.63"/>
    <n v="0"/>
  </r>
  <r>
    <x v="0"/>
    <x v="1"/>
    <x v="0"/>
    <s v="2459200"/>
    <n v="749532"/>
    <s v="Travel-Physician"/>
    <s v="FMC-Seahurst FM"/>
    <x v="0"/>
    <m/>
    <n v="0"/>
    <n v="1479.62"/>
    <n v="0"/>
    <n v="0"/>
    <n v="0"/>
    <n v="0"/>
    <n v="0"/>
    <n v="0"/>
    <n v="0"/>
    <n v="0"/>
    <n v="0"/>
    <n v="0"/>
    <n v="1479.62"/>
    <n v="0"/>
  </r>
  <r>
    <x v="1"/>
    <x v="1"/>
    <x v="0"/>
    <s v="2460200"/>
    <n v="400029"/>
    <s v="MD Practice Other Rev--Medicare"/>
    <s v="FMC-Seahurst IM"/>
    <x v="0"/>
    <n v="1100"/>
    <n v="-1304"/>
    <n v="-924"/>
    <n v="-548"/>
    <n v="-956"/>
    <n v="-1214"/>
    <n v="-1215"/>
    <n v="-647"/>
    <n v="-1212"/>
    <n v="-1180"/>
    <n v="-945"/>
    <n v="-1164"/>
    <n v="-1073"/>
    <n v="-12382"/>
    <n v="-91"/>
  </r>
  <r>
    <x v="1"/>
    <x v="1"/>
    <x v="0"/>
    <s v="2460200"/>
    <n v="400029"/>
    <s v="MD Practice Other Rev--Medicaid"/>
    <s v="FMC-Seahurst IM"/>
    <x v="0"/>
    <n v="1200"/>
    <n v="-186"/>
    <n v="-33"/>
    <n v="0"/>
    <n v="-103"/>
    <n v="-33"/>
    <n v="-148"/>
    <n v="0"/>
    <n v="-43"/>
    <n v="0"/>
    <n v="-37"/>
    <n v="-66"/>
    <n v="-132"/>
    <n v="-781"/>
    <n v="66"/>
  </r>
  <r>
    <x v="1"/>
    <x v="1"/>
    <x v="0"/>
    <s v="2460200"/>
    <n v="400029"/>
    <s v="MD Practice Other Rev--Comm Insurance"/>
    <s v="FMC-Seahurst IM"/>
    <x v="0"/>
    <n v="1300"/>
    <n v="-33"/>
    <n v="0"/>
    <n v="-99"/>
    <n v="-99"/>
    <n v="-33"/>
    <n v="-66"/>
    <n v="-33"/>
    <n v="-132"/>
    <n v="0"/>
    <n v="-33"/>
    <n v="0"/>
    <n v="0"/>
    <n v="-528"/>
    <n v="0"/>
  </r>
  <r>
    <x v="1"/>
    <x v="1"/>
    <x v="0"/>
    <s v="2460200"/>
    <n v="400029"/>
    <s v="MD Practice Other Rev--BCBS Comm"/>
    <s v="FMC-Seahurst IM"/>
    <x v="0"/>
    <n v="1301"/>
    <n v="-150"/>
    <n v="-132"/>
    <n v="-66"/>
    <n v="-304"/>
    <n v="-136"/>
    <n v="-66"/>
    <n v="-165"/>
    <n v="0"/>
    <n v="-33"/>
    <n v="-132"/>
    <n v="0"/>
    <n v="-33"/>
    <n v="-1217"/>
    <n v="33"/>
  </r>
  <r>
    <x v="1"/>
    <x v="1"/>
    <x v="0"/>
    <s v="2460200"/>
    <n v="400029"/>
    <s v="MD Practice Other Rev--Managed Care"/>
    <s v="FMC-Seahurst IM"/>
    <x v="0"/>
    <n v="1400"/>
    <n v="-374"/>
    <n v="-343"/>
    <n v="-175"/>
    <n v="-122"/>
    <n v="-338"/>
    <n v="-498"/>
    <n v="-342"/>
    <n v="-363"/>
    <n v="-331"/>
    <n v="-439"/>
    <n v="-429"/>
    <n v="-707"/>
    <n v="-4461"/>
    <n v="278"/>
  </r>
  <r>
    <x v="1"/>
    <x v="1"/>
    <x v="0"/>
    <s v="2460200"/>
    <n v="400029"/>
    <s v="MD Practice Other Rev--Self Pay"/>
    <s v="FMC-Seahurst IM"/>
    <x v="0"/>
    <n v="1500"/>
    <n v="0"/>
    <n v="-66"/>
    <n v="-33"/>
    <n v="6"/>
    <n v="0"/>
    <n v="-33"/>
    <n v="0"/>
    <n v="0"/>
    <n v="0"/>
    <n v="0"/>
    <n v="0"/>
    <n v="-33"/>
    <n v="-159"/>
    <n v="33"/>
  </r>
  <r>
    <x v="1"/>
    <x v="1"/>
    <x v="0"/>
    <s v="2460200"/>
    <n v="400029"/>
    <s v="MD Practice Other Rev--Other"/>
    <s v="FMC-Seahurst IM"/>
    <x v="0"/>
    <n v="1700"/>
    <n v="0"/>
    <n v="0"/>
    <n v="0"/>
    <n v="-37"/>
    <n v="0"/>
    <n v="0"/>
    <n v="0"/>
    <n v="0"/>
    <n v="0"/>
    <n v="0"/>
    <n v="0"/>
    <n v="0"/>
    <n v="-37"/>
    <n v="0"/>
  </r>
  <r>
    <x v="1"/>
    <x v="1"/>
    <x v="0"/>
    <s v="2460200"/>
    <n v="400040"/>
    <s v="Physician Svcs Rev--Medicare"/>
    <s v="FMC-Seahurst IM"/>
    <x v="0"/>
    <n v="1100"/>
    <n v="-85362"/>
    <n v="-60463"/>
    <n v="-52312"/>
    <n v="-72296"/>
    <n v="-64594"/>
    <n v="-62901"/>
    <n v="-47495"/>
    <n v="-57399"/>
    <n v="-54145"/>
    <n v="-71152"/>
    <n v="-62506"/>
    <n v="-73070"/>
    <n v="-763695"/>
    <n v="10564"/>
  </r>
  <r>
    <x v="1"/>
    <x v="1"/>
    <x v="0"/>
    <s v="2460200"/>
    <n v="400040"/>
    <s v="Physician Svcs Rev--Medicaid"/>
    <s v="FMC-Seahurst IM"/>
    <x v="0"/>
    <n v="1200"/>
    <n v="-6746"/>
    <n v="-3343"/>
    <n v="-1817"/>
    <n v="-2515"/>
    <n v="-2584"/>
    <n v="-4139"/>
    <n v="-883"/>
    <n v="-4143"/>
    <n v="-2294"/>
    <n v="-3925"/>
    <n v="-4912"/>
    <n v="-3259"/>
    <n v="-40560"/>
    <n v="-1653"/>
  </r>
  <r>
    <x v="1"/>
    <x v="1"/>
    <x v="0"/>
    <s v="2460200"/>
    <n v="400040"/>
    <s v="Physician Svcs Rev--Comm Insurance"/>
    <s v="FMC-Seahurst IM"/>
    <x v="0"/>
    <n v="1300"/>
    <n v="-1357"/>
    <n v="-693"/>
    <n v="-1129"/>
    <n v="-1786"/>
    <n v="-833"/>
    <n v="-693"/>
    <n v="-400"/>
    <n v="-2132"/>
    <n v="-295"/>
    <n v="-1292"/>
    <n v="-998"/>
    <n v="-106"/>
    <n v="-11714"/>
    <n v="-892"/>
  </r>
  <r>
    <x v="1"/>
    <x v="1"/>
    <x v="0"/>
    <s v="2460200"/>
    <n v="400040"/>
    <s v="Physician Svcs Rev--BCBS Comm"/>
    <s v="FMC-Seahurst IM"/>
    <x v="0"/>
    <n v="1301"/>
    <n v="-7171"/>
    <n v="-3810"/>
    <n v="-2586"/>
    <n v="-6558"/>
    <n v="7218"/>
    <n v="-3437"/>
    <n v="-4479"/>
    <n v="-2240"/>
    <n v="-1898"/>
    <n v="-6718"/>
    <n v="-3388"/>
    <n v="-3672"/>
    <n v="-38739"/>
    <n v="284"/>
  </r>
  <r>
    <x v="1"/>
    <x v="1"/>
    <x v="0"/>
    <s v="2460200"/>
    <n v="400040"/>
    <s v="Physician Svcs Rev--Managed Care"/>
    <s v="FMC-Seahurst IM"/>
    <x v="0"/>
    <n v="1400"/>
    <n v="-17185"/>
    <n v="-12902"/>
    <n v="-13933"/>
    <n v="-15301"/>
    <n v="-16980"/>
    <n v="-18238"/>
    <n v="-14920"/>
    <n v="-16084"/>
    <n v="-15201"/>
    <n v="-15913"/>
    <n v="-15593"/>
    <n v="-18896"/>
    <n v="-191146"/>
    <n v="3303"/>
  </r>
  <r>
    <x v="1"/>
    <x v="1"/>
    <x v="0"/>
    <s v="2460200"/>
    <n v="400040"/>
    <s v="Physician Svcs Rev--Self Pay"/>
    <s v="FMC-Seahurst IM"/>
    <x v="0"/>
    <n v="1500"/>
    <n v="-1556"/>
    <n v="-495"/>
    <n v="-600"/>
    <n v="94"/>
    <n v="-400"/>
    <n v="-600"/>
    <n v="-495"/>
    <n v="0"/>
    <n v="-695"/>
    <n v="-200"/>
    <n v="-200"/>
    <n v="-400"/>
    <n v="-5547"/>
    <n v="200"/>
  </r>
  <r>
    <x v="1"/>
    <x v="1"/>
    <x v="0"/>
    <s v="2460200"/>
    <n v="400040"/>
    <s v="Physician Svcs Rev--Other"/>
    <s v="FMC-Seahurst IM"/>
    <x v="0"/>
    <n v="1700"/>
    <n v="-296"/>
    <n v="0"/>
    <n v="0"/>
    <n v="-693"/>
    <n v="-417"/>
    <n v="0"/>
    <n v="-398"/>
    <n v="-590"/>
    <n v="-1"/>
    <n v="0"/>
    <n v="0"/>
    <n v="0"/>
    <n v="-2395"/>
    <n v="0"/>
  </r>
  <r>
    <x v="2"/>
    <x v="1"/>
    <x v="0"/>
    <s v="2460200"/>
    <n v="450029"/>
    <s v="Contr Allow--MD Other-Medicare"/>
    <s v="FMC-Seahurst IM"/>
    <x v="0"/>
    <n v="1100"/>
    <n v="1079.44"/>
    <n v="518.83000000000004"/>
    <n v="717.14"/>
    <n v="520.9"/>
    <n v="846.31"/>
    <n v="735.58"/>
    <n v="720.61"/>
    <n v="564.07000000000005"/>
    <n v="988.58"/>
    <n v="716.66"/>
    <n v="662"/>
    <n v="876.63"/>
    <n v="8946.7499999999982"/>
    <n v="-214.63"/>
  </r>
  <r>
    <x v="2"/>
    <x v="1"/>
    <x v="0"/>
    <s v="2460200"/>
    <n v="450029"/>
    <s v="Contr Allow--MD Other-Medicaid"/>
    <s v="FMC-Seahurst IM"/>
    <x v="0"/>
    <n v="1200"/>
    <n v="183.79"/>
    <n v="42.76"/>
    <n v="0"/>
    <n v="41.66"/>
    <n v="72.42"/>
    <n v="76.17"/>
    <n v="24.52"/>
    <n v="6.78"/>
    <n v="22.76"/>
    <n v="26.15"/>
    <n v="18.739999999999998"/>
    <n v="21.89"/>
    <n v="537.63999999999987"/>
    <n v="-3.1500000000000021"/>
  </r>
  <r>
    <x v="2"/>
    <x v="1"/>
    <x v="0"/>
    <s v="2460200"/>
    <n v="450029"/>
    <s v="Contr Allow--MD Other-Comm Insurance"/>
    <s v="FMC-Seahurst IM"/>
    <x v="0"/>
    <n v="1300"/>
    <n v="0"/>
    <n v="11.42"/>
    <n v="22.84"/>
    <n v="45.68"/>
    <n v="11.42"/>
    <n v="0"/>
    <n v="30.09"/>
    <n v="30.09"/>
    <n v="11.42"/>
    <n v="11.42"/>
    <n v="0"/>
    <n v="0"/>
    <n v="174.37999999999997"/>
    <n v="0"/>
  </r>
  <r>
    <x v="2"/>
    <x v="1"/>
    <x v="0"/>
    <s v="2460200"/>
    <n v="450029"/>
    <s v="Contr Allow--MD Other BCBS Comm"/>
    <s v="FMC-Seahurst IM"/>
    <x v="0"/>
    <n v="1301"/>
    <n v="234.6"/>
    <n v="65.569999999999993"/>
    <n v="59.04"/>
    <n v="39.36"/>
    <n v="142.22"/>
    <n v="84.13"/>
    <n v="98.4"/>
    <n v="39.36"/>
    <n v="55.68"/>
    <n v="39.36"/>
    <n v="39.36"/>
    <n v="0"/>
    <n v="897.07999999999993"/>
    <n v="39.36"/>
  </r>
  <r>
    <x v="2"/>
    <x v="1"/>
    <x v="0"/>
    <s v="2460200"/>
    <n v="450029"/>
    <s v="Contr Allow--MD Other-Managed Care"/>
    <s v="FMC-Seahurst IM"/>
    <x v="0"/>
    <n v="1400"/>
    <n v="439.43"/>
    <n v="294.68"/>
    <n v="81.180000000000007"/>
    <n v="132.96"/>
    <n v="185.4"/>
    <n v="255.5"/>
    <n v="331.48"/>
    <n v="102"/>
    <n v="337.82"/>
    <n v="299.67"/>
    <n v="219.52"/>
    <n v="360.55"/>
    <n v="3040.1900000000005"/>
    <n v="-141.03"/>
  </r>
  <r>
    <x v="2"/>
    <x v="1"/>
    <x v="0"/>
    <s v="2460200"/>
    <n v="450029"/>
    <s v="Admin Adjust-MD Other-Self Pay"/>
    <s v="FMC-Seahurst IM"/>
    <x v="0"/>
    <n v="1600"/>
    <n v="13.46"/>
    <n v="50.73"/>
    <n v="31.09"/>
    <n v="20.329999999999998"/>
    <n v="-44.66"/>
    <n v="13.4"/>
    <n v="0"/>
    <n v="4.57"/>
    <n v="0"/>
    <n v="0"/>
    <n v="0.72"/>
    <n v="18.47"/>
    <n v="108.11000000000001"/>
    <n v="-17.75"/>
  </r>
  <r>
    <x v="2"/>
    <x v="1"/>
    <x v="0"/>
    <s v="2460200"/>
    <n v="450029"/>
    <s v="Contr Allow--MD Other-Other"/>
    <s v="FMC-Seahurst IM"/>
    <x v="0"/>
    <n v="1700"/>
    <n v="0"/>
    <n v="0"/>
    <n v="0"/>
    <n v="0"/>
    <n v="26.13"/>
    <n v="0"/>
    <n v="0"/>
    <n v="0"/>
    <n v="0"/>
    <n v="0"/>
    <n v="0"/>
    <n v="0"/>
    <n v="26.13"/>
    <n v="0"/>
  </r>
  <r>
    <x v="2"/>
    <x v="1"/>
    <x v="0"/>
    <s v="2460200"/>
    <n v="450040"/>
    <s v="Contr Allow--Phys Svcs--Mcare"/>
    <s v="FMC-Seahurst IM"/>
    <x v="0"/>
    <n v="1100"/>
    <n v="56927.360000000001"/>
    <n v="34542.53"/>
    <n v="43771.22"/>
    <n v="38343.120000000003"/>
    <n v="45894.6"/>
    <n v="33538.85"/>
    <n v="35571.870000000003"/>
    <n v="29475.69"/>
    <n v="42987.14"/>
    <n v="35337.449999999997"/>
    <n v="38180.69"/>
    <n v="44087.4"/>
    <n v="478657.92000000004"/>
    <n v="-5906.7099999999991"/>
  </r>
  <r>
    <x v="2"/>
    <x v="1"/>
    <x v="0"/>
    <s v="2460200"/>
    <n v="450040"/>
    <s v="Contr Allow--Phys Svcs--Mcaid"/>
    <s v="FMC-Seahurst IM"/>
    <x v="0"/>
    <n v="1200"/>
    <n v="7851.52"/>
    <n v="2742.49"/>
    <n v="1199.6099999999999"/>
    <n v="2516.54"/>
    <n v="2155.33"/>
    <n v="1193.18"/>
    <n v="1604.54"/>
    <n v="1496.19"/>
    <n v="1997.14"/>
    <n v="3956.91"/>
    <n v="2098.13"/>
    <n v="3636.85"/>
    <n v="32448.429999999997"/>
    <n v="-1538.7199999999998"/>
  </r>
  <r>
    <x v="2"/>
    <x v="1"/>
    <x v="0"/>
    <s v="2460200"/>
    <n v="450040"/>
    <s v="Contr Allow--Phys Svcs--Comm Insurance"/>
    <s v="FMC-Seahurst IM"/>
    <x v="0"/>
    <n v="1300"/>
    <n v="567.24"/>
    <n v="435.3"/>
    <n v="605.08000000000004"/>
    <n v="501.36"/>
    <n v="262.14"/>
    <n v="0"/>
    <n v="186.2"/>
    <n v="156.30000000000001"/>
    <n v="259.74"/>
    <n v="271.43"/>
    <n v="549.54"/>
    <n v="175.59"/>
    <n v="3969.9199999999996"/>
    <n v="373.94999999999993"/>
  </r>
  <r>
    <x v="2"/>
    <x v="1"/>
    <x v="0"/>
    <s v="2460200"/>
    <n v="450040"/>
    <s v="Contr Allow--Phys Svcs--BCBS Comm Ins"/>
    <s v="FMC-Seahurst IM"/>
    <x v="0"/>
    <n v="1301"/>
    <n v="7144.09"/>
    <n v="1603.16"/>
    <n v="689.94"/>
    <n v="751.65"/>
    <n v="-2087.0100000000002"/>
    <n v="464.23"/>
    <n v="-2122.8000000000002"/>
    <n v="395.9"/>
    <n v="1499.4"/>
    <n v="11861.12"/>
    <n v="-5374.75"/>
    <n v="1159.3599999999999"/>
    <n v="15984.29"/>
    <n v="-6534.11"/>
  </r>
  <r>
    <x v="2"/>
    <x v="1"/>
    <x v="0"/>
    <s v="2460200"/>
    <n v="450040"/>
    <s v="Contr Allow--Phys Svcs--Managed Care"/>
    <s v="FMC-Seahurst IM"/>
    <x v="0"/>
    <n v="1400"/>
    <n v="10799.3"/>
    <n v="5141.3599999999997"/>
    <n v="3372.15"/>
    <n v="4419.42"/>
    <n v="7195.15"/>
    <n v="4633.47"/>
    <n v="4787.09"/>
    <n v="3699.7"/>
    <n v="7331.83"/>
    <n v="4244.03"/>
    <n v="5728.44"/>
    <n v="6151.21"/>
    <n v="67503.150000000009"/>
    <n v="-422.77000000000044"/>
  </r>
  <r>
    <x v="2"/>
    <x v="1"/>
    <x v="0"/>
    <s v="2460200"/>
    <n v="450040"/>
    <s v="Contr Allow--Phys Svcs--BCBS Mgnd Care"/>
    <s v="FMC-Seahurst IM"/>
    <x v="0"/>
    <n v="1401"/>
    <n v="-20604"/>
    <n v="-2104.3200000000002"/>
    <n v="-9269.0300000000007"/>
    <n v="5626.08"/>
    <n v="-9268.5"/>
    <n v="8786.43"/>
    <n v="-90.55"/>
    <n v="10647.14"/>
    <n v="-12107.04"/>
    <n v="3568.35"/>
    <n v="183.47"/>
    <n v="-741.52"/>
    <n v="-25373.489999999998"/>
    <n v="924.99"/>
  </r>
  <r>
    <x v="2"/>
    <x v="1"/>
    <x v="0"/>
    <s v="2460200"/>
    <n v="450040"/>
    <s v="Prompt Pay Disc-Phys Svcs-Self Pay"/>
    <s v="FMC-Seahurst IM"/>
    <x v="0"/>
    <n v="1500"/>
    <n v="0"/>
    <n v="0"/>
    <n v="0"/>
    <n v="0"/>
    <n v="0"/>
    <n v="0"/>
    <n v="0"/>
    <n v="0"/>
    <n v="0"/>
    <n v="63"/>
    <n v="0"/>
    <n v="0"/>
    <n v="63"/>
    <n v="0"/>
  </r>
  <r>
    <x v="2"/>
    <x v="1"/>
    <x v="0"/>
    <s v="2460200"/>
    <n v="450040"/>
    <s v="Admin Adjust-Phys Svcs-Self Pay"/>
    <s v="FMC-Seahurst IM"/>
    <x v="0"/>
    <n v="1600"/>
    <n v="772.17"/>
    <n v="268.8"/>
    <n v="362.43"/>
    <n v="334.11"/>
    <n v="328.41"/>
    <n v="238.51"/>
    <n v="304.77999999999997"/>
    <n v="7.42"/>
    <n v="264.98"/>
    <n v="220.96"/>
    <n v="362.91"/>
    <n v="294.73"/>
    <n v="3760.21"/>
    <n v="68.180000000000007"/>
  </r>
  <r>
    <x v="2"/>
    <x v="1"/>
    <x v="0"/>
    <s v="2460200"/>
    <n v="450040"/>
    <s v="Contr Allow--Phys Svcs--Other"/>
    <s v="FMC-Seahurst IM"/>
    <x v="0"/>
    <n v="1700"/>
    <n v="237.05"/>
    <n v="186.3"/>
    <n v="0"/>
    <n v="239.05"/>
    <n v="256.63"/>
    <n v="176.78"/>
    <n v="0"/>
    <n v="0"/>
    <n v="768.44"/>
    <n v="0"/>
    <n v="0"/>
    <n v="0"/>
    <n v="1864.2500000000002"/>
    <n v="0"/>
  </r>
  <r>
    <x v="3"/>
    <x v="1"/>
    <x v="0"/>
    <s v="2460200"/>
    <n v="470040"/>
    <s v="Charity Care-Physician Svcs"/>
    <s v="FMC-Seahurst IM"/>
    <x v="0"/>
    <m/>
    <n v="-361.92"/>
    <n v="829.72"/>
    <n v="99.18"/>
    <n v="175.2"/>
    <n v="-248.27"/>
    <n v="1027.8"/>
    <n v="-73.3"/>
    <n v="170.1"/>
    <n v="-91.26"/>
    <n v="23.89"/>
    <n v="-220.37"/>
    <n v="313.52"/>
    <n v="1644.29"/>
    <n v="-533.89"/>
  </r>
  <r>
    <x v="4"/>
    <x v="1"/>
    <x v="0"/>
    <s v="2460200"/>
    <n v="490010"/>
    <s v="Provision for Bad Debts"/>
    <s v="FMC-Seahurst IM"/>
    <x v="0"/>
    <m/>
    <n v="-2984.51"/>
    <n v="552.34"/>
    <n v="-1650.47"/>
    <n v="850.56"/>
    <n v="995.24"/>
    <n v="256.77"/>
    <n v="93.51"/>
    <n v="1546.58"/>
    <n v="-321.18"/>
    <n v="1296.47"/>
    <n v="957.65"/>
    <n v="414.31"/>
    <n v="2007.2699999999995"/>
    <n v="543.33999999999992"/>
  </r>
  <r>
    <x v="5"/>
    <x v="1"/>
    <x v="0"/>
    <s v="2460200"/>
    <n v="700022"/>
    <s v="Salaries-Physician-Productive"/>
    <s v="FMC-Seahurst IM"/>
    <x v="0"/>
    <m/>
    <n v="22011.26"/>
    <n v="27975.15"/>
    <n v="15866.25"/>
    <n v="20778.75"/>
    <n v="22589.279999999999"/>
    <n v="20899.2"/>
    <n v="19047.689999999999"/>
    <n v="20580.5"/>
    <n v="18727.259999999998"/>
    <n v="20808.07"/>
    <n v="24289.81"/>
    <n v="19034.55"/>
    <n v="252607.77"/>
    <n v="5255.260000000002"/>
  </r>
  <r>
    <x v="5"/>
    <x v="1"/>
    <x v="0"/>
    <s v="2460200"/>
    <n v="700024"/>
    <s v="Salaries-Advanced Practice Clinician-Productive"/>
    <s v="FMC-Seahurst IM"/>
    <x v="0"/>
    <m/>
    <n v="4946.84"/>
    <n v="0"/>
    <n v="0"/>
    <n v="0"/>
    <n v="0"/>
    <n v="0"/>
    <n v="0"/>
    <n v="0"/>
    <n v="0"/>
    <n v="0"/>
    <n v="0"/>
    <n v="0"/>
    <n v="4946.84"/>
    <n v="0"/>
  </r>
  <r>
    <x v="5"/>
    <x v="1"/>
    <x v="0"/>
    <s v="2460200"/>
    <n v="700032"/>
    <s v="Salaries-Other Pat Care Providers-Productive"/>
    <s v="FMC-Seahurst IM"/>
    <x v="0"/>
    <m/>
    <n v="2984.28"/>
    <n v="3063.19"/>
    <n v="2190.38"/>
    <n v="3364.79"/>
    <n v="2788.83"/>
    <n v="-806.85"/>
    <n v="264.69"/>
    <n v="0"/>
    <n v="0"/>
    <n v="0"/>
    <n v="0"/>
    <n v="0"/>
    <n v="13849.31"/>
    <n v="0"/>
  </r>
  <r>
    <x v="5"/>
    <x v="1"/>
    <x v="0"/>
    <s v="2460200"/>
    <n v="700032"/>
    <s v="Salaries-Other Pat Care Providers-OT"/>
    <s v="FMC-Seahurst IM"/>
    <x v="0"/>
    <n v="1000"/>
    <n v="8.6"/>
    <n v="27.27"/>
    <n v="0"/>
    <n v="180.92"/>
    <n v="71.28"/>
    <n v="-44.55"/>
    <n v="0"/>
    <n v="0"/>
    <n v="0"/>
    <n v="0"/>
    <n v="0"/>
    <n v="0"/>
    <n v="243.51999999999998"/>
    <n v="0"/>
  </r>
  <r>
    <x v="5"/>
    <x v="1"/>
    <x v="0"/>
    <s v="2460200"/>
    <n v="700054"/>
    <s v="Salaries-Management-NonProd-Other"/>
    <s v="FMC-Seahurst IM"/>
    <x v="0"/>
    <n v="2000"/>
    <n v="0"/>
    <n v="0"/>
    <n v="0"/>
    <n v="0"/>
    <n v="0"/>
    <n v="1976.29"/>
    <n v="-1976.29"/>
    <n v="0"/>
    <n v="0"/>
    <n v="0"/>
    <n v="0"/>
    <n v="0"/>
    <n v="0"/>
    <n v="0"/>
  </r>
  <r>
    <x v="5"/>
    <x v="1"/>
    <x v="0"/>
    <s v="2460200"/>
    <n v="700062"/>
    <s v="Salaries-Physician-Non-productive"/>
    <s v="FMC-Seahurst IM"/>
    <x v="0"/>
    <m/>
    <n v="0"/>
    <n v="6825"/>
    <n v="6825"/>
    <n v="1680"/>
    <n v="409.92"/>
    <n v="1044.96"/>
    <n v="5023.1400000000003"/>
    <n v="203.22"/>
    <n v="3121.2"/>
    <n v="2080.8000000000002"/>
    <n v="0"/>
    <n v="2113.7600000000002"/>
    <n v="29327"/>
    <n v="-2113.7600000000002"/>
  </r>
  <r>
    <x v="5"/>
    <x v="1"/>
    <x v="0"/>
    <s v="2460200"/>
    <n v="700062"/>
    <s v="Salaries-Physician-NonProd-Other"/>
    <s v="FMC-Seahurst I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60200"/>
    <n v="700072"/>
    <s v="Salaries-Other Pat Care Providers-Non-productive"/>
    <s v="FMC-Seahurst IM"/>
    <x v="0"/>
    <m/>
    <n v="167.39"/>
    <n v="485.42"/>
    <n v="535.64"/>
    <n v="347.27"/>
    <n v="695.97"/>
    <n v="-133.65"/>
    <n v="0"/>
    <n v="0"/>
    <n v="0"/>
    <n v="0"/>
    <n v="0"/>
    <n v="0"/>
    <n v="2098.0399999999995"/>
    <n v="0"/>
  </r>
  <r>
    <x v="5"/>
    <x v="1"/>
    <x v="0"/>
    <s v="2460200"/>
    <n v="700072"/>
    <s v="Salaries-Other Pat Care Providers-NonProd-Other"/>
    <s v="FMC-Seahurst I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60200"/>
    <n v="700084"/>
    <s v="Accrued PTO"/>
    <s v="FMC-Seahurst IM"/>
    <x v="0"/>
    <m/>
    <n v="99.05"/>
    <n v="-96.42"/>
    <n v="-22.38"/>
    <n v="31.7"/>
    <n v="-27.72"/>
    <n v="-151.66"/>
    <n v="0"/>
    <n v="0"/>
    <n v="0"/>
    <n v="0"/>
    <n v="0"/>
    <n v="0"/>
    <n v="-167.43"/>
    <n v="0"/>
  </r>
  <r>
    <x v="6"/>
    <x v="1"/>
    <x v="0"/>
    <s v="2460200"/>
    <n v="713010"/>
    <s v="Benefits-FICA/Medicare"/>
    <s v="FMC-Seahurst IM"/>
    <x v="0"/>
    <m/>
    <n v="907.75"/>
    <n v="1178.55"/>
    <n v="593.65"/>
    <n v="496.21"/>
    <n v="584.16"/>
    <n v="1089.4100000000001"/>
    <n v="1979.03"/>
    <n v="1560.79"/>
    <n v="1640.77"/>
    <n v="1718.91"/>
    <n v="1824.59"/>
    <n v="884.65"/>
    <n v="14458.47"/>
    <n v="939.93999999999994"/>
  </r>
  <r>
    <x v="6"/>
    <x v="1"/>
    <x v="0"/>
    <s v="2460200"/>
    <n v="713090"/>
    <s v="Benefits-Allocated Amounts"/>
    <s v="FMC-Seahurst IM"/>
    <x v="0"/>
    <m/>
    <n v="0"/>
    <n v="0"/>
    <n v="0"/>
    <n v="0"/>
    <n v="0"/>
    <n v="0"/>
    <n v="0"/>
    <n v="0"/>
    <n v="9801.2199999999993"/>
    <n v="879.21"/>
    <n v="886.33"/>
    <n v="694.91"/>
    <n v="12261.67"/>
    <n v="191.42000000000007"/>
  </r>
  <r>
    <x v="6"/>
    <x v="1"/>
    <x v="0"/>
    <s v="2460200"/>
    <n v="713092"/>
    <s v="Allocated Benefits-Physician"/>
    <s v="FMC-Seahurst IM"/>
    <x v="0"/>
    <m/>
    <n v="2409.14"/>
    <n v="2478.59"/>
    <n v="2023.03"/>
    <n v="1981.42"/>
    <n v="2099.3200000000002"/>
    <n v="1175.0899999999999"/>
    <n v="1876.12"/>
    <n v="1545.28"/>
    <n v="-2439.86"/>
    <n v="1179.43"/>
    <n v="1188.99"/>
    <n v="932.21"/>
    <n v="16448.759999999998"/>
    <n v="256.77999999999997"/>
  </r>
  <r>
    <x v="6"/>
    <x v="1"/>
    <x v="0"/>
    <s v="2460200"/>
    <n v="713093"/>
    <s v="Allocated Benefits-Advanced Practice Clinician"/>
    <s v="FMC-Seahurst IM"/>
    <x v="0"/>
    <m/>
    <n v="880.88"/>
    <n v="906.28"/>
    <n v="739.71"/>
    <n v="724.49"/>
    <n v="767.6"/>
    <n v="429.66"/>
    <n v="686"/>
    <n v="565.01"/>
    <n v="-5124.8500000000004"/>
    <n v="51.56"/>
    <n v="51.98"/>
    <n v="40.75"/>
    <n v="719.06999999999971"/>
    <n v="11.229999999999997"/>
  </r>
  <r>
    <x v="0"/>
    <x v="1"/>
    <x v="0"/>
    <s v="2460200"/>
    <n v="740022"/>
    <s v="Education-Physician"/>
    <s v="FMC-Seahurst IM"/>
    <x v="0"/>
    <m/>
    <n v="0"/>
    <n v="0"/>
    <n v="0"/>
    <n v="0"/>
    <n v="0"/>
    <n v="200"/>
    <n v="0"/>
    <n v="0"/>
    <n v="0"/>
    <n v="0"/>
    <n v="0"/>
    <n v="0"/>
    <n v="200"/>
    <n v="0"/>
  </r>
  <r>
    <x v="8"/>
    <x v="1"/>
    <x v="0"/>
    <s v="2460200"/>
    <n v="741012"/>
    <s v="Physician Liab Insurance-CHI Program"/>
    <s v="FMC-Seahurst IM"/>
    <x v="0"/>
    <m/>
    <n v="1136.8"/>
    <n v="1136.8"/>
    <n v="1136.8"/>
    <n v="1136.8"/>
    <n v="1136.81"/>
    <n v="568.39"/>
    <n v="568.41"/>
    <n v="568.39"/>
    <n v="475.76"/>
    <n v="473.66"/>
    <n v="473.67"/>
    <n v="473.66"/>
    <n v="9285.9500000000007"/>
    <n v="9.9999999999909051E-3"/>
  </r>
  <r>
    <x v="0"/>
    <x v="1"/>
    <x v="0"/>
    <s v="2460200"/>
    <n v="749510"/>
    <s v="Miscellaneous Expenses"/>
    <s v="FMC-Seahurst IM"/>
    <x v="0"/>
    <m/>
    <n v="0"/>
    <n v="0"/>
    <n v="1514.57"/>
    <n v="-1514.57"/>
    <n v="0"/>
    <n v="0"/>
    <n v="1388"/>
    <n v="-731"/>
    <n v="-657"/>
    <n v="0"/>
    <n v="0"/>
    <n v="0"/>
    <n v="0"/>
    <n v="0"/>
  </r>
  <r>
    <x v="0"/>
    <x v="1"/>
    <x v="0"/>
    <s v="2460200"/>
    <n v="749512"/>
    <s v="Licenses-Physician"/>
    <s v="FMC-Seahurst IM"/>
    <x v="0"/>
    <n v="2000"/>
    <n v="0"/>
    <n v="0"/>
    <n v="0"/>
    <n v="0"/>
    <n v="0"/>
    <n v="0"/>
    <n v="0"/>
    <n v="1388"/>
    <n v="657"/>
    <n v="0"/>
    <n v="0"/>
    <n v="0"/>
    <n v="2045"/>
    <n v="0"/>
  </r>
  <r>
    <x v="0"/>
    <x v="1"/>
    <x v="0"/>
    <s v="2460200"/>
    <n v="749532"/>
    <s v="Travel-Physician"/>
    <s v="FMC-Seahurst IM"/>
    <x v="0"/>
    <m/>
    <n v="0"/>
    <n v="0"/>
    <n v="0"/>
    <n v="1352.1"/>
    <n v="0"/>
    <n v="1281.8800000000001"/>
    <n v="0"/>
    <n v="0"/>
    <n v="0"/>
    <n v="0"/>
    <n v="0"/>
    <n v="0"/>
    <n v="2633.98"/>
    <n v="0"/>
  </r>
  <r>
    <x v="0"/>
    <x v="1"/>
    <x v="0"/>
    <s v="2460200"/>
    <n v="749535"/>
    <s v="Meetings"/>
    <s v="FMC-Seahurst IM"/>
    <x v="0"/>
    <m/>
    <n v="0"/>
    <n v="0"/>
    <n v="0"/>
    <n v="162.47"/>
    <n v="0"/>
    <n v="0"/>
    <n v="0"/>
    <n v="0"/>
    <n v="0"/>
    <n v="0"/>
    <n v="0"/>
    <n v="0"/>
    <n v="162.47"/>
    <n v="0"/>
  </r>
  <r>
    <x v="1"/>
    <x v="1"/>
    <x v="0"/>
    <s v="2470200"/>
    <n v="400029"/>
    <s v="MD Practice Other Rev--Medicare"/>
    <s v="Internal Medicine BI-HHP"/>
    <x v="0"/>
    <n v="1100"/>
    <n v="-1600"/>
    <n v="-810"/>
    <n v="-618"/>
    <n v="-946"/>
    <n v="-852"/>
    <n v="-957"/>
    <n v="-962"/>
    <n v="-734"/>
    <n v="-820"/>
    <n v="-646"/>
    <n v="-935"/>
    <n v="-1476"/>
    <n v="-11356"/>
    <n v="541"/>
  </r>
  <r>
    <x v="1"/>
    <x v="1"/>
    <x v="0"/>
    <s v="2470200"/>
    <n v="400029"/>
    <s v="MD Practice Other Rev--Medicaid"/>
    <s v="Internal Medicine BI-HHP"/>
    <x v="0"/>
    <n v="1200"/>
    <n v="-977"/>
    <n v="-467"/>
    <n v="-470"/>
    <n v="-614"/>
    <n v="-736"/>
    <n v="-384"/>
    <n v="-1037"/>
    <n v="-862"/>
    <n v="-548"/>
    <n v="-779"/>
    <n v="-373"/>
    <n v="-611"/>
    <n v="-7858"/>
    <n v="238"/>
  </r>
  <r>
    <x v="1"/>
    <x v="1"/>
    <x v="0"/>
    <s v="2470200"/>
    <n v="400029"/>
    <s v="MD Practice Other Rev--Comm Insurance"/>
    <s v="Internal Medicine BI-HHP"/>
    <x v="0"/>
    <n v="1300"/>
    <n v="-51"/>
    <n v="0"/>
    <n v="0"/>
    <n v="-51"/>
    <n v="0"/>
    <n v="-19"/>
    <n v="0"/>
    <n v="-126"/>
    <n v="-51"/>
    <n v="-24"/>
    <n v="-51"/>
    <n v="-129"/>
    <n v="-502"/>
    <n v="78"/>
  </r>
  <r>
    <x v="1"/>
    <x v="1"/>
    <x v="0"/>
    <s v="2470200"/>
    <n v="400029"/>
    <s v="MD Practice Other Rev--BCBS Comm"/>
    <s v="Internal Medicine BI-HHP"/>
    <x v="0"/>
    <n v="1301"/>
    <n v="-580"/>
    <n v="-269"/>
    <n v="-411"/>
    <n v="-542"/>
    <n v="-513"/>
    <n v="-940"/>
    <n v="-654"/>
    <n v="-511"/>
    <n v="-487"/>
    <n v="-453"/>
    <n v="-502"/>
    <n v="-488"/>
    <n v="-6350"/>
    <n v="-14"/>
  </r>
  <r>
    <x v="1"/>
    <x v="1"/>
    <x v="0"/>
    <s v="2470200"/>
    <n v="400029"/>
    <s v="MD Practice Other Rev--Managed Care"/>
    <s v="Internal Medicine BI-HHP"/>
    <x v="0"/>
    <n v="1400"/>
    <n v="-1175"/>
    <n v="-1228"/>
    <n v="-728"/>
    <n v="-923"/>
    <n v="-1224"/>
    <n v="-1402"/>
    <n v="-1002"/>
    <n v="-1382"/>
    <n v="-1162"/>
    <n v="-987"/>
    <n v="-1129"/>
    <n v="-1127"/>
    <n v="-13469"/>
    <n v="-2"/>
  </r>
  <r>
    <x v="1"/>
    <x v="1"/>
    <x v="0"/>
    <s v="2470200"/>
    <n v="400029"/>
    <s v="MD Practice Other Rev--Self Pay"/>
    <s v="Internal Medicine BI-HHP"/>
    <x v="0"/>
    <n v="1500"/>
    <n v="-75"/>
    <n v="-236"/>
    <n v="0"/>
    <n v="-110"/>
    <n v="0"/>
    <n v="0"/>
    <n v="-51"/>
    <n v="-51"/>
    <n v="-84"/>
    <n v="-16"/>
    <n v="-102"/>
    <n v="0"/>
    <n v="-725"/>
    <n v="-102"/>
  </r>
  <r>
    <x v="1"/>
    <x v="1"/>
    <x v="0"/>
    <s v="2470200"/>
    <n v="400029"/>
    <s v="MD Practice Other Rev--Other"/>
    <s v="Internal Medicine BI-HHP"/>
    <x v="0"/>
    <n v="1700"/>
    <n v="-445"/>
    <n v="-252"/>
    <n v="-396"/>
    <n v="-184"/>
    <n v="-475"/>
    <n v="-195"/>
    <n v="-308"/>
    <n v="-770"/>
    <n v="-573"/>
    <n v="-293"/>
    <n v="-211"/>
    <n v="-364"/>
    <n v="-4466"/>
    <n v="153"/>
  </r>
  <r>
    <x v="1"/>
    <x v="1"/>
    <x v="0"/>
    <s v="2470200"/>
    <n v="400040"/>
    <s v="Physician Svcs Rev--Medicare"/>
    <s v="Internal Medicine BI-HHP"/>
    <x v="0"/>
    <n v="1100"/>
    <n v="-56743"/>
    <n v="-49327"/>
    <n v="-40706"/>
    <n v="-46624"/>
    <n v="-44231"/>
    <n v="-40745"/>
    <n v="-79387"/>
    <n v="-51845.5"/>
    <n v="-50735"/>
    <n v="-41460"/>
    <n v="-43588"/>
    <n v="-37996"/>
    <n v="-583387.5"/>
    <n v="-5592"/>
  </r>
  <r>
    <x v="1"/>
    <x v="1"/>
    <x v="0"/>
    <s v="2470200"/>
    <n v="400040"/>
    <s v="Physician Svcs Rev--Medicaid"/>
    <s v="Internal Medicine BI-HHP"/>
    <x v="0"/>
    <n v="1200"/>
    <n v="-58885.56"/>
    <n v="-35431.58"/>
    <n v="-43707.88"/>
    <n v="-58428.81"/>
    <n v="-35915.040000000001"/>
    <n v="-40473.24"/>
    <n v="-49623.96"/>
    <n v="-37032.49"/>
    <n v="-38330.050000000003"/>
    <n v="-39589.919999999998"/>
    <n v="-25818.240000000002"/>
    <n v="-30185.96"/>
    <n v="-493422.73"/>
    <n v="4367.7199999999975"/>
  </r>
  <r>
    <x v="1"/>
    <x v="1"/>
    <x v="0"/>
    <s v="2470200"/>
    <n v="400040"/>
    <s v="Physician Svcs Rev--Comm Insurance"/>
    <s v="Internal Medicine BI-HHP"/>
    <x v="0"/>
    <n v="1300"/>
    <n v="-355"/>
    <n v="-951"/>
    <n v="-1773"/>
    <n v="-1202.1300000000001"/>
    <n v="-3394"/>
    <n v="-2249"/>
    <n v="-1115"/>
    <n v="-2698"/>
    <n v="-3771"/>
    <n v="-2301.52"/>
    <n v="-1999"/>
    <n v="-756"/>
    <n v="-22564.65"/>
    <n v="-1243"/>
  </r>
  <r>
    <x v="1"/>
    <x v="1"/>
    <x v="0"/>
    <s v="2470200"/>
    <n v="400040"/>
    <s v="Physician Svcs Rev--BCBS Comm"/>
    <s v="Internal Medicine BI-HHP"/>
    <x v="0"/>
    <n v="1301"/>
    <n v="-18427.43"/>
    <n v="-16128.43"/>
    <n v="-13726"/>
    <n v="-22656.240000000002"/>
    <n v="-16099"/>
    <n v="-15836.21"/>
    <n v="-22452.29"/>
    <n v="-18455.13"/>
    <n v="-17239"/>
    <n v="-11428"/>
    <n v="-12933.51"/>
    <n v="-11286"/>
    <n v="-196667.24000000002"/>
    <n v="-1647.5100000000002"/>
  </r>
  <r>
    <x v="1"/>
    <x v="1"/>
    <x v="0"/>
    <s v="2470200"/>
    <n v="400040"/>
    <s v="Physician Svcs Rev--Managed Care"/>
    <s v="Internal Medicine BI-HHP"/>
    <x v="0"/>
    <n v="1400"/>
    <n v="-32635.91"/>
    <n v="-29060.35"/>
    <n v="-30150.639999999999"/>
    <n v="-46346.559999999998"/>
    <n v="-33454.160000000003"/>
    <n v="-32604.55"/>
    <n v="-31883.52"/>
    <n v="-32282.99"/>
    <n v="-33625.97"/>
    <n v="-24749"/>
    <n v="-26696"/>
    <n v="-25110.75"/>
    <n v="-378600.4"/>
    <n v="-1585.25"/>
  </r>
  <r>
    <x v="1"/>
    <x v="1"/>
    <x v="0"/>
    <s v="2470200"/>
    <n v="400040"/>
    <s v="Physician Svcs Rev--Self Pay"/>
    <s v="Internal Medicine BI-HHP"/>
    <x v="0"/>
    <n v="1500"/>
    <n v="-5026"/>
    <n v="-3037"/>
    <n v="-1534"/>
    <n v="-703"/>
    <n v="-1030"/>
    <n v="-850"/>
    <n v="-2850"/>
    <n v="-1874"/>
    <n v="-526"/>
    <n v="-972"/>
    <n v="-1308"/>
    <n v="-2437"/>
    <n v="-22147"/>
    <n v="1129"/>
  </r>
  <r>
    <x v="1"/>
    <x v="1"/>
    <x v="0"/>
    <s v="2470200"/>
    <n v="400040"/>
    <s v="Physician Svcs Rev--Other"/>
    <s v="Internal Medicine BI-HHP"/>
    <x v="0"/>
    <n v="1700"/>
    <n v="-21462.82"/>
    <n v="-19806.75"/>
    <n v="-22215.53"/>
    <n v="-28590.18"/>
    <n v="-23189.21"/>
    <n v="-12468.31"/>
    <n v="-19759.53"/>
    <n v="-13628.53"/>
    <n v="-15380.69"/>
    <n v="-12270.71"/>
    <n v="-10052.35"/>
    <n v="-14303.71"/>
    <n v="-213128.31999999998"/>
    <n v="4251.3599999999988"/>
  </r>
  <r>
    <x v="2"/>
    <x v="1"/>
    <x v="0"/>
    <s v="2470200"/>
    <n v="450029"/>
    <s v="Contr Allow--MD Other-Medicare"/>
    <s v="Internal Medicine BI-HHP"/>
    <x v="0"/>
    <n v="1100"/>
    <n v="999.88"/>
    <n v="741.49"/>
    <n v="530.15"/>
    <n v="392.23"/>
    <n v="670.55"/>
    <n v="418.93"/>
    <n v="623.42999999999995"/>
    <n v="730"/>
    <n v="502.93"/>
    <n v="651.86"/>
    <n v="585.78"/>
    <n v="679.16"/>
    <n v="7526.3899999999994"/>
    <n v="-93.38"/>
  </r>
  <r>
    <x v="2"/>
    <x v="1"/>
    <x v="0"/>
    <s v="2470200"/>
    <n v="450029"/>
    <s v="Contr Allow--MD Other-Medicaid"/>
    <s v="Internal Medicine BI-HHP"/>
    <x v="0"/>
    <n v="1200"/>
    <n v="826.01"/>
    <n v="503.1"/>
    <n v="564.41999999999996"/>
    <n v="334.22"/>
    <n v="439.63"/>
    <n v="434.09"/>
    <n v="348.2"/>
    <n v="744.15"/>
    <n v="534.19000000000005"/>
    <n v="505.43"/>
    <n v="414.68"/>
    <n v="336.83"/>
    <n v="5984.9500000000007"/>
    <n v="77.850000000000023"/>
  </r>
  <r>
    <x v="2"/>
    <x v="1"/>
    <x v="0"/>
    <s v="2470200"/>
    <n v="450029"/>
    <s v="Contr Allow--MD Other-Comm Insurance"/>
    <s v="Internal Medicine BI-HHP"/>
    <x v="0"/>
    <n v="1300"/>
    <n v="0"/>
    <n v="31.23"/>
    <n v="0"/>
    <n v="0"/>
    <n v="31.23"/>
    <n v="6.35"/>
    <n v="6.22"/>
    <n v="0"/>
    <n v="31.23"/>
    <n v="6.35"/>
    <n v="0"/>
    <n v="64.8"/>
    <n v="177.41"/>
    <n v="-64.8"/>
  </r>
  <r>
    <x v="2"/>
    <x v="1"/>
    <x v="0"/>
    <s v="2470200"/>
    <n v="450029"/>
    <s v="Contr Allow--MD Other BCBS Comm"/>
    <s v="Internal Medicine BI-HHP"/>
    <x v="0"/>
    <n v="1301"/>
    <n v="537.97"/>
    <n v="276.54000000000002"/>
    <n v="222.18"/>
    <n v="168.07"/>
    <n v="398.19"/>
    <n v="469.74"/>
    <n v="527.28"/>
    <n v="433.8"/>
    <n v="204.73"/>
    <n v="489.22"/>
    <n v="239.94"/>
    <n v="239.21"/>
    <n v="4206.87"/>
    <n v="0.72999999999998977"/>
  </r>
  <r>
    <x v="2"/>
    <x v="1"/>
    <x v="0"/>
    <s v="2470200"/>
    <n v="450029"/>
    <s v="Contr Allow--MD Other-Managed Care"/>
    <s v="Internal Medicine BI-HHP"/>
    <x v="0"/>
    <n v="1400"/>
    <n v="584.94000000000005"/>
    <n v="945.04"/>
    <n v="502.47"/>
    <n v="561.47"/>
    <n v="566.97"/>
    <n v="790.06"/>
    <n v="336.08"/>
    <n v="748.8"/>
    <n v="806.39"/>
    <n v="881.22"/>
    <n v="617.4"/>
    <n v="512.07000000000005"/>
    <n v="7852.9100000000008"/>
    <n v="105.32999999999993"/>
  </r>
  <r>
    <x v="2"/>
    <x v="1"/>
    <x v="0"/>
    <s v="2470200"/>
    <n v="450029"/>
    <s v="Admin Adjust-MD Other-Self Pay"/>
    <s v="Internal Medicine BI-HHP"/>
    <x v="0"/>
    <n v="1600"/>
    <n v="27.97"/>
    <n v="125.56"/>
    <n v="153"/>
    <n v="93.85"/>
    <n v="0"/>
    <n v="0"/>
    <n v="26.87"/>
    <n v="35.08"/>
    <n v="32.869999999999997"/>
    <n v="8.77"/>
    <n v="61.44"/>
    <n v="3.48"/>
    <n v="568.89"/>
    <n v="57.96"/>
  </r>
  <r>
    <x v="2"/>
    <x v="1"/>
    <x v="0"/>
    <s v="2470200"/>
    <n v="450029"/>
    <s v="Contr Allow--MD Other-Other"/>
    <s v="Internal Medicine BI-HHP"/>
    <x v="0"/>
    <n v="1700"/>
    <n v="433.41"/>
    <n v="238.63"/>
    <n v="144.75"/>
    <n v="467.32"/>
    <n v="41.82"/>
    <n v="16.09"/>
    <n v="118.05"/>
    <n v="735"/>
    <n v="293.82"/>
    <n v="460.4"/>
    <n v="173.79"/>
    <n v="158.54"/>
    <n v="3281.62"/>
    <n v="15.25"/>
  </r>
  <r>
    <x v="2"/>
    <x v="1"/>
    <x v="0"/>
    <s v="2470200"/>
    <n v="450040"/>
    <s v="Contr Allow--Phys Svcs--Mcare"/>
    <s v="Internal Medicine BI-HHP"/>
    <x v="0"/>
    <n v="1100"/>
    <n v="28165.11"/>
    <n v="27638.17"/>
    <n v="30240.35"/>
    <n v="32079.79"/>
    <n v="28069.32"/>
    <n v="26514.6"/>
    <n v="33354.76"/>
    <n v="38244.69"/>
    <n v="30928.71"/>
    <n v="33975.51"/>
    <n v="25136.89"/>
    <n v="26118.74"/>
    <n v="360466.64000000007"/>
    <n v="-981.85000000000218"/>
  </r>
  <r>
    <x v="2"/>
    <x v="1"/>
    <x v="0"/>
    <s v="2470200"/>
    <n v="450040"/>
    <s v="Contr Allow--Phys Svcs--Mcaid"/>
    <s v="Internal Medicine BI-HHP"/>
    <x v="0"/>
    <n v="1200"/>
    <n v="29192.95"/>
    <n v="31527.48"/>
    <n v="40708.160000000003"/>
    <n v="41078.19"/>
    <n v="30338.959999999999"/>
    <n v="27304.39"/>
    <n v="34591.120000000003"/>
    <n v="23957.38"/>
    <n v="26829.61"/>
    <n v="32413.23"/>
    <n v="22349.39"/>
    <n v="17168.72"/>
    <n v="357459.57999999996"/>
    <n v="5180.6699999999983"/>
  </r>
  <r>
    <x v="2"/>
    <x v="1"/>
    <x v="0"/>
    <s v="2470200"/>
    <n v="450040"/>
    <s v="Contr Allow--Phys Svcs--Comm Insurance"/>
    <s v="Internal Medicine BI-HHP"/>
    <x v="0"/>
    <n v="1300"/>
    <n v="91.04"/>
    <n v="114.13"/>
    <n v="232.84"/>
    <n v="424.18"/>
    <n v="313.70999999999998"/>
    <n v="846.44"/>
    <n v="679.52"/>
    <n v="585.39"/>
    <n v="447.29"/>
    <n v="377.69"/>
    <n v="318.2"/>
    <n v="836.38"/>
    <n v="5266.8099999999995"/>
    <n v="-518.18000000000006"/>
  </r>
  <r>
    <x v="2"/>
    <x v="1"/>
    <x v="0"/>
    <s v="2470200"/>
    <n v="450040"/>
    <s v="Contr Allow--Phys Svcs--BCBS Comm Ins"/>
    <s v="Internal Medicine BI-HHP"/>
    <x v="0"/>
    <n v="1301"/>
    <n v="9116.73"/>
    <n v="7576.11"/>
    <n v="9716.99"/>
    <n v="3054.43"/>
    <n v="15431.78"/>
    <n v="8704.9699999999993"/>
    <n v="9212.0400000000009"/>
    <n v="9220.17"/>
    <n v="10828.52"/>
    <n v="7482"/>
    <n v="6624.82"/>
    <n v="5214.8599999999997"/>
    <n v="102183.42"/>
    <n v="1409.96"/>
  </r>
  <r>
    <x v="2"/>
    <x v="1"/>
    <x v="0"/>
    <s v="2470200"/>
    <n v="450040"/>
    <s v="Contr Allow--Phys Svcs--Managed Care"/>
    <s v="Internal Medicine BI-HHP"/>
    <x v="0"/>
    <n v="1400"/>
    <n v="11008.06"/>
    <n v="13218.28"/>
    <n v="13304.37"/>
    <n v="15998.86"/>
    <n v="15636.52"/>
    <n v="11670.8"/>
    <n v="10771.46"/>
    <n v="12626.26"/>
    <n v="15502.17"/>
    <n v="13105.31"/>
    <n v="8104.18"/>
    <n v="9669.61"/>
    <n v="150615.88"/>
    <n v="-1565.4300000000003"/>
  </r>
  <r>
    <x v="2"/>
    <x v="1"/>
    <x v="0"/>
    <s v="2470200"/>
    <n v="450040"/>
    <s v="Contr Allow--Phys Svcs--BCBS Mgnd Care"/>
    <s v="Internal Medicine BI-HHP"/>
    <x v="0"/>
    <n v="1401"/>
    <n v="24270.76"/>
    <n v="-690.23"/>
    <n v="-10071.16"/>
    <n v="7979.94"/>
    <n v="-2693.63"/>
    <n v="7094.6"/>
    <n v="25779.73"/>
    <n v="-10819.97"/>
    <n v="-6426.19"/>
    <n v="-20394.57"/>
    <n v="943.34"/>
    <n v="5864.82"/>
    <n v="20837.439999999991"/>
    <n v="-4921.4799999999996"/>
  </r>
  <r>
    <x v="2"/>
    <x v="1"/>
    <x v="0"/>
    <s v="2470200"/>
    <n v="450040"/>
    <s v="Admin Adjust-Phys Svcs-Self Pay"/>
    <s v="Internal Medicine BI-HHP"/>
    <x v="0"/>
    <n v="1600"/>
    <n v="2400.16"/>
    <n v="1242.29"/>
    <n v="713.89"/>
    <n v="411.54"/>
    <n v="470.28"/>
    <n v="373.68"/>
    <n v="1249.77"/>
    <n v="555.72"/>
    <n v="265.25"/>
    <n v="582.70000000000005"/>
    <n v="505.08"/>
    <n v="906.32"/>
    <n v="9676.68"/>
    <n v="-401.24000000000007"/>
  </r>
  <r>
    <x v="2"/>
    <x v="1"/>
    <x v="0"/>
    <s v="2470200"/>
    <n v="450040"/>
    <s v="Contr Allow--Phys Svcs--Other"/>
    <s v="Internal Medicine BI-HHP"/>
    <x v="0"/>
    <n v="1700"/>
    <n v="8194.43"/>
    <n v="12299.97"/>
    <n v="10937.59"/>
    <n v="20642.38"/>
    <n v="6213.75"/>
    <n v="4385.04"/>
    <n v="6865.66"/>
    <n v="22064.97"/>
    <n v="12199.13"/>
    <n v="10217.74"/>
    <n v="9556.2800000000007"/>
    <n v="6103.59"/>
    <n v="129680.53000000001"/>
    <n v="3452.6900000000005"/>
  </r>
  <r>
    <x v="3"/>
    <x v="1"/>
    <x v="0"/>
    <s v="2470200"/>
    <n v="470040"/>
    <s v="Charity Care-Physician Svcs"/>
    <s v="Internal Medicine BI-HHP"/>
    <x v="0"/>
    <m/>
    <n v="1057.51"/>
    <n v="986.87"/>
    <n v="236.09"/>
    <n v="353.44"/>
    <n v="-78.63"/>
    <n v="-83.9"/>
    <n v="894.14"/>
    <n v="-162.88"/>
    <n v="263.94"/>
    <n v="-403.05"/>
    <n v="-269.17"/>
    <n v="1142.57"/>
    <n v="3936.9299999999994"/>
    <n v="-1411.74"/>
  </r>
  <r>
    <x v="4"/>
    <x v="1"/>
    <x v="0"/>
    <s v="2470200"/>
    <n v="490010"/>
    <s v="Provision for Bad Debts"/>
    <s v="Internal Medicine BI-HHP"/>
    <x v="0"/>
    <m/>
    <n v="4244.53"/>
    <n v="790.61"/>
    <n v="1768.67"/>
    <n v="1411.71"/>
    <n v="1934.53"/>
    <n v="1857.98"/>
    <n v="4990.76"/>
    <n v="-2579.63"/>
    <n v="376.08"/>
    <n v="595.9"/>
    <n v="986.08"/>
    <n v="1160.8699999999999"/>
    <n v="17538.09"/>
    <n v="-174.78999999999985"/>
  </r>
  <r>
    <x v="5"/>
    <x v="1"/>
    <x v="0"/>
    <s v="2470200"/>
    <n v="700022"/>
    <s v="Salaries-Physician-Productive"/>
    <s v="Internal Medicine BI-HHP"/>
    <x v="0"/>
    <m/>
    <n v="38118.730000000003"/>
    <n v="32022.63"/>
    <n v="33940.449999999997"/>
    <n v="36513.26"/>
    <n v="41897.5"/>
    <n v="31408.26"/>
    <n v="40986.75"/>
    <n v="42127.48"/>
    <n v="41448.07"/>
    <n v="32243.72"/>
    <n v="21911.37"/>
    <n v="23518.45"/>
    <n v="416136.67"/>
    <n v="-1607.0800000000017"/>
  </r>
  <r>
    <x v="5"/>
    <x v="1"/>
    <x v="0"/>
    <s v="2470200"/>
    <n v="700022"/>
    <s v="Salaries-Physician-Other"/>
    <s v="Internal Medicine BI-HHP"/>
    <x v="0"/>
    <n v="2000"/>
    <n v="0"/>
    <n v="0"/>
    <n v="0"/>
    <n v="0"/>
    <n v="0"/>
    <n v="0"/>
    <n v="0"/>
    <n v="4483.88"/>
    <n v="0"/>
    <n v="0"/>
    <n v="0"/>
    <n v="0"/>
    <n v="4483.88"/>
    <n v="0"/>
  </r>
  <r>
    <x v="5"/>
    <x v="1"/>
    <x v="0"/>
    <s v="2470200"/>
    <n v="700022"/>
    <s v="Salaries-Physician-Provider Incentive"/>
    <s v="Internal Medicine BI-HHP"/>
    <x v="0"/>
    <n v="4003"/>
    <n v="0"/>
    <n v="0"/>
    <n v="0"/>
    <n v="0"/>
    <n v="0"/>
    <n v="0"/>
    <n v="0"/>
    <n v="8126.3"/>
    <n v="-4.76"/>
    <n v="0"/>
    <n v="0"/>
    <n v="0"/>
    <n v="8121.54"/>
    <n v="0"/>
  </r>
  <r>
    <x v="5"/>
    <x v="1"/>
    <x v="0"/>
    <s v="2470200"/>
    <n v="700026"/>
    <s v="Salaries-RN-Productive"/>
    <s v="Internal Medicine BI-HHP"/>
    <x v="0"/>
    <m/>
    <n v="6938.69"/>
    <n v="7092.35"/>
    <n v="6300.19"/>
    <n v="8105.01"/>
    <n v="7437.63"/>
    <n v="5463.41"/>
    <n v="7542.9"/>
    <n v="6660.67"/>
    <n v="2970.72"/>
    <n v="7559.73"/>
    <n v="7978.35"/>
    <n v="3642.84"/>
    <n v="77692.490000000005"/>
    <n v="4335.51"/>
  </r>
  <r>
    <x v="5"/>
    <x v="1"/>
    <x v="0"/>
    <s v="2470200"/>
    <n v="700026"/>
    <s v="Salaries-RN-OT"/>
    <s v="Internal Medicine BI-HHP"/>
    <x v="0"/>
    <n v="1000"/>
    <n v="223.65"/>
    <n v="314.70999999999998"/>
    <n v="875.7"/>
    <n v="-208.47"/>
    <n v="0"/>
    <n v="0"/>
    <n v="0"/>
    <n v="0"/>
    <n v="0"/>
    <n v="270.82"/>
    <n v="0"/>
    <n v="0"/>
    <n v="1476.4099999999999"/>
    <n v="0"/>
  </r>
  <r>
    <x v="5"/>
    <x v="1"/>
    <x v="0"/>
    <s v="2470200"/>
    <n v="700030"/>
    <s v="Salaries-LPN-Productive"/>
    <s v="Internal Medicine BI-HHP"/>
    <x v="0"/>
    <m/>
    <n v="0"/>
    <n v="237.44"/>
    <n v="0"/>
    <n v="0"/>
    <n v="0"/>
    <n v="0"/>
    <n v="0"/>
    <n v="0"/>
    <n v="0"/>
    <n v="0"/>
    <n v="0"/>
    <n v="0"/>
    <n v="237.44"/>
    <n v="0"/>
  </r>
  <r>
    <x v="5"/>
    <x v="1"/>
    <x v="0"/>
    <s v="2470200"/>
    <n v="700032"/>
    <s v="Salaries-Other Pat Care Providers-Productive"/>
    <s v="Internal Medicine BI-HHP"/>
    <x v="0"/>
    <m/>
    <n v="10664.75"/>
    <n v="8693.2800000000007"/>
    <n v="9896.9500000000007"/>
    <n v="11580.34"/>
    <n v="10677.35"/>
    <n v="9035.92"/>
    <n v="10524.56"/>
    <n v="8873.2800000000007"/>
    <n v="10172.129999999999"/>
    <n v="9022.58"/>
    <n v="11020.71"/>
    <n v="9170.9599999999991"/>
    <n v="119332.81"/>
    <n v="1849.75"/>
  </r>
  <r>
    <x v="5"/>
    <x v="1"/>
    <x v="0"/>
    <s v="2470200"/>
    <n v="700032"/>
    <s v="Salaries-Other Pat Care Providers-OT"/>
    <s v="Internal Medicine BI-HHP"/>
    <x v="0"/>
    <n v="1000"/>
    <n v="383.26"/>
    <n v="604.80999999999995"/>
    <n v="546.46"/>
    <n v="408.51"/>
    <n v="149.37"/>
    <n v="50.74"/>
    <n v="357.61"/>
    <n v="197.27"/>
    <n v="487.98"/>
    <n v="592.45000000000005"/>
    <n v="-131.47999999999999"/>
    <n v="53.87"/>
    <n v="3700.85"/>
    <n v="-185.35"/>
  </r>
  <r>
    <x v="5"/>
    <x v="1"/>
    <x v="0"/>
    <s v="2470200"/>
    <n v="700032"/>
    <s v="Salaries-Other Pat Care Providers-Other"/>
    <s v="Internal Medicine BI-HHP"/>
    <x v="0"/>
    <n v="2000"/>
    <n v="237.89"/>
    <n v="248.69"/>
    <n v="211.25"/>
    <n v="233.31"/>
    <n v="213.25"/>
    <n v="208.29"/>
    <n v="233.47"/>
    <n v="194.54"/>
    <n v="182.8"/>
    <n v="278.04000000000002"/>
    <n v="211.99"/>
    <n v="201.24"/>
    <n v="2654.7599999999993"/>
    <n v="10.75"/>
  </r>
  <r>
    <x v="5"/>
    <x v="1"/>
    <x v="0"/>
    <s v="2470200"/>
    <n v="700054"/>
    <s v="Salaries-Management-NonProd-Other"/>
    <s v="Internal Medicine BI-HHP"/>
    <x v="0"/>
    <n v="2000"/>
    <n v="0"/>
    <n v="0"/>
    <n v="0"/>
    <n v="0"/>
    <n v="0"/>
    <n v="1184.77"/>
    <n v="-1184.77"/>
    <n v="0"/>
    <n v="0"/>
    <n v="0"/>
    <n v="0"/>
    <n v="0"/>
    <n v="0"/>
    <n v="0"/>
  </r>
  <r>
    <x v="5"/>
    <x v="1"/>
    <x v="0"/>
    <s v="2470200"/>
    <n v="700062"/>
    <s v="Salaries-Physician-Non-productive"/>
    <s v="Internal Medicine BI-HHP"/>
    <x v="0"/>
    <m/>
    <n v="8272.1200000000008"/>
    <n v="16174.79"/>
    <n v="8837.36"/>
    <n v="11684.15"/>
    <n v="-24740.93"/>
    <n v="6529.19"/>
    <n v="627.4"/>
    <n v="5313.17"/>
    <n v="-1486.71"/>
    <n v="-580.04"/>
    <n v="3116.53"/>
    <n v="458.39"/>
    <n v="34205.420000000006"/>
    <n v="2658.1400000000003"/>
  </r>
  <r>
    <x v="5"/>
    <x v="1"/>
    <x v="0"/>
    <s v="2470200"/>
    <n v="700064"/>
    <s v="Salaries-Advanced Practice Clinician-Non-Productive"/>
    <s v="Internal Medicine BI-HHP"/>
    <x v="0"/>
    <m/>
    <n v="931"/>
    <n v="926.75"/>
    <n v="919.63"/>
    <n v="918.26"/>
    <n v="911.41"/>
    <n v="909.77"/>
    <n v="905.52"/>
    <n v="894.7"/>
    <n v="897.03"/>
    <n v="890.86"/>
    <n v="888.53"/>
    <n v="882.64"/>
    <n v="10876.1"/>
    <n v="5.8899999999999864"/>
  </r>
  <r>
    <x v="5"/>
    <x v="1"/>
    <x v="0"/>
    <s v="2470200"/>
    <n v="700066"/>
    <s v="Salaries-RN-Non-productive"/>
    <s v="Internal Medicine BI-HHP"/>
    <x v="0"/>
    <m/>
    <n v="0"/>
    <n v="318.08"/>
    <n v="2733.5"/>
    <n v="-695.8"/>
    <n v="655.20000000000005"/>
    <n v="888.61"/>
    <n v="217.52"/>
    <n v="674.61"/>
    <n v="2108.4499999999998"/>
    <n v="1468.15"/>
    <n v="-114.82"/>
    <n v="1271.32"/>
    <n v="9524.82"/>
    <n v="-1386.1399999999999"/>
  </r>
  <r>
    <x v="5"/>
    <x v="1"/>
    <x v="0"/>
    <s v="2470200"/>
    <n v="700066"/>
    <s v="Salaries-RN-NonProd-Other"/>
    <s v="Internal Medicine BI-HH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0200"/>
    <n v="700072"/>
    <s v="Salaries-Other Pat Care Providers-Non-productive"/>
    <s v="Internal Medicine BI-HHP"/>
    <x v="0"/>
    <m/>
    <n v="1003.27"/>
    <n v="3371.35"/>
    <n v="254.29"/>
    <n v="935.21"/>
    <n v="704.1"/>
    <n v="2173.8200000000002"/>
    <n v="1447.98"/>
    <n v="1299.21"/>
    <n v="496.96"/>
    <n v="4402.33"/>
    <n v="432.26"/>
    <n v="1435.93"/>
    <n v="17956.71"/>
    <n v="-1003.6700000000001"/>
  </r>
  <r>
    <x v="5"/>
    <x v="1"/>
    <x v="0"/>
    <s v="2470200"/>
    <n v="700072"/>
    <s v="Salaries-Other Pat Care Providers-NonProd-Other"/>
    <s v="Internal Medicine BI-HH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0200"/>
    <n v="700084"/>
    <s v="Accrued PTO"/>
    <s v="Internal Medicine BI-HHP"/>
    <x v="0"/>
    <m/>
    <n v="512.28"/>
    <n v="-1194.33"/>
    <n v="-1546.97"/>
    <n v="509.64"/>
    <n v="716.09"/>
    <n v="-1098.92"/>
    <n v="-114.51"/>
    <n v="-31.59"/>
    <n v="903.35"/>
    <n v="-58.2"/>
    <n v="398.24"/>
    <n v="1609.72"/>
    <n v="604.7999999999995"/>
    <n v="-1211.48"/>
  </r>
  <r>
    <x v="6"/>
    <x v="1"/>
    <x v="0"/>
    <s v="2470200"/>
    <n v="713010"/>
    <s v="Benefits-FICA/Medicare"/>
    <s v="Internal Medicine BI-HHP"/>
    <x v="0"/>
    <m/>
    <n v="3584.21"/>
    <n v="3707.31"/>
    <n v="3436.09"/>
    <n v="3661.05"/>
    <n v="3558.57"/>
    <n v="3196.53"/>
    <n v="4724.54"/>
    <n v="6145.67"/>
    <n v="3993.45"/>
    <n v="4371.78"/>
    <n v="3351.19"/>
    <n v="2999.13"/>
    <n v="46729.52"/>
    <n v="352.05999999999995"/>
  </r>
  <r>
    <x v="6"/>
    <x v="1"/>
    <x v="0"/>
    <s v="2470200"/>
    <n v="713090"/>
    <s v="Benefits-Allocated Amounts"/>
    <s v="Internal Medicine BI-HHP"/>
    <x v="0"/>
    <m/>
    <n v="0"/>
    <n v="0"/>
    <n v="0"/>
    <n v="0"/>
    <n v="0"/>
    <n v="0"/>
    <n v="0"/>
    <n v="0"/>
    <n v="51366.49"/>
    <n v="5871.79"/>
    <n v="4738.78"/>
    <n v="4563.53"/>
    <n v="66540.59"/>
    <n v="175.25"/>
  </r>
  <r>
    <x v="6"/>
    <x v="1"/>
    <x v="0"/>
    <s v="2470200"/>
    <n v="713092"/>
    <s v="Allocated Benefits-Physician"/>
    <s v="Internal Medicine BI-HHP"/>
    <x v="0"/>
    <m/>
    <n v="8350.51"/>
    <n v="7574.44"/>
    <n v="8153.57"/>
    <n v="8196.19"/>
    <n v="6953.31"/>
    <n v="7871.36"/>
    <n v="9123.09"/>
    <n v="9702.09"/>
    <n v="-42476.639999999999"/>
    <n v="2680.37"/>
    <n v="2163.1799999999998"/>
    <n v="2083.16"/>
    <n v="30374.629999999997"/>
    <n v="80.019999999999982"/>
  </r>
  <r>
    <x v="7"/>
    <x v="1"/>
    <x v="0"/>
    <s v="2470200"/>
    <n v="718050"/>
    <s v="Contract Management--Linen"/>
    <s v="Internal Medicine BI-HHP"/>
    <x v="0"/>
    <n v="1026"/>
    <n v="266.3"/>
    <n v="594.57000000000005"/>
    <n v="331.14"/>
    <n v="158.58000000000001"/>
    <n v="475.74"/>
    <n v="186.54"/>
    <n v="398.13"/>
    <n v="609.78"/>
    <n v="566.79"/>
    <n v="80.97"/>
    <n v="161.94"/>
    <n v="242.91"/>
    <n v="4073.3899999999994"/>
    <n v="-80.97"/>
  </r>
  <r>
    <x v="7"/>
    <x v="1"/>
    <x v="0"/>
    <s v="2470200"/>
    <n v="718050"/>
    <s v="Purchased Srvcs--Medical Waste"/>
    <s v="Internal Medicine BI-HHP"/>
    <x v="0"/>
    <n v="1027"/>
    <n v="100.46"/>
    <n v="0"/>
    <n v="53.43"/>
    <n v="206.16"/>
    <n v="47.03"/>
    <n v="47.03"/>
    <n v="100.59"/>
    <n v="99.82"/>
    <n v="166.7"/>
    <n v="0"/>
    <n v="52.03"/>
    <n v="0"/>
    <n v="873.25"/>
    <n v="52.03"/>
  </r>
  <r>
    <x v="11"/>
    <x v="1"/>
    <x v="0"/>
    <s v="2470200"/>
    <n v="721010"/>
    <s v="Supplies-Medical - Billable"/>
    <s v="Internal Medicine BI-HHP"/>
    <x v="0"/>
    <m/>
    <n v="19.66"/>
    <n v="24.3"/>
    <n v="0"/>
    <n v="32.69"/>
    <n v="42.92"/>
    <n v="0"/>
    <n v="32.69"/>
    <n v="47.55"/>
    <n v="0"/>
    <n v="0"/>
    <n v="0"/>
    <n v="0"/>
    <n v="199.81"/>
    <n v="0"/>
  </r>
  <r>
    <x v="11"/>
    <x v="1"/>
    <x v="0"/>
    <s v="2470200"/>
    <n v="721010"/>
    <s v="Patient Monitoring"/>
    <s v="Internal Medicine BI-HHP"/>
    <x v="0"/>
    <n v="1000"/>
    <n v="0"/>
    <n v="36.200000000000003"/>
    <n v="0"/>
    <n v="0"/>
    <n v="7.24"/>
    <n v="0"/>
    <n v="0"/>
    <n v="48"/>
    <n v="0"/>
    <n v="0"/>
    <n v="0"/>
    <n v="0"/>
    <n v="91.44"/>
    <n v="0"/>
  </r>
  <r>
    <x v="11"/>
    <x v="1"/>
    <x v="0"/>
    <s v="2470200"/>
    <n v="721020"/>
    <s v="Supplies-Surgical - Billable"/>
    <s v="Internal Medicine BI-HHP"/>
    <x v="0"/>
    <m/>
    <n v="0"/>
    <n v="0"/>
    <n v="0"/>
    <n v="0"/>
    <n v="0"/>
    <n v="0"/>
    <n v="0"/>
    <n v="0"/>
    <n v="199.56"/>
    <n v="-182.93"/>
    <n v="0"/>
    <n v="0"/>
    <n v="16.629999999999995"/>
    <n v="0"/>
  </r>
  <r>
    <x v="11"/>
    <x v="1"/>
    <x v="0"/>
    <s v="2470200"/>
    <n v="721020"/>
    <s v="Suture/Wound Closure"/>
    <s v="Internal Medicine BI-HHP"/>
    <x v="0"/>
    <n v="1001"/>
    <n v="598.09"/>
    <n v="-28.93"/>
    <n v="0"/>
    <n v="0"/>
    <n v="0"/>
    <n v="0"/>
    <n v="0"/>
    <n v="0"/>
    <n v="0"/>
    <n v="0"/>
    <n v="0"/>
    <n v="0"/>
    <n v="569.16000000000008"/>
    <n v="0"/>
  </r>
  <r>
    <x v="11"/>
    <x v="1"/>
    <x v="0"/>
    <s v="2470200"/>
    <n v="721250"/>
    <s v="Supplies-Pharmacy Drugs - Billable"/>
    <s v="Internal Medicine BI-HHP"/>
    <x v="0"/>
    <m/>
    <n v="8376.06"/>
    <n v="2788.8"/>
    <n v="2083.64"/>
    <n v="4814"/>
    <n v="6816.19"/>
    <n v="4191.41"/>
    <n v="11705.54"/>
    <n v="4346.2"/>
    <n v="3016.04"/>
    <n v="4462.6899999999996"/>
    <n v="3154.94"/>
    <n v="3372.73"/>
    <n v="59128.240000000005"/>
    <n v="-217.78999999999996"/>
  </r>
  <r>
    <x v="11"/>
    <x v="1"/>
    <x v="0"/>
    <s v="2470200"/>
    <n v="721410"/>
    <s v="Supplies-Medical - Nonbillable"/>
    <s v="Internal Medicine BI-HHP"/>
    <x v="0"/>
    <m/>
    <n v="321.11"/>
    <n v="423.96"/>
    <n v="445.84"/>
    <n v="62.19"/>
    <n v="552.79"/>
    <n v="132.41"/>
    <n v="915.28"/>
    <n v="680.19"/>
    <n v="313"/>
    <n v="417.94"/>
    <n v="318.11"/>
    <n v="249.05"/>
    <n v="4831.87"/>
    <n v="69.06"/>
  </r>
  <r>
    <x v="11"/>
    <x v="1"/>
    <x v="0"/>
    <s v="2470200"/>
    <n v="721420"/>
    <s v="Supplies-Surgical Nonbillable"/>
    <s v="Internal Medicine BI-HHP"/>
    <x v="0"/>
    <m/>
    <n v="0"/>
    <n v="0"/>
    <n v="6.61"/>
    <n v="0"/>
    <n v="86.02"/>
    <n v="0"/>
    <n v="24.2"/>
    <n v="39.31"/>
    <n v="53.65"/>
    <n v="30.24"/>
    <n v="2.96"/>
    <n v="0"/>
    <n v="242.99"/>
    <n v="2.96"/>
  </r>
  <r>
    <x v="11"/>
    <x v="1"/>
    <x v="0"/>
    <s v="2470200"/>
    <n v="721420"/>
    <s v="Sterilization Process Products"/>
    <s v="Internal Medicine BI-HHP"/>
    <x v="0"/>
    <n v="1009"/>
    <n v="32.18"/>
    <n v="164.43"/>
    <n v="0"/>
    <n v="0"/>
    <n v="0"/>
    <n v="0"/>
    <n v="0"/>
    <n v="398.68"/>
    <n v="70.73"/>
    <n v="0"/>
    <n v="11.62"/>
    <n v="0"/>
    <n v="677.64"/>
    <n v="11.62"/>
  </r>
  <r>
    <x v="11"/>
    <x v="1"/>
    <x v="0"/>
    <s v="2470200"/>
    <n v="721610"/>
    <s v="Supplies-Anesthesia - Nonbillable"/>
    <s v="Internal Medicine BI-HHP"/>
    <x v="0"/>
    <m/>
    <n v="0"/>
    <n v="0"/>
    <n v="0"/>
    <n v="0"/>
    <n v="0"/>
    <n v="0"/>
    <n v="4.26"/>
    <n v="0"/>
    <n v="0"/>
    <n v="0"/>
    <n v="0"/>
    <n v="0"/>
    <n v="4.26"/>
    <n v="0"/>
  </r>
  <r>
    <x v="11"/>
    <x v="1"/>
    <x v="0"/>
    <s v="2470200"/>
    <n v="721640"/>
    <s v="Supplies-IV Solutions/Supplies - Nonbillable"/>
    <s v="Internal Medicine BI-HHP"/>
    <x v="0"/>
    <m/>
    <n v="0"/>
    <n v="0.01"/>
    <n v="0"/>
    <n v="0"/>
    <n v="0"/>
    <n v="0"/>
    <n v="0"/>
    <n v="0"/>
    <n v="0"/>
    <n v="0"/>
    <n v="0"/>
    <n v="0"/>
    <n v="0.01"/>
    <n v="0"/>
  </r>
  <r>
    <x v="11"/>
    <x v="1"/>
    <x v="0"/>
    <s v="2470200"/>
    <n v="721650"/>
    <s v="Supplies-Pharmacy Drugs - Nonbillable"/>
    <s v="Internal Medicine BI-HHP"/>
    <x v="0"/>
    <m/>
    <n v="5.13"/>
    <n v="0"/>
    <n v="60.86"/>
    <n v="0"/>
    <n v="0"/>
    <n v="0"/>
    <n v="5.13"/>
    <n v="0"/>
    <n v="0"/>
    <n v="29.56"/>
    <n v="1.69"/>
    <n v="0"/>
    <n v="102.36999999999999"/>
    <n v="1.69"/>
  </r>
  <r>
    <x v="11"/>
    <x v="1"/>
    <x v="0"/>
    <s v="2470200"/>
    <n v="721710"/>
    <s v="Supplies-Laboratory - Nonbillable"/>
    <s v="Internal Medicine BI-HHP"/>
    <x v="0"/>
    <m/>
    <n v="99.5"/>
    <n v="37.04"/>
    <n v="51.2"/>
    <n v="155.62"/>
    <n v="159.21"/>
    <n v="619.78"/>
    <n v="30.42"/>
    <n v="302.74"/>
    <n v="618.28"/>
    <n v="166.49"/>
    <n v="65.47"/>
    <n v="210.83"/>
    <n v="2516.5799999999995"/>
    <n v="-145.36000000000001"/>
  </r>
  <r>
    <x v="11"/>
    <x v="1"/>
    <x v="0"/>
    <s v="2470200"/>
    <n v="721710"/>
    <s v="Reagents"/>
    <s v="Internal Medicine BI-HHP"/>
    <x v="0"/>
    <n v="1000"/>
    <n v="1051.03"/>
    <n v="620.64"/>
    <n v="806.31"/>
    <n v="196.74"/>
    <n v="1738.92"/>
    <n v="985.72"/>
    <n v="36.97"/>
    <n v="945.74"/>
    <n v="1430.67"/>
    <n v="283.87"/>
    <n v="748.16"/>
    <n v="663.14"/>
    <n v="9507.91"/>
    <n v="85.019999999999982"/>
  </r>
  <r>
    <x v="11"/>
    <x v="1"/>
    <x v="0"/>
    <s v="2470200"/>
    <n v="721750"/>
    <s v="Supplies-Film/Radiographic - Nonbillable"/>
    <s v="Internal Medicine BI-HHP"/>
    <x v="0"/>
    <m/>
    <n v="0"/>
    <n v="0"/>
    <n v="0"/>
    <n v="0"/>
    <n v="0"/>
    <n v="0"/>
    <n v="0"/>
    <n v="2.81"/>
    <n v="0"/>
    <n v="0"/>
    <n v="0"/>
    <n v="0"/>
    <n v="2.81"/>
    <n v="0"/>
  </r>
  <r>
    <x v="11"/>
    <x v="1"/>
    <x v="0"/>
    <s v="2470200"/>
    <n v="721810"/>
    <s v="Supplies-Dietary/Cafeteria"/>
    <s v="Internal Medicine BI-HHP"/>
    <x v="0"/>
    <m/>
    <n v="234"/>
    <n v="232.99"/>
    <n v="80.5"/>
    <n v="123"/>
    <n v="0"/>
    <n v="0"/>
    <n v="68.430000000000007"/>
    <n v="120.5"/>
    <n v="65.3"/>
    <n v="0"/>
    <n v="49"/>
    <n v="0"/>
    <n v="973.72"/>
    <n v="49"/>
  </r>
  <r>
    <x v="11"/>
    <x v="1"/>
    <x v="0"/>
    <s v="2470200"/>
    <n v="721830"/>
    <s v="Supplies-Office"/>
    <s v="Internal Medicine BI-HHP"/>
    <x v="0"/>
    <m/>
    <n v="50.36"/>
    <n v="0"/>
    <n v="166.68"/>
    <n v="0"/>
    <n v="247.42"/>
    <n v="43.17"/>
    <n v="45.88"/>
    <n v="279.61"/>
    <n v="71.290000000000006"/>
    <n v="33.42"/>
    <n v="12.88"/>
    <n v="91.9"/>
    <n v="1042.6100000000001"/>
    <n v="-79.02000000000001"/>
  </r>
  <r>
    <x v="11"/>
    <x v="1"/>
    <x v="0"/>
    <s v="2470200"/>
    <n v="721870"/>
    <s v="Supplies-Environmental Services"/>
    <s v="Internal Medicine BI-HHP"/>
    <x v="0"/>
    <m/>
    <n v="0"/>
    <n v="16.399999999999999"/>
    <n v="3.1"/>
    <n v="0"/>
    <n v="0"/>
    <n v="0"/>
    <n v="0"/>
    <n v="8.1999999999999993"/>
    <n v="29.84"/>
    <n v="2.4"/>
    <n v="0"/>
    <n v="2.4"/>
    <n v="62.339999999999996"/>
    <n v="-2.4"/>
  </r>
  <r>
    <x v="11"/>
    <x v="1"/>
    <x v="0"/>
    <s v="2470200"/>
    <n v="721880"/>
    <s v="Supplies-Linen"/>
    <s v="Internal Medicine BI-HHP"/>
    <x v="0"/>
    <m/>
    <n v="0"/>
    <n v="18.93"/>
    <n v="19.8"/>
    <n v="0"/>
    <n v="46.79"/>
    <n v="0"/>
    <n v="32.909999999999997"/>
    <n v="76.38"/>
    <n v="39.020000000000003"/>
    <n v="0"/>
    <n v="19.510000000000002"/>
    <n v="0"/>
    <n v="253.34"/>
    <n v="19.510000000000002"/>
  </r>
  <r>
    <x v="11"/>
    <x v="1"/>
    <x v="0"/>
    <s v="2470200"/>
    <n v="721910"/>
    <s v="Supplies-Small Equipment"/>
    <s v="Internal Medicine BI-HHP"/>
    <x v="0"/>
    <m/>
    <n v="217.92"/>
    <n v="15.89"/>
    <n v="54.39"/>
    <n v="106.97"/>
    <n v="0"/>
    <n v="14.62"/>
    <n v="81.59"/>
    <n v="0"/>
    <n v="0"/>
    <n v="0"/>
    <n v="0"/>
    <n v="0"/>
    <n v="491.38"/>
    <n v="0"/>
  </r>
  <r>
    <x v="11"/>
    <x v="1"/>
    <x v="0"/>
    <s v="2470200"/>
    <n v="721910"/>
    <s v="Instruments"/>
    <s v="Internal Medicine BI-HHP"/>
    <x v="0"/>
    <n v="1000"/>
    <n v="0"/>
    <n v="0"/>
    <n v="36.380000000000003"/>
    <n v="0"/>
    <n v="0"/>
    <n v="0"/>
    <n v="45.71"/>
    <n v="0"/>
    <n v="0"/>
    <n v="-10.52"/>
    <n v="0"/>
    <n v="0"/>
    <n v="71.570000000000007"/>
    <n v="0"/>
  </r>
  <r>
    <x v="11"/>
    <x v="1"/>
    <x v="0"/>
    <s v="2470200"/>
    <n v="721980"/>
    <s v="Supplies-Other"/>
    <s v="Internal Medicine BI-HHP"/>
    <x v="0"/>
    <m/>
    <n v="186.16"/>
    <n v="222.28"/>
    <n v="16.02"/>
    <n v="94.47"/>
    <n v="0"/>
    <n v="378.51"/>
    <n v="262.91000000000003"/>
    <n v="39.32"/>
    <n v="0"/>
    <n v="0"/>
    <n v="0"/>
    <n v="0"/>
    <n v="1199.6699999999998"/>
    <n v="0"/>
  </r>
  <r>
    <x v="11"/>
    <x v="1"/>
    <x v="0"/>
    <s v="2470200"/>
    <n v="722000"/>
    <s v="Supplies-Freight Expense"/>
    <s v="Internal Medicine BI-HHP"/>
    <x v="0"/>
    <m/>
    <n v="0"/>
    <n v="31.42"/>
    <n v="0"/>
    <n v="83.25"/>
    <n v="0"/>
    <n v="0"/>
    <n v="12.32"/>
    <n v="0"/>
    <n v="0"/>
    <n v="0"/>
    <n v="0"/>
    <n v="54.82"/>
    <n v="181.81"/>
    <n v="-54.82"/>
  </r>
  <r>
    <x v="13"/>
    <x v="1"/>
    <x v="0"/>
    <s v="2470200"/>
    <n v="735070"/>
    <s v="Depreciation-Movable Equipment"/>
    <s v="Internal Medicine BI-HHP"/>
    <x v="0"/>
    <m/>
    <n v="3846.66"/>
    <n v="3846.65"/>
    <n v="3840.45"/>
    <n v="3532.59"/>
    <n v="3532.61"/>
    <n v="3532.57"/>
    <n v="3532.62"/>
    <n v="3532.57"/>
    <n v="3532.63"/>
    <n v="3532.57"/>
    <n v="3532.63"/>
    <n v="3532.57"/>
    <n v="43327.119999999995"/>
    <n v="5.999999999994543E-2"/>
  </r>
  <r>
    <x v="0"/>
    <x v="1"/>
    <x v="0"/>
    <s v="2470200"/>
    <n v="740022"/>
    <s v="Education-Physician"/>
    <s v="Internal Medicine BI-HHP"/>
    <x v="0"/>
    <m/>
    <n v="238.42"/>
    <n v="1195"/>
    <n v="0"/>
    <n v="0"/>
    <n v="0"/>
    <n v="0"/>
    <n v="200"/>
    <n v="0"/>
    <n v="0"/>
    <n v="0"/>
    <n v="0"/>
    <n v="90"/>
    <n v="1723.42"/>
    <n v="-90"/>
  </r>
  <r>
    <x v="8"/>
    <x v="1"/>
    <x v="0"/>
    <s v="2470200"/>
    <n v="741012"/>
    <s v="Physician Liab Insurance-CHI Program"/>
    <s v="Internal Medicine BI-HHP"/>
    <x v="0"/>
    <m/>
    <n v="1823.62"/>
    <n v="1823.62"/>
    <n v="1823.62"/>
    <n v="1823.62"/>
    <n v="1823.63"/>
    <n v="1823.6"/>
    <n v="1823.63"/>
    <n v="1823.6"/>
    <n v="1823.63"/>
    <n v="1823.6"/>
    <n v="613.12"/>
    <n v="1065.74"/>
    <n v="19915.03"/>
    <n v="-452.62"/>
  </r>
  <r>
    <x v="0"/>
    <x v="1"/>
    <x v="0"/>
    <s v="2470200"/>
    <n v="743022"/>
    <s v="Dues-Physician"/>
    <s v="Internal Medicine BI-HHP"/>
    <x v="0"/>
    <m/>
    <n v="0"/>
    <n v="0"/>
    <n v="0"/>
    <n v="0"/>
    <n v="0"/>
    <n v="810"/>
    <n v="0"/>
    <n v="1365"/>
    <n v="0"/>
    <n v="0"/>
    <n v="0"/>
    <n v="0"/>
    <n v="2175"/>
    <n v="0"/>
  </r>
  <r>
    <x v="0"/>
    <x v="1"/>
    <x v="0"/>
    <s v="2470200"/>
    <n v="743030"/>
    <s v="Subscriptions--Institutional"/>
    <s v="Internal Medicine BI-HHP"/>
    <x v="0"/>
    <m/>
    <n v="0"/>
    <n v="0"/>
    <n v="0"/>
    <n v="0"/>
    <n v="0"/>
    <n v="0"/>
    <n v="0"/>
    <n v="0"/>
    <n v="0"/>
    <n v="0"/>
    <n v="190.74"/>
    <n v="0"/>
    <n v="190.74"/>
    <n v="190.74"/>
  </r>
  <r>
    <x v="0"/>
    <x v="1"/>
    <x v="0"/>
    <s v="2470200"/>
    <n v="749510"/>
    <s v="Miscellaneous Expenses"/>
    <s v="Internal Medicine BI-HHP"/>
    <x v="0"/>
    <m/>
    <n v="-199"/>
    <n v="2122.8200000000002"/>
    <n v="-2122.8200000000002"/>
    <n v="0"/>
    <n v="0"/>
    <n v="0"/>
    <n v="535"/>
    <n v="-535"/>
    <n v="273.75"/>
    <n v="0"/>
    <n v="0"/>
    <n v="0"/>
    <n v="74.75"/>
    <n v="0"/>
  </r>
  <r>
    <x v="0"/>
    <x v="1"/>
    <x v="0"/>
    <s v="2470200"/>
    <n v="749510"/>
    <s v="Licenses"/>
    <s v="Internal Medicine BI-HHP"/>
    <x v="0"/>
    <n v="1002"/>
    <n v="0"/>
    <n v="0"/>
    <n v="0"/>
    <n v="19"/>
    <n v="0"/>
    <n v="19"/>
    <n v="0"/>
    <n v="357"/>
    <n v="0"/>
    <n v="0"/>
    <n v="0"/>
    <n v="0"/>
    <n v="395"/>
    <n v="0"/>
  </r>
  <r>
    <x v="0"/>
    <x v="1"/>
    <x v="0"/>
    <s v="2470200"/>
    <n v="749512"/>
    <s v="Licenses-Physician"/>
    <s v="Internal Medicine BI-HHP"/>
    <x v="0"/>
    <n v="2000"/>
    <n v="0"/>
    <n v="0"/>
    <n v="0"/>
    <n v="25"/>
    <n v="0"/>
    <n v="0"/>
    <n v="0"/>
    <n v="0"/>
    <n v="0"/>
    <n v="0"/>
    <n v="0"/>
    <n v="0"/>
    <n v="25"/>
    <n v="0"/>
  </r>
  <r>
    <x v="0"/>
    <x v="1"/>
    <x v="0"/>
    <s v="2470200"/>
    <n v="749532"/>
    <s v="Travel-Physician"/>
    <s v="Internal Medicine BI-HHP"/>
    <x v="0"/>
    <m/>
    <n v="0"/>
    <n v="0"/>
    <n v="1205"/>
    <n v="0"/>
    <n v="12"/>
    <n v="0"/>
    <n v="0"/>
    <n v="0"/>
    <n v="0"/>
    <n v="0"/>
    <n v="0"/>
    <n v="0"/>
    <n v="1217"/>
    <n v="0"/>
  </r>
  <r>
    <x v="0"/>
    <x v="1"/>
    <x v="0"/>
    <s v="2470200"/>
    <n v="749532"/>
    <s v="Vehicle Expense-Physician"/>
    <s v="Internal Medicine BI-HHP"/>
    <x v="0"/>
    <n v="2001"/>
    <n v="0"/>
    <n v="0"/>
    <n v="0"/>
    <n v="0"/>
    <n v="119.9"/>
    <n v="0"/>
    <n v="0"/>
    <n v="0"/>
    <n v="0"/>
    <n v="0"/>
    <n v="0"/>
    <n v="0"/>
    <n v="119.9"/>
    <n v="0"/>
  </r>
  <r>
    <x v="0"/>
    <x v="1"/>
    <x v="0"/>
    <s v="2470200"/>
    <n v="766010"/>
    <s v="Property Tax"/>
    <s v="Internal Medicine BI-HHP"/>
    <x v="0"/>
    <m/>
    <n v="232.86"/>
    <n v="232.86"/>
    <n v="232.86"/>
    <n v="-698.58"/>
    <n v="0"/>
    <n v="0"/>
    <n v="0"/>
    <n v="0"/>
    <n v="0"/>
    <n v="762.22"/>
    <n v="-1206.5999999999999"/>
    <n v="190.56"/>
    <n v="-253.81999999999988"/>
    <n v="-1397.1599999999999"/>
  </r>
  <r>
    <x v="9"/>
    <x v="1"/>
    <x v="0"/>
    <s v="2470200"/>
    <n v="800015"/>
    <s v="Interest Income-Ext to CHI"/>
    <s v="Internal Medicine BI-HHP"/>
    <x v="0"/>
    <m/>
    <n v="-97.67"/>
    <n v="-93.42"/>
    <n v="-86.3"/>
    <n v="-84.93"/>
    <n v="-78.08"/>
    <n v="-76.430000000000007"/>
    <n v="-72.19"/>
    <n v="-61.36"/>
    <n v="-63.69"/>
    <n v="-57.53"/>
    <n v="-55.2"/>
    <n v="-49.31"/>
    <n v="-876.1099999999999"/>
    <n v="-5.8900000000000006"/>
  </r>
  <r>
    <x v="1"/>
    <x v="1"/>
    <x v="0"/>
    <s v="2471200"/>
    <n v="400029"/>
    <s v="MD Practice Other Rev--Medicare"/>
    <s v="Primary Care-Belfair"/>
    <x v="0"/>
    <n v="1100"/>
    <n v="-423"/>
    <n v="-798"/>
    <n v="-444"/>
    <n v="-416"/>
    <n v="-356"/>
    <n v="-272"/>
    <n v="-528"/>
    <n v="-781"/>
    <n v="-466"/>
    <n v="-581"/>
    <n v="-587"/>
    <n v="-566"/>
    <n v="-6218"/>
    <n v="-21"/>
  </r>
  <r>
    <x v="1"/>
    <x v="1"/>
    <x v="0"/>
    <s v="2471200"/>
    <n v="400029"/>
    <s v="MD Practice Other Rev--Medicaid"/>
    <s v="Primary Care-Belfair"/>
    <x v="0"/>
    <n v="1200"/>
    <n v="-173"/>
    <n v="-343"/>
    <n v="-201"/>
    <n v="-46"/>
    <n v="-407"/>
    <n v="-45"/>
    <n v="-227"/>
    <n v="-287"/>
    <n v="-362"/>
    <n v="-271"/>
    <n v="-359"/>
    <n v="-380"/>
    <n v="-3101"/>
    <n v="21"/>
  </r>
  <r>
    <x v="1"/>
    <x v="1"/>
    <x v="0"/>
    <s v="2471200"/>
    <n v="400029"/>
    <s v="MD Practice Other Rev--Comm Insurance"/>
    <s v="Primary Care-Belfair"/>
    <x v="0"/>
    <n v="1300"/>
    <n v="-14"/>
    <n v="-32"/>
    <n v="-128"/>
    <n v="-52"/>
    <n v="-48"/>
    <n v="-62"/>
    <n v="-173"/>
    <n v="-22"/>
    <n v="-149"/>
    <n v="-83"/>
    <n v="-82"/>
    <n v="-48"/>
    <n v="-893"/>
    <n v="-34"/>
  </r>
  <r>
    <x v="1"/>
    <x v="1"/>
    <x v="0"/>
    <s v="2471200"/>
    <n v="400029"/>
    <s v="MD Practice Other Rev--BCBS Comm"/>
    <s v="Primary Care-Belfair"/>
    <x v="0"/>
    <n v="1301"/>
    <n v="-14"/>
    <n v="5"/>
    <n v="-28"/>
    <n v="-81"/>
    <n v="-159"/>
    <n v="-46"/>
    <n v="-188"/>
    <n v="-166"/>
    <n v="-46"/>
    <n v="-114"/>
    <n v="14"/>
    <n v="-80"/>
    <n v="-903"/>
    <n v="94"/>
  </r>
  <r>
    <x v="1"/>
    <x v="1"/>
    <x v="0"/>
    <s v="2471200"/>
    <n v="400029"/>
    <s v="MD Practice Other Rev--Managed Care"/>
    <s v="Primary Care-Belfair"/>
    <x v="0"/>
    <n v="1400"/>
    <n v="-165"/>
    <n v="-133"/>
    <n v="-92"/>
    <n v="-184"/>
    <n v="-128"/>
    <n v="-107"/>
    <n v="-219"/>
    <n v="-371"/>
    <n v="-139"/>
    <n v="-307"/>
    <n v="-261"/>
    <n v="-110"/>
    <n v="-2216"/>
    <n v="-151"/>
  </r>
  <r>
    <x v="1"/>
    <x v="1"/>
    <x v="0"/>
    <s v="2471200"/>
    <n v="400029"/>
    <s v="MD Practice Other Rev--Self Pay"/>
    <s v="Primary Care-Belfair"/>
    <x v="0"/>
    <n v="1500"/>
    <n v="0"/>
    <n v="0"/>
    <n v="0"/>
    <n v="0"/>
    <n v="0"/>
    <n v="-10"/>
    <n v="-69"/>
    <n v="0"/>
    <n v="0"/>
    <n v="-24"/>
    <n v="-45"/>
    <n v="-32"/>
    <n v="-180"/>
    <n v="-13"/>
  </r>
  <r>
    <x v="1"/>
    <x v="1"/>
    <x v="0"/>
    <s v="2471200"/>
    <n v="400029"/>
    <s v="MD Practice Other Rev--Other"/>
    <s v="Primary Care-Belfair"/>
    <x v="0"/>
    <n v="1700"/>
    <n v="-48"/>
    <n v="-16"/>
    <n v="-40"/>
    <n v="-32"/>
    <n v="0"/>
    <n v="-10"/>
    <n v="-24"/>
    <n v="-24"/>
    <n v="-80"/>
    <n v="-40"/>
    <n v="-34"/>
    <n v="-30"/>
    <n v="-378"/>
    <n v="-4"/>
  </r>
  <r>
    <x v="1"/>
    <x v="1"/>
    <x v="0"/>
    <s v="2471200"/>
    <n v="400040"/>
    <s v="Physician Svcs Rev--Medicare"/>
    <s v="Primary Care-Belfair"/>
    <x v="0"/>
    <n v="1100"/>
    <n v="-119487"/>
    <n v="-180026.8"/>
    <n v="-140733.79999999999"/>
    <n v="-190684"/>
    <n v="-156091.4"/>
    <n v="-127214"/>
    <n v="-204232"/>
    <n v="-161876"/>
    <n v="-174719"/>
    <n v="-199795"/>
    <n v="-207836"/>
    <n v="-199046.2"/>
    <n v="-2061741.2"/>
    <n v="-8789.7999999999884"/>
  </r>
  <r>
    <x v="1"/>
    <x v="1"/>
    <x v="0"/>
    <s v="2471200"/>
    <n v="400040"/>
    <s v="Physician Svcs Rev--Medicaid"/>
    <s v="Primary Care-Belfair"/>
    <x v="0"/>
    <n v="1200"/>
    <n v="-42944.57"/>
    <n v="-60362.84"/>
    <n v="-55258.879999999997"/>
    <n v="-49364.1"/>
    <n v="-51041.88"/>
    <n v="-32169.91"/>
    <n v="-84853.07"/>
    <n v="-73853.48"/>
    <n v="-84723.6"/>
    <n v="-74988.639999999999"/>
    <n v="-61750.92"/>
    <n v="-60909.36"/>
    <n v="-732221.25"/>
    <n v="-841.55999999999767"/>
  </r>
  <r>
    <x v="1"/>
    <x v="1"/>
    <x v="0"/>
    <s v="2471200"/>
    <n v="400040"/>
    <s v="Physician Svcs Rev--Comm Insurance"/>
    <s v="Primary Care-Belfair"/>
    <x v="0"/>
    <n v="1300"/>
    <n v="-7564"/>
    <n v="-13915.99"/>
    <n v="-7950.65"/>
    <n v="-9915.5300000000007"/>
    <n v="-6930"/>
    <n v="-8487.5300000000007"/>
    <n v="-11296.53"/>
    <n v="-20166.759999999998"/>
    <n v="-13983.59"/>
    <n v="-16855"/>
    <n v="-16054"/>
    <n v="-11443"/>
    <n v="-144562.57999999999"/>
    <n v="-4611"/>
  </r>
  <r>
    <x v="1"/>
    <x v="1"/>
    <x v="0"/>
    <s v="2471200"/>
    <n v="400040"/>
    <s v="Physician Svcs Rev--BCBS Comm"/>
    <s v="Primary Care-Belfair"/>
    <x v="0"/>
    <n v="1301"/>
    <n v="-12850.57"/>
    <n v="-12123.5"/>
    <n v="-12258.24"/>
    <n v="-10438"/>
    <n v="-16938.91"/>
    <n v="-12053.34"/>
    <n v="-26139.43"/>
    <n v="-23284.07"/>
    <n v="-28155.06"/>
    <n v="-24610.57"/>
    <n v="-14915"/>
    <n v="-21292.95"/>
    <n v="-215059.64"/>
    <n v="6377.9500000000007"/>
  </r>
  <r>
    <x v="1"/>
    <x v="1"/>
    <x v="0"/>
    <s v="2471200"/>
    <n v="400040"/>
    <s v="Physician Svcs Rev--Managed Care"/>
    <s v="Primary Care-Belfair"/>
    <x v="0"/>
    <n v="1400"/>
    <n v="-54800.35"/>
    <n v="-17523"/>
    <n v="-30586.75"/>
    <n v="-37320.400000000001"/>
    <n v="-37774.239999999998"/>
    <n v="-34422.71"/>
    <n v="-61778.080000000002"/>
    <n v="-60532.32"/>
    <n v="-75110.52"/>
    <n v="-56314.38"/>
    <n v="-48263.64"/>
    <n v="-50393.17"/>
    <n v="-564819.56000000006"/>
    <n v="2129.5299999999988"/>
  </r>
  <r>
    <x v="1"/>
    <x v="1"/>
    <x v="0"/>
    <s v="2471200"/>
    <n v="400040"/>
    <s v="Physician Svcs Rev--Self Pay"/>
    <s v="Primary Care-Belfair"/>
    <x v="0"/>
    <n v="1500"/>
    <n v="-2875"/>
    <n v="-2645"/>
    <n v="-3430"/>
    <n v="-2352"/>
    <n v="-3169.32"/>
    <n v="-2820"/>
    <n v="-3064"/>
    <n v="-4176.5600000000004"/>
    <n v="-3201.88"/>
    <n v="-6794.12"/>
    <n v="-4811"/>
    <n v="-9450"/>
    <n v="-48788.880000000005"/>
    <n v="4639"/>
  </r>
  <r>
    <x v="1"/>
    <x v="1"/>
    <x v="0"/>
    <s v="2471200"/>
    <n v="400040"/>
    <s v="Physician Svcs Rev--Other"/>
    <s v="Primary Care-Belfair"/>
    <x v="0"/>
    <n v="1700"/>
    <n v="-11419.94"/>
    <n v="-13828.65"/>
    <n v="-13921.65"/>
    <n v="-11672.1"/>
    <n v="-301.93"/>
    <n v="-13920.12"/>
    <n v="-18682.48"/>
    <n v="-11319"/>
    <n v="-14059.17"/>
    <n v="-18511.73"/>
    <n v="-16490.43"/>
    <n v="-14360.91"/>
    <n v="-158488.10999999999"/>
    <n v="-2129.5200000000004"/>
  </r>
  <r>
    <x v="2"/>
    <x v="1"/>
    <x v="0"/>
    <s v="2471200"/>
    <n v="450029"/>
    <s v="Contr Allow--MD Other-Medicare"/>
    <s v="Primary Care-Belfair"/>
    <x v="0"/>
    <n v="1100"/>
    <n v="258.74"/>
    <n v="455.33"/>
    <n v="409.89"/>
    <n v="232.07"/>
    <n v="289.63"/>
    <n v="153.29"/>
    <n v="276.95999999999998"/>
    <n v="329.96"/>
    <n v="556.72"/>
    <n v="487.68"/>
    <n v="336.13"/>
    <n v="337.07"/>
    <n v="4123.47"/>
    <n v="-0.93999999999999773"/>
  </r>
  <r>
    <x v="2"/>
    <x v="1"/>
    <x v="0"/>
    <s v="2471200"/>
    <n v="450029"/>
    <s v="Contr Allow--MD Other-Medicaid"/>
    <s v="Primary Care-Belfair"/>
    <x v="0"/>
    <n v="1200"/>
    <n v="250.39"/>
    <n v="135.44"/>
    <n v="197.41"/>
    <n v="105.53"/>
    <n v="87.27"/>
    <n v="38.520000000000003"/>
    <n v="66.88"/>
    <n v="59.19"/>
    <n v="298.89999999999998"/>
    <n v="275.2"/>
    <n v="263.16000000000003"/>
    <n v="179.03"/>
    <n v="1956.9199999999998"/>
    <n v="84.130000000000024"/>
  </r>
  <r>
    <x v="2"/>
    <x v="1"/>
    <x v="0"/>
    <s v="2471200"/>
    <n v="450029"/>
    <s v="Contr Allow--MD Other-Comm Insurance"/>
    <s v="Primary Care-Belfair"/>
    <x v="0"/>
    <n v="1300"/>
    <n v="18.45"/>
    <n v="22.08"/>
    <n v="8.1999999999999993"/>
    <n v="73.03"/>
    <n v="34.42"/>
    <n v="-18.45"/>
    <n v="153.19"/>
    <n v="0"/>
    <n v="55.72"/>
    <n v="0"/>
    <n v="66.599999999999994"/>
    <n v="50.7"/>
    <n v="463.94"/>
    <n v="15.899999999999991"/>
  </r>
  <r>
    <x v="2"/>
    <x v="1"/>
    <x v="0"/>
    <s v="2471200"/>
    <n v="450029"/>
    <s v="Contr Allow--MD Other BCBS Comm"/>
    <s v="Primary Care-Belfair"/>
    <x v="0"/>
    <n v="1301"/>
    <n v="19.2"/>
    <n v="34.450000000000003"/>
    <n v="0"/>
    <n v="22.14"/>
    <n v="50.98"/>
    <n v="86.69"/>
    <n v="20.63"/>
    <n v="100.18"/>
    <n v="135.97"/>
    <n v="45.89"/>
    <n v="64.16"/>
    <n v="42.51"/>
    <n v="622.79999999999995"/>
    <n v="21.65"/>
  </r>
  <r>
    <x v="2"/>
    <x v="1"/>
    <x v="0"/>
    <s v="2471200"/>
    <n v="450029"/>
    <s v="Contr Allow--MD Other-Managed Care"/>
    <s v="Primary Care-Belfair"/>
    <x v="0"/>
    <n v="1400"/>
    <n v="85.09"/>
    <n v="113.18"/>
    <n v="19.399999999999999"/>
    <n v="29.19"/>
    <n v="61.94"/>
    <n v="36.56"/>
    <n v="124.5"/>
    <n v="-8.74"/>
    <n v="332.2"/>
    <n v="181.81"/>
    <n v="153.56"/>
    <n v="145.59"/>
    <n v="1274.2799999999997"/>
    <n v="7.9699999999999989"/>
  </r>
  <r>
    <x v="2"/>
    <x v="1"/>
    <x v="0"/>
    <s v="2471200"/>
    <n v="450029"/>
    <s v="Admin Adjust-MD Other-Self Pay"/>
    <s v="Primary Care-Belfair"/>
    <x v="0"/>
    <n v="1600"/>
    <n v="6.94"/>
    <n v="12.75"/>
    <n v="31"/>
    <n v="0.87"/>
    <n v="11.08"/>
    <n v="15.03"/>
    <n v="33.53"/>
    <n v="0"/>
    <n v="16"/>
    <n v="10.98"/>
    <n v="25.57"/>
    <n v="11.84"/>
    <n v="175.58999999999997"/>
    <n v="13.73"/>
  </r>
  <r>
    <x v="2"/>
    <x v="1"/>
    <x v="0"/>
    <s v="2471200"/>
    <n v="450029"/>
    <s v="Contr Allow--MD Other-Other"/>
    <s v="Primary Care-Belfair"/>
    <x v="0"/>
    <n v="1700"/>
    <n v="14.67"/>
    <n v="55.09"/>
    <n v="5.75"/>
    <n v="45.5"/>
    <n v="5.23"/>
    <n v="5.75"/>
    <n v="12.92"/>
    <n v="5.75"/>
    <n v="8"/>
    <n v="77.06"/>
    <n v="32.17"/>
    <n v="24.17"/>
    <n v="292.06"/>
    <n v="8"/>
  </r>
  <r>
    <x v="2"/>
    <x v="1"/>
    <x v="0"/>
    <s v="2471200"/>
    <n v="450040"/>
    <s v="Contr Allow--Phys Svcs--Mcare"/>
    <s v="Primary Care-Belfair"/>
    <x v="0"/>
    <n v="1100"/>
    <n v="83647.259999999995"/>
    <n v="63709.22"/>
    <n v="112749.07"/>
    <n v="115502.92"/>
    <n v="105974.19"/>
    <n v="97046.11"/>
    <n v="105073.88"/>
    <n v="99070.37"/>
    <n v="106509.98"/>
    <n v="139972.60999999999"/>
    <n v="121641.96"/>
    <n v="107620.72"/>
    <n v="1258518.29"/>
    <n v="14021.240000000005"/>
  </r>
  <r>
    <x v="2"/>
    <x v="1"/>
    <x v="0"/>
    <s v="2471200"/>
    <n v="450040"/>
    <s v="Contr Allow--Phys Svcs--Mcaid"/>
    <s v="Primary Care-Belfair"/>
    <x v="0"/>
    <n v="1200"/>
    <n v="40960.78"/>
    <n v="34186.42"/>
    <n v="39723.120000000003"/>
    <n v="41485.01"/>
    <n v="31550.25"/>
    <n v="27009.7"/>
    <n v="36611.160000000003"/>
    <n v="32358.36"/>
    <n v="68316.88"/>
    <n v="60133.11"/>
    <n v="44232.26"/>
    <n v="35239.57"/>
    <n v="491806.62000000005"/>
    <n v="8992.6900000000023"/>
  </r>
  <r>
    <x v="2"/>
    <x v="1"/>
    <x v="0"/>
    <s v="2471200"/>
    <n v="450040"/>
    <s v="Contr Allow--Phys Svcs--Comm Insurance"/>
    <s v="Primary Care-Belfair"/>
    <x v="0"/>
    <n v="1300"/>
    <n v="2646.66"/>
    <n v="3790.42"/>
    <n v="4252.25"/>
    <n v="2603.16"/>
    <n v="2903.44"/>
    <n v="1459.9"/>
    <n v="4413.9799999999996"/>
    <n v="2199.2399999999998"/>
    <n v="5742.94"/>
    <n v="5604.59"/>
    <n v="5437.56"/>
    <n v="5601.95"/>
    <n v="46656.09"/>
    <n v="-164.38999999999942"/>
  </r>
  <r>
    <x v="2"/>
    <x v="1"/>
    <x v="0"/>
    <s v="2471200"/>
    <n v="450040"/>
    <s v="Contr Allow--Phys Svcs--BCBS Comm Ins"/>
    <s v="Primary Care-Belfair"/>
    <x v="0"/>
    <n v="1301"/>
    <n v="8516.67"/>
    <n v="9144.42"/>
    <n v="5733.25"/>
    <n v="4390.42"/>
    <n v="10492.33"/>
    <n v="5064.59"/>
    <n v="5309.71"/>
    <n v="7358.65"/>
    <n v="22705.46"/>
    <n v="12935.82"/>
    <n v="10058.69"/>
    <n v="14220.59"/>
    <n v="115930.6"/>
    <n v="-4161.8999999999996"/>
  </r>
  <r>
    <x v="2"/>
    <x v="1"/>
    <x v="0"/>
    <s v="2471200"/>
    <n v="450040"/>
    <s v="Contr Allow--Phys Svcs--Managed Care"/>
    <s v="Primary Care-Belfair"/>
    <x v="0"/>
    <n v="1400"/>
    <n v="20021"/>
    <n v="17855.919999999998"/>
    <n v="22812.79"/>
    <n v="12632.23"/>
    <n v="20028.650000000001"/>
    <n v="10615.9"/>
    <n v="15463.2"/>
    <n v="18041.16"/>
    <n v="34725.19"/>
    <n v="26311.46"/>
    <n v="25902.76"/>
    <n v="20324.97"/>
    <n v="244735.22999999998"/>
    <n v="5577.7899999999972"/>
  </r>
  <r>
    <x v="2"/>
    <x v="1"/>
    <x v="0"/>
    <s v="2471200"/>
    <n v="450040"/>
    <s v="Contr Allow--Phys Svcs--BCBS Mgnd Care"/>
    <s v="Primary Care-Belfair"/>
    <x v="0"/>
    <n v="1401"/>
    <n v="-16846.330000000002"/>
    <n v="31197.26"/>
    <n v="-25715.19"/>
    <n v="5838.6"/>
    <n v="-5921.66"/>
    <n v="-2811.63"/>
    <n v="67109.13"/>
    <n v="53575.519999999997"/>
    <n v="-6328.65"/>
    <n v="-15998.95"/>
    <n v="5439.04"/>
    <n v="18701.689999999999"/>
    <n v="108238.83000000002"/>
    <n v="-13262.649999999998"/>
  </r>
  <r>
    <x v="2"/>
    <x v="1"/>
    <x v="0"/>
    <s v="2471200"/>
    <n v="450040"/>
    <s v="Prompt Pay Disc-Phys Svcs-Self Pay"/>
    <s v="Primary Care-Belfair"/>
    <x v="0"/>
    <n v="1500"/>
    <n v="185.38"/>
    <n v="0"/>
    <n v="0"/>
    <n v="0"/>
    <n v="0"/>
    <n v="0"/>
    <n v="0"/>
    <n v="0"/>
    <n v="0"/>
    <n v="0"/>
    <n v="0"/>
    <n v="0"/>
    <n v="185.38"/>
    <n v="0"/>
  </r>
  <r>
    <x v="2"/>
    <x v="1"/>
    <x v="0"/>
    <s v="2471200"/>
    <n v="450040"/>
    <s v="Admin Adjust-Phys Svcs-Self Pay"/>
    <s v="Primary Care-Belfair"/>
    <x v="0"/>
    <n v="1600"/>
    <n v="246.73"/>
    <n v="490.09"/>
    <n v="1146.29"/>
    <n v="1538.86"/>
    <n v="1086.17"/>
    <n v="841.74"/>
    <n v="1134.6099999999999"/>
    <n v="1325.74"/>
    <n v="1410.06"/>
    <n v="2462.2399999999998"/>
    <n v="1819.95"/>
    <n v="3360.58"/>
    <n v="16863.059999999998"/>
    <n v="-1540.6299999999999"/>
  </r>
  <r>
    <x v="2"/>
    <x v="1"/>
    <x v="0"/>
    <s v="2471200"/>
    <n v="450040"/>
    <s v="Contr Allow--Phys Svcs--Other"/>
    <s v="Primary Care-Belfair"/>
    <x v="0"/>
    <n v="1700"/>
    <n v="15663.63"/>
    <n v="12097.99"/>
    <n v="6952.52"/>
    <n v="9199.27"/>
    <n v="-2907.86"/>
    <n v="5102.43"/>
    <n v="9689.6200000000008"/>
    <n v="7820.83"/>
    <n v="6938.88"/>
    <n v="14294.84"/>
    <n v="12376.44"/>
    <n v="11282.85"/>
    <n v="108511.44000000002"/>
    <n v="1093.5900000000001"/>
  </r>
  <r>
    <x v="3"/>
    <x v="1"/>
    <x v="0"/>
    <s v="2471200"/>
    <n v="470040"/>
    <s v="Charity Care-Physician Svcs"/>
    <s v="Primary Care-Belfair"/>
    <x v="0"/>
    <m/>
    <n v="437.22"/>
    <n v="2380.4699999999998"/>
    <n v="915.36"/>
    <n v="1563.77"/>
    <n v="228.97"/>
    <n v="-159.82"/>
    <n v="2913.36"/>
    <n v="1693.15"/>
    <n v="2059.29"/>
    <n v="728.94"/>
    <n v="806.63"/>
    <n v="3135.23"/>
    <n v="16702.57"/>
    <n v="-2328.6"/>
  </r>
  <r>
    <x v="4"/>
    <x v="1"/>
    <x v="0"/>
    <s v="2471200"/>
    <n v="490010"/>
    <s v="Provision for Bad Debts"/>
    <s v="Primary Care-Belfair"/>
    <x v="0"/>
    <m/>
    <n v="756.51"/>
    <n v="5106.8599999999997"/>
    <n v="257.88"/>
    <n v="320.37"/>
    <n v="1422.16"/>
    <n v="-240.24"/>
    <n v="6724.95"/>
    <n v="3930.88"/>
    <n v="1255.58"/>
    <n v="-162.16"/>
    <n v="1825.56"/>
    <n v="7215.83"/>
    <n v="28414.18"/>
    <n v="-5390.27"/>
  </r>
  <r>
    <x v="5"/>
    <x v="1"/>
    <x v="0"/>
    <s v="2471200"/>
    <n v="700022"/>
    <s v="Salaries-Physician-Productive"/>
    <s v="Primary Care-Belfair"/>
    <x v="0"/>
    <m/>
    <n v="29869.88"/>
    <n v="58905.919999999998"/>
    <n v="45644.2"/>
    <n v="50000.160000000003"/>
    <n v="57941.440000000002"/>
    <n v="49634.45"/>
    <n v="61813.19"/>
    <n v="58803.24"/>
    <n v="61278.720000000001"/>
    <n v="60165.95"/>
    <n v="68138.17"/>
    <n v="47616.08"/>
    <n v="649811.39999999991"/>
    <n v="20522.089999999997"/>
  </r>
  <r>
    <x v="5"/>
    <x v="1"/>
    <x v="0"/>
    <s v="2471200"/>
    <n v="700022"/>
    <s v="Salaries-Physician-Other"/>
    <s v="Primary Care-Belfair"/>
    <x v="0"/>
    <n v="2000"/>
    <n v="0"/>
    <n v="0"/>
    <n v="0"/>
    <n v="0"/>
    <n v="0"/>
    <n v="14688.92"/>
    <n v="0"/>
    <n v="0"/>
    <n v="0"/>
    <n v="0"/>
    <n v="0"/>
    <n v="0"/>
    <n v="14688.92"/>
    <n v="0"/>
  </r>
  <r>
    <x v="5"/>
    <x v="1"/>
    <x v="0"/>
    <s v="2471200"/>
    <n v="700022"/>
    <s v="Salaries-Physician-Provider Incentive"/>
    <s v="Primary Care-Belfair"/>
    <x v="0"/>
    <n v="4003"/>
    <n v="0"/>
    <n v="0"/>
    <n v="0"/>
    <n v="9069.81"/>
    <n v="0"/>
    <n v="0"/>
    <n v="0"/>
    <n v="0"/>
    <n v="0"/>
    <n v="0"/>
    <n v="0"/>
    <n v="0"/>
    <n v="9069.81"/>
    <n v="0"/>
  </r>
  <r>
    <x v="5"/>
    <x v="1"/>
    <x v="0"/>
    <s v="2471200"/>
    <n v="700024"/>
    <s v="Salaries-Advanced Practice Clinician-Productive"/>
    <s v="Primary Care-Belfair"/>
    <x v="0"/>
    <m/>
    <n v="0"/>
    <n v="0"/>
    <n v="0"/>
    <n v="0"/>
    <n v="0"/>
    <n v="9414.25"/>
    <n v="10470.969999999999"/>
    <n v="9475.4500000000007"/>
    <n v="9949.2199999999993"/>
    <n v="10422.969999999999"/>
    <n v="9712.33"/>
    <n v="5922.15"/>
    <n v="65367.340000000004"/>
    <n v="3790.1800000000003"/>
  </r>
  <r>
    <x v="5"/>
    <x v="1"/>
    <x v="0"/>
    <s v="2471200"/>
    <n v="700026"/>
    <s v="Salaries-RN-Productive"/>
    <s v="Primary Care-Belfair"/>
    <x v="0"/>
    <m/>
    <n v="4700.95"/>
    <n v="5178.97"/>
    <n v="4984.71"/>
    <n v="5973.15"/>
    <n v="5406.74"/>
    <n v="727.42"/>
    <n v="5908.84"/>
    <n v="4751.83"/>
    <n v="1972.3"/>
    <n v="-81.510000000000005"/>
    <n v="0"/>
    <n v="0"/>
    <n v="39523.4"/>
    <n v="0"/>
  </r>
  <r>
    <x v="5"/>
    <x v="1"/>
    <x v="0"/>
    <s v="2471200"/>
    <n v="700026"/>
    <s v="Salaries-RN-OT"/>
    <s v="Primary Care-Belfair"/>
    <x v="0"/>
    <n v="1000"/>
    <n v="12.15"/>
    <n v="69.41"/>
    <n v="17.36"/>
    <n v="120.79"/>
    <n v="-46.68"/>
    <n v="0"/>
    <n v="12.59"/>
    <n v="68.319999999999993"/>
    <n v="-5.38"/>
    <n v="0"/>
    <n v="0"/>
    <n v="0"/>
    <n v="248.56"/>
    <n v="0"/>
  </r>
  <r>
    <x v="5"/>
    <x v="1"/>
    <x v="0"/>
    <s v="2471200"/>
    <n v="700032"/>
    <s v="Salaries-Other Pat Care Providers-Productive"/>
    <s v="Primary Care-Belfair"/>
    <x v="0"/>
    <m/>
    <n v="8925.25"/>
    <n v="9869.64"/>
    <n v="9565.0499999999993"/>
    <n v="9549.49"/>
    <n v="10238.51"/>
    <n v="6738.21"/>
    <n v="10195.66"/>
    <n v="8100.5"/>
    <n v="12626.33"/>
    <n v="13821.38"/>
    <n v="10040.59"/>
    <n v="10325.1"/>
    <n v="119995.71"/>
    <n v="-284.51000000000022"/>
  </r>
  <r>
    <x v="5"/>
    <x v="1"/>
    <x v="0"/>
    <s v="2471200"/>
    <n v="700032"/>
    <s v="Salaries-Other Pat Care Providers-OT"/>
    <s v="Primary Care-Belfair"/>
    <x v="0"/>
    <n v="1000"/>
    <n v="197.67"/>
    <n v="163.80000000000001"/>
    <n v="59.85"/>
    <n v="353.77"/>
    <n v="187.62"/>
    <n v="1019.03"/>
    <n v="69.98"/>
    <n v="137.88999999999999"/>
    <n v="275.60000000000002"/>
    <n v="228"/>
    <n v="450.13"/>
    <n v="380.69"/>
    <n v="3524.0299999999997"/>
    <n v="69.44"/>
  </r>
  <r>
    <x v="5"/>
    <x v="1"/>
    <x v="0"/>
    <s v="2471200"/>
    <n v="700032"/>
    <s v="Salaries-Other Pat Care Providers-Other"/>
    <s v="Primary Care-Belfair"/>
    <x v="0"/>
    <n v="2000"/>
    <n v="0"/>
    <n v="0"/>
    <n v="0"/>
    <n v="0"/>
    <n v="0"/>
    <n v="8.44"/>
    <n v="5.41"/>
    <n v="0"/>
    <n v="33.78"/>
    <n v="30.02"/>
    <n v="0"/>
    <n v="6.08"/>
    <n v="83.73"/>
    <n v="-6.08"/>
  </r>
  <r>
    <x v="5"/>
    <x v="1"/>
    <x v="0"/>
    <s v="2471200"/>
    <n v="700038"/>
    <s v="Salaries-Service/Support-Productive"/>
    <s v="Primary Care-Belfair"/>
    <x v="0"/>
    <m/>
    <n v="7255.55"/>
    <n v="7492.68"/>
    <n v="3554.38"/>
    <n v="4664.41"/>
    <n v="3578.07"/>
    <n v="2802.68"/>
    <n v="4905.07"/>
    <n v="4871.59"/>
    <n v="7883.99"/>
    <n v="8579.9599999999991"/>
    <n v="7901.43"/>
    <n v="7835.01"/>
    <n v="71324.819999999992"/>
    <n v="66.420000000000073"/>
  </r>
  <r>
    <x v="5"/>
    <x v="1"/>
    <x v="0"/>
    <s v="2471200"/>
    <n v="700038"/>
    <s v="Salaries-Service/Support-OT"/>
    <s v="Primary Care-Belfair"/>
    <x v="0"/>
    <n v="1000"/>
    <n v="137.58000000000001"/>
    <n v="235.63"/>
    <n v="264.24"/>
    <n v="413.74"/>
    <n v="15.37"/>
    <n v="477.73"/>
    <n v="338.82"/>
    <n v="239.73"/>
    <n v="87.42"/>
    <n v="254.06"/>
    <n v="547.07000000000005"/>
    <n v="337.49"/>
    <n v="3348.88"/>
    <n v="209.58000000000004"/>
  </r>
  <r>
    <x v="5"/>
    <x v="1"/>
    <x v="0"/>
    <s v="2471200"/>
    <n v="700038"/>
    <s v="Salaries-Service/Support-Other"/>
    <s v="Primary Care-Belfair"/>
    <x v="0"/>
    <n v="2000"/>
    <n v="0"/>
    <n v="143.55000000000001"/>
    <n v="122.95"/>
    <n v="316.17"/>
    <n v="87.63"/>
    <n v="58.25"/>
    <n v="0"/>
    <n v="0"/>
    <n v="30.06"/>
    <n v="30.02"/>
    <n v="0"/>
    <n v="0"/>
    <n v="788.63"/>
    <n v="0"/>
  </r>
  <r>
    <x v="5"/>
    <x v="1"/>
    <x v="0"/>
    <s v="2471200"/>
    <n v="700062"/>
    <s v="Salaries-Physician-Non-productive"/>
    <s v="Primary Care-Belfair"/>
    <x v="0"/>
    <m/>
    <n v="26418.16"/>
    <n v="-130.04"/>
    <n v="5668"/>
    <n v="7220.16"/>
    <n v="-3208.96"/>
    <n v="9234.43"/>
    <n v="2760.91"/>
    <n v="0"/>
    <n v="0"/>
    <n v="3964.91"/>
    <n v="949.99"/>
    <n v="12706.05"/>
    <n v="65583.61"/>
    <n v="-11756.06"/>
  </r>
  <r>
    <x v="5"/>
    <x v="1"/>
    <x v="0"/>
    <s v="2471200"/>
    <n v="700062"/>
    <s v="Salaries-Physician-NonProd-Other"/>
    <s v="Primary Care-Belfai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1200"/>
    <n v="700064"/>
    <s v="Salaries-Advanced Practice Clinician-Non-Productive"/>
    <s v="Primary Care-Belfair"/>
    <x v="0"/>
    <m/>
    <n v="0"/>
    <n v="0"/>
    <n v="0"/>
    <n v="0"/>
    <n v="0"/>
    <n v="650.51"/>
    <n v="566.73"/>
    <n v="138.18"/>
    <n v="138.93"/>
    <n v="137.84"/>
    <n v="1322.04"/>
    <n v="3689.83"/>
    <n v="6644.0599999999995"/>
    <n v="-2367.79"/>
  </r>
  <r>
    <x v="5"/>
    <x v="1"/>
    <x v="0"/>
    <s v="2471200"/>
    <n v="700066"/>
    <s v="Salaries-RN-Non-productive"/>
    <s v="Primary Care-Belfair"/>
    <x v="0"/>
    <m/>
    <n v="1036.48"/>
    <n v="558.73"/>
    <n v="559.88"/>
    <n v="-74.03"/>
    <n v="113.12"/>
    <n v="2471.4899999999998"/>
    <n v="134.91"/>
    <n v="744.51"/>
    <n v="-60.51"/>
    <n v="0"/>
    <n v="0"/>
    <n v="0"/>
    <n v="5484.58"/>
    <n v="0"/>
  </r>
  <r>
    <x v="5"/>
    <x v="1"/>
    <x v="0"/>
    <s v="2471200"/>
    <n v="700066"/>
    <s v="Salaries-RN-NonProd-Other"/>
    <s v="Primary Care-Belfai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1200"/>
    <n v="700072"/>
    <s v="Salaries-Other Pat Care Providers-Non-productive"/>
    <s v="Primary Care-Belfair"/>
    <x v="0"/>
    <m/>
    <n v="1714.77"/>
    <n v="1135.81"/>
    <n v="1192.52"/>
    <n v="1521.92"/>
    <n v="392.54"/>
    <n v="3804.7"/>
    <n v="344.06"/>
    <n v="2567.0500000000002"/>
    <n v="178.1"/>
    <n v="12.26"/>
    <n v="2004.67"/>
    <n v="682.8"/>
    <n v="15551.199999999999"/>
    <n v="1321.8700000000001"/>
  </r>
  <r>
    <x v="5"/>
    <x v="1"/>
    <x v="0"/>
    <s v="2471200"/>
    <n v="700072"/>
    <s v="Salaries-Other Pat Care Providers-NonProd-Other"/>
    <s v="Primary Care-Belfai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1200"/>
    <n v="700078"/>
    <s v="Salaries-Service/Support-Non-productive"/>
    <s v="Primary Care-Belfair"/>
    <x v="0"/>
    <m/>
    <n v="1447.08"/>
    <n v="1735.04"/>
    <n v="3101.07"/>
    <n v="-620.12"/>
    <n v="48.21"/>
    <n v="800.18"/>
    <n v="226.01"/>
    <n v="650.34"/>
    <n v="-50.63"/>
    <n v="359.62"/>
    <n v="315.17"/>
    <n v="1543.67"/>
    <n v="9555.6400000000012"/>
    <n v="-1228.5"/>
  </r>
  <r>
    <x v="5"/>
    <x v="1"/>
    <x v="0"/>
    <s v="2471200"/>
    <n v="700078"/>
    <s v="Salaries-Service/Support-NonProd-Other"/>
    <s v="Primary Care-Belfai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1200"/>
    <n v="700084"/>
    <s v="Accrued PTO"/>
    <s v="Primary Care-Belfair"/>
    <x v="0"/>
    <m/>
    <n v="-1052.76"/>
    <n v="-347.93"/>
    <n v="-155.81"/>
    <n v="1104.92"/>
    <n v="1360.68"/>
    <n v="-4282.5600000000004"/>
    <n v="1011.58"/>
    <n v="-561.09"/>
    <n v="833.92"/>
    <n v="1214.51"/>
    <n v="921.07"/>
    <n v="85.4"/>
    <n v="131.92999999999986"/>
    <n v="835.67000000000007"/>
  </r>
  <r>
    <x v="6"/>
    <x v="1"/>
    <x v="0"/>
    <s v="2471200"/>
    <n v="713010"/>
    <s v="Benefits-FICA/Medicare"/>
    <s v="Primary Care-Belfair"/>
    <x v="0"/>
    <m/>
    <n v="3785.79"/>
    <n v="3033.98"/>
    <n v="2443.94"/>
    <n v="2741.5"/>
    <n v="2218.25"/>
    <n v="5135.0600000000004"/>
    <n v="7381.31"/>
    <n v="6824.94"/>
    <n v="7114.23"/>
    <n v="4773.2"/>
    <n v="4873.0200000000004"/>
    <n v="3735.8"/>
    <n v="54061.020000000004"/>
    <n v="1137.2200000000003"/>
  </r>
  <r>
    <x v="6"/>
    <x v="1"/>
    <x v="0"/>
    <s v="2471200"/>
    <n v="713090"/>
    <s v="Benefits-Allocated Amounts"/>
    <s v="Primary Care-Belfair"/>
    <x v="0"/>
    <m/>
    <n v="0"/>
    <n v="0"/>
    <n v="0"/>
    <n v="0"/>
    <n v="0"/>
    <n v="0"/>
    <n v="0"/>
    <n v="0"/>
    <n v="77582.960000000006"/>
    <n v="10536.98"/>
    <n v="10418.129999999999"/>
    <n v="8381.08"/>
    <n v="106919.15000000001"/>
    <n v="2037.0499999999993"/>
  </r>
  <r>
    <x v="6"/>
    <x v="1"/>
    <x v="0"/>
    <s v="2471200"/>
    <n v="713092"/>
    <s v="Allocated Benefits-Physician"/>
    <s v="Primary Care-Belfair"/>
    <x v="0"/>
    <m/>
    <n v="11394.67"/>
    <n v="11227.13"/>
    <n v="10901.76"/>
    <n v="10745.49"/>
    <n v="10000.27"/>
    <n v="9350.4699999999993"/>
    <n v="13960.46"/>
    <n v="13369.34"/>
    <n v="-64978.65"/>
    <n v="3527.27"/>
    <n v="3487.47"/>
    <n v="2805.57"/>
    <n v="35791.249999999993"/>
    <n v="681.89999999999964"/>
  </r>
  <r>
    <x v="6"/>
    <x v="1"/>
    <x v="0"/>
    <s v="2471200"/>
    <n v="713093"/>
    <s v="Allocated Benefits-Advanced Practice Clinician"/>
    <s v="Primary Care-Belfair"/>
    <x v="0"/>
    <m/>
    <n v="0"/>
    <n v="0"/>
    <n v="0"/>
    <n v="0"/>
    <n v="0"/>
    <n v="0"/>
    <n v="0"/>
    <n v="0"/>
    <n v="1997.76"/>
    <n v="271.33"/>
    <n v="268.27"/>
    <n v="215.81"/>
    <n v="2753.17"/>
    <n v="52.45999999999998"/>
  </r>
  <r>
    <x v="7"/>
    <x v="1"/>
    <x v="0"/>
    <s v="2471200"/>
    <n v="718050"/>
    <s v="Miscellaneous Purchased Svcs"/>
    <s v="Primary Care-Belfair"/>
    <x v="0"/>
    <n v="1020"/>
    <n v="0"/>
    <n v="0"/>
    <n v="3142.67"/>
    <n v="1791.1"/>
    <n v="0"/>
    <n v="1856.44"/>
    <n v="0"/>
    <n v="0"/>
    <n v="0"/>
    <n v="0"/>
    <n v="0"/>
    <n v="0"/>
    <n v="6790.2100000000009"/>
    <n v="0"/>
  </r>
  <r>
    <x v="11"/>
    <x v="1"/>
    <x v="0"/>
    <s v="2471200"/>
    <n v="721010"/>
    <s v="Supplies-Medical - Billable"/>
    <s v="Primary Care-Belfair"/>
    <x v="0"/>
    <m/>
    <n v="0"/>
    <n v="5497.38"/>
    <n v="0"/>
    <n v="28.87"/>
    <n v="0"/>
    <n v="0"/>
    <n v="1382.02"/>
    <n v="0"/>
    <n v="6295.1"/>
    <n v="0"/>
    <n v="4403.75"/>
    <n v="69.02"/>
    <n v="17676.140000000003"/>
    <n v="4334.7299999999996"/>
  </r>
  <r>
    <x v="11"/>
    <x v="1"/>
    <x v="0"/>
    <s v="2471200"/>
    <n v="721010"/>
    <s v="Patient Monitoring"/>
    <s v="Primary Care-Belfair"/>
    <x v="0"/>
    <n v="1000"/>
    <n v="0"/>
    <n v="0"/>
    <n v="0"/>
    <n v="0"/>
    <n v="7.24"/>
    <n v="0"/>
    <n v="0"/>
    <n v="0"/>
    <n v="22.9"/>
    <n v="0"/>
    <n v="0"/>
    <n v="0"/>
    <n v="30.14"/>
    <n v="0"/>
  </r>
  <r>
    <x v="11"/>
    <x v="1"/>
    <x v="0"/>
    <s v="2471200"/>
    <n v="721020"/>
    <s v="Supplies-Surgical - Billable"/>
    <s v="Primary Care-Belfair"/>
    <x v="0"/>
    <m/>
    <n v="0"/>
    <n v="0"/>
    <n v="0"/>
    <n v="58.86"/>
    <n v="0"/>
    <n v="0"/>
    <n v="0"/>
    <n v="0"/>
    <n v="0"/>
    <n v="0"/>
    <n v="0"/>
    <n v="0"/>
    <n v="58.86"/>
    <n v="0"/>
  </r>
  <r>
    <x v="11"/>
    <x v="1"/>
    <x v="0"/>
    <s v="2471200"/>
    <n v="721020"/>
    <s v="Custom Packs"/>
    <s v="Primary Care-Belfair"/>
    <x v="0"/>
    <n v="1000"/>
    <n v="37"/>
    <n v="0"/>
    <n v="0"/>
    <n v="0"/>
    <n v="0"/>
    <n v="0"/>
    <n v="37"/>
    <n v="0"/>
    <n v="0"/>
    <n v="37"/>
    <n v="0"/>
    <n v="37"/>
    <n v="148"/>
    <n v="-37"/>
  </r>
  <r>
    <x v="11"/>
    <x v="1"/>
    <x v="0"/>
    <s v="2471200"/>
    <n v="721020"/>
    <s v="Suture/Wound Closure"/>
    <s v="Primary Care-Belfair"/>
    <x v="0"/>
    <n v="1001"/>
    <n v="27.89"/>
    <n v="0"/>
    <n v="0"/>
    <n v="82.02"/>
    <n v="0"/>
    <n v="0"/>
    <n v="0"/>
    <n v="0"/>
    <n v="0"/>
    <n v="0"/>
    <n v="0"/>
    <n v="0"/>
    <n v="109.91"/>
    <n v="0"/>
  </r>
  <r>
    <x v="11"/>
    <x v="1"/>
    <x v="0"/>
    <s v="2471200"/>
    <n v="721250"/>
    <s v="Supplies-Pharmacy Drugs - Billable"/>
    <s v="Primary Care-Belfair"/>
    <x v="0"/>
    <m/>
    <n v="6050.87"/>
    <n v="8767.35"/>
    <n v="2441.79"/>
    <n v="18362.37"/>
    <n v="7104.58"/>
    <n v="10725.59"/>
    <n v="20383.13"/>
    <n v="0"/>
    <n v="22913.38"/>
    <n v="12401.86"/>
    <n v="21362.44"/>
    <n v="11748.69"/>
    <n v="142262.05000000002"/>
    <n v="9613.7499999999982"/>
  </r>
  <r>
    <x v="11"/>
    <x v="1"/>
    <x v="0"/>
    <s v="2471200"/>
    <n v="721410"/>
    <s v="Supplies-Medical - Nonbillable"/>
    <s v="Primary Care-Belfair"/>
    <x v="0"/>
    <m/>
    <n v="403.24"/>
    <n v="170.93"/>
    <n v="273.60000000000002"/>
    <n v="624.22"/>
    <n v="352.33"/>
    <n v="500.77"/>
    <n v="476.06"/>
    <n v="4137.6499999999996"/>
    <n v="2882.76"/>
    <n v="446.13"/>
    <n v="525.91999999999996"/>
    <n v="739.53"/>
    <n v="11533.14"/>
    <n v="-213.61"/>
  </r>
  <r>
    <x v="11"/>
    <x v="1"/>
    <x v="0"/>
    <s v="2471200"/>
    <n v="721420"/>
    <s v="Supplies-Surgical Nonbillable"/>
    <s v="Primary Care-Belfair"/>
    <x v="0"/>
    <m/>
    <n v="100.15"/>
    <n v="0"/>
    <n v="0"/>
    <n v="40.200000000000003"/>
    <n v="0"/>
    <n v="0"/>
    <n v="20.94"/>
    <n v="0"/>
    <n v="-5.62"/>
    <n v="39.700000000000003"/>
    <n v="-2.56"/>
    <n v="27"/>
    <n v="219.81"/>
    <n v="-29.56"/>
  </r>
  <r>
    <x v="11"/>
    <x v="1"/>
    <x v="0"/>
    <s v="2471200"/>
    <n v="721610"/>
    <s v="Supplies-Anesthesia - Nonbillable"/>
    <s v="Primary Care-Belfair"/>
    <x v="0"/>
    <m/>
    <n v="0"/>
    <n v="0"/>
    <n v="0"/>
    <n v="24.54"/>
    <n v="0"/>
    <n v="0"/>
    <n v="0"/>
    <n v="0"/>
    <n v="0"/>
    <n v="9.82"/>
    <n v="0"/>
    <n v="0"/>
    <n v="34.36"/>
    <n v="0"/>
  </r>
  <r>
    <x v="11"/>
    <x v="1"/>
    <x v="0"/>
    <s v="2471200"/>
    <n v="721650"/>
    <s v="Supplies-Pharmacy Drugs - Nonbillable"/>
    <s v="Primary Care-Belfair"/>
    <x v="0"/>
    <m/>
    <n v="10.25"/>
    <n v="0"/>
    <n v="5.84"/>
    <n v="0"/>
    <n v="0"/>
    <n v="0"/>
    <n v="5.63"/>
    <n v="0"/>
    <n v="7.56"/>
    <n v="10.25"/>
    <n v="6.75"/>
    <n v="5.13"/>
    <n v="51.410000000000004"/>
    <n v="1.62"/>
  </r>
  <r>
    <x v="11"/>
    <x v="1"/>
    <x v="0"/>
    <s v="2471200"/>
    <n v="721710"/>
    <s v="Supplies-Laboratory - Nonbillable"/>
    <s v="Primary Care-Belfair"/>
    <x v="0"/>
    <m/>
    <n v="27.4"/>
    <n v="96.91"/>
    <n v="25.91"/>
    <n v="770.8"/>
    <n v="43.2"/>
    <n v="43.2"/>
    <n v="0"/>
    <n v="0"/>
    <n v="60.69"/>
    <n v="43.2"/>
    <n v="0"/>
    <n v="53.71"/>
    <n v="1165.0200000000002"/>
    <n v="-53.71"/>
  </r>
  <r>
    <x v="11"/>
    <x v="1"/>
    <x v="0"/>
    <s v="2471200"/>
    <n v="721710"/>
    <s v="Reagents"/>
    <s v="Primary Care-Belfair"/>
    <x v="0"/>
    <n v="1000"/>
    <n v="54.92"/>
    <n v="0"/>
    <n v="0"/>
    <n v="193.38"/>
    <n v="1125"/>
    <n v="34.590000000000003"/>
    <n v="0"/>
    <n v="0"/>
    <n v="983.7"/>
    <n v="141.30000000000001"/>
    <n v="0"/>
    <n v="0"/>
    <n v="2532.8900000000003"/>
    <n v="0"/>
  </r>
  <r>
    <x v="11"/>
    <x v="1"/>
    <x v="0"/>
    <s v="2471200"/>
    <n v="721750"/>
    <s v="Supplies-Film/Radiographic - Nonbillable"/>
    <s v="Primary Care-Belfair"/>
    <x v="0"/>
    <m/>
    <n v="0"/>
    <n v="0"/>
    <n v="0"/>
    <n v="54.5"/>
    <n v="-9.5"/>
    <n v="0"/>
    <n v="0"/>
    <n v="0"/>
    <n v="0"/>
    <n v="0"/>
    <n v="0"/>
    <n v="0"/>
    <n v="45"/>
    <n v="0"/>
  </r>
  <r>
    <x v="11"/>
    <x v="1"/>
    <x v="0"/>
    <s v="2471200"/>
    <n v="721810"/>
    <s v="Supplies-Dietary/Cafeteria"/>
    <s v="Primary Care-Belfair"/>
    <x v="0"/>
    <m/>
    <n v="0"/>
    <n v="0"/>
    <n v="0"/>
    <n v="0"/>
    <n v="0"/>
    <n v="0"/>
    <n v="4.01"/>
    <n v="6.25"/>
    <n v="0"/>
    <n v="11.45"/>
    <n v="0"/>
    <n v="0"/>
    <n v="21.71"/>
    <n v="0"/>
  </r>
  <r>
    <x v="11"/>
    <x v="1"/>
    <x v="0"/>
    <s v="2471200"/>
    <n v="721830"/>
    <s v="Supplies-Office"/>
    <s v="Primary Care-Belfair"/>
    <x v="0"/>
    <m/>
    <n v="236.54"/>
    <n v="202.71"/>
    <n v="54.39"/>
    <n v="78.17"/>
    <n v="54.39"/>
    <n v="54.4"/>
    <n v="63.28"/>
    <n v="82.76"/>
    <n v="108.78"/>
    <n v="54.39"/>
    <n v="126.13"/>
    <n v="172.06"/>
    <n v="1287.9999999999998"/>
    <n v="-45.930000000000007"/>
  </r>
  <r>
    <x v="11"/>
    <x v="1"/>
    <x v="0"/>
    <s v="2471200"/>
    <n v="721835"/>
    <s v="Supplies-Forms"/>
    <s v="Primary Care-Belfair"/>
    <x v="0"/>
    <m/>
    <n v="0"/>
    <n v="0"/>
    <n v="0"/>
    <n v="0"/>
    <n v="28"/>
    <n v="175.73"/>
    <n v="370.2"/>
    <n v="0"/>
    <n v="0"/>
    <n v="0"/>
    <n v="50.02"/>
    <n v="3.8"/>
    <n v="627.74999999999989"/>
    <n v="46.220000000000006"/>
  </r>
  <r>
    <x v="11"/>
    <x v="1"/>
    <x v="0"/>
    <s v="2471200"/>
    <n v="721870"/>
    <s v="Supplies-Environmental Services"/>
    <s v="Primary Care-Belfair"/>
    <x v="0"/>
    <m/>
    <n v="15.76"/>
    <n v="0"/>
    <n v="0"/>
    <n v="46.1"/>
    <n v="0"/>
    <n v="0"/>
    <n v="47.28"/>
    <n v="26.4"/>
    <n v="7.88"/>
    <n v="39.4"/>
    <n v="0"/>
    <n v="0"/>
    <n v="182.82"/>
    <n v="0"/>
  </r>
  <r>
    <x v="11"/>
    <x v="1"/>
    <x v="0"/>
    <s v="2471200"/>
    <n v="721880"/>
    <s v="Supplies-Linen"/>
    <s v="Primary Care-Belfair"/>
    <x v="0"/>
    <m/>
    <n v="19.8"/>
    <n v="39.6"/>
    <n v="0"/>
    <n v="75"/>
    <n v="0"/>
    <n v="6.55"/>
    <n v="0"/>
    <n v="143.88"/>
    <n v="170.76"/>
    <n v="53.76"/>
    <n v="129.02000000000001"/>
    <n v="39.6"/>
    <n v="677.97"/>
    <n v="89.420000000000016"/>
  </r>
  <r>
    <x v="11"/>
    <x v="1"/>
    <x v="0"/>
    <s v="2471200"/>
    <n v="721910"/>
    <s v="Supplies-Small Equipment"/>
    <s v="Primary Care-Belfair"/>
    <x v="0"/>
    <m/>
    <n v="46.08"/>
    <n v="0"/>
    <n v="0"/>
    <n v="47.98"/>
    <n v="190.07"/>
    <n v="45.9"/>
    <n v="32.47"/>
    <n v="0"/>
    <n v="0"/>
    <n v="0"/>
    <n v="0"/>
    <n v="11.28"/>
    <n v="373.78"/>
    <n v="-11.28"/>
  </r>
  <r>
    <x v="11"/>
    <x v="1"/>
    <x v="0"/>
    <s v="2471200"/>
    <n v="721910"/>
    <s v="Instruments"/>
    <s v="Primary Care-Belfair"/>
    <x v="0"/>
    <n v="1000"/>
    <n v="0"/>
    <n v="0"/>
    <n v="36.380000000000003"/>
    <n v="0"/>
    <n v="0"/>
    <n v="68.81"/>
    <n v="152.16999999999999"/>
    <n v="11.5"/>
    <n v="18.190000000000001"/>
    <n v="36.49"/>
    <n v="0"/>
    <n v="-54.96"/>
    <n v="268.58000000000004"/>
    <n v="54.96"/>
  </r>
  <r>
    <x v="11"/>
    <x v="1"/>
    <x v="0"/>
    <s v="2471200"/>
    <n v="721980"/>
    <s v="Supplies-Other"/>
    <s v="Primary Care-Belfair"/>
    <x v="0"/>
    <m/>
    <n v="0"/>
    <n v="0"/>
    <n v="67.62"/>
    <n v="0"/>
    <n v="6.09"/>
    <n v="0"/>
    <n v="0"/>
    <n v="0"/>
    <n v="0"/>
    <n v="0"/>
    <n v="0"/>
    <n v="0"/>
    <n v="73.710000000000008"/>
    <n v="0"/>
  </r>
  <r>
    <x v="11"/>
    <x v="1"/>
    <x v="0"/>
    <s v="2471200"/>
    <n v="722000"/>
    <s v="Supplies-Freight Expense"/>
    <s v="Primary Care-Belfair"/>
    <x v="0"/>
    <m/>
    <n v="0"/>
    <n v="23.79"/>
    <n v="0"/>
    <n v="0"/>
    <n v="0"/>
    <n v="0"/>
    <n v="0"/>
    <n v="8.24"/>
    <n v="0"/>
    <n v="0"/>
    <n v="16.52"/>
    <n v="0"/>
    <n v="48.55"/>
    <n v="16.52"/>
  </r>
  <r>
    <x v="12"/>
    <x v="1"/>
    <x v="0"/>
    <s v="2471200"/>
    <n v="730020"/>
    <s v="Rental and Leases-Equipment (DO NOT USE)"/>
    <s v="Primary Care-Belfair"/>
    <x v="0"/>
    <m/>
    <n v="0"/>
    <n v="0"/>
    <n v="0"/>
    <n v="0"/>
    <n v="0"/>
    <n v="0"/>
    <n v="132.21"/>
    <n v="0"/>
    <n v="0"/>
    <n v="132.08000000000001"/>
    <n v="66.040000000000006"/>
    <n v="0"/>
    <n v="330.33000000000004"/>
    <n v="66.040000000000006"/>
  </r>
  <r>
    <x v="13"/>
    <x v="1"/>
    <x v="0"/>
    <s v="2471200"/>
    <n v="735070"/>
    <s v="Depreciation-Movable Equipment"/>
    <s v="Primary Care-Belfair"/>
    <x v="0"/>
    <m/>
    <n v="36.9"/>
    <n v="36.9"/>
    <n v="36.909999999999997"/>
    <n v="36.9"/>
    <n v="36.909999999999997"/>
    <n v="36.9"/>
    <n v="36.909999999999997"/>
    <n v="36.9"/>
    <n v="36.909999999999997"/>
    <n v="36.9"/>
    <n v="36.909999999999997"/>
    <n v="36.9"/>
    <n v="442.84999999999991"/>
    <n v="9.9999999999980105E-3"/>
  </r>
  <r>
    <x v="0"/>
    <x v="1"/>
    <x v="0"/>
    <s v="2471200"/>
    <n v="740022"/>
    <s v="Education-Physician"/>
    <s v="Primary Care-Belfair"/>
    <x v="0"/>
    <m/>
    <n v="1330"/>
    <n v="0"/>
    <n v="0"/>
    <n v="0"/>
    <n v="0"/>
    <n v="0"/>
    <n v="0"/>
    <n v="0"/>
    <n v="0"/>
    <n v="795"/>
    <n v="0"/>
    <n v="0"/>
    <n v="2125"/>
    <n v="0"/>
  </r>
  <r>
    <x v="0"/>
    <x v="1"/>
    <x v="0"/>
    <s v="2471200"/>
    <n v="740023"/>
    <s v="Education-Advanced Practice Clinician"/>
    <s v="Primary Care-Belfair"/>
    <x v="0"/>
    <m/>
    <n v="0"/>
    <n v="0"/>
    <n v="0"/>
    <n v="0"/>
    <n v="0"/>
    <n v="0"/>
    <n v="0"/>
    <n v="517.96"/>
    <n v="0"/>
    <n v="0"/>
    <n v="0"/>
    <n v="0"/>
    <n v="517.96"/>
    <n v="0"/>
  </r>
  <r>
    <x v="8"/>
    <x v="1"/>
    <x v="0"/>
    <s v="2471200"/>
    <n v="741012"/>
    <s v="Physician Liab Insurance-CHI Program"/>
    <s v="Primary Care-Belfair"/>
    <x v="0"/>
    <m/>
    <n v="852.6"/>
    <n v="852.6"/>
    <n v="852.6"/>
    <n v="852.6"/>
    <n v="852.6"/>
    <n v="852.6"/>
    <n v="852.6"/>
    <n v="852.6"/>
    <n v="852.6"/>
    <n v="852.6"/>
    <n v="852.6"/>
    <n v="852.6"/>
    <n v="10231.200000000003"/>
    <n v="0"/>
  </r>
  <r>
    <x v="0"/>
    <x v="1"/>
    <x v="0"/>
    <s v="2471200"/>
    <n v="743022"/>
    <s v="Dues-Physician"/>
    <s v="Primary Care-Belfair"/>
    <x v="0"/>
    <m/>
    <n v="0"/>
    <n v="0"/>
    <n v="0"/>
    <n v="0"/>
    <n v="0"/>
    <n v="810"/>
    <n v="600"/>
    <n v="1660"/>
    <n v="635"/>
    <n v="0"/>
    <n v="583"/>
    <n v="0"/>
    <n v="4288"/>
    <n v="583"/>
  </r>
  <r>
    <x v="0"/>
    <x v="1"/>
    <x v="0"/>
    <s v="2471200"/>
    <n v="743023"/>
    <s v="Dues-Advanced Practice Clinician"/>
    <s v="Primary Care-Belfair"/>
    <x v="0"/>
    <m/>
    <n v="0"/>
    <n v="0"/>
    <n v="0"/>
    <n v="0"/>
    <n v="0"/>
    <n v="0"/>
    <n v="0"/>
    <n v="180"/>
    <n v="0"/>
    <n v="0"/>
    <n v="0"/>
    <n v="0"/>
    <n v="180"/>
    <n v="0"/>
  </r>
  <r>
    <x v="0"/>
    <x v="1"/>
    <x v="0"/>
    <s v="2471200"/>
    <n v="743042"/>
    <s v="Subscriptions-Physician"/>
    <s v="Primary Care-Belfair"/>
    <x v="0"/>
    <m/>
    <n v="0"/>
    <n v="0"/>
    <n v="0"/>
    <n v="444.83"/>
    <n v="0"/>
    <n v="825"/>
    <n v="0"/>
    <n v="0"/>
    <n v="0"/>
    <n v="0"/>
    <n v="45"/>
    <n v="0"/>
    <n v="1314.83"/>
    <n v="45"/>
  </r>
  <r>
    <x v="0"/>
    <x v="1"/>
    <x v="0"/>
    <s v="2471200"/>
    <n v="749510"/>
    <s v="Miscellaneous Expenses"/>
    <s v="Primary Care-Belfair"/>
    <x v="0"/>
    <m/>
    <n v="-2884.73"/>
    <n v="26.71"/>
    <n v="418.12"/>
    <n v="-219.71"/>
    <n v="972.72"/>
    <n v="-1197.8399999999999"/>
    <n v="517.96"/>
    <n v="-92.96"/>
    <n v="370"/>
    <n v="-795"/>
    <n v="0"/>
    <n v="0"/>
    <n v="-2884.73"/>
    <n v="0"/>
  </r>
  <r>
    <x v="0"/>
    <x v="1"/>
    <x v="0"/>
    <s v="2471200"/>
    <n v="749510"/>
    <s v="Licenses"/>
    <s v="Primary Care-Belfair"/>
    <x v="0"/>
    <n v="1002"/>
    <n v="0"/>
    <n v="0"/>
    <n v="0"/>
    <n v="0"/>
    <n v="0"/>
    <n v="0"/>
    <n v="0"/>
    <n v="0"/>
    <n v="0"/>
    <n v="0"/>
    <n v="200"/>
    <n v="0"/>
    <n v="200"/>
    <n v="200"/>
  </r>
  <r>
    <x v="0"/>
    <x v="1"/>
    <x v="0"/>
    <s v="2471200"/>
    <n v="749512"/>
    <s v="Licenses-Physician"/>
    <s v="Primary Care-Belfair"/>
    <x v="0"/>
    <n v="2000"/>
    <n v="1300"/>
    <n v="0"/>
    <n v="0"/>
    <n v="1174.5"/>
    <n v="0"/>
    <n v="0"/>
    <n v="0"/>
    <n v="0"/>
    <n v="0"/>
    <n v="0"/>
    <n v="731"/>
    <n v="0"/>
    <n v="3205.5"/>
    <n v="731"/>
  </r>
  <r>
    <x v="0"/>
    <x v="1"/>
    <x v="0"/>
    <s v="2471200"/>
    <n v="749530"/>
    <s v="Travel"/>
    <s v="Primary Care-Belfair"/>
    <x v="0"/>
    <m/>
    <n v="0"/>
    <n v="0"/>
    <n v="6"/>
    <n v="0"/>
    <n v="0"/>
    <n v="0"/>
    <n v="0"/>
    <n v="0"/>
    <n v="0"/>
    <n v="36"/>
    <n v="0"/>
    <n v="0"/>
    <n v="42"/>
    <n v="0"/>
  </r>
  <r>
    <x v="0"/>
    <x v="1"/>
    <x v="0"/>
    <s v="2471200"/>
    <n v="749530"/>
    <s v="Mileage"/>
    <s v="Primary Care-Belfair"/>
    <x v="0"/>
    <n v="1001"/>
    <n v="0"/>
    <n v="0"/>
    <n v="20.71"/>
    <n v="0"/>
    <n v="225.12"/>
    <n v="559.26"/>
    <n v="0"/>
    <n v="0"/>
    <n v="0"/>
    <n v="257.52"/>
    <n v="0"/>
    <n v="0"/>
    <n v="1062.6100000000001"/>
    <n v="0"/>
  </r>
  <r>
    <x v="0"/>
    <x v="1"/>
    <x v="0"/>
    <s v="2471200"/>
    <n v="749532"/>
    <s v="Travel-Physician"/>
    <s v="Primary Care-Belfair"/>
    <x v="0"/>
    <m/>
    <n v="1073.73"/>
    <n v="0"/>
    <n v="0"/>
    <n v="1518.11"/>
    <n v="0"/>
    <n v="0"/>
    <n v="0"/>
    <n v="0"/>
    <n v="7.44"/>
    <n v="0"/>
    <n v="0"/>
    <n v="0"/>
    <n v="2599.2800000000002"/>
    <n v="0"/>
  </r>
  <r>
    <x v="0"/>
    <x v="1"/>
    <x v="0"/>
    <s v="2471200"/>
    <n v="749532"/>
    <s v="Vehicle Expense-Physician"/>
    <s v="Primary Care-Belfair"/>
    <x v="0"/>
    <n v="2001"/>
    <n v="11.45"/>
    <n v="0"/>
    <n v="0"/>
    <n v="0"/>
    <n v="0"/>
    <n v="0"/>
    <n v="0"/>
    <n v="0"/>
    <n v="8.1199999999999992"/>
    <n v="0"/>
    <n v="0"/>
    <n v="0"/>
    <n v="19.57"/>
    <n v="0"/>
  </r>
  <r>
    <x v="0"/>
    <x v="1"/>
    <x v="0"/>
    <s v="2471200"/>
    <n v="766010"/>
    <s v="Property Tax"/>
    <s v="Primary Care-Belfair"/>
    <x v="0"/>
    <m/>
    <n v="0"/>
    <n v="0"/>
    <n v="0"/>
    <n v="0"/>
    <n v="0"/>
    <n v="0"/>
    <n v="0"/>
    <n v="0"/>
    <n v="0"/>
    <n v="0"/>
    <n v="-3.03"/>
    <n v="0"/>
    <n v="-3.03"/>
    <n v="-3.03"/>
  </r>
  <r>
    <x v="9"/>
    <x v="1"/>
    <x v="0"/>
    <s v="2471200"/>
    <n v="800015"/>
    <s v="Interest Income-Ext to CHI"/>
    <s v="Primary Care-Belfair"/>
    <x v="0"/>
    <m/>
    <n v="0"/>
    <n v="0"/>
    <n v="0"/>
    <n v="0"/>
    <n v="0"/>
    <n v="-5.13"/>
    <n v="-15.26"/>
    <n v="-13.18"/>
    <n v="-13.93"/>
    <n v="-12.84"/>
    <n v="-12.6"/>
    <n v="-11.55"/>
    <n v="-84.49"/>
    <n v="-1.0499999999999989"/>
  </r>
  <r>
    <x v="1"/>
    <x v="1"/>
    <x v="0"/>
    <s v="2472200"/>
    <n v="400029"/>
    <s v="MD Practice Other Rev--Medicare"/>
    <s v="Primary Care-Brem"/>
    <x v="0"/>
    <n v="1100"/>
    <n v="-162"/>
    <n v="-24"/>
    <n v="-54"/>
    <n v="-184"/>
    <n v="0"/>
    <n v="0"/>
    <n v="0"/>
    <n v="0"/>
    <n v="0"/>
    <n v="0"/>
    <n v="0"/>
    <n v="0"/>
    <n v="-424"/>
    <n v="0"/>
  </r>
  <r>
    <x v="1"/>
    <x v="1"/>
    <x v="0"/>
    <s v="2472200"/>
    <n v="400029"/>
    <s v="MD Practice Other Rev--Medicaid"/>
    <s v="Primary Care-Brem"/>
    <x v="0"/>
    <n v="1200"/>
    <n v="0"/>
    <n v="0"/>
    <n v="0"/>
    <n v="0"/>
    <n v="-14"/>
    <n v="0"/>
    <n v="0"/>
    <n v="0"/>
    <n v="0"/>
    <n v="0"/>
    <n v="45"/>
    <n v="0"/>
    <n v="31"/>
    <n v="45"/>
  </r>
  <r>
    <x v="1"/>
    <x v="1"/>
    <x v="0"/>
    <s v="2472200"/>
    <n v="400029"/>
    <s v="MD Practice Other Rev--BCBS Comm"/>
    <s v="Primary Care-Brem"/>
    <x v="0"/>
    <n v="1301"/>
    <n v="90"/>
    <n v="0"/>
    <n v="0"/>
    <n v="0"/>
    <n v="0"/>
    <n v="0"/>
    <n v="0"/>
    <n v="0"/>
    <n v="0"/>
    <n v="0"/>
    <n v="0"/>
    <n v="0"/>
    <n v="90"/>
    <n v="0"/>
  </r>
  <r>
    <x v="1"/>
    <x v="1"/>
    <x v="0"/>
    <s v="2472200"/>
    <n v="400029"/>
    <s v="MD Practice Other Rev--Managed Care"/>
    <s v="Primary Care-Brem"/>
    <x v="0"/>
    <n v="1400"/>
    <n v="-15"/>
    <n v="0"/>
    <n v="0"/>
    <n v="0"/>
    <n v="0"/>
    <n v="0"/>
    <n v="0"/>
    <n v="0"/>
    <n v="0"/>
    <n v="0"/>
    <n v="0"/>
    <n v="0"/>
    <n v="-15"/>
    <n v="0"/>
  </r>
  <r>
    <x v="1"/>
    <x v="1"/>
    <x v="0"/>
    <s v="2472200"/>
    <n v="400029"/>
    <s v="MD Practice Other Rev--Other"/>
    <s v="Primary Care-Brem"/>
    <x v="0"/>
    <n v="1700"/>
    <n v="0"/>
    <n v="0"/>
    <n v="0"/>
    <n v="0"/>
    <n v="0"/>
    <n v="0"/>
    <n v="0"/>
    <n v="0"/>
    <n v="0"/>
    <n v="0"/>
    <n v="-45"/>
    <n v="0"/>
    <n v="-45"/>
    <n v="-45"/>
  </r>
  <r>
    <x v="1"/>
    <x v="1"/>
    <x v="0"/>
    <s v="2472200"/>
    <n v="400040"/>
    <s v="Physician Svcs Rev--Medicare"/>
    <s v="Primary Care-Brem"/>
    <x v="0"/>
    <n v="1100"/>
    <n v="-19008"/>
    <n v="-17914"/>
    <n v="-19407"/>
    <n v="-20072"/>
    <n v="-22187"/>
    <n v="-13736"/>
    <n v="-14257"/>
    <n v="-15922"/>
    <n v="-15585"/>
    <n v="-48"/>
    <n v="0"/>
    <n v="0"/>
    <n v="-158136"/>
    <n v="0"/>
  </r>
  <r>
    <x v="1"/>
    <x v="1"/>
    <x v="0"/>
    <s v="2472200"/>
    <n v="400040"/>
    <s v="Physician Svcs Rev--Medicaid"/>
    <s v="Primary Care-Brem"/>
    <x v="0"/>
    <n v="1200"/>
    <n v="-5423.23"/>
    <n v="-10195.209999999999"/>
    <n v="-2817"/>
    <n v="-8601"/>
    <n v="-7330"/>
    <n v="-3741"/>
    <n v="-4854"/>
    <n v="-3028"/>
    <n v="-8559"/>
    <n v="108"/>
    <n v="204"/>
    <n v="0"/>
    <n v="-54236.44"/>
    <n v="204"/>
  </r>
  <r>
    <x v="1"/>
    <x v="1"/>
    <x v="0"/>
    <s v="2472200"/>
    <n v="400040"/>
    <s v="Physician Svcs Rev--Comm Insurance"/>
    <s v="Primary Care-Brem"/>
    <x v="0"/>
    <n v="1300"/>
    <n v="-607"/>
    <n v="-557"/>
    <n v="0"/>
    <n v="0"/>
    <n v="-205"/>
    <n v="0"/>
    <n v="0"/>
    <n v="0"/>
    <n v="-240"/>
    <n v="0"/>
    <n v="0"/>
    <n v="0"/>
    <n v="-1609"/>
    <n v="0"/>
  </r>
  <r>
    <x v="1"/>
    <x v="1"/>
    <x v="0"/>
    <s v="2472200"/>
    <n v="400040"/>
    <s v="Physician Svcs Rev--BCBS Comm"/>
    <s v="Primary Care-Brem"/>
    <x v="0"/>
    <n v="1301"/>
    <n v="-395"/>
    <n v="0"/>
    <n v="-1457"/>
    <n v="0"/>
    <n v="-973"/>
    <n v="-216"/>
    <n v="-376"/>
    <n v="-605"/>
    <n v="-1473"/>
    <n v="0"/>
    <n v="0"/>
    <n v="0"/>
    <n v="-5495"/>
    <n v="0"/>
  </r>
  <r>
    <x v="1"/>
    <x v="1"/>
    <x v="0"/>
    <s v="2472200"/>
    <n v="400040"/>
    <s v="Physician Svcs Rev--Managed Care"/>
    <s v="Primary Care-Brem"/>
    <x v="0"/>
    <n v="1400"/>
    <n v="-5462"/>
    <n v="-1424"/>
    <n v="-4292"/>
    <n v="-1873"/>
    <n v="-1328"/>
    <n v="-4673"/>
    <n v="-1562"/>
    <n v="-3215"/>
    <n v="-6216"/>
    <n v="-24"/>
    <n v="294"/>
    <n v="0"/>
    <n v="-29775"/>
    <n v="294"/>
  </r>
  <r>
    <x v="1"/>
    <x v="1"/>
    <x v="0"/>
    <s v="2472200"/>
    <n v="400040"/>
    <s v="Physician Svcs Rev--Self Pay"/>
    <s v="Primary Care-Brem"/>
    <x v="0"/>
    <n v="1500"/>
    <n v="-614"/>
    <n v="-2825"/>
    <n v="557"/>
    <n v="0"/>
    <n v="0"/>
    <n v="0"/>
    <n v="0"/>
    <n v="-557"/>
    <n v="-568"/>
    <n v="-24"/>
    <n v="376"/>
    <n v="0"/>
    <n v="-3655"/>
    <n v="376"/>
  </r>
  <r>
    <x v="1"/>
    <x v="1"/>
    <x v="0"/>
    <s v="2472200"/>
    <n v="400040"/>
    <s v="Physician Svcs Rev--Other"/>
    <s v="Primary Care-Brem"/>
    <x v="0"/>
    <n v="1700"/>
    <n v="-2256.21"/>
    <n v="-1878.79"/>
    <n v="-1236"/>
    <n v="-108"/>
    <n v="-865"/>
    <n v="-757"/>
    <n v="-2411"/>
    <n v="-2470"/>
    <n v="-4693"/>
    <n v="-24"/>
    <n v="-874"/>
    <n v="0"/>
    <n v="-17573"/>
    <n v="-874"/>
  </r>
  <r>
    <x v="2"/>
    <x v="1"/>
    <x v="0"/>
    <s v="2472200"/>
    <n v="450029"/>
    <s v="Contr Allow--MD Other-Medicare"/>
    <s v="Primary Care-Brem"/>
    <x v="0"/>
    <n v="1100"/>
    <n v="59.5"/>
    <n v="66.81"/>
    <n v="15.84"/>
    <n v="152.56"/>
    <n v="0"/>
    <n v="0"/>
    <n v="0"/>
    <n v="0"/>
    <n v="0"/>
    <n v="0"/>
    <n v="0"/>
    <n v="0"/>
    <n v="294.71000000000004"/>
    <n v="0"/>
  </r>
  <r>
    <x v="2"/>
    <x v="1"/>
    <x v="0"/>
    <s v="2472200"/>
    <n v="450029"/>
    <s v="Contr Allow--MD Other-Medicaid"/>
    <s v="Primary Care-Brem"/>
    <x v="0"/>
    <n v="1200"/>
    <n v="13.09"/>
    <n v="0"/>
    <n v="0"/>
    <n v="240"/>
    <n v="0"/>
    <n v="-26.26"/>
    <n v="0"/>
    <n v="0"/>
    <n v="0"/>
    <n v="0"/>
    <n v="-45"/>
    <n v="0"/>
    <n v="181.83"/>
    <n v="-45"/>
  </r>
  <r>
    <x v="2"/>
    <x v="1"/>
    <x v="0"/>
    <s v="2472200"/>
    <n v="450029"/>
    <s v="Contr Allow--MD Other-Managed Care"/>
    <s v="Primary Care-Brem"/>
    <x v="0"/>
    <n v="1400"/>
    <n v="10.15"/>
    <n v="0"/>
    <n v="0"/>
    <n v="0"/>
    <n v="0"/>
    <n v="-54.54"/>
    <n v="0"/>
    <n v="0"/>
    <n v="0"/>
    <n v="0"/>
    <n v="0"/>
    <n v="0"/>
    <n v="-44.39"/>
    <n v="0"/>
  </r>
  <r>
    <x v="2"/>
    <x v="1"/>
    <x v="0"/>
    <s v="2472200"/>
    <n v="450029"/>
    <s v="Admin Adjust-MD Other-Self Pay"/>
    <s v="Primary Care-Brem"/>
    <x v="0"/>
    <n v="1600"/>
    <n v="9.7200000000000006"/>
    <n v="-4.2"/>
    <n v="0"/>
    <n v="0"/>
    <n v="0"/>
    <n v="0"/>
    <n v="0"/>
    <n v="5.17"/>
    <n v="0"/>
    <n v="0"/>
    <n v="0"/>
    <n v="0"/>
    <n v="10.690000000000001"/>
    <n v="0"/>
  </r>
  <r>
    <x v="2"/>
    <x v="1"/>
    <x v="0"/>
    <s v="2472200"/>
    <n v="450029"/>
    <s v="Contr Allow--MD Other-Other"/>
    <s v="Primary Care-Brem"/>
    <x v="0"/>
    <n v="1700"/>
    <n v="6.75"/>
    <n v="0"/>
    <n v="0"/>
    <n v="0"/>
    <n v="0"/>
    <n v="0"/>
    <n v="0"/>
    <n v="0"/>
    <n v="0"/>
    <n v="0"/>
    <n v="33.94"/>
    <n v="0"/>
    <n v="40.69"/>
    <n v="33.94"/>
  </r>
  <r>
    <x v="2"/>
    <x v="1"/>
    <x v="0"/>
    <s v="2472200"/>
    <n v="450040"/>
    <s v="Contr Allow--Phys Svcs--Mcare"/>
    <s v="Primary Care-Brem"/>
    <x v="0"/>
    <n v="1100"/>
    <n v="22311.64"/>
    <n v="9137.39"/>
    <n v="9703.34"/>
    <n v="16841.52"/>
    <n v="11899.2"/>
    <n v="10900.01"/>
    <n v="12140.93"/>
    <n v="10005.94"/>
    <n v="11460.86"/>
    <n v="2213.62"/>
    <n v="30.55"/>
    <n v="-342.01"/>
    <n v="116302.99"/>
    <n v="372.56"/>
  </r>
  <r>
    <x v="2"/>
    <x v="1"/>
    <x v="0"/>
    <s v="2472200"/>
    <n v="450040"/>
    <s v="Contr Allow--Phys Svcs--Mcaid"/>
    <s v="Primary Care-Brem"/>
    <x v="0"/>
    <n v="1200"/>
    <n v="13378.93"/>
    <n v="11074.96"/>
    <n v="9258.33"/>
    <n v="5600.61"/>
    <n v="7439.59"/>
    <n v="3809.36"/>
    <n v="5978.12"/>
    <n v="2159.4"/>
    <n v="4854.5600000000004"/>
    <n v="2555.7399999999998"/>
    <n v="-363.48"/>
    <n v="-388.28"/>
    <n v="65357.840000000011"/>
    <n v="24.799999999999955"/>
  </r>
  <r>
    <x v="2"/>
    <x v="1"/>
    <x v="0"/>
    <s v="2472200"/>
    <n v="450040"/>
    <s v="Contr Allow--Phys Svcs--Comm Insurance"/>
    <s v="Primary Care-Brem"/>
    <x v="0"/>
    <n v="1300"/>
    <n v="337.46"/>
    <n v="0"/>
    <n v="350.76"/>
    <n v="263.39"/>
    <n v="83.37"/>
    <n v="0"/>
    <n v="0"/>
    <n v="0"/>
    <n v="22.37"/>
    <n v="22.37"/>
    <n v="37.6"/>
    <n v="0"/>
    <n v="1117.3199999999997"/>
    <n v="37.6"/>
  </r>
  <r>
    <x v="2"/>
    <x v="1"/>
    <x v="0"/>
    <s v="2472200"/>
    <n v="450040"/>
    <s v="Contr Allow--Phys Svcs--BCBS Comm Ins"/>
    <s v="Primary Care-Brem"/>
    <x v="0"/>
    <n v="1301"/>
    <n v="492.24"/>
    <n v="0"/>
    <n v="263.33999999999997"/>
    <n v="349.45"/>
    <n v="135"/>
    <n v="27.42"/>
    <n v="52.79"/>
    <n v="37.14"/>
    <n v="418.27"/>
    <n v="580.94000000000005"/>
    <n v="182.85"/>
    <n v="0"/>
    <n v="2539.44"/>
    <n v="182.85"/>
  </r>
  <r>
    <x v="2"/>
    <x v="1"/>
    <x v="0"/>
    <s v="2472200"/>
    <n v="450040"/>
    <s v="Contr Allow--Phys Svcs--Managed Care"/>
    <s v="Primary Care-Brem"/>
    <x v="0"/>
    <n v="1400"/>
    <n v="4938.75"/>
    <n v="3392.32"/>
    <n v="1552.34"/>
    <n v="514.4"/>
    <n v="572.25"/>
    <n v="960"/>
    <n v="595.07000000000005"/>
    <n v="1402.64"/>
    <n v="1712.82"/>
    <n v="467.47"/>
    <n v="-30.76"/>
    <n v="11.76"/>
    <n v="16089.059999999998"/>
    <n v="-42.52"/>
  </r>
  <r>
    <x v="2"/>
    <x v="1"/>
    <x v="0"/>
    <s v="2472200"/>
    <n v="450040"/>
    <s v="Contr Allow--Phys Svcs--BCBS Mgnd Care"/>
    <s v="Primary Care-Brem"/>
    <x v="0"/>
    <n v="1401"/>
    <n v="-20195.12"/>
    <n v="-4079.75"/>
    <n v="-2975.51"/>
    <n v="-5242.2700000000004"/>
    <n v="736.64"/>
    <n v="-1252.07"/>
    <n v="-2226"/>
    <n v="767.8"/>
    <n v="1158.58"/>
    <n v="-6042.98"/>
    <n v="-457.74"/>
    <n v="-609.91999999999996"/>
    <n v="-40418.339999999989"/>
    <n v="152.17999999999995"/>
  </r>
  <r>
    <x v="2"/>
    <x v="1"/>
    <x v="0"/>
    <s v="2472200"/>
    <n v="450040"/>
    <s v="Admin Adjust-Phys Svcs-Self Pay"/>
    <s v="Primary Care-Brem"/>
    <x v="0"/>
    <n v="1600"/>
    <n v="344.49"/>
    <n v="1685.33"/>
    <n v="-205.89"/>
    <n v="380.02"/>
    <n v="-76"/>
    <n v="39.64"/>
    <n v="7.22"/>
    <n v="176.38"/>
    <n v="681.86"/>
    <n v="5.25"/>
    <n v="-4.42"/>
    <n v="23.13"/>
    <n v="3057.0099999999998"/>
    <n v="-27.549999999999997"/>
  </r>
  <r>
    <x v="2"/>
    <x v="1"/>
    <x v="0"/>
    <s v="2472200"/>
    <n v="450040"/>
    <s v="Contr Allow--Phys Svcs--Other"/>
    <s v="Primary Care-Brem"/>
    <x v="0"/>
    <n v="1700"/>
    <n v="2159.77"/>
    <n v="1569.23"/>
    <n v="707.71"/>
    <n v="1342.37"/>
    <n v="911.57"/>
    <n v="0"/>
    <n v="0"/>
    <n v="1715.7"/>
    <n v="3601.21"/>
    <n v="151.49"/>
    <n v="452.82"/>
    <n v="147.59"/>
    <n v="12759.460000000001"/>
    <n v="305.23"/>
  </r>
  <r>
    <x v="3"/>
    <x v="1"/>
    <x v="0"/>
    <s v="2472200"/>
    <n v="470040"/>
    <s v="Charity Care-Physician Svcs"/>
    <s v="Primary Care-Brem"/>
    <x v="0"/>
    <m/>
    <n v="-162.07"/>
    <n v="1860.94"/>
    <n v="79.44"/>
    <n v="751.88"/>
    <n v="48.49"/>
    <n v="34.35"/>
    <n v="543.70000000000005"/>
    <n v="104.82"/>
    <n v="760.17"/>
    <n v="88.1"/>
    <n v="-26.94"/>
    <n v="1710.81"/>
    <n v="5793.69"/>
    <n v="-1737.75"/>
  </r>
  <r>
    <x v="4"/>
    <x v="1"/>
    <x v="0"/>
    <s v="2472200"/>
    <n v="490010"/>
    <s v="Provision for Bad Debts"/>
    <s v="Primary Care-Brem"/>
    <x v="0"/>
    <m/>
    <n v="-2110.86"/>
    <n v="-135.47999999999999"/>
    <n v="1322.26"/>
    <n v="-90.97"/>
    <n v="291.44"/>
    <n v="110.87"/>
    <n v="-119.63"/>
    <n v="-763.18"/>
    <n v="77.010000000000005"/>
    <n v="-977.81"/>
    <n v="165.48"/>
    <n v="-735.6"/>
    <n v="-2966.4700000000003"/>
    <n v="901.08"/>
  </r>
  <r>
    <x v="5"/>
    <x v="1"/>
    <x v="0"/>
    <s v="2472200"/>
    <n v="700020"/>
    <s v="Salaries-Physician Admin-Productive"/>
    <s v="Primary Care-Brem"/>
    <x v="0"/>
    <m/>
    <n v="9856"/>
    <n v="10304"/>
    <n v="8960"/>
    <n v="10304"/>
    <n v="-88704"/>
    <n v="44800"/>
    <n v="0"/>
    <n v="0"/>
    <n v="0"/>
    <n v="0"/>
    <n v="0"/>
    <n v="0"/>
    <n v="-4480"/>
    <n v="0"/>
  </r>
  <r>
    <x v="5"/>
    <x v="1"/>
    <x v="0"/>
    <s v="2472200"/>
    <n v="700022"/>
    <s v="Salaries-Physician-Productive"/>
    <s v="Primary Care-Brem"/>
    <x v="0"/>
    <m/>
    <n v="7597.96"/>
    <n v="7943.33"/>
    <n v="8182.24"/>
    <n v="7793.32"/>
    <n v="-71081.710000000006"/>
    <n v="35886.22"/>
    <n v="0"/>
    <n v="0"/>
    <n v="0"/>
    <n v="0"/>
    <n v="0"/>
    <n v="0"/>
    <n v="-3678.6400000000067"/>
    <n v="0"/>
  </r>
  <r>
    <x v="5"/>
    <x v="1"/>
    <x v="0"/>
    <s v="2472200"/>
    <n v="700032"/>
    <s v="Salaries-Other Pat Care Providers-Productive"/>
    <s v="Primary Care-Brem"/>
    <x v="0"/>
    <m/>
    <n v="3251.98"/>
    <n v="3356.53"/>
    <n v="3287.74"/>
    <n v="3794.11"/>
    <n v="3919.65"/>
    <n v="2890.43"/>
    <n v="3613.41"/>
    <n v="-656.12"/>
    <n v="0"/>
    <n v="0"/>
    <n v="0"/>
    <n v="0"/>
    <n v="23457.730000000003"/>
    <n v="0"/>
  </r>
  <r>
    <x v="5"/>
    <x v="1"/>
    <x v="0"/>
    <s v="2472200"/>
    <n v="700032"/>
    <s v="Salaries-Other Pat Care Providers-OT"/>
    <s v="Primary Care-Brem"/>
    <x v="0"/>
    <n v="1000"/>
    <n v="29.71"/>
    <n v="114.74"/>
    <n v="41.27"/>
    <n v="12.38"/>
    <n v="110.52"/>
    <n v="452.27"/>
    <n v="-10.199999999999999"/>
    <n v="0"/>
    <n v="0"/>
    <n v="0"/>
    <n v="0"/>
    <n v="0"/>
    <n v="750.68999999999994"/>
    <n v="0"/>
  </r>
  <r>
    <x v="5"/>
    <x v="1"/>
    <x v="0"/>
    <s v="2472200"/>
    <n v="700038"/>
    <s v="Salaries-Service/Support-Productive"/>
    <s v="Primary Care-Brem"/>
    <x v="0"/>
    <m/>
    <n v="0"/>
    <n v="0"/>
    <n v="0"/>
    <n v="718.04"/>
    <n v="0"/>
    <n v="0"/>
    <n v="0"/>
    <n v="0"/>
    <n v="0"/>
    <n v="0"/>
    <n v="0"/>
    <n v="0"/>
    <n v="718.04"/>
    <n v="0"/>
  </r>
  <r>
    <x v="5"/>
    <x v="1"/>
    <x v="0"/>
    <s v="2472200"/>
    <n v="700062"/>
    <s v="Salaries-Physician-Non-productive"/>
    <s v="Primary Care-Brem"/>
    <x v="0"/>
    <m/>
    <n v="104.96"/>
    <n v="104.48"/>
    <n v="0"/>
    <n v="0"/>
    <n v="0"/>
    <n v="0"/>
    <n v="0"/>
    <n v="0"/>
    <n v="0"/>
    <n v="0"/>
    <n v="0"/>
    <n v="0"/>
    <n v="209.44"/>
    <n v="0"/>
  </r>
  <r>
    <x v="5"/>
    <x v="1"/>
    <x v="0"/>
    <s v="2472200"/>
    <n v="700072"/>
    <s v="Salaries-Other Pat Care Providers-Non-productive"/>
    <s v="Primary Care-Brem"/>
    <x v="0"/>
    <m/>
    <n v="589.86"/>
    <n v="670.21"/>
    <n v="236.61"/>
    <n v="342.51"/>
    <n v="-3.4"/>
    <n v="871.67"/>
    <n v="571.05999999999995"/>
    <n v="-70.37"/>
    <n v="0"/>
    <n v="0"/>
    <n v="0"/>
    <n v="0"/>
    <n v="3208.15"/>
    <n v="0"/>
  </r>
  <r>
    <x v="5"/>
    <x v="1"/>
    <x v="0"/>
    <s v="2472200"/>
    <n v="700084"/>
    <s v="Accrued PTO"/>
    <s v="Primary Care-Brem"/>
    <x v="0"/>
    <m/>
    <n v="-193.35"/>
    <n v="-45.56"/>
    <n v="98.6"/>
    <n v="47.32"/>
    <n v="300.83"/>
    <n v="-313.07"/>
    <n v="-214.91"/>
    <n v="-249.14"/>
    <n v="0"/>
    <n v="0"/>
    <n v="0"/>
    <n v="0"/>
    <n v="-569.28"/>
    <n v="0"/>
  </r>
  <r>
    <x v="6"/>
    <x v="1"/>
    <x v="0"/>
    <s v="2472200"/>
    <n v="713010"/>
    <s v="Benefits-FICA/Medicare"/>
    <s v="Primary Care-Brem"/>
    <x v="0"/>
    <m/>
    <n v="837.03"/>
    <n v="570.95000000000005"/>
    <n v="512.23"/>
    <n v="621.76"/>
    <n v="-2013.05"/>
    <n v="1480.64"/>
    <n v="308.86"/>
    <n v="-53.75"/>
    <n v="0"/>
    <n v="0"/>
    <n v="0"/>
    <n v="0"/>
    <n v="2264.6700000000005"/>
    <n v="0"/>
  </r>
  <r>
    <x v="6"/>
    <x v="1"/>
    <x v="0"/>
    <s v="2472200"/>
    <n v="713090"/>
    <s v="Benefits-Allocated Amounts"/>
    <s v="Primary Care-Brem"/>
    <x v="0"/>
    <m/>
    <n v="0"/>
    <n v="0"/>
    <n v="0"/>
    <n v="0"/>
    <n v="0"/>
    <n v="0"/>
    <n v="0"/>
    <n v="0"/>
    <n v="7483.03"/>
    <n v="98.68"/>
    <n v="43.82"/>
    <n v="-232.46"/>
    <n v="7393.07"/>
    <n v="276.28000000000003"/>
  </r>
  <r>
    <x v="6"/>
    <x v="1"/>
    <x v="0"/>
    <s v="2472200"/>
    <n v="713092"/>
    <s v="Allocated Benefits-Physician"/>
    <s v="Primary Care-Brem"/>
    <x v="0"/>
    <m/>
    <n v="2518.5300000000002"/>
    <n v="2335.9299999999998"/>
    <n v="2495.61"/>
    <n v="2696.8"/>
    <n v="-7960.09"/>
    <n v="4063.76"/>
    <n v="1210.8900000000001"/>
    <n v="64.62"/>
    <n v="-7426.05"/>
    <n v="0"/>
    <n v="0"/>
    <n v="0"/>
    <n v="-9.0949470177292824E-13"/>
    <n v="0"/>
  </r>
  <r>
    <x v="7"/>
    <x v="1"/>
    <x v="0"/>
    <s v="2472200"/>
    <n v="718040"/>
    <s v="Contract Svcs-Laboratory"/>
    <s v="Primary Care-Brem"/>
    <x v="0"/>
    <m/>
    <n v="102.4"/>
    <n v="0"/>
    <n v="0"/>
    <n v="0"/>
    <n v="-102.4"/>
    <n v="0"/>
    <n v="0"/>
    <n v="0"/>
    <n v="0"/>
    <n v="0"/>
    <n v="0"/>
    <n v="0"/>
    <n v="0"/>
    <n v="0"/>
  </r>
  <r>
    <x v="7"/>
    <x v="1"/>
    <x v="0"/>
    <s v="2472200"/>
    <n v="718050"/>
    <s v="Miscellaneous Purchased Svcs"/>
    <s v="Primary Care-Brem"/>
    <x v="0"/>
    <n v="1020"/>
    <n v="0"/>
    <n v="1669.82"/>
    <n v="815"/>
    <n v="906.87"/>
    <n v="-3391.69"/>
    <n v="0"/>
    <n v="0"/>
    <n v="0"/>
    <n v="0"/>
    <n v="0"/>
    <n v="0"/>
    <n v="0"/>
    <n v="-4.5474735088646412E-13"/>
    <n v="0"/>
  </r>
  <r>
    <x v="11"/>
    <x v="1"/>
    <x v="0"/>
    <s v="2472200"/>
    <n v="721250"/>
    <s v="Supplies-Pharmacy Drugs - Billable"/>
    <s v="Primary Care-Brem"/>
    <x v="0"/>
    <m/>
    <n v="2612.1"/>
    <n v="5522.38"/>
    <n v="18498.099999999999"/>
    <n v="13395.91"/>
    <n v="4114.26"/>
    <n v="-44142.75"/>
    <n v="0"/>
    <n v="0"/>
    <n v="0"/>
    <n v="0"/>
    <n v="0"/>
    <n v="0"/>
    <n v="0"/>
    <n v="0"/>
  </r>
  <r>
    <x v="11"/>
    <x v="1"/>
    <x v="0"/>
    <s v="2472200"/>
    <n v="721710"/>
    <s v="Supplies-Laboratory - Nonbillable"/>
    <s v="Primary Care-Brem"/>
    <x v="0"/>
    <m/>
    <n v="53.59"/>
    <n v="0"/>
    <n v="0"/>
    <n v="0"/>
    <n v="-53.59"/>
    <n v="0"/>
    <n v="0"/>
    <n v="0"/>
    <n v="0"/>
    <n v="0"/>
    <n v="0"/>
    <n v="0"/>
    <n v="0"/>
    <n v="0"/>
  </r>
  <r>
    <x v="11"/>
    <x v="1"/>
    <x v="0"/>
    <s v="2472200"/>
    <n v="721835"/>
    <s v="Supplies-Forms"/>
    <s v="Primary Care-Brem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2472200"/>
    <n v="721910"/>
    <s v="Instruments"/>
    <s v="Primary Care-Brem"/>
    <x v="0"/>
    <n v="1000"/>
    <n v="-14.45"/>
    <n v="0"/>
    <n v="0"/>
    <n v="0"/>
    <n v="14.45"/>
    <n v="0"/>
    <n v="0"/>
    <n v="0"/>
    <n v="0"/>
    <n v="0"/>
    <n v="0"/>
    <n v="0"/>
    <n v="0"/>
    <n v="0"/>
  </r>
  <r>
    <x v="11"/>
    <x v="1"/>
    <x v="0"/>
    <s v="2472200"/>
    <n v="721980"/>
    <s v="Supplies-Other"/>
    <s v="Primary Care-Brem"/>
    <x v="0"/>
    <m/>
    <n v="0"/>
    <n v="112.77"/>
    <n v="79.64"/>
    <n v="0"/>
    <n v="-192.41"/>
    <n v="0"/>
    <n v="0"/>
    <n v="0"/>
    <n v="0"/>
    <n v="0"/>
    <n v="0"/>
    <n v="0"/>
    <n v="0"/>
    <n v="0"/>
  </r>
  <r>
    <x v="12"/>
    <x v="1"/>
    <x v="0"/>
    <s v="2472200"/>
    <n v="730020"/>
    <s v="Rental and Leases-Equipment (DO NOT USE)"/>
    <s v="Primary Care-Brem"/>
    <x v="0"/>
    <m/>
    <n v="66.22"/>
    <n v="66.209999999999994"/>
    <n v="66.22"/>
    <n v="0"/>
    <n v="-198.65"/>
    <n v="0"/>
    <n v="0"/>
    <n v="0"/>
    <n v="0"/>
    <n v="0"/>
    <n v="0"/>
    <n v="0"/>
    <n v="0"/>
    <n v="0"/>
  </r>
  <r>
    <x v="16"/>
    <x v="1"/>
    <x v="0"/>
    <s v="2472200"/>
    <n v="732030"/>
    <s v="Repairs---Other"/>
    <s v="Primary Care-Brem"/>
    <x v="0"/>
    <m/>
    <n v="0"/>
    <n v="0"/>
    <n v="0"/>
    <n v="66.760000000000005"/>
    <n v="-66.760000000000005"/>
    <n v="0"/>
    <n v="0"/>
    <n v="0"/>
    <n v="0"/>
    <n v="0"/>
    <n v="0"/>
    <n v="0"/>
    <n v="0"/>
    <n v="0"/>
  </r>
  <r>
    <x v="16"/>
    <x v="1"/>
    <x v="0"/>
    <s v="2472200"/>
    <n v="732030"/>
    <s v="Repairs&amp;Maintenance-HVAC"/>
    <s v="Primary Care-Brem"/>
    <x v="0"/>
    <n v="5102"/>
    <n v="0"/>
    <n v="0"/>
    <n v="0"/>
    <n v="0"/>
    <n v="0"/>
    <n v="0"/>
    <n v="0"/>
    <n v="0"/>
    <n v="0"/>
    <n v="0"/>
    <n v="457.8"/>
    <n v="0"/>
    <n v="457.8"/>
    <n v="457.8"/>
  </r>
  <r>
    <x v="0"/>
    <x v="1"/>
    <x v="0"/>
    <s v="2472200"/>
    <n v="740022"/>
    <s v="Education-Physician"/>
    <s v="Primary Care-Brem"/>
    <x v="0"/>
    <m/>
    <n v="600"/>
    <n v="0"/>
    <n v="0"/>
    <n v="0"/>
    <n v="-600"/>
    <n v="0"/>
    <n v="0"/>
    <n v="0"/>
    <n v="0"/>
    <n v="0"/>
    <n v="0"/>
    <n v="0"/>
    <n v="0"/>
    <n v="0"/>
  </r>
  <r>
    <x v="8"/>
    <x v="1"/>
    <x v="0"/>
    <s v="2472200"/>
    <n v="741012"/>
    <s v="Physician Liab Insurance-CHI Program"/>
    <s v="Primary Care-Brem"/>
    <x v="0"/>
    <m/>
    <n v="378.93"/>
    <n v="378.93"/>
    <n v="378.93"/>
    <n v="378.93"/>
    <n v="-1515.72"/>
    <n v="0"/>
    <n v="0"/>
    <n v="0"/>
    <n v="0"/>
    <n v="0"/>
    <n v="0"/>
    <n v="0"/>
    <n v="0"/>
    <n v="0"/>
  </r>
  <r>
    <x v="0"/>
    <x v="1"/>
    <x v="0"/>
    <s v="2472200"/>
    <n v="743022"/>
    <s v="Dues-Physician"/>
    <s v="Primary Care-Brem"/>
    <x v="0"/>
    <m/>
    <n v="0"/>
    <n v="0"/>
    <n v="745"/>
    <n v="0"/>
    <n v="-745"/>
    <n v="0"/>
    <n v="0"/>
    <n v="0"/>
    <n v="0"/>
    <n v="0"/>
    <n v="0"/>
    <n v="0"/>
    <n v="0"/>
    <n v="0"/>
  </r>
  <r>
    <x v="0"/>
    <x v="1"/>
    <x v="0"/>
    <s v="2472200"/>
    <n v="749510"/>
    <s v="Miscellaneous Expenses"/>
    <s v="Primary Care-Brem"/>
    <x v="0"/>
    <m/>
    <n v="-37.07"/>
    <n v="43.06"/>
    <n v="-43.06"/>
    <n v="0"/>
    <n v="37.07"/>
    <n v="0"/>
    <n v="0"/>
    <n v="0"/>
    <n v="0"/>
    <n v="0"/>
    <n v="0"/>
    <n v="0"/>
    <n v="0"/>
    <n v="0"/>
  </r>
  <r>
    <x v="0"/>
    <x v="1"/>
    <x v="0"/>
    <s v="2472200"/>
    <n v="749532"/>
    <s v="Travel-Physician"/>
    <s v="Primary Care-Brem"/>
    <x v="0"/>
    <m/>
    <n v="12"/>
    <n v="6"/>
    <n v="155.30000000000001"/>
    <n v="0"/>
    <n v="-173.3"/>
    <n v="0"/>
    <n v="0"/>
    <n v="0"/>
    <n v="0"/>
    <n v="0"/>
    <n v="0"/>
    <n v="0"/>
    <n v="0"/>
    <n v="0"/>
  </r>
  <r>
    <x v="0"/>
    <x v="1"/>
    <x v="0"/>
    <s v="2472200"/>
    <n v="749532"/>
    <s v="Vehicle Expense-Physician"/>
    <s v="Primary Care-Brem"/>
    <x v="0"/>
    <n v="2001"/>
    <n v="164.6"/>
    <n v="74.13"/>
    <n v="281.81"/>
    <n v="51.81"/>
    <n v="-572.35"/>
    <n v="0"/>
    <n v="0"/>
    <n v="0"/>
    <n v="0"/>
    <n v="0"/>
    <n v="0"/>
    <n v="0"/>
    <n v="-1.1368683772161603E-13"/>
    <n v="0"/>
  </r>
  <r>
    <x v="0"/>
    <x v="1"/>
    <x v="0"/>
    <s v="2472200"/>
    <n v="766010"/>
    <s v="Property Tax"/>
    <s v="Primary Care-Brem"/>
    <x v="0"/>
    <m/>
    <n v="2.1"/>
    <n v="2.1"/>
    <n v="2.1"/>
    <n v="-6.3"/>
    <n v="0"/>
    <n v="0"/>
    <n v="0"/>
    <n v="0"/>
    <n v="0"/>
    <n v="0"/>
    <n v="0"/>
    <n v="0"/>
    <n v="8.8817841970012523E-16"/>
    <n v="0"/>
  </r>
  <r>
    <x v="9"/>
    <x v="1"/>
    <x v="0"/>
    <s v="2472200"/>
    <n v="800015"/>
    <s v="Interest Income-Ext to CHI"/>
    <s v="Primary Care-Brem"/>
    <x v="0"/>
    <m/>
    <n v="-0.79"/>
    <n v="-0.39"/>
    <n v="0"/>
    <n v="0"/>
    <n v="1.18"/>
    <n v="0"/>
    <n v="0"/>
    <n v="0"/>
    <n v="0"/>
    <n v="0"/>
    <n v="0"/>
    <n v="0"/>
    <n v="-2.2204460492503131E-16"/>
    <n v="0"/>
  </r>
  <r>
    <x v="1"/>
    <x v="1"/>
    <x v="0"/>
    <s v="2473200"/>
    <n v="400029"/>
    <s v="MD Practice Other Rev--Medicare"/>
    <s v="Internal Med-Brem"/>
    <x v="0"/>
    <n v="1100"/>
    <n v="-28"/>
    <n v="-42"/>
    <n v="0"/>
    <n v="0"/>
    <n v="0"/>
    <n v="0"/>
    <n v="0"/>
    <n v="0"/>
    <n v="0"/>
    <n v="-29"/>
    <n v="0"/>
    <n v="0"/>
    <n v="-99"/>
    <n v="0"/>
  </r>
  <r>
    <x v="1"/>
    <x v="1"/>
    <x v="0"/>
    <s v="2473200"/>
    <n v="400029"/>
    <s v="MD Practice Other Rev--Managed Care"/>
    <s v="Internal Med-Brem"/>
    <x v="0"/>
    <n v="1400"/>
    <n v="-14"/>
    <n v="0"/>
    <n v="0"/>
    <n v="0"/>
    <n v="0"/>
    <n v="0"/>
    <n v="-14"/>
    <n v="0"/>
    <n v="0"/>
    <n v="0"/>
    <n v="0"/>
    <n v="0"/>
    <n v="-28"/>
    <n v="0"/>
  </r>
  <r>
    <x v="1"/>
    <x v="1"/>
    <x v="0"/>
    <s v="2473200"/>
    <n v="400040"/>
    <s v="Physician Svcs Rev--Medicare"/>
    <s v="Internal Med-Brem"/>
    <x v="0"/>
    <n v="1100"/>
    <n v="-53006"/>
    <n v="-35562.199999999997"/>
    <n v="-41246"/>
    <n v="-57519"/>
    <n v="-41441"/>
    <n v="-34795"/>
    <n v="-40333.800000000003"/>
    <n v="-31376"/>
    <n v="-41937"/>
    <n v="-64449"/>
    <n v="-61319"/>
    <n v="-54831"/>
    <n v="-557815"/>
    <n v="-6488"/>
  </r>
  <r>
    <x v="1"/>
    <x v="1"/>
    <x v="0"/>
    <s v="2473200"/>
    <n v="400040"/>
    <s v="Physician Svcs Rev--Medicaid"/>
    <s v="Internal Med-Brem"/>
    <x v="0"/>
    <n v="1200"/>
    <n v="-5203"/>
    <n v="-6576"/>
    <n v="-9626"/>
    <n v="-5340.13"/>
    <n v="-8020"/>
    <n v="-7905"/>
    <n v="-3630"/>
    <n v="-6520"/>
    <n v="-8255"/>
    <n v="-12388"/>
    <n v="-13608"/>
    <n v="-13998"/>
    <n v="-101069.13"/>
    <n v="390"/>
  </r>
  <r>
    <x v="1"/>
    <x v="1"/>
    <x v="0"/>
    <s v="2473200"/>
    <n v="400040"/>
    <s v="Physician Svcs Rev--Comm Insurance"/>
    <s v="Internal Med-Brem"/>
    <x v="0"/>
    <n v="1300"/>
    <n v="-1144"/>
    <n v="-1147"/>
    <n v="-1073"/>
    <n v="-417"/>
    <n v="-761"/>
    <n v="-464"/>
    <n v="-2948"/>
    <n v="-1031"/>
    <n v="-1421"/>
    <n v="-3490"/>
    <n v="-3247"/>
    <n v="-2650"/>
    <n v="-19793"/>
    <n v="-597"/>
  </r>
  <r>
    <x v="1"/>
    <x v="1"/>
    <x v="0"/>
    <s v="2473200"/>
    <n v="400040"/>
    <s v="Physician Svcs Rev--BCBS Comm"/>
    <s v="Internal Med-Brem"/>
    <x v="0"/>
    <n v="1301"/>
    <n v="-3265"/>
    <n v="-1148"/>
    <n v="-2110"/>
    <n v="-4594"/>
    <n v="-3021"/>
    <n v="-3428"/>
    <n v="-3589"/>
    <n v="-3458"/>
    <n v="-86"/>
    <n v="-2068"/>
    <n v="-4625"/>
    <n v="-2564"/>
    <n v="-33956"/>
    <n v="-2061"/>
  </r>
  <r>
    <x v="1"/>
    <x v="1"/>
    <x v="0"/>
    <s v="2473200"/>
    <n v="400040"/>
    <s v="Physician Svcs Rev--Managed Care"/>
    <s v="Internal Med-Brem"/>
    <x v="0"/>
    <n v="1400"/>
    <n v="-10746"/>
    <n v="-9813"/>
    <n v="-9543"/>
    <n v="-13748"/>
    <n v="-10417"/>
    <n v="-7531"/>
    <n v="-10967"/>
    <n v="-10637"/>
    <n v="-11902"/>
    <n v="-13302"/>
    <n v="-11573"/>
    <n v="-10553"/>
    <n v="-130732"/>
    <n v="-1020"/>
  </r>
  <r>
    <x v="1"/>
    <x v="1"/>
    <x v="0"/>
    <s v="2473200"/>
    <n v="400040"/>
    <s v="Physician Svcs Rev--Self Pay"/>
    <s v="Internal Med-Brem"/>
    <x v="0"/>
    <n v="1500"/>
    <n v="0"/>
    <n v="0"/>
    <n v="-1246"/>
    <n v="-790"/>
    <n v="-295"/>
    <n v="-667"/>
    <n v="200"/>
    <n v="0"/>
    <n v="-1937"/>
    <n v="-295"/>
    <n v="-1269"/>
    <n v="-71"/>
    <n v="-6370"/>
    <n v="-1198"/>
  </r>
  <r>
    <x v="1"/>
    <x v="1"/>
    <x v="0"/>
    <s v="2473200"/>
    <n v="400040"/>
    <s v="Physician Svcs Rev--Other"/>
    <s v="Internal Med-Brem"/>
    <x v="0"/>
    <n v="1700"/>
    <n v="-1968"/>
    <n v="-2147"/>
    <n v="-1909"/>
    <n v="-2818"/>
    <n v="-990"/>
    <n v="0"/>
    <n v="-895"/>
    <n v="-1580"/>
    <n v="-4473"/>
    <n v="-1299"/>
    <n v="-3309"/>
    <n v="-1503"/>
    <n v="-22891"/>
    <n v="-1806"/>
  </r>
  <r>
    <x v="2"/>
    <x v="1"/>
    <x v="0"/>
    <s v="2473200"/>
    <n v="450029"/>
    <s v="Contr Allow--MD Other-Medicare"/>
    <s v="Internal Med-Brem"/>
    <x v="0"/>
    <n v="1100"/>
    <n v="9.25"/>
    <n v="18.5"/>
    <n v="18.5"/>
    <n v="0"/>
    <n v="0"/>
    <n v="0"/>
    <n v="0"/>
    <n v="0"/>
    <n v="0"/>
    <n v="0"/>
    <n v="22.23"/>
    <n v="0"/>
    <n v="68.48"/>
    <n v="22.23"/>
  </r>
  <r>
    <x v="2"/>
    <x v="1"/>
    <x v="0"/>
    <s v="2473200"/>
    <n v="450029"/>
    <s v="Contr Allow--MD Other-Managed Care"/>
    <s v="Internal Med-Brem"/>
    <x v="0"/>
    <n v="1400"/>
    <n v="9.15"/>
    <n v="0"/>
    <n v="0"/>
    <n v="0"/>
    <n v="0"/>
    <n v="0"/>
    <n v="0"/>
    <n v="8.61"/>
    <n v="0"/>
    <n v="0"/>
    <n v="0"/>
    <n v="0"/>
    <n v="17.759999999999998"/>
    <n v="0"/>
  </r>
  <r>
    <x v="2"/>
    <x v="1"/>
    <x v="0"/>
    <s v="2473200"/>
    <n v="450029"/>
    <s v="Admin Adjust-MD Other-Self Pay"/>
    <s v="Internal Med-Brem"/>
    <x v="0"/>
    <n v="1600"/>
    <n v="0"/>
    <n v="0"/>
    <n v="-2.44"/>
    <n v="0"/>
    <n v="0"/>
    <n v="0"/>
    <n v="0"/>
    <n v="0"/>
    <n v="0"/>
    <n v="0"/>
    <n v="0"/>
    <n v="0"/>
    <n v="-2.44"/>
    <n v="0"/>
  </r>
  <r>
    <x v="2"/>
    <x v="1"/>
    <x v="0"/>
    <s v="2473200"/>
    <n v="450040"/>
    <s v="Contr Allow--Phys Svcs--Mcare"/>
    <s v="Internal Med-Brem"/>
    <x v="0"/>
    <n v="1100"/>
    <n v="17413.740000000002"/>
    <n v="28035.040000000001"/>
    <n v="25177.119999999999"/>
    <n v="32282.53"/>
    <n v="31521.43"/>
    <n v="22462.55"/>
    <n v="24781.35"/>
    <n v="19366.64"/>
    <n v="25858.13"/>
    <n v="32201.439999999999"/>
    <n v="40671.07"/>
    <n v="34130.17"/>
    <n v="333901.20999999996"/>
    <n v="6540.9000000000015"/>
  </r>
  <r>
    <x v="2"/>
    <x v="1"/>
    <x v="0"/>
    <s v="2473200"/>
    <n v="450040"/>
    <s v="Contr Allow--Phys Svcs--Mcaid"/>
    <s v="Internal Med-Brem"/>
    <x v="0"/>
    <n v="1200"/>
    <n v="2600.4"/>
    <n v="2884.9"/>
    <n v="6516.69"/>
    <n v="6413.02"/>
    <n v="2974.57"/>
    <n v="5774.35"/>
    <n v="5740.77"/>
    <n v="2130.48"/>
    <n v="5555.82"/>
    <n v="10588.04"/>
    <n v="6997.45"/>
    <n v="8733.81"/>
    <n v="66910.3"/>
    <n v="-1736.3599999999997"/>
  </r>
  <r>
    <x v="2"/>
    <x v="1"/>
    <x v="0"/>
    <s v="2473200"/>
    <n v="450040"/>
    <s v="Contr Allow--Phys Svcs--Comm Insurance"/>
    <s v="Internal Med-Brem"/>
    <x v="0"/>
    <n v="1300"/>
    <n v="111.05"/>
    <n v="248.05"/>
    <n v="361.9"/>
    <n v="391.8"/>
    <n v="131.79"/>
    <n v="265.74"/>
    <n v="1130.55"/>
    <n v="63.04"/>
    <n v="241.57"/>
    <n v="1133.3800000000001"/>
    <n v="924.88"/>
    <n v="857.12"/>
    <n v="5860.87"/>
    <n v="67.759999999999991"/>
  </r>
  <r>
    <x v="2"/>
    <x v="1"/>
    <x v="0"/>
    <s v="2473200"/>
    <n v="450040"/>
    <s v="Contr Allow--Phys Svcs--BCBS Comm Ins"/>
    <s v="Internal Med-Brem"/>
    <x v="0"/>
    <n v="1301"/>
    <n v="501.72"/>
    <n v="796"/>
    <n v="262.05"/>
    <n v="464.7"/>
    <n v="1554.52"/>
    <n v="349.37"/>
    <n v="1489.53"/>
    <n v="2685.93"/>
    <n v="434.84"/>
    <n v="1326.47"/>
    <n v="885.19"/>
    <n v="2419.38"/>
    <n v="13169.7"/>
    <n v="-1534.19"/>
  </r>
  <r>
    <x v="2"/>
    <x v="1"/>
    <x v="0"/>
    <s v="2473200"/>
    <n v="450040"/>
    <s v="Contr Allow--Phys Svcs--Managed Care"/>
    <s v="Internal Med-Brem"/>
    <x v="0"/>
    <n v="1400"/>
    <n v="3778.3"/>
    <n v="4164.16"/>
    <n v="4050.89"/>
    <n v="4862.0600000000004"/>
    <n v="6210.57"/>
    <n v="3086.94"/>
    <n v="4735.8900000000003"/>
    <n v="3682.83"/>
    <n v="5721.17"/>
    <n v="4209.01"/>
    <n v="5349.9"/>
    <n v="4496.76"/>
    <n v="54348.480000000003"/>
    <n v="853.13999999999942"/>
  </r>
  <r>
    <x v="2"/>
    <x v="1"/>
    <x v="0"/>
    <s v="2473200"/>
    <n v="450040"/>
    <s v="Contr Allow--Phys Svcs--BCBS Mgnd Care"/>
    <s v="Internal Med-Brem"/>
    <x v="0"/>
    <n v="1401"/>
    <n v="-4995.93"/>
    <n v="0.02"/>
    <n v="23742.7"/>
    <n v="4577.08"/>
    <n v="-5154.1099999999997"/>
    <n v="686.73"/>
    <n v="1286.1199999999999"/>
    <n v="2869.68"/>
    <n v="2795.31"/>
    <n v="6818.46"/>
    <n v="5153.45"/>
    <n v="-484.9"/>
    <n v="37294.61"/>
    <n v="5638.3499999999995"/>
  </r>
  <r>
    <x v="2"/>
    <x v="1"/>
    <x v="0"/>
    <s v="2473200"/>
    <n v="450040"/>
    <s v="Admin Adjust-Phys Svcs-Self Pay"/>
    <s v="Internal Med-Brem"/>
    <x v="0"/>
    <n v="1600"/>
    <n v="0"/>
    <n v="0.12"/>
    <n v="583.52"/>
    <n v="339.23"/>
    <n v="208.35"/>
    <n v="256.85000000000002"/>
    <n v="0"/>
    <n v="35"/>
    <n v="833.77"/>
    <n v="216.25"/>
    <n v="469.53"/>
    <n v="26.5"/>
    <n v="2969.12"/>
    <n v="443.03"/>
  </r>
  <r>
    <x v="2"/>
    <x v="1"/>
    <x v="0"/>
    <s v="2473200"/>
    <n v="450040"/>
    <s v="Contr Allow--Phys Svcs--Other"/>
    <s v="Internal Med-Brem"/>
    <x v="0"/>
    <n v="1700"/>
    <n v="561.38"/>
    <n v="1350.58"/>
    <n v="1006.25"/>
    <n v="1387.84"/>
    <n v="1330.01"/>
    <n v="325.89"/>
    <n v="63.4"/>
    <n v="559.76"/>
    <n v="1268.27"/>
    <n v="1150.6199999999999"/>
    <n v="482.85"/>
    <n v="2407.5700000000002"/>
    <n v="11894.42"/>
    <n v="-1924.7200000000003"/>
  </r>
  <r>
    <x v="3"/>
    <x v="1"/>
    <x v="0"/>
    <s v="2473200"/>
    <n v="470040"/>
    <s v="Charity Care-Physician Svcs"/>
    <s v="Internal Med-Brem"/>
    <x v="0"/>
    <m/>
    <n v="-111.03"/>
    <n v="445.45"/>
    <n v="1756.16"/>
    <n v="599.27"/>
    <n v="92.26"/>
    <n v="216.53"/>
    <n v="327.42"/>
    <n v="248.35"/>
    <n v="957.59"/>
    <n v="718.01"/>
    <n v="10.29"/>
    <n v="319.66000000000003"/>
    <n v="5579.96"/>
    <n v="-309.37"/>
  </r>
  <r>
    <x v="4"/>
    <x v="1"/>
    <x v="0"/>
    <s v="2473200"/>
    <n v="490010"/>
    <s v="Provision for Bad Debts"/>
    <s v="Internal Med-Brem"/>
    <x v="0"/>
    <m/>
    <n v="-693.24"/>
    <n v="-350.56"/>
    <n v="3201.75"/>
    <n v="222.96"/>
    <n v="-416.2"/>
    <n v="-1.65"/>
    <n v="407.92"/>
    <n v="405.23"/>
    <n v="635.17999999999995"/>
    <n v="833.24"/>
    <n v="549.66999999999996"/>
    <n v="324.52999999999997"/>
    <n v="5118.829999999999"/>
    <n v="225.14"/>
  </r>
  <r>
    <x v="14"/>
    <x v="1"/>
    <x v="0"/>
    <s v="2473200"/>
    <n v="600050"/>
    <s v="Miscellaneous Revenue"/>
    <s v="Internal Med-Brem"/>
    <x v="0"/>
    <m/>
    <n v="0"/>
    <n v="-4125"/>
    <n v="0"/>
    <n v="-8775"/>
    <n v="0"/>
    <n v="0"/>
    <n v="-27115"/>
    <n v="0"/>
    <n v="0"/>
    <n v="29140"/>
    <n v="0"/>
    <n v="-7875"/>
    <n v="-18750"/>
    <n v="7875"/>
  </r>
  <r>
    <x v="5"/>
    <x v="1"/>
    <x v="0"/>
    <s v="2473200"/>
    <n v="700020"/>
    <s v="Salaries-Physician Admin-Other"/>
    <s v="Internal Med-Brem"/>
    <x v="0"/>
    <n v="2000"/>
    <n v="0"/>
    <n v="4125"/>
    <n v="0"/>
    <n v="2175"/>
    <n v="0"/>
    <n v="0"/>
    <n v="4575"/>
    <n v="0"/>
    <n v="0"/>
    <n v="0"/>
    <n v="0"/>
    <n v="7875"/>
    <n v="18750"/>
    <n v="-7875"/>
  </r>
  <r>
    <x v="5"/>
    <x v="1"/>
    <x v="0"/>
    <s v="2473200"/>
    <n v="700022"/>
    <s v="Salaries-Physician-Productive"/>
    <s v="Internal Med-Brem"/>
    <x v="0"/>
    <m/>
    <n v="31938.33"/>
    <n v="32595.02"/>
    <n v="27747.45"/>
    <n v="42044.27"/>
    <n v="37361.42"/>
    <n v="22866.31"/>
    <n v="32968.559999999998"/>
    <n v="22220.42"/>
    <n v="37078.19"/>
    <n v="28351.62"/>
    <n v="37288.99"/>
    <n v="29103.24"/>
    <n v="381563.81999999995"/>
    <n v="8185.7499999999964"/>
  </r>
  <r>
    <x v="5"/>
    <x v="1"/>
    <x v="0"/>
    <s v="2473200"/>
    <n v="700022"/>
    <s v="Salaries-Physician-Other"/>
    <s v="Internal Med-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3200"/>
    <n v="700022"/>
    <s v="Salaries-Physician-Provider Incentive"/>
    <s v="Internal Med-Brem"/>
    <x v="0"/>
    <n v="4003"/>
    <n v="0"/>
    <n v="500"/>
    <n v="0"/>
    <n v="0"/>
    <n v="500"/>
    <n v="0"/>
    <n v="0"/>
    <n v="500.73"/>
    <n v="0"/>
    <n v="0"/>
    <n v="501.46"/>
    <n v="-0.73"/>
    <n v="2001.46"/>
    <n v="502.19"/>
  </r>
  <r>
    <x v="5"/>
    <x v="1"/>
    <x v="0"/>
    <s v="2473200"/>
    <n v="700032"/>
    <s v="Salaries-Other Pat Care Providers-Productive"/>
    <s v="Internal Med-Brem"/>
    <x v="0"/>
    <m/>
    <n v="6233.73"/>
    <n v="8322.26"/>
    <n v="6432.59"/>
    <n v="9702.8799999999992"/>
    <n v="6702.06"/>
    <n v="5560.78"/>
    <n v="7860.5"/>
    <n v="7127.66"/>
    <n v="8131.85"/>
    <n v="8898.89"/>
    <n v="9715.15"/>
    <n v="6656.92"/>
    <n v="91345.26999999999"/>
    <n v="3058.2299999999996"/>
  </r>
  <r>
    <x v="5"/>
    <x v="1"/>
    <x v="0"/>
    <s v="2473200"/>
    <n v="700032"/>
    <s v="Salaries-Other Pat Care Providers-OT"/>
    <s v="Internal Med-Brem"/>
    <x v="0"/>
    <n v="1000"/>
    <n v="114.21"/>
    <n v="-19.03"/>
    <n v="23.8"/>
    <n v="66.14"/>
    <n v="304.42"/>
    <n v="-148.1"/>
    <n v="39.54"/>
    <n v="24.72"/>
    <n v="14.01"/>
    <n v="127.72"/>
    <n v="82.4"/>
    <n v="90.64"/>
    <n v="720.47"/>
    <n v="-8.2399999999999949"/>
  </r>
  <r>
    <x v="5"/>
    <x v="1"/>
    <x v="0"/>
    <s v="2473200"/>
    <n v="700062"/>
    <s v="Salaries-Physician-Non-productive"/>
    <s v="Internal Med-Brem"/>
    <x v="0"/>
    <m/>
    <n v="6084.29"/>
    <n v="7123.09"/>
    <n v="6872.14"/>
    <n v="4268.25"/>
    <n v="649.27"/>
    <n v="13444.14"/>
    <n v="6795.37"/>
    <n v="10526.97"/>
    <n v="-2392.77"/>
    <n v="1351.87"/>
    <n v="633.36"/>
    <n v="3952.36"/>
    <n v="59308.340000000011"/>
    <n v="-3319"/>
  </r>
  <r>
    <x v="5"/>
    <x v="1"/>
    <x v="0"/>
    <s v="2473200"/>
    <n v="700062"/>
    <s v="Salaries-Physician-NonProd-Other"/>
    <s v="Internal Med-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3200"/>
    <n v="700072"/>
    <s v="Salaries-Other Pat Care Providers-Non-productive"/>
    <s v="Internal Med-Brem"/>
    <x v="0"/>
    <m/>
    <n v="581.76"/>
    <n v="236.12"/>
    <n v="2228.48"/>
    <n v="-160.53"/>
    <n v="559.48"/>
    <n v="1952.66"/>
    <n v="703.35"/>
    <n v="296.62"/>
    <n v="980.56"/>
    <n v="215.86"/>
    <n v="-15.37"/>
    <n v="1620.46"/>
    <n v="9199.4500000000007"/>
    <n v="-1635.83"/>
  </r>
  <r>
    <x v="5"/>
    <x v="1"/>
    <x v="0"/>
    <s v="2473200"/>
    <n v="700072"/>
    <s v="Salaries-Other Pat Care Providers-NonProd-Other"/>
    <s v="Internal Med-Brem"/>
    <x v="0"/>
    <n v="2000"/>
    <n v="0"/>
    <n v="0"/>
    <n v="0"/>
    <n v="0"/>
    <n v="0"/>
    <n v="13.13"/>
    <n v="0"/>
    <n v="-13.13"/>
    <n v="0"/>
    <n v="0"/>
    <n v="0"/>
    <n v="0"/>
    <n v="0"/>
    <n v="0"/>
  </r>
  <r>
    <x v="5"/>
    <x v="1"/>
    <x v="0"/>
    <s v="2473200"/>
    <n v="700084"/>
    <s v="Accrued PTO"/>
    <s v="Internal Med-Brem"/>
    <x v="0"/>
    <m/>
    <n v="-51.74"/>
    <n v="236.47"/>
    <n v="-1298.3900000000001"/>
    <n v="646.94000000000005"/>
    <n v="499.57"/>
    <n v="-854.34"/>
    <n v="0.44"/>
    <n v="524.36"/>
    <n v="-197.68"/>
    <n v="465.57"/>
    <n v="779.97"/>
    <n v="-438.37"/>
    <n v="312.80000000000007"/>
    <n v="1218.3400000000001"/>
  </r>
  <r>
    <x v="6"/>
    <x v="1"/>
    <x v="0"/>
    <s v="2473200"/>
    <n v="713010"/>
    <s v="Benefits-FICA/Medicare"/>
    <s v="Internal Med-Brem"/>
    <x v="0"/>
    <m/>
    <n v="1048.1300000000001"/>
    <n v="1195.73"/>
    <n v="1126.06"/>
    <n v="1333.93"/>
    <n v="1136.55"/>
    <n v="2172.36"/>
    <n v="4289.97"/>
    <n v="2968.66"/>
    <n v="3203.9"/>
    <n v="3311.66"/>
    <n v="3569.15"/>
    <n v="2996.7"/>
    <n v="28352.800000000003"/>
    <n v="572.45000000000027"/>
  </r>
  <r>
    <x v="6"/>
    <x v="1"/>
    <x v="0"/>
    <s v="2473200"/>
    <n v="713090"/>
    <s v="Benefits-Allocated Amounts"/>
    <s v="Internal Med-Brem"/>
    <x v="0"/>
    <m/>
    <n v="0"/>
    <n v="0"/>
    <n v="0"/>
    <n v="0"/>
    <n v="0"/>
    <n v="0"/>
    <n v="0"/>
    <n v="0"/>
    <n v="27522.76"/>
    <n v="3077.16"/>
    <n v="3335.36"/>
    <n v="3498.94"/>
    <n v="37434.22"/>
    <n v="-163.57999999999993"/>
  </r>
  <r>
    <x v="6"/>
    <x v="1"/>
    <x v="0"/>
    <s v="2473200"/>
    <n v="713092"/>
    <s v="Allocated Benefits-Physician"/>
    <s v="Internal Med-Brem"/>
    <x v="0"/>
    <m/>
    <n v="5343.03"/>
    <n v="5450.79"/>
    <n v="5680.91"/>
    <n v="6117.31"/>
    <n v="5489.39"/>
    <n v="5387.51"/>
    <n v="6848.5"/>
    <n v="6260.51"/>
    <n v="-20857.48"/>
    <n v="2875.66"/>
    <n v="3116.94"/>
    <n v="3269.83"/>
    <n v="34982.9"/>
    <n v="-152.88999999999987"/>
  </r>
  <r>
    <x v="7"/>
    <x v="1"/>
    <x v="0"/>
    <s v="2473200"/>
    <n v="718050"/>
    <s v="Miscellaneous Purchased Svcs"/>
    <s v="Internal Med-Brem"/>
    <x v="0"/>
    <n v="1020"/>
    <n v="0"/>
    <n v="0"/>
    <n v="0"/>
    <n v="0"/>
    <n v="0"/>
    <n v="0"/>
    <n v="0"/>
    <n v="39.5"/>
    <n v="158"/>
    <n v="178.89"/>
    <n v="0"/>
    <n v="0"/>
    <n v="376.39"/>
    <n v="0"/>
  </r>
  <r>
    <x v="7"/>
    <x v="1"/>
    <x v="0"/>
    <s v="2473200"/>
    <n v="718050"/>
    <s v="Contract Management--Linen"/>
    <s v="Internal Med-Brem"/>
    <x v="0"/>
    <n v="1026"/>
    <n v="0"/>
    <n v="0"/>
    <n v="0"/>
    <n v="0"/>
    <n v="0"/>
    <n v="0"/>
    <n v="0"/>
    <n v="0"/>
    <n v="0"/>
    <n v="0"/>
    <n v="79"/>
    <n v="0"/>
    <n v="79"/>
    <n v="79"/>
  </r>
  <r>
    <x v="7"/>
    <x v="1"/>
    <x v="0"/>
    <s v="2473200"/>
    <n v="718050"/>
    <s v="Purchased Srvcs--Medical Waste"/>
    <s v="Internal Med-Brem"/>
    <x v="0"/>
    <n v="1027"/>
    <n v="0"/>
    <n v="0"/>
    <n v="0"/>
    <n v="0"/>
    <n v="0"/>
    <n v="0"/>
    <n v="0"/>
    <n v="0"/>
    <n v="0"/>
    <n v="0"/>
    <n v="0"/>
    <n v="498.61"/>
    <n v="498.61"/>
    <n v="-498.61"/>
  </r>
  <r>
    <x v="7"/>
    <x v="1"/>
    <x v="0"/>
    <s v="2473200"/>
    <n v="718070"/>
    <s v="Contract Srvcs-CHI Clinical Engineering"/>
    <s v="Internal Med-Brem"/>
    <x v="0"/>
    <m/>
    <n v="26.97"/>
    <n v="26.97"/>
    <n v="26.97"/>
    <n v="26.97"/>
    <n v="26.97"/>
    <n v="26.97"/>
    <n v="26.97"/>
    <n v="26.97"/>
    <n v="26.97"/>
    <n v="8.64"/>
    <n v="0"/>
    <n v="0"/>
    <n v="251.37"/>
    <n v="0"/>
  </r>
  <r>
    <x v="11"/>
    <x v="1"/>
    <x v="0"/>
    <s v="2473200"/>
    <n v="721250"/>
    <s v="Supplies-Pharmacy Drugs - Billable"/>
    <s v="Internal Med-Brem"/>
    <x v="0"/>
    <m/>
    <n v="0"/>
    <n v="0"/>
    <n v="0"/>
    <n v="4639.87"/>
    <n v="4216.6000000000004"/>
    <n v="5470.52"/>
    <n v="0"/>
    <n v="113"/>
    <n v="0"/>
    <n v="903.19"/>
    <n v="0"/>
    <n v="549.11"/>
    <n v="15892.290000000003"/>
    <n v="-549.11"/>
  </r>
  <r>
    <x v="11"/>
    <x v="1"/>
    <x v="0"/>
    <s v="2473200"/>
    <n v="721810"/>
    <s v="Supplies-Dietary/Cafeteria"/>
    <s v="Internal Med-Brem"/>
    <x v="0"/>
    <m/>
    <n v="0"/>
    <n v="0"/>
    <n v="0"/>
    <n v="0"/>
    <n v="0"/>
    <n v="0"/>
    <n v="0"/>
    <n v="0"/>
    <n v="0"/>
    <n v="0"/>
    <n v="99.02"/>
    <n v="0"/>
    <n v="99.02"/>
    <n v="99.02"/>
  </r>
  <r>
    <x v="11"/>
    <x v="1"/>
    <x v="0"/>
    <s v="2473200"/>
    <n v="721830"/>
    <s v="Supplies-Office"/>
    <s v="Internal Med-Brem"/>
    <x v="0"/>
    <m/>
    <n v="0"/>
    <n v="0"/>
    <n v="0"/>
    <n v="0"/>
    <n v="0"/>
    <n v="0"/>
    <n v="0"/>
    <n v="135.71"/>
    <n v="0"/>
    <n v="0"/>
    <n v="0"/>
    <n v="0"/>
    <n v="135.71"/>
    <n v="0"/>
  </r>
  <r>
    <x v="11"/>
    <x v="1"/>
    <x v="0"/>
    <s v="2473200"/>
    <n v="721980"/>
    <s v="Supplies-Other"/>
    <s v="Internal Med-Brem"/>
    <x v="0"/>
    <m/>
    <n v="0"/>
    <n v="0"/>
    <n v="0"/>
    <n v="0"/>
    <n v="190.89"/>
    <n v="0"/>
    <n v="0"/>
    <n v="0"/>
    <n v="0"/>
    <n v="0"/>
    <n v="0"/>
    <n v="0"/>
    <n v="190.89"/>
    <n v="0"/>
  </r>
  <r>
    <x v="11"/>
    <x v="1"/>
    <x v="0"/>
    <s v="2473200"/>
    <n v="722000"/>
    <s v="Supplies-Freight Expense"/>
    <s v="Internal Med-Brem"/>
    <x v="0"/>
    <m/>
    <n v="0"/>
    <n v="0"/>
    <n v="0"/>
    <n v="0"/>
    <n v="47.47"/>
    <n v="0"/>
    <n v="0"/>
    <n v="0"/>
    <n v="0"/>
    <n v="0"/>
    <n v="0"/>
    <n v="0"/>
    <n v="47.47"/>
    <n v="0"/>
  </r>
  <r>
    <x v="12"/>
    <x v="1"/>
    <x v="0"/>
    <s v="2473200"/>
    <n v="730020"/>
    <s v="Rental and Leases-Copier Usage Fees (DO NOT USE)"/>
    <s v="Internal Med-Brem"/>
    <x v="0"/>
    <n v="5100"/>
    <n v="0"/>
    <n v="0"/>
    <n v="0"/>
    <n v="0"/>
    <n v="773.7"/>
    <n v="154.74"/>
    <n v="-958.73"/>
    <n v="0"/>
    <n v="0"/>
    <n v="0"/>
    <n v="0"/>
    <n v="0"/>
    <n v="-30.289999999999964"/>
    <n v="0"/>
  </r>
  <r>
    <x v="15"/>
    <x v="1"/>
    <x v="0"/>
    <s v="2473200"/>
    <n v="731050"/>
    <s v="Refuse Disposal"/>
    <s v="Internal Med-Brem"/>
    <x v="0"/>
    <m/>
    <n v="0"/>
    <n v="0"/>
    <n v="0"/>
    <n v="0"/>
    <n v="0"/>
    <n v="0"/>
    <n v="0"/>
    <n v="540.99"/>
    <n v="271.7"/>
    <n v="0"/>
    <n v="354.41"/>
    <n v="0"/>
    <n v="1167.1000000000001"/>
    <n v="354.41"/>
  </r>
  <r>
    <x v="0"/>
    <x v="1"/>
    <x v="0"/>
    <s v="2473200"/>
    <n v="740022"/>
    <s v="Education Travel-Physician"/>
    <s v="Internal Med-Brem"/>
    <x v="0"/>
    <n v="2001"/>
    <n v="0"/>
    <n v="0"/>
    <n v="0"/>
    <n v="32.5"/>
    <n v="0"/>
    <n v="0"/>
    <n v="0"/>
    <n v="0"/>
    <n v="0"/>
    <n v="0"/>
    <n v="0"/>
    <n v="0"/>
    <n v="32.5"/>
    <n v="0"/>
  </r>
  <r>
    <x v="8"/>
    <x v="1"/>
    <x v="0"/>
    <s v="2473200"/>
    <n v="741012"/>
    <s v="Physician Liab Insurance-CHI Program"/>
    <s v="Internal Med-Brem"/>
    <x v="0"/>
    <m/>
    <n v="852.6"/>
    <n v="852.6"/>
    <n v="852.6"/>
    <n v="852.6"/>
    <n v="852.6"/>
    <n v="852.6"/>
    <n v="852.6"/>
    <n v="852.6"/>
    <n v="852.6"/>
    <n v="852.6"/>
    <n v="852.6"/>
    <n v="852.6"/>
    <n v="10231.200000000003"/>
    <n v="0"/>
  </r>
  <r>
    <x v="0"/>
    <x v="1"/>
    <x v="0"/>
    <s v="2473200"/>
    <n v="743022"/>
    <s v="Dues-Physician"/>
    <s v="Internal Med-Brem"/>
    <x v="0"/>
    <m/>
    <n v="0"/>
    <n v="0"/>
    <n v="0"/>
    <n v="0"/>
    <n v="0"/>
    <n v="0"/>
    <n v="0"/>
    <n v="1965"/>
    <n v="0"/>
    <n v="0"/>
    <n v="0"/>
    <n v="0"/>
    <n v="1965"/>
    <n v="0"/>
  </r>
  <r>
    <x v="0"/>
    <x v="1"/>
    <x v="0"/>
    <s v="2473200"/>
    <n v="743042"/>
    <s v="Subscriptions-Physician"/>
    <s v="Internal Med-Brem"/>
    <x v="0"/>
    <m/>
    <n v="0"/>
    <n v="0"/>
    <n v="0"/>
    <n v="0"/>
    <n v="0"/>
    <n v="0"/>
    <n v="355.83"/>
    <n v="0"/>
    <n v="0"/>
    <n v="0"/>
    <n v="0"/>
    <n v="0"/>
    <n v="355.83"/>
    <n v="0"/>
  </r>
  <r>
    <x v="0"/>
    <x v="1"/>
    <x v="0"/>
    <s v="2473200"/>
    <n v="749510"/>
    <s v="Miscellaneous Expenses"/>
    <s v="Internal Med-Brem"/>
    <x v="0"/>
    <m/>
    <n v="-644.55999999999995"/>
    <n v="356"/>
    <n v="32.04"/>
    <n v="0"/>
    <n v="0"/>
    <n v="325"/>
    <n v="160"/>
    <n v="-160"/>
    <n v="273.75"/>
    <n v="0"/>
    <n v="0"/>
    <n v="0"/>
    <n v="342.23000000000008"/>
    <n v="0"/>
  </r>
  <r>
    <x v="0"/>
    <x v="1"/>
    <x v="0"/>
    <s v="2473200"/>
    <n v="749510"/>
    <s v="Licenses"/>
    <s v="Internal Med-Brem"/>
    <x v="0"/>
    <n v="1002"/>
    <n v="-127.95"/>
    <n v="0"/>
    <n v="0"/>
    <n v="0"/>
    <n v="0"/>
    <n v="75"/>
    <n v="0"/>
    <n v="75"/>
    <n v="0"/>
    <n v="0"/>
    <n v="0"/>
    <n v="0"/>
    <n v="22.049999999999997"/>
    <n v="0"/>
  </r>
  <r>
    <x v="0"/>
    <x v="1"/>
    <x v="0"/>
    <s v="2473200"/>
    <n v="749532"/>
    <s v="Travel-Physician"/>
    <s v="Internal Med-Brem"/>
    <x v="0"/>
    <m/>
    <n v="0"/>
    <n v="0"/>
    <n v="0"/>
    <n v="1824.36"/>
    <n v="0"/>
    <n v="0"/>
    <n v="0"/>
    <n v="0"/>
    <n v="0"/>
    <n v="0"/>
    <n v="0"/>
    <n v="0"/>
    <n v="1824.36"/>
    <n v="0"/>
  </r>
  <r>
    <x v="0"/>
    <x v="1"/>
    <x v="0"/>
    <s v="2473200"/>
    <n v="749550"/>
    <s v="Cash Over/Short"/>
    <s v="Internal Med-Brem"/>
    <x v="0"/>
    <m/>
    <n v="0"/>
    <n v="0"/>
    <n v="3.6"/>
    <n v="-25"/>
    <n v="0"/>
    <n v="0"/>
    <n v="0"/>
    <n v="0"/>
    <n v="1.4"/>
    <n v="3.6"/>
    <n v="-35"/>
    <n v="0"/>
    <n v="-51.4"/>
    <n v="-35"/>
  </r>
  <r>
    <x v="0"/>
    <x v="1"/>
    <x v="0"/>
    <s v="2473200"/>
    <n v="766010"/>
    <s v="Property Tax"/>
    <s v="Internal Med-Brem"/>
    <x v="0"/>
    <m/>
    <n v="0"/>
    <n v="0"/>
    <n v="0"/>
    <n v="0"/>
    <n v="0"/>
    <n v="0"/>
    <n v="0"/>
    <n v="0"/>
    <n v="0"/>
    <n v="182.66"/>
    <n v="45.67"/>
    <n v="45.67"/>
    <n v="274"/>
    <n v="0"/>
  </r>
  <r>
    <x v="9"/>
    <x v="1"/>
    <x v="0"/>
    <s v="2473200"/>
    <n v="800015"/>
    <s v="Interest Income-Ext to CHI"/>
    <s v="Internal Med-Brem"/>
    <x v="0"/>
    <m/>
    <n v="-36.22"/>
    <n v="-33.44"/>
    <n v="-29.66"/>
    <n v="-27.86"/>
    <n v="-24.27"/>
    <n v="-22.29"/>
    <n v="-19.5"/>
    <n v="-15.1"/>
    <n v="-13.93"/>
    <n v="-10.78"/>
    <n v="-8.36"/>
    <n v="-5.39"/>
    <n v="-246.79999999999995"/>
    <n v="-2.9699999999999998"/>
  </r>
  <r>
    <x v="1"/>
    <x v="1"/>
    <x v="0"/>
    <s v="2474200"/>
    <n v="400029"/>
    <s v="MD Practice Other Rev--Medicare"/>
    <s v="Primary Care-PO"/>
    <x v="0"/>
    <n v="1100"/>
    <n v="-64"/>
    <n v="-90"/>
    <n v="-10"/>
    <n v="-10"/>
    <n v="-10"/>
    <n v="-15"/>
    <n v="0"/>
    <n v="-5"/>
    <n v="0"/>
    <n v="0"/>
    <n v="0"/>
    <n v="-10"/>
    <n v="-214"/>
    <n v="10"/>
  </r>
  <r>
    <x v="1"/>
    <x v="1"/>
    <x v="0"/>
    <s v="2474200"/>
    <n v="400029"/>
    <s v="MD Practice Other Rev--Medicaid"/>
    <s v="Primary Care-PO"/>
    <x v="0"/>
    <n v="1200"/>
    <n v="-193"/>
    <n v="0"/>
    <n v="0"/>
    <n v="67"/>
    <n v="0"/>
    <n v="15"/>
    <n v="0"/>
    <n v="-15"/>
    <n v="-10"/>
    <n v="0"/>
    <n v="0"/>
    <n v="0"/>
    <n v="-136"/>
    <n v="0"/>
  </r>
  <r>
    <x v="1"/>
    <x v="1"/>
    <x v="0"/>
    <s v="2474200"/>
    <n v="400029"/>
    <s v="MD Practice Other Rev--BCBS Comm"/>
    <s v="Primary Care-PO"/>
    <x v="0"/>
    <n v="1301"/>
    <n v="-166"/>
    <n v="-64"/>
    <n v="0"/>
    <n v="0"/>
    <n v="0"/>
    <n v="0"/>
    <n v="0"/>
    <n v="0"/>
    <n v="0"/>
    <n v="0"/>
    <n v="0"/>
    <n v="0"/>
    <n v="-230"/>
    <n v="0"/>
  </r>
  <r>
    <x v="1"/>
    <x v="1"/>
    <x v="0"/>
    <s v="2474200"/>
    <n v="400029"/>
    <s v="MD Practice Other Rev--Managed Care"/>
    <s v="Primary Care-PO"/>
    <x v="0"/>
    <n v="1400"/>
    <n v="-217"/>
    <n v="-125"/>
    <n v="0"/>
    <n v="0"/>
    <n v="0"/>
    <n v="0"/>
    <n v="0"/>
    <n v="0"/>
    <n v="0"/>
    <n v="0"/>
    <n v="0"/>
    <n v="0"/>
    <n v="-342"/>
    <n v="0"/>
  </r>
  <r>
    <x v="1"/>
    <x v="1"/>
    <x v="0"/>
    <s v="2474200"/>
    <n v="400029"/>
    <s v="MD Practice Other Rev--Other"/>
    <s v="Primary Care-PO"/>
    <x v="0"/>
    <n v="1700"/>
    <n v="74"/>
    <n v="-128"/>
    <n v="0"/>
    <n v="0"/>
    <n v="0"/>
    <n v="0"/>
    <n v="0"/>
    <n v="0"/>
    <n v="0"/>
    <n v="0"/>
    <n v="0"/>
    <n v="0"/>
    <n v="-54"/>
    <n v="0"/>
  </r>
  <r>
    <x v="1"/>
    <x v="1"/>
    <x v="0"/>
    <s v="2474200"/>
    <n v="400040"/>
    <s v="Physician Svcs Rev--Medicare"/>
    <s v="Primary Care-PO"/>
    <x v="0"/>
    <n v="1100"/>
    <n v="-2841"/>
    <n v="-9388"/>
    <n v="-8018"/>
    <n v="-4980"/>
    <n v="-6573"/>
    <n v="-654"/>
    <n v="-3299"/>
    <n v="-5328"/>
    <n v="-4280.75"/>
    <n v="-6533"/>
    <n v="-6237"/>
    <n v="-4511"/>
    <n v="-62642.75"/>
    <n v="-1726"/>
  </r>
  <r>
    <x v="1"/>
    <x v="1"/>
    <x v="0"/>
    <s v="2474200"/>
    <n v="400040"/>
    <s v="Physician Svcs Rev--Medicaid"/>
    <s v="Primary Care-PO"/>
    <x v="0"/>
    <n v="1200"/>
    <n v="-4305"/>
    <n v="-4131"/>
    <n v="-2242"/>
    <n v="-2360"/>
    <n v="-2655"/>
    <n v="109"/>
    <n v="-2806"/>
    <n v="-3694"/>
    <n v="-3241"/>
    <n v="-4086"/>
    <n v="-3054"/>
    <n v="-2735"/>
    <n v="-35200"/>
    <n v="-319"/>
  </r>
  <r>
    <x v="1"/>
    <x v="1"/>
    <x v="0"/>
    <s v="2474200"/>
    <n v="400040"/>
    <s v="Physician Svcs Rev--BCBS Comm"/>
    <s v="Primary Care-PO"/>
    <x v="0"/>
    <n v="1301"/>
    <n v="0"/>
    <n v="0"/>
    <n v="-295"/>
    <n v="-295"/>
    <n v="0"/>
    <n v="0"/>
    <n v="0"/>
    <n v="0"/>
    <n v="0"/>
    <n v="0"/>
    <n v="0"/>
    <n v="0"/>
    <n v="-590"/>
    <n v="0"/>
  </r>
  <r>
    <x v="1"/>
    <x v="1"/>
    <x v="0"/>
    <s v="2474200"/>
    <n v="400040"/>
    <s v="Physician Svcs Rev--Managed Care"/>
    <s v="Primary Care-PO"/>
    <x v="0"/>
    <n v="1400"/>
    <n v="-334"/>
    <n v="0"/>
    <n v="0"/>
    <n v="-295"/>
    <n v="-295"/>
    <n v="-590"/>
    <n v="0"/>
    <n v="0"/>
    <n v="0"/>
    <n v="487"/>
    <n v="-903"/>
    <n v="0"/>
    <n v="-1930"/>
    <n v="-903"/>
  </r>
  <r>
    <x v="1"/>
    <x v="1"/>
    <x v="0"/>
    <s v="2474200"/>
    <n v="400040"/>
    <s v="Physician Svcs Rev--Self Pay"/>
    <s v="Primary Care-PO"/>
    <x v="0"/>
    <n v="1500"/>
    <n v="0"/>
    <n v="0"/>
    <n v="0"/>
    <n v="0"/>
    <n v="0"/>
    <n v="0"/>
    <n v="0"/>
    <n v="0"/>
    <n v="-491"/>
    <n v="-487"/>
    <n v="0"/>
    <n v="0"/>
    <n v="-978"/>
    <n v="0"/>
  </r>
  <r>
    <x v="1"/>
    <x v="1"/>
    <x v="0"/>
    <s v="2474200"/>
    <n v="400040"/>
    <s v="Physician Svcs Rev--Other"/>
    <s v="Primary Care-PO"/>
    <x v="0"/>
    <n v="1700"/>
    <n v="0"/>
    <n v="0"/>
    <n v="0"/>
    <n v="0"/>
    <n v="0"/>
    <n v="0"/>
    <n v="-295"/>
    <n v="0"/>
    <n v="0"/>
    <n v="0"/>
    <n v="0"/>
    <n v="-295"/>
    <n v="-590"/>
    <n v="295"/>
  </r>
  <r>
    <x v="2"/>
    <x v="1"/>
    <x v="0"/>
    <s v="2474200"/>
    <n v="450029"/>
    <s v="Contr Allow--MD Other-Medicare"/>
    <s v="Primary Care-PO"/>
    <x v="0"/>
    <n v="1100"/>
    <n v="81.849999999999994"/>
    <n v="74.17"/>
    <n v="19.52"/>
    <n v="15.9"/>
    <n v="0"/>
    <n v="7.91"/>
    <n v="0"/>
    <n v="0"/>
    <n v="14.5"/>
    <n v="0"/>
    <n v="0"/>
    <n v="0"/>
    <n v="213.85"/>
    <n v="0"/>
  </r>
  <r>
    <x v="2"/>
    <x v="1"/>
    <x v="0"/>
    <s v="2474200"/>
    <n v="450029"/>
    <s v="Contr Allow--MD Other-Medicaid"/>
    <s v="Primary Care-PO"/>
    <x v="0"/>
    <n v="1200"/>
    <n v="342.67"/>
    <n v="183.49"/>
    <n v="0"/>
    <n v="-52.85"/>
    <n v="0"/>
    <n v="-60.3"/>
    <n v="-63.6"/>
    <n v="15"/>
    <n v="0"/>
    <n v="6.95"/>
    <n v="31.8"/>
    <n v="0"/>
    <n v="403.16"/>
    <n v="31.8"/>
  </r>
  <r>
    <x v="2"/>
    <x v="1"/>
    <x v="0"/>
    <s v="2474200"/>
    <n v="450029"/>
    <s v="Contr Allow--MD Other-Comm Insurance"/>
    <s v="Primary Care-PO"/>
    <x v="0"/>
    <n v="1300"/>
    <n v="53.28"/>
    <n v="0"/>
    <n v="0"/>
    <n v="0"/>
    <n v="0"/>
    <n v="0"/>
    <n v="0"/>
    <n v="0"/>
    <n v="0"/>
    <n v="0"/>
    <n v="0"/>
    <n v="0"/>
    <n v="53.28"/>
    <n v="0"/>
  </r>
  <r>
    <x v="2"/>
    <x v="1"/>
    <x v="0"/>
    <s v="2474200"/>
    <n v="450029"/>
    <s v="Contr Allow--MD Other BCBS Comm"/>
    <s v="Primary Care-PO"/>
    <x v="0"/>
    <n v="1301"/>
    <n v="40.18"/>
    <n v="38.06"/>
    <n v="0"/>
    <n v="60"/>
    <n v="0"/>
    <n v="0"/>
    <n v="0"/>
    <n v="0"/>
    <n v="0"/>
    <n v="0"/>
    <n v="0"/>
    <n v="0"/>
    <n v="138.24"/>
    <n v="0"/>
  </r>
  <r>
    <x v="2"/>
    <x v="1"/>
    <x v="0"/>
    <s v="2474200"/>
    <n v="450029"/>
    <s v="Contr Allow--MD Other-Managed Care"/>
    <s v="Primary Care-PO"/>
    <x v="0"/>
    <n v="1400"/>
    <n v="94.66"/>
    <n v="95.2"/>
    <n v="0"/>
    <n v="-42.46"/>
    <n v="0"/>
    <n v="0"/>
    <n v="0"/>
    <n v="0"/>
    <n v="-17.809999999999999"/>
    <n v="0"/>
    <n v="0"/>
    <n v="0"/>
    <n v="129.59"/>
    <n v="0"/>
  </r>
  <r>
    <x v="2"/>
    <x v="1"/>
    <x v="0"/>
    <s v="2474200"/>
    <n v="450029"/>
    <s v="Admin Adjust-MD Other-Self Pay"/>
    <s v="Primary Care-PO"/>
    <x v="0"/>
    <n v="1600"/>
    <n v="4.57"/>
    <n v="7.12"/>
    <n v="7.33"/>
    <n v="0"/>
    <n v="0"/>
    <n v="0"/>
    <n v="-1.99"/>
    <n v="0"/>
    <n v="0"/>
    <n v="0"/>
    <n v="0"/>
    <n v="0"/>
    <n v="17.030000000000005"/>
    <n v="0"/>
  </r>
  <r>
    <x v="2"/>
    <x v="1"/>
    <x v="0"/>
    <s v="2474200"/>
    <n v="450029"/>
    <s v="Contr Allow--MD Other-Other"/>
    <s v="Primary Care-PO"/>
    <x v="0"/>
    <n v="1700"/>
    <n v="72.31"/>
    <n v="179.07"/>
    <n v="34.020000000000003"/>
    <n v="47.11"/>
    <n v="0"/>
    <n v="0"/>
    <n v="0"/>
    <n v="0"/>
    <n v="17.22"/>
    <n v="0"/>
    <n v="0"/>
    <n v="0"/>
    <n v="349.73"/>
    <n v="0"/>
  </r>
  <r>
    <x v="2"/>
    <x v="1"/>
    <x v="0"/>
    <s v="2474200"/>
    <n v="450040"/>
    <s v="Contr Allow--Phys Svcs--Mcare"/>
    <s v="Primary Care-PO"/>
    <x v="0"/>
    <n v="1100"/>
    <n v="2166.04"/>
    <n v="4597.68"/>
    <n v="6074.78"/>
    <n v="4686.8900000000003"/>
    <n v="3704.83"/>
    <n v="1682.87"/>
    <n v="1217.49"/>
    <n v="3166.56"/>
    <n v="4005.11"/>
    <n v="4123.3999999999996"/>
    <n v="3380.08"/>
    <n v="4778.62"/>
    <n v="43584.350000000006"/>
    <n v="-1398.54"/>
  </r>
  <r>
    <x v="2"/>
    <x v="1"/>
    <x v="0"/>
    <s v="2474200"/>
    <n v="450040"/>
    <s v="Contr Allow--Phys Svcs--Mcaid"/>
    <s v="Primary Care-PO"/>
    <x v="0"/>
    <n v="1200"/>
    <n v="2241.64"/>
    <n v="4619.66"/>
    <n v="3236.38"/>
    <n v="2480.3200000000002"/>
    <n v="1287.3"/>
    <n v="-729.61"/>
    <n v="-1308.0999999999999"/>
    <n v="1807.54"/>
    <n v="1998.42"/>
    <n v="2982.87"/>
    <n v="4472.09"/>
    <n v="1626.08"/>
    <n v="24714.589999999997"/>
    <n v="2846.01"/>
  </r>
  <r>
    <x v="2"/>
    <x v="1"/>
    <x v="0"/>
    <s v="2474200"/>
    <n v="450040"/>
    <s v="Contr Allow--Phys Svcs--Comm Insurance"/>
    <s v="Primary Care-PO"/>
    <x v="0"/>
    <n v="1300"/>
    <n v="0"/>
    <n v="0"/>
    <n v="151.68"/>
    <n v="0"/>
    <n v="0"/>
    <n v="0"/>
    <n v="0"/>
    <n v="144.53"/>
    <n v="0"/>
    <n v="0"/>
    <n v="0"/>
    <n v="0"/>
    <n v="296.21000000000004"/>
    <n v="0"/>
  </r>
  <r>
    <x v="2"/>
    <x v="1"/>
    <x v="0"/>
    <s v="2474200"/>
    <n v="450040"/>
    <s v="Contr Allow--Phys Svcs--BCBS Comm Ins"/>
    <s v="Primary Care-PO"/>
    <x v="0"/>
    <n v="1301"/>
    <n v="134.52000000000001"/>
    <n v="0"/>
    <n v="0"/>
    <n v="185.34"/>
    <n v="185.34"/>
    <n v="0"/>
    <n v="0"/>
    <n v="0"/>
    <n v="0"/>
    <n v="0"/>
    <n v="0"/>
    <n v="0"/>
    <n v="505.20000000000005"/>
    <n v="0"/>
  </r>
  <r>
    <x v="2"/>
    <x v="1"/>
    <x v="0"/>
    <s v="2474200"/>
    <n v="450040"/>
    <s v="Contr Allow--Phys Svcs--Managed Care"/>
    <s v="Primary Care-PO"/>
    <x v="0"/>
    <n v="1400"/>
    <n v="-480.29"/>
    <n v="133.96"/>
    <n v="-255.25"/>
    <n v="112.03"/>
    <n v="176.73"/>
    <n v="217.06"/>
    <n v="-74.83"/>
    <n v="-271.68"/>
    <n v="-50.43"/>
    <n v="-465.99"/>
    <n v="321.04000000000002"/>
    <n v="259.04000000000002"/>
    <n v="-378.61000000000007"/>
    <n v="62"/>
  </r>
  <r>
    <x v="2"/>
    <x v="1"/>
    <x v="0"/>
    <s v="2474200"/>
    <n v="450040"/>
    <s v="Contr Allow--Phys Svcs--BCBS Mgnd Care"/>
    <s v="Primary Care-PO"/>
    <x v="0"/>
    <n v="1401"/>
    <n v="361.95"/>
    <n v="-28.19"/>
    <n v="-1376.65"/>
    <n v="-2011.69"/>
    <n v="1036.5899999999999"/>
    <n v="-640.14"/>
    <n v="3701.41"/>
    <n v="1600.73"/>
    <n v="-238.4"/>
    <n v="1018.65"/>
    <n v="-1020.09"/>
    <n v="-2289.16"/>
    <n v="115.00999999999976"/>
    <n v="1269.0699999999997"/>
  </r>
  <r>
    <x v="2"/>
    <x v="1"/>
    <x v="0"/>
    <s v="2474200"/>
    <n v="450040"/>
    <s v="Prompt Pay Disc-Phys Svcs-Self Pay"/>
    <s v="Primary Care-PO"/>
    <x v="0"/>
    <n v="1500"/>
    <n v="0"/>
    <n v="123.37"/>
    <n v="0"/>
    <n v="0"/>
    <n v="0"/>
    <n v="0"/>
    <n v="0"/>
    <n v="0"/>
    <n v="0"/>
    <n v="0"/>
    <n v="0"/>
    <n v="0"/>
    <n v="123.37"/>
    <n v="0"/>
  </r>
  <r>
    <x v="2"/>
    <x v="1"/>
    <x v="0"/>
    <s v="2474200"/>
    <n v="450040"/>
    <s v="Admin Adjust-Phys Svcs-Self Pay"/>
    <s v="Primary Care-PO"/>
    <x v="0"/>
    <n v="1600"/>
    <n v="-39.89"/>
    <n v="-68.94"/>
    <n v="27.46"/>
    <n v="344.76"/>
    <n v="2.0699999999999998"/>
    <n v="-3.58"/>
    <n v="16.14"/>
    <n v="20"/>
    <n v="191.44"/>
    <n v="198.19"/>
    <n v="202.41"/>
    <n v="-1.75"/>
    <n v="888.31"/>
    <n v="204.16"/>
  </r>
  <r>
    <x v="2"/>
    <x v="1"/>
    <x v="0"/>
    <s v="2474200"/>
    <n v="450040"/>
    <s v="Contr Allow--Phys Svcs--Other"/>
    <s v="Primary Care-PO"/>
    <x v="0"/>
    <n v="1700"/>
    <n v="185.71"/>
    <n v="9.49"/>
    <n v="47.23"/>
    <n v="0"/>
    <n v="-185.01"/>
    <n v="0"/>
    <n v="0"/>
    <n v="185.34"/>
    <n v="0"/>
    <n v="0"/>
    <n v="0"/>
    <n v="0"/>
    <n v="242.76000000000002"/>
    <n v="0"/>
  </r>
  <r>
    <x v="3"/>
    <x v="1"/>
    <x v="0"/>
    <s v="2474200"/>
    <n v="470040"/>
    <s v="Charity Care-Physician Svcs"/>
    <s v="Primary Care-PO"/>
    <x v="0"/>
    <m/>
    <n v="72.45"/>
    <n v="434.38"/>
    <n v="18.53"/>
    <n v="-41.38"/>
    <n v="449.5"/>
    <n v="178.36"/>
    <n v="149.28"/>
    <n v="24.8"/>
    <n v="52.16"/>
    <n v="30.46"/>
    <n v="-71.180000000000007"/>
    <n v="224.89"/>
    <n v="1522.25"/>
    <n v="-296.07"/>
  </r>
  <r>
    <x v="4"/>
    <x v="1"/>
    <x v="0"/>
    <s v="2474200"/>
    <n v="490010"/>
    <s v="Provision for Bad Debts"/>
    <s v="Primary Care-PO"/>
    <x v="0"/>
    <m/>
    <n v="-47.81"/>
    <n v="-250.83"/>
    <n v="-873.21"/>
    <n v="44.69"/>
    <n v="-543.66999999999996"/>
    <n v="125.68"/>
    <n v="-376.22"/>
    <n v="14.49"/>
    <n v="-309.76"/>
    <n v="-545.94000000000005"/>
    <n v="704.99"/>
    <n v="1601.46"/>
    <n v="-456.13000000000011"/>
    <n v="-896.47"/>
  </r>
  <r>
    <x v="11"/>
    <x v="1"/>
    <x v="0"/>
    <s v="2474200"/>
    <n v="721835"/>
    <s v="Supplies-Forms"/>
    <s v="Primary Care-PO"/>
    <x v="0"/>
    <m/>
    <n v="0"/>
    <n v="0"/>
    <n v="0"/>
    <n v="0"/>
    <n v="2.85"/>
    <n v="-2.85"/>
    <n v="0"/>
    <n v="0"/>
    <n v="0"/>
    <n v="0"/>
    <n v="0"/>
    <n v="0"/>
    <n v="0"/>
    <n v="0"/>
  </r>
  <r>
    <x v="12"/>
    <x v="1"/>
    <x v="0"/>
    <s v="2474200"/>
    <n v="730020"/>
    <s v="Rental and Leases-Equipment (DO NOT USE)"/>
    <s v="Primary Care-PO"/>
    <x v="0"/>
    <m/>
    <n v="0"/>
    <n v="84.32"/>
    <n v="42"/>
    <n v="42.7"/>
    <n v="-169.02"/>
    <n v="0"/>
    <n v="0"/>
    <n v="0"/>
    <n v="0"/>
    <n v="0"/>
    <n v="0"/>
    <n v="0"/>
    <n v="-2.8421709430404007E-14"/>
    <n v="0"/>
  </r>
  <r>
    <x v="12"/>
    <x v="1"/>
    <x v="0"/>
    <s v="2474200"/>
    <n v="730020"/>
    <s v="Rental and Leases-Copier Usage Fees (DO NOT USE)"/>
    <s v="Primary Care-PO"/>
    <x v="0"/>
    <n v="5100"/>
    <n v="-69.959999999999994"/>
    <n v="-120.02"/>
    <n v="-94.99"/>
    <n v="-94.51"/>
    <n v="379.48"/>
    <n v="0"/>
    <n v="0"/>
    <n v="0"/>
    <n v="0"/>
    <n v="0"/>
    <n v="0"/>
    <n v="0"/>
    <n v="5.6843418860808015E-14"/>
    <n v="0"/>
  </r>
  <r>
    <x v="13"/>
    <x v="1"/>
    <x v="0"/>
    <s v="2474200"/>
    <n v="735050"/>
    <s v="Amortization-Leasehold Improvements"/>
    <s v="Primary Care-PO"/>
    <x v="0"/>
    <m/>
    <n v="6181.82"/>
    <n v="6181.82"/>
    <n v="6181.82"/>
    <n v="6181.81"/>
    <n v="-24727.27"/>
    <n v="0"/>
    <n v="0"/>
    <n v="0"/>
    <n v="0"/>
    <n v="0"/>
    <n v="0"/>
    <n v="0"/>
    <n v="0"/>
    <n v="0"/>
  </r>
  <r>
    <x v="13"/>
    <x v="1"/>
    <x v="0"/>
    <s v="2474200"/>
    <n v="735070"/>
    <s v="Depreciation-Movable Equipment"/>
    <s v="Primary Care-PO"/>
    <x v="0"/>
    <m/>
    <n v="-143.34"/>
    <n v="0"/>
    <n v="0"/>
    <n v="0"/>
    <n v="143.34"/>
    <n v="0"/>
    <n v="0"/>
    <n v="0"/>
    <n v="0"/>
    <n v="0"/>
    <n v="0"/>
    <n v="0"/>
    <n v="0"/>
    <n v="0"/>
  </r>
  <r>
    <x v="0"/>
    <x v="1"/>
    <x v="0"/>
    <s v="2474200"/>
    <n v="766010"/>
    <s v="Property Tax"/>
    <s v="Primary Care-PO"/>
    <x v="0"/>
    <m/>
    <n v="361.61"/>
    <n v="-361.61"/>
    <n v="0"/>
    <n v="0"/>
    <n v="0"/>
    <n v="0"/>
    <n v="0"/>
    <n v="0"/>
    <n v="0"/>
    <n v="0"/>
    <n v="0"/>
    <n v="0"/>
    <n v="0"/>
    <n v="0"/>
  </r>
  <r>
    <x v="1"/>
    <x v="1"/>
    <x v="0"/>
    <s v="2475200"/>
    <n v="400029"/>
    <s v="MD Practice Other Rev--Medicare"/>
    <s v="Primary Care-PO"/>
    <x v="0"/>
    <n v="1100"/>
    <n v="-1030"/>
    <n v="-804"/>
    <n v="50"/>
    <n v="0"/>
    <n v="-87"/>
    <n v="0"/>
    <n v="87"/>
    <n v="0"/>
    <n v="-14"/>
    <n v="0"/>
    <n v="0"/>
    <n v="0"/>
    <n v="-1798"/>
    <n v="0"/>
  </r>
  <r>
    <x v="1"/>
    <x v="1"/>
    <x v="0"/>
    <s v="2475200"/>
    <n v="400029"/>
    <s v="MD Practice Other Rev--Medicaid"/>
    <s v="Primary Care-PO"/>
    <x v="0"/>
    <n v="1200"/>
    <n v="-575"/>
    <n v="-371"/>
    <n v="55"/>
    <n v="0"/>
    <n v="0"/>
    <n v="0"/>
    <n v="0"/>
    <n v="0"/>
    <n v="0"/>
    <n v="0"/>
    <n v="0"/>
    <n v="0"/>
    <n v="-891"/>
    <n v="0"/>
  </r>
  <r>
    <x v="1"/>
    <x v="1"/>
    <x v="0"/>
    <s v="2475200"/>
    <n v="400029"/>
    <s v="MD Practice Other Rev--BCBS Comm"/>
    <s v="Primary Care-PO"/>
    <x v="0"/>
    <n v="1301"/>
    <n v="0"/>
    <n v="-126"/>
    <n v="0"/>
    <n v="0"/>
    <n v="0"/>
    <n v="0"/>
    <n v="0"/>
    <n v="0"/>
    <n v="0"/>
    <n v="0"/>
    <n v="0"/>
    <n v="0"/>
    <n v="-126"/>
    <n v="0"/>
  </r>
  <r>
    <x v="1"/>
    <x v="1"/>
    <x v="0"/>
    <s v="2475200"/>
    <n v="400029"/>
    <s v="MD Practice Other Rev--Managed Care"/>
    <s v="Primary Care-PO"/>
    <x v="0"/>
    <n v="1400"/>
    <n v="-141"/>
    <n v="-163"/>
    <n v="15"/>
    <n v="54"/>
    <n v="87"/>
    <n v="0"/>
    <n v="0"/>
    <n v="0"/>
    <n v="0"/>
    <n v="0"/>
    <n v="-15"/>
    <n v="0"/>
    <n v="-163"/>
    <n v="-15"/>
  </r>
  <r>
    <x v="1"/>
    <x v="1"/>
    <x v="0"/>
    <s v="2475200"/>
    <n v="400029"/>
    <s v="MD Practice Other Rev--Self Pay"/>
    <s v="Primary Care-PO"/>
    <x v="0"/>
    <n v="1500"/>
    <n v="-81"/>
    <n v="0"/>
    <n v="0"/>
    <n v="0"/>
    <n v="0"/>
    <n v="0"/>
    <n v="0"/>
    <n v="0"/>
    <n v="0"/>
    <n v="0"/>
    <n v="0"/>
    <n v="0"/>
    <n v="-81"/>
    <n v="0"/>
  </r>
  <r>
    <x v="1"/>
    <x v="1"/>
    <x v="0"/>
    <s v="2475200"/>
    <n v="400029"/>
    <s v="MD Practice Other Rev--Other"/>
    <s v="Primary Care-PO"/>
    <x v="0"/>
    <n v="1700"/>
    <n v="-200"/>
    <n v="-162"/>
    <n v="-15"/>
    <n v="0"/>
    <n v="0"/>
    <n v="0"/>
    <n v="0"/>
    <n v="0"/>
    <n v="0"/>
    <n v="0"/>
    <n v="15"/>
    <n v="0"/>
    <n v="-362"/>
    <n v="15"/>
  </r>
  <r>
    <x v="1"/>
    <x v="1"/>
    <x v="0"/>
    <s v="2475200"/>
    <n v="400040"/>
    <s v="Physician Svcs Rev--Medicare"/>
    <s v="Primary Care-PO"/>
    <x v="0"/>
    <n v="1100"/>
    <n v="-709"/>
    <n v="294"/>
    <n v="0"/>
    <n v="0"/>
    <n v="-450"/>
    <n v="450"/>
    <n v="0"/>
    <n v="0"/>
    <n v="0"/>
    <n v="0"/>
    <n v="0"/>
    <n v="0"/>
    <n v="-415"/>
    <n v="0"/>
  </r>
  <r>
    <x v="1"/>
    <x v="1"/>
    <x v="0"/>
    <s v="2475200"/>
    <n v="400040"/>
    <s v="Physician Svcs Rev--Medicaid"/>
    <s v="Primary Care-PO"/>
    <x v="0"/>
    <n v="1200"/>
    <n v="114"/>
    <n v="-148"/>
    <n v="0"/>
    <n v="0"/>
    <n v="450"/>
    <n v="-450"/>
    <n v="0"/>
    <n v="0"/>
    <n v="0"/>
    <n v="0"/>
    <n v="0"/>
    <n v="0"/>
    <n v="-34"/>
    <n v="0"/>
  </r>
  <r>
    <x v="1"/>
    <x v="1"/>
    <x v="0"/>
    <s v="2475200"/>
    <n v="400040"/>
    <s v="Physician Svcs Rev--Comm Insurance"/>
    <s v="Primary Care-PO"/>
    <x v="0"/>
    <n v="1300"/>
    <n v="294"/>
    <n v="-294"/>
    <n v="0"/>
    <n v="0"/>
    <n v="0"/>
    <n v="0"/>
    <n v="0"/>
    <n v="0"/>
    <n v="0"/>
    <n v="0"/>
    <n v="0"/>
    <n v="0"/>
    <n v="0"/>
    <n v="0"/>
  </r>
  <r>
    <x v="1"/>
    <x v="1"/>
    <x v="0"/>
    <s v="2475200"/>
    <n v="400040"/>
    <s v="Physician Svcs Rev--BCBS Comm"/>
    <s v="Primary Care-PO"/>
    <x v="0"/>
    <n v="1301"/>
    <n v="481"/>
    <n v="0"/>
    <n v="0"/>
    <n v="0"/>
    <n v="0"/>
    <n v="0"/>
    <n v="0"/>
    <n v="0"/>
    <n v="0"/>
    <n v="0"/>
    <n v="0"/>
    <n v="0"/>
    <n v="481"/>
    <n v="0"/>
  </r>
  <r>
    <x v="1"/>
    <x v="1"/>
    <x v="0"/>
    <s v="2475200"/>
    <n v="400040"/>
    <s v="Physician Svcs Rev--Managed Care"/>
    <s v="Primary Care-PO"/>
    <x v="0"/>
    <n v="1400"/>
    <n v="0"/>
    <n v="-147"/>
    <n v="120"/>
    <n v="0"/>
    <n v="0"/>
    <n v="0"/>
    <n v="0"/>
    <n v="0"/>
    <n v="0"/>
    <n v="0"/>
    <n v="-56"/>
    <n v="0"/>
    <n v="-83"/>
    <n v="-56"/>
  </r>
  <r>
    <x v="1"/>
    <x v="1"/>
    <x v="0"/>
    <s v="2475200"/>
    <n v="400040"/>
    <s v="Physician Svcs Rev--Other"/>
    <s v="Primary Care-PO"/>
    <x v="0"/>
    <n v="1700"/>
    <n v="0"/>
    <n v="0"/>
    <n v="-56"/>
    <n v="0"/>
    <n v="0"/>
    <n v="0"/>
    <n v="0"/>
    <n v="0"/>
    <n v="0"/>
    <n v="0"/>
    <n v="56"/>
    <n v="0"/>
    <n v="0"/>
    <n v="56"/>
  </r>
  <r>
    <x v="2"/>
    <x v="1"/>
    <x v="0"/>
    <s v="2475200"/>
    <n v="450029"/>
    <s v="Contr Allow--MD Other-Medicare"/>
    <s v="Primary Care-PO"/>
    <x v="0"/>
    <n v="1100"/>
    <n v="939.21"/>
    <n v="629.59"/>
    <n v="298.61"/>
    <n v="0"/>
    <n v="0"/>
    <n v="0"/>
    <n v="0"/>
    <n v="0"/>
    <n v="11.09"/>
    <n v="0"/>
    <n v="0"/>
    <n v="0"/>
    <n v="1878.5000000000002"/>
    <n v="0"/>
  </r>
  <r>
    <x v="2"/>
    <x v="1"/>
    <x v="0"/>
    <s v="2475200"/>
    <n v="450029"/>
    <s v="Contr Allow--MD Other-Medicaid"/>
    <s v="Primary Care-PO"/>
    <x v="0"/>
    <n v="1200"/>
    <n v="277.79000000000002"/>
    <n v="442.86"/>
    <n v="349.3"/>
    <n v="0"/>
    <n v="0"/>
    <n v="-113.07"/>
    <n v="0"/>
    <n v="0"/>
    <n v="0"/>
    <n v="113.07"/>
    <n v="0"/>
    <n v="0"/>
    <n v="1069.95"/>
    <n v="0"/>
  </r>
  <r>
    <x v="2"/>
    <x v="1"/>
    <x v="0"/>
    <s v="2475200"/>
    <n v="450029"/>
    <s v="Contr Allow--MD Other-Comm Insurance"/>
    <s v="Primary Care-PO"/>
    <x v="0"/>
    <n v="1300"/>
    <n v="21.76"/>
    <n v="0"/>
    <n v="0"/>
    <n v="0"/>
    <n v="0"/>
    <n v="0"/>
    <n v="0"/>
    <n v="0"/>
    <n v="0"/>
    <n v="0"/>
    <n v="0"/>
    <n v="0"/>
    <n v="21.76"/>
    <n v="0"/>
  </r>
  <r>
    <x v="2"/>
    <x v="1"/>
    <x v="0"/>
    <s v="2475200"/>
    <n v="450029"/>
    <s v="Contr Allow--MD Other BCBS Comm"/>
    <s v="Primary Care-PO"/>
    <x v="0"/>
    <n v="1301"/>
    <n v="80.92"/>
    <n v="0"/>
    <n v="37.65"/>
    <n v="0"/>
    <n v="0"/>
    <n v="0"/>
    <n v="0"/>
    <n v="0"/>
    <n v="0"/>
    <n v="0"/>
    <n v="0"/>
    <n v="0"/>
    <n v="118.57"/>
    <n v="0"/>
  </r>
  <r>
    <x v="2"/>
    <x v="1"/>
    <x v="0"/>
    <s v="2475200"/>
    <n v="450029"/>
    <s v="Contr Allow--MD Other-Managed Care"/>
    <s v="Primary Care-PO"/>
    <x v="0"/>
    <n v="1400"/>
    <n v="97.59"/>
    <n v="154.02000000000001"/>
    <n v="45.44"/>
    <n v="0"/>
    <n v="0"/>
    <n v="0"/>
    <n v="0"/>
    <n v="-28.05"/>
    <n v="-92.7"/>
    <n v="0"/>
    <n v="0"/>
    <n v="0"/>
    <n v="176.3"/>
    <n v="0"/>
  </r>
  <r>
    <x v="2"/>
    <x v="1"/>
    <x v="0"/>
    <s v="2475200"/>
    <n v="450029"/>
    <s v="Admin Adjust-MD Other-Self Pay"/>
    <s v="Primary Care-PO"/>
    <x v="0"/>
    <n v="1600"/>
    <n v="38.33"/>
    <n v="6.27"/>
    <n v="0"/>
    <n v="4.6500000000000004"/>
    <n v="0"/>
    <n v="-1.84"/>
    <n v="0"/>
    <n v="0"/>
    <n v="-1.21"/>
    <n v="0.26"/>
    <n v="0"/>
    <n v="0"/>
    <n v="46.459999999999987"/>
    <n v="0"/>
  </r>
  <r>
    <x v="2"/>
    <x v="1"/>
    <x v="0"/>
    <s v="2475200"/>
    <n v="450029"/>
    <s v="Contr Allow--MD Other-Other"/>
    <s v="Primary Care-PO"/>
    <x v="0"/>
    <n v="1700"/>
    <n v="34.020000000000003"/>
    <n v="197.2"/>
    <n v="34.03"/>
    <n v="0"/>
    <n v="0"/>
    <n v="0"/>
    <n v="0"/>
    <n v="0"/>
    <n v="26.63"/>
    <n v="0"/>
    <n v="0"/>
    <n v="0"/>
    <n v="291.88"/>
    <n v="0"/>
  </r>
  <r>
    <x v="2"/>
    <x v="1"/>
    <x v="0"/>
    <s v="2475200"/>
    <n v="450040"/>
    <s v="Contr Allow--Phys Svcs--Mcare"/>
    <s v="Primary Care-PO"/>
    <x v="0"/>
    <n v="1100"/>
    <n v="86.43"/>
    <n v="405.29"/>
    <n v="133.61000000000001"/>
    <n v="187.44"/>
    <n v="-0.11"/>
    <n v="0"/>
    <n v="-41.35"/>
    <n v="0"/>
    <n v="0"/>
    <n v="0"/>
    <n v="0"/>
    <n v="0"/>
    <n v="771.31"/>
    <n v="0"/>
  </r>
  <r>
    <x v="2"/>
    <x v="1"/>
    <x v="0"/>
    <s v="2475200"/>
    <n v="450040"/>
    <s v="Contr Allow--Phys Svcs--Mcaid"/>
    <s v="Primary Care-PO"/>
    <x v="0"/>
    <n v="1200"/>
    <n v="83.77"/>
    <n v="0"/>
    <n v="112.04"/>
    <n v="0"/>
    <n v="-356.35"/>
    <n v="0"/>
    <n v="-82.85"/>
    <n v="0"/>
    <n v="0"/>
    <n v="0"/>
    <n v="222.25"/>
    <n v="0"/>
    <n v="-21.140000000000015"/>
    <n v="222.25"/>
  </r>
  <r>
    <x v="2"/>
    <x v="1"/>
    <x v="0"/>
    <s v="2475200"/>
    <n v="450040"/>
    <s v="Contr Allow--Phys Svcs--Comm Insurance"/>
    <s v="Primary Care-PO"/>
    <x v="0"/>
    <n v="1300"/>
    <n v="-91.97"/>
    <n v="365.73"/>
    <n v="0"/>
    <n v="0"/>
    <n v="0"/>
    <n v="0"/>
    <n v="0"/>
    <n v="0"/>
    <n v="0"/>
    <n v="0"/>
    <n v="0"/>
    <n v="0"/>
    <n v="273.76"/>
    <n v="0"/>
  </r>
  <r>
    <x v="2"/>
    <x v="1"/>
    <x v="0"/>
    <s v="2475200"/>
    <n v="450040"/>
    <s v="Contr Allow--Phys Svcs--BCBS Comm Ins"/>
    <s v="Primary Care-PO"/>
    <x v="0"/>
    <n v="1301"/>
    <n v="-246.61"/>
    <n v="0"/>
    <n v="0"/>
    <n v="0"/>
    <n v="0"/>
    <n v="0"/>
    <n v="0"/>
    <n v="0"/>
    <n v="0"/>
    <n v="0"/>
    <n v="0"/>
    <n v="0"/>
    <n v="-246.61"/>
    <n v="0"/>
  </r>
  <r>
    <x v="2"/>
    <x v="1"/>
    <x v="0"/>
    <s v="2475200"/>
    <n v="450040"/>
    <s v="Contr Allow--Phys Svcs--Managed Care"/>
    <s v="Primary Care-PO"/>
    <x v="0"/>
    <n v="1400"/>
    <n v="-361.38"/>
    <n v="105.6"/>
    <n v="105.46"/>
    <n v="0"/>
    <n v="0"/>
    <n v="0"/>
    <n v="0"/>
    <n v="0"/>
    <n v="0"/>
    <n v="0"/>
    <n v="0"/>
    <n v="0"/>
    <n v="-150.32"/>
    <n v="0"/>
  </r>
  <r>
    <x v="2"/>
    <x v="1"/>
    <x v="0"/>
    <s v="2475200"/>
    <n v="450040"/>
    <s v="Contr Allow--Phys Svcs--BCBS Mgnd Care"/>
    <s v="Primary Care-PO"/>
    <x v="0"/>
    <n v="1401"/>
    <n v="46.43"/>
    <n v="-1086.6600000000001"/>
    <n v="-1083.3800000000001"/>
    <n v="-387.7"/>
    <n v="189.83"/>
    <n v="-66.680000000000007"/>
    <n v="63.12"/>
    <n v="-45.07"/>
    <n v="-73.5"/>
    <n v="-75.36"/>
    <n v="-157.15"/>
    <n v="-170.81"/>
    <n v="-2846.9300000000003"/>
    <n v="13.659999999999997"/>
  </r>
  <r>
    <x v="2"/>
    <x v="1"/>
    <x v="0"/>
    <s v="2475200"/>
    <n v="450040"/>
    <s v="Admin Adjust-Phys Svcs-Self Pay"/>
    <s v="Primary Care-PO"/>
    <x v="0"/>
    <n v="1600"/>
    <n v="-2.82"/>
    <n v="1.64"/>
    <n v="5.34"/>
    <n v="0"/>
    <n v="0"/>
    <n v="0"/>
    <n v="0"/>
    <n v="8.85"/>
    <n v="0"/>
    <n v="0"/>
    <n v="0"/>
    <n v="0"/>
    <n v="13.01"/>
    <n v="0"/>
  </r>
  <r>
    <x v="2"/>
    <x v="1"/>
    <x v="0"/>
    <s v="2475200"/>
    <n v="450040"/>
    <s v="Contr Allow--Phys Svcs--Other"/>
    <s v="Primary Care-PO"/>
    <x v="0"/>
    <n v="1700"/>
    <n v="0"/>
    <n v="225.72"/>
    <n v="0"/>
    <n v="0"/>
    <n v="0"/>
    <n v="0"/>
    <n v="0"/>
    <n v="0"/>
    <n v="0"/>
    <n v="0"/>
    <n v="0"/>
    <n v="0"/>
    <n v="225.72"/>
    <n v="0"/>
  </r>
  <r>
    <x v="3"/>
    <x v="1"/>
    <x v="0"/>
    <s v="2475200"/>
    <n v="470040"/>
    <s v="Charity Care-Physician Svcs"/>
    <s v="Primary Care-PO"/>
    <x v="0"/>
    <m/>
    <n v="-2.04"/>
    <n v="65.34"/>
    <n v="-39.25"/>
    <n v="-9.1999999999999993"/>
    <n v="7.79"/>
    <n v="45.38"/>
    <n v="0.85"/>
    <n v="-3.39"/>
    <n v="1.58"/>
    <n v="-3.63"/>
    <n v="-7.05"/>
    <n v="-2.5099999999999998"/>
    <n v="53.870000000000005"/>
    <n v="-4.54"/>
  </r>
  <r>
    <x v="4"/>
    <x v="1"/>
    <x v="0"/>
    <s v="2475200"/>
    <n v="490010"/>
    <s v="Provision for Bad Debts"/>
    <s v="Primary Care-PO"/>
    <x v="0"/>
    <m/>
    <n v="-52.28"/>
    <n v="-306.7"/>
    <n v="59.2"/>
    <n v="4.49"/>
    <n v="-6.3"/>
    <n v="-0.11"/>
    <n v="-55.94"/>
    <n v="872.59"/>
    <n v="-594.55999999999995"/>
    <n v="-40.090000000000003"/>
    <n v="-18.7"/>
    <n v="280.98"/>
    <n v="142.58000000000013"/>
    <n v="-299.68"/>
  </r>
  <r>
    <x v="5"/>
    <x v="1"/>
    <x v="0"/>
    <s v="2475200"/>
    <n v="700062"/>
    <s v="Salaries-Physician-Non-productive"/>
    <s v="Primary Care-PO"/>
    <x v="0"/>
    <m/>
    <n v="676.86"/>
    <n v="674.31"/>
    <n v="671.6"/>
    <n v="669.13"/>
    <n v="0"/>
    <n v="-2691.9"/>
    <n v="0"/>
    <n v="0"/>
    <n v="0"/>
    <n v="0"/>
    <n v="0"/>
    <n v="0"/>
    <n v="0"/>
    <n v="0"/>
  </r>
  <r>
    <x v="6"/>
    <x v="1"/>
    <x v="0"/>
    <s v="2475200"/>
    <n v="713090"/>
    <s v="Benefits-Allocated Amounts"/>
    <s v="Primary Care-PO"/>
    <x v="0"/>
    <m/>
    <n v="0"/>
    <n v="0"/>
    <n v="0"/>
    <n v="0"/>
    <n v="90.55"/>
    <n v="-90.55"/>
    <n v="0"/>
    <n v="0"/>
    <n v="0"/>
    <n v="0"/>
    <n v="0"/>
    <n v="0"/>
    <n v="0"/>
    <n v="0"/>
  </r>
  <r>
    <x v="6"/>
    <x v="1"/>
    <x v="0"/>
    <s v="2475200"/>
    <n v="713092"/>
    <s v="Allocated Benefits-Physician"/>
    <s v="Primary Care-PO"/>
    <x v="0"/>
    <m/>
    <n v="29.47"/>
    <n v="28.88"/>
    <n v="25.4"/>
    <n v="26.57"/>
    <n v="-110.32"/>
    <n v="0"/>
    <n v="0"/>
    <n v="0"/>
    <n v="0"/>
    <n v="0"/>
    <n v="0"/>
    <n v="0"/>
    <n v="0"/>
    <n v="0"/>
  </r>
  <r>
    <x v="9"/>
    <x v="1"/>
    <x v="0"/>
    <s v="2475200"/>
    <n v="800015"/>
    <s v="Interest Income-Ext to CHI"/>
    <s v="Primary Care-PO"/>
    <x v="0"/>
    <m/>
    <n v="-10.19"/>
    <n v="-7.64"/>
    <n v="-4.93"/>
    <n v="-2.54"/>
    <n v="25.3"/>
    <n v="0"/>
    <n v="0"/>
    <n v="0"/>
    <n v="0"/>
    <n v="0"/>
    <n v="0"/>
    <n v="0"/>
    <n v="3.5527136788005009E-15"/>
    <n v="0"/>
  </r>
  <r>
    <x v="1"/>
    <x v="1"/>
    <x v="0"/>
    <s v="2476200"/>
    <n v="400029"/>
    <s v="MD Practice Other Rev--Medicare"/>
    <s v="Internal Medicine Clinic Pouls"/>
    <x v="0"/>
    <n v="1100"/>
    <n v="-5129"/>
    <n v="-3374"/>
    <n v="-3892"/>
    <n v="-4273"/>
    <n v="-2535"/>
    <n v="-2529"/>
    <n v="-2772"/>
    <n v="-2551"/>
    <n v="-3586"/>
    <n v="-1864"/>
    <n v="-2847"/>
    <n v="-3061"/>
    <n v="-38413"/>
    <n v="214"/>
  </r>
  <r>
    <x v="1"/>
    <x v="1"/>
    <x v="0"/>
    <s v="2476200"/>
    <n v="400029"/>
    <s v="MD Practice Other Rev--Medicaid"/>
    <s v="Internal Medicine Clinic Pouls"/>
    <x v="0"/>
    <n v="1200"/>
    <n v="-279"/>
    <n v="-178"/>
    <n v="-353"/>
    <n v="-133"/>
    <n v="-140"/>
    <n v="-296"/>
    <n v="-109"/>
    <n v="-311"/>
    <n v="-402"/>
    <n v="-50"/>
    <n v="-24"/>
    <n v="-226"/>
    <n v="-2501"/>
    <n v="202"/>
  </r>
  <r>
    <x v="1"/>
    <x v="1"/>
    <x v="0"/>
    <s v="2476200"/>
    <n v="400029"/>
    <s v="MD Practice Other Rev--Comm Insurance"/>
    <s v="Internal Medicine Clinic Pouls"/>
    <x v="0"/>
    <n v="1300"/>
    <n v="-61"/>
    <n v="-9"/>
    <n v="-108"/>
    <n v="-42"/>
    <n v="0"/>
    <n v="-84"/>
    <n v="-43"/>
    <n v="0"/>
    <n v="-75"/>
    <n v="-53"/>
    <n v="-45"/>
    <n v="-160"/>
    <n v="-680"/>
    <n v="115"/>
  </r>
  <r>
    <x v="1"/>
    <x v="1"/>
    <x v="0"/>
    <s v="2476200"/>
    <n v="400029"/>
    <s v="MD Practice Other Rev--BCBS Comm"/>
    <s v="Internal Medicine Clinic Pouls"/>
    <x v="0"/>
    <n v="1301"/>
    <n v="-356"/>
    <n v="-208"/>
    <n v="-216"/>
    <n v="-554"/>
    <n v="-177"/>
    <n v="-289"/>
    <n v="-300"/>
    <n v="-298"/>
    <n v="-688"/>
    <n v="-102"/>
    <n v="-122"/>
    <n v="-361"/>
    <n v="-3671"/>
    <n v="239"/>
  </r>
  <r>
    <x v="1"/>
    <x v="1"/>
    <x v="0"/>
    <s v="2476200"/>
    <n v="400029"/>
    <s v="MD Practice Other Rev--Managed Care"/>
    <s v="Internal Medicine Clinic Pouls"/>
    <x v="0"/>
    <n v="1400"/>
    <n v="-712"/>
    <n v="-945"/>
    <n v="-704"/>
    <n v="-1236"/>
    <n v="-880"/>
    <n v="-763"/>
    <n v="-570"/>
    <n v="-530"/>
    <n v="-864"/>
    <n v="-684"/>
    <n v="-528"/>
    <n v="-461"/>
    <n v="-8877"/>
    <n v="-67"/>
  </r>
  <r>
    <x v="1"/>
    <x v="1"/>
    <x v="0"/>
    <s v="2476200"/>
    <n v="400029"/>
    <s v="MD Practice Other Rev--Self Pay"/>
    <s v="Internal Medicine Clinic Pouls"/>
    <x v="0"/>
    <n v="1500"/>
    <n v="-12"/>
    <n v="-45"/>
    <n v="-33"/>
    <n v="-25"/>
    <n v="0"/>
    <n v="0"/>
    <n v="0"/>
    <n v="0"/>
    <n v="0"/>
    <n v="0"/>
    <n v="0"/>
    <n v="0"/>
    <n v="-115"/>
    <n v="0"/>
  </r>
  <r>
    <x v="1"/>
    <x v="1"/>
    <x v="0"/>
    <s v="2476200"/>
    <n v="400029"/>
    <s v="MD Practice Other Rev--Other"/>
    <s v="Internal Medicine Clinic Pouls"/>
    <x v="0"/>
    <n v="1700"/>
    <n v="-305"/>
    <n v="-227"/>
    <n v="-57"/>
    <n v="-251"/>
    <n v="-137"/>
    <n v="-145"/>
    <n v="-209"/>
    <n v="-217"/>
    <n v="-73"/>
    <n v="-321"/>
    <n v="-156"/>
    <n v="-70"/>
    <n v="-2168"/>
    <n v="-86"/>
  </r>
  <r>
    <x v="1"/>
    <x v="1"/>
    <x v="0"/>
    <s v="2476200"/>
    <n v="400040"/>
    <s v="Physician Svcs Rev--Medicare"/>
    <s v="Internal Medicine Clinic Pouls"/>
    <x v="0"/>
    <n v="1100"/>
    <n v="-252171"/>
    <n v="-256084.2"/>
    <n v="-229814.39999999999"/>
    <n v="-285888.2"/>
    <n v="-238606.2"/>
    <n v="-197610"/>
    <n v="-219749.2"/>
    <n v="-180171.8"/>
    <n v="-205625"/>
    <n v="-197521"/>
    <n v="-225875"/>
    <n v="-240111.44"/>
    <n v="-2729227.44"/>
    <n v="14236.440000000002"/>
  </r>
  <r>
    <x v="1"/>
    <x v="1"/>
    <x v="0"/>
    <s v="2476200"/>
    <n v="400040"/>
    <s v="Physician Svcs Rev--Medicaid"/>
    <s v="Internal Medicine Clinic Pouls"/>
    <x v="0"/>
    <n v="1200"/>
    <n v="-26630"/>
    <n v="-20611"/>
    <n v="-17930.259999999998"/>
    <n v="-26269"/>
    <n v="-20682"/>
    <n v="-18492.13"/>
    <n v="-19930.13"/>
    <n v="-13397"/>
    <n v="-18241"/>
    <n v="-20682"/>
    <n v="-22232"/>
    <n v="-24311"/>
    <n v="-249407.52"/>
    <n v="2079"/>
  </r>
  <r>
    <x v="1"/>
    <x v="1"/>
    <x v="0"/>
    <s v="2476200"/>
    <n v="400040"/>
    <s v="Physician Svcs Rev--Comm Insurance"/>
    <s v="Internal Medicine Clinic Pouls"/>
    <x v="0"/>
    <n v="1300"/>
    <n v="-5742"/>
    <n v="-5192"/>
    <n v="-4966"/>
    <n v="-5529"/>
    <n v="-3950"/>
    <n v="-7783"/>
    <n v="-5283"/>
    <n v="-1389"/>
    <n v="-3754"/>
    <n v="-3422"/>
    <n v="-6799"/>
    <n v="-7789"/>
    <n v="-61598"/>
    <n v="990"/>
  </r>
  <r>
    <x v="1"/>
    <x v="1"/>
    <x v="0"/>
    <s v="2476200"/>
    <n v="400040"/>
    <s v="Physician Svcs Rev--BCBS Comm"/>
    <s v="Internal Medicine Clinic Pouls"/>
    <x v="0"/>
    <n v="1301"/>
    <n v="-21128"/>
    <n v="-18896"/>
    <n v="-13211"/>
    <n v="-25552"/>
    <n v="-17573"/>
    <n v="-14729"/>
    <n v="-18286"/>
    <n v="-16138"/>
    <n v="-16129"/>
    <n v="-13021"/>
    <n v="-16220"/>
    <n v="-22384"/>
    <n v="-213267"/>
    <n v="6164"/>
  </r>
  <r>
    <x v="1"/>
    <x v="1"/>
    <x v="0"/>
    <s v="2476200"/>
    <n v="400040"/>
    <s v="Physician Svcs Rev--Managed Care"/>
    <s v="Internal Medicine Clinic Pouls"/>
    <x v="0"/>
    <n v="1400"/>
    <n v="-74041"/>
    <n v="-22879"/>
    <n v="-41071"/>
    <n v="-61148"/>
    <n v="-57793"/>
    <n v="-44411"/>
    <n v="-41847"/>
    <n v="-31424"/>
    <n v="-42730"/>
    <n v="-42419"/>
    <n v="-47919"/>
    <n v="-46892"/>
    <n v="-554574"/>
    <n v="-1027"/>
  </r>
  <r>
    <x v="1"/>
    <x v="1"/>
    <x v="0"/>
    <s v="2476200"/>
    <n v="400040"/>
    <s v="Physician Svcs Rev--Self Pay"/>
    <s v="Internal Medicine Clinic Pouls"/>
    <x v="0"/>
    <n v="1500"/>
    <n v="-1887"/>
    <n v="-318"/>
    <n v="-1346.71"/>
    <n v="-721"/>
    <n v="-467"/>
    <n v="-1060"/>
    <n v="-1297"/>
    <n v="-173"/>
    <n v="-1432"/>
    <n v="-1216"/>
    <n v="-547"/>
    <n v="-492"/>
    <n v="-10956.71"/>
    <n v="-55"/>
  </r>
  <r>
    <x v="1"/>
    <x v="1"/>
    <x v="0"/>
    <s v="2476200"/>
    <n v="400040"/>
    <s v="Physician Svcs Rev--Other"/>
    <s v="Internal Medicine Clinic Pouls"/>
    <x v="0"/>
    <n v="1700"/>
    <n v="-18682"/>
    <n v="-18295"/>
    <n v="-13083"/>
    <n v="-17104"/>
    <n v="-13436"/>
    <n v="-13178"/>
    <n v="-13351"/>
    <n v="-11350"/>
    <n v="-16065"/>
    <n v="-13238"/>
    <n v="-12099"/>
    <n v="-9648"/>
    <n v="-169529"/>
    <n v="-2451"/>
  </r>
  <r>
    <x v="2"/>
    <x v="1"/>
    <x v="0"/>
    <s v="2476200"/>
    <n v="450029"/>
    <s v="Contr Allow--MD Other-Medicare"/>
    <s v="Internal Medicine Clinic Pouls"/>
    <x v="0"/>
    <n v="1100"/>
    <n v="2794.35"/>
    <n v="2448.77"/>
    <n v="2342.7199999999998"/>
    <n v="2925.41"/>
    <n v="2373.14"/>
    <n v="1758.21"/>
    <n v="1555.99"/>
    <n v="1575.93"/>
    <n v="1845.44"/>
    <n v="2144.0100000000002"/>
    <n v="1618.68"/>
    <n v="2042.44"/>
    <n v="25425.089999999993"/>
    <n v="-423.76"/>
  </r>
  <r>
    <x v="2"/>
    <x v="1"/>
    <x v="0"/>
    <s v="2476200"/>
    <n v="450029"/>
    <s v="Contr Allow--MD Other-Medicaid"/>
    <s v="Internal Medicine Clinic Pouls"/>
    <x v="0"/>
    <n v="1200"/>
    <n v="448.9"/>
    <n v="120.16"/>
    <n v="138.65"/>
    <n v="201.2"/>
    <n v="48.55"/>
    <n v="189.38"/>
    <n v="117.52"/>
    <n v="165.87"/>
    <n v="137.72999999999999"/>
    <n v="180.25"/>
    <n v="90.06"/>
    <n v="52.72"/>
    <n v="1890.9899999999996"/>
    <n v="37.340000000000003"/>
  </r>
  <r>
    <x v="2"/>
    <x v="1"/>
    <x v="0"/>
    <s v="2476200"/>
    <n v="450029"/>
    <s v="Contr Allow--MD Other-Comm Insurance"/>
    <s v="Internal Medicine Clinic Pouls"/>
    <x v="0"/>
    <n v="1300"/>
    <n v="71.349999999999994"/>
    <n v="43.79"/>
    <n v="18.670000000000002"/>
    <n v="68.69"/>
    <n v="0"/>
    <n v="18.670000000000002"/>
    <n v="22.07"/>
    <n v="24.89"/>
    <n v="0"/>
    <n v="56.12"/>
    <n v="45.96"/>
    <n v="21.63"/>
    <n v="391.84"/>
    <n v="24.330000000000002"/>
  </r>
  <r>
    <x v="2"/>
    <x v="1"/>
    <x v="0"/>
    <s v="2476200"/>
    <n v="450029"/>
    <s v="Contr Allow--MD Other BCBS Comm"/>
    <s v="Internal Medicine Clinic Pouls"/>
    <x v="0"/>
    <n v="1301"/>
    <n v="365.7"/>
    <n v="137.33000000000001"/>
    <n v="124.94"/>
    <n v="132.68"/>
    <n v="346.68"/>
    <n v="219.84"/>
    <n v="105.48"/>
    <n v="91.78"/>
    <n v="349.17"/>
    <n v="296.62"/>
    <n v="103.01"/>
    <n v="93.86"/>
    <n v="2367.0900000000006"/>
    <n v="9.1500000000000057"/>
  </r>
  <r>
    <x v="2"/>
    <x v="1"/>
    <x v="0"/>
    <s v="2476200"/>
    <n v="450029"/>
    <s v="Contr Allow--MD Other-Managed Care"/>
    <s v="Internal Medicine Clinic Pouls"/>
    <x v="0"/>
    <n v="1400"/>
    <n v="619.87"/>
    <n v="650.41"/>
    <n v="443.2"/>
    <n v="719.86"/>
    <n v="581.09"/>
    <n v="595.30999999999995"/>
    <n v="205.6"/>
    <n v="394.83"/>
    <n v="461.83"/>
    <n v="554"/>
    <n v="281.94"/>
    <n v="283.58"/>
    <n v="5791.5199999999995"/>
    <n v="-1.6399999999999864"/>
  </r>
  <r>
    <x v="2"/>
    <x v="1"/>
    <x v="0"/>
    <s v="2476200"/>
    <n v="450029"/>
    <s v="Admin Adjust-MD Other-Self Pay"/>
    <s v="Internal Medicine Clinic Pouls"/>
    <x v="0"/>
    <n v="1600"/>
    <n v="15.06"/>
    <n v="39.450000000000003"/>
    <n v="17.88"/>
    <n v="5.69"/>
    <n v="6.11"/>
    <n v="13.18"/>
    <n v="22.49"/>
    <n v="2.4300000000000002"/>
    <n v="48.78"/>
    <n v="-32.28"/>
    <n v="0"/>
    <n v="-32.880000000000003"/>
    <n v="105.91"/>
    <n v="32.880000000000003"/>
  </r>
  <r>
    <x v="2"/>
    <x v="1"/>
    <x v="0"/>
    <s v="2476200"/>
    <n v="450029"/>
    <s v="Contr Allow--MD Other-Other"/>
    <s v="Internal Medicine Clinic Pouls"/>
    <x v="0"/>
    <n v="1700"/>
    <n v="293.55"/>
    <n v="275.8"/>
    <n v="7.17"/>
    <n v="95.91"/>
    <n v="235.42"/>
    <n v="46.19"/>
    <n v="51.42"/>
    <n v="104.18"/>
    <n v="148.91999999999999"/>
    <n v="155.33000000000001"/>
    <n v="206.92"/>
    <n v="86.86"/>
    <n v="1707.6699999999998"/>
    <n v="120.05999999999999"/>
  </r>
  <r>
    <x v="2"/>
    <x v="1"/>
    <x v="0"/>
    <s v="2476200"/>
    <n v="450040"/>
    <s v="Contr Allow--Phys Svcs--Mcare"/>
    <s v="Internal Medicine Clinic Pouls"/>
    <x v="0"/>
    <n v="1100"/>
    <n v="134565.98000000001"/>
    <n v="165726.95000000001"/>
    <n v="140630.39000000001"/>
    <n v="183654.81"/>
    <n v="177030.02"/>
    <n v="143603.35999999999"/>
    <n v="136275.79"/>
    <n v="114257.88"/>
    <n v="116787.68"/>
    <n v="139289.15"/>
    <n v="132718.78"/>
    <n v="141065.35999999999"/>
    <n v="1725606.15"/>
    <n v="-8346.5799999999872"/>
  </r>
  <r>
    <x v="2"/>
    <x v="1"/>
    <x v="0"/>
    <s v="2476200"/>
    <n v="450040"/>
    <s v="Contr Allow--Phys Svcs--Mcaid"/>
    <s v="Internal Medicine Clinic Pouls"/>
    <x v="0"/>
    <n v="1200"/>
    <n v="30186.09"/>
    <n v="22057.89"/>
    <n v="15156.7"/>
    <n v="16542.849999999999"/>
    <n v="13769.35"/>
    <n v="15219.83"/>
    <n v="16750.419999999998"/>
    <n v="8896.89"/>
    <n v="12516.51"/>
    <n v="12519.38"/>
    <n v="18166.66"/>
    <n v="14153.11"/>
    <n v="195935.68000000005"/>
    <n v="4013.5499999999993"/>
  </r>
  <r>
    <x v="2"/>
    <x v="1"/>
    <x v="0"/>
    <s v="2476200"/>
    <n v="450040"/>
    <s v="Contr Allow--Phys Svcs--Comm Insurance"/>
    <s v="Internal Medicine Clinic Pouls"/>
    <x v="0"/>
    <n v="1300"/>
    <n v="1682.37"/>
    <n v="1806.54"/>
    <n v="1596.01"/>
    <n v="1791.71"/>
    <n v="2048.8000000000002"/>
    <n v="1593.6"/>
    <n v="3843.61"/>
    <n v="999.16"/>
    <n v="991.11"/>
    <n v="1526.4"/>
    <n v="2050.2600000000002"/>
    <n v="1322.48"/>
    <n v="21252.05"/>
    <n v="727.7800000000002"/>
  </r>
  <r>
    <x v="2"/>
    <x v="1"/>
    <x v="0"/>
    <s v="2476200"/>
    <n v="450040"/>
    <s v="Contr Allow--Phys Svcs--BCBS Comm Ins"/>
    <s v="Internal Medicine Clinic Pouls"/>
    <x v="0"/>
    <n v="1301"/>
    <n v="12335.31"/>
    <n v="13126.36"/>
    <n v="6545.26"/>
    <n v="3291.21"/>
    <n v="17125.099999999999"/>
    <n v="7728.91"/>
    <n v="8030.39"/>
    <n v="6509.74"/>
    <n v="8891.91"/>
    <n v="7253.68"/>
    <n v="5826.09"/>
    <n v="11923.04"/>
    <n v="108587"/>
    <n v="-6096.9500000000007"/>
  </r>
  <r>
    <x v="2"/>
    <x v="1"/>
    <x v="0"/>
    <s v="2476200"/>
    <n v="450040"/>
    <s v="Contr Allow--Phys Svcs--Managed Care"/>
    <s v="Internal Medicine Clinic Pouls"/>
    <x v="0"/>
    <n v="1400"/>
    <n v="22320.560000000001"/>
    <n v="22358.53"/>
    <n v="17683.02"/>
    <n v="20427.89"/>
    <n v="24954.720000000001"/>
    <n v="18459.73"/>
    <n v="14532.75"/>
    <n v="17157.009999999998"/>
    <n v="16352.67"/>
    <n v="15711.24"/>
    <n v="18674.8"/>
    <n v="15823.87"/>
    <n v="224456.79"/>
    <n v="2850.9299999999985"/>
  </r>
  <r>
    <x v="2"/>
    <x v="1"/>
    <x v="0"/>
    <s v="2476200"/>
    <n v="450040"/>
    <s v="Contr Allow--Phys Svcs--BCBS Mgnd Care"/>
    <s v="Internal Medicine Clinic Pouls"/>
    <x v="0"/>
    <n v="1401"/>
    <n v="24171.07"/>
    <n v="-32407.26"/>
    <n v="3472.87"/>
    <n v="17908.23"/>
    <n v="-29327.43"/>
    <n v="-10198.200000000001"/>
    <n v="13663.01"/>
    <n v="-474.91"/>
    <n v="15461.26"/>
    <n v="-10180.85"/>
    <n v="9202.2800000000007"/>
    <n v="17615.099999999999"/>
    <n v="18905.169999999998"/>
    <n v="-8412.8199999999979"/>
  </r>
  <r>
    <x v="2"/>
    <x v="1"/>
    <x v="0"/>
    <s v="2476200"/>
    <n v="450040"/>
    <s v="Admin Adjust-Phys Svcs-Self Pay"/>
    <s v="Internal Medicine Clinic Pouls"/>
    <x v="0"/>
    <n v="1600"/>
    <n v="774.89"/>
    <n v="256.54000000000002"/>
    <n v="502.59"/>
    <n v="661.68"/>
    <n v="143.44999999999999"/>
    <n v="426.21"/>
    <n v="351.04"/>
    <n v="601.59"/>
    <n v="306.10000000000002"/>
    <n v="834.04"/>
    <n v="409.89"/>
    <n v="-186.04"/>
    <n v="5081.9799999999996"/>
    <n v="595.92999999999995"/>
  </r>
  <r>
    <x v="2"/>
    <x v="1"/>
    <x v="0"/>
    <s v="2476200"/>
    <n v="450040"/>
    <s v="Contr Allow--Phys Svcs--Other"/>
    <s v="Internal Medicine Clinic Pouls"/>
    <x v="0"/>
    <n v="1700"/>
    <n v="7530.21"/>
    <n v="16448.669999999998"/>
    <n v="8034.02"/>
    <n v="9785.58"/>
    <n v="11730.59"/>
    <n v="5743.27"/>
    <n v="8302.73"/>
    <n v="6265.8"/>
    <n v="11177.35"/>
    <n v="9649.23"/>
    <n v="7734.12"/>
    <n v="7777"/>
    <n v="110178.56999999999"/>
    <n v="-42.880000000000109"/>
  </r>
  <r>
    <x v="3"/>
    <x v="1"/>
    <x v="0"/>
    <s v="2476200"/>
    <n v="470040"/>
    <s v="Charity Care-Physician Svcs"/>
    <s v="Internal Medicine Clinic Pouls"/>
    <x v="0"/>
    <m/>
    <n v="831.19"/>
    <n v="1230.3599999999999"/>
    <n v="2854.8"/>
    <n v="769.13"/>
    <n v="-738.91"/>
    <n v="-786.19"/>
    <n v="1739.21"/>
    <n v="840.92"/>
    <n v="1521.72"/>
    <n v="165.03"/>
    <n v="238.78"/>
    <n v="2828.18"/>
    <n v="11494.220000000003"/>
    <n v="-2589.3999999999996"/>
  </r>
  <r>
    <x v="4"/>
    <x v="1"/>
    <x v="0"/>
    <s v="2476200"/>
    <n v="490010"/>
    <s v="Provision for Bad Debts"/>
    <s v="Internal Medicine Clinic Pouls"/>
    <x v="0"/>
    <m/>
    <n v="6044.03"/>
    <n v="-958.77"/>
    <n v="1705.4"/>
    <n v="1975.96"/>
    <n v="-1400.56"/>
    <n v="-1430.36"/>
    <n v="1117.56"/>
    <n v="-983.08"/>
    <n v="1093.73"/>
    <n v="-1025.6199999999999"/>
    <n v="977.61"/>
    <n v="2264.21"/>
    <n v="9380.11"/>
    <n v="-1286.5999999999999"/>
  </r>
  <r>
    <x v="5"/>
    <x v="1"/>
    <x v="0"/>
    <s v="2476200"/>
    <n v="700022"/>
    <s v="Salaries-Physician-Productive"/>
    <s v="Internal Medicine Clinic Pouls"/>
    <x v="0"/>
    <m/>
    <n v="50599.11"/>
    <n v="44004.06"/>
    <n v="36884.68"/>
    <n v="43229.75"/>
    <n v="43831.53"/>
    <n v="41916.43"/>
    <n v="51295.98"/>
    <n v="41883.68"/>
    <n v="70015.47"/>
    <n v="61221.95"/>
    <n v="65638.350000000006"/>
    <n v="52642.79"/>
    <n v="603163.78"/>
    <n v="12995.560000000005"/>
  </r>
  <r>
    <x v="5"/>
    <x v="1"/>
    <x v="0"/>
    <s v="2476200"/>
    <n v="700022"/>
    <s v="Salaries-Physician-Other"/>
    <s v="Internal Medicine Clinic Pouls"/>
    <x v="0"/>
    <n v="2000"/>
    <n v="0"/>
    <n v="0"/>
    <n v="0"/>
    <n v="0"/>
    <n v="0"/>
    <n v="26366.45"/>
    <n v="0"/>
    <n v="0"/>
    <n v="0"/>
    <n v="0"/>
    <n v="0"/>
    <n v="0"/>
    <n v="26366.45"/>
    <n v="0"/>
  </r>
  <r>
    <x v="5"/>
    <x v="1"/>
    <x v="0"/>
    <s v="2476200"/>
    <n v="700022"/>
    <s v="Salaries-Physician-Provider Incentive"/>
    <s v="Internal Medicine Clinic Pouls"/>
    <x v="0"/>
    <n v="4003"/>
    <n v="15603.9"/>
    <n v="0"/>
    <n v="0"/>
    <n v="0"/>
    <n v="0"/>
    <n v="0"/>
    <n v="0"/>
    <n v="0"/>
    <n v="0"/>
    <n v="0"/>
    <n v="0"/>
    <n v="0"/>
    <n v="15603.9"/>
    <n v="0"/>
  </r>
  <r>
    <x v="5"/>
    <x v="1"/>
    <x v="0"/>
    <s v="2476200"/>
    <n v="700024"/>
    <s v="Salaries-Advanced Practice Clinician-Productive"/>
    <s v="Internal Medicine Clinic Pouls"/>
    <x v="0"/>
    <m/>
    <n v="28914.1"/>
    <n v="21681.17"/>
    <n v="25712.68"/>
    <n v="29828.240000000002"/>
    <n v="27882.48"/>
    <n v="16033.48"/>
    <n v="15735.39"/>
    <n v="12124.26"/>
    <n v="14688.24"/>
    <n v="10981.85"/>
    <n v="10913.12"/>
    <n v="16005.33"/>
    <n v="230500.34000000003"/>
    <n v="-5092.2099999999991"/>
  </r>
  <r>
    <x v="5"/>
    <x v="1"/>
    <x v="0"/>
    <s v="2476200"/>
    <n v="700026"/>
    <s v="Salaries-RN-Productive"/>
    <s v="Internal Medicine Clinic Pouls"/>
    <x v="0"/>
    <m/>
    <n v="5577.51"/>
    <n v="5818.29"/>
    <n v="5010.92"/>
    <n v="4906.24"/>
    <n v="6522.8"/>
    <n v="4832.5200000000004"/>
    <n v="6252.78"/>
    <n v="4245.5"/>
    <n v="3810.25"/>
    <n v="6248.94"/>
    <n v="6326.16"/>
    <n v="4993.2"/>
    <n v="64545.11"/>
    <n v="1332.96"/>
  </r>
  <r>
    <x v="5"/>
    <x v="1"/>
    <x v="0"/>
    <s v="2476200"/>
    <n v="700026"/>
    <s v="Salaries-RN-OT"/>
    <s v="Internal Medicine Clinic Pouls"/>
    <x v="0"/>
    <n v="1000"/>
    <n v="76.569999999999993"/>
    <n v="38.29"/>
    <n v="63.82"/>
    <n v="12.77"/>
    <n v="170.87"/>
    <n v="-13.14"/>
    <n v="86.84"/>
    <n v="84.27"/>
    <n v="0"/>
    <n v="267.19"/>
    <n v="272.49"/>
    <n v="-157.96"/>
    <n v="902.01"/>
    <n v="430.45000000000005"/>
  </r>
  <r>
    <x v="5"/>
    <x v="1"/>
    <x v="0"/>
    <s v="2476200"/>
    <n v="700030"/>
    <s v="Salaries-LPN-Productive"/>
    <s v="Internal Medicine Clinic Pouls"/>
    <x v="0"/>
    <m/>
    <n v="7628.81"/>
    <n v="7637.39"/>
    <n v="8008.49"/>
    <n v="9296.4500000000007"/>
    <n v="9384.09"/>
    <n v="7119.57"/>
    <n v="9488.65"/>
    <n v="4872.26"/>
    <n v="7667.77"/>
    <n v="9774.2999999999993"/>
    <n v="9074.2900000000009"/>
    <n v="8209.85"/>
    <n v="98161.920000000013"/>
    <n v="864.44000000000051"/>
  </r>
  <r>
    <x v="5"/>
    <x v="1"/>
    <x v="0"/>
    <s v="2476200"/>
    <n v="700030"/>
    <s v="Salaries-LPN-OT"/>
    <s v="Internal Medicine Clinic Pouls"/>
    <x v="0"/>
    <n v="1000"/>
    <n v="55.22"/>
    <n v="19.329999999999998"/>
    <n v="16.59"/>
    <n v="149.32"/>
    <n v="63.47"/>
    <n v="171.04"/>
    <n v="163.74"/>
    <n v="-22.9"/>
    <n v="285.48"/>
    <n v="135.68"/>
    <n v="75.23"/>
    <n v="66.16"/>
    <n v="1178.3600000000001"/>
    <n v="9.0700000000000074"/>
  </r>
  <r>
    <x v="5"/>
    <x v="1"/>
    <x v="0"/>
    <s v="2476200"/>
    <n v="700030"/>
    <s v="Salaries-LPN-Other"/>
    <s v="Internal Medicine Clinic Pouls"/>
    <x v="0"/>
    <n v="2000"/>
    <n v="222.31"/>
    <n v="230.37"/>
    <n v="200.79"/>
    <n v="232.27"/>
    <n v="219.95"/>
    <n v="213.59"/>
    <n v="231.56"/>
    <n v="200.6"/>
    <n v="211.29"/>
    <n v="222.38"/>
    <n v="231.26"/>
    <n v="199.95"/>
    <n v="2616.3199999999997"/>
    <n v="31.310000000000002"/>
  </r>
  <r>
    <x v="5"/>
    <x v="1"/>
    <x v="0"/>
    <s v="2476200"/>
    <n v="700032"/>
    <s v="Salaries-Other Pat Care Providers-Productive"/>
    <s v="Internal Medicine Clinic Pouls"/>
    <x v="0"/>
    <m/>
    <n v="19470.43"/>
    <n v="19104.14"/>
    <n v="18279.04"/>
    <n v="23566.37"/>
    <n v="22457.96"/>
    <n v="15982.39"/>
    <n v="20478.310000000001"/>
    <n v="18135.53"/>
    <n v="21651.5"/>
    <n v="21130.05"/>
    <n v="21313.43"/>
    <n v="16365.07"/>
    <n v="237934.22"/>
    <n v="4948.3600000000006"/>
  </r>
  <r>
    <x v="5"/>
    <x v="1"/>
    <x v="0"/>
    <s v="2476200"/>
    <n v="700032"/>
    <s v="Salaries-Other Pat Care Providers-OT"/>
    <s v="Internal Medicine Clinic Pouls"/>
    <x v="0"/>
    <n v="1000"/>
    <n v="108.14"/>
    <n v="205.33"/>
    <n v="325.14"/>
    <n v="114.81"/>
    <n v="207.55"/>
    <n v="-0.76"/>
    <n v="423.43"/>
    <n v="200.52"/>
    <n v="1660.81"/>
    <n v="824.14"/>
    <n v="418.01"/>
    <n v="1259.18"/>
    <n v="5746.3"/>
    <n v="-841.17000000000007"/>
  </r>
  <r>
    <x v="5"/>
    <x v="1"/>
    <x v="0"/>
    <s v="2476200"/>
    <n v="700038"/>
    <s v="Salaries-Service/Support-Productive"/>
    <s v="Internal Medicine Clinic Pouls"/>
    <x v="0"/>
    <m/>
    <n v="0"/>
    <n v="0"/>
    <n v="0"/>
    <n v="0"/>
    <n v="0"/>
    <n v="0"/>
    <n v="0"/>
    <n v="0"/>
    <n v="0"/>
    <n v="0"/>
    <n v="0"/>
    <n v="151.5"/>
    <n v="151.5"/>
    <n v="-151.5"/>
  </r>
  <r>
    <x v="5"/>
    <x v="1"/>
    <x v="0"/>
    <s v="2476200"/>
    <n v="700054"/>
    <s v="Salaries-Management-NonProd-Other"/>
    <s v="Internal Medicine Clinic Pouls"/>
    <x v="0"/>
    <n v="2000"/>
    <n v="0"/>
    <n v="0"/>
    <n v="0"/>
    <n v="0"/>
    <n v="0"/>
    <n v="197.29"/>
    <n v="-197.29"/>
    <n v="0"/>
    <n v="0"/>
    <n v="0"/>
    <n v="0"/>
    <n v="0"/>
    <n v="0"/>
    <n v="0"/>
  </r>
  <r>
    <x v="5"/>
    <x v="1"/>
    <x v="0"/>
    <s v="2476200"/>
    <n v="700062"/>
    <s v="Salaries-Physician-Non-productive"/>
    <s v="Internal Medicine Clinic Pouls"/>
    <x v="0"/>
    <m/>
    <n v="-10512.56"/>
    <n v="9007.3799999999992"/>
    <n v="3409.37"/>
    <n v="16516.8"/>
    <n v="12909.98"/>
    <n v="4737.88"/>
    <n v="-120.19"/>
    <n v="2631.48"/>
    <n v="2100.69"/>
    <n v="-2843.07"/>
    <n v="9888.14"/>
    <n v="14834.62"/>
    <n v="62560.520000000004"/>
    <n v="-4946.4800000000014"/>
  </r>
  <r>
    <x v="5"/>
    <x v="1"/>
    <x v="0"/>
    <s v="2476200"/>
    <n v="700062"/>
    <s v="Salaries-Physician-NonProd-Other"/>
    <s v="Internal Medicine Clinic Poul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6200"/>
    <n v="700064"/>
    <s v="Salaries-Advanced Practice Clinician-Non-Productive"/>
    <s v="Internal Medicine Clinic Pouls"/>
    <x v="0"/>
    <m/>
    <n v="6141.96"/>
    <n v="11610.31"/>
    <n v="1771.35"/>
    <n v="1542.86"/>
    <n v="2205.12"/>
    <n v="5209.03"/>
    <n v="1321.06"/>
    <n v="3158.47"/>
    <n v="1235.81"/>
    <n v="5620.58"/>
    <n v="6264.88"/>
    <n v="-893.98"/>
    <n v="45187.44999999999"/>
    <n v="7158.8600000000006"/>
  </r>
  <r>
    <x v="5"/>
    <x v="1"/>
    <x v="0"/>
    <s v="2476200"/>
    <n v="700066"/>
    <s v="Salaries-RN-Non-productive"/>
    <s v="Internal Medicine Clinic Pouls"/>
    <x v="0"/>
    <m/>
    <n v="445.79"/>
    <n v="443.25"/>
    <n v="480.67"/>
    <n v="1529.46"/>
    <n v="-368.02"/>
    <n v="1109.33"/>
    <n v="240.52"/>
    <n v="1130.27"/>
    <n v="1116.23"/>
    <n v="-118.47"/>
    <n v="57.05"/>
    <n v="684.47"/>
    <n v="6750.55"/>
    <n v="-627.42000000000007"/>
  </r>
  <r>
    <x v="5"/>
    <x v="1"/>
    <x v="0"/>
    <s v="2476200"/>
    <n v="700066"/>
    <s v="Salaries-RN-NonProd-Other"/>
    <s v="Internal Medicine Clinic Pouls"/>
    <x v="0"/>
    <n v="2000"/>
    <n v="0"/>
    <n v="0"/>
    <n v="0"/>
    <n v="0"/>
    <n v="0"/>
    <n v="0"/>
    <n v="0"/>
    <n v="0"/>
    <n v="0"/>
    <n v="47.4"/>
    <n v="93.03"/>
    <n v="-8.76"/>
    <n v="131.67000000000002"/>
    <n v="101.79"/>
  </r>
  <r>
    <x v="5"/>
    <x v="1"/>
    <x v="0"/>
    <s v="2476200"/>
    <n v="700070"/>
    <s v="Salaries-LPN-Non-productive"/>
    <s v="Internal Medicine Clinic Pouls"/>
    <x v="0"/>
    <m/>
    <n v="1713.56"/>
    <n v="2079.75"/>
    <n v="485.72"/>
    <n v="684.06"/>
    <n v="185.38"/>
    <n v="1923.61"/>
    <n v="539.87"/>
    <n v="3648.5"/>
    <n v="1380.78"/>
    <n v="-137.28"/>
    <n v="929.12"/>
    <n v="517.58000000000004"/>
    <n v="13950.650000000001"/>
    <n v="411.53999999999996"/>
  </r>
  <r>
    <x v="5"/>
    <x v="1"/>
    <x v="0"/>
    <s v="2476200"/>
    <n v="700070"/>
    <s v="Salaries-LPN-NonProd-Other"/>
    <s v="Internal Medicine Clinic Pouls"/>
    <x v="0"/>
    <n v="2000"/>
    <n v="0"/>
    <n v="0"/>
    <n v="14.53"/>
    <n v="14.53"/>
    <n v="29.78"/>
    <n v="29.78"/>
    <n v="14.91"/>
    <n v="0"/>
    <n v="119.29"/>
    <n v="2.98"/>
    <n v="49.21"/>
    <n v="-5.03"/>
    <n v="269.98"/>
    <n v="54.24"/>
  </r>
  <r>
    <x v="5"/>
    <x v="1"/>
    <x v="0"/>
    <s v="2476200"/>
    <n v="700072"/>
    <s v="Salaries-Other Pat Care Providers-Non-productive"/>
    <s v="Internal Medicine Clinic Pouls"/>
    <x v="0"/>
    <m/>
    <n v="2485.44"/>
    <n v="3558.83"/>
    <n v="1749.11"/>
    <n v="1165.5999999999999"/>
    <n v="38.369999999999997"/>
    <n v="5567.22"/>
    <n v="1656.18"/>
    <n v="2637.3"/>
    <n v="455.94"/>
    <n v="1820.69"/>
    <n v="2803.09"/>
    <n v="4759.2299999999996"/>
    <n v="28696.999999999996"/>
    <n v="-1956.1399999999994"/>
  </r>
  <r>
    <x v="5"/>
    <x v="1"/>
    <x v="0"/>
    <s v="2476200"/>
    <n v="700072"/>
    <s v="Salaries-Other Pat Care Providers-NonProd-Other"/>
    <s v="Internal Medicine Clinic Pouls"/>
    <x v="0"/>
    <n v="2000"/>
    <n v="0"/>
    <n v="0"/>
    <n v="14.37"/>
    <n v="4.0999999999999996"/>
    <n v="15.82"/>
    <n v="19.78"/>
    <n v="0"/>
    <n v="57.61"/>
    <n v="31.99"/>
    <n v="-2.4700000000000002"/>
    <n v="29.7"/>
    <n v="44.55"/>
    <n v="215.45"/>
    <n v="-14.849999999999998"/>
  </r>
  <r>
    <x v="5"/>
    <x v="1"/>
    <x v="0"/>
    <s v="2476200"/>
    <n v="700084"/>
    <s v="Accrued PTO"/>
    <s v="Internal Medicine Clinic Pouls"/>
    <x v="0"/>
    <m/>
    <n v="-520.66"/>
    <n v="-1350.71"/>
    <n v="-349.31"/>
    <n v="1453.99"/>
    <n v="2693.32"/>
    <n v="-3170.77"/>
    <n v="1087.43"/>
    <n v="-1246.06"/>
    <n v="1538.61"/>
    <n v="1641.6"/>
    <n v="1581.03"/>
    <n v="-1501.9"/>
    <n v="1856.5700000000002"/>
    <n v="3082.9300000000003"/>
  </r>
  <r>
    <x v="6"/>
    <x v="1"/>
    <x v="0"/>
    <s v="2476200"/>
    <n v="713010"/>
    <s v="Benefits-FICA/Medicare"/>
    <s v="Internal Medicine Clinic Pouls"/>
    <x v="0"/>
    <m/>
    <n v="9935.73"/>
    <n v="7140.62"/>
    <n v="6191.85"/>
    <n v="5745.85"/>
    <n v="4735.32"/>
    <n v="6064.7"/>
    <n v="7852.92"/>
    <n v="6893.06"/>
    <n v="9249.7800000000007"/>
    <n v="9403.4500000000007"/>
    <n v="9833.56"/>
    <n v="8630.82"/>
    <n v="91677.659999999974"/>
    <n v="1202.7399999999998"/>
  </r>
  <r>
    <x v="6"/>
    <x v="1"/>
    <x v="0"/>
    <s v="2476200"/>
    <n v="713090"/>
    <s v="Benefits-Allocated Amounts"/>
    <s v="Internal Medicine Clinic Pouls"/>
    <x v="0"/>
    <m/>
    <n v="0"/>
    <n v="0"/>
    <n v="0"/>
    <n v="0"/>
    <n v="0"/>
    <n v="0"/>
    <n v="0"/>
    <n v="0"/>
    <n v="104870.66"/>
    <n v="12351.61"/>
    <n v="12550.6"/>
    <n v="12852.54"/>
    <n v="142625.41"/>
    <n v="-301.94000000000051"/>
  </r>
  <r>
    <x v="6"/>
    <x v="1"/>
    <x v="0"/>
    <s v="2476200"/>
    <n v="713092"/>
    <s v="Allocated Benefits-Physician"/>
    <s v="Internal Medicine Clinic Pouls"/>
    <x v="0"/>
    <m/>
    <n v="10207.6"/>
    <n v="8735.85"/>
    <n v="8869.84"/>
    <n v="9650.34"/>
    <n v="9457.0400000000009"/>
    <n v="9487.18"/>
    <n v="10195.77"/>
    <n v="9649.56"/>
    <n v="-48404.09"/>
    <n v="3280.05"/>
    <n v="3332.9"/>
    <n v="3413.08"/>
    <n v="37875.12000000001"/>
    <n v="-80.179999999999836"/>
  </r>
  <r>
    <x v="6"/>
    <x v="1"/>
    <x v="0"/>
    <s v="2476200"/>
    <n v="713093"/>
    <s v="Allocated Benefits-Advanced Practice Clinician"/>
    <s v="Internal Medicine Clinic Pouls"/>
    <x v="0"/>
    <m/>
    <n v="7965.47"/>
    <n v="6816.99"/>
    <n v="6921.55"/>
    <n v="7530.62"/>
    <n v="7379.77"/>
    <n v="7403.28"/>
    <n v="7956.25"/>
    <n v="7529.99"/>
    <n v="-37006.93"/>
    <n v="2649.68"/>
    <n v="2692.37"/>
    <n v="2757.14"/>
    <n v="30596.179999999989"/>
    <n v="-64.769999999999982"/>
  </r>
  <r>
    <x v="6"/>
    <x v="1"/>
    <x v="0"/>
    <s v="2476200"/>
    <n v="713096"/>
    <s v="Employee Recognition"/>
    <s v="Internal Medicine Clinic Pouls"/>
    <x v="0"/>
    <n v="1017"/>
    <n v="0"/>
    <n v="0"/>
    <n v="0"/>
    <n v="0"/>
    <n v="0"/>
    <n v="98.7"/>
    <n v="0"/>
    <n v="0"/>
    <n v="0"/>
    <n v="0"/>
    <n v="0"/>
    <n v="0"/>
    <n v="98.7"/>
    <n v="0"/>
  </r>
  <r>
    <x v="11"/>
    <x v="1"/>
    <x v="0"/>
    <s v="2476200"/>
    <n v="721010"/>
    <s v="Supplies-Medical - Billable"/>
    <s v="Internal Medicine Clinic Pouls"/>
    <x v="0"/>
    <m/>
    <n v="0"/>
    <n v="0"/>
    <n v="0"/>
    <n v="144.18"/>
    <n v="59.72"/>
    <n v="0"/>
    <n v="0"/>
    <n v="11.3"/>
    <n v="0"/>
    <n v="0"/>
    <n v="0"/>
    <n v="0"/>
    <n v="215.20000000000002"/>
    <n v="0"/>
  </r>
  <r>
    <x v="11"/>
    <x v="1"/>
    <x v="0"/>
    <s v="2476200"/>
    <n v="721010"/>
    <s v="Patient Monitoring"/>
    <s v="Internal Medicine Clinic Pouls"/>
    <x v="0"/>
    <n v="1000"/>
    <n v="0"/>
    <n v="154.25"/>
    <n v="0"/>
    <n v="0"/>
    <n v="0"/>
    <n v="0"/>
    <n v="0"/>
    <n v="0"/>
    <n v="0"/>
    <n v="61.7"/>
    <n v="0"/>
    <n v="0"/>
    <n v="215.95"/>
    <n v="0"/>
  </r>
  <r>
    <x v="11"/>
    <x v="1"/>
    <x v="0"/>
    <s v="2476200"/>
    <n v="721020"/>
    <s v="Supplies-Surgical - Billable"/>
    <s v="Internal Medicine Clinic Pouls"/>
    <x v="0"/>
    <m/>
    <n v="0"/>
    <n v="19.62"/>
    <n v="0"/>
    <n v="0"/>
    <n v="0"/>
    <n v="0"/>
    <n v="0"/>
    <n v="0"/>
    <n v="0"/>
    <n v="0"/>
    <n v="0"/>
    <n v="0"/>
    <n v="19.62"/>
    <n v="0"/>
  </r>
  <r>
    <x v="11"/>
    <x v="1"/>
    <x v="0"/>
    <s v="2476200"/>
    <n v="721020"/>
    <s v="Suture/Wound Closure"/>
    <s v="Internal Medicine Clinic Pouls"/>
    <x v="0"/>
    <n v="1001"/>
    <n v="0"/>
    <n v="32.36"/>
    <n v="0"/>
    <n v="0"/>
    <n v="13.67"/>
    <n v="0"/>
    <n v="0"/>
    <n v="0"/>
    <n v="0"/>
    <n v="0"/>
    <n v="0"/>
    <n v="0"/>
    <n v="46.03"/>
    <n v="0"/>
  </r>
  <r>
    <x v="11"/>
    <x v="1"/>
    <x v="0"/>
    <s v="2476200"/>
    <n v="721240"/>
    <s v="Supplies-IV Solutions/Supplies - Billable"/>
    <s v="Internal Medicine Clinic Pouls"/>
    <x v="0"/>
    <m/>
    <n v="0"/>
    <n v="0"/>
    <n v="5.81"/>
    <n v="72"/>
    <n v="0"/>
    <n v="11.62"/>
    <n v="0"/>
    <n v="0"/>
    <n v="0"/>
    <n v="0"/>
    <n v="0"/>
    <n v="0"/>
    <n v="89.43"/>
    <n v="0"/>
  </r>
  <r>
    <x v="11"/>
    <x v="1"/>
    <x v="0"/>
    <s v="2476200"/>
    <n v="721250"/>
    <s v="Supplies-Pharmacy Drugs - Billable"/>
    <s v="Internal Medicine Clinic Pouls"/>
    <x v="0"/>
    <m/>
    <n v="23172.28"/>
    <n v="12697.37"/>
    <n v="20400.939999999999"/>
    <n v="28677.74"/>
    <n v="22688.04"/>
    <n v="24097.19"/>
    <n v="9713.98"/>
    <n v="2065.6"/>
    <n v="12091.02"/>
    <n v="7894.91"/>
    <n v="22374.37"/>
    <n v="9276.73"/>
    <n v="195150.17"/>
    <n v="13097.64"/>
  </r>
  <r>
    <x v="11"/>
    <x v="1"/>
    <x v="0"/>
    <s v="2476200"/>
    <n v="721410"/>
    <s v="Supplies-Medical - Nonbillable"/>
    <s v="Internal Medicine Clinic Pouls"/>
    <x v="0"/>
    <m/>
    <n v="366.97"/>
    <n v="208.42"/>
    <n v="814.69"/>
    <n v="260.10000000000002"/>
    <n v="339.59"/>
    <n v="258.41000000000003"/>
    <n v="198.54"/>
    <n v="148.52000000000001"/>
    <n v="232.82"/>
    <n v="62.71"/>
    <n v="159.62"/>
    <n v="572.01"/>
    <n v="3622.3999999999996"/>
    <n v="-412.39"/>
  </r>
  <r>
    <x v="11"/>
    <x v="1"/>
    <x v="0"/>
    <s v="2476200"/>
    <n v="721420"/>
    <s v="Supplies-Surgical Nonbillable"/>
    <s v="Internal Medicine Clinic Pouls"/>
    <x v="0"/>
    <m/>
    <n v="60.66"/>
    <n v="0"/>
    <n v="63.4"/>
    <n v="18.96"/>
    <n v="79.12"/>
    <n v="31.7"/>
    <n v="52.16"/>
    <n v="30.24"/>
    <n v="33.200000000000003"/>
    <n v="36.159999999999997"/>
    <n v="50.06"/>
    <n v="55.12"/>
    <n v="510.78000000000003"/>
    <n v="-5.0599999999999952"/>
  </r>
  <r>
    <x v="11"/>
    <x v="1"/>
    <x v="0"/>
    <s v="2476200"/>
    <n v="721420"/>
    <s v="Sterilization Process Products"/>
    <s v="Internal Medicine Clinic Pouls"/>
    <x v="0"/>
    <n v="1009"/>
    <n v="0"/>
    <n v="0"/>
    <n v="99.58"/>
    <n v="0"/>
    <n v="99.58"/>
    <n v="0"/>
    <n v="0"/>
    <n v="0"/>
    <n v="0"/>
    <n v="0"/>
    <n v="0"/>
    <n v="0"/>
    <n v="199.16"/>
    <n v="0"/>
  </r>
  <r>
    <x v="11"/>
    <x v="1"/>
    <x v="0"/>
    <s v="2476200"/>
    <n v="721640"/>
    <s v="Supplies-IV Solutions/Supplies - Nonbillable"/>
    <s v="Internal Medicine Clinic Pouls"/>
    <x v="0"/>
    <m/>
    <n v="0"/>
    <n v="0"/>
    <n v="0"/>
    <n v="66.8"/>
    <n v="0"/>
    <n v="0"/>
    <n v="0"/>
    <n v="0"/>
    <n v="0"/>
    <n v="0"/>
    <n v="0"/>
    <n v="0"/>
    <n v="66.8"/>
    <n v="0"/>
  </r>
  <r>
    <x v="11"/>
    <x v="1"/>
    <x v="0"/>
    <s v="2476200"/>
    <n v="721650"/>
    <s v="Supplies-Pharmacy Drugs - Nonbillable"/>
    <s v="Internal Medicine Clinic Pouls"/>
    <x v="0"/>
    <m/>
    <n v="0"/>
    <n v="2.92"/>
    <n v="5.84"/>
    <n v="0"/>
    <n v="0"/>
    <n v="0"/>
    <n v="0"/>
    <n v="6.75"/>
    <n v="0"/>
    <n v="0"/>
    <n v="10.25"/>
    <n v="0"/>
    <n v="25.759999999999998"/>
    <n v="10.25"/>
  </r>
  <r>
    <x v="11"/>
    <x v="1"/>
    <x v="0"/>
    <s v="2476200"/>
    <n v="721710"/>
    <s v="Supplies-Laboratory - Nonbillable"/>
    <s v="Internal Medicine Clinic Pouls"/>
    <x v="0"/>
    <m/>
    <n v="0"/>
    <n v="0"/>
    <n v="76.790000000000006"/>
    <n v="34.799999999999997"/>
    <n v="107.18"/>
    <n v="0"/>
    <n v="0"/>
    <n v="0"/>
    <n v="337.04"/>
    <n v="479.12"/>
    <n v="0"/>
    <n v="17.399999999999999"/>
    <n v="1052.3300000000002"/>
    <n v="-17.399999999999999"/>
  </r>
  <r>
    <x v="11"/>
    <x v="1"/>
    <x v="0"/>
    <s v="2476200"/>
    <n v="721710"/>
    <s v="Reagents"/>
    <s v="Internal Medicine Clinic Pouls"/>
    <x v="0"/>
    <n v="1000"/>
    <n v="1572.6"/>
    <n v="565.20000000000005"/>
    <n v="1352.16"/>
    <n v="1067.55"/>
    <n v="2634.34"/>
    <n v="423.9"/>
    <n v="1422.81"/>
    <n v="0"/>
    <n v="1352.16"/>
    <n v="730.31"/>
    <n v="958.68"/>
    <n v="816.37"/>
    <n v="12896.08"/>
    <n v="142.30999999999995"/>
  </r>
  <r>
    <x v="11"/>
    <x v="1"/>
    <x v="0"/>
    <s v="2476200"/>
    <n v="721830"/>
    <s v="Supplies-Office"/>
    <s v="Internal Medicine Clinic Pouls"/>
    <x v="0"/>
    <m/>
    <n v="360.97"/>
    <n v="319.02999999999997"/>
    <n v="43.6"/>
    <n v="2.92"/>
    <n v="0"/>
    <n v="67.14"/>
    <n v="0"/>
    <n v="0"/>
    <n v="0"/>
    <n v="0"/>
    <n v="0"/>
    <n v="212.59"/>
    <n v="1006.25"/>
    <n v="-212.59"/>
  </r>
  <r>
    <x v="11"/>
    <x v="1"/>
    <x v="0"/>
    <s v="2476200"/>
    <n v="721835"/>
    <s v="Supplies-Forms"/>
    <s v="Internal Medicine Clinic Pouls"/>
    <x v="0"/>
    <m/>
    <n v="0"/>
    <n v="0"/>
    <n v="0"/>
    <n v="0"/>
    <n v="0"/>
    <n v="0"/>
    <n v="18"/>
    <n v="0"/>
    <n v="0"/>
    <n v="0"/>
    <n v="0"/>
    <n v="203.55"/>
    <n v="221.55"/>
    <n v="-203.55"/>
  </r>
  <r>
    <x v="11"/>
    <x v="1"/>
    <x v="0"/>
    <s v="2476200"/>
    <n v="721870"/>
    <s v="Supplies-Environmental Services"/>
    <s v="Internal Medicine Clinic Pouls"/>
    <x v="0"/>
    <m/>
    <n v="194.24"/>
    <n v="0"/>
    <n v="541.16999999999996"/>
    <n v="172.26"/>
    <n v="18.73"/>
    <n v="0"/>
    <n v="0"/>
    <n v="47.28"/>
    <n v="0"/>
    <n v="0"/>
    <n v="172.02"/>
    <n v="47.28"/>
    <n v="1192.98"/>
    <n v="124.74000000000001"/>
  </r>
  <r>
    <x v="11"/>
    <x v="1"/>
    <x v="0"/>
    <s v="2476200"/>
    <n v="721880"/>
    <s v="Supplies-Linen"/>
    <s v="Internal Medicine Clinic Pouls"/>
    <x v="0"/>
    <m/>
    <n v="0"/>
    <n v="39.6"/>
    <n v="235.87"/>
    <n v="0"/>
    <n v="53.76"/>
    <n v="120.25"/>
    <n v="26.88"/>
    <n v="26.88"/>
    <n v="26.88"/>
    <n v="80.64"/>
    <n v="0"/>
    <n v="19.8"/>
    <n v="630.55999999999995"/>
    <n v="-19.8"/>
  </r>
  <r>
    <x v="11"/>
    <x v="1"/>
    <x v="0"/>
    <s v="2476200"/>
    <n v="721910"/>
    <s v="Supplies-Small Equipment"/>
    <s v="Internal Medicine Clinic Pouls"/>
    <x v="0"/>
    <m/>
    <n v="54.39"/>
    <n v="0"/>
    <n v="7.68"/>
    <n v="0"/>
    <n v="916.48"/>
    <n v="162.01"/>
    <n v="0"/>
    <n v="151.32"/>
    <n v="62.6"/>
    <n v="7.07"/>
    <n v="8.16"/>
    <n v="5.64"/>
    <n v="1375.35"/>
    <n v="2.5200000000000005"/>
  </r>
  <r>
    <x v="11"/>
    <x v="1"/>
    <x v="0"/>
    <s v="2476200"/>
    <n v="721910"/>
    <s v="Instruments"/>
    <s v="Internal Medicine Clinic Pouls"/>
    <x v="0"/>
    <n v="1000"/>
    <n v="50.39"/>
    <n v="21.89"/>
    <n v="18.190000000000001"/>
    <n v="18.190000000000001"/>
    <n v="0"/>
    <n v="92.22"/>
    <n v="0"/>
    <n v="0"/>
    <n v="268.14"/>
    <n v="133.62"/>
    <n v="0"/>
    <n v="0"/>
    <n v="602.64"/>
    <n v="0"/>
  </r>
  <r>
    <x v="11"/>
    <x v="1"/>
    <x v="0"/>
    <s v="2476200"/>
    <n v="721980"/>
    <s v="Supplies-Other"/>
    <s v="Internal Medicine Clinic Pouls"/>
    <x v="0"/>
    <m/>
    <n v="90.47"/>
    <n v="0"/>
    <n v="155.78"/>
    <n v="149.6"/>
    <n v="1014.04"/>
    <n v="299.58"/>
    <n v="156.78"/>
    <n v="0"/>
    <n v="0"/>
    <n v="0"/>
    <n v="0"/>
    <n v="0"/>
    <n v="1866.2499999999998"/>
    <n v="0"/>
  </r>
  <r>
    <x v="11"/>
    <x v="1"/>
    <x v="0"/>
    <s v="2476200"/>
    <n v="722000"/>
    <s v="Supplies-Freight Expense"/>
    <s v="Internal Medicine Clinic Pouls"/>
    <x v="0"/>
    <m/>
    <n v="0"/>
    <n v="17.3"/>
    <n v="0"/>
    <n v="8"/>
    <n v="0"/>
    <n v="0"/>
    <n v="0"/>
    <n v="0"/>
    <n v="8.23"/>
    <n v="0"/>
    <n v="0"/>
    <n v="8"/>
    <n v="41.53"/>
    <n v="-8"/>
  </r>
  <r>
    <x v="12"/>
    <x v="1"/>
    <x v="0"/>
    <s v="2476200"/>
    <n v="730020"/>
    <s v="Rental and Leases-Equipment (DO NOT USE)"/>
    <s v="Internal Medicine Clinic Pouls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5"/>
    <x v="1"/>
    <x v="0"/>
    <s v="2476200"/>
    <n v="731060"/>
    <s v="Telephone"/>
    <s v="Internal Medicine Clinic Pouls"/>
    <x v="0"/>
    <m/>
    <n v="127.74"/>
    <n v="127.74"/>
    <n v="127.74"/>
    <n v="127.74"/>
    <n v="127.74"/>
    <n v="127.74"/>
    <n v="127.74"/>
    <n v="127.74"/>
    <n v="127.74"/>
    <n v="127.74"/>
    <n v="127.74"/>
    <n v="127.74"/>
    <n v="1532.8799999999999"/>
    <n v="0"/>
  </r>
  <r>
    <x v="16"/>
    <x v="1"/>
    <x v="0"/>
    <s v="2476200"/>
    <n v="732020"/>
    <s v="Repairs--Clin Equip-Parts-Internal to CHI Programs"/>
    <s v="Internal Medicine Clinic Pouls"/>
    <x v="0"/>
    <m/>
    <n v="147.41"/>
    <n v="0"/>
    <n v="0"/>
    <n v="0"/>
    <n v="0"/>
    <n v="0"/>
    <n v="0"/>
    <n v="0"/>
    <n v="0"/>
    <n v="0"/>
    <n v="0"/>
    <n v="0"/>
    <n v="147.41"/>
    <n v="0"/>
  </r>
  <r>
    <x v="13"/>
    <x v="1"/>
    <x v="0"/>
    <s v="2476200"/>
    <n v="735070"/>
    <s v="Depreciation-Movable Equipment"/>
    <s v="Internal Medicine Clinic Pouls"/>
    <x v="0"/>
    <m/>
    <n v="36.9"/>
    <n v="36.9"/>
    <n v="36.909999999999997"/>
    <n v="36.9"/>
    <n v="36.909999999999997"/>
    <n v="36.9"/>
    <n v="36.909999999999997"/>
    <n v="36.9"/>
    <n v="36.909999999999997"/>
    <n v="36.9"/>
    <n v="36.909999999999997"/>
    <n v="36.9"/>
    <n v="442.84999999999991"/>
    <n v="9.9999999999980105E-3"/>
  </r>
  <r>
    <x v="0"/>
    <x v="1"/>
    <x v="0"/>
    <s v="2476200"/>
    <n v="740023"/>
    <s v="Education-Advanced Practice Clinician"/>
    <s v="Internal Medicine Clinic Pouls"/>
    <x v="0"/>
    <m/>
    <n v="0"/>
    <n v="0"/>
    <n v="0"/>
    <n v="0"/>
    <n v="0"/>
    <n v="0"/>
    <n v="0"/>
    <n v="0"/>
    <n v="0"/>
    <n v="0"/>
    <n v="0"/>
    <n v="749"/>
    <n v="749"/>
    <n v="-749"/>
  </r>
  <r>
    <x v="0"/>
    <x v="1"/>
    <x v="0"/>
    <s v="2476200"/>
    <n v="740023"/>
    <s v="Books-Advanced Practice Clinician"/>
    <s v="Internal Medicine Clinic Pouls"/>
    <x v="0"/>
    <n v="2000"/>
    <n v="0"/>
    <n v="2111.33"/>
    <n v="0"/>
    <n v="0"/>
    <n v="0"/>
    <n v="0"/>
    <n v="0"/>
    <n v="0"/>
    <n v="0"/>
    <n v="0"/>
    <n v="0"/>
    <n v="0"/>
    <n v="2111.33"/>
    <n v="0"/>
  </r>
  <r>
    <x v="8"/>
    <x v="1"/>
    <x v="0"/>
    <s v="2476200"/>
    <n v="741012"/>
    <s v="Physician Liab Insurance-CHI Program"/>
    <s v="Internal Medicine Clinic Pouls"/>
    <x v="0"/>
    <m/>
    <n v="1676.78"/>
    <n v="1272.68"/>
    <n v="1250.48"/>
    <n v="1250.48"/>
    <n v="1250.48"/>
    <n v="1250.48"/>
    <n v="1250.48"/>
    <n v="1250.48"/>
    <n v="1741.02"/>
    <n v="1741.01"/>
    <n v="1741.02"/>
    <n v="1741.01"/>
    <n v="17416.399999999998"/>
    <n v="9.9999999999909051E-3"/>
  </r>
  <r>
    <x v="0"/>
    <x v="1"/>
    <x v="0"/>
    <s v="2476200"/>
    <n v="742040"/>
    <s v="Freight-Other"/>
    <s v="Internal Medicine Clinic Pouls"/>
    <x v="0"/>
    <m/>
    <n v="0"/>
    <n v="0"/>
    <n v="0"/>
    <n v="0"/>
    <n v="0"/>
    <n v="0"/>
    <n v="0"/>
    <n v="0"/>
    <n v="0"/>
    <n v="0"/>
    <n v="0"/>
    <n v="570.07000000000005"/>
    <n v="570.07000000000005"/>
    <n v="-570.07000000000005"/>
  </r>
  <r>
    <x v="0"/>
    <x v="1"/>
    <x v="0"/>
    <s v="2476200"/>
    <n v="743022"/>
    <s v="Dues-Physician"/>
    <s v="Internal Medicine Clinic Pouls"/>
    <x v="0"/>
    <m/>
    <n v="0"/>
    <n v="0"/>
    <n v="0"/>
    <n v="0"/>
    <n v="0"/>
    <n v="0"/>
    <n v="0"/>
    <n v="3320"/>
    <n v="0"/>
    <n v="0"/>
    <n v="0"/>
    <n v="0"/>
    <n v="3320"/>
    <n v="0"/>
  </r>
  <r>
    <x v="0"/>
    <x v="1"/>
    <x v="0"/>
    <s v="2476200"/>
    <n v="743023"/>
    <s v="Dues-Advanced Practice Clinician"/>
    <s v="Internal Medicine Clinic Pouls"/>
    <x v="0"/>
    <m/>
    <n v="0"/>
    <n v="135"/>
    <n v="0"/>
    <n v="0"/>
    <n v="0"/>
    <n v="0"/>
    <n v="0"/>
    <n v="90"/>
    <n v="0"/>
    <n v="0"/>
    <n v="0"/>
    <n v="128.25"/>
    <n v="353.25"/>
    <n v="-128.25"/>
  </r>
  <r>
    <x v="0"/>
    <x v="1"/>
    <x v="0"/>
    <s v="2476200"/>
    <n v="743030"/>
    <s v="Subscriptions--Institutional"/>
    <s v="Internal Medicine Clinic Pouls"/>
    <x v="0"/>
    <m/>
    <n v="0"/>
    <n v="0"/>
    <n v="0"/>
    <n v="0"/>
    <n v="0"/>
    <n v="0"/>
    <n v="0"/>
    <n v="0"/>
    <n v="294.93"/>
    <n v="0"/>
    <n v="0"/>
    <n v="0"/>
    <n v="294.93"/>
    <n v="0"/>
  </r>
  <r>
    <x v="0"/>
    <x v="1"/>
    <x v="0"/>
    <s v="2476200"/>
    <n v="743042"/>
    <s v="Subscriptions-Physician"/>
    <s v="Internal Medicine Clinic Pouls"/>
    <x v="0"/>
    <m/>
    <n v="0"/>
    <n v="0"/>
    <n v="0"/>
    <n v="0"/>
    <n v="0"/>
    <n v="0"/>
    <n v="0"/>
    <n v="399.99"/>
    <n v="0"/>
    <n v="0"/>
    <n v="0"/>
    <n v="0"/>
    <n v="399.99"/>
    <n v="0"/>
  </r>
  <r>
    <x v="0"/>
    <x v="1"/>
    <x v="0"/>
    <s v="2476200"/>
    <n v="749510"/>
    <s v="Miscellaneous Expenses"/>
    <s v="Internal Medicine Clinic Pouls"/>
    <x v="0"/>
    <m/>
    <n v="-4779.1499999999996"/>
    <n v="0"/>
    <n v="0"/>
    <n v="15.26"/>
    <n v="-15.26"/>
    <n v="0"/>
    <n v="0"/>
    <n v="0"/>
    <n v="0"/>
    <n v="0"/>
    <n v="2414.9"/>
    <n v="-93.4"/>
    <n v="-2457.6499999999996"/>
    <n v="2508.3000000000002"/>
  </r>
  <r>
    <x v="0"/>
    <x v="1"/>
    <x v="0"/>
    <s v="2476200"/>
    <n v="749510"/>
    <s v="Licenses"/>
    <s v="Internal Medicine Clinic Pouls"/>
    <x v="0"/>
    <n v="1002"/>
    <n v="0"/>
    <n v="0"/>
    <n v="0"/>
    <n v="0"/>
    <n v="0"/>
    <n v="19"/>
    <n v="0"/>
    <n v="0"/>
    <n v="0"/>
    <n v="0"/>
    <n v="0"/>
    <n v="0"/>
    <n v="19"/>
    <n v="0"/>
  </r>
  <r>
    <x v="0"/>
    <x v="1"/>
    <x v="0"/>
    <s v="2476200"/>
    <n v="749510"/>
    <s v="RICE Rewards"/>
    <s v="Internal Medicine Clinic Pouls"/>
    <x v="0"/>
    <n v="5100"/>
    <n v="0"/>
    <n v="0"/>
    <n v="0"/>
    <n v="0"/>
    <n v="0"/>
    <n v="0"/>
    <n v="0"/>
    <n v="0"/>
    <n v="0"/>
    <n v="0"/>
    <n v="0"/>
    <n v="110.3"/>
    <n v="110.3"/>
    <n v="-110.3"/>
  </r>
  <r>
    <x v="0"/>
    <x v="1"/>
    <x v="0"/>
    <s v="2476200"/>
    <n v="749513"/>
    <s v="Licenses-Advanced Practice Clinician"/>
    <s v="Internal Medicine Clinic Pouls"/>
    <x v="0"/>
    <n v="2000"/>
    <n v="0"/>
    <n v="0"/>
    <n v="245"/>
    <n v="731"/>
    <n v="0"/>
    <n v="190"/>
    <n v="0"/>
    <n v="0"/>
    <n v="0"/>
    <n v="0"/>
    <n v="0"/>
    <n v="0"/>
    <n v="1166"/>
    <n v="0"/>
  </r>
  <r>
    <x v="0"/>
    <x v="1"/>
    <x v="0"/>
    <s v="2476200"/>
    <n v="749530"/>
    <s v="Mileage"/>
    <s v="Internal Medicine Clinic Pouls"/>
    <x v="0"/>
    <n v="1001"/>
    <n v="0"/>
    <n v="0"/>
    <n v="0"/>
    <n v="0"/>
    <n v="15.26"/>
    <n v="0"/>
    <n v="0"/>
    <n v="0"/>
    <n v="0"/>
    <n v="0"/>
    <n v="0"/>
    <n v="0"/>
    <n v="15.26"/>
    <n v="0"/>
  </r>
  <r>
    <x v="0"/>
    <x v="1"/>
    <x v="0"/>
    <s v="2476200"/>
    <n v="749532"/>
    <s v="Travel-Physician"/>
    <s v="Internal Medicine Clinic Pouls"/>
    <x v="0"/>
    <m/>
    <n v="0"/>
    <n v="1447.63"/>
    <n v="0"/>
    <n v="0"/>
    <n v="0"/>
    <n v="0"/>
    <n v="0"/>
    <n v="0"/>
    <n v="0"/>
    <n v="0"/>
    <n v="0"/>
    <n v="0"/>
    <n v="1447.63"/>
    <n v="0"/>
  </r>
  <r>
    <x v="0"/>
    <x v="1"/>
    <x v="0"/>
    <s v="2476200"/>
    <n v="749533"/>
    <s v="Travel-Advanced Practice Clinician"/>
    <s v="Internal Medicine Clinic Pouls"/>
    <x v="0"/>
    <m/>
    <n v="0"/>
    <n v="0"/>
    <n v="0"/>
    <n v="0"/>
    <n v="0"/>
    <n v="0"/>
    <n v="0"/>
    <n v="0"/>
    <n v="0"/>
    <n v="0"/>
    <n v="0"/>
    <n v="1665.9"/>
    <n v="1665.9"/>
    <n v="-1665.9"/>
  </r>
  <r>
    <x v="0"/>
    <x v="1"/>
    <x v="0"/>
    <s v="2476200"/>
    <n v="766010"/>
    <s v="Property Tax"/>
    <s v="Internal Medicine Clinic Pouls"/>
    <x v="0"/>
    <m/>
    <n v="29.13"/>
    <n v="29.13"/>
    <n v="29.13"/>
    <n v="-87.39"/>
    <n v="0"/>
    <n v="0"/>
    <n v="0"/>
    <n v="0"/>
    <n v="0"/>
    <n v="56.14"/>
    <n v="-160.75"/>
    <n v="14.04"/>
    <n v="-90.57"/>
    <n v="-174.79"/>
  </r>
  <r>
    <x v="9"/>
    <x v="1"/>
    <x v="0"/>
    <s v="2476200"/>
    <n v="800015"/>
    <s v="Interest Income-Ext to CHI"/>
    <s v="Internal Medicine Clinic Pouls"/>
    <x v="0"/>
    <m/>
    <n v="-104.04"/>
    <n v="-97.53"/>
    <n v="-88.09"/>
    <n v="-84.53"/>
    <n v="-75.510000000000005"/>
    <n v="-71.52"/>
    <n v="-65.02"/>
    <n v="-52.85"/>
    <n v="-80.510000000000005"/>
    <n v="-95.23"/>
    <n v="-89.61"/>
    <n v="-78.2"/>
    <n v="-982.64"/>
    <n v="-11.409999999999997"/>
  </r>
  <r>
    <x v="1"/>
    <x v="1"/>
    <x v="0"/>
    <s v="2477200"/>
    <n v="400029"/>
    <s v="MD Practice Other Rev--Medicare"/>
    <s v="Primary Care-Silverdale"/>
    <x v="0"/>
    <n v="1100"/>
    <n v="-263"/>
    <n v="-287"/>
    <n v="-484"/>
    <n v="-482"/>
    <n v="-384"/>
    <n v="-472"/>
    <n v="-584"/>
    <n v="-454"/>
    <n v="-531"/>
    <n v="-417"/>
    <n v="-689"/>
    <n v="-763"/>
    <n v="-5810"/>
    <n v="74"/>
  </r>
  <r>
    <x v="1"/>
    <x v="1"/>
    <x v="0"/>
    <s v="2477200"/>
    <n v="400029"/>
    <s v="MD Practice Other Rev--Medicaid"/>
    <s v="Primary Care-Silverdale"/>
    <x v="0"/>
    <n v="1200"/>
    <n v="-273"/>
    <n v="-396"/>
    <n v="-413"/>
    <n v="-527"/>
    <n v="-444"/>
    <n v="-442"/>
    <n v="-570"/>
    <n v="-621"/>
    <n v="-1071"/>
    <n v="-354"/>
    <n v="-654"/>
    <n v="-408"/>
    <n v="-6173"/>
    <n v="-246"/>
  </r>
  <r>
    <x v="1"/>
    <x v="1"/>
    <x v="0"/>
    <s v="2477200"/>
    <n v="400029"/>
    <s v="MD Practice Other Rev--Comm Insurance"/>
    <s v="Primary Care-Silverdale"/>
    <x v="0"/>
    <n v="1300"/>
    <n v="-10"/>
    <n v="-8"/>
    <n v="-33"/>
    <n v="-32"/>
    <n v="-24"/>
    <n v="-32"/>
    <n v="-42"/>
    <n v="-24"/>
    <n v="-66"/>
    <n v="-108"/>
    <n v="0"/>
    <n v="1"/>
    <n v="-378"/>
    <n v="-1"/>
  </r>
  <r>
    <x v="1"/>
    <x v="1"/>
    <x v="0"/>
    <s v="2477200"/>
    <n v="400029"/>
    <s v="MD Practice Other Rev--BCBS Comm"/>
    <s v="Primary Care-Silverdale"/>
    <x v="0"/>
    <n v="1301"/>
    <n v="-8"/>
    <n v="-74"/>
    <n v="-65"/>
    <n v="-43"/>
    <n v="-24"/>
    <n v="-161"/>
    <n v="-53"/>
    <n v="-154"/>
    <n v="-176"/>
    <n v="-179"/>
    <n v="-102"/>
    <n v="0"/>
    <n v="-1039"/>
    <n v="-102"/>
  </r>
  <r>
    <x v="1"/>
    <x v="1"/>
    <x v="0"/>
    <s v="2477200"/>
    <n v="400029"/>
    <s v="MD Practice Other Rev--Managed Care"/>
    <s v="Primary Care-Silverdale"/>
    <x v="0"/>
    <n v="1400"/>
    <n v="-181"/>
    <n v="-281"/>
    <n v="-221"/>
    <n v="-572"/>
    <n v="-186"/>
    <n v="-756"/>
    <n v="-834"/>
    <n v="-616"/>
    <n v="-470"/>
    <n v="-332"/>
    <n v="-445"/>
    <n v="-255"/>
    <n v="-5149"/>
    <n v="-190"/>
  </r>
  <r>
    <x v="1"/>
    <x v="1"/>
    <x v="0"/>
    <s v="2477200"/>
    <n v="400029"/>
    <s v="MD Practice Other Rev--Self Pay"/>
    <s v="Primary Care-Silverdale"/>
    <x v="0"/>
    <n v="1500"/>
    <n v="0"/>
    <n v="0"/>
    <n v="0"/>
    <n v="-33"/>
    <n v="0"/>
    <n v="0"/>
    <n v="0"/>
    <n v="0"/>
    <n v="0"/>
    <n v="0"/>
    <n v="0"/>
    <n v="0"/>
    <n v="-33"/>
    <n v="0"/>
  </r>
  <r>
    <x v="1"/>
    <x v="1"/>
    <x v="0"/>
    <s v="2477200"/>
    <n v="400029"/>
    <s v="MD Practice Other Rev--Other"/>
    <s v="Primary Care-Silverdale"/>
    <x v="0"/>
    <n v="1700"/>
    <n v="-108"/>
    <n v="-87"/>
    <n v="-197"/>
    <n v="-175"/>
    <n v="-336"/>
    <n v="-396"/>
    <n v="-218"/>
    <n v="-314"/>
    <n v="-433"/>
    <n v="-357"/>
    <n v="-405"/>
    <n v="-290"/>
    <n v="-3316"/>
    <n v="-115"/>
  </r>
  <r>
    <x v="1"/>
    <x v="1"/>
    <x v="0"/>
    <s v="2477200"/>
    <n v="400040"/>
    <s v="Physician Svcs Rev--Medicare"/>
    <s v="Primary Care-Silverdale"/>
    <x v="0"/>
    <n v="1100"/>
    <n v="-44391"/>
    <n v="-58224"/>
    <n v="-52664"/>
    <n v="-60198"/>
    <n v="-47303"/>
    <n v="-40136"/>
    <n v="-49487"/>
    <n v="-50893"/>
    <n v="-51031.5"/>
    <n v="-46572"/>
    <n v="-55351"/>
    <n v="-53000"/>
    <n v="-609250.5"/>
    <n v="-2351"/>
  </r>
  <r>
    <x v="1"/>
    <x v="1"/>
    <x v="0"/>
    <s v="2477200"/>
    <n v="400040"/>
    <s v="Physician Svcs Rev--Medicaid"/>
    <s v="Primary Care-Silverdale"/>
    <x v="0"/>
    <n v="1200"/>
    <n v="-34843.08"/>
    <n v="-44532.17"/>
    <n v="-51782.12"/>
    <n v="-63495.28"/>
    <n v="-47795.44"/>
    <n v="-41213.370000000003"/>
    <n v="-53499.72"/>
    <n v="-44991.23"/>
    <n v="-55156.44"/>
    <n v="-54336.800000000003"/>
    <n v="-54003.92"/>
    <n v="-51056.38"/>
    <n v="-596705.95000000007"/>
    <n v="-2947.5400000000009"/>
  </r>
  <r>
    <x v="1"/>
    <x v="1"/>
    <x v="0"/>
    <s v="2477200"/>
    <n v="400040"/>
    <s v="Physician Svcs Rev--Comm Insurance"/>
    <s v="Primary Care-Silverdale"/>
    <x v="0"/>
    <n v="1300"/>
    <n v="-3621"/>
    <n v="-6136"/>
    <n v="-4481"/>
    <n v="-6686.24"/>
    <n v="-5051.12"/>
    <n v="-9091.48"/>
    <n v="-14733.85"/>
    <n v="-6864"/>
    <n v="-8891.57"/>
    <n v="-12628.26"/>
    <n v="-8238.57"/>
    <n v="-4969"/>
    <n v="-91392.09"/>
    <n v="-3269.5699999999997"/>
  </r>
  <r>
    <x v="1"/>
    <x v="1"/>
    <x v="0"/>
    <s v="2477200"/>
    <n v="400040"/>
    <s v="Physician Svcs Rev--BCBS Comm"/>
    <s v="Primary Care-Silverdale"/>
    <x v="0"/>
    <n v="1301"/>
    <n v="-4051"/>
    <n v="-9262"/>
    <n v="-11972.12"/>
    <n v="-12074.12"/>
    <n v="-14440.65"/>
    <n v="-12380.73"/>
    <n v="-18617.54"/>
    <n v="-17028.740000000002"/>
    <n v="-14606.64"/>
    <n v="-18902"/>
    <n v="-17351.41"/>
    <n v="-11897"/>
    <n v="-162583.95000000001"/>
    <n v="-5454.41"/>
  </r>
  <r>
    <x v="1"/>
    <x v="1"/>
    <x v="0"/>
    <s v="2477200"/>
    <n v="400040"/>
    <s v="Physician Svcs Rev--Managed Care"/>
    <s v="Primary Care-Silverdale"/>
    <x v="0"/>
    <n v="1400"/>
    <n v="-27655.77"/>
    <n v="-48885.41"/>
    <n v="-45287.72"/>
    <n v="-77936.12"/>
    <n v="-59125.93"/>
    <n v="-43093.45"/>
    <n v="-62503.29"/>
    <n v="-49761.19"/>
    <n v="-53019.17"/>
    <n v="-61135.62"/>
    <n v="-62136.33"/>
    <n v="-51531.66"/>
    <n v="-642071.66"/>
    <n v="-10604.669999999998"/>
  </r>
  <r>
    <x v="1"/>
    <x v="1"/>
    <x v="0"/>
    <s v="2477200"/>
    <n v="400040"/>
    <s v="Physician Svcs Rev--Self Pay"/>
    <s v="Primary Care-Silverdale"/>
    <x v="0"/>
    <n v="1500"/>
    <n v="-495"/>
    <n v="-1010"/>
    <n v="-1495"/>
    <n v="-613.44000000000005"/>
    <n v="-590"/>
    <n v="-420"/>
    <n v="-1180"/>
    <n v="-1125"/>
    <n v="-416"/>
    <n v="-715"/>
    <n v="-1284"/>
    <n v="-1658"/>
    <n v="-11001.44"/>
    <n v="374"/>
  </r>
  <r>
    <x v="1"/>
    <x v="1"/>
    <x v="0"/>
    <s v="2477200"/>
    <n v="400040"/>
    <s v="Physician Svcs Rev--Other"/>
    <s v="Primary Care-Silverdale"/>
    <x v="0"/>
    <n v="1700"/>
    <n v="-25450.27"/>
    <n v="-42634.09"/>
    <n v="-29405.25"/>
    <n v="-41695.9"/>
    <n v="-28813.46"/>
    <n v="-30281.48"/>
    <n v="-39091.879999999997"/>
    <n v="-35377.53"/>
    <n v="-32066.16"/>
    <n v="-51621.64"/>
    <n v="-40069.089999999997"/>
    <n v="-46263.41"/>
    <n v="-442770.16000000003"/>
    <n v="6194.320000000007"/>
  </r>
  <r>
    <x v="2"/>
    <x v="1"/>
    <x v="0"/>
    <s v="2477200"/>
    <n v="450029"/>
    <s v="Contr Allow--MD Other-Medicare"/>
    <s v="Primary Care-Silverdale"/>
    <x v="0"/>
    <n v="1100"/>
    <n v="220.68"/>
    <n v="153.12"/>
    <n v="322.01"/>
    <n v="326.35000000000002"/>
    <n v="268"/>
    <n v="278.55"/>
    <n v="307.75"/>
    <n v="433.6"/>
    <n v="290.8"/>
    <n v="278.82"/>
    <n v="462.27"/>
    <n v="508.78"/>
    <n v="3850.7300000000005"/>
    <n v="-46.509999999999991"/>
  </r>
  <r>
    <x v="2"/>
    <x v="1"/>
    <x v="0"/>
    <s v="2477200"/>
    <n v="450029"/>
    <s v="Contr Allow--MD Other-Medicaid"/>
    <s v="Primary Care-Silverdale"/>
    <x v="0"/>
    <n v="1200"/>
    <n v="289.93"/>
    <n v="338.85"/>
    <n v="104.02"/>
    <n v="387.62"/>
    <n v="312.92"/>
    <n v="207.83"/>
    <n v="650.08000000000004"/>
    <n v="54.41"/>
    <n v="708.85"/>
    <n v="423.54"/>
    <n v="369.21"/>
    <n v="349.5"/>
    <n v="4196.76"/>
    <n v="19.70999999999998"/>
  </r>
  <r>
    <x v="2"/>
    <x v="1"/>
    <x v="0"/>
    <s v="2477200"/>
    <n v="450029"/>
    <s v="Contr Allow--MD Other-Comm Insurance"/>
    <s v="Primary Care-Silverdale"/>
    <x v="0"/>
    <n v="1300"/>
    <n v="60.25"/>
    <n v="0"/>
    <n v="9.81"/>
    <n v="18.670000000000002"/>
    <n v="35.9"/>
    <n v="4.68"/>
    <n v="4.68"/>
    <n v="0"/>
    <n v="0"/>
    <n v="87.02"/>
    <n v="43.12"/>
    <n v="4.68"/>
    <n v="268.81"/>
    <n v="38.44"/>
  </r>
  <r>
    <x v="2"/>
    <x v="1"/>
    <x v="0"/>
    <s v="2477200"/>
    <n v="450029"/>
    <s v="Contr Allow--MD Other BCBS Comm"/>
    <s v="Primary Care-Silverdale"/>
    <x v="0"/>
    <n v="1301"/>
    <n v="22.66"/>
    <n v="28.67"/>
    <n v="26.21"/>
    <n v="18.27"/>
    <n v="6.5"/>
    <n v="56.8"/>
    <n v="78.489999999999995"/>
    <n v="110.28"/>
    <n v="95.15"/>
    <n v="110.5"/>
    <n v="32.200000000000003"/>
    <n v="71.709999999999994"/>
    <n v="657.44"/>
    <n v="-39.509999999999991"/>
  </r>
  <r>
    <x v="2"/>
    <x v="1"/>
    <x v="0"/>
    <s v="2477200"/>
    <n v="450029"/>
    <s v="Contr Allow--MD Other-Managed Care"/>
    <s v="Primary Care-Silverdale"/>
    <x v="0"/>
    <n v="1400"/>
    <n v="66.14"/>
    <n v="150.53"/>
    <n v="102.9"/>
    <n v="328.78"/>
    <n v="221.1"/>
    <n v="359.89"/>
    <n v="355.74"/>
    <n v="464.2"/>
    <n v="361.87"/>
    <n v="278.69"/>
    <n v="276.32"/>
    <n v="245.69"/>
    <n v="3211.8500000000004"/>
    <n v="30.629999999999995"/>
  </r>
  <r>
    <x v="2"/>
    <x v="1"/>
    <x v="0"/>
    <s v="2477200"/>
    <n v="450029"/>
    <s v="Admin Adjust-MD Other-Self Pay"/>
    <s v="Primary Care-Silverdale"/>
    <x v="0"/>
    <n v="1600"/>
    <n v="1.96"/>
    <n v="1.74"/>
    <n v="57"/>
    <n v="28.51"/>
    <n v="33.24"/>
    <n v="8"/>
    <n v="2.59"/>
    <n v="8"/>
    <n v="16"/>
    <n v="0.65"/>
    <n v="18.62"/>
    <n v="0.75"/>
    <n v="177.06000000000003"/>
    <n v="17.87"/>
  </r>
  <r>
    <x v="2"/>
    <x v="1"/>
    <x v="0"/>
    <s v="2477200"/>
    <n v="450029"/>
    <s v="Contr Allow--MD Other-Other"/>
    <s v="Primary Care-Silverdale"/>
    <x v="0"/>
    <n v="1700"/>
    <n v="81.489999999999995"/>
    <n v="111.56"/>
    <n v="55.48"/>
    <n v="69.75"/>
    <n v="165.76"/>
    <n v="70.17"/>
    <n v="310.16000000000003"/>
    <n v="134.38"/>
    <n v="222.84"/>
    <n v="352.36"/>
    <n v="325.2"/>
    <n v="256.60000000000002"/>
    <n v="2155.75"/>
    <n v="68.599999999999966"/>
  </r>
  <r>
    <x v="2"/>
    <x v="1"/>
    <x v="0"/>
    <s v="2477200"/>
    <n v="450040"/>
    <s v="Contr Allow--Phys Svcs--Mcare"/>
    <s v="Primary Care-Silverdale"/>
    <x v="0"/>
    <n v="1100"/>
    <n v="15885.02"/>
    <n v="34060.43"/>
    <n v="34390.550000000003"/>
    <n v="39359.43"/>
    <n v="33236.480000000003"/>
    <n v="27136.41"/>
    <n v="28470.62"/>
    <n v="28101.34"/>
    <n v="29252.17"/>
    <n v="35901.35"/>
    <n v="37157.440000000002"/>
    <n v="31199.39"/>
    <n v="374150.63"/>
    <n v="5958.0500000000029"/>
  </r>
  <r>
    <x v="2"/>
    <x v="1"/>
    <x v="0"/>
    <s v="2477200"/>
    <n v="450040"/>
    <s v="Contr Allow--Phys Svcs--Mcaid"/>
    <s v="Primary Care-Silverdale"/>
    <x v="0"/>
    <n v="1200"/>
    <n v="27817.08"/>
    <n v="38538.6"/>
    <n v="30946.23"/>
    <n v="47400.14"/>
    <n v="32577.85"/>
    <n v="26734.2"/>
    <n v="41307.910000000003"/>
    <n v="27111.98"/>
    <n v="36756.11"/>
    <n v="37961.949999999997"/>
    <n v="44368.74"/>
    <n v="34591.49"/>
    <n v="426112.27999999997"/>
    <n v="9777.25"/>
  </r>
  <r>
    <x v="2"/>
    <x v="1"/>
    <x v="0"/>
    <s v="2477200"/>
    <n v="450040"/>
    <s v="Contr Allow--Phys Svcs--Comm Insurance"/>
    <s v="Primary Care-Silverdale"/>
    <x v="0"/>
    <n v="1300"/>
    <n v="1972.38"/>
    <n v="1552.81"/>
    <n v="3038.08"/>
    <n v="1631.79"/>
    <n v="1718.11"/>
    <n v="2013.79"/>
    <n v="5139.91"/>
    <n v="1803.5"/>
    <n v="2391.5500000000002"/>
    <n v="5236.32"/>
    <n v="4096.3100000000004"/>
    <n v="2199.65"/>
    <n v="32794.200000000004"/>
    <n v="1896.6600000000003"/>
  </r>
  <r>
    <x v="2"/>
    <x v="1"/>
    <x v="0"/>
    <s v="2477200"/>
    <n v="450040"/>
    <s v="Contr Allow--Phys Svcs--BCBS Comm Ins"/>
    <s v="Primary Care-Silverdale"/>
    <x v="0"/>
    <n v="1301"/>
    <n v="1605.82"/>
    <n v="4308.2"/>
    <n v="5661.1"/>
    <n v="3318.96"/>
    <n v="8837.09"/>
    <n v="4430.6899999999996"/>
    <n v="10669.94"/>
    <n v="8767.2900000000009"/>
    <n v="9802.25"/>
    <n v="7582.52"/>
    <n v="8947.5499999999993"/>
    <n v="10292.92"/>
    <n v="84224.33"/>
    <n v="-1345.3700000000008"/>
  </r>
  <r>
    <x v="2"/>
    <x v="1"/>
    <x v="0"/>
    <s v="2477200"/>
    <n v="450040"/>
    <s v="Contr Allow--Phys Svcs--Managed Care"/>
    <s v="Primary Care-Silverdale"/>
    <x v="0"/>
    <n v="1400"/>
    <n v="8801.2000000000007"/>
    <n v="22578.32"/>
    <n v="15703.68"/>
    <n v="27858.1"/>
    <n v="34129.050000000003"/>
    <n v="18766.47"/>
    <n v="23378.28"/>
    <n v="23501.8"/>
    <n v="25693.119999999999"/>
    <n v="23743.439999999999"/>
    <n v="28693.61"/>
    <n v="23955.82"/>
    <n v="276802.88999999996"/>
    <n v="4737.7900000000009"/>
  </r>
  <r>
    <x v="2"/>
    <x v="1"/>
    <x v="0"/>
    <s v="2477200"/>
    <n v="450040"/>
    <s v="Contr Allow--Phys Svcs--BCBS Mgnd Care"/>
    <s v="Primary Care-Silverdale"/>
    <x v="0"/>
    <n v="1401"/>
    <n v="6004.45"/>
    <n v="3914"/>
    <n v="10352.86"/>
    <n v="14986.52"/>
    <n v="-10012.25"/>
    <n v="8509.1200000000008"/>
    <n v="11166.73"/>
    <n v="14831.89"/>
    <n v="318.94"/>
    <n v="1501.05"/>
    <n v="-12253.93"/>
    <n v="-397.46"/>
    <n v="48921.920000000013"/>
    <n v="-11856.470000000001"/>
  </r>
  <r>
    <x v="2"/>
    <x v="1"/>
    <x v="0"/>
    <s v="2477200"/>
    <n v="450040"/>
    <s v="Admin Adjust-Phys Svcs-Self Pay"/>
    <s v="Primary Care-Silverdale"/>
    <x v="0"/>
    <n v="1600"/>
    <n v="375.21"/>
    <n v="936.91"/>
    <n v="922.14"/>
    <n v="399.06"/>
    <n v="389.91"/>
    <n v="527.79999999999995"/>
    <n v="520.54"/>
    <n v="326.64"/>
    <n v="362.07"/>
    <n v="423"/>
    <n v="373.11"/>
    <n v="713.58"/>
    <n v="6269.9699999999993"/>
    <n v="-340.47"/>
  </r>
  <r>
    <x v="2"/>
    <x v="1"/>
    <x v="0"/>
    <s v="2477200"/>
    <n v="450040"/>
    <s v="Contr Allow--Phys Svcs--Other"/>
    <s v="Primary Care-Silverdale"/>
    <x v="0"/>
    <n v="1700"/>
    <n v="20916.82"/>
    <n v="25055.09"/>
    <n v="18023.330000000002"/>
    <n v="23536.240000000002"/>
    <n v="21515.26"/>
    <n v="15145.78"/>
    <n v="24528.3"/>
    <n v="14152.02"/>
    <n v="21869.13"/>
    <n v="30526.78"/>
    <n v="33145.629999999997"/>
    <n v="28985.37"/>
    <n v="277399.75"/>
    <n v="4160.2599999999984"/>
  </r>
  <r>
    <x v="3"/>
    <x v="1"/>
    <x v="0"/>
    <s v="2477200"/>
    <n v="470040"/>
    <s v="Charity Care-Physician Svcs"/>
    <s v="Primary Care-Silverdale"/>
    <x v="0"/>
    <m/>
    <n v="550"/>
    <n v="1038.3699999999999"/>
    <n v="454.04"/>
    <n v="1709.96"/>
    <n v="-462.97"/>
    <n v="168.14"/>
    <n v="754.36"/>
    <n v="860.6"/>
    <n v="1542.33"/>
    <n v="417.91"/>
    <n v="-649.35"/>
    <n v="1239.5"/>
    <n v="7622.8899999999994"/>
    <n v="-1888.85"/>
  </r>
  <r>
    <x v="4"/>
    <x v="1"/>
    <x v="0"/>
    <s v="2477200"/>
    <n v="490010"/>
    <s v="Provision for Bad Debts"/>
    <s v="Primary Care-Silverdale"/>
    <x v="0"/>
    <m/>
    <n v="1812.59"/>
    <n v="3136.52"/>
    <n v="2355.1999999999998"/>
    <n v="1603.12"/>
    <n v="524.92999999999995"/>
    <n v="1604.31"/>
    <n v="665.18"/>
    <n v="2431.3200000000002"/>
    <n v="2426.98"/>
    <n v="717.41"/>
    <n v="-1041.31"/>
    <n v="1276.4000000000001"/>
    <n v="17512.650000000001"/>
    <n v="-2317.71"/>
  </r>
  <r>
    <x v="5"/>
    <x v="1"/>
    <x v="0"/>
    <s v="2477200"/>
    <n v="700022"/>
    <s v="Salaries-Physician-Productive"/>
    <s v="Primary Care-Silverdale"/>
    <x v="0"/>
    <m/>
    <n v="17001.96"/>
    <n v="21724.75"/>
    <n v="31004.48"/>
    <n v="37176.239999999998"/>
    <n v="26412.86"/>
    <n v="30235.01"/>
    <n v="31226.06"/>
    <n v="25472.95"/>
    <n v="35811.870000000003"/>
    <n v="31334.73"/>
    <n v="26986.48"/>
    <n v="31522.92"/>
    <n v="345910.30999999994"/>
    <n v="-4536.4399999999987"/>
  </r>
  <r>
    <x v="5"/>
    <x v="1"/>
    <x v="0"/>
    <s v="2477200"/>
    <n v="700024"/>
    <s v="Salaries-Advanced Practice Clinician-Productive"/>
    <s v="Primary Care-Silverdale"/>
    <x v="0"/>
    <m/>
    <n v="9037.92"/>
    <n v="12171.52"/>
    <n v="9186.7999999999993"/>
    <n v="7349.44"/>
    <n v="14622.66"/>
    <n v="6409.86"/>
    <n v="12156.02"/>
    <n v="10778.34"/>
    <n v="6616.87"/>
    <n v="10721.99"/>
    <n v="9486.31"/>
    <n v="5118.6899999999996"/>
    <n v="113656.42"/>
    <n v="4367.62"/>
  </r>
  <r>
    <x v="5"/>
    <x v="1"/>
    <x v="0"/>
    <s v="2477200"/>
    <n v="700026"/>
    <s v="Salaries-RN-Productive"/>
    <s v="Primary Care-Silverdale"/>
    <x v="0"/>
    <m/>
    <n v="5853.85"/>
    <n v="7176.24"/>
    <n v="4653.6000000000004"/>
    <n v="6166.18"/>
    <n v="6544.83"/>
    <n v="5988.34"/>
    <n v="44.2"/>
    <n v="0"/>
    <n v="5645.08"/>
    <n v="6029.61"/>
    <n v="6539.46"/>
    <n v="4798.32"/>
    <n v="59439.710000000006"/>
    <n v="1741.1400000000003"/>
  </r>
  <r>
    <x v="5"/>
    <x v="1"/>
    <x v="0"/>
    <s v="2477200"/>
    <n v="700026"/>
    <s v="Salaries-RN-OT"/>
    <s v="Primary Care-Silverdale"/>
    <x v="0"/>
    <n v="1000"/>
    <n v="87.26"/>
    <n v="923.46"/>
    <n v="174.53"/>
    <n v="253.25"/>
    <n v="482.99"/>
    <n v="-11.92"/>
    <n v="-2.98"/>
    <n v="0"/>
    <n v="159.05000000000001"/>
    <n v="342.66"/>
    <n v="133.63"/>
    <n v="26.45"/>
    <n v="2568.3799999999997"/>
    <n v="107.17999999999999"/>
  </r>
  <r>
    <x v="5"/>
    <x v="1"/>
    <x v="0"/>
    <s v="2477200"/>
    <n v="700026"/>
    <s v="Salaries-RN-Other"/>
    <s v="Primary Care-Silverdale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1"/>
    <x v="0"/>
    <s v="2477200"/>
    <n v="700032"/>
    <s v="Salaries-Other Pat Care Providers-Productive"/>
    <s v="Primary Care-Silverdale"/>
    <x v="0"/>
    <m/>
    <n v="7765.36"/>
    <n v="10915.36"/>
    <n v="11406.3"/>
    <n v="13097.58"/>
    <n v="9982.7199999999993"/>
    <n v="6973.99"/>
    <n v="11730.63"/>
    <n v="10693.67"/>
    <n v="10399.06"/>
    <n v="10550.09"/>
    <n v="13205.58"/>
    <n v="11532.71"/>
    <n v="128253.04999999999"/>
    <n v="1672.8700000000008"/>
  </r>
  <r>
    <x v="5"/>
    <x v="1"/>
    <x v="0"/>
    <s v="2477200"/>
    <n v="700032"/>
    <s v="Salaries-Other Pat Care Providers-OT"/>
    <s v="Primary Care-Silverdale"/>
    <x v="0"/>
    <n v="1000"/>
    <n v="581.99"/>
    <n v="981.34"/>
    <n v="-188.84"/>
    <n v="305.95999999999998"/>
    <n v="441.73"/>
    <n v="477.76"/>
    <n v="1050.1600000000001"/>
    <n v="148.63999999999999"/>
    <n v="660.53"/>
    <n v="230.72"/>
    <n v="192.44"/>
    <n v="24.36"/>
    <n v="4906.79"/>
    <n v="168.07999999999998"/>
  </r>
  <r>
    <x v="5"/>
    <x v="1"/>
    <x v="0"/>
    <s v="2477200"/>
    <n v="700032"/>
    <s v="Salaries-Other Pat Care Providers-Other"/>
    <s v="Primary Care-Silverdale"/>
    <x v="0"/>
    <n v="2000"/>
    <n v="0"/>
    <n v="30"/>
    <n v="2.75"/>
    <n v="0"/>
    <n v="0"/>
    <n v="3.5"/>
    <n v="30.05"/>
    <n v="49.66"/>
    <n v="-5.61"/>
    <n v="0"/>
    <n v="0"/>
    <n v="0"/>
    <n v="110.35"/>
    <n v="0"/>
  </r>
  <r>
    <x v="5"/>
    <x v="1"/>
    <x v="0"/>
    <s v="2477200"/>
    <n v="700034"/>
    <s v="Salaries-Tech/Professional-Productive"/>
    <s v="Primary Care-Silverdale"/>
    <x v="0"/>
    <m/>
    <n v="0"/>
    <n v="201.21"/>
    <n v="-67.069999999999993"/>
    <n v="0"/>
    <n v="0"/>
    <n v="0"/>
    <n v="0"/>
    <n v="0"/>
    <n v="0"/>
    <n v="0"/>
    <n v="0"/>
    <n v="0"/>
    <n v="134.14000000000001"/>
    <n v="0"/>
  </r>
  <r>
    <x v="5"/>
    <x v="1"/>
    <x v="0"/>
    <s v="2477200"/>
    <n v="700038"/>
    <s v="Salaries-Service/Support-Productive"/>
    <s v="Primary Care-Silverdale"/>
    <x v="0"/>
    <m/>
    <n v="0"/>
    <n v="0"/>
    <n v="748.08"/>
    <n v="-249.36"/>
    <n v="0"/>
    <n v="0"/>
    <n v="0"/>
    <n v="0"/>
    <n v="0"/>
    <n v="0"/>
    <n v="0"/>
    <n v="155.38"/>
    <n v="654.1"/>
    <n v="-155.38"/>
  </r>
  <r>
    <x v="5"/>
    <x v="1"/>
    <x v="0"/>
    <s v="2477200"/>
    <n v="700062"/>
    <s v="Salaries-Physician-Non-productive"/>
    <s v="Primary Care-Silverdale"/>
    <x v="0"/>
    <m/>
    <n v="3778.22"/>
    <n v="0"/>
    <n v="5195.04"/>
    <n v="472.28"/>
    <n v="9598.7800000000007"/>
    <n v="4139.6899999999996"/>
    <n v="6480.09"/>
    <n v="7312.9"/>
    <n v="-1386.69"/>
    <n v="4729.7"/>
    <n v="10717.28"/>
    <n v="1262.94"/>
    <n v="52300.229999999996"/>
    <n v="9454.34"/>
  </r>
  <r>
    <x v="5"/>
    <x v="1"/>
    <x v="0"/>
    <s v="2477200"/>
    <n v="700064"/>
    <s v="Salaries-Advanced Practice Clinician-Non-Productive"/>
    <s v="Primary Care-Silverdale"/>
    <x v="0"/>
    <m/>
    <n v="2920.48"/>
    <n v="537.09"/>
    <n v="1846.84"/>
    <n v="5257.35"/>
    <n v="-1569.63"/>
    <n v="5574.3"/>
    <n v="832.11"/>
    <n v="419.86"/>
    <n v="5144.6499999999996"/>
    <n v="-675.18"/>
    <n v="0"/>
    <n v="3071.22"/>
    <n v="23359.090000000004"/>
    <n v="-3071.22"/>
  </r>
  <r>
    <x v="5"/>
    <x v="1"/>
    <x v="0"/>
    <s v="2477200"/>
    <n v="700066"/>
    <s v="Salaries-RN-Non-productive"/>
    <s v="Primary Care-Silverdale"/>
    <x v="0"/>
    <m/>
    <n v="971.45"/>
    <n v="-60.11"/>
    <n v="1551.2"/>
    <n v="1109.03"/>
    <n v="401.48"/>
    <n v="659.84"/>
    <n v="334.46"/>
    <n v="0"/>
    <n v="0"/>
    <n v="0"/>
    <n v="0"/>
    <n v="0"/>
    <n v="4967.3499999999995"/>
    <n v="0"/>
  </r>
  <r>
    <x v="5"/>
    <x v="1"/>
    <x v="0"/>
    <s v="2477200"/>
    <n v="700066"/>
    <s v="Salaries-RN-NonProd-Other"/>
    <s v="Primary Care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7200"/>
    <n v="700072"/>
    <s v="Salaries-Other Pat Care Providers-Non-productive"/>
    <s v="Primary Care-Silverdale"/>
    <x v="0"/>
    <m/>
    <n v="2005.05"/>
    <n v="498.87"/>
    <n v="1193.07"/>
    <n v="1066.75"/>
    <n v="525.28"/>
    <n v="3451.49"/>
    <n v="1147.67"/>
    <n v="1296.3"/>
    <n v="324.74"/>
    <n v="528.19000000000005"/>
    <n v="1306.3"/>
    <n v="1326.68"/>
    <n v="14670.389999999998"/>
    <n v="-20.380000000000109"/>
  </r>
  <r>
    <x v="5"/>
    <x v="1"/>
    <x v="0"/>
    <s v="2477200"/>
    <n v="700072"/>
    <s v="Salaries-Other Pat Care Providers-NonProd-Other"/>
    <s v="Primary Care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7200"/>
    <n v="700084"/>
    <s v="Accrued PTO"/>
    <s v="Primary Care-Silverdale"/>
    <x v="0"/>
    <m/>
    <n v="-1095.44"/>
    <n v="1031.58"/>
    <n v="-833.03"/>
    <n v="802.82"/>
    <n v="440.24"/>
    <n v="-867.66"/>
    <n v="184.55"/>
    <n v="398.54"/>
    <n v="1066.57"/>
    <n v="1383.4"/>
    <n v="1063.58"/>
    <n v="869.89"/>
    <n v="4445.04"/>
    <n v="193.68999999999994"/>
  </r>
  <r>
    <x v="6"/>
    <x v="1"/>
    <x v="0"/>
    <s v="2477200"/>
    <n v="713010"/>
    <s v="Benefits-FICA/Medicare"/>
    <s v="Primary Care-Silverdale"/>
    <x v="0"/>
    <m/>
    <n v="2414.23"/>
    <n v="2725.63"/>
    <n v="2943.92"/>
    <n v="3035.54"/>
    <n v="2877.1"/>
    <n v="3791.46"/>
    <n v="4884.87"/>
    <n v="4194.09"/>
    <n v="4752.8500000000004"/>
    <n v="4817.33"/>
    <n v="5181.21"/>
    <n v="4393.7299999999996"/>
    <n v="46011.960000000006"/>
    <n v="787.48000000000047"/>
  </r>
  <r>
    <x v="6"/>
    <x v="1"/>
    <x v="0"/>
    <s v="2477200"/>
    <n v="713090"/>
    <s v="Benefits-Allocated Amounts"/>
    <s v="Primary Care-Silverdale"/>
    <x v="0"/>
    <m/>
    <n v="0"/>
    <n v="-0.01"/>
    <n v="0.01"/>
    <n v="0"/>
    <n v="0"/>
    <n v="-0.01"/>
    <n v="0"/>
    <n v="0.01"/>
    <n v="50588.28"/>
    <n v="5926.69"/>
    <n v="6169.29"/>
    <n v="6457.49"/>
    <n v="69141.75"/>
    <n v="-288.19999999999982"/>
  </r>
  <r>
    <x v="6"/>
    <x v="1"/>
    <x v="0"/>
    <s v="2477200"/>
    <n v="713092"/>
    <s v="Allocated Benefits-Physician"/>
    <s v="Primary Care-Silverdale"/>
    <x v="0"/>
    <m/>
    <n v="3728.72"/>
    <n v="3676.92"/>
    <n v="4772.74"/>
    <n v="4778.8500000000004"/>
    <n v="4420.8500000000004"/>
    <n v="4448.43"/>
    <n v="4962.9399999999996"/>
    <n v="4635.7700000000004"/>
    <n v="-17034.650000000001"/>
    <n v="2154.5500000000002"/>
    <n v="2242.75"/>
    <n v="2347.52"/>
    <n v="25135.39"/>
    <n v="-104.76999999999998"/>
  </r>
  <r>
    <x v="6"/>
    <x v="1"/>
    <x v="0"/>
    <s v="2477200"/>
    <n v="713093"/>
    <s v="Allocated Benefits-Advanced Practice Clinician"/>
    <s v="Primary Care-Silverdale"/>
    <x v="0"/>
    <m/>
    <n v="3728.72"/>
    <n v="3676.92"/>
    <n v="4772.74"/>
    <n v="4778.8500000000004"/>
    <n v="4420.8500000000004"/>
    <n v="4448.43"/>
    <n v="4962.9399999999996"/>
    <n v="4635.7700000000004"/>
    <n v="-23589.71"/>
    <n v="1386.6"/>
    <n v="1443.35"/>
    <n v="1510.78"/>
    <n v="16176.240000000003"/>
    <n v="-67.430000000000064"/>
  </r>
  <r>
    <x v="6"/>
    <x v="1"/>
    <x v="0"/>
    <s v="2477200"/>
    <n v="713096"/>
    <s v="Employee Recognition"/>
    <s v="Primary Care-Silverdale"/>
    <x v="0"/>
    <n v="1017"/>
    <n v="0"/>
    <n v="0"/>
    <n v="0"/>
    <n v="0"/>
    <n v="0"/>
    <n v="78.52"/>
    <n v="111.99"/>
    <n v="0"/>
    <n v="0"/>
    <n v="0"/>
    <n v="0"/>
    <n v="0"/>
    <n v="190.51"/>
    <n v="0"/>
  </r>
  <r>
    <x v="7"/>
    <x v="1"/>
    <x v="0"/>
    <s v="2477200"/>
    <n v="718050"/>
    <s v="Contract Svcs-Other"/>
    <s v="Primary Care-Silverdale"/>
    <x v="0"/>
    <m/>
    <n v="0"/>
    <n v="0"/>
    <n v="57.23"/>
    <n v="0"/>
    <n v="1608.84"/>
    <n v="0"/>
    <n v="0"/>
    <n v="0"/>
    <n v="0"/>
    <n v="0"/>
    <n v="0"/>
    <n v="0"/>
    <n v="1666.07"/>
    <n v="0"/>
  </r>
  <r>
    <x v="7"/>
    <x v="1"/>
    <x v="0"/>
    <s v="2477200"/>
    <n v="718050"/>
    <s v="Miscellaneous Purchased Svcs"/>
    <s v="Primary Care-Silverdale"/>
    <x v="0"/>
    <n v="1020"/>
    <n v="1176.95"/>
    <n v="2084.65"/>
    <n v="1098"/>
    <n v="89.75"/>
    <n v="287.64999999999998"/>
    <n v="1149.3399999999999"/>
    <n v="2156.5"/>
    <n v="1177"/>
    <n v="2263.71"/>
    <n v="1019"/>
    <n v="979.5"/>
    <n v="1229.03"/>
    <n v="14711.08"/>
    <n v="-249.52999999999997"/>
  </r>
  <r>
    <x v="7"/>
    <x v="1"/>
    <x v="0"/>
    <s v="2477200"/>
    <n v="718050"/>
    <s v="Purchased Srvcs--Medical Waste"/>
    <s v="Primary Care-Silverdale"/>
    <x v="0"/>
    <n v="1027"/>
    <n v="0"/>
    <n v="0"/>
    <n v="0"/>
    <n v="0"/>
    <n v="0"/>
    <n v="0"/>
    <n v="0"/>
    <n v="0"/>
    <n v="0"/>
    <n v="0"/>
    <n v="0"/>
    <n v="312.2"/>
    <n v="312.2"/>
    <n v="-312.2"/>
  </r>
  <r>
    <x v="7"/>
    <x v="1"/>
    <x v="0"/>
    <s v="2477200"/>
    <n v="718070"/>
    <s v="Contract Srvcs-CHI Clinical Engineering"/>
    <s v="Primary Care-Silverdale"/>
    <x v="0"/>
    <m/>
    <n v="0"/>
    <n v="0"/>
    <n v="0"/>
    <n v="0"/>
    <n v="0"/>
    <n v="0"/>
    <n v="0"/>
    <n v="0"/>
    <n v="0"/>
    <n v="0"/>
    <n v="341.41"/>
    <n v="0"/>
    <n v="341.41"/>
    <n v="341.41"/>
  </r>
  <r>
    <x v="11"/>
    <x v="1"/>
    <x v="0"/>
    <s v="2477200"/>
    <n v="721010"/>
    <s v="Supplies-Medical - Billable"/>
    <s v="Primary Care-Silverdale"/>
    <x v="0"/>
    <m/>
    <n v="3390.4"/>
    <n v="32.159999999999997"/>
    <n v="12.59"/>
    <n v="4786.7"/>
    <n v="0"/>
    <n v="0"/>
    <n v="2034.24"/>
    <n v="1780.6"/>
    <n v="1418"/>
    <n v="0"/>
    <n v="5463.68"/>
    <n v="3738.99"/>
    <n v="22657.360000000001"/>
    <n v="1724.6900000000005"/>
  </r>
  <r>
    <x v="11"/>
    <x v="1"/>
    <x v="0"/>
    <s v="2477200"/>
    <n v="721010"/>
    <s v="Patient Monitoring"/>
    <s v="Primary Care-Silverdale"/>
    <x v="0"/>
    <n v="1000"/>
    <n v="0"/>
    <n v="0"/>
    <n v="0"/>
    <n v="10.86"/>
    <n v="0"/>
    <n v="0"/>
    <n v="0"/>
    <n v="0"/>
    <n v="0"/>
    <n v="0"/>
    <n v="0"/>
    <n v="0"/>
    <n v="10.86"/>
    <n v="0"/>
  </r>
  <r>
    <x v="11"/>
    <x v="1"/>
    <x v="0"/>
    <s v="2477200"/>
    <n v="721020"/>
    <s v="Supplies-Surgical - Billable"/>
    <s v="Primary Care-Silverdale"/>
    <x v="0"/>
    <m/>
    <n v="0"/>
    <n v="0"/>
    <n v="0"/>
    <n v="0"/>
    <n v="0"/>
    <n v="0"/>
    <n v="0"/>
    <n v="0"/>
    <n v="0"/>
    <n v="52.32"/>
    <n v="0"/>
    <n v="0"/>
    <n v="52.32"/>
    <n v="0"/>
  </r>
  <r>
    <x v="11"/>
    <x v="1"/>
    <x v="0"/>
    <s v="2477200"/>
    <n v="721020"/>
    <s v="Suture/Wound Closure"/>
    <s v="Primary Care-Silverdale"/>
    <x v="0"/>
    <n v="1001"/>
    <n v="174.75"/>
    <n v="0"/>
    <n v="5.94"/>
    <n v="0"/>
    <n v="25.35"/>
    <n v="0"/>
    <n v="0"/>
    <n v="0"/>
    <n v="30"/>
    <n v="0"/>
    <n v="0"/>
    <n v="0"/>
    <n v="236.04"/>
    <n v="0"/>
  </r>
  <r>
    <x v="11"/>
    <x v="1"/>
    <x v="0"/>
    <s v="2477200"/>
    <n v="721250"/>
    <s v="Supplies-Pharmacy Drugs - Billable"/>
    <s v="Primary Care-Silverdale"/>
    <x v="0"/>
    <m/>
    <n v="1371.22"/>
    <n v="8708.61"/>
    <n v="263.83"/>
    <n v="13176.05"/>
    <n v="3193.75"/>
    <n v="9600.1299999999992"/>
    <n v="2342.56"/>
    <n v="2218.59"/>
    <n v="243.57"/>
    <n v="8675.44"/>
    <n v="8030.2"/>
    <n v="2585.7199999999998"/>
    <n v="60409.669999999991"/>
    <n v="5444.48"/>
  </r>
  <r>
    <x v="11"/>
    <x v="1"/>
    <x v="0"/>
    <s v="2477200"/>
    <n v="721410"/>
    <s v="Supplies-Medical - Nonbillable"/>
    <s v="Primary Care-Silverdale"/>
    <x v="0"/>
    <m/>
    <n v="348.74"/>
    <n v="218.36"/>
    <n v="453.27"/>
    <n v="109.95"/>
    <n v="1700.22"/>
    <n v="407.67"/>
    <n v="388.6"/>
    <n v="618.45000000000005"/>
    <n v="556.95000000000005"/>
    <n v="283.70999999999998"/>
    <n v="205.48"/>
    <n v="387.06"/>
    <n v="5678.46"/>
    <n v="-181.58"/>
  </r>
  <r>
    <x v="11"/>
    <x v="1"/>
    <x v="0"/>
    <s v="2477200"/>
    <n v="721420"/>
    <s v="Supplies-Surgical Nonbillable"/>
    <s v="Primary Care-Silverdale"/>
    <x v="0"/>
    <m/>
    <n v="0"/>
    <n v="82.31"/>
    <n v="7.09"/>
    <n v="51.3"/>
    <n v="-1.4"/>
    <n v="0"/>
    <n v="10.09"/>
    <n v="0"/>
    <n v="20.100000000000001"/>
    <n v="2.84"/>
    <n v="53"/>
    <n v="1.31"/>
    <n v="226.64"/>
    <n v="51.69"/>
  </r>
  <r>
    <x v="11"/>
    <x v="1"/>
    <x v="0"/>
    <s v="2477200"/>
    <n v="721420"/>
    <s v="Sterilization Process Products"/>
    <s v="Primary Care-Silverdale"/>
    <x v="0"/>
    <n v="1009"/>
    <n v="0"/>
    <n v="114.63"/>
    <n v="11.62"/>
    <n v="0"/>
    <n v="0"/>
    <n v="114.63"/>
    <n v="0"/>
    <n v="99.59"/>
    <n v="99.59"/>
    <n v="0"/>
    <n v="0"/>
    <n v="0"/>
    <n v="440.06000000000006"/>
    <n v="0"/>
  </r>
  <r>
    <x v="11"/>
    <x v="1"/>
    <x v="0"/>
    <s v="2477200"/>
    <n v="721610"/>
    <s v="Supplies-Anesthesia - Nonbillable"/>
    <s v="Primary Care-Silverdale"/>
    <x v="0"/>
    <m/>
    <n v="0"/>
    <n v="0"/>
    <n v="0"/>
    <n v="0"/>
    <n v="0"/>
    <n v="1.44"/>
    <n v="53.41"/>
    <n v="0"/>
    <n v="0"/>
    <n v="0"/>
    <n v="0"/>
    <n v="0"/>
    <n v="54.849999999999994"/>
    <n v="0"/>
  </r>
  <r>
    <x v="11"/>
    <x v="1"/>
    <x v="0"/>
    <s v="2477200"/>
    <n v="721650"/>
    <s v="Supplies-Pharmacy Drugs - Nonbillable"/>
    <s v="Primary Care-Silverdale"/>
    <x v="0"/>
    <m/>
    <n v="0"/>
    <n v="17.21"/>
    <n v="0"/>
    <n v="2.4300000000000002"/>
    <n v="22.17"/>
    <n v="2.25"/>
    <n v="0"/>
    <n v="14.78"/>
    <n v="1.69"/>
    <n v="2.16"/>
    <n v="0"/>
    <n v="4.12"/>
    <n v="66.81"/>
    <n v="-4.12"/>
  </r>
  <r>
    <x v="11"/>
    <x v="1"/>
    <x v="0"/>
    <s v="2477200"/>
    <n v="721710"/>
    <s v="Supplies-Laboratory - Nonbillable"/>
    <s v="Primary Care-Silverdale"/>
    <x v="0"/>
    <m/>
    <n v="36.78"/>
    <n v="33.43"/>
    <n v="42.9"/>
    <n v="330.82"/>
    <n v="49"/>
    <n v="955.18"/>
    <n v="0"/>
    <n v="716.24"/>
    <n v="318.3"/>
    <n v="238.08"/>
    <n v="221.17"/>
    <n v="-13.78"/>
    <n v="2928.12"/>
    <n v="234.95"/>
  </r>
  <r>
    <x v="11"/>
    <x v="1"/>
    <x v="0"/>
    <s v="2477200"/>
    <n v="721710"/>
    <s v="Reagents"/>
    <s v="Primary Care-Silverdale"/>
    <x v="0"/>
    <n v="1000"/>
    <n v="0"/>
    <n v="282.60000000000002"/>
    <n v="211.95"/>
    <n v="437.26"/>
    <n v="918.45"/>
    <n v="841.88"/>
    <n v="1033.6600000000001"/>
    <n v="47.14"/>
    <n v="803.18"/>
    <n v="211.95"/>
    <n v="423.9"/>
    <n v="282.60000000000002"/>
    <n v="5494.57"/>
    <n v="141.29999999999995"/>
  </r>
  <r>
    <x v="11"/>
    <x v="1"/>
    <x v="0"/>
    <s v="2477200"/>
    <n v="721830"/>
    <s v="Supplies-Office"/>
    <s v="Primary Care-Silverdale"/>
    <x v="0"/>
    <m/>
    <n v="0"/>
    <n v="13.6"/>
    <n v="27.2"/>
    <n v="345.48"/>
    <n v="136.19999999999999"/>
    <n v="27.2"/>
    <n v="132.9"/>
    <n v="249.26"/>
    <n v="33.67"/>
    <n v="112.48"/>
    <n v="8.67"/>
    <n v="0"/>
    <n v="1086.6600000000001"/>
    <n v="8.67"/>
  </r>
  <r>
    <x v="11"/>
    <x v="1"/>
    <x v="0"/>
    <s v="2477200"/>
    <n v="721835"/>
    <s v="Supplies-Forms"/>
    <s v="Primary Care-Silverdale"/>
    <x v="0"/>
    <m/>
    <n v="0"/>
    <n v="0"/>
    <n v="0"/>
    <n v="0"/>
    <n v="8.4"/>
    <n v="0"/>
    <n v="0"/>
    <n v="0"/>
    <n v="0"/>
    <n v="0"/>
    <n v="0"/>
    <n v="0"/>
    <n v="8.4"/>
    <n v="0"/>
  </r>
  <r>
    <x v="11"/>
    <x v="1"/>
    <x v="0"/>
    <s v="2477200"/>
    <n v="721870"/>
    <s v="Supplies-Environmental Services"/>
    <s v="Primary Care-Silverdale"/>
    <x v="0"/>
    <m/>
    <n v="15.76"/>
    <n v="0"/>
    <n v="19.7"/>
    <n v="66.760000000000005"/>
    <n v="27.58"/>
    <n v="43.67"/>
    <n v="38.85"/>
    <n v="11.3"/>
    <n v="6.2"/>
    <n v="0"/>
    <n v="0"/>
    <n v="106.38"/>
    <n v="336.20000000000005"/>
    <n v="-106.38"/>
  </r>
  <r>
    <x v="11"/>
    <x v="1"/>
    <x v="0"/>
    <s v="2477200"/>
    <n v="721880"/>
    <s v="Supplies-Linen"/>
    <s v="Primary Care-Silverdale"/>
    <x v="0"/>
    <m/>
    <n v="0"/>
    <n v="88.35"/>
    <n v="0"/>
    <n v="19.8"/>
    <n v="0"/>
    <n v="0"/>
    <n v="34.53"/>
    <n v="0"/>
    <n v="187.17"/>
    <n v="-107.84"/>
    <n v="0"/>
    <n v="0"/>
    <n v="222.01000000000002"/>
    <n v="0"/>
  </r>
  <r>
    <x v="11"/>
    <x v="1"/>
    <x v="0"/>
    <s v="2477200"/>
    <n v="721910"/>
    <s v="Supplies-Small Equipment"/>
    <s v="Primary Care-Silverdale"/>
    <x v="0"/>
    <m/>
    <n v="0"/>
    <n v="2272.56"/>
    <n v="301.10000000000002"/>
    <n v="34.58"/>
    <n v="0"/>
    <n v="0"/>
    <n v="0"/>
    <n v="0"/>
    <n v="276"/>
    <n v="0"/>
    <n v="0"/>
    <n v="0"/>
    <n v="2884.24"/>
    <n v="0"/>
  </r>
  <r>
    <x v="11"/>
    <x v="1"/>
    <x v="0"/>
    <s v="2477200"/>
    <n v="721910"/>
    <s v="Instruments"/>
    <s v="Primary Care-Silverdale"/>
    <x v="0"/>
    <n v="1000"/>
    <n v="9.3800000000000008"/>
    <n v="0"/>
    <n v="0"/>
    <n v="36.380000000000003"/>
    <n v="0"/>
    <n v="0"/>
    <n v="0"/>
    <n v="0"/>
    <n v="0"/>
    <n v="0"/>
    <n v="18.190000000000001"/>
    <n v="4.37"/>
    <n v="68.320000000000007"/>
    <n v="13.82"/>
  </r>
  <r>
    <x v="11"/>
    <x v="1"/>
    <x v="0"/>
    <s v="2477200"/>
    <n v="721980"/>
    <s v="Supplies-Other"/>
    <s v="Primary Care-Silverdale"/>
    <x v="0"/>
    <m/>
    <n v="0"/>
    <n v="372.78"/>
    <n v="1332.65"/>
    <n v="3087.14"/>
    <n v="266.67"/>
    <n v="264.60000000000002"/>
    <n v="299.20999999999998"/>
    <n v="220.72"/>
    <n v="144.66"/>
    <n v="87.89"/>
    <n v="147"/>
    <n v="-751.1"/>
    <n v="5472.22"/>
    <n v="898.1"/>
  </r>
  <r>
    <x v="11"/>
    <x v="1"/>
    <x v="0"/>
    <s v="2477200"/>
    <n v="722000"/>
    <s v="Supplies-Freight Expense"/>
    <s v="Primary Care-Silverdale"/>
    <x v="0"/>
    <m/>
    <n v="0"/>
    <n v="0"/>
    <n v="0"/>
    <n v="27.41"/>
    <n v="0"/>
    <n v="16.04"/>
    <n v="0"/>
    <n v="0"/>
    <n v="0"/>
    <n v="0"/>
    <n v="9.44"/>
    <n v="8"/>
    <n v="60.89"/>
    <n v="1.4399999999999995"/>
  </r>
  <r>
    <x v="12"/>
    <x v="1"/>
    <x v="0"/>
    <s v="2477200"/>
    <n v="730020"/>
    <s v="Rental and Leases-Equipment (DO NOT USE)"/>
    <s v="Primary Care-Silverdale"/>
    <x v="0"/>
    <m/>
    <n v="0"/>
    <n v="0"/>
    <n v="0"/>
    <n v="0"/>
    <n v="43.4"/>
    <n v="0"/>
    <n v="0"/>
    <n v="0"/>
    <n v="0"/>
    <n v="0"/>
    <n v="0"/>
    <n v="0"/>
    <n v="43.4"/>
    <n v="0"/>
  </r>
  <r>
    <x v="15"/>
    <x v="1"/>
    <x v="0"/>
    <s v="2477200"/>
    <n v="731050"/>
    <s v="Refuse Disposal"/>
    <s v="Primary Care-Silverdale"/>
    <x v="0"/>
    <m/>
    <n v="74.150000000000006"/>
    <n v="0"/>
    <n v="117.96"/>
    <n v="73.510000000000005"/>
    <n v="73.510000000000005"/>
    <n v="73.510000000000005"/>
    <n v="0"/>
    <n v="147.02000000000001"/>
    <n v="72.75"/>
    <n v="0"/>
    <n v="42.2"/>
    <n v="0"/>
    <n v="674.61"/>
    <n v="42.2"/>
  </r>
  <r>
    <x v="16"/>
    <x v="1"/>
    <x v="0"/>
    <s v="2477200"/>
    <n v="732020"/>
    <s v="Repairs--Clin Equip-Parts-Internal to CHI Programs"/>
    <s v="Primary Care-Silverdale"/>
    <x v="0"/>
    <m/>
    <n v="15.45"/>
    <n v="0"/>
    <n v="0"/>
    <n v="0"/>
    <n v="0"/>
    <n v="0"/>
    <n v="0"/>
    <n v="0"/>
    <n v="0"/>
    <n v="0"/>
    <n v="0"/>
    <n v="0"/>
    <n v="15.45"/>
    <n v="0"/>
  </r>
  <r>
    <x v="16"/>
    <x v="1"/>
    <x v="0"/>
    <s v="2477200"/>
    <n v="732030"/>
    <s v="Repairs---Other"/>
    <s v="Primary Care-Silverdale"/>
    <x v="0"/>
    <m/>
    <n v="0"/>
    <n v="0"/>
    <n v="0"/>
    <n v="1074.24"/>
    <n v="339.92"/>
    <n v="0"/>
    <n v="-290.87"/>
    <n v="0"/>
    <n v="0"/>
    <n v="0"/>
    <n v="291.85000000000002"/>
    <n v="0"/>
    <n v="1415.1399999999999"/>
    <n v="291.85000000000002"/>
  </r>
  <r>
    <x v="13"/>
    <x v="1"/>
    <x v="0"/>
    <s v="2477200"/>
    <n v="735050"/>
    <s v="Amortization-Leasehold Improvements"/>
    <s v="Primary Care-Silverdale"/>
    <x v="0"/>
    <m/>
    <n v="3486.28"/>
    <n v="3486.28"/>
    <n v="3486.29"/>
    <n v="3486.28"/>
    <n v="3486.29"/>
    <n v="3486.28"/>
    <n v="3486.3"/>
    <n v="3486.28"/>
    <n v="3486.32"/>
    <n v="3486.28"/>
    <n v="3486.32"/>
    <n v="3486.28"/>
    <n v="41835.479999999996"/>
    <n v="3.999999999996362E-2"/>
  </r>
  <r>
    <x v="13"/>
    <x v="1"/>
    <x v="0"/>
    <s v="2477200"/>
    <n v="735070"/>
    <s v="Depreciation-Movable Equipment"/>
    <s v="Primary Care-Silverdale"/>
    <x v="0"/>
    <m/>
    <n v="2280.6799999999998"/>
    <n v="1852.19"/>
    <n v="1852.21"/>
    <n v="1852.17"/>
    <n v="1852.25"/>
    <n v="1852.15"/>
    <n v="1852.26"/>
    <n v="1852.14"/>
    <n v="1852.27"/>
    <n v="1852.12"/>
    <n v="1852.27"/>
    <n v="1852.11"/>
    <n v="22654.82"/>
    <n v="0.16000000000008185"/>
  </r>
  <r>
    <x v="0"/>
    <x v="1"/>
    <x v="0"/>
    <s v="2477200"/>
    <n v="740020"/>
    <s v="Education-Registration Fees"/>
    <s v="Primary Care-Silverdale"/>
    <x v="0"/>
    <m/>
    <n v="0"/>
    <n v="0"/>
    <n v="0"/>
    <n v="0"/>
    <n v="0"/>
    <n v="0"/>
    <n v="0"/>
    <n v="0"/>
    <n v="0"/>
    <n v="0"/>
    <n v="0"/>
    <n v="995"/>
    <n v="995"/>
    <n v="-995"/>
  </r>
  <r>
    <x v="0"/>
    <x v="1"/>
    <x v="0"/>
    <s v="2477200"/>
    <n v="740022"/>
    <s v="Education-Physician"/>
    <s v="Primary Care-Silverdale"/>
    <x v="0"/>
    <m/>
    <n v="0"/>
    <n v="0"/>
    <n v="0"/>
    <n v="0"/>
    <n v="0"/>
    <n v="0"/>
    <n v="0"/>
    <n v="0"/>
    <n v="0"/>
    <n v="0"/>
    <n v="0"/>
    <n v="850"/>
    <n v="850"/>
    <n v="-850"/>
  </r>
  <r>
    <x v="0"/>
    <x v="1"/>
    <x v="0"/>
    <s v="2477200"/>
    <n v="740023"/>
    <s v="Education-Advanced Practice Clinician"/>
    <s v="Primary Care-Silverdale"/>
    <x v="0"/>
    <m/>
    <n v="0"/>
    <n v="0"/>
    <n v="0"/>
    <n v="0"/>
    <n v="0"/>
    <n v="0"/>
    <n v="0"/>
    <n v="625"/>
    <n v="0"/>
    <n v="0"/>
    <n v="0"/>
    <n v="3934"/>
    <n v="4559"/>
    <n v="-3934"/>
  </r>
  <r>
    <x v="0"/>
    <x v="1"/>
    <x v="0"/>
    <s v="2477200"/>
    <n v="740023"/>
    <s v="Education Travel-Advanced Practice Clinician"/>
    <s v="Primary Care-Silverdale"/>
    <x v="0"/>
    <n v="2001"/>
    <n v="0"/>
    <n v="0"/>
    <n v="0"/>
    <n v="0"/>
    <n v="2234.6"/>
    <n v="0"/>
    <n v="0"/>
    <n v="0"/>
    <n v="0"/>
    <n v="0"/>
    <n v="0"/>
    <n v="0"/>
    <n v="2234.6"/>
    <n v="0"/>
  </r>
  <r>
    <x v="8"/>
    <x v="1"/>
    <x v="0"/>
    <s v="2477200"/>
    <n v="741012"/>
    <s v="Physician Liab Insurance-CHI Program"/>
    <s v="Primary Care-Silverdale"/>
    <x v="0"/>
    <m/>
    <n v="473.67"/>
    <n v="473.67"/>
    <n v="814.71"/>
    <n v="814.71"/>
    <n v="814.71"/>
    <n v="814.7"/>
    <n v="814.71"/>
    <n v="814.7"/>
    <n v="814.71"/>
    <n v="814.7"/>
    <n v="814.71"/>
    <n v="814.7"/>
    <n v="9094.4000000000015"/>
    <n v="9.9999999999909051E-3"/>
  </r>
  <r>
    <x v="0"/>
    <x v="1"/>
    <x v="0"/>
    <s v="2477200"/>
    <n v="742010"/>
    <s v="Postage-Regular"/>
    <s v="Primary Care-Silverdale"/>
    <x v="0"/>
    <m/>
    <n v="0"/>
    <n v="0"/>
    <n v="0"/>
    <n v="0"/>
    <n v="0"/>
    <n v="0"/>
    <n v="0"/>
    <n v="0"/>
    <n v="17.399999999999999"/>
    <n v="0"/>
    <n v="0"/>
    <n v="0"/>
    <n v="17.399999999999999"/>
    <n v="0"/>
  </r>
  <r>
    <x v="0"/>
    <x v="1"/>
    <x v="0"/>
    <s v="2477200"/>
    <n v="742020"/>
    <s v="Postage-Express Services"/>
    <s v="Primary Care-Silverdale"/>
    <x v="0"/>
    <m/>
    <n v="0"/>
    <n v="0"/>
    <n v="0"/>
    <n v="0"/>
    <n v="0"/>
    <n v="0"/>
    <n v="0"/>
    <n v="0"/>
    <n v="25.5"/>
    <n v="0"/>
    <n v="0"/>
    <n v="0"/>
    <n v="25.5"/>
    <n v="0"/>
  </r>
  <r>
    <x v="0"/>
    <x v="1"/>
    <x v="0"/>
    <s v="2477200"/>
    <n v="743022"/>
    <s v="Dues-Physician"/>
    <s v="Primary Care-Silverdale"/>
    <x v="0"/>
    <m/>
    <n v="0"/>
    <n v="0"/>
    <n v="0"/>
    <n v="0"/>
    <n v="0"/>
    <n v="0"/>
    <n v="810"/>
    <n v="1660"/>
    <n v="0"/>
    <n v="0"/>
    <n v="0"/>
    <n v="0"/>
    <n v="2470"/>
    <n v="0"/>
  </r>
  <r>
    <x v="0"/>
    <x v="1"/>
    <x v="0"/>
    <s v="2477200"/>
    <n v="743023"/>
    <s v="Dues-Advanced Practice Clinician"/>
    <s v="Primary Care-Silverdale"/>
    <x v="0"/>
    <m/>
    <n v="0"/>
    <n v="0"/>
    <n v="135"/>
    <n v="0"/>
    <n v="0"/>
    <n v="0"/>
    <n v="0"/>
    <n v="90"/>
    <n v="0"/>
    <n v="0"/>
    <n v="0"/>
    <n v="0"/>
    <n v="225"/>
    <n v="0"/>
  </r>
  <r>
    <x v="0"/>
    <x v="1"/>
    <x v="0"/>
    <s v="2477200"/>
    <n v="743030"/>
    <s v="Subscriptions--Institutional"/>
    <s v="Primary Care-Silverdale"/>
    <x v="0"/>
    <m/>
    <n v="0"/>
    <n v="0"/>
    <n v="258.95"/>
    <n v="324.99"/>
    <n v="0"/>
    <n v="0"/>
    <n v="0"/>
    <n v="0"/>
    <n v="0"/>
    <n v="0"/>
    <n v="0"/>
    <n v="99"/>
    <n v="682.94"/>
    <n v="-99"/>
  </r>
  <r>
    <x v="0"/>
    <x v="1"/>
    <x v="0"/>
    <s v="2477200"/>
    <n v="749510"/>
    <s v="Miscellaneous Expenses"/>
    <s v="Primary Care-Silverdale"/>
    <x v="0"/>
    <m/>
    <n v="-2299"/>
    <n v="0"/>
    <n v="0"/>
    <n v="0"/>
    <n v="189.67"/>
    <n v="-189.67"/>
    <n v="664.22"/>
    <n v="-664.22"/>
    <n v="273.75"/>
    <n v="0"/>
    <n v="1856.28"/>
    <n v="-1756.28"/>
    <n v="-1925.25"/>
    <n v="3612.56"/>
  </r>
  <r>
    <x v="0"/>
    <x v="1"/>
    <x v="0"/>
    <s v="2477200"/>
    <n v="749512"/>
    <s v="Licenses-Physician"/>
    <s v="Primary Care-Silverdale"/>
    <x v="0"/>
    <n v="2000"/>
    <n v="0"/>
    <n v="0"/>
    <n v="0"/>
    <n v="0"/>
    <n v="0"/>
    <n v="0"/>
    <n v="0"/>
    <n v="0"/>
    <n v="0"/>
    <n v="731"/>
    <n v="0"/>
    <n v="657"/>
    <n v="1388"/>
    <n v="-657"/>
  </r>
  <r>
    <x v="0"/>
    <x v="1"/>
    <x v="0"/>
    <s v="2477200"/>
    <n v="749513"/>
    <s v="Licenses-Advanced Practice Clinician"/>
    <s v="Primary Care-Silverdale"/>
    <x v="0"/>
    <n v="2000"/>
    <n v="122.5"/>
    <n v="0"/>
    <n v="0"/>
    <n v="0"/>
    <n v="0"/>
    <n v="0"/>
    <n v="0"/>
    <n v="0"/>
    <n v="0"/>
    <n v="0"/>
    <n v="0"/>
    <n v="247.5"/>
    <n v="370"/>
    <n v="-247.5"/>
  </r>
  <r>
    <x v="0"/>
    <x v="1"/>
    <x v="0"/>
    <s v="2477200"/>
    <n v="749530"/>
    <s v="Travel"/>
    <s v="Primary Care-Silverdale"/>
    <x v="0"/>
    <m/>
    <n v="0"/>
    <n v="0"/>
    <n v="0"/>
    <n v="1454.77"/>
    <n v="0"/>
    <n v="111.15"/>
    <n v="0"/>
    <n v="0"/>
    <n v="0"/>
    <n v="135.76"/>
    <n v="12"/>
    <n v="0"/>
    <n v="1713.68"/>
    <n v="12"/>
  </r>
  <r>
    <x v="0"/>
    <x v="1"/>
    <x v="0"/>
    <s v="2477200"/>
    <n v="749530"/>
    <s v="Mileage"/>
    <s v="Primary Care-Silverdale"/>
    <x v="0"/>
    <n v="1001"/>
    <n v="137.35"/>
    <n v="77.95"/>
    <n v="24.54"/>
    <n v="0"/>
    <n v="0"/>
    <n v="0"/>
    <n v="0"/>
    <n v="22.04"/>
    <n v="220.4"/>
    <n v="242.44"/>
    <n v="216.34"/>
    <n v="231.42"/>
    <n v="1172.48"/>
    <n v="-15.079999999999984"/>
  </r>
  <r>
    <x v="0"/>
    <x v="1"/>
    <x v="0"/>
    <s v="2477200"/>
    <n v="749532"/>
    <s v="Travel-Physician"/>
    <s v="Primary Care-Silverdale"/>
    <x v="0"/>
    <m/>
    <n v="0"/>
    <n v="0"/>
    <n v="0"/>
    <n v="0"/>
    <n v="0"/>
    <n v="0"/>
    <n v="0"/>
    <n v="0"/>
    <n v="0"/>
    <n v="0"/>
    <n v="0"/>
    <n v="1160.28"/>
    <n v="1160.28"/>
    <n v="-1160.28"/>
  </r>
  <r>
    <x v="0"/>
    <x v="1"/>
    <x v="0"/>
    <s v="2477200"/>
    <n v="749532"/>
    <s v="Vehicle Expense-Physician"/>
    <s v="Primary Care-Silverdale"/>
    <x v="0"/>
    <n v="2001"/>
    <n v="0"/>
    <n v="0"/>
    <n v="0"/>
    <n v="0"/>
    <n v="0"/>
    <n v="0"/>
    <n v="0"/>
    <n v="0"/>
    <n v="0"/>
    <n v="0"/>
    <n v="0"/>
    <n v="424.56"/>
    <n v="424.56"/>
    <n v="-424.56"/>
  </r>
  <r>
    <x v="0"/>
    <x v="1"/>
    <x v="0"/>
    <s v="2477200"/>
    <n v="766010"/>
    <s v="Property Tax"/>
    <s v="Primary Care-Silverdale"/>
    <x v="0"/>
    <m/>
    <n v="415.45"/>
    <n v="415.45"/>
    <n v="415.45"/>
    <n v="-1246.3499999999999"/>
    <n v="0"/>
    <n v="0"/>
    <n v="0"/>
    <n v="0"/>
    <n v="0"/>
    <n v="943.26"/>
    <n v="-2256.88"/>
    <n v="235.83"/>
    <n v="-1077.7900000000002"/>
    <n v="-2492.71"/>
  </r>
  <r>
    <x v="9"/>
    <x v="1"/>
    <x v="0"/>
    <s v="2477200"/>
    <n v="800015"/>
    <s v="Interest Income-Ext to CHI"/>
    <s v="Primary Care-Silverdale"/>
    <x v="0"/>
    <m/>
    <n v="-18.440000000000001"/>
    <n v="-16.25"/>
    <n v="-13.6"/>
    <n v="-11.87"/>
    <n v="-9.3699999999999992"/>
    <n v="-7.48"/>
    <n v="-5.3"/>
    <n v="-3.19"/>
    <n v="-1.76"/>
    <n v="0"/>
    <n v="0"/>
    <n v="0"/>
    <n v="-87.26"/>
    <n v="0"/>
  </r>
  <r>
    <x v="7"/>
    <x v="2"/>
    <x v="0"/>
    <s v="2477207"/>
    <n v="718050"/>
    <s v="Miscellaneous Purchased Svcs"/>
    <s v="Primary Care-Silverdale"/>
    <x v="0"/>
    <n v="102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478200"/>
    <n v="400029"/>
    <s v="MD Practice Other Rev--Medicare"/>
    <s v="Primary Care-Forks Family Med"/>
    <x v="0"/>
    <n v="1100"/>
    <n v="-234"/>
    <n v="0"/>
    <n v="-107"/>
    <n v="0"/>
    <n v="0"/>
    <n v="0"/>
    <n v="0"/>
    <n v="0"/>
    <n v="0"/>
    <n v="0"/>
    <n v="0"/>
    <n v="0"/>
    <n v="-341"/>
    <n v="0"/>
  </r>
  <r>
    <x v="1"/>
    <x v="1"/>
    <x v="0"/>
    <s v="2478200"/>
    <n v="400029"/>
    <s v="MD Practice Other Rev--Medicaid"/>
    <s v="Primary Care-Forks Family Med"/>
    <x v="0"/>
    <n v="1200"/>
    <n v="-83"/>
    <n v="0"/>
    <n v="107"/>
    <n v="0"/>
    <n v="0"/>
    <n v="0"/>
    <n v="0"/>
    <n v="0"/>
    <n v="0"/>
    <n v="0"/>
    <n v="0"/>
    <n v="0"/>
    <n v="24"/>
    <n v="0"/>
  </r>
  <r>
    <x v="1"/>
    <x v="1"/>
    <x v="0"/>
    <s v="2478200"/>
    <n v="400029"/>
    <s v="MD Practice Other Rev--BCBS Comm"/>
    <s v="Primary Care-Forks Family Med"/>
    <x v="0"/>
    <n v="1301"/>
    <n v="-66"/>
    <n v="0"/>
    <n v="0"/>
    <n v="0"/>
    <n v="0"/>
    <n v="0"/>
    <n v="0"/>
    <n v="0"/>
    <n v="0"/>
    <n v="0"/>
    <n v="0"/>
    <n v="0"/>
    <n v="-66"/>
    <n v="0"/>
  </r>
  <r>
    <x v="1"/>
    <x v="1"/>
    <x v="0"/>
    <s v="2478200"/>
    <n v="400029"/>
    <s v="MD Practice Other Rev--Managed Care"/>
    <s v="Primary Care-Forks Family Med"/>
    <x v="0"/>
    <n v="1400"/>
    <n v="-125"/>
    <n v="0"/>
    <n v="0"/>
    <n v="0"/>
    <n v="0"/>
    <n v="0"/>
    <n v="0"/>
    <n v="0"/>
    <n v="0"/>
    <n v="0"/>
    <n v="0"/>
    <n v="0"/>
    <n v="-125"/>
    <n v="0"/>
  </r>
  <r>
    <x v="1"/>
    <x v="1"/>
    <x v="0"/>
    <s v="2478200"/>
    <n v="400029"/>
    <s v="MD Practice Other Rev--Self Pay"/>
    <s v="Primary Care-Forks Family Med"/>
    <x v="0"/>
    <n v="1500"/>
    <n v="-10"/>
    <n v="0"/>
    <n v="0"/>
    <n v="0"/>
    <n v="0"/>
    <n v="0"/>
    <n v="0"/>
    <n v="0"/>
    <n v="0"/>
    <n v="0"/>
    <n v="0"/>
    <n v="0"/>
    <n v="-10"/>
    <n v="0"/>
  </r>
  <r>
    <x v="1"/>
    <x v="1"/>
    <x v="0"/>
    <s v="2478200"/>
    <n v="400040"/>
    <s v="Physician Svcs Rev--Medicare"/>
    <s v="Primary Care-Forks Family Med"/>
    <x v="0"/>
    <n v="1100"/>
    <n v="-6834"/>
    <n v="-1108"/>
    <n v="-1177"/>
    <n v="0"/>
    <n v="0"/>
    <n v="0"/>
    <n v="0"/>
    <n v="0"/>
    <n v="-294"/>
    <n v="0"/>
    <n v="0"/>
    <n v="294"/>
    <n v="-9119"/>
    <n v="-294"/>
  </r>
  <r>
    <x v="1"/>
    <x v="1"/>
    <x v="0"/>
    <s v="2478200"/>
    <n v="400040"/>
    <s v="Physician Svcs Rev--Medicaid"/>
    <s v="Primary Care-Forks Family Med"/>
    <x v="0"/>
    <n v="1200"/>
    <n v="-2338"/>
    <n v="0"/>
    <n v="1929"/>
    <n v="0"/>
    <n v="0"/>
    <n v="0"/>
    <n v="0"/>
    <n v="294"/>
    <n v="294"/>
    <n v="-294"/>
    <n v="0"/>
    <n v="0"/>
    <n v="-115"/>
    <n v="0"/>
  </r>
  <r>
    <x v="1"/>
    <x v="1"/>
    <x v="0"/>
    <s v="2478200"/>
    <n v="400040"/>
    <s v="Physician Svcs Rev--Comm Insurance"/>
    <s v="Primary Care-Forks Family Med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478200"/>
    <n v="400040"/>
    <s v="Physician Svcs Rev--BCBS Comm"/>
    <s v="Primary Care-Forks Family Med"/>
    <x v="0"/>
    <n v="1301"/>
    <n v="-3689.98"/>
    <n v="-494"/>
    <n v="-396"/>
    <n v="0"/>
    <n v="0"/>
    <n v="0"/>
    <n v="0"/>
    <n v="0"/>
    <n v="0"/>
    <n v="0"/>
    <n v="0"/>
    <n v="0"/>
    <n v="-4579.9799999999996"/>
    <n v="0"/>
  </r>
  <r>
    <x v="1"/>
    <x v="1"/>
    <x v="0"/>
    <s v="2478200"/>
    <n v="400040"/>
    <s v="Physician Svcs Rev--Managed Care"/>
    <s v="Primary Care-Forks Family Med"/>
    <x v="0"/>
    <n v="1400"/>
    <n v="-4539"/>
    <n v="200"/>
    <n v="61"/>
    <n v="0"/>
    <n v="0"/>
    <n v="0"/>
    <n v="-93.69"/>
    <n v="0"/>
    <n v="0"/>
    <n v="0"/>
    <n v="0"/>
    <n v="-294"/>
    <n v="-4665.6899999999996"/>
    <n v="294"/>
  </r>
  <r>
    <x v="1"/>
    <x v="1"/>
    <x v="0"/>
    <s v="2478200"/>
    <n v="400040"/>
    <s v="Physician Svcs Rev--Self Pay"/>
    <s v="Primary Care-Forks Family Med"/>
    <x v="0"/>
    <n v="1500"/>
    <n v="-735"/>
    <n v="0"/>
    <n v="0"/>
    <n v="0"/>
    <n v="0"/>
    <n v="0"/>
    <n v="0"/>
    <n v="0"/>
    <n v="0"/>
    <n v="0"/>
    <n v="0"/>
    <n v="0"/>
    <n v="-735"/>
    <n v="0"/>
  </r>
  <r>
    <x v="1"/>
    <x v="1"/>
    <x v="0"/>
    <s v="2478200"/>
    <n v="400040"/>
    <s v="Physician Svcs Rev--Other"/>
    <s v="Primary Care-Forks Family Med"/>
    <x v="0"/>
    <n v="1700"/>
    <n v="-1078"/>
    <n v="0"/>
    <n v="0"/>
    <n v="0"/>
    <n v="0"/>
    <n v="0"/>
    <n v="0"/>
    <n v="0"/>
    <n v="0"/>
    <n v="0"/>
    <n v="0"/>
    <n v="0"/>
    <n v="-1078"/>
    <n v="0"/>
  </r>
  <r>
    <x v="2"/>
    <x v="1"/>
    <x v="0"/>
    <s v="2478200"/>
    <n v="450029"/>
    <s v="Contr Allow--MD Other-Medicare"/>
    <s v="Primary Care-Forks Family Med"/>
    <x v="0"/>
    <n v="1100"/>
    <n v="339.43"/>
    <n v="125.89"/>
    <n v="0"/>
    <n v="71.37"/>
    <n v="0"/>
    <n v="0"/>
    <n v="0"/>
    <n v="0"/>
    <n v="-30.04"/>
    <n v="0"/>
    <n v="30.04"/>
    <n v="0"/>
    <n v="536.69000000000005"/>
    <n v="30.04"/>
  </r>
  <r>
    <x v="2"/>
    <x v="1"/>
    <x v="0"/>
    <s v="2478200"/>
    <n v="450029"/>
    <s v="Contr Allow--MD Other-Medicaid"/>
    <s v="Primary Care-Forks Family Med"/>
    <x v="0"/>
    <n v="1200"/>
    <n v="166.02"/>
    <n v="11.92"/>
    <n v="20.91"/>
    <n v="0"/>
    <n v="0"/>
    <n v="0"/>
    <n v="0"/>
    <n v="0"/>
    <n v="0"/>
    <n v="0"/>
    <n v="0"/>
    <n v="0"/>
    <n v="198.85"/>
    <n v="0"/>
  </r>
  <r>
    <x v="2"/>
    <x v="1"/>
    <x v="0"/>
    <s v="2478200"/>
    <n v="450029"/>
    <s v="Contr Allow--MD Other-Comm Insurance"/>
    <s v="Primary Care-Forks Family Med"/>
    <x v="0"/>
    <n v="1300"/>
    <n v="0"/>
    <n v="0"/>
    <n v="8.93"/>
    <n v="0"/>
    <n v="0"/>
    <n v="0"/>
    <n v="0"/>
    <n v="0"/>
    <n v="0"/>
    <n v="0"/>
    <n v="0"/>
    <n v="0"/>
    <n v="8.93"/>
    <n v="0"/>
  </r>
  <r>
    <x v="2"/>
    <x v="1"/>
    <x v="0"/>
    <s v="2478200"/>
    <n v="450029"/>
    <s v="Contr Allow--MD Other BCBS Comm"/>
    <s v="Primary Care-Forks Family Med"/>
    <x v="0"/>
    <n v="1301"/>
    <n v="90.42"/>
    <n v="18.829999999999998"/>
    <n v="0"/>
    <n v="0"/>
    <n v="0"/>
    <n v="0"/>
    <n v="0"/>
    <n v="0"/>
    <n v="0"/>
    <n v="0"/>
    <n v="0"/>
    <n v="0"/>
    <n v="109.25"/>
    <n v="0"/>
  </r>
  <r>
    <x v="2"/>
    <x v="1"/>
    <x v="0"/>
    <s v="2478200"/>
    <n v="450029"/>
    <s v="Contr Allow--MD Other-Managed Care"/>
    <s v="Primary Care-Forks Family Med"/>
    <x v="0"/>
    <n v="1400"/>
    <n v="43.56"/>
    <n v="69.08"/>
    <n v="0"/>
    <n v="0"/>
    <n v="0"/>
    <n v="0"/>
    <n v="0"/>
    <n v="0"/>
    <n v="0"/>
    <n v="0"/>
    <n v="0"/>
    <n v="2.35"/>
    <n v="114.99"/>
    <n v="-2.35"/>
  </r>
  <r>
    <x v="2"/>
    <x v="1"/>
    <x v="0"/>
    <s v="2478200"/>
    <n v="450029"/>
    <s v="Admin Adjust-MD Other-Self Pay"/>
    <s v="Primary Care-Forks Family Med"/>
    <x v="0"/>
    <n v="1600"/>
    <n v="7.06"/>
    <n v="7.75"/>
    <n v="2.67"/>
    <n v="12.65"/>
    <n v="0.73"/>
    <n v="0"/>
    <n v="0"/>
    <n v="0"/>
    <n v="0"/>
    <n v="0"/>
    <n v="0"/>
    <n v="0"/>
    <n v="30.859999999999996"/>
    <n v="0"/>
  </r>
  <r>
    <x v="2"/>
    <x v="1"/>
    <x v="0"/>
    <s v="2478200"/>
    <n v="450029"/>
    <s v="Contr Allow--MD Other-Other"/>
    <s v="Primary Care-Forks Family Med"/>
    <x v="0"/>
    <n v="1700"/>
    <n v="27.32"/>
    <n v="0"/>
    <n v="0"/>
    <n v="0"/>
    <n v="0"/>
    <n v="0"/>
    <n v="0"/>
    <n v="0"/>
    <n v="0"/>
    <n v="0"/>
    <n v="0"/>
    <n v="0"/>
    <n v="27.32"/>
    <n v="0"/>
  </r>
  <r>
    <x v="2"/>
    <x v="1"/>
    <x v="0"/>
    <s v="2478200"/>
    <n v="450040"/>
    <s v="Contr Allow--Phys Svcs--Mcare"/>
    <s v="Primary Care-Forks Family Med"/>
    <x v="0"/>
    <n v="1100"/>
    <n v="6491.47"/>
    <n v="6431.28"/>
    <n v="1991.71"/>
    <n v="770.5"/>
    <n v="313.83"/>
    <n v="174.58"/>
    <n v="0"/>
    <n v="-245.74"/>
    <n v="199.99"/>
    <n v="294"/>
    <n v="288.74"/>
    <n v="-300.63"/>
    <n v="16409.73"/>
    <n v="589.37"/>
  </r>
  <r>
    <x v="2"/>
    <x v="1"/>
    <x v="0"/>
    <s v="2478200"/>
    <n v="450040"/>
    <s v="Contr Allow--Phys Svcs--Mcaid"/>
    <s v="Primary Care-Forks Family Med"/>
    <x v="0"/>
    <n v="1200"/>
    <n v="7614.6"/>
    <n v="7831.93"/>
    <n v="3828.6"/>
    <n v="291.87"/>
    <n v="294"/>
    <n v="294"/>
    <n v="-7532.17"/>
    <n v="3175.54"/>
    <n v="-113.89"/>
    <n v="284.42"/>
    <n v="-1019.88"/>
    <n v="301"/>
    <n v="15250.02"/>
    <n v="-1320.88"/>
  </r>
  <r>
    <x v="2"/>
    <x v="1"/>
    <x v="0"/>
    <s v="2478200"/>
    <n v="450040"/>
    <s v="Contr Allow--Phys Svcs--Comm Insurance"/>
    <s v="Primary Care-Forks Family Med"/>
    <x v="0"/>
    <n v="1300"/>
    <n v="0"/>
    <n v="0"/>
    <n v="239.27"/>
    <n v="164.7"/>
    <n v="0"/>
    <n v="0"/>
    <n v="0"/>
    <n v="0"/>
    <n v="0"/>
    <n v="0"/>
    <n v="0"/>
    <n v="0"/>
    <n v="403.97"/>
    <n v="0"/>
  </r>
  <r>
    <x v="2"/>
    <x v="1"/>
    <x v="0"/>
    <s v="2478200"/>
    <n v="450040"/>
    <s v="Contr Allow--Phys Svcs--BCBS Comm Ins"/>
    <s v="Primary Care-Forks Family Med"/>
    <x v="0"/>
    <n v="1301"/>
    <n v="2906.01"/>
    <n v="712.23"/>
    <n v="441.28"/>
    <n v="346.84"/>
    <n v="0"/>
    <n v="0"/>
    <n v="50"/>
    <n v="414"/>
    <n v="0"/>
    <n v="-125.73"/>
    <n v="0"/>
    <n v="-147.83000000000001"/>
    <n v="4596.8000000000011"/>
    <n v="147.83000000000001"/>
  </r>
  <r>
    <x v="2"/>
    <x v="1"/>
    <x v="0"/>
    <s v="2478200"/>
    <n v="450040"/>
    <s v="Contr Allow--Phys Svcs--Managed Care"/>
    <s v="Primary Care-Forks Family Med"/>
    <x v="0"/>
    <n v="1400"/>
    <n v="5116.7299999999996"/>
    <n v="1422.11"/>
    <n v="170.04"/>
    <n v="-17.940000000000001"/>
    <n v="0"/>
    <n v="92.17"/>
    <n v="-184"/>
    <n v="234.54"/>
    <n v="-23.5"/>
    <n v="-291.72000000000003"/>
    <n v="0"/>
    <n v="153.32"/>
    <n v="6671.7499999999991"/>
    <n v="-153.32"/>
  </r>
  <r>
    <x v="2"/>
    <x v="1"/>
    <x v="0"/>
    <s v="2478200"/>
    <n v="450040"/>
    <s v="Contr Allow--Phys Svcs--BCBS Mgnd Care"/>
    <s v="Primary Care-Forks Family Med"/>
    <x v="0"/>
    <n v="1401"/>
    <n v="-13898.42"/>
    <n v="-14235.59"/>
    <n v="-8152.65"/>
    <n v="-3085.29"/>
    <n v="-756.3"/>
    <n v="-812.95"/>
    <n v="3954.82"/>
    <n v="-2702.66"/>
    <n v="-219.55"/>
    <n v="-718.38"/>
    <n v="470.22"/>
    <n v="-905.81"/>
    <n v="-41062.560000000005"/>
    <n v="1376.03"/>
  </r>
  <r>
    <x v="2"/>
    <x v="1"/>
    <x v="0"/>
    <s v="2478200"/>
    <n v="450040"/>
    <s v="Admin Adjust-Phys Svcs-Self Pay"/>
    <s v="Primary Care-Forks Family Med"/>
    <x v="0"/>
    <n v="1600"/>
    <n v="-144.75"/>
    <n v="29.38"/>
    <n v="259.10000000000002"/>
    <n v="1577.98"/>
    <n v="-2.34"/>
    <n v="242.56"/>
    <n v="-85"/>
    <n v="18"/>
    <n v="69.319999999999993"/>
    <n v="0"/>
    <n v="-420"/>
    <n v="0"/>
    <n v="1544.25"/>
    <n v="-420"/>
  </r>
  <r>
    <x v="2"/>
    <x v="1"/>
    <x v="0"/>
    <s v="2478200"/>
    <n v="450040"/>
    <s v="Contr Allow--Phys Svcs--Other"/>
    <s v="Primary Care-Forks Family Med"/>
    <x v="0"/>
    <n v="1700"/>
    <n v="1530.85"/>
    <n v="377.03"/>
    <n v="191.36"/>
    <n v="98.56"/>
    <n v="-248.43"/>
    <n v="0"/>
    <n v="165.88"/>
    <n v="0"/>
    <n v="0"/>
    <n v="0"/>
    <n v="0"/>
    <n v="0"/>
    <n v="2115.2499999999995"/>
    <n v="0"/>
  </r>
  <r>
    <x v="3"/>
    <x v="1"/>
    <x v="0"/>
    <s v="2478200"/>
    <n v="470040"/>
    <s v="Charity Care-Physician Svcs"/>
    <s v="Primary Care-Forks Family Med"/>
    <x v="0"/>
    <m/>
    <n v="-534.70000000000005"/>
    <n v="-341.18"/>
    <n v="87.89"/>
    <n v="-107.95"/>
    <n v="-23.49"/>
    <n v="-32.68"/>
    <n v="305.8"/>
    <n v="350.56"/>
    <n v="3.05"/>
    <n v="-25.63"/>
    <n v="7.83"/>
    <n v="1117.1099999999999"/>
    <n v="806.60999999999967"/>
    <n v="-1109.28"/>
  </r>
  <r>
    <x v="4"/>
    <x v="1"/>
    <x v="0"/>
    <s v="2478200"/>
    <n v="490010"/>
    <s v="Provision for Bad Debts"/>
    <s v="Primary Care-Forks Family Med"/>
    <x v="0"/>
    <m/>
    <n v="-2393.66"/>
    <n v="-1325.55"/>
    <n v="1624.58"/>
    <n v="-923.65"/>
    <n v="644.86"/>
    <n v="-103.17"/>
    <n v="264.14999999999998"/>
    <n v="-796.38"/>
    <n v="185.59"/>
    <n v="-153.68"/>
    <n v="-47.2"/>
    <n v="-364.09"/>
    <n v="-3388.2"/>
    <n v="316.89"/>
  </r>
  <r>
    <x v="14"/>
    <x v="1"/>
    <x v="0"/>
    <s v="2478200"/>
    <n v="600060"/>
    <s v="Gain/Loss--Sale of Fixed Assets"/>
    <s v="Primary Care-Forks Family Med"/>
    <x v="0"/>
    <m/>
    <n v="0"/>
    <n v="0"/>
    <n v="0"/>
    <n v="0"/>
    <n v="0"/>
    <n v="0"/>
    <n v="6614.29"/>
    <n v="0"/>
    <n v="0"/>
    <n v="0"/>
    <n v="0"/>
    <n v="0"/>
    <n v="6614.29"/>
    <n v="0"/>
  </r>
  <r>
    <x v="5"/>
    <x v="1"/>
    <x v="0"/>
    <s v="2478200"/>
    <n v="700022"/>
    <s v="Salaries-Physician-Productive"/>
    <s v="Primary Care-Forks Family Med"/>
    <x v="0"/>
    <m/>
    <n v="12097.2"/>
    <n v="2134.8000000000002"/>
    <n v="0"/>
    <n v="0"/>
    <n v="0"/>
    <n v="0"/>
    <n v="0"/>
    <n v="0"/>
    <n v="0"/>
    <n v="0"/>
    <n v="0"/>
    <n v="0"/>
    <n v="14232"/>
    <n v="0"/>
  </r>
  <r>
    <x v="5"/>
    <x v="1"/>
    <x v="0"/>
    <s v="2478200"/>
    <n v="700032"/>
    <s v="Salaries-Other Pat Care Providers-Productive"/>
    <s v="Primary Care-Forks Family Med"/>
    <x v="0"/>
    <m/>
    <n v="3491.95"/>
    <n v="4009.07"/>
    <n v="2128.7800000000002"/>
    <n v="494.82"/>
    <n v="0"/>
    <n v="0"/>
    <n v="0"/>
    <n v="0"/>
    <n v="0"/>
    <n v="0"/>
    <n v="0"/>
    <n v="0"/>
    <n v="10124.620000000001"/>
    <n v="0"/>
  </r>
  <r>
    <x v="5"/>
    <x v="1"/>
    <x v="0"/>
    <s v="2478200"/>
    <n v="700032"/>
    <s v="Salaries-Other Pat Care Providers-OT"/>
    <s v="Primary Care-Forks Family Med"/>
    <x v="0"/>
    <n v="1000"/>
    <n v="24.47"/>
    <n v="61.18"/>
    <n v="-4.08"/>
    <n v="24.47"/>
    <n v="0"/>
    <n v="0"/>
    <n v="0"/>
    <n v="0"/>
    <n v="0"/>
    <n v="0"/>
    <n v="0"/>
    <n v="0"/>
    <n v="106.04"/>
    <n v="0"/>
  </r>
  <r>
    <x v="5"/>
    <x v="1"/>
    <x v="0"/>
    <s v="2478200"/>
    <n v="700054"/>
    <s v="Salaries-Management-NonProd-Other"/>
    <s v="Primary Care-Forks Family Med"/>
    <x v="0"/>
    <n v="2000"/>
    <n v="0"/>
    <n v="0"/>
    <n v="0"/>
    <n v="0"/>
    <n v="0"/>
    <n v="1170.1400000000001"/>
    <n v="-1170.1400000000001"/>
    <n v="0"/>
    <n v="0"/>
    <n v="0"/>
    <n v="0"/>
    <n v="0"/>
    <n v="0"/>
    <n v="0"/>
  </r>
  <r>
    <x v="5"/>
    <x v="1"/>
    <x v="0"/>
    <s v="2478200"/>
    <n v="700062"/>
    <s v="Salaries-Physician-Non-productive"/>
    <s v="Primary Care-Forks Family Med"/>
    <x v="0"/>
    <m/>
    <n v="3558"/>
    <n v="14232"/>
    <n v="0"/>
    <n v="0"/>
    <n v="0"/>
    <n v="0"/>
    <n v="0"/>
    <n v="0"/>
    <n v="0"/>
    <n v="0"/>
    <n v="0"/>
    <n v="0"/>
    <n v="17790"/>
    <n v="0"/>
  </r>
  <r>
    <x v="5"/>
    <x v="1"/>
    <x v="0"/>
    <s v="2478200"/>
    <n v="700062"/>
    <s v="Salaries-Physician-NonProd-Other"/>
    <s v="Primary Care-Forks Family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478200"/>
    <n v="700072"/>
    <s v="Salaries-Other Pat Care Providers-Non-productive"/>
    <s v="Primary Care-Forks Family Med"/>
    <x v="0"/>
    <m/>
    <n v="217.5"/>
    <n v="0"/>
    <n v="1087.5"/>
    <n v="0"/>
    <n v="0"/>
    <n v="0"/>
    <n v="0"/>
    <n v="0"/>
    <n v="0"/>
    <n v="0"/>
    <n v="0"/>
    <n v="0"/>
    <n v="1305"/>
    <n v="0"/>
  </r>
  <r>
    <x v="5"/>
    <x v="1"/>
    <x v="0"/>
    <s v="2478200"/>
    <n v="700084"/>
    <s v="Accrued PTO"/>
    <s v="Primary Care-Forks Family Med"/>
    <x v="0"/>
    <m/>
    <n v="216.99"/>
    <n v="391.93"/>
    <n v="-723.18"/>
    <n v="99.19"/>
    <n v="0"/>
    <n v="48.93"/>
    <n v="0"/>
    <n v="0"/>
    <n v="0"/>
    <n v="0"/>
    <n v="0"/>
    <n v="0"/>
    <n v="33.86000000000012"/>
    <n v="0"/>
  </r>
  <r>
    <x v="6"/>
    <x v="1"/>
    <x v="0"/>
    <s v="2478200"/>
    <n v="713010"/>
    <s v="Benefits-FICA/Medicare"/>
    <s v="Primary Care-Forks Family Med"/>
    <x v="0"/>
    <m/>
    <n v="1450.49"/>
    <n v="1529.18"/>
    <n v="1454.67"/>
    <n v="251.24"/>
    <n v="0"/>
    <n v="89.51"/>
    <n v="158.36000000000001"/>
    <n v="0"/>
    <n v="0"/>
    <n v="0"/>
    <n v="0"/>
    <n v="0"/>
    <n v="4933.45"/>
    <n v="0"/>
  </r>
  <r>
    <x v="6"/>
    <x v="1"/>
    <x v="0"/>
    <s v="2478200"/>
    <n v="713090"/>
    <s v="Benefits-Allocated Amounts"/>
    <s v="Primary Care-Forks Family Med"/>
    <x v="0"/>
    <m/>
    <n v="0"/>
    <n v="0"/>
    <n v="0"/>
    <n v="0"/>
    <n v="0"/>
    <n v="0"/>
    <n v="0"/>
    <n v="0"/>
    <n v="4062"/>
    <n v="-44.74"/>
    <n v="55.55"/>
    <n v="-20.02"/>
    <n v="4052.7900000000004"/>
    <n v="75.569999999999993"/>
  </r>
  <r>
    <x v="6"/>
    <x v="1"/>
    <x v="0"/>
    <s v="2478200"/>
    <n v="713092"/>
    <s v="Allocated Benefits-Physician"/>
    <s v="Primary Care-Forks Family Med"/>
    <x v="0"/>
    <m/>
    <n v="2523.36"/>
    <n v="2316.5"/>
    <n v="1203.24"/>
    <n v="348.79"/>
    <n v="6.4"/>
    <n v="-307.92"/>
    <n v="158.34"/>
    <n v="231.24"/>
    <n v="-3714.34"/>
    <n v="-30.46"/>
    <n v="37.82"/>
    <n v="-13.63"/>
    <n v="2759.3399999999997"/>
    <n v="51.45"/>
  </r>
  <r>
    <x v="6"/>
    <x v="1"/>
    <x v="0"/>
    <s v="2478200"/>
    <n v="713093"/>
    <s v="Allocated Benefits-Advanced Practice Clinician"/>
    <s v="Primary Care-Forks Family Med"/>
    <x v="0"/>
    <m/>
    <n v="112.15"/>
    <n v="102.95"/>
    <n v="53.48"/>
    <n v="15.5"/>
    <n v="0.28999999999999998"/>
    <n v="-13.69"/>
    <n v="7.04"/>
    <n v="10.28"/>
    <n v="-288"/>
    <n v="0"/>
    <n v="0"/>
    <n v="0"/>
    <n v="5.6843418860808015E-14"/>
    <n v="0"/>
  </r>
  <r>
    <x v="7"/>
    <x v="1"/>
    <x v="0"/>
    <s v="2478200"/>
    <n v="718050"/>
    <s v="Miscellaneous Purchased Svcs"/>
    <s v="Primary Care-Forks Family Med"/>
    <x v="0"/>
    <n v="1020"/>
    <n v="0"/>
    <n v="108"/>
    <n v="2639.54"/>
    <n v="0"/>
    <n v="0"/>
    <n v="0"/>
    <n v="0"/>
    <n v="0"/>
    <n v="273.07"/>
    <n v="0"/>
    <n v="0"/>
    <n v="0"/>
    <n v="3020.61"/>
    <n v="0"/>
  </r>
  <r>
    <x v="11"/>
    <x v="1"/>
    <x v="0"/>
    <s v="2478200"/>
    <n v="721410"/>
    <s v="Supplies-Medical - Nonbillable"/>
    <s v="Primary Care-Forks Family Med"/>
    <x v="0"/>
    <m/>
    <n v="61.73"/>
    <n v="36.03"/>
    <n v="143.84"/>
    <n v="0"/>
    <n v="0"/>
    <n v="0"/>
    <n v="0"/>
    <n v="0"/>
    <n v="0"/>
    <n v="0"/>
    <n v="0"/>
    <n v="0"/>
    <n v="241.6"/>
    <n v="0"/>
  </r>
  <r>
    <x v="11"/>
    <x v="1"/>
    <x v="0"/>
    <s v="2478200"/>
    <n v="721830"/>
    <s v="Supplies-Office"/>
    <s v="Primary Care-Forks Family Med"/>
    <x v="0"/>
    <m/>
    <n v="0"/>
    <n v="0"/>
    <n v="0"/>
    <n v="10.87"/>
    <n v="0"/>
    <n v="0"/>
    <n v="0"/>
    <n v="0"/>
    <n v="0"/>
    <n v="0"/>
    <n v="0"/>
    <n v="0"/>
    <n v="10.87"/>
    <n v="0"/>
  </r>
  <r>
    <x v="11"/>
    <x v="1"/>
    <x v="0"/>
    <s v="2478200"/>
    <n v="722000"/>
    <s v="Supplies-Freight Expense"/>
    <s v="Primary Care-Forks Family Med"/>
    <x v="0"/>
    <m/>
    <n v="0"/>
    <n v="25.15"/>
    <n v="0"/>
    <n v="0"/>
    <n v="0"/>
    <n v="0"/>
    <n v="0"/>
    <n v="0"/>
    <n v="0"/>
    <n v="0"/>
    <n v="0"/>
    <n v="0"/>
    <n v="25.15"/>
    <n v="0"/>
  </r>
  <r>
    <x v="15"/>
    <x v="1"/>
    <x v="0"/>
    <s v="2478200"/>
    <n v="731050"/>
    <s v="Refuse Disposal"/>
    <s v="Primary Care-Forks Family Med"/>
    <x v="0"/>
    <m/>
    <n v="20.72"/>
    <n v="10.36"/>
    <n v="0"/>
    <n v="20.72"/>
    <n v="0"/>
    <n v="0"/>
    <n v="0"/>
    <n v="0"/>
    <n v="0"/>
    <n v="0"/>
    <n v="0"/>
    <n v="0"/>
    <n v="51.8"/>
    <n v="0"/>
  </r>
  <r>
    <x v="13"/>
    <x v="1"/>
    <x v="0"/>
    <s v="2478200"/>
    <n v="735070"/>
    <s v="Depreciation-Movable Equipment"/>
    <s v="Primary Care-Forks Family Med"/>
    <x v="0"/>
    <m/>
    <n v="584.98"/>
    <n v="239.99"/>
    <n v="240"/>
    <n v="239.99"/>
    <n v="240.02"/>
    <n v="239.99"/>
    <n v="-1163.0899999999999"/>
    <n v="0"/>
    <n v="0"/>
    <n v="0"/>
    <n v="0"/>
    <n v="0"/>
    <n v="621.88000000000011"/>
    <n v="0"/>
  </r>
  <r>
    <x v="8"/>
    <x v="1"/>
    <x v="0"/>
    <s v="2478200"/>
    <n v="741012"/>
    <s v="Physician Liab Insurance-CHI Program"/>
    <s v="Primary Care-Forks Family Med"/>
    <x v="0"/>
    <m/>
    <n v="473.67"/>
    <n v="473.67"/>
    <n v="18.170000000000002"/>
    <n v="0"/>
    <n v="0"/>
    <n v="0"/>
    <n v="0"/>
    <n v="0"/>
    <n v="0"/>
    <n v="0"/>
    <n v="0"/>
    <n v="0"/>
    <n v="965.51"/>
    <n v="0"/>
  </r>
  <r>
    <x v="0"/>
    <x v="1"/>
    <x v="0"/>
    <s v="2478200"/>
    <n v="743022"/>
    <s v="Dues-Physician"/>
    <s v="Primary Care-Forks Family Med"/>
    <x v="0"/>
    <m/>
    <n v="200"/>
    <n v="0"/>
    <n v="0"/>
    <n v="0"/>
    <n v="0"/>
    <n v="0"/>
    <n v="0"/>
    <n v="0"/>
    <n v="0"/>
    <n v="0"/>
    <n v="0"/>
    <n v="0"/>
    <n v="200"/>
    <n v="0"/>
  </r>
  <r>
    <x v="0"/>
    <x v="1"/>
    <x v="0"/>
    <s v="2478200"/>
    <n v="749510"/>
    <s v="Miscellaneous Expenses"/>
    <s v="Primary Care-Forks Family Med"/>
    <x v="0"/>
    <m/>
    <n v="-434"/>
    <n v="0"/>
    <n v="467.06"/>
    <n v="-467.06"/>
    <n v="0"/>
    <n v="0"/>
    <n v="0"/>
    <n v="0"/>
    <n v="0"/>
    <n v="0"/>
    <n v="0"/>
    <n v="0"/>
    <n v="-434"/>
    <n v="0"/>
  </r>
  <r>
    <x v="0"/>
    <x v="1"/>
    <x v="0"/>
    <s v="2478200"/>
    <n v="749530"/>
    <s v="Travel"/>
    <s v="Primary Care-Forks Family Med"/>
    <x v="0"/>
    <m/>
    <n v="2023.76"/>
    <n v="0"/>
    <n v="0"/>
    <n v="0"/>
    <n v="0"/>
    <n v="0"/>
    <n v="0"/>
    <n v="0"/>
    <n v="0"/>
    <n v="0"/>
    <n v="0"/>
    <n v="0"/>
    <n v="2023.76"/>
    <n v="0"/>
  </r>
  <r>
    <x v="0"/>
    <x v="1"/>
    <x v="0"/>
    <s v="2478200"/>
    <n v="749530"/>
    <s v="Mileage"/>
    <s v="Primary Care-Forks Family Med"/>
    <x v="0"/>
    <n v="1001"/>
    <n v="360.81"/>
    <n v="0"/>
    <n v="573.92999999999995"/>
    <n v="456.19"/>
    <n v="442.03"/>
    <n v="0"/>
    <n v="0"/>
    <n v="0"/>
    <n v="0"/>
    <n v="0"/>
    <n v="0"/>
    <n v="0"/>
    <n v="1832.96"/>
    <n v="0"/>
  </r>
  <r>
    <x v="0"/>
    <x v="1"/>
    <x v="0"/>
    <s v="2478200"/>
    <n v="766010"/>
    <s v="Property Tax"/>
    <s v="Primary Care-Forks Family Med"/>
    <x v="0"/>
    <m/>
    <n v="69.989999999999995"/>
    <n v="69.989999999999995"/>
    <n v="69.989999999999995"/>
    <n v="69.989999999999995"/>
    <n v="-209.97"/>
    <n v="0"/>
    <n v="0"/>
    <n v="0"/>
    <n v="0"/>
    <n v="672.84"/>
    <n v="0"/>
    <n v="0"/>
    <n v="742.83"/>
    <n v="0"/>
  </r>
  <r>
    <x v="0"/>
    <x v="2"/>
    <x v="0"/>
    <s v="2478207"/>
    <n v="749530"/>
    <s v="Travel"/>
    <s v="Primary Care-Forks Family Med"/>
    <x v="0"/>
    <m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479200"/>
    <n v="400029"/>
    <s v="MD Practice Other Rev--Managed Care"/>
    <s v="Primary Care-Skookum Fam Med"/>
    <x v="0"/>
    <n v="1400"/>
    <n v="0"/>
    <n v="0"/>
    <n v="0"/>
    <n v="0"/>
    <n v="0"/>
    <n v="-24"/>
    <n v="0"/>
    <n v="0"/>
    <n v="0"/>
    <n v="-10"/>
    <n v="-20"/>
    <n v="-10"/>
    <n v="-64"/>
    <n v="-10"/>
  </r>
  <r>
    <x v="1"/>
    <x v="1"/>
    <x v="0"/>
    <s v="2479200"/>
    <n v="400040"/>
    <s v="Physician Svcs Rev--Medicaid"/>
    <s v="Primary Care-Skookum Fam Med"/>
    <x v="0"/>
    <n v="1200"/>
    <n v="-307"/>
    <n v="0"/>
    <n v="0"/>
    <n v="0"/>
    <n v="0"/>
    <n v="0"/>
    <n v="0"/>
    <n v="0"/>
    <n v="0"/>
    <n v="0"/>
    <n v="0"/>
    <n v="0"/>
    <n v="-307"/>
    <n v="0"/>
  </r>
  <r>
    <x v="1"/>
    <x v="1"/>
    <x v="0"/>
    <s v="2479200"/>
    <n v="400040"/>
    <s v="Physician Svcs Rev--Comm Insurance"/>
    <s v="Primary Care-Skookum Fam Med"/>
    <x v="0"/>
    <n v="1300"/>
    <n v="0"/>
    <n v="0"/>
    <n v="0"/>
    <n v="0"/>
    <n v="-295"/>
    <n v="0"/>
    <n v="0"/>
    <n v="-295"/>
    <n v="0"/>
    <n v="0"/>
    <n v="0"/>
    <n v="0"/>
    <n v="-590"/>
    <n v="0"/>
  </r>
  <r>
    <x v="1"/>
    <x v="1"/>
    <x v="0"/>
    <s v="2479200"/>
    <n v="400040"/>
    <s v="Physician Svcs Rev--Managed Care"/>
    <s v="Primary Care-Skookum Fam Med"/>
    <x v="0"/>
    <n v="1400"/>
    <n v="-8250"/>
    <n v="-9051"/>
    <n v="-4955"/>
    <n v="-7322"/>
    <n v="-6467"/>
    <n v="-3715"/>
    <n v="-6438"/>
    <n v="-3687"/>
    <n v="-3401"/>
    <n v="-6387"/>
    <n v="-5399"/>
    <n v="-3723"/>
    <n v="-68795"/>
    <n v="-1676"/>
  </r>
  <r>
    <x v="1"/>
    <x v="1"/>
    <x v="0"/>
    <s v="2479200"/>
    <n v="400040"/>
    <s v="Physician Svcs Rev--Self Pay"/>
    <s v="Primary Care-Skookum Fam Med"/>
    <x v="0"/>
    <n v="1500"/>
    <n v="0"/>
    <n v="0"/>
    <n v="0"/>
    <n v="0"/>
    <n v="0"/>
    <n v="0"/>
    <n v="-215"/>
    <n v="0"/>
    <n v="215"/>
    <n v="0"/>
    <n v="0"/>
    <n v="0"/>
    <n v="0"/>
    <n v="0"/>
  </r>
  <r>
    <x v="1"/>
    <x v="1"/>
    <x v="0"/>
    <s v="2479200"/>
    <n v="400040"/>
    <s v="Physician Svcs Rev--Other"/>
    <s v="Primary Care-Skookum Fam Med"/>
    <x v="0"/>
    <n v="1700"/>
    <n v="-294"/>
    <n v="0"/>
    <n v="-508"/>
    <n v="0"/>
    <n v="0"/>
    <n v="-295"/>
    <n v="-476"/>
    <n v="476"/>
    <n v="0"/>
    <n v="-542"/>
    <n v="0"/>
    <n v="0"/>
    <n v="-1639"/>
    <n v="0"/>
  </r>
  <r>
    <x v="2"/>
    <x v="1"/>
    <x v="0"/>
    <s v="2479200"/>
    <n v="450029"/>
    <s v="Contr Allow--MD Other-Managed Care"/>
    <s v="Primary Care-Skookum Fam Med"/>
    <x v="0"/>
    <n v="1400"/>
    <n v="0"/>
    <n v="0"/>
    <n v="0"/>
    <n v="0"/>
    <n v="0"/>
    <n v="0"/>
    <n v="16.16"/>
    <n v="0"/>
    <n v="0"/>
    <n v="0"/>
    <n v="6.73"/>
    <n v="13.46"/>
    <n v="36.35"/>
    <n v="-6.73"/>
  </r>
  <r>
    <x v="2"/>
    <x v="1"/>
    <x v="0"/>
    <s v="2479200"/>
    <n v="450040"/>
    <s v="Contr Allow--Phys Svcs--Mcaid"/>
    <s v="Primary Care-Skookum Fam Med"/>
    <x v="0"/>
    <n v="1200"/>
    <n v="231.15"/>
    <n v="0"/>
    <n v="0"/>
    <n v="0"/>
    <n v="0"/>
    <n v="0"/>
    <n v="0"/>
    <n v="0"/>
    <n v="0"/>
    <n v="0"/>
    <n v="0"/>
    <n v="0"/>
    <n v="231.15"/>
    <n v="0"/>
  </r>
  <r>
    <x v="2"/>
    <x v="1"/>
    <x v="0"/>
    <s v="2479200"/>
    <n v="450040"/>
    <s v="Contr Allow--Phys Svcs--BCBS Comm Ins"/>
    <s v="Primary Care-Skookum Fam Med"/>
    <x v="0"/>
    <n v="1301"/>
    <n v="0"/>
    <n v="74.73"/>
    <n v="0"/>
    <n v="0"/>
    <n v="0"/>
    <n v="0"/>
    <n v="0"/>
    <n v="0"/>
    <n v="0"/>
    <n v="0"/>
    <n v="0"/>
    <n v="0"/>
    <n v="74.73"/>
    <n v="0"/>
  </r>
  <r>
    <x v="2"/>
    <x v="1"/>
    <x v="0"/>
    <s v="2479200"/>
    <n v="450040"/>
    <s v="Contr Allow--Phys Svcs--Managed Care"/>
    <s v="Primary Care-Skookum Fam Med"/>
    <x v="0"/>
    <n v="1400"/>
    <n v="6775.9"/>
    <n v="3858.55"/>
    <n v="2432.89"/>
    <n v="2227.86"/>
    <n v="316.08"/>
    <n v="-907.97"/>
    <n v="7115.29"/>
    <n v="1500.53"/>
    <n v="93.7"/>
    <n v="440.03"/>
    <n v="5250.66"/>
    <n v="1319"/>
    <n v="30422.52"/>
    <n v="3931.66"/>
  </r>
  <r>
    <x v="2"/>
    <x v="1"/>
    <x v="0"/>
    <s v="2479200"/>
    <n v="450040"/>
    <s v="Contr Allow--Phys Svcs--BCBS Mgnd Care"/>
    <s v="Primary Care-Skookum Fam Med"/>
    <x v="0"/>
    <n v="1401"/>
    <n v="-4637.58"/>
    <n v="-1702.32"/>
    <n v="-725.59"/>
    <n v="-65.7"/>
    <n v="2670.36"/>
    <n v="2921.5"/>
    <n v="-5834"/>
    <n v="-238.82"/>
    <n v="1528.76"/>
    <n v="3177.62"/>
    <n v="-5919.67"/>
    <n v="-520.16999999999996"/>
    <n v="-9345.6099999999988"/>
    <n v="-5399.5"/>
  </r>
  <r>
    <x v="2"/>
    <x v="1"/>
    <x v="0"/>
    <s v="2479200"/>
    <n v="450040"/>
    <s v="Admin Adjust-Phys Svcs-Self Pay"/>
    <s v="Primary Care-Skookum Fam Med"/>
    <x v="0"/>
    <n v="1600"/>
    <n v="0"/>
    <n v="0.06"/>
    <n v="0"/>
    <n v="-0.14000000000000001"/>
    <n v="-4.41"/>
    <n v="-0.06"/>
    <n v="79.55"/>
    <n v="0"/>
    <n v="-79.55"/>
    <n v="0"/>
    <n v="0"/>
    <n v="0"/>
    <n v="-4.5499999999999972"/>
    <n v="0"/>
  </r>
  <r>
    <x v="2"/>
    <x v="1"/>
    <x v="0"/>
    <s v="2479200"/>
    <n v="450040"/>
    <s v="Contr Allow--Phys Svcs--Other"/>
    <s v="Primary Care-Skookum Fam Med"/>
    <x v="0"/>
    <n v="1700"/>
    <n v="0"/>
    <n v="188.83"/>
    <n v="0"/>
    <n v="142.78"/>
    <n v="0"/>
    <n v="0"/>
    <n v="93.66"/>
    <n v="0"/>
    <n v="0"/>
    <n v="0"/>
    <n v="63.4"/>
    <n v="99.57"/>
    <n v="588.24"/>
    <n v="-36.169999999999995"/>
  </r>
  <r>
    <x v="3"/>
    <x v="1"/>
    <x v="0"/>
    <s v="2479200"/>
    <n v="470040"/>
    <s v="Charity Care-Physician Svcs"/>
    <s v="Primary Care-Skookum Fam Med"/>
    <x v="0"/>
    <m/>
    <n v="-172.54"/>
    <n v="-14.96"/>
    <n v="-40.76"/>
    <n v="-3.96"/>
    <n v="102.05"/>
    <n v="64.2"/>
    <n v="444.84"/>
    <n v="38.92"/>
    <n v="69.61"/>
    <n v="89.72"/>
    <n v="-196.13"/>
    <n v="-0.38"/>
    <n v="380.61"/>
    <n v="-195.75"/>
  </r>
  <r>
    <x v="4"/>
    <x v="1"/>
    <x v="0"/>
    <s v="2479200"/>
    <n v="490010"/>
    <s v="Provision for Bad Debts"/>
    <s v="Primary Care-Skookum Fam Med"/>
    <x v="0"/>
    <m/>
    <n v="-625.33000000000004"/>
    <n v="-255.38"/>
    <n v="-129.83000000000001"/>
    <n v="-60.99"/>
    <n v="471.56"/>
    <n v="284.02"/>
    <n v="-767.88"/>
    <n v="233.99"/>
    <n v="190.01"/>
    <n v="332.78"/>
    <n v="-612.11"/>
    <n v="-40.83"/>
    <n v="-979.99"/>
    <n v="-571.28"/>
  </r>
  <r>
    <x v="11"/>
    <x v="1"/>
    <x v="0"/>
    <s v="2479200"/>
    <n v="721250"/>
    <s v="Supplies-Pharmacy Drugs - Billable"/>
    <s v="Primary Care-Skookum Fam Med"/>
    <x v="0"/>
    <m/>
    <n v="0"/>
    <n v="45.51"/>
    <n v="56.16"/>
    <n v="703.31"/>
    <n v="151.30000000000001"/>
    <n v="5376.01"/>
    <n v="0"/>
    <n v="27.18"/>
    <n v="0"/>
    <n v="108.72"/>
    <n v="0"/>
    <n v="100.32"/>
    <n v="6568.51"/>
    <n v="-100.32"/>
  </r>
  <r>
    <x v="0"/>
    <x v="1"/>
    <x v="0"/>
    <s v="2479200"/>
    <n v="749510"/>
    <s v="Licenses"/>
    <s v="Primary Care-Skookum Fam Med"/>
    <x v="0"/>
    <n v="1002"/>
    <n v="0"/>
    <n v="0"/>
    <n v="0"/>
    <n v="0"/>
    <n v="0"/>
    <n v="75"/>
    <n v="0"/>
    <n v="0"/>
    <n v="0"/>
    <n v="0"/>
    <n v="0"/>
    <n v="0"/>
    <n v="75"/>
    <n v="0"/>
  </r>
  <r>
    <x v="1"/>
    <x v="1"/>
    <x v="0"/>
    <s v="2500200"/>
    <n v="400029"/>
    <s v="MD Practice Other Rev--Medicare"/>
    <s v="Port Clinic-Occ Med"/>
    <x v="0"/>
    <n v="1100"/>
    <n v="0"/>
    <n v="0"/>
    <n v="0"/>
    <n v="-61"/>
    <n v="0"/>
    <n v="0"/>
    <n v="0"/>
    <n v="0"/>
    <n v="0"/>
    <n v="0"/>
    <n v="0"/>
    <n v="0"/>
    <n v="-61"/>
    <n v="0"/>
  </r>
  <r>
    <x v="1"/>
    <x v="1"/>
    <x v="0"/>
    <s v="2500200"/>
    <n v="400029"/>
    <s v="MD Practice Other Rev--Medicaid"/>
    <s v="Port Clinic-Occ Med"/>
    <x v="0"/>
    <n v="1200"/>
    <n v="0"/>
    <n v="-68"/>
    <n v="0"/>
    <n v="0"/>
    <n v="0"/>
    <n v="0"/>
    <n v="0"/>
    <n v="0"/>
    <n v="0"/>
    <n v="0"/>
    <n v="0"/>
    <n v="0"/>
    <n v="-68"/>
    <n v="0"/>
  </r>
  <r>
    <x v="1"/>
    <x v="1"/>
    <x v="0"/>
    <s v="2500200"/>
    <n v="400029"/>
    <s v="MD Practice Other Rev--Comm Insurance"/>
    <s v="Port Clinic-Occ Med"/>
    <x v="0"/>
    <n v="1300"/>
    <n v="0"/>
    <n v="0"/>
    <n v="0"/>
    <n v="55"/>
    <n v="0"/>
    <n v="0"/>
    <n v="0"/>
    <n v="0"/>
    <n v="0"/>
    <n v="0"/>
    <n v="0"/>
    <n v="0"/>
    <n v="55"/>
    <n v="0"/>
  </r>
  <r>
    <x v="1"/>
    <x v="1"/>
    <x v="0"/>
    <s v="2500200"/>
    <n v="400029"/>
    <s v="MD Practice Other Rev--BCBS Comm"/>
    <s v="Port Clinic-Occ Med"/>
    <x v="0"/>
    <n v="1301"/>
    <n v="-189"/>
    <n v="65"/>
    <n v="-82"/>
    <n v="0"/>
    <n v="0"/>
    <n v="0"/>
    <n v="0"/>
    <n v="0"/>
    <n v="0"/>
    <n v="0"/>
    <n v="0"/>
    <n v="82"/>
    <n v="-124"/>
    <n v="-82"/>
  </r>
  <r>
    <x v="1"/>
    <x v="1"/>
    <x v="0"/>
    <s v="2500200"/>
    <n v="400029"/>
    <s v="MD Practice Other Rev--Managed Care"/>
    <s v="Port Clinic-Occ Med"/>
    <x v="0"/>
    <n v="1400"/>
    <n v="-149"/>
    <n v="0"/>
    <n v="95"/>
    <n v="-271"/>
    <n v="0"/>
    <n v="0"/>
    <n v="0"/>
    <n v="0"/>
    <n v="0"/>
    <n v="0"/>
    <n v="0"/>
    <n v="0"/>
    <n v="-325"/>
    <n v="0"/>
  </r>
  <r>
    <x v="1"/>
    <x v="1"/>
    <x v="0"/>
    <s v="2500200"/>
    <n v="400029"/>
    <s v="MD Practice Other Rev--Self Pay"/>
    <s v="Port Clinic-Occ Med"/>
    <x v="0"/>
    <n v="1500"/>
    <n v="0"/>
    <n v="-588"/>
    <n v="-30"/>
    <n v="-3431"/>
    <n v="-60"/>
    <n v="0"/>
    <n v="-965"/>
    <n v="-1080"/>
    <n v="-4006"/>
    <n v="-4100"/>
    <n v="-646"/>
    <n v="-1148"/>
    <n v="-16054"/>
    <n v="502"/>
  </r>
  <r>
    <x v="1"/>
    <x v="1"/>
    <x v="0"/>
    <s v="2500200"/>
    <n v="400029"/>
    <s v="MD Practice Other Rev--Other"/>
    <s v="Port Clinic-Occ Med"/>
    <x v="0"/>
    <n v="1700"/>
    <n v="-1015"/>
    <n v="-1042"/>
    <n v="-507"/>
    <n v="-2062"/>
    <n v="-1664"/>
    <n v="-1080"/>
    <n v="-1546"/>
    <n v="-1748"/>
    <n v="-2775"/>
    <n v="-1677"/>
    <n v="-1760"/>
    <n v="-2162"/>
    <n v="-19038"/>
    <n v="402"/>
  </r>
  <r>
    <x v="1"/>
    <x v="1"/>
    <x v="0"/>
    <s v="2500200"/>
    <n v="400040"/>
    <s v="Physician Svcs Rev--Medicare"/>
    <s v="Port Clinic-Occ Med"/>
    <x v="0"/>
    <n v="1100"/>
    <n v="0"/>
    <n v="0"/>
    <n v="0"/>
    <n v="-450"/>
    <n v="-1657"/>
    <n v="0"/>
    <n v="0"/>
    <n v="0"/>
    <n v="0"/>
    <n v="-61"/>
    <n v="0"/>
    <n v="0"/>
    <n v="-2168"/>
    <n v="0"/>
  </r>
  <r>
    <x v="1"/>
    <x v="1"/>
    <x v="0"/>
    <s v="2500200"/>
    <n v="400040"/>
    <s v="Physician Svcs Rev--Medicaid"/>
    <s v="Port Clinic-Occ Med"/>
    <x v="0"/>
    <n v="1200"/>
    <n v="1348.5"/>
    <n v="0"/>
    <n v="0"/>
    <n v="-448"/>
    <n v="38"/>
    <n v="0"/>
    <n v="0"/>
    <n v="0"/>
    <n v="0"/>
    <n v="-1104"/>
    <n v="0"/>
    <n v="0"/>
    <n v="-165.5"/>
    <n v="0"/>
  </r>
  <r>
    <x v="1"/>
    <x v="1"/>
    <x v="0"/>
    <s v="2500200"/>
    <n v="400040"/>
    <s v="Physician Svcs Rev--Comm Insurance"/>
    <s v="Port Clinic-Occ Med"/>
    <x v="0"/>
    <n v="1300"/>
    <n v="0"/>
    <n v="0"/>
    <n v="-200"/>
    <n v="0"/>
    <n v="0"/>
    <n v="-587"/>
    <n v="0"/>
    <n v="-392"/>
    <n v="0"/>
    <n v="392"/>
    <n v="200"/>
    <n v="0"/>
    <n v="-587"/>
    <n v="200"/>
  </r>
  <r>
    <x v="1"/>
    <x v="1"/>
    <x v="0"/>
    <s v="2500200"/>
    <n v="400040"/>
    <s v="Physician Svcs Rev--BCBS Comm"/>
    <s v="Port Clinic-Occ Med"/>
    <x v="0"/>
    <n v="1301"/>
    <n v="-159"/>
    <n v="0"/>
    <n v="-2263"/>
    <n v="-334"/>
    <n v="0"/>
    <n v="-940"/>
    <n v="0"/>
    <n v="-713"/>
    <n v="551"/>
    <n v="29"/>
    <n v="495"/>
    <n v="648"/>
    <n v="-2686"/>
    <n v="-153"/>
  </r>
  <r>
    <x v="1"/>
    <x v="1"/>
    <x v="0"/>
    <s v="2500200"/>
    <n v="400040"/>
    <s v="Physician Svcs Rev--Managed Care"/>
    <s v="Port Clinic-Occ Med"/>
    <x v="0"/>
    <n v="1400"/>
    <n v="-539"/>
    <n v="-2118"/>
    <n v="-122"/>
    <n v="-5190"/>
    <n v="-489"/>
    <n v="-261"/>
    <n v="-672"/>
    <n v="261"/>
    <n v="-948"/>
    <n v="-1341"/>
    <n v="-371"/>
    <n v="-685"/>
    <n v="-12475"/>
    <n v="314"/>
  </r>
  <r>
    <x v="1"/>
    <x v="1"/>
    <x v="0"/>
    <s v="2500200"/>
    <n v="400040"/>
    <s v="Physician Svcs Rev--Self Pay"/>
    <s v="Port Clinic-Occ Med"/>
    <x v="0"/>
    <n v="1500"/>
    <n v="-70799.48"/>
    <n v="-81220.88"/>
    <n v="-71606.13"/>
    <n v="-45771.49"/>
    <n v="-108455.18"/>
    <n v="-78223.25"/>
    <n v="-88616.29"/>
    <n v="-74369.5"/>
    <n v="-96776.38"/>
    <n v="-99717.2"/>
    <n v="-67578.66"/>
    <n v="-71869.36"/>
    <n v="-955003.79999999993"/>
    <n v="4290.6999999999971"/>
  </r>
  <r>
    <x v="1"/>
    <x v="1"/>
    <x v="0"/>
    <s v="2500200"/>
    <n v="400040"/>
    <s v="Physician Svcs Rev--Other"/>
    <s v="Port Clinic-Occ Med"/>
    <x v="0"/>
    <n v="1700"/>
    <n v="-143989"/>
    <n v="-160405"/>
    <n v="-150216"/>
    <n v="-195451"/>
    <n v="-178851"/>
    <n v="-180539.5"/>
    <n v="-183154"/>
    <n v="-179619"/>
    <n v="-210127.8"/>
    <n v="-213679.2"/>
    <n v="-231844"/>
    <n v="-240247"/>
    <n v="-2268122.5"/>
    <n v="8403"/>
  </r>
  <r>
    <x v="2"/>
    <x v="1"/>
    <x v="0"/>
    <s v="2500200"/>
    <n v="450029"/>
    <s v="Contr Allow--MD Other-Medicare"/>
    <s v="Port Clinic-Occ Med"/>
    <x v="0"/>
    <n v="1100"/>
    <n v="0"/>
    <n v="0"/>
    <n v="0"/>
    <n v="0"/>
    <n v="0"/>
    <n v="0"/>
    <n v="61"/>
    <n v="0"/>
    <n v="0"/>
    <n v="0"/>
    <n v="0"/>
    <n v="0"/>
    <n v="61"/>
    <n v="0"/>
  </r>
  <r>
    <x v="2"/>
    <x v="1"/>
    <x v="0"/>
    <s v="2500200"/>
    <n v="450029"/>
    <s v="Contr Allow--MD Other-Medicaid"/>
    <s v="Port Clinic-Occ Med"/>
    <x v="0"/>
    <n v="1200"/>
    <n v="0"/>
    <n v="0"/>
    <n v="51.76"/>
    <n v="0"/>
    <n v="0"/>
    <n v="45.5"/>
    <n v="0"/>
    <n v="0"/>
    <n v="0"/>
    <n v="0"/>
    <n v="0"/>
    <n v="0"/>
    <n v="97.259999999999991"/>
    <n v="0"/>
  </r>
  <r>
    <x v="2"/>
    <x v="1"/>
    <x v="0"/>
    <s v="2500200"/>
    <n v="450029"/>
    <s v="Contr Allow--MD Other-Comm Insurance"/>
    <s v="Port Clinic-Occ Med"/>
    <x v="0"/>
    <n v="1300"/>
    <n v="23.85"/>
    <n v="0"/>
    <n v="0"/>
    <n v="-23.85"/>
    <n v="0"/>
    <n v="0"/>
    <n v="0"/>
    <n v="0"/>
    <n v="0"/>
    <n v="0"/>
    <n v="0"/>
    <n v="0"/>
    <n v="0"/>
    <n v="0"/>
  </r>
  <r>
    <x v="2"/>
    <x v="1"/>
    <x v="0"/>
    <s v="2500200"/>
    <n v="450029"/>
    <s v="Contr Allow--MD Other BCBS Comm"/>
    <s v="Port Clinic-Occ Med"/>
    <x v="0"/>
    <n v="1301"/>
    <n v="0"/>
    <n v="38.49"/>
    <n v="0"/>
    <n v="0"/>
    <n v="0"/>
    <n v="82"/>
    <n v="0"/>
    <n v="0"/>
    <n v="0"/>
    <n v="0"/>
    <n v="0"/>
    <n v="-82"/>
    <n v="38.490000000000009"/>
    <n v="82"/>
  </r>
  <r>
    <x v="2"/>
    <x v="1"/>
    <x v="0"/>
    <s v="2500200"/>
    <n v="450029"/>
    <s v="Contr Allow--MD Other-Managed Care"/>
    <s v="Port Clinic-Occ Med"/>
    <x v="0"/>
    <n v="1400"/>
    <n v="18.440000000000001"/>
    <n v="0"/>
    <n v="0"/>
    <n v="0"/>
    <n v="24.68"/>
    <n v="0"/>
    <n v="0"/>
    <n v="0"/>
    <n v="0"/>
    <n v="0"/>
    <n v="0"/>
    <n v="0"/>
    <n v="43.120000000000005"/>
    <n v="0"/>
  </r>
  <r>
    <x v="2"/>
    <x v="1"/>
    <x v="0"/>
    <s v="2500200"/>
    <n v="450029"/>
    <s v="Admin Adjust-MD Other-Self Pay"/>
    <s v="Port Clinic-Occ Med"/>
    <x v="0"/>
    <n v="1600"/>
    <n v="0"/>
    <n v="29.7"/>
    <n v="10"/>
    <n v="0"/>
    <n v="0"/>
    <n v="0"/>
    <n v="0"/>
    <n v="0"/>
    <n v="0"/>
    <n v="0"/>
    <n v="0"/>
    <n v="0"/>
    <n v="39.700000000000003"/>
    <n v="0"/>
  </r>
  <r>
    <x v="2"/>
    <x v="1"/>
    <x v="0"/>
    <s v="2500200"/>
    <n v="450029"/>
    <s v="Contr Allow--MD Other-Other"/>
    <s v="Port Clinic-Occ Med"/>
    <x v="0"/>
    <n v="1700"/>
    <n v="304.61"/>
    <n v="479.72"/>
    <n v="421.18"/>
    <n v="249.89"/>
    <n v="464.07"/>
    <n v="539.71"/>
    <n v="299.26"/>
    <n v="414"/>
    <n v="893.13"/>
    <n v="685.16"/>
    <n v="704.39"/>
    <n v="455.64"/>
    <n v="5910.7600000000011"/>
    <n v="248.75"/>
  </r>
  <r>
    <x v="2"/>
    <x v="1"/>
    <x v="0"/>
    <s v="2500200"/>
    <n v="450040"/>
    <s v="Contr Allow--Phys Svcs--Mcaid"/>
    <s v="Port Clinic-Occ Med"/>
    <x v="0"/>
    <n v="1200"/>
    <n v="-572.5"/>
    <n v="0"/>
    <n v="76"/>
    <n v="594.75"/>
    <n v="0"/>
    <n v="227.06"/>
    <n v="0"/>
    <n v="92"/>
    <n v="0"/>
    <n v="349.27"/>
    <n v="0"/>
    <n v="0"/>
    <n v="766.57999999999993"/>
    <n v="0"/>
  </r>
  <r>
    <x v="2"/>
    <x v="1"/>
    <x v="0"/>
    <s v="2500200"/>
    <n v="450040"/>
    <s v="Contr Allow--Phys Svcs--Comm Insurance"/>
    <s v="Port Clinic-Occ Med"/>
    <x v="0"/>
    <n v="1300"/>
    <n v="0"/>
    <n v="0"/>
    <n v="63.04"/>
    <n v="0"/>
    <n v="0"/>
    <n v="0"/>
    <n v="0"/>
    <n v="0"/>
    <n v="0"/>
    <n v="587"/>
    <n v="-63.04"/>
    <n v="0"/>
    <n v="587"/>
    <n v="-63.04"/>
  </r>
  <r>
    <x v="2"/>
    <x v="1"/>
    <x v="0"/>
    <s v="2500200"/>
    <n v="450040"/>
    <s v="Contr Allow--Phys Svcs--BCBS Comm Ins"/>
    <s v="Port Clinic-Occ Med"/>
    <x v="0"/>
    <n v="1301"/>
    <n v="0"/>
    <n v="0"/>
    <n v="0"/>
    <n v="137.19999999999999"/>
    <n v="0"/>
    <n v="1074.03"/>
    <n v="0"/>
    <n v="0"/>
    <n v="132.27000000000001"/>
    <n v="171.4"/>
    <n v="0"/>
    <n v="-389"/>
    <n v="1125.9000000000001"/>
    <n v="389"/>
  </r>
  <r>
    <x v="2"/>
    <x v="1"/>
    <x v="0"/>
    <s v="2500200"/>
    <n v="450040"/>
    <s v="Contr Allow--Phys Svcs--Managed Care"/>
    <s v="Port Clinic-Occ Med"/>
    <x v="0"/>
    <n v="1400"/>
    <n v="402.3"/>
    <n v="503.26"/>
    <n v="159"/>
    <n v="791.88"/>
    <n v="449.81"/>
    <n v="129.55000000000001"/>
    <n v="580"/>
    <n v="92"/>
    <n v="0"/>
    <n v="-89.65"/>
    <n v="678.89"/>
    <n v="-66.31"/>
    <n v="3630.73"/>
    <n v="745.2"/>
  </r>
  <r>
    <x v="2"/>
    <x v="1"/>
    <x v="0"/>
    <s v="2500200"/>
    <n v="450040"/>
    <s v="Contr Allow--Phys Svcs--BCBS Mgnd Care"/>
    <s v="Port Clinic-Occ Med"/>
    <x v="0"/>
    <n v="1401"/>
    <n v="-65.599999999999994"/>
    <n v="-25110.02"/>
    <n v="8900.85"/>
    <n v="10082.81"/>
    <n v="8778.07"/>
    <n v="22980.67"/>
    <n v="-7681.81"/>
    <n v="11604.78"/>
    <n v="-5683.65"/>
    <n v="11093.48"/>
    <n v="13812.25"/>
    <n v="10063.98"/>
    <n v="58775.81"/>
    <n v="3748.2700000000004"/>
  </r>
  <r>
    <x v="2"/>
    <x v="1"/>
    <x v="0"/>
    <s v="2500200"/>
    <n v="450040"/>
    <s v="Prompt Pay Disc-Phys Svcs-Self Pay"/>
    <s v="Port Clinic-Occ Med"/>
    <x v="0"/>
    <n v="1500"/>
    <n v="-805.71"/>
    <n v="42686.8"/>
    <n v="-42036.98"/>
    <n v="1866"/>
    <n v="-137"/>
    <n v="102193.58"/>
    <n v="-37010.839999999997"/>
    <n v="-2878.97"/>
    <n v="-43302.63"/>
    <n v="-23497.91"/>
    <n v="30056.35"/>
    <n v="9550.41"/>
    <n v="36683.100000000006"/>
    <n v="20505.939999999999"/>
  </r>
  <r>
    <x v="2"/>
    <x v="1"/>
    <x v="0"/>
    <s v="2500200"/>
    <n v="450040"/>
    <s v="Admin Adjust-Phys Svcs-Self Pay"/>
    <s v="Port Clinic-Occ Med"/>
    <x v="0"/>
    <n v="1600"/>
    <n v="-524"/>
    <n v="-18.55"/>
    <n v="298.39"/>
    <n v="-1325.22"/>
    <n v="-506.52"/>
    <n v="-250.9"/>
    <n v="-45.71"/>
    <n v="1377"/>
    <n v="18"/>
    <n v="667.83"/>
    <n v="0"/>
    <n v="-394.61"/>
    <n v="-704.29000000000019"/>
    <n v="394.61"/>
  </r>
  <r>
    <x v="2"/>
    <x v="1"/>
    <x v="0"/>
    <s v="2500200"/>
    <n v="450040"/>
    <s v="Contr Allow--Phys Svcs--Other"/>
    <s v="Port Clinic-Occ Med"/>
    <x v="0"/>
    <n v="1700"/>
    <n v="43624.54"/>
    <n v="63726.16"/>
    <n v="44212.32"/>
    <n v="63360.19"/>
    <n v="48000.07"/>
    <n v="42340.23"/>
    <n v="71880.649999999994"/>
    <n v="58602.87"/>
    <n v="72001.320000000007"/>
    <n v="62242.32"/>
    <n v="67260.149999999994"/>
    <n v="70915.69"/>
    <n v="708166.51"/>
    <n v="-3655.5400000000081"/>
  </r>
  <r>
    <x v="3"/>
    <x v="1"/>
    <x v="0"/>
    <s v="2500200"/>
    <n v="470040"/>
    <s v="Charity Care-Physician Svcs"/>
    <s v="Port Clinic-Occ Med"/>
    <x v="0"/>
    <m/>
    <n v="-609.65"/>
    <n v="680.83"/>
    <n v="-298.43"/>
    <n v="266.26"/>
    <n v="1676.73"/>
    <n v="-207.29"/>
    <n v="-573.19000000000005"/>
    <n v="-276.89"/>
    <n v="1063.53"/>
    <n v="44.61"/>
    <n v="263.72000000000003"/>
    <n v="1981.29"/>
    <n v="4011.52"/>
    <n v="-1717.57"/>
  </r>
  <r>
    <x v="4"/>
    <x v="1"/>
    <x v="0"/>
    <s v="2500200"/>
    <n v="490010"/>
    <s v="Provision for Bad Debts"/>
    <s v="Port Clinic-Occ Med"/>
    <x v="0"/>
    <m/>
    <n v="1227.1500000000001"/>
    <n v="-3478"/>
    <n v="1737.81"/>
    <n v="-794.86"/>
    <n v="3187.13"/>
    <n v="484"/>
    <n v="-3417.07"/>
    <n v="-896.9"/>
    <n v="1206.72"/>
    <n v="5418.58"/>
    <n v="800.86"/>
    <n v="2587.34"/>
    <n v="8062.7599999999993"/>
    <n v="-1786.48"/>
  </r>
  <r>
    <x v="14"/>
    <x v="1"/>
    <x v="0"/>
    <s v="2500200"/>
    <n v="600050"/>
    <s v="Miscellaneous Revenue"/>
    <s v="Port Clinic-Occ Med"/>
    <x v="0"/>
    <m/>
    <n v="2375"/>
    <n v="2495"/>
    <n v="2005"/>
    <n v="2530"/>
    <n v="2800"/>
    <n v="1925"/>
    <n v="3075"/>
    <n v="2000"/>
    <n v="2400"/>
    <n v="925"/>
    <n v="880"/>
    <n v="300"/>
    <n v="23710"/>
    <n v="580"/>
  </r>
  <r>
    <x v="5"/>
    <x v="1"/>
    <x v="0"/>
    <s v="2500200"/>
    <n v="700018"/>
    <s v="Salaries-Supervisory-Productive"/>
    <s v="Port Clinic-Occ Med"/>
    <x v="0"/>
    <m/>
    <n v="5685.12"/>
    <n v="5820.48"/>
    <n v="4872.96"/>
    <n v="5659.2"/>
    <n v="6089.6"/>
    <n v="4954.72"/>
    <n v="6126.62"/>
    <n v="5544.12"/>
    <n v="5821.33"/>
    <n v="5544.12"/>
    <n v="6375.74"/>
    <n v="5266.92"/>
    <n v="67760.930000000008"/>
    <n v="1108.8199999999997"/>
  </r>
  <r>
    <x v="5"/>
    <x v="1"/>
    <x v="0"/>
    <s v="2500200"/>
    <n v="700022"/>
    <s v="Salaries-Physician-Productive"/>
    <s v="Port Clinic-Occ Med"/>
    <x v="0"/>
    <m/>
    <n v="54594.48"/>
    <n v="53065.43"/>
    <n v="46543.73"/>
    <n v="59284.84"/>
    <n v="42383.23"/>
    <n v="48254.7"/>
    <n v="46437.51"/>
    <n v="54861.53"/>
    <n v="57067.76"/>
    <n v="43576.82"/>
    <n v="58742.55"/>
    <n v="39196.81"/>
    <n v="604009.39000000013"/>
    <n v="19545.740000000005"/>
  </r>
  <r>
    <x v="5"/>
    <x v="1"/>
    <x v="0"/>
    <s v="2500200"/>
    <n v="700022"/>
    <s v="Salaries-Physician-Other"/>
    <s v="Port Clinic-Occ Med"/>
    <x v="0"/>
    <n v="2000"/>
    <n v="0"/>
    <n v="0"/>
    <n v="4615.3999999999996"/>
    <n v="4615.3999999999996"/>
    <n v="4615.3999999999996"/>
    <n v="6923.1"/>
    <n v="4623.51"/>
    <n v="4622.16"/>
    <n v="4622.5"/>
    <n v="4622.83"/>
    <n v="5124.71"/>
    <n v="10201.870000000001"/>
    <n v="54586.880000000005"/>
    <n v="-5077.1600000000008"/>
  </r>
  <r>
    <x v="5"/>
    <x v="1"/>
    <x v="0"/>
    <s v="2500200"/>
    <n v="700022"/>
    <s v="Salaries-Physician-Provider Incentive"/>
    <s v="Port Clinic-Occ Med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500200"/>
    <n v="700024"/>
    <s v="Salaries-Advanced Practice Clinician-Productive"/>
    <s v="Port Clinic-Occ Med"/>
    <x v="0"/>
    <m/>
    <n v="5538.45"/>
    <n v="10615.38"/>
    <n v="19153.830000000002"/>
    <n v="17423.060000000001"/>
    <n v="21230.75"/>
    <n v="16234.61"/>
    <n v="30461.09"/>
    <n v="22242.33"/>
    <n v="25323.62"/>
    <n v="28730.54"/>
    <n v="33899.65"/>
    <n v="20992.26"/>
    <n v="251845.57"/>
    <n v="12907.390000000003"/>
  </r>
  <r>
    <x v="5"/>
    <x v="1"/>
    <x v="0"/>
    <s v="2500200"/>
    <n v="700024"/>
    <s v="Salaries-Advanced Practice Clinician-Other"/>
    <s v="Port Clinic-Occ Med"/>
    <x v="0"/>
    <n v="2000"/>
    <n v="0"/>
    <n v="0"/>
    <n v="0"/>
    <n v="0"/>
    <n v="0"/>
    <n v="30"/>
    <n v="0"/>
    <n v="0"/>
    <n v="0"/>
    <n v="0"/>
    <n v="0"/>
    <n v="0"/>
    <n v="30"/>
    <n v="0"/>
  </r>
  <r>
    <x v="5"/>
    <x v="1"/>
    <x v="0"/>
    <s v="2500200"/>
    <n v="700024"/>
    <s v="Salaries-Advanced Practice Clinician-Provider Incentive"/>
    <s v="Port Clinic-Occ Med"/>
    <x v="0"/>
    <n v="4003"/>
    <n v="0"/>
    <n v="1000"/>
    <n v="0"/>
    <n v="0"/>
    <n v="0"/>
    <n v="0"/>
    <n v="0"/>
    <n v="0"/>
    <n v="0"/>
    <n v="0"/>
    <n v="0"/>
    <n v="0"/>
    <n v="1000"/>
    <n v="0"/>
  </r>
  <r>
    <x v="5"/>
    <x v="1"/>
    <x v="0"/>
    <s v="2500200"/>
    <n v="700026"/>
    <s v="Salaries-RN-Productive"/>
    <s v="Port Clinic-Occ Med"/>
    <x v="0"/>
    <m/>
    <n v="6175.8"/>
    <n v="4547.25"/>
    <n v="6043.62"/>
    <n v="7891.43"/>
    <n v="7579.56"/>
    <n v="4670.99"/>
    <n v="7621.29"/>
    <n v="6499.18"/>
    <n v="6881.4"/>
    <n v="7740.13"/>
    <n v="6515.43"/>
    <n v="5923.11"/>
    <n v="78089.190000000017"/>
    <n v="592.32000000000062"/>
  </r>
  <r>
    <x v="5"/>
    <x v="1"/>
    <x v="0"/>
    <s v="2500200"/>
    <n v="700026"/>
    <s v="Salaries-RN-OT"/>
    <s v="Port Clinic-Occ Med"/>
    <x v="0"/>
    <n v="1000"/>
    <n v="149.11000000000001"/>
    <n v="279.18"/>
    <n v="-7.92"/>
    <n v="251.62"/>
    <n v="45.42"/>
    <n v="22.7"/>
    <n v="126.71"/>
    <n v="19.48"/>
    <n v="-6.48"/>
    <n v="81.209999999999994"/>
    <n v="324.86"/>
    <n v="357.35"/>
    <n v="1643.2400000000002"/>
    <n v="-32.490000000000009"/>
  </r>
  <r>
    <x v="5"/>
    <x v="1"/>
    <x v="0"/>
    <s v="2500200"/>
    <n v="700030"/>
    <s v="Salaries-LPN-Productive"/>
    <s v="Port Clinic-Occ Med"/>
    <x v="0"/>
    <m/>
    <n v="9729.3799999999992"/>
    <n v="9920.43"/>
    <n v="8188.98"/>
    <n v="11117.98"/>
    <n v="9375.33"/>
    <n v="8404.1299999999992"/>
    <n v="10262.209999999999"/>
    <n v="7813.15"/>
    <n v="10002.290000000001"/>
    <n v="9539.2099999999991"/>
    <n v="10285.370000000001"/>
    <n v="4616.99"/>
    <n v="109255.45"/>
    <n v="5668.380000000001"/>
  </r>
  <r>
    <x v="5"/>
    <x v="1"/>
    <x v="0"/>
    <s v="2500200"/>
    <n v="700030"/>
    <s v="Salaries-LPN-OT"/>
    <s v="Port Clinic-Occ Med"/>
    <x v="0"/>
    <n v="1000"/>
    <n v="0"/>
    <n v="0"/>
    <n v="71.19"/>
    <n v="49.39"/>
    <n v="-17.920000000000002"/>
    <n v="47.06"/>
    <n v="112.18"/>
    <n v="-22.79"/>
    <n v="12.15"/>
    <n v="0"/>
    <n v="11.23"/>
    <n v="60.75"/>
    <n v="323.24"/>
    <n v="-49.519999999999996"/>
  </r>
  <r>
    <x v="5"/>
    <x v="1"/>
    <x v="0"/>
    <s v="2500200"/>
    <n v="700030"/>
    <s v="Salaries-LPN-Other"/>
    <s v="Port Clinic-Occ Med"/>
    <x v="0"/>
    <n v="2000"/>
    <n v="0"/>
    <n v="0"/>
    <n v="0"/>
    <n v="0"/>
    <n v="0"/>
    <n v="28.77"/>
    <n v="0"/>
    <n v="0"/>
    <n v="0"/>
    <n v="0"/>
    <n v="0"/>
    <n v="8.76"/>
    <n v="37.53"/>
    <n v="-8.76"/>
  </r>
  <r>
    <x v="5"/>
    <x v="1"/>
    <x v="0"/>
    <s v="2500200"/>
    <n v="700032"/>
    <s v="Salaries-Other Pat Care Providers-Productive"/>
    <s v="Port Clinic-Occ Med"/>
    <x v="0"/>
    <m/>
    <n v="7544.19"/>
    <n v="8795.36"/>
    <n v="6263.43"/>
    <n v="8123.56"/>
    <n v="7308.94"/>
    <n v="6858.85"/>
    <n v="8313.7099999999991"/>
    <n v="6439.52"/>
    <n v="7732.35"/>
    <n v="8341.39"/>
    <n v="6619.16"/>
    <n v="4161.3500000000004"/>
    <n v="86501.810000000012"/>
    <n v="2457.8099999999995"/>
  </r>
  <r>
    <x v="5"/>
    <x v="1"/>
    <x v="0"/>
    <s v="2500200"/>
    <n v="700032"/>
    <s v="Salaries-Other Pat Care Providers-OT"/>
    <s v="Port Clinic-Occ Med"/>
    <x v="0"/>
    <n v="1000"/>
    <n v="71.17"/>
    <n v="137.07"/>
    <n v="101.55"/>
    <n v="4.93"/>
    <n v="51.23"/>
    <n v="17.96"/>
    <n v="9.15"/>
    <n v="60.37"/>
    <n v="18.02"/>
    <n v="58.69"/>
    <n v="-26.04"/>
    <n v="155.53"/>
    <n v="659.63"/>
    <n v="-181.57"/>
  </r>
  <r>
    <x v="5"/>
    <x v="1"/>
    <x v="0"/>
    <s v="2500200"/>
    <n v="700032"/>
    <s v="Salaries-Other Pat Care Providers-Other"/>
    <s v="Port Clinic-Occ Med"/>
    <x v="0"/>
    <n v="2000"/>
    <n v="0"/>
    <n v="0"/>
    <n v="0"/>
    <n v="0"/>
    <n v="0"/>
    <n v="0"/>
    <n v="0"/>
    <n v="0"/>
    <n v="0"/>
    <n v="0"/>
    <n v="0"/>
    <n v="79.349999999999994"/>
    <n v="79.349999999999994"/>
    <n v="-79.349999999999994"/>
  </r>
  <r>
    <x v="5"/>
    <x v="1"/>
    <x v="0"/>
    <s v="2500200"/>
    <n v="700034"/>
    <s v="Salaries-Tech/Professional-Productive"/>
    <s v="Port Clinic-Occ Med"/>
    <x v="0"/>
    <m/>
    <n v="0"/>
    <n v="0"/>
    <n v="0"/>
    <n v="1108.29"/>
    <n v="613.57000000000005"/>
    <n v="776.48"/>
    <n v="0"/>
    <n v="0"/>
    <n v="0"/>
    <n v="0"/>
    <n v="0"/>
    <n v="0"/>
    <n v="2498.34"/>
    <n v="0"/>
  </r>
  <r>
    <x v="5"/>
    <x v="1"/>
    <x v="0"/>
    <s v="2500200"/>
    <n v="700054"/>
    <s v="Salaries-Management-NonProd-Other"/>
    <s v="Port Clinic-Occ Med"/>
    <x v="0"/>
    <n v="2000"/>
    <n v="0"/>
    <n v="0"/>
    <n v="0"/>
    <n v="0"/>
    <n v="0"/>
    <n v="376.8"/>
    <n v="-376.8"/>
    <n v="0"/>
    <n v="0"/>
    <n v="0"/>
    <n v="0"/>
    <n v="0"/>
    <n v="0"/>
    <n v="0"/>
  </r>
  <r>
    <x v="5"/>
    <x v="1"/>
    <x v="0"/>
    <s v="2500200"/>
    <n v="700058"/>
    <s v="Salaries-Supervisory-Non-productive"/>
    <s v="Port Clinic-Occ Med"/>
    <x v="0"/>
    <m/>
    <n v="270.72000000000003"/>
    <n v="406.08"/>
    <n v="541.44000000000005"/>
    <n v="676.8"/>
    <n v="0"/>
    <n v="858.08"/>
    <n v="249.52"/>
    <n v="0"/>
    <n v="0"/>
    <n v="554.41"/>
    <n v="0"/>
    <n v="277.2"/>
    <n v="3834.2499999999995"/>
    <n v="-277.2"/>
  </r>
  <r>
    <x v="5"/>
    <x v="1"/>
    <x v="0"/>
    <s v="2500200"/>
    <n v="700062"/>
    <s v="Salaries-Physician-Non-productive"/>
    <s v="Port Clinic-Occ Med"/>
    <x v="0"/>
    <m/>
    <n v="4958.09"/>
    <n v="8581.73"/>
    <n v="8100.96"/>
    <n v="3461.54"/>
    <n v="17381.55"/>
    <n v="8557.66"/>
    <n v="16675.150000000001"/>
    <n v="-1037.45"/>
    <n v="-845.41"/>
    <n v="17400.48"/>
    <n v="2966.47"/>
    <n v="15199.66"/>
    <n v="101400.43"/>
    <n v="-12233.19"/>
  </r>
  <r>
    <x v="5"/>
    <x v="1"/>
    <x v="0"/>
    <s v="2500200"/>
    <n v="700062"/>
    <s v="Salaries-Physician-NonProd-Other"/>
    <s v="Port Clinic-Occ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00200"/>
    <n v="700064"/>
    <s v="Salaries-Advanced Practice Clinician-Non-Productive"/>
    <s v="Port Clinic-Occ Med"/>
    <x v="0"/>
    <m/>
    <n v="4615.38"/>
    <n v="0"/>
    <n v="1748.27"/>
    <n v="3947.35"/>
    <n v="-784.52"/>
    <n v="3288.36"/>
    <n v="449.96"/>
    <n v="6537.91"/>
    <n v="4882.17"/>
    <n v="2898.22"/>
    <n v="-846.18"/>
    <n v="7783.61"/>
    <n v="34520.53"/>
    <n v="-8629.7899999999991"/>
  </r>
  <r>
    <x v="5"/>
    <x v="1"/>
    <x v="0"/>
    <s v="2500200"/>
    <n v="700066"/>
    <s v="Salaries-RN-Non-productive"/>
    <s v="Port Clinic-Occ Med"/>
    <x v="0"/>
    <m/>
    <n v="1150.56"/>
    <n v="2444.94"/>
    <n v="846"/>
    <n v="-169.2"/>
    <n v="0"/>
    <n v="2514.9899999999998"/>
    <n v="242.76"/>
    <n v="0"/>
    <n v="259.89"/>
    <n v="-86.63"/>
    <n v="1386.02"/>
    <n v="1072.02"/>
    <n v="9661.35"/>
    <n v="314"/>
  </r>
  <r>
    <x v="5"/>
    <x v="1"/>
    <x v="0"/>
    <s v="2500200"/>
    <n v="700066"/>
    <s v="Salaries-RN-NonProd-Other"/>
    <s v="Port Clinic-Occ Med"/>
    <x v="0"/>
    <n v="2000"/>
    <n v="0"/>
    <n v="0"/>
    <n v="0"/>
    <n v="0"/>
    <n v="300"/>
    <n v="0"/>
    <n v="0"/>
    <n v="-300"/>
    <n v="0"/>
    <n v="0"/>
    <n v="0"/>
    <n v="21.65"/>
    <n v="21.65"/>
    <n v="-21.65"/>
  </r>
  <r>
    <x v="5"/>
    <x v="1"/>
    <x v="0"/>
    <s v="2500200"/>
    <n v="700070"/>
    <s v="Salaries-LPN-Non-productive"/>
    <s v="Port Clinic-Occ Med"/>
    <x v="0"/>
    <m/>
    <n v="909.53"/>
    <n v="1158.28"/>
    <n v="1486.03"/>
    <n v="250.14"/>
    <n v="1279.48"/>
    <n v="1525.35"/>
    <n v="951.77"/>
    <n v="1451.78"/>
    <n v="468.31"/>
    <n v="1243.08"/>
    <n v="1216.58"/>
    <n v="1667.59"/>
    <n v="13607.92"/>
    <n v="-451.01"/>
  </r>
  <r>
    <x v="5"/>
    <x v="1"/>
    <x v="0"/>
    <s v="2500200"/>
    <n v="700070"/>
    <s v="Salaries-LPN-NonProd-Other"/>
    <s v="Port Clinic-Occ Med"/>
    <x v="0"/>
    <n v="2000"/>
    <n v="0"/>
    <n v="0"/>
    <n v="0"/>
    <n v="0"/>
    <n v="32.36"/>
    <n v="-16.18"/>
    <n v="0"/>
    <n v="20.93"/>
    <n v="-5.97"/>
    <n v="0"/>
    <n v="0"/>
    <n v="0"/>
    <n v="31.14"/>
    <n v="0"/>
  </r>
  <r>
    <x v="5"/>
    <x v="1"/>
    <x v="0"/>
    <s v="2500200"/>
    <n v="700072"/>
    <s v="Salaries-Other Pat Care Providers-Non-productive"/>
    <s v="Port Clinic-Occ Med"/>
    <x v="0"/>
    <m/>
    <n v="977.69"/>
    <n v="395.83"/>
    <n v="1384.6"/>
    <n v="920.57"/>
    <n v="1475.88"/>
    <n v="1452.52"/>
    <n v="871.87"/>
    <n v="1169.8"/>
    <n v="740.69"/>
    <n v="362.01"/>
    <n v="507.93"/>
    <n v="439.13"/>
    <n v="10698.52"/>
    <n v="68.800000000000011"/>
  </r>
  <r>
    <x v="5"/>
    <x v="1"/>
    <x v="0"/>
    <s v="2500200"/>
    <n v="700072"/>
    <s v="Salaries-Other Pat Care Providers-NonProd-Other"/>
    <s v="Port Clinic-Occ Med"/>
    <x v="0"/>
    <n v="2000"/>
    <n v="0"/>
    <n v="9.2200000000000006"/>
    <n v="15.36"/>
    <n v="16.54"/>
    <n v="-10.08"/>
    <n v="6.93"/>
    <n v="5.68"/>
    <n v="0"/>
    <n v="0"/>
    <n v="0"/>
    <n v="0"/>
    <n v="32.03"/>
    <n v="75.680000000000007"/>
    <n v="-32.03"/>
  </r>
  <r>
    <x v="5"/>
    <x v="1"/>
    <x v="0"/>
    <s v="2500200"/>
    <n v="700084"/>
    <s v="Accrued PTO"/>
    <s v="Port Clinic-Occ Med"/>
    <x v="0"/>
    <m/>
    <n v="154.72999999999999"/>
    <n v="-4703.16"/>
    <n v="-995.95"/>
    <n v="1529.75"/>
    <n v="1392.62"/>
    <n v="-2268.33"/>
    <n v="938.23"/>
    <n v="1052.26"/>
    <n v="2045.89"/>
    <n v="1315.56"/>
    <n v="1555.69"/>
    <n v="189.8"/>
    <n v="2207.0899999999997"/>
    <n v="1365.89"/>
  </r>
  <r>
    <x v="6"/>
    <x v="1"/>
    <x v="0"/>
    <s v="2500200"/>
    <n v="713010"/>
    <s v="Benefits-FICA/Medicare"/>
    <s v="Port Clinic-Occ Med"/>
    <x v="0"/>
    <m/>
    <n v="4053.91"/>
    <n v="4155.3999999999996"/>
    <n v="4568.97"/>
    <n v="5171.67"/>
    <n v="5010.08"/>
    <n v="6592.32"/>
    <n v="9874.98"/>
    <n v="8634.7800000000007"/>
    <n v="9078.52"/>
    <n v="9654.92"/>
    <n v="9969.2800000000007"/>
    <n v="6288.84"/>
    <n v="83053.67"/>
    <n v="3680.4400000000005"/>
  </r>
  <r>
    <x v="6"/>
    <x v="1"/>
    <x v="0"/>
    <s v="2500200"/>
    <n v="713090"/>
    <s v="Benefits-Allocated Amounts"/>
    <s v="Port Clinic-Occ Med"/>
    <x v="0"/>
    <m/>
    <n v="0"/>
    <n v="0"/>
    <n v="0"/>
    <n v="0"/>
    <n v="0"/>
    <n v="0"/>
    <n v="0"/>
    <n v="0"/>
    <n v="78699.350000000006"/>
    <n v="9905.66"/>
    <n v="9875.8700000000008"/>
    <n v="9089.77"/>
    <n v="107570.65000000001"/>
    <n v="786.10000000000036"/>
  </r>
  <r>
    <x v="6"/>
    <x v="1"/>
    <x v="0"/>
    <s v="2500200"/>
    <n v="713092"/>
    <s v="Allocated Benefits-Physician"/>
    <s v="Port Clinic-Occ Med"/>
    <x v="0"/>
    <m/>
    <n v="7481.02"/>
    <n v="6693"/>
    <n v="7917.13"/>
    <n v="8261.64"/>
    <n v="8128.96"/>
    <n v="8454.7099999999991"/>
    <n v="10276.16"/>
    <n v="9763.66"/>
    <n v="-31099.919999999998"/>
    <n v="4515.66"/>
    <n v="4502.0600000000004"/>
    <n v="4143.7299999999996"/>
    <n v="49037.81"/>
    <n v="358.33000000000084"/>
  </r>
  <r>
    <x v="6"/>
    <x v="1"/>
    <x v="0"/>
    <s v="2500200"/>
    <n v="713093"/>
    <s v="Allocated Benefits-Advanced Practice Clinician"/>
    <s v="Port Clinic-Occ Med"/>
    <x v="0"/>
    <m/>
    <n v="5763.42"/>
    <n v="5156.32"/>
    <n v="6099.4"/>
    <n v="6364.8"/>
    <n v="6262.6"/>
    <n v="6513.56"/>
    <n v="7916.8"/>
    <n v="7521.98"/>
    <n v="-29609.54"/>
    <n v="2767.74"/>
    <n v="2759.4"/>
    <n v="2539.7800000000002"/>
    <n v="30056.260000000002"/>
    <n v="219.61999999999989"/>
  </r>
  <r>
    <x v="7"/>
    <x v="1"/>
    <x v="0"/>
    <s v="2500200"/>
    <n v="718050"/>
    <s v="Document Shredding/Storage"/>
    <s v="Port Clinic-Occ Med"/>
    <x v="0"/>
    <n v="1012"/>
    <n v="315.83"/>
    <n v="214.97"/>
    <n v="280.76"/>
    <n v="277.79000000000002"/>
    <n v="287.13"/>
    <n v="287.13"/>
    <n v="271.31"/>
    <n v="294.64999999999998"/>
    <n v="271.10000000000002"/>
    <n v="292.61"/>
    <n v="277.45"/>
    <n v="286.79000000000002"/>
    <n v="3357.52"/>
    <n v="-9.3400000000000318"/>
  </r>
  <r>
    <x v="11"/>
    <x v="1"/>
    <x v="0"/>
    <s v="2500200"/>
    <n v="721020"/>
    <s v="Suture/Wound Closure"/>
    <s v="Port Clinic-Occ Med"/>
    <x v="0"/>
    <n v="1001"/>
    <n v="0"/>
    <n v="0"/>
    <n v="0"/>
    <n v="0"/>
    <n v="0"/>
    <n v="0"/>
    <n v="0"/>
    <n v="0"/>
    <n v="310.92"/>
    <n v="0"/>
    <n v="0"/>
    <n v="0"/>
    <n v="310.92"/>
    <n v="0"/>
  </r>
  <r>
    <x v="11"/>
    <x v="1"/>
    <x v="0"/>
    <s v="2500200"/>
    <n v="721250"/>
    <s v="Supplies-Pharmacy Drugs - Billable"/>
    <s v="Port Clinic-Occ Med"/>
    <x v="0"/>
    <m/>
    <n v="0"/>
    <n v="0"/>
    <n v="0"/>
    <n v="0"/>
    <n v="0"/>
    <n v="0"/>
    <n v="0"/>
    <n v="0"/>
    <n v="0"/>
    <n v="61.72"/>
    <n v="61.72"/>
    <n v="0"/>
    <n v="123.44"/>
    <n v="61.72"/>
  </r>
  <r>
    <x v="11"/>
    <x v="1"/>
    <x v="0"/>
    <s v="2500200"/>
    <n v="721410"/>
    <s v="Supplies-Medical - Nonbillable"/>
    <s v="Port Clinic-Occ Med"/>
    <x v="0"/>
    <m/>
    <n v="0"/>
    <n v="0"/>
    <n v="0"/>
    <n v="0"/>
    <n v="0"/>
    <n v="0"/>
    <n v="0"/>
    <n v="14.78"/>
    <n v="1.72"/>
    <n v="4.04"/>
    <n v="0"/>
    <n v="0"/>
    <n v="20.54"/>
    <n v="0"/>
  </r>
  <r>
    <x v="11"/>
    <x v="1"/>
    <x v="0"/>
    <s v="2500200"/>
    <n v="721870"/>
    <s v="Supplies-Environmental Services"/>
    <s v="Port Clinic-Occ Med"/>
    <x v="0"/>
    <m/>
    <n v="0"/>
    <n v="0"/>
    <n v="0"/>
    <n v="35.6"/>
    <n v="0"/>
    <n v="0"/>
    <n v="0"/>
    <n v="0"/>
    <n v="0"/>
    <n v="35.6"/>
    <n v="0"/>
    <n v="0"/>
    <n v="71.2"/>
    <n v="0"/>
  </r>
  <r>
    <x v="12"/>
    <x v="1"/>
    <x v="0"/>
    <s v="2500200"/>
    <n v="730010"/>
    <s v="Rental and Leases-Building (DO NOT USE)"/>
    <s v="Port Clinic-Occ Med"/>
    <x v="0"/>
    <m/>
    <n v="2400"/>
    <n v="2400"/>
    <n v="2400"/>
    <n v="2400"/>
    <n v="2400"/>
    <n v="2400"/>
    <n v="2400"/>
    <n v="2400"/>
    <n v="2400"/>
    <n v="2400"/>
    <n v="2400"/>
    <n v="0"/>
    <n v="26400"/>
    <n v="2400"/>
  </r>
  <r>
    <x v="12"/>
    <x v="1"/>
    <x v="0"/>
    <s v="2500200"/>
    <n v="730020"/>
    <s v="Rental and Leases-Copier Usage Fees (DO NOT USE)"/>
    <s v="Port Clinic-Occ Med"/>
    <x v="0"/>
    <n v="5100"/>
    <n v="50.29"/>
    <n v="52.01"/>
    <n v="51.15"/>
    <n v="51.15"/>
    <n v="51.15"/>
    <n v="51.15"/>
    <n v="-130.54"/>
    <n v="35.67"/>
    <n v="35.590000000000003"/>
    <n v="35.75"/>
    <n v="35.67"/>
    <n v="46.28"/>
    <n v="365.32000000000005"/>
    <n v="-10.61"/>
  </r>
  <r>
    <x v="12"/>
    <x v="1"/>
    <x v="0"/>
    <s v="2500200"/>
    <n v="730040"/>
    <s v="LT Lease-Real Estate"/>
    <s v="Port Clinic-Occ Med"/>
    <x v="0"/>
    <m/>
    <n v="0"/>
    <n v="0"/>
    <n v="0"/>
    <n v="0"/>
    <n v="0"/>
    <n v="0"/>
    <n v="0"/>
    <n v="0"/>
    <n v="0"/>
    <n v="0"/>
    <n v="0"/>
    <n v="2400"/>
    <n v="2400"/>
    <n v="-2400"/>
  </r>
  <r>
    <x v="16"/>
    <x v="1"/>
    <x v="0"/>
    <s v="2500200"/>
    <n v="732030"/>
    <s v="Repairs---Other"/>
    <s v="Port Clinic-Occ Med"/>
    <x v="0"/>
    <m/>
    <n v="0"/>
    <n v="0"/>
    <n v="0"/>
    <n v="0"/>
    <n v="0"/>
    <n v="0"/>
    <n v="0"/>
    <n v="0"/>
    <n v="0"/>
    <n v="0"/>
    <n v="0"/>
    <n v="116"/>
    <n v="116"/>
    <n v="-116"/>
  </r>
  <r>
    <x v="0"/>
    <x v="1"/>
    <x v="0"/>
    <s v="2500200"/>
    <n v="740022"/>
    <s v="Education-Physician"/>
    <s v="Port Clinic-Occ Med"/>
    <x v="0"/>
    <m/>
    <n v="0"/>
    <n v="0"/>
    <n v="0"/>
    <n v="1444"/>
    <n v="295"/>
    <n v="0"/>
    <n v="0"/>
    <n v="3222.5"/>
    <n v="2147.5"/>
    <n v="0"/>
    <n v="731"/>
    <n v="0"/>
    <n v="7840"/>
    <n v="731"/>
  </r>
  <r>
    <x v="0"/>
    <x v="1"/>
    <x v="0"/>
    <s v="2500200"/>
    <n v="740022"/>
    <s v="Books-Physician"/>
    <s v="Port Clinic-Occ Med"/>
    <x v="0"/>
    <n v="2000"/>
    <n v="0"/>
    <n v="0"/>
    <n v="0"/>
    <n v="0"/>
    <n v="0"/>
    <n v="0"/>
    <n v="0"/>
    <n v="0"/>
    <n v="0"/>
    <n v="125"/>
    <n v="0"/>
    <n v="329"/>
    <n v="454"/>
    <n v="-329"/>
  </r>
  <r>
    <x v="0"/>
    <x v="1"/>
    <x v="0"/>
    <s v="2500200"/>
    <n v="740023"/>
    <s v="Education-Advanced Practice Clinician"/>
    <s v="Port Clinic-Occ Med"/>
    <x v="0"/>
    <m/>
    <n v="0"/>
    <n v="79"/>
    <n v="0"/>
    <n v="0"/>
    <n v="895"/>
    <n v="0"/>
    <n v="700"/>
    <n v="0"/>
    <n v="0"/>
    <n v="0"/>
    <n v="0"/>
    <n v="0"/>
    <n v="1674"/>
    <n v="0"/>
  </r>
  <r>
    <x v="8"/>
    <x v="1"/>
    <x v="0"/>
    <s v="2500200"/>
    <n v="741012"/>
    <s v="Physician Liab Insurance-CHI Program"/>
    <s v="Port Clinic-Occ Med"/>
    <x v="0"/>
    <m/>
    <n v="1326.27"/>
    <n v="1326.27"/>
    <n v="1326.27"/>
    <n v="1326.27"/>
    <n v="1326.27"/>
    <n v="1326.26"/>
    <n v="1326.27"/>
    <n v="1326.26"/>
    <n v="1326.27"/>
    <n v="1326.26"/>
    <n v="1326.27"/>
    <n v="1326.26"/>
    <n v="15915.200000000003"/>
    <n v="9.9999999999909051E-3"/>
  </r>
  <r>
    <x v="0"/>
    <x v="1"/>
    <x v="0"/>
    <s v="2500200"/>
    <n v="743020"/>
    <s v="Dues--Individual"/>
    <s v="Port Clinic-Occ Med"/>
    <x v="0"/>
    <m/>
    <n v="0"/>
    <n v="0"/>
    <n v="0"/>
    <n v="0"/>
    <n v="0"/>
    <n v="0"/>
    <n v="0"/>
    <n v="1605"/>
    <n v="0"/>
    <n v="0"/>
    <n v="0"/>
    <n v="0"/>
    <n v="1605"/>
    <n v="0"/>
  </r>
  <r>
    <x v="0"/>
    <x v="1"/>
    <x v="0"/>
    <s v="2500200"/>
    <n v="743022"/>
    <s v="Dues-Physician"/>
    <s v="Port Clinic-Occ Med"/>
    <x v="0"/>
    <m/>
    <n v="0"/>
    <n v="0"/>
    <n v="0"/>
    <n v="500"/>
    <n v="580"/>
    <n v="1370"/>
    <n v="0"/>
    <n v="1950"/>
    <n v="605"/>
    <n v="0"/>
    <n v="0"/>
    <n v="0"/>
    <n v="5005"/>
    <n v="0"/>
  </r>
  <r>
    <x v="0"/>
    <x v="1"/>
    <x v="0"/>
    <s v="2500200"/>
    <n v="743023"/>
    <s v="Dues-Advanced Practice Clinician"/>
    <s v="Port Clinic-Occ Med"/>
    <x v="0"/>
    <m/>
    <n v="0"/>
    <n v="0"/>
    <n v="0"/>
    <n v="0"/>
    <n v="0"/>
    <n v="128.25"/>
    <n v="0"/>
    <n v="0"/>
    <n v="0"/>
    <n v="0"/>
    <n v="0"/>
    <n v="0"/>
    <n v="128.25"/>
    <n v="0"/>
  </r>
  <r>
    <x v="0"/>
    <x v="1"/>
    <x v="0"/>
    <s v="2500200"/>
    <n v="743042"/>
    <s v="Subscriptions-Physician"/>
    <s v="Port Clinic-Occ Med"/>
    <x v="0"/>
    <m/>
    <n v="0"/>
    <n v="0"/>
    <n v="0"/>
    <n v="0"/>
    <n v="79"/>
    <n v="0"/>
    <n v="0"/>
    <n v="0"/>
    <n v="0"/>
    <n v="0"/>
    <n v="0"/>
    <n v="370.76"/>
    <n v="449.76"/>
    <n v="-370.76"/>
  </r>
  <r>
    <x v="0"/>
    <x v="1"/>
    <x v="0"/>
    <s v="2500200"/>
    <n v="749510"/>
    <s v="Miscellaneous Expenses"/>
    <s v="Port Clinic-Occ Med"/>
    <x v="0"/>
    <m/>
    <n v="-989.88"/>
    <n v="0"/>
    <n v="0"/>
    <n v="954"/>
    <n v="-825.75"/>
    <n v="571.75"/>
    <n v="6679.54"/>
    <n v="-2278.8000000000002"/>
    <n v="-5100.74"/>
    <n v="0"/>
    <n v="2581.4"/>
    <n v="-2091.4"/>
    <n v="-499.88000000000011"/>
    <n v="4672.8"/>
  </r>
  <r>
    <x v="0"/>
    <x v="1"/>
    <x v="0"/>
    <s v="2500200"/>
    <n v="749512"/>
    <s v="Licenses-Physician"/>
    <s v="Port Clinic-Occ Med"/>
    <x v="0"/>
    <n v="2000"/>
    <n v="0"/>
    <n v="0"/>
    <n v="0"/>
    <n v="0"/>
    <n v="0"/>
    <n v="0"/>
    <n v="0"/>
    <n v="0"/>
    <n v="657"/>
    <n v="0"/>
    <n v="0"/>
    <n v="0"/>
    <n v="657"/>
    <n v="0"/>
  </r>
  <r>
    <x v="0"/>
    <x v="1"/>
    <x v="0"/>
    <s v="2500200"/>
    <n v="749513"/>
    <s v="Licenses-Advanced Practice Clinician"/>
    <s v="Port Clinic-Occ Med"/>
    <x v="0"/>
    <n v="2000"/>
    <n v="0"/>
    <n v="0"/>
    <n v="0"/>
    <n v="0"/>
    <n v="0"/>
    <n v="0"/>
    <n v="245"/>
    <n v="245"/>
    <n v="0"/>
    <n v="0"/>
    <n v="0"/>
    <n v="0"/>
    <n v="490"/>
    <n v="0"/>
  </r>
  <r>
    <x v="0"/>
    <x v="1"/>
    <x v="0"/>
    <s v="2500200"/>
    <n v="749530"/>
    <s v="Mileage"/>
    <s v="Port Clinic-Occ Med"/>
    <x v="0"/>
    <n v="1001"/>
    <n v="0"/>
    <n v="0"/>
    <n v="15.26"/>
    <n v="0"/>
    <n v="209.28"/>
    <n v="104.64"/>
    <n v="0"/>
    <n v="0"/>
    <n v="0"/>
    <n v="0"/>
    <n v="0"/>
    <n v="0"/>
    <n v="329.18"/>
    <n v="0"/>
  </r>
  <r>
    <x v="0"/>
    <x v="1"/>
    <x v="0"/>
    <s v="2500200"/>
    <n v="749532"/>
    <s v="Travel-Physician"/>
    <s v="Port Clinic-Occ Med"/>
    <x v="0"/>
    <m/>
    <n v="0"/>
    <n v="0"/>
    <n v="0"/>
    <n v="1466.35"/>
    <n v="0"/>
    <n v="0"/>
    <n v="0"/>
    <n v="0"/>
    <n v="1797.04"/>
    <n v="0"/>
    <n v="597.61"/>
    <n v="182.64"/>
    <n v="4043.64"/>
    <n v="414.97"/>
  </r>
  <r>
    <x v="0"/>
    <x v="1"/>
    <x v="0"/>
    <s v="2500200"/>
    <n v="749532"/>
    <s v="Vehicle Expense-Physician"/>
    <s v="Port Clinic-Occ Med"/>
    <x v="0"/>
    <n v="2001"/>
    <n v="0"/>
    <n v="0"/>
    <n v="0"/>
    <n v="0"/>
    <n v="0"/>
    <n v="0"/>
    <n v="0"/>
    <n v="0"/>
    <n v="55.68"/>
    <n v="0"/>
    <n v="0"/>
    <n v="0"/>
    <n v="55.68"/>
    <n v="0"/>
  </r>
  <r>
    <x v="0"/>
    <x v="1"/>
    <x v="0"/>
    <s v="2500200"/>
    <n v="749533"/>
    <s v="Travel-Advanced Practice Clinician"/>
    <s v="Port Clinic-Occ Med"/>
    <x v="0"/>
    <m/>
    <n v="0"/>
    <n v="0"/>
    <n v="0"/>
    <n v="0"/>
    <n v="715.8"/>
    <n v="0"/>
    <n v="0"/>
    <n v="0"/>
    <n v="1444.2"/>
    <n v="0"/>
    <n v="0"/>
    <n v="2581.4"/>
    <n v="4741.3999999999996"/>
    <n v="-2581.4"/>
  </r>
  <r>
    <x v="9"/>
    <x v="1"/>
    <x v="0"/>
    <s v="2500200"/>
    <n v="800015"/>
    <s v="Interest Income-Ext to CHI"/>
    <s v="Port Clinic-Occ Med"/>
    <x v="0"/>
    <m/>
    <n v="0"/>
    <n v="0"/>
    <n v="-7.89"/>
    <n v="-14.65"/>
    <n v="-13.56"/>
    <n v="-13.37"/>
    <n v="-12.73"/>
    <n v="-25.88"/>
    <n v="-27.33"/>
    <n v="-25.16"/>
    <n v="-24.68"/>
    <n v="-22.59"/>
    <n v="-187.84"/>
    <n v="-2.09"/>
  </r>
  <r>
    <x v="5"/>
    <x v="1"/>
    <x v="0"/>
    <s v="2501200"/>
    <n v="700034"/>
    <s v="Salaries-Tech/Professional-Productive"/>
    <s v="Port Clinic-Radiology"/>
    <x v="0"/>
    <m/>
    <n v="906.32"/>
    <n v="2554.4899999999998"/>
    <n v="3001.83"/>
    <n v="8272.66"/>
    <n v="6568.67"/>
    <n v="7505"/>
    <n v="5810.63"/>
    <n v="5259.87"/>
    <n v="6608.83"/>
    <n v="6532.56"/>
    <n v="6131.03"/>
    <n v="4515.97"/>
    <n v="63667.86"/>
    <n v="1615.0599999999995"/>
  </r>
  <r>
    <x v="5"/>
    <x v="1"/>
    <x v="0"/>
    <s v="2501200"/>
    <n v="700034"/>
    <s v="Salaries-Tech/Professional-OT"/>
    <s v="Port Clinic-Radiology"/>
    <x v="0"/>
    <n v="1000"/>
    <n v="235.96"/>
    <n v="421.41"/>
    <n v="163.43"/>
    <n v="-67.66"/>
    <n v="0"/>
    <n v="446.51"/>
    <n v="81.58"/>
    <n v="17.489999999999998"/>
    <n v="119.46"/>
    <n v="49.53"/>
    <n v="23.32"/>
    <n v="0"/>
    <n v="1491.03"/>
    <n v="23.32"/>
  </r>
  <r>
    <x v="5"/>
    <x v="1"/>
    <x v="0"/>
    <s v="2501200"/>
    <n v="700034"/>
    <s v="Salaries-Tech/Professional-Other"/>
    <s v="Port Clinic-Radiology"/>
    <x v="0"/>
    <n v="2000"/>
    <n v="8.25"/>
    <n v="12.75"/>
    <n v="100.12"/>
    <n v="83.38"/>
    <n v="54.5"/>
    <n v="111.55"/>
    <n v="-2.5499999999999998"/>
    <n v="3.15"/>
    <n v="-0.9"/>
    <n v="35.549999999999997"/>
    <n v="0"/>
    <n v="0"/>
    <n v="405.8"/>
    <n v="0"/>
  </r>
  <r>
    <x v="5"/>
    <x v="1"/>
    <x v="0"/>
    <s v="2501200"/>
    <n v="700074"/>
    <s v="Salaries-Tech/Professional-Non-productive"/>
    <s v="Port Clinic-Radiology"/>
    <x v="0"/>
    <m/>
    <n v="832.48"/>
    <n v="5359.09"/>
    <n v="-260.14999999999998"/>
    <n v="0"/>
    <n v="620.64"/>
    <n v="1731.02"/>
    <n v="408.97"/>
    <n v="963.41"/>
    <n v="-95.16"/>
    <n v="1372.27"/>
    <n v="1016.83"/>
    <n v="1709.26"/>
    <n v="13658.66"/>
    <n v="-692.43"/>
  </r>
  <r>
    <x v="5"/>
    <x v="1"/>
    <x v="0"/>
    <s v="2501200"/>
    <n v="700074"/>
    <s v="Salaries-Tech/Professional-NonProd-Other"/>
    <s v="Port Clinic-Radi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01200"/>
    <n v="700084"/>
    <s v="Accrued PTO"/>
    <s v="Port Clinic-Radiology"/>
    <x v="0"/>
    <m/>
    <n v="2354.4699999999998"/>
    <n v="79.84"/>
    <n v="-82.11"/>
    <n v="491.15"/>
    <n v="350.27"/>
    <n v="-493.41"/>
    <n v="303.73"/>
    <n v="115.98"/>
    <n v="655.55"/>
    <n v="-84.17"/>
    <n v="77.19"/>
    <n v="-515.91"/>
    <n v="3252.5800000000004"/>
    <n v="593.09999999999991"/>
  </r>
  <r>
    <x v="6"/>
    <x v="1"/>
    <x v="0"/>
    <s v="2501200"/>
    <n v="713010"/>
    <s v="Benefits-FICA/Medicare"/>
    <s v="Port Clinic-Radiology"/>
    <x v="0"/>
    <m/>
    <n v="135.12"/>
    <n v="620.66"/>
    <n v="220.62"/>
    <n v="611.37"/>
    <n v="540.51"/>
    <n v="731.99"/>
    <n v="471.39"/>
    <n v="468.02"/>
    <n v="497.63"/>
    <n v="598"/>
    <n v="537.85"/>
    <n v="466.88"/>
    <n v="5900.04"/>
    <n v="70.970000000000027"/>
  </r>
  <r>
    <x v="6"/>
    <x v="1"/>
    <x v="0"/>
    <s v="2501200"/>
    <n v="713090"/>
    <s v="Benefits-Allocated Amounts"/>
    <s v="Port Clinic-Radiology"/>
    <x v="0"/>
    <m/>
    <n v="452.9"/>
    <n v="1402.53"/>
    <n v="692.06"/>
    <n v="1342.4"/>
    <n v="1400.39"/>
    <n v="1882.54"/>
    <n v="1220.98"/>
    <n v="1313.04"/>
    <n v="1352.06"/>
    <n v="1560.35"/>
    <n v="1336.77"/>
    <n v="1324.26"/>
    <n v="15280.28"/>
    <n v="12.509999999999991"/>
  </r>
  <r>
    <x v="7"/>
    <x v="1"/>
    <x v="0"/>
    <s v="2501200"/>
    <n v="718050"/>
    <s v="Contract Svcs-Other"/>
    <s v="Port Clinic-Radiology"/>
    <x v="0"/>
    <m/>
    <n v="0"/>
    <n v="0"/>
    <n v="1947.21"/>
    <n v="795.45"/>
    <n v="0"/>
    <n v="2751.58"/>
    <n v="1453.25"/>
    <n v="711.8"/>
    <n v="0"/>
    <n v="964.3"/>
    <n v="0"/>
    <n v="0"/>
    <n v="8623.59"/>
    <n v="0"/>
  </r>
  <r>
    <x v="0"/>
    <x v="1"/>
    <x v="0"/>
    <s v="2501200"/>
    <n v="749530"/>
    <s v="Travel"/>
    <s v="Port Clinic-Radiology"/>
    <x v="0"/>
    <m/>
    <n v="24"/>
    <n v="18"/>
    <n v="30"/>
    <n v="0"/>
    <n v="0"/>
    <n v="0"/>
    <n v="0"/>
    <n v="0"/>
    <n v="0"/>
    <n v="0"/>
    <n v="0"/>
    <n v="0"/>
    <n v="72"/>
    <n v="0"/>
  </r>
  <r>
    <x v="0"/>
    <x v="1"/>
    <x v="0"/>
    <s v="2501200"/>
    <n v="749530"/>
    <s v="Mileage"/>
    <s v="Port Clinic-Radiology"/>
    <x v="0"/>
    <n v="1001"/>
    <n v="121.55"/>
    <n v="65.95"/>
    <n v="96.47"/>
    <n v="221.87"/>
    <n v="181.53"/>
    <n v="201.7"/>
    <n v="242.04"/>
    <n v="0"/>
    <n v="20.88"/>
    <n v="85.84"/>
    <n v="0"/>
    <n v="0"/>
    <n v="1237.83"/>
    <n v="0"/>
  </r>
  <r>
    <x v="1"/>
    <x v="1"/>
    <x v="0"/>
    <s v="2502200"/>
    <n v="400040"/>
    <s v="Physician Svcs Rev--Medicare"/>
    <s v="Vascular Lab-Vasc Lab"/>
    <x v="0"/>
    <n v="1100"/>
    <n v="-100"/>
    <n v="0"/>
    <n v="399"/>
    <n v="0"/>
    <n v="-538"/>
    <n v="428"/>
    <n v="0"/>
    <n v="0"/>
    <n v="-62"/>
    <n v="0"/>
    <n v="-557"/>
    <n v="-1494"/>
    <n v="-1924"/>
    <n v="937"/>
  </r>
  <r>
    <x v="1"/>
    <x v="1"/>
    <x v="0"/>
    <s v="2502200"/>
    <n v="400040"/>
    <s v="Physician Svcs Rev--Medicaid"/>
    <s v="Vascular Lab-Vasc Lab"/>
    <x v="0"/>
    <n v="1200"/>
    <n v="-250"/>
    <n v="0"/>
    <n v="0"/>
    <n v="-96"/>
    <n v="0"/>
    <n v="0"/>
    <n v="0"/>
    <n v="0"/>
    <n v="0"/>
    <n v="0"/>
    <n v="0"/>
    <n v="0"/>
    <n v="-346"/>
    <n v="0"/>
  </r>
  <r>
    <x v="1"/>
    <x v="1"/>
    <x v="0"/>
    <s v="2502200"/>
    <n v="400040"/>
    <s v="Physician Svcs Rev--Managed Care"/>
    <s v="Vascular Lab-Vasc Lab"/>
    <x v="0"/>
    <n v="1400"/>
    <n v="0"/>
    <n v="0"/>
    <n v="139"/>
    <n v="0"/>
    <n v="0"/>
    <n v="0"/>
    <n v="0"/>
    <n v="0"/>
    <n v="0"/>
    <n v="0"/>
    <n v="0"/>
    <n v="0"/>
    <n v="139"/>
    <n v="0"/>
  </r>
  <r>
    <x v="1"/>
    <x v="1"/>
    <x v="0"/>
    <s v="2502200"/>
    <n v="400040"/>
    <s v="Physician Svcs Rev--Self Pay"/>
    <s v="Vascular Lab-Vasc Lab"/>
    <x v="0"/>
    <n v="1500"/>
    <n v="-700"/>
    <n v="0"/>
    <n v="-3878"/>
    <n v="96"/>
    <n v="498"/>
    <n v="0"/>
    <n v="0"/>
    <n v="0"/>
    <n v="0"/>
    <n v="-180"/>
    <n v="0"/>
    <n v="0"/>
    <n v="-4164"/>
    <n v="0"/>
  </r>
  <r>
    <x v="1"/>
    <x v="1"/>
    <x v="0"/>
    <s v="2502200"/>
    <n v="400040"/>
    <s v="Physician Svcs Rev--Other"/>
    <s v="Vascular Lab-Vasc Lab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02200"/>
    <n v="450029"/>
    <s v="Contr Allow--MD Other-Medicare"/>
    <s v="Vascular Lab-Vasc Lab"/>
    <x v="0"/>
    <n v="1100"/>
    <n v="168.79"/>
    <n v="0"/>
    <n v="0"/>
    <n v="0"/>
    <n v="0"/>
    <n v="0"/>
    <n v="0"/>
    <n v="0"/>
    <n v="0"/>
    <n v="0"/>
    <n v="0"/>
    <n v="0"/>
    <n v="168.79"/>
    <n v="0"/>
  </r>
  <r>
    <x v="2"/>
    <x v="1"/>
    <x v="0"/>
    <s v="2502200"/>
    <n v="450040"/>
    <s v="Contr Allow--Phys Svcs--Mcare"/>
    <s v="Vascular Lab-Vasc Lab"/>
    <x v="0"/>
    <n v="1100"/>
    <n v="2028.56"/>
    <n v="527.29999999999995"/>
    <n v="467.94"/>
    <n v="-644.9"/>
    <n v="267.81"/>
    <n v="41.75"/>
    <n v="98.79"/>
    <n v="0"/>
    <n v="40.25"/>
    <n v="54.3"/>
    <n v="-488.59"/>
    <n v="20"/>
    <n v="2413.2099999999996"/>
    <n v="-508.59"/>
  </r>
  <r>
    <x v="2"/>
    <x v="1"/>
    <x v="0"/>
    <s v="2502200"/>
    <n v="450040"/>
    <s v="Contr Allow--Phys Svcs--Mcaid"/>
    <s v="Vascular Lab-Vasc Lab"/>
    <x v="0"/>
    <n v="1200"/>
    <n v="875.81"/>
    <n v="16.39"/>
    <n v="-673.18"/>
    <n v="74.3"/>
    <n v="-121.03"/>
    <n v="-111.5"/>
    <n v="-186.6"/>
    <n v="0"/>
    <n v="-293.20999999999998"/>
    <n v="0"/>
    <n v="136.63"/>
    <n v="0"/>
    <n v="-282.39"/>
    <n v="136.63"/>
  </r>
  <r>
    <x v="2"/>
    <x v="1"/>
    <x v="0"/>
    <s v="2502200"/>
    <n v="450040"/>
    <s v="Contr Allow--Phys Svcs--Comm Insurance"/>
    <s v="Vascular Lab-Vasc Lab"/>
    <x v="0"/>
    <n v="1300"/>
    <n v="-375.36"/>
    <n v="0"/>
    <n v="0"/>
    <n v="0"/>
    <n v="0"/>
    <n v="0"/>
    <n v="474.56"/>
    <n v="0"/>
    <n v="462.05"/>
    <n v="0"/>
    <n v="0"/>
    <n v="0"/>
    <n v="561.25"/>
    <n v="0"/>
  </r>
  <r>
    <x v="2"/>
    <x v="1"/>
    <x v="0"/>
    <s v="2502200"/>
    <n v="450040"/>
    <s v="Contr Allow--Phys Svcs--BCBS Comm Ins"/>
    <s v="Vascular Lab-Vasc Lab"/>
    <x v="0"/>
    <n v="1301"/>
    <n v="196.83"/>
    <n v="0"/>
    <n v="0"/>
    <n v="0"/>
    <n v="0"/>
    <n v="0"/>
    <n v="0"/>
    <n v="286.45999999999998"/>
    <n v="0"/>
    <n v="-686.15"/>
    <n v="0"/>
    <n v="0"/>
    <n v="-202.86"/>
    <n v="0"/>
  </r>
  <r>
    <x v="2"/>
    <x v="1"/>
    <x v="0"/>
    <s v="2502200"/>
    <n v="450040"/>
    <s v="Contr Allow--Phys Svcs--Managed Care"/>
    <s v="Vascular Lab-Vasc Lab"/>
    <x v="0"/>
    <n v="1400"/>
    <n v="0"/>
    <n v="0"/>
    <n v="-70.42"/>
    <n v="0"/>
    <n v="-37.49"/>
    <n v="0"/>
    <n v="23.86"/>
    <n v="0"/>
    <n v="0"/>
    <n v="0"/>
    <n v="0"/>
    <n v="0"/>
    <n v="-84.05"/>
    <n v="0"/>
  </r>
  <r>
    <x v="2"/>
    <x v="1"/>
    <x v="0"/>
    <s v="2502200"/>
    <n v="450040"/>
    <s v="Contr Allow--Phys Svcs--BCBS Mgnd Care"/>
    <s v="Vascular Lab-Vasc Lab"/>
    <x v="0"/>
    <n v="1401"/>
    <n v="-1326.49"/>
    <n v="-488.46"/>
    <n v="1065.93"/>
    <n v="-382.51"/>
    <n v="-16.03"/>
    <n v="-192"/>
    <n v="-452.07"/>
    <n v="-886.35"/>
    <n v="-51.54"/>
    <n v="-73.209999999999994"/>
    <n v="132.32"/>
    <n v="1244.3800000000001"/>
    <n v="-1426.0299999999997"/>
    <n v="-1112.0600000000002"/>
  </r>
  <r>
    <x v="2"/>
    <x v="1"/>
    <x v="0"/>
    <s v="2502200"/>
    <n v="450040"/>
    <s v="Prompt Pay Disc-Phys Svcs-Self Pay"/>
    <s v="Vascular Lab-Vasc Lab"/>
    <x v="0"/>
    <n v="1500"/>
    <n v="0"/>
    <n v="0"/>
    <n v="0"/>
    <n v="-74.3"/>
    <n v="0"/>
    <n v="0"/>
    <n v="0"/>
    <n v="0"/>
    <n v="0"/>
    <n v="0"/>
    <n v="0"/>
    <n v="0"/>
    <n v="-74.3"/>
    <n v="0"/>
  </r>
  <r>
    <x v="2"/>
    <x v="1"/>
    <x v="0"/>
    <s v="2502200"/>
    <n v="450040"/>
    <s v="Admin Adjust-Phys Svcs-Self Pay"/>
    <s v="Vascular Lab-Vasc Lab"/>
    <x v="0"/>
    <n v="1600"/>
    <n v="129.18"/>
    <n v="633.65"/>
    <n v="955.7"/>
    <n v="422.19"/>
    <n v="-398.75"/>
    <n v="31.81"/>
    <n v="-492.6"/>
    <n v="-256.38"/>
    <n v="-250.06"/>
    <n v="0"/>
    <n v="249.07"/>
    <n v="71.510000000000005"/>
    <n v="1095.3199999999997"/>
    <n v="177.56"/>
  </r>
  <r>
    <x v="2"/>
    <x v="1"/>
    <x v="0"/>
    <s v="2502200"/>
    <n v="450040"/>
    <s v="Contr Allow--Phys Svcs--Other"/>
    <s v="Vascular Lab-Vasc Lab"/>
    <x v="0"/>
    <n v="1700"/>
    <n v="0"/>
    <n v="0"/>
    <n v="0"/>
    <n v="0"/>
    <n v="0"/>
    <n v="-14.59"/>
    <n v="0"/>
    <n v="191.43"/>
    <n v="0"/>
    <n v="0"/>
    <n v="0"/>
    <n v="0"/>
    <n v="176.84"/>
    <n v="0"/>
  </r>
  <r>
    <x v="3"/>
    <x v="1"/>
    <x v="0"/>
    <s v="2502200"/>
    <n v="470040"/>
    <s v="Charity Care-Physician Svcs"/>
    <s v="Vascular Lab-Vasc Lab"/>
    <x v="0"/>
    <m/>
    <n v="29.55"/>
    <n v="256.26"/>
    <n v="20.16"/>
    <n v="28.4"/>
    <n v="23.51"/>
    <n v="362.87"/>
    <n v="63.25"/>
    <n v="220.17"/>
    <n v="762.16"/>
    <n v="-10.39"/>
    <n v="41.9"/>
    <n v="163.77000000000001"/>
    <n v="1961.61"/>
    <n v="-121.87"/>
  </r>
  <r>
    <x v="4"/>
    <x v="1"/>
    <x v="0"/>
    <s v="2502200"/>
    <n v="490010"/>
    <s v="Provision for Bad Debts"/>
    <s v="Vascular Lab-Vasc Lab"/>
    <x v="0"/>
    <m/>
    <n v="-920.88"/>
    <n v="-583"/>
    <n v="-530.91999999999996"/>
    <n v="88.12"/>
    <n v="-8.57"/>
    <n v="-1250.33"/>
    <n v="101.05"/>
    <n v="-121.8"/>
    <n v="-801.86"/>
    <n v="-749.25"/>
    <n v="-280.61"/>
    <n v="-249.8"/>
    <n v="-5307.85"/>
    <n v="-30.810000000000002"/>
  </r>
  <r>
    <x v="1"/>
    <x v="1"/>
    <x v="0"/>
    <s v="2504200"/>
    <n v="400029"/>
    <s v="MD Practice Other Rev--Medicare"/>
    <s v="Enumclaw Med &amp; Spec-GI"/>
    <x v="0"/>
    <n v="1100"/>
    <n v="0"/>
    <n v="-18"/>
    <n v="0"/>
    <n v="0"/>
    <n v="0"/>
    <n v="0"/>
    <n v="0"/>
    <n v="0"/>
    <n v="0"/>
    <n v="0"/>
    <n v="0"/>
    <n v="0"/>
    <n v="-18"/>
    <n v="0"/>
  </r>
  <r>
    <x v="1"/>
    <x v="1"/>
    <x v="0"/>
    <s v="2504200"/>
    <n v="400040"/>
    <s v="Physician Svcs Rev--Medicare"/>
    <s v="Enumclaw Med &amp; Spec-GI"/>
    <x v="0"/>
    <n v="1100"/>
    <n v="-81603"/>
    <n v="-89757"/>
    <n v="-76556.399999999994"/>
    <n v="-87723.9"/>
    <n v="-67950"/>
    <n v="-103568"/>
    <n v="-80235"/>
    <n v="-73071.5"/>
    <n v="-96893"/>
    <n v="-106043.2"/>
    <n v="-108768"/>
    <n v="-78073.8"/>
    <n v="-1050242.8"/>
    <n v="-30694.199999999997"/>
  </r>
  <r>
    <x v="1"/>
    <x v="1"/>
    <x v="0"/>
    <s v="2504200"/>
    <n v="400040"/>
    <s v="Physician Svcs Rev--Medicaid"/>
    <s v="Enumclaw Med &amp; Spec-GI"/>
    <x v="0"/>
    <n v="1200"/>
    <n v="-27396"/>
    <n v="-31809"/>
    <n v="-14308"/>
    <n v="-27541"/>
    <n v="-20496"/>
    <n v="-28033"/>
    <n v="-30374"/>
    <n v="-22592"/>
    <n v="-19841"/>
    <n v="-27931"/>
    <n v="-29226"/>
    <n v="-30614"/>
    <n v="-310161"/>
    <n v="1388"/>
  </r>
  <r>
    <x v="1"/>
    <x v="1"/>
    <x v="0"/>
    <s v="2504200"/>
    <n v="400040"/>
    <s v="Physician Svcs Rev--Comm Insurance"/>
    <s v="Enumclaw Med &amp; Spec-GI"/>
    <x v="0"/>
    <n v="1300"/>
    <n v="-8471"/>
    <n v="-9353"/>
    <n v="-3821.8"/>
    <n v="-4354"/>
    <n v="-5878"/>
    <n v="-2907.4"/>
    <n v="-8440"/>
    <n v="-2537"/>
    <n v="-7859"/>
    <n v="-9969.6"/>
    <n v="-17661"/>
    <n v="-7079"/>
    <n v="-88330.799999999988"/>
    <n v="-10582"/>
  </r>
  <r>
    <x v="1"/>
    <x v="1"/>
    <x v="0"/>
    <s v="2504200"/>
    <n v="400040"/>
    <s v="Physician Svcs Rev--BCBS Comm"/>
    <s v="Enumclaw Med &amp; Spec-GI"/>
    <x v="0"/>
    <n v="1301"/>
    <n v="-24503"/>
    <n v="-46158.7"/>
    <n v="-22490"/>
    <n v="-32312"/>
    <n v="-16866"/>
    <n v="-20618"/>
    <n v="-24874"/>
    <n v="-19936"/>
    <n v="-33977"/>
    <n v="-38441"/>
    <n v="-32370"/>
    <n v="-22385"/>
    <n v="-334930.7"/>
    <n v="-9985"/>
  </r>
  <r>
    <x v="1"/>
    <x v="1"/>
    <x v="0"/>
    <s v="2504200"/>
    <n v="400040"/>
    <s v="Physician Svcs Rev--Managed Care"/>
    <s v="Enumclaw Med &amp; Spec-GI"/>
    <x v="0"/>
    <n v="1400"/>
    <n v="-59210"/>
    <n v="-85561"/>
    <n v="-66956"/>
    <n v="-85468"/>
    <n v="-63171"/>
    <n v="-91868"/>
    <n v="-76269.600000000006"/>
    <n v="-57175.5"/>
    <n v="-78379.8"/>
    <n v="-80622"/>
    <n v="-79384.2"/>
    <n v="-95059"/>
    <n v="-919124.1"/>
    <n v="15674.800000000003"/>
  </r>
  <r>
    <x v="1"/>
    <x v="1"/>
    <x v="0"/>
    <s v="2504200"/>
    <n v="400040"/>
    <s v="Physician Svcs Rev--Self Pay"/>
    <s v="Enumclaw Med &amp; Spec-GI"/>
    <x v="0"/>
    <n v="1500"/>
    <n v="-1335"/>
    <n v="-2332"/>
    <n v="-3051"/>
    <n v="0"/>
    <n v="-652"/>
    <n v="548"/>
    <n v="-1414"/>
    <n v="-1275"/>
    <n v="-810"/>
    <n v="-1980"/>
    <n v="-7366"/>
    <n v="-1087"/>
    <n v="-20754"/>
    <n v="-6279"/>
  </r>
  <r>
    <x v="1"/>
    <x v="1"/>
    <x v="0"/>
    <s v="2504200"/>
    <n v="400040"/>
    <s v="Physician Svcs Rev--Other"/>
    <s v="Enumclaw Med &amp; Spec-GI"/>
    <x v="0"/>
    <n v="1700"/>
    <n v="-2482"/>
    <n v="-1880"/>
    <n v="-4605"/>
    <n v="-7776"/>
    <n v="-3755"/>
    <n v="-3315"/>
    <n v="-3325"/>
    <n v="-5530"/>
    <n v="-4165"/>
    <n v="-6527"/>
    <n v="-4691"/>
    <n v="-10765"/>
    <n v="-58816"/>
    <n v="6074"/>
  </r>
  <r>
    <x v="2"/>
    <x v="1"/>
    <x v="0"/>
    <s v="2504200"/>
    <n v="450029"/>
    <s v="Admin Adjust-MD Other-Self Pay"/>
    <s v="Enumclaw Med &amp; Spec-GI"/>
    <x v="0"/>
    <n v="1600"/>
    <n v="0"/>
    <n v="18"/>
    <n v="0"/>
    <n v="0"/>
    <n v="0"/>
    <n v="0"/>
    <n v="0"/>
    <n v="0"/>
    <n v="0"/>
    <n v="0"/>
    <n v="0"/>
    <n v="0"/>
    <n v="18"/>
    <n v="0"/>
  </r>
  <r>
    <x v="2"/>
    <x v="1"/>
    <x v="0"/>
    <s v="2504200"/>
    <n v="450040"/>
    <s v="Contr Allow--Phys Svcs--Mcare"/>
    <s v="Enumclaw Med &amp; Spec-GI"/>
    <x v="0"/>
    <n v="1100"/>
    <n v="63790.12"/>
    <n v="64032.71"/>
    <n v="56145.75"/>
    <n v="61872.03"/>
    <n v="48801.7"/>
    <n v="62783.38"/>
    <n v="61009.42"/>
    <n v="42882.45"/>
    <n v="81886.53"/>
    <n v="59848.81"/>
    <n v="70400.070000000007"/>
    <n v="71032.02"/>
    <n v="744484.99"/>
    <n v="-631.94999999999709"/>
  </r>
  <r>
    <x v="2"/>
    <x v="1"/>
    <x v="0"/>
    <s v="2504200"/>
    <n v="450040"/>
    <s v="Contr Allow--Phys Svcs--Mcaid"/>
    <s v="Enumclaw Med &amp; Spec-GI"/>
    <x v="0"/>
    <n v="1200"/>
    <n v="18950.13"/>
    <n v="25163.98"/>
    <n v="15910.91"/>
    <n v="14417.56"/>
    <n v="21325.9"/>
    <n v="21038.74"/>
    <n v="27587.5"/>
    <n v="22444.43"/>
    <n v="19567.21"/>
    <n v="19676.490000000002"/>
    <n v="21256.51"/>
    <n v="24267.09"/>
    <n v="251606.45"/>
    <n v="-3010.5800000000017"/>
  </r>
  <r>
    <x v="2"/>
    <x v="1"/>
    <x v="0"/>
    <s v="2504200"/>
    <n v="450040"/>
    <s v="Contr Allow--Phys Svcs--Comm Insurance"/>
    <s v="Enumclaw Med &amp; Spec-GI"/>
    <x v="0"/>
    <n v="1300"/>
    <n v="2415.75"/>
    <n v="5070.09"/>
    <n v="2277.66"/>
    <n v="1479.53"/>
    <n v="1158.55"/>
    <n v="1374.2"/>
    <n v="3532.29"/>
    <n v="1068.68"/>
    <n v="1046.18"/>
    <n v="4721.63"/>
    <n v="3807.24"/>
    <n v="4886.5200000000004"/>
    <n v="32838.320000000007"/>
    <n v="-1079.2800000000007"/>
  </r>
  <r>
    <x v="2"/>
    <x v="1"/>
    <x v="0"/>
    <s v="2504200"/>
    <n v="450040"/>
    <s v="Contr Allow--Phys Svcs--BCBS Comm Ins"/>
    <s v="Enumclaw Med &amp; Spec-GI"/>
    <x v="0"/>
    <n v="1301"/>
    <n v="11584.35"/>
    <n v="13305.71"/>
    <n v="14169.86"/>
    <n v="9660.98"/>
    <n v="10627.12"/>
    <n v="9950.2099999999991"/>
    <n v="6946.94"/>
    <n v="10609.17"/>
    <n v="10652.08"/>
    <n v="18354.34"/>
    <n v="10280.39"/>
    <n v="11521.64"/>
    <n v="137662.78999999998"/>
    <n v="-1241.25"/>
  </r>
  <r>
    <x v="2"/>
    <x v="1"/>
    <x v="0"/>
    <s v="2504200"/>
    <n v="450040"/>
    <s v="Contr Allow--Phys Svcs--Managed Care"/>
    <s v="Enumclaw Med &amp; Spec-GI"/>
    <x v="0"/>
    <n v="1400"/>
    <n v="29048.21"/>
    <n v="33662.980000000003"/>
    <n v="26882.98"/>
    <n v="29053.77"/>
    <n v="39036.99"/>
    <n v="29480.99"/>
    <n v="31015.06"/>
    <n v="28156.17"/>
    <n v="29535.06"/>
    <n v="31501.919999999998"/>
    <n v="38119.78"/>
    <n v="31311.87"/>
    <n v="376805.77999999991"/>
    <n v="6807.91"/>
  </r>
  <r>
    <x v="2"/>
    <x v="1"/>
    <x v="0"/>
    <s v="2504200"/>
    <n v="450040"/>
    <s v="Contr Allow--Phys Svcs--BCBS Mgnd Care"/>
    <s v="Enumclaw Med &amp; Spec-GI"/>
    <x v="0"/>
    <n v="1401"/>
    <n v="-8498.32"/>
    <n v="-133963.94"/>
    <n v="128625.12"/>
    <n v="15586.44"/>
    <n v="-19776.490000000002"/>
    <n v="17479.45"/>
    <n v="3052.28"/>
    <n v="1137.73"/>
    <n v="-1301.19"/>
    <n v="13174.32"/>
    <n v="11734.89"/>
    <n v="-3951.6"/>
    <n v="23298.689999999984"/>
    <n v="15686.49"/>
  </r>
  <r>
    <x v="2"/>
    <x v="1"/>
    <x v="0"/>
    <s v="2504200"/>
    <n v="450040"/>
    <s v="Admin Adjust-Phys Svcs-Self Pay"/>
    <s v="Enumclaw Med &amp; Spec-GI"/>
    <x v="0"/>
    <n v="1600"/>
    <n v="545.53"/>
    <n v="1063.6400000000001"/>
    <n v="2889.14"/>
    <n v="85.46"/>
    <n v="260.88"/>
    <n v="-220.85"/>
    <n v="599.57000000000005"/>
    <n v="472.95"/>
    <n v="452.54"/>
    <n v="734.55"/>
    <n v="3532.64"/>
    <n v="871.77"/>
    <n v="11287.82"/>
    <n v="2660.87"/>
  </r>
  <r>
    <x v="2"/>
    <x v="1"/>
    <x v="0"/>
    <s v="2504200"/>
    <n v="450040"/>
    <s v="Contr Allow--Phys Svcs--Other"/>
    <s v="Enumclaw Med &amp; Spec-GI"/>
    <x v="0"/>
    <n v="1700"/>
    <n v="657.28"/>
    <n v="3291.39"/>
    <n v="2588"/>
    <n v="3988.36"/>
    <n v="2323.5100000000002"/>
    <n v="2518.66"/>
    <n v="4538.78"/>
    <n v="1207.51"/>
    <n v="887.58"/>
    <n v="3329.87"/>
    <n v="3594.23"/>
    <n v="4109.12"/>
    <n v="33034.29"/>
    <n v="-514.88999999999987"/>
  </r>
  <r>
    <x v="3"/>
    <x v="1"/>
    <x v="0"/>
    <s v="2504200"/>
    <n v="470040"/>
    <s v="Charity Care-Physician Svcs"/>
    <s v="Enumclaw Med &amp; Spec-GI"/>
    <x v="0"/>
    <m/>
    <n v="-494.36"/>
    <n v="-1838.03"/>
    <n v="5149.6400000000003"/>
    <n v="1817.79"/>
    <n v="-419.73"/>
    <n v="1605.53"/>
    <n v="908.99"/>
    <n v="782.81"/>
    <n v="1011.68"/>
    <n v="1788.62"/>
    <n v="1364.73"/>
    <n v="2999.22"/>
    <n v="14676.890000000001"/>
    <n v="-1634.4899999999998"/>
  </r>
  <r>
    <x v="4"/>
    <x v="1"/>
    <x v="0"/>
    <s v="2504200"/>
    <n v="490010"/>
    <s v="Provision for Bad Debts"/>
    <s v="Enumclaw Med &amp; Spec-GI"/>
    <x v="0"/>
    <m/>
    <n v="-1321.57"/>
    <n v="-18815.04"/>
    <n v="23007.65"/>
    <n v="4128.41"/>
    <n v="756.38"/>
    <n v="2286.4499999999998"/>
    <n v="295.7"/>
    <n v="-539.97"/>
    <n v="940.54"/>
    <n v="1122.6400000000001"/>
    <n v="2309.96"/>
    <n v="973.7"/>
    <n v="15144.850000000002"/>
    <n v="1336.26"/>
  </r>
  <r>
    <x v="5"/>
    <x v="1"/>
    <x v="0"/>
    <s v="2504200"/>
    <n v="700022"/>
    <s v="Salaries-Physician-Productive"/>
    <s v="Enumclaw Med &amp; Spec-GI"/>
    <x v="0"/>
    <m/>
    <n v="78050.97"/>
    <n v="86029.71"/>
    <n v="53324.76"/>
    <n v="94432.46"/>
    <n v="69939.37"/>
    <n v="67576.86"/>
    <n v="82445.850000000006"/>
    <n v="70429.399999999994"/>
    <n v="83588.600000000006"/>
    <n v="85199.72"/>
    <n v="89579.83"/>
    <n v="73549.91"/>
    <n v="934147.44"/>
    <n v="16029.919999999998"/>
  </r>
  <r>
    <x v="5"/>
    <x v="1"/>
    <x v="0"/>
    <s v="2504200"/>
    <n v="700032"/>
    <s v="Salaries-Other Pat Care Providers-Productive"/>
    <s v="Enumclaw Med &amp; Spec-GI"/>
    <x v="0"/>
    <m/>
    <n v="6871.24"/>
    <n v="8349.7999999999993"/>
    <n v="6141.15"/>
    <n v="8594.2800000000007"/>
    <n v="7716.92"/>
    <n v="6649.5"/>
    <n v="6439.14"/>
    <n v="6636.58"/>
    <n v="3710.69"/>
    <n v="3134.57"/>
    <n v="5275.43"/>
    <n v="3866.67"/>
    <n v="73385.97"/>
    <n v="1408.7600000000002"/>
  </r>
  <r>
    <x v="5"/>
    <x v="1"/>
    <x v="0"/>
    <s v="2504200"/>
    <n v="700032"/>
    <s v="Salaries-Other Pat Care Providers-OT"/>
    <s v="Enumclaw Med &amp; Spec-GI"/>
    <x v="0"/>
    <n v="1000"/>
    <n v="93.36"/>
    <n v="162.66999999999999"/>
    <n v="401.29"/>
    <n v="88.39"/>
    <n v="183.5"/>
    <n v="61.16"/>
    <n v="352.45"/>
    <n v="120.74"/>
    <n v="16.45"/>
    <n v="-4.83"/>
    <n v="96.7"/>
    <n v="96.67"/>
    <n v="1668.5500000000002"/>
    <n v="3.0000000000001137E-2"/>
  </r>
  <r>
    <x v="5"/>
    <x v="1"/>
    <x v="0"/>
    <s v="2504200"/>
    <n v="700062"/>
    <s v="Salaries-Physician-Non-productive"/>
    <s v="Enumclaw Med &amp; Spec-GI"/>
    <x v="0"/>
    <m/>
    <n v="6754.85"/>
    <n v="3653.85"/>
    <n v="24322.12"/>
    <n v="-5138.55"/>
    <n v="14615.4"/>
    <n v="13052.7"/>
    <n v="5997.91"/>
    <n v="6948.89"/>
    <n v="-1985.39"/>
    <n v="0"/>
    <n v="0"/>
    <n v="6835.74"/>
    <n v="75057.52"/>
    <n v="-6835.74"/>
  </r>
  <r>
    <x v="5"/>
    <x v="1"/>
    <x v="0"/>
    <s v="2504200"/>
    <n v="700062"/>
    <s v="Salaries-Physician-NonProd-Other"/>
    <s v="Enumclaw Med &amp; Spec-GI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04200"/>
    <n v="700072"/>
    <s v="Salaries-Other Pat Care Providers-Non-productive"/>
    <s v="Enumclaw Med &amp; Spec-GI"/>
    <x v="0"/>
    <m/>
    <n v="1658.35"/>
    <n v="464.17"/>
    <n v="1645.76"/>
    <n v="350.63"/>
    <n v="810.98"/>
    <n v="1664.9"/>
    <n v="2260.92"/>
    <n v="1295.2"/>
    <n v="-109.87"/>
    <n v="1544.73"/>
    <n v="-590.95000000000005"/>
    <n v="296.45"/>
    <n v="11291.269999999999"/>
    <n v="-887.40000000000009"/>
  </r>
  <r>
    <x v="5"/>
    <x v="1"/>
    <x v="0"/>
    <s v="2504200"/>
    <n v="700084"/>
    <s v="Accrued PTO"/>
    <s v="Enumclaw Med &amp; Spec-GI"/>
    <x v="0"/>
    <m/>
    <n v="-511.46"/>
    <n v="477.48"/>
    <n v="-728.71"/>
    <n v="823.25"/>
    <n v="510.9"/>
    <n v="-548.82000000000005"/>
    <n v="-977.53"/>
    <n v="-540.82000000000005"/>
    <n v="-6014.3"/>
    <n v="-73.88"/>
    <n v="452"/>
    <n v="0"/>
    <n v="-7131.89"/>
    <n v="452"/>
  </r>
  <r>
    <x v="6"/>
    <x v="1"/>
    <x v="0"/>
    <s v="2504200"/>
    <n v="713010"/>
    <s v="Benefits-FICA/Medicare"/>
    <s v="Enumclaw Med &amp; Spec-GI"/>
    <x v="0"/>
    <m/>
    <n v="1864.63"/>
    <n v="1950.44"/>
    <n v="1724.98"/>
    <n v="1954.43"/>
    <n v="1862.46"/>
    <n v="4357.16"/>
    <n v="7326.69"/>
    <n v="6477.71"/>
    <n v="5526.86"/>
    <n v="1148.0999999999999"/>
    <n v="1650.1"/>
    <n v="1444.11"/>
    <n v="37287.67"/>
    <n v="205.99"/>
  </r>
  <r>
    <x v="6"/>
    <x v="1"/>
    <x v="0"/>
    <s v="2504200"/>
    <n v="713090"/>
    <s v="Benefits-Allocated Amounts"/>
    <s v="Enumclaw Med &amp; Spec-GI"/>
    <x v="0"/>
    <m/>
    <n v="0"/>
    <n v="0"/>
    <n v="0"/>
    <n v="0"/>
    <n v="0"/>
    <n v="0"/>
    <n v="0"/>
    <n v="0"/>
    <n v="65475.26"/>
    <n v="6796.43"/>
    <n v="6815.82"/>
    <n v="6233.11"/>
    <n v="85320.62000000001"/>
    <n v="582.71"/>
  </r>
  <r>
    <x v="6"/>
    <x v="1"/>
    <x v="0"/>
    <s v="2504200"/>
    <n v="713092"/>
    <s v="Allocated Benefits-Physician"/>
    <s v="Enumclaw Med &amp; Spec-GI"/>
    <x v="0"/>
    <m/>
    <n v="7219.4"/>
    <n v="6699.69"/>
    <n v="6562.68"/>
    <n v="6882.95"/>
    <n v="6844.45"/>
    <n v="7187.32"/>
    <n v="8421.7900000000009"/>
    <n v="7972.82"/>
    <n v="-57791.1"/>
    <n v="0"/>
    <n v="0"/>
    <n v="0"/>
    <n v="0"/>
    <n v="0"/>
  </r>
  <r>
    <x v="7"/>
    <x v="1"/>
    <x v="0"/>
    <s v="2504200"/>
    <n v="718010"/>
    <s v="Media/Print Advertising"/>
    <s v="Enumclaw Med &amp; Spec-GI"/>
    <x v="0"/>
    <n v="1004"/>
    <n v="0"/>
    <n v="0"/>
    <n v="0"/>
    <n v="268.64999999999998"/>
    <n v="0"/>
    <n v="0"/>
    <n v="0"/>
    <n v="0"/>
    <n v="0"/>
    <n v="0"/>
    <n v="147.52000000000001"/>
    <n v="0"/>
    <n v="416.16999999999996"/>
    <n v="147.52000000000001"/>
  </r>
  <r>
    <x v="7"/>
    <x v="1"/>
    <x v="0"/>
    <s v="2504200"/>
    <n v="718050"/>
    <s v="Contract Svcs-Other"/>
    <s v="Enumclaw Med &amp; Spec-GI"/>
    <x v="0"/>
    <m/>
    <n v="0"/>
    <n v="0"/>
    <n v="18.95"/>
    <n v="0"/>
    <n v="0"/>
    <n v="0"/>
    <n v="0"/>
    <n v="0"/>
    <n v="0"/>
    <n v="0"/>
    <n v="0"/>
    <n v="0"/>
    <n v="18.95"/>
    <n v="0"/>
  </r>
  <r>
    <x v="7"/>
    <x v="1"/>
    <x v="0"/>
    <s v="2504200"/>
    <n v="718050"/>
    <s v="Physician Answering"/>
    <s v="Enumclaw Med &amp; Spec-GI"/>
    <x v="0"/>
    <n v="1015"/>
    <n v="111.4"/>
    <n v="168"/>
    <n v="274"/>
    <n v="40.200000000000003"/>
    <n v="120.6"/>
    <n v="195.2"/>
    <n v="257.2"/>
    <n v="209.4"/>
    <n v="150.6"/>
    <n v="225.6"/>
    <n v="148.6"/>
    <n v="97.8"/>
    <n v="1998.6"/>
    <n v="50.8"/>
  </r>
  <r>
    <x v="7"/>
    <x v="1"/>
    <x v="0"/>
    <s v="2504200"/>
    <n v="718050"/>
    <s v="Contract Management--Linen"/>
    <s v="Enumclaw Med &amp; Spec-GI"/>
    <x v="0"/>
    <n v="1026"/>
    <n v="37.9"/>
    <n v="165.94"/>
    <n v="96.95"/>
    <n v="57.85"/>
    <n v="57.85"/>
    <n v="56.85"/>
    <n v="57.85"/>
    <n v="209.99"/>
    <n v="100"/>
    <n v="41"/>
    <n v="101"/>
    <n v="60"/>
    <n v="1043.18"/>
    <n v="41"/>
  </r>
  <r>
    <x v="11"/>
    <x v="1"/>
    <x v="0"/>
    <s v="2504200"/>
    <n v="721410"/>
    <s v="Supplies-Medical - Nonbillable"/>
    <s v="Enumclaw Med &amp; Spec-GI"/>
    <x v="0"/>
    <m/>
    <n v="33.58"/>
    <n v="0"/>
    <n v="0"/>
    <n v="89.75"/>
    <n v="0"/>
    <n v="184.7"/>
    <n v="0"/>
    <n v="0"/>
    <n v="28.1"/>
    <n v="0"/>
    <n v="0"/>
    <n v="48.88"/>
    <n v="385.01"/>
    <n v="-48.88"/>
  </r>
  <r>
    <x v="12"/>
    <x v="1"/>
    <x v="0"/>
    <s v="2504200"/>
    <n v="730010"/>
    <s v="Rental and Leases-Building (DO NOT USE)"/>
    <s v="Enumclaw Med &amp; Spec-GI"/>
    <x v="0"/>
    <m/>
    <n v="535.54"/>
    <n v="535.54"/>
    <n v="535.54"/>
    <n v="535.54"/>
    <n v="535.54"/>
    <n v="535.54"/>
    <n v="535.54"/>
    <n v="535.54"/>
    <n v="535.54"/>
    <n v="535.54"/>
    <n v="535.54"/>
    <n v="0"/>
    <n v="5890.94"/>
    <n v="535.54"/>
  </r>
  <r>
    <x v="12"/>
    <x v="1"/>
    <x v="0"/>
    <s v="2504200"/>
    <n v="730040"/>
    <s v="LT Lease-Real Estate"/>
    <s v="Enumclaw Med &amp; Spec-GI"/>
    <x v="0"/>
    <m/>
    <n v="0"/>
    <n v="0"/>
    <n v="0"/>
    <n v="0"/>
    <n v="0"/>
    <n v="0"/>
    <n v="0"/>
    <n v="0"/>
    <n v="0"/>
    <n v="0"/>
    <n v="0"/>
    <n v="535.54"/>
    <n v="535.54"/>
    <n v="-535.54"/>
  </r>
  <r>
    <x v="0"/>
    <x v="1"/>
    <x v="0"/>
    <s v="2504200"/>
    <n v="740022"/>
    <s v="Education-Physician"/>
    <s v="Enumclaw Med &amp; Spec-GI"/>
    <x v="0"/>
    <m/>
    <n v="0"/>
    <n v="0"/>
    <n v="0"/>
    <n v="0"/>
    <n v="0"/>
    <n v="0"/>
    <n v="0"/>
    <n v="0"/>
    <n v="0"/>
    <n v="0"/>
    <n v="0"/>
    <n v="190"/>
    <n v="190"/>
    <n v="-190"/>
  </r>
  <r>
    <x v="0"/>
    <x v="1"/>
    <x v="0"/>
    <s v="2504200"/>
    <n v="740022"/>
    <s v="Books-Physician"/>
    <s v="Enumclaw Med &amp; Spec-GI"/>
    <x v="0"/>
    <n v="2000"/>
    <n v="0"/>
    <n v="0"/>
    <n v="0"/>
    <n v="0"/>
    <n v="0"/>
    <n v="2250"/>
    <n v="0"/>
    <n v="0"/>
    <n v="0"/>
    <n v="0"/>
    <n v="0"/>
    <n v="0"/>
    <n v="2250"/>
    <n v="0"/>
  </r>
  <r>
    <x v="8"/>
    <x v="1"/>
    <x v="0"/>
    <s v="2504200"/>
    <n v="741012"/>
    <s v="Physician Liab Insurance-CHI Program"/>
    <s v="Enumclaw Med &amp; Spec-GI"/>
    <x v="0"/>
    <m/>
    <n v="1151.01"/>
    <n v="1151.01"/>
    <n v="1151.01"/>
    <n v="1151.01"/>
    <n v="1151.01"/>
    <n v="1151.01"/>
    <n v="1151.01"/>
    <n v="1151.01"/>
    <n v="1151.01"/>
    <n v="1151.01"/>
    <n v="1151.01"/>
    <n v="0"/>
    <n v="12661.11"/>
    <n v="1151.01"/>
  </r>
  <r>
    <x v="0"/>
    <x v="1"/>
    <x v="0"/>
    <s v="2504200"/>
    <n v="743020"/>
    <s v="Dues--Individual"/>
    <s v="Enumclaw Med &amp; Spec-GI"/>
    <x v="0"/>
    <m/>
    <n v="0"/>
    <n v="0"/>
    <n v="0"/>
    <n v="0"/>
    <n v="0"/>
    <n v="0"/>
    <n v="0"/>
    <n v="0"/>
    <n v="535"/>
    <n v="0"/>
    <n v="0"/>
    <n v="0"/>
    <n v="535"/>
    <n v="0"/>
  </r>
  <r>
    <x v="0"/>
    <x v="1"/>
    <x v="0"/>
    <s v="2504200"/>
    <n v="743022"/>
    <s v="Dues-Physician"/>
    <s v="Enumclaw Med &amp; Spec-GI"/>
    <x v="0"/>
    <m/>
    <n v="0"/>
    <n v="0"/>
    <n v="0"/>
    <n v="0"/>
    <n v="0"/>
    <n v="395"/>
    <n v="0"/>
    <n v="143"/>
    <n v="0"/>
    <n v="0"/>
    <n v="0"/>
    <n v="463.33"/>
    <n v="1001.3299999999999"/>
    <n v="-463.33"/>
  </r>
  <r>
    <x v="0"/>
    <x v="1"/>
    <x v="0"/>
    <s v="2504200"/>
    <n v="749510"/>
    <s v="Miscellaneous Expenses"/>
    <s v="Enumclaw Med &amp; Spec-GI"/>
    <x v="0"/>
    <m/>
    <n v="0"/>
    <n v="-155"/>
    <n v="31.01"/>
    <n v="-31.01"/>
    <n v="2645"/>
    <n v="-2645"/>
    <n v="0"/>
    <n v="0"/>
    <n v="0"/>
    <n v="0"/>
    <n v="0"/>
    <n v="0"/>
    <n v="-155"/>
    <n v="0"/>
  </r>
  <r>
    <x v="0"/>
    <x v="1"/>
    <x v="0"/>
    <s v="2504200"/>
    <n v="749510"/>
    <s v="RICE Rewards"/>
    <s v="Enumclaw Med &amp; Spec-GI"/>
    <x v="0"/>
    <n v="5100"/>
    <n v="0"/>
    <n v="0"/>
    <n v="0"/>
    <n v="0"/>
    <n v="0"/>
    <n v="0"/>
    <n v="0"/>
    <n v="0"/>
    <n v="0"/>
    <n v="0"/>
    <n v="189"/>
    <n v="0"/>
    <n v="189"/>
    <n v="189"/>
  </r>
  <r>
    <x v="0"/>
    <x v="1"/>
    <x v="0"/>
    <s v="2504200"/>
    <n v="749512"/>
    <s v="Licenses-Physician"/>
    <s v="Enumclaw Med &amp; Spec-GI"/>
    <x v="0"/>
    <n v="2000"/>
    <n v="0"/>
    <n v="0"/>
    <n v="0"/>
    <n v="688.01"/>
    <n v="0"/>
    <n v="0"/>
    <n v="0"/>
    <n v="0"/>
    <n v="0"/>
    <n v="0"/>
    <n v="657"/>
    <n v="0"/>
    <n v="1345.01"/>
    <n v="657"/>
  </r>
  <r>
    <x v="0"/>
    <x v="1"/>
    <x v="0"/>
    <s v="2504200"/>
    <n v="749530"/>
    <s v="Mileage"/>
    <s v="Enumclaw Med &amp; Spec-GI"/>
    <x v="0"/>
    <n v="1001"/>
    <n v="0"/>
    <n v="0"/>
    <n v="0"/>
    <n v="0"/>
    <n v="0"/>
    <n v="0"/>
    <n v="0"/>
    <n v="0"/>
    <n v="0"/>
    <n v="0"/>
    <n v="117.16"/>
    <n v="229.68"/>
    <n v="346.84000000000003"/>
    <n v="-112.52000000000001"/>
  </r>
  <r>
    <x v="0"/>
    <x v="1"/>
    <x v="0"/>
    <s v="2504200"/>
    <n v="749532"/>
    <s v="Travel-Physician"/>
    <s v="Enumclaw Med &amp; Spec-GI"/>
    <x v="0"/>
    <m/>
    <n v="0"/>
    <n v="0"/>
    <n v="0"/>
    <n v="0"/>
    <n v="0"/>
    <n v="0"/>
    <n v="0"/>
    <n v="0"/>
    <n v="0"/>
    <n v="0"/>
    <n v="0"/>
    <n v="2006.17"/>
    <n v="2006.17"/>
    <n v="-2006.17"/>
  </r>
  <r>
    <x v="1"/>
    <x v="1"/>
    <x v="0"/>
    <s v="2505200"/>
    <n v="400029"/>
    <s v="MD Practice Other Rev--Comm Insurance"/>
    <s v="Enumclaw Med &amp; Spec-Radiology"/>
    <x v="0"/>
    <n v="1300"/>
    <n v="0"/>
    <n v="-65"/>
    <n v="0"/>
    <n v="0"/>
    <n v="0"/>
    <n v="-84"/>
    <n v="0"/>
    <n v="0"/>
    <n v="0"/>
    <n v="0"/>
    <n v="0"/>
    <n v="0"/>
    <n v="-149"/>
    <n v="0"/>
  </r>
  <r>
    <x v="2"/>
    <x v="1"/>
    <x v="0"/>
    <s v="2505200"/>
    <n v="450029"/>
    <s v="Contr Allow--MD Other-Comm Insurance"/>
    <s v="Enumclaw Med &amp; Spec-Radiology"/>
    <x v="0"/>
    <n v="1300"/>
    <n v="0"/>
    <n v="0"/>
    <n v="0"/>
    <n v="0"/>
    <n v="0"/>
    <n v="0"/>
    <n v="38.31"/>
    <n v="0"/>
    <n v="0"/>
    <n v="84"/>
    <n v="0"/>
    <n v="0"/>
    <n v="122.31"/>
    <n v="0"/>
  </r>
  <r>
    <x v="2"/>
    <x v="1"/>
    <x v="0"/>
    <s v="2505200"/>
    <n v="450029"/>
    <s v="Admin Adjust-MD Other-Self Pay"/>
    <s v="Enumclaw Med &amp; Spec-Radiology"/>
    <x v="0"/>
    <n v="1600"/>
    <n v="6.4"/>
    <n v="0"/>
    <n v="0"/>
    <n v="0"/>
    <n v="0"/>
    <n v="0"/>
    <n v="0"/>
    <n v="0"/>
    <n v="0"/>
    <n v="0"/>
    <n v="0"/>
    <n v="0"/>
    <n v="6.4"/>
    <n v="0"/>
  </r>
  <r>
    <x v="2"/>
    <x v="1"/>
    <x v="0"/>
    <s v="2505200"/>
    <n v="450040"/>
    <s v="Contr Allow--Phys Svcs--BCBS Mgnd Care"/>
    <s v="Enumclaw Med &amp; Spec-Radiology"/>
    <x v="0"/>
    <n v="1401"/>
    <n v="-3.33"/>
    <n v="33.200000000000003"/>
    <n v="0.19"/>
    <n v="-0.39"/>
    <n v="0.2"/>
    <n v="44.21"/>
    <n v="-32.520000000000003"/>
    <n v="0.86"/>
    <n v="0.04"/>
    <n v="-45.15"/>
    <n v="0.27"/>
    <n v="-15.2"/>
    <n v="-17.61999999999999"/>
    <n v="15.469999999999999"/>
  </r>
  <r>
    <x v="3"/>
    <x v="1"/>
    <x v="0"/>
    <s v="2505200"/>
    <n v="470040"/>
    <s v="Charity Care-Physician Svcs"/>
    <s v="Enumclaw Med &amp; Spec-Radiology"/>
    <x v="0"/>
    <m/>
    <n v="-0.15"/>
    <n v="1.35"/>
    <n v="-0.14000000000000001"/>
    <n v="-0.03"/>
    <n v="0.08"/>
    <n v="1.22"/>
    <n v="-1.1200000000000001"/>
    <n v="-0.11"/>
    <n v="0.28000000000000003"/>
    <n v="-1.5"/>
    <n v="-0.06"/>
    <n v="-0.41"/>
    <n v="-0.59000000000000008"/>
    <n v="0.35"/>
  </r>
  <r>
    <x v="4"/>
    <x v="1"/>
    <x v="0"/>
    <s v="2505200"/>
    <n v="490010"/>
    <s v="Provision for Bad Debts"/>
    <s v="Enumclaw Med &amp; Spec-Radiology"/>
    <x v="0"/>
    <m/>
    <n v="-1.24"/>
    <n v="4.6500000000000004"/>
    <n v="-0.26"/>
    <n v="-0.59"/>
    <n v="-39.65"/>
    <n v="4.8899999999999997"/>
    <n v="-3.4"/>
    <n v="-0.43"/>
    <n v="0.39"/>
    <n v="-4.7300000000000004"/>
    <n v="-0.01"/>
    <n v="-34.97"/>
    <n v="-75.349999999999994"/>
    <n v="34.96"/>
  </r>
  <r>
    <x v="5"/>
    <x v="1"/>
    <x v="0"/>
    <s v="2505200"/>
    <n v="700034"/>
    <s v="Salaries-Tech/Professional-Productive"/>
    <s v="Enumclaw Med &amp; Spec-Radiology"/>
    <x v="0"/>
    <m/>
    <n v="6039.82"/>
    <n v="4809.95"/>
    <n v="3589.9"/>
    <n v="8889.48"/>
    <n v="8372.83"/>
    <n v="6495.87"/>
    <n v="7316.01"/>
    <n v="5971.14"/>
    <n v="7323.21"/>
    <n v="7913.54"/>
    <n v="7764.29"/>
    <n v="6434.11"/>
    <n v="80920.149999999994"/>
    <n v="1330.1800000000003"/>
  </r>
  <r>
    <x v="5"/>
    <x v="1"/>
    <x v="0"/>
    <s v="2505200"/>
    <n v="700034"/>
    <s v="Salaries-Tech/Professional-OT"/>
    <s v="Enumclaw Med &amp; Spec-Radiology"/>
    <x v="0"/>
    <n v="1000"/>
    <n v="381.3"/>
    <n v="241.75"/>
    <n v="0"/>
    <n v="181.51"/>
    <n v="-51.86"/>
    <n v="60.11"/>
    <n v="15.34"/>
    <n v="35.42"/>
    <n v="72.02"/>
    <n v="25.98"/>
    <n v="109.78"/>
    <n v="-47.21"/>
    <n v="1024.1399999999999"/>
    <n v="156.99"/>
  </r>
  <r>
    <x v="5"/>
    <x v="1"/>
    <x v="0"/>
    <s v="2505200"/>
    <n v="700034"/>
    <s v="Salaries-Tech/Professional-Other"/>
    <s v="Enumclaw Med &amp; Spec-Radiology"/>
    <x v="0"/>
    <n v="2000"/>
    <n v="4.25"/>
    <n v="0"/>
    <n v="30"/>
    <n v="0"/>
    <n v="0"/>
    <n v="0"/>
    <n v="0"/>
    <n v="0"/>
    <n v="0"/>
    <n v="0"/>
    <n v="0"/>
    <n v="0"/>
    <n v="34.25"/>
    <n v="0"/>
  </r>
  <r>
    <x v="5"/>
    <x v="1"/>
    <x v="0"/>
    <s v="2505200"/>
    <n v="700074"/>
    <s v="Salaries-Tech/Professional-Non-productive"/>
    <s v="Enumclaw Med &amp; Spec-Radiology"/>
    <x v="0"/>
    <m/>
    <n v="2607.34"/>
    <n v="21.26"/>
    <n v="287.10000000000002"/>
    <n v="352.13"/>
    <n v="-99.08"/>
    <n v="874.2"/>
    <n v="1261.8699999999999"/>
    <n v="1011.19"/>
    <n v="515.70000000000005"/>
    <n v="292.70999999999998"/>
    <n v="1189.31"/>
    <n v="1026.53"/>
    <n v="9340.26"/>
    <n v="162.77999999999997"/>
  </r>
  <r>
    <x v="5"/>
    <x v="1"/>
    <x v="0"/>
    <s v="2505200"/>
    <n v="700074"/>
    <s v="Salaries-Tech/Professional-NonProd-Other"/>
    <s v="Enumclaw Med &amp; Spec-Radi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05200"/>
    <n v="700084"/>
    <s v="Accrued PTO"/>
    <s v="Enumclaw Med &amp; Spec-Radiology"/>
    <x v="0"/>
    <m/>
    <n v="-1510.92"/>
    <n v="-71.2"/>
    <n v="26.5"/>
    <n v="456.44"/>
    <n v="693.09"/>
    <n v="181.64"/>
    <n v="-515.91"/>
    <n v="-254.9"/>
    <n v="92.37"/>
    <n v="303.63"/>
    <n v="-1.08"/>
    <n v="-233.86"/>
    <n v="-834.2"/>
    <n v="232.78"/>
  </r>
  <r>
    <x v="6"/>
    <x v="1"/>
    <x v="0"/>
    <s v="2505200"/>
    <n v="713010"/>
    <s v="Benefits-FICA/Medicare"/>
    <s v="Enumclaw Med &amp; Spec-Radiology"/>
    <x v="0"/>
    <m/>
    <n v="689.75"/>
    <n v="387.67"/>
    <n v="266.57"/>
    <n v="699.64"/>
    <n v="593.98"/>
    <n v="545.58000000000004"/>
    <n v="639.35"/>
    <n v="521.23"/>
    <n v="588.75"/>
    <n v="612.53"/>
    <n v="675.32"/>
    <n v="551.46"/>
    <n v="6771.83"/>
    <n v="123.86000000000001"/>
  </r>
  <r>
    <x v="6"/>
    <x v="1"/>
    <x v="0"/>
    <s v="2505200"/>
    <n v="713090"/>
    <s v="Benefits-Allocated Amounts"/>
    <s v="Enumclaw Med &amp; Spec-Radiology"/>
    <x v="0"/>
    <m/>
    <n v="1812.11"/>
    <n v="1053.25"/>
    <n v="800.87"/>
    <n v="1775.78"/>
    <n v="1799.13"/>
    <n v="1701.59"/>
    <n v="1947.43"/>
    <n v="1874.85"/>
    <n v="1739.7"/>
    <n v="1967.9"/>
    <n v="1740.21"/>
    <n v="2004.07"/>
    <n v="20216.89"/>
    <n v="-263.8599999999999"/>
  </r>
  <r>
    <x v="13"/>
    <x v="1"/>
    <x v="0"/>
    <s v="2505200"/>
    <n v="735070"/>
    <s v="Depreciation-Movable Equipment"/>
    <s v="Enumclaw Med &amp; Spec-Radiology"/>
    <x v="0"/>
    <m/>
    <n v="1442.38"/>
    <n v="1442.4"/>
    <n v="1442.39"/>
    <n v="1442.41"/>
    <n v="1442.39"/>
    <n v="1442.4"/>
    <n v="1442.39"/>
    <n v="1442.4"/>
    <n v="1442.39"/>
    <n v="1378.53"/>
    <n v="1378.55"/>
    <n v="1378.52"/>
    <n v="17117.149999999998"/>
    <n v="2.9999999999972715E-2"/>
  </r>
  <r>
    <x v="7"/>
    <x v="1"/>
    <x v="0"/>
    <s v="2506200"/>
    <n v="718040"/>
    <s v="Contract Svcs-Laboratory"/>
    <s v="St Francis Med &amp; Spec-Cardio"/>
    <x v="0"/>
    <m/>
    <n v="86"/>
    <n v="0"/>
    <n v="0"/>
    <n v="0"/>
    <n v="0"/>
    <n v="0"/>
    <n v="0"/>
    <n v="0"/>
    <n v="0"/>
    <n v="0"/>
    <n v="0"/>
    <n v="0"/>
    <n v="86"/>
    <n v="0"/>
  </r>
  <r>
    <x v="1"/>
    <x v="1"/>
    <x v="0"/>
    <s v="2507200"/>
    <n v="400040"/>
    <s v="Physician Svcs Rev--Medicare"/>
    <s v="St Francis Med &amp; Spec-Pod Surg"/>
    <x v="0"/>
    <n v="1100"/>
    <n v="0"/>
    <n v="0"/>
    <n v="0"/>
    <n v="0"/>
    <n v="0"/>
    <n v="0"/>
    <n v="0"/>
    <n v="1973"/>
    <n v="0"/>
    <n v="-544"/>
    <n v="0"/>
    <n v="0"/>
    <n v="1429"/>
    <n v="0"/>
  </r>
  <r>
    <x v="1"/>
    <x v="1"/>
    <x v="0"/>
    <s v="2507200"/>
    <n v="400040"/>
    <s v="Physician Svcs Rev--Medicaid"/>
    <s v="St Francis Med &amp; Spec-Pod Surg"/>
    <x v="0"/>
    <n v="1200"/>
    <n v="-1611"/>
    <n v="0"/>
    <n v="0"/>
    <n v="0"/>
    <n v="0"/>
    <n v="0"/>
    <n v="0"/>
    <n v="0"/>
    <n v="0"/>
    <n v="544"/>
    <n v="0"/>
    <n v="0"/>
    <n v="-1067"/>
    <n v="0"/>
  </r>
  <r>
    <x v="1"/>
    <x v="1"/>
    <x v="0"/>
    <s v="2507200"/>
    <n v="400040"/>
    <s v="Physician Svcs Rev--BCBS Comm"/>
    <s v="St Francis Med &amp; Spec-Pod Surg"/>
    <x v="0"/>
    <n v="1301"/>
    <n v="0"/>
    <n v="0"/>
    <n v="0"/>
    <n v="0"/>
    <n v="0"/>
    <n v="0"/>
    <n v="-753"/>
    <n v="0"/>
    <n v="0"/>
    <n v="0"/>
    <n v="0"/>
    <n v="0"/>
    <n v="-753"/>
    <n v="0"/>
  </r>
  <r>
    <x v="1"/>
    <x v="1"/>
    <x v="0"/>
    <s v="2507200"/>
    <n v="400040"/>
    <s v="Physician Svcs Rev--Managed Care"/>
    <s v="St Francis Med &amp; Spec-Pod Surg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07200"/>
    <n v="450029"/>
    <s v="Contr Allow--MD Other-Medicaid"/>
    <s v="St Francis Med &amp; Spec-Pod Surg"/>
    <x v="0"/>
    <n v="1200"/>
    <n v="0"/>
    <n v="0"/>
    <n v="0"/>
    <n v="0"/>
    <n v="0"/>
    <n v="0"/>
    <n v="0"/>
    <n v="0"/>
    <n v="0"/>
    <n v="0"/>
    <n v="-17.54"/>
    <n v="0"/>
    <n v="-17.54"/>
    <n v="-17.54"/>
  </r>
  <r>
    <x v="2"/>
    <x v="1"/>
    <x v="0"/>
    <s v="2507200"/>
    <n v="450029"/>
    <s v="Admin Adjust-MD Other-Self Pay"/>
    <s v="St Francis Med &amp; Spec-Pod Surg"/>
    <x v="0"/>
    <n v="1600"/>
    <n v="0"/>
    <n v="0.13"/>
    <n v="0"/>
    <n v="0"/>
    <n v="0"/>
    <n v="0"/>
    <n v="0"/>
    <n v="0"/>
    <n v="0"/>
    <n v="0"/>
    <n v="0"/>
    <n v="-3.83"/>
    <n v="-3.7"/>
    <n v="3.83"/>
  </r>
  <r>
    <x v="2"/>
    <x v="1"/>
    <x v="0"/>
    <s v="2507200"/>
    <n v="450040"/>
    <s v="Contr Allow--Phys Svcs--Mcare"/>
    <s v="St Francis Med &amp; Spec-Pod Surg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07200"/>
    <n v="450040"/>
    <s v="Contr Allow--Phys Svcs--Mcaid"/>
    <s v="St Francis Med &amp; Spec-Pod Surg"/>
    <x v="0"/>
    <n v="1200"/>
    <n v="0"/>
    <n v="1182.5999999999999"/>
    <n v="0"/>
    <n v="129"/>
    <n v="0"/>
    <n v="0"/>
    <n v="0"/>
    <n v="-412.64"/>
    <n v="1216.1300000000001"/>
    <n v="0"/>
    <n v="1352.56"/>
    <n v="0"/>
    <n v="3467.65"/>
    <n v="1352.56"/>
  </r>
  <r>
    <x v="2"/>
    <x v="1"/>
    <x v="0"/>
    <s v="2507200"/>
    <n v="450040"/>
    <s v="Contr Allow--Phys Svcs--BCBS Comm Ins"/>
    <s v="St Francis Med &amp; Spec-Pod Surg"/>
    <x v="0"/>
    <n v="1301"/>
    <n v="0"/>
    <n v="0"/>
    <n v="0"/>
    <n v="0"/>
    <n v="0"/>
    <n v="0"/>
    <n v="0"/>
    <n v="202.24"/>
    <n v="0"/>
    <n v="0"/>
    <n v="0"/>
    <n v="42.85"/>
    <n v="245.09"/>
    <n v="-42.85"/>
  </r>
  <r>
    <x v="2"/>
    <x v="1"/>
    <x v="0"/>
    <s v="2507200"/>
    <n v="450040"/>
    <s v="Contr Allow--Phys Svcs--Managed Care"/>
    <s v="St Francis Med &amp; Spec-Pod Surg"/>
    <x v="0"/>
    <n v="1400"/>
    <n v="-133.91999999999999"/>
    <n v="1487.94"/>
    <n v="0"/>
    <n v="0"/>
    <n v="0"/>
    <n v="0"/>
    <n v="0"/>
    <n v="196"/>
    <n v="0"/>
    <n v="0"/>
    <n v="0"/>
    <n v="0"/>
    <n v="1550.02"/>
    <n v="0"/>
  </r>
  <r>
    <x v="2"/>
    <x v="1"/>
    <x v="0"/>
    <s v="2507200"/>
    <n v="450040"/>
    <s v="Contr Allow--Phys Svcs--BCBS Mgnd Care"/>
    <s v="St Francis Med &amp; Spec-Pod Surg"/>
    <x v="0"/>
    <n v="1401"/>
    <n v="665.96"/>
    <n v="-1902.3"/>
    <n v="34.68"/>
    <n v="-120.5"/>
    <n v="-0.72"/>
    <n v="51.87"/>
    <n v="469.76"/>
    <n v="-1221.22"/>
    <n v="-742.79"/>
    <n v="-11.95"/>
    <n v="-744"/>
    <n v="-30.92"/>
    <n v="-3552.13"/>
    <n v="-713.08"/>
  </r>
  <r>
    <x v="2"/>
    <x v="1"/>
    <x v="0"/>
    <s v="2507200"/>
    <n v="450040"/>
    <s v="Admin Adjust-Phys Svcs-Self Pay"/>
    <s v="St Francis Med &amp; Spec-Pod Surg"/>
    <x v="0"/>
    <n v="1600"/>
    <n v="1.95"/>
    <n v="90.33"/>
    <n v="0"/>
    <n v="38.659999999999997"/>
    <n v="0"/>
    <n v="0"/>
    <n v="121.28"/>
    <n v="12.89"/>
    <n v="-3.14"/>
    <n v="0"/>
    <n v="0"/>
    <n v="-0.16"/>
    <n v="261.81"/>
    <n v="0.16"/>
  </r>
  <r>
    <x v="3"/>
    <x v="1"/>
    <x v="0"/>
    <s v="2507200"/>
    <n v="470040"/>
    <s v="Charity Care-Physician Svcs"/>
    <s v="St Francis Med &amp; Spec-Pod Surg"/>
    <x v="0"/>
    <m/>
    <n v="7.79"/>
    <n v="-33.11"/>
    <n v="-9.35"/>
    <n v="-5.48"/>
    <n v="5.0599999999999996"/>
    <n v="-12.4"/>
    <n v="9.6300000000000008"/>
    <n v="-44.05"/>
    <n v="-10.9"/>
    <n v="-3.87"/>
    <n v="-28.61"/>
    <n v="6.83"/>
    <n v="-118.46000000000001"/>
    <n v="-35.44"/>
  </r>
  <r>
    <x v="4"/>
    <x v="1"/>
    <x v="0"/>
    <s v="2507200"/>
    <n v="490010"/>
    <s v="Provision for Bad Debts"/>
    <s v="St Francis Med &amp; Spec-Pod Surg"/>
    <x v="0"/>
    <m/>
    <n v="-257.95"/>
    <n v="-272.20999999999998"/>
    <n v="-70.400000000000006"/>
    <n v="-97.48"/>
    <n v="-175.38"/>
    <n v="-271.22000000000003"/>
    <n v="-170.68"/>
    <n v="-284.41000000000003"/>
    <n v="-435.61"/>
    <n v="-126.8"/>
    <n v="-79.790000000000006"/>
    <n v="-12.09"/>
    <n v="-2254.0200000000004"/>
    <n v="-67.7"/>
  </r>
  <r>
    <x v="0"/>
    <x v="1"/>
    <x v="0"/>
    <s v="2507200"/>
    <n v="749591"/>
    <s v="Other Expense-Intracompany Allocation"/>
    <s v="St Francis Med &amp; Spec-Pod Surg"/>
    <x v="0"/>
    <m/>
    <n v="388.16"/>
    <n v="-46.25"/>
    <n v="-13.76"/>
    <n v="3.77"/>
    <n v="25.16"/>
    <n v="4.16"/>
    <n v="172.55"/>
    <n v="-458.99"/>
    <n v="2.1"/>
    <n v="-1.08"/>
    <n v="0.33"/>
    <n v="-0.8"/>
    <n v="75.350000000000065"/>
    <n v="1.1300000000000001"/>
  </r>
  <r>
    <x v="1"/>
    <x v="1"/>
    <x v="0"/>
    <s v="2509200"/>
    <n v="400040"/>
    <s v="Physician Svcs Rev--Medicare"/>
    <s v="St Joseph Med&amp;Spec-OB/GYN"/>
    <x v="0"/>
    <n v="1100"/>
    <n v="0"/>
    <n v="0"/>
    <n v="0"/>
    <n v="0"/>
    <n v="-4447"/>
    <n v="0"/>
    <n v="0"/>
    <n v="0"/>
    <n v="0"/>
    <n v="0"/>
    <n v="0"/>
    <n v="0"/>
    <n v="-4447"/>
    <n v="0"/>
  </r>
  <r>
    <x v="1"/>
    <x v="1"/>
    <x v="0"/>
    <s v="2509200"/>
    <n v="400040"/>
    <s v="Physician Svcs Rev--Medicaid"/>
    <s v="St Joseph Med&amp;Spec-OB/GYN"/>
    <x v="0"/>
    <n v="1200"/>
    <n v="-1982"/>
    <n v="-15"/>
    <n v="0"/>
    <n v="0"/>
    <n v="-4623"/>
    <n v="0"/>
    <n v="0"/>
    <n v="0"/>
    <n v="0"/>
    <n v="0"/>
    <n v="0"/>
    <n v="0"/>
    <n v="-6620"/>
    <n v="0"/>
  </r>
  <r>
    <x v="2"/>
    <x v="1"/>
    <x v="0"/>
    <s v="2509200"/>
    <n v="450029"/>
    <s v="Contr Allow--MD Other-Managed Care"/>
    <s v="St Joseph Med&amp;Spec-OB/GYN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09200"/>
    <n v="450029"/>
    <s v="Admin Adjust-MD Other-Self Pay"/>
    <s v="St Joseph Med&amp;Spec-OB/GYN"/>
    <x v="0"/>
    <n v="1600"/>
    <n v="0.77"/>
    <n v="32.299999999999997"/>
    <n v="0"/>
    <n v="35.090000000000003"/>
    <n v="0"/>
    <n v="0"/>
    <n v="14.12"/>
    <n v="0"/>
    <n v="0"/>
    <n v="0"/>
    <n v="3.48"/>
    <n v="0"/>
    <n v="85.76"/>
    <n v="3.48"/>
  </r>
  <r>
    <x v="2"/>
    <x v="1"/>
    <x v="0"/>
    <s v="2509200"/>
    <n v="450040"/>
    <s v="Contr Allow--Phys Svcs--Mcare"/>
    <s v="St Joseph Med&amp;Spec-OB/GYN"/>
    <x v="0"/>
    <n v="1100"/>
    <n v="0"/>
    <n v="0"/>
    <n v="0"/>
    <n v="0"/>
    <n v="0"/>
    <n v="3217.32"/>
    <n v="0"/>
    <n v="0"/>
    <n v="0"/>
    <n v="0"/>
    <n v="0"/>
    <n v="0"/>
    <n v="3217.32"/>
    <n v="0"/>
  </r>
  <r>
    <x v="2"/>
    <x v="1"/>
    <x v="0"/>
    <s v="2509200"/>
    <n v="450040"/>
    <s v="Contr Allow--Phys Svcs--Mcaid"/>
    <s v="St Joseph Med&amp;Spec-OB/GYN"/>
    <x v="0"/>
    <n v="1200"/>
    <n v="0"/>
    <n v="1493.46"/>
    <n v="-251.8"/>
    <n v="0"/>
    <n v="3752.49"/>
    <n v="0"/>
    <n v="0"/>
    <n v="0"/>
    <n v="0"/>
    <n v="0"/>
    <n v="7792.92"/>
    <n v="0"/>
    <n v="12787.07"/>
    <n v="7792.92"/>
  </r>
  <r>
    <x v="2"/>
    <x v="1"/>
    <x v="0"/>
    <s v="2509200"/>
    <n v="450040"/>
    <s v="Contr Allow--Phys Svcs--BCBS Comm Ins"/>
    <s v="St Joseph Med&amp;Spec-OB/GYN"/>
    <x v="0"/>
    <n v="1301"/>
    <n v="0"/>
    <n v="0"/>
    <n v="0"/>
    <n v="0"/>
    <n v="0"/>
    <n v="-56.12"/>
    <n v="0"/>
    <n v="0"/>
    <n v="0"/>
    <n v="0"/>
    <n v="0"/>
    <n v="0"/>
    <n v="-56.12"/>
    <n v="0"/>
  </r>
  <r>
    <x v="2"/>
    <x v="1"/>
    <x v="0"/>
    <s v="2509200"/>
    <n v="450040"/>
    <s v="Contr Allow--Phys Svcs--Managed Care"/>
    <s v="St Joseph Med&amp;Spec-OB/GYN"/>
    <x v="0"/>
    <n v="1400"/>
    <n v="0"/>
    <n v="0"/>
    <n v="0"/>
    <n v="-77.45"/>
    <n v="0"/>
    <n v="-112.57"/>
    <n v="0"/>
    <n v="0"/>
    <n v="0"/>
    <n v="0"/>
    <n v="-613.99"/>
    <n v="-722.4"/>
    <n v="-1526.4099999999999"/>
    <n v="108.40999999999997"/>
  </r>
  <r>
    <x v="2"/>
    <x v="1"/>
    <x v="0"/>
    <s v="2509200"/>
    <n v="450040"/>
    <s v="Contr Allow--Phys Svcs--BCBS Mgnd Care"/>
    <s v="St Joseph Med&amp;Spec-OB/GYN"/>
    <x v="0"/>
    <n v="1401"/>
    <n v="964.95"/>
    <n v="-4913.3"/>
    <n v="-139.43"/>
    <n v="-639.09"/>
    <n v="2333.2600000000002"/>
    <n v="-2088.7600000000002"/>
    <n v="73.52"/>
    <n v="-147.84"/>
    <n v="-28.81"/>
    <n v="37.85"/>
    <n v="-3753.31"/>
    <n v="0"/>
    <n v="-8300.9599999999991"/>
    <n v="-3753.31"/>
  </r>
  <r>
    <x v="2"/>
    <x v="1"/>
    <x v="0"/>
    <s v="2509200"/>
    <n v="450040"/>
    <s v="Prompt Pay Disc-Phys Svcs-Self Pay"/>
    <s v="St Joseph Med&amp;Spec-OB/GYN"/>
    <x v="0"/>
    <n v="1500"/>
    <n v="0"/>
    <n v="0"/>
    <n v="0"/>
    <n v="0"/>
    <n v="0"/>
    <n v="0"/>
    <n v="0"/>
    <n v="0"/>
    <n v="112.8"/>
    <n v="0"/>
    <n v="0"/>
    <n v="0"/>
    <n v="112.8"/>
    <n v="0"/>
  </r>
  <r>
    <x v="2"/>
    <x v="1"/>
    <x v="0"/>
    <s v="2509200"/>
    <n v="450040"/>
    <s v="Admin Adjust-Phys Svcs-Self Pay"/>
    <s v="St Joseph Med&amp;Spec-OB/GYN"/>
    <x v="0"/>
    <n v="1600"/>
    <n v="12.34"/>
    <n v="9487.43"/>
    <n v="698"/>
    <n v="1012.95"/>
    <n v="49.7"/>
    <n v="0"/>
    <n v="326.47000000000003"/>
    <n v="64.44"/>
    <n v="-112.8"/>
    <n v="-115"/>
    <n v="145.06"/>
    <n v="407.51"/>
    <n v="11976.100000000002"/>
    <n v="-262.45"/>
  </r>
  <r>
    <x v="3"/>
    <x v="1"/>
    <x v="0"/>
    <s v="2509200"/>
    <n v="470040"/>
    <s v="Charity Care-Physician Svcs"/>
    <s v="St Joseph Med&amp;Spec-OB/GYN"/>
    <x v="0"/>
    <m/>
    <n v="8.0500000000000007"/>
    <n v="86.58"/>
    <n v="-17.48"/>
    <n v="534.70000000000005"/>
    <n v="594.08000000000004"/>
    <n v="-89.83"/>
    <n v="-2.74"/>
    <n v="604.58000000000004"/>
    <n v="32.369999999999997"/>
    <n v="28.52"/>
    <n v="-117.02"/>
    <n v="151.44"/>
    <n v="1813.25"/>
    <n v="-268.45999999999998"/>
  </r>
  <r>
    <x v="4"/>
    <x v="1"/>
    <x v="0"/>
    <s v="2509200"/>
    <n v="490010"/>
    <s v="Provision for Bad Debts"/>
    <s v="St Joseph Med&amp;Spec-OB/GYN"/>
    <x v="0"/>
    <m/>
    <n v="-76.540000000000006"/>
    <n v="-3500.64"/>
    <n v="-578.26"/>
    <n v="-643.88"/>
    <n v="-2596.59"/>
    <n v="-452.63"/>
    <n v="-657.91"/>
    <n v="-467.18"/>
    <n v="-235.65"/>
    <n v="-360.18"/>
    <n v="-829.19"/>
    <n v="-243.35"/>
    <n v="-10642.000000000002"/>
    <n v="-585.84"/>
  </r>
  <r>
    <x v="5"/>
    <x v="1"/>
    <x v="0"/>
    <s v="2509200"/>
    <n v="700030"/>
    <s v="Salaries-LPN-Productive"/>
    <s v="St Joseph Med&amp;Spec-OB/GYN"/>
    <x v="0"/>
    <m/>
    <n v="7262.27"/>
    <n v="6036.65"/>
    <n v="3602.94"/>
    <n v="1228.75"/>
    <n v="-149.66999999999999"/>
    <n v="0"/>
    <n v="3287.86"/>
    <n v="3362.8"/>
    <n v="3856.6"/>
    <n v="4221.63"/>
    <n v="3868.08"/>
    <n v="3414.77"/>
    <n v="39992.68"/>
    <n v="453.30999999999995"/>
  </r>
  <r>
    <x v="5"/>
    <x v="1"/>
    <x v="0"/>
    <s v="2509200"/>
    <n v="700030"/>
    <s v="Salaries-LPN-OT"/>
    <s v="St Joseph Med&amp;Spec-OB/GYN"/>
    <x v="0"/>
    <n v="1000"/>
    <n v="0"/>
    <n v="26.23"/>
    <n v="96.2"/>
    <n v="-8.74"/>
    <n v="0"/>
    <n v="0"/>
    <n v="38.07"/>
    <n v="-1.8"/>
    <n v="90.67"/>
    <n v="-27.2"/>
    <n v="18.14"/>
    <n v="-9.07"/>
    <n v="222.5"/>
    <n v="27.21"/>
  </r>
  <r>
    <x v="5"/>
    <x v="1"/>
    <x v="0"/>
    <s v="2509200"/>
    <n v="700054"/>
    <s v="Salaries-Management-NonProd-Other"/>
    <s v="St Joseph Med&amp;Spec-OB/GYN"/>
    <x v="0"/>
    <n v="2000"/>
    <n v="0"/>
    <n v="0"/>
    <n v="0"/>
    <n v="0"/>
    <n v="0"/>
    <n v="973.97"/>
    <n v="-973.97"/>
    <n v="0"/>
    <n v="0"/>
    <n v="0"/>
    <n v="0"/>
    <n v="0"/>
    <n v="0"/>
    <n v="0"/>
  </r>
  <r>
    <x v="5"/>
    <x v="1"/>
    <x v="0"/>
    <s v="2509200"/>
    <n v="700070"/>
    <s v="Salaries-LPN-Non-productive"/>
    <s v="St Joseph Med&amp;Spec-OB/GYN"/>
    <x v="0"/>
    <m/>
    <n v="1371.04"/>
    <n v="-105.75"/>
    <n v="221.54"/>
    <n v="3156.9"/>
    <n v="4398.3100000000004"/>
    <n v="736.87"/>
    <n v="-6.63"/>
    <n v="33.840000000000003"/>
    <n v="301.60000000000002"/>
    <n v="-39.28"/>
    <n v="580.22"/>
    <n v="386.81"/>
    <n v="11035.470000000001"/>
    <n v="193.41000000000003"/>
  </r>
  <r>
    <x v="5"/>
    <x v="1"/>
    <x v="0"/>
    <s v="2509200"/>
    <n v="700070"/>
    <s v="Salaries-LPN-NonProd-Other"/>
    <s v="St Joseph Med&amp;Spec-OB/GYN"/>
    <x v="0"/>
    <n v="2000"/>
    <n v="0"/>
    <n v="0"/>
    <n v="0"/>
    <n v="0"/>
    <n v="0"/>
    <n v="0"/>
    <n v="0"/>
    <n v="0"/>
    <n v="0"/>
    <n v="0"/>
    <n v="6.05"/>
    <n v="0"/>
    <n v="6.05"/>
    <n v="6.05"/>
  </r>
  <r>
    <x v="5"/>
    <x v="1"/>
    <x v="0"/>
    <s v="2509200"/>
    <n v="700084"/>
    <s v="Accrued PTO"/>
    <s v="St Joseph Med&amp;Spec-OB/GYN"/>
    <x v="0"/>
    <m/>
    <n v="-372.21"/>
    <n v="344.43"/>
    <n v="144.82"/>
    <n v="460.15"/>
    <n v="-1876.4"/>
    <n v="-2367.66"/>
    <n v="233.44"/>
    <n v="321.77999999999997"/>
    <n v="88.84"/>
    <n v="356.55"/>
    <n v="-28.97"/>
    <n v="-43.45"/>
    <n v="-2738.6799999999989"/>
    <n v="14.480000000000004"/>
  </r>
  <r>
    <x v="6"/>
    <x v="1"/>
    <x v="0"/>
    <s v="2509200"/>
    <n v="713010"/>
    <s v="Benefits-FICA/Medicare"/>
    <s v="St Joseph Med&amp;Spec-OB/GYN"/>
    <x v="0"/>
    <m/>
    <n v="596.77"/>
    <n v="407.55"/>
    <n v="266.55"/>
    <n v="296.44"/>
    <n v="289.52999999999997"/>
    <n v="114.19"/>
    <n v="279.19"/>
    <n v="217.27"/>
    <n v="289.23"/>
    <n v="280.35000000000002"/>
    <n v="302.93"/>
    <n v="256.02999999999997"/>
    <n v="3596.0299999999997"/>
    <n v="46.900000000000034"/>
  </r>
  <r>
    <x v="6"/>
    <x v="1"/>
    <x v="0"/>
    <s v="2509200"/>
    <n v="713090"/>
    <s v="Benefits-Allocated Amounts"/>
    <s v="St Joseph Med&amp;Spec-OB/GYN"/>
    <x v="0"/>
    <m/>
    <n v="2193.4299999999998"/>
    <n v="1507.17"/>
    <n v="1076.04"/>
    <n v="1200.6600000000001"/>
    <n v="946.89"/>
    <n v="163.94"/>
    <n v="931.93"/>
    <n v="1158.6600000000001"/>
    <n v="1015.94"/>
    <n v="1217.48"/>
    <n v="1202.08"/>
    <n v="1198.6500000000001"/>
    <n v="13812.869999999999"/>
    <n v="3.4299999999998363"/>
  </r>
  <r>
    <x v="0"/>
    <x v="1"/>
    <x v="0"/>
    <s v="2509200"/>
    <n v="749530"/>
    <s v="Travel"/>
    <s v="St Joseph Med&amp;Spec-OB/GYN"/>
    <x v="0"/>
    <m/>
    <n v="0"/>
    <n v="5"/>
    <n v="10"/>
    <n v="0"/>
    <n v="0"/>
    <n v="0"/>
    <n v="0"/>
    <n v="0"/>
    <n v="0"/>
    <n v="0"/>
    <n v="0"/>
    <n v="5"/>
    <n v="20"/>
    <n v="-5"/>
  </r>
  <r>
    <x v="0"/>
    <x v="1"/>
    <x v="0"/>
    <s v="2509200"/>
    <n v="749530"/>
    <s v="Mileage"/>
    <s v="St Joseph Med&amp;Spec-OB/GYN"/>
    <x v="0"/>
    <n v="1001"/>
    <n v="0"/>
    <n v="15.81"/>
    <n v="31.62"/>
    <n v="0"/>
    <n v="0"/>
    <n v="0"/>
    <n v="0"/>
    <n v="0"/>
    <n v="0"/>
    <n v="0"/>
    <n v="0"/>
    <n v="16.82"/>
    <n v="64.25"/>
    <n v="-16.82"/>
  </r>
  <r>
    <x v="4"/>
    <x v="1"/>
    <x v="0"/>
    <s v="2510200"/>
    <n v="490010"/>
    <s v="Provision for Bad Debts"/>
    <s v="St Joseph Med&amp;Spec-Gen Surg"/>
    <x v="0"/>
    <m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511200"/>
    <n v="400029"/>
    <s v="MD Practice Other Rev--Medicare"/>
    <s v="St Joseph Med&amp;Spec-Pod Surg"/>
    <x v="0"/>
    <n v="1100"/>
    <n v="-1693"/>
    <n v="-1080"/>
    <n v="-1488"/>
    <n v="-2958"/>
    <n v="-1680"/>
    <n v="-3225"/>
    <n v="-3162"/>
    <n v="-2242"/>
    <n v="-3279"/>
    <n v="-3136"/>
    <n v="-4175"/>
    <n v="-1950"/>
    <n v="-30068"/>
    <n v="-2225"/>
  </r>
  <r>
    <x v="1"/>
    <x v="1"/>
    <x v="0"/>
    <s v="2511200"/>
    <n v="400029"/>
    <s v="MD Practice Other Rev--Medicaid"/>
    <s v="St Joseph Med&amp;Spec-Pod Surg"/>
    <x v="0"/>
    <n v="1200"/>
    <n v="-2239"/>
    <n v="-1626"/>
    <n v="-1242"/>
    <n v="-3525"/>
    <n v="-2996"/>
    <n v="-3020"/>
    <n v="-3833"/>
    <n v="-2620"/>
    <n v="-2993"/>
    <n v="-2878"/>
    <n v="-4154"/>
    <n v="-3296"/>
    <n v="-34422"/>
    <n v="-858"/>
  </r>
  <r>
    <x v="1"/>
    <x v="1"/>
    <x v="0"/>
    <s v="2511200"/>
    <n v="400029"/>
    <s v="MD Practice Other Rev--Comm Insurance"/>
    <s v="St Joseph Med&amp;Spec-Pod Surg"/>
    <x v="0"/>
    <n v="1300"/>
    <n v="-80"/>
    <n v="-246"/>
    <n v="-324"/>
    <n v="-931"/>
    <n v="-232"/>
    <n v="-502"/>
    <n v="-591"/>
    <n v="-178"/>
    <n v="-251"/>
    <n v="-162"/>
    <n v="-1052"/>
    <n v="-259"/>
    <n v="-4808"/>
    <n v="-793"/>
  </r>
  <r>
    <x v="1"/>
    <x v="1"/>
    <x v="0"/>
    <s v="2511200"/>
    <n v="400029"/>
    <s v="MD Practice Other Rev--BCBS Comm"/>
    <s v="St Joseph Med&amp;Spec-Pod Surg"/>
    <x v="0"/>
    <n v="1301"/>
    <n v="-483"/>
    <n v="-81"/>
    <n v="-240"/>
    <n v="-1169"/>
    <n v="-1336"/>
    <n v="-591"/>
    <n v="-497"/>
    <n v="-545"/>
    <n v="-915"/>
    <n v="-664"/>
    <n v="-1101"/>
    <n v="-670"/>
    <n v="-8292"/>
    <n v="-431"/>
  </r>
  <r>
    <x v="1"/>
    <x v="1"/>
    <x v="0"/>
    <s v="2511200"/>
    <n v="400029"/>
    <s v="MD Practice Other Rev--Managed Care"/>
    <s v="St Joseph Med&amp;Spec-Pod Surg"/>
    <x v="0"/>
    <n v="1400"/>
    <n v="-1928"/>
    <n v="-1080"/>
    <n v="-1980"/>
    <n v="-2964"/>
    <n v="-2487"/>
    <n v="-3537"/>
    <n v="-2901"/>
    <n v="-2492"/>
    <n v="-3488"/>
    <n v="-4167"/>
    <n v="-4138"/>
    <n v="-2353"/>
    <n v="-33515"/>
    <n v="-1785"/>
  </r>
  <r>
    <x v="1"/>
    <x v="1"/>
    <x v="0"/>
    <s v="2511200"/>
    <n v="400029"/>
    <s v="MD Practice Other Rev--Self Pay"/>
    <s v="St Joseph Med&amp;Spec-Pod Surg"/>
    <x v="0"/>
    <n v="1500"/>
    <n v="-251"/>
    <n v="0"/>
    <n v="-81"/>
    <n v="-562"/>
    <n v="-143"/>
    <n v="75"/>
    <n v="-150"/>
    <n v="-75"/>
    <n v="-340"/>
    <n v="-156"/>
    <n v="-417"/>
    <n v="-243"/>
    <n v="-2343"/>
    <n v="-174"/>
  </r>
  <r>
    <x v="1"/>
    <x v="1"/>
    <x v="0"/>
    <s v="2511200"/>
    <n v="400029"/>
    <s v="MD Practice Other Rev--Other"/>
    <s v="St Joseph Med&amp;Spec-Pod Surg"/>
    <x v="0"/>
    <n v="1700"/>
    <n v="-160"/>
    <n v="-74"/>
    <n v="-247"/>
    <n v="-662"/>
    <n v="-1014"/>
    <n v="-1053"/>
    <n v="-828"/>
    <n v="-927"/>
    <n v="-418"/>
    <n v="-756"/>
    <n v="-653"/>
    <n v="-243"/>
    <n v="-7035"/>
    <n v="-410"/>
  </r>
  <r>
    <x v="1"/>
    <x v="1"/>
    <x v="0"/>
    <s v="2511200"/>
    <n v="400040"/>
    <s v="Physician Svcs Rev--Medicare"/>
    <s v="St Joseph Med&amp;Spec-Pod Surg"/>
    <x v="0"/>
    <n v="1100"/>
    <n v="-29209"/>
    <n v="-15299"/>
    <n v="-17895"/>
    <n v="-33382"/>
    <n v="-26604"/>
    <n v="-30236"/>
    <n v="-36156"/>
    <n v="-29317"/>
    <n v="-32775"/>
    <n v="-39294"/>
    <n v="-47615"/>
    <n v="-24479"/>
    <n v="-362261"/>
    <n v="-23136"/>
  </r>
  <r>
    <x v="1"/>
    <x v="1"/>
    <x v="0"/>
    <s v="2511200"/>
    <n v="400040"/>
    <s v="Physician Svcs Rev--Medicaid"/>
    <s v="St Joseph Med&amp;Spec-Pod Surg"/>
    <x v="0"/>
    <n v="1200"/>
    <n v="-32704"/>
    <n v="-14822"/>
    <n v="-19716"/>
    <n v="-32266"/>
    <n v="-25788"/>
    <n v="-45485"/>
    <n v="-44481"/>
    <n v="-31279"/>
    <n v="-27230"/>
    <n v="-37182"/>
    <n v="-43895.25"/>
    <n v="-26410"/>
    <n v="-381258.25"/>
    <n v="-17485.25"/>
  </r>
  <r>
    <x v="1"/>
    <x v="1"/>
    <x v="0"/>
    <s v="2511200"/>
    <n v="400040"/>
    <s v="Physician Svcs Rev--Comm Insurance"/>
    <s v="St Joseph Med&amp;Spec-Pod Surg"/>
    <x v="0"/>
    <n v="1300"/>
    <n v="-4753"/>
    <n v="-1653"/>
    <n v="-2944"/>
    <n v="-5155"/>
    <n v="-6800"/>
    <n v="-1277"/>
    <n v="-6301"/>
    <n v="-3177"/>
    <n v="-2128"/>
    <n v="-4641"/>
    <n v="-17153"/>
    <n v="-1942"/>
    <n v="-57924"/>
    <n v="-15211"/>
  </r>
  <r>
    <x v="1"/>
    <x v="1"/>
    <x v="0"/>
    <s v="2511200"/>
    <n v="400040"/>
    <s v="Physician Svcs Rev--BCBS Comm"/>
    <s v="St Joseph Med&amp;Spec-Pod Surg"/>
    <x v="0"/>
    <n v="1301"/>
    <n v="-8237"/>
    <n v="-3231"/>
    <n v="-2455"/>
    <n v="-13718"/>
    <n v="-9541"/>
    <n v="-8278"/>
    <n v="-7415"/>
    <n v="-10366"/>
    <n v="-11043"/>
    <n v="-7974"/>
    <n v="-13622"/>
    <n v="-6801"/>
    <n v="-102681"/>
    <n v="-6821"/>
  </r>
  <r>
    <x v="1"/>
    <x v="1"/>
    <x v="0"/>
    <s v="2511200"/>
    <n v="400040"/>
    <s v="Physician Svcs Rev--Managed Care"/>
    <s v="St Joseph Med&amp;Spec-Pod Surg"/>
    <x v="0"/>
    <n v="1400"/>
    <n v="-30967"/>
    <n v="-6755"/>
    <n v="-27942"/>
    <n v="-36750"/>
    <n v="-35496"/>
    <n v="-40504"/>
    <n v="-35464"/>
    <n v="-46416"/>
    <n v="-41062"/>
    <n v="-46633"/>
    <n v="-46047"/>
    <n v="-26136"/>
    <n v="-420172"/>
    <n v="-19911"/>
  </r>
  <r>
    <x v="1"/>
    <x v="1"/>
    <x v="0"/>
    <s v="2511200"/>
    <n v="400040"/>
    <s v="Physician Svcs Rev--Self Pay"/>
    <s v="St Joseph Med&amp;Spec-Pod Surg"/>
    <x v="0"/>
    <n v="1500"/>
    <n v="-696"/>
    <n v="-400"/>
    <n v="-1869"/>
    <n v="-4146"/>
    <n v="-3211"/>
    <n v="140"/>
    <n v="-600"/>
    <n v="-1657"/>
    <n v="-2450"/>
    <n v="-724"/>
    <n v="-5123"/>
    <n v="31"/>
    <n v="-20705"/>
    <n v="-5154"/>
  </r>
  <r>
    <x v="1"/>
    <x v="1"/>
    <x v="0"/>
    <s v="2511200"/>
    <n v="400040"/>
    <s v="Physician Svcs Rev--Other"/>
    <s v="St Joseph Med&amp;Spec-Pod Surg"/>
    <x v="0"/>
    <n v="1700"/>
    <n v="-1842"/>
    <n v="-1770"/>
    <n v="-2860"/>
    <n v="-9799"/>
    <n v="-8388"/>
    <n v="-6529"/>
    <n v="-6544"/>
    <n v="-5067"/>
    <n v="-6048"/>
    <n v="-4349"/>
    <n v="-8938"/>
    <n v="-3386"/>
    <n v="-65520"/>
    <n v="-5552"/>
  </r>
  <r>
    <x v="2"/>
    <x v="1"/>
    <x v="0"/>
    <s v="2511200"/>
    <n v="450029"/>
    <s v="Contr Allow--MD Other-Medicare"/>
    <s v="St Joseph Med&amp;Spec-Pod Surg"/>
    <x v="0"/>
    <n v="1100"/>
    <n v="1322.23"/>
    <n v="1138.98"/>
    <n v="313.94"/>
    <n v="1208.69"/>
    <n v="957.3"/>
    <n v="1375.2"/>
    <n v="1571.12"/>
    <n v="1380.18"/>
    <n v="1432.89"/>
    <n v="2706.51"/>
    <n v="2097"/>
    <n v="2005.39"/>
    <n v="17509.43"/>
    <n v="91.6099999999999"/>
  </r>
  <r>
    <x v="2"/>
    <x v="1"/>
    <x v="0"/>
    <s v="2511200"/>
    <n v="450029"/>
    <s v="Contr Allow--MD Other-Medicaid"/>
    <s v="St Joseph Med&amp;Spec-Pod Surg"/>
    <x v="0"/>
    <n v="1200"/>
    <n v="2752.78"/>
    <n v="1406.5"/>
    <n v="1253.83"/>
    <n v="1502.79"/>
    <n v="3268.22"/>
    <n v="2684.18"/>
    <n v="2227.2199999999998"/>
    <n v="2242.5"/>
    <n v="2464.73"/>
    <n v="2221.91"/>
    <n v="2404.9499999999998"/>
    <n v="2403.25"/>
    <n v="26832.86"/>
    <n v="1.6999999999998181"/>
  </r>
  <r>
    <x v="2"/>
    <x v="1"/>
    <x v="0"/>
    <s v="2511200"/>
    <n v="450029"/>
    <s v="Contr Allow--MD Other-Comm Insurance"/>
    <s v="St Joseph Med&amp;Spec-Pod Surg"/>
    <x v="0"/>
    <n v="1300"/>
    <n v="23.82"/>
    <n v="0"/>
    <n v="89.83"/>
    <n v="358.48"/>
    <n v="166.68"/>
    <n v="261.88"/>
    <n v="298.83999999999997"/>
    <n v="157.63999999999999"/>
    <n v="75.239999999999995"/>
    <n v="99.66"/>
    <n v="94.63"/>
    <n v="253.27"/>
    <n v="1879.9700000000003"/>
    <n v="-158.64000000000001"/>
  </r>
  <r>
    <x v="2"/>
    <x v="1"/>
    <x v="0"/>
    <s v="2511200"/>
    <n v="450029"/>
    <s v="Contr Allow--MD Other BCBS Comm"/>
    <s v="St Joseph Med&amp;Spec-Pod Surg"/>
    <x v="0"/>
    <n v="1301"/>
    <n v="95.3"/>
    <n v="93.29"/>
    <n v="64.3"/>
    <n v="160.86000000000001"/>
    <n v="311.87"/>
    <n v="272.61"/>
    <n v="163.97"/>
    <n v="156.9"/>
    <n v="109.81"/>
    <n v="285.86"/>
    <n v="167.02"/>
    <n v="294.41000000000003"/>
    <n v="2176.1999999999998"/>
    <n v="-127.39000000000001"/>
  </r>
  <r>
    <x v="2"/>
    <x v="1"/>
    <x v="0"/>
    <s v="2511200"/>
    <n v="450029"/>
    <s v="Contr Allow--MD Other-Managed Care"/>
    <s v="St Joseph Med&amp;Spec-Pod Surg"/>
    <x v="0"/>
    <n v="1400"/>
    <n v="431.68"/>
    <n v="679.39"/>
    <n v="503.95"/>
    <n v="847.82"/>
    <n v="943.56"/>
    <n v="1022.32"/>
    <n v="692.32"/>
    <n v="935.04"/>
    <n v="1206.98"/>
    <n v="1332.75"/>
    <n v="1530.73"/>
    <n v="995.49"/>
    <n v="11122.029999999999"/>
    <n v="535.24"/>
  </r>
  <r>
    <x v="2"/>
    <x v="1"/>
    <x v="0"/>
    <s v="2511200"/>
    <n v="450029"/>
    <s v="Admin Adjust-MD Other-Self Pay"/>
    <s v="St Joseph Med&amp;Spec-Pod Surg"/>
    <x v="0"/>
    <n v="1600"/>
    <n v="92.87"/>
    <n v="-3.2"/>
    <n v="29.99"/>
    <n v="282.19"/>
    <n v="52.91"/>
    <n v="142.25"/>
    <n v="55.5"/>
    <n v="27.75"/>
    <n v="125.8"/>
    <n v="3395.72"/>
    <n v="211.35"/>
    <n v="89.91"/>
    <n v="4503.04"/>
    <n v="121.44"/>
  </r>
  <r>
    <x v="2"/>
    <x v="1"/>
    <x v="0"/>
    <s v="2511200"/>
    <n v="450029"/>
    <s v="Contr Allow--MD Other-Other"/>
    <s v="St Joseph Med&amp;Spec-Pod Surg"/>
    <x v="0"/>
    <n v="1700"/>
    <n v="24.03"/>
    <n v="26.4"/>
    <n v="53.82"/>
    <n v="53.28"/>
    <n v="207.19"/>
    <n v="331.69"/>
    <n v="553.29999999999995"/>
    <n v="326.92"/>
    <n v="230.46"/>
    <n v="378.59"/>
    <n v="74.41"/>
    <n v="338.59"/>
    <n v="2598.6800000000003"/>
    <n v="-264.17999999999995"/>
  </r>
  <r>
    <x v="2"/>
    <x v="1"/>
    <x v="0"/>
    <s v="2511200"/>
    <n v="450040"/>
    <s v="Contr Allow--Phys Svcs--Mcare"/>
    <s v="St Joseph Med&amp;Spec-Pod Surg"/>
    <x v="0"/>
    <n v="1100"/>
    <n v="13983.17"/>
    <n v="19139.169999999998"/>
    <n v="6839.59"/>
    <n v="18725.02"/>
    <n v="13264.77"/>
    <n v="12866.91"/>
    <n v="16658.62"/>
    <n v="14306.42"/>
    <n v="15484.38"/>
    <n v="28911.58"/>
    <n v="23285.439999999999"/>
    <n v="28134.54"/>
    <n v="211599.61000000002"/>
    <n v="-4849.1000000000022"/>
  </r>
  <r>
    <x v="2"/>
    <x v="1"/>
    <x v="0"/>
    <s v="2511200"/>
    <n v="450040"/>
    <s v="Contr Allow--Phys Svcs--Mcaid"/>
    <s v="St Joseph Med&amp;Spec-Pod Surg"/>
    <x v="0"/>
    <n v="1200"/>
    <n v="23243.24"/>
    <n v="21039.96"/>
    <n v="11427.73"/>
    <n v="23271.17"/>
    <n v="18904.560000000001"/>
    <n v="29007.18"/>
    <n v="29442.74"/>
    <n v="25287.93"/>
    <n v="24931.97"/>
    <n v="21541.51"/>
    <n v="25919.46"/>
    <n v="25668.63"/>
    <n v="279686.07999999996"/>
    <n v="250.82999999999811"/>
  </r>
  <r>
    <x v="2"/>
    <x v="1"/>
    <x v="0"/>
    <s v="2511200"/>
    <n v="450040"/>
    <s v="Contr Allow--Phys Svcs--Comm Insurance"/>
    <s v="St Joseph Med&amp;Spec-Pod Surg"/>
    <x v="0"/>
    <n v="1300"/>
    <n v="847.36"/>
    <n v="2212.84"/>
    <n v="423.55"/>
    <n v="2093.52"/>
    <n v="1589.85"/>
    <n v="1566.34"/>
    <n v="1308.32"/>
    <n v="1099.06"/>
    <n v="810.16"/>
    <n v="1841.98"/>
    <n v="1390.57"/>
    <n v="1930.96"/>
    <n v="17114.509999999998"/>
    <n v="-540.3900000000001"/>
  </r>
  <r>
    <x v="2"/>
    <x v="1"/>
    <x v="0"/>
    <s v="2511200"/>
    <n v="450040"/>
    <s v="Contr Allow--Phys Svcs--BCBS Comm Ins"/>
    <s v="St Joseph Med&amp;Spec-Pod Surg"/>
    <x v="0"/>
    <n v="1301"/>
    <n v="1806.5"/>
    <n v="2749.53"/>
    <n v="927.09"/>
    <n v="1653.79"/>
    <n v="2392.79"/>
    <n v="3567.77"/>
    <n v="3194.6"/>
    <n v="4021.42"/>
    <n v="3333.57"/>
    <n v="3423.27"/>
    <n v="2150.9299999999998"/>
    <n v="4581.8999999999996"/>
    <n v="33803.160000000003"/>
    <n v="-2430.9699999999998"/>
  </r>
  <r>
    <x v="2"/>
    <x v="1"/>
    <x v="0"/>
    <s v="2511200"/>
    <n v="450040"/>
    <s v="Contr Allow--Phys Svcs--Managed Care"/>
    <s v="St Joseph Med&amp;Spec-Pod Surg"/>
    <x v="0"/>
    <n v="1400"/>
    <n v="7541.53"/>
    <n v="9188.6299999999992"/>
    <n v="4476.6099999999997"/>
    <n v="12151.4"/>
    <n v="11289.04"/>
    <n v="15656.63"/>
    <n v="10446.76"/>
    <n v="11196.79"/>
    <n v="23439.17"/>
    <n v="10932.1"/>
    <n v="17284.25"/>
    <n v="12813.11"/>
    <n v="146416.01999999996"/>
    <n v="4471.1399999999994"/>
  </r>
  <r>
    <x v="2"/>
    <x v="1"/>
    <x v="0"/>
    <s v="2511200"/>
    <n v="450040"/>
    <s v="Contr Allow--Phys Svcs--BCBS Mgnd Care"/>
    <s v="St Joseph Med&amp;Spec-Pod Surg"/>
    <x v="0"/>
    <n v="1401"/>
    <n v="5949.34"/>
    <n v="-27209.5"/>
    <n v="14302.17"/>
    <n v="16252.5"/>
    <n v="10201.950000000001"/>
    <n v="9477.75"/>
    <n v="14804.55"/>
    <n v="9992.4500000000007"/>
    <n v="-7233.01"/>
    <n v="-10991.38"/>
    <n v="29193.19"/>
    <n v="-25795.72"/>
    <n v="38944.289999999994"/>
    <n v="54988.91"/>
  </r>
  <r>
    <x v="2"/>
    <x v="1"/>
    <x v="0"/>
    <s v="2511200"/>
    <n v="450040"/>
    <s v="Admin Adjust-Phys Svcs-Self Pay"/>
    <s v="St Joseph Med&amp;Spec-Pod Surg"/>
    <x v="0"/>
    <n v="1600"/>
    <n v="130.94999999999999"/>
    <n v="-1016.64"/>
    <n v="872"/>
    <n v="1899.61"/>
    <n v="1481.2"/>
    <n v="370.33"/>
    <n v="1307.8800000000001"/>
    <n v="972.1"/>
    <n v="1156.58"/>
    <n v="25847.279999999999"/>
    <n v="5412.33"/>
    <n v="-169.93"/>
    <n v="38263.69"/>
    <n v="5582.26"/>
  </r>
  <r>
    <x v="2"/>
    <x v="1"/>
    <x v="0"/>
    <s v="2511200"/>
    <n v="450040"/>
    <s v="Contr Allow--Phys Svcs--Other"/>
    <s v="St Joseph Med&amp;Spec-Pod Surg"/>
    <x v="0"/>
    <n v="1700"/>
    <n v="2304.1799999999998"/>
    <n v="860.01"/>
    <n v="889.21"/>
    <n v="1197.17"/>
    <n v="2435.81"/>
    <n v="2442.9699999999998"/>
    <n v="4030.37"/>
    <n v="2549.19"/>
    <n v="1623.09"/>
    <n v="3927.75"/>
    <n v="1851.29"/>
    <n v="3072.22"/>
    <n v="27183.26"/>
    <n v="-1220.9299999999998"/>
  </r>
  <r>
    <x v="3"/>
    <x v="1"/>
    <x v="0"/>
    <s v="2511200"/>
    <n v="470040"/>
    <s v="Charity Care-Physician Svcs"/>
    <s v="St Joseph Med&amp;Spec-Pod Surg"/>
    <x v="0"/>
    <m/>
    <n v="613.54999999999995"/>
    <n v="73.599999999999994"/>
    <n v="1335.8"/>
    <n v="1986.67"/>
    <n v="510.85"/>
    <n v="1631.69"/>
    <n v="2081.02"/>
    <n v="2673.78"/>
    <n v="7462.96"/>
    <n v="1715.88"/>
    <n v="1836.46"/>
    <n v="2592.13"/>
    <n v="24514.390000000003"/>
    <n v="-755.67000000000007"/>
  </r>
  <r>
    <x v="4"/>
    <x v="1"/>
    <x v="0"/>
    <s v="2511200"/>
    <n v="490010"/>
    <s v="Provision for Bad Debts"/>
    <s v="St Joseph Med&amp;Spec-Pod Surg"/>
    <x v="0"/>
    <m/>
    <n v="1274.5899999999999"/>
    <n v="-4095.84"/>
    <n v="1854.04"/>
    <n v="3763.4"/>
    <n v="2241.09"/>
    <n v="1098.55"/>
    <n v="-672.11"/>
    <n v="1281.6099999999999"/>
    <n v="-592.45000000000005"/>
    <n v="109.63"/>
    <n v="4205.63"/>
    <n v="-1430.19"/>
    <n v="9037.9500000000007"/>
    <n v="5635.82"/>
  </r>
  <r>
    <x v="14"/>
    <x v="1"/>
    <x v="0"/>
    <s v="2511200"/>
    <n v="600050"/>
    <s v="Miscellaneous Revenue"/>
    <s v="St Joseph Med&amp;Spec-Pod Surg"/>
    <x v="0"/>
    <m/>
    <n v="0"/>
    <n v="0"/>
    <n v="0"/>
    <n v="0"/>
    <n v="0"/>
    <n v="0"/>
    <n v="0"/>
    <n v="0"/>
    <n v="0"/>
    <n v="0"/>
    <n v="-300"/>
    <n v="0"/>
    <n v="-300"/>
    <n v="-300"/>
  </r>
  <r>
    <x v="5"/>
    <x v="1"/>
    <x v="0"/>
    <s v="2511200"/>
    <n v="700020"/>
    <s v="Salaries-Physician Admin-Other"/>
    <s v="St Joseph Med&amp;Spec-Pod Surg"/>
    <x v="0"/>
    <n v="2000"/>
    <n v="0"/>
    <n v="0"/>
    <n v="0"/>
    <n v="0"/>
    <n v="0"/>
    <n v="0"/>
    <n v="0"/>
    <n v="0"/>
    <n v="0"/>
    <n v="0"/>
    <n v="300"/>
    <n v="0"/>
    <n v="300"/>
    <n v="300"/>
  </r>
  <r>
    <x v="5"/>
    <x v="1"/>
    <x v="0"/>
    <s v="2511200"/>
    <n v="700022"/>
    <s v="Salaries-Physician-Productive"/>
    <s v="St Joseph Med&amp;Spec-Pod Surg"/>
    <x v="0"/>
    <m/>
    <n v="24949.67"/>
    <n v="8810.1"/>
    <n v="51475.77"/>
    <n v="45295.78"/>
    <n v="44207.29"/>
    <n v="33109.21"/>
    <n v="38325.51"/>
    <n v="41348.019999999997"/>
    <n v="36097.82"/>
    <n v="45380.55"/>
    <n v="35140.99"/>
    <n v="33160.559999999998"/>
    <n v="437301.26999999996"/>
    <n v="1980.4300000000003"/>
  </r>
  <r>
    <x v="5"/>
    <x v="1"/>
    <x v="0"/>
    <s v="2511200"/>
    <n v="700030"/>
    <s v="Salaries-LPN-Productive"/>
    <s v="St Joseph Med&amp;Spec-Pod Surg"/>
    <x v="0"/>
    <m/>
    <n v="0"/>
    <n v="0"/>
    <n v="0"/>
    <n v="0"/>
    <n v="0"/>
    <n v="781.56"/>
    <n v="576.09"/>
    <n v="0"/>
    <n v="0"/>
    <n v="0"/>
    <n v="0"/>
    <n v="0"/>
    <n v="1357.65"/>
    <n v="0"/>
  </r>
  <r>
    <x v="5"/>
    <x v="1"/>
    <x v="0"/>
    <s v="2511200"/>
    <n v="700032"/>
    <s v="Salaries-Other Pat Care Providers-Productive"/>
    <s v="St Joseph Med&amp;Spec-Pod Surg"/>
    <x v="0"/>
    <m/>
    <n v="2692.95"/>
    <n v="882.78"/>
    <n v="3820.63"/>
    <n v="7175.06"/>
    <n v="8173.93"/>
    <n v="5142.2"/>
    <n v="7220.78"/>
    <n v="6080.75"/>
    <n v="5674.72"/>
    <n v="7830.88"/>
    <n v="7749.22"/>
    <n v="5240.29"/>
    <n v="67684.19"/>
    <n v="2508.9300000000003"/>
  </r>
  <r>
    <x v="5"/>
    <x v="1"/>
    <x v="0"/>
    <s v="2511200"/>
    <n v="700032"/>
    <s v="Salaries-Other Pat Care Providers-OT"/>
    <s v="St Joseph Med&amp;Spec-Pod Surg"/>
    <x v="0"/>
    <n v="1000"/>
    <n v="0"/>
    <n v="0"/>
    <n v="0"/>
    <n v="0"/>
    <n v="0"/>
    <n v="0"/>
    <n v="0"/>
    <n v="0"/>
    <n v="0"/>
    <n v="49.29"/>
    <n v="610.73"/>
    <n v="-57.98"/>
    <n v="602.04"/>
    <n v="668.71"/>
  </r>
  <r>
    <x v="5"/>
    <x v="1"/>
    <x v="0"/>
    <s v="2511200"/>
    <n v="700032"/>
    <s v="Salaries-Other Pat Care Providers-Other"/>
    <s v="St Joseph Med&amp;Spec-Pod Surg"/>
    <x v="0"/>
    <n v="2000"/>
    <n v="0"/>
    <n v="0"/>
    <n v="0"/>
    <n v="0"/>
    <n v="8.25"/>
    <n v="0"/>
    <n v="0"/>
    <n v="0"/>
    <n v="0"/>
    <n v="0"/>
    <n v="0"/>
    <n v="0"/>
    <n v="8.25"/>
    <n v="0"/>
  </r>
  <r>
    <x v="5"/>
    <x v="1"/>
    <x v="0"/>
    <s v="2511200"/>
    <n v="700034"/>
    <s v="Salaries-Tech/Professional-Productive"/>
    <s v="St Joseph Med&amp;Spec-Pod Surg"/>
    <x v="0"/>
    <m/>
    <n v="0"/>
    <n v="0"/>
    <n v="0"/>
    <n v="0"/>
    <n v="0"/>
    <n v="585.12"/>
    <n v="832.25"/>
    <n v="1401.26"/>
    <n v="1711.23"/>
    <n v="1831.81"/>
    <n v="2299.75"/>
    <n v="1767.84"/>
    <n v="10429.26"/>
    <n v="531.91000000000008"/>
  </r>
  <r>
    <x v="5"/>
    <x v="1"/>
    <x v="0"/>
    <s v="2511200"/>
    <n v="700038"/>
    <s v="Salaries-Service/Support-Productive"/>
    <s v="St Joseph Med&amp;Spec-Pod Surg"/>
    <x v="0"/>
    <m/>
    <n v="0"/>
    <n v="0"/>
    <n v="0"/>
    <n v="0"/>
    <n v="0"/>
    <n v="0"/>
    <n v="0"/>
    <n v="0"/>
    <n v="0"/>
    <n v="0"/>
    <n v="0"/>
    <n v="186.43"/>
    <n v="186.43"/>
    <n v="-186.43"/>
  </r>
  <r>
    <x v="5"/>
    <x v="1"/>
    <x v="0"/>
    <s v="2511200"/>
    <n v="700062"/>
    <s v="Salaries-Physician-Non-productive"/>
    <s v="St Joseph Med&amp;Spec-Pod Surg"/>
    <x v="0"/>
    <m/>
    <n v="1020.08"/>
    <n v="19203.2"/>
    <n v="-4518.3999999999996"/>
    <n v="3463.85"/>
    <n v="400.37"/>
    <n v="9276.86"/>
    <n v="8168.37"/>
    <n v="-1919.04"/>
    <n v="5477.23"/>
    <n v="-1825.74"/>
    <n v="9364.92"/>
    <n v="5382.78"/>
    <n v="53494.48"/>
    <n v="3982.1400000000003"/>
  </r>
  <r>
    <x v="5"/>
    <x v="1"/>
    <x v="0"/>
    <s v="2511200"/>
    <n v="700064"/>
    <s v="Salaries-Advanced Practice Clinician-Non-Productive"/>
    <s v="St Joseph Med&amp;Spec-Pod Surg"/>
    <x v="0"/>
    <m/>
    <n v="0"/>
    <n v="0"/>
    <n v="442.96"/>
    <n v="465.5"/>
    <n v="461.87"/>
    <n v="461.25"/>
    <n v="459.13"/>
    <n v="453.1"/>
    <n v="454.88"/>
    <n v="451.59"/>
    <n v="450.63"/>
    <n v="447.48"/>
    <n v="4548.3899999999994"/>
    <n v="3.1499999999999773"/>
  </r>
  <r>
    <x v="5"/>
    <x v="1"/>
    <x v="0"/>
    <s v="2511200"/>
    <n v="700072"/>
    <s v="Salaries-Other Pat Care Providers-Non-productive"/>
    <s v="St Joseph Med&amp;Spec-Pod Surg"/>
    <x v="0"/>
    <m/>
    <n v="1024.28"/>
    <n v="53.35"/>
    <n v="370.09"/>
    <n v="1626.29"/>
    <n v="177.15"/>
    <n v="1516.2"/>
    <n v="1221.4100000000001"/>
    <n v="936.66"/>
    <n v="737.65"/>
    <n v="590.14"/>
    <n v="1700.82"/>
    <n v="1186.28"/>
    <n v="11140.32"/>
    <n v="514.54"/>
  </r>
  <r>
    <x v="5"/>
    <x v="1"/>
    <x v="0"/>
    <s v="2511200"/>
    <n v="700072"/>
    <s v="Salaries-Other Pat Care Providers-NonProd-Other"/>
    <s v="St Joseph Med&amp;Spec-Pod Surg"/>
    <x v="0"/>
    <n v="2000"/>
    <n v="0"/>
    <n v="0"/>
    <n v="0"/>
    <n v="0"/>
    <n v="0"/>
    <n v="290.27999999999997"/>
    <n v="0"/>
    <n v="-290.27999999999997"/>
    <n v="0"/>
    <n v="0"/>
    <n v="0"/>
    <n v="0"/>
    <n v="0"/>
    <n v="0"/>
  </r>
  <r>
    <x v="5"/>
    <x v="1"/>
    <x v="0"/>
    <s v="2511200"/>
    <n v="700084"/>
    <s v="Accrued PTO"/>
    <s v="St Joseph Med&amp;Spec-Pod Surg"/>
    <x v="0"/>
    <m/>
    <n v="-207.28"/>
    <n v="229.46"/>
    <n v="29.06"/>
    <n v="-258.75"/>
    <n v="482.29"/>
    <n v="-341.7"/>
    <n v="-428.25"/>
    <n v="321.44"/>
    <n v="879.88"/>
    <n v="624.73"/>
    <n v="403.62"/>
    <n v="293.95999999999998"/>
    <n v="2028.46"/>
    <n v="109.66000000000003"/>
  </r>
  <r>
    <x v="6"/>
    <x v="1"/>
    <x v="0"/>
    <s v="2511200"/>
    <n v="713010"/>
    <s v="Benefits-FICA/Medicare"/>
    <s v="St Joseph Med&amp;Spec-Pod Surg"/>
    <x v="0"/>
    <m/>
    <n v="656.65"/>
    <n v="469.46"/>
    <n v="2400.58"/>
    <n v="2672.13"/>
    <n v="2523.83"/>
    <n v="3140.84"/>
    <n v="4218.72"/>
    <n v="3581.02"/>
    <n v="3722.35"/>
    <n v="4028.59"/>
    <n v="4262.7700000000004"/>
    <n v="2750.53"/>
    <n v="34427.47"/>
    <n v="1512.2400000000002"/>
  </r>
  <r>
    <x v="6"/>
    <x v="1"/>
    <x v="0"/>
    <s v="2511200"/>
    <n v="713090"/>
    <s v="Benefits-Allocated Amounts"/>
    <s v="St Joseph Med&amp;Spec-Pod Surg"/>
    <x v="0"/>
    <m/>
    <n v="0"/>
    <n v="0"/>
    <n v="0"/>
    <n v="0"/>
    <n v="0"/>
    <n v="0"/>
    <n v="0"/>
    <n v="0"/>
    <n v="21074.89"/>
    <n v="3039.53"/>
    <n v="3085.84"/>
    <n v="2881.19"/>
    <n v="30081.449999999997"/>
    <n v="204.65000000000009"/>
  </r>
  <r>
    <x v="6"/>
    <x v="1"/>
    <x v="0"/>
    <s v="2511200"/>
    <n v="713092"/>
    <s v="Allocated Benefits-Physician"/>
    <s v="St Joseph Med&amp;Spec-Pod Surg"/>
    <x v="0"/>
    <m/>
    <n v="3018.64"/>
    <n v="2169.9899999999998"/>
    <n v="4578.63"/>
    <n v="5546.37"/>
    <n v="5605.9"/>
    <n v="6149.45"/>
    <n v="6793.42"/>
    <n v="6489.57"/>
    <n v="-14499.51"/>
    <n v="3728.57"/>
    <n v="3785.38"/>
    <n v="3534.34"/>
    <n v="36900.75"/>
    <n v="251.03999999999996"/>
  </r>
  <r>
    <x v="7"/>
    <x v="1"/>
    <x v="0"/>
    <s v="2511200"/>
    <n v="718050"/>
    <s v="Contract Management--Linen"/>
    <s v="St Joseph Med&amp;Spec-Pod Surg"/>
    <x v="0"/>
    <n v="1026"/>
    <n v="0"/>
    <n v="0"/>
    <n v="0"/>
    <n v="0"/>
    <n v="0"/>
    <n v="0"/>
    <n v="0"/>
    <n v="46.96"/>
    <n v="0"/>
    <n v="0"/>
    <n v="0"/>
    <n v="0"/>
    <n v="46.96"/>
    <n v="0"/>
  </r>
  <r>
    <x v="11"/>
    <x v="1"/>
    <x v="0"/>
    <s v="2511200"/>
    <n v="721010"/>
    <s v="Supplies-Medical - Billable"/>
    <s v="St Joseph Med&amp;Spec-Pod Surg"/>
    <x v="0"/>
    <m/>
    <n v="1492.39"/>
    <n v="180"/>
    <n v="624.12"/>
    <n v="2904.85"/>
    <n v="685.1"/>
    <n v="3942.39"/>
    <n v="2493.29"/>
    <n v="3822.78"/>
    <n v="0"/>
    <n v="2116.61"/>
    <n v="600.82000000000005"/>
    <n v="4790.87"/>
    <n v="23653.219999999998"/>
    <n v="-4190.05"/>
  </r>
  <r>
    <x v="11"/>
    <x v="1"/>
    <x v="0"/>
    <s v="2511200"/>
    <n v="721250"/>
    <s v="Supplies-Pharmacy Drugs - Billable"/>
    <s v="St Joseph Med&amp;Spec-Pod Surg"/>
    <x v="0"/>
    <m/>
    <n v="390.9"/>
    <n v="0"/>
    <n v="558.33000000000004"/>
    <n v="177.89"/>
    <n v="260.70999999999998"/>
    <n v="355.78"/>
    <n v="4841.38"/>
    <n v="0"/>
    <n v="405.39"/>
    <n v="-2164.88"/>
    <n v="0"/>
    <n v="1419.12"/>
    <n v="6244.62"/>
    <n v="-1419.12"/>
  </r>
  <r>
    <x v="11"/>
    <x v="1"/>
    <x v="0"/>
    <s v="2511200"/>
    <n v="721410"/>
    <s v="Supplies-Medical - Nonbillable"/>
    <s v="St Joseph Med&amp;Spec-Pod Surg"/>
    <x v="0"/>
    <m/>
    <n v="16.5"/>
    <n v="617.5"/>
    <n v="152.74"/>
    <n v="183.11"/>
    <n v="1363.7"/>
    <n v="998.94"/>
    <n v="166.75"/>
    <n v="2726.89"/>
    <n v="0"/>
    <n v="980.46"/>
    <n v="0"/>
    <n v="718.33"/>
    <n v="7924.92"/>
    <n v="-718.33"/>
  </r>
  <r>
    <x v="11"/>
    <x v="1"/>
    <x v="0"/>
    <s v="2511200"/>
    <n v="722000"/>
    <s v="Supplies-Freight Expense"/>
    <s v="St Joseph Med&amp;Spec-Pod Surg"/>
    <x v="0"/>
    <m/>
    <n v="0"/>
    <n v="0"/>
    <n v="0"/>
    <n v="17.079999999999998"/>
    <n v="0"/>
    <n v="0"/>
    <n v="0"/>
    <n v="0"/>
    <n v="0"/>
    <n v="0"/>
    <n v="48"/>
    <n v="167.24"/>
    <n v="232.32"/>
    <n v="-119.24000000000001"/>
  </r>
  <r>
    <x v="0"/>
    <x v="1"/>
    <x v="0"/>
    <s v="2511200"/>
    <n v="740022"/>
    <s v="Education-Physician"/>
    <s v="St Joseph Med&amp;Spec-Pod Surg"/>
    <x v="0"/>
    <m/>
    <n v="0"/>
    <n v="0"/>
    <n v="0"/>
    <n v="0"/>
    <n v="1653.11"/>
    <n v="0"/>
    <n v="0"/>
    <n v="0"/>
    <n v="400"/>
    <n v="280"/>
    <n v="0"/>
    <n v="0"/>
    <n v="2333.1099999999997"/>
    <n v="0"/>
  </r>
  <r>
    <x v="8"/>
    <x v="1"/>
    <x v="0"/>
    <s v="2511200"/>
    <n v="741012"/>
    <s v="Physician Liab Insurance-CHI Program"/>
    <s v="St Joseph Med&amp;Spec-Pod Surg"/>
    <x v="0"/>
    <m/>
    <n v="1065.75"/>
    <n v="1065.75"/>
    <n v="2264.84"/>
    <n v="2264.84"/>
    <n v="2264.84"/>
    <n v="2264.84"/>
    <n v="2264.84"/>
    <n v="2264.84"/>
    <n v="2264.84"/>
    <n v="2264.84"/>
    <n v="2264.84"/>
    <n v="2264.84"/>
    <n v="24779.9"/>
    <n v="0"/>
  </r>
  <r>
    <x v="0"/>
    <x v="1"/>
    <x v="0"/>
    <s v="2511200"/>
    <n v="743020"/>
    <s v="Dues--Individual"/>
    <s v="St Joseph Med&amp;Spec-Pod Surg"/>
    <x v="0"/>
    <m/>
    <n v="0"/>
    <n v="0"/>
    <n v="0"/>
    <n v="0"/>
    <n v="0"/>
    <n v="0"/>
    <n v="0"/>
    <n v="1605"/>
    <n v="0"/>
    <n v="0"/>
    <n v="0"/>
    <n v="0"/>
    <n v="1605"/>
    <n v="0"/>
  </r>
  <r>
    <x v="0"/>
    <x v="1"/>
    <x v="0"/>
    <s v="2511200"/>
    <n v="743022"/>
    <s v="Dues-Physician"/>
    <s v="St Joseph Med&amp;Spec-Pod Surg"/>
    <x v="0"/>
    <m/>
    <n v="350"/>
    <n v="0"/>
    <n v="0"/>
    <n v="1909"/>
    <n v="0"/>
    <n v="0"/>
    <n v="0"/>
    <n v="350"/>
    <n v="199"/>
    <n v="0"/>
    <n v="810.75"/>
    <n v="0"/>
    <n v="3618.75"/>
    <n v="810.75"/>
  </r>
  <r>
    <x v="0"/>
    <x v="1"/>
    <x v="0"/>
    <s v="2511200"/>
    <n v="743042"/>
    <s v="Subscriptions-Physician"/>
    <s v="St Joseph Med&amp;Spec-Pod Surg"/>
    <x v="0"/>
    <m/>
    <n v="0"/>
    <n v="322.01"/>
    <n v="0"/>
    <n v="253.74"/>
    <n v="0"/>
    <n v="0"/>
    <n v="0"/>
    <n v="0"/>
    <n v="0"/>
    <n v="0"/>
    <n v="0"/>
    <n v="0"/>
    <n v="575.75"/>
    <n v="0"/>
  </r>
  <r>
    <x v="0"/>
    <x v="1"/>
    <x v="0"/>
    <s v="2511200"/>
    <n v="749510"/>
    <s v="Miscellaneous Expenses"/>
    <s v="St Joseph Med&amp;Spec-Pod Surg"/>
    <x v="0"/>
    <m/>
    <n v="322.01"/>
    <n v="-322.01"/>
    <n v="771.14"/>
    <n v="881.97"/>
    <n v="-1653.11"/>
    <n v="0"/>
    <n v="0"/>
    <n v="500"/>
    <n v="-500"/>
    <n v="0"/>
    <n v="716"/>
    <n v="-716"/>
    <n v="0"/>
    <n v="1432"/>
  </r>
  <r>
    <x v="0"/>
    <x v="1"/>
    <x v="0"/>
    <s v="2511200"/>
    <n v="749512"/>
    <s v="Licenses-Physician"/>
    <s v="St Joseph Med&amp;Spec-Pod Surg"/>
    <x v="0"/>
    <n v="2000"/>
    <n v="0"/>
    <n v="0"/>
    <n v="0"/>
    <n v="0"/>
    <n v="0"/>
    <n v="0"/>
    <n v="0"/>
    <n v="731"/>
    <n v="718.5"/>
    <n v="0"/>
    <n v="0"/>
    <n v="716"/>
    <n v="2165.5"/>
    <n v="-716"/>
  </r>
  <r>
    <x v="0"/>
    <x v="1"/>
    <x v="0"/>
    <s v="2511200"/>
    <n v="749532"/>
    <s v="Travel-Physician"/>
    <s v="St Joseph Med&amp;Spec-Pod Surg"/>
    <x v="0"/>
    <m/>
    <n v="0"/>
    <n v="0"/>
    <n v="0"/>
    <n v="771.14"/>
    <n v="0"/>
    <n v="0"/>
    <n v="0"/>
    <n v="0"/>
    <n v="0"/>
    <n v="0"/>
    <n v="0"/>
    <n v="0"/>
    <n v="771.14"/>
    <n v="0"/>
  </r>
  <r>
    <x v="0"/>
    <x v="1"/>
    <x v="0"/>
    <s v="2511200"/>
    <n v="749591"/>
    <s v="Other Expense-Intracompany Allocation"/>
    <s v="St Joseph Med&amp;Spec-Pod Surg"/>
    <x v="0"/>
    <m/>
    <n v="15138.57"/>
    <n v="6519.91"/>
    <n v="-21658.48"/>
    <n v="54179.48"/>
    <n v="19466.18"/>
    <n v="21417.62"/>
    <n v="19300.36"/>
    <n v="19790.5"/>
    <n v="17298.89"/>
    <n v="18673.04"/>
    <n v="24273.73"/>
    <n v="12793.65"/>
    <n v="207193.45000000004"/>
    <n v="11480.08"/>
  </r>
  <r>
    <x v="9"/>
    <x v="1"/>
    <x v="0"/>
    <s v="2511200"/>
    <n v="800015"/>
    <s v="Interest Income-Ext to CHI"/>
    <s v="St Joseph Med&amp;Spec-Pod Surg"/>
    <x v="0"/>
    <m/>
    <n v="0"/>
    <n v="0"/>
    <n v="-26.3"/>
    <n v="-48.83"/>
    <n v="-45.2"/>
    <n v="-44.58"/>
    <n v="-42.46"/>
    <n v="-36.43"/>
    <n v="-38.21"/>
    <n v="-34.93"/>
    <n v="-33.97"/>
    <n v="-30.82"/>
    <n v="-381.72999999999996"/>
    <n v="-3.1499999999999986"/>
  </r>
  <r>
    <x v="1"/>
    <x v="1"/>
    <x v="0"/>
    <s v="2512200"/>
    <n v="400029"/>
    <s v="MD Practice Other Rev--Medicare"/>
    <s v="Univ Place Med&amp;Spec-Gyn"/>
    <x v="0"/>
    <n v="1100"/>
    <n v="-10"/>
    <n v="-356"/>
    <n v="-346"/>
    <n v="0"/>
    <n v="0"/>
    <n v="-356"/>
    <n v="0"/>
    <n v="-346"/>
    <n v="0"/>
    <n v="-10"/>
    <n v="0"/>
    <n v="-356"/>
    <n v="-1780"/>
    <n v="356"/>
  </r>
  <r>
    <x v="1"/>
    <x v="1"/>
    <x v="0"/>
    <s v="2512200"/>
    <n v="400029"/>
    <s v="MD Practice Other Rev--Medicaid"/>
    <s v="Univ Place Med&amp;Spec-Gyn"/>
    <x v="0"/>
    <n v="1200"/>
    <n v="-2124"/>
    <n v="-2834"/>
    <n v="-1432"/>
    <n v="-5032"/>
    <n v="-1086"/>
    <n v="-740"/>
    <n v="-1514"/>
    <n v="-1072"/>
    <n v="-1456"/>
    <n v="-1504"/>
    <n v="-1826"/>
    <n v="-764"/>
    <n v="-21384"/>
    <n v="-1062"/>
  </r>
  <r>
    <x v="1"/>
    <x v="1"/>
    <x v="0"/>
    <s v="2512200"/>
    <n v="400029"/>
    <s v="MD Practice Other Rev--Comm Insurance"/>
    <s v="Univ Place Med&amp;Spec-Gyn"/>
    <x v="0"/>
    <n v="1300"/>
    <n v="0"/>
    <n v="-58"/>
    <n v="-642"/>
    <n v="0"/>
    <n v="-692"/>
    <n v="-48"/>
    <n v="-716"/>
    <n v="0"/>
    <n v="-1086"/>
    <n v="-394"/>
    <n v="-346"/>
    <n v="-346"/>
    <n v="-4328"/>
    <n v="0"/>
  </r>
  <r>
    <x v="1"/>
    <x v="1"/>
    <x v="0"/>
    <s v="2512200"/>
    <n v="400029"/>
    <s v="MD Practice Other Rev--BCBS Comm"/>
    <s v="Univ Place Med&amp;Spec-Gyn"/>
    <x v="0"/>
    <n v="1301"/>
    <n v="-1048"/>
    <n v="-388"/>
    <n v="-1072"/>
    <n v="-726"/>
    <n v="-1442"/>
    <n v="-1038"/>
    <n v="-1774"/>
    <n v="-1404"/>
    <n v="-774"/>
    <n v="-404"/>
    <n v="-1038"/>
    <n v="-1058"/>
    <n v="-12166"/>
    <n v="20"/>
  </r>
  <r>
    <x v="1"/>
    <x v="1"/>
    <x v="0"/>
    <s v="2512200"/>
    <n v="400029"/>
    <s v="MD Practice Other Rev--Managed Care"/>
    <s v="Univ Place Med&amp;Spec-Gyn"/>
    <x v="0"/>
    <n v="1400"/>
    <n v="-6250"/>
    <n v="-3666"/>
    <n v="-3848"/>
    <n v="-5544"/>
    <n v="-3098"/>
    <n v="-3576"/>
    <n v="-5004"/>
    <n v="-2936"/>
    <n v="-3778"/>
    <n v="-6940"/>
    <n v="-8336"/>
    <n v="-4478"/>
    <n v="-57454"/>
    <n v="-3858"/>
  </r>
  <r>
    <x v="1"/>
    <x v="1"/>
    <x v="0"/>
    <s v="2512200"/>
    <n v="400029"/>
    <s v="MD Practice Other Rev--Self Pay"/>
    <s v="Univ Place Med&amp;Spec-Gyn"/>
    <x v="0"/>
    <n v="1500"/>
    <n v="-346"/>
    <n v="-24"/>
    <n v="0"/>
    <n v="0"/>
    <n v="0"/>
    <n v="0"/>
    <n v="0"/>
    <n v="0"/>
    <n v="0"/>
    <n v="-346"/>
    <n v="-346"/>
    <n v="-346"/>
    <n v="-1408"/>
    <n v="0"/>
  </r>
  <r>
    <x v="1"/>
    <x v="1"/>
    <x v="0"/>
    <s v="2512200"/>
    <n v="400029"/>
    <s v="MD Practice Other Rev--Other"/>
    <s v="Univ Place Med&amp;Spec-Gyn"/>
    <x v="0"/>
    <n v="1700"/>
    <n v="-346"/>
    <n v="-10"/>
    <n v="0"/>
    <n v="-346"/>
    <n v="-346"/>
    <n v="-1038"/>
    <n v="-24"/>
    <n v="-262"/>
    <n v="-24"/>
    <n v="0"/>
    <n v="-24"/>
    <n v="0"/>
    <n v="-2420"/>
    <n v="-24"/>
  </r>
  <r>
    <x v="1"/>
    <x v="1"/>
    <x v="0"/>
    <s v="2512200"/>
    <n v="400040"/>
    <s v="Physician Svcs Rev--Medicare"/>
    <s v="Univ Place Med&amp;Spec-Gyn"/>
    <x v="0"/>
    <n v="1100"/>
    <n v="-5468"/>
    <n v="-9148"/>
    <n v="-5002"/>
    <n v="-7090"/>
    <n v="-3800"/>
    <n v="-3156"/>
    <n v="-6467"/>
    <n v="-6163"/>
    <n v="-6574"/>
    <n v="-16257"/>
    <n v="-16100"/>
    <n v="-13564"/>
    <n v="-98789"/>
    <n v="-2536"/>
  </r>
  <r>
    <x v="1"/>
    <x v="1"/>
    <x v="0"/>
    <s v="2512200"/>
    <n v="400040"/>
    <s v="Physician Svcs Rev--Medicaid"/>
    <s v="Univ Place Med&amp;Spec-Gyn"/>
    <x v="0"/>
    <n v="1200"/>
    <n v="-19269"/>
    <n v="-29171"/>
    <n v="-13674"/>
    <n v="-46528"/>
    <n v="-20192.439999999999"/>
    <n v="-26884"/>
    <n v="-27990"/>
    <n v="-24321"/>
    <n v="-22251.5"/>
    <n v="-29782"/>
    <n v="-22774"/>
    <n v="-22220"/>
    <n v="-305056.94"/>
    <n v="-554"/>
  </r>
  <r>
    <x v="1"/>
    <x v="1"/>
    <x v="0"/>
    <s v="2512200"/>
    <n v="400040"/>
    <s v="Physician Svcs Rev--Comm Insurance"/>
    <s v="Univ Place Med&amp;Spec-Gyn"/>
    <x v="0"/>
    <n v="1300"/>
    <n v="-3400"/>
    <n v="-4463"/>
    <n v="-6048"/>
    <n v="-7048"/>
    <n v="-2893"/>
    <n v="-9708"/>
    <n v="-12010"/>
    <n v="-7517"/>
    <n v="-7126"/>
    <n v="-8163"/>
    <n v="-5605"/>
    <n v="-3010"/>
    <n v="-76991"/>
    <n v="-2595"/>
  </r>
  <r>
    <x v="1"/>
    <x v="1"/>
    <x v="0"/>
    <s v="2512200"/>
    <n v="400040"/>
    <s v="Physician Svcs Rev--BCBS Comm"/>
    <s v="Univ Place Med&amp;Spec-Gyn"/>
    <x v="0"/>
    <n v="1301"/>
    <n v="-1293"/>
    <n v="-26323"/>
    <n v="-15803"/>
    <n v="-23986"/>
    <n v="-17147"/>
    <n v="-25708"/>
    <n v="-26590"/>
    <n v="-13836"/>
    <n v="-26855"/>
    <n v="-15405.5"/>
    <n v="-15047"/>
    <n v="-21434"/>
    <n v="-229427.5"/>
    <n v="6387"/>
  </r>
  <r>
    <x v="1"/>
    <x v="1"/>
    <x v="0"/>
    <s v="2512200"/>
    <n v="400040"/>
    <s v="Physician Svcs Rev--Managed Care"/>
    <s v="Univ Place Med&amp;Spec-Gyn"/>
    <x v="0"/>
    <n v="1400"/>
    <n v="-62141"/>
    <n v="-87793"/>
    <n v="-67014"/>
    <n v="-90084"/>
    <n v="-64495.5"/>
    <n v="-70114.75"/>
    <n v="-86322.5"/>
    <n v="-70349"/>
    <n v="-53205"/>
    <n v="-68672"/>
    <n v="-89481.75"/>
    <n v="-85936"/>
    <n v="-895608.5"/>
    <n v="-3545.75"/>
  </r>
  <r>
    <x v="1"/>
    <x v="1"/>
    <x v="0"/>
    <s v="2512200"/>
    <n v="400040"/>
    <s v="Physician Svcs Rev--Self Pay"/>
    <s v="Univ Place Med&amp;Spec-Gyn"/>
    <x v="0"/>
    <n v="1500"/>
    <n v="-1043"/>
    <n v="-3073"/>
    <n v="-1125"/>
    <n v="-606"/>
    <n v="-1432"/>
    <n v="-1137"/>
    <n v="-347"/>
    <n v="-620"/>
    <n v="-2551"/>
    <n v="-3186"/>
    <n v="-1561"/>
    <n v="-896"/>
    <n v="-17577"/>
    <n v="-665"/>
  </r>
  <r>
    <x v="1"/>
    <x v="1"/>
    <x v="0"/>
    <s v="2512200"/>
    <n v="400040"/>
    <s v="Physician Svcs Rev--Other"/>
    <s v="Univ Place Med&amp;Spec-Gyn"/>
    <x v="0"/>
    <n v="1700"/>
    <n v="-2519"/>
    <n v="-3230"/>
    <n v="-1751"/>
    <n v="-2158"/>
    <n v="-3923"/>
    <n v="-2376"/>
    <n v="-7365"/>
    <n v="-3676"/>
    <n v="-7024"/>
    <n v="-2577"/>
    <n v="-4220"/>
    <n v="-5352"/>
    <n v="-46171"/>
    <n v="1132"/>
  </r>
  <r>
    <x v="2"/>
    <x v="1"/>
    <x v="0"/>
    <s v="2512200"/>
    <n v="450029"/>
    <s v="Contr Allow--MD Other-Medicare"/>
    <s v="Univ Place Med&amp;Spec-Gyn"/>
    <x v="0"/>
    <n v="1100"/>
    <n v="7.0000000000000007E-2"/>
    <n v="234.94"/>
    <n v="0"/>
    <n v="436.23"/>
    <n v="0"/>
    <n v="0"/>
    <n v="229.78"/>
    <n v="0"/>
    <n v="223.63"/>
    <n v="0"/>
    <n v="6.59"/>
    <n v="221.29"/>
    <n v="1352.53"/>
    <n v="-214.7"/>
  </r>
  <r>
    <x v="2"/>
    <x v="1"/>
    <x v="0"/>
    <s v="2512200"/>
    <n v="450029"/>
    <s v="Contr Allow--MD Other-Medicaid"/>
    <s v="Univ Place Med&amp;Spec-Gyn"/>
    <x v="0"/>
    <n v="1200"/>
    <n v="1301.69"/>
    <n v="2114.9299999999998"/>
    <n v="1626.06"/>
    <n v="3517.65"/>
    <n v="1142.77"/>
    <n v="865.43"/>
    <n v="1109.49"/>
    <n v="822.9"/>
    <n v="1126.97"/>
    <n v="588.12"/>
    <n v="1915.74"/>
    <n v="833.85"/>
    <n v="16965.599999999999"/>
    <n v="1081.8899999999999"/>
  </r>
  <r>
    <x v="2"/>
    <x v="1"/>
    <x v="0"/>
    <s v="2512200"/>
    <n v="450029"/>
    <s v="Contr Allow--MD Other-Comm Insurance"/>
    <s v="Univ Place Med&amp;Spec-Gyn"/>
    <x v="0"/>
    <n v="1300"/>
    <n v="205.74"/>
    <n v="133.30000000000001"/>
    <n v="45.45"/>
    <n v="404.98"/>
    <n v="293.08"/>
    <n v="155.58000000000001"/>
    <n v="280.42"/>
    <n v="18.670000000000002"/>
    <n v="143.13"/>
    <n v="194.37"/>
    <n v="176"/>
    <n v="140.74"/>
    <n v="2191.46"/>
    <n v="35.259999999999991"/>
  </r>
  <r>
    <x v="2"/>
    <x v="1"/>
    <x v="0"/>
    <s v="2512200"/>
    <n v="450029"/>
    <s v="Contr Allow--MD Other BCBS Comm"/>
    <s v="Univ Place Med&amp;Spec-Gyn"/>
    <x v="0"/>
    <n v="1301"/>
    <n v="563.29999999999995"/>
    <n v="396.38"/>
    <n v="378.4"/>
    <n v="189.62"/>
    <n v="502.73"/>
    <n v="308.11"/>
    <n v="237.97"/>
    <n v="482.58"/>
    <n v="392.43"/>
    <n v="56.49"/>
    <n v="276.95"/>
    <n v="186.8"/>
    <n v="3971.7599999999993"/>
    <n v="90.149999999999977"/>
  </r>
  <r>
    <x v="2"/>
    <x v="1"/>
    <x v="0"/>
    <s v="2512200"/>
    <n v="450029"/>
    <s v="Contr Allow--MD Other-Managed Care"/>
    <s v="Univ Place Med&amp;Spec-Gyn"/>
    <x v="0"/>
    <n v="1400"/>
    <n v="1453.13"/>
    <n v="1753.47"/>
    <n v="1388.72"/>
    <n v="1977.6"/>
    <n v="1936.26"/>
    <n v="893.08"/>
    <n v="1179.46"/>
    <n v="1434.29"/>
    <n v="1171.33"/>
    <n v="1926.37"/>
    <n v="2927.13"/>
    <n v="2816.69"/>
    <n v="20857.530000000002"/>
    <n v="110.44000000000005"/>
  </r>
  <r>
    <x v="2"/>
    <x v="1"/>
    <x v="0"/>
    <s v="2512200"/>
    <n v="450029"/>
    <s v="Admin Adjust-MD Other-Self Pay"/>
    <s v="Univ Place Med&amp;Spec-Gyn"/>
    <x v="0"/>
    <n v="1600"/>
    <n v="190.42"/>
    <n v="32.049999999999997"/>
    <n v="0"/>
    <n v="0.7"/>
    <n v="7.56"/>
    <n v="0.7"/>
    <n v="0"/>
    <n v="0"/>
    <n v="0"/>
    <n v="128.02000000000001"/>
    <n v="191.33"/>
    <n v="128.4"/>
    <n v="679.18"/>
    <n v="62.930000000000007"/>
  </r>
  <r>
    <x v="2"/>
    <x v="1"/>
    <x v="0"/>
    <s v="2512200"/>
    <n v="450029"/>
    <s v="Contr Allow--MD Other-Other"/>
    <s v="Univ Place Med&amp;Spec-Gyn"/>
    <x v="0"/>
    <n v="1700"/>
    <n v="0"/>
    <n v="226.98"/>
    <n v="0"/>
    <n v="0"/>
    <n v="0"/>
    <n v="219.81"/>
    <n v="236.89"/>
    <n v="439.78"/>
    <n v="17"/>
    <n v="166.92"/>
    <n v="17"/>
    <n v="0"/>
    <n v="1324.38"/>
    <n v="17"/>
  </r>
  <r>
    <x v="2"/>
    <x v="1"/>
    <x v="0"/>
    <s v="2512200"/>
    <n v="450040"/>
    <s v="Contr Allow--Phys Svcs--Mcare"/>
    <s v="Univ Place Med&amp;Spec-Gyn"/>
    <x v="0"/>
    <n v="1100"/>
    <n v="2429.73"/>
    <n v="5912.3"/>
    <n v="2657.72"/>
    <n v="4302.84"/>
    <n v="3714.29"/>
    <n v="1498.02"/>
    <n v="3385.4"/>
    <n v="3032.92"/>
    <n v="3433.55"/>
    <n v="8616.7000000000007"/>
    <n v="8772.77"/>
    <n v="8085.68"/>
    <n v="55841.920000000006"/>
    <n v="687.09000000000015"/>
  </r>
  <r>
    <x v="2"/>
    <x v="1"/>
    <x v="0"/>
    <s v="2512200"/>
    <n v="450040"/>
    <s v="Contr Allow--Phys Svcs--Mcaid"/>
    <s v="Univ Place Med&amp;Spec-Gyn"/>
    <x v="0"/>
    <n v="1200"/>
    <n v="13817.64"/>
    <n v="15783.64"/>
    <n v="15533.68"/>
    <n v="21356.240000000002"/>
    <n v="19230.23"/>
    <n v="12977.48"/>
    <n v="19068.98"/>
    <n v="12656.14"/>
    <n v="16539.88"/>
    <n v="19194.22"/>
    <n v="21902.400000000001"/>
    <n v="10991.1"/>
    <n v="199051.62999999998"/>
    <n v="10911.300000000001"/>
  </r>
  <r>
    <x v="2"/>
    <x v="1"/>
    <x v="0"/>
    <s v="2512200"/>
    <n v="450040"/>
    <s v="Contr Allow--Phys Svcs--Comm Insurance"/>
    <s v="Univ Place Med&amp;Spec-Gyn"/>
    <x v="0"/>
    <n v="1300"/>
    <n v="2604.27"/>
    <n v="2133.89"/>
    <n v="1562.56"/>
    <n v="3530.23"/>
    <n v="1995.53"/>
    <n v="1227.54"/>
    <n v="4524.28"/>
    <n v="3621.82"/>
    <n v="1941.25"/>
    <n v="2548.38"/>
    <n v="4049.89"/>
    <n v="1412.31"/>
    <n v="31151.95"/>
    <n v="2637.58"/>
  </r>
  <r>
    <x v="2"/>
    <x v="1"/>
    <x v="0"/>
    <s v="2512200"/>
    <n v="450040"/>
    <s v="Contr Allow--Phys Svcs--BCBS Comm Ins"/>
    <s v="Univ Place Med&amp;Spec-Gyn"/>
    <x v="0"/>
    <n v="1301"/>
    <n v="5964.89"/>
    <n v="7406.26"/>
    <n v="6975.27"/>
    <n v="5560.87"/>
    <n v="8434.34"/>
    <n v="8266.8799999999992"/>
    <n v="7490.78"/>
    <n v="6427.36"/>
    <n v="7190.34"/>
    <n v="7869.13"/>
    <n v="4846.0600000000004"/>
    <n v="5825.65"/>
    <n v="82257.83"/>
    <n v="-979.58999999999924"/>
  </r>
  <r>
    <x v="2"/>
    <x v="1"/>
    <x v="0"/>
    <s v="2512200"/>
    <n v="450040"/>
    <s v="Contr Allow--Phys Svcs--Managed Care"/>
    <s v="Univ Place Med&amp;Spec-Gyn"/>
    <x v="0"/>
    <n v="1400"/>
    <n v="28815.97"/>
    <n v="27678.84"/>
    <n v="26241.24"/>
    <n v="29562.84"/>
    <n v="33518.080000000002"/>
    <n v="20248.330000000002"/>
    <n v="24401.84"/>
    <n v="26343.34"/>
    <n v="22380.37"/>
    <n v="21410.33"/>
    <n v="30991.32"/>
    <n v="31406.69"/>
    <n v="322999.19"/>
    <n v="-415.36999999999898"/>
  </r>
  <r>
    <x v="2"/>
    <x v="1"/>
    <x v="0"/>
    <s v="2512200"/>
    <n v="450040"/>
    <s v="Contr Allow--Phys Svcs--BCBS Mgnd Care"/>
    <s v="Univ Place Med&amp;Spec-Gyn"/>
    <x v="0"/>
    <n v="1401"/>
    <n v="-17744.12"/>
    <n v="4406.5600000000004"/>
    <n v="-10181.39"/>
    <n v="10453.870000000001"/>
    <n v="-22342.01"/>
    <n v="18081.71"/>
    <n v="12996.97"/>
    <n v="-5313.06"/>
    <n v="-77.58"/>
    <n v="2912.27"/>
    <n v="969.4"/>
    <n v="4948.6099999999997"/>
    <n v="-888.76999999999771"/>
    <n v="-3979.2099999999996"/>
  </r>
  <r>
    <x v="2"/>
    <x v="1"/>
    <x v="0"/>
    <s v="2512200"/>
    <n v="450040"/>
    <s v="Admin Adjust-Phys Svcs-Self Pay"/>
    <s v="Univ Place Med&amp;Spec-Gyn"/>
    <x v="0"/>
    <n v="1600"/>
    <n v="603.48"/>
    <n v="1695.15"/>
    <n v="1283.43"/>
    <n v="227.21"/>
    <n v="795.09"/>
    <n v="575.85"/>
    <n v="233.19"/>
    <n v="341"/>
    <n v="1129.3699999999999"/>
    <n v="1763.84"/>
    <n v="928.62"/>
    <n v="435.51"/>
    <n v="10011.740000000002"/>
    <n v="493.11"/>
  </r>
  <r>
    <x v="2"/>
    <x v="1"/>
    <x v="0"/>
    <s v="2512200"/>
    <n v="450040"/>
    <s v="Contr Allow--Phys Svcs--Other"/>
    <s v="Univ Place Med&amp;Spec-Gyn"/>
    <x v="0"/>
    <n v="1700"/>
    <n v="2247.08"/>
    <n v="2057.9499999999998"/>
    <n v="1707.07"/>
    <n v="1924.29"/>
    <n v="673.77"/>
    <n v="2874.94"/>
    <n v="1688.08"/>
    <n v="3268.05"/>
    <n v="4977.1899999999996"/>
    <n v="2371.56"/>
    <n v="1867.14"/>
    <n v="2609.66"/>
    <n v="28266.78"/>
    <n v="-742.51999999999975"/>
  </r>
  <r>
    <x v="3"/>
    <x v="1"/>
    <x v="0"/>
    <s v="2512200"/>
    <n v="470040"/>
    <s v="Charity Care-Physician Svcs"/>
    <s v="Univ Place Med&amp;Spec-Gyn"/>
    <x v="0"/>
    <m/>
    <n v="-489.12"/>
    <n v="2277.63"/>
    <n v="56.08"/>
    <n v="368.74"/>
    <n v="-693.98"/>
    <n v="619.11"/>
    <n v="358.34"/>
    <n v="-149"/>
    <n v="460.9"/>
    <n v="1079.3499999999999"/>
    <n v="173.74"/>
    <n v="2417.39"/>
    <n v="6479.18"/>
    <n v="-2243.6499999999996"/>
  </r>
  <r>
    <x v="4"/>
    <x v="1"/>
    <x v="0"/>
    <s v="2512200"/>
    <n v="490010"/>
    <s v="Provision for Bad Debts"/>
    <s v="Univ Place Med&amp;Spec-Gyn"/>
    <x v="0"/>
    <m/>
    <n v="-3009.22"/>
    <n v="718.62"/>
    <n v="1855.17"/>
    <n v="2928.42"/>
    <n v="-2805.12"/>
    <n v="1956.15"/>
    <n v="633.62"/>
    <n v="-1460.14"/>
    <n v="1204.75"/>
    <n v="-151.33000000000001"/>
    <n v="330.19"/>
    <n v="1240.55"/>
    <n v="3441.66"/>
    <n v="-910.3599999999999"/>
  </r>
  <r>
    <x v="5"/>
    <x v="1"/>
    <x v="0"/>
    <s v="2512200"/>
    <n v="700022"/>
    <s v="Salaries-Physician-Productive"/>
    <s v="Univ Place Med&amp;Spec-Gyn"/>
    <x v="0"/>
    <m/>
    <n v="29266.04"/>
    <n v="30926.92"/>
    <n v="15849.8"/>
    <n v="31532.76"/>
    <n v="22307.200000000001"/>
    <n v="25529.08"/>
    <n v="28845.73"/>
    <n v="20716.09"/>
    <n v="27860.06"/>
    <n v="27860.04"/>
    <n v="28180.03"/>
    <n v="21341.599999999999"/>
    <n v="310215.34999999998"/>
    <n v="6838.43"/>
  </r>
  <r>
    <x v="5"/>
    <x v="1"/>
    <x v="0"/>
    <s v="2512200"/>
    <n v="700022"/>
    <s v="Salaries-Physician-Other"/>
    <s v="Univ Place Med&amp;Spec-Gyn"/>
    <x v="0"/>
    <n v="2000"/>
    <n v="0"/>
    <n v="3600"/>
    <n v="1800"/>
    <n v="2400"/>
    <n v="1800"/>
    <n v="4500"/>
    <n v="0"/>
    <n v="2400"/>
    <n v="2400"/>
    <n v="1800"/>
    <n v="2400"/>
    <n v="2100"/>
    <n v="25200"/>
    <n v="300"/>
  </r>
  <r>
    <x v="5"/>
    <x v="1"/>
    <x v="0"/>
    <s v="2512200"/>
    <n v="700024"/>
    <s v="Salaries-Advanced Practice Clinician-Productive"/>
    <s v="Univ Place Med&amp;Spec-Gyn"/>
    <x v="0"/>
    <m/>
    <n v="2260.7600000000002"/>
    <n v="8134.79"/>
    <n v="5315.42"/>
    <n v="6938.77"/>
    <n v="5731.94"/>
    <n v="5214.03"/>
    <n v="6962.58"/>
    <n v="6320.21"/>
    <n v="5758.31"/>
    <n v="5624.03"/>
    <n v="7727.46"/>
    <n v="6187.29"/>
    <n v="72175.59"/>
    <n v="1540.17"/>
  </r>
  <r>
    <x v="5"/>
    <x v="1"/>
    <x v="0"/>
    <s v="2512200"/>
    <n v="700030"/>
    <s v="Salaries-LPN-Productive"/>
    <s v="Univ Place Med&amp;Spec-Gyn"/>
    <x v="0"/>
    <m/>
    <n v="2539.6999999999998"/>
    <n v="4918.28"/>
    <n v="2620.27"/>
    <n v="5138"/>
    <n v="3669.58"/>
    <n v="3806.91"/>
    <n v="4170.22"/>
    <n v="3383.66"/>
    <n v="2973.94"/>
    <n v="5058.5600000000004"/>
    <n v="4397.29"/>
    <n v="1772.76"/>
    <n v="44449.170000000006"/>
    <n v="2624.5299999999997"/>
  </r>
  <r>
    <x v="5"/>
    <x v="1"/>
    <x v="0"/>
    <s v="2512200"/>
    <n v="700030"/>
    <s v="Salaries-LPN-OT"/>
    <s v="Univ Place Med&amp;Spec-Gyn"/>
    <x v="0"/>
    <n v="1000"/>
    <n v="0"/>
    <n v="0"/>
    <n v="0"/>
    <n v="59.5"/>
    <n v="39.67"/>
    <n v="0"/>
    <n v="0"/>
    <n v="165.51"/>
    <n v="0"/>
    <n v="0"/>
    <n v="0"/>
    <n v="0"/>
    <n v="264.68"/>
    <n v="0"/>
  </r>
  <r>
    <x v="5"/>
    <x v="1"/>
    <x v="0"/>
    <s v="2512200"/>
    <n v="700032"/>
    <s v="Salaries-Other Pat Care Providers-Productive"/>
    <s v="Univ Place Med&amp;Spec-Gyn"/>
    <x v="0"/>
    <m/>
    <n v="3136.28"/>
    <n v="2944.05"/>
    <n v="2338.37"/>
    <n v="2464.44"/>
    <n v="2078.0500000000002"/>
    <n v="1652.22"/>
    <n v="2514.83"/>
    <n v="852.95"/>
    <n v="2345.5700000000002"/>
    <n v="1393.15"/>
    <n v="2287.84"/>
    <n v="2233.59"/>
    <n v="26241.340000000004"/>
    <n v="54.25"/>
  </r>
  <r>
    <x v="5"/>
    <x v="1"/>
    <x v="0"/>
    <s v="2512200"/>
    <n v="700062"/>
    <s v="Salaries-Physician-Non-productive"/>
    <s v="Univ Place Med&amp;Spec-Gyn"/>
    <x v="0"/>
    <m/>
    <n v="0"/>
    <n v="0"/>
    <n v="10844.6"/>
    <n v="-834.2"/>
    <n v="6545.92"/>
    <n v="1963.77"/>
    <n v="1311.59"/>
    <n v="4432.2700000000004"/>
    <n v="-1266.3599999999999"/>
    <n v="0"/>
    <n v="0"/>
    <n v="3048.8"/>
    <n v="26046.39"/>
    <n v="-3048.8"/>
  </r>
  <r>
    <x v="5"/>
    <x v="1"/>
    <x v="0"/>
    <s v="2512200"/>
    <n v="700064"/>
    <s v="Salaries-Advanced Practice Clinician-Non-Productive"/>
    <s v="Univ Place Med&amp;Spec-Gyn"/>
    <x v="0"/>
    <m/>
    <n v="5888.87"/>
    <n v="-529.62"/>
    <n v="1508.43"/>
    <n v="0"/>
    <n v="854.76"/>
    <n v="1930.33"/>
    <n v="-149.58000000000001"/>
    <n v="1148.6500000000001"/>
    <n v="1723"/>
    <n v="857.78"/>
    <n v="298.35000000000002"/>
    <n v="813.65"/>
    <n v="14344.62"/>
    <n v="-515.29999999999995"/>
  </r>
  <r>
    <x v="5"/>
    <x v="1"/>
    <x v="0"/>
    <s v="2512200"/>
    <n v="700070"/>
    <s v="Salaries-LPN-Non-productive"/>
    <s v="Univ Place Med&amp;Spec-Gyn"/>
    <x v="0"/>
    <m/>
    <n v="1711.2"/>
    <n v="-135.47"/>
    <n v="1144.3599999999999"/>
    <n v="-67.73"/>
    <n v="763.88"/>
    <n v="580.25"/>
    <n v="559.14"/>
    <n v="788.55"/>
    <n v="1197.53"/>
    <n v="-220.67"/>
    <n v="382.5"/>
    <n v="2000.78"/>
    <n v="8704.32"/>
    <n v="-1618.28"/>
  </r>
  <r>
    <x v="5"/>
    <x v="1"/>
    <x v="0"/>
    <s v="2512200"/>
    <n v="700070"/>
    <s v="Salaries-LPN-NonProd-Other"/>
    <s v="Univ Place Med&amp;Spec-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12200"/>
    <n v="700072"/>
    <s v="Salaries-Other Pat Care Providers-Non-productive"/>
    <s v="Univ Place Med&amp;Spec-Gyn"/>
    <x v="0"/>
    <m/>
    <n v="0"/>
    <n v="0"/>
    <n v="0"/>
    <n v="0"/>
    <n v="243.85"/>
    <n v="678.02"/>
    <n v="113.24"/>
    <n v="1280.5999999999999"/>
    <n v="241.22"/>
    <n v="932.18"/>
    <n v="357.34"/>
    <n v="101.27"/>
    <n v="3947.72"/>
    <n v="256.07"/>
  </r>
  <r>
    <x v="5"/>
    <x v="1"/>
    <x v="0"/>
    <s v="2512200"/>
    <n v="700072"/>
    <s v="Salaries-Other Pat Care Providers-NonProd-Other"/>
    <s v="Univ Place Med&amp;Spec-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12200"/>
    <n v="700084"/>
    <s v="Accrued PTO"/>
    <s v="Univ Place Med&amp;Spec-Gyn"/>
    <x v="0"/>
    <m/>
    <n v="-478.58"/>
    <n v="732.04"/>
    <n v="-305.18"/>
    <n v="1197.56"/>
    <n v="15.93"/>
    <n v="-522.47"/>
    <n v="158.63999999999999"/>
    <n v="-213.74"/>
    <n v="-406.31"/>
    <n v="29.24"/>
    <n v="376.18"/>
    <n v="-1214.32"/>
    <n v="-631.01"/>
    <n v="1590.5"/>
  </r>
  <r>
    <x v="6"/>
    <x v="1"/>
    <x v="0"/>
    <s v="2512200"/>
    <n v="713010"/>
    <s v="Benefits-FICA/Medicare"/>
    <s v="Univ Place Med&amp;Spec-Gyn"/>
    <x v="0"/>
    <m/>
    <n v="1549.19"/>
    <n v="1564.13"/>
    <n v="1279.7"/>
    <n v="1483.71"/>
    <n v="1378.86"/>
    <n v="2269.15"/>
    <n v="3272.85"/>
    <n v="2884.62"/>
    <n v="3013.88"/>
    <n v="3066.83"/>
    <n v="1477.36"/>
    <n v="1285.28"/>
    <n v="24525.559999999998"/>
    <n v="192.07999999999993"/>
  </r>
  <r>
    <x v="6"/>
    <x v="1"/>
    <x v="0"/>
    <s v="2512200"/>
    <n v="713090"/>
    <s v="Benefits-Allocated Amounts"/>
    <s v="Univ Place Med&amp;Spec-Gyn"/>
    <x v="0"/>
    <m/>
    <n v="0"/>
    <n v="0"/>
    <n v="0"/>
    <n v="0"/>
    <n v="0"/>
    <n v="0"/>
    <n v="0"/>
    <n v="0"/>
    <n v="21601.57"/>
    <n v="2539.3000000000002"/>
    <n v="2524.46"/>
    <n v="2238.48"/>
    <n v="28903.809999999998"/>
    <n v="285.98"/>
  </r>
  <r>
    <x v="6"/>
    <x v="1"/>
    <x v="0"/>
    <s v="2512200"/>
    <n v="713092"/>
    <s v="Allocated Benefits-Physician"/>
    <s v="Univ Place Med&amp;Spec-Gyn"/>
    <x v="0"/>
    <m/>
    <n v="2648.52"/>
    <n v="2446.14"/>
    <n v="2337.9899999999998"/>
    <n v="2455.94"/>
    <n v="2390.5100000000002"/>
    <n v="2552.3200000000002"/>
    <n v="2946.48"/>
    <n v="2809"/>
    <n v="-9128.5"/>
    <n v="1346.95"/>
    <n v="1339.1"/>
    <n v="1187.3800000000001"/>
    <n v="15331.830000000002"/>
    <n v="151.7199999999998"/>
  </r>
  <r>
    <x v="6"/>
    <x v="1"/>
    <x v="0"/>
    <s v="2512200"/>
    <n v="713093"/>
    <s v="Allocated Benefits-Advanced Practice Clinician"/>
    <s v="Univ Place Med&amp;Spec-Gyn"/>
    <x v="0"/>
    <m/>
    <n v="1983.32"/>
    <n v="1831.77"/>
    <n v="1750.79"/>
    <n v="1839.12"/>
    <n v="1790.11"/>
    <n v="1911.29"/>
    <n v="2206.4499999999998"/>
    <n v="2103.5"/>
    <n v="-7290.8"/>
    <n v="955.17"/>
    <n v="949.6"/>
    <n v="842.01"/>
    <n v="10872.330000000002"/>
    <n v="107.59000000000003"/>
  </r>
  <r>
    <x v="0"/>
    <x v="1"/>
    <x v="0"/>
    <s v="2512200"/>
    <n v="740022"/>
    <s v="Education-Physician"/>
    <s v="Univ Place Med&amp;Spec-Gyn"/>
    <x v="0"/>
    <m/>
    <n v="1420"/>
    <n v="0"/>
    <n v="0"/>
    <n v="0"/>
    <n v="0"/>
    <n v="0"/>
    <n v="0"/>
    <n v="0"/>
    <n v="0"/>
    <n v="1075"/>
    <n v="0"/>
    <n v="0"/>
    <n v="2495"/>
    <n v="0"/>
  </r>
  <r>
    <x v="8"/>
    <x v="1"/>
    <x v="0"/>
    <s v="2512200"/>
    <n v="741012"/>
    <s v="Physician Liab Insurance-CHI Program"/>
    <s v="Univ Place Med&amp;Spec-Gyn"/>
    <x v="0"/>
    <m/>
    <n v="1364.16"/>
    <n v="1364.16"/>
    <n v="1364.16"/>
    <n v="1364.16"/>
    <n v="1364.16"/>
    <n v="1364.16"/>
    <n v="1364.16"/>
    <n v="1364.16"/>
    <n v="1364.16"/>
    <n v="1364.16"/>
    <n v="1364.16"/>
    <n v="1364.16"/>
    <n v="16369.92"/>
    <n v="0"/>
  </r>
  <r>
    <x v="0"/>
    <x v="1"/>
    <x v="0"/>
    <s v="2512200"/>
    <n v="743010"/>
    <s v="Dues--Institutional"/>
    <s v="Univ Place Med&amp;Spec-Gyn"/>
    <x v="0"/>
    <m/>
    <n v="0"/>
    <n v="0"/>
    <n v="0"/>
    <n v="0"/>
    <n v="0"/>
    <n v="0"/>
    <n v="0"/>
    <n v="335"/>
    <n v="0"/>
    <n v="0"/>
    <n v="0"/>
    <n v="0"/>
    <n v="335"/>
    <n v="0"/>
  </r>
  <r>
    <x v="0"/>
    <x v="1"/>
    <x v="0"/>
    <s v="2512200"/>
    <n v="743022"/>
    <s v="Dues-Physician"/>
    <s v="Univ Place Med&amp;Spec-Gyn"/>
    <x v="0"/>
    <m/>
    <n v="0"/>
    <n v="350"/>
    <n v="0"/>
    <n v="0"/>
    <n v="0"/>
    <n v="790"/>
    <n v="650"/>
    <n v="820"/>
    <n v="0"/>
    <n v="0"/>
    <n v="0"/>
    <n v="0"/>
    <n v="2610"/>
    <n v="0"/>
  </r>
  <r>
    <x v="0"/>
    <x v="1"/>
    <x v="0"/>
    <s v="2512200"/>
    <n v="743023"/>
    <s v="Dues-Advanced Practice Clinician"/>
    <s v="Univ Place Med&amp;Spec-Gy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2512200"/>
    <n v="743042"/>
    <s v="Subscriptions-Physician"/>
    <s v="Univ Place Med&amp;Spec-Gyn"/>
    <x v="0"/>
    <m/>
    <n v="570.38"/>
    <n v="0"/>
    <n v="0"/>
    <n v="0"/>
    <n v="0"/>
    <n v="0"/>
    <n v="0"/>
    <n v="0"/>
    <n v="0"/>
    <n v="0"/>
    <n v="0"/>
    <n v="0"/>
    <n v="570.38"/>
    <n v="0"/>
  </r>
  <r>
    <x v="0"/>
    <x v="1"/>
    <x v="0"/>
    <s v="2512200"/>
    <n v="749510"/>
    <s v="Miscellaneous Expenses"/>
    <s v="Univ Place Med&amp;Spec-Gyn"/>
    <x v="0"/>
    <m/>
    <n v="1.01"/>
    <n v="-1991.39"/>
    <n v="0"/>
    <n v="0"/>
    <n v="0"/>
    <n v="0"/>
    <n v="0"/>
    <n v="0"/>
    <n v="0"/>
    <n v="0"/>
    <n v="0"/>
    <n v="0"/>
    <n v="-1990.38"/>
    <n v="0"/>
  </r>
  <r>
    <x v="0"/>
    <x v="1"/>
    <x v="0"/>
    <s v="2512200"/>
    <n v="749512"/>
    <s v="Licenses-Physician"/>
    <s v="Univ Place Med&amp;Spec-Gyn"/>
    <x v="0"/>
    <n v="2000"/>
    <n v="0"/>
    <n v="0"/>
    <n v="0"/>
    <n v="441"/>
    <n v="0"/>
    <n v="0"/>
    <n v="0"/>
    <n v="0"/>
    <n v="0"/>
    <n v="0"/>
    <n v="0"/>
    <n v="0"/>
    <n v="441"/>
    <n v="0"/>
  </r>
  <r>
    <x v="0"/>
    <x v="1"/>
    <x v="0"/>
    <s v="2512200"/>
    <n v="749532"/>
    <s v="Travel-Physician"/>
    <s v="Univ Place Med&amp;Spec-Gyn"/>
    <x v="0"/>
    <m/>
    <n v="0"/>
    <n v="0"/>
    <n v="0"/>
    <n v="0"/>
    <n v="0"/>
    <n v="1100.6099999999999"/>
    <n v="0"/>
    <n v="0"/>
    <n v="0"/>
    <n v="0"/>
    <n v="0"/>
    <n v="0"/>
    <n v="1100.6099999999999"/>
    <n v="0"/>
  </r>
  <r>
    <x v="0"/>
    <x v="1"/>
    <x v="0"/>
    <s v="2512200"/>
    <n v="749533"/>
    <s v="Travel-Advanced Practice Clinician"/>
    <s v="Univ Place Med&amp;Spec-Gyn"/>
    <x v="0"/>
    <m/>
    <n v="0"/>
    <n v="1991.39"/>
    <n v="0"/>
    <n v="0"/>
    <n v="0"/>
    <n v="0"/>
    <n v="0"/>
    <n v="0"/>
    <n v="0"/>
    <n v="0"/>
    <n v="0"/>
    <n v="0"/>
    <n v="1991.39"/>
    <n v="0"/>
  </r>
  <r>
    <x v="0"/>
    <x v="1"/>
    <x v="0"/>
    <s v="2512200"/>
    <n v="749591"/>
    <s v="Other Expense-Intracompany Allocation"/>
    <s v="Univ Place Med&amp;Spec-Gyn"/>
    <x v="0"/>
    <m/>
    <n v="16492.53"/>
    <n v="19852.669999999998"/>
    <n v="13381.75"/>
    <n v="27348.54"/>
    <n v="21143.31"/>
    <n v="20204.75"/>
    <n v="20866.560000000001"/>
    <n v="18413.79"/>
    <n v="18744.71"/>
    <n v="18893.419999999998"/>
    <n v="22456.13"/>
    <n v="22520.41"/>
    <n v="240318.56999999998"/>
    <n v="-64.279999999998836"/>
  </r>
  <r>
    <x v="2"/>
    <x v="1"/>
    <x v="0"/>
    <s v="2513200"/>
    <n v="450029"/>
    <s v="Admin Adjust-MD Other-Self Pay"/>
    <s v="Federal Way Med&amp;Spec-Endo"/>
    <x v="0"/>
    <n v="1600"/>
    <n v="0"/>
    <n v="1.31"/>
    <n v="0"/>
    <n v="0"/>
    <n v="0"/>
    <n v="0"/>
    <n v="0"/>
    <n v="0"/>
    <n v="0"/>
    <n v="0"/>
    <n v="0"/>
    <n v="0"/>
    <n v="1.31"/>
    <n v="0"/>
  </r>
  <r>
    <x v="2"/>
    <x v="1"/>
    <x v="0"/>
    <s v="2513200"/>
    <n v="450040"/>
    <s v="Admin Adjust-Phys Svcs-Self Pay"/>
    <s v="Federal Way Med&amp;Spec-Endo"/>
    <x v="0"/>
    <n v="1600"/>
    <n v="5.08"/>
    <n v="9.33"/>
    <n v="0"/>
    <n v="0"/>
    <n v="0"/>
    <n v="0"/>
    <n v="0"/>
    <n v="0"/>
    <n v="0"/>
    <n v="0"/>
    <n v="0"/>
    <n v="0"/>
    <n v="14.41"/>
    <n v="0"/>
  </r>
  <r>
    <x v="4"/>
    <x v="1"/>
    <x v="0"/>
    <s v="2513200"/>
    <n v="490010"/>
    <s v="Provision for Bad Debts"/>
    <s v="Federal Way Med&amp;Spec-Endo"/>
    <x v="0"/>
    <m/>
    <n v="-106.77"/>
    <n v="-126.73"/>
    <n v="0"/>
    <n v="0"/>
    <n v="0"/>
    <n v="0"/>
    <n v="0"/>
    <n v="0"/>
    <n v="0"/>
    <n v="0"/>
    <n v="0"/>
    <n v="0"/>
    <n v="-233.5"/>
    <n v="0"/>
  </r>
  <r>
    <x v="1"/>
    <x v="1"/>
    <x v="0"/>
    <s v="2514200"/>
    <n v="400029"/>
    <s v="MD Practice Other Rev--Medicare"/>
    <s v="Rheumatology-LW &amp; GH-Rheum"/>
    <x v="0"/>
    <n v="1100"/>
    <n v="0"/>
    <n v="-52"/>
    <n v="0"/>
    <n v="0"/>
    <n v="0"/>
    <n v="0"/>
    <n v="0"/>
    <n v="0"/>
    <n v="0"/>
    <n v="-389"/>
    <n v="0"/>
    <n v="0"/>
    <n v="-441"/>
    <n v="0"/>
  </r>
  <r>
    <x v="1"/>
    <x v="1"/>
    <x v="0"/>
    <s v="2514200"/>
    <n v="400029"/>
    <s v="MD Practice Other Rev--Medicaid"/>
    <s v="Rheumatology-LW &amp; GH-Rheum"/>
    <x v="0"/>
    <n v="1200"/>
    <n v="0"/>
    <n v="0"/>
    <n v="0"/>
    <n v="0"/>
    <n v="0"/>
    <n v="0"/>
    <n v="0"/>
    <n v="0"/>
    <n v="-286"/>
    <n v="-195"/>
    <n v="0"/>
    <n v="0"/>
    <n v="-481"/>
    <n v="0"/>
  </r>
  <r>
    <x v="1"/>
    <x v="1"/>
    <x v="0"/>
    <s v="2514200"/>
    <n v="400029"/>
    <s v="MD Practice Other Rev--BCBS Comm"/>
    <s v="Rheumatology-LW &amp; GH-Rheum"/>
    <x v="0"/>
    <n v="1301"/>
    <n v="0"/>
    <n v="0"/>
    <n v="0"/>
    <n v="-37"/>
    <n v="0"/>
    <n v="0"/>
    <n v="0"/>
    <n v="-64"/>
    <n v="0"/>
    <n v="0"/>
    <n v="0"/>
    <n v="0"/>
    <n v="-101"/>
    <n v="0"/>
  </r>
  <r>
    <x v="1"/>
    <x v="1"/>
    <x v="0"/>
    <s v="2514200"/>
    <n v="400029"/>
    <s v="MD Practice Other Rev--Managed Care"/>
    <s v="Rheumatology-LW &amp; GH-Rheum"/>
    <x v="0"/>
    <n v="1400"/>
    <n v="0"/>
    <n v="-1472"/>
    <n v="0"/>
    <n v="0"/>
    <n v="0"/>
    <n v="0"/>
    <n v="0"/>
    <n v="0"/>
    <n v="0"/>
    <n v="-385"/>
    <n v="-56"/>
    <n v="0"/>
    <n v="-1913"/>
    <n v="-56"/>
  </r>
  <r>
    <x v="1"/>
    <x v="1"/>
    <x v="0"/>
    <s v="2514200"/>
    <n v="400029"/>
    <s v="MD Practice Other Rev--Other"/>
    <s v="Rheumatology-LW &amp; GH-Rheum"/>
    <x v="0"/>
    <n v="1700"/>
    <n v="0"/>
    <n v="-282"/>
    <n v="0"/>
    <n v="0"/>
    <n v="0"/>
    <n v="0"/>
    <n v="0"/>
    <n v="0"/>
    <n v="0"/>
    <n v="0"/>
    <n v="0"/>
    <n v="0"/>
    <n v="-282"/>
    <n v="0"/>
  </r>
  <r>
    <x v="1"/>
    <x v="1"/>
    <x v="0"/>
    <s v="2514200"/>
    <n v="400040"/>
    <s v="Physician Svcs Rev--Medicare"/>
    <s v="Rheumatology-LW &amp; GH-Rheum"/>
    <x v="0"/>
    <n v="1100"/>
    <n v="-149979"/>
    <n v="-210339"/>
    <n v="-171167"/>
    <n v="-198840"/>
    <n v="-140389"/>
    <n v="-142175"/>
    <n v="-199745"/>
    <n v="-169139"/>
    <n v="-201671"/>
    <n v="-211915"/>
    <n v="-196023"/>
    <n v="-158361"/>
    <n v="-2149743"/>
    <n v="-37662"/>
  </r>
  <r>
    <x v="1"/>
    <x v="1"/>
    <x v="0"/>
    <s v="2514200"/>
    <n v="400040"/>
    <s v="Physician Svcs Rev--Medicaid"/>
    <s v="Rheumatology-LW &amp; GH-Rheum"/>
    <x v="0"/>
    <n v="1200"/>
    <n v="-53933"/>
    <n v="-80034"/>
    <n v="-65614"/>
    <n v="-73708"/>
    <n v="-63253"/>
    <n v="-63915"/>
    <n v="-72865"/>
    <n v="-58989"/>
    <n v="-78156"/>
    <n v="-79076"/>
    <n v="-80658"/>
    <n v="-65511"/>
    <n v="-835712"/>
    <n v="-15147"/>
  </r>
  <r>
    <x v="1"/>
    <x v="1"/>
    <x v="0"/>
    <s v="2514200"/>
    <n v="400040"/>
    <s v="Physician Svcs Rev--Comm Insurance"/>
    <s v="Rheumatology-LW &amp; GH-Rheum"/>
    <x v="0"/>
    <n v="1300"/>
    <n v="-10586"/>
    <n v="-18938"/>
    <n v="-12739"/>
    <n v="-14044"/>
    <n v="-10606"/>
    <n v="-11979"/>
    <n v="-13150"/>
    <n v="-10454"/>
    <n v="-16421"/>
    <n v="-16824"/>
    <n v="-12665"/>
    <n v="-12049"/>
    <n v="-160455"/>
    <n v="-616"/>
  </r>
  <r>
    <x v="1"/>
    <x v="1"/>
    <x v="0"/>
    <s v="2514200"/>
    <n v="400040"/>
    <s v="Physician Svcs Rev--BCBS Comm"/>
    <s v="Rheumatology-LW &amp; GH-Rheum"/>
    <x v="0"/>
    <n v="1301"/>
    <n v="-27136"/>
    <n v="-34778"/>
    <n v="-31492"/>
    <n v="-29055"/>
    <n v="-24028"/>
    <n v="-28544"/>
    <n v="-41204"/>
    <n v="-28845"/>
    <n v="-33555"/>
    <n v="-33692"/>
    <n v="-35431"/>
    <n v="-29159"/>
    <n v="-376919"/>
    <n v="-6272"/>
  </r>
  <r>
    <x v="1"/>
    <x v="1"/>
    <x v="0"/>
    <s v="2514200"/>
    <n v="400040"/>
    <s v="Physician Svcs Rev--Managed Care"/>
    <s v="Rheumatology-LW &amp; GH-Rheum"/>
    <x v="0"/>
    <n v="1400"/>
    <n v="-97238"/>
    <n v="-130234"/>
    <n v="-108654"/>
    <n v="-124152"/>
    <n v="-100428"/>
    <n v="-103088"/>
    <n v="-117827"/>
    <n v="-111518"/>
    <n v="-116678"/>
    <n v="-127459"/>
    <n v="-131780"/>
    <n v="-107905"/>
    <n v="-1376961"/>
    <n v="-23875"/>
  </r>
  <r>
    <x v="1"/>
    <x v="1"/>
    <x v="0"/>
    <s v="2514200"/>
    <n v="400040"/>
    <s v="Physician Svcs Rev--Self Pay"/>
    <s v="Rheumatology-LW &amp; GH-Rheum"/>
    <x v="0"/>
    <n v="1500"/>
    <n v="-2951"/>
    <n v="-4205"/>
    <n v="-4389"/>
    <n v="-6079"/>
    <n v="-3660"/>
    <n v="-4069"/>
    <n v="-5401"/>
    <n v="-5532"/>
    <n v="-2103"/>
    <n v="-5362"/>
    <n v="-3398"/>
    <n v="-3291"/>
    <n v="-50440"/>
    <n v="-107"/>
  </r>
  <r>
    <x v="1"/>
    <x v="1"/>
    <x v="0"/>
    <s v="2514200"/>
    <n v="400040"/>
    <s v="Physician Svcs Rev--Other"/>
    <s v="Rheumatology-LW &amp; GH-Rheum"/>
    <x v="0"/>
    <n v="1700"/>
    <n v="-16223"/>
    <n v="-17650"/>
    <n v="-9152"/>
    <n v="-13760"/>
    <n v="-14896"/>
    <n v="-11205"/>
    <n v="-11747"/>
    <n v="-12229"/>
    <n v="-14865"/>
    <n v="-8304"/>
    <n v="-19308"/>
    <n v="-11550"/>
    <n v="-160889"/>
    <n v="-7758"/>
  </r>
  <r>
    <x v="2"/>
    <x v="1"/>
    <x v="0"/>
    <s v="2514200"/>
    <n v="450029"/>
    <s v="Contr Allow--MD Other-Medicare"/>
    <s v="Rheumatology-LW &amp; GH-Rheum"/>
    <x v="0"/>
    <n v="1100"/>
    <n v="0"/>
    <n v="37.19"/>
    <n v="0"/>
    <n v="0"/>
    <n v="0"/>
    <n v="0"/>
    <n v="0"/>
    <n v="0"/>
    <n v="0"/>
    <n v="0"/>
    <n v="236.62"/>
    <n v="0"/>
    <n v="273.81"/>
    <n v="236.62"/>
  </r>
  <r>
    <x v="2"/>
    <x v="1"/>
    <x v="0"/>
    <s v="2514200"/>
    <n v="450029"/>
    <s v="Contr Allow--MD Other-Medicaid"/>
    <s v="Rheumatology-LW &amp; GH-Rheum"/>
    <x v="0"/>
    <n v="1200"/>
    <n v="0"/>
    <n v="0"/>
    <n v="0"/>
    <n v="0"/>
    <n v="0"/>
    <n v="0"/>
    <n v="0"/>
    <n v="0"/>
    <n v="0"/>
    <n v="215.94"/>
    <n v="0"/>
    <n v="0"/>
    <n v="215.94"/>
    <n v="0"/>
  </r>
  <r>
    <x v="2"/>
    <x v="1"/>
    <x v="0"/>
    <s v="2514200"/>
    <n v="450029"/>
    <s v="Contr Allow--MD Other-Comm Insurance"/>
    <s v="Rheumatology-LW &amp; GH-Rheum"/>
    <x v="0"/>
    <n v="1300"/>
    <n v="0"/>
    <n v="0"/>
    <n v="0"/>
    <n v="0"/>
    <n v="0"/>
    <n v="0"/>
    <n v="0"/>
    <n v="0"/>
    <n v="0"/>
    <n v="0"/>
    <n v="-40.590000000000003"/>
    <n v="0"/>
    <n v="-40.590000000000003"/>
    <n v="-40.590000000000003"/>
  </r>
  <r>
    <x v="2"/>
    <x v="1"/>
    <x v="0"/>
    <s v="2514200"/>
    <n v="450029"/>
    <s v="Contr Allow--MD Other BCBS Comm"/>
    <s v="Rheumatology-LW &amp; GH-Rheum"/>
    <x v="0"/>
    <n v="1301"/>
    <n v="0"/>
    <n v="0"/>
    <n v="0"/>
    <n v="0"/>
    <n v="0"/>
    <n v="22.04"/>
    <n v="0"/>
    <n v="16.21"/>
    <n v="0"/>
    <n v="0"/>
    <n v="0"/>
    <n v="0"/>
    <n v="38.25"/>
    <n v="0"/>
  </r>
  <r>
    <x v="2"/>
    <x v="1"/>
    <x v="0"/>
    <s v="2514200"/>
    <n v="450029"/>
    <s v="Contr Allow--MD Other-Managed Care"/>
    <s v="Rheumatology-LW &amp; GH-Rheum"/>
    <x v="0"/>
    <n v="1400"/>
    <n v="0"/>
    <n v="581"/>
    <n v="126.54"/>
    <n v="0"/>
    <n v="0"/>
    <n v="0"/>
    <n v="0"/>
    <n v="0"/>
    <n v="0"/>
    <n v="24.33"/>
    <n v="181.44"/>
    <n v="0"/>
    <n v="913.31"/>
    <n v="181.44"/>
  </r>
  <r>
    <x v="2"/>
    <x v="1"/>
    <x v="0"/>
    <s v="2514200"/>
    <n v="450029"/>
    <s v="Admin Adjust-MD Other-Self Pay"/>
    <s v="Rheumatology-LW &amp; GH-Rheum"/>
    <x v="0"/>
    <n v="1600"/>
    <n v="0"/>
    <n v="0.52"/>
    <n v="0"/>
    <n v="0"/>
    <n v="0"/>
    <n v="0"/>
    <n v="0"/>
    <n v="0"/>
    <n v="0"/>
    <n v="0"/>
    <n v="0"/>
    <n v="0"/>
    <n v="0.52"/>
    <n v="0"/>
  </r>
  <r>
    <x v="2"/>
    <x v="1"/>
    <x v="0"/>
    <s v="2514200"/>
    <n v="450029"/>
    <s v="Contr Allow--MD Other-Other"/>
    <s v="Rheumatology-LW &amp; GH-Rheum"/>
    <x v="0"/>
    <n v="1700"/>
    <n v="0"/>
    <n v="150.4"/>
    <n v="0"/>
    <n v="0"/>
    <n v="0"/>
    <n v="0"/>
    <n v="0"/>
    <n v="0"/>
    <n v="30.56"/>
    <n v="0"/>
    <n v="0"/>
    <n v="0"/>
    <n v="180.96"/>
    <n v="0"/>
  </r>
  <r>
    <x v="2"/>
    <x v="1"/>
    <x v="0"/>
    <s v="2514200"/>
    <n v="450040"/>
    <s v="Contr Allow--Phys Svcs--Mcare"/>
    <s v="Rheumatology-LW &amp; GH-Rheum"/>
    <x v="0"/>
    <n v="1100"/>
    <n v="115721.08"/>
    <n v="99329.82"/>
    <n v="119438.24"/>
    <n v="142435.69"/>
    <n v="101922.93"/>
    <n v="81880.320000000007"/>
    <n v="124167.77"/>
    <n v="103288.7"/>
    <n v="125176.84"/>
    <n v="130827.75"/>
    <n v="125321.63"/>
    <n v="113546.48"/>
    <n v="1383057.25"/>
    <n v="11775.150000000009"/>
  </r>
  <r>
    <x v="2"/>
    <x v="1"/>
    <x v="0"/>
    <s v="2514200"/>
    <n v="450040"/>
    <s v="Contr Allow--Phys Svcs--Mcaid"/>
    <s v="Rheumatology-LW &amp; GH-Rheum"/>
    <x v="0"/>
    <n v="1200"/>
    <n v="53084.75"/>
    <n v="58610.080000000002"/>
    <n v="61448.800000000003"/>
    <n v="57086.51"/>
    <n v="50787.58"/>
    <n v="39545.99"/>
    <n v="52411.19"/>
    <n v="50878.48"/>
    <n v="57492.97"/>
    <n v="58917.59"/>
    <n v="64032.639999999999"/>
    <n v="60280.82"/>
    <n v="664577.39999999991"/>
    <n v="3751.8199999999997"/>
  </r>
  <r>
    <x v="2"/>
    <x v="1"/>
    <x v="0"/>
    <s v="2514200"/>
    <n v="450040"/>
    <s v="Contr Allow--Phys Svcs--Comm Insurance"/>
    <s v="Rheumatology-LW &amp; GH-Rheum"/>
    <x v="0"/>
    <n v="1300"/>
    <n v="4956.25"/>
    <n v="5175.2700000000004"/>
    <n v="6117.67"/>
    <n v="5878.67"/>
    <n v="4884.18"/>
    <n v="3557.63"/>
    <n v="5037.76"/>
    <n v="2595.4499999999998"/>
    <n v="5600.85"/>
    <n v="5179.17"/>
    <n v="5751.35"/>
    <n v="4762.1000000000004"/>
    <n v="59496.349999999991"/>
    <n v="989.25"/>
  </r>
  <r>
    <x v="2"/>
    <x v="1"/>
    <x v="0"/>
    <s v="2514200"/>
    <n v="450040"/>
    <s v="Contr Allow--Phys Svcs--BCBS Comm Ins"/>
    <s v="Rheumatology-LW &amp; GH-Rheum"/>
    <x v="0"/>
    <n v="1301"/>
    <n v="10345.61"/>
    <n v="9997.18"/>
    <n v="9267.06"/>
    <n v="8179.6"/>
    <n v="6577.58"/>
    <n v="7312.59"/>
    <n v="7590.82"/>
    <n v="9538.41"/>
    <n v="10701.84"/>
    <n v="8386.25"/>
    <n v="8675.81"/>
    <n v="10552.8"/>
    <n v="107125.54999999999"/>
    <n v="-1876.9899999999998"/>
  </r>
  <r>
    <x v="2"/>
    <x v="1"/>
    <x v="0"/>
    <s v="2514200"/>
    <n v="450040"/>
    <s v="Contr Allow--Phys Svcs--Managed Care"/>
    <s v="Rheumatology-LW &amp; GH-Rheum"/>
    <x v="0"/>
    <n v="1400"/>
    <n v="40750.89"/>
    <n v="40558.910000000003"/>
    <n v="36730.82"/>
    <n v="41853.64"/>
    <n v="39964.199999999997"/>
    <n v="27393.64"/>
    <n v="32187.71"/>
    <n v="39345.339999999997"/>
    <n v="46510.21"/>
    <n v="39838.93"/>
    <n v="43561.4"/>
    <n v="40169.74"/>
    <n v="468865.43000000005"/>
    <n v="3391.6600000000035"/>
  </r>
  <r>
    <x v="2"/>
    <x v="1"/>
    <x v="0"/>
    <s v="2514200"/>
    <n v="450040"/>
    <s v="Contr Allow--Phys Svcs--BCBS Mgnd Care"/>
    <s v="Rheumatology-LW &amp; GH-Rheum"/>
    <x v="0"/>
    <n v="1401"/>
    <n v="-44571.42"/>
    <n v="38685.370000000003"/>
    <n v="-19530.16"/>
    <n v="-11118.59"/>
    <n v="-18291.57"/>
    <n v="24022.41"/>
    <n v="38791.879999999997"/>
    <n v="7648.12"/>
    <n v="-6369.49"/>
    <n v="1655.09"/>
    <n v="10011.280000000001"/>
    <n v="-28038.42"/>
    <n v="-7105.4999999999964"/>
    <n v="38049.699999999997"/>
  </r>
  <r>
    <x v="2"/>
    <x v="1"/>
    <x v="0"/>
    <s v="2514200"/>
    <n v="450040"/>
    <s v="Admin Adjust-Phys Svcs-Self Pay"/>
    <s v="Rheumatology-LW &amp; GH-Rheum"/>
    <x v="0"/>
    <n v="1600"/>
    <n v="1093.02"/>
    <n v="1463.25"/>
    <n v="3782.61"/>
    <n v="4003.49"/>
    <n v="687.64"/>
    <n v="1735.25"/>
    <n v="2730.72"/>
    <n v="2459.92"/>
    <n v="1215.42"/>
    <n v="2096.16"/>
    <n v="1919.22"/>
    <n v="1393.69"/>
    <n v="24580.39"/>
    <n v="525.53"/>
  </r>
  <r>
    <x v="2"/>
    <x v="1"/>
    <x v="0"/>
    <s v="2514200"/>
    <n v="450040"/>
    <s v="Contr Allow--Phys Svcs--Other"/>
    <s v="Rheumatology-LW &amp; GH-Rheum"/>
    <x v="0"/>
    <n v="1700"/>
    <n v="10989.28"/>
    <n v="12900.06"/>
    <n v="8536.26"/>
    <n v="7095.58"/>
    <n v="6739.01"/>
    <n v="8591.93"/>
    <n v="6004.64"/>
    <n v="5588.35"/>
    <n v="7958.72"/>
    <n v="12881.09"/>
    <n v="8401.49"/>
    <n v="7951.85"/>
    <n v="103638.26000000001"/>
    <n v="449.63999999999942"/>
  </r>
  <r>
    <x v="3"/>
    <x v="1"/>
    <x v="0"/>
    <s v="2514200"/>
    <n v="470040"/>
    <s v="Charity Care-Physician Svcs"/>
    <s v="Rheumatology-LW &amp; GH-Rheum"/>
    <x v="0"/>
    <m/>
    <n v="-384.06"/>
    <n v="4930.6499999999996"/>
    <n v="1275.6300000000001"/>
    <n v="2255.94"/>
    <n v="936.03"/>
    <n v="2414.52"/>
    <n v="4217.34"/>
    <n v="1814.25"/>
    <n v="4454.32"/>
    <n v="2417.36"/>
    <n v="835.81"/>
    <n v="3131.05"/>
    <n v="28298.840000000004"/>
    <n v="-2295.2400000000002"/>
  </r>
  <r>
    <x v="4"/>
    <x v="1"/>
    <x v="0"/>
    <s v="2514200"/>
    <n v="490010"/>
    <s v="Provision for Bad Debts"/>
    <s v="Rheumatology-LW &amp; GH-Rheum"/>
    <x v="0"/>
    <m/>
    <n v="-872.71"/>
    <n v="7967.92"/>
    <n v="195.56"/>
    <n v="-2806.18"/>
    <n v="2827.16"/>
    <n v="5496.48"/>
    <n v="1324.23"/>
    <n v="4061.54"/>
    <n v="1751.09"/>
    <n v="3806.59"/>
    <n v="2005.5"/>
    <n v="2679.23"/>
    <n v="28436.41"/>
    <n v="-673.73"/>
  </r>
  <r>
    <x v="5"/>
    <x v="1"/>
    <x v="0"/>
    <s v="2514200"/>
    <n v="700022"/>
    <s v="Salaries-Physician-Productive"/>
    <s v="Rheumatology-LW &amp; GH-Rheum"/>
    <x v="0"/>
    <m/>
    <n v="105181"/>
    <n v="108421.27"/>
    <n v="105147.52"/>
    <n v="120919.64"/>
    <n v="116967.88"/>
    <n v="106871.69"/>
    <n v="114391.07"/>
    <n v="101001.47"/>
    <n v="112128.57"/>
    <n v="117387.65"/>
    <n v="123515.7"/>
    <n v="107475.22"/>
    <n v="1339408.68"/>
    <n v="16040.479999999996"/>
  </r>
  <r>
    <x v="5"/>
    <x v="1"/>
    <x v="0"/>
    <s v="2514200"/>
    <n v="700022"/>
    <s v="Salaries-Physician-Other"/>
    <s v="Rheumatology-LW &amp; GH-Rheum"/>
    <x v="0"/>
    <n v="2000"/>
    <n v="0"/>
    <n v="0"/>
    <n v="0"/>
    <n v="0"/>
    <n v="0"/>
    <n v="0"/>
    <n v="0"/>
    <n v="0"/>
    <n v="657.44"/>
    <n v="0"/>
    <n v="0"/>
    <n v="0"/>
    <n v="657.44"/>
    <n v="0"/>
  </r>
  <r>
    <x v="5"/>
    <x v="1"/>
    <x v="0"/>
    <s v="2514200"/>
    <n v="700024"/>
    <s v="Salaries-Advanced Practice Clinician-Productive"/>
    <s v="Rheumatology-LW &amp; GH-Rheum"/>
    <x v="0"/>
    <m/>
    <n v="11674.28"/>
    <n v="14932.24"/>
    <n v="12724.8"/>
    <n v="14633.52"/>
    <n v="13781.28"/>
    <n v="12274.26"/>
    <n v="13702.38"/>
    <n v="11844.54"/>
    <n v="12556.21"/>
    <n v="13154.13"/>
    <n v="13635.09"/>
    <n v="11841.34"/>
    <n v="156754.06999999998"/>
    <n v="1793.75"/>
  </r>
  <r>
    <x v="5"/>
    <x v="1"/>
    <x v="0"/>
    <s v="2514200"/>
    <n v="700026"/>
    <s v="Salaries-RN-Productive"/>
    <s v="Rheumatology-LW &amp; GH-Rheum"/>
    <x v="0"/>
    <m/>
    <n v="0"/>
    <n v="0"/>
    <n v="1111.79"/>
    <n v="1311.46"/>
    <n v="1304.93"/>
    <n v="937.72"/>
    <n v="797.09"/>
    <n v="817.57"/>
    <n v="1281.5899999999999"/>
    <n v="1290.27"/>
    <n v="769.44"/>
    <n v="1507.29"/>
    <n v="11129.150000000001"/>
    <n v="-737.84999999999991"/>
  </r>
  <r>
    <x v="5"/>
    <x v="1"/>
    <x v="0"/>
    <s v="2514200"/>
    <n v="700030"/>
    <s v="Salaries-LPN-Productive"/>
    <s v="Rheumatology-LW &amp; GH-Rheum"/>
    <x v="0"/>
    <m/>
    <n v="8289.5"/>
    <n v="9137.42"/>
    <n v="7768.25"/>
    <n v="12776.77"/>
    <n v="11599.98"/>
    <n v="7359.24"/>
    <n v="11515.62"/>
    <n v="8676.2900000000009"/>
    <n v="10691.28"/>
    <n v="6750.16"/>
    <n v="5192.71"/>
    <n v="3203.11"/>
    <n v="102960.33000000002"/>
    <n v="1989.6"/>
  </r>
  <r>
    <x v="5"/>
    <x v="1"/>
    <x v="0"/>
    <s v="2514200"/>
    <n v="700030"/>
    <s v="Salaries-LPN-OT"/>
    <s v="Rheumatology-LW &amp; GH-Rheum"/>
    <x v="0"/>
    <n v="1000"/>
    <n v="596.08000000000004"/>
    <n v="1311.98"/>
    <n v="105.82"/>
    <n v="593.16"/>
    <n v="611.78"/>
    <n v="12.09"/>
    <n v="435.19"/>
    <n v="28.07"/>
    <n v="643.97"/>
    <n v="42.13"/>
    <n v="266.70999999999998"/>
    <n v="31.76"/>
    <n v="4678.7400000000007"/>
    <n v="234.95"/>
  </r>
  <r>
    <x v="5"/>
    <x v="1"/>
    <x v="0"/>
    <s v="2514200"/>
    <n v="700032"/>
    <s v="Salaries-Other Pat Care Providers-Productive"/>
    <s v="Rheumatology-LW &amp; GH-Rheum"/>
    <x v="0"/>
    <m/>
    <n v="12530.03"/>
    <n v="17188.59"/>
    <n v="15804.81"/>
    <n v="18454.240000000002"/>
    <n v="18156.23"/>
    <n v="13478.94"/>
    <n v="17800.78"/>
    <n v="14133.53"/>
    <n v="12982.98"/>
    <n v="19490.32"/>
    <n v="18517.78"/>
    <n v="11482.01"/>
    <n v="190020.24000000002"/>
    <n v="7035.7699999999986"/>
  </r>
  <r>
    <x v="5"/>
    <x v="1"/>
    <x v="0"/>
    <s v="2514200"/>
    <n v="700032"/>
    <s v="Salaries-Other Pat Care Providers-OT"/>
    <s v="Rheumatology-LW &amp; GH-Rheum"/>
    <x v="0"/>
    <n v="1000"/>
    <n v="520.96"/>
    <n v="700.49"/>
    <n v="114.9"/>
    <n v="1016.78"/>
    <n v="515.86"/>
    <n v="287.14"/>
    <n v="449.37"/>
    <n v="50.25"/>
    <n v="540.82000000000005"/>
    <n v="593.78"/>
    <n v="881.25"/>
    <n v="572.19000000000005"/>
    <n v="6243.7899999999991"/>
    <n v="309.05999999999995"/>
  </r>
  <r>
    <x v="5"/>
    <x v="1"/>
    <x v="0"/>
    <s v="2514200"/>
    <n v="700032"/>
    <s v="Salaries-Other Pat Care Providers-Other"/>
    <s v="Rheumatology-LW &amp; GH-Rheum"/>
    <x v="0"/>
    <n v="2000"/>
    <n v="30"/>
    <n v="30"/>
    <n v="0"/>
    <n v="0"/>
    <n v="0"/>
    <n v="0"/>
    <n v="0"/>
    <n v="0"/>
    <n v="0"/>
    <n v="0"/>
    <n v="0"/>
    <n v="0"/>
    <n v="60"/>
    <n v="0"/>
  </r>
  <r>
    <x v="5"/>
    <x v="1"/>
    <x v="0"/>
    <s v="2514200"/>
    <n v="700038"/>
    <s v="Salaries-Service/Support-Productive"/>
    <s v="Rheumatology-LW &amp; GH-Rheum"/>
    <x v="0"/>
    <m/>
    <n v="0"/>
    <n v="0"/>
    <n v="0"/>
    <n v="0"/>
    <n v="0"/>
    <n v="0"/>
    <n v="0"/>
    <n v="0"/>
    <n v="0"/>
    <n v="0"/>
    <n v="0"/>
    <n v="1645.62"/>
    <n v="1645.62"/>
    <n v="-1645.62"/>
  </r>
  <r>
    <x v="5"/>
    <x v="1"/>
    <x v="0"/>
    <s v="2514200"/>
    <n v="700038"/>
    <s v="Salaries-Service/Support-Other"/>
    <s v="Rheumatology-LW &amp; GH-Rheum"/>
    <x v="0"/>
    <n v="2000"/>
    <n v="0"/>
    <n v="0"/>
    <n v="0"/>
    <n v="0"/>
    <n v="0"/>
    <n v="0"/>
    <n v="0"/>
    <n v="0"/>
    <n v="0"/>
    <n v="0"/>
    <n v="0"/>
    <n v="40.049999999999997"/>
    <n v="40.049999999999997"/>
    <n v="-40.049999999999997"/>
  </r>
  <r>
    <x v="5"/>
    <x v="1"/>
    <x v="0"/>
    <s v="2514200"/>
    <n v="700054"/>
    <s v="Salaries-Management-NonProd-Other"/>
    <s v="Rheumatology-LW &amp; GH-Rheum"/>
    <x v="0"/>
    <n v="2000"/>
    <n v="0"/>
    <n v="0"/>
    <n v="0"/>
    <n v="0"/>
    <n v="0"/>
    <n v="68.489999999999995"/>
    <n v="-68.489999999999995"/>
    <n v="0"/>
    <n v="0"/>
    <n v="0"/>
    <n v="0"/>
    <n v="0"/>
    <n v="0"/>
    <n v="0"/>
  </r>
  <r>
    <x v="5"/>
    <x v="1"/>
    <x v="0"/>
    <s v="2514200"/>
    <n v="700062"/>
    <s v="Salaries-Physician-Non-productive"/>
    <s v="Rheumatology-LW &amp; GH-Rheum"/>
    <x v="0"/>
    <m/>
    <n v="1705.76"/>
    <n v="13693.62"/>
    <n v="862.44"/>
    <n v="862.44"/>
    <n v="856.62"/>
    <n v="5758.42"/>
    <n v="6757.73"/>
    <n v="2734.3"/>
    <n v="845.36"/>
    <n v="842.06"/>
    <n v="839.34"/>
    <n v="836.24"/>
    <n v="36594.329999999994"/>
    <n v="3.1000000000000227"/>
  </r>
  <r>
    <x v="5"/>
    <x v="1"/>
    <x v="0"/>
    <s v="2514200"/>
    <n v="700062"/>
    <s v="Salaries-Physician-NonProd-Other"/>
    <s v="Rheumatology-LW &amp; GH-Rheum"/>
    <x v="0"/>
    <n v="2000"/>
    <n v="0"/>
    <n v="0"/>
    <n v="0"/>
    <n v="0"/>
    <n v="478.39"/>
    <n v="478.39"/>
    <n v="0"/>
    <n v="-956.78"/>
    <n v="0"/>
    <n v="0"/>
    <n v="0"/>
    <n v="0"/>
    <n v="0"/>
    <n v="0"/>
  </r>
  <r>
    <x v="5"/>
    <x v="1"/>
    <x v="0"/>
    <s v="2514200"/>
    <n v="700064"/>
    <s v="Salaries-Advanced Practice Clinician-Non-Productive"/>
    <s v="Rheumatology-LW &amp; GH-Rheum"/>
    <x v="0"/>
    <m/>
    <n v="0"/>
    <n v="0"/>
    <n v="0"/>
    <n v="0"/>
    <n v="0"/>
    <n v="859.98"/>
    <n v="704.77"/>
    <n v="0"/>
    <n v="0"/>
    <n v="0"/>
    <n v="0"/>
    <n v="0"/>
    <n v="1564.75"/>
    <n v="0"/>
  </r>
  <r>
    <x v="5"/>
    <x v="1"/>
    <x v="0"/>
    <s v="2514200"/>
    <n v="700070"/>
    <s v="Salaries-LPN-Non-productive"/>
    <s v="Rheumatology-LW &amp; GH-Rheum"/>
    <x v="0"/>
    <m/>
    <n v="827.07"/>
    <n v="168.26"/>
    <n v="403.6"/>
    <n v="526.63"/>
    <n v="602.16"/>
    <n v="4709.38"/>
    <n v="1106.96"/>
    <n v="2436.6999999999998"/>
    <n v="1178.74"/>
    <n v="-374.16"/>
    <n v="0"/>
    <n v="1354.63"/>
    <n v="12939.970000000001"/>
    <n v="-1354.63"/>
  </r>
  <r>
    <x v="5"/>
    <x v="1"/>
    <x v="0"/>
    <s v="2514200"/>
    <n v="700070"/>
    <s v="Salaries-LPN-NonProd-Other"/>
    <s v="Rheumatology-LW &amp; GH-Rheum"/>
    <x v="0"/>
    <n v="2000"/>
    <n v="0"/>
    <n v="11.48"/>
    <n v="0"/>
    <n v="0"/>
    <n v="0"/>
    <n v="0"/>
    <n v="0"/>
    <n v="0"/>
    <n v="0"/>
    <n v="0"/>
    <n v="0"/>
    <n v="0"/>
    <n v="11.48"/>
    <n v="0"/>
  </r>
  <r>
    <x v="5"/>
    <x v="1"/>
    <x v="0"/>
    <s v="2514200"/>
    <n v="700072"/>
    <s v="Salaries-Other Pat Care Providers-Non-productive"/>
    <s v="Rheumatology-LW &amp; GH-Rheum"/>
    <x v="0"/>
    <m/>
    <n v="1542.15"/>
    <n v="1144.21"/>
    <n v="502.51"/>
    <n v="145.04"/>
    <n v="939.56"/>
    <n v="4259.7700000000004"/>
    <n v="1666.68"/>
    <n v="2301.65"/>
    <n v="2914.69"/>
    <n v="-253.31"/>
    <n v="1640.16"/>
    <n v="5112.79"/>
    <n v="21915.9"/>
    <n v="-3472.63"/>
  </r>
  <r>
    <x v="5"/>
    <x v="1"/>
    <x v="0"/>
    <s v="2514200"/>
    <n v="700072"/>
    <s v="Salaries-Other Pat Care Providers-NonProd-Other"/>
    <s v="Rheumatology-LW &amp; GH-Rheu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14200"/>
    <n v="700084"/>
    <s v="Accrued PTO"/>
    <s v="Rheumatology-LW &amp; GH-Rheum"/>
    <x v="0"/>
    <m/>
    <n v="343.46"/>
    <n v="1565.6"/>
    <n v="1010.25"/>
    <n v="2232.86"/>
    <n v="1561.43"/>
    <n v="-4933.2"/>
    <n v="-337.09"/>
    <n v="-1074.58"/>
    <n v="-562.16"/>
    <n v="2067.0300000000002"/>
    <n v="1507.49"/>
    <n v="-1560.9"/>
    <n v="1820.190000000001"/>
    <n v="3068.3900000000003"/>
  </r>
  <r>
    <x v="6"/>
    <x v="1"/>
    <x v="0"/>
    <s v="2514200"/>
    <n v="713010"/>
    <s v="Benefits-FICA/Medicare"/>
    <s v="Rheumatology-LW &amp; GH-Rheum"/>
    <x v="0"/>
    <m/>
    <n v="4324.84"/>
    <n v="5130.99"/>
    <n v="4389.6000000000004"/>
    <n v="5461.09"/>
    <n v="4292.34"/>
    <n v="8136.17"/>
    <n v="12757.89"/>
    <n v="10844.1"/>
    <n v="11777.5"/>
    <n v="11788.59"/>
    <n v="7479.45"/>
    <n v="4482.99"/>
    <n v="90865.549999999988"/>
    <n v="2996.46"/>
  </r>
  <r>
    <x v="6"/>
    <x v="1"/>
    <x v="0"/>
    <s v="2514200"/>
    <n v="713090"/>
    <s v="Benefits-Allocated Amounts"/>
    <s v="Rheumatology-LW &amp; GH-Rheum"/>
    <x v="0"/>
    <m/>
    <n v="0"/>
    <n v="0"/>
    <n v="0"/>
    <n v="0"/>
    <n v="0"/>
    <n v="0"/>
    <n v="0"/>
    <n v="0"/>
    <n v="99420.68"/>
    <n v="11479.79"/>
    <n v="11036.55"/>
    <n v="10735.44"/>
    <n v="132672.46"/>
    <n v="301.10999999999876"/>
  </r>
  <r>
    <x v="6"/>
    <x v="1"/>
    <x v="0"/>
    <s v="2514200"/>
    <n v="713092"/>
    <s v="Allocated Benefits-Physician"/>
    <s v="Rheumatology-LW &amp; GH-Rheum"/>
    <x v="0"/>
    <m/>
    <n v="12853.34"/>
    <n v="13155.53"/>
    <n v="13409.42"/>
    <n v="14869.96"/>
    <n v="14856.14"/>
    <n v="15452.95"/>
    <n v="17531.650000000001"/>
    <n v="16156.75"/>
    <n v="-63344.75"/>
    <n v="6343.86"/>
    <n v="6098.92"/>
    <n v="5932.52"/>
    <n v="73316.289999999994"/>
    <n v="166.39999999999964"/>
  </r>
  <r>
    <x v="6"/>
    <x v="1"/>
    <x v="0"/>
    <s v="2514200"/>
    <n v="713093"/>
    <s v="Allocated Benefits-Advanced Practice Clinician"/>
    <s v="Rheumatology-LW &amp; GH-Rheum"/>
    <x v="0"/>
    <m/>
    <n v="3060.15"/>
    <n v="3132.1"/>
    <n v="3192.54"/>
    <n v="3540.27"/>
    <n v="3536.98"/>
    <n v="3679.07"/>
    <n v="4173.9799999999996"/>
    <n v="3846.63"/>
    <n v="-14861.29"/>
    <n v="1535.75"/>
    <n v="1476.47"/>
    <n v="1436.17"/>
    <n v="17748.82"/>
    <n v="40.299999999999955"/>
  </r>
  <r>
    <x v="7"/>
    <x v="1"/>
    <x v="0"/>
    <s v="2514200"/>
    <n v="718040"/>
    <s v="Contract Svcs-Laboratory"/>
    <s v="Rheumatology-LW &amp; GH-Rheum"/>
    <x v="0"/>
    <m/>
    <n v="505.83"/>
    <n v="0"/>
    <n v="0"/>
    <n v="0"/>
    <n v="0"/>
    <n v="0"/>
    <n v="0"/>
    <n v="0"/>
    <n v="0"/>
    <n v="0"/>
    <n v="0"/>
    <n v="0"/>
    <n v="505.83"/>
    <n v="0"/>
  </r>
  <r>
    <x v="0"/>
    <x v="1"/>
    <x v="0"/>
    <s v="2514200"/>
    <n v="740022"/>
    <s v="Education-Physician"/>
    <s v="Rheumatology-LW &amp; GH-Rheum"/>
    <x v="0"/>
    <m/>
    <n v="0"/>
    <n v="0"/>
    <n v="0"/>
    <n v="0"/>
    <n v="550"/>
    <n v="0"/>
    <n v="610"/>
    <n v="0"/>
    <n v="0"/>
    <n v="3000"/>
    <n v="0"/>
    <n v="1275.98"/>
    <n v="5435.98"/>
    <n v="-1275.98"/>
  </r>
  <r>
    <x v="8"/>
    <x v="1"/>
    <x v="0"/>
    <s v="2514200"/>
    <n v="741012"/>
    <s v="Physician Liab Insurance-CHI Program"/>
    <s v="Rheumatology-LW &amp; GH-Rheum"/>
    <x v="0"/>
    <m/>
    <n v="1326.27"/>
    <n v="1326.27"/>
    <n v="1326.27"/>
    <n v="1326.27"/>
    <n v="1326.27"/>
    <n v="1326.26"/>
    <n v="3031.47"/>
    <n v="1752.56"/>
    <n v="1752.57"/>
    <n v="1752.56"/>
    <n v="1752.57"/>
    <n v="1752.56"/>
    <n v="19751.900000000001"/>
    <n v="9.9999999999909051E-3"/>
  </r>
  <r>
    <x v="0"/>
    <x v="1"/>
    <x v="0"/>
    <s v="2514200"/>
    <n v="743020"/>
    <s v="Dues--Individual"/>
    <s v="Rheumatology-LW &amp; GH-Rheum"/>
    <x v="0"/>
    <m/>
    <n v="0"/>
    <n v="0"/>
    <n v="0"/>
    <n v="0"/>
    <n v="0"/>
    <n v="0"/>
    <n v="0"/>
    <n v="1730"/>
    <n v="0"/>
    <n v="0"/>
    <n v="0"/>
    <n v="0"/>
    <n v="1730"/>
    <n v="0"/>
  </r>
  <r>
    <x v="0"/>
    <x v="1"/>
    <x v="0"/>
    <s v="2514200"/>
    <n v="743020"/>
    <s v="Provider-Dues"/>
    <s v="Rheumatology-LW &amp; GH-Rheum"/>
    <x v="0"/>
    <n v="2200"/>
    <n v="0"/>
    <n v="200"/>
    <n v="0"/>
    <n v="0"/>
    <n v="0"/>
    <n v="0"/>
    <n v="0"/>
    <n v="0"/>
    <n v="0"/>
    <n v="0"/>
    <n v="0"/>
    <n v="0"/>
    <n v="200"/>
    <n v="0"/>
  </r>
  <r>
    <x v="0"/>
    <x v="1"/>
    <x v="0"/>
    <s v="2514200"/>
    <n v="743022"/>
    <s v="Dues-Physician"/>
    <s v="Rheumatology-LW &amp; GH-Rheum"/>
    <x v="0"/>
    <m/>
    <n v="0"/>
    <n v="0"/>
    <n v="90"/>
    <n v="0"/>
    <n v="0"/>
    <n v="1085"/>
    <n v="0"/>
    <n v="1640"/>
    <n v="0"/>
    <n v="0"/>
    <n v="0"/>
    <n v="0"/>
    <n v="2815"/>
    <n v="0"/>
  </r>
  <r>
    <x v="0"/>
    <x v="1"/>
    <x v="0"/>
    <s v="2514200"/>
    <n v="743023"/>
    <s v="Dues-Advanced Practice Clinician"/>
    <s v="Rheumatology-LW &amp; GH-Rheum"/>
    <x v="0"/>
    <m/>
    <n v="0"/>
    <n v="0"/>
    <n v="0"/>
    <n v="0"/>
    <n v="0"/>
    <n v="0"/>
    <n v="0"/>
    <n v="0"/>
    <n v="0"/>
    <n v="0"/>
    <n v="430.25"/>
    <n v="0"/>
    <n v="430.25"/>
    <n v="430.25"/>
  </r>
  <r>
    <x v="0"/>
    <x v="1"/>
    <x v="0"/>
    <s v="2514200"/>
    <n v="743042"/>
    <s v="Subscriptions-Physician"/>
    <s v="Rheumatology-LW &amp; GH-Rheum"/>
    <x v="0"/>
    <m/>
    <n v="0"/>
    <n v="0"/>
    <n v="0"/>
    <n v="0"/>
    <n v="421.22"/>
    <n v="0"/>
    <n v="0"/>
    <n v="0"/>
    <n v="0"/>
    <n v="0"/>
    <n v="0"/>
    <n v="0"/>
    <n v="421.22"/>
    <n v="0"/>
  </r>
  <r>
    <x v="0"/>
    <x v="1"/>
    <x v="0"/>
    <s v="2514200"/>
    <n v="749510"/>
    <s v="Miscellaneous Expenses"/>
    <s v="Rheumatology-LW &amp; GH-Rheum"/>
    <x v="0"/>
    <m/>
    <n v="-31"/>
    <n v="60"/>
    <n v="0"/>
    <n v="74.989999999999995"/>
    <n v="-34.99"/>
    <n v="360"/>
    <n v="-355"/>
    <n v="183.78"/>
    <n v="-228.78"/>
    <n v="45"/>
    <n v="948.67"/>
    <n v="604.32000000000005"/>
    <n v="1626.99"/>
    <n v="344.34999999999991"/>
  </r>
  <r>
    <x v="0"/>
    <x v="1"/>
    <x v="0"/>
    <s v="2514200"/>
    <n v="749510"/>
    <s v="Licenses"/>
    <s v="Rheumatology-LW &amp; GH-Rheum"/>
    <x v="0"/>
    <n v="1002"/>
    <n v="65"/>
    <n v="0"/>
    <n v="0"/>
    <n v="0"/>
    <n v="0"/>
    <n v="0"/>
    <n v="0"/>
    <n v="0"/>
    <n v="0"/>
    <n v="0"/>
    <n v="0"/>
    <n v="0"/>
    <n v="65"/>
    <n v="0"/>
  </r>
  <r>
    <x v="0"/>
    <x v="1"/>
    <x v="0"/>
    <s v="2514200"/>
    <n v="749512"/>
    <s v="Licenses-Physician"/>
    <s v="Rheumatology-LW &amp; GH-Rheum"/>
    <x v="0"/>
    <n v="2000"/>
    <n v="0"/>
    <n v="0"/>
    <n v="0"/>
    <n v="731"/>
    <n v="657"/>
    <n v="0"/>
    <n v="0"/>
    <n v="0"/>
    <n v="0"/>
    <n v="0"/>
    <n v="0"/>
    <n v="731"/>
    <n v="2119"/>
    <n v="-731"/>
  </r>
  <r>
    <x v="0"/>
    <x v="1"/>
    <x v="0"/>
    <s v="2514200"/>
    <n v="749530"/>
    <s v="Travel"/>
    <s v="Rheumatology-LW &amp; GH-Rheum"/>
    <x v="0"/>
    <m/>
    <n v="0"/>
    <n v="136"/>
    <n v="189"/>
    <n v="6"/>
    <n v="147"/>
    <n v="115"/>
    <n v="48"/>
    <n v="105"/>
    <n v="90"/>
    <n v="40"/>
    <n v="45"/>
    <n v="235"/>
    <n v="1156"/>
    <n v="-190"/>
  </r>
  <r>
    <x v="0"/>
    <x v="1"/>
    <x v="0"/>
    <s v="2514200"/>
    <n v="749530"/>
    <s v="Mileage"/>
    <s v="Rheumatology-LW &amp; GH-Rheum"/>
    <x v="0"/>
    <n v="1001"/>
    <n v="0"/>
    <n v="0"/>
    <n v="0"/>
    <n v="17.989999999999998"/>
    <n v="17.989999999999998"/>
    <n v="27.8"/>
    <n v="0"/>
    <n v="0"/>
    <n v="168.78"/>
    <n v="0"/>
    <n v="0"/>
    <n v="23.78"/>
    <n v="256.34000000000003"/>
    <n v="-23.78"/>
  </r>
  <r>
    <x v="0"/>
    <x v="1"/>
    <x v="0"/>
    <s v="2514200"/>
    <n v="749532"/>
    <s v="Travel-Physician"/>
    <s v="Rheumatology-LW &amp; GH-Rheum"/>
    <x v="0"/>
    <m/>
    <n v="0"/>
    <n v="0"/>
    <n v="727.33"/>
    <n v="0"/>
    <n v="751.77"/>
    <n v="0"/>
    <n v="0"/>
    <n v="2903.77"/>
    <n v="0"/>
    <n v="0"/>
    <n v="0"/>
    <n v="616.59"/>
    <n v="4999.46"/>
    <n v="-616.59"/>
  </r>
  <r>
    <x v="0"/>
    <x v="1"/>
    <x v="0"/>
    <s v="2514200"/>
    <n v="749533"/>
    <s v="Travel-Advanced Practice Clinician"/>
    <s v="Rheumatology-LW &amp; GH-Rheum"/>
    <x v="0"/>
    <m/>
    <n v="0"/>
    <n v="0"/>
    <n v="0"/>
    <n v="363.66"/>
    <n v="0"/>
    <n v="0"/>
    <n v="0"/>
    <n v="0"/>
    <n v="0"/>
    <n v="0"/>
    <n v="0"/>
    <n v="0"/>
    <n v="363.66"/>
    <n v="0"/>
  </r>
  <r>
    <x v="0"/>
    <x v="1"/>
    <x v="0"/>
    <s v="2514200"/>
    <n v="749535"/>
    <s v="Meetings"/>
    <s v="Rheumatology-LW &amp; GH-Rheum"/>
    <x v="0"/>
    <m/>
    <n v="0"/>
    <n v="0"/>
    <n v="0"/>
    <n v="115"/>
    <n v="0"/>
    <n v="0"/>
    <n v="0"/>
    <n v="0"/>
    <n v="0"/>
    <n v="0"/>
    <n v="0"/>
    <n v="0"/>
    <n v="115"/>
    <n v="0"/>
  </r>
  <r>
    <x v="0"/>
    <x v="1"/>
    <x v="0"/>
    <s v="2515200"/>
    <n v="749530"/>
    <s v="Travel"/>
    <s v="St Anthony Milgard"/>
    <x v="0"/>
    <m/>
    <n v="0"/>
    <n v="0"/>
    <n v="0"/>
    <n v="0"/>
    <n v="0"/>
    <n v="0"/>
    <n v="0"/>
    <n v="5"/>
    <n v="0"/>
    <n v="0"/>
    <n v="0"/>
    <n v="0"/>
    <n v="5"/>
    <n v="0"/>
  </r>
  <r>
    <x v="0"/>
    <x v="1"/>
    <x v="0"/>
    <s v="2515200"/>
    <n v="749530"/>
    <s v="Mileage"/>
    <s v="St Anthony Milgard"/>
    <x v="0"/>
    <n v="1001"/>
    <n v="0"/>
    <n v="0"/>
    <n v="0"/>
    <n v="0"/>
    <n v="0"/>
    <n v="0"/>
    <n v="0"/>
    <n v="15.08"/>
    <n v="0"/>
    <n v="0"/>
    <n v="0"/>
    <n v="0"/>
    <n v="15.08"/>
    <n v="0"/>
  </r>
  <r>
    <x v="1"/>
    <x v="1"/>
    <x v="0"/>
    <s v="2516200"/>
    <n v="400029"/>
    <s v="MD Practice Other Rev--Medicare"/>
    <s v="WH-Pearl Place-OB/GYN"/>
    <x v="0"/>
    <n v="1100"/>
    <n v="0"/>
    <n v="-48"/>
    <n v="-1314"/>
    <n v="-546"/>
    <n v="-1995"/>
    <n v="-715"/>
    <n v="0"/>
    <n v="-657"/>
    <n v="0"/>
    <n v="-24"/>
    <n v="0"/>
    <n v="58"/>
    <n v="-5241"/>
    <n v="-58"/>
  </r>
  <r>
    <x v="1"/>
    <x v="1"/>
    <x v="0"/>
    <s v="2516200"/>
    <n v="400029"/>
    <s v="MD Practice Other Rev--Medicaid"/>
    <s v="WH-Pearl Place-OB/GYN"/>
    <x v="0"/>
    <n v="1200"/>
    <n v="-5638"/>
    <n v="-9546"/>
    <n v="-5741"/>
    <n v="-9347"/>
    <n v="-10412"/>
    <n v="-5239"/>
    <n v="-6988"/>
    <n v="-6357"/>
    <n v="-9116"/>
    <n v="-3680"/>
    <n v="-4342"/>
    <n v="-8310"/>
    <n v="-84716"/>
    <n v="3968"/>
  </r>
  <r>
    <x v="1"/>
    <x v="1"/>
    <x v="0"/>
    <s v="2516200"/>
    <n v="400029"/>
    <s v="MD Practice Other Rev--Comm Insurance"/>
    <s v="WH-Pearl Place-OB/GYN"/>
    <x v="0"/>
    <n v="1300"/>
    <n v="-1002"/>
    <n v="-337"/>
    <n v="-662"/>
    <n v="-2263"/>
    <n v="-2527"/>
    <n v="-1934"/>
    <n v="-2082"/>
    <n v="-1299"/>
    <n v="-1027"/>
    <n v="-788"/>
    <n v="-345"/>
    <n v="-1576"/>
    <n v="-15842"/>
    <n v="1231"/>
  </r>
  <r>
    <x v="1"/>
    <x v="1"/>
    <x v="0"/>
    <s v="2516200"/>
    <n v="400029"/>
    <s v="MD Practice Other Rev--BCBS Comm"/>
    <s v="WH-Pearl Place-OB/GYN"/>
    <x v="0"/>
    <n v="1301"/>
    <n v="-6414"/>
    <n v="-4020"/>
    <n v="-3597"/>
    <n v="-6124"/>
    <n v="-2405"/>
    <n v="-3144"/>
    <n v="-2554"/>
    <n v="-1719"/>
    <n v="-3538"/>
    <n v="-1837"/>
    <n v="-2115"/>
    <n v="-4254"/>
    <n v="-41721"/>
    <n v="2139"/>
  </r>
  <r>
    <x v="1"/>
    <x v="1"/>
    <x v="0"/>
    <s v="2516200"/>
    <n v="400029"/>
    <s v="MD Practice Other Rev--Managed Care"/>
    <s v="WH-Pearl Place-OB/GYN"/>
    <x v="0"/>
    <n v="1400"/>
    <n v="-11500"/>
    <n v="-11812"/>
    <n v="-14316"/>
    <n v="-16763"/>
    <n v="-17835"/>
    <n v="-14051"/>
    <n v="-9390"/>
    <n v="-15126"/>
    <n v="-18555"/>
    <n v="-8428"/>
    <n v="-7636"/>
    <n v="-14350"/>
    <n v="-159762"/>
    <n v="6714"/>
  </r>
  <r>
    <x v="1"/>
    <x v="1"/>
    <x v="0"/>
    <s v="2516200"/>
    <n v="400029"/>
    <s v="MD Practice Other Rev--Self Pay"/>
    <s v="WH-Pearl Place-OB/GYN"/>
    <x v="0"/>
    <n v="1500"/>
    <n v="0"/>
    <n v="-144"/>
    <n v="-1099"/>
    <n v="-1306"/>
    <n v="-825"/>
    <n v="-48"/>
    <n v="-321"/>
    <n v="-321"/>
    <n v="-249"/>
    <n v="-400"/>
    <n v="-400"/>
    <n v="352"/>
    <n v="-4761"/>
    <n v="-752"/>
  </r>
  <r>
    <x v="1"/>
    <x v="1"/>
    <x v="0"/>
    <s v="2516200"/>
    <n v="400029"/>
    <s v="MD Practice Other Rev--Other"/>
    <s v="WH-Pearl Place-OB/GYN"/>
    <x v="0"/>
    <n v="1700"/>
    <n v="-3381"/>
    <n v="-1744"/>
    <n v="-1621"/>
    <n v="-1262"/>
    <n v="-2270"/>
    <n v="-2122"/>
    <n v="-822"/>
    <n v="-667"/>
    <n v="-1109"/>
    <n v="-690"/>
    <n v="-2749"/>
    <n v="-740"/>
    <n v="-19177"/>
    <n v="-2009"/>
  </r>
  <r>
    <x v="1"/>
    <x v="1"/>
    <x v="0"/>
    <s v="2516200"/>
    <n v="400040"/>
    <s v="Physician Svcs Rev--Medicare"/>
    <s v="WH-Pearl Place-OB/GYN"/>
    <x v="0"/>
    <n v="1100"/>
    <n v="-13938"/>
    <n v="-4402"/>
    <n v="-4132"/>
    <n v="-8216"/>
    <n v="-7326"/>
    <n v="-5234"/>
    <n v="-8900"/>
    <n v="-12477"/>
    <n v="-6358"/>
    <n v="-3827"/>
    <n v="186"/>
    <n v="-8097"/>
    <n v="-82721"/>
    <n v="8283"/>
  </r>
  <r>
    <x v="1"/>
    <x v="1"/>
    <x v="0"/>
    <s v="2516200"/>
    <n v="400040"/>
    <s v="Physician Svcs Rev--Medicaid"/>
    <s v="WH-Pearl Place-OB/GYN"/>
    <x v="0"/>
    <n v="1200"/>
    <n v="-118138"/>
    <n v="-158124.54999999999"/>
    <n v="-142873.42000000001"/>
    <n v="-143039.75"/>
    <n v="-120994.86"/>
    <n v="-109194.24000000001"/>
    <n v="-108843"/>
    <n v="-162102.67000000001"/>
    <n v="-135628.78"/>
    <n v="-120919"/>
    <n v="-146487.44"/>
    <n v="-144145"/>
    <n v="-1610490.71"/>
    <n v="-2342.4400000000023"/>
  </r>
  <r>
    <x v="1"/>
    <x v="1"/>
    <x v="0"/>
    <s v="2516200"/>
    <n v="400040"/>
    <s v="Physician Svcs Rev--Comm Insurance"/>
    <s v="WH-Pearl Place-OB/GYN"/>
    <x v="0"/>
    <n v="1300"/>
    <n v="-9219"/>
    <n v="-20339"/>
    <n v="-8108"/>
    <n v="-14668"/>
    <n v="-14927"/>
    <n v="-6625"/>
    <n v="-13705"/>
    <n v="-11772"/>
    <n v="-9438"/>
    <n v="-20391"/>
    <n v="-35529.5"/>
    <n v="-20396"/>
    <n v="-185117.5"/>
    <n v="-15133.5"/>
  </r>
  <r>
    <x v="1"/>
    <x v="1"/>
    <x v="0"/>
    <s v="2516200"/>
    <n v="400040"/>
    <s v="Physician Svcs Rev--BCBS Comm"/>
    <s v="WH-Pearl Place-OB/GYN"/>
    <x v="0"/>
    <n v="1301"/>
    <n v="-64061"/>
    <n v="-45192"/>
    <n v="-67803"/>
    <n v="-57428"/>
    <n v="-44885"/>
    <n v="-47523"/>
    <n v="-61261.13"/>
    <n v="-47756"/>
    <n v="-58934"/>
    <n v="-33998"/>
    <n v="-36301.58"/>
    <n v="-61535"/>
    <n v="-626677.71"/>
    <n v="25233.42"/>
  </r>
  <r>
    <x v="1"/>
    <x v="1"/>
    <x v="0"/>
    <s v="2516200"/>
    <n v="400040"/>
    <s v="Physician Svcs Rev--Managed Care"/>
    <s v="WH-Pearl Place-OB/GYN"/>
    <x v="0"/>
    <n v="1400"/>
    <n v="-144919.93"/>
    <n v="-183374.98"/>
    <n v="-111633"/>
    <n v="-205883"/>
    <n v="-194582"/>
    <n v="-197659.75"/>
    <n v="-149688"/>
    <n v="-164368"/>
    <n v="-190591"/>
    <n v="-135080"/>
    <n v="-191962"/>
    <n v="-170698.5"/>
    <n v="-2040440.1600000001"/>
    <n v="-21263.5"/>
  </r>
  <r>
    <x v="1"/>
    <x v="1"/>
    <x v="0"/>
    <s v="2516200"/>
    <n v="400040"/>
    <s v="Physician Svcs Rev--Self Pay"/>
    <s v="WH-Pearl Place-OB/GYN"/>
    <x v="0"/>
    <n v="1500"/>
    <n v="-1943"/>
    <n v="-6806"/>
    <n v="-7441"/>
    <n v="-7288"/>
    <n v="-7853"/>
    <n v="-2516"/>
    <n v="-3940"/>
    <n v="-7690"/>
    <n v="-8610"/>
    <n v="-5244"/>
    <n v="-5282"/>
    <n v="-4930"/>
    <n v="-69543"/>
    <n v="-352"/>
  </r>
  <r>
    <x v="1"/>
    <x v="1"/>
    <x v="0"/>
    <s v="2516200"/>
    <n v="400040"/>
    <s v="Physician Svcs Rev--Other"/>
    <s v="WH-Pearl Place-OB/GYN"/>
    <x v="0"/>
    <n v="1700"/>
    <n v="-24238"/>
    <n v="-39205"/>
    <n v="-27573"/>
    <n v="-31493"/>
    <n v="-34134"/>
    <n v="-37039"/>
    <n v="-28294"/>
    <n v="-41550"/>
    <n v="-15602"/>
    <n v="-32517"/>
    <n v="-28017"/>
    <n v="-9264"/>
    <n v="-348926"/>
    <n v="-18753"/>
  </r>
  <r>
    <x v="2"/>
    <x v="1"/>
    <x v="0"/>
    <s v="2516200"/>
    <n v="450029"/>
    <s v="Contr Allow--MD Other-Medicare"/>
    <s v="WH-Pearl Place-OB/GYN"/>
    <x v="0"/>
    <n v="1100"/>
    <n v="454.84"/>
    <n v="15.56"/>
    <n v="857.24"/>
    <n v="396.64"/>
    <n v="476.35"/>
    <n v="889.68"/>
    <n v="421.94"/>
    <n v="423.83"/>
    <n v="0"/>
    <n v="-1.38"/>
    <n v="15.56"/>
    <n v="73.22"/>
    <n v="4023.4799999999991"/>
    <n v="-57.66"/>
  </r>
  <r>
    <x v="2"/>
    <x v="1"/>
    <x v="0"/>
    <s v="2516200"/>
    <n v="450029"/>
    <s v="Contr Allow--MD Other-Medicaid"/>
    <s v="WH-Pearl Place-OB/GYN"/>
    <x v="0"/>
    <n v="1200"/>
    <n v="5708.21"/>
    <n v="7148.32"/>
    <n v="5656.73"/>
    <n v="5110.7700000000004"/>
    <n v="9114.93"/>
    <n v="5329.69"/>
    <n v="3761.47"/>
    <n v="3698.01"/>
    <n v="6320.44"/>
    <n v="2049.69"/>
    <n v="4388.1000000000004"/>
    <n v="2483.71"/>
    <n v="60770.070000000007"/>
    <n v="1904.3900000000003"/>
  </r>
  <r>
    <x v="2"/>
    <x v="1"/>
    <x v="0"/>
    <s v="2516200"/>
    <n v="450029"/>
    <s v="Contr Allow--MD Other-Comm Insurance"/>
    <s v="WH-Pearl Place-OB/GYN"/>
    <x v="0"/>
    <n v="1300"/>
    <n v="516.55999999999995"/>
    <n v="313.64"/>
    <n v="152.68"/>
    <n v="368.17"/>
    <n v="911.77"/>
    <n v="1134.19"/>
    <n v="1278.31"/>
    <n v="685.88"/>
    <n v="279.87"/>
    <n v="424.1"/>
    <n v="63.64"/>
    <n v="566.19000000000005"/>
    <n v="6695"/>
    <n v="-502.55000000000007"/>
  </r>
  <r>
    <x v="2"/>
    <x v="1"/>
    <x v="0"/>
    <s v="2516200"/>
    <n v="450029"/>
    <s v="Contr Allow--MD Other BCBS Comm"/>
    <s v="WH-Pearl Place-OB/GYN"/>
    <x v="0"/>
    <n v="1301"/>
    <n v="1957.15"/>
    <n v="1374.83"/>
    <n v="1388.06"/>
    <n v="1669.73"/>
    <n v="1538.88"/>
    <n v="349.95"/>
    <n v="557.71"/>
    <n v="1010.74"/>
    <n v="790.48"/>
    <n v="741.11"/>
    <n v="770.24"/>
    <n v="624.55999999999995"/>
    <n v="12773.44"/>
    <n v="145.68000000000006"/>
  </r>
  <r>
    <x v="2"/>
    <x v="1"/>
    <x v="0"/>
    <s v="2516200"/>
    <n v="450029"/>
    <s v="Contr Allow--MD Other-Managed Care"/>
    <s v="WH-Pearl Place-OB/GYN"/>
    <x v="0"/>
    <n v="1400"/>
    <n v="4502.24"/>
    <n v="4523.2700000000004"/>
    <n v="3994.6"/>
    <n v="6827.99"/>
    <n v="6919.56"/>
    <n v="5168.33"/>
    <n v="3877.98"/>
    <n v="3424.11"/>
    <n v="5234.08"/>
    <n v="7461.95"/>
    <n v="3215.01"/>
    <n v="3309.76"/>
    <n v="58458.880000000005"/>
    <n v="-94.75"/>
  </r>
  <r>
    <x v="2"/>
    <x v="1"/>
    <x v="0"/>
    <s v="2516200"/>
    <n v="450029"/>
    <s v="Admin Adjust-MD Other-Self Pay"/>
    <s v="WH-Pearl Place-OB/GYN"/>
    <x v="0"/>
    <n v="1600"/>
    <n v="18.010000000000002"/>
    <n v="188.38"/>
    <n v="532.69000000000005"/>
    <n v="1088.54"/>
    <n v="161.53"/>
    <n v="42.7"/>
    <n v="206.79"/>
    <n v="227.49"/>
    <n v="15.63"/>
    <n v="260.12"/>
    <n v="-170.83"/>
    <n v="-107.78"/>
    <n v="2463.27"/>
    <n v="-63.050000000000011"/>
  </r>
  <r>
    <x v="2"/>
    <x v="1"/>
    <x v="0"/>
    <s v="2516200"/>
    <n v="450029"/>
    <s v="Contr Allow--MD Other-Other"/>
    <s v="WH-Pearl Place-OB/GYN"/>
    <x v="0"/>
    <n v="1700"/>
    <n v="2645.25"/>
    <n v="763.95"/>
    <n v="623.72"/>
    <n v="1705.77"/>
    <n v="657.8"/>
    <n v="1268.9100000000001"/>
    <n v="900.17"/>
    <n v="564.07000000000005"/>
    <n v="830.29"/>
    <n v="868.88"/>
    <n v="1694.73"/>
    <n v="567.1"/>
    <n v="13090.64"/>
    <n v="1127.6300000000001"/>
  </r>
  <r>
    <x v="2"/>
    <x v="1"/>
    <x v="0"/>
    <s v="2516200"/>
    <n v="450040"/>
    <s v="Contr Allow--Phys Svcs--Mcare"/>
    <s v="WH-Pearl Place-OB/GYN"/>
    <x v="0"/>
    <n v="1100"/>
    <n v="3773.56"/>
    <n v="8069.46"/>
    <n v="3199.19"/>
    <n v="2499.92"/>
    <n v="6031.82"/>
    <n v="3841.45"/>
    <n v="4116.51"/>
    <n v="4857.71"/>
    <n v="3653.38"/>
    <n v="6433.23"/>
    <n v="4025.15"/>
    <n v="4341.16"/>
    <n v="54842.539999999994"/>
    <n v="-316.00999999999976"/>
  </r>
  <r>
    <x v="2"/>
    <x v="1"/>
    <x v="0"/>
    <s v="2516200"/>
    <n v="450040"/>
    <s v="Contr Allow--Phys Svcs--Mcaid"/>
    <s v="WH-Pearl Place-OB/GYN"/>
    <x v="0"/>
    <n v="1200"/>
    <n v="53212.87"/>
    <n v="94105.21"/>
    <n v="117596.26"/>
    <n v="69745.69"/>
    <n v="88989.36"/>
    <n v="77800.179999999993"/>
    <n v="60781.19"/>
    <n v="90815.47"/>
    <n v="84399.44"/>
    <n v="94236.96"/>
    <n v="79708.5"/>
    <n v="95106.99"/>
    <n v="1006498.1199999999"/>
    <n v="-15398.490000000005"/>
  </r>
  <r>
    <x v="2"/>
    <x v="1"/>
    <x v="0"/>
    <s v="2516200"/>
    <n v="450040"/>
    <s v="Contr Allow--Phys Svcs--Comm Insurance"/>
    <s v="WH-Pearl Place-OB/GYN"/>
    <x v="0"/>
    <n v="1300"/>
    <n v="3623.6"/>
    <n v="3716.66"/>
    <n v="5667.77"/>
    <n v="6945.9"/>
    <n v="11435.87"/>
    <n v="871.09"/>
    <n v="4348.5600000000004"/>
    <n v="7036.27"/>
    <n v="4075.41"/>
    <n v="3201.23"/>
    <n v="13232.98"/>
    <n v="16932.61"/>
    <n v="81087.950000000012"/>
    <n v="-3699.630000000001"/>
  </r>
  <r>
    <x v="2"/>
    <x v="1"/>
    <x v="0"/>
    <s v="2516200"/>
    <n v="450040"/>
    <s v="Contr Allow--Phys Svcs--BCBS Comm Ins"/>
    <s v="WH-Pearl Place-OB/GYN"/>
    <x v="0"/>
    <n v="1301"/>
    <n v="22435.759999999998"/>
    <n v="24308.76"/>
    <n v="19397.72"/>
    <n v="10118.19"/>
    <n v="18933.84"/>
    <n v="14832.64"/>
    <n v="13840.34"/>
    <n v="15603.52"/>
    <n v="36192.730000000003"/>
    <n v="18269.990000000002"/>
    <n v="8805.77"/>
    <n v="26493.99"/>
    <n v="229233.24999999997"/>
    <n v="-17688.22"/>
  </r>
  <r>
    <x v="2"/>
    <x v="1"/>
    <x v="0"/>
    <s v="2516200"/>
    <n v="450040"/>
    <s v="Contr Allow--Phys Svcs--Managed Care"/>
    <s v="WH-Pearl Place-OB/GYN"/>
    <x v="0"/>
    <n v="1400"/>
    <n v="61679.41"/>
    <n v="77244.14"/>
    <n v="55911.42"/>
    <n v="46811.47"/>
    <n v="93495.82"/>
    <n v="49501.68"/>
    <n v="59103.75"/>
    <n v="47345.56"/>
    <n v="87466.97"/>
    <n v="73716.73"/>
    <n v="70248.75"/>
    <n v="76037.09"/>
    <n v="798562.78999999992"/>
    <n v="-5788.3399999999965"/>
  </r>
  <r>
    <x v="2"/>
    <x v="1"/>
    <x v="0"/>
    <s v="2516200"/>
    <n v="450040"/>
    <s v="Contr Allow--Phys Svcs--BCBS Mgnd Care"/>
    <s v="WH-Pearl Place-OB/GYN"/>
    <x v="0"/>
    <n v="1401"/>
    <n v="15103.16"/>
    <n v="1218.1199999999999"/>
    <n v="-32136.49"/>
    <n v="56929.5"/>
    <n v="-19427.580000000002"/>
    <n v="41411.379999999997"/>
    <n v="17813.82"/>
    <n v="33405.39"/>
    <n v="-31326.26"/>
    <n v="-51746.98"/>
    <n v="26788.19"/>
    <n v="-12546.25"/>
    <n v="45485.999999999985"/>
    <n v="39334.44"/>
  </r>
  <r>
    <x v="2"/>
    <x v="1"/>
    <x v="0"/>
    <s v="2516200"/>
    <n v="450040"/>
    <s v="Admin Adjust-Phys Svcs-Self Pay"/>
    <s v="WH-Pearl Place-OB/GYN"/>
    <x v="0"/>
    <n v="1600"/>
    <n v="1052.4100000000001"/>
    <n v="3812.47"/>
    <n v="3442.8"/>
    <n v="4575.9799999999996"/>
    <n v="3840.62"/>
    <n v="925.07"/>
    <n v="1620.59"/>
    <n v="3260.78"/>
    <n v="4011.1"/>
    <n v="2269.7800000000002"/>
    <n v="2221.3200000000002"/>
    <n v="2354.94"/>
    <n v="33387.859999999993"/>
    <n v="-133.61999999999989"/>
  </r>
  <r>
    <x v="2"/>
    <x v="1"/>
    <x v="0"/>
    <s v="2516200"/>
    <n v="450040"/>
    <s v="Contr Allow--Phys Svcs--Other"/>
    <s v="WH-Pearl Place-OB/GYN"/>
    <x v="0"/>
    <n v="1700"/>
    <n v="16348.34"/>
    <n v="15851.56"/>
    <n v="16031.52"/>
    <n v="25428.11"/>
    <n v="15840.48"/>
    <n v="16068.56"/>
    <n v="19251.759999999998"/>
    <n v="31276.19"/>
    <n v="17932.509999999998"/>
    <n v="17440.68"/>
    <n v="24630.82"/>
    <n v="5899.27"/>
    <n v="221999.8"/>
    <n v="18731.55"/>
  </r>
  <r>
    <x v="3"/>
    <x v="1"/>
    <x v="0"/>
    <s v="2516200"/>
    <n v="470040"/>
    <s v="Charity Care-Physician Svcs"/>
    <s v="WH-Pearl Place-OB/GYN"/>
    <x v="0"/>
    <m/>
    <n v="4859.7299999999996"/>
    <n v="4448.83"/>
    <n v="1244.8399999999999"/>
    <n v="10255.629999999999"/>
    <n v="-62.49"/>
    <n v="749.3"/>
    <n v="2068.46"/>
    <n v="675.1"/>
    <n v="1055.82"/>
    <n v="2757.35"/>
    <n v="1095.5999999999999"/>
    <n v="4689.8100000000004"/>
    <n v="33837.979999999989"/>
    <n v="-3594.2100000000005"/>
  </r>
  <r>
    <x v="4"/>
    <x v="1"/>
    <x v="0"/>
    <s v="2516200"/>
    <n v="490010"/>
    <s v="Provision for Bad Debts"/>
    <s v="WH-Pearl Place-OB/GYN"/>
    <x v="0"/>
    <m/>
    <n v="6589.86"/>
    <n v="1427.06"/>
    <n v="760.44"/>
    <n v="4695.74"/>
    <n v="2595.48"/>
    <n v="6545.87"/>
    <n v="-2062.3200000000002"/>
    <n v="11306.19"/>
    <n v="8290.85"/>
    <n v="1279.7"/>
    <n v="6309.05"/>
    <n v="-3390.56"/>
    <n v="44347.360000000001"/>
    <n v="9699.61"/>
  </r>
  <r>
    <x v="14"/>
    <x v="1"/>
    <x v="0"/>
    <s v="2516200"/>
    <n v="600050"/>
    <s v="Miscellaneous Revenue"/>
    <s v="WH-Pearl Place-OB/GYN"/>
    <x v="0"/>
    <m/>
    <n v="-10560"/>
    <n v="-1920"/>
    <n v="-1800"/>
    <n v="-1800"/>
    <n v="-2400"/>
    <n v="-2400"/>
    <n v="-2100"/>
    <n v="-6000"/>
    <n v="-5100"/>
    <n v="-3000"/>
    <n v="-8400"/>
    <n v="-3000"/>
    <n v="-48480"/>
    <n v="-5400"/>
  </r>
  <r>
    <x v="5"/>
    <x v="1"/>
    <x v="0"/>
    <s v="2516200"/>
    <n v="700018"/>
    <s v="Salaries-Supervisory-Productive"/>
    <s v="WH-Pearl Place-OB/GYN"/>
    <x v="0"/>
    <m/>
    <n v="1626.22"/>
    <n v="2768.98"/>
    <n v="2307.48"/>
    <n v="3041.17"/>
    <n v="3045.51"/>
    <n v="2018.93"/>
    <n v="4102.22"/>
    <n v="3466.6"/>
    <n v="3639.94"/>
    <n v="2657.72"/>
    <n v="3119.96"/>
    <n v="3177.72"/>
    <n v="34972.449999999997"/>
    <n v="-57.759999999999764"/>
  </r>
  <r>
    <x v="5"/>
    <x v="1"/>
    <x v="0"/>
    <s v="2516200"/>
    <n v="700022"/>
    <s v="Salaries-Physician-Productive"/>
    <s v="WH-Pearl Place-OB/GYN"/>
    <x v="0"/>
    <m/>
    <n v="61629.9"/>
    <n v="70927.759999999995"/>
    <n v="56263.24"/>
    <n v="78434.38"/>
    <n v="62815.89"/>
    <n v="41531.68"/>
    <n v="64142.38"/>
    <n v="44232.39"/>
    <n v="66433.539999999994"/>
    <n v="54800.71"/>
    <n v="81584.53"/>
    <n v="66027.360000000001"/>
    <n v="748823.76"/>
    <n v="15557.169999999998"/>
  </r>
  <r>
    <x v="5"/>
    <x v="1"/>
    <x v="0"/>
    <s v="2516200"/>
    <n v="700022"/>
    <s v="Salaries-Physician-Other"/>
    <s v="WH-Pearl Place-OB/GYN"/>
    <x v="0"/>
    <n v="2000"/>
    <n v="1440"/>
    <n v="8820"/>
    <n v="7320"/>
    <n v="9720"/>
    <n v="2340"/>
    <n v="1440"/>
    <n v="3572.81"/>
    <n v="4917.92"/>
    <n v="1680.73"/>
    <n v="15642.73"/>
    <n v="4642.68"/>
    <n v="8480"/>
    <n v="70016.87"/>
    <n v="-3837.3199999999997"/>
  </r>
  <r>
    <x v="5"/>
    <x v="1"/>
    <x v="0"/>
    <s v="2516200"/>
    <n v="700024"/>
    <s v="Salaries-Advanced Practice Clinician-Productive"/>
    <s v="WH-Pearl Place-OB/GYN"/>
    <x v="0"/>
    <m/>
    <n v="46477.68"/>
    <n v="55960.33"/>
    <n v="45848.88"/>
    <n v="56466.02"/>
    <n v="52849.26"/>
    <n v="39445.279999999999"/>
    <n v="43499.53"/>
    <n v="38896.33"/>
    <n v="37382.25"/>
    <n v="39789.99"/>
    <n v="40727.410000000003"/>
    <n v="34779.25"/>
    <n v="532122.21"/>
    <n v="5948.1600000000035"/>
  </r>
  <r>
    <x v="5"/>
    <x v="1"/>
    <x v="0"/>
    <s v="2516200"/>
    <n v="700024"/>
    <s v="Salaries-Advanced Practice Clinician-Other"/>
    <s v="WH-Pearl Place-OB/GYN"/>
    <x v="0"/>
    <n v="2000"/>
    <n v="0"/>
    <n v="0"/>
    <n v="0"/>
    <n v="0"/>
    <n v="0"/>
    <n v="125"/>
    <n v="0"/>
    <n v="0"/>
    <n v="0"/>
    <n v="0"/>
    <n v="0"/>
    <n v="0"/>
    <n v="125"/>
    <n v="0"/>
  </r>
  <r>
    <x v="5"/>
    <x v="1"/>
    <x v="0"/>
    <s v="2516200"/>
    <n v="700030"/>
    <s v="Salaries-LPN-Productive"/>
    <s v="WH-Pearl Place-OB/GYN"/>
    <x v="0"/>
    <m/>
    <n v="6851.85"/>
    <n v="7734.3"/>
    <n v="8040.47"/>
    <n v="10010.030000000001"/>
    <n v="5132.04"/>
    <n v="7723.85"/>
    <n v="6363.24"/>
    <n v="4690.42"/>
    <n v="4707.37"/>
    <n v="6459.59"/>
    <n v="10526.54"/>
    <n v="10077.93"/>
    <n v="88317.63"/>
    <n v="448.61000000000058"/>
  </r>
  <r>
    <x v="5"/>
    <x v="1"/>
    <x v="0"/>
    <s v="2516200"/>
    <n v="700030"/>
    <s v="Salaries-LPN-OT"/>
    <s v="WH-Pearl Place-OB/GYN"/>
    <x v="0"/>
    <n v="1000"/>
    <n v="96.53"/>
    <n v="0"/>
    <n v="26.89"/>
    <n v="7.74"/>
    <n v="-7.42"/>
    <n v="157.46"/>
    <n v="-8.26"/>
    <n v="0"/>
    <n v="0"/>
    <n v="0"/>
    <n v="55.78"/>
    <n v="18.579999999999998"/>
    <n v="347.3"/>
    <n v="37.200000000000003"/>
  </r>
  <r>
    <x v="5"/>
    <x v="1"/>
    <x v="0"/>
    <s v="2516200"/>
    <n v="700030"/>
    <s v="Salaries-LPN-Other"/>
    <s v="WH-Pearl Place-OB/GYN"/>
    <x v="0"/>
    <n v="2000"/>
    <n v="0"/>
    <n v="0"/>
    <n v="0"/>
    <n v="7.2"/>
    <n v="5.8"/>
    <n v="0.25"/>
    <n v="12.61"/>
    <n v="7.22"/>
    <n v="9.4600000000000009"/>
    <n v="-2.25"/>
    <n v="8.52"/>
    <n v="-4.26"/>
    <n v="44.550000000000004"/>
    <n v="12.78"/>
  </r>
  <r>
    <x v="5"/>
    <x v="1"/>
    <x v="0"/>
    <s v="2516200"/>
    <n v="700032"/>
    <s v="Salaries-Other Pat Care Providers-Productive"/>
    <s v="WH-Pearl Place-OB/GYN"/>
    <x v="0"/>
    <m/>
    <n v="6511.02"/>
    <n v="5970.87"/>
    <n v="6264.88"/>
    <n v="7039.2"/>
    <n v="6086.52"/>
    <n v="5329.29"/>
    <n v="6694.17"/>
    <n v="5290.02"/>
    <n v="6816.78"/>
    <n v="7127.72"/>
    <n v="8254.43"/>
    <n v="6642.55"/>
    <n v="78027.45"/>
    <n v="1611.88"/>
  </r>
  <r>
    <x v="5"/>
    <x v="1"/>
    <x v="0"/>
    <s v="2516200"/>
    <n v="700032"/>
    <s v="Salaries-Other Pat Care Providers-OT"/>
    <s v="WH-Pearl Place-OB/GYN"/>
    <x v="0"/>
    <n v="1000"/>
    <n v="316.89"/>
    <n v="230.7"/>
    <n v="0"/>
    <n v="0"/>
    <n v="0"/>
    <n v="64.89"/>
    <n v="8.1199999999999992"/>
    <n v="0"/>
    <n v="9.66"/>
    <n v="324.92"/>
    <n v="0"/>
    <n v="9.66"/>
    <n v="964.8399999999998"/>
    <n v="-9.66"/>
  </r>
  <r>
    <x v="5"/>
    <x v="1"/>
    <x v="0"/>
    <s v="2516200"/>
    <n v="700034"/>
    <s v="Salaries-Tech/Professional-Productive"/>
    <s v="WH-Pearl Place-OB/GYN"/>
    <x v="0"/>
    <m/>
    <n v="0"/>
    <n v="0"/>
    <n v="0"/>
    <n v="0"/>
    <n v="1455.16"/>
    <n v="-727.58"/>
    <n v="0"/>
    <n v="0"/>
    <n v="0"/>
    <n v="0"/>
    <n v="0"/>
    <n v="0"/>
    <n v="727.58"/>
    <n v="0"/>
  </r>
  <r>
    <x v="5"/>
    <x v="1"/>
    <x v="0"/>
    <s v="2516200"/>
    <n v="700054"/>
    <s v="Salaries-Management-NonProd-Other"/>
    <s v="WH-Pearl Place-OB/GYN"/>
    <x v="0"/>
    <n v="2000"/>
    <n v="0"/>
    <n v="0"/>
    <n v="0"/>
    <n v="0"/>
    <n v="0"/>
    <n v="1165.9000000000001"/>
    <n v="-1165.9000000000001"/>
    <n v="0"/>
    <n v="0"/>
    <n v="0"/>
    <n v="0"/>
    <n v="0"/>
    <n v="0"/>
    <n v="0"/>
  </r>
  <r>
    <x v="5"/>
    <x v="1"/>
    <x v="0"/>
    <s v="2516200"/>
    <n v="700058"/>
    <s v="Salaries-Supervisory-Non-productive"/>
    <s v="WH-Pearl Place-OB/GYN"/>
    <x v="0"/>
    <m/>
    <n v="1714.12"/>
    <n v="483.48"/>
    <n v="329.64"/>
    <n v="109.88"/>
    <n v="230.72"/>
    <n v="2221.15"/>
    <n v="86.97"/>
    <n v="0"/>
    <n v="0"/>
    <n v="1733.31"/>
    <n v="866.64"/>
    <n v="577.77"/>
    <n v="8353.68"/>
    <n v="288.87"/>
  </r>
  <r>
    <x v="5"/>
    <x v="1"/>
    <x v="0"/>
    <s v="2516200"/>
    <n v="700062"/>
    <s v="Salaries-Physician-Non-productive"/>
    <s v="WH-Pearl Place-OB/GYN"/>
    <x v="0"/>
    <m/>
    <n v="0"/>
    <n v="10678.08"/>
    <n v="8457.44"/>
    <n v="-4005.6"/>
    <n v="5339.04"/>
    <n v="24507.439999999999"/>
    <n v="8296.8799999999992"/>
    <n v="24632.95"/>
    <n v="7448.03"/>
    <n v="22537.119999999999"/>
    <n v="-3101.04"/>
    <n v="1927.84"/>
    <n v="106718.18"/>
    <n v="-5028.88"/>
  </r>
  <r>
    <x v="5"/>
    <x v="1"/>
    <x v="0"/>
    <s v="2516200"/>
    <n v="700062"/>
    <s v="Salaries-Physician-NonProd-Other"/>
    <s v="WH-Pearl Place-OB/GYN"/>
    <x v="0"/>
    <n v="2000"/>
    <n v="0"/>
    <n v="0"/>
    <n v="0"/>
    <n v="0"/>
    <n v="1362.95"/>
    <n v="1880.96"/>
    <n v="0"/>
    <n v="-3243.91"/>
    <n v="0"/>
    <n v="0"/>
    <n v="0"/>
    <n v="0"/>
    <n v="0"/>
    <n v="0"/>
  </r>
  <r>
    <x v="5"/>
    <x v="1"/>
    <x v="0"/>
    <s v="2516200"/>
    <n v="700064"/>
    <s v="Salaries-Advanced Practice Clinician-Non-Productive"/>
    <s v="WH-Pearl Place-OB/GYN"/>
    <x v="0"/>
    <m/>
    <n v="2614.44"/>
    <n v="3096.18"/>
    <n v="2618.16"/>
    <n v="-114.15"/>
    <n v="2533.63"/>
    <n v="11643.03"/>
    <n v="2493.48"/>
    <n v="1292.8800000000001"/>
    <n v="4952.72"/>
    <n v="4121.08"/>
    <n v="5388.17"/>
    <n v="5333.91"/>
    <n v="45973.53"/>
    <n v="54.260000000000218"/>
  </r>
  <r>
    <x v="5"/>
    <x v="1"/>
    <x v="0"/>
    <s v="2516200"/>
    <n v="700070"/>
    <s v="Salaries-LPN-Non-productive"/>
    <s v="WH-Pearl Place-OB/GYN"/>
    <x v="0"/>
    <m/>
    <n v="472.82"/>
    <n v="278.77"/>
    <n v="1386.71"/>
    <n v="545.25"/>
    <n v="1147.1400000000001"/>
    <n v="1458.4"/>
    <n v="327.49"/>
    <n v="445.61"/>
    <n v="1343.01"/>
    <n v="-334.2"/>
    <n v="522.98"/>
    <n v="1957.25"/>
    <n v="9551.23"/>
    <n v="-1434.27"/>
  </r>
  <r>
    <x v="5"/>
    <x v="1"/>
    <x v="0"/>
    <s v="2516200"/>
    <n v="700070"/>
    <s v="Salaries-LPN-NonProd-Other"/>
    <s v="WH-Pearl Place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16200"/>
    <n v="700072"/>
    <s v="Salaries-Other Pat Care Providers-Non-productive"/>
    <s v="WH-Pearl Place-OB/GYN"/>
    <x v="0"/>
    <m/>
    <n v="518.09"/>
    <n v="965.88"/>
    <n v="792.23"/>
    <n v="690.71"/>
    <n v="834.48"/>
    <n v="2124.7199999999998"/>
    <n v="188.34"/>
    <n v="1464.53"/>
    <n v="429.35"/>
    <n v="1152.67"/>
    <n v="207.72"/>
    <n v="516.92999999999995"/>
    <n v="9885.65"/>
    <n v="-309.20999999999992"/>
  </r>
  <r>
    <x v="5"/>
    <x v="1"/>
    <x v="0"/>
    <s v="2516200"/>
    <n v="700072"/>
    <s v="Salaries-Other Pat Care Providers-NonProd-Other"/>
    <s v="WH-Pearl Place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16200"/>
    <n v="700084"/>
    <s v="Accrued PTO"/>
    <s v="WH-Pearl Place-OB/GYN"/>
    <x v="0"/>
    <m/>
    <n v="-433.26"/>
    <n v="318.02999999999997"/>
    <n v="-264.94"/>
    <n v="1220.02"/>
    <n v="1478.36"/>
    <n v="-2184.09"/>
    <n v="1171.4000000000001"/>
    <n v="807.58"/>
    <n v="872.08"/>
    <n v="13.37"/>
    <n v="891.46"/>
    <n v="716.39"/>
    <n v="4606.3999999999996"/>
    <n v="175.07000000000005"/>
  </r>
  <r>
    <x v="6"/>
    <x v="1"/>
    <x v="0"/>
    <s v="2516200"/>
    <n v="713010"/>
    <s v="Benefits-FICA/Medicare"/>
    <s v="WH-Pearl Place-OB/GYN"/>
    <x v="0"/>
    <m/>
    <n v="5918.94"/>
    <n v="7064.56"/>
    <n v="5961.21"/>
    <n v="6857.17"/>
    <n v="6263.5"/>
    <n v="7909.58"/>
    <n v="10425.209999999999"/>
    <n v="9774.94"/>
    <n v="9446.5300000000007"/>
    <n v="7650.23"/>
    <n v="5573"/>
    <n v="5729.37"/>
    <n v="88574.239999999991"/>
    <n v="-156.36999999999989"/>
  </r>
  <r>
    <x v="6"/>
    <x v="1"/>
    <x v="0"/>
    <s v="2516200"/>
    <n v="713090"/>
    <s v="Benefits-Allocated Amounts"/>
    <s v="WH-Pearl Place-OB/GYN"/>
    <x v="0"/>
    <m/>
    <n v="0"/>
    <n v="0"/>
    <n v="0"/>
    <n v="0"/>
    <n v="0"/>
    <n v="0"/>
    <n v="0"/>
    <n v="0"/>
    <n v="59570.75"/>
    <n v="6915.74"/>
    <n v="6909.52"/>
    <n v="7292.28"/>
    <n v="80688.290000000008"/>
    <n v="-382.75999999999931"/>
  </r>
  <r>
    <x v="6"/>
    <x v="1"/>
    <x v="0"/>
    <s v="2516200"/>
    <n v="713092"/>
    <s v="Allocated Benefits-Physician"/>
    <s v="WH-Pearl Place-OB/GYN"/>
    <x v="0"/>
    <m/>
    <n v="5008.46"/>
    <n v="4949.72"/>
    <n v="5065.84"/>
    <n v="5277.68"/>
    <n v="5045.62"/>
    <n v="5408.6"/>
    <n v="5641.47"/>
    <n v="5234.16"/>
    <n v="-15368.9"/>
    <n v="3048.9"/>
    <n v="3046.17"/>
    <n v="3214.9"/>
    <n v="35572.620000000003"/>
    <n v="-168.73000000000002"/>
  </r>
  <r>
    <x v="6"/>
    <x v="1"/>
    <x v="0"/>
    <s v="2516200"/>
    <n v="713093"/>
    <s v="Allocated Benefits-Advanced Practice Clinician"/>
    <s v="WH-Pearl Place-OB/GYN"/>
    <x v="0"/>
    <m/>
    <n v="10022.66"/>
    <n v="9905.15"/>
    <n v="10137.49"/>
    <n v="10561.41"/>
    <n v="10097.049999999999"/>
    <n v="10823.39"/>
    <n v="11289.43"/>
    <n v="10474.33"/>
    <n v="-27452.28"/>
    <n v="6484.79"/>
    <n v="6478.95"/>
    <n v="6837.87"/>
    <n v="75660.239999999991"/>
    <n v="-358.92000000000007"/>
  </r>
  <r>
    <x v="6"/>
    <x v="1"/>
    <x v="0"/>
    <s v="2516200"/>
    <n v="713096"/>
    <s v="Employee Recognition"/>
    <s v="WH-Pearl Place-OB/GYN"/>
    <x v="0"/>
    <n v="1017"/>
    <n v="0"/>
    <n v="0"/>
    <n v="0"/>
    <n v="0"/>
    <n v="0"/>
    <n v="0"/>
    <n v="248.62"/>
    <n v="0"/>
    <n v="0"/>
    <n v="0"/>
    <n v="0"/>
    <n v="0"/>
    <n v="248.62"/>
    <n v="0"/>
  </r>
  <r>
    <x v="7"/>
    <x v="1"/>
    <x v="0"/>
    <s v="2516200"/>
    <n v="718040"/>
    <s v="Contract Svcs-Laboratory"/>
    <s v="WH-Pearl Place-OB/GYN"/>
    <x v="0"/>
    <m/>
    <n v="-63.1"/>
    <n v="0"/>
    <n v="0"/>
    <n v="0"/>
    <n v="0"/>
    <n v="0"/>
    <n v="0"/>
    <n v="0"/>
    <n v="0"/>
    <n v="0"/>
    <n v="0"/>
    <n v="0"/>
    <n v="-63.1"/>
    <n v="0"/>
  </r>
  <r>
    <x v="7"/>
    <x v="1"/>
    <x v="0"/>
    <s v="2516200"/>
    <n v="718050"/>
    <s v="Contract Svcs-Other"/>
    <s v="WH-Pearl Place-OB/GYN"/>
    <x v="0"/>
    <m/>
    <n v="127.22"/>
    <n v="504.54"/>
    <n v="182.96"/>
    <n v="197.49"/>
    <n v="345.18"/>
    <n v="114.5"/>
    <n v="1995.5"/>
    <n v="329.82"/>
    <n v="64.52"/>
    <n v="546.08000000000004"/>
    <n v="817"/>
    <n v="989.38"/>
    <n v="6214.1900000000005"/>
    <n v="-172.38"/>
  </r>
  <r>
    <x v="7"/>
    <x v="1"/>
    <x v="0"/>
    <s v="2516200"/>
    <n v="718050"/>
    <s v="Document Shredding/Storage"/>
    <s v="WH-Pearl Place-OB/GYN"/>
    <x v="0"/>
    <n v="1012"/>
    <n v="0"/>
    <n v="0"/>
    <n v="360.2"/>
    <n v="180.1"/>
    <n v="48.96"/>
    <n v="136.75"/>
    <n v="135.38"/>
    <n v="334.78"/>
    <n v="211.94"/>
    <n v="-429.51"/>
    <n v="0"/>
    <n v="0"/>
    <n v="978.60000000000014"/>
    <n v="0"/>
  </r>
  <r>
    <x v="7"/>
    <x v="1"/>
    <x v="0"/>
    <s v="2516200"/>
    <n v="718050"/>
    <s v="Translation Services"/>
    <s v="WH-Pearl Place-OB/GYN"/>
    <x v="0"/>
    <n v="1025"/>
    <n v="0"/>
    <n v="0"/>
    <n v="296"/>
    <n v="0"/>
    <n v="0"/>
    <n v="0"/>
    <n v="0"/>
    <n v="0"/>
    <n v="0"/>
    <n v="0"/>
    <n v="0"/>
    <n v="0"/>
    <n v="296"/>
    <n v="0"/>
  </r>
  <r>
    <x v="7"/>
    <x v="1"/>
    <x v="0"/>
    <s v="2516200"/>
    <n v="718050"/>
    <s v="Contract Management--Linen"/>
    <s v="WH-Pearl Place-OB/GYN"/>
    <x v="0"/>
    <n v="1026"/>
    <n v="1193.03"/>
    <n v="738.95"/>
    <n v="1292.1600000000001"/>
    <n v="711.21"/>
    <n v="740.87"/>
    <n v="1731.44"/>
    <n v="1195.74"/>
    <n v="1188.33"/>
    <n v="959.07"/>
    <n v="958.59"/>
    <n v="0"/>
    <n v="1300.45"/>
    <n v="12009.84"/>
    <n v="-1300.45"/>
  </r>
  <r>
    <x v="7"/>
    <x v="1"/>
    <x v="0"/>
    <s v="2516200"/>
    <n v="718050"/>
    <s v="Purchased Srvcs--Medical Waste"/>
    <s v="WH-Pearl Place-OB/GYN"/>
    <x v="0"/>
    <n v="1027"/>
    <n v="0"/>
    <n v="34.89"/>
    <n v="0"/>
    <n v="46.18"/>
    <n v="0"/>
    <n v="115.12"/>
    <n v="67.08"/>
    <n v="79.88"/>
    <n v="0"/>
    <n v="57.56"/>
    <n v="0"/>
    <n v="0"/>
    <n v="400.71"/>
    <n v="0"/>
  </r>
  <r>
    <x v="7"/>
    <x v="1"/>
    <x v="0"/>
    <s v="2516200"/>
    <n v="718070"/>
    <s v="Contract Srvcs-CHI Clinical Engineering"/>
    <s v="WH-Pearl Place-OB/GYN"/>
    <x v="0"/>
    <m/>
    <n v="1156.0999999999999"/>
    <n v="1156.0999999999999"/>
    <n v="1425.6"/>
    <n v="0"/>
    <n v="0"/>
    <n v="716"/>
    <n v="0"/>
    <n v="0"/>
    <n v="0"/>
    <n v="0"/>
    <n v="0"/>
    <n v="0"/>
    <n v="4453.7999999999993"/>
    <n v="0"/>
  </r>
  <r>
    <x v="11"/>
    <x v="1"/>
    <x v="0"/>
    <s v="2516200"/>
    <n v="721010"/>
    <s v="Supplies-Medical - Billable"/>
    <s v="WH-Pearl Place-OB/GYN"/>
    <x v="0"/>
    <m/>
    <n v="0"/>
    <n v="43"/>
    <n v="0"/>
    <n v="0"/>
    <n v="0"/>
    <n v="0"/>
    <n v="0"/>
    <n v="0"/>
    <n v="0"/>
    <n v="0"/>
    <n v="0"/>
    <n v="-14"/>
    <n v="29"/>
    <n v="14"/>
  </r>
  <r>
    <x v="11"/>
    <x v="1"/>
    <x v="0"/>
    <s v="2516200"/>
    <n v="721410"/>
    <s v="Supplies-Medical - Nonbillable"/>
    <s v="WH-Pearl Place-OB/GYN"/>
    <x v="0"/>
    <m/>
    <n v="755.22"/>
    <n v="5043.6899999999996"/>
    <n v="1860.62"/>
    <n v="2456.34"/>
    <n v="2777.54"/>
    <n v="2428.7800000000002"/>
    <n v="0"/>
    <n v="2477.5100000000002"/>
    <n v="786.83"/>
    <n v="1091.4000000000001"/>
    <n v="0"/>
    <n v="5486.63"/>
    <n v="25164.560000000005"/>
    <n v="-5486.63"/>
  </r>
  <r>
    <x v="11"/>
    <x v="1"/>
    <x v="0"/>
    <s v="2516200"/>
    <n v="721835"/>
    <s v="Supplies-Forms"/>
    <s v="WH-Pearl Place-OB/GYN"/>
    <x v="0"/>
    <m/>
    <n v="0"/>
    <n v="0"/>
    <n v="0"/>
    <n v="0"/>
    <n v="0"/>
    <n v="0"/>
    <n v="0"/>
    <n v="0"/>
    <n v="0"/>
    <n v="0"/>
    <n v="0"/>
    <n v="85.4"/>
    <n v="85.4"/>
    <n v="-85.4"/>
  </r>
  <r>
    <x v="11"/>
    <x v="1"/>
    <x v="0"/>
    <s v="2516200"/>
    <n v="722000"/>
    <s v="Supplies-Freight Expense"/>
    <s v="WH-Pearl Place-OB/GYN"/>
    <x v="0"/>
    <m/>
    <n v="0"/>
    <n v="40.15"/>
    <n v="0"/>
    <n v="0"/>
    <n v="0"/>
    <n v="0"/>
    <n v="0"/>
    <n v="0"/>
    <n v="0"/>
    <n v="0"/>
    <n v="0"/>
    <n v="14"/>
    <n v="54.15"/>
    <n v="-14"/>
  </r>
  <r>
    <x v="13"/>
    <x v="1"/>
    <x v="0"/>
    <s v="2516200"/>
    <n v="735070"/>
    <s v="Depreciation-Movable Equipment"/>
    <s v="WH-Pearl Place-OB/GYN"/>
    <x v="0"/>
    <m/>
    <n v="228.98"/>
    <n v="228.98"/>
    <n v="228.98"/>
    <n v="228.98"/>
    <n v="228.98"/>
    <n v="228.98"/>
    <n v="228.99"/>
    <n v="228.98"/>
    <n v="228.99"/>
    <n v="228.98"/>
    <n v="228.99"/>
    <n v="228.98"/>
    <n v="2747.7900000000004"/>
    <n v="1.0000000000019327E-2"/>
  </r>
  <r>
    <x v="0"/>
    <x v="1"/>
    <x v="0"/>
    <s v="2516200"/>
    <n v="740022"/>
    <s v="Education-Physician"/>
    <s v="WH-Pearl Place-OB/GYN"/>
    <x v="0"/>
    <m/>
    <n v="0"/>
    <n v="0"/>
    <n v="395"/>
    <n v="0"/>
    <n v="0"/>
    <n v="0"/>
    <n v="0"/>
    <n v="0"/>
    <n v="0"/>
    <n v="0"/>
    <n v="0"/>
    <n v="0"/>
    <n v="395"/>
    <n v="0"/>
  </r>
  <r>
    <x v="0"/>
    <x v="1"/>
    <x v="0"/>
    <s v="2516200"/>
    <n v="740022"/>
    <s v="Education Travel-Physician"/>
    <s v="WH-Pearl Place-OB/GYN"/>
    <x v="0"/>
    <n v="2001"/>
    <n v="0"/>
    <n v="451.84"/>
    <n v="0"/>
    <n v="0"/>
    <n v="0"/>
    <n v="0"/>
    <n v="0"/>
    <n v="0"/>
    <n v="0"/>
    <n v="0"/>
    <n v="0"/>
    <n v="0"/>
    <n v="451.84"/>
    <n v="0"/>
  </r>
  <r>
    <x v="0"/>
    <x v="1"/>
    <x v="0"/>
    <s v="2516200"/>
    <n v="740023"/>
    <s v="Education-Advanced Practice Clinician"/>
    <s v="WH-Pearl Place-OB/GYN"/>
    <x v="0"/>
    <m/>
    <n v="0"/>
    <n v="0"/>
    <n v="585"/>
    <n v="0"/>
    <n v="0"/>
    <n v="0"/>
    <n v="0"/>
    <n v="0"/>
    <n v="0"/>
    <n v="0"/>
    <n v="0"/>
    <n v="2033.3"/>
    <n v="2618.3000000000002"/>
    <n v="-2033.3"/>
  </r>
  <r>
    <x v="0"/>
    <x v="1"/>
    <x v="0"/>
    <s v="2516200"/>
    <n v="740023"/>
    <s v="Books-Advanced Practice Clinician"/>
    <s v="WH-Pearl Place-OB/GYN"/>
    <x v="0"/>
    <n v="2000"/>
    <n v="0"/>
    <n v="0"/>
    <n v="60"/>
    <n v="0"/>
    <n v="0"/>
    <n v="0"/>
    <n v="0"/>
    <n v="0"/>
    <n v="0"/>
    <n v="0"/>
    <n v="0"/>
    <n v="0"/>
    <n v="60"/>
    <n v="0"/>
  </r>
  <r>
    <x v="8"/>
    <x v="1"/>
    <x v="0"/>
    <s v="2516200"/>
    <n v="741012"/>
    <s v="Physician Liab Insurance-CHI Program"/>
    <s v="WH-Pearl Place-OB/GYN"/>
    <x v="0"/>
    <m/>
    <n v="5873.5"/>
    <n v="5873.5"/>
    <n v="5873.5"/>
    <n v="5873.5"/>
    <n v="5873.5"/>
    <n v="5873.5"/>
    <n v="5873.5"/>
    <n v="5873.5"/>
    <n v="5873.5"/>
    <n v="5873.5"/>
    <n v="5873.5"/>
    <n v="5873.5"/>
    <n v="70482"/>
    <n v="0"/>
  </r>
  <r>
    <x v="0"/>
    <x v="1"/>
    <x v="0"/>
    <s v="2516200"/>
    <n v="742040"/>
    <s v="Freight-Other"/>
    <s v="WH-Pearl Place-OB/GYN"/>
    <x v="0"/>
    <m/>
    <n v="0"/>
    <n v="0"/>
    <n v="0"/>
    <n v="0"/>
    <n v="0"/>
    <n v="0"/>
    <n v="0"/>
    <n v="0"/>
    <n v="0"/>
    <n v="0"/>
    <n v="0"/>
    <n v="55.38"/>
    <n v="55.38"/>
    <n v="-55.38"/>
  </r>
  <r>
    <x v="0"/>
    <x v="1"/>
    <x v="0"/>
    <s v="2516200"/>
    <n v="743020"/>
    <s v="Provider-Dues"/>
    <s v="WH-Pearl Place-OB/GYN"/>
    <x v="0"/>
    <n v="2200"/>
    <n v="0"/>
    <n v="0"/>
    <n v="0"/>
    <n v="0"/>
    <n v="0"/>
    <n v="0"/>
    <n v="0"/>
    <n v="660"/>
    <n v="70"/>
    <n v="0"/>
    <n v="0"/>
    <n v="0"/>
    <n v="730"/>
    <n v="0"/>
  </r>
  <r>
    <x v="0"/>
    <x v="1"/>
    <x v="0"/>
    <s v="2516200"/>
    <n v="743022"/>
    <s v="Dues-Physician"/>
    <s v="WH-Pearl Place-OB/GYN"/>
    <x v="0"/>
    <m/>
    <n v="0"/>
    <n v="0"/>
    <n v="0"/>
    <n v="0"/>
    <n v="0"/>
    <n v="0"/>
    <n v="0"/>
    <n v="655"/>
    <n v="0"/>
    <n v="1065"/>
    <n v="0"/>
    <n v="0"/>
    <n v="1720"/>
    <n v="0"/>
  </r>
  <r>
    <x v="0"/>
    <x v="1"/>
    <x v="0"/>
    <s v="2516200"/>
    <n v="743023"/>
    <s v="Dues-Advanced Practice Clinician"/>
    <s v="WH-Pearl Place-OB/GYN"/>
    <x v="0"/>
    <m/>
    <n v="0"/>
    <n v="150"/>
    <n v="0"/>
    <n v="0"/>
    <n v="0"/>
    <n v="0"/>
    <n v="0"/>
    <n v="0"/>
    <n v="0"/>
    <n v="0"/>
    <n v="0"/>
    <n v="0"/>
    <n v="150"/>
    <n v="0"/>
  </r>
  <r>
    <x v="0"/>
    <x v="1"/>
    <x v="0"/>
    <s v="2516200"/>
    <n v="743030"/>
    <s v="Subscriptions--Institutional"/>
    <s v="WH-Pearl Place-OB/GYN"/>
    <x v="0"/>
    <m/>
    <n v="0"/>
    <n v="0"/>
    <n v="74.87"/>
    <n v="0"/>
    <n v="0"/>
    <n v="0"/>
    <n v="0"/>
    <n v="0"/>
    <n v="0"/>
    <n v="0"/>
    <n v="0"/>
    <n v="0"/>
    <n v="74.87"/>
    <n v="0"/>
  </r>
  <r>
    <x v="0"/>
    <x v="1"/>
    <x v="0"/>
    <s v="2516200"/>
    <n v="749510"/>
    <s v="Miscellaneous Expenses"/>
    <s v="WH-Pearl Place-OB/GYN"/>
    <x v="0"/>
    <m/>
    <n v="1248.3399999999999"/>
    <n v="-1207.96"/>
    <n v="1861.3"/>
    <n v="-1833.31"/>
    <n v="0"/>
    <n v="0"/>
    <n v="0"/>
    <n v="674.08"/>
    <n v="-674.08"/>
    <n v="0"/>
    <n v="2005.22"/>
    <n v="1189.72"/>
    <n v="3263.3100000000004"/>
    <n v="815.5"/>
  </r>
  <r>
    <x v="0"/>
    <x v="1"/>
    <x v="0"/>
    <s v="2516200"/>
    <n v="749512"/>
    <s v="Licenses-Physician"/>
    <s v="WH-Pearl Place-OB/GYN"/>
    <x v="0"/>
    <n v="2000"/>
    <n v="0"/>
    <n v="0"/>
    <n v="922"/>
    <n v="0"/>
    <n v="0"/>
    <n v="0"/>
    <n v="0"/>
    <n v="0"/>
    <n v="657"/>
    <n v="790"/>
    <n v="0"/>
    <n v="0"/>
    <n v="2369"/>
    <n v="0"/>
  </r>
  <r>
    <x v="0"/>
    <x v="1"/>
    <x v="0"/>
    <s v="2516200"/>
    <n v="749513"/>
    <s v="Licenses-Advanced Practice Clinician"/>
    <s v="WH-Pearl Place-OB/GYN"/>
    <x v="0"/>
    <n v="2000"/>
    <n v="0"/>
    <n v="0"/>
    <n v="0"/>
    <n v="245"/>
    <n v="731"/>
    <n v="0"/>
    <n v="0"/>
    <n v="472"/>
    <n v="0"/>
    <n v="0"/>
    <n v="0"/>
    <n v="70"/>
    <n v="1518"/>
    <n v="-70"/>
  </r>
  <r>
    <x v="0"/>
    <x v="1"/>
    <x v="0"/>
    <s v="2516200"/>
    <n v="749530"/>
    <s v="Travel"/>
    <s v="WH-Pearl Place-OB/GYN"/>
    <x v="0"/>
    <m/>
    <n v="0"/>
    <n v="0"/>
    <n v="20"/>
    <n v="0"/>
    <n v="10"/>
    <n v="12"/>
    <n v="18"/>
    <n v="18"/>
    <n v="40"/>
    <n v="0"/>
    <n v="0"/>
    <n v="0"/>
    <n v="118"/>
    <n v="0"/>
  </r>
  <r>
    <x v="0"/>
    <x v="1"/>
    <x v="0"/>
    <s v="2516200"/>
    <n v="749530"/>
    <s v="Mileage"/>
    <s v="WH-Pearl Place-OB/GYN"/>
    <x v="0"/>
    <n v="1001"/>
    <n v="0"/>
    <n v="9.81"/>
    <n v="45.8"/>
    <n v="0"/>
    <n v="61.07"/>
    <n v="13.63"/>
    <n v="0"/>
    <n v="0"/>
    <n v="96.28"/>
    <n v="10.44"/>
    <n v="0"/>
    <n v="5.22"/>
    <n v="242.25"/>
    <n v="-5.22"/>
  </r>
  <r>
    <x v="0"/>
    <x v="1"/>
    <x v="0"/>
    <s v="2516200"/>
    <n v="749532"/>
    <s v="Travel-Physician"/>
    <s v="WH-Pearl Place-OB/GYN"/>
    <x v="0"/>
    <m/>
    <n v="0"/>
    <n v="809.58"/>
    <n v="0"/>
    <n v="0"/>
    <n v="0"/>
    <n v="0"/>
    <n v="0"/>
    <n v="0"/>
    <n v="0"/>
    <n v="0"/>
    <n v="0"/>
    <n v="0"/>
    <n v="809.58"/>
    <n v="0"/>
  </r>
  <r>
    <x v="0"/>
    <x v="1"/>
    <x v="0"/>
    <s v="2516200"/>
    <n v="749533"/>
    <s v="Travel-Advanced Practice Clinician"/>
    <s v="WH-Pearl Place-OB/GYN"/>
    <x v="0"/>
    <m/>
    <n v="0"/>
    <n v="0"/>
    <n v="986"/>
    <n v="0"/>
    <n v="0"/>
    <n v="0"/>
    <n v="0"/>
    <n v="0"/>
    <n v="429"/>
    <n v="0"/>
    <n v="0"/>
    <n v="1741.7"/>
    <n v="3156.7"/>
    <n v="-1741.7"/>
  </r>
  <r>
    <x v="0"/>
    <x v="1"/>
    <x v="0"/>
    <s v="2516200"/>
    <n v="749535"/>
    <s v="Meetings"/>
    <s v="WH-Pearl Place-OB/GYN"/>
    <x v="0"/>
    <m/>
    <n v="0"/>
    <n v="0"/>
    <n v="0"/>
    <n v="0"/>
    <n v="0"/>
    <n v="0"/>
    <n v="0"/>
    <n v="0"/>
    <n v="108.8"/>
    <n v="0"/>
    <n v="0"/>
    <n v="0"/>
    <n v="108.8"/>
    <n v="0"/>
  </r>
  <r>
    <x v="5"/>
    <x v="1"/>
    <x v="0"/>
    <s v="2517200"/>
    <n v="700034"/>
    <s v="Salaries-Tech/Professional-Productive"/>
    <s v="WH-Pearl Place-Ultrasound"/>
    <x v="0"/>
    <m/>
    <n v="6551.99"/>
    <n v="5774.3"/>
    <n v="6919.25"/>
    <n v="6266.41"/>
    <n v="5571.2"/>
    <n v="4251.1499999999996"/>
    <n v="6282.24"/>
    <n v="4057.02"/>
    <n v="5506.48"/>
    <n v="5968.42"/>
    <n v="4649.04"/>
    <n v="4918.3599999999997"/>
    <n v="66715.859999999986"/>
    <n v="-269.31999999999971"/>
  </r>
  <r>
    <x v="5"/>
    <x v="1"/>
    <x v="0"/>
    <s v="2517200"/>
    <n v="700034"/>
    <s v="Salaries-Tech/Professional-OT"/>
    <s v="WH-Pearl Place-Ultrasound"/>
    <x v="0"/>
    <n v="1000"/>
    <n v="0"/>
    <n v="0"/>
    <n v="0"/>
    <n v="0"/>
    <n v="0"/>
    <n v="0"/>
    <n v="0"/>
    <n v="0"/>
    <n v="0"/>
    <n v="0"/>
    <n v="0"/>
    <n v="97.58"/>
    <n v="97.58"/>
    <n v="-97.58"/>
  </r>
  <r>
    <x v="5"/>
    <x v="1"/>
    <x v="0"/>
    <s v="2517200"/>
    <n v="700074"/>
    <s v="Salaries-Tech/Professional-Non-productive"/>
    <s v="WH-Pearl Place-Ultrasound"/>
    <x v="0"/>
    <m/>
    <n v="1463.9"/>
    <n v="1280.92"/>
    <n v="457.47"/>
    <n v="1683.82"/>
    <n v="-748.36"/>
    <n v="2993.46"/>
    <n v="937.1"/>
    <n v="2027.2"/>
    <n v="843.15"/>
    <n v="-468.41"/>
    <n v="4215.7299999999996"/>
    <n v="-468.41"/>
    <n v="14217.57"/>
    <n v="4684.1399999999994"/>
  </r>
  <r>
    <x v="5"/>
    <x v="1"/>
    <x v="0"/>
    <s v="2517200"/>
    <n v="700074"/>
    <s v="Salaries-Tech/Professional-NonProd-Other"/>
    <s v="WH-Pearl Place-Ultrasound"/>
    <x v="0"/>
    <n v="2000"/>
    <n v="0"/>
    <n v="0"/>
    <n v="0"/>
    <n v="0"/>
    <n v="343.57"/>
    <n v="0"/>
    <n v="0"/>
    <n v="-343.57"/>
    <n v="0"/>
    <n v="0"/>
    <n v="0"/>
    <n v="0"/>
    <n v="0"/>
    <n v="0"/>
  </r>
  <r>
    <x v="5"/>
    <x v="1"/>
    <x v="0"/>
    <s v="2517200"/>
    <n v="700084"/>
    <s v="Accrued PTO"/>
    <s v="WH-Pearl Place-Ultrasound"/>
    <x v="0"/>
    <m/>
    <n v="-190.35"/>
    <n v="-415.28"/>
    <n v="491.53"/>
    <n v="211.25"/>
    <n v="969.76"/>
    <n v="-726.54"/>
    <n v="187.1"/>
    <n v="-413.69"/>
    <n v="188.66"/>
    <n v="1124.6300000000001"/>
    <n v="-1219.74"/>
    <n v="297.79000000000002"/>
    <n v="505.12000000000018"/>
    <n v="-1517.53"/>
  </r>
  <r>
    <x v="6"/>
    <x v="1"/>
    <x v="0"/>
    <s v="2517200"/>
    <n v="713010"/>
    <s v="Benefits-FICA/Medicare"/>
    <s v="WH-Pearl Place-Ultrasound"/>
    <x v="0"/>
    <m/>
    <n v="577.66"/>
    <n v="508.01"/>
    <n v="530.19000000000005"/>
    <n v="574.72"/>
    <n v="425.23"/>
    <n v="496.15"/>
    <n v="520"/>
    <n v="438.64"/>
    <n v="457.09"/>
    <n v="394.34"/>
    <n v="638.94000000000005"/>
    <n v="328.17"/>
    <n v="5889.1399999999994"/>
    <n v="310.77000000000004"/>
  </r>
  <r>
    <x v="6"/>
    <x v="1"/>
    <x v="0"/>
    <s v="2517200"/>
    <n v="713090"/>
    <s v="Benefits-Allocated Amounts"/>
    <s v="WH-Pearl Place-Ultrasound"/>
    <x v="0"/>
    <m/>
    <n v="1140.2"/>
    <n v="899.82"/>
    <n v="1079.58"/>
    <n v="1077.9000000000001"/>
    <n v="790.9"/>
    <n v="1053.27"/>
    <n v="1005.75"/>
    <n v="1111.17"/>
    <n v="1071.2"/>
    <n v="891.16"/>
    <n v="1076.25"/>
    <n v="1061.45"/>
    <n v="12258.650000000001"/>
    <n v="14.799999999999955"/>
  </r>
  <r>
    <x v="0"/>
    <x v="1"/>
    <x v="0"/>
    <s v="2517200"/>
    <n v="749510"/>
    <s v="Miscellaneous Expenses"/>
    <s v="WH-Pearl Place-Ultrasound"/>
    <x v="0"/>
    <m/>
    <n v="0"/>
    <n v="0"/>
    <n v="0"/>
    <n v="0"/>
    <n v="42.51"/>
    <n v="-42.51"/>
    <n v="34.799999999999997"/>
    <n v="-3.48"/>
    <n v="14.12"/>
    <n v="-3.68"/>
    <n v="-41.76"/>
    <n v="41.76"/>
    <n v="41.76"/>
    <n v="-83.52"/>
  </r>
  <r>
    <x v="0"/>
    <x v="1"/>
    <x v="0"/>
    <s v="2517200"/>
    <n v="749530"/>
    <s v="Travel"/>
    <s v="WH-Pearl Place-Ultrasound"/>
    <x v="0"/>
    <m/>
    <n v="0"/>
    <n v="0"/>
    <n v="12"/>
    <n v="0"/>
    <n v="12"/>
    <n v="0"/>
    <n v="0"/>
    <n v="0"/>
    <n v="0"/>
    <n v="6"/>
    <n v="0"/>
    <n v="0"/>
    <n v="30"/>
    <n v="0"/>
  </r>
  <r>
    <x v="0"/>
    <x v="1"/>
    <x v="0"/>
    <s v="2517200"/>
    <n v="749530"/>
    <s v="Mileage"/>
    <s v="WH-Pearl Place-Ultrasound"/>
    <x v="0"/>
    <n v="1001"/>
    <n v="0"/>
    <n v="0"/>
    <n v="33.81"/>
    <n v="0"/>
    <n v="59.96"/>
    <n v="62.13"/>
    <n v="0"/>
    <n v="34.799999999999997"/>
    <n v="31.32"/>
    <n v="39.44"/>
    <n v="41.76"/>
    <n v="31.32"/>
    <n v="334.53999999999996"/>
    <n v="10.439999999999998"/>
  </r>
  <r>
    <x v="1"/>
    <x v="1"/>
    <x v="0"/>
    <s v="2520200"/>
    <n v="400029"/>
    <s v="MD Practice Other Rev--Medicare"/>
    <s v="GYN-Federal Way-Gen Surg"/>
    <x v="0"/>
    <n v="1100"/>
    <n v="-567"/>
    <n v="-315"/>
    <n v="-532"/>
    <n v="-352"/>
    <n v="-315"/>
    <n v="-171"/>
    <n v="-495"/>
    <n v="-592"/>
    <n v="-345"/>
    <n v="-270"/>
    <n v="-849"/>
    <n v="-525"/>
    <n v="-5328"/>
    <n v="-324"/>
  </r>
  <r>
    <x v="1"/>
    <x v="1"/>
    <x v="0"/>
    <s v="2520200"/>
    <n v="400029"/>
    <s v="MD Practice Other Rev--Medicaid"/>
    <s v="GYN-Federal Way-Gen Surg"/>
    <x v="0"/>
    <n v="1200"/>
    <n v="-260"/>
    <n v="-320"/>
    <n v="-311"/>
    <n v="-581"/>
    <n v="-128"/>
    <n v="-317"/>
    <n v="-215"/>
    <n v="-320"/>
    <n v="-208"/>
    <n v="-253"/>
    <n v="-521"/>
    <n v="-333"/>
    <n v="-3767"/>
    <n v="-188"/>
  </r>
  <r>
    <x v="1"/>
    <x v="1"/>
    <x v="0"/>
    <s v="2520200"/>
    <n v="400029"/>
    <s v="MD Practice Other Rev--Comm Insurance"/>
    <s v="GYN-Federal Way-Gen Surg"/>
    <x v="0"/>
    <n v="1300"/>
    <n v="-24"/>
    <n v="-34"/>
    <n v="-24"/>
    <n v="-24"/>
    <n v="0"/>
    <n v="-10"/>
    <n v="-40"/>
    <n v="-16"/>
    <n v="-10"/>
    <n v="-30"/>
    <n v="-50"/>
    <n v="-80"/>
    <n v="-342"/>
    <n v="30"/>
  </r>
  <r>
    <x v="1"/>
    <x v="1"/>
    <x v="0"/>
    <s v="2520200"/>
    <n v="400029"/>
    <s v="MD Practice Other Rev--BCBS Comm"/>
    <s v="GYN-Federal Way-Gen Surg"/>
    <x v="0"/>
    <n v="1301"/>
    <n v="-52"/>
    <n v="-64"/>
    <n v="-80"/>
    <n v="-70"/>
    <n v="-166"/>
    <n v="-44"/>
    <n v="-84"/>
    <n v="-106"/>
    <n v="-166"/>
    <n v="-40"/>
    <n v="-168"/>
    <n v="-138"/>
    <n v="-1178"/>
    <n v="-30"/>
  </r>
  <r>
    <x v="1"/>
    <x v="1"/>
    <x v="0"/>
    <s v="2520200"/>
    <n v="400029"/>
    <s v="MD Practice Other Rev--Managed Care"/>
    <s v="GYN-Federal Way-Gen Surg"/>
    <x v="0"/>
    <n v="1400"/>
    <n v="-561"/>
    <n v="-506"/>
    <n v="-677"/>
    <n v="-588"/>
    <n v="-876"/>
    <n v="-484"/>
    <n v="-453"/>
    <n v="-343"/>
    <n v="-504"/>
    <n v="-320"/>
    <n v="-421"/>
    <n v="-496"/>
    <n v="-6229"/>
    <n v="75"/>
  </r>
  <r>
    <x v="1"/>
    <x v="1"/>
    <x v="0"/>
    <s v="2520200"/>
    <n v="400029"/>
    <s v="MD Practice Other Rev--Self Pay"/>
    <s v="GYN-Federal Way-Gen Surg"/>
    <x v="0"/>
    <n v="1500"/>
    <n v="-20"/>
    <n v="0"/>
    <n v="-24"/>
    <n v="-10"/>
    <n v="-10"/>
    <n v="-10"/>
    <n v="0"/>
    <n v="-20"/>
    <n v="0"/>
    <n v="-20"/>
    <n v="0"/>
    <n v="-10"/>
    <n v="-124"/>
    <n v="10"/>
  </r>
  <r>
    <x v="1"/>
    <x v="1"/>
    <x v="0"/>
    <s v="2520200"/>
    <n v="400029"/>
    <s v="MD Practice Other Rev--Other"/>
    <s v="GYN-Federal Way-Gen Surg"/>
    <x v="0"/>
    <n v="1700"/>
    <n v="-16"/>
    <n v="-30"/>
    <n v="0"/>
    <n v="-20"/>
    <n v="-30"/>
    <n v="0"/>
    <n v="0"/>
    <n v="-40"/>
    <n v="0"/>
    <n v="0"/>
    <n v="-10"/>
    <n v="-20"/>
    <n v="-166"/>
    <n v="10"/>
  </r>
  <r>
    <x v="1"/>
    <x v="1"/>
    <x v="0"/>
    <s v="2520200"/>
    <n v="400040"/>
    <s v="Physician Svcs Rev--Medicare"/>
    <s v="GYN-Federal Way-Gen Surg"/>
    <x v="0"/>
    <n v="1100"/>
    <n v="-93159"/>
    <n v="-87021"/>
    <n v="-64665"/>
    <n v="-104277"/>
    <n v="-109510"/>
    <n v="-65460"/>
    <n v="-113159"/>
    <n v="-51625"/>
    <n v="-91500"/>
    <n v="-89250"/>
    <n v="-145089.79999999999"/>
    <n v="-57654"/>
    <n v="-1072369.8"/>
    <n v="-87435.799999999988"/>
  </r>
  <r>
    <x v="1"/>
    <x v="1"/>
    <x v="0"/>
    <s v="2520200"/>
    <n v="400040"/>
    <s v="Physician Svcs Rev--Medicaid"/>
    <s v="GYN-Federal Way-Gen Surg"/>
    <x v="0"/>
    <n v="1200"/>
    <n v="-38623"/>
    <n v="-40616"/>
    <n v="-37862"/>
    <n v="-48382"/>
    <n v="-45493"/>
    <n v="-59239"/>
    <n v="-73860"/>
    <n v="-16142"/>
    <n v="-36588"/>
    <n v="-33612"/>
    <n v="-41245"/>
    <n v="-19814"/>
    <n v="-491476"/>
    <n v="-21431"/>
  </r>
  <r>
    <x v="1"/>
    <x v="1"/>
    <x v="0"/>
    <s v="2520200"/>
    <n v="400040"/>
    <s v="Physician Svcs Rev--Comm Insurance"/>
    <s v="GYN-Federal Way-Gen Surg"/>
    <x v="0"/>
    <n v="1300"/>
    <n v="-12664"/>
    <n v="-5733"/>
    <n v="-1821"/>
    <n v="-1701"/>
    <n v="-5200"/>
    <n v="-1562"/>
    <n v="-1913"/>
    <n v="-4017"/>
    <n v="-3927"/>
    <n v="-5458"/>
    <n v="-4857"/>
    <n v="-27470"/>
    <n v="-76323"/>
    <n v="22613"/>
  </r>
  <r>
    <x v="1"/>
    <x v="1"/>
    <x v="0"/>
    <s v="2520200"/>
    <n v="400040"/>
    <s v="Physician Svcs Rev--BCBS Comm"/>
    <s v="GYN-Federal Way-Gen Surg"/>
    <x v="0"/>
    <n v="1301"/>
    <n v="-18634"/>
    <n v="-16723"/>
    <n v="-13893"/>
    <n v="-15338"/>
    <n v="-26310"/>
    <n v="-17085"/>
    <n v="-15435"/>
    <n v="-14550"/>
    <n v="-27352"/>
    <n v="-33724"/>
    <n v="-23447"/>
    <n v="-34417"/>
    <n v="-256908"/>
    <n v="10970"/>
  </r>
  <r>
    <x v="1"/>
    <x v="1"/>
    <x v="0"/>
    <s v="2520200"/>
    <n v="400040"/>
    <s v="Physician Svcs Rev--Managed Care"/>
    <s v="GYN-Federal Way-Gen Surg"/>
    <x v="0"/>
    <n v="1400"/>
    <n v="-89125.5"/>
    <n v="-121190.91"/>
    <n v="-99521"/>
    <n v="-108635"/>
    <n v="-69287.5"/>
    <n v="-99523"/>
    <n v="-109922"/>
    <n v="-105667"/>
    <n v="-127057.60000000001"/>
    <n v="-76350"/>
    <n v="-51612"/>
    <n v="-81258"/>
    <n v="-1139149.51"/>
    <n v="29646"/>
  </r>
  <r>
    <x v="1"/>
    <x v="1"/>
    <x v="0"/>
    <s v="2520200"/>
    <n v="400040"/>
    <s v="Physician Svcs Rev--Self Pay"/>
    <s v="GYN-Federal Way-Gen Surg"/>
    <x v="0"/>
    <n v="1500"/>
    <n v="-5148"/>
    <n v="-513"/>
    <n v="-706"/>
    <n v="-2893"/>
    <n v="-1883"/>
    <n v="-1340"/>
    <n v="-1526"/>
    <n v="-2019"/>
    <n v="-521"/>
    <n v="-2465"/>
    <n v="-1221"/>
    <n v="-4021"/>
    <n v="-24256"/>
    <n v="2800"/>
  </r>
  <r>
    <x v="1"/>
    <x v="1"/>
    <x v="0"/>
    <s v="2520200"/>
    <n v="400040"/>
    <s v="Physician Svcs Rev--Other"/>
    <s v="GYN-Federal Way-Gen Surg"/>
    <x v="0"/>
    <n v="1700"/>
    <n v="-15875"/>
    <n v="-5490"/>
    <n v="-794"/>
    <n v="-3635"/>
    <n v="-4157"/>
    <n v="-3165"/>
    <n v="-650"/>
    <n v="-3714"/>
    <n v="-798"/>
    <n v="-9346"/>
    <n v="-1032"/>
    <n v="-3085"/>
    <n v="-51741"/>
    <n v="2053"/>
  </r>
  <r>
    <x v="2"/>
    <x v="1"/>
    <x v="0"/>
    <s v="2520200"/>
    <n v="450029"/>
    <s v="Contr Allow--MD Other-Medicare"/>
    <s v="GYN-Federal Way-Gen Surg"/>
    <x v="0"/>
    <n v="1100"/>
    <n v="283.27"/>
    <n v="486.77"/>
    <n v="312.08"/>
    <n v="240.06"/>
    <n v="298.41000000000003"/>
    <n v="144.47"/>
    <n v="228.2"/>
    <n v="343.08"/>
    <n v="191.06"/>
    <n v="167.06"/>
    <n v="170.04"/>
    <n v="641.02"/>
    <n v="3505.52"/>
    <n v="-470.98"/>
  </r>
  <r>
    <x v="2"/>
    <x v="1"/>
    <x v="0"/>
    <s v="2520200"/>
    <n v="450029"/>
    <s v="Contr Allow--MD Other-Medicaid"/>
    <s v="GYN-Federal Way-Gen Surg"/>
    <x v="0"/>
    <n v="1200"/>
    <n v="231.77"/>
    <n v="147.68"/>
    <n v="285.24"/>
    <n v="246.3"/>
    <n v="341.44"/>
    <n v="146.94"/>
    <n v="199.62"/>
    <n v="141.54"/>
    <n v="220.86"/>
    <n v="133.59"/>
    <n v="170.84"/>
    <n v="434.31"/>
    <n v="2700.1300000000006"/>
    <n v="-263.47000000000003"/>
  </r>
  <r>
    <x v="2"/>
    <x v="1"/>
    <x v="0"/>
    <s v="2520200"/>
    <n v="450029"/>
    <s v="Contr Allow--MD Other-Comm Insurance"/>
    <s v="GYN-Federal Way-Gen Surg"/>
    <x v="0"/>
    <n v="1300"/>
    <n v="0"/>
    <n v="9.02"/>
    <n v="16.16"/>
    <n v="26.95"/>
    <n v="0"/>
    <n v="0"/>
    <n v="3.74"/>
    <n v="19.54"/>
    <n v="3.74"/>
    <n v="3.87"/>
    <n v="28.62"/>
    <n v="25.81"/>
    <n v="137.44999999999999"/>
    <n v="2.8100000000000023"/>
  </r>
  <r>
    <x v="2"/>
    <x v="1"/>
    <x v="0"/>
    <s v="2520200"/>
    <n v="450029"/>
    <s v="Contr Allow--MD Other BCBS Comm"/>
    <s v="GYN-Federal Way-Gen Surg"/>
    <x v="0"/>
    <n v="1301"/>
    <n v="0.63"/>
    <n v="83.94"/>
    <n v="23.14"/>
    <n v="44.85"/>
    <n v="65.760000000000005"/>
    <n v="68.06"/>
    <n v="38.33"/>
    <n v="44.83"/>
    <n v="119.39"/>
    <n v="63.66"/>
    <n v="61.47"/>
    <n v="133.63"/>
    <n v="747.68999999999994"/>
    <n v="-72.16"/>
  </r>
  <r>
    <x v="2"/>
    <x v="1"/>
    <x v="0"/>
    <s v="2520200"/>
    <n v="450029"/>
    <s v="Contr Allow--MD Other-Managed Care"/>
    <s v="GYN-Federal Way-Gen Surg"/>
    <x v="0"/>
    <n v="1400"/>
    <n v="382.44"/>
    <n v="270.44"/>
    <n v="308.61"/>
    <n v="232.23"/>
    <n v="665.23"/>
    <n v="194.57"/>
    <n v="260.3"/>
    <n v="255.18"/>
    <n v="267.27"/>
    <n v="312.08999999999997"/>
    <n v="152.61000000000001"/>
    <n v="338.58"/>
    <n v="3639.55"/>
    <n v="-185.96999999999997"/>
  </r>
  <r>
    <x v="2"/>
    <x v="1"/>
    <x v="0"/>
    <s v="2520200"/>
    <n v="450029"/>
    <s v="Admin Adjust-MD Other-Self Pay"/>
    <s v="GYN-Federal Way-Gen Surg"/>
    <x v="0"/>
    <n v="1600"/>
    <n v="70.209999999999994"/>
    <n v="80.260000000000005"/>
    <n v="49.34"/>
    <n v="45.67"/>
    <n v="37.26"/>
    <n v="29.81"/>
    <n v="9.89"/>
    <n v="20.239999999999998"/>
    <n v="-8.98"/>
    <n v="1.07"/>
    <n v="-7.63"/>
    <n v="3.31"/>
    <n v="330.45"/>
    <n v="-10.94"/>
  </r>
  <r>
    <x v="2"/>
    <x v="1"/>
    <x v="0"/>
    <s v="2520200"/>
    <n v="450029"/>
    <s v="Contr Allow--MD Other-Other"/>
    <s v="GYN-Federal Way-Gen Surg"/>
    <x v="0"/>
    <n v="1700"/>
    <n v="14.34"/>
    <n v="25.66"/>
    <n v="10"/>
    <n v="11.53"/>
    <n v="7.19"/>
    <n v="14.34"/>
    <n v="10"/>
    <n v="0"/>
    <n v="0"/>
    <n v="14.34"/>
    <n v="0"/>
    <n v="20"/>
    <n v="127.4"/>
    <n v="-20"/>
  </r>
  <r>
    <x v="2"/>
    <x v="1"/>
    <x v="0"/>
    <s v="2520200"/>
    <n v="450040"/>
    <s v="Contr Allow--Phys Svcs--Mcare"/>
    <s v="GYN-Federal Way-Gen Surg"/>
    <x v="0"/>
    <n v="1100"/>
    <n v="42828.31"/>
    <n v="95430.58"/>
    <n v="58892.79"/>
    <n v="40700.26"/>
    <n v="114312.6"/>
    <n v="30831.19"/>
    <n v="54011.95"/>
    <n v="65890.17"/>
    <n v="50556.34"/>
    <n v="50244.65"/>
    <n v="84042.37"/>
    <n v="60058.3"/>
    <n v="747799.51000000013"/>
    <n v="23984.069999999992"/>
  </r>
  <r>
    <x v="2"/>
    <x v="1"/>
    <x v="0"/>
    <s v="2520200"/>
    <n v="450040"/>
    <s v="Contr Allow--Phys Svcs--Mcaid"/>
    <s v="GYN-Federal Way-Gen Surg"/>
    <x v="0"/>
    <n v="1200"/>
    <n v="53816.92"/>
    <n v="42962.85"/>
    <n v="21704.05"/>
    <n v="31621.34"/>
    <n v="48717.7"/>
    <n v="16219"/>
    <n v="47704.29"/>
    <n v="41706.879999999997"/>
    <n v="43765.5"/>
    <n v="20685.509999999998"/>
    <n v="27358.16"/>
    <n v="27119.24"/>
    <n v="423381.43999999994"/>
    <n v="238.91999999999825"/>
  </r>
  <r>
    <x v="2"/>
    <x v="1"/>
    <x v="0"/>
    <s v="2520200"/>
    <n v="450040"/>
    <s v="Contr Allow--Phys Svcs--Comm Insurance"/>
    <s v="GYN-Federal Way-Gen Surg"/>
    <x v="0"/>
    <n v="1300"/>
    <n v="234.32"/>
    <n v="7534.3"/>
    <n v="1226.2"/>
    <n v="452.65"/>
    <n v="362.99"/>
    <n v="666.7"/>
    <n v="478.01"/>
    <n v="1076.8900000000001"/>
    <n v="1666.75"/>
    <n v="1123.96"/>
    <n v="312.17"/>
    <n v="5874.97"/>
    <n v="21009.91"/>
    <n v="-5562.8"/>
  </r>
  <r>
    <x v="2"/>
    <x v="1"/>
    <x v="0"/>
    <s v="2520200"/>
    <n v="450040"/>
    <s v="Contr Allow--Phys Svcs--BCBS Comm Ins"/>
    <s v="GYN-Federal Way-Gen Surg"/>
    <x v="0"/>
    <n v="1301"/>
    <n v="15681.68"/>
    <n v="6641.35"/>
    <n v="4898.54"/>
    <n v="3101.35"/>
    <n v="5722.54"/>
    <n v="2531.77"/>
    <n v="8057.57"/>
    <n v="3243.13"/>
    <n v="9297.3799999999992"/>
    <n v="7302.98"/>
    <n v="6596.53"/>
    <n v="4609.25"/>
    <n v="77684.069999999992"/>
    <n v="1987.2799999999997"/>
  </r>
  <r>
    <x v="2"/>
    <x v="1"/>
    <x v="0"/>
    <s v="2520200"/>
    <n v="450040"/>
    <s v="Contr Allow--Phys Svcs--Managed Care"/>
    <s v="GYN-Federal Way-Gen Surg"/>
    <x v="0"/>
    <n v="1400"/>
    <n v="41161.22"/>
    <n v="58518.03"/>
    <n v="12296.54"/>
    <n v="37654.61"/>
    <n v="66416.39"/>
    <n v="27125.119999999999"/>
    <n v="36644.239999999998"/>
    <n v="47011.61"/>
    <n v="60938.39"/>
    <n v="29851.61"/>
    <n v="50698.39"/>
    <n v="27794.560000000001"/>
    <n v="496110.71"/>
    <n v="22903.829999999998"/>
  </r>
  <r>
    <x v="2"/>
    <x v="1"/>
    <x v="0"/>
    <s v="2520200"/>
    <n v="450040"/>
    <s v="Contr Allow--Phys Svcs--BCBS Mgnd Care"/>
    <s v="GYN-Federal Way-Gen Surg"/>
    <x v="0"/>
    <n v="1401"/>
    <n v="1668"/>
    <n v="-58386.73"/>
    <n v="17134.88"/>
    <n v="32973.61"/>
    <n v="-68690.66"/>
    <n v="47944.25"/>
    <n v="37904.25"/>
    <n v="-26714.06"/>
    <n v="-6249.1"/>
    <n v="26884.27"/>
    <n v="-5989.54"/>
    <n v="-4477.8900000000003"/>
    <n v="-5998.7200000000121"/>
    <n v="-1511.6499999999996"/>
  </r>
  <r>
    <x v="2"/>
    <x v="1"/>
    <x v="0"/>
    <s v="2520200"/>
    <n v="450040"/>
    <s v="Admin Adjust-Phys Svcs-Self Pay"/>
    <s v="GYN-Federal Way-Gen Surg"/>
    <x v="0"/>
    <n v="1600"/>
    <n v="2220.98"/>
    <n v="16336.94"/>
    <n v="647.61"/>
    <n v="2046.67"/>
    <n v="917.91"/>
    <n v="1753.87"/>
    <n v="551.20000000000005"/>
    <n v="987.81"/>
    <n v="818.21"/>
    <n v="1185.5899999999999"/>
    <n v="619.62"/>
    <n v="1732.61"/>
    <n v="29819.020000000004"/>
    <n v="-1112.9899999999998"/>
  </r>
  <r>
    <x v="2"/>
    <x v="1"/>
    <x v="0"/>
    <s v="2520200"/>
    <n v="450040"/>
    <s v="Contr Allow--Phys Svcs--Other"/>
    <s v="GYN-Federal Way-Gen Surg"/>
    <x v="0"/>
    <n v="1700"/>
    <n v="6133.99"/>
    <n v="18094.62"/>
    <n v="445.63"/>
    <n v="3346.97"/>
    <n v="1920.06"/>
    <n v="2714.12"/>
    <n v="3392.41"/>
    <n v="461.45"/>
    <n v="454.69"/>
    <n v="1364.17"/>
    <n v="568.25"/>
    <n v="677.74"/>
    <n v="39574.1"/>
    <n v="-109.49000000000001"/>
  </r>
  <r>
    <x v="3"/>
    <x v="1"/>
    <x v="0"/>
    <s v="2520200"/>
    <n v="470040"/>
    <s v="Charity Care-Physician Svcs"/>
    <s v="GYN-Federal Way-Gen Surg"/>
    <x v="0"/>
    <m/>
    <n v="-112.57"/>
    <n v="507.07"/>
    <n v="99.9"/>
    <n v="1301.93"/>
    <n v="1273.02"/>
    <n v="1241.18"/>
    <n v="1446.79"/>
    <n v="3598.44"/>
    <n v="1884.64"/>
    <n v="1506.11"/>
    <n v="-1178.02"/>
    <n v="4259.07"/>
    <n v="15827.56"/>
    <n v="-5437.09"/>
  </r>
  <r>
    <x v="4"/>
    <x v="1"/>
    <x v="0"/>
    <s v="2520200"/>
    <n v="490010"/>
    <s v="Provision for Bad Debts"/>
    <s v="GYN-Federal Way-Gen Surg"/>
    <x v="0"/>
    <m/>
    <n v="2993.86"/>
    <n v="-7144.84"/>
    <n v="7637.29"/>
    <n v="3529.85"/>
    <n v="-3895.28"/>
    <n v="10549.65"/>
    <n v="1523.08"/>
    <n v="-7202.47"/>
    <n v="17"/>
    <n v="2916.8"/>
    <n v="487.21"/>
    <n v="-848.76"/>
    <n v="10563.389999999998"/>
    <n v="1335.97"/>
  </r>
  <r>
    <x v="5"/>
    <x v="1"/>
    <x v="0"/>
    <s v="2520200"/>
    <n v="700022"/>
    <s v="Salaries-Physician-Productive"/>
    <s v="GYN-Federal Way-Gen Surg"/>
    <x v="0"/>
    <m/>
    <n v="57156.23"/>
    <n v="61306.62"/>
    <n v="47621.120000000003"/>
    <n v="62682.16"/>
    <n v="58482.32"/>
    <n v="44356.36"/>
    <n v="55843.24"/>
    <n v="51073.98"/>
    <n v="51799.75"/>
    <n v="43646.97"/>
    <n v="57101.68"/>
    <n v="39576.07"/>
    <n v="630646.5"/>
    <n v="17525.61"/>
  </r>
  <r>
    <x v="5"/>
    <x v="1"/>
    <x v="0"/>
    <s v="2520200"/>
    <n v="700024"/>
    <s v="Salaries-Advanced Practice Clinician-Productive"/>
    <s v="GYN-Federal Way-Gen Surg"/>
    <x v="0"/>
    <m/>
    <n v="5816.96"/>
    <n v="10208.4"/>
    <n v="8082.24"/>
    <n v="8082.24"/>
    <n v="9409.1200000000008"/>
    <n v="8465.18"/>
    <n v="7939.92"/>
    <n v="8414.24"/>
    <n v="7382.49"/>
    <n v="8496.7999999999993"/>
    <n v="9416.9599999999991"/>
    <n v="6802.76"/>
    <n v="98517.310000000012"/>
    <n v="2614.1999999999989"/>
  </r>
  <r>
    <x v="5"/>
    <x v="1"/>
    <x v="0"/>
    <s v="2520200"/>
    <n v="700026"/>
    <s v="Salaries-RN-Productive"/>
    <s v="GYN-Federal Way-Gen Surg"/>
    <x v="0"/>
    <m/>
    <n v="4829.63"/>
    <n v="3494.76"/>
    <n v="4617.71"/>
    <n v="5181.8599999999997"/>
    <n v="4764.88"/>
    <n v="3885.21"/>
    <n v="5024.2"/>
    <n v="4376.3599999999997"/>
    <n v="4538.46"/>
    <n v="5170.6000000000004"/>
    <n v="4895.07"/>
    <n v="3825.26"/>
    <n v="54604"/>
    <n v="1069.8099999999995"/>
  </r>
  <r>
    <x v="5"/>
    <x v="1"/>
    <x v="0"/>
    <s v="2520200"/>
    <n v="700030"/>
    <s v="Salaries-LPN-Productive"/>
    <s v="GYN-Federal Way-Gen Surg"/>
    <x v="0"/>
    <m/>
    <n v="8366.4"/>
    <n v="7266"/>
    <n v="6401.46"/>
    <n v="8004.08"/>
    <n v="11066.1"/>
    <n v="6614.31"/>
    <n v="9581.99"/>
    <n v="7638.6"/>
    <n v="7088.76"/>
    <n v="8583.07"/>
    <n v="9861.09"/>
    <n v="7470.52"/>
    <n v="97942.37999999999"/>
    <n v="2390.5699999999997"/>
  </r>
  <r>
    <x v="5"/>
    <x v="1"/>
    <x v="0"/>
    <s v="2520200"/>
    <n v="700030"/>
    <s v="Salaries-LPN-OT"/>
    <s v="GYN-Federal Way-Gen Surg"/>
    <x v="0"/>
    <n v="1000"/>
    <n v="0"/>
    <n v="40.22"/>
    <n v="4.0199999999999996"/>
    <n v="26.77"/>
    <n v="75.22"/>
    <n v="-0.01"/>
    <n v="22.91"/>
    <n v="-6.54"/>
    <n v="45"/>
    <n v="4.0999999999999996"/>
    <n v="32.729999999999997"/>
    <n v="8.19"/>
    <n v="252.60999999999999"/>
    <n v="24.54"/>
  </r>
  <r>
    <x v="5"/>
    <x v="1"/>
    <x v="0"/>
    <s v="2520200"/>
    <n v="700032"/>
    <s v="Salaries-Other Pat Care Providers-Productive"/>
    <s v="GYN-Federal Way-Gen Surg"/>
    <x v="0"/>
    <m/>
    <n v="6532.74"/>
    <n v="5813.69"/>
    <n v="6218.93"/>
    <n v="8119.18"/>
    <n v="7148.43"/>
    <n v="5121.63"/>
    <n v="8348.56"/>
    <n v="5241.3500000000004"/>
    <n v="6157.06"/>
    <n v="7384.7"/>
    <n v="7016.61"/>
    <n v="5625.72"/>
    <n v="78728.599999999991"/>
    <n v="1390.8899999999994"/>
  </r>
  <r>
    <x v="5"/>
    <x v="1"/>
    <x v="0"/>
    <s v="2520200"/>
    <n v="700032"/>
    <s v="Salaries-Other Pat Care Providers-Other"/>
    <s v="GYN-Federal Way-Gen Surg"/>
    <x v="0"/>
    <n v="2000"/>
    <n v="164.37"/>
    <n v="164.16"/>
    <n v="165.45"/>
    <n v="160.34"/>
    <n v="168.65"/>
    <n v="157.53"/>
    <n v="171.55"/>
    <n v="146.4"/>
    <n v="156.65"/>
    <n v="160.94"/>
    <n v="185.9"/>
    <n v="137.43"/>
    <n v="1939.3700000000003"/>
    <n v="48.47"/>
  </r>
  <r>
    <x v="5"/>
    <x v="1"/>
    <x v="0"/>
    <s v="2520200"/>
    <n v="700054"/>
    <s v="Salaries-Management-NonProd-Other"/>
    <s v="GYN-Federal Way-Gen Surg"/>
    <x v="0"/>
    <n v="2000"/>
    <n v="0"/>
    <n v="0"/>
    <n v="0"/>
    <n v="0"/>
    <n v="0"/>
    <n v="996.96"/>
    <n v="-996.96"/>
    <n v="0"/>
    <n v="0"/>
    <n v="0"/>
    <n v="0"/>
    <n v="0"/>
    <n v="0"/>
    <n v="0"/>
  </r>
  <r>
    <x v="5"/>
    <x v="1"/>
    <x v="0"/>
    <s v="2520200"/>
    <n v="700062"/>
    <s v="Salaries-Physician-Non-productive"/>
    <s v="GYN-Federal Way-Gen Surg"/>
    <x v="0"/>
    <m/>
    <n v="0"/>
    <n v="4590.08"/>
    <n v="6885.12"/>
    <n v="0"/>
    <n v="0"/>
    <n v="11326.89"/>
    <n v="5236.54"/>
    <n v="0"/>
    <n v="2140.02"/>
    <n v="12837.64"/>
    <n v="2086.1"/>
    <n v="11899.19"/>
    <n v="57001.58"/>
    <n v="-9813.09"/>
  </r>
  <r>
    <x v="5"/>
    <x v="1"/>
    <x v="0"/>
    <s v="2520200"/>
    <n v="700062"/>
    <s v="Salaries-Physician-NonProd-Other"/>
    <s v="GYN-Federal Way-Gen Surg"/>
    <x v="0"/>
    <n v="2000"/>
    <n v="0"/>
    <n v="0"/>
    <n v="0"/>
    <n v="0"/>
    <n v="602.30999999999995"/>
    <n v="1204.6199999999999"/>
    <n v="0"/>
    <n v="-1806.93"/>
    <n v="0"/>
    <n v="0"/>
    <n v="0"/>
    <n v="0"/>
    <n v="-2.2737367544323206E-13"/>
    <n v="0"/>
  </r>
  <r>
    <x v="5"/>
    <x v="1"/>
    <x v="0"/>
    <s v="2520200"/>
    <n v="700064"/>
    <s v="Salaries-Advanced Practice Clinician-Non-Productive"/>
    <s v="GYN-Federal Way-Gen Surg"/>
    <x v="0"/>
    <m/>
    <n v="1990.08"/>
    <n v="-331.68"/>
    <n v="0"/>
    <n v="1212.33"/>
    <n v="-538.80999999999995"/>
    <n v="0"/>
    <n v="1345.65"/>
    <n v="0"/>
    <n v="1392.92"/>
    <n v="696.46"/>
    <n v="0"/>
    <n v="1360.56"/>
    <n v="7127.51"/>
    <n v="-1360.56"/>
  </r>
  <r>
    <x v="5"/>
    <x v="1"/>
    <x v="0"/>
    <s v="2520200"/>
    <n v="700066"/>
    <s v="Salaries-RN-Non-productive"/>
    <s v="GYN-Federal Way-Gen Surg"/>
    <x v="0"/>
    <m/>
    <n v="312.8"/>
    <n v="1384.14"/>
    <n v="-242.42"/>
    <n v="140.76"/>
    <n v="388.44"/>
    <n v="708.9"/>
    <n v="473.35"/>
    <n v="0"/>
    <n v="486.27"/>
    <n v="-162.09"/>
    <n v="324.18"/>
    <n v="899.6"/>
    <n v="4713.9299999999994"/>
    <n v="-575.42000000000007"/>
  </r>
  <r>
    <x v="5"/>
    <x v="1"/>
    <x v="0"/>
    <s v="2520200"/>
    <n v="700066"/>
    <s v="Salaries-RN-NonProd-Other"/>
    <s v="GYN-Federal Way-Gen Surg"/>
    <x v="0"/>
    <n v="2000"/>
    <n v="76.680000000000007"/>
    <n v="0"/>
    <n v="0"/>
    <n v="0"/>
    <n v="0"/>
    <n v="0"/>
    <n v="0"/>
    <n v="0"/>
    <n v="0"/>
    <n v="0"/>
    <n v="0"/>
    <n v="0"/>
    <n v="76.680000000000007"/>
    <n v="0"/>
  </r>
  <r>
    <x v="5"/>
    <x v="1"/>
    <x v="0"/>
    <s v="2520200"/>
    <n v="700070"/>
    <s v="Salaries-LPN-Non-productive"/>
    <s v="GYN-Federal Way-Gen Surg"/>
    <x v="0"/>
    <m/>
    <n v="1219.4000000000001"/>
    <n v="3376.67"/>
    <n v="2743.89"/>
    <n v="903.36"/>
    <n v="-90.72"/>
    <n v="2260.4299999999998"/>
    <n v="694.22"/>
    <n v="1199.71"/>
    <n v="3176.44"/>
    <n v="562.34"/>
    <n v="216.51"/>
    <n v="1664.6"/>
    <n v="17926.849999999999"/>
    <n v="-1448.09"/>
  </r>
  <r>
    <x v="5"/>
    <x v="1"/>
    <x v="0"/>
    <s v="2520200"/>
    <n v="700070"/>
    <s v="Salaries-LPN-NonProd-Other"/>
    <s v="GYN-Federal Way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0200"/>
    <n v="700072"/>
    <s v="Salaries-Other Pat Care Providers-Non-productive"/>
    <s v="GYN-Federal Way-Gen Surg"/>
    <x v="0"/>
    <m/>
    <n v="1115.8699999999999"/>
    <n v="1507.04"/>
    <n v="212.04"/>
    <n v="1367.4"/>
    <n v="-303.26"/>
    <n v="1735.79"/>
    <n v="904.76"/>
    <n v="1145.47"/>
    <n v="634.20000000000005"/>
    <n v="1437.75"/>
    <n v="1218.98"/>
    <n v="293.86"/>
    <n v="11269.900000000001"/>
    <n v="925.12"/>
  </r>
  <r>
    <x v="5"/>
    <x v="1"/>
    <x v="0"/>
    <s v="2520200"/>
    <n v="700084"/>
    <s v="Accrued PTO"/>
    <s v="GYN-Federal Way-Gen Surg"/>
    <x v="0"/>
    <m/>
    <n v="-15.08"/>
    <n v="-1841.39"/>
    <n v="-1503.84"/>
    <n v="1082.69"/>
    <n v="1605.83"/>
    <n v="-1289.23"/>
    <n v="291.77"/>
    <n v="166.36"/>
    <n v="-490.89"/>
    <n v="222.07"/>
    <n v="537.5"/>
    <n v="-250.56"/>
    <n v="-1484.7699999999998"/>
    <n v="788.06"/>
  </r>
  <r>
    <x v="6"/>
    <x v="1"/>
    <x v="0"/>
    <s v="2520200"/>
    <n v="713010"/>
    <s v="Benefits-FICA/Medicare"/>
    <s v="GYN-Federal Way-Gen Surg"/>
    <x v="0"/>
    <m/>
    <n v="3082.09"/>
    <n v="3419.62"/>
    <n v="2839.73"/>
    <n v="3498.9"/>
    <n v="3117.23"/>
    <n v="4795.3599999999997"/>
    <n v="7195.43"/>
    <n v="5893.85"/>
    <n v="4752.92"/>
    <n v="3702.15"/>
    <n v="3800.57"/>
    <n v="2996.32"/>
    <n v="49094.17"/>
    <n v="804.25"/>
  </r>
  <r>
    <x v="6"/>
    <x v="1"/>
    <x v="0"/>
    <s v="2520200"/>
    <n v="713090"/>
    <s v="Benefits-Allocated Amounts"/>
    <s v="GYN-Federal Way-Gen Surg"/>
    <x v="0"/>
    <m/>
    <n v="0"/>
    <n v="0"/>
    <n v="0"/>
    <n v="0"/>
    <n v="0"/>
    <n v="0"/>
    <n v="0"/>
    <n v="0"/>
    <n v="62208.86"/>
    <n v="7228.26"/>
    <n v="7258.51"/>
    <n v="7073.83"/>
    <n v="83769.459999999992"/>
    <n v="184.68000000000029"/>
  </r>
  <r>
    <x v="6"/>
    <x v="1"/>
    <x v="0"/>
    <s v="2520200"/>
    <n v="713092"/>
    <s v="Allocated Benefits-Physician"/>
    <s v="GYN-Federal Way-Gen Surg"/>
    <x v="0"/>
    <m/>
    <n v="7305.37"/>
    <n v="6731.2"/>
    <n v="6812.9"/>
    <n v="6859.85"/>
    <n v="7033.26"/>
    <n v="7046.64"/>
    <n v="8577.35"/>
    <n v="7674.96"/>
    <n v="-38994.67"/>
    <n v="2213.11"/>
    <n v="2222.39"/>
    <n v="2165.83"/>
    <n v="25648.190000000002"/>
    <n v="56.559999999999945"/>
  </r>
  <r>
    <x v="6"/>
    <x v="1"/>
    <x v="0"/>
    <s v="2520200"/>
    <n v="713093"/>
    <s v="Allocated Benefits-Advanced Practice Clinician"/>
    <s v="GYN-Federal Way-Gen Surg"/>
    <x v="0"/>
    <m/>
    <n v="2534.77"/>
    <n v="2335.5300000000002"/>
    <n v="2363.9"/>
    <n v="2380.1799999999998"/>
    <n v="2440.34"/>
    <n v="2445"/>
    <n v="2976.11"/>
    <n v="2663"/>
    <n v="-11998.25"/>
    <n v="945.87"/>
    <n v="949.85"/>
    <n v="925.67"/>
    <n v="10961.970000000003"/>
    <n v="24.180000000000064"/>
  </r>
  <r>
    <x v="11"/>
    <x v="1"/>
    <x v="0"/>
    <s v="2520200"/>
    <n v="721410"/>
    <s v="Supplies-Medical - Nonbillable"/>
    <s v="GYN-Federal Way-Gen Surg"/>
    <x v="0"/>
    <m/>
    <n v="0"/>
    <n v="0"/>
    <n v="0"/>
    <n v="0"/>
    <n v="0"/>
    <n v="0"/>
    <n v="0"/>
    <n v="0"/>
    <n v="0"/>
    <n v="1109.19"/>
    <n v="-13.92"/>
    <n v="0"/>
    <n v="1095.27"/>
    <n v="-13.92"/>
  </r>
  <r>
    <x v="11"/>
    <x v="1"/>
    <x v="0"/>
    <s v="2520200"/>
    <n v="721830"/>
    <s v="Supplies-Office"/>
    <s v="GYN-Federal Way-Gen Surg"/>
    <x v="0"/>
    <m/>
    <n v="335.11"/>
    <n v="210"/>
    <n v="0"/>
    <n v="229.44"/>
    <n v="13.18"/>
    <n v="190.03"/>
    <n v="207.88"/>
    <n v="0"/>
    <n v="0"/>
    <n v="0"/>
    <n v="0"/>
    <n v="0"/>
    <n v="1185.6399999999999"/>
    <n v="0"/>
  </r>
  <r>
    <x v="11"/>
    <x v="1"/>
    <x v="0"/>
    <s v="2520200"/>
    <n v="721980"/>
    <s v="Supplies-Other"/>
    <s v="GYN-Federal Way-Gen Surg"/>
    <x v="0"/>
    <m/>
    <n v="0"/>
    <n v="0"/>
    <n v="0"/>
    <n v="0"/>
    <n v="0"/>
    <n v="0"/>
    <n v="0"/>
    <n v="0"/>
    <n v="163.88"/>
    <n v="267.83999999999997"/>
    <n v="118.51"/>
    <n v="0"/>
    <n v="550.23"/>
    <n v="118.51"/>
  </r>
  <r>
    <x v="11"/>
    <x v="1"/>
    <x v="0"/>
    <s v="2520200"/>
    <n v="722000"/>
    <s v="Supplies-Freight Expense"/>
    <s v="GYN-Federal Way-Gen Surg"/>
    <x v="0"/>
    <m/>
    <n v="0"/>
    <n v="0"/>
    <n v="0"/>
    <n v="0"/>
    <n v="0"/>
    <n v="0"/>
    <n v="0"/>
    <n v="0"/>
    <n v="0"/>
    <n v="0"/>
    <n v="13.92"/>
    <n v="0"/>
    <n v="13.92"/>
    <n v="13.92"/>
  </r>
  <r>
    <x v="0"/>
    <x v="1"/>
    <x v="0"/>
    <s v="2520200"/>
    <n v="740022"/>
    <s v="Education-Physician"/>
    <s v="GYN-Federal Way-Gen Surg"/>
    <x v="0"/>
    <m/>
    <n v="0"/>
    <n v="995"/>
    <n v="0"/>
    <n v="0"/>
    <n v="0"/>
    <n v="0"/>
    <n v="0"/>
    <n v="0"/>
    <n v="0"/>
    <n v="0"/>
    <n v="0"/>
    <n v="0"/>
    <n v="995"/>
    <n v="0"/>
  </r>
  <r>
    <x v="8"/>
    <x v="1"/>
    <x v="0"/>
    <s v="2520200"/>
    <n v="741012"/>
    <s v="Physician Liab Insurance-CHI Program"/>
    <s v="GYN-Federal Way-Gen Surg"/>
    <x v="0"/>
    <m/>
    <n v="1894.67"/>
    <n v="1894.67"/>
    <n v="1894.67"/>
    <n v="1894.67"/>
    <n v="1894.67"/>
    <n v="1894.66"/>
    <n v="1894.67"/>
    <n v="1894.66"/>
    <n v="1894.67"/>
    <n v="1894.66"/>
    <n v="1894.67"/>
    <n v="1894.66"/>
    <n v="22736.000000000004"/>
    <n v="9.9999999999909051E-3"/>
  </r>
  <r>
    <x v="0"/>
    <x v="1"/>
    <x v="0"/>
    <s v="2520200"/>
    <n v="742010"/>
    <s v="Postage-Regular"/>
    <s v="GYN-Federal Way-Gen Surg"/>
    <x v="0"/>
    <m/>
    <n v="0"/>
    <n v="0"/>
    <n v="0"/>
    <n v="59.44"/>
    <n v="0"/>
    <n v="0"/>
    <n v="0"/>
    <n v="0"/>
    <n v="0"/>
    <n v="0"/>
    <n v="0"/>
    <n v="0"/>
    <n v="59.44"/>
    <n v="0"/>
  </r>
  <r>
    <x v="0"/>
    <x v="1"/>
    <x v="0"/>
    <s v="2520200"/>
    <n v="743010"/>
    <s v="Dues--Institutional"/>
    <s v="GYN-Federal Way-Gen Surg"/>
    <x v="0"/>
    <m/>
    <n v="0"/>
    <n v="0"/>
    <n v="0"/>
    <n v="0"/>
    <n v="0"/>
    <n v="0"/>
    <n v="0"/>
    <n v="0"/>
    <n v="0"/>
    <n v="57.16"/>
    <n v="0"/>
    <n v="0"/>
    <n v="57.16"/>
    <n v="0"/>
  </r>
  <r>
    <x v="0"/>
    <x v="1"/>
    <x v="0"/>
    <s v="2520200"/>
    <n v="743020"/>
    <s v="Dues--Individual"/>
    <s v="GYN-Federal Way-Gen Surg"/>
    <x v="0"/>
    <m/>
    <n v="0"/>
    <n v="0"/>
    <n v="0"/>
    <n v="0"/>
    <n v="650"/>
    <n v="0"/>
    <n v="0"/>
    <n v="0"/>
    <n v="0"/>
    <n v="0"/>
    <n v="0"/>
    <n v="0"/>
    <n v="650"/>
    <n v="0"/>
  </r>
  <r>
    <x v="0"/>
    <x v="1"/>
    <x v="0"/>
    <s v="2520200"/>
    <n v="743022"/>
    <s v="Dues-Physician"/>
    <s v="GYN-Federal Way-Gen Surg"/>
    <x v="0"/>
    <m/>
    <n v="0"/>
    <n v="0"/>
    <n v="0"/>
    <n v="0"/>
    <n v="0"/>
    <n v="1530"/>
    <n v="0"/>
    <n v="1070"/>
    <n v="0"/>
    <n v="0"/>
    <n v="0"/>
    <n v="0"/>
    <n v="2600"/>
    <n v="0"/>
  </r>
  <r>
    <x v="0"/>
    <x v="1"/>
    <x v="0"/>
    <s v="2520200"/>
    <n v="743023"/>
    <s v="Dues-Advanced Practice Clinician"/>
    <s v="GYN-Federal Way-Gen Surg"/>
    <x v="0"/>
    <m/>
    <n v="0"/>
    <n v="0"/>
    <n v="0"/>
    <n v="0"/>
    <n v="0"/>
    <n v="0"/>
    <n v="0"/>
    <n v="0"/>
    <n v="0"/>
    <n v="0"/>
    <n v="0"/>
    <n v="135"/>
    <n v="135"/>
    <n v="-135"/>
  </r>
  <r>
    <x v="0"/>
    <x v="1"/>
    <x v="0"/>
    <s v="2520200"/>
    <n v="749510"/>
    <s v="Miscellaneous Expenses"/>
    <s v="GYN-Federal Way-Gen Surg"/>
    <x v="0"/>
    <m/>
    <n v="-858.64"/>
    <n v="-959.03"/>
    <n v="-35.97"/>
    <n v="0"/>
    <n v="0"/>
    <n v="0"/>
    <n v="0"/>
    <n v="1066"/>
    <n v="-1066"/>
    <n v="0"/>
    <n v="0"/>
    <n v="0"/>
    <n v="-1853.64"/>
    <n v="0"/>
  </r>
  <r>
    <x v="0"/>
    <x v="1"/>
    <x v="0"/>
    <s v="2520200"/>
    <n v="749512"/>
    <s v="Licenses-Physician"/>
    <s v="GYN-Federal Way-Gen Surg"/>
    <x v="0"/>
    <n v="2000"/>
    <n v="0"/>
    <n v="0"/>
    <n v="0"/>
    <n v="0"/>
    <n v="0"/>
    <n v="0"/>
    <n v="0"/>
    <n v="0"/>
    <n v="1066"/>
    <n v="0"/>
    <n v="0"/>
    <n v="0"/>
    <n v="1066"/>
    <n v="0"/>
  </r>
  <r>
    <x v="0"/>
    <x v="1"/>
    <x v="0"/>
    <s v="2520200"/>
    <n v="749530"/>
    <s v="Mileage"/>
    <s v="GYN-Federal Way-Gen Surg"/>
    <x v="0"/>
    <n v="1001"/>
    <n v="109"/>
    <n v="0"/>
    <n v="71.95"/>
    <n v="0"/>
    <n v="57.79"/>
    <n v="0"/>
    <n v="0"/>
    <n v="0"/>
    <n v="0"/>
    <n v="0"/>
    <n v="0"/>
    <n v="0"/>
    <n v="238.73999999999998"/>
    <n v="0"/>
  </r>
  <r>
    <x v="0"/>
    <x v="1"/>
    <x v="0"/>
    <s v="2520200"/>
    <n v="749532"/>
    <s v="Travel-Physician"/>
    <s v="GYN-Federal Way-Gen Surg"/>
    <x v="0"/>
    <m/>
    <n v="0"/>
    <n v="0"/>
    <n v="0"/>
    <n v="1855.49"/>
    <n v="0"/>
    <n v="0"/>
    <n v="0"/>
    <n v="0"/>
    <n v="0"/>
    <n v="0"/>
    <n v="0"/>
    <n v="0"/>
    <n v="1855.49"/>
    <n v="0"/>
  </r>
  <r>
    <x v="1"/>
    <x v="1"/>
    <x v="0"/>
    <s v="2521200"/>
    <n v="400029"/>
    <s v="MD Practice Other Rev--Medicare"/>
    <s v="Heart &amp; Vascular-Tacoma-Card"/>
    <x v="0"/>
    <n v="1100"/>
    <n v="-42436"/>
    <n v="-39463"/>
    <n v="-39906"/>
    <n v="-54158"/>
    <n v="-30850"/>
    <n v="-28150"/>
    <n v="-51650"/>
    <n v="-37746"/>
    <n v="-37102"/>
    <n v="-41911"/>
    <n v="-45413"/>
    <n v="-43498"/>
    <n v="-492283"/>
    <n v="-1915"/>
  </r>
  <r>
    <x v="1"/>
    <x v="1"/>
    <x v="0"/>
    <s v="2521200"/>
    <n v="400029"/>
    <s v="MD Practice Other Rev--Medicaid"/>
    <s v="Heart &amp; Vascular-Tacoma-Card"/>
    <x v="0"/>
    <n v="1200"/>
    <n v="-12106"/>
    <n v="-8129"/>
    <n v="-7360"/>
    <n v="-9066"/>
    <n v="-4254"/>
    <n v="-3557"/>
    <n v="-8928"/>
    <n v="-8103"/>
    <n v="-6471"/>
    <n v="-11346"/>
    <n v="-8716"/>
    <n v="-9471"/>
    <n v="-97507"/>
    <n v="755"/>
  </r>
  <r>
    <x v="1"/>
    <x v="1"/>
    <x v="0"/>
    <s v="2521200"/>
    <n v="400029"/>
    <s v="MD Practice Other Rev--Comm Insurance"/>
    <s v="Heart &amp; Vascular-Tacoma-Card"/>
    <x v="0"/>
    <n v="1300"/>
    <n v="-1531"/>
    <n v="-1466"/>
    <n v="-1686"/>
    <n v="-1314"/>
    <n v="-1314"/>
    <n v="-275"/>
    <n v="-1532"/>
    <n v="-1341"/>
    <n v="-438"/>
    <n v="-1044"/>
    <n v="-1500"/>
    <n v="-1314"/>
    <n v="-14755"/>
    <n v="-186"/>
  </r>
  <r>
    <x v="1"/>
    <x v="1"/>
    <x v="0"/>
    <s v="2521200"/>
    <n v="400029"/>
    <s v="MD Practice Other Rev--BCBS Comm"/>
    <s v="Heart &amp; Vascular-Tacoma-Card"/>
    <x v="0"/>
    <n v="1301"/>
    <n v="-3499"/>
    <n v="-1389"/>
    <n v="-2844"/>
    <n v="-4565"/>
    <n v="-2376"/>
    <n v="-1780"/>
    <n v="-5375"/>
    <n v="-2409"/>
    <n v="-2030"/>
    <n v="-2185"/>
    <n v="-3066"/>
    <n v="-3372"/>
    <n v="-34890"/>
    <n v="306"/>
  </r>
  <r>
    <x v="1"/>
    <x v="1"/>
    <x v="0"/>
    <s v="2521200"/>
    <n v="400029"/>
    <s v="MD Practice Other Rev--Managed Care"/>
    <s v="Heart &amp; Vascular-Tacoma-Card"/>
    <x v="0"/>
    <n v="1400"/>
    <n v="-12648"/>
    <n v="-8374"/>
    <n v="-11300"/>
    <n v="-16853"/>
    <n v="-10227"/>
    <n v="-5470"/>
    <n v="-16258"/>
    <n v="-9373"/>
    <n v="-11788"/>
    <n v="-12292"/>
    <n v="-11326"/>
    <n v="-8315"/>
    <n v="-134224"/>
    <n v="-3011"/>
  </r>
  <r>
    <x v="1"/>
    <x v="1"/>
    <x v="0"/>
    <s v="2521200"/>
    <n v="400029"/>
    <s v="MD Practice Other Rev--Self Pay"/>
    <s v="Heart &amp; Vascular-Tacoma-Card"/>
    <x v="0"/>
    <n v="1500"/>
    <n v="-1313"/>
    <n v="92"/>
    <n v="0"/>
    <n v="-1719"/>
    <n v="-876"/>
    <n v="-1095"/>
    <n v="-1875"/>
    <n v="-1062"/>
    <n v="-1533"/>
    <n v="-1938"/>
    <n v="-1095"/>
    <n v="-1095"/>
    <n v="-13509"/>
    <n v="0"/>
  </r>
  <r>
    <x v="1"/>
    <x v="1"/>
    <x v="0"/>
    <s v="2521200"/>
    <n v="400029"/>
    <s v="MD Practice Other Rev--Other"/>
    <s v="Heart &amp; Vascular-Tacoma-Card"/>
    <x v="0"/>
    <n v="1700"/>
    <n v="-1593"/>
    <n v="-1037"/>
    <n v="-1974"/>
    <n v="-5473"/>
    <n v="-3472"/>
    <n v="-3280"/>
    <n v="-5562"/>
    <n v="-6318"/>
    <n v="-6504"/>
    <n v="-4346"/>
    <n v="-4820"/>
    <n v="-6722"/>
    <n v="-51101"/>
    <n v="1902"/>
  </r>
  <r>
    <x v="1"/>
    <x v="1"/>
    <x v="0"/>
    <s v="2521200"/>
    <n v="400040"/>
    <s v="Physician Svcs Rev--Medicare"/>
    <s v="Heart &amp; Vascular-Tacoma-Card"/>
    <x v="0"/>
    <n v="1100"/>
    <n v="-1165158.9099999999"/>
    <n v="-1204319.01"/>
    <n v="-1208835.3999999999"/>
    <n v="-1398715.23"/>
    <n v="-1134196.6100000001"/>
    <n v="-1200282.17"/>
    <n v="-1159768.81"/>
    <n v="-1138969.6399999999"/>
    <n v="-1396853.93"/>
    <n v="-1439109.24"/>
    <n v="-1461869.33"/>
    <n v="-1304498.33"/>
    <n v="-15212576.610000001"/>
    <n v="-157371"/>
  </r>
  <r>
    <x v="1"/>
    <x v="1"/>
    <x v="0"/>
    <s v="2521200"/>
    <n v="400040"/>
    <s v="Physician Svcs Rev--Medicaid"/>
    <s v="Heart &amp; Vascular-Tacoma-Card"/>
    <x v="0"/>
    <n v="1200"/>
    <n v="-278471.01"/>
    <n v="-266897.77"/>
    <n v="-277224.40000000002"/>
    <n v="-280196.40999999997"/>
    <n v="-237026.6"/>
    <n v="-247623"/>
    <n v="-276307"/>
    <n v="-261518"/>
    <n v="-290641"/>
    <n v="-285539.40000000002"/>
    <n v="-313204.81"/>
    <n v="-292770.98"/>
    <n v="-3307420.3800000004"/>
    <n v="-20433.830000000016"/>
  </r>
  <r>
    <x v="1"/>
    <x v="1"/>
    <x v="0"/>
    <s v="2521200"/>
    <n v="400040"/>
    <s v="Physician Svcs Rev--Comm Insurance"/>
    <s v="Heart &amp; Vascular-Tacoma-Card"/>
    <x v="0"/>
    <n v="1300"/>
    <n v="-57063"/>
    <n v="-43564"/>
    <n v="-57171"/>
    <n v="-62380.800000000003"/>
    <n v="-48020"/>
    <n v="-31624.799999999999"/>
    <n v="-40086"/>
    <n v="-48632"/>
    <n v="-46291"/>
    <n v="-36072"/>
    <n v="-56807"/>
    <n v="-47314.46"/>
    <n v="-575026.05999999994"/>
    <n v="-9492.5400000000009"/>
  </r>
  <r>
    <x v="1"/>
    <x v="1"/>
    <x v="0"/>
    <s v="2521200"/>
    <n v="400040"/>
    <s v="Physician Svcs Rev--BCBS Comm"/>
    <s v="Heart &amp; Vascular-Tacoma-Card"/>
    <x v="0"/>
    <n v="1301"/>
    <n v="-95690.4"/>
    <n v="-77651"/>
    <n v="-75886"/>
    <n v="-98501"/>
    <n v="-66775"/>
    <n v="-59476.01"/>
    <n v="-80146.009999999995"/>
    <n v="-95092"/>
    <n v="-72508"/>
    <n v="-110649.01"/>
    <n v="-87924.800000000003"/>
    <n v="-95850.01"/>
    <n v="-1016149.2400000001"/>
    <n v="7925.2099999999919"/>
  </r>
  <r>
    <x v="1"/>
    <x v="1"/>
    <x v="0"/>
    <s v="2521200"/>
    <n v="400040"/>
    <s v="Physician Svcs Rev--Managed Care"/>
    <s v="Heart &amp; Vascular-Tacoma-Card"/>
    <x v="0"/>
    <n v="1400"/>
    <n v="-287872.81"/>
    <n v="-336608.3"/>
    <n v="-395787.01"/>
    <n v="-349685.31"/>
    <n v="-283155.40000000002"/>
    <n v="-287766.01"/>
    <n v="-379522.3"/>
    <n v="-328635.05"/>
    <n v="-380521"/>
    <n v="-427914.82"/>
    <n v="-447038.62"/>
    <n v="-416434.66"/>
    <n v="-4320941.29"/>
    <n v="-30603.960000000021"/>
  </r>
  <r>
    <x v="1"/>
    <x v="1"/>
    <x v="0"/>
    <s v="2521200"/>
    <n v="400040"/>
    <s v="Physician Svcs Rev--Self Pay"/>
    <s v="Heart &amp; Vascular-Tacoma-Card"/>
    <x v="0"/>
    <n v="1500"/>
    <n v="-18070"/>
    <n v="-14060"/>
    <n v="-16388"/>
    <n v="-14069"/>
    <n v="-31927"/>
    <n v="-23595.4"/>
    <n v="-32545.61"/>
    <n v="-37076"/>
    <n v="-17745"/>
    <n v="-37484.800000000003"/>
    <n v="-26350"/>
    <n v="-30997"/>
    <n v="-300307.81"/>
    <n v="4647"/>
  </r>
  <r>
    <x v="1"/>
    <x v="1"/>
    <x v="0"/>
    <s v="2521200"/>
    <n v="400040"/>
    <s v="Physician Svcs Rev--Other"/>
    <s v="Heart &amp; Vascular-Tacoma-Card"/>
    <x v="0"/>
    <n v="1700"/>
    <n v="-60432"/>
    <n v="-60350.11"/>
    <n v="-78893"/>
    <n v="-81094.399999999994"/>
    <n v="-78993.61"/>
    <n v="-103962.01"/>
    <n v="-92421.4"/>
    <n v="-60816.01"/>
    <n v="-58974.59"/>
    <n v="-110710.8"/>
    <n v="-109126"/>
    <n v="-155756"/>
    <n v="-1051529.9300000002"/>
    <n v="46630"/>
  </r>
  <r>
    <x v="2"/>
    <x v="1"/>
    <x v="0"/>
    <s v="2521200"/>
    <n v="450029"/>
    <s v="Contr Allow--MD Other-Medicare"/>
    <s v="Heart &amp; Vascular-Tacoma-Card"/>
    <x v="0"/>
    <n v="1100"/>
    <n v="26233.439999999999"/>
    <n v="26935.94"/>
    <n v="20254.97"/>
    <n v="33885.120000000003"/>
    <n v="25218.3"/>
    <n v="20698.21"/>
    <n v="25211.41"/>
    <n v="21826.22"/>
    <n v="26752.58"/>
    <n v="29299.8"/>
    <n v="22334.53"/>
    <n v="30722.799999999999"/>
    <n v="309373.32"/>
    <n v="-8388.27"/>
  </r>
  <r>
    <x v="2"/>
    <x v="1"/>
    <x v="0"/>
    <s v="2521200"/>
    <n v="450029"/>
    <s v="Contr Allow--MD Other-Medicaid"/>
    <s v="Heart &amp; Vascular-Tacoma-Card"/>
    <x v="0"/>
    <n v="1200"/>
    <n v="9045.09"/>
    <n v="8910.2900000000009"/>
    <n v="5547.57"/>
    <n v="5228.84"/>
    <n v="5700.38"/>
    <n v="3790.91"/>
    <n v="3338.15"/>
    <n v="6447.96"/>
    <n v="6833.41"/>
    <n v="5921.11"/>
    <n v="6900.32"/>
    <n v="6991.6"/>
    <n v="74655.63"/>
    <n v="-91.280000000000655"/>
  </r>
  <r>
    <x v="2"/>
    <x v="1"/>
    <x v="0"/>
    <s v="2521200"/>
    <n v="450029"/>
    <s v="Contr Allow--MD Other-Comm Insurance"/>
    <s v="Heart &amp; Vascular-Tacoma-Card"/>
    <x v="0"/>
    <n v="1300"/>
    <n v="768.71"/>
    <n v="696.41"/>
    <n v="1113.8599999999999"/>
    <n v="521.71"/>
    <n v="419.73"/>
    <n v="486.13"/>
    <n v="436.23"/>
    <n v="88.35"/>
    <n v="214.02"/>
    <n v="250.46"/>
    <n v="439.79"/>
    <n v="552.21"/>
    <n v="5987.6100000000006"/>
    <n v="-112.42000000000002"/>
  </r>
  <r>
    <x v="2"/>
    <x v="1"/>
    <x v="0"/>
    <s v="2521200"/>
    <n v="450029"/>
    <s v="Contr Allow--MD Other BCBS Comm"/>
    <s v="Heart &amp; Vascular-Tacoma-Card"/>
    <x v="0"/>
    <n v="1301"/>
    <n v="998.71"/>
    <n v="798.33"/>
    <n v="573.89"/>
    <n v="891.7"/>
    <n v="1175.08"/>
    <n v="304.5"/>
    <n v="954.09"/>
    <n v="421.14"/>
    <n v="912.88"/>
    <n v="620.1"/>
    <n v="474.65"/>
    <n v="1094.92"/>
    <n v="9219.9900000000016"/>
    <n v="-620.2700000000001"/>
  </r>
  <r>
    <x v="2"/>
    <x v="1"/>
    <x v="0"/>
    <s v="2521200"/>
    <n v="450029"/>
    <s v="Contr Allow--MD Other-Managed Care"/>
    <s v="Heart &amp; Vascular-Tacoma-Card"/>
    <x v="0"/>
    <n v="1400"/>
    <n v="4125.47"/>
    <n v="3850.02"/>
    <n v="3193.69"/>
    <n v="5469.83"/>
    <n v="5595.86"/>
    <n v="2287.31"/>
    <n v="3489.15"/>
    <n v="4303.63"/>
    <n v="4249.05"/>
    <n v="3635.74"/>
    <n v="4628.3100000000004"/>
    <n v="3214.94"/>
    <n v="48043.000000000007"/>
    <n v="1413.3700000000003"/>
  </r>
  <r>
    <x v="2"/>
    <x v="1"/>
    <x v="0"/>
    <s v="2521200"/>
    <n v="450029"/>
    <s v="Admin Adjust-MD Other-Self Pay"/>
    <s v="Heart &amp; Vascular-Tacoma-Card"/>
    <x v="0"/>
    <n v="1600"/>
    <n v="513.67999999999995"/>
    <n v="336.17"/>
    <n v="1038"/>
    <n v="1268.95"/>
    <n v="659.53"/>
    <n v="347.78"/>
    <n v="735.92"/>
    <n v="321.10000000000002"/>
    <n v="464.47"/>
    <n v="730.76"/>
    <n v="573.19000000000005"/>
    <n v="445.04"/>
    <n v="7434.5900000000011"/>
    <n v="128.15000000000003"/>
  </r>
  <r>
    <x v="2"/>
    <x v="1"/>
    <x v="0"/>
    <s v="2521200"/>
    <n v="450029"/>
    <s v="Contr Allow--MD Other-Other"/>
    <s v="Heart &amp; Vascular-Tacoma-Card"/>
    <x v="0"/>
    <n v="1700"/>
    <n v="1449.61"/>
    <n v="899.46"/>
    <n v="339.93"/>
    <n v="1392.51"/>
    <n v="607.66999999999996"/>
    <n v="2121.9"/>
    <n v="1618.99"/>
    <n v="2284.65"/>
    <n v="2140.1799999999998"/>
    <n v="5409.82"/>
    <n v="3393.95"/>
    <n v="2445.92"/>
    <n v="24104.590000000004"/>
    <n v="948.02999999999975"/>
  </r>
  <r>
    <x v="2"/>
    <x v="1"/>
    <x v="0"/>
    <s v="2521200"/>
    <n v="450040"/>
    <s v="Contr Allow--Phys Svcs--Mcare"/>
    <s v="Heart &amp; Vascular-Tacoma-Card"/>
    <x v="0"/>
    <n v="1100"/>
    <n v="705894.61"/>
    <n v="765632.85"/>
    <n v="715029.83"/>
    <n v="900236.61"/>
    <n v="824428.66"/>
    <n v="741732.82"/>
    <n v="813335.99"/>
    <n v="684723.54"/>
    <n v="853693.17"/>
    <n v="938445.97"/>
    <n v="1001068.5"/>
    <n v="850889.03"/>
    <n v="9795111.5800000001"/>
    <n v="150179.46999999997"/>
  </r>
  <r>
    <x v="2"/>
    <x v="1"/>
    <x v="0"/>
    <s v="2521200"/>
    <n v="450040"/>
    <s v="Contr Allow--Phys Svcs--Mcaid"/>
    <s v="Heart &amp; Vascular-Tacoma-Card"/>
    <x v="0"/>
    <n v="1200"/>
    <n v="223220.83"/>
    <n v="225679.71"/>
    <n v="209084.86"/>
    <n v="243638.07"/>
    <n v="162401.66"/>
    <n v="196032.63"/>
    <n v="190092.12"/>
    <n v="218706.09"/>
    <n v="198558.42"/>
    <n v="243678.27"/>
    <n v="206498.71"/>
    <n v="211445.47"/>
    <n v="2529036.84"/>
    <n v="-4946.7600000000093"/>
  </r>
  <r>
    <x v="2"/>
    <x v="1"/>
    <x v="0"/>
    <s v="2521200"/>
    <n v="450040"/>
    <s v="Contr Allow--Phys Svcs--Comm Insurance"/>
    <s v="Heart &amp; Vascular-Tacoma-Card"/>
    <x v="0"/>
    <n v="1300"/>
    <n v="28332.1"/>
    <n v="24692.04"/>
    <n v="17650.650000000001"/>
    <n v="22475.58"/>
    <n v="22857.23"/>
    <n v="12805.5"/>
    <n v="14238.11"/>
    <n v="14022.58"/>
    <n v="12578.49"/>
    <n v="16985.73"/>
    <n v="19403.55"/>
    <n v="17227.14"/>
    <n v="223268.7"/>
    <n v="2176.41"/>
  </r>
  <r>
    <x v="2"/>
    <x v="1"/>
    <x v="0"/>
    <s v="2521200"/>
    <n v="450040"/>
    <s v="Contr Allow--Phys Svcs--BCBS Comm Ins"/>
    <s v="Heart &amp; Vascular-Tacoma-Card"/>
    <x v="0"/>
    <n v="1301"/>
    <n v="31753.38"/>
    <n v="32754.76"/>
    <n v="16451.759999999998"/>
    <n v="23449.63"/>
    <n v="24829.34"/>
    <n v="19422.310000000001"/>
    <n v="8875.11"/>
    <n v="20370.77"/>
    <n v="34923.33"/>
    <n v="27009.25"/>
    <n v="37757.68"/>
    <n v="34104.050000000003"/>
    <n v="311701.36999999994"/>
    <n v="3653.6299999999974"/>
  </r>
  <r>
    <x v="2"/>
    <x v="1"/>
    <x v="0"/>
    <s v="2521200"/>
    <n v="450040"/>
    <s v="Contr Allow--Phys Svcs--Managed Care"/>
    <s v="Heart &amp; Vascular-Tacoma-Card"/>
    <x v="0"/>
    <n v="1400"/>
    <n v="103349.56"/>
    <n v="136482.9"/>
    <n v="94430.12"/>
    <n v="152457.45000000001"/>
    <n v="137003.07999999999"/>
    <n v="76538.23"/>
    <n v="109188.97"/>
    <n v="129311.22"/>
    <n v="143798.82999999999"/>
    <n v="143050.38"/>
    <n v="179297.37"/>
    <n v="127765.09"/>
    <n v="1532673.2"/>
    <n v="51532.28"/>
  </r>
  <r>
    <x v="2"/>
    <x v="1"/>
    <x v="0"/>
    <s v="2521200"/>
    <n v="450040"/>
    <s v="Contr Allow--Phys Svcs--BCBS Mgnd Care"/>
    <s v="Heart &amp; Vascular-Tacoma-Card"/>
    <x v="0"/>
    <n v="1401"/>
    <n v="5822.52"/>
    <n v="-63851.14"/>
    <n v="155425.84"/>
    <n v="-15441.77"/>
    <n v="-117749.7"/>
    <n v="85871.73"/>
    <n v="136048.26"/>
    <n v="87431.01"/>
    <n v="15028.52"/>
    <n v="12247.65"/>
    <n v="22418.7"/>
    <n v="76519.649999999994"/>
    <n v="399771.27"/>
    <n v="-54100.95"/>
  </r>
  <r>
    <x v="2"/>
    <x v="1"/>
    <x v="0"/>
    <s v="2521200"/>
    <n v="450040"/>
    <s v="Prompt Pay Disc-Phys Svcs-Self Pay"/>
    <s v="Heart &amp; Vascular-Tacoma-Card"/>
    <x v="0"/>
    <n v="1500"/>
    <n v="9.39"/>
    <n v="81.33"/>
    <n v="-579.73"/>
    <n v="-828.54"/>
    <n v="1094.96"/>
    <n v="-146.16"/>
    <n v="-620.82000000000005"/>
    <n v="64.64"/>
    <n v="258.07"/>
    <n v="-18.899999999999999"/>
    <n v="241.09"/>
    <n v="464"/>
    <n v="19.330000000000155"/>
    <n v="-222.91"/>
  </r>
  <r>
    <x v="2"/>
    <x v="1"/>
    <x v="0"/>
    <s v="2521200"/>
    <n v="450040"/>
    <s v="Admin Adjust-Phys Svcs-Self Pay"/>
    <s v="Heart &amp; Vascular-Tacoma-Card"/>
    <x v="0"/>
    <n v="1600"/>
    <n v="8678.43"/>
    <n v="13295.89"/>
    <n v="16011.36"/>
    <n v="11772.41"/>
    <n v="17934.939999999999"/>
    <n v="11484.15"/>
    <n v="14126.23"/>
    <n v="14259.37"/>
    <n v="8969.11"/>
    <n v="13470.06"/>
    <n v="10553.2"/>
    <n v="12174.95"/>
    <n v="152730.1"/>
    <n v="-1621.75"/>
  </r>
  <r>
    <x v="2"/>
    <x v="1"/>
    <x v="0"/>
    <s v="2521200"/>
    <n v="450040"/>
    <s v="Contr Allow--Phys Svcs--Other"/>
    <s v="Heart &amp; Vascular-Tacoma-Card"/>
    <x v="0"/>
    <n v="1700"/>
    <n v="38152.269999999997"/>
    <n v="43922.03"/>
    <n v="40457.33"/>
    <n v="26066.86"/>
    <n v="48558.83"/>
    <n v="54700.12"/>
    <n v="33504.92"/>
    <n v="51330.84"/>
    <n v="45455.39"/>
    <n v="72950.81"/>
    <n v="70617.929999999993"/>
    <n v="66948.97"/>
    <n v="592666.29999999993"/>
    <n v="3668.9599999999919"/>
  </r>
  <r>
    <x v="3"/>
    <x v="1"/>
    <x v="0"/>
    <s v="2521200"/>
    <n v="470040"/>
    <s v="Charity Care-Physician Svcs"/>
    <s v="Heart &amp; Vascular-Tacoma-Card"/>
    <x v="0"/>
    <m/>
    <n v="10189.959999999999"/>
    <n v="26580.2"/>
    <n v="22595.119999999999"/>
    <n v="16346.44"/>
    <n v="7096.59"/>
    <n v="2324.27"/>
    <n v="28578.81"/>
    <n v="9469.4500000000007"/>
    <n v="50108.4"/>
    <n v="30709.78"/>
    <n v="13971.98"/>
    <n v="44095.68"/>
    <n v="262066.68"/>
    <n v="-30123.7"/>
  </r>
  <r>
    <x v="4"/>
    <x v="1"/>
    <x v="0"/>
    <s v="2521200"/>
    <n v="490010"/>
    <s v="Provision for Bad Debts"/>
    <s v="Heart &amp; Vascular-Tacoma-Card"/>
    <x v="0"/>
    <m/>
    <n v="29039.119999999999"/>
    <n v="10213.84"/>
    <n v="42621.65"/>
    <n v="15081.87"/>
    <n v="24376.62"/>
    <n v="17966.93"/>
    <n v="8036.05"/>
    <n v="8327.01"/>
    <n v="31206.76"/>
    <n v="9646.09"/>
    <n v="13191.54"/>
    <n v="34218.9"/>
    <n v="243926.38"/>
    <n v="-21027.360000000001"/>
  </r>
  <r>
    <x v="14"/>
    <x v="1"/>
    <x v="0"/>
    <s v="2521200"/>
    <n v="600050"/>
    <s v="Miscellaneous Revenue"/>
    <s v="Heart &amp; Vascular-Tacoma-Card"/>
    <x v="0"/>
    <m/>
    <n v="-16500"/>
    <n v="0"/>
    <n v="-450"/>
    <n v="-3880"/>
    <n v="0"/>
    <n v="-100000.08"/>
    <n v="-15384.72"/>
    <n v="-19794.72"/>
    <n v="-16924.72"/>
    <n v="-16364.72"/>
    <n v="-15384.72"/>
    <n v="-25037.08"/>
    <n v="-229720.76"/>
    <n v="9652.3600000000024"/>
  </r>
  <r>
    <x v="5"/>
    <x v="1"/>
    <x v="0"/>
    <s v="2521200"/>
    <n v="700014"/>
    <s v="Salaries-Management-Productive"/>
    <s v="Heart &amp; Vascular-Tacoma-Card"/>
    <x v="0"/>
    <m/>
    <n v="7617.28"/>
    <n v="7963.52"/>
    <n v="3289.28"/>
    <n v="6733.13"/>
    <n v="7257.51"/>
    <n v="6368.1"/>
    <n v="6449.17"/>
    <n v="6128.06"/>
    <n v="7054.39"/>
    <n v="5807.39"/>
    <n v="7018.77"/>
    <n v="6056.8"/>
    <n v="77743.399999999994"/>
    <n v="961.97000000000025"/>
  </r>
  <r>
    <x v="5"/>
    <x v="1"/>
    <x v="0"/>
    <s v="2521200"/>
    <n v="700020"/>
    <s v="Salaries-Physician Admin-Productive"/>
    <s v="Heart &amp; Vascular-Tacoma-Card"/>
    <x v="0"/>
    <m/>
    <n v="0"/>
    <n v="0"/>
    <n v="0"/>
    <n v="0"/>
    <n v="0"/>
    <n v="0"/>
    <n v="0"/>
    <n v="0"/>
    <n v="0"/>
    <n v="0"/>
    <n v="0"/>
    <n v="20000"/>
    <n v="20000"/>
    <n v="-20000"/>
  </r>
  <r>
    <x v="5"/>
    <x v="1"/>
    <x v="0"/>
    <s v="2521200"/>
    <n v="700020"/>
    <s v="Salaries-Physician Admin-Other"/>
    <s v="Heart &amp; Vascular-Tacoma-Card"/>
    <x v="0"/>
    <n v="2000"/>
    <n v="0"/>
    <n v="0"/>
    <n v="0"/>
    <n v="3430"/>
    <n v="0"/>
    <n v="0"/>
    <n v="0"/>
    <n v="4410"/>
    <n v="1540"/>
    <n v="980"/>
    <n v="0"/>
    <n v="1960"/>
    <n v="12320"/>
    <n v="-1960"/>
  </r>
  <r>
    <x v="5"/>
    <x v="1"/>
    <x v="0"/>
    <s v="2521200"/>
    <n v="700022"/>
    <s v="Salaries-Physician-Productive"/>
    <s v="Heart &amp; Vascular-Tacoma-Card"/>
    <x v="0"/>
    <m/>
    <n v="580562.54"/>
    <n v="632608.23"/>
    <n v="651994.67000000004"/>
    <n v="1418366.94"/>
    <n v="712354.75"/>
    <n v="576585.74"/>
    <n v="697467.84"/>
    <n v="593247.82999999996"/>
    <n v="727965.51"/>
    <n v="805931.47"/>
    <n v="826987.07"/>
    <n v="672777.02"/>
    <n v="8896849.6099999994"/>
    <n v="154210.04999999993"/>
  </r>
  <r>
    <x v="5"/>
    <x v="1"/>
    <x v="0"/>
    <s v="2521200"/>
    <n v="700022"/>
    <s v="Salaries-Physician-Other"/>
    <s v="Heart &amp; Vascular-Tacoma-Card"/>
    <x v="0"/>
    <n v="2000"/>
    <n v="16500"/>
    <n v="0"/>
    <n v="0"/>
    <n v="0"/>
    <n v="0"/>
    <n v="100000.08"/>
    <n v="15384.72"/>
    <n v="15384.72"/>
    <n v="15384.72"/>
    <n v="15384.72"/>
    <n v="15384.72"/>
    <n v="23077.08"/>
    <n v="216500.76"/>
    <n v="-7692.3600000000024"/>
  </r>
  <r>
    <x v="5"/>
    <x v="1"/>
    <x v="0"/>
    <s v="2521200"/>
    <n v="700022"/>
    <s v="Salaries-Physician-Provider Incentive"/>
    <s v="Heart &amp; Vascular-Tacoma-Card"/>
    <x v="0"/>
    <n v="4003"/>
    <n v="0"/>
    <n v="60616.4"/>
    <n v="60616.4"/>
    <n v="60616.4"/>
    <n v="62666.9"/>
    <n v="97076.1"/>
    <n v="64831.3"/>
    <n v="65983.97"/>
    <n v="65888.38"/>
    <n v="65897.679999999993"/>
    <n v="67075.67"/>
    <n v="102380.49"/>
    <n v="773649.69000000006"/>
    <n v="-35304.820000000007"/>
  </r>
  <r>
    <x v="5"/>
    <x v="1"/>
    <x v="0"/>
    <s v="2521200"/>
    <n v="700024"/>
    <s v="Salaries-Advanced Practice Clinician-Productive"/>
    <s v="Heart &amp; Vascular-Tacoma-Card"/>
    <x v="0"/>
    <m/>
    <n v="56909.25"/>
    <n v="53302.48"/>
    <n v="56107.38"/>
    <n v="79998.91"/>
    <n v="81286.289999999994"/>
    <n v="63657.63"/>
    <n v="74818.429999999993"/>
    <n v="65336.21"/>
    <n v="70219.850000000006"/>
    <n v="76602.929999999993"/>
    <n v="80009.919999999998"/>
    <n v="59400.19"/>
    <n v="817649.47"/>
    <n v="20609.729999999996"/>
  </r>
  <r>
    <x v="5"/>
    <x v="1"/>
    <x v="0"/>
    <s v="2521200"/>
    <n v="700024"/>
    <s v="Salaries-Advanced Practice Clinician-Other"/>
    <s v="Heart &amp; Vascular-Tacoma-Card"/>
    <x v="0"/>
    <n v="2000"/>
    <n v="0"/>
    <n v="0"/>
    <n v="0"/>
    <n v="0"/>
    <n v="0"/>
    <n v="0"/>
    <n v="0"/>
    <n v="0"/>
    <n v="0"/>
    <n v="0"/>
    <n v="8100.18"/>
    <n v="-11.85"/>
    <n v="8088.33"/>
    <n v="8112.0300000000007"/>
  </r>
  <r>
    <x v="5"/>
    <x v="1"/>
    <x v="0"/>
    <s v="2521200"/>
    <n v="700024"/>
    <s v="Salaries-Advanced Practice Clinician-Provider Incentive"/>
    <s v="Heart &amp; Vascular-Tacoma-Card"/>
    <x v="0"/>
    <n v="4003"/>
    <n v="0"/>
    <n v="1000"/>
    <n v="0"/>
    <n v="0"/>
    <n v="0"/>
    <n v="0"/>
    <n v="0"/>
    <n v="0"/>
    <n v="0"/>
    <n v="0"/>
    <n v="0"/>
    <n v="0"/>
    <n v="1000"/>
    <n v="0"/>
  </r>
  <r>
    <x v="5"/>
    <x v="1"/>
    <x v="0"/>
    <s v="2521200"/>
    <n v="700026"/>
    <s v="Salaries-RN-Productive"/>
    <s v="Heart &amp; Vascular-Tacoma-Card"/>
    <x v="0"/>
    <m/>
    <n v="66365.88"/>
    <n v="75030.25"/>
    <n v="72634.960000000006"/>
    <n v="93335.82"/>
    <n v="94969.3"/>
    <n v="77289.399999999994"/>
    <n v="90337.68"/>
    <n v="79226.05"/>
    <n v="75530.28"/>
    <n v="95067.8"/>
    <n v="99879.07"/>
    <n v="86507.32"/>
    <n v="1006173.8100000003"/>
    <n v="13371.75"/>
  </r>
  <r>
    <x v="5"/>
    <x v="1"/>
    <x v="0"/>
    <s v="2521200"/>
    <n v="700026"/>
    <s v="Salaries-RN-OT"/>
    <s v="Heart &amp; Vascular-Tacoma-Card"/>
    <x v="0"/>
    <n v="1000"/>
    <n v="1529.04"/>
    <n v="1595.6"/>
    <n v="1342.47"/>
    <n v="3182.22"/>
    <n v="470.64"/>
    <n v="697.49"/>
    <n v="1670.66"/>
    <n v="666.51"/>
    <n v="2802.01"/>
    <n v="904.67"/>
    <n v="2543.88"/>
    <n v="2809.48"/>
    <n v="20214.670000000002"/>
    <n v="-265.59999999999991"/>
  </r>
  <r>
    <x v="5"/>
    <x v="1"/>
    <x v="0"/>
    <s v="2521200"/>
    <n v="700026"/>
    <s v="Salaries-RN-Other"/>
    <s v="Heart &amp; Vascular-Tacoma-Card"/>
    <x v="0"/>
    <n v="2000"/>
    <n v="0"/>
    <n v="0"/>
    <n v="30"/>
    <n v="0"/>
    <n v="10"/>
    <n v="30"/>
    <n v="0"/>
    <n v="0"/>
    <n v="0"/>
    <n v="0"/>
    <n v="30.04"/>
    <n v="30.04"/>
    <n v="130.07999999999998"/>
    <n v="0"/>
  </r>
  <r>
    <x v="5"/>
    <x v="1"/>
    <x v="0"/>
    <s v="2521200"/>
    <n v="700030"/>
    <s v="Salaries-LPN-Productive"/>
    <s v="Heart &amp; Vascular-Tacoma-Card"/>
    <x v="0"/>
    <m/>
    <n v="0"/>
    <n v="0"/>
    <n v="0"/>
    <n v="0"/>
    <n v="0"/>
    <n v="0"/>
    <n v="0"/>
    <n v="1039.8800000000001"/>
    <n v="-297.10000000000002"/>
    <n v="0"/>
    <n v="0"/>
    <n v="0"/>
    <n v="742.78000000000009"/>
    <n v="0"/>
  </r>
  <r>
    <x v="5"/>
    <x v="1"/>
    <x v="0"/>
    <s v="2521200"/>
    <n v="700032"/>
    <s v="Salaries-Other Pat Care Providers-Productive"/>
    <s v="Heart &amp; Vascular-Tacoma-Card"/>
    <x v="0"/>
    <m/>
    <n v="52287.85"/>
    <n v="59097.55"/>
    <n v="47203.19"/>
    <n v="55008.11"/>
    <n v="57763.62"/>
    <n v="41274.78"/>
    <n v="49002.34"/>
    <n v="45480.5"/>
    <n v="51890.58"/>
    <n v="56710.94"/>
    <n v="63948.65"/>
    <n v="47534.89"/>
    <n v="627203"/>
    <n v="16413.760000000002"/>
  </r>
  <r>
    <x v="5"/>
    <x v="1"/>
    <x v="0"/>
    <s v="2521200"/>
    <n v="700032"/>
    <s v="Salaries-Other Pat Care Providers-OT"/>
    <s v="Heart &amp; Vascular-Tacoma-Card"/>
    <x v="0"/>
    <n v="1000"/>
    <n v="3098.14"/>
    <n v="2097.0100000000002"/>
    <n v="3928.21"/>
    <n v="3500.6"/>
    <n v="4318.0200000000004"/>
    <n v="1821.75"/>
    <n v="3016.18"/>
    <n v="2064.84"/>
    <n v="3863.87"/>
    <n v="1484.41"/>
    <n v="4091.29"/>
    <n v="1708.65"/>
    <n v="34992.97"/>
    <n v="2382.64"/>
  </r>
  <r>
    <x v="5"/>
    <x v="1"/>
    <x v="0"/>
    <s v="2521200"/>
    <n v="700032"/>
    <s v="Salaries-Other Pat Care Providers-Other"/>
    <s v="Heart &amp; Vascular-Tacoma-Card"/>
    <x v="0"/>
    <n v="2000"/>
    <n v="201.97"/>
    <n v="227.87"/>
    <n v="193.72"/>
    <n v="205.4"/>
    <n v="206.51"/>
    <n v="168.63"/>
    <n v="186.65"/>
    <n v="177.82"/>
    <n v="205.91"/>
    <n v="185.29"/>
    <n v="229.32"/>
    <n v="166.49"/>
    <n v="2355.58"/>
    <n v="62.829999999999984"/>
  </r>
  <r>
    <x v="5"/>
    <x v="1"/>
    <x v="0"/>
    <s v="2521200"/>
    <n v="700034"/>
    <s v="Salaries-Tech/Professional-Productive"/>
    <s v="Heart &amp; Vascular-Tacoma-Card"/>
    <x v="0"/>
    <m/>
    <n v="0"/>
    <n v="0"/>
    <n v="0"/>
    <n v="0"/>
    <n v="0"/>
    <n v="0"/>
    <n v="6912.46"/>
    <n v="6848.78"/>
    <n v="7726.48"/>
    <n v="8003.86"/>
    <n v="8367.7199999999993"/>
    <n v="6662.31"/>
    <n v="44521.61"/>
    <n v="1705.4099999999989"/>
  </r>
  <r>
    <x v="5"/>
    <x v="1"/>
    <x v="0"/>
    <s v="2521200"/>
    <n v="700034"/>
    <s v="Salaries-Tech/Professional-OT"/>
    <s v="Heart &amp; Vascular-Tacoma-Card"/>
    <x v="0"/>
    <n v="1000"/>
    <n v="0"/>
    <n v="0"/>
    <n v="0"/>
    <n v="0"/>
    <n v="0"/>
    <n v="0"/>
    <n v="437.11"/>
    <n v="228.51"/>
    <n v="648.09"/>
    <n v="600.33000000000004"/>
    <n v="729.92"/>
    <n v="170.54"/>
    <n v="2814.5"/>
    <n v="559.38"/>
  </r>
  <r>
    <x v="5"/>
    <x v="1"/>
    <x v="0"/>
    <s v="2521200"/>
    <n v="700034"/>
    <s v="Salaries-Tech/Professional-Other"/>
    <s v="Heart &amp; Vascular-Tacoma-Card"/>
    <x v="0"/>
    <n v="2000"/>
    <n v="0"/>
    <n v="0"/>
    <n v="0"/>
    <n v="0"/>
    <n v="0"/>
    <n v="0"/>
    <n v="30.04"/>
    <n v="0"/>
    <n v="0"/>
    <n v="0"/>
    <n v="0"/>
    <n v="0"/>
    <n v="30.04"/>
    <n v="0"/>
  </r>
  <r>
    <x v="5"/>
    <x v="1"/>
    <x v="0"/>
    <s v="2521200"/>
    <n v="700038"/>
    <s v="Salaries-Service/Support-Productive"/>
    <s v="Heart &amp; Vascular-Tacoma-Card"/>
    <x v="0"/>
    <m/>
    <n v="0"/>
    <n v="0"/>
    <n v="0"/>
    <n v="0"/>
    <n v="0"/>
    <n v="0"/>
    <n v="0"/>
    <n v="0"/>
    <n v="0"/>
    <n v="137.08000000000001"/>
    <n v="0"/>
    <n v="0"/>
    <n v="137.08000000000001"/>
    <n v="0"/>
  </r>
  <r>
    <x v="5"/>
    <x v="1"/>
    <x v="0"/>
    <s v="2521200"/>
    <n v="700038"/>
    <s v="Salaries-Service/Support-Other"/>
    <s v="Heart &amp; Vascular-Tacoma-Card"/>
    <x v="0"/>
    <n v="2000"/>
    <n v="0"/>
    <n v="0"/>
    <n v="0"/>
    <n v="0"/>
    <n v="0"/>
    <n v="0"/>
    <n v="0"/>
    <n v="0"/>
    <n v="0"/>
    <n v="7.51"/>
    <n v="0"/>
    <n v="0"/>
    <n v="7.51"/>
    <n v="0"/>
  </r>
  <r>
    <x v="5"/>
    <x v="1"/>
    <x v="0"/>
    <s v="2521200"/>
    <n v="700054"/>
    <s v="Salaries-Management-Non-productive"/>
    <s v="Heart &amp; Vascular-Tacoma-Card"/>
    <x v="0"/>
    <m/>
    <n v="0"/>
    <n v="0"/>
    <n v="3635.52"/>
    <n v="1401.74"/>
    <n v="569.22"/>
    <n v="1102.8499999999999"/>
    <n v="1745.84"/>
    <n v="997.57"/>
    <n v="427.55"/>
    <n v="2030.8"/>
    <n v="1175.73"/>
    <n v="1068.8399999999999"/>
    <n v="14155.659999999998"/>
    <n v="106.8900000000001"/>
  </r>
  <r>
    <x v="5"/>
    <x v="1"/>
    <x v="0"/>
    <s v="2521200"/>
    <n v="700054"/>
    <s v="Salaries-Management-NonProd-Other"/>
    <s v="Heart &amp; Vascular-Tacoma-Card"/>
    <x v="0"/>
    <n v="2000"/>
    <n v="0"/>
    <n v="0"/>
    <n v="0"/>
    <n v="0"/>
    <n v="0"/>
    <n v="2632.14"/>
    <n v="-2632.14"/>
    <n v="0"/>
    <n v="0"/>
    <n v="0"/>
    <n v="0"/>
    <n v="0"/>
    <n v="0"/>
    <n v="0"/>
  </r>
  <r>
    <x v="5"/>
    <x v="1"/>
    <x v="0"/>
    <s v="2521200"/>
    <n v="700062"/>
    <s v="Salaries-Physician-Non-productive"/>
    <s v="Heart &amp; Vascular-Tacoma-Card"/>
    <x v="0"/>
    <m/>
    <n v="190751.05"/>
    <n v="204271.55"/>
    <n v="85067.99"/>
    <n v="-432474.83"/>
    <n v="191508.9"/>
    <n v="309185.42"/>
    <n v="182549.28"/>
    <n v="205781.34"/>
    <n v="102140.32"/>
    <n v="214044.09"/>
    <n v="79641.789999999994"/>
    <n v="154601.73000000001"/>
    <n v="1487068.6300000001"/>
    <n v="-74959.940000000017"/>
  </r>
  <r>
    <x v="5"/>
    <x v="1"/>
    <x v="0"/>
    <s v="2521200"/>
    <n v="700062"/>
    <s v="Salaries-Physician-NonProd-Other"/>
    <s v="Heart &amp; Vascular-Tacoma-Card"/>
    <x v="0"/>
    <n v="2000"/>
    <n v="0"/>
    <n v="0"/>
    <n v="0"/>
    <n v="0"/>
    <n v="555.6"/>
    <n v="1111.2"/>
    <n v="0"/>
    <n v="-1111.2"/>
    <n v="0"/>
    <n v="0"/>
    <n v="0"/>
    <n v="0"/>
    <n v="555.60000000000014"/>
    <n v="0"/>
  </r>
  <r>
    <x v="5"/>
    <x v="1"/>
    <x v="0"/>
    <s v="2521200"/>
    <n v="700064"/>
    <s v="Salaries-Advanced Practice Clinician-Non-Productive"/>
    <s v="Heart &amp; Vascular-Tacoma-Card"/>
    <x v="0"/>
    <m/>
    <n v="10526.13"/>
    <n v="13398.89"/>
    <n v="7930.84"/>
    <n v="8344.2800000000007"/>
    <n v="1225.7"/>
    <n v="15144.52"/>
    <n v="11526.93"/>
    <n v="9849.69"/>
    <n v="9647.39"/>
    <n v="6855.72"/>
    <n v="8355.59"/>
    <n v="17701.400000000001"/>
    <n v="120507.08000000002"/>
    <n v="-9345.8100000000013"/>
  </r>
  <r>
    <x v="5"/>
    <x v="1"/>
    <x v="0"/>
    <s v="2521200"/>
    <n v="700064"/>
    <s v="Salaries-Advanced Practice Clinician-Non-Prod-Other"/>
    <s v="Heart &amp; Vascular-Tacoma-Car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1200"/>
    <n v="700066"/>
    <s v="Salaries-RN-Non-productive"/>
    <s v="Heart &amp; Vascular-Tacoma-Card"/>
    <x v="0"/>
    <m/>
    <n v="19661.55"/>
    <n v="12229.93"/>
    <n v="14436.06"/>
    <n v="7423.15"/>
    <n v="3685.57"/>
    <n v="18239.439999999999"/>
    <n v="17192.22"/>
    <n v="6835.74"/>
    <n v="19269.650000000001"/>
    <n v="-343.19"/>
    <n v="9933.2900000000009"/>
    <n v="9084.2999999999993"/>
    <n v="137647.71"/>
    <n v="848.9900000000016"/>
  </r>
  <r>
    <x v="5"/>
    <x v="1"/>
    <x v="0"/>
    <s v="2521200"/>
    <n v="700066"/>
    <s v="Salaries-RN-NonProd-Other"/>
    <s v="Heart &amp; Vascular-Tacoma-Card"/>
    <x v="0"/>
    <n v="2000"/>
    <n v="0"/>
    <n v="0"/>
    <n v="123.72"/>
    <n v="91.7"/>
    <n v="-41.67"/>
    <n v="32.9"/>
    <n v="281.60000000000002"/>
    <n v="152.51"/>
    <n v="190.44"/>
    <n v="145.88"/>
    <n v="306.55"/>
    <n v="298.44"/>
    <n v="1582.0700000000002"/>
    <n v="8.1100000000000136"/>
  </r>
  <r>
    <x v="5"/>
    <x v="1"/>
    <x v="0"/>
    <s v="2521200"/>
    <n v="700070"/>
    <s v="Salaries-LPN-Non-productive"/>
    <s v="Heart &amp; Vascular-Tacoma-Card"/>
    <x v="0"/>
    <m/>
    <n v="0"/>
    <n v="0"/>
    <n v="0"/>
    <n v="0"/>
    <n v="0"/>
    <n v="0"/>
    <n v="0"/>
    <n v="211.82"/>
    <n v="-60.51"/>
    <n v="0"/>
    <n v="0"/>
    <n v="0"/>
    <n v="151.31"/>
    <n v="0"/>
  </r>
  <r>
    <x v="5"/>
    <x v="1"/>
    <x v="0"/>
    <s v="2521200"/>
    <n v="700072"/>
    <s v="Salaries-Other Pat Care Providers-Non-productive"/>
    <s v="Heart &amp; Vascular-Tacoma-Card"/>
    <x v="0"/>
    <m/>
    <n v="6532.33"/>
    <n v="5006.47"/>
    <n v="6435.19"/>
    <n v="7739.17"/>
    <n v="2530.33"/>
    <n v="13335.2"/>
    <n v="5725.93"/>
    <n v="3960.96"/>
    <n v="4738.6099999999997"/>
    <n v="846.68"/>
    <n v="3677.2"/>
    <n v="8409.11"/>
    <n v="68937.179999999993"/>
    <n v="-4731.9100000000008"/>
  </r>
  <r>
    <x v="5"/>
    <x v="1"/>
    <x v="0"/>
    <s v="2521200"/>
    <n v="700072"/>
    <s v="Salaries-Other Pat Care Providers-NonProd-Other"/>
    <s v="Heart &amp; Vascular-Tacoma-Card"/>
    <x v="0"/>
    <n v="2000"/>
    <n v="0"/>
    <n v="0"/>
    <n v="0"/>
    <n v="334.99"/>
    <n v="483.78"/>
    <n v="0"/>
    <n v="15.91"/>
    <n v="-416.85"/>
    <n v="0"/>
    <n v="0"/>
    <n v="0"/>
    <n v="0"/>
    <n v="417.82999999999993"/>
    <n v="0"/>
  </r>
  <r>
    <x v="5"/>
    <x v="1"/>
    <x v="0"/>
    <s v="2521200"/>
    <n v="700074"/>
    <s v="Salaries-Tech/Professional-Non-productive"/>
    <s v="Heart &amp; Vascular-Tacoma-Card"/>
    <x v="0"/>
    <m/>
    <n v="0"/>
    <n v="0"/>
    <n v="0"/>
    <n v="0"/>
    <n v="0"/>
    <n v="0"/>
    <n v="0"/>
    <n v="0"/>
    <n v="0"/>
    <n v="0"/>
    <n v="0"/>
    <n v="727.63"/>
    <n v="727.63"/>
    <n v="-727.63"/>
  </r>
  <r>
    <x v="5"/>
    <x v="1"/>
    <x v="0"/>
    <s v="2521200"/>
    <n v="700074"/>
    <s v="Salaries-Tech/Professional-NonProd-Other"/>
    <s v="Heart &amp; Vascular-Tacoma-Car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1200"/>
    <n v="700084"/>
    <s v="Accrued PTO"/>
    <s v="Heart &amp; Vascular-Tacoma-Card"/>
    <x v="0"/>
    <m/>
    <n v="-7196.06"/>
    <n v="-2883.79"/>
    <n v="-7040.19"/>
    <n v="7351.8"/>
    <n v="8041.74"/>
    <n v="-7084.17"/>
    <n v="-1368.34"/>
    <n v="4567.63"/>
    <n v="-579.51"/>
    <n v="9698.35"/>
    <n v="6601.99"/>
    <n v="963.65"/>
    <n v="11073.099999999997"/>
    <n v="5638.34"/>
  </r>
  <r>
    <x v="10"/>
    <x v="1"/>
    <x v="0"/>
    <s v="2521200"/>
    <n v="710060"/>
    <s v="Contract Labor-Other"/>
    <s v="Heart &amp; Vascular-Tacoma-Card"/>
    <x v="0"/>
    <m/>
    <n v="4585"/>
    <n v="4270"/>
    <n v="1102.5"/>
    <n v="7840"/>
    <n v="1732.5"/>
    <n v="0"/>
    <n v="0"/>
    <n v="0"/>
    <n v="0"/>
    <n v="0"/>
    <n v="0"/>
    <n v="0"/>
    <n v="19530"/>
    <n v="0"/>
  </r>
  <r>
    <x v="6"/>
    <x v="1"/>
    <x v="0"/>
    <s v="2521200"/>
    <n v="713010"/>
    <s v="Benefits-FICA/Medicare"/>
    <s v="Heart &amp; Vascular-Tacoma-Card"/>
    <x v="0"/>
    <m/>
    <n v="27170.03"/>
    <n v="30472.95"/>
    <n v="27452.37"/>
    <n v="50136.2"/>
    <n v="21558.73"/>
    <n v="56633.760000000002"/>
    <n v="88523.78"/>
    <n v="52655.7"/>
    <n v="30476.78"/>
    <n v="31873.32"/>
    <n v="40331.26"/>
    <n v="33922.36"/>
    <n v="491207.24000000005"/>
    <n v="6408.9000000000015"/>
  </r>
  <r>
    <x v="6"/>
    <x v="1"/>
    <x v="0"/>
    <s v="2521200"/>
    <n v="713090"/>
    <s v="Benefits-Allocated Amounts"/>
    <s v="Heart &amp; Vascular-Tacoma-Card"/>
    <x v="0"/>
    <m/>
    <n v="0"/>
    <n v="0"/>
    <n v="0"/>
    <n v="0"/>
    <n v="0"/>
    <n v="0"/>
    <n v="0"/>
    <n v="0"/>
    <n v="474911.75"/>
    <n v="62296.78"/>
    <n v="58701.84"/>
    <n v="60551.64"/>
    <n v="656462.01"/>
    <n v="-1849.8000000000029"/>
  </r>
  <r>
    <x v="6"/>
    <x v="1"/>
    <x v="0"/>
    <s v="2521200"/>
    <n v="713092"/>
    <s v="Allocated Benefits-Physician"/>
    <s v="Heart &amp; Vascular-Tacoma-Card"/>
    <x v="0"/>
    <m/>
    <n v="58405.98"/>
    <n v="55135.79"/>
    <n v="56259.46"/>
    <n v="64093.87"/>
    <n v="62599.95"/>
    <n v="69017.52"/>
    <n v="76520.34"/>
    <n v="72767.710000000006"/>
    <n v="-273635.96999999997"/>
    <n v="31634.89"/>
    <n v="29809.34"/>
    <n v="30748.69"/>
    <n v="333357.57000000012"/>
    <n v="-939.34999999999854"/>
  </r>
  <r>
    <x v="6"/>
    <x v="1"/>
    <x v="0"/>
    <s v="2521200"/>
    <n v="713093"/>
    <s v="Allocated Benefits-Advanced Practice Clinician"/>
    <s v="Heart &amp; Vascular-Tacoma-Card"/>
    <x v="0"/>
    <m/>
    <n v="24359.7"/>
    <n v="22995.78"/>
    <n v="23464.44"/>
    <n v="26731.99"/>
    <n v="26108.9"/>
    <n v="28785.52"/>
    <n v="31914.75"/>
    <n v="30349.63"/>
    <n v="-86380.81"/>
    <n v="16833.740000000002"/>
    <n v="15862.31"/>
    <n v="16362.17"/>
    <n v="177388.12"/>
    <n v="-499.86000000000058"/>
  </r>
  <r>
    <x v="7"/>
    <x v="1"/>
    <x v="0"/>
    <s v="2521200"/>
    <n v="718040"/>
    <s v="Contract Svcs-Laboratory"/>
    <s v="Heart &amp; Vascular-Tacoma-Card"/>
    <x v="0"/>
    <m/>
    <n v="51.2"/>
    <n v="0"/>
    <n v="0"/>
    <n v="0"/>
    <n v="0"/>
    <n v="0"/>
    <n v="0"/>
    <n v="0"/>
    <n v="98"/>
    <n v="43"/>
    <n v="0"/>
    <n v="0"/>
    <n v="192.2"/>
    <n v="0"/>
  </r>
  <r>
    <x v="7"/>
    <x v="1"/>
    <x v="0"/>
    <s v="2521200"/>
    <n v="718077"/>
    <s v="PACS"/>
    <s v="Heart &amp; Vascular-Tacoma-Card"/>
    <x v="0"/>
    <n v="1000"/>
    <n v="539.44000000000005"/>
    <n v="567.38"/>
    <n v="516.45000000000005"/>
    <n v="589.16"/>
    <n v="538.34"/>
    <n v="520.85"/>
    <n v="594.99"/>
    <n v="496.32"/>
    <n v="597.29999999999995"/>
    <n v="589.92999999999995"/>
    <n v="609.73"/>
    <n v="554.29"/>
    <n v="6714.1800000000012"/>
    <n v="55.440000000000055"/>
  </r>
  <r>
    <x v="11"/>
    <x v="1"/>
    <x v="0"/>
    <s v="2521200"/>
    <n v="721830"/>
    <s v="Supplies-Office"/>
    <s v="Heart &amp; Vascular-Tacoma-Card"/>
    <x v="0"/>
    <m/>
    <n v="0"/>
    <n v="0"/>
    <n v="0"/>
    <n v="0"/>
    <n v="0"/>
    <n v="242.37"/>
    <n v="0"/>
    <n v="0"/>
    <n v="0"/>
    <n v="0"/>
    <n v="0"/>
    <n v="0"/>
    <n v="242.37"/>
    <n v="0"/>
  </r>
  <r>
    <x v="11"/>
    <x v="1"/>
    <x v="0"/>
    <s v="2521200"/>
    <n v="721980"/>
    <s v="Supplies-Other"/>
    <s v="Heart &amp; Vascular-Tacoma-Card"/>
    <x v="0"/>
    <m/>
    <n v="0"/>
    <n v="0"/>
    <n v="0"/>
    <n v="0"/>
    <n v="0"/>
    <n v="0"/>
    <n v="0"/>
    <n v="0"/>
    <n v="18.38"/>
    <n v="0"/>
    <n v="0"/>
    <n v="0"/>
    <n v="18.38"/>
    <n v="0"/>
  </r>
  <r>
    <x v="15"/>
    <x v="1"/>
    <x v="0"/>
    <s v="2521200"/>
    <n v="731060"/>
    <s v="Pagers"/>
    <s v="Heart &amp; Vascular-Tacoma-Card"/>
    <x v="0"/>
    <n v="1002"/>
    <n v="106.92"/>
    <n v="72.900000000000006"/>
    <n v="72.900000000000006"/>
    <n v="73.08"/>
    <n v="45.55"/>
    <n v="0"/>
    <n v="146.16"/>
    <n v="73.08"/>
    <n v="73.08"/>
    <n v="73.08"/>
    <n v="73.08"/>
    <n v="73.08"/>
    <n v="882.9100000000002"/>
    <n v="0"/>
  </r>
  <r>
    <x v="13"/>
    <x v="1"/>
    <x v="0"/>
    <s v="2521200"/>
    <n v="735070"/>
    <s v="Depreciation-Movable Equipment"/>
    <s v="Heart &amp; Vascular-Tacoma-Card"/>
    <x v="0"/>
    <m/>
    <n v="171.89"/>
    <n v="171.89"/>
    <n v="171.89"/>
    <n v="171.89"/>
    <n v="10234.57"/>
    <n v="2685.97"/>
    <n v="2685.99"/>
    <n v="2685.97"/>
    <n v="2686"/>
    <n v="2754.88"/>
    <n v="2754.92"/>
    <n v="2754.87"/>
    <n v="29930.73"/>
    <n v="5.0000000000181899E-2"/>
  </r>
  <r>
    <x v="0"/>
    <x v="1"/>
    <x v="0"/>
    <s v="2521200"/>
    <n v="740010"/>
    <s v="Education-Materials"/>
    <s v="Heart &amp; Vascular-Tacoma-Card"/>
    <x v="0"/>
    <m/>
    <n v="0"/>
    <n v="0"/>
    <n v="0"/>
    <n v="80"/>
    <n v="0"/>
    <n v="0"/>
    <n v="0"/>
    <n v="0"/>
    <n v="0"/>
    <n v="0"/>
    <n v="0"/>
    <n v="0"/>
    <n v="80"/>
    <n v="0"/>
  </r>
  <r>
    <x v="0"/>
    <x v="1"/>
    <x v="0"/>
    <s v="2521200"/>
    <n v="740020"/>
    <s v="Education-Registration Fees"/>
    <s v="Heart &amp; Vascular-Tacoma-Card"/>
    <x v="0"/>
    <m/>
    <n v="0"/>
    <n v="0"/>
    <n v="0"/>
    <n v="510"/>
    <n v="0"/>
    <n v="0"/>
    <n v="0"/>
    <n v="0"/>
    <n v="0"/>
    <n v="0"/>
    <n v="0"/>
    <n v="0"/>
    <n v="510"/>
    <n v="0"/>
  </r>
  <r>
    <x v="0"/>
    <x v="1"/>
    <x v="0"/>
    <s v="2521200"/>
    <n v="740022"/>
    <s v="Education-Physician"/>
    <s v="Heart &amp; Vascular-Tacoma-Card"/>
    <x v="0"/>
    <m/>
    <n v="0"/>
    <n v="0"/>
    <n v="0"/>
    <n v="950"/>
    <n v="0"/>
    <n v="5383.41"/>
    <n v="2389"/>
    <n v="899"/>
    <n v="749"/>
    <n v="832"/>
    <n v="1542"/>
    <n v="5261.48"/>
    <n v="18005.89"/>
    <n v="-3719.4799999999996"/>
  </r>
  <r>
    <x v="0"/>
    <x v="1"/>
    <x v="0"/>
    <s v="2521200"/>
    <n v="740022"/>
    <s v="Books-Physician"/>
    <s v="Heart &amp; Vascular-Tacoma-Card"/>
    <x v="0"/>
    <n v="2000"/>
    <n v="0"/>
    <n v="0"/>
    <n v="0"/>
    <n v="0"/>
    <n v="0"/>
    <n v="650"/>
    <n v="0"/>
    <n v="0"/>
    <n v="0"/>
    <n v="398"/>
    <n v="1518.52"/>
    <n v="1564.5"/>
    <n v="4131.0200000000004"/>
    <n v="-45.980000000000018"/>
  </r>
  <r>
    <x v="0"/>
    <x v="1"/>
    <x v="0"/>
    <s v="2521200"/>
    <n v="740022"/>
    <s v="Education Travel-Physician"/>
    <s v="Heart &amp; Vascular-Tacoma-Card"/>
    <x v="0"/>
    <n v="2001"/>
    <n v="0"/>
    <n v="0"/>
    <n v="0"/>
    <n v="0"/>
    <n v="0"/>
    <n v="0"/>
    <n v="0"/>
    <n v="0"/>
    <n v="0"/>
    <n v="394.92"/>
    <n v="0"/>
    <n v="0"/>
    <n v="394.92"/>
    <n v="0"/>
  </r>
  <r>
    <x v="0"/>
    <x v="1"/>
    <x v="0"/>
    <s v="2521200"/>
    <n v="740023"/>
    <s v="Education-Advanced Practice Clinician"/>
    <s v="Heart &amp; Vascular-Tacoma-Card"/>
    <x v="0"/>
    <m/>
    <n v="0"/>
    <n v="0"/>
    <n v="0"/>
    <n v="303"/>
    <n v="898"/>
    <n v="0"/>
    <n v="478"/>
    <n v="1375.6"/>
    <n v="1649"/>
    <n v="0"/>
    <n v="1300"/>
    <n v="2403.12"/>
    <n v="8406.7200000000012"/>
    <n v="-1103.1199999999999"/>
  </r>
  <r>
    <x v="0"/>
    <x v="1"/>
    <x v="0"/>
    <s v="2521200"/>
    <n v="740023"/>
    <s v="Books-Advanced Practice Clinician"/>
    <s v="Heart &amp; Vascular-Tacoma-Card"/>
    <x v="0"/>
    <n v="2000"/>
    <n v="0"/>
    <n v="0"/>
    <n v="0"/>
    <n v="0"/>
    <n v="0"/>
    <n v="0"/>
    <n v="0"/>
    <n v="0"/>
    <n v="0"/>
    <n v="0"/>
    <n v="0"/>
    <n v="1963"/>
    <n v="1963"/>
    <n v="-1963"/>
  </r>
  <r>
    <x v="0"/>
    <x v="1"/>
    <x v="0"/>
    <s v="2521200"/>
    <n v="740023"/>
    <s v="Education Travel-Advanced Practice Clinician"/>
    <s v="Heart &amp; Vascular-Tacoma-Card"/>
    <x v="0"/>
    <n v="2001"/>
    <n v="0"/>
    <n v="0"/>
    <n v="0"/>
    <n v="0"/>
    <n v="0"/>
    <n v="0"/>
    <n v="0"/>
    <n v="0"/>
    <n v="0"/>
    <n v="0"/>
    <n v="1750"/>
    <n v="200"/>
    <n v="1950"/>
    <n v="1550"/>
  </r>
  <r>
    <x v="8"/>
    <x v="1"/>
    <x v="0"/>
    <s v="2521200"/>
    <n v="741012"/>
    <s v="Physician Liab Insurance-CHI Program"/>
    <s v="Heart &amp; Vascular-Tacoma-Card"/>
    <x v="0"/>
    <m/>
    <n v="10742.77"/>
    <n v="10742.77"/>
    <n v="10742.77"/>
    <n v="10742.77"/>
    <n v="10742.78"/>
    <n v="10742.77"/>
    <n v="10169.32"/>
    <n v="10316.469999999999"/>
    <n v="10316.48"/>
    <n v="10316.48"/>
    <n v="10752.51"/>
    <n v="10635.72"/>
    <n v="126963.61"/>
    <n v="116.79000000000087"/>
  </r>
  <r>
    <x v="0"/>
    <x v="1"/>
    <x v="0"/>
    <s v="2521200"/>
    <n v="743010"/>
    <s v="Dues--Institutional"/>
    <s v="Heart &amp; Vascular-Tacoma-Card"/>
    <x v="0"/>
    <m/>
    <n v="0"/>
    <n v="0"/>
    <n v="0"/>
    <n v="0"/>
    <n v="0"/>
    <n v="0"/>
    <n v="0"/>
    <n v="3000"/>
    <n v="0"/>
    <n v="0"/>
    <n v="0"/>
    <n v="160"/>
    <n v="3160"/>
    <n v="-160"/>
  </r>
  <r>
    <x v="0"/>
    <x v="1"/>
    <x v="0"/>
    <s v="2521200"/>
    <n v="743020"/>
    <s v="Dues--Individual"/>
    <s v="Heart &amp; Vascular-Tacoma-Card"/>
    <x v="0"/>
    <m/>
    <n v="0"/>
    <n v="0"/>
    <n v="0"/>
    <n v="105"/>
    <n v="0"/>
    <n v="0"/>
    <n v="0"/>
    <n v="4847"/>
    <n v="0"/>
    <n v="0"/>
    <n v="0"/>
    <n v="105"/>
    <n v="5057"/>
    <n v="-105"/>
  </r>
  <r>
    <x v="0"/>
    <x v="1"/>
    <x v="0"/>
    <s v="2521200"/>
    <n v="743022"/>
    <s v="Dues-Physician"/>
    <s v="Heart &amp; Vascular-Tacoma-Card"/>
    <x v="0"/>
    <m/>
    <n v="840"/>
    <n v="0"/>
    <n v="0"/>
    <n v="0"/>
    <n v="4410"/>
    <n v="353"/>
    <n v="1230"/>
    <n v="4379"/>
    <n v="0"/>
    <n v="731"/>
    <n v="1230"/>
    <n v="5595"/>
    <n v="18768"/>
    <n v="-4365"/>
  </r>
  <r>
    <x v="0"/>
    <x v="1"/>
    <x v="0"/>
    <s v="2521200"/>
    <n v="743030"/>
    <s v="Subscriptions--Institutional"/>
    <s v="Heart &amp; Vascular-Tacoma-Card"/>
    <x v="0"/>
    <m/>
    <n v="0"/>
    <n v="0"/>
    <n v="0"/>
    <n v="173"/>
    <n v="0"/>
    <n v="149.97999999999999"/>
    <n v="0"/>
    <n v="0"/>
    <n v="0"/>
    <n v="0"/>
    <n v="0"/>
    <n v="0"/>
    <n v="322.98"/>
    <n v="0"/>
  </r>
  <r>
    <x v="0"/>
    <x v="1"/>
    <x v="0"/>
    <s v="2521200"/>
    <n v="743042"/>
    <s v="Subscriptions-Physician"/>
    <s v="Heart &amp; Vascular-Tacoma-Card"/>
    <x v="0"/>
    <m/>
    <n v="0"/>
    <n v="0"/>
    <n v="0"/>
    <n v="0"/>
    <n v="0"/>
    <n v="0"/>
    <n v="0"/>
    <n v="0"/>
    <n v="0"/>
    <n v="0"/>
    <n v="0"/>
    <n v="1635"/>
    <n v="1635"/>
    <n v="-1635"/>
  </r>
  <r>
    <x v="0"/>
    <x v="1"/>
    <x v="0"/>
    <s v="2521200"/>
    <n v="743043"/>
    <s v="Subscriptions-Advanced Practice Clinician"/>
    <s v="Heart &amp; Vascular-Tacoma-Card"/>
    <x v="0"/>
    <m/>
    <n v="0"/>
    <n v="0"/>
    <n v="102.49"/>
    <n v="0"/>
    <n v="0"/>
    <n v="0"/>
    <n v="0"/>
    <n v="0"/>
    <n v="0"/>
    <n v="0"/>
    <n v="0"/>
    <n v="0"/>
    <n v="102.49"/>
    <n v="0"/>
  </r>
  <r>
    <x v="0"/>
    <x v="1"/>
    <x v="0"/>
    <s v="2521200"/>
    <n v="749510"/>
    <s v="Miscellaneous Expenses"/>
    <s v="Heart &amp; Vascular-Tacoma-Card"/>
    <x v="0"/>
    <m/>
    <n v="-11004.97"/>
    <n v="-779.4"/>
    <n v="734.51"/>
    <n v="1012.62"/>
    <n v="143.33000000000001"/>
    <n v="1525.56"/>
    <n v="-386.82"/>
    <n v="1502.52"/>
    <n v="-2114.1999999999998"/>
    <n v="4119.12"/>
    <n v="-2549.1999999999998"/>
    <n v="2350.3000000000002"/>
    <n v="-5446.6299999999983"/>
    <n v="-4899.5"/>
  </r>
  <r>
    <x v="0"/>
    <x v="1"/>
    <x v="0"/>
    <s v="2521200"/>
    <n v="749510"/>
    <s v="Licenses"/>
    <s v="Heart &amp; Vascular-Tacoma-Card"/>
    <x v="0"/>
    <n v="1002"/>
    <n v="0"/>
    <n v="0"/>
    <n v="0"/>
    <n v="350"/>
    <n v="0"/>
    <n v="0"/>
    <n v="0"/>
    <n v="0"/>
    <n v="0"/>
    <n v="0"/>
    <n v="0"/>
    <n v="0"/>
    <n v="350"/>
    <n v="0"/>
  </r>
  <r>
    <x v="0"/>
    <x v="1"/>
    <x v="0"/>
    <s v="2521200"/>
    <n v="749512"/>
    <s v="Licenses-Physician"/>
    <s v="Heart &amp; Vascular-Tacoma-Card"/>
    <x v="0"/>
    <n v="2000"/>
    <n v="0"/>
    <n v="213.54"/>
    <n v="675"/>
    <n v="0"/>
    <n v="657"/>
    <n v="2047.5"/>
    <n v="0"/>
    <n v="2119"/>
    <n v="0"/>
    <n v="0"/>
    <n v="657"/>
    <n v="4699.04"/>
    <n v="11068.08"/>
    <n v="-4042.04"/>
  </r>
  <r>
    <x v="0"/>
    <x v="1"/>
    <x v="0"/>
    <s v="2521200"/>
    <n v="749513"/>
    <s v="Licenses-Advanced Practice Clinician"/>
    <s v="Heart &amp; Vascular-Tacoma-Card"/>
    <x v="0"/>
    <n v="2000"/>
    <n v="0"/>
    <n v="0"/>
    <n v="740"/>
    <n v="0"/>
    <n v="731"/>
    <n v="204.5"/>
    <n v="120"/>
    <n v="247.5"/>
    <n v="242.5"/>
    <n v="0"/>
    <n v="731"/>
    <n v="0"/>
    <n v="3016.5"/>
    <n v="731"/>
  </r>
  <r>
    <x v="0"/>
    <x v="1"/>
    <x v="0"/>
    <s v="2521200"/>
    <n v="749530"/>
    <s v="Travel"/>
    <s v="Heart &amp; Vascular-Tacoma-Card"/>
    <x v="0"/>
    <m/>
    <n v="141"/>
    <n v="261"/>
    <n v="199"/>
    <n v="324"/>
    <n v="168"/>
    <n v="382"/>
    <n v="93"/>
    <n v="156"/>
    <n v="132"/>
    <n v="344"/>
    <n v="242"/>
    <n v="401"/>
    <n v="2843"/>
    <n v="-159"/>
  </r>
  <r>
    <x v="0"/>
    <x v="1"/>
    <x v="0"/>
    <s v="2521200"/>
    <n v="749530"/>
    <s v="Mileage"/>
    <s v="Heart &amp; Vascular-Tacoma-Card"/>
    <x v="0"/>
    <n v="1001"/>
    <n v="462.83"/>
    <n v="808.47"/>
    <n v="553.35"/>
    <n v="918.03"/>
    <n v="499.92"/>
    <n v="1232.04"/>
    <n v="292.36"/>
    <n v="550.41999999999996"/>
    <n v="561.44000000000005"/>
    <n v="1154.2"/>
    <n v="842.74"/>
    <n v="1348.5"/>
    <n v="9224.2999999999993"/>
    <n v="-505.76"/>
  </r>
  <r>
    <x v="0"/>
    <x v="1"/>
    <x v="0"/>
    <s v="2521200"/>
    <n v="749532"/>
    <s v="Travel-Physician"/>
    <s v="Heart &amp; Vascular-Tacoma-Card"/>
    <x v="0"/>
    <m/>
    <n v="100"/>
    <n v="0"/>
    <n v="60"/>
    <n v="3560.96"/>
    <n v="10"/>
    <n v="3894.36"/>
    <n v="5035.47"/>
    <n v="8287.91"/>
    <n v="2308.88"/>
    <n v="4052.43"/>
    <n v="0"/>
    <n v="3703.64"/>
    <n v="31013.65"/>
    <n v="-3703.64"/>
  </r>
  <r>
    <x v="0"/>
    <x v="1"/>
    <x v="0"/>
    <s v="2521200"/>
    <n v="749532"/>
    <s v="Vehicle Expense-Physician"/>
    <s v="Heart &amp; Vascular-Tacoma-Card"/>
    <x v="0"/>
    <n v="2001"/>
    <n v="534.20000000000005"/>
    <n v="0"/>
    <n v="299.33"/>
    <n v="37.619999999999997"/>
    <n v="39.25"/>
    <n v="241.55"/>
    <n v="630.16"/>
    <n v="110.98"/>
    <n v="46.98"/>
    <n v="399.22"/>
    <n v="0"/>
    <n v="44.08"/>
    <n v="2383.37"/>
    <n v="-44.08"/>
  </r>
  <r>
    <x v="0"/>
    <x v="1"/>
    <x v="0"/>
    <s v="2521200"/>
    <n v="749533"/>
    <s v="Travel-Advanced Practice Clinician"/>
    <s v="Heart &amp; Vascular-Tacoma-Card"/>
    <x v="0"/>
    <m/>
    <n v="62"/>
    <n v="30"/>
    <n v="5"/>
    <n v="70"/>
    <n v="1985.26"/>
    <n v="15"/>
    <n v="50"/>
    <n v="15"/>
    <n v="50"/>
    <n v="15"/>
    <n v="70"/>
    <n v="1104.71"/>
    <n v="3471.9700000000003"/>
    <n v="-1034.71"/>
  </r>
  <r>
    <x v="0"/>
    <x v="1"/>
    <x v="0"/>
    <s v="2521200"/>
    <n v="749533"/>
    <s v="Vehicle Expense-Advanced Practice Clinician"/>
    <s v="Heart &amp; Vascular-Tacoma-Card"/>
    <x v="0"/>
    <n v="2001"/>
    <n v="213.17"/>
    <n v="155.37"/>
    <n v="102.48"/>
    <n v="306.38"/>
    <n v="428.48"/>
    <n v="79.05"/>
    <n v="257.56"/>
    <n v="71.34"/>
    <n v="233.74"/>
    <n v="67.86"/>
    <n v="310.88"/>
    <n v="22.35"/>
    <n v="2248.66"/>
    <n v="288.52999999999997"/>
  </r>
  <r>
    <x v="0"/>
    <x v="1"/>
    <x v="0"/>
    <s v="2521200"/>
    <n v="749535"/>
    <s v="Meetings"/>
    <s v="Heart &amp; Vascular-Tacoma-Card"/>
    <x v="0"/>
    <m/>
    <n v="0"/>
    <n v="0"/>
    <n v="0"/>
    <n v="0"/>
    <n v="67.650000000000006"/>
    <n v="63.9"/>
    <n v="56.57"/>
    <n v="0"/>
    <n v="0"/>
    <n v="50.54"/>
    <n v="0"/>
    <n v="114.22"/>
    <n v="352.88"/>
    <n v="-114.22"/>
  </r>
  <r>
    <x v="9"/>
    <x v="1"/>
    <x v="0"/>
    <s v="2521200"/>
    <n v="800015"/>
    <s v="Interest Income-Ext to CHI"/>
    <s v="Heart &amp; Vascular-Tacoma-Card"/>
    <x v="0"/>
    <m/>
    <n v="-25.47"/>
    <n v="-24.41"/>
    <n v="-29.17"/>
    <n v="-99.78"/>
    <n v="-92.36"/>
    <n v="-91.11"/>
    <n v="-86.77"/>
    <n v="-74.459999999999994"/>
    <n v="-78.099999999999994"/>
    <n v="-71.39"/>
    <n v="-100.59"/>
    <n v="-190.99"/>
    <n v="-964.6"/>
    <n v="90.4"/>
  </r>
  <r>
    <x v="13"/>
    <x v="1"/>
    <x v="0"/>
    <s v="2522200"/>
    <n v="735070"/>
    <s v="Depreciation-Movable Equipment"/>
    <s v="Heart &amp; Vascular-Tacoma-Lab"/>
    <x v="0"/>
    <m/>
    <n v="0"/>
    <n v="2515.67"/>
    <n v="2515.67"/>
    <n v="2515.67"/>
    <n v="-7547.01"/>
    <n v="2515.67"/>
    <n v="2515.6799999999998"/>
    <n v="2515.67"/>
    <n v="2515.6799999999998"/>
    <n v="2515.67"/>
    <n v="2515.6799999999998"/>
    <n v="2515.67"/>
    <n v="17609.72"/>
    <n v="9.9999999997635314E-3"/>
  </r>
  <r>
    <x v="1"/>
    <x v="1"/>
    <x v="0"/>
    <s v="2523200"/>
    <n v="400029"/>
    <s v="MD Practice Other Rev--Medicare"/>
    <s v="Vascular Surg-Tacoma"/>
    <x v="0"/>
    <n v="1100"/>
    <n v="-10739"/>
    <n v="-9483"/>
    <n v="-8480"/>
    <n v="-5728"/>
    <n v="-6904"/>
    <n v="-10511"/>
    <n v="-10645"/>
    <n v="-8217"/>
    <n v="-12079"/>
    <n v="-19138"/>
    <n v="-13919"/>
    <n v="-16315"/>
    <n v="-132158"/>
    <n v="2396"/>
  </r>
  <r>
    <x v="1"/>
    <x v="1"/>
    <x v="0"/>
    <s v="2523200"/>
    <n v="400029"/>
    <s v="MD Practice Other Rev--Medicaid"/>
    <s v="Vascular Surg-Tacoma"/>
    <x v="0"/>
    <n v="1200"/>
    <n v="-1208"/>
    <n v="-827"/>
    <n v="-1729"/>
    <n v="-2673"/>
    <n v="-2751"/>
    <n v="-685"/>
    <n v="-1811"/>
    <n v="-1219"/>
    <n v="-781"/>
    <n v="-884"/>
    <n v="-1643"/>
    <n v="-4283"/>
    <n v="-20494"/>
    <n v="2640"/>
  </r>
  <r>
    <x v="1"/>
    <x v="1"/>
    <x v="0"/>
    <s v="2523200"/>
    <n v="400029"/>
    <s v="MD Practice Other Rev--Comm Insurance"/>
    <s v="Vascular Surg-Tacoma"/>
    <x v="0"/>
    <n v="1300"/>
    <n v="0"/>
    <n v="826"/>
    <n v="0"/>
    <n v="0"/>
    <n v="-433"/>
    <n v="-523"/>
    <n v="0"/>
    <n v="0"/>
    <n v="-421"/>
    <n v="-826"/>
    <n v="0"/>
    <n v="0"/>
    <n v="-1377"/>
    <n v="0"/>
  </r>
  <r>
    <x v="1"/>
    <x v="1"/>
    <x v="0"/>
    <s v="2523200"/>
    <n v="400029"/>
    <s v="MD Practice Other Rev--BCBS Comm"/>
    <s v="Vascular Surg-Tacoma"/>
    <x v="0"/>
    <n v="1301"/>
    <n v="0"/>
    <n v="0"/>
    <n v="-875"/>
    <n v="-433"/>
    <n v="-40"/>
    <n v="0"/>
    <n v="-822"/>
    <n v="0"/>
    <n v="-1210"/>
    <n v="-1179"/>
    <n v="-393"/>
    <n v="-1411"/>
    <n v="-6363"/>
    <n v="1018"/>
  </r>
  <r>
    <x v="1"/>
    <x v="1"/>
    <x v="0"/>
    <s v="2523200"/>
    <n v="400029"/>
    <s v="MD Practice Other Rev--Managed Care"/>
    <s v="Vascular Surg-Tacoma"/>
    <x v="0"/>
    <n v="1400"/>
    <n v="-1971"/>
    <n v="-277"/>
    <n v="-3076"/>
    <n v="-2691"/>
    <n v="-1331"/>
    <n v="-1521"/>
    <n v="-3418"/>
    <n v="-1865"/>
    <n v="-2500"/>
    <n v="-2478"/>
    <n v="-1563"/>
    <n v="-1693"/>
    <n v="-24384"/>
    <n v="130"/>
  </r>
  <r>
    <x v="1"/>
    <x v="1"/>
    <x v="0"/>
    <s v="2523200"/>
    <n v="400029"/>
    <s v="MD Practice Other Rev--Self Pay"/>
    <s v="Vascular Surg-Tacoma"/>
    <x v="0"/>
    <n v="1500"/>
    <n v="259"/>
    <n v="-259"/>
    <n v="-292"/>
    <n v="28"/>
    <n v="0"/>
    <n v="0"/>
    <n v="-264"/>
    <n v="0"/>
    <n v="0"/>
    <n v="-264"/>
    <n v="-2712"/>
    <n v="0"/>
    <n v="-3504"/>
    <n v="-2712"/>
  </r>
  <r>
    <x v="1"/>
    <x v="1"/>
    <x v="0"/>
    <s v="2523200"/>
    <n v="400029"/>
    <s v="MD Practice Other Rev--Other"/>
    <s v="Vascular Surg-Tacoma"/>
    <x v="0"/>
    <n v="1700"/>
    <n v="-286"/>
    <n v="0"/>
    <n v="256"/>
    <n v="0"/>
    <n v="311"/>
    <n v="-80"/>
    <n v="0"/>
    <n v="0"/>
    <n v="0"/>
    <n v="-732"/>
    <n v="286"/>
    <n v="-393"/>
    <n v="-638"/>
    <n v="679"/>
  </r>
  <r>
    <x v="1"/>
    <x v="1"/>
    <x v="0"/>
    <s v="2523200"/>
    <n v="400040"/>
    <s v="Physician Svcs Rev--Medicare"/>
    <s v="Vascular Surg-Tacoma"/>
    <x v="0"/>
    <n v="1100"/>
    <n v="-592846.75"/>
    <n v="-505482"/>
    <n v="-458939.25"/>
    <n v="-696878.3"/>
    <n v="-784616.6"/>
    <n v="-650808.80000000005"/>
    <n v="-718390"/>
    <n v="-649136.5"/>
    <n v="-720866"/>
    <n v="-812615.7"/>
    <n v="-669577.9"/>
    <n v="-569408.75"/>
    <n v="-7829566.5500000007"/>
    <n v="-100169.15000000002"/>
  </r>
  <r>
    <x v="1"/>
    <x v="1"/>
    <x v="0"/>
    <s v="2523200"/>
    <n v="400040"/>
    <s v="Physician Svcs Rev--Medicaid"/>
    <s v="Vascular Surg-Tacoma"/>
    <x v="0"/>
    <n v="1200"/>
    <n v="-73776"/>
    <n v="-101385.25"/>
    <n v="-99427"/>
    <n v="-152755"/>
    <n v="-154665"/>
    <n v="-83743.600000000006"/>
    <n v="-111087"/>
    <n v="-120709"/>
    <n v="-79471"/>
    <n v="-128697.15"/>
    <n v="-105541"/>
    <n v="-123207"/>
    <n v="-1334464"/>
    <n v="17666"/>
  </r>
  <r>
    <x v="1"/>
    <x v="1"/>
    <x v="0"/>
    <s v="2523200"/>
    <n v="400040"/>
    <s v="Physician Svcs Rev--Comm Insurance"/>
    <s v="Vascular Surg-Tacoma"/>
    <x v="0"/>
    <n v="1300"/>
    <n v="-15483"/>
    <n v="-1430"/>
    <n v="-7301"/>
    <n v="-12898"/>
    <n v="-22763"/>
    <n v="-11691"/>
    <n v="-13335"/>
    <n v="-9296"/>
    <n v="-21895"/>
    <n v="-23279"/>
    <n v="-6952"/>
    <n v="-22077"/>
    <n v="-168400"/>
    <n v="15125"/>
  </r>
  <r>
    <x v="1"/>
    <x v="1"/>
    <x v="0"/>
    <s v="2523200"/>
    <n v="400040"/>
    <s v="Physician Svcs Rev--BCBS Comm"/>
    <s v="Vascular Surg-Tacoma"/>
    <x v="0"/>
    <n v="1301"/>
    <n v="-25547"/>
    <n v="-26486"/>
    <n v="-35791"/>
    <n v="-33086"/>
    <n v="-38909"/>
    <n v="-21199"/>
    <n v="-36149.1"/>
    <n v="-32027"/>
    <n v="-31950"/>
    <n v="-34584.5"/>
    <n v="-38245"/>
    <n v="-46044"/>
    <n v="-400017.6"/>
    <n v="7799"/>
  </r>
  <r>
    <x v="1"/>
    <x v="1"/>
    <x v="0"/>
    <s v="2523200"/>
    <n v="400040"/>
    <s v="Physician Svcs Rev--Managed Care"/>
    <s v="Vascular Surg-Tacoma"/>
    <x v="0"/>
    <n v="1400"/>
    <n v="-160936"/>
    <n v="-136568"/>
    <n v="-162146.6"/>
    <n v="-182352"/>
    <n v="-230063"/>
    <n v="-157250"/>
    <n v="-184873"/>
    <n v="-204352.25"/>
    <n v="-159422"/>
    <n v="-170578.8"/>
    <n v="-122567.2"/>
    <n v="-149310.1"/>
    <n v="-2020418.9500000002"/>
    <n v="26742.900000000009"/>
  </r>
  <r>
    <x v="1"/>
    <x v="1"/>
    <x v="0"/>
    <s v="2523200"/>
    <n v="400040"/>
    <s v="Physician Svcs Rev--Self Pay"/>
    <s v="Vascular Surg-Tacoma"/>
    <x v="0"/>
    <n v="1500"/>
    <n v="-328"/>
    <n v="-5030"/>
    <n v="-6168"/>
    <n v="-4308"/>
    <n v="-15010"/>
    <n v="-4216"/>
    <n v="-15434"/>
    <n v="-319"/>
    <n v="-7112"/>
    <n v="-11252"/>
    <n v="-36951"/>
    <n v="-1705"/>
    <n v="-107833"/>
    <n v="-35246"/>
  </r>
  <r>
    <x v="1"/>
    <x v="1"/>
    <x v="0"/>
    <s v="2523200"/>
    <n v="400040"/>
    <s v="Physician Svcs Rev--Other"/>
    <s v="Vascular Surg-Tacoma"/>
    <x v="0"/>
    <n v="1700"/>
    <n v="-17278"/>
    <n v="-20299"/>
    <n v="-9050"/>
    <n v="-25512"/>
    <n v="-14397"/>
    <n v="-19736"/>
    <n v="-18773"/>
    <n v="-1368"/>
    <n v="-14147"/>
    <n v="-56506"/>
    <n v="-19796"/>
    <n v="-50994"/>
    <n v="-267856"/>
    <n v="31198"/>
  </r>
  <r>
    <x v="2"/>
    <x v="1"/>
    <x v="0"/>
    <s v="2523200"/>
    <n v="450029"/>
    <s v="Contr Allow--MD Other-Medicare"/>
    <s v="Vascular Surg-Tacoma"/>
    <x v="0"/>
    <n v="1100"/>
    <n v="2851.08"/>
    <n v="6683.57"/>
    <n v="5540.77"/>
    <n v="5425.74"/>
    <n v="4789.25"/>
    <n v="5262.87"/>
    <n v="7456.74"/>
    <n v="6305.98"/>
    <n v="3914.55"/>
    <n v="12090.8"/>
    <n v="9155.6299999999992"/>
    <n v="9001.2000000000007"/>
    <n v="78478.180000000008"/>
    <n v="154.42999999999847"/>
  </r>
  <r>
    <x v="2"/>
    <x v="1"/>
    <x v="0"/>
    <s v="2523200"/>
    <n v="450029"/>
    <s v="Contr Allow--MD Other-Medicaid"/>
    <s v="Vascular Surg-Tacoma"/>
    <x v="0"/>
    <n v="1200"/>
    <n v="1712.32"/>
    <n v="1035.93"/>
    <n v="809.81"/>
    <n v="1715.49"/>
    <n v="1143.47"/>
    <n v="1752.48"/>
    <n v="939.5"/>
    <n v="1382.45"/>
    <n v="947"/>
    <n v="788.5"/>
    <n v="488.3"/>
    <n v="1812.52"/>
    <n v="14527.77"/>
    <n v="-1324.22"/>
  </r>
  <r>
    <x v="2"/>
    <x v="1"/>
    <x v="0"/>
    <s v="2523200"/>
    <n v="450029"/>
    <s v="Contr Allow--MD Other-Comm Insurance"/>
    <s v="Vascular Surg-Tacoma"/>
    <x v="0"/>
    <n v="1300"/>
    <n v="0"/>
    <n v="0"/>
    <n v="0"/>
    <n v="0"/>
    <n v="211.11"/>
    <n v="288.05"/>
    <n v="0"/>
    <n v="0"/>
    <n v="0"/>
    <n v="0"/>
    <n v="0"/>
    <n v="0"/>
    <n v="499.16"/>
    <n v="0"/>
  </r>
  <r>
    <x v="2"/>
    <x v="1"/>
    <x v="0"/>
    <s v="2523200"/>
    <n v="450029"/>
    <s v="Contr Allow--MD Other BCBS Comm"/>
    <s v="Vascular Surg-Tacoma"/>
    <x v="0"/>
    <n v="1301"/>
    <n v="0"/>
    <n v="0"/>
    <n v="423.98"/>
    <n v="0"/>
    <n v="105.84"/>
    <n v="0"/>
    <n v="9.86"/>
    <n v="201.49"/>
    <n v="221.54"/>
    <n v="76.09"/>
    <n v="287.94"/>
    <n v="345.71"/>
    <n v="1672.45"/>
    <n v="-57.769999999999982"/>
  </r>
  <r>
    <x v="2"/>
    <x v="1"/>
    <x v="0"/>
    <s v="2523200"/>
    <n v="450029"/>
    <s v="Contr Allow--MD Other-Managed Care"/>
    <s v="Vascular Surg-Tacoma"/>
    <x v="0"/>
    <n v="1400"/>
    <n v="740.72"/>
    <n v="700.25"/>
    <n v="689.12"/>
    <n v="891.79"/>
    <n v="1206.0899999999999"/>
    <n v="952.92"/>
    <n v="512.64"/>
    <n v="976.59"/>
    <n v="1092.48"/>
    <n v="861.57"/>
    <n v="820.45"/>
    <n v="504.09"/>
    <n v="9948.7100000000009"/>
    <n v="316.36000000000007"/>
  </r>
  <r>
    <x v="2"/>
    <x v="1"/>
    <x v="0"/>
    <s v="2523200"/>
    <n v="450029"/>
    <s v="Prompt Pay Disc-MD Other-Self Pay"/>
    <s v="Vascular Surg-Tacoma"/>
    <x v="0"/>
    <n v="1500"/>
    <n v="0"/>
    <n v="0"/>
    <n v="0"/>
    <n v="0"/>
    <n v="0"/>
    <n v="0"/>
    <n v="0"/>
    <n v="0"/>
    <n v="0"/>
    <n v="0"/>
    <n v="0"/>
    <n v="150.1"/>
    <n v="150.1"/>
    <n v="-150.1"/>
  </r>
  <r>
    <x v="2"/>
    <x v="1"/>
    <x v="0"/>
    <s v="2523200"/>
    <n v="450029"/>
    <s v="Admin Adjust-MD Other-Self Pay"/>
    <s v="Vascular Surg-Tacoma"/>
    <x v="0"/>
    <n v="1600"/>
    <n v="0.59"/>
    <n v="18"/>
    <n v="-124.01"/>
    <n v="-107.98"/>
    <n v="109.22"/>
    <n v="-14.14"/>
    <n v="97.68"/>
    <n v="5.15"/>
    <n v="0"/>
    <n v="0"/>
    <n v="1127.24"/>
    <n v="0.04"/>
    <n v="1111.79"/>
    <n v="1127.2"/>
  </r>
  <r>
    <x v="2"/>
    <x v="1"/>
    <x v="0"/>
    <s v="2523200"/>
    <n v="450029"/>
    <s v="Contr Allow--MD Other-Other"/>
    <s v="Vascular Surg-Tacoma"/>
    <x v="0"/>
    <n v="1700"/>
    <n v="166.48"/>
    <n v="0"/>
    <n v="0"/>
    <n v="-106.19"/>
    <n v="0"/>
    <n v="0"/>
    <n v="50.62"/>
    <n v="0"/>
    <n v="0"/>
    <n v="0"/>
    <n v="123.56"/>
    <n v="248.72"/>
    <n v="483.19"/>
    <n v="-125.16"/>
  </r>
  <r>
    <x v="2"/>
    <x v="1"/>
    <x v="0"/>
    <s v="2523200"/>
    <n v="450040"/>
    <s v="Contr Allow--Phys Svcs--Mcare"/>
    <s v="Vascular Surg-Tacoma"/>
    <x v="0"/>
    <n v="1100"/>
    <n v="360487.71"/>
    <n v="368607.29"/>
    <n v="344315.03"/>
    <n v="393336.43"/>
    <n v="534818.22"/>
    <n v="514706.59"/>
    <n v="420446.67"/>
    <n v="471113.8"/>
    <n v="438980.53"/>
    <n v="601162.57999999996"/>
    <n v="424557.78"/>
    <n v="417626.74"/>
    <n v="5290159.37"/>
    <n v="6931.0400000000373"/>
  </r>
  <r>
    <x v="2"/>
    <x v="1"/>
    <x v="0"/>
    <s v="2523200"/>
    <n v="450040"/>
    <s v="Contr Allow--Phys Svcs--Mcaid"/>
    <s v="Vascular Surg-Tacoma"/>
    <x v="0"/>
    <n v="1200"/>
    <n v="58170.879999999997"/>
    <n v="74859.7"/>
    <n v="65563.56"/>
    <n v="113082.08"/>
    <n v="107571.23"/>
    <n v="101375.24"/>
    <n v="66609.81"/>
    <n v="93511.360000000001"/>
    <n v="70207.17"/>
    <n v="79137.240000000005"/>
    <n v="82512.039999999994"/>
    <n v="82946.39"/>
    <n v="995546.70000000007"/>
    <n v="-434.35000000000582"/>
  </r>
  <r>
    <x v="2"/>
    <x v="1"/>
    <x v="0"/>
    <s v="2523200"/>
    <n v="450040"/>
    <s v="Contr Allow--Phys Svcs--Comm Insurance"/>
    <s v="Vascular Surg-Tacoma"/>
    <x v="0"/>
    <n v="1300"/>
    <n v="6491.26"/>
    <n v="4902.88"/>
    <n v="3986.15"/>
    <n v="4749.58"/>
    <n v="8042.86"/>
    <n v="8403.23"/>
    <n v="3975.87"/>
    <n v="4367.2700000000004"/>
    <n v="2319.73"/>
    <n v="6808.56"/>
    <n v="2541.11"/>
    <n v="7492.01"/>
    <n v="64080.510000000009"/>
    <n v="-4950.8999999999996"/>
  </r>
  <r>
    <x v="2"/>
    <x v="1"/>
    <x v="0"/>
    <s v="2523200"/>
    <n v="450040"/>
    <s v="Contr Allow--Phys Svcs--BCBS Comm Ins"/>
    <s v="Vascular Surg-Tacoma"/>
    <x v="0"/>
    <n v="1301"/>
    <n v="14678.44"/>
    <n v="8591.51"/>
    <n v="13148.37"/>
    <n v="5519.08"/>
    <n v="13698.66"/>
    <n v="10958.22"/>
    <n v="11393.06"/>
    <n v="17739.5"/>
    <n v="15142.23"/>
    <n v="4879.49"/>
    <n v="10951.72"/>
    <n v="19089.72"/>
    <n v="145790"/>
    <n v="-8138.0000000000018"/>
  </r>
  <r>
    <x v="2"/>
    <x v="1"/>
    <x v="0"/>
    <s v="2523200"/>
    <n v="450040"/>
    <s v="Contr Allow--Phys Svcs--Managed Care"/>
    <s v="Vascular Surg-Tacoma"/>
    <x v="0"/>
    <n v="1400"/>
    <n v="75466.8"/>
    <n v="71386.399999999994"/>
    <n v="66278.850000000006"/>
    <n v="68411.600000000006"/>
    <n v="117898.4"/>
    <n v="69405.05"/>
    <n v="66059.11"/>
    <n v="64082.93"/>
    <n v="112386.12"/>
    <n v="71700.070000000007"/>
    <n v="54655.82"/>
    <n v="62847.040000000001"/>
    <n v="900578.19000000006"/>
    <n v="-8191.2200000000012"/>
  </r>
  <r>
    <x v="2"/>
    <x v="1"/>
    <x v="0"/>
    <s v="2523200"/>
    <n v="450040"/>
    <s v="Contr Allow--Phys Svcs--BCBS Mgnd Care"/>
    <s v="Vascular Surg-Tacoma"/>
    <x v="0"/>
    <n v="1401"/>
    <n v="17929.439999999999"/>
    <n v="-35880.769999999997"/>
    <n v="-9051.01"/>
    <n v="107031.91"/>
    <n v="21110.12"/>
    <n v="-63019.97"/>
    <n v="129130.45"/>
    <n v="21110.36"/>
    <n v="15664.22"/>
    <n v="35344.21"/>
    <n v="50507.9"/>
    <n v="-85373.5"/>
    <n v="204503.36"/>
    <n v="135881.4"/>
  </r>
  <r>
    <x v="2"/>
    <x v="1"/>
    <x v="0"/>
    <s v="2523200"/>
    <n v="450040"/>
    <s v="Prompt Pay Disc-Phys Svcs-Self Pay"/>
    <s v="Vascular Surg-Tacoma"/>
    <x v="0"/>
    <n v="1500"/>
    <n v="-37.69"/>
    <n v="333.48"/>
    <n v="0"/>
    <n v="0"/>
    <n v="-0.05"/>
    <n v="0"/>
    <n v="0"/>
    <n v="0"/>
    <n v="173.95"/>
    <n v="191.49"/>
    <n v="39.06"/>
    <n v="232.47"/>
    <n v="932.71"/>
    <n v="-193.41"/>
  </r>
  <r>
    <x v="2"/>
    <x v="1"/>
    <x v="0"/>
    <s v="2523200"/>
    <n v="450040"/>
    <s v="Admin Adjust-Phys Svcs-Self Pay"/>
    <s v="Vascular Surg-Tacoma"/>
    <x v="0"/>
    <n v="1600"/>
    <n v="219.63"/>
    <n v="4350.71"/>
    <n v="11687.93"/>
    <n v="3932.69"/>
    <n v="8847.92"/>
    <n v="-4137.2"/>
    <n v="8090.61"/>
    <n v="1921.82"/>
    <n v="338.6"/>
    <n v="4495.82"/>
    <n v="16266.88"/>
    <n v="155862.81"/>
    <n v="211878.21999999997"/>
    <n v="-139595.93"/>
  </r>
  <r>
    <x v="2"/>
    <x v="1"/>
    <x v="0"/>
    <s v="2523200"/>
    <n v="450040"/>
    <s v="Contr Allow--Phys Svcs--Other"/>
    <s v="Vascular Surg-Tacoma"/>
    <x v="0"/>
    <n v="1700"/>
    <n v="9972.4500000000007"/>
    <n v="12032.2"/>
    <n v="4339.78"/>
    <n v="7650.95"/>
    <n v="6440.99"/>
    <n v="10702.67"/>
    <n v="11133.81"/>
    <n v="13359.24"/>
    <n v="6939.37"/>
    <n v="11624.31"/>
    <n v="13925.4"/>
    <n v="13516.59"/>
    <n v="121637.75999999998"/>
    <n v="408.80999999999949"/>
  </r>
  <r>
    <x v="3"/>
    <x v="1"/>
    <x v="0"/>
    <s v="2523200"/>
    <n v="470040"/>
    <s v="Charity Care-Physician Svcs"/>
    <s v="Vascular Surg-Tacoma"/>
    <x v="0"/>
    <m/>
    <n v="2903.93"/>
    <n v="8861.93"/>
    <n v="3277.9"/>
    <n v="9700.8700000000008"/>
    <n v="6315.01"/>
    <n v="-319.41000000000003"/>
    <n v="11822.39"/>
    <n v="7427.83"/>
    <n v="7188.82"/>
    <n v="6060.7"/>
    <n v="4092.7"/>
    <n v="12346.61"/>
    <n v="79679.28"/>
    <n v="-8253.91"/>
  </r>
  <r>
    <x v="4"/>
    <x v="1"/>
    <x v="0"/>
    <s v="2523200"/>
    <n v="490010"/>
    <s v="Provision for Bad Debts"/>
    <s v="Vascular Surg-Tacoma"/>
    <x v="0"/>
    <m/>
    <n v="15154.76"/>
    <n v="8742.48"/>
    <n v="4448.5200000000004"/>
    <n v="19347.939999999999"/>
    <n v="19098.03"/>
    <n v="-8903.67"/>
    <n v="6320.34"/>
    <n v="-1655.31"/>
    <n v="10078.68"/>
    <n v="14418.02"/>
    <n v="10337.16"/>
    <n v="5514.14"/>
    <n v="102901.09"/>
    <n v="4823.0199999999995"/>
  </r>
  <r>
    <x v="14"/>
    <x v="1"/>
    <x v="0"/>
    <s v="2523200"/>
    <n v="600050"/>
    <s v="Miscellaneous Revenue"/>
    <s v="Vascular Surg-Tacoma"/>
    <x v="0"/>
    <m/>
    <n v="-156632.25"/>
    <n v="-168130.75"/>
    <n v="-142426.25"/>
    <n v="-156133.5"/>
    <n v="-165007.5"/>
    <n v="-157211.5"/>
    <n v="-166667.5"/>
    <n v="-138862"/>
    <n v="-160615.25"/>
    <n v="-166887.5"/>
    <n v="-218259"/>
    <n v="-150232.75"/>
    <n v="-1947065.75"/>
    <n v="-68026.25"/>
  </r>
  <r>
    <x v="5"/>
    <x v="1"/>
    <x v="0"/>
    <s v="2523200"/>
    <n v="700014"/>
    <s v="Salaries-Management-Other"/>
    <s v="Vascular Surg-Tacoma"/>
    <x v="0"/>
    <n v="2000"/>
    <n v="437.5"/>
    <n v="0"/>
    <n v="0"/>
    <n v="0"/>
    <n v="0"/>
    <n v="0"/>
    <n v="0"/>
    <n v="0"/>
    <n v="0"/>
    <n v="0"/>
    <n v="0"/>
    <n v="0"/>
    <n v="437.5"/>
    <n v="0"/>
  </r>
  <r>
    <x v="5"/>
    <x v="1"/>
    <x v="0"/>
    <s v="2523200"/>
    <n v="700020"/>
    <s v="Salaries-Physician Admin-Other"/>
    <s v="Vascular Surg-Tacoma"/>
    <x v="0"/>
    <n v="2000"/>
    <n v="0"/>
    <n v="0"/>
    <n v="0"/>
    <n v="5550"/>
    <n v="0"/>
    <n v="3150"/>
    <n v="0"/>
    <n v="6000"/>
    <n v="2925"/>
    <n v="3000"/>
    <n v="0"/>
    <n v="6000"/>
    <n v="26625"/>
    <n v="-6000"/>
  </r>
  <r>
    <x v="5"/>
    <x v="1"/>
    <x v="0"/>
    <s v="2523200"/>
    <n v="700022"/>
    <s v="Salaries-Physician-Productive"/>
    <s v="Vascular Surg-Tacoma"/>
    <x v="0"/>
    <m/>
    <n v="213105.74"/>
    <n v="220722.65"/>
    <n v="177005.9"/>
    <n v="202175.52"/>
    <n v="191548.48"/>
    <n v="182666.4"/>
    <n v="200369.42"/>
    <n v="181194.4"/>
    <n v="188720.33"/>
    <n v="236997.85"/>
    <n v="259009.82"/>
    <n v="271671.61"/>
    <n v="2525188.1199999996"/>
    <n v="-12661.789999999979"/>
  </r>
  <r>
    <x v="5"/>
    <x v="1"/>
    <x v="0"/>
    <s v="2523200"/>
    <n v="700022"/>
    <s v="Salaries-Physician-Other"/>
    <s v="Vascular Surg-Tacoma"/>
    <x v="0"/>
    <n v="2000"/>
    <n v="7000"/>
    <n v="6058.75"/>
    <n v="2800"/>
    <n v="0"/>
    <n v="10780"/>
    <n v="1050"/>
    <n v="2450"/>
    <n v="4900"/>
    <n v="0"/>
    <n v="5250"/>
    <n v="2100"/>
    <n v="0"/>
    <n v="42388.75"/>
    <n v="2100"/>
  </r>
  <r>
    <x v="5"/>
    <x v="1"/>
    <x v="0"/>
    <s v="2523200"/>
    <n v="700022"/>
    <s v="Salaries-Physician-Provider Incentive"/>
    <s v="Vascular Surg-Tacoma"/>
    <x v="0"/>
    <n v="4003"/>
    <n v="0"/>
    <n v="1000"/>
    <n v="0"/>
    <n v="0"/>
    <n v="0"/>
    <n v="0"/>
    <n v="0"/>
    <n v="0"/>
    <n v="0"/>
    <n v="0"/>
    <n v="0"/>
    <n v="0"/>
    <n v="1000"/>
    <n v="0"/>
  </r>
  <r>
    <x v="5"/>
    <x v="1"/>
    <x v="0"/>
    <s v="2523200"/>
    <n v="700024"/>
    <s v="Salaries-Advanced Practice Clinician-Productive"/>
    <s v="Vascular Surg-Tacoma"/>
    <x v="0"/>
    <m/>
    <n v="45607.7"/>
    <n v="47680.81"/>
    <n v="41461.56"/>
    <n v="47680.78"/>
    <n v="41713.49"/>
    <n v="40808.660000000003"/>
    <n v="44763.64"/>
    <n v="39130.949999999997"/>
    <n v="41629.24"/>
    <n v="43514.65"/>
    <n v="29564.7"/>
    <n v="35370.120000000003"/>
    <n v="498926.30000000005"/>
    <n v="-5805.4200000000019"/>
  </r>
  <r>
    <x v="5"/>
    <x v="1"/>
    <x v="0"/>
    <s v="2523200"/>
    <n v="700024"/>
    <s v="Salaries-Advanced Practice Clinician-Other"/>
    <s v="Vascular Surg-Tacoma"/>
    <x v="0"/>
    <n v="2000"/>
    <n v="2393.75"/>
    <n v="2565"/>
    <n v="2966.25"/>
    <n v="5417.5"/>
    <n v="5822.5"/>
    <n v="6662.5"/>
    <n v="4402.5"/>
    <n v="2193.21"/>
    <n v="5505.65"/>
    <n v="4647.5"/>
    <n v="300"/>
    <n v="6766.75"/>
    <n v="49643.11"/>
    <n v="-6466.75"/>
  </r>
  <r>
    <x v="5"/>
    <x v="1"/>
    <x v="0"/>
    <s v="2523200"/>
    <n v="700024"/>
    <s v="Salaries-Advanced Practice Clinician-Provider Incentive"/>
    <s v="Vascular Surg-Tacoma"/>
    <x v="0"/>
    <n v="4003"/>
    <n v="0"/>
    <n v="2000"/>
    <n v="0"/>
    <n v="0"/>
    <n v="2000"/>
    <n v="0"/>
    <n v="0"/>
    <n v="2002.94"/>
    <n v="0"/>
    <n v="0"/>
    <n v="2005.88"/>
    <n v="-2.94"/>
    <n v="8005.880000000001"/>
    <n v="2008.8200000000002"/>
  </r>
  <r>
    <x v="5"/>
    <x v="1"/>
    <x v="0"/>
    <s v="2523200"/>
    <n v="700026"/>
    <s v="Salaries-RN-Productive"/>
    <s v="Vascular Surg-Tacoma"/>
    <x v="0"/>
    <m/>
    <n v="6091.38"/>
    <n v="13850.16"/>
    <n v="11338.08"/>
    <n v="11629.61"/>
    <n v="12722.26"/>
    <n v="9730.68"/>
    <n v="12615.47"/>
    <n v="10642.37"/>
    <n v="11177.38"/>
    <n v="13760.13"/>
    <n v="12683.7"/>
    <n v="12510.66"/>
    <n v="138751.88"/>
    <n v="173.04000000000087"/>
  </r>
  <r>
    <x v="5"/>
    <x v="1"/>
    <x v="0"/>
    <s v="2523200"/>
    <n v="700026"/>
    <s v="Salaries-RN-OT"/>
    <s v="Vascular Surg-Tacoma"/>
    <x v="0"/>
    <n v="1000"/>
    <n v="146.21"/>
    <n v="463.61"/>
    <n v="0"/>
    <n v="129.07"/>
    <n v="-57.36"/>
    <n v="29.07"/>
    <n v="19"/>
    <n v="13.58"/>
    <n v="17.87"/>
    <n v="296.75"/>
    <n v="219.82"/>
    <n v="135.91999999999999"/>
    <n v="1413.5400000000002"/>
    <n v="83.9"/>
  </r>
  <r>
    <x v="5"/>
    <x v="1"/>
    <x v="0"/>
    <s v="2523200"/>
    <n v="700026"/>
    <s v="Salaries-RN-Other"/>
    <s v="Vascular Surg-Tacoma"/>
    <x v="0"/>
    <n v="2000"/>
    <n v="30"/>
    <n v="26"/>
    <n v="-4.75"/>
    <n v="0"/>
    <n v="0"/>
    <n v="0"/>
    <n v="0"/>
    <n v="0"/>
    <n v="0"/>
    <n v="0"/>
    <n v="0"/>
    <n v="37.799999999999997"/>
    <n v="89.05"/>
    <n v="-37.799999999999997"/>
  </r>
  <r>
    <x v="5"/>
    <x v="1"/>
    <x v="0"/>
    <s v="2523200"/>
    <n v="700030"/>
    <s v="Salaries-LPN-Productive"/>
    <s v="Vascular Surg-Tacoma"/>
    <x v="0"/>
    <m/>
    <n v="4003.9"/>
    <n v="4142.16"/>
    <n v="3643.44"/>
    <n v="4953.6899999999996"/>
    <n v="4188.67"/>
    <n v="3760.74"/>
    <n v="3539.89"/>
    <n v="3854.92"/>
    <n v="4001.52"/>
    <n v="4849.6400000000003"/>
    <n v="4257.67"/>
    <n v="4278.78"/>
    <n v="49475.01999999999"/>
    <n v="-21.109999999999673"/>
  </r>
  <r>
    <x v="5"/>
    <x v="1"/>
    <x v="0"/>
    <s v="2523200"/>
    <n v="700030"/>
    <s v="Salaries-LPN-OT"/>
    <s v="Vascular Surg-Tacoma"/>
    <x v="0"/>
    <n v="1000"/>
    <n v="137.59"/>
    <n v="-11.62"/>
    <n v="0"/>
    <n v="0"/>
    <n v="0"/>
    <n v="9.99"/>
    <n v="0"/>
    <n v="0"/>
    <n v="29.99"/>
    <n v="20"/>
    <n v="0"/>
    <n v="30"/>
    <n v="215.95000000000002"/>
    <n v="-30"/>
  </r>
  <r>
    <x v="5"/>
    <x v="1"/>
    <x v="0"/>
    <s v="2523200"/>
    <n v="700030"/>
    <s v="Salaries-LPN-Other"/>
    <s v="Vascular Surg-Tacoma"/>
    <x v="0"/>
    <n v="2000"/>
    <n v="0"/>
    <n v="0"/>
    <n v="0"/>
    <n v="0"/>
    <n v="0"/>
    <n v="0"/>
    <n v="0"/>
    <n v="0"/>
    <n v="0"/>
    <n v="11.48"/>
    <n v="3.29"/>
    <n v="0"/>
    <n v="14.77"/>
    <n v="3.29"/>
  </r>
  <r>
    <x v="5"/>
    <x v="1"/>
    <x v="0"/>
    <s v="2523200"/>
    <n v="700032"/>
    <s v="Salaries-Other Pat Care Providers-Productive"/>
    <s v="Vascular Surg-Tacoma"/>
    <x v="0"/>
    <m/>
    <n v="6362.12"/>
    <n v="6800.67"/>
    <n v="5676.36"/>
    <n v="7286.92"/>
    <n v="6383.53"/>
    <n v="4809.3599999999997"/>
    <n v="8453.69"/>
    <n v="5792.16"/>
    <n v="7545.61"/>
    <n v="4642.3999999999996"/>
    <n v="7718.38"/>
    <n v="3129.94"/>
    <n v="74601.14"/>
    <n v="4588.4400000000005"/>
  </r>
  <r>
    <x v="5"/>
    <x v="1"/>
    <x v="0"/>
    <s v="2523200"/>
    <n v="700032"/>
    <s v="Salaries-Other Pat Care Providers-OT"/>
    <s v="Vascular Surg-Tacoma"/>
    <x v="0"/>
    <n v="1000"/>
    <n v="85.2"/>
    <n v="-10.46"/>
    <n v="0"/>
    <n v="56.83"/>
    <n v="-18.61"/>
    <n v="7.76"/>
    <n v="26.33"/>
    <n v="-7.52"/>
    <n v="58.26"/>
    <n v="-11.65"/>
    <n v="0"/>
    <n v="24.93"/>
    <n v="211.07"/>
    <n v="-24.93"/>
  </r>
  <r>
    <x v="5"/>
    <x v="1"/>
    <x v="0"/>
    <s v="2523200"/>
    <n v="700032"/>
    <s v="Salaries-Other Pat Care Providers-Other"/>
    <s v="Vascular Surg-Tacoma"/>
    <x v="0"/>
    <n v="2000"/>
    <n v="0"/>
    <n v="0"/>
    <n v="0"/>
    <n v="0"/>
    <n v="0"/>
    <n v="0"/>
    <n v="35.1"/>
    <n v="21.24"/>
    <n v="35.549999999999997"/>
    <n v="16.12"/>
    <n v="-3.85"/>
    <n v="26.04"/>
    <n v="130.20000000000002"/>
    <n v="-29.89"/>
  </r>
  <r>
    <x v="5"/>
    <x v="1"/>
    <x v="0"/>
    <s v="2523200"/>
    <n v="700038"/>
    <s v="Salaries-Service/Support-Productive"/>
    <s v="Vascular Surg-Tacoma"/>
    <x v="0"/>
    <m/>
    <n v="0"/>
    <n v="0"/>
    <n v="776.61"/>
    <n v="-160.41"/>
    <n v="0"/>
    <n v="0"/>
    <n v="0"/>
    <n v="0"/>
    <n v="0"/>
    <n v="0"/>
    <n v="0"/>
    <n v="0"/>
    <n v="616.20000000000005"/>
    <n v="0"/>
  </r>
  <r>
    <x v="5"/>
    <x v="1"/>
    <x v="0"/>
    <s v="2523200"/>
    <n v="700054"/>
    <s v="Salaries-Management-NonProd-Other"/>
    <s v="Vascular Surg-Tacoma"/>
    <x v="0"/>
    <n v="2000"/>
    <n v="0"/>
    <n v="0"/>
    <n v="0"/>
    <n v="0"/>
    <n v="0"/>
    <n v="392.53"/>
    <n v="-392.53"/>
    <n v="0"/>
    <n v="0"/>
    <n v="0"/>
    <n v="0"/>
    <n v="0"/>
    <n v="0"/>
    <n v="0"/>
  </r>
  <r>
    <x v="5"/>
    <x v="1"/>
    <x v="0"/>
    <s v="2523200"/>
    <n v="700062"/>
    <s v="Salaries-Physician-Non-productive"/>
    <s v="Vascular Surg-Tacoma"/>
    <x v="0"/>
    <m/>
    <n v="0"/>
    <n v="0"/>
    <n v="0"/>
    <n v="0"/>
    <n v="0"/>
    <n v="0"/>
    <n v="0"/>
    <n v="0"/>
    <n v="0"/>
    <n v="4038.49"/>
    <n v="105861.02"/>
    <n v="-46626.69"/>
    <n v="63272.820000000007"/>
    <n v="152487.71000000002"/>
  </r>
  <r>
    <x v="5"/>
    <x v="1"/>
    <x v="0"/>
    <s v="2523200"/>
    <n v="700062"/>
    <s v="Salaries-Physician-NonProd-Other"/>
    <s v="Vascular Surg-Tacoma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3200"/>
    <n v="700064"/>
    <s v="Salaries-Advanced Practice Clinician-Non-Productive"/>
    <s v="Vascular Surg-Tacoma"/>
    <x v="0"/>
    <m/>
    <n v="3243.64"/>
    <n v="3232.23"/>
    <n v="3210.17"/>
    <n v="3200.87"/>
    <n v="3181.72"/>
    <n v="3171.89"/>
    <n v="3159.24"/>
    <n v="3127.82"/>
    <n v="3125.11"/>
    <n v="3110.57"/>
    <n v="19027.349999999999"/>
    <n v="-2743.93"/>
    <n v="48046.68"/>
    <n v="21771.279999999999"/>
  </r>
  <r>
    <x v="5"/>
    <x v="1"/>
    <x v="0"/>
    <s v="2523200"/>
    <n v="700066"/>
    <s v="Salaries-RN-Non-productive"/>
    <s v="Vascular Surg-Tacoma"/>
    <x v="0"/>
    <m/>
    <n v="0"/>
    <n v="842.4"/>
    <n v="0"/>
    <n v="0"/>
    <n v="1216.55"/>
    <n v="2464.61"/>
    <n v="2137.81"/>
    <n v="1310.26"/>
    <n v="2169.65"/>
    <n v="-137.38"/>
    <n v="1612.62"/>
    <n v="1256.7"/>
    <n v="12873.220000000001"/>
    <n v="355.91999999999985"/>
  </r>
  <r>
    <x v="5"/>
    <x v="1"/>
    <x v="0"/>
    <s v="2523200"/>
    <n v="700066"/>
    <s v="Salaries-RN-NonProd-Other"/>
    <s v="Vascular Surg-Tacoma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3200"/>
    <n v="700070"/>
    <s v="Salaries-LPN-Non-productive"/>
    <s v="Vascular Surg-Tacoma"/>
    <x v="0"/>
    <m/>
    <n v="563.30999999999995"/>
    <n v="612.41"/>
    <n v="490.96"/>
    <n v="-38.880000000000003"/>
    <n v="488.48"/>
    <n v="278.17"/>
    <n v="1386.31"/>
    <n v="191.94"/>
    <n v="555.84"/>
    <n v="113.99"/>
    <n v="319.25"/>
    <n v="219.94"/>
    <n v="5181.7199999999993"/>
    <n v="99.31"/>
  </r>
  <r>
    <x v="5"/>
    <x v="1"/>
    <x v="0"/>
    <s v="2523200"/>
    <n v="700070"/>
    <s v="Salaries-LPN-NonProd-Other"/>
    <s v="Vascular Surg-Tacoma"/>
    <x v="0"/>
    <n v="2000"/>
    <n v="0"/>
    <n v="0"/>
    <n v="0"/>
    <n v="0"/>
    <n v="342.25"/>
    <n v="0"/>
    <n v="0"/>
    <n v="-342.25"/>
    <n v="0"/>
    <n v="0"/>
    <n v="0"/>
    <n v="0"/>
    <n v="0"/>
    <n v="0"/>
  </r>
  <r>
    <x v="5"/>
    <x v="1"/>
    <x v="0"/>
    <s v="2523200"/>
    <n v="700072"/>
    <s v="Salaries-Other Pat Care Providers-Non-productive"/>
    <s v="Vascular Surg-Tacoma"/>
    <x v="0"/>
    <m/>
    <n v="889.02"/>
    <n v="551.96"/>
    <n v="760.29"/>
    <n v="592.08000000000004"/>
    <n v="995.95"/>
    <n v="1659.76"/>
    <n v="1107.42"/>
    <n v="1315.11"/>
    <n v="880.95"/>
    <n v="1065.02"/>
    <n v="768.94"/>
    <n v="-136.19999999999999"/>
    <n v="10450.300000000001"/>
    <n v="905.1400000000001"/>
  </r>
  <r>
    <x v="5"/>
    <x v="1"/>
    <x v="0"/>
    <s v="2523200"/>
    <n v="700072"/>
    <s v="Salaries-Other Pat Care Providers-NonProd-Other"/>
    <s v="Vascular Surg-Tacoma"/>
    <x v="0"/>
    <n v="2000"/>
    <n v="6.32"/>
    <n v="-1.05"/>
    <n v="0"/>
    <n v="0"/>
    <n v="0"/>
    <n v="0"/>
    <n v="0"/>
    <n v="0"/>
    <n v="0"/>
    <n v="0"/>
    <n v="0"/>
    <n v="0"/>
    <n v="5.2700000000000005"/>
    <n v="0"/>
  </r>
  <r>
    <x v="5"/>
    <x v="1"/>
    <x v="0"/>
    <s v="2523200"/>
    <n v="700084"/>
    <s v="Accrued PTO"/>
    <s v="Vascular Surg-Tacoma"/>
    <x v="0"/>
    <m/>
    <n v="319.41000000000003"/>
    <n v="697.52"/>
    <n v="564.64"/>
    <n v="1636.02"/>
    <n v="344.52"/>
    <n v="-1541.9"/>
    <n v="-1810.35"/>
    <n v="-816.84"/>
    <n v="-14.04"/>
    <n v="1219.5"/>
    <n v="140.19"/>
    <n v="211.13"/>
    <n v="949.80000000000007"/>
    <n v="-70.94"/>
  </r>
  <r>
    <x v="6"/>
    <x v="1"/>
    <x v="0"/>
    <s v="2523200"/>
    <n v="713010"/>
    <s v="Benefits-FICA/Medicare"/>
    <s v="Vascular Surg-Tacoma"/>
    <x v="0"/>
    <m/>
    <n v="8022.93"/>
    <n v="9964.42"/>
    <n v="7297.88"/>
    <n v="7491.55"/>
    <n v="6591.78"/>
    <n v="12698.26"/>
    <n v="20842.72"/>
    <n v="14282.83"/>
    <n v="7567.27"/>
    <n v="10216.19"/>
    <n v="14712.61"/>
    <n v="8996.7099999999991"/>
    <n v="128685.15000000002"/>
    <n v="5715.9000000000015"/>
  </r>
  <r>
    <x v="6"/>
    <x v="1"/>
    <x v="0"/>
    <s v="2523200"/>
    <n v="713090"/>
    <s v="Benefits-Allocated Amounts"/>
    <s v="Vascular Surg-Tacoma"/>
    <x v="0"/>
    <m/>
    <n v="0"/>
    <n v="0"/>
    <n v="0"/>
    <n v="0"/>
    <n v="0"/>
    <n v="0"/>
    <n v="0"/>
    <n v="0"/>
    <n v="81437.47"/>
    <n v="10325.33"/>
    <n v="13087.45"/>
    <n v="9783.9500000000007"/>
    <n v="114634.2"/>
    <n v="3303.5"/>
  </r>
  <r>
    <x v="6"/>
    <x v="1"/>
    <x v="0"/>
    <s v="2523200"/>
    <n v="713092"/>
    <s v="Allocated Benefits-Physician"/>
    <s v="Vascular Surg-Tacoma"/>
    <x v="0"/>
    <m/>
    <n v="13313.86"/>
    <n v="12668.58"/>
    <n v="11768.5"/>
    <n v="12125.54"/>
    <n v="12119.77"/>
    <n v="12318.08"/>
    <n v="15221.91"/>
    <n v="14500.78"/>
    <n v="-47799.89"/>
    <n v="7130.22"/>
    <n v="9037.6200000000008"/>
    <n v="6756.37"/>
    <n v="79161.34"/>
    <n v="2281.2500000000009"/>
  </r>
  <r>
    <x v="6"/>
    <x v="1"/>
    <x v="0"/>
    <s v="2523200"/>
    <n v="713093"/>
    <s v="Allocated Benefits-Advanced Practice Clinician"/>
    <s v="Vascular Surg-Tacoma"/>
    <x v="0"/>
    <m/>
    <n v="9424.18"/>
    <n v="8967.43"/>
    <n v="8330.31"/>
    <n v="8583.0400000000009"/>
    <n v="8578.9599999999991"/>
    <n v="8719.32"/>
    <n v="10774.79"/>
    <n v="10264.35"/>
    <n v="-6419.43"/>
    <n v="8523.1"/>
    <n v="10803.1"/>
    <n v="8076.22"/>
    <n v="94625.370000000024"/>
    <n v="2726.88"/>
  </r>
  <r>
    <x v="7"/>
    <x v="1"/>
    <x v="0"/>
    <s v="2523200"/>
    <n v="718040"/>
    <s v="Contract Svcs-Laboratory"/>
    <s v="Vascular Surg-Tacoma"/>
    <x v="0"/>
    <m/>
    <n v="0"/>
    <n v="0"/>
    <n v="0"/>
    <n v="0"/>
    <n v="0"/>
    <n v="0"/>
    <n v="0"/>
    <n v="0"/>
    <n v="78"/>
    <n v="0"/>
    <n v="46.95"/>
    <n v="0"/>
    <n v="124.95"/>
    <n v="46.95"/>
  </r>
  <r>
    <x v="7"/>
    <x v="1"/>
    <x v="0"/>
    <s v="2523200"/>
    <n v="718077"/>
    <s v="PACS"/>
    <s v="Vascular Surg-Tacoma"/>
    <x v="0"/>
    <n v="1000"/>
    <n v="0"/>
    <n v="0"/>
    <n v="0"/>
    <n v="0"/>
    <n v="0"/>
    <n v="0"/>
    <n v="0"/>
    <n v="2.25"/>
    <n v="0"/>
    <n v="0"/>
    <n v="0"/>
    <n v="0"/>
    <n v="2.25"/>
    <n v="0"/>
  </r>
  <r>
    <x v="11"/>
    <x v="1"/>
    <x v="0"/>
    <s v="2523200"/>
    <n v="721250"/>
    <s v="Supplies-Pharmacy Drugs - Billable"/>
    <s v="Vascular Surg-Tacoma"/>
    <x v="0"/>
    <m/>
    <n v="0"/>
    <n v="302.24"/>
    <n v="0"/>
    <n v="0"/>
    <n v="0"/>
    <n v="18.89"/>
    <n v="439.54"/>
    <n v="0"/>
    <n v="472.34"/>
    <n v="1.66"/>
    <n v="264.88"/>
    <n v="95.36"/>
    <n v="1594.91"/>
    <n v="169.51999999999998"/>
  </r>
  <r>
    <x v="11"/>
    <x v="1"/>
    <x v="0"/>
    <s v="2523200"/>
    <n v="721410"/>
    <s v="Supplies-Medical - Nonbillable"/>
    <s v="Vascular Surg-Tacoma"/>
    <x v="0"/>
    <m/>
    <n v="164.18"/>
    <n v="832.69"/>
    <n v="1338.71"/>
    <n v="756.15"/>
    <n v="148.66999999999999"/>
    <n v="461.15"/>
    <n v="425.31"/>
    <n v="1614.68"/>
    <n v="3570.81"/>
    <n v="790.05"/>
    <n v="63.15"/>
    <n v="1836.43"/>
    <n v="12001.98"/>
    <n v="-1773.28"/>
  </r>
  <r>
    <x v="11"/>
    <x v="1"/>
    <x v="0"/>
    <s v="2523200"/>
    <n v="722000"/>
    <s v="Supplies-Freight Expense"/>
    <s v="Vascular Surg-Tacoma"/>
    <x v="0"/>
    <m/>
    <n v="0"/>
    <n v="0"/>
    <n v="0"/>
    <n v="1.02"/>
    <n v="0"/>
    <n v="0"/>
    <n v="0"/>
    <n v="0"/>
    <n v="0"/>
    <n v="40"/>
    <n v="0"/>
    <n v="17"/>
    <n v="58.02"/>
    <n v="-17"/>
  </r>
  <r>
    <x v="0"/>
    <x v="1"/>
    <x v="0"/>
    <s v="2523200"/>
    <n v="740010"/>
    <s v="Education-Materials"/>
    <s v="Vascular Surg-Tacoma"/>
    <x v="0"/>
    <m/>
    <n v="0"/>
    <n v="0"/>
    <n v="0"/>
    <n v="0"/>
    <n v="0"/>
    <n v="0"/>
    <n v="0"/>
    <n v="0"/>
    <n v="0"/>
    <n v="175"/>
    <n v="0"/>
    <n v="0"/>
    <n v="175"/>
    <n v="0"/>
  </r>
  <r>
    <x v="0"/>
    <x v="1"/>
    <x v="0"/>
    <s v="2523200"/>
    <n v="740020"/>
    <s v="Education-Registration Fees"/>
    <s v="Vascular Surg-Tacoma"/>
    <x v="0"/>
    <m/>
    <n v="0"/>
    <n v="0"/>
    <n v="0"/>
    <n v="0"/>
    <n v="0"/>
    <n v="0"/>
    <n v="0"/>
    <n v="45"/>
    <n v="0"/>
    <n v="0"/>
    <n v="0"/>
    <n v="0"/>
    <n v="45"/>
    <n v="0"/>
  </r>
  <r>
    <x v="0"/>
    <x v="1"/>
    <x v="0"/>
    <s v="2523200"/>
    <n v="740022"/>
    <s v="Education-Physician"/>
    <s v="Vascular Surg-Tacoma"/>
    <x v="0"/>
    <m/>
    <n v="0"/>
    <n v="0"/>
    <n v="0"/>
    <n v="500"/>
    <n v="0"/>
    <n v="795"/>
    <n v="617.15"/>
    <n v="0"/>
    <n v="0"/>
    <n v="0"/>
    <n v="621"/>
    <n v="0"/>
    <n v="2533.15"/>
    <n v="621"/>
  </r>
  <r>
    <x v="0"/>
    <x v="1"/>
    <x v="0"/>
    <s v="2523200"/>
    <n v="740023"/>
    <s v="Education-Advanced Practice Clinician"/>
    <s v="Vascular Surg-Tacoma"/>
    <x v="0"/>
    <m/>
    <n v="0"/>
    <n v="0"/>
    <n v="0"/>
    <n v="0"/>
    <n v="0"/>
    <n v="615"/>
    <n v="695"/>
    <n v="665"/>
    <n v="0"/>
    <n v="750"/>
    <n v="0"/>
    <n v="0"/>
    <n v="2725"/>
    <n v="0"/>
  </r>
  <r>
    <x v="0"/>
    <x v="1"/>
    <x v="0"/>
    <s v="2523200"/>
    <n v="740023"/>
    <s v="Education Travel-Advanced Practice Clinician"/>
    <s v="Vascular Surg-Tacoma"/>
    <x v="0"/>
    <n v="2001"/>
    <n v="0"/>
    <n v="0"/>
    <n v="0"/>
    <n v="0"/>
    <n v="0"/>
    <n v="0"/>
    <n v="0"/>
    <n v="466.79"/>
    <n v="0"/>
    <n v="0"/>
    <n v="0"/>
    <n v="0"/>
    <n v="466.79"/>
    <n v="0"/>
  </r>
  <r>
    <x v="8"/>
    <x v="1"/>
    <x v="0"/>
    <s v="2523200"/>
    <n v="741012"/>
    <s v="Physician Liab Insurance-CHI Program"/>
    <s v="Vascular Surg-Tacoma"/>
    <x v="0"/>
    <m/>
    <n v="11330.17"/>
    <n v="9562.16"/>
    <n v="6755.03"/>
    <n v="6755.03"/>
    <n v="5746.13"/>
    <n v="6650.31"/>
    <n v="6650.34"/>
    <n v="6650.31"/>
    <n v="6650.34"/>
    <n v="6650.32"/>
    <n v="10051.42"/>
    <n v="10051.39"/>
    <n v="93502.949999999983"/>
    <n v="3.0000000000654836E-2"/>
  </r>
  <r>
    <x v="0"/>
    <x v="1"/>
    <x v="0"/>
    <s v="2523200"/>
    <n v="743020"/>
    <s v="Dues--Individual"/>
    <s v="Vascular Surg-Tacoma"/>
    <x v="0"/>
    <m/>
    <n v="0"/>
    <n v="0"/>
    <n v="0"/>
    <n v="0"/>
    <n v="0"/>
    <n v="0"/>
    <n v="0"/>
    <n v="1195"/>
    <n v="0"/>
    <n v="0"/>
    <n v="0"/>
    <n v="0"/>
    <n v="1195"/>
    <n v="0"/>
  </r>
  <r>
    <x v="0"/>
    <x v="1"/>
    <x v="0"/>
    <s v="2523200"/>
    <n v="743020"/>
    <s v="Provider-Dues"/>
    <s v="Vascular Surg-Tacoma"/>
    <x v="0"/>
    <n v="2200"/>
    <n v="0"/>
    <n v="0"/>
    <n v="420"/>
    <n v="0"/>
    <n v="0"/>
    <n v="0"/>
    <n v="0"/>
    <n v="0"/>
    <n v="0"/>
    <n v="0"/>
    <n v="0"/>
    <n v="0"/>
    <n v="420"/>
    <n v="0"/>
  </r>
  <r>
    <x v="0"/>
    <x v="1"/>
    <x v="0"/>
    <s v="2523200"/>
    <n v="743022"/>
    <s v="Dues-Physician"/>
    <s v="Vascular Surg-Tacoma"/>
    <x v="0"/>
    <m/>
    <n v="0"/>
    <n v="0"/>
    <n v="0"/>
    <n v="747"/>
    <n v="707"/>
    <n v="1025"/>
    <n v="1289"/>
    <n v="968"/>
    <n v="0"/>
    <n v="0"/>
    <n v="0"/>
    <n v="0"/>
    <n v="4736"/>
    <n v="0"/>
  </r>
  <r>
    <x v="0"/>
    <x v="1"/>
    <x v="0"/>
    <s v="2523200"/>
    <n v="743023"/>
    <s v="Dues-Advanced Practice Clinician"/>
    <s v="Vascular Surg-Tacoma"/>
    <x v="0"/>
    <m/>
    <n v="0"/>
    <n v="0"/>
    <n v="0"/>
    <n v="0"/>
    <n v="0"/>
    <n v="0"/>
    <n v="0"/>
    <n v="0"/>
    <n v="52"/>
    <n v="135"/>
    <n v="0"/>
    <n v="295"/>
    <n v="482"/>
    <n v="-295"/>
  </r>
  <r>
    <x v="0"/>
    <x v="1"/>
    <x v="0"/>
    <s v="2523200"/>
    <n v="743042"/>
    <s v="Subscriptions-Physician"/>
    <s v="Vascular Surg-Tacoma"/>
    <x v="0"/>
    <m/>
    <n v="0"/>
    <n v="0"/>
    <n v="0"/>
    <n v="0"/>
    <n v="0"/>
    <n v="0"/>
    <n v="599.9"/>
    <n v="0"/>
    <n v="0"/>
    <n v="0"/>
    <n v="0"/>
    <n v="0"/>
    <n v="599.9"/>
    <n v="0"/>
  </r>
  <r>
    <x v="0"/>
    <x v="1"/>
    <x v="0"/>
    <s v="2523200"/>
    <n v="749510"/>
    <s v="Miscellaneous Expenses"/>
    <s v="Vascular Surg-Tacoma"/>
    <x v="0"/>
    <m/>
    <n v="-2580.4899999999998"/>
    <n v="-534.35"/>
    <n v="65.680000000000007"/>
    <n v="-283.77999999999997"/>
    <n v="5"/>
    <n v="-5"/>
    <n v="1210.04"/>
    <n v="-1104.6400000000001"/>
    <n v="-23.4"/>
    <n v="-82"/>
    <n v="12.76"/>
    <n v="44.64"/>
    <n v="-3275.54"/>
    <n v="-31.880000000000003"/>
  </r>
  <r>
    <x v="0"/>
    <x v="1"/>
    <x v="0"/>
    <s v="2523200"/>
    <n v="749510"/>
    <s v="RICE Rewards"/>
    <s v="Vascular Surg-Tacoma"/>
    <x v="0"/>
    <n v="5100"/>
    <n v="0"/>
    <n v="0"/>
    <n v="0"/>
    <n v="0"/>
    <n v="1884"/>
    <n v="0"/>
    <n v="0"/>
    <n v="0"/>
    <n v="0"/>
    <n v="0"/>
    <n v="0"/>
    <n v="0"/>
    <n v="1884"/>
    <n v="0"/>
  </r>
  <r>
    <x v="0"/>
    <x v="1"/>
    <x v="0"/>
    <s v="2523200"/>
    <n v="749512"/>
    <s v="Licenses-Physician"/>
    <s v="Vascular Surg-Tacoma"/>
    <x v="0"/>
    <n v="2000"/>
    <n v="0"/>
    <n v="731"/>
    <n v="130"/>
    <n v="0"/>
    <n v="0"/>
    <n v="0"/>
    <n v="0"/>
    <n v="0"/>
    <n v="657"/>
    <n v="657"/>
    <n v="0"/>
    <n v="0"/>
    <n v="2175"/>
    <n v="0"/>
  </r>
  <r>
    <x v="0"/>
    <x v="1"/>
    <x v="0"/>
    <s v="2523200"/>
    <n v="749513"/>
    <s v="Licenses-Advanced Practice Clinician"/>
    <s v="Vascular Surg-Tacoma"/>
    <x v="0"/>
    <n v="2000"/>
    <n v="0"/>
    <n v="0"/>
    <n v="202.5"/>
    <n v="404"/>
    <n v="0"/>
    <n v="150"/>
    <n v="0"/>
    <n v="0"/>
    <n v="0"/>
    <n v="122.5"/>
    <n v="0"/>
    <n v="0"/>
    <n v="879"/>
    <n v="0"/>
  </r>
  <r>
    <x v="0"/>
    <x v="1"/>
    <x v="0"/>
    <s v="2523200"/>
    <n v="749530"/>
    <s v="Travel"/>
    <s v="Vascular Surg-Tacoma"/>
    <x v="0"/>
    <m/>
    <n v="30"/>
    <n v="48"/>
    <n v="78"/>
    <n v="60"/>
    <n v="18"/>
    <n v="5"/>
    <n v="12"/>
    <n v="5"/>
    <n v="88"/>
    <n v="59"/>
    <n v="24"/>
    <n v="30"/>
    <n v="457"/>
    <n v="-6"/>
  </r>
  <r>
    <x v="0"/>
    <x v="1"/>
    <x v="0"/>
    <s v="2523200"/>
    <n v="749530"/>
    <s v="Mileage"/>
    <s v="Vascular Surg-Tacoma"/>
    <x v="0"/>
    <n v="1001"/>
    <n v="96.5"/>
    <n v="138.47999999999999"/>
    <n v="193.54"/>
    <n v="158.1"/>
    <n v="37.07"/>
    <n v="0"/>
    <n v="69.73"/>
    <n v="20.3"/>
    <n v="376.42"/>
    <n v="129.91999999999999"/>
    <n v="259.83999999999997"/>
    <n v="80.040000000000006"/>
    <n v="1559.94"/>
    <n v="179.79999999999995"/>
  </r>
  <r>
    <x v="0"/>
    <x v="1"/>
    <x v="0"/>
    <s v="2523200"/>
    <n v="749532"/>
    <s v="Travel-Physician"/>
    <s v="Vascular Surg-Tacoma"/>
    <x v="0"/>
    <m/>
    <n v="0"/>
    <n v="180"/>
    <n v="1030.95"/>
    <n v="0"/>
    <n v="0"/>
    <n v="522.39"/>
    <n v="60"/>
    <n v="0"/>
    <n v="0"/>
    <n v="0"/>
    <n v="451.84"/>
    <n v="3243.54"/>
    <n v="5488.72"/>
    <n v="-2791.7"/>
  </r>
  <r>
    <x v="0"/>
    <x v="1"/>
    <x v="0"/>
    <s v="2523200"/>
    <n v="749532"/>
    <s v="Vehicle Expense-Physician"/>
    <s v="Vascular Surg-Tacoma"/>
    <x v="0"/>
    <n v="2001"/>
    <n v="0"/>
    <n v="275.83999999999997"/>
    <n v="0"/>
    <n v="0"/>
    <n v="0"/>
    <n v="0"/>
    <n v="89.39"/>
    <n v="0"/>
    <n v="0"/>
    <n v="0"/>
    <n v="0"/>
    <n v="0"/>
    <n v="365.22999999999996"/>
    <n v="0"/>
  </r>
  <r>
    <x v="0"/>
    <x v="1"/>
    <x v="0"/>
    <s v="2523200"/>
    <n v="749533"/>
    <s v="Travel-Advanced Practice Clinician"/>
    <s v="Vascular Surg-Tacoma"/>
    <x v="0"/>
    <m/>
    <n v="12"/>
    <n v="5"/>
    <n v="15"/>
    <n v="16.5"/>
    <n v="5"/>
    <n v="1360.52"/>
    <n v="1738.37"/>
    <n v="1373.2"/>
    <n v="20"/>
    <n v="2214.42"/>
    <n v="0"/>
    <n v="0"/>
    <n v="6760.01"/>
    <n v="0"/>
  </r>
  <r>
    <x v="0"/>
    <x v="1"/>
    <x v="0"/>
    <s v="2523200"/>
    <n v="749533"/>
    <s v="Vehicle Expense-Advanced Practice Clinician"/>
    <s v="Vascular Surg-Tacoma"/>
    <x v="0"/>
    <n v="2001"/>
    <n v="175"/>
    <n v="16.36"/>
    <n v="121.04"/>
    <n v="109.58"/>
    <n v="32.71"/>
    <n v="32.159999999999997"/>
    <n v="165.35"/>
    <n v="22.77"/>
    <n v="110.78"/>
    <n v="78.88"/>
    <n v="0"/>
    <n v="12.76"/>
    <n v="877.39"/>
    <n v="-12.76"/>
  </r>
  <r>
    <x v="9"/>
    <x v="1"/>
    <x v="0"/>
    <s v="2523200"/>
    <n v="800015"/>
    <s v="Interest Income-Ext to CHI"/>
    <s v="Vascular Surg-Tacoma"/>
    <x v="0"/>
    <m/>
    <n v="-326.98"/>
    <n v="-315.56"/>
    <n v="-293.51"/>
    <n v="-284.20999999999998"/>
    <n v="-265.05"/>
    <n v="-255.22"/>
    <n v="-242.57"/>
    <n v="-211.15"/>
    <n v="-208.44"/>
    <n v="-482.39"/>
    <n v="-658.89"/>
    <n v="-606.20000000000005"/>
    <n v="-4150.17"/>
    <n v="-52.689999999999941"/>
  </r>
  <r>
    <x v="1"/>
    <x v="1"/>
    <x v="0"/>
    <s v="2524200"/>
    <n v="400029"/>
    <s v="MD Practice Other Rev--Medicare"/>
    <s v="Heart &amp; Vascular-Auburn-Card"/>
    <x v="0"/>
    <n v="1100"/>
    <n v="-71265"/>
    <n v="-46325"/>
    <n v="-44029"/>
    <n v="-100588"/>
    <n v="-55677"/>
    <n v="-58774"/>
    <n v="-64420"/>
    <n v="-68077"/>
    <n v="-71332"/>
    <n v="-77631"/>
    <n v="-75473"/>
    <n v="-78063"/>
    <n v="-811654"/>
    <n v="2590"/>
  </r>
  <r>
    <x v="1"/>
    <x v="1"/>
    <x v="0"/>
    <s v="2524200"/>
    <n v="400029"/>
    <s v="MD Practice Other Rev--Medicaid"/>
    <s v="Heart &amp; Vascular-Auburn-Card"/>
    <x v="0"/>
    <n v="1200"/>
    <n v="-5622"/>
    <n v="-11113"/>
    <n v="-7805"/>
    <n v="-10403"/>
    <n v="-8900"/>
    <n v="-11106"/>
    <n v="-15362"/>
    <n v="-10371"/>
    <n v="-11796"/>
    <n v="-14104"/>
    <n v="-9942"/>
    <n v="-6776"/>
    <n v="-123300"/>
    <n v="-3166"/>
  </r>
  <r>
    <x v="1"/>
    <x v="1"/>
    <x v="0"/>
    <s v="2524200"/>
    <n v="400029"/>
    <s v="MD Practice Other Rev--Comm Insurance"/>
    <s v="Heart &amp; Vascular-Auburn-Card"/>
    <x v="0"/>
    <n v="1300"/>
    <n v="-1355"/>
    <n v="260"/>
    <n v="-4338"/>
    <n v="-438"/>
    <n v="-218"/>
    <n v="-1612"/>
    <n v="-657"/>
    <n v="-1831"/>
    <n v="-1382"/>
    <n v="-843"/>
    <n v="-1612"/>
    <n v="0"/>
    <n v="-14026"/>
    <n v="-1612"/>
  </r>
  <r>
    <x v="1"/>
    <x v="1"/>
    <x v="0"/>
    <s v="2524200"/>
    <n v="400029"/>
    <s v="MD Practice Other Rev--BCBS Comm"/>
    <s v="Heart &amp; Vascular-Auburn-Card"/>
    <x v="0"/>
    <n v="1301"/>
    <n v="-10270"/>
    <n v="-9298"/>
    <n v="-6404"/>
    <n v="-6570"/>
    <n v="-1555"/>
    <n v="-7723"/>
    <n v="-7959"/>
    <n v="-8773"/>
    <n v="-9348"/>
    <n v="-8754"/>
    <n v="-3802"/>
    <n v="-4527"/>
    <n v="-84983"/>
    <n v="725"/>
  </r>
  <r>
    <x v="1"/>
    <x v="1"/>
    <x v="0"/>
    <s v="2524200"/>
    <n v="400029"/>
    <s v="MD Practice Other Rev--Managed Care"/>
    <s v="Heart &amp; Vascular-Auburn-Card"/>
    <x v="0"/>
    <n v="1400"/>
    <n v="-24125"/>
    <n v="-24011"/>
    <n v="-22485"/>
    <n v="-24735"/>
    <n v="-18136"/>
    <n v="-20121"/>
    <n v="-26989"/>
    <n v="-19320"/>
    <n v="-25147"/>
    <n v="-17403"/>
    <n v="-27798"/>
    <n v="-8587"/>
    <n v="-258857"/>
    <n v="-19211"/>
  </r>
  <r>
    <x v="1"/>
    <x v="1"/>
    <x v="0"/>
    <s v="2524200"/>
    <n v="400029"/>
    <s v="MD Practice Other Rev--Self Pay"/>
    <s v="Heart &amp; Vascular-Auburn-Card"/>
    <x v="0"/>
    <n v="1500"/>
    <n v="-2297"/>
    <n v="-1831"/>
    <n v="-657"/>
    <n v="-438"/>
    <n v="-405"/>
    <n v="-657"/>
    <n v="-1384"/>
    <n v="-219"/>
    <n v="-1820"/>
    <n v="-876"/>
    <n v="-438"/>
    <n v="-219"/>
    <n v="-11241"/>
    <n v="-219"/>
  </r>
  <r>
    <x v="1"/>
    <x v="1"/>
    <x v="0"/>
    <s v="2524200"/>
    <n v="400029"/>
    <s v="MD Practice Other Rev--Other"/>
    <s v="Heart &amp; Vascular-Auburn-Card"/>
    <x v="0"/>
    <n v="1700"/>
    <n v="-1531"/>
    <n v="-439"/>
    <n v="-439"/>
    <n v="-221"/>
    <n v="-1777"/>
    <n v="-3224"/>
    <n v="-2488"/>
    <n v="-219"/>
    <n v="-2050"/>
    <n v="-6415"/>
    <n v="-438"/>
    <n v="-219"/>
    <n v="-19460"/>
    <n v="-219"/>
  </r>
  <r>
    <x v="1"/>
    <x v="1"/>
    <x v="0"/>
    <s v="2524200"/>
    <n v="400040"/>
    <s v="Physician Svcs Rev--Medicare"/>
    <s v="Heart &amp; Vascular-Auburn-Card"/>
    <x v="0"/>
    <n v="1100"/>
    <n v="-802223.8"/>
    <n v="-713940.73"/>
    <n v="-732513.37"/>
    <n v="-856572.52"/>
    <n v="-738613.81"/>
    <n v="-688679.83"/>
    <n v="-854604.61"/>
    <n v="-724363.02"/>
    <n v="-897764.61"/>
    <n v="-953512.76"/>
    <n v="-909147.9"/>
    <n v="-926547.5"/>
    <n v="-9798484.459999999"/>
    <n v="17399.599999999977"/>
  </r>
  <r>
    <x v="1"/>
    <x v="1"/>
    <x v="0"/>
    <s v="2524200"/>
    <n v="400040"/>
    <s v="Physician Svcs Rev--Medicaid"/>
    <s v="Heart &amp; Vascular-Auburn-Card"/>
    <x v="0"/>
    <n v="1200"/>
    <n v="-173663.5"/>
    <n v="-173953.11"/>
    <n v="-154654.92000000001"/>
    <n v="-175895.2"/>
    <n v="-181632.65"/>
    <n v="-139151.4"/>
    <n v="-213686.7"/>
    <n v="-175198.61"/>
    <n v="-179135.41"/>
    <n v="-216016.62"/>
    <n v="-200649.83"/>
    <n v="-186681.61"/>
    <n v="-2170319.5599999996"/>
    <n v="-13968.220000000001"/>
  </r>
  <r>
    <x v="1"/>
    <x v="1"/>
    <x v="0"/>
    <s v="2524200"/>
    <n v="400040"/>
    <s v="Physician Svcs Rev--Comm Insurance"/>
    <s v="Heart &amp; Vascular-Auburn-Card"/>
    <x v="0"/>
    <n v="1300"/>
    <n v="-19446"/>
    <n v="-26024.799999999999"/>
    <n v="-20209"/>
    <n v="-19281.21"/>
    <n v="-23166.05"/>
    <n v="-14823"/>
    <n v="-18046"/>
    <n v="-32696"/>
    <n v="-29220"/>
    <n v="-35123"/>
    <n v="-24885.8"/>
    <n v="-19875"/>
    <n v="-282795.86"/>
    <n v="-5010.7999999999993"/>
  </r>
  <r>
    <x v="1"/>
    <x v="1"/>
    <x v="0"/>
    <s v="2524200"/>
    <n v="400040"/>
    <s v="Physician Svcs Rev--BCBS Comm"/>
    <s v="Heart &amp; Vascular-Auburn-Card"/>
    <x v="0"/>
    <n v="1301"/>
    <n v="-67005.8"/>
    <n v="-70767.8"/>
    <n v="-67587.8"/>
    <n v="-80169.8"/>
    <n v="-83135.520000000004"/>
    <n v="-84084.2"/>
    <n v="-100929.60000000001"/>
    <n v="-91874"/>
    <n v="-94736.6"/>
    <n v="-92114.2"/>
    <n v="-89473.8"/>
    <n v="-73728.039999999994"/>
    <n v="-995607.16"/>
    <n v="-15745.760000000009"/>
  </r>
  <r>
    <x v="1"/>
    <x v="1"/>
    <x v="0"/>
    <s v="2524200"/>
    <n v="400040"/>
    <s v="Physician Svcs Rev--Managed Care"/>
    <s v="Heart &amp; Vascular-Auburn-Card"/>
    <x v="0"/>
    <n v="1400"/>
    <n v="-281569.42"/>
    <n v="-264340"/>
    <n v="-225121.4"/>
    <n v="-270760.92"/>
    <n v="-248444.01"/>
    <n v="-271954.93"/>
    <n v="-321264.09999999998"/>
    <n v="-271268.40000000002"/>
    <n v="-264143.23"/>
    <n v="-283726.67"/>
    <n v="-304690.01"/>
    <n v="-284200.77"/>
    <n v="-3291483.86"/>
    <n v="-20489.239999999991"/>
  </r>
  <r>
    <x v="1"/>
    <x v="1"/>
    <x v="0"/>
    <s v="2524200"/>
    <n v="400040"/>
    <s v="Physician Svcs Rev--Self Pay"/>
    <s v="Heart &amp; Vascular-Auburn-Card"/>
    <x v="0"/>
    <n v="1500"/>
    <n v="-20711"/>
    <n v="-34317.01"/>
    <n v="-25603.99"/>
    <n v="-16321"/>
    <n v="-32927.61"/>
    <n v="-16474"/>
    <n v="-33227.11"/>
    <n v="-5281"/>
    <n v="-19470"/>
    <n v="-31507.81"/>
    <n v="-384.98"/>
    <n v="-21034.9"/>
    <n v="-257260.40999999997"/>
    <n v="20649.920000000002"/>
  </r>
  <r>
    <x v="1"/>
    <x v="1"/>
    <x v="0"/>
    <s v="2524200"/>
    <n v="400040"/>
    <s v="Physician Svcs Rev--Other"/>
    <s v="Heart &amp; Vascular-Auburn-Card"/>
    <x v="0"/>
    <n v="1700"/>
    <n v="-15627"/>
    <n v="-8478"/>
    <n v="-17969.009999999998"/>
    <n v="-33057"/>
    <n v="-10865.1"/>
    <n v="-25326.51"/>
    <n v="-25051"/>
    <n v="-22974.1"/>
    <n v="-24316"/>
    <n v="-30597"/>
    <n v="-21712"/>
    <n v="-18392"/>
    <n v="-254364.72"/>
    <n v="-3320"/>
  </r>
  <r>
    <x v="2"/>
    <x v="1"/>
    <x v="0"/>
    <s v="2524200"/>
    <n v="450029"/>
    <s v="Contr Allow--MD Other-Medicare"/>
    <s v="Heart &amp; Vascular-Auburn-Card"/>
    <x v="0"/>
    <n v="1100"/>
    <n v="50667.5"/>
    <n v="38110.730000000003"/>
    <n v="20792.05"/>
    <n v="44153.64"/>
    <n v="47466.69"/>
    <n v="33560.410000000003"/>
    <n v="37997.879999999997"/>
    <n v="38971.870000000003"/>
    <n v="43209.93"/>
    <n v="48176.6"/>
    <n v="32817.68"/>
    <n v="48028.62"/>
    <n v="483953.6"/>
    <n v="-15210.940000000002"/>
  </r>
  <r>
    <x v="2"/>
    <x v="1"/>
    <x v="0"/>
    <s v="2524200"/>
    <n v="450029"/>
    <s v="Contr Allow--MD Other-Medicaid"/>
    <s v="Heart &amp; Vascular-Auburn-Card"/>
    <x v="0"/>
    <n v="1200"/>
    <n v="7182.1"/>
    <n v="8731.24"/>
    <n v="7163.96"/>
    <n v="7332.77"/>
    <n v="2757.49"/>
    <n v="7201.77"/>
    <n v="10305.030000000001"/>
    <n v="7294.44"/>
    <n v="11653.9"/>
    <n v="8080.14"/>
    <n v="5358.31"/>
    <n v="5748.5"/>
    <n v="88809.65"/>
    <n v="-390.1899999999996"/>
  </r>
  <r>
    <x v="2"/>
    <x v="1"/>
    <x v="0"/>
    <s v="2524200"/>
    <n v="450029"/>
    <s v="Contr Allow--MD Other-Comm Insurance"/>
    <s v="Heart &amp; Vascular-Auburn-Card"/>
    <x v="0"/>
    <n v="1300"/>
    <n v="1083.72"/>
    <n v="-154.41999999999999"/>
    <n v="584.9"/>
    <n v="326.25"/>
    <n v="414.6"/>
    <n v="-19.75"/>
    <n v="733.67"/>
    <n v="65.819999999999993"/>
    <n v="892.23"/>
    <n v="-282.24"/>
    <n v="578.37"/>
    <n v="356.6"/>
    <n v="4579.7500000000009"/>
    <n v="221.76999999999998"/>
  </r>
  <r>
    <x v="2"/>
    <x v="1"/>
    <x v="0"/>
    <s v="2524200"/>
    <n v="450029"/>
    <s v="Contr Allow--MD Other BCBS Comm"/>
    <s v="Heart &amp; Vascular-Auburn-Card"/>
    <x v="0"/>
    <n v="1301"/>
    <n v="2962.47"/>
    <n v="2199.9299999999998"/>
    <n v="2211.4899999999998"/>
    <n v="1612.65"/>
    <n v="357.15"/>
    <n v="2437.48"/>
    <n v="1579.93"/>
    <n v="1638.01"/>
    <n v="2401.08"/>
    <n v="1638.61"/>
    <n v="2230.02"/>
    <n v="2190.4"/>
    <n v="23459.22"/>
    <n v="39.619999999999891"/>
  </r>
  <r>
    <x v="2"/>
    <x v="1"/>
    <x v="0"/>
    <s v="2524200"/>
    <n v="450029"/>
    <s v="Contr Allow--MD Other-Managed Care"/>
    <s v="Heart &amp; Vascular-Auburn-Card"/>
    <x v="0"/>
    <n v="1400"/>
    <n v="6476.12"/>
    <n v="9113.39"/>
    <n v="5105.82"/>
    <n v="8548.52"/>
    <n v="10784.72"/>
    <n v="8568.33"/>
    <n v="10520.58"/>
    <n v="8345.2800000000007"/>
    <n v="5986.8"/>
    <n v="10509.32"/>
    <n v="8850.33"/>
    <n v="3844.56"/>
    <n v="96653.77"/>
    <n v="5005.7700000000004"/>
  </r>
  <r>
    <x v="2"/>
    <x v="1"/>
    <x v="0"/>
    <s v="2524200"/>
    <n v="450029"/>
    <s v="Admin Adjust-MD Other-Self Pay"/>
    <s v="Heart &amp; Vascular-Auburn-Card"/>
    <x v="0"/>
    <n v="1600"/>
    <n v="876.42"/>
    <n v="1143.05"/>
    <n v="581.75"/>
    <n v="293.55"/>
    <n v="281.54000000000002"/>
    <n v="227.65"/>
    <n v="564.16"/>
    <n v="162.56"/>
    <n v="987.58"/>
    <n v="205.72"/>
    <n v="804.35"/>
    <n v="6637.97"/>
    <n v="12766.300000000001"/>
    <n v="-5833.62"/>
  </r>
  <r>
    <x v="2"/>
    <x v="1"/>
    <x v="0"/>
    <s v="2524200"/>
    <n v="450029"/>
    <s v="Contr Allow--MD Other-Other"/>
    <s v="Heart &amp; Vascular-Auburn-Card"/>
    <x v="0"/>
    <n v="1700"/>
    <n v="1252.95"/>
    <n v="541.72"/>
    <n v="173.66"/>
    <n v="158.26"/>
    <n v="547.76"/>
    <n v="442.81"/>
    <n v="831.46"/>
    <n v="2473.58"/>
    <n v="1363.53"/>
    <n v="963.35"/>
    <n v="1539"/>
    <n v="2997.21"/>
    <n v="13285.29"/>
    <n v="-1458.21"/>
  </r>
  <r>
    <x v="2"/>
    <x v="1"/>
    <x v="0"/>
    <s v="2524200"/>
    <n v="450040"/>
    <s v="Contr Allow--Phys Svcs--Mcare"/>
    <s v="Heart &amp; Vascular-Auburn-Card"/>
    <x v="0"/>
    <n v="1100"/>
    <n v="456306.66"/>
    <n v="462176.91"/>
    <n v="415753.03"/>
    <n v="559437.53"/>
    <n v="528004.41"/>
    <n v="457724.41"/>
    <n v="492785.81"/>
    <n v="437466.53"/>
    <n v="529739.38"/>
    <n v="608549.13"/>
    <n v="556920.84"/>
    <n v="543922.81999999995"/>
    <n v="6048787.46"/>
    <n v="12998.020000000019"/>
  </r>
  <r>
    <x v="2"/>
    <x v="1"/>
    <x v="0"/>
    <s v="2524200"/>
    <n v="450040"/>
    <s v="Contr Allow--Phys Svcs--Mcaid"/>
    <s v="Heart &amp; Vascular-Auburn-Card"/>
    <x v="0"/>
    <n v="1200"/>
    <n v="134871.25"/>
    <n v="147172.91"/>
    <n v="133137.17000000001"/>
    <n v="143863.81"/>
    <n v="132788.03"/>
    <n v="119306.81"/>
    <n v="121965.75999999999"/>
    <n v="136341.4"/>
    <n v="133462.87"/>
    <n v="168826.4"/>
    <n v="152665.60999999999"/>
    <n v="140975.85"/>
    <n v="1665377.87"/>
    <n v="11689.75999999998"/>
  </r>
  <r>
    <x v="2"/>
    <x v="1"/>
    <x v="0"/>
    <s v="2524200"/>
    <n v="450040"/>
    <s v="Contr Allow--Phys Svcs--Comm Insurance"/>
    <s v="Heart &amp; Vascular-Auburn-Card"/>
    <x v="0"/>
    <n v="1300"/>
    <n v="6632.08"/>
    <n v="7174.97"/>
    <n v="5592.19"/>
    <n v="5804.8"/>
    <n v="7500.14"/>
    <n v="3275.2"/>
    <n v="5630.08"/>
    <n v="4867.1899999999996"/>
    <n v="13558.1"/>
    <n v="11220.76"/>
    <n v="7953.64"/>
    <n v="10461.219999999999"/>
    <n v="89670.37"/>
    <n v="-2507.579999999999"/>
  </r>
  <r>
    <x v="2"/>
    <x v="1"/>
    <x v="0"/>
    <s v="2524200"/>
    <n v="450040"/>
    <s v="Contr Allow--Phys Svcs--BCBS Comm Ins"/>
    <s v="Heart &amp; Vascular-Auburn-Card"/>
    <x v="0"/>
    <n v="1301"/>
    <n v="21958.13"/>
    <n v="24926.959999999999"/>
    <n v="19248.87"/>
    <n v="22493.99"/>
    <n v="21488.02"/>
    <n v="32601.52"/>
    <n v="23253.49"/>
    <n v="27032.1"/>
    <n v="35224.76"/>
    <n v="31109.52"/>
    <n v="26582.94"/>
    <n v="30393.97"/>
    <n v="316314.27"/>
    <n v="-3811.0300000000025"/>
  </r>
  <r>
    <x v="2"/>
    <x v="1"/>
    <x v="0"/>
    <s v="2524200"/>
    <n v="450040"/>
    <s v="Contr Allow--Phys Svcs--Managed Care"/>
    <s v="Heart &amp; Vascular-Auburn-Card"/>
    <x v="0"/>
    <n v="1400"/>
    <n v="81724.350000000006"/>
    <n v="103178.05"/>
    <n v="72602.350000000006"/>
    <n v="83740.98"/>
    <n v="114467.41"/>
    <n v="96467.04"/>
    <n v="85570.57"/>
    <n v="91770.25"/>
    <n v="108604.98"/>
    <n v="107272.65"/>
    <n v="121221.32"/>
    <n v="98190.25"/>
    <n v="1164810.2"/>
    <n v="23031.070000000007"/>
  </r>
  <r>
    <x v="2"/>
    <x v="1"/>
    <x v="0"/>
    <s v="2524200"/>
    <n v="450040"/>
    <s v="Contr Allow--Phys Svcs--BCBS Mgnd Care"/>
    <s v="Heart &amp; Vascular-Auburn-Card"/>
    <x v="0"/>
    <n v="1401"/>
    <n v="40598.01"/>
    <n v="-40417.54"/>
    <n v="45576.61"/>
    <n v="13938.35"/>
    <n v="-88542.21"/>
    <n v="288.98"/>
    <n v="173857.9"/>
    <n v="69350.98"/>
    <n v="5291.38"/>
    <n v="5549.25"/>
    <n v="33342.42"/>
    <n v="-313.77"/>
    <n v="258520.35999999996"/>
    <n v="33656.189999999995"/>
  </r>
  <r>
    <x v="2"/>
    <x v="1"/>
    <x v="0"/>
    <s v="2524200"/>
    <n v="450040"/>
    <s v="Prompt Pay Disc-Phys Svcs-Self Pay"/>
    <s v="Heart &amp; Vascular-Auburn-Card"/>
    <x v="0"/>
    <n v="1500"/>
    <n v="0"/>
    <n v="9.66"/>
    <n v="-14.74"/>
    <n v="0"/>
    <n v="0"/>
    <n v="13.87"/>
    <n v="39.049999999999997"/>
    <n v="662"/>
    <n v="16.78"/>
    <n v="208.56"/>
    <n v="0"/>
    <n v="185.22"/>
    <n v="1120.4000000000001"/>
    <n v="-185.22"/>
  </r>
  <r>
    <x v="2"/>
    <x v="1"/>
    <x v="0"/>
    <s v="2524200"/>
    <n v="450040"/>
    <s v="Admin Adjust-Phys Svcs-Self Pay"/>
    <s v="Heart &amp; Vascular-Auburn-Card"/>
    <x v="0"/>
    <n v="1600"/>
    <n v="9941.9"/>
    <n v="22146.65"/>
    <n v="22701.72"/>
    <n v="9230.52"/>
    <n v="15575.49"/>
    <n v="5146.5"/>
    <n v="20599.8"/>
    <n v="1303.1400000000001"/>
    <n v="7301.17"/>
    <n v="12241.56"/>
    <n v="3763.35"/>
    <n v="46910.69"/>
    <n v="176862.49000000002"/>
    <n v="-43147.340000000004"/>
  </r>
  <r>
    <x v="2"/>
    <x v="1"/>
    <x v="0"/>
    <s v="2524200"/>
    <n v="450040"/>
    <s v="Contr Allow--Phys Svcs--Other"/>
    <s v="Heart &amp; Vascular-Auburn-Card"/>
    <x v="0"/>
    <n v="1700"/>
    <n v="10913.83"/>
    <n v="6304.38"/>
    <n v="10758.92"/>
    <n v="9443.52"/>
    <n v="11777.93"/>
    <n v="9009.76"/>
    <n v="5177.46"/>
    <n v="14649.2"/>
    <n v="20298.89"/>
    <n v="16069.32"/>
    <n v="16757.5"/>
    <n v="10559.58"/>
    <n v="141720.28999999998"/>
    <n v="6197.92"/>
  </r>
  <r>
    <x v="3"/>
    <x v="1"/>
    <x v="0"/>
    <s v="2524200"/>
    <n v="470040"/>
    <s v="Charity Care-Physician Svcs"/>
    <s v="Heart &amp; Vascular-Auburn-Card"/>
    <x v="0"/>
    <m/>
    <n v="8579.4"/>
    <n v="12620.58"/>
    <n v="15570.94"/>
    <n v="7357.41"/>
    <n v="2735.07"/>
    <n v="1350.9"/>
    <n v="13751.39"/>
    <n v="13745.34"/>
    <n v="17115.37"/>
    <n v="8620.3700000000008"/>
    <n v="7991.32"/>
    <n v="25766.39"/>
    <n v="135204.47999999998"/>
    <n v="-17775.07"/>
  </r>
  <r>
    <x v="4"/>
    <x v="1"/>
    <x v="0"/>
    <s v="2524200"/>
    <n v="490010"/>
    <s v="Provision for Bad Debts"/>
    <s v="Heart &amp; Vascular-Auburn-Card"/>
    <x v="0"/>
    <m/>
    <n v="28529.14"/>
    <n v="3133.77"/>
    <n v="16718.28"/>
    <n v="16999.04"/>
    <n v="29500.19"/>
    <n v="10564.02"/>
    <n v="19898.23"/>
    <n v="19918"/>
    <n v="33485.69"/>
    <n v="12805.24"/>
    <n v="13133.47"/>
    <n v="25394.02"/>
    <n v="230079.08999999997"/>
    <n v="-12260.550000000001"/>
  </r>
  <r>
    <x v="14"/>
    <x v="1"/>
    <x v="0"/>
    <s v="2524200"/>
    <n v="600050"/>
    <s v="Miscellaneous Revenue"/>
    <s v="Heart &amp; Vascular-Auburn-Card"/>
    <x v="0"/>
    <m/>
    <n v="-48680"/>
    <n v="0"/>
    <n v="-840"/>
    <n v="-2380"/>
    <n v="-6000"/>
    <n v="-79840"/>
    <n v="-11538.48"/>
    <n v="-16568.48"/>
    <n v="-14018.48"/>
    <n v="-12693.48"/>
    <n v="-11538.48"/>
    <n v="-18217.72"/>
    <n v="-222315.12000000005"/>
    <n v="6679.2400000000016"/>
  </r>
  <r>
    <x v="5"/>
    <x v="1"/>
    <x v="0"/>
    <s v="2524200"/>
    <n v="700020"/>
    <s v="Salaries-Physician Admin-Other"/>
    <s v="Heart &amp; Vascular-Auburn-Card"/>
    <x v="0"/>
    <n v="2000"/>
    <n v="5030.09"/>
    <n v="0"/>
    <n v="0"/>
    <n v="2380"/>
    <n v="6000"/>
    <n v="2340"/>
    <n v="0"/>
    <n v="5030"/>
    <n v="2480"/>
    <n v="1155"/>
    <n v="0"/>
    <n v="910"/>
    <n v="25325.09"/>
    <n v="-910"/>
  </r>
  <r>
    <x v="5"/>
    <x v="1"/>
    <x v="0"/>
    <s v="2524200"/>
    <n v="700022"/>
    <s v="Salaries-Physician-Productive"/>
    <s v="Heart &amp; Vascular-Auburn-Card"/>
    <x v="0"/>
    <m/>
    <n v="341570.07"/>
    <n v="327694.02"/>
    <n v="305628.2"/>
    <n v="639588.9"/>
    <n v="392403.11"/>
    <n v="300371.95"/>
    <n v="381828.97"/>
    <n v="335304.33"/>
    <n v="404201.8"/>
    <n v="361271.91"/>
    <n v="460760.66"/>
    <n v="337992.49"/>
    <n v="4588616.41"/>
    <n v="122768.16999999998"/>
  </r>
  <r>
    <x v="5"/>
    <x v="1"/>
    <x v="0"/>
    <s v="2524200"/>
    <n v="700022"/>
    <s v="Salaries-Physician-Other"/>
    <s v="Heart &amp; Vascular-Auburn-Card"/>
    <x v="0"/>
    <n v="2000"/>
    <n v="43650"/>
    <n v="0"/>
    <n v="840"/>
    <n v="0"/>
    <n v="0"/>
    <n v="77500"/>
    <n v="11538.48"/>
    <n v="11538.48"/>
    <n v="11538.48"/>
    <n v="11538.47"/>
    <n v="11538.48"/>
    <n v="17307.72"/>
    <n v="196990.11000000004"/>
    <n v="-5769.2400000000016"/>
  </r>
  <r>
    <x v="5"/>
    <x v="1"/>
    <x v="0"/>
    <s v="2524200"/>
    <n v="700022"/>
    <s v="Salaries-Physician-Provider Incentive"/>
    <s v="Heart &amp; Vascular-Auburn-Card"/>
    <x v="0"/>
    <n v="4003"/>
    <n v="0"/>
    <n v="33753.660000000003"/>
    <n v="33753.660000000003"/>
    <n v="33753.660000000003"/>
    <n v="36704.65"/>
    <n v="59483.46"/>
    <n v="39725.440000000002"/>
    <n v="39985.21"/>
    <n v="39925.120000000003"/>
    <n v="39930.379999999997"/>
    <n v="41379.519999999997"/>
    <n v="64242.99"/>
    <n v="462637.75"/>
    <n v="-22863.47"/>
  </r>
  <r>
    <x v="5"/>
    <x v="1"/>
    <x v="0"/>
    <s v="2524200"/>
    <n v="700024"/>
    <s v="Salaries-Advanced Practice Clinician-Productive"/>
    <s v="Heart &amp; Vascular-Auburn-Card"/>
    <x v="0"/>
    <m/>
    <n v="14261.54"/>
    <n v="15651.92"/>
    <n v="15374.99"/>
    <n v="13673.07"/>
    <n v="32999.980000000003"/>
    <n v="18490.38"/>
    <n v="34782.300000000003"/>
    <n v="32786.51"/>
    <n v="31748.43"/>
    <n v="33362.31"/>
    <n v="36287.81"/>
    <n v="28407.25"/>
    <n v="307826.49"/>
    <n v="7880.5599999999977"/>
  </r>
  <r>
    <x v="5"/>
    <x v="1"/>
    <x v="0"/>
    <s v="2524200"/>
    <n v="700024"/>
    <s v="Salaries-Advanced Practice Clinician-Other"/>
    <s v="Heart &amp; Vascular-Auburn-Card"/>
    <x v="0"/>
    <n v="2000"/>
    <n v="0"/>
    <n v="0"/>
    <n v="0"/>
    <n v="0"/>
    <n v="0"/>
    <n v="0"/>
    <n v="0"/>
    <n v="0"/>
    <n v="0"/>
    <n v="0"/>
    <n v="0"/>
    <n v="1829.5"/>
    <n v="1829.5"/>
    <n v="-1829.5"/>
  </r>
  <r>
    <x v="5"/>
    <x v="1"/>
    <x v="0"/>
    <s v="2524200"/>
    <n v="700026"/>
    <s v="Salaries-RN-Productive"/>
    <s v="Heart &amp; Vascular-Auburn-Card"/>
    <x v="0"/>
    <m/>
    <n v="28735.97"/>
    <n v="28615"/>
    <n v="25920.19"/>
    <n v="41491.24"/>
    <n v="44361.17"/>
    <n v="34348.370000000003"/>
    <n v="43668.480000000003"/>
    <n v="37254.54"/>
    <n v="42902.14"/>
    <n v="46000.97"/>
    <n v="40531.279999999999"/>
    <n v="38150.769999999997"/>
    <n v="451980.12000000011"/>
    <n v="2380.510000000002"/>
  </r>
  <r>
    <x v="5"/>
    <x v="1"/>
    <x v="0"/>
    <s v="2524200"/>
    <n v="700026"/>
    <s v="Salaries-RN-OT"/>
    <s v="Heart &amp; Vascular-Auburn-Card"/>
    <x v="0"/>
    <n v="1000"/>
    <n v="793.77"/>
    <n v="680.04"/>
    <n v="91.22"/>
    <n v="652.09"/>
    <n v="804.77"/>
    <n v="-213.29"/>
    <n v="110.9"/>
    <n v="144.69999999999999"/>
    <n v="628.15"/>
    <n v="-69.48"/>
    <n v="118.42"/>
    <n v="319.45999999999998"/>
    <n v="4060.75"/>
    <n v="-201.03999999999996"/>
  </r>
  <r>
    <x v="5"/>
    <x v="1"/>
    <x v="0"/>
    <s v="2524200"/>
    <n v="700026"/>
    <s v="Salaries-RN-Other"/>
    <s v="Heart &amp; Vascular-Auburn-Card"/>
    <x v="0"/>
    <n v="2000"/>
    <n v="0"/>
    <n v="0"/>
    <n v="0"/>
    <n v="60"/>
    <n v="0"/>
    <n v="30"/>
    <n v="0"/>
    <n v="0"/>
    <n v="0"/>
    <n v="0"/>
    <n v="0"/>
    <n v="0"/>
    <n v="90"/>
    <n v="0"/>
  </r>
  <r>
    <x v="5"/>
    <x v="1"/>
    <x v="0"/>
    <s v="2524200"/>
    <n v="700030"/>
    <s v="Salaries-LPN-Productive"/>
    <s v="Heart &amp; Vascular-Auburn-Card"/>
    <x v="0"/>
    <m/>
    <n v="4649.8"/>
    <n v="5097.43"/>
    <n v="3060.54"/>
    <n v="4683.2299999999996"/>
    <n v="4537.78"/>
    <n v="2769.61"/>
    <n v="4540.32"/>
    <n v="3978.87"/>
    <n v="4837.1899999999996"/>
    <n v="5017.3900000000003"/>
    <n v="5221.8500000000004"/>
    <n v="3369.14"/>
    <n v="51763.15"/>
    <n v="1852.7100000000005"/>
  </r>
  <r>
    <x v="5"/>
    <x v="1"/>
    <x v="0"/>
    <s v="2524200"/>
    <n v="700030"/>
    <s v="Salaries-LPN-OT"/>
    <s v="Heart &amp; Vascular-Auburn-Card"/>
    <x v="0"/>
    <n v="1000"/>
    <n v="85.36"/>
    <n v="96.81"/>
    <n v="-10.41"/>
    <n v="226.86"/>
    <n v="119.5"/>
    <n v="-10.67"/>
    <n v="10.69"/>
    <n v="64.11"/>
    <n v="74.790000000000006"/>
    <n v="0"/>
    <n v="53.43"/>
    <n v="53.42"/>
    <n v="763.88999999999987"/>
    <n v="9.9999999999980105E-3"/>
  </r>
  <r>
    <x v="5"/>
    <x v="1"/>
    <x v="0"/>
    <s v="2524200"/>
    <n v="700032"/>
    <s v="Salaries-Other Pat Care Providers-Productive"/>
    <s v="Heart &amp; Vascular-Auburn-Card"/>
    <x v="0"/>
    <m/>
    <n v="33412.78"/>
    <n v="38792.58"/>
    <n v="30243.38"/>
    <n v="41908.76"/>
    <n v="34020.300000000003"/>
    <n v="24641.7"/>
    <n v="35679.86"/>
    <n v="28133.57"/>
    <n v="31353.599999999999"/>
    <n v="33554.28"/>
    <n v="35209.03"/>
    <n v="27108.51"/>
    <n v="394058.35"/>
    <n v="8100.52"/>
  </r>
  <r>
    <x v="5"/>
    <x v="1"/>
    <x v="0"/>
    <s v="2524200"/>
    <n v="700032"/>
    <s v="Salaries-Other Pat Care Providers-OT"/>
    <s v="Heart &amp; Vascular-Auburn-Card"/>
    <x v="0"/>
    <n v="1000"/>
    <n v="1401.04"/>
    <n v="1883.32"/>
    <n v="1320.16"/>
    <n v="1814.35"/>
    <n v="2136.52"/>
    <n v="136.68"/>
    <n v="1408.42"/>
    <n v="1012.65"/>
    <n v="1524.25"/>
    <n v="1488.6"/>
    <n v="1743.58"/>
    <n v="1073.01"/>
    <n v="16942.579999999998"/>
    <n v="670.56999999999994"/>
  </r>
  <r>
    <x v="5"/>
    <x v="1"/>
    <x v="0"/>
    <s v="2524200"/>
    <n v="700032"/>
    <s v="Salaries-Other Pat Care Providers-Other"/>
    <s v="Heart &amp; Vascular-Auburn-Card"/>
    <x v="0"/>
    <n v="2000"/>
    <n v="89.9"/>
    <n v="98.2"/>
    <n v="80.95"/>
    <n v="96.51"/>
    <n v="92.77"/>
    <n v="87.53"/>
    <n v="181.33"/>
    <n v="187"/>
    <n v="178.36"/>
    <n v="184.14"/>
    <n v="679.05"/>
    <n v="165.78"/>
    <n v="2121.52"/>
    <n v="513.27"/>
  </r>
  <r>
    <x v="5"/>
    <x v="1"/>
    <x v="0"/>
    <s v="2524200"/>
    <n v="700038"/>
    <s v="Salaries-Service/Support-Productive"/>
    <s v="Heart &amp; Vascular-Auburn-Card"/>
    <x v="0"/>
    <m/>
    <n v="1251.1500000000001"/>
    <n v="43.04"/>
    <n v="0"/>
    <n v="0"/>
    <n v="4820.6400000000003"/>
    <n v="2736.05"/>
    <n v="3597.73"/>
    <n v="2971.36"/>
    <n v="3270.32"/>
    <n v="3560.2"/>
    <n v="3625.81"/>
    <n v="2595.64"/>
    <n v="28471.940000000002"/>
    <n v="1030.17"/>
  </r>
  <r>
    <x v="5"/>
    <x v="1"/>
    <x v="0"/>
    <s v="2524200"/>
    <n v="700038"/>
    <s v="Salaries-Service/Support-OT"/>
    <s v="Heart &amp; Vascular-Auburn-Card"/>
    <x v="0"/>
    <n v="1000"/>
    <n v="0"/>
    <n v="0"/>
    <n v="0"/>
    <n v="0"/>
    <n v="45.39"/>
    <n v="-6.82"/>
    <n v="17.420000000000002"/>
    <n v="-3.02"/>
    <n v="11.35"/>
    <n v="86.34"/>
    <n v="31.07"/>
    <n v="-15.15"/>
    <n v="166.57999999999998"/>
    <n v="46.22"/>
  </r>
  <r>
    <x v="5"/>
    <x v="1"/>
    <x v="0"/>
    <s v="2524200"/>
    <n v="700054"/>
    <s v="Salaries-Management-NonProd-Other"/>
    <s v="Heart &amp; Vascular-Auburn-Card"/>
    <x v="0"/>
    <n v="2000"/>
    <n v="0"/>
    <n v="0"/>
    <n v="0"/>
    <n v="0"/>
    <n v="0"/>
    <n v="2869.48"/>
    <n v="-2869.48"/>
    <n v="0"/>
    <n v="0"/>
    <n v="0"/>
    <n v="0"/>
    <n v="0"/>
    <n v="0"/>
    <n v="0"/>
  </r>
  <r>
    <x v="5"/>
    <x v="1"/>
    <x v="0"/>
    <s v="2524200"/>
    <n v="700062"/>
    <s v="Salaries-Physician-Non-productive"/>
    <s v="Heart &amp; Vascular-Auburn-Card"/>
    <x v="0"/>
    <m/>
    <n v="-112114.26"/>
    <n v="83115.44"/>
    <n v="60092.72"/>
    <n v="-224210.1"/>
    <n v="29954.11"/>
    <n v="165136.76"/>
    <n v="84675.43"/>
    <n v="107069.68"/>
    <n v="59200.55"/>
    <n v="111712.69"/>
    <n v="55086.41"/>
    <n v="123697.48"/>
    <n v="543416.90999999992"/>
    <n v="-68611.069999999992"/>
  </r>
  <r>
    <x v="5"/>
    <x v="1"/>
    <x v="0"/>
    <s v="2524200"/>
    <n v="700062"/>
    <s v="Salaries-Physician-NonProd-Other"/>
    <s v="Heart &amp; Vascular-Auburn-Card"/>
    <x v="0"/>
    <n v="2000"/>
    <n v="0"/>
    <n v="0"/>
    <n v="0"/>
    <n v="0"/>
    <n v="426.73"/>
    <n v="853.46"/>
    <n v="0"/>
    <n v="-853.46"/>
    <n v="0"/>
    <n v="0"/>
    <n v="0"/>
    <n v="0"/>
    <n v="426.73"/>
    <n v="0"/>
  </r>
  <r>
    <x v="5"/>
    <x v="1"/>
    <x v="0"/>
    <s v="2524200"/>
    <n v="700064"/>
    <s v="Salaries-Advanced Practice Clinician-Non-Productive"/>
    <s v="Heart &amp; Vascular-Auburn-Card"/>
    <x v="0"/>
    <m/>
    <n v="4776.93"/>
    <n v="4251.92"/>
    <n v="1932.7"/>
    <n v="6230.77"/>
    <n v="-1596.15"/>
    <n v="8163.44"/>
    <n v="3060.94"/>
    <n v="1434.32"/>
    <n v="4670.3500000000004"/>
    <n v="4247.07"/>
    <n v="3016.3"/>
    <n v="6195.29"/>
    <n v="46383.880000000005"/>
    <n v="-3178.99"/>
  </r>
  <r>
    <x v="5"/>
    <x v="1"/>
    <x v="0"/>
    <s v="2524200"/>
    <n v="700066"/>
    <s v="Salaries-RN-Non-productive"/>
    <s v="Heart &amp; Vascular-Auburn-Card"/>
    <x v="0"/>
    <m/>
    <n v="5788.7"/>
    <n v="1433.93"/>
    <n v="3675.27"/>
    <n v="4377.45"/>
    <n v="59.83"/>
    <n v="9820.73"/>
    <n v="5220.71"/>
    <n v="3676.84"/>
    <n v="3673.78"/>
    <n v="1928.45"/>
    <n v="6615.52"/>
    <n v="6414.93"/>
    <n v="52686.139999999992"/>
    <n v="200.59000000000015"/>
  </r>
  <r>
    <x v="5"/>
    <x v="1"/>
    <x v="0"/>
    <s v="2524200"/>
    <n v="700066"/>
    <s v="Salaries-RN-NonProd-Other"/>
    <s v="Heart &amp; Vascular-Auburn-Card"/>
    <x v="0"/>
    <n v="2000"/>
    <n v="0"/>
    <n v="0"/>
    <n v="0"/>
    <n v="0"/>
    <n v="480.28"/>
    <n v="0"/>
    <n v="0"/>
    <n v="-480.28"/>
    <n v="0"/>
    <n v="0"/>
    <n v="0"/>
    <n v="0"/>
    <n v="0"/>
    <n v="0"/>
  </r>
  <r>
    <x v="5"/>
    <x v="1"/>
    <x v="0"/>
    <s v="2524200"/>
    <n v="700070"/>
    <s v="Salaries-LPN-Non-productive"/>
    <s v="Heart &amp; Vascular-Auburn-Card"/>
    <x v="0"/>
    <m/>
    <n v="235.96"/>
    <n v="0"/>
    <n v="1374.12"/>
    <n v="527.44000000000005"/>
    <n v="469.42"/>
    <n v="2010"/>
    <n v="702.48"/>
    <n v="579.80999999999995"/>
    <n v="-50.57"/>
    <n v="-2.85"/>
    <n v="20.66"/>
    <n v="1189.52"/>
    <n v="7055.99"/>
    <n v="-1168.8599999999999"/>
  </r>
  <r>
    <x v="5"/>
    <x v="1"/>
    <x v="0"/>
    <s v="2524200"/>
    <n v="700072"/>
    <s v="Salaries-Other Pat Care Providers-Non-productive"/>
    <s v="Heart &amp; Vascular-Auburn-Card"/>
    <x v="0"/>
    <m/>
    <n v="5623.64"/>
    <n v="2628.91"/>
    <n v="6150.9"/>
    <n v="1896.43"/>
    <n v="1331.2"/>
    <n v="7344.6"/>
    <n v="2779.63"/>
    <n v="5795.87"/>
    <n v="3092.39"/>
    <n v="1359.36"/>
    <n v="284.94"/>
    <n v="5598.46"/>
    <n v="43886.33"/>
    <n v="-5313.52"/>
  </r>
  <r>
    <x v="5"/>
    <x v="1"/>
    <x v="0"/>
    <s v="2524200"/>
    <n v="700072"/>
    <s v="Salaries-Other Pat Care Providers-NonProd-Other"/>
    <s v="Heart &amp; Vascular-Auburn-Car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4200"/>
    <n v="700078"/>
    <s v="Salaries-Service/Support-Non-productive"/>
    <s v="Heart &amp; Vascular-Auburn-Card"/>
    <x v="0"/>
    <m/>
    <n v="351.2"/>
    <n v="0"/>
    <n v="0"/>
    <n v="0"/>
    <n v="20.18"/>
    <n v="652.49"/>
    <n v="129.33000000000001"/>
    <n v="260.58"/>
    <n v="123.23"/>
    <n v="-5.05"/>
    <n v="90.91"/>
    <n v="727.19"/>
    <n v="2350.0600000000004"/>
    <n v="-636.28000000000009"/>
  </r>
  <r>
    <x v="5"/>
    <x v="1"/>
    <x v="0"/>
    <s v="2524200"/>
    <n v="700078"/>
    <s v="Salaries-Service/Support-NonProd-Other"/>
    <s v="Heart &amp; Vascular-Auburn-Car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4200"/>
    <n v="700084"/>
    <s v="Accrued PTO"/>
    <s v="Heart &amp; Vascular-Auburn-Card"/>
    <x v="0"/>
    <m/>
    <n v="-2271.44"/>
    <n v="1274.4000000000001"/>
    <n v="-2914.3"/>
    <n v="3002.48"/>
    <n v="5024.17"/>
    <n v="-4790.82"/>
    <n v="256.20999999999998"/>
    <n v="472.57"/>
    <n v="2125.6799999999998"/>
    <n v="5195.95"/>
    <n v="5286.51"/>
    <n v="-140.1"/>
    <n v="12521.31"/>
    <n v="5426.6100000000006"/>
  </r>
  <r>
    <x v="6"/>
    <x v="1"/>
    <x v="0"/>
    <s v="2524200"/>
    <n v="713010"/>
    <s v="Benefits-FICA/Medicare"/>
    <s v="Heart &amp; Vascular-Auburn-Card"/>
    <x v="0"/>
    <m/>
    <n v="13783.37"/>
    <n v="14092.9"/>
    <n v="12388.42"/>
    <n v="23143.47"/>
    <n v="13053.23"/>
    <n v="29621.01"/>
    <n v="47616.63"/>
    <n v="35685.22"/>
    <n v="15804.71"/>
    <n v="16748.849999999999"/>
    <n v="17694.39"/>
    <n v="16153.02"/>
    <n v="255785.22"/>
    <n v="1541.369999999999"/>
  </r>
  <r>
    <x v="6"/>
    <x v="1"/>
    <x v="0"/>
    <s v="2524200"/>
    <n v="713090"/>
    <s v="Benefits-Allocated Amounts"/>
    <s v="Heart &amp; Vascular-Auburn-Card"/>
    <x v="0"/>
    <m/>
    <n v="0"/>
    <n v="0"/>
    <n v="0"/>
    <n v="0"/>
    <n v="0"/>
    <n v="0"/>
    <n v="0"/>
    <n v="0"/>
    <n v="282425.96000000002"/>
    <n v="36459.67"/>
    <n v="36552.21"/>
    <n v="37413.71"/>
    <n v="392851.55000000005"/>
    <n v="-861.5"/>
  </r>
  <r>
    <x v="6"/>
    <x v="1"/>
    <x v="0"/>
    <s v="2524200"/>
    <n v="713092"/>
    <s v="Allocated Benefits-Physician"/>
    <s v="Heart &amp; Vascular-Auburn-Card"/>
    <x v="0"/>
    <m/>
    <n v="35744.71"/>
    <n v="35920.93"/>
    <n v="36307.31"/>
    <n v="35967.449999999997"/>
    <n v="42073.15"/>
    <n v="48731.3"/>
    <n v="54066.12"/>
    <n v="52713.9"/>
    <n v="-205974.48"/>
    <n v="17498.830000000002"/>
    <n v="17543.240000000002"/>
    <n v="17956.72"/>
    <n v="188549.17999999996"/>
    <n v="-413.47999999999956"/>
  </r>
  <r>
    <x v="6"/>
    <x v="1"/>
    <x v="0"/>
    <s v="2524200"/>
    <n v="713093"/>
    <s v="Allocated Benefits-Advanced Practice Clinician"/>
    <s v="Heart &amp; Vascular-Auburn-Card"/>
    <x v="0"/>
    <m/>
    <n v="5270.21"/>
    <n v="5296.2"/>
    <n v="5353.17"/>
    <n v="5303.05"/>
    <n v="6203.28"/>
    <n v="7184.97"/>
    <n v="7971.53"/>
    <n v="7772.16"/>
    <n v="-10712.47"/>
    <n v="5117.58"/>
    <n v="5130.57"/>
    <n v="5251.49"/>
    <n v="55141.739999999991"/>
    <n v="-120.92000000000007"/>
  </r>
  <r>
    <x v="7"/>
    <x v="1"/>
    <x v="0"/>
    <s v="2524200"/>
    <n v="718010"/>
    <s v="Media/Print Advertising"/>
    <s v="Heart &amp; Vascular-Auburn-Card"/>
    <x v="0"/>
    <n v="1004"/>
    <n v="0"/>
    <n v="0"/>
    <n v="0"/>
    <n v="0"/>
    <n v="0"/>
    <n v="0"/>
    <n v="0"/>
    <n v="100.29"/>
    <n v="0"/>
    <n v="0"/>
    <n v="0"/>
    <n v="0"/>
    <n v="100.29"/>
    <n v="0"/>
  </r>
  <r>
    <x v="7"/>
    <x v="1"/>
    <x v="0"/>
    <s v="2524200"/>
    <n v="718040"/>
    <s v="Contract Svcs-Laboratory"/>
    <s v="Heart &amp; Vascular-Auburn-Card"/>
    <x v="0"/>
    <m/>
    <n v="0"/>
    <n v="0"/>
    <n v="0"/>
    <n v="0"/>
    <n v="0"/>
    <n v="0"/>
    <n v="0"/>
    <n v="0"/>
    <n v="63"/>
    <n v="0"/>
    <n v="0"/>
    <n v="0"/>
    <n v="63"/>
    <n v="0"/>
  </r>
  <r>
    <x v="7"/>
    <x v="1"/>
    <x v="0"/>
    <s v="2524200"/>
    <n v="718050"/>
    <s v="Contract Svcs-Other"/>
    <s v="Heart &amp; Vascular-Auburn-Card"/>
    <x v="0"/>
    <m/>
    <n v="0"/>
    <n v="0"/>
    <n v="0"/>
    <n v="0"/>
    <n v="0"/>
    <n v="0"/>
    <n v="0"/>
    <n v="0"/>
    <n v="0"/>
    <n v="0"/>
    <n v="0"/>
    <n v="22.55"/>
    <n v="22.55"/>
    <n v="-22.55"/>
  </r>
  <r>
    <x v="7"/>
    <x v="1"/>
    <x v="0"/>
    <s v="2524200"/>
    <n v="718050"/>
    <s v="Miscellaneous Purchased Svcs"/>
    <s v="Heart &amp; Vascular-Auburn-Card"/>
    <x v="0"/>
    <n v="1020"/>
    <n v="0"/>
    <n v="0"/>
    <n v="0"/>
    <n v="0"/>
    <n v="0"/>
    <n v="0"/>
    <n v="0"/>
    <n v="0"/>
    <n v="0"/>
    <n v="0"/>
    <n v="46.42"/>
    <n v="46.42"/>
    <n v="92.84"/>
    <n v="0"/>
  </r>
  <r>
    <x v="7"/>
    <x v="1"/>
    <x v="0"/>
    <s v="2524200"/>
    <n v="718050"/>
    <s v="Translation Services"/>
    <s v="Heart &amp; Vascular-Auburn-Card"/>
    <x v="0"/>
    <n v="1025"/>
    <n v="0"/>
    <n v="0"/>
    <n v="0"/>
    <n v="0"/>
    <n v="0"/>
    <n v="0"/>
    <n v="0"/>
    <n v="0"/>
    <n v="0"/>
    <n v="0"/>
    <n v="171.97"/>
    <n v="0"/>
    <n v="171.97"/>
    <n v="171.97"/>
  </r>
  <r>
    <x v="7"/>
    <x v="1"/>
    <x v="0"/>
    <s v="2524200"/>
    <n v="718050"/>
    <s v="Contract Management--Linen"/>
    <s v="Heart &amp; Vascular-Auburn-Card"/>
    <x v="0"/>
    <n v="1026"/>
    <n v="0"/>
    <n v="0"/>
    <n v="0"/>
    <n v="0"/>
    <n v="724.04"/>
    <n v="0"/>
    <n v="248.97"/>
    <n v="337.35"/>
    <n v="400.78"/>
    <n v="820.85"/>
    <n v="1103.22"/>
    <n v="1845.59"/>
    <n v="5480.8"/>
    <n v="-742.36999999999989"/>
  </r>
  <r>
    <x v="7"/>
    <x v="1"/>
    <x v="0"/>
    <s v="2524200"/>
    <n v="718050"/>
    <s v="Purchased Srvcs--Medical Waste"/>
    <s v="Heart &amp; Vascular-Auburn-Card"/>
    <x v="0"/>
    <n v="1027"/>
    <n v="0"/>
    <n v="0"/>
    <n v="0"/>
    <n v="0"/>
    <n v="0"/>
    <n v="0"/>
    <n v="0"/>
    <n v="31.85"/>
    <n v="350.65"/>
    <n v="0"/>
    <n v="77.02"/>
    <n v="83.66"/>
    <n v="543.17999999999995"/>
    <n v="-6.6400000000000006"/>
  </r>
  <r>
    <x v="7"/>
    <x v="1"/>
    <x v="0"/>
    <s v="2524200"/>
    <n v="718077"/>
    <s v="PACS"/>
    <s v="Heart &amp; Vascular-Auburn-Card"/>
    <x v="0"/>
    <n v="1000"/>
    <n v="0"/>
    <n v="0"/>
    <n v="0"/>
    <n v="0"/>
    <n v="0"/>
    <n v="2.25"/>
    <n v="0"/>
    <n v="0"/>
    <n v="0"/>
    <n v="0"/>
    <n v="0"/>
    <n v="0"/>
    <n v="2.25"/>
    <n v="0"/>
  </r>
  <r>
    <x v="11"/>
    <x v="1"/>
    <x v="0"/>
    <s v="2524200"/>
    <n v="721010"/>
    <s v="Supplies-Medical - Billable"/>
    <s v="Heart &amp; Vascular-Auburn-Card"/>
    <x v="0"/>
    <m/>
    <n v="0"/>
    <n v="0"/>
    <n v="0"/>
    <n v="0"/>
    <n v="0"/>
    <n v="0"/>
    <n v="0"/>
    <n v="0"/>
    <n v="0"/>
    <n v="17.2"/>
    <n v="0"/>
    <n v="0"/>
    <n v="17.2"/>
    <n v="0"/>
  </r>
  <r>
    <x v="11"/>
    <x v="1"/>
    <x v="0"/>
    <s v="2524200"/>
    <n v="721250"/>
    <s v="Supplies-Pharmacy Drugs - Billable"/>
    <s v="Heart &amp; Vascular-Auburn-Card"/>
    <x v="0"/>
    <m/>
    <n v="10265.41"/>
    <n v="21038.400000000001"/>
    <n v="0"/>
    <n v="10511.96"/>
    <n v="10526.44"/>
    <n v="10526.44"/>
    <n v="31506.92"/>
    <n v="0"/>
    <n v="71.239999999999995"/>
    <n v="10500"/>
    <n v="10535.62"/>
    <n v="10529"/>
    <n v="126011.43000000001"/>
    <n v="6.6200000000008004"/>
  </r>
  <r>
    <x v="11"/>
    <x v="1"/>
    <x v="0"/>
    <s v="2524200"/>
    <n v="721410"/>
    <s v="Supplies-Medical - Nonbillable"/>
    <s v="Heart &amp; Vascular-Auburn-Card"/>
    <x v="0"/>
    <m/>
    <n v="0"/>
    <n v="0"/>
    <n v="0"/>
    <n v="0"/>
    <n v="4182.1099999999997"/>
    <n v="435.82"/>
    <n v="567.05999999999995"/>
    <n v="476.06"/>
    <n v="2931.51"/>
    <n v="471.59"/>
    <n v="513.64"/>
    <n v="6779.78"/>
    <n v="16357.57"/>
    <n v="-6266.1399999999994"/>
  </r>
  <r>
    <x v="11"/>
    <x v="1"/>
    <x v="0"/>
    <s v="2524200"/>
    <n v="722000"/>
    <s v="Supplies-Freight Expense"/>
    <s v="Heart &amp; Vascular-Auburn-Card"/>
    <x v="0"/>
    <m/>
    <n v="0"/>
    <n v="0"/>
    <n v="0"/>
    <n v="0"/>
    <n v="0"/>
    <n v="0"/>
    <n v="0"/>
    <n v="0"/>
    <n v="0"/>
    <n v="66.5"/>
    <n v="0"/>
    <n v="99.68"/>
    <n v="166.18"/>
    <n v="-99.68"/>
  </r>
  <r>
    <x v="12"/>
    <x v="1"/>
    <x v="0"/>
    <s v="2524200"/>
    <n v="730010"/>
    <s v="Rental and Leases-Building (DO NOT USE)"/>
    <s v="Heart &amp; Vascular-Auburn-Card"/>
    <x v="0"/>
    <m/>
    <n v="12012.72"/>
    <n v="13993.96"/>
    <n v="12263.78"/>
    <n v="15724.14"/>
    <n v="13993.96"/>
    <n v="-19901.7"/>
    <n v="7684.27"/>
    <n v="7684.27"/>
    <n v="7684.27"/>
    <n v="0"/>
    <n v="0"/>
    <n v="0"/>
    <n v="71139.670000000013"/>
    <n v="0"/>
  </r>
  <r>
    <x v="12"/>
    <x v="1"/>
    <x v="0"/>
    <s v="2524200"/>
    <n v="730010"/>
    <s v="Rental-Common Area Maint (DO NOT USE)"/>
    <s v="Heart &amp; Vascular-Auburn-Card"/>
    <x v="0"/>
    <n v="2200"/>
    <n v="0"/>
    <n v="0"/>
    <n v="0"/>
    <n v="0"/>
    <n v="0"/>
    <n v="32703.119999999999"/>
    <n v="5117.1499999999996"/>
    <n v="5117.1499999999996"/>
    <n v="4764.1499999999996"/>
    <n v="0"/>
    <n v="0"/>
    <n v="0"/>
    <n v="47701.57"/>
    <n v="0"/>
  </r>
  <r>
    <x v="12"/>
    <x v="1"/>
    <x v="0"/>
    <s v="2524200"/>
    <n v="730020"/>
    <s v="Rental and Leases-Copier Usage Fees (DO NOT USE)"/>
    <s v="Heart &amp; Vascular-Auburn-Card"/>
    <x v="0"/>
    <n v="5100"/>
    <n v="35.36"/>
    <n v="37.6"/>
    <n v="36.479999999999997"/>
    <n v="36.479999999999997"/>
    <n v="36.479999999999997"/>
    <n v="36.479999999999997"/>
    <n v="-94.33"/>
    <n v="24.32"/>
    <n v="24.27"/>
    <n v="28.93"/>
    <n v="24.32"/>
    <n v="24.32"/>
    <n v="250.70999999999998"/>
    <n v="0"/>
  </r>
  <r>
    <x v="15"/>
    <x v="1"/>
    <x v="0"/>
    <s v="2524200"/>
    <n v="731060"/>
    <s v="Pagers"/>
    <s v="Heart &amp; Vascular-Auburn-Card"/>
    <x v="0"/>
    <n v="1002"/>
    <n v="0"/>
    <n v="0"/>
    <n v="0"/>
    <n v="0"/>
    <n v="0"/>
    <n v="0"/>
    <n v="17.59"/>
    <n v="8.1199999999999992"/>
    <n v="8.1199999999999992"/>
    <n v="8.1199999999999992"/>
    <n v="8.1199999999999992"/>
    <n v="8.1199999999999992"/>
    <n v="58.189999999999991"/>
    <n v="0"/>
  </r>
  <r>
    <x v="13"/>
    <x v="1"/>
    <x v="0"/>
    <s v="2524200"/>
    <n v="735070"/>
    <s v="Depreciation-Movable Equipment"/>
    <s v="Heart &amp; Vascular-Auburn-Card"/>
    <x v="0"/>
    <m/>
    <n v="913.02"/>
    <n v="913.01"/>
    <n v="913.02"/>
    <n v="913.01"/>
    <n v="913.03"/>
    <n v="913.01"/>
    <n v="913.03"/>
    <n v="913.01"/>
    <n v="913.03"/>
    <n v="913.01"/>
    <n v="913.03"/>
    <n v="913.01"/>
    <n v="10956.220000000001"/>
    <n v="1.999999999998181E-2"/>
  </r>
  <r>
    <x v="0"/>
    <x v="1"/>
    <x v="0"/>
    <s v="2524200"/>
    <n v="740010"/>
    <s v="Education-Materials"/>
    <s v="Heart &amp; Vascular-Auburn-Card"/>
    <x v="0"/>
    <m/>
    <n v="0"/>
    <n v="0"/>
    <n v="0"/>
    <n v="0"/>
    <n v="0"/>
    <n v="0"/>
    <n v="0"/>
    <n v="459.8"/>
    <n v="0"/>
    <n v="0"/>
    <n v="0"/>
    <n v="0"/>
    <n v="459.8"/>
    <n v="0"/>
  </r>
  <r>
    <x v="0"/>
    <x v="1"/>
    <x v="0"/>
    <s v="2524200"/>
    <n v="740020"/>
    <s v="Education-Registration Fees"/>
    <s v="Heart &amp; Vascular-Auburn-Card"/>
    <x v="0"/>
    <m/>
    <n v="0"/>
    <n v="0"/>
    <n v="0"/>
    <n v="0"/>
    <n v="65"/>
    <n v="0"/>
    <n v="0"/>
    <n v="0"/>
    <n v="345"/>
    <n v="45"/>
    <n v="0"/>
    <n v="412"/>
    <n v="867"/>
    <n v="-412"/>
  </r>
  <r>
    <x v="0"/>
    <x v="1"/>
    <x v="0"/>
    <s v="2524200"/>
    <n v="740022"/>
    <s v="Education-Physician"/>
    <s v="Heart &amp; Vascular-Auburn-Card"/>
    <x v="0"/>
    <m/>
    <n v="855"/>
    <n v="0"/>
    <n v="0"/>
    <n v="0"/>
    <n v="0"/>
    <n v="0"/>
    <n v="0"/>
    <n v="855"/>
    <n v="0"/>
    <n v="774.48"/>
    <n v="4582.03"/>
    <n v="3022.54"/>
    <n v="10089.049999999999"/>
    <n v="1559.4899999999998"/>
  </r>
  <r>
    <x v="0"/>
    <x v="1"/>
    <x v="0"/>
    <s v="2524200"/>
    <n v="740022"/>
    <s v="Books-Physician"/>
    <s v="Heart &amp; Vascular-Auburn-Card"/>
    <x v="0"/>
    <n v="2000"/>
    <n v="0"/>
    <n v="0"/>
    <n v="0"/>
    <n v="0"/>
    <n v="0"/>
    <n v="0"/>
    <n v="381.99"/>
    <n v="0"/>
    <n v="0"/>
    <n v="2150"/>
    <n v="550"/>
    <n v="0"/>
    <n v="3081.99"/>
    <n v="550"/>
  </r>
  <r>
    <x v="0"/>
    <x v="1"/>
    <x v="0"/>
    <s v="2524200"/>
    <n v="740023"/>
    <s v="Education-Advanced Practice Clinician"/>
    <s v="Heart &amp; Vascular-Auburn-Card"/>
    <x v="0"/>
    <m/>
    <n v="700"/>
    <n v="0"/>
    <n v="0"/>
    <n v="0"/>
    <n v="0"/>
    <n v="0"/>
    <n v="0"/>
    <n v="0"/>
    <n v="1725"/>
    <n v="0"/>
    <n v="0"/>
    <n v="495"/>
    <n v="2920"/>
    <n v="-495"/>
  </r>
  <r>
    <x v="0"/>
    <x v="1"/>
    <x v="0"/>
    <s v="2524200"/>
    <n v="740023"/>
    <s v="Books-Advanced Practice Clinician"/>
    <s v="Heart &amp; Vascular-Auburn-Card"/>
    <x v="0"/>
    <n v="2000"/>
    <n v="0"/>
    <n v="0"/>
    <n v="0"/>
    <n v="0"/>
    <n v="0"/>
    <n v="0"/>
    <n v="0"/>
    <n v="0"/>
    <n v="0"/>
    <n v="399"/>
    <n v="0"/>
    <n v="0"/>
    <n v="399"/>
    <n v="0"/>
  </r>
  <r>
    <x v="8"/>
    <x v="1"/>
    <x v="0"/>
    <s v="2524200"/>
    <n v="741012"/>
    <s v="Physician Liab Insurance-CHI Program"/>
    <s v="Heart &amp; Vascular-Auburn-Card"/>
    <x v="0"/>
    <m/>
    <n v="6512.92"/>
    <n v="5699.26"/>
    <n v="5802.42"/>
    <n v="5802.42"/>
    <n v="5802.42"/>
    <n v="5802.41"/>
    <n v="5802.42"/>
    <n v="5802.41"/>
    <n v="5802.42"/>
    <n v="5802.41"/>
    <n v="5802.42"/>
    <n v="5802.41"/>
    <n v="70236.34"/>
    <n v="1.0000000000218279E-2"/>
  </r>
  <r>
    <x v="0"/>
    <x v="1"/>
    <x v="0"/>
    <s v="2524200"/>
    <n v="743010"/>
    <s v="Dues--Institutional"/>
    <s v="Heart &amp; Vascular-Auburn-Card"/>
    <x v="0"/>
    <m/>
    <n v="0"/>
    <n v="0"/>
    <n v="0"/>
    <n v="0"/>
    <n v="0"/>
    <n v="0"/>
    <n v="320"/>
    <n v="0"/>
    <n v="0"/>
    <n v="0"/>
    <n v="0"/>
    <n v="0"/>
    <n v="320"/>
    <n v="0"/>
  </r>
  <r>
    <x v="0"/>
    <x v="1"/>
    <x v="0"/>
    <s v="2524200"/>
    <n v="743020"/>
    <s v="Dues--Individual"/>
    <s v="Heart &amp; Vascular-Auburn-Card"/>
    <x v="0"/>
    <m/>
    <n v="0"/>
    <n v="0"/>
    <n v="0"/>
    <n v="0"/>
    <n v="0"/>
    <n v="0"/>
    <n v="0"/>
    <n v="0"/>
    <n v="3210"/>
    <n v="0"/>
    <n v="0"/>
    <n v="0"/>
    <n v="3210"/>
    <n v="0"/>
  </r>
  <r>
    <x v="0"/>
    <x v="1"/>
    <x v="0"/>
    <s v="2524200"/>
    <n v="743022"/>
    <s v="Dues-Physician"/>
    <s v="Heart &amp; Vascular-Auburn-Card"/>
    <x v="0"/>
    <m/>
    <n v="960"/>
    <n v="0"/>
    <n v="0"/>
    <n v="0"/>
    <n v="731"/>
    <n v="2210"/>
    <n v="305"/>
    <n v="1533"/>
    <n v="960"/>
    <n v="960"/>
    <n v="0"/>
    <n v="805"/>
    <n v="8464"/>
    <n v="-805"/>
  </r>
  <r>
    <x v="0"/>
    <x v="1"/>
    <x v="0"/>
    <s v="2524200"/>
    <n v="743023"/>
    <s v="Dues-Advanced Practice Clinician"/>
    <s v="Heart &amp; Vascular-Auburn-Card"/>
    <x v="0"/>
    <m/>
    <n v="295"/>
    <n v="0"/>
    <n v="0"/>
    <n v="0"/>
    <n v="152"/>
    <n v="292.5"/>
    <n v="0"/>
    <n v="0"/>
    <n v="0"/>
    <n v="0"/>
    <n v="0"/>
    <n v="0"/>
    <n v="739.5"/>
    <n v="0"/>
  </r>
  <r>
    <x v="0"/>
    <x v="1"/>
    <x v="0"/>
    <s v="2524200"/>
    <n v="743030"/>
    <s v="Subscriptions--Institutional"/>
    <s v="Heart &amp; Vascular-Auburn-Card"/>
    <x v="0"/>
    <m/>
    <n v="0"/>
    <n v="0"/>
    <n v="0"/>
    <n v="0"/>
    <n v="995"/>
    <n v="0"/>
    <n v="0"/>
    <n v="0"/>
    <n v="0"/>
    <n v="0"/>
    <n v="1285.4100000000001"/>
    <n v="0"/>
    <n v="2280.41"/>
    <n v="1285.4100000000001"/>
  </r>
  <r>
    <x v="0"/>
    <x v="1"/>
    <x v="0"/>
    <s v="2524200"/>
    <n v="743042"/>
    <s v="Subscriptions-Physician"/>
    <s v="Heart &amp; Vascular-Auburn-Card"/>
    <x v="0"/>
    <m/>
    <n v="0"/>
    <n v="0"/>
    <n v="0"/>
    <n v="0"/>
    <n v="0"/>
    <n v="0"/>
    <n v="0"/>
    <n v="0"/>
    <n v="0"/>
    <n v="0"/>
    <n v="2189.7600000000002"/>
    <n v="443.88"/>
    <n v="2633.6400000000003"/>
    <n v="1745.88"/>
  </r>
  <r>
    <x v="0"/>
    <x v="1"/>
    <x v="0"/>
    <s v="2524200"/>
    <n v="743043"/>
    <s v="Subscriptions-Advanced Practice Clinician"/>
    <s v="Heart &amp; Vascular-Auburn-Card"/>
    <x v="0"/>
    <m/>
    <n v="0"/>
    <n v="0"/>
    <n v="0"/>
    <n v="0"/>
    <n v="0"/>
    <n v="74.31"/>
    <n v="0"/>
    <n v="0"/>
    <n v="0"/>
    <n v="0"/>
    <n v="0"/>
    <n v="0"/>
    <n v="74.31"/>
    <n v="0"/>
  </r>
  <r>
    <x v="0"/>
    <x v="1"/>
    <x v="0"/>
    <s v="2524200"/>
    <n v="749510"/>
    <s v="Miscellaneous Expenses"/>
    <s v="Heart &amp; Vascular-Auburn-Card"/>
    <x v="0"/>
    <m/>
    <n v="-4102.66"/>
    <n v="-280.76"/>
    <n v="6.62"/>
    <n v="1537.16"/>
    <n v="-420.6"/>
    <n v="-1040.28"/>
    <n v="170.28"/>
    <n v="-40.020000000000003"/>
    <n v="-249.8"/>
    <n v="479.82"/>
    <n v="-507.08"/>
    <n v="-21.46"/>
    <n v="-4468.7800000000016"/>
    <n v="-485.62"/>
  </r>
  <r>
    <x v="0"/>
    <x v="1"/>
    <x v="0"/>
    <s v="2524200"/>
    <n v="749510"/>
    <s v="Uniforms"/>
    <s v="Heart &amp; Vascular-Auburn-Card"/>
    <x v="0"/>
    <n v="1028"/>
    <n v="0"/>
    <n v="0"/>
    <n v="0"/>
    <n v="0"/>
    <n v="0"/>
    <n v="0"/>
    <n v="0"/>
    <n v="0"/>
    <n v="0"/>
    <n v="0"/>
    <n v="0"/>
    <n v="93.85"/>
    <n v="93.85"/>
    <n v="-93.85"/>
  </r>
  <r>
    <x v="0"/>
    <x v="1"/>
    <x v="0"/>
    <s v="2524200"/>
    <n v="749512"/>
    <s v="Licenses-Physician"/>
    <s v="Heart &amp; Vascular-Auburn-Card"/>
    <x v="0"/>
    <n v="2000"/>
    <n v="0"/>
    <n v="0"/>
    <n v="0"/>
    <n v="386.55"/>
    <n v="0"/>
    <n v="0"/>
    <n v="0"/>
    <n v="659.5"/>
    <n v="0"/>
    <n v="0"/>
    <n v="0"/>
    <n v="1859.5"/>
    <n v="2905.55"/>
    <n v="-1859.5"/>
  </r>
  <r>
    <x v="0"/>
    <x v="1"/>
    <x v="0"/>
    <s v="2524200"/>
    <n v="749513"/>
    <s v="Licenses-Advanced Practice Clinician"/>
    <s v="Heart &amp; Vascular-Auburn-Card"/>
    <x v="0"/>
    <n v="2000"/>
    <n v="0"/>
    <n v="0"/>
    <n v="202"/>
    <n v="202"/>
    <n v="0"/>
    <n v="0"/>
    <n v="204.5"/>
    <n v="0"/>
    <n v="0"/>
    <n v="0"/>
    <n v="0"/>
    <n v="0"/>
    <n v="608.5"/>
    <n v="0"/>
  </r>
  <r>
    <x v="0"/>
    <x v="1"/>
    <x v="0"/>
    <s v="2524200"/>
    <n v="749530"/>
    <s v="Mileage"/>
    <s v="Heart &amp; Vascular-Auburn-Card"/>
    <x v="0"/>
    <n v="1001"/>
    <n v="0"/>
    <n v="433.92"/>
    <n v="395.22"/>
    <n v="113.44"/>
    <n v="340.75"/>
    <n v="518.92999999999995"/>
    <n v="128.88"/>
    <n v="253.91"/>
    <n v="269.12"/>
    <n v="157.18"/>
    <n v="85.84"/>
    <n v="150.80000000000001"/>
    <n v="2847.9900000000002"/>
    <n v="-64.960000000000008"/>
  </r>
  <r>
    <x v="0"/>
    <x v="1"/>
    <x v="0"/>
    <s v="2524200"/>
    <n v="749532"/>
    <s v="Travel-Physician"/>
    <s v="Heart &amp; Vascular-Auburn-Card"/>
    <x v="0"/>
    <m/>
    <n v="1914.57"/>
    <n v="0"/>
    <n v="0"/>
    <n v="0"/>
    <n v="0"/>
    <n v="0"/>
    <n v="0"/>
    <n v="2782.54"/>
    <n v="3452.51"/>
    <n v="1365.83"/>
    <n v="2339.11"/>
    <n v="4065"/>
    <n v="15919.560000000001"/>
    <n v="-1725.8899999999999"/>
  </r>
  <r>
    <x v="0"/>
    <x v="1"/>
    <x v="0"/>
    <s v="2524200"/>
    <n v="749532"/>
    <s v="Vehicle Expense-Physician"/>
    <s v="Heart &amp; Vascular-Auburn-Card"/>
    <x v="0"/>
    <n v="2001"/>
    <n v="164.6"/>
    <n v="166.78"/>
    <n v="0"/>
    <n v="0"/>
    <n v="203.85"/>
    <n v="166.78"/>
    <n v="0"/>
    <n v="0"/>
    <n v="0"/>
    <n v="0"/>
    <n v="0"/>
    <n v="0"/>
    <n v="702.01"/>
    <n v="0"/>
  </r>
  <r>
    <x v="0"/>
    <x v="1"/>
    <x v="0"/>
    <s v="2524200"/>
    <n v="749533"/>
    <s v="Travel-Advanced Practice Clinician"/>
    <s v="Heart &amp; Vascular-Auburn-Card"/>
    <x v="0"/>
    <m/>
    <n v="411.4"/>
    <n v="0"/>
    <n v="0"/>
    <n v="1732.39"/>
    <n v="622.62"/>
    <n v="0"/>
    <n v="0"/>
    <n v="0"/>
    <n v="0"/>
    <n v="968.57"/>
    <n v="0"/>
    <n v="316.58999999999997"/>
    <n v="4051.57"/>
    <n v="-316.58999999999997"/>
  </r>
  <r>
    <x v="0"/>
    <x v="1"/>
    <x v="0"/>
    <s v="2524200"/>
    <n v="749533"/>
    <s v="Vehicle Expense-Advanced Practice Clinician"/>
    <s v="Heart &amp; Vascular-Auburn-Card"/>
    <x v="0"/>
    <n v="2001"/>
    <n v="0"/>
    <n v="0"/>
    <n v="0"/>
    <n v="0"/>
    <n v="0"/>
    <n v="0"/>
    <n v="82.88"/>
    <n v="0"/>
    <n v="0"/>
    <n v="22.04"/>
    <n v="0"/>
    <n v="0"/>
    <n v="104.91999999999999"/>
    <n v="0"/>
  </r>
  <r>
    <x v="9"/>
    <x v="1"/>
    <x v="0"/>
    <s v="2524200"/>
    <n v="800015"/>
    <s v="Interest Income-Ext to CHI"/>
    <s v="Heart &amp; Vascular-Auburn-Card"/>
    <x v="0"/>
    <m/>
    <n v="0"/>
    <n v="0"/>
    <n v="0"/>
    <n v="0"/>
    <n v="0"/>
    <n v="0"/>
    <n v="-16.2"/>
    <n v="-33.44"/>
    <n v="-35.42"/>
    <n v="-32.72"/>
    <n v="-32.200000000000003"/>
    <n v="-29.6"/>
    <n v="-179.58"/>
    <n v="-2.6000000000000014"/>
  </r>
  <r>
    <x v="5"/>
    <x v="1"/>
    <x v="0"/>
    <s v="2525200"/>
    <n v="700034"/>
    <s v="Salaries-Tech/Professional-Productive"/>
    <s v="Heart &amp; Vascular-Auburn-Lab"/>
    <x v="0"/>
    <m/>
    <n v="23106.85"/>
    <n v="24355.98"/>
    <n v="14544.72"/>
    <n v="24640.639999999999"/>
    <n v="20979.11"/>
    <n v="20446.57"/>
    <n v="29159.99"/>
    <n v="20247.93"/>
    <n v="28490.58"/>
    <n v="25906.46"/>
    <n v="31904.65"/>
    <n v="24902.31"/>
    <n v="288685.78999999998"/>
    <n v="7002.34"/>
  </r>
  <r>
    <x v="5"/>
    <x v="1"/>
    <x v="0"/>
    <s v="2525200"/>
    <n v="700034"/>
    <s v="Salaries-Tech/Professional-OT"/>
    <s v="Heart &amp; Vascular-Auburn-Lab"/>
    <x v="0"/>
    <n v="1000"/>
    <n v="0"/>
    <n v="488.88"/>
    <n v="168.06"/>
    <n v="900.64"/>
    <n v="2111.0100000000002"/>
    <n v="1201.08"/>
    <n v="473.9"/>
    <n v="693.35"/>
    <n v="306.74"/>
    <n v="11.5"/>
    <n v="567.44000000000005"/>
    <n v="238.13"/>
    <n v="7160.7300000000005"/>
    <n v="329.31000000000006"/>
  </r>
  <r>
    <x v="5"/>
    <x v="1"/>
    <x v="0"/>
    <s v="2525200"/>
    <n v="700034"/>
    <s v="Salaries-Tech/Professional-Other"/>
    <s v="Heart &amp; Vascular-Auburn-Lab"/>
    <x v="0"/>
    <n v="2000"/>
    <n v="0"/>
    <n v="0"/>
    <n v="0"/>
    <n v="0"/>
    <n v="0"/>
    <n v="30"/>
    <n v="0"/>
    <n v="0"/>
    <n v="0"/>
    <n v="0"/>
    <n v="0"/>
    <n v="0"/>
    <n v="30"/>
    <n v="0"/>
  </r>
  <r>
    <x v="5"/>
    <x v="1"/>
    <x v="0"/>
    <s v="2525200"/>
    <n v="700074"/>
    <s v="Salaries-Tech/Professional-Non-productive"/>
    <s v="Heart &amp; Vascular-Auburn-Lab"/>
    <x v="0"/>
    <m/>
    <n v="3819.22"/>
    <n v="958.22"/>
    <n v="6908.22"/>
    <n v="-791.89"/>
    <n v="2247.65"/>
    <n v="4723.67"/>
    <n v="1848.44"/>
    <n v="6159.31"/>
    <n v="795.75"/>
    <n v="4233.51"/>
    <n v="0.16"/>
    <n v="3154.06"/>
    <n v="34056.32"/>
    <n v="-3153.9"/>
  </r>
  <r>
    <x v="5"/>
    <x v="1"/>
    <x v="0"/>
    <s v="2525200"/>
    <n v="700074"/>
    <s v="Salaries-Tech/Professional-NonProd-Other"/>
    <s v="Heart &amp; Vascular-Auburn-Lab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5200"/>
    <n v="700084"/>
    <s v="Accrued PTO"/>
    <s v="Heart &amp; Vascular-Auburn-Lab"/>
    <x v="0"/>
    <m/>
    <n v="-1097.1400000000001"/>
    <n v="924.69"/>
    <n v="-3691.09"/>
    <n v="2287.9299999999998"/>
    <n v="933.98"/>
    <n v="-1519.57"/>
    <n v="713.36"/>
    <n v="-1967.68"/>
    <n v="991.72"/>
    <n v="136.18"/>
    <n v="2006.72"/>
    <n v="2135.87"/>
    <n v="1854.9700000000005"/>
    <n v="-129.14999999999986"/>
  </r>
  <r>
    <x v="10"/>
    <x v="1"/>
    <x v="0"/>
    <s v="2525200"/>
    <n v="710060"/>
    <s v="Contract Labor-Other"/>
    <s v="Heart &amp; Vascular-Auburn-Lab"/>
    <x v="0"/>
    <m/>
    <n v="0"/>
    <n v="0"/>
    <n v="0"/>
    <n v="0"/>
    <n v="0"/>
    <n v="1625"/>
    <n v="0"/>
    <n v="0"/>
    <n v="0"/>
    <n v="0"/>
    <n v="2437.5"/>
    <n v="0"/>
    <n v="4062.5"/>
    <n v="2437.5"/>
  </r>
  <r>
    <x v="6"/>
    <x v="1"/>
    <x v="0"/>
    <s v="2525200"/>
    <n v="713010"/>
    <s v="Benefits-FICA/Medicare"/>
    <s v="Heart &amp; Vascular-Auburn-Lab"/>
    <x v="0"/>
    <m/>
    <n v="1993.48"/>
    <n v="1904.57"/>
    <n v="1593.63"/>
    <n v="1823.99"/>
    <n v="1872.04"/>
    <n v="1967.48"/>
    <n v="2349.35"/>
    <n v="2016.61"/>
    <n v="2203.14"/>
    <n v="2243.0300000000002"/>
    <n v="2419.61"/>
    <n v="2105.65"/>
    <n v="24492.58"/>
    <n v="313.96000000000004"/>
  </r>
  <r>
    <x v="6"/>
    <x v="1"/>
    <x v="0"/>
    <s v="2525200"/>
    <n v="713090"/>
    <s v="Benefits-Allocated Amounts"/>
    <s v="Heart &amp; Vascular-Auburn-Lab"/>
    <x v="0"/>
    <m/>
    <n v="4508.46"/>
    <n v="3729.07"/>
    <n v="3607.05"/>
    <n v="3875.51"/>
    <n v="3946.78"/>
    <n v="4268.74"/>
    <n v="5452.73"/>
    <n v="5051.99"/>
    <n v="5139.1899999999996"/>
    <n v="5117.43"/>
    <n v="5487.53"/>
    <n v="5442.79"/>
    <n v="55627.270000000004"/>
    <n v="44.739999999999782"/>
  </r>
  <r>
    <x v="7"/>
    <x v="1"/>
    <x v="0"/>
    <s v="2525200"/>
    <n v="718050"/>
    <s v="Contract Management--Linen"/>
    <s v="Heart &amp; Vascular-Auburn-Lab"/>
    <x v="0"/>
    <n v="1026"/>
    <n v="0"/>
    <n v="0"/>
    <n v="0"/>
    <n v="0"/>
    <n v="0"/>
    <n v="0"/>
    <n v="0"/>
    <n v="142.87"/>
    <n v="0"/>
    <n v="0"/>
    <n v="0"/>
    <n v="0"/>
    <n v="142.87"/>
    <n v="0"/>
  </r>
  <r>
    <x v="7"/>
    <x v="1"/>
    <x v="0"/>
    <s v="2525200"/>
    <n v="718070"/>
    <s v="Contract Srvcs-CHI Clinical Engineering"/>
    <s v="Heart &amp; Vascular-Auburn-Lab"/>
    <x v="0"/>
    <m/>
    <n v="140.96"/>
    <n v="167.99"/>
    <n v="159.47"/>
    <n v="160.38999999999999"/>
    <n v="161.34"/>
    <n v="509.47"/>
    <n v="529.28"/>
    <n v="570.61"/>
    <n v="222.49"/>
    <n v="241.3"/>
    <n v="241.21"/>
    <n v="241.21"/>
    <n v="3345.7200000000003"/>
    <n v="0"/>
  </r>
  <r>
    <x v="7"/>
    <x v="1"/>
    <x v="0"/>
    <s v="2525200"/>
    <n v="718077"/>
    <s v="PACS"/>
    <s v="Heart &amp; Vascular-Auburn-Lab"/>
    <x v="0"/>
    <n v="1000"/>
    <n v="2184.73"/>
    <n v="2297.89"/>
    <n v="2091.62"/>
    <n v="2386.1"/>
    <n v="2180.2800000000002"/>
    <n v="2109.44"/>
    <n v="2409.71"/>
    <n v="2010.1"/>
    <n v="2419.0700000000002"/>
    <n v="2389.2199999999998"/>
    <n v="2469.41"/>
    <n v="2244.87"/>
    <n v="27192.44"/>
    <n v="224.53999999999996"/>
  </r>
  <r>
    <x v="11"/>
    <x v="1"/>
    <x v="0"/>
    <s v="2525200"/>
    <n v="721350"/>
    <s v="Supplies-Film/Radiographic - Billable"/>
    <s v="Heart &amp; Vascular-Auburn-Lab"/>
    <x v="0"/>
    <m/>
    <n v="0"/>
    <n v="0"/>
    <n v="0"/>
    <n v="0"/>
    <n v="3358.67"/>
    <n v="0"/>
    <n v="0"/>
    <n v="0"/>
    <n v="0"/>
    <n v="0"/>
    <n v="0"/>
    <n v="0"/>
    <n v="3358.67"/>
    <n v="0"/>
  </r>
  <r>
    <x v="11"/>
    <x v="1"/>
    <x v="0"/>
    <s v="2525200"/>
    <n v="721350"/>
    <s v="Radiology Imaging - Contrast Media"/>
    <s v="Heart &amp; Vascular-Auburn-Lab"/>
    <x v="0"/>
    <n v="1000"/>
    <n v="7651.21"/>
    <n v="11712.54"/>
    <n v="3339.44"/>
    <n v="3535.76"/>
    <n v="3117.65"/>
    <n v="5566.02"/>
    <n v="7967.41"/>
    <n v="7327.2"/>
    <n v="3482.83"/>
    <n v="3298.11"/>
    <n v="6608.3"/>
    <n v="6220.1"/>
    <n v="69826.570000000007"/>
    <n v="388.19999999999982"/>
  </r>
  <r>
    <x v="11"/>
    <x v="1"/>
    <x v="0"/>
    <s v="2525200"/>
    <n v="721410"/>
    <s v="Supplies-Medical - Nonbillable"/>
    <s v="Heart &amp; Vascular-Auburn-Lab"/>
    <x v="0"/>
    <m/>
    <n v="0"/>
    <n v="0"/>
    <n v="0"/>
    <n v="0"/>
    <n v="0"/>
    <n v="0"/>
    <n v="4417.3500000000004"/>
    <n v="0"/>
    <n v="0"/>
    <n v="0"/>
    <n v="0"/>
    <n v="0"/>
    <n v="4417.3500000000004"/>
    <n v="0"/>
  </r>
  <r>
    <x v="0"/>
    <x v="1"/>
    <x v="0"/>
    <s v="2525200"/>
    <n v="740020"/>
    <s v="Education-Registration Fees"/>
    <s v="Heart &amp; Vascular-Auburn-Lab"/>
    <x v="0"/>
    <m/>
    <n v="0"/>
    <n v="0"/>
    <n v="0"/>
    <n v="0"/>
    <n v="0"/>
    <n v="0"/>
    <n v="0"/>
    <n v="45"/>
    <n v="0"/>
    <n v="0"/>
    <n v="0"/>
    <n v="0"/>
    <n v="45"/>
    <n v="0"/>
  </r>
  <r>
    <x v="1"/>
    <x v="1"/>
    <x v="0"/>
    <s v="2526200"/>
    <n v="400040"/>
    <s v="Physician Svcs Rev--Medicare"/>
    <s v="Weight Mngmt-Bariatrics"/>
    <x v="0"/>
    <n v="1100"/>
    <n v="-5066"/>
    <n v="-4459"/>
    <n v="-4052"/>
    <n v="-5427"/>
    <n v="-4187"/>
    <n v="-2874"/>
    <n v="-7943"/>
    <n v="-4638"/>
    <n v="-6778"/>
    <n v="-3136"/>
    <n v="-3450"/>
    <n v="-7336"/>
    <n v="-59346"/>
    <n v="3886"/>
  </r>
  <r>
    <x v="1"/>
    <x v="1"/>
    <x v="0"/>
    <s v="2526200"/>
    <n v="400040"/>
    <s v="Physician Svcs Rev--Medicaid"/>
    <s v="Weight Mngmt-Bariatrics"/>
    <x v="0"/>
    <n v="1200"/>
    <n v="0"/>
    <n v="0"/>
    <n v="0"/>
    <n v="0"/>
    <n v="0"/>
    <n v="0"/>
    <n v="0"/>
    <n v="-83"/>
    <n v="0"/>
    <n v="0"/>
    <n v="0"/>
    <n v="-672"/>
    <n v="-755"/>
    <n v="672"/>
  </r>
  <r>
    <x v="1"/>
    <x v="1"/>
    <x v="0"/>
    <s v="2526200"/>
    <n v="400040"/>
    <s v="Physician Svcs Rev--Comm Insurance"/>
    <s v="Weight Mngmt-Bariatrics"/>
    <x v="0"/>
    <n v="1300"/>
    <n v="-537"/>
    <n v="-415"/>
    <n v="-908"/>
    <n v="-415"/>
    <n v="-415"/>
    <n v="-249"/>
    <n v="-1655"/>
    <n v="-664"/>
    <n v="-1118"/>
    <n v="-550"/>
    <n v="-1048"/>
    <n v="-664"/>
    <n v="-8638"/>
    <n v="-384"/>
  </r>
  <r>
    <x v="1"/>
    <x v="1"/>
    <x v="0"/>
    <s v="2526200"/>
    <n v="400040"/>
    <s v="Physician Svcs Rev--BCBS Comm"/>
    <s v="Weight Mngmt-Bariatrics"/>
    <x v="0"/>
    <n v="1301"/>
    <n v="-2682"/>
    <n v="-2672"/>
    <n v="-2376"/>
    <n v="-3362"/>
    <n v="-3048"/>
    <n v="-1380"/>
    <n v="-4112"/>
    <n v="-3886"/>
    <n v="-3406"/>
    <n v="-1289"/>
    <n v="-3328"/>
    <n v="-4397"/>
    <n v="-35938"/>
    <n v="1069"/>
  </r>
  <r>
    <x v="1"/>
    <x v="1"/>
    <x v="0"/>
    <s v="2526200"/>
    <n v="400040"/>
    <s v="Physician Svcs Rev--Managed Care"/>
    <s v="Weight Mngmt-Bariatrics"/>
    <x v="0"/>
    <n v="1400"/>
    <n v="-12021"/>
    <n v="-11297"/>
    <n v="-9147"/>
    <n v="-15179"/>
    <n v="-10301"/>
    <n v="-5990"/>
    <n v="-13407"/>
    <n v="-11700"/>
    <n v="-12208"/>
    <n v="-9777"/>
    <n v="-10555"/>
    <n v="-12263"/>
    <n v="-133845"/>
    <n v="1708"/>
  </r>
  <r>
    <x v="1"/>
    <x v="1"/>
    <x v="0"/>
    <s v="2526200"/>
    <n v="400040"/>
    <s v="Physician Svcs Rev--Self Pay"/>
    <s v="Weight Mngmt-Bariatrics"/>
    <x v="0"/>
    <n v="1500"/>
    <n v="-2197"/>
    <n v="-2625"/>
    <n v="-1743"/>
    <n v="-1769"/>
    <n v="-1520"/>
    <n v="-1367"/>
    <n v="-1520"/>
    <n v="-1349"/>
    <n v="-2122"/>
    <n v="-856"/>
    <n v="-2096"/>
    <n v="-581"/>
    <n v="-19745"/>
    <n v="-1515"/>
  </r>
  <r>
    <x v="1"/>
    <x v="1"/>
    <x v="0"/>
    <s v="2526200"/>
    <n v="400040"/>
    <s v="Physician Svcs Rev--Other"/>
    <s v="Weight Mngmt-Bariatrics"/>
    <x v="0"/>
    <n v="1700"/>
    <n v="0"/>
    <n v="0"/>
    <n v="0"/>
    <n v="-83"/>
    <n v="0"/>
    <n v="-192"/>
    <n v="-83"/>
    <n v="0"/>
    <n v="-249"/>
    <n v="524"/>
    <n v="0"/>
    <n v="0"/>
    <n v="-83"/>
    <n v="0"/>
  </r>
  <r>
    <x v="2"/>
    <x v="1"/>
    <x v="0"/>
    <s v="2526200"/>
    <n v="450040"/>
    <s v="Contr Allow--Phys Svcs--Mcare"/>
    <s v="Weight Mngmt-Bariatrics"/>
    <x v="0"/>
    <n v="1100"/>
    <n v="-27.73"/>
    <n v="1829.14"/>
    <n v="530.29999999999995"/>
    <n v="1951.37"/>
    <n v="2157.2399999999998"/>
    <n v="591.78"/>
    <n v="5744.38"/>
    <n v="5220.88"/>
    <n v="2057.8000000000002"/>
    <n v="4024.8"/>
    <n v="3114.62"/>
    <n v="3405.17"/>
    <n v="30599.75"/>
    <n v="-290.55000000000018"/>
  </r>
  <r>
    <x v="2"/>
    <x v="1"/>
    <x v="0"/>
    <s v="2526200"/>
    <n v="450040"/>
    <s v="Contr Allow--Phys Svcs--Mcaid"/>
    <s v="Weight Mngmt-Bariatrics"/>
    <x v="0"/>
    <n v="1200"/>
    <n v="0"/>
    <n v="0"/>
    <n v="0"/>
    <n v="0"/>
    <n v="0"/>
    <n v="0"/>
    <n v="0"/>
    <n v="49.14"/>
    <n v="0"/>
    <n v="0"/>
    <n v="0"/>
    <n v="509.55"/>
    <n v="558.69000000000005"/>
    <n v="-509.55"/>
  </r>
  <r>
    <x v="2"/>
    <x v="1"/>
    <x v="0"/>
    <s v="2526200"/>
    <n v="450040"/>
    <s v="Contr Allow--Phys Svcs--Comm Insurance"/>
    <s v="Weight Mngmt-Bariatrics"/>
    <x v="0"/>
    <n v="1300"/>
    <n v="192.8"/>
    <n v="91.32"/>
    <n v="91.32"/>
    <n v="120.79"/>
    <n v="42.14"/>
    <n v="84.28"/>
    <n v="105.35"/>
    <n v="358.32"/>
    <n v="168.56"/>
    <n v="256.5"/>
    <n v="147.5"/>
    <n v="252.71"/>
    <n v="1911.59"/>
    <n v="-105.21000000000001"/>
  </r>
  <r>
    <x v="2"/>
    <x v="1"/>
    <x v="0"/>
    <s v="2526200"/>
    <n v="450040"/>
    <s v="Contr Allow--Phys Svcs--BCBS Comm Ins"/>
    <s v="Weight Mngmt-Bariatrics"/>
    <x v="0"/>
    <n v="1301"/>
    <n v="1024.5999999999999"/>
    <n v="628.26"/>
    <n v="1020.87"/>
    <n v="793.34"/>
    <n v="544.97"/>
    <n v="756.02"/>
    <n v="266.76"/>
    <n v="807.58"/>
    <n v="1020.14"/>
    <n v="759"/>
    <n v="790.66"/>
    <n v="1034.6400000000001"/>
    <n v="9446.84"/>
    <n v="-243.98000000000013"/>
  </r>
  <r>
    <x v="2"/>
    <x v="1"/>
    <x v="0"/>
    <s v="2526200"/>
    <n v="450040"/>
    <s v="Contr Allow--Phys Svcs--Managed Care"/>
    <s v="Weight Mngmt-Bariatrics"/>
    <x v="0"/>
    <n v="1400"/>
    <n v="4467.51"/>
    <n v="3780.25"/>
    <n v="3677.67"/>
    <n v="5290.05"/>
    <n v="4109.96"/>
    <n v="2733.91"/>
    <n v="2865.32"/>
    <n v="3252.08"/>
    <n v="4477.1000000000004"/>
    <n v="4384.53"/>
    <n v="4553.9399999999996"/>
    <n v="4175.03"/>
    <n v="47767.35"/>
    <n v="378.90999999999985"/>
  </r>
  <r>
    <x v="2"/>
    <x v="1"/>
    <x v="0"/>
    <s v="2526200"/>
    <n v="450040"/>
    <s v="Contr Allow--Phys Svcs--BCBS Mgnd Care"/>
    <s v="Weight Mngmt-Bariatrics"/>
    <x v="0"/>
    <n v="1401"/>
    <n v="958.37"/>
    <n v="1624.4"/>
    <n v="-595.97"/>
    <n v="529.39"/>
    <n v="176.5"/>
    <n v="-1379.47"/>
    <n v="5340"/>
    <n v="841.66"/>
    <n v="649.45000000000005"/>
    <n v="-4647.82"/>
    <n v="-1226.46"/>
    <n v="822.51"/>
    <n v="3092.5600000000004"/>
    <n v="-2048.9700000000003"/>
  </r>
  <r>
    <x v="2"/>
    <x v="1"/>
    <x v="0"/>
    <s v="2526200"/>
    <n v="450040"/>
    <s v="Admin Adjust-Phys Svcs-Self Pay"/>
    <s v="Weight Mngmt-Bariatrics"/>
    <x v="0"/>
    <n v="1600"/>
    <n v="3049.18"/>
    <n v="1348.19"/>
    <n v="1803.95"/>
    <n v="1019.45"/>
    <n v="775.41"/>
    <n v="751.85"/>
    <n v="1013.06"/>
    <n v="732.78"/>
    <n v="1170.1099999999999"/>
    <n v="691.88"/>
    <n v="1138.2"/>
    <n v="530.04"/>
    <n v="14024.099999999999"/>
    <n v="608.16000000000008"/>
  </r>
  <r>
    <x v="2"/>
    <x v="1"/>
    <x v="0"/>
    <s v="2526200"/>
    <n v="450040"/>
    <s v="Contr Allow--Phys Svcs--Other"/>
    <s v="Weight Mngmt-Bariatrics"/>
    <x v="0"/>
    <n v="1700"/>
    <n v="0"/>
    <n v="0"/>
    <n v="0"/>
    <n v="0"/>
    <n v="56.96"/>
    <n v="0"/>
    <n v="0"/>
    <n v="0"/>
    <n v="0"/>
    <n v="0"/>
    <n v="190"/>
    <n v="0"/>
    <n v="246.96"/>
    <n v="190"/>
  </r>
  <r>
    <x v="3"/>
    <x v="1"/>
    <x v="0"/>
    <s v="2526200"/>
    <n v="470040"/>
    <s v="Charity Care-Physician Svcs"/>
    <s v="Weight Mngmt-Bariatrics"/>
    <x v="0"/>
    <m/>
    <n v="16.59"/>
    <n v="208.11"/>
    <n v="3.32"/>
    <n v="93.95"/>
    <n v="35.33"/>
    <n v="-124.76"/>
    <n v="303.99"/>
    <n v="48.33"/>
    <n v="589.79999999999995"/>
    <n v="121.7"/>
    <n v="109.33"/>
    <n v="1289.81"/>
    <n v="2695.5"/>
    <n v="-1180.48"/>
  </r>
  <r>
    <x v="4"/>
    <x v="1"/>
    <x v="0"/>
    <s v="2526200"/>
    <n v="490010"/>
    <s v="Provision for Bad Debts"/>
    <s v="Weight Mngmt-Bariatrics"/>
    <x v="0"/>
    <m/>
    <n v="532.57000000000005"/>
    <n v="189.58"/>
    <n v="985.9"/>
    <n v="972.21"/>
    <n v="174.2"/>
    <n v="-140.59"/>
    <n v="1207.69"/>
    <n v="-514.55999999999995"/>
    <n v="573.32000000000005"/>
    <n v="-325.63"/>
    <n v="-520.14"/>
    <n v="689.97"/>
    <n v="3824.5200000000004"/>
    <n v="-1210.1100000000001"/>
  </r>
  <r>
    <x v="5"/>
    <x v="1"/>
    <x v="0"/>
    <s v="2526200"/>
    <n v="700030"/>
    <s v="Salaries-LPN-Productive"/>
    <s v="Weight Mngmt-Bariatrics"/>
    <x v="0"/>
    <m/>
    <n v="0"/>
    <n v="0"/>
    <n v="0"/>
    <n v="0"/>
    <n v="0"/>
    <n v="0"/>
    <n v="0"/>
    <n v="0"/>
    <n v="0"/>
    <n v="0"/>
    <n v="0"/>
    <n v="119.86"/>
    <n v="119.86"/>
    <n v="-119.86"/>
  </r>
  <r>
    <x v="5"/>
    <x v="1"/>
    <x v="0"/>
    <s v="2526200"/>
    <n v="700030"/>
    <s v="Salaries-LPN-OT"/>
    <s v="Weight Mngmt-Bariatrics"/>
    <x v="0"/>
    <n v="1000"/>
    <n v="0"/>
    <n v="0"/>
    <n v="0"/>
    <n v="0"/>
    <n v="0"/>
    <n v="0"/>
    <n v="0"/>
    <n v="0"/>
    <n v="0"/>
    <n v="0"/>
    <n v="0"/>
    <n v="91.27"/>
    <n v="91.27"/>
    <n v="-91.27"/>
  </r>
  <r>
    <x v="5"/>
    <x v="1"/>
    <x v="0"/>
    <s v="2526200"/>
    <n v="700030"/>
    <s v="Salaries-LPN-Other"/>
    <s v="Weight Mngmt-Bariatrics"/>
    <x v="0"/>
    <n v="2000"/>
    <n v="0"/>
    <n v="0"/>
    <n v="0"/>
    <n v="0"/>
    <n v="0"/>
    <n v="0"/>
    <n v="0"/>
    <n v="0"/>
    <n v="0"/>
    <n v="0"/>
    <n v="0"/>
    <n v="8.26"/>
    <n v="8.26"/>
    <n v="-8.26"/>
  </r>
  <r>
    <x v="5"/>
    <x v="1"/>
    <x v="0"/>
    <s v="2526200"/>
    <n v="700032"/>
    <s v="Salaries-Other Pat Care Providers-Productive"/>
    <s v="Weight Mngmt-Bariatrics"/>
    <x v="0"/>
    <m/>
    <n v="5734.49"/>
    <n v="6245.47"/>
    <n v="4694.8999999999996"/>
    <n v="5095.29"/>
    <n v="5448.55"/>
    <n v="5021.3100000000004"/>
    <n v="6021.24"/>
    <n v="4924.91"/>
    <n v="5800.64"/>
    <n v="5925.35"/>
    <n v="5599.46"/>
    <n v="5034.1499999999996"/>
    <n v="65545.759999999995"/>
    <n v="565.3100000000004"/>
  </r>
  <r>
    <x v="5"/>
    <x v="1"/>
    <x v="0"/>
    <s v="2526200"/>
    <n v="700032"/>
    <s v="Salaries-Other Pat Care Providers-OT"/>
    <s v="Weight Mngmt-Bariatrics"/>
    <x v="0"/>
    <n v="1000"/>
    <n v="0"/>
    <n v="0"/>
    <n v="0"/>
    <n v="0"/>
    <n v="0"/>
    <n v="27.27"/>
    <n v="0"/>
    <n v="38.22"/>
    <n v="16.399999999999999"/>
    <n v="69.64"/>
    <n v="25.95"/>
    <n v="-27.31"/>
    <n v="150.16999999999996"/>
    <n v="53.26"/>
  </r>
  <r>
    <x v="5"/>
    <x v="1"/>
    <x v="0"/>
    <s v="2526200"/>
    <n v="700054"/>
    <s v="Salaries-Management-NonProd-Other"/>
    <s v="Weight Mngmt-Bariatrics"/>
    <x v="0"/>
    <n v="2000"/>
    <n v="0"/>
    <n v="0"/>
    <n v="0"/>
    <n v="0"/>
    <n v="0"/>
    <n v="168"/>
    <n v="-168"/>
    <n v="0"/>
    <n v="0"/>
    <n v="0"/>
    <n v="0"/>
    <n v="0"/>
    <n v="0"/>
    <n v="0"/>
  </r>
  <r>
    <x v="5"/>
    <x v="1"/>
    <x v="0"/>
    <s v="2526200"/>
    <n v="700072"/>
    <s v="Salaries-Other Pat Care Providers-Non-productive"/>
    <s v="Weight Mngmt-Bariatrics"/>
    <x v="0"/>
    <m/>
    <n v="478.32"/>
    <n v="249.76"/>
    <n v="953.11"/>
    <n v="1552.55"/>
    <n v="950.82"/>
    <n v="1068.98"/>
    <n v="679.24"/>
    <n v="901.23"/>
    <n v="298.61"/>
    <n v="483.39"/>
    <n v="1100.6199999999999"/>
    <n v="791.99"/>
    <n v="9508.6199999999972"/>
    <n v="308.62999999999988"/>
  </r>
  <r>
    <x v="5"/>
    <x v="1"/>
    <x v="0"/>
    <s v="2526200"/>
    <n v="700084"/>
    <s v="Accrued PTO"/>
    <s v="Weight Mngmt-Bariatrics"/>
    <x v="0"/>
    <m/>
    <n v="339.6"/>
    <n v="473.73"/>
    <n v="-205.8"/>
    <n v="-9.06"/>
    <n v="-357.42"/>
    <n v="-349.42"/>
    <n v="42.54"/>
    <n v="-100.35"/>
    <n v="506.13"/>
    <n v="364.33"/>
    <n v="-218.53"/>
    <n v="22.91"/>
    <n v="508.66"/>
    <n v="-241.44"/>
  </r>
  <r>
    <x v="6"/>
    <x v="1"/>
    <x v="0"/>
    <s v="2526200"/>
    <n v="713010"/>
    <s v="Benefits-FICA/Medicare"/>
    <s v="Weight Mngmt-Bariatrics"/>
    <x v="0"/>
    <m/>
    <n v="473.5"/>
    <n v="495.07"/>
    <n v="430.48"/>
    <n v="506.71"/>
    <n v="487.82"/>
    <n v="479.12"/>
    <n v="522.72"/>
    <n v="446.29"/>
    <n v="465.39"/>
    <n v="493"/>
    <n v="511.83"/>
    <n v="458.04"/>
    <n v="5769.97"/>
    <n v="53.789999999999964"/>
  </r>
  <r>
    <x v="6"/>
    <x v="1"/>
    <x v="0"/>
    <s v="2526200"/>
    <n v="713090"/>
    <s v="Benefits-Allocated Amounts"/>
    <s v="Weight Mngmt-Bariatrics"/>
    <x v="0"/>
    <m/>
    <n v="1201.04"/>
    <n v="1114.0999999999999"/>
    <n v="1141.94"/>
    <n v="1202.1500000000001"/>
    <n v="1132.92"/>
    <n v="1081.8499999999999"/>
    <n v="1382.15"/>
    <n v="1469.87"/>
    <n v="1138.8"/>
    <n v="1307.8399999999999"/>
    <n v="1288.6099999999999"/>
    <n v="1277.52"/>
    <n v="14738.79"/>
    <n v="11.089999999999918"/>
  </r>
  <r>
    <x v="11"/>
    <x v="1"/>
    <x v="0"/>
    <s v="2526200"/>
    <n v="721830"/>
    <s v="Supplies-Office"/>
    <s v="Weight Mngmt-Bariatrics"/>
    <x v="0"/>
    <m/>
    <n v="0"/>
    <n v="0"/>
    <n v="0"/>
    <n v="16.47"/>
    <n v="0"/>
    <n v="0"/>
    <n v="0"/>
    <n v="0"/>
    <n v="0"/>
    <n v="0"/>
    <n v="0"/>
    <n v="0"/>
    <n v="16.47"/>
    <n v="0"/>
  </r>
  <r>
    <x v="0"/>
    <x v="1"/>
    <x v="0"/>
    <s v="2526200"/>
    <n v="740020"/>
    <s v="Education-Registration Fees"/>
    <s v="Weight Mngmt-Bariatrics"/>
    <x v="0"/>
    <m/>
    <n v="0"/>
    <n v="860"/>
    <n v="0"/>
    <n v="0"/>
    <n v="0"/>
    <n v="0"/>
    <n v="0"/>
    <n v="0"/>
    <n v="0"/>
    <n v="0"/>
    <n v="0"/>
    <n v="0"/>
    <n v="860"/>
    <n v="0"/>
  </r>
  <r>
    <x v="0"/>
    <x v="1"/>
    <x v="0"/>
    <s v="2526200"/>
    <n v="742010"/>
    <s v="Postage-Regular"/>
    <s v="Weight Mngmt-Bariatrics"/>
    <x v="0"/>
    <m/>
    <n v="0"/>
    <n v="0"/>
    <n v="0"/>
    <n v="0"/>
    <n v="6.7"/>
    <n v="0"/>
    <n v="0"/>
    <n v="0"/>
    <n v="0"/>
    <n v="0"/>
    <n v="0"/>
    <n v="0"/>
    <n v="6.7"/>
    <n v="0"/>
  </r>
  <r>
    <x v="0"/>
    <x v="1"/>
    <x v="0"/>
    <s v="2526200"/>
    <n v="743040"/>
    <s v="Subscriptions--Individual"/>
    <s v="Weight Mngmt-Bariatrics"/>
    <x v="0"/>
    <m/>
    <n v="0"/>
    <n v="0"/>
    <n v="0"/>
    <n v="15.63"/>
    <n v="0"/>
    <n v="0"/>
    <n v="0"/>
    <n v="0"/>
    <n v="0"/>
    <n v="0"/>
    <n v="0"/>
    <n v="0"/>
    <n v="15.63"/>
    <n v="0"/>
  </r>
  <r>
    <x v="0"/>
    <x v="1"/>
    <x v="0"/>
    <s v="2526200"/>
    <n v="749510"/>
    <s v="Miscellaneous Expenses"/>
    <s v="Weight Mngmt-Bariatrics"/>
    <x v="0"/>
    <m/>
    <n v="0"/>
    <n v="0"/>
    <n v="15.63"/>
    <n v="-15.63"/>
    <n v="2.99"/>
    <n v="77.94"/>
    <n v="0"/>
    <n v="0"/>
    <n v="0"/>
    <n v="0"/>
    <n v="0"/>
    <n v="0"/>
    <n v="80.929999999999993"/>
    <n v="0"/>
  </r>
  <r>
    <x v="0"/>
    <x v="1"/>
    <x v="0"/>
    <s v="2526200"/>
    <n v="749510"/>
    <s v="Licenses"/>
    <s v="Weight Mngmt-Bariatrics"/>
    <x v="0"/>
    <n v="1002"/>
    <n v="0"/>
    <n v="0"/>
    <n v="0"/>
    <n v="0"/>
    <n v="61"/>
    <n v="0"/>
    <n v="0"/>
    <n v="0"/>
    <n v="0"/>
    <n v="0"/>
    <n v="0"/>
    <n v="0"/>
    <n v="61"/>
    <n v="0"/>
  </r>
  <r>
    <x v="0"/>
    <x v="1"/>
    <x v="0"/>
    <s v="2526200"/>
    <n v="749530"/>
    <s v="Travel"/>
    <s v="Weight Mngmt-Bariatrics"/>
    <x v="0"/>
    <m/>
    <n v="0"/>
    <n v="0"/>
    <n v="428.41"/>
    <n v="0"/>
    <n v="185.74"/>
    <n v="0"/>
    <n v="0"/>
    <n v="0"/>
    <n v="0"/>
    <n v="0"/>
    <n v="0"/>
    <n v="0"/>
    <n v="614.15000000000009"/>
    <n v="0"/>
  </r>
  <r>
    <x v="1"/>
    <x v="1"/>
    <x v="0"/>
    <s v="2527200"/>
    <n v="400029"/>
    <s v="MD Practice Other Rev--Medicare"/>
    <s v="Breast Surg-Pearl Place"/>
    <x v="0"/>
    <n v="1100"/>
    <n v="-2060"/>
    <n v="-1964"/>
    <n v="-1983"/>
    <n v="-2970"/>
    <n v="-2624"/>
    <n v="-1403"/>
    <n v="-988"/>
    <n v="-2425"/>
    <n v="-2657"/>
    <n v="-2109"/>
    <n v="-2555"/>
    <n v="-1688"/>
    <n v="-25426"/>
    <n v="-867"/>
  </r>
  <r>
    <x v="1"/>
    <x v="1"/>
    <x v="0"/>
    <s v="2527200"/>
    <n v="400029"/>
    <s v="MD Practice Other Rev--Medicaid"/>
    <s v="Breast Surg-Pearl Place"/>
    <x v="0"/>
    <n v="1200"/>
    <n v="-561"/>
    <n v="-314"/>
    <n v="-475"/>
    <n v="-1007"/>
    <n v="-1084"/>
    <n v="-1158"/>
    <n v="-896"/>
    <n v="-1158"/>
    <n v="-1122"/>
    <n v="-1206"/>
    <n v="-1032"/>
    <n v="-1960"/>
    <n v="-11973"/>
    <n v="928"/>
  </r>
  <r>
    <x v="1"/>
    <x v="1"/>
    <x v="0"/>
    <s v="2527200"/>
    <n v="400029"/>
    <s v="MD Practice Other Rev--Comm Insurance"/>
    <s v="Breast Surg-Pearl Place"/>
    <x v="0"/>
    <n v="1300"/>
    <n v="-339"/>
    <n v="-741"/>
    <n v="-446"/>
    <n v="-693"/>
    <n v="-561"/>
    <n v="0"/>
    <n v="-446"/>
    <n v="0"/>
    <n v="-176"/>
    <n v="-421"/>
    <n v="0"/>
    <n v="-446"/>
    <n v="-4269"/>
    <n v="446"/>
  </r>
  <r>
    <x v="1"/>
    <x v="1"/>
    <x v="0"/>
    <s v="2527200"/>
    <n v="400029"/>
    <s v="MD Practice Other Rev--BCBS Comm"/>
    <s v="Breast Surg-Pearl Place"/>
    <x v="0"/>
    <n v="1301"/>
    <n v="-469"/>
    <n v="-138"/>
    <n v="-538"/>
    <n v="-23"/>
    <n v="-339"/>
    <n v="84"/>
    <n v="-199"/>
    <n v="-339"/>
    <n v="-808"/>
    <n v="-844"/>
    <n v="-398"/>
    <n v="-1568"/>
    <n v="-5579"/>
    <n v="1170"/>
  </r>
  <r>
    <x v="1"/>
    <x v="1"/>
    <x v="0"/>
    <s v="2527200"/>
    <n v="400029"/>
    <s v="MD Practice Other Rev--Managed Care"/>
    <s v="Breast Surg-Pearl Place"/>
    <x v="0"/>
    <n v="1400"/>
    <n v="-4050"/>
    <n v="-2638"/>
    <n v="-1601"/>
    <n v="-1710"/>
    <n v="-1878"/>
    <n v="-1495"/>
    <n v="-1300"/>
    <n v="-1442"/>
    <n v="-2567"/>
    <n v="-1436"/>
    <n v="-2097"/>
    <n v="-3471"/>
    <n v="-25685"/>
    <n v="1374"/>
  </r>
  <r>
    <x v="1"/>
    <x v="1"/>
    <x v="0"/>
    <s v="2527200"/>
    <n v="400029"/>
    <s v="MD Practice Other Rev--Self Pay"/>
    <s v="Breast Surg-Pearl Place"/>
    <x v="0"/>
    <n v="1500"/>
    <n v="0"/>
    <n v="0"/>
    <n v="0"/>
    <n v="0"/>
    <n v="0"/>
    <n v="-199"/>
    <n v="0"/>
    <n v="0"/>
    <n v="0"/>
    <n v="0"/>
    <n v="0"/>
    <n v="0"/>
    <n v="-199"/>
    <n v="0"/>
  </r>
  <r>
    <x v="1"/>
    <x v="1"/>
    <x v="0"/>
    <s v="2527200"/>
    <n v="400029"/>
    <s v="MD Practice Other Rev--Other"/>
    <s v="Breast Surg-Pearl Place"/>
    <x v="0"/>
    <n v="1700"/>
    <n v="-199"/>
    <n v="-199"/>
    <n v="-406"/>
    <n v="-494"/>
    <n v="-446"/>
    <n v="0"/>
    <n v="0"/>
    <n v="-199"/>
    <n v="-92"/>
    <n v="0"/>
    <n v="-314"/>
    <n v="-270"/>
    <n v="-2619"/>
    <n v="-44"/>
  </r>
  <r>
    <x v="1"/>
    <x v="1"/>
    <x v="0"/>
    <s v="2527200"/>
    <n v="400040"/>
    <s v="Physician Svcs Rev--Medicare"/>
    <s v="Breast Surg-Pearl Place"/>
    <x v="0"/>
    <n v="1100"/>
    <n v="-74139"/>
    <n v="-67435"/>
    <n v="-68067"/>
    <n v="-106780"/>
    <n v="-72788"/>
    <n v="-47561"/>
    <n v="-42708"/>
    <n v="-72779"/>
    <n v="-61138"/>
    <n v="-51146"/>
    <n v="-73052.25"/>
    <n v="-70676"/>
    <n v="-808269.25"/>
    <n v="-2376.25"/>
  </r>
  <r>
    <x v="1"/>
    <x v="1"/>
    <x v="0"/>
    <s v="2527200"/>
    <n v="400040"/>
    <s v="Physician Svcs Rev--Medicaid"/>
    <s v="Breast Surg-Pearl Place"/>
    <x v="0"/>
    <n v="1200"/>
    <n v="-38462"/>
    <n v="-23855"/>
    <n v="-36397"/>
    <n v="-31176"/>
    <n v="-28501"/>
    <n v="-36631"/>
    <n v="-22427.75"/>
    <n v="-31187"/>
    <n v="-26888"/>
    <n v="-22933"/>
    <n v="-13269"/>
    <n v="-31367"/>
    <n v="-343093.75"/>
    <n v="18098"/>
  </r>
  <r>
    <x v="1"/>
    <x v="1"/>
    <x v="0"/>
    <s v="2527200"/>
    <n v="400040"/>
    <s v="Physician Svcs Rev--Comm Insurance"/>
    <s v="Breast Surg-Pearl Place"/>
    <x v="0"/>
    <n v="1300"/>
    <n v="-3778"/>
    <n v="-9427"/>
    <n v="-3735"/>
    <n v="-10466"/>
    <n v="-19326"/>
    <n v="-707"/>
    <n v="-12906"/>
    <n v="-2198"/>
    <n v="-13280"/>
    <n v="-24154"/>
    <n v="-996"/>
    <n v="-1850"/>
    <n v="-102823"/>
    <n v="854"/>
  </r>
  <r>
    <x v="1"/>
    <x v="1"/>
    <x v="0"/>
    <s v="2527200"/>
    <n v="400040"/>
    <s v="Physician Svcs Rev--BCBS Comm"/>
    <s v="Breast Surg-Pearl Place"/>
    <x v="0"/>
    <n v="1301"/>
    <n v="-24545"/>
    <n v="-41994"/>
    <n v="-13175"/>
    <n v="-11292"/>
    <n v="-11667"/>
    <n v="-1245"/>
    <n v="-2864"/>
    <n v="-4055"/>
    <n v="-12784"/>
    <n v="-13445"/>
    <n v="-16838"/>
    <n v="-18984.439999999999"/>
    <n v="-172888.44"/>
    <n v="2146.4399999999987"/>
  </r>
  <r>
    <x v="1"/>
    <x v="1"/>
    <x v="0"/>
    <s v="2527200"/>
    <n v="400040"/>
    <s v="Physician Svcs Rev--Managed Care"/>
    <s v="Breast Surg-Pearl Place"/>
    <x v="0"/>
    <n v="1400"/>
    <n v="-83513"/>
    <n v="-64162"/>
    <n v="-52065"/>
    <n v="-119551"/>
    <n v="-54426"/>
    <n v="-38267"/>
    <n v="-69877"/>
    <n v="-30332"/>
    <n v="-89860"/>
    <n v="-55955"/>
    <n v="-70266"/>
    <n v="-124471"/>
    <n v="-852745"/>
    <n v="54205"/>
  </r>
  <r>
    <x v="1"/>
    <x v="1"/>
    <x v="0"/>
    <s v="2527200"/>
    <n v="400040"/>
    <s v="Physician Svcs Rev--Self Pay"/>
    <s v="Breast Surg-Pearl Place"/>
    <x v="0"/>
    <n v="1500"/>
    <n v="-1160"/>
    <n v="-20"/>
    <n v="-901"/>
    <n v="-400"/>
    <n v="-1070"/>
    <n v="-2511"/>
    <n v="0"/>
    <n v="-785"/>
    <n v="-1036"/>
    <n v="-1187"/>
    <n v="-496"/>
    <n v="-997"/>
    <n v="-10563"/>
    <n v="501"/>
  </r>
  <r>
    <x v="1"/>
    <x v="1"/>
    <x v="0"/>
    <s v="2527200"/>
    <n v="400040"/>
    <s v="Physician Svcs Rev--Other"/>
    <s v="Breast Surg-Pearl Place"/>
    <x v="0"/>
    <n v="1700"/>
    <n v="-4778"/>
    <n v="-4421"/>
    <n v="-9540"/>
    <n v="-3186"/>
    <n v="-3942"/>
    <n v="-757"/>
    <n v="0"/>
    <n v="-9687"/>
    <n v="-3823"/>
    <n v="-2810"/>
    <n v="-14747"/>
    <n v="-10471"/>
    <n v="-68162"/>
    <n v="-4276"/>
  </r>
  <r>
    <x v="2"/>
    <x v="1"/>
    <x v="0"/>
    <s v="2527200"/>
    <n v="450029"/>
    <s v="Contr Allow--MD Other-Medicare"/>
    <s v="Breast Surg-Pearl Place"/>
    <x v="0"/>
    <n v="1100"/>
    <n v="896.01"/>
    <n v="837.68"/>
    <n v="1428.98"/>
    <n v="1355.5"/>
    <n v="1979.03"/>
    <n v="1160.28"/>
    <n v="980.47"/>
    <n v="848.71"/>
    <n v="2784.13"/>
    <n v="878.01"/>
    <n v="1609.92"/>
    <n v="1771.11"/>
    <n v="16529.830000000002"/>
    <n v="-161.18999999999983"/>
  </r>
  <r>
    <x v="2"/>
    <x v="1"/>
    <x v="0"/>
    <s v="2527200"/>
    <n v="450029"/>
    <s v="Contr Allow--MD Other-Medicaid"/>
    <s v="Breast Surg-Pearl Place"/>
    <x v="0"/>
    <n v="1200"/>
    <n v="300.61"/>
    <n v="304.02999999999997"/>
    <n v="369.6"/>
    <n v="462.63"/>
    <n v="1227.74"/>
    <n v="678.99"/>
    <n v="413.55"/>
    <n v="704.29"/>
    <n v="1822.61"/>
    <n v="642.54999999999995"/>
    <n v="822.48"/>
    <n v="1184.8900000000001"/>
    <n v="8933.9699999999993"/>
    <n v="-362.41000000000008"/>
  </r>
  <r>
    <x v="2"/>
    <x v="1"/>
    <x v="0"/>
    <s v="2527200"/>
    <n v="450029"/>
    <s v="Contr Allow--MD Other-Comm Insurance"/>
    <s v="Breast Surg-Pearl Place"/>
    <x v="0"/>
    <n v="1300"/>
    <n v="109.19"/>
    <n v="135.52000000000001"/>
    <n v="274.68"/>
    <n v="0"/>
    <n v="387.53"/>
    <n v="279.22000000000003"/>
    <n v="23"/>
    <n v="0"/>
    <n v="0"/>
    <n v="302.77999999999997"/>
    <n v="52.66"/>
    <n v="0"/>
    <n v="1564.58"/>
    <n v="52.66"/>
  </r>
  <r>
    <x v="2"/>
    <x v="1"/>
    <x v="0"/>
    <s v="2527200"/>
    <n v="450029"/>
    <s v="Contr Allow--MD Other BCBS Comm"/>
    <s v="Breast Surg-Pearl Place"/>
    <x v="0"/>
    <n v="1301"/>
    <n v="107.3"/>
    <n v="106.4"/>
    <n v="60.26"/>
    <n v="68.87"/>
    <n v="53.29"/>
    <n v="-53.65"/>
    <n v="117.57"/>
    <n v="22.89"/>
    <n v="85.35"/>
    <n v="251.94"/>
    <n v="174.14"/>
    <n v="397.03"/>
    <n v="1391.3899999999999"/>
    <n v="-222.89"/>
  </r>
  <r>
    <x v="2"/>
    <x v="1"/>
    <x v="0"/>
    <s v="2527200"/>
    <n v="450029"/>
    <s v="Contr Allow--MD Other-Managed Care"/>
    <s v="Breast Surg-Pearl Place"/>
    <x v="0"/>
    <n v="1400"/>
    <n v="525.98"/>
    <n v="1349.36"/>
    <n v="629.75"/>
    <n v="815.7"/>
    <n v="639.29"/>
    <n v="712.41"/>
    <n v="239.25"/>
    <n v="524.38"/>
    <n v="650.36"/>
    <n v="742.75"/>
    <n v="800.29"/>
    <n v="400.37"/>
    <n v="8029.8899999999994"/>
    <n v="399.91999999999996"/>
  </r>
  <r>
    <x v="2"/>
    <x v="1"/>
    <x v="0"/>
    <s v="2527200"/>
    <n v="450029"/>
    <s v="Admin Adjust-MD Other-Self Pay"/>
    <s v="Breast Surg-Pearl Place"/>
    <x v="0"/>
    <n v="1600"/>
    <n v="35.590000000000003"/>
    <n v="48.58"/>
    <n v="167.94"/>
    <n v="-52.43"/>
    <n v="0"/>
    <n v="96.63"/>
    <n v="0"/>
    <n v="0"/>
    <n v="0"/>
    <n v="0"/>
    <n v="0"/>
    <n v="23"/>
    <n v="319.31"/>
    <n v="-23"/>
  </r>
  <r>
    <x v="2"/>
    <x v="1"/>
    <x v="0"/>
    <s v="2527200"/>
    <n v="450029"/>
    <s v="Contr Allow--MD Other-Other"/>
    <s v="Breast Surg-Pearl Place"/>
    <x v="0"/>
    <n v="1700"/>
    <n v="126.19"/>
    <n v="0"/>
    <n v="242.69"/>
    <n v="282.45"/>
    <n v="326.97000000000003"/>
    <n v="126.34"/>
    <n v="0"/>
    <n v="0"/>
    <n v="0"/>
    <n v="126.19"/>
    <n v="199.06"/>
    <n v="157.47"/>
    <n v="1587.36"/>
    <n v="41.59"/>
  </r>
  <r>
    <x v="2"/>
    <x v="1"/>
    <x v="0"/>
    <s v="2527200"/>
    <n v="450040"/>
    <s v="Contr Allow--Phys Svcs--Mcare"/>
    <s v="Breast Surg-Pearl Place"/>
    <x v="0"/>
    <n v="1100"/>
    <n v="55052.7"/>
    <n v="44770.55"/>
    <n v="35421.800000000003"/>
    <n v="61625.75"/>
    <n v="69364.429999999993"/>
    <n v="38649.760000000002"/>
    <n v="45819.76"/>
    <n v="37050.480000000003"/>
    <n v="65348.86"/>
    <n v="40028.32"/>
    <n v="46293.38"/>
    <n v="42112.9"/>
    <n v="581538.68999999994"/>
    <n v="4180.4799999999959"/>
  </r>
  <r>
    <x v="2"/>
    <x v="1"/>
    <x v="0"/>
    <s v="2527200"/>
    <n v="450040"/>
    <s v="Contr Allow--Phys Svcs--Mcaid"/>
    <s v="Breast Surg-Pearl Place"/>
    <x v="0"/>
    <n v="1200"/>
    <n v="24552.19"/>
    <n v="39558.18"/>
    <n v="22627.89"/>
    <n v="36117"/>
    <n v="14127.25"/>
    <n v="23531.29"/>
    <n v="16297.56"/>
    <n v="20559.060000000001"/>
    <n v="36483.83"/>
    <n v="16319.04"/>
    <n v="14843.54"/>
    <n v="18763.54"/>
    <n v="283780.37"/>
    <n v="-3920"/>
  </r>
  <r>
    <x v="2"/>
    <x v="1"/>
    <x v="0"/>
    <s v="2527200"/>
    <n v="450040"/>
    <s v="Contr Allow--Phys Svcs--Comm Insurance"/>
    <s v="Breast Surg-Pearl Place"/>
    <x v="0"/>
    <n v="1300"/>
    <n v="1126.92"/>
    <n v="2786.72"/>
    <n v="8920.08"/>
    <n v="1534.29"/>
    <n v="16725.580000000002"/>
    <n v="774.2"/>
    <n v="8126.06"/>
    <n v="0"/>
    <n v="7100.45"/>
    <n v="7403.81"/>
    <n v="11798.06"/>
    <n v="1130.4100000000001"/>
    <n v="67426.58"/>
    <n v="10667.65"/>
  </r>
  <r>
    <x v="2"/>
    <x v="1"/>
    <x v="0"/>
    <s v="2527200"/>
    <n v="450040"/>
    <s v="Contr Allow--Phys Svcs--BCBS Comm Ins"/>
    <s v="Breast Surg-Pearl Place"/>
    <x v="0"/>
    <n v="1301"/>
    <n v="6895.72"/>
    <n v="32313.34"/>
    <n v="2983.85"/>
    <n v="6269.98"/>
    <n v="4917.8"/>
    <n v="3297.51"/>
    <n v="1493.14"/>
    <n v="230.24"/>
    <n v="2326.71"/>
    <n v="4659.9799999999996"/>
    <n v="5505.16"/>
    <n v="6166.9"/>
    <n v="77060.33"/>
    <n v="-661.73999999999978"/>
  </r>
  <r>
    <x v="2"/>
    <x v="1"/>
    <x v="0"/>
    <s v="2527200"/>
    <n v="450040"/>
    <s v="Contr Allow--Phys Svcs--Managed Care"/>
    <s v="Breast Surg-Pearl Place"/>
    <x v="0"/>
    <n v="1400"/>
    <n v="36149.49"/>
    <n v="43989.2"/>
    <n v="29921.84"/>
    <n v="20879.990000000002"/>
    <n v="45499.95"/>
    <n v="26860.92"/>
    <n v="19452.060000000001"/>
    <n v="39391.14"/>
    <n v="43850.03"/>
    <n v="33242.370000000003"/>
    <n v="28003.63"/>
    <n v="24542.16"/>
    <n v="391782.77999999997"/>
    <n v="3461.4700000000012"/>
  </r>
  <r>
    <x v="2"/>
    <x v="1"/>
    <x v="0"/>
    <s v="2527200"/>
    <n v="450040"/>
    <s v="Contr Allow--Phys Svcs--BCBS Mgnd Care"/>
    <s v="Breast Surg-Pearl Place"/>
    <x v="0"/>
    <n v="1401"/>
    <n v="8736.69"/>
    <n v="-30583.95"/>
    <n v="420.85"/>
    <n v="37622.94"/>
    <n v="-35524.629999999997"/>
    <n v="-14157.95"/>
    <n v="14002.02"/>
    <n v="6070.16"/>
    <n v="-14259.02"/>
    <n v="-11388.56"/>
    <n v="-2515.6"/>
    <n v="50106.12"/>
    <n v="8529.07"/>
    <n v="-52621.72"/>
  </r>
  <r>
    <x v="2"/>
    <x v="1"/>
    <x v="0"/>
    <s v="2527200"/>
    <n v="450040"/>
    <s v="Admin Adjust-Phys Svcs-Self Pay"/>
    <s v="Breast Surg-Pearl Place"/>
    <x v="0"/>
    <n v="1600"/>
    <n v="1192.33"/>
    <n v="11323.74"/>
    <n v="7650.72"/>
    <n v="363.47"/>
    <n v="225.27"/>
    <n v="727.8"/>
    <n v="84.55"/>
    <n v="290.45"/>
    <n v="663.93"/>
    <n v="12.28"/>
    <n v="-678.56"/>
    <n v="882.06"/>
    <n v="22738.04"/>
    <n v="-1560.62"/>
  </r>
  <r>
    <x v="2"/>
    <x v="1"/>
    <x v="0"/>
    <s v="2527200"/>
    <n v="450040"/>
    <s v="Contr Allow--Phys Svcs--Other"/>
    <s v="Breast Surg-Pearl Place"/>
    <x v="0"/>
    <n v="1700"/>
    <n v="3985.18"/>
    <n v="1448.54"/>
    <n v="4701"/>
    <n v="2066.4499999999998"/>
    <n v="2906.49"/>
    <n v="3618.07"/>
    <n v="501.34"/>
    <n v="0"/>
    <n v="1439.12"/>
    <n v="7604.08"/>
    <n v="6830.48"/>
    <n v="5696.14"/>
    <n v="40796.89"/>
    <n v="1134.3399999999992"/>
  </r>
  <r>
    <x v="3"/>
    <x v="1"/>
    <x v="0"/>
    <s v="2527200"/>
    <n v="470040"/>
    <s v="Charity Care-Physician Svcs"/>
    <s v="Breast Surg-Pearl Place"/>
    <x v="0"/>
    <m/>
    <n v="58.22"/>
    <n v="1917.17"/>
    <n v="-27.2"/>
    <n v="1730.58"/>
    <n v="-1007.67"/>
    <n v="1744.27"/>
    <n v="650.36"/>
    <n v="-14.05"/>
    <n v="2887.03"/>
    <n v="2583.0700000000002"/>
    <n v="143.54"/>
    <n v="4294.91"/>
    <n v="14960.23"/>
    <n v="-4151.37"/>
  </r>
  <r>
    <x v="4"/>
    <x v="1"/>
    <x v="0"/>
    <s v="2527200"/>
    <n v="490010"/>
    <s v="Provision for Bad Debts"/>
    <s v="Breast Surg-Pearl Place"/>
    <x v="0"/>
    <m/>
    <n v="3537.24"/>
    <n v="-4258.88"/>
    <n v="-797.59"/>
    <n v="2711.36"/>
    <n v="472.53"/>
    <n v="-1561.45"/>
    <n v="-2946.66"/>
    <n v="76.37"/>
    <n v="873.29"/>
    <n v="107.73"/>
    <n v="42.35"/>
    <n v="6728.81"/>
    <n v="4985.1000000000004"/>
    <n v="-6686.46"/>
  </r>
  <r>
    <x v="5"/>
    <x v="1"/>
    <x v="0"/>
    <s v="2527200"/>
    <n v="700018"/>
    <s v="Salaries-Supervisory-Productive"/>
    <s v="Breast Surg-Pearl Place"/>
    <x v="0"/>
    <m/>
    <n v="2141.7199999999998"/>
    <n v="3010.92"/>
    <n v="2336.88"/>
    <n v="3137.56"/>
    <n v="-1097.72"/>
    <n v="0"/>
    <n v="0"/>
    <n v="0"/>
    <n v="0"/>
    <n v="0"/>
    <n v="0"/>
    <n v="0"/>
    <n v="9529.36"/>
    <n v="0"/>
  </r>
  <r>
    <x v="5"/>
    <x v="1"/>
    <x v="0"/>
    <s v="2527200"/>
    <n v="700022"/>
    <s v="Salaries-Physician-Productive"/>
    <s v="Breast Surg-Pearl Place"/>
    <x v="0"/>
    <m/>
    <n v="35900.639999999999"/>
    <n v="30267.200000000001"/>
    <n v="31722.400000000001"/>
    <n v="38400.800000000003"/>
    <n v="36576"/>
    <n v="22933.39"/>
    <n v="11984.75"/>
    <n v="37025.32"/>
    <n v="38073.230000000003"/>
    <n v="38370.54"/>
    <n v="21131.84"/>
    <n v="24701.599999999999"/>
    <n v="367087.70999999996"/>
    <n v="-3569.7599999999984"/>
  </r>
  <r>
    <x v="5"/>
    <x v="1"/>
    <x v="0"/>
    <s v="2527200"/>
    <n v="700024"/>
    <s v="Salaries-Advanced Practice Clinician-Productive"/>
    <s v="Breast Surg-Pearl Place"/>
    <x v="0"/>
    <m/>
    <n v="11888.98"/>
    <n v="12451.12"/>
    <n v="14498.54"/>
    <n v="15719.59"/>
    <n v="18169.330000000002"/>
    <n v="13215.18"/>
    <n v="15150.39"/>
    <n v="13686.78"/>
    <n v="15586.26"/>
    <n v="14970.97"/>
    <n v="17601.41"/>
    <n v="15306.4"/>
    <n v="178244.94999999998"/>
    <n v="2295.0100000000002"/>
  </r>
  <r>
    <x v="5"/>
    <x v="1"/>
    <x v="0"/>
    <s v="2527200"/>
    <n v="700026"/>
    <s v="Salaries-RN-Productive"/>
    <s v="Breast Surg-Pearl Place"/>
    <x v="0"/>
    <m/>
    <n v="8875.44"/>
    <n v="5916.96"/>
    <n v="9298.08"/>
    <n v="8742.09"/>
    <n v="6006.87"/>
    <n v="6311.56"/>
    <n v="9808.4699999999993"/>
    <n v="8108.06"/>
    <n v="5187.43"/>
    <n v="10244.07"/>
    <n v="10026.120000000001"/>
    <n v="7410.6"/>
    <n v="95935.75"/>
    <n v="2615.5200000000004"/>
  </r>
  <r>
    <x v="5"/>
    <x v="1"/>
    <x v="0"/>
    <s v="2527200"/>
    <n v="700030"/>
    <s v="Salaries-LPN-Productive"/>
    <s v="Breast Surg-Pearl Place"/>
    <x v="0"/>
    <m/>
    <n v="6319.73"/>
    <n v="7663.57"/>
    <n v="6559.9"/>
    <n v="8388.15"/>
    <n v="7195.77"/>
    <n v="7518.6"/>
    <n v="9027.4699999999993"/>
    <n v="6213.74"/>
    <n v="8784.84"/>
    <n v="8857.67"/>
    <n v="8432.2900000000009"/>
    <n v="6077.58"/>
    <n v="91039.309999999983"/>
    <n v="2354.7100000000009"/>
  </r>
  <r>
    <x v="5"/>
    <x v="1"/>
    <x v="0"/>
    <s v="2527200"/>
    <n v="700030"/>
    <s v="Salaries-LPN-OT"/>
    <s v="Breast Surg-Pearl Place"/>
    <x v="0"/>
    <n v="1000"/>
    <n v="238.96"/>
    <n v="296.10000000000002"/>
    <n v="713.69"/>
    <n v="14.57"/>
    <n v="643.25"/>
    <n v="129.07"/>
    <n v="418.45"/>
    <n v="369.21"/>
    <n v="538.37"/>
    <n v="257.25"/>
    <n v="430.38"/>
    <n v="494.34"/>
    <n v="4543.6399999999994"/>
    <n v="-63.95999999999998"/>
  </r>
  <r>
    <x v="5"/>
    <x v="1"/>
    <x v="0"/>
    <s v="2527200"/>
    <n v="700030"/>
    <s v="Salaries-LPN-Other"/>
    <s v="Breast Surg-Pearl Place"/>
    <x v="0"/>
    <n v="2000"/>
    <n v="94.89"/>
    <n v="90.25"/>
    <n v="67.33"/>
    <n v="89.94"/>
    <n v="93.75"/>
    <n v="83.85"/>
    <n v="96.44"/>
    <n v="81.569999999999993"/>
    <n v="87.53"/>
    <n v="88.24"/>
    <n v="97.1"/>
    <n v="95.53"/>
    <n v="1066.42"/>
    <n v="1.5699999999999932"/>
  </r>
  <r>
    <x v="5"/>
    <x v="1"/>
    <x v="0"/>
    <s v="2527200"/>
    <n v="700032"/>
    <s v="Salaries-Other Pat Care Providers-Productive"/>
    <s v="Breast Surg-Pearl Place"/>
    <x v="0"/>
    <m/>
    <n v="0"/>
    <n v="0"/>
    <n v="0"/>
    <n v="0"/>
    <n v="148.58000000000001"/>
    <n v="-74.290000000000006"/>
    <n v="0"/>
    <n v="0"/>
    <n v="0"/>
    <n v="0"/>
    <n v="168.74"/>
    <n v="645.85"/>
    <n v="888.88000000000011"/>
    <n v="-477.11"/>
  </r>
  <r>
    <x v="5"/>
    <x v="1"/>
    <x v="0"/>
    <s v="2527200"/>
    <n v="700032"/>
    <s v="Salaries-Other Pat Care Providers-Other"/>
    <s v="Breast Surg-Pearl Place"/>
    <x v="0"/>
    <n v="2000"/>
    <n v="0"/>
    <n v="0"/>
    <n v="0"/>
    <n v="0"/>
    <n v="7.5"/>
    <n v="-3.75"/>
    <n v="0"/>
    <n v="0"/>
    <n v="0"/>
    <n v="0"/>
    <n v="7.26"/>
    <n v="27.79"/>
    <n v="38.799999999999997"/>
    <n v="-20.53"/>
  </r>
  <r>
    <x v="5"/>
    <x v="1"/>
    <x v="0"/>
    <s v="2527200"/>
    <n v="700058"/>
    <s v="Salaries-Supervisory-Non-productive"/>
    <s v="Breast Surg-Pearl Place"/>
    <x v="0"/>
    <m/>
    <n v="629.91999999999996"/>
    <n v="0"/>
    <n v="333.84"/>
    <n v="0"/>
    <n v="0"/>
    <n v="0"/>
    <n v="0"/>
    <n v="0"/>
    <n v="0"/>
    <n v="0"/>
    <n v="0"/>
    <n v="0"/>
    <n v="963.76"/>
    <n v="0"/>
  </r>
  <r>
    <x v="5"/>
    <x v="1"/>
    <x v="0"/>
    <s v="2527200"/>
    <n v="700062"/>
    <s v="Salaries-Physician-Non-productive"/>
    <s v="Breast Surg-Pearl Place"/>
    <x v="0"/>
    <m/>
    <n v="1562.4"/>
    <n v="8348"/>
    <n v="1669.6"/>
    <n v="0"/>
    <n v="0"/>
    <n v="11965.24"/>
    <n v="26296.09"/>
    <n v="-1766.98"/>
    <n v="-1397.17"/>
    <n v="0"/>
    <n v="19387.919999999998"/>
    <n v="10586.4"/>
    <n v="76651.5"/>
    <n v="8801.5199999999986"/>
  </r>
  <r>
    <x v="5"/>
    <x v="1"/>
    <x v="0"/>
    <s v="2527200"/>
    <n v="700064"/>
    <s v="Salaries-Advanced Practice Clinician-Non-Productive"/>
    <s v="Breast Surg-Pearl Place"/>
    <x v="0"/>
    <m/>
    <n v="4875.24"/>
    <n v="5449.56"/>
    <n v="940.66"/>
    <n v="2035.48"/>
    <n v="-1252.5999999999999"/>
    <n v="4051.26"/>
    <n v="2555.37"/>
    <n v="1594.14"/>
    <n v="478.75"/>
    <n v="1859.03"/>
    <n v="0"/>
    <n v="0"/>
    <n v="22586.889999999996"/>
    <n v="0"/>
  </r>
  <r>
    <x v="5"/>
    <x v="1"/>
    <x v="0"/>
    <s v="2527200"/>
    <n v="700066"/>
    <s v="Salaries-RN-Non-productive"/>
    <s v="Breast Surg-Pearl Place"/>
    <x v="0"/>
    <m/>
    <n v="422.64"/>
    <n v="3803.76"/>
    <n v="-845.28"/>
    <n v="1206.1400000000001"/>
    <n v="3569.3"/>
    <n v="2829.32"/>
    <n v="218.28"/>
    <n v="610.28"/>
    <n v="3966.86"/>
    <n v="-653.87"/>
    <n v="0"/>
    <n v="1307.76"/>
    <n v="16435.190000000002"/>
    <n v="-1307.76"/>
  </r>
  <r>
    <x v="5"/>
    <x v="1"/>
    <x v="0"/>
    <s v="2527200"/>
    <n v="700066"/>
    <s v="Salaries-RN-NonProd-Other"/>
    <s v="Breast Surg-Pearl Place"/>
    <x v="0"/>
    <n v="2000"/>
    <n v="0"/>
    <n v="0"/>
    <n v="0"/>
    <n v="0"/>
    <n v="461.88"/>
    <n v="461.88"/>
    <n v="0"/>
    <n v="-461.88"/>
    <n v="0"/>
    <n v="0"/>
    <n v="0"/>
    <n v="0"/>
    <n v="461.88"/>
    <n v="0"/>
  </r>
  <r>
    <x v="5"/>
    <x v="1"/>
    <x v="0"/>
    <s v="2527200"/>
    <n v="700070"/>
    <s v="Salaries-LPN-Non-productive"/>
    <s v="Breast Surg-Pearl Place"/>
    <x v="0"/>
    <m/>
    <n v="2086.2399999999998"/>
    <n v="1068.07"/>
    <n v="335.49"/>
    <n v="797.08"/>
    <n v="1645.25"/>
    <n v="869.3"/>
    <n v="340.64"/>
    <n v="1658.97"/>
    <n v="-329.31"/>
    <n v="0"/>
    <n v="1110.76"/>
    <n v="1665.52"/>
    <n v="11248.01"/>
    <n v="-554.76"/>
  </r>
  <r>
    <x v="5"/>
    <x v="1"/>
    <x v="0"/>
    <s v="2527200"/>
    <n v="700070"/>
    <s v="Salaries-LPN-NonProd-Other"/>
    <s v="Breast Surg-Pearl Pla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7200"/>
    <n v="700072"/>
    <s v="Salaries-Other Pat Care Providers-NonProd-Other"/>
    <s v="Breast Surg-Pearl Pla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27200"/>
    <n v="700084"/>
    <s v="Accrued PTO"/>
    <s v="Breast Surg-Pearl Place"/>
    <x v="0"/>
    <m/>
    <n v="-360.46"/>
    <n v="-1707.72"/>
    <n v="815.94"/>
    <n v="865.82"/>
    <n v="-2109.69"/>
    <n v="-2054.65"/>
    <n v="1045.0999999999999"/>
    <n v="152.91999999999999"/>
    <n v="-1115.83"/>
    <n v="1486.82"/>
    <n v="1032.17"/>
    <n v="-307.88"/>
    <n v="-2257.46"/>
    <n v="1340.0500000000002"/>
  </r>
  <r>
    <x v="6"/>
    <x v="1"/>
    <x v="0"/>
    <s v="2527200"/>
    <n v="713010"/>
    <s v="Benefits-FICA/Medicare"/>
    <s v="Breast Surg-Pearl Place"/>
    <x v="0"/>
    <m/>
    <n v="3355.08"/>
    <n v="3536.34"/>
    <n v="3040.35"/>
    <n v="3561.97"/>
    <n v="3273.62"/>
    <n v="4392.67"/>
    <n v="5698.73"/>
    <n v="5076.6899999999996"/>
    <n v="5331.81"/>
    <n v="3479.95"/>
    <n v="3408.92"/>
    <n v="2970.95"/>
    <n v="47127.079999999987"/>
    <n v="437.97000000000025"/>
  </r>
  <r>
    <x v="6"/>
    <x v="1"/>
    <x v="0"/>
    <s v="2527200"/>
    <n v="713090"/>
    <s v="Benefits-Allocated Amounts"/>
    <s v="Breast Surg-Pearl Place"/>
    <x v="0"/>
    <m/>
    <n v="0"/>
    <n v="0"/>
    <n v="0"/>
    <n v="0"/>
    <n v="0"/>
    <n v="0"/>
    <n v="0"/>
    <n v="0"/>
    <n v="42662.28"/>
    <n v="5024.72"/>
    <n v="5097.24"/>
    <n v="4921.82"/>
    <n v="57706.06"/>
    <n v="175.42000000000007"/>
  </r>
  <r>
    <x v="6"/>
    <x v="1"/>
    <x v="0"/>
    <s v="2527200"/>
    <n v="713092"/>
    <s v="Allocated Benefits-Physician"/>
    <s v="Breast Surg-Pearl Place"/>
    <x v="0"/>
    <m/>
    <n v="3426.76"/>
    <n v="3105.13"/>
    <n v="3164.88"/>
    <n v="3318.6"/>
    <n v="3095.51"/>
    <n v="3179.54"/>
    <n v="3846.17"/>
    <n v="3615.35"/>
    <n v="-13592.96"/>
    <n v="1549.84"/>
    <n v="1572.23"/>
    <n v="1518.1"/>
    <n v="17799.150000000001"/>
    <n v="54.130000000000109"/>
  </r>
  <r>
    <x v="6"/>
    <x v="1"/>
    <x v="0"/>
    <s v="2527200"/>
    <n v="713093"/>
    <s v="Allocated Benefits-Advanced Practice Clinician"/>
    <s v="Breast Surg-Pearl Place"/>
    <x v="0"/>
    <m/>
    <n v="5076.6899999999996"/>
    <n v="4600.18"/>
    <n v="4688.71"/>
    <n v="4916.45"/>
    <n v="4585.9399999999996"/>
    <n v="4710.43"/>
    <n v="5698.03"/>
    <n v="5356.07"/>
    <n v="-19894.03"/>
    <n v="2324.7600000000002"/>
    <n v="2358.34"/>
    <n v="2277.16"/>
    <n v="26698.730000000003"/>
    <n v="81.180000000000291"/>
  </r>
  <r>
    <x v="7"/>
    <x v="1"/>
    <x v="0"/>
    <s v="2527200"/>
    <n v="718077"/>
    <s v="PACS"/>
    <s v="Breast Surg-Pearl Place"/>
    <x v="0"/>
    <n v="1000"/>
    <n v="0"/>
    <n v="0"/>
    <n v="0"/>
    <n v="0"/>
    <n v="0"/>
    <n v="4.5"/>
    <n v="0"/>
    <n v="0"/>
    <n v="0"/>
    <n v="0"/>
    <n v="0"/>
    <n v="0"/>
    <n v="4.5"/>
    <n v="0"/>
  </r>
  <r>
    <x v="0"/>
    <x v="1"/>
    <x v="0"/>
    <s v="2527200"/>
    <n v="740022"/>
    <s v="Education-Physician"/>
    <s v="Breast Surg-Pearl Place"/>
    <x v="0"/>
    <m/>
    <n v="0"/>
    <n v="0"/>
    <n v="0"/>
    <n v="0"/>
    <n v="0"/>
    <n v="0"/>
    <n v="0"/>
    <n v="0"/>
    <n v="0"/>
    <n v="0"/>
    <n v="0"/>
    <n v="1395"/>
    <n v="1395"/>
    <n v="-1395"/>
  </r>
  <r>
    <x v="0"/>
    <x v="1"/>
    <x v="0"/>
    <s v="2527200"/>
    <n v="740023"/>
    <s v="Education-Advanced Practice Clinician"/>
    <s v="Breast Surg-Pearl Place"/>
    <x v="0"/>
    <m/>
    <n v="0"/>
    <n v="0"/>
    <n v="553.41"/>
    <n v="0"/>
    <n v="327.56"/>
    <n v="0"/>
    <n v="0"/>
    <n v="0"/>
    <n v="470"/>
    <n v="0"/>
    <n v="0"/>
    <n v="0"/>
    <n v="1350.97"/>
    <n v="0"/>
  </r>
  <r>
    <x v="0"/>
    <x v="1"/>
    <x v="0"/>
    <s v="2527200"/>
    <n v="740023"/>
    <s v="Books-Advanced Practice Clinician"/>
    <s v="Breast Surg-Pearl Place"/>
    <x v="0"/>
    <n v="2000"/>
    <n v="0"/>
    <n v="0"/>
    <n v="0"/>
    <n v="0"/>
    <n v="0"/>
    <n v="0"/>
    <n v="0"/>
    <n v="0"/>
    <n v="0"/>
    <n v="0"/>
    <n v="0"/>
    <n v="550"/>
    <n v="550"/>
    <n v="-550"/>
  </r>
  <r>
    <x v="8"/>
    <x v="1"/>
    <x v="0"/>
    <s v="2527200"/>
    <n v="741012"/>
    <s v="Physician Liab Insurance-CHI Program"/>
    <s v="Breast Surg-Pearl Place"/>
    <x v="0"/>
    <m/>
    <n v="1894.67"/>
    <n v="1894.67"/>
    <n v="1894.67"/>
    <n v="1894.67"/>
    <n v="1894.67"/>
    <n v="1894.66"/>
    <n v="1894.67"/>
    <n v="1894.66"/>
    <n v="1894.67"/>
    <n v="1894.66"/>
    <n v="1894.67"/>
    <n v="1894.66"/>
    <n v="22736.000000000004"/>
    <n v="9.9999999999909051E-3"/>
  </r>
  <r>
    <x v="0"/>
    <x v="1"/>
    <x v="0"/>
    <s v="2527200"/>
    <n v="743022"/>
    <s v="Dues-Physician"/>
    <s v="Breast Surg-Pearl Place"/>
    <x v="0"/>
    <m/>
    <n v="0"/>
    <n v="0"/>
    <n v="0"/>
    <n v="0"/>
    <n v="0"/>
    <n v="0"/>
    <n v="0"/>
    <n v="285"/>
    <n v="0"/>
    <n v="0"/>
    <n v="0"/>
    <n v="1530"/>
    <n v="1815"/>
    <n v="-1530"/>
  </r>
  <r>
    <x v="0"/>
    <x v="1"/>
    <x v="0"/>
    <s v="2527200"/>
    <n v="743023"/>
    <s v="Dues-Advanced Practice Clinician"/>
    <s v="Breast Surg-Pearl Place"/>
    <x v="0"/>
    <m/>
    <n v="0"/>
    <n v="0"/>
    <n v="0"/>
    <n v="0"/>
    <n v="0"/>
    <n v="0"/>
    <n v="0"/>
    <n v="0"/>
    <n v="0"/>
    <n v="0"/>
    <n v="0"/>
    <n v="135"/>
    <n v="135"/>
    <n v="-135"/>
  </r>
  <r>
    <x v="0"/>
    <x v="1"/>
    <x v="0"/>
    <s v="2527200"/>
    <n v="743042"/>
    <s v="Subscriptions-Physician"/>
    <s v="Breast Surg-Pearl Place"/>
    <x v="0"/>
    <m/>
    <n v="0"/>
    <n v="0"/>
    <n v="0"/>
    <n v="0"/>
    <n v="0"/>
    <n v="0"/>
    <n v="0"/>
    <n v="0"/>
    <n v="0"/>
    <n v="0"/>
    <n v="0"/>
    <n v="1345.64"/>
    <n v="1345.64"/>
    <n v="-1345.64"/>
  </r>
  <r>
    <x v="0"/>
    <x v="1"/>
    <x v="0"/>
    <s v="2527200"/>
    <n v="743043"/>
    <s v="Subscriptions-Advanced Practice Clinician"/>
    <s v="Breast Surg-Pearl Place"/>
    <x v="0"/>
    <m/>
    <n v="0"/>
    <n v="0"/>
    <n v="0"/>
    <n v="0"/>
    <n v="0"/>
    <n v="0"/>
    <n v="0"/>
    <n v="0"/>
    <n v="0"/>
    <n v="0"/>
    <n v="153.04"/>
    <n v="0"/>
    <n v="153.04"/>
    <n v="153.04"/>
  </r>
  <r>
    <x v="0"/>
    <x v="1"/>
    <x v="0"/>
    <s v="2527200"/>
    <n v="749510"/>
    <s v="Miscellaneous Expenses"/>
    <s v="Breast Surg-Pearl Place"/>
    <x v="0"/>
    <m/>
    <n v="-1246"/>
    <n v="0"/>
    <n v="0"/>
    <n v="327.56"/>
    <n v="-327.56"/>
    <n v="0"/>
    <n v="0"/>
    <n v="0"/>
    <n v="0"/>
    <n v="153.04"/>
    <n v="-153.04"/>
    <n v="0"/>
    <n v="-1246"/>
    <n v="-153.04"/>
  </r>
  <r>
    <x v="0"/>
    <x v="1"/>
    <x v="0"/>
    <s v="2527200"/>
    <n v="749513"/>
    <s v="Licenses-Advanced Practice Clinician"/>
    <s v="Breast Surg-Pearl Place"/>
    <x v="0"/>
    <n v="2000"/>
    <n v="0"/>
    <n v="0"/>
    <n v="0"/>
    <n v="731"/>
    <n v="0"/>
    <n v="0"/>
    <n v="0"/>
    <n v="0"/>
    <n v="122.5"/>
    <n v="0"/>
    <n v="0"/>
    <n v="245"/>
    <n v="1098.5"/>
    <n v="-245"/>
  </r>
  <r>
    <x v="7"/>
    <x v="1"/>
    <x v="0"/>
    <s v="2529200"/>
    <n v="718050"/>
    <s v="Translation Services"/>
    <s v="Endocrinology-Auburn - Endo"/>
    <x v="0"/>
    <n v="1025"/>
    <n v="0"/>
    <n v="0"/>
    <n v="0"/>
    <n v="0"/>
    <n v="0"/>
    <n v="0"/>
    <n v="80"/>
    <n v="0"/>
    <n v="0"/>
    <n v="0"/>
    <n v="0"/>
    <n v="0"/>
    <n v="80"/>
    <n v="0"/>
  </r>
  <r>
    <x v="1"/>
    <x v="1"/>
    <x v="0"/>
    <s v="2530200"/>
    <n v="400029"/>
    <s v="MD Practice Other Rev--Medicare"/>
    <s v="WH-Gig Harbor-Uro Gyn"/>
    <x v="0"/>
    <n v="1100"/>
    <n v="-168"/>
    <n v="-168"/>
    <n v="-70"/>
    <n v="-70"/>
    <n v="-94"/>
    <n v="-132"/>
    <n v="-60"/>
    <n v="-50"/>
    <n v="-64"/>
    <n v="-60"/>
    <n v="-64"/>
    <n v="-108"/>
    <n v="-1108"/>
    <n v="44"/>
  </r>
  <r>
    <x v="1"/>
    <x v="1"/>
    <x v="0"/>
    <s v="2530200"/>
    <n v="400029"/>
    <s v="MD Practice Other Rev--Medicaid"/>
    <s v="WH-Gig Harbor-Uro Gyn"/>
    <x v="0"/>
    <n v="1200"/>
    <n v="-256"/>
    <n v="-308"/>
    <n v="-150"/>
    <n v="-358"/>
    <n v="-150"/>
    <n v="-328"/>
    <n v="-222"/>
    <n v="-262"/>
    <n v="-224"/>
    <n v="-252"/>
    <n v="-320"/>
    <n v="-304"/>
    <n v="-3134"/>
    <n v="-16"/>
  </r>
  <r>
    <x v="1"/>
    <x v="1"/>
    <x v="0"/>
    <s v="2530200"/>
    <n v="400029"/>
    <s v="MD Practice Other Rev--Comm Insurance"/>
    <s v="WH-Gig Harbor-Uro Gyn"/>
    <x v="0"/>
    <n v="1300"/>
    <n v="-120"/>
    <n v="-130"/>
    <n v="-72"/>
    <n v="-78"/>
    <n v="-24"/>
    <n v="0"/>
    <n v="-144"/>
    <n v="-58"/>
    <n v="-34"/>
    <n v="-106"/>
    <n v="0"/>
    <n v="-72"/>
    <n v="-838"/>
    <n v="72"/>
  </r>
  <r>
    <x v="1"/>
    <x v="1"/>
    <x v="0"/>
    <s v="2530200"/>
    <n v="400029"/>
    <s v="MD Practice Other Rev--BCBS Comm"/>
    <s v="WH-Gig Harbor-Uro Gyn"/>
    <x v="0"/>
    <n v="1301"/>
    <n v="-366"/>
    <n v="-294"/>
    <n v="-170"/>
    <n v="-342"/>
    <n v="-212"/>
    <n v="-170"/>
    <n v="-376"/>
    <n v="-226"/>
    <n v="-164"/>
    <n v="-226"/>
    <n v="-198"/>
    <n v="-160"/>
    <n v="-2904"/>
    <n v="-38"/>
  </r>
  <r>
    <x v="1"/>
    <x v="1"/>
    <x v="0"/>
    <s v="2530200"/>
    <n v="400029"/>
    <s v="MD Practice Other Rev--Managed Care"/>
    <s v="WH-Gig Harbor-Uro Gyn"/>
    <x v="0"/>
    <n v="1400"/>
    <n v="-540"/>
    <n v="-842"/>
    <n v="-1587"/>
    <n v="-1284"/>
    <n v="-670"/>
    <n v="-688"/>
    <n v="-916"/>
    <n v="-838"/>
    <n v="-2201"/>
    <n v="-468"/>
    <n v="-848"/>
    <n v="-640"/>
    <n v="-11522"/>
    <n v="-208"/>
  </r>
  <r>
    <x v="1"/>
    <x v="1"/>
    <x v="0"/>
    <s v="2530200"/>
    <n v="400029"/>
    <s v="MD Practice Other Rev--Self Pay"/>
    <s v="WH-Gig Harbor-Uro Gyn"/>
    <x v="0"/>
    <n v="1500"/>
    <n v="-48"/>
    <n v="-54"/>
    <n v="-24"/>
    <n v="-58"/>
    <n v="-24"/>
    <n v="-81"/>
    <n v="-10"/>
    <n v="-10"/>
    <n v="0"/>
    <n v="-24"/>
    <n v="-58"/>
    <n v="-68"/>
    <n v="-459"/>
    <n v="10"/>
  </r>
  <r>
    <x v="1"/>
    <x v="1"/>
    <x v="0"/>
    <s v="2530200"/>
    <n v="400029"/>
    <s v="MD Practice Other Rev--Other"/>
    <s v="WH-Gig Harbor-Uro Gyn"/>
    <x v="0"/>
    <n v="1700"/>
    <n v="-140"/>
    <n v="-130"/>
    <n v="-82"/>
    <n v="-82"/>
    <n v="-58"/>
    <n v="-25"/>
    <n v="-72"/>
    <n v="-34"/>
    <n v="-78"/>
    <n v="-44"/>
    <n v="-140"/>
    <n v="-72"/>
    <n v="-957"/>
    <n v="-68"/>
  </r>
  <r>
    <x v="1"/>
    <x v="1"/>
    <x v="0"/>
    <s v="2530200"/>
    <n v="400040"/>
    <s v="Physician Svcs Rev--Medicare"/>
    <s v="WH-Gig Harbor-Uro Gyn"/>
    <x v="0"/>
    <n v="1100"/>
    <n v="-33908.800000000003"/>
    <n v="-44629"/>
    <n v="-36757"/>
    <n v="-42192"/>
    <n v="-37227"/>
    <n v="-45334"/>
    <n v="-42663"/>
    <n v="-30341"/>
    <n v="-36116"/>
    <n v="-33258"/>
    <n v="-46194"/>
    <n v="-49218"/>
    <n v="-477837.8"/>
    <n v="3024"/>
  </r>
  <r>
    <x v="1"/>
    <x v="1"/>
    <x v="0"/>
    <s v="2530200"/>
    <n v="400040"/>
    <s v="Physician Svcs Rev--Medicaid"/>
    <s v="WH-Gig Harbor-Uro Gyn"/>
    <x v="0"/>
    <n v="1200"/>
    <n v="-32412"/>
    <n v="-50159"/>
    <n v="-31041"/>
    <n v="-55552"/>
    <n v="-39084.75"/>
    <n v="-35796"/>
    <n v="-31439"/>
    <n v="-56824.5"/>
    <n v="-37048.800000000003"/>
    <n v="-38141.25"/>
    <n v="-36477"/>
    <n v="-38954.800000000003"/>
    <n v="-482930.1"/>
    <n v="2477.8000000000029"/>
  </r>
  <r>
    <x v="1"/>
    <x v="1"/>
    <x v="0"/>
    <s v="2530200"/>
    <n v="400040"/>
    <s v="Physician Svcs Rev--Comm Insurance"/>
    <s v="WH-Gig Harbor-Uro Gyn"/>
    <x v="0"/>
    <n v="1300"/>
    <n v="-8015"/>
    <n v="-7344.91"/>
    <n v="-5764"/>
    <n v="-15342"/>
    <n v="-7195"/>
    <n v="-4137"/>
    <n v="-16199.25"/>
    <n v="-10781"/>
    <n v="-12931"/>
    <n v="-13205"/>
    <n v="-10569"/>
    <n v="-4551"/>
    <n v="-116034.16"/>
    <n v="-6018"/>
  </r>
  <r>
    <x v="1"/>
    <x v="1"/>
    <x v="0"/>
    <s v="2530200"/>
    <n v="400040"/>
    <s v="Physician Svcs Rev--BCBS Comm"/>
    <s v="WH-Gig Harbor-Uro Gyn"/>
    <x v="0"/>
    <n v="1301"/>
    <n v="-28267"/>
    <n v="-30128.98"/>
    <n v="-24454"/>
    <n v="-30052"/>
    <n v="-20828"/>
    <n v="-23236"/>
    <n v="-32951"/>
    <n v="-24045"/>
    <n v="-20960.8"/>
    <n v="-26433.91"/>
    <n v="-20618"/>
    <n v="-42864"/>
    <n v="-324838.68999999994"/>
    <n v="22246"/>
  </r>
  <r>
    <x v="1"/>
    <x v="1"/>
    <x v="0"/>
    <s v="2530200"/>
    <n v="400040"/>
    <s v="Physician Svcs Rev--Managed Care"/>
    <s v="WH-Gig Harbor-Uro Gyn"/>
    <x v="0"/>
    <n v="1400"/>
    <n v="-100671.25"/>
    <n v="-87056"/>
    <n v="-83875"/>
    <n v="-114106.75"/>
    <n v="-77168"/>
    <n v="-90761.4"/>
    <n v="-78468"/>
    <n v="-88698"/>
    <n v="-98131.25"/>
    <n v="-97041.3"/>
    <n v="-139085"/>
    <n v="-72232.75"/>
    <n v="-1127294.7000000002"/>
    <n v="-66852.25"/>
  </r>
  <r>
    <x v="1"/>
    <x v="1"/>
    <x v="0"/>
    <s v="2530200"/>
    <n v="400040"/>
    <s v="Physician Svcs Rev--Self Pay"/>
    <s v="WH-Gig Harbor-Uro Gyn"/>
    <x v="0"/>
    <n v="1500"/>
    <n v="-5202"/>
    <n v="-3998"/>
    <n v="-3136"/>
    <n v="-1981"/>
    <n v="-1147"/>
    <n v="-4952"/>
    <n v="-3046"/>
    <n v="-3527"/>
    <n v="-590"/>
    <n v="-942"/>
    <n v="-1101"/>
    <n v="-2725"/>
    <n v="-32347"/>
    <n v="1624"/>
  </r>
  <r>
    <x v="1"/>
    <x v="1"/>
    <x v="0"/>
    <s v="2530200"/>
    <n v="400040"/>
    <s v="Physician Svcs Rev--Other"/>
    <s v="WH-Gig Harbor-Uro Gyn"/>
    <x v="0"/>
    <n v="1700"/>
    <n v="-5762"/>
    <n v="-12613"/>
    <n v="-9885"/>
    <n v="-10559"/>
    <n v="-8335"/>
    <n v="-11852"/>
    <n v="-7925"/>
    <n v="-10976.75"/>
    <n v="-8944"/>
    <n v="-8290"/>
    <n v="-19064.5"/>
    <n v="-4835"/>
    <n v="-119041.25"/>
    <n v="-14229.5"/>
  </r>
  <r>
    <x v="2"/>
    <x v="1"/>
    <x v="0"/>
    <s v="2530200"/>
    <n v="450029"/>
    <s v="Contr Allow--MD Other-Medicare"/>
    <s v="WH-Gig Harbor-Uro Gyn"/>
    <x v="0"/>
    <n v="1100"/>
    <n v="88.74"/>
    <n v="66.150000000000006"/>
    <n v="95.88"/>
    <n v="49.47"/>
    <n v="60.76"/>
    <n v="56.9"/>
    <n v="108.79"/>
    <n v="19.739999999999998"/>
    <n v="26.42"/>
    <n v="32.950000000000003"/>
    <n v="48.51"/>
    <n v="32.340000000000003"/>
    <n v="686.65"/>
    <n v="16.169999999999995"/>
  </r>
  <r>
    <x v="2"/>
    <x v="1"/>
    <x v="0"/>
    <s v="2530200"/>
    <n v="450029"/>
    <s v="Contr Allow--MD Other-Medicaid"/>
    <s v="WH-Gig Harbor-Uro Gyn"/>
    <x v="0"/>
    <n v="1200"/>
    <n v="351.29"/>
    <n v="194.87"/>
    <n v="167.76"/>
    <n v="172.64"/>
    <n v="188.46"/>
    <n v="156.19999999999999"/>
    <n v="157.81"/>
    <n v="94.28"/>
    <n v="254.45"/>
    <n v="156.94"/>
    <n v="202.96"/>
    <n v="196.54"/>
    <n v="2294.1999999999998"/>
    <n v="6.4200000000000159"/>
  </r>
  <r>
    <x v="2"/>
    <x v="1"/>
    <x v="0"/>
    <s v="2530200"/>
    <n v="450029"/>
    <s v="Contr Allow--MD Other-Comm Insurance"/>
    <s v="WH-Gig Harbor-Uro Gyn"/>
    <x v="0"/>
    <n v="1300"/>
    <n v="116.65"/>
    <n v="69.08"/>
    <n v="40.29"/>
    <n v="58.38"/>
    <n v="35.49"/>
    <n v="0.27"/>
    <n v="18.45"/>
    <n v="61"/>
    <n v="33.840000000000003"/>
    <n v="37.56"/>
    <n v="45.4"/>
    <n v="18.260000000000002"/>
    <n v="534.67000000000007"/>
    <n v="27.139999999999997"/>
  </r>
  <r>
    <x v="2"/>
    <x v="1"/>
    <x v="0"/>
    <s v="2530200"/>
    <n v="450029"/>
    <s v="Contr Allow--MD Other BCBS Comm"/>
    <s v="WH-Gig Harbor-Uro Gyn"/>
    <x v="0"/>
    <n v="1301"/>
    <n v="170.73"/>
    <n v="307.77999999999997"/>
    <n v="145.47999999999999"/>
    <n v="107.15"/>
    <n v="295.45"/>
    <n v="113.65"/>
    <n v="227.3"/>
    <n v="170.14"/>
    <n v="263.62"/>
    <n v="118.82"/>
    <n v="151.31"/>
    <n v="94.82"/>
    <n v="2166.25"/>
    <n v="56.490000000000009"/>
  </r>
  <r>
    <x v="2"/>
    <x v="1"/>
    <x v="0"/>
    <s v="2530200"/>
    <n v="450029"/>
    <s v="Contr Allow--MD Other-Managed Care"/>
    <s v="WH-Gig Harbor-Uro Gyn"/>
    <x v="0"/>
    <n v="1400"/>
    <n v="386.59"/>
    <n v="582.85"/>
    <n v="773.51"/>
    <n v="626.48"/>
    <n v="618.87"/>
    <n v="367.96"/>
    <n v="563.9"/>
    <n v="488.71"/>
    <n v="949.3"/>
    <n v="527.03"/>
    <n v="546.58000000000004"/>
    <n v="366.58"/>
    <n v="6798.36"/>
    <n v="180.00000000000006"/>
  </r>
  <r>
    <x v="2"/>
    <x v="1"/>
    <x v="0"/>
    <s v="2530200"/>
    <n v="450029"/>
    <s v="Admin Adjust-MD Other-Self Pay"/>
    <s v="WH-Gig Harbor-Uro Gyn"/>
    <x v="0"/>
    <n v="1600"/>
    <n v="49.39"/>
    <n v="59.61"/>
    <n v="22.92"/>
    <n v="66.28"/>
    <n v="4.99"/>
    <n v="33.58"/>
    <n v="13.47"/>
    <n v="12.08"/>
    <n v="-0.43"/>
    <n v="11.38"/>
    <n v="30.53"/>
    <n v="38.76"/>
    <n v="342.56000000000006"/>
    <n v="-8.2299999999999969"/>
  </r>
  <r>
    <x v="2"/>
    <x v="1"/>
    <x v="0"/>
    <s v="2530200"/>
    <n v="450029"/>
    <s v="Contr Allow--MD Other-Other"/>
    <s v="WH-Gig Harbor-Uro Gyn"/>
    <x v="0"/>
    <n v="1700"/>
    <n v="41.17"/>
    <n v="99.34"/>
    <n v="24.17"/>
    <n v="122.41"/>
    <n v="24.17"/>
    <n v="-6.12"/>
    <n v="68"/>
    <n v="34"/>
    <n v="62.03"/>
    <n v="38.51"/>
    <n v="92.17"/>
    <n v="34"/>
    <n v="633.85"/>
    <n v="58.17"/>
  </r>
  <r>
    <x v="2"/>
    <x v="1"/>
    <x v="0"/>
    <s v="2530200"/>
    <n v="450040"/>
    <s v="Contr Allow--Phys Svcs--Mcare"/>
    <s v="WH-Gig Harbor-Uro Gyn"/>
    <x v="0"/>
    <n v="1100"/>
    <n v="24293.1"/>
    <n v="23255.119999999999"/>
    <n v="26686.06"/>
    <n v="25060.92"/>
    <n v="31114.18"/>
    <n v="27369.49"/>
    <n v="25422.89"/>
    <n v="23797.88"/>
    <n v="25060.639999999999"/>
    <n v="25051.3"/>
    <n v="21875.38"/>
    <n v="20172.18"/>
    <n v="299159.14"/>
    <n v="1703.2000000000007"/>
  </r>
  <r>
    <x v="2"/>
    <x v="1"/>
    <x v="0"/>
    <s v="2530200"/>
    <n v="450040"/>
    <s v="Contr Allow--Phys Svcs--Mcaid"/>
    <s v="WH-Gig Harbor-Uro Gyn"/>
    <x v="0"/>
    <n v="1200"/>
    <n v="30073.94"/>
    <n v="32074.14"/>
    <n v="29617.279999999999"/>
    <n v="26166.11"/>
    <n v="29238.37"/>
    <n v="47679.87"/>
    <n v="17509.02"/>
    <n v="16691.75"/>
    <n v="29103.62"/>
    <n v="23264.03"/>
    <n v="31046.86"/>
    <n v="28303.67"/>
    <n v="340768.66"/>
    <n v="2743.1900000000023"/>
  </r>
  <r>
    <x v="2"/>
    <x v="1"/>
    <x v="0"/>
    <s v="2530200"/>
    <n v="450040"/>
    <s v="Contr Allow--Phys Svcs--Comm Insurance"/>
    <s v="WH-Gig Harbor-Uro Gyn"/>
    <x v="0"/>
    <n v="1300"/>
    <n v="3370.99"/>
    <n v="2784.93"/>
    <n v="2411.91"/>
    <n v="5179.34"/>
    <n v="2439.65"/>
    <n v="3827.86"/>
    <n v="3531.5"/>
    <n v="2583.09"/>
    <n v="5747.48"/>
    <n v="5584.52"/>
    <n v="5952.89"/>
    <n v="1890.89"/>
    <n v="45305.05"/>
    <n v="4062"/>
  </r>
  <r>
    <x v="2"/>
    <x v="1"/>
    <x v="0"/>
    <s v="2530200"/>
    <n v="450040"/>
    <s v="Contr Allow--Phys Svcs--BCBS Comm Ins"/>
    <s v="WH-Gig Harbor-Uro Gyn"/>
    <x v="0"/>
    <n v="1301"/>
    <n v="8284.93"/>
    <n v="20350.900000000001"/>
    <n v="6572.58"/>
    <n v="8280.7800000000007"/>
    <n v="9077.6200000000008"/>
    <n v="4728.54"/>
    <n v="12146.55"/>
    <n v="8223.9500000000007"/>
    <n v="14237.29"/>
    <n v="7967.67"/>
    <n v="2293.2399999999998"/>
    <n v="13180.88"/>
    <n v="115344.93000000002"/>
    <n v="-10887.64"/>
  </r>
  <r>
    <x v="2"/>
    <x v="1"/>
    <x v="0"/>
    <s v="2530200"/>
    <n v="450040"/>
    <s v="Contr Allow--Phys Svcs--Managed Care"/>
    <s v="WH-Gig Harbor-Uro Gyn"/>
    <x v="0"/>
    <n v="1400"/>
    <n v="37779.730000000003"/>
    <n v="38483.32"/>
    <n v="26313.42"/>
    <n v="27059.96"/>
    <n v="39214.33"/>
    <n v="30569.83"/>
    <n v="29733.03"/>
    <n v="21781.27"/>
    <n v="44591.43"/>
    <n v="34693.449999999997"/>
    <n v="46153.57"/>
    <n v="39509.269999999997"/>
    <n v="415882.61000000004"/>
    <n v="6644.3000000000029"/>
  </r>
  <r>
    <x v="2"/>
    <x v="1"/>
    <x v="0"/>
    <s v="2530200"/>
    <n v="450040"/>
    <s v="Contr Allow--Phys Svcs--BCBS Mgnd Care"/>
    <s v="WH-Gig Harbor-Uro Gyn"/>
    <x v="0"/>
    <n v="1401"/>
    <n v="-4737.08"/>
    <n v="-31201.38"/>
    <n v="-1209.58"/>
    <n v="24348.5"/>
    <n v="-17497.580000000002"/>
    <n v="-1142.6600000000001"/>
    <n v="15655.14"/>
    <n v="39082.53"/>
    <n v="-27662.5"/>
    <n v="1111.1600000000001"/>
    <n v="18772.330000000002"/>
    <n v="-3775.6"/>
    <n v="11743.279999999997"/>
    <n v="22547.93"/>
  </r>
  <r>
    <x v="2"/>
    <x v="1"/>
    <x v="0"/>
    <s v="2530200"/>
    <n v="450040"/>
    <s v="Admin Adjust-Phys Svcs-Self Pay"/>
    <s v="WH-Gig Harbor-Uro Gyn"/>
    <x v="0"/>
    <n v="1600"/>
    <n v="2111.3000000000002"/>
    <n v="55768.14"/>
    <n v="3079.82"/>
    <n v="3129.29"/>
    <n v="1406.37"/>
    <n v="1694.08"/>
    <n v="5191.21"/>
    <n v="1341.98"/>
    <n v="440.87"/>
    <n v="3906.87"/>
    <n v="746.51"/>
    <n v="4180.2"/>
    <n v="82996.639999999985"/>
    <n v="-3433.6899999999996"/>
  </r>
  <r>
    <x v="2"/>
    <x v="1"/>
    <x v="0"/>
    <s v="2530200"/>
    <n v="450040"/>
    <s v="Contr Allow--Phys Svcs--Other"/>
    <s v="WH-Gig Harbor-Uro Gyn"/>
    <x v="0"/>
    <n v="1700"/>
    <n v="3516.73"/>
    <n v="11655.57"/>
    <n v="2585.1799999999998"/>
    <n v="10731.33"/>
    <n v="3298.9"/>
    <n v="5199.71"/>
    <n v="4996.1400000000003"/>
    <n v="3770.33"/>
    <n v="6792.03"/>
    <n v="7858.41"/>
    <n v="9979.66"/>
    <n v="6546.84"/>
    <n v="76930.83"/>
    <n v="3432.8199999999997"/>
  </r>
  <r>
    <x v="3"/>
    <x v="1"/>
    <x v="0"/>
    <s v="2530200"/>
    <n v="470040"/>
    <s v="Charity Care-Physician Svcs"/>
    <s v="WH-Gig Harbor-Uro Gyn"/>
    <x v="0"/>
    <m/>
    <n v="3691.53"/>
    <n v="430.14"/>
    <n v="762.24"/>
    <n v="2879.39"/>
    <n v="448.59"/>
    <n v="339.3"/>
    <n v="1737.38"/>
    <n v="564.13"/>
    <n v="968.16"/>
    <n v="1592.23"/>
    <n v="2451.89"/>
    <n v="4777.22"/>
    <n v="20642.199999999997"/>
    <n v="-2325.3300000000004"/>
  </r>
  <r>
    <x v="4"/>
    <x v="1"/>
    <x v="0"/>
    <s v="2530200"/>
    <n v="490010"/>
    <s v="Provision for Bad Debts"/>
    <s v="WH-Gig Harbor-Uro Gyn"/>
    <x v="0"/>
    <m/>
    <n v="826.58"/>
    <n v="-8714.49"/>
    <n v="4124.71"/>
    <n v="3863.31"/>
    <n v="3573.14"/>
    <n v="-3468.56"/>
    <n v="-125.49"/>
    <n v="5660.46"/>
    <n v="1318.08"/>
    <n v="700.75"/>
    <n v="2934.37"/>
    <n v="-1556.87"/>
    <n v="9135.9900000000016"/>
    <n v="4491.24"/>
  </r>
  <r>
    <x v="5"/>
    <x v="1"/>
    <x v="0"/>
    <s v="2530200"/>
    <n v="700022"/>
    <s v="Salaries-Physician-Productive"/>
    <s v="WH-Gig Harbor-Uro Gyn"/>
    <x v="0"/>
    <m/>
    <n v="37882.39"/>
    <n v="44382.52"/>
    <n v="66656.05"/>
    <n v="68619.899999999994"/>
    <n v="40256.5"/>
    <n v="56760.87"/>
    <n v="81221.87"/>
    <n v="74428.259999999995"/>
    <n v="75787.11"/>
    <n v="80986.259999999995"/>
    <n v="79260.67"/>
    <n v="69821.41"/>
    <n v="776063.81000000017"/>
    <n v="9439.2599999999948"/>
  </r>
  <r>
    <x v="5"/>
    <x v="1"/>
    <x v="0"/>
    <s v="2530200"/>
    <n v="700022"/>
    <s v="Salaries-Physician-Other"/>
    <s v="WH-Gig Harbor-Uro Gyn"/>
    <x v="0"/>
    <n v="2000"/>
    <n v="0"/>
    <n v="3750"/>
    <n v="6000"/>
    <n v="5250"/>
    <n v="11400"/>
    <n v="18300"/>
    <n v="0"/>
    <n v="8400"/>
    <n v="9450"/>
    <n v="13050"/>
    <n v="6000"/>
    <n v="15750"/>
    <n v="97350"/>
    <n v="-9750"/>
  </r>
  <r>
    <x v="5"/>
    <x v="1"/>
    <x v="0"/>
    <s v="2530200"/>
    <n v="700024"/>
    <s v="Salaries-Advanced Practice Clinician-Productive"/>
    <s v="WH-Gig Harbor-Uro Gyn"/>
    <x v="0"/>
    <m/>
    <n v="20000.560000000001"/>
    <n v="27600.66"/>
    <n v="15644.6"/>
    <n v="23279.08"/>
    <n v="22337.119999999999"/>
    <n v="16656.919999999998"/>
    <n v="25123.61"/>
    <n v="22710.92"/>
    <n v="22919.98"/>
    <n v="26743.62"/>
    <n v="23982.080000000002"/>
    <n v="17232.669999999998"/>
    <n v="264231.81999999995"/>
    <n v="6749.4100000000035"/>
  </r>
  <r>
    <x v="5"/>
    <x v="1"/>
    <x v="0"/>
    <s v="2530200"/>
    <n v="700026"/>
    <s v="Salaries-RN-Productive"/>
    <s v="WH-Gig Harbor-Uro Gyn"/>
    <x v="0"/>
    <m/>
    <n v="10749.48"/>
    <n v="10464.35"/>
    <n v="9538"/>
    <n v="6283.19"/>
    <n v="6592.16"/>
    <n v="13702.89"/>
    <n v="7220.72"/>
    <n v="4983"/>
    <n v="-1090.8399999999999"/>
    <n v="0"/>
    <n v="0"/>
    <n v="7162.19"/>
    <n v="75605.140000000014"/>
    <n v="-7162.19"/>
  </r>
  <r>
    <x v="5"/>
    <x v="1"/>
    <x v="0"/>
    <s v="2530200"/>
    <n v="700026"/>
    <s v="Salaries-RN-OT"/>
    <s v="WH-Gig Harbor-Uro Gyn"/>
    <x v="0"/>
    <n v="1000"/>
    <n v="38.35"/>
    <n v="73.5"/>
    <n v="0"/>
    <n v="31.96"/>
    <n v="228.75"/>
    <n v="308.12"/>
    <n v="107.32"/>
    <n v="58.93"/>
    <n v="-26.18"/>
    <n v="0"/>
    <n v="0"/>
    <n v="153.68"/>
    <n v="974.43000000000006"/>
    <n v="-153.68"/>
  </r>
  <r>
    <x v="5"/>
    <x v="1"/>
    <x v="0"/>
    <s v="2530200"/>
    <n v="700026"/>
    <s v="Salaries-RN-Other"/>
    <s v="WH-Gig Harbor-Uro Gyn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530200"/>
    <n v="700030"/>
    <s v="Salaries-LPN-Productive"/>
    <s v="WH-Gig Harbor-Uro Gyn"/>
    <x v="0"/>
    <m/>
    <n v="7382.67"/>
    <n v="6751"/>
    <n v="5411.39"/>
    <n v="9485.8799999999992"/>
    <n v="7945.73"/>
    <n v="3314.06"/>
    <n v="8397.93"/>
    <n v="6425.44"/>
    <n v="8551.56"/>
    <n v="8858.75"/>
    <n v="7360.63"/>
    <n v="8017.85"/>
    <n v="87902.890000000014"/>
    <n v="-657.22000000000025"/>
  </r>
  <r>
    <x v="5"/>
    <x v="1"/>
    <x v="0"/>
    <s v="2530200"/>
    <n v="700030"/>
    <s v="Salaries-LPN-OT"/>
    <s v="WH-Gig Harbor-Uro Gyn"/>
    <x v="0"/>
    <n v="1000"/>
    <n v="12.24"/>
    <n v="39.479999999999997"/>
    <n v="49.81"/>
    <n v="94.54"/>
    <n v="97.39"/>
    <n v="-69.7"/>
    <n v="37.840000000000003"/>
    <n v="5.16"/>
    <n v="103.23"/>
    <n v="80.88"/>
    <n v="79.77"/>
    <n v="39.19"/>
    <n v="569.83000000000015"/>
    <n v="40.58"/>
  </r>
  <r>
    <x v="5"/>
    <x v="1"/>
    <x v="0"/>
    <s v="2530200"/>
    <n v="700030"/>
    <s v="Salaries-LPN-Other"/>
    <s v="WH-Gig Harbor-Uro Gyn"/>
    <x v="0"/>
    <n v="2000"/>
    <n v="88.53"/>
    <n v="92.11"/>
    <n v="84.38"/>
    <n v="93.13"/>
    <n v="88.76"/>
    <n v="83.38"/>
    <n v="92.12"/>
    <n v="80.459999999999994"/>
    <n v="83.25"/>
    <n v="88.74"/>
    <n v="93.6"/>
    <n v="84.87"/>
    <n v="1053.33"/>
    <n v="8.7299999999999898"/>
  </r>
  <r>
    <x v="5"/>
    <x v="1"/>
    <x v="0"/>
    <s v="2530200"/>
    <n v="700032"/>
    <s v="Salaries-Other Pat Care Providers-Productive"/>
    <s v="WH-Gig Harbor-Uro Gyn"/>
    <x v="0"/>
    <m/>
    <n v="3733.29"/>
    <n v="4099.47"/>
    <n v="3737.54"/>
    <n v="4530.49"/>
    <n v="3813.53"/>
    <n v="3262.88"/>
    <n v="4309.82"/>
    <n v="3349.83"/>
    <n v="4107.3"/>
    <n v="3853.35"/>
    <n v="4577.24"/>
    <n v="3174.31"/>
    <n v="46549.049999999996"/>
    <n v="1402.9299999999998"/>
  </r>
  <r>
    <x v="5"/>
    <x v="1"/>
    <x v="0"/>
    <s v="2530200"/>
    <n v="700032"/>
    <s v="Salaries-Other Pat Care Providers-OT"/>
    <s v="WH-Gig Harbor-Uro Gyn"/>
    <x v="0"/>
    <n v="1000"/>
    <n v="0"/>
    <n v="40.92"/>
    <n v="-13.64"/>
    <n v="0"/>
    <n v="0"/>
    <n v="0"/>
    <n v="18.68"/>
    <n v="0"/>
    <n v="0"/>
    <n v="224.08"/>
    <n v="112.06"/>
    <n v="9.34"/>
    <n v="391.44"/>
    <n v="102.72"/>
  </r>
  <r>
    <x v="5"/>
    <x v="1"/>
    <x v="0"/>
    <s v="2530200"/>
    <n v="700054"/>
    <s v="Salaries-Management-NonProd-Other"/>
    <s v="WH-Gig Harbor-Uro Gyn"/>
    <x v="0"/>
    <n v="2000"/>
    <n v="0"/>
    <n v="0"/>
    <n v="0"/>
    <n v="0"/>
    <n v="0"/>
    <n v="341.03"/>
    <n v="-341.03"/>
    <n v="0"/>
    <n v="0"/>
    <n v="0"/>
    <n v="0"/>
    <n v="0"/>
    <n v="0"/>
    <n v="0"/>
  </r>
  <r>
    <x v="5"/>
    <x v="1"/>
    <x v="0"/>
    <s v="2530200"/>
    <n v="700062"/>
    <s v="Salaries-Physician-Non-productive"/>
    <s v="WH-Gig Harbor-Uro Gyn"/>
    <x v="0"/>
    <m/>
    <n v="22777.09"/>
    <n v="6547.22"/>
    <n v="609.91"/>
    <n v="0"/>
    <n v="0"/>
    <n v="5324.13"/>
    <n v="1015.97"/>
    <n v="0"/>
    <n v="1414.89"/>
    <n v="0"/>
    <n v="7647.84"/>
    <n v="6210.98"/>
    <n v="51548.03"/>
    <n v="1436.8600000000006"/>
  </r>
  <r>
    <x v="5"/>
    <x v="1"/>
    <x v="0"/>
    <s v="2530200"/>
    <n v="700064"/>
    <s v="Salaries-Advanced Practice Clinician-Non-Productive"/>
    <s v="WH-Gig Harbor-Uro Gyn"/>
    <x v="0"/>
    <m/>
    <n v="2715.04"/>
    <n v="999.1"/>
    <n v="4009.2"/>
    <n v="605.44000000000005"/>
    <n v="962.56"/>
    <n v="5991.39"/>
    <n v="2968.24"/>
    <n v="1578.71"/>
    <n v="-315.45999999999998"/>
    <n v="0"/>
    <n v="3916.28"/>
    <n v="7018.83"/>
    <n v="30449.33"/>
    <n v="-3102.5499999999997"/>
  </r>
  <r>
    <x v="5"/>
    <x v="1"/>
    <x v="0"/>
    <s v="2530200"/>
    <n v="700066"/>
    <s v="Salaries-RN-Non-productive"/>
    <s v="WH-Gig Harbor-Uro Gyn"/>
    <x v="0"/>
    <m/>
    <n v="409.06"/>
    <n v="1316.65"/>
    <n v="298.27"/>
    <n v="862.68"/>
    <n v="1054.4100000000001"/>
    <n v="1505.33"/>
    <n v="1522.95"/>
    <n v="2050.8000000000002"/>
    <n v="-314.16000000000003"/>
    <n v="0"/>
    <n v="0"/>
    <n v="0"/>
    <n v="8705.99"/>
    <n v="0"/>
  </r>
  <r>
    <x v="5"/>
    <x v="1"/>
    <x v="0"/>
    <s v="2530200"/>
    <n v="700066"/>
    <s v="Salaries-RN-NonProd-Other"/>
    <s v="WH-Gig Harbor-Uro 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0200"/>
    <n v="700070"/>
    <s v="Salaries-LPN-Non-productive"/>
    <s v="WH-Gig Harbor-Uro Gyn"/>
    <x v="0"/>
    <m/>
    <n v="1291.53"/>
    <n v="2303.04"/>
    <n v="1363.93"/>
    <n v="231.71"/>
    <n v="986.28"/>
    <n v="4909.51"/>
    <n v="799.46"/>
    <n v="803.66"/>
    <n v="178.22"/>
    <n v="-55.76"/>
    <n v="1472.7"/>
    <n v="501.87"/>
    <n v="14786.15"/>
    <n v="970.83"/>
  </r>
  <r>
    <x v="5"/>
    <x v="1"/>
    <x v="0"/>
    <s v="2530200"/>
    <n v="700070"/>
    <s v="Salaries-LPN-NonProd-Other"/>
    <s v="WH-Gig Harbor-Uro Gyn"/>
    <x v="0"/>
    <n v="2000"/>
    <n v="0"/>
    <n v="0"/>
    <n v="0"/>
    <n v="0"/>
    <n v="0"/>
    <n v="0"/>
    <n v="0"/>
    <n v="0"/>
    <n v="0"/>
    <n v="38.99"/>
    <n v="131.51"/>
    <n v="-45.9"/>
    <n v="124.6"/>
    <n v="177.41"/>
  </r>
  <r>
    <x v="5"/>
    <x v="1"/>
    <x v="0"/>
    <s v="2530200"/>
    <n v="700072"/>
    <s v="Salaries-Other Pat Care Providers-Non-productive"/>
    <s v="WH-Gig Harbor-Uro Gyn"/>
    <x v="0"/>
    <m/>
    <n v="722.65"/>
    <n v="320.10000000000002"/>
    <n v="142.47"/>
    <n v="19.34"/>
    <n v="499.7"/>
    <n v="944.68"/>
    <n v="236.57"/>
    <n v="643.57000000000005"/>
    <n v="75.34"/>
    <n v="494.82"/>
    <n v="0"/>
    <n v="834.04"/>
    <n v="4933.2800000000007"/>
    <n v="-834.04"/>
  </r>
  <r>
    <x v="5"/>
    <x v="1"/>
    <x v="0"/>
    <s v="2530200"/>
    <n v="700072"/>
    <s v="Salaries-Other Pat Care Providers-NonProd-Other"/>
    <s v="WH-Gig Harbor-Uro Gyn"/>
    <x v="0"/>
    <n v="2000"/>
    <n v="0"/>
    <n v="0"/>
    <n v="0"/>
    <n v="0"/>
    <n v="0"/>
    <n v="0"/>
    <n v="0"/>
    <n v="0"/>
    <n v="0"/>
    <n v="21.14"/>
    <n v="-8.6999999999999993"/>
    <n v="0"/>
    <n v="12.440000000000001"/>
    <n v="-8.6999999999999993"/>
  </r>
  <r>
    <x v="5"/>
    <x v="1"/>
    <x v="0"/>
    <s v="2530200"/>
    <n v="700084"/>
    <s v="Accrued PTO"/>
    <s v="WH-Gig Harbor-Uro Gyn"/>
    <x v="0"/>
    <m/>
    <n v="72.150000000000006"/>
    <n v="-55.88"/>
    <n v="505.6"/>
    <n v="1904.59"/>
    <n v="165.19"/>
    <n v="-3156.67"/>
    <n v="-236.88"/>
    <n v="66.27"/>
    <n v="892.72"/>
    <n v="776.4"/>
    <n v="180.96"/>
    <n v="1131.01"/>
    <n v="2245.46"/>
    <n v="-950.05"/>
  </r>
  <r>
    <x v="6"/>
    <x v="1"/>
    <x v="0"/>
    <s v="2530200"/>
    <n v="713010"/>
    <s v="Benefits-FICA/Medicare"/>
    <s v="WH-Gig Harbor-Uro Gyn"/>
    <x v="0"/>
    <m/>
    <n v="5441.15"/>
    <n v="4631.6099999999997"/>
    <n v="3966.09"/>
    <n v="4108.51"/>
    <n v="2131.4299999999998"/>
    <n v="6546.47"/>
    <n v="10096.66"/>
    <n v="6786.94"/>
    <n v="5123.71"/>
    <n v="5737.43"/>
    <n v="6136.34"/>
    <n v="4004.17"/>
    <n v="64710.509999999995"/>
    <n v="2132.17"/>
  </r>
  <r>
    <x v="6"/>
    <x v="1"/>
    <x v="0"/>
    <s v="2530200"/>
    <n v="713090"/>
    <s v="Benefits-Allocated Amounts"/>
    <s v="WH-Gig Harbor-Uro Gyn"/>
    <x v="0"/>
    <m/>
    <n v="0"/>
    <n v="0"/>
    <n v="0"/>
    <n v="0"/>
    <n v="0"/>
    <n v="0"/>
    <n v="0"/>
    <n v="0"/>
    <n v="62021.54"/>
    <n v="7288.29"/>
    <n v="7074.76"/>
    <n v="7911.81"/>
    <n v="84296.4"/>
    <n v="-837.05000000000018"/>
  </r>
  <r>
    <x v="6"/>
    <x v="1"/>
    <x v="0"/>
    <s v="2530200"/>
    <n v="713092"/>
    <s v="Allocated Benefits-Physician"/>
    <s v="WH-Gig Harbor-Uro Gyn"/>
    <x v="0"/>
    <m/>
    <n v="5845.13"/>
    <n v="5263.97"/>
    <n v="5626.66"/>
    <n v="5490.42"/>
    <n v="5049.84"/>
    <n v="6351.9"/>
    <n v="7301.03"/>
    <n v="6881.41"/>
    <n v="-25715.38"/>
    <n v="2596.4299999999998"/>
    <n v="2520.36"/>
    <n v="2818.56"/>
    <n v="30030.33"/>
    <n v="-298.19999999999982"/>
  </r>
  <r>
    <x v="6"/>
    <x v="1"/>
    <x v="0"/>
    <s v="2530200"/>
    <n v="713093"/>
    <s v="Allocated Benefits-Advanced Practice Clinician"/>
    <s v="WH-Gig Harbor-Uro Gyn"/>
    <x v="0"/>
    <m/>
    <n v="5890.3"/>
    <n v="5304.67"/>
    <n v="5670.14"/>
    <n v="5532.86"/>
    <n v="5088.87"/>
    <n v="6401"/>
    <n v="7357.45"/>
    <n v="6934.61"/>
    <n v="-23176.97"/>
    <n v="2938.15"/>
    <n v="2852.07"/>
    <n v="3189.52"/>
    <n v="33982.669999999991"/>
    <n v="-337.44999999999982"/>
  </r>
  <r>
    <x v="7"/>
    <x v="1"/>
    <x v="0"/>
    <s v="2530200"/>
    <n v="718050"/>
    <s v="Contract Svcs-Other"/>
    <s v="WH-Gig Harbor-Uro Gyn"/>
    <x v="0"/>
    <m/>
    <n v="0"/>
    <n v="0"/>
    <n v="0"/>
    <n v="0"/>
    <n v="0"/>
    <n v="0"/>
    <n v="0"/>
    <n v="0"/>
    <n v="0"/>
    <n v="48.18"/>
    <n v="48.18"/>
    <n v="0"/>
    <n v="96.36"/>
    <n v="48.18"/>
  </r>
  <r>
    <x v="7"/>
    <x v="1"/>
    <x v="0"/>
    <s v="2530200"/>
    <n v="718050"/>
    <s v="Miscellaneous Purchased Svcs"/>
    <s v="WH-Gig Harbor-Uro Gyn"/>
    <x v="0"/>
    <n v="1020"/>
    <n v="82.39"/>
    <n v="-88.29"/>
    <n v="87.61"/>
    <n v="62.33"/>
    <n v="128.6"/>
    <n v="66.69"/>
    <n v="87.61"/>
    <n v="80.430000000000007"/>
    <n v="111.69"/>
    <n v="7.3"/>
    <n v="144.47999999999999"/>
    <n v="94.38"/>
    <n v="865.21999999999991"/>
    <n v="50.099999999999994"/>
  </r>
  <r>
    <x v="7"/>
    <x v="1"/>
    <x v="0"/>
    <s v="2530200"/>
    <n v="718050"/>
    <s v="Translation Services"/>
    <s v="WH-Gig Harbor-Uro Gyn"/>
    <x v="0"/>
    <n v="1025"/>
    <n v="0"/>
    <n v="0"/>
    <n v="0"/>
    <n v="0"/>
    <n v="0"/>
    <n v="0"/>
    <n v="0"/>
    <n v="0"/>
    <n v="0"/>
    <n v="138.79"/>
    <n v="0"/>
    <n v="0"/>
    <n v="138.79"/>
    <n v="0"/>
  </r>
  <r>
    <x v="7"/>
    <x v="1"/>
    <x v="0"/>
    <s v="2530200"/>
    <n v="718050"/>
    <s v="Contract Management--Linen"/>
    <s v="WH-Gig Harbor-Uro Gyn"/>
    <x v="0"/>
    <n v="1026"/>
    <n v="0"/>
    <n v="0"/>
    <n v="0"/>
    <n v="0"/>
    <n v="0"/>
    <n v="0"/>
    <n v="0"/>
    <n v="0"/>
    <n v="0"/>
    <n v="2302"/>
    <n v="536.17999999999995"/>
    <n v="1085.42"/>
    <n v="3923.6"/>
    <n v="-549.24000000000012"/>
  </r>
  <r>
    <x v="7"/>
    <x v="1"/>
    <x v="0"/>
    <s v="2530200"/>
    <n v="718050"/>
    <s v="Purchased Srvcs--Medical Waste"/>
    <s v="WH-Gig Harbor-Uro Gyn"/>
    <x v="0"/>
    <n v="1027"/>
    <n v="0"/>
    <n v="0"/>
    <n v="0"/>
    <n v="0"/>
    <n v="0"/>
    <n v="0"/>
    <n v="0"/>
    <n v="0"/>
    <n v="0"/>
    <n v="20.72"/>
    <n v="10.36"/>
    <n v="10.36"/>
    <n v="41.44"/>
    <n v="0"/>
  </r>
  <r>
    <x v="11"/>
    <x v="1"/>
    <x v="0"/>
    <s v="2530200"/>
    <n v="721410"/>
    <s v="Supplies-Medical - Nonbillable"/>
    <s v="WH-Gig Harbor-Uro Gyn"/>
    <x v="0"/>
    <m/>
    <n v="0"/>
    <n v="0"/>
    <n v="0"/>
    <n v="0"/>
    <n v="0"/>
    <n v="0"/>
    <n v="0"/>
    <n v="0"/>
    <n v="0"/>
    <n v="2767.43"/>
    <n v="76.05"/>
    <n v="2234.1"/>
    <n v="5077.58"/>
    <n v="-2158.0499999999997"/>
  </r>
  <r>
    <x v="0"/>
    <x v="1"/>
    <x v="0"/>
    <s v="2530200"/>
    <n v="740023"/>
    <s v="Education-Advanced Practice Clinician"/>
    <s v="WH-Gig Harbor-Uro Gyn"/>
    <x v="0"/>
    <m/>
    <n v="0"/>
    <n v="0"/>
    <n v="0"/>
    <n v="0"/>
    <n v="0"/>
    <n v="895"/>
    <n v="0"/>
    <n v="0"/>
    <n v="0"/>
    <n v="0"/>
    <n v="0"/>
    <n v="0"/>
    <n v="895"/>
    <n v="0"/>
  </r>
  <r>
    <x v="8"/>
    <x v="1"/>
    <x v="0"/>
    <s v="2530200"/>
    <n v="741012"/>
    <s v="Physician Liab Insurance-CHI Program"/>
    <s v="WH-Gig Harbor-Uro Gyn"/>
    <x v="0"/>
    <m/>
    <n v="4348.2700000000004"/>
    <n v="4348.28"/>
    <n v="4348.2700000000004"/>
    <n v="4348.28"/>
    <n v="4348.2700000000004"/>
    <n v="4348.28"/>
    <n v="4348.2700000000004"/>
    <n v="4348.28"/>
    <n v="4348.2700000000004"/>
    <n v="4348.28"/>
    <n v="4348.2700000000004"/>
    <n v="4348.28"/>
    <n v="52179.3"/>
    <n v="-9.999999999308784E-3"/>
  </r>
  <r>
    <x v="0"/>
    <x v="1"/>
    <x v="0"/>
    <s v="2530200"/>
    <n v="743022"/>
    <s v="Dues-Physician"/>
    <s v="WH-Gig Harbor-Uro Gyn"/>
    <x v="0"/>
    <m/>
    <n v="0"/>
    <n v="0"/>
    <n v="655"/>
    <n v="0"/>
    <n v="0"/>
    <n v="0"/>
    <n v="0"/>
    <n v="570"/>
    <n v="0"/>
    <n v="0"/>
    <n v="0"/>
    <n v="2370"/>
    <n v="3595"/>
    <n v="-2370"/>
  </r>
  <r>
    <x v="0"/>
    <x v="1"/>
    <x v="0"/>
    <s v="2530200"/>
    <n v="743023"/>
    <s v="Dues-Advanced Practice Clinician"/>
    <s v="WH-Gig Harbor-Uro Gyn"/>
    <x v="0"/>
    <m/>
    <n v="0"/>
    <n v="0"/>
    <n v="0"/>
    <n v="128.25"/>
    <n v="0"/>
    <n v="0"/>
    <n v="0"/>
    <n v="0"/>
    <n v="0"/>
    <n v="0"/>
    <n v="0"/>
    <n v="0"/>
    <n v="128.25"/>
    <n v="0"/>
  </r>
  <r>
    <x v="0"/>
    <x v="1"/>
    <x v="0"/>
    <s v="2530200"/>
    <n v="749510"/>
    <s v="Miscellaneous Expenses"/>
    <s v="WH-Gig Harbor-Uro Gyn"/>
    <x v="0"/>
    <m/>
    <n v="-366.19"/>
    <n v="-614.67999999999995"/>
    <n v="0"/>
    <n v="0"/>
    <n v="245"/>
    <n v="-245"/>
    <n v="0"/>
    <n v="0"/>
    <n v="109.1"/>
    <n v="-109.1"/>
    <n v="834.1"/>
    <n v="-834.1"/>
    <n v="-980.86999999999989"/>
    <n v="1668.2"/>
  </r>
  <r>
    <x v="0"/>
    <x v="1"/>
    <x v="0"/>
    <s v="2530200"/>
    <n v="749512"/>
    <s v="Licenses-Physician"/>
    <s v="WH-Gig Harbor-Uro Gyn"/>
    <x v="0"/>
    <n v="2000"/>
    <n v="0"/>
    <n v="0"/>
    <n v="0"/>
    <n v="0"/>
    <n v="0"/>
    <n v="0"/>
    <n v="0"/>
    <n v="0"/>
    <n v="0"/>
    <n v="0"/>
    <n v="0"/>
    <n v="725"/>
    <n v="725"/>
    <n v="-725"/>
  </r>
  <r>
    <x v="0"/>
    <x v="1"/>
    <x v="0"/>
    <s v="2530200"/>
    <n v="749513"/>
    <s v="Licenses-Advanced Practice Clinician"/>
    <s v="WH-Gig Harbor-Uro Gyn"/>
    <x v="0"/>
    <n v="2000"/>
    <n v="0"/>
    <n v="0"/>
    <n v="0"/>
    <n v="0"/>
    <n v="0"/>
    <n v="245"/>
    <n v="0"/>
    <n v="731"/>
    <n v="0"/>
    <n v="122.5"/>
    <n v="0"/>
    <n v="0"/>
    <n v="1098.5"/>
    <n v="0"/>
  </r>
  <r>
    <x v="0"/>
    <x v="1"/>
    <x v="0"/>
    <s v="2530200"/>
    <n v="749530"/>
    <s v="Travel"/>
    <s v="WH-Gig Harbor-Uro Gyn"/>
    <x v="0"/>
    <m/>
    <n v="20"/>
    <n v="15"/>
    <n v="0"/>
    <n v="40"/>
    <n v="0"/>
    <n v="30"/>
    <n v="20"/>
    <n v="20"/>
    <n v="0"/>
    <n v="60"/>
    <n v="0"/>
    <n v="50"/>
    <n v="255"/>
    <n v="-50"/>
  </r>
  <r>
    <x v="0"/>
    <x v="1"/>
    <x v="0"/>
    <s v="2530200"/>
    <n v="749530"/>
    <s v="Mileage"/>
    <s v="WH-Gig Harbor-Uro Gyn"/>
    <x v="0"/>
    <n v="1001"/>
    <n v="63.24"/>
    <n v="47.43"/>
    <n v="0"/>
    <n v="126.48"/>
    <n v="0"/>
    <n v="94.86"/>
    <n v="66.27"/>
    <n v="67.28"/>
    <n v="0"/>
    <n v="201.26"/>
    <n v="0"/>
    <n v="168.2"/>
    <n v="835.02"/>
    <n v="-168.2"/>
  </r>
  <r>
    <x v="0"/>
    <x v="1"/>
    <x v="0"/>
    <s v="2530200"/>
    <n v="749532"/>
    <s v="Travel-Physician"/>
    <s v="WH-Gig Harbor-Uro Gyn"/>
    <x v="0"/>
    <m/>
    <n v="0"/>
    <n v="206.87"/>
    <n v="0"/>
    <n v="0"/>
    <n v="0"/>
    <n v="0"/>
    <n v="0"/>
    <n v="0"/>
    <n v="0"/>
    <n v="0"/>
    <n v="0"/>
    <n v="0"/>
    <n v="206.87"/>
    <n v="0"/>
  </r>
  <r>
    <x v="0"/>
    <x v="1"/>
    <x v="0"/>
    <s v="2530200"/>
    <n v="749533"/>
    <s v="Travel-Advanced Practice Clinician"/>
    <s v="WH-Gig Harbor-Uro Gyn"/>
    <x v="0"/>
    <m/>
    <n v="0"/>
    <n v="0"/>
    <n v="0"/>
    <n v="0"/>
    <n v="0"/>
    <n v="466.41"/>
    <n v="0"/>
    <n v="0"/>
    <n v="0"/>
    <n v="0"/>
    <n v="1222.0899999999999"/>
    <n v="0"/>
    <n v="1688.5"/>
    <n v="1222.0899999999999"/>
  </r>
  <r>
    <x v="1"/>
    <x v="1"/>
    <x v="0"/>
    <s v="2531200"/>
    <n v="400029"/>
    <s v="MD Practice Other Rev--Medicare"/>
    <s v="Ortho/Sport Med-LW-Ortho Surg"/>
    <x v="0"/>
    <n v="1100"/>
    <n v="-8195"/>
    <n v="-10251"/>
    <n v="-7532"/>
    <n v="-6755"/>
    <n v="-8287"/>
    <n v="-8469"/>
    <n v="-11064"/>
    <n v="-9970"/>
    <n v="-10840"/>
    <n v="-9432"/>
    <n v="-10019"/>
    <n v="-7566"/>
    <n v="-108380"/>
    <n v="-2453"/>
  </r>
  <r>
    <x v="1"/>
    <x v="1"/>
    <x v="0"/>
    <s v="2531200"/>
    <n v="400029"/>
    <s v="MD Practice Other Rev--Medicaid"/>
    <s v="Ortho/Sport Med-LW-Ortho Surg"/>
    <x v="0"/>
    <n v="1200"/>
    <n v="-2043"/>
    <n v="-3484"/>
    <n v="-3821"/>
    <n v="-3577"/>
    <n v="-1152"/>
    <n v="-2855"/>
    <n v="-2885"/>
    <n v="-4358"/>
    <n v="-3537"/>
    <n v="-2881"/>
    <n v="-3896"/>
    <n v="-2085"/>
    <n v="-36574"/>
    <n v="-1811"/>
  </r>
  <r>
    <x v="1"/>
    <x v="1"/>
    <x v="0"/>
    <s v="2531200"/>
    <n v="400029"/>
    <s v="MD Practice Other Rev--Comm Insurance"/>
    <s v="Ortho/Sport Med-LW-Ortho Surg"/>
    <x v="0"/>
    <n v="1300"/>
    <n v="-87"/>
    <n v="-530"/>
    <n v="-197"/>
    <n v="-1219"/>
    <n v="-912"/>
    <n v="-935"/>
    <n v="-919"/>
    <n v="-106"/>
    <n v="-495"/>
    <n v="-675"/>
    <n v="-212"/>
    <n v="-798"/>
    <n v="-7085"/>
    <n v="586"/>
  </r>
  <r>
    <x v="1"/>
    <x v="1"/>
    <x v="0"/>
    <s v="2531200"/>
    <n v="400029"/>
    <s v="MD Practice Other Rev--BCBS Comm"/>
    <s v="Ortho/Sport Med-LW-Ortho Surg"/>
    <x v="0"/>
    <n v="1301"/>
    <n v="-157"/>
    <n v="-2307"/>
    <n v="-1424"/>
    <n v="-1546"/>
    <n v="-998"/>
    <n v="-1290"/>
    <n v="-2344"/>
    <n v="-1786"/>
    <n v="-1409"/>
    <n v="-2769"/>
    <n v="-1253"/>
    <n v="-1045"/>
    <n v="-18328"/>
    <n v="-208"/>
  </r>
  <r>
    <x v="1"/>
    <x v="1"/>
    <x v="0"/>
    <s v="2531200"/>
    <n v="400029"/>
    <s v="MD Practice Other Rev--Managed Care"/>
    <s v="Ortho/Sport Med-LW-Ortho Surg"/>
    <x v="0"/>
    <n v="1400"/>
    <n v="-2889"/>
    <n v="-4058"/>
    <n v="-3286"/>
    <n v="-4686"/>
    <n v="-4981"/>
    <n v="-5099"/>
    <n v="-4213"/>
    <n v="-3940"/>
    <n v="-5169"/>
    <n v="-3979"/>
    <n v="-6368"/>
    <n v="-3272"/>
    <n v="-51940"/>
    <n v="-3096"/>
  </r>
  <r>
    <x v="1"/>
    <x v="1"/>
    <x v="0"/>
    <s v="2531200"/>
    <n v="400029"/>
    <s v="MD Practice Other Rev--Self Pay"/>
    <s v="Ortho/Sport Med-LW-Ortho Surg"/>
    <x v="0"/>
    <n v="1500"/>
    <n v="-101"/>
    <n v="-191"/>
    <n v="-144"/>
    <n v="0"/>
    <n v="0"/>
    <n v="-106"/>
    <n v="-9"/>
    <n v="0"/>
    <n v="0"/>
    <n v="-81"/>
    <n v="100"/>
    <n v="0"/>
    <n v="-532"/>
    <n v="100"/>
  </r>
  <r>
    <x v="1"/>
    <x v="1"/>
    <x v="0"/>
    <s v="2531200"/>
    <n v="400029"/>
    <s v="MD Practice Other Rev--Other"/>
    <s v="Ortho/Sport Med-LW-Ortho Surg"/>
    <x v="0"/>
    <n v="1700"/>
    <n v="-464"/>
    <n v="-855"/>
    <n v="-1274"/>
    <n v="-785"/>
    <n v="-505"/>
    <n v="-515"/>
    <n v="-817"/>
    <n v="-1016"/>
    <n v="-1005"/>
    <n v="-1271"/>
    <n v="-1320"/>
    <n v="-909"/>
    <n v="-10736"/>
    <n v="-411"/>
  </r>
  <r>
    <x v="1"/>
    <x v="1"/>
    <x v="0"/>
    <s v="2531200"/>
    <n v="400040"/>
    <s v="Physician Svcs Rev--Medicare"/>
    <s v="Ortho/Sport Med-LW-Ortho Surg"/>
    <x v="0"/>
    <n v="1100"/>
    <n v="-126520"/>
    <n v="-134472.25"/>
    <n v="-115616.75"/>
    <n v="-184280.75"/>
    <n v="-181903.5"/>
    <n v="-172188.75"/>
    <n v="-177492.5"/>
    <n v="-223769.75"/>
    <n v="-199423.75"/>
    <n v="-99623.25"/>
    <n v="-187423.75"/>
    <n v="-110957.5"/>
    <n v="-1913672.5"/>
    <n v="-76466.25"/>
  </r>
  <r>
    <x v="1"/>
    <x v="1"/>
    <x v="0"/>
    <s v="2531200"/>
    <n v="400040"/>
    <s v="Physician Svcs Rev--Medicaid"/>
    <s v="Ortho/Sport Med-LW-Ortho Surg"/>
    <x v="0"/>
    <n v="1200"/>
    <n v="-41610"/>
    <n v="-68705"/>
    <n v="-44815.25"/>
    <n v="-61975.5"/>
    <n v="-42818.75"/>
    <n v="-64728.75"/>
    <n v="-56342.5"/>
    <n v="-87611.25"/>
    <n v="-55280.75"/>
    <n v="-56149.25"/>
    <n v="-57018"/>
    <n v="-60664"/>
    <n v="-697719"/>
    <n v="3646"/>
  </r>
  <r>
    <x v="1"/>
    <x v="1"/>
    <x v="0"/>
    <s v="2531200"/>
    <n v="400040"/>
    <s v="Physician Svcs Rev--Comm Insurance"/>
    <s v="Ortho/Sport Med-LW-Ortho Surg"/>
    <x v="0"/>
    <n v="1300"/>
    <n v="-11499.75"/>
    <n v="-3081"/>
    <n v="-3830"/>
    <n v="-40570"/>
    <n v="-18728"/>
    <n v="-18178.75"/>
    <n v="-27553.75"/>
    <n v="-7291"/>
    <n v="-3173"/>
    <n v="-7379"/>
    <n v="-9337"/>
    <n v="-27042.75"/>
    <n v="-177664"/>
    <n v="17705.75"/>
  </r>
  <r>
    <x v="1"/>
    <x v="1"/>
    <x v="0"/>
    <s v="2531200"/>
    <n v="400040"/>
    <s v="Physician Svcs Rev--BCBS Comm"/>
    <s v="Ortho/Sport Med-LW-Ortho Surg"/>
    <x v="0"/>
    <n v="1301"/>
    <n v="-5919"/>
    <n v="-22520"/>
    <n v="-15465"/>
    <n v="-28400.75"/>
    <n v="-33025"/>
    <n v="-73176"/>
    <n v="-23383.75"/>
    <n v="-41202.75"/>
    <n v="-30611"/>
    <n v="-49595.25"/>
    <n v="-30008.5"/>
    <n v="-32857"/>
    <n v="-386164"/>
    <n v="2848.5"/>
  </r>
  <r>
    <x v="1"/>
    <x v="1"/>
    <x v="0"/>
    <s v="2531200"/>
    <n v="400040"/>
    <s v="Physician Svcs Rev--Managed Care"/>
    <s v="Ortho/Sport Med-LW-Ortho Surg"/>
    <x v="0"/>
    <n v="1400"/>
    <n v="-57593"/>
    <n v="-74090.5"/>
    <n v="-56853"/>
    <n v="-98789.5"/>
    <n v="-123486"/>
    <n v="-150407.25"/>
    <n v="-54804"/>
    <n v="-44384"/>
    <n v="-58395.75"/>
    <n v="-92441.75"/>
    <n v="-97466"/>
    <n v="-50862"/>
    <n v="-959572.75"/>
    <n v="-46604"/>
  </r>
  <r>
    <x v="1"/>
    <x v="1"/>
    <x v="0"/>
    <s v="2531200"/>
    <n v="400040"/>
    <s v="Physician Svcs Rev--Self Pay"/>
    <s v="Ortho/Sport Med-LW-Ortho Surg"/>
    <x v="0"/>
    <n v="1500"/>
    <n v="-450"/>
    <n v="-12531"/>
    <n v="-821"/>
    <n v="349"/>
    <n v="-496"/>
    <n v="756"/>
    <n v="6492"/>
    <n v="206"/>
    <n v="-652"/>
    <n v="-652"/>
    <n v="200"/>
    <n v="0"/>
    <n v="-7599"/>
    <n v="200"/>
  </r>
  <r>
    <x v="1"/>
    <x v="1"/>
    <x v="0"/>
    <s v="2531200"/>
    <n v="400040"/>
    <s v="Physician Svcs Rev--Other"/>
    <s v="Ortho/Sport Med-LW-Ortho Surg"/>
    <x v="0"/>
    <n v="1700"/>
    <n v="-18828"/>
    <n v="-16223"/>
    <n v="-10036.75"/>
    <n v="-31839.75"/>
    <n v="-31583"/>
    <n v="-7025"/>
    <n v="-18217"/>
    <n v="-41496.75"/>
    <n v="-23706.75"/>
    <n v="-12700"/>
    <n v="-52655.75"/>
    <n v="-3987"/>
    <n v="-268298.75"/>
    <n v="-48668.75"/>
  </r>
  <r>
    <x v="2"/>
    <x v="1"/>
    <x v="0"/>
    <s v="2531200"/>
    <n v="450029"/>
    <s v="Contr Allow--MD Other-Medicare"/>
    <s v="Ortho/Sport Med-LW-Ortho Surg"/>
    <x v="0"/>
    <n v="1100"/>
    <n v="5847.57"/>
    <n v="5508.95"/>
    <n v="5510.23"/>
    <n v="6623.26"/>
    <n v="3520.97"/>
    <n v="7256.18"/>
    <n v="5334.91"/>
    <n v="6182.48"/>
    <n v="7260.21"/>
    <n v="4420.96"/>
    <n v="7846.09"/>
    <n v="6181.91"/>
    <n v="71493.72"/>
    <n v="1664.1800000000003"/>
  </r>
  <r>
    <x v="2"/>
    <x v="1"/>
    <x v="0"/>
    <s v="2531200"/>
    <n v="450029"/>
    <s v="Contr Allow--MD Other-Medicaid"/>
    <s v="Ortho/Sport Med-LW-Ortho Surg"/>
    <x v="0"/>
    <n v="1200"/>
    <n v="1676.4"/>
    <n v="2549.69"/>
    <n v="3065.5"/>
    <n v="3282.35"/>
    <n v="873.48"/>
    <n v="1607.07"/>
    <n v="2216.2600000000002"/>
    <n v="3098.58"/>
    <n v="3000.32"/>
    <n v="1868.91"/>
    <n v="2609.81"/>
    <n v="2732.05"/>
    <n v="28580.420000000002"/>
    <n v="-122.24000000000024"/>
  </r>
  <r>
    <x v="2"/>
    <x v="1"/>
    <x v="0"/>
    <s v="2531200"/>
    <n v="450029"/>
    <s v="Contr Allow--MD Other-Comm Insurance"/>
    <s v="Ortho/Sport Med-LW-Ortho Surg"/>
    <x v="0"/>
    <n v="1300"/>
    <n v="110.57"/>
    <n v="108.06"/>
    <n v="132.41"/>
    <n v="404.46"/>
    <n v="353.38"/>
    <n v="591.9"/>
    <n v="367.39"/>
    <n v="121.01"/>
    <n v="56.49"/>
    <n v="142.55000000000001"/>
    <n v="434.42"/>
    <n v="319.06"/>
    <n v="3141.7000000000003"/>
    <n v="115.36000000000001"/>
  </r>
  <r>
    <x v="2"/>
    <x v="1"/>
    <x v="0"/>
    <s v="2531200"/>
    <n v="450029"/>
    <s v="Contr Allow--MD Other BCBS Comm"/>
    <s v="Ortho/Sport Med-LW-Ortho Surg"/>
    <x v="0"/>
    <n v="1301"/>
    <n v="80.5"/>
    <n v="398.1"/>
    <n v="344.12"/>
    <n v="506.17"/>
    <n v="333.89"/>
    <n v="356.11"/>
    <n v="293.04000000000002"/>
    <n v="685.13"/>
    <n v="526.35"/>
    <n v="272.64"/>
    <n v="794.02"/>
    <n v="471.88"/>
    <n v="5061.95"/>
    <n v="322.14"/>
  </r>
  <r>
    <x v="2"/>
    <x v="1"/>
    <x v="0"/>
    <s v="2531200"/>
    <n v="450029"/>
    <s v="Contr Allow--MD Other-Managed Care"/>
    <s v="Ortho/Sport Med-LW-Ortho Surg"/>
    <x v="0"/>
    <n v="1400"/>
    <n v="978.93"/>
    <n v="1617.99"/>
    <n v="1069.33"/>
    <n v="1632.9"/>
    <n v="2093.58"/>
    <n v="1504.74"/>
    <n v="1232.82"/>
    <n v="1635.1"/>
    <n v="2032.79"/>
    <n v="1448.96"/>
    <n v="2097.6799999999998"/>
    <n v="1409.18"/>
    <n v="18754"/>
    <n v="688.49999999999977"/>
  </r>
  <r>
    <x v="2"/>
    <x v="1"/>
    <x v="0"/>
    <s v="2531200"/>
    <n v="450029"/>
    <s v="Admin Adjust-MD Other-Self Pay"/>
    <s v="Ortho/Sport Med-LW-Ortho Surg"/>
    <x v="0"/>
    <n v="1600"/>
    <n v="103.61"/>
    <n v="151.88999999999999"/>
    <n v="53.39"/>
    <n v="63.05"/>
    <n v="0"/>
    <n v="42.33"/>
    <n v="29.9"/>
    <n v="-54.86"/>
    <n v="-16.55"/>
    <n v="22.38"/>
    <n v="-37"/>
    <n v="78.930000000000007"/>
    <n v="437.06999999999994"/>
    <n v="-115.93"/>
  </r>
  <r>
    <x v="2"/>
    <x v="1"/>
    <x v="0"/>
    <s v="2531200"/>
    <n v="450029"/>
    <s v="Contr Allow--MD Other-Other"/>
    <s v="Ortho/Sport Med-LW-Ortho Surg"/>
    <x v="0"/>
    <n v="1700"/>
    <n v="595.19000000000005"/>
    <n v="383.47"/>
    <n v="448.14"/>
    <n v="600.63"/>
    <n v="511.98"/>
    <n v="439.93"/>
    <n v="258.11"/>
    <n v="468.22"/>
    <n v="834.01"/>
    <n v="623.89"/>
    <n v="925.68"/>
    <n v="561.05999999999995"/>
    <n v="6650.3100000000013"/>
    <n v="364.62"/>
  </r>
  <r>
    <x v="2"/>
    <x v="1"/>
    <x v="0"/>
    <s v="2531200"/>
    <n v="450040"/>
    <s v="Contr Allow--Phys Svcs--Mcare"/>
    <s v="Ortho/Sport Med-LW-Ortho Surg"/>
    <x v="0"/>
    <n v="1100"/>
    <n v="114759.54"/>
    <n v="117980.24"/>
    <n v="61099"/>
    <n v="122709.23"/>
    <n v="150505.51999999999"/>
    <n v="152069.26"/>
    <n v="96144.63"/>
    <n v="161908.94"/>
    <n v="152698.57999999999"/>
    <n v="147610.67000000001"/>
    <n v="96572.84"/>
    <n v="123174.35"/>
    <n v="1497232.8000000003"/>
    <n v="-26601.510000000009"/>
  </r>
  <r>
    <x v="2"/>
    <x v="1"/>
    <x v="0"/>
    <s v="2531200"/>
    <n v="450040"/>
    <s v="Contr Allow--Phys Svcs--Mcaid"/>
    <s v="Ortho/Sport Med-LW-Ortho Surg"/>
    <x v="0"/>
    <n v="1200"/>
    <n v="37196.550000000003"/>
    <n v="38546.07"/>
    <n v="62481.85"/>
    <n v="26228.37"/>
    <n v="37459.919999999998"/>
    <n v="67211.740000000005"/>
    <n v="39947.440000000002"/>
    <n v="52246.95"/>
    <n v="86723.1"/>
    <n v="39712.21"/>
    <n v="46559.58"/>
    <n v="32607.01"/>
    <n v="566920.79"/>
    <n v="13952.570000000003"/>
  </r>
  <r>
    <x v="2"/>
    <x v="1"/>
    <x v="0"/>
    <s v="2531200"/>
    <n v="450040"/>
    <s v="Contr Allow--Phys Svcs--Comm Insurance"/>
    <s v="Ortho/Sport Med-LW-Ortho Surg"/>
    <x v="0"/>
    <n v="1300"/>
    <n v="9598.1299999999992"/>
    <n v="1842.34"/>
    <n v="2175.67"/>
    <n v="10069.200000000001"/>
    <n v="13992.33"/>
    <n v="11846.59"/>
    <n v="6751.22"/>
    <n v="8758.16"/>
    <n v="375.51"/>
    <n v="1482.07"/>
    <n v="5566.81"/>
    <n v="6869.17"/>
    <n v="79327.199999999997"/>
    <n v="-1302.3599999999997"/>
  </r>
  <r>
    <x v="2"/>
    <x v="1"/>
    <x v="0"/>
    <s v="2531200"/>
    <n v="450040"/>
    <s v="Contr Allow--Phys Svcs--BCBS Comm Ins"/>
    <s v="Ortho/Sport Med-LW-Ortho Surg"/>
    <x v="0"/>
    <n v="1301"/>
    <n v="9849.3700000000008"/>
    <n v="5836.4"/>
    <n v="2775.82"/>
    <n v="8260.2199999999993"/>
    <n v="27726.66"/>
    <n v="21095.88"/>
    <n v="24234.55"/>
    <n v="12792.52"/>
    <n v="23746.26"/>
    <n v="1241.28"/>
    <n v="28704.17"/>
    <n v="32312.45"/>
    <n v="198575.58000000002"/>
    <n v="-3608.2800000000025"/>
  </r>
  <r>
    <x v="2"/>
    <x v="1"/>
    <x v="0"/>
    <s v="2531200"/>
    <n v="450040"/>
    <s v="Contr Allow--Phys Svcs--Managed Care"/>
    <s v="Ortho/Sport Med-LW-Ortho Surg"/>
    <x v="0"/>
    <n v="1400"/>
    <n v="44786.78"/>
    <n v="40989.35"/>
    <n v="23457.98"/>
    <n v="37828.480000000003"/>
    <n v="58062.879999999997"/>
    <n v="55509.440000000002"/>
    <n v="58296.33"/>
    <n v="55279.83"/>
    <n v="48304.5"/>
    <n v="43225.03"/>
    <n v="47076.15"/>
    <n v="49759.91"/>
    <n v="562576.66"/>
    <n v="-2683.760000000002"/>
  </r>
  <r>
    <x v="2"/>
    <x v="1"/>
    <x v="0"/>
    <s v="2531200"/>
    <n v="450040"/>
    <s v="Contr Allow--Phys Svcs--BCBS Mgnd Care"/>
    <s v="Ortho/Sport Med-LW-Ortho Surg"/>
    <x v="0"/>
    <n v="1401"/>
    <n v="-40334.61"/>
    <n v="5239.75"/>
    <n v="-4169.57"/>
    <n v="58771.09"/>
    <n v="-12126.07"/>
    <n v="26738.06"/>
    <n v="8111.9"/>
    <n v="22480.400000000001"/>
    <n v="-42865.13"/>
    <n v="-26264.69"/>
    <n v="46784.05"/>
    <n v="-52658.83"/>
    <n v="-10293.649999999994"/>
    <n v="99442.880000000005"/>
  </r>
  <r>
    <x v="2"/>
    <x v="1"/>
    <x v="0"/>
    <s v="2531200"/>
    <n v="450040"/>
    <s v="Prompt Pay Disc-Phys Svcs-Self Pay"/>
    <s v="Ortho/Sport Med-LW-Ortho Surg"/>
    <x v="0"/>
    <n v="1500"/>
    <n v="0"/>
    <n v="84.35"/>
    <n v="0"/>
    <n v="0"/>
    <n v="0"/>
    <n v="0"/>
    <n v="0"/>
    <n v="0"/>
    <n v="0"/>
    <n v="0"/>
    <n v="0"/>
    <n v="0"/>
    <n v="84.35"/>
    <n v="0"/>
  </r>
  <r>
    <x v="2"/>
    <x v="1"/>
    <x v="0"/>
    <s v="2531200"/>
    <n v="450040"/>
    <s v="Admin Adjust-Phys Svcs-Self Pay"/>
    <s v="Ortho/Sport Med-LW-Ortho Surg"/>
    <x v="0"/>
    <n v="1600"/>
    <n v="129.97999999999999"/>
    <n v="10259.040000000001"/>
    <n v="9406.1200000000008"/>
    <n v="834.87"/>
    <n v="152.16"/>
    <n v="-1951.96"/>
    <n v="-1066.3699999999999"/>
    <n v="-40.619999999999997"/>
    <n v="669.97"/>
    <n v="-191.54"/>
    <n v="313.51"/>
    <n v="5282.55"/>
    <n v="23797.71"/>
    <n v="-4969.04"/>
  </r>
  <r>
    <x v="2"/>
    <x v="1"/>
    <x v="0"/>
    <s v="2531200"/>
    <n v="450040"/>
    <s v="Contr Allow--Phys Svcs--Other"/>
    <s v="Ortho/Sport Med-LW-Ortho Surg"/>
    <x v="0"/>
    <n v="1700"/>
    <n v="20407.68"/>
    <n v="14513.26"/>
    <n v="23889.39"/>
    <n v="2580.6999999999998"/>
    <n v="26011.95"/>
    <n v="12177.76"/>
    <n v="12661.63"/>
    <n v="12826.62"/>
    <n v="12625.24"/>
    <n v="26918.19"/>
    <n v="12872.17"/>
    <n v="22529.87"/>
    <n v="200014.46"/>
    <n v="-9657.6999999999989"/>
  </r>
  <r>
    <x v="3"/>
    <x v="1"/>
    <x v="0"/>
    <s v="2531200"/>
    <n v="470040"/>
    <s v="Charity Care-Physician Svcs"/>
    <s v="Ortho/Sport Med-LW-Ortho Surg"/>
    <x v="0"/>
    <m/>
    <n v="-1674.31"/>
    <n v="2261.5300000000002"/>
    <n v="-239.72"/>
    <n v="3827.09"/>
    <n v="898.51"/>
    <n v="3448.52"/>
    <n v="1266.08"/>
    <n v="2119.5100000000002"/>
    <n v="1631.85"/>
    <n v="3538.17"/>
    <n v="5077.08"/>
    <n v="779.52"/>
    <n v="22933.830000000005"/>
    <n v="4297.5599999999995"/>
  </r>
  <r>
    <x v="4"/>
    <x v="1"/>
    <x v="0"/>
    <s v="2531200"/>
    <n v="490010"/>
    <s v="Provision for Bad Debts"/>
    <s v="Ortho/Sport Med-LW-Ortho Surg"/>
    <x v="0"/>
    <m/>
    <n v="-2289.64"/>
    <n v="1364.11"/>
    <n v="6210.51"/>
    <n v="5869.07"/>
    <n v="2826.53"/>
    <n v="1549.55"/>
    <n v="-2059.12"/>
    <n v="372.44"/>
    <n v="-1687.02"/>
    <n v="-3032.1"/>
    <n v="2936.57"/>
    <n v="-2830.27"/>
    <n v="9230.6299999999974"/>
    <n v="5766.84"/>
  </r>
  <r>
    <x v="14"/>
    <x v="1"/>
    <x v="0"/>
    <s v="2531200"/>
    <n v="600050"/>
    <s v="Miscellaneous Revenue"/>
    <s v="Ortho/Sport Med-LW-Ortho Surg"/>
    <x v="0"/>
    <m/>
    <n v="0"/>
    <n v="-9400"/>
    <n v="-6600"/>
    <n v="-7900"/>
    <n v="-17300"/>
    <n v="-5300"/>
    <n v="-5300"/>
    <n v="-7900"/>
    <n v="-7900"/>
    <n v="-5300"/>
    <n v="-5300"/>
    <n v="-3000"/>
    <n v="-81200"/>
    <n v="-2300"/>
  </r>
  <r>
    <x v="5"/>
    <x v="1"/>
    <x v="0"/>
    <s v="2531200"/>
    <n v="700022"/>
    <s v="Salaries-Physician-Productive"/>
    <s v="Ortho/Sport Med-LW-Ortho Surg"/>
    <x v="0"/>
    <m/>
    <n v="54328.36"/>
    <n v="116800"/>
    <n v="59087.92"/>
    <n v="77161.87"/>
    <n v="73400.37"/>
    <n v="45993.64"/>
    <n v="61530.31"/>
    <n v="72534.289999999994"/>
    <n v="48309.15"/>
    <n v="66213.72"/>
    <n v="87433.36"/>
    <n v="26603.919999999998"/>
    <n v="789396.91"/>
    <n v="60829.440000000002"/>
  </r>
  <r>
    <x v="5"/>
    <x v="1"/>
    <x v="0"/>
    <s v="2531200"/>
    <n v="700022"/>
    <s v="Salaries-Physician-Other"/>
    <s v="Ortho/Sport Med-LW-Ortho Surg"/>
    <x v="0"/>
    <n v="2000"/>
    <n v="0"/>
    <n v="9400"/>
    <n v="6600"/>
    <n v="7900"/>
    <n v="17300"/>
    <n v="5300"/>
    <n v="5300"/>
    <n v="7900"/>
    <n v="7900"/>
    <n v="5300"/>
    <n v="5300"/>
    <n v="3000"/>
    <n v="81200"/>
    <n v="2300"/>
  </r>
  <r>
    <x v="5"/>
    <x v="1"/>
    <x v="0"/>
    <s v="2531200"/>
    <n v="700022"/>
    <s v="Salaries-Physician-Provider Incentive"/>
    <s v="Ortho/Sport Med-LW-Ortho Surg"/>
    <x v="0"/>
    <n v="4003"/>
    <n v="7665.69"/>
    <n v="-56260.67"/>
    <n v="-11527.67"/>
    <n v="-11527.67"/>
    <n v="-11527.67"/>
    <n v="-8533.27"/>
    <n v="0"/>
    <n v="0"/>
    <n v="0"/>
    <n v="0"/>
    <n v="0"/>
    <n v="0"/>
    <n v="-91711.26"/>
    <n v="0"/>
  </r>
  <r>
    <x v="5"/>
    <x v="1"/>
    <x v="0"/>
    <s v="2531200"/>
    <n v="700024"/>
    <s v="Salaries-Advanced Practice Clinician-Productive"/>
    <s v="Ortho/Sport Med-LW-Ortho Surg"/>
    <x v="0"/>
    <m/>
    <n v="4530.5600000000004"/>
    <n v="21341.599999999999"/>
    <n v="11033.68"/>
    <n v="14927.92"/>
    <n v="13890.08"/>
    <n v="11269.84"/>
    <n v="13935.39"/>
    <n v="12723.91"/>
    <n v="12387.38"/>
    <n v="9719.31"/>
    <n v="15167.6"/>
    <n v="10253.73"/>
    <n v="151181"/>
    <n v="4913.8700000000008"/>
  </r>
  <r>
    <x v="5"/>
    <x v="1"/>
    <x v="0"/>
    <s v="2531200"/>
    <n v="700026"/>
    <s v="Salaries-RN-Productive"/>
    <s v="Ortho/Sport Med-LW-Ortho Surg"/>
    <x v="0"/>
    <m/>
    <n v="0"/>
    <n v="0"/>
    <n v="0"/>
    <n v="121.95"/>
    <n v="194.21"/>
    <n v="0"/>
    <n v="0"/>
    <n v="0"/>
    <n v="0"/>
    <n v="0"/>
    <n v="512.64"/>
    <n v="-256.32"/>
    <n v="572.48"/>
    <n v="768.96"/>
  </r>
  <r>
    <x v="5"/>
    <x v="1"/>
    <x v="0"/>
    <s v="2531200"/>
    <n v="700030"/>
    <s v="Salaries-LPN-Productive"/>
    <s v="Ortho/Sport Med-LW-Ortho Surg"/>
    <x v="0"/>
    <m/>
    <n v="3762.36"/>
    <n v="4079.42"/>
    <n v="3694.86"/>
    <n v="4565.84"/>
    <n v="3663.96"/>
    <n v="2687.94"/>
    <n v="3766.66"/>
    <n v="3787.08"/>
    <n v="3855.96"/>
    <n v="1929.85"/>
    <n v="5546.59"/>
    <n v="3638.03"/>
    <n v="44978.55"/>
    <n v="1908.56"/>
  </r>
  <r>
    <x v="5"/>
    <x v="1"/>
    <x v="0"/>
    <s v="2531200"/>
    <n v="700030"/>
    <s v="Salaries-LPN-OT"/>
    <s v="Ortho/Sport Med-LW-Ortho Surg"/>
    <x v="0"/>
    <n v="1000"/>
    <n v="65.099999999999994"/>
    <n v="-10.85"/>
    <n v="40.69"/>
    <n v="20.2"/>
    <n v="247.6"/>
    <n v="71.28"/>
    <n v="69.52"/>
    <n v="18.79"/>
    <n v="56.35"/>
    <n v="9.4"/>
    <n v="18.78"/>
    <n v="0"/>
    <n v="606.8599999999999"/>
    <n v="18.78"/>
  </r>
  <r>
    <x v="5"/>
    <x v="1"/>
    <x v="0"/>
    <s v="2531200"/>
    <n v="700032"/>
    <s v="Salaries-Other Pat Care Providers-Productive"/>
    <s v="Ortho/Sport Med-LW-Ortho Surg"/>
    <x v="0"/>
    <m/>
    <n v="2774.05"/>
    <n v="3504.01"/>
    <n v="3263.23"/>
    <n v="4085.61"/>
    <n v="3915.16"/>
    <n v="2361.4499999999998"/>
    <n v="4497.71"/>
    <n v="4592.8900000000003"/>
    <n v="2123.04"/>
    <n v="4251.37"/>
    <n v="4033.57"/>
    <n v="4515.49"/>
    <n v="43917.58"/>
    <n v="-481.91999999999962"/>
  </r>
  <r>
    <x v="5"/>
    <x v="1"/>
    <x v="0"/>
    <s v="2531200"/>
    <n v="700032"/>
    <s v="Salaries-Other Pat Care Providers-OT"/>
    <s v="Ortho/Sport Med-LW-Ortho Surg"/>
    <x v="0"/>
    <n v="1000"/>
    <n v="0"/>
    <n v="0"/>
    <n v="0"/>
    <n v="0"/>
    <n v="84.08"/>
    <n v="0"/>
    <n v="276.82"/>
    <n v="574.20000000000005"/>
    <n v="1185.3900000000001"/>
    <n v="1141.54"/>
    <n v="84.69"/>
    <n v="-200.09"/>
    <n v="3146.63"/>
    <n v="284.77999999999997"/>
  </r>
  <r>
    <x v="5"/>
    <x v="1"/>
    <x v="0"/>
    <s v="2531200"/>
    <n v="700062"/>
    <s v="Salaries-Physician-Non-productive"/>
    <s v="Ortho/Sport Med-LW-Ortho Surg"/>
    <x v="0"/>
    <m/>
    <n v="14362.67"/>
    <n v="1602.37"/>
    <n v="10427.280000000001"/>
    <n v="2780.6"/>
    <n v="695.16"/>
    <n v="24507.56"/>
    <n v="15803.47"/>
    <n v="0"/>
    <n v="26843.4"/>
    <n v="12526.92"/>
    <n v="0"/>
    <n v="50092.08"/>
    <n v="159641.51"/>
    <n v="-50092.08"/>
  </r>
  <r>
    <x v="5"/>
    <x v="1"/>
    <x v="0"/>
    <s v="2531200"/>
    <n v="700062"/>
    <s v="Salaries-Physician-NonProd-Other"/>
    <s v="Ortho/Sport Med-LW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1200"/>
    <n v="700064"/>
    <s v="Salaries-Advanced Practice Clinician-Non-Productive"/>
    <s v="Ortho/Sport Med-LW-Ortho Surg"/>
    <x v="0"/>
    <m/>
    <n v="7928.48"/>
    <n v="731.76"/>
    <n v="1947.12"/>
    <n v="0"/>
    <n v="0"/>
    <n v="1951.76"/>
    <n v="567.55999999999995"/>
    <n v="0"/>
    <n v="952.87"/>
    <n v="4256.17"/>
    <n v="-444.67"/>
    <n v="2563.4299999999998"/>
    <n v="20454.480000000003"/>
    <n v="-3008.1"/>
  </r>
  <r>
    <x v="5"/>
    <x v="1"/>
    <x v="0"/>
    <s v="2531200"/>
    <n v="700070"/>
    <s v="Salaries-LPN-Non-productive"/>
    <s v="Ortho/Sport Med-LW-Ortho Surg"/>
    <x v="0"/>
    <m/>
    <n v="349.6"/>
    <n v="0"/>
    <n v="192.88"/>
    <n v="0"/>
    <n v="737.8"/>
    <n v="620.24"/>
    <n v="250.5"/>
    <n v="180.34"/>
    <n v="0"/>
    <n v="2246.0500000000002"/>
    <n v="-924.84"/>
    <n v="275.51"/>
    <n v="3928.08"/>
    <n v="-1200.3499999999999"/>
  </r>
  <r>
    <x v="5"/>
    <x v="1"/>
    <x v="0"/>
    <s v="2531200"/>
    <n v="700070"/>
    <s v="Salaries-LPN-NonProd-Other"/>
    <s v="Ortho/Sport Med-LW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1200"/>
    <n v="700072"/>
    <s v="Salaries-Other Pat Care Providers-Non-productive"/>
    <s v="Ortho/Sport Med-LW-Ortho Surg"/>
    <x v="0"/>
    <m/>
    <n v="714.26"/>
    <n v="417.49"/>
    <n v="100.6"/>
    <n v="201.2"/>
    <n v="0"/>
    <n v="1331.26"/>
    <n v="326.94"/>
    <n v="285.31"/>
    <n v="2541.9"/>
    <n v="570.63"/>
    <n v="1063.44"/>
    <n v="-337.2"/>
    <n v="7215.8300000000008"/>
    <n v="1400.64"/>
  </r>
  <r>
    <x v="5"/>
    <x v="1"/>
    <x v="0"/>
    <s v="2531200"/>
    <n v="700072"/>
    <s v="Salaries-Other Pat Care Providers-NonProd-Other"/>
    <s v="Ortho/Sport Med-LW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1200"/>
    <n v="700084"/>
    <s v="Accrued PTO"/>
    <s v="Ortho/Sport Med-LW-Ortho Surg"/>
    <x v="0"/>
    <m/>
    <n v="-187.39"/>
    <n v="405.14"/>
    <n v="416.81"/>
    <n v="707.38"/>
    <n v="106.58"/>
    <n v="-586.75"/>
    <n v="768.41"/>
    <n v="339.4"/>
    <n v="546.91"/>
    <n v="-1523.4"/>
    <n v="278.83999999999997"/>
    <n v="827.21"/>
    <n v="2099.1399999999994"/>
    <n v="-548.37000000000012"/>
  </r>
  <r>
    <x v="6"/>
    <x v="1"/>
    <x v="0"/>
    <s v="2531200"/>
    <n v="713010"/>
    <s v="Benefits-FICA/Medicare"/>
    <s v="Ortho/Sport Med-LW-Ortho Surg"/>
    <x v="0"/>
    <m/>
    <n v="2509.54"/>
    <n v="3991.36"/>
    <n v="2535.86"/>
    <n v="1891.83"/>
    <n v="1928.41"/>
    <n v="4429.93"/>
    <n v="7642"/>
    <n v="3280.73"/>
    <n v="2817.58"/>
    <n v="2945.52"/>
    <n v="3141.82"/>
    <n v="2633.53"/>
    <n v="39748.109999999993"/>
    <n v="508.28999999999996"/>
  </r>
  <r>
    <x v="6"/>
    <x v="1"/>
    <x v="0"/>
    <s v="2531200"/>
    <n v="713090"/>
    <s v="Benefits-Allocated Amounts"/>
    <s v="Ortho/Sport Med-LW-Ortho Surg"/>
    <x v="0"/>
    <m/>
    <n v="0"/>
    <n v="-0.01"/>
    <n v="0.01"/>
    <n v="-0.01"/>
    <n v="0"/>
    <n v="0.01"/>
    <n v="-0.01"/>
    <n v="0"/>
    <n v="33637.43"/>
    <n v="4133.18"/>
    <n v="4376.3900000000003"/>
    <n v="4173"/>
    <n v="46319.99"/>
    <n v="203.39000000000033"/>
  </r>
  <r>
    <x v="6"/>
    <x v="1"/>
    <x v="0"/>
    <s v="2531200"/>
    <n v="713092"/>
    <s v="Allocated Benefits-Physician"/>
    <s v="Ortho/Sport Med-LW-Ortho Surg"/>
    <x v="0"/>
    <m/>
    <n v="3662.56"/>
    <n v="3371.6"/>
    <n v="3300.28"/>
    <n v="3538.5"/>
    <n v="3635.39"/>
    <n v="3468.17"/>
    <n v="4571.66"/>
    <n v="4690.1000000000004"/>
    <n v="-11745.91"/>
    <n v="2272.25"/>
    <n v="2405.9499999999998"/>
    <n v="2294.13"/>
    <n v="25464.680000000004"/>
    <n v="111.81999999999971"/>
  </r>
  <r>
    <x v="6"/>
    <x v="1"/>
    <x v="0"/>
    <s v="2531200"/>
    <n v="713093"/>
    <s v="Allocated Benefits-Advanced Practice Clinician"/>
    <s v="Ortho/Sport Med-LW-Ortho Surg"/>
    <x v="0"/>
    <m/>
    <n v="3662.56"/>
    <n v="3371.6"/>
    <n v="3300.28"/>
    <n v="3538.5"/>
    <n v="3635.39"/>
    <n v="3468.17"/>
    <n v="4571.66"/>
    <n v="4690.1000000000004"/>
    <n v="-11745.91"/>
    <n v="2272.25"/>
    <n v="2405.9499999999998"/>
    <n v="2294.13"/>
    <n v="25464.680000000004"/>
    <n v="111.81999999999971"/>
  </r>
  <r>
    <x v="6"/>
    <x v="1"/>
    <x v="0"/>
    <s v="2531200"/>
    <n v="713096"/>
    <s v="Employee Recognition"/>
    <s v="Ortho/Sport Med-LW-Ortho Surg"/>
    <x v="0"/>
    <n v="1017"/>
    <n v="0"/>
    <n v="0"/>
    <n v="0"/>
    <n v="0"/>
    <n v="0"/>
    <n v="0"/>
    <n v="0"/>
    <n v="0"/>
    <n v="0"/>
    <n v="0"/>
    <n v="0"/>
    <n v="154.08000000000001"/>
    <n v="154.08000000000001"/>
    <n v="-154.08000000000001"/>
  </r>
  <r>
    <x v="7"/>
    <x v="1"/>
    <x v="0"/>
    <s v="2531200"/>
    <n v="718040"/>
    <s v="Contract Svcs-Laboratory"/>
    <s v="Ortho/Sport Med-LW-Ortho Surg"/>
    <x v="0"/>
    <m/>
    <n v="0"/>
    <n v="0"/>
    <n v="0"/>
    <n v="0"/>
    <n v="0"/>
    <n v="0"/>
    <n v="0"/>
    <n v="0"/>
    <n v="0"/>
    <n v="71.2"/>
    <n v="0"/>
    <n v="0"/>
    <n v="71.2"/>
    <n v="0"/>
  </r>
  <r>
    <x v="7"/>
    <x v="1"/>
    <x v="0"/>
    <s v="2531200"/>
    <n v="718050"/>
    <s v="Miscellaneous Purchased Svcs"/>
    <s v="Ortho/Sport Med-LW-Ortho Surg"/>
    <x v="0"/>
    <n v="1020"/>
    <n v="33.82"/>
    <n v="-36.25"/>
    <n v="35.96"/>
    <n v="25.58"/>
    <n v="52.79"/>
    <n v="27.37"/>
    <n v="35.97"/>
    <n v="33.15"/>
    <n v="45.72"/>
    <n v="2.99"/>
    <n v="59.31"/>
    <n v="38.74"/>
    <n v="355.15000000000003"/>
    <n v="20.57"/>
  </r>
  <r>
    <x v="7"/>
    <x v="1"/>
    <x v="0"/>
    <s v="2531200"/>
    <n v="718050"/>
    <s v="Translation Services"/>
    <s v="Ortho/Sport Med-LW-Ortho Surg"/>
    <x v="0"/>
    <n v="1025"/>
    <n v="0"/>
    <n v="0"/>
    <n v="0"/>
    <n v="0"/>
    <n v="0"/>
    <n v="0"/>
    <n v="224.69"/>
    <n v="0"/>
    <n v="0"/>
    <n v="0"/>
    <n v="0"/>
    <n v="0"/>
    <n v="224.69"/>
    <n v="0"/>
  </r>
  <r>
    <x v="7"/>
    <x v="1"/>
    <x v="0"/>
    <s v="2531200"/>
    <n v="718050"/>
    <s v="Purchased Srvcs--Medical Waste"/>
    <s v="Ortho/Sport Med-LW-Ortho Surg"/>
    <x v="0"/>
    <n v="1027"/>
    <n v="10.36"/>
    <n v="0"/>
    <n v="0"/>
    <n v="0"/>
    <n v="0"/>
    <n v="0"/>
    <n v="0"/>
    <n v="0"/>
    <n v="0"/>
    <n v="0"/>
    <n v="0"/>
    <n v="0"/>
    <n v="10.36"/>
    <n v="0"/>
  </r>
  <r>
    <x v="11"/>
    <x v="1"/>
    <x v="0"/>
    <s v="2531200"/>
    <n v="721010"/>
    <s v="Supplies-Medical - Billable"/>
    <s v="Ortho/Sport Med-LW-Ortho Surg"/>
    <x v="0"/>
    <m/>
    <n v="0"/>
    <n v="0"/>
    <n v="0"/>
    <n v="195.57"/>
    <n v="0"/>
    <n v="86.92"/>
    <n v="43.46"/>
    <n v="0"/>
    <n v="0"/>
    <n v="0"/>
    <n v="0"/>
    <n v="86.92"/>
    <n v="412.87"/>
    <n v="-86.92"/>
  </r>
  <r>
    <x v="11"/>
    <x v="1"/>
    <x v="0"/>
    <s v="2531200"/>
    <n v="721410"/>
    <s v="Supplies-Medical - Nonbillable"/>
    <s v="Ortho/Sport Med-LW-Ortho Surg"/>
    <x v="0"/>
    <m/>
    <n v="1303.26"/>
    <n v="354.14"/>
    <n v="612.21"/>
    <n v="753.21"/>
    <n v="1315.75"/>
    <n v="1032.73"/>
    <n v="660.13"/>
    <n v="817.93"/>
    <n v="0"/>
    <n v="681.96"/>
    <n v="0"/>
    <n v="1230.49"/>
    <n v="8761.81"/>
    <n v="-1230.49"/>
  </r>
  <r>
    <x v="11"/>
    <x v="1"/>
    <x v="0"/>
    <s v="2531200"/>
    <n v="721830"/>
    <s v="Supplies-Office"/>
    <s v="Ortho/Sport Med-LW-Ortho Surg"/>
    <x v="0"/>
    <m/>
    <n v="0"/>
    <n v="0"/>
    <n v="0"/>
    <n v="0"/>
    <n v="0"/>
    <n v="0"/>
    <n v="0"/>
    <n v="0"/>
    <n v="0"/>
    <n v="0"/>
    <n v="0"/>
    <n v="175.81"/>
    <n v="175.81"/>
    <n v="-175.81"/>
  </r>
  <r>
    <x v="11"/>
    <x v="1"/>
    <x v="0"/>
    <s v="2531200"/>
    <n v="722000"/>
    <s v="Supplies-Freight Expense"/>
    <s v="Ortho/Sport Med-LW-Ortho Surg"/>
    <x v="0"/>
    <m/>
    <n v="0"/>
    <n v="0"/>
    <n v="0"/>
    <n v="0"/>
    <n v="0"/>
    <n v="0"/>
    <n v="0"/>
    <n v="0"/>
    <n v="0"/>
    <n v="0"/>
    <n v="0"/>
    <n v="11.25"/>
    <n v="11.25"/>
    <n v="-11.25"/>
  </r>
  <r>
    <x v="12"/>
    <x v="1"/>
    <x v="0"/>
    <s v="2531200"/>
    <n v="730020"/>
    <s v="Rental and Leases-Equipment (DO NOT USE)"/>
    <s v="Ortho/Sport Med-LW-Ortho Surg"/>
    <x v="0"/>
    <m/>
    <n v="0"/>
    <n v="5.9"/>
    <n v="0"/>
    <n v="0"/>
    <n v="5.9"/>
    <n v="0"/>
    <n v="0"/>
    <n v="0"/>
    <n v="0"/>
    <n v="0"/>
    <n v="0"/>
    <n v="0"/>
    <n v="11.8"/>
    <n v="0"/>
  </r>
  <r>
    <x v="0"/>
    <x v="1"/>
    <x v="0"/>
    <s v="2531200"/>
    <n v="740022"/>
    <s v="Education-Physician"/>
    <s v="Ortho/Sport Med-LW-Ortho Surg"/>
    <x v="0"/>
    <m/>
    <n v="0"/>
    <n v="0"/>
    <n v="0"/>
    <n v="0"/>
    <n v="0"/>
    <n v="450"/>
    <n v="0"/>
    <n v="0"/>
    <n v="0"/>
    <n v="0"/>
    <n v="0"/>
    <n v="0"/>
    <n v="450"/>
    <n v="0"/>
  </r>
  <r>
    <x v="0"/>
    <x v="1"/>
    <x v="0"/>
    <s v="2531200"/>
    <n v="740023"/>
    <s v="Education-Advanced Practice Clinician"/>
    <s v="Ortho/Sport Med-LW-Ortho Surg"/>
    <x v="0"/>
    <m/>
    <n v="0"/>
    <n v="0"/>
    <n v="0"/>
    <n v="0"/>
    <n v="0"/>
    <n v="0"/>
    <n v="0"/>
    <n v="0"/>
    <n v="0"/>
    <n v="0"/>
    <n v="899"/>
    <n v="0"/>
    <n v="899"/>
    <n v="899"/>
  </r>
  <r>
    <x v="8"/>
    <x v="1"/>
    <x v="0"/>
    <s v="2531200"/>
    <n v="741012"/>
    <s v="Physician Liab Insurance-CHI Program"/>
    <s v="Ortho/Sport Med-LW-Ortho Surg"/>
    <x v="0"/>
    <m/>
    <n v="2216.77"/>
    <n v="2216.77"/>
    <n v="2216.77"/>
    <n v="2216.77"/>
    <n v="2216.7800000000002"/>
    <n v="2216.77"/>
    <n v="2216.7800000000002"/>
    <n v="2216.77"/>
    <n v="2216.7800000000002"/>
    <n v="2216.7800000000002"/>
    <n v="2216.7800000000002"/>
    <n v="2216.7800000000002"/>
    <n v="26601.299999999996"/>
    <n v="0"/>
  </r>
  <r>
    <x v="0"/>
    <x v="1"/>
    <x v="0"/>
    <s v="2531200"/>
    <n v="743020"/>
    <s v="Dues--Individual"/>
    <s v="Ortho/Sport Med-LW-Ortho Surg"/>
    <x v="0"/>
    <m/>
    <n v="0"/>
    <n v="0"/>
    <n v="0"/>
    <n v="0"/>
    <n v="0"/>
    <n v="0"/>
    <n v="0"/>
    <n v="660"/>
    <n v="0"/>
    <n v="0"/>
    <n v="0"/>
    <n v="0"/>
    <n v="660"/>
    <n v="0"/>
  </r>
  <r>
    <x v="0"/>
    <x v="1"/>
    <x v="0"/>
    <s v="2531200"/>
    <n v="743022"/>
    <s v="Dues-Physician"/>
    <s v="Ortho/Sport Med-LW-Ortho Surg"/>
    <x v="0"/>
    <m/>
    <n v="0"/>
    <n v="0"/>
    <n v="0"/>
    <n v="0"/>
    <n v="0"/>
    <n v="1595"/>
    <n v="0"/>
    <n v="370"/>
    <n v="0"/>
    <n v="0"/>
    <n v="0"/>
    <n v="0"/>
    <n v="1965"/>
    <n v="0"/>
  </r>
  <r>
    <x v="0"/>
    <x v="1"/>
    <x v="0"/>
    <s v="2531200"/>
    <n v="743023"/>
    <s v="Dues-Advanced Practice Clinician"/>
    <s v="Ortho/Sport Med-LW-Ortho Surg"/>
    <x v="0"/>
    <m/>
    <n v="0"/>
    <n v="0"/>
    <n v="0"/>
    <n v="0"/>
    <n v="0"/>
    <n v="0"/>
    <n v="0"/>
    <n v="0"/>
    <n v="0"/>
    <n v="295"/>
    <n v="0"/>
    <n v="0"/>
    <n v="295"/>
    <n v="0"/>
  </r>
  <r>
    <x v="0"/>
    <x v="1"/>
    <x v="0"/>
    <s v="2531200"/>
    <n v="749510"/>
    <s v="Miscellaneous Expenses"/>
    <s v="Ortho/Sport Med-LW-Ortho Surg"/>
    <x v="0"/>
    <m/>
    <n v="-400"/>
    <n v="0"/>
    <n v="0"/>
    <n v="0"/>
    <n v="0"/>
    <n v="0"/>
    <n v="0"/>
    <n v="0"/>
    <n v="0"/>
    <n v="0"/>
    <n v="0"/>
    <n v="285.63"/>
    <n v="-114.37"/>
    <n v="-285.63"/>
  </r>
  <r>
    <x v="0"/>
    <x v="1"/>
    <x v="0"/>
    <s v="2531200"/>
    <n v="749510"/>
    <s v="Licenses"/>
    <s v="Ortho/Sport Med-LW-Ortho Surg"/>
    <x v="0"/>
    <n v="1002"/>
    <n v="0"/>
    <n v="0"/>
    <n v="0"/>
    <n v="0"/>
    <n v="0"/>
    <n v="0"/>
    <n v="0"/>
    <n v="0"/>
    <n v="659.5"/>
    <n v="0"/>
    <n v="0"/>
    <n v="0"/>
    <n v="659.5"/>
    <n v="0"/>
  </r>
  <r>
    <x v="0"/>
    <x v="1"/>
    <x v="0"/>
    <s v="2531200"/>
    <n v="749530"/>
    <s v="Mileage"/>
    <s v="Ortho/Sport Med-LW-Ortho Surg"/>
    <x v="0"/>
    <n v="1001"/>
    <n v="0"/>
    <n v="0"/>
    <n v="0"/>
    <n v="0"/>
    <n v="0"/>
    <n v="0"/>
    <n v="0"/>
    <n v="0"/>
    <n v="0"/>
    <n v="0"/>
    <n v="0"/>
    <n v="64.959999999999994"/>
    <n v="64.959999999999994"/>
    <n v="-64.959999999999994"/>
  </r>
  <r>
    <x v="0"/>
    <x v="1"/>
    <x v="0"/>
    <s v="2531200"/>
    <n v="749532"/>
    <s v="Travel-Physician"/>
    <s v="Ortho/Sport Med-LW-Ortho Surg"/>
    <x v="0"/>
    <m/>
    <n v="0"/>
    <n v="0"/>
    <n v="0"/>
    <n v="0"/>
    <n v="0"/>
    <n v="918.55"/>
    <n v="0"/>
    <n v="0"/>
    <n v="0"/>
    <n v="0"/>
    <n v="0"/>
    <n v="0"/>
    <n v="918.55"/>
    <n v="0"/>
  </r>
  <r>
    <x v="0"/>
    <x v="1"/>
    <x v="0"/>
    <s v="2531200"/>
    <n v="749533"/>
    <s v="Travel-Advanced Practice Clinician"/>
    <s v="Ortho/Sport Med-LW-Ortho Surg"/>
    <x v="0"/>
    <m/>
    <n v="0"/>
    <n v="0"/>
    <n v="0"/>
    <n v="0"/>
    <n v="0"/>
    <n v="0"/>
    <n v="0"/>
    <n v="0"/>
    <n v="0"/>
    <n v="0"/>
    <n v="0"/>
    <n v="1601"/>
    <n v="1601"/>
    <n v="-1601"/>
  </r>
  <r>
    <x v="0"/>
    <x v="1"/>
    <x v="0"/>
    <s v="2531200"/>
    <n v="749535"/>
    <s v="Meetings"/>
    <s v="Ortho/Sport Med-LW-Ortho Surg"/>
    <x v="0"/>
    <m/>
    <n v="0"/>
    <n v="0"/>
    <n v="0"/>
    <n v="0"/>
    <n v="0"/>
    <n v="0"/>
    <n v="0"/>
    <n v="0"/>
    <n v="0"/>
    <n v="0"/>
    <n v="0"/>
    <n v="104.93"/>
    <n v="104.93"/>
    <n v="-104.93"/>
  </r>
  <r>
    <x v="1"/>
    <x v="1"/>
    <x v="0"/>
    <s v="2532200"/>
    <n v="400029"/>
    <s v="MD Practice Other Rev--Medicare"/>
    <s v="Ortho/Sport Med- LW-Radiology"/>
    <x v="0"/>
    <n v="1100"/>
    <n v="0"/>
    <n v="0"/>
    <n v="0"/>
    <n v="0"/>
    <n v="0"/>
    <n v="0"/>
    <n v="0"/>
    <n v="82"/>
    <n v="0"/>
    <n v="0"/>
    <n v="0"/>
    <n v="0"/>
    <n v="82"/>
    <n v="0"/>
  </r>
  <r>
    <x v="1"/>
    <x v="1"/>
    <x v="0"/>
    <s v="2532200"/>
    <n v="400040"/>
    <s v="Physician Svcs Rev--Medicare"/>
    <s v="Ortho/Sport Med- LW-Radiology"/>
    <x v="0"/>
    <n v="1100"/>
    <n v="0"/>
    <n v="0"/>
    <n v="0"/>
    <n v="0"/>
    <n v="0"/>
    <n v="0"/>
    <n v="0"/>
    <n v="0"/>
    <n v="-574"/>
    <n v="0"/>
    <n v="0"/>
    <n v="0"/>
    <n v="-574"/>
    <n v="0"/>
  </r>
  <r>
    <x v="1"/>
    <x v="1"/>
    <x v="0"/>
    <s v="2532200"/>
    <n v="400040"/>
    <s v="Physician Svcs Rev--Medicaid"/>
    <s v="Ortho/Sport Med- LW-Radiology"/>
    <x v="0"/>
    <n v="1200"/>
    <n v="0"/>
    <n v="0"/>
    <n v="0"/>
    <n v="0"/>
    <n v="0"/>
    <n v="0"/>
    <n v="0"/>
    <n v="0"/>
    <n v="574"/>
    <n v="0"/>
    <n v="9"/>
    <n v="0"/>
    <n v="583"/>
    <n v="9"/>
  </r>
  <r>
    <x v="2"/>
    <x v="1"/>
    <x v="0"/>
    <s v="2532200"/>
    <n v="450029"/>
    <s v="Contr Allow--MD Other-Medicare"/>
    <s v="Ortho/Sport Med- LW-Radiology"/>
    <x v="0"/>
    <n v="1100"/>
    <n v="0"/>
    <n v="0"/>
    <n v="0"/>
    <n v="76.05"/>
    <n v="0"/>
    <n v="0"/>
    <n v="0"/>
    <n v="-52.26"/>
    <n v="0"/>
    <n v="0"/>
    <n v="0"/>
    <n v="0"/>
    <n v="23.79"/>
    <n v="0"/>
  </r>
  <r>
    <x v="2"/>
    <x v="1"/>
    <x v="0"/>
    <s v="2532200"/>
    <n v="450040"/>
    <s v="Contr Allow--Phys Svcs--Mcare"/>
    <s v="Ortho/Sport Med- LW-Radiology"/>
    <x v="0"/>
    <n v="1100"/>
    <n v="0"/>
    <n v="0"/>
    <n v="0"/>
    <n v="450"/>
    <n v="0"/>
    <n v="369.17"/>
    <n v="0"/>
    <n v="0"/>
    <n v="0"/>
    <n v="0"/>
    <n v="0"/>
    <n v="0"/>
    <n v="819.17000000000007"/>
    <n v="0"/>
  </r>
  <r>
    <x v="2"/>
    <x v="1"/>
    <x v="0"/>
    <s v="2532200"/>
    <n v="450040"/>
    <s v="Contr Allow--Phys Svcs--Mcaid"/>
    <s v="Ortho/Sport Med- LW-Radiology"/>
    <x v="0"/>
    <n v="1200"/>
    <n v="0"/>
    <n v="0"/>
    <n v="0"/>
    <n v="0"/>
    <n v="0"/>
    <n v="0"/>
    <n v="0"/>
    <n v="0"/>
    <n v="-449.3"/>
    <n v="0"/>
    <n v="0"/>
    <n v="11.35"/>
    <n v="-437.95"/>
    <n v="-11.35"/>
  </r>
  <r>
    <x v="2"/>
    <x v="1"/>
    <x v="0"/>
    <s v="2532200"/>
    <n v="450040"/>
    <s v="Contr Allow--Phys Svcs--BCBS Comm Ins"/>
    <s v="Ortho/Sport Med- LW-Radiology"/>
    <x v="0"/>
    <n v="1301"/>
    <n v="0"/>
    <n v="0"/>
    <n v="0"/>
    <n v="0"/>
    <n v="0"/>
    <n v="0"/>
    <n v="1735"/>
    <n v="0"/>
    <n v="0"/>
    <n v="0"/>
    <n v="1735"/>
    <n v="0"/>
    <n v="3470"/>
    <n v="1735"/>
  </r>
  <r>
    <x v="2"/>
    <x v="1"/>
    <x v="0"/>
    <s v="2532200"/>
    <n v="450040"/>
    <s v="Contr Allow--Phys Svcs--Managed Care"/>
    <s v="Ortho/Sport Med- LW-Radiology"/>
    <x v="0"/>
    <n v="1400"/>
    <n v="0"/>
    <n v="0"/>
    <n v="0"/>
    <n v="0"/>
    <n v="1724"/>
    <n v="0"/>
    <n v="0"/>
    <n v="0"/>
    <n v="0"/>
    <n v="0"/>
    <n v="0"/>
    <n v="0"/>
    <n v="1724"/>
    <n v="0"/>
  </r>
  <r>
    <x v="2"/>
    <x v="1"/>
    <x v="0"/>
    <s v="2532200"/>
    <n v="450040"/>
    <s v="Contr Allow--Phys Svcs--BCBS Mgnd Care"/>
    <s v="Ortho/Sport Med- LW-Radiology"/>
    <x v="0"/>
    <n v="1401"/>
    <n v="-17.079999999999998"/>
    <n v="2.08"/>
    <n v="29.61"/>
    <n v="-462.2"/>
    <n v="-887.11"/>
    <n v="-159.18"/>
    <n v="-618.24"/>
    <n v="20.54"/>
    <n v="308.86"/>
    <n v="-9.92"/>
    <n v="-915.93"/>
    <n v="-15.54"/>
    <n v="-2724.1099999999997"/>
    <n v="-900.39"/>
  </r>
  <r>
    <x v="2"/>
    <x v="1"/>
    <x v="0"/>
    <s v="2532200"/>
    <n v="450040"/>
    <s v="Contr Allow--Phys Svcs--Other"/>
    <s v="Ortho/Sport Med- LW-Radiology"/>
    <x v="0"/>
    <n v="1700"/>
    <n v="0"/>
    <n v="0"/>
    <n v="0"/>
    <n v="0"/>
    <n v="0"/>
    <n v="0"/>
    <n v="-488.26"/>
    <n v="0"/>
    <n v="0"/>
    <n v="0"/>
    <n v="0"/>
    <n v="0"/>
    <n v="-488.26"/>
    <n v="0"/>
  </r>
  <r>
    <x v="3"/>
    <x v="1"/>
    <x v="0"/>
    <s v="2532200"/>
    <n v="470040"/>
    <s v="Charity Care-Physician Svcs"/>
    <s v="Ortho/Sport Med- LW-Radiology"/>
    <x v="0"/>
    <m/>
    <n v="-9.68"/>
    <n v="24.46"/>
    <n v="-9.19"/>
    <n v="-17.16"/>
    <n v="-27.31"/>
    <n v="-13.75"/>
    <n v="-21.51"/>
    <n v="-2.81"/>
    <n v="16.96"/>
    <n v="-3.21"/>
    <n v="-31.86"/>
    <n v="4.2699999999999996"/>
    <n v="-90.79"/>
    <n v="-36.129999999999995"/>
  </r>
  <r>
    <x v="4"/>
    <x v="1"/>
    <x v="0"/>
    <s v="2532200"/>
    <n v="490010"/>
    <s v="Provision for Bad Debts"/>
    <s v="Ortho/Sport Med- LW-Radiology"/>
    <x v="0"/>
    <m/>
    <n v="-5.96"/>
    <n v="-7.47"/>
    <n v="-16.940000000000001"/>
    <n v="224.53"/>
    <n v="-94.45"/>
    <n v="-40.14"/>
    <n v="-95.29"/>
    <n v="-10.24"/>
    <n v="41.25"/>
    <n v="-4.53"/>
    <n v="-95.8"/>
    <n v="2.12"/>
    <n v="-102.92000000000002"/>
    <n v="-97.92"/>
  </r>
  <r>
    <x v="5"/>
    <x v="1"/>
    <x v="0"/>
    <s v="2532200"/>
    <n v="700034"/>
    <s v="Salaries-Tech/Professional-Productive"/>
    <s v="Ortho/Sport Med- LW-Radiology"/>
    <x v="0"/>
    <m/>
    <n v="3002.58"/>
    <n v="3303.97"/>
    <n v="5053.18"/>
    <n v="6280.34"/>
    <n v="5969.92"/>
    <n v="3287.37"/>
    <n v="3967.14"/>
    <n v="3400.92"/>
    <n v="3241.05"/>
    <n v="3074.27"/>
    <n v="3753.66"/>
    <n v="3150.7"/>
    <n v="47485.099999999991"/>
    <n v="602.96"/>
  </r>
  <r>
    <x v="5"/>
    <x v="1"/>
    <x v="0"/>
    <s v="2532200"/>
    <n v="700034"/>
    <s v="Salaries-Tech/Professional-OT"/>
    <s v="Ortho/Sport Med- LW-Radiology"/>
    <x v="0"/>
    <n v="1000"/>
    <n v="44.13"/>
    <n v="164.28"/>
    <n v="245.18"/>
    <n v="743.11"/>
    <n v="529.16"/>
    <n v="123.38"/>
    <n v="383.44"/>
    <n v="78.98"/>
    <n v="458.6"/>
    <n v="-89.17"/>
    <n v="471.33"/>
    <n v="50.95"/>
    <n v="3203.37"/>
    <n v="420.38"/>
  </r>
  <r>
    <x v="5"/>
    <x v="1"/>
    <x v="0"/>
    <s v="2532200"/>
    <n v="700034"/>
    <s v="Salaries-Tech/Professional-Other"/>
    <s v="Ortho/Sport Med- LW-Radiology"/>
    <x v="0"/>
    <n v="2000"/>
    <n v="0"/>
    <n v="0"/>
    <n v="0"/>
    <n v="0"/>
    <n v="0"/>
    <n v="0"/>
    <n v="0"/>
    <n v="9.81"/>
    <n v="-2.8"/>
    <n v="0"/>
    <n v="0"/>
    <n v="0"/>
    <n v="7.0100000000000007"/>
    <n v="0"/>
  </r>
  <r>
    <x v="5"/>
    <x v="1"/>
    <x v="0"/>
    <s v="2532200"/>
    <n v="700074"/>
    <s v="Salaries-Tech/Professional-Non-productive"/>
    <s v="Ortho/Sport Med- LW-Radiology"/>
    <x v="0"/>
    <m/>
    <n v="261.52"/>
    <n v="1830.64"/>
    <n v="130.76"/>
    <n v="-130.76"/>
    <n v="0"/>
    <n v="1696"/>
    <n v="1386.15"/>
    <n v="929.09"/>
    <n v="670.05"/>
    <n v="1115.9000000000001"/>
    <n v="179.21"/>
    <n v="543.51"/>
    <n v="8612.07"/>
    <n v="-364.29999999999995"/>
  </r>
  <r>
    <x v="5"/>
    <x v="1"/>
    <x v="0"/>
    <s v="2532200"/>
    <n v="700074"/>
    <s v="Salaries-Tech/Professional-NonProd-Other"/>
    <s v="Ortho/Sport Med- LW-Radi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2200"/>
    <n v="700084"/>
    <s v="Accrued PTO"/>
    <s v="Ortho/Sport Med- LW-Radiology"/>
    <x v="0"/>
    <m/>
    <n v="253.55"/>
    <n v="-877.07"/>
    <n v="-19.95"/>
    <n v="617.78"/>
    <n v="528.47"/>
    <n v="-810.35"/>
    <n v="-804.92"/>
    <n v="-221.83"/>
    <n v="-1.36"/>
    <n v="-545.1"/>
    <n v="405.01"/>
    <n v="122.79"/>
    <n v="-1352.9799999999998"/>
    <n v="282.21999999999997"/>
  </r>
  <r>
    <x v="6"/>
    <x v="1"/>
    <x v="0"/>
    <s v="2532200"/>
    <n v="713010"/>
    <s v="Benefits-FICA/Medicare"/>
    <s v="Ortho/Sport Med- LW-Radiology"/>
    <x v="0"/>
    <m/>
    <n v="226.15"/>
    <n v="369.33"/>
    <n v="375.36"/>
    <n v="480.61"/>
    <n v="452.54"/>
    <n v="356.18"/>
    <n v="396.92"/>
    <n v="306.2"/>
    <n v="302.88"/>
    <n v="282.18"/>
    <n v="305.64999999999998"/>
    <n v="254.36"/>
    <n v="4108.3599999999997"/>
    <n v="51.289999999999964"/>
  </r>
  <r>
    <x v="6"/>
    <x v="1"/>
    <x v="0"/>
    <s v="2532200"/>
    <n v="713090"/>
    <s v="Benefits-Allocated Amounts"/>
    <s v="Ortho/Sport Med- LW-Radiology"/>
    <x v="0"/>
    <m/>
    <n v="687.32"/>
    <n v="866.83"/>
    <n v="1102.0899999999999"/>
    <n v="1297.28"/>
    <n v="1310.3499999999999"/>
    <n v="1047.58"/>
    <n v="1197.6600000000001"/>
    <n v="988.12"/>
    <n v="866.2"/>
    <n v="897.83"/>
    <n v="963.3"/>
    <n v="790.96"/>
    <n v="12015.52"/>
    <n v="172.33999999999992"/>
  </r>
  <r>
    <x v="7"/>
    <x v="1"/>
    <x v="0"/>
    <s v="2532200"/>
    <n v="718070"/>
    <s v="Contract Srvcs-CHI Clinical Engineering"/>
    <s v="Ortho/Sport Med- LW-Radiology"/>
    <x v="0"/>
    <m/>
    <n v="0"/>
    <n v="0"/>
    <n v="1200"/>
    <n v="357.55"/>
    <n v="1481.43"/>
    <n v="369.3"/>
    <n v="0"/>
    <n v="0"/>
    <n v="0"/>
    <n v="0"/>
    <n v="0"/>
    <n v="0"/>
    <n v="3408.28"/>
    <n v="0"/>
  </r>
  <r>
    <x v="7"/>
    <x v="1"/>
    <x v="0"/>
    <s v="2532200"/>
    <n v="718077"/>
    <s v="PACS"/>
    <s v="Ortho/Sport Med- LW-Radiology"/>
    <x v="0"/>
    <n v="1000"/>
    <n v="281.25"/>
    <n v="488.25"/>
    <n v="477"/>
    <n v="630"/>
    <n v="553.5"/>
    <n v="423"/>
    <n v="537.75"/>
    <n v="519.75"/>
    <n v="551.25"/>
    <n v="542.25"/>
    <n v="603"/>
    <n v="425.25"/>
    <n v="6032.25"/>
    <n v="177.75"/>
  </r>
  <r>
    <x v="0"/>
    <x v="1"/>
    <x v="0"/>
    <s v="2532200"/>
    <n v="749510"/>
    <s v="Miscellaneous Expenses"/>
    <s v="Ortho/Sport Med- LW-Radiology"/>
    <x v="0"/>
    <m/>
    <n v="-27.26"/>
    <n v="-27.26"/>
    <n v="0"/>
    <n v="0"/>
    <n v="0"/>
    <n v="0"/>
    <n v="0"/>
    <n v="0"/>
    <n v="0"/>
    <n v="0"/>
    <n v="0"/>
    <n v="0"/>
    <n v="-54.52"/>
    <n v="0"/>
  </r>
  <r>
    <x v="0"/>
    <x v="1"/>
    <x v="0"/>
    <s v="2532200"/>
    <n v="749530"/>
    <s v="Mileage"/>
    <s v="Ortho/Sport Med- LW-Radiology"/>
    <x v="0"/>
    <n v="1001"/>
    <n v="0"/>
    <n v="0"/>
    <n v="0"/>
    <n v="0"/>
    <n v="0"/>
    <n v="0"/>
    <n v="0"/>
    <n v="0"/>
    <n v="23.78"/>
    <n v="0"/>
    <n v="0"/>
    <n v="0"/>
    <n v="23.78"/>
    <n v="0"/>
  </r>
  <r>
    <x v="1"/>
    <x v="1"/>
    <x v="0"/>
    <s v="2533200"/>
    <n v="400029"/>
    <s v="MD Practice Other Rev--Medicare"/>
    <s v="Ortho/Sport Med-SA-Ortho Surg"/>
    <x v="0"/>
    <n v="1100"/>
    <n v="-20832"/>
    <n v="-28810"/>
    <n v="-23057"/>
    <n v="-25037"/>
    <n v="-21451"/>
    <n v="-23465"/>
    <n v="-24581"/>
    <n v="-19332"/>
    <n v="-22813"/>
    <n v="-23482"/>
    <n v="-30959"/>
    <n v="-24679"/>
    <n v="-288498"/>
    <n v="-6280"/>
  </r>
  <r>
    <x v="1"/>
    <x v="1"/>
    <x v="0"/>
    <s v="2533200"/>
    <n v="400029"/>
    <s v="MD Practice Other Rev--Medicaid"/>
    <s v="Ortho/Sport Med-SA-Ortho Surg"/>
    <x v="0"/>
    <n v="1200"/>
    <n v="-2264"/>
    <n v="-4257"/>
    <n v="-2174"/>
    <n v="-3645"/>
    <n v="-3299"/>
    <n v="-3323"/>
    <n v="-2182"/>
    <n v="-2706"/>
    <n v="-2948"/>
    <n v="-2492"/>
    <n v="-3679"/>
    <n v="-4490"/>
    <n v="-37459"/>
    <n v="811"/>
  </r>
  <r>
    <x v="1"/>
    <x v="1"/>
    <x v="0"/>
    <s v="2533200"/>
    <n v="400029"/>
    <s v="MD Practice Other Rev--Comm Insurance"/>
    <s v="Ortho/Sport Med-SA-Ortho Surg"/>
    <x v="0"/>
    <n v="1300"/>
    <n v="-1020"/>
    <n v="-1638"/>
    <n v="-1312"/>
    <n v="-1429"/>
    <n v="-1813"/>
    <n v="-1550"/>
    <n v="-2428"/>
    <n v="-929"/>
    <n v="-1422"/>
    <n v="-1534"/>
    <n v="-858"/>
    <n v="-987"/>
    <n v="-16920"/>
    <n v="129"/>
  </r>
  <r>
    <x v="1"/>
    <x v="1"/>
    <x v="0"/>
    <s v="2533200"/>
    <n v="400029"/>
    <s v="MD Practice Other Rev--BCBS Comm"/>
    <s v="Ortho/Sport Med-SA-Ortho Surg"/>
    <x v="0"/>
    <n v="1301"/>
    <n v="-3364"/>
    <n v="-4373"/>
    <n v="-3229"/>
    <n v="-4902"/>
    <n v="-3016"/>
    <n v="-3074"/>
    <n v="-2642"/>
    <n v="-2598"/>
    <n v="-4293"/>
    <n v="-2593"/>
    <n v="-2013"/>
    <n v="-3289"/>
    <n v="-39386"/>
    <n v="1276"/>
  </r>
  <r>
    <x v="1"/>
    <x v="1"/>
    <x v="0"/>
    <s v="2533200"/>
    <n v="400029"/>
    <s v="MD Practice Other Rev--Managed Care"/>
    <s v="Ortho/Sport Med-SA-Ortho Surg"/>
    <x v="0"/>
    <n v="1400"/>
    <n v="-10582"/>
    <n v="-16407"/>
    <n v="-12231"/>
    <n v="-16030"/>
    <n v="-13630"/>
    <n v="-13484"/>
    <n v="-10882"/>
    <n v="-9049"/>
    <n v="-11436"/>
    <n v="-14865"/>
    <n v="-14194"/>
    <n v="-9479"/>
    <n v="-152269"/>
    <n v="-4715"/>
  </r>
  <r>
    <x v="1"/>
    <x v="1"/>
    <x v="0"/>
    <s v="2533200"/>
    <n v="400029"/>
    <s v="MD Practice Other Rev--Self Pay"/>
    <s v="Ortho/Sport Med-SA-Ortho Surg"/>
    <x v="0"/>
    <n v="1500"/>
    <n v="-346"/>
    <n v="-405"/>
    <n v="-442"/>
    <n v="14"/>
    <n v="-498"/>
    <n v="59"/>
    <n v="-615"/>
    <n v="86"/>
    <n v="-174"/>
    <n v="-437"/>
    <n v="-432"/>
    <n v="-372"/>
    <n v="-3562"/>
    <n v="-60"/>
  </r>
  <r>
    <x v="1"/>
    <x v="1"/>
    <x v="0"/>
    <s v="2533200"/>
    <n v="400029"/>
    <s v="MD Practice Other Rev--Other"/>
    <s v="Ortho/Sport Med-SA-Ortho Surg"/>
    <x v="0"/>
    <n v="1700"/>
    <n v="-1195"/>
    <n v="-1728"/>
    <n v="-1958"/>
    <n v="-2653"/>
    <n v="-1836"/>
    <n v="-2749"/>
    <n v="-3731"/>
    <n v="-1545"/>
    <n v="-2331"/>
    <n v="-2291"/>
    <n v="-2778"/>
    <n v="-1951"/>
    <n v="-26746"/>
    <n v="-827"/>
  </r>
  <r>
    <x v="1"/>
    <x v="1"/>
    <x v="0"/>
    <s v="2533200"/>
    <n v="400040"/>
    <s v="Physician Svcs Rev--Medicare"/>
    <s v="Ortho/Sport Med-SA-Ortho Surg"/>
    <x v="0"/>
    <n v="1100"/>
    <n v="-380081"/>
    <n v="-451802.25"/>
    <n v="-475155"/>
    <n v="-510316.25"/>
    <n v="-440619.75"/>
    <n v="-508170.25"/>
    <n v="-471633.25"/>
    <n v="-471157"/>
    <n v="-555522.5"/>
    <n v="-313764"/>
    <n v="-436923.5"/>
    <n v="-442367.25"/>
    <n v="-5457512"/>
    <n v="5443.75"/>
  </r>
  <r>
    <x v="1"/>
    <x v="1"/>
    <x v="0"/>
    <s v="2533200"/>
    <n v="400040"/>
    <s v="Physician Svcs Rev--Medicaid"/>
    <s v="Ortho/Sport Med-SA-Ortho Surg"/>
    <x v="0"/>
    <n v="1200"/>
    <n v="-35698"/>
    <n v="-92041"/>
    <n v="-68601.25"/>
    <n v="-76815"/>
    <n v="-62641"/>
    <n v="-101652"/>
    <n v="-57767"/>
    <n v="-83627"/>
    <n v="-64521"/>
    <n v="-58340"/>
    <n v="-48890"/>
    <n v="-54889"/>
    <n v="-805482.25"/>
    <n v="5999"/>
  </r>
  <r>
    <x v="1"/>
    <x v="1"/>
    <x v="0"/>
    <s v="2533200"/>
    <n v="400040"/>
    <s v="Physician Svcs Rev--Comm Insurance"/>
    <s v="Ortho/Sport Med-SA-Ortho Surg"/>
    <x v="0"/>
    <n v="1300"/>
    <n v="-26637"/>
    <n v="-32767"/>
    <n v="-20946"/>
    <n v="-16618"/>
    <n v="-34345"/>
    <n v="-37278"/>
    <n v="-46330"/>
    <n v="-16468"/>
    <n v="-13644"/>
    <n v="-39878"/>
    <n v="-25734"/>
    <n v="-27041"/>
    <n v="-337686"/>
    <n v="1307"/>
  </r>
  <r>
    <x v="1"/>
    <x v="1"/>
    <x v="0"/>
    <s v="2533200"/>
    <n v="400040"/>
    <s v="Physician Svcs Rev--BCBS Comm"/>
    <s v="Ortho/Sport Med-SA-Ortho Surg"/>
    <x v="0"/>
    <n v="1301"/>
    <n v="-40588"/>
    <n v="-56658"/>
    <n v="-75574.75"/>
    <n v="-82003"/>
    <n v="-65060"/>
    <n v="-47874"/>
    <n v="-42803"/>
    <n v="-67296.5"/>
    <n v="-66283.75"/>
    <n v="-34534"/>
    <n v="-56301.75"/>
    <n v="-41700.25"/>
    <n v="-676677"/>
    <n v="-14601.5"/>
  </r>
  <r>
    <x v="1"/>
    <x v="1"/>
    <x v="0"/>
    <s v="2533200"/>
    <n v="400040"/>
    <s v="Physician Svcs Rev--Managed Care"/>
    <s v="Ortho/Sport Med-SA-Ortho Surg"/>
    <x v="0"/>
    <n v="1400"/>
    <n v="-148107"/>
    <n v="-168887.75"/>
    <n v="-149254"/>
    <n v="-258815"/>
    <n v="-249000"/>
    <n v="-252220"/>
    <n v="-206225.75"/>
    <n v="-192763"/>
    <n v="-210580"/>
    <n v="-209411"/>
    <n v="-209962.75"/>
    <n v="-136756"/>
    <n v="-2391982.25"/>
    <n v="-73206.75"/>
  </r>
  <r>
    <x v="1"/>
    <x v="1"/>
    <x v="0"/>
    <s v="2533200"/>
    <n v="400040"/>
    <s v="Physician Svcs Rev--Self Pay"/>
    <s v="Ortho/Sport Med-SA-Ortho Surg"/>
    <x v="0"/>
    <n v="1500"/>
    <n v="-5656"/>
    <n v="-1281"/>
    <n v="-5715"/>
    <n v="-4099"/>
    <n v="-9307"/>
    <n v="-3910"/>
    <n v="-9385"/>
    <n v="2751"/>
    <n v="-5220"/>
    <n v="-1354"/>
    <n v="-3044"/>
    <n v="-4963"/>
    <n v="-51183"/>
    <n v="1919"/>
  </r>
  <r>
    <x v="1"/>
    <x v="1"/>
    <x v="0"/>
    <s v="2533200"/>
    <n v="400040"/>
    <s v="Physician Svcs Rev--Other"/>
    <s v="Ortho/Sport Med-SA-Ortho Surg"/>
    <x v="0"/>
    <n v="1700"/>
    <n v="-48362.75"/>
    <n v="-47824"/>
    <n v="-46268.25"/>
    <n v="-52971"/>
    <n v="-82544"/>
    <n v="-74524"/>
    <n v="-44858"/>
    <n v="-66462"/>
    <n v="-62419"/>
    <n v="-69797"/>
    <n v="-60082"/>
    <n v="-42187"/>
    <n v="-698299"/>
    <n v="-17895"/>
  </r>
  <r>
    <x v="2"/>
    <x v="1"/>
    <x v="0"/>
    <s v="2533200"/>
    <n v="450029"/>
    <s v="Contr Allow--MD Other-Medicare"/>
    <s v="Ortho/Sport Med-SA-Ortho Surg"/>
    <x v="0"/>
    <n v="1100"/>
    <n v="14978.27"/>
    <n v="15335.91"/>
    <n v="16028.16"/>
    <n v="17106.72"/>
    <n v="15876.1"/>
    <n v="14928.12"/>
    <n v="16680.16"/>
    <n v="12567.5"/>
    <n v="11493.86"/>
    <n v="16591.95"/>
    <n v="16091.1"/>
    <n v="17329.43"/>
    <n v="185007.28"/>
    <n v="-1238.33"/>
  </r>
  <r>
    <x v="2"/>
    <x v="1"/>
    <x v="0"/>
    <s v="2533200"/>
    <n v="450029"/>
    <s v="Contr Allow--MD Other-Medicaid"/>
    <s v="Ortho/Sport Med-SA-Ortho Surg"/>
    <x v="0"/>
    <n v="1200"/>
    <n v="1987.13"/>
    <n v="3302.68"/>
    <n v="1937.24"/>
    <n v="3217.05"/>
    <n v="2566.5"/>
    <n v="2309.0500000000002"/>
    <n v="2522.81"/>
    <n v="1260.28"/>
    <n v="1783.21"/>
    <n v="2396.31"/>
    <n v="1975.54"/>
    <n v="4082.94"/>
    <n v="29340.739999999998"/>
    <n v="-2107.4"/>
  </r>
  <r>
    <x v="2"/>
    <x v="1"/>
    <x v="0"/>
    <s v="2533200"/>
    <n v="450029"/>
    <s v="Contr Allow--MD Other-Comm Insurance"/>
    <s v="Ortho/Sport Med-SA-Ortho Surg"/>
    <x v="0"/>
    <n v="1300"/>
    <n v="240"/>
    <n v="592"/>
    <n v="305.2"/>
    <n v="707.93"/>
    <n v="370.02"/>
    <n v="608.09"/>
    <n v="210.53"/>
    <n v="913.1"/>
    <n v="639.78"/>
    <n v="425.95"/>
    <n v="1163.3699999999999"/>
    <n v="251.61"/>
    <n v="6427.58"/>
    <n v="911.75999999999988"/>
  </r>
  <r>
    <x v="2"/>
    <x v="1"/>
    <x v="0"/>
    <s v="2533200"/>
    <n v="450029"/>
    <s v="Contr Allow--MD Other BCBS Comm"/>
    <s v="Ortho/Sport Med-SA-Ortho Surg"/>
    <x v="0"/>
    <n v="1301"/>
    <n v="1279.78"/>
    <n v="1403.21"/>
    <n v="902.33"/>
    <n v="1243.96"/>
    <n v="1064.57"/>
    <n v="1015.35"/>
    <n v="748.89"/>
    <n v="846.59"/>
    <n v="552.62"/>
    <n v="1367.54"/>
    <n v="761.76"/>
    <n v="586.59"/>
    <n v="11773.19"/>
    <n v="175.16999999999996"/>
  </r>
  <r>
    <x v="2"/>
    <x v="1"/>
    <x v="0"/>
    <s v="2533200"/>
    <n v="450029"/>
    <s v="Contr Allow--MD Other-Managed Care"/>
    <s v="Ortho/Sport Med-SA-Ortho Surg"/>
    <x v="0"/>
    <n v="1400"/>
    <n v="4501.2700000000004"/>
    <n v="5769.77"/>
    <n v="3697.1"/>
    <n v="5625.9"/>
    <n v="5834.71"/>
    <n v="4774.7"/>
    <n v="4728.55"/>
    <n v="4149.67"/>
    <n v="3435.85"/>
    <n v="5524.68"/>
    <n v="6246.66"/>
    <n v="4292.68"/>
    <n v="58581.54"/>
    <n v="1953.9799999999996"/>
  </r>
  <r>
    <x v="2"/>
    <x v="1"/>
    <x v="0"/>
    <s v="2533200"/>
    <n v="450029"/>
    <s v="Prompt Pay Disc-MD Other-Self Pay"/>
    <s v="Ortho/Sport Med-SA-Ortho Surg"/>
    <x v="0"/>
    <n v="1500"/>
    <n v="0"/>
    <n v="0"/>
    <n v="0"/>
    <n v="0"/>
    <n v="0"/>
    <n v="0"/>
    <n v="0"/>
    <n v="0"/>
    <n v="0"/>
    <n v="0"/>
    <n v="0"/>
    <n v="172"/>
    <n v="172"/>
    <n v="-172"/>
  </r>
  <r>
    <x v="2"/>
    <x v="1"/>
    <x v="0"/>
    <s v="2533200"/>
    <n v="450029"/>
    <s v="Admin Adjust-MD Other-Self Pay"/>
    <s v="Ortho/Sport Med-SA-Ortho Surg"/>
    <x v="0"/>
    <n v="1600"/>
    <n v="112.52"/>
    <n v="252.91"/>
    <n v="234.39"/>
    <n v="153.63999999999999"/>
    <n v="116.35"/>
    <n v="-91.89"/>
    <n v="236.55"/>
    <n v="-96.26"/>
    <n v="-105.11"/>
    <n v="-42.11"/>
    <n v="182"/>
    <n v="85.19"/>
    <n v="1038.18"/>
    <n v="96.81"/>
  </r>
  <r>
    <x v="2"/>
    <x v="1"/>
    <x v="0"/>
    <s v="2533200"/>
    <n v="450029"/>
    <s v="Contr Allow--MD Other-Other"/>
    <s v="Ortho/Sport Med-SA-Ortho Surg"/>
    <x v="0"/>
    <n v="1700"/>
    <n v="1180.52"/>
    <n v="695.79"/>
    <n v="642.6"/>
    <n v="1165.23"/>
    <n v="1352.82"/>
    <n v="1056.8399999999999"/>
    <n v="1488.04"/>
    <n v="1469.24"/>
    <n v="1390.58"/>
    <n v="1521.51"/>
    <n v="1604.06"/>
    <n v="1106.81"/>
    <n v="14674.039999999999"/>
    <n v="497.25"/>
  </r>
  <r>
    <x v="2"/>
    <x v="1"/>
    <x v="0"/>
    <s v="2533200"/>
    <n v="450040"/>
    <s v="Contr Allow--Phys Svcs--Mcare"/>
    <s v="Ortho/Sport Med-SA-Ortho Surg"/>
    <x v="0"/>
    <n v="1100"/>
    <n v="306635.06"/>
    <n v="227316.48000000001"/>
    <n v="297653.31"/>
    <n v="456057.21"/>
    <n v="305863.98"/>
    <n v="363002.65"/>
    <n v="323053.12"/>
    <n v="400941.29"/>
    <n v="319803.03000000003"/>
    <n v="405108.76"/>
    <n v="243013.09"/>
    <n v="318024.58"/>
    <n v="3966472.5599999996"/>
    <n v="-75011.49000000002"/>
  </r>
  <r>
    <x v="2"/>
    <x v="1"/>
    <x v="0"/>
    <s v="2533200"/>
    <n v="450040"/>
    <s v="Contr Allow--Phys Svcs--Mcaid"/>
    <s v="Ortho/Sport Med-SA-Ortho Surg"/>
    <x v="0"/>
    <n v="1200"/>
    <n v="56452.9"/>
    <n v="45503.06"/>
    <n v="44332.65"/>
    <n v="79065.009999999995"/>
    <n v="53162.73"/>
    <n v="59978.57"/>
    <n v="66403.81"/>
    <n v="67785.19"/>
    <n v="50005.78"/>
    <n v="44203.99"/>
    <n v="39856.57"/>
    <n v="61670.54"/>
    <n v="668420.79999999993"/>
    <n v="-21813.97"/>
  </r>
  <r>
    <x v="2"/>
    <x v="1"/>
    <x v="0"/>
    <s v="2533200"/>
    <n v="450040"/>
    <s v="Contr Allow--Phys Svcs--Comm Insurance"/>
    <s v="Ortho/Sport Med-SA-Ortho Surg"/>
    <x v="0"/>
    <n v="1300"/>
    <n v="15172.31"/>
    <n v="7868.45"/>
    <n v="5167.3599999999997"/>
    <n v="17983.810000000001"/>
    <n v="5731.59"/>
    <n v="17109.849999999999"/>
    <n v="4623.59"/>
    <n v="17889.37"/>
    <n v="15517.94"/>
    <n v="3650.88"/>
    <n v="13310.58"/>
    <n v="18121.12"/>
    <n v="142146.85"/>
    <n v="-4810.5399999999991"/>
  </r>
  <r>
    <x v="2"/>
    <x v="1"/>
    <x v="0"/>
    <s v="2533200"/>
    <n v="450040"/>
    <s v="Contr Allow--Phys Svcs--BCBS Comm Ins"/>
    <s v="Ortho/Sport Med-SA-Ortho Surg"/>
    <x v="0"/>
    <n v="1301"/>
    <n v="18131.98"/>
    <n v="31819.01"/>
    <n v="12401.22"/>
    <n v="42484.87"/>
    <n v="36707.51"/>
    <n v="31488.400000000001"/>
    <n v="20076.759999999998"/>
    <n v="20695.16"/>
    <n v="33674.06"/>
    <n v="28231.14"/>
    <n v="18341.330000000002"/>
    <n v="29548.85"/>
    <n v="323600.28999999998"/>
    <n v="-11207.519999999997"/>
  </r>
  <r>
    <x v="2"/>
    <x v="1"/>
    <x v="0"/>
    <s v="2533200"/>
    <n v="450040"/>
    <s v="Contr Allow--Phys Svcs--Managed Care"/>
    <s v="Ortho/Sport Med-SA-Ortho Surg"/>
    <x v="0"/>
    <n v="1400"/>
    <n v="77057.460000000006"/>
    <n v="84270.43"/>
    <n v="56884.06"/>
    <n v="82663.600000000006"/>
    <n v="119108.01"/>
    <n v="112485.9"/>
    <n v="125837.44"/>
    <n v="108780.38"/>
    <n v="144547.79999999999"/>
    <n v="124425.93"/>
    <n v="94539.1"/>
    <n v="92468.99"/>
    <n v="1223069.1000000001"/>
    <n v="2070.1100000000006"/>
  </r>
  <r>
    <x v="2"/>
    <x v="1"/>
    <x v="0"/>
    <s v="2533200"/>
    <n v="450040"/>
    <s v="Contr Allow--Phys Svcs--BCBS Mgnd Care"/>
    <s v="Ortho/Sport Med-SA-Ortho Surg"/>
    <x v="0"/>
    <n v="1401"/>
    <n v="-66081.210000000006"/>
    <n v="66381.84"/>
    <n v="83573.86"/>
    <n v="-22248.43"/>
    <n v="42446.7"/>
    <n v="54931.44"/>
    <n v="19344.599999999999"/>
    <n v="-20199.53"/>
    <n v="38684.49"/>
    <n v="-141200.59"/>
    <n v="84445.46"/>
    <n v="-39123.769999999997"/>
    <n v="100954.86000000002"/>
    <n v="123569.23000000001"/>
  </r>
  <r>
    <x v="2"/>
    <x v="1"/>
    <x v="0"/>
    <s v="2533200"/>
    <n v="450040"/>
    <s v="Prompt Pay Disc-Phys Svcs-Self Pay"/>
    <s v="Ortho/Sport Med-SA-Ortho Surg"/>
    <x v="0"/>
    <n v="1500"/>
    <n v="0"/>
    <n v="-186.39"/>
    <n v="0"/>
    <n v="53.94"/>
    <n v="0"/>
    <n v="0"/>
    <n v="0"/>
    <n v="3965.81"/>
    <n v="0"/>
    <n v="0"/>
    <n v="0"/>
    <n v="161.9"/>
    <n v="3995.26"/>
    <n v="-161.9"/>
  </r>
  <r>
    <x v="2"/>
    <x v="1"/>
    <x v="0"/>
    <s v="2533200"/>
    <n v="450040"/>
    <s v="Admin Adjust-Phys Svcs-Self Pay"/>
    <s v="Ortho/Sport Med-SA-Ortho Surg"/>
    <x v="0"/>
    <n v="1600"/>
    <n v="1445.53"/>
    <n v="854.17"/>
    <n v="3568.41"/>
    <n v="2690.4"/>
    <n v="554.03"/>
    <n v="868.04"/>
    <n v="9902.19"/>
    <n v="1473.55"/>
    <n v="-3051.61"/>
    <n v="1473.77"/>
    <n v="1798.13"/>
    <n v="1223.92"/>
    <n v="22800.530000000006"/>
    <n v="574.21"/>
  </r>
  <r>
    <x v="2"/>
    <x v="1"/>
    <x v="0"/>
    <s v="2533200"/>
    <n v="450040"/>
    <s v="Contr Allow--Phys Svcs--Other"/>
    <s v="Ortho/Sport Med-SA-Ortho Surg"/>
    <x v="0"/>
    <n v="1700"/>
    <n v="36341.120000000003"/>
    <n v="35335.24"/>
    <n v="26725.67"/>
    <n v="25779.06"/>
    <n v="37626.11"/>
    <n v="31416.73"/>
    <n v="43201.120000000003"/>
    <n v="37246.57"/>
    <n v="46526.15"/>
    <n v="52976.46"/>
    <n v="37646.04"/>
    <n v="26287.15"/>
    <n v="437107.42000000004"/>
    <n v="11358.89"/>
  </r>
  <r>
    <x v="3"/>
    <x v="1"/>
    <x v="0"/>
    <s v="2533200"/>
    <n v="470040"/>
    <s v="Charity Care-Physician Svcs"/>
    <s v="Ortho/Sport Med-SA-Ortho Surg"/>
    <x v="0"/>
    <m/>
    <n v="-1898.96"/>
    <n v="8269.5499999999993"/>
    <n v="5032.54"/>
    <n v="3758.29"/>
    <n v="6941.44"/>
    <n v="1111.1300000000001"/>
    <n v="483.06"/>
    <n v="308.37"/>
    <n v="30120.43"/>
    <n v="-2307.15"/>
    <n v="386.2"/>
    <n v="3698.46"/>
    <n v="55903.359999999993"/>
    <n v="-3312.26"/>
  </r>
  <r>
    <x v="4"/>
    <x v="1"/>
    <x v="0"/>
    <s v="2533200"/>
    <n v="490010"/>
    <s v="Provision for Bad Debts"/>
    <s v="Ortho/Sport Med-SA-Ortho Surg"/>
    <x v="0"/>
    <m/>
    <n v="124.2"/>
    <n v="26971.24"/>
    <n v="7603.74"/>
    <n v="-1855.62"/>
    <n v="19428.47"/>
    <n v="11765.38"/>
    <n v="-4597.42"/>
    <n v="-6865.14"/>
    <n v="14041.04"/>
    <n v="-15158.41"/>
    <n v="14468.42"/>
    <n v="8830.67"/>
    <n v="74756.569999999992"/>
    <n v="5637.75"/>
  </r>
  <r>
    <x v="14"/>
    <x v="1"/>
    <x v="0"/>
    <s v="2533200"/>
    <n v="600050"/>
    <s v="Miscellaneous Revenue"/>
    <s v="Ortho/Sport Med-SA-Ortho Surg"/>
    <x v="0"/>
    <m/>
    <n v="-12600"/>
    <n v="-11900"/>
    <n v="-16400"/>
    <n v="-14900"/>
    <n v="-15900"/>
    <n v="-13200"/>
    <n v="-20200"/>
    <n v="-11900"/>
    <n v="-9300"/>
    <n v="-13200"/>
    <n v="-13200"/>
    <n v="-10600"/>
    <n v="-163300"/>
    <n v="-2600"/>
  </r>
  <r>
    <x v="5"/>
    <x v="1"/>
    <x v="0"/>
    <s v="2533200"/>
    <n v="700022"/>
    <s v="Salaries-Physician-Productive"/>
    <s v="Ortho/Sport Med-SA-Ortho Surg"/>
    <x v="0"/>
    <m/>
    <n v="112212.36"/>
    <n v="237019.73"/>
    <n v="149899.38"/>
    <n v="194268.9"/>
    <n v="171543.01"/>
    <n v="150571.43"/>
    <n v="183545.44"/>
    <n v="134828.78"/>
    <n v="166301.62"/>
    <n v="163126.64000000001"/>
    <n v="151532"/>
    <n v="96449.04"/>
    <n v="1911298.33"/>
    <n v="55082.960000000006"/>
  </r>
  <r>
    <x v="5"/>
    <x v="1"/>
    <x v="0"/>
    <s v="2533200"/>
    <n v="700022"/>
    <s v="Salaries-Physician-Other"/>
    <s v="Ortho/Sport Med-SA-Ortho Surg"/>
    <x v="0"/>
    <n v="2000"/>
    <n v="12600"/>
    <n v="11900"/>
    <n v="16400"/>
    <n v="14900"/>
    <n v="15900"/>
    <n v="13200"/>
    <n v="20200"/>
    <n v="11900"/>
    <n v="9300"/>
    <n v="13200"/>
    <n v="13200"/>
    <n v="10600"/>
    <n v="163300"/>
    <n v="2600"/>
  </r>
  <r>
    <x v="5"/>
    <x v="1"/>
    <x v="0"/>
    <s v="2533200"/>
    <n v="700022"/>
    <s v="Salaries-Physician-Provider Incentive"/>
    <s v="Ortho/Sport Med-SA-Ortho Surg"/>
    <x v="0"/>
    <n v="4003"/>
    <n v="15236.36"/>
    <n v="-109255.45"/>
    <n v="-22912.45"/>
    <n v="-22912.45"/>
    <n v="-22912.45"/>
    <n v="-16960.77"/>
    <n v="0"/>
    <n v="0"/>
    <n v="0"/>
    <n v="0"/>
    <n v="0"/>
    <n v="0"/>
    <n v="-179717.21"/>
    <n v="0"/>
  </r>
  <r>
    <x v="5"/>
    <x v="1"/>
    <x v="0"/>
    <s v="2533200"/>
    <n v="700024"/>
    <s v="Salaries-Advanced Practice Clinician-Productive"/>
    <s v="Ortho/Sport Med-SA-Ortho Surg"/>
    <x v="0"/>
    <m/>
    <n v="21483.86"/>
    <n v="42204.87"/>
    <n v="33397.46"/>
    <n v="38508.85"/>
    <n v="34227.370000000003"/>
    <n v="22156.51"/>
    <n v="36614.42"/>
    <n v="29638.959999999999"/>
    <n v="35369.64"/>
    <n v="30726.43"/>
    <n v="40769.129999999997"/>
    <n v="27670.93"/>
    <n v="392768.43"/>
    <n v="13098.199999999997"/>
  </r>
  <r>
    <x v="5"/>
    <x v="1"/>
    <x v="0"/>
    <s v="2533200"/>
    <n v="700026"/>
    <s v="Salaries-RN-Productive"/>
    <s v="Ortho/Sport Med-SA-Ortho Surg"/>
    <x v="0"/>
    <m/>
    <n v="9844.76"/>
    <n v="11219.95"/>
    <n v="10422.75"/>
    <n v="12646.32"/>
    <n v="12058.72"/>
    <n v="8278.6"/>
    <n v="10200.83"/>
    <n v="9196.14"/>
    <n v="9880.73"/>
    <n v="11649.7"/>
    <n v="12827.72"/>
    <n v="9365.51"/>
    <n v="127591.72999999998"/>
    <n v="3462.2099999999991"/>
  </r>
  <r>
    <x v="5"/>
    <x v="1"/>
    <x v="0"/>
    <s v="2533200"/>
    <n v="700026"/>
    <s v="Salaries-RN-OT"/>
    <s v="Ortho/Sport Med-SA-Ortho Surg"/>
    <x v="0"/>
    <n v="1000"/>
    <n v="682.86"/>
    <n v="933.58"/>
    <n v="-19.7"/>
    <n v="332.31"/>
    <n v="325.93"/>
    <n v="80.12"/>
    <n v="732.14"/>
    <n v="29.43"/>
    <n v="617.08000000000004"/>
    <n v="425.94"/>
    <n v="292.39999999999998"/>
    <n v="345.08"/>
    <n v="4777.1699999999992"/>
    <n v="-52.680000000000007"/>
  </r>
  <r>
    <x v="5"/>
    <x v="1"/>
    <x v="0"/>
    <s v="2533200"/>
    <n v="700026"/>
    <s v="Salaries-RN-Other"/>
    <s v="Ortho/Sport Med-SA-Ortho Surg"/>
    <x v="0"/>
    <n v="2000"/>
    <n v="3.9"/>
    <n v="-0.65"/>
    <n v="0"/>
    <n v="0"/>
    <n v="0"/>
    <n v="0"/>
    <n v="0"/>
    <n v="0"/>
    <n v="0"/>
    <n v="0"/>
    <n v="0"/>
    <n v="0"/>
    <n v="3.25"/>
    <n v="0"/>
  </r>
  <r>
    <x v="5"/>
    <x v="1"/>
    <x v="0"/>
    <s v="2533200"/>
    <n v="700030"/>
    <s v="Salaries-LPN-Productive"/>
    <s v="Ortho/Sport Med-SA-Ortho Surg"/>
    <x v="0"/>
    <m/>
    <n v="524.32000000000005"/>
    <n v="0"/>
    <n v="233.67"/>
    <n v="0"/>
    <n v="0"/>
    <n v="0"/>
    <n v="0"/>
    <n v="0"/>
    <n v="0"/>
    <n v="0"/>
    <n v="507.98"/>
    <n v="-253.99"/>
    <n v="1011.98"/>
    <n v="761.97"/>
  </r>
  <r>
    <x v="5"/>
    <x v="1"/>
    <x v="0"/>
    <s v="2533200"/>
    <n v="700030"/>
    <s v="Salaries-LPN-OT"/>
    <s v="Ortho/Sport Med-SA-Ortho Surg"/>
    <x v="0"/>
    <n v="1000"/>
    <n v="63.06"/>
    <n v="0"/>
    <n v="0"/>
    <n v="0"/>
    <n v="0"/>
    <n v="0"/>
    <n v="0"/>
    <n v="0"/>
    <n v="0"/>
    <n v="0"/>
    <n v="0"/>
    <n v="0"/>
    <n v="63.06"/>
    <n v="0"/>
  </r>
  <r>
    <x v="5"/>
    <x v="1"/>
    <x v="0"/>
    <s v="2533200"/>
    <n v="700032"/>
    <s v="Salaries-Other Pat Care Providers-Productive"/>
    <s v="Ortho/Sport Med-SA-Ortho Surg"/>
    <x v="0"/>
    <m/>
    <n v="4079.92"/>
    <n v="7182.45"/>
    <n v="6039.2"/>
    <n v="11329.79"/>
    <n v="9298.61"/>
    <n v="6021.65"/>
    <n v="6021.36"/>
    <n v="5067.72"/>
    <n v="6938.46"/>
    <n v="11383.45"/>
    <n v="8314.85"/>
    <n v="10544.54"/>
    <n v="92222"/>
    <n v="-2229.6900000000005"/>
  </r>
  <r>
    <x v="5"/>
    <x v="1"/>
    <x v="0"/>
    <s v="2533200"/>
    <n v="700032"/>
    <s v="Salaries-Other Pat Care Providers-OT"/>
    <s v="Ortho/Sport Med-SA-Ortho Surg"/>
    <x v="0"/>
    <n v="1000"/>
    <n v="92.52"/>
    <n v="0"/>
    <n v="370.08"/>
    <n v="-4.68"/>
    <n v="259.2"/>
    <n v="-25.3"/>
    <n v="255.7"/>
    <n v="-50.13"/>
    <n v="50.14"/>
    <n v="249.75"/>
    <n v="348.66"/>
    <n v="172.75"/>
    <n v="1718.69"/>
    <n v="175.91000000000003"/>
  </r>
  <r>
    <x v="5"/>
    <x v="1"/>
    <x v="0"/>
    <s v="2533200"/>
    <n v="700032"/>
    <s v="Salaries-Other Pat Care Providers-Other"/>
    <s v="Ortho/Sport Med-SA-Ortho Surg"/>
    <x v="0"/>
    <n v="2000"/>
    <n v="0"/>
    <n v="0"/>
    <n v="30"/>
    <n v="0"/>
    <n v="0"/>
    <n v="0"/>
    <n v="0"/>
    <n v="0"/>
    <n v="0"/>
    <n v="30.04"/>
    <n v="0"/>
    <n v="0"/>
    <n v="60.04"/>
    <n v="0"/>
  </r>
  <r>
    <x v="5"/>
    <x v="1"/>
    <x v="0"/>
    <s v="2533200"/>
    <n v="700034"/>
    <s v="Salaries-Tech/Professional-Productive"/>
    <s v="Ortho/Sport Med-SA-Ortho Surg"/>
    <x v="0"/>
    <m/>
    <n v="3562.97"/>
    <n v="3954.39"/>
    <n v="6038.58"/>
    <n v="4894.59"/>
    <n v="5635.71"/>
    <n v="2634.52"/>
    <n v="6537.28"/>
    <n v="4369.97"/>
    <n v="5752.59"/>
    <n v="358.56"/>
    <n v="1101.5999999999999"/>
    <n v="5436.9"/>
    <n v="50277.66"/>
    <n v="-4335.2999999999993"/>
  </r>
  <r>
    <x v="5"/>
    <x v="1"/>
    <x v="0"/>
    <s v="2533200"/>
    <n v="700034"/>
    <s v="Salaries-Tech/Professional-OT"/>
    <s v="Ortho/Sport Med-SA-Ortho Surg"/>
    <x v="0"/>
    <n v="1000"/>
    <n v="0"/>
    <n v="0"/>
    <n v="280.94"/>
    <n v="0"/>
    <n v="0"/>
    <n v="0"/>
    <n v="229.51"/>
    <n v="0"/>
    <n v="0"/>
    <n v="0"/>
    <n v="0"/>
    <n v="0"/>
    <n v="510.45"/>
    <n v="0"/>
  </r>
  <r>
    <x v="5"/>
    <x v="1"/>
    <x v="0"/>
    <s v="2533200"/>
    <n v="700034"/>
    <s v="Salaries-Tech/Professional-Other"/>
    <s v="Ortho/Sport Med-SA-Ortho Surg"/>
    <x v="0"/>
    <n v="2000"/>
    <n v="0"/>
    <n v="13.5"/>
    <n v="42.12"/>
    <n v="-0.12"/>
    <n v="0"/>
    <n v="0"/>
    <n v="29.5"/>
    <n v="15.02"/>
    <n v="26.58"/>
    <n v="-4"/>
    <n v="0"/>
    <n v="0"/>
    <n v="122.6"/>
    <n v="0"/>
  </r>
  <r>
    <x v="5"/>
    <x v="1"/>
    <x v="0"/>
    <s v="2533200"/>
    <n v="700054"/>
    <s v="Salaries-Management-NonProd-Other"/>
    <s v="Ortho/Sport Med-SA-Ortho Surg"/>
    <x v="0"/>
    <n v="2000"/>
    <n v="0"/>
    <n v="0"/>
    <n v="0"/>
    <n v="0"/>
    <n v="0"/>
    <n v="155"/>
    <n v="-155"/>
    <n v="0"/>
    <n v="0"/>
    <n v="0"/>
    <n v="0"/>
    <n v="0"/>
    <n v="0"/>
    <n v="0"/>
  </r>
  <r>
    <x v="5"/>
    <x v="1"/>
    <x v="0"/>
    <s v="2533200"/>
    <n v="700062"/>
    <s v="Salaries-Physician-Non-productive"/>
    <s v="Ortho/Sport Med-SA-Ortho Surg"/>
    <x v="0"/>
    <m/>
    <n v="62374.62"/>
    <n v="25338.07"/>
    <n v="14556.86"/>
    <n v="-5144.2299999999996"/>
    <n v="10288.459999999999"/>
    <n v="23083.7"/>
    <n v="6939.4"/>
    <n v="37579.83"/>
    <n v="13256.91"/>
    <n v="25015.599999999999"/>
    <n v="-11404.4"/>
    <n v="8451.84"/>
    <n v="210336.66000000003"/>
    <n v="-19856.239999999998"/>
  </r>
  <r>
    <x v="5"/>
    <x v="1"/>
    <x v="0"/>
    <s v="2533200"/>
    <n v="700062"/>
    <s v="Salaries-Physician-NonProd-Other"/>
    <s v="Ortho/Sport Med-SA-Ortho Surg"/>
    <x v="0"/>
    <n v="2000"/>
    <n v="0"/>
    <n v="0"/>
    <n v="0"/>
    <n v="0"/>
    <n v="1567.76"/>
    <n v="2660.52"/>
    <n v="0"/>
    <n v="-4228.28"/>
    <n v="0"/>
    <n v="0"/>
    <n v="0"/>
    <n v="0"/>
    <n v="0"/>
    <n v="0"/>
  </r>
  <r>
    <x v="5"/>
    <x v="1"/>
    <x v="0"/>
    <s v="2533200"/>
    <n v="700064"/>
    <s v="Salaries-Advanced Practice Clinician-Non-Productive"/>
    <s v="Ortho/Sport Med-SA-Ortho Surg"/>
    <x v="0"/>
    <m/>
    <n v="3339.16"/>
    <n v="12142.58"/>
    <n v="552.41999999999996"/>
    <n v="463.37"/>
    <n v="2775.8"/>
    <n v="13157.13"/>
    <n v="2074.9699999999998"/>
    <n v="4286.4399999999996"/>
    <n v="190.66"/>
    <n v="6502.41"/>
    <n v="-840.33"/>
    <n v="7239.4"/>
    <n v="51884.01"/>
    <n v="-8079.73"/>
  </r>
  <r>
    <x v="5"/>
    <x v="1"/>
    <x v="0"/>
    <s v="2533200"/>
    <n v="700066"/>
    <s v="Salaries-RN-Non-productive"/>
    <s v="Ortho/Sport Med-SA-Ortho Surg"/>
    <x v="0"/>
    <m/>
    <n v="2415.61"/>
    <n v="1648.44"/>
    <n v="417.09"/>
    <n v="227.53"/>
    <n v="299.45999999999998"/>
    <n v="3043.53"/>
    <n v="3124.11"/>
    <n v="1655.19"/>
    <n v="2120.9899999999998"/>
    <n v="581.66"/>
    <n v="137.6"/>
    <n v="1608.79"/>
    <n v="17280"/>
    <n v="-1471.19"/>
  </r>
  <r>
    <x v="5"/>
    <x v="1"/>
    <x v="0"/>
    <s v="2533200"/>
    <n v="700066"/>
    <s v="Salaries-RN-NonProd-Other"/>
    <s v="Ortho/Sport Med-SA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3200"/>
    <n v="700072"/>
    <s v="Salaries-Other Pat Care Providers-Non-productive"/>
    <s v="Ortho/Sport Med-SA-Ortho Surg"/>
    <x v="0"/>
    <m/>
    <n v="2080.12"/>
    <n v="-45.22"/>
    <n v="390.58"/>
    <n v="299.95"/>
    <n v="278.08"/>
    <n v="893.9"/>
    <n v="1288.3800000000001"/>
    <n v="442.55"/>
    <n v="102.1"/>
    <n v="22.29"/>
    <n v="3994.04"/>
    <n v="-503"/>
    <n v="9243.77"/>
    <n v="4497.04"/>
  </r>
  <r>
    <x v="5"/>
    <x v="1"/>
    <x v="0"/>
    <s v="2533200"/>
    <n v="700072"/>
    <s v="Salaries-Other Pat Care Providers-NonProd-Other"/>
    <s v="Ortho/Sport Med-SA-Ortho Surg"/>
    <x v="0"/>
    <n v="2000"/>
    <n v="0"/>
    <n v="0"/>
    <n v="0"/>
    <n v="0"/>
    <n v="408.05"/>
    <n v="816.1"/>
    <n v="0"/>
    <n v="-1224.1500000000001"/>
    <n v="0"/>
    <n v="0"/>
    <n v="0"/>
    <n v="0"/>
    <n v="0"/>
    <n v="0"/>
  </r>
  <r>
    <x v="5"/>
    <x v="1"/>
    <x v="0"/>
    <s v="2533200"/>
    <n v="700074"/>
    <s v="Salaries-Tech/Professional-Non-productive"/>
    <s v="Ortho/Sport Med-SA-Ortho Surg"/>
    <x v="0"/>
    <m/>
    <n v="1677.66"/>
    <n v="987.98"/>
    <n v="255.44"/>
    <n v="385.88"/>
    <n v="-217.28"/>
    <n v="2225.42"/>
    <n v="109.04"/>
    <n v="737.8"/>
    <n v="44.19"/>
    <n v="-50.99"/>
    <n v="0"/>
    <n v="272"/>
    <n v="6427.14"/>
    <n v="-272"/>
  </r>
  <r>
    <x v="5"/>
    <x v="1"/>
    <x v="0"/>
    <s v="2533200"/>
    <n v="700074"/>
    <s v="Salaries-Tech/Professional-NonProd-Other"/>
    <s v="Ortho/Sport Med-SA-Ortho Surg"/>
    <x v="0"/>
    <n v="2000"/>
    <n v="8.24"/>
    <n v="0"/>
    <n v="0"/>
    <n v="0"/>
    <n v="0"/>
    <n v="0"/>
    <n v="0"/>
    <n v="0"/>
    <n v="0"/>
    <n v="0"/>
    <n v="0"/>
    <n v="0"/>
    <n v="8.24"/>
    <n v="0"/>
  </r>
  <r>
    <x v="5"/>
    <x v="1"/>
    <x v="0"/>
    <s v="2533200"/>
    <n v="700084"/>
    <s v="Accrued PTO"/>
    <s v="Ortho/Sport Med-SA-Ortho Surg"/>
    <x v="0"/>
    <m/>
    <n v="-3302.89"/>
    <n v="253"/>
    <n v="880.91"/>
    <n v="2463.79"/>
    <n v="2082.02"/>
    <n v="-1436.81"/>
    <n v="-1128.31"/>
    <n v="-570.84"/>
    <n v="437.99"/>
    <n v="1356.24"/>
    <n v="126.45"/>
    <n v="1718.91"/>
    <n v="2880.46"/>
    <n v="-1592.46"/>
  </r>
  <r>
    <x v="6"/>
    <x v="1"/>
    <x v="0"/>
    <s v="2533200"/>
    <n v="713010"/>
    <s v="Benefits-FICA/Medicare"/>
    <s v="Ortho/Sport Med-SA-Ortho Surg"/>
    <x v="0"/>
    <m/>
    <n v="6316.54"/>
    <n v="9678.16"/>
    <n v="6255.96"/>
    <n v="5798.89"/>
    <n v="5884.99"/>
    <n v="11735.96"/>
    <n v="19366.84"/>
    <n v="11749.74"/>
    <n v="7208.01"/>
    <n v="7289.24"/>
    <n v="6990.39"/>
    <n v="6093.26"/>
    <n v="104367.98"/>
    <n v="897.13000000000011"/>
  </r>
  <r>
    <x v="6"/>
    <x v="1"/>
    <x v="0"/>
    <s v="2533200"/>
    <n v="713090"/>
    <s v="Benefits-Allocated Amounts"/>
    <s v="Ortho/Sport Med-SA-Ortho Surg"/>
    <x v="0"/>
    <m/>
    <n v="0"/>
    <n v="0"/>
    <n v="0"/>
    <n v="0"/>
    <n v="0"/>
    <n v="0"/>
    <n v="0"/>
    <n v="0"/>
    <n v="85780.35"/>
    <n v="10379.07"/>
    <n v="9292.98"/>
    <n v="8648.25"/>
    <n v="114100.65000000001"/>
    <n v="644.72999999999956"/>
  </r>
  <r>
    <x v="6"/>
    <x v="1"/>
    <x v="0"/>
    <s v="2533200"/>
    <n v="713092"/>
    <s v="Allocated Benefits-Physician"/>
    <s v="Ortho/Sport Med-SA-Ortho Surg"/>
    <x v="0"/>
    <m/>
    <n v="11390.37"/>
    <n v="10629.75"/>
    <n v="10842.92"/>
    <n v="11602.82"/>
    <n v="11532.18"/>
    <n v="11745.44"/>
    <n v="14615.06"/>
    <n v="13278.27"/>
    <n v="-45115.87"/>
    <n v="6112.83"/>
    <n v="5473.17"/>
    <n v="5093.4399999999996"/>
    <n v="67200.37999999999"/>
    <n v="379.73000000000047"/>
  </r>
  <r>
    <x v="6"/>
    <x v="1"/>
    <x v="0"/>
    <s v="2533200"/>
    <n v="713093"/>
    <s v="Allocated Benefits-Advanced Practice Clinician"/>
    <s v="Ortho/Sport Med-SA-Ortho Surg"/>
    <x v="0"/>
    <m/>
    <n v="7593.58"/>
    <n v="7086.5"/>
    <n v="7228.61"/>
    <n v="7735.22"/>
    <n v="7688.12"/>
    <n v="7830.29"/>
    <n v="9743.3799999999992"/>
    <n v="8852.18"/>
    <n v="-15827.76"/>
    <n v="5799.35"/>
    <n v="5192.5"/>
    <n v="4832.24"/>
    <n v="63754.209999999992"/>
    <n v="360.26000000000022"/>
  </r>
  <r>
    <x v="7"/>
    <x v="1"/>
    <x v="0"/>
    <s v="2533200"/>
    <n v="718010"/>
    <s v="Media/Print Advertising"/>
    <s v="Ortho/Sport Med-SA-Ortho Surg"/>
    <x v="0"/>
    <n v="1004"/>
    <n v="0"/>
    <n v="0"/>
    <n v="0"/>
    <n v="180.92"/>
    <n v="0"/>
    <n v="0"/>
    <n v="0"/>
    <n v="0"/>
    <n v="0"/>
    <n v="0"/>
    <n v="0"/>
    <n v="0"/>
    <n v="180.92"/>
    <n v="0"/>
  </r>
  <r>
    <x v="7"/>
    <x v="1"/>
    <x v="0"/>
    <s v="2533200"/>
    <n v="718050"/>
    <s v="Miscellaneous Purchased Svcs"/>
    <s v="Ortho/Sport Med-SA-Ortho Surg"/>
    <x v="0"/>
    <n v="1020"/>
    <n v="564.22"/>
    <n v="-604.65"/>
    <n v="600"/>
    <n v="427.16"/>
    <n v="880.67"/>
    <n v="456.86"/>
    <n v="600"/>
    <n v="550.73"/>
    <n v="785.87"/>
    <n v="49.99"/>
    <n v="989.42"/>
    <n v="646.30999999999995"/>
    <n v="5946.58"/>
    <n v="343.11"/>
  </r>
  <r>
    <x v="7"/>
    <x v="1"/>
    <x v="0"/>
    <s v="2533200"/>
    <n v="718050"/>
    <s v="Contract Management--Linen"/>
    <s v="Ortho/Sport Med-SA-Ortho Surg"/>
    <x v="0"/>
    <n v="1026"/>
    <n v="0"/>
    <n v="0"/>
    <n v="0"/>
    <n v="0"/>
    <n v="0"/>
    <n v="0"/>
    <n v="39.5"/>
    <n v="0"/>
    <n v="0"/>
    <n v="0"/>
    <n v="0"/>
    <n v="0"/>
    <n v="39.5"/>
    <n v="0"/>
  </r>
  <r>
    <x v="11"/>
    <x v="1"/>
    <x v="0"/>
    <s v="2533200"/>
    <n v="721010"/>
    <s v="Supplies-Medical - Billable"/>
    <s v="Ortho/Sport Med-SA-Ortho Surg"/>
    <x v="0"/>
    <m/>
    <n v="446.36"/>
    <n v="125.02"/>
    <n v="1226.8399999999999"/>
    <n v="1014.77"/>
    <n v="311.64999999999998"/>
    <n v="129.51"/>
    <n v="0"/>
    <n v="216.7"/>
    <n v="206.27"/>
    <n v="0"/>
    <n v="0"/>
    <n v="845.23"/>
    <n v="4522.3499999999995"/>
    <n v="-845.23"/>
  </r>
  <r>
    <x v="11"/>
    <x v="1"/>
    <x v="0"/>
    <s v="2533200"/>
    <n v="721150"/>
    <s v="Surgical Orthopedic"/>
    <s v="Ortho/Sport Med-SA-Ortho Surg"/>
    <x v="0"/>
    <n v="1000"/>
    <n v="917.93"/>
    <n v="1218.6300000000001"/>
    <n v="616.86"/>
    <n v="1814.18"/>
    <n v="203.74"/>
    <n v="2414.83"/>
    <n v="435.85"/>
    <n v="2465.9"/>
    <n v="1035.75"/>
    <n v="626.48"/>
    <n v="0"/>
    <n v="558.1"/>
    <n v="12308.25"/>
    <n v="-558.1"/>
  </r>
  <r>
    <x v="11"/>
    <x v="1"/>
    <x v="0"/>
    <s v="2533200"/>
    <n v="721410"/>
    <s v="Supplies-Medical - Nonbillable"/>
    <s v="Ortho/Sport Med-SA-Ortho Surg"/>
    <x v="0"/>
    <m/>
    <n v="1128.42"/>
    <n v="311.36"/>
    <n v="1605.69"/>
    <n v="598.38"/>
    <n v="882.49"/>
    <n v="1408.36"/>
    <n v="410.45"/>
    <n v="1030.95"/>
    <n v="884.92"/>
    <n v="262.20999999999998"/>
    <n v="0"/>
    <n v="1211.4100000000001"/>
    <n v="9734.6399999999976"/>
    <n v="-1211.4100000000001"/>
  </r>
  <r>
    <x v="11"/>
    <x v="1"/>
    <x v="0"/>
    <s v="2533200"/>
    <n v="721910"/>
    <s v="Supplies-Small Equipment"/>
    <s v="Ortho/Sport Med-SA-Ortho Surg"/>
    <x v="0"/>
    <m/>
    <n v="0"/>
    <n v="0"/>
    <n v="0"/>
    <n v="250.05"/>
    <n v="0"/>
    <n v="0"/>
    <n v="0"/>
    <n v="0"/>
    <n v="0"/>
    <n v="0"/>
    <n v="0"/>
    <n v="0"/>
    <n v="250.05"/>
    <n v="0"/>
  </r>
  <r>
    <x v="11"/>
    <x v="1"/>
    <x v="0"/>
    <s v="2533200"/>
    <n v="722000"/>
    <s v="Supplies-Freight Expense"/>
    <s v="Ortho/Sport Med-SA-Ortho Surg"/>
    <x v="0"/>
    <m/>
    <n v="0"/>
    <n v="0"/>
    <n v="0"/>
    <n v="0"/>
    <n v="0"/>
    <n v="0"/>
    <n v="0"/>
    <n v="0"/>
    <n v="0"/>
    <n v="0"/>
    <n v="0"/>
    <n v="32.36"/>
    <n v="32.36"/>
    <n v="-32.36"/>
  </r>
  <r>
    <x v="16"/>
    <x v="1"/>
    <x v="0"/>
    <s v="2533200"/>
    <n v="732015"/>
    <s v="Repairs-Clinical Equip-T&amp;M-Ext to CHI Programs"/>
    <s v="Ortho/Sport Med-SA-Ortho Surg"/>
    <x v="0"/>
    <m/>
    <n v="0"/>
    <n v="49.04"/>
    <n v="1132.8800000000001"/>
    <n v="49.04"/>
    <n v="49.04"/>
    <n v="49.04"/>
    <n v="49.04"/>
    <n v="49.04"/>
    <n v="49.04"/>
    <n v="49.04"/>
    <n v="0"/>
    <n v="0"/>
    <n v="1525.1999999999998"/>
    <n v="0"/>
  </r>
  <r>
    <x v="0"/>
    <x v="1"/>
    <x v="0"/>
    <s v="2533200"/>
    <n v="740022"/>
    <s v="Education-Physician"/>
    <s v="Ortho/Sport Med-SA-Ortho Surg"/>
    <x v="0"/>
    <m/>
    <n v="0"/>
    <n v="0"/>
    <n v="0"/>
    <n v="0"/>
    <n v="0"/>
    <n v="0"/>
    <n v="0"/>
    <n v="0"/>
    <n v="1500"/>
    <n v="320"/>
    <n v="0"/>
    <n v="0"/>
    <n v="1820"/>
    <n v="0"/>
  </r>
  <r>
    <x v="0"/>
    <x v="1"/>
    <x v="0"/>
    <s v="2533200"/>
    <n v="740023"/>
    <s v="Education-Advanced Practice Clinician"/>
    <s v="Ortho/Sport Med-SA-Ortho Surg"/>
    <x v="0"/>
    <m/>
    <n v="0"/>
    <n v="0"/>
    <n v="0"/>
    <n v="0"/>
    <n v="0"/>
    <n v="0"/>
    <n v="675"/>
    <n v="0"/>
    <n v="0"/>
    <n v="0"/>
    <n v="0"/>
    <n v="675"/>
    <n v="1350"/>
    <n v="-675"/>
  </r>
  <r>
    <x v="8"/>
    <x v="1"/>
    <x v="0"/>
    <s v="2533200"/>
    <n v="741012"/>
    <s v="Physician Liab Insurance-CHI Program"/>
    <s v="Ortho/Sport Med-SA-Ortho Surg"/>
    <x v="0"/>
    <m/>
    <n v="7389.24"/>
    <n v="7389.24"/>
    <n v="7389.24"/>
    <n v="7389.24"/>
    <n v="7389.27"/>
    <n v="7389.24"/>
    <n v="7389.27"/>
    <n v="7389.24"/>
    <n v="7389.27"/>
    <n v="7389.24"/>
    <n v="5398.56"/>
    <n v="4926.16"/>
    <n v="84217.209999999992"/>
    <n v="472.40000000000055"/>
  </r>
  <r>
    <x v="0"/>
    <x v="1"/>
    <x v="0"/>
    <s v="2533200"/>
    <n v="743020"/>
    <s v="Dues--Individual"/>
    <s v="Ortho/Sport Med-SA-Ortho Surg"/>
    <x v="0"/>
    <m/>
    <n v="0"/>
    <n v="0"/>
    <n v="0"/>
    <n v="0"/>
    <n v="0"/>
    <n v="0"/>
    <n v="0"/>
    <n v="1855"/>
    <n v="0"/>
    <n v="0"/>
    <n v="0"/>
    <n v="0"/>
    <n v="1855"/>
    <n v="0"/>
  </r>
  <r>
    <x v="0"/>
    <x v="1"/>
    <x v="0"/>
    <s v="2533200"/>
    <n v="743020"/>
    <s v="Provider-Dues"/>
    <s v="Ortho/Sport Med-SA-Ortho Surg"/>
    <x v="0"/>
    <n v="22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2533200"/>
    <n v="743022"/>
    <s v="Dues-Physician"/>
    <s v="Ortho/Sport Med-SA-Ortho Surg"/>
    <x v="0"/>
    <m/>
    <n v="0"/>
    <n v="0"/>
    <n v="0"/>
    <n v="0"/>
    <n v="0"/>
    <n v="0"/>
    <n v="1970"/>
    <n v="2105"/>
    <n v="0"/>
    <n v="0"/>
    <n v="0"/>
    <n v="0"/>
    <n v="4075"/>
    <n v="0"/>
  </r>
  <r>
    <x v="0"/>
    <x v="1"/>
    <x v="0"/>
    <s v="2533200"/>
    <n v="743023"/>
    <s v="Dues-Advanced Practice Clinician"/>
    <s v="Ortho/Sport Med-SA-Ortho Surg"/>
    <x v="0"/>
    <m/>
    <n v="0"/>
    <n v="0"/>
    <n v="0"/>
    <n v="0"/>
    <n v="0"/>
    <n v="0"/>
    <n v="125"/>
    <n v="145"/>
    <n v="0"/>
    <n v="0"/>
    <n v="0"/>
    <n v="0"/>
    <n v="270"/>
    <n v="0"/>
  </r>
  <r>
    <x v="0"/>
    <x v="1"/>
    <x v="0"/>
    <s v="2533200"/>
    <n v="749510"/>
    <s v="Miscellaneous Expenses"/>
    <s v="Ortho/Sport Med-SA-Ortho Surg"/>
    <x v="0"/>
    <m/>
    <n v="2613.5700000000002"/>
    <n v="-1214.97"/>
    <n v="122.43"/>
    <n v="70.849999999999994"/>
    <n v="56.68"/>
    <n v="-127.53"/>
    <n v="220.4"/>
    <n v="-160.08000000000001"/>
    <n v="-60.32"/>
    <n v="0"/>
    <n v="202"/>
    <n v="-126.6"/>
    <n v="1596.4300000000005"/>
    <n v="328.6"/>
  </r>
  <r>
    <x v="0"/>
    <x v="1"/>
    <x v="0"/>
    <s v="2533200"/>
    <n v="749510"/>
    <s v="Licenses"/>
    <s v="Ortho/Sport Med-SA-Ortho Surg"/>
    <x v="0"/>
    <n v="1002"/>
    <n v="0"/>
    <n v="0"/>
    <n v="129"/>
    <n v="0"/>
    <n v="-110"/>
    <n v="0"/>
    <n v="0"/>
    <n v="0"/>
    <n v="0"/>
    <n v="0"/>
    <n v="0"/>
    <n v="0"/>
    <n v="19"/>
    <n v="0"/>
  </r>
  <r>
    <x v="0"/>
    <x v="1"/>
    <x v="0"/>
    <s v="2533200"/>
    <n v="749512"/>
    <s v="Licenses-Physician"/>
    <s v="Ortho/Sport Med-SA-Ortho Surg"/>
    <x v="0"/>
    <n v="2000"/>
    <n v="0"/>
    <n v="0"/>
    <n v="0"/>
    <n v="1314"/>
    <n v="0"/>
    <n v="0"/>
    <n v="0"/>
    <n v="0"/>
    <n v="0"/>
    <n v="731"/>
    <n v="0"/>
    <n v="0"/>
    <n v="2045"/>
    <n v="0"/>
  </r>
  <r>
    <x v="0"/>
    <x v="1"/>
    <x v="0"/>
    <s v="2533200"/>
    <n v="749513"/>
    <s v="Licenses-Advanced Practice Clinician"/>
    <s v="Ortho/Sport Med-SA-Ortho Surg"/>
    <x v="0"/>
    <n v="2000"/>
    <n v="0"/>
    <n v="0"/>
    <n v="0"/>
    <n v="0"/>
    <n v="202"/>
    <n v="0"/>
    <n v="0"/>
    <n v="0"/>
    <n v="0"/>
    <n v="731"/>
    <n v="0"/>
    <n v="202"/>
    <n v="1135"/>
    <n v="-202"/>
  </r>
  <r>
    <x v="0"/>
    <x v="1"/>
    <x v="0"/>
    <s v="2533200"/>
    <n v="749530"/>
    <s v="Travel"/>
    <s v="Ortho/Sport Med-SA-Ortho Surg"/>
    <x v="0"/>
    <m/>
    <n v="0"/>
    <n v="0"/>
    <n v="5"/>
    <n v="25"/>
    <n v="5"/>
    <n v="0"/>
    <n v="0"/>
    <n v="0"/>
    <n v="0"/>
    <n v="0"/>
    <n v="5"/>
    <n v="0"/>
    <n v="40"/>
    <n v="5"/>
  </r>
  <r>
    <x v="0"/>
    <x v="1"/>
    <x v="0"/>
    <s v="2533200"/>
    <n v="749530"/>
    <s v="Mileage"/>
    <s v="Ortho/Sport Med-SA-Ortho Surg"/>
    <x v="0"/>
    <n v="1001"/>
    <n v="42.51"/>
    <n v="0"/>
    <n v="142.79"/>
    <n v="147.15"/>
    <n v="86.66"/>
    <n v="170.04"/>
    <n v="56.68"/>
    <n v="150.80000000000001"/>
    <n v="105.56"/>
    <n v="60.32"/>
    <n v="91.06"/>
    <n v="0"/>
    <n v="1053.57"/>
    <n v="91.06"/>
  </r>
  <r>
    <x v="0"/>
    <x v="1"/>
    <x v="0"/>
    <s v="2533200"/>
    <n v="749532"/>
    <s v="Travel-Physician"/>
    <s v="Ortho/Sport Med-SA-Ortho Surg"/>
    <x v="0"/>
    <m/>
    <n v="0"/>
    <n v="1306.08"/>
    <n v="0"/>
    <n v="0"/>
    <n v="0"/>
    <n v="0"/>
    <n v="0"/>
    <n v="0"/>
    <n v="1404.25"/>
    <n v="1201.3800000000001"/>
    <n v="0"/>
    <n v="0"/>
    <n v="3911.71"/>
    <n v="0"/>
  </r>
  <r>
    <x v="0"/>
    <x v="1"/>
    <x v="0"/>
    <s v="2533200"/>
    <n v="749533"/>
    <s v="Travel-Advanced Practice Clinician"/>
    <s v="Ortho/Sport Med-SA-Ortho Surg"/>
    <x v="0"/>
    <m/>
    <n v="0"/>
    <n v="0"/>
    <n v="0"/>
    <n v="0"/>
    <n v="0"/>
    <n v="0"/>
    <n v="0"/>
    <n v="0"/>
    <n v="0"/>
    <n v="926.13"/>
    <n v="0"/>
    <n v="1258.47"/>
    <n v="2184.6"/>
    <n v="-1258.47"/>
  </r>
  <r>
    <x v="9"/>
    <x v="1"/>
    <x v="0"/>
    <s v="2533200"/>
    <n v="800015"/>
    <s v="Interest Income-Ext to CHI"/>
    <s v="Ortho/Sport Med-SA-Ortho Surg"/>
    <x v="0"/>
    <m/>
    <n v="0"/>
    <n v="-50.95"/>
    <n v="-47.26"/>
    <n v="-46.71"/>
    <n v="-43.15"/>
    <n v="-42.46"/>
    <n v="-40.340000000000003"/>
    <n v="-34.520000000000003"/>
    <n v="-36.090000000000003"/>
    <n v="-32.869999999999997"/>
    <n v="-31.84"/>
    <n v="-28.76"/>
    <n v="-434.95"/>
    <n v="-3.0799999999999983"/>
  </r>
  <r>
    <x v="1"/>
    <x v="1"/>
    <x v="0"/>
    <s v="2534200"/>
    <n v="400029"/>
    <s v="MD Practice Other Rev--Medicare"/>
    <s v="Ortho/Sport Med-SA-Radiology"/>
    <x v="0"/>
    <n v="1100"/>
    <n v="0"/>
    <n v="-395"/>
    <n v="0"/>
    <n v="-148"/>
    <n v="0"/>
    <n v="0"/>
    <n v="0"/>
    <n v="0"/>
    <n v="0"/>
    <n v="0"/>
    <n v="0"/>
    <n v="0"/>
    <n v="-543"/>
    <n v="0"/>
  </r>
  <r>
    <x v="1"/>
    <x v="1"/>
    <x v="0"/>
    <s v="2534200"/>
    <n v="400029"/>
    <s v="MD Practice Other Rev--Medicaid"/>
    <s v="Ortho/Sport Med-SA-Radiology"/>
    <x v="0"/>
    <n v="1200"/>
    <n v="0"/>
    <n v="-64"/>
    <n v="0"/>
    <n v="0"/>
    <n v="0"/>
    <n v="0"/>
    <n v="0"/>
    <n v="0"/>
    <n v="0"/>
    <n v="0"/>
    <n v="0"/>
    <n v="0"/>
    <n v="-64"/>
    <n v="0"/>
  </r>
  <r>
    <x v="1"/>
    <x v="1"/>
    <x v="0"/>
    <s v="2534200"/>
    <n v="400029"/>
    <s v="MD Practice Other Rev--Comm Insurance"/>
    <s v="Ortho/Sport Med-SA-Radiology"/>
    <x v="0"/>
    <n v="1300"/>
    <n v="0"/>
    <n v="0"/>
    <n v="0"/>
    <n v="0"/>
    <n v="0"/>
    <n v="0"/>
    <n v="0"/>
    <n v="0"/>
    <n v="0"/>
    <n v="-56"/>
    <n v="0"/>
    <n v="0"/>
    <n v="-56"/>
    <n v="0"/>
  </r>
  <r>
    <x v="1"/>
    <x v="1"/>
    <x v="0"/>
    <s v="2534200"/>
    <n v="400029"/>
    <s v="MD Practice Other Rev--BCBS Comm"/>
    <s v="Ortho/Sport Med-SA-Radiology"/>
    <x v="0"/>
    <n v="1301"/>
    <n v="0"/>
    <n v="-91"/>
    <n v="0"/>
    <n v="0"/>
    <n v="0"/>
    <n v="0"/>
    <n v="0"/>
    <n v="0"/>
    <n v="0"/>
    <n v="0"/>
    <n v="0"/>
    <n v="0"/>
    <n v="-91"/>
    <n v="0"/>
  </r>
  <r>
    <x v="1"/>
    <x v="1"/>
    <x v="0"/>
    <s v="2534200"/>
    <n v="400029"/>
    <s v="MD Practice Other Rev--Managed Care"/>
    <s v="Ortho/Sport Med-SA-Radiology"/>
    <x v="0"/>
    <n v="1400"/>
    <n v="0"/>
    <n v="-236"/>
    <n v="0"/>
    <n v="0"/>
    <n v="0"/>
    <n v="0"/>
    <n v="0"/>
    <n v="0"/>
    <n v="0"/>
    <n v="0"/>
    <n v="0"/>
    <n v="0"/>
    <n v="-236"/>
    <n v="0"/>
  </r>
  <r>
    <x v="2"/>
    <x v="1"/>
    <x v="0"/>
    <s v="2534200"/>
    <n v="450029"/>
    <s v="Contr Allow--MD Other-Medicare"/>
    <s v="Ortho/Sport Med-SA-Radiology"/>
    <x v="0"/>
    <n v="1100"/>
    <n v="0"/>
    <n v="233.55"/>
    <n v="2.96"/>
    <n v="0"/>
    <n v="0"/>
    <n v="0"/>
    <n v="30.42"/>
    <n v="0"/>
    <n v="0"/>
    <n v="0"/>
    <n v="0"/>
    <n v="0"/>
    <n v="266.93"/>
    <n v="0"/>
  </r>
  <r>
    <x v="2"/>
    <x v="1"/>
    <x v="0"/>
    <s v="2534200"/>
    <n v="450029"/>
    <s v="Contr Allow--MD Other-Medicaid"/>
    <s v="Ortho/Sport Med-SA-Radiology"/>
    <x v="0"/>
    <n v="1200"/>
    <n v="122.62"/>
    <n v="0"/>
    <n v="64"/>
    <n v="0"/>
    <n v="0"/>
    <n v="0"/>
    <n v="0"/>
    <n v="0"/>
    <n v="0"/>
    <n v="0"/>
    <n v="0"/>
    <n v="0"/>
    <n v="186.62"/>
    <n v="0"/>
  </r>
  <r>
    <x v="2"/>
    <x v="1"/>
    <x v="0"/>
    <s v="2534200"/>
    <n v="450029"/>
    <s v="Contr Allow--MD Other BCBS Comm"/>
    <s v="Ortho/Sport Med-SA-Radiology"/>
    <x v="0"/>
    <n v="1301"/>
    <n v="0"/>
    <n v="45.99"/>
    <n v="0"/>
    <n v="0"/>
    <n v="0"/>
    <n v="0"/>
    <n v="0"/>
    <n v="0"/>
    <n v="0"/>
    <n v="0"/>
    <n v="0"/>
    <n v="0"/>
    <n v="45.99"/>
    <n v="0"/>
  </r>
  <r>
    <x v="2"/>
    <x v="1"/>
    <x v="0"/>
    <s v="2534200"/>
    <n v="450029"/>
    <s v="Contr Allow--MD Other-Managed Care"/>
    <s v="Ortho/Sport Med-SA-Radiology"/>
    <x v="0"/>
    <n v="1400"/>
    <n v="0"/>
    <n v="94.1"/>
    <n v="0"/>
    <n v="0"/>
    <n v="0"/>
    <n v="0"/>
    <n v="0"/>
    <n v="0"/>
    <n v="0"/>
    <n v="0"/>
    <n v="0"/>
    <n v="0"/>
    <n v="94.1"/>
    <n v="0"/>
  </r>
  <r>
    <x v="2"/>
    <x v="1"/>
    <x v="0"/>
    <s v="2534200"/>
    <n v="450040"/>
    <s v="Contr Allow--Phys Svcs--BCBS Mgnd Care"/>
    <s v="Ortho/Sport Med-SA-Radiology"/>
    <x v="0"/>
    <n v="1401"/>
    <n v="-82.17"/>
    <n v="108.51"/>
    <n v="-45.45"/>
    <n v="43.21"/>
    <n v="-0.03"/>
    <n v="-13.36"/>
    <n v="-54.89"/>
    <n v="1.17"/>
    <n v="0.05"/>
    <n v="29.41"/>
    <n v="15.56"/>
    <n v="-0.74"/>
    <n v="1.2699999999999998"/>
    <n v="16.3"/>
  </r>
  <r>
    <x v="3"/>
    <x v="1"/>
    <x v="0"/>
    <s v="2534200"/>
    <n v="470040"/>
    <s v="Charity Care-Physician Svcs"/>
    <s v="Ortho/Sport Med-SA-Radiology"/>
    <x v="0"/>
    <m/>
    <n v="-2.85"/>
    <n v="4.38"/>
    <n v="-2.0099999999999998"/>
    <n v="1.44"/>
    <n v="0.21"/>
    <n v="-1.01"/>
    <n v="23.15"/>
    <n v="-0.16"/>
    <n v="0.39"/>
    <n v="0.78"/>
    <n v="-0.03"/>
    <n v="0.72"/>
    <n v="25.009999999999998"/>
    <n v="-0.75"/>
  </r>
  <r>
    <x v="4"/>
    <x v="1"/>
    <x v="0"/>
    <s v="2534200"/>
    <n v="490010"/>
    <s v="Provision for Bad Debts"/>
    <s v="Ortho/Sport Med-SA-Radiology"/>
    <x v="0"/>
    <m/>
    <n v="-11.35"/>
    <n v="15.19"/>
    <n v="-7.03"/>
    <n v="4.13"/>
    <n v="1.02"/>
    <n v="-3.04"/>
    <n v="-7.8"/>
    <n v="-0.59"/>
    <n v="0.53"/>
    <n v="2.83"/>
    <n v="1.22"/>
    <n v="0.5"/>
    <n v="-4.3900000000000015"/>
    <n v="0.72"/>
  </r>
  <r>
    <x v="5"/>
    <x v="1"/>
    <x v="0"/>
    <s v="2534200"/>
    <n v="700032"/>
    <s v="Salaries-Other Pat Care Providers-Productive"/>
    <s v="Ortho/Sport Med-SA-Radiology"/>
    <x v="0"/>
    <m/>
    <n v="2942.1"/>
    <n v="2570.17"/>
    <n v="2403.9"/>
    <n v="4226.45"/>
    <n v="3383.72"/>
    <n v="2236.69"/>
    <n v="3340.98"/>
    <n v="2695.34"/>
    <n v="3238.25"/>
    <n v="3255.35"/>
    <n v="4033.44"/>
    <n v="-410.25"/>
    <n v="33916.14"/>
    <n v="4443.6900000000005"/>
  </r>
  <r>
    <x v="5"/>
    <x v="1"/>
    <x v="0"/>
    <s v="2534200"/>
    <n v="700034"/>
    <s v="Salaries-Tech/Professional-Productive"/>
    <s v="Ortho/Sport Med-SA-Radiology"/>
    <x v="0"/>
    <m/>
    <n v="1234.3"/>
    <n v="2843.61"/>
    <n v="951.74"/>
    <n v="1896.32"/>
    <n v="585.23"/>
    <n v="1183.1400000000001"/>
    <n v="2235.4"/>
    <n v="1435.18"/>
    <n v="2496.85"/>
    <n v="4574.3100000000004"/>
    <n v="4941.8999999999996"/>
    <n v="5064.24"/>
    <n v="29442.219999999994"/>
    <n v="-122.34000000000015"/>
  </r>
  <r>
    <x v="5"/>
    <x v="1"/>
    <x v="0"/>
    <s v="2534200"/>
    <n v="700034"/>
    <s v="Salaries-Tech/Professional-OT"/>
    <s v="Ortho/Sport Med-SA-Radiology"/>
    <x v="0"/>
    <n v="1000"/>
    <n v="78.56"/>
    <n v="315.18"/>
    <n v="488.22"/>
    <n v="-86.52"/>
    <n v="789.35"/>
    <n v="76.39"/>
    <n v="885.25"/>
    <n v="-127.97"/>
    <n v="187.43"/>
    <n v="856.83"/>
    <n v="42.05"/>
    <n v="430.18"/>
    <n v="3934.9500000000003"/>
    <n v="-388.13"/>
  </r>
  <r>
    <x v="5"/>
    <x v="1"/>
    <x v="0"/>
    <s v="2534200"/>
    <n v="700034"/>
    <s v="Salaries-Tech/Professional-Other"/>
    <s v="Ortho/Sport Med-SA-Radiology"/>
    <x v="0"/>
    <n v="2000"/>
    <n v="58.2"/>
    <n v="31.17"/>
    <n v="20.63"/>
    <n v="36.85"/>
    <n v="59.9"/>
    <n v="45.05"/>
    <n v="116.52"/>
    <n v="44.82"/>
    <n v="71.569999999999993"/>
    <n v="-5.12"/>
    <n v="64.099999999999994"/>
    <n v="-20.28"/>
    <n v="523.41"/>
    <n v="84.38"/>
  </r>
  <r>
    <x v="5"/>
    <x v="1"/>
    <x v="0"/>
    <s v="2534200"/>
    <n v="700072"/>
    <s v="Salaries-Other Pat Care Providers-Non-productive"/>
    <s v="Ortho/Sport Med-SA-Radiology"/>
    <x v="0"/>
    <m/>
    <n v="470.09"/>
    <n v="1453.03"/>
    <n v="641.04"/>
    <n v="213.68"/>
    <n v="218.48"/>
    <n v="917.61"/>
    <n v="481.41"/>
    <n v="831.43"/>
    <n v="-43.76"/>
    <n v="218.79"/>
    <n v="0"/>
    <n v="218.8"/>
    <n v="5620.6"/>
    <n v="-218.8"/>
  </r>
  <r>
    <x v="5"/>
    <x v="1"/>
    <x v="0"/>
    <s v="2534200"/>
    <n v="700072"/>
    <s v="Salaries-Other Pat Care Providers-NonProd-Other"/>
    <s v="Ortho/Sport Med-SA-Radi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4200"/>
    <n v="700074"/>
    <s v="Salaries-Tech/Professional-Non-productive"/>
    <s v="Ortho/Sport Med-SA-Radiology"/>
    <x v="0"/>
    <m/>
    <n v="1215.32"/>
    <n v="167.08"/>
    <n v="473.12"/>
    <n v="657.43"/>
    <n v="1592.99"/>
    <n v="972.98"/>
    <n v="1741.96"/>
    <n v="634.5"/>
    <n v="358.06"/>
    <n v="834.9"/>
    <n v="2205.7199999999998"/>
    <n v="-694.86"/>
    <n v="10159.199999999999"/>
    <n v="2900.58"/>
  </r>
  <r>
    <x v="5"/>
    <x v="1"/>
    <x v="0"/>
    <s v="2534200"/>
    <n v="700074"/>
    <s v="Salaries-Tech/Professional-NonProd-Other"/>
    <s v="Ortho/Sport Med-SA-Radiology"/>
    <x v="0"/>
    <n v="2000"/>
    <n v="0"/>
    <n v="0"/>
    <n v="0"/>
    <n v="0"/>
    <n v="0"/>
    <n v="0"/>
    <n v="0"/>
    <n v="0"/>
    <n v="0"/>
    <n v="15.11"/>
    <n v="0"/>
    <n v="0"/>
    <n v="15.11"/>
    <n v="0"/>
  </r>
  <r>
    <x v="5"/>
    <x v="1"/>
    <x v="0"/>
    <s v="2534200"/>
    <n v="700084"/>
    <s v="Accrued PTO"/>
    <s v="Ortho/Sport Med-SA-Radiology"/>
    <x v="0"/>
    <m/>
    <n v="-9.23"/>
    <n v="-508.12"/>
    <n v="-589.4"/>
    <n v="407.72"/>
    <n v="-1000.13"/>
    <n v="744.89"/>
    <n v="-918.5"/>
    <n v="-345.51"/>
    <n v="852.78"/>
    <n v="699.31"/>
    <n v="374.86"/>
    <n v="1056.33"/>
    <n v="765.00000000000011"/>
    <n v="-681.46999999999991"/>
  </r>
  <r>
    <x v="6"/>
    <x v="1"/>
    <x v="0"/>
    <s v="2534200"/>
    <n v="713010"/>
    <s v="Benefits-FICA/Medicare"/>
    <s v="Ortho/Sport Med-SA-Radiology"/>
    <x v="0"/>
    <m/>
    <n v="450.49"/>
    <n v="546.47"/>
    <n v="375.37"/>
    <n v="519.25"/>
    <n v="494.63"/>
    <n v="406.06"/>
    <n v="655.34"/>
    <n v="413.02"/>
    <n v="470.18"/>
    <n v="708.1"/>
    <n v="824.11"/>
    <n v="800.57"/>
    <n v="6663.59"/>
    <n v="23.539999999999964"/>
  </r>
  <r>
    <x v="6"/>
    <x v="1"/>
    <x v="0"/>
    <s v="2534200"/>
    <n v="713090"/>
    <s v="Benefits-Allocated Amounts"/>
    <s v="Ortho/Sport Med-SA-Radiology"/>
    <x v="0"/>
    <m/>
    <n v="1357.32"/>
    <n v="1381.79"/>
    <n v="1275.8800000000001"/>
    <n v="1477.23"/>
    <n v="1458.38"/>
    <n v="1186.4100000000001"/>
    <n v="2006.1"/>
    <n v="1574.13"/>
    <n v="1383.13"/>
    <n v="2134.56"/>
    <n v="2354.3000000000002"/>
    <n v="1262.08"/>
    <n v="18851.309999999998"/>
    <n v="1092.2200000000003"/>
  </r>
  <r>
    <x v="16"/>
    <x v="1"/>
    <x v="0"/>
    <s v="2534200"/>
    <n v="732015"/>
    <s v="Repairs-Clinical Equip-T&amp;M-Ext to CHI Programs"/>
    <s v="Ortho/Sport Med-SA-Radiology"/>
    <x v="0"/>
    <m/>
    <n v="0"/>
    <n v="0"/>
    <n v="0"/>
    <n v="88.1"/>
    <n v="0"/>
    <n v="0"/>
    <n v="0"/>
    <n v="0"/>
    <n v="0"/>
    <n v="0"/>
    <n v="0"/>
    <n v="0"/>
    <n v="88.1"/>
    <n v="0"/>
  </r>
  <r>
    <x v="0"/>
    <x v="1"/>
    <x v="0"/>
    <s v="2534200"/>
    <n v="749510"/>
    <s v="Miscellaneous Expenses"/>
    <s v="Ortho/Sport Med-SA-Radiology"/>
    <x v="0"/>
    <m/>
    <n v="-44.71"/>
    <n v="-273.73"/>
    <n v="0"/>
    <n v="266.02"/>
    <n v="184.25"/>
    <n v="-450.27"/>
    <n v="0"/>
    <n v="0"/>
    <n v="0"/>
    <n v="15.08"/>
    <n v="-15.08"/>
    <n v="411.64"/>
    <n v="93.199999999999989"/>
    <n v="-426.71999999999997"/>
  </r>
  <r>
    <x v="0"/>
    <x v="1"/>
    <x v="0"/>
    <s v="2534200"/>
    <n v="749530"/>
    <s v="Mileage"/>
    <s v="Ortho/Sport Med-SA-Radiology"/>
    <x v="0"/>
    <n v="1001"/>
    <n v="0"/>
    <n v="0"/>
    <n v="0"/>
    <n v="20.170000000000002"/>
    <n v="0"/>
    <n v="0"/>
    <n v="0"/>
    <n v="0"/>
    <n v="0"/>
    <n v="0"/>
    <n v="15.08"/>
    <n v="15.08"/>
    <n v="50.33"/>
    <n v="0"/>
  </r>
  <r>
    <x v="1"/>
    <x v="1"/>
    <x v="0"/>
    <s v="2535200"/>
    <n v="400040"/>
    <s v="Physician Svcs Rev--Medicaid"/>
    <s v="WH-Federal Way-Gyn"/>
    <x v="0"/>
    <n v="1200"/>
    <n v="-4905"/>
    <n v="0"/>
    <n v="0"/>
    <n v="0"/>
    <n v="0"/>
    <n v="0"/>
    <n v="0"/>
    <n v="0"/>
    <n v="0"/>
    <n v="0"/>
    <n v="0"/>
    <n v="0"/>
    <n v="-4905"/>
    <n v="0"/>
  </r>
  <r>
    <x v="1"/>
    <x v="1"/>
    <x v="0"/>
    <s v="2535200"/>
    <n v="400040"/>
    <s v="Physician Svcs Rev--Managed Care"/>
    <s v="WH-Federal Way-Gyn"/>
    <x v="0"/>
    <n v="1400"/>
    <n v="-2792"/>
    <n v="0"/>
    <n v="0"/>
    <n v="0"/>
    <n v="0"/>
    <n v="0"/>
    <n v="0"/>
    <n v="0"/>
    <n v="0"/>
    <n v="0"/>
    <n v="0"/>
    <n v="0"/>
    <n v="-2792"/>
    <n v="0"/>
  </r>
  <r>
    <x v="1"/>
    <x v="1"/>
    <x v="0"/>
    <s v="2535200"/>
    <n v="400040"/>
    <s v="Physician Svcs Rev--Other"/>
    <s v="WH-Federal Way-Gyn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35200"/>
    <n v="450040"/>
    <s v="Contr Allow--Phys Svcs--Mcaid"/>
    <s v="WH-Federal Way-Gyn"/>
    <x v="0"/>
    <n v="1200"/>
    <n v="19499.87"/>
    <n v="4767.2299999999996"/>
    <n v="2873.76"/>
    <n v="0"/>
    <n v="0"/>
    <n v="0"/>
    <n v="0"/>
    <n v="0"/>
    <n v="7561.72"/>
    <n v="0"/>
    <n v="0"/>
    <n v="0"/>
    <n v="34702.58"/>
    <n v="0"/>
  </r>
  <r>
    <x v="2"/>
    <x v="1"/>
    <x v="0"/>
    <s v="2535200"/>
    <n v="450040"/>
    <s v="Contr Allow--Phys Svcs--Managed Care"/>
    <s v="WH-Federal Way-Gyn"/>
    <x v="0"/>
    <n v="1400"/>
    <n v="3368.27"/>
    <n v="2513.0100000000002"/>
    <n v="32.5"/>
    <n v="-142.62"/>
    <n v="0"/>
    <n v="0"/>
    <n v="0"/>
    <n v="0"/>
    <n v="0"/>
    <n v="0"/>
    <n v="0"/>
    <n v="0"/>
    <n v="5771.1600000000008"/>
    <n v="0"/>
  </r>
  <r>
    <x v="2"/>
    <x v="1"/>
    <x v="0"/>
    <s v="2535200"/>
    <n v="450040"/>
    <s v="Contr Allow--Phys Svcs--BCBS Mgnd Care"/>
    <s v="WH-Federal Way-Gyn"/>
    <x v="0"/>
    <n v="1401"/>
    <n v="-16482.88"/>
    <n v="-4584.82"/>
    <n v="-4071.13"/>
    <n v="-1396.95"/>
    <n v="-181.51"/>
    <n v="-188.52"/>
    <n v="215.76"/>
    <n v="-228.42"/>
    <n v="-6267.65"/>
    <n v="-25.72"/>
    <n v="80.25"/>
    <n v="-26.49"/>
    <n v="-33158.080000000002"/>
    <n v="106.74"/>
  </r>
  <r>
    <x v="2"/>
    <x v="1"/>
    <x v="0"/>
    <s v="2535200"/>
    <n v="450040"/>
    <s v="Admin Adjust-Phys Svcs-Self Pay"/>
    <s v="WH-Federal Way-Gyn"/>
    <x v="0"/>
    <n v="1600"/>
    <n v="0"/>
    <n v="80"/>
    <n v="2268"/>
    <n v="0"/>
    <n v="0"/>
    <n v="0"/>
    <n v="0"/>
    <n v="0"/>
    <n v="42.27"/>
    <n v="0"/>
    <n v="0"/>
    <n v="0"/>
    <n v="2390.27"/>
    <n v="0"/>
  </r>
  <r>
    <x v="2"/>
    <x v="1"/>
    <x v="0"/>
    <s v="2535200"/>
    <n v="450040"/>
    <s v="Contr Allow--Phys Svcs--Other"/>
    <s v="WH-Federal Way-Gyn"/>
    <x v="0"/>
    <n v="1700"/>
    <n v="0"/>
    <n v="0"/>
    <n v="51.72"/>
    <n v="0"/>
    <n v="0"/>
    <n v="0"/>
    <n v="0"/>
    <n v="0"/>
    <n v="0"/>
    <n v="0"/>
    <n v="0"/>
    <n v="0"/>
    <n v="51.72"/>
    <n v="0"/>
  </r>
  <r>
    <x v="3"/>
    <x v="1"/>
    <x v="0"/>
    <s v="2535200"/>
    <n v="470040"/>
    <s v="Charity Care-Physician Svcs"/>
    <s v="WH-Federal Way-Gyn"/>
    <x v="0"/>
    <m/>
    <n v="-603.16999999999996"/>
    <n v="-25.04"/>
    <n v="-189.59"/>
    <n v="-52.56"/>
    <n v="9.5299999999999994"/>
    <n v="-49.56"/>
    <n v="-7.52"/>
    <n v="-32.78"/>
    <n v="-154.66999999999999"/>
    <n v="409.67"/>
    <n v="-15.9"/>
    <n v="25.82"/>
    <n v="-685.76999999999975"/>
    <n v="-41.72"/>
  </r>
  <r>
    <x v="4"/>
    <x v="1"/>
    <x v="0"/>
    <s v="2535200"/>
    <n v="490010"/>
    <s v="Provision for Bad Debts"/>
    <s v="WH-Federal Way-Gyn"/>
    <x v="0"/>
    <m/>
    <n v="-1056.3399999999999"/>
    <n v="-387.1"/>
    <n v="573.70000000000005"/>
    <n v="-450.42"/>
    <n v="-455.78"/>
    <n v="-168.87"/>
    <n v="-253.51"/>
    <n v="526.45000000000005"/>
    <n v="-1429.66"/>
    <n v="-459.72"/>
    <n v="-35.119999999999997"/>
    <n v="-569.29"/>
    <n v="-4165.66"/>
    <n v="534.16999999999996"/>
  </r>
  <r>
    <x v="10"/>
    <x v="1"/>
    <x v="0"/>
    <s v="2535200"/>
    <n v="710042"/>
    <s v="Locum Tenens Travel-Physician"/>
    <s v="WH-Federal Way-Gyn"/>
    <x v="0"/>
    <m/>
    <n v="0"/>
    <n v="0"/>
    <n v="0"/>
    <n v="0"/>
    <n v="0"/>
    <n v="0"/>
    <n v="0"/>
    <n v="0"/>
    <n v="0"/>
    <n v="0"/>
    <n v="0"/>
    <n v="5655.71"/>
    <n v="5655.71"/>
    <n v="-5655.71"/>
  </r>
  <r>
    <x v="1"/>
    <x v="1"/>
    <x v="0"/>
    <s v="2536200"/>
    <n v="400029"/>
    <s v="MD Practice Other Rev--Medicare"/>
    <s v="WH-Federal Way-OB/GYN"/>
    <x v="0"/>
    <n v="1100"/>
    <n v="-400"/>
    <n v="-356"/>
    <n v="-10"/>
    <n v="-380"/>
    <n v="-24"/>
    <n v="-262"/>
    <n v="-16"/>
    <n v="-705"/>
    <n v="-404"/>
    <n v="-702"/>
    <n v="-428"/>
    <n v="-16"/>
    <n v="-3703"/>
    <n v="-412"/>
  </r>
  <r>
    <x v="1"/>
    <x v="1"/>
    <x v="0"/>
    <s v="2536200"/>
    <n v="400029"/>
    <s v="MD Practice Other Rev--Medicaid"/>
    <s v="WH-Federal Way-OB/GYN"/>
    <x v="0"/>
    <n v="1200"/>
    <n v="-20600"/>
    <n v="-16073"/>
    <n v="-1066"/>
    <n v="-12212"/>
    <n v="-19062"/>
    <n v="-16745"/>
    <n v="-4118"/>
    <n v="-21927"/>
    <n v="-19564"/>
    <n v="-30309"/>
    <n v="-28862"/>
    <n v="-20575"/>
    <n v="-211113"/>
    <n v="-8287"/>
  </r>
  <r>
    <x v="1"/>
    <x v="1"/>
    <x v="0"/>
    <s v="2536200"/>
    <n v="400029"/>
    <s v="MD Practice Other Rev--Comm Insurance"/>
    <s v="WH-Federal Way-OB/GYN"/>
    <x v="0"/>
    <n v="1300"/>
    <n v="-860"/>
    <n v="-1361"/>
    <n v="-48"/>
    <n v="-476"/>
    <n v="-915"/>
    <n v="218"/>
    <n v="-120"/>
    <n v="-1161"/>
    <n v="-2015"/>
    <n v="-1428"/>
    <n v="-2428"/>
    <n v="-1122"/>
    <n v="-11716"/>
    <n v="-1306"/>
  </r>
  <r>
    <x v="1"/>
    <x v="1"/>
    <x v="0"/>
    <s v="2536200"/>
    <n v="400029"/>
    <s v="MD Practice Other Rev--BCBS Comm"/>
    <s v="WH-Federal Way-OB/GYN"/>
    <x v="0"/>
    <n v="1301"/>
    <n v="-3059"/>
    <n v="-2043"/>
    <n v="-314"/>
    <n v="-2279"/>
    <n v="-6107"/>
    <n v="-3647"/>
    <n v="-1752"/>
    <n v="-3397"/>
    <n v="-3964"/>
    <n v="-6058"/>
    <n v="-6891"/>
    <n v="-3116"/>
    <n v="-42627"/>
    <n v="-3775"/>
  </r>
  <r>
    <x v="1"/>
    <x v="1"/>
    <x v="0"/>
    <s v="2536200"/>
    <n v="400029"/>
    <s v="MD Practice Other Rev--Managed Care"/>
    <s v="WH-Federal Way-OB/GYN"/>
    <x v="0"/>
    <n v="1400"/>
    <n v="-17379"/>
    <n v="-12443"/>
    <n v="-1223"/>
    <n v="-9492"/>
    <n v="-15284"/>
    <n v="-15024"/>
    <n v="-3072"/>
    <n v="-17330"/>
    <n v="-17107"/>
    <n v="-17204"/>
    <n v="-18421"/>
    <n v="-12293"/>
    <n v="-156272"/>
    <n v="-6128"/>
  </r>
  <r>
    <x v="1"/>
    <x v="1"/>
    <x v="0"/>
    <s v="2536200"/>
    <n v="400029"/>
    <s v="MD Practice Other Rev--Self Pay"/>
    <s v="WH-Federal Way-OB/GYN"/>
    <x v="0"/>
    <n v="1500"/>
    <n v="-2317"/>
    <n v="-352"/>
    <n v="-24"/>
    <n v="-1345"/>
    <n v="-1199"/>
    <n v="-1041"/>
    <n v="-868"/>
    <n v="-2802"/>
    <n v="-2213"/>
    <n v="-757"/>
    <n v="-1048.8"/>
    <n v="-358"/>
    <n v="-14324.8"/>
    <n v="-690.8"/>
  </r>
  <r>
    <x v="1"/>
    <x v="1"/>
    <x v="0"/>
    <s v="2536200"/>
    <n v="400029"/>
    <s v="MD Practice Other Rev--Other"/>
    <s v="WH-Federal Way-OB/GYN"/>
    <x v="0"/>
    <n v="1700"/>
    <n v="-716"/>
    <n v="-394"/>
    <n v="-10"/>
    <n v="-48"/>
    <n v="-380"/>
    <n v="-68"/>
    <n v="-346"/>
    <n v="-394"/>
    <n v="-788"/>
    <n v="-798"/>
    <n v="-599"/>
    <n v="-297"/>
    <n v="-4838"/>
    <n v="-302"/>
  </r>
  <r>
    <x v="1"/>
    <x v="1"/>
    <x v="0"/>
    <s v="2536200"/>
    <n v="400040"/>
    <s v="Physician Svcs Rev--Medicare"/>
    <s v="WH-Federal Way-OB/GYN"/>
    <x v="0"/>
    <n v="1100"/>
    <n v="-4524"/>
    <n v="-9887"/>
    <n v="-7333"/>
    <n v="-8776"/>
    <n v="-10133"/>
    <n v="-14458"/>
    <n v="-14215"/>
    <n v="-11469"/>
    <n v="-6605"/>
    <n v="-15212"/>
    <n v="-11518"/>
    <n v="-7776"/>
    <n v="-121906"/>
    <n v="-3742"/>
  </r>
  <r>
    <x v="1"/>
    <x v="1"/>
    <x v="0"/>
    <s v="2536200"/>
    <n v="400040"/>
    <s v="Physician Svcs Rev--Medicaid"/>
    <s v="WH-Federal Way-OB/GYN"/>
    <x v="0"/>
    <n v="1200"/>
    <n v="-282903.88"/>
    <n v="-333713.23"/>
    <n v="-361926.65"/>
    <n v="-322941.68"/>
    <n v="-310263.38"/>
    <n v="-304595.51"/>
    <n v="-375095"/>
    <n v="-316163.08"/>
    <n v="-418415.63"/>
    <n v="-338540.53"/>
    <n v="-394648.38"/>
    <n v="-301797.18"/>
    <n v="-4061004.1300000004"/>
    <n v="-92851.200000000012"/>
  </r>
  <r>
    <x v="1"/>
    <x v="1"/>
    <x v="0"/>
    <s v="2536200"/>
    <n v="400040"/>
    <s v="Physician Svcs Rev--Comm Insurance"/>
    <s v="WH-Federal Way-OB/GYN"/>
    <x v="0"/>
    <n v="1300"/>
    <n v="-17494"/>
    <n v="-27909"/>
    <n v="-8456"/>
    <n v="-11941"/>
    <n v="-99"/>
    <n v="-5023"/>
    <n v="-9809"/>
    <n v="-14755"/>
    <n v="-20139"/>
    <n v="-21708"/>
    <n v="-20434"/>
    <n v="-20468"/>
    <n v="-178235"/>
    <n v="34"/>
  </r>
  <r>
    <x v="1"/>
    <x v="1"/>
    <x v="0"/>
    <s v="2536200"/>
    <n v="400040"/>
    <s v="Physician Svcs Rev--BCBS Comm"/>
    <s v="WH-Federal Way-OB/GYN"/>
    <x v="0"/>
    <n v="1301"/>
    <n v="-61680.75"/>
    <n v="-31146"/>
    <n v="-42134"/>
    <n v="-90794"/>
    <n v="-69746.91"/>
    <n v="-33894"/>
    <n v="-99672"/>
    <n v="-64641.15"/>
    <n v="-54352"/>
    <n v="-80223"/>
    <n v="-69346.91"/>
    <n v="-97013.78"/>
    <n v="-794644.50000000012"/>
    <n v="27666.869999999995"/>
  </r>
  <r>
    <x v="1"/>
    <x v="1"/>
    <x v="0"/>
    <s v="2536200"/>
    <n v="400040"/>
    <s v="Physician Svcs Rev--Managed Care"/>
    <s v="WH-Federal Way-OB/GYN"/>
    <x v="0"/>
    <n v="1400"/>
    <n v="-167721.98000000001"/>
    <n v="-184726"/>
    <n v="-166834"/>
    <n v="-240552"/>
    <n v="-185083"/>
    <n v="-141572"/>
    <n v="-258448.82"/>
    <n v="-235265"/>
    <n v="-227865"/>
    <n v="-189204.26"/>
    <n v="-260181"/>
    <n v="-195942"/>
    <n v="-2453395.06"/>
    <n v="-64239"/>
  </r>
  <r>
    <x v="1"/>
    <x v="1"/>
    <x v="0"/>
    <s v="2536200"/>
    <n v="400040"/>
    <s v="Physician Svcs Rev--Self Pay"/>
    <s v="WH-Federal Way-OB/GYN"/>
    <x v="0"/>
    <n v="1500"/>
    <n v="-2627"/>
    <n v="-21308"/>
    <n v="-10669"/>
    <n v="-22192.25"/>
    <n v="-16110"/>
    <n v="-132.44"/>
    <n v="-26633"/>
    <n v="-6304.75"/>
    <n v="-12161"/>
    <n v="-19771"/>
    <n v="-14832.95"/>
    <n v="-14524"/>
    <n v="-167265.39000000001"/>
    <n v="-308.95000000000073"/>
  </r>
  <r>
    <x v="1"/>
    <x v="1"/>
    <x v="0"/>
    <s v="2536200"/>
    <n v="400040"/>
    <s v="Physician Svcs Rev--Other"/>
    <s v="WH-Federal Way-OB/GYN"/>
    <x v="0"/>
    <n v="1700"/>
    <n v="-19822"/>
    <n v="-6133"/>
    <n v="-4566"/>
    <n v="-27452"/>
    <n v="-5280"/>
    <n v="-9022"/>
    <n v="-2212"/>
    <n v="-15326"/>
    <n v="-15270"/>
    <n v="-10672"/>
    <n v="-4662"/>
    <n v="-2209"/>
    <n v="-122626"/>
    <n v="-2453"/>
  </r>
  <r>
    <x v="2"/>
    <x v="1"/>
    <x v="0"/>
    <s v="2536200"/>
    <n v="450029"/>
    <s v="Contr Allow--MD Other-Medicare"/>
    <s v="WH-Federal Way-OB/GYN"/>
    <x v="0"/>
    <n v="1100"/>
    <n v="21.88"/>
    <n v="0"/>
    <n v="214.6"/>
    <n v="45.49"/>
    <n v="746.59"/>
    <n v="100.39"/>
    <n v="12.58"/>
    <n v="31.09"/>
    <n v="484.87"/>
    <n v="245.15"/>
    <n v="208.51"/>
    <n v="259.5"/>
    <n v="2370.6499999999996"/>
    <n v="-50.990000000000009"/>
  </r>
  <r>
    <x v="2"/>
    <x v="1"/>
    <x v="0"/>
    <s v="2536200"/>
    <n v="450029"/>
    <s v="Contr Allow--MD Other-Medicaid"/>
    <s v="WH-Federal Way-OB/GYN"/>
    <x v="0"/>
    <n v="1200"/>
    <n v="16503.68"/>
    <n v="14064.8"/>
    <n v="6156.05"/>
    <n v="4346.41"/>
    <n v="12493.35"/>
    <n v="13681.01"/>
    <n v="6022.61"/>
    <n v="7809.68"/>
    <n v="18668.580000000002"/>
    <n v="19088.03"/>
    <n v="22679.4"/>
    <n v="15065.83"/>
    <n v="156579.43"/>
    <n v="7613.5700000000015"/>
  </r>
  <r>
    <x v="2"/>
    <x v="1"/>
    <x v="0"/>
    <s v="2536200"/>
    <n v="450029"/>
    <s v="Contr Allow--MD Other-Comm Insurance"/>
    <s v="WH-Federal Way-OB/GYN"/>
    <x v="0"/>
    <n v="1300"/>
    <n v="735.94"/>
    <n v="530.22"/>
    <n v="342.03"/>
    <n v="-66.930000000000007"/>
    <n v="65.12"/>
    <n v="22.79"/>
    <n v="691.63"/>
    <n v="198.66"/>
    <n v="259.05"/>
    <n v="545.19000000000005"/>
    <n v="475.59"/>
    <n v="412.12"/>
    <n v="4211.4100000000008"/>
    <n v="63.46999999999997"/>
  </r>
  <r>
    <x v="2"/>
    <x v="1"/>
    <x v="0"/>
    <s v="2536200"/>
    <n v="450029"/>
    <s v="Contr Allow--MD Other BCBS Comm"/>
    <s v="WH-Federal Way-OB/GYN"/>
    <x v="0"/>
    <n v="1301"/>
    <n v="1210.03"/>
    <n v="941.32"/>
    <n v="467.27"/>
    <n v="416.41"/>
    <n v="1655.35"/>
    <n v="1686.85"/>
    <n v="1154.6600000000001"/>
    <n v="919.94"/>
    <n v="1189.75"/>
    <n v="1425.33"/>
    <n v="1337.67"/>
    <n v="1835.68"/>
    <n v="14240.26"/>
    <n v="-498.01"/>
  </r>
  <r>
    <x v="2"/>
    <x v="1"/>
    <x v="0"/>
    <s v="2536200"/>
    <n v="450029"/>
    <s v="Contr Allow--MD Other-Managed Care"/>
    <s v="WH-Federal Way-OB/GYN"/>
    <x v="0"/>
    <n v="1400"/>
    <n v="5580.41"/>
    <n v="6809.44"/>
    <n v="2239.04"/>
    <n v="1702.87"/>
    <n v="5404.14"/>
    <n v="5541.04"/>
    <n v="3237.16"/>
    <n v="3690.13"/>
    <n v="7970.76"/>
    <n v="5819.06"/>
    <n v="6549.03"/>
    <n v="5459.11"/>
    <n v="60002.189999999995"/>
    <n v="1089.92"/>
  </r>
  <r>
    <x v="2"/>
    <x v="1"/>
    <x v="0"/>
    <s v="2536200"/>
    <n v="450029"/>
    <s v="Prompt Pay Disc-MD Other-Self Pay"/>
    <s v="WH-Federal Way-OB/GYN"/>
    <x v="0"/>
    <n v="1500"/>
    <n v="0"/>
    <n v="0"/>
    <n v="0"/>
    <n v="0"/>
    <n v="0"/>
    <n v="0"/>
    <n v="0"/>
    <n v="0"/>
    <n v="18.829999999999998"/>
    <n v="0"/>
    <n v="0"/>
    <n v="0"/>
    <n v="18.829999999999998"/>
    <n v="0"/>
  </r>
  <r>
    <x v="2"/>
    <x v="1"/>
    <x v="0"/>
    <s v="2536200"/>
    <n v="450029"/>
    <s v="Admin Adjust-MD Other-Self Pay"/>
    <s v="WH-Federal Way-OB/GYN"/>
    <x v="0"/>
    <n v="1600"/>
    <n v="883.75"/>
    <n v="461.12"/>
    <n v="22.63"/>
    <n v="699.15"/>
    <n v="477.63"/>
    <n v="368.05"/>
    <n v="553.30999999999995"/>
    <n v="1319.32"/>
    <n v="981.07"/>
    <n v="288.70999999999998"/>
    <n v="434.26"/>
    <n v="328.8"/>
    <n v="6817.8"/>
    <n v="105.45999999999998"/>
  </r>
  <r>
    <x v="2"/>
    <x v="1"/>
    <x v="0"/>
    <s v="2536200"/>
    <n v="450029"/>
    <s v="Contr Allow--MD Other-Other"/>
    <s v="WH-Federal Way-OB/GYN"/>
    <x v="0"/>
    <n v="1700"/>
    <n v="240.96"/>
    <n v="641.42999999999995"/>
    <n v="422.51"/>
    <n v="41.22"/>
    <n v="17.05"/>
    <n v="290.99"/>
    <n v="218.66"/>
    <n v="227.47"/>
    <n v="219.89"/>
    <n v="518.01"/>
    <n v="270.04000000000002"/>
    <n v="517.91999999999996"/>
    <n v="3626.1499999999996"/>
    <n v="-247.87999999999994"/>
  </r>
  <r>
    <x v="2"/>
    <x v="1"/>
    <x v="0"/>
    <s v="2536200"/>
    <n v="450040"/>
    <s v="Contr Allow--Phys Svcs--Mcare"/>
    <s v="WH-Federal Way-OB/GYN"/>
    <x v="0"/>
    <n v="1100"/>
    <n v="2110"/>
    <n v="2996.26"/>
    <n v="4076.37"/>
    <n v="5277.79"/>
    <n v="4937.96"/>
    <n v="5170.84"/>
    <n v="10757.43"/>
    <n v="6337.55"/>
    <n v="6095.25"/>
    <n v="6260.65"/>
    <n v="6794.24"/>
    <n v="10458.57"/>
    <n v="71272.91"/>
    <n v="-3664.33"/>
  </r>
  <r>
    <x v="2"/>
    <x v="1"/>
    <x v="0"/>
    <s v="2536200"/>
    <n v="450040"/>
    <s v="Contr Allow--Phys Svcs--Mcaid"/>
    <s v="WH-Federal Way-OB/GYN"/>
    <x v="0"/>
    <n v="1200"/>
    <n v="160883.95000000001"/>
    <n v="249865.14"/>
    <n v="219130.51"/>
    <n v="210851.49"/>
    <n v="202148.18"/>
    <n v="217123.54"/>
    <n v="200359.33"/>
    <n v="200654"/>
    <n v="241347.17"/>
    <n v="281692.93"/>
    <n v="233888.76"/>
    <n v="225064.92"/>
    <n v="2643009.92"/>
    <n v="8823.8399999999965"/>
  </r>
  <r>
    <x v="2"/>
    <x v="1"/>
    <x v="0"/>
    <s v="2536200"/>
    <n v="450040"/>
    <s v="Contr Allow--Phys Svcs--Comm Insurance"/>
    <s v="WH-Federal Way-OB/GYN"/>
    <x v="0"/>
    <n v="1300"/>
    <n v="4336.3999999999996"/>
    <n v="8416.15"/>
    <n v="9147.91"/>
    <n v="6796.6"/>
    <n v="742.88"/>
    <n v="1612.48"/>
    <n v="2091.3000000000002"/>
    <n v="-247.62"/>
    <n v="5283.72"/>
    <n v="10300.629999999999"/>
    <n v="6823.47"/>
    <n v="4315.1400000000003"/>
    <n v="59619.06"/>
    <n v="2508.33"/>
  </r>
  <r>
    <x v="2"/>
    <x v="1"/>
    <x v="0"/>
    <s v="2536200"/>
    <n v="450040"/>
    <s v="Contr Allow--Phys Svcs--BCBS Comm Ins"/>
    <s v="WH-Federal Way-OB/GYN"/>
    <x v="0"/>
    <n v="1301"/>
    <n v="18764.3"/>
    <n v="30257.21"/>
    <n v="18321.830000000002"/>
    <n v="20642.41"/>
    <n v="33075.800000000003"/>
    <n v="14131.27"/>
    <n v="20283.84"/>
    <n v="17594"/>
    <n v="40358.730000000003"/>
    <n v="16306.32"/>
    <n v="21622.5"/>
    <n v="50479.3"/>
    <n v="301837.51"/>
    <n v="-28856.800000000003"/>
  </r>
  <r>
    <x v="2"/>
    <x v="1"/>
    <x v="0"/>
    <s v="2536200"/>
    <n v="450040"/>
    <s v="Contr Allow--Phys Svcs--Managed Care"/>
    <s v="WH-Federal Way-OB/GYN"/>
    <x v="0"/>
    <n v="1400"/>
    <n v="60629.51"/>
    <n v="96771.36"/>
    <n v="61813.68"/>
    <n v="66833.710000000006"/>
    <n v="96747.33"/>
    <n v="58923.7"/>
    <n v="71486.289999999994"/>
    <n v="80914.460000000006"/>
    <n v="128382.77"/>
    <n v="73584.78"/>
    <n v="101152.84"/>
    <n v="87872.01"/>
    <n v="985112.44000000006"/>
    <n v="13280.830000000002"/>
  </r>
  <r>
    <x v="2"/>
    <x v="1"/>
    <x v="0"/>
    <s v="2536200"/>
    <n v="450040"/>
    <s v="Contr Allow--Phys Svcs--BCBS Mgnd Care"/>
    <s v="WH-Federal Way-OB/GYN"/>
    <x v="0"/>
    <n v="1401"/>
    <n v="20679.98"/>
    <n v="-99175.27"/>
    <n v="24340.07"/>
    <n v="53240.86"/>
    <n v="-29606.42"/>
    <n v="-25679.19"/>
    <n v="122213.3"/>
    <n v="55237.41"/>
    <n v="-43654.29"/>
    <n v="-22558.87"/>
    <n v="42614.99"/>
    <n v="-50878.63"/>
    <n v="46773.94000000001"/>
    <n v="93493.62"/>
  </r>
  <r>
    <x v="2"/>
    <x v="1"/>
    <x v="0"/>
    <s v="2536200"/>
    <n v="450040"/>
    <s v="Prompt Pay Disc-Phys Svcs-Self Pay"/>
    <s v="WH-Federal Way-OB/GYN"/>
    <x v="0"/>
    <n v="1500"/>
    <n v="0"/>
    <n v="0"/>
    <n v="0"/>
    <n v="0"/>
    <n v="0"/>
    <n v="0"/>
    <n v="0"/>
    <n v="0"/>
    <n v="1122.67"/>
    <n v="0"/>
    <n v="0"/>
    <n v="0"/>
    <n v="1122.67"/>
    <n v="0"/>
  </r>
  <r>
    <x v="2"/>
    <x v="1"/>
    <x v="0"/>
    <s v="2536200"/>
    <n v="450040"/>
    <s v="Admin Adjust-Phys Svcs-Self Pay"/>
    <s v="WH-Federal Way-OB/GYN"/>
    <x v="0"/>
    <n v="1600"/>
    <n v="1704.71"/>
    <n v="11403.67"/>
    <n v="7131.18"/>
    <n v="33395.980000000003"/>
    <n v="6811.8"/>
    <n v="-3426.12"/>
    <n v="18149.099999999999"/>
    <n v="3072.82"/>
    <n v="5995.81"/>
    <n v="8655.8700000000008"/>
    <n v="8814.8799999999992"/>
    <n v="11060.66"/>
    <n v="112770.36000000002"/>
    <n v="-2245.7800000000007"/>
  </r>
  <r>
    <x v="2"/>
    <x v="1"/>
    <x v="0"/>
    <s v="2536200"/>
    <n v="450040"/>
    <s v="Contr Allow--Phys Svcs--Other"/>
    <s v="WH-Federal Way-OB/GYN"/>
    <x v="0"/>
    <n v="1700"/>
    <n v="2434.0700000000002"/>
    <n v="7360.52"/>
    <n v="3798.67"/>
    <n v="10128.049999999999"/>
    <n v="9494.43"/>
    <n v="8538.75"/>
    <n v="416.78"/>
    <n v="845.39"/>
    <n v="4775.7700000000004"/>
    <n v="11183.16"/>
    <n v="4325.17"/>
    <n v="875.86"/>
    <n v="64176.619999999995"/>
    <n v="3449.31"/>
  </r>
  <r>
    <x v="3"/>
    <x v="1"/>
    <x v="0"/>
    <s v="2536200"/>
    <n v="470040"/>
    <s v="Charity Care-Physician Svcs"/>
    <s v="WH-Federal Way-OB/GYN"/>
    <x v="0"/>
    <m/>
    <n v="6383.39"/>
    <n v="5703.01"/>
    <n v="4449.3500000000004"/>
    <n v="13156.04"/>
    <n v="8694.77"/>
    <n v="1878.59"/>
    <n v="12285.55"/>
    <n v="-710.96"/>
    <n v="12423.71"/>
    <n v="3630.51"/>
    <n v="9249.5400000000009"/>
    <n v="6583.73"/>
    <n v="83727.23"/>
    <n v="2665.8100000000013"/>
  </r>
  <r>
    <x v="4"/>
    <x v="1"/>
    <x v="0"/>
    <s v="2536200"/>
    <n v="490010"/>
    <s v="Provision for Bad Debts"/>
    <s v="WH-Federal Way-OB/GYN"/>
    <x v="0"/>
    <m/>
    <n v="12314.38"/>
    <n v="-6458.62"/>
    <n v="4156.2700000000004"/>
    <n v="11762.09"/>
    <n v="10351.59"/>
    <n v="7141.76"/>
    <n v="7920.79"/>
    <n v="6859.12"/>
    <n v="3979.93"/>
    <n v="-3966.34"/>
    <n v="6137.45"/>
    <n v="-1318.87"/>
    <n v="58879.549999999996"/>
    <n v="7456.32"/>
  </r>
  <r>
    <x v="5"/>
    <x v="1"/>
    <x v="0"/>
    <s v="2536200"/>
    <n v="700022"/>
    <s v="Salaries-Physician-Productive"/>
    <s v="WH-Federal Way-OB/GYN"/>
    <x v="0"/>
    <m/>
    <n v="102787.16"/>
    <n v="64665.66"/>
    <n v="112007.51"/>
    <n v="107625.24"/>
    <n v="104206.06"/>
    <n v="94563.33"/>
    <n v="110999.67"/>
    <n v="82487.259999999995"/>
    <n v="78934.149999999994"/>
    <n v="90009.48"/>
    <n v="-1009.38"/>
    <n v="54357.97"/>
    <n v="1001634.11"/>
    <n v="-55367.35"/>
  </r>
  <r>
    <x v="5"/>
    <x v="1"/>
    <x v="0"/>
    <s v="2536200"/>
    <n v="700022"/>
    <s v="Salaries-Physician-Other"/>
    <s v="WH-Federal Way-OB/GYN"/>
    <x v="0"/>
    <n v="2000"/>
    <n v="12000"/>
    <n v="8388"/>
    <n v="4500"/>
    <n v="5400"/>
    <n v="-2400"/>
    <n v="3721.87"/>
    <n v="-65.62"/>
    <n v="1728.79"/>
    <n v="918.35"/>
    <n v="2592"/>
    <n v="7233.3"/>
    <n v="8695.35"/>
    <n v="52712.04"/>
    <n v="-1462.0500000000002"/>
  </r>
  <r>
    <x v="5"/>
    <x v="1"/>
    <x v="0"/>
    <s v="2536200"/>
    <n v="700022"/>
    <s v="Salaries-Physician-Provider Incentive"/>
    <s v="WH-Federal Way-OB/GYN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536200"/>
    <n v="700024"/>
    <s v="Salaries-Advanced Practice Clinician-Productive"/>
    <s v="WH-Federal Way-OB/GYN"/>
    <x v="0"/>
    <m/>
    <n v="40489.620000000003"/>
    <n v="46268.56"/>
    <n v="38302"/>
    <n v="44111.05"/>
    <n v="45135.97"/>
    <n v="50384.58"/>
    <n v="58165.93"/>
    <n v="53178.35"/>
    <n v="50388.85"/>
    <n v="58516.7"/>
    <n v="54257.35"/>
    <n v="44254.080000000002"/>
    <n v="583453.03999999992"/>
    <n v="10003.269999999997"/>
  </r>
  <r>
    <x v="5"/>
    <x v="1"/>
    <x v="0"/>
    <s v="2536200"/>
    <n v="700024"/>
    <s v="Salaries-Advanced Practice Clinician-Other"/>
    <s v="WH-Federal Way-OB/GYN"/>
    <x v="0"/>
    <n v="2000"/>
    <n v="0"/>
    <n v="0"/>
    <n v="0"/>
    <n v="0"/>
    <n v="0"/>
    <n v="167.06"/>
    <n v="0"/>
    <n v="0"/>
    <n v="0"/>
    <n v="0"/>
    <n v="98526"/>
    <n v="3825"/>
    <n v="102518.06"/>
    <n v="94701"/>
  </r>
  <r>
    <x v="5"/>
    <x v="1"/>
    <x v="0"/>
    <s v="2536200"/>
    <n v="700030"/>
    <s v="Salaries-LPN-Productive"/>
    <s v="WH-Federal Way-OB/GYN"/>
    <x v="0"/>
    <m/>
    <n v="6414.89"/>
    <n v="9072.6"/>
    <n v="8146.22"/>
    <n v="9472.06"/>
    <n v="7922.63"/>
    <n v="9799.18"/>
    <n v="12562.65"/>
    <n v="9551.2199999999993"/>
    <n v="11471.49"/>
    <n v="11461.86"/>
    <n v="14093.28"/>
    <n v="2889.54"/>
    <n v="112857.62"/>
    <n v="11203.740000000002"/>
  </r>
  <r>
    <x v="5"/>
    <x v="1"/>
    <x v="0"/>
    <s v="2536200"/>
    <n v="700030"/>
    <s v="Salaries-LPN-OT"/>
    <s v="WH-Federal Way-OB/GYN"/>
    <x v="0"/>
    <n v="1000"/>
    <n v="0"/>
    <n v="19.8"/>
    <n v="0"/>
    <n v="0"/>
    <n v="29.95"/>
    <n v="0"/>
    <n v="0"/>
    <n v="8.0500000000000007"/>
    <n v="785.56"/>
    <n v="0"/>
    <n v="0"/>
    <n v="0"/>
    <n v="843.3599999999999"/>
    <n v="0"/>
  </r>
  <r>
    <x v="5"/>
    <x v="1"/>
    <x v="0"/>
    <s v="2536200"/>
    <n v="700030"/>
    <s v="Salaries-LPN-Other"/>
    <s v="WH-Federal Way-OB/GYN"/>
    <x v="0"/>
    <n v="2000"/>
    <n v="262.25"/>
    <n v="230.63"/>
    <n v="200"/>
    <n v="230.01"/>
    <n v="220.31"/>
    <n v="240"/>
    <n v="230.36"/>
    <n v="138.52000000000001"/>
    <n v="201.68"/>
    <n v="209.13"/>
    <n v="232.14"/>
    <n v="199.98"/>
    <n v="2595.0099999999998"/>
    <n v="32.159999999999997"/>
  </r>
  <r>
    <x v="5"/>
    <x v="1"/>
    <x v="0"/>
    <s v="2536200"/>
    <n v="700032"/>
    <s v="Salaries-Other Pat Care Providers-Productive"/>
    <s v="WH-Federal Way-OB/GYN"/>
    <x v="0"/>
    <m/>
    <n v="19712.14"/>
    <n v="21608.400000000001"/>
    <n v="22011.82"/>
    <n v="24659.33"/>
    <n v="24297.09"/>
    <n v="19577.41"/>
    <n v="23777.4"/>
    <n v="21059.56"/>
    <n v="23759.64"/>
    <n v="23711.27"/>
    <n v="25841.5"/>
    <n v="18879.38"/>
    <n v="268894.93999999994"/>
    <n v="6962.119999999999"/>
  </r>
  <r>
    <x v="5"/>
    <x v="1"/>
    <x v="0"/>
    <s v="2536200"/>
    <n v="700032"/>
    <s v="Salaries-Other Pat Care Providers-OT"/>
    <s v="WH-Federal Way-OB/GYN"/>
    <x v="0"/>
    <n v="1000"/>
    <n v="167.67"/>
    <n v="104.33"/>
    <n v="162.5"/>
    <n v="53.43"/>
    <n v="132.88999999999999"/>
    <n v="21.35"/>
    <n v="84.22"/>
    <n v="346.5"/>
    <n v="204.18"/>
    <n v="73.12"/>
    <n v="596.72"/>
    <n v="317.23"/>
    <n v="2264.1400000000003"/>
    <n v="279.49"/>
  </r>
  <r>
    <x v="5"/>
    <x v="1"/>
    <x v="0"/>
    <s v="2536200"/>
    <n v="700032"/>
    <s v="Salaries-Other Pat Care Providers-Other"/>
    <s v="WH-Federal Way-OB/GYN"/>
    <x v="0"/>
    <n v="2000"/>
    <n v="256.58999999999997"/>
    <n v="278.22000000000003"/>
    <n v="238.78"/>
    <n v="276.7"/>
    <n v="263.10000000000002"/>
    <n v="247.24"/>
    <n v="273.14999999999998"/>
    <n v="223.43"/>
    <n v="251.48"/>
    <n v="263.73"/>
    <n v="282.32"/>
    <n v="231.37"/>
    <n v="3086.1099999999997"/>
    <n v="50.949999999999989"/>
  </r>
  <r>
    <x v="5"/>
    <x v="1"/>
    <x v="0"/>
    <s v="2536200"/>
    <n v="700034"/>
    <s v="Salaries-Tech/Professional-Productive"/>
    <s v="WH-Federal Way-OB/GYN"/>
    <x v="0"/>
    <m/>
    <n v="6786.68"/>
    <n v="7745.44"/>
    <n v="-646.35"/>
    <n v="3195.36"/>
    <n v="8199.2199999999993"/>
    <n v="6033.46"/>
    <n v="-286.25"/>
    <n v="6485.63"/>
    <n v="5765.42"/>
    <n v="6450.34"/>
    <n v="6450.4"/>
    <n v="5318.05"/>
    <n v="61497.4"/>
    <n v="1132.3499999999995"/>
  </r>
  <r>
    <x v="5"/>
    <x v="1"/>
    <x v="0"/>
    <s v="2536200"/>
    <n v="700034"/>
    <s v="Salaries-Tech/Professional-OT"/>
    <s v="WH-Federal Way-OB/GYN"/>
    <x v="0"/>
    <n v="1000"/>
    <n v="0"/>
    <n v="0"/>
    <n v="0"/>
    <n v="0"/>
    <n v="0"/>
    <n v="18.38"/>
    <n v="-1.67"/>
    <n v="111.37"/>
    <n v="41.77"/>
    <n v="9.76"/>
    <n v="-9.75"/>
    <n v="13.92"/>
    <n v="183.78"/>
    <n v="-23.67"/>
  </r>
  <r>
    <x v="5"/>
    <x v="1"/>
    <x v="0"/>
    <s v="2536200"/>
    <n v="700034"/>
    <s v="Salaries-Tech/Professional-Other"/>
    <s v="WH-Federal Way-OB/GYN"/>
    <x v="0"/>
    <n v="2000"/>
    <n v="87.55"/>
    <n v="89.08"/>
    <n v="80.510000000000005"/>
    <n v="70.180000000000007"/>
    <n v="89.22"/>
    <n v="82.84"/>
    <n v="-3.96"/>
    <n v="0"/>
    <n v="0"/>
    <n v="0"/>
    <n v="0"/>
    <n v="0"/>
    <n v="495.42"/>
    <n v="0"/>
  </r>
  <r>
    <x v="5"/>
    <x v="1"/>
    <x v="0"/>
    <s v="2536200"/>
    <n v="700054"/>
    <s v="Salaries-Management-NonProd-Other"/>
    <s v="WH-Federal Way-OB/GYN"/>
    <x v="0"/>
    <n v="2000"/>
    <n v="0"/>
    <n v="0"/>
    <n v="0"/>
    <n v="0"/>
    <n v="0"/>
    <n v="3049.74"/>
    <n v="-3049.74"/>
    <n v="0"/>
    <n v="0"/>
    <n v="0"/>
    <n v="0"/>
    <n v="0"/>
    <n v="0"/>
    <n v="0"/>
  </r>
  <r>
    <x v="5"/>
    <x v="1"/>
    <x v="0"/>
    <s v="2536200"/>
    <n v="700062"/>
    <s v="Salaries-Physician-Non-productive"/>
    <s v="WH-Federal Way-OB/GYN"/>
    <x v="0"/>
    <m/>
    <n v="7894.8"/>
    <n v="29746.080000000002"/>
    <n v="28100"/>
    <n v="20531.82"/>
    <n v="-316.22000000000003"/>
    <n v="16501.47"/>
    <n v="-430.76"/>
    <n v="4622.17"/>
    <n v="2067.04"/>
    <n v="7734.65"/>
    <n v="25555.24"/>
    <n v="1920.24"/>
    <n v="143926.53"/>
    <n v="23635"/>
  </r>
  <r>
    <x v="5"/>
    <x v="1"/>
    <x v="0"/>
    <s v="2536200"/>
    <n v="700062"/>
    <s v="Salaries-Physician-NonProd-Other"/>
    <s v="WH-Federal Way-OB/GYN"/>
    <x v="0"/>
    <n v="2000"/>
    <n v="0"/>
    <n v="0"/>
    <n v="-3335"/>
    <n v="261.57"/>
    <n v="1014.87"/>
    <n v="2029.74"/>
    <n v="0"/>
    <n v="-3044.61"/>
    <n v="0"/>
    <n v="0"/>
    <n v="0"/>
    <n v="0"/>
    <n v="-3073.4300000000003"/>
    <n v="0"/>
  </r>
  <r>
    <x v="5"/>
    <x v="1"/>
    <x v="0"/>
    <s v="2536200"/>
    <n v="700064"/>
    <s v="Salaries-Advanced Practice Clinician-Non-Productive"/>
    <s v="WH-Federal Way-OB/GYN"/>
    <x v="0"/>
    <m/>
    <n v="4550.7700000000004"/>
    <n v="2077.0700000000002"/>
    <n v="5081.67"/>
    <n v="5602.63"/>
    <n v="6589.34"/>
    <n v="10907.6"/>
    <n v="6639.31"/>
    <n v="3193.86"/>
    <n v="8746.6"/>
    <n v="3322.01"/>
    <n v="9470.23"/>
    <n v="11304.22"/>
    <n v="77485.31"/>
    <n v="-1833.9899999999998"/>
  </r>
  <r>
    <x v="5"/>
    <x v="1"/>
    <x v="0"/>
    <s v="2536200"/>
    <n v="700070"/>
    <s v="Salaries-LPN-Non-productive"/>
    <s v="WH-Federal Way-OB/GYN"/>
    <x v="0"/>
    <m/>
    <n v="1571.79"/>
    <n v="636.52"/>
    <n v="6.5"/>
    <n v="253.83"/>
    <n v="1428.24"/>
    <n v="3067.56"/>
    <n v="675.54"/>
    <n v="527.38"/>
    <n v="349.22"/>
    <n v="1402.05"/>
    <n v="-364.88"/>
    <n v="4720.71"/>
    <n v="14274.46"/>
    <n v="-5085.59"/>
  </r>
  <r>
    <x v="5"/>
    <x v="1"/>
    <x v="0"/>
    <s v="2536200"/>
    <n v="700070"/>
    <s v="Salaries-LPN-NonProd-Other"/>
    <s v="WH-Federal Way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6200"/>
    <n v="700072"/>
    <s v="Salaries-Other Pat Care Providers-Non-productive"/>
    <s v="WH-Federal Way-OB/GYN"/>
    <x v="0"/>
    <m/>
    <n v="5660.83"/>
    <n v="5472.39"/>
    <n v="1289.93"/>
    <n v="2762.72"/>
    <n v="1817.5"/>
    <n v="5290.42"/>
    <n v="3618.69"/>
    <n v="1651.27"/>
    <n v="1341.43"/>
    <n v="2564.9299999999998"/>
    <n v="1684.52"/>
    <n v="4691.8900000000003"/>
    <n v="37846.519999999997"/>
    <n v="-3007.3700000000003"/>
  </r>
  <r>
    <x v="5"/>
    <x v="1"/>
    <x v="0"/>
    <s v="2536200"/>
    <n v="700072"/>
    <s v="Salaries-Other Pat Care Providers-NonProd-Other"/>
    <s v="WH-Federal Way-OB/GYN"/>
    <x v="0"/>
    <n v="2000"/>
    <n v="0"/>
    <n v="0"/>
    <n v="0"/>
    <n v="0"/>
    <n v="416.04"/>
    <n v="416.04"/>
    <n v="0"/>
    <n v="-832.08"/>
    <n v="0"/>
    <n v="0"/>
    <n v="0"/>
    <n v="0"/>
    <n v="0"/>
    <n v="0"/>
  </r>
  <r>
    <x v="5"/>
    <x v="1"/>
    <x v="0"/>
    <s v="2536200"/>
    <n v="700074"/>
    <s v="Salaries-Tech/Professional-Non-productive"/>
    <s v="WH-Federal Way-OB/GYN"/>
    <x v="0"/>
    <m/>
    <n v="758.38"/>
    <n v="-68.94"/>
    <n v="7583.83"/>
    <n v="2981.78"/>
    <n v="-281.8"/>
    <n v="1306.99"/>
    <n v="-64.349999999999994"/>
    <n v="582.85"/>
    <n v="475.2"/>
    <n v="-148.5"/>
    <n v="361.94"/>
    <n v="621.86"/>
    <n v="14109.240000000003"/>
    <n v="-259.92"/>
  </r>
  <r>
    <x v="5"/>
    <x v="1"/>
    <x v="0"/>
    <s v="2536200"/>
    <n v="700074"/>
    <s v="Salaries-Tech/Professional-NonProd-Other"/>
    <s v="WH-Federal Way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6200"/>
    <n v="700084"/>
    <s v="Accrued PTO"/>
    <s v="WH-Federal Way-OB/GYN"/>
    <x v="0"/>
    <m/>
    <n v="-5036.5"/>
    <n v="2432.42"/>
    <n v="-227.31"/>
    <n v="-4250.18"/>
    <n v="4467.04"/>
    <n v="-6659.23"/>
    <n v="-5.08"/>
    <n v="1048.53"/>
    <n v="4198.8100000000004"/>
    <n v="1896"/>
    <n v="2264.88"/>
    <n v="-3714.35"/>
    <n v="-3584.9699999999971"/>
    <n v="5979.23"/>
  </r>
  <r>
    <x v="10"/>
    <x v="1"/>
    <x v="0"/>
    <s v="2536200"/>
    <n v="710040"/>
    <s v="Contract Labor-Physician (Locum Tenum)"/>
    <s v="WH-Federal Way-OB/GYN"/>
    <x v="0"/>
    <m/>
    <n v="0"/>
    <n v="0"/>
    <n v="0"/>
    <n v="0"/>
    <n v="0"/>
    <n v="0"/>
    <n v="0"/>
    <n v="0"/>
    <n v="0"/>
    <n v="0"/>
    <n v="0"/>
    <n v="10856.25"/>
    <n v="10856.25"/>
    <n v="-10856.25"/>
  </r>
  <r>
    <x v="10"/>
    <x v="1"/>
    <x v="0"/>
    <s v="2536200"/>
    <n v="710042"/>
    <s v="Locum Tenens Travel-Physician"/>
    <s v="WH-Federal Way-OB/GYN"/>
    <x v="0"/>
    <m/>
    <n v="0"/>
    <n v="0"/>
    <n v="0"/>
    <n v="0"/>
    <n v="0"/>
    <n v="0"/>
    <n v="0"/>
    <n v="0"/>
    <n v="0"/>
    <n v="0"/>
    <n v="0"/>
    <n v="224.46"/>
    <n v="224.46"/>
    <n v="-224.46"/>
  </r>
  <r>
    <x v="6"/>
    <x v="1"/>
    <x v="0"/>
    <s v="2536200"/>
    <n v="713010"/>
    <s v="Benefits-FICA/Medicare"/>
    <s v="WH-Federal Way-OB/GYN"/>
    <x v="0"/>
    <m/>
    <n v="10949.01"/>
    <n v="12358.59"/>
    <n v="10317.209999999999"/>
    <n v="13202.89"/>
    <n v="12041.06"/>
    <n v="13181.89"/>
    <n v="16536.22"/>
    <n v="13879.85"/>
    <n v="13738.61"/>
    <n v="14001.34"/>
    <n v="469.3"/>
    <n v="14808.53"/>
    <n v="145484.5"/>
    <n v="-14339.230000000001"/>
  </r>
  <r>
    <x v="6"/>
    <x v="1"/>
    <x v="0"/>
    <s v="2536200"/>
    <n v="713090"/>
    <s v="Benefits-Allocated Amounts"/>
    <s v="WH-Federal Way-OB/GYN"/>
    <x v="0"/>
    <m/>
    <n v="0"/>
    <n v="0"/>
    <n v="0"/>
    <n v="0"/>
    <n v="0"/>
    <n v="0"/>
    <n v="0"/>
    <n v="0"/>
    <n v="116867.75"/>
    <n v="13917.45"/>
    <n v="12672.4"/>
    <n v="12146.06"/>
    <n v="155603.66"/>
    <n v="526.34000000000015"/>
  </r>
  <r>
    <x v="6"/>
    <x v="1"/>
    <x v="0"/>
    <s v="2536200"/>
    <n v="713092"/>
    <s v="Allocated Benefits-Physician"/>
    <s v="WH-Federal Way-OB/GYN"/>
    <x v="0"/>
    <m/>
    <n v="13792.97"/>
    <n v="11900.46"/>
    <n v="14101.99"/>
    <n v="13795.71"/>
    <n v="13074.88"/>
    <n v="15320.92"/>
    <n v="16315.17"/>
    <n v="15382.21"/>
    <n v="-54929.440000000002"/>
    <n v="6996.94"/>
    <n v="6371.01"/>
    <n v="6106.39"/>
    <n v="78229.209999999992"/>
    <n v="264.61999999999989"/>
  </r>
  <r>
    <x v="6"/>
    <x v="1"/>
    <x v="0"/>
    <s v="2536200"/>
    <n v="713093"/>
    <s v="Allocated Benefits-Advanced Practice Clinician"/>
    <s v="WH-Federal Way-OB/GYN"/>
    <x v="0"/>
    <m/>
    <n v="10709.23"/>
    <n v="9239.82"/>
    <n v="10949.16"/>
    <n v="10711.35"/>
    <n v="10151.69"/>
    <n v="11895.56"/>
    <n v="12667.53"/>
    <n v="11943.16"/>
    <n v="-33882.42"/>
    <n v="6476.56"/>
    <n v="5897.17"/>
    <n v="5652.24"/>
    <n v="72411.05"/>
    <n v="244.93000000000029"/>
  </r>
  <r>
    <x v="6"/>
    <x v="1"/>
    <x v="0"/>
    <s v="2536200"/>
    <n v="713096"/>
    <s v="Employee Recognition"/>
    <s v="WH-Federal Way-OB/GYN"/>
    <x v="0"/>
    <n v="1017"/>
    <n v="0"/>
    <n v="0"/>
    <n v="57.96"/>
    <n v="0"/>
    <n v="0"/>
    <n v="0"/>
    <n v="0"/>
    <n v="0"/>
    <n v="0"/>
    <n v="0"/>
    <n v="0"/>
    <n v="0"/>
    <n v="57.96"/>
    <n v="0"/>
  </r>
  <r>
    <x v="7"/>
    <x v="1"/>
    <x v="0"/>
    <s v="2536200"/>
    <n v="718040"/>
    <s v="Contract Svcs-Laboratory"/>
    <s v="WH-Federal Way-OB/GYN"/>
    <x v="0"/>
    <m/>
    <n v="167.7"/>
    <n v="0"/>
    <n v="0"/>
    <n v="0"/>
    <n v="0"/>
    <n v="0"/>
    <n v="0"/>
    <n v="0"/>
    <n v="0"/>
    <n v="0"/>
    <n v="20"/>
    <n v="0"/>
    <n v="187.7"/>
    <n v="20"/>
  </r>
  <r>
    <x v="7"/>
    <x v="1"/>
    <x v="0"/>
    <s v="2536200"/>
    <n v="718050"/>
    <s v="Contract Svcs-Other"/>
    <s v="WH-Federal Way-OB/GYN"/>
    <x v="0"/>
    <m/>
    <n v="0"/>
    <n v="15000"/>
    <n v="0"/>
    <n v="0"/>
    <n v="0"/>
    <n v="0"/>
    <n v="0"/>
    <n v="0"/>
    <n v="-15000"/>
    <n v="0"/>
    <n v="0"/>
    <n v="0"/>
    <n v="0"/>
    <n v="0"/>
  </r>
  <r>
    <x v="11"/>
    <x v="1"/>
    <x v="0"/>
    <s v="2536200"/>
    <n v="721010"/>
    <s v="Supplies-Medical - Billable"/>
    <s v="WH-Federal Way-OB/GYN"/>
    <x v="0"/>
    <m/>
    <n v="14183.2"/>
    <n v="18808"/>
    <n v="10171.200000000001"/>
    <n v="14259.28"/>
    <n v="18396.12"/>
    <n v="5234.9399999999996"/>
    <n v="17924.05"/>
    <n v="19417.75"/>
    <n v="16824.150000000001"/>
    <n v="4076.05"/>
    <n v="26879.1"/>
    <n v="57.02"/>
    <n v="166230.85999999999"/>
    <n v="26822.079999999998"/>
  </r>
  <r>
    <x v="11"/>
    <x v="1"/>
    <x v="0"/>
    <s v="2536200"/>
    <n v="721250"/>
    <s v="Supplies-Pharmacy Drugs - Billable"/>
    <s v="WH-Federal Way-OB/GYN"/>
    <x v="0"/>
    <m/>
    <n v="1195.92"/>
    <n v="1895.54"/>
    <n v="1096.56"/>
    <n v="4294.63"/>
    <n v="1292.24"/>
    <n v="4677.97"/>
    <n v="2655.71"/>
    <n v="1220.82"/>
    <n v="0"/>
    <n v="1569.71"/>
    <n v="2035.51"/>
    <n v="679.4"/>
    <n v="22614.01"/>
    <n v="1356.1100000000001"/>
  </r>
  <r>
    <x v="11"/>
    <x v="1"/>
    <x v="0"/>
    <s v="2536200"/>
    <n v="721410"/>
    <s v="Supplies-Medical - Nonbillable"/>
    <s v="WH-Federal Way-OB/GYN"/>
    <x v="0"/>
    <m/>
    <n v="0"/>
    <n v="0"/>
    <n v="0"/>
    <n v="0"/>
    <n v="0"/>
    <n v="0"/>
    <n v="0"/>
    <n v="0"/>
    <n v="0"/>
    <n v="2115.67"/>
    <n v="0"/>
    <n v="0"/>
    <n v="2115.67"/>
    <n v="0"/>
  </r>
  <r>
    <x v="11"/>
    <x v="1"/>
    <x v="0"/>
    <s v="2536200"/>
    <n v="721830"/>
    <s v="Supplies-Office"/>
    <s v="WH-Federal Way-OB/GYN"/>
    <x v="0"/>
    <m/>
    <n v="0"/>
    <n v="0"/>
    <n v="0"/>
    <n v="0"/>
    <n v="0"/>
    <n v="0"/>
    <n v="0"/>
    <n v="0"/>
    <n v="0"/>
    <n v="0"/>
    <n v="0"/>
    <n v="29.98"/>
    <n v="29.98"/>
    <n v="-29.98"/>
  </r>
  <r>
    <x v="11"/>
    <x v="1"/>
    <x v="0"/>
    <s v="2536200"/>
    <n v="722000"/>
    <s v="Supplies-Freight Expense"/>
    <s v="WH-Federal Way-OB/GYN"/>
    <x v="0"/>
    <m/>
    <n v="0"/>
    <n v="0"/>
    <n v="0"/>
    <n v="0"/>
    <n v="0"/>
    <n v="0"/>
    <n v="0"/>
    <n v="0"/>
    <n v="20.05"/>
    <n v="0"/>
    <n v="0"/>
    <n v="0"/>
    <n v="20.05"/>
    <n v="0"/>
  </r>
  <r>
    <x v="13"/>
    <x v="1"/>
    <x v="0"/>
    <s v="2536200"/>
    <n v="735070"/>
    <s v="Depreciation-Movable Equipment"/>
    <s v="WH-Federal Way-OB/GYN"/>
    <x v="0"/>
    <m/>
    <n v="525.41999999999996"/>
    <n v="525.41999999999996"/>
    <n v="525.41999999999996"/>
    <n v="525.41999999999996"/>
    <n v="525.41999999999996"/>
    <n v="525.41999999999996"/>
    <n v="525.41999999999996"/>
    <n v="525.41999999999996"/>
    <n v="525.42999999999995"/>
    <n v="711.52"/>
    <n v="711.55"/>
    <n v="711.52"/>
    <n v="6863.3799999999992"/>
    <n v="2.9999999999972715E-2"/>
  </r>
  <r>
    <x v="0"/>
    <x v="1"/>
    <x v="0"/>
    <s v="2536200"/>
    <n v="740022"/>
    <s v="Education-Physician"/>
    <s v="WH-Federal Way-OB/GYN"/>
    <x v="0"/>
    <m/>
    <n v="0"/>
    <n v="0"/>
    <n v="0"/>
    <n v="0"/>
    <n v="0"/>
    <n v="0"/>
    <n v="0"/>
    <n v="599"/>
    <n v="375"/>
    <n v="0"/>
    <n v="0"/>
    <n v="0"/>
    <n v="974"/>
    <n v="0"/>
  </r>
  <r>
    <x v="0"/>
    <x v="1"/>
    <x v="0"/>
    <s v="2536200"/>
    <n v="740023"/>
    <s v="Education-Advanced Practice Clinician"/>
    <s v="WH-Federal Way-OB/GYN"/>
    <x v="0"/>
    <m/>
    <n v="0"/>
    <n v="0"/>
    <n v="0"/>
    <n v="0"/>
    <n v="585"/>
    <n v="0"/>
    <n v="685"/>
    <n v="0"/>
    <n v="1734.09"/>
    <n v="0"/>
    <n v="0"/>
    <n v="1500"/>
    <n v="4504.09"/>
    <n v="-1500"/>
  </r>
  <r>
    <x v="0"/>
    <x v="1"/>
    <x v="0"/>
    <s v="2536200"/>
    <n v="740023"/>
    <s v="Education Travel-Advanced Practice Clinician"/>
    <s v="WH-Federal Way-OB/GYN"/>
    <x v="0"/>
    <n v="2001"/>
    <n v="0"/>
    <n v="819.6"/>
    <n v="0"/>
    <n v="0"/>
    <n v="0"/>
    <n v="0"/>
    <n v="0"/>
    <n v="0"/>
    <n v="502.61"/>
    <n v="0"/>
    <n v="0"/>
    <n v="0"/>
    <n v="1322.21"/>
    <n v="0"/>
  </r>
  <r>
    <x v="8"/>
    <x v="1"/>
    <x v="0"/>
    <s v="2536200"/>
    <n v="741012"/>
    <s v="Physician Liab Insurance-CHI Program"/>
    <s v="WH-Federal Way-OB/GYN"/>
    <x v="0"/>
    <m/>
    <n v="13068.54"/>
    <n v="13752.31"/>
    <n v="13654.16"/>
    <n v="13654.15"/>
    <n v="13654.16"/>
    <n v="12192.1"/>
    <n v="10237.76"/>
    <n v="10136.39"/>
    <n v="8670.8700000000008"/>
    <n v="8036.02"/>
    <n v="8036.04"/>
    <n v="8036.02"/>
    <n v="133128.51999999999"/>
    <n v="1.9999999999527063E-2"/>
  </r>
  <r>
    <x v="0"/>
    <x v="1"/>
    <x v="0"/>
    <s v="2536200"/>
    <n v="743010"/>
    <s v="Dues--Institutional"/>
    <s v="WH-Federal Way-OB/GYN"/>
    <x v="0"/>
    <m/>
    <n v="0"/>
    <n v="0"/>
    <n v="0"/>
    <n v="0"/>
    <n v="0"/>
    <n v="0"/>
    <n v="0"/>
    <n v="400"/>
    <n v="0"/>
    <n v="0"/>
    <n v="0"/>
    <n v="0"/>
    <n v="400"/>
    <n v="0"/>
  </r>
  <r>
    <x v="0"/>
    <x v="1"/>
    <x v="0"/>
    <s v="2536200"/>
    <n v="743022"/>
    <s v="Dues-Physician"/>
    <s v="WH-Federal Way-OB/GYN"/>
    <x v="0"/>
    <m/>
    <n v="0"/>
    <n v="0"/>
    <n v="0"/>
    <n v="0"/>
    <n v="0"/>
    <n v="441"/>
    <n v="0"/>
    <n v="852"/>
    <n v="790"/>
    <n v="0"/>
    <n v="0"/>
    <n v="650"/>
    <n v="2733"/>
    <n v="-650"/>
  </r>
  <r>
    <x v="0"/>
    <x v="1"/>
    <x v="0"/>
    <s v="2536200"/>
    <n v="743023"/>
    <s v="Dues-Advanced Practice Clinician"/>
    <s v="WH-Federal Way-OB/GYN"/>
    <x v="0"/>
    <m/>
    <n v="0"/>
    <n v="0"/>
    <n v="274"/>
    <n v="0"/>
    <n v="0"/>
    <n v="0"/>
    <n v="0"/>
    <n v="425"/>
    <n v="0"/>
    <n v="0"/>
    <n v="0"/>
    <n v="0"/>
    <n v="699"/>
    <n v="0"/>
  </r>
  <r>
    <x v="0"/>
    <x v="1"/>
    <x v="0"/>
    <s v="2536200"/>
    <n v="749510"/>
    <s v="Miscellaneous Expenses"/>
    <s v="WH-Federal Way-OB/GYN"/>
    <x v="0"/>
    <m/>
    <n v="-3184.9"/>
    <n v="659.5"/>
    <n v="-724.9"/>
    <n v="0"/>
    <n v="19.62"/>
    <n v="-19.62"/>
    <n v="0"/>
    <n v="0"/>
    <n v="0"/>
    <n v="70"/>
    <n v="-70"/>
    <n v="0"/>
    <n v="-3250.3"/>
    <n v="-70"/>
  </r>
  <r>
    <x v="0"/>
    <x v="1"/>
    <x v="0"/>
    <s v="2536200"/>
    <n v="749512"/>
    <s v="Licenses-Physician"/>
    <s v="WH-Federal Way-OB/GYN"/>
    <x v="0"/>
    <n v="2000"/>
    <n v="0"/>
    <n v="0"/>
    <n v="659.5"/>
    <n v="0"/>
    <n v="0"/>
    <n v="0"/>
    <n v="0"/>
    <n v="659.5"/>
    <n v="0"/>
    <n v="0"/>
    <n v="0"/>
    <n v="0"/>
    <n v="1319"/>
    <n v="0"/>
  </r>
  <r>
    <x v="0"/>
    <x v="1"/>
    <x v="0"/>
    <s v="2536200"/>
    <n v="749513"/>
    <s v="Licenses-Advanced Practice Clinician"/>
    <s v="WH-Federal Way-OB/GYN"/>
    <x v="0"/>
    <n v="2000"/>
    <n v="0"/>
    <n v="0"/>
    <n v="245"/>
    <n v="0"/>
    <n v="0"/>
    <n v="0"/>
    <n v="0"/>
    <n v="0"/>
    <n v="0"/>
    <n v="0"/>
    <n v="315"/>
    <n v="0"/>
    <n v="560"/>
    <n v="315"/>
  </r>
  <r>
    <x v="0"/>
    <x v="1"/>
    <x v="0"/>
    <s v="2536200"/>
    <n v="749530"/>
    <s v="Mileage"/>
    <s v="WH-Federal Way-OB/GYN"/>
    <x v="0"/>
    <n v="1001"/>
    <n v="85.02"/>
    <n v="0"/>
    <n v="65.400000000000006"/>
    <n v="0"/>
    <n v="0"/>
    <n v="19.62"/>
    <n v="0"/>
    <n v="0"/>
    <n v="13.92"/>
    <n v="0"/>
    <n v="13.92"/>
    <n v="13.92"/>
    <n v="211.79999999999998"/>
    <n v="0"/>
  </r>
  <r>
    <x v="0"/>
    <x v="1"/>
    <x v="0"/>
    <s v="2536200"/>
    <n v="749532"/>
    <s v="Travel-Physician"/>
    <s v="WH-Federal Way-OB/GYN"/>
    <x v="0"/>
    <m/>
    <n v="0"/>
    <n v="0"/>
    <n v="0"/>
    <n v="0"/>
    <n v="0"/>
    <n v="0"/>
    <n v="0"/>
    <n v="1057.32"/>
    <n v="0"/>
    <n v="0"/>
    <n v="571.16"/>
    <n v="398.9"/>
    <n v="2027.38"/>
    <n v="172.26"/>
  </r>
  <r>
    <x v="0"/>
    <x v="1"/>
    <x v="0"/>
    <s v="2536200"/>
    <n v="749533"/>
    <s v="Travel-Advanced Practice Clinician"/>
    <s v="WH-Federal Way-OB/GYN"/>
    <x v="0"/>
    <m/>
    <n v="0"/>
    <n v="0"/>
    <n v="0"/>
    <n v="502.04"/>
    <n v="0"/>
    <n v="0"/>
    <n v="2785.63"/>
    <n v="0"/>
    <n v="0"/>
    <n v="194.92"/>
    <n v="0"/>
    <n v="1000"/>
    <n v="4482.59"/>
    <n v="-1000"/>
  </r>
  <r>
    <x v="9"/>
    <x v="1"/>
    <x v="0"/>
    <s v="2536200"/>
    <n v="800015"/>
    <s v="Interest Income-Ext to CHI"/>
    <s v="WH-Federal Way-OB/GYN"/>
    <x v="0"/>
    <m/>
    <n v="0"/>
    <n v="0"/>
    <n v="-106.84"/>
    <n v="-195.33"/>
    <n v="-180.81"/>
    <n v="-204.03"/>
    <n v="-195.28"/>
    <n v="-167.71"/>
    <n v="-176.08"/>
    <n v="-161.11000000000001"/>
    <n v="-156.88999999999999"/>
    <n v="-142.54"/>
    <n v="-1686.62"/>
    <n v="-14.349999999999994"/>
  </r>
  <r>
    <x v="5"/>
    <x v="1"/>
    <x v="0"/>
    <s v="2537200"/>
    <n v="700026"/>
    <s v="Salaries-RN-Productive"/>
    <s v="WH-Federal Way-UROGYN"/>
    <x v="0"/>
    <m/>
    <n v="0"/>
    <n v="0"/>
    <n v="0"/>
    <n v="347.6"/>
    <n v="0"/>
    <n v="0"/>
    <n v="0"/>
    <n v="0"/>
    <n v="0"/>
    <n v="0"/>
    <n v="0"/>
    <n v="0"/>
    <n v="347.6"/>
    <n v="0"/>
  </r>
  <r>
    <x v="6"/>
    <x v="1"/>
    <x v="0"/>
    <s v="2537200"/>
    <n v="713010"/>
    <s v="Benefits-FICA/Medicare"/>
    <s v="WH-Federal Way-UROGYN"/>
    <x v="0"/>
    <m/>
    <n v="0"/>
    <n v="0"/>
    <n v="0"/>
    <n v="26.59"/>
    <n v="0"/>
    <n v="0"/>
    <n v="0"/>
    <n v="0"/>
    <n v="0"/>
    <n v="0"/>
    <n v="0"/>
    <n v="0"/>
    <n v="26.59"/>
    <n v="0"/>
  </r>
  <r>
    <x v="6"/>
    <x v="1"/>
    <x v="0"/>
    <s v="2537200"/>
    <n v="713090"/>
    <s v="Benefits-Allocated Amounts"/>
    <s v="WH-Federal Way-UROGYN"/>
    <x v="0"/>
    <m/>
    <n v="0"/>
    <n v="0"/>
    <n v="0"/>
    <n v="86.97"/>
    <n v="22.46"/>
    <n v="-109.43"/>
    <n v="0"/>
    <n v="0"/>
    <n v="0"/>
    <n v="0"/>
    <n v="0"/>
    <n v="0"/>
    <n v="0"/>
    <n v="0"/>
  </r>
  <r>
    <x v="7"/>
    <x v="1"/>
    <x v="0"/>
    <s v="2537200"/>
    <n v="718050"/>
    <s v="Miscellaneous Purchased Svcs"/>
    <s v="WH-Federal Way-UROGYN"/>
    <x v="0"/>
    <n v="1020"/>
    <n v="0"/>
    <n v="0"/>
    <n v="551"/>
    <n v="0"/>
    <n v="0"/>
    <n v="0"/>
    <n v="0"/>
    <n v="0"/>
    <n v="0"/>
    <n v="0"/>
    <n v="0"/>
    <n v="0"/>
    <n v="551"/>
    <n v="0"/>
  </r>
  <r>
    <x v="1"/>
    <x v="1"/>
    <x v="0"/>
    <s v="2538200"/>
    <n v="400029"/>
    <s v="MD Practice Other Rev--Medicare"/>
    <s v="Neurosurgery-Neurosurg"/>
    <x v="0"/>
    <n v="1100"/>
    <n v="0"/>
    <n v="0"/>
    <n v="0"/>
    <n v="-18"/>
    <n v="0"/>
    <n v="0"/>
    <n v="0"/>
    <n v="-176"/>
    <n v="0"/>
    <n v="0"/>
    <n v="0"/>
    <n v="0"/>
    <n v="-194"/>
    <n v="0"/>
  </r>
  <r>
    <x v="1"/>
    <x v="1"/>
    <x v="0"/>
    <s v="2538200"/>
    <n v="400029"/>
    <s v="MD Practice Other Rev--Medicaid"/>
    <s v="Neurosurgery-Neurosurg"/>
    <x v="0"/>
    <n v="1200"/>
    <n v="0"/>
    <n v="-18"/>
    <n v="-18"/>
    <n v="0"/>
    <n v="0"/>
    <n v="0"/>
    <n v="0"/>
    <n v="-176"/>
    <n v="0"/>
    <n v="0"/>
    <n v="0"/>
    <n v="0"/>
    <n v="-212"/>
    <n v="0"/>
  </r>
  <r>
    <x v="1"/>
    <x v="1"/>
    <x v="0"/>
    <s v="2538200"/>
    <n v="400029"/>
    <s v="MD Practice Other Rev--BCBS Comm"/>
    <s v="Neurosurgery-Neurosurg"/>
    <x v="0"/>
    <n v="1301"/>
    <n v="0"/>
    <n v="-18"/>
    <n v="0"/>
    <n v="0"/>
    <n v="0"/>
    <n v="0"/>
    <n v="0"/>
    <n v="0"/>
    <n v="0"/>
    <n v="0"/>
    <n v="0"/>
    <n v="0"/>
    <n v="-18"/>
    <n v="0"/>
  </r>
  <r>
    <x v="1"/>
    <x v="1"/>
    <x v="0"/>
    <s v="2538200"/>
    <n v="400029"/>
    <s v="MD Practice Other Rev--Managed Care"/>
    <s v="Neurosurgery-Neurosurg"/>
    <x v="0"/>
    <n v="1400"/>
    <n v="0"/>
    <n v="0"/>
    <n v="-352"/>
    <n v="0"/>
    <n v="0"/>
    <n v="-431"/>
    <n v="0"/>
    <n v="0"/>
    <n v="0"/>
    <n v="-931"/>
    <n v="0"/>
    <n v="0"/>
    <n v="-1714"/>
    <n v="0"/>
  </r>
  <r>
    <x v="1"/>
    <x v="1"/>
    <x v="0"/>
    <s v="2538200"/>
    <n v="400029"/>
    <s v="MD Practice Other Rev--Other"/>
    <s v="Neurosurgery-Neurosurg"/>
    <x v="0"/>
    <n v="1700"/>
    <n v="0"/>
    <n v="0"/>
    <n v="0"/>
    <n v="0"/>
    <n v="0"/>
    <n v="0"/>
    <n v="0"/>
    <n v="0"/>
    <n v="0"/>
    <n v="0"/>
    <n v="0"/>
    <n v="-176"/>
    <n v="-176"/>
    <n v="176"/>
  </r>
  <r>
    <x v="1"/>
    <x v="1"/>
    <x v="0"/>
    <s v="2538200"/>
    <n v="400040"/>
    <s v="Physician Svcs Rev--Medicare"/>
    <s v="Neurosurgery-Neurosurg"/>
    <x v="0"/>
    <n v="1100"/>
    <n v="-393422.6"/>
    <n v="-538912"/>
    <n v="-527809"/>
    <n v="-464537"/>
    <n v="-581505"/>
    <n v="-568557"/>
    <n v="-501390"/>
    <n v="-392769"/>
    <n v="-421291"/>
    <n v="-472735"/>
    <n v="-468309"/>
    <n v="-508254.25"/>
    <n v="-5839490.8499999996"/>
    <n v="39945.25"/>
  </r>
  <r>
    <x v="1"/>
    <x v="1"/>
    <x v="0"/>
    <s v="2538200"/>
    <n v="400040"/>
    <s v="Physician Svcs Rev--Medicaid"/>
    <s v="Neurosurgery-Neurosurg"/>
    <x v="0"/>
    <n v="1200"/>
    <n v="-271179"/>
    <n v="-299553"/>
    <n v="-162571"/>
    <n v="-142293"/>
    <n v="-138757"/>
    <n v="-205605"/>
    <n v="-132782"/>
    <n v="-198505"/>
    <n v="-188538"/>
    <n v="-116935"/>
    <n v="-228360"/>
    <n v="-134972"/>
    <n v="-2220050"/>
    <n v="-93388"/>
  </r>
  <r>
    <x v="1"/>
    <x v="1"/>
    <x v="0"/>
    <s v="2538200"/>
    <n v="400040"/>
    <s v="Physician Svcs Rev--Comm Insurance"/>
    <s v="Neurosurgery-Neurosurg"/>
    <x v="0"/>
    <n v="1300"/>
    <n v="-21815"/>
    <n v="-16316"/>
    <n v="22995"/>
    <n v="-67881"/>
    <n v="-12993"/>
    <n v="-68081"/>
    <n v="8639"/>
    <n v="-22154"/>
    <n v="-14409"/>
    <n v="-15938"/>
    <n v="-27321"/>
    <n v="-49094"/>
    <n v="-284368"/>
    <n v="21773"/>
  </r>
  <r>
    <x v="1"/>
    <x v="1"/>
    <x v="0"/>
    <s v="2538200"/>
    <n v="400040"/>
    <s v="Physician Svcs Rev--BCBS Comm"/>
    <s v="Neurosurgery-Neurosurg"/>
    <x v="0"/>
    <n v="1301"/>
    <n v="-55707"/>
    <n v="-33479"/>
    <n v="-101229"/>
    <n v="-43789"/>
    <n v="-30027"/>
    <n v="-23751"/>
    <n v="-61855"/>
    <n v="-30612"/>
    <n v="-25564"/>
    <n v="-68296"/>
    <n v="-59203"/>
    <n v="-33898.5"/>
    <n v="-567410.5"/>
    <n v="-25304.5"/>
  </r>
  <r>
    <x v="1"/>
    <x v="1"/>
    <x v="0"/>
    <s v="2538200"/>
    <n v="400040"/>
    <s v="Physician Svcs Rev--Managed Care"/>
    <s v="Neurosurgery-Neurosurg"/>
    <x v="0"/>
    <n v="1400"/>
    <n v="-233018"/>
    <n v="-219428"/>
    <n v="-156893"/>
    <n v="-130884"/>
    <n v="-240597"/>
    <n v="-224420"/>
    <n v="-286659"/>
    <n v="-185181"/>
    <n v="-194532"/>
    <n v="-103715"/>
    <n v="-193478"/>
    <n v="-136003"/>
    <n v="-2304808"/>
    <n v="-57475"/>
  </r>
  <r>
    <x v="1"/>
    <x v="1"/>
    <x v="0"/>
    <s v="2538200"/>
    <n v="400040"/>
    <s v="Physician Svcs Rev--Self Pay"/>
    <s v="Neurosurgery-Neurosurg"/>
    <x v="0"/>
    <n v="1500"/>
    <n v="-10558"/>
    <n v="-9609"/>
    <n v="-11066"/>
    <n v="-11831"/>
    <n v="-1387"/>
    <n v="831"/>
    <n v="-8331"/>
    <n v="539"/>
    <n v="-6921"/>
    <n v="-154"/>
    <n v="-37545"/>
    <n v="-2407"/>
    <n v="-98439"/>
    <n v="-35138"/>
  </r>
  <r>
    <x v="1"/>
    <x v="1"/>
    <x v="0"/>
    <s v="2538200"/>
    <n v="400040"/>
    <s v="Physician Svcs Rev--Other"/>
    <s v="Neurosurgery-Neurosurg"/>
    <x v="0"/>
    <n v="1700"/>
    <n v="-68118"/>
    <n v="-223791"/>
    <n v="-108979"/>
    <n v="-148231"/>
    <n v="-112756"/>
    <n v="-89614"/>
    <n v="-105763"/>
    <n v="-75203"/>
    <n v="-50834"/>
    <n v="-92833"/>
    <n v="-162291"/>
    <n v="-121320"/>
    <n v="-1359733"/>
    <n v="-40971"/>
  </r>
  <r>
    <x v="2"/>
    <x v="1"/>
    <x v="0"/>
    <s v="2538200"/>
    <n v="450029"/>
    <s v="Contr Allow--MD Other-Medicare"/>
    <s v="Neurosurgery-Neurosurg"/>
    <x v="0"/>
    <n v="1100"/>
    <n v="0"/>
    <n v="0"/>
    <n v="0"/>
    <n v="0"/>
    <n v="0"/>
    <n v="0"/>
    <n v="0"/>
    <n v="0"/>
    <n v="112.43"/>
    <n v="0"/>
    <n v="0"/>
    <n v="-0.38"/>
    <n v="112.05000000000001"/>
    <n v="0.38"/>
  </r>
  <r>
    <x v="2"/>
    <x v="1"/>
    <x v="0"/>
    <s v="2538200"/>
    <n v="450029"/>
    <s v="Contr Allow--MD Other-Medicaid"/>
    <s v="Neurosurgery-Neurosurg"/>
    <x v="0"/>
    <n v="1200"/>
    <n v="0"/>
    <n v="12.13"/>
    <n v="12.13"/>
    <n v="0"/>
    <n v="0"/>
    <n v="0"/>
    <n v="0"/>
    <n v="0"/>
    <n v="140.29"/>
    <n v="0"/>
    <n v="0"/>
    <n v="0"/>
    <n v="164.54999999999998"/>
    <n v="0"/>
  </r>
  <r>
    <x v="2"/>
    <x v="1"/>
    <x v="0"/>
    <s v="2538200"/>
    <n v="450029"/>
    <s v="Contr Allow--MD Other BCBS Comm"/>
    <s v="Neurosurgery-Neurosurg"/>
    <x v="0"/>
    <n v="1301"/>
    <n v="0"/>
    <n v="10.97"/>
    <n v="0"/>
    <n v="0"/>
    <n v="0"/>
    <n v="0"/>
    <n v="0"/>
    <n v="0"/>
    <n v="0"/>
    <n v="0"/>
    <n v="0"/>
    <n v="0"/>
    <n v="10.97"/>
    <n v="0"/>
  </r>
  <r>
    <x v="2"/>
    <x v="1"/>
    <x v="0"/>
    <s v="2538200"/>
    <n v="450029"/>
    <s v="Contr Allow--MD Other-Managed Care"/>
    <s v="Neurosurgery-Neurosurg"/>
    <x v="0"/>
    <n v="1400"/>
    <n v="0"/>
    <n v="0"/>
    <n v="118.4"/>
    <n v="8.15"/>
    <n v="0"/>
    <n v="184.99"/>
    <n v="0"/>
    <n v="0"/>
    <n v="0"/>
    <n v="0"/>
    <n v="436.69"/>
    <n v="0"/>
    <n v="748.23"/>
    <n v="436.69"/>
  </r>
  <r>
    <x v="2"/>
    <x v="1"/>
    <x v="0"/>
    <s v="2538200"/>
    <n v="450029"/>
    <s v="Admin Adjust-MD Other-Self Pay"/>
    <s v="Neurosurgery-Neurosurg"/>
    <x v="0"/>
    <n v="1600"/>
    <n v="0"/>
    <n v="0"/>
    <n v="0"/>
    <n v="0"/>
    <n v="0"/>
    <n v="0.7"/>
    <n v="0"/>
    <n v="0"/>
    <n v="0"/>
    <n v="0"/>
    <n v="-0.7"/>
    <n v="0"/>
    <n v="0"/>
    <n v="-0.7"/>
  </r>
  <r>
    <x v="2"/>
    <x v="1"/>
    <x v="0"/>
    <s v="2538200"/>
    <n v="450040"/>
    <s v="Contr Allow--Phys Svcs--Mcare"/>
    <s v="Neurosurgery-Neurosurg"/>
    <x v="0"/>
    <n v="1100"/>
    <n v="291131.63"/>
    <n v="319132.74"/>
    <n v="428778.38"/>
    <n v="378552.7"/>
    <n v="401394.19"/>
    <n v="402874.49"/>
    <n v="380300.78"/>
    <n v="259320.29"/>
    <n v="437970.03"/>
    <n v="361684.02"/>
    <n v="326214.84000000003"/>
    <n v="357655.76"/>
    <n v="4345009.8500000006"/>
    <n v="-31440.919999999984"/>
  </r>
  <r>
    <x v="2"/>
    <x v="1"/>
    <x v="0"/>
    <s v="2538200"/>
    <n v="450040"/>
    <s v="Contr Allow--Phys Svcs--Mcaid"/>
    <s v="Neurosurgery-Neurosurg"/>
    <x v="0"/>
    <n v="1200"/>
    <n v="166560.54999999999"/>
    <n v="197184.84"/>
    <n v="245014.29"/>
    <n v="130544.87"/>
    <n v="127863.56"/>
    <n v="179378.43"/>
    <n v="122749.73"/>
    <n v="172446.13"/>
    <n v="213627.57"/>
    <n v="99410"/>
    <n v="104381.02"/>
    <n v="159962.14000000001"/>
    <n v="1919123.13"/>
    <n v="-55581.12000000001"/>
  </r>
  <r>
    <x v="2"/>
    <x v="1"/>
    <x v="0"/>
    <s v="2538200"/>
    <n v="450040"/>
    <s v="Contr Allow--Phys Svcs--Comm Insurance"/>
    <s v="Neurosurgery-Neurosurg"/>
    <x v="0"/>
    <n v="1300"/>
    <n v="5185.32"/>
    <n v="8230.2099999999991"/>
    <n v="13766.35"/>
    <n v="21097.77"/>
    <n v="12775.14"/>
    <n v="11813.75"/>
    <n v="15256.06"/>
    <n v="3240.82"/>
    <n v="22830.37"/>
    <n v="7460.29"/>
    <n v="22706.240000000002"/>
    <n v="9748.1200000000008"/>
    <n v="154110.43999999997"/>
    <n v="12958.12"/>
  </r>
  <r>
    <x v="2"/>
    <x v="1"/>
    <x v="0"/>
    <s v="2538200"/>
    <n v="450040"/>
    <s v="Contr Allow--Phys Svcs--BCBS Comm Ins"/>
    <s v="Neurosurgery-Neurosurg"/>
    <x v="0"/>
    <n v="1301"/>
    <n v="22727.97"/>
    <n v="11024.06"/>
    <n v="13970.35"/>
    <n v="25146.62"/>
    <n v="33794.6"/>
    <n v="29856.959999999999"/>
    <n v="27982.09"/>
    <n v="24160.83"/>
    <n v="9885.7000000000007"/>
    <n v="18836.28"/>
    <n v="32550.57"/>
    <n v="28570.91"/>
    <n v="278506.94"/>
    <n v="3979.66"/>
  </r>
  <r>
    <x v="2"/>
    <x v="1"/>
    <x v="0"/>
    <s v="2538200"/>
    <n v="450040"/>
    <s v="Contr Allow--Phys Svcs--Managed Care"/>
    <s v="Neurosurgery-Neurosurg"/>
    <x v="0"/>
    <n v="1400"/>
    <n v="64634.52"/>
    <n v="124641.21"/>
    <n v="146320.26999999999"/>
    <n v="70262.42"/>
    <n v="50712.01"/>
    <n v="124018.19"/>
    <n v="170643.59"/>
    <n v="120410.43"/>
    <n v="162075.1"/>
    <n v="72804.429999999993"/>
    <n v="75807.05"/>
    <n v="71960"/>
    <n v="1254289.22"/>
    <n v="3847.0500000000029"/>
  </r>
  <r>
    <x v="2"/>
    <x v="1"/>
    <x v="0"/>
    <s v="2538200"/>
    <n v="450040"/>
    <s v="Contr Allow--Phys Svcs--BCBS Mgnd Care"/>
    <s v="Neurosurgery-Neurosurg"/>
    <x v="0"/>
    <n v="1401"/>
    <n v="59128.06"/>
    <n v="142749.19"/>
    <n v="-123489.53"/>
    <n v="-3774.85"/>
    <n v="42093.03"/>
    <n v="41361.449999999997"/>
    <n v="8075.85"/>
    <n v="37121.51"/>
    <n v="-225153.03"/>
    <n v="650.05999999999995"/>
    <n v="141975.97"/>
    <n v="-26876.79"/>
    <n v="93860.919999999984"/>
    <n v="168852.76"/>
  </r>
  <r>
    <x v="2"/>
    <x v="1"/>
    <x v="0"/>
    <s v="2538200"/>
    <n v="450040"/>
    <s v="Admin Adjust-Phys Svcs-Self Pay"/>
    <s v="Neurosurgery-Neurosurg"/>
    <x v="0"/>
    <n v="1600"/>
    <n v="2626.17"/>
    <n v="4029.95"/>
    <n v="32459.05"/>
    <n v="12584.68"/>
    <n v="856.69"/>
    <n v="-181.01"/>
    <n v="-2608.0100000000002"/>
    <n v="6119.07"/>
    <n v="2611.81"/>
    <n v="1831.78"/>
    <n v="16218.68"/>
    <n v="1186.54"/>
    <n v="77735.39999999998"/>
    <n v="15032.14"/>
  </r>
  <r>
    <x v="2"/>
    <x v="1"/>
    <x v="0"/>
    <s v="2538200"/>
    <n v="450040"/>
    <s v="Contr Allow--Phys Svcs--Other"/>
    <s v="Neurosurgery-Neurosurg"/>
    <x v="0"/>
    <n v="1700"/>
    <n v="89337.57"/>
    <n v="63494.48"/>
    <n v="85498.53"/>
    <n v="94875.11"/>
    <n v="96814.09"/>
    <n v="64775.11"/>
    <n v="85721.16"/>
    <n v="24173.61"/>
    <n v="131808.4"/>
    <n v="37992.5"/>
    <n v="100003.29"/>
    <n v="82934.259999999995"/>
    <n v="957428.1100000001"/>
    <n v="17069.03"/>
  </r>
  <r>
    <x v="3"/>
    <x v="1"/>
    <x v="0"/>
    <s v="2538200"/>
    <n v="470040"/>
    <s v="Charity Care-Physician Svcs"/>
    <s v="Neurosurgery-Neurosurg"/>
    <x v="0"/>
    <m/>
    <n v="1222.4100000000001"/>
    <n v="16918.68"/>
    <n v="-245.59"/>
    <n v="898.6"/>
    <n v="4910.1400000000003"/>
    <n v="-2314.7800000000002"/>
    <n v="1216.19"/>
    <n v="4524.74"/>
    <n v="3309.37"/>
    <n v="1663.64"/>
    <n v="1282.75"/>
    <n v="20552.38"/>
    <n v="53938.53"/>
    <n v="-19269.63"/>
  </r>
  <r>
    <x v="4"/>
    <x v="1"/>
    <x v="0"/>
    <s v="2538200"/>
    <n v="490010"/>
    <s v="Provision for Bad Debts"/>
    <s v="Neurosurgery-Neurosurg"/>
    <x v="0"/>
    <m/>
    <n v="18255.47"/>
    <n v="24138.51"/>
    <n v="-20496.84"/>
    <n v="-2170.84"/>
    <n v="30233.74"/>
    <n v="103.9"/>
    <n v="-8568.5499999999993"/>
    <n v="-4312.21"/>
    <n v="-9193.7800000000007"/>
    <n v="20644.13"/>
    <n v="11731.69"/>
    <n v="23316.799999999999"/>
    <n v="83682.02"/>
    <n v="-11585.109999999999"/>
  </r>
  <r>
    <x v="14"/>
    <x v="1"/>
    <x v="0"/>
    <s v="2538200"/>
    <n v="600050"/>
    <s v="Miscellaneous Revenue"/>
    <s v="Neurosurgery-Neurosurg"/>
    <x v="0"/>
    <m/>
    <n v="-11238"/>
    <n v="-69301"/>
    <n v="-35587"/>
    <n v="-63682"/>
    <n v="-116126"/>
    <n v="-93650"/>
    <n v="-44952"/>
    <n v="-50571"/>
    <n v="-14984"/>
    <n v="-76793"/>
    <n v="-46825"/>
    <n v="-104888"/>
    <n v="-728597"/>
    <n v="58063"/>
  </r>
  <r>
    <x v="5"/>
    <x v="1"/>
    <x v="0"/>
    <s v="2538200"/>
    <n v="700022"/>
    <s v="Salaries-Physician-Productive"/>
    <s v="Neurosurgery-Neurosurg"/>
    <x v="0"/>
    <m/>
    <n v="163992.01999999999"/>
    <n v="241025.87"/>
    <n v="226719.84"/>
    <n v="233134.22"/>
    <n v="286782.71999999997"/>
    <n v="169223.92"/>
    <n v="281139.02"/>
    <n v="262224.46999999997"/>
    <n v="274222.34000000003"/>
    <n v="257313.36"/>
    <n v="227250.23"/>
    <n v="265246.27"/>
    <n v="2888274.28"/>
    <n v="-37996.040000000008"/>
  </r>
  <r>
    <x v="5"/>
    <x v="1"/>
    <x v="0"/>
    <s v="2538200"/>
    <n v="700022"/>
    <s v="Salaries-Physician-Other"/>
    <s v="Neurosurgery-Neurosurg"/>
    <x v="0"/>
    <n v="2000"/>
    <n v="11238"/>
    <n v="69301"/>
    <n v="35587"/>
    <n v="63682"/>
    <n v="116126"/>
    <n v="93650"/>
    <n v="44952"/>
    <n v="50571"/>
    <n v="14984"/>
    <n v="76793"/>
    <n v="46825.03"/>
    <n v="104888"/>
    <n v="728597.03"/>
    <n v="-58062.97"/>
  </r>
  <r>
    <x v="5"/>
    <x v="1"/>
    <x v="0"/>
    <s v="2538200"/>
    <n v="700024"/>
    <s v="Salaries-Advanced Practice Clinician-Productive"/>
    <s v="Neurosurgery-Neurosurg"/>
    <x v="0"/>
    <m/>
    <n v="39635.26"/>
    <n v="41328.550000000003"/>
    <n v="38062.879999999997"/>
    <n v="47020.45"/>
    <n v="30449.66"/>
    <n v="28665.49"/>
    <n v="37561.160000000003"/>
    <n v="31226.44"/>
    <n v="33406.54"/>
    <n v="37678.720000000001"/>
    <n v="28351.66"/>
    <n v="16966.169999999998"/>
    <n v="410352.98"/>
    <n v="11385.490000000002"/>
  </r>
  <r>
    <x v="5"/>
    <x v="1"/>
    <x v="0"/>
    <s v="2538200"/>
    <n v="700024"/>
    <s v="Salaries-Advanced Practice Clinician-Other"/>
    <s v="Neurosurgery-Neurosurg"/>
    <x v="0"/>
    <n v="2000"/>
    <n v="0"/>
    <n v="0"/>
    <n v="0"/>
    <n v="0"/>
    <n v="0"/>
    <n v="0"/>
    <n v="0"/>
    <n v="0"/>
    <n v="922.96"/>
    <n v="0"/>
    <n v="0"/>
    <n v="0"/>
    <n v="922.96"/>
    <n v="0"/>
  </r>
  <r>
    <x v="5"/>
    <x v="1"/>
    <x v="0"/>
    <s v="2538200"/>
    <n v="700026"/>
    <s v="Salaries-RN-Productive"/>
    <s v="Neurosurgery-Neurosurg"/>
    <x v="0"/>
    <m/>
    <n v="21191.53"/>
    <n v="26949.19"/>
    <n v="20895.32"/>
    <n v="24748.3"/>
    <n v="27094.85"/>
    <n v="13971.38"/>
    <n v="21513.31"/>
    <n v="18469.79"/>
    <n v="27613.71"/>
    <n v="25851.06"/>
    <n v="24109.17"/>
    <n v="21432.5"/>
    <n v="273840.11"/>
    <n v="2676.6699999999983"/>
  </r>
  <r>
    <x v="5"/>
    <x v="1"/>
    <x v="0"/>
    <s v="2538200"/>
    <n v="700026"/>
    <s v="Salaries-RN-OT"/>
    <s v="Neurosurgery-Neurosurg"/>
    <x v="0"/>
    <n v="1000"/>
    <n v="455.61"/>
    <n v="357.98"/>
    <n v="122.97"/>
    <n v="449.06"/>
    <n v="360.31"/>
    <n v="-60.44"/>
    <n v="746.19"/>
    <n v="155.94999999999999"/>
    <n v="441.69"/>
    <n v="507.73"/>
    <n v="251.67"/>
    <n v="999.42"/>
    <n v="4788.1400000000003"/>
    <n v="-747.75"/>
  </r>
  <r>
    <x v="5"/>
    <x v="1"/>
    <x v="0"/>
    <s v="2538200"/>
    <n v="700026"/>
    <s v="Salaries-RN-Other"/>
    <s v="Neurosurgery-Neurosurg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538200"/>
    <n v="700030"/>
    <s v="Salaries-LPN-Productive"/>
    <s v="Neurosurgery-Neurosurg"/>
    <x v="0"/>
    <m/>
    <n v="9814.0499999999993"/>
    <n v="14435.68"/>
    <n v="11351.26"/>
    <n v="10798.98"/>
    <n v="15440.59"/>
    <n v="10854.8"/>
    <n v="8542.9500000000007"/>
    <n v="8831.4699999999993"/>
    <n v="8943.01"/>
    <n v="10906.46"/>
    <n v="11215.57"/>
    <n v="7989.43"/>
    <n v="129124.25"/>
    <n v="3226.1399999999994"/>
  </r>
  <r>
    <x v="5"/>
    <x v="1"/>
    <x v="0"/>
    <s v="2538200"/>
    <n v="700030"/>
    <s v="Salaries-LPN-OT"/>
    <s v="Neurosurgery-Neurosurg"/>
    <x v="0"/>
    <n v="1000"/>
    <n v="51.45"/>
    <n v="105.72"/>
    <n v="822.52"/>
    <n v="340.48"/>
    <n v="1598.59"/>
    <n v="463.53"/>
    <n v="1137.07"/>
    <n v="645.62"/>
    <n v="178.11"/>
    <n v="172.16"/>
    <n v="1225.6099999999999"/>
    <n v="860.61"/>
    <n v="7601.4699999999984"/>
    <n v="364.99999999999989"/>
  </r>
  <r>
    <x v="5"/>
    <x v="1"/>
    <x v="0"/>
    <s v="2538200"/>
    <n v="700030"/>
    <s v="Salaries-LPN-Other"/>
    <s v="Neurosurgery-Neurosurg"/>
    <x v="0"/>
    <n v="2000"/>
    <n v="0"/>
    <n v="0"/>
    <n v="0"/>
    <n v="0"/>
    <n v="0"/>
    <n v="125.67"/>
    <n v="0"/>
    <n v="0"/>
    <n v="0"/>
    <n v="0"/>
    <n v="0"/>
    <n v="0"/>
    <n v="125.67"/>
    <n v="0"/>
  </r>
  <r>
    <x v="5"/>
    <x v="1"/>
    <x v="0"/>
    <s v="2538200"/>
    <n v="700038"/>
    <s v="Salaries-Service/Support-Productive"/>
    <s v="Neurosurgery-Neurosurg"/>
    <x v="0"/>
    <m/>
    <n v="0"/>
    <n v="0"/>
    <n v="0"/>
    <n v="0"/>
    <n v="0"/>
    <n v="0"/>
    <n v="0"/>
    <n v="0"/>
    <n v="0"/>
    <n v="0"/>
    <n v="0"/>
    <n v="827.04"/>
    <n v="827.04"/>
    <n v="-827.04"/>
  </r>
  <r>
    <x v="5"/>
    <x v="1"/>
    <x v="0"/>
    <s v="2538200"/>
    <n v="700054"/>
    <s v="Salaries-Management-NonProd-Other"/>
    <s v="Neurosurgery-Neurosurg"/>
    <x v="0"/>
    <n v="2000"/>
    <n v="0"/>
    <n v="0"/>
    <n v="0"/>
    <n v="0"/>
    <n v="0"/>
    <n v="5889.32"/>
    <n v="-5889.32"/>
    <n v="0"/>
    <n v="0"/>
    <n v="0"/>
    <n v="0"/>
    <n v="0"/>
    <n v="0"/>
    <n v="0"/>
  </r>
  <r>
    <x v="5"/>
    <x v="1"/>
    <x v="0"/>
    <s v="2538200"/>
    <n v="700062"/>
    <s v="Salaries-Physician-Non-productive"/>
    <s v="Neurosurgery-Neurosurg"/>
    <x v="0"/>
    <m/>
    <n v="21493.54"/>
    <n v="13167.96"/>
    <n v="10570.2"/>
    <n v="56335.86"/>
    <n v="3100.12"/>
    <n v="108723.17"/>
    <n v="23745.17"/>
    <n v="10763.1"/>
    <n v="23430"/>
    <n v="42468.800000000003"/>
    <n v="85694.399999999994"/>
    <n v="6818.97"/>
    <n v="406311.28999999992"/>
    <n v="78875.429999999993"/>
  </r>
  <r>
    <x v="5"/>
    <x v="1"/>
    <x v="0"/>
    <s v="2538200"/>
    <n v="700062"/>
    <s v="Salaries-Physician-NonProd-Other"/>
    <s v="Neurosurgery-Neuro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8200"/>
    <n v="700064"/>
    <s v="Salaries-Advanced Practice Clinician-Non-Productive"/>
    <s v="Neurosurgery-Neurosurg"/>
    <x v="0"/>
    <m/>
    <n v="4790.9799999999996"/>
    <n v="7446.45"/>
    <n v="2904.54"/>
    <n v="5170.17"/>
    <n v="2378.09"/>
    <n v="8455.91"/>
    <n v="3018.28"/>
    <n v="3857.72"/>
    <n v="4009.07"/>
    <n v="1347.68"/>
    <n v="12128.02"/>
    <n v="28381.02"/>
    <n v="83887.930000000008"/>
    <n v="-16253"/>
  </r>
  <r>
    <x v="5"/>
    <x v="1"/>
    <x v="0"/>
    <s v="2538200"/>
    <n v="700064"/>
    <s v="Salaries-Advanced Practice Clinician-Non-Prod-Other"/>
    <s v="Neurosurgery-Neurosurg"/>
    <x v="0"/>
    <n v="2000"/>
    <n v="0"/>
    <n v="0"/>
    <n v="0"/>
    <n v="0"/>
    <n v="0"/>
    <n v="0"/>
    <n v="0"/>
    <n v="0"/>
    <n v="0"/>
    <n v="0"/>
    <n v="0"/>
    <n v="-1038.44"/>
    <n v="-1038.44"/>
    <n v="1038.44"/>
  </r>
  <r>
    <x v="5"/>
    <x v="1"/>
    <x v="0"/>
    <s v="2538200"/>
    <n v="700066"/>
    <s v="Salaries-RN-Non-productive"/>
    <s v="Neurosurgery-Neurosurg"/>
    <x v="0"/>
    <m/>
    <n v="4170.38"/>
    <n v="2942.09"/>
    <n v="2665.56"/>
    <n v="3789.82"/>
    <n v="19.100000000000001"/>
    <n v="9098.56"/>
    <n v="1335.97"/>
    <n v="93.02"/>
    <n v="649.88"/>
    <n v="1254.4100000000001"/>
    <n v="1848.44"/>
    <n v="3922.43"/>
    <n v="31789.660000000003"/>
    <n v="-2073.9899999999998"/>
  </r>
  <r>
    <x v="5"/>
    <x v="1"/>
    <x v="0"/>
    <s v="2538200"/>
    <n v="700066"/>
    <s v="Salaries-RN-NonProd-Other"/>
    <s v="Neurosurgery-Neuro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8200"/>
    <n v="700070"/>
    <s v="Salaries-LPN-Non-productive"/>
    <s v="Neurosurgery-Neurosurg"/>
    <x v="0"/>
    <m/>
    <n v="3632.27"/>
    <n v="908"/>
    <n v="855.92"/>
    <n v="4359.4799999999996"/>
    <n v="-1273.8399999999999"/>
    <n v="2014.74"/>
    <n v="2637.05"/>
    <n v="792.6"/>
    <n v="1580.79"/>
    <n v="0"/>
    <n v="0"/>
    <n v="360.96"/>
    <n v="15867.969999999998"/>
    <n v="-360.96"/>
  </r>
  <r>
    <x v="5"/>
    <x v="1"/>
    <x v="0"/>
    <s v="2538200"/>
    <n v="700070"/>
    <s v="Salaries-LPN-NonProd-Other"/>
    <s v="Neurosurgery-Neuro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8200"/>
    <n v="700084"/>
    <s v="Accrued PTO"/>
    <s v="Neurosurgery-Neurosurg"/>
    <x v="0"/>
    <m/>
    <n v="-3474.24"/>
    <n v="526.04"/>
    <n v="1376.89"/>
    <n v="-1069.32"/>
    <n v="2582.23"/>
    <n v="-4911.51"/>
    <n v="-919.93"/>
    <n v="1621.28"/>
    <n v="516.01"/>
    <n v="1680.64"/>
    <n v="1180.17"/>
    <n v="925.39"/>
    <n v="33.650000000000205"/>
    <n v="254.78000000000009"/>
  </r>
  <r>
    <x v="6"/>
    <x v="1"/>
    <x v="0"/>
    <s v="2538200"/>
    <n v="713010"/>
    <s v="Benefits-FICA/Medicare"/>
    <s v="Neurosurgery-Neurosurg"/>
    <x v="0"/>
    <m/>
    <n v="8878.58"/>
    <n v="10854.19"/>
    <n v="13505.48"/>
    <n v="13571.11"/>
    <n v="9467.24"/>
    <n v="17906.97"/>
    <n v="25879.26"/>
    <n v="11529.84"/>
    <n v="10075.469999999999"/>
    <n v="10014.709999999999"/>
    <n v="10307.709999999999"/>
    <n v="9919.48"/>
    <n v="151910.04"/>
    <n v="388.22999999999956"/>
  </r>
  <r>
    <x v="6"/>
    <x v="1"/>
    <x v="0"/>
    <s v="2538200"/>
    <n v="713090"/>
    <s v="Benefits-Allocated Amounts"/>
    <s v="Neurosurgery-Neurosurg"/>
    <x v="0"/>
    <m/>
    <n v="0"/>
    <n v="0"/>
    <n v="0"/>
    <n v="0"/>
    <n v="0"/>
    <n v="0"/>
    <n v="0"/>
    <n v="0"/>
    <n v="129689.28"/>
    <n v="16144.84"/>
    <n v="15265.66"/>
    <n v="16695.400000000001"/>
    <n v="177795.18"/>
    <n v="-1429.7400000000016"/>
  </r>
  <r>
    <x v="6"/>
    <x v="1"/>
    <x v="0"/>
    <s v="2538200"/>
    <n v="713092"/>
    <s v="Allocated Benefits-Physician"/>
    <s v="Neurosurgery-Neurosurg"/>
    <x v="0"/>
    <m/>
    <n v="11746.81"/>
    <n v="13341.93"/>
    <n v="12726.19"/>
    <n v="14510.4"/>
    <n v="14840.63"/>
    <n v="14899.57"/>
    <n v="16401.13"/>
    <n v="15468.55"/>
    <n v="-45723.05"/>
    <n v="8491.65"/>
    <n v="8029.21"/>
    <n v="8781.2199999999993"/>
    <n v="93514.240000000005"/>
    <n v="-752.00999999999931"/>
  </r>
  <r>
    <x v="6"/>
    <x v="1"/>
    <x v="0"/>
    <s v="2538200"/>
    <n v="713093"/>
    <s v="Allocated Benefits-Advanced Practice Clinician"/>
    <s v="Neurosurgery-Neurosurg"/>
    <x v="0"/>
    <m/>
    <n v="12009.96"/>
    <n v="13640.83"/>
    <n v="13011.29"/>
    <n v="14835.45"/>
    <n v="15173.11"/>
    <n v="15233.35"/>
    <n v="16768.54"/>
    <n v="15815.08"/>
    <n v="-48384.3"/>
    <n v="8478.1"/>
    <n v="8016.4"/>
    <n v="8767.2000000000007"/>
    <n v="93365.01"/>
    <n v="-750.80000000000109"/>
  </r>
  <r>
    <x v="7"/>
    <x v="1"/>
    <x v="0"/>
    <s v="2538200"/>
    <n v="718040"/>
    <s v="Contract Svcs-Laboratory"/>
    <s v="Neurosurgery-Neurosurg"/>
    <x v="0"/>
    <m/>
    <n v="43"/>
    <n v="0"/>
    <n v="0"/>
    <n v="0"/>
    <n v="0"/>
    <n v="0"/>
    <n v="0"/>
    <n v="0"/>
    <n v="0"/>
    <n v="0"/>
    <n v="51.2"/>
    <n v="0"/>
    <n v="94.2"/>
    <n v="51.2"/>
  </r>
  <r>
    <x v="7"/>
    <x v="1"/>
    <x v="0"/>
    <s v="2538200"/>
    <n v="718050"/>
    <s v="Miscellaneous Purchased Svcs"/>
    <s v="Neurosurgery-Neurosurg"/>
    <x v="0"/>
    <n v="1020"/>
    <n v="147.54"/>
    <n v="-158.12"/>
    <n v="156.9"/>
    <n v="111.62"/>
    <n v="230.3"/>
    <n v="119.42"/>
    <n v="156.91"/>
    <n v="144.02000000000001"/>
    <n v="200.03"/>
    <n v="13.07"/>
    <n v="258.74"/>
    <n v="169.01"/>
    <n v="1549.4399999999998"/>
    <n v="89.730000000000018"/>
  </r>
  <r>
    <x v="11"/>
    <x v="1"/>
    <x v="0"/>
    <s v="2538200"/>
    <n v="721835"/>
    <s v="Supplies-Forms"/>
    <s v="Neurosurgery-Neurosurg"/>
    <x v="0"/>
    <m/>
    <n v="0"/>
    <n v="0"/>
    <n v="0"/>
    <n v="0"/>
    <n v="0"/>
    <n v="0"/>
    <n v="0"/>
    <n v="0"/>
    <n v="24"/>
    <n v="0"/>
    <n v="0"/>
    <n v="0"/>
    <n v="24"/>
    <n v="0"/>
  </r>
  <r>
    <x v="11"/>
    <x v="1"/>
    <x v="0"/>
    <s v="2538200"/>
    <n v="721980"/>
    <s v="Supplies-Other"/>
    <s v="Neurosurgery-Neurosurg"/>
    <x v="0"/>
    <m/>
    <n v="0"/>
    <n v="0"/>
    <n v="20.09"/>
    <n v="0"/>
    <n v="0"/>
    <n v="0"/>
    <n v="0"/>
    <n v="0"/>
    <n v="0"/>
    <n v="0"/>
    <n v="0"/>
    <n v="0"/>
    <n v="20.09"/>
    <n v="0"/>
  </r>
  <r>
    <x v="0"/>
    <x v="1"/>
    <x v="0"/>
    <s v="2538200"/>
    <n v="740020"/>
    <s v="Education-Registration Fees"/>
    <s v="Neurosurgery-Neurosurg"/>
    <x v="0"/>
    <m/>
    <n v="0"/>
    <n v="0"/>
    <n v="0"/>
    <n v="0"/>
    <n v="0"/>
    <n v="0"/>
    <n v="0"/>
    <n v="0"/>
    <n v="0"/>
    <n v="45"/>
    <n v="0"/>
    <n v="0"/>
    <n v="45"/>
    <n v="0"/>
  </r>
  <r>
    <x v="0"/>
    <x v="1"/>
    <x v="0"/>
    <s v="2538200"/>
    <n v="740022"/>
    <s v="Education-Physician"/>
    <s v="Neurosurgery-Neurosurg"/>
    <x v="0"/>
    <m/>
    <n v="0"/>
    <n v="0"/>
    <n v="0"/>
    <n v="0"/>
    <n v="0"/>
    <n v="0"/>
    <n v="0"/>
    <n v="0"/>
    <n v="1395"/>
    <n v="0"/>
    <n v="0"/>
    <n v="1699"/>
    <n v="3094"/>
    <n v="-1699"/>
  </r>
  <r>
    <x v="0"/>
    <x v="1"/>
    <x v="0"/>
    <s v="2538200"/>
    <n v="740022"/>
    <s v="Books-Physician"/>
    <s v="Neurosurgery-Neurosurg"/>
    <x v="0"/>
    <n v="2000"/>
    <n v="0"/>
    <n v="0"/>
    <n v="0"/>
    <n v="0"/>
    <n v="0"/>
    <n v="0"/>
    <n v="0"/>
    <n v="0"/>
    <n v="0"/>
    <n v="0"/>
    <n v="0"/>
    <n v="1020.32"/>
    <n v="1020.32"/>
    <n v="-1020.32"/>
  </r>
  <r>
    <x v="0"/>
    <x v="1"/>
    <x v="0"/>
    <s v="2538200"/>
    <n v="740023"/>
    <s v="Education-Advanced Practice Clinician"/>
    <s v="Neurosurgery-Neurosurg"/>
    <x v="0"/>
    <m/>
    <n v="0"/>
    <n v="0"/>
    <n v="0"/>
    <n v="0"/>
    <n v="0"/>
    <n v="0"/>
    <n v="0"/>
    <n v="0"/>
    <n v="1095"/>
    <n v="0"/>
    <n v="0"/>
    <n v="0"/>
    <n v="1095"/>
    <n v="0"/>
  </r>
  <r>
    <x v="0"/>
    <x v="1"/>
    <x v="0"/>
    <s v="2538200"/>
    <n v="740023"/>
    <s v="Books-Advanced Practice Clinician"/>
    <s v="Neurosurgery-Neurosurg"/>
    <x v="0"/>
    <n v="2000"/>
    <n v="0"/>
    <n v="1050"/>
    <n v="0"/>
    <n v="0"/>
    <n v="0"/>
    <n v="0"/>
    <n v="0"/>
    <n v="0"/>
    <n v="0"/>
    <n v="0"/>
    <n v="0"/>
    <n v="0"/>
    <n v="1050"/>
    <n v="0"/>
  </r>
  <r>
    <x v="8"/>
    <x v="1"/>
    <x v="0"/>
    <s v="2538200"/>
    <n v="741012"/>
    <s v="Physician Liab Insurance-CHI Program"/>
    <s v="Neurosurgery-Neurosurg"/>
    <x v="0"/>
    <m/>
    <n v="11652.24"/>
    <n v="11652.24"/>
    <n v="15406.5"/>
    <n v="15406.5"/>
    <n v="15406.53"/>
    <n v="15406.5"/>
    <n v="15406.53"/>
    <n v="15406.5"/>
    <n v="15406.53"/>
    <n v="15406.5"/>
    <n v="15406.53"/>
    <n v="15406.49"/>
    <n v="177369.59"/>
    <n v="4.0000000000873115E-2"/>
  </r>
  <r>
    <x v="0"/>
    <x v="1"/>
    <x v="0"/>
    <s v="2538200"/>
    <n v="743020"/>
    <s v="Dues--Individual"/>
    <s v="Neurosurgery-Neurosurg"/>
    <x v="0"/>
    <m/>
    <n v="0"/>
    <n v="0"/>
    <n v="0"/>
    <n v="0"/>
    <n v="0"/>
    <n v="0"/>
    <n v="0"/>
    <n v="0"/>
    <n v="1730"/>
    <n v="0"/>
    <n v="0"/>
    <n v="0"/>
    <n v="1730"/>
    <n v="0"/>
  </r>
  <r>
    <x v="0"/>
    <x v="1"/>
    <x v="0"/>
    <s v="2538200"/>
    <n v="743022"/>
    <s v="Dues-Physician"/>
    <s v="Neurosurgery-Neurosurg"/>
    <x v="0"/>
    <m/>
    <n v="0"/>
    <n v="0"/>
    <n v="0"/>
    <n v="0"/>
    <n v="925"/>
    <n v="0"/>
    <n v="0"/>
    <n v="1168"/>
    <n v="0"/>
    <n v="1170"/>
    <n v="0"/>
    <n v="3695"/>
    <n v="6958"/>
    <n v="-3695"/>
  </r>
  <r>
    <x v="0"/>
    <x v="1"/>
    <x v="0"/>
    <s v="2538200"/>
    <n v="743023"/>
    <s v="Dues-Advanced Practice Clinician"/>
    <s v="Neurosurgery-Neurosurg"/>
    <x v="0"/>
    <m/>
    <n v="0"/>
    <n v="480"/>
    <n v="0"/>
    <n v="0"/>
    <n v="0"/>
    <n v="135"/>
    <n v="0"/>
    <n v="521"/>
    <n v="0"/>
    <n v="0"/>
    <n v="0"/>
    <n v="0"/>
    <n v="1136"/>
    <n v="0"/>
  </r>
  <r>
    <x v="0"/>
    <x v="1"/>
    <x v="0"/>
    <s v="2538200"/>
    <n v="743030"/>
    <s v="Subscriptions--Institutional"/>
    <s v="Neurosurgery-Neurosurg"/>
    <x v="0"/>
    <m/>
    <n v="0"/>
    <n v="0"/>
    <n v="0"/>
    <n v="0"/>
    <n v="92.7"/>
    <n v="0"/>
    <n v="0"/>
    <n v="0"/>
    <n v="0"/>
    <n v="0"/>
    <n v="0"/>
    <n v="0"/>
    <n v="92.7"/>
    <n v="0"/>
  </r>
  <r>
    <x v="0"/>
    <x v="1"/>
    <x v="0"/>
    <s v="2538200"/>
    <n v="743042"/>
    <s v="Subscriptions-Physician"/>
    <s v="Neurosurgery-Neurosurg"/>
    <x v="0"/>
    <m/>
    <n v="0"/>
    <n v="0"/>
    <n v="0"/>
    <n v="0"/>
    <n v="0"/>
    <n v="0"/>
    <n v="0"/>
    <n v="0"/>
    <n v="0"/>
    <n v="0"/>
    <n v="0"/>
    <n v="1359"/>
    <n v="1359"/>
    <n v="-1359"/>
  </r>
  <r>
    <x v="0"/>
    <x v="1"/>
    <x v="0"/>
    <s v="2538200"/>
    <n v="749510"/>
    <s v="Miscellaneous Expenses"/>
    <s v="Neurosurgery-Neurosurg"/>
    <x v="0"/>
    <m/>
    <n v="-660.79"/>
    <n v="-480"/>
    <n v="0"/>
    <n v="0"/>
    <n v="0"/>
    <n v="0"/>
    <n v="0"/>
    <n v="0"/>
    <n v="0"/>
    <n v="0"/>
    <n v="0"/>
    <n v="18.559999999999999"/>
    <n v="-1122.23"/>
    <n v="-18.559999999999999"/>
  </r>
  <r>
    <x v="0"/>
    <x v="1"/>
    <x v="0"/>
    <s v="2538200"/>
    <n v="749512"/>
    <s v="Licenses-Physician"/>
    <s v="Neurosurgery-Neurosurg"/>
    <x v="0"/>
    <n v="2000"/>
    <n v="0"/>
    <n v="0"/>
    <n v="0"/>
    <n v="0"/>
    <n v="1314"/>
    <n v="0"/>
    <n v="0"/>
    <n v="0"/>
    <n v="0"/>
    <n v="0"/>
    <n v="0"/>
    <n v="657"/>
    <n v="1971"/>
    <n v="-657"/>
  </r>
  <r>
    <x v="0"/>
    <x v="1"/>
    <x v="0"/>
    <s v="2538200"/>
    <n v="749513"/>
    <s v="Licenses-Advanced Practice Clinician"/>
    <s v="Neurosurgery-Neurosurg"/>
    <x v="0"/>
    <n v="2000"/>
    <n v="0"/>
    <n v="0"/>
    <n v="0"/>
    <n v="0"/>
    <n v="0"/>
    <n v="0"/>
    <n v="0"/>
    <n v="150"/>
    <n v="0"/>
    <n v="0"/>
    <n v="122.5"/>
    <n v="0"/>
    <n v="272.5"/>
    <n v="122.5"/>
  </r>
  <r>
    <x v="0"/>
    <x v="1"/>
    <x v="0"/>
    <s v="2538200"/>
    <n v="749530"/>
    <s v="Travel"/>
    <s v="Neurosurgery-Neurosurg"/>
    <x v="0"/>
    <m/>
    <n v="0"/>
    <n v="0"/>
    <n v="6"/>
    <n v="0"/>
    <n v="0"/>
    <n v="0"/>
    <n v="0"/>
    <n v="12"/>
    <n v="0"/>
    <n v="21"/>
    <n v="0"/>
    <n v="5"/>
    <n v="44"/>
    <n v="-5"/>
  </r>
  <r>
    <x v="0"/>
    <x v="1"/>
    <x v="0"/>
    <s v="2538200"/>
    <n v="749530"/>
    <s v="Mileage"/>
    <s v="Neurosurgery-Neurosurg"/>
    <x v="0"/>
    <n v="1001"/>
    <n v="0"/>
    <n v="0"/>
    <n v="10.9"/>
    <n v="0"/>
    <n v="0"/>
    <n v="0"/>
    <n v="0"/>
    <n v="23.2"/>
    <n v="0"/>
    <n v="72.5"/>
    <n v="0"/>
    <n v="20.3"/>
    <n v="126.89999999999999"/>
    <n v="-20.3"/>
  </r>
  <r>
    <x v="0"/>
    <x v="1"/>
    <x v="0"/>
    <s v="2538200"/>
    <n v="749532"/>
    <s v="Travel-Physician"/>
    <s v="Neurosurgery-Neurosurg"/>
    <x v="0"/>
    <m/>
    <n v="0"/>
    <n v="0"/>
    <n v="0"/>
    <n v="0"/>
    <n v="0"/>
    <n v="0"/>
    <n v="0"/>
    <n v="0"/>
    <n v="60"/>
    <n v="0"/>
    <n v="0"/>
    <n v="2503.4699999999998"/>
    <n v="2563.4699999999998"/>
    <n v="-2503.4699999999998"/>
  </r>
  <r>
    <x v="0"/>
    <x v="1"/>
    <x v="0"/>
    <s v="2538200"/>
    <n v="749533"/>
    <s v="Travel-Advanced Practice Clinician"/>
    <s v="Neurosurgery-Neurosurg"/>
    <x v="0"/>
    <m/>
    <n v="0"/>
    <n v="1266.06"/>
    <n v="0"/>
    <n v="0"/>
    <n v="0"/>
    <n v="0"/>
    <n v="0"/>
    <n v="0"/>
    <n v="1405"/>
    <n v="0"/>
    <n v="0"/>
    <n v="0"/>
    <n v="2671.06"/>
    <n v="0"/>
  </r>
  <r>
    <x v="0"/>
    <x v="1"/>
    <x v="0"/>
    <s v="2538200"/>
    <n v="749591"/>
    <s v="Other Expense-Intracompany Allocation"/>
    <s v="Neurosurgery-Neurosurg"/>
    <x v="0"/>
    <m/>
    <n v="56719.95"/>
    <n v="60126.18"/>
    <n v="-116857.53"/>
    <n v="220301.29"/>
    <n v="56996.23"/>
    <n v="57673.48"/>
    <n v="59785.34"/>
    <n v="57616.03"/>
    <n v="48438.65"/>
    <n v="47518.63"/>
    <n v="56221.47"/>
    <n v="56081.74"/>
    <n v="660621.46"/>
    <n v="139.7300000000032"/>
  </r>
  <r>
    <x v="9"/>
    <x v="1"/>
    <x v="0"/>
    <s v="2538200"/>
    <n v="800015"/>
    <s v="Interest Income-Ext to CHI"/>
    <s v="Neurosurgery-Neurosurg"/>
    <x v="0"/>
    <m/>
    <n v="-19.46"/>
    <n v="-18.489999999999998"/>
    <n v="-49.82"/>
    <n v="-138.62"/>
    <n v="-128.07"/>
    <n v="-126.06"/>
    <n v="-119.78"/>
    <n v="-102.51"/>
    <n v="-107.21"/>
    <n v="-97.67"/>
    <n v="-94.66"/>
    <n v="-85.52"/>
    <n v="-1087.8700000000001"/>
    <n v="-9.14"/>
  </r>
  <r>
    <x v="1"/>
    <x v="1"/>
    <x v="0"/>
    <s v="2539200"/>
    <n v="400029"/>
    <s v="MD Practice Other Rev--BCBS Comm"/>
    <s v="Gen Surg-Bridgeport-Gen Surg"/>
    <x v="0"/>
    <n v="1301"/>
    <n v="0"/>
    <n v="0"/>
    <n v="0"/>
    <n v="0"/>
    <n v="0"/>
    <n v="-176"/>
    <n v="0"/>
    <n v="0"/>
    <n v="0"/>
    <n v="-473"/>
    <n v="0"/>
    <n v="0"/>
    <n v="-649"/>
    <n v="0"/>
  </r>
  <r>
    <x v="1"/>
    <x v="1"/>
    <x v="0"/>
    <s v="2539200"/>
    <n v="400029"/>
    <s v="MD Practice Other Rev--Managed Care"/>
    <s v="Gen Surg-Bridgeport-Gen Surg"/>
    <x v="0"/>
    <n v="1400"/>
    <n v="0"/>
    <n v="0"/>
    <n v="0"/>
    <n v="-473"/>
    <n v="0"/>
    <n v="0"/>
    <n v="0"/>
    <n v="0"/>
    <n v="0"/>
    <n v="0"/>
    <n v="0"/>
    <n v="0"/>
    <n v="-473"/>
    <n v="0"/>
  </r>
  <r>
    <x v="1"/>
    <x v="1"/>
    <x v="0"/>
    <s v="2539200"/>
    <n v="400029"/>
    <s v="MD Practice Other Rev--Self Pay"/>
    <s v="Gen Surg-Bridgeport-Gen Surg"/>
    <x v="0"/>
    <n v="1500"/>
    <n v="0"/>
    <n v="0"/>
    <n v="0"/>
    <n v="0"/>
    <n v="-473"/>
    <n v="0"/>
    <n v="0"/>
    <n v="0"/>
    <n v="0"/>
    <n v="0"/>
    <n v="0"/>
    <n v="0"/>
    <n v="-473"/>
    <n v="0"/>
  </r>
  <r>
    <x v="1"/>
    <x v="1"/>
    <x v="0"/>
    <s v="2539200"/>
    <n v="400029"/>
    <s v="MD Practice Other Rev--Other"/>
    <s v="Gen Surg-Bridgeport-Gen Surg"/>
    <x v="0"/>
    <n v="1700"/>
    <n v="0"/>
    <n v="0"/>
    <n v="-631"/>
    <n v="0"/>
    <n v="0"/>
    <n v="0"/>
    <n v="0"/>
    <n v="0"/>
    <n v="0"/>
    <n v="0"/>
    <n v="0"/>
    <n v="0"/>
    <n v="-631"/>
    <n v="0"/>
  </r>
  <r>
    <x v="1"/>
    <x v="1"/>
    <x v="0"/>
    <s v="2539200"/>
    <n v="400040"/>
    <s v="Physician Svcs Rev--Medicare"/>
    <s v="Gen Surg-Bridgeport-Gen Surg"/>
    <x v="0"/>
    <n v="1100"/>
    <n v="-71825"/>
    <n v="-98452.25"/>
    <n v="-75310.25"/>
    <n v="-76437.25"/>
    <n v="-85147"/>
    <n v="-144131.25"/>
    <n v="-86409.5"/>
    <n v="-64433"/>
    <n v="-53554"/>
    <n v="-75513.5"/>
    <n v="-80023"/>
    <n v="-41692"/>
    <n v="-952928"/>
    <n v="-38331"/>
  </r>
  <r>
    <x v="1"/>
    <x v="1"/>
    <x v="0"/>
    <s v="2539200"/>
    <n v="400040"/>
    <s v="Physician Svcs Rev--Medicaid"/>
    <s v="Gen Surg-Bridgeport-Gen Surg"/>
    <x v="0"/>
    <n v="1200"/>
    <n v="-121662"/>
    <n v="-117262"/>
    <n v="-95510"/>
    <n v="-119543.5"/>
    <n v="-91249"/>
    <n v="-106823"/>
    <n v="-111375.25"/>
    <n v="-88393.75"/>
    <n v="-110923"/>
    <n v="-50164.75"/>
    <n v="-53059"/>
    <n v="-53147.75"/>
    <n v="-1119113"/>
    <n v="88.75"/>
  </r>
  <r>
    <x v="1"/>
    <x v="1"/>
    <x v="0"/>
    <s v="2539200"/>
    <n v="400040"/>
    <s v="Physician Svcs Rev--Comm Insurance"/>
    <s v="Gen Surg-Bridgeport-Gen Surg"/>
    <x v="0"/>
    <n v="1300"/>
    <n v="-20830"/>
    <n v="-9549"/>
    <n v="-11715"/>
    <n v="-6565.75"/>
    <n v="-7329"/>
    <n v="-8957"/>
    <n v="-11536"/>
    <n v="-7278"/>
    <n v="-16580"/>
    <n v="-7355.75"/>
    <n v="-12406"/>
    <n v="-11375"/>
    <n v="-131476.5"/>
    <n v="-1031"/>
  </r>
  <r>
    <x v="1"/>
    <x v="1"/>
    <x v="0"/>
    <s v="2539200"/>
    <n v="400040"/>
    <s v="Physician Svcs Rev--BCBS Comm"/>
    <s v="Gen Surg-Bridgeport-Gen Surg"/>
    <x v="0"/>
    <n v="1301"/>
    <n v="-22020.75"/>
    <n v="-19449"/>
    <n v="-18145"/>
    <n v="-26743.25"/>
    <n v="-20541"/>
    <n v="-31057.5"/>
    <n v="-26186"/>
    <n v="-65755"/>
    <n v="-12003"/>
    <n v="-22693"/>
    <n v="6652"/>
    <n v="-10687"/>
    <n v="-268628.5"/>
    <n v="17339"/>
  </r>
  <r>
    <x v="1"/>
    <x v="1"/>
    <x v="0"/>
    <s v="2539200"/>
    <n v="400040"/>
    <s v="Physician Svcs Rev--Managed Care"/>
    <s v="Gen Surg-Bridgeport-Gen Surg"/>
    <x v="0"/>
    <n v="1400"/>
    <n v="-39435.75"/>
    <n v="-53531.5"/>
    <n v="-70125"/>
    <n v="-48538"/>
    <n v="-58284.75"/>
    <n v="-89586"/>
    <n v="-79408.25"/>
    <n v="-58779"/>
    <n v="-59465"/>
    <n v="-28365.75"/>
    <n v="-43314"/>
    <n v="-49268.75"/>
    <n v="-678101.75"/>
    <n v="5954.75"/>
  </r>
  <r>
    <x v="1"/>
    <x v="1"/>
    <x v="0"/>
    <s v="2539200"/>
    <n v="400040"/>
    <s v="Physician Svcs Rev--Self Pay"/>
    <s v="Gen Surg-Bridgeport-Gen Surg"/>
    <x v="0"/>
    <n v="1500"/>
    <n v="-5192.5"/>
    <n v="-6013"/>
    <n v="-14875"/>
    <n v="-2956"/>
    <n v="-5447"/>
    <n v="-3048"/>
    <n v="443"/>
    <n v="-3286"/>
    <n v="-1545"/>
    <n v="-7973"/>
    <n v="-2697"/>
    <n v="-5750"/>
    <n v="-58339.5"/>
    <n v="3053"/>
  </r>
  <r>
    <x v="1"/>
    <x v="1"/>
    <x v="0"/>
    <s v="2539200"/>
    <n v="400040"/>
    <s v="Physician Svcs Rev--Other"/>
    <s v="Gen Surg-Bridgeport-Gen Surg"/>
    <x v="0"/>
    <n v="1700"/>
    <n v="-9570"/>
    <n v="-20297"/>
    <n v="-23966"/>
    <n v="-28176.25"/>
    <n v="-29519"/>
    <n v="-13493"/>
    <n v="-15512"/>
    <n v="-14302"/>
    <n v="-8465"/>
    <n v="-10343"/>
    <n v="-16452"/>
    <n v="-24055"/>
    <n v="-214150.25"/>
    <n v="7603"/>
  </r>
  <r>
    <x v="2"/>
    <x v="1"/>
    <x v="0"/>
    <s v="2539200"/>
    <n v="450029"/>
    <s v="Contr Allow--MD Other BCBS Comm"/>
    <s v="Gen Surg-Bridgeport-Gen Surg"/>
    <x v="0"/>
    <n v="1301"/>
    <n v="0"/>
    <n v="0"/>
    <n v="0"/>
    <n v="0"/>
    <n v="0"/>
    <n v="0"/>
    <n v="42.93"/>
    <n v="0"/>
    <n v="0"/>
    <n v="114.96"/>
    <n v="0"/>
    <n v="0"/>
    <n v="157.88999999999999"/>
    <n v="0"/>
  </r>
  <r>
    <x v="2"/>
    <x v="1"/>
    <x v="0"/>
    <s v="2539200"/>
    <n v="450029"/>
    <s v="Contr Allow--MD Other-Managed Care"/>
    <s v="Gen Surg-Bridgeport-Gen Surg"/>
    <x v="0"/>
    <n v="1400"/>
    <n v="0"/>
    <n v="0"/>
    <n v="0"/>
    <n v="0"/>
    <n v="159.44999999999999"/>
    <n v="0"/>
    <n v="0"/>
    <n v="0"/>
    <n v="0"/>
    <n v="0"/>
    <n v="0"/>
    <n v="0"/>
    <n v="159.44999999999999"/>
    <n v="0"/>
  </r>
  <r>
    <x v="2"/>
    <x v="1"/>
    <x v="0"/>
    <s v="2539200"/>
    <n v="450029"/>
    <s v="Admin Adjust-MD Other-Self Pay"/>
    <s v="Gen Surg-Bridgeport-Gen Surg"/>
    <x v="0"/>
    <n v="1600"/>
    <n v="0"/>
    <n v="0"/>
    <n v="0"/>
    <n v="0"/>
    <n v="175.01"/>
    <n v="0"/>
    <n v="0"/>
    <n v="0"/>
    <n v="0"/>
    <n v="0"/>
    <n v="0"/>
    <n v="0"/>
    <n v="175.01"/>
    <n v="0"/>
  </r>
  <r>
    <x v="2"/>
    <x v="1"/>
    <x v="0"/>
    <s v="2539200"/>
    <n v="450029"/>
    <s v="Contr Allow--MD Other-Other"/>
    <s v="Gen Surg-Bridgeport-Gen Surg"/>
    <x v="0"/>
    <n v="1700"/>
    <n v="0"/>
    <n v="0"/>
    <n v="404.66"/>
    <n v="0"/>
    <n v="0"/>
    <n v="0"/>
    <n v="0"/>
    <n v="0"/>
    <n v="0"/>
    <n v="0"/>
    <n v="0"/>
    <n v="0"/>
    <n v="404.66"/>
    <n v="0"/>
  </r>
  <r>
    <x v="2"/>
    <x v="1"/>
    <x v="0"/>
    <s v="2539200"/>
    <n v="450040"/>
    <s v="Contr Allow--Phys Svcs--Mcare"/>
    <s v="Gen Surg-Bridgeport-Gen Surg"/>
    <x v="0"/>
    <n v="1100"/>
    <n v="32142.46"/>
    <n v="64926.6"/>
    <n v="37523.68"/>
    <n v="80736.960000000006"/>
    <n v="59274.879999999997"/>
    <n v="96332.35"/>
    <n v="60023.06"/>
    <n v="43243.7"/>
    <n v="33274.629999999997"/>
    <n v="49960.47"/>
    <n v="65759.58"/>
    <n v="39879.01"/>
    <n v="663077.38"/>
    <n v="25880.57"/>
  </r>
  <r>
    <x v="2"/>
    <x v="1"/>
    <x v="0"/>
    <s v="2539200"/>
    <n v="450040"/>
    <s v="Contr Allow--Phys Svcs--Mcaid"/>
    <s v="Gen Surg-Bridgeport-Gen Surg"/>
    <x v="0"/>
    <n v="1200"/>
    <n v="33282.39"/>
    <n v="127494.27"/>
    <n v="60147.33"/>
    <n v="86633.65"/>
    <n v="104561.59"/>
    <n v="61683.68"/>
    <n v="100119.69"/>
    <n v="86240.53"/>
    <n v="81274.289999999994"/>
    <n v="54085.9"/>
    <n v="47054.19"/>
    <n v="47469.08"/>
    <n v="890046.59"/>
    <n v="-414.88999999999942"/>
  </r>
  <r>
    <x v="2"/>
    <x v="1"/>
    <x v="0"/>
    <s v="2539200"/>
    <n v="450040"/>
    <s v="Contr Allow--Phys Svcs--Comm Insurance"/>
    <s v="Gen Surg-Bridgeport-Gen Surg"/>
    <x v="0"/>
    <n v="1300"/>
    <n v="2988.61"/>
    <n v="10699.03"/>
    <n v="5423.45"/>
    <n v="7588.9"/>
    <n v="7505.96"/>
    <n v="4053.06"/>
    <n v="4768.21"/>
    <n v="2755.73"/>
    <n v="4553.04"/>
    <n v="3714.63"/>
    <n v="4221.78"/>
    <n v="6175.65"/>
    <n v="64448.049999999996"/>
    <n v="-1953.87"/>
  </r>
  <r>
    <x v="2"/>
    <x v="1"/>
    <x v="0"/>
    <s v="2539200"/>
    <n v="450040"/>
    <s v="Contr Allow--Phys Svcs--BCBS Comm Ins"/>
    <s v="Gen Surg-Bridgeport-Gen Surg"/>
    <x v="0"/>
    <n v="1301"/>
    <n v="10369.65"/>
    <n v="9448.73"/>
    <n v="5370.13"/>
    <n v="7996.47"/>
    <n v="11219.62"/>
    <n v="13821.2"/>
    <n v="7235.42"/>
    <n v="11146.49"/>
    <n v="6258.6"/>
    <n v="8155.72"/>
    <n v="3698.43"/>
    <n v="12932.51"/>
    <n v="107652.97"/>
    <n v="-9234.08"/>
  </r>
  <r>
    <x v="2"/>
    <x v="1"/>
    <x v="0"/>
    <s v="2539200"/>
    <n v="450040"/>
    <s v="Contr Allow--Phys Svcs--Managed Care"/>
    <s v="Gen Surg-Bridgeport-Gen Surg"/>
    <x v="0"/>
    <n v="1400"/>
    <n v="12606.77"/>
    <n v="22273.71"/>
    <n v="32819.5"/>
    <n v="25083.97"/>
    <n v="20942.099999999999"/>
    <n v="31998.97"/>
    <n v="32823.19"/>
    <n v="25515.38"/>
    <n v="45601.02"/>
    <n v="22419.87"/>
    <n v="13892.7"/>
    <n v="15504.07"/>
    <n v="301481.25"/>
    <n v="-1611.369999999999"/>
  </r>
  <r>
    <x v="2"/>
    <x v="1"/>
    <x v="0"/>
    <s v="2539200"/>
    <n v="450040"/>
    <s v="Contr Allow--Phys Svcs--BCBS Mgnd Care"/>
    <s v="Gen Surg-Bridgeport-Gen Surg"/>
    <x v="0"/>
    <n v="1401"/>
    <n v="63355.22"/>
    <n v="-17233.080000000002"/>
    <n v="41837.129999999997"/>
    <n v="-13900.95"/>
    <n v="-19671.7"/>
    <n v="43432.03"/>
    <n v="3260.69"/>
    <n v="19270.78"/>
    <n v="-7742.65"/>
    <n v="-24052.6"/>
    <n v="-10114.77"/>
    <n v="-16135.82"/>
    <n v="62304.279999999992"/>
    <n v="6021.0499999999993"/>
  </r>
  <r>
    <x v="2"/>
    <x v="1"/>
    <x v="0"/>
    <s v="2539200"/>
    <n v="450040"/>
    <s v="Admin Adjust-Phys Svcs-Self Pay"/>
    <s v="Gen Surg-Bridgeport-Gen Surg"/>
    <x v="0"/>
    <n v="1600"/>
    <n v="2047.23"/>
    <n v="7816.52"/>
    <n v="6185.66"/>
    <n v="9982.93"/>
    <n v="-830.84"/>
    <n v="-2988.64"/>
    <n v="-299.91000000000003"/>
    <n v="1253.31"/>
    <n v="4761.97"/>
    <n v="2404.4899999999998"/>
    <n v="899.34"/>
    <n v="2611.5"/>
    <n v="33843.56"/>
    <n v="-1712.1599999999999"/>
  </r>
  <r>
    <x v="2"/>
    <x v="1"/>
    <x v="0"/>
    <s v="2539200"/>
    <n v="450040"/>
    <s v="Contr Allow--Phys Svcs--Other"/>
    <s v="Gen Surg-Bridgeport-Gen Surg"/>
    <x v="0"/>
    <n v="1700"/>
    <n v="7507.94"/>
    <n v="10513.04"/>
    <n v="3985.01"/>
    <n v="12474.53"/>
    <n v="25172.45"/>
    <n v="4699.67"/>
    <n v="14258.96"/>
    <n v="10155.69"/>
    <n v="3229.78"/>
    <n v="17198.7"/>
    <n v="9953.1299999999992"/>
    <n v="10385.459999999999"/>
    <n v="129534.36000000002"/>
    <n v="-432.32999999999993"/>
  </r>
  <r>
    <x v="3"/>
    <x v="1"/>
    <x v="0"/>
    <s v="2539200"/>
    <n v="470040"/>
    <s v="Charity Care-Physician Svcs"/>
    <s v="Gen Surg-Bridgeport-Gen Surg"/>
    <x v="0"/>
    <m/>
    <n v="3506.73"/>
    <n v="5956.19"/>
    <n v="5859.5"/>
    <n v="3476.85"/>
    <n v="1190.26"/>
    <n v="1830.75"/>
    <n v="4674.13"/>
    <n v="8108.2"/>
    <n v="9107.64"/>
    <n v="32.61"/>
    <n v="796.84"/>
    <n v="9606.4500000000007"/>
    <n v="54146.149999999994"/>
    <n v="-8809.61"/>
  </r>
  <r>
    <x v="4"/>
    <x v="1"/>
    <x v="0"/>
    <s v="2539200"/>
    <n v="490010"/>
    <s v="Provision for Bad Debts"/>
    <s v="Gen Surg-Bridgeport-Gen Surg"/>
    <x v="0"/>
    <m/>
    <n v="10938.24"/>
    <n v="-3102.63"/>
    <n v="10581.57"/>
    <n v="2958.76"/>
    <n v="7848.87"/>
    <n v="5885.74"/>
    <n v="-1297.43"/>
    <n v="11035.37"/>
    <n v="9280.18"/>
    <n v="-475.58"/>
    <n v="349.57"/>
    <n v="4578.29"/>
    <n v="58580.950000000004"/>
    <n v="-4228.72"/>
  </r>
  <r>
    <x v="14"/>
    <x v="1"/>
    <x v="0"/>
    <s v="2539200"/>
    <n v="600050"/>
    <s v="Miscellaneous Revenue"/>
    <s v="Gen Surg-Bridgeport-Gen Surg"/>
    <x v="0"/>
    <m/>
    <n v="-5940"/>
    <n v="-9288"/>
    <n v="-37046"/>
    <n v="-11604"/>
    <n v="-13394"/>
    <n v="-12718"/>
    <n v="-8620"/>
    <n v="-10404"/>
    <n v="-11262"/>
    <n v="-6876"/>
    <n v="-7780"/>
    <n v="-65964"/>
    <n v="-200896"/>
    <n v="58184"/>
  </r>
  <r>
    <x v="5"/>
    <x v="1"/>
    <x v="0"/>
    <s v="2539200"/>
    <n v="700020"/>
    <s v="Salaries-Physician Admin-Other"/>
    <s v="Gen Surg-Bridgeport-Gen Surg"/>
    <x v="0"/>
    <n v="2000"/>
    <n v="0"/>
    <n v="280"/>
    <n v="0"/>
    <n v="0"/>
    <n v="280"/>
    <n v="0"/>
    <n v="0"/>
    <n v="280"/>
    <n v="0"/>
    <n v="0"/>
    <n v="0"/>
    <n v="210"/>
    <n v="1050"/>
    <n v="-210"/>
  </r>
  <r>
    <x v="5"/>
    <x v="1"/>
    <x v="0"/>
    <s v="2539200"/>
    <n v="700022"/>
    <s v="Salaries-Physician-Productive"/>
    <s v="Gen Surg-Bridgeport-Gen Surg"/>
    <x v="0"/>
    <m/>
    <n v="58153.99"/>
    <n v="65665.53"/>
    <n v="51372.38"/>
    <n v="68975.97"/>
    <n v="63570.75"/>
    <n v="41808.800000000003"/>
    <n v="403170.97"/>
    <n v="-36533.24"/>
    <n v="103515.31"/>
    <n v="51330.080000000002"/>
    <n v="-5531.9"/>
    <n v="81926.77"/>
    <n v="947425.40999999992"/>
    <n v="-87458.67"/>
  </r>
  <r>
    <x v="5"/>
    <x v="1"/>
    <x v="0"/>
    <s v="2539200"/>
    <n v="700022"/>
    <s v="Salaries-Physician-Other"/>
    <s v="Gen Surg-Bridgeport-Gen Surg"/>
    <x v="0"/>
    <n v="2000"/>
    <n v="6180.3"/>
    <n v="9008"/>
    <n v="37046"/>
    <n v="11604"/>
    <n v="13114"/>
    <n v="12718"/>
    <n v="8620"/>
    <n v="10163.25"/>
    <n v="11250.79"/>
    <n v="6876"/>
    <n v="7780"/>
    <n v="47170"/>
    <n v="181530.34"/>
    <n v="-39390"/>
  </r>
  <r>
    <x v="5"/>
    <x v="1"/>
    <x v="0"/>
    <s v="2539200"/>
    <n v="700022"/>
    <s v="Salaries-Physician-Provider Incentive"/>
    <s v="Gen Surg-Bridgeport-Gen Surg"/>
    <x v="0"/>
    <n v="4003"/>
    <n v="0"/>
    <n v="0"/>
    <n v="0"/>
    <n v="0"/>
    <n v="0"/>
    <n v="0"/>
    <n v="0"/>
    <n v="0"/>
    <n v="4125.8"/>
    <n v="0"/>
    <n v="0"/>
    <n v="0"/>
    <n v="4125.8"/>
    <n v="0"/>
  </r>
  <r>
    <x v="5"/>
    <x v="1"/>
    <x v="0"/>
    <s v="2539200"/>
    <n v="700024"/>
    <s v="Salaries-Advanced Practice Clinician-Productive"/>
    <s v="Gen Surg-Bridgeport-Gen Surg"/>
    <x v="0"/>
    <m/>
    <n v="0"/>
    <n v="0"/>
    <n v="0"/>
    <n v="0"/>
    <n v="0"/>
    <n v="0"/>
    <n v="0"/>
    <n v="4585.1099999999997"/>
    <n v="104420.74"/>
    <n v="-25957.63"/>
    <n v="2619.31"/>
    <n v="11021.57"/>
    <n v="96689.1"/>
    <n v="-8402.26"/>
  </r>
  <r>
    <x v="5"/>
    <x v="1"/>
    <x v="0"/>
    <s v="2539200"/>
    <n v="700026"/>
    <s v="Salaries-RN-Productive"/>
    <s v="Gen Surg-Bridgeport-Gen Surg"/>
    <x v="0"/>
    <m/>
    <n v="5236.8999999999996"/>
    <n v="5298.25"/>
    <n v="4297.6400000000003"/>
    <n v="4945.08"/>
    <n v="5444.64"/>
    <n v="3288.06"/>
    <n v="4755.4399999999996"/>
    <n v="3567.15"/>
    <n v="4915.8100000000004"/>
    <n v="4400.18"/>
    <n v="-1410.56"/>
    <n v="0"/>
    <n v="44738.590000000004"/>
    <n v="-1410.56"/>
  </r>
  <r>
    <x v="5"/>
    <x v="1"/>
    <x v="0"/>
    <s v="2539200"/>
    <n v="700026"/>
    <s v="Salaries-RN-OT"/>
    <s v="Gen Surg-Bridgeport-Gen Surg"/>
    <x v="0"/>
    <n v="1000"/>
    <n v="416.35"/>
    <n v="359.99"/>
    <n v="-63.25"/>
    <n v="46.01"/>
    <n v="35.22"/>
    <n v="70.430000000000007"/>
    <n v="28.21"/>
    <n v="61.13"/>
    <n v="-18.8"/>
    <n v="0"/>
    <n v="0"/>
    <n v="0"/>
    <n v="935.29000000000008"/>
    <n v="0"/>
  </r>
  <r>
    <x v="5"/>
    <x v="1"/>
    <x v="0"/>
    <s v="2539200"/>
    <n v="700030"/>
    <s v="Salaries-LPN-Productive"/>
    <s v="Gen Surg-Bridgeport-Gen Surg"/>
    <x v="0"/>
    <m/>
    <n v="3906.96"/>
    <n v="3373.92"/>
    <n v="3286.05"/>
    <n v="4280.93"/>
    <n v="4286.1899999999996"/>
    <n v="2786.33"/>
    <n v="2898.65"/>
    <n v="2195.41"/>
    <n v="2959.19"/>
    <n v="4007.1"/>
    <n v="4249.99"/>
    <n v="3460.68"/>
    <n v="41691.399999999994"/>
    <n v="789.31"/>
  </r>
  <r>
    <x v="5"/>
    <x v="1"/>
    <x v="0"/>
    <s v="2539200"/>
    <n v="700030"/>
    <s v="Salaries-LPN-OT"/>
    <s v="Gen Surg-Bridgeport-Gen Surg"/>
    <x v="0"/>
    <n v="1000"/>
    <n v="105.43"/>
    <n v="140.58000000000001"/>
    <n v="114.22"/>
    <n v="-35.14"/>
    <n v="36.380000000000003"/>
    <n v="-18.190000000000001"/>
    <n v="0"/>
    <n v="0"/>
    <n v="0"/>
    <n v="30.97"/>
    <n v="-12.75"/>
    <n v="9.11"/>
    <n v="370.61"/>
    <n v="-21.86"/>
  </r>
  <r>
    <x v="5"/>
    <x v="1"/>
    <x v="0"/>
    <s v="2539200"/>
    <n v="700032"/>
    <s v="Salaries-Other Pat Care Providers-Productive"/>
    <s v="Gen Surg-Bridgeport-Gen Surg"/>
    <x v="0"/>
    <m/>
    <n v="0"/>
    <n v="167.93"/>
    <n v="0"/>
    <n v="0"/>
    <n v="0"/>
    <n v="0"/>
    <n v="0"/>
    <n v="0"/>
    <n v="0"/>
    <n v="0"/>
    <n v="678.41"/>
    <n v="0"/>
    <n v="846.33999999999992"/>
    <n v="678.41"/>
  </r>
  <r>
    <x v="5"/>
    <x v="1"/>
    <x v="0"/>
    <s v="2539200"/>
    <n v="700032"/>
    <s v="Salaries-Other Pat Care Providers-OT"/>
    <s v="Gen Surg-Bridgeport-Gen Surg"/>
    <x v="0"/>
    <n v="1000"/>
    <n v="0"/>
    <n v="80.97"/>
    <n v="0"/>
    <n v="0"/>
    <n v="0"/>
    <n v="0"/>
    <n v="0"/>
    <n v="0"/>
    <n v="0"/>
    <n v="0"/>
    <n v="0"/>
    <n v="0"/>
    <n v="80.97"/>
    <n v="0"/>
  </r>
  <r>
    <x v="5"/>
    <x v="1"/>
    <x v="0"/>
    <s v="2539200"/>
    <n v="700062"/>
    <s v="Salaries-Physician-Non-productive"/>
    <s v="Gen Surg-Bridgeport-Gen Surg"/>
    <x v="0"/>
    <m/>
    <n v="2427.19"/>
    <n v="1265.68"/>
    <n v="15400.29"/>
    <n v="-3365.38"/>
    <n v="0"/>
    <n v="12248.34"/>
    <n v="56726.81"/>
    <n v="-1422.83"/>
    <n v="3848.4"/>
    <n v="13087.56"/>
    <n v="19015.310000000001"/>
    <n v="8137.49"/>
    <n v="127368.85999999999"/>
    <n v="10877.820000000002"/>
  </r>
  <r>
    <x v="5"/>
    <x v="1"/>
    <x v="0"/>
    <s v="2539200"/>
    <n v="700062"/>
    <s v="Salaries-Physician-NonProd-Other"/>
    <s v="Gen Surg-Bridgeport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9200"/>
    <n v="700064"/>
    <s v="Salaries-Advanced Practice Clinician-Non-Productive"/>
    <s v="Gen Surg-Bridgeport-Gen Surg"/>
    <x v="0"/>
    <m/>
    <n v="0"/>
    <n v="0"/>
    <n v="0"/>
    <n v="0"/>
    <n v="0"/>
    <n v="0"/>
    <n v="0"/>
    <n v="0"/>
    <n v="11544.28"/>
    <n v="-317.57"/>
    <n v="7940.89"/>
    <n v="11799.51"/>
    <n v="30967.11"/>
    <n v="-3858.62"/>
  </r>
  <r>
    <x v="5"/>
    <x v="1"/>
    <x v="0"/>
    <s v="2539200"/>
    <n v="700066"/>
    <s v="Salaries-RN-Non-productive"/>
    <s v="Gen Surg-Bridgeport-Gen Surg"/>
    <x v="0"/>
    <m/>
    <n v="245.36"/>
    <n v="490.72"/>
    <n v="785.91"/>
    <n v="781.26"/>
    <n v="64.17"/>
    <n v="2073.62"/>
    <n v="213.28"/>
    <n v="894.95"/>
    <n v="181.04"/>
    <n v="821.27"/>
    <n v="-159.08000000000001"/>
    <n v="0"/>
    <n v="6392.5"/>
    <n v="-159.08000000000001"/>
  </r>
  <r>
    <x v="5"/>
    <x v="1"/>
    <x v="0"/>
    <s v="2539200"/>
    <n v="700066"/>
    <s v="Salaries-RN-NonProd-Other"/>
    <s v="Gen Surg-Bridgeport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9200"/>
    <n v="700070"/>
    <s v="Salaries-LPN-Non-productive"/>
    <s v="Gen Surg-Bridgeport-Gen Surg"/>
    <x v="0"/>
    <m/>
    <n v="292.88"/>
    <n v="937.2"/>
    <n v="480.31"/>
    <n v="206.85"/>
    <n v="-24.24"/>
    <n v="1396.8"/>
    <n v="392.34"/>
    <n v="864.58"/>
    <n v="-69.2"/>
    <n v="0"/>
    <n v="218.58"/>
    <n v="425.02"/>
    <n v="5121.1200000000008"/>
    <n v="-206.43999999999997"/>
  </r>
  <r>
    <x v="5"/>
    <x v="1"/>
    <x v="0"/>
    <s v="2539200"/>
    <n v="700070"/>
    <s v="Salaries-LPN-NonProd-Other"/>
    <s v="Gen Surg-Bridgeport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39200"/>
    <n v="700084"/>
    <s v="Accrued PTO"/>
    <s v="Gen Surg-Bridgeport-Gen Surg"/>
    <x v="0"/>
    <m/>
    <n v="366.69"/>
    <n v="-592.09"/>
    <n v="-225.61"/>
    <n v="-232.57"/>
    <n v="658.2"/>
    <n v="-2042.66"/>
    <n v="54.79"/>
    <n v="-634.99"/>
    <n v="322.26"/>
    <n v="143.72999999999999"/>
    <n v="151.86000000000001"/>
    <n v="113.25"/>
    <n v="-1917.1399999999994"/>
    <n v="38.610000000000014"/>
  </r>
  <r>
    <x v="10"/>
    <x v="1"/>
    <x v="0"/>
    <s v="2539200"/>
    <n v="710040"/>
    <s v="Contract Labor-Physician (Locum Tenum)"/>
    <s v="Gen Surg-Bridgeport-Gen Surg"/>
    <x v="0"/>
    <m/>
    <n v="0"/>
    <n v="0"/>
    <n v="23655"/>
    <n v="78494.399999999994"/>
    <n v="111626.33"/>
    <n v="46606.62"/>
    <n v="71681.61"/>
    <n v="202417.53"/>
    <n v="3700"/>
    <n v="122220.01"/>
    <n v="142501.98000000001"/>
    <n v="-897094.85"/>
    <n v="-94191.37"/>
    <n v="1039596.83"/>
  </r>
  <r>
    <x v="10"/>
    <x v="1"/>
    <x v="0"/>
    <s v="2539200"/>
    <n v="710042"/>
    <s v="Locum Tenens Travel-Physician"/>
    <s v="Gen Surg-Bridgeport-Gen Surg"/>
    <x v="0"/>
    <m/>
    <n v="0"/>
    <n v="0"/>
    <n v="6312.83"/>
    <n v="0"/>
    <n v="0"/>
    <n v="0"/>
    <n v="5152.2299999999996"/>
    <n v="11157.06"/>
    <n v="0"/>
    <n v="2326.86"/>
    <n v="16271.25"/>
    <n v="-57215.07"/>
    <n v="-15994.840000000004"/>
    <n v="73486.320000000007"/>
  </r>
  <r>
    <x v="10"/>
    <x v="1"/>
    <x v="0"/>
    <s v="2539200"/>
    <n v="710060"/>
    <s v="Contract Labor-Other"/>
    <s v="Gen Surg-Bridgeport-Gen Surg"/>
    <x v="0"/>
    <m/>
    <n v="0"/>
    <n v="0"/>
    <n v="0"/>
    <n v="0"/>
    <n v="0"/>
    <n v="0"/>
    <n v="0"/>
    <n v="0"/>
    <n v="408.21"/>
    <n v="0"/>
    <n v="0"/>
    <n v="0"/>
    <n v="408.21"/>
    <n v="0"/>
  </r>
  <r>
    <x v="6"/>
    <x v="1"/>
    <x v="0"/>
    <s v="2539200"/>
    <n v="713010"/>
    <s v="Benefits-FICA/Medicare"/>
    <s v="Gen Surg-Bridgeport-Gen Surg"/>
    <x v="0"/>
    <m/>
    <n v="2002.33"/>
    <n v="2021.06"/>
    <n v="2511.2800000000002"/>
    <n v="2056.19"/>
    <n v="2162.39"/>
    <n v="3282.39"/>
    <n v="28064.959999999999"/>
    <n v="253.35"/>
    <n v="14580.23"/>
    <n v="2416.69"/>
    <n v="-1435.43"/>
    <n v="3590.79"/>
    <n v="61506.229999999996"/>
    <n v="-5026.22"/>
  </r>
  <r>
    <x v="6"/>
    <x v="1"/>
    <x v="0"/>
    <s v="2539200"/>
    <n v="713090"/>
    <s v="Benefits-Allocated Amounts"/>
    <s v="Gen Surg-Bridgeport-Gen Surg"/>
    <x v="0"/>
    <m/>
    <n v="0"/>
    <n v="0"/>
    <n v="0"/>
    <n v="0"/>
    <n v="0"/>
    <n v="0"/>
    <n v="0"/>
    <n v="0"/>
    <n v="50608.88"/>
    <n v="3813.56"/>
    <n v="2526.1799999999998"/>
    <n v="5419"/>
    <n v="62367.619999999995"/>
    <n v="-2892.82"/>
  </r>
  <r>
    <x v="6"/>
    <x v="1"/>
    <x v="0"/>
    <s v="2539200"/>
    <n v="713092"/>
    <s v="Allocated Benefits-Physician"/>
    <s v="Gen Surg-Bridgeport-Gen Surg"/>
    <x v="0"/>
    <m/>
    <n v="7072.14"/>
    <n v="6657.76"/>
    <n v="8135.6"/>
    <n v="6971.41"/>
    <n v="6881.66"/>
    <n v="6959.08"/>
    <n v="31086.93"/>
    <n v="5522.78"/>
    <n v="-25286.07"/>
    <n v="4069.19"/>
    <n v="2695.51"/>
    <n v="5782.25"/>
    <n v="66548.240000000005"/>
    <n v="-3086.74"/>
  </r>
  <r>
    <x v="7"/>
    <x v="1"/>
    <x v="0"/>
    <s v="2539200"/>
    <n v="718040"/>
    <s v="Contract Svcs-Laboratory"/>
    <s v="Gen Surg-Bridgeport-Gen Surg"/>
    <x v="0"/>
    <m/>
    <n v="0"/>
    <n v="0"/>
    <n v="0"/>
    <n v="0"/>
    <n v="0"/>
    <n v="0"/>
    <n v="243.7"/>
    <n v="0"/>
    <n v="0"/>
    <n v="0"/>
    <n v="89.95"/>
    <n v="0"/>
    <n v="333.65"/>
    <n v="89.95"/>
  </r>
  <r>
    <x v="7"/>
    <x v="1"/>
    <x v="0"/>
    <s v="2539200"/>
    <n v="718050"/>
    <s v="Translation Services"/>
    <s v="Gen Surg-Bridgeport-Gen Surg"/>
    <x v="0"/>
    <n v="1025"/>
    <n v="0"/>
    <n v="280"/>
    <n v="0"/>
    <n v="0"/>
    <n v="0"/>
    <n v="0"/>
    <n v="32.020000000000003"/>
    <n v="0"/>
    <n v="0"/>
    <n v="0"/>
    <n v="0"/>
    <n v="0"/>
    <n v="312.02"/>
    <n v="0"/>
  </r>
  <r>
    <x v="7"/>
    <x v="1"/>
    <x v="0"/>
    <s v="2539200"/>
    <n v="718050"/>
    <s v="Contract Management--Linen"/>
    <s v="Gen Surg-Bridgeport-Gen Surg"/>
    <x v="0"/>
    <n v="1026"/>
    <n v="17.95"/>
    <n v="153.12"/>
    <n v="0"/>
    <n v="167.63"/>
    <n v="30.6"/>
    <n v="52.42"/>
    <n v="168.51"/>
    <n v="143.99"/>
    <n v="49.53"/>
    <n v="10.220000000000001"/>
    <n v="0"/>
    <n v="55.06"/>
    <n v="849.03"/>
    <n v="-55.06"/>
  </r>
  <r>
    <x v="7"/>
    <x v="1"/>
    <x v="0"/>
    <s v="2539200"/>
    <n v="718050"/>
    <s v="Purchased Srvcs--Medical Waste"/>
    <s v="Gen Surg-Bridgeport-Gen Surg"/>
    <x v="0"/>
    <n v="1027"/>
    <n v="0"/>
    <n v="218.45"/>
    <n v="60.09"/>
    <n v="501.83"/>
    <n v="0"/>
    <n v="208.09"/>
    <n v="600.78"/>
    <n v="68.38"/>
    <n v="163.26"/>
    <n v="413.27"/>
    <n v="301.02999999999997"/>
    <n v="456.35"/>
    <n v="2991.5299999999993"/>
    <n v="-155.32000000000005"/>
  </r>
  <r>
    <x v="11"/>
    <x v="1"/>
    <x v="0"/>
    <s v="2539200"/>
    <n v="721010"/>
    <s v="Supplies-Medical - Billable"/>
    <s v="Gen Surg-Bridgeport-Gen Surg"/>
    <x v="0"/>
    <m/>
    <n v="0"/>
    <n v="3557.4"/>
    <n v="0"/>
    <n v="0"/>
    <n v="2790"/>
    <n v="2790"/>
    <n v="0"/>
    <n v="5477.73"/>
    <n v="0"/>
    <n v="0"/>
    <n v="0"/>
    <n v="0"/>
    <n v="14615.13"/>
    <n v="0"/>
  </r>
  <r>
    <x v="11"/>
    <x v="1"/>
    <x v="0"/>
    <s v="2539200"/>
    <n v="721250"/>
    <s v="Supplies-Pharmacy Drugs - Billable"/>
    <s v="Gen Surg-Bridgeport-Gen Surg"/>
    <x v="0"/>
    <m/>
    <n v="0"/>
    <n v="68.2"/>
    <n v="0"/>
    <n v="0"/>
    <n v="2790"/>
    <n v="0"/>
    <n v="0"/>
    <n v="0"/>
    <n v="0"/>
    <n v="0"/>
    <n v="0"/>
    <n v="175.98"/>
    <n v="3034.18"/>
    <n v="-175.98"/>
  </r>
  <r>
    <x v="11"/>
    <x v="1"/>
    <x v="0"/>
    <s v="2539200"/>
    <n v="721410"/>
    <s v="Supplies-Medical - Nonbillable"/>
    <s v="Gen Surg-Bridgeport-Gen Surg"/>
    <x v="0"/>
    <m/>
    <n v="946.82"/>
    <n v="2655.88"/>
    <n v="767.58"/>
    <n v="2036.49"/>
    <n v="758.96"/>
    <n v="2056.4499999999998"/>
    <n v="793.94"/>
    <n v="795.88"/>
    <n v="553.12"/>
    <n v="577.48"/>
    <n v="349.59"/>
    <n v="981.08"/>
    <n v="13273.27"/>
    <n v="-631.49"/>
  </r>
  <r>
    <x v="11"/>
    <x v="1"/>
    <x v="0"/>
    <s v="2539200"/>
    <n v="721910"/>
    <s v="Supplies-Small Equipment"/>
    <s v="Gen Surg-Bridgeport-Gen Surg"/>
    <x v="0"/>
    <m/>
    <n v="0"/>
    <n v="0"/>
    <n v="0"/>
    <n v="609.9"/>
    <n v="0"/>
    <n v="0"/>
    <n v="0"/>
    <n v="0"/>
    <n v="3968.03"/>
    <n v="-105.7"/>
    <n v="0"/>
    <n v="0"/>
    <n v="4472.2300000000005"/>
    <n v="0"/>
  </r>
  <r>
    <x v="11"/>
    <x v="1"/>
    <x v="0"/>
    <s v="2539200"/>
    <n v="722000"/>
    <s v="Supplies-Freight Expense"/>
    <s v="Gen Surg-Bridgeport-Gen Surg"/>
    <x v="0"/>
    <m/>
    <n v="0"/>
    <n v="0"/>
    <n v="0"/>
    <n v="0"/>
    <n v="0"/>
    <n v="0"/>
    <n v="0"/>
    <n v="0"/>
    <n v="0"/>
    <n v="105.7"/>
    <n v="0"/>
    <n v="0"/>
    <n v="105.7"/>
    <n v="0"/>
  </r>
  <r>
    <x v="0"/>
    <x v="1"/>
    <x v="0"/>
    <s v="2539200"/>
    <n v="740022"/>
    <s v="Education-Physician"/>
    <s v="Gen Surg-Bridgeport-Gen Surg"/>
    <x v="0"/>
    <m/>
    <n v="0"/>
    <n v="0"/>
    <n v="0"/>
    <n v="0"/>
    <n v="0"/>
    <n v="0"/>
    <n v="0"/>
    <n v="0"/>
    <n v="0"/>
    <n v="341.06"/>
    <n v="0"/>
    <n v="0"/>
    <n v="341.06"/>
    <n v="0"/>
  </r>
  <r>
    <x v="0"/>
    <x v="1"/>
    <x v="0"/>
    <s v="2539200"/>
    <n v="740023"/>
    <s v="Education-Advanced Practice Clinician"/>
    <s v="Gen Surg-Bridgeport-Gen Surg"/>
    <x v="0"/>
    <m/>
    <n v="0"/>
    <n v="0"/>
    <n v="0"/>
    <n v="0"/>
    <n v="0"/>
    <n v="0"/>
    <n v="0"/>
    <n v="0"/>
    <n v="0"/>
    <n v="0"/>
    <n v="0"/>
    <n v="599"/>
    <n v="599"/>
    <n v="-599"/>
  </r>
  <r>
    <x v="0"/>
    <x v="1"/>
    <x v="0"/>
    <s v="2539200"/>
    <n v="740023"/>
    <s v="Books-Advanced Practice Clinician"/>
    <s v="Gen Surg-Bridgeport-Gen Surg"/>
    <x v="0"/>
    <n v="2000"/>
    <n v="0"/>
    <n v="0"/>
    <n v="0"/>
    <n v="0"/>
    <n v="0"/>
    <n v="0"/>
    <n v="0"/>
    <n v="0"/>
    <n v="0"/>
    <n v="0"/>
    <n v="0"/>
    <n v="399"/>
    <n v="399"/>
    <n v="-399"/>
  </r>
  <r>
    <x v="8"/>
    <x v="1"/>
    <x v="0"/>
    <s v="2539200"/>
    <n v="741012"/>
    <s v="Physician Liab Insurance-CHI Program"/>
    <s v="Gen Surg-Bridgeport-Gen Surg"/>
    <x v="0"/>
    <m/>
    <n v="3884.07"/>
    <n v="3884.07"/>
    <n v="3884.07"/>
    <n v="3884.07"/>
    <n v="5745.01"/>
    <n v="5744.97"/>
    <n v="5745.01"/>
    <n v="6103.76"/>
    <n v="8551.82"/>
    <n v="8551.76"/>
    <n v="8551.84"/>
    <n v="7654.79"/>
    <n v="72185.240000000005"/>
    <n v="897.05000000000018"/>
  </r>
  <r>
    <x v="0"/>
    <x v="1"/>
    <x v="0"/>
    <s v="2539200"/>
    <n v="743020"/>
    <s v="Dues--Individual"/>
    <s v="Gen Surg-Bridgeport-Gen Surg"/>
    <x v="0"/>
    <m/>
    <n v="0"/>
    <n v="0"/>
    <n v="0"/>
    <n v="0"/>
    <n v="0"/>
    <n v="0"/>
    <n v="0"/>
    <n v="0"/>
    <n v="675"/>
    <n v="0"/>
    <n v="0"/>
    <n v="0"/>
    <n v="675"/>
    <n v="0"/>
  </r>
  <r>
    <x v="0"/>
    <x v="1"/>
    <x v="0"/>
    <s v="2539200"/>
    <n v="743020"/>
    <s v="Provider-Dues"/>
    <s v="Gen Surg-Bridgeport-Gen Surg"/>
    <x v="0"/>
    <n v="2200"/>
    <n v="0"/>
    <n v="0"/>
    <n v="0"/>
    <n v="445"/>
    <n v="0"/>
    <n v="0"/>
    <n v="0"/>
    <n v="0"/>
    <n v="0"/>
    <n v="0"/>
    <n v="0"/>
    <n v="0"/>
    <n v="445"/>
    <n v="0"/>
  </r>
  <r>
    <x v="0"/>
    <x v="1"/>
    <x v="0"/>
    <s v="2539200"/>
    <n v="743022"/>
    <s v="Dues-Physician"/>
    <s v="Gen Surg-Bridgeport-Gen Surg"/>
    <x v="0"/>
    <m/>
    <n v="0"/>
    <n v="0"/>
    <n v="0"/>
    <n v="0"/>
    <n v="350"/>
    <n v="0"/>
    <n v="0"/>
    <n v="428"/>
    <n v="640"/>
    <n v="395"/>
    <n v="0"/>
    <n v="420"/>
    <n v="2233"/>
    <n v="-420"/>
  </r>
  <r>
    <x v="0"/>
    <x v="1"/>
    <x v="0"/>
    <s v="2539200"/>
    <n v="743042"/>
    <s v="Subscriptions-Physician"/>
    <s v="Gen Surg-Bridgeport-Gen Surg"/>
    <x v="0"/>
    <m/>
    <n v="724.09"/>
    <n v="0"/>
    <n v="0"/>
    <n v="0"/>
    <n v="0"/>
    <n v="0"/>
    <n v="0"/>
    <n v="0"/>
    <n v="0"/>
    <n v="0"/>
    <n v="0"/>
    <n v="437.31"/>
    <n v="1161.4000000000001"/>
    <n v="-437.31"/>
  </r>
  <r>
    <x v="0"/>
    <x v="1"/>
    <x v="0"/>
    <s v="2539200"/>
    <n v="744012"/>
    <s v="Recruitment Travel-Physician"/>
    <s v="Gen Surg-Bridgeport-Gen Surg"/>
    <x v="0"/>
    <n v="2002"/>
    <n v="0"/>
    <n v="0"/>
    <n v="0"/>
    <n v="968.48"/>
    <n v="17357"/>
    <n v="-1041.28"/>
    <n v="11745"/>
    <n v="0"/>
    <n v="0"/>
    <n v="0"/>
    <n v="0"/>
    <n v="-29029.200000000001"/>
    <n v="0"/>
    <n v="29029.200000000001"/>
  </r>
  <r>
    <x v="0"/>
    <x v="1"/>
    <x v="0"/>
    <s v="2539200"/>
    <n v="749510"/>
    <s v="Miscellaneous Expenses"/>
    <s v="Gen Surg-Bridgeport-Gen Surg"/>
    <x v="0"/>
    <m/>
    <n v="0"/>
    <n v="0"/>
    <n v="0"/>
    <n v="350"/>
    <n v="-326.56"/>
    <n v="-23.44"/>
    <n v="3178.42"/>
    <n v="6804.03"/>
    <n v="-640"/>
    <n v="0"/>
    <n v="-9342.4500000000007"/>
    <n v="2604.83"/>
    <n v="2604.83"/>
    <n v="-11947.28"/>
  </r>
  <r>
    <x v="0"/>
    <x v="1"/>
    <x v="0"/>
    <s v="2539200"/>
    <n v="749512"/>
    <s v="Licenses-Physician"/>
    <s v="Gen Surg-Bridgeport-Gen Surg"/>
    <x v="0"/>
    <n v="2000"/>
    <n v="0"/>
    <n v="0"/>
    <n v="0"/>
    <n v="0"/>
    <n v="0"/>
    <n v="0"/>
    <n v="0"/>
    <n v="0"/>
    <n v="0"/>
    <n v="657"/>
    <n v="1172"/>
    <n v="0"/>
    <n v="1829"/>
    <n v="1172"/>
  </r>
  <r>
    <x v="0"/>
    <x v="1"/>
    <x v="0"/>
    <s v="2539200"/>
    <n v="749513"/>
    <s v="Licenses-Advanced Practice Clinician"/>
    <s v="Gen Surg-Bridgeport-Gen Surg"/>
    <x v="0"/>
    <n v="2000"/>
    <n v="0"/>
    <n v="0"/>
    <n v="0"/>
    <n v="0"/>
    <n v="0"/>
    <n v="0"/>
    <n v="0"/>
    <n v="0"/>
    <n v="0"/>
    <n v="0"/>
    <n v="731"/>
    <n v="0"/>
    <n v="731"/>
    <n v="731"/>
  </r>
  <r>
    <x v="0"/>
    <x v="1"/>
    <x v="0"/>
    <s v="2539200"/>
    <n v="749530"/>
    <s v="Travel"/>
    <s v="Gen Surg-Bridgeport-Gen Surg"/>
    <x v="0"/>
    <m/>
    <n v="0"/>
    <n v="0"/>
    <n v="0"/>
    <n v="72"/>
    <n v="0"/>
    <n v="6"/>
    <n v="6"/>
    <n v="0"/>
    <n v="6"/>
    <n v="6"/>
    <n v="0"/>
    <n v="0"/>
    <n v="96"/>
    <n v="0"/>
  </r>
  <r>
    <x v="0"/>
    <x v="1"/>
    <x v="0"/>
    <s v="2539200"/>
    <n v="749530"/>
    <s v="Mileage"/>
    <s v="Gen Surg-Bridgeport-Gen Surg"/>
    <x v="0"/>
    <n v="1001"/>
    <n v="0"/>
    <n v="0"/>
    <n v="0"/>
    <n v="209.28"/>
    <n v="0"/>
    <n v="17.440000000000001"/>
    <n v="11.99"/>
    <n v="0"/>
    <n v="13.92"/>
    <n v="58.58"/>
    <n v="0"/>
    <n v="0"/>
    <n v="311.20999999999998"/>
    <n v="0"/>
  </r>
  <r>
    <x v="0"/>
    <x v="1"/>
    <x v="0"/>
    <s v="2539200"/>
    <n v="749532"/>
    <s v="Travel-Physician"/>
    <s v="Gen Surg-Bridgeport-Gen Surg"/>
    <x v="0"/>
    <m/>
    <n v="0"/>
    <n v="0"/>
    <n v="0"/>
    <n v="0"/>
    <n v="0"/>
    <n v="0"/>
    <n v="0"/>
    <n v="1678.42"/>
    <n v="960.4"/>
    <n v="1580.3"/>
    <n v="1000.28"/>
    <n v="3055.39"/>
    <n v="8274.7899999999991"/>
    <n v="-2055.1099999999997"/>
  </r>
  <r>
    <x v="0"/>
    <x v="1"/>
    <x v="0"/>
    <s v="2539200"/>
    <n v="749533"/>
    <s v="Travel-Advanced Practice Clinician"/>
    <s v="Gen Surg-Bridgeport-Gen Surg"/>
    <x v="0"/>
    <m/>
    <n v="0"/>
    <n v="0"/>
    <n v="0"/>
    <n v="0"/>
    <n v="0"/>
    <n v="0"/>
    <n v="0"/>
    <n v="0"/>
    <n v="0"/>
    <n v="0"/>
    <n v="0"/>
    <n v="657.11"/>
    <n v="657.11"/>
    <n v="-657.11"/>
  </r>
  <r>
    <x v="1"/>
    <x v="1"/>
    <x v="0"/>
    <s v="2540200"/>
    <n v="400029"/>
    <s v="MD Practice Other Rev--Medicare"/>
    <s v="Gen Surg-Bridgeport-Pod Surg"/>
    <x v="0"/>
    <n v="1100"/>
    <n v="0"/>
    <n v="0"/>
    <n v="-373"/>
    <n v="-422"/>
    <n v="-369"/>
    <n v="-161"/>
    <n v="0"/>
    <n v="0"/>
    <n v="0"/>
    <n v="0"/>
    <n v="0"/>
    <n v="-118"/>
    <n v="-1443"/>
    <n v="118"/>
  </r>
  <r>
    <x v="1"/>
    <x v="1"/>
    <x v="0"/>
    <s v="2540200"/>
    <n v="400029"/>
    <s v="MD Practice Other Rev--Medicaid"/>
    <s v="Gen Surg-Bridgeport-Pod Surg"/>
    <x v="0"/>
    <n v="1200"/>
    <n v="-59"/>
    <n v="0"/>
    <n v="-485"/>
    <n v="-376"/>
    <n v="-372"/>
    <n v="-243"/>
    <n v="0"/>
    <n v="0"/>
    <n v="0"/>
    <n v="0"/>
    <n v="0"/>
    <n v="-59"/>
    <n v="-1594"/>
    <n v="59"/>
  </r>
  <r>
    <x v="1"/>
    <x v="1"/>
    <x v="0"/>
    <s v="2540200"/>
    <n v="400029"/>
    <s v="MD Practice Other Rev--Comm Insurance"/>
    <s v="Gen Surg-Bridgeport-Pod Surg"/>
    <x v="0"/>
    <n v="1300"/>
    <n v="0"/>
    <n v="0"/>
    <n v="-81"/>
    <n v="0"/>
    <n v="81"/>
    <n v="-81"/>
    <n v="0"/>
    <n v="0"/>
    <n v="0"/>
    <n v="0"/>
    <n v="0"/>
    <n v="0"/>
    <n v="-81"/>
    <n v="0"/>
  </r>
  <r>
    <x v="1"/>
    <x v="1"/>
    <x v="0"/>
    <s v="2540200"/>
    <n v="400029"/>
    <s v="MD Practice Other Rev--BCBS Comm"/>
    <s v="Gen Surg-Bridgeport-Pod Surg"/>
    <x v="0"/>
    <n v="1301"/>
    <n v="0"/>
    <n v="0"/>
    <n v="-81"/>
    <n v="-59"/>
    <n v="-72"/>
    <n v="-89"/>
    <n v="0"/>
    <n v="0"/>
    <n v="0"/>
    <n v="0"/>
    <n v="0"/>
    <n v="0"/>
    <n v="-301"/>
    <n v="0"/>
  </r>
  <r>
    <x v="1"/>
    <x v="1"/>
    <x v="0"/>
    <s v="2540200"/>
    <n v="400029"/>
    <s v="MD Practice Other Rev--Managed Care"/>
    <s v="Gen Surg-Bridgeport-Pod Surg"/>
    <x v="0"/>
    <n v="1400"/>
    <n v="-118"/>
    <n v="-196"/>
    <n v="-162"/>
    <n v="-144"/>
    <n v="-305"/>
    <n v="0"/>
    <n v="0"/>
    <n v="0"/>
    <n v="0"/>
    <n v="-59"/>
    <n v="-59"/>
    <n v="-143"/>
    <n v="-1186"/>
    <n v="84"/>
  </r>
  <r>
    <x v="1"/>
    <x v="1"/>
    <x v="0"/>
    <s v="2540200"/>
    <n v="400029"/>
    <s v="MD Practice Other Rev--Self Pay"/>
    <s v="Gen Surg-Bridgeport-Pod Surg"/>
    <x v="0"/>
    <n v="1500"/>
    <n v="0"/>
    <n v="72"/>
    <n v="0"/>
    <n v="0"/>
    <n v="0"/>
    <n v="0"/>
    <n v="0"/>
    <n v="0"/>
    <n v="0"/>
    <n v="0"/>
    <n v="0"/>
    <n v="0"/>
    <n v="72"/>
    <n v="0"/>
  </r>
  <r>
    <x v="1"/>
    <x v="1"/>
    <x v="0"/>
    <s v="2540200"/>
    <n v="400029"/>
    <s v="MD Practice Other Rev--Other"/>
    <s v="Gen Surg-Bridgeport-Pod Surg"/>
    <x v="0"/>
    <n v="1700"/>
    <n v="-59"/>
    <n v="0"/>
    <n v="0"/>
    <n v="-81"/>
    <n v="-162"/>
    <n v="0"/>
    <n v="0"/>
    <n v="0"/>
    <n v="0"/>
    <n v="0"/>
    <n v="-59"/>
    <n v="0"/>
    <n v="-361"/>
    <n v="-59"/>
  </r>
  <r>
    <x v="1"/>
    <x v="1"/>
    <x v="0"/>
    <s v="2540200"/>
    <n v="400040"/>
    <s v="Physician Svcs Rev--Medicare"/>
    <s v="Gen Surg-Bridgeport-Pod Surg"/>
    <x v="0"/>
    <n v="1100"/>
    <n v="-15200"/>
    <n v="-24189"/>
    <n v="-25686"/>
    <n v="-47901"/>
    <n v="-40017"/>
    <n v="-35647"/>
    <n v="-29696"/>
    <n v="-37650"/>
    <n v="-35687"/>
    <n v="-42768"/>
    <n v="-52302"/>
    <n v="-34486"/>
    <n v="-421229"/>
    <n v="-17816"/>
  </r>
  <r>
    <x v="1"/>
    <x v="1"/>
    <x v="0"/>
    <s v="2540200"/>
    <n v="400040"/>
    <s v="Physician Svcs Rev--Medicaid"/>
    <s v="Gen Surg-Bridgeport-Pod Surg"/>
    <x v="0"/>
    <n v="1200"/>
    <n v="-9563"/>
    <n v="-18398"/>
    <n v="-22889"/>
    <n v="-41184"/>
    <n v="-39681"/>
    <n v="-32382"/>
    <n v="-20087"/>
    <n v="-32733"/>
    <n v="-27400"/>
    <n v="-29984"/>
    <n v="-39741"/>
    <n v="-25799"/>
    <n v="-339841"/>
    <n v="-13942"/>
  </r>
  <r>
    <x v="1"/>
    <x v="1"/>
    <x v="0"/>
    <s v="2540200"/>
    <n v="400040"/>
    <s v="Physician Svcs Rev--Comm Insurance"/>
    <s v="Gen Surg-Bridgeport-Pod Surg"/>
    <x v="0"/>
    <n v="1300"/>
    <n v="-2377"/>
    <n v="-2584"/>
    <n v="-5093"/>
    <n v="-9515"/>
    <n v="-6816"/>
    <n v="-11218"/>
    <n v="-4237"/>
    <n v="-5346"/>
    <n v="-6512"/>
    <n v="-5156"/>
    <n v="-4935"/>
    <n v="-4989"/>
    <n v="-68778"/>
    <n v="54"/>
  </r>
  <r>
    <x v="1"/>
    <x v="1"/>
    <x v="0"/>
    <s v="2540200"/>
    <n v="400040"/>
    <s v="Physician Svcs Rev--BCBS Comm"/>
    <s v="Gen Surg-Bridgeport-Pod Surg"/>
    <x v="0"/>
    <n v="1301"/>
    <n v="-2783"/>
    <n v="-8925"/>
    <n v="-10022"/>
    <n v="-12504"/>
    <n v="-6447"/>
    <n v="-5998"/>
    <n v="-9631"/>
    <n v="-13324"/>
    <n v="-10311"/>
    <n v="-9505"/>
    <n v="-15078"/>
    <n v="-9803"/>
    <n v="-114331"/>
    <n v="-5275"/>
  </r>
  <r>
    <x v="1"/>
    <x v="1"/>
    <x v="0"/>
    <s v="2540200"/>
    <n v="400040"/>
    <s v="Physician Svcs Rev--Managed Care"/>
    <s v="Gen Surg-Bridgeport-Pod Surg"/>
    <x v="0"/>
    <n v="1400"/>
    <n v="-10103"/>
    <n v="-29608"/>
    <n v="-22763"/>
    <n v="-31580"/>
    <n v="-35257"/>
    <n v="-30829"/>
    <n v="-27546"/>
    <n v="-23158"/>
    <n v="-38020"/>
    <n v="-35148"/>
    <n v="-40139"/>
    <n v="-33900"/>
    <n v="-358051"/>
    <n v="-6239"/>
  </r>
  <r>
    <x v="1"/>
    <x v="1"/>
    <x v="0"/>
    <s v="2540200"/>
    <n v="400040"/>
    <s v="Physician Svcs Rev--Self Pay"/>
    <s v="Gen Surg-Bridgeport-Pod Surg"/>
    <x v="0"/>
    <n v="1500"/>
    <n v="-876"/>
    <n v="1529"/>
    <n v="380"/>
    <n v="-496"/>
    <n v="-302"/>
    <n v="-617"/>
    <n v="-200"/>
    <n v="-792"/>
    <n v="-2129"/>
    <n v="-484"/>
    <n v="-2350"/>
    <n v="-2241"/>
    <n v="-8578"/>
    <n v="-109"/>
  </r>
  <r>
    <x v="1"/>
    <x v="1"/>
    <x v="0"/>
    <s v="2540200"/>
    <n v="400040"/>
    <s v="Physician Svcs Rev--Other"/>
    <s v="Gen Surg-Bridgeport-Pod Surg"/>
    <x v="0"/>
    <n v="1700"/>
    <n v="-2651"/>
    <n v="-5441"/>
    <n v="-4904"/>
    <n v="-7558"/>
    <n v="-10048"/>
    <n v="-9467"/>
    <n v="-6029"/>
    <n v="-5916"/>
    <n v="-8642"/>
    <n v="-13288"/>
    <n v="-14442"/>
    <n v="-8808"/>
    <n v="-97194"/>
    <n v="-5634"/>
  </r>
  <r>
    <x v="2"/>
    <x v="1"/>
    <x v="0"/>
    <s v="2540200"/>
    <n v="450029"/>
    <s v="Contr Allow--MD Other-Medicare"/>
    <s v="Gen Surg-Bridgeport-Pod Surg"/>
    <x v="0"/>
    <n v="1100"/>
    <n v="-0.06"/>
    <n v="0"/>
    <n v="238.79"/>
    <n v="159.94999999999999"/>
    <n v="161.29"/>
    <n v="204.79"/>
    <n v="146.22"/>
    <n v="0"/>
    <n v="0"/>
    <n v="0"/>
    <n v="0"/>
    <n v="6.08"/>
    <n v="917.06"/>
    <n v="-6.08"/>
  </r>
  <r>
    <x v="2"/>
    <x v="1"/>
    <x v="0"/>
    <s v="2540200"/>
    <n v="450029"/>
    <s v="Contr Allow--MD Other-Medicaid"/>
    <s v="Gen Surg-Bridgeport-Pod Surg"/>
    <x v="0"/>
    <n v="1200"/>
    <n v="0"/>
    <n v="44.61"/>
    <n v="187.31"/>
    <n v="182.85"/>
    <n v="338.7"/>
    <n v="236.24"/>
    <n v="125.22"/>
    <n v="0"/>
    <n v="0"/>
    <n v="0"/>
    <n v="0"/>
    <n v="0"/>
    <n v="1114.93"/>
    <n v="0"/>
  </r>
  <r>
    <x v="2"/>
    <x v="1"/>
    <x v="0"/>
    <s v="2540200"/>
    <n v="450029"/>
    <s v="Contr Allow--MD Other-Comm Insurance"/>
    <s v="Gen Surg-Bridgeport-Pod Surg"/>
    <x v="0"/>
    <n v="1300"/>
    <n v="0"/>
    <n v="0"/>
    <n v="34.5"/>
    <n v="-34.5"/>
    <n v="0"/>
    <n v="0"/>
    <n v="34.5"/>
    <n v="0"/>
    <n v="0"/>
    <n v="0"/>
    <n v="0"/>
    <n v="0"/>
    <n v="34.5"/>
    <n v="0"/>
  </r>
  <r>
    <x v="2"/>
    <x v="1"/>
    <x v="0"/>
    <s v="2540200"/>
    <n v="450029"/>
    <s v="Contr Allow--MD Other BCBS Comm"/>
    <s v="Gen Surg-Bridgeport-Pod Surg"/>
    <x v="0"/>
    <n v="1301"/>
    <n v="0"/>
    <n v="0"/>
    <n v="23.29"/>
    <n v="0"/>
    <n v="0"/>
    <n v="57.01"/>
    <n v="0"/>
    <n v="0"/>
    <n v="0"/>
    <n v="0"/>
    <n v="0"/>
    <n v="0"/>
    <n v="80.3"/>
    <n v="0"/>
  </r>
  <r>
    <x v="2"/>
    <x v="1"/>
    <x v="0"/>
    <s v="2540200"/>
    <n v="450029"/>
    <s v="Contr Allow--MD Other-Managed Care"/>
    <s v="Gen Surg-Bridgeport-Pod Surg"/>
    <x v="0"/>
    <n v="1400"/>
    <n v="0"/>
    <n v="88.28"/>
    <n v="33.090000000000003"/>
    <n v="116.9"/>
    <n v="56.27"/>
    <n v="0"/>
    <n v="46.5"/>
    <n v="0"/>
    <n v="0"/>
    <n v="61.21"/>
    <n v="25.48"/>
    <n v="0"/>
    <n v="427.73"/>
    <n v="25.48"/>
  </r>
  <r>
    <x v="2"/>
    <x v="1"/>
    <x v="0"/>
    <s v="2540200"/>
    <n v="450029"/>
    <s v="Admin Adjust-MD Other-Self Pay"/>
    <s v="Gen Surg-Bridgeport-Pod Surg"/>
    <x v="0"/>
    <n v="1600"/>
    <n v="0"/>
    <n v="-26.64"/>
    <n v="0"/>
    <n v="0"/>
    <n v="0"/>
    <n v="0"/>
    <n v="-54.81"/>
    <n v="8.3000000000000007"/>
    <n v="0"/>
    <n v="0"/>
    <n v="-0.02"/>
    <n v="0"/>
    <n v="-73.17"/>
    <n v="-0.02"/>
  </r>
  <r>
    <x v="2"/>
    <x v="1"/>
    <x v="0"/>
    <s v="2540200"/>
    <n v="450029"/>
    <s v="Contr Allow--MD Other-Other"/>
    <s v="Gen Surg-Bridgeport-Pod Surg"/>
    <x v="0"/>
    <n v="1700"/>
    <n v="0"/>
    <n v="18.86"/>
    <n v="0"/>
    <n v="25.32"/>
    <n v="50.94"/>
    <n v="25.32"/>
    <n v="0"/>
    <n v="0"/>
    <n v="0"/>
    <n v="0"/>
    <n v="0"/>
    <n v="35.729999999999997"/>
    <n v="156.16999999999999"/>
    <n v="-35.729999999999997"/>
  </r>
  <r>
    <x v="2"/>
    <x v="1"/>
    <x v="0"/>
    <s v="2540200"/>
    <n v="450040"/>
    <s v="Contr Allow--Phys Svcs--Mcare"/>
    <s v="Gen Surg-Bridgeport-Pod Surg"/>
    <x v="0"/>
    <n v="1100"/>
    <n v="12640.26"/>
    <n v="18510.77"/>
    <n v="13285.1"/>
    <n v="22349.08"/>
    <n v="22633.26"/>
    <n v="20560.21"/>
    <n v="16061.9"/>
    <n v="16913.29"/>
    <n v="20847.64"/>
    <n v="29053.25"/>
    <n v="32408.62"/>
    <n v="31454.95"/>
    <n v="256718.33000000002"/>
    <n v="953.66999999999825"/>
  </r>
  <r>
    <x v="2"/>
    <x v="1"/>
    <x v="0"/>
    <s v="2540200"/>
    <n v="450040"/>
    <s v="Contr Allow--Phys Svcs--Mcaid"/>
    <s v="Gen Surg-Bridgeport-Pod Surg"/>
    <x v="0"/>
    <n v="1200"/>
    <n v="15247.81"/>
    <n v="14115.89"/>
    <n v="10961.99"/>
    <n v="27424.87"/>
    <n v="25360.66"/>
    <n v="26822.12"/>
    <n v="19798.38"/>
    <n v="20040"/>
    <n v="25751.51"/>
    <n v="26369.32"/>
    <n v="25825.55"/>
    <n v="20946.02"/>
    <n v="258664.12"/>
    <n v="4879.5299999999988"/>
  </r>
  <r>
    <x v="2"/>
    <x v="1"/>
    <x v="0"/>
    <s v="2540200"/>
    <n v="450040"/>
    <s v="Contr Allow--Phys Svcs--Comm Insurance"/>
    <s v="Gen Surg-Bridgeport-Pod Surg"/>
    <x v="0"/>
    <n v="1300"/>
    <n v="1149.94"/>
    <n v="1460.85"/>
    <n v="2230.39"/>
    <n v="3431"/>
    <n v="1221.24"/>
    <n v="2077.2800000000002"/>
    <n v="2716.24"/>
    <n v="1124.6300000000001"/>
    <n v="2293.48"/>
    <n v="3011.56"/>
    <n v="2078.39"/>
    <n v="2869.66"/>
    <n v="25664.66"/>
    <n v="-791.27"/>
  </r>
  <r>
    <x v="2"/>
    <x v="1"/>
    <x v="0"/>
    <s v="2540200"/>
    <n v="450040"/>
    <s v="Contr Allow--Phys Svcs--BCBS Comm Ins"/>
    <s v="Gen Surg-Bridgeport-Pod Surg"/>
    <x v="0"/>
    <n v="1301"/>
    <n v="2008.22"/>
    <n v="2518.56"/>
    <n v="1501.94"/>
    <n v="2844.21"/>
    <n v="2972.46"/>
    <n v="2326.17"/>
    <n v="871.91"/>
    <n v="3321.14"/>
    <n v="4290.01"/>
    <n v="3182.12"/>
    <n v="2471.38"/>
    <n v="5521.99"/>
    <n v="33830.11"/>
    <n v="-3050.6099999999997"/>
  </r>
  <r>
    <x v="2"/>
    <x v="1"/>
    <x v="0"/>
    <s v="2540200"/>
    <n v="450040"/>
    <s v="Contr Allow--Phys Svcs--Managed Care"/>
    <s v="Gen Surg-Bridgeport-Pod Surg"/>
    <x v="0"/>
    <n v="1400"/>
    <n v="6966.44"/>
    <n v="8099.02"/>
    <n v="7879.31"/>
    <n v="10002.17"/>
    <n v="12463.18"/>
    <n v="9357.34"/>
    <n v="7900.17"/>
    <n v="8494.6299999999992"/>
    <n v="11327.45"/>
    <n v="14780.64"/>
    <n v="13221.42"/>
    <n v="12570.73"/>
    <n v="123062.5"/>
    <n v="650.69000000000051"/>
  </r>
  <r>
    <x v="2"/>
    <x v="1"/>
    <x v="0"/>
    <s v="2540200"/>
    <n v="450040"/>
    <s v="Contr Allow--Phys Svcs--BCBS Mgnd Care"/>
    <s v="Gen Surg-Bridgeport-Pod Surg"/>
    <x v="0"/>
    <n v="1401"/>
    <n v="-18102.169999999998"/>
    <n v="-2254.63"/>
    <n v="9524.19"/>
    <n v="13230.06"/>
    <n v="5062.2700000000004"/>
    <n v="4707.1899999999996"/>
    <n v="4540.4399999999996"/>
    <n v="11058.11"/>
    <n v="805.89"/>
    <n v="-18800.68"/>
    <n v="10001.15"/>
    <n v="-12892.46"/>
    <n v="6879.3600000000006"/>
    <n v="22893.61"/>
  </r>
  <r>
    <x v="2"/>
    <x v="1"/>
    <x v="0"/>
    <s v="2540200"/>
    <n v="450040"/>
    <s v="Admin Adjust-Phys Svcs-Self Pay"/>
    <s v="Gen Surg-Bridgeport-Pod Surg"/>
    <x v="0"/>
    <n v="1600"/>
    <n v="492.44"/>
    <n v="-688.81"/>
    <n v="507.63"/>
    <n v="363.56"/>
    <n v="746.83"/>
    <n v="65.81"/>
    <n v="159.22"/>
    <n v="776.29"/>
    <n v="1787.43"/>
    <n v="24516.080000000002"/>
    <n v="2726.66"/>
    <n v="682.88"/>
    <n v="32136.020000000004"/>
    <n v="2043.7799999999997"/>
  </r>
  <r>
    <x v="2"/>
    <x v="1"/>
    <x v="0"/>
    <s v="2540200"/>
    <n v="450040"/>
    <s v="Contr Allow--Phys Svcs--Other"/>
    <s v="Gen Surg-Bridgeport-Pod Surg"/>
    <x v="0"/>
    <n v="1700"/>
    <n v="2350.9499999999998"/>
    <n v="2452.48"/>
    <n v="1050.05"/>
    <n v="3410.85"/>
    <n v="2812.43"/>
    <n v="3453.63"/>
    <n v="4099.51"/>
    <n v="4059.94"/>
    <n v="3503.27"/>
    <n v="4905.59"/>
    <n v="8201.36"/>
    <n v="3814.89"/>
    <n v="44114.95"/>
    <n v="4386.4700000000012"/>
  </r>
  <r>
    <x v="3"/>
    <x v="1"/>
    <x v="0"/>
    <s v="2540200"/>
    <n v="470040"/>
    <s v="Charity Care-Physician Svcs"/>
    <s v="Gen Surg-Bridgeport-Pod Surg"/>
    <x v="0"/>
    <m/>
    <n v="-409.24"/>
    <n v="2752.86"/>
    <n v="462.76"/>
    <n v="1103.46"/>
    <n v="470.47"/>
    <n v="-34.14"/>
    <n v="402.71"/>
    <n v="221.53"/>
    <n v="721.12"/>
    <n v="-167.14"/>
    <n v="791.33"/>
    <n v="1674"/>
    <n v="7989.7199999999993"/>
    <n v="-882.67"/>
  </r>
  <r>
    <x v="4"/>
    <x v="1"/>
    <x v="0"/>
    <s v="2540200"/>
    <n v="490010"/>
    <s v="Provision for Bad Debts"/>
    <s v="Gen Surg-Bridgeport-Pod Surg"/>
    <x v="0"/>
    <m/>
    <n v="853.62"/>
    <n v="2807.85"/>
    <n v="2653.54"/>
    <n v="3170.93"/>
    <n v="5010.7700000000004"/>
    <n v="2540.9299999999998"/>
    <n v="-215.73"/>
    <n v="513.51"/>
    <n v="1269.43"/>
    <n v="-305.72000000000003"/>
    <n v="2113.2199999999998"/>
    <n v="-659.99"/>
    <n v="19752.359999999997"/>
    <n v="2773.21"/>
  </r>
  <r>
    <x v="14"/>
    <x v="1"/>
    <x v="0"/>
    <s v="2540200"/>
    <n v="600050"/>
    <s v="Miscellaneous Revenue"/>
    <s v="Gen Surg-Bridgeport-Pod Surg"/>
    <x v="0"/>
    <m/>
    <n v="0"/>
    <n v="-840"/>
    <n v="-840"/>
    <n v="0"/>
    <n v="-1680"/>
    <n v="-840"/>
    <n v="-840"/>
    <n v="0"/>
    <n v="-840"/>
    <n v="-1680"/>
    <n v="-840"/>
    <n v="-840"/>
    <n v="-9240"/>
    <n v="0"/>
  </r>
  <r>
    <x v="5"/>
    <x v="1"/>
    <x v="0"/>
    <s v="2540200"/>
    <n v="700020"/>
    <s v="Salaries-Physician Admin-Other"/>
    <s v="Gen Surg-Bridgeport-Pod Surg"/>
    <x v="0"/>
    <n v="2000"/>
    <n v="0"/>
    <n v="840"/>
    <n v="840"/>
    <n v="0"/>
    <n v="1680"/>
    <n v="840"/>
    <n v="840"/>
    <n v="0"/>
    <n v="840"/>
    <n v="1680"/>
    <n v="840"/>
    <n v="840"/>
    <n v="9240"/>
    <n v="0"/>
  </r>
  <r>
    <x v="5"/>
    <x v="1"/>
    <x v="0"/>
    <s v="2540200"/>
    <n v="700022"/>
    <s v="Salaries-Physician-Productive"/>
    <s v="Gen Surg-Bridgeport-Pod Surg"/>
    <x v="0"/>
    <m/>
    <n v="8973.6"/>
    <n v="20784.75"/>
    <n v="17680.32"/>
    <n v="13751.36"/>
    <n v="24997.439999999999"/>
    <n v="14041.44"/>
    <n v="20376.57"/>
    <n v="19253.169999999998"/>
    <n v="19232.98"/>
    <n v="21156.25"/>
    <n v="21058.76"/>
    <n v="15441.09"/>
    <n v="216747.73000000004"/>
    <n v="5617.6699999999983"/>
  </r>
  <r>
    <x v="5"/>
    <x v="1"/>
    <x v="0"/>
    <s v="2540200"/>
    <n v="700026"/>
    <s v="Salaries-RN-Productive"/>
    <s v="Gen Surg-Bridgeport-Pod Surg"/>
    <x v="0"/>
    <m/>
    <n v="620.41"/>
    <n v="1840.36"/>
    <n v="6850.39"/>
    <n v="3921.1"/>
    <n v="8814.6"/>
    <n v="4853.76"/>
    <n v="4855.05"/>
    <n v="5478.23"/>
    <n v="5126.49"/>
    <n v="6516.03"/>
    <n v="6574.51"/>
    <n v="1343.41"/>
    <n v="56794.340000000004"/>
    <n v="5231.1000000000004"/>
  </r>
  <r>
    <x v="5"/>
    <x v="1"/>
    <x v="0"/>
    <s v="2540200"/>
    <n v="700026"/>
    <s v="Salaries-RN-OT"/>
    <s v="Gen Surg-Bridgeport-Pod Surg"/>
    <x v="0"/>
    <n v="1000"/>
    <n v="0"/>
    <n v="0"/>
    <n v="44.74"/>
    <n v="161.87"/>
    <n v="218.12"/>
    <n v="508.41"/>
    <n v="-16.89"/>
    <n v="107.82"/>
    <n v="554.25"/>
    <n v="-184.75"/>
    <n v="46.15"/>
    <n v="0"/>
    <n v="1439.7200000000003"/>
    <n v="46.15"/>
  </r>
  <r>
    <x v="5"/>
    <x v="1"/>
    <x v="0"/>
    <s v="2540200"/>
    <n v="700030"/>
    <s v="Salaries-LPN-Productive"/>
    <s v="Gen Surg-Bridgeport-Pod Surg"/>
    <x v="0"/>
    <m/>
    <n v="0"/>
    <n v="379.73"/>
    <n v="0"/>
    <n v="0"/>
    <n v="0"/>
    <n v="0"/>
    <n v="0"/>
    <n v="0"/>
    <n v="0"/>
    <n v="0"/>
    <n v="0"/>
    <n v="0"/>
    <n v="379.73"/>
    <n v="0"/>
  </r>
  <r>
    <x v="5"/>
    <x v="1"/>
    <x v="0"/>
    <s v="2540200"/>
    <n v="700032"/>
    <s v="Salaries-Other Pat Care Providers-Productive"/>
    <s v="Gen Surg-Bridgeport-Pod Surg"/>
    <x v="0"/>
    <m/>
    <n v="2704.92"/>
    <n v="-110.5"/>
    <n v="0"/>
    <n v="0"/>
    <n v="0"/>
    <n v="0"/>
    <n v="102.16"/>
    <n v="230.14"/>
    <n v="293.18"/>
    <n v="0"/>
    <n v="0"/>
    <n v="1987.1"/>
    <n v="5207"/>
    <n v="-1987.1"/>
  </r>
  <r>
    <x v="5"/>
    <x v="1"/>
    <x v="0"/>
    <s v="2540200"/>
    <n v="700032"/>
    <s v="Salaries-Other Pat Care Providers-OT"/>
    <s v="Gen Surg-Bridgeport-Pod Surg"/>
    <x v="0"/>
    <n v="1000"/>
    <n v="149"/>
    <n v="-24.83"/>
    <n v="0"/>
    <n v="0"/>
    <n v="0"/>
    <n v="0"/>
    <n v="0"/>
    <n v="0"/>
    <n v="0"/>
    <n v="0"/>
    <n v="0"/>
    <n v="0"/>
    <n v="124.17"/>
    <n v="0"/>
  </r>
  <r>
    <x v="5"/>
    <x v="1"/>
    <x v="0"/>
    <s v="2540200"/>
    <n v="700034"/>
    <s v="Salaries-Tech/Professional-Productive"/>
    <s v="Gen Surg-Bridgeport-Pod Surg"/>
    <x v="0"/>
    <m/>
    <n v="0"/>
    <n v="0"/>
    <n v="0"/>
    <n v="0"/>
    <n v="0"/>
    <n v="576.64"/>
    <n v="0"/>
    <n v="0"/>
    <n v="0"/>
    <n v="0"/>
    <n v="0"/>
    <n v="0"/>
    <n v="576.64"/>
    <n v="0"/>
  </r>
  <r>
    <x v="5"/>
    <x v="1"/>
    <x v="0"/>
    <s v="2540200"/>
    <n v="700054"/>
    <s v="Salaries-Management-NonProd-Other"/>
    <s v="Gen Surg-Bridgeport-Pod Surg"/>
    <x v="0"/>
    <n v="2000"/>
    <n v="0"/>
    <n v="0"/>
    <n v="0"/>
    <n v="0"/>
    <n v="0"/>
    <n v="22.01"/>
    <n v="-22.01"/>
    <n v="0"/>
    <n v="0"/>
    <n v="0"/>
    <n v="0"/>
    <n v="0"/>
    <n v="0"/>
    <n v="0"/>
  </r>
  <r>
    <x v="5"/>
    <x v="1"/>
    <x v="0"/>
    <s v="2540200"/>
    <n v="700062"/>
    <s v="Salaries-Physician-Non-productive"/>
    <s v="Gen Surg-Bridgeport-Pod Surg"/>
    <x v="0"/>
    <m/>
    <n v="11069.76"/>
    <n v="5485.44"/>
    <n v="1964.48"/>
    <n v="8840.16"/>
    <n v="-3928.96"/>
    <n v="6017.76"/>
    <n v="1626.65"/>
    <n v="0"/>
    <n v="961.65"/>
    <n v="0"/>
    <n v="0"/>
    <n v="2725.33"/>
    <n v="34762.270000000004"/>
    <n v="-2725.33"/>
  </r>
  <r>
    <x v="5"/>
    <x v="1"/>
    <x v="0"/>
    <s v="2540200"/>
    <n v="700066"/>
    <s v="Salaries-RN-Non-productive"/>
    <s v="Gen Surg-Bridgeport-Pod Surg"/>
    <x v="0"/>
    <m/>
    <n v="0"/>
    <n v="0"/>
    <n v="318.16000000000003"/>
    <n v="2949.12"/>
    <n v="-1310.72"/>
    <n v="1039.3599999999999"/>
    <n v="809.17"/>
    <n v="695.28"/>
    <n v="387.65"/>
    <n v="557.86"/>
    <n v="98.45"/>
    <n v="3445.67"/>
    <n v="8990"/>
    <n v="-3347.2200000000003"/>
  </r>
  <r>
    <x v="5"/>
    <x v="1"/>
    <x v="0"/>
    <s v="2540200"/>
    <n v="700066"/>
    <s v="Salaries-RN-NonProd-Other"/>
    <s v="Gen Surg-Bridgeport-Pod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40200"/>
    <n v="700072"/>
    <s v="Salaries-Other Pat Care Providers-Non-productive"/>
    <s v="Gen Surg-Bridgeport-Pod Surg"/>
    <x v="0"/>
    <m/>
    <n v="1630.08"/>
    <n v="0"/>
    <n v="0"/>
    <n v="0"/>
    <n v="0"/>
    <n v="0"/>
    <n v="0"/>
    <n v="0"/>
    <n v="0"/>
    <n v="0"/>
    <n v="0"/>
    <n v="0"/>
    <n v="1630.08"/>
    <n v="0"/>
  </r>
  <r>
    <x v="5"/>
    <x v="1"/>
    <x v="0"/>
    <s v="2540200"/>
    <n v="700084"/>
    <s v="Accrued PTO"/>
    <s v="Gen Surg-Bridgeport-Pod Surg"/>
    <x v="0"/>
    <m/>
    <n v="-1681.46"/>
    <n v="859.89"/>
    <n v="414.8"/>
    <n v="-841.5"/>
    <n v="745.88"/>
    <n v="115.5"/>
    <n v="-57.34"/>
    <n v="239.62"/>
    <n v="154.01"/>
    <n v="403.45"/>
    <n v="406.73"/>
    <n v="81.11"/>
    <n v="840.68999999999994"/>
    <n v="325.62"/>
  </r>
  <r>
    <x v="6"/>
    <x v="1"/>
    <x v="0"/>
    <s v="2540200"/>
    <n v="713010"/>
    <s v="Benefits-FICA/Medicare"/>
    <s v="Gen Surg-Bridgeport-Pod Surg"/>
    <x v="0"/>
    <m/>
    <n v="666.71"/>
    <n v="703.08"/>
    <n v="817.46"/>
    <n v="844.82"/>
    <n v="927.03"/>
    <n v="1489.1"/>
    <n v="2126.56"/>
    <n v="1919.19"/>
    <n v="2037.08"/>
    <n v="2209.33"/>
    <n v="2088.5"/>
    <n v="1809.82"/>
    <n v="17638.68"/>
    <n v="278.68000000000006"/>
  </r>
  <r>
    <x v="6"/>
    <x v="1"/>
    <x v="0"/>
    <s v="2540200"/>
    <n v="713090"/>
    <s v="Benefits-Allocated Amounts"/>
    <s v="Gen Surg-Bridgeport-Pod Surg"/>
    <x v="0"/>
    <m/>
    <n v="0"/>
    <n v="0"/>
    <n v="0"/>
    <n v="0"/>
    <n v="0"/>
    <n v="0"/>
    <n v="0"/>
    <n v="0"/>
    <n v="12817.43"/>
    <n v="1572.27"/>
    <n v="1483.26"/>
    <n v="1633.08"/>
    <n v="17506.04"/>
    <n v="-149.81999999999994"/>
  </r>
  <r>
    <x v="6"/>
    <x v="1"/>
    <x v="0"/>
    <s v="2540200"/>
    <n v="713092"/>
    <s v="Allocated Benefits-Physician"/>
    <s v="Gen Surg-Bridgeport-Pod Surg"/>
    <x v="0"/>
    <m/>
    <n v="2870.83"/>
    <n v="2249.5500000000002"/>
    <n v="2843.9"/>
    <n v="2804.61"/>
    <n v="2966.15"/>
    <n v="3012.04"/>
    <n v="3265.71"/>
    <n v="3308.63"/>
    <n v="-9293.39"/>
    <n v="1720.75"/>
    <n v="1623.36"/>
    <n v="1787.32"/>
    <n v="19159.460000000003"/>
    <n v="-163.96000000000004"/>
  </r>
  <r>
    <x v="7"/>
    <x v="1"/>
    <x v="0"/>
    <s v="2540200"/>
    <n v="718050"/>
    <s v="Contract Svcs-Other"/>
    <s v="Gen Surg-Bridgeport-Pod Surg"/>
    <x v="0"/>
    <m/>
    <n v="30.19"/>
    <n v="30.19"/>
    <n v="30.19"/>
    <n v="30.19"/>
    <n v="30.19"/>
    <n v="0"/>
    <n v="60.38"/>
    <n v="44.18"/>
    <n v="13.99"/>
    <n v="0"/>
    <n v="0"/>
    <n v="13.99"/>
    <n v="283.49"/>
    <n v="-13.99"/>
  </r>
  <r>
    <x v="7"/>
    <x v="1"/>
    <x v="0"/>
    <s v="2540200"/>
    <n v="718050"/>
    <s v="Translation Services"/>
    <s v="Gen Surg-Bridgeport-Pod Surg"/>
    <x v="0"/>
    <n v="1025"/>
    <n v="0"/>
    <n v="0"/>
    <n v="0"/>
    <n v="0"/>
    <n v="0"/>
    <n v="0"/>
    <n v="0"/>
    <n v="0"/>
    <n v="0"/>
    <n v="0"/>
    <n v="96"/>
    <n v="0"/>
    <n v="96"/>
    <n v="96"/>
  </r>
  <r>
    <x v="7"/>
    <x v="1"/>
    <x v="0"/>
    <s v="2540200"/>
    <n v="718050"/>
    <s v="Contract Management--Linen"/>
    <s v="Gen Surg-Bridgeport-Pod Surg"/>
    <x v="0"/>
    <n v="1026"/>
    <n v="47.18"/>
    <n v="0"/>
    <n v="0"/>
    <n v="32"/>
    <n v="0"/>
    <n v="0"/>
    <n v="0"/>
    <n v="0"/>
    <n v="0"/>
    <n v="0"/>
    <n v="0"/>
    <n v="0"/>
    <n v="79.180000000000007"/>
    <n v="0"/>
  </r>
  <r>
    <x v="11"/>
    <x v="1"/>
    <x v="0"/>
    <s v="2540200"/>
    <n v="721010"/>
    <s v="Supplies-Medical - Billable"/>
    <s v="Gen Surg-Bridgeport-Pod Surg"/>
    <x v="0"/>
    <m/>
    <n v="0"/>
    <n v="0"/>
    <n v="0"/>
    <n v="195.57"/>
    <n v="0"/>
    <n v="0"/>
    <n v="499.79"/>
    <n v="7.91"/>
    <n v="0"/>
    <n v="0"/>
    <n v="0"/>
    <n v="0"/>
    <n v="703.27"/>
    <n v="0"/>
  </r>
  <r>
    <x v="11"/>
    <x v="1"/>
    <x v="0"/>
    <s v="2540200"/>
    <n v="721250"/>
    <s v="Supplies-Pharmacy Drugs - Billable"/>
    <s v="Gen Surg-Bridgeport-Pod Surg"/>
    <x v="0"/>
    <m/>
    <n v="0"/>
    <n v="0"/>
    <n v="0"/>
    <n v="184.9"/>
    <n v="82.82"/>
    <n v="0"/>
    <n v="196.04"/>
    <n v="0"/>
    <n v="450.3"/>
    <n v="32.53"/>
    <n v="434.74"/>
    <n v="182.63"/>
    <n v="1563.96"/>
    <n v="252.11"/>
  </r>
  <r>
    <x v="11"/>
    <x v="1"/>
    <x v="0"/>
    <s v="2540200"/>
    <n v="721410"/>
    <s v="Supplies-Medical - Nonbillable"/>
    <s v="Gen Surg-Bridgeport-Pod Surg"/>
    <x v="0"/>
    <m/>
    <n v="223.49"/>
    <n v="153.88999999999999"/>
    <n v="0"/>
    <n v="1056.53"/>
    <n v="305.35000000000002"/>
    <n v="0"/>
    <n v="105.79"/>
    <n v="718.74"/>
    <n v="32.15"/>
    <n v="191.88"/>
    <n v="217.3"/>
    <n v="1024.77"/>
    <n v="4029.8900000000003"/>
    <n v="-807.47"/>
  </r>
  <r>
    <x v="11"/>
    <x v="1"/>
    <x v="0"/>
    <s v="2540200"/>
    <n v="722000"/>
    <s v="Supplies-Freight Expense"/>
    <s v="Gen Surg-Bridgeport-Pod Surg"/>
    <x v="0"/>
    <m/>
    <n v="0"/>
    <n v="0"/>
    <n v="0"/>
    <n v="0"/>
    <n v="0"/>
    <n v="0"/>
    <n v="0"/>
    <n v="0"/>
    <n v="0"/>
    <n v="9.82"/>
    <n v="0"/>
    <n v="0"/>
    <n v="9.82"/>
    <n v="0"/>
  </r>
  <r>
    <x v="12"/>
    <x v="1"/>
    <x v="0"/>
    <s v="2540200"/>
    <n v="730010"/>
    <s v="Rental and Leases-Building (DO NOT USE)"/>
    <s v="Gen Surg-Bridgeport-Pod Surg"/>
    <x v="0"/>
    <m/>
    <n v="1071.08"/>
    <n v="1071.08"/>
    <n v="1071.08"/>
    <n v="1071.08"/>
    <n v="1071.08"/>
    <n v="1204.97"/>
    <n v="1204.97"/>
    <n v="1204.97"/>
    <n v="1204.97"/>
    <n v="1204.97"/>
    <n v="1204.97"/>
    <n v="0"/>
    <n v="12585.219999999998"/>
    <n v="1204.97"/>
  </r>
  <r>
    <x v="12"/>
    <x v="1"/>
    <x v="0"/>
    <s v="2540200"/>
    <n v="730040"/>
    <s v="LT Lease-Real Estate"/>
    <s v="Gen Surg-Bridgeport-Pod Surg"/>
    <x v="0"/>
    <m/>
    <n v="0"/>
    <n v="0"/>
    <n v="0"/>
    <n v="0"/>
    <n v="0"/>
    <n v="0"/>
    <n v="0"/>
    <n v="0"/>
    <n v="0"/>
    <n v="0"/>
    <n v="0"/>
    <n v="1204.97"/>
    <n v="1204.97"/>
    <n v="-1204.97"/>
  </r>
  <r>
    <x v="0"/>
    <x v="1"/>
    <x v="0"/>
    <s v="2540200"/>
    <n v="740022"/>
    <s v="Education-Physician"/>
    <s v="Gen Surg-Bridgeport-Pod Surg"/>
    <x v="0"/>
    <m/>
    <n v="0"/>
    <n v="0"/>
    <n v="0"/>
    <n v="0"/>
    <n v="450"/>
    <n v="0"/>
    <n v="0"/>
    <n v="0"/>
    <n v="0"/>
    <n v="0"/>
    <n v="0"/>
    <n v="0"/>
    <n v="450"/>
    <n v="0"/>
  </r>
  <r>
    <x v="8"/>
    <x v="1"/>
    <x v="0"/>
    <s v="2540200"/>
    <n v="741012"/>
    <s v="Physician Liab Insurance-CHI Program"/>
    <s v="Gen Surg-Bridgeport-Pod Surg"/>
    <x v="0"/>
    <m/>
    <n v="1184.17"/>
    <n v="1184.17"/>
    <n v="1184.17"/>
    <n v="1184.17"/>
    <n v="1184.17"/>
    <n v="1184.1600000000001"/>
    <n v="1184.17"/>
    <n v="1184.1600000000001"/>
    <n v="1184.17"/>
    <n v="1184.1600000000001"/>
    <n v="1184.17"/>
    <n v="1184.1600000000001"/>
    <n v="14210"/>
    <n v="9.9999999999909051E-3"/>
  </r>
  <r>
    <x v="0"/>
    <x v="1"/>
    <x v="0"/>
    <s v="2540200"/>
    <n v="743022"/>
    <s v="Dues-Physician"/>
    <s v="Gen Surg-Bridgeport-Pod Surg"/>
    <x v="0"/>
    <m/>
    <n v="0"/>
    <n v="0"/>
    <n v="0"/>
    <n v="0"/>
    <n v="0"/>
    <n v="0"/>
    <n v="0"/>
    <n v="610"/>
    <n v="0"/>
    <n v="0"/>
    <n v="0"/>
    <n v="1800"/>
    <n v="2410"/>
    <n v="-1800"/>
  </r>
  <r>
    <x v="0"/>
    <x v="1"/>
    <x v="0"/>
    <s v="2540200"/>
    <n v="749510"/>
    <s v="Miscellaneous Expenses"/>
    <s v="Gen Surg-Bridgeport-Pod Surg"/>
    <x v="0"/>
    <m/>
    <n v="0"/>
    <n v="0"/>
    <n v="0"/>
    <n v="3000"/>
    <n v="-3000"/>
    <n v="0"/>
    <n v="610"/>
    <n v="-610"/>
    <n v="0"/>
    <n v="0"/>
    <n v="0"/>
    <n v="0"/>
    <n v="0"/>
    <n v="0"/>
  </r>
  <r>
    <x v="0"/>
    <x v="1"/>
    <x v="0"/>
    <s v="2540200"/>
    <n v="749510"/>
    <s v="Licenses"/>
    <s v="Gen Surg-Bridgeport-Pod Surg"/>
    <x v="0"/>
    <n v="1002"/>
    <n v="0"/>
    <n v="0"/>
    <n v="0"/>
    <n v="0"/>
    <n v="0"/>
    <n v="0"/>
    <n v="0"/>
    <n v="0"/>
    <n v="0"/>
    <n v="0"/>
    <n v="120"/>
    <n v="0"/>
    <n v="120"/>
    <n v="120"/>
  </r>
  <r>
    <x v="0"/>
    <x v="1"/>
    <x v="0"/>
    <s v="2540200"/>
    <n v="749512"/>
    <s v="Licenses-Physician"/>
    <s v="Gen Surg-Bridgeport-Pod Surg"/>
    <x v="0"/>
    <n v="2000"/>
    <n v="0"/>
    <n v="0"/>
    <n v="0"/>
    <n v="718.5"/>
    <n v="0"/>
    <n v="0"/>
    <n v="0"/>
    <n v="0"/>
    <n v="0"/>
    <n v="0"/>
    <n v="0"/>
    <n v="0"/>
    <n v="718.5"/>
    <n v="0"/>
  </r>
  <r>
    <x v="0"/>
    <x v="1"/>
    <x v="0"/>
    <s v="2540200"/>
    <n v="749532"/>
    <s v="Travel-Physician"/>
    <s v="Gen Surg-Bridgeport-Pod Surg"/>
    <x v="0"/>
    <m/>
    <n v="0"/>
    <n v="0"/>
    <n v="0"/>
    <n v="0"/>
    <n v="2550"/>
    <n v="0"/>
    <n v="0"/>
    <n v="0"/>
    <n v="0"/>
    <n v="0"/>
    <n v="0"/>
    <n v="0"/>
    <n v="2550"/>
    <n v="0"/>
  </r>
  <r>
    <x v="1"/>
    <x v="1"/>
    <x v="0"/>
    <s v="2541200"/>
    <n v="400040"/>
    <s v="Physician Svcs Rev--Managed Care"/>
    <s v="Breast Surg-FW-Breast Surg"/>
    <x v="0"/>
    <n v="1400"/>
    <n v="0"/>
    <n v="0"/>
    <n v="0"/>
    <n v="0"/>
    <n v="589"/>
    <n v="0"/>
    <n v="0"/>
    <n v="0"/>
    <n v="0"/>
    <n v="0"/>
    <n v="0"/>
    <n v="0"/>
    <n v="589"/>
    <n v="0"/>
  </r>
  <r>
    <x v="2"/>
    <x v="1"/>
    <x v="0"/>
    <s v="2541200"/>
    <n v="450040"/>
    <s v="Contr Allow--Phys Svcs--BCBS Mgnd Care"/>
    <s v="Breast Surg-FW-Breast Surg"/>
    <x v="0"/>
    <n v="1401"/>
    <n v="-1.22"/>
    <n v="0.18"/>
    <n v="2.5299999999999998"/>
    <n v="-2.4900000000000002"/>
    <n v="-300.83"/>
    <n v="0"/>
    <n v="0"/>
    <n v="0"/>
    <n v="0"/>
    <n v="0"/>
    <n v="0"/>
    <n v="0"/>
    <n v="-301.83"/>
    <n v="0"/>
  </r>
  <r>
    <x v="3"/>
    <x v="1"/>
    <x v="0"/>
    <s v="2541200"/>
    <n v="470040"/>
    <s v="Charity Care-Physician Svcs"/>
    <s v="Breast Surg-FW-Breast Surg"/>
    <x v="0"/>
    <m/>
    <n v="-0.82"/>
    <n v="2.09"/>
    <n v="-0.79"/>
    <n v="-0.19"/>
    <n v="-10.33"/>
    <n v="0"/>
    <n v="0"/>
    <n v="0"/>
    <n v="0"/>
    <n v="0"/>
    <n v="0"/>
    <n v="0"/>
    <n v="-10.040000000000001"/>
    <n v="0"/>
  </r>
  <r>
    <x v="4"/>
    <x v="1"/>
    <x v="0"/>
    <s v="2541200"/>
    <n v="490010"/>
    <s v="Provision for Bad Debts"/>
    <s v="Breast Surg-FW-Breast Surg"/>
    <x v="0"/>
    <m/>
    <n v="0.8"/>
    <n v="-0.64"/>
    <n v="-1.45"/>
    <n v="-3.76"/>
    <n v="-37.15"/>
    <n v="0"/>
    <n v="0"/>
    <n v="0"/>
    <n v="0"/>
    <n v="0"/>
    <n v="0"/>
    <n v="0"/>
    <n v="-42.199999999999996"/>
    <n v="0"/>
  </r>
  <r>
    <x v="5"/>
    <x v="1"/>
    <x v="0"/>
    <s v="2541200"/>
    <n v="700030"/>
    <s v="Salaries-LPN-Productive"/>
    <s v="Breast Surg-FW-Breast Surg"/>
    <x v="0"/>
    <m/>
    <n v="4305.2299999999996"/>
    <n v="4814.6000000000004"/>
    <n v="3987.42"/>
    <n v="4619"/>
    <n v="4692.24"/>
    <n v="3519.86"/>
    <n v="4870.4399999999996"/>
    <n v="3896.71"/>
    <n v="3983.27"/>
    <n v="4843.3900000000003"/>
    <n v="4864.01"/>
    <n v="3819.76"/>
    <n v="52215.93"/>
    <n v="1044.25"/>
  </r>
  <r>
    <x v="5"/>
    <x v="1"/>
    <x v="0"/>
    <s v="2541200"/>
    <n v="700030"/>
    <s v="Salaries-LPN-OT"/>
    <s v="Breast Surg-FW-Breast Surg"/>
    <x v="0"/>
    <n v="1000"/>
    <n v="19.89"/>
    <n v="58.77"/>
    <n v="40.08"/>
    <n v="54.19"/>
    <n v="8.24"/>
    <n v="66.88"/>
    <n v="99.97"/>
    <n v="2.06"/>
    <n v="104.09"/>
    <n v="104.08"/>
    <n v="117.49"/>
    <n v="20.62"/>
    <n v="696.36"/>
    <n v="96.86999999999999"/>
  </r>
  <r>
    <x v="5"/>
    <x v="1"/>
    <x v="0"/>
    <s v="2541200"/>
    <n v="700070"/>
    <s v="Salaries-LPN-Non-productive"/>
    <s v="Breast Surg-FW-Breast Surg"/>
    <x v="0"/>
    <m/>
    <n v="387.05"/>
    <n v="182.92"/>
    <n v="212.08"/>
    <n v="145.81"/>
    <n v="219.52"/>
    <n v="1059.18"/>
    <n v="175.94"/>
    <n v="500.11"/>
    <n v="612.82000000000005"/>
    <n v="0"/>
    <n v="192.36"/>
    <n v="632.04"/>
    <n v="4319.8300000000008"/>
    <n v="-439.67999999999995"/>
  </r>
  <r>
    <x v="5"/>
    <x v="1"/>
    <x v="0"/>
    <s v="2541200"/>
    <n v="700084"/>
    <s v="Accrued PTO"/>
    <s v="Breast Surg-FW-Breast Surg"/>
    <x v="0"/>
    <m/>
    <n v="153.59"/>
    <n v="323.42"/>
    <n v="263.25"/>
    <n v="411.71"/>
    <n v="270.01"/>
    <n v="-279.06"/>
    <n v="275.49"/>
    <n v="78.760000000000005"/>
    <n v="-206.08"/>
    <n v="495.84"/>
    <n v="305.95999999999998"/>
    <n v="115.8"/>
    <n v="2208.69"/>
    <n v="190.15999999999997"/>
  </r>
  <r>
    <x v="6"/>
    <x v="1"/>
    <x v="0"/>
    <s v="2541200"/>
    <n v="713010"/>
    <s v="Benefits-FICA/Medicare"/>
    <s v="Breast Surg-FW-Breast Surg"/>
    <x v="0"/>
    <m/>
    <n v="338.85"/>
    <n v="364.22"/>
    <n v="304.66000000000003"/>
    <n v="346.05"/>
    <n v="354.75"/>
    <n v="334.66"/>
    <n v="370.26"/>
    <n v="316.18"/>
    <n v="338.18"/>
    <n v="356.09"/>
    <n v="372.4"/>
    <n v="321.77999999999997"/>
    <n v="4118.08"/>
    <n v="50.620000000000005"/>
  </r>
  <r>
    <x v="6"/>
    <x v="1"/>
    <x v="0"/>
    <s v="2541200"/>
    <n v="713090"/>
    <s v="Benefits-Allocated Amounts"/>
    <s v="Breast Surg-FW-Breast Surg"/>
    <x v="0"/>
    <m/>
    <n v="1132.27"/>
    <n v="1088.8"/>
    <n v="1068.49"/>
    <n v="1149.04"/>
    <n v="1127.1600000000001"/>
    <n v="1161.8499999999999"/>
    <n v="1341.66"/>
    <n v="1252.1300000000001"/>
    <n v="1058.2"/>
    <n v="1244.3699999999999"/>
    <n v="1227.3800000000001"/>
    <n v="1220.43"/>
    <n v="14071.779999999999"/>
    <n v="6.9500000000000455"/>
  </r>
  <r>
    <x v="0"/>
    <x v="1"/>
    <x v="0"/>
    <s v="2541200"/>
    <n v="749530"/>
    <s v="Travel"/>
    <s v="Breast Surg-FW-Breast Surg"/>
    <x v="0"/>
    <m/>
    <n v="0"/>
    <n v="0"/>
    <n v="0"/>
    <n v="0"/>
    <n v="0"/>
    <n v="0"/>
    <n v="0"/>
    <n v="0"/>
    <n v="0"/>
    <n v="1399.69"/>
    <n v="0"/>
    <n v="0"/>
    <n v="1399.69"/>
    <n v="0"/>
  </r>
  <r>
    <x v="1"/>
    <x v="1"/>
    <x v="0"/>
    <s v="2542200"/>
    <n v="400029"/>
    <s v="MD Practice Other Rev--Medicare"/>
    <s v="Maternal Fetal Med-MFM"/>
    <x v="0"/>
    <n v="1100"/>
    <n v="-3178"/>
    <n v="-3008"/>
    <n v="-2167"/>
    <n v="-4232"/>
    <n v="-4065"/>
    <n v="-2633"/>
    <n v="-1484"/>
    <n v="-3207"/>
    <n v="-1933"/>
    <n v="-853"/>
    <n v="-2121"/>
    <n v="-2512"/>
    <n v="-31393"/>
    <n v="391"/>
  </r>
  <r>
    <x v="1"/>
    <x v="1"/>
    <x v="0"/>
    <s v="2542200"/>
    <n v="400029"/>
    <s v="MD Practice Other Rev--Medicaid"/>
    <s v="Maternal Fetal Med-MFM"/>
    <x v="0"/>
    <n v="1200"/>
    <n v="-341576"/>
    <n v="-354705"/>
    <n v="-257212"/>
    <n v="-315648"/>
    <n v="-276330"/>
    <n v="-230337"/>
    <n v="-376845"/>
    <n v="-322913"/>
    <n v="-334671"/>
    <n v="-343274"/>
    <n v="-352550"/>
    <n v="-337914"/>
    <n v="-3843975"/>
    <n v="-14636"/>
  </r>
  <r>
    <x v="1"/>
    <x v="1"/>
    <x v="0"/>
    <s v="2542200"/>
    <n v="400029"/>
    <s v="MD Practice Other Rev--Comm Insurance"/>
    <s v="Maternal Fetal Med-MFM"/>
    <x v="0"/>
    <n v="1300"/>
    <n v="-23433"/>
    <n v="-26020"/>
    <n v="-19826"/>
    <n v="-27978"/>
    <n v="-19661"/>
    <n v="-19710"/>
    <n v="-25765"/>
    <n v="-19424"/>
    <n v="-17717"/>
    <n v="-26329"/>
    <n v="-22224"/>
    <n v="-15800"/>
    <n v="-263887"/>
    <n v="-6424"/>
  </r>
  <r>
    <x v="1"/>
    <x v="1"/>
    <x v="0"/>
    <s v="2542200"/>
    <n v="400029"/>
    <s v="MD Practice Other Rev--BCBS Comm"/>
    <s v="Maternal Fetal Med-MFM"/>
    <x v="0"/>
    <n v="1301"/>
    <n v="-89458"/>
    <n v="-71784"/>
    <n v="-58140"/>
    <n v="-74122"/>
    <n v="-66788"/>
    <n v="-45696"/>
    <n v="-90569"/>
    <n v="-66340"/>
    <n v="-66670"/>
    <n v="-63682"/>
    <n v="-72089"/>
    <n v="-76764"/>
    <n v="-842102"/>
    <n v="4675"/>
  </r>
  <r>
    <x v="1"/>
    <x v="1"/>
    <x v="0"/>
    <s v="2542200"/>
    <n v="400029"/>
    <s v="MD Practice Other Rev--Managed Care"/>
    <s v="Maternal Fetal Med-MFM"/>
    <x v="0"/>
    <n v="1400"/>
    <n v="-258667"/>
    <n v="-280204"/>
    <n v="-242446"/>
    <n v="-255994"/>
    <n v="-256382"/>
    <n v="-249350"/>
    <n v="-282501"/>
    <n v="-208583"/>
    <n v="-234087"/>
    <n v="-274237"/>
    <n v="-284916"/>
    <n v="-236220"/>
    <n v="-3063587"/>
    <n v="-48696"/>
  </r>
  <r>
    <x v="1"/>
    <x v="1"/>
    <x v="0"/>
    <s v="2542200"/>
    <n v="400029"/>
    <s v="MD Practice Other Rev--Self Pay"/>
    <s v="Maternal Fetal Med-MFM"/>
    <x v="0"/>
    <n v="1500"/>
    <n v="-6304"/>
    <n v="-7508"/>
    <n v="-11112"/>
    <n v="-6940"/>
    <n v="-13170"/>
    <n v="-9864"/>
    <n v="-10927"/>
    <n v="-8281"/>
    <n v="-5226"/>
    <n v="-5473"/>
    <n v="-9288"/>
    <n v="-6072"/>
    <n v="-100165"/>
    <n v="-3216"/>
  </r>
  <r>
    <x v="1"/>
    <x v="1"/>
    <x v="0"/>
    <s v="2542200"/>
    <n v="400029"/>
    <s v="MD Practice Other Rev--Other"/>
    <s v="Maternal Fetal Med-MFM"/>
    <x v="0"/>
    <n v="1700"/>
    <n v="-31719"/>
    <n v="-44759"/>
    <n v="-33280"/>
    <n v="-39498"/>
    <n v="-40849"/>
    <n v="-38119"/>
    <n v="-50270"/>
    <n v="-34215"/>
    <n v="-39568"/>
    <n v="-49104"/>
    <n v="-39101"/>
    <n v="-43601"/>
    <n v="-484083"/>
    <n v="4500"/>
  </r>
  <r>
    <x v="1"/>
    <x v="1"/>
    <x v="0"/>
    <s v="2542200"/>
    <n v="400040"/>
    <s v="Physician Svcs Rev--Medicare"/>
    <s v="Maternal Fetal Med-MFM"/>
    <x v="0"/>
    <n v="1100"/>
    <n v="-2091"/>
    <n v="-2879"/>
    <n v="-642"/>
    <n v="-1664"/>
    <n v="-1536"/>
    <n v="-1376"/>
    <n v="-200"/>
    <n v="-1756"/>
    <n v="-2793"/>
    <n v="-4703"/>
    <n v="-624"/>
    <n v="-1015"/>
    <n v="-21279"/>
    <n v="391"/>
  </r>
  <r>
    <x v="1"/>
    <x v="1"/>
    <x v="0"/>
    <s v="2542200"/>
    <n v="400040"/>
    <s v="Physician Svcs Rev--Medicaid"/>
    <s v="Maternal Fetal Med-MFM"/>
    <x v="0"/>
    <n v="1200"/>
    <n v="-143633"/>
    <n v="-151115"/>
    <n v="-107380"/>
    <n v="-136686.75"/>
    <n v="-111043"/>
    <n v="-81586"/>
    <n v="-153326"/>
    <n v="-134358"/>
    <n v="-133615"/>
    <n v="-141332"/>
    <n v="-144852"/>
    <n v="-145768"/>
    <n v="-1584694.75"/>
    <n v="916"/>
  </r>
  <r>
    <x v="1"/>
    <x v="1"/>
    <x v="0"/>
    <s v="2542200"/>
    <n v="400040"/>
    <s v="Physician Svcs Rev--Comm Insurance"/>
    <s v="Maternal Fetal Med-MFM"/>
    <x v="0"/>
    <n v="1300"/>
    <n v="-10694.6"/>
    <n v="-13054"/>
    <n v="-4992"/>
    <n v="-11088"/>
    <n v="-5420"/>
    <n v="-4828"/>
    <n v="-11708"/>
    <n v="-4773"/>
    <n v="-11114"/>
    <n v="-9441"/>
    <n v="-7802"/>
    <n v="-4790"/>
    <n v="-99704.6"/>
    <n v="-3012"/>
  </r>
  <r>
    <x v="1"/>
    <x v="1"/>
    <x v="0"/>
    <s v="2542200"/>
    <n v="400040"/>
    <s v="Physician Svcs Rev--BCBS Comm"/>
    <s v="Maternal Fetal Med-MFM"/>
    <x v="0"/>
    <n v="1301"/>
    <n v="-34124"/>
    <n v="-27162"/>
    <n v="-25440"/>
    <n v="-27045"/>
    <n v="-22847"/>
    <n v="-19014"/>
    <n v="-47803"/>
    <n v="-24737"/>
    <n v="-36352.75"/>
    <n v="-28196"/>
    <n v="-29181"/>
    <n v="-36693"/>
    <n v="-358594.75"/>
    <n v="7512"/>
  </r>
  <r>
    <x v="1"/>
    <x v="1"/>
    <x v="0"/>
    <s v="2542200"/>
    <n v="400040"/>
    <s v="Physician Svcs Rev--Managed Care"/>
    <s v="Maternal Fetal Med-MFM"/>
    <x v="0"/>
    <n v="1400"/>
    <n v="-115392.75"/>
    <n v="-132194"/>
    <n v="-104893"/>
    <n v="-105428"/>
    <n v="-116283"/>
    <n v="-94546"/>
    <n v="-124743"/>
    <n v="-112665"/>
    <n v="-110639"/>
    <n v="-110291"/>
    <n v="-132052"/>
    <n v="-92335"/>
    <n v="-1351461.75"/>
    <n v="-39717"/>
  </r>
  <r>
    <x v="1"/>
    <x v="1"/>
    <x v="0"/>
    <s v="2542200"/>
    <n v="400040"/>
    <s v="Physician Svcs Rev--Self Pay"/>
    <s v="Maternal Fetal Med-MFM"/>
    <x v="0"/>
    <n v="1500"/>
    <n v="-3970"/>
    <n v="-4503"/>
    <n v="-2760"/>
    <n v="-2251"/>
    <n v="-3510"/>
    <n v="-4848"/>
    <n v="-3573"/>
    <n v="-2423"/>
    <n v="-1108"/>
    <n v="-2309"/>
    <n v="-2419"/>
    <n v="-1077"/>
    <n v="-34751"/>
    <n v="-1342"/>
  </r>
  <r>
    <x v="1"/>
    <x v="1"/>
    <x v="0"/>
    <s v="2542200"/>
    <n v="400040"/>
    <s v="Physician Svcs Rev--Other"/>
    <s v="Maternal Fetal Med-MFM"/>
    <x v="0"/>
    <n v="1700"/>
    <n v="-15253"/>
    <n v="-18291"/>
    <n v="-14974"/>
    <n v="-15218"/>
    <n v="-14543"/>
    <n v="-16771"/>
    <n v="-19199"/>
    <n v="-21337"/>
    <n v="-21227"/>
    <n v="-18408"/>
    <n v="-16083"/>
    <n v="-15553"/>
    <n v="-206857"/>
    <n v="-530"/>
  </r>
  <r>
    <x v="2"/>
    <x v="1"/>
    <x v="0"/>
    <s v="2542200"/>
    <n v="450029"/>
    <s v="Contr Allow--MD Other-Medicare"/>
    <s v="Maternal Fetal Med-MFM"/>
    <x v="0"/>
    <n v="1100"/>
    <n v="1072.07"/>
    <n v="2607.65"/>
    <n v="581.17999999999995"/>
    <n v="1724.45"/>
    <n v="3192.11"/>
    <n v="3612.16"/>
    <n v="1267.2"/>
    <n v="1395.06"/>
    <n v="1343.56"/>
    <n v="1323.83"/>
    <n v="1242.3"/>
    <n v="1467"/>
    <n v="20828.570000000003"/>
    <n v="-224.70000000000005"/>
  </r>
  <r>
    <x v="2"/>
    <x v="1"/>
    <x v="0"/>
    <s v="2542200"/>
    <n v="450029"/>
    <s v="Contr Allow--MD Other-Medicaid"/>
    <s v="Maternal Fetal Med-MFM"/>
    <x v="0"/>
    <n v="1200"/>
    <n v="196375.4"/>
    <n v="297908.8"/>
    <n v="239869.34"/>
    <n v="227181.77"/>
    <n v="230893.03"/>
    <n v="175196.38"/>
    <n v="193191.58"/>
    <n v="259990.09"/>
    <n v="259764.54"/>
    <n v="240360.92"/>
    <n v="262859.99"/>
    <n v="243549.57"/>
    <n v="2827141.4099999997"/>
    <n v="19310.419999999984"/>
  </r>
  <r>
    <x v="2"/>
    <x v="1"/>
    <x v="0"/>
    <s v="2542200"/>
    <n v="450029"/>
    <s v="Contr Allow--MD Other-Comm Insurance"/>
    <s v="Maternal Fetal Med-MFM"/>
    <x v="0"/>
    <n v="1300"/>
    <n v="10206.89"/>
    <n v="10628.65"/>
    <n v="13434.68"/>
    <n v="9686.34"/>
    <n v="10648.49"/>
    <n v="6616.91"/>
    <n v="7156.51"/>
    <n v="7095.22"/>
    <n v="8021.34"/>
    <n v="7996.31"/>
    <n v="7061.09"/>
    <n v="8723.6200000000008"/>
    <n v="107276.04999999997"/>
    <n v="-1662.5300000000007"/>
  </r>
  <r>
    <x v="2"/>
    <x v="1"/>
    <x v="0"/>
    <s v="2542200"/>
    <n v="450029"/>
    <s v="Contr Allow--MD Other BCBS Comm"/>
    <s v="Maternal Fetal Med-MFM"/>
    <x v="0"/>
    <n v="1301"/>
    <n v="23978.33"/>
    <n v="26211.02"/>
    <n v="22336.29"/>
    <n v="14568.12"/>
    <n v="22263.07"/>
    <n v="12509.66"/>
    <n v="16998.25"/>
    <n v="17800.03"/>
    <n v="23571.62"/>
    <n v="16819.16"/>
    <n v="21123.53"/>
    <n v="27733.49"/>
    <n v="245912.57"/>
    <n v="-6609.9600000000028"/>
  </r>
  <r>
    <x v="2"/>
    <x v="1"/>
    <x v="0"/>
    <s v="2542200"/>
    <n v="450029"/>
    <s v="Contr Allow--MD Other-Managed Care"/>
    <s v="Maternal Fetal Med-MFM"/>
    <x v="0"/>
    <n v="1400"/>
    <n v="85124.61"/>
    <n v="109152.58"/>
    <n v="91072.48"/>
    <n v="86472.98"/>
    <n v="100008.94"/>
    <n v="79660.3"/>
    <n v="78434.36"/>
    <n v="94134.07"/>
    <n v="88394.48"/>
    <n v="76853.14"/>
    <n v="105982.75"/>
    <n v="88789.84"/>
    <n v="1084080.53"/>
    <n v="17192.910000000003"/>
  </r>
  <r>
    <x v="2"/>
    <x v="1"/>
    <x v="0"/>
    <s v="2542200"/>
    <n v="450029"/>
    <s v="Prompt Pay Disc-MD Other-Self Pay"/>
    <s v="Maternal Fetal Med-MFM"/>
    <x v="0"/>
    <n v="1500"/>
    <n v="198.28"/>
    <n v="0"/>
    <n v="0"/>
    <n v="0"/>
    <n v="0"/>
    <n v="0"/>
    <n v="0"/>
    <n v="0"/>
    <n v="0"/>
    <n v="0"/>
    <n v="0"/>
    <n v="0"/>
    <n v="198.28"/>
    <n v="0"/>
  </r>
  <r>
    <x v="2"/>
    <x v="1"/>
    <x v="0"/>
    <s v="2542200"/>
    <n v="450029"/>
    <s v="Admin Adjust-MD Other-Self Pay"/>
    <s v="Maternal Fetal Med-MFM"/>
    <x v="0"/>
    <n v="1600"/>
    <n v="1903.47"/>
    <n v="475.74"/>
    <n v="6845.62"/>
    <n v="4883.72"/>
    <n v="6887.84"/>
    <n v="4232.8500000000004"/>
    <n v="5059.97"/>
    <n v="3933.52"/>
    <n v="2825.18"/>
    <n v="2004.87"/>
    <n v="4820.79"/>
    <n v="3399.52"/>
    <n v="47273.09"/>
    <n v="1421.27"/>
  </r>
  <r>
    <x v="2"/>
    <x v="1"/>
    <x v="0"/>
    <s v="2542200"/>
    <n v="450029"/>
    <s v="Contr Allow--MD Other-Other"/>
    <s v="Maternal Fetal Med-MFM"/>
    <x v="0"/>
    <n v="1700"/>
    <n v="25687.65"/>
    <n v="25844.37"/>
    <n v="21205.59"/>
    <n v="28209.98"/>
    <n v="22082.43"/>
    <n v="16889.150000000001"/>
    <n v="28381.38"/>
    <n v="23599.54"/>
    <n v="25787.34"/>
    <n v="33447.19"/>
    <n v="28002.41"/>
    <n v="20714.27"/>
    <n v="299851.3"/>
    <n v="7288.1399999999994"/>
  </r>
  <r>
    <x v="2"/>
    <x v="1"/>
    <x v="0"/>
    <s v="2542200"/>
    <n v="450040"/>
    <s v="Contr Allow--Phys Svcs--Mcare"/>
    <s v="Maternal Fetal Med-MFM"/>
    <x v="0"/>
    <n v="1100"/>
    <n v="312.45"/>
    <n v="2191.6"/>
    <n v="589.59"/>
    <n v="875"/>
    <n v="1135.96"/>
    <n v="1601.25"/>
    <n v="122.62"/>
    <n v="1404.77"/>
    <n v="2121.94"/>
    <n v="3156.21"/>
    <n v="1081.17"/>
    <n v="609.73"/>
    <n v="15202.289999999999"/>
    <n v="471.44000000000005"/>
  </r>
  <r>
    <x v="2"/>
    <x v="1"/>
    <x v="0"/>
    <s v="2542200"/>
    <n v="450040"/>
    <s v="Contr Allow--Phys Svcs--Mcaid"/>
    <s v="Maternal Fetal Med-MFM"/>
    <x v="0"/>
    <n v="1200"/>
    <n v="88869.81"/>
    <n v="124439.88"/>
    <n v="101644.46"/>
    <n v="88412.34"/>
    <n v="106861.06"/>
    <n v="78442.42"/>
    <n v="78849.039999999994"/>
    <n v="107614.7"/>
    <n v="106484.91"/>
    <n v="102584.62"/>
    <n v="108737.19"/>
    <n v="97152.52"/>
    <n v="1190092.95"/>
    <n v="11584.669999999998"/>
  </r>
  <r>
    <x v="2"/>
    <x v="1"/>
    <x v="0"/>
    <s v="2542200"/>
    <n v="450040"/>
    <s v="Contr Allow--Phys Svcs--Comm Insurance"/>
    <s v="Maternal Fetal Med-MFM"/>
    <x v="0"/>
    <n v="1300"/>
    <n v="4058.48"/>
    <n v="6404.38"/>
    <n v="3966.9"/>
    <n v="4213.6499999999996"/>
    <n v="2753.23"/>
    <n v="2223.08"/>
    <n v="2810.67"/>
    <n v="3682.97"/>
    <n v="1382.47"/>
    <n v="4164.49"/>
    <n v="3001.13"/>
    <n v="2436.67"/>
    <n v="41098.119999999995"/>
    <n v="564.46"/>
  </r>
  <r>
    <x v="2"/>
    <x v="1"/>
    <x v="0"/>
    <s v="2542200"/>
    <n v="450040"/>
    <s v="Contr Allow--Phys Svcs--BCBS Comm Ins"/>
    <s v="Maternal Fetal Med-MFM"/>
    <x v="0"/>
    <n v="1301"/>
    <n v="9309.7099999999991"/>
    <n v="9313.08"/>
    <n v="9505.64"/>
    <n v="5855.63"/>
    <n v="7617.46"/>
    <n v="4165.0600000000004"/>
    <n v="7694.65"/>
    <n v="8129.01"/>
    <n v="8415.5300000000007"/>
    <n v="7803.22"/>
    <n v="11006.08"/>
    <n v="10501.66"/>
    <n v="99316.73000000001"/>
    <n v="504.42000000000007"/>
  </r>
  <r>
    <x v="2"/>
    <x v="1"/>
    <x v="0"/>
    <s v="2542200"/>
    <n v="450040"/>
    <s v="Contr Allow--Phys Svcs--Managed Care"/>
    <s v="Maternal Fetal Med-MFM"/>
    <x v="0"/>
    <n v="1400"/>
    <n v="45681.86"/>
    <n v="45270.400000000001"/>
    <n v="39210.93"/>
    <n v="35972.519999999997"/>
    <n v="45126.75"/>
    <n v="32323.53"/>
    <n v="34924.21"/>
    <n v="40057.17"/>
    <n v="40243.83"/>
    <n v="37334.47"/>
    <n v="48936.33"/>
    <n v="40398.230000000003"/>
    <n v="485480.23000000004"/>
    <n v="8538.0999999999985"/>
  </r>
  <r>
    <x v="2"/>
    <x v="1"/>
    <x v="0"/>
    <s v="2542200"/>
    <n v="450040"/>
    <s v="Contr Allow--Phys Svcs--BCBS Mgnd Care"/>
    <s v="Maternal Fetal Med-MFM"/>
    <x v="0"/>
    <n v="1401"/>
    <n v="59034.25"/>
    <n v="-40783.94"/>
    <n v="-65537.09"/>
    <n v="27408.37"/>
    <n v="-49678.99"/>
    <n v="16057.74"/>
    <n v="187449.65"/>
    <n v="-21676.59"/>
    <n v="-18704.45"/>
    <n v="28986.71"/>
    <n v="15160.71"/>
    <n v="-4553.7299999999996"/>
    <n v="133162.63999999998"/>
    <n v="19714.439999999999"/>
  </r>
  <r>
    <x v="2"/>
    <x v="1"/>
    <x v="0"/>
    <s v="2542200"/>
    <n v="450040"/>
    <s v="Prompt Pay Disc-Phys Svcs-Self Pay"/>
    <s v="Maternal Fetal Med-MFM"/>
    <x v="0"/>
    <n v="1500"/>
    <n v="98.11"/>
    <n v="0"/>
    <n v="0"/>
    <n v="0"/>
    <n v="0"/>
    <n v="0"/>
    <n v="0"/>
    <n v="0"/>
    <n v="0"/>
    <n v="0"/>
    <n v="0"/>
    <n v="0"/>
    <n v="98.11"/>
    <n v="0"/>
  </r>
  <r>
    <x v="2"/>
    <x v="1"/>
    <x v="0"/>
    <s v="2542200"/>
    <n v="450040"/>
    <s v="Admin Adjust-Phys Svcs-Self Pay"/>
    <s v="Maternal Fetal Med-MFM"/>
    <x v="0"/>
    <n v="1600"/>
    <n v="-10832.43"/>
    <n v="866.3"/>
    <n v="4863.72"/>
    <n v="2469.39"/>
    <n v="1775.01"/>
    <n v="2140.2800000000002"/>
    <n v="1999.65"/>
    <n v="1089.42"/>
    <n v="-1634.51"/>
    <n v="1647.06"/>
    <n v="1572.16"/>
    <n v="684.37"/>
    <n v="6640.4199999999992"/>
    <n v="887.79000000000008"/>
  </r>
  <r>
    <x v="2"/>
    <x v="1"/>
    <x v="0"/>
    <s v="2542200"/>
    <n v="450040"/>
    <s v="Contr Allow--Phys Svcs--Other"/>
    <s v="Maternal Fetal Med-MFM"/>
    <x v="0"/>
    <n v="1700"/>
    <n v="11978.61"/>
    <n v="13404.41"/>
    <n v="10613.94"/>
    <n v="12882.29"/>
    <n v="8041.21"/>
    <n v="6060.34"/>
    <n v="8583.6200000000008"/>
    <n v="9069.84"/>
    <n v="8649.5300000000007"/>
    <n v="21241.07"/>
    <n v="11195.53"/>
    <n v="7679.08"/>
    <n v="129399.46999999999"/>
    <n v="3516.4500000000007"/>
  </r>
  <r>
    <x v="3"/>
    <x v="1"/>
    <x v="0"/>
    <s v="2542200"/>
    <n v="470040"/>
    <s v="Charity Care-Physician Svcs"/>
    <s v="Maternal Fetal Med-MFM"/>
    <x v="0"/>
    <m/>
    <n v="6302.49"/>
    <n v="9913.7199999999993"/>
    <n v="-1345.49"/>
    <n v="5851.99"/>
    <n v="2884.3"/>
    <n v="1610.45"/>
    <n v="11745.38"/>
    <n v="2145.04"/>
    <n v="7225.17"/>
    <n v="8435.7000000000007"/>
    <n v="9083.3700000000008"/>
    <n v="13799.5"/>
    <n v="77651.62"/>
    <n v="-4716.1299999999992"/>
  </r>
  <r>
    <x v="4"/>
    <x v="1"/>
    <x v="0"/>
    <s v="2542200"/>
    <n v="490010"/>
    <s v="Provision for Bad Debts"/>
    <s v="Maternal Fetal Med-MFM"/>
    <x v="0"/>
    <m/>
    <n v="25371.759999999998"/>
    <n v="84.17"/>
    <n v="-598.42999999999995"/>
    <n v="16057.67"/>
    <n v="10245.950000000001"/>
    <n v="11225.77"/>
    <n v="19661.509999999998"/>
    <n v="4991.09"/>
    <n v="10007.64"/>
    <n v="9177.86"/>
    <n v="13202.54"/>
    <n v="16887.72"/>
    <n v="136315.25"/>
    <n v="-3685.1800000000003"/>
  </r>
  <r>
    <x v="5"/>
    <x v="1"/>
    <x v="0"/>
    <s v="2542200"/>
    <n v="700018"/>
    <s v="Salaries-Supervisory-Productive"/>
    <s v="Maternal Fetal Med-MFM"/>
    <x v="0"/>
    <m/>
    <n v="-1000"/>
    <n v="0"/>
    <n v="0"/>
    <n v="0"/>
    <n v="0"/>
    <n v="0"/>
    <n v="0"/>
    <n v="0"/>
    <n v="0"/>
    <n v="0"/>
    <n v="0"/>
    <n v="0"/>
    <n v="-1000"/>
    <n v="0"/>
  </r>
  <r>
    <x v="5"/>
    <x v="1"/>
    <x v="0"/>
    <s v="2542200"/>
    <n v="700022"/>
    <s v="Salaries-Physician-Productive"/>
    <s v="Maternal Fetal Med-MFM"/>
    <x v="0"/>
    <m/>
    <n v="246370.32"/>
    <n v="260804.35"/>
    <n v="219137.94"/>
    <n v="246608.51"/>
    <n v="224434.69"/>
    <n v="184970.91"/>
    <n v="228898.57"/>
    <n v="157243.22"/>
    <n v="223860.58"/>
    <n v="218979.05"/>
    <n v="222381.87"/>
    <n v="140422.71"/>
    <n v="2574112.7200000002"/>
    <n v="81959.16"/>
  </r>
  <r>
    <x v="5"/>
    <x v="1"/>
    <x v="0"/>
    <s v="2542200"/>
    <n v="700022"/>
    <s v="Salaries-Physician-Other"/>
    <s v="Maternal Fetal Med-MFM"/>
    <x v="0"/>
    <n v="2000"/>
    <n v="0"/>
    <n v="3915"/>
    <n v="14321.8"/>
    <n v="5985"/>
    <n v="5625"/>
    <n v="5625"/>
    <n v="11910"/>
    <n v="12272.46"/>
    <n v="7814.92"/>
    <n v="-750"/>
    <n v="5970"/>
    <n v="11551.92"/>
    <n v="84241.1"/>
    <n v="-5581.92"/>
  </r>
  <r>
    <x v="5"/>
    <x v="1"/>
    <x v="0"/>
    <s v="2542200"/>
    <n v="700022"/>
    <s v="Salaries-Physician-Recruitment Bonus"/>
    <s v="Maternal Fetal Med-MFM"/>
    <x v="0"/>
    <n v="4005"/>
    <n v="-6609.59"/>
    <n v="0"/>
    <n v="0"/>
    <n v="0"/>
    <n v="0"/>
    <n v="0"/>
    <n v="0"/>
    <n v="0"/>
    <n v="0"/>
    <n v="0"/>
    <n v="0"/>
    <n v="0"/>
    <n v="-6609.59"/>
    <n v="0"/>
  </r>
  <r>
    <x v="5"/>
    <x v="1"/>
    <x v="0"/>
    <s v="2542200"/>
    <n v="700026"/>
    <s v="Salaries-RN-Productive"/>
    <s v="Maternal Fetal Med-MFM"/>
    <x v="0"/>
    <m/>
    <n v="9731.23"/>
    <n v="13647.76"/>
    <n v="7681.89"/>
    <n v="13575.32"/>
    <n v="13332.56"/>
    <n v="11339.88"/>
    <n v="19048.84"/>
    <n v="15906.81"/>
    <n v="15593.94"/>
    <n v="19895.8"/>
    <n v="13564.06"/>
    <n v="11937.41"/>
    <n v="165255.5"/>
    <n v="1626.6499999999996"/>
  </r>
  <r>
    <x v="5"/>
    <x v="1"/>
    <x v="0"/>
    <s v="2542200"/>
    <n v="700026"/>
    <s v="Salaries-RN-Other"/>
    <s v="Maternal Fetal Med-MFM"/>
    <x v="0"/>
    <n v="2000"/>
    <n v="123.13"/>
    <n v="138.44999999999999"/>
    <n v="132.97"/>
    <n v="115.47"/>
    <n v="135.62"/>
    <n v="76.5"/>
    <n v="71.62"/>
    <n v="118.69"/>
    <n v="130.87"/>
    <n v="117.19"/>
    <n v="-35.49"/>
    <n v="0"/>
    <n v="1125.0200000000002"/>
    <n v="-35.49"/>
  </r>
  <r>
    <x v="5"/>
    <x v="1"/>
    <x v="0"/>
    <s v="2542200"/>
    <n v="700030"/>
    <s v="Salaries-LPN-Productive"/>
    <s v="Maternal Fetal Med-MFM"/>
    <x v="0"/>
    <m/>
    <n v="228.83"/>
    <n v="316.83999999999997"/>
    <n v="-105.61"/>
    <n v="0"/>
    <n v="567.4"/>
    <n v="334.35"/>
    <n v="1663.95"/>
    <n v="74.900000000000006"/>
    <n v="0"/>
    <n v="98.38"/>
    <n v="0"/>
    <n v="456.08"/>
    <n v="3635.1200000000003"/>
    <n v="-456.08"/>
  </r>
  <r>
    <x v="5"/>
    <x v="1"/>
    <x v="0"/>
    <s v="2542200"/>
    <n v="700030"/>
    <s v="Salaries-LPN-OT"/>
    <s v="Maternal Fetal Med-MFM"/>
    <x v="0"/>
    <n v="1000"/>
    <n v="0"/>
    <n v="0"/>
    <n v="0"/>
    <n v="0"/>
    <n v="0"/>
    <n v="0"/>
    <n v="0"/>
    <n v="0"/>
    <n v="0"/>
    <n v="0"/>
    <n v="0"/>
    <n v="146.22999999999999"/>
    <n v="146.22999999999999"/>
    <n v="-146.22999999999999"/>
  </r>
  <r>
    <x v="5"/>
    <x v="1"/>
    <x v="0"/>
    <s v="2542200"/>
    <n v="700030"/>
    <s v="Salaries-LPN-Other"/>
    <s v="Maternal Fetal Med-MFM"/>
    <x v="0"/>
    <n v="2000"/>
    <n v="0"/>
    <n v="0"/>
    <n v="0"/>
    <n v="0"/>
    <n v="0"/>
    <n v="0"/>
    <n v="0"/>
    <n v="0"/>
    <n v="0"/>
    <n v="0"/>
    <n v="0"/>
    <n v="7.52"/>
    <n v="7.52"/>
    <n v="-7.52"/>
  </r>
  <r>
    <x v="5"/>
    <x v="1"/>
    <x v="0"/>
    <s v="2542200"/>
    <n v="700032"/>
    <s v="Salaries-Other Pat Care Providers-Productive"/>
    <s v="Maternal Fetal Med-MFM"/>
    <x v="0"/>
    <m/>
    <n v="13353.55"/>
    <n v="13284.09"/>
    <n v="11584.94"/>
    <n v="12718.83"/>
    <n v="13340.25"/>
    <n v="9854.86"/>
    <n v="12232.07"/>
    <n v="12112.59"/>
    <n v="13309.79"/>
    <n v="13568.48"/>
    <n v="13372.43"/>
    <n v="10639.52"/>
    <n v="149371.4"/>
    <n v="2732.91"/>
  </r>
  <r>
    <x v="5"/>
    <x v="1"/>
    <x v="0"/>
    <s v="2542200"/>
    <n v="700032"/>
    <s v="Salaries-Other Pat Care Providers-OT"/>
    <s v="Maternal Fetal Med-MFM"/>
    <x v="0"/>
    <n v="1000"/>
    <n v="309.72000000000003"/>
    <n v="925.09"/>
    <n v="118.48"/>
    <n v="218.51"/>
    <n v="626.87"/>
    <n v="461.45"/>
    <n v="780.45"/>
    <n v="484.56"/>
    <n v="670.94"/>
    <n v="69.19"/>
    <n v="334.55"/>
    <n v="492.65"/>
    <n v="5492.4599999999991"/>
    <n v="-158.09999999999997"/>
  </r>
  <r>
    <x v="5"/>
    <x v="1"/>
    <x v="0"/>
    <s v="2542200"/>
    <n v="700032"/>
    <s v="Salaries-Other Pat Care Providers-Other"/>
    <s v="Maternal Fetal Med-MFM"/>
    <x v="0"/>
    <n v="2000"/>
    <n v="225.43"/>
    <n v="235.65"/>
    <n v="201.56"/>
    <n v="230"/>
    <n v="229.05"/>
    <n v="274.43"/>
    <n v="258.25"/>
    <n v="218.96"/>
    <n v="229.51"/>
    <n v="218.05"/>
    <n v="246.7"/>
    <n v="261.08"/>
    <n v="2828.67"/>
    <n v="-14.379999999999995"/>
  </r>
  <r>
    <x v="5"/>
    <x v="1"/>
    <x v="0"/>
    <s v="2542200"/>
    <n v="700034"/>
    <s v="Salaries-Tech/Professional-Productive"/>
    <s v="Maternal Fetal Med-MFM"/>
    <x v="0"/>
    <m/>
    <n v="0"/>
    <n v="0"/>
    <n v="1078.48"/>
    <n v="-359.49"/>
    <n v="0"/>
    <n v="0"/>
    <n v="0"/>
    <n v="374.87"/>
    <n v="0"/>
    <n v="0"/>
    <n v="0"/>
    <n v="247.22"/>
    <n v="1341.0800000000002"/>
    <n v="-247.22"/>
  </r>
  <r>
    <x v="5"/>
    <x v="1"/>
    <x v="0"/>
    <s v="2542200"/>
    <n v="700054"/>
    <s v="Salaries-Management-NonProd-Other"/>
    <s v="Maternal Fetal Med-MFM"/>
    <x v="0"/>
    <n v="2000"/>
    <n v="0"/>
    <n v="0"/>
    <n v="0"/>
    <n v="0"/>
    <n v="0"/>
    <n v="1028.0999999999999"/>
    <n v="-1028.0999999999999"/>
    <n v="0"/>
    <n v="0"/>
    <n v="0"/>
    <n v="0"/>
    <n v="0"/>
    <n v="0"/>
    <n v="0"/>
  </r>
  <r>
    <x v="5"/>
    <x v="1"/>
    <x v="0"/>
    <s v="2542200"/>
    <n v="700062"/>
    <s v="Salaries-Physician-Non-productive"/>
    <s v="Maternal Fetal Med-MFM"/>
    <x v="0"/>
    <m/>
    <n v="6858.84"/>
    <n v="25190.28"/>
    <n v="18939"/>
    <n v="28027.08"/>
    <n v="-6060.48"/>
    <n v="35389.769999999997"/>
    <n v="18630.189999999999"/>
    <n v="55446.69"/>
    <n v="357.87"/>
    <n v="11884.31"/>
    <n v="33258.03"/>
    <n v="81860.399999999994"/>
    <n v="309781.98"/>
    <n v="-48602.369999999995"/>
  </r>
  <r>
    <x v="5"/>
    <x v="1"/>
    <x v="0"/>
    <s v="2542200"/>
    <n v="700062"/>
    <s v="Salaries-Physician-NonProd-Other"/>
    <s v="Maternal Fetal Med-MFM"/>
    <x v="0"/>
    <n v="2000"/>
    <n v="0"/>
    <n v="0"/>
    <n v="0"/>
    <n v="0"/>
    <n v="1367.62"/>
    <n v="2735.24"/>
    <n v="0"/>
    <n v="-4102.8599999999997"/>
    <n v="0"/>
    <n v="0"/>
    <n v="0"/>
    <n v="-6206.93"/>
    <n v="-6206.93"/>
    <n v="6206.93"/>
  </r>
  <r>
    <x v="5"/>
    <x v="1"/>
    <x v="0"/>
    <s v="2542200"/>
    <n v="700066"/>
    <s v="Salaries-RN-Non-productive"/>
    <s v="Maternal Fetal Med-MFM"/>
    <x v="0"/>
    <m/>
    <n v="2255.08"/>
    <n v="-205"/>
    <n v="5125.2"/>
    <n v="-953.36"/>
    <n v="0"/>
    <n v="3179.92"/>
    <n v="475.52"/>
    <n v="804.06"/>
    <n v="2372.84"/>
    <n v="-721.14"/>
    <n v="1875.23"/>
    <n v="1408.46"/>
    <n v="15616.810000000001"/>
    <n v="466.77"/>
  </r>
  <r>
    <x v="5"/>
    <x v="1"/>
    <x v="0"/>
    <s v="2542200"/>
    <n v="700066"/>
    <s v="Salaries-RN-NonProd-Other"/>
    <s v="Maternal Fetal Med-MF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42200"/>
    <n v="700072"/>
    <s v="Salaries-Other Pat Care Providers-Non-productive"/>
    <s v="Maternal Fetal Med-MFM"/>
    <x v="0"/>
    <m/>
    <n v="1824.11"/>
    <n v="2124.38"/>
    <n v="1178.53"/>
    <n v="2763.88"/>
    <n v="1470.22"/>
    <n v="3891.14"/>
    <n v="1105.25"/>
    <n v="988.13"/>
    <n v="920.8"/>
    <n v="1202.79"/>
    <n v="1939.27"/>
    <n v="3716.85"/>
    <n v="23125.349999999995"/>
    <n v="-1777.58"/>
  </r>
  <r>
    <x v="5"/>
    <x v="1"/>
    <x v="0"/>
    <s v="2542200"/>
    <n v="700072"/>
    <s v="Salaries-Other Pat Care Providers-NonProd-Other"/>
    <s v="Maternal Fetal Med-MFM"/>
    <x v="0"/>
    <n v="2000"/>
    <n v="0"/>
    <n v="0"/>
    <n v="0"/>
    <n v="0"/>
    <n v="439.2"/>
    <n v="439.2"/>
    <n v="0"/>
    <n v="-878.4"/>
    <n v="0"/>
    <n v="0"/>
    <n v="0"/>
    <n v="0"/>
    <n v="0"/>
    <n v="0"/>
  </r>
  <r>
    <x v="5"/>
    <x v="1"/>
    <x v="0"/>
    <s v="2542200"/>
    <n v="700084"/>
    <s v="Accrued PTO"/>
    <s v="Maternal Fetal Med-MFM"/>
    <x v="0"/>
    <m/>
    <n v="-650.89"/>
    <n v="616.9"/>
    <n v="-2457.75"/>
    <n v="2546.9499999999998"/>
    <n v="581.94000000000005"/>
    <n v="-2923.52"/>
    <n v="927.62"/>
    <n v="1583.34"/>
    <n v="428.01"/>
    <n v="2056.5100000000002"/>
    <n v="1089.47"/>
    <n v="-1233.23"/>
    <n v="2565.35"/>
    <n v="2322.6999999999998"/>
  </r>
  <r>
    <x v="6"/>
    <x v="1"/>
    <x v="0"/>
    <s v="2542200"/>
    <n v="713010"/>
    <s v="Benefits-FICA/Medicare"/>
    <s v="Maternal Fetal Med-MFM"/>
    <x v="0"/>
    <m/>
    <n v="6532.95"/>
    <n v="7966.34"/>
    <n v="7560.44"/>
    <n v="5852.44"/>
    <n v="5590.22"/>
    <n v="12748.78"/>
    <n v="21435.96"/>
    <n v="15973.12"/>
    <n v="9655.52"/>
    <n v="9004.7800000000007"/>
    <n v="7890.31"/>
    <n v="5448.48"/>
    <n v="115659.34"/>
    <n v="2441.8300000000008"/>
  </r>
  <r>
    <x v="6"/>
    <x v="1"/>
    <x v="0"/>
    <s v="2542200"/>
    <n v="713090"/>
    <s v="Benefits-Allocated Amounts"/>
    <s v="Maternal Fetal Med-MFM"/>
    <x v="0"/>
    <m/>
    <n v="0"/>
    <n v="0"/>
    <n v="0"/>
    <n v="0"/>
    <n v="0"/>
    <n v="0"/>
    <n v="0"/>
    <n v="0"/>
    <n v="109113.72"/>
    <n v="12730.06"/>
    <n v="12694.93"/>
    <n v="12468.25"/>
    <n v="147006.96"/>
    <n v="226.68000000000029"/>
  </r>
  <r>
    <x v="6"/>
    <x v="1"/>
    <x v="0"/>
    <s v="2542200"/>
    <n v="713092"/>
    <s v="Allocated Benefits-Physician"/>
    <s v="Maternal Fetal Med-MFM"/>
    <x v="0"/>
    <m/>
    <n v="20476.830000000002"/>
    <n v="19921.849999999999"/>
    <n v="19675.14"/>
    <n v="19894.84"/>
    <n v="17919.419999999998"/>
    <n v="19584.7"/>
    <n v="24611.52"/>
    <n v="23209.06"/>
    <n v="-83153.570000000007"/>
    <n v="9583.08"/>
    <n v="9556.6200000000008"/>
    <n v="9385.98"/>
    <n v="110665.46999999997"/>
    <n v="170.64000000000124"/>
  </r>
  <r>
    <x v="6"/>
    <x v="1"/>
    <x v="0"/>
    <s v="2542200"/>
    <n v="713096"/>
    <s v="Employee Recognition"/>
    <s v="Maternal Fetal Med-MFM"/>
    <x v="0"/>
    <n v="1017"/>
    <n v="0"/>
    <n v="0"/>
    <n v="0"/>
    <n v="0"/>
    <n v="0"/>
    <n v="29.56"/>
    <n v="0"/>
    <n v="0"/>
    <n v="132.1"/>
    <n v="0"/>
    <n v="0"/>
    <n v="0"/>
    <n v="161.66"/>
    <n v="0"/>
  </r>
  <r>
    <x v="7"/>
    <x v="1"/>
    <x v="0"/>
    <s v="2542200"/>
    <n v="718040"/>
    <s v="Contract Svcs-Laboratory"/>
    <s v="Maternal Fetal Med-MFM"/>
    <x v="0"/>
    <m/>
    <n v="0"/>
    <n v="0"/>
    <n v="0"/>
    <n v="0"/>
    <n v="0"/>
    <n v="0"/>
    <n v="0"/>
    <n v="0"/>
    <n v="0"/>
    <n v="0"/>
    <n v="43"/>
    <n v="0"/>
    <n v="43"/>
    <n v="43"/>
  </r>
  <r>
    <x v="7"/>
    <x v="1"/>
    <x v="0"/>
    <s v="2542200"/>
    <n v="718050"/>
    <s v="Contract Svcs-Other"/>
    <s v="Maternal Fetal Med-MFM"/>
    <x v="0"/>
    <m/>
    <n v="8.52"/>
    <n v="144.97999999999999"/>
    <n v="117.96"/>
    <n v="191.69"/>
    <n v="34.270000000000003"/>
    <n v="0"/>
    <n v="1020.66"/>
    <n v="0"/>
    <n v="46.06"/>
    <n v="889.13"/>
    <n v="1700"/>
    <n v="1562.67"/>
    <n v="5715.9400000000005"/>
    <n v="137.32999999999993"/>
  </r>
  <r>
    <x v="7"/>
    <x v="1"/>
    <x v="0"/>
    <s v="2542200"/>
    <n v="718050"/>
    <s v="Miscellaneous Purchased Svcs"/>
    <s v="Maternal Fetal Med-MFM"/>
    <x v="0"/>
    <n v="1020"/>
    <n v="0"/>
    <n v="0"/>
    <n v="0"/>
    <n v="32.950000000000003"/>
    <n v="0"/>
    <n v="0"/>
    <n v="0"/>
    <n v="0"/>
    <n v="0"/>
    <n v="0"/>
    <n v="0"/>
    <n v="0"/>
    <n v="32.950000000000003"/>
    <n v="0"/>
  </r>
  <r>
    <x v="7"/>
    <x v="1"/>
    <x v="0"/>
    <s v="2542200"/>
    <n v="718050"/>
    <s v="Translation Services"/>
    <s v="Maternal Fetal Med-MFM"/>
    <x v="0"/>
    <n v="1025"/>
    <n v="0"/>
    <n v="0"/>
    <n v="0"/>
    <n v="0"/>
    <n v="0"/>
    <n v="0"/>
    <n v="0"/>
    <n v="0"/>
    <n v="0"/>
    <n v="0"/>
    <n v="0"/>
    <n v="40.5"/>
    <n v="40.5"/>
    <n v="-40.5"/>
  </r>
  <r>
    <x v="7"/>
    <x v="1"/>
    <x v="0"/>
    <s v="2542200"/>
    <n v="718050"/>
    <s v="Contract Management--Linen"/>
    <s v="Maternal Fetal Med-MFM"/>
    <x v="0"/>
    <n v="1026"/>
    <n v="0"/>
    <n v="686.77"/>
    <n v="1571.79"/>
    <n v="2438.06"/>
    <n v="196.22"/>
    <n v="401.25"/>
    <n v="3689.19"/>
    <n v="0"/>
    <n v="2401.33"/>
    <n v="1057.6400000000001"/>
    <n v="976.01"/>
    <n v="2422.63"/>
    <n v="15840.89"/>
    <n v="-1446.6200000000001"/>
  </r>
  <r>
    <x v="7"/>
    <x v="1"/>
    <x v="0"/>
    <s v="2542200"/>
    <n v="718050"/>
    <s v="Purchased Srvcs--Medical Waste"/>
    <s v="Maternal Fetal Med-MFM"/>
    <x v="0"/>
    <n v="1027"/>
    <n v="76.83"/>
    <n v="110.24"/>
    <n v="87.97"/>
    <n v="87.97"/>
    <n v="87.97"/>
    <n v="0"/>
    <n v="175.94"/>
    <n v="0"/>
    <n v="175.94"/>
    <n v="99.1"/>
    <n v="11.14"/>
    <n v="11.14"/>
    <n v="924.24000000000012"/>
    <n v="0"/>
  </r>
  <r>
    <x v="7"/>
    <x v="1"/>
    <x v="0"/>
    <s v="2542200"/>
    <n v="718077"/>
    <s v="PACS"/>
    <s v="Maternal Fetal Med-MFM"/>
    <x v="0"/>
    <n v="1000"/>
    <n v="4731.75"/>
    <n v="5199.75"/>
    <n v="4119.75"/>
    <n v="5184"/>
    <n v="4410"/>
    <n v="4243.5"/>
    <n v="5179.5"/>
    <n v="4038.75"/>
    <n v="4704.75"/>
    <n v="5042.25"/>
    <n v="5357.25"/>
    <n v="4545"/>
    <n v="56756.25"/>
    <n v="812.25"/>
  </r>
  <r>
    <x v="11"/>
    <x v="1"/>
    <x v="0"/>
    <s v="2542200"/>
    <n v="721410"/>
    <s v="Supplies-Medical - Nonbillable"/>
    <s v="Maternal Fetal Med-MFM"/>
    <x v="0"/>
    <m/>
    <n v="1130.8599999999999"/>
    <n v="2098.34"/>
    <n v="3082.59"/>
    <n v="2163.58"/>
    <n v="1299.25"/>
    <n v="0"/>
    <n v="3770.28"/>
    <n v="0"/>
    <n v="3141.98"/>
    <n v="1450.8"/>
    <n v="910.57"/>
    <n v="3474.35"/>
    <n v="22522.6"/>
    <n v="-2563.7799999999997"/>
  </r>
  <r>
    <x v="11"/>
    <x v="1"/>
    <x v="0"/>
    <s v="2542200"/>
    <n v="721835"/>
    <s v="Supplies-Forms"/>
    <s v="Maternal Fetal Med-MFM"/>
    <x v="0"/>
    <m/>
    <n v="0"/>
    <n v="0"/>
    <n v="0"/>
    <n v="0"/>
    <n v="0"/>
    <n v="0"/>
    <n v="0"/>
    <n v="0"/>
    <n v="0"/>
    <n v="70.55"/>
    <n v="0"/>
    <n v="0"/>
    <n v="70.55"/>
    <n v="0"/>
  </r>
  <r>
    <x v="13"/>
    <x v="1"/>
    <x v="0"/>
    <s v="2542200"/>
    <n v="735070"/>
    <s v="Depreciation-Movable Equipment"/>
    <s v="Maternal Fetal Med-MFM"/>
    <x v="0"/>
    <m/>
    <n v="2074.9499999999998"/>
    <n v="2074.94"/>
    <n v="2074.9499999999998"/>
    <n v="2074.94"/>
    <n v="2074.9499999999998"/>
    <n v="2233.38"/>
    <n v="2233.39"/>
    <n v="2233.38"/>
    <n v="2233.39"/>
    <n v="2233.38"/>
    <n v="2233.4"/>
    <n v="2233.36"/>
    <n v="26008.410000000003"/>
    <n v="3.999999999996362E-2"/>
  </r>
  <r>
    <x v="0"/>
    <x v="1"/>
    <x v="0"/>
    <s v="2542200"/>
    <n v="740022"/>
    <s v="Education-Physician"/>
    <s v="Maternal Fetal Med-MFM"/>
    <x v="0"/>
    <m/>
    <n v="350"/>
    <n v="0"/>
    <n v="0"/>
    <n v="0"/>
    <n v="0"/>
    <n v="1220"/>
    <n v="0"/>
    <n v="0"/>
    <n v="0"/>
    <n v="0"/>
    <n v="0"/>
    <n v="1284.49"/>
    <n v="2854.49"/>
    <n v="-1284.49"/>
  </r>
  <r>
    <x v="8"/>
    <x v="1"/>
    <x v="0"/>
    <s v="2542200"/>
    <n v="741012"/>
    <s v="Physician Liab Insurance-CHI Program"/>
    <s v="Maternal Fetal Med-MFM"/>
    <x v="0"/>
    <m/>
    <n v="12940.65"/>
    <n v="11753.23"/>
    <n v="12230.15"/>
    <n v="12453.69"/>
    <n v="12453.7"/>
    <n v="10980.6"/>
    <n v="10980.61"/>
    <n v="10980.6"/>
    <n v="10980.61"/>
    <n v="10980.6"/>
    <n v="10980.62"/>
    <n v="10980.59"/>
    <n v="138695.65000000002"/>
    <n v="3.0000000000654836E-2"/>
  </r>
  <r>
    <x v="0"/>
    <x v="1"/>
    <x v="0"/>
    <s v="2542200"/>
    <n v="743020"/>
    <s v="Provider-Dues"/>
    <s v="Maternal Fetal Med-MFM"/>
    <x v="0"/>
    <n v="2200"/>
    <n v="0"/>
    <n v="0"/>
    <n v="0"/>
    <n v="0"/>
    <n v="0"/>
    <n v="0"/>
    <n v="45"/>
    <n v="0"/>
    <n v="2140"/>
    <n v="0"/>
    <n v="0"/>
    <n v="50"/>
    <n v="2235"/>
    <n v="-50"/>
  </r>
  <r>
    <x v="0"/>
    <x v="1"/>
    <x v="0"/>
    <s v="2542200"/>
    <n v="743022"/>
    <s v="Dues-Physician"/>
    <s v="Maternal Fetal Med-MFM"/>
    <x v="0"/>
    <m/>
    <n v="1000"/>
    <n v="150"/>
    <n v="1445"/>
    <n v="150"/>
    <n v="0"/>
    <n v="790"/>
    <n v="0"/>
    <n v="1700"/>
    <n v="0"/>
    <n v="0"/>
    <n v="0"/>
    <n v="790"/>
    <n v="6025"/>
    <n v="-790"/>
  </r>
  <r>
    <x v="0"/>
    <x v="1"/>
    <x v="0"/>
    <s v="2542200"/>
    <n v="743042"/>
    <s v="Subscriptions-Physician"/>
    <s v="Maternal Fetal Med-MFM"/>
    <x v="0"/>
    <m/>
    <n v="0"/>
    <n v="0"/>
    <n v="0"/>
    <n v="0"/>
    <n v="0"/>
    <n v="0"/>
    <n v="0"/>
    <n v="193.75"/>
    <n v="0"/>
    <n v="0"/>
    <n v="0"/>
    <n v="0"/>
    <n v="193.75"/>
    <n v="0"/>
  </r>
  <r>
    <x v="0"/>
    <x v="1"/>
    <x v="0"/>
    <s v="2542200"/>
    <n v="749510"/>
    <s v="Miscellaneous Expenses"/>
    <s v="Maternal Fetal Med-MFM"/>
    <x v="0"/>
    <m/>
    <n v="-39.590000000000003"/>
    <n v="-985.47"/>
    <n v="-1445"/>
    <n v="2153.3200000000002"/>
    <n v="1369.31"/>
    <n v="-2193.6999999999998"/>
    <n v="-118.93"/>
    <n v="256.42"/>
    <n v="-256.42"/>
    <n v="0"/>
    <n v="0"/>
    <n v="2448.92"/>
    <n v="1188.8600000000004"/>
    <n v="-2448.92"/>
  </r>
  <r>
    <x v="0"/>
    <x v="1"/>
    <x v="0"/>
    <s v="2542200"/>
    <n v="749512"/>
    <s v="Licenses-Physician"/>
    <s v="Maternal Fetal Med-MFM"/>
    <x v="0"/>
    <n v="2000"/>
    <n v="0"/>
    <n v="0"/>
    <n v="0"/>
    <n v="0"/>
    <n v="0"/>
    <n v="1388"/>
    <n v="0"/>
    <n v="657"/>
    <n v="275"/>
    <n v="0"/>
    <n v="0"/>
    <n v="0"/>
    <n v="2320"/>
    <n v="0"/>
  </r>
  <r>
    <x v="0"/>
    <x v="1"/>
    <x v="0"/>
    <s v="2542200"/>
    <n v="749530"/>
    <s v="Travel"/>
    <s v="Maternal Fetal Med-MFM"/>
    <x v="0"/>
    <m/>
    <n v="54"/>
    <n v="55"/>
    <n v="6"/>
    <n v="6"/>
    <n v="90"/>
    <n v="48"/>
    <n v="35"/>
    <n v="60"/>
    <n v="68"/>
    <n v="20"/>
    <n v="6"/>
    <n v="0"/>
    <n v="448"/>
    <n v="6"/>
  </r>
  <r>
    <x v="0"/>
    <x v="1"/>
    <x v="0"/>
    <s v="2542200"/>
    <n v="749530"/>
    <s v="Mileage"/>
    <s v="Maternal Fetal Med-MFM"/>
    <x v="0"/>
    <n v="1001"/>
    <n v="107.91"/>
    <n v="131.88999999999999"/>
    <n v="11.99"/>
    <n v="11.99"/>
    <n v="227.81"/>
    <n v="164.62"/>
    <n v="83.93"/>
    <n v="146.59"/>
    <n v="202.42"/>
    <n v="51.04"/>
    <n v="25.52"/>
    <n v="40.020000000000003"/>
    <n v="1205.73"/>
    <n v="-14.500000000000004"/>
  </r>
  <r>
    <x v="0"/>
    <x v="1"/>
    <x v="0"/>
    <s v="2542200"/>
    <n v="749532"/>
    <s v="Travel-Physician"/>
    <s v="Maternal Fetal Med-MFM"/>
    <x v="0"/>
    <m/>
    <n v="1762.38"/>
    <n v="0"/>
    <n v="0"/>
    <n v="2691.82"/>
    <n v="722.45"/>
    <n v="230.69"/>
    <n v="0"/>
    <n v="0"/>
    <n v="0"/>
    <n v="0"/>
    <n v="0"/>
    <n v="0"/>
    <n v="5407.34"/>
    <n v="0"/>
  </r>
  <r>
    <x v="5"/>
    <x v="1"/>
    <x v="0"/>
    <s v="2543200"/>
    <n v="700034"/>
    <s v="Salaries-Tech/Professional-Productive"/>
    <s v="Maternal Fetal Med-Ultrasound"/>
    <x v="0"/>
    <m/>
    <n v="42913.35"/>
    <n v="40066.949999999997"/>
    <n v="37818.78"/>
    <n v="48376.62"/>
    <n v="50976.54"/>
    <n v="38387.629999999997"/>
    <n v="47136.73"/>
    <n v="41250.15"/>
    <n v="39899.61"/>
    <n v="38876.06"/>
    <n v="49462.09"/>
    <n v="44122.19"/>
    <n v="519286.7"/>
    <n v="5339.8999999999942"/>
  </r>
  <r>
    <x v="5"/>
    <x v="1"/>
    <x v="0"/>
    <s v="2543200"/>
    <n v="700034"/>
    <s v="Salaries-Tech/Professional-OT"/>
    <s v="Maternal Fetal Med-Ultrasound"/>
    <x v="0"/>
    <n v="1000"/>
    <n v="787.55"/>
    <n v="1851.39"/>
    <n v="196.29"/>
    <n v="369.27"/>
    <n v="750.8"/>
    <n v="1517.75"/>
    <n v="1659.63"/>
    <n v="1129.26"/>
    <n v="3516.35"/>
    <n v="243.18"/>
    <n v="1393.31"/>
    <n v="1228.48"/>
    <n v="14643.26"/>
    <n v="164.82999999999993"/>
  </r>
  <r>
    <x v="5"/>
    <x v="1"/>
    <x v="0"/>
    <s v="2543200"/>
    <n v="700034"/>
    <s v="Salaries-Tech/Professional-Other"/>
    <s v="Maternal Fetal Med-Ultrasound"/>
    <x v="0"/>
    <n v="2000"/>
    <n v="30"/>
    <n v="28.25"/>
    <n v="-4"/>
    <n v="0"/>
    <n v="0"/>
    <n v="15.67"/>
    <n v="17.11"/>
    <n v="20.67"/>
    <n v="32.15"/>
    <n v="-7.75"/>
    <n v="17.02"/>
    <n v="15.79"/>
    <n v="164.91"/>
    <n v="1.2300000000000004"/>
  </r>
  <r>
    <x v="5"/>
    <x v="1"/>
    <x v="0"/>
    <s v="2543200"/>
    <n v="700054"/>
    <s v="Salaries-Management-NonProd-Other"/>
    <s v="Maternal Fetal Med-Ultrasound"/>
    <x v="0"/>
    <n v="2000"/>
    <n v="0"/>
    <n v="0"/>
    <n v="0"/>
    <n v="0"/>
    <n v="0"/>
    <n v="1171.3699999999999"/>
    <n v="-1171.3699999999999"/>
    <n v="0"/>
    <n v="0"/>
    <n v="0"/>
    <n v="0"/>
    <n v="0"/>
    <n v="0"/>
    <n v="0"/>
  </r>
  <r>
    <x v="5"/>
    <x v="1"/>
    <x v="0"/>
    <s v="2543200"/>
    <n v="700074"/>
    <s v="Salaries-Tech/Professional-Non-productive"/>
    <s v="Maternal Fetal Med-Ultrasound"/>
    <x v="0"/>
    <m/>
    <n v="4335.88"/>
    <n v="4595.97"/>
    <n v="3781.29"/>
    <n v="3955.56"/>
    <n v="2974.77"/>
    <n v="10285.120000000001"/>
    <n v="5439.38"/>
    <n v="2333.35"/>
    <n v="6875.14"/>
    <n v="5262.69"/>
    <n v="-78.67"/>
    <n v="1931.29"/>
    <n v="51691.770000000004"/>
    <n v="-2009.96"/>
  </r>
  <r>
    <x v="5"/>
    <x v="1"/>
    <x v="0"/>
    <s v="2543200"/>
    <n v="700074"/>
    <s v="Salaries-Tech/Professional-NonProd-Other"/>
    <s v="Maternal Fetal Med-Ultrasound"/>
    <x v="0"/>
    <n v="2000"/>
    <n v="0"/>
    <n v="0"/>
    <n v="0"/>
    <n v="0"/>
    <n v="287.41000000000003"/>
    <n v="0"/>
    <n v="0"/>
    <n v="-287.41000000000003"/>
    <n v="0"/>
    <n v="0"/>
    <n v="0"/>
    <n v="0"/>
    <n v="0"/>
    <n v="0"/>
  </r>
  <r>
    <x v="5"/>
    <x v="1"/>
    <x v="0"/>
    <s v="2543200"/>
    <n v="700084"/>
    <s v="Accrued PTO"/>
    <s v="Maternal Fetal Med-Ultrasound"/>
    <x v="0"/>
    <m/>
    <n v="442.38"/>
    <n v="-68.11"/>
    <n v="-444.08"/>
    <n v="601.14"/>
    <n v="1390.06"/>
    <n v="-1755.47"/>
    <n v="-15.66"/>
    <n v="1246.42"/>
    <n v="49.29"/>
    <n v="-530.9"/>
    <n v="1434.44"/>
    <n v="1250.29"/>
    <n v="3599.7999999999997"/>
    <n v="184.15000000000009"/>
  </r>
  <r>
    <x v="6"/>
    <x v="1"/>
    <x v="0"/>
    <s v="2543200"/>
    <n v="713010"/>
    <s v="Benefits-FICA/Medicare"/>
    <s v="Maternal Fetal Med-Ultrasound"/>
    <x v="0"/>
    <m/>
    <n v="3559.69"/>
    <n v="3481.95"/>
    <n v="3099.54"/>
    <n v="3898.12"/>
    <n v="4169.49"/>
    <n v="3777.52"/>
    <n v="4149.2700000000004"/>
    <n v="3320.8"/>
    <n v="3732.69"/>
    <n v="3287.98"/>
    <n v="3792.63"/>
    <n v="3525.5"/>
    <n v="43795.18"/>
    <n v="267.13000000000011"/>
  </r>
  <r>
    <x v="6"/>
    <x v="1"/>
    <x v="0"/>
    <s v="2543200"/>
    <n v="713090"/>
    <s v="Benefits-Allocated Amounts"/>
    <s v="Maternal Fetal Med-Ultrasound"/>
    <x v="0"/>
    <m/>
    <n v="8031.55"/>
    <n v="6873.08"/>
    <n v="7297.47"/>
    <n v="8147.69"/>
    <n v="8674.5400000000009"/>
    <n v="8867.4599999999991"/>
    <n v="10000.200000000001"/>
    <n v="8993.19"/>
    <n v="9377.2999999999993"/>
    <n v="8086.24"/>
    <n v="8320.59"/>
    <n v="8924.34"/>
    <n v="101593.65000000001"/>
    <n v="-603.75"/>
  </r>
  <r>
    <x v="0"/>
    <x v="1"/>
    <x v="0"/>
    <s v="2543200"/>
    <n v="740020"/>
    <s v="Education-Registration Fees"/>
    <s v="Maternal Fetal Med-Ultrasound"/>
    <x v="0"/>
    <m/>
    <n v="0"/>
    <n v="0"/>
    <n v="0"/>
    <n v="167.44"/>
    <n v="0"/>
    <n v="0"/>
    <n v="0"/>
    <n v="0"/>
    <n v="0"/>
    <n v="0"/>
    <n v="0"/>
    <n v="0"/>
    <n v="167.44"/>
    <n v="0"/>
  </r>
  <r>
    <x v="0"/>
    <x v="1"/>
    <x v="0"/>
    <s v="2543200"/>
    <n v="749510"/>
    <s v="Miscellaneous Expenses"/>
    <s v="Maternal Fetal Med-Ultrasound"/>
    <x v="0"/>
    <m/>
    <n v="0"/>
    <n v="0"/>
    <n v="83.72"/>
    <n v="-83.72"/>
    <n v="0"/>
    <n v="0"/>
    <n v="12.76"/>
    <n v="0"/>
    <n v="-12.76"/>
    <n v="0"/>
    <n v="0"/>
    <n v="0"/>
    <n v="0"/>
    <n v="0"/>
  </r>
  <r>
    <x v="0"/>
    <x v="1"/>
    <x v="0"/>
    <s v="2543200"/>
    <n v="749530"/>
    <s v="Travel"/>
    <s v="Maternal Fetal Med-Ultrasound"/>
    <x v="0"/>
    <m/>
    <n v="0"/>
    <n v="0"/>
    <n v="0"/>
    <n v="0"/>
    <n v="7"/>
    <n v="0"/>
    <n v="0"/>
    <n v="0"/>
    <n v="0"/>
    <n v="0"/>
    <n v="0"/>
    <n v="0"/>
    <n v="7"/>
    <n v="0"/>
  </r>
  <r>
    <x v="0"/>
    <x v="1"/>
    <x v="0"/>
    <s v="2543200"/>
    <n v="749530"/>
    <s v="Mileage"/>
    <s v="Maternal Fetal Med-Ultrasound"/>
    <x v="0"/>
    <n v="1001"/>
    <n v="11.99"/>
    <n v="0"/>
    <n v="0"/>
    <n v="0"/>
    <n v="6"/>
    <n v="23.98"/>
    <n v="25.52"/>
    <n v="12.76"/>
    <n v="25.52"/>
    <n v="12.76"/>
    <n v="0"/>
    <n v="0"/>
    <n v="118.53"/>
    <n v="0"/>
  </r>
  <r>
    <x v="1"/>
    <x v="1"/>
    <x v="0"/>
    <s v="2544200"/>
    <n v="400029"/>
    <s v="MD Practice Other Rev--Medicare"/>
    <s v="WH-St Joseph-OB/GYN"/>
    <x v="0"/>
    <n v="1100"/>
    <n v="-1397"/>
    <n v="-930"/>
    <n v="-657"/>
    <n v="-681"/>
    <n v="-1338"/>
    <n v="-24"/>
    <n v="-1640"/>
    <n v="-24"/>
    <n v="-1314"/>
    <n v="-1338"/>
    <n v="-2043"/>
    <n v="-2700"/>
    <n v="-14086"/>
    <n v="657"/>
  </r>
  <r>
    <x v="1"/>
    <x v="1"/>
    <x v="0"/>
    <s v="2544200"/>
    <n v="400029"/>
    <s v="MD Practice Other Rev--Medicaid"/>
    <s v="WH-St Joseph-OB/GYN"/>
    <x v="0"/>
    <n v="1200"/>
    <n v="-29518"/>
    <n v="-30639"/>
    <n v="-20726"/>
    <n v="-34712"/>
    <n v="-21000"/>
    <n v="-21409"/>
    <n v="-28858"/>
    <n v="-30132"/>
    <n v="-34093"/>
    <n v="-39289"/>
    <n v="-42975"/>
    <n v="-33172"/>
    <n v="-366523"/>
    <n v="-9803"/>
  </r>
  <r>
    <x v="1"/>
    <x v="1"/>
    <x v="0"/>
    <s v="2544200"/>
    <n v="400029"/>
    <s v="MD Practice Other Rev--Comm Insurance"/>
    <s v="WH-St Joseph-OB/GYN"/>
    <x v="0"/>
    <n v="1300"/>
    <n v="-3673"/>
    <n v="-2214"/>
    <n v="-2255"/>
    <n v="-1109"/>
    <n v="-3511"/>
    <n v="-4437"/>
    <n v="-4816"/>
    <n v="-4998"/>
    <n v="-3263"/>
    <n v="-2776"/>
    <n v="-5013"/>
    <n v="-3436"/>
    <n v="-41501"/>
    <n v="-1577"/>
  </r>
  <r>
    <x v="1"/>
    <x v="1"/>
    <x v="0"/>
    <s v="2544200"/>
    <n v="400029"/>
    <s v="MD Practice Other Rev--BCBS Comm"/>
    <s v="WH-St Joseph-OB/GYN"/>
    <x v="0"/>
    <n v="1301"/>
    <n v="-7678"/>
    <n v="-12800"/>
    <n v="-6945"/>
    <n v="-4710"/>
    <n v="-3927"/>
    <n v="-8133"/>
    <n v="-10803"/>
    <n v="-15494"/>
    <n v="-15192"/>
    <n v="-11217"/>
    <n v="-5827"/>
    <n v="-7326"/>
    <n v="-110052"/>
    <n v="1499"/>
  </r>
  <r>
    <x v="1"/>
    <x v="1"/>
    <x v="0"/>
    <s v="2544200"/>
    <n v="400029"/>
    <s v="MD Practice Other Rev--Managed Care"/>
    <s v="WH-St Joseph-OB/GYN"/>
    <x v="0"/>
    <n v="1400"/>
    <n v="-27655"/>
    <n v="-34710"/>
    <n v="-21012"/>
    <n v="-35445"/>
    <n v="-34339"/>
    <n v="-29084"/>
    <n v="-55983"/>
    <n v="-39816"/>
    <n v="-31494"/>
    <n v="-49399"/>
    <n v="-45361"/>
    <n v="-40182"/>
    <n v="-444480"/>
    <n v="-5179"/>
  </r>
  <r>
    <x v="1"/>
    <x v="1"/>
    <x v="0"/>
    <s v="2544200"/>
    <n v="400029"/>
    <s v="MD Practice Other Rev--Self Pay"/>
    <s v="WH-St Joseph-OB/GYN"/>
    <x v="0"/>
    <n v="1500"/>
    <n v="-1201"/>
    <n v="-1434"/>
    <n v="177"/>
    <n v="-764"/>
    <n v="-1371"/>
    <n v="-716"/>
    <n v="-573"/>
    <n v="-1109"/>
    <n v="53"/>
    <n v="-2312"/>
    <n v="-2454"/>
    <n v="-2386"/>
    <n v="-14090"/>
    <n v="-68"/>
  </r>
  <r>
    <x v="1"/>
    <x v="1"/>
    <x v="0"/>
    <s v="2544200"/>
    <n v="400029"/>
    <s v="MD Practice Other Rev--Other"/>
    <s v="WH-St Joseph-OB/GYN"/>
    <x v="0"/>
    <n v="1700"/>
    <n v="-6027"/>
    <n v="-5128"/>
    <n v="-6008"/>
    <n v="-5482"/>
    <n v="-5780"/>
    <n v="-4865"/>
    <n v="-8346"/>
    <n v="-6257"/>
    <n v="-5612"/>
    <n v="-9713"/>
    <n v="-7226"/>
    <n v="-6745"/>
    <n v="-77189"/>
    <n v="-481"/>
  </r>
  <r>
    <x v="1"/>
    <x v="1"/>
    <x v="0"/>
    <s v="2544200"/>
    <n v="400040"/>
    <s v="Physician Svcs Rev--Medicare"/>
    <s v="WH-St Joseph-OB/GYN"/>
    <x v="0"/>
    <n v="1100"/>
    <n v="-16781"/>
    <n v="-17912"/>
    <n v="-22555.200000000001"/>
    <n v="-13232.4"/>
    <n v="-5586"/>
    <n v="-8819"/>
    <n v="-39410"/>
    <n v="-20274"/>
    <n v="-10451"/>
    <n v="-13383.5"/>
    <n v="-28362"/>
    <n v="-18454"/>
    <n v="-215220.09999999998"/>
    <n v="-9908"/>
  </r>
  <r>
    <x v="1"/>
    <x v="1"/>
    <x v="0"/>
    <s v="2544200"/>
    <n v="400040"/>
    <s v="Physician Svcs Rev--Medicaid"/>
    <s v="WH-St Joseph-OB/GYN"/>
    <x v="0"/>
    <n v="1200"/>
    <n v="-470964.19"/>
    <n v="-585587.25"/>
    <n v="-439363.4"/>
    <n v="-626563.87"/>
    <n v="-476124.77"/>
    <n v="-359305.78"/>
    <n v="-498092.24"/>
    <n v="-507584.39"/>
    <n v="-577713"/>
    <n v="-535034.81000000006"/>
    <n v="-495358.24"/>
    <n v="-402565.03"/>
    <n v="-5974256.9700000016"/>
    <n v="-92793.209999999963"/>
  </r>
  <r>
    <x v="1"/>
    <x v="1"/>
    <x v="0"/>
    <s v="2544200"/>
    <n v="400040"/>
    <s v="Physician Svcs Rev--Comm Insurance"/>
    <s v="WH-St Joseph-OB/GYN"/>
    <x v="0"/>
    <n v="1300"/>
    <n v="-36461"/>
    <n v="-58948"/>
    <n v="-47190"/>
    <n v="-76929"/>
    <n v="-41677"/>
    <n v="-27332.91"/>
    <n v="-42186"/>
    <n v="-81512"/>
    <n v="-41974"/>
    <n v="-45810"/>
    <n v="-68718"/>
    <n v="-60989"/>
    <n v="-629726.90999999992"/>
    <n v="-7729"/>
  </r>
  <r>
    <x v="1"/>
    <x v="1"/>
    <x v="0"/>
    <s v="2544200"/>
    <n v="400040"/>
    <s v="Physician Svcs Rev--BCBS Comm"/>
    <s v="WH-St Joseph-OB/GYN"/>
    <x v="0"/>
    <n v="1301"/>
    <n v="-172280"/>
    <n v="-142563"/>
    <n v="-110845"/>
    <n v="-143595"/>
    <n v="-115040"/>
    <n v="-86567.48"/>
    <n v="-119074"/>
    <n v="-123205"/>
    <n v="-199740"/>
    <n v="-101953"/>
    <n v="-156627"/>
    <n v="-152212"/>
    <n v="-1623701.48"/>
    <n v="-4415"/>
  </r>
  <r>
    <x v="1"/>
    <x v="1"/>
    <x v="0"/>
    <s v="2544200"/>
    <n v="400040"/>
    <s v="Physician Svcs Rev--Managed Care"/>
    <s v="WH-St Joseph-OB/GYN"/>
    <x v="0"/>
    <n v="1400"/>
    <n v="-371011.91"/>
    <n v="-513868.89"/>
    <n v="-426498.63"/>
    <n v="-579900.79"/>
    <n v="-388412.75"/>
    <n v="-347963.04"/>
    <n v="-501071.19"/>
    <n v="-516168.96000000002"/>
    <n v="-567885.56999999995"/>
    <n v="-483159"/>
    <n v="-566639.75"/>
    <n v="-537061.75"/>
    <n v="-5799642.2300000004"/>
    <n v="-29578"/>
  </r>
  <r>
    <x v="1"/>
    <x v="1"/>
    <x v="0"/>
    <s v="2544200"/>
    <n v="400040"/>
    <s v="Physician Svcs Rev--Self Pay"/>
    <s v="WH-St Joseph-OB/GYN"/>
    <x v="0"/>
    <n v="1500"/>
    <n v="-4663"/>
    <n v="-28941"/>
    <n v="-11369"/>
    <n v="-17412"/>
    <n v="-8934"/>
    <n v="-11621"/>
    <n v="-12931"/>
    <n v="-18759"/>
    <n v="-20958"/>
    <n v="-10087"/>
    <n v="-19140"/>
    <n v="-19198"/>
    <n v="-184013"/>
    <n v="58"/>
  </r>
  <r>
    <x v="1"/>
    <x v="1"/>
    <x v="0"/>
    <s v="2544200"/>
    <n v="400040"/>
    <s v="Physician Svcs Rev--Other"/>
    <s v="WH-St Joseph-OB/GYN"/>
    <x v="0"/>
    <n v="1700"/>
    <n v="-82796"/>
    <n v="-101706"/>
    <n v="-57660"/>
    <n v="-150632"/>
    <n v="-99131.6"/>
    <n v="-91140"/>
    <n v="-121405"/>
    <n v="-115120"/>
    <n v="-134922"/>
    <n v="-104435"/>
    <n v="-118345"/>
    <n v="-88521"/>
    <n v="-1265813.6000000001"/>
    <n v="-29824"/>
  </r>
  <r>
    <x v="2"/>
    <x v="1"/>
    <x v="0"/>
    <s v="2544200"/>
    <n v="450029"/>
    <s v="Contr Allow--MD Other-Medicare"/>
    <s v="WH-St Joseph-OB/GYN"/>
    <x v="0"/>
    <n v="1100"/>
    <n v="276.42"/>
    <n v="643.16"/>
    <n v="599.01"/>
    <n v="237.49"/>
    <n v="439.67"/>
    <n v="1258.24"/>
    <n v="664.33"/>
    <n v="254.42"/>
    <n v="0"/>
    <n v="1019.87"/>
    <n v="1730.63"/>
    <n v="1952.22"/>
    <n v="9075.4599999999991"/>
    <n v="-221.58999999999992"/>
  </r>
  <r>
    <x v="2"/>
    <x v="1"/>
    <x v="0"/>
    <s v="2544200"/>
    <n v="450029"/>
    <s v="Contr Allow--MD Other-Medicaid"/>
    <s v="WH-St Joseph-OB/GYN"/>
    <x v="0"/>
    <n v="1200"/>
    <n v="18747.189999999999"/>
    <n v="23930.78"/>
    <n v="17341.86"/>
    <n v="23535.94"/>
    <n v="17301.89"/>
    <n v="14510.17"/>
    <n v="20598.45"/>
    <n v="18947.330000000002"/>
    <n v="23970.5"/>
    <n v="26315.279999999999"/>
    <n v="28041.35"/>
    <n v="30355.200000000001"/>
    <n v="263595.94"/>
    <n v="-2313.8500000000022"/>
  </r>
  <r>
    <x v="2"/>
    <x v="1"/>
    <x v="0"/>
    <s v="2544200"/>
    <n v="450029"/>
    <s v="Contr Allow--MD Other-Comm Insurance"/>
    <s v="WH-St Joseph-OB/GYN"/>
    <x v="0"/>
    <n v="1300"/>
    <n v="1279.76"/>
    <n v="1198.93"/>
    <n v="1185.22"/>
    <n v="1223.54"/>
    <n v="637.97"/>
    <n v="1968.97"/>
    <n v="2347.41"/>
    <n v="1256.6099999999999"/>
    <n v="1718.55"/>
    <n v="1284.82"/>
    <n v="1567.62"/>
    <n v="1830.2"/>
    <n v="17499.599999999999"/>
    <n v="-262.58000000000015"/>
  </r>
  <r>
    <x v="2"/>
    <x v="1"/>
    <x v="0"/>
    <s v="2544200"/>
    <n v="450029"/>
    <s v="Contr Allow--MD Other BCBS Comm"/>
    <s v="WH-St Joseph-OB/GYN"/>
    <x v="0"/>
    <n v="1301"/>
    <n v="2927.95"/>
    <n v="5388.82"/>
    <n v="1993.51"/>
    <n v="2686.74"/>
    <n v="1853.66"/>
    <n v="1727.28"/>
    <n v="2148.56"/>
    <n v="2091.9899999999998"/>
    <n v="5669.53"/>
    <n v="4033.23"/>
    <n v="2874.61"/>
    <n v="1983.44"/>
    <n v="35379.32"/>
    <n v="891.17000000000007"/>
  </r>
  <r>
    <x v="2"/>
    <x v="1"/>
    <x v="0"/>
    <s v="2544200"/>
    <n v="450029"/>
    <s v="Contr Allow--MD Other-Managed Care"/>
    <s v="WH-St Joseph-OB/GYN"/>
    <x v="0"/>
    <n v="1400"/>
    <n v="8649.91"/>
    <n v="12956.21"/>
    <n v="10010.459999999999"/>
    <n v="9019.34"/>
    <n v="15243.24"/>
    <n v="10719.82"/>
    <n v="14333.56"/>
    <n v="13712.98"/>
    <n v="14633.77"/>
    <n v="13354.26"/>
    <n v="19427.21"/>
    <n v="14158.18"/>
    <n v="156218.93999999997"/>
    <n v="5269.0299999999988"/>
  </r>
  <r>
    <x v="2"/>
    <x v="1"/>
    <x v="0"/>
    <s v="2544200"/>
    <n v="450029"/>
    <s v="Admin Adjust-MD Other-Self Pay"/>
    <s v="WH-St Joseph-OB/GYN"/>
    <x v="0"/>
    <n v="1600"/>
    <n v="621.22"/>
    <n v="671.07"/>
    <n v="34.71"/>
    <n v="2130.0700000000002"/>
    <n v="556.30999999999995"/>
    <n v="330.03"/>
    <n v="365.95"/>
    <n v="859.28"/>
    <n v="542.70000000000005"/>
    <n v="993.26"/>
    <n v="1005.62"/>
    <n v="892.65"/>
    <n v="9002.869999999999"/>
    <n v="112.97000000000003"/>
  </r>
  <r>
    <x v="2"/>
    <x v="1"/>
    <x v="0"/>
    <s v="2544200"/>
    <n v="450029"/>
    <s v="Contr Allow--MD Other-Other"/>
    <s v="WH-St Joseph-OB/GYN"/>
    <x v="0"/>
    <n v="1700"/>
    <n v="4112.17"/>
    <n v="4695.5600000000004"/>
    <n v="3165.59"/>
    <n v="4277.58"/>
    <n v="2118.25"/>
    <n v="4953.6099999999997"/>
    <n v="4808.63"/>
    <n v="3567.24"/>
    <n v="3369.42"/>
    <n v="4862.13"/>
    <n v="4489.9799999999996"/>
    <n v="4785.92"/>
    <n v="49206.080000000002"/>
    <n v="-295.94000000000051"/>
  </r>
  <r>
    <x v="2"/>
    <x v="1"/>
    <x v="0"/>
    <s v="2544200"/>
    <n v="450040"/>
    <s v="Contr Allow--Phys Svcs--Mcare"/>
    <s v="WH-St Joseph-OB/GYN"/>
    <x v="0"/>
    <n v="1100"/>
    <n v="9501.09"/>
    <n v="11258.43"/>
    <n v="10940.22"/>
    <n v="11280.95"/>
    <n v="5063.0200000000004"/>
    <n v="4021.65"/>
    <n v="18825.18"/>
    <n v="15770.18"/>
    <n v="7767.61"/>
    <n v="8374.42"/>
    <n v="13423.56"/>
    <n v="15079.54"/>
    <n v="131305.85"/>
    <n v="-1655.9800000000014"/>
  </r>
  <r>
    <x v="2"/>
    <x v="1"/>
    <x v="0"/>
    <s v="2544200"/>
    <n v="450040"/>
    <s v="Contr Allow--Phys Svcs--Mcaid"/>
    <s v="WH-St Joseph-OB/GYN"/>
    <x v="0"/>
    <n v="1200"/>
    <n v="285960.31"/>
    <n v="393381.03"/>
    <n v="301436.11"/>
    <n v="350567.27"/>
    <n v="365665.77"/>
    <n v="259750.42"/>
    <n v="312646.45"/>
    <n v="285899.95"/>
    <n v="339731.36"/>
    <n v="379390.27"/>
    <n v="303713.56"/>
    <n v="368028.78"/>
    <n v="3946171.2800000003"/>
    <n v="-64315.22000000003"/>
  </r>
  <r>
    <x v="2"/>
    <x v="1"/>
    <x v="0"/>
    <s v="2544200"/>
    <n v="450040"/>
    <s v="Contr Allow--Phys Svcs--Comm Insurance"/>
    <s v="WH-St Joseph-OB/GYN"/>
    <x v="0"/>
    <n v="1300"/>
    <n v="28905.599999999999"/>
    <n v="29263.23"/>
    <n v="30808.92"/>
    <n v="23366.53"/>
    <n v="24861.79"/>
    <n v="21843.81"/>
    <n v="15620.83"/>
    <n v="17841.13"/>
    <n v="20828.93"/>
    <n v="18011.55"/>
    <n v="25686.49"/>
    <n v="28327.599999999999"/>
    <n v="285366.40999999997"/>
    <n v="-2641.1099999999969"/>
  </r>
  <r>
    <x v="2"/>
    <x v="1"/>
    <x v="0"/>
    <s v="2544200"/>
    <n v="450040"/>
    <s v="Contr Allow--Phys Svcs--BCBS Comm Ins"/>
    <s v="WH-St Joseph-OB/GYN"/>
    <x v="0"/>
    <n v="1301"/>
    <n v="48451.12"/>
    <n v="69220.649999999994"/>
    <n v="38181.29"/>
    <n v="51799.24"/>
    <n v="44766.74"/>
    <n v="26097.14"/>
    <n v="26128.23"/>
    <n v="49084.75"/>
    <n v="63982.31"/>
    <n v="56569.5"/>
    <n v="40022.17"/>
    <n v="66494.02"/>
    <n v="580797.15999999992"/>
    <n v="-26471.850000000006"/>
  </r>
  <r>
    <x v="2"/>
    <x v="1"/>
    <x v="0"/>
    <s v="2544200"/>
    <n v="450040"/>
    <s v="Contr Allow--Phys Svcs--Managed Care"/>
    <s v="WH-St Joseph-OB/GYN"/>
    <x v="0"/>
    <n v="1400"/>
    <n v="153830.17000000001"/>
    <n v="233184.72"/>
    <n v="178804.03"/>
    <n v="179619.8"/>
    <n v="210364.4"/>
    <n v="131430.79"/>
    <n v="155925.74"/>
    <n v="180342.55"/>
    <n v="222253.66"/>
    <n v="231017.95"/>
    <n v="197507.57"/>
    <n v="191881.16"/>
    <n v="2266162.54"/>
    <n v="5626.4100000000035"/>
  </r>
  <r>
    <x v="2"/>
    <x v="1"/>
    <x v="0"/>
    <s v="2544200"/>
    <n v="450040"/>
    <s v="Contr Allow--Phys Svcs--BCBS Mgnd Care"/>
    <s v="WH-St Joseph-OB/GYN"/>
    <x v="0"/>
    <n v="1401"/>
    <n v="-12277.99"/>
    <n v="-109943.72"/>
    <n v="-29003.599999999999"/>
    <n v="141781.63"/>
    <n v="-102930.91"/>
    <n v="-40890.97"/>
    <n v="126035.78"/>
    <n v="151406.03"/>
    <n v="48686.9"/>
    <n v="-99945.32"/>
    <n v="73484.7"/>
    <n v="-97113.38"/>
    <n v="49289.149999999965"/>
    <n v="170598.08000000002"/>
  </r>
  <r>
    <x v="2"/>
    <x v="1"/>
    <x v="0"/>
    <s v="2544200"/>
    <n v="450040"/>
    <s v="Admin Adjust-Phys Svcs-Self Pay"/>
    <s v="WH-St Joseph-OB/GYN"/>
    <x v="0"/>
    <n v="1600"/>
    <n v="1495.66"/>
    <n v="12446.85"/>
    <n v="10858.69"/>
    <n v="10532.34"/>
    <n v="2244.77"/>
    <n v="13341.58"/>
    <n v="750.7"/>
    <n v="7424.25"/>
    <n v="8527.01"/>
    <n v="4207.1899999999996"/>
    <n v="7706.06"/>
    <n v="7432.08"/>
    <n v="86967.18"/>
    <n v="273.98000000000047"/>
  </r>
  <r>
    <x v="2"/>
    <x v="1"/>
    <x v="0"/>
    <s v="2544200"/>
    <n v="450040"/>
    <s v="Contr Allow--Phys Svcs--Other"/>
    <s v="WH-St Joseph-OB/GYN"/>
    <x v="0"/>
    <n v="1700"/>
    <n v="62637.73"/>
    <n v="87595.79"/>
    <n v="44425.05"/>
    <n v="59544.89"/>
    <n v="50812.85"/>
    <n v="72005.179999999993"/>
    <n v="81316.960000000006"/>
    <n v="44866.81"/>
    <n v="79628.87"/>
    <n v="68720.39"/>
    <n v="95199.52"/>
    <n v="56382.720000000001"/>
    <n v="803136.76"/>
    <n v="38816.800000000003"/>
  </r>
  <r>
    <x v="3"/>
    <x v="1"/>
    <x v="0"/>
    <s v="2544200"/>
    <n v="470040"/>
    <s v="Charity Care-Physician Svcs"/>
    <s v="WH-St Joseph-OB/GYN"/>
    <x v="0"/>
    <m/>
    <n v="6563.49"/>
    <n v="12043.54"/>
    <n v="6443.79"/>
    <n v="15060.76"/>
    <n v="5171.1899999999996"/>
    <n v="2499.1"/>
    <n v="22019.16"/>
    <n v="14148.36"/>
    <n v="12485.82"/>
    <n v="5336.01"/>
    <n v="9183"/>
    <n v="14709.05"/>
    <n v="125663.26999999999"/>
    <n v="-5526.0499999999993"/>
  </r>
  <r>
    <x v="4"/>
    <x v="1"/>
    <x v="0"/>
    <s v="2544200"/>
    <n v="490010"/>
    <s v="Provision for Bad Debts"/>
    <s v="WH-St Joseph-OB/GYN"/>
    <x v="0"/>
    <m/>
    <n v="9914.3700000000008"/>
    <n v="-3142.16"/>
    <n v="18391.259999999998"/>
    <n v="39053.75"/>
    <n v="-2824.54"/>
    <n v="-1213.6300000000001"/>
    <n v="8744.19"/>
    <n v="21144.03"/>
    <n v="20738.580000000002"/>
    <n v="-7455.11"/>
    <n v="27245.55"/>
    <n v="16879.12"/>
    <n v="147475.41"/>
    <n v="10366.43"/>
  </r>
  <r>
    <x v="14"/>
    <x v="1"/>
    <x v="0"/>
    <s v="2544200"/>
    <n v="600050"/>
    <s v="Miscellaneous Revenue"/>
    <s v="WH-St Joseph-OB/GYN"/>
    <x v="0"/>
    <m/>
    <n v="-12360"/>
    <n v="-2760"/>
    <n v="-6600"/>
    <n v="-4200"/>
    <n v="-6000"/>
    <n v="-5400"/>
    <n v="-6900"/>
    <n v="-6000"/>
    <n v="-7800"/>
    <n v="-8700"/>
    <n v="-9000"/>
    <n v="-7400"/>
    <n v="-83120"/>
    <n v="-1600"/>
  </r>
  <r>
    <x v="5"/>
    <x v="1"/>
    <x v="0"/>
    <s v="2544200"/>
    <n v="700018"/>
    <s v="Salaries-Supervisory-Productive"/>
    <s v="WH-St Joseph-OB/GYN"/>
    <x v="0"/>
    <m/>
    <n v="0"/>
    <n v="0"/>
    <n v="3327.6"/>
    <n v="5252.08"/>
    <n v="3452.4"/>
    <n v="4580.18"/>
    <n v="4771.6000000000004"/>
    <n v="4702.17"/>
    <n v="4494.71"/>
    <n v="5186.2"/>
    <n v="5013.34"/>
    <n v="4609.96"/>
    <n v="45390.239999999998"/>
    <n v="403.38000000000011"/>
  </r>
  <r>
    <x v="5"/>
    <x v="1"/>
    <x v="0"/>
    <s v="2544200"/>
    <n v="700022"/>
    <s v="Salaries-Physician-Productive"/>
    <s v="WH-St Joseph-OB/GYN"/>
    <x v="0"/>
    <m/>
    <n v="115195.43"/>
    <n v="117027.11"/>
    <n v="73664.91"/>
    <n v="103116.36"/>
    <n v="96419.92"/>
    <n v="74592.710000000006"/>
    <n v="90002.3"/>
    <n v="114807.84"/>
    <n v="90809.3"/>
    <n v="116228.96"/>
    <n v="122407.66"/>
    <n v="75966.399999999994"/>
    <n v="1190238.8999999999"/>
    <n v="46441.260000000009"/>
  </r>
  <r>
    <x v="5"/>
    <x v="1"/>
    <x v="0"/>
    <s v="2544200"/>
    <n v="700022"/>
    <s v="Salaries-Physician-Other"/>
    <s v="WH-St Joseph-OB/GYN"/>
    <x v="0"/>
    <n v="2000"/>
    <n v="7920"/>
    <n v="30590"/>
    <n v="7860"/>
    <n v="20780"/>
    <n v="15180"/>
    <n v="25660"/>
    <n v="8407.0400000000009"/>
    <n v="18320.189999999999"/>
    <n v="15516.14"/>
    <n v="23015.31"/>
    <n v="6130.28"/>
    <n v="30780"/>
    <n v="210158.96"/>
    <n v="-24649.72"/>
  </r>
  <r>
    <x v="5"/>
    <x v="1"/>
    <x v="0"/>
    <s v="2544200"/>
    <n v="700024"/>
    <s v="Salaries-Advanced Practice Clinician-Productive"/>
    <s v="WH-St Joseph-OB/GYN"/>
    <x v="0"/>
    <m/>
    <n v="110375.01"/>
    <n v="135060.12"/>
    <n v="106435.13"/>
    <n v="114771.14"/>
    <n v="92463.11"/>
    <n v="109361.69"/>
    <n v="111359.07"/>
    <n v="109943.55"/>
    <n v="120078.82"/>
    <n v="132041.53"/>
    <n v="121174.51"/>
    <n v="87335.96"/>
    <n v="1350399.6400000001"/>
    <n v="33838.549999999988"/>
  </r>
  <r>
    <x v="5"/>
    <x v="1"/>
    <x v="0"/>
    <s v="2544200"/>
    <n v="700026"/>
    <s v="Salaries-RN-Productive"/>
    <s v="WH-St Joseph-OB/GYN"/>
    <x v="0"/>
    <m/>
    <n v="15854.13"/>
    <n v="17978.740000000002"/>
    <n v="10631.43"/>
    <n v="14065.15"/>
    <n v="10526.77"/>
    <n v="9929.7000000000007"/>
    <n v="20114.09"/>
    <n v="14201.49"/>
    <n v="13213.51"/>
    <n v="18129.830000000002"/>
    <n v="17896.03"/>
    <n v="11851.67"/>
    <n v="174392.54"/>
    <n v="6044.3599999999988"/>
  </r>
  <r>
    <x v="5"/>
    <x v="1"/>
    <x v="0"/>
    <s v="2544200"/>
    <n v="700026"/>
    <s v="Salaries-RN-OT"/>
    <s v="WH-St Joseph-OB/GYN"/>
    <x v="0"/>
    <n v="1000"/>
    <n v="0"/>
    <n v="0"/>
    <n v="0"/>
    <n v="284.04000000000002"/>
    <n v="165.09"/>
    <n v="0"/>
    <n v="0"/>
    <n v="0"/>
    <n v="35.25"/>
    <n v="8.24"/>
    <n v="816.77"/>
    <n v="-96.43"/>
    <n v="1212.9599999999998"/>
    <n v="913.2"/>
  </r>
  <r>
    <x v="5"/>
    <x v="1"/>
    <x v="0"/>
    <s v="2544200"/>
    <n v="700030"/>
    <s v="Salaries-LPN-Productive"/>
    <s v="WH-St Joseph-OB/GYN"/>
    <x v="0"/>
    <m/>
    <n v="32303.26"/>
    <n v="38508.949999999997"/>
    <n v="26305.02"/>
    <n v="38450.050000000003"/>
    <n v="34119.35"/>
    <n v="35885.29"/>
    <n v="37704.68"/>
    <n v="30590.05"/>
    <n v="32348.12"/>
    <n v="41878.82"/>
    <n v="37123.760000000002"/>
    <n v="30814.45"/>
    <n v="416031.80000000005"/>
    <n v="6309.3100000000013"/>
  </r>
  <r>
    <x v="5"/>
    <x v="1"/>
    <x v="0"/>
    <s v="2544200"/>
    <n v="700030"/>
    <s v="Salaries-LPN-OT"/>
    <s v="WH-St Joseph-OB/GYN"/>
    <x v="0"/>
    <n v="1000"/>
    <n v="386.58"/>
    <n v="525.74"/>
    <n v="612.77"/>
    <n v="998.68"/>
    <n v="230.7"/>
    <n v="595.04999999999995"/>
    <n v="323.63"/>
    <n v="62.57"/>
    <n v="889.98"/>
    <n v="458.61"/>
    <n v="155.27000000000001"/>
    <n v="319.49"/>
    <n v="5559.07"/>
    <n v="-164.22"/>
  </r>
  <r>
    <x v="5"/>
    <x v="1"/>
    <x v="0"/>
    <s v="2544200"/>
    <n v="700030"/>
    <s v="Salaries-LPN-Other"/>
    <s v="WH-St Joseph-OB/GYN"/>
    <x v="0"/>
    <n v="2000"/>
    <n v="0"/>
    <n v="6"/>
    <n v="4.75"/>
    <n v="11.15"/>
    <n v="7.1"/>
    <n v="23.25"/>
    <n v="16.88"/>
    <n v="21.38"/>
    <n v="-0.72"/>
    <n v="3.39"/>
    <n v="0"/>
    <n v="0"/>
    <n v="93.179999999999993"/>
    <n v="0"/>
  </r>
  <r>
    <x v="5"/>
    <x v="1"/>
    <x v="0"/>
    <s v="2544200"/>
    <n v="700032"/>
    <s v="Salaries-Other Pat Care Providers-Productive"/>
    <s v="WH-St Joseph-OB/GYN"/>
    <x v="0"/>
    <m/>
    <n v="12001.96"/>
    <n v="12913.2"/>
    <n v="10701.96"/>
    <n v="11241.44"/>
    <n v="6641.03"/>
    <n v="9329.44"/>
    <n v="10183.219999999999"/>
    <n v="9154.57"/>
    <n v="8979.68"/>
    <n v="10772.22"/>
    <n v="9438.36"/>
    <n v="8536"/>
    <n v="119893.08"/>
    <n v="902.36000000000058"/>
  </r>
  <r>
    <x v="5"/>
    <x v="1"/>
    <x v="0"/>
    <s v="2544200"/>
    <n v="700032"/>
    <s v="Salaries-Other Pat Care Providers-OT"/>
    <s v="WH-St Joseph-OB/GYN"/>
    <x v="0"/>
    <n v="1000"/>
    <n v="81.93"/>
    <n v="76.03"/>
    <n v="145.74"/>
    <n v="168.98"/>
    <n v="-34.44"/>
    <n v="379.31"/>
    <n v="11.57"/>
    <n v="24.67"/>
    <n v="80.48"/>
    <n v="23.38"/>
    <n v="103.63"/>
    <n v="-40.409999999999997"/>
    <n v="1020.8700000000002"/>
    <n v="144.04"/>
  </r>
  <r>
    <x v="5"/>
    <x v="1"/>
    <x v="0"/>
    <s v="2544200"/>
    <n v="700032"/>
    <s v="Salaries-Other Pat Care Providers-Other"/>
    <s v="WH-St Joseph-OB/GYN"/>
    <x v="0"/>
    <n v="2000"/>
    <n v="0"/>
    <n v="0"/>
    <n v="4.75"/>
    <n v="0"/>
    <n v="0"/>
    <n v="30"/>
    <n v="0"/>
    <n v="0"/>
    <n v="4.76"/>
    <n v="4.01"/>
    <n v="4.01"/>
    <n v="14.28"/>
    <n v="61.809999999999995"/>
    <n v="-10.27"/>
  </r>
  <r>
    <x v="5"/>
    <x v="1"/>
    <x v="0"/>
    <s v="2544200"/>
    <n v="700034"/>
    <s v="Salaries-Tech/Professional-Productive"/>
    <s v="WH-St Joseph-OB/GYN"/>
    <x v="0"/>
    <m/>
    <n v="0"/>
    <n v="0"/>
    <n v="0"/>
    <n v="0"/>
    <n v="233.86"/>
    <n v="-116.93"/>
    <n v="260.23"/>
    <n v="0"/>
    <n v="0"/>
    <n v="0"/>
    <n v="0"/>
    <n v="0"/>
    <n v="377.16"/>
    <n v="0"/>
  </r>
  <r>
    <x v="5"/>
    <x v="1"/>
    <x v="0"/>
    <s v="2544200"/>
    <n v="700054"/>
    <s v="Salaries-Management-NonProd-Other"/>
    <s v="WH-St Joseph-OB/GYN"/>
    <x v="0"/>
    <n v="2000"/>
    <n v="0"/>
    <n v="0"/>
    <n v="0"/>
    <n v="0"/>
    <n v="0"/>
    <n v="759.26"/>
    <n v="-759.26"/>
    <n v="0"/>
    <n v="0"/>
    <n v="0"/>
    <n v="0"/>
    <n v="0"/>
    <n v="0"/>
    <n v="0"/>
  </r>
  <r>
    <x v="5"/>
    <x v="1"/>
    <x v="0"/>
    <s v="2544200"/>
    <n v="700058"/>
    <s v="Salaries-Supervisory-Non-productive"/>
    <s v="WH-St Joseph-OB/GYN"/>
    <x v="0"/>
    <m/>
    <n v="4880.49"/>
    <n v="2419.4499999999998"/>
    <n v="-166.38"/>
    <n v="0"/>
    <n v="1611.12"/>
    <n v="253.17"/>
    <n v="530.17999999999995"/>
    <n v="-92.19"/>
    <n v="345.75"/>
    <n v="-115.25"/>
    <n v="288.12"/>
    <n v="0"/>
    <n v="9954.4600000000009"/>
    <n v="288.12"/>
  </r>
  <r>
    <x v="5"/>
    <x v="1"/>
    <x v="0"/>
    <s v="2544200"/>
    <n v="700058"/>
    <s v="Salaries-Supervisory-NonProd-Other"/>
    <s v="WH-St Joseph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44200"/>
    <n v="700062"/>
    <s v="Salaries-Physician-Non-productive"/>
    <s v="WH-St Joseph-OB/GYN"/>
    <x v="0"/>
    <m/>
    <n v="1050.8800000000001"/>
    <n v="15187.92"/>
    <n v="16096.2"/>
    <n v="4740.76"/>
    <n v="6530.16"/>
    <n v="29837.03"/>
    <n v="24655.78"/>
    <n v="-2910.75"/>
    <n v="19314.599999999999"/>
    <n v="8716.68"/>
    <n v="-3608.67"/>
    <n v="23772.799999999999"/>
    <n v="143383.38999999998"/>
    <n v="-27381.47"/>
  </r>
  <r>
    <x v="5"/>
    <x v="1"/>
    <x v="0"/>
    <s v="2544200"/>
    <n v="700062"/>
    <s v="Salaries-Physician-NonProd-Other"/>
    <s v="WH-St Joseph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44200"/>
    <n v="700064"/>
    <s v="Salaries-Advanced Practice Clinician-Non-Productive"/>
    <s v="WH-St Joseph-OB/GYN"/>
    <x v="0"/>
    <m/>
    <n v="13118.03"/>
    <n v="10425.26"/>
    <n v="7205.46"/>
    <n v="10908.98"/>
    <n v="29665.01"/>
    <n v="6482.81"/>
    <n v="16736.12"/>
    <n v="4131.4399999999996"/>
    <n v="10493.89"/>
    <n v="4272.51"/>
    <n v="17406.02"/>
    <n v="32707.93"/>
    <n v="163553.46"/>
    <n v="-15301.91"/>
  </r>
  <r>
    <x v="5"/>
    <x v="1"/>
    <x v="0"/>
    <s v="2544200"/>
    <n v="700064"/>
    <s v="Salaries-Advanced Practice Clinician-Non-Prod-Other"/>
    <s v="WH-St Joseph-OB/GYN"/>
    <x v="0"/>
    <n v="2000"/>
    <n v="0"/>
    <n v="0"/>
    <n v="0"/>
    <n v="0"/>
    <n v="-1025.22"/>
    <n v="512.61"/>
    <n v="0"/>
    <n v="0"/>
    <n v="0"/>
    <n v="0"/>
    <n v="0"/>
    <n v="0"/>
    <n v="-512.61"/>
    <n v="0"/>
  </r>
  <r>
    <x v="5"/>
    <x v="1"/>
    <x v="0"/>
    <s v="2544200"/>
    <n v="700066"/>
    <s v="Salaries-RN-Non-productive"/>
    <s v="WH-St Joseph-OB/GYN"/>
    <x v="0"/>
    <m/>
    <n v="1251.2"/>
    <n v="118.59"/>
    <n v="1523.54"/>
    <n v="-230.65"/>
    <n v="1292.1600000000001"/>
    <n v="2101.88"/>
    <n v="385.96"/>
    <n v="123.33"/>
    <n v="0"/>
    <n v="0"/>
    <n v="0"/>
    <n v="2847.45"/>
    <n v="9413.4599999999991"/>
    <n v="-2847.45"/>
  </r>
  <r>
    <x v="5"/>
    <x v="1"/>
    <x v="0"/>
    <s v="2544200"/>
    <n v="700066"/>
    <s v="Salaries-RN-NonProd-Other"/>
    <s v="WH-St Joseph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44200"/>
    <n v="700070"/>
    <s v="Salaries-LPN-Non-productive"/>
    <s v="WH-St Joseph-OB/GYN"/>
    <x v="0"/>
    <m/>
    <n v="5072.72"/>
    <n v="1022.8"/>
    <n v="5432.81"/>
    <n v="230.29"/>
    <n v="1105.3399999999999"/>
    <n v="8678.99"/>
    <n v="3821.59"/>
    <n v="6385"/>
    <n v="2819.31"/>
    <n v="2025.04"/>
    <n v="7411.34"/>
    <n v="3609.73"/>
    <n v="47614.960000000014"/>
    <n v="3801.61"/>
  </r>
  <r>
    <x v="5"/>
    <x v="1"/>
    <x v="0"/>
    <s v="2544200"/>
    <n v="700070"/>
    <s v="Salaries-LPN-NonProd-Other"/>
    <s v="WH-St Joseph-OB/GYN"/>
    <x v="0"/>
    <n v="2000"/>
    <n v="0"/>
    <n v="0"/>
    <n v="0"/>
    <n v="0"/>
    <n v="325.73"/>
    <n v="0"/>
    <n v="0"/>
    <n v="-325.73"/>
    <n v="0"/>
    <n v="0"/>
    <n v="0"/>
    <n v="0"/>
    <n v="0"/>
    <n v="0"/>
  </r>
  <r>
    <x v="5"/>
    <x v="1"/>
    <x v="0"/>
    <s v="2544200"/>
    <n v="700072"/>
    <s v="Salaries-Other Pat Care Providers-Non-productive"/>
    <s v="WH-St Joseph-OB/GYN"/>
    <x v="0"/>
    <m/>
    <n v="1627.47"/>
    <n v="1422.92"/>
    <n v="2931.62"/>
    <n v="-104.36"/>
    <n v="2442.3200000000002"/>
    <n v="1619.27"/>
    <n v="1132.6300000000001"/>
    <n v="967.4"/>
    <n v="1051.92"/>
    <n v="188.08"/>
    <n v="617.1"/>
    <n v="1532.83"/>
    <n v="15429.200000000003"/>
    <n v="-915.7299999999999"/>
  </r>
  <r>
    <x v="5"/>
    <x v="1"/>
    <x v="0"/>
    <s v="2544200"/>
    <n v="700072"/>
    <s v="Salaries-Other Pat Care Providers-NonProd-Other"/>
    <s v="WH-St Joseph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44200"/>
    <n v="700084"/>
    <s v="Accrued PTO"/>
    <s v="WH-St Joseph-OB/GYN"/>
    <x v="0"/>
    <m/>
    <n v="-4593.55"/>
    <n v="1358"/>
    <n v="-1200.3399999999999"/>
    <n v="4212.93"/>
    <n v="2206.8000000000002"/>
    <n v="-4220.45"/>
    <n v="383.56"/>
    <n v="2518.0700000000002"/>
    <n v="1835.79"/>
    <n v="3264.05"/>
    <n v="1124.0899999999999"/>
    <n v="-242.62"/>
    <n v="6646.3300000000008"/>
    <n v="1366.71"/>
  </r>
  <r>
    <x v="6"/>
    <x v="1"/>
    <x v="0"/>
    <s v="2544200"/>
    <n v="713010"/>
    <s v="Benefits-FICA/Medicare"/>
    <s v="WH-St Joseph-OB/GYN"/>
    <x v="0"/>
    <m/>
    <n v="16791.29"/>
    <n v="18566.02"/>
    <n v="14311.7"/>
    <n v="15803.01"/>
    <n v="10919.45"/>
    <n v="14865.89"/>
    <n v="24585.23"/>
    <n v="22370.25"/>
    <n v="19360.2"/>
    <n v="21179.15"/>
    <n v="17875.73"/>
    <n v="15344.18"/>
    <n v="211972.1"/>
    <n v="2531.5499999999993"/>
  </r>
  <r>
    <x v="6"/>
    <x v="1"/>
    <x v="0"/>
    <s v="2544200"/>
    <n v="713090"/>
    <s v="Benefits-Allocated Amounts"/>
    <s v="WH-St Joseph-OB/GYN"/>
    <x v="0"/>
    <m/>
    <n v="0"/>
    <n v="0"/>
    <n v="0"/>
    <n v="0"/>
    <n v="0"/>
    <n v="0"/>
    <n v="0"/>
    <n v="0"/>
    <n v="194981.6"/>
    <n v="24554.15"/>
    <n v="23502.06"/>
    <n v="23091.47"/>
    <n v="266129.28000000003"/>
    <n v="410.59000000000015"/>
  </r>
  <r>
    <x v="6"/>
    <x v="1"/>
    <x v="0"/>
    <s v="2544200"/>
    <n v="713092"/>
    <s v="Allocated Benefits-Physician"/>
    <s v="WH-St Joseph-OB/GYN"/>
    <x v="0"/>
    <m/>
    <n v="12653.29"/>
    <n v="12159.59"/>
    <n v="11115.57"/>
    <n v="11421.22"/>
    <n v="10772.42"/>
    <n v="12168.25"/>
    <n v="14245.72"/>
    <n v="13636.92"/>
    <n v="-55554.07"/>
    <n v="5367.03"/>
    <n v="5137.0600000000004"/>
    <n v="5047.32"/>
    <n v="58170.319999999992"/>
    <n v="89.740000000000691"/>
  </r>
  <r>
    <x v="6"/>
    <x v="1"/>
    <x v="0"/>
    <s v="2544200"/>
    <n v="713093"/>
    <s v="Allocated Benefits-Advanced Practice Clinician"/>
    <s v="WH-St Joseph-OB/GYN"/>
    <x v="0"/>
    <m/>
    <n v="28105.599999999999"/>
    <n v="27009"/>
    <n v="24690.01"/>
    <n v="25368.93"/>
    <n v="23927.82"/>
    <n v="27028.240000000002"/>
    <n v="31642.720000000001"/>
    <n v="30290.48"/>
    <n v="-94328.88"/>
    <n v="15581.9"/>
    <n v="14914.24"/>
    <n v="14653.68"/>
    <n v="168883.74"/>
    <n v="260.55999999999949"/>
  </r>
  <r>
    <x v="6"/>
    <x v="1"/>
    <x v="0"/>
    <s v="2544200"/>
    <n v="713096"/>
    <s v="Employee Recognition"/>
    <s v="WH-St Joseph-OB/GYN"/>
    <x v="0"/>
    <n v="1017"/>
    <n v="0"/>
    <n v="0"/>
    <n v="0"/>
    <n v="0"/>
    <n v="0"/>
    <n v="64.260000000000005"/>
    <n v="0"/>
    <n v="0"/>
    <n v="0"/>
    <n v="46.93"/>
    <n v="0"/>
    <n v="67.989999999999995"/>
    <n v="179.18"/>
    <n v="-67.989999999999995"/>
  </r>
  <r>
    <x v="7"/>
    <x v="1"/>
    <x v="0"/>
    <s v="2544200"/>
    <n v="718010"/>
    <s v="Media/Print Advertising"/>
    <s v="WH-St Joseph-OB/GYN"/>
    <x v="0"/>
    <n v="1004"/>
    <n v="0"/>
    <n v="0"/>
    <n v="0"/>
    <n v="0"/>
    <n v="0"/>
    <n v="0"/>
    <n v="0"/>
    <n v="0"/>
    <n v="369.6"/>
    <n v="0"/>
    <n v="0"/>
    <n v="0"/>
    <n v="369.6"/>
    <n v="0"/>
  </r>
  <r>
    <x v="7"/>
    <x v="1"/>
    <x v="0"/>
    <s v="2544200"/>
    <n v="718040"/>
    <s v="Contract Svcs-Laboratory"/>
    <s v="WH-St Joseph-OB/GYN"/>
    <x v="0"/>
    <m/>
    <n v="51.2"/>
    <n v="0"/>
    <n v="0"/>
    <n v="0"/>
    <n v="0"/>
    <n v="0"/>
    <n v="51.2"/>
    <n v="0"/>
    <n v="0"/>
    <n v="0"/>
    <n v="0"/>
    <n v="0"/>
    <n v="102.4"/>
    <n v="0"/>
  </r>
  <r>
    <x v="7"/>
    <x v="1"/>
    <x v="0"/>
    <s v="2544200"/>
    <n v="718050"/>
    <s v="Contract Svcs-Other"/>
    <s v="WH-St Joseph-OB/GYN"/>
    <x v="0"/>
    <m/>
    <n v="198.29"/>
    <n v="276.29000000000002"/>
    <n v="359.69"/>
    <n v="168.29"/>
    <n v="168.29"/>
    <n v="0"/>
    <n v="3318.29"/>
    <n v="0"/>
    <n v="2895.33"/>
    <n v="1718.29"/>
    <n v="2367"/>
    <n v="2611.84"/>
    <n v="14081.599999999999"/>
    <n v="-244.84000000000015"/>
  </r>
  <r>
    <x v="7"/>
    <x v="1"/>
    <x v="0"/>
    <s v="2544200"/>
    <n v="718050"/>
    <s v="Contract Management--Linen"/>
    <s v="WH-St Joseph-OB/GYN"/>
    <x v="0"/>
    <n v="1026"/>
    <n v="0"/>
    <n v="0"/>
    <n v="2198.17"/>
    <n v="1327.74"/>
    <n v="0"/>
    <n v="0"/>
    <n v="1749.82"/>
    <n v="0"/>
    <n v="706.34"/>
    <n v="1756.71"/>
    <n v="725.66"/>
    <n v="1586.16"/>
    <n v="10050.6"/>
    <n v="-860.50000000000011"/>
  </r>
  <r>
    <x v="11"/>
    <x v="1"/>
    <x v="0"/>
    <s v="2544200"/>
    <n v="721410"/>
    <s v="Supplies-Medical - Nonbillable"/>
    <s v="WH-St Joseph-OB/GYN"/>
    <x v="0"/>
    <m/>
    <n v="1846.61"/>
    <n v="6814.89"/>
    <n v="0"/>
    <n v="5477.59"/>
    <n v="4783.95"/>
    <n v="0"/>
    <n v="8005.55"/>
    <n v="0"/>
    <n v="7436.38"/>
    <n v="3115.91"/>
    <n v="0"/>
    <n v="9322.31"/>
    <n v="46803.19"/>
    <n v="-9322.31"/>
  </r>
  <r>
    <x v="11"/>
    <x v="1"/>
    <x v="0"/>
    <s v="2544200"/>
    <n v="721830"/>
    <s v="Supplies-Office"/>
    <s v="WH-St Joseph-OB/GYN"/>
    <x v="0"/>
    <m/>
    <n v="0"/>
    <n v="0"/>
    <n v="0"/>
    <n v="0"/>
    <n v="73.599999999999994"/>
    <n v="57.93"/>
    <n v="0"/>
    <n v="0"/>
    <n v="0"/>
    <n v="27.38"/>
    <n v="0"/>
    <n v="0"/>
    <n v="158.91"/>
    <n v="0"/>
  </r>
  <r>
    <x v="11"/>
    <x v="1"/>
    <x v="0"/>
    <s v="2544200"/>
    <n v="721835"/>
    <s v="Supplies-Forms"/>
    <s v="WH-St Joseph-OB/GYN"/>
    <x v="0"/>
    <m/>
    <n v="0"/>
    <n v="0"/>
    <n v="0"/>
    <n v="0"/>
    <n v="9.1999999999999993"/>
    <n v="0"/>
    <n v="0"/>
    <n v="0"/>
    <n v="0"/>
    <n v="0"/>
    <n v="0"/>
    <n v="0"/>
    <n v="9.1999999999999993"/>
    <n v="0"/>
  </r>
  <r>
    <x v="11"/>
    <x v="1"/>
    <x v="0"/>
    <s v="2544200"/>
    <n v="722000"/>
    <s v="Supplies-Freight Expense"/>
    <s v="WH-St Joseph-OB/GYN"/>
    <x v="0"/>
    <m/>
    <n v="0"/>
    <n v="26.95"/>
    <n v="0"/>
    <n v="0"/>
    <n v="0"/>
    <n v="0"/>
    <n v="0"/>
    <n v="0"/>
    <n v="0"/>
    <n v="0"/>
    <n v="0"/>
    <n v="18.239999999999998"/>
    <n v="45.19"/>
    <n v="-18.239999999999998"/>
  </r>
  <r>
    <x v="0"/>
    <x v="1"/>
    <x v="0"/>
    <s v="2544200"/>
    <n v="740022"/>
    <s v="Education-Physician"/>
    <s v="WH-St Joseph-OB/GYN"/>
    <x v="0"/>
    <m/>
    <n v="0"/>
    <n v="4133"/>
    <n v="0"/>
    <n v="653.69000000000005"/>
    <n v="0"/>
    <n v="0"/>
    <n v="0"/>
    <n v="0"/>
    <n v="665"/>
    <n v="0"/>
    <n v="0"/>
    <n v="0"/>
    <n v="5451.6900000000005"/>
    <n v="0"/>
  </r>
  <r>
    <x v="0"/>
    <x v="1"/>
    <x v="0"/>
    <s v="2544200"/>
    <n v="740022"/>
    <s v="Books-Physician"/>
    <s v="WH-St Joseph-OB/GYN"/>
    <x v="0"/>
    <n v="2000"/>
    <n v="0"/>
    <n v="0"/>
    <n v="0"/>
    <n v="0"/>
    <n v="0"/>
    <n v="385"/>
    <n v="0"/>
    <n v="0"/>
    <n v="0"/>
    <n v="0"/>
    <n v="0"/>
    <n v="0"/>
    <n v="385"/>
    <n v="0"/>
  </r>
  <r>
    <x v="0"/>
    <x v="1"/>
    <x v="0"/>
    <s v="2544200"/>
    <n v="740023"/>
    <s v="Education-Advanced Practice Clinician"/>
    <s v="WH-St Joseph-OB/GYN"/>
    <x v="0"/>
    <m/>
    <n v="1855"/>
    <n v="1670"/>
    <n v="2052.8000000000002"/>
    <n v="585"/>
    <n v="0"/>
    <n v="1055.3800000000001"/>
    <n v="0"/>
    <n v="100"/>
    <n v="0"/>
    <n v="0"/>
    <n v="300"/>
    <n v="2726.06"/>
    <n v="10344.24"/>
    <n v="-2426.06"/>
  </r>
  <r>
    <x v="8"/>
    <x v="1"/>
    <x v="0"/>
    <s v="2544200"/>
    <n v="741012"/>
    <s v="Physician Liab Insurance-CHI Program"/>
    <s v="WH-St Joseph-OB/GYN"/>
    <x v="0"/>
    <m/>
    <n v="7697.12"/>
    <n v="7697.12"/>
    <n v="6512.95"/>
    <n v="6512.95"/>
    <n v="6512.95"/>
    <n v="6512.95"/>
    <n v="6512.95"/>
    <n v="6512.95"/>
    <n v="6512.95"/>
    <n v="6512.95"/>
    <n v="6512.95"/>
    <n v="6512.95"/>
    <n v="80523.739999999976"/>
    <n v="0"/>
  </r>
  <r>
    <x v="0"/>
    <x v="1"/>
    <x v="0"/>
    <s v="2544200"/>
    <n v="743010"/>
    <s v="Dues--Institutional"/>
    <s v="WH-St Joseph-OB/GYN"/>
    <x v="0"/>
    <m/>
    <n v="0"/>
    <n v="0"/>
    <n v="425"/>
    <n v="0"/>
    <n v="0"/>
    <n v="0"/>
    <n v="0"/>
    <n v="0"/>
    <n v="0"/>
    <n v="0"/>
    <n v="0"/>
    <n v="45"/>
    <n v="470"/>
    <n v="-45"/>
  </r>
  <r>
    <x v="0"/>
    <x v="1"/>
    <x v="0"/>
    <s v="2544200"/>
    <n v="743020"/>
    <s v="Provider-Dues"/>
    <s v="WH-St Joseph-OB/GYN"/>
    <x v="0"/>
    <n v="2200"/>
    <n v="0"/>
    <n v="0"/>
    <n v="425"/>
    <n v="70"/>
    <n v="-70"/>
    <n v="0"/>
    <n v="0"/>
    <n v="0"/>
    <n v="2235"/>
    <n v="0"/>
    <n v="0"/>
    <n v="0"/>
    <n v="2660"/>
    <n v="0"/>
  </r>
  <r>
    <x v="0"/>
    <x v="1"/>
    <x v="0"/>
    <s v="2544200"/>
    <n v="743022"/>
    <s v="Dues-Physician"/>
    <s v="WH-St Joseph-OB/GYN"/>
    <x v="0"/>
    <m/>
    <n v="0"/>
    <n v="0"/>
    <n v="0"/>
    <n v="0"/>
    <n v="0"/>
    <n v="0"/>
    <n v="0"/>
    <n v="855"/>
    <n v="650"/>
    <n v="0"/>
    <n v="0"/>
    <n v="1555"/>
    <n v="3060"/>
    <n v="-1555"/>
  </r>
  <r>
    <x v="0"/>
    <x v="1"/>
    <x v="0"/>
    <s v="2544200"/>
    <n v="743023"/>
    <s v="Dues-Advanced Practice Clinician"/>
    <s v="WH-St Joseph-OB/GYN"/>
    <x v="0"/>
    <m/>
    <n v="495"/>
    <n v="1050"/>
    <n v="200"/>
    <n v="0"/>
    <n v="0"/>
    <n v="0"/>
    <n v="245"/>
    <n v="0"/>
    <n v="0"/>
    <n v="850"/>
    <n v="0"/>
    <n v="70"/>
    <n v="2910"/>
    <n v="-70"/>
  </r>
  <r>
    <x v="0"/>
    <x v="1"/>
    <x v="0"/>
    <s v="2544200"/>
    <n v="743042"/>
    <s v="Subscriptions-Physician"/>
    <s v="WH-St Joseph-OB/GYN"/>
    <x v="0"/>
    <m/>
    <n v="571.41999999999996"/>
    <n v="0"/>
    <n v="0"/>
    <n v="0"/>
    <n v="0"/>
    <n v="0"/>
    <n v="0"/>
    <n v="0"/>
    <n v="0"/>
    <n v="0"/>
    <n v="0"/>
    <n v="0"/>
    <n v="571.41999999999996"/>
    <n v="0"/>
  </r>
  <r>
    <x v="0"/>
    <x v="1"/>
    <x v="0"/>
    <s v="2544200"/>
    <n v="743043"/>
    <s v="Subscriptions-Advanced Practice Clinician"/>
    <s v="WH-St Joseph-OB/GYN"/>
    <x v="0"/>
    <m/>
    <n v="0"/>
    <n v="0"/>
    <n v="0"/>
    <n v="0"/>
    <n v="0"/>
    <n v="0"/>
    <n v="0"/>
    <n v="0"/>
    <n v="0"/>
    <n v="0"/>
    <n v="0"/>
    <n v="75"/>
    <n v="75"/>
    <n v="-75"/>
  </r>
  <r>
    <x v="0"/>
    <x v="1"/>
    <x v="0"/>
    <s v="2544200"/>
    <n v="749510"/>
    <s v="Miscellaneous Expenses"/>
    <s v="WH-St Joseph-OB/GYN"/>
    <x v="0"/>
    <m/>
    <n v="-5376.45"/>
    <n v="-722.84"/>
    <n v="296.41000000000003"/>
    <n v="-80.8"/>
    <n v="17.600000000000001"/>
    <n v="-17.100000000000001"/>
    <n v="411.7"/>
    <n v="780.21"/>
    <n v="-1804.41"/>
    <n v="731"/>
    <n v="2159.0500000000002"/>
    <n v="-1667.55"/>
    <n v="-5273.18"/>
    <n v="3826.6000000000004"/>
  </r>
  <r>
    <x v="0"/>
    <x v="1"/>
    <x v="0"/>
    <s v="2544200"/>
    <n v="749512"/>
    <s v="Licenses-Physician"/>
    <s v="WH-St Joseph-OB/GYN"/>
    <x v="0"/>
    <n v="2000"/>
    <n v="0"/>
    <n v="0"/>
    <n v="0"/>
    <n v="0"/>
    <n v="0"/>
    <n v="217.68"/>
    <n v="0"/>
    <n v="0"/>
    <n v="0"/>
    <n v="0"/>
    <n v="0"/>
    <n v="1456"/>
    <n v="1673.68"/>
    <n v="-1456"/>
  </r>
  <r>
    <x v="0"/>
    <x v="1"/>
    <x v="0"/>
    <s v="2544200"/>
    <n v="749513"/>
    <s v="Licenses-Advanced Practice Clinician"/>
    <s v="WH-St Joseph-OB/GYN"/>
    <x v="0"/>
    <n v="2000"/>
    <n v="0"/>
    <n v="0"/>
    <n v="0"/>
    <n v="0"/>
    <n v="0"/>
    <n v="125"/>
    <n v="487.5"/>
    <n v="435"/>
    <n v="1168.5"/>
    <n v="0"/>
    <n v="976"/>
    <n v="375"/>
    <n v="3567"/>
    <n v="601"/>
  </r>
  <r>
    <x v="0"/>
    <x v="1"/>
    <x v="0"/>
    <s v="2544200"/>
    <n v="749530"/>
    <s v="Travel"/>
    <s v="WH-St Joseph-OB/GYN"/>
    <x v="0"/>
    <m/>
    <n v="6"/>
    <n v="0"/>
    <n v="0"/>
    <n v="0"/>
    <n v="0"/>
    <n v="0"/>
    <n v="0"/>
    <n v="0"/>
    <n v="0"/>
    <n v="0"/>
    <n v="0"/>
    <n v="0"/>
    <n v="6"/>
    <n v="0"/>
  </r>
  <r>
    <x v="0"/>
    <x v="1"/>
    <x v="0"/>
    <s v="2544200"/>
    <n v="749530"/>
    <s v="Mileage"/>
    <s v="WH-St Joseph-OB/GYN"/>
    <x v="0"/>
    <n v="1001"/>
    <n v="51.79"/>
    <n v="0"/>
    <n v="0"/>
    <n v="0"/>
    <n v="0"/>
    <n v="0"/>
    <n v="0"/>
    <n v="0"/>
    <n v="0"/>
    <n v="0"/>
    <n v="0"/>
    <n v="0"/>
    <n v="51.79"/>
    <n v="0"/>
  </r>
  <r>
    <x v="0"/>
    <x v="1"/>
    <x v="0"/>
    <s v="2544200"/>
    <n v="749532"/>
    <s v="Travel-Physician"/>
    <s v="WH-St Joseph-OB/GYN"/>
    <x v="0"/>
    <m/>
    <n v="0"/>
    <n v="0"/>
    <n v="0"/>
    <n v="0"/>
    <n v="0"/>
    <n v="504.32"/>
    <n v="0"/>
    <n v="0"/>
    <n v="0"/>
    <n v="0"/>
    <n v="0"/>
    <n v="0"/>
    <n v="504.32"/>
    <n v="0"/>
  </r>
  <r>
    <x v="0"/>
    <x v="1"/>
    <x v="0"/>
    <s v="2544200"/>
    <n v="749533"/>
    <s v="Travel-Advanced Practice Clinician"/>
    <s v="WH-St Joseph-OB/GYN"/>
    <x v="0"/>
    <m/>
    <n v="636.6"/>
    <n v="782.08"/>
    <n v="396.39"/>
    <n v="2167.89"/>
    <n v="1857.59"/>
    <n v="292.97000000000003"/>
    <n v="1763.4"/>
    <n v="919.96"/>
    <n v="953.41"/>
    <n v="0"/>
    <n v="50.37"/>
    <n v="0"/>
    <n v="9820.6600000000017"/>
    <n v="50.37"/>
  </r>
  <r>
    <x v="0"/>
    <x v="1"/>
    <x v="0"/>
    <s v="2544200"/>
    <n v="749533"/>
    <s v="Business Meals-Advanced Practice Clinician"/>
    <s v="WH-St Joseph-OB/GYN"/>
    <x v="0"/>
    <n v="2000"/>
    <n v="0"/>
    <n v="0"/>
    <n v="0"/>
    <n v="0"/>
    <n v="0"/>
    <n v="0"/>
    <n v="0"/>
    <n v="4.24"/>
    <n v="0"/>
    <n v="0"/>
    <n v="0"/>
    <n v="0"/>
    <n v="4.24"/>
    <n v="0"/>
  </r>
  <r>
    <x v="0"/>
    <x v="1"/>
    <x v="0"/>
    <s v="2544200"/>
    <n v="749535"/>
    <s v="Meetings"/>
    <s v="WH-St Joseph-OB/GYN"/>
    <x v="0"/>
    <m/>
    <n v="0"/>
    <n v="0"/>
    <n v="0"/>
    <n v="0"/>
    <n v="1131"/>
    <n v="0"/>
    <n v="0"/>
    <n v="0"/>
    <n v="0"/>
    <n v="0"/>
    <n v="0"/>
    <n v="18.989999999999998"/>
    <n v="1149.99"/>
    <n v="-18.989999999999998"/>
  </r>
  <r>
    <x v="9"/>
    <x v="1"/>
    <x v="0"/>
    <s v="2544200"/>
    <n v="800015"/>
    <s v="Interest Income-Ext to CHI"/>
    <s v="WH-St Joseph-OB/GYN"/>
    <x v="0"/>
    <m/>
    <n v="0"/>
    <n v="0"/>
    <n v="0"/>
    <n v="0"/>
    <n v="0"/>
    <n v="0"/>
    <n v="0"/>
    <n v="0"/>
    <n v="-14.24"/>
    <n v="-25.59"/>
    <n v="-25.3"/>
    <n v="-23.37"/>
    <n v="-88.5"/>
    <n v="-1.9299999999999997"/>
  </r>
  <r>
    <x v="2"/>
    <x v="1"/>
    <x v="0"/>
    <s v="2545200"/>
    <n v="450040"/>
    <s v="Contr Allow--Phys Svcs--Mcare"/>
    <s v="WH-St Joseph-Ultrasound"/>
    <x v="0"/>
    <n v="1100"/>
    <n v="0"/>
    <n v="-475.28"/>
    <n v="0"/>
    <n v="0"/>
    <n v="0"/>
    <n v="0"/>
    <n v="0"/>
    <n v="0"/>
    <n v="0"/>
    <n v="0"/>
    <n v="0"/>
    <n v="0"/>
    <n v="-475.28"/>
    <n v="0"/>
  </r>
  <r>
    <x v="5"/>
    <x v="1"/>
    <x v="0"/>
    <s v="2545200"/>
    <n v="700034"/>
    <s v="Salaries-Tech/Professional-Productive"/>
    <s v="WH-St Joseph-Ultrasound"/>
    <x v="0"/>
    <m/>
    <n v="14209.66"/>
    <n v="12704.86"/>
    <n v="10563.08"/>
    <n v="13932.28"/>
    <n v="6684.56"/>
    <n v="3299.03"/>
    <n v="6493.74"/>
    <n v="3855.27"/>
    <n v="12053.19"/>
    <n v="13945.17"/>
    <n v="7823.68"/>
    <n v="6701.07"/>
    <n v="112265.59"/>
    <n v="1122.6100000000006"/>
  </r>
  <r>
    <x v="5"/>
    <x v="1"/>
    <x v="0"/>
    <s v="2545200"/>
    <n v="700034"/>
    <s v="Salaries-Tech/Professional-OT"/>
    <s v="WH-St Joseph-Ultrasound"/>
    <x v="0"/>
    <n v="1000"/>
    <n v="521.94000000000005"/>
    <n v="584.59"/>
    <n v="319.31"/>
    <n v="18.399999999999999"/>
    <n v="189.55"/>
    <n v="0"/>
    <n v="390.31"/>
    <n v="143.38999999999999"/>
    <n v="335.89"/>
    <n v="899.04"/>
    <n v="-297.49"/>
    <n v="232.92"/>
    <n v="3337.8500000000004"/>
    <n v="-530.41"/>
  </r>
  <r>
    <x v="5"/>
    <x v="1"/>
    <x v="0"/>
    <s v="2545200"/>
    <n v="700034"/>
    <s v="Salaries-Tech/Professional-Other"/>
    <s v="WH-St Joseph-Ultrasound"/>
    <x v="0"/>
    <n v="2000"/>
    <n v="0"/>
    <n v="8"/>
    <n v="0"/>
    <n v="0"/>
    <n v="0"/>
    <n v="0"/>
    <n v="0"/>
    <n v="0"/>
    <n v="0"/>
    <n v="0"/>
    <n v="8.26"/>
    <n v="8.01"/>
    <n v="24.269999999999996"/>
    <n v="0.25"/>
  </r>
  <r>
    <x v="5"/>
    <x v="1"/>
    <x v="0"/>
    <s v="2545200"/>
    <n v="700074"/>
    <s v="Salaries-Tech/Professional-Non-productive"/>
    <s v="WH-St Joseph-Ultrasound"/>
    <x v="0"/>
    <m/>
    <n v="381.6"/>
    <n v="208.69"/>
    <n v="1943.78"/>
    <n v="-508.67"/>
    <n v="8861.86"/>
    <n v="9602.77"/>
    <n v="5935"/>
    <n v="524.71"/>
    <n v="277.35000000000002"/>
    <n v="431.78"/>
    <n v="3221.28"/>
    <n v="2192.29"/>
    <n v="33072.439999999995"/>
    <n v="1028.9900000000002"/>
  </r>
  <r>
    <x v="5"/>
    <x v="1"/>
    <x v="0"/>
    <s v="2545200"/>
    <n v="700074"/>
    <s v="Salaries-Tech/Professional-NonProd-Other"/>
    <s v="WH-St Joseph-Ultrasoun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45200"/>
    <n v="700084"/>
    <s v="Accrued PTO"/>
    <s v="WH-St Joseph-Ultrasound"/>
    <x v="0"/>
    <m/>
    <n v="691.95"/>
    <n v="887.7"/>
    <n v="42.66"/>
    <n v="1550.08"/>
    <n v="718.78"/>
    <n v="224.09"/>
    <n v="-4487.12"/>
    <n v="-482.96"/>
    <n v="952.68"/>
    <n v="1010.99"/>
    <n v="-285.44"/>
    <n v="196.02"/>
    <n v="1019.4300000000003"/>
    <n v="-481.46000000000004"/>
  </r>
  <r>
    <x v="6"/>
    <x v="1"/>
    <x v="0"/>
    <s v="2545200"/>
    <n v="713010"/>
    <s v="Benefits-FICA/Medicare"/>
    <s v="WH-St Joseph-Ultrasound"/>
    <x v="0"/>
    <m/>
    <n v="1146.7"/>
    <n v="1023.38"/>
    <n v="959.75"/>
    <n v="1010.74"/>
    <n v="1184.95"/>
    <n v="963.62"/>
    <n v="948.19"/>
    <n v="330.38"/>
    <n v="927.67"/>
    <n v="1137.31"/>
    <n v="790.63"/>
    <n v="679.96"/>
    <n v="11103.279999999999"/>
    <n v="110.66999999999996"/>
  </r>
  <r>
    <x v="6"/>
    <x v="1"/>
    <x v="0"/>
    <s v="2545200"/>
    <n v="713090"/>
    <s v="Benefits-Allocated Amounts"/>
    <s v="WH-St Joseph-Ultrasound"/>
    <x v="0"/>
    <m/>
    <n v="2466.16"/>
    <n v="1840.55"/>
    <n v="2261.64"/>
    <n v="2187.98"/>
    <n v="2514.7600000000002"/>
    <n v="2262.7800000000002"/>
    <n v="2310.2399999999998"/>
    <n v="1435.68"/>
    <n v="2214.27"/>
    <n v="2689.8"/>
    <n v="1979.84"/>
    <n v="1884.15"/>
    <n v="26047.850000000002"/>
    <n v="95.689999999999827"/>
  </r>
  <r>
    <x v="1"/>
    <x v="1"/>
    <x v="0"/>
    <s v="2546200"/>
    <n v="400029"/>
    <s v="MD Practice Other Rev--Medicare"/>
    <s v="Optometry/Eye Care-Opt"/>
    <x v="0"/>
    <n v="1100"/>
    <n v="-258"/>
    <n v="-387"/>
    <n v="-172"/>
    <n v="-172"/>
    <n v="-430"/>
    <n v="-258"/>
    <n v="-301"/>
    <n v="-172"/>
    <n v="-258"/>
    <n v="-301"/>
    <n v="-387"/>
    <n v="-430"/>
    <n v="-3526"/>
    <n v="43"/>
  </r>
  <r>
    <x v="1"/>
    <x v="1"/>
    <x v="0"/>
    <s v="2546200"/>
    <n v="400029"/>
    <s v="MD Practice Other Rev--Medicaid"/>
    <s v="Optometry/Eye Care-Opt"/>
    <x v="0"/>
    <n v="1200"/>
    <n v="-85"/>
    <n v="-172"/>
    <n v="-129"/>
    <n v="-86"/>
    <n v="0"/>
    <n v="-172"/>
    <n v="0"/>
    <n v="-43"/>
    <n v="-172"/>
    <n v="0"/>
    <n v="-43"/>
    <n v="-86"/>
    <n v="-988"/>
    <n v="43"/>
  </r>
  <r>
    <x v="1"/>
    <x v="1"/>
    <x v="0"/>
    <s v="2546200"/>
    <n v="400029"/>
    <s v="MD Practice Other Rev--Comm Insurance"/>
    <s v="Optometry/Eye Care-Opt"/>
    <x v="0"/>
    <n v="1300"/>
    <n v="0"/>
    <n v="-86"/>
    <n v="-129"/>
    <n v="-43"/>
    <n v="-215"/>
    <n v="-86"/>
    <n v="-172"/>
    <n v="-129"/>
    <n v="-172"/>
    <n v="-86"/>
    <n v="-172"/>
    <n v="-129"/>
    <n v="-1419"/>
    <n v="-43"/>
  </r>
  <r>
    <x v="1"/>
    <x v="1"/>
    <x v="0"/>
    <s v="2546200"/>
    <n v="400029"/>
    <s v="MD Practice Other Rev--BCBS Comm"/>
    <s v="Optometry/Eye Care-Opt"/>
    <x v="0"/>
    <n v="1301"/>
    <n v="0"/>
    <n v="0"/>
    <n v="0"/>
    <n v="-43"/>
    <n v="0"/>
    <n v="-43"/>
    <n v="-43"/>
    <n v="-43"/>
    <n v="0"/>
    <n v="-43"/>
    <n v="0"/>
    <n v="0"/>
    <n v="-215"/>
    <n v="0"/>
  </r>
  <r>
    <x v="1"/>
    <x v="1"/>
    <x v="0"/>
    <s v="2546200"/>
    <n v="400029"/>
    <s v="MD Practice Other Rev--Managed Care"/>
    <s v="Optometry/Eye Care-Opt"/>
    <x v="0"/>
    <n v="1400"/>
    <n v="-429"/>
    <n v="-301"/>
    <n v="-172"/>
    <n v="-258"/>
    <n v="-172"/>
    <n v="-473"/>
    <n v="-86"/>
    <n v="-258"/>
    <n v="-129"/>
    <n v="-86"/>
    <n v="-172"/>
    <n v="-43"/>
    <n v="-2579"/>
    <n v="-129"/>
  </r>
  <r>
    <x v="1"/>
    <x v="1"/>
    <x v="0"/>
    <s v="2546200"/>
    <n v="400029"/>
    <s v="MD Practice Other Rev--Self Pay"/>
    <s v="Optometry/Eye Care-Opt"/>
    <x v="0"/>
    <n v="1500"/>
    <n v="0"/>
    <n v="0"/>
    <n v="-43"/>
    <n v="-43"/>
    <n v="0"/>
    <n v="0"/>
    <n v="-129"/>
    <n v="0"/>
    <n v="43"/>
    <n v="0"/>
    <n v="-43"/>
    <n v="-43"/>
    <n v="-258"/>
    <n v="0"/>
  </r>
  <r>
    <x v="1"/>
    <x v="1"/>
    <x v="0"/>
    <s v="2546200"/>
    <n v="400029"/>
    <s v="MD Practice Other Rev--Other"/>
    <s v="Optometry/Eye Care-Opt"/>
    <x v="0"/>
    <n v="1700"/>
    <n v="0"/>
    <n v="0"/>
    <n v="-43"/>
    <n v="-86"/>
    <n v="0"/>
    <n v="0"/>
    <n v="0"/>
    <n v="-43"/>
    <n v="-43"/>
    <n v="0"/>
    <n v="0"/>
    <n v="0"/>
    <n v="-215"/>
    <n v="0"/>
  </r>
  <r>
    <x v="1"/>
    <x v="1"/>
    <x v="0"/>
    <s v="2546200"/>
    <n v="400040"/>
    <s v="Physician Svcs Rev--Medicare"/>
    <s v="Optometry/Eye Care-Opt"/>
    <x v="0"/>
    <n v="1100"/>
    <n v="-124698"/>
    <n v="-145813"/>
    <n v="-107634"/>
    <n v="-159434"/>
    <n v="-101557"/>
    <n v="-116207"/>
    <n v="-119318"/>
    <n v="-101518"/>
    <n v="-119801"/>
    <n v="-143346"/>
    <n v="-115658"/>
    <n v="-134205"/>
    <n v="-1489189"/>
    <n v="18547"/>
  </r>
  <r>
    <x v="1"/>
    <x v="1"/>
    <x v="0"/>
    <s v="2546200"/>
    <n v="400040"/>
    <s v="Physician Svcs Rev--Medicaid"/>
    <s v="Optometry/Eye Care-Opt"/>
    <x v="0"/>
    <n v="1200"/>
    <n v="-46556"/>
    <n v="-67766"/>
    <n v="-34607"/>
    <n v="-50074"/>
    <n v="-26383"/>
    <n v="-25406"/>
    <n v="-18189"/>
    <n v="-22723"/>
    <n v="-27564"/>
    <n v="-22197"/>
    <n v="-19471"/>
    <n v="-16619"/>
    <n v="-377555"/>
    <n v="-2852"/>
  </r>
  <r>
    <x v="1"/>
    <x v="1"/>
    <x v="0"/>
    <s v="2546200"/>
    <n v="400040"/>
    <s v="Physician Svcs Rev--Comm Insurance"/>
    <s v="Optometry/Eye Care-Opt"/>
    <x v="0"/>
    <n v="1300"/>
    <n v="-67833"/>
    <n v="-58983"/>
    <n v="-64509.93"/>
    <n v="-70063"/>
    <n v="-121084"/>
    <n v="-99025.45"/>
    <n v="-119275.92"/>
    <n v="-94432"/>
    <n v="-120028"/>
    <n v="-98215"/>
    <n v="-103094.98"/>
    <n v="-82107"/>
    <n v="-1098651.28"/>
    <n v="-20987.979999999996"/>
  </r>
  <r>
    <x v="1"/>
    <x v="1"/>
    <x v="0"/>
    <s v="2546200"/>
    <n v="400040"/>
    <s v="Physician Svcs Rev--BCBS Comm"/>
    <s v="Optometry/Eye Care-Opt"/>
    <x v="0"/>
    <n v="1301"/>
    <n v="-13962"/>
    <n v="-12453"/>
    <n v="-9035"/>
    <n v="-13355"/>
    <n v="-11327"/>
    <n v="-11655"/>
    <n v="-11527"/>
    <n v="-10554"/>
    <n v="-8137"/>
    <n v="-10201"/>
    <n v="-7313"/>
    <n v="-13086"/>
    <n v="-132605"/>
    <n v="5773"/>
  </r>
  <r>
    <x v="1"/>
    <x v="1"/>
    <x v="0"/>
    <s v="2546200"/>
    <n v="400040"/>
    <s v="Physician Svcs Rev--Managed Care"/>
    <s v="Optometry/Eye Care-Opt"/>
    <x v="0"/>
    <n v="1400"/>
    <n v="-69319"/>
    <n v="-83958.96"/>
    <n v="-68496.039999999994"/>
    <n v="-70678"/>
    <n v="-65668"/>
    <n v="-68982.990000000005"/>
    <n v="-63343"/>
    <n v="-73567.960000000006"/>
    <n v="-83871"/>
    <n v="-74677"/>
    <n v="-80519"/>
    <n v="-71260.98"/>
    <n v="-874341.92999999993"/>
    <n v="-9258.0200000000041"/>
  </r>
  <r>
    <x v="1"/>
    <x v="1"/>
    <x v="0"/>
    <s v="2546200"/>
    <n v="400040"/>
    <s v="Physician Svcs Rev--Self Pay"/>
    <s v="Optometry/Eye Care-Opt"/>
    <x v="0"/>
    <n v="1500"/>
    <n v="-10849.99"/>
    <n v="-9911.3700000000008"/>
    <n v="-8247.9"/>
    <n v="-8111.78"/>
    <n v="-9072.92"/>
    <n v="-9681.9"/>
    <n v="-13455.9"/>
    <n v="-6323.87"/>
    <n v="-6566.95"/>
    <n v="-10434.85"/>
    <n v="-13068.67"/>
    <n v="-8956.85"/>
    <n v="-114682.95"/>
    <n v="-4111.82"/>
  </r>
  <r>
    <x v="1"/>
    <x v="1"/>
    <x v="0"/>
    <s v="2546200"/>
    <n v="400040"/>
    <s v="Physician Svcs Rev--Other"/>
    <s v="Optometry/Eye Care-Opt"/>
    <x v="0"/>
    <n v="1700"/>
    <n v="-9210"/>
    <n v="-13293"/>
    <n v="-7726"/>
    <n v="-8570"/>
    <n v="-12327"/>
    <n v="-9477"/>
    <n v="-9216"/>
    <n v="-10404"/>
    <n v="-8901"/>
    <n v="-10249"/>
    <n v="-9523"/>
    <n v="-12511"/>
    <n v="-121407"/>
    <n v="2988"/>
  </r>
  <r>
    <x v="2"/>
    <x v="1"/>
    <x v="0"/>
    <s v="2546200"/>
    <n v="450029"/>
    <s v="Contr Allow--MD Other-Medicare"/>
    <s v="Optometry/Eye Care-Opt"/>
    <x v="0"/>
    <n v="1100"/>
    <n v="165.75"/>
    <n v="230.44"/>
    <n v="233"/>
    <n v="112.69"/>
    <n v="270.85000000000002"/>
    <n v="207.03"/>
    <n v="204.85"/>
    <n v="96.26"/>
    <n v="217.24"/>
    <n v="164.71"/>
    <n v="93"/>
    <n v="305.54000000000002"/>
    <n v="2301.36"/>
    <n v="-212.54000000000002"/>
  </r>
  <r>
    <x v="2"/>
    <x v="1"/>
    <x v="0"/>
    <s v="2546200"/>
    <n v="450029"/>
    <s v="Contr Allow--MD Other-Medicaid"/>
    <s v="Optometry/Eye Care-Opt"/>
    <x v="0"/>
    <n v="1200"/>
    <n v="32.869999999999997"/>
    <n v="100.71"/>
    <n v="101.76"/>
    <n v="33.92"/>
    <n v="0"/>
    <n v="101.76"/>
    <n v="33.92"/>
    <n v="0"/>
    <n v="33.92"/>
    <n v="33.92"/>
    <n v="76.92"/>
    <n v="67.84"/>
    <n v="617.54000000000008"/>
    <n v="9.0799999999999983"/>
  </r>
  <r>
    <x v="2"/>
    <x v="1"/>
    <x v="0"/>
    <s v="2546200"/>
    <n v="450029"/>
    <s v="Contr Allow--MD Other-Comm Insurance"/>
    <s v="Optometry/Eye Care-Opt"/>
    <x v="0"/>
    <n v="1300"/>
    <n v="52.62"/>
    <n v="0"/>
    <n v="38.46"/>
    <n v="55.84"/>
    <n v="71.709999999999994"/>
    <n v="18.260000000000002"/>
    <n v="0"/>
    <n v="33.92"/>
    <n v="101.76"/>
    <n v="176.58"/>
    <n v="90.64"/>
    <n v="73.95"/>
    <n v="713.74"/>
    <n v="16.689999999999998"/>
  </r>
  <r>
    <x v="2"/>
    <x v="1"/>
    <x v="0"/>
    <s v="2546200"/>
    <n v="450029"/>
    <s v="Contr Allow--MD Other BCBS Comm"/>
    <s v="Optometry/Eye Care-Opt"/>
    <x v="0"/>
    <n v="1301"/>
    <n v="0"/>
    <n v="0"/>
    <n v="13.59"/>
    <n v="0"/>
    <n v="13"/>
    <n v="0"/>
    <n v="0"/>
    <n v="13"/>
    <n v="13"/>
    <n v="56.13"/>
    <n v="0"/>
    <n v="0"/>
    <n v="108.72"/>
    <n v="0"/>
  </r>
  <r>
    <x v="2"/>
    <x v="1"/>
    <x v="0"/>
    <s v="2546200"/>
    <n v="450029"/>
    <s v="Contr Allow--MD Other-Managed Care"/>
    <s v="Optometry/Eye Care-Opt"/>
    <x v="0"/>
    <n v="1400"/>
    <n v="29.4"/>
    <n v="105.84"/>
    <n v="96.66"/>
    <n v="114.15"/>
    <n v="102.87"/>
    <n v="156.54"/>
    <n v="99.56"/>
    <n v="159"/>
    <n v="54.58"/>
    <n v="173.83"/>
    <n v="63.86"/>
    <n v="112.59"/>
    <n v="1268.8799999999999"/>
    <n v="-48.730000000000004"/>
  </r>
  <r>
    <x v="2"/>
    <x v="1"/>
    <x v="0"/>
    <s v="2546200"/>
    <n v="450029"/>
    <s v="Admin Adjust-MD Other-Self Pay"/>
    <s v="Optometry/Eye Care-Opt"/>
    <x v="0"/>
    <n v="1600"/>
    <n v="0"/>
    <n v="0"/>
    <n v="29.46"/>
    <n v="29.46"/>
    <n v="0"/>
    <n v="0"/>
    <n v="55.47"/>
    <n v="0"/>
    <n v="-23.65"/>
    <n v="0"/>
    <n v="29.79"/>
    <n v="29.46"/>
    <n v="149.99"/>
    <n v="0.32999999999999829"/>
  </r>
  <r>
    <x v="2"/>
    <x v="1"/>
    <x v="0"/>
    <s v="2546200"/>
    <n v="450029"/>
    <s v="Contr Allow--MD Other-Other"/>
    <s v="Optometry/Eye Care-Opt"/>
    <x v="0"/>
    <n v="1700"/>
    <n v="0"/>
    <n v="0"/>
    <n v="0"/>
    <n v="0"/>
    <n v="54.3"/>
    <n v="27.15"/>
    <n v="0"/>
    <n v="0"/>
    <n v="0"/>
    <n v="27.13"/>
    <n v="30.02"/>
    <n v="0"/>
    <n v="138.6"/>
    <n v="30.02"/>
  </r>
  <r>
    <x v="2"/>
    <x v="1"/>
    <x v="0"/>
    <s v="2546200"/>
    <n v="450040"/>
    <s v="Contr Allow--Phys Svcs--Mcare"/>
    <s v="Optometry/Eye Care-Opt"/>
    <x v="0"/>
    <n v="1100"/>
    <n v="73670.960000000006"/>
    <n v="100033.4"/>
    <n v="76801.11"/>
    <n v="104676.15"/>
    <n v="98654.61"/>
    <n v="82048.75"/>
    <n v="87009.56"/>
    <n v="58687.49"/>
    <n v="76410.64"/>
    <n v="89075.27"/>
    <n v="92529.22"/>
    <n v="90503.87"/>
    <n v="1030101.03"/>
    <n v="2025.3500000000058"/>
  </r>
  <r>
    <x v="2"/>
    <x v="1"/>
    <x v="0"/>
    <s v="2546200"/>
    <n v="450040"/>
    <s v="Contr Allow--Phys Svcs--Mcaid"/>
    <s v="Optometry/Eye Care-Opt"/>
    <x v="0"/>
    <n v="1200"/>
    <n v="44849.599999999999"/>
    <n v="38720.04"/>
    <n v="52217.43"/>
    <n v="29538.68"/>
    <n v="23053.84"/>
    <n v="32491.7"/>
    <n v="15085.3"/>
    <n v="11591.24"/>
    <n v="15417.4"/>
    <n v="16374.87"/>
    <n v="16520.34"/>
    <n v="13420.08"/>
    <n v="309280.52"/>
    <n v="3100.26"/>
  </r>
  <r>
    <x v="2"/>
    <x v="1"/>
    <x v="0"/>
    <s v="2546200"/>
    <n v="450040"/>
    <s v="Contr Allow--Phys Svcs--Comm Insurance"/>
    <s v="Optometry/Eye Care-Opt"/>
    <x v="0"/>
    <n v="1300"/>
    <n v="36674.11"/>
    <n v="53226.66"/>
    <n v="47197.94"/>
    <n v="48485.32"/>
    <n v="49707.199999999997"/>
    <n v="70801.320000000007"/>
    <n v="96637.97"/>
    <n v="64745.07"/>
    <n v="79236.37"/>
    <n v="87611.07"/>
    <n v="82838.289999999994"/>
    <n v="68757.11"/>
    <n v="785918.43"/>
    <n v="14081.179999999993"/>
  </r>
  <r>
    <x v="2"/>
    <x v="1"/>
    <x v="0"/>
    <s v="2546200"/>
    <n v="450040"/>
    <s v="Contr Allow--Phys Svcs--BCBS Comm Ins"/>
    <s v="Optometry/Eye Care-Opt"/>
    <x v="0"/>
    <n v="1301"/>
    <n v="3286.53"/>
    <n v="3871.04"/>
    <n v="3052.59"/>
    <n v="3254.7"/>
    <n v="4280.6000000000004"/>
    <n v="3485.47"/>
    <n v="2299.2399999999998"/>
    <n v="3255.75"/>
    <n v="2886.61"/>
    <n v="2385.3200000000002"/>
    <n v="2989.33"/>
    <n v="2625.77"/>
    <n v="37672.949999999997"/>
    <n v="363.55999999999995"/>
  </r>
  <r>
    <x v="2"/>
    <x v="1"/>
    <x v="0"/>
    <s v="2546200"/>
    <n v="450040"/>
    <s v="Contr Allow--Phys Svcs--Managed Care"/>
    <s v="Optometry/Eye Care-Opt"/>
    <x v="0"/>
    <n v="1400"/>
    <n v="34315.699999999997"/>
    <n v="52235.87"/>
    <n v="35146.01"/>
    <n v="48182.52"/>
    <n v="40022.92"/>
    <n v="33637.19"/>
    <n v="34575.89"/>
    <n v="42034.77"/>
    <n v="46483.76"/>
    <n v="48056.24"/>
    <n v="42087.26"/>
    <n v="43665.9"/>
    <n v="500444.03000000009"/>
    <n v="-1578.6399999999994"/>
  </r>
  <r>
    <x v="2"/>
    <x v="1"/>
    <x v="0"/>
    <s v="2546200"/>
    <n v="450040"/>
    <s v="Contr Allow--Phys Svcs--BCBS Mgnd Care"/>
    <s v="Optometry/Eye Care-Opt"/>
    <x v="0"/>
    <n v="1401"/>
    <n v="19649.09"/>
    <n v="6356.63"/>
    <n v="-10453.51"/>
    <n v="7587.52"/>
    <n v="8386.2199999999993"/>
    <n v="5500.88"/>
    <n v="14109.89"/>
    <n v="26987.42"/>
    <n v="19157.57"/>
    <n v="-4741.28"/>
    <n v="-3583.45"/>
    <n v="793.04"/>
    <n v="89750.01999999999"/>
    <n v="-4376.49"/>
  </r>
  <r>
    <x v="2"/>
    <x v="1"/>
    <x v="0"/>
    <s v="2546200"/>
    <n v="450040"/>
    <s v="Prompt Pay Disc-Phys Svcs-Self Pay"/>
    <s v="Optometry/Eye Care-Opt"/>
    <x v="0"/>
    <n v="1500"/>
    <n v="0"/>
    <n v="0"/>
    <n v="0"/>
    <n v="0"/>
    <n v="0"/>
    <n v="0"/>
    <n v="0"/>
    <n v="0"/>
    <n v="0"/>
    <n v="106.8"/>
    <n v="1072.44"/>
    <n v="-465.82"/>
    <n v="713.42000000000007"/>
    <n v="1538.26"/>
  </r>
  <r>
    <x v="2"/>
    <x v="1"/>
    <x v="0"/>
    <s v="2546200"/>
    <n v="450040"/>
    <s v="Admin Adjust-Phys Svcs-Self Pay"/>
    <s v="Optometry/Eye Care-Opt"/>
    <x v="0"/>
    <n v="1600"/>
    <n v="1033.48"/>
    <n v="3365.06"/>
    <n v="2906.88"/>
    <n v="2926.13"/>
    <n v="3228.53"/>
    <n v="2386.1999999999998"/>
    <n v="3098.75"/>
    <n v="2434.6999999999998"/>
    <n v="-112.11"/>
    <n v="2998.12"/>
    <n v="3233.75"/>
    <n v="3677.42"/>
    <n v="31176.909999999996"/>
    <n v="-443.67000000000007"/>
  </r>
  <r>
    <x v="2"/>
    <x v="1"/>
    <x v="0"/>
    <s v="2546200"/>
    <n v="450040"/>
    <s v="Contr Allow--Phys Svcs--Other"/>
    <s v="Optometry/Eye Care-Opt"/>
    <x v="0"/>
    <n v="1700"/>
    <n v="6574.29"/>
    <n v="5631.6"/>
    <n v="1805.21"/>
    <n v="8504.7999999999993"/>
    <n v="8883.92"/>
    <n v="5168.18"/>
    <n v="5124.3599999999997"/>
    <n v="6048.69"/>
    <n v="4478.28"/>
    <n v="8141.55"/>
    <n v="6460.72"/>
    <n v="5042.46"/>
    <n v="71864.060000000012"/>
    <n v="1418.2600000000002"/>
  </r>
  <r>
    <x v="3"/>
    <x v="1"/>
    <x v="0"/>
    <s v="2546200"/>
    <n v="470040"/>
    <s v="Charity Care-Physician Svcs"/>
    <s v="Optometry/Eye Care-Opt"/>
    <x v="0"/>
    <m/>
    <n v="4721.7700000000004"/>
    <n v="5742.6"/>
    <n v="361.8"/>
    <n v="3375.14"/>
    <n v="2720.93"/>
    <n v="252.21"/>
    <n v="3833.83"/>
    <n v="2383.27"/>
    <n v="11589.72"/>
    <n v="4978.3999999999996"/>
    <n v="2978.76"/>
    <n v="5614.04"/>
    <n v="48552.47"/>
    <n v="-2635.2799999999997"/>
  </r>
  <r>
    <x v="4"/>
    <x v="1"/>
    <x v="0"/>
    <s v="2546200"/>
    <n v="490010"/>
    <s v="Provision for Bad Debts"/>
    <s v="Optometry/Eye Care-Opt"/>
    <x v="0"/>
    <m/>
    <n v="6470.17"/>
    <n v="3361.22"/>
    <n v="1394.71"/>
    <n v="1678.28"/>
    <n v="3589.93"/>
    <n v="989.77"/>
    <n v="-1996.22"/>
    <n v="2103.73"/>
    <n v="5177.0200000000004"/>
    <n v="-225.02"/>
    <n v="4339.63"/>
    <n v="3461.27"/>
    <n v="30344.49"/>
    <n v="878.36000000000013"/>
  </r>
  <r>
    <x v="5"/>
    <x v="1"/>
    <x v="0"/>
    <s v="2546200"/>
    <n v="700024"/>
    <s v="Salaries-Advanced Practice Clinician-Productive"/>
    <s v="Optometry/Eye Care-Opt"/>
    <x v="0"/>
    <m/>
    <n v="36727.64"/>
    <n v="41109.5"/>
    <n v="36453.699999999997"/>
    <n v="47302.720000000001"/>
    <n v="42715.199999999997"/>
    <n v="32823.42"/>
    <n v="39865.120000000003"/>
    <n v="37218.370000000003"/>
    <n v="43225.81"/>
    <n v="38619.19"/>
    <n v="39721.57"/>
    <n v="33175.440000000002"/>
    <n v="468957.68"/>
    <n v="6546.1299999999974"/>
  </r>
  <r>
    <x v="5"/>
    <x v="1"/>
    <x v="0"/>
    <s v="2546200"/>
    <n v="700032"/>
    <s v="Salaries-Other Pat Care Providers-Productive"/>
    <s v="Optometry/Eye Care-Opt"/>
    <x v="0"/>
    <m/>
    <n v="20899.150000000001"/>
    <n v="24109.55"/>
    <n v="21577.919999999998"/>
    <n v="26506.75"/>
    <n v="24606.98"/>
    <n v="20270.62"/>
    <n v="23187.24"/>
    <n v="20839.349999999999"/>
    <n v="27643.19"/>
    <n v="27074.33"/>
    <n v="28280.82"/>
    <n v="21091.23"/>
    <n v="286087.13"/>
    <n v="7189.59"/>
  </r>
  <r>
    <x v="5"/>
    <x v="1"/>
    <x v="0"/>
    <s v="2546200"/>
    <n v="700032"/>
    <s v="Salaries-Other Pat Care Providers-OT"/>
    <s v="Optometry/Eye Care-Opt"/>
    <x v="0"/>
    <n v="1000"/>
    <n v="52.92"/>
    <n v="108.78"/>
    <n v="166.39"/>
    <n v="-11.34"/>
    <n v="511.88"/>
    <n v="-54.01"/>
    <n v="94.7"/>
    <n v="90.14"/>
    <n v="113.12"/>
    <n v="49.29"/>
    <n v="14.31"/>
    <n v="60.01"/>
    <n v="1196.1899999999998"/>
    <n v="-45.699999999999996"/>
  </r>
  <r>
    <x v="5"/>
    <x v="1"/>
    <x v="0"/>
    <s v="2546200"/>
    <n v="700032"/>
    <s v="Salaries-Other Pat Care Providers-Other"/>
    <s v="Optometry/Eye Care-Opt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1"/>
    <x v="0"/>
    <s v="2546200"/>
    <n v="700054"/>
    <s v="Salaries-Management-NonProd-Other"/>
    <s v="Optometry/Eye Care-Opt"/>
    <x v="0"/>
    <n v="2000"/>
    <n v="0"/>
    <n v="0"/>
    <n v="0"/>
    <n v="0"/>
    <n v="0"/>
    <n v="485.16"/>
    <n v="-485.16"/>
    <n v="0"/>
    <n v="0"/>
    <n v="0"/>
    <n v="0"/>
    <n v="0"/>
    <n v="0"/>
    <n v="0"/>
  </r>
  <r>
    <x v="5"/>
    <x v="1"/>
    <x v="0"/>
    <s v="2546200"/>
    <n v="700064"/>
    <s v="Salaries-Advanced Practice Clinician-Non-Productive"/>
    <s v="Optometry/Eye Care-Opt"/>
    <x v="0"/>
    <m/>
    <n v="5972.31"/>
    <n v="8255.7900000000009"/>
    <n v="4679.1000000000004"/>
    <n v="0"/>
    <n v="2871.68"/>
    <n v="10723.85"/>
    <n v="7902.49"/>
    <n v="5168.22"/>
    <n v="1131.04"/>
    <n v="7849.84"/>
    <n v="8392.49"/>
    <n v="8601.92"/>
    <n v="71548.73000000001"/>
    <n v="-209.43000000000029"/>
  </r>
  <r>
    <x v="5"/>
    <x v="1"/>
    <x v="0"/>
    <s v="2546200"/>
    <n v="700072"/>
    <s v="Salaries-Other Pat Care Providers-Non-productive"/>
    <s v="Optometry/Eye Care-Opt"/>
    <x v="0"/>
    <m/>
    <n v="5301.22"/>
    <n v="3044.83"/>
    <n v="2055.3000000000002"/>
    <n v="1183.08"/>
    <n v="2047.79"/>
    <n v="4640.46"/>
    <n v="4391.8500000000004"/>
    <n v="3107.13"/>
    <n v="735.91"/>
    <n v="3287.8"/>
    <n v="1076.81"/>
    <n v="2775.71"/>
    <n v="33647.89"/>
    <n v="-1698.9"/>
  </r>
  <r>
    <x v="5"/>
    <x v="1"/>
    <x v="0"/>
    <s v="2546200"/>
    <n v="700072"/>
    <s v="Salaries-Other Pat Care Providers-NonProd-Other"/>
    <s v="Optometry/Eye Care-Opt"/>
    <x v="0"/>
    <n v="2000"/>
    <n v="195.1"/>
    <n v="174.68"/>
    <n v="186.94"/>
    <n v="39.22"/>
    <n v="108.61"/>
    <n v="40.6"/>
    <n v="46.74"/>
    <n v="109.02"/>
    <n v="98.27"/>
    <n v="32.92"/>
    <n v="29.03"/>
    <n v="38.56"/>
    <n v="1099.69"/>
    <n v="-9.5300000000000011"/>
  </r>
  <r>
    <x v="5"/>
    <x v="1"/>
    <x v="0"/>
    <s v="2546200"/>
    <n v="700084"/>
    <s v="Accrued PTO"/>
    <s v="Optometry/Eye Care-Opt"/>
    <x v="0"/>
    <m/>
    <n v="-1869.99"/>
    <n v="-161.62"/>
    <n v="198.39"/>
    <n v="1650.11"/>
    <n v="1468.39"/>
    <n v="-1277.3"/>
    <n v="-1421.31"/>
    <n v="-161.46"/>
    <n v="1427.43"/>
    <n v="25.63"/>
    <n v="1668.08"/>
    <n v="442.6"/>
    <n v="1988.9499999999998"/>
    <n v="1225.48"/>
  </r>
  <r>
    <x v="6"/>
    <x v="1"/>
    <x v="0"/>
    <s v="2546200"/>
    <n v="713010"/>
    <s v="Benefits-FICA/Medicare"/>
    <s v="Optometry/Eye Care-Opt"/>
    <x v="0"/>
    <m/>
    <n v="5137.74"/>
    <n v="5721.26"/>
    <n v="3604.69"/>
    <n v="4045.18"/>
    <n v="2753.48"/>
    <n v="3925.77"/>
    <n v="5564.64"/>
    <n v="4874.92"/>
    <n v="5356.84"/>
    <n v="5647.2"/>
    <n v="5826.18"/>
    <n v="4886.4399999999996"/>
    <n v="57344.340000000004"/>
    <n v="939.74000000000069"/>
  </r>
  <r>
    <x v="6"/>
    <x v="1"/>
    <x v="0"/>
    <s v="2546200"/>
    <n v="713090"/>
    <s v="Benefits-Allocated Amounts"/>
    <s v="Optometry/Eye Care-Opt"/>
    <x v="0"/>
    <m/>
    <n v="0"/>
    <n v="0"/>
    <n v="0"/>
    <n v="0"/>
    <n v="0"/>
    <n v="0"/>
    <n v="0"/>
    <n v="0"/>
    <n v="65961.83"/>
    <n v="8288.85"/>
    <n v="8055.38"/>
    <n v="7532.19"/>
    <n v="89838.250000000015"/>
    <n v="523.19000000000051"/>
  </r>
  <r>
    <x v="6"/>
    <x v="1"/>
    <x v="0"/>
    <s v="2546200"/>
    <n v="713093"/>
    <s v="Allocated Benefits-Advanced Practice Clinician"/>
    <s v="Optometry/Eye Care-Opt"/>
    <x v="0"/>
    <m/>
    <n v="10615.6"/>
    <n v="9907.66"/>
    <n v="10206.42"/>
    <n v="10569.98"/>
    <n v="10508.87"/>
    <n v="10627.29"/>
    <n v="12333.14"/>
    <n v="11685.29"/>
    <n v="-53466.26"/>
    <n v="4145.32"/>
    <n v="4028.55"/>
    <n v="3766.91"/>
    <n v="44928.770000000004"/>
    <n v="261.64000000000033"/>
  </r>
  <r>
    <x v="11"/>
    <x v="1"/>
    <x v="0"/>
    <s v="2546200"/>
    <n v="721010"/>
    <s v="Supplies-Medical - Billable"/>
    <s v="Optometry/Eye Care-Opt"/>
    <x v="0"/>
    <m/>
    <n v="3613.2"/>
    <n v="2202.8200000000002"/>
    <n v="4149.05"/>
    <n v="2492.13"/>
    <n v="3592.4"/>
    <n v="1409.38"/>
    <n v="2217.65"/>
    <n v="3807.45"/>
    <n v="2633.63"/>
    <n v="4551.1499999999996"/>
    <n v="4216.5"/>
    <n v="4973"/>
    <n v="39858.36"/>
    <n v="-756.5"/>
  </r>
  <r>
    <x v="11"/>
    <x v="1"/>
    <x v="0"/>
    <s v="2546200"/>
    <n v="721835"/>
    <s v="Supplies-Forms"/>
    <s v="Optometry/Eye Care-Opt"/>
    <x v="0"/>
    <m/>
    <n v="0"/>
    <n v="0"/>
    <n v="0"/>
    <n v="0"/>
    <n v="0"/>
    <n v="0.3"/>
    <n v="0"/>
    <n v="0"/>
    <n v="0"/>
    <n v="0"/>
    <n v="0"/>
    <n v="0"/>
    <n v="0.3"/>
    <n v="0"/>
  </r>
  <r>
    <x v="11"/>
    <x v="1"/>
    <x v="0"/>
    <s v="2546200"/>
    <n v="722000"/>
    <s v="Supplies-Freight Expense"/>
    <s v="Optometry/Eye Care-Opt"/>
    <x v="0"/>
    <m/>
    <n v="0"/>
    <n v="27.75"/>
    <n v="0"/>
    <n v="78.989999999999995"/>
    <n v="0"/>
    <n v="25.8"/>
    <n v="0"/>
    <n v="0"/>
    <n v="13.9"/>
    <n v="0"/>
    <n v="9.9"/>
    <n v="70.33"/>
    <n v="226.67000000000002"/>
    <n v="-60.43"/>
  </r>
  <r>
    <x v="12"/>
    <x v="1"/>
    <x v="0"/>
    <s v="2546200"/>
    <n v="730020"/>
    <s v="Rental and Leases-Copier Usage Fees (DO NOT USE)"/>
    <s v="Optometry/Eye Care-Opt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2546200"/>
    <n v="740023"/>
    <s v="Education-Advanced Practice Clinician"/>
    <s v="Optometry/Eye Care-Opt"/>
    <x v="0"/>
    <m/>
    <n v="0"/>
    <n v="0"/>
    <n v="435"/>
    <n v="0"/>
    <n v="0"/>
    <n v="0"/>
    <n v="240"/>
    <n v="549"/>
    <n v="0"/>
    <n v="0"/>
    <n v="0"/>
    <n v="580"/>
    <n v="1804"/>
    <n v="-580"/>
  </r>
  <r>
    <x v="0"/>
    <x v="1"/>
    <x v="0"/>
    <s v="2546200"/>
    <n v="742010"/>
    <s v="Postage-Regular"/>
    <s v="Optometry/Eye Care-Opt"/>
    <x v="0"/>
    <m/>
    <n v="0"/>
    <n v="0"/>
    <n v="0"/>
    <n v="0"/>
    <n v="0"/>
    <n v="13.5"/>
    <n v="0"/>
    <n v="0"/>
    <n v="0"/>
    <n v="0"/>
    <n v="0"/>
    <n v="0"/>
    <n v="13.5"/>
    <n v="0"/>
  </r>
  <r>
    <x v="0"/>
    <x v="1"/>
    <x v="0"/>
    <s v="2546200"/>
    <n v="743010"/>
    <s v="Dues--Institutional"/>
    <s v="Optometry/Eye Care-Opt"/>
    <x v="0"/>
    <m/>
    <n v="0"/>
    <n v="0"/>
    <n v="0"/>
    <n v="0"/>
    <n v="0"/>
    <n v="0"/>
    <n v="0"/>
    <n v="0"/>
    <n v="0"/>
    <n v="225"/>
    <n v="0"/>
    <n v="100"/>
    <n v="325"/>
    <n v="-100"/>
  </r>
  <r>
    <x v="0"/>
    <x v="1"/>
    <x v="0"/>
    <s v="2546200"/>
    <n v="743022"/>
    <s v="Dues-Physician"/>
    <s v="Optometry/Eye Care-Opt"/>
    <x v="0"/>
    <m/>
    <n v="0"/>
    <n v="0"/>
    <n v="0"/>
    <n v="0"/>
    <n v="0"/>
    <n v="0"/>
    <n v="981"/>
    <n v="0"/>
    <n v="0"/>
    <n v="0"/>
    <n v="0"/>
    <n v="0"/>
    <n v="981"/>
    <n v="0"/>
  </r>
  <r>
    <x v="0"/>
    <x v="1"/>
    <x v="0"/>
    <s v="2546200"/>
    <n v="743023"/>
    <s v="Dues-Advanced Practice Clinician"/>
    <s v="Optometry/Eye Care-Opt"/>
    <x v="0"/>
    <m/>
    <n v="0"/>
    <n v="0"/>
    <n v="0"/>
    <n v="0"/>
    <n v="0"/>
    <n v="0"/>
    <n v="0"/>
    <n v="1090.75"/>
    <n v="0"/>
    <n v="0"/>
    <n v="0"/>
    <n v="1336"/>
    <n v="2426.75"/>
    <n v="-1336"/>
  </r>
  <r>
    <x v="0"/>
    <x v="1"/>
    <x v="0"/>
    <s v="2546200"/>
    <n v="749510"/>
    <s v="Miscellaneous Expenses"/>
    <s v="Optometry/Eye Care-Opt"/>
    <x v="0"/>
    <m/>
    <n v="-5075.96"/>
    <n v="0"/>
    <n v="0"/>
    <n v="0"/>
    <n v="1066.53"/>
    <n v="-1000.65"/>
    <n v="0"/>
    <n v="0"/>
    <n v="0"/>
    <n v="0"/>
    <n v="0"/>
    <n v="0"/>
    <n v="-5010.08"/>
    <n v="0"/>
  </r>
  <r>
    <x v="0"/>
    <x v="1"/>
    <x v="0"/>
    <s v="2546200"/>
    <n v="749510"/>
    <s v="Licenses"/>
    <s v="Optometry/Eye Care-Opt"/>
    <x v="0"/>
    <n v="1002"/>
    <n v="0"/>
    <n v="0"/>
    <n v="0"/>
    <n v="0"/>
    <n v="0"/>
    <n v="0"/>
    <n v="0"/>
    <n v="0"/>
    <n v="0"/>
    <n v="0"/>
    <n v="166"/>
    <n v="0"/>
    <n v="166"/>
    <n v="166"/>
  </r>
  <r>
    <x v="0"/>
    <x v="1"/>
    <x v="0"/>
    <s v="2546200"/>
    <n v="749513"/>
    <s v="Licenses-Advanced Practice Clinician"/>
    <s v="Optometry/Eye Care-Opt"/>
    <x v="0"/>
    <n v="2000"/>
    <n v="0"/>
    <n v="0"/>
    <n v="166"/>
    <n v="0"/>
    <n v="0"/>
    <n v="0"/>
    <n v="0"/>
    <n v="0"/>
    <n v="0"/>
    <n v="0"/>
    <n v="0"/>
    <n v="393.5"/>
    <n v="559.5"/>
    <n v="-393.5"/>
  </r>
  <r>
    <x v="0"/>
    <x v="1"/>
    <x v="0"/>
    <s v="2546200"/>
    <n v="749533"/>
    <s v="Travel-Advanced Practice Clinician"/>
    <s v="Optometry/Eye Care-Opt"/>
    <x v="0"/>
    <m/>
    <n v="0"/>
    <n v="0"/>
    <n v="447.02"/>
    <n v="0"/>
    <n v="0"/>
    <n v="1000.65"/>
    <n v="228.6"/>
    <n v="1158.74"/>
    <n v="0"/>
    <n v="1309.28"/>
    <n v="0"/>
    <n v="2266.62"/>
    <n v="6410.91"/>
    <n v="-2266.62"/>
  </r>
  <r>
    <x v="7"/>
    <x v="1"/>
    <x v="0"/>
    <s v="2548200"/>
    <n v="718040"/>
    <s v="Contract Svcs-Laboratory"/>
    <s v="Ortho/Sport Med-TASC-Ortho"/>
    <x v="0"/>
    <m/>
    <n v="102.4"/>
    <n v="0"/>
    <n v="0"/>
    <n v="0"/>
    <n v="0"/>
    <n v="0"/>
    <n v="0"/>
    <n v="-102.4"/>
    <n v="0"/>
    <n v="0"/>
    <n v="0"/>
    <n v="0"/>
    <n v="0"/>
    <n v="0"/>
  </r>
  <r>
    <x v="1"/>
    <x v="1"/>
    <x v="0"/>
    <s v="2550200"/>
    <n v="400029"/>
    <s v="MD Practice Other Rev--Medicare"/>
    <s v="Gen Surg-Aub/FW-Gen Surg"/>
    <x v="0"/>
    <n v="1100"/>
    <n v="-273"/>
    <n v="-664"/>
    <n v="-475"/>
    <n v="-693"/>
    <n v="-449"/>
    <n v="-51"/>
    <n v="-129"/>
    <n v="-199"/>
    <n v="-666"/>
    <n v="-199"/>
    <n v="-939"/>
    <n v="-868"/>
    <n v="-5605"/>
    <n v="-71"/>
  </r>
  <r>
    <x v="1"/>
    <x v="1"/>
    <x v="0"/>
    <s v="2550200"/>
    <n v="400029"/>
    <s v="MD Practice Other Rev--Medicaid"/>
    <s v="Gen Surg-Aub/FW-Gen Surg"/>
    <x v="0"/>
    <n v="1200"/>
    <n v="-52"/>
    <n v="-200"/>
    <n v="-51"/>
    <n v="-607"/>
    <n v="-723"/>
    <n v="-450"/>
    <n v="-430"/>
    <n v="-245"/>
    <n v="-490"/>
    <n v="-781"/>
    <n v="-650"/>
    <n v="-176"/>
    <n v="-4855"/>
    <n v="-474"/>
  </r>
  <r>
    <x v="1"/>
    <x v="1"/>
    <x v="0"/>
    <s v="2550200"/>
    <n v="400029"/>
    <s v="MD Practice Other Rev--Comm Insurance"/>
    <s v="Gen Surg-Aub/FW-Gen Surg"/>
    <x v="0"/>
    <n v="1300"/>
    <n v="0"/>
    <n v="0"/>
    <n v="0"/>
    <n v="-199"/>
    <n v="0"/>
    <n v="0"/>
    <n v="0"/>
    <n v="0"/>
    <n v="0"/>
    <n v="-199"/>
    <n v="0"/>
    <n v="0"/>
    <n v="-398"/>
    <n v="0"/>
  </r>
  <r>
    <x v="1"/>
    <x v="1"/>
    <x v="0"/>
    <s v="2550200"/>
    <n v="400029"/>
    <s v="MD Practice Other Rev--BCBS Comm"/>
    <s v="Gen Surg-Aub/FW-Gen Surg"/>
    <x v="0"/>
    <n v="1301"/>
    <n v="0"/>
    <n v="-51"/>
    <n v="0"/>
    <n v="0"/>
    <n v="0"/>
    <n v="-153"/>
    <n v="-250"/>
    <n v="-51"/>
    <n v="-251"/>
    <n v="-52"/>
    <n v="-239"/>
    <n v="-184"/>
    <n v="-1231"/>
    <n v="-55"/>
  </r>
  <r>
    <x v="1"/>
    <x v="1"/>
    <x v="0"/>
    <s v="2550200"/>
    <n v="400029"/>
    <s v="MD Practice Other Rev--Managed Care"/>
    <s v="Gen Surg-Aub/FW-Gen Surg"/>
    <x v="0"/>
    <n v="1400"/>
    <n v="-102"/>
    <n v="-573"/>
    <n v="-166"/>
    <n v="-385"/>
    <n v="-1094"/>
    <n v="-46"/>
    <n v="-143"/>
    <n v="-240"/>
    <n v="-199"/>
    <n v="-1337"/>
    <n v="-240"/>
    <n v="-627"/>
    <n v="-5152"/>
    <n v="387"/>
  </r>
  <r>
    <x v="1"/>
    <x v="1"/>
    <x v="0"/>
    <s v="2550200"/>
    <n v="400029"/>
    <s v="MD Practice Other Rev--Self Pay"/>
    <s v="Gen Surg-Aub/FW-Gen Surg"/>
    <x v="0"/>
    <n v="1500"/>
    <n v="0"/>
    <n v="51"/>
    <n v="0"/>
    <n v="0"/>
    <n v="-51"/>
    <n v="0"/>
    <n v="0"/>
    <n v="-247"/>
    <n v="0"/>
    <n v="-52"/>
    <n v="-375"/>
    <n v="0"/>
    <n v="-674"/>
    <n v="-375"/>
  </r>
  <r>
    <x v="1"/>
    <x v="1"/>
    <x v="0"/>
    <s v="2550200"/>
    <n v="400029"/>
    <s v="MD Practice Other Rev--Other"/>
    <s v="Gen Surg-Aub/FW-Gen Surg"/>
    <x v="0"/>
    <n v="1700"/>
    <n v="-23"/>
    <n v="0"/>
    <n v="0"/>
    <n v="0"/>
    <n v="0"/>
    <n v="-199"/>
    <n v="0"/>
    <n v="0"/>
    <n v="0"/>
    <n v="0"/>
    <n v="0"/>
    <n v="0"/>
    <n v="-222"/>
    <n v="0"/>
  </r>
  <r>
    <x v="1"/>
    <x v="1"/>
    <x v="0"/>
    <s v="2550200"/>
    <n v="400040"/>
    <s v="Physician Svcs Rev--Medicare"/>
    <s v="Gen Surg-Aub/FW-Gen Surg"/>
    <x v="0"/>
    <n v="1100"/>
    <n v="-140405"/>
    <n v="-132320.15"/>
    <n v="-96273"/>
    <n v="-133487.75"/>
    <n v="-129270.25"/>
    <n v="-101026.5"/>
    <n v="-125060"/>
    <n v="-124319"/>
    <n v="-160116.29999999999"/>
    <n v="-144152"/>
    <n v="-196774.5"/>
    <n v="-183903.25"/>
    <n v="-1667107.7"/>
    <n v="-12871.25"/>
  </r>
  <r>
    <x v="1"/>
    <x v="1"/>
    <x v="0"/>
    <s v="2550200"/>
    <n v="400040"/>
    <s v="Physician Svcs Rev--Medicaid"/>
    <s v="Gen Surg-Aub/FW-Gen Surg"/>
    <x v="0"/>
    <n v="1200"/>
    <n v="-69204.5"/>
    <n v="-103744.25"/>
    <n v="-68106"/>
    <n v="-74919.5"/>
    <n v="-105105"/>
    <n v="-49504.75"/>
    <n v="-100364.25"/>
    <n v="-117998.25"/>
    <n v="-125612.25"/>
    <n v="-119659.75"/>
    <n v="-82481.75"/>
    <n v="-45870.25"/>
    <n v="-1062570.5"/>
    <n v="-36611.5"/>
  </r>
  <r>
    <x v="1"/>
    <x v="1"/>
    <x v="0"/>
    <s v="2550200"/>
    <n v="400040"/>
    <s v="Physician Svcs Rev--Comm Insurance"/>
    <s v="Gen Surg-Aub/FW-Gen Surg"/>
    <x v="0"/>
    <n v="1300"/>
    <n v="-4908"/>
    <n v="-10974"/>
    <n v="-7947"/>
    <n v="-13045"/>
    <n v="-5504"/>
    <n v="-9364"/>
    <n v="-5950"/>
    <n v="-3916"/>
    <n v="-13590"/>
    <n v="-27168"/>
    <n v="-3229"/>
    <n v="-9162"/>
    <n v="-114757"/>
    <n v="5933"/>
  </r>
  <r>
    <x v="1"/>
    <x v="1"/>
    <x v="0"/>
    <s v="2550200"/>
    <n v="400040"/>
    <s v="Physician Svcs Rev--BCBS Comm"/>
    <s v="Gen Surg-Aub/FW-Gen Surg"/>
    <x v="0"/>
    <n v="1301"/>
    <n v="-27417.5"/>
    <n v="-38507"/>
    <n v="-22497"/>
    <n v="-29955.5"/>
    <n v="-30435"/>
    <n v="-31629.25"/>
    <n v="-62060"/>
    <n v="-75953.75"/>
    <n v="-55102"/>
    <n v="-36986"/>
    <n v="-66326.25"/>
    <n v="-29900.5"/>
    <n v="-506769.75"/>
    <n v="-36425.75"/>
  </r>
  <r>
    <x v="1"/>
    <x v="1"/>
    <x v="0"/>
    <s v="2550200"/>
    <n v="400040"/>
    <s v="Physician Svcs Rev--Managed Care"/>
    <s v="Gen Surg-Aub/FW-Gen Surg"/>
    <x v="0"/>
    <n v="1400"/>
    <n v="-98209.75"/>
    <n v="-155081.25"/>
    <n v="-105636.75"/>
    <n v="-106611.5"/>
    <n v="-147145.25"/>
    <n v="-77146.5"/>
    <n v="-118569.25"/>
    <n v="-150285"/>
    <n v="-108415.25"/>
    <n v="-185035.25"/>
    <n v="-76411.75"/>
    <n v="-122920.25"/>
    <n v="-1451467.75"/>
    <n v="46508.5"/>
  </r>
  <r>
    <x v="1"/>
    <x v="1"/>
    <x v="0"/>
    <s v="2550200"/>
    <n v="400040"/>
    <s v="Physician Svcs Rev--Self Pay"/>
    <s v="Gen Surg-Aub/FW-Gen Surg"/>
    <x v="0"/>
    <n v="1500"/>
    <n v="-1916.5"/>
    <n v="-8873.75"/>
    <n v="-3581"/>
    <n v="-2513.25"/>
    <n v="-12856.75"/>
    <n v="-6616"/>
    <n v="-16600"/>
    <n v="-15141.25"/>
    <n v="-19456"/>
    <n v="-4371"/>
    <n v="-36015.75"/>
    <n v="-6232"/>
    <n v="-134173.25"/>
    <n v="-29783.75"/>
  </r>
  <r>
    <x v="1"/>
    <x v="1"/>
    <x v="0"/>
    <s v="2550200"/>
    <n v="400040"/>
    <s v="Physician Svcs Rev--Other"/>
    <s v="Gen Surg-Aub/FW-Gen Surg"/>
    <x v="0"/>
    <n v="1700"/>
    <n v="-13175"/>
    <n v="-4699"/>
    <n v="-18196"/>
    <n v="-7524"/>
    <n v="-1159"/>
    <n v="-7906"/>
    <n v="-6910"/>
    <n v="-3104"/>
    <n v="-6968"/>
    <n v="-6298"/>
    <n v="-10324"/>
    <n v="-2191"/>
    <n v="-88454"/>
    <n v="-8133"/>
  </r>
  <r>
    <x v="2"/>
    <x v="1"/>
    <x v="0"/>
    <s v="2550200"/>
    <n v="450029"/>
    <s v="Contr Allow--MD Other-Medicare"/>
    <s v="Gen Surg-Aub/FW-Gen Surg"/>
    <x v="0"/>
    <n v="1100"/>
    <n v="166.99"/>
    <n v="235.24"/>
    <n v="359.52"/>
    <n v="320.62"/>
    <n v="319.47000000000003"/>
    <n v="31.63"/>
    <n v="46.61"/>
    <n v="40"/>
    <n v="270.86"/>
    <n v="293.36"/>
    <n v="196.79"/>
    <n v="1050.8499999999999"/>
    <n v="3331.94"/>
    <n v="-854.06"/>
  </r>
  <r>
    <x v="2"/>
    <x v="1"/>
    <x v="0"/>
    <s v="2550200"/>
    <n v="450029"/>
    <s v="Contr Allow--MD Other-Medicaid"/>
    <s v="Gen Surg-Aub/FW-Gen Surg"/>
    <x v="0"/>
    <n v="1200"/>
    <n v="48.67"/>
    <n v="94.08"/>
    <n v="40.67"/>
    <n v="528.54"/>
    <n v="39.880000000000003"/>
    <n v="825.98"/>
    <n v="405.15"/>
    <n v="157.91999999999999"/>
    <n v="378.22"/>
    <n v="432.59"/>
    <n v="335.95"/>
    <n v="381.59"/>
    <n v="3669.2400000000007"/>
    <n v="-45.639999999999986"/>
  </r>
  <r>
    <x v="2"/>
    <x v="1"/>
    <x v="0"/>
    <s v="2550200"/>
    <n v="450029"/>
    <s v="Contr Allow--MD Other-Comm Insurance"/>
    <s v="Gen Surg-Aub/FW-Gen Surg"/>
    <x v="0"/>
    <n v="1300"/>
    <n v="9.24"/>
    <n v="0"/>
    <n v="0"/>
    <n v="0"/>
    <n v="0"/>
    <n v="0"/>
    <n v="0"/>
    <n v="0"/>
    <n v="0"/>
    <n v="190.27"/>
    <n v="0"/>
    <n v="0"/>
    <n v="199.51000000000002"/>
    <n v="0"/>
  </r>
  <r>
    <x v="2"/>
    <x v="1"/>
    <x v="0"/>
    <s v="2550200"/>
    <n v="450029"/>
    <s v="Contr Allow--MD Other BCBS Comm"/>
    <s v="Gen Surg-Aub/FW-Gen Surg"/>
    <x v="0"/>
    <n v="1301"/>
    <n v="0"/>
    <n v="13.95"/>
    <n v="0"/>
    <n v="0"/>
    <n v="0"/>
    <n v="12.77"/>
    <n v="25.54"/>
    <n v="62.97"/>
    <n v="61.79"/>
    <n v="13.03"/>
    <n v="49.02"/>
    <n v="68.67"/>
    <n v="307.74"/>
    <n v="-19.649999999999999"/>
  </r>
  <r>
    <x v="2"/>
    <x v="1"/>
    <x v="0"/>
    <s v="2550200"/>
    <n v="450029"/>
    <s v="Contr Allow--MD Other-Managed Care"/>
    <s v="Gen Surg-Aub/FW-Gen Surg"/>
    <x v="0"/>
    <n v="1400"/>
    <n v="286.66000000000003"/>
    <n v="69.09"/>
    <n v="217.25"/>
    <n v="69.989999999999995"/>
    <n v="253.64"/>
    <n v="163.06"/>
    <n v="93.51"/>
    <n v="-19.48"/>
    <n v="100.78"/>
    <n v="142.86000000000001"/>
    <n v="354.14"/>
    <n v="106.92"/>
    <n v="1838.42"/>
    <n v="247.21999999999997"/>
  </r>
  <r>
    <x v="2"/>
    <x v="1"/>
    <x v="0"/>
    <s v="2550200"/>
    <n v="450029"/>
    <s v="Admin Adjust-MD Other-Self Pay"/>
    <s v="Gen Surg-Aub/FW-Gen Surg"/>
    <x v="0"/>
    <n v="1600"/>
    <n v="23"/>
    <n v="-12.56"/>
    <n v="0"/>
    <n v="0"/>
    <n v="30.93"/>
    <n v="0"/>
    <n v="0"/>
    <n v="114.39"/>
    <n v="0"/>
    <n v="19.239999999999998"/>
    <n v="138.75"/>
    <n v="0"/>
    <n v="313.75"/>
    <n v="138.75"/>
  </r>
  <r>
    <x v="2"/>
    <x v="1"/>
    <x v="0"/>
    <s v="2550200"/>
    <n v="450029"/>
    <s v="Contr Allow--MD Other-Other"/>
    <s v="Gen Surg-Aub/FW-Gen Surg"/>
    <x v="0"/>
    <n v="1700"/>
    <n v="0"/>
    <n v="14.75"/>
    <n v="0"/>
    <n v="0"/>
    <n v="0"/>
    <n v="0"/>
    <n v="0"/>
    <n v="126.34"/>
    <n v="0"/>
    <n v="0"/>
    <n v="0"/>
    <n v="0"/>
    <n v="141.09"/>
    <n v="0"/>
  </r>
  <r>
    <x v="2"/>
    <x v="1"/>
    <x v="0"/>
    <s v="2550200"/>
    <n v="450040"/>
    <s v="Contr Allow--Phys Svcs--Mcare"/>
    <s v="Gen Surg-Aub/FW-Gen Surg"/>
    <x v="0"/>
    <n v="1100"/>
    <n v="73958.78"/>
    <n v="95201.15"/>
    <n v="59720.37"/>
    <n v="94398.48"/>
    <n v="78268.63"/>
    <n v="59549.14"/>
    <n v="60672.82"/>
    <n v="51190.75"/>
    <n v="87502.91"/>
    <n v="86841.57"/>
    <n v="155801.15"/>
    <n v="128499.57"/>
    <n v="1031605.3200000001"/>
    <n v="27301.579999999987"/>
  </r>
  <r>
    <x v="2"/>
    <x v="1"/>
    <x v="0"/>
    <s v="2550200"/>
    <n v="450040"/>
    <s v="Contr Allow--Phys Svcs--Mcaid"/>
    <s v="Gen Surg-Aub/FW-Gen Surg"/>
    <x v="0"/>
    <n v="1200"/>
    <n v="70365.75"/>
    <n v="102199.77"/>
    <n v="54873.66"/>
    <n v="58914.01"/>
    <n v="49595.18"/>
    <n v="76477.09"/>
    <n v="49069.43"/>
    <n v="81249.2"/>
    <n v="87559.06"/>
    <n v="84002.41"/>
    <n v="85023.46"/>
    <n v="46375.45"/>
    <n v="845704.46999999986"/>
    <n v="38648.010000000009"/>
  </r>
  <r>
    <x v="2"/>
    <x v="1"/>
    <x v="0"/>
    <s v="2550200"/>
    <n v="450040"/>
    <s v="Contr Allow--Phys Svcs--Comm Insurance"/>
    <s v="Gen Surg-Aub/FW-Gen Surg"/>
    <x v="0"/>
    <n v="1300"/>
    <n v="3208.21"/>
    <n v="3408.98"/>
    <n v="3201.52"/>
    <n v="3964.18"/>
    <n v="4320.75"/>
    <n v="2093.8000000000002"/>
    <n v="2972.33"/>
    <n v="1102.6300000000001"/>
    <n v="7360.72"/>
    <n v="6527.73"/>
    <n v="2502.94"/>
    <n v="3516.47"/>
    <n v="44180.26"/>
    <n v="-1013.5299999999997"/>
  </r>
  <r>
    <x v="2"/>
    <x v="1"/>
    <x v="0"/>
    <s v="2550200"/>
    <n v="450040"/>
    <s v="Contr Allow--Phys Svcs--BCBS Comm Ins"/>
    <s v="Gen Surg-Aub/FW-Gen Surg"/>
    <x v="0"/>
    <n v="1301"/>
    <n v="12094.76"/>
    <n v="13052.51"/>
    <n v="10313.74"/>
    <n v="5700.32"/>
    <n v="7864.75"/>
    <n v="10451.14"/>
    <n v="13935.42"/>
    <n v="9918.82"/>
    <n v="41192.300000000003"/>
    <n v="10098.27"/>
    <n v="12802.48"/>
    <n v="25561.65"/>
    <n v="172986.16"/>
    <n v="-12759.170000000002"/>
  </r>
  <r>
    <x v="2"/>
    <x v="1"/>
    <x v="0"/>
    <s v="2550200"/>
    <n v="450040"/>
    <s v="Contr Allow--Phys Svcs--Managed Care"/>
    <s v="Gen Surg-Aub/FW-Gen Surg"/>
    <x v="0"/>
    <n v="1400"/>
    <n v="39299.53"/>
    <n v="40193.35"/>
    <n v="31519.119999999999"/>
    <n v="35752.51"/>
    <n v="53378.87"/>
    <n v="38243.33"/>
    <n v="28863.83"/>
    <n v="31543.360000000001"/>
    <n v="62841.68"/>
    <n v="57341.440000000002"/>
    <n v="50482.98"/>
    <n v="53812.3"/>
    <n v="523272.3"/>
    <n v="-3329.3199999999997"/>
  </r>
  <r>
    <x v="2"/>
    <x v="1"/>
    <x v="0"/>
    <s v="2550200"/>
    <n v="450040"/>
    <s v="Contr Allow--Phys Svcs--BCBS Mgnd Care"/>
    <s v="Gen Surg-Aub/FW-Gen Surg"/>
    <x v="0"/>
    <n v="1401"/>
    <n v="-5022.1000000000004"/>
    <n v="1318.94"/>
    <n v="4077.16"/>
    <n v="-10412.540000000001"/>
    <n v="35619"/>
    <n v="-32032.85"/>
    <n v="77587.490000000005"/>
    <n v="90905.71"/>
    <n v="-3058.87"/>
    <n v="32755.96"/>
    <n v="-26606.19"/>
    <n v="-24575.56"/>
    <n v="140556.15"/>
    <n v="-2030.6299999999974"/>
  </r>
  <r>
    <x v="2"/>
    <x v="1"/>
    <x v="0"/>
    <s v="2550200"/>
    <n v="450040"/>
    <s v="Prompt Pay Disc-Phys Svcs-Self Pay"/>
    <s v="Gen Surg-Aub/FW-Gen Surg"/>
    <x v="0"/>
    <n v="1500"/>
    <n v="0"/>
    <n v="0"/>
    <n v="0"/>
    <n v="0"/>
    <n v="0"/>
    <n v="0"/>
    <n v="0"/>
    <n v="0"/>
    <n v="0"/>
    <n v="0"/>
    <n v="151.97999999999999"/>
    <n v="0"/>
    <n v="151.97999999999999"/>
    <n v="151.97999999999999"/>
  </r>
  <r>
    <x v="2"/>
    <x v="1"/>
    <x v="0"/>
    <s v="2550200"/>
    <n v="450040"/>
    <s v="Admin Adjust-Phys Svcs-Self Pay"/>
    <s v="Gen Surg-Aub/FW-Gen Surg"/>
    <x v="0"/>
    <n v="1600"/>
    <n v="245.62"/>
    <n v="8047.86"/>
    <n v="4554.82"/>
    <n v="2651.38"/>
    <n v="5121.3999999999996"/>
    <n v="3354"/>
    <n v="6944.08"/>
    <n v="5649.28"/>
    <n v="10662.07"/>
    <n v="4672.6899999999996"/>
    <n v="18279.75"/>
    <n v="4475.0600000000004"/>
    <n v="74658.010000000009"/>
    <n v="13804.689999999999"/>
  </r>
  <r>
    <x v="2"/>
    <x v="1"/>
    <x v="0"/>
    <s v="2550200"/>
    <n v="450040"/>
    <s v="Contr Allow--Phys Svcs--Other"/>
    <s v="Gen Surg-Aub/FW-Gen Surg"/>
    <x v="0"/>
    <n v="1700"/>
    <n v="7019.22"/>
    <n v="9162.9"/>
    <n v="4958.75"/>
    <n v="3763.29"/>
    <n v="4550.8999999999996"/>
    <n v="1661.77"/>
    <n v="673.89"/>
    <n v="6513.58"/>
    <n v="2756.25"/>
    <n v="2342.1999999999998"/>
    <n v="1107.33"/>
    <n v="5698.78"/>
    <n v="50208.859999999993"/>
    <n v="-4591.45"/>
  </r>
  <r>
    <x v="3"/>
    <x v="1"/>
    <x v="0"/>
    <s v="2550200"/>
    <n v="470040"/>
    <s v="Charity Care-Physician Svcs"/>
    <s v="Gen Surg-Aub/FW-Gen Surg"/>
    <x v="0"/>
    <m/>
    <n v="49.51"/>
    <n v="3933.98"/>
    <n v="967.67"/>
    <n v="4845.82"/>
    <n v="905.99"/>
    <n v="3455.78"/>
    <n v="4886.1400000000003"/>
    <n v="11625.66"/>
    <n v="8548.69"/>
    <n v="18846.63"/>
    <n v="5804.73"/>
    <n v="13072.29"/>
    <n v="76942.889999999985"/>
    <n v="-7267.5600000000013"/>
  </r>
  <r>
    <x v="4"/>
    <x v="1"/>
    <x v="0"/>
    <s v="2550200"/>
    <n v="490010"/>
    <s v="Provision for Bad Debts"/>
    <s v="Gen Surg-Aub/FW-Gen Surg"/>
    <x v="0"/>
    <m/>
    <n v="5731.72"/>
    <n v="1059.78"/>
    <n v="3707.81"/>
    <n v="13953.87"/>
    <n v="13015.9"/>
    <n v="-1822.97"/>
    <n v="6702.45"/>
    <n v="7836.62"/>
    <n v="2090.96"/>
    <n v="13391.74"/>
    <n v="4002.03"/>
    <n v="2552.0700000000002"/>
    <n v="72221.98000000001"/>
    <n v="1449.96"/>
  </r>
  <r>
    <x v="14"/>
    <x v="1"/>
    <x v="0"/>
    <s v="2550200"/>
    <n v="600050"/>
    <s v="Miscellaneous Revenue"/>
    <s v="Gen Surg-Aub/FW-Gen Surg"/>
    <x v="0"/>
    <m/>
    <n v="-900"/>
    <n v="-900"/>
    <n v="-2700"/>
    <n v="-900"/>
    <n v="-2700"/>
    <n v="-24600"/>
    <n v="-15300"/>
    <n v="-14400"/>
    <n v="-9900"/>
    <n v="-15375"/>
    <n v="-4950"/>
    <n v="-22500"/>
    <n v="-115125"/>
    <n v="17550"/>
  </r>
  <r>
    <x v="5"/>
    <x v="1"/>
    <x v="0"/>
    <s v="2550200"/>
    <n v="700020"/>
    <s v="Salaries-Physician Admin-Other"/>
    <s v="Gen Surg-Aub/FW-Gen Surg"/>
    <x v="0"/>
    <n v="2000"/>
    <n v="0"/>
    <n v="0"/>
    <n v="0"/>
    <n v="0"/>
    <n v="0"/>
    <n v="0"/>
    <n v="0"/>
    <n v="0"/>
    <n v="0"/>
    <n v="0"/>
    <n v="0"/>
    <n v="1800"/>
    <n v="1800"/>
    <n v="-1800"/>
  </r>
  <r>
    <x v="5"/>
    <x v="1"/>
    <x v="0"/>
    <s v="2550200"/>
    <n v="700022"/>
    <s v="Salaries-Physician-Productive"/>
    <s v="Gen Surg-Aub/FW-Gen Surg"/>
    <x v="0"/>
    <m/>
    <n v="118401.26"/>
    <n v="137811.53"/>
    <n v="94272.6"/>
    <n v="142941.14000000001"/>
    <n v="98922"/>
    <n v="127407.31"/>
    <n v="151571.10999999999"/>
    <n v="150112.1"/>
    <n v="136172.37"/>
    <n v="151459.07"/>
    <n v="135937.09"/>
    <n v="112273.34"/>
    <n v="1557280.9200000002"/>
    <n v="23663.75"/>
  </r>
  <r>
    <x v="5"/>
    <x v="1"/>
    <x v="0"/>
    <s v="2550200"/>
    <n v="700022"/>
    <s v="Salaries-Physician-Other"/>
    <s v="Gen Surg-Aub/FW-Gen Surg"/>
    <x v="0"/>
    <n v="2000"/>
    <n v="900"/>
    <n v="900"/>
    <n v="2700"/>
    <n v="900"/>
    <n v="2700"/>
    <n v="24600"/>
    <n v="15300"/>
    <n v="14400"/>
    <n v="9900"/>
    <n v="15375"/>
    <n v="4950"/>
    <n v="20700"/>
    <n v="113325"/>
    <n v="-15750"/>
  </r>
  <r>
    <x v="5"/>
    <x v="1"/>
    <x v="0"/>
    <s v="2550200"/>
    <n v="700024"/>
    <s v="Salaries-Advanced Practice Clinician-Productive"/>
    <s v="Gen Surg-Aub/FW-Gen Surg"/>
    <x v="0"/>
    <m/>
    <n v="0"/>
    <n v="0"/>
    <n v="0"/>
    <n v="0"/>
    <n v="0"/>
    <n v="8419.25"/>
    <n v="7330.52"/>
    <n v="8812.93"/>
    <n v="8262.11"/>
    <n v="8685.7999999999993"/>
    <n v="8050.29"/>
    <n v="5126.24"/>
    <n v="54687.14"/>
    <n v="2924.05"/>
  </r>
  <r>
    <x v="5"/>
    <x v="1"/>
    <x v="0"/>
    <s v="2550200"/>
    <n v="700024"/>
    <s v="Salaries-Advanced Practice Clinician-Other"/>
    <s v="Gen Surg-Aub/FW-Gen Surg"/>
    <x v="0"/>
    <n v="2000"/>
    <n v="0"/>
    <n v="0"/>
    <n v="0"/>
    <n v="0"/>
    <n v="0"/>
    <n v="30"/>
    <n v="0"/>
    <n v="0"/>
    <n v="0"/>
    <n v="0"/>
    <n v="0"/>
    <n v="1171.1099999999999"/>
    <n v="1201.1099999999999"/>
    <n v="-1171.1099999999999"/>
  </r>
  <r>
    <x v="5"/>
    <x v="1"/>
    <x v="0"/>
    <s v="2550200"/>
    <n v="700026"/>
    <s v="Salaries-RN-Productive"/>
    <s v="Gen Surg-Aub/FW-Gen Surg"/>
    <x v="0"/>
    <m/>
    <n v="2852.75"/>
    <n v="1371.34"/>
    <n v="1531.69"/>
    <n v="1350.52"/>
    <n v="198.19"/>
    <n v="874.47"/>
    <n v="1694.5"/>
    <n v="302.66000000000003"/>
    <n v="2514.81"/>
    <n v="-71.95"/>
    <n v="2085.62"/>
    <n v="-272.89999999999998"/>
    <n v="14431.699999999999"/>
    <n v="2358.52"/>
  </r>
  <r>
    <x v="5"/>
    <x v="1"/>
    <x v="0"/>
    <s v="2550200"/>
    <n v="700030"/>
    <s v="Salaries-LPN-Productive"/>
    <s v="Gen Surg-Aub/FW-Gen Surg"/>
    <x v="0"/>
    <m/>
    <n v="3950.17"/>
    <n v="8982.36"/>
    <n v="4904.88"/>
    <n v="9389.32"/>
    <n v="8545.14"/>
    <n v="4668.96"/>
    <n v="7419.51"/>
    <n v="7603.66"/>
    <n v="6276.46"/>
    <n v="9169.7800000000007"/>
    <n v="9330.5499999999993"/>
    <n v="3350.29"/>
    <n v="83591.08"/>
    <n v="5980.2599999999993"/>
  </r>
  <r>
    <x v="5"/>
    <x v="1"/>
    <x v="0"/>
    <s v="2550200"/>
    <n v="700030"/>
    <s v="Salaries-LPN-OT"/>
    <s v="Gen Surg-Aub/FW-Gen Surg"/>
    <x v="0"/>
    <n v="1000"/>
    <n v="0"/>
    <n v="55.08"/>
    <n v="0"/>
    <n v="27.54"/>
    <n v="56.72"/>
    <n v="75.64"/>
    <n v="0"/>
    <n v="71.959999999999994"/>
    <n v="51.13"/>
    <n v="67.209999999999994"/>
    <n v="188.41"/>
    <n v="-3.07"/>
    <n v="590.61999999999989"/>
    <n v="191.48"/>
  </r>
  <r>
    <x v="5"/>
    <x v="1"/>
    <x v="0"/>
    <s v="2550200"/>
    <n v="700030"/>
    <s v="Salaries-LPN-Other"/>
    <s v="Gen Surg-Aub/FW-Gen Surg"/>
    <x v="0"/>
    <n v="2000"/>
    <n v="79.13"/>
    <n v="76.45"/>
    <n v="72.89"/>
    <n v="77.47"/>
    <n v="72.63"/>
    <n v="70.86"/>
    <n v="80.5"/>
    <n v="65.19"/>
    <n v="75.819999999999993"/>
    <n v="80.27"/>
    <n v="89.64"/>
    <n v="-5.5"/>
    <n v="835.3499999999998"/>
    <n v="95.14"/>
  </r>
  <r>
    <x v="5"/>
    <x v="1"/>
    <x v="0"/>
    <s v="2550200"/>
    <n v="700062"/>
    <s v="Salaries-Physician-Non-productive"/>
    <s v="Gen Surg-Aub/FW-Gen Surg"/>
    <x v="0"/>
    <m/>
    <n v="15589.79"/>
    <n v="12164.35"/>
    <n v="29407.58"/>
    <n v="8449.2099999999991"/>
    <n v="42965.91"/>
    <n v="3916.19"/>
    <n v="18385.05"/>
    <n v="14279.24"/>
    <n v="12816.46"/>
    <n v="17369.8"/>
    <n v="33371.360000000001"/>
    <n v="35439.03"/>
    <n v="244153.97"/>
    <n v="-2067.6699999999983"/>
  </r>
  <r>
    <x v="5"/>
    <x v="1"/>
    <x v="0"/>
    <s v="2550200"/>
    <n v="700062"/>
    <s v="Salaries-Physician-NonProd-Other"/>
    <s v="Gen Surg-Aub/FW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0200"/>
    <n v="700064"/>
    <s v="Salaries-Advanced Practice Clinician-Non-Productive"/>
    <s v="Gen Surg-Aub/FW-Gen Surg"/>
    <x v="0"/>
    <m/>
    <n v="0"/>
    <n v="0"/>
    <n v="0"/>
    <n v="0"/>
    <n v="0"/>
    <n v="682.27"/>
    <n v="2648.91"/>
    <n v="-108.65"/>
    <n v="867.11"/>
    <n v="865.29"/>
    <n v="1924.14"/>
    <n v="3659.07"/>
    <n v="10538.140000000001"/>
    <n v="-1734.93"/>
  </r>
  <r>
    <x v="5"/>
    <x v="1"/>
    <x v="0"/>
    <s v="2550200"/>
    <n v="700070"/>
    <s v="Salaries-LPN-Non-productive"/>
    <s v="Gen Surg-Aub/FW-Gen Surg"/>
    <x v="0"/>
    <m/>
    <n v="4751.32"/>
    <n v="-243.4"/>
    <n v="3048.76"/>
    <n v="-406.32"/>
    <n v="22.76"/>
    <n v="3440.84"/>
    <n v="1805.82"/>
    <n v="45.59"/>
    <n v="2279.33"/>
    <n v="-155.91999999999999"/>
    <n v="400.91"/>
    <n v="352.82"/>
    <n v="15342.51"/>
    <n v="48.090000000000032"/>
  </r>
  <r>
    <x v="5"/>
    <x v="1"/>
    <x v="0"/>
    <s v="2550200"/>
    <n v="700070"/>
    <s v="Salaries-LPN-NonProd-Other"/>
    <s v="Gen Surg-Aub/FW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0200"/>
    <n v="700084"/>
    <s v="Accrued PTO"/>
    <s v="Gen Surg-Aub/FW-Gen Surg"/>
    <x v="0"/>
    <m/>
    <n v="-1698.79"/>
    <n v="849.64"/>
    <n v="-1415.59"/>
    <n v="765.2"/>
    <n v="755.06"/>
    <n v="-1975.74"/>
    <n v="-888.15"/>
    <n v="630.41"/>
    <n v="-470.41"/>
    <n v="533.41"/>
    <n v="650.16999999999996"/>
    <n v="411.18"/>
    <n v="-1853.61"/>
    <n v="238.98999999999995"/>
  </r>
  <r>
    <x v="10"/>
    <x v="1"/>
    <x v="0"/>
    <s v="2550200"/>
    <n v="710040"/>
    <s v="Contract Labor-Physician (Locum Tenum)"/>
    <s v="Gen Surg-Aub/FW-Gen Surg"/>
    <x v="0"/>
    <m/>
    <n v="0"/>
    <n v="14220"/>
    <n v="0"/>
    <n v="0"/>
    <n v="0"/>
    <n v="0"/>
    <n v="0"/>
    <n v="0"/>
    <n v="0"/>
    <n v="0"/>
    <n v="0"/>
    <n v="0"/>
    <n v="14220"/>
    <n v="0"/>
  </r>
  <r>
    <x v="10"/>
    <x v="1"/>
    <x v="0"/>
    <s v="2550200"/>
    <n v="710042"/>
    <s v="Locum Tenens Travel-Physician"/>
    <s v="Gen Surg-Aub/FW-Gen Surg"/>
    <x v="0"/>
    <m/>
    <n v="0"/>
    <n v="370.71"/>
    <n v="0"/>
    <n v="0"/>
    <n v="0"/>
    <n v="0"/>
    <n v="0"/>
    <n v="0"/>
    <n v="0"/>
    <n v="0"/>
    <n v="0"/>
    <n v="0"/>
    <n v="370.71"/>
    <n v="0"/>
  </r>
  <r>
    <x v="6"/>
    <x v="1"/>
    <x v="0"/>
    <s v="2550200"/>
    <n v="713010"/>
    <s v="Benefits-FICA/Medicare"/>
    <s v="Gen Surg-Aub/FW-Gen Surg"/>
    <x v="0"/>
    <m/>
    <n v="4311.1099999999997"/>
    <n v="4377.3999999999996"/>
    <n v="2204.52"/>
    <n v="2925.61"/>
    <n v="2707.18"/>
    <n v="7517.27"/>
    <n v="14077.9"/>
    <n v="13962.68"/>
    <n v="13005.45"/>
    <n v="8553.68"/>
    <n v="5024.54"/>
    <n v="2798.86"/>
    <n v="81466.199999999983"/>
    <n v="2225.6799999999998"/>
  </r>
  <r>
    <x v="6"/>
    <x v="1"/>
    <x v="0"/>
    <s v="2550200"/>
    <n v="713090"/>
    <s v="Benefits-Allocated Amounts"/>
    <s v="Gen Surg-Aub/FW-Gen Surg"/>
    <x v="0"/>
    <m/>
    <n v="0"/>
    <n v="0"/>
    <n v="0"/>
    <n v="0"/>
    <n v="0"/>
    <n v="0"/>
    <n v="0"/>
    <n v="0"/>
    <n v="39832.160000000003"/>
    <n v="5537.63"/>
    <n v="5228.13"/>
    <n v="5039.4799999999996"/>
    <n v="55637.399999999994"/>
    <n v="188.65000000000055"/>
  </r>
  <r>
    <x v="6"/>
    <x v="1"/>
    <x v="0"/>
    <s v="2550200"/>
    <n v="713092"/>
    <s v="Allocated Benefits-Physician"/>
    <s v="Gen Surg-Aub/FW-Gen Surg"/>
    <x v="0"/>
    <m/>
    <n v="11794.11"/>
    <n v="11058.43"/>
    <n v="10569.95"/>
    <n v="11388.64"/>
    <n v="11094.8"/>
    <n v="13351.96"/>
    <n v="17235.97"/>
    <n v="17269"/>
    <n v="-24964.94"/>
    <n v="10954.8"/>
    <n v="10342.530000000001"/>
    <n v="9969.35"/>
    <n v="110064.60000000002"/>
    <n v="373.18000000000029"/>
  </r>
  <r>
    <x v="6"/>
    <x v="1"/>
    <x v="0"/>
    <s v="2550200"/>
    <n v="713093"/>
    <s v="Allocated Benefits-Advanced Practice Clinician"/>
    <s v="Gen Surg-Aub/FW-Gen Surg"/>
    <x v="0"/>
    <m/>
    <n v="0"/>
    <n v="0"/>
    <n v="0"/>
    <n v="0"/>
    <n v="0"/>
    <n v="0"/>
    <n v="0"/>
    <n v="0"/>
    <n v="2918.44"/>
    <n v="405.73"/>
    <n v="383.06"/>
    <n v="369.24"/>
    <n v="4076.4700000000003"/>
    <n v="13.819999999999993"/>
  </r>
  <r>
    <x v="0"/>
    <x v="1"/>
    <x v="0"/>
    <s v="2550200"/>
    <n v="740022"/>
    <s v="Education-Physician"/>
    <s v="Gen Surg-Aub/FW-Gen Surg"/>
    <x v="0"/>
    <m/>
    <n v="1985"/>
    <n v="0"/>
    <n v="0"/>
    <n v="0"/>
    <n v="0"/>
    <n v="0"/>
    <n v="0"/>
    <n v="0"/>
    <n v="3000"/>
    <n v="0"/>
    <n v="0"/>
    <n v="400"/>
    <n v="5385"/>
    <n v="-400"/>
  </r>
  <r>
    <x v="8"/>
    <x v="1"/>
    <x v="0"/>
    <s v="2550200"/>
    <n v="741012"/>
    <s v="Physician Liab Insurance-CHI Program"/>
    <s v="Gen Surg-Aub/FW-Gen Surg"/>
    <x v="0"/>
    <m/>
    <n v="6669.23"/>
    <n v="6669.23"/>
    <n v="6669.23"/>
    <n v="6669.23"/>
    <n v="6669.23"/>
    <n v="6669.22"/>
    <n v="8413.36"/>
    <n v="8413.35"/>
    <n v="8413.36"/>
    <n v="8413.35"/>
    <n v="8413.36"/>
    <n v="8413.35"/>
    <n v="90495.5"/>
    <n v="1.0000000000218279E-2"/>
  </r>
  <r>
    <x v="0"/>
    <x v="1"/>
    <x v="0"/>
    <s v="2550200"/>
    <n v="743022"/>
    <s v="Dues-Physician"/>
    <s v="Gen Surg-Aub/FW-Gen Surg"/>
    <x v="0"/>
    <m/>
    <n v="0"/>
    <n v="0"/>
    <n v="0"/>
    <n v="0"/>
    <n v="0"/>
    <n v="0"/>
    <n v="0"/>
    <n v="0"/>
    <n v="0"/>
    <n v="0"/>
    <n v="445"/>
    <n v="0"/>
    <n v="445"/>
    <n v="445"/>
  </r>
  <r>
    <x v="0"/>
    <x v="1"/>
    <x v="0"/>
    <s v="2550200"/>
    <n v="743042"/>
    <s v="Subscriptions-Physician"/>
    <s v="Gen Surg-Aub/FW-Gen Surg"/>
    <x v="0"/>
    <m/>
    <n v="0"/>
    <n v="0"/>
    <n v="0"/>
    <n v="0"/>
    <n v="0"/>
    <n v="0"/>
    <n v="0"/>
    <n v="0"/>
    <n v="0"/>
    <n v="0"/>
    <n v="0"/>
    <n v="1195"/>
    <n v="1195"/>
    <n v="-1195"/>
  </r>
  <r>
    <x v="0"/>
    <x v="1"/>
    <x v="0"/>
    <s v="2550200"/>
    <n v="749510"/>
    <s v="Miscellaneous Expenses"/>
    <s v="Gen Surg-Aub/FW-Gen Surg"/>
    <x v="0"/>
    <m/>
    <n v="0"/>
    <n v="0"/>
    <n v="0"/>
    <n v="0"/>
    <n v="0"/>
    <n v="0"/>
    <n v="0"/>
    <n v="731"/>
    <n v="-731"/>
    <n v="0"/>
    <n v="0"/>
    <n v="0"/>
    <n v="0"/>
    <n v="0"/>
  </r>
  <r>
    <x v="0"/>
    <x v="1"/>
    <x v="0"/>
    <s v="2550200"/>
    <n v="749512"/>
    <s v="Licenses-Physician"/>
    <s v="Gen Surg-Aub/FW-Gen Surg"/>
    <x v="0"/>
    <n v="2000"/>
    <n v="0"/>
    <n v="0"/>
    <n v="659.5"/>
    <n v="0"/>
    <n v="0"/>
    <n v="0"/>
    <n v="0"/>
    <n v="0"/>
    <n v="731"/>
    <n v="0"/>
    <n v="0"/>
    <n v="0"/>
    <n v="1390.5"/>
    <n v="0"/>
  </r>
  <r>
    <x v="0"/>
    <x v="1"/>
    <x v="0"/>
    <s v="2550200"/>
    <n v="749530"/>
    <s v="Mileage"/>
    <s v="Gen Surg-Aub/FW-Gen Surg"/>
    <x v="0"/>
    <n v="1001"/>
    <n v="0"/>
    <n v="0"/>
    <n v="0"/>
    <n v="76.33"/>
    <n v="0"/>
    <n v="0"/>
    <n v="14.63"/>
    <n v="0"/>
    <n v="0"/>
    <n v="0"/>
    <n v="0"/>
    <n v="0"/>
    <n v="90.96"/>
    <n v="0"/>
  </r>
  <r>
    <x v="0"/>
    <x v="1"/>
    <x v="0"/>
    <s v="2550200"/>
    <n v="749532"/>
    <s v="Travel-Physician"/>
    <s v="Gen Surg-Aub/FW-Gen Surg"/>
    <x v="0"/>
    <m/>
    <n v="1015"/>
    <n v="0"/>
    <n v="0"/>
    <n v="0"/>
    <n v="0"/>
    <n v="0"/>
    <n v="0"/>
    <n v="0"/>
    <n v="0"/>
    <n v="0"/>
    <n v="0"/>
    <n v="1068.08"/>
    <n v="2083.08"/>
    <n v="-1068.08"/>
  </r>
  <r>
    <x v="0"/>
    <x v="1"/>
    <x v="0"/>
    <s v="2550200"/>
    <n v="749532"/>
    <s v="Vehicle Expense-Physician"/>
    <s v="Gen Surg-Aub/FW-Gen Surg"/>
    <x v="0"/>
    <n v="2001"/>
    <n v="0"/>
    <n v="0"/>
    <n v="0"/>
    <n v="0"/>
    <n v="0"/>
    <n v="0"/>
    <n v="0"/>
    <n v="0"/>
    <n v="0"/>
    <n v="0"/>
    <n v="0"/>
    <n v="204.16"/>
    <n v="204.16"/>
    <n v="-204.16"/>
  </r>
  <r>
    <x v="9"/>
    <x v="1"/>
    <x v="0"/>
    <s v="2550200"/>
    <n v="800015"/>
    <s v="Interest Income-Ext to CHI"/>
    <s v="Gen Surg-Aub/FW-Gen Surg"/>
    <x v="0"/>
    <m/>
    <n v="0"/>
    <n v="0"/>
    <n v="0"/>
    <n v="0"/>
    <n v="0"/>
    <n v="-8.56"/>
    <n v="-25.43"/>
    <n v="-241"/>
    <n v="-112.48"/>
    <n v="-168.31"/>
    <n v="-165.92"/>
    <n v="-152.82"/>
    <n v="-874.52"/>
    <n v="-13.099999999999994"/>
  </r>
  <r>
    <x v="1"/>
    <x v="1"/>
    <x v="0"/>
    <s v="2551200"/>
    <n v="400029"/>
    <s v="MD Practice Other Rev--Medicare"/>
    <s v="Urology-LW-Uro"/>
    <x v="0"/>
    <n v="1100"/>
    <n v="-1234"/>
    <n v="-863"/>
    <n v="-1517"/>
    <n v="-1225"/>
    <n v="-1828"/>
    <n v="-910"/>
    <n v="-779"/>
    <n v="-1946"/>
    <n v="-2669"/>
    <n v="-1813"/>
    <n v="-1707"/>
    <n v="-1863"/>
    <n v="-18354"/>
    <n v="156"/>
  </r>
  <r>
    <x v="1"/>
    <x v="1"/>
    <x v="0"/>
    <s v="2551200"/>
    <n v="400029"/>
    <s v="MD Practice Other Rev--Medicaid"/>
    <s v="Urology-LW-Uro"/>
    <x v="0"/>
    <n v="1200"/>
    <n v="-367"/>
    <n v="-429"/>
    <n v="-377"/>
    <n v="-743"/>
    <n v="-200"/>
    <n v="-387"/>
    <n v="-254"/>
    <n v="-140"/>
    <n v="-140"/>
    <n v="-537"/>
    <n v="-269"/>
    <n v="-169"/>
    <n v="-4012"/>
    <n v="-100"/>
  </r>
  <r>
    <x v="1"/>
    <x v="1"/>
    <x v="0"/>
    <s v="2551200"/>
    <n v="400029"/>
    <s v="MD Practice Other Rev--Comm Insurance"/>
    <s v="Urology-LW-Uro"/>
    <x v="0"/>
    <n v="1300"/>
    <n v="-10"/>
    <n v="0"/>
    <n v="-50"/>
    <n v="-65"/>
    <n v="-79"/>
    <n v="-109"/>
    <n v="-503"/>
    <n v="-30"/>
    <n v="126"/>
    <n v="-20"/>
    <n v="-386"/>
    <n v="-287"/>
    <n v="-1413"/>
    <n v="-99"/>
  </r>
  <r>
    <x v="1"/>
    <x v="1"/>
    <x v="0"/>
    <s v="2551200"/>
    <n v="400029"/>
    <s v="MD Practice Other Rev--BCBS Comm"/>
    <s v="Urology-LW-Uro"/>
    <x v="0"/>
    <n v="1301"/>
    <n v="-40"/>
    <n v="-10"/>
    <n v="-40"/>
    <n v="-30"/>
    <n v="-50"/>
    <n v="-40"/>
    <n v="-90"/>
    <n v="-347"/>
    <n v="-307"/>
    <n v="-134"/>
    <n v="-100"/>
    <n v="-60"/>
    <n v="-1248"/>
    <n v="-40"/>
  </r>
  <r>
    <x v="1"/>
    <x v="1"/>
    <x v="0"/>
    <s v="2551200"/>
    <n v="400029"/>
    <s v="MD Practice Other Rev--Managed Care"/>
    <s v="Urology-LW-Uro"/>
    <x v="0"/>
    <n v="1400"/>
    <n v="-620"/>
    <n v="-90"/>
    <n v="-699"/>
    <n v="-322"/>
    <n v="-120"/>
    <n v="-376"/>
    <n v="-617"/>
    <n v="-1160"/>
    <n v="-814"/>
    <n v="-290"/>
    <n v="-2"/>
    <n v="-199"/>
    <n v="-5309"/>
    <n v="197"/>
  </r>
  <r>
    <x v="1"/>
    <x v="1"/>
    <x v="0"/>
    <s v="2551200"/>
    <n v="400029"/>
    <s v="MD Practice Other Rev--Self Pay"/>
    <s v="Urology-LW-Uro"/>
    <x v="0"/>
    <n v="1500"/>
    <n v="-20"/>
    <n v="-10"/>
    <n v="0"/>
    <n v="1"/>
    <n v="0"/>
    <n v="-10"/>
    <n v="-40"/>
    <n v="0"/>
    <n v="-10"/>
    <n v="-10"/>
    <n v="-10"/>
    <n v="-287"/>
    <n v="-396"/>
    <n v="277"/>
  </r>
  <r>
    <x v="1"/>
    <x v="1"/>
    <x v="0"/>
    <s v="2551200"/>
    <n v="400029"/>
    <s v="MD Practice Other Rev--Other"/>
    <s v="Urology-LW-Uro"/>
    <x v="0"/>
    <n v="1700"/>
    <n v="-267"/>
    <n v="0"/>
    <n v="-30"/>
    <n v="-327"/>
    <n v="-20"/>
    <n v="-30"/>
    <n v="-80"/>
    <n v="-90"/>
    <n v="-50"/>
    <n v="-50"/>
    <n v="-40"/>
    <n v="-30"/>
    <n v="-1014"/>
    <n v="-10"/>
  </r>
  <r>
    <x v="1"/>
    <x v="1"/>
    <x v="0"/>
    <s v="2551200"/>
    <n v="400040"/>
    <s v="Physician Svcs Rev--Medicare"/>
    <s v="Urology-LW-Uro"/>
    <x v="0"/>
    <n v="1100"/>
    <n v="-87679"/>
    <n v="-132061"/>
    <n v="-97850"/>
    <n v="-116716"/>
    <n v="-118529.5"/>
    <n v="-84741"/>
    <n v="-120794"/>
    <n v="-149605"/>
    <n v="-162619"/>
    <n v="-116701"/>
    <n v="-154190"/>
    <n v="-135348"/>
    <n v="-1476833.5"/>
    <n v="-18842"/>
  </r>
  <r>
    <x v="1"/>
    <x v="1"/>
    <x v="0"/>
    <s v="2551200"/>
    <n v="400040"/>
    <s v="Physician Svcs Rev--Medicaid"/>
    <s v="Urology-LW-Uro"/>
    <x v="0"/>
    <n v="1200"/>
    <n v="-19297"/>
    <n v="-22135"/>
    <n v="-20478"/>
    <n v="-20586"/>
    <n v="-18129"/>
    <n v="-21320"/>
    <n v="-40617"/>
    <n v="-23102"/>
    <n v="-33040"/>
    <n v="-33004"/>
    <n v="-42685"/>
    <n v="-27558"/>
    <n v="-321951"/>
    <n v="-15127"/>
  </r>
  <r>
    <x v="1"/>
    <x v="1"/>
    <x v="0"/>
    <s v="2551200"/>
    <n v="400040"/>
    <s v="Physician Svcs Rev--Comm Insurance"/>
    <s v="Urology-LW-Uro"/>
    <x v="0"/>
    <n v="1300"/>
    <n v="-6247"/>
    <n v="-3307"/>
    <n v="-8342"/>
    <n v="-9468"/>
    <n v="-5006"/>
    <n v="-6771"/>
    <n v="-8495"/>
    <n v="-2776"/>
    <n v="-5024"/>
    <n v="-6153"/>
    <n v="-11002"/>
    <n v="-12708"/>
    <n v="-85299"/>
    <n v="1706"/>
  </r>
  <r>
    <x v="1"/>
    <x v="1"/>
    <x v="0"/>
    <s v="2551200"/>
    <n v="400040"/>
    <s v="Physician Svcs Rev--BCBS Comm"/>
    <s v="Urology-LW-Uro"/>
    <x v="0"/>
    <n v="1301"/>
    <n v="5862"/>
    <n v="-9964"/>
    <n v="-7365"/>
    <n v="-13165"/>
    <n v="-9698"/>
    <n v="-4896"/>
    <n v="-13295.1"/>
    <n v="-17128"/>
    <n v="-12928.5"/>
    <n v="-10016.5"/>
    <n v="-17409.5"/>
    <n v="-16364.5"/>
    <n v="-126368.1"/>
    <n v="-1045"/>
  </r>
  <r>
    <x v="1"/>
    <x v="1"/>
    <x v="0"/>
    <s v="2551200"/>
    <n v="400040"/>
    <s v="Physician Svcs Rev--Managed Care"/>
    <s v="Urology-LW-Uro"/>
    <x v="0"/>
    <n v="1400"/>
    <n v="-29919"/>
    <n v="-50696.5"/>
    <n v="-21841"/>
    <n v="-24514"/>
    <n v="-26695"/>
    <n v="-32163"/>
    <n v="-40412"/>
    <n v="-53167"/>
    <n v="-46810"/>
    <n v="-43630"/>
    <n v="-44025"/>
    <n v="-29946"/>
    <n v="-443818.5"/>
    <n v="-14079"/>
  </r>
  <r>
    <x v="1"/>
    <x v="1"/>
    <x v="0"/>
    <s v="2551200"/>
    <n v="400040"/>
    <s v="Physician Svcs Rev--Self Pay"/>
    <s v="Urology-LW-Uro"/>
    <x v="0"/>
    <n v="1500"/>
    <n v="-5789"/>
    <n v="-1462"/>
    <n v="19"/>
    <n v="-2927"/>
    <n v="-1208"/>
    <n v="-296"/>
    <n v="-4731"/>
    <n v="-1359"/>
    <n v="-1262"/>
    <n v="-3102"/>
    <n v="-5777"/>
    <n v="-7524"/>
    <n v="-35418"/>
    <n v="1747"/>
  </r>
  <r>
    <x v="1"/>
    <x v="1"/>
    <x v="0"/>
    <s v="2551200"/>
    <n v="400040"/>
    <s v="Physician Svcs Rev--Other"/>
    <s v="Urology-LW-Uro"/>
    <x v="0"/>
    <n v="1700"/>
    <n v="-2371"/>
    <n v="-7904"/>
    <n v="-10311"/>
    <n v="-8498"/>
    <n v="-3399"/>
    <n v="-7991"/>
    <n v="-12493.8"/>
    <n v="-17952"/>
    <n v="-7064"/>
    <n v="-10164"/>
    <n v="-9120"/>
    <n v="-6851"/>
    <n v="-104118.8"/>
    <n v="-2269"/>
  </r>
  <r>
    <x v="2"/>
    <x v="1"/>
    <x v="0"/>
    <s v="2551200"/>
    <n v="450029"/>
    <s v="Contr Allow--MD Other-Medicare"/>
    <s v="Urology-LW-Uro"/>
    <x v="0"/>
    <n v="1100"/>
    <n v="239.06"/>
    <n v="682.79"/>
    <n v="759.69"/>
    <n v="599.13"/>
    <n v="1543.67"/>
    <n v="627.47"/>
    <n v="313.55"/>
    <n v="852.82"/>
    <n v="733.44"/>
    <n v="1451.17"/>
    <n v="1585.46"/>
    <n v="1340.75"/>
    <n v="10729"/>
    <n v="244.71000000000004"/>
  </r>
  <r>
    <x v="2"/>
    <x v="1"/>
    <x v="0"/>
    <s v="2551200"/>
    <n v="450029"/>
    <s v="Contr Allow--MD Other-Medicaid"/>
    <s v="Urology-LW-Uro"/>
    <x v="0"/>
    <n v="1200"/>
    <n v="54.02"/>
    <n v="458.89"/>
    <n v="153"/>
    <n v="318.60000000000002"/>
    <n v="560.76"/>
    <n v="282.42"/>
    <n v="67.8"/>
    <n v="114.6"/>
    <n v="130"/>
    <n v="192.19"/>
    <n v="404.76"/>
    <n v="99.65"/>
    <n v="2836.69"/>
    <n v="305.11"/>
  </r>
  <r>
    <x v="2"/>
    <x v="1"/>
    <x v="0"/>
    <s v="2551200"/>
    <n v="450029"/>
    <s v="Contr Allow--MD Other-Comm Insurance"/>
    <s v="Urology-LW-Uro"/>
    <x v="0"/>
    <n v="1300"/>
    <n v="4.43"/>
    <n v="4.43"/>
    <n v="12.6"/>
    <n v="8.17"/>
    <n v="27.96"/>
    <n v="29.34"/>
    <n v="19.920000000000002"/>
    <n v="40.76"/>
    <n v="26.76"/>
    <n v="17.38"/>
    <n v="56.37"/>
    <n v="14.22"/>
    <n v="262.34000000000003"/>
    <n v="42.15"/>
  </r>
  <r>
    <x v="2"/>
    <x v="1"/>
    <x v="0"/>
    <s v="2551200"/>
    <n v="450029"/>
    <s v="Contr Allow--MD Other BCBS Comm"/>
    <s v="Urology-LW-Uro"/>
    <x v="0"/>
    <n v="1301"/>
    <n v="91.91"/>
    <n v="26"/>
    <n v="13"/>
    <n v="13"/>
    <n v="26"/>
    <n v="39"/>
    <n v="13"/>
    <n v="13"/>
    <n v="149.32"/>
    <n v="127.89"/>
    <n v="52.7"/>
    <n v="48.65"/>
    <n v="613.47"/>
    <n v="4.0500000000000043"/>
  </r>
  <r>
    <x v="2"/>
    <x v="1"/>
    <x v="0"/>
    <s v="2551200"/>
    <n v="450029"/>
    <s v="Contr Allow--MD Other-Managed Care"/>
    <s v="Urology-LW-Uro"/>
    <x v="0"/>
    <n v="1400"/>
    <n v="193.32"/>
    <n v="319.41000000000003"/>
    <n v="174.53"/>
    <n v="176.78"/>
    <n v="85.31"/>
    <n v="147.13"/>
    <n v="65.11"/>
    <n v="213.08"/>
    <n v="525.76"/>
    <n v="405.62"/>
    <n v="274.22000000000003"/>
    <n v="107.72"/>
    <n v="2687.9899999999993"/>
    <n v="166.50000000000003"/>
  </r>
  <r>
    <x v="2"/>
    <x v="1"/>
    <x v="0"/>
    <s v="2551200"/>
    <n v="450029"/>
    <s v="Admin Adjust-MD Other-Self Pay"/>
    <s v="Urology-LW-Uro"/>
    <x v="0"/>
    <n v="1600"/>
    <n v="18.64"/>
    <n v="33.57"/>
    <n v="0.28000000000000003"/>
    <n v="15.62"/>
    <n v="4.08"/>
    <n v="5.48"/>
    <n v="24.47"/>
    <n v="0.35"/>
    <n v="8.1300000000000008"/>
    <n v="8.7200000000000006"/>
    <n v="11.33"/>
    <n v="175.48"/>
    <n v="306.14999999999998"/>
    <n v="-164.14999999999998"/>
  </r>
  <r>
    <x v="2"/>
    <x v="1"/>
    <x v="0"/>
    <s v="2551200"/>
    <n v="450029"/>
    <s v="Contr Allow--MD Other-Other"/>
    <s v="Urology-LW-Uro"/>
    <x v="0"/>
    <n v="1700"/>
    <n v="14.34"/>
    <n v="10"/>
    <n v="190.7"/>
    <n v="20.86"/>
    <n v="21.54"/>
    <n v="6.52"/>
    <n v="26.8"/>
    <n v="20.89"/>
    <n v="38.06"/>
    <n v="86.39"/>
    <n v="48.95"/>
    <n v="21.51"/>
    <n v="506.55999999999995"/>
    <n v="27.44"/>
  </r>
  <r>
    <x v="2"/>
    <x v="1"/>
    <x v="0"/>
    <s v="2551200"/>
    <n v="450040"/>
    <s v="Contr Allow--Phys Svcs--Mcare"/>
    <s v="Urology-LW-Uro"/>
    <x v="0"/>
    <n v="1100"/>
    <n v="68512.05"/>
    <n v="72427.16"/>
    <n v="69156.47"/>
    <n v="80747.490000000005"/>
    <n v="82495.13"/>
    <n v="48765.78"/>
    <n v="60584.75"/>
    <n v="60377.85"/>
    <n v="90173.89"/>
    <n v="99757.38"/>
    <n v="118283.29"/>
    <n v="94788.29"/>
    <n v="946069.53000000014"/>
    <n v="23495"/>
  </r>
  <r>
    <x v="2"/>
    <x v="1"/>
    <x v="0"/>
    <s v="2551200"/>
    <n v="450040"/>
    <s v="Contr Allow--Phys Svcs--Mcaid"/>
    <s v="Urology-LW-Uro"/>
    <x v="0"/>
    <n v="1200"/>
    <n v="16436.560000000001"/>
    <n v="20316.759999999998"/>
    <n v="14197.15"/>
    <n v="14418.98"/>
    <n v="15897.01"/>
    <n v="10992.67"/>
    <n v="11506.3"/>
    <n v="24370.11"/>
    <n v="23607.15"/>
    <n v="26035.48"/>
    <n v="24316.29"/>
    <n v="29899.33"/>
    <n v="231993.79000000004"/>
    <n v="-5583.0400000000009"/>
  </r>
  <r>
    <x v="2"/>
    <x v="1"/>
    <x v="0"/>
    <s v="2551200"/>
    <n v="450040"/>
    <s v="Contr Allow--Phys Svcs--Comm Insurance"/>
    <s v="Urology-LW-Uro"/>
    <x v="0"/>
    <n v="1300"/>
    <n v="2213.94"/>
    <n v="3234.38"/>
    <n v="2259.33"/>
    <n v="4165.6899999999996"/>
    <n v="4134.96"/>
    <n v="1802.93"/>
    <n v="738.53"/>
    <n v="2384.73"/>
    <n v="2819.99"/>
    <n v="1693.29"/>
    <n v="3619.87"/>
    <n v="5590.59"/>
    <n v="34658.229999999996"/>
    <n v="-1970.7200000000003"/>
  </r>
  <r>
    <x v="2"/>
    <x v="1"/>
    <x v="0"/>
    <s v="2551200"/>
    <n v="450040"/>
    <s v="Contr Allow--Phys Svcs--BCBS Comm Ins"/>
    <s v="Urology-LW-Uro"/>
    <x v="0"/>
    <n v="1301"/>
    <n v="6232.7"/>
    <n v="266.70999999999998"/>
    <n v="1764.24"/>
    <n v="2349.4899999999998"/>
    <n v="3770.87"/>
    <n v="958.12"/>
    <n v="1986.39"/>
    <n v="2089.59"/>
    <n v="6452.86"/>
    <n v="3925.62"/>
    <n v="4359.1000000000004"/>
    <n v="6201.35"/>
    <n v="40357.040000000001"/>
    <n v="-1842.25"/>
  </r>
  <r>
    <x v="2"/>
    <x v="1"/>
    <x v="0"/>
    <s v="2551200"/>
    <n v="450040"/>
    <s v="Contr Allow--Phys Svcs--Managed Care"/>
    <s v="Urology-LW-Uro"/>
    <x v="0"/>
    <n v="1400"/>
    <n v="9195.19"/>
    <n v="12872.55"/>
    <n v="9834.77"/>
    <n v="8596.0499999999993"/>
    <n v="11289.99"/>
    <n v="9489.5499999999993"/>
    <n v="11279.38"/>
    <n v="11289.22"/>
    <n v="26590.52"/>
    <n v="15554.92"/>
    <n v="15539.65"/>
    <n v="14299.03"/>
    <n v="155830.82"/>
    <n v="1240.619999999999"/>
  </r>
  <r>
    <x v="2"/>
    <x v="1"/>
    <x v="0"/>
    <s v="2551200"/>
    <n v="450040"/>
    <s v="Contr Allow--Phys Svcs--BCBS Mgnd Care"/>
    <s v="Urology-LW-Uro"/>
    <x v="0"/>
    <n v="1401"/>
    <n v="-20290.03"/>
    <n v="23837.68"/>
    <n v="-266.06"/>
    <n v="5385.17"/>
    <n v="-13516.62"/>
    <n v="13771.28"/>
    <n v="49993.35"/>
    <n v="50619.09"/>
    <n v="-3821.77"/>
    <n v="-22482.240000000002"/>
    <n v="-1205.99"/>
    <n v="-12855.84"/>
    <n v="69168.01999999999"/>
    <n v="11649.85"/>
  </r>
  <r>
    <x v="2"/>
    <x v="1"/>
    <x v="0"/>
    <s v="2551200"/>
    <n v="450040"/>
    <s v="Prompt Pay Disc-Phys Svcs-Self Pay"/>
    <s v="Urology-LW-Uro"/>
    <x v="0"/>
    <n v="1500"/>
    <n v="0"/>
    <n v="0"/>
    <n v="0"/>
    <n v="0"/>
    <n v="0"/>
    <n v="0"/>
    <n v="0"/>
    <n v="0"/>
    <n v="0"/>
    <n v="0"/>
    <n v="0"/>
    <n v="123.95"/>
    <n v="123.95"/>
    <n v="-123.95"/>
  </r>
  <r>
    <x v="2"/>
    <x v="1"/>
    <x v="0"/>
    <s v="2551200"/>
    <n v="450040"/>
    <s v="Admin Adjust-Phys Svcs-Self Pay"/>
    <s v="Urology-LW-Uro"/>
    <x v="0"/>
    <n v="1600"/>
    <n v="3402.91"/>
    <n v="1195.94"/>
    <n v="141.19"/>
    <n v="1359.48"/>
    <n v="852.14"/>
    <n v="36.520000000000003"/>
    <n v="5720.84"/>
    <n v="525.65"/>
    <n v="-2336.1999999999998"/>
    <n v="1358.85"/>
    <n v="2982.68"/>
    <n v="2868.41"/>
    <n v="18108.410000000003"/>
    <n v="114.26999999999998"/>
  </r>
  <r>
    <x v="2"/>
    <x v="1"/>
    <x v="0"/>
    <s v="2551200"/>
    <n v="450040"/>
    <s v="Contr Allow--Phys Svcs--Other"/>
    <s v="Urology-LW-Uro"/>
    <x v="0"/>
    <n v="1700"/>
    <n v="1249.48"/>
    <n v="2018.24"/>
    <n v="2924.03"/>
    <n v="2874.4"/>
    <n v="3536.93"/>
    <n v="4360.03"/>
    <n v="725.73"/>
    <n v="5515.44"/>
    <n v="10726.09"/>
    <n v="10409.18"/>
    <n v="6625.6"/>
    <n v="4378.6499999999996"/>
    <n v="55343.799999999996"/>
    <n v="2246.9500000000007"/>
  </r>
  <r>
    <x v="3"/>
    <x v="1"/>
    <x v="0"/>
    <s v="2551200"/>
    <n v="470040"/>
    <s v="Charity Care-Physician Svcs"/>
    <s v="Urology-LW-Uro"/>
    <x v="0"/>
    <m/>
    <n v="-902.65"/>
    <n v="1925.15"/>
    <n v="2.09"/>
    <n v="725.64"/>
    <n v="8.7200000000000006"/>
    <n v="350.09"/>
    <n v="3083.34"/>
    <n v="1494.57"/>
    <n v="8665.77"/>
    <n v="-132.66999999999999"/>
    <n v="2251.15"/>
    <n v="3162.31"/>
    <n v="20633.510000000002"/>
    <n v="-911.15999999999985"/>
  </r>
  <r>
    <x v="4"/>
    <x v="1"/>
    <x v="0"/>
    <s v="2551200"/>
    <n v="490010"/>
    <s v="Provision for Bad Debts"/>
    <s v="Urology-LW-Uro"/>
    <x v="0"/>
    <m/>
    <n v="-3086.94"/>
    <n v="4489.9799999999996"/>
    <n v="2456.86"/>
    <n v="2714.53"/>
    <n v="2392.52"/>
    <n v="2343.5700000000002"/>
    <n v="3870.35"/>
    <n v="4143"/>
    <n v="2598.02"/>
    <n v="-2378.44"/>
    <n v="622.65"/>
    <n v="1355.64"/>
    <n v="21521.740000000005"/>
    <n v="-732.99000000000012"/>
  </r>
  <r>
    <x v="14"/>
    <x v="1"/>
    <x v="0"/>
    <s v="2551200"/>
    <n v="600050"/>
    <s v="Miscellaneous Revenue"/>
    <s v="Urology-LW-Uro"/>
    <x v="0"/>
    <m/>
    <n v="0"/>
    <n v="-2700"/>
    <n v="0"/>
    <n v="-2700"/>
    <n v="0"/>
    <n v="0"/>
    <n v="0"/>
    <n v="-2700"/>
    <n v="0"/>
    <n v="0"/>
    <n v="-1800"/>
    <n v="-3600"/>
    <n v="-13500"/>
    <n v="1800"/>
  </r>
  <r>
    <x v="5"/>
    <x v="1"/>
    <x v="0"/>
    <s v="2551200"/>
    <n v="700018"/>
    <s v="Salaries-Supervisory-Productive"/>
    <s v="Urology-LW-Uro"/>
    <x v="0"/>
    <m/>
    <n v="0"/>
    <n v="0"/>
    <n v="0"/>
    <n v="0"/>
    <n v="0"/>
    <n v="0"/>
    <n v="883.72"/>
    <n v="-252.48"/>
    <n v="0"/>
    <n v="0"/>
    <n v="0"/>
    <n v="0"/>
    <n v="631.24"/>
    <n v="0"/>
  </r>
  <r>
    <x v="5"/>
    <x v="1"/>
    <x v="0"/>
    <s v="2551200"/>
    <n v="700022"/>
    <s v="Salaries-Physician-Productive"/>
    <s v="Urology-LW-Uro"/>
    <x v="0"/>
    <m/>
    <n v="32192.42"/>
    <n v="48917.59"/>
    <n v="33422.199999999997"/>
    <n v="44881.24"/>
    <n v="38782.879999999997"/>
    <n v="26028.16"/>
    <n v="43963.77"/>
    <n v="36401.39"/>
    <n v="40328.78"/>
    <n v="38353.019999999997"/>
    <n v="44532.32"/>
    <n v="36626.400000000001"/>
    <n v="464430.1700000001"/>
    <n v="7905.9199999999983"/>
  </r>
  <r>
    <x v="5"/>
    <x v="1"/>
    <x v="0"/>
    <s v="2551200"/>
    <n v="700022"/>
    <s v="Salaries-Physician-Other"/>
    <s v="Urology-LW-Uro"/>
    <x v="0"/>
    <n v="2000"/>
    <n v="0"/>
    <n v="2700"/>
    <n v="0"/>
    <n v="2700"/>
    <n v="0"/>
    <n v="0"/>
    <n v="0"/>
    <n v="2700"/>
    <n v="0"/>
    <n v="0"/>
    <n v="1800"/>
    <n v="3600"/>
    <n v="13500"/>
    <n v="-1800"/>
  </r>
  <r>
    <x v="5"/>
    <x v="1"/>
    <x v="0"/>
    <s v="2551200"/>
    <n v="700024"/>
    <s v="Salaries-Advanced Practice Clinician-Productive"/>
    <s v="Urology-LW-Uro"/>
    <x v="0"/>
    <m/>
    <n v="0"/>
    <n v="0"/>
    <n v="0"/>
    <n v="0"/>
    <n v="0"/>
    <n v="10534.64"/>
    <n v="9364.2900000000009"/>
    <n v="8473.98"/>
    <n v="8897.68"/>
    <n v="8601.07"/>
    <n v="9617.9500000000007"/>
    <n v="6355.49"/>
    <n v="61845.1"/>
    <n v="3262.4600000000009"/>
  </r>
  <r>
    <x v="5"/>
    <x v="1"/>
    <x v="0"/>
    <s v="2551200"/>
    <n v="700026"/>
    <s v="Salaries-RN-Productive"/>
    <s v="Urology-LW-Uro"/>
    <x v="0"/>
    <m/>
    <n v="1419.18"/>
    <n v="1051.0999999999999"/>
    <n v="619.79"/>
    <n v="5229.3500000000004"/>
    <n v="5917.19"/>
    <n v="4649.34"/>
    <n v="5767.39"/>
    <n v="5182.8900000000003"/>
    <n v="5575.01"/>
    <n v="5158.6499999999996"/>
    <n v="6143.02"/>
    <n v="6282.97"/>
    <n v="52995.880000000005"/>
    <n v="-139.94999999999982"/>
  </r>
  <r>
    <x v="5"/>
    <x v="1"/>
    <x v="0"/>
    <s v="2551200"/>
    <n v="700026"/>
    <s v="Salaries-RN-OT"/>
    <s v="Urology-LW-Uro"/>
    <x v="0"/>
    <n v="1000"/>
    <n v="97.65"/>
    <n v="0"/>
    <n v="0"/>
    <n v="0"/>
    <n v="376.32"/>
    <n v="-174.72"/>
    <n v="150.74"/>
    <n v="-29.6"/>
    <n v="53.85"/>
    <n v="0"/>
    <n v="215.36"/>
    <n v="13.46"/>
    <n v="703.06000000000006"/>
    <n v="201.9"/>
  </r>
  <r>
    <x v="5"/>
    <x v="1"/>
    <x v="0"/>
    <s v="2551200"/>
    <n v="700026"/>
    <s v="Salaries-RN-Other"/>
    <s v="Urology-LW-Uro"/>
    <x v="0"/>
    <n v="2000"/>
    <n v="0"/>
    <n v="0"/>
    <n v="0"/>
    <n v="0"/>
    <n v="0"/>
    <n v="0"/>
    <n v="0"/>
    <n v="0"/>
    <n v="0"/>
    <n v="0"/>
    <n v="0"/>
    <n v="24.28"/>
    <n v="24.28"/>
    <n v="-24.28"/>
  </r>
  <r>
    <x v="5"/>
    <x v="1"/>
    <x v="0"/>
    <s v="2551200"/>
    <n v="700030"/>
    <s v="Salaries-LPN-Productive"/>
    <s v="Urology-LW-Uro"/>
    <x v="0"/>
    <m/>
    <n v="4446.75"/>
    <n v="5187.5600000000004"/>
    <n v="4244.79"/>
    <n v="3894.11"/>
    <n v="4923.99"/>
    <n v="3360.05"/>
    <n v="6307.86"/>
    <n v="7606.82"/>
    <n v="8161.49"/>
    <n v="8011.37"/>
    <n v="5417.06"/>
    <n v="3351.16"/>
    <n v="64913.010000000009"/>
    <n v="2065.9000000000005"/>
  </r>
  <r>
    <x v="5"/>
    <x v="1"/>
    <x v="0"/>
    <s v="2551200"/>
    <n v="700030"/>
    <s v="Salaries-LPN-OT"/>
    <s v="Urology-LW-Uro"/>
    <x v="0"/>
    <n v="1000"/>
    <n v="197.01"/>
    <n v="686.49"/>
    <n v="553.46"/>
    <n v="177.72"/>
    <n v="188.26"/>
    <n v="241.6"/>
    <n v="124.66"/>
    <n v="52.37"/>
    <n v="411.88"/>
    <n v="201.55"/>
    <n v="-34"/>
    <n v="188.54"/>
    <n v="2989.54"/>
    <n v="-222.54"/>
  </r>
  <r>
    <x v="5"/>
    <x v="1"/>
    <x v="0"/>
    <s v="2551200"/>
    <n v="700030"/>
    <s v="Salaries-LPN-Other"/>
    <s v="Urology-LW-Uro"/>
    <x v="0"/>
    <n v="2000"/>
    <n v="0"/>
    <n v="0"/>
    <n v="0"/>
    <n v="0"/>
    <n v="0"/>
    <n v="0"/>
    <n v="30.05"/>
    <n v="-0.01"/>
    <n v="0"/>
    <n v="0"/>
    <n v="0"/>
    <n v="0"/>
    <n v="30.04"/>
    <n v="0"/>
  </r>
  <r>
    <x v="5"/>
    <x v="1"/>
    <x v="0"/>
    <s v="2551200"/>
    <n v="700032"/>
    <s v="Salaries-Other Pat Care Providers-Productive"/>
    <s v="Urology-LW-Uro"/>
    <x v="0"/>
    <m/>
    <n v="0"/>
    <n v="222.07"/>
    <n v="160.34"/>
    <n v="216.05"/>
    <n v="136.68"/>
    <n v="-133.71"/>
    <n v="188.9"/>
    <n v="-53.97"/>
    <n v="0"/>
    <n v="113.81"/>
    <n v="270.56"/>
    <n v="965.18"/>
    <n v="2085.91"/>
    <n v="-694.61999999999989"/>
  </r>
  <r>
    <x v="5"/>
    <x v="1"/>
    <x v="0"/>
    <s v="2551200"/>
    <n v="700032"/>
    <s v="Salaries-Other Pat Care Providers-Other"/>
    <s v="Urology-LW-Uro"/>
    <x v="0"/>
    <n v="2000"/>
    <n v="0"/>
    <n v="11.25"/>
    <n v="8.25"/>
    <n v="10.85"/>
    <n v="-6.6"/>
    <n v="0"/>
    <n v="9.4600000000000009"/>
    <n v="-2.7"/>
    <n v="0"/>
    <n v="0"/>
    <n v="16.02"/>
    <n v="11.27"/>
    <n v="57.8"/>
    <n v="4.75"/>
  </r>
  <r>
    <x v="5"/>
    <x v="1"/>
    <x v="0"/>
    <s v="2551200"/>
    <n v="700062"/>
    <s v="Salaries-Physician-Non-productive"/>
    <s v="Urology-LW-Uro"/>
    <x v="0"/>
    <m/>
    <n v="8786.7999999999993"/>
    <n v="0"/>
    <n v="4774.6000000000004"/>
    <n v="-954.92"/>
    <n v="3884.8"/>
    <n v="14762.24"/>
    <n v="779.8"/>
    <n v="1920.97"/>
    <n v="0"/>
    <n v="3836.32"/>
    <n v="1918.16"/>
    <n v="4069.6"/>
    <n v="43778.369999999995"/>
    <n v="-2151.4399999999996"/>
  </r>
  <r>
    <x v="5"/>
    <x v="1"/>
    <x v="0"/>
    <s v="2551200"/>
    <n v="700062"/>
    <s v="Salaries-Physician-NonProd-Other"/>
    <s v="Urology-LW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1200"/>
    <n v="700064"/>
    <s v="Salaries-Advanced Practice Clinician-Non-Productive"/>
    <s v="Urology-LW-Uro"/>
    <x v="0"/>
    <m/>
    <n v="0"/>
    <n v="0"/>
    <n v="0"/>
    <n v="0"/>
    <n v="0"/>
    <n v="725.08"/>
    <n v="641.71"/>
    <n v="254.28"/>
    <n v="258.08999999999997"/>
    <n v="975.7"/>
    <n v="383.01"/>
    <n v="2371.7800000000002"/>
    <n v="5609.65"/>
    <n v="-1988.7700000000002"/>
  </r>
  <r>
    <x v="5"/>
    <x v="1"/>
    <x v="0"/>
    <s v="2551200"/>
    <n v="700066"/>
    <s v="Salaries-RN-Non-productive"/>
    <s v="Urology-LW-Uro"/>
    <x v="0"/>
    <m/>
    <n v="0"/>
    <n v="0"/>
    <n v="0"/>
    <n v="290.3"/>
    <n v="390.66"/>
    <n v="1371.77"/>
    <n v="837.25"/>
    <n v="446.88"/>
    <n v="487.25"/>
    <n v="1158.43"/>
    <n v="461.24"/>
    <n v="376.88"/>
    <n v="5820.66"/>
    <n v="84.360000000000014"/>
  </r>
  <r>
    <x v="5"/>
    <x v="1"/>
    <x v="0"/>
    <s v="2551200"/>
    <n v="700066"/>
    <s v="Salaries-RN-NonProd-Other"/>
    <s v="Urology-LW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1200"/>
    <n v="700070"/>
    <s v="Salaries-LPN-Non-productive"/>
    <s v="Urology-LW-Uro"/>
    <x v="0"/>
    <m/>
    <n v="297.88"/>
    <n v="-13.54"/>
    <n v="328.34"/>
    <n v="778.54"/>
    <n v="-118.52"/>
    <n v="1471.9"/>
    <n v="726.99"/>
    <n v="374.27"/>
    <n v="340.06"/>
    <n v="638.92999999999995"/>
    <n v="961.14"/>
    <n v="768.11"/>
    <n v="6554.1"/>
    <n v="193.02999999999997"/>
  </r>
  <r>
    <x v="5"/>
    <x v="1"/>
    <x v="0"/>
    <s v="2551200"/>
    <n v="700070"/>
    <s v="Salaries-LPN-NonProd-Other"/>
    <s v="Urology-LW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1200"/>
    <n v="700084"/>
    <s v="Accrued PTO"/>
    <s v="Urology-LW-Uro"/>
    <x v="0"/>
    <m/>
    <n v="218.95"/>
    <n v="521.02"/>
    <n v="235.05"/>
    <n v="583.6"/>
    <n v="636.62"/>
    <n v="-1236.3599999999999"/>
    <n v="-122.5"/>
    <n v="509.72"/>
    <n v="840.19"/>
    <n v="-348.54"/>
    <n v="286.06"/>
    <n v="-56.67"/>
    <n v="2067.14"/>
    <n v="342.73"/>
  </r>
  <r>
    <x v="6"/>
    <x v="1"/>
    <x v="0"/>
    <s v="2551200"/>
    <n v="713010"/>
    <s v="Benefits-FICA/Medicare"/>
    <s v="Urology-LW-Uro"/>
    <x v="0"/>
    <m/>
    <n v="1061.94"/>
    <n v="1250.76"/>
    <n v="944.43"/>
    <n v="1419.56"/>
    <n v="1501.45"/>
    <n v="3527.78"/>
    <n v="5256.77"/>
    <n v="4525.8599999999997"/>
    <n v="4483.47"/>
    <n v="1963.85"/>
    <n v="2487.35"/>
    <n v="2125.1799999999998"/>
    <n v="30548.399999999998"/>
    <n v="362.17000000000007"/>
  </r>
  <r>
    <x v="6"/>
    <x v="1"/>
    <x v="0"/>
    <s v="2551200"/>
    <n v="713090"/>
    <s v="Benefits-Allocated Amounts"/>
    <s v="Urology-LW-Uro"/>
    <x v="0"/>
    <m/>
    <n v="0"/>
    <n v="0"/>
    <n v="0"/>
    <n v="0"/>
    <n v="0"/>
    <n v="0"/>
    <n v="0"/>
    <n v="0"/>
    <n v="29858.44"/>
    <n v="4462.26"/>
    <n v="4261.8100000000004"/>
    <n v="4442.0600000000004"/>
    <n v="43024.569999999992"/>
    <n v="-180.25"/>
  </r>
  <r>
    <x v="6"/>
    <x v="1"/>
    <x v="0"/>
    <s v="2551200"/>
    <n v="713092"/>
    <s v="Allocated Benefits-Physician"/>
    <s v="Urology-LW-Uro"/>
    <x v="0"/>
    <m/>
    <n v="4021.67"/>
    <n v="4157.1499999999996"/>
    <n v="3709.79"/>
    <n v="4461.04"/>
    <n v="4705.66"/>
    <n v="6587.11"/>
    <n v="7596.94"/>
    <n v="7725.55"/>
    <n v="-24882.06"/>
    <n v="2702.44"/>
    <n v="2581.0300000000002"/>
    <n v="2690.19"/>
    <n v="26056.51"/>
    <n v="-109.15999999999985"/>
  </r>
  <r>
    <x v="6"/>
    <x v="1"/>
    <x v="0"/>
    <s v="2551200"/>
    <n v="713093"/>
    <s v="Allocated Benefits-Advanced Practice Clinician"/>
    <s v="Urology-LW-Uro"/>
    <x v="0"/>
    <m/>
    <n v="0"/>
    <n v="0"/>
    <n v="0"/>
    <n v="0"/>
    <n v="0"/>
    <n v="0"/>
    <n v="0"/>
    <n v="0"/>
    <n v="3477.47"/>
    <n v="519.70000000000005"/>
    <n v="496.35"/>
    <n v="517.35"/>
    <n v="5010.8700000000008"/>
    <n v="-21"/>
  </r>
  <r>
    <x v="7"/>
    <x v="1"/>
    <x v="0"/>
    <s v="2551200"/>
    <n v="718050"/>
    <s v="Contract Management--Linen"/>
    <s v="Urology-LW-Uro"/>
    <x v="0"/>
    <n v="1026"/>
    <n v="0"/>
    <n v="111.77"/>
    <n v="64.89"/>
    <n v="187.7"/>
    <n v="0"/>
    <n v="0"/>
    <n v="0"/>
    <n v="0"/>
    <n v="0"/>
    <n v="0"/>
    <n v="0"/>
    <n v="0"/>
    <n v="364.36"/>
    <n v="0"/>
  </r>
  <r>
    <x v="7"/>
    <x v="1"/>
    <x v="0"/>
    <s v="2551200"/>
    <n v="718050"/>
    <s v="Purchased Srvcs--Medical Waste"/>
    <s v="Urology-LW-Uro"/>
    <x v="0"/>
    <n v="1027"/>
    <n v="0"/>
    <n v="74.16"/>
    <n v="10.36"/>
    <n v="10.36"/>
    <n v="10.36"/>
    <n v="0"/>
    <n v="0"/>
    <n v="0"/>
    <n v="0"/>
    <n v="0"/>
    <n v="0"/>
    <n v="0"/>
    <n v="105.24"/>
    <n v="0"/>
  </r>
  <r>
    <x v="11"/>
    <x v="1"/>
    <x v="0"/>
    <s v="2551200"/>
    <n v="721010"/>
    <s v="Supplies-Medical - Billable"/>
    <s v="Urology-LW-Uro"/>
    <x v="0"/>
    <m/>
    <n v="0"/>
    <n v="0"/>
    <n v="0"/>
    <n v="0"/>
    <n v="0"/>
    <n v="0"/>
    <n v="0"/>
    <n v="0"/>
    <n v="750"/>
    <n v="0"/>
    <n v="0"/>
    <n v="0"/>
    <n v="750"/>
    <n v="0"/>
  </r>
  <r>
    <x v="11"/>
    <x v="1"/>
    <x v="0"/>
    <s v="2551200"/>
    <n v="721250"/>
    <s v="Supplies-Pharmacy Drugs - Billable"/>
    <s v="Urology-LW-Uro"/>
    <x v="0"/>
    <m/>
    <n v="6144"/>
    <n v="4992"/>
    <n v="0"/>
    <n v="6912"/>
    <n v="0"/>
    <n v="7680"/>
    <n v="6144"/>
    <n v="3072"/>
    <n v="4608"/>
    <n v="11136"/>
    <n v="0"/>
    <n v="0"/>
    <n v="50688"/>
    <n v="0"/>
  </r>
  <r>
    <x v="11"/>
    <x v="1"/>
    <x v="0"/>
    <s v="2551200"/>
    <n v="721410"/>
    <s v="Supplies-Medical - Nonbillable"/>
    <s v="Urology-LW-Uro"/>
    <x v="0"/>
    <m/>
    <n v="1208.28"/>
    <n v="4341.55"/>
    <n v="1987.69"/>
    <n v="2096.9"/>
    <n v="4514.6000000000004"/>
    <n v="487.86"/>
    <n v="1558.14"/>
    <n v="3564.47"/>
    <n v="2106.69"/>
    <n v="3196.49"/>
    <n v="325.75"/>
    <n v="2765.72"/>
    <n v="28154.14"/>
    <n v="-2439.9699999999998"/>
  </r>
  <r>
    <x v="13"/>
    <x v="1"/>
    <x v="0"/>
    <s v="2551200"/>
    <n v="735070"/>
    <s v="Depreciation-Movable Equipment"/>
    <s v="Urology-LW-Uro"/>
    <x v="0"/>
    <m/>
    <n v="174.47"/>
    <n v="174.47"/>
    <n v="174.47"/>
    <n v="174.47"/>
    <n v="174.47"/>
    <n v="174.47"/>
    <n v="174.47"/>
    <n v="174.47"/>
    <n v="174.47"/>
    <n v="174.47"/>
    <n v="174.48"/>
    <n v="174.47"/>
    <n v="2093.65"/>
    <n v="9.9999999999909051E-3"/>
  </r>
  <r>
    <x v="0"/>
    <x v="1"/>
    <x v="0"/>
    <s v="2551200"/>
    <n v="740022"/>
    <s v="Education-Physician"/>
    <s v="Urology-LW-Uro"/>
    <x v="0"/>
    <m/>
    <n v="0"/>
    <n v="0"/>
    <n v="0"/>
    <n v="0"/>
    <n v="0"/>
    <n v="0"/>
    <n v="0"/>
    <n v="0"/>
    <n v="0"/>
    <n v="0"/>
    <n v="0"/>
    <n v="794"/>
    <n v="794"/>
    <n v="-794"/>
  </r>
  <r>
    <x v="8"/>
    <x v="1"/>
    <x v="0"/>
    <s v="2551200"/>
    <n v="741012"/>
    <s v="Physician Liab Insurance-CHI Program"/>
    <s v="Urology-LW-Uro"/>
    <x v="0"/>
    <m/>
    <n v="852.6"/>
    <n v="852.6"/>
    <n v="852.6"/>
    <n v="852.6"/>
    <n v="852.6"/>
    <n v="852.6"/>
    <n v="852.6"/>
    <n v="852.6"/>
    <n v="852.6"/>
    <n v="852.6"/>
    <n v="852.6"/>
    <n v="852.6"/>
    <n v="10231.200000000003"/>
    <n v="0"/>
  </r>
  <r>
    <x v="0"/>
    <x v="1"/>
    <x v="0"/>
    <s v="2551200"/>
    <n v="743020"/>
    <s v="Dues--Individual"/>
    <s v="Urology-LW-Uro"/>
    <x v="0"/>
    <m/>
    <n v="0"/>
    <n v="0"/>
    <n v="0"/>
    <n v="0"/>
    <n v="0"/>
    <n v="0"/>
    <n v="0"/>
    <n v="535"/>
    <n v="0"/>
    <n v="0"/>
    <n v="0"/>
    <n v="0"/>
    <n v="535"/>
    <n v="0"/>
  </r>
  <r>
    <x v="0"/>
    <x v="1"/>
    <x v="0"/>
    <s v="2551200"/>
    <n v="743022"/>
    <s v="Dues-Physician"/>
    <s v="Urology-LW-Uro"/>
    <x v="0"/>
    <m/>
    <n v="0"/>
    <n v="0"/>
    <n v="0"/>
    <n v="0"/>
    <n v="508"/>
    <n v="0"/>
    <n v="0"/>
    <n v="370"/>
    <n v="0"/>
    <n v="0"/>
    <n v="0"/>
    <n v="0"/>
    <n v="878"/>
    <n v="0"/>
  </r>
  <r>
    <x v="0"/>
    <x v="1"/>
    <x v="0"/>
    <s v="2551200"/>
    <n v="743023"/>
    <s v="Dues-Advanced Practice Clinician"/>
    <s v="Urology-LW-Uro"/>
    <x v="0"/>
    <m/>
    <n v="0"/>
    <n v="0"/>
    <n v="0"/>
    <n v="0"/>
    <n v="0"/>
    <n v="0"/>
    <n v="0"/>
    <n v="0"/>
    <n v="0"/>
    <n v="0"/>
    <n v="0"/>
    <n v="370"/>
    <n v="370"/>
    <n v="-370"/>
  </r>
  <r>
    <x v="0"/>
    <x v="1"/>
    <x v="0"/>
    <s v="2551200"/>
    <n v="749510"/>
    <s v="Miscellaneous Expenses"/>
    <s v="Urology-LW-Uro"/>
    <x v="0"/>
    <m/>
    <n v="-3000"/>
    <n v="0"/>
    <n v="0"/>
    <n v="0"/>
    <n v="0"/>
    <n v="0"/>
    <n v="0"/>
    <n v="0"/>
    <n v="0"/>
    <n v="0"/>
    <n v="2759.95"/>
    <n v="-2759.95"/>
    <n v="-3000"/>
    <n v="5519.9"/>
  </r>
  <r>
    <x v="0"/>
    <x v="1"/>
    <x v="0"/>
    <s v="2551200"/>
    <n v="749513"/>
    <s v="Licenses-Advanced Practice Clinician"/>
    <s v="Urology-LW-Uro"/>
    <x v="0"/>
    <n v="2000"/>
    <n v="0"/>
    <n v="0"/>
    <n v="0"/>
    <n v="0"/>
    <n v="0"/>
    <n v="0"/>
    <n v="0"/>
    <n v="252"/>
    <n v="0"/>
    <n v="0"/>
    <n v="0"/>
    <n v="0"/>
    <n v="252"/>
    <n v="0"/>
  </r>
  <r>
    <x v="0"/>
    <x v="1"/>
    <x v="0"/>
    <s v="2551200"/>
    <n v="749532"/>
    <s v="Travel-Physician"/>
    <s v="Urology-LW-Uro"/>
    <x v="0"/>
    <m/>
    <n v="0"/>
    <n v="0"/>
    <n v="0"/>
    <n v="0"/>
    <n v="0"/>
    <n v="0"/>
    <n v="0"/>
    <n v="0"/>
    <n v="0"/>
    <n v="0"/>
    <n v="0"/>
    <n v="1890.95"/>
    <n v="1890.95"/>
    <n v="-1890.95"/>
  </r>
  <r>
    <x v="9"/>
    <x v="1"/>
    <x v="0"/>
    <s v="2551200"/>
    <n v="800015"/>
    <s v="Interest Income-Ext to CHI"/>
    <s v="Urology-LW-Uro"/>
    <x v="0"/>
    <m/>
    <n v="0"/>
    <n v="0"/>
    <n v="0"/>
    <n v="0"/>
    <n v="0"/>
    <n v="-51.36"/>
    <n v="-51.97"/>
    <n v="-45.94"/>
    <n v="-49.76"/>
    <n v="-47.08"/>
    <n v="-47.55"/>
    <n v="-44.94"/>
    <n v="-338.59999999999997"/>
    <n v="-2.6099999999999994"/>
  </r>
  <r>
    <x v="1"/>
    <x v="1"/>
    <x v="0"/>
    <s v="2552200"/>
    <n v="400040"/>
    <s v="Physician Svcs Rev--Medicare"/>
    <s v="ENT Clinic-Audiology"/>
    <x v="0"/>
    <n v="1100"/>
    <n v="-33412"/>
    <n v="-20414.5"/>
    <n v="-26658"/>
    <n v="-53448"/>
    <n v="-20023.5"/>
    <n v="-30099"/>
    <n v="-46919.5"/>
    <n v="-8032.5"/>
    <n v="-54088.5"/>
    <n v="-27535"/>
    <n v="-28909"/>
    <n v="-28562.5"/>
    <n v="-378102"/>
    <n v="-346.5"/>
  </r>
  <r>
    <x v="1"/>
    <x v="1"/>
    <x v="0"/>
    <s v="2552200"/>
    <n v="400040"/>
    <s v="Physician Svcs Rev--Medicaid"/>
    <s v="ENT Clinic-Audiology"/>
    <x v="0"/>
    <n v="1200"/>
    <n v="-5216"/>
    <n v="-10060"/>
    <n v="-11531"/>
    <n v="-11766"/>
    <n v="-10320"/>
    <n v="-6722"/>
    <n v="-8745"/>
    <n v="-7535"/>
    <n v="-6124"/>
    <n v="-12136"/>
    <n v="-15655"/>
    <n v="-13175"/>
    <n v="-118985"/>
    <n v="-2480"/>
  </r>
  <r>
    <x v="1"/>
    <x v="1"/>
    <x v="0"/>
    <s v="2552200"/>
    <n v="400040"/>
    <s v="Physician Svcs Rev--Comm Insurance"/>
    <s v="ENT Clinic-Audiology"/>
    <x v="0"/>
    <n v="1300"/>
    <n v="-2295"/>
    <n v="-2080"/>
    <n v="-2630"/>
    <n v="-9348"/>
    <n v="-1460"/>
    <n v="-3056"/>
    <n v="-2070"/>
    <n v="-10682"/>
    <n v="-6724"/>
    <n v="100"/>
    <n v="-2241"/>
    <n v="3768"/>
    <n v="-38718"/>
    <n v="-6009"/>
  </r>
  <r>
    <x v="1"/>
    <x v="1"/>
    <x v="0"/>
    <s v="2552200"/>
    <n v="400040"/>
    <s v="Physician Svcs Rev--BCBS Comm"/>
    <s v="ENT Clinic-Audiology"/>
    <x v="0"/>
    <n v="1301"/>
    <n v="-4510"/>
    <n v="-20463.2"/>
    <n v="-5627"/>
    <n v="-7352"/>
    <n v="-6723"/>
    <n v="-9879"/>
    <n v="-12226"/>
    <n v="-6087"/>
    <n v="-3172"/>
    <n v="-5958"/>
    <n v="-3729"/>
    <n v="-7617"/>
    <n v="-93343.2"/>
    <n v="3888"/>
  </r>
  <r>
    <x v="1"/>
    <x v="1"/>
    <x v="0"/>
    <s v="2552200"/>
    <n v="400040"/>
    <s v="Physician Svcs Rev--Managed Care"/>
    <s v="ENT Clinic-Audiology"/>
    <x v="0"/>
    <n v="1400"/>
    <n v="-16402.5"/>
    <n v="-50205"/>
    <n v="-12846"/>
    <n v="-48901"/>
    <n v="-21196"/>
    <n v="-32447"/>
    <n v="-25122.5"/>
    <n v="-11996.5"/>
    <n v="-26488"/>
    <n v="-18090"/>
    <n v="-17184"/>
    <n v="-21458"/>
    <n v="-302336.5"/>
    <n v="4274"/>
  </r>
  <r>
    <x v="1"/>
    <x v="1"/>
    <x v="0"/>
    <s v="2552200"/>
    <n v="400040"/>
    <s v="Physician Svcs Rev--Self Pay"/>
    <s v="ENT Clinic-Audiology"/>
    <x v="0"/>
    <n v="1500"/>
    <n v="-819"/>
    <n v="-58087"/>
    <n v="-16093"/>
    <n v="-9493"/>
    <n v="-10207"/>
    <n v="-27082"/>
    <n v="1282"/>
    <n v="96"/>
    <n v="-17477"/>
    <n v="-31729"/>
    <n v="-31243"/>
    <n v="-23052.5"/>
    <n v="-223904.5"/>
    <n v="-8190.5"/>
  </r>
  <r>
    <x v="1"/>
    <x v="1"/>
    <x v="0"/>
    <s v="2552200"/>
    <n v="400040"/>
    <s v="Physician Svcs Rev--Other"/>
    <s v="ENT Clinic-Audiology"/>
    <x v="0"/>
    <n v="1700"/>
    <n v="-4876"/>
    <n v="-5378"/>
    <n v="1547"/>
    <n v="-16856"/>
    <n v="-3396"/>
    <n v="-4077"/>
    <n v="-5345"/>
    <n v="-640"/>
    <n v="-12554"/>
    <n v="-8269"/>
    <n v="-4249"/>
    <n v="-15909.4"/>
    <n v="-80002.399999999994"/>
    <n v="11660.4"/>
  </r>
  <r>
    <x v="2"/>
    <x v="1"/>
    <x v="0"/>
    <s v="2552200"/>
    <n v="450040"/>
    <s v="Contr Allow--Phys Svcs--Mcare"/>
    <s v="ENT Clinic-Audiology"/>
    <x v="0"/>
    <n v="1100"/>
    <n v="12095.04"/>
    <n v="13155.66"/>
    <n v="13953.59"/>
    <n v="22630.28"/>
    <n v="16027.04"/>
    <n v="12739.53"/>
    <n v="13027.42"/>
    <n v="9308.99"/>
    <n v="9284.4"/>
    <n v="13919.58"/>
    <n v="17054.759999999998"/>
    <n v="17528.810000000001"/>
    <n v="170725.1"/>
    <n v="-474.05000000000291"/>
  </r>
  <r>
    <x v="2"/>
    <x v="1"/>
    <x v="0"/>
    <s v="2552200"/>
    <n v="450040"/>
    <s v="Contr Allow--Phys Svcs--Mcaid"/>
    <s v="ENT Clinic-Audiology"/>
    <x v="0"/>
    <n v="1200"/>
    <n v="6248.82"/>
    <n v="4328.87"/>
    <n v="7799.52"/>
    <n v="8221.18"/>
    <n v="4665.16"/>
    <n v="5147.26"/>
    <n v="3657.04"/>
    <n v="6815.25"/>
    <n v="5226.6499999999996"/>
    <n v="5834.14"/>
    <n v="10574.65"/>
    <n v="8020.82"/>
    <n v="76539.359999999986"/>
    <n v="2553.83"/>
  </r>
  <r>
    <x v="2"/>
    <x v="1"/>
    <x v="0"/>
    <s v="2552200"/>
    <n v="450040"/>
    <s v="Contr Allow--Phys Svcs--Comm Insurance"/>
    <s v="ENT Clinic-Audiology"/>
    <x v="0"/>
    <n v="1300"/>
    <n v="373.31"/>
    <n v="1095.6500000000001"/>
    <n v="427.72"/>
    <n v="673.99"/>
    <n v="1170.9000000000001"/>
    <n v="504.18"/>
    <n v="304.61"/>
    <n v="916.22"/>
    <n v="699.8"/>
    <n v="566.77"/>
    <n v="213.09"/>
    <n v="978.69"/>
    <n v="7924.93"/>
    <n v="-765.6"/>
  </r>
  <r>
    <x v="2"/>
    <x v="1"/>
    <x v="0"/>
    <s v="2552200"/>
    <n v="450040"/>
    <s v="Contr Allow--Phys Svcs--BCBS Comm Ins"/>
    <s v="ENT Clinic-Audiology"/>
    <x v="0"/>
    <n v="1301"/>
    <n v="962.22"/>
    <n v="818.09"/>
    <n v="1185.56"/>
    <n v="771.25"/>
    <n v="1394.89"/>
    <n v="902.29"/>
    <n v="395.72"/>
    <n v="596.46"/>
    <n v="1399.47"/>
    <n v="1290.1199999999999"/>
    <n v="1206.1400000000001"/>
    <n v="1136.22"/>
    <n v="12058.429999999998"/>
    <n v="69.920000000000073"/>
  </r>
  <r>
    <x v="2"/>
    <x v="1"/>
    <x v="0"/>
    <s v="2552200"/>
    <n v="450040"/>
    <s v="Contr Allow--Phys Svcs--Managed Care"/>
    <s v="ENT Clinic-Audiology"/>
    <x v="0"/>
    <n v="1400"/>
    <n v="8351.6"/>
    <n v="9358.49"/>
    <n v="7646.83"/>
    <n v="7165.24"/>
    <n v="11542.28"/>
    <n v="5714.66"/>
    <n v="12925.07"/>
    <n v="1242.9100000000001"/>
    <n v="6804.6"/>
    <n v="7787.06"/>
    <n v="9436.49"/>
    <n v="5890.45"/>
    <n v="93865.68"/>
    <n v="3546.04"/>
  </r>
  <r>
    <x v="2"/>
    <x v="1"/>
    <x v="0"/>
    <s v="2552200"/>
    <n v="450040"/>
    <s v="Contr Allow--Phys Svcs--BCBS Mgnd Care"/>
    <s v="ENT Clinic-Audiology"/>
    <x v="0"/>
    <n v="1401"/>
    <n v="-4175.4799999999996"/>
    <n v="36219.56"/>
    <n v="-4539.93"/>
    <n v="26912.080000000002"/>
    <n v="-31273.64"/>
    <n v="14780.08"/>
    <n v="-5409.55"/>
    <n v="-13532.74"/>
    <n v="22411.11"/>
    <n v="9330.99"/>
    <n v="-14637.22"/>
    <n v="10414.959999999999"/>
    <n v="46500.219999999994"/>
    <n v="-25052.18"/>
  </r>
  <r>
    <x v="2"/>
    <x v="1"/>
    <x v="0"/>
    <s v="2552200"/>
    <n v="450040"/>
    <s v="Admin Adjust-Phys Svcs-Self Pay"/>
    <s v="ENT Clinic-Audiology"/>
    <x v="0"/>
    <n v="1600"/>
    <n v="52.87"/>
    <n v="340.87"/>
    <n v="-1911.18"/>
    <n v="5427.94"/>
    <n v="194.23"/>
    <n v="194.99"/>
    <n v="88.49"/>
    <n v="307.95999999999998"/>
    <n v="90.37"/>
    <n v="45.96"/>
    <n v="469.65"/>
    <n v="219"/>
    <n v="5521.1499999999987"/>
    <n v="250.64999999999998"/>
  </r>
  <r>
    <x v="2"/>
    <x v="1"/>
    <x v="0"/>
    <s v="2552200"/>
    <n v="450040"/>
    <s v="Contr Allow--Phys Svcs--Other"/>
    <s v="ENT Clinic-Audiology"/>
    <x v="0"/>
    <n v="1700"/>
    <n v="1841.76"/>
    <n v="1108.0999999999999"/>
    <n v="582.54999999999995"/>
    <n v="2058.9299999999998"/>
    <n v="1486.91"/>
    <n v="1214.69"/>
    <n v="5998.86"/>
    <n v="844.51"/>
    <n v="756.69"/>
    <n v="1293.6199999999999"/>
    <n v="1105.72"/>
    <n v="857.83"/>
    <n v="19150.170000000002"/>
    <n v="247.89"/>
  </r>
  <r>
    <x v="3"/>
    <x v="1"/>
    <x v="0"/>
    <s v="2552200"/>
    <n v="470040"/>
    <s v="Charity Care-Physician Svcs"/>
    <s v="ENT Clinic-Audiology"/>
    <x v="0"/>
    <m/>
    <n v="-147.36000000000001"/>
    <n v="3294.19"/>
    <n v="-369.71"/>
    <n v="1267.32"/>
    <n v="-418.81"/>
    <n v="280.33999999999997"/>
    <n v="-78.88"/>
    <n v="-470.99"/>
    <n v="1976.91"/>
    <n v="526.76"/>
    <n v="-707.49"/>
    <n v="1931.16"/>
    <n v="7083.44"/>
    <n v="-2638.65"/>
  </r>
  <r>
    <x v="4"/>
    <x v="1"/>
    <x v="0"/>
    <s v="2552200"/>
    <n v="490010"/>
    <s v="Provision for Bad Debts"/>
    <s v="ENT Clinic-Audiology"/>
    <x v="0"/>
    <m/>
    <n v="-943.79"/>
    <n v="5414.22"/>
    <n v="-960.86"/>
    <n v="3713.03"/>
    <n v="1629.39"/>
    <n v="6533.97"/>
    <n v="-434.37"/>
    <n v="1211.58"/>
    <n v="6658.34"/>
    <n v="-3526.43"/>
    <n v="2122.19"/>
    <n v="734.97"/>
    <n v="22152.239999999998"/>
    <n v="1387.22"/>
  </r>
  <r>
    <x v="5"/>
    <x v="1"/>
    <x v="0"/>
    <s v="2552200"/>
    <n v="700032"/>
    <s v="Salaries-Other Pat Care Providers-Productive"/>
    <s v="ENT Clinic-Audiology"/>
    <x v="0"/>
    <m/>
    <n v="50721.55"/>
    <n v="22057.33"/>
    <n v="20755.79"/>
    <n v="58877.72"/>
    <n v="24503.11"/>
    <n v="16623.47"/>
    <n v="51353"/>
    <n v="19538.64"/>
    <n v="19742.02"/>
    <n v="49427.42"/>
    <n v="24269.08"/>
    <n v="17795.3"/>
    <n v="375664.43"/>
    <n v="6473.7800000000025"/>
  </r>
  <r>
    <x v="5"/>
    <x v="1"/>
    <x v="0"/>
    <s v="2552200"/>
    <n v="700062"/>
    <s v="Salaries-Physician-Non-productive"/>
    <s v="ENT Clinic-Audiology"/>
    <x v="0"/>
    <m/>
    <n v="-5000"/>
    <n v="5000"/>
    <n v="0"/>
    <n v="-8333.33"/>
    <n v="8333.33"/>
    <n v="0"/>
    <n v="-12500"/>
    <n v="4166.67"/>
    <n v="8333.33"/>
    <n v="-16666.669999999998"/>
    <n v="8333.34"/>
    <n v="8333.33"/>
    <n v="0"/>
    <n v="1.0000000000218279E-2"/>
  </r>
  <r>
    <x v="5"/>
    <x v="1"/>
    <x v="0"/>
    <s v="2552200"/>
    <n v="700072"/>
    <s v="Salaries-Other Pat Care Providers-Non-productive"/>
    <s v="ENT Clinic-Audiology"/>
    <x v="0"/>
    <m/>
    <n v="6840"/>
    <n v="6223.48"/>
    <n v="840.4"/>
    <n v="264.61"/>
    <n v="396.93"/>
    <n v="7114.99"/>
    <n v="2142.5"/>
    <n v="3267.82"/>
    <n v="3671.16"/>
    <n v="882.86"/>
    <n v="2485.5700000000002"/>
    <n v="4487.3599999999997"/>
    <n v="38617.68"/>
    <n v="-2001.7899999999995"/>
  </r>
  <r>
    <x v="5"/>
    <x v="1"/>
    <x v="0"/>
    <s v="2552200"/>
    <n v="700072"/>
    <s v="Salaries-Other Pat Care Providers-NonProd-Other"/>
    <s v="ENT Clinic-Audiology"/>
    <x v="0"/>
    <n v="2000"/>
    <n v="0"/>
    <n v="0"/>
    <n v="0"/>
    <n v="0"/>
    <n v="0"/>
    <n v="291.13"/>
    <n v="0"/>
    <n v="-291.13"/>
    <n v="0"/>
    <n v="0"/>
    <n v="0"/>
    <n v="0"/>
    <n v="0"/>
    <n v="0"/>
  </r>
  <r>
    <x v="6"/>
    <x v="1"/>
    <x v="0"/>
    <s v="2552200"/>
    <n v="713010"/>
    <s v="Benefits-FICA/Medicare"/>
    <s v="ENT Clinic-Audiology"/>
    <x v="0"/>
    <m/>
    <n v="4823.97"/>
    <n v="1354.6"/>
    <n v="921.71"/>
    <n v="2982.36"/>
    <n v="1206.8599999999999"/>
    <n v="1473.41"/>
    <n v="4014.03"/>
    <n v="1679.66"/>
    <n v="1723.25"/>
    <n v="3774.2"/>
    <n v="1971.54"/>
    <n v="1640"/>
    <n v="27565.59"/>
    <n v="331.53999999999996"/>
  </r>
  <r>
    <x v="6"/>
    <x v="1"/>
    <x v="0"/>
    <s v="2552200"/>
    <n v="713090"/>
    <s v="Benefits-Allocated Amounts"/>
    <s v="ENT Clinic-Audiology"/>
    <x v="0"/>
    <m/>
    <n v="4846.08"/>
    <n v="3690.95"/>
    <n v="3364.34"/>
    <n v="4559.8999999999996"/>
    <n v="3918.7"/>
    <n v="3838.74"/>
    <n v="5003.74"/>
    <n v="4410.63"/>
    <n v="4571.55"/>
    <n v="4216.25"/>
    <n v="4407.46"/>
    <n v="4301.25"/>
    <n v="51129.59"/>
    <n v="106.21000000000004"/>
  </r>
  <r>
    <x v="11"/>
    <x v="1"/>
    <x v="0"/>
    <s v="2552200"/>
    <n v="721410"/>
    <s v="Supplies-Medical - Nonbillable"/>
    <s v="ENT Clinic-Audiology"/>
    <x v="0"/>
    <m/>
    <n v="15.98"/>
    <n v="177.27"/>
    <n v="470.8"/>
    <n v="1328.1"/>
    <n v="2375.56"/>
    <n v="835.73"/>
    <n v="194.79"/>
    <n v="3041.9"/>
    <n v="392.45"/>
    <n v="857.8"/>
    <n v="-9.98"/>
    <n v="352.85"/>
    <n v="10033.250000000002"/>
    <n v="-362.83000000000004"/>
  </r>
  <r>
    <x v="11"/>
    <x v="1"/>
    <x v="0"/>
    <s v="2552200"/>
    <n v="721910"/>
    <s v="Supplies-Small Equipment"/>
    <s v="ENT Clinic-Audiology"/>
    <x v="0"/>
    <m/>
    <n v="0"/>
    <n v="0"/>
    <n v="0"/>
    <n v="0"/>
    <n v="2357.9899999999998"/>
    <n v="663.01"/>
    <n v="0"/>
    <n v="0"/>
    <n v="0"/>
    <n v="0"/>
    <n v="0"/>
    <n v="427.64"/>
    <n v="3448.64"/>
    <n v="-427.64"/>
  </r>
  <r>
    <x v="11"/>
    <x v="1"/>
    <x v="0"/>
    <s v="2552200"/>
    <n v="721980"/>
    <s v="Supplies-Other"/>
    <s v="ENT Clinic-Audiology"/>
    <x v="0"/>
    <m/>
    <n v="12618.04"/>
    <n v="12056.89"/>
    <n v="31498.31"/>
    <n v="36869.33"/>
    <n v="6054.17"/>
    <n v="15874.15"/>
    <n v="21073.64"/>
    <n v="31007.37"/>
    <n v="30274.99"/>
    <n v="13101.6"/>
    <n v="12892.41"/>
    <n v="34096.720000000001"/>
    <n v="257417.62"/>
    <n v="-21204.31"/>
  </r>
  <r>
    <x v="11"/>
    <x v="1"/>
    <x v="0"/>
    <s v="2552200"/>
    <n v="722000"/>
    <s v="Supplies-Freight Expense"/>
    <s v="ENT Clinic-Audiology"/>
    <x v="0"/>
    <m/>
    <n v="0"/>
    <n v="0"/>
    <n v="0"/>
    <n v="411.01"/>
    <n v="925.49"/>
    <n v="269.86"/>
    <n v="99.95"/>
    <n v="0"/>
    <n v="0"/>
    <n v="1328.28"/>
    <n v="603.64"/>
    <n v="1500.7"/>
    <n v="5138.93"/>
    <n v="-897.06000000000006"/>
  </r>
  <r>
    <x v="16"/>
    <x v="1"/>
    <x v="0"/>
    <s v="2552200"/>
    <n v="732015"/>
    <s v="Repairs-Clinical Equip-T&amp;M-Ext to CHI Programs"/>
    <s v="ENT Clinic-Audiology"/>
    <x v="0"/>
    <m/>
    <n v="0"/>
    <n v="0"/>
    <n v="0"/>
    <n v="0"/>
    <n v="0"/>
    <n v="0"/>
    <n v="0"/>
    <n v="0"/>
    <n v="0"/>
    <n v="1007.75"/>
    <n v="7403.37"/>
    <n v="1115.5899999999999"/>
    <n v="9526.7099999999991"/>
    <n v="6287.78"/>
  </r>
  <r>
    <x v="0"/>
    <x v="1"/>
    <x v="0"/>
    <s v="2552200"/>
    <n v="740020"/>
    <s v="Education-Registration Fees"/>
    <s v="ENT Clinic-Audiology"/>
    <x v="0"/>
    <m/>
    <n v="0"/>
    <n v="0"/>
    <n v="0"/>
    <n v="0"/>
    <n v="0"/>
    <n v="0"/>
    <n v="253"/>
    <n v="0"/>
    <n v="0"/>
    <n v="500"/>
    <n v="0"/>
    <n v="0"/>
    <n v="753"/>
    <n v="0"/>
  </r>
  <r>
    <x v="0"/>
    <x v="1"/>
    <x v="0"/>
    <s v="2552200"/>
    <n v="743020"/>
    <s v="Dues--Individual"/>
    <s v="ENT Clinic-Audiology"/>
    <x v="0"/>
    <m/>
    <n v="0"/>
    <n v="0"/>
    <n v="0"/>
    <n v="0"/>
    <n v="656"/>
    <n v="0"/>
    <n v="583"/>
    <n v="330"/>
    <n v="0"/>
    <n v="0"/>
    <n v="0"/>
    <n v="0"/>
    <n v="1569"/>
    <n v="0"/>
  </r>
  <r>
    <x v="0"/>
    <x v="1"/>
    <x v="0"/>
    <s v="2552200"/>
    <n v="749510"/>
    <s v="Miscellaneous Expenses"/>
    <s v="ENT Clinic-Audiology"/>
    <x v="0"/>
    <m/>
    <n v="0"/>
    <n v="0"/>
    <n v="0"/>
    <n v="0"/>
    <n v="0"/>
    <n v="0"/>
    <n v="0"/>
    <n v="0"/>
    <n v="0"/>
    <n v="0"/>
    <n v="0"/>
    <n v="99"/>
    <n v="99"/>
    <n v="-99"/>
  </r>
  <r>
    <x v="0"/>
    <x v="1"/>
    <x v="0"/>
    <s v="2552200"/>
    <n v="749510"/>
    <s v="Licenses"/>
    <s v="ENT Clinic-Audiology"/>
    <x v="0"/>
    <n v="1002"/>
    <n v="0"/>
    <n v="0"/>
    <n v="0"/>
    <n v="0"/>
    <n v="150"/>
    <n v="0"/>
    <n v="0"/>
    <n v="0"/>
    <n v="0"/>
    <n v="0"/>
    <n v="0"/>
    <n v="0"/>
    <n v="150"/>
    <n v="0"/>
  </r>
  <r>
    <x v="0"/>
    <x v="1"/>
    <x v="0"/>
    <s v="2552200"/>
    <n v="749530"/>
    <s v="Travel"/>
    <s v="ENT Clinic-Audiology"/>
    <x v="0"/>
    <m/>
    <n v="0"/>
    <n v="0"/>
    <n v="0"/>
    <n v="0"/>
    <n v="0"/>
    <n v="0"/>
    <n v="0"/>
    <n v="0"/>
    <n v="0"/>
    <n v="1469.27"/>
    <n v="0"/>
    <n v="0"/>
    <n v="1469.27"/>
    <n v="0"/>
  </r>
  <r>
    <x v="0"/>
    <x v="1"/>
    <x v="0"/>
    <s v="2552200"/>
    <n v="749591"/>
    <s v="Other Expense-Intracompany Allocation"/>
    <s v="ENT Clinic-Audiology"/>
    <x v="0"/>
    <m/>
    <n v="3372.92"/>
    <n v="3333.3"/>
    <n v="19592.87"/>
    <n v="-11550.18"/>
    <n v="3959.35"/>
    <n v="2893.08"/>
    <n v="1519.61"/>
    <n v="3367.98"/>
    <n v="6235.46"/>
    <n v="4015.14"/>
    <n v="4354.7"/>
    <n v="3624.89"/>
    <n v="44719.119999999995"/>
    <n v="729.81"/>
  </r>
  <r>
    <x v="1"/>
    <x v="1"/>
    <x v="0"/>
    <s v="2553200"/>
    <n v="400029"/>
    <s v="MD Practice Other Rev--Medicare"/>
    <s v="ENT Clinic-ENT"/>
    <x v="0"/>
    <n v="1100"/>
    <n v="0"/>
    <n v="-2310"/>
    <n v="-1049"/>
    <n v="-1379"/>
    <n v="-719"/>
    <n v="-330"/>
    <n v="-330"/>
    <n v="-990"/>
    <n v="-330"/>
    <n v="-1320"/>
    <n v="0"/>
    <n v="0"/>
    <n v="-8757"/>
    <n v="0"/>
  </r>
  <r>
    <x v="1"/>
    <x v="1"/>
    <x v="0"/>
    <s v="2553200"/>
    <n v="400029"/>
    <s v="MD Practice Other Rev--Medicaid"/>
    <s v="ENT Clinic-ENT"/>
    <x v="0"/>
    <n v="1200"/>
    <n v="0"/>
    <n v="-18"/>
    <n v="-330"/>
    <n v="-660"/>
    <n v="0"/>
    <n v="-389"/>
    <n v="-330"/>
    <n v="0"/>
    <n v="0"/>
    <n v="-330"/>
    <n v="-330"/>
    <n v="-330"/>
    <n v="-2717"/>
    <n v="0"/>
  </r>
  <r>
    <x v="1"/>
    <x v="1"/>
    <x v="0"/>
    <s v="2553200"/>
    <n v="400029"/>
    <s v="MD Practice Other Rev--Comm Insurance"/>
    <s v="ENT Clinic-ENT"/>
    <x v="0"/>
    <n v="1300"/>
    <n v="0"/>
    <n v="-322"/>
    <n v="0"/>
    <n v="0"/>
    <n v="0"/>
    <n v="-660"/>
    <n v="0"/>
    <n v="0"/>
    <n v="0"/>
    <n v="-660"/>
    <n v="-330"/>
    <n v="0"/>
    <n v="-1972"/>
    <n v="-330"/>
  </r>
  <r>
    <x v="1"/>
    <x v="1"/>
    <x v="0"/>
    <s v="2553200"/>
    <n v="400029"/>
    <s v="MD Practice Other Rev--BCBS Comm"/>
    <s v="ENT Clinic-ENT"/>
    <x v="0"/>
    <n v="1301"/>
    <n v="-389"/>
    <n v="-18"/>
    <n v="-660"/>
    <n v="-18"/>
    <n v="0"/>
    <n v="0"/>
    <n v="-166"/>
    <n v="0"/>
    <n v="0"/>
    <n v="0"/>
    <n v="0"/>
    <n v="0"/>
    <n v="-1251"/>
    <n v="0"/>
  </r>
  <r>
    <x v="1"/>
    <x v="1"/>
    <x v="0"/>
    <s v="2553200"/>
    <n v="400029"/>
    <s v="MD Practice Other Rev--Managed Care"/>
    <s v="ENT Clinic-ENT"/>
    <x v="0"/>
    <n v="1400"/>
    <n v="-322"/>
    <n v="-1057"/>
    <n v="-990"/>
    <n v="-824"/>
    <n v="-660"/>
    <n v="-1031"/>
    <n v="-660"/>
    <n v="-660"/>
    <n v="-1320"/>
    <n v="-330"/>
    <n v="-1542"/>
    <n v="-1083"/>
    <n v="-10479"/>
    <n v="-459"/>
  </r>
  <r>
    <x v="1"/>
    <x v="1"/>
    <x v="0"/>
    <s v="2553200"/>
    <n v="400029"/>
    <s v="MD Practice Other Rev--Other"/>
    <s v="ENT Clinic-ENT"/>
    <x v="0"/>
    <n v="1700"/>
    <n v="0"/>
    <n v="0"/>
    <n v="0"/>
    <n v="0"/>
    <n v="0"/>
    <n v="-330"/>
    <n v="0"/>
    <n v="0"/>
    <n v="0"/>
    <n v="0"/>
    <n v="0"/>
    <n v="0"/>
    <n v="-330"/>
    <n v="0"/>
  </r>
  <r>
    <x v="1"/>
    <x v="1"/>
    <x v="0"/>
    <s v="2553200"/>
    <n v="400040"/>
    <s v="Physician Svcs Rev--Medicare"/>
    <s v="ENT Clinic-ENT"/>
    <x v="0"/>
    <n v="1100"/>
    <n v="-182808"/>
    <n v="-175093"/>
    <n v="-146432"/>
    <n v="-191974"/>
    <n v="-207849"/>
    <n v="-157769"/>
    <n v="-224725"/>
    <n v="-129586"/>
    <n v="-192785"/>
    <n v="-232029"/>
    <n v="-231114"/>
    <n v="-184485"/>
    <n v="-2256649"/>
    <n v="-46629"/>
  </r>
  <r>
    <x v="1"/>
    <x v="1"/>
    <x v="0"/>
    <s v="2553200"/>
    <n v="400040"/>
    <s v="Physician Svcs Rev--Medicaid"/>
    <s v="ENT Clinic-ENT"/>
    <x v="0"/>
    <n v="1200"/>
    <n v="-155813"/>
    <n v="-91807"/>
    <n v="-98153"/>
    <n v="-162063"/>
    <n v="-125375"/>
    <n v="-117385"/>
    <n v="-103847"/>
    <n v="-105866"/>
    <n v="-159715"/>
    <n v="-138813"/>
    <n v="-132843"/>
    <n v="-89726"/>
    <n v="-1481406"/>
    <n v="-43117"/>
  </r>
  <r>
    <x v="1"/>
    <x v="1"/>
    <x v="0"/>
    <s v="2553200"/>
    <n v="400040"/>
    <s v="Physician Svcs Rev--Comm Insurance"/>
    <s v="ENT Clinic-ENT"/>
    <x v="0"/>
    <n v="1300"/>
    <n v="-38623"/>
    <n v="-8903"/>
    <n v="-34010"/>
    <n v="-21230"/>
    <n v="-26250"/>
    <n v="-31286"/>
    <n v="-19449"/>
    <n v="-18730"/>
    <n v="-17298"/>
    <n v="-28307"/>
    <n v="-21543"/>
    <n v="-30475"/>
    <n v="-296104"/>
    <n v="8932"/>
  </r>
  <r>
    <x v="1"/>
    <x v="1"/>
    <x v="0"/>
    <s v="2553200"/>
    <n v="400040"/>
    <s v="Physician Svcs Rev--BCBS Comm"/>
    <s v="ENT Clinic-ENT"/>
    <x v="0"/>
    <n v="1301"/>
    <n v="-36290"/>
    <n v="-56617"/>
    <n v="-63626"/>
    <n v="-27892"/>
    <n v="-43815"/>
    <n v="-42534"/>
    <n v="-53015"/>
    <n v="-53111"/>
    <n v="-45851.5"/>
    <n v="-86604"/>
    <n v="-86612"/>
    <n v="-34916"/>
    <n v="-630883.5"/>
    <n v="-51696"/>
  </r>
  <r>
    <x v="1"/>
    <x v="1"/>
    <x v="0"/>
    <s v="2553200"/>
    <n v="400040"/>
    <s v="Physician Svcs Rev--Managed Care"/>
    <s v="ENT Clinic-ENT"/>
    <x v="0"/>
    <n v="1400"/>
    <n v="-157772"/>
    <n v="-160059"/>
    <n v="-156148"/>
    <n v="-154470"/>
    <n v="-203380.4"/>
    <n v="-195829"/>
    <n v="-175347"/>
    <n v="-131808"/>
    <n v="-160970"/>
    <n v="-174157"/>
    <n v="-208853"/>
    <n v="-170728.23"/>
    <n v="-2049521.63"/>
    <n v="-38124.76999999999"/>
  </r>
  <r>
    <x v="1"/>
    <x v="1"/>
    <x v="0"/>
    <s v="2553200"/>
    <n v="400040"/>
    <s v="Physician Svcs Rev--Self Pay"/>
    <s v="ENT Clinic-ENT"/>
    <x v="0"/>
    <n v="1500"/>
    <n v="-6271"/>
    <n v="-10902"/>
    <n v="-2986"/>
    <n v="-5625"/>
    <n v="-4478"/>
    <n v="-2661"/>
    <n v="-6671"/>
    <n v="-3800"/>
    <n v="-8270"/>
    <n v="-6450"/>
    <n v="-7049"/>
    <n v="-12944.44"/>
    <n v="-78107.44"/>
    <n v="5895.4400000000005"/>
  </r>
  <r>
    <x v="1"/>
    <x v="1"/>
    <x v="0"/>
    <s v="2553200"/>
    <n v="400040"/>
    <s v="Physician Svcs Rev--Other"/>
    <s v="ENT Clinic-ENT"/>
    <x v="0"/>
    <n v="1700"/>
    <n v="-19315"/>
    <n v="-20218"/>
    <n v="-18032"/>
    <n v="-41521"/>
    <n v="-30403"/>
    <n v="-11551"/>
    <n v="-20926"/>
    <n v="-15594"/>
    <n v="-26521"/>
    <n v="-26599"/>
    <n v="-27173"/>
    <n v="-28942"/>
    <n v="-286795"/>
    <n v="1769"/>
  </r>
  <r>
    <x v="2"/>
    <x v="1"/>
    <x v="0"/>
    <s v="2553200"/>
    <n v="450029"/>
    <s v="Contr Allow--MD Other-Medicare"/>
    <s v="ENT Clinic-ENT"/>
    <x v="0"/>
    <n v="1100"/>
    <n v="-0.06"/>
    <n v="1265.02"/>
    <n v="929.36"/>
    <n v="634.44000000000005"/>
    <n v="704.54"/>
    <n v="0"/>
    <n v="422.33"/>
    <n v="213.86"/>
    <n v="426.03"/>
    <n v="638.29999999999995"/>
    <n v="426.34"/>
    <n v="71.78"/>
    <n v="5731.94"/>
    <n v="354.55999999999995"/>
  </r>
  <r>
    <x v="2"/>
    <x v="1"/>
    <x v="0"/>
    <s v="2553200"/>
    <n v="450029"/>
    <s v="Contr Allow--MD Other-Medicaid"/>
    <s v="ENT Clinic-ENT"/>
    <x v="0"/>
    <n v="1200"/>
    <n v="239.71"/>
    <n v="11.34"/>
    <n v="0"/>
    <n v="499.44"/>
    <n v="249.72"/>
    <n v="0"/>
    <n v="555.01"/>
    <n v="0"/>
    <n v="0"/>
    <n v="0"/>
    <n v="505.72"/>
    <n v="249.72"/>
    <n v="2310.66"/>
    <n v="256"/>
  </r>
  <r>
    <x v="2"/>
    <x v="1"/>
    <x v="0"/>
    <s v="2553200"/>
    <n v="450029"/>
    <s v="Contr Allow--MD Other-Comm Insurance"/>
    <s v="ENT Clinic-ENT"/>
    <x v="0"/>
    <n v="1300"/>
    <n v="0"/>
    <n v="301.64999999999998"/>
    <n v="0"/>
    <n v="0"/>
    <n v="0"/>
    <n v="280"/>
    <n v="0"/>
    <n v="0"/>
    <n v="0"/>
    <n v="134.49"/>
    <n v="134.49"/>
    <n v="134.49"/>
    <n v="985.12"/>
    <n v="0"/>
  </r>
  <r>
    <x v="2"/>
    <x v="1"/>
    <x v="0"/>
    <s v="2553200"/>
    <n v="450029"/>
    <s v="Contr Allow--MD Other BCBS Comm"/>
    <s v="ENT Clinic-ENT"/>
    <x v="0"/>
    <n v="1301"/>
    <n v="43.45"/>
    <n v="114.97"/>
    <n v="95.59"/>
    <n v="106.56"/>
    <n v="0"/>
    <n v="0"/>
    <n v="0"/>
    <n v="0"/>
    <n v="0"/>
    <n v="0"/>
    <n v="0"/>
    <n v="0"/>
    <n v="360.57000000000005"/>
    <n v="0"/>
  </r>
  <r>
    <x v="2"/>
    <x v="1"/>
    <x v="0"/>
    <s v="2553200"/>
    <n v="450029"/>
    <s v="Contr Allow--MD Other-Managed Care"/>
    <s v="ENT Clinic-ENT"/>
    <x v="0"/>
    <n v="1400"/>
    <n v="0"/>
    <n v="406.64"/>
    <n v="412.66"/>
    <n v="116.01"/>
    <n v="273.12"/>
    <n v="135.28"/>
    <n v="439.4"/>
    <n v="136.03"/>
    <n v="348.03"/>
    <n v="232.02"/>
    <n v="380.56"/>
    <n v="330"/>
    <n v="3209.7499999999995"/>
    <n v="50.56"/>
  </r>
  <r>
    <x v="2"/>
    <x v="1"/>
    <x v="0"/>
    <s v="2553200"/>
    <n v="450029"/>
    <s v="Admin Adjust-MD Other-Self Pay"/>
    <s v="ENT Clinic-ENT"/>
    <x v="0"/>
    <n v="1600"/>
    <n v="0"/>
    <n v="0"/>
    <n v="0.01"/>
    <n v="0"/>
    <n v="0"/>
    <n v="1.41"/>
    <n v="0"/>
    <n v="0"/>
    <n v="180.69"/>
    <n v="0"/>
    <n v="0"/>
    <n v="0"/>
    <n v="182.10999999999999"/>
    <n v="0"/>
  </r>
  <r>
    <x v="2"/>
    <x v="1"/>
    <x v="0"/>
    <s v="2553200"/>
    <n v="450029"/>
    <s v="Contr Allow--MD Other-Other"/>
    <s v="ENT Clinic-ENT"/>
    <x v="0"/>
    <n v="1700"/>
    <n v="0"/>
    <n v="202.39"/>
    <n v="0"/>
    <n v="0"/>
    <n v="0"/>
    <n v="0"/>
    <n v="209.6"/>
    <n v="0"/>
    <n v="0"/>
    <n v="0"/>
    <n v="0"/>
    <n v="0"/>
    <n v="411.99"/>
    <n v="0"/>
  </r>
  <r>
    <x v="2"/>
    <x v="1"/>
    <x v="0"/>
    <s v="2553200"/>
    <n v="450040"/>
    <s v="Contr Allow--Phys Svcs--Mcare"/>
    <s v="ENT Clinic-ENT"/>
    <x v="0"/>
    <n v="1100"/>
    <n v="116184.23"/>
    <n v="115278.15"/>
    <n v="109504.98"/>
    <n v="129875.07"/>
    <n v="120188.84"/>
    <n v="124842.23"/>
    <n v="113054.25"/>
    <n v="119744.64"/>
    <n v="116503.63"/>
    <n v="160010.57999999999"/>
    <n v="136896.37"/>
    <n v="144025.07999999999"/>
    <n v="1506108.0500000003"/>
    <n v="-7128.7099999999919"/>
  </r>
  <r>
    <x v="2"/>
    <x v="1"/>
    <x v="0"/>
    <s v="2553200"/>
    <n v="450040"/>
    <s v="Contr Allow--Phys Svcs--Mcaid"/>
    <s v="ENT Clinic-ENT"/>
    <x v="0"/>
    <n v="1200"/>
    <n v="102487.71"/>
    <n v="115265.15"/>
    <n v="86806.54"/>
    <n v="86861.33"/>
    <n v="106746.4"/>
    <n v="115904.98"/>
    <n v="99797.07"/>
    <n v="68103.009999999995"/>
    <n v="96755.5"/>
    <n v="117203.23"/>
    <n v="108574.5"/>
    <n v="106877.17"/>
    <n v="1211382.5899999999"/>
    <n v="1697.3300000000017"/>
  </r>
  <r>
    <x v="2"/>
    <x v="1"/>
    <x v="0"/>
    <s v="2553200"/>
    <n v="450040"/>
    <s v="Contr Allow--Phys Svcs--Comm Insurance"/>
    <s v="ENT Clinic-ENT"/>
    <x v="0"/>
    <n v="1300"/>
    <n v="17158.03"/>
    <n v="11137.72"/>
    <n v="6009.42"/>
    <n v="14069.65"/>
    <n v="6663.94"/>
    <n v="12816.66"/>
    <n v="11159.77"/>
    <n v="4431.62"/>
    <n v="8177.51"/>
    <n v="9716.7900000000009"/>
    <n v="11694.5"/>
    <n v="8708.8799999999992"/>
    <n v="121744.48999999999"/>
    <n v="2985.6200000000008"/>
  </r>
  <r>
    <x v="2"/>
    <x v="1"/>
    <x v="0"/>
    <s v="2553200"/>
    <n v="450040"/>
    <s v="Contr Allow--Phys Svcs--BCBS Comm Ins"/>
    <s v="ENT Clinic-ENT"/>
    <x v="0"/>
    <n v="1301"/>
    <n v="16577.22"/>
    <n v="24171.55"/>
    <n v="24479.11"/>
    <n v="9934.89"/>
    <n v="11948.33"/>
    <n v="16444.8"/>
    <n v="15034.7"/>
    <n v="17197.71"/>
    <n v="25977.89"/>
    <n v="18095.87"/>
    <n v="33193.54"/>
    <n v="24819.759999999998"/>
    <n v="237875.37000000002"/>
    <n v="8373.7800000000025"/>
  </r>
  <r>
    <x v="2"/>
    <x v="1"/>
    <x v="0"/>
    <s v="2553200"/>
    <n v="450040"/>
    <s v="Contr Allow--Phys Svcs--Managed Care"/>
    <s v="ENT Clinic-ENT"/>
    <x v="0"/>
    <n v="1400"/>
    <n v="50113.47"/>
    <n v="83208.12"/>
    <n v="45519.91"/>
    <n v="69183.48"/>
    <n v="63125.64"/>
    <n v="70787.03"/>
    <n v="62052.73"/>
    <n v="54162.87"/>
    <n v="58639.15"/>
    <n v="64012.44"/>
    <n v="82715.399999999994"/>
    <n v="54097.01"/>
    <n v="757617.25000000012"/>
    <n v="28618.389999999992"/>
  </r>
  <r>
    <x v="2"/>
    <x v="1"/>
    <x v="0"/>
    <s v="2553200"/>
    <n v="450040"/>
    <s v="Contr Allow--Phys Svcs--BCBS Mgnd Care"/>
    <s v="ENT Clinic-ENT"/>
    <x v="0"/>
    <n v="1401"/>
    <n v="25922.52"/>
    <n v="-61993.88"/>
    <n v="11245.3"/>
    <n v="7033.8"/>
    <n v="37499.120000000003"/>
    <n v="-34857.39"/>
    <n v="37635"/>
    <n v="-6454.34"/>
    <n v="22444.01"/>
    <n v="13613.7"/>
    <n v="9706.06"/>
    <n v="-43877.42"/>
    <n v="17916.479999999996"/>
    <n v="53583.479999999996"/>
  </r>
  <r>
    <x v="2"/>
    <x v="1"/>
    <x v="0"/>
    <s v="2553200"/>
    <n v="450040"/>
    <s v="Prompt Pay Disc-Phys Svcs-Self Pay"/>
    <s v="ENT Clinic-ENT"/>
    <x v="0"/>
    <n v="1500"/>
    <n v="0"/>
    <n v="0"/>
    <n v="0"/>
    <n v="0"/>
    <n v="0"/>
    <n v="0"/>
    <n v="0"/>
    <n v="0"/>
    <n v="0"/>
    <n v="0"/>
    <n v="0"/>
    <n v="123.79"/>
    <n v="123.79"/>
    <n v="-123.79"/>
  </r>
  <r>
    <x v="2"/>
    <x v="1"/>
    <x v="0"/>
    <s v="2553200"/>
    <n v="450040"/>
    <s v="Admin Adjust-Phys Svcs-Self Pay"/>
    <s v="ENT Clinic-ENT"/>
    <x v="0"/>
    <n v="1600"/>
    <n v="-1874.13"/>
    <n v="3358.15"/>
    <n v="8955.27"/>
    <n v="2842.91"/>
    <n v="2889.23"/>
    <n v="987.41"/>
    <n v="3401.92"/>
    <n v="1512.57"/>
    <n v="3388.9"/>
    <n v="4242.01"/>
    <n v="3238.34"/>
    <n v="5885.76"/>
    <n v="38828.340000000004"/>
    <n v="-2647.42"/>
  </r>
  <r>
    <x v="2"/>
    <x v="1"/>
    <x v="0"/>
    <s v="2553200"/>
    <n v="450040"/>
    <s v="Contr Allow--Phys Svcs--Other"/>
    <s v="ENT Clinic-ENT"/>
    <x v="0"/>
    <n v="1700"/>
    <n v="11895.97"/>
    <n v="13865.83"/>
    <n v="11472.26"/>
    <n v="12792.55"/>
    <n v="14757.65"/>
    <n v="30008.78"/>
    <n v="20329.98"/>
    <n v="11876.88"/>
    <n v="12697.33"/>
    <n v="15135.28"/>
    <n v="25977.37"/>
    <n v="21877.279999999999"/>
    <n v="202687.16"/>
    <n v="4100.09"/>
  </r>
  <r>
    <x v="3"/>
    <x v="1"/>
    <x v="0"/>
    <s v="2553200"/>
    <n v="470040"/>
    <s v="Charity Care-Physician Svcs"/>
    <s v="ENT Clinic-ENT"/>
    <x v="0"/>
    <m/>
    <n v="9614.39"/>
    <n v="14236.12"/>
    <n v="1160.92"/>
    <n v="3982.96"/>
    <n v="6321.27"/>
    <n v="-1453.09"/>
    <n v="4008.23"/>
    <n v="4206.9399999999996"/>
    <n v="25662.34"/>
    <n v="13560.92"/>
    <n v="4517.41"/>
    <n v="6429.67"/>
    <n v="92248.080000000016"/>
    <n v="-1912.2600000000002"/>
  </r>
  <r>
    <x v="4"/>
    <x v="1"/>
    <x v="0"/>
    <s v="2553200"/>
    <n v="490010"/>
    <s v="Provision for Bad Debts"/>
    <s v="ENT Clinic-ENT"/>
    <x v="0"/>
    <m/>
    <n v="-68.040000000000006"/>
    <n v="-3287.73"/>
    <n v="17675.439999999999"/>
    <n v="9578.4599999999991"/>
    <n v="13173.19"/>
    <n v="-1342.6"/>
    <n v="2579.9499999999998"/>
    <n v="4478.5200000000004"/>
    <n v="3988.15"/>
    <n v="2345.11"/>
    <n v="2165.02"/>
    <n v="721.28"/>
    <n v="52006.75"/>
    <n v="1443.74"/>
  </r>
  <r>
    <x v="14"/>
    <x v="1"/>
    <x v="0"/>
    <s v="2553200"/>
    <n v="600050"/>
    <s v="Miscellaneous Revenue"/>
    <s v="ENT Clinic-ENT"/>
    <x v="0"/>
    <m/>
    <n v="-23750"/>
    <n v="-7750"/>
    <n v="-18900"/>
    <n v="-17600"/>
    <n v="-19950"/>
    <n v="-30750"/>
    <n v="-17300"/>
    <n v="-13000"/>
    <n v="-750"/>
    <n v="-24600"/>
    <n v="-7000"/>
    <n v="-42000"/>
    <n v="-223350"/>
    <n v="35000"/>
  </r>
  <r>
    <x v="5"/>
    <x v="1"/>
    <x v="0"/>
    <s v="2553200"/>
    <n v="700020"/>
    <s v="Salaries-Physician Admin-Other"/>
    <s v="ENT Clinic-ENT"/>
    <x v="0"/>
    <n v="2000"/>
    <n v="750"/>
    <n v="750"/>
    <n v="900"/>
    <n v="600"/>
    <n v="450"/>
    <n v="750"/>
    <n v="300"/>
    <n v="0"/>
    <n v="750"/>
    <n v="600"/>
    <n v="0"/>
    <n v="0"/>
    <n v="5850"/>
    <n v="0"/>
  </r>
  <r>
    <x v="5"/>
    <x v="1"/>
    <x v="0"/>
    <s v="2553200"/>
    <n v="700022"/>
    <s v="Salaries-Physician-Productive"/>
    <s v="ENT Clinic-ENT"/>
    <x v="0"/>
    <m/>
    <n v="144695.46"/>
    <n v="131182.07999999999"/>
    <n v="123881.36"/>
    <n v="143439.51999999999"/>
    <n v="159039.06"/>
    <n v="131866.54999999999"/>
    <n v="140244.51"/>
    <n v="117067.29"/>
    <n v="141016.31"/>
    <n v="143704.48000000001"/>
    <n v="157954.16"/>
    <n v="130367.2"/>
    <n v="1664457.98"/>
    <n v="27586.960000000006"/>
  </r>
  <r>
    <x v="5"/>
    <x v="1"/>
    <x v="0"/>
    <s v="2553200"/>
    <n v="700022"/>
    <s v="Salaries-Physician-Other"/>
    <s v="ENT Clinic-ENT"/>
    <x v="0"/>
    <n v="2000"/>
    <n v="23000"/>
    <n v="7000"/>
    <n v="18000"/>
    <n v="17000"/>
    <n v="19500"/>
    <n v="30000"/>
    <n v="17000"/>
    <n v="13000"/>
    <n v="0"/>
    <n v="24000"/>
    <n v="7000"/>
    <n v="42000"/>
    <n v="217500"/>
    <n v="-35000"/>
  </r>
  <r>
    <x v="5"/>
    <x v="1"/>
    <x v="0"/>
    <s v="2553200"/>
    <n v="700024"/>
    <s v="Salaries-Advanced Practice Clinician-Productive"/>
    <s v="ENT Clinic-ENT"/>
    <x v="0"/>
    <m/>
    <n v="7649.58"/>
    <n v="19209.099999999999"/>
    <n v="13306.5"/>
    <n v="12064.56"/>
    <n v="16266.64"/>
    <n v="11221.72"/>
    <n v="15486.59"/>
    <n v="7945.74"/>
    <n v="13957.63"/>
    <n v="16431.12"/>
    <n v="14107.71"/>
    <n v="11987.56"/>
    <n v="159634.45000000001"/>
    <n v="2120.1499999999996"/>
  </r>
  <r>
    <x v="5"/>
    <x v="1"/>
    <x v="0"/>
    <s v="2553200"/>
    <n v="700026"/>
    <s v="Salaries-RN-Productive"/>
    <s v="ENT Clinic-ENT"/>
    <x v="0"/>
    <m/>
    <n v="16388.310000000001"/>
    <n v="17472.14"/>
    <n v="11583.95"/>
    <n v="19372.849999999999"/>
    <n v="16355.97"/>
    <n v="14132.63"/>
    <n v="11942.82"/>
    <n v="7922.55"/>
    <n v="13210.11"/>
    <n v="14042.54"/>
    <n v="14442.71"/>
    <n v="11657.92"/>
    <n v="168524.5"/>
    <n v="2784.7899999999991"/>
  </r>
  <r>
    <x v="5"/>
    <x v="1"/>
    <x v="0"/>
    <s v="2553200"/>
    <n v="700026"/>
    <s v="Salaries-RN-OT"/>
    <s v="ENT Clinic-ENT"/>
    <x v="0"/>
    <n v="1000"/>
    <n v="559.29999999999995"/>
    <n v="549.75"/>
    <n v="-17.760000000000002"/>
    <n v="1151.19"/>
    <n v="1251.29"/>
    <n v="55.67"/>
    <n v="628.36"/>
    <n v="547.15"/>
    <n v="437.03"/>
    <n v="829.57"/>
    <n v="1427.59"/>
    <n v="55.88"/>
    <n v="7475.0199999999995"/>
    <n v="1371.7099999999998"/>
  </r>
  <r>
    <x v="5"/>
    <x v="1"/>
    <x v="0"/>
    <s v="2553200"/>
    <n v="700026"/>
    <s v="Salaries-RN-Other"/>
    <s v="ENT Clinic-ENT"/>
    <x v="0"/>
    <n v="2000"/>
    <n v="231.06"/>
    <n v="237.1"/>
    <n v="134.05000000000001"/>
    <n v="273.01"/>
    <n v="244.83"/>
    <n v="210.31"/>
    <n v="240.32"/>
    <n v="188.76"/>
    <n v="225.37"/>
    <n v="234.42"/>
    <n v="258.19"/>
    <n v="190.91"/>
    <n v="2668.33"/>
    <n v="67.28"/>
  </r>
  <r>
    <x v="5"/>
    <x v="1"/>
    <x v="0"/>
    <s v="2553200"/>
    <n v="700030"/>
    <s v="Salaries-LPN-Productive"/>
    <s v="ENT Clinic-ENT"/>
    <x v="0"/>
    <m/>
    <n v="3656.72"/>
    <n v="3048.08"/>
    <n v="3700.31"/>
    <n v="2631.49"/>
    <n v="2446.4899999999998"/>
    <n v="3821.93"/>
    <n v="4546.97"/>
    <n v="4423.3900000000003"/>
    <n v="3044.6"/>
    <n v="4460.8900000000003"/>
    <n v="4560.47"/>
    <n v="1854.05"/>
    <n v="42195.39"/>
    <n v="2706.42"/>
  </r>
  <r>
    <x v="5"/>
    <x v="1"/>
    <x v="0"/>
    <s v="2553200"/>
    <n v="700030"/>
    <s v="Salaries-LPN-OT"/>
    <s v="ENT Clinic-ENT"/>
    <x v="0"/>
    <n v="1000"/>
    <n v="280.92"/>
    <n v="34.22"/>
    <n v="531.23"/>
    <n v="162.07"/>
    <n v="37.28"/>
    <n v="251.6"/>
    <n v="483.42"/>
    <n v="-82.12"/>
    <n v="331.29"/>
    <n v="1005.19"/>
    <n v="157.72999999999999"/>
    <n v="887.6"/>
    <n v="4080.43"/>
    <n v="-729.87"/>
  </r>
  <r>
    <x v="5"/>
    <x v="1"/>
    <x v="0"/>
    <s v="2553200"/>
    <n v="700032"/>
    <s v="Salaries-Other Pat Care Providers-Productive"/>
    <s v="ENT Clinic-ENT"/>
    <x v="0"/>
    <m/>
    <n v="0"/>
    <n v="0"/>
    <n v="0"/>
    <n v="3467.27"/>
    <n v="3029.55"/>
    <n v="1974.14"/>
    <n v="3165.99"/>
    <n v="3109.73"/>
    <n v="3326.9"/>
    <n v="2954.16"/>
    <n v="2908.75"/>
    <n v="2124.83"/>
    <n v="26061.32"/>
    <n v="783.92000000000007"/>
  </r>
  <r>
    <x v="5"/>
    <x v="1"/>
    <x v="0"/>
    <s v="2553200"/>
    <n v="700032"/>
    <s v="Salaries-Other Pat Care Providers-OT"/>
    <s v="ENT Clinic-ENT"/>
    <x v="0"/>
    <n v="1000"/>
    <n v="0"/>
    <n v="0"/>
    <n v="0"/>
    <n v="82.73"/>
    <n v="318.55"/>
    <n v="-75.319999999999993"/>
    <n v="188.63"/>
    <n v="145.44"/>
    <n v="332.16"/>
    <n v="397.57"/>
    <n v="-132.56"/>
    <n v="303.08"/>
    <n v="1560.28"/>
    <n v="-435.64"/>
  </r>
  <r>
    <x v="5"/>
    <x v="1"/>
    <x v="0"/>
    <s v="2553200"/>
    <n v="700032"/>
    <s v="Salaries-Other Pat Care Providers-Other"/>
    <s v="ENT Clinic-ENT"/>
    <x v="0"/>
    <n v="2000"/>
    <n v="0"/>
    <n v="0"/>
    <n v="0"/>
    <n v="0"/>
    <n v="0"/>
    <n v="0"/>
    <n v="0"/>
    <n v="0"/>
    <n v="0"/>
    <n v="0"/>
    <n v="2"/>
    <n v="5.75"/>
    <n v="7.75"/>
    <n v="-3.75"/>
  </r>
  <r>
    <x v="5"/>
    <x v="1"/>
    <x v="0"/>
    <s v="2553200"/>
    <n v="700062"/>
    <s v="Salaries-Physician-Non-productive"/>
    <s v="ENT Clinic-ENT"/>
    <x v="0"/>
    <m/>
    <n v="10511.38"/>
    <n v="43098.66"/>
    <n v="31676.54"/>
    <n v="24912"/>
    <n v="2100.4"/>
    <n v="16189.17"/>
    <n v="29131.72"/>
    <n v="28698.46"/>
    <n v="9357.01"/>
    <n v="10984.61"/>
    <n v="5552.17"/>
    <n v="7462"/>
    <n v="219674.12000000002"/>
    <n v="-1909.83"/>
  </r>
  <r>
    <x v="5"/>
    <x v="1"/>
    <x v="0"/>
    <s v="2553200"/>
    <n v="700064"/>
    <s v="Salaries-Advanced Practice Clinician-Non-Productive"/>
    <s v="ENT Clinic-ENT"/>
    <x v="0"/>
    <m/>
    <n v="7307.56"/>
    <n v="-953.16"/>
    <n v="887.1"/>
    <n v="4258.08"/>
    <n v="-709.68"/>
    <n v="3622.76"/>
    <n v="796.53"/>
    <n v="6183.75"/>
    <n v="883.39"/>
    <n v="-883.39"/>
    <n v="1712.5"/>
    <n v="1712.5"/>
    <n v="24817.940000000002"/>
    <n v="0"/>
  </r>
  <r>
    <x v="5"/>
    <x v="1"/>
    <x v="0"/>
    <s v="2553200"/>
    <n v="700066"/>
    <s v="Salaries-RN-Non-productive"/>
    <s v="ENT Clinic-ENT"/>
    <x v="0"/>
    <m/>
    <n v="2519.37"/>
    <n v="2279.06"/>
    <n v="4535.87"/>
    <n v="1526.57"/>
    <n v="3112.36"/>
    <n v="1226.53"/>
    <n v="2305"/>
    <n v="3322.29"/>
    <n v="152.91999999999999"/>
    <n v="392.07"/>
    <n v="-241.16"/>
    <n v="1133.1400000000001"/>
    <n v="22264.02"/>
    <n v="-1374.3000000000002"/>
  </r>
  <r>
    <x v="5"/>
    <x v="1"/>
    <x v="0"/>
    <s v="2553200"/>
    <n v="700066"/>
    <s v="Salaries-RN-NonProd-Other"/>
    <s v="ENT Clinic-EN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3200"/>
    <n v="700070"/>
    <s v="Salaries-LPN-Non-productive"/>
    <s v="ENT Clinic-ENT"/>
    <x v="0"/>
    <m/>
    <n v="192.08"/>
    <n v="1452.61"/>
    <n v="-288.12"/>
    <n v="1904.32"/>
    <n v="1778.02"/>
    <n v="180.15"/>
    <n v="236.51"/>
    <n v="165.52"/>
    <n v="767.74"/>
    <n v="-248.86"/>
    <n v="12.44"/>
    <n v="1063.9100000000001"/>
    <n v="7216.32"/>
    <n v="-1051.47"/>
  </r>
  <r>
    <x v="5"/>
    <x v="1"/>
    <x v="0"/>
    <s v="2553200"/>
    <n v="700070"/>
    <s v="Salaries-LPN-NonProd-Other"/>
    <s v="ENT Clinic-ENT"/>
    <x v="0"/>
    <n v="2000"/>
    <n v="0"/>
    <n v="0"/>
    <n v="0"/>
    <n v="0"/>
    <n v="485.51"/>
    <n v="485.51"/>
    <n v="0"/>
    <n v="-971.02"/>
    <n v="0"/>
    <n v="0"/>
    <n v="0"/>
    <n v="0"/>
    <n v="0"/>
    <n v="0"/>
  </r>
  <r>
    <x v="5"/>
    <x v="1"/>
    <x v="0"/>
    <s v="2553200"/>
    <n v="700072"/>
    <s v="Salaries-Other Pat Care Providers-Non-productive"/>
    <s v="ENT Clinic-ENT"/>
    <x v="0"/>
    <m/>
    <n v="0"/>
    <n v="0"/>
    <n v="0"/>
    <n v="309.98"/>
    <n v="123.05"/>
    <n v="685.27"/>
    <n v="283.32"/>
    <n v="91.91"/>
    <n v="94.94"/>
    <n v="0"/>
    <n v="383.81"/>
    <n v="80.8"/>
    <n v="2053.08"/>
    <n v="303.01"/>
  </r>
  <r>
    <x v="5"/>
    <x v="1"/>
    <x v="0"/>
    <s v="2553200"/>
    <n v="700072"/>
    <s v="Salaries-Other Pat Care Providers-NonProd-Other"/>
    <s v="ENT Clinic-EN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3200"/>
    <n v="700084"/>
    <s v="Accrued PTO"/>
    <s v="ENT Clinic-ENT"/>
    <x v="0"/>
    <m/>
    <n v="-145"/>
    <n v="-1119.43"/>
    <n v="-1976.54"/>
    <n v="1005.09"/>
    <n v="-608.5"/>
    <n v="-830.02"/>
    <n v="-328.76"/>
    <n v="-1320.17"/>
    <n v="1136.6199999999999"/>
    <n v="1552"/>
    <n v="1963.41"/>
    <n v="1115.77"/>
    <n v="444.47"/>
    <n v="847.6400000000001"/>
  </r>
  <r>
    <x v="6"/>
    <x v="1"/>
    <x v="0"/>
    <s v="2553200"/>
    <n v="713010"/>
    <s v="Benefits-FICA/Medicare"/>
    <s v="ENT Clinic-ENT"/>
    <x v="0"/>
    <m/>
    <n v="5368.74"/>
    <n v="6035.62"/>
    <n v="5042.25"/>
    <n v="5090.87"/>
    <n v="5266.48"/>
    <n v="9314.18"/>
    <n v="15900.21"/>
    <n v="9690.15"/>
    <n v="8541.98"/>
    <n v="4759.84"/>
    <n v="5707.44"/>
    <n v="4628.55"/>
    <n v="85346.31"/>
    <n v="1078.8899999999994"/>
  </r>
  <r>
    <x v="6"/>
    <x v="1"/>
    <x v="0"/>
    <s v="2553200"/>
    <n v="713090"/>
    <s v="Benefits-Allocated Amounts"/>
    <s v="ENT Clinic-ENT"/>
    <x v="0"/>
    <m/>
    <n v="0"/>
    <n v="0"/>
    <n v="0"/>
    <n v="0"/>
    <n v="0"/>
    <n v="0"/>
    <n v="0"/>
    <n v="0"/>
    <n v="78094.67"/>
    <n v="9265.58"/>
    <n v="8686.84"/>
    <n v="8990.31"/>
    <n v="105037.4"/>
    <n v="-303.46999999999935"/>
  </r>
  <r>
    <x v="6"/>
    <x v="1"/>
    <x v="0"/>
    <s v="2553200"/>
    <n v="713092"/>
    <s v="Allocated Benefits-Physician"/>
    <s v="ENT Clinic-ENT"/>
    <x v="0"/>
    <m/>
    <n v="11890.58"/>
    <n v="10847.1"/>
    <n v="10989.75"/>
    <n v="12000.97"/>
    <n v="12087.47"/>
    <n v="12375.83"/>
    <n v="14382.35"/>
    <n v="13225.64"/>
    <n v="-41246.17"/>
    <n v="6709.83"/>
    <n v="6290.71"/>
    <n v="6510.48"/>
    <n v="76064.540000000008"/>
    <n v="-219.76999999999953"/>
  </r>
  <r>
    <x v="6"/>
    <x v="1"/>
    <x v="0"/>
    <s v="2553200"/>
    <n v="713093"/>
    <s v="Allocated Benefits-Advanced Practice Clinician"/>
    <s v="ENT Clinic-ENT"/>
    <x v="0"/>
    <m/>
    <n v="4282.03"/>
    <n v="3906.27"/>
    <n v="3957.63"/>
    <n v="4321.79"/>
    <n v="4352.9399999999996"/>
    <n v="4456.78"/>
    <n v="5179.37"/>
    <n v="4762.82"/>
    <n v="-17429.05"/>
    <n v="2110.7800000000002"/>
    <n v="1978.93"/>
    <n v="2048.06"/>
    <n v="23928.35"/>
    <n v="-69.129999999999882"/>
  </r>
  <r>
    <x v="7"/>
    <x v="1"/>
    <x v="0"/>
    <s v="2553200"/>
    <n v="718040"/>
    <s v="Contract Svcs-Laboratory"/>
    <s v="ENT Clinic-ENT"/>
    <x v="0"/>
    <m/>
    <n v="0"/>
    <n v="0"/>
    <n v="0"/>
    <n v="0"/>
    <n v="0"/>
    <n v="0"/>
    <n v="0"/>
    <n v="0"/>
    <n v="0"/>
    <n v="43"/>
    <n v="0"/>
    <n v="0"/>
    <n v="43"/>
    <n v="0"/>
  </r>
  <r>
    <x v="7"/>
    <x v="1"/>
    <x v="0"/>
    <s v="2553200"/>
    <n v="718050"/>
    <s v="Miscellaneous Purchased Svcs"/>
    <s v="ENT Clinic-ENT"/>
    <x v="0"/>
    <n v="1020"/>
    <n v="129.59"/>
    <n v="-138.88"/>
    <n v="137.79"/>
    <n v="98.03"/>
    <n v="202.27"/>
    <n v="104.88"/>
    <n v="137.80000000000001"/>
    <n v="126.51"/>
    <n v="175.68"/>
    <n v="11.48"/>
    <n v="227.25"/>
    <n v="148.44"/>
    <n v="1360.8400000000001"/>
    <n v="78.81"/>
  </r>
  <r>
    <x v="11"/>
    <x v="1"/>
    <x v="0"/>
    <s v="2553200"/>
    <n v="721250"/>
    <s v="Supplies-Pharmacy Drugs - Billable"/>
    <s v="ENT Clinic-ENT"/>
    <x v="0"/>
    <m/>
    <n v="0"/>
    <n v="0"/>
    <n v="0"/>
    <n v="0"/>
    <n v="0"/>
    <n v="0"/>
    <n v="461.5"/>
    <n v="1699.03"/>
    <n v="17.25"/>
    <n v="196.3"/>
    <n v="872.23"/>
    <n v="336.79"/>
    <n v="3583.1"/>
    <n v="535.44000000000005"/>
  </r>
  <r>
    <x v="11"/>
    <x v="1"/>
    <x v="0"/>
    <s v="2553200"/>
    <n v="721410"/>
    <s v="Supplies-Medical - Nonbillable"/>
    <s v="ENT Clinic-ENT"/>
    <x v="0"/>
    <m/>
    <n v="0"/>
    <n v="0"/>
    <n v="0"/>
    <n v="0"/>
    <n v="0"/>
    <n v="0"/>
    <n v="0"/>
    <n v="0"/>
    <n v="0"/>
    <n v="85.42"/>
    <n v="0"/>
    <n v="0"/>
    <n v="85.42"/>
    <n v="0"/>
  </r>
  <r>
    <x v="11"/>
    <x v="1"/>
    <x v="0"/>
    <s v="2553200"/>
    <n v="721910"/>
    <s v="Supplies-Small Equipment"/>
    <s v="ENT Clinic-ENT"/>
    <x v="0"/>
    <m/>
    <n v="0"/>
    <n v="0"/>
    <n v="0"/>
    <n v="31.97"/>
    <n v="0"/>
    <n v="0"/>
    <n v="0"/>
    <n v="0"/>
    <n v="0"/>
    <n v="0"/>
    <n v="0"/>
    <n v="0"/>
    <n v="31.97"/>
    <n v="0"/>
  </r>
  <r>
    <x v="0"/>
    <x v="1"/>
    <x v="0"/>
    <s v="2553200"/>
    <n v="740022"/>
    <s v="Education-Physician"/>
    <s v="ENT Clinic-ENT"/>
    <x v="0"/>
    <m/>
    <n v="0"/>
    <n v="0"/>
    <n v="0"/>
    <n v="0"/>
    <n v="0"/>
    <n v="0"/>
    <n v="3000"/>
    <n v="0"/>
    <n v="0"/>
    <n v="0"/>
    <n v="0"/>
    <n v="0"/>
    <n v="3000"/>
    <n v="0"/>
  </r>
  <r>
    <x v="0"/>
    <x v="1"/>
    <x v="0"/>
    <s v="2553200"/>
    <n v="740022"/>
    <s v="Books-Physician"/>
    <s v="ENT Clinic-ENT"/>
    <x v="0"/>
    <n v="2000"/>
    <n v="0"/>
    <n v="0"/>
    <n v="0"/>
    <n v="0"/>
    <n v="0"/>
    <n v="0"/>
    <n v="0"/>
    <n v="0"/>
    <n v="580"/>
    <n v="0"/>
    <n v="0"/>
    <n v="0"/>
    <n v="580"/>
    <n v="0"/>
  </r>
  <r>
    <x v="0"/>
    <x v="1"/>
    <x v="0"/>
    <s v="2553200"/>
    <n v="740023"/>
    <s v="Education-Advanced Practice Clinician"/>
    <s v="ENT Clinic-ENT"/>
    <x v="0"/>
    <m/>
    <n v="0"/>
    <n v="0"/>
    <n v="0"/>
    <n v="0"/>
    <n v="900"/>
    <n v="0"/>
    <n v="0"/>
    <n v="0"/>
    <n v="0"/>
    <n v="675"/>
    <n v="0"/>
    <n v="0"/>
    <n v="1575"/>
    <n v="0"/>
  </r>
  <r>
    <x v="0"/>
    <x v="1"/>
    <x v="0"/>
    <s v="2553200"/>
    <n v="740023"/>
    <s v="Books-Advanced Practice Clinician"/>
    <s v="ENT Clinic-ENT"/>
    <x v="0"/>
    <n v="2000"/>
    <n v="0"/>
    <n v="0"/>
    <n v="0"/>
    <n v="0"/>
    <n v="0"/>
    <n v="475"/>
    <n v="0"/>
    <n v="0"/>
    <n v="0"/>
    <n v="0"/>
    <n v="0"/>
    <n v="0"/>
    <n v="475"/>
    <n v="0"/>
  </r>
  <r>
    <x v="8"/>
    <x v="1"/>
    <x v="0"/>
    <s v="2553200"/>
    <n v="741012"/>
    <s v="Physician Liab Insurance-CHI Program"/>
    <s v="ENT Clinic-ENT"/>
    <x v="0"/>
    <m/>
    <n v="6110.31"/>
    <n v="6110.31"/>
    <n v="6110.31"/>
    <n v="6110.31"/>
    <n v="6110.31"/>
    <n v="6110.28"/>
    <n v="6110.31"/>
    <n v="6110.28"/>
    <n v="6110.31"/>
    <n v="6110.28"/>
    <n v="6110.31"/>
    <n v="6110.28"/>
    <n v="73323.599999999991"/>
    <n v="3.0000000000654836E-2"/>
  </r>
  <r>
    <x v="0"/>
    <x v="1"/>
    <x v="0"/>
    <s v="2553200"/>
    <n v="743020"/>
    <s v="Dues--Individual"/>
    <s v="ENT Clinic-ENT"/>
    <x v="0"/>
    <m/>
    <n v="0"/>
    <n v="0"/>
    <n v="0"/>
    <n v="0"/>
    <n v="0"/>
    <n v="0"/>
    <n v="0"/>
    <n v="1195"/>
    <n v="0"/>
    <n v="0"/>
    <n v="0"/>
    <n v="0"/>
    <n v="1195"/>
    <n v="0"/>
  </r>
  <r>
    <x v="0"/>
    <x v="1"/>
    <x v="0"/>
    <s v="2553200"/>
    <n v="743022"/>
    <s v="Dues-Physician"/>
    <s v="ENT Clinic-ENT"/>
    <x v="0"/>
    <m/>
    <n v="0"/>
    <n v="0"/>
    <n v="0"/>
    <n v="0"/>
    <n v="1890"/>
    <n v="0"/>
    <n v="0"/>
    <n v="1083"/>
    <n v="0"/>
    <n v="0"/>
    <n v="0"/>
    <n v="0"/>
    <n v="2973"/>
    <n v="0"/>
  </r>
  <r>
    <x v="0"/>
    <x v="1"/>
    <x v="0"/>
    <s v="2553200"/>
    <n v="743023"/>
    <s v="Dues-Advanced Practice Clinician"/>
    <s v="ENT Clinic-ENT"/>
    <x v="0"/>
    <m/>
    <n v="0"/>
    <n v="0"/>
    <n v="0"/>
    <n v="0"/>
    <n v="265"/>
    <n v="0"/>
    <n v="0"/>
    <n v="0"/>
    <n v="0"/>
    <n v="0"/>
    <n v="0"/>
    <n v="0"/>
    <n v="265"/>
    <n v="0"/>
  </r>
  <r>
    <x v="0"/>
    <x v="1"/>
    <x v="0"/>
    <s v="2553200"/>
    <n v="749510"/>
    <s v="Miscellaneous Expenses"/>
    <s v="ENT Clinic-ENT"/>
    <x v="0"/>
    <m/>
    <n v="0"/>
    <n v="-2492.1999999999998"/>
    <n v="0"/>
    <n v="0"/>
    <n v="33.799999999999997"/>
    <n v="-33.799999999999997"/>
    <n v="0"/>
    <n v="19.920000000000002"/>
    <n v="-19.920000000000002"/>
    <n v="0"/>
    <n v="957"/>
    <n v="-657"/>
    <n v="-2192.1999999999998"/>
    <n v="1614"/>
  </r>
  <r>
    <x v="0"/>
    <x v="1"/>
    <x v="0"/>
    <s v="2553200"/>
    <n v="749512"/>
    <s v="Licenses-Physician"/>
    <s v="ENT Clinic-ENT"/>
    <x v="0"/>
    <n v="2000"/>
    <n v="0"/>
    <n v="0"/>
    <n v="0"/>
    <n v="0"/>
    <n v="0"/>
    <n v="0"/>
    <n v="657"/>
    <n v="0"/>
    <n v="1462"/>
    <n v="0"/>
    <n v="0"/>
    <n v="657"/>
    <n v="2776"/>
    <n v="-657"/>
  </r>
  <r>
    <x v="0"/>
    <x v="1"/>
    <x v="0"/>
    <s v="2553200"/>
    <n v="749513"/>
    <s v="Licenses-Advanced Practice Clinician"/>
    <s v="ENT Clinic-ENT"/>
    <x v="0"/>
    <n v="2000"/>
    <n v="0"/>
    <n v="0"/>
    <n v="0"/>
    <n v="0"/>
    <n v="150"/>
    <n v="0"/>
    <n v="0"/>
    <n v="0"/>
    <n v="731"/>
    <n v="0"/>
    <n v="0"/>
    <n v="0"/>
    <n v="881"/>
    <n v="0"/>
  </r>
  <r>
    <x v="0"/>
    <x v="1"/>
    <x v="0"/>
    <s v="2553200"/>
    <n v="749530"/>
    <s v="Travel"/>
    <s v="ENT Clinic-ENT"/>
    <x v="0"/>
    <m/>
    <n v="0"/>
    <n v="0"/>
    <n v="0"/>
    <n v="7"/>
    <n v="0"/>
    <n v="24"/>
    <n v="6"/>
    <n v="0"/>
    <n v="6"/>
    <n v="6"/>
    <n v="0"/>
    <n v="0"/>
    <n v="49"/>
    <n v="0"/>
  </r>
  <r>
    <x v="0"/>
    <x v="1"/>
    <x v="0"/>
    <s v="2553200"/>
    <n v="749530"/>
    <s v="Mileage"/>
    <s v="ENT Clinic-ENT"/>
    <x v="0"/>
    <n v="1001"/>
    <n v="0"/>
    <n v="0"/>
    <n v="0"/>
    <n v="21.8"/>
    <n v="0"/>
    <n v="43.6"/>
    <n v="13.92"/>
    <n v="0"/>
    <n v="13.92"/>
    <n v="16.239999999999998"/>
    <n v="0"/>
    <n v="0"/>
    <n v="109.48"/>
    <n v="0"/>
  </r>
  <r>
    <x v="0"/>
    <x v="1"/>
    <x v="0"/>
    <s v="2553200"/>
    <n v="749532"/>
    <s v="Travel-Physician"/>
    <s v="ENT Clinic-ENT"/>
    <x v="0"/>
    <m/>
    <n v="0"/>
    <n v="0"/>
    <n v="0"/>
    <n v="0"/>
    <n v="0"/>
    <n v="0"/>
    <n v="0"/>
    <n v="0"/>
    <n v="2959.67"/>
    <n v="0"/>
    <n v="0"/>
    <n v="0"/>
    <n v="2959.67"/>
    <n v="0"/>
  </r>
  <r>
    <x v="0"/>
    <x v="1"/>
    <x v="0"/>
    <s v="2553200"/>
    <n v="749533"/>
    <s v="Travel-Advanced Practice Clinician"/>
    <s v="ENT Clinic-ENT"/>
    <x v="0"/>
    <m/>
    <n v="0"/>
    <n v="0"/>
    <n v="0"/>
    <n v="0"/>
    <n v="1237.2"/>
    <n v="0"/>
    <n v="0"/>
    <n v="0"/>
    <n v="0"/>
    <n v="1350"/>
    <n v="0"/>
    <n v="0"/>
    <n v="2587.1999999999998"/>
    <n v="0"/>
  </r>
  <r>
    <x v="0"/>
    <x v="1"/>
    <x v="0"/>
    <s v="2553200"/>
    <n v="749535"/>
    <s v="Medicare Non-Allowable Beverages"/>
    <s v="ENT Clinic-ENT"/>
    <x v="0"/>
    <n v="1005"/>
    <n v="0"/>
    <n v="0"/>
    <n v="0"/>
    <n v="0"/>
    <n v="0"/>
    <n v="0"/>
    <n v="0"/>
    <n v="0"/>
    <n v="40.33"/>
    <n v="0"/>
    <n v="0"/>
    <n v="0"/>
    <n v="40.33"/>
    <n v="0"/>
  </r>
  <r>
    <x v="0"/>
    <x v="1"/>
    <x v="0"/>
    <s v="2553200"/>
    <n v="749591"/>
    <s v="Other Expense-Intracompany Allocation"/>
    <s v="ENT Clinic-ENT"/>
    <x v="0"/>
    <m/>
    <n v="32553.93"/>
    <n v="28706.52"/>
    <n v="185028.07"/>
    <n v="-118204.52"/>
    <n v="38668.410000000003"/>
    <n v="31730.94"/>
    <n v="37346.019999999997"/>
    <n v="32705.67"/>
    <n v="37433.879999999997"/>
    <n v="41349.56"/>
    <n v="41201.61"/>
    <n v="33718.21"/>
    <n v="422238.30000000005"/>
    <n v="7483.4000000000015"/>
  </r>
  <r>
    <x v="1"/>
    <x v="1"/>
    <x v="0"/>
    <s v="2555200"/>
    <n v="400029"/>
    <s v="MD Practice Other Rev--Medicare"/>
    <s v="Gastroenterology-GI Clinic"/>
    <x v="0"/>
    <n v="1100"/>
    <n v="-2083"/>
    <n v="-1932"/>
    <n v="-2652"/>
    <n v="-3053"/>
    <n v="-2151"/>
    <n v="-2356"/>
    <n v="-2092"/>
    <n v="-2519"/>
    <n v="-2333"/>
    <n v="-2047"/>
    <n v="-2168"/>
    <n v="-2609"/>
    <n v="-27995"/>
    <n v="441"/>
  </r>
  <r>
    <x v="1"/>
    <x v="1"/>
    <x v="0"/>
    <s v="2555200"/>
    <n v="400029"/>
    <s v="MD Practice Other Rev--Medicaid"/>
    <s v="Gastroenterology-GI Clinic"/>
    <x v="0"/>
    <n v="1200"/>
    <n v="-1217"/>
    <n v="-1158"/>
    <n v="-957"/>
    <n v="-1007"/>
    <n v="-1006"/>
    <n v="-670"/>
    <n v="-1133"/>
    <n v="-912"/>
    <n v="-1599"/>
    <n v="-613"/>
    <n v="-884"/>
    <n v="-196"/>
    <n v="-11352"/>
    <n v="-688"/>
  </r>
  <r>
    <x v="1"/>
    <x v="1"/>
    <x v="0"/>
    <s v="2555200"/>
    <n v="400029"/>
    <s v="MD Practice Other Rev--Comm Insurance"/>
    <s v="Gastroenterology-GI Clinic"/>
    <x v="0"/>
    <n v="1300"/>
    <n v="-97"/>
    <n v="0"/>
    <n v="-98"/>
    <n v="0"/>
    <n v="0"/>
    <n v="0"/>
    <n v="0"/>
    <n v="-98"/>
    <n v="-196"/>
    <n v="0"/>
    <n v="-196"/>
    <n v="0"/>
    <n v="-685"/>
    <n v="-196"/>
  </r>
  <r>
    <x v="1"/>
    <x v="1"/>
    <x v="0"/>
    <s v="2555200"/>
    <n v="400029"/>
    <s v="MD Practice Other Rev--BCBS Comm"/>
    <s v="Gastroenterology-GI Clinic"/>
    <x v="0"/>
    <n v="1301"/>
    <n v="-394"/>
    <n v="-294"/>
    <n v="-98"/>
    <n v="-294"/>
    <n v="-196"/>
    <n v="-98"/>
    <n v="-686"/>
    <n v="-470"/>
    <n v="-392"/>
    <n v="-274"/>
    <n v="-294"/>
    <n v="-98"/>
    <n v="-3588"/>
    <n v="-196"/>
  </r>
  <r>
    <x v="1"/>
    <x v="1"/>
    <x v="0"/>
    <s v="2555200"/>
    <n v="400029"/>
    <s v="MD Practice Other Rev--Managed Care"/>
    <s v="Gastroenterology-GI Clinic"/>
    <x v="0"/>
    <n v="1400"/>
    <n v="-1107"/>
    <n v="-1609"/>
    <n v="-961"/>
    <n v="-893"/>
    <n v="-1136"/>
    <n v="-1404"/>
    <n v="-1069"/>
    <n v="-442"/>
    <n v="-2630"/>
    <n v="-1285"/>
    <n v="-1375"/>
    <n v="-1157"/>
    <n v="-15068"/>
    <n v="-218"/>
  </r>
  <r>
    <x v="1"/>
    <x v="1"/>
    <x v="0"/>
    <s v="2555200"/>
    <n v="400029"/>
    <s v="MD Practice Other Rev--Self Pay"/>
    <s v="Gastroenterology-GI Clinic"/>
    <x v="0"/>
    <n v="1500"/>
    <n v="0"/>
    <n v="-154"/>
    <n v="-98"/>
    <n v="98"/>
    <n v="-78"/>
    <n v="0"/>
    <n v="-98"/>
    <n v="0"/>
    <n v="0"/>
    <n v="0"/>
    <n v="-590"/>
    <n v="-196"/>
    <n v="-1116"/>
    <n v="-394"/>
  </r>
  <r>
    <x v="1"/>
    <x v="1"/>
    <x v="0"/>
    <s v="2555200"/>
    <n v="400029"/>
    <s v="MD Practice Other Rev--Other"/>
    <s v="Gastroenterology-GI Clinic"/>
    <x v="0"/>
    <n v="1700"/>
    <n v="-226"/>
    <n v="-98"/>
    <n v="-195"/>
    <n v="-844"/>
    <n v="-98"/>
    <n v="0"/>
    <n v="-98"/>
    <n v="0"/>
    <n v="0"/>
    <n v="-196"/>
    <n v="0"/>
    <n v="98"/>
    <n v="-1657"/>
    <n v="-98"/>
  </r>
  <r>
    <x v="1"/>
    <x v="1"/>
    <x v="0"/>
    <s v="2555200"/>
    <n v="400040"/>
    <s v="Physician Svcs Rev--Medicare"/>
    <s v="Gastroenterology-GI Clinic"/>
    <x v="0"/>
    <n v="1100"/>
    <n v="-898442.93"/>
    <n v="-832813.61"/>
    <n v="-912581.62"/>
    <n v="-1034791.91"/>
    <n v="-882691"/>
    <n v="-953694.65"/>
    <n v="-893360.76"/>
    <n v="-875416.81"/>
    <n v="-1071944.23"/>
    <n v="-1119994.4099999999"/>
    <n v="-1201661.8600000001"/>
    <n v="-1154278.31"/>
    <n v="-11831672.100000001"/>
    <n v="-47383.550000000047"/>
  </r>
  <r>
    <x v="1"/>
    <x v="1"/>
    <x v="0"/>
    <s v="2555200"/>
    <n v="400040"/>
    <s v="Physician Svcs Rev--Medicaid"/>
    <s v="Gastroenterology-GI Clinic"/>
    <x v="0"/>
    <n v="1200"/>
    <n v="-536330"/>
    <n v="-505390.85"/>
    <n v="-534109.19999999995"/>
    <n v="-624992.1"/>
    <n v="-546417.69999999995"/>
    <n v="-602078.4"/>
    <n v="-620747.19999999995"/>
    <n v="-620683.19999999995"/>
    <n v="-754534.66"/>
    <n v="-697805.1"/>
    <n v="-789520.11"/>
    <n v="-688425.4"/>
    <n v="-7521033.9199999999"/>
    <n v="-101094.70999999996"/>
  </r>
  <r>
    <x v="1"/>
    <x v="1"/>
    <x v="0"/>
    <s v="2555200"/>
    <n v="400040"/>
    <s v="Physician Svcs Rev--Comm Insurance"/>
    <s v="Gastroenterology-GI Clinic"/>
    <x v="0"/>
    <n v="1300"/>
    <n v="-84605"/>
    <n v="-80940"/>
    <n v="-96128"/>
    <n v="-82380"/>
    <n v="-89236.5"/>
    <n v="-74343"/>
    <n v="-95820"/>
    <n v="-39322.400000000001"/>
    <n v="-95493.6"/>
    <n v="-126271"/>
    <n v="-109914"/>
    <n v="-105620"/>
    <n v="-1080073.5"/>
    <n v="-4294"/>
  </r>
  <r>
    <x v="1"/>
    <x v="1"/>
    <x v="0"/>
    <s v="2555200"/>
    <n v="400040"/>
    <s v="Physician Svcs Rev--BCBS Comm"/>
    <s v="Gastroenterology-GI Clinic"/>
    <x v="0"/>
    <n v="1301"/>
    <n v="-146639"/>
    <n v="-139190.20000000001"/>
    <n v="-167000"/>
    <n v="-202426.8"/>
    <n v="-132298.15"/>
    <n v="-225303.9"/>
    <n v="-211472.6"/>
    <n v="-196828"/>
    <n v="-189061.5"/>
    <n v="-231527.5"/>
    <n v="-202663.2"/>
    <n v="-236339.8"/>
    <n v="-2280750.65"/>
    <n v="33676.599999999977"/>
  </r>
  <r>
    <x v="1"/>
    <x v="1"/>
    <x v="0"/>
    <s v="2555200"/>
    <n v="400040"/>
    <s v="Physician Svcs Rev--Managed Care"/>
    <s v="Gastroenterology-GI Clinic"/>
    <x v="0"/>
    <n v="1400"/>
    <n v="-621799.25"/>
    <n v="-700237.3"/>
    <n v="-737032.4"/>
    <n v="-769563.61"/>
    <n v="-747668.6"/>
    <n v="-779562.95"/>
    <n v="-832361.8"/>
    <n v="-658844.4"/>
    <n v="-884503.92"/>
    <n v="-874506.45"/>
    <n v="-923419.1"/>
    <n v="-800938.3"/>
    <n v="-9330438.0800000019"/>
    <n v="-122480.79999999993"/>
  </r>
  <r>
    <x v="1"/>
    <x v="1"/>
    <x v="0"/>
    <s v="2555200"/>
    <n v="400040"/>
    <s v="Physician Svcs Rev--Self Pay"/>
    <s v="Gastroenterology-GI Clinic"/>
    <x v="0"/>
    <n v="1500"/>
    <n v="-29262.2"/>
    <n v="-33522.800000000003"/>
    <n v="-35300"/>
    <n v="-26687"/>
    <n v="-28230"/>
    <n v="-23869"/>
    <n v="-44320"/>
    <n v="-24533"/>
    <n v="-25866"/>
    <n v="-25024.45"/>
    <n v="-60675"/>
    <n v="-39536"/>
    <n v="-396825.45"/>
    <n v="-21139"/>
  </r>
  <r>
    <x v="1"/>
    <x v="1"/>
    <x v="0"/>
    <s v="2555200"/>
    <n v="400040"/>
    <s v="Physician Svcs Rev--Other"/>
    <s v="Gastroenterology-GI Clinic"/>
    <x v="0"/>
    <n v="1700"/>
    <n v="-108554.75"/>
    <n v="-93266.4"/>
    <n v="-132008.20000000001"/>
    <n v="-112425.8"/>
    <n v="-96046.8"/>
    <n v="-104736"/>
    <n v="-123368.2"/>
    <n v="-102754.7"/>
    <n v="-112947"/>
    <n v="-135238.39999999999"/>
    <n v="-118932.8"/>
    <n v="-120539.2"/>
    <n v="-1360818.2499999998"/>
    <n v="1606.3999999999942"/>
  </r>
  <r>
    <x v="2"/>
    <x v="1"/>
    <x v="0"/>
    <s v="2555200"/>
    <n v="450029"/>
    <s v="Contr Allow--MD Other-Medicare"/>
    <s v="Gastroenterology-GI Clinic"/>
    <x v="0"/>
    <n v="1100"/>
    <n v="1662.09"/>
    <n v="1074.6099999999999"/>
    <n v="1431.38"/>
    <n v="1889.72"/>
    <n v="1602.7"/>
    <n v="1446.64"/>
    <n v="1722.12"/>
    <n v="992.36"/>
    <n v="1365.31"/>
    <n v="1637.81"/>
    <n v="1157.1199999999999"/>
    <n v="1218.3900000000001"/>
    <n v="17200.249999999996"/>
    <n v="-61.270000000000209"/>
  </r>
  <r>
    <x v="2"/>
    <x v="1"/>
    <x v="0"/>
    <s v="2555200"/>
    <n v="450029"/>
    <s v="Contr Allow--MD Other-Medicaid"/>
    <s v="Gastroenterology-GI Clinic"/>
    <x v="0"/>
    <n v="1200"/>
    <n v="750.19"/>
    <n v="1113.2"/>
    <n v="328.38"/>
    <n v="1226.8399999999999"/>
    <n v="478.14"/>
    <n v="512.58000000000004"/>
    <n v="972"/>
    <n v="557.82000000000005"/>
    <n v="1302.5"/>
    <n v="780.94"/>
    <n v="450.63"/>
    <n v="618.29999999999995"/>
    <n v="9091.5199999999986"/>
    <n v="-167.66999999999996"/>
  </r>
  <r>
    <x v="2"/>
    <x v="1"/>
    <x v="0"/>
    <s v="2555200"/>
    <n v="450029"/>
    <s v="Contr Allow--MD Other-Comm Insurance"/>
    <s v="Gastroenterology-GI Clinic"/>
    <x v="0"/>
    <n v="1300"/>
    <n v="0"/>
    <n v="0"/>
    <n v="0"/>
    <n v="0"/>
    <n v="31.04"/>
    <n v="0"/>
    <n v="0"/>
    <n v="32.53"/>
    <n v="30.27"/>
    <n v="38.78"/>
    <n v="0"/>
    <n v="-7.35"/>
    <n v="125.27000000000001"/>
    <n v="7.35"/>
  </r>
  <r>
    <x v="2"/>
    <x v="1"/>
    <x v="0"/>
    <s v="2555200"/>
    <n v="450029"/>
    <s v="Contr Allow--MD Other BCBS Comm"/>
    <s v="Gastroenterology-GI Clinic"/>
    <x v="0"/>
    <n v="1301"/>
    <n v="80.12"/>
    <n v="133.19999999999999"/>
    <n v="52.08"/>
    <n v="100.56"/>
    <n v="23.74"/>
    <n v="47.48"/>
    <n v="47.48"/>
    <n v="71.22"/>
    <n v="114.14"/>
    <n v="85.61"/>
    <n v="104.21"/>
    <n v="94.96"/>
    <n v="954.80000000000007"/>
    <n v="9.25"/>
  </r>
  <r>
    <x v="2"/>
    <x v="1"/>
    <x v="0"/>
    <s v="2555200"/>
    <n v="450029"/>
    <s v="Contr Allow--MD Other-Managed Care"/>
    <s v="Gastroenterology-GI Clinic"/>
    <x v="0"/>
    <n v="1400"/>
    <n v="579.9"/>
    <n v="940.37"/>
    <n v="471.15"/>
    <n v="831.64"/>
    <n v="511.68"/>
    <n v="432.8"/>
    <n v="282.52"/>
    <n v="191.74"/>
    <n v="722.77"/>
    <n v="394.46"/>
    <n v="668.03"/>
    <n v="380.9"/>
    <n v="6407.9599999999991"/>
    <n v="287.13"/>
  </r>
  <r>
    <x v="2"/>
    <x v="1"/>
    <x v="0"/>
    <s v="2555200"/>
    <n v="450029"/>
    <s v="Admin Adjust-MD Other-Self Pay"/>
    <s v="Gastroenterology-GI Clinic"/>
    <x v="0"/>
    <n v="1600"/>
    <n v="0.02"/>
    <n v="67.459999999999994"/>
    <n v="65.94"/>
    <n v="-29.65"/>
    <n v="28.86"/>
    <n v="-7.26"/>
    <n v="36.26"/>
    <n v="0"/>
    <n v="0"/>
    <n v="0.24"/>
    <n v="231.59"/>
    <n v="72.52"/>
    <n v="465.98"/>
    <n v="159.07"/>
  </r>
  <r>
    <x v="2"/>
    <x v="1"/>
    <x v="0"/>
    <s v="2555200"/>
    <n v="450029"/>
    <s v="Contr Allow--MD Other-Other"/>
    <s v="Gastroenterology-GI Clinic"/>
    <x v="0"/>
    <n v="1700"/>
    <n v="0"/>
    <n v="67.7"/>
    <n v="119.08"/>
    <n v="655.16999999999996"/>
    <n v="0"/>
    <n v="0"/>
    <n v="0"/>
    <n v="59.64"/>
    <n v="0"/>
    <n v="122.31"/>
    <n v="0"/>
    <n v="61.67"/>
    <n v="1085.57"/>
    <n v="-61.67"/>
  </r>
  <r>
    <x v="2"/>
    <x v="1"/>
    <x v="0"/>
    <s v="2555200"/>
    <n v="450040"/>
    <s v="Contr Allow--Phys Svcs--Mcare"/>
    <s v="Gastroenterology-GI Clinic"/>
    <x v="0"/>
    <n v="1100"/>
    <n v="620139.51"/>
    <n v="562173.84"/>
    <n v="542883.42000000004"/>
    <n v="713356.01"/>
    <n v="625923.53"/>
    <n v="570209.57999999996"/>
    <n v="622691.76"/>
    <n v="516488.23"/>
    <n v="644157.36"/>
    <n v="713417.22"/>
    <n v="935542.85"/>
    <n v="755103.61"/>
    <n v="7822086.9200000009"/>
    <n v="180439.24"/>
  </r>
  <r>
    <x v="2"/>
    <x v="1"/>
    <x v="0"/>
    <s v="2555200"/>
    <n v="450040"/>
    <s v="Contr Allow--Phys Svcs--Mcaid"/>
    <s v="Gastroenterology-GI Clinic"/>
    <x v="0"/>
    <n v="1200"/>
    <n v="494209.37"/>
    <n v="476521.53"/>
    <n v="355524.94"/>
    <n v="485144.27"/>
    <n v="423482.66"/>
    <n v="456267.47"/>
    <n v="448367.56"/>
    <n v="456500.99"/>
    <n v="554080.17000000004"/>
    <n v="569153.56999999995"/>
    <n v="590149.6"/>
    <n v="500506.05"/>
    <n v="5809908.1799999997"/>
    <n v="89643.549999999988"/>
  </r>
  <r>
    <x v="2"/>
    <x v="1"/>
    <x v="0"/>
    <s v="2555200"/>
    <n v="450040"/>
    <s v="Contr Allow--Phys Svcs--Comm Insurance"/>
    <s v="Gastroenterology-GI Clinic"/>
    <x v="0"/>
    <n v="1300"/>
    <n v="36895.019999999997"/>
    <n v="34819.480000000003"/>
    <n v="34739.86"/>
    <n v="28963.040000000001"/>
    <n v="33415.01"/>
    <n v="27755.759999999998"/>
    <n v="29821.09"/>
    <n v="23014.2"/>
    <n v="32278.52"/>
    <n v="32925.230000000003"/>
    <n v="40931.47"/>
    <n v="45232.36"/>
    <n v="400791.04000000004"/>
    <n v="-4300.8899999999994"/>
  </r>
  <r>
    <x v="2"/>
    <x v="1"/>
    <x v="0"/>
    <s v="2555200"/>
    <n v="450040"/>
    <s v="Contr Allow--Phys Svcs--BCBS Comm Ins"/>
    <s v="Gastroenterology-GI Clinic"/>
    <x v="0"/>
    <n v="1301"/>
    <n v="79119.179999999993"/>
    <n v="71691.11"/>
    <n v="57288.39"/>
    <n v="52611.47"/>
    <n v="68678.399999999994"/>
    <n v="61146.3"/>
    <n v="62773.3"/>
    <n v="68949.78"/>
    <n v="85886.12"/>
    <n v="92067.29"/>
    <n v="74146.28"/>
    <n v="85548.21"/>
    <n v="859905.83"/>
    <n v="-11401.930000000008"/>
  </r>
  <r>
    <x v="2"/>
    <x v="1"/>
    <x v="0"/>
    <s v="2555200"/>
    <n v="450040"/>
    <s v="Contr Allow--Phys Svcs--Managed Care"/>
    <s v="Gastroenterology-GI Clinic"/>
    <x v="0"/>
    <n v="1400"/>
    <n v="276644.2"/>
    <n v="340637.55"/>
    <n v="195728.64000000001"/>
    <n v="325064.93"/>
    <n v="329774.82"/>
    <n v="355160.34"/>
    <n v="321889.42"/>
    <n v="258220.27"/>
    <n v="345180.34"/>
    <n v="308289.59999999998"/>
    <n v="388525.43"/>
    <n v="334260.46999999997"/>
    <n v="3779376.0100000007"/>
    <n v="54264.960000000021"/>
  </r>
  <r>
    <x v="2"/>
    <x v="1"/>
    <x v="0"/>
    <s v="2555200"/>
    <n v="450040"/>
    <s v="Contr Allow--Phys Svcs--BCBS Mgnd Care"/>
    <s v="Gastroenterology-GI Clinic"/>
    <x v="0"/>
    <n v="1401"/>
    <n v="-155484.22"/>
    <n v="-184274.43"/>
    <n v="231554.85"/>
    <n v="-9458.51"/>
    <n v="-101281.59"/>
    <n v="108557.53"/>
    <n v="121614.41"/>
    <n v="102360.48"/>
    <n v="50483.99"/>
    <n v="73911.740000000005"/>
    <n v="-61141.93"/>
    <n v="51096.88"/>
    <n v="227939.20000000001"/>
    <n v="-112238.81"/>
  </r>
  <r>
    <x v="2"/>
    <x v="1"/>
    <x v="0"/>
    <s v="2555200"/>
    <n v="450040"/>
    <s v="Prompt Pay Disc-Phys Svcs-Self Pay"/>
    <s v="Gastroenterology-GI Clinic"/>
    <x v="0"/>
    <n v="1500"/>
    <n v="0"/>
    <n v="424.36"/>
    <n v="0"/>
    <n v="53.36"/>
    <n v="0"/>
    <n v="0"/>
    <n v="135.88999999999999"/>
    <n v="0"/>
    <n v="0"/>
    <n v="348.73"/>
    <n v="125.37"/>
    <n v="1148.3399999999999"/>
    <n v="2236.0500000000002"/>
    <n v="-1022.9699999999999"/>
  </r>
  <r>
    <x v="2"/>
    <x v="1"/>
    <x v="0"/>
    <s v="2555200"/>
    <n v="450040"/>
    <s v="Admin Adjust-Phys Svcs-Self Pay"/>
    <s v="Gastroenterology-GI Clinic"/>
    <x v="0"/>
    <n v="1600"/>
    <n v="13276.83"/>
    <n v="17197.72"/>
    <n v="26890.48"/>
    <n v="13615.81"/>
    <n v="13712.89"/>
    <n v="8618.35"/>
    <n v="22291.99"/>
    <n v="8807.9500000000007"/>
    <n v="13076.97"/>
    <n v="10358.56"/>
    <n v="26606.65"/>
    <n v="15475.98"/>
    <n v="189930.18"/>
    <n v="11130.670000000002"/>
  </r>
  <r>
    <x v="2"/>
    <x v="1"/>
    <x v="0"/>
    <s v="2555200"/>
    <n v="450040"/>
    <s v="Contr Allow--Phys Svcs--Other"/>
    <s v="Gastroenterology-GI Clinic"/>
    <x v="0"/>
    <n v="1700"/>
    <n v="64086.36"/>
    <n v="84831.69"/>
    <n v="60808.28"/>
    <n v="62398.46"/>
    <n v="56388.28"/>
    <n v="49641.59"/>
    <n v="66003.820000000007"/>
    <n v="61782.93"/>
    <n v="71702.48"/>
    <n v="96066.64"/>
    <n v="99290.36"/>
    <n v="68414.78"/>
    <n v="841415.66999999993"/>
    <n v="30875.58"/>
  </r>
  <r>
    <x v="3"/>
    <x v="1"/>
    <x v="0"/>
    <s v="2555200"/>
    <n v="470040"/>
    <s v="Charity Care-Physician Svcs"/>
    <s v="Gastroenterology-GI Clinic"/>
    <x v="0"/>
    <m/>
    <n v="9020.98"/>
    <n v="23360.25"/>
    <n v="20482.79"/>
    <n v="18123.91"/>
    <n v="11778.76"/>
    <n v="9259"/>
    <n v="27656.26"/>
    <n v="19252.59"/>
    <n v="103478.87"/>
    <n v="29924.15"/>
    <n v="12933.13"/>
    <n v="82450.31"/>
    <n v="367721"/>
    <n v="-69517.179999999993"/>
  </r>
  <r>
    <x v="4"/>
    <x v="1"/>
    <x v="0"/>
    <s v="2555200"/>
    <n v="490010"/>
    <s v="Provision for Bad Debts"/>
    <s v="Gastroenterology-GI Clinic"/>
    <x v="0"/>
    <m/>
    <n v="-2058.39"/>
    <n v="-3019.93"/>
    <n v="76231.520000000004"/>
    <n v="15910.06"/>
    <n v="54657.15"/>
    <n v="20317.21"/>
    <n v="6047.9"/>
    <n v="7239.78"/>
    <n v="27496.3"/>
    <n v="12478.84"/>
    <n v="2867.94"/>
    <n v="5976.59"/>
    <n v="224144.96999999997"/>
    <n v="-3108.65"/>
  </r>
  <r>
    <x v="14"/>
    <x v="1"/>
    <x v="0"/>
    <s v="2555200"/>
    <n v="600050"/>
    <s v="Miscellaneous Revenue"/>
    <s v="Gastroenterology-GI Clinic"/>
    <x v="0"/>
    <m/>
    <n v="-2380"/>
    <n v="-2240"/>
    <n v="-2380"/>
    <n v="-2380"/>
    <n v="0"/>
    <n v="-3220"/>
    <n v="-2660"/>
    <n v="-2940"/>
    <n v="-2800"/>
    <n v="-2800"/>
    <n v="-2800"/>
    <n v="-3500"/>
    <n v="-30100"/>
    <n v="700"/>
  </r>
  <r>
    <x v="5"/>
    <x v="1"/>
    <x v="0"/>
    <s v="2555200"/>
    <n v="700018"/>
    <s v="Salaries-Supervisory-Productive"/>
    <s v="Gastroenterology-GI Clinic"/>
    <x v="0"/>
    <m/>
    <n v="10092.799999999999"/>
    <n v="11522.06"/>
    <n v="10520.51"/>
    <n v="12693.03"/>
    <n v="8699.3799999999992"/>
    <n v="8315.7900000000009"/>
    <n v="11754.71"/>
    <n v="9649.84"/>
    <n v="12144.26"/>
    <n v="12109.37"/>
    <n v="11243.87"/>
    <n v="8607.4699999999993"/>
    <n v="127353.08999999998"/>
    <n v="2636.4000000000015"/>
  </r>
  <r>
    <x v="5"/>
    <x v="1"/>
    <x v="0"/>
    <s v="2555200"/>
    <n v="700020"/>
    <s v="Salaries-Physician Admin-Other"/>
    <s v="Gastroenterology-GI Clinic"/>
    <x v="0"/>
    <n v="2000"/>
    <n v="2380"/>
    <n v="2240"/>
    <n v="2380"/>
    <n v="2380"/>
    <n v="0"/>
    <n v="3220"/>
    <n v="2660"/>
    <n v="2940"/>
    <n v="2800"/>
    <n v="2800"/>
    <n v="2800"/>
    <n v="3500"/>
    <n v="30100"/>
    <n v="-700"/>
  </r>
  <r>
    <x v="5"/>
    <x v="1"/>
    <x v="0"/>
    <s v="2555200"/>
    <n v="700022"/>
    <s v="Salaries-Physician-Productive"/>
    <s v="Gastroenterology-GI Clinic"/>
    <x v="0"/>
    <m/>
    <n v="704680.69"/>
    <n v="621845.65"/>
    <n v="684740.56"/>
    <n v="840411.16"/>
    <n v="810218.17"/>
    <n v="645956.30000000005"/>
    <n v="765057.25"/>
    <n v="756005.97"/>
    <n v="837212"/>
    <n v="742126.44"/>
    <n v="942587.49"/>
    <n v="722673.06"/>
    <n v="9073514.7400000002"/>
    <n v="219914.42999999993"/>
  </r>
  <r>
    <x v="5"/>
    <x v="1"/>
    <x v="0"/>
    <s v="2555200"/>
    <n v="700022"/>
    <s v="Salaries-Physician-Other"/>
    <s v="Gastroenterology-GI Clinic"/>
    <x v="0"/>
    <n v="2000"/>
    <n v="6295.92"/>
    <n v="0"/>
    <n v="0"/>
    <n v="6613.52"/>
    <n v="0"/>
    <n v="0"/>
    <n v="0"/>
    <n v="0"/>
    <n v="0"/>
    <n v="-512.16"/>
    <n v="-5256.32"/>
    <n v="-19884.48"/>
    <n v="-12743.519999999999"/>
    <n v="14628.16"/>
  </r>
  <r>
    <x v="5"/>
    <x v="1"/>
    <x v="0"/>
    <s v="2555200"/>
    <n v="700022"/>
    <s v="Salaries-Physician-Provider Incentive"/>
    <s v="Gastroenterology-GI Clinic"/>
    <x v="0"/>
    <n v="4003"/>
    <n v="0"/>
    <n v="2000"/>
    <n v="0"/>
    <n v="0"/>
    <n v="500"/>
    <n v="0"/>
    <n v="0"/>
    <n v="500.73"/>
    <n v="0"/>
    <n v="0"/>
    <n v="0"/>
    <n v="0"/>
    <n v="3000.73"/>
    <n v="0"/>
  </r>
  <r>
    <x v="5"/>
    <x v="1"/>
    <x v="0"/>
    <s v="2555200"/>
    <n v="700022"/>
    <s v="Salaries-Physician-Recruitment Bonus"/>
    <s v="Gastroenterology-GI Clinic"/>
    <x v="0"/>
    <n v="4005"/>
    <n v="-1164.3800000000001"/>
    <n v="0"/>
    <n v="0"/>
    <n v="0"/>
    <n v="0"/>
    <n v="0"/>
    <n v="0"/>
    <n v="0"/>
    <n v="0"/>
    <n v="0"/>
    <n v="0"/>
    <n v="0"/>
    <n v="-1164.3800000000001"/>
    <n v="0"/>
  </r>
  <r>
    <x v="5"/>
    <x v="1"/>
    <x v="0"/>
    <s v="2555200"/>
    <n v="700024"/>
    <s v="Salaries-Advanced Practice Clinician-Productive"/>
    <s v="Gastroenterology-GI Clinic"/>
    <x v="0"/>
    <m/>
    <n v="29929.84"/>
    <n v="31327.47"/>
    <n v="24747.62"/>
    <n v="22815.41"/>
    <n v="36050.06"/>
    <n v="29856.3"/>
    <n v="51040.67"/>
    <n v="48775.43"/>
    <n v="55639.27"/>
    <n v="52877.99"/>
    <n v="54707.66"/>
    <n v="40477.58"/>
    <n v="478245.3"/>
    <n v="14230.080000000002"/>
  </r>
  <r>
    <x v="5"/>
    <x v="1"/>
    <x v="0"/>
    <s v="2555200"/>
    <n v="700024"/>
    <s v="Salaries-Advanced Practice Clinician-Provider Incentive"/>
    <s v="Gastroenterology-GI Clinic"/>
    <x v="0"/>
    <n v="4003"/>
    <n v="0"/>
    <n v="1000"/>
    <n v="0"/>
    <n v="0"/>
    <n v="0"/>
    <n v="0"/>
    <n v="0"/>
    <n v="0"/>
    <n v="0"/>
    <n v="0"/>
    <n v="0"/>
    <n v="0"/>
    <n v="1000"/>
    <n v="0"/>
  </r>
  <r>
    <x v="5"/>
    <x v="1"/>
    <x v="0"/>
    <s v="2555200"/>
    <n v="700026"/>
    <s v="Salaries-RN-Productive"/>
    <s v="Gastroenterology-GI Clinic"/>
    <x v="0"/>
    <m/>
    <n v="28243.18"/>
    <n v="37738.17"/>
    <n v="36311.82"/>
    <n v="44578.45"/>
    <n v="47447.98"/>
    <n v="37433.47"/>
    <n v="42430.64"/>
    <n v="44134.97"/>
    <n v="48677.81"/>
    <n v="44920.25"/>
    <n v="44102.03"/>
    <n v="38772.83"/>
    <n v="494791.60000000003"/>
    <n v="5329.1999999999971"/>
  </r>
  <r>
    <x v="5"/>
    <x v="1"/>
    <x v="0"/>
    <s v="2555200"/>
    <n v="700026"/>
    <s v="Salaries-RN-OT"/>
    <s v="Gastroenterology-GI Clinic"/>
    <x v="0"/>
    <n v="1000"/>
    <n v="2196.37"/>
    <n v="2262.88"/>
    <n v="1998.74"/>
    <n v="617.09"/>
    <n v="1758.29"/>
    <n v="3385.92"/>
    <n v="4588.4399999999996"/>
    <n v="469.81"/>
    <n v="2631.94"/>
    <n v="1266.8900000000001"/>
    <n v="2333.2199999999998"/>
    <n v="2431.71"/>
    <n v="25941.3"/>
    <n v="-98.490000000000236"/>
  </r>
  <r>
    <x v="5"/>
    <x v="1"/>
    <x v="0"/>
    <s v="2555200"/>
    <n v="700026"/>
    <s v="Salaries-RN-Other"/>
    <s v="Gastroenterology-GI Clinic"/>
    <x v="0"/>
    <n v="2000"/>
    <n v="17.75"/>
    <n v="25.62"/>
    <n v="12.88"/>
    <n v="-2.5"/>
    <n v="0"/>
    <n v="26.25"/>
    <n v="0"/>
    <n v="27.34"/>
    <n v="6.82"/>
    <n v="8.15"/>
    <n v="0"/>
    <n v="19.53"/>
    <n v="141.84"/>
    <n v="-19.53"/>
  </r>
  <r>
    <x v="5"/>
    <x v="1"/>
    <x v="0"/>
    <s v="2555200"/>
    <n v="700030"/>
    <s v="Salaries-LPN-Productive"/>
    <s v="Gastroenterology-GI Clinic"/>
    <x v="0"/>
    <m/>
    <n v="24515.18"/>
    <n v="24753.11"/>
    <n v="37056.06"/>
    <n v="42825.47"/>
    <n v="36677.68"/>
    <n v="27701.23"/>
    <n v="32926.519999999997"/>
    <n v="34099.58"/>
    <n v="39875.089999999997"/>
    <n v="39673.47"/>
    <n v="43102.28"/>
    <n v="32405.61"/>
    <n v="415611.28"/>
    <n v="10696.669999999998"/>
  </r>
  <r>
    <x v="5"/>
    <x v="1"/>
    <x v="0"/>
    <s v="2555200"/>
    <n v="700030"/>
    <s v="Salaries-LPN-OT"/>
    <s v="Gastroenterology-GI Clinic"/>
    <x v="0"/>
    <n v="1000"/>
    <n v="1500.89"/>
    <n v="232.06"/>
    <n v="2247.4299999999998"/>
    <n v="294.5"/>
    <n v="1261.72"/>
    <n v="203.12"/>
    <n v="1333.31"/>
    <n v="271.3"/>
    <n v="1732.59"/>
    <n v="794.86"/>
    <n v="1407.83"/>
    <n v="867.06"/>
    <n v="12146.67"/>
    <n v="540.77"/>
  </r>
  <r>
    <x v="5"/>
    <x v="1"/>
    <x v="0"/>
    <s v="2555200"/>
    <n v="700030"/>
    <s v="Salaries-LPN-Other"/>
    <s v="Gastroenterology-GI Clinic"/>
    <x v="0"/>
    <n v="2000"/>
    <n v="10.5"/>
    <n v="3.5"/>
    <n v="103.12"/>
    <n v="-2.12"/>
    <n v="0"/>
    <n v="0"/>
    <n v="0"/>
    <n v="39.15"/>
    <n v="30.43"/>
    <n v="-4.75"/>
    <n v="0"/>
    <n v="14.53"/>
    <n v="194.36"/>
    <n v="-14.53"/>
  </r>
  <r>
    <x v="5"/>
    <x v="1"/>
    <x v="0"/>
    <s v="2555200"/>
    <n v="700032"/>
    <s v="Salaries-Other Pat Care Providers-Productive"/>
    <s v="Gastroenterology-GI Clinic"/>
    <x v="0"/>
    <m/>
    <n v="29907.23"/>
    <n v="27514.560000000001"/>
    <n v="22271.65"/>
    <n v="27602.51"/>
    <n v="25960.02"/>
    <n v="20098.34"/>
    <n v="20786.990000000002"/>
    <n v="18474.02"/>
    <n v="29185.16"/>
    <n v="25416.13"/>
    <n v="28423.66"/>
    <n v="24884.13"/>
    <n v="300524.39999999997"/>
    <n v="3539.5299999999988"/>
  </r>
  <r>
    <x v="5"/>
    <x v="1"/>
    <x v="0"/>
    <s v="2555200"/>
    <n v="700032"/>
    <s v="Salaries-Other Pat Care Providers-OT"/>
    <s v="Gastroenterology-GI Clinic"/>
    <x v="0"/>
    <n v="1000"/>
    <n v="338.83"/>
    <n v="253.97"/>
    <n v="311.87"/>
    <n v="487.4"/>
    <n v="86.19"/>
    <n v="316.01"/>
    <n v="66.430000000000007"/>
    <n v="59.93"/>
    <n v="492.12"/>
    <n v="972.12"/>
    <n v="276.44"/>
    <n v="236.35"/>
    <n v="3897.66"/>
    <n v="40.090000000000003"/>
  </r>
  <r>
    <x v="5"/>
    <x v="1"/>
    <x v="0"/>
    <s v="2555200"/>
    <n v="700032"/>
    <s v="Salaries-Other Pat Care Providers-Other"/>
    <s v="Gastroenterology-GI Clinic"/>
    <x v="0"/>
    <n v="2000"/>
    <n v="0"/>
    <n v="55.5"/>
    <n v="161.41999999999999"/>
    <n v="0"/>
    <n v="0"/>
    <n v="7.75"/>
    <n v="14.09"/>
    <n v="5.0999999999999996"/>
    <n v="28.9"/>
    <n v="5.27"/>
    <n v="5.26"/>
    <n v="30.04"/>
    <n v="313.33"/>
    <n v="-24.78"/>
  </r>
  <r>
    <x v="5"/>
    <x v="1"/>
    <x v="0"/>
    <s v="2555200"/>
    <n v="700054"/>
    <s v="Salaries-Management-NonProd-Other"/>
    <s v="Gastroenterology-GI Clinic"/>
    <x v="0"/>
    <n v="2000"/>
    <n v="0"/>
    <n v="0"/>
    <n v="0"/>
    <n v="0"/>
    <n v="0"/>
    <n v="3509.43"/>
    <n v="-3509.43"/>
    <n v="0"/>
    <n v="0"/>
    <n v="0"/>
    <n v="0"/>
    <n v="0"/>
    <n v="0"/>
    <n v="0"/>
  </r>
  <r>
    <x v="5"/>
    <x v="1"/>
    <x v="0"/>
    <s v="2555200"/>
    <n v="700058"/>
    <s v="Salaries-Supervisory-Non-productive"/>
    <s v="Gastroenterology-GI Clinic"/>
    <x v="0"/>
    <m/>
    <n v="2028.32"/>
    <n v="1150.02"/>
    <n v="498.69"/>
    <n v="308.8"/>
    <n v="3824.79"/>
    <n v="3639.08"/>
    <n v="1358.78"/>
    <n v="1752.49"/>
    <n v="-171.81"/>
    <n v="433.15"/>
    <n v="1868.83"/>
    <n v="2794.85"/>
    <n v="19485.989999999998"/>
    <n v="-926.02"/>
  </r>
  <r>
    <x v="5"/>
    <x v="1"/>
    <x v="0"/>
    <s v="2555200"/>
    <n v="700058"/>
    <s v="Salaries-Supervisory-NonProd-Other"/>
    <s v="Gastroenterology-GI Clinic"/>
    <x v="0"/>
    <n v="2000"/>
    <n v="0"/>
    <n v="0"/>
    <n v="0"/>
    <n v="0"/>
    <n v="404.49"/>
    <n v="0"/>
    <n v="0"/>
    <n v="-404.49"/>
    <n v="0"/>
    <n v="0"/>
    <n v="0"/>
    <n v="0"/>
    <n v="0"/>
    <n v="0"/>
  </r>
  <r>
    <x v="5"/>
    <x v="1"/>
    <x v="0"/>
    <s v="2555200"/>
    <n v="700062"/>
    <s v="Salaries-Physician-Non-productive"/>
    <s v="Gastroenterology-GI Clinic"/>
    <x v="0"/>
    <m/>
    <n v="123983.49"/>
    <n v="215078.34"/>
    <n v="70659.27"/>
    <n v="44449.71"/>
    <n v="35095.760000000002"/>
    <n v="217025.71"/>
    <n v="113325.46"/>
    <n v="76868.87"/>
    <n v="25371.279999999999"/>
    <n v="157012.6"/>
    <n v="7582.01"/>
    <n v="144929.22"/>
    <n v="1231381.72"/>
    <n v="-137347.21"/>
  </r>
  <r>
    <x v="5"/>
    <x v="1"/>
    <x v="0"/>
    <s v="2555200"/>
    <n v="700062"/>
    <s v="Salaries-Physician-NonProd-Other"/>
    <s v="Gastroenterology-GI Clinic"/>
    <x v="0"/>
    <n v="2000"/>
    <n v="0"/>
    <n v="0"/>
    <n v="0"/>
    <n v="0"/>
    <n v="1051.5999999999999"/>
    <n v="404.93"/>
    <n v="0"/>
    <n v="-663.5"/>
    <n v="0"/>
    <n v="0"/>
    <n v="0"/>
    <n v="0"/>
    <n v="793.03"/>
    <n v="0"/>
  </r>
  <r>
    <x v="5"/>
    <x v="1"/>
    <x v="0"/>
    <s v="2555200"/>
    <n v="700064"/>
    <s v="Salaries-Advanced Practice Clinician-Non-Productive"/>
    <s v="Gastroenterology-GI Clinic"/>
    <x v="0"/>
    <m/>
    <n v="5820.18"/>
    <n v="6047.61"/>
    <n v="8612.0400000000009"/>
    <n v="15490.63"/>
    <n v="623.74"/>
    <n v="10479.709999999999"/>
    <n v="6261.49"/>
    <n v="5780.16"/>
    <n v="1553.47"/>
    <n v="6928.03"/>
    <n v="7723.75"/>
    <n v="14052.28"/>
    <n v="89373.09"/>
    <n v="-6328.5300000000007"/>
  </r>
  <r>
    <x v="5"/>
    <x v="1"/>
    <x v="0"/>
    <s v="2555200"/>
    <n v="700064"/>
    <s v="Salaries-Advanced Practice Clinician-Non-Prod-Other"/>
    <s v="Gastroenterology-GI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5200"/>
    <n v="700066"/>
    <s v="Salaries-RN-Non-productive"/>
    <s v="Gastroenterology-GI Clinic"/>
    <x v="0"/>
    <m/>
    <n v="10852.43"/>
    <n v="2346.7199999999998"/>
    <n v="3848.66"/>
    <n v="6334.67"/>
    <n v="2226.88"/>
    <n v="11850.49"/>
    <n v="8975.36"/>
    <n v="2222.7800000000002"/>
    <n v="287.07"/>
    <n v="6143.87"/>
    <n v="9353.0400000000009"/>
    <n v="7866.69"/>
    <n v="72308.66"/>
    <n v="1486.3500000000013"/>
  </r>
  <r>
    <x v="5"/>
    <x v="1"/>
    <x v="0"/>
    <s v="2555200"/>
    <n v="700066"/>
    <s v="Salaries-RN-NonProd-Other"/>
    <s v="Gastroenterology-GI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5200"/>
    <n v="700070"/>
    <s v="Salaries-LPN-Non-productive"/>
    <s v="Gastroenterology-GI Clinic"/>
    <x v="0"/>
    <m/>
    <n v="6794.55"/>
    <n v="6748.12"/>
    <n v="2431.4699999999998"/>
    <n v="2984.76"/>
    <n v="2803.48"/>
    <n v="11252.07"/>
    <n v="9153.43"/>
    <n v="5073.43"/>
    <n v="2630.01"/>
    <n v="3953.94"/>
    <n v="2098.8000000000002"/>
    <n v="6508.13"/>
    <n v="62432.19"/>
    <n v="-4409.33"/>
  </r>
  <r>
    <x v="5"/>
    <x v="1"/>
    <x v="0"/>
    <s v="2555200"/>
    <n v="700070"/>
    <s v="Salaries-LPN-NonProd-Other"/>
    <s v="Gastroenterology-GI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5200"/>
    <n v="700072"/>
    <s v="Salaries-Other Pat Care Providers-Non-productive"/>
    <s v="Gastroenterology-GI Clinic"/>
    <x v="0"/>
    <m/>
    <n v="1975.25"/>
    <n v="5712.71"/>
    <n v="3350.84"/>
    <n v="1126.8399999999999"/>
    <n v="1758.13"/>
    <n v="5320.9"/>
    <n v="3910.36"/>
    <n v="3335.43"/>
    <n v="3529.69"/>
    <n v="1705.77"/>
    <n v="1171.97"/>
    <n v="6076.82"/>
    <n v="38974.71"/>
    <n v="-4904.8499999999995"/>
  </r>
  <r>
    <x v="5"/>
    <x v="1"/>
    <x v="0"/>
    <s v="2555200"/>
    <n v="700072"/>
    <s v="Salaries-Other Pat Care Providers-NonProd-Other"/>
    <s v="Gastroenterology-GI Clinic"/>
    <x v="0"/>
    <n v="2000"/>
    <n v="0"/>
    <n v="0"/>
    <n v="0"/>
    <n v="0"/>
    <n v="0"/>
    <n v="0"/>
    <n v="0"/>
    <n v="13.88"/>
    <n v="-3.96"/>
    <n v="0"/>
    <n v="0"/>
    <n v="0"/>
    <n v="9.9200000000000017"/>
    <n v="0"/>
  </r>
  <r>
    <x v="5"/>
    <x v="1"/>
    <x v="0"/>
    <s v="2555200"/>
    <n v="700084"/>
    <s v="Accrued PTO"/>
    <s v="Gastroenterology-GI Clinic"/>
    <x v="0"/>
    <m/>
    <n v="-5480.08"/>
    <n v="-1406.7"/>
    <n v="2400.33"/>
    <n v="8041.34"/>
    <n v="5465.59"/>
    <n v="-11771.02"/>
    <n v="-3660.28"/>
    <n v="1606.02"/>
    <n v="15106.81"/>
    <n v="3198.51"/>
    <n v="1683.6"/>
    <n v="-6500.81"/>
    <n v="8683.3099999999977"/>
    <n v="8184.41"/>
  </r>
  <r>
    <x v="6"/>
    <x v="1"/>
    <x v="0"/>
    <s v="2555200"/>
    <n v="713010"/>
    <s v="Benefits-FICA/Medicare"/>
    <s v="Gastroenterology-GI Clinic"/>
    <x v="0"/>
    <m/>
    <n v="23693"/>
    <n v="23975.51"/>
    <n v="23748.41"/>
    <n v="29452.81"/>
    <n v="27418.76"/>
    <n v="49683.86"/>
    <n v="81328.45"/>
    <n v="76332.179999999993"/>
    <n v="64233.32"/>
    <n v="34620.400000000001"/>
    <n v="32124.26"/>
    <n v="26383.89"/>
    <n v="492994.85000000003"/>
    <n v="5740.369999999999"/>
  </r>
  <r>
    <x v="6"/>
    <x v="1"/>
    <x v="0"/>
    <s v="2555200"/>
    <n v="713090"/>
    <s v="Benefits-Allocated Amounts"/>
    <s v="Gastroenterology-GI Clinic"/>
    <x v="0"/>
    <m/>
    <n v="0"/>
    <n v="0"/>
    <n v="0"/>
    <n v="0"/>
    <n v="0"/>
    <n v="0"/>
    <n v="0"/>
    <n v="0"/>
    <n v="413698.58"/>
    <n v="52067.5"/>
    <n v="51996.15"/>
    <n v="52584.47"/>
    <n v="570346.70000000007"/>
    <n v="-588.31999999999971"/>
  </r>
  <r>
    <x v="6"/>
    <x v="1"/>
    <x v="0"/>
    <s v="2555200"/>
    <n v="713092"/>
    <s v="Allocated Benefits-Physician"/>
    <s v="Gastroenterology-GI Clinic"/>
    <x v="0"/>
    <m/>
    <n v="70317.13"/>
    <n v="61762.26"/>
    <n v="65302.82"/>
    <n v="69691.81"/>
    <n v="68189.820000000007"/>
    <n v="74137.8"/>
    <n v="85976.23"/>
    <n v="84695.8"/>
    <n v="-271941.07"/>
    <n v="38781.11"/>
    <n v="38727.980000000003"/>
    <n v="39166.160000000003"/>
    <n v="424807.85"/>
    <n v="-438.18000000000029"/>
  </r>
  <r>
    <x v="6"/>
    <x v="1"/>
    <x v="0"/>
    <s v="2555200"/>
    <n v="713093"/>
    <s v="Allocated Benefits-Advanced Practice Clinician"/>
    <s v="Gastroenterology-GI Clinic"/>
    <x v="0"/>
    <m/>
    <n v="11111.88"/>
    <n v="9759.99"/>
    <n v="10319.48"/>
    <n v="11013.06"/>
    <n v="10775.71"/>
    <n v="11715.64"/>
    <n v="13586.4"/>
    <n v="13384.07"/>
    <n v="-30887.67"/>
    <n v="7649.5"/>
    <n v="7639.02"/>
    <n v="7725.45"/>
    <n v="83792.529999999984"/>
    <n v="-86.429999999999382"/>
  </r>
  <r>
    <x v="7"/>
    <x v="1"/>
    <x v="0"/>
    <s v="2555200"/>
    <n v="718040"/>
    <s v="Contract Svcs-Laboratory"/>
    <s v="Gastroenterology-GI Clinic"/>
    <x v="0"/>
    <m/>
    <n v="58"/>
    <n v="0"/>
    <n v="0"/>
    <n v="0"/>
    <n v="0"/>
    <n v="0"/>
    <n v="0"/>
    <n v="0"/>
    <n v="43"/>
    <n v="0"/>
    <n v="63"/>
    <n v="0"/>
    <n v="164"/>
    <n v="63"/>
  </r>
  <r>
    <x v="7"/>
    <x v="1"/>
    <x v="0"/>
    <s v="2555200"/>
    <n v="718050"/>
    <s v="Contract Svcs-Other"/>
    <s v="Gastroenterology-GI Clinic"/>
    <x v="0"/>
    <m/>
    <n v="0"/>
    <n v="214.9"/>
    <n v="107.45"/>
    <n v="107.45"/>
    <n v="107.45"/>
    <n v="107.45"/>
    <n v="107.46"/>
    <n v="107.46"/>
    <n v="107.46"/>
    <n v="107.45"/>
    <n v="0"/>
    <n v="107.45"/>
    <n v="1181.9800000000002"/>
    <n v="-107.45"/>
  </r>
  <r>
    <x v="7"/>
    <x v="1"/>
    <x v="0"/>
    <s v="2555200"/>
    <n v="718050"/>
    <s v="Cleaning Services"/>
    <s v="Gastroenterology-GI Clinic"/>
    <x v="0"/>
    <n v="1011"/>
    <n v="0"/>
    <n v="0"/>
    <n v="0"/>
    <n v="0"/>
    <n v="0"/>
    <n v="0"/>
    <n v="0"/>
    <n v="1730"/>
    <n v="0"/>
    <n v="0"/>
    <n v="0"/>
    <n v="0"/>
    <n v="1730"/>
    <n v="0"/>
  </r>
  <r>
    <x v="7"/>
    <x v="1"/>
    <x v="0"/>
    <s v="2555200"/>
    <n v="718050"/>
    <s v="Miscellaneous Purchased Svcs"/>
    <s v="Gastroenterology-GI Clinic"/>
    <x v="0"/>
    <n v="1020"/>
    <n v="233.68"/>
    <n v="-250.32"/>
    <n v="248.36"/>
    <n v="176.96"/>
    <n v="364.59"/>
    <n v="189.13"/>
    <n v="248.51"/>
    <n v="228.11"/>
    <n v="316.8"/>
    <n v="20.7"/>
    <n v="409.95"/>
    <n v="267.52"/>
    <n v="2453.9899999999998"/>
    <n v="142.43"/>
  </r>
  <r>
    <x v="7"/>
    <x v="1"/>
    <x v="0"/>
    <s v="2555200"/>
    <n v="718050"/>
    <s v="Translation Services"/>
    <s v="Gastroenterology-GI Clinic"/>
    <x v="0"/>
    <n v="1025"/>
    <n v="0"/>
    <n v="0"/>
    <n v="5107.5"/>
    <n v="0"/>
    <n v="0"/>
    <n v="0"/>
    <n v="0"/>
    <n v="0"/>
    <n v="0"/>
    <n v="0"/>
    <n v="0"/>
    <n v="0"/>
    <n v="5107.5"/>
    <n v="0"/>
  </r>
  <r>
    <x v="7"/>
    <x v="1"/>
    <x v="0"/>
    <s v="2555200"/>
    <n v="718050"/>
    <s v="Contract Management--Linen"/>
    <s v="Gastroenterology-GI Clinic"/>
    <x v="0"/>
    <n v="1026"/>
    <n v="313.38"/>
    <n v="1038.1500000000001"/>
    <n v="1776.03"/>
    <n v="756.54"/>
    <n v="490.68"/>
    <n v="546.41999999999996"/>
    <n v="712.82"/>
    <n v="1559.61"/>
    <n v="1165.1500000000001"/>
    <n v="326.43"/>
    <n v="1081.1199999999999"/>
    <n v="496.88"/>
    <n v="10263.210000000001"/>
    <n v="584.2399999999999"/>
  </r>
  <r>
    <x v="7"/>
    <x v="1"/>
    <x v="0"/>
    <s v="2555200"/>
    <n v="718050"/>
    <s v="Purchased Srvcs--Medical Waste"/>
    <s v="Gastroenterology-GI Clinic"/>
    <x v="0"/>
    <n v="1027"/>
    <n v="0"/>
    <n v="72.52"/>
    <n v="0"/>
    <n v="0"/>
    <n v="0"/>
    <n v="0"/>
    <n v="0"/>
    <n v="0"/>
    <n v="0"/>
    <n v="0"/>
    <n v="0"/>
    <n v="0"/>
    <n v="72.52"/>
    <n v="0"/>
  </r>
  <r>
    <x v="11"/>
    <x v="1"/>
    <x v="0"/>
    <s v="2555200"/>
    <n v="721010"/>
    <s v="Supplies-Medical - Billable"/>
    <s v="Gastroenterology-GI Clinic"/>
    <x v="0"/>
    <m/>
    <n v="0"/>
    <n v="0"/>
    <n v="53792.78"/>
    <n v="-53792.78"/>
    <n v="0"/>
    <n v="0"/>
    <n v="0"/>
    <n v="0"/>
    <n v="0"/>
    <n v="0"/>
    <n v="0"/>
    <n v="0"/>
    <n v="0"/>
    <n v="0"/>
  </r>
  <r>
    <x v="11"/>
    <x v="1"/>
    <x v="0"/>
    <s v="2555200"/>
    <n v="721250"/>
    <s v="Supplies-Pharmacy Drugs - Billable"/>
    <s v="Gastroenterology-GI Clinic"/>
    <x v="0"/>
    <m/>
    <n v="46086.78"/>
    <n v="88384.44"/>
    <n v="54420.1"/>
    <n v="100219.78"/>
    <n v="75204.17"/>
    <n v="65123.25"/>
    <n v="80583.3"/>
    <n v="63466.47"/>
    <n v="52007.81"/>
    <n v="43665.53"/>
    <n v="26486.720000000001"/>
    <n v="153279.71"/>
    <n v="848928.05999999982"/>
    <n v="-126792.98999999999"/>
  </r>
  <r>
    <x v="11"/>
    <x v="1"/>
    <x v="0"/>
    <s v="2555200"/>
    <n v="721410"/>
    <s v="Supplies-Medical - Nonbillable"/>
    <s v="Gastroenterology-GI Clinic"/>
    <x v="0"/>
    <m/>
    <n v="1008.14"/>
    <n v="9164.24"/>
    <n v="11956.3"/>
    <n v="4400.67"/>
    <n v="9361.0400000000009"/>
    <n v="9183.23"/>
    <n v="8684.41"/>
    <n v="14215.47"/>
    <n v="6337.54"/>
    <n v="988.77"/>
    <n v="3848.23"/>
    <n v="27393.919999999998"/>
    <n v="106541.95999999999"/>
    <n v="-23545.69"/>
  </r>
  <r>
    <x v="11"/>
    <x v="1"/>
    <x v="0"/>
    <s v="2555200"/>
    <n v="721870"/>
    <s v="Supplies-Environmental Services"/>
    <s v="Gastroenterology-GI Clinic"/>
    <x v="0"/>
    <m/>
    <n v="0"/>
    <n v="18.95"/>
    <n v="0"/>
    <n v="0"/>
    <n v="0"/>
    <n v="0"/>
    <n v="0"/>
    <n v="0"/>
    <n v="0"/>
    <n v="0"/>
    <n v="0"/>
    <n v="0"/>
    <n v="18.95"/>
    <n v="0"/>
  </r>
  <r>
    <x v="11"/>
    <x v="1"/>
    <x v="0"/>
    <s v="2555200"/>
    <n v="722000"/>
    <s v="Supplies-Freight Expense"/>
    <s v="Gastroenterology-GI Clinic"/>
    <x v="0"/>
    <m/>
    <n v="0"/>
    <n v="0"/>
    <n v="26.05"/>
    <n v="53.12"/>
    <n v="0"/>
    <n v="23.66"/>
    <n v="23.66"/>
    <n v="0"/>
    <n v="0"/>
    <n v="30.51"/>
    <n v="0"/>
    <n v="79.86"/>
    <n v="236.86"/>
    <n v="-79.86"/>
  </r>
  <r>
    <x v="0"/>
    <x v="1"/>
    <x v="0"/>
    <s v="2555200"/>
    <n v="740020"/>
    <s v="Education-Registration Fees"/>
    <s v="Gastroenterology-GI Clinic"/>
    <x v="0"/>
    <m/>
    <n v="0"/>
    <n v="0"/>
    <n v="0"/>
    <n v="0"/>
    <n v="0"/>
    <n v="0"/>
    <n v="0"/>
    <n v="0"/>
    <n v="0"/>
    <n v="0"/>
    <n v="0"/>
    <n v="90"/>
    <n v="90"/>
    <n v="-90"/>
  </r>
  <r>
    <x v="0"/>
    <x v="1"/>
    <x v="0"/>
    <s v="2555200"/>
    <n v="740022"/>
    <s v="Education-Physician"/>
    <s v="Gastroenterology-GI Clinic"/>
    <x v="0"/>
    <m/>
    <n v="585"/>
    <n v="0"/>
    <n v="210"/>
    <n v="0"/>
    <n v="0"/>
    <n v="785"/>
    <n v="0"/>
    <n v="350"/>
    <n v="0"/>
    <n v="1290"/>
    <n v="695"/>
    <n v="3176.5"/>
    <n v="7091.5"/>
    <n v="-2481.5"/>
  </r>
  <r>
    <x v="0"/>
    <x v="1"/>
    <x v="0"/>
    <s v="2555200"/>
    <n v="740022"/>
    <s v="Books-Physician"/>
    <s v="Gastroenterology-GI Clinic"/>
    <x v="0"/>
    <n v="2000"/>
    <n v="0"/>
    <n v="0"/>
    <n v="0"/>
    <n v="0"/>
    <n v="0"/>
    <n v="0"/>
    <n v="560"/>
    <n v="198"/>
    <n v="0"/>
    <n v="0"/>
    <n v="0"/>
    <n v="3475.46"/>
    <n v="4233.46"/>
    <n v="-3475.46"/>
  </r>
  <r>
    <x v="0"/>
    <x v="1"/>
    <x v="0"/>
    <s v="2555200"/>
    <n v="740022"/>
    <s v="Education Travel-Physician"/>
    <s v="Gastroenterology-GI Clinic"/>
    <x v="0"/>
    <n v="2001"/>
    <n v="0"/>
    <n v="0"/>
    <n v="0"/>
    <n v="0"/>
    <n v="0"/>
    <n v="0"/>
    <n v="0"/>
    <n v="0"/>
    <n v="0"/>
    <n v="293.02"/>
    <n v="0"/>
    <n v="0"/>
    <n v="293.02"/>
    <n v="0"/>
  </r>
  <r>
    <x v="0"/>
    <x v="1"/>
    <x v="0"/>
    <s v="2555200"/>
    <n v="740023"/>
    <s v="Education-Advanced Practice Clinician"/>
    <s v="Gastroenterology-GI Clinic"/>
    <x v="0"/>
    <m/>
    <n v="0"/>
    <n v="0"/>
    <n v="0"/>
    <n v="0"/>
    <n v="0"/>
    <n v="0"/>
    <n v="0"/>
    <n v="0"/>
    <n v="560"/>
    <n v="0"/>
    <n v="0"/>
    <n v="0"/>
    <n v="560"/>
    <n v="0"/>
  </r>
  <r>
    <x v="8"/>
    <x v="1"/>
    <x v="0"/>
    <s v="2555200"/>
    <n v="741012"/>
    <s v="Physician Liab Insurance-CHI Program"/>
    <s v="Gastroenterology-GI Clinic"/>
    <x v="0"/>
    <m/>
    <n v="12625.56"/>
    <n v="11070.3"/>
    <n v="11962.36"/>
    <n v="11962.41"/>
    <n v="11962.36"/>
    <n v="11962.41"/>
    <n v="11962.36"/>
    <n v="11962.41"/>
    <n v="12009.73"/>
    <n v="12009.77"/>
    <n v="12009.74"/>
    <n v="13160.78"/>
    <n v="144660.19"/>
    <n v="-1151.0400000000009"/>
  </r>
  <r>
    <x v="0"/>
    <x v="1"/>
    <x v="0"/>
    <s v="2555200"/>
    <n v="743022"/>
    <s v="Dues-Physician"/>
    <s v="Gastroenterology-GI Clinic"/>
    <x v="0"/>
    <m/>
    <n v="0"/>
    <n v="0"/>
    <n v="0"/>
    <n v="0"/>
    <n v="840"/>
    <n v="1915"/>
    <n v="445"/>
    <n v="27831"/>
    <n v="-10365"/>
    <n v="395"/>
    <n v="865"/>
    <n v="466.94"/>
    <n v="22392.94"/>
    <n v="398.06"/>
  </r>
  <r>
    <x v="0"/>
    <x v="1"/>
    <x v="0"/>
    <s v="2555200"/>
    <n v="743023"/>
    <s v="Dues-Advanced Practice Clinician"/>
    <s v="Gastroenterology-GI Clinic"/>
    <x v="0"/>
    <m/>
    <n v="0"/>
    <n v="0"/>
    <n v="0"/>
    <n v="0"/>
    <n v="0"/>
    <n v="0"/>
    <n v="0"/>
    <n v="250"/>
    <n v="0"/>
    <n v="0"/>
    <n v="0"/>
    <n v="0"/>
    <n v="250"/>
    <n v="0"/>
  </r>
  <r>
    <x v="0"/>
    <x v="1"/>
    <x v="0"/>
    <s v="2555200"/>
    <n v="743042"/>
    <s v="Subscriptions-Physician"/>
    <s v="Gastroenterology-GI Clinic"/>
    <x v="0"/>
    <m/>
    <n v="0"/>
    <n v="0"/>
    <n v="0"/>
    <n v="0"/>
    <n v="189"/>
    <n v="0"/>
    <n v="0"/>
    <n v="0"/>
    <n v="0"/>
    <n v="0"/>
    <n v="0"/>
    <n v="8176.1"/>
    <n v="8365.1"/>
    <n v="-8176.1"/>
  </r>
  <r>
    <x v="0"/>
    <x v="1"/>
    <x v="0"/>
    <s v="2555200"/>
    <n v="749510"/>
    <s v="Miscellaneous Expenses"/>
    <s v="Gastroenterology-GI Clinic"/>
    <x v="0"/>
    <m/>
    <n v="-5266.09"/>
    <n v="214.14"/>
    <n v="-138.29"/>
    <n v="-20.27"/>
    <n v="440.77"/>
    <n v="-478.64"/>
    <n v="1749"/>
    <n v="-1487.86"/>
    <n v="-190.18"/>
    <n v="215.52"/>
    <n v="3747.7"/>
    <n v="-827.08"/>
    <n v="-2041.2799999999997"/>
    <n v="4574.78"/>
  </r>
  <r>
    <x v="0"/>
    <x v="1"/>
    <x v="0"/>
    <s v="2555200"/>
    <n v="749510"/>
    <s v="RICE Rewards"/>
    <s v="Gastroenterology-GI Clinic"/>
    <x v="0"/>
    <n v="5100"/>
    <n v="0"/>
    <n v="0"/>
    <n v="0"/>
    <n v="0"/>
    <n v="0"/>
    <n v="0"/>
    <n v="0"/>
    <n v="0"/>
    <n v="0"/>
    <n v="0"/>
    <n v="0"/>
    <n v="2248.88"/>
    <n v="2248.88"/>
    <n v="-2248.88"/>
  </r>
  <r>
    <x v="0"/>
    <x v="1"/>
    <x v="0"/>
    <s v="2555200"/>
    <n v="749512"/>
    <s v="Licenses-Physician"/>
    <s v="Gastroenterology-GI Clinic"/>
    <x v="0"/>
    <n v="2000"/>
    <n v="0"/>
    <n v="0"/>
    <n v="657"/>
    <n v="1388"/>
    <n v="0"/>
    <n v="657"/>
    <n v="0"/>
    <n v="0"/>
    <n v="1314"/>
    <n v="2560"/>
    <n v="657"/>
    <n v="1388"/>
    <n v="8621"/>
    <n v="-731"/>
  </r>
  <r>
    <x v="0"/>
    <x v="1"/>
    <x v="0"/>
    <s v="2555200"/>
    <n v="749513"/>
    <s v="Licenses-Advanced Practice Clinician"/>
    <s v="Gastroenterology-GI Clinic"/>
    <x v="0"/>
    <n v="2000"/>
    <n v="0"/>
    <n v="0"/>
    <n v="204.5"/>
    <n v="0"/>
    <n v="0"/>
    <n v="0"/>
    <n v="0"/>
    <n v="0"/>
    <n v="731"/>
    <n v="0"/>
    <n v="150"/>
    <n v="204.5"/>
    <n v="1290"/>
    <n v="-54.5"/>
  </r>
  <r>
    <x v="0"/>
    <x v="1"/>
    <x v="0"/>
    <s v="2555200"/>
    <n v="749530"/>
    <s v="Travel"/>
    <s v="Gastroenterology-GI Clinic"/>
    <x v="0"/>
    <m/>
    <n v="36"/>
    <n v="0"/>
    <n v="0"/>
    <n v="12"/>
    <n v="6"/>
    <n v="6"/>
    <n v="0"/>
    <n v="0"/>
    <n v="12"/>
    <n v="48"/>
    <n v="24"/>
    <n v="33"/>
    <n v="177"/>
    <n v="-9"/>
  </r>
  <r>
    <x v="0"/>
    <x v="1"/>
    <x v="0"/>
    <s v="2555200"/>
    <n v="749530"/>
    <s v="Mileage"/>
    <s v="Gastroenterology-GI Clinic"/>
    <x v="0"/>
    <n v="1001"/>
    <n v="31.07"/>
    <n v="49.05"/>
    <n v="43.6"/>
    <n v="148.30000000000001"/>
    <n v="25.62"/>
    <n v="96.49"/>
    <n v="64.88"/>
    <n v="42.34"/>
    <n v="91.06"/>
    <n v="193.01"/>
    <n v="85.84"/>
    <n v="243.02"/>
    <n v="1114.2800000000002"/>
    <n v="-157.18"/>
  </r>
  <r>
    <x v="0"/>
    <x v="1"/>
    <x v="0"/>
    <s v="2555200"/>
    <n v="749532"/>
    <s v="Travel-Physician"/>
    <s v="Gastroenterology-GI Clinic"/>
    <x v="0"/>
    <m/>
    <n v="112"/>
    <n v="256"/>
    <n v="349"/>
    <n v="1472.44"/>
    <n v="241"/>
    <n v="1736.87"/>
    <n v="146"/>
    <n v="190"/>
    <n v="136"/>
    <n v="436.2"/>
    <n v="101"/>
    <n v="6439.82"/>
    <n v="11616.329999999998"/>
    <n v="-6338.82"/>
  </r>
  <r>
    <x v="0"/>
    <x v="1"/>
    <x v="0"/>
    <s v="2555200"/>
    <n v="749532"/>
    <s v="Vehicle Expense-Physician"/>
    <s v="Gastroenterology-GI Clinic"/>
    <x v="0"/>
    <n v="2001"/>
    <n v="996.93"/>
    <n v="1023.67"/>
    <n v="2185.16"/>
    <n v="874.33"/>
    <n v="1664.11"/>
    <n v="904.3"/>
    <n v="802.83"/>
    <n v="1205.8599999999999"/>
    <n v="786.48"/>
    <n v="493.58"/>
    <n v="535.91999999999996"/>
    <n v="2106.9899999999998"/>
    <n v="13580.16"/>
    <n v="-1571.0699999999997"/>
  </r>
  <r>
    <x v="0"/>
    <x v="1"/>
    <x v="0"/>
    <s v="2555200"/>
    <n v="749533"/>
    <s v="Travel-Advanced Practice Clinician"/>
    <s v="Gastroenterology-GI Clinic"/>
    <x v="0"/>
    <m/>
    <n v="20"/>
    <n v="0"/>
    <n v="42"/>
    <n v="10"/>
    <n v="5"/>
    <n v="55"/>
    <n v="15"/>
    <n v="10"/>
    <n v="80"/>
    <n v="35"/>
    <n v="20"/>
    <n v="179"/>
    <n v="471"/>
    <n v="-159"/>
  </r>
  <r>
    <x v="0"/>
    <x v="1"/>
    <x v="0"/>
    <s v="2555200"/>
    <n v="749533"/>
    <s v="Vehicle Expense-Advanced Practice Clinician"/>
    <s v="Gastroenterology-GI Clinic"/>
    <x v="0"/>
    <n v="2001"/>
    <n v="151"/>
    <n v="87.79"/>
    <n v="93.75"/>
    <n v="161.94999999999999"/>
    <n v="138.49"/>
    <n v="234.44"/>
    <n v="176.64"/>
    <n v="132.82"/>
    <n v="701.08"/>
    <n v="288.26"/>
    <n v="162.97999999999999"/>
    <n v="670.48"/>
    <n v="2999.6800000000003"/>
    <n v="-507.5"/>
  </r>
  <r>
    <x v="0"/>
    <x v="1"/>
    <x v="0"/>
    <s v="2555200"/>
    <n v="749535"/>
    <s v="Meetings"/>
    <s v="Gastroenterology-GI Clinic"/>
    <x v="0"/>
    <m/>
    <n v="100"/>
    <n v="0"/>
    <n v="0"/>
    <n v="0"/>
    <n v="0"/>
    <n v="0"/>
    <n v="0"/>
    <n v="0"/>
    <n v="0"/>
    <n v="0"/>
    <n v="239.4"/>
    <n v="0"/>
    <n v="339.4"/>
    <n v="239.4"/>
  </r>
  <r>
    <x v="9"/>
    <x v="1"/>
    <x v="0"/>
    <s v="2555200"/>
    <n v="800015"/>
    <s v="Interest Income-Ext to CHI"/>
    <s v="Gastroenterology-GI Clinic"/>
    <x v="0"/>
    <m/>
    <n v="0"/>
    <n v="0"/>
    <n v="-26.3"/>
    <n v="-97.67"/>
    <n v="-90.41"/>
    <n v="-89.17"/>
    <n v="-147.43"/>
    <n v="-231.14"/>
    <n v="-300.92"/>
    <n v="-277.52999999999997"/>
    <n v="-272.64"/>
    <n v="-250.17"/>
    <n v="-1783.38"/>
    <n v="-22.47"/>
  </r>
  <r>
    <x v="1"/>
    <x v="1"/>
    <x v="0"/>
    <s v="2556200"/>
    <n v="400029"/>
    <s v="MD Practice Other Rev--Medicaid"/>
    <s v="Gastroenterology-Pathology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56200"/>
    <n v="450029"/>
    <s v="Contr Allow--MD Other-Medicaid"/>
    <s v="Gastroenterology-Pathology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56200"/>
    <n v="450029"/>
    <s v="Contr Allow--MD Other-Comm Insurance"/>
    <s v="Gastroenterology-Pathology"/>
    <x v="0"/>
    <n v="1300"/>
    <n v="0"/>
    <n v="0"/>
    <n v="0"/>
    <n v="-130.37"/>
    <n v="0"/>
    <n v="0"/>
    <n v="0"/>
    <n v="0"/>
    <n v="0"/>
    <n v="0"/>
    <n v="0"/>
    <n v="0"/>
    <n v="-130.37"/>
    <n v="0"/>
  </r>
  <r>
    <x v="2"/>
    <x v="1"/>
    <x v="0"/>
    <s v="2556200"/>
    <n v="450029"/>
    <s v="Contr Allow--MD Other-Managed Care"/>
    <s v="Gastroenterology-Pathology"/>
    <x v="0"/>
    <n v="1400"/>
    <n v="0"/>
    <n v="0"/>
    <n v="0"/>
    <n v="0"/>
    <n v="0"/>
    <n v="0"/>
    <n v="-146.85"/>
    <n v="0"/>
    <n v="0"/>
    <n v="0"/>
    <n v="0"/>
    <n v="0"/>
    <n v="-146.85"/>
    <n v="0"/>
  </r>
  <r>
    <x v="2"/>
    <x v="1"/>
    <x v="0"/>
    <s v="2556200"/>
    <n v="450029"/>
    <s v="Admin Adjust-MD Other-Self Pay"/>
    <s v="Gastroenterology-Pathology"/>
    <x v="0"/>
    <n v="1600"/>
    <n v="7.79"/>
    <n v="3.91"/>
    <n v="0"/>
    <n v="69.12"/>
    <n v="0"/>
    <n v="0"/>
    <n v="5.76"/>
    <n v="0"/>
    <n v="98.58"/>
    <n v="0"/>
    <n v="-3.46"/>
    <n v="-3.86"/>
    <n v="177.84"/>
    <n v="0.39999999999999991"/>
  </r>
  <r>
    <x v="2"/>
    <x v="1"/>
    <x v="0"/>
    <s v="2556200"/>
    <n v="450040"/>
    <s v="Contr Allow--Phys Svcs--BCBS Mgnd Care"/>
    <s v="Gastroenterology-Pathology"/>
    <x v="0"/>
    <n v="1401"/>
    <n v="-4.66"/>
    <n v="-1.9"/>
    <n v="1.37"/>
    <n v="90.97"/>
    <n v="-0.05"/>
    <n v="3.72"/>
    <n v="2.11"/>
    <n v="3.77"/>
    <n v="20.76"/>
    <n v="-1.62"/>
    <n v="5.05"/>
    <n v="-1.67"/>
    <n v="117.85"/>
    <n v="6.72"/>
  </r>
  <r>
    <x v="3"/>
    <x v="1"/>
    <x v="0"/>
    <s v="2556200"/>
    <n v="470040"/>
    <s v="Charity Care-Physician Svcs"/>
    <s v="Gastroenterology-Pathology"/>
    <x v="0"/>
    <m/>
    <n v="308.26"/>
    <n v="1.07"/>
    <n v="-0.43"/>
    <n v="3.07"/>
    <n v="84.71"/>
    <n v="-0.89"/>
    <n v="-0.27"/>
    <n v="-0.52"/>
    <n v="1.93"/>
    <n v="-0.52"/>
    <n v="7.27"/>
    <n v="1.62"/>
    <n v="405.3"/>
    <n v="5.6499999999999995"/>
  </r>
  <r>
    <x v="4"/>
    <x v="1"/>
    <x v="0"/>
    <s v="2556200"/>
    <n v="490010"/>
    <s v="Provision for Bad Debts"/>
    <s v="Gastroenterology-Pathology"/>
    <x v="0"/>
    <m/>
    <n v="-422.64"/>
    <n v="-109.6"/>
    <n v="-147.91999999999999"/>
    <n v="-61.43"/>
    <n v="-123.77"/>
    <n v="-137.33000000000001"/>
    <n v="-5.91"/>
    <n v="-75.92"/>
    <n v="-339.09"/>
    <n v="-10.83"/>
    <n v="-10.39"/>
    <n v="-24.99"/>
    <n v="-1469.82"/>
    <n v="14.599999999999998"/>
  </r>
  <r>
    <x v="5"/>
    <x v="1"/>
    <x v="0"/>
    <s v="2556200"/>
    <n v="700054"/>
    <s v="Salaries-Management-NonProd-Other"/>
    <s v="Gastroenterology-Pathology"/>
    <x v="0"/>
    <n v="2000"/>
    <n v="0"/>
    <n v="0"/>
    <n v="0"/>
    <n v="0"/>
    <n v="0"/>
    <n v="295.73"/>
    <n v="-295.73"/>
    <n v="0"/>
    <n v="0"/>
    <n v="0"/>
    <n v="0"/>
    <n v="0"/>
    <n v="0"/>
    <n v="0"/>
  </r>
  <r>
    <x v="6"/>
    <x v="1"/>
    <x v="0"/>
    <s v="2556200"/>
    <n v="713010"/>
    <s v="Benefits-FICA/Medicare"/>
    <s v="Gastroenterology-Pathology"/>
    <x v="0"/>
    <m/>
    <n v="0"/>
    <n v="0"/>
    <n v="0"/>
    <n v="0"/>
    <n v="0"/>
    <n v="22.63"/>
    <n v="22.63"/>
    <n v="0"/>
    <n v="0"/>
    <n v="0"/>
    <n v="0"/>
    <n v="0"/>
    <n v="45.26"/>
    <n v="0"/>
  </r>
  <r>
    <x v="1"/>
    <x v="1"/>
    <x v="0"/>
    <s v="2559200"/>
    <n v="400029"/>
    <s v="MD Practice Other Rev--Medicare"/>
    <s v="Weight Clinic-SF-Bariatrics"/>
    <x v="0"/>
    <n v="1100"/>
    <n v="0"/>
    <n v="0"/>
    <n v="0"/>
    <n v="0"/>
    <n v="0"/>
    <n v="-78"/>
    <n v="-78"/>
    <n v="0"/>
    <n v="0"/>
    <n v="0"/>
    <n v="0"/>
    <n v="0"/>
    <n v="-156"/>
    <n v="0"/>
  </r>
  <r>
    <x v="1"/>
    <x v="1"/>
    <x v="0"/>
    <s v="2559200"/>
    <n v="400029"/>
    <s v="MD Practice Other Rev--BCBS Comm"/>
    <s v="Weight Clinic-SF-Bariatrics"/>
    <x v="0"/>
    <n v="1301"/>
    <n v="0"/>
    <n v="0"/>
    <n v="0"/>
    <n v="0"/>
    <n v="0"/>
    <n v="0"/>
    <n v="0"/>
    <n v="0"/>
    <n v="0"/>
    <n v="0"/>
    <n v="-54"/>
    <n v="0"/>
    <n v="-54"/>
    <n v="-54"/>
  </r>
  <r>
    <x v="1"/>
    <x v="1"/>
    <x v="0"/>
    <s v="2559200"/>
    <n v="400029"/>
    <s v="MD Practice Other Rev--Managed Care"/>
    <s v="Weight Clinic-SF-Bariatrics"/>
    <x v="0"/>
    <n v="1400"/>
    <n v="0"/>
    <n v="0"/>
    <n v="-54"/>
    <n v="0"/>
    <n v="0"/>
    <n v="0"/>
    <n v="0"/>
    <n v="-54"/>
    <n v="0"/>
    <n v="-78"/>
    <n v="0"/>
    <n v="78"/>
    <n v="-108"/>
    <n v="-78"/>
  </r>
  <r>
    <x v="1"/>
    <x v="1"/>
    <x v="0"/>
    <s v="2559200"/>
    <n v="400040"/>
    <s v="Physician Svcs Rev--Medicare"/>
    <s v="Weight Clinic-SF-Bariatrics"/>
    <x v="0"/>
    <n v="1100"/>
    <n v="-156637"/>
    <n v="-87668.5"/>
    <n v="-124252.25"/>
    <n v="-249026.25"/>
    <n v="-120923"/>
    <n v="-114109"/>
    <n v="-165906.25"/>
    <n v="-91073.75"/>
    <n v="-225201.75"/>
    <n v="-82145.25"/>
    <n v="-183159.25"/>
    <n v="-139105"/>
    <n v="-1739207.25"/>
    <n v="-44054.25"/>
  </r>
  <r>
    <x v="1"/>
    <x v="1"/>
    <x v="0"/>
    <s v="2559200"/>
    <n v="400040"/>
    <s v="Physician Svcs Rev--Medicaid"/>
    <s v="Weight Clinic-SF-Bariatrics"/>
    <x v="0"/>
    <n v="1200"/>
    <n v="-105869"/>
    <n v="-72721"/>
    <n v="-107892"/>
    <n v="-129129.2"/>
    <n v="-127661"/>
    <n v="-113537"/>
    <n v="-160785"/>
    <n v="-134610.5"/>
    <n v="-90665"/>
    <n v="-191460"/>
    <n v="-151495.75"/>
    <n v="-138410"/>
    <n v="-1524235.45"/>
    <n v="-13085.75"/>
  </r>
  <r>
    <x v="1"/>
    <x v="1"/>
    <x v="0"/>
    <s v="2559200"/>
    <n v="400040"/>
    <s v="Physician Svcs Rev--Comm Insurance"/>
    <s v="Weight Clinic-SF-Bariatrics"/>
    <x v="0"/>
    <n v="1300"/>
    <n v="-23597"/>
    <n v="-7645"/>
    <n v="-4835"/>
    <n v="-13286"/>
    <n v="-3683"/>
    <n v="-18074"/>
    <n v="-13319"/>
    <n v="-17766"/>
    <n v="-7442"/>
    <n v="-28068"/>
    <n v="2485"/>
    <n v="-18997"/>
    <n v="-154227"/>
    <n v="21482"/>
  </r>
  <r>
    <x v="1"/>
    <x v="1"/>
    <x v="0"/>
    <s v="2559200"/>
    <n v="400040"/>
    <s v="Physician Svcs Rev--BCBS Comm"/>
    <s v="Weight Clinic-SF-Bariatrics"/>
    <x v="0"/>
    <n v="1301"/>
    <n v="-77458.25"/>
    <n v="-65493"/>
    <n v="-17897"/>
    <n v="-81757.25"/>
    <n v="-32697"/>
    <n v="-58603"/>
    <n v="-33001"/>
    <n v="-81933.25"/>
    <n v="-56316.25"/>
    <n v="-51714"/>
    <n v="-46714"/>
    <n v="-29359"/>
    <n v="-632943"/>
    <n v="-17355"/>
  </r>
  <r>
    <x v="1"/>
    <x v="1"/>
    <x v="0"/>
    <s v="2559200"/>
    <n v="400040"/>
    <s v="Physician Svcs Rev--Managed Care"/>
    <s v="Weight Clinic-SF-Bariatrics"/>
    <x v="0"/>
    <n v="1400"/>
    <n v="-269803.25"/>
    <n v="-204262.9"/>
    <n v="-288962.75"/>
    <n v="-283028.75"/>
    <n v="-382897.25"/>
    <n v="-292104.5"/>
    <n v="-346936"/>
    <n v="-158274.5"/>
    <n v="-303439"/>
    <n v="-301248"/>
    <n v="-325995"/>
    <n v="-180118"/>
    <n v="-3337069.9"/>
    <n v="-145877"/>
  </r>
  <r>
    <x v="1"/>
    <x v="1"/>
    <x v="0"/>
    <s v="2559200"/>
    <n v="400040"/>
    <s v="Physician Svcs Rev--Self Pay"/>
    <s v="Weight Clinic-SF-Bariatrics"/>
    <x v="0"/>
    <n v="1500"/>
    <n v="-8012"/>
    <n v="-11870.25"/>
    <n v="-2166"/>
    <n v="-10204"/>
    <n v="-11384"/>
    <n v="-13785"/>
    <n v="-47862.6"/>
    <n v="-26713"/>
    <n v="-1217"/>
    <n v="-28674.75"/>
    <n v="-49054"/>
    <n v="-14204"/>
    <n v="-225146.6"/>
    <n v="-34850"/>
  </r>
  <r>
    <x v="1"/>
    <x v="1"/>
    <x v="0"/>
    <s v="2559200"/>
    <n v="400040"/>
    <s v="Physician Svcs Rev--Other"/>
    <s v="Weight Clinic-SF-Bariatrics"/>
    <x v="0"/>
    <n v="1700"/>
    <n v="-12184"/>
    <n v="-9145"/>
    <n v="-1842"/>
    <n v="-21339"/>
    <n v="-2724"/>
    <n v="-26113.75"/>
    <n v="-40745"/>
    <n v="-10874"/>
    <n v="-2651.75"/>
    <n v="-12635"/>
    <n v="-9845.75"/>
    <n v="-57398"/>
    <n v="-207497.25"/>
    <n v="47552.25"/>
  </r>
  <r>
    <x v="2"/>
    <x v="1"/>
    <x v="0"/>
    <s v="2559200"/>
    <n v="450029"/>
    <s v="Contr Allow--MD Other-Medicare"/>
    <s v="Weight Clinic-SF-Bariatrics"/>
    <x v="0"/>
    <n v="1100"/>
    <n v="0"/>
    <n v="0"/>
    <n v="0"/>
    <n v="0"/>
    <n v="0"/>
    <n v="54.24"/>
    <n v="48.18"/>
    <n v="6.06"/>
    <n v="0"/>
    <n v="0"/>
    <n v="0"/>
    <n v="0"/>
    <n v="108.48"/>
    <n v="0"/>
  </r>
  <r>
    <x v="2"/>
    <x v="1"/>
    <x v="0"/>
    <s v="2559200"/>
    <n v="450029"/>
    <s v="Contr Allow--MD Other BCBS Comm"/>
    <s v="Weight Clinic-SF-Bariatrics"/>
    <x v="0"/>
    <n v="1301"/>
    <n v="0"/>
    <n v="0"/>
    <n v="0"/>
    <n v="0"/>
    <n v="0"/>
    <n v="0"/>
    <n v="0"/>
    <n v="0"/>
    <n v="0"/>
    <n v="0"/>
    <n v="0"/>
    <n v="13.56"/>
    <n v="13.56"/>
    <n v="-13.56"/>
  </r>
  <r>
    <x v="2"/>
    <x v="1"/>
    <x v="0"/>
    <s v="2559200"/>
    <n v="450029"/>
    <s v="Contr Allow--MD Other-Managed Care"/>
    <s v="Weight Clinic-SF-Bariatrics"/>
    <x v="0"/>
    <n v="1400"/>
    <n v="0"/>
    <n v="0"/>
    <n v="18.440000000000001"/>
    <n v="0"/>
    <n v="0"/>
    <n v="0"/>
    <n v="0"/>
    <n v="0"/>
    <n v="18.440000000000001"/>
    <n v="0"/>
    <n v="26.28"/>
    <n v="-26.28"/>
    <n v="36.880000000000003"/>
    <n v="52.56"/>
  </r>
  <r>
    <x v="2"/>
    <x v="1"/>
    <x v="0"/>
    <s v="2559200"/>
    <n v="450040"/>
    <s v="Contr Allow--Phys Svcs--Mcare"/>
    <s v="Weight Clinic-SF-Bariatrics"/>
    <x v="0"/>
    <n v="1100"/>
    <n v="114018.08"/>
    <n v="89484.12"/>
    <n v="67386.73"/>
    <n v="164173.25"/>
    <n v="118586.45"/>
    <n v="67854.33"/>
    <n v="82255.600000000006"/>
    <n v="87918.86"/>
    <n v="109838.99"/>
    <n v="98191.03"/>
    <n v="145000.07"/>
    <n v="110376.95"/>
    <n v="1255084.46"/>
    <n v="34623.12000000001"/>
  </r>
  <r>
    <x v="2"/>
    <x v="1"/>
    <x v="0"/>
    <s v="2559200"/>
    <n v="450040"/>
    <s v="Contr Allow--Phys Svcs--Mcaid"/>
    <s v="Weight Clinic-SF-Bariatrics"/>
    <x v="0"/>
    <n v="1200"/>
    <n v="66392.22"/>
    <n v="84087.89"/>
    <n v="32042.41"/>
    <n v="84739.17"/>
    <n v="81968.740000000005"/>
    <n v="67614.179999999993"/>
    <n v="105872.42"/>
    <n v="82507.88"/>
    <n v="114912.28"/>
    <n v="103385.1"/>
    <n v="148162.71"/>
    <n v="135638.1"/>
    <n v="1107323.0999999999"/>
    <n v="12524.609999999986"/>
  </r>
  <r>
    <x v="2"/>
    <x v="1"/>
    <x v="0"/>
    <s v="2559200"/>
    <n v="450040"/>
    <s v="Contr Allow--Phys Svcs--Comm Insurance"/>
    <s v="Weight Clinic-SF-Bariatrics"/>
    <x v="0"/>
    <n v="1300"/>
    <n v="296.45999999999998"/>
    <n v="620.19000000000005"/>
    <n v="16175.14"/>
    <n v="4459.2"/>
    <n v="1951.19"/>
    <n v="13572.77"/>
    <n v="4554.75"/>
    <n v="628.91999999999996"/>
    <n v="91.27"/>
    <n v="8352.93"/>
    <n v="5478.25"/>
    <n v="966.08"/>
    <n v="57147.149999999994"/>
    <n v="4512.17"/>
  </r>
  <r>
    <x v="2"/>
    <x v="1"/>
    <x v="0"/>
    <s v="2559200"/>
    <n v="450040"/>
    <s v="Contr Allow--Phys Svcs--BCBS Comm Ins"/>
    <s v="Weight Clinic-SF-Bariatrics"/>
    <x v="0"/>
    <n v="1301"/>
    <n v="24195.94"/>
    <n v="57560.56"/>
    <n v="22648.43"/>
    <n v="24681.74"/>
    <n v="31012.82"/>
    <n v="29662.37"/>
    <n v="10747.94"/>
    <n v="35781.440000000002"/>
    <n v="34330.42"/>
    <n v="36455.17"/>
    <n v="16205.62"/>
    <n v="26891.57"/>
    <n v="350174.01999999996"/>
    <n v="-10685.949999999999"/>
  </r>
  <r>
    <x v="2"/>
    <x v="1"/>
    <x v="0"/>
    <s v="2559200"/>
    <n v="450040"/>
    <s v="Contr Allow--Phys Svcs--Managed Care"/>
    <s v="Weight Clinic-SF-Bariatrics"/>
    <x v="0"/>
    <n v="1400"/>
    <n v="234903.65"/>
    <n v="170246.82"/>
    <n v="83257.11"/>
    <n v="165487.06"/>
    <n v="245251.59"/>
    <n v="192198.99"/>
    <n v="146955.1"/>
    <n v="207717.87"/>
    <n v="167774.9"/>
    <n v="142526.25"/>
    <n v="257065.97"/>
    <n v="176878.59"/>
    <n v="2190263.9"/>
    <n v="80187.38"/>
  </r>
  <r>
    <x v="2"/>
    <x v="1"/>
    <x v="0"/>
    <s v="2559200"/>
    <n v="450040"/>
    <s v="Contr Allow--Phys Svcs--BCBS Mgnd Care"/>
    <s v="Weight Clinic-SF-Bariatrics"/>
    <x v="0"/>
    <n v="1401"/>
    <n v="-22921.59"/>
    <n v="-218636.03"/>
    <n v="112985.26"/>
    <n v="61148.04"/>
    <n v="-30897.74"/>
    <n v="31327.24"/>
    <n v="147024.53"/>
    <n v="-54662.05"/>
    <n v="26407.279999999999"/>
    <n v="30583.95"/>
    <n v="-45405.96"/>
    <n v="-88575.85"/>
    <n v="-51622.92000000002"/>
    <n v="43169.890000000007"/>
  </r>
  <r>
    <x v="2"/>
    <x v="1"/>
    <x v="0"/>
    <s v="2559200"/>
    <n v="450040"/>
    <s v="Prompt Pay Disc-Phys Svcs-Self Pay"/>
    <s v="Weight Clinic-SF-Bariatrics"/>
    <x v="0"/>
    <n v="1500"/>
    <n v="0"/>
    <n v="0"/>
    <n v="0"/>
    <n v="0"/>
    <n v="1837"/>
    <n v="0"/>
    <n v="0"/>
    <n v="0"/>
    <n v="0"/>
    <n v="0"/>
    <n v="0"/>
    <n v="0"/>
    <n v="1837"/>
    <n v="0"/>
  </r>
  <r>
    <x v="2"/>
    <x v="1"/>
    <x v="0"/>
    <s v="2559200"/>
    <n v="450040"/>
    <s v="Admin Adjust-Phys Svcs-Self Pay"/>
    <s v="Weight Clinic-SF-Bariatrics"/>
    <x v="0"/>
    <n v="1600"/>
    <n v="1701.11"/>
    <n v="247325.84"/>
    <n v="-796.71"/>
    <n v="18612.2"/>
    <n v="6079.86"/>
    <n v="8827.82"/>
    <n v="19415.03"/>
    <n v="12264.53"/>
    <n v="6389.93"/>
    <n v="27450.94"/>
    <n v="27885.38"/>
    <n v="17331.580000000002"/>
    <n v="392487.51000000007"/>
    <n v="10553.8"/>
  </r>
  <r>
    <x v="2"/>
    <x v="1"/>
    <x v="0"/>
    <s v="2559200"/>
    <n v="450040"/>
    <s v="Contr Allow--Phys Svcs--Other"/>
    <s v="Weight Clinic-SF-Bariatrics"/>
    <x v="0"/>
    <n v="1700"/>
    <n v="18663.28"/>
    <n v="28566.65"/>
    <n v="1037.67"/>
    <n v="7156.39"/>
    <n v="17323.59"/>
    <n v="18125.48"/>
    <n v="13979.38"/>
    <n v="41686.68"/>
    <n v="2302.6"/>
    <n v="16979.46"/>
    <n v="5758.99"/>
    <n v="16553.599999999999"/>
    <n v="188133.77"/>
    <n v="-10794.609999999999"/>
  </r>
  <r>
    <x v="3"/>
    <x v="1"/>
    <x v="0"/>
    <s v="2559200"/>
    <n v="470040"/>
    <s v="Charity Care-Physician Svcs"/>
    <s v="Weight Clinic-SF-Bariatrics"/>
    <x v="0"/>
    <m/>
    <n v="-1516.12"/>
    <n v="-193.57"/>
    <n v="4429.38"/>
    <n v="3271.81"/>
    <n v="820.38"/>
    <n v="-2136.02"/>
    <n v="4180.04"/>
    <n v="-2086.85"/>
    <n v="6903.48"/>
    <n v="7340.04"/>
    <n v="-4848.55"/>
    <n v="5591.15"/>
    <n v="21755.17"/>
    <n v="-10439.700000000001"/>
  </r>
  <r>
    <x v="4"/>
    <x v="1"/>
    <x v="0"/>
    <s v="2559200"/>
    <n v="490010"/>
    <s v="Provision for Bad Debts"/>
    <s v="Weight Clinic-SF-Bariatrics"/>
    <x v="0"/>
    <m/>
    <n v="1817.46"/>
    <n v="-35320.46"/>
    <n v="17321.7"/>
    <n v="-1242.6199999999999"/>
    <n v="7540.21"/>
    <n v="5303.02"/>
    <n v="9241.81"/>
    <n v="-12662.44"/>
    <n v="15491.36"/>
    <n v="5704.37"/>
    <n v="11954.72"/>
    <n v="9432.74"/>
    <n v="34581.869999999995"/>
    <n v="2521.9799999999996"/>
  </r>
  <r>
    <x v="5"/>
    <x v="1"/>
    <x v="0"/>
    <s v="2559200"/>
    <n v="700022"/>
    <s v="Salaries-Physician-Productive"/>
    <s v="Weight Clinic-SF-Bariatrics"/>
    <x v="0"/>
    <m/>
    <n v="114087.39"/>
    <n v="101230.82"/>
    <n v="120716.72"/>
    <n v="129930.62"/>
    <n v="147623.47"/>
    <n v="77561.31"/>
    <n v="128450.57"/>
    <n v="114280.64"/>
    <n v="155912.38"/>
    <n v="132697.78"/>
    <n v="125988.24"/>
    <n v="157475.64000000001"/>
    <n v="1505955.58"/>
    <n v="-31487.400000000009"/>
  </r>
  <r>
    <x v="5"/>
    <x v="1"/>
    <x v="0"/>
    <s v="2559200"/>
    <n v="700024"/>
    <s v="Salaries-Advanced Practice Clinician-Productive"/>
    <s v="Weight Clinic-SF-Bariatrics"/>
    <x v="0"/>
    <m/>
    <n v="21593.34"/>
    <n v="25643.94"/>
    <n v="20457.68"/>
    <n v="20541.32"/>
    <n v="20909.96"/>
    <n v="18697.36"/>
    <n v="23365.24"/>
    <n v="17341.84"/>
    <n v="23123.51"/>
    <n v="24453.64"/>
    <n v="24769.93"/>
    <n v="14036.78"/>
    <n v="254934.54"/>
    <n v="10733.15"/>
  </r>
  <r>
    <x v="5"/>
    <x v="1"/>
    <x v="0"/>
    <s v="2559200"/>
    <n v="700032"/>
    <s v="Salaries-Other Pat Care Providers-Productive"/>
    <s v="Weight Clinic-SF-Bariatrics"/>
    <x v="0"/>
    <m/>
    <n v="4006.15"/>
    <n v="3574.17"/>
    <n v="6566.37"/>
    <n v="8064.06"/>
    <n v="8270.56"/>
    <n v="5707.68"/>
    <n v="7544.99"/>
    <n v="6571.69"/>
    <n v="8124.09"/>
    <n v="4860.2700000000004"/>
    <n v="2380.98"/>
    <n v="5398.89"/>
    <n v="71069.899999999994"/>
    <n v="-3017.9100000000003"/>
  </r>
  <r>
    <x v="5"/>
    <x v="1"/>
    <x v="0"/>
    <s v="2559200"/>
    <n v="700032"/>
    <s v="Salaries-Other Pat Care Providers-OT"/>
    <s v="Weight Clinic-SF-Bariatrics"/>
    <x v="0"/>
    <n v="1000"/>
    <n v="0"/>
    <n v="44.38"/>
    <n v="44.38"/>
    <n v="0"/>
    <n v="62.69"/>
    <n v="-9.1"/>
    <n v="12.27"/>
    <n v="5.27"/>
    <n v="22.45"/>
    <n v="57.42"/>
    <n v="47.38"/>
    <n v="136.68"/>
    <n v="423.82"/>
    <n v="-89.300000000000011"/>
  </r>
  <r>
    <x v="5"/>
    <x v="1"/>
    <x v="0"/>
    <s v="2559200"/>
    <n v="700032"/>
    <s v="Salaries-Other Pat Care Providers-Other"/>
    <s v="Weight Clinic-SF-Bariatrics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559200"/>
    <n v="700062"/>
    <s v="Salaries-Physician-Non-productive"/>
    <s v="Weight Clinic-SF-Bariatrics"/>
    <x v="0"/>
    <m/>
    <n v="24243.23"/>
    <n v="67389.490000000005"/>
    <n v="18204.84"/>
    <n v="20506.580000000002"/>
    <n v="-8182.94"/>
    <n v="58995.23"/>
    <n v="16874.91"/>
    <n v="17597.45"/>
    <n v="1880.16"/>
    <n v="20969.21"/>
    <n v="49580.71"/>
    <n v="-3978.48"/>
    <n v="284080.39"/>
    <n v="53559.19"/>
  </r>
  <r>
    <x v="5"/>
    <x v="1"/>
    <x v="0"/>
    <s v="2559200"/>
    <n v="700062"/>
    <s v="Salaries-Physician-NonProd-Other"/>
    <s v="Weight Clinic-SF-Bariatric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9200"/>
    <n v="700064"/>
    <s v="Salaries-Advanced Practice Clinician-Non-Productive"/>
    <s v="Weight Clinic-SF-Bariatrics"/>
    <x v="0"/>
    <m/>
    <n v="948.8"/>
    <n v="0"/>
    <n v="1076.72"/>
    <n v="4223.2299999999996"/>
    <n v="2792.29"/>
    <n v="3928.86"/>
    <n v="1453.81"/>
    <n v="4717.33"/>
    <n v="-45.15"/>
    <n v="-276.32"/>
    <n v="0"/>
    <n v="7436.24"/>
    <n v="26255.809999999998"/>
    <n v="-7436.24"/>
  </r>
  <r>
    <x v="5"/>
    <x v="1"/>
    <x v="0"/>
    <s v="2559200"/>
    <n v="700064"/>
    <s v="Salaries-Advanced Practice Clinician-Non-Prod-Other"/>
    <s v="Weight Clinic-SF-Bariatric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9200"/>
    <n v="700072"/>
    <s v="Salaries-Other Pat Care Providers-Non-productive"/>
    <s v="Weight Clinic-SF-Bariatrics"/>
    <x v="0"/>
    <m/>
    <n v="933.78"/>
    <n v="1208.04"/>
    <n v="660.78"/>
    <n v="630.64"/>
    <n v="-290.8"/>
    <n v="1882.56"/>
    <n v="586.29"/>
    <n v="837.32"/>
    <n v="-87.09"/>
    <n v="147.56"/>
    <n v="2089.42"/>
    <n v="-728.86"/>
    <n v="7869.64"/>
    <n v="2818.28"/>
  </r>
  <r>
    <x v="5"/>
    <x v="1"/>
    <x v="0"/>
    <s v="2559200"/>
    <n v="700072"/>
    <s v="Salaries-Other Pat Care Providers-NonProd-Other"/>
    <s v="Weight Clinic-SF-Bariatric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59200"/>
    <n v="700084"/>
    <s v="Accrued PTO"/>
    <s v="Weight Clinic-SF-Bariatrics"/>
    <x v="0"/>
    <m/>
    <n v="-81.78"/>
    <n v="-215.91"/>
    <n v="215.88"/>
    <n v="490"/>
    <n v="901.62"/>
    <n v="-473.71"/>
    <n v="184.48"/>
    <n v="292.41000000000003"/>
    <n v="832.63"/>
    <n v="318.29000000000002"/>
    <n v="-565.74"/>
    <n v="529.89"/>
    <n v="2428.06"/>
    <n v="-1095.6300000000001"/>
  </r>
  <r>
    <x v="6"/>
    <x v="1"/>
    <x v="0"/>
    <s v="2559200"/>
    <n v="713010"/>
    <s v="Benefits-FICA/Medicare"/>
    <s v="Weight Clinic-SF-Bariatrics"/>
    <x v="0"/>
    <m/>
    <n v="4037.88"/>
    <n v="4775.25"/>
    <n v="3983.33"/>
    <n v="4568.3599999999997"/>
    <n v="4326.55"/>
    <n v="7639.41"/>
    <n v="13407.9"/>
    <n v="11225.25"/>
    <n v="5535.46"/>
    <n v="4211.88"/>
    <n v="4695.67"/>
    <n v="4159.49"/>
    <n v="72566.430000000008"/>
    <n v="536.18000000000029"/>
  </r>
  <r>
    <x v="6"/>
    <x v="1"/>
    <x v="0"/>
    <s v="2559200"/>
    <n v="713090"/>
    <s v="Benefits-Allocated Amounts"/>
    <s v="Weight Clinic-SF-Bariatrics"/>
    <x v="0"/>
    <m/>
    <n v="0"/>
    <n v="0"/>
    <n v="0"/>
    <n v="0"/>
    <n v="0"/>
    <n v="0"/>
    <n v="0"/>
    <n v="0"/>
    <n v="31813.759999999998"/>
    <n v="3760.91"/>
    <n v="3815.47"/>
    <n v="3749.86"/>
    <n v="43140"/>
    <n v="65.609999999999673"/>
  </r>
  <r>
    <x v="6"/>
    <x v="1"/>
    <x v="0"/>
    <s v="2559200"/>
    <n v="713092"/>
    <s v="Allocated Benefits-Physician"/>
    <s v="Weight Clinic-SF-Bariatrics"/>
    <x v="0"/>
    <m/>
    <n v="6795.16"/>
    <n v="6683.06"/>
    <n v="6667.96"/>
    <n v="6928.04"/>
    <n v="6818.38"/>
    <n v="7342.78"/>
    <n v="8581.15"/>
    <n v="8181.65"/>
    <n v="-7492.58"/>
    <n v="5970.6"/>
    <n v="6057.22"/>
    <n v="5953.04"/>
    <n v="68486.459999999992"/>
    <n v="104.18000000000029"/>
  </r>
  <r>
    <x v="6"/>
    <x v="1"/>
    <x v="0"/>
    <s v="2559200"/>
    <n v="713093"/>
    <s v="Allocated Benefits-Advanced Practice Clinician"/>
    <s v="Weight Clinic-SF-Bariatrics"/>
    <x v="0"/>
    <m/>
    <n v="5264.55"/>
    <n v="5177.68"/>
    <n v="5166.01"/>
    <n v="5367.49"/>
    <n v="5282.53"/>
    <n v="5688.81"/>
    <n v="6648.24"/>
    <n v="6338.71"/>
    <n v="-6761.18"/>
    <n v="4512.66"/>
    <n v="4578.13"/>
    <n v="4499.3900000000003"/>
    <n v="51763.02"/>
    <n v="78.739999999999782"/>
  </r>
  <r>
    <x v="0"/>
    <x v="1"/>
    <x v="0"/>
    <s v="2559200"/>
    <n v="740022"/>
    <s v="Education-Physician"/>
    <s v="Weight Clinic-SF-Bariatrics"/>
    <x v="0"/>
    <m/>
    <n v="0"/>
    <n v="0"/>
    <n v="0"/>
    <n v="0"/>
    <n v="0"/>
    <n v="0"/>
    <n v="0"/>
    <n v="0"/>
    <n v="0"/>
    <n v="0"/>
    <n v="0"/>
    <n v="2967.3"/>
    <n v="2967.3"/>
    <n v="-2967.3"/>
  </r>
  <r>
    <x v="0"/>
    <x v="1"/>
    <x v="0"/>
    <s v="2559200"/>
    <n v="740023"/>
    <s v="Education-Advanced Practice Clinician"/>
    <s v="Weight Clinic-SF-Bariatrics"/>
    <x v="0"/>
    <m/>
    <n v="0"/>
    <n v="0"/>
    <n v="0"/>
    <n v="0"/>
    <n v="0"/>
    <n v="1259"/>
    <n v="0"/>
    <n v="0"/>
    <n v="0"/>
    <n v="0"/>
    <n v="0"/>
    <n v="0"/>
    <n v="1259"/>
    <n v="0"/>
  </r>
  <r>
    <x v="8"/>
    <x v="1"/>
    <x v="0"/>
    <s v="2559200"/>
    <n v="741012"/>
    <s v="Physician Liab Insurance-CHI Program"/>
    <s v="Weight Clinic-SF-Bariatrics"/>
    <x v="0"/>
    <m/>
    <n v="5684.01"/>
    <n v="5684.01"/>
    <n v="5684.01"/>
    <n v="5684.01"/>
    <n v="5684.01"/>
    <n v="5683.98"/>
    <n v="5684.01"/>
    <n v="5683.98"/>
    <n v="5684.01"/>
    <n v="5683.98"/>
    <n v="5684.01"/>
    <n v="5683.98"/>
    <n v="68208.000000000015"/>
    <n v="3.0000000000654836E-2"/>
  </r>
  <r>
    <x v="0"/>
    <x v="1"/>
    <x v="0"/>
    <s v="2559200"/>
    <n v="743022"/>
    <s v="Dues-Physician"/>
    <s v="Weight Clinic-SF-Bariatrics"/>
    <x v="0"/>
    <m/>
    <n v="0"/>
    <n v="0"/>
    <n v="0"/>
    <n v="0"/>
    <n v="0"/>
    <n v="0"/>
    <n v="0"/>
    <n v="285"/>
    <n v="0"/>
    <n v="0"/>
    <n v="0"/>
    <n v="0"/>
    <n v="285"/>
    <n v="0"/>
  </r>
  <r>
    <x v="0"/>
    <x v="1"/>
    <x v="0"/>
    <s v="2559200"/>
    <n v="749510"/>
    <s v="Miscellaneous Expenses"/>
    <s v="Weight Clinic-SF-Bariatrics"/>
    <x v="0"/>
    <m/>
    <n v="0"/>
    <n v="0"/>
    <n v="0"/>
    <n v="0"/>
    <n v="0"/>
    <n v="99"/>
    <n v="0"/>
    <n v="0"/>
    <n v="0"/>
    <n v="0"/>
    <n v="0"/>
    <n v="0"/>
    <n v="99"/>
    <n v="0"/>
  </r>
  <r>
    <x v="0"/>
    <x v="1"/>
    <x v="0"/>
    <s v="2559200"/>
    <n v="749512"/>
    <s v="Licenses-Physician"/>
    <s v="Weight Clinic-SF-Bariatrics"/>
    <x v="0"/>
    <n v="2000"/>
    <n v="0"/>
    <n v="0"/>
    <n v="0"/>
    <n v="0"/>
    <n v="0"/>
    <n v="0"/>
    <n v="0"/>
    <n v="731"/>
    <n v="0"/>
    <n v="0"/>
    <n v="0"/>
    <n v="1390.5"/>
    <n v="2121.5"/>
    <n v="-1390.5"/>
  </r>
  <r>
    <x v="1"/>
    <x v="1"/>
    <x v="0"/>
    <s v="2560200"/>
    <n v="400040"/>
    <s v="Physician Svcs Rev--Medicaid"/>
    <s v="Rheumatology-SF-Rheum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60200"/>
    <n v="450040"/>
    <s v="Contr Allow--Phys Svcs--Mcaid"/>
    <s v="Rheumatology-SF-Rheum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60200"/>
    <n v="450040"/>
    <s v="Contr Allow--Phys Svcs--BCBS Comm Ins"/>
    <s v="Rheumatology-SF-Rheum"/>
    <x v="0"/>
    <n v="1301"/>
    <n v="0"/>
    <n v="0"/>
    <n v="0"/>
    <n v="0"/>
    <n v="0"/>
    <n v="0"/>
    <n v="0"/>
    <n v="0"/>
    <n v="0"/>
    <n v="132.81"/>
    <n v="0"/>
    <n v="0"/>
    <n v="132.81"/>
    <n v="0"/>
  </r>
  <r>
    <x v="2"/>
    <x v="1"/>
    <x v="0"/>
    <s v="2560200"/>
    <n v="450040"/>
    <s v="Admin Adjust-Phys Svcs-Self Pay"/>
    <s v="Rheumatology-SF-Rheum"/>
    <x v="0"/>
    <n v="1600"/>
    <n v="0"/>
    <n v="1.67"/>
    <n v="0"/>
    <n v="0"/>
    <n v="0"/>
    <n v="0"/>
    <n v="0"/>
    <n v="0"/>
    <n v="0"/>
    <n v="0"/>
    <n v="0"/>
    <n v="0"/>
    <n v="1.67"/>
    <n v="0"/>
  </r>
  <r>
    <x v="3"/>
    <x v="1"/>
    <x v="0"/>
    <s v="2560200"/>
    <n v="470040"/>
    <s v="Charity Care-Physician Svcs"/>
    <s v="Rheumatology-SF-Rheum"/>
    <x v="0"/>
    <m/>
    <n v="0"/>
    <n v="0"/>
    <n v="0"/>
    <n v="0"/>
    <n v="0"/>
    <n v="0"/>
    <n v="0"/>
    <n v="0"/>
    <n v="0"/>
    <n v="237.2"/>
    <n v="0"/>
    <n v="0"/>
    <n v="237.2"/>
    <n v="0"/>
  </r>
  <r>
    <x v="4"/>
    <x v="1"/>
    <x v="0"/>
    <s v="2560200"/>
    <n v="490010"/>
    <s v="Provision for Bad Debts"/>
    <s v="Rheumatology-SF-Rheum"/>
    <x v="0"/>
    <m/>
    <n v="-5.52"/>
    <n v="-0.08"/>
    <n v="0"/>
    <n v="0"/>
    <n v="0"/>
    <n v="0"/>
    <n v="0"/>
    <n v="0"/>
    <n v="0"/>
    <n v="-277.2"/>
    <n v="0"/>
    <n v="0"/>
    <n v="-282.8"/>
    <n v="0"/>
  </r>
  <r>
    <x v="1"/>
    <x v="1"/>
    <x v="0"/>
    <s v="2561200"/>
    <n v="400029"/>
    <s v="MD Practice Other Rev--Medicare"/>
    <s v="Ortho/Sport Med-FW-Ortho Surg"/>
    <x v="0"/>
    <n v="1100"/>
    <n v="-9741"/>
    <n v="-6814"/>
    <n v="-7745"/>
    <n v="-8234"/>
    <n v="-6736"/>
    <n v="-6810"/>
    <n v="-8932"/>
    <n v="-5395"/>
    <n v="-5858"/>
    <n v="-9180"/>
    <n v="-7881"/>
    <n v="-8108"/>
    <n v="-91434"/>
    <n v="227"/>
  </r>
  <r>
    <x v="1"/>
    <x v="1"/>
    <x v="0"/>
    <s v="2561200"/>
    <n v="400029"/>
    <s v="MD Practice Other Rev--Medicaid"/>
    <s v="Ortho/Sport Med-FW-Ortho Surg"/>
    <x v="0"/>
    <n v="1200"/>
    <n v="-4369"/>
    <n v="-2969"/>
    <n v="-2310"/>
    <n v="-3276"/>
    <n v="-3327"/>
    <n v="-2077"/>
    <n v="-3149"/>
    <n v="-1633"/>
    <n v="-1168"/>
    <n v="-2700"/>
    <n v="-3932"/>
    <n v="-3261"/>
    <n v="-34171"/>
    <n v="-671"/>
  </r>
  <r>
    <x v="1"/>
    <x v="1"/>
    <x v="0"/>
    <s v="2561200"/>
    <n v="400029"/>
    <s v="MD Practice Other Rev--Comm Insurance"/>
    <s v="Ortho/Sport Med-FW-Ortho Surg"/>
    <x v="0"/>
    <n v="1300"/>
    <n v="-546"/>
    <n v="-117"/>
    <n v="0"/>
    <n v="-543"/>
    <n v="-21"/>
    <n v="-111"/>
    <n v="-182"/>
    <n v="-261"/>
    <n v="-455"/>
    <n v="-597"/>
    <n v="66"/>
    <n v="-400"/>
    <n v="-3167"/>
    <n v="466"/>
  </r>
  <r>
    <x v="1"/>
    <x v="1"/>
    <x v="0"/>
    <s v="2561200"/>
    <n v="400029"/>
    <s v="MD Practice Other Rev--BCBS Comm"/>
    <s v="Ortho/Sport Med-FW-Ortho Surg"/>
    <x v="0"/>
    <n v="1301"/>
    <n v="-1179"/>
    <n v="-931"/>
    <n v="-626"/>
    <n v="-1198"/>
    <n v="-2106"/>
    <n v="-1244"/>
    <n v="-1402"/>
    <n v="-786"/>
    <n v="-898"/>
    <n v="-1383"/>
    <n v="-1536"/>
    <n v="-1055"/>
    <n v="-14344"/>
    <n v="-481"/>
  </r>
  <r>
    <x v="1"/>
    <x v="1"/>
    <x v="0"/>
    <s v="2561200"/>
    <n v="400029"/>
    <s v="MD Practice Other Rev--Managed Care"/>
    <s v="Ortho/Sport Med-FW-Ortho Surg"/>
    <x v="0"/>
    <n v="1400"/>
    <n v="-3947"/>
    <n v="-3981"/>
    <n v="-4381"/>
    <n v="-4836"/>
    <n v="-3841"/>
    <n v="-2704"/>
    <n v="-4641"/>
    <n v="-3456"/>
    <n v="-2080"/>
    <n v="-5492"/>
    <n v="-4979"/>
    <n v="-4686"/>
    <n v="-49024"/>
    <n v="-293"/>
  </r>
  <r>
    <x v="1"/>
    <x v="1"/>
    <x v="0"/>
    <s v="2561200"/>
    <n v="400029"/>
    <s v="MD Practice Other Rev--Self Pay"/>
    <s v="Ortho/Sport Med-FW-Ortho Surg"/>
    <x v="0"/>
    <n v="1500"/>
    <n v="-328"/>
    <n v="-88"/>
    <n v="-216"/>
    <n v="-163"/>
    <n v="-101"/>
    <n v="-187"/>
    <n v="-198"/>
    <n v="-392"/>
    <n v="-444"/>
    <n v="-662"/>
    <n v="-111"/>
    <n v="-282"/>
    <n v="-3172"/>
    <n v="171"/>
  </r>
  <r>
    <x v="1"/>
    <x v="1"/>
    <x v="0"/>
    <s v="2561200"/>
    <n v="400029"/>
    <s v="MD Practice Other Rev--Other"/>
    <s v="Ortho/Sport Med-FW-Ortho Surg"/>
    <x v="0"/>
    <n v="1700"/>
    <n v="-209"/>
    <n v="-528"/>
    <n v="-174"/>
    <n v="-652"/>
    <n v="-369"/>
    <n v="-201"/>
    <n v="-162"/>
    <n v="-162"/>
    <n v="-130"/>
    <n v="-773"/>
    <n v="-673"/>
    <n v="-484"/>
    <n v="-4517"/>
    <n v="-189"/>
  </r>
  <r>
    <x v="1"/>
    <x v="1"/>
    <x v="0"/>
    <s v="2561200"/>
    <n v="400040"/>
    <s v="Physician Svcs Rev--Medicare"/>
    <s v="Ortho/Sport Med-FW-Ortho Surg"/>
    <x v="0"/>
    <n v="1100"/>
    <n v="-135771"/>
    <n v="-203598"/>
    <n v="-162079"/>
    <n v="-237973"/>
    <n v="-200828"/>
    <n v="-164196"/>
    <n v="-206337"/>
    <n v="-241404"/>
    <n v="-302385"/>
    <n v="-274852"/>
    <n v="-309892.5"/>
    <n v="-226810"/>
    <n v="-2666125.5"/>
    <n v="-83082.5"/>
  </r>
  <r>
    <x v="1"/>
    <x v="1"/>
    <x v="0"/>
    <s v="2561200"/>
    <n v="400040"/>
    <s v="Physician Svcs Rev--Medicaid"/>
    <s v="Ortho/Sport Med-FW-Ortho Surg"/>
    <x v="0"/>
    <n v="1200"/>
    <n v="-72469"/>
    <n v="-57473"/>
    <n v="-56768"/>
    <n v="-54614"/>
    <n v="-67113"/>
    <n v="-60769"/>
    <n v="-80600"/>
    <n v="-79044"/>
    <n v="-124085"/>
    <n v="-94257"/>
    <n v="-127294"/>
    <n v="-132197"/>
    <n v="-1006683"/>
    <n v="4903"/>
  </r>
  <r>
    <x v="1"/>
    <x v="1"/>
    <x v="0"/>
    <s v="2561200"/>
    <n v="400040"/>
    <s v="Physician Svcs Rev--Comm Insurance"/>
    <s v="Ortho/Sport Med-FW-Ortho Surg"/>
    <x v="0"/>
    <n v="1300"/>
    <n v="-3517"/>
    <n v="-1711"/>
    <n v="-6039"/>
    <n v="-9228"/>
    <n v="-8993"/>
    <n v="-15568"/>
    <n v="-6744"/>
    <n v="-4566"/>
    <n v="-13364"/>
    <n v="-28237"/>
    <n v="-10675"/>
    <n v="-13764"/>
    <n v="-122406"/>
    <n v="3089"/>
  </r>
  <r>
    <x v="1"/>
    <x v="1"/>
    <x v="0"/>
    <s v="2561200"/>
    <n v="400040"/>
    <s v="Physician Svcs Rev--BCBS Comm"/>
    <s v="Ortho/Sport Med-FW-Ortho Surg"/>
    <x v="0"/>
    <n v="1301"/>
    <n v="-20279"/>
    <n v="-25303"/>
    <n v="-17219"/>
    <n v="-18344"/>
    <n v="-23347"/>
    <n v="-23006"/>
    <n v="-33705"/>
    <n v="-51426"/>
    <n v="-25401"/>
    <n v="-34855"/>
    <n v="-38579"/>
    <n v="-59077"/>
    <n v="-370541"/>
    <n v="20498"/>
  </r>
  <r>
    <x v="1"/>
    <x v="1"/>
    <x v="0"/>
    <s v="2561200"/>
    <n v="400040"/>
    <s v="Physician Svcs Rev--Managed Care"/>
    <s v="Ortho/Sport Med-FW-Ortho Surg"/>
    <x v="0"/>
    <n v="1400"/>
    <n v="-71904"/>
    <n v="-76413"/>
    <n v="-77964"/>
    <n v="-92550"/>
    <n v="-84634"/>
    <n v="-117904.5"/>
    <n v="-108016"/>
    <n v="-117319"/>
    <n v="-145299"/>
    <n v="-116477"/>
    <n v="-151996.75"/>
    <n v="-85451"/>
    <n v="-1245928.25"/>
    <n v="-66545.75"/>
  </r>
  <r>
    <x v="1"/>
    <x v="1"/>
    <x v="0"/>
    <s v="2561200"/>
    <n v="400040"/>
    <s v="Physician Svcs Rev--Self Pay"/>
    <s v="Ortho/Sport Med-FW-Ortho Surg"/>
    <x v="0"/>
    <n v="1500"/>
    <n v="-2531"/>
    <n v="-3362"/>
    <n v="-3256"/>
    <n v="-974"/>
    <n v="-6032"/>
    <n v="719"/>
    <n v="-4561"/>
    <n v="-443"/>
    <n v="-3386"/>
    <n v="-6216"/>
    <n v="-16680.45"/>
    <n v="-3474"/>
    <n v="-50196.45"/>
    <n v="-13206.45"/>
  </r>
  <r>
    <x v="1"/>
    <x v="1"/>
    <x v="0"/>
    <s v="2561200"/>
    <n v="400040"/>
    <s v="Physician Svcs Rev--Other"/>
    <s v="Ortho/Sport Med-FW-Ortho Surg"/>
    <x v="0"/>
    <n v="1700"/>
    <n v="-30548"/>
    <n v="-30777"/>
    <n v="-30096"/>
    <n v="-33274"/>
    <n v="-16042"/>
    <n v="-30710"/>
    <n v="-19003"/>
    <n v="-33440"/>
    <n v="-48120"/>
    <n v="-41434"/>
    <n v="-46692"/>
    <n v="-80420"/>
    <n v="-440556"/>
    <n v="33728"/>
  </r>
  <r>
    <x v="2"/>
    <x v="1"/>
    <x v="0"/>
    <s v="2561200"/>
    <n v="450029"/>
    <s v="Contr Allow--MD Other-Medicare"/>
    <s v="Ortho/Sport Med-FW-Ortho Surg"/>
    <x v="0"/>
    <n v="1100"/>
    <n v="4042.97"/>
    <n v="5126.07"/>
    <n v="4434.6499999999996"/>
    <n v="4495.99"/>
    <n v="4704.2700000000004"/>
    <n v="2908.68"/>
    <n v="4335.28"/>
    <n v="3054.57"/>
    <n v="4061.67"/>
    <n v="5731.29"/>
    <n v="6492.84"/>
    <n v="4668.26"/>
    <n v="54056.54"/>
    <n v="1824.58"/>
  </r>
  <r>
    <x v="2"/>
    <x v="1"/>
    <x v="0"/>
    <s v="2561200"/>
    <n v="450029"/>
    <s v="Contr Allow--MD Other-Medicaid"/>
    <s v="Ortho/Sport Med-FW-Ortho Surg"/>
    <x v="0"/>
    <n v="1200"/>
    <n v="2412.0700000000002"/>
    <n v="3207.62"/>
    <n v="1873.01"/>
    <n v="1964.73"/>
    <n v="2704.61"/>
    <n v="2686.32"/>
    <n v="1384.4"/>
    <n v="1886.78"/>
    <n v="1718.15"/>
    <n v="978.49"/>
    <n v="2562.7199999999998"/>
    <n v="2878.07"/>
    <n v="26256.970000000005"/>
    <n v="-315.35000000000036"/>
  </r>
  <r>
    <x v="2"/>
    <x v="1"/>
    <x v="0"/>
    <s v="2561200"/>
    <n v="450029"/>
    <s v="Contr Allow--MD Other-Comm Insurance"/>
    <s v="Ortho/Sport Med-FW-Ortho Surg"/>
    <x v="0"/>
    <n v="1300"/>
    <n v="0"/>
    <n v="119.35"/>
    <n v="69.83"/>
    <n v="62.87"/>
    <n v="108.49"/>
    <n v="27.67"/>
    <n v="67.37"/>
    <n v="36.93"/>
    <n v="88.32"/>
    <n v="194.33"/>
    <n v="-38.26"/>
    <n v="104.71"/>
    <n v="841.61000000000013"/>
    <n v="-142.97"/>
  </r>
  <r>
    <x v="2"/>
    <x v="1"/>
    <x v="0"/>
    <s v="2561200"/>
    <n v="450029"/>
    <s v="Contr Allow--MD Other BCBS Comm"/>
    <s v="Ortho/Sport Med-FW-Ortho Surg"/>
    <x v="0"/>
    <n v="1301"/>
    <n v="387.9"/>
    <n v="265.52"/>
    <n v="150.32"/>
    <n v="213.13"/>
    <n v="368.1"/>
    <n v="587.42999999999995"/>
    <n v="265.72000000000003"/>
    <n v="283.38"/>
    <n v="429.58"/>
    <n v="264.3"/>
    <n v="596.91999999999996"/>
    <n v="473.15"/>
    <n v="4285.45"/>
    <n v="123.76999999999998"/>
  </r>
  <r>
    <x v="2"/>
    <x v="1"/>
    <x v="0"/>
    <s v="2561200"/>
    <n v="450029"/>
    <s v="Contr Allow--MD Other-Managed Care"/>
    <s v="Ortho/Sport Med-FW-Ortho Surg"/>
    <x v="0"/>
    <n v="1400"/>
    <n v="1743.24"/>
    <n v="1400.71"/>
    <n v="1409.55"/>
    <n v="1950.53"/>
    <n v="1456.79"/>
    <n v="983.19"/>
    <n v="1022.67"/>
    <n v="1304.94"/>
    <n v="1755.04"/>
    <n v="1366.68"/>
    <n v="1888.67"/>
    <n v="1546.98"/>
    <n v="17828.990000000002"/>
    <n v="341.69000000000005"/>
  </r>
  <r>
    <x v="2"/>
    <x v="1"/>
    <x v="0"/>
    <s v="2561200"/>
    <n v="450029"/>
    <s v="Admin Adjust-MD Other-Self Pay"/>
    <s v="Ortho/Sport Med-FW-Ortho Surg"/>
    <x v="0"/>
    <n v="1600"/>
    <n v="159.61000000000001"/>
    <n v="35.909999999999997"/>
    <n v="198.85"/>
    <n v="38.21"/>
    <n v="37.46"/>
    <n v="51.19"/>
    <n v="74.739999999999995"/>
    <n v="172.26"/>
    <n v="251.75"/>
    <n v="432.79"/>
    <n v="13.32"/>
    <n v="189.05"/>
    <n v="1655.1399999999999"/>
    <n v="-175.73000000000002"/>
  </r>
  <r>
    <x v="2"/>
    <x v="1"/>
    <x v="0"/>
    <s v="2561200"/>
    <n v="450029"/>
    <s v="Contr Allow--MD Other-Other"/>
    <s v="Ortho/Sport Med-FW-Ortho Surg"/>
    <x v="0"/>
    <n v="1700"/>
    <n v="155.33000000000001"/>
    <n v="287.89"/>
    <n v="-10.81"/>
    <n v="204.41"/>
    <n v="195.46"/>
    <n v="145.51"/>
    <n v="219"/>
    <n v="65.489999999999995"/>
    <n v="94.8"/>
    <n v="82.52"/>
    <n v="325.63"/>
    <n v="409.13"/>
    <n v="2174.36"/>
    <n v="-83.5"/>
  </r>
  <r>
    <x v="2"/>
    <x v="1"/>
    <x v="0"/>
    <s v="2561200"/>
    <n v="450040"/>
    <s v="Contr Allow--Phys Svcs--Mcare"/>
    <s v="Ortho/Sport Med-FW-Ortho Surg"/>
    <x v="0"/>
    <n v="1100"/>
    <n v="103745.38"/>
    <n v="102370.02"/>
    <n v="109134.7"/>
    <n v="116976.06"/>
    <n v="144222.23000000001"/>
    <n v="89019.18"/>
    <n v="108768.68"/>
    <n v="97219.01"/>
    <n v="195725.53"/>
    <n v="202283.22"/>
    <n v="223068.29"/>
    <n v="202189.57"/>
    <n v="1694721.87"/>
    <n v="20878.72"/>
  </r>
  <r>
    <x v="2"/>
    <x v="1"/>
    <x v="0"/>
    <s v="2561200"/>
    <n v="450040"/>
    <s v="Contr Allow--Phys Svcs--Mcaid"/>
    <s v="Ortho/Sport Med-FW-Ortho Surg"/>
    <x v="0"/>
    <n v="1200"/>
    <n v="39013.870000000003"/>
    <n v="65759.11"/>
    <n v="38445.53"/>
    <n v="30318.98"/>
    <n v="52252.91"/>
    <n v="42908.160000000003"/>
    <n v="52872.06"/>
    <n v="55392.4"/>
    <n v="83998.8"/>
    <n v="75975.820000000007"/>
    <n v="79430.720000000001"/>
    <n v="92518.07"/>
    <n v="708886.43000000017"/>
    <n v="-13087.350000000006"/>
  </r>
  <r>
    <x v="2"/>
    <x v="1"/>
    <x v="0"/>
    <s v="2561200"/>
    <n v="450040"/>
    <s v="Contr Allow--Phys Svcs--Comm Insurance"/>
    <s v="Ortho/Sport Med-FW-Ortho Surg"/>
    <x v="0"/>
    <n v="1300"/>
    <n v="1236.05"/>
    <n v="672.56"/>
    <n v="-77.87"/>
    <n v="1167.0899999999999"/>
    <n v="2850.01"/>
    <n v="2833.95"/>
    <n v="4995.74"/>
    <n v="977.74"/>
    <n v="1915.1"/>
    <n v="6922.51"/>
    <n v="13562.28"/>
    <n v="3365.53"/>
    <n v="40420.689999999995"/>
    <n v="10196.75"/>
  </r>
  <r>
    <x v="2"/>
    <x v="1"/>
    <x v="0"/>
    <s v="2561200"/>
    <n v="450040"/>
    <s v="Contr Allow--Phys Svcs--BCBS Comm Ins"/>
    <s v="Ortho/Sport Med-FW-Ortho Surg"/>
    <x v="0"/>
    <n v="1301"/>
    <n v="8110.22"/>
    <n v="7518.84"/>
    <n v="4778.59"/>
    <n v="6426.3"/>
    <n v="10435.200000000001"/>
    <n v="6876.1"/>
    <n v="13168.41"/>
    <n v="4869.7299999999996"/>
    <n v="18136.8"/>
    <n v="24756.6"/>
    <n v="6710.3"/>
    <n v="21066.32"/>
    <n v="132853.41"/>
    <n v="-14356.02"/>
  </r>
  <r>
    <x v="2"/>
    <x v="1"/>
    <x v="0"/>
    <s v="2561200"/>
    <n v="450040"/>
    <s v="Contr Allow--Phys Svcs--Managed Care"/>
    <s v="Ortho/Sport Med-FW-Ortho Surg"/>
    <x v="0"/>
    <n v="1400"/>
    <n v="19747.87"/>
    <n v="27062.49"/>
    <n v="24399.919999999998"/>
    <n v="30104.83"/>
    <n v="35615.629999999997"/>
    <n v="33387.9"/>
    <n v="46943.66"/>
    <n v="37487.160000000003"/>
    <n v="82112.820000000007"/>
    <n v="65709.600000000006"/>
    <n v="63771.28"/>
    <n v="60926.559999999998"/>
    <n v="527269.72"/>
    <n v="2844.7200000000012"/>
  </r>
  <r>
    <x v="2"/>
    <x v="1"/>
    <x v="0"/>
    <s v="2561200"/>
    <n v="450040"/>
    <s v="Contr Allow--Phys Svcs--BCBS Mgnd Care"/>
    <s v="Ortho/Sport Med-FW-Ortho Surg"/>
    <x v="0"/>
    <n v="1401"/>
    <n v="5608.94"/>
    <n v="11453.26"/>
    <n v="4873.8100000000004"/>
    <n v="46209.08"/>
    <n v="-15734.12"/>
    <n v="49750.62"/>
    <n v="29336.85"/>
    <n v="99010.22"/>
    <n v="20693.46"/>
    <n v="-53182.81"/>
    <n v="25361.54"/>
    <n v="-18874.34"/>
    <n v="204506.51"/>
    <n v="44235.880000000005"/>
  </r>
  <r>
    <x v="2"/>
    <x v="1"/>
    <x v="0"/>
    <s v="2561200"/>
    <n v="450040"/>
    <s v="Prompt Pay Disc-Phys Svcs-Self Pay"/>
    <s v="Ortho/Sport Med-FW-Ortho Surg"/>
    <x v="0"/>
    <n v="1500"/>
    <n v="0"/>
    <n v="0"/>
    <n v="0"/>
    <n v="18.71"/>
    <n v="0"/>
    <n v="-18.71"/>
    <n v="0"/>
    <n v="0"/>
    <n v="0"/>
    <n v="0"/>
    <n v="0"/>
    <n v="0"/>
    <n v="0"/>
    <n v="0"/>
  </r>
  <r>
    <x v="2"/>
    <x v="1"/>
    <x v="0"/>
    <s v="2561200"/>
    <n v="450040"/>
    <s v="Admin Adjust-Phys Svcs-Self Pay"/>
    <s v="Ortho/Sport Med-FW-Ortho Surg"/>
    <x v="0"/>
    <n v="1600"/>
    <n v="1756.81"/>
    <n v="-3118.95"/>
    <n v="4907.92"/>
    <n v="777.62"/>
    <n v="5753.75"/>
    <n v="3511.76"/>
    <n v="-2656.05"/>
    <n v="3608.91"/>
    <n v="1617.84"/>
    <n v="80440.600000000006"/>
    <n v="6999.79"/>
    <n v="2548.64"/>
    <n v="106148.64"/>
    <n v="4451.1499999999996"/>
  </r>
  <r>
    <x v="2"/>
    <x v="1"/>
    <x v="0"/>
    <s v="2561200"/>
    <n v="450040"/>
    <s v="Contr Allow--Phys Svcs--Other"/>
    <s v="Ortho/Sport Med-FW-Ortho Surg"/>
    <x v="0"/>
    <n v="1700"/>
    <n v="11774.44"/>
    <n v="13647.65"/>
    <n v="15208.13"/>
    <n v="9076.4599999999991"/>
    <n v="6639.4"/>
    <n v="6960.39"/>
    <n v="9164.73"/>
    <n v="8491.61"/>
    <n v="14815.03"/>
    <n v="22407.89"/>
    <n v="26158.78"/>
    <n v="19523.04"/>
    <n v="163867.55000000002"/>
    <n v="6635.739999999998"/>
  </r>
  <r>
    <x v="3"/>
    <x v="1"/>
    <x v="0"/>
    <s v="2561200"/>
    <n v="470040"/>
    <s v="Charity Care-Physician Svcs"/>
    <s v="Ortho/Sport Med-FW-Ortho Surg"/>
    <x v="0"/>
    <m/>
    <n v="2919.36"/>
    <n v="5325.03"/>
    <n v="652.62"/>
    <n v="2117.98"/>
    <n v="416.48"/>
    <n v="1242.3399999999999"/>
    <n v="2137.9299999999998"/>
    <n v="4781.13"/>
    <n v="3833.04"/>
    <n v="1922.17"/>
    <n v="1947.01"/>
    <n v="3254.71"/>
    <n v="30549.8"/>
    <n v="-1307.7"/>
  </r>
  <r>
    <x v="4"/>
    <x v="1"/>
    <x v="0"/>
    <s v="2561200"/>
    <n v="490010"/>
    <s v="Provision for Bad Debts"/>
    <s v="Ortho/Sport Med-FW-Ortho Surg"/>
    <x v="0"/>
    <m/>
    <n v="1457.95"/>
    <n v="3967.16"/>
    <n v="-459.35"/>
    <n v="6046.39"/>
    <n v="6816.16"/>
    <n v="5960.6"/>
    <n v="-2019.48"/>
    <n v="12122.29"/>
    <n v="10686.52"/>
    <n v="-7106.66"/>
    <n v="5335.78"/>
    <n v="3732.65"/>
    <n v="46540.01"/>
    <n v="1603.1299999999997"/>
  </r>
  <r>
    <x v="14"/>
    <x v="1"/>
    <x v="0"/>
    <s v="2561200"/>
    <n v="600050"/>
    <s v="Miscellaneous Revenue"/>
    <s v="Ortho/Sport Med-FW-Ortho Surg"/>
    <x v="0"/>
    <m/>
    <n v="-4000"/>
    <n v="-9000"/>
    <n v="-21200"/>
    <n v="-21300"/>
    <n v="-8000"/>
    <n v="-19000"/>
    <n v="-8000"/>
    <n v="-15900"/>
    <n v="-14000"/>
    <n v="-21300"/>
    <n v="-17600"/>
    <n v="-11000"/>
    <n v="-170300"/>
    <n v="-6600"/>
  </r>
  <r>
    <x v="5"/>
    <x v="1"/>
    <x v="0"/>
    <s v="2561200"/>
    <n v="700022"/>
    <s v="Salaries-Physician-Productive"/>
    <s v="Ortho/Sport Med-FW-Ortho Surg"/>
    <x v="0"/>
    <m/>
    <n v="90150.57"/>
    <n v="183033.94"/>
    <n v="122809.67"/>
    <n v="181151.25"/>
    <n v="139264.06"/>
    <n v="113350.16"/>
    <n v="142995.72"/>
    <n v="143552.56"/>
    <n v="173859.52"/>
    <n v="193266.2"/>
    <n v="200938.55"/>
    <n v="174587.34"/>
    <n v="1858959.54"/>
    <n v="26351.209999999992"/>
  </r>
  <r>
    <x v="5"/>
    <x v="1"/>
    <x v="0"/>
    <s v="2561200"/>
    <n v="700022"/>
    <s v="Salaries-Physician-Other"/>
    <s v="Ortho/Sport Med-FW-Ortho Surg"/>
    <x v="0"/>
    <n v="2000"/>
    <n v="12772.75"/>
    <n v="9000"/>
    <n v="21200"/>
    <n v="21300"/>
    <n v="8000"/>
    <n v="19000"/>
    <n v="8000"/>
    <n v="15900"/>
    <n v="14000"/>
    <n v="21300"/>
    <n v="17600"/>
    <n v="11000"/>
    <n v="179072.75"/>
    <n v="6600"/>
  </r>
  <r>
    <x v="5"/>
    <x v="1"/>
    <x v="0"/>
    <s v="2561200"/>
    <n v="700022"/>
    <s v="Salaries-Physician-Provider Incentive"/>
    <s v="Ortho/Sport Med-FW-Ortho Surg"/>
    <x v="0"/>
    <n v="4003"/>
    <n v="9364.93"/>
    <n v="-54242.99"/>
    <n v="-14082.99"/>
    <n v="-14082.99"/>
    <n v="-14082.99"/>
    <n v="-10424.83"/>
    <n v="0"/>
    <n v="0"/>
    <n v="0"/>
    <n v="0"/>
    <n v="13200.05"/>
    <n v="22836.13"/>
    <n v="-61515.679999999993"/>
    <n v="-9636.0800000000017"/>
  </r>
  <r>
    <x v="5"/>
    <x v="1"/>
    <x v="0"/>
    <s v="2561200"/>
    <n v="700024"/>
    <s v="Salaries-Advanced Practice Clinician-Productive"/>
    <s v="Ortho/Sport Med-FW-Ortho Surg"/>
    <x v="0"/>
    <m/>
    <n v="9357.43"/>
    <n v="9782.7800000000007"/>
    <n v="8506.76"/>
    <n v="9782.77"/>
    <n v="18912.64"/>
    <n v="18965.05"/>
    <n v="20803.05"/>
    <n v="18159.62"/>
    <n v="18573.73"/>
    <n v="19962.52"/>
    <n v="21715.98"/>
    <n v="19054.91"/>
    <n v="193577.24000000002"/>
    <n v="2661.0699999999997"/>
  </r>
  <r>
    <x v="5"/>
    <x v="1"/>
    <x v="0"/>
    <s v="2561200"/>
    <n v="700024"/>
    <s v="Salaries-Advanced Practice Clinician-Other"/>
    <s v="Ortho/Sport Med-FW-Ortho Surg"/>
    <x v="0"/>
    <n v="2000"/>
    <n v="0"/>
    <n v="0"/>
    <n v="0"/>
    <n v="0"/>
    <n v="0"/>
    <n v="0"/>
    <n v="0"/>
    <n v="0"/>
    <n v="0"/>
    <n v="0"/>
    <n v="0"/>
    <n v="976.27"/>
    <n v="976.27"/>
    <n v="-976.27"/>
  </r>
  <r>
    <x v="5"/>
    <x v="1"/>
    <x v="0"/>
    <s v="2561200"/>
    <n v="700032"/>
    <s v="Salaries-Other Pat Care Providers-Productive"/>
    <s v="Ortho/Sport Med-FW-Ortho Surg"/>
    <x v="0"/>
    <m/>
    <n v="6927.2"/>
    <n v="4702.59"/>
    <n v="4136.99"/>
    <n v="4273.91"/>
    <n v="4060.27"/>
    <n v="4119.38"/>
    <n v="4282.6099999999997"/>
    <n v="3295.4"/>
    <n v="4532.87"/>
    <n v="2828.04"/>
    <n v="5369.09"/>
    <n v="3634.01"/>
    <n v="52162.360000000008"/>
    <n v="1735.08"/>
  </r>
  <r>
    <x v="5"/>
    <x v="1"/>
    <x v="0"/>
    <s v="2561200"/>
    <n v="700032"/>
    <s v="Salaries-Other Pat Care Providers-OT"/>
    <s v="Ortho/Sport Med-FW-Ortho Surg"/>
    <x v="0"/>
    <n v="1000"/>
    <n v="96.24"/>
    <n v="1122.8"/>
    <n v="311.54000000000002"/>
    <n v="65.12"/>
    <n v="102.58"/>
    <n v="-20.92"/>
    <n v="102.71"/>
    <n v="-29.34"/>
    <n v="110.05"/>
    <n v="144.61000000000001"/>
    <n v="28.34"/>
    <n v="52.41"/>
    <n v="2086.14"/>
    <n v="-24.069999999999997"/>
  </r>
  <r>
    <x v="5"/>
    <x v="1"/>
    <x v="0"/>
    <s v="2561200"/>
    <n v="700032"/>
    <s v="Salaries-Other Pat Care Providers-Other"/>
    <s v="Ortho/Sport Med-FW-Ortho Surg"/>
    <x v="0"/>
    <n v="2000"/>
    <n v="230.31"/>
    <n v="264.22000000000003"/>
    <n v="212.35"/>
    <n v="238.14"/>
    <n v="221.57"/>
    <n v="211.39"/>
    <n v="235.3"/>
    <n v="200.26"/>
    <n v="212.19"/>
    <n v="225.63"/>
    <n v="232.25"/>
    <n v="199.4"/>
    <n v="2683.01"/>
    <n v="32.849999999999994"/>
  </r>
  <r>
    <x v="5"/>
    <x v="1"/>
    <x v="0"/>
    <s v="2561200"/>
    <n v="700034"/>
    <s v="Salaries-Tech/Professional-Productive"/>
    <s v="Ortho/Sport Med-FW-Ortho Surg"/>
    <x v="0"/>
    <m/>
    <n v="5365.71"/>
    <n v="6120.76"/>
    <n v="5038.18"/>
    <n v="6246.2"/>
    <n v="5988"/>
    <n v="4989.6899999999996"/>
    <n v="5522.1"/>
    <n v="3465.15"/>
    <n v="4773.3100000000004"/>
    <n v="6964.34"/>
    <n v="6342.92"/>
    <n v="5457.04"/>
    <n v="66273.399999999994"/>
    <n v="885.88000000000011"/>
  </r>
  <r>
    <x v="5"/>
    <x v="1"/>
    <x v="0"/>
    <s v="2561200"/>
    <n v="700034"/>
    <s v="Salaries-Tech/Professional-OT"/>
    <s v="Ortho/Sport Med-FW-Ortho Surg"/>
    <x v="0"/>
    <n v="1000"/>
    <n v="0"/>
    <n v="0"/>
    <n v="0"/>
    <n v="0"/>
    <n v="0"/>
    <n v="0"/>
    <n v="19.32"/>
    <n v="-5.51"/>
    <n v="0"/>
    <n v="23.47"/>
    <n v="-9.66"/>
    <n v="27.62"/>
    <n v="55.24"/>
    <n v="-37.28"/>
  </r>
  <r>
    <x v="5"/>
    <x v="1"/>
    <x v="0"/>
    <s v="2561200"/>
    <n v="700034"/>
    <s v="Salaries-Tech/Professional-Other"/>
    <s v="Ortho/Sport Med-FW-Ortho Surg"/>
    <x v="0"/>
    <n v="2000"/>
    <n v="0"/>
    <n v="0"/>
    <n v="0"/>
    <n v="0"/>
    <n v="0"/>
    <n v="0"/>
    <n v="0"/>
    <n v="0"/>
    <n v="0"/>
    <n v="0"/>
    <n v="0"/>
    <n v="14.26"/>
    <n v="14.26"/>
    <n v="-14.26"/>
  </r>
  <r>
    <x v="5"/>
    <x v="1"/>
    <x v="0"/>
    <s v="2561200"/>
    <n v="700054"/>
    <s v="Salaries-Management-NonProd-Other"/>
    <s v="Ortho/Sport Med-FW-Ortho Surg"/>
    <x v="0"/>
    <n v="2000"/>
    <n v="0"/>
    <n v="0"/>
    <n v="0"/>
    <n v="0"/>
    <n v="0"/>
    <n v="147.86000000000001"/>
    <n v="-147.86000000000001"/>
    <n v="0"/>
    <n v="0"/>
    <n v="0"/>
    <n v="0"/>
    <n v="0"/>
    <n v="0"/>
    <n v="0"/>
  </r>
  <r>
    <x v="5"/>
    <x v="1"/>
    <x v="0"/>
    <s v="2561200"/>
    <n v="700062"/>
    <s v="Salaries-Physician-Non-productive"/>
    <s v="Ortho/Sport Med-FW-Ortho Surg"/>
    <x v="0"/>
    <m/>
    <n v="33561.39"/>
    <n v="-5593.56"/>
    <n v="11538.46"/>
    <n v="8072.64"/>
    <n v="36775.360000000001"/>
    <n v="54683.95"/>
    <n v="41323.31"/>
    <n v="17974.080000000002"/>
    <n v="-4622.1400000000003"/>
    <n v="0"/>
    <n v="0"/>
    <n v="0"/>
    <n v="193713.49"/>
    <n v="0"/>
  </r>
  <r>
    <x v="5"/>
    <x v="1"/>
    <x v="0"/>
    <s v="2561200"/>
    <n v="700062"/>
    <s v="Salaries-Physician-NonProd-Other"/>
    <s v="Ortho/Sport Med-FW-Ortho Surg"/>
    <x v="0"/>
    <n v="2000"/>
    <n v="-779.08"/>
    <n v="129.84"/>
    <n v="0"/>
    <n v="0"/>
    <n v="0"/>
    <n v="-6525.38"/>
    <n v="-16820.740000000002"/>
    <n v="-898.28"/>
    <n v="0"/>
    <n v="0"/>
    <n v="0"/>
    <n v="0"/>
    <n v="-24893.64"/>
    <n v="0"/>
  </r>
  <r>
    <x v="5"/>
    <x v="1"/>
    <x v="0"/>
    <s v="2561200"/>
    <n v="700064"/>
    <s v="Salaries-Advanced Practice Clinician-Non-Productive"/>
    <s v="Ortho/Sport Med-FW-Ortho Surg"/>
    <x v="0"/>
    <m/>
    <n v="1366.78"/>
    <n v="1360.94"/>
    <n v="2211.34"/>
    <n v="2280.2600000000002"/>
    <n v="2483.61"/>
    <n v="2493.85"/>
    <n v="2482.66"/>
    <n v="2454.0700000000002"/>
    <n v="2941.71"/>
    <n v="2444"/>
    <n v="2437.89"/>
    <n v="2422.34"/>
    <n v="27379.45"/>
    <n v="15.549999999999727"/>
  </r>
  <r>
    <x v="5"/>
    <x v="1"/>
    <x v="0"/>
    <s v="2561200"/>
    <n v="700072"/>
    <s v="Salaries-Other Pat Care Providers-Non-productive"/>
    <s v="Ortho/Sport Med-FW-Ortho Surg"/>
    <x v="0"/>
    <m/>
    <n v="2249.88"/>
    <n v="-179.74"/>
    <n v="214.56"/>
    <n v="892.02"/>
    <n v="744.99"/>
    <n v="542.92999999999995"/>
    <n v="824.57"/>
    <n v="1127.3699999999999"/>
    <n v="61.26"/>
    <n v="2039.31"/>
    <n v="-280.79000000000002"/>
    <n v="715.78"/>
    <n v="8952.14"/>
    <n v="-996.56999999999994"/>
  </r>
  <r>
    <x v="5"/>
    <x v="1"/>
    <x v="0"/>
    <s v="2561200"/>
    <n v="700072"/>
    <s v="Salaries-Other Pat Care Providers-NonProd-Other"/>
    <s v="Ortho/Sport Med-FW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1200"/>
    <n v="700074"/>
    <s v="Salaries-Tech/Professional-Non-productive"/>
    <s v="Ortho/Sport Med-FW-Ortho Surg"/>
    <x v="0"/>
    <m/>
    <n v="771.12"/>
    <n v="415.9"/>
    <n v="700.62"/>
    <n v="512.41"/>
    <n v="465.13"/>
    <n v="1217.0899999999999"/>
    <n v="1312.87"/>
    <n v="2411.96"/>
    <n v="902.2"/>
    <n v="-331.41"/>
    <n v="432.7"/>
    <n v="865.37"/>
    <n v="9675.9600000000009"/>
    <n v="-432.67"/>
  </r>
  <r>
    <x v="5"/>
    <x v="1"/>
    <x v="0"/>
    <s v="2561200"/>
    <n v="700074"/>
    <s v="Salaries-Tech/Professional-NonProd-Other"/>
    <s v="Ortho/Sport Med-FW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1200"/>
    <n v="700084"/>
    <s v="Accrued PTO"/>
    <s v="Ortho/Sport Med-FW-Ortho Surg"/>
    <x v="0"/>
    <m/>
    <n v="-144.33000000000001"/>
    <n v="1005.68"/>
    <n v="449.67"/>
    <n v="339.01"/>
    <n v="255.43"/>
    <n v="-136.27000000000001"/>
    <n v="-773.44"/>
    <n v="-848.51"/>
    <n v="-101.9"/>
    <n v="-618.42999999999995"/>
    <n v="1051.6500000000001"/>
    <n v="281.32"/>
    <n v="759.88000000000011"/>
    <n v="770.33000000000015"/>
  </r>
  <r>
    <x v="6"/>
    <x v="1"/>
    <x v="0"/>
    <s v="2561200"/>
    <n v="713010"/>
    <s v="Benefits-FICA/Medicare"/>
    <s v="Ortho/Sport Med-FW-Ortho Surg"/>
    <x v="0"/>
    <m/>
    <n v="3821.42"/>
    <n v="4210.47"/>
    <n v="4056.12"/>
    <n v="8070.52"/>
    <n v="7418.89"/>
    <n v="9593.4500000000007"/>
    <n v="15330.9"/>
    <n v="14483.28"/>
    <n v="9222.7099999999991"/>
    <n v="6751.98"/>
    <n v="7316.99"/>
    <n v="7484.76"/>
    <n v="97761.49"/>
    <n v="-167.77000000000044"/>
  </r>
  <r>
    <x v="6"/>
    <x v="1"/>
    <x v="0"/>
    <s v="2561200"/>
    <n v="713090"/>
    <s v="Benefits-Allocated Amounts"/>
    <s v="Ortho/Sport Med-FW-Ortho Surg"/>
    <x v="0"/>
    <m/>
    <n v="0"/>
    <n v="0"/>
    <n v="0"/>
    <n v="0"/>
    <n v="0"/>
    <n v="0"/>
    <n v="0"/>
    <n v="0"/>
    <n v="42923.33"/>
    <n v="6173.24"/>
    <n v="6422.19"/>
    <n v="6497.06"/>
    <n v="62015.82"/>
    <n v="-74.8700000000008"/>
  </r>
  <r>
    <x v="6"/>
    <x v="1"/>
    <x v="0"/>
    <s v="2561200"/>
    <n v="713092"/>
    <s v="Allocated Benefits-Physician"/>
    <s v="Ortho/Sport Med-FW-Ortho Surg"/>
    <x v="0"/>
    <m/>
    <n v="10553.22"/>
    <n v="8371.35"/>
    <n v="9192.49"/>
    <n v="11151.62"/>
    <n v="11154.67"/>
    <n v="12607.94"/>
    <n v="14291.82"/>
    <n v="14091.68"/>
    <n v="-25844.22"/>
    <n v="9430.36"/>
    <n v="9810.68"/>
    <n v="9925.0400000000009"/>
    <n v="94736.650000000023"/>
    <n v="-114.36000000000058"/>
  </r>
  <r>
    <x v="6"/>
    <x v="1"/>
    <x v="0"/>
    <s v="2561200"/>
    <n v="713093"/>
    <s v="Allocated Benefits-Advanced Practice Clinician"/>
    <s v="Ortho/Sport Med-FW-Ortho Surg"/>
    <x v="0"/>
    <m/>
    <n v="2624.25"/>
    <n v="2081.6799999999998"/>
    <n v="2285.88"/>
    <n v="2773.05"/>
    <n v="2773.81"/>
    <n v="3135.18"/>
    <n v="3553.92"/>
    <n v="3504.15"/>
    <n v="2659.87"/>
    <n v="3651.85"/>
    <n v="3799.12"/>
    <n v="3843.42"/>
    <n v="36686.18"/>
    <n v="-44.300000000000182"/>
  </r>
  <r>
    <x v="0"/>
    <x v="1"/>
    <x v="0"/>
    <s v="2561200"/>
    <n v="740022"/>
    <s v="Education-Physician"/>
    <s v="Ortho/Sport Med-FW-Ortho Surg"/>
    <x v="0"/>
    <m/>
    <n v="0"/>
    <n v="0"/>
    <n v="0"/>
    <n v="0"/>
    <n v="0"/>
    <n v="0"/>
    <n v="0"/>
    <n v="0"/>
    <n v="0"/>
    <n v="1425"/>
    <n v="0"/>
    <n v="0"/>
    <n v="1425"/>
    <n v="0"/>
  </r>
  <r>
    <x v="8"/>
    <x v="1"/>
    <x v="0"/>
    <s v="2561200"/>
    <n v="741012"/>
    <s v="Physician Liab Insurance-CHI Program"/>
    <s v="Ortho/Sport Med-FW-Ortho Surg"/>
    <x v="0"/>
    <m/>
    <n v="4679.8500000000004"/>
    <n v="4679.8500000000004"/>
    <n v="4679.8500000000004"/>
    <n v="7262.15"/>
    <n v="7262.17"/>
    <n v="7262.15"/>
    <n v="7262.17"/>
    <n v="7262.15"/>
    <n v="7262.17"/>
    <n v="10217.86"/>
    <n v="10217.870000000001"/>
    <n v="10217.86"/>
    <n v="88266.099999999991"/>
    <n v="1.0000000000218279E-2"/>
  </r>
  <r>
    <x v="8"/>
    <x v="1"/>
    <x v="0"/>
    <s v="2561200"/>
    <n v="741016"/>
    <s v="Premium Expense to PPIC"/>
    <s v="Ortho/Sport Med-FW-Ortho Surg"/>
    <x v="0"/>
    <m/>
    <n v="1609.32"/>
    <n v="1609.34"/>
    <n v="2794.82"/>
    <n v="2794.82"/>
    <n v="2794.83"/>
    <n v="2833.21"/>
    <n v="2833.21"/>
    <n v="2833.22"/>
    <n v="0"/>
    <n v="0"/>
    <n v="0"/>
    <n v="2896.17"/>
    <n v="22998.940000000002"/>
    <n v="-2896.17"/>
  </r>
  <r>
    <x v="0"/>
    <x v="1"/>
    <x v="0"/>
    <s v="2561200"/>
    <n v="743022"/>
    <s v="Dues-Physician"/>
    <s v="Ortho/Sport Med-FW-Ortho Surg"/>
    <x v="0"/>
    <m/>
    <n v="773"/>
    <n v="295"/>
    <n v="773"/>
    <n v="770"/>
    <n v="0"/>
    <n v="909"/>
    <n v="0"/>
    <n v="1605"/>
    <n v="0"/>
    <n v="1528"/>
    <n v="0"/>
    <n v="0"/>
    <n v="6653"/>
    <n v="0"/>
  </r>
  <r>
    <x v="0"/>
    <x v="1"/>
    <x v="0"/>
    <s v="2561200"/>
    <n v="743023"/>
    <s v="Dues-Advanced Practice Clinician"/>
    <s v="Ortho/Sport Med-FW-Ortho Surg"/>
    <x v="0"/>
    <m/>
    <n v="0"/>
    <n v="0"/>
    <n v="0"/>
    <n v="0"/>
    <n v="0"/>
    <n v="0"/>
    <n v="0"/>
    <n v="0"/>
    <n v="0"/>
    <n v="0"/>
    <n v="0"/>
    <n v="295"/>
    <n v="295"/>
    <n v="-295"/>
  </r>
  <r>
    <x v="0"/>
    <x v="1"/>
    <x v="0"/>
    <s v="2561200"/>
    <n v="749510"/>
    <s v="Miscellaneous Expenses"/>
    <s v="Ortho/Sport Med-FW-Ortho Surg"/>
    <x v="0"/>
    <m/>
    <n v="0"/>
    <n v="0"/>
    <n v="0"/>
    <n v="0"/>
    <n v="459"/>
    <n v="-459"/>
    <n v="170"/>
    <n v="-170"/>
    <n v="0"/>
    <n v="0"/>
    <n v="0"/>
    <n v="0"/>
    <n v="0"/>
    <n v="0"/>
  </r>
  <r>
    <x v="0"/>
    <x v="1"/>
    <x v="0"/>
    <s v="2561200"/>
    <n v="749512"/>
    <s v="Licenses-Physician"/>
    <s v="Ortho/Sport Med-FW-Ortho Surg"/>
    <x v="0"/>
    <n v="2000"/>
    <n v="0"/>
    <n v="0"/>
    <n v="0"/>
    <n v="731"/>
    <n v="0"/>
    <n v="0"/>
    <n v="0"/>
    <n v="0"/>
    <n v="441"/>
    <n v="0"/>
    <n v="0"/>
    <n v="441"/>
    <n v="1613"/>
    <n v="-441"/>
  </r>
  <r>
    <x v="0"/>
    <x v="1"/>
    <x v="0"/>
    <s v="2561200"/>
    <n v="749513"/>
    <s v="Licenses-Advanced Practice Clinician"/>
    <s v="Ortho/Sport Med-FW-Ortho Surg"/>
    <x v="0"/>
    <n v="2000"/>
    <n v="0"/>
    <n v="0"/>
    <n v="0"/>
    <n v="0"/>
    <n v="0"/>
    <n v="0"/>
    <n v="0"/>
    <n v="374.5"/>
    <n v="0"/>
    <n v="0"/>
    <n v="0"/>
    <n v="0"/>
    <n v="374.5"/>
    <n v="0"/>
  </r>
  <r>
    <x v="0"/>
    <x v="1"/>
    <x v="0"/>
    <s v="2561200"/>
    <n v="749532"/>
    <s v="Travel-Physician"/>
    <s v="Ortho/Sport Med-FW-Ortho Surg"/>
    <x v="0"/>
    <m/>
    <n v="0"/>
    <n v="0"/>
    <n v="0"/>
    <n v="0"/>
    <n v="0"/>
    <n v="0"/>
    <n v="0"/>
    <n v="0"/>
    <n v="0"/>
    <n v="1573.9"/>
    <n v="0"/>
    <n v="0"/>
    <n v="1573.9"/>
    <n v="0"/>
  </r>
  <r>
    <x v="9"/>
    <x v="1"/>
    <x v="0"/>
    <s v="2561200"/>
    <n v="800015"/>
    <s v="Interest Income-Ext to CHI"/>
    <s v="Ortho/Sport Med-FW-Ortho Surg"/>
    <x v="0"/>
    <m/>
    <n v="-116.78"/>
    <n v="-110.94"/>
    <n v="-128.01"/>
    <n v="-196.93"/>
    <n v="-191.95"/>
    <n v="-202.18"/>
    <n v="-190.99"/>
    <n v="-162.4"/>
    <n v="-168.6"/>
    <n v="-152.34"/>
    <n v="-146.22999999999999"/>
    <n v="-130.68"/>
    <n v="-1898.0300000000002"/>
    <n v="-15.549999999999983"/>
  </r>
  <r>
    <x v="1"/>
    <x v="1"/>
    <x v="0"/>
    <s v="2562200"/>
    <n v="400029"/>
    <s v="MD Practice Other Rev--Medicare"/>
    <s v="Ortho/Sport Med-FW-Radiology"/>
    <x v="0"/>
    <n v="1100"/>
    <n v="0"/>
    <n v="-65"/>
    <n v="-84"/>
    <n v="0"/>
    <n v="0"/>
    <n v="0"/>
    <n v="0"/>
    <n v="0"/>
    <n v="0"/>
    <n v="0"/>
    <n v="0"/>
    <n v="0"/>
    <n v="-149"/>
    <n v="0"/>
  </r>
  <r>
    <x v="1"/>
    <x v="1"/>
    <x v="0"/>
    <s v="2562200"/>
    <n v="400029"/>
    <s v="MD Practice Other Rev--Comm Insurance"/>
    <s v="Ortho/Sport Med-FW-Radiology"/>
    <x v="0"/>
    <n v="1300"/>
    <n v="0"/>
    <n v="0"/>
    <n v="0"/>
    <n v="-147"/>
    <n v="-84"/>
    <n v="0"/>
    <n v="0"/>
    <n v="0"/>
    <n v="0"/>
    <n v="0"/>
    <n v="0"/>
    <n v="-63"/>
    <n v="-294"/>
    <n v="63"/>
  </r>
  <r>
    <x v="2"/>
    <x v="1"/>
    <x v="0"/>
    <s v="2562200"/>
    <n v="450029"/>
    <s v="Contr Allow--MD Other-Medicare"/>
    <s v="Ortho/Sport Med-FW-Radiology"/>
    <x v="0"/>
    <n v="1100"/>
    <n v="0"/>
    <n v="0"/>
    <n v="0"/>
    <n v="0"/>
    <n v="49.1"/>
    <n v="0"/>
    <n v="0"/>
    <n v="0"/>
    <n v="0"/>
    <n v="0"/>
    <n v="0"/>
    <n v="0"/>
    <n v="49.1"/>
    <n v="0"/>
  </r>
  <r>
    <x v="2"/>
    <x v="1"/>
    <x v="0"/>
    <s v="2562200"/>
    <n v="450029"/>
    <s v="Contr Allow--MD Other-Comm Insurance"/>
    <s v="Ortho/Sport Med-FW-Radiology"/>
    <x v="0"/>
    <n v="1300"/>
    <n v="0"/>
    <n v="0"/>
    <n v="0"/>
    <n v="49.05"/>
    <n v="0"/>
    <n v="39.75"/>
    <n v="49.01"/>
    <n v="0"/>
    <n v="0"/>
    <n v="0"/>
    <n v="0"/>
    <n v="0"/>
    <n v="137.81"/>
    <n v="0"/>
  </r>
  <r>
    <x v="2"/>
    <x v="1"/>
    <x v="0"/>
    <s v="2562200"/>
    <n v="450040"/>
    <s v="Contr Allow--Phys Svcs--BCBS Mgnd Care"/>
    <s v="Ortho/Sport Med-FW-Radiology"/>
    <x v="0"/>
    <n v="1401"/>
    <n v="0"/>
    <n v="0"/>
    <n v="76.73"/>
    <n v="31.55"/>
    <n v="-108.28"/>
    <n v="77.2"/>
    <n v="-77.2"/>
    <n v="0"/>
    <n v="0"/>
    <n v="0"/>
    <n v="0"/>
    <n v="34.01"/>
    <n v="34.01"/>
    <n v="-34.01"/>
  </r>
  <r>
    <x v="3"/>
    <x v="1"/>
    <x v="0"/>
    <s v="2562200"/>
    <n v="470040"/>
    <s v="Charity Care-Physician Svcs"/>
    <s v="Ortho/Sport Med-FW-Radiology"/>
    <x v="0"/>
    <m/>
    <n v="0"/>
    <n v="0"/>
    <n v="2.66"/>
    <n v="1.06"/>
    <n v="-3.72"/>
    <n v="2.4500000000000002"/>
    <n v="-2.4500000000000002"/>
    <n v="0"/>
    <n v="0"/>
    <n v="0"/>
    <n v="0"/>
    <n v="1.1200000000000001"/>
    <n v="1.1200000000000001"/>
    <n v="-1.1200000000000001"/>
  </r>
  <r>
    <x v="4"/>
    <x v="1"/>
    <x v="0"/>
    <s v="2562200"/>
    <n v="490010"/>
    <s v="Provision for Bad Debts"/>
    <s v="Ortho/Sport Med-FW-Radiology"/>
    <x v="0"/>
    <m/>
    <n v="-54.92"/>
    <n v="0"/>
    <n v="10.35"/>
    <n v="3.02"/>
    <n v="-13.37"/>
    <n v="9.33"/>
    <n v="-9.33"/>
    <n v="0"/>
    <n v="0"/>
    <n v="-53.55"/>
    <n v="0"/>
    <n v="3.52"/>
    <n v="-104.95"/>
    <n v="-3.52"/>
  </r>
  <r>
    <x v="1"/>
    <x v="1"/>
    <x v="0"/>
    <s v="2563200"/>
    <n v="400029"/>
    <s v="MD Practice Other Rev--Medicare"/>
    <s v="Foot &amp; Ankle-Burien-Pod Surg"/>
    <x v="0"/>
    <n v="1100"/>
    <n v="-2452"/>
    <n v="-3318"/>
    <n v="-3095"/>
    <n v="-4553"/>
    <n v="-2556"/>
    <n v="-4010"/>
    <n v="-1640"/>
    <n v="-3939"/>
    <n v="-3894"/>
    <n v="-2784"/>
    <n v="-3346"/>
    <n v="-2239"/>
    <n v="-37826"/>
    <n v="-1107"/>
  </r>
  <r>
    <x v="1"/>
    <x v="1"/>
    <x v="0"/>
    <s v="2563200"/>
    <n v="400029"/>
    <s v="MD Practice Other Rev--Medicaid"/>
    <s v="Foot &amp; Ankle-Burien-Pod Surg"/>
    <x v="0"/>
    <n v="1200"/>
    <n v="-2598"/>
    <n v="-2922"/>
    <n v="-1450"/>
    <n v="-2614"/>
    <n v="-1953"/>
    <n v="-2560"/>
    <n v="-939"/>
    <n v="-1396"/>
    <n v="-1756"/>
    <n v="-2587"/>
    <n v="-3365"/>
    <n v="-1565"/>
    <n v="-25705"/>
    <n v="-1800"/>
  </r>
  <r>
    <x v="1"/>
    <x v="1"/>
    <x v="0"/>
    <s v="2563200"/>
    <n v="400029"/>
    <s v="MD Practice Other Rev--Comm Insurance"/>
    <s v="Foot &amp; Ankle-Burien-Pod Surg"/>
    <x v="0"/>
    <n v="1300"/>
    <n v="-334"/>
    <n v="-165"/>
    <n v="0"/>
    <n v="-72"/>
    <n v="-165"/>
    <n v="-89"/>
    <n v="-84"/>
    <n v="-153"/>
    <n v="-243"/>
    <n v="0"/>
    <n v="81"/>
    <n v="-81"/>
    <n v="-1305"/>
    <n v="162"/>
  </r>
  <r>
    <x v="1"/>
    <x v="1"/>
    <x v="0"/>
    <s v="2563200"/>
    <n v="400029"/>
    <s v="MD Practice Other Rev--BCBS Comm"/>
    <s v="Foot &amp; Ankle-Burien-Pod Surg"/>
    <x v="0"/>
    <n v="1301"/>
    <n v="-718"/>
    <n v="-892"/>
    <n v="-870"/>
    <n v="-1232"/>
    <n v="-779"/>
    <n v="-1015"/>
    <n v="-875"/>
    <n v="-693"/>
    <n v="-323"/>
    <n v="-404"/>
    <n v="-1025"/>
    <n v="-485"/>
    <n v="-9311"/>
    <n v="-540"/>
  </r>
  <r>
    <x v="1"/>
    <x v="1"/>
    <x v="0"/>
    <s v="2563200"/>
    <n v="400029"/>
    <s v="MD Practice Other Rev--Managed Care"/>
    <s v="Foot &amp; Ankle-Burien-Pod Surg"/>
    <x v="0"/>
    <n v="1400"/>
    <n v="-2736"/>
    <n v="-3197"/>
    <n v="-3937"/>
    <n v="-4337"/>
    <n v="-3433"/>
    <n v="-3851"/>
    <n v="-1784"/>
    <n v="-2849"/>
    <n v="-3173"/>
    <n v="-3164"/>
    <n v="-3018"/>
    <n v="-1919"/>
    <n v="-37398"/>
    <n v="-1099"/>
  </r>
  <r>
    <x v="1"/>
    <x v="1"/>
    <x v="0"/>
    <s v="2563200"/>
    <n v="400029"/>
    <s v="MD Practice Other Rev--Self Pay"/>
    <s v="Foot &amp; Ankle-Burien-Pod Surg"/>
    <x v="0"/>
    <n v="1500"/>
    <n v="-87"/>
    <n v="-170"/>
    <n v="0"/>
    <n v="-259"/>
    <n v="-242"/>
    <n v="0"/>
    <n v="-245"/>
    <n v="-408"/>
    <n v="-558"/>
    <n v="0"/>
    <n v="0"/>
    <n v="321"/>
    <n v="-1648"/>
    <n v="-321"/>
  </r>
  <r>
    <x v="1"/>
    <x v="1"/>
    <x v="0"/>
    <s v="2563200"/>
    <n v="400029"/>
    <s v="MD Practice Other Rev--Other"/>
    <s v="Foot &amp; Ankle-Burien-Pod Surg"/>
    <x v="0"/>
    <n v="1700"/>
    <n v="-421"/>
    <n v="-494"/>
    <n v="-1420"/>
    <n v="-567"/>
    <n v="-819"/>
    <n v="-820"/>
    <n v="0"/>
    <n v="-740"/>
    <n v="-243"/>
    <n v="-905"/>
    <n v="-578"/>
    <n v="-794"/>
    <n v="-7801"/>
    <n v="216"/>
  </r>
  <r>
    <x v="1"/>
    <x v="1"/>
    <x v="0"/>
    <s v="2563200"/>
    <n v="400040"/>
    <s v="Physician Svcs Rev--Medicare"/>
    <s v="Foot &amp; Ankle-Burien-Pod Surg"/>
    <x v="0"/>
    <n v="1100"/>
    <n v="-98216"/>
    <n v="-109427"/>
    <n v="-83845"/>
    <n v="-96729"/>
    <n v="-65302"/>
    <n v="-82816"/>
    <n v="-79885"/>
    <n v="-98923"/>
    <n v="-91929"/>
    <n v="-69011"/>
    <n v="-83550"/>
    <n v="-75236"/>
    <n v="-1034869"/>
    <n v="-8314"/>
  </r>
  <r>
    <x v="1"/>
    <x v="1"/>
    <x v="0"/>
    <s v="2563200"/>
    <n v="400040"/>
    <s v="Physician Svcs Rev--Medicaid"/>
    <s v="Foot &amp; Ankle-Burien-Pod Surg"/>
    <x v="0"/>
    <n v="1200"/>
    <n v="-40445"/>
    <n v="-37487"/>
    <n v="-37231"/>
    <n v="-55582"/>
    <n v="-23633"/>
    <n v="-28330"/>
    <n v="-29212"/>
    <n v="-46747"/>
    <n v="-38281"/>
    <n v="-26524"/>
    <n v="-42865"/>
    <n v="-19784"/>
    <n v="-426121"/>
    <n v="-23081"/>
  </r>
  <r>
    <x v="1"/>
    <x v="1"/>
    <x v="0"/>
    <s v="2563200"/>
    <n v="400040"/>
    <s v="Physician Svcs Rev--Comm Insurance"/>
    <s v="Foot &amp; Ankle-Burien-Pod Surg"/>
    <x v="0"/>
    <n v="1300"/>
    <n v="-1743"/>
    <n v="-2776"/>
    <n v="-803"/>
    <n v="-6773"/>
    <n v="-200"/>
    <n v="-990"/>
    <n v="-1429"/>
    <n v="-6910"/>
    <n v="-3194"/>
    <n v="-1440"/>
    <n v="-324"/>
    <n v="-1496"/>
    <n v="-28078"/>
    <n v="1172"/>
  </r>
  <r>
    <x v="1"/>
    <x v="1"/>
    <x v="0"/>
    <s v="2563200"/>
    <n v="400040"/>
    <s v="Physician Svcs Rev--BCBS Comm"/>
    <s v="Foot &amp; Ankle-Burien-Pod Surg"/>
    <x v="0"/>
    <n v="1301"/>
    <n v="-25017"/>
    <n v="-8594"/>
    <n v="-17514"/>
    <n v="-15219"/>
    <n v="-6833"/>
    <n v="-15823"/>
    <n v="-27832"/>
    <n v="-14559"/>
    <n v="-12245"/>
    <n v="-7381"/>
    <n v="-10523"/>
    <n v="-7828"/>
    <n v="-169368"/>
    <n v="-2695"/>
  </r>
  <r>
    <x v="1"/>
    <x v="1"/>
    <x v="0"/>
    <s v="2563200"/>
    <n v="400040"/>
    <s v="Physician Svcs Rev--Managed Care"/>
    <s v="Foot &amp; Ankle-Burien-Pod Surg"/>
    <x v="0"/>
    <n v="1400"/>
    <n v="-51468"/>
    <n v="-39018"/>
    <n v="-48889"/>
    <n v="-51053"/>
    <n v="-48838"/>
    <n v="-69691"/>
    <n v="-45746"/>
    <n v="-26020"/>
    <n v="-43687"/>
    <n v="-32384"/>
    <n v="-47083"/>
    <n v="-23114"/>
    <n v="-526991"/>
    <n v="-23969"/>
  </r>
  <r>
    <x v="1"/>
    <x v="1"/>
    <x v="0"/>
    <s v="2563200"/>
    <n v="400040"/>
    <s v="Physician Svcs Rev--Self Pay"/>
    <s v="Foot &amp; Ankle-Burien-Pod Surg"/>
    <x v="0"/>
    <n v="1500"/>
    <n v="-419"/>
    <n v="-2844"/>
    <n v="-777"/>
    <n v="-1628"/>
    <n v="-3729"/>
    <n v="333"/>
    <n v="-1246"/>
    <n v="-3459"/>
    <n v="-1011"/>
    <n v="-1573"/>
    <n v="-402"/>
    <n v="628"/>
    <n v="-16127"/>
    <n v="-1030"/>
  </r>
  <r>
    <x v="1"/>
    <x v="1"/>
    <x v="0"/>
    <s v="2563200"/>
    <n v="400040"/>
    <s v="Physician Svcs Rev--Other"/>
    <s v="Foot &amp; Ankle-Burien-Pod Surg"/>
    <x v="0"/>
    <n v="1700"/>
    <n v="-11793"/>
    <n v="-23573"/>
    <n v="-4872"/>
    <n v="-13160"/>
    <n v="-11511"/>
    <n v="-10491"/>
    <n v="-6619"/>
    <n v="-9497"/>
    <n v="-15410"/>
    <n v="-14320"/>
    <n v="-7951"/>
    <n v="-2994"/>
    <n v="-132191"/>
    <n v="-4957"/>
  </r>
  <r>
    <x v="2"/>
    <x v="1"/>
    <x v="0"/>
    <s v="2563200"/>
    <n v="450029"/>
    <s v="Contr Allow--MD Other-Medicare"/>
    <s v="Foot &amp; Ankle-Burien-Pod Surg"/>
    <x v="0"/>
    <n v="1100"/>
    <n v="1408.64"/>
    <n v="1828.2"/>
    <n v="2056.2600000000002"/>
    <n v="2631.36"/>
    <n v="1753.62"/>
    <n v="1732.54"/>
    <n v="2394.41"/>
    <n v="1251.44"/>
    <n v="1661.83"/>
    <n v="2644.35"/>
    <n v="1825.61"/>
    <n v="1725.17"/>
    <n v="22913.43"/>
    <n v="100.43999999999983"/>
  </r>
  <r>
    <x v="2"/>
    <x v="1"/>
    <x v="0"/>
    <s v="2563200"/>
    <n v="450029"/>
    <s v="Contr Allow--MD Other-Medicaid"/>
    <s v="Foot &amp; Ankle-Burien-Pod Surg"/>
    <x v="0"/>
    <n v="1200"/>
    <n v="1639.3"/>
    <n v="1959.89"/>
    <n v="2293.77"/>
    <n v="1636.17"/>
    <n v="1645.73"/>
    <n v="1143.23"/>
    <n v="1515.17"/>
    <n v="655.85"/>
    <n v="1343.42"/>
    <n v="1563.69"/>
    <n v="2782.61"/>
    <n v="2036.83"/>
    <n v="20215.660000000003"/>
    <n v="745.7800000000002"/>
  </r>
  <r>
    <x v="2"/>
    <x v="1"/>
    <x v="0"/>
    <s v="2563200"/>
    <n v="450029"/>
    <s v="Contr Allow--MD Other-Comm Insurance"/>
    <s v="Foot &amp; Ankle-Burien-Pod Surg"/>
    <x v="0"/>
    <n v="1300"/>
    <n v="75.92"/>
    <n v="185.9"/>
    <n v="0"/>
    <n v="25.35"/>
    <n v="44.09"/>
    <n v="0"/>
    <n v="24.51"/>
    <n v="19.309999999999999"/>
    <n v="98.67"/>
    <n v="80"/>
    <n v="0"/>
    <n v="17.170000000000002"/>
    <n v="570.91999999999996"/>
    <n v="-17.170000000000002"/>
  </r>
  <r>
    <x v="2"/>
    <x v="1"/>
    <x v="0"/>
    <s v="2563200"/>
    <n v="450029"/>
    <s v="Contr Allow--MD Other BCBS Comm"/>
    <s v="Foot &amp; Ankle-Burien-Pod Surg"/>
    <x v="0"/>
    <n v="1301"/>
    <n v="363.61"/>
    <n v="371.04"/>
    <n v="140.16"/>
    <n v="367.51"/>
    <n v="221.99"/>
    <n v="322.19"/>
    <n v="305.58999999999997"/>
    <n v="118.45"/>
    <n v="138.69"/>
    <n v="63.51"/>
    <n v="165.71"/>
    <n v="227.67"/>
    <n v="2806.1200000000003"/>
    <n v="-61.95999999999998"/>
  </r>
  <r>
    <x v="2"/>
    <x v="1"/>
    <x v="0"/>
    <s v="2563200"/>
    <n v="450029"/>
    <s v="Contr Allow--MD Other-Managed Care"/>
    <s v="Foot &amp; Ankle-Burien-Pod Surg"/>
    <x v="0"/>
    <n v="1400"/>
    <n v="814.13"/>
    <n v="1027.18"/>
    <n v="935.07"/>
    <n v="1641.19"/>
    <n v="1476.99"/>
    <n v="962.74"/>
    <n v="1360"/>
    <n v="577.6"/>
    <n v="1265.3900000000001"/>
    <n v="847.76"/>
    <n v="1154.3699999999999"/>
    <n v="689.95"/>
    <n v="12752.369999999999"/>
    <n v="464.41999999999985"/>
  </r>
  <r>
    <x v="2"/>
    <x v="1"/>
    <x v="0"/>
    <s v="2563200"/>
    <n v="450029"/>
    <s v="Admin Adjust-MD Other-Self Pay"/>
    <s v="Foot &amp; Ankle-Burien-Pod Surg"/>
    <x v="0"/>
    <n v="1600"/>
    <n v="43.44"/>
    <n v="65.44"/>
    <n v="98.67"/>
    <n v="113.44"/>
    <n v="267.54000000000002"/>
    <n v="0"/>
    <n v="90.65"/>
    <n v="165.78"/>
    <n v="272.75"/>
    <n v="0"/>
    <n v="1.33"/>
    <n v="-118.34"/>
    <n v="1000.6999999999999"/>
    <n v="119.67"/>
  </r>
  <r>
    <x v="2"/>
    <x v="1"/>
    <x v="0"/>
    <s v="2563200"/>
    <n v="450029"/>
    <s v="Contr Allow--MD Other-Other"/>
    <s v="Foot &amp; Ankle-Burien-Pod Surg"/>
    <x v="0"/>
    <n v="1700"/>
    <n v="153.16999999999999"/>
    <n v="258.94"/>
    <n v="220.67"/>
    <n v="475.07"/>
    <n v="148.47"/>
    <n v="260.7"/>
    <n v="116.54"/>
    <n v="70.16"/>
    <n v="237.4"/>
    <n v="221.96"/>
    <n v="240.4"/>
    <n v="372.95"/>
    <n v="2776.43"/>
    <n v="-132.54999999999998"/>
  </r>
  <r>
    <x v="2"/>
    <x v="1"/>
    <x v="0"/>
    <s v="2563200"/>
    <n v="450040"/>
    <s v="Contr Allow--Phys Svcs--Mcare"/>
    <s v="Foot &amp; Ankle-Burien-Pod Surg"/>
    <x v="0"/>
    <n v="1100"/>
    <n v="52888.29"/>
    <n v="81299.37"/>
    <n v="39167.230000000003"/>
    <n v="64464.13"/>
    <n v="51542.36"/>
    <n v="49951.67"/>
    <n v="50460.24"/>
    <n v="48706.43"/>
    <n v="63114.09"/>
    <n v="59013.51"/>
    <n v="49175.13"/>
    <n v="53414.14"/>
    <n v="663196.59"/>
    <n v="-4239.010000000002"/>
  </r>
  <r>
    <x v="2"/>
    <x v="1"/>
    <x v="0"/>
    <s v="2563200"/>
    <n v="450040"/>
    <s v="Contr Allow--Phys Svcs--Mcaid"/>
    <s v="Foot &amp; Ankle-Burien-Pod Surg"/>
    <x v="0"/>
    <n v="1200"/>
    <n v="38571.9"/>
    <n v="35504.14"/>
    <n v="26461.71"/>
    <n v="27377.11"/>
    <n v="43728.22"/>
    <n v="16781.14"/>
    <n v="20560.52"/>
    <n v="21116.15"/>
    <n v="30250.2"/>
    <n v="22948.68"/>
    <n v="30820.97"/>
    <n v="30834.71"/>
    <n v="344955.45"/>
    <n v="-13.739999999997963"/>
  </r>
  <r>
    <x v="2"/>
    <x v="1"/>
    <x v="0"/>
    <s v="2563200"/>
    <n v="450040"/>
    <s v="Contr Allow--Phys Svcs--Comm Insurance"/>
    <s v="Foot &amp; Ankle-Burien-Pod Surg"/>
    <x v="0"/>
    <n v="1300"/>
    <n v="1436.43"/>
    <n v="673.37"/>
    <n v="411.69"/>
    <n v="1381.78"/>
    <n v="2403.5500000000002"/>
    <n v="-82.69"/>
    <n v="877.52"/>
    <n v="208.69"/>
    <n v="932.04"/>
    <n v="602.64"/>
    <n v="733.8"/>
    <n v="260.66000000000003"/>
    <n v="9839.48"/>
    <n v="473.13999999999993"/>
  </r>
  <r>
    <x v="2"/>
    <x v="1"/>
    <x v="0"/>
    <s v="2563200"/>
    <n v="450040"/>
    <s v="Contr Allow--Phys Svcs--BCBS Comm Ins"/>
    <s v="Foot &amp; Ankle-Burien-Pod Surg"/>
    <x v="0"/>
    <n v="1301"/>
    <n v="10225.620000000001"/>
    <n v="4003.81"/>
    <n v="5488.57"/>
    <n v="8476.17"/>
    <n v="3228.54"/>
    <n v="2289.9299999999998"/>
    <n v="7135.35"/>
    <n v="7620.3"/>
    <n v="12227.77"/>
    <n v="1201.33"/>
    <n v="1675.65"/>
    <n v="3622.32"/>
    <n v="67195.360000000001"/>
    <n v="-1946.67"/>
  </r>
  <r>
    <x v="2"/>
    <x v="1"/>
    <x v="0"/>
    <s v="2563200"/>
    <n v="450040"/>
    <s v="Contr Allow--Phys Svcs--Managed Care"/>
    <s v="Foot &amp; Ankle-Burien-Pod Surg"/>
    <x v="0"/>
    <n v="1400"/>
    <n v="11792.85"/>
    <n v="21514.34"/>
    <n v="11956.39"/>
    <n v="20652.59"/>
    <n v="17626.599999999999"/>
    <n v="20483.939999999999"/>
    <n v="23966.69"/>
    <n v="13956.74"/>
    <n v="13052.29"/>
    <n v="8053.55"/>
    <n v="24048.03"/>
    <n v="10727.73"/>
    <n v="197831.74"/>
    <n v="13320.3"/>
  </r>
  <r>
    <x v="2"/>
    <x v="1"/>
    <x v="0"/>
    <s v="2563200"/>
    <n v="450040"/>
    <s v="Contr Allow--Phys Svcs--BCBS Mgnd Care"/>
    <s v="Foot &amp; Ankle-Burien-Pod Surg"/>
    <x v="0"/>
    <n v="1401"/>
    <n v="9623.64"/>
    <n v="-19765.3"/>
    <n v="15609.64"/>
    <n v="4478.2"/>
    <n v="-32908.99"/>
    <n v="24718.75"/>
    <n v="-1360.2"/>
    <n v="28404.74"/>
    <n v="-3473.83"/>
    <n v="-9169"/>
    <n v="40.97"/>
    <n v="-27595.599999999999"/>
    <n v="-11396.979999999998"/>
    <n v="27636.57"/>
  </r>
  <r>
    <x v="2"/>
    <x v="1"/>
    <x v="0"/>
    <s v="2563200"/>
    <n v="450040"/>
    <s v="Prompt Pay Disc-Phys Svcs-Self Pay"/>
    <s v="Foot &amp; Ankle-Burien-Pod Surg"/>
    <x v="0"/>
    <n v="1500"/>
    <n v="0"/>
    <n v="0"/>
    <n v="0"/>
    <n v="0"/>
    <n v="0"/>
    <n v="0"/>
    <n v="0"/>
    <n v="0"/>
    <n v="0"/>
    <n v="0"/>
    <n v="310.58999999999997"/>
    <n v="0"/>
    <n v="310.58999999999997"/>
    <n v="310.58999999999997"/>
  </r>
  <r>
    <x v="2"/>
    <x v="1"/>
    <x v="0"/>
    <s v="2563200"/>
    <n v="450040"/>
    <s v="Admin Adjust-Phys Svcs-Self Pay"/>
    <s v="Foot &amp; Ankle-Burien-Pod Surg"/>
    <x v="0"/>
    <n v="1600"/>
    <n v="221.77"/>
    <n v="1136.45"/>
    <n v="1241.3"/>
    <n v="960.87"/>
    <n v="4813.58"/>
    <n v="178.76"/>
    <n v="1638.96"/>
    <n v="1560.4"/>
    <n v="401.18"/>
    <n v="828.9"/>
    <n v="158.49"/>
    <n v="-245.7"/>
    <n v="12894.959999999997"/>
    <n v="404.19"/>
  </r>
  <r>
    <x v="2"/>
    <x v="1"/>
    <x v="0"/>
    <s v="2563200"/>
    <n v="450040"/>
    <s v="Contr Allow--Phys Svcs--Other"/>
    <s v="Foot &amp; Ankle-Burien-Pod Surg"/>
    <x v="0"/>
    <n v="1700"/>
    <n v="2610.1799999999998"/>
    <n v="5138.3"/>
    <n v="8910.49"/>
    <n v="3081.14"/>
    <n v="5430.79"/>
    <n v="2275.62"/>
    <n v="7482.25"/>
    <n v="1988.14"/>
    <n v="6704.35"/>
    <n v="2401.48"/>
    <n v="3606.04"/>
    <n v="5859.07"/>
    <n v="55487.850000000006"/>
    <n v="-2253.0299999999997"/>
  </r>
  <r>
    <x v="3"/>
    <x v="1"/>
    <x v="0"/>
    <s v="2563200"/>
    <n v="470040"/>
    <s v="Charity Care-Physician Svcs"/>
    <s v="Foot &amp; Ankle-Burien-Pod Surg"/>
    <x v="0"/>
    <m/>
    <n v="-1.92"/>
    <n v="1311.61"/>
    <n v="522.36"/>
    <n v="2889.65"/>
    <n v="-436.28"/>
    <n v="631.52"/>
    <n v="43.66"/>
    <n v="2316.48"/>
    <n v="2043.38"/>
    <n v="342.15"/>
    <n v="75.540000000000006"/>
    <n v="2666.72"/>
    <n v="12404.869999999999"/>
    <n v="-2591.1799999999998"/>
  </r>
  <r>
    <x v="4"/>
    <x v="1"/>
    <x v="0"/>
    <s v="2563200"/>
    <n v="490010"/>
    <s v="Provision for Bad Debts"/>
    <s v="Foot &amp; Ankle-Burien-Pod Surg"/>
    <x v="0"/>
    <m/>
    <n v="5039.49"/>
    <n v="3094.57"/>
    <n v="-1563.69"/>
    <n v="1051.3399999999999"/>
    <n v="5097.59"/>
    <n v="3527.43"/>
    <n v="-2261.84"/>
    <n v="1912.42"/>
    <n v="2821.22"/>
    <n v="1436.24"/>
    <n v="919.52"/>
    <n v="234.39"/>
    <n v="21308.68"/>
    <n v="685.13"/>
  </r>
  <r>
    <x v="14"/>
    <x v="1"/>
    <x v="0"/>
    <s v="2563200"/>
    <n v="600050"/>
    <s v="Miscellaneous Revenue"/>
    <s v="Foot &amp; Ankle-Burien-Pod Surg"/>
    <x v="0"/>
    <m/>
    <n v="-2520"/>
    <n v="-2520"/>
    <n v="-3070"/>
    <n v="-300"/>
    <n v="-5040"/>
    <n v="-2520"/>
    <n v="-2520"/>
    <n v="0"/>
    <n v="0"/>
    <n v="0"/>
    <n v="0"/>
    <n v="-450"/>
    <n v="-18940"/>
    <n v="450"/>
  </r>
  <r>
    <x v="5"/>
    <x v="1"/>
    <x v="0"/>
    <s v="2563200"/>
    <n v="700020"/>
    <s v="Salaries-Physician Admin-Other"/>
    <s v="Foot &amp; Ankle-Burien-Pod Surg"/>
    <x v="0"/>
    <n v="2000"/>
    <n v="2520"/>
    <n v="2520"/>
    <n v="2520"/>
    <n v="0"/>
    <n v="5040"/>
    <n v="2520"/>
    <n v="2520"/>
    <n v="0"/>
    <n v="0"/>
    <n v="0"/>
    <n v="0"/>
    <n v="0"/>
    <n v="17640"/>
    <n v="0"/>
  </r>
  <r>
    <x v="5"/>
    <x v="1"/>
    <x v="0"/>
    <s v="2563200"/>
    <n v="700022"/>
    <s v="Salaries-Physician-Productive"/>
    <s v="Foot &amp; Ankle-Burien-Pod Surg"/>
    <x v="0"/>
    <m/>
    <n v="39170.629999999997"/>
    <n v="36683.120000000003"/>
    <n v="28032"/>
    <n v="31393.68"/>
    <n v="29944.48"/>
    <n v="39629.9"/>
    <n v="40158.300000000003"/>
    <n v="30098.83"/>
    <n v="29369.38"/>
    <n v="33780.21"/>
    <n v="41697.72"/>
    <n v="6097.24"/>
    <n v="386055.49"/>
    <n v="35600.480000000003"/>
  </r>
  <r>
    <x v="5"/>
    <x v="1"/>
    <x v="0"/>
    <s v="2563200"/>
    <n v="700026"/>
    <s v="Salaries-RN-Productive"/>
    <s v="Foot &amp; Ankle-Burien-Pod Surg"/>
    <x v="0"/>
    <m/>
    <n v="0"/>
    <n v="0"/>
    <n v="0"/>
    <n v="0"/>
    <n v="0"/>
    <n v="300.11"/>
    <n v="-27.28"/>
    <n v="0"/>
    <n v="0"/>
    <n v="783"/>
    <n v="2172.17"/>
    <n v="-291.8"/>
    <n v="2936.2"/>
    <n v="2463.9700000000003"/>
  </r>
  <r>
    <x v="5"/>
    <x v="1"/>
    <x v="0"/>
    <s v="2563200"/>
    <n v="700026"/>
    <s v="Salaries-RN-Other"/>
    <s v="Foot &amp; Ankle-Burien-Pod Surg"/>
    <x v="0"/>
    <n v="2000"/>
    <n v="0"/>
    <n v="0"/>
    <n v="0"/>
    <n v="0"/>
    <n v="0"/>
    <n v="0"/>
    <n v="0"/>
    <n v="0"/>
    <n v="0"/>
    <n v="0"/>
    <n v="73.91"/>
    <n v="-9.5399999999999991"/>
    <n v="64.37"/>
    <n v="83.449999999999989"/>
  </r>
  <r>
    <x v="5"/>
    <x v="1"/>
    <x v="0"/>
    <s v="2563200"/>
    <n v="700030"/>
    <s v="Salaries-LPN-Productive"/>
    <s v="Foot &amp; Ankle-Burien-Pod Surg"/>
    <x v="0"/>
    <m/>
    <n v="3916.86"/>
    <n v="4234.37"/>
    <n v="3743.05"/>
    <n v="4481.7299999999996"/>
    <n v="4092.06"/>
    <n v="2499.69"/>
    <n v="4225.0600000000004"/>
    <n v="3544.03"/>
    <n v="2503.37"/>
    <n v="2972.58"/>
    <n v="2871.64"/>
    <n v="2129.29"/>
    <n v="41213.730000000003"/>
    <n v="742.34999999999991"/>
  </r>
  <r>
    <x v="5"/>
    <x v="1"/>
    <x v="0"/>
    <s v="2563200"/>
    <n v="700030"/>
    <s v="Salaries-LPN-OT"/>
    <s v="Foot &amp; Ankle-Burien-Pod Surg"/>
    <x v="0"/>
    <n v="1000"/>
    <n v="107.3"/>
    <n v="76.260000000000005"/>
    <n v="103.55"/>
    <n v="-42.36"/>
    <n v="38.770000000000003"/>
    <n v="0"/>
    <n v="27.18"/>
    <n v="-7.76"/>
    <n v="0"/>
    <n v="9.6999999999999993"/>
    <n v="0"/>
    <n v="0"/>
    <n v="312.64"/>
    <n v="0"/>
  </r>
  <r>
    <x v="5"/>
    <x v="1"/>
    <x v="0"/>
    <s v="2563200"/>
    <n v="700032"/>
    <s v="Salaries-Other Pat Care Providers-Productive"/>
    <s v="Foot &amp; Ankle-Burien-Pod Surg"/>
    <x v="0"/>
    <m/>
    <n v="4310.26"/>
    <n v="7708.42"/>
    <n v="6596.2"/>
    <n v="7750.33"/>
    <n v="8501.08"/>
    <n v="4693.3100000000004"/>
    <n v="8164.46"/>
    <n v="7096.81"/>
    <n v="7574.63"/>
    <n v="7858.31"/>
    <n v="8357.61"/>
    <n v="6558.23"/>
    <n v="85169.65"/>
    <n v="1799.380000000001"/>
  </r>
  <r>
    <x v="5"/>
    <x v="1"/>
    <x v="0"/>
    <s v="2563200"/>
    <n v="700032"/>
    <s v="Salaries-Other Pat Care Providers-OT"/>
    <s v="Foot &amp; Ankle-Burien-Pod Surg"/>
    <x v="0"/>
    <n v="1000"/>
    <n v="32.97"/>
    <n v="44.89"/>
    <n v="407.02"/>
    <n v="144.01"/>
    <n v="990.01"/>
    <n v="-358.13"/>
    <n v="213.02"/>
    <n v="235.67"/>
    <n v="219.03"/>
    <n v="157.57"/>
    <n v="287.29000000000002"/>
    <n v="-17.489999999999998"/>
    <n v="2355.86"/>
    <n v="304.78000000000003"/>
  </r>
  <r>
    <x v="5"/>
    <x v="1"/>
    <x v="0"/>
    <s v="2563200"/>
    <n v="700032"/>
    <s v="Salaries-Other Pat Care Providers-Other"/>
    <s v="Foot &amp; Ankle-Burien-Pod Surg"/>
    <x v="0"/>
    <n v="2000"/>
    <n v="0"/>
    <n v="0"/>
    <n v="0"/>
    <n v="0"/>
    <n v="20.5"/>
    <n v="-10.25"/>
    <n v="0"/>
    <n v="0"/>
    <n v="0"/>
    <n v="0"/>
    <n v="0"/>
    <n v="0"/>
    <n v="10.25"/>
    <n v="0"/>
  </r>
  <r>
    <x v="5"/>
    <x v="1"/>
    <x v="0"/>
    <s v="2563200"/>
    <n v="700062"/>
    <s v="Salaries-Physician-Non-productive"/>
    <s v="Foot &amp; Ankle-Burien-Pod Surg"/>
    <x v="0"/>
    <m/>
    <n v="0"/>
    <n v="4654"/>
    <n v="0"/>
    <n v="843.12"/>
    <n v="1686.24"/>
    <n v="0"/>
    <n v="0"/>
    <n v="4944.53"/>
    <n v="7404.24"/>
    <n v="4744.5200000000004"/>
    <n v="-1632.55"/>
    <n v="28700.47"/>
    <n v="51344.57"/>
    <n v="-30333.02"/>
  </r>
  <r>
    <x v="5"/>
    <x v="1"/>
    <x v="0"/>
    <s v="2563200"/>
    <n v="700062"/>
    <s v="Salaries-Physician-NonProd-Other"/>
    <s v="Foot &amp; Ankle-Burien-Pod Surg"/>
    <x v="0"/>
    <n v="2000"/>
    <n v="0"/>
    <n v="0"/>
    <n v="0"/>
    <n v="0"/>
    <n v="0"/>
    <n v="0"/>
    <n v="0"/>
    <n v="0"/>
    <n v="0"/>
    <n v="0"/>
    <n v="0"/>
    <n v="-2330.12"/>
    <n v="-2330.12"/>
    <n v="2330.12"/>
  </r>
  <r>
    <x v="5"/>
    <x v="1"/>
    <x v="0"/>
    <s v="2563200"/>
    <n v="700070"/>
    <s v="Salaries-LPN-Non-productive"/>
    <s v="Foot &amp; Ankle-Burien-Pod Surg"/>
    <x v="0"/>
    <m/>
    <n v="552.20000000000005"/>
    <n v="363.95"/>
    <n v="188.25"/>
    <n v="279.18"/>
    <n v="457.56"/>
    <n v="1119.95"/>
    <n v="563.82000000000005"/>
    <n v="598.02"/>
    <n v="1845.82"/>
    <n v="1209.6400000000001"/>
    <n v="-484.75"/>
    <n v="0"/>
    <n v="6693.64"/>
    <n v="-484.75"/>
  </r>
  <r>
    <x v="5"/>
    <x v="1"/>
    <x v="0"/>
    <s v="2563200"/>
    <n v="700070"/>
    <s v="Salaries-LPN-NonProd-Other"/>
    <s v="Foot &amp; Ankle-Burien-Pod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3200"/>
    <n v="700072"/>
    <s v="Salaries-Other Pat Care Providers-Non-productive"/>
    <s v="Foot &amp; Ankle-Burien-Pod Surg"/>
    <x v="0"/>
    <m/>
    <n v="0"/>
    <n v="0"/>
    <n v="366.08"/>
    <n v="1146.52"/>
    <n v="-509.56"/>
    <n v="2515.5100000000002"/>
    <n v="412.4"/>
    <n v="305.27999999999997"/>
    <n v="9.94"/>
    <n v="424.69"/>
    <n v="385.21"/>
    <n v="696.61"/>
    <n v="5752.6799999999994"/>
    <n v="-311.40000000000003"/>
  </r>
  <r>
    <x v="5"/>
    <x v="1"/>
    <x v="0"/>
    <s v="2563200"/>
    <n v="700072"/>
    <s v="Salaries-Other Pat Care Providers-NonProd-Other"/>
    <s v="Foot &amp; Ankle-Burien-Pod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3200"/>
    <n v="700084"/>
    <s v="Accrued PTO"/>
    <s v="Foot &amp; Ankle-Burien-Pod Surg"/>
    <x v="0"/>
    <m/>
    <n v="591.78"/>
    <n v="764.84"/>
    <n v="474.89"/>
    <n v="458.56"/>
    <n v="898.53"/>
    <n v="-1847.64"/>
    <n v="-138.38999999999999"/>
    <n v="255.23"/>
    <n v="452.82"/>
    <n v="-405.69"/>
    <n v="570.29999999999995"/>
    <n v="92.67"/>
    <n v="2167.8999999999992"/>
    <n v="477.62999999999994"/>
  </r>
  <r>
    <x v="6"/>
    <x v="1"/>
    <x v="0"/>
    <s v="2563200"/>
    <n v="713010"/>
    <s v="Benefits-FICA/Medicare"/>
    <s v="Foot &amp; Ankle-Burien-Pod Surg"/>
    <x v="0"/>
    <m/>
    <n v="1730.74"/>
    <n v="1594.13"/>
    <n v="1287.3699999999999"/>
    <n v="1470.31"/>
    <n v="1604.84"/>
    <n v="2818.27"/>
    <n v="4170.9799999999996"/>
    <n v="3479.51"/>
    <n v="3635.99"/>
    <n v="3883.75"/>
    <n v="4028.37"/>
    <n v="2853.09"/>
    <n v="32557.35"/>
    <n v="1175.2799999999997"/>
  </r>
  <r>
    <x v="6"/>
    <x v="1"/>
    <x v="0"/>
    <s v="2563200"/>
    <n v="713090"/>
    <s v="Benefits-Allocated Amounts"/>
    <s v="Foot &amp; Ankle-Burien-Pod Surg"/>
    <x v="0"/>
    <m/>
    <n v="0"/>
    <n v="0"/>
    <n v="0"/>
    <n v="0"/>
    <n v="0"/>
    <n v="0"/>
    <n v="0"/>
    <n v="0"/>
    <n v="35976.339999999997"/>
    <n v="4245.3500000000004"/>
    <n v="4440.6400000000003"/>
    <n v="3900.4"/>
    <n v="48562.729999999996"/>
    <n v="540.24000000000024"/>
  </r>
  <r>
    <x v="6"/>
    <x v="1"/>
    <x v="0"/>
    <s v="2563200"/>
    <n v="713092"/>
    <s v="Allocated Benefits-Physician"/>
    <s v="Foot &amp; Ankle-Burien-Pod Surg"/>
    <x v="0"/>
    <m/>
    <n v="5808.55"/>
    <n v="5963.37"/>
    <n v="5799.49"/>
    <n v="5990.77"/>
    <n v="6141.82"/>
    <n v="6618.62"/>
    <n v="7780.89"/>
    <n v="7356.65"/>
    <n v="-28564.15"/>
    <n v="2701.81"/>
    <n v="2826.11"/>
    <n v="2482.2800000000002"/>
    <n v="30906.210000000003"/>
    <n v="343.82999999999993"/>
  </r>
  <r>
    <x v="7"/>
    <x v="1"/>
    <x v="0"/>
    <s v="2563200"/>
    <n v="718050"/>
    <s v="Contract Svcs-Other"/>
    <s v="Foot &amp; Ankle-Burien-Pod Surg"/>
    <x v="0"/>
    <m/>
    <n v="1.54"/>
    <n v="0"/>
    <n v="0"/>
    <n v="0"/>
    <n v="0"/>
    <n v="0"/>
    <n v="0"/>
    <n v="0"/>
    <n v="0"/>
    <n v="0"/>
    <n v="0"/>
    <n v="0"/>
    <n v="1.54"/>
    <n v="0"/>
  </r>
  <r>
    <x v="7"/>
    <x v="1"/>
    <x v="0"/>
    <s v="2563200"/>
    <n v="718050"/>
    <s v="Miscellaneous Purchased Svcs"/>
    <s v="Foot &amp; Ankle-Burien-Pod Surg"/>
    <x v="0"/>
    <n v="1020"/>
    <n v="0"/>
    <n v="0"/>
    <n v="0"/>
    <n v="0"/>
    <n v="0"/>
    <n v="0"/>
    <n v="32.950000000000003"/>
    <n v="0"/>
    <n v="0"/>
    <n v="0"/>
    <n v="0"/>
    <n v="0"/>
    <n v="32.950000000000003"/>
    <n v="0"/>
  </r>
  <r>
    <x v="7"/>
    <x v="1"/>
    <x v="0"/>
    <s v="2563200"/>
    <n v="718050"/>
    <s v="Purchased Srvcs--Medical Waste"/>
    <s v="Foot &amp; Ankle-Burien-Pod Surg"/>
    <x v="0"/>
    <n v="1027"/>
    <n v="89.77"/>
    <n v="20.72"/>
    <n v="0"/>
    <n v="0"/>
    <n v="0"/>
    <n v="83.22"/>
    <n v="20.72"/>
    <n v="0"/>
    <n v="0"/>
    <n v="0"/>
    <n v="0"/>
    <n v="0"/>
    <n v="214.42999999999998"/>
    <n v="0"/>
  </r>
  <r>
    <x v="7"/>
    <x v="1"/>
    <x v="0"/>
    <s v="2563200"/>
    <n v="718077"/>
    <s v="PACS"/>
    <s v="Foot &amp; Ankle-Burien-Pod Surg"/>
    <x v="0"/>
    <n v="1000"/>
    <n v="315"/>
    <n v="351"/>
    <n v="333"/>
    <n v="409.5"/>
    <n v="297"/>
    <n v="387"/>
    <n v="157.5"/>
    <n v="267.75"/>
    <n v="0"/>
    <n v="380.25"/>
    <n v="276.75"/>
    <n v="227.25"/>
    <n v="3402"/>
    <n v="49.5"/>
  </r>
  <r>
    <x v="11"/>
    <x v="1"/>
    <x v="0"/>
    <s v="2563200"/>
    <n v="721010"/>
    <s v="Supplies-Medical - Billable"/>
    <s v="Foot &amp; Ankle-Burien-Pod Surg"/>
    <x v="0"/>
    <m/>
    <n v="1011.04"/>
    <n v="2841.35"/>
    <n v="2449.6799999999998"/>
    <n v="610.29999999999995"/>
    <n v="0"/>
    <n v="951.15"/>
    <n v="0"/>
    <n v="947.6"/>
    <n v="297.75"/>
    <n v="164.88"/>
    <n v="-8.5"/>
    <n v="1536.58"/>
    <n v="10801.829999999998"/>
    <n v="-1545.08"/>
  </r>
  <r>
    <x v="11"/>
    <x v="1"/>
    <x v="0"/>
    <s v="2563200"/>
    <n v="721410"/>
    <s v="Supplies-Medical - Nonbillable"/>
    <s v="Foot &amp; Ankle-Burien-Pod Surg"/>
    <x v="0"/>
    <m/>
    <n v="292.58"/>
    <n v="2863.08"/>
    <n v="236.02"/>
    <n v="889.94"/>
    <n v="0"/>
    <n v="6635.83"/>
    <n v="2129.37"/>
    <n v="0"/>
    <n v="0"/>
    <n v="0"/>
    <n v="0"/>
    <n v="0"/>
    <n v="13046.82"/>
    <n v="0"/>
  </r>
  <r>
    <x v="11"/>
    <x v="1"/>
    <x v="0"/>
    <s v="2563200"/>
    <n v="722000"/>
    <s v="Supplies-Freight Expense"/>
    <s v="Foot &amp; Ankle-Burien-Pod Surg"/>
    <x v="0"/>
    <m/>
    <n v="0"/>
    <n v="0"/>
    <n v="0"/>
    <n v="0"/>
    <n v="0"/>
    <n v="0"/>
    <n v="0"/>
    <n v="27.84"/>
    <n v="0"/>
    <n v="0"/>
    <n v="8.5"/>
    <n v="16.559999999999999"/>
    <n v="52.900000000000006"/>
    <n v="-8.0599999999999987"/>
  </r>
  <r>
    <x v="12"/>
    <x v="1"/>
    <x v="0"/>
    <s v="2563200"/>
    <n v="730020"/>
    <s v="Rental and Leases-Copier Usage Fees (DO NOT USE)"/>
    <s v="Foot &amp; Ankle-Burien-Pod Surg"/>
    <x v="0"/>
    <n v="5100"/>
    <n v="16.5"/>
    <n v="13.24"/>
    <n v="14.87"/>
    <n v="14.87"/>
    <n v="14.87"/>
    <n v="14.87"/>
    <n v="-193.08"/>
    <n v="0"/>
    <n v="0"/>
    <n v="0"/>
    <n v="0"/>
    <n v="0"/>
    <n v="-103.86000000000001"/>
    <n v="0"/>
  </r>
  <r>
    <x v="0"/>
    <x v="1"/>
    <x v="0"/>
    <s v="2563200"/>
    <n v="740022"/>
    <s v="Education-Physician"/>
    <s v="Foot &amp; Ankle-Burien-Pod Surg"/>
    <x v="0"/>
    <m/>
    <n v="0"/>
    <n v="0"/>
    <n v="0"/>
    <n v="0"/>
    <n v="0"/>
    <n v="0"/>
    <n v="0"/>
    <n v="0"/>
    <n v="0"/>
    <n v="590"/>
    <n v="0"/>
    <n v="0"/>
    <n v="590"/>
    <n v="0"/>
  </r>
  <r>
    <x v="8"/>
    <x v="1"/>
    <x v="0"/>
    <s v="2563200"/>
    <n v="741012"/>
    <s v="Physician Liab Insurance-CHI Program"/>
    <s v="Foot &amp; Ankle-Burien-Pod Surg"/>
    <x v="0"/>
    <m/>
    <n v="2368.34"/>
    <n v="2368.34"/>
    <n v="2368.34"/>
    <n v="2368.34"/>
    <n v="2368.34"/>
    <n v="2368.3200000000002"/>
    <n v="2368.34"/>
    <n v="2368.3200000000002"/>
    <n v="2368.34"/>
    <n v="2368.3200000000002"/>
    <n v="2368.34"/>
    <n v="2368.3200000000002"/>
    <n v="28420"/>
    <n v="1.999999999998181E-2"/>
  </r>
  <r>
    <x v="0"/>
    <x v="1"/>
    <x v="0"/>
    <s v="2563200"/>
    <n v="743022"/>
    <s v="Dues-Physician"/>
    <s v="Foot &amp; Ankle-Burien-Pod Surg"/>
    <x v="0"/>
    <m/>
    <n v="0"/>
    <n v="0"/>
    <n v="700"/>
    <n v="0"/>
    <n v="0"/>
    <n v="0"/>
    <n v="610"/>
    <n v="0"/>
    <n v="0"/>
    <n v="1190"/>
    <n v="0"/>
    <n v="0"/>
    <n v="2500"/>
    <n v="0"/>
  </r>
  <r>
    <x v="0"/>
    <x v="1"/>
    <x v="0"/>
    <s v="2563200"/>
    <n v="749510"/>
    <s v="Miscellaneous Expenses"/>
    <s v="Foot &amp; Ankle-Burien-Pod Surg"/>
    <x v="0"/>
    <m/>
    <n v="0"/>
    <n v="0"/>
    <n v="0"/>
    <n v="0"/>
    <n v="0"/>
    <n v="0"/>
    <n v="0"/>
    <n v="0"/>
    <n v="0"/>
    <n v="0"/>
    <n v="0"/>
    <n v="300"/>
    <n v="300"/>
    <n v="-300"/>
  </r>
  <r>
    <x v="0"/>
    <x v="1"/>
    <x v="0"/>
    <s v="2563200"/>
    <n v="749510"/>
    <s v="RICE Rewards"/>
    <s v="Foot &amp; Ankle-Burien-Pod Surg"/>
    <x v="0"/>
    <n v="5100"/>
    <n v="0"/>
    <n v="0"/>
    <n v="0"/>
    <n v="0"/>
    <n v="0"/>
    <n v="0"/>
    <n v="0"/>
    <n v="0"/>
    <n v="0"/>
    <n v="0"/>
    <n v="0"/>
    <n v="300"/>
    <n v="300"/>
    <n v="-300"/>
  </r>
  <r>
    <x v="0"/>
    <x v="1"/>
    <x v="0"/>
    <s v="2563200"/>
    <n v="749512"/>
    <s v="Licenses-Physician"/>
    <s v="Foot &amp; Ankle-Burien-Pod Surg"/>
    <x v="0"/>
    <n v="2000"/>
    <n v="0"/>
    <n v="0"/>
    <n v="0"/>
    <n v="0"/>
    <n v="0"/>
    <n v="0"/>
    <n v="0"/>
    <n v="0"/>
    <n v="0"/>
    <n v="718.5"/>
    <n v="0"/>
    <n v="0"/>
    <n v="718.5"/>
    <n v="0"/>
  </r>
  <r>
    <x v="0"/>
    <x v="1"/>
    <x v="0"/>
    <s v="2563200"/>
    <n v="749530"/>
    <s v="Mileage"/>
    <s v="Foot &amp; Ankle-Burien-Pod Surg"/>
    <x v="0"/>
    <n v="1001"/>
    <n v="0"/>
    <n v="0"/>
    <n v="0"/>
    <n v="20.72"/>
    <n v="0"/>
    <n v="0"/>
    <n v="0"/>
    <n v="0"/>
    <n v="0"/>
    <n v="0"/>
    <n v="0"/>
    <n v="21.46"/>
    <n v="42.18"/>
    <n v="-21.46"/>
  </r>
  <r>
    <x v="0"/>
    <x v="1"/>
    <x v="0"/>
    <s v="2563200"/>
    <n v="749532"/>
    <s v="Travel-Physician"/>
    <s v="Foot &amp; Ankle-Burien-Pod Surg"/>
    <x v="0"/>
    <m/>
    <n v="0"/>
    <n v="0"/>
    <n v="0"/>
    <n v="0"/>
    <n v="0"/>
    <n v="0"/>
    <n v="0"/>
    <n v="0"/>
    <n v="0"/>
    <n v="741.32"/>
    <n v="0"/>
    <n v="0"/>
    <n v="741.32"/>
    <n v="0"/>
  </r>
  <r>
    <x v="0"/>
    <x v="1"/>
    <x v="0"/>
    <s v="2563200"/>
    <n v="749532"/>
    <s v="Business Meals-Physician"/>
    <s v="Foot &amp; Ankle-Burien-Pod Surg"/>
    <x v="0"/>
    <n v="2000"/>
    <n v="0"/>
    <n v="0"/>
    <n v="0"/>
    <n v="0"/>
    <n v="0"/>
    <n v="0"/>
    <n v="0"/>
    <n v="0"/>
    <n v="0"/>
    <n v="117.46"/>
    <n v="0"/>
    <n v="0"/>
    <n v="117.46"/>
    <n v="0"/>
  </r>
  <r>
    <x v="1"/>
    <x v="1"/>
    <x v="0"/>
    <s v="2564200"/>
    <n v="400040"/>
    <s v="Physician Svcs Rev--Medicare"/>
    <s v="Neurology-FW-Neuro"/>
    <x v="0"/>
    <n v="1100"/>
    <n v="-85164"/>
    <n v="-77306"/>
    <n v="-80722"/>
    <n v="-90555"/>
    <n v="-70974"/>
    <n v="-76219"/>
    <n v="-112530"/>
    <n v="-77918"/>
    <n v="-80631"/>
    <n v="-102278"/>
    <n v="-96969"/>
    <n v="-50630"/>
    <n v="-1001896"/>
    <n v="-46339"/>
  </r>
  <r>
    <x v="1"/>
    <x v="1"/>
    <x v="0"/>
    <s v="2564200"/>
    <n v="400040"/>
    <s v="Physician Svcs Rev--Medicaid"/>
    <s v="Neurology-FW-Neuro"/>
    <x v="0"/>
    <n v="1200"/>
    <n v="-72981"/>
    <n v="-42278"/>
    <n v="-62879.5"/>
    <n v="-51598.5"/>
    <n v="-55766"/>
    <n v="-46248"/>
    <n v="-85802"/>
    <n v="-37819"/>
    <n v="-33405"/>
    <n v="-72137"/>
    <n v="-66636"/>
    <n v="-50613"/>
    <n v="-678163"/>
    <n v="-16023"/>
  </r>
  <r>
    <x v="1"/>
    <x v="1"/>
    <x v="0"/>
    <s v="2564200"/>
    <n v="400040"/>
    <s v="Physician Svcs Rev--Comm Insurance"/>
    <s v="Neurology-FW-Neuro"/>
    <x v="0"/>
    <n v="1300"/>
    <n v="-4916"/>
    <n v="-6949"/>
    <n v="-5492"/>
    <n v="-6436"/>
    <n v="-2566"/>
    <n v="-1207"/>
    <n v="-8095"/>
    <n v="-10221"/>
    <n v="-6030"/>
    <n v="-2886"/>
    <n v="-9759"/>
    <n v="-11055"/>
    <n v="-75612"/>
    <n v="1296"/>
  </r>
  <r>
    <x v="1"/>
    <x v="1"/>
    <x v="0"/>
    <s v="2564200"/>
    <n v="400040"/>
    <s v="Physician Svcs Rev--BCBS Comm"/>
    <s v="Neurology-FW-Neuro"/>
    <x v="0"/>
    <n v="1301"/>
    <n v="-24428"/>
    <n v="-36359"/>
    <n v="-18968"/>
    <n v="-27377"/>
    <n v="-28061"/>
    <n v="-9850"/>
    <n v="-24175"/>
    <n v="-26973"/>
    <n v="-19919"/>
    <n v="-25292"/>
    <n v="-34490"/>
    <n v="-25145"/>
    <n v="-301037"/>
    <n v="-9345"/>
  </r>
  <r>
    <x v="1"/>
    <x v="1"/>
    <x v="0"/>
    <s v="2564200"/>
    <n v="400040"/>
    <s v="Physician Svcs Rev--Managed Care"/>
    <s v="Neurology-FW-Neuro"/>
    <x v="0"/>
    <n v="1400"/>
    <n v="-74384"/>
    <n v="-65535"/>
    <n v="-59864"/>
    <n v="-71488"/>
    <n v="-57475"/>
    <n v="-63873"/>
    <n v="-78672"/>
    <n v="-62810"/>
    <n v="-78631"/>
    <n v="-71063"/>
    <n v="-100727"/>
    <n v="-41128"/>
    <n v="-825650"/>
    <n v="-59599"/>
  </r>
  <r>
    <x v="1"/>
    <x v="1"/>
    <x v="0"/>
    <s v="2564200"/>
    <n v="400040"/>
    <s v="Physician Svcs Rev--Self Pay"/>
    <s v="Neurology-FW-Neuro"/>
    <x v="0"/>
    <n v="1500"/>
    <n v="-782"/>
    <n v="-228"/>
    <n v="-1815"/>
    <n v="-1297"/>
    <n v="-1392"/>
    <n v="-1491.5"/>
    <n v="-5288"/>
    <n v="-2788"/>
    <n v="-413"/>
    <n v="-3530"/>
    <n v="-640"/>
    <n v="91"/>
    <n v="-19573.5"/>
    <n v="-731"/>
  </r>
  <r>
    <x v="1"/>
    <x v="1"/>
    <x v="0"/>
    <s v="2564200"/>
    <n v="400040"/>
    <s v="Physician Svcs Rev--Other"/>
    <s v="Neurology-FW-Neuro"/>
    <x v="0"/>
    <n v="1700"/>
    <n v="-6062"/>
    <n v="-13524"/>
    <n v="-16810"/>
    <n v="-7510"/>
    <n v="-6639"/>
    <n v="-11240"/>
    <n v="-11805"/>
    <n v="-7192"/>
    <n v="-11512"/>
    <n v="-9184"/>
    <n v="-9727"/>
    <n v="-7587"/>
    <n v="-118792"/>
    <n v="-2140"/>
  </r>
  <r>
    <x v="2"/>
    <x v="1"/>
    <x v="0"/>
    <s v="2564200"/>
    <n v="450040"/>
    <s v="Contr Allow--Phys Svcs--Mcare"/>
    <s v="Neurology-FW-Neuro"/>
    <x v="0"/>
    <n v="1100"/>
    <n v="42884.29"/>
    <n v="46592.73"/>
    <n v="49185.72"/>
    <n v="60616.42"/>
    <n v="47927.67"/>
    <n v="45497.82"/>
    <n v="59436.28"/>
    <n v="52132.77"/>
    <n v="48945.47"/>
    <n v="53630.720000000001"/>
    <n v="73429.41"/>
    <n v="48267.43"/>
    <n v="628546.73"/>
    <n v="25161.980000000003"/>
  </r>
  <r>
    <x v="2"/>
    <x v="1"/>
    <x v="0"/>
    <s v="2564200"/>
    <n v="450040"/>
    <s v="Contr Allow--Phys Svcs--Mcaid"/>
    <s v="Neurology-FW-Neuro"/>
    <x v="0"/>
    <n v="1200"/>
    <n v="36864.11"/>
    <n v="45877.23"/>
    <n v="32433.200000000001"/>
    <n v="45985.8"/>
    <n v="35796.910000000003"/>
    <n v="27303.95"/>
    <n v="37601.1"/>
    <n v="46798.37"/>
    <n v="25344.32"/>
    <n v="39731.58"/>
    <n v="40686.629999999997"/>
    <n v="45281.07"/>
    <n v="459704.27000000008"/>
    <n v="-4594.4400000000023"/>
  </r>
  <r>
    <x v="2"/>
    <x v="1"/>
    <x v="0"/>
    <s v="2564200"/>
    <n v="450040"/>
    <s v="Contr Allow--Phys Svcs--Comm Insurance"/>
    <s v="Neurology-FW-Neuro"/>
    <x v="0"/>
    <n v="1300"/>
    <n v="4968.49"/>
    <n v="1309.8399999999999"/>
    <n v="2136.48"/>
    <n v="4117.68"/>
    <n v="1037.99"/>
    <n v="292.52"/>
    <n v="3511.67"/>
    <n v="-753.58"/>
    <n v="1740.91"/>
    <n v="3046.22"/>
    <n v="1333.08"/>
    <n v="5399.9"/>
    <n v="28141.199999999997"/>
    <n v="-4066.8199999999997"/>
  </r>
  <r>
    <x v="2"/>
    <x v="1"/>
    <x v="0"/>
    <s v="2564200"/>
    <n v="450040"/>
    <s v="Contr Allow--Phys Svcs--BCBS Comm Ins"/>
    <s v="Neurology-FW-Neuro"/>
    <x v="0"/>
    <n v="1301"/>
    <n v="8403.09"/>
    <n v="15053.73"/>
    <n v="8388.4699999999993"/>
    <n v="11719.51"/>
    <n v="8548.23"/>
    <n v="10221.040000000001"/>
    <n v="1992.04"/>
    <n v="9714.35"/>
    <n v="8949.27"/>
    <n v="11792.88"/>
    <n v="8846.09"/>
    <n v="23440.84"/>
    <n v="127069.54000000001"/>
    <n v="-14594.75"/>
  </r>
  <r>
    <x v="2"/>
    <x v="1"/>
    <x v="0"/>
    <s v="2564200"/>
    <n v="450040"/>
    <s v="Contr Allow--Phys Svcs--Managed Care"/>
    <s v="Neurology-FW-Neuro"/>
    <x v="0"/>
    <n v="1400"/>
    <n v="19514.34"/>
    <n v="24521.84"/>
    <n v="21110.41"/>
    <n v="22000.51"/>
    <n v="34280.5"/>
    <n v="17160.7"/>
    <n v="23936.41"/>
    <n v="33700.6"/>
    <n v="24246.799999999999"/>
    <n v="27175.040000000001"/>
    <n v="31119.82"/>
    <n v="33282.54"/>
    <n v="312049.50999999995"/>
    <n v="-2162.7200000000012"/>
  </r>
  <r>
    <x v="2"/>
    <x v="1"/>
    <x v="0"/>
    <s v="2564200"/>
    <n v="450040"/>
    <s v="Contr Allow--Phys Svcs--BCBS Mgnd Care"/>
    <s v="Neurology-FW-Neuro"/>
    <x v="0"/>
    <n v="1401"/>
    <n v="20375.560000000001"/>
    <n v="-12060.25"/>
    <n v="6796.01"/>
    <n v="-10053.08"/>
    <n v="-15459.41"/>
    <n v="7333.23"/>
    <n v="52487.51"/>
    <n v="-10976.82"/>
    <n v="5698.99"/>
    <n v="10384.36"/>
    <n v="18338.330000000002"/>
    <n v="-57103.72"/>
    <n v="15760.710000000006"/>
    <n v="75442.05"/>
  </r>
  <r>
    <x v="2"/>
    <x v="1"/>
    <x v="0"/>
    <s v="2564200"/>
    <n v="450040"/>
    <s v="Admin Adjust-Phys Svcs-Self Pay"/>
    <s v="Neurology-FW-Neuro"/>
    <x v="0"/>
    <n v="1600"/>
    <n v="-26.08"/>
    <n v="3849.21"/>
    <n v="10906.97"/>
    <n v="2148.9"/>
    <n v="458.55"/>
    <n v="398.79"/>
    <n v="4253.8500000000004"/>
    <n v="1153.68"/>
    <n v="-2448.9299999999998"/>
    <n v="1323.13"/>
    <n v="303.85000000000002"/>
    <n v="12.06"/>
    <n v="22333.980000000003"/>
    <n v="291.79000000000002"/>
  </r>
  <r>
    <x v="2"/>
    <x v="1"/>
    <x v="0"/>
    <s v="2564200"/>
    <n v="450040"/>
    <s v="Contr Allow--Phys Svcs--Other"/>
    <s v="Neurology-FW-Neuro"/>
    <x v="0"/>
    <n v="1700"/>
    <n v="6349.36"/>
    <n v="6310.32"/>
    <n v="8487.2800000000007"/>
    <n v="5591.06"/>
    <n v="5268.45"/>
    <n v="4288.6000000000004"/>
    <n v="7155.44"/>
    <n v="3682.42"/>
    <n v="7120.02"/>
    <n v="8261.39"/>
    <n v="7264.57"/>
    <n v="5086.3999999999996"/>
    <n v="74865.31"/>
    <n v="2178.17"/>
  </r>
  <r>
    <x v="3"/>
    <x v="1"/>
    <x v="0"/>
    <s v="2564200"/>
    <n v="470040"/>
    <s v="Charity Care-Physician Svcs"/>
    <s v="Neurology-FW-Neuro"/>
    <x v="0"/>
    <m/>
    <n v="602.51"/>
    <n v="1854.58"/>
    <n v="650.87"/>
    <n v="1104.5899999999999"/>
    <n v="2.46"/>
    <n v="1101.5"/>
    <n v="3499.75"/>
    <n v="172.6"/>
    <n v="12368.5"/>
    <n v="5210.82"/>
    <n v="1833.8"/>
    <n v="852.7"/>
    <n v="29254.68"/>
    <n v="981.09999999999991"/>
  </r>
  <r>
    <x v="4"/>
    <x v="1"/>
    <x v="0"/>
    <s v="2564200"/>
    <n v="490010"/>
    <s v="Provision for Bad Debts"/>
    <s v="Neurology-FW-Neuro"/>
    <x v="0"/>
    <m/>
    <n v="11417.31"/>
    <n v="1092.8"/>
    <n v="3774.92"/>
    <n v="563.01"/>
    <n v="2561.87"/>
    <n v="-898.69"/>
    <n v="2811.22"/>
    <n v="76.53"/>
    <n v="2603.84"/>
    <n v="-782.8"/>
    <n v="2999.67"/>
    <n v="-3005.27"/>
    <n v="23214.41"/>
    <n v="6004.9400000000005"/>
  </r>
  <r>
    <x v="14"/>
    <x v="1"/>
    <x v="0"/>
    <s v="2564200"/>
    <n v="600050"/>
    <s v="Miscellaneous Revenue"/>
    <s v="Neurology-FW-Neuro"/>
    <x v="0"/>
    <m/>
    <n v="-6160"/>
    <n v="-10640"/>
    <n v="-4480"/>
    <n v="-4480"/>
    <n v="-4780"/>
    <n v="-4630"/>
    <n v="-6160"/>
    <n v="-6170"/>
    <n v="3070"/>
    <n v="-6460"/>
    <n v="-6160"/>
    <n v="-6310"/>
    <n v="-63360"/>
    <n v="150"/>
  </r>
  <r>
    <x v="5"/>
    <x v="1"/>
    <x v="0"/>
    <s v="2564200"/>
    <n v="700020"/>
    <s v="Salaries-Physician Admin-Other"/>
    <s v="Neurology-FW-Neuro"/>
    <x v="0"/>
    <n v="2000"/>
    <n v="6160"/>
    <n v="10640"/>
    <n v="4480"/>
    <n v="4480"/>
    <n v="4780"/>
    <n v="4630"/>
    <n v="6160"/>
    <n v="6170"/>
    <n v="-3070"/>
    <n v="6460.07"/>
    <n v="6160"/>
    <n v="6310"/>
    <n v="63360.07"/>
    <n v="-150"/>
  </r>
  <r>
    <x v="5"/>
    <x v="1"/>
    <x v="0"/>
    <s v="2564200"/>
    <n v="700022"/>
    <s v="Salaries-Physician-Productive"/>
    <s v="Neurology-FW-Neuro"/>
    <x v="0"/>
    <m/>
    <n v="76069.81"/>
    <n v="94936.38"/>
    <n v="81947.320000000007"/>
    <n v="94239.41"/>
    <n v="91450.86"/>
    <n v="-52196.480000000003"/>
    <n v="69311.990000000005"/>
    <n v="59811.75"/>
    <n v="62882.13"/>
    <n v="65809.460000000006"/>
    <n v="66193.820000000007"/>
    <n v="57227.199999999997"/>
    <n v="767683.64999999991"/>
    <n v="8966.6200000000099"/>
  </r>
  <r>
    <x v="5"/>
    <x v="1"/>
    <x v="0"/>
    <s v="2564200"/>
    <n v="700022"/>
    <s v="Salaries-Physician-Other"/>
    <s v="Neurology-FW-Ne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4200"/>
    <n v="700026"/>
    <s v="Salaries-RN-Productive"/>
    <s v="Neurology-FW-Neuro"/>
    <x v="0"/>
    <m/>
    <n v="470.84"/>
    <n v="312.13"/>
    <n v="105.79"/>
    <n v="0"/>
    <n v="0"/>
    <n v="0"/>
    <n v="0"/>
    <n v="0"/>
    <n v="3644.65"/>
    <n v="77.64"/>
    <n v="0"/>
    <n v="523.66999999999996"/>
    <n v="5134.72"/>
    <n v="-523.66999999999996"/>
  </r>
  <r>
    <x v="5"/>
    <x v="1"/>
    <x v="0"/>
    <s v="2564200"/>
    <n v="700026"/>
    <s v="Salaries-RN-OT"/>
    <s v="Neurology-FW-Neuro"/>
    <x v="0"/>
    <n v="1000"/>
    <n v="230.61"/>
    <n v="-38.43"/>
    <n v="0"/>
    <n v="0"/>
    <n v="0"/>
    <n v="0"/>
    <n v="0"/>
    <n v="0"/>
    <n v="131.5"/>
    <n v="-43.83"/>
    <n v="0"/>
    <n v="37.4"/>
    <n v="317.25"/>
    <n v="-37.4"/>
  </r>
  <r>
    <x v="5"/>
    <x v="1"/>
    <x v="0"/>
    <s v="2564200"/>
    <n v="700030"/>
    <s v="Salaries-LPN-Productive"/>
    <s v="Neurology-FW-Neuro"/>
    <x v="0"/>
    <m/>
    <n v="4618.43"/>
    <n v="5111.5200000000004"/>
    <n v="3854.48"/>
    <n v="4636.99"/>
    <n v="5229.9399999999996"/>
    <n v="4060.53"/>
    <n v="5014.79"/>
    <n v="1226.01"/>
    <n v="5438.62"/>
    <n v="4996.68"/>
    <n v="4989.5600000000004"/>
    <n v="4276.76"/>
    <n v="53454.31"/>
    <n v="712.80000000000018"/>
  </r>
  <r>
    <x v="5"/>
    <x v="1"/>
    <x v="0"/>
    <s v="2564200"/>
    <n v="700030"/>
    <s v="Salaries-LPN-OT"/>
    <s v="Neurology-FW-Neuro"/>
    <x v="0"/>
    <n v="1000"/>
    <n v="106.28"/>
    <n v="65.650000000000006"/>
    <n v="156.27000000000001"/>
    <n v="82.08"/>
    <n v="93.96"/>
    <n v="2.14"/>
    <n v="83.41"/>
    <n v="10.7"/>
    <n v="90.9"/>
    <n v="135.78"/>
    <n v="136.88"/>
    <n v="160.38999999999999"/>
    <n v="1124.44"/>
    <n v="-23.509999999999991"/>
  </r>
  <r>
    <x v="5"/>
    <x v="1"/>
    <x v="0"/>
    <s v="2564200"/>
    <n v="700032"/>
    <s v="Salaries-Other Pat Care Providers-Productive"/>
    <s v="Neurology-FW-Neuro"/>
    <x v="0"/>
    <m/>
    <n v="0"/>
    <n v="0"/>
    <n v="0"/>
    <n v="0"/>
    <n v="0"/>
    <n v="0"/>
    <n v="0"/>
    <n v="0"/>
    <n v="0"/>
    <n v="0"/>
    <n v="0"/>
    <n v="156.38999999999999"/>
    <n v="156.38999999999999"/>
    <n v="-156.38999999999999"/>
  </r>
  <r>
    <x v="5"/>
    <x v="1"/>
    <x v="0"/>
    <s v="2564200"/>
    <n v="700038"/>
    <s v="Salaries-Service/Support-Productive"/>
    <s v="Neurology-FW-Neuro"/>
    <x v="0"/>
    <m/>
    <n v="0"/>
    <n v="0"/>
    <n v="0"/>
    <n v="0"/>
    <n v="0"/>
    <n v="0"/>
    <n v="0"/>
    <n v="415.79"/>
    <n v="31.99"/>
    <n v="0"/>
    <n v="0"/>
    <n v="584.86"/>
    <n v="1032.6400000000001"/>
    <n v="-584.86"/>
  </r>
  <r>
    <x v="5"/>
    <x v="1"/>
    <x v="0"/>
    <s v="2564200"/>
    <n v="700038"/>
    <s v="Salaries-Service/Support-OT"/>
    <s v="Neurology-FW-Neuro"/>
    <x v="0"/>
    <n v="1000"/>
    <n v="0"/>
    <n v="0"/>
    <n v="0"/>
    <n v="0"/>
    <n v="0"/>
    <n v="0"/>
    <n v="0"/>
    <n v="0"/>
    <n v="0"/>
    <n v="0"/>
    <n v="0"/>
    <n v="69.790000000000006"/>
    <n v="69.790000000000006"/>
    <n v="-69.790000000000006"/>
  </r>
  <r>
    <x v="5"/>
    <x v="1"/>
    <x v="0"/>
    <s v="2564200"/>
    <n v="700038"/>
    <s v="Salaries-Service/Support-Other"/>
    <s v="Neurology-FW-Neuro"/>
    <x v="0"/>
    <n v="2000"/>
    <n v="0"/>
    <n v="0"/>
    <n v="0"/>
    <n v="0"/>
    <n v="0"/>
    <n v="0"/>
    <n v="0"/>
    <n v="22.77"/>
    <n v="1.77"/>
    <n v="0"/>
    <n v="0"/>
    <n v="34.549999999999997"/>
    <n v="59.089999999999996"/>
    <n v="-34.549999999999997"/>
  </r>
  <r>
    <x v="5"/>
    <x v="1"/>
    <x v="0"/>
    <s v="2564200"/>
    <n v="700054"/>
    <s v="Salaries-Management-NonProd-Other"/>
    <s v="Neurology-FW-Neuro"/>
    <x v="0"/>
    <n v="2000"/>
    <n v="0"/>
    <n v="0"/>
    <n v="0"/>
    <n v="0"/>
    <n v="0"/>
    <n v="893.65"/>
    <n v="-893.65"/>
    <n v="0"/>
    <n v="0"/>
    <n v="0"/>
    <n v="0"/>
    <n v="0"/>
    <n v="0"/>
    <n v="0"/>
  </r>
  <r>
    <x v="5"/>
    <x v="1"/>
    <x v="0"/>
    <s v="2564200"/>
    <n v="700062"/>
    <s v="Salaries-Physician-NonProd-Other"/>
    <s v="Neurology-FW-Ne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4200"/>
    <n v="700064"/>
    <s v="Salaries-Advanced Practice Clinician-Non-Productive"/>
    <s v="Neurology-FW-Neuro"/>
    <x v="0"/>
    <m/>
    <n v="0"/>
    <n v="925.38"/>
    <n v="927.85"/>
    <n v="926.75"/>
    <n v="919.63"/>
    <n v="918.26"/>
    <n v="914.01"/>
    <n v="902.37"/>
    <n v="905.52"/>
    <n v="899.08"/>
    <n v="897.03"/>
    <n v="890.86"/>
    <n v="10026.740000000002"/>
    <n v="6.1699999999999591"/>
  </r>
  <r>
    <x v="5"/>
    <x v="1"/>
    <x v="0"/>
    <s v="2564200"/>
    <n v="700070"/>
    <s v="Salaries-LPN-Non-productive"/>
    <s v="Neurology-FW-Neuro"/>
    <x v="0"/>
    <m/>
    <n v="277.8"/>
    <n v="0"/>
    <n v="555.6"/>
    <n v="12.81"/>
    <n v="8.5500000000000007"/>
    <n v="706.76"/>
    <n v="254.51"/>
    <n v="3335.87"/>
    <n v="-627.26"/>
    <n v="0"/>
    <n v="285.12"/>
    <n v="285.12"/>
    <n v="5094.8799999999992"/>
    <n v="0"/>
  </r>
  <r>
    <x v="5"/>
    <x v="1"/>
    <x v="0"/>
    <s v="2564200"/>
    <n v="700070"/>
    <s v="Salaries-LPN-NonProd-Other"/>
    <s v="Neurology-FW-Ne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4200"/>
    <n v="700084"/>
    <s v="Accrued PTO"/>
    <s v="Neurology-FW-Neuro"/>
    <x v="0"/>
    <m/>
    <n v="266.51"/>
    <n v="500.32"/>
    <n v="-55.01"/>
    <n v="578.47"/>
    <n v="506.48"/>
    <n v="81.14"/>
    <n v="230.61"/>
    <n v="-1909.48"/>
    <n v="230.32"/>
    <n v="510.75"/>
    <n v="-25.05"/>
    <n v="494.81"/>
    <n v="1409.87"/>
    <n v="-519.86"/>
  </r>
  <r>
    <x v="10"/>
    <x v="1"/>
    <x v="0"/>
    <s v="2564200"/>
    <n v="710060"/>
    <s v="Contract Labor-Other"/>
    <s v="Neurology-FW-Neuro"/>
    <x v="0"/>
    <m/>
    <n v="0"/>
    <n v="0"/>
    <n v="0"/>
    <n v="0"/>
    <n v="0"/>
    <n v="0"/>
    <n v="0"/>
    <n v="0"/>
    <n v="0"/>
    <n v="0"/>
    <n v="1045.97"/>
    <n v="0"/>
    <n v="1045.97"/>
    <n v="1045.97"/>
  </r>
  <r>
    <x v="6"/>
    <x v="1"/>
    <x v="0"/>
    <s v="2564200"/>
    <n v="713010"/>
    <s v="Benefits-FICA/Medicare"/>
    <s v="Neurology-FW-Neuro"/>
    <x v="0"/>
    <m/>
    <n v="-639.22"/>
    <n v="6812.29"/>
    <n v="3110.61"/>
    <n v="3511.17"/>
    <n v="3460.71"/>
    <n v="1880.98"/>
    <n v="6133.28"/>
    <n v="5318.86"/>
    <n v="5187.38"/>
    <n v="3300.03"/>
    <n v="1266.1099999999999"/>
    <n v="1827.36"/>
    <n v="41169.56"/>
    <n v="-561.25"/>
  </r>
  <r>
    <x v="6"/>
    <x v="1"/>
    <x v="0"/>
    <s v="2564200"/>
    <n v="713090"/>
    <s v="Benefits-Allocated Amounts"/>
    <s v="Neurology-FW-Neuro"/>
    <x v="0"/>
    <m/>
    <n v="0"/>
    <n v="0"/>
    <n v="0"/>
    <n v="0"/>
    <n v="0"/>
    <n v="0"/>
    <n v="0"/>
    <n v="0"/>
    <n v="18572.939999999999"/>
    <n v="2234.86"/>
    <n v="2165.1"/>
    <n v="2168.98"/>
    <n v="25141.879999999997"/>
    <n v="-3.8800000000001091"/>
  </r>
  <r>
    <x v="6"/>
    <x v="1"/>
    <x v="0"/>
    <s v="2564200"/>
    <n v="713092"/>
    <s v="Allocated Benefits-Physician"/>
    <s v="Neurology-FW-Neuro"/>
    <x v="0"/>
    <m/>
    <n v="166.74"/>
    <n v="14147.7"/>
    <n v="6982.36"/>
    <n v="7238.23"/>
    <n v="7262.71"/>
    <n v="-2314.46"/>
    <n v="7035.97"/>
    <n v="6542.88"/>
    <n v="-10966.15"/>
    <n v="4343.38"/>
    <n v="4207.82"/>
    <n v="4215.3500000000004"/>
    <n v="48862.529999999992"/>
    <n v="-7.5300000000006548"/>
  </r>
  <r>
    <x v="7"/>
    <x v="1"/>
    <x v="0"/>
    <s v="2564200"/>
    <n v="718010"/>
    <s v="Contract Services-Advertising &amp; Public Relations"/>
    <s v="Neurology-FW-Neuro"/>
    <x v="0"/>
    <m/>
    <n v="0"/>
    <n v="0"/>
    <n v="0"/>
    <n v="0"/>
    <n v="0"/>
    <n v="0"/>
    <n v="0"/>
    <n v="0"/>
    <n v="0"/>
    <n v="0"/>
    <n v="177.87"/>
    <n v="0"/>
    <n v="177.87"/>
    <n v="177.87"/>
  </r>
  <r>
    <x v="7"/>
    <x v="1"/>
    <x v="0"/>
    <s v="2564200"/>
    <n v="718010"/>
    <s v="Media/Print Advertising"/>
    <s v="Neurology-FW-Neuro"/>
    <x v="0"/>
    <n v="1004"/>
    <n v="0"/>
    <n v="0"/>
    <n v="0"/>
    <n v="97.59"/>
    <n v="0"/>
    <n v="504.82"/>
    <n v="0"/>
    <n v="0"/>
    <n v="0"/>
    <n v="303.26"/>
    <n v="135.69"/>
    <n v="0"/>
    <n v="1041.3599999999999"/>
    <n v="135.69"/>
  </r>
  <r>
    <x v="7"/>
    <x v="1"/>
    <x v="0"/>
    <s v="2564200"/>
    <n v="718050"/>
    <s v="Contract Svcs-Other"/>
    <s v="Neurology-FW-Neuro"/>
    <x v="0"/>
    <m/>
    <n v="0"/>
    <n v="0"/>
    <n v="0"/>
    <n v="973.35"/>
    <n v="0"/>
    <n v="0"/>
    <n v="0"/>
    <n v="0"/>
    <n v="0"/>
    <n v="11.33"/>
    <n v="85"/>
    <n v="5148.75"/>
    <n v="6218.43"/>
    <n v="-5063.75"/>
  </r>
  <r>
    <x v="7"/>
    <x v="1"/>
    <x v="0"/>
    <s v="2564200"/>
    <n v="718050"/>
    <s v="Cleaning Services"/>
    <s v="Neurology-FW-Neuro"/>
    <x v="0"/>
    <n v="1011"/>
    <n v="0"/>
    <n v="0"/>
    <n v="0"/>
    <n v="750"/>
    <n v="0"/>
    <n v="0"/>
    <n v="0"/>
    <n v="0"/>
    <n v="0"/>
    <n v="0"/>
    <n v="0"/>
    <n v="0"/>
    <n v="750"/>
    <n v="0"/>
  </r>
  <r>
    <x v="7"/>
    <x v="1"/>
    <x v="0"/>
    <s v="2564200"/>
    <n v="718050"/>
    <s v="Miscellaneous Purchased Svcs"/>
    <s v="Neurology-FW-Neuro"/>
    <x v="0"/>
    <n v="1020"/>
    <n v="92.16"/>
    <n v="-98.77"/>
    <n v="242.39"/>
    <n v="135.62"/>
    <n v="143.85"/>
    <n v="118.88"/>
    <n v="130.94999999999999"/>
    <n v="101.29"/>
    <n v="124.94"/>
    <n v="8.32"/>
    <n v="194.41"/>
    <n v="138.51"/>
    <n v="1332.55"/>
    <n v="55.900000000000006"/>
  </r>
  <r>
    <x v="7"/>
    <x v="1"/>
    <x v="0"/>
    <s v="2564200"/>
    <n v="718050"/>
    <s v="Translation Services"/>
    <s v="Neurology-FW-Neuro"/>
    <x v="0"/>
    <n v="1025"/>
    <n v="0"/>
    <n v="0"/>
    <n v="0"/>
    <n v="208"/>
    <n v="600"/>
    <n v="658"/>
    <n v="811"/>
    <n v="590"/>
    <n v="0"/>
    <n v="446"/>
    <n v="420"/>
    <n v="0"/>
    <n v="3733"/>
    <n v="420"/>
  </r>
  <r>
    <x v="7"/>
    <x v="1"/>
    <x v="0"/>
    <s v="2564200"/>
    <n v="718050"/>
    <s v="Contract Management--Linen"/>
    <s v="Neurology-FW-Neuro"/>
    <x v="0"/>
    <n v="1026"/>
    <n v="0"/>
    <n v="0"/>
    <n v="161.82"/>
    <n v="118.5"/>
    <n v="39.5"/>
    <n v="289.77"/>
    <n v="247.5"/>
    <n v="164.54"/>
    <n v="118.5"/>
    <n v="158"/>
    <n v="39.5"/>
    <n v="39.5"/>
    <n v="1377.1299999999999"/>
    <n v="0"/>
  </r>
  <r>
    <x v="7"/>
    <x v="1"/>
    <x v="0"/>
    <s v="2564200"/>
    <n v="718050"/>
    <s v="Purchased Srvcs--Medical Waste"/>
    <s v="Neurology-FW-Neuro"/>
    <x v="0"/>
    <n v="1027"/>
    <n v="0"/>
    <n v="61.72"/>
    <n v="0"/>
    <n v="57.85"/>
    <n v="0"/>
    <n v="23.04"/>
    <n v="22.27"/>
    <n v="34.81"/>
    <n v="0"/>
    <n v="22.27"/>
    <n v="22.27"/>
    <n v="10.36"/>
    <n v="254.59000000000003"/>
    <n v="11.91"/>
  </r>
  <r>
    <x v="11"/>
    <x v="1"/>
    <x v="0"/>
    <s v="2564200"/>
    <n v="721010"/>
    <s v="Supplies-Medical - Billable"/>
    <s v="Neurology-FW-Neuro"/>
    <x v="0"/>
    <m/>
    <n v="0"/>
    <n v="0"/>
    <n v="0"/>
    <n v="155.04"/>
    <n v="0"/>
    <n v="0"/>
    <n v="0"/>
    <n v="0"/>
    <n v="0"/>
    <n v="0"/>
    <n v="0"/>
    <n v="0"/>
    <n v="155.04"/>
    <n v="0"/>
  </r>
  <r>
    <x v="11"/>
    <x v="1"/>
    <x v="0"/>
    <s v="2564200"/>
    <n v="721410"/>
    <s v="Supplies-Medical - Nonbillable"/>
    <s v="Neurology-FW-Neuro"/>
    <x v="0"/>
    <m/>
    <n v="0"/>
    <n v="0"/>
    <n v="0"/>
    <n v="400.65"/>
    <n v="336.29"/>
    <n v="433.77"/>
    <n v="244.88"/>
    <n v="392.91"/>
    <n v="5"/>
    <n v="5"/>
    <n v="0"/>
    <n v="1524.46"/>
    <n v="3342.96"/>
    <n v="-1524.46"/>
  </r>
  <r>
    <x v="11"/>
    <x v="1"/>
    <x v="0"/>
    <s v="2564200"/>
    <n v="721835"/>
    <s v="Supplies-Forms"/>
    <s v="Neurology-FW-Neuro"/>
    <x v="0"/>
    <m/>
    <n v="0"/>
    <n v="0"/>
    <n v="0"/>
    <n v="0"/>
    <n v="0.25"/>
    <n v="0"/>
    <n v="0"/>
    <n v="0"/>
    <n v="0"/>
    <n v="0"/>
    <n v="0"/>
    <n v="0"/>
    <n v="0.25"/>
    <n v="0"/>
  </r>
  <r>
    <x v="11"/>
    <x v="1"/>
    <x v="0"/>
    <s v="2564200"/>
    <n v="722000"/>
    <s v="Supplies-Freight Expense"/>
    <s v="Neurology-FW-Neuro"/>
    <x v="0"/>
    <m/>
    <n v="0"/>
    <n v="0"/>
    <n v="0"/>
    <n v="20.56"/>
    <n v="0"/>
    <n v="0"/>
    <n v="0"/>
    <n v="0"/>
    <n v="0"/>
    <n v="0"/>
    <n v="0"/>
    <n v="0"/>
    <n v="20.56"/>
    <n v="0"/>
  </r>
  <r>
    <x v="12"/>
    <x v="1"/>
    <x v="0"/>
    <s v="2564200"/>
    <n v="730020"/>
    <s v="Rental and Leases-Equipment (DO NOT USE)"/>
    <s v="Neurology-FW-Neuro"/>
    <x v="0"/>
    <m/>
    <n v="0"/>
    <n v="0"/>
    <n v="0"/>
    <n v="4.7699999999999996"/>
    <n v="0"/>
    <n v="0"/>
    <n v="0"/>
    <n v="0"/>
    <n v="0"/>
    <n v="0"/>
    <n v="0"/>
    <n v="0"/>
    <n v="4.7699999999999996"/>
    <n v="0"/>
  </r>
  <r>
    <x v="15"/>
    <x v="1"/>
    <x v="0"/>
    <s v="2564200"/>
    <n v="731030"/>
    <s v="Water"/>
    <s v="Neurology-FW-Neuro"/>
    <x v="0"/>
    <m/>
    <n v="0"/>
    <n v="0"/>
    <n v="0"/>
    <n v="0"/>
    <n v="0"/>
    <n v="0"/>
    <n v="32.950000000000003"/>
    <n v="0"/>
    <n v="0"/>
    <n v="0"/>
    <n v="0"/>
    <n v="0"/>
    <n v="32.950000000000003"/>
    <n v="0"/>
  </r>
  <r>
    <x v="15"/>
    <x v="1"/>
    <x v="0"/>
    <s v="2564200"/>
    <n v="731060"/>
    <s v="Telephone"/>
    <s v="Neurology-FW-Neuro"/>
    <x v="0"/>
    <m/>
    <n v="0"/>
    <n v="0"/>
    <n v="175"/>
    <n v="17.68"/>
    <n v="0"/>
    <n v="0"/>
    <n v="0"/>
    <n v="0"/>
    <n v="0"/>
    <n v="0"/>
    <n v="0"/>
    <n v="0"/>
    <n v="192.68"/>
    <n v="0"/>
  </r>
  <r>
    <x v="15"/>
    <x v="1"/>
    <x v="0"/>
    <s v="2564200"/>
    <n v="731070"/>
    <s v="Cable TV"/>
    <s v="Neurology-FW-Neuro"/>
    <x v="0"/>
    <m/>
    <n v="0"/>
    <n v="0"/>
    <n v="0"/>
    <n v="68.47"/>
    <n v="80.430000000000007"/>
    <n v="80.430000000000007"/>
    <n v="80.430000000000007"/>
    <n v="0"/>
    <n v="88.69"/>
    <n v="88.69"/>
    <n v="0"/>
    <n v="177.84"/>
    <n v="664.98"/>
    <n v="-177.84"/>
  </r>
  <r>
    <x v="0"/>
    <x v="1"/>
    <x v="0"/>
    <s v="2564200"/>
    <n v="740020"/>
    <s v="Education-Registration Fees"/>
    <s v="Neurology-FW-Neuro"/>
    <x v="0"/>
    <m/>
    <n v="0"/>
    <n v="0"/>
    <n v="0"/>
    <n v="0"/>
    <n v="0"/>
    <n v="0"/>
    <n v="45"/>
    <n v="0"/>
    <n v="0"/>
    <n v="0"/>
    <n v="0"/>
    <n v="0"/>
    <n v="45"/>
    <n v="0"/>
  </r>
  <r>
    <x v="0"/>
    <x v="1"/>
    <x v="0"/>
    <s v="2564200"/>
    <n v="740022"/>
    <s v="Education-Physician"/>
    <s v="Neurology-FW-Neuro"/>
    <x v="0"/>
    <m/>
    <n v="0"/>
    <n v="0"/>
    <n v="0"/>
    <n v="0"/>
    <n v="0"/>
    <n v="0"/>
    <n v="265"/>
    <n v="0"/>
    <n v="0"/>
    <n v="0"/>
    <n v="0"/>
    <n v="625"/>
    <n v="890"/>
    <n v="-625"/>
  </r>
  <r>
    <x v="8"/>
    <x v="1"/>
    <x v="0"/>
    <s v="2564200"/>
    <n v="741012"/>
    <s v="Physician Liab Insurance-CHI Program"/>
    <s v="Neurology-FW-Neuro"/>
    <x v="0"/>
    <m/>
    <n v="1401.54"/>
    <n v="1401.54"/>
    <n v="1401.54"/>
    <n v="1401.54"/>
    <n v="1401.54"/>
    <n v="1401.52"/>
    <n v="947.34"/>
    <n v="947.32"/>
    <n v="947.34"/>
    <n v="947.32"/>
    <n v="947.34"/>
    <n v="947.32"/>
    <n v="14093.199999999999"/>
    <n v="1.999999999998181E-2"/>
  </r>
  <r>
    <x v="0"/>
    <x v="1"/>
    <x v="0"/>
    <s v="2564200"/>
    <n v="743022"/>
    <s v="Dues-Physician"/>
    <s v="Neurology-FW-Neuro"/>
    <x v="0"/>
    <m/>
    <n v="0"/>
    <n v="0"/>
    <n v="0"/>
    <n v="420"/>
    <n v="0"/>
    <n v="0"/>
    <n v="970"/>
    <n v="0"/>
    <n v="0"/>
    <n v="0"/>
    <n v="0"/>
    <n v="0"/>
    <n v="1390"/>
    <n v="0"/>
  </r>
  <r>
    <x v="0"/>
    <x v="1"/>
    <x v="0"/>
    <s v="2564200"/>
    <n v="749510"/>
    <s v="Miscellaneous Expenses"/>
    <s v="Neurology-FW-Neuro"/>
    <x v="0"/>
    <m/>
    <n v="0"/>
    <n v="0"/>
    <n v="11.33"/>
    <n v="11.33"/>
    <n v="0"/>
    <n v="0"/>
    <n v="0"/>
    <n v="0"/>
    <n v="613.07000000000005"/>
    <n v="349.95"/>
    <n v="-91.6"/>
    <n v="97.34"/>
    <n v="991.42000000000007"/>
    <n v="-188.94"/>
  </r>
  <r>
    <x v="0"/>
    <x v="1"/>
    <x v="0"/>
    <s v="2564200"/>
    <n v="749510"/>
    <s v="RICE Rewards"/>
    <s v="Neurology-FW-Neuro"/>
    <x v="0"/>
    <n v="5100"/>
    <n v="0"/>
    <n v="0"/>
    <n v="0"/>
    <n v="0"/>
    <n v="0"/>
    <n v="0"/>
    <n v="457.5"/>
    <n v="0"/>
    <n v="0"/>
    <n v="0"/>
    <n v="0"/>
    <n v="0"/>
    <n v="457.5"/>
    <n v="0"/>
  </r>
  <r>
    <x v="0"/>
    <x v="1"/>
    <x v="0"/>
    <s v="2564200"/>
    <n v="749512"/>
    <s v="Licenses-Physician"/>
    <s v="Neurology-FW-Neuro"/>
    <x v="0"/>
    <n v="2000"/>
    <n v="0"/>
    <n v="0"/>
    <n v="0"/>
    <n v="0"/>
    <n v="0"/>
    <n v="0"/>
    <n v="659.5"/>
    <n v="0"/>
    <n v="0"/>
    <n v="0"/>
    <n v="0"/>
    <n v="0"/>
    <n v="659.5"/>
    <n v="0"/>
  </r>
  <r>
    <x v="0"/>
    <x v="1"/>
    <x v="0"/>
    <s v="2564200"/>
    <n v="749530"/>
    <s v="Mileage"/>
    <s v="Neurology-FW-Neuro"/>
    <x v="0"/>
    <n v="1001"/>
    <n v="0"/>
    <n v="19.079999999999998"/>
    <n v="0"/>
    <n v="0"/>
    <n v="0"/>
    <n v="0"/>
    <n v="0"/>
    <n v="0"/>
    <n v="0"/>
    <n v="0"/>
    <n v="0"/>
    <n v="0"/>
    <n v="19.079999999999998"/>
    <n v="0"/>
  </r>
  <r>
    <x v="0"/>
    <x v="1"/>
    <x v="0"/>
    <s v="2564200"/>
    <n v="749532"/>
    <s v="Travel-Physician"/>
    <s v="Neurology-FW-Neuro"/>
    <x v="0"/>
    <m/>
    <n v="0"/>
    <n v="0"/>
    <n v="0"/>
    <n v="0"/>
    <n v="0"/>
    <n v="0"/>
    <n v="0"/>
    <n v="0"/>
    <n v="0"/>
    <n v="0"/>
    <n v="0"/>
    <n v="1675.44"/>
    <n v="1675.44"/>
    <n v="-1675.44"/>
  </r>
  <r>
    <x v="0"/>
    <x v="1"/>
    <x v="0"/>
    <s v="2564200"/>
    <n v="749535"/>
    <s v="Meetings"/>
    <s v="Neurology-FW-Neuro"/>
    <x v="0"/>
    <m/>
    <n v="0"/>
    <n v="0"/>
    <n v="0"/>
    <n v="0"/>
    <n v="0"/>
    <n v="0"/>
    <n v="202.97"/>
    <n v="0"/>
    <n v="0"/>
    <n v="0"/>
    <n v="238.78"/>
    <n v="0"/>
    <n v="441.75"/>
    <n v="238.78"/>
  </r>
  <r>
    <x v="9"/>
    <x v="1"/>
    <x v="0"/>
    <s v="2564200"/>
    <n v="800015"/>
    <s v="Interest Income-Ext to CHI"/>
    <s v="Neurology-FW-Neuro"/>
    <x v="0"/>
    <m/>
    <n v="0"/>
    <n v="-92.05"/>
    <n v="-94.52"/>
    <n v="-93.42"/>
    <n v="-86.3"/>
    <n v="-84.93"/>
    <n v="-80.680000000000007"/>
    <n v="-69.040000000000006"/>
    <n v="-72.19"/>
    <n v="-65.75"/>
    <n v="-63.69"/>
    <n v="-57.53"/>
    <n v="-860.10000000000014"/>
    <n v="-6.1599999999999966"/>
  </r>
  <r>
    <x v="1"/>
    <x v="1"/>
    <x v="0"/>
    <s v="2566200"/>
    <n v="400029"/>
    <s v="MD Practice Other Rev--Medicare"/>
    <s v="Ortho/Spine-Dr S-Ortho Surg"/>
    <x v="0"/>
    <n v="1100"/>
    <n v="-3249"/>
    <n v="-3524"/>
    <n v="-2518"/>
    <n v="-828"/>
    <n v="-3157"/>
    <n v="-2034"/>
    <n v="-1930"/>
    <n v="-1749"/>
    <n v="-645"/>
    <n v="-2543"/>
    <n v="-588"/>
    <n v="-1170"/>
    <n v="-23935"/>
    <n v="582"/>
  </r>
  <r>
    <x v="1"/>
    <x v="1"/>
    <x v="0"/>
    <s v="2566200"/>
    <n v="400029"/>
    <s v="MD Practice Other Rev--Medicaid"/>
    <s v="Ortho/Spine-Dr S-Ortho Surg"/>
    <x v="0"/>
    <n v="1200"/>
    <n v="-1730"/>
    <n v="-1318"/>
    <n v="-1707"/>
    <n v="-962"/>
    <n v="-751"/>
    <n v="-1238"/>
    <n v="-561"/>
    <n v="-570"/>
    <n v="-317"/>
    <n v="-1224"/>
    <n v="-288"/>
    <n v="-778"/>
    <n v="-11444"/>
    <n v="490"/>
  </r>
  <r>
    <x v="1"/>
    <x v="1"/>
    <x v="0"/>
    <s v="2566200"/>
    <n v="400029"/>
    <s v="MD Practice Other Rev--Comm Insurance"/>
    <s v="Ortho/Spine-Dr S-Ortho Surg"/>
    <x v="0"/>
    <n v="1300"/>
    <n v="-98"/>
    <n v="-294"/>
    <n v="-159"/>
    <n v="-92"/>
    <n v="-113"/>
    <n v="0"/>
    <n v="-98"/>
    <n v="-190"/>
    <n v="0"/>
    <n v="0"/>
    <n v="0"/>
    <n v="-92"/>
    <n v="-1136"/>
    <n v="92"/>
  </r>
  <r>
    <x v="1"/>
    <x v="1"/>
    <x v="0"/>
    <s v="2566200"/>
    <n v="400029"/>
    <s v="MD Practice Other Rev--BCBS Comm"/>
    <s v="Ortho/Spine-Dr S-Ortho Surg"/>
    <x v="0"/>
    <n v="1301"/>
    <n v="-475"/>
    <n v="-454"/>
    <n v="-98"/>
    <n v="-392"/>
    <n v="-303"/>
    <n v="-196"/>
    <n v="-282"/>
    <n v="-190"/>
    <n v="-98"/>
    <n v="-490"/>
    <n v="-98"/>
    <n v="0"/>
    <n v="-3076"/>
    <n v="-98"/>
  </r>
  <r>
    <x v="1"/>
    <x v="1"/>
    <x v="0"/>
    <s v="2566200"/>
    <n v="400029"/>
    <s v="MD Practice Other Rev--Managed Care"/>
    <s v="Ortho/Spine-Dr S-Ortho Surg"/>
    <x v="0"/>
    <n v="1400"/>
    <n v="-1218"/>
    <n v="-804"/>
    <n v="-858"/>
    <n v="-778"/>
    <n v="-863"/>
    <n v="-1001"/>
    <n v="-742"/>
    <n v="-1024"/>
    <n v="-386"/>
    <n v="-576"/>
    <n v="-392"/>
    <n v="-582"/>
    <n v="-9224"/>
    <n v="190"/>
  </r>
  <r>
    <x v="1"/>
    <x v="1"/>
    <x v="0"/>
    <s v="2566200"/>
    <n v="400029"/>
    <s v="MD Practice Other Rev--Self Pay"/>
    <s v="Ortho/Spine-Dr S-Ortho Surg"/>
    <x v="0"/>
    <n v="1500"/>
    <n v="0"/>
    <n v="-98"/>
    <n v="-92"/>
    <n v="0"/>
    <n v="-98"/>
    <n v="0"/>
    <n v="-92"/>
    <n v="-62"/>
    <n v="0"/>
    <n v="0"/>
    <n v="-98"/>
    <n v="0"/>
    <n v="-540"/>
    <n v="-98"/>
  </r>
  <r>
    <x v="1"/>
    <x v="1"/>
    <x v="0"/>
    <s v="2566200"/>
    <n v="400029"/>
    <s v="MD Practice Other Rev--Other"/>
    <s v="Ortho/Spine-Dr S-Ortho Surg"/>
    <x v="0"/>
    <n v="1700"/>
    <n v="0"/>
    <n v="-668"/>
    <n v="-288"/>
    <n v="0"/>
    <n v="-193"/>
    <n v="-98"/>
    <n v="0"/>
    <n v="0"/>
    <n v="-196"/>
    <n v="0"/>
    <n v="0"/>
    <n v="-98"/>
    <n v="-1541"/>
    <n v="98"/>
  </r>
  <r>
    <x v="1"/>
    <x v="1"/>
    <x v="0"/>
    <s v="2566200"/>
    <n v="400040"/>
    <s v="Physician Svcs Rev--Medicare"/>
    <s v="Ortho/Spine-Dr S-Ortho Surg"/>
    <x v="0"/>
    <n v="1100"/>
    <n v="-27263"/>
    <n v="-36415"/>
    <n v="-18608"/>
    <n v="-8914"/>
    <n v="-19821"/>
    <n v="-19150"/>
    <n v="-16599"/>
    <n v="-15685"/>
    <n v="-11386"/>
    <n v="-28531"/>
    <n v="-10140"/>
    <n v="-17709"/>
    <n v="-230221"/>
    <n v="7569"/>
  </r>
  <r>
    <x v="1"/>
    <x v="1"/>
    <x v="0"/>
    <s v="2566200"/>
    <n v="400040"/>
    <s v="Physician Svcs Rev--Medicaid"/>
    <s v="Ortho/Spine-Dr S-Ortho Surg"/>
    <x v="0"/>
    <n v="1200"/>
    <n v="-9945"/>
    <n v="-11224"/>
    <n v="-11026"/>
    <n v="-8495"/>
    <n v="-5653"/>
    <n v="-8810"/>
    <n v="-5184"/>
    <n v="-7114"/>
    <n v="-7626"/>
    <n v="-16439"/>
    <n v="-3391"/>
    <n v="-8962"/>
    <n v="-103869"/>
    <n v="5571"/>
  </r>
  <r>
    <x v="1"/>
    <x v="1"/>
    <x v="0"/>
    <s v="2566200"/>
    <n v="400040"/>
    <s v="Physician Svcs Rev--Comm Insurance"/>
    <s v="Ortho/Spine-Dr S-Ortho Surg"/>
    <x v="0"/>
    <n v="1300"/>
    <n v="-568"/>
    <n v="-1999"/>
    <n v="-295"/>
    <n v="-604"/>
    <n v="-568"/>
    <n v="0"/>
    <n v="-568"/>
    <n v="-2625"/>
    <n v="-590"/>
    <n v="-1597"/>
    <n v="-1302"/>
    <n v="-2181"/>
    <n v="-12897"/>
    <n v="879"/>
  </r>
  <r>
    <x v="1"/>
    <x v="1"/>
    <x v="0"/>
    <s v="2566200"/>
    <n v="400040"/>
    <s v="Physician Svcs Rev--BCBS Comm"/>
    <s v="Ortho/Spine-Dr S-Ortho Surg"/>
    <x v="0"/>
    <n v="1301"/>
    <n v="-3656"/>
    <n v="-3215"/>
    <n v="-1453"/>
    <n v="-3090"/>
    <n v="-2538"/>
    <n v="-2282"/>
    <n v="-2714"/>
    <n v="-1954"/>
    <n v="-2839"/>
    <n v="-4949"/>
    <n v="-398"/>
    <n v="-200"/>
    <n v="-29288"/>
    <n v="-198"/>
  </r>
  <r>
    <x v="1"/>
    <x v="1"/>
    <x v="0"/>
    <s v="2566200"/>
    <n v="400040"/>
    <s v="Physician Svcs Rev--Managed Care"/>
    <s v="Ortho/Spine-Dr S-Ortho Surg"/>
    <x v="0"/>
    <n v="1400"/>
    <n v="-9466"/>
    <n v="-9447"/>
    <n v="-7654"/>
    <n v="-5759"/>
    <n v="-5828"/>
    <n v="-9202"/>
    <n v="-7426"/>
    <n v="-7113"/>
    <n v="-7639"/>
    <n v="-8447"/>
    <n v="-6018"/>
    <n v="-4664"/>
    <n v="-88663"/>
    <n v="-1354"/>
  </r>
  <r>
    <x v="1"/>
    <x v="1"/>
    <x v="0"/>
    <s v="2566200"/>
    <n v="400040"/>
    <s v="Physician Svcs Rev--Self Pay"/>
    <s v="Ortho/Spine-Dr S-Ortho Surg"/>
    <x v="0"/>
    <n v="1500"/>
    <n v="0"/>
    <n v="-1431"/>
    <n v="-693"/>
    <n v="-295"/>
    <n v="-863"/>
    <n v="0"/>
    <n v="-398"/>
    <n v="-295"/>
    <n v="-695"/>
    <n v="-864"/>
    <n v="-1078"/>
    <n v="0"/>
    <n v="-6612"/>
    <n v="-1078"/>
  </r>
  <r>
    <x v="1"/>
    <x v="1"/>
    <x v="0"/>
    <s v="2566200"/>
    <n v="400040"/>
    <s v="Physician Svcs Rev--Other"/>
    <s v="Ortho/Spine-Dr S-Ortho Surg"/>
    <x v="0"/>
    <n v="1700"/>
    <n v="-1682"/>
    <n v="-5927"/>
    <n v="-1923"/>
    <n v="-792"/>
    <n v="-1425"/>
    <n v="-2042"/>
    <n v="-1007"/>
    <n v="-1110"/>
    <n v="-1933"/>
    <n v="-1197"/>
    <n v="-870"/>
    <n v="-1668"/>
    <n v="-21576"/>
    <n v="798"/>
  </r>
  <r>
    <x v="2"/>
    <x v="1"/>
    <x v="0"/>
    <s v="2566200"/>
    <n v="450029"/>
    <s v="Contr Allow--MD Other-Medicare"/>
    <s v="Ortho/Spine-Dr S-Ortho Surg"/>
    <x v="0"/>
    <n v="1100"/>
    <n v="1955.19"/>
    <n v="2653.55"/>
    <n v="1842.35"/>
    <n v="1748.5"/>
    <n v="696.53"/>
    <n v="2493.87"/>
    <n v="990.44"/>
    <n v="957.94"/>
    <n v="963.9"/>
    <n v="961.27"/>
    <n v="1335.15"/>
    <n v="438.63"/>
    <n v="17037.320000000003"/>
    <n v="896.5200000000001"/>
  </r>
  <r>
    <x v="2"/>
    <x v="1"/>
    <x v="0"/>
    <s v="2566200"/>
    <n v="450029"/>
    <s v="Contr Allow--MD Other-Medicaid"/>
    <s v="Ortho/Spine-Dr S-Ortho Surg"/>
    <x v="0"/>
    <n v="1200"/>
    <n v="1148.9000000000001"/>
    <n v="1331.81"/>
    <n v="815.88"/>
    <n v="1257.97"/>
    <n v="297"/>
    <n v="1093.73"/>
    <n v="217.69"/>
    <n v="548.66"/>
    <n v="536.54999999999995"/>
    <n v="1379.38"/>
    <n v="629.22"/>
    <n v="292.97000000000003"/>
    <n v="9549.7599999999984"/>
    <n v="336.25"/>
  </r>
  <r>
    <x v="2"/>
    <x v="1"/>
    <x v="0"/>
    <s v="2566200"/>
    <n v="450029"/>
    <s v="Contr Allow--MD Other-Comm Insurance"/>
    <s v="Ortho/Spine-Dr S-Ortho Surg"/>
    <x v="0"/>
    <n v="1300"/>
    <n v="42.12"/>
    <n v="31.75"/>
    <n v="57.38"/>
    <n v="35.590000000000003"/>
    <n v="9.1999999999999993"/>
    <n v="92.75"/>
    <n v="0"/>
    <n v="124.73"/>
    <n v="20.38"/>
    <n v="0"/>
    <n v="0"/>
    <n v="45.31"/>
    <n v="459.21"/>
    <n v="-45.31"/>
  </r>
  <r>
    <x v="2"/>
    <x v="1"/>
    <x v="0"/>
    <s v="2566200"/>
    <n v="450029"/>
    <s v="Contr Allow--MD Other BCBS Comm"/>
    <s v="Ortho/Spine-Dr S-Ortho Surg"/>
    <x v="0"/>
    <n v="1301"/>
    <n v="82.51"/>
    <n v="217.2"/>
    <n v="45.99"/>
    <n v="78.61"/>
    <n v="87.73"/>
    <n v="101.78"/>
    <n v="44.41"/>
    <n v="91.32"/>
    <n v="50.44"/>
    <n v="75.66"/>
    <n v="75.84"/>
    <n v="0"/>
    <n v="951.49"/>
    <n v="75.84"/>
  </r>
  <r>
    <x v="2"/>
    <x v="1"/>
    <x v="0"/>
    <s v="2566200"/>
    <n v="450029"/>
    <s v="Contr Allow--MD Other-Managed Care"/>
    <s v="Ortho/Spine-Dr S-Ortho Surg"/>
    <x v="0"/>
    <n v="1400"/>
    <n v="348.68"/>
    <n v="406.56"/>
    <n v="110.96"/>
    <n v="429.21"/>
    <n v="324.14"/>
    <n v="381.31"/>
    <n v="349.86"/>
    <n v="139.1"/>
    <n v="317.10000000000002"/>
    <n v="182.31"/>
    <n v="333.96"/>
    <n v="60.67"/>
    <n v="3383.86"/>
    <n v="273.28999999999996"/>
  </r>
  <r>
    <x v="2"/>
    <x v="1"/>
    <x v="0"/>
    <s v="2566200"/>
    <n v="450029"/>
    <s v="Admin Adjust-MD Other-Self Pay"/>
    <s v="Ortho/Spine-Dr S-Ortho Surg"/>
    <x v="0"/>
    <n v="1600"/>
    <n v="-33.340000000000003"/>
    <n v="-61.88"/>
    <n v="55.68"/>
    <n v="10.92"/>
    <n v="36.26"/>
    <n v="-5.64"/>
    <n v="41.06"/>
    <n v="154.22"/>
    <n v="0"/>
    <n v="0"/>
    <n v="36.26"/>
    <n v="-3.69"/>
    <n v="229.85"/>
    <n v="39.949999999999996"/>
  </r>
  <r>
    <x v="2"/>
    <x v="1"/>
    <x v="0"/>
    <s v="2566200"/>
    <n v="450029"/>
    <s v="Contr Allow--MD Other-Other"/>
    <s v="Ortho/Spine-Dr S-Ortho Surg"/>
    <x v="0"/>
    <n v="1700"/>
    <n v="102.29"/>
    <n v="31.32"/>
    <n v="243.12"/>
    <n v="218.81"/>
    <n v="30.26"/>
    <n v="31.32"/>
    <n v="31.32"/>
    <n v="0"/>
    <n v="0"/>
    <n v="127.72"/>
    <n v="0"/>
    <n v="0"/>
    <n v="816.16000000000008"/>
    <n v="0"/>
  </r>
  <r>
    <x v="2"/>
    <x v="1"/>
    <x v="0"/>
    <s v="2566200"/>
    <n v="450040"/>
    <s v="Contr Allow--Phys Svcs--Mcare"/>
    <s v="Ortho/Spine-Dr S-Ortho Surg"/>
    <x v="0"/>
    <n v="1100"/>
    <n v="13485.84"/>
    <n v="13418.23"/>
    <n v="37199.99"/>
    <n v="14637.16"/>
    <n v="7377.88"/>
    <n v="19345.259999999998"/>
    <n v="12691.55"/>
    <n v="8665.16"/>
    <n v="18549.939999999999"/>
    <n v="12837.27"/>
    <n v="17504.490000000002"/>
    <n v="5231.37"/>
    <n v="180944.13999999998"/>
    <n v="12273.120000000003"/>
  </r>
  <r>
    <x v="2"/>
    <x v="1"/>
    <x v="0"/>
    <s v="2566200"/>
    <n v="450040"/>
    <s v="Contr Allow--Phys Svcs--Mcaid"/>
    <s v="Ortho/Spine-Dr S-Ortho Surg"/>
    <x v="0"/>
    <n v="1200"/>
    <n v="9611.39"/>
    <n v="6987.79"/>
    <n v="-6916.72"/>
    <n v="10063.1"/>
    <n v="2544.31"/>
    <n v="3830.41"/>
    <n v="12763.07"/>
    <n v="8512.57"/>
    <n v="5965.72"/>
    <n v="31171.33"/>
    <n v="20091.759999999998"/>
    <n v="3016.34"/>
    <n v="107641.06999999999"/>
    <n v="17075.419999999998"/>
  </r>
  <r>
    <x v="2"/>
    <x v="1"/>
    <x v="0"/>
    <s v="2566200"/>
    <n v="450040"/>
    <s v="Contr Allow--Phys Svcs--Comm Insurance"/>
    <s v="Ortho/Spine-Dr S-Ortho Surg"/>
    <x v="0"/>
    <n v="1300"/>
    <n v="3018.12"/>
    <n v="3012.99"/>
    <n v="307.60000000000002"/>
    <n v="411.14"/>
    <n v="158.15"/>
    <n v="506.88"/>
    <n v="0"/>
    <n v="1065.18"/>
    <n v="543.47"/>
    <n v="419.62"/>
    <n v="760.63"/>
    <n v="530.75"/>
    <n v="10734.529999999999"/>
    <n v="229.88"/>
  </r>
  <r>
    <x v="2"/>
    <x v="1"/>
    <x v="0"/>
    <s v="2566200"/>
    <n v="450040"/>
    <s v="Contr Allow--Phys Svcs--BCBS Comm Ins"/>
    <s v="Ortho/Spine-Dr S-Ortho Surg"/>
    <x v="0"/>
    <n v="1301"/>
    <n v="14569.06"/>
    <n v="1951.93"/>
    <n v="748.33"/>
    <n v="1039.2"/>
    <n v="1553.19"/>
    <n v="6285.99"/>
    <n v="14506.66"/>
    <n v="5597.7"/>
    <n v="3792.3"/>
    <n v="1207.8800000000001"/>
    <n v="824.96"/>
    <n v="161.41"/>
    <n v="52238.61"/>
    <n v="663.55000000000007"/>
  </r>
  <r>
    <x v="2"/>
    <x v="1"/>
    <x v="0"/>
    <s v="2566200"/>
    <n v="450040"/>
    <s v="Contr Allow--Phys Svcs--Managed Care"/>
    <s v="Ortho/Spine-Dr S-Ortho Surg"/>
    <x v="0"/>
    <n v="1400"/>
    <n v="15068.18"/>
    <n v="4084.48"/>
    <n v="1877.55"/>
    <n v="7387.41"/>
    <n v="-6322.49"/>
    <n v="12736.33"/>
    <n v="11088.38"/>
    <n v="-467.67"/>
    <n v="3723.13"/>
    <n v="28349.19"/>
    <n v="-2495.63"/>
    <n v="1713.26"/>
    <n v="76742.119999999981"/>
    <n v="-4208.8900000000003"/>
  </r>
  <r>
    <x v="2"/>
    <x v="1"/>
    <x v="0"/>
    <s v="2566200"/>
    <n v="450040"/>
    <s v="Contr Allow--Phys Svcs--BCBS Mgnd Care"/>
    <s v="Ortho/Spine-Dr S-Ortho Surg"/>
    <x v="0"/>
    <n v="1401"/>
    <n v="-23532.34"/>
    <n v="2905.83"/>
    <n v="-10395.17"/>
    <n v="-19645.96"/>
    <n v="1205.53"/>
    <n v="-12813.61"/>
    <n v="-22595.38"/>
    <n v="-5819.52"/>
    <n v="1267.97"/>
    <n v="-5668.13"/>
    <n v="-18962.919999999998"/>
    <n v="9723.7800000000007"/>
    <n v="-104329.92000000001"/>
    <n v="-28686.699999999997"/>
  </r>
  <r>
    <x v="2"/>
    <x v="1"/>
    <x v="0"/>
    <s v="2566200"/>
    <n v="450040"/>
    <s v="Admin Adjust-Phys Svcs-Self Pay"/>
    <s v="Ortho/Spine-Dr S-Ortho Surg"/>
    <x v="0"/>
    <n v="1600"/>
    <n v="-261.98"/>
    <n v="10477.120000000001"/>
    <n v="5115.41"/>
    <n v="109.15"/>
    <n v="-1916.95"/>
    <n v="0"/>
    <n v="793.28"/>
    <n v="162.25"/>
    <n v="382.25"/>
    <n v="708.3"/>
    <n v="169.05"/>
    <n v="-39.93"/>
    <n v="15697.949999999999"/>
    <n v="208.98000000000002"/>
  </r>
  <r>
    <x v="2"/>
    <x v="1"/>
    <x v="0"/>
    <s v="2566200"/>
    <n v="450040"/>
    <s v="Contr Allow--Phys Svcs--Other"/>
    <s v="Ortho/Spine-Dr S-Ortho Surg"/>
    <x v="0"/>
    <n v="1700"/>
    <n v="1542.33"/>
    <n v="800.13"/>
    <n v="3276.93"/>
    <n v="1678.73"/>
    <n v="1093.83"/>
    <n v="206.37"/>
    <n v="1257.8699999999999"/>
    <n v="7571"/>
    <n v="334.95"/>
    <n v="1528.4"/>
    <n v="741.47"/>
    <n v="219.7"/>
    <n v="20251.710000000003"/>
    <n v="521.77"/>
  </r>
  <r>
    <x v="3"/>
    <x v="1"/>
    <x v="0"/>
    <s v="2566200"/>
    <n v="470040"/>
    <s v="Charity Care-Physician Svcs"/>
    <s v="Ortho/Spine-Dr S-Ortho Surg"/>
    <x v="0"/>
    <m/>
    <n v="-1175.07"/>
    <n v="1461.59"/>
    <n v="-612.79999999999995"/>
    <n v="-443.22"/>
    <n v="646.15"/>
    <n v="-504.46"/>
    <n v="-624.47"/>
    <n v="576.30999999999995"/>
    <n v="512.54"/>
    <n v="-288.2"/>
    <n v="-396.62"/>
    <n v="2313.0100000000002"/>
    <n v="1464.7600000000002"/>
    <n v="-2709.63"/>
  </r>
  <r>
    <x v="4"/>
    <x v="1"/>
    <x v="0"/>
    <s v="2566200"/>
    <n v="490010"/>
    <s v="Provision for Bad Debts"/>
    <s v="Ortho/Spine-Dr S-Ortho Surg"/>
    <x v="0"/>
    <m/>
    <n v="-1798.4"/>
    <n v="-175.24"/>
    <n v="193.71"/>
    <n v="-2111.04"/>
    <n v="20084.689999999999"/>
    <n v="-2758.12"/>
    <n v="16744.89"/>
    <n v="467.54"/>
    <n v="-18734.71"/>
    <n v="-22308.83"/>
    <n v="-1459.66"/>
    <n v="1232.8699999999999"/>
    <n v="-10622.300000000003"/>
    <n v="-2692.5299999999997"/>
  </r>
  <r>
    <x v="5"/>
    <x v="1"/>
    <x v="0"/>
    <s v="2566200"/>
    <n v="700024"/>
    <s v="Salaries-Advanced Practice Clinician-Productive"/>
    <s v="Ortho/Spine-Dr S-Ortho Surg"/>
    <x v="0"/>
    <m/>
    <n v="11884.12"/>
    <n v="13499.6"/>
    <n v="9301.76"/>
    <n v="6976.32"/>
    <n v="10287.799999999999"/>
    <n v="7342"/>
    <n v="13235.41"/>
    <n v="2827.71"/>
    <n v="0"/>
    <n v="0"/>
    <n v="0"/>
    <n v="0"/>
    <n v="75354.720000000016"/>
    <n v="0"/>
  </r>
  <r>
    <x v="5"/>
    <x v="1"/>
    <x v="0"/>
    <s v="2566200"/>
    <n v="700030"/>
    <s v="Salaries-LPN-Productive"/>
    <s v="Ortho/Spine-Dr S-Ortho Surg"/>
    <x v="0"/>
    <m/>
    <n v="0"/>
    <n v="0"/>
    <n v="0"/>
    <n v="285.87"/>
    <n v="0"/>
    <n v="287.3"/>
    <n v="0"/>
    <n v="0"/>
    <n v="0"/>
    <n v="0"/>
    <n v="0"/>
    <n v="0"/>
    <n v="573.17000000000007"/>
    <n v="0"/>
  </r>
  <r>
    <x v="5"/>
    <x v="1"/>
    <x v="0"/>
    <s v="2566200"/>
    <n v="700032"/>
    <s v="Salaries-Other Pat Care Providers-Productive"/>
    <s v="Ortho/Spine-Dr S-Ortho Surg"/>
    <x v="0"/>
    <m/>
    <n v="3252.02"/>
    <n v="3831.13"/>
    <n v="2780.92"/>
    <n v="2803.32"/>
    <n v="3046.18"/>
    <n v="1850.71"/>
    <n v="3231.56"/>
    <n v="1338.85"/>
    <n v="2481.16"/>
    <n v="4019.47"/>
    <n v="2958.56"/>
    <n v="1669.22"/>
    <n v="33263.1"/>
    <n v="1289.3399999999999"/>
  </r>
  <r>
    <x v="5"/>
    <x v="1"/>
    <x v="0"/>
    <s v="2566200"/>
    <n v="700032"/>
    <s v="Salaries-Other Pat Care Providers-OT"/>
    <s v="Ortho/Spine-Dr S-Ortho Surg"/>
    <x v="0"/>
    <n v="1000"/>
    <n v="0"/>
    <n v="0"/>
    <n v="0"/>
    <n v="0"/>
    <n v="17.239999999999998"/>
    <n v="-8.6199999999999992"/>
    <n v="0"/>
    <n v="0"/>
    <n v="0"/>
    <n v="0"/>
    <n v="0"/>
    <n v="0"/>
    <n v="8.6199999999999992"/>
    <n v="0"/>
  </r>
  <r>
    <x v="5"/>
    <x v="1"/>
    <x v="0"/>
    <s v="2566200"/>
    <n v="700034"/>
    <s v="Salaries-Tech/Professional-Productive"/>
    <s v="Ortho/Spine-Dr S-Ortho Surg"/>
    <x v="0"/>
    <m/>
    <n v="5387.14"/>
    <n v="5595.1"/>
    <n v="4234.92"/>
    <n v="5177.54"/>
    <n v="1731.89"/>
    <n v="4055.72"/>
    <n v="4901.5200000000004"/>
    <n v="3571.92"/>
    <n v="1655.09"/>
    <n v="5829.88"/>
    <n v="4194.25"/>
    <n v="1132.3399999999999"/>
    <n v="47467.30999999999"/>
    <n v="3061.91"/>
  </r>
  <r>
    <x v="5"/>
    <x v="1"/>
    <x v="0"/>
    <s v="2566200"/>
    <n v="700034"/>
    <s v="Salaries-Tech/Professional-Other"/>
    <s v="Ortho/Spine-Dr S-Ortho Surg"/>
    <x v="0"/>
    <n v="2000"/>
    <n v="0"/>
    <n v="0"/>
    <n v="0"/>
    <n v="0"/>
    <n v="0"/>
    <n v="0"/>
    <n v="0"/>
    <n v="0"/>
    <n v="12.01"/>
    <n v="-4"/>
    <n v="0"/>
    <n v="0"/>
    <n v="8.01"/>
    <n v="0"/>
  </r>
  <r>
    <x v="5"/>
    <x v="1"/>
    <x v="0"/>
    <s v="2566200"/>
    <n v="700062"/>
    <s v="Salaries-Physician-Non-productive"/>
    <s v="Ortho/Spine-Dr S-Ortho Surg"/>
    <x v="0"/>
    <m/>
    <n v="62460.9"/>
    <n v="65300.04"/>
    <n v="56782.64"/>
    <n v="65300.03"/>
    <n v="5678.27"/>
    <n v="0"/>
    <n v="0"/>
    <n v="0"/>
    <n v="0"/>
    <n v="0"/>
    <n v="0"/>
    <n v="0"/>
    <n v="255521.88"/>
    <n v="0"/>
  </r>
  <r>
    <x v="5"/>
    <x v="1"/>
    <x v="0"/>
    <s v="2566200"/>
    <n v="700062"/>
    <s v="Salaries-Physician-NonProd-Other"/>
    <s v="Ortho/Spine-Dr S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6200"/>
    <n v="700064"/>
    <s v="Salaries-Advanced Practice Clinician-Non-Productive"/>
    <s v="Ortho/Spine-Dr S-Ortho Surg"/>
    <x v="0"/>
    <m/>
    <n v="517.20000000000005"/>
    <n v="0"/>
    <n v="2325.44"/>
    <n v="6394.96"/>
    <n v="2622.12"/>
    <n v="4992.5600000000004"/>
    <n v="294.52999999999997"/>
    <n v="740.08"/>
    <n v="0"/>
    <n v="0"/>
    <n v="0"/>
    <n v="0"/>
    <n v="17886.890000000003"/>
    <n v="0"/>
  </r>
  <r>
    <x v="5"/>
    <x v="1"/>
    <x v="0"/>
    <s v="2566200"/>
    <n v="700064"/>
    <s v="Salaries-Advanced Practice Clinician-Non-Prod-Other"/>
    <s v="Ortho/Spine-Dr S-Ortho Surg"/>
    <x v="0"/>
    <n v="2000"/>
    <n v="0"/>
    <n v="0"/>
    <n v="0"/>
    <n v="0"/>
    <n v="428.08"/>
    <n v="428.08"/>
    <n v="0"/>
    <n v="-856.16"/>
    <n v="0"/>
    <n v="0"/>
    <n v="0"/>
    <n v="0"/>
    <n v="0"/>
    <n v="0"/>
  </r>
  <r>
    <x v="5"/>
    <x v="1"/>
    <x v="0"/>
    <s v="2566200"/>
    <n v="700072"/>
    <s v="Salaries-Other Pat Care Providers-Non-productive"/>
    <s v="Ortho/Spine-Dr S-Ortho Surg"/>
    <x v="0"/>
    <m/>
    <n v="426.31"/>
    <n v="979.85"/>
    <n v="94.86"/>
    <n v="267.83999999999997"/>
    <n v="1195.48"/>
    <n v="1153.53"/>
    <n v="519.80999999999995"/>
    <n v="1542.6"/>
    <n v="598.62"/>
    <n v="-103.6"/>
    <n v="851.88"/>
    <n v="57.56"/>
    <n v="7584.7400000000007"/>
    <n v="794.31999999999994"/>
  </r>
  <r>
    <x v="5"/>
    <x v="1"/>
    <x v="0"/>
    <s v="2566200"/>
    <n v="700072"/>
    <s v="Salaries-Other Pat Care Providers-NonProd-Other"/>
    <s v="Ortho/Spine-Dr S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6200"/>
    <n v="700074"/>
    <s v="Salaries-Tech/Professional-Non-productive"/>
    <s v="Ortho/Spine-Dr S-Ortho Surg"/>
    <x v="0"/>
    <m/>
    <n v="285.60000000000002"/>
    <n v="0"/>
    <n v="285.60000000000002"/>
    <n v="0"/>
    <n v="3162.22"/>
    <n v="213.26"/>
    <n v="559.77"/>
    <n v="786.17"/>
    <n v="3899.65"/>
    <n v="-382.96"/>
    <n v="-206.21"/>
    <n v="3829.69"/>
    <n v="12432.790000000003"/>
    <n v="-4035.9"/>
  </r>
  <r>
    <x v="5"/>
    <x v="1"/>
    <x v="0"/>
    <s v="2566200"/>
    <n v="700074"/>
    <s v="Salaries-Tech/Professional-NonProd-Other"/>
    <s v="Ortho/Spine-Dr S-Ortho Surg"/>
    <x v="0"/>
    <n v="2000"/>
    <n v="0"/>
    <n v="0"/>
    <n v="0"/>
    <n v="0"/>
    <n v="421.45"/>
    <n v="0"/>
    <n v="0"/>
    <n v="-421.45"/>
    <n v="0"/>
    <n v="0"/>
    <n v="0"/>
    <n v="0"/>
    <n v="0"/>
    <n v="0"/>
  </r>
  <r>
    <x v="5"/>
    <x v="1"/>
    <x v="0"/>
    <s v="2566200"/>
    <n v="700084"/>
    <s v="Accrued PTO"/>
    <s v="Ortho/Spine-Dr S-Ortho Surg"/>
    <x v="0"/>
    <m/>
    <n v="309.39"/>
    <n v="223.01"/>
    <n v="275.88"/>
    <n v="813.76"/>
    <n v="-594.28"/>
    <n v="-1265.9000000000001"/>
    <n v="-122.47"/>
    <n v="-245.46"/>
    <n v="-299.58999999999997"/>
    <n v="648.95000000000005"/>
    <n v="484.38"/>
    <n v="-45.79"/>
    <n v="181.87999999999997"/>
    <n v="530.16999999999996"/>
  </r>
  <r>
    <x v="6"/>
    <x v="1"/>
    <x v="0"/>
    <s v="2566200"/>
    <n v="713010"/>
    <s v="Benefits-FICA/Medicare"/>
    <s v="Ortho/Spine-Dr S-Ortho Surg"/>
    <x v="0"/>
    <m/>
    <n v="2484.6799999999998"/>
    <n v="2667.15"/>
    <n v="2192.4499999999998"/>
    <n v="2525.42"/>
    <n v="1098.4000000000001"/>
    <n v="1063.8800000000001"/>
    <n v="1666.32"/>
    <n v="779.95"/>
    <n v="617.91999999999996"/>
    <n v="671.96"/>
    <n v="551.34"/>
    <n v="471.46"/>
    <n v="16790.93"/>
    <n v="79.880000000000052"/>
  </r>
  <r>
    <x v="6"/>
    <x v="1"/>
    <x v="0"/>
    <s v="2566200"/>
    <n v="713090"/>
    <s v="Benefits-Allocated Amounts"/>
    <s v="Ortho/Spine-Dr S-Ortho Surg"/>
    <x v="0"/>
    <m/>
    <n v="0"/>
    <n v="0"/>
    <n v="0"/>
    <n v="0"/>
    <n v="0"/>
    <n v="0"/>
    <n v="0"/>
    <n v="0"/>
    <n v="21882.29"/>
    <n v="1282.6500000000001"/>
    <n v="984.99"/>
    <n v="638.48"/>
    <n v="24788.410000000003"/>
    <n v="346.51"/>
  </r>
  <r>
    <x v="6"/>
    <x v="1"/>
    <x v="0"/>
    <s v="2566200"/>
    <n v="713092"/>
    <s v="Allocated Benefits-Physician"/>
    <s v="Ortho/Spine-Dr S-Ortho Surg"/>
    <x v="0"/>
    <m/>
    <n v="2404.8000000000002"/>
    <n v="2254.66"/>
    <n v="2131.7600000000002"/>
    <n v="2203.17"/>
    <n v="1377"/>
    <n v="1053.96"/>
    <n v="1547.84"/>
    <n v="1124.55"/>
    <n v="-5344.83"/>
    <n v="513.07000000000005"/>
    <n v="393.99"/>
    <n v="255.4"/>
    <n v="9915.3699999999972"/>
    <n v="138.59"/>
  </r>
  <r>
    <x v="6"/>
    <x v="1"/>
    <x v="0"/>
    <s v="2566200"/>
    <n v="713093"/>
    <s v="Allocated Benefits-Advanced Practice Clinician"/>
    <s v="Ortho/Spine-Dr S-Ortho Surg"/>
    <x v="0"/>
    <m/>
    <n v="4524.58"/>
    <n v="4242.1099999999997"/>
    <n v="4010.87"/>
    <n v="4145.22"/>
    <n v="2590.8000000000002"/>
    <n v="1983"/>
    <n v="2912.24"/>
    <n v="2115.81"/>
    <n v="-13881.53"/>
    <n v="741.09"/>
    <n v="569.1"/>
    <n v="368.91"/>
    <n v="14322.2"/>
    <n v="200.19"/>
  </r>
  <r>
    <x v="11"/>
    <x v="1"/>
    <x v="0"/>
    <s v="2566200"/>
    <n v="721250"/>
    <s v="Supplies-Pharmacy Drugs - Billable"/>
    <s v="Ortho/Spine-Dr S-Ortho Surg"/>
    <x v="0"/>
    <m/>
    <n v="0"/>
    <n v="0"/>
    <n v="0"/>
    <n v="0"/>
    <n v="0"/>
    <n v="0"/>
    <n v="0"/>
    <n v="0"/>
    <n v="290.48"/>
    <n v="614.88"/>
    <n v="959.73"/>
    <n v="0"/>
    <n v="1865.0900000000001"/>
    <n v="959.73"/>
  </r>
  <r>
    <x v="11"/>
    <x v="1"/>
    <x v="0"/>
    <s v="2566200"/>
    <n v="721410"/>
    <s v="Supplies-Medical - Nonbillable"/>
    <s v="Ortho/Spine-Dr S-Ortho Surg"/>
    <x v="0"/>
    <m/>
    <n v="0"/>
    <n v="45.22"/>
    <n v="68.53"/>
    <n v="0"/>
    <n v="16.7"/>
    <n v="59.13"/>
    <n v="38.67"/>
    <n v="10.24"/>
    <n v="0"/>
    <n v="0"/>
    <n v="0"/>
    <n v="28.08"/>
    <n v="266.57"/>
    <n v="-28.08"/>
  </r>
  <r>
    <x v="15"/>
    <x v="1"/>
    <x v="0"/>
    <s v="2566200"/>
    <n v="731060"/>
    <s v="Pagers"/>
    <s v="Ortho/Spine-Dr S-Ortho Surg"/>
    <x v="0"/>
    <n v="1002"/>
    <n v="4.5"/>
    <n v="4.5"/>
    <n v="0"/>
    <n v="0"/>
    <n v="0"/>
    <n v="0"/>
    <n v="0"/>
    <n v="0"/>
    <n v="0"/>
    <n v="0"/>
    <n v="0"/>
    <n v="0"/>
    <n v="9"/>
    <n v="0"/>
  </r>
  <r>
    <x v="8"/>
    <x v="1"/>
    <x v="0"/>
    <s v="2566200"/>
    <n v="741012"/>
    <s v="Physician Liab Insurance-CHI Program"/>
    <s v="Ortho/Spine-Dr S-Ortho Surg"/>
    <x v="0"/>
    <m/>
    <n v="2216.77"/>
    <n v="2216.77"/>
    <n v="2216.77"/>
    <n v="2216.77"/>
    <n v="2216.7800000000002"/>
    <n v="2216.77"/>
    <n v="-1931.3"/>
    <n v="0"/>
    <n v="0"/>
    <n v="0"/>
    <n v="0"/>
    <n v="0"/>
    <n v="11369.330000000002"/>
    <n v="0"/>
  </r>
  <r>
    <x v="0"/>
    <x v="1"/>
    <x v="0"/>
    <s v="2566200"/>
    <n v="749513"/>
    <s v="Licenses-Advanced Practice Clinician"/>
    <s v="Ortho/Spine-Dr S-Ortho Surg"/>
    <x v="0"/>
    <n v="2000"/>
    <n v="0"/>
    <n v="0"/>
    <n v="0"/>
    <n v="0"/>
    <n v="0"/>
    <n v="0"/>
    <n v="245"/>
    <n v="0"/>
    <n v="0"/>
    <n v="0"/>
    <n v="0"/>
    <n v="0"/>
    <n v="245"/>
    <n v="0"/>
  </r>
  <r>
    <x v="0"/>
    <x v="1"/>
    <x v="0"/>
    <s v="2566200"/>
    <n v="749530"/>
    <s v="Mileage"/>
    <s v="Ortho/Spine-Dr S-Ortho Surg"/>
    <x v="0"/>
    <n v="1001"/>
    <n v="0"/>
    <n v="0"/>
    <n v="0"/>
    <n v="0"/>
    <n v="0"/>
    <n v="0"/>
    <n v="0"/>
    <n v="0"/>
    <n v="245"/>
    <n v="0"/>
    <n v="0"/>
    <n v="0"/>
    <n v="245"/>
    <n v="0"/>
  </r>
  <r>
    <x v="1"/>
    <x v="1"/>
    <x v="0"/>
    <s v="2567200"/>
    <n v="400029"/>
    <s v="MD Practice Other Rev--Medicare"/>
    <s v="Nephrology Clinic-Nephro"/>
    <x v="0"/>
    <n v="1100"/>
    <n v="0"/>
    <n v="-18"/>
    <n v="0"/>
    <n v="0"/>
    <n v="0"/>
    <n v="0"/>
    <n v="0"/>
    <n v="0"/>
    <n v="0"/>
    <n v="-54"/>
    <n v="0"/>
    <n v="0"/>
    <n v="-72"/>
    <n v="0"/>
  </r>
  <r>
    <x v="1"/>
    <x v="1"/>
    <x v="0"/>
    <s v="2567200"/>
    <n v="400029"/>
    <s v="MD Practice Other Rev--Medicaid"/>
    <s v="Nephrology Clinic-Nephro"/>
    <x v="0"/>
    <n v="1200"/>
    <n v="0"/>
    <n v="0"/>
    <n v="0"/>
    <n v="0"/>
    <n v="0"/>
    <n v="-9"/>
    <n v="0"/>
    <n v="0"/>
    <n v="0"/>
    <n v="0"/>
    <n v="0"/>
    <n v="0"/>
    <n v="-9"/>
    <n v="0"/>
  </r>
  <r>
    <x v="1"/>
    <x v="1"/>
    <x v="0"/>
    <s v="2567200"/>
    <n v="400040"/>
    <s v="Physician Svcs Rev--Medicare"/>
    <s v="Nephrology Clinic-Nephro"/>
    <x v="0"/>
    <n v="1100"/>
    <n v="-372866"/>
    <n v="-403824"/>
    <n v="-631304"/>
    <n v="-534446"/>
    <n v="-556929"/>
    <n v="-534977"/>
    <n v="-652071"/>
    <n v="-712931"/>
    <n v="-520026"/>
    <n v="-515668"/>
    <n v="-479084"/>
    <n v="-493930"/>
    <n v="-6408056"/>
    <n v="14846"/>
  </r>
  <r>
    <x v="1"/>
    <x v="1"/>
    <x v="0"/>
    <s v="2567200"/>
    <n v="400040"/>
    <s v="Physician Svcs Rev--Medicaid"/>
    <s v="Nephrology Clinic-Nephro"/>
    <x v="0"/>
    <n v="1200"/>
    <n v="-107896"/>
    <n v="-99510"/>
    <n v="-139808"/>
    <n v="-116671"/>
    <n v="-142497"/>
    <n v="-133895"/>
    <n v="-167015"/>
    <n v="-164101"/>
    <n v="-130978"/>
    <n v="-107254"/>
    <n v="-115108"/>
    <n v="-135729"/>
    <n v="-1560462"/>
    <n v="20621"/>
  </r>
  <r>
    <x v="1"/>
    <x v="1"/>
    <x v="0"/>
    <s v="2567200"/>
    <n v="400040"/>
    <s v="Physician Svcs Rev--Comm Insurance"/>
    <s v="Nephrology Clinic-Nephro"/>
    <x v="0"/>
    <n v="1300"/>
    <n v="-10165"/>
    <n v="-12875"/>
    <n v="-8785"/>
    <n v="-14124"/>
    <n v="-9820"/>
    <n v="-11020"/>
    <n v="-9748"/>
    <n v="-9736"/>
    <n v="-12216"/>
    <n v="-6375"/>
    <n v="-2828"/>
    <n v="-10509"/>
    <n v="-118201"/>
    <n v="7681"/>
  </r>
  <r>
    <x v="1"/>
    <x v="1"/>
    <x v="0"/>
    <s v="2567200"/>
    <n v="400040"/>
    <s v="Physician Svcs Rev--BCBS Comm"/>
    <s v="Nephrology Clinic-Nephro"/>
    <x v="0"/>
    <n v="1301"/>
    <n v="-14324"/>
    <n v="-14582"/>
    <n v="-23983"/>
    <n v="-7733"/>
    <n v="-21847"/>
    <n v="-23930"/>
    <n v="-37807"/>
    <n v="-26793"/>
    <n v="-20987"/>
    <n v="-20898"/>
    <n v="-20313"/>
    <n v="-28465"/>
    <n v="-261662"/>
    <n v="8152"/>
  </r>
  <r>
    <x v="1"/>
    <x v="1"/>
    <x v="0"/>
    <s v="2567200"/>
    <n v="400040"/>
    <s v="Physician Svcs Rev--Managed Care"/>
    <s v="Nephrology Clinic-Nephro"/>
    <x v="0"/>
    <n v="1400"/>
    <n v="-41263"/>
    <n v="-69851"/>
    <n v="-83955"/>
    <n v="-73391"/>
    <n v="-57544"/>
    <n v="-52685"/>
    <n v="-94867"/>
    <n v="-105575"/>
    <n v="-74754"/>
    <n v="-76754"/>
    <n v="-66012"/>
    <n v="-88543"/>
    <n v="-885194"/>
    <n v="22531"/>
  </r>
  <r>
    <x v="1"/>
    <x v="1"/>
    <x v="0"/>
    <s v="2567200"/>
    <n v="400040"/>
    <s v="Physician Svcs Rev--Self Pay"/>
    <s v="Nephrology Clinic-Nephro"/>
    <x v="0"/>
    <n v="1500"/>
    <n v="-2219"/>
    <n v="-2818"/>
    <n v="-24839"/>
    <n v="-3220"/>
    <n v="-20247"/>
    <n v="-13208"/>
    <n v="8451"/>
    <n v="-9353"/>
    <n v="-13777"/>
    <n v="-4570"/>
    <n v="-8361"/>
    <n v="-25533"/>
    <n v="-119694"/>
    <n v="17172"/>
  </r>
  <r>
    <x v="1"/>
    <x v="1"/>
    <x v="0"/>
    <s v="2567200"/>
    <n v="400040"/>
    <s v="Physician Svcs Rev--Other"/>
    <s v="Nephrology Clinic-Nephro"/>
    <x v="0"/>
    <n v="1700"/>
    <n v="-13784"/>
    <n v="-17359"/>
    <n v="-32993"/>
    <n v="-16671"/>
    <n v="-30792"/>
    <n v="-26900"/>
    <n v="-67286"/>
    <n v="-12179"/>
    <n v="-13113"/>
    <n v="-20163"/>
    <n v="-28936"/>
    <n v="-43129"/>
    <n v="-323305"/>
    <n v="14193"/>
  </r>
  <r>
    <x v="2"/>
    <x v="1"/>
    <x v="0"/>
    <s v="2567200"/>
    <n v="450029"/>
    <s v="Contr Allow--MD Other-Medicare"/>
    <s v="Nephrology Clinic-Nephro"/>
    <x v="0"/>
    <n v="1100"/>
    <n v="0"/>
    <n v="11.77"/>
    <n v="0"/>
    <n v="0"/>
    <n v="0"/>
    <n v="0"/>
    <n v="0"/>
    <n v="0"/>
    <n v="0"/>
    <n v="0"/>
    <n v="33.130000000000003"/>
    <n v="0"/>
    <n v="44.900000000000006"/>
    <n v="33.130000000000003"/>
  </r>
  <r>
    <x v="2"/>
    <x v="1"/>
    <x v="0"/>
    <s v="2567200"/>
    <n v="450029"/>
    <s v="Contr Allow--MD Other-Medicaid"/>
    <s v="Nephrology Clinic-Nephro"/>
    <x v="0"/>
    <n v="1200"/>
    <n v="0"/>
    <n v="0"/>
    <n v="0"/>
    <n v="0"/>
    <n v="0"/>
    <n v="5.96"/>
    <n v="0"/>
    <n v="0"/>
    <n v="0"/>
    <n v="0"/>
    <n v="0"/>
    <n v="0"/>
    <n v="5.96"/>
    <n v="0"/>
  </r>
  <r>
    <x v="2"/>
    <x v="1"/>
    <x v="0"/>
    <s v="2567200"/>
    <n v="450029"/>
    <s v="Admin Adjust-MD Other-Self Pay"/>
    <s v="Nephrology Clinic-Nephro"/>
    <x v="0"/>
    <n v="1600"/>
    <n v="0"/>
    <n v="0"/>
    <n v="0"/>
    <n v="0.69"/>
    <n v="0"/>
    <n v="0"/>
    <n v="0"/>
    <n v="0"/>
    <n v="0"/>
    <n v="0"/>
    <n v="0"/>
    <n v="0"/>
    <n v="0.69"/>
    <n v="0"/>
  </r>
  <r>
    <x v="2"/>
    <x v="1"/>
    <x v="0"/>
    <s v="2567200"/>
    <n v="450040"/>
    <s v="Contr Allow--Phys Svcs--Mcare"/>
    <s v="Nephrology Clinic-Nephro"/>
    <x v="0"/>
    <n v="1100"/>
    <n v="251152.92"/>
    <n v="205266.9"/>
    <n v="316633.65000000002"/>
    <n v="384721.69"/>
    <n v="411090.13"/>
    <n v="394931.17"/>
    <n v="321026.76"/>
    <n v="371064.89"/>
    <n v="471758.8"/>
    <n v="332560.73"/>
    <n v="357933.88"/>
    <n v="322050.7"/>
    <n v="4140192.2199999997"/>
    <n v="35883.179999999993"/>
  </r>
  <r>
    <x v="2"/>
    <x v="1"/>
    <x v="0"/>
    <s v="2567200"/>
    <n v="450040"/>
    <s v="Contr Allow--Phys Svcs--Mcaid"/>
    <s v="Nephrology Clinic-Nephro"/>
    <x v="0"/>
    <n v="1200"/>
    <n v="87500.27"/>
    <n v="65102.25"/>
    <n v="83474.77"/>
    <n v="103872.29"/>
    <n v="87959.72"/>
    <n v="106699.58"/>
    <n v="99002.09"/>
    <n v="107413.03"/>
    <n v="123404.05"/>
    <n v="88839.66"/>
    <n v="91018.78"/>
    <n v="102841.87"/>
    <n v="1147128.3600000001"/>
    <n v="-11823.089999999997"/>
  </r>
  <r>
    <x v="2"/>
    <x v="1"/>
    <x v="0"/>
    <s v="2567200"/>
    <n v="450040"/>
    <s v="Contr Allow--Phys Svcs--Comm Insurance"/>
    <s v="Nephrology Clinic-Nephro"/>
    <x v="0"/>
    <n v="1300"/>
    <n v="4394.24"/>
    <n v="3353.57"/>
    <n v="2768.27"/>
    <n v="4244.38"/>
    <n v="5742.93"/>
    <n v="3590.84"/>
    <n v="3669.69"/>
    <n v="3760.81"/>
    <n v="3815.07"/>
    <n v="5909.14"/>
    <n v="2437.6799999999998"/>
    <n v="3345.96"/>
    <n v="47032.58"/>
    <n v="-908.2800000000002"/>
  </r>
  <r>
    <x v="2"/>
    <x v="1"/>
    <x v="0"/>
    <s v="2567200"/>
    <n v="450040"/>
    <s v="Contr Allow--Phys Svcs--BCBS Comm Ins"/>
    <s v="Nephrology Clinic-Nephro"/>
    <x v="0"/>
    <n v="1301"/>
    <n v="5849.97"/>
    <n v="2725.3"/>
    <n v="4278.82"/>
    <n v="6240"/>
    <n v="6394.13"/>
    <n v="5437.45"/>
    <n v="6619.05"/>
    <n v="7075.73"/>
    <n v="11365.96"/>
    <n v="2245.27"/>
    <n v="5425.51"/>
    <n v="6930.48"/>
    <n v="70587.67"/>
    <n v="-1504.9699999999993"/>
  </r>
  <r>
    <x v="2"/>
    <x v="1"/>
    <x v="0"/>
    <s v="2567200"/>
    <n v="450040"/>
    <s v="Contr Allow--Phys Svcs--Managed Care"/>
    <s v="Nephrology Clinic-Nephro"/>
    <x v="0"/>
    <n v="1400"/>
    <n v="17089.88"/>
    <n v="19096.3"/>
    <n v="26352.55"/>
    <n v="21909.27"/>
    <n v="28709.119999999999"/>
    <n v="17229.400000000001"/>
    <n v="21942.880000000001"/>
    <n v="25029.68"/>
    <n v="42559.71"/>
    <n v="27042.54"/>
    <n v="28722.01"/>
    <n v="20589.740000000002"/>
    <n v="296273.07999999996"/>
    <n v="8132.2699999999968"/>
  </r>
  <r>
    <x v="2"/>
    <x v="1"/>
    <x v="0"/>
    <s v="2567200"/>
    <n v="450040"/>
    <s v="Contr Allow--Phys Svcs--BCBS Mgnd Care"/>
    <s v="Nephrology Clinic-Nephro"/>
    <x v="0"/>
    <n v="1401"/>
    <n v="-28732.43"/>
    <n v="52653.22"/>
    <n v="111848.52"/>
    <n v="-49442.44"/>
    <n v="-23118.68"/>
    <n v="-19937.169999999998"/>
    <n v="166700.47"/>
    <n v="131615.29"/>
    <n v="-157004.13"/>
    <n v="-9109.24"/>
    <n v="-44392.51"/>
    <n v="33961.93"/>
    <n v="165042.83000000002"/>
    <n v="-78354.44"/>
  </r>
  <r>
    <x v="2"/>
    <x v="1"/>
    <x v="0"/>
    <s v="2567200"/>
    <n v="450040"/>
    <s v="Prompt Pay Disc-Phys Svcs-Self Pay"/>
    <s v="Nephrology Clinic-Nephro"/>
    <x v="0"/>
    <n v="1500"/>
    <n v="0"/>
    <n v="-1511.62"/>
    <n v="-1728.97"/>
    <n v="0"/>
    <n v="0"/>
    <n v="0"/>
    <n v="-645.41"/>
    <n v="0"/>
    <n v="0"/>
    <n v="0"/>
    <n v="0"/>
    <n v="2254.77"/>
    <n v="-1631.23"/>
    <n v="-2254.77"/>
  </r>
  <r>
    <x v="2"/>
    <x v="1"/>
    <x v="0"/>
    <s v="2567200"/>
    <n v="450040"/>
    <s v="Admin Adjust-Phys Svcs-Self Pay"/>
    <s v="Nephrology Clinic-Nephro"/>
    <x v="0"/>
    <n v="1600"/>
    <n v="1557.17"/>
    <n v="2754.93"/>
    <n v="19621.759999999998"/>
    <n v="2804.59"/>
    <n v="8569.0499999999993"/>
    <n v="4823.59"/>
    <n v="-478.67"/>
    <n v="3476.83"/>
    <n v="4164.32"/>
    <n v="-1305.8499999999999"/>
    <n v="2068.9499999999998"/>
    <n v="8050.01"/>
    <n v="56106.68"/>
    <n v="-5981.06"/>
  </r>
  <r>
    <x v="2"/>
    <x v="1"/>
    <x v="0"/>
    <s v="2567200"/>
    <n v="450040"/>
    <s v="Contr Allow--Phys Svcs--Other"/>
    <s v="Nephrology Clinic-Nephro"/>
    <x v="0"/>
    <n v="1700"/>
    <n v="6550.83"/>
    <n v="16251.18"/>
    <n v="15849.83"/>
    <n v="12204.8"/>
    <n v="12825.75"/>
    <n v="11214.18"/>
    <n v="10236.370000000001"/>
    <n v="14392.94"/>
    <n v="25466.2"/>
    <n v="22777.42"/>
    <n v="21977.4"/>
    <n v="18927.46"/>
    <n v="188674.36"/>
    <n v="3049.9400000000023"/>
  </r>
  <r>
    <x v="3"/>
    <x v="1"/>
    <x v="0"/>
    <s v="2567200"/>
    <n v="470040"/>
    <s v="Charity Care-Physician Svcs"/>
    <s v="Nephrology Clinic-Nephro"/>
    <x v="0"/>
    <m/>
    <n v="891.52"/>
    <n v="9286.2199999999993"/>
    <n v="6403.32"/>
    <n v="109.3"/>
    <n v="6201"/>
    <n v="-1164.54"/>
    <n v="9868.57"/>
    <n v="4403.3900000000003"/>
    <n v="3813.05"/>
    <n v="4882.05"/>
    <n v="5465.39"/>
    <n v="10152.68"/>
    <n v="60311.950000000004"/>
    <n v="-4687.29"/>
  </r>
  <r>
    <x v="4"/>
    <x v="1"/>
    <x v="0"/>
    <s v="2567200"/>
    <n v="490010"/>
    <s v="Provision for Bad Debts"/>
    <s v="Nephrology Clinic-Nephro"/>
    <x v="0"/>
    <m/>
    <n v="13187.91"/>
    <n v="12817.69"/>
    <n v="22558.59"/>
    <n v="5023.79"/>
    <n v="10190.69"/>
    <n v="7633.82"/>
    <n v="16250.42"/>
    <n v="19757.14"/>
    <n v="-5601.35"/>
    <n v="9159.24"/>
    <n v="275.7"/>
    <n v="12026.95"/>
    <n v="123280.59"/>
    <n v="-11751.25"/>
  </r>
  <r>
    <x v="14"/>
    <x v="1"/>
    <x v="0"/>
    <s v="2567200"/>
    <n v="600050"/>
    <s v="Miscellaneous Revenue"/>
    <s v="Nephrology Clinic-Nephro"/>
    <x v="0"/>
    <m/>
    <n v="0"/>
    <n v="-46234.19"/>
    <n v="-94368.38"/>
    <n v="-46289.51"/>
    <n v="-92497.08"/>
    <n v="-371.3"/>
    <n v="-47296.94"/>
    <n v="-47296.94"/>
    <n v="-48359.69"/>
    <n v="-47296.94"/>
    <n v="-47296.94"/>
    <n v="-47446.94"/>
    <n v="-564754.85000000009"/>
    <n v="150"/>
  </r>
  <r>
    <x v="5"/>
    <x v="1"/>
    <x v="0"/>
    <s v="2567200"/>
    <n v="700022"/>
    <s v="Salaries-Physician-Productive"/>
    <s v="Nephrology Clinic-Nephro"/>
    <x v="0"/>
    <m/>
    <n v="177726.91"/>
    <n v="247764.23"/>
    <n v="246625.74"/>
    <n v="264761.95"/>
    <n v="263044.33"/>
    <n v="208047.24"/>
    <n v="275166.12"/>
    <n v="223122.12"/>
    <n v="236158.37"/>
    <n v="223118.68"/>
    <n v="219999.82"/>
    <n v="276518.25"/>
    <n v="2862053.7600000002"/>
    <n v="-56518.429999999993"/>
  </r>
  <r>
    <x v="5"/>
    <x v="1"/>
    <x v="0"/>
    <s v="2567200"/>
    <n v="700022"/>
    <s v="Salaries-Physician-Other"/>
    <s v="Nephrology Clinic-Nephro"/>
    <x v="0"/>
    <n v="2000"/>
    <n v="44605.279999999999"/>
    <n v="40343.01"/>
    <n v="35389.4"/>
    <n v="40342.99"/>
    <n v="38691.82"/>
    <n v="38223.279999999999"/>
    <n v="40405.300000000003"/>
    <n v="35441.339999999997"/>
    <n v="37057.46"/>
    <n v="38687.480000000003"/>
    <n v="40343.03"/>
    <n v="36572.1"/>
    <n v="466102.49"/>
    <n v="3770.9300000000003"/>
  </r>
  <r>
    <x v="5"/>
    <x v="1"/>
    <x v="0"/>
    <s v="2567200"/>
    <n v="700024"/>
    <s v="Salaries-Advanced Practice Clinician-Productive"/>
    <s v="Nephrology Clinic-Nephro"/>
    <x v="0"/>
    <m/>
    <n v="11459.5"/>
    <n v="14990.56"/>
    <n v="12150.88"/>
    <n v="14708.96"/>
    <n v="6624.64"/>
    <n v="14358.35"/>
    <n v="14644.02"/>
    <n v="3201.34"/>
    <n v="0"/>
    <n v="0"/>
    <n v="9784.4500000000007"/>
    <n v="6134.6"/>
    <n v="108057.3"/>
    <n v="3649.8500000000004"/>
  </r>
  <r>
    <x v="5"/>
    <x v="1"/>
    <x v="0"/>
    <s v="2567200"/>
    <n v="700030"/>
    <s v="Salaries-LPN-Productive"/>
    <s v="Nephrology Clinic-Nephro"/>
    <x v="0"/>
    <m/>
    <n v="1939.46"/>
    <n v="4104.76"/>
    <n v="3102.38"/>
    <n v="3474.96"/>
    <n v="4192.97"/>
    <n v="3349.92"/>
    <n v="4139.67"/>
    <n v="3385.72"/>
    <n v="921.75"/>
    <n v="4724.6000000000004"/>
    <n v="4264.0200000000004"/>
    <n v="3534.03"/>
    <n v="41134.240000000005"/>
    <n v="729.99000000000024"/>
  </r>
  <r>
    <x v="5"/>
    <x v="1"/>
    <x v="0"/>
    <s v="2567200"/>
    <n v="700030"/>
    <s v="Salaries-LPN-OT"/>
    <s v="Nephrology Clinic-Nephro"/>
    <x v="0"/>
    <n v="1000"/>
    <n v="29.89"/>
    <n v="202.6"/>
    <n v="53.98"/>
    <n v="283.23"/>
    <n v="116.3"/>
    <n v="8.68"/>
    <n v="135.57"/>
    <n v="31.3"/>
    <n v="-10.42"/>
    <n v="192.89"/>
    <n v="189.46"/>
    <n v="34.76"/>
    <n v="1268.24"/>
    <n v="154.70000000000002"/>
  </r>
  <r>
    <x v="5"/>
    <x v="1"/>
    <x v="0"/>
    <s v="2567200"/>
    <n v="700032"/>
    <s v="Salaries-Other Pat Care Providers-Productive"/>
    <s v="Nephrology Clinic-Nephro"/>
    <x v="0"/>
    <m/>
    <n v="16375.8"/>
    <n v="15378.36"/>
    <n v="13402.09"/>
    <n v="16049.1"/>
    <n v="13981.46"/>
    <n v="16267.52"/>
    <n v="19193.95"/>
    <n v="12235.28"/>
    <n v="19146.439999999999"/>
    <n v="13924.5"/>
    <n v="19646.21"/>
    <n v="15707.8"/>
    <n v="191308.50999999998"/>
    <n v="3938.41"/>
  </r>
  <r>
    <x v="5"/>
    <x v="1"/>
    <x v="0"/>
    <s v="2567200"/>
    <n v="700032"/>
    <s v="Salaries-Other Pat Care Providers-OT"/>
    <s v="Nephrology Clinic-Nephro"/>
    <x v="0"/>
    <n v="1000"/>
    <n v="681.54"/>
    <n v="1175.17"/>
    <n v="149.83000000000001"/>
    <n v="1096.55"/>
    <n v="478.14"/>
    <n v="321.14999999999998"/>
    <n v="575.96"/>
    <n v="320.56"/>
    <n v="1810.71"/>
    <n v="105.76"/>
    <n v="851.03"/>
    <n v="722.66"/>
    <n v="8289.0600000000013"/>
    <n v="128.37"/>
  </r>
  <r>
    <x v="5"/>
    <x v="1"/>
    <x v="0"/>
    <s v="2567200"/>
    <n v="700032"/>
    <s v="Salaries-Other Pat Care Providers-Other"/>
    <s v="Nephrology Clinic-Nephro"/>
    <x v="0"/>
    <n v="2000"/>
    <n v="0"/>
    <n v="0"/>
    <n v="0"/>
    <n v="41.25"/>
    <n v="-5"/>
    <n v="0"/>
    <n v="0"/>
    <n v="0"/>
    <n v="0"/>
    <n v="0"/>
    <n v="0"/>
    <n v="0"/>
    <n v="36.25"/>
    <n v="0"/>
  </r>
  <r>
    <x v="5"/>
    <x v="1"/>
    <x v="0"/>
    <s v="2567200"/>
    <n v="700062"/>
    <s v="Salaries-Physician-Non-productive"/>
    <s v="Nephrology Clinic-Nephro"/>
    <x v="0"/>
    <m/>
    <n v="24273.65"/>
    <n v="12390.39"/>
    <n v="2583.56"/>
    <n v="0"/>
    <n v="17564"/>
    <n v="49278.27"/>
    <n v="19965.61"/>
    <n v="36523.07"/>
    <n v="42803.97"/>
    <n v="53600.32"/>
    <n v="22924.35"/>
    <n v="10884.86"/>
    <n v="292792.05"/>
    <n v="12039.489999999998"/>
  </r>
  <r>
    <x v="5"/>
    <x v="1"/>
    <x v="0"/>
    <s v="2567200"/>
    <n v="700062"/>
    <s v="Salaries-Physician-NonProd-Other"/>
    <s v="Nephrology Clinic-Nephro"/>
    <x v="0"/>
    <n v="2000"/>
    <n v="0"/>
    <n v="0"/>
    <n v="0"/>
    <n v="0"/>
    <n v="361.08"/>
    <n v="0"/>
    <n v="0"/>
    <n v="-361.08"/>
    <n v="0"/>
    <n v="0"/>
    <n v="0"/>
    <n v="0"/>
    <n v="0"/>
    <n v="0"/>
  </r>
  <r>
    <x v="5"/>
    <x v="1"/>
    <x v="0"/>
    <s v="2567200"/>
    <n v="700064"/>
    <s v="Salaries-Advanced Practice Clinician-Non-Productive"/>
    <s v="Nephrology Clinic-Nephro"/>
    <x v="0"/>
    <m/>
    <n v="498.72"/>
    <n v="0"/>
    <n v="639.52"/>
    <n v="0"/>
    <n v="7827.2"/>
    <n v="-526.91999999999996"/>
    <n v="527.89"/>
    <n v="8175.65"/>
    <n v="12263.49"/>
    <n v="12847.44"/>
    <n v="4236.68"/>
    <n v="6134.58"/>
    <n v="52624.25"/>
    <n v="-1897.8999999999996"/>
  </r>
  <r>
    <x v="5"/>
    <x v="1"/>
    <x v="0"/>
    <s v="2567200"/>
    <n v="700064"/>
    <s v="Salaries-Advanced Practice Clinician-Non-Prod-Other"/>
    <s v="Nephrology Clinic-Nephro"/>
    <x v="0"/>
    <n v="2000"/>
    <n v="0"/>
    <n v="0"/>
    <n v="0"/>
    <n v="0"/>
    <n v="0"/>
    <n v="0"/>
    <n v="0"/>
    <n v="0"/>
    <n v="-1708.14"/>
    <n v="-4245.49"/>
    <n v="-2032.28"/>
    <n v="-2919.87"/>
    <n v="-10905.779999999999"/>
    <n v="887.58999999999992"/>
  </r>
  <r>
    <x v="5"/>
    <x v="1"/>
    <x v="0"/>
    <s v="2567200"/>
    <n v="700070"/>
    <s v="Salaries-LPN-Non-productive"/>
    <s v="Nephrology Clinic-Nephro"/>
    <x v="0"/>
    <m/>
    <n v="185.97"/>
    <n v="-30.99"/>
    <n v="467.71"/>
    <n v="1105.3499999999999"/>
    <n v="-148.09"/>
    <n v="777.5"/>
    <n v="148.36000000000001"/>
    <n v="86.9"/>
    <n v="3047.37"/>
    <n v="-648.87"/>
    <n v="0"/>
    <n v="185.39"/>
    <n v="5176.6000000000004"/>
    <n v="-185.39"/>
  </r>
  <r>
    <x v="5"/>
    <x v="1"/>
    <x v="0"/>
    <s v="2567200"/>
    <n v="700070"/>
    <s v="Salaries-LPN-NonProd-Other"/>
    <s v="Nephrology Clinic-Neph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67200"/>
    <n v="700072"/>
    <s v="Salaries-Other Pat Care Providers-Non-productive"/>
    <s v="Nephrology Clinic-Nephro"/>
    <x v="0"/>
    <m/>
    <n v="1950"/>
    <n v="2798.62"/>
    <n v="1393.11"/>
    <n v="4079.49"/>
    <n v="6959.93"/>
    <n v="1548.39"/>
    <n v="2208.91"/>
    <n v="5171.5200000000004"/>
    <n v="717.13"/>
    <n v="5126.84"/>
    <n v="2197.67"/>
    <n v="2491.11"/>
    <n v="36642.720000000001"/>
    <n v="-293.44000000000005"/>
  </r>
  <r>
    <x v="5"/>
    <x v="1"/>
    <x v="0"/>
    <s v="2567200"/>
    <n v="700072"/>
    <s v="Salaries-Other Pat Care Providers-NonProd-Other"/>
    <s v="Nephrology Clinic-Nephro"/>
    <x v="0"/>
    <n v="2000"/>
    <n v="0"/>
    <n v="0"/>
    <n v="0"/>
    <n v="0"/>
    <n v="593.84"/>
    <n v="0"/>
    <n v="0"/>
    <n v="-569.69000000000005"/>
    <n v="0"/>
    <n v="0"/>
    <n v="0"/>
    <n v="0"/>
    <n v="24.149999999999977"/>
    <n v="0"/>
  </r>
  <r>
    <x v="5"/>
    <x v="1"/>
    <x v="0"/>
    <s v="2567200"/>
    <n v="700084"/>
    <s v="Accrued PTO"/>
    <s v="Nephrology Clinic-Nephro"/>
    <x v="0"/>
    <m/>
    <n v="382.04"/>
    <n v="-292.04000000000002"/>
    <n v="198.25"/>
    <n v="-1158.8900000000001"/>
    <n v="-474.56"/>
    <n v="-737.02"/>
    <n v="1096.6400000000001"/>
    <n v="47.11"/>
    <n v="-691.17"/>
    <n v="-932.97"/>
    <n v="801.83"/>
    <n v="192.28"/>
    <n v="-1568.5000000000002"/>
    <n v="609.55000000000007"/>
  </r>
  <r>
    <x v="6"/>
    <x v="1"/>
    <x v="0"/>
    <s v="2567200"/>
    <n v="713010"/>
    <s v="Benefits-FICA/Medicare"/>
    <s v="Nephrology Clinic-Nephro"/>
    <x v="0"/>
    <m/>
    <n v="6070.77"/>
    <n v="7169.13"/>
    <n v="6910.94"/>
    <n v="7265.53"/>
    <n v="8658.4599999999991"/>
    <n v="15184.3"/>
    <n v="28483.03"/>
    <n v="22032.89"/>
    <n v="15286.08"/>
    <n v="11755.22"/>
    <n v="10650.79"/>
    <n v="8194.9599999999991"/>
    <n v="147662.1"/>
    <n v="2455.8300000000017"/>
  </r>
  <r>
    <x v="6"/>
    <x v="1"/>
    <x v="0"/>
    <s v="2567200"/>
    <n v="713090"/>
    <s v="Benefits-Allocated Amounts"/>
    <s v="Nephrology Clinic-Nephro"/>
    <x v="0"/>
    <m/>
    <n v="0"/>
    <n v="0"/>
    <n v="0"/>
    <n v="0"/>
    <n v="0"/>
    <n v="0"/>
    <n v="0"/>
    <n v="0"/>
    <n v="98399.23"/>
    <n v="11971.33"/>
    <n v="10982.48"/>
    <n v="12995.42"/>
    <n v="134348.46"/>
    <n v="-2012.9400000000005"/>
  </r>
  <r>
    <x v="6"/>
    <x v="1"/>
    <x v="0"/>
    <s v="2567200"/>
    <n v="713092"/>
    <s v="Allocated Benefits-Physician"/>
    <s v="Nephrology Clinic-Nephro"/>
    <x v="0"/>
    <m/>
    <n v="19535.169999999998"/>
    <n v="20246.82"/>
    <n v="20968.07"/>
    <n v="21551.02"/>
    <n v="22332.98"/>
    <n v="23356.42"/>
    <n v="28760.47"/>
    <n v="26652.17"/>
    <n v="-56770.15"/>
    <n v="15406.27"/>
    <n v="14133.67"/>
    <n v="16724.22"/>
    <n v="172897.13"/>
    <n v="-2590.5500000000011"/>
  </r>
  <r>
    <x v="6"/>
    <x v="1"/>
    <x v="0"/>
    <s v="2567200"/>
    <n v="713093"/>
    <s v="Allocated Benefits-Advanced Practice Clinician"/>
    <s v="Nephrology Clinic-Nephro"/>
    <x v="0"/>
    <m/>
    <n v="2756.11"/>
    <n v="2856.5"/>
    <n v="2958.27"/>
    <n v="3040.51"/>
    <n v="3150.83"/>
    <n v="3295.22"/>
    <n v="4057.65"/>
    <n v="3760.2"/>
    <n v="-7819.59"/>
    <n v="2196.67"/>
    <n v="2015.22"/>
    <n v="2384.59"/>
    <n v="24652.180000000004"/>
    <n v="-369.37000000000012"/>
  </r>
  <r>
    <x v="7"/>
    <x v="1"/>
    <x v="0"/>
    <s v="2567200"/>
    <n v="718040"/>
    <s v="Contract Svcs-Laboratory"/>
    <s v="Nephrology Clinic-Nephro"/>
    <x v="0"/>
    <m/>
    <n v="0"/>
    <n v="0"/>
    <n v="0"/>
    <n v="0"/>
    <n v="0"/>
    <n v="0"/>
    <n v="0"/>
    <n v="0"/>
    <n v="20"/>
    <n v="0"/>
    <n v="0"/>
    <n v="0"/>
    <n v="20"/>
    <n v="0"/>
  </r>
  <r>
    <x v="12"/>
    <x v="1"/>
    <x v="0"/>
    <s v="2567200"/>
    <n v="730010"/>
    <s v="Rental and Leases-Building (DO NOT USE)"/>
    <s v="Nephrology Clinic-Nephro"/>
    <x v="0"/>
    <m/>
    <n v="535.54"/>
    <n v="535.54"/>
    <n v="535.54"/>
    <n v="535.54"/>
    <n v="535.54"/>
    <n v="535.54"/>
    <n v="535.54"/>
    <n v="535.54"/>
    <n v="535.54"/>
    <n v="535.54"/>
    <n v="535.54"/>
    <n v="0"/>
    <n v="5890.94"/>
    <n v="535.54"/>
  </r>
  <r>
    <x v="12"/>
    <x v="1"/>
    <x v="0"/>
    <s v="2567200"/>
    <n v="730040"/>
    <s v="LT Lease-Real Estate"/>
    <s v="Nephrology Clinic-Nephro"/>
    <x v="0"/>
    <m/>
    <n v="0"/>
    <n v="0"/>
    <n v="0"/>
    <n v="0"/>
    <n v="0"/>
    <n v="0"/>
    <n v="0"/>
    <n v="0"/>
    <n v="0"/>
    <n v="0"/>
    <n v="0"/>
    <n v="535.54"/>
    <n v="535.54"/>
    <n v="-535.54"/>
  </r>
  <r>
    <x v="0"/>
    <x v="1"/>
    <x v="0"/>
    <s v="2567200"/>
    <n v="740022"/>
    <s v="Education-Physician"/>
    <s v="Nephrology Clinic-Nephro"/>
    <x v="0"/>
    <m/>
    <n v="475"/>
    <n v="0"/>
    <n v="0"/>
    <n v="0"/>
    <n v="395"/>
    <n v="0"/>
    <n v="0"/>
    <n v="0"/>
    <n v="0"/>
    <n v="0"/>
    <n v="0"/>
    <n v="3232.01"/>
    <n v="4102.01"/>
    <n v="-3232.01"/>
  </r>
  <r>
    <x v="0"/>
    <x v="1"/>
    <x v="0"/>
    <s v="2567200"/>
    <n v="740022"/>
    <s v="Books-Physician"/>
    <s v="Nephrology Clinic-Nephro"/>
    <x v="0"/>
    <n v="2000"/>
    <n v="0"/>
    <n v="0"/>
    <n v="0"/>
    <n v="0"/>
    <n v="0"/>
    <n v="0"/>
    <n v="0"/>
    <n v="0"/>
    <n v="585"/>
    <n v="0"/>
    <n v="0"/>
    <n v="2415"/>
    <n v="3000"/>
    <n v="-2415"/>
  </r>
  <r>
    <x v="0"/>
    <x v="1"/>
    <x v="0"/>
    <s v="2567200"/>
    <n v="740023"/>
    <s v="Education-Advanced Practice Clinician"/>
    <s v="Nephrology Clinic-Nephro"/>
    <x v="0"/>
    <m/>
    <n v="0"/>
    <n v="0"/>
    <n v="0"/>
    <n v="630"/>
    <n v="0"/>
    <n v="0"/>
    <n v="0"/>
    <n v="0"/>
    <n v="0"/>
    <n v="0"/>
    <n v="150"/>
    <n v="0"/>
    <n v="780"/>
    <n v="150"/>
  </r>
  <r>
    <x v="8"/>
    <x v="1"/>
    <x v="0"/>
    <s v="2567200"/>
    <n v="741012"/>
    <s v="Physician Liab Insurance-CHI Program"/>
    <s v="Nephrology Clinic-Nephro"/>
    <x v="0"/>
    <m/>
    <n v="3623.56"/>
    <n v="3623.56"/>
    <n v="3623.56"/>
    <n v="3623.56"/>
    <n v="3623.56"/>
    <n v="3623.53"/>
    <n v="3623.56"/>
    <n v="3623.53"/>
    <n v="3623.56"/>
    <n v="3623.53"/>
    <n v="3623.56"/>
    <n v="4417.7299999999996"/>
    <n v="44276.800000000003"/>
    <n v="-794.16999999999962"/>
  </r>
  <r>
    <x v="0"/>
    <x v="1"/>
    <x v="0"/>
    <s v="2567200"/>
    <n v="743020"/>
    <s v="Dues--Individual"/>
    <s v="Nephrology Clinic-Nephro"/>
    <x v="0"/>
    <m/>
    <n v="0"/>
    <n v="0"/>
    <n v="0"/>
    <n v="0"/>
    <n v="0"/>
    <n v="295"/>
    <n v="0"/>
    <n v="2457"/>
    <n v="0"/>
    <n v="0"/>
    <n v="0"/>
    <n v="0"/>
    <n v="2752"/>
    <n v="0"/>
  </r>
  <r>
    <x v="0"/>
    <x v="1"/>
    <x v="0"/>
    <s v="2567200"/>
    <n v="743022"/>
    <s v="Dues-Physician"/>
    <s v="Nephrology Clinic-Nephro"/>
    <x v="0"/>
    <m/>
    <n v="0"/>
    <n v="0"/>
    <n v="0"/>
    <n v="0"/>
    <n v="175"/>
    <n v="0"/>
    <n v="295"/>
    <n v="4470"/>
    <n v="540"/>
    <n v="0"/>
    <n v="350"/>
    <n v="980"/>
    <n v="6810"/>
    <n v="-630"/>
  </r>
  <r>
    <x v="0"/>
    <x v="1"/>
    <x v="0"/>
    <s v="2567200"/>
    <n v="743023"/>
    <s v="Dues-Advanced Practice Clinician"/>
    <s v="Nephrology Clinic-Nephro"/>
    <x v="0"/>
    <m/>
    <n v="0"/>
    <n v="0"/>
    <n v="0"/>
    <n v="0"/>
    <n v="0"/>
    <n v="0"/>
    <n v="0"/>
    <n v="0"/>
    <n v="0"/>
    <n v="80"/>
    <n v="0"/>
    <n v="0"/>
    <n v="80"/>
    <n v="0"/>
  </r>
  <r>
    <x v="0"/>
    <x v="1"/>
    <x v="0"/>
    <s v="2567200"/>
    <n v="743042"/>
    <s v="Subscriptions-Physician"/>
    <s v="Nephrology Clinic-Nephro"/>
    <x v="0"/>
    <m/>
    <n v="0"/>
    <n v="0"/>
    <n v="0"/>
    <n v="0"/>
    <n v="397"/>
    <n v="0"/>
    <n v="50"/>
    <n v="0"/>
    <n v="0"/>
    <n v="0"/>
    <n v="0"/>
    <n v="650"/>
    <n v="1097"/>
    <n v="-650"/>
  </r>
  <r>
    <x v="0"/>
    <x v="1"/>
    <x v="0"/>
    <s v="2567200"/>
    <n v="744012"/>
    <s v="Recruitment-Physician"/>
    <s v="Nephrology Clinic-Nephro"/>
    <x v="0"/>
    <m/>
    <n v="0"/>
    <n v="0"/>
    <n v="0"/>
    <n v="0"/>
    <n v="684.79"/>
    <n v="0"/>
    <n v="0"/>
    <n v="0"/>
    <n v="0"/>
    <n v="0"/>
    <n v="0"/>
    <n v="0"/>
    <n v="684.79"/>
    <n v="0"/>
  </r>
  <r>
    <x v="0"/>
    <x v="1"/>
    <x v="0"/>
    <s v="2567200"/>
    <n v="749510"/>
    <s v="Miscellaneous Expenses"/>
    <s v="Nephrology Clinic-Nephro"/>
    <x v="0"/>
    <m/>
    <n v="-5866.84"/>
    <n v="-625.35"/>
    <n v="452.11"/>
    <n v="3151.04"/>
    <n v="-2630.86"/>
    <n v="-448.67"/>
    <n v="493.03"/>
    <n v="-805.21"/>
    <n v="1091.54"/>
    <n v="163.6"/>
    <n v="2590.66"/>
    <n v="-844.7"/>
    <n v="-3279.6500000000015"/>
    <n v="3435.3599999999997"/>
  </r>
  <r>
    <x v="0"/>
    <x v="1"/>
    <x v="0"/>
    <s v="2567200"/>
    <n v="749512"/>
    <s v="Licenses-Physician"/>
    <s v="Nephrology Clinic-Nephro"/>
    <x v="0"/>
    <n v="2000"/>
    <n v="0"/>
    <n v="0"/>
    <n v="0"/>
    <n v="0"/>
    <n v="0"/>
    <n v="0"/>
    <n v="256"/>
    <n v="0"/>
    <n v="1388"/>
    <n v="657"/>
    <n v="0"/>
    <n v="0"/>
    <n v="2301"/>
    <n v="0"/>
  </r>
  <r>
    <x v="0"/>
    <x v="1"/>
    <x v="0"/>
    <s v="2567200"/>
    <n v="749513"/>
    <s v="Licenses-Advanced Practice Clinician"/>
    <s v="Nephrology Clinic-Nephro"/>
    <x v="0"/>
    <n v="2000"/>
    <n v="0"/>
    <n v="0"/>
    <n v="0"/>
    <n v="0"/>
    <n v="0"/>
    <n v="0"/>
    <n v="0"/>
    <n v="0"/>
    <n v="120"/>
    <n v="0"/>
    <n v="0"/>
    <n v="731"/>
    <n v="851"/>
    <n v="-731"/>
  </r>
  <r>
    <x v="0"/>
    <x v="1"/>
    <x v="0"/>
    <s v="2567200"/>
    <n v="749530"/>
    <s v="Travel"/>
    <s v="Nephrology Clinic-Nephro"/>
    <x v="0"/>
    <m/>
    <n v="66"/>
    <n v="42"/>
    <n v="12"/>
    <n v="48"/>
    <n v="73"/>
    <n v="68"/>
    <n v="38"/>
    <n v="42"/>
    <n v="54"/>
    <n v="6"/>
    <n v="36"/>
    <n v="43"/>
    <n v="528"/>
    <n v="-7"/>
  </r>
  <r>
    <x v="0"/>
    <x v="1"/>
    <x v="0"/>
    <s v="2567200"/>
    <n v="749530"/>
    <s v="Mileage"/>
    <s v="Nephrology Clinic-Nephro"/>
    <x v="0"/>
    <n v="1001"/>
    <n v="305.8"/>
    <n v="412.63"/>
    <n v="162.97999999999999"/>
    <n v="314"/>
    <n v="264.95999999999998"/>
    <n v="412.13"/>
    <n v="131.93"/>
    <n v="344.84"/>
    <n v="151.38"/>
    <n v="206.48"/>
    <n v="292.32"/>
    <n v="461.68"/>
    <n v="3461.13"/>
    <n v="-169.36"/>
  </r>
  <r>
    <x v="0"/>
    <x v="1"/>
    <x v="0"/>
    <s v="2567200"/>
    <n v="749532"/>
    <s v="Travel-Physician"/>
    <s v="Nephrology Clinic-Nephro"/>
    <x v="0"/>
    <m/>
    <n v="513.04999999999995"/>
    <n v="0"/>
    <n v="133"/>
    <n v="940"/>
    <n v="1465.18"/>
    <n v="0"/>
    <n v="1606.53"/>
    <n v="0"/>
    <n v="20"/>
    <n v="0"/>
    <n v="0"/>
    <n v="3889.76"/>
    <n v="8567.52"/>
    <n v="-3889.76"/>
  </r>
  <r>
    <x v="0"/>
    <x v="1"/>
    <x v="0"/>
    <s v="2567200"/>
    <n v="749532"/>
    <s v="Business Meals-Physician"/>
    <s v="Nephrology Clinic-Nephro"/>
    <x v="0"/>
    <n v="2000"/>
    <n v="0"/>
    <n v="0"/>
    <n v="0"/>
    <n v="0"/>
    <n v="0"/>
    <n v="0"/>
    <n v="0"/>
    <n v="0"/>
    <n v="0"/>
    <n v="0"/>
    <n v="0"/>
    <n v="578.34"/>
    <n v="578.34"/>
    <n v="-578.34"/>
  </r>
  <r>
    <x v="0"/>
    <x v="1"/>
    <x v="0"/>
    <s v="2567200"/>
    <n v="749532"/>
    <s v="Vehicle Expense-Physician"/>
    <s v="Nephrology Clinic-Nephro"/>
    <x v="0"/>
    <n v="2001"/>
    <n v="1942"/>
    <n v="0"/>
    <n v="2358.34"/>
    <n v="2019.36"/>
    <n v="1047.55"/>
    <n v="967.45"/>
    <n v="2658.62"/>
    <n v="769.59"/>
    <n v="1304.6099999999999"/>
    <n v="2991.64"/>
    <n v="4477.25"/>
    <n v="2816.48"/>
    <n v="23352.89"/>
    <n v="1660.77"/>
  </r>
  <r>
    <x v="0"/>
    <x v="1"/>
    <x v="0"/>
    <s v="2567200"/>
    <n v="749533"/>
    <s v="Travel-Advanced Practice Clinician"/>
    <s v="Nephrology Clinic-Nephro"/>
    <x v="0"/>
    <m/>
    <n v="0"/>
    <n v="20"/>
    <n v="75"/>
    <n v="1914.59"/>
    <n v="20"/>
    <n v="60"/>
    <n v="28.75"/>
    <n v="30.5"/>
    <n v="15"/>
    <n v="0"/>
    <n v="0"/>
    <n v="42.5"/>
    <n v="2206.34"/>
    <n v="-42.5"/>
  </r>
  <r>
    <x v="0"/>
    <x v="1"/>
    <x v="0"/>
    <s v="2567200"/>
    <n v="749533"/>
    <s v="Vehicle Expense-Advanced Practice Clinician"/>
    <s v="Nephrology Clinic-Nephro"/>
    <x v="0"/>
    <n v="2001"/>
    <n v="0"/>
    <n v="516.70000000000005"/>
    <n v="446.41"/>
    <n v="561.38"/>
    <n v="448.58"/>
    <n v="504.17"/>
    <n v="596.80999999999995"/>
    <n v="544.04"/>
    <n v="82.36"/>
    <n v="0"/>
    <n v="288.83999999999997"/>
    <n v="667"/>
    <n v="4656.2900000000009"/>
    <n v="-378.16"/>
  </r>
  <r>
    <x v="9"/>
    <x v="1"/>
    <x v="0"/>
    <s v="2567200"/>
    <n v="800015"/>
    <s v="Interest Income-Ext to CHI"/>
    <s v="Nephrology Clinic-Nephro"/>
    <x v="0"/>
    <m/>
    <n v="0"/>
    <n v="0"/>
    <n v="0"/>
    <n v="0"/>
    <n v="0"/>
    <n v="0"/>
    <n v="0"/>
    <n v="0"/>
    <n v="0"/>
    <n v="0"/>
    <n v="0"/>
    <n v="-81.91"/>
    <n v="-81.91"/>
    <n v="81.91"/>
  </r>
  <r>
    <x v="5"/>
    <x v="1"/>
    <x v="0"/>
    <s v="2568200"/>
    <n v="700038"/>
    <s v="Salaries-Service/Support-Productive"/>
    <s v="Vascular Clinic-Vasc Sur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568200"/>
    <n v="713010"/>
    <s v="Benefits-FICA/Medicare"/>
    <s v="Vascular Clinic-Vasc Sur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568200"/>
    <n v="713090"/>
    <s v="Benefits-Allocated Amounts"/>
    <s v="Vascular Clinic-Vasc Surg"/>
    <x v="0"/>
    <m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69200"/>
    <n v="450040"/>
    <s v="Contr Allow--Phys Svcs--Mcare"/>
    <s v="Phys Med &amp; Rehab-Physiatry"/>
    <x v="0"/>
    <n v="1100"/>
    <n v="0"/>
    <n v="-168.8"/>
    <n v="0"/>
    <n v="0"/>
    <n v="0"/>
    <n v="0"/>
    <n v="0"/>
    <n v="0"/>
    <n v="168.8"/>
    <n v="0"/>
    <n v="0"/>
    <n v="0"/>
    <n v="0"/>
    <n v="0"/>
  </r>
  <r>
    <x v="2"/>
    <x v="1"/>
    <x v="0"/>
    <s v="2569200"/>
    <n v="450040"/>
    <s v="Contr Allow--Phys Svcs--Managed Care"/>
    <s v="Phys Med &amp; Rehab-Physiatry"/>
    <x v="0"/>
    <n v="1400"/>
    <n v="0"/>
    <n v="0"/>
    <n v="0"/>
    <n v="0"/>
    <n v="703.05"/>
    <n v="0"/>
    <n v="0"/>
    <n v="0"/>
    <n v="0"/>
    <n v="0"/>
    <n v="0"/>
    <n v="71.42"/>
    <n v="774.46999999999991"/>
    <n v="-71.42"/>
  </r>
  <r>
    <x v="2"/>
    <x v="1"/>
    <x v="0"/>
    <s v="2569200"/>
    <n v="450040"/>
    <s v="Contr Allow--Phys Svcs--BCBS Mgnd Care"/>
    <s v="Phys Med &amp; Rehab-Physiatry"/>
    <x v="0"/>
    <n v="1401"/>
    <n v="441.25"/>
    <n v="-50.33"/>
    <n v="16.5"/>
    <n v="-61.12"/>
    <n v="25.41"/>
    <n v="28.36"/>
    <n v="39.28"/>
    <n v="29.08"/>
    <n v="1.31"/>
    <n v="-11.57"/>
    <n v="36.119999999999997"/>
    <n v="-11.93"/>
    <n v="482.36"/>
    <n v="48.05"/>
  </r>
  <r>
    <x v="2"/>
    <x v="1"/>
    <x v="0"/>
    <s v="2569200"/>
    <n v="450040"/>
    <s v="Admin Adjust-Phys Svcs-Self Pay"/>
    <s v="Phys Med &amp; Rehab-Physiatry"/>
    <x v="0"/>
    <n v="1600"/>
    <n v="0"/>
    <n v="375.96"/>
    <n v="0"/>
    <n v="63.85"/>
    <n v="-709.52"/>
    <n v="0"/>
    <n v="0"/>
    <n v="0"/>
    <n v="-242.93"/>
    <n v="0"/>
    <n v="0"/>
    <n v="-18.11"/>
    <n v="-530.75"/>
    <n v="18.11"/>
  </r>
  <r>
    <x v="2"/>
    <x v="1"/>
    <x v="0"/>
    <s v="2569200"/>
    <n v="450040"/>
    <s v="Contr Allow--Phys Svcs--Other"/>
    <s v="Phys Med &amp; Rehab-Physiatry"/>
    <x v="0"/>
    <n v="1700"/>
    <n v="-778"/>
    <n v="0"/>
    <n v="0"/>
    <n v="0"/>
    <n v="0"/>
    <n v="0"/>
    <n v="0"/>
    <n v="0"/>
    <n v="0"/>
    <n v="0"/>
    <n v="0"/>
    <n v="0"/>
    <n v="-778"/>
    <n v="0"/>
  </r>
  <r>
    <x v="3"/>
    <x v="1"/>
    <x v="0"/>
    <s v="2569200"/>
    <n v="470040"/>
    <s v="Charity Care-Physician Svcs"/>
    <s v="Phys Med &amp; Rehab-Physiatry"/>
    <x v="0"/>
    <m/>
    <n v="9.4700000000000006"/>
    <n v="12.04"/>
    <n v="-5.1100000000000003"/>
    <n v="-2.82"/>
    <n v="3.65"/>
    <n v="-6.78"/>
    <n v="-1.37"/>
    <n v="-3.98"/>
    <n v="24.28"/>
    <n v="-3.75"/>
    <n v="-7.16"/>
    <n v="32.97"/>
    <n v="51.44"/>
    <n v="-40.129999999999995"/>
  </r>
  <r>
    <x v="4"/>
    <x v="1"/>
    <x v="0"/>
    <s v="2569200"/>
    <n v="490010"/>
    <s v="Provision for Bad Debts"/>
    <s v="Phys Med &amp; Rehab-Physiatry"/>
    <x v="0"/>
    <m/>
    <n v="-118.98"/>
    <n v="-147.74"/>
    <n v="-283.24"/>
    <n v="-21.55"/>
    <n v="16.47"/>
    <n v="-15.04"/>
    <n v="-64.63"/>
    <n v="-33.700000000000003"/>
    <n v="-1.54"/>
    <n v="-5.28"/>
    <n v="-62.96"/>
    <n v="-19.149999999999999"/>
    <n v="-757.33999999999992"/>
    <n v="-43.81"/>
  </r>
  <r>
    <x v="5"/>
    <x v="1"/>
    <x v="0"/>
    <s v="2569200"/>
    <n v="700030"/>
    <s v="Salaries-LPN-Productive"/>
    <s v="Phys Med &amp; Rehab-Physiatry"/>
    <x v="0"/>
    <m/>
    <n v="0"/>
    <n v="0"/>
    <n v="0"/>
    <n v="0"/>
    <n v="0"/>
    <n v="0"/>
    <n v="0"/>
    <n v="241.07"/>
    <n v="-241.07"/>
    <n v="0"/>
    <n v="0"/>
    <n v="0"/>
    <n v="0"/>
    <n v="0"/>
  </r>
  <r>
    <x v="6"/>
    <x v="1"/>
    <x v="0"/>
    <s v="2569200"/>
    <n v="713010"/>
    <s v="Benefits-FICA/Medicare"/>
    <s v="Phys Med &amp; Rehab-Physiatry"/>
    <x v="0"/>
    <m/>
    <n v="0"/>
    <n v="0"/>
    <n v="0"/>
    <n v="0"/>
    <n v="0"/>
    <n v="0"/>
    <n v="0"/>
    <n v="17.21"/>
    <n v="-17.29"/>
    <n v="0"/>
    <n v="0"/>
    <n v="0"/>
    <n v="-7.9999999999998295E-2"/>
    <n v="0"/>
  </r>
  <r>
    <x v="1"/>
    <x v="1"/>
    <x v="0"/>
    <s v="2570200"/>
    <n v="400029"/>
    <s v="MD Practice Other Rev--Medicare"/>
    <s v="Ortho/Sport Med-TOS-Ortho Surg"/>
    <x v="0"/>
    <n v="1100"/>
    <n v="-13561"/>
    <n v="-15011"/>
    <n v="-9616"/>
    <n v="-15337"/>
    <n v="-12107"/>
    <n v="-12295"/>
    <n v="-12007"/>
    <n v="-7973"/>
    <n v="-10715"/>
    <n v="-10731"/>
    <n v="-11626"/>
    <n v="-12998"/>
    <n v="-143977"/>
    <n v="1372"/>
  </r>
  <r>
    <x v="1"/>
    <x v="1"/>
    <x v="0"/>
    <s v="2570200"/>
    <n v="400029"/>
    <s v="MD Practice Other Rev--Medicaid"/>
    <s v="Ortho/Sport Med-TOS-Ortho Surg"/>
    <x v="0"/>
    <n v="1200"/>
    <n v="-7699"/>
    <n v="-10866"/>
    <n v="-7720"/>
    <n v="-12031"/>
    <n v="-9364"/>
    <n v="-8665"/>
    <n v="-9314"/>
    <n v="-5976"/>
    <n v="-6594"/>
    <n v="-8336"/>
    <n v="-8458"/>
    <n v="-8060"/>
    <n v="-103083"/>
    <n v="-398"/>
  </r>
  <r>
    <x v="1"/>
    <x v="1"/>
    <x v="0"/>
    <s v="2570200"/>
    <n v="400029"/>
    <s v="MD Practice Other Rev--Comm Insurance"/>
    <s v="Ortho/Sport Med-TOS-Ortho Surg"/>
    <x v="0"/>
    <n v="1300"/>
    <n v="-1595"/>
    <n v="-2732"/>
    <n v="-1444"/>
    <n v="-2796"/>
    <n v="-1627"/>
    <n v="-1731"/>
    <n v="-1915"/>
    <n v="-407"/>
    <n v="-1021"/>
    <n v="-229"/>
    <n v="-1743"/>
    <n v="-1417"/>
    <n v="-18657"/>
    <n v="-326"/>
  </r>
  <r>
    <x v="1"/>
    <x v="1"/>
    <x v="0"/>
    <s v="2570200"/>
    <n v="400029"/>
    <s v="MD Practice Other Rev--BCBS Comm"/>
    <s v="Ortho/Sport Med-TOS-Ortho Surg"/>
    <x v="0"/>
    <n v="1301"/>
    <n v="-1715"/>
    <n v="-877"/>
    <n v="-1934"/>
    <n v="-1805"/>
    <n v="-2239"/>
    <n v="-1898"/>
    <n v="-1558"/>
    <n v="-802"/>
    <n v="-1197"/>
    <n v="-1085"/>
    <n v="-1730"/>
    <n v="-899"/>
    <n v="-17739"/>
    <n v="-831"/>
  </r>
  <r>
    <x v="1"/>
    <x v="1"/>
    <x v="0"/>
    <s v="2570200"/>
    <n v="400029"/>
    <s v="MD Practice Other Rev--Managed Care"/>
    <s v="Ortho/Sport Med-TOS-Ortho Surg"/>
    <x v="0"/>
    <n v="1400"/>
    <n v="-7537"/>
    <n v="-7315"/>
    <n v="-6077"/>
    <n v="-9367"/>
    <n v="-9965"/>
    <n v="-7705"/>
    <n v="-7160"/>
    <n v="-4988.5"/>
    <n v="-5406"/>
    <n v="-7740"/>
    <n v="-7882"/>
    <n v="-7016"/>
    <n v="-88158.5"/>
    <n v="-866"/>
  </r>
  <r>
    <x v="1"/>
    <x v="1"/>
    <x v="0"/>
    <s v="2570200"/>
    <n v="400029"/>
    <s v="MD Practice Other Rev--Self Pay"/>
    <s v="Ortho/Sport Med-TOS-Ortho Surg"/>
    <x v="0"/>
    <n v="1500"/>
    <n v="-998"/>
    <n v="-705"/>
    <n v="-988"/>
    <n v="-474"/>
    <n v="-645"/>
    <n v="-1081"/>
    <n v="-1094"/>
    <n v="-388"/>
    <n v="-437"/>
    <n v="-946"/>
    <n v="-772"/>
    <n v="-871"/>
    <n v="-9399"/>
    <n v="99"/>
  </r>
  <r>
    <x v="1"/>
    <x v="1"/>
    <x v="0"/>
    <s v="2570200"/>
    <n v="400029"/>
    <s v="MD Practice Other Rev--Other"/>
    <s v="Ortho/Sport Med-TOS-Ortho Surg"/>
    <x v="0"/>
    <n v="1700"/>
    <n v="-1600"/>
    <n v="-2375"/>
    <n v="-2060"/>
    <n v="-3765"/>
    <n v="-3505"/>
    <n v="-3453"/>
    <n v="-2718"/>
    <n v="-1332"/>
    <n v="-2005"/>
    <n v="-3338"/>
    <n v="-2634"/>
    <n v="-2895"/>
    <n v="-31680"/>
    <n v="261"/>
  </r>
  <r>
    <x v="1"/>
    <x v="1"/>
    <x v="0"/>
    <s v="2570200"/>
    <n v="400040"/>
    <s v="Physician Svcs Rev--Medicare"/>
    <s v="Ortho/Sport Med-TOS-Ortho Surg"/>
    <x v="0"/>
    <n v="1100"/>
    <n v="-171902"/>
    <n v="-137029"/>
    <n v="-176790"/>
    <n v="-218979"/>
    <n v="-252147"/>
    <n v="-255561"/>
    <n v="-166004"/>
    <n v="-251466"/>
    <n v="-269575.40000000002"/>
    <n v="-181647"/>
    <n v="-299508.5"/>
    <n v="-234825"/>
    <n v="-2615433.9"/>
    <n v="-64683.5"/>
  </r>
  <r>
    <x v="1"/>
    <x v="1"/>
    <x v="0"/>
    <s v="2570200"/>
    <n v="400040"/>
    <s v="Physician Svcs Rev--Medicaid"/>
    <s v="Ortho/Sport Med-TOS-Ortho Surg"/>
    <x v="0"/>
    <n v="1200"/>
    <n v="-142969"/>
    <n v="-136063"/>
    <n v="-87887"/>
    <n v="-145318"/>
    <n v="-167439"/>
    <n v="-84834"/>
    <n v="-157137"/>
    <n v="-223759"/>
    <n v="-175120"/>
    <n v="-141950"/>
    <n v="-164763"/>
    <n v="-170175"/>
    <n v="-1797414"/>
    <n v="5412"/>
  </r>
  <r>
    <x v="1"/>
    <x v="1"/>
    <x v="0"/>
    <s v="2570200"/>
    <n v="400040"/>
    <s v="Physician Svcs Rev--Comm Insurance"/>
    <s v="Ortho/Sport Med-TOS-Ortho Surg"/>
    <x v="0"/>
    <n v="1300"/>
    <n v="-30517"/>
    <n v="-12036"/>
    <n v="-19271"/>
    <n v="-21255"/>
    <n v="-40183"/>
    <n v="-22624"/>
    <n v="-26720"/>
    <n v="-12592"/>
    <n v="-24764"/>
    <n v="-3207"/>
    <n v="-28502"/>
    <n v="-8931"/>
    <n v="-250602"/>
    <n v="-19571"/>
  </r>
  <r>
    <x v="1"/>
    <x v="1"/>
    <x v="0"/>
    <s v="2570200"/>
    <n v="400040"/>
    <s v="Physician Svcs Rev--BCBS Comm"/>
    <s v="Ortho/Sport Med-TOS-Ortho Surg"/>
    <x v="0"/>
    <n v="1301"/>
    <n v="-30596"/>
    <n v="-42269"/>
    <n v="-19383"/>
    <n v="-27403"/>
    <n v="-29111"/>
    <n v="-34884.449999999997"/>
    <n v="-32501"/>
    <n v="-35262"/>
    <n v="-29982"/>
    <n v="-25033"/>
    <n v="-44365"/>
    <n v="-51536"/>
    <n v="-402325.45"/>
    <n v="7171"/>
  </r>
  <r>
    <x v="1"/>
    <x v="1"/>
    <x v="0"/>
    <s v="2570200"/>
    <n v="400040"/>
    <s v="Physician Svcs Rev--Managed Care"/>
    <s v="Ortho/Sport Med-TOS-Ortho Surg"/>
    <x v="0"/>
    <n v="1400"/>
    <n v="-50333"/>
    <n v="-80430"/>
    <n v="-122139"/>
    <n v="-103760"/>
    <n v="-129754"/>
    <n v="-160909"/>
    <n v="-136014"/>
    <n v="-166817.75"/>
    <n v="-78199"/>
    <n v="-134623.75"/>
    <n v="-177003"/>
    <n v="-124601"/>
    <n v="-1464583.5"/>
    <n v="-52402"/>
  </r>
  <r>
    <x v="1"/>
    <x v="1"/>
    <x v="0"/>
    <s v="2570200"/>
    <n v="400040"/>
    <s v="Physician Svcs Rev--Self Pay"/>
    <s v="Ortho/Sport Med-TOS-Ortho Surg"/>
    <x v="0"/>
    <n v="1500"/>
    <n v="-7874"/>
    <n v="-10108"/>
    <n v="-13116"/>
    <n v="-4896"/>
    <n v="-9712"/>
    <n v="-16008"/>
    <n v="-1378"/>
    <n v="-9643"/>
    <n v="6232"/>
    <n v="-1330"/>
    <n v="-15277"/>
    <n v="-14317"/>
    <n v="-97427"/>
    <n v="-960"/>
  </r>
  <r>
    <x v="1"/>
    <x v="1"/>
    <x v="0"/>
    <s v="2570200"/>
    <n v="400040"/>
    <s v="Physician Svcs Rev--Other"/>
    <s v="Ortho/Sport Med-TOS-Ortho Surg"/>
    <x v="0"/>
    <n v="1700"/>
    <n v="-36952"/>
    <n v="-34291"/>
    <n v="-42194"/>
    <n v="-13323"/>
    <n v="-40539"/>
    <n v="-51491"/>
    <n v="-40855"/>
    <n v="-38336"/>
    <n v="-86846"/>
    <n v="-39334"/>
    <n v="-45428"/>
    <n v="-88398"/>
    <n v="-557987"/>
    <n v="42970"/>
  </r>
  <r>
    <x v="2"/>
    <x v="1"/>
    <x v="0"/>
    <s v="2570200"/>
    <n v="450029"/>
    <s v="Contr Allow--MD Other-Medicare"/>
    <s v="Ortho/Sport Med-TOS-Ortho Surg"/>
    <x v="0"/>
    <n v="1100"/>
    <n v="8750.52"/>
    <n v="9222.91"/>
    <n v="7232.84"/>
    <n v="8703.67"/>
    <n v="7866.93"/>
    <n v="10502.15"/>
    <n v="10846.78"/>
    <n v="6352.63"/>
    <n v="6461.45"/>
    <n v="5798.35"/>
    <n v="6830.55"/>
    <n v="9892.27"/>
    <n v="98461.050000000017"/>
    <n v="-3061.7200000000003"/>
  </r>
  <r>
    <x v="2"/>
    <x v="1"/>
    <x v="0"/>
    <s v="2570200"/>
    <n v="450029"/>
    <s v="Contr Allow--MD Other-Medicaid"/>
    <s v="Ortho/Sport Med-TOS-Ortho Surg"/>
    <x v="0"/>
    <n v="1200"/>
    <n v="7550.76"/>
    <n v="8164.1"/>
    <n v="5417"/>
    <n v="8101.72"/>
    <n v="9277.57"/>
    <n v="7140.52"/>
    <n v="7495.9"/>
    <n v="5236.68"/>
    <n v="4399.17"/>
    <n v="5428.26"/>
    <n v="6524.49"/>
    <n v="6712.2"/>
    <n v="81448.37"/>
    <n v="-187.71000000000004"/>
  </r>
  <r>
    <x v="2"/>
    <x v="1"/>
    <x v="0"/>
    <s v="2570200"/>
    <n v="450029"/>
    <s v="Contr Allow--MD Other-Comm Insurance"/>
    <s v="Ortho/Sport Med-TOS-Ortho Surg"/>
    <x v="0"/>
    <n v="1300"/>
    <n v="534.30999999999995"/>
    <n v="1241.1500000000001"/>
    <n v="568.79999999999995"/>
    <n v="719.46"/>
    <n v="894.5"/>
    <n v="819.35"/>
    <n v="1163.8699999999999"/>
    <n v="564.21"/>
    <n v="210.43"/>
    <n v="517.92999999999995"/>
    <n v="326.33999999999997"/>
    <n v="776.91"/>
    <n v="8337.260000000002"/>
    <n v="-450.57"/>
  </r>
  <r>
    <x v="2"/>
    <x v="1"/>
    <x v="0"/>
    <s v="2570200"/>
    <n v="450029"/>
    <s v="Contr Allow--MD Other BCBS Comm"/>
    <s v="Ortho/Sport Med-TOS-Ortho Surg"/>
    <x v="0"/>
    <n v="1301"/>
    <n v="668.22"/>
    <n v="537.91999999999996"/>
    <n v="224.35"/>
    <n v="614.5"/>
    <n v="609.42999999999995"/>
    <n v="573.69000000000005"/>
    <n v="586.52"/>
    <n v="244.77"/>
    <n v="316.64999999999998"/>
    <n v="307.45999999999998"/>
    <n v="408.17"/>
    <n v="449.25"/>
    <n v="5540.9299999999994"/>
    <n v="-41.079999999999984"/>
  </r>
  <r>
    <x v="2"/>
    <x v="1"/>
    <x v="0"/>
    <s v="2570200"/>
    <n v="450029"/>
    <s v="Contr Allow--MD Other-Managed Care"/>
    <s v="Ortho/Sport Med-TOS-Ortho Surg"/>
    <x v="0"/>
    <n v="1400"/>
    <n v="3050.79"/>
    <n v="3256.73"/>
    <n v="2058.77"/>
    <n v="2111.92"/>
    <n v="3991.52"/>
    <n v="3123.36"/>
    <n v="2792.95"/>
    <n v="2011.05"/>
    <n v="2240.79"/>
    <n v="2024.81"/>
    <n v="2795.02"/>
    <n v="2726.89"/>
    <n v="32184.600000000002"/>
    <n v="68.130000000000109"/>
  </r>
  <r>
    <x v="2"/>
    <x v="1"/>
    <x v="0"/>
    <s v="2570200"/>
    <n v="450029"/>
    <s v="Prompt Pay Disc-MD Other-Self Pay"/>
    <s v="Ortho/Sport Med-TOS-Ortho Surg"/>
    <x v="0"/>
    <n v="1500"/>
    <n v="0"/>
    <n v="0"/>
    <n v="0"/>
    <n v="0"/>
    <n v="0"/>
    <n v="67.17"/>
    <n v="0"/>
    <n v="0"/>
    <n v="0"/>
    <n v="0"/>
    <n v="0"/>
    <n v="0"/>
    <n v="67.17"/>
    <n v="0"/>
  </r>
  <r>
    <x v="2"/>
    <x v="1"/>
    <x v="0"/>
    <s v="2570200"/>
    <n v="450029"/>
    <s v="Admin Adjust-MD Other-Self Pay"/>
    <s v="Ortho/Sport Med-TOS-Ortho Surg"/>
    <x v="0"/>
    <n v="1600"/>
    <n v="178.69"/>
    <n v="485.03"/>
    <n v="552.01"/>
    <n v="708.92"/>
    <n v="331.63"/>
    <n v="2810.77"/>
    <n v="330.82"/>
    <n v="-173.36"/>
    <n v="340.54"/>
    <n v="364.26"/>
    <n v="832.18"/>
    <n v="287.7"/>
    <n v="7049.1900000000005"/>
    <n v="544.48"/>
  </r>
  <r>
    <x v="2"/>
    <x v="1"/>
    <x v="0"/>
    <s v="2570200"/>
    <n v="450029"/>
    <s v="Contr Allow--MD Other-Other"/>
    <s v="Ortho/Sport Med-TOS-Ortho Surg"/>
    <x v="0"/>
    <n v="1700"/>
    <n v="891.73"/>
    <n v="1556.11"/>
    <n v="1094.32"/>
    <n v="1297.71"/>
    <n v="1332.89"/>
    <n v="851.72"/>
    <n v="1748.3"/>
    <n v="1080.9000000000001"/>
    <n v="1012.19"/>
    <n v="1400.36"/>
    <n v="1174.3900000000001"/>
    <n v="1187.67"/>
    <n v="14628.29"/>
    <n v="-13.279999999999973"/>
  </r>
  <r>
    <x v="2"/>
    <x v="1"/>
    <x v="0"/>
    <s v="2570200"/>
    <n v="450040"/>
    <s v="Contr Allow--Phys Svcs--Mcare"/>
    <s v="Ortho/Sport Med-TOS-Ortho Surg"/>
    <x v="0"/>
    <n v="1100"/>
    <n v="117094.12"/>
    <n v="114102.69"/>
    <n v="86303.85"/>
    <n v="111997.79"/>
    <n v="155004.47"/>
    <n v="202716.63"/>
    <n v="162371.63"/>
    <n v="143994.92000000001"/>
    <n v="164114.29999999999"/>
    <n v="163751.67999999999"/>
    <n v="151200.17000000001"/>
    <n v="224924.96"/>
    <n v="1797577.21"/>
    <n v="-73724.789999999979"/>
  </r>
  <r>
    <x v="2"/>
    <x v="1"/>
    <x v="0"/>
    <s v="2570200"/>
    <n v="450040"/>
    <s v="Contr Allow--Phys Svcs--Mcaid"/>
    <s v="Ortho/Sport Med-TOS-Ortho Surg"/>
    <x v="0"/>
    <n v="1200"/>
    <n v="146701.65"/>
    <n v="127774.2"/>
    <n v="82142.91"/>
    <n v="90706.39"/>
    <n v="152976.4"/>
    <n v="78829.98"/>
    <n v="142233.9"/>
    <n v="129230.01"/>
    <n v="135004.57"/>
    <n v="131044.16"/>
    <n v="121460.99"/>
    <n v="167397.07999999999"/>
    <n v="1505502.24"/>
    <n v="-45936.089999999982"/>
  </r>
  <r>
    <x v="2"/>
    <x v="1"/>
    <x v="0"/>
    <s v="2570200"/>
    <n v="450040"/>
    <s v="Contr Allow--Phys Svcs--Comm Insurance"/>
    <s v="Ortho/Sport Med-TOS-Ortho Surg"/>
    <x v="0"/>
    <n v="1300"/>
    <n v="7258.29"/>
    <n v="6707.04"/>
    <n v="9960.42"/>
    <n v="4697.46"/>
    <n v="11532.14"/>
    <n v="12325.27"/>
    <n v="19241.72"/>
    <n v="16018.03"/>
    <n v="3616.24"/>
    <n v="4279.82"/>
    <n v="6005.62"/>
    <n v="7866.35"/>
    <n v="109508.4"/>
    <n v="-1860.7300000000005"/>
  </r>
  <r>
    <x v="2"/>
    <x v="1"/>
    <x v="0"/>
    <s v="2570200"/>
    <n v="450040"/>
    <s v="Contr Allow--Phys Svcs--BCBS Comm Ins"/>
    <s v="Ortho/Sport Med-TOS-Ortho Surg"/>
    <x v="0"/>
    <n v="1301"/>
    <n v="8858.33"/>
    <n v="19222.91"/>
    <n v="11038.84"/>
    <n v="13121.13"/>
    <n v="10544.14"/>
    <n v="7387.97"/>
    <n v="20425.13"/>
    <n v="7008.09"/>
    <n v="18132.46"/>
    <n v="10902.59"/>
    <n v="14515.38"/>
    <n v="16334.78"/>
    <n v="157491.75"/>
    <n v="-1819.4000000000015"/>
  </r>
  <r>
    <x v="2"/>
    <x v="1"/>
    <x v="0"/>
    <s v="2570200"/>
    <n v="450040"/>
    <s v="Contr Allow--Phys Svcs--Managed Care"/>
    <s v="Ortho/Sport Med-TOS-Ortho Surg"/>
    <x v="0"/>
    <n v="1400"/>
    <n v="45104.76"/>
    <n v="34695.800000000003"/>
    <n v="39919.1"/>
    <n v="30759.89"/>
    <n v="61345.69"/>
    <n v="45568.65"/>
    <n v="70514.600000000006"/>
    <n v="80738.539999999994"/>
    <n v="77021.55"/>
    <n v="52646.11"/>
    <n v="73538.2"/>
    <n v="102659.05"/>
    <n v="714511.94"/>
    <n v="-29120.850000000006"/>
  </r>
  <r>
    <x v="2"/>
    <x v="1"/>
    <x v="0"/>
    <s v="2570200"/>
    <n v="450040"/>
    <s v="Contr Allow--Phys Svcs--BCBS Mgnd Care"/>
    <s v="Ortho/Sport Med-TOS-Ortho Surg"/>
    <x v="0"/>
    <n v="1401"/>
    <n v="-49054.28"/>
    <n v="-39582.519999999997"/>
    <n v="51636.47"/>
    <n v="57255.040000000001"/>
    <n v="22562.14"/>
    <n v="21723.59"/>
    <n v="-47635.73"/>
    <n v="84009.9"/>
    <n v="-6955.08"/>
    <n v="-52908.78"/>
    <n v="104584.97"/>
    <n v="-46740.42"/>
    <n v="98895.300000000032"/>
    <n v="151325.39000000001"/>
  </r>
  <r>
    <x v="2"/>
    <x v="1"/>
    <x v="0"/>
    <s v="2570200"/>
    <n v="450040"/>
    <s v="Prompt Pay Disc-Phys Svcs-Self Pay"/>
    <s v="Ortho/Sport Med-TOS-Ortho Surg"/>
    <x v="0"/>
    <n v="1500"/>
    <n v="0"/>
    <n v="0"/>
    <n v="0"/>
    <n v="0"/>
    <n v="0"/>
    <n v="0"/>
    <n v="0"/>
    <n v="12232.57"/>
    <n v="-12232.57"/>
    <n v="0"/>
    <n v="0"/>
    <n v="0"/>
    <n v="0"/>
    <n v="0"/>
  </r>
  <r>
    <x v="2"/>
    <x v="1"/>
    <x v="0"/>
    <s v="2570200"/>
    <n v="450040"/>
    <s v="Admin Adjust-Phys Svcs-Self Pay"/>
    <s v="Ortho/Sport Med-TOS-Ortho Surg"/>
    <x v="0"/>
    <n v="1600"/>
    <n v="3389.21"/>
    <n v="6423.49"/>
    <n v="9718.67"/>
    <n v="5821.99"/>
    <n v="5330.08"/>
    <n v="20409.41"/>
    <n v="1440.95"/>
    <n v="-6646.61"/>
    <n v="16980.25"/>
    <n v="1148.96"/>
    <n v="9882.4599999999991"/>
    <n v="6834.15"/>
    <n v="80733.009999999995"/>
    <n v="3048.3099999999995"/>
  </r>
  <r>
    <x v="2"/>
    <x v="1"/>
    <x v="0"/>
    <s v="2570200"/>
    <n v="450040"/>
    <s v="Contr Allow--Phys Svcs--Other"/>
    <s v="Ortho/Sport Med-TOS-Ortho Surg"/>
    <x v="0"/>
    <n v="1700"/>
    <n v="20820.580000000002"/>
    <n v="29409.37"/>
    <n v="10783.15"/>
    <n v="15499.1"/>
    <n v="19046.689999999999"/>
    <n v="21534.03"/>
    <n v="21325.02"/>
    <n v="18278.46"/>
    <n v="38011.9"/>
    <n v="54330.7"/>
    <n v="14169.09"/>
    <n v="15712.67"/>
    <n v="278920.76"/>
    <n v="-1543.58"/>
  </r>
  <r>
    <x v="3"/>
    <x v="1"/>
    <x v="0"/>
    <s v="2570200"/>
    <n v="470040"/>
    <s v="Charity Care-Physician Svcs"/>
    <s v="Ortho/Sport Med-TOS-Ortho Surg"/>
    <x v="0"/>
    <m/>
    <n v="4487.5600000000004"/>
    <n v="4572.1400000000003"/>
    <n v="5079.33"/>
    <n v="9424.15"/>
    <n v="4325.1899999999996"/>
    <n v="-315.27"/>
    <n v="7887.56"/>
    <n v="5850.4"/>
    <n v="6632.19"/>
    <n v="7590.22"/>
    <n v="3486.05"/>
    <n v="10325.370000000001"/>
    <n v="69344.89"/>
    <n v="-6839.3200000000006"/>
  </r>
  <r>
    <x v="4"/>
    <x v="1"/>
    <x v="0"/>
    <s v="2570200"/>
    <n v="490010"/>
    <s v="Provision for Bad Debts"/>
    <s v="Ortho/Sport Med-TOS-Ortho Surg"/>
    <x v="0"/>
    <m/>
    <n v="4317.99"/>
    <n v="4025.26"/>
    <n v="3236.53"/>
    <n v="11510.81"/>
    <n v="6936.31"/>
    <n v="748.78"/>
    <n v="-7080.07"/>
    <n v="5554.9"/>
    <n v="7463.51"/>
    <n v="-2975.7"/>
    <n v="17006.93"/>
    <n v="40.630000000000003"/>
    <n v="50785.880000000005"/>
    <n v="16966.3"/>
  </r>
  <r>
    <x v="14"/>
    <x v="1"/>
    <x v="0"/>
    <s v="2570200"/>
    <n v="600050"/>
    <s v="Miscellaneous Revenue"/>
    <s v="Ortho/Sport Med-TOS-Ortho Surg"/>
    <x v="0"/>
    <m/>
    <n v="-6500"/>
    <n v="-10000"/>
    <n v="-7300"/>
    <n v="-6000"/>
    <n v="-21400"/>
    <n v="-16200"/>
    <n v="-26201.65"/>
    <n v="-6000"/>
    <n v="-7000"/>
    <n v="-11300"/>
    <n v="-9000"/>
    <n v="-30100"/>
    <n v="-157001.65"/>
    <n v="21100"/>
  </r>
  <r>
    <x v="5"/>
    <x v="1"/>
    <x v="0"/>
    <s v="2570200"/>
    <n v="700014"/>
    <s v="Salaries-Management-Productive"/>
    <s v="Ortho/Sport Med-TOS-Ortho Surg"/>
    <x v="0"/>
    <m/>
    <n v="-10000"/>
    <n v="0"/>
    <n v="0"/>
    <n v="0"/>
    <n v="0"/>
    <n v="0"/>
    <n v="0"/>
    <n v="0"/>
    <n v="0"/>
    <n v="0"/>
    <n v="0"/>
    <n v="0"/>
    <n v="-10000"/>
    <n v="0"/>
  </r>
  <r>
    <x v="5"/>
    <x v="1"/>
    <x v="0"/>
    <s v="2570200"/>
    <n v="700022"/>
    <s v="Salaries-Physician-Productive"/>
    <s v="Ortho/Sport Med-TOS-Ortho Surg"/>
    <x v="0"/>
    <m/>
    <n v="126790.08"/>
    <n v="103221.25"/>
    <n v="174967.7"/>
    <n v="177071.73"/>
    <n v="179164.44"/>
    <n v="153395.73000000001"/>
    <n v="154284.88"/>
    <n v="103847.59"/>
    <n v="165498.79999999999"/>
    <n v="218577.99"/>
    <n v="231584.52"/>
    <n v="90306.43"/>
    <n v="1878711.1400000001"/>
    <n v="141278.09"/>
  </r>
  <r>
    <x v="5"/>
    <x v="1"/>
    <x v="0"/>
    <s v="2570200"/>
    <n v="700022"/>
    <s v="Salaries-Physician-Other"/>
    <s v="Ortho/Sport Med-TOS-Ortho Surg"/>
    <x v="0"/>
    <n v="2000"/>
    <n v="6500"/>
    <n v="10000"/>
    <n v="7300"/>
    <n v="6000"/>
    <n v="21400"/>
    <n v="16200"/>
    <n v="26200"/>
    <n v="6000"/>
    <n v="7000"/>
    <n v="11300"/>
    <n v="9000"/>
    <n v="30100"/>
    <n v="157000"/>
    <n v="-21100"/>
  </r>
  <r>
    <x v="5"/>
    <x v="1"/>
    <x v="0"/>
    <s v="2570200"/>
    <n v="700022"/>
    <s v="Salaries-Physician-Provider Incentive"/>
    <s v="Ortho/Sport Med-TOS-Ortho Surg"/>
    <x v="0"/>
    <n v="4003"/>
    <n v="982.11"/>
    <n v="-24466.89"/>
    <n v="-1476.89"/>
    <n v="-1476.89"/>
    <n v="-1476.89"/>
    <n v="-1093.26"/>
    <n v="7668.04"/>
    <n v="-4.4800000000000004"/>
    <n v="335.93"/>
    <n v="13176.75"/>
    <n v="50585.25"/>
    <n v="0"/>
    <n v="42752.780000000006"/>
    <n v="50585.25"/>
  </r>
  <r>
    <x v="5"/>
    <x v="1"/>
    <x v="0"/>
    <s v="2570200"/>
    <n v="700022"/>
    <s v="Salaries-Physician-Recruitment Bonus"/>
    <s v="Ortho/Sport Med-TOS-Ortho Surg"/>
    <x v="0"/>
    <n v="4005"/>
    <n v="-876.72"/>
    <n v="0"/>
    <n v="0"/>
    <n v="0"/>
    <n v="0"/>
    <n v="0"/>
    <n v="0"/>
    <n v="0"/>
    <n v="0"/>
    <n v="0"/>
    <n v="0"/>
    <n v="0"/>
    <n v="-876.72"/>
    <n v="0"/>
  </r>
  <r>
    <x v="5"/>
    <x v="1"/>
    <x v="0"/>
    <s v="2570200"/>
    <n v="700024"/>
    <s v="Salaries-Advanced Practice Clinician-Productive"/>
    <s v="Ortho/Sport Med-TOS-Ortho Surg"/>
    <x v="0"/>
    <m/>
    <n v="27405.46"/>
    <n v="33226.76"/>
    <n v="21677.82"/>
    <n v="21661.73"/>
    <n v="25561.27"/>
    <n v="13050.97"/>
    <n v="23578.61"/>
    <n v="19065"/>
    <n v="17915.29"/>
    <n v="25165.95"/>
    <n v="11575.86"/>
    <n v="18564.560000000001"/>
    <n v="258449.28000000003"/>
    <n v="-6988.7000000000007"/>
  </r>
  <r>
    <x v="5"/>
    <x v="1"/>
    <x v="0"/>
    <s v="2570200"/>
    <n v="700024"/>
    <s v="Salaries-Advanced Practice Clinician-Recruitment Bonus"/>
    <s v="Ortho/Sport Med-TOS-Ortho Surg"/>
    <x v="0"/>
    <n v="4005"/>
    <n v="10000"/>
    <n v="0"/>
    <n v="0"/>
    <n v="0"/>
    <n v="0"/>
    <n v="0"/>
    <n v="0"/>
    <n v="0"/>
    <n v="0"/>
    <n v="0"/>
    <n v="0"/>
    <n v="0"/>
    <n v="10000"/>
    <n v="0"/>
  </r>
  <r>
    <x v="5"/>
    <x v="1"/>
    <x v="0"/>
    <s v="2570200"/>
    <n v="700026"/>
    <s v="Salaries-RN-Productive"/>
    <s v="Ortho/Sport Med-TOS-Ortho Surg"/>
    <x v="0"/>
    <m/>
    <n v="3738.38"/>
    <n v="3877.57"/>
    <n v="720.1"/>
    <n v="6850.79"/>
    <n v="4810.24"/>
    <n v="3065.19"/>
    <n v="4897.2"/>
    <n v="3843.13"/>
    <n v="5189.5600000000004"/>
    <n v="4254.75"/>
    <n v="4037.66"/>
    <n v="3829.57"/>
    <n v="49114.140000000007"/>
    <n v="208.08999999999969"/>
  </r>
  <r>
    <x v="5"/>
    <x v="1"/>
    <x v="0"/>
    <s v="2570200"/>
    <n v="700026"/>
    <s v="Salaries-RN-OT"/>
    <s v="Ortho/Sport Med-TOS-Ortho Surg"/>
    <x v="0"/>
    <n v="1000"/>
    <n v="0"/>
    <n v="0"/>
    <n v="0"/>
    <n v="593.61"/>
    <n v="670.72"/>
    <n v="-124.2"/>
    <n v="305.32"/>
    <n v="128.91"/>
    <n v="368.63"/>
    <n v="203.56"/>
    <n v="169.61"/>
    <n v="0"/>
    <n v="2316.16"/>
    <n v="169.61"/>
  </r>
  <r>
    <x v="5"/>
    <x v="1"/>
    <x v="0"/>
    <s v="2570200"/>
    <n v="700026"/>
    <s v="Salaries-RN-Other"/>
    <s v="Ortho/Sport Med-TOS-Ortho Surg"/>
    <x v="0"/>
    <n v="2000"/>
    <n v="0"/>
    <n v="0"/>
    <n v="30"/>
    <n v="0"/>
    <n v="0"/>
    <n v="0"/>
    <n v="0"/>
    <n v="0"/>
    <n v="0"/>
    <n v="0"/>
    <n v="0"/>
    <n v="0"/>
    <n v="30"/>
    <n v="0"/>
  </r>
  <r>
    <x v="5"/>
    <x v="1"/>
    <x v="0"/>
    <s v="2570200"/>
    <n v="700030"/>
    <s v="Salaries-LPN-Productive"/>
    <s v="Ortho/Sport Med-TOS-Ortho Surg"/>
    <x v="0"/>
    <m/>
    <n v="2266.15"/>
    <n v="3081.71"/>
    <n v="1960.98"/>
    <n v="4033.11"/>
    <n v="3244.58"/>
    <n v="2668.77"/>
    <n v="3752.31"/>
    <n v="1193.8800000000001"/>
    <n v="2120.08"/>
    <n v="4183.51"/>
    <n v="3850.58"/>
    <n v="2781.63"/>
    <n v="35137.29"/>
    <n v="1068.9499999999998"/>
  </r>
  <r>
    <x v="5"/>
    <x v="1"/>
    <x v="0"/>
    <s v="2570200"/>
    <n v="700032"/>
    <s v="Salaries-Other Pat Care Providers-Productive"/>
    <s v="Ortho/Sport Med-TOS-Ortho Surg"/>
    <x v="0"/>
    <m/>
    <n v="395.11"/>
    <n v="788.3"/>
    <n v="266"/>
    <n v="-104.9"/>
    <n v="1242.53"/>
    <n v="-270.11"/>
    <n v="378.7"/>
    <n v="96.2"/>
    <n v="1033.93"/>
    <n v="443.84"/>
    <n v="280.89999999999998"/>
    <n v="-173.94"/>
    <n v="4376.5599999999995"/>
    <n v="454.84"/>
  </r>
  <r>
    <x v="5"/>
    <x v="1"/>
    <x v="0"/>
    <s v="2570200"/>
    <n v="700054"/>
    <s v="Salaries-Management-NonProd-Other"/>
    <s v="Ortho/Sport Med-TOS-Ortho Surg"/>
    <x v="0"/>
    <n v="2000"/>
    <n v="0"/>
    <n v="0"/>
    <n v="0"/>
    <n v="0"/>
    <n v="0"/>
    <n v="19.97"/>
    <n v="-19.97"/>
    <n v="0"/>
    <n v="0"/>
    <n v="0"/>
    <n v="0"/>
    <n v="0"/>
    <n v="0"/>
    <n v="0"/>
  </r>
  <r>
    <x v="5"/>
    <x v="1"/>
    <x v="0"/>
    <s v="2570200"/>
    <n v="700062"/>
    <s v="Salaries-Physician-Non-productive"/>
    <s v="Ortho/Sport Med-TOS-Ortho Surg"/>
    <x v="0"/>
    <m/>
    <n v="28138.080000000002"/>
    <n v="10788.52"/>
    <n v="1436.41"/>
    <n v="10696.02"/>
    <n v="11920.44"/>
    <n v="33222.93"/>
    <n v="37605.589999999997"/>
    <n v="64919.96"/>
    <n v="11153.96"/>
    <n v="5865.96"/>
    <n v="17370.900000000001"/>
    <n v="29634.71"/>
    <n v="262753.48"/>
    <n v="-12263.809999999998"/>
  </r>
  <r>
    <x v="5"/>
    <x v="1"/>
    <x v="0"/>
    <s v="2570200"/>
    <n v="700062"/>
    <s v="Salaries-Physician-NonProd-Other"/>
    <s v="Ortho/Sport Med-TOS-Ortho Surg"/>
    <x v="0"/>
    <n v="2000"/>
    <n v="0"/>
    <n v="0"/>
    <n v="0"/>
    <n v="0"/>
    <n v="384.27"/>
    <n v="384.27"/>
    <n v="0"/>
    <n v="-768.54"/>
    <n v="0"/>
    <n v="0"/>
    <n v="0"/>
    <n v="0"/>
    <n v="0"/>
    <n v="0"/>
  </r>
  <r>
    <x v="5"/>
    <x v="1"/>
    <x v="0"/>
    <s v="2570200"/>
    <n v="700064"/>
    <s v="Salaries-Advanced Practice Clinician-Non-Productive"/>
    <s v="Ortho/Sport Med-TOS-Ortho Surg"/>
    <x v="0"/>
    <m/>
    <n v="3115.3"/>
    <n v="51.54"/>
    <n v="3310.1"/>
    <n v="6881.01"/>
    <n v="1841.9"/>
    <n v="13209.07"/>
    <n v="4994.96"/>
    <n v="2287.75"/>
    <n v="7790.36"/>
    <n v="1640.51"/>
    <n v="16648.88"/>
    <n v="6293.68"/>
    <n v="68065.06"/>
    <n v="10355.200000000001"/>
  </r>
  <r>
    <x v="5"/>
    <x v="1"/>
    <x v="0"/>
    <s v="2570200"/>
    <n v="700064"/>
    <s v="Salaries-Advanced Practice Clinician-Non-Prod-Other"/>
    <s v="Ortho/Sport Med-TOS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0200"/>
    <n v="700066"/>
    <s v="Salaries-RN-Non-productive"/>
    <s v="Ortho/Sport Med-TOS-Ortho Surg"/>
    <x v="0"/>
    <m/>
    <n v="1924.86"/>
    <n v="540.88"/>
    <n v="-159.08000000000001"/>
    <n v="0"/>
    <n v="0"/>
    <n v="0"/>
    <n v="578.91999999999996"/>
    <n v="144.75"/>
    <n v="0"/>
    <n v="0"/>
    <n v="0"/>
    <n v="241.23"/>
    <n v="3271.56"/>
    <n v="-241.23"/>
  </r>
  <r>
    <x v="5"/>
    <x v="1"/>
    <x v="0"/>
    <s v="2570200"/>
    <n v="700066"/>
    <s v="Salaries-RN-NonProd-Other"/>
    <s v="Ortho/Sport Med-TOS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0200"/>
    <n v="700070"/>
    <s v="Salaries-LPN-Non-productive"/>
    <s v="Ortho/Sport Med-TOS-Ortho Surg"/>
    <x v="0"/>
    <m/>
    <n v="675.02"/>
    <n v="18.82"/>
    <n v="846.72"/>
    <n v="-76.16"/>
    <n v="360.11"/>
    <n v="580.08000000000004"/>
    <n v="-4.87"/>
    <n v="88.63"/>
    <n v="1624.65"/>
    <n v="-541.54999999999995"/>
    <n v="0"/>
    <n v="270.77"/>
    <n v="3842.22"/>
    <n v="-270.77"/>
  </r>
  <r>
    <x v="5"/>
    <x v="1"/>
    <x v="0"/>
    <s v="2570200"/>
    <n v="700070"/>
    <s v="Salaries-LPN-NonProd-Other"/>
    <s v="Ortho/Sport Med-TOS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0200"/>
    <n v="700084"/>
    <s v="Accrued PTO"/>
    <s v="Ortho/Sport Med-TOS-Ortho Surg"/>
    <x v="0"/>
    <m/>
    <n v="-1423.77"/>
    <n v="189.34"/>
    <n v="-1809.03"/>
    <n v="727.45"/>
    <n v="581.95000000000005"/>
    <n v="236"/>
    <n v="264.39"/>
    <n v="410.71"/>
    <n v="-333.9"/>
    <n v="774.61"/>
    <n v="864.75"/>
    <n v="753.23"/>
    <n v="1235.73"/>
    <n v="111.51999999999998"/>
  </r>
  <r>
    <x v="10"/>
    <x v="1"/>
    <x v="0"/>
    <s v="2570200"/>
    <n v="710040"/>
    <s v="Contract Labor-Physician (Locum Tenum)"/>
    <s v="Ortho/Sport Med-TOS-Ortho Surg"/>
    <x v="0"/>
    <m/>
    <n v="0"/>
    <n v="0"/>
    <n v="0"/>
    <n v="0"/>
    <n v="0"/>
    <n v="0"/>
    <n v="0"/>
    <n v="0"/>
    <n v="0"/>
    <n v="0"/>
    <n v="0"/>
    <n v="244730.69"/>
    <n v="244730.69"/>
    <n v="-244730.69"/>
  </r>
  <r>
    <x v="10"/>
    <x v="1"/>
    <x v="0"/>
    <s v="2570200"/>
    <n v="710042"/>
    <s v="Locum Tenens Travel-Physician"/>
    <s v="Ortho/Sport Med-TOS-Ortho Surg"/>
    <x v="0"/>
    <m/>
    <n v="0"/>
    <n v="0"/>
    <n v="0"/>
    <n v="0"/>
    <n v="0"/>
    <n v="0"/>
    <n v="0"/>
    <n v="0"/>
    <n v="0"/>
    <n v="0"/>
    <n v="0"/>
    <n v="40916.620000000003"/>
    <n v="40916.620000000003"/>
    <n v="-40916.620000000003"/>
  </r>
  <r>
    <x v="6"/>
    <x v="1"/>
    <x v="0"/>
    <s v="2570200"/>
    <n v="713010"/>
    <s v="Benefits-FICA/Medicare"/>
    <s v="Ortho/Sport Med-TOS-Ortho Surg"/>
    <x v="0"/>
    <m/>
    <n v="5203.45"/>
    <n v="4771.58"/>
    <n v="8939.8799999999992"/>
    <n v="11422.69"/>
    <n v="8562.9599999999991"/>
    <n v="8311.81"/>
    <n v="18183.57"/>
    <n v="13482.11"/>
    <n v="8079.44"/>
    <n v="10658.62"/>
    <n v="12745.5"/>
    <n v="4454.53"/>
    <n v="114816.13999999998"/>
    <n v="8290.9700000000012"/>
  </r>
  <r>
    <x v="6"/>
    <x v="1"/>
    <x v="0"/>
    <s v="2570200"/>
    <n v="713090"/>
    <s v="Benefits-Allocated Amounts"/>
    <s v="Ortho/Sport Med-TOS-Ortho Surg"/>
    <x v="0"/>
    <m/>
    <n v="0"/>
    <n v="0"/>
    <n v="0"/>
    <n v="0"/>
    <n v="0"/>
    <n v="0"/>
    <n v="0"/>
    <n v="0"/>
    <n v="31715.86"/>
    <n v="4437.8500000000004"/>
    <n v="4981.83"/>
    <n v="3264.79"/>
    <n v="44400.33"/>
    <n v="1717.04"/>
  </r>
  <r>
    <x v="6"/>
    <x v="1"/>
    <x v="0"/>
    <s v="2570200"/>
    <n v="713092"/>
    <s v="Allocated Benefits-Physician"/>
    <s v="Ortho/Sport Med-TOS-Ortho Surg"/>
    <x v="0"/>
    <m/>
    <n v="11014.64"/>
    <n v="7043.86"/>
    <n v="10115.120000000001"/>
    <n v="11369.45"/>
    <n v="12057.27"/>
    <n v="12389.85"/>
    <n v="15052.16"/>
    <n v="12729.91"/>
    <n v="-18627.14"/>
    <n v="10234.879999999999"/>
    <n v="11489.41"/>
    <n v="7529.47"/>
    <n v="102398.88000000002"/>
    <n v="3959.9399999999996"/>
  </r>
  <r>
    <x v="6"/>
    <x v="1"/>
    <x v="0"/>
    <s v="2570200"/>
    <n v="713093"/>
    <s v="Allocated Benefits-Advanced Practice Clinician"/>
    <s v="Ortho/Sport Med-TOS-Ortho Surg"/>
    <x v="0"/>
    <m/>
    <n v="4042.63"/>
    <n v="2585.2600000000002"/>
    <n v="3712.49"/>
    <n v="4172.8599999999997"/>
    <n v="4425.3"/>
    <n v="4547.3599999999997"/>
    <n v="5524.5"/>
    <n v="4672.18"/>
    <n v="7452.2"/>
    <n v="5755.81"/>
    <n v="6461.33"/>
    <n v="4234.3599999999997"/>
    <n v="57586.28"/>
    <n v="2226.9700000000003"/>
  </r>
  <r>
    <x v="7"/>
    <x v="1"/>
    <x v="0"/>
    <s v="2570200"/>
    <n v="718050"/>
    <s v="Contract Svcs-Other"/>
    <s v="Ortho/Sport Med-TOS-Ortho Surg"/>
    <x v="0"/>
    <m/>
    <n v="0"/>
    <n v="2141.91"/>
    <n v="0"/>
    <n v="0"/>
    <n v="0"/>
    <n v="6987.02"/>
    <n v="913.95"/>
    <n v="2603.4499999999998"/>
    <n v="0"/>
    <n v="3413.39"/>
    <n v="213.27"/>
    <n v="4966.47"/>
    <n v="21239.460000000003"/>
    <n v="-4753.2"/>
  </r>
  <r>
    <x v="11"/>
    <x v="1"/>
    <x v="0"/>
    <s v="2570200"/>
    <n v="721010"/>
    <s v="Supplies-Medical - Billable"/>
    <s v="Ortho/Sport Med-TOS-Ortho Surg"/>
    <x v="0"/>
    <m/>
    <n v="2610.0700000000002"/>
    <n v="2354.2199999999998"/>
    <n v="2665.45"/>
    <n v="1511.68"/>
    <n v="2340.2399999999998"/>
    <n v="2030.64"/>
    <n v="2212.35"/>
    <n v="2977.92"/>
    <n v="0"/>
    <n v="3430.54"/>
    <n v="0"/>
    <n v="3349.56"/>
    <n v="25482.670000000002"/>
    <n v="-3349.56"/>
  </r>
  <r>
    <x v="11"/>
    <x v="1"/>
    <x v="0"/>
    <s v="2570200"/>
    <n v="721250"/>
    <s v="Supplies-Pharmacy Drugs - Billable"/>
    <s v="Ortho/Sport Med-TOS-Ortho Surg"/>
    <x v="0"/>
    <m/>
    <n v="1551.12"/>
    <n v="1750.15"/>
    <n v="1027.06"/>
    <n v="3964.9"/>
    <n v="1175.21"/>
    <n v="982.32"/>
    <n v="2039.6"/>
    <n v="3037.23"/>
    <n v="0"/>
    <n v="2887.19"/>
    <n v="577.04"/>
    <n v="387.78"/>
    <n v="19379.599999999999"/>
    <n v="189.26"/>
  </r>
  <r>
    <x v="11"/>
    <x v="1"/>
    <x v="0"/>
    <s v="2570200"/>
    <n v="721410"/>
    <s v="Supplies-Medical - Nonbillable"/>
    <s v="Ortho/Sport Med-TOS-Ortho Surg"/>
    <x v="0"/>
    <m/>
    <n v="957.48"/>
    <n v="1309.78"/>
    <n v="1389.11"/>
    <n v="2268.9899999999998"/>
    <n v="1262.75"/>
    <n v="2188.73"/>
    <n v="866.29"/>
    <n v="1856.6"/>
    <n v="-46.84"/>
    <n v="451.45"/>
    <n v="278.73"/>
    <n v="1454.6"/>
    <n v="14237.670000000002"/>
    <n v="-1175.8699999999999"/>
  </r>
  <r>
    <x v="11"/>
    <x v="1"/>
    <x v="0"/>
    <s v="2570200"/>
    <n v="721980"/>
    <s v="Supplies-Other"/>
    <s v="Ortho/Sport Med-TOS-Ortho Surg"/>
    <x v="0"/>
    <m/>
    <n v="1596.64"/>
    <n v="0"/>
    <n v="0"/>
    <n v="0"/>
    <n v="0"/>
    <n v="0"/>
    <n v="0"/>
    <n v="0"/>
    <n v="0"/>
    <n v="0"/>
    <n v="0"/>
    <n v="0"/>
    <n v="1596.64"/>
    <n v="0"/>
  </r>
  <r>
    <x v="11"/>
    <x v="1"/>
    <x v="0"/>
    <s v="2570200"/>
    <n v="722000"/>
    <s v="Supplies-Freight Expense"/>
    <s v="Ortho/Sport Med-TOS-Ortho Surg"/>
    <x v="0"/>
    <m/>
    <n v="0"/>
    <n v="0"/>
    <n v="0"/>
    <n v="0"/>
    <n v="0"/>
    <n v="0"/>
    <n v="0"/>
    <n v="0"/>
    <n v="46.84"/>
    <n v="0"/>
    <n v="0"/>
    <n v="0"/>
    <n v="46.84"/>
    <n v="0"/>
  </r>
  <r>
    <x v="0"/>
    <x v="1"/>
    <x v="0"/>
    <s v="2570200"/>
    <n v="740022"/>
    <s v="Education-Physician"/>
    <s v="Ortho/Sport Med-TOS-Ortho Surg"/>
    <x v="0"/>
    <m/>
    <n v="0"/>
    <n v="0"/>
    <n v="0"/>
    <n v="516.58000000000004"/>
    <n v="0"/>
    <n v="0"/>
    <n v="0"/>
    <n v="0"/>
    <n v="0"/>
    <n v="0"/>
    <n v="0"/>
    <n v="535"/>
    <n v="1051.58"/>
    <n v="-535"/>
  </r>
  <r>
    <x v="0"/>
    <x v="1"/>
    <x v="0"/>
    <s v="2570200"/>
    <n v="740022"/>
    <s v="Books-Physician"/>
    <s v="Ortho/Sport Med-TOS-Ortho Surg"/>
    <x v="0"/>
    <n v="2000"/>
    <n v="0"/>
    <n v="0"/>
    <n v="0"/>
    <n v="0"/>
    <n v="0"/>
    <n v="0"/>
    <n v="0"/>
    <n v="0"/>
    <n v="0"/>
    <n v="0"/>
    <n v="0"/>
    <n v="312"/>
    <n v="312"/>
    <n v="-312"/>
  </r>
  <r>
    <x v="0"/>
    <x v="1"/>
    <x v="0"/>
    <s v="2570200"/>
    <n v="740023"/>
    <s v="Education-Advanced Practice Clinician"/>
    <s v="Ortho/Sport Med-TOS-Ortho Surg"/>
    <x v="0"/>
    <m/>
    <n v="0"/>
    <n v="0"/>
    <n v="0"/>
    <n v="0"/>
    <n v="0"/>
    <n v="76.11"/>
    <n v="0"/>
    <n v="0"/>
    <n v="0"/>
    <n v="699"/>
    <n v="0"/>
    <n v="0"/>
    <n v="775.11"/>
    <n v="0"/>
  </r>
  <r>
    <x v="0"/>
    <x v="1"/>
    <x v="0"/>
    <s v="2570200"/>
    <n v="740023"/>
    <s v="Books-Advanced Practice Clinician"/>
    <s v="Ortho/Sport Med-TOS-Ortho Surg"/>
    <x v="0"/>
    <n v="2000"/>
    <n v="0"/>
    <n v="0"/>
    <n v="0"/>
    <n v="0"/>
    <n v="0"/>
    <n v="99"/>
    <n v="1770.95"/>
    <n v="0"/>
    <n v="0"/>
    <n v="0"/>
    <n v="0"/>
    <n v="0"/>
    <n v="1869.95"/>
    <n v="0"/>
  </r>
  <r>
    <x v="8"/>
    <x v="1"/>
    <x v="0"/>
    <s v="2570200"/>
    <n v="741012"/>
    <s v="Physician Liab Insurance-CHI Program"/>
    <s v="Ortho/Sport Med-TOS-Ortho Surg"/>
    <x v="0"/>
    <m/>
    <n v="6404.01"/>
    <n v="3745.24"/>
    <n v="8815.81"/>
    <n v="8815.7999999999993"/>
    <n v="8815.83"/>
    <n v="8815.7999999999993"/>
    <n v="8815.83"/>
    <n v="8815.7999999999993"/>
    <n v="8815.83"/>
    <n v="7337.95"/>
    <n v="10739.06"/>
    <n v="10739.02"/>
    <n v="100675.98"/>
    <n v="3.9999999999054126E-2"/>
  </r>
  <r>
    <x v="8"/>
    <x v="1"/>
    <x v="0"/>
    <s v="2570200"/>
    <n v="741016"/>
    <s v="Premium Expense to PPIC"/>
    <s v="Ortho/Sport Med-TOS-Ortho Surg"/>
    <x v="0"/>
    <m/>
    <n v="1955"/>
    <n v="1955"/>
    <n v="1955"/>
    <n v="1955"/>
    <n v="1955"/>
    <n v="1955"/>
    <n v="0"/>
    <n v="0"/>
    <n v="0"/>
    <n v="1987.47"/>
    <n v="1987.47"/>
    <n v="1987.46"/>
    <n v="17692.399999999998"/>
    <n v="9.9999999999909051E-3"/>
  </r>
  <r>
    <x v="0"/>
    <x v="1"/>
    <x v="0"/>
    <s v="2570200"/>
    <n v="743020"/>
    <s v="Dues--Individual"/>
    <s v="Ortho/Sport Med-TOS-Ortho Surg"/>
    <x v="0"/>
    <m/>
    <n v="0"/>
    <n v="0"/>
    <n v="0"/>
    <n v="0"/>
    <n v="0"/>
    <n v="0"/>
    <n v="0"/>
    <n v="1320"/>
    <n v="0"/>
    <n v="0"/>
    <n v="0"/>
    <n v="0"/>
    <n v="1320"/>
    <n v="0"/>
  </r>
  <r>
    <x v="0"/>
    <x v="1"/>
    <x v="0"/>
    <s v="2570200"/>
    <n v="743022"/>
    <s v="Dues-Physician"/>
    <s v="Ortho/Sport Med-TOS-Ortho Surg"/>
    <x v="0"/>
    <m/>
    <n v="0"/>
    <n v="0"/>
    <n v="0"/>
    <n v="0"/>
    <n v="2294"/>
    <n v="1949"/>
    <n v="0"/>
    <n v="1226"/>
    <n v="0"/>
    <n v="575"/>
    <n v="-995"/>
    <n v="0"/>
    <n v="5049"/>
    <n v="-995"/>
  </r>
  <r>
    <x v="0"/>
    <x v="1"/>
    <x v="0"/>
    <s v="2570200"/>
    <n v="743042"/>
    <s v="Subscriptions-Physician"/>
    <s v="Ortho/Sport Med-TOS-Ortho Surg"/>
    <x v="0"/>
    <m/>
    <n v="0"/>
    <n v="0"/>
    <n v="0"/>
    <n v="315.29000000000002"/>
    <n v="0"/>
    <n v="0"/>
    <n v="0"/>
    <n v="0"/>
    <n v="0"/>
    <n v="0"/>
    <n v="0"/>
    <n v="0"/>
    <n v="315.29000000000002"/>
    <n v="0"/>
  </r>
  <r>
    <x v="0"/>
    <x v="1"/>
    <x v="0"/>
    <s v="2570200"/>
    <n v="749510"/>
    <s v="Miscellaneous Expenses"/>
    <s v="Ortho/Sport Med-TOS-Ortho Surg"/>
    <x v="0"/>
    <m/>
    <n v="126"/>
    <n v="-144"/>
    <n v="1381.41"/>
    <n v="-492.41"/>
    <n v="-889"/>
    <n v="0"/>
    <n v="3000"/>
    <n v="-1972.91"/>
    <n v="-1022.09"/>
    <n v="199.5"/>
    <n v="-204.5"/>
    <n v="0"/>
    <n v="-18.000000000000114"/>
    <n v="-204.5"/>
  </r>
  <r>
    <x v="0"/>
    <x v="1"/>
    <x v="0"/>
    <s v="2570200"/>
    <n v="749510"/>
    <s v="Licenses"/>
    <s v="Ortho/Sport Med-TOS-Ortho Surg"/>
    <x v="0"/>
    <n v="1002"/>
    <n v="0"/>
    <n v="0"/>
    <n v="0"/>
    <n v="85"/>
    <n v="0"/>
    <n v="0"/>
    <n v="0"/>
    <n v="0"/>
    <n v="0"/>
    <n v="0"/>
    <n v="0"/>
    <n v="0"/>
    <n v="85"/>
    <n v="0"/>
  </r>
  <r>
    <x v="0"/>
    <x v="1"/>
    <x v="0"/>
    <s v="2570200"/>
    <n v="749512"/>
    <s v="Licenses-Physician"/>
    <s v="Ortho/Sport Med-TOS-Ortho Surg"/>
    <x v="0"/>
    <n v="2000"/>
    <n v="0"/>
    <n v="0"/>
    <n v="0"/>
    <n v="0"/>
    <n v="0"/>
    <n v="0"/>
    <n v="0"/>
    <n v="0"/>
    <n v="443.5"/>
    <n v="0"/>
    <n v="0"/>
    <n v="0"/>
    <n v="443.5"/>
    <n v="0"/>
  </r>
  <r>
    <x v="0"/>
    <x v="1"/>
    <x v="0"/>
    <s v="2570200"/>
    <n v="749513"/>
    <s v="Licenses-Advanced Practice Clinician"/>
    <s v="Ortho/Sport Med-TOS-Ortho Surg"/>
    <x v="0"/>
    <n v="2000"/>
    <n v="0"/>
    <n v="0"/>
    <n v="204.5"/>
    <n v="0"/>
    <n v="0"/>
    <n v="0"/>
    <n v="0"/>
    <n v="0"/>
    <n v="0"/>
    <n v="0"/>
    <n v="204.5"/>
    <n v="0"/>
    <n v="409"/>
    <n v="204.5"/>
  </r>
  <r>
    <x v="0"/>
    <x v="1"/>
    <x v="0"/>
    <s v="2570200"/>
    <n v="749530"/>
    <s v="Mileage"/>
    <s v="Ortho/Sport Med-TOS-Ortho Surg"/>
    <x v="0"/>
    <n v="1001"/>
    <n v="0"/>
    <n v="0"/>
    <n v="0"/>
    <n v="0"/>
    <n v="0"/>
    <n v="0"/>
    <n v="0"/>
    <n v="0"/>
    <n v="0"/>
    <n v="0"/>
    <n v="1744.96"/>
    <n v="0"/>
    <n v="1744.96"/>
    <n v="1744.96"/>
  </r>
  <r>
    <x v="0"/>
    <x v="1"/>
    <x v="0"/>
    <s v="2570200"/>
    <n v="749532"/>
    <s v="Travel-Physician"/>
    <s v="Ortho/Sport Med-TOS-Ortho Surg"/>
    <x v="0"/>
    <m/>
    <n v="0"/>
    <n v="0"/>
    <n v="0"/>
    <n v="2474.54"/>
    <n v="10"/>
    <n v="20"/>
    <n v="10"/>
    <n v="2523"/>
    <n v="20"/>
    <n v="5"/>
    <n v="0"/>
    <n v="1723.27"/>
    <n v="6785.8099999999995"/>
    <n v="-1723.27"/>
  </r>
  <r>
    <x v="0"/>
    <x v="1"/>
    <x v="0"/>
    <s v="2570200"/>
    <n v="749533"/>
    <s v="Travel-Advanced Practice Clinician"/>
    <s v="Ortho/Sport Med-TOS-Ortho Surg"/>
    <x v="0"/>
    <m/>
    <n v="0"/>
    <n v="13"/>
    <n v="0"/>
    <n v="0"/>
    <n v="0"/>
    <n v="1396.89"/>
    <n v="0"/>
    <n v="0"/>
    <n v="0"/>
    <n v="1045.96"/>
    <n v="0"/>
    <n v="0"/>
    <n v="2455.8500000000004"/>
    <n v="0"/>
  </r>
  <r>
    <x v="0"/>
    <x v="1"/>
    <x v="0"/>
    <s v="2570200"/>
    <n v="749535"/>
    <s v="Meetings"/>
    <s v="Ortho/Sport Med-TOS-Ortho Surg"/>
    <x v="0"/>
    <m/>
    <n v="0"/>
    <n v="0"/>
    <n v="0"/>
    <n v="175"/>
    <n v="0"/>
    <n v="550"/>
    <n v="0"/>
    <n v="0"/>
    <n v="568.59"/>
    <n v="0"/>
    <n v="0"/>
    <n v="0"/>
    <n v="1293.5900000000001"/>
    <n v="0"/>
  </r>
  <r>
    <x v="9"/>
    <x v="1"/>
    <x v="0"/>
    <s v="2570200"/>
    <n v="800015"/>
    <s v="Interest Income-Ext to CHI"/>
    <s v="Ortho/Sport Med-TOS-Ortho Surg"/>
    <x v="0"/>
    <m/>
    <n v="-10.68"/>
    <n v="-10.17"/>
    <n v="-106.66"/>
    <n v="-238.67"/>
    <n v="-220.82"/>
    <n v="-217.69"/>
    <n v="-207.21"/>
    <n v="-177.68"/>
    <n v="-186.23"/>
    <n v="-234.17"/>
    <n v="-271.06"/>
    <n v="-247.71"/>
    <n v="-2128.75"/>
    <n v="-23.349999999999994"/>
  </r>
  <r>
    <x v="1"/>
    <x v="1"/>
    <x v="0"/>
    <s v="2571200"/>
    <n v="400029"/>
    <s v="MD Practice Other Rev--Medicare"/>
    <s v="Ortho/Sport Med-TOS-Pod Surg"/>
    <x v="0"/>
    <n v="1100"/>
    <n v="0"/>
    <n v="9"/>
    <n v="0"/>
    <n v="0"/>
    <n v="0"/>
    <n v="0"/>
    <n v="0"/>
    <n v="0"/>
    <n v="0"/>
    <n v="-89"/>
    <n v="0"/>
    <n v="0"/>
    <n v="-80"/>
    <n v="0"/>
  </r>
  <r>
    <x v="1"/>
    <x v="1"/>
    <x v="0"/>
    <s v="2571200"/>
    <n v="400029"/>
    <s v="MD Practice Other Rev--Managed Care"/>
    <s v="Ortho/Sport Med-TOS-Pod Surg"/>
    <x v="0"/>
    <n v="1400"/>
    <n v="0"/>
    <n v="0"/>
    <n v="0"/>
    <n v="0"/>
    <n v="0"/>
    <n v="0"/>
    <n v="9"/>
    <n v="0"/>
    <n v="0"/>
    <n v="0"/>
    <n v="0"/>
    <n v="0"/>
    <n v="9"/>
    <n v="0"/>
  </r>
  <r>
    <x v="1"/>
    <x v="1"/>
    <x v="0"/>
    <s v="2571200"/>
    <n v="400040"/>
    <s v="Physician Svcs Rev--Medicare"/>
    <s v="Ortho/Sport Med-TOS-Pod Surg"/>
    <x v="0"/>
    <n v="1100"/>
    <n v="-2892"/>
    <n v="0"/>
    <n v="-5474"/>
    <n v="-2921"/>
    <n v="-7643"/>
    <n v="-9172"/>
    <n v="-9109"/>
    <n v="-488"/>
    <n v="-14096"/>
    <n v="-7893"/>
    <n v="-11029"/>
    <n v="-6468"/>
    <n v="-77185"/>
    <n v="-4561"/>
  </r>
  <r>
    <x v="1"/>
    <x v="1"/>
    <x v="0"/>
    <s v="2571200"/>
    <n v="400040"/>
    <s v="Physician Svcs Rev--Medicaid"/>
    <s v="Ortho/Sport Med-TOS-Pod Surg"/>
    <x v="0"/>
    <n v="1200"/>
    <n v="-24702"/>
    <n v="0"/>
    <n v="-2309"/>
    <n v="-10453"/>
    <n v="-13413"/>
    <n v="-28880"/>
    <n v="-12009"/>
    <n v="-2477"/>
    <n v="-9659"/>
    <n v="-8681"/>
    <n v="-4686"/>
    <n v="-21043"/>
    <n v="-138312"/>
    <n v="16357"/>
  </r>
  <r>
    <x v="1"/>
    <x v="1"/>
    <x v="0"/>
    <s v="2571200"/>
    <n v="400040"/>
    <s v="Physician Svcs Rev--Comm Insurance"/>
    <s v="Ortho/Sport Med-TOS-Pod Surg"/>
    <x v="0"/>
    <n v="1300"/>
    <n v="0"/>
    <n v="0"/>
    <n v="-1470"/>
    <n v="0"/>
    <n v="0"/>
    <n v="-8235"/>
    <n v="0"/>
    <n v="0"/>
    <n v="-3553"/>
    <n v="0"/>
    <n v="0"/>
    <n v="0"/>
    <n v="-13258"/>
    <n v="0"/>
  </r>
  <r>
    <x v="1"/>
    <x v="1"/>
    <x v="0"/>
    <s v="2571200"/>
    <n v="400040"/>
    <s v="Physician Svcs Rev--BCBS Comm"/>
    <s v="Ortho/Sport Med-TOS-Pod Surg"/>
    <x v="0"/>
    <n v="1301"/>
    <n v="-4474"/>
    <n v="0"/>
    <n v="-860"/>
    <n v="0"/>
    <n v="-3753"/>
    <n v="0"/>
    <n v="-5660"/>
    <n v="-3905"/>
    <n v="-1814"/>
    <n v="0"/>
    <n v="0"/>
    <n v="0"/>
    <n v="-20466"/>
    <n v="0"/>
  </r>
  <r>
    <x v="1"/>
    <x v="1"/>
    <x v="0"/>
    <s v="2571200"/>
    <n v="400040"/>
    <s v="Physician Svcs Rev--Managed Care"/>
    <s v="Ortho/Sport Med-TOS-Pod Surg"/>
    <x v="0"/>
    <n v="1400"/>
    <n v="-8888"/>
    <n v="0"/>
    <n v="0"/>
    <n v="-10706"/>
    <n v="0"/>
    <n v="-1911"/>
    <n v="-10884"/>
    <n v="-10161"/>
    <n v="-4455"/>
    <n v="-8115"/>
    <n v="-16655"/>
    <n v="-7164"/>
    <n v="-78939"/>
    <n v="-9491"/>
  </r>
  <r>
    <x v="1"/>
    <x v="1"/>
    <x v="0"/>
    <s v="2571200"/>
    <n v="400040"/>
    <s v="Physician Svcs Rev--Self Pay"/>
    <s v="Ortho/Sport Med-TOS-Pod Surg"/>
    <x v="0"/>
    <n v="1500"/>
    <n v="0"/>
    <n v="0"/>
    <n v="0"/>
    <n v="0"/>
    <n v="0"/>
    <n v="-1891"/>
    <n v="0"/>
    <n v="0"/>
    <n v="0"/>
    <n v="0"/>
    <n v="0"/>
    <n v="0"/>
    <n v="-1891"/>
    <n v="0"/>
  </r>
  <r>
    <x v="1"/>
    <x v="1"/>
    <x v="0"/>
    <s v="2571200"/>
    <n v="400040"/>
    <s v="Physician Svcs Rev--Other"/>
    <s v="Ortho/Sport Med-TOS-Pod Surg"/>
    <x v="0"/>
    <n v="1700"/>
    <n v="-2730"/>
    <n v="0"/>
    <n v="0"/>
    <n v="-4898"/>
    <n v="0"/>
    <n v="0"/>
    <n v="0"/>
    <n v="-3132"/>
    <n v="-5220"/>
    <n v="0"/>
    <n v="0"/>
    <n v="-1190"/>
    <n v="-17170"/>
    <n v="1190"/>
  </r>
  <r>
    <x v="2"/>
    <x v="1"/>
    <x v="0"/>
    <s v="2571200"/>
    <n v="450029"/>
    <s v="Contr Allow--MD Other-Medicare"/>
    <s v="Ortho/Sport Med-TOS-Pod Surg"/>
    <x v="0"/>
    <n v="1100"/>
    <n v="0"/>
    <n v="0"/>
    <n v="0"/>
    <n v="0"/>
    <n v="0"/>
    <n v="0"/>
    <n v="0"/>
    <n v="0"/>
    <n v="0"/>
    <n v="57.12"/>
    <n v="0"/>
    <n v="0"/>
    <n v="57.12"/>
    <n v="0"/>
  </r>
  <r>
    <x v="2"/>
    <x v="1"/>
    <x v="0"/>
    <s v="2571200"/>
    <n v="450029"/>
    <s v="Admin Adjust-MD Other-Self Pay"/>
    <s v="Ortho/Sport Med-TOS-Pod Surg"/>
    <x v="0"/>
    <n v="1600"/>
    <n v="0"/>
    <n v="0.51"/>
    <n v="0"/>
    <n v="0"/>
    <n v="0"/>
    <n v="0"/>
    <n v="0"/>
    <n v="0"/>
    <n v="0"/>
    <n v="0"/>
    <n v="0"/>
    <n v="0"/>
    <n v="0.51"/>
    <n v="0"/>
  </r>
  <r>
    <x v="2"/>
    <x v="1"/>
    <x v="0"/>
    <s v="2571200"/>
    <n v="450040"/>
    <s v="Contr Allow--Phys Svcs--Mcare"/>
    <s v="Ortho/Sport Med-TOS-Pod Surg"/>
    <x v="0"/>
    <n v="1100"/>
    <n v="3433.26"/>
    <n v="2688.58"/>
    <n v="-85.16"/>
    <n v="4673.38"/>
    <n v="513.5"/>
    <n v="9632.49"/>
    <n v="10645.68"/>
    <n v="5923.48"/>
    <n v="1480.8"/>
    <n v="4728.21"/>
    <n v="3740.71"/>
    <n v="13722.04"/>
    <n v="61096.970000000008"/>
    <n v="-9981.3300000000017"/>
  </r>
  <r>
    <x v="2"/>
    <x v="1"/>
    <x v="0"/>
    <s v="2571200"/>
    <n v="450040"/>
    <s v="Contr Allow--Phys Svcs--Mcaid"/>
    <s v="Ortho/Sport Med-TOS-Pod Surg"/>
    <x v="0"/>
    <n v="1200"/>
    <n v="11951.81"/>
    <n v="2643.29"/>
    <n v="3823.24"/>
    <n v="12558.58"/>
    <n v="5058.5200000000004"/>
    <n v="20613.900000000001"/>
    <n v="30642.95"/>
    <n v="8302.1"/>
    <n v="2827.08"/>
    <n v="14419.13"/>
    <n v="7740.48"/>
    <n v="5624.78"/>
    <n v="126205.86000000002"/>
    <n v="2115.6999999999998"/>
  </r>
  <r>
    <x v="2"/>
    <x v="1"/>
    <x v="0"/>
    <s v="2571200"/>
    <n v="450040"/>
    <s v="Contr Allow--Phys Svcs--Comm Insurance"/>
    <s v="Ortho/Sport Med-TOS-Pod Surg"/>
    <x v="0"/>
    <n v="1300"/>
    <n v="0"/>
    <n v="0"/>
    <n v="309.58999999999997"/>
    <n v="229.77"/>
    <n v="0"/>
    <n v="1345"/>
    <n v="1944.89"/>
    <n v="0"/>
    <n v="1267.83"/>
    <n v="0"/>
    <n v="0"/>
    <n v="0"/>
    <n v="5097.08"/>
    <n v="0"/>
  </r>
  <r>
    <x v="2"/>
    <x v="1"/>
    <x v="0"/>
    <s v="2571200"/>
    <n v="450040"/>
    <s v="Contr Allow--Phys Svcs--BCBS Comm Ins"/>
    <s v="Ortho/Sport Med-TOS-Pod Surg"/>
    <x v="0"/>
    <n v="1301"/>
    <n v="681.86"/>
    <n v="1153.67"/>
    <n v="228.01"/>
    <n v="0"/>
    <n v="0"/>
    <n v="0"/>
    <n v="0"/>
    <n v="4693.74"/>
    <n v="946.56"/>
    <n v="0"/>
    <n v="439.18"/>
    <n v="158.02000000000001"/>
    <n v="8301.0400000000009"/>
    <n v="281.15999999999997"/>
  </r>
  <r>
    <x v="2"/>
    <x v="1"/>
    <x v="0"/>
    <s v="2571200"/>
    <n v="450040"/>
    <s v="Contr Allow--Phys Svcs--Managed Care"/>
    <s v="Ortho/Sport Med-TOS-Pod Surg"/>
    <x v="0"/>
    <n v="1400"/>
    <n v="1284.8499999999999"/>
    <n v="5484.16"/>
    <n v="0"/>
    <n v="341"/>
    <n v="1605.98"/>
    <n v="3060.7"/>
    <n v="3673.47"/>
    <n v="2423.94"/>
    <n v="4837.6499999999996"/>
    <n v="2498.42"/>
    <n v="4774.5"/>
    <n v="6212.01"/>
    <n v="36196.68"/>
    <n v="-1437.5100000000002"/>
  </r>
  <r>
    <x v="2"/>
    <x v="1"/>
    <x v="0"/>
    <s v="2571200"/>
    <n v="450040"/>
    <s v="Contr Allow--Phys Svcs--BCBS Mgnd Care"/>
    <s v="Ortho/Sport Med-TOS-Pod Surg"/>
    <x v="0"/>
    <n v="1401"/>
    <n v="9003.2800000000007"/>
    <n v="-12426.62"/>
    <n v="1824.84"/>
    <n v="3186.83"/>
    <n v="5880.6"/>
    <n v="320.32"/>
    <n v="-10285.85"/>
    <n v="-6022.77"/>
    <n v="9873.52"/>
    <n v="-3923.62"/>
    <n v="4748.82"/>
    <n v="-139.35"/>
    <n v="2039.9999999999995"/>
    <n v="4888.17"/>
  </r>
  <r>
    <x v="2"/>
    <x v="1"/>
    <x v="0"/>
    <s v="2571200"/>
    <n v="450040"/>
    <s v="Admin Adjust-Phys Svcs-Self Pay"/>
    <s v="Ortho/Sport Med-TOS-Pod Surg"/>
    <x v="0"/>
    <n v="1600"/>
    <n v="1.28"/>
    <n v="1.34"/>
    <n v="888.2"/>
    <n v="406.45"/>
    <n v="0"/>
    <n v="699.67"/>
    <n v="0"/>
    <n v="0"/>
    <n v="-814.77"/>
    <n v="0"/>
    <n v="0"/>
    <n v="0"/>
    <n v="1182.17"/>
    <n v="0"/>
  </r>
  <r>
    <x v="2"/>
    <x v="1"/>
    <x v="0"/>
    <s v="2571200"/>
    <n v="450040"/>
    <s v="Contr Allow--Phys Svcs--Other"/>
    <s v="Ortho/Sport Med-TOS-Pod Surg"/>
    <x v="0"/>
    <n v="1700"/>
    <n v="0"/>
    <n v="504.24"/>
    <n v="0"/>
    <n v="0"/>
    <n v="379.52"/>
    <n v="0"/>
    <n v="0"/>
    <n v="0"/>
    <n v="0"/>
    <n v="668.43"/>
    <n v="0"/>
    <n v="0"/>
    <n v="1552.19"/>
    <n v="0"/>
  </r>
  <r>
    <x v="3"/>
    <x v="1"/>
    <x v="0"/>
    <s v="2571200"/>
    <n v="470040"/>
    <s v="Charity Care-Physician Svcs"/>
    <s v="Ortho/Sport Med-TOS-Pod Surg"/>
    <x v="0"/>
    <m/>
    <n v="378.83"/>
    <n v="-92.55"/>
    <n v="-57.42"/>
    <n v="93.5"/>
    <n v="277.04000000000002"/>
    <n v="-197.6"/>
    <n v="808.82"/>
    <n v="144.51"/>
    <n v="527.13"/>
    <n v="-199.42"/>
    <n v="-41.46"/>
    <n v="1122.27"/>
    <n v="2763.6499999999996"/>
    <n v="-1163.73"/>
  </r>
  <r>
    <x v="4"/>
    <x v="1"/>
    <x v="0"/>
    <s v="2571200"/>
    <n v="490010"/>
    <s v="Provision for Bad Debts"/>
    <s v="Ortho/Sport Med-TOS-Pod Surg"/>
    <x v="0"/>
    <m/>
    <n v="-248.49"/>
    <n v="625.91"/>
    <n v="-345.78"/>
    <n v="-709"/>
    <n v="1790.04"/>
    <n v="2923.26"/>
    <n v="-2060.37"/>
    <n v="-1312.18"/>
    <n v="940.03"/>
    <n v="-564.65"/>
    <n v="179.92"/>
    <n v="-586.95000000000005"/>
    <n v="631.74"/>
    <n v="766.87"/>
  </r>
  <r>
    <x v="11"/>
    <x v="1"/>
    <x v="0"/>
    <s v="2571200"/>
    <n v="721250"/>
    <s v="Supplies-Pharmacy Drugs - Billable"/>
    <s v="Ortho/Sport Med-TOS-Pod Surg"/>
    <x v="0"/>
    <m/>
    <n v="0"/>
    <n v="0"/>
    <n v="0"/>
    <n v="0"/>
    <n v="0"/>
    <n v="9430.3700000000008"/>
    <n v="860.07"/>
    <n v="0"/>
    <n v="0"/>
    <n v="0"/>
    <n v="0"/>
    <n v="0"/>
    <n v="10290.44"/>
    <n v="0"/>
  </r>
  <r>
    <x v="1"/>
    <x v="1"/>
    <x v="0"/>
    <s v="2572200"/>
    <n v="400029"/>
    <s v="MD Practice Other Rev--Medicare"/>
    <s v="Ortho/Sport Med-TOS-Rad/MRI"/>
    <x v="0"/>
    <n v="1100"/>
    <n v="0"/>
    <n v="0"/>
    <n v="0"/>
    <n v="0"/>
    <n v="0"/>
    <n v="-25"/>
    <n v="0"/>
    <n v="0"/>
    <n v="0"/>
    <n v="0"/>
    <n v="0"/>
    <n v="0"/>
    <n v="-25"/>
    <n v="0"/>
  </r>
  <r>
    <x v="1"/>
    <x v="1"/>
    <x v="0"/>
    <s v="2572200"/>
    <n v="400029"/>
    <s v="MD Practice Other Rev--Medicaid"/>
    <s v="Ortho/Sport Med-TOS-Rad/MRI"/>
    <x v="0"/>
    <n v="1200"/>
    <n v="0"/>
    <n v="0"/>
    <n v="0"/>
    <n v="0"/>
    <n v="0"/>
    <n v="-89"/>
    <n v="0"/>
    <n v="0"/>
    <n v="0"/>
    <n v="0"/>
    <n v="0"/>
    <n v="0"/>
    <n v="-89"/>
    <n v="0"/>
  </r>
  <r>
    <x v="2"/>
    <x v="1"/>
    <x v="0"/>
    <s v="2572200"/>
    <n v="450029"/>
    <s v="Contr Allow--MD Other-Medicare"/>
    <s v="Ortho/Sport Med-TOS-Rad/MRI"/>
    <x v="0"/>
    <n v="1100"/>
    <n v="0"/>
    <n v="0"/>
    <n v="0"/>
    <n v="0"/>
    <n v="0"/>
    <n v="25"/>
    <n v="0"/>
    <n v="0"/>
    <n v="0"/>
    <n v="0"/>
    <n v="0"/>
    <n v="0"/>
    <n v="25"/>
    <n v="0"/>
  </r>
  <r>
    <x v="2"/>
    <x v="1"/>
    <x v="0"/>
    <s v="2572200"/>
    <n v="450029"/>
    <s v="Contr Allow--MD Other-Medicaid"/>
    <s v="Ortho/Sport Med-TOS-Rad/MRI"/>
    <x v="0"/>
    <n v="1200"/>
    <n v="0"/>
    <n v="0"/>
    <n v="0"/>
    <n v="0"/>
    <n v="0"/>
    <n v="66.95"/>
    <n v="0"/>
    <n v="0"/>
    <n v="0"/>
    <n v="0"/>
    <n v="0"/>
    <n v="0"/>
    <n v="66.95"/>
    <n v="0"/>
  </r>
  <r>
    <x v="5"/>
    <x v="1"/>
    <x v="0"/>
    <s v="2572200"/>
    <n v="700034"/>
    <s v="Salaries-Tech/Professional-Productive"/>
    <s v="Ortho/Sport Med-TOS-Rad/MRI"/>
    <x v="0"/>
    <m/>
    <n v="9096.94"/>
    <n v="8102.42"/>
    <n v="11461.33"/>
    <n v="8987.61"/>
    <n v="10006.84"/>
    <n v="4126.76"/>
    <n v="7357.65"/>
    <n v="4848.3599999999997"/>
    <n v="6472.81"/>
    <n v="6649.88"/>
    <n v="6927.08"/>
    <n v="3848.59"/>
    <n v="87886.27"/>
    <n v="3078.49"/>
  </r>
  <r>
    <x v="5"/>
    <x v="1"/>
    <x v="0"/>
    <s v="2572200"/>
    <n v="700034"/>
    <s v="Salaries-Tech/Professional-OT"/>
    <s v="Ortho/Sport Med-TOS-Rad/MRI"/>
    <x v="0"/>
    <n v="1000"/>
    <n v="0"/>
    <n v="0"/>
    <n v="451.17"/>
    <n v="1020.2"/>
    <n v="1682.24"/>
    <n v="-220.62"/>
    <n v="469.57"/>
    <n v="-71.81"/>
    <n v="444.64"/>
    <n v="834.04"/>
    <n v="8.2799999999999994"/>
    <n v="0.01"/>
    <n v="4617.72"/>
    <n v="8.27"/>
  </r>
  <r>
    <x v="5"/>
    <x v="1"/>
    <x v="0"/>
    <s v="2572200"/>
    <n v="700034"/>
    <s v="Salaries-Tech/Professional-Other"/>
    <s v="Ortho/Sport Med-TOS-Rad/MRI"/>
    <x v="0"/>
    <n v="2000"/>
    <n v="0"/>
    <n v="0"/>
    <n v="0"/>
    <n v="0"/>
    <n v="86.5"/>
    <n v="-21.25"/>
    <n v="12.99"/>
    <n v="-3.71"/>
    <n v="14.66"/>
    <n v="11.74"/>
    <n v="-6.84"/>
    <n v="0"/>
    <n v="94.089999999999989"/>
    <n v="-6.84"/>
  </r>
  <r>
    <x v="5"/>
    <x v="1"/>
    <x v="0"/>
    <s v="2572200"/>
    <n v="700074"/>
    <s v="Salaries-Tech/Professional-Non-productive"/>
    <s v="Ortho/Sport Med-TOS-Rad/MRI"/>
    <x v="0"/>
    <m/>
    <n v="2206.23"/>
    <n v="5524.38"/>
    <n v="1439.54"/>
    <n v="-101.3"/>
    <n v="2180.0500000000002"/>
    <n v="2394.4"/>
    <n v="1267.8"/>
    <n v="3012.6"/>
    <n v="957.93"/>
    <n v="1845.16"/>
    <n v="3071.34"/>
    <n v="4729.32"/>
    <n v="28527.45"/>
    <n v="-1657.9799999999996"/>
  </r>
  <r>
    <x v="5"/>
    <x v="1"/>
    <x v="0"/>
    <s v="2572200"/>
    <n v="700074"/>
    <s v="Salaries-Tech/Professional-NonProd-Other"/>
    <s v="Ortho/Sport Med-TOS-Rad/MRI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2200"/>
    <n v="700084"/>
    <s v="Accrued PTO"/>
    <s v="Ortho/Sport Med-TOS-Rad/MRI"/>
    <x v="0"/>
    <m/>
    <n v="257.10000000000002"/>
    <n v="-2641.37"/>
    <n v="215.37"/>
    <n v="1464.67"/>
    <n v="1600.73"/>
    <n v="-905.89"/>
    <n v="512.98"/>
    <n v="-981.3"/>
    <n v="652.65"/>
    <n v="-731.08"/>
    <n v="321.05"/>
    <n v="-146.41"/>
    <n v="-381.5"/>
    <n v="467.46000000000004"/>
  </r>
  <r>
    <x v="6"/>
    <x v="1"/>
    <x v="0"/>
    <s v="2572200"/>
    <n v="713010"/>
    <s v="Benefits-FICA/Medicare"/>
    <s v="Ortho/Sport Med-TOS-Rad/MRI"/>
    <x v="0"/>
    <m/>
    <n v="839.91"/>
    <n v="1012.75"/>
    <n v="999.85"/>
    <n v="913.76"/>
    <n v="1056.19"/>
    <n v="478.86"/>
    <n v="692.48"/>
    <n v="590.14"/>
    <n v="599.74"/>
    <n v="709.58"/>
    <n v="754.25"/>
    <n v="648.83000000000004"/>
    <n v="9296.3399999999983"/>
    <n v="105.41999999999996"/>
  </r>
  <r>
    <x v="6"/>
    <x v="1"/>
    <x v="0"/>
    <s v="2572200"/>
    <n v="713090"/>
    <s v="Benefits-Allocated Amounts"/>
    <s v="Ortho/Sport Med-TOS-Rad/MRI"/>
    <x v="0"/>
    <m/>
    <n v="2299.15"/>
    <n v="2198.15"/>
    <n v="2846.43"/>
    <n v="2088.59"/>
    <n v="2197.2600000000002"/>
    <n v="1368.35"/>
    <n v="1843.46"/>
    <n v="1871.94"/>
    <n v="1801.15"/>
    <n v="1663.54"/>
    <n v="1762.65"/>
    <n v="1807.79"/>
    <n v="23748.460000000003"/>
    <n v="-45.139999999999873"/>
  </r>
  <r>
    <x v="0"/>
    <x v="1"/>
    <x v="0"/>
    <s v="2572200"/>
    <n v="749510"/>
    <s v="Licenses"/>
    <s v="Ortho/Sport Med-TOS-Rad/MRI"/>
    <x v="0"/>
    <n v="1002"/>
    <n v="0"/>
    <n v="0"/>
    <n v="0"/>
    <n v="0"/>
    <n v="0"/>
    <n v="0"/>
    <n v="0"/>
    <n v="0"/>
    <n v="0"/>
    <n v="0"/>
    <n v="0"/>
    <n v="105"/>
    <n v="105"/>
    <n v="-105"/>
  </r>
  <r>
    <x v="0"/>
    <x v="1"/>
    <x v="0"/>
    <s v="2572200"/>
    <n v="749530"/>
    <s v="Mileage"/>
    <s v="Ortho/Sport Med-TOS-Rad/MRI"/>
    <x v="0"/>
    <n v="1001"/>
    <n v="15.81"/>
    <n v="0"/>
    <n v="0"/>
    <n v="0"/>
    <n v="0"/>
    <n v="142.29"/>
    <n v="0"/>
    <n v="16.82"/>
    <n v="0"/>
    <n v="67.28"/>
    <n v="16.82"/>
    <n v="0"/>
    <n v="259.02"/>
    <n v="16.82"/>
  </r>
  <r>
    <x v="1"/>
    <x v="1"/>
    <x v="0"/>
    <s v="2573200"/>
    <n v="400029"/>
    <s v="MD Practice Other Rev--Medicare"/>
    <s v="Urology-Kitsap-Uro"/>
    <x v="0"/>
    <n v="1100"/>
    <n v="-7051"/>
    <n v="-5462"/>
    <n v="-3587"/>
    <n v="-3803"/>
    <n v="-2719"/>
    <n v="-3780"/>
    <n v="-3417"/>
    <n v="-2556"/>
    <n v="-3464"/>
    <n v="-3662"/>
    <n v="-4503"/>
    <n v="-3567"/>
    <n v="-47571"/>
    <n v="-936"/>
  </r>
  <r>
    <x v="1"/>
    <x v="1"/>
    <x v="0"/>
    <s v="2573200"/>
    <n v="400029"/>
    <s v="MD Practice Other Rev--Medicaid"/>
    <s v="Urology-Kitsap-Uro"/>
    <x v="0"/>
    <n v="1200"/>
    <n v="-540"/>
    <n v="-814"/>
    <n v="-520"/>
    <n v="-597"/>
    <n v="-321"/>
    <n v="-509"/>
    <n v="-510"/>
    <n v="-500"/>
    <n v="-983"/>
    <n v="-677"/>
    <n v="-746"/>
    <n v="-450"/>
    <n v="-7167"/>
    <n v="-296"/>
  </r>
  <r>
    <x v="1"/>
    <x v="1"/>
    <x v="0"/>
    <s v="2573200"/>
    <n v="400029"/>
    <s v="MD Practice Other Rev--Comm Insurance"/>
    <s v="Urology-Kitsap-Uro"/>
    <x v="0"/>
    <n v="1300"/>
    <n v="-110"/>
    <n v="-171"/>
    <n v="-457"/>
    <n v="-138"/>
    <n v="-152"/>
    <n v="-98"/>
    <n v="-387"/>
    <n v="-337"/>
    <n v="-597"/>
    <n v="-110"/>
    <n v="-200"/>
    <n v="-305"/>
    <n v="-3062"/>
    <n v="105"/>
  </r>
  <r>
    <x v="1"/>
    <x v="1"/>
    <x v="0"/>
    <s v="2573200"/>
    <n v="400029"/>
    <s v="MD Practice Other Rev--BCBS Comm"/>
    <s v="Urology-Kitsap-Uro"/>
    <x v="0"/>
    <n v="1301"/>
    <n v="-407"/>
    <n v="-807"/>
    <n v="-328"/>
    <n v="-634"/>
    <n v="-70"/>
    <n v="-477"/>
    <n v="-40"/>
    <n v="-874"/>
    <n v="-289"/>
    <n v="-871"/>
    <n v="-516"/>
    <n v="-367"/>
    <n v="-5680"/>
    <n v="-149"/>
  </r>
  <r>
    <x v="1"/>
    <x v="1"/>
    <x v="0"/>
    <s v="2573200"/>
    <n v="400029"/>
    <s v="MD Practice Other Rev--Managed Care"/>
    <s v="Urology-Kitsap-Uro"/>
    <x v="0"/>
    <n v="1400"/>
    <n v="-919"/>
    <n v="-1445"/>
    <n v="-987"/>
    <n v="-811"/>
    <n v="-1609"/>
    <n v="-1203"/>
    <n v="-1320"/>
    <n v="-569"/>
    <n v="-1142"/>
    <n v="-926"/>
    <n v="-1099"/>
    <n v="-743"/>
    <n v="-12773"/>
    <n v="-356"/>
  </r>
  <r>
    <x v="1"/>
    <x v="1"/>
    <x v="0"/>
    <s v="2573200"/>
    <n v="400029"/>
    <s v="MD Practice Other Rev--Self Pay"/>
    <s v="Urology-Kitsap-Uro"/>
    <x v="0"/>
    <n v="1500"/>
    <n v="0"/>
    <n v="-267"/>
    <n v="-50"/>
    <n v="-20"/>
    <n v="0"/>
    <n v="-20"/>
    <n v="-50"/>
    <n v="-211"/>
    <n v="0"/>
    <n v="-70"/>
    <n v="0"/>
    <n v="-10"/>
    <n v="-698"/>
    <n v="10"/>
  </r>
  <r>
    <x v="1"/>
    <x v="1"/>
    <x v="0"/>
    <s v="2573200"/>
    <n v="400029"/>
    <s v="MD Practice Other Rev--Other"/>
    <s v="Urology-Kitsap-Uro"/>
    <x v="0"/>
    <n v="1700"/>
    <n v="-49"/>
    <n v="-99"/>
    <n v="-460"/>
    <n v="-301"/>
    <n v="-69"/>
    <n v="-386"/>
    <n v="-417"/>
    <n v="-160"/>
    <n v="-235"/>
    <n v="-597"/>
    <n v="-427"/>
    <n v="-120"/>
    <n v="-3320"/>
    <n v="-307"/>
  </r>
  <r>
    <x v="1"/>
    <x v="1"/>
    <x v="0"/>
    <s v="2573200"/>
    <n v="400040"/>
    <s v="Physician Svcs Rev--Medicare"/>
    <s v="Urology-Kitsap-Uro"/>
    <x v="0"/>
    <n v="1100"/>
    <n v="-153829.5"/>
    <n v="-158153.75"/>
    <n v="-146832"/>
    <n v="-180850.75"/>
    <n v="-141322"/>
    <n v="-192594"/>
    <n v="-171140"/>
    <n v="-140695"/>
    <n v="-219552"/>
    <n v="-189435"/>
    <n v="-256203.3"/>
    <n v="-203524.5"/>
    <n v="-2154131.7999999998"/>
    <n v="-52678.799999999988"/>
  </r>
  <r>
    <x v="1"/>
    <x v="1"/>
    <x v="0"/>
    <s v="2573200"/>
    <n v="400040"/>
    <s v="Physician Svcs Rev--Medicaid"/>
    <s v="Urology-Kitsap-Uro"/>
    <x v="0"/>
    <n v="1200"/>
    <n v="-27267"/>
    <n v="-36040.5"/>
    <n v="-25328"/>
    <n v="-35911"/>
    <n v="-20620"/>
    <n v="-28217"/>
    <n v="-33378"/>
    <n v="-27317"/>
    <n v="-31248"/>
    <n v="-19148"/>
    <n v="-43372"/>
    <n v="-25431"/>
    <n v="-353277.5"/>
    <n v="-17941"/>
  </r>
  <r>
    <x v="1"/>
    <x v="1"/>
    <x v="0"/>
    <s v="2573200"/>
    <n v="400040"/>
    <s v="Physician Svcs Rev--Comm Insurance"/>
    <s v="Urology-Kitsap-Uro"/>
    <x v="0"/>
    <n v="1300"/>
    <n v="-10293.75"/>
    <n v="-3399"/>
    <n v="-6086"/>
    <n v="-6014"/>
    <n v="-7193"/>
    <n v="-17144"/>
    <n v="7286"/>
    <n v="241"/>
    <n v="-8400"/>
    <n v="-9759"/>
    <n v="-13119"/>
    <n v="-4652"/>
    <n v="-78532.75"/>
    <n v="-8467"/>
  </r>
  <r>
    <x v="1"/>
    <x v="1"/>
    <x v="0"/>
    <s v="2573200"/>
    <n v="400040"/>
    <s v="Physician Svcs Rev--BCBS Comm"/>
    <s v="Urology-Kitsap-Uro"/>
    <x v="0"/>
    <n v="1301"/>
    <n v="-7522"/>
    <n v="-19686"/>
    <n v="-16405"/>
    <n v="-22962"/>
    <n v="-5314"/>
    <n v="-8406"/>
    <n v="-8797"/>
    <n v="-15776"/>
    <n v="-23881"/>
    <n v="-12608"/>
    <n v="-13570"/>
    <n v="-14410"/>
    <n v="-169337"/>
    <n v="840"/>
  </r>
  <r>
    <x v="1"/>
    <x v="1"/>
    <x v="0"/>
    <s v="2573200"/>
    <n v="400040"/>
    <s v="Physician Svcs Rev--Managed Care"/>
    <s v="Urology-Kitsap-Uro"/>
    <x v="0"/>
    <n v="1400"/>
    <n v="-29656"/>
    <n v="-43955"/>
    <n v="-31621"/>
    <n v="-60668"/>
    <n v="-31678"/>
    <n v="-51965"/>
    <n v="-58512"/>
    <n v="-29159"/>
    <n v="-51040"/>
    <n v="-47881.1"/>
    <n v="-67080.100000000006"/>
    <n v="-38820.1"/>
    <n v="-542035.29999999993"/>
    <n v="-28260.000000000007"/>
  </r>
  <r>
    <x v="1"/>
    <x v="1"/>
    <x v="0"/>
    <s v="2573200"/>
    <n v="400040"/>
    <s v="Physician Svcs Rev--Self Pay"/>
    <s v="Urology-Kitsap-Uro"/>
    <x v="0"/>
    <n v="1500"/>
    <n v="-1122"/>
    <n v="-2760"/>
    <n v="-4948"/>
    <n v="-2625"/>
    <n v="-121"/>
    <n v="-2215"/>
    <n v="-5652"/>
    <n v="-3602"/>
    <n v="-200"/>
    <n v="-2013"/>
    <n v="-2624"/>
    <n v="-1258"/>
    <n v="-29140"/>
    <n v="-1366"/>
  </r>
  <r>
    <x v="1"/>
    <x v="1"/>
    <x v="0"/>
    <s v="2573200"/>
    <n v="400040"/>
    <s v="Physician Svcs Rev--Other"/>
    <s v="Urology-Kitsap-Uro"/>
    <x v="0"/>
    <n v="1700"/>
    <n v="-5516"/>
    <n v="-6806"/>
    <n v="-6378"/>
    <n v="-8105"/>
    <n v="-7450"/>
    <n v="-7206"/>
    <n v="-10919"/>
    <n v="-9898"/>
    <n v="-10928"/>
    <n v="-16997"/>
    <n v="-18582"/>
    <n v="-9812"/>
    <n v="-118597"/>
    <n v="-8770"/>
  </r>
  <r>
    <x v="2"/>
    <x v="1"/>
    <x v="0"/>
    <s v="2573200"/>
    <n v="450029"/>
    <s v="Contr Allow--MD Other-Medicare"/>
    <s v="Urology-Kitsap-Uro"/>
    <x v="0"/>
    <n v="1100"/>
    <n v="3295.29"/>
    <n v="4194.43"/>
    <n v="3012.49"/>
    <n v="2699.67"/>
    <n v="2297.31"/>
    <n v="2300.2600000000002"/>
    <n v="2708.07"/>
    <n v="1695.25"/>
    <n v="1029.6400000000001"/>
    <n v="2462.9899999999998"/>
    <n v="2457.73"/>
    <n v="2461.04"/>
    <n v="30614.169999999995"/>
    <n v="-3.3099999999999454"/>
  </r>
  <r>
    <x v="2"/>
    <x v="1"/>
    <x v="0"/>
    <s v="2573200"/>
    <n v="450029"/>
    <s v="Contr Allow--MD Other-Medicaid"/>
    <s v="Urology-Kitsap-Uro"/>
    <x v="0"/>
    <n v="1200"/>
    <n v="1073.46"/>
    <n v="425"/>
    <n v="279.33"/>
    <n v="764.53"/>
    <n v="221.97"/>
    <n v="181.02"/>
    <n v="428.43"/>
    <n v="344.61"/>
    <n v="791.51"/>
    <n v="274.47000000000003"/>
    <n v="651.42999999999995"/>
    <n v="259.91000000000003"/>
    <n v="5695.67"/>
    <n v="391.51999999999992"/>
  </r>
  <r>
    <x v="2"/>
    <x v="1"/>
    <x v="0"/>
    <s v="2573200"/>
    <n v="450029"/>
    <s v="Contr Allow--MD Other-Comm Insurance"/>
    <s v="Urology-Kitsap-Uro"/>
    <x v="0"/>
    <n v="1300"/>
    <n v="100.94"/>
    <n v="49.88"/>
    <n v="59.32"/>
    <n v="226.51"/>
    <n v="48.33"/>
    <n v="40.549999999999997"/>
    <n v="77.19"/>
    <n v="228.08"/>
    <n v="203.62"/>
    <n v="215.84"/>
    <n v="96.79"/>
    <n v="105.06"/>
    <n v="1452.11"/>
    <n v="-8.269999999999996"/>
  </r>
  <r>
    <x v="2"/>
    <x v="1"/>
    <x v="0"/>
    <s v="2573200"/>
    <n v="450029"/>
    <s v="Contr Allow--MD Other BCBS Comm"/>
    <s v="Urology-Kitsap-Uro"/>
    <x v="0"/>
    <n v="1301"/>
    <n v="106.35"/>
    <n v="288.36"/>
    <n v="192.57"/>
    <n v="59.82"/>
    <n v="168.95"/>
    <n v="57.5"/>
    <n v="90.33"/>
    <n v="107.74"/>
    <n v="241.88"/>
    <n v="251.13"/>
    <n v="130.47999999999999"/>
    <n v="155.66"/>
    <n v="1850.7700000000002"/>
    <n v="-25.180000000000007"/>
  </r>
  <r>
    <x v="2"/>
    <x v="1"/>
    <x v="0"/>
    <s v="2573200"/>
    <n v="450029"/>
    <s v="Contr Allow--MD Other-Managed Care"/>
    <s v="Urology-Kitsap-Uro"/>
    <x v="0"/>
    <n v="1400"/>
    <n v="705.42"/>
    <n v="981.06"/>
    <n v="393.04"/>
    <n v="412.98"/>
    <n v="455.99"/>
    <n v="398"/>
    <n v="724.44"/>
    <n v="627.41999999999996"/>
    <n v="484.62"/>
    <n v="274.85000000000002"/>
    <n v="464.89"/>
    <n v="444.33"/>
    <n v="6367.04"/>
    <n v="20.560000000000002"/>
  </r>
  <r>
    <x v="2"/>
    <x v="1"/>
    <x v="0"/>
    <s v="2573200"/>
    <n v="450029"/>
    <s v="Admin Adjust-MD Other-Self Pay"/>
    <s v="Urology-Kitsap-Uro"/>
    <x v="0"/>
    <n v="1600"/>
    <n v="51.42"/>
    <n v="176.15"/>
    <n v="67.489999999999995"/>
    <n v="146.75"/>
    <n v="19.920000000000002"/>
    <n v="18.55"/>
    <n v="34.79"/>
    <n v="92.47"/>
    <n v="35.96"/>
    <n v="107.5"/>
    <n v="3.48"/>
    <n v="4.4000000000000004"/>
    <n v="758.88000000000011"/>
    <n v="-0.92000000000000037"/>
  </r>
  <r>
    <x v="2"/>
    <x v="1"/>
    <x v="0"/>
    <s v="2573200"/>
    <n v="450029"/>
    <s v="Contr Allow--MD Other-Other"/>
    <s v="Urology-Kitsap-Uro"/>
    <x v="0"/>
    <n v="1700"/>
    <n v="264.16000000000003"/>
    <n v="116.6"/>
    <n v="229.67"/>
    <n v="135.38999999999999"/>
    <n v="20.86"/>
    <n v="233.48"/>
    <n v="30.19"/>
    <n v="279.77999999999997"/>
    <n v="121.28"/>
    <n v="399.74"/>
    <n v="142.15"/>
    <n v="220.61"/>
    <n v="2193.91"/>
    <n v="-78.460000000000008"/>
  </r>
  <r>
    <x v="2"/>
    <x v="1"/>
    <x v="0"/>
    <s v="2573200"/>
    <n v="450040"/>
    <s v="Contr Allow--Phys Svcs--Mcare"/>
    <s v="Urology-Kitsap-Uro"/>
    <x v="0"/>
    <n v="1100"/>
    <n v="109487.7"/>
    <n v="117064.13"/>
    <n v="71306.02"/>
    <n v="129200.16"/>
    <n v="124664.95"/>
    <n v="110560.6"/>
    <n v="137977.41"/>
    <n v="87544.95"/>
    <n v="104002.49"/>
    <n v="130402.21"/>
    <n v="151251.32"/>
    <n v="119686.61"/>
    <n v="1393148.55"/>
    <n v="31564.710000000006"/>
  </r>
  <r>
    <x v="2"/>
    <x v="1"/>
    <x v="0"/>
    <s v="2573200"/>
    <n v="450040"/>
    <s v="Contr Allow--Phys Svcs--Mcaid"/>
    <s v="Urology-Kitsap-Uro"/>
    <x v="0"/>
    <n v="1200"/>
    <n v="26062.54"/>
    <n v="22936.7"/>
    <n v="26749.72"/>
    <n v="24108.62"/>
    <n v="18102.240000000002"/>
    <n v="19848.21"/>
    <n v="23879.81"/>
    <n v="25898"/>
    <n v="17007.05"/>
    <n v="19504.23"/>
    <n v="18545.95"/>
    <n v="27087.4"/>
    <n v="269730.47000000003"/>
    <n v="-8541.4500000000007"/>
  </r>
  <r>
    <x v="2"/>
    <x v="1"/>
    <x v="0"/>
    <s v="2573200"/>
    <n v="450040"/>
    <s v="Contr Allow--Phys Svcs--Comm Insurance"/>
    <s v="Urology-Kitsap-Uro"/>
    <x v="0"/>
    <n v="1300"/>
    <n v="480.24"/>
    <n v="3499.15"/>
    <n v="518.85"/>
    <n v="2345.91"/>
    <n v="2343.0500000000002"/>
    <n v="3571.5"/>
    <n v="3329.76"/>
    <n v="1506.43"/>
    <n v="1723.16"/>
    <n v="3600.38"/>
    <n v="4673.33"/>
    <n v="1561.17"/>
    <n v="29152.93"/>
    <n v="3112.16"/>
  </r>
  <r>
    <x v="2"/>
    <x v="1"/>
    <x v="0"/>
    <s v="2573200"/>
    <n v="450040"/>
    <s v="Contr Allow--Phys Svcs--BCBS Comm Ins"/>
    <s v="Urology-Kitsap-Uro"/>
    <x v="0"/>
    <n v="1301"/>
    <n v="3446.13"/>
    <n v="2801.49"/>
    <n v="3388.65"/>
    <n v="5042.51"/>
    <n v="2982.41"/>
    <n v="6067.61"/>
    <n v="2019.9"/>
    <n v="6732.69"/>
    <n v="9123.3700000000008"/>
    <n v="5002.22"/>
    <n v="4286.3"/>
    <n v="4566.3599999999997"/>
    <n v="55459.640000000007"/>
    <n v="-280.05999999999949"/>
  </r>
  <r>
    <x v="2"/>
    <x v="1"/>
    <x v="0"/>
    <s v="2573200"/>
    <n v="450040"/>
    <s v="Contr Allow--Phys Svcs--Managed Care"/>
    <s v="Urology-Kitsap-Uro"/>
    <x v="0"/>
    <n v="1400"/>
    <n v="13379.98"/>
    <n v="19673.79"/>
    <n v="11430.12"/>
    <n v="15911.85"/>
    <n v="20688.21"/>
    <n v="10987.06"/>
    <n v="16693.080000000002"/>
    <n v="24276.89"/>
    <n v="15651.39"/>
    <n v="12157.59"/>
    <n v="24610.19"/>
    <n v="26480.76"/>
    <n v="211940.91"/>
    <n v="-1870.5699999999997"/>
  </r>
  <r>
    <x v="2"/>
    <x v="1"/>
    <x v="0"/>
    <s v="2573200"/>
    <n v="450040"/>
    <s v="Contr Allow--Phys Svcs--BCBS Mgnd Care"/>
    <s v="Urology-Kitsap-Uro"/>
    <x v="0"/>
    <n v="1401"/>
    <n v="-11459.15"/>
    <n v="-4799.13"/>
    <n v="16387.240000000002"/>
    <n v="10584.11"/>
    <n v="-38112.03"/>
    <n v="37843.86"/>
    <n v="-4235.76"/>
    <n v="-12551.51"/>
    <n v="46990.43"/>
    <n v="-1085.72"/>
    <n v="32250.52"/>
    <n v="-10377.27"/>
    <n v="61435.59"/>
    <n v="42627.79"/>
  </r>
  <r>
    <x v="2"/>
    <x v="1"/>
    <x v="0"/>
    <s v="2573200"/>
    <n v="450040"/>
    <s v="Prompt Pay Disc-Phys Svcs-Self Pay"/>
    <s v="Urology-Kitsap-Uro"/>
    <x v="0"/>
    <n v="1500"/>
    <n v="0"/>
    <n v="0"/>
    <n v="0"/>
    <n v="267.64"/>
    <n v="0"/>
    <n v="0"/>
    <n v="0"/>
    <n v="0"/>
    <n v="0"/>
    <n v="0"/>
    <n v="0"/>
    <n v="0"/>
    <n v="267.64"/>
    <n v="0"/>
  </r>
  <r>
    <x v="2"/>
    <x v="1"/>
    <x v="0"/>
    <s v="2573200"/>
    <n v="450040"/>
    <s v="Admin Adjust-Phys Svcs-Self Pay"/>
    <s v="Urology-Kitsap-Uro"/>
    <x v="0"/>
    <n v="1600"/>
    <n v="684.88"/>
    <n v="833.4"/>
    <n v="2114.54"/>
    <n v="1210.17"/>
    <n v="-22.93"/>
    <n v="1322.89"/>
    <n v="2307.98"/>
    <n v="1535.19"/>
    <n v="130.97"/>
    <n v="1266.21"/>
    <n v="1024.1600000000001"/>
    <n v="2066.75"/>
    <n v="14474.21"/>
    <n v="-1042.5899999999999"/>
  </r>
  <r>
    <x v="2"/>
    <x v="1"/>
    <x v="0"/>
    <s v="2573200"/>
    <n v="450040"/>
    <s v="Contr Allow--Phys Svcs--Other"/>
    <s v="Urology-Kitsap-Uro"/>
    <x v="0"/>
    <n v="1700"/>
    <n v="4067.89"/>
    <n v="3291.02"/>
    <n v="5039.42"/>
    <n v="5116"/>
    <n v="3714.52"/>
    <n v="4742.08"/>
    <n v="3250.86"/>
    <n v="6953.71"/>
    <n v="4944.1000000000004"/>
    <n v="10276.290000000001"/>
    <n v="9565.1200000000008"/>
    <n v="5495.99"/>
    <n v="66457"/>
    <n v="4069.130000000001"/>
  </r>
  <r>
    <x v="3"/>
    <x v="1"/>
    <x v="0"/>
    <s v="2573200"/>
    <n v="470040"/>
    <s v="Charity Care-Physician Svcs"/>
    <s v="Urology-Kitsap-Uro"/>
    <x v="0"/>
    <m/>
    <n v="51.21"/>
    <n v="2398.75"/>
    <n v="777.15"/>
    <n v="450.34"/>
    <n v="-1029.99"/>
    <n v="889.41"/>
    <n v="3897.03"/>
    <n v="181.39"/>
    <n v="4156.3900000000003"/>
    <n v="-183.17"/>
    <n v="1086.28"/>
    <n v="2395.6"/>
    <n v="15070.390000000001"/>
    <n v="-1309.32"/>
  </r>
  <r>
    <x v="4"/>
    <x v="1"/>
    <x v="0"/>
    <s v="2573200"/>
    <n v="490010"/>
    <s v="Provision for Bad Debts"/>
    <s v="Urology-Kitsap-Uro"/>
    <x v="0"/>
    <m/>
    <n v="-740.77"/>
    <n v="1252.6500000000001"/>
    <n v="5224.1499999999996"/>
    <n v="1621.77"/>
    <n v="1876.23"/>
    <n v="5505.73"/>
    <n v="-4950.63"/>
    <n v="-2026.13"/>
    <n v="7023.19"/>
    <n v="-299.68"/>
    <n v="3434.76"/>
    <n v="1303.6500000000001"/>
    <n v="19224.919999999998"/>
    <n v="2131.11"/>
  </r>
  <r>
    <x v="14"/>
    <x v="1"/>
    <x v="0"/>
    <s v="2573200"/>
    <n v="600050"/>
    <s v="Miscellaneous Revenue"/>
    <s v="Urology-Kitsap-Uro"/>
    <x v="0"/>
    <m/>
    <n v="0"/>
    <n v="0"/>
    <n v="0"/>
    <n v="0"/>
    <n v="-9600"/>
    <n v="0"/>
    <n v="0"/>
    <n v="-3000"/>
    <n v="0"/>
    <n v="0"/>
    <n v="0"/>
    <n v="-7200"/>
    <n v="-19800"/>
    <n v="7200"/>
  </r>
  <r>
    <x v="5"/>
    <x v="1"/>
    <x v="0"/>
    <s v="2573200"/>
    <n v="700018"/>
    <s v="Salaries-Supervisory-Productive"/>
    <s v="Urology-Kitsap-Uro"/>
    <x v="0"/>
    <m/>
    <n v="0"/>
    <n v="0"/>
    <n v="1352"/>
    <n v="-270.39999999999998"/>
    <n v="0"/>
    <n v="1350.04"/>
    <n v="1480.88"/>
    <n v="-257.52"/>
    <n v="1609.57"/>
    <n v="-321.91000000000003"/>
    <n v="1287.6600000000001"/>
    <n v="643.82000000000005"/>
    <n v="6874.1399999999994"/>
    <n v="643.84"/>
  </r>
  <r>
    <x v="5"/>
    <x v="1"/>
    <x v="0"/>
    <s v="2573200"/>
    <n v="700022"/>
    <s v="Salaries-Physician-Productive"/>
    <s v="Urology-Kitsap-Uro"/>
    <x v="0"/>
    <m/>
    <n v="73272.070000000007"/>
    <n v="66204.7"/>
    <n v="62701.8"/>
    <n v="82166.16"/>
    <n v="51181.41"/>
    <n v="64254.95"/>
    <n v="74512.22"/>
    <n v="58782.76"/>
    <n v="74561.149999999994"/>
    <n v="66730.33"/>
    <n v="73501.25"/>
    <n v="65608.160000000003"/>
    <n v="813476.96000000008"/>
    <n v="7893.0899999999965"/>
  </r>
  <r>
    <x v="5"/>
    <x v="1"/>
    <x v="0"/>
    <s v="2573200"/>
    <n v="700022"/>
    <s v="Salaries-Physician-Other"/>
    <s v="Urology-Kitsap-Uro"/>
    <x v="0"/>
    <n v="2000"/>
    <n v="0"/>
    <n v="0"/>
    <n v="0"/>
    <n v="0"/>
    <n v="9600"/>
    <n v="0"/>
    <n v="0"/>
    <n v="3000"/>
    <n v="0"/>
    <n v="0"/>
    <n v="0"/>
    <n v="7200"/>
    <n v="19800"/>
    <n v="-7200"/>
  </r>
  <r>
    <x v="5"/>
    <x v="1"/>
    <x v="0"/>
    <s v="2573200"/>
    <n v="700030"/>
    <s v="Salaries-LPN-Productive"/>
    <s v="Urology-Kitsap-Uro"/>
    <x v="0"/>
    <m/>
    <n v="11108.37"/>
    <n v="13055.47"/>
    <n v="12328.81"/>
    <n v="14152.57"/>
    <n v="12781"/>
    <n v="11019.02"/>
    <n v="8999.48"/>
    <n v="6101.2"/>
    <n v="12667.37"/>
    <n v="14545.04"/>
    <n v="14127.1"/>
    <n v="11985.77"/>
    <n v="142871.19999999998"/>
    <n v="2141.33"/>
  </r>
  <r>
    <x v="5"/>
    <x v="1"/>
    <x v="0"/>
    <s v="2573200"/>
    <n v="700030"/>
    <s v="Salaries-LPN-OT"/>
    <s v="Urology-Kitsap-Uro"/>
    <x v="0"/>
    <n v="1000"/>
    <n v="13.65"/>
    <n v="786.92"/>
    <n v="-102.33"/>
    <n v="79.44"/>
    <n v="203"/>
    <n v="127.82"/>
    <n v="307.37"/>
    <n v="-43.31"/>
    <n v="148.75"/>
    <n v="81.42"/>
    <n v="184.14"/>
    <n v="80.239999999999995"/>
    <n v="1867.11"/>
    <n v="103.89999999999999"/>
  </r>
  <r>
    <x v="5"/>
    <x v="1"/>
    <x v="0"/>
    <s v="2573200"/>
    <n v="700032"/>
    <s v="Salaries-Other Pat Care Providers-Productive"/>
    <s v="Urology-Kitsap-Uro"/>
    <x v="0"/>
    <m/>
    <n v="6161.91"/>
    <n v="5895.38"/>
    <n v="5711.29"/>
    <n v="5283.99"/>
    <n v="4799.9799999999996"/>
    <n v="5382.83"/>
    <n v="5469.04"/>
    <n v="5252.89"/>
    <n v="4475.51"/>
    <n v="3379.89"/>
    <n v="3421.39"/>
    <n v="2555.04"/>
    <n v="57789.14"/>
    <n v="866.34999999999991"/>
  </r>
  <r>
    <x v="5"/>
    <x v="1"/>
    <x v="0"/>
    <s v="2573200"/>
    <n v="700032"/>
    <s v="Salaries-Other Pat Care Providers-OT"/>
    <s v="Urology-Kitsap-Uro"/>
    <x v="0"/>
    <n v="1000"/>
    <n v="156.94"/>
    <n v="-10.77"/>
    <n v="44.74"/>
    <n v="125.05"/>
    <n v="-15.49"/>
    <n v="7.33"/>
    <n v="60.12"/>
    <n v="11.1"/>
    <n v="50.01"/>
    <n v="44.53"/>
    <n v="50.66"/>
    <n v="14.69"/>
    <n v="538.91"/>
    <n v="35.97"/>
  </r>
  <r>
    <x v="5"/>
    <x v="1"/>
    <x v="0"/>
    <s v="2573200"/>
    <n v="700038"/>
    <s v="Salaries-Service/Support-Productive"/>
    <s v="Urology-Kitsap-Uro"/>
    <x v="0"/>
    <m/>
    <n v="0"/>
    <n v="0"/>
    <n v="0"/>
    <n v="0"/>
    <n v="0"/>
    <n v="0"/>
    <n v="0"/>
    <n v="0"/>
    <n v="0"/>
    <n v="0"/>
    <n v="445.04"/>
    <n v="-222.52"/>
    <n v="222.52"/>
    <n v="667.56000000000006"/>
  </r>
  <r>
    <x v="5"/>
    <x v="1"/>
    <x v="0"/>
    <s v="2573200"/>
    <n v="700062"/>
    <s v="Salaries-Physician-Non-productive"/>
    <s v="Urology-Kitsap-Uro"/>
    <x v="0"/>
    <m/>
    <n v="9738.6299999999992"/>
    <n v="20775.14"/>
    <n v="12747.32"/>
    <n v="4600.32"/>
    <n v="27713.43"/>
    <n v="10662.44"/>
    <n v="7665.75"/>
    <n v="9976.7900000000009"/>
    <n v="-1891.95"/>
    <n v="9328.48"/>
    <n v="5596.14"/>
    <n v="3116.1"/>
    <n v="120028.59000000001"/>
    <n v="2480.0400000000004"/>
  </r>
  <r>
    <x v="5"/>
    <x v="1"/>
    <x v="0"/>
    <s v="2573200"/>
    <n v="700062"/>
    <s v="Salaries-Physician-NonProd-Other"/>
    <s v="Urology-Kitsap-Uro"/>
    <x v="0"/>
    <n v="2000"/>
    <n v="0"/>
    <n v="0"/>
    <n v="0"/>
    <n v="0"/>
    <n v="408.42"/>
    <n v="408.42"/>
    <n v="0"/>
    <n v="-816.84"/>
    <n v="0"/>
    <n v="0"/>
    <n v="0"/>
    <n v="0"/>
    <n v="0"/>
    <n v="0"/>
  </r>
  <r>
    <x v="5"/>
    <x v="1"/>
    <x v="0"/>
    <s v="2573200"/>
    <n v="700070"/>
    <s v="Salaries-LPN-Non-productive"/>
    <s v="Urology-Kitsap-Uro"/>
    <x v="0"/>
    <m/>
    <n v="2359.08"/>
    <n v="3012.17"/>
    <n v="1449.2"/>
    <n v="2119.81"/>
    <n v="1226.44"/>
    <n v="2673.2"/>
    <n v="1458.25"/>
    <n v="2949.21"/>
    <n v="992.29"/>
    <n v="977.62"/>
    <n v="1702.8"/>
    <n v="2429.4899999999998"/>
    <n v="23349.559999999998"/>
    <n v="-726.68999999999983"/>
  </r>
  <r>
    <x v="5"/>
    <x v="1"/>
    <x v="0"/>
    <s v="2573200"/>
    <n v="700070"/>
    <s v="Salaries-LPN-NonProd-Other"/>
    <s v="Urology-Kitsap-Uro"/>
    <x v="0"/>
    <n v="2000"/>
    <n v="0"/>
    <n v="0"/>
    <n v="0"/>
    <n v="0"/>
    <n v="479.1"/>
    <n v="0"/>
    <n v="0"/>
    <n v="-479.1"/>
    <n v="0"/>
    <n v="0"/>
    <n v="0"/>
    <n v="0"/>
    <n v="0"/>
    <n v="0"/>
  </r>
  <r>
    <x v="5"/>
    <x v="1"/>
    <x v="0"/>
    <s v="2573200"/>
    <n v="700072"/>
    <s v="Salaries-Other Pat Care Providers-Non-productive"/>
    <s v="Urology-Kitsap-Uro"/>
    <x v="0"/>
    <m/>
    <n v="1022.66"/>
    <n v="990.49"/>
    <n v="79.180000000000007"/>
    <n v="1045.8800000000001"/>
    <n v="591.39"/>
    <n v="1135.74"/>
    <n v="1284.8800000000001"/>
    <n v="559.89"/>
    <n v="885.89"/>
    <n v="-288.77999999999997"/>
    <n v="14.68"/>
    <n v="621.62"/>
    <n v="7943.5200000000013"/>
    <n v="-606.94000000000005"/>
  </r>
  <r>
    <x v="5"/>
    <x v="1"/>
    <x v="0"/>
    <s v="2573200"/>
    <n v="700072"/>
    <s v="Salaries-Other Pat Care Providers-NonProd-Other"/>
    <s v="Urology-Kitsap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3200"/>
    <n v="700084"/>
    <s v="Accrued PTO"/>
    <s v="Urology-Kitsap-Uro"/>
    <x v="0"/>
    <m/>
    <n v="-26.96"/>
    <n v="-1077.1400000000001"/>
    <n v="172.77"/>
    <n v="914.82"/>
    <n v="932.47"/>
    <n v="-1151.6400000000001"/>
    <n v="-832.06"/>
    <n v="651.11"/>
    <n v="752.62"/>
    <n v="882.35"/>
    <n v="1433.78"/>
    <n v="-119.92"/>
    <n v="2532.1999999999998"/>
    <n v="1553.7"/>
  </r>
  <r>
    <x v="6"/>
    <x v="1"/>
    <x v="0"/>
    <s v="2573200"/>
    <n v="713010"/>
    <s v="Benefits-FICA/Medicare"/>
    <s v="Urology-Kitsap-Uro"/>
    <x v="0"/>
    <m/>
    <n v="2701.86"/>
    <n v="2960.76"/>
    <n v="2593.14"/>
    <n v="2871.94"/>
    <n v="2673.79"/>
    <n v="4995.57"/>
    <n v="7536.74"/>
    <n v="6206.16"/>
    <n v="6916.99"/>
    <n v="4229.33"/>
    <n v="4794.38"/>
    <n v="4180.7"/>
    <n v="52661.36"/>
    <n v="613.68000000000029"/>
  </r>
  <r>
    <x v="6"/>
    <x v="1"/>
    <x v="0"/>
    <s v="2573200"/>
    <n v="713090"/>
    <s v="Benefits-Allocated Amounts"/>
    <s v="Urology-Kitsap-Uro"/>
    <x v="0"/>
    <m/>
    <n v="0"/>
    <n v="0"/>
    <n v="0"/>
    <n v="0"/>
    <n v="0"/>
    <n v="0"/>
    <n v="0"/>
    <n v="0"/>
    <n v="66030.47"/>
    <n v="7098.66"/>
    <n v="7238.12"/>
    <n v="7134.33"/>
    <n v="87501.58"/>
    <n v="103.78999999999996"/>
  </r>
  <r>
    <x v="6"/>
    <x v="1"/>
    <x v="0"/>
    <s v="2573200"/>
    <n v="713092"/>
    <s v="Allocated Benefits-Physician"/>
    <s v="Urology-Kitsap-Uro"/>
    <x v="0"/>
    <m/>
    <n v="10698.61"/>
    <n v="10015.959999999999"/>
    <n v="10207.52"/>
    <n v="10337.52"/>
    <n v="10133.61"/>
    <n v="10461.950000000001"/>
    <n v="11718.33"/>
    <n v="10582.49"/>
    <n v="-54187.68"/>
    <n v="3221.76"/>
    <n v="3285.06"/>
    <n v="3237.96"/>
    <n v="39713.090000000004"/>
    <n v="47.099999999999909"/>
  </r>
  <r>
    <x v="6"/>
    <x v="1"/>
    <x v="0"/>
    <s v="2573200"/>
    <n v="713096"/>
    <s v="Employee Recognition"/>
    <s v="Urology-Kitsap-Uro"/>
    <x v="0"/>
    <n v="1017"/>
    <n v="0"/>
    <n v="16.989999999999998"/>
    <n v="0"/>
    <n v="0"/>
    <n v="0"/>
    <n v="0"/>
    <n v="0"/>
    <n v="0"/>
    <n v="0"/>
    <n v="0"/>
    <n v="0"/>
    <n v="0"/>
    <n v="16.989999999999998"/>
    <n v="0"/>
  </r>
  <r>
    <x v="7"/>
    <x v="1"/>
    <x v="0"/>
    <s v="2573200"/>
    <n v="718010"/>
    <s v="Media/Print Advertising"/>
    <s v="Urology-Kitsap-Uro"/>
    <x v="0"/>
    <n v="1004"/>
    <n v="0"/>
    <n v="0"/>
    <n v="0"/>
    <n v="260.76"/>
    <n v="0"/>
    <n v="0"/>
    <n v="0"/>
    <n v="0"/>
    <n v="0"/>
    <n v="0"/>
    <n v="0"/>
    <n v="0"/>
    <n v="260.76"/>
    <n v="0"/>
  </r>
  <r>
    <x v="7"/>
    <x v="1"/>
    <x v="0"/>
    <s v="2573200"/>
    <n v="718050"/>
    <s v="Contract Svcs-Other"/>
    <s v="Urology-Kitsap-Uro"/>
    <x v="0"/>
    <m/>
    <n v="0"/>
    <n v="0"/>
    <n v="0"/>
    <n v="0"/>
    <n v="97.19"/>
    <n v="0"/>
    <n v="0"/>
    <n v="0"/>
    <n v="0"/>
    <n v="90"/>
    <n v="0"/>
    <n v="0"/>
    <n v="187.19"/>
    <n v="0"/>
  </r>
  <r>
    <x v="7"/>
    <x v="1"/>
    <x v="0"/>
    <s v="2573200"/>
    <n v="718050"/>
    <s v="Miscellaneous Purchased Svcs"/>
    <s v="Urology-Kitsap-Uro"/>
    <x v="0"/>
    <n v="1020"/>
    <n v="161.79"/>
    <n v="1351.63"/>
    <n v="1196.1300000000001"/>
    <n v="152.68"/>
    <n v="58.42"/>
    <n v="-236.71"/>
    <n v="164.18"/>
    <n v="160.9"/>
    <n v="50.74"/>
    <n v="252.05"/>
    <n v="216.01"/>
    <n v="167.23"/>
    <n v="3695.0499999999997"/>
    <n v="48.78"/>
  </r>
  <r>
    <x v="7"/>
    <x v="1"/>
    <x v="0"/>
    <s v="2573200"/>
    <n v="718050"/>
    <s v="Translation Services"/>
    <s v="Urology-Kitsap-Uro"/>
    <x v="0"/>
    <n v="1025"/>
    <n v="0"/>
    <n v="76"/>
    <n v="0"/>
    <n v="0"/>
    <n v="0"/>
    <n v="0"/>
    <n v="0"/>
    <n v="0"/>
    <n v="0"/>
    <n v="0"/>
    <n v="0"/>
    <n v="0"/>
    <n v="76"/>
    <n v="0"/>
  </r>
  <r>
    <x v="7"/>
    <x v="1"/>
    <x v="0"/>
    <s v="2573200"/>
    <n v="718050"/>
    <s v="Contract Management--Linen"/>
    <s v="Urology-Kitsap-Uro"/>
    <x v="0"/>
    <n v="1026"/>
    <n v="83.54"/>
    <n v="666.08"/>
    <n v="295.41000000000003"/>
    <n v="499.77"/>
    <n v="672.19"/>
    <n v="250.62"/>
    <n v="349.93"/>
    <n v="256.62"/>
    <n v="427.7"/>
    <n v="325.52999999999997"/>
    <n v="0"/>
    <n v="853.5"/>
    <n v="4680.8899999999994"/>
    <n v="-853.5"/>
  </r>
  <r>
    <x v="7"/>
    <x v="1"/>
    <x v="0"/>
    <s v="2573200"/>
    <n v="718050"/>
    <s v="Purchased Srvcs--Medical Waste"/>
    <s v="Urology-Kitsap-Uro"/>
    <x v="0"/>
    <n v="1027"/>
    <n v="2330.13"/>
    <n v="3297.21"/>
    <n v="127.14"/>
    <n v="733.22"/>
    <n v="1379.55"/>
    <n v="925.6"/>
    <n v="275.39"/>
    <n v="998.55"/>
    <n v="280.87"/>
    <n v="853.2"/>
    <n v="2518.0300000000002"/>
    <n v="799.86"/>
    <n v="14518.750000000002"/>
    <n v="1718.17"/>
  </r>
  <r>
    <x v="11"/>
    <x v="1"/>
    <x v="0"/>
    <s v="2573200"/>
    <n v="721010"/>
    <s v="Supplies-Medical - Billable"/>
    <s v="Urology-Kitsap-Uro"/>
    <x v="0"/>
    <m/>
    <n v="1415.93"/>
    <n v="0"/>
    <n v="1932.57"/>
    <n v="-67.66"/>
    <n v="0"/>
    <n v="0"/>
    <n v="0"/>
    <n v="1405.4"/>
    <n v="0"/>
    <n v="0"/>
    <n v="0"/>
    <n v="0"/>
    <n v="4686.24"/>
    <n v="0"/>
  </r>
  <r>
    <x v="11"/>
    <x v="1"/>
    <x v="0"/>
    <s v="2573200"/>
    <n v="721250"/>
    <s v="Supplies-Pharmacy Drugs - Billable"/>
    <s v="Urology-Kitsap-Uro"/>
    <x v="0"/>
    <m/>
    <n v="4864"/>
    <n v="1536"/>
    <n v="2432"/>
    <n v="1792"/>
    <n v="3968"/>
    <n v="0"/>
    <n v="4864"/>
    <n v="6912"/>
    <n v="4608"/>
    <n v="1536"/>
    <n v="10368"/>
    <n v="0"/>
    <n v="42880"/>
    <n v="10368"/>
  </r>
  <r>
    <x v="11"/>
    <x v="1"/>
    <x v="0"/>
    <s v="2573200"/>
    <n v="721410"/>
    <s v="Supplies-Medical - Nonbillable"/>
    <s v="Urology-Kitsap-Uro"/>
    <x v="0"/>
    <m/>
    <n v="7818.49"/>
    <n v="4711.84"/>
    <n v="4729.51"/>
    <n v="9012.91"/>
    <n v="5935.17"/>
    <n v="4540.47"/>
    <n v="3405.48"/>
    <n v="1821.5"/>
    <n v="1252.27"/>
    <n v="3653.16"/>
    <n v="522.77"/>
    <n v="10901.71"/>
    <n v="58305.279999999999"/>
    <n v="-10378.939999999999"/>
  </r>
  <r>
    <x v="11"/>
    <x v="1"/>
    <x v="0"/>
    <s v="2573200"/>
    <n v="721830"/>
    <s v="Supplies-Office"/>
    <s v="Urology-Kitsap-Uro"/>
    <x v="0"/>
    <m/>
    <n v="63.73"/>
    <n v="0"/>
    <n v="0"/>
    <n v="0"/>
    <n v="0"/>
    <n v="0"/>
    <n v="0"/>
    <n v="0"/>
    <n v="0"/>
    <n v="0"/>
    <n v="0"/>
    <n v="0"/>
    <n v="63.73"/>
    <n v="0"/>
  </r>
  <r>
    <x v="11"/>
    <x v="1"/>
    <x v="0"/>
    <s v="2573200"/>
    <n v="721980"/>
    <s v="Supplies-Other"/>
    <s v="Urology-Kitsap-Uro"/>
    <x v="0"/>
    <m/>
    <n v="0"/>
    <n v="0"/>
    <n v="0"/>
    <n v="0"/>
    <n v="0"/>
    <n v="0"/>
    <n v="0"/>
    <n v="0"/>
    <n v="131.04"/>
    <n v="0"/>
    <n v="0"/>
    <n v="0"/>
    <n v="131.04"/>
    <n v="0"/>
  </r>
  <r>
    <x v="11"/>
    <x v="1"/>
    <x v="0"/>
    <s v="2573200"/>
    <n v="722000"/>
    <s v="Supplies-Freight Expense"/>
    <s v="Urology-Kitsap-Uro"/>
    <x v="0"/>
    <m/>
    <n v="0"/>
    <n v="0"/>
    <n v="0"/>
    <n v="84.01"/>
    <n v="0"/>
    <n v="86"/>
    <n v="0"/>
    <n v="0"/>
    <n v="17.079999999999998"/>
    <n v="0"/>
    <n v="0"/>
    <n v="0"/>
    <n v="187.08999999999997"/>
    <n v="0"/>
  </r>
  <r>
    <x v="0"/>
    <x v="1"/>
    <x v="0"/>
    <s v="2573200"/>
    <n v="740022"/>
    <s v="Education-Physician"/>
    <s v="Urology-Kitsap-Uro"/>
    <x v="0"/>
    <m/>
    <n v="0"/>
    <n v="0"/>
    <n v="625"/>
    <n v="0"/>
    <n v="0"/>
    <n v="0"/>
    <n v="0"/>
    <n v="0"/>
    <n v="0"/>
    <n v="0"/>
    <n v="0"/>
    <n v="0"/>
    <n v="625"/>
    <n v="0"/>
  </r>
  <r>
    <x v="8"/>
    <x v="1"/>
    <x v="0"/>
    <s v="2573200"/>
    <n v="741012"/>
    <s v="Physician Liab Insurance-CHI Program"/>
    <s v="Urology-Kitsap-Uro"/>
    <x v="0"/>
    <m/>
    <n v="2084.13"/>
    <n v="2084.13"/>
    <n v="2084.13"/>
    <n v="2084.13"/>
    <n v="2084.14"/>
    <n v="2084.13"/>
    <n v="2084.14"/>
    <n v="2084.13"/>
    <n v="2084.14"/>
    <n v="2084.13"/>
    <n v="2084.14"/>
    <n v="2084.13"/>
    <n v="25009.600000000002"/>
    <n v="9.9999999997635314E-3"/>
  </r>
  <r>
    <x v="0"/>
    <x v="1"/>
    <x v="0"/>
    <s v="2573200"/>
    <n v="743022"/>
    <s v="Dues-Physician"/>
    <s v="Urology-Kitsap-Uro"/>
    <x v="0"/>
    <m/>
    <n v="0"/>
    <n v="0"/>
    <n v="0"/>
    <n v="0"/>
    <n v="0"/>
    <n v="0"/>
    <n v="0"/>
    <n v="2490"/>
    <n v="731"/>
    <n v="0"/>
    <n v="0"/>
    <n v="0"/>
    <n v="3221"/>
    <n v="0"/>
  </r>
  <r>
    <x v="0"/>
    <x v="1"/>
    <x v="0"/>
    <s v="2573200"/>
    <n v="743042"/>
    <s v="Subscriptions-Physician"/>
    <s v="Urology-Kitsap-Uro"/>
    <x v="0"/>
    <m/>
    <n v="0"/>
    <n v="0"/>
    <n v="0"/>
    <n v="0"/>
    <n v="0"/>
    <n v="0"/>
    <n v="0"/>
    <n v="0"/>
    <n v="0"/>
    <n v="630.95000000000005"/>
    <n v="0"/>
    <n v="0"/>
    <n v="630.95000000000005"/>
    <n v="0"/>
  </r>
  <r>
    <x v="0"/>
    <x v="1"/>
    <x v="0"/>
    <s v="2573200"/>
    <n v="749510"/>
    <s v="Miscellaneous Expenses"/>
    <s v="Urology-Kitsap-Uro"/>
    <x v="0"/>
    <m/>
    <n v="0"/>
    <n v="135.19999999999999"/>
    <n v="26.15"/>
    <n v="-137.37"/>
    <n v="-23.98"/>
    <n v="0"/>
    <n v="0"/>
    <n v="753.24"/>
    <n v="-753.24"/>
    <n v="0"/>
    <n v="183.7"/>
    <n v="722.3"/>
    <n v="906"/>
    <n v="-538.59999999999991"/>
  </r>
  <r>
    <x v="0"/>
    <x v="1"/>
    <x v="0"/>
    <s v="2573200"/>
    <n v="749530"/>
    <s v="Travel"/>
    <s v="Urology-Kitsap-Uro"/>
    <x v="0"/>
    <m/>
    <n v="0"/>
    <n v="0"/>
    <n v="0"/>
    <n v="60"/>
    <n v="0"/>
    <n v="0"/>
    <n v="0"/>
    <n v="0"/>
    <n v="0"/>
    <n v="0"/>
    <n v="0"/>
    <n v="0"/>
    <n v="60"/>
    <n v="0"/>
  </r>
  <r>
    <x v="0"/>
    <x v="1"/>
    <x v="0"/>
    <s v="2573200"/>
    <n v="749530"/>
    <s v="Mileage"/>
    <s v="Urology-Kitsap-Uro"/>
    <x v="0"/>
    <n v="1001"/>
    <n v="0"/>
    <n v="0"/>
    <n v="0"/>
    <n v="671.52"/>
    <n v="71.94"/>
    <n v="0"/>
    <n v="0"/>
    <n v="0"/>
    <n v="0"/>
    <n v="0"/>
    <n v="0"/>
    <n v="0"/>
    <n v="743.46"/>
    <n v="0"/>
  </r>
  <r>
    <x v="0"/>
    <x v="1"/>
    <x v="0"/>
    <s v="2573200"/>
    <n v="749532"/>
    <s v="Travel-Physician"/>
    <s v="Urology-Kitsap-Uro"/>
    <x v="0"/>
    <m/>
    <n v="0"/>
    <n v="0"/>
    <n v="24"/>
    <n v="30"/>
    <n v="0"/>
    <n v="0"/>
    <n v="24"/>
    <n v="0"/>
    <n v="6"/>
    <n v="24"/>
    <n v="0"/>
    <n v="42"/>
    <n v="150"/>
    <n v="-42"/>
  </r>
  <r>
    <x v="0"/>
    <x v="1"/>
    <x v="0"/>
    <s v="2573200"/>
    <n v="749532"/>
    <s v="Vehicle Expense-Physician"/>
    <s v="Urology-Kitsap-Uro"/>
    <x v="0"/>
    <n v="2001"/>
    <n v="0"/>
    <n v="0"/>
    <n v="111.2"/>
    <n v="165.69"/>
    <n v="0"/>
    <n v="0"/>
    <n v="115.18"/>
    <n v="0"/>
    <n v="16.239999999999998"/>
    <n v="121.22"/>
    <n v="0"/>
    <n v="200.68"/>
    <n v="730.21"/>
    <n v="-200.68"/>
  </r>
  <r>
    <x v="7"/>
    <x v="1"/>
    <x v="0"/>
    <s v="2574200"/>
    <n v="718040"/>
    <s v="Contract Svcs-Laboratory"/>
    <s v="Gen Surg-SA-Gen Surg"/>
    <x v="0"/>
    <m/>
    <n v="0"/>
    <n v="0"/>
    <n v="0"/>
    <n v="0"/>
    <n v="0"/>
    <n v="0"/>
    <n v="0"/>
    <n v="0"/>
    <n v="61"/>
    <n v="0"/>
    <n v="0"/>
    <n v="0"/>
    <n v="61"/>
    <n v="0"/>
  </r>
  <r>
    <x v="1"/>
    <x v="1"/>
    <x v="0"/>
    <s v="2575200"/>
    <n v="400029"/>
    <s v="MD Practice Other Rev--Medicare"/>
    <s v="Gen Surg-Mt Rainier-Gen Surg"/>
    <x v="0"/>
    <n v="1100"/>
    <n v="0"/>
    <n v="-54"/>
    <n v="0"/>
    <n v="-176"/>
    <n v="-176"/>
    <n v="-988"/>
    <n v="-1042"/>
    <n v="-599"/>
    <n v="-176"/>
    <n v="0"/>
    <n v="-176"/>
    <n v="-528"/>
    <n v="-3915"/>
    <n v="352"/>
  </r>
  <r>
    <x v="1"/>
    <x v="1"/>
    <x v="0"/>
    <s v="2575200"/>
    <n v="400029"/>
    <s v="MD Practice Other Rev--Medicaid"/>
    <s v="Gen Surg-Mt Rainier-Gen Surg"/>
    <x v="0"/>
    <n v="1200"/>
    <n v="0"/>
    <n v="0"/>
    <n v="0"/>
    <n v="0"/>
    <n v="0"/>
    <n v="-917"/>
    <n v="-741"/>
    <n v="0"/>
    <n v="-176"/>
    <n v="0"/>
    <n v="0"/>
    <n v="0"/>
    <n v="-1834"/>
    <n v="0"/>
  </r>
  <r>
    <x v="1"/>
    <x v="1"/>
    <x v="0"/>
    <s v="2575200"/>
    <n v="400029"/>
    <s v="MD Practice Other Rev--Comm Insurance"/>
    <s v="Gen Surg-Mt Rainier-Gen Surg"/>
    <x v="0"/>
    <n v="1300"/>
    <n v="0"/>
    <n v="0"/>
    <n v="0"/>
    <n v="0"/>
    <n v="0"/>
    <n v="0"/>
    <n v="0"/>
    <n v="-247"/>
    <n v="0"/>
    <n v="0"/>
    <n v="0"/>
    <n v="0"/>
    <n v="-247"/>
    <n v="0"/>
  </r>
  <r>
    <x v="1"/>
    <x v="1"/>
    <x v="0"/>
    <s v="2575200"/>
    <n v="400029"/>
    <s v="MD Practice Other Rev--BCBS Comm"/>
    <s v="Gen Surg-Mt Rainier-Gen Surg"/>
    <x v="0"/>
    <n v="1301"/>
    <n v="0"/>
    <n v="0"/>
    <n v="0"/>
    <n v="0"/>
    <n v="0"/>
    <n v="-247"/>
    <n v="-247"/>
    <n v="-176"/>
    <n v="0"/>
    <n v="0"/>
    <n v="0"/>
    <n v="-176"/>
    <n v="-846"/>
    <n v="176"/>
  </r>
  <r>
    <x v="1"/>
    <x v="1"/>
    <x v="0"/>
    <s v="2575200"/>
    <n v="400029"/>
    <s v="MD Practice Other Rev--Managed Care"/>
    <s v="Gen Surg-Mt Rainier-Gen Surg"/>
    <x v="0"/>
    <n v="1400"/>
    <n v="0"/>
    <n v="-745"/>
    <n v="0"/>
    <n v="0"/>
    <n v="-1110"/>
    <n v="-1658"/>
    <n v="-1928"/>
    <n v="-846"/>
    <n v="-176"/>
    <n v="-176"/>
    <n v="-352"/>
    <n v="0"/>
    <n v="-6991"/>
    <n v="-352"/>
  </r>
  <r>
    <x v="1"/>
    <x v="1"/>
    <x v="0"/>
    <s v="2575200"/>
    <n v="400029"/>
    <s v="MD Practice Other Rev--Self Pay"/>
    <s v="Gen Surg-Mt Rainier-Gen Surg"/>
    <x v="0"/>
    <n v="1500"/>
    <n v="0"/>
    <n v="0"/>
    <n v="-176"/>
    <n v="0"/>
    <n v="0"/>
    <n v="0"/>
    <n v="0"/>
    <n v="0"/>
    <n v="0"/>
    <n v="0"/>
    <n v="0"/>
    <n v="0"/>
    <n v="-176"/>
    <n v="0"/>
  </r>
  <r>
    <x v="1"/>
    <x v="1"/>
    <x v="0"/>
    <s v="2575200"/>
    <n v="400029"/>
    <s v="MD Practice Other Rev--Other"/>
    <s v="Gen Surg-Mt Rainier-Gen Surg"/>
    <x v="0"/>
    <n v="1700"/>
    <n v="0"/>
    <n v="0"/>
    <n v="0"/>
    <n v="0"/>
    <n v="0"/>
    <n v="-247"/>
    <n v="-247"/>
    <n v="0"/>
    <n v="0"/>
    <n v="0"/>
    <n v="0"/>
    <n v="0"/>
    <n v="-494"/>
    <n v="0"/>
  </r>
  <r>
    <x v="1"/>
    <x v="1"/>
    <x v="0"/>
    <s v="2575200"/>
    <n v="400040"/>
    <s v="Physician Svcs Rev--Medicare"/>
    <s v="Gen Surg-Mt Rainier-Gen Surg"/>
    <x v="0"/>
    <n v="1100"/>
    <n v="-168601.25"/>
    <n v="-224047.25"/>
    <n v="-189397.25"/>
    <n v="-178586.25"/>
    <n v="-213467.75"/>
    <n v="-170252.75"/>
    <n v="-232352.25"/>
    <n v="-209114.5"/>
    <n v="-312487.5"/>
    <n v="-356189.5"/>
    <n v="-219057"/>
    <n v="-204277.25"/>
    <n v="-2677830.5"/>
    <n v="-14779.75"/>
  </r>
  <r>
    <x v="1"/>
    <x v="1"/>
    <x v="0"/>
    <s v="2575200"/>
    <n v="400040"/>
    <s v="Physician Svcs Rev--Medicaid"/>
    <s v="Gen Surg-Mt Rainier-Gen Surg"/>
    <x v="0"/>
    <n v="1200"/>
    <n v="-77942"/>
    <n v="-149703.75"/>
    <n v="-126100.25"/>
    <n v="-80800.75"/>
    <n v="-69785.5"/>
    <n v="-64500.25"/>
    <n v="-17976"/>
    <n v="-143549"/>
    <n v="-110302.7"/>
    <n v="-77819"/>
    <n v="-124467"/>
    <n v="-107139"/>
    <n v="-1150085.2"/>
    <n v="-17328"/>
  </r>
  <r>
    <x v="1"/>
    <x v="1"/>
    <x v="0"/>
    <s v="2575200"/>
    <n v="400040"/>
    <s v="Physician Svcs Rev--Comm Insurance"/>
    <s v="Gen Surg-Mt Rainier-Gen Surg"/>
    <x v="0"/>
    <n v="1300"/>
    <n v="-8152"/>
    <n v="-22977"/>
    <n v="-2992"/>
    <n v="-6192"/>
    <n v="-23875.25"/>
    <n v="-4184"/>
    <n v="-21064.75"/>
    <n v="-9119"/>
    <n v="-9012"/>
    <n v="-26326.25"/>
    <n v="-38685.25"/>
    <n v="-17917"/>
    <n v="-190496.5"/>
    <n v="-20768.25"/>
  </r>
  <r>
    <x v="1"/>
    <x v="1"/>
    <x v="0"/>
    <s v="2575200"/>
    <n v="400040"/>
    <s v="Physician Svcs Rev--BCBS Comm"/>
    <s v="Gen Surg-Mt Rainier-Gen Surg"/>
    <x v="0"/>
    <n v="1301"/>
    <n v="-7891"/>
    <n v="-71430"/>
    <n v="-9300.25"/>
    <n v="-26553"/>
    <n v="-36352.5"/>
    <n v="-31661.55"/>
    <n v="-35859.25"/>
    <n v="-31541"/>
    <n v="-24824"/>
    <n v="-56929.75"/>
    <n v="-28821.75"/>
    <n v="-68798.95"/>
    <n v="-429963"/>
    <n v="39977.199999999997"/>
  </r>
  <r>
    <x v="1"/>
    <x v="1"/>
    <x v="0"/>
    <s v="2575200"/>
    <n v="400040"/>
    <s v="Physician Svcs Rev--Managed Care"/>
    <s v="Gen Surg-Mt Rainier-Gen Surg"/>
    <x v="0"/>
    <n v="1400"/>
    <n v="-164958"/>
    <n v="-127931.75"/>
    <n v="-92445"/>
    <n v="-136667"/>
    <n v="-73622.75"/>
    <n v="-148618"/>
    <n v="-189796"/>
    <n v="-114257.5"/>
    <n v="-186277.25"/>
    <n v="-141257"/>
    <n v="-152869.75"/>
    <n v="-86374.75"/>
    <n v="-1615074.75"/>
    <n v="-66495"/>
  </r>
  <r>
    <x v="1"/>
    <x v="1"/>
    <x v="0"/>
    <s v="2575200"/>
    <n v="400040"/>
    <s v="Physician Svcs Rev--Self Pay"/>
    <s v="Gen Surg-Mt Rainier-Gen Surg"/>
    <x v="0"/>
    <n v="1500"/>
    <n v="-3791"/>
    <n v="-10520"/>
    <n v="-9968.5"/>
    <n v="-1695"/>
    <n v="-5112"/>
    <n v="-1692"/>
    <n v="1670"/>
    <n v="-3432"/>
    <n v="-3501"/>
    <n v="-5378"/>
    <n v="-21031.25"/>
    <n v="-3457"/>
    <n v="-67907.75"/>
    <n v="-17574.25"/>
  </r>
  <r>
    <x v="1"/>
    <x v="1"/>
    <x v="0"/>
    <s v="2575200"/>
    <n v="400040"/>
    <s v="Physician Svcs Rev--Other"/>
    <s v="Gen Surg-Mt Rainier-Gen Surg"/>
    <x v="0"/>
    <n v="1700"/>
    <n v="-7380"/>
    <n v="-16580.5"/>
    <n v="-5633.25"/>
    <n v="-3440"/>
    <n v="-5508"/>
    <n v="-26258.75"/>
    <n v="-27610"/>
    <n v="-10340.5"/>
    <n v="-11672"/>
    <n v="-6488"/>
    <n v="-34539"/>
    <n v="-8599.25"/>
    <n v="-164049.25"/>
    <n v="-25939.75"/>
  </r>
  <r>
    <x v="2"/>
    <x v="1"/>
    <x v="0"/>
    <s v="2575200"/>
    <n v="450029"/>
    <s v="Contr Allow--MD Other-Medicare"/>
    <s v="Gen Surg-Mt Rainier-Gen Surg"/>
    <x v="0"/>
    <n v="1100"/>
    <n v="0"/>
    <n v="23.44"/>
    <n v="0"/>
    <n v="0"/>
    <n v="0"/>
    <n v="112.75"/>
    <n v="963.91"/>
    <n v="369.52"/>
    <n v="396.38"/>
    <n v="111.03"/>
    <n v="112.05"/>
    <n v="89.53"/>
    <n v="2178.61"/>
    <n v="22.519999999999996"/>
  </r>
  <r>
    <x v="2"/>
    <x v="1"/>
    <x v="0"/>
    <s v="2575200"/>
    <n v="450029"/>
    <s v="Contr Allow--MD Other-Medicaid"/>
    <s v="Gen Surg-Mt Rainier-Gen Surg"/>
    <x v="0"/>
    <n v="1200"/>
    <n v="0"/>
    <n v="0"/>
    <n v="0"/>
    <n v="0"/>
    <n v="0"/>
    <n v="137.08000000000001"/>
    <n v="949.09"/>
    <n v="191.39"/>
    <n v="134.93"/>
    <n v="0"/>
    <n v="0"/>
    <n v="0"/>
    <n v="1412.49"/>
    <n v="0"/>
  </r>
  <r>
    <x v="2"/>
    <x v="1"/>
    <x v="0"/>
    <s v="2575200"/>
    <n v="450029"/>
    <s v="Contr Allow--MD Other-Comm Insurance"/>
    <s v="Gen Surg-Mt Rainier-Gen Surg"/>
    <x v="0"/>
    <n v="1300"/>
    <n v="0"/>
    <n v="0"/>
    <n v="0"/>
    <n v="0"/>
    <n v="0"/>
    <n v="0"/>
    <n v="0"/>
    <n v="0"/>
    <n v="99.92"/>
    <n v="0"/>
    <n v="0"/>
    <n v="0"/>
    <n v="99.92"/>
    <n v="0"/>
  </r>
  <r>
    <x v="2"/>
    <x v="1"/>
    <x v="0"/>
    <s v="2575200"/>
    <n v="450029"/>
    <s v="Contr Allow--MD Other BCBS Comm"/>
    <s v="Gen Surg-Mt Rainier-Gen Surg"/>
    <x v="0"/>
    <n v="1301"/>
    <n v="0"/>
    <n v="0"/>
    <n v="0"/>
    <n v="0"/>
    <n v="0"/>
    <n v="0"/>
    <n v="0"/>
    <n v="62.46"/>
    <n v="0"/>
    <n v="62.46"/>
    <n v="0"/>
    <n v="0"/>
    <n v="124.92"/>
    <n v="0"/>
  </r>
  <r>
    <x v="2"/>
    <x v="1"/>
    <x v="0"/>
    <s v="2575200"/>
    <n v="450029"/>
    <s v="Contr Allow--MD Other-Managed Care"/>
    <s v="Gen Surg-Mt Rainier-Gen Surg"/>
    <x v="0"/>
    <n v="1400"/>
    <n v="0"/>
    <n v="251.72"/>
    <n v="0"/>
    <n v="0"/>
    <n v="571"/>
    <n v="0"/>
    <n v="896.84"/>
    <n v="301.33"/>
    <n v="378.95"/>
    <n v="0"/>
    <n v="64.92"/>
    <n v="88.32"/>
    <n v="2553.08"/>
    <n v="-23.399999999999991"/>
  </r>
  <r>
    <x v="2"/>
    <x v="1"/>
    <x v="0"/>
    <s v="2575200"/>
    <n v="450029"/>
    <s v="Admin Adjust-MD Other-Self Pay"/>
    <s v="Gen Surg-Mt Rainier-Gen Surg"/>
    <x v="0"/>
    <n v="1600"/>
    <n v="0"/>
    <n v="0"/>
    <n v="65.12"/>
    <n v="0"/>
    <n v="0"/>
    <n v="0"/>
    <n v="0"/>
    <n v="0"/>
    <n v="0"/>
    <n v="0"/>
    <n v="0"/>
    <n v="0"/>
    <n v="65.12"/>
    <n v="0"/>
  </r>
  <r>
    <x v="2"/>
    <x v="1"/>
    <x v="0"/>
    <s v="2575200"/>
    <n v="450029"/>
    <s v="Contr Allow--MD Other-Other"/>
    <s v="Gen Surg-Mt Rainier-Gen Surg"/>
    <x v="0"/>
    <n v="1700"/>
    <n v="0"/>
    <n v="0"/>
    <n v="0"/>
    <n v="0"/>
    <n v="0"/>
    <n v="0"/>
    <n v="312.22000000000003"/>
    <n v="0"/>
    <n v="0"/>
    <n v="0"/>
    <n v="0"/>
    <n v="0"/>
    <n v="312.22000000000003"/>
    <n v="0"/>
  </r>
  <r>
    <x v="2"/>
    <x v="1"/>
    <x v="0"/>
    <s v="2575200"/>
    <n v="450040"/>
    <s v="Contr Allow--Phys Svcs--Mcare"/>
    <s v="Gen Surg-Mt Rainier-Gen Surg"/>
    <x v="0"/>
    <n v="1100"/>
    <n v="117467.66"/>
    <n v="142732.47"/>
    <n v="124826.52"/>
    <n v="131834.25"/>
    <n v="100924.95"/>
    <n v="129623.4"/>
    <n v="95505.64"/>
    <n v="151294.37"/>
    <n v="163848.07"/>
    <n v="211791.75"/>
    <n v="141642.81"/>
    <n v="181510.85"/>
    <n v="1693002.7400000002"/>
    <n v="-39868.040000000008"/>
  </r>
  <r>
    <x v="2"/>
    <x v="1"/>
    <x v="0"/>
    <s v="2575200"/>
    <n v="450040"/>
    <s v="Contr Allow--Phys Svcs--Mcaid"/>
    <s v="Gen Surg-Mt Rainier-Gen Surg"/>
    <x v="0"/>
    <n v="1200"/>
    <n v="36835.040000000001"/>
    <n v="74787.77"/>
    <n v="77929.87"/>
    <n v="108343.82"/>
    <n v="81704.490000000005"/>
    <n v="72693.13"/>
    <n v="48013.26"/>
    <n v="31195.200000000001"/>
    <n v="119339.98"/>
    <n v="69879.56"/>
    <n v="53300.58"/>
    <n v="100495.43"/>
    <n v="874518.12999999989"/>
    <n v="-47194.849999999991"/>
  </r>
  <r>
    <x v="2"/>
    <x v="1"/>
    <x v="0"/>
    <s v="2575200"/>
    <n v="450040"/>
    <s v="Contr Allow--Phys Svcs--Comm Insurance"/>
    <s v="Gen Surg-Mt Rainier-Gen Surg"/>
    <x v="0"/>
    <n v="1300"/>
    <n v="13539.62"/>
    <n v="7653.88"/>
    <n v="5656.3"/>
    <n v="11371.08"/>
    <n v="10765.34"/>
    <n v="883.66"/>
    <n v="6207.58"/>
    <n v="6051.05"/>
    <n v="-1237.1199999999999"/>
    <n v="4765.75"/>
    <n v="13247.65"/>
    <n v="23323.59"/>
    <n v="102228.38"/>
    <n v="-10075.94"/>
  </r>
  <r>
    <x v="2"/>
    <x v="1"/>
    <x v="0"/>
    <s v="2575200"/>
    <n v="450040"/>
    <s v="Contr Allow--Phys Svcs--BCBS Comm Ins"/>
    <s v="Gen Surg-Mt Rainier-Gen Surg"/>
    <x v="0"/>
    <n v="1301"/>
    <n v="1202.1400000000001"/>
    <n v="8628.14"/>
    <n v="5701.22"/>
    <n v="12657.07"/>
    <n v="9200.16"/>
    <n v="8138.14"/>
    <n v="11084.52"/>
    <n v="10324.299999999999"/>
    <n v="14906.91"/>
    <n v="13953.4"/>
    <n v="1893.18"/>
    <n v="21364.23"/>
    <n v="119053.40999999999"/>
    <n v="-19471.05"/>
  </r>
  <r>
    <x v="2"/>
    <x v="1"/>
    <x v="0"/>
    <s v="2575200"/>
    <n v="450040"/>
    <s v="Contr Allow--Phys Svcs--Managed Care"/>
    <s v="Gen Surg-Mt Rainier-Gen Surg"/>
    <x v="0"/>
    <n v="1400"/>
    <n v="55617.93"/>
    <n v="98246.53"/>
    <n v="22232.59"/>
    <n v="70873.399999999994"/>
    <n v="57737.58"/>
    <n v="19700.95"/>
    <n v="45003.13"/>
    <n v="83467.92"/>
    <n v="83851.67"/>
    <n v="97962.86"/>
    <n v="75076.45"/>
    <n v="43097.52"/>
    <n v="752868.52999999991"/>
    <n v="31978.93"/>
  </r>
  <r>
    <x v="2"/>
    <x v="1"/>
    <x v="0"/>
    <s v="2575200"/>
    <n v="450040"/>
    <s v="Contr Allow--Phys Svcs--BCBS Mgnd Care"/>
    <s v="Gen Surg-Mt Rainier-Gen Surg"/>
    <x v="0"/>
    <n v="1401"/>
    <n v="24111.39"/>
    <n v="4165.45"/>
    <n v="26500.95"/>
    <n v="-65076.53"/>
    <n v="-11670.9"/>
    <n v="42329.59"/>
    <n v="82416.429999999993"/>
    <n v="40048.43"/>
    <n v="21708.720000000001"/>
    <n v="-20305.04"/>
    <n v="74799.77"/>
    <n v="-33997.230000000003"/>
    <n v="185031.03"/>
    <n v="108797"/>
  </r>
  <r>
    <x v="2"/>
    <x v="1"/>
    <x v="0"/>
    <s v="2575200"/>
    <n v="450040"/>
    <s v="Prompt Pay Disc-Phys Svcs-Self Pay"/>
    <s v="Gen Surg-Mt Rainier-Gen Surg"/>
    <x v="0"/>
    <n v="1500"/>
    <n v="170.31"/>
    <n v="0"/>
    <n v="0"/>
    <n v="0"/>
    <n v="0"/>
    <n v="0"/>
    <n v="0"/>
    <n v="0"/>
    <n v="0"/>
    <n v="0"/>
    <n v="0"/>
    <n v="0"/>
    <n v="170.31"/>
    <n v="0"/>
  </r>
  <r>
    <x v="2"/>
    <x v="1"/>
    <x v="0"/>
    <s v="2575200"/>
    <n v="450040"/>
    <s v="Admin Adjust-Phys Svcs-Self Pay"/>
    <s v="Gen Surg-Mt Rainier-Gen Surg"/>
    <x v="0"/>
    <n v="1600"/>
    <n v="1640.87"/>
    <n v="9179.26"/>
    <n v="8626.01"/>
    <n v="1337.85"/>
    <n v="16892.89"/>
    <n v="891.05"/>
    <n v="1028.04"/>
    <n v="197.3"/>
    <n v="1799.39"/>
    <n v="84006.56"/>
    <n v="21798.31"/>
    <n v="6502.45"/>
    <n v="153899.98000000001"/>
    <n v="15295.86"/>
  </r>
  <r>
    <x v="2"/>
    <x v="1"/>
    <x v="0"/>
    <s v="2575200"/>
    <n v="450040"/>
    <s v="Contr Allow--Phys Svcs--Other"/>
    <s v="Gen Surg-Mt Rainier-Gen Surg"/>
    <x v="0"/>
    <n v="1700"/>
    <n v="11319.54"/>
    <n v="26699.03"/>
    <n v="968.07"/>
    <n v="4433.3100000000004"/>
    <n v="14334.55"/>
    <n v="3644.94"/>
    <n v="21857.91"/>
    <n v="1108.83"/>
    <n v="5386.95"/>
    <n v="8756.25"/>
    <n v="8894.99"/>
    <n v="1500.18"/>
    <n v="108904.55"/>
    <n v="7394.8099999999995"/>
  </r>
  <r>
    <x v="3"/>
    <x v="1"/>
    <x v="0"/>
    <s v="2575200"/>
    <n v="470040"/>
    <s v="Charity Care-Physician Svcs"/>
    <s v="Gen Surg-Mt Rainier-Gen Surg"/>
    <x v="0"/>
    <m/>
    <n v="3497.87"/>
    <n v="12221"/>
    <n v="2738.91"/>
    <n v="2774.56"/>
    <n v="7132.99"/>
    <n v="2101.41"/>
    <n v="9265.4"/>
    <n v="4844.29"/>
    <n v="38298.35"/>
    <n v="12748.68"/>
    <n v="705.18"/>
    <n v="20098.16"/>
    <n v="116426.79999999999"/>
    <n v="-19392.98"/>
  </r>
  <r>
    <x v="4"/>
    <x v="1"/>
    <x v="0"/>
    <s v="2575200"/>
    <n v="490010"/>
    <s v="Provision for Bad Debts"/>
    <s v="Gen Surg-Mt Rainier-Gen Surg"/>
    <x v="0"/>
    <m/>
    <n v="14195.27"/>
    <n v="2294.4"/>
    <n v="5305.93"/>
    <n v="-10924.04"/>
    <n v="6113.87"/>
    <n v="7532.32"/>
    <n v="6753.62"/>
    <n v="-4042.17"/>
    <n v="6336.22"/>
    <n v="-2049.38"/>
    <n v="11664.92"/>
    <n v="1641.61"/>
    <n v="44822.57"/>
    <n v="10023.31"/>
  </r>
  <r>
    <x v="14"/>
    <x v="1"/>
    <x v="0"/>
    <s v="2575200"/>
    <n v="600050"/>
    <s v="Miscellaneous Revenue"/>
    <s v="Gen Surg-Mt Rainier-Gen Surg"/>
    <x v="0"/>
    <m/>
    <n v="-22938.46"/>
    <n v="-13176.92"/>
    <n v="-9638.4599999999991"/>
    <n v="-30938.46"/>
    <n v="-15738.46"/>
    <n v="-10407.69"/>
    <n v="-31638.46"/>
    <n v="-24276.94"/>
    <n v="-9369.23"/>
    <n v="-22569.24"/>
    <n v="-27246.16"/>
    <n v="-6969.24"/>
    <n v="-224907.71999999997"/>
    <n v="-20276.919999999998"/>
  </r>
  <r>
    <x v="5"/>
    <x v="1"/>
    <x v="0"/>
    <s v="2575200"/>
    <n v="700014"/>
    <s v="Salaries-Management-Productive"/>
    <s v="Gen Surg-Mt Rainier-Gen Surg"/>
    <x v="0"/>
    <m/>
    <n v="0"/>
    <n v="0"/>
    <n v="0"/>
    <n v="0"/>
    <n v="0"/>
    <n v="0"/>
    <n v="0"/>
    <n v="6239.91"/>
    <n v="0"/>
    <n v="0"/>
    <n v="0"/>
    <n v="0"/>
    <n v="6239.91"/>
    <n v="0"/>
  </r>
  <r>
    <x v="5"/>
    <x v="1"/>
    <x v="0"/>
    <s v="2575200"/>
    <n v="700018"/>
    <s v="Salaries-Supervisory-Productive"/>
    <s v="Gen Surg-Mt Rainier-Gen Surg"/>
    <x v="0"/>
    <m/>
    <n v="3212.59"/>
    <n v="4516.37"/>
    <n v="3338.4"/>
    <n v="4088.88"/>
    <n v="-1372.16"/>
    <n v="0"/>
    <n v="0"/>
    <n v="0"/>
    <n v="0"/>
    <n v="0"/>
    <n v="0"/>
    <n v="0"/>
    <n v="13784.080000000002"/>
    <n v="0"/>
  </r>
  <r>
    <x v="5"/>
    <x v="1"/>
    <x v="0"/>
    <s v="2575200"/>
    <n v="700020"/>
    <s v="Salaries-Physician Admin-Other"/>
    <s v="Gen Surg-Mt Rainier-Gen Surg"/>
    <x v="0"/>
    <n v="2000"/>
    <n v="7638.46"/>
    <n v="13176.92"/>
    <n v="7638.46"/>
    <n v="30038.46"/>
    <n v="7638.46"/>
    <n v="10407.69"/>
    <n v="31638.46"/>
    <n v="17076.939999999999"/>
    <n v="5769.23"/>
    <n v="22569.24"/>
    <n v="22446.16"/>
    <n v="6969.26"/>
    <n v="183007.74000000002"/>
    <n v="15476.9"/>
  </r>
  <r>
    <x v="5"/>
    <x v="1"/>
    <x v="0"/>
    <s v="2575200"/>
    <n v="700022"/>
    <s v="Salaries-Physician-Productive"/>
    <s v="Gen Surg-Mt Rainier-Gen Surg"/>
    <x v="0"/>
    <m/>
    <n v="179420.44"/>
    <n v="227122.16"/>
    <n v="122689.79"/>
    <n v="148299.04999999999"/>
    <n v="118023.95"/>
    <n v="106097.68"/>
    <n v="123700.78"/>
    <n v="103095.86"/>
    <n v="135562.17000000001"/>
    <n v="132700.64000000001"/>
    <n v="143912.35"/>
    <n v="120209.97"/>
    <n v="1660834.84"/>
    <n v="23702.380000000005"/>
  </r>
  <r>
    <x v="5"/>
    <x v="1"/>
    <x v="0"/>
    <s v="2575200"/>
    <n v="700022"/>
    <s v="Salaries-Physician-Other"/>
    <s v="Gen Surg-Mt Rainier-Gen Surg"/>
    <x v="0"/>
    <n v="2000"/>
    <n v="15300"/>
    <n v="0"/>
    <n v="2000"/>
    <n v="900"/>
    <n v="8100"/>
    <n v="0"/>
    <n v="0"/>
    <n v="7200"/>
    <n v="3600"/>
    <n v="0"/>
    <n v="38769.24"/>
    <n v="0"/>
    <n v="75869.239999999991"/>
    <n v="38769.24"/>
  </r>
  <r>
    <x v="5"/>
    <x v="1"/>
    <x v="0"/>
    <s v="2575200"/>
    <n v="700024"/>
    <s v="Salaries-Advanced Practice Clinician-Productive"/>
    <s v="Gen Surg-Mt Rainier-Gen Surg"/>
    <x v="0"/>
    <m/>
    <n v="0"/>
    <n v="0"/>
    <n v="0"/>
    <n v="0"/>
    <n v="8461.56"/>
    <n v="7573.09"/>
    <n v="9364.2900000000009"/>
    <n v="7880.79"/>
    <n v="8431.61"/>
    <n v="8092.63"/>
    <n v="9490.86"/>
    <n v="4236.9799999999996"/>
    <n v="63531.81"/>
    <n v="5253.880000000001"/>
  </r>
  <r>
    <x v="5"/>
    <x v="1"/>
    <x v="0"/>
    <s v="2575200"/>
    <n v="700026"/>
    <s v="Salaries-RN-Productive"/>
    <s v="Gen Surg-Mt Rainier-Gen Surg"/>
    <x v="0"/>
    <m/>
    <n v="5811.2"/>
    <n v="4939.5200000000004"/>
    <n v="5506.91"/>
    <n v="6844.42"/>
    <n v="16637.53"/>
    <n v="9687.27"/>
    <n v="13791.99"/>
    <n v="11332.25"/>
    <n v="13839.06"/>
    <n v="13461.64"/>
    <n v="4344.54"/>
    <n v="5095.22"/>
    <n v="111291.54999999999"/>
    <n v="-750.68000000000029"/>
  </r>
  <r>
    <x v="5"/>
    <x v="1"/>
    <x v="0"/>
    <s v="2575200"/>
    <n v="700030"/>
    <s v="Salaries-LPN-Productive"/>
    <s v="Gen Surg-Mt Rainier-Gen Surg"/>
    <x v="0"/>
    <m/>
    <n v="1880.08"/>
    <n v="4592.2"/>
    <n v="3518.85"/>
    <n v="4288.67"/>
    <n v="3158.93"/>
    <n v="3389.7"/>
    <n v="4075.79"/>
    <n v="2815.23"/>
    <n v="3970.82"/>
    <n v="4304.72"/>
    <n v="4412.75"/>
    <n v="3502.69"/>
    <n v="43910.43"/>
    <n v="910.06"/>
  </r>
  <r>
    <x v="5"/>
    <x v="1"/>
    <x v="0"/>
    <s v="2575200"/>
    <n v="700030"/>
    <s v="Salaries-LPN-OT"/>
    <s v="Gen Surg-Mt Rainier-Gen Surg"/>
    <x v="0"/>
    <n v="1000"/>
    <n v="0"/>
    <n v="0"/>
    <n v="0"/>
    <n v="0"/>
    <n v="0"/>
    <n v="0"/>
    <n v="0"/>
    <n v="137.47999999999999"/>
    <n v="-39.270000000000003"/>
    <n v="0"/>
    <n v="0"/>
    <n v="0"/>
    <n v="98.20999999999998"/>
    <n v="0"/>
  </r>
  <r>
    <x v="5"/>
    <x v="1"/>
    <x v="0"/>
    <s v="2575200"/>
    <n v="700032"/>
    <s v="Salaries-Other Pat Care Providers-Productive"/>
    <s v="Gen Surg-Mt Rainier-Gen Surg"/>
    <x v="0"/>
    <m/>
    <n v="3322.22"/>
    <n v="3527.55"/>
    <n v="2845.74"/>
    <n v="4154.6499999999996"/>
    <n v="1528.02"/>
    <n v="3859.08"/>
    <n v="3749.64"/>
    <n v="3165.23"/>
    <n v="2956.27"/>
    <n v="3523"/>
    <n v="3550.56"/>
    <n v="3454.59"/>
    <n v="39636.550000000003"/>
    <n v="95.9699999999998"/>
  </r>
  <r>
    <x v="5"/>
    <x v="1"/>
    <x v="0"/>
    <s v="2575200"/>
    <n v="700032"/>
    <s v="Salaries-Other Pat Care Providers-OT"/>
    <s v="Gen Surg-Mt Rainier-Gen Surg"/>
    <x v="0"/>
    <n v="1000"/>
    <n v="97.94"/>
    <n v="83.72"/>
    <n v="0"/>
    <n v="181.18"/>
    <n v="-52.44"/>
    <n v="49.97"/>
    <n v="153.46"/>
    <n v="137.86000000000001"/>
    <n v="52.53"/>
    <n v="80.44"/>
    <n v="75.510000000000005"/>
    <n v="106.7"/>
    <n v="966.87000000000012"/>
    <n v="-31.189999999999998"/>
  </r>
  <r>
    <x v="5"/>
    <x v="1"/>
    <x v="0"/>
    <s v="2575200"/>
    <n v="700032"/>
    <s v="Salaries-Other Pat Care Providers-Other"/>
    <s v="Gen Surg-Mt Rainier-Gen Surg"/>
    <x v="0"/>
    <n v="2000"/>
    <n v="0"/>
    <n v="0"/>
    <n v="0"/>
    <n v="0"/>
    <n v="13"/>
    <n v="2.25"/>
    <n v="0"/>
    <n v="0"/>
    <n v="0"/>
    <n v="0"/>
    <n v="8.01"/>
    <n v="14.77"/>
    <n v="38.03"/>
    <n v="-6.76"/>
  </r>
  <r>
    <x v="5"/>
    <x v="1"/>
    <x v="0"/>
    <s v="2575200"/>
    <n v="700054"/>
    <s v="Salaries-Management-NonProd-Other"/>
    <s v="Gen Surg-Mt Rainier-Gen Surg"/>
    <x v="0"/>
    <n v="2000"/>
    <n v="0"/>
    <n v="0"/>
    <n v="0"/>
    <n v="0"/>
    <n v="0"/>
    <n v="443.64"/>
    <n v="-443.64"/>
    <n v="0"/>
    <n v="0"/>
    <n v="0"/>
    <n v="0"/>
    <n v="0"/>
    <n v="0"/>
    <n v="0"/>
  </r>
  <r>
    <x v="5"/>
    <x v="1"/>
    <x v="0"/>
    <s v="2575200"/>
    <n v="700058"/>
    <s v="Salaries-Supervisory-Non-productive"/>
    <s v="Gen Surg-Mt Rainier-Gen Surg"/>
    <x v="0"/>
    <m/>
    <n v="944.88"/>
    <n v="0"/>
    <n v="667.68"/>
    <n v="617.47"/>
    <n v="-274.43"/>
    <n v="0"/>
    <n v="0"/>
    <n v="0"/>
    <n v="0"/>
    <n v="0"/>
    <n v="0"/>
    <n v="0"/>
    <n v="1955.5999999999997"/>
    <n v="0"/>
  </r>
  <r>
    <x v="5"/>
    <x v="1"/>
    <x v="0"/>
    <s v="2575200"/>
    <n v="700062"/>
    <s v="Salaries-Physician-Non-productive"/>
    <s v="Gen Surg-Mt Rainier-Gen Surg"/>
    <x v="0"/>
    <m/>
    <n v="35539.4"/>
    <n v="2241"/>
    <n v="6417.88"/>
    <n v="-837.72"/>
    <n v="25929.5"/>
    <n v="31575.88"/>
    <n v="18789.71"/>
    <n v="31344.09"/>
    <n v="2274.15"/>
    <n v="11794.06"/>
    <n v="9088.16"/>
    <n v="18344.11"/>
    <n v="192500.21999999997"/>
    <n v="-9255.9500000000007"/>
  </r>
  <r>
    <x v="5"/>
    <x v="1"/>
    <x v="0"/>
    <s v="2575200"/>
    <n v="700064"/>
    <s v="Salaries-Advanced Practice Clinician-Non-Productive"/>
    <s v="Gen Surg-Mt Rainier-Gen Surg"/>
    <x v="0"/>
    <m/>
    <n v="0"/>
    <n v="0"/>
    <n v="0"/>
    <n v="0"/>
    <n v="438.92"/>
    <n v="1779.07"/>
    <n v="846.73"/>
    <n v="1051.8"/>
    <n v="926.97"/>
    <n v="1686.05"/>
    <n v="710.71"/>
    <n v="4690.05"/>
    <n v="12130.3"/>
    <n v="-3979.34"/>
  </r>
  <r>
    <x v="5"/>
    <x v="1"/>
    <x v="0"/>
    <s v="2575200"/>
    <n v="700066"/>
    <s v="Salaries-RN-Non-productive"/>
    <s v="Gen Surg-Mt Rainier-Gen Surg"/>
    <x v="0"/>
    <m/>
    <n v="581.12"/>
    <n v="1625.32"/>
    <n v="726.4"/>
    <n v="-145.28"/>
    <n v="965.87"/>
    <n v="4311.0600000000004"/>
    <n v="1562.99"/>
    <n v="2019.08"/>
    <n v="179.84"/>
    <n v="1224.79"/>
    <n v="11009.51"/>
    <n v="8256.1"/>
    <n v="32316.799999999996"/>
    <n v="2753.41"/>
  </r>
  <r>
    <x v="5"/>
    <x v="1"/>
    <x v="0"/>
    <s v="2575200"/>
    <n v="700066"/>
    <s v="Salaries-RN-NonProd-Other"/>
    <s v="Gen Surg-Mt Rainier-Gen Surg"/>
    <x v="0"/>
    <n v="2000"/>
    <n v="0"/>
    <n v="0"/>
    <n v="0"/>
    <n v="0"/>
    <n v="252"/>
    <n v="0"/>
    <n v="0"/>
    <n v="-252"/>
    <n v="0"/>
    <n v="0"/>
    <n v="0"/>
    <n v="0"/>
    <n v="0"/>
    <n v="0"/>
  </r>
  <r>
    <x v="5"/>
    <x v="1"/>
    <x v="0"/>
    <s v="2575200"/>
    <n v="700070"/>
    <s v="Salaries-LPN-Non-productive"/>
    <s v="Gen Surg-Mt Rainier-Gen Surg"/>
    <x v="0"/>
    <m/>
    <n v="2425.92"/>
    <n v="-202.16"/>
    <n v="202.16"/>
    <n v="126.35"/>
    <n v="1183.29"/>
    <n v="444.55"/>
    <n v="235.73"/>
    <n v="419.03"/>
    <n v="157.13"/>
    <n v="0"/>
    <n v="0"/>
    <n v="261.88"/>
    <n v="5253.8799999999992"/>
    <n v="-261.88"/>
  </r>
  <r>
    <x v="5"/>
    <x v="1"/>
    <x v="0"/>
    <s v="2575200"/>
    <n v="700070"/>
    <s v="Salaries-LPN-NonProd-Other"/>
    <s v="Gen Surg-Mt Rainier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5200"/>
    <n v="700072"/>
    <s v="Salaries-Other Pat Care Providers-Non-productive"/>
    <s v="Gen Surg-Mt Rainier-Gen Surg"/>
    <x v="0"/>
    <m/>
    <n v="384.35"/>
    <n v="347.49"/>
    <n v="542.29"/>
    <n v="-163.21"/>
    <n v="2665.7"/>
    <n v="-104.88"/>
    <n v="280.19"/>
    <n v="213.35"/>
    <n v="700.22"/>
    <n v="0"/>
    <n v="700.22"/>
    <n v="328.23"/>
    <n v="5893.9500000000007"/>
    <n v="371.99"/>
  </r>
  <r>
    <x v="5"/>
    <x v="1"/>
    <x v="0"/>
    <s v="2575200"/>
    <n v="700072"/>
    <s v="Salaries-Other Pat Care Providers-NonProd-Other"/>
    <s v="Gen Surg-Mt Rainier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5200"/>
    <n v="700084"/>
    <s v="Accrued PTO"/>
    <s v="Gen Surg-Mt Rainier-Gen Surg"/>
    <x v="0"/>
    <m/>
    <n v="-2175.65"/>
    <n v="1025"/>
    <n v="12.71"/>
    <n v="3192.49"/>
    <n v="-597.46"/>
    <n v="-2468.44"/>
    <n v="245.33"/>
    <n v="-286.64"/>
    <n v="1218.4100000000001"/>
    <n v="1462.66"/>
    <n v="-967.71"/>
    <n v="-8898.15"/>
    <n v="-8237.4500000000007"/>
    <n v="7930.44"/>
  </r>
  <r>
    <x v="6"/>
    <x v="1"/>
    <x v="0"/>
    <s v="2575200"/>
    <n v="713010"/>
    <s v="Benefits-FICA/Medicare"/>
    <s v="Gen Surg-Mt Rainier-Gen Surg"/>
    <x v="0"/>
    <m/>
    <n v="5107.97"/>
    <n v="4952.28"/>
    <n v="3252.01"/>
    <n v="4462.46"/>
    <n v="4586.5"/>
    <n v="9211.33"/>
    <n v="15553.4"/>
    <n v="11595.62"/>
    <n v="6293.61"/>
    <n v="4480.13"/>
    <n v="5894.36"/>
    <n v="4359.42"/>
    <n v="79749.090000000011"/>
    <n v="1534.9399999999996"/>
  </r>
  <r>
    <x v="6"/>
    <x v="1"/>
    <x v="0"/>
    <s v="2575200"/>
    <n v="713090"/>
    <s v="Benefits-Allocated Amounts"/>
    <s v="Gen Surg-Mt Rainier-Gen Surg"/>
    <x v="0"/>
    <m/>
    <n v="0"/>
    <n v="0"/>
    <n v="0"/>
    <n v="0"/>
    <n v="0"/>
    <n v="0"/>
    <n v="0"/>
    <n v="0"/>
    <n v="72822.600000000006"/>
    <n v="8279.7000000000007"/>
    <n v="10070.51"/>
    <n v="8334.5400000000009"/>
    <n v="99507.35"/>
    <n v="1735.9699999999993"/>
  </r>
  <r>
    <x v="6"/>
    <x v="1"/>
    <x v="0"/>
    <s v="2575200"/>
    <n v="713092"/>
    <s v="Allocated Benefits-Physician"/>
    <s v="Gen Surg-Mt Rainier-Gen Surg"/>
    <x v="0"/>
    <m/>
    <n v="12722.17"/>
    <n v="11456.02"/>
    <n v="8984.18"/>
    <n v="9951.82"/>
    <n v="10624.54"/>
    <n v="11807.09"/>
    <n v="13946.68"/>
    <n v="13622.06"/>
    <n v="-33749.75"/>
    <n v="6749.61"/>
    <n v="8209.4500000000007"/>
    <n v="6794.3"/>
    <n v="81118.17"/>
    <n v="1415.1500000000005"/>
  </r>
  <r>
    <x v="6"/>
    <x v="1"/>
    <x v="0"/>
    <s v="2575200"/>
    <n v="713093"/>
    <s v="Allocated Benefits-Advanced Practice Clinician"/>
    <s v="Gen Surg-Mt Rainier-Gen Surg"/>
    <x v="0"/>
    <m/>
    <n v="3619.06"/>
    <n v="3258.87"/>
    <n v="2555.71"/>
    <n v="2830.98"/>
    <n v="3022.34"/>
    <n v="3358.75"/>
    <n v="3967.39"/>
    <n v="3875.04"/>
    <n v="-20465.080000000002"/>
    <n v="684.81"/>
    <n v="832.92"/>
    <n v="689.34"/>
    <n v="8230.1299999999974"/>
    <n v="143.57999999999993"/>
  </r>
  <r>
    <x v="6"/>
    <x v="1"/>
    <x v="0"/>
    <s v="2575200"/>
    <n v="713096"/>
    <s v="Employee Recognition"/>
    <s v="Gen Surg-Mt Rainier-Gen Surg"/>
    <x v="0"/>
    <n v="1017"/>
    <n v="0"/>
    <n v="0"/>
    <n v="0"/>
    <n v="0"/>
    <n v="0"/>
    <n v="31.98"/>
    <n v="0"/>
    <n v="0"/>
    <n v="0"/>
    <n v="0"/>
    <n v="0"/>
    <n v="0"/>
    <n v="31.98"/>
    <n v="0"/>
  </r>
  <r>
    <x v="7"/>
    <x v="1"/>
    <x v="0"/>
    <s v="2575200"/>
    <n v="718050"/>
    <s v="Miscellaneous Purchased Svcs"/>
    <s v="Gen Surg-Mt Rainier-Gen Surg"/>
    <x v="0"/>
    <n v="1020"/>
    <n v="104.41"/>
    <n v="-112.03"/>
    <n v="111.31"/>
    <n v="79.08"/>
    <n v="163.16"/>
    <n v="84.6"/>
    <n v="111.15"/>
    <n v="102.04"/>
    <n v="141.71"/>
    <n v="9.26"/>
    <n v="183.3"/>
    <n v="119.87"/>
    <n v="1097.8600000000001"/>
    <n v="63.430000000000007"/>
  </r>
  <r>
    <x v="0"/>
    <x v="1"/>
    <x v="0"/>
    <s v="2575200"/>
    <n v="740023"/>
    <s v="Education-Advanced Practice Clinician"/>
    <s v="Gen Surg-Mt Rainier-Gen Surg"/>
    <x v="0"/>
    <m/>
    <n v="0"/>
    <n v="0"/>
    <n v="0"/>
    <n v="0"/>
    <n v="0"/>
    <n v="0"/>
    <n v="0"/>
    <n v="0"/>
    <n v="0"/>
    <n v="0"/>
    <n v="0"/>
    <n v="894.99"/>
    <n v="894.99"/>
    <n v="-894.99"/>
  </r>
  <r>
    <x v="8"/>
    <x v="1"/>
    <x v="0"/>
    <s v="2575200"/>
    <n v="741012"/>
    <s v="Physician Liab Insurance-CHI Program"/>
    <s v="Gen Surg-Mt Rainier-Gen Surg"/>
    <x v="0"/>
    <m/>
    <n v="5684.01"/>
    <n v="5684.01"/>
    <n v="5684.01"/>
    <n v="5684.01"/>
    <n v="5684.01"/>
    <n v="5683.98"/>
    <n v="5684.01"/>
    <n v="5683.98"/>
    <n v="5684.01"/>
    <n v="5683.98"/>
    <n v="5684.01"/>
    <n v="5683.98"/>
    <n v="68208.000000000015"/>
    <n v="3.0000000000654836E-2"/>
  </r>
  <r>
    <x v="0"/>
    <x v="1"/>
    <x v="0"/>
    <s v="2575200"/>
    <n v="743020"/>
    <s v="Dues--Individual"/>
    <s v="Gen Surg-Mt Rainier-Gen Surg"/>
    <x v="0"/>
    <m/>
    <n v="0"/>
    <n v="0"/>
    <n v="0"/>
    <n v="0"/>
    <n v="0"/>
    <n v="500"/>
    <n v="0"/>
    <n v="0"/>
    <n v="0"/>
    <n v="0"/>
    <n v="0"/>
    <n v="0"/>
    <n v="500"/>
    <n v="0"/>
  </r>
  <r>
    <x v="0"/>
    <x v="1"/>
    <x v="0"/>
    <s v="2575200"/>
    <n v="743022"/>
    <s v="Dues-Physician"/>
    <s v="Gen Surg-Mt Rainier-Gen Surg"/>
    <x v="0"/>
    <m/>
    <n v="0"/>
    <n v="0"/>
    <n v="0"/>
    <n v="0"/>
    <n v="0"/>
    <n v="0"/>
    <n v="0"/>
    <n v="495"/>
    <n v="0"/>
    <n v="18"/>
    <n v="0"/>
    <n v="0"/>
    <n v="513"/>
    <n v="0"/>
  </r>
  <r>
    <x v="0"/>
    <x v="1"/>
    <x v="0"/>
    <s v="2575200"/>
    <n v="743023"/>
    <s v="Dues-Advanced Practice Clinician"/>
    <s v="Gen Surg-Mt Rainier-Gen Surg"/>
    <x v="0"/>
    <m/>
    <n v="0"/>
    <n v="0"/>
    <n v="0"/>
    <n v="0"/>
    <n v="0"/>
    <n v="0"/>
    <n v="0"/>
    <n v="0"/>
    <n v="0"/>
    <n v="0"/>
    <n v="0"/>
    <n v="280.25"/>
    <n v="280.25"/>
    <n v="-280.25"/>
  </r>
  <r>
    <x v="0"/>
    <x v="1"/>
    <x v="0"/>
    <s v="2575200"/>
    <n v="743043"/>
    <s v="Subscriptions-Advanced Practice Clinician"/>
    <s v="Gen Surg-Mt Rainier-Gen Surg"/>
    <x v="0"/>
    <m/>
    <n v="0"/>
    <n v="0"/>
    <n v="0"/>
    <n v="0"/>
    <n v="0"/>
    <n v="72.38"/>
    <n v="0"/>
    <n v="0"/>
    <n v="0"/>
    <n v="0"/>
    <n v="0"/>
    <n v="0"/>
    <n v="72.38"/>
    <n v="0"/>
  </r>
  <r>
    <x v="0"/>
    <x v="1"/>
    <x v="0"/>
    <s v="2575200"/>
    <n v="749510"/>
    <s v="Miscellaneous Expenses"/>
    <s v="Gen Surg-Mt Rainier-Gen Surg"/>
    <x v="0"/>
    <m/>
    <n v="-2787.06"/>
    <n v="0"/>
    <n v="0"/>
    <n v="0"/>
    <n v="0"/>
    <n v="15"/>
    <n v="0"/>
    <n v="0"/>
    <n v="-15"/>
    <n v="0"/>
    <n v="0"/>
    <n v="0"/>
    <n v="-2787.06"/>
    <n v="0"/>
  </r>
  <r>
    <x v="0"/>
    <x v="1"/>
    <x v="0"/>
    <s v="2575200"/>
    <n v="749512"/>
    <s v="Licenses-Physician"/>
    <s v="Gen Surg-Mt Rainier-Gen Surg"/>
    <x v="0"/>
    <n v="2000"/>
    <n v="0"/>
    <n v="0"/>
    <n v="0"/>
    <n v="0"/>
    <n v="731"/>
    <n v="0"/>
    <n v="0"/>
    <n v="0"/>
    <n v="0"/>
    <n v="0"/>
    <n v="659.5"/>
    <n v="0"/>
    <n v="1390.5"/>
    <n v="659.5"/>
  </r>
  <r>
    <x v="0"/>
    <x v="1"/>
    <x v="0"/>
    <s v="2575200"/>
    <n v="749532"/>
    <s v="Travel-Physician"/>
    <s v="Gen Surg-Mt Rainier-Gen Surg"/>
    <x v="0"/>
    <m/>
    <n v="1893.11"/>
    <n v="0"/>
    <n v="0"/>
    <n v="0"/>
    <n v="0"/>
    <n v="0"/>
    <n v="737.58"/>
    <n v="0"/>
    <n v="0"/>
    <n v="396.59"/>
    <n v="0"/>
    <n v="0"/>
    <n v="3027.28"/>
    <n v="0"/>
  </r>
  <r>
    <x v="9"/>
    <x v="1"/>
    <x v="0"/>
    <s v="2575200"/>
    <n v="800015"/>
    <s v="Interest Income-Ext to CHI"/>
    <s v="Gen Surg-Mt Rainier-Gen Surg"/>
    <x v="0"/>
    <m/>
    <n v="0"/>
    <n v="0"/>
    <n v="0"/>
    <n v="0"/>
    <n v="-22.26"/>
    <n v="-50.87"/>
    <n v="-48.65"/>
    <n v="-41.95"/>
    <n v="-44.23"/>
    <n v="-40.659999999999997"/>
    <n v="-39.81"/>
    <n v="-36.380000000000003"/>
    <n v="-324.81"/>
    <n v="-3.4299999999999997"/>
  </r>
  <r>
    <x v="1"/>
    <x v="1"/>
    <x v="0"/>
    <s v="2576200"/>
    <n v="400029"/>
    <s v="MD Practice Other Rev--Medicare"/>
    <s v="Endocrinology-Tacoma-Endo"/>
    <x v="0"/>
    <n v="1100"/>
    <n v="-8263"/>
    <n v="-12531"/>
    <n v="-8333"/>
    <n v="-11975"/>
    <n v="-5262"/>
    <n v="-8187"/>
    <n v="-8314"/>
    <n v="-4485"/>
    <n v="-7814"/>
    <n v="-5435"/>
    <n v="-6269"/>
    <n v="-4977"/>
    <n v="-91845"/>
    <n v="-1292"/>
  </r>
  <r>
    <x v="1"/>
    <x v="1"/>
    <x v="0"/>
    <s v="2576200"/>
    <n v="400029"/>
    <s v="MD Practice Other Rev--Medicaid"/>
    <s v="Endocrinology-Tacoma-Endo"/>
    <x v="0"/>
    <n v="1200"/>
    <n v="-4204"/>
    <n v="-4450"/>
    <n v="-3567"/>
    <n v="-4927"/>
    <n v="-2886"/>
    <n v="-4076"/>
    <n v="-3537"/>
    <n v="-2562"/>
    <n v="-4304"/>
    <n v="-2843"/>
    <n v="-2621"/>
    <n v="-2919"/>
    <n v="-42896"/>
    <n v="298"/>
  </r>
  <r>
    <x v="1"/>
    <x v="1"/>
    <x v="0"/>
    <s v="2576200"/>
    <n v="400029"/>
    <s v="MD Practice Other Rev--Comm Insurance"/>
    <s v="Endocrinology-Tacoma-Endo"/>
    <x v="0"/>
    <n v="1300"/>
    <n v="-230"/>
    <n v="-541"/>
    <n v="-452"/>
    <n v="-249"/>
    <n v="-351"/>
    <n v="-311"/>
    <n v="-271"/>
    <n v="-516"/>
    <n v="-1217"/>
    <n v="-855"/>
    <n v="-429"/>
    <n v="-480"/>
    <n v="-5902"/>
    <n v="51"/>
  </r>
  <r>
    <x v="1"/>
    <x v="1"/>
    <x v="0"/>
    <s v="2576200"/>
    <n v="400029"/>
    <s v="MD Practice Other Rev--BCBS Comm"/>
    <s v="Endocrinology-Tacoma-Endo"/>
    <x v="0"/>
    <n v="1301"/>
    <n v="-250"/>
    <n v="-1518"/>
    <n v="-3879"/>
    <n v="-3678"/>
    <n v="-2456"/>
    <n v="-2216"/>
    <n v="-1223"/>
    <n v="-856"/>
    <n v="-1461"/>
    <n v="-1681"/>
    <n v="-1272"/>
    <n v="-486"/>
    <n v="-20976"/>
    <n v="-786"/>
  </r>
  <r>
    <x v="1"/>
    <x v="1"/>
    <x v="0"/>
    <s v="2576200"/>
    <n v="400029"/>
    <s v="MD Practice Other Rev--Managed Care"/>
    <s v="Endocrinology-Tacoma-Endo"/>
    <x v="0"/>
    <n v="1400"/>
    <n v="-6421"/>
    <n v="-6111"/>
    <n v="-5202"/>
    <n v="-8197"/>
    <n v="-5940"/>
    <n v="-6686"/>
    <n v="-3879"/>
    <n v="-5078"/>
    <n v="-4510"/>
    <n v="-3678"/>
    <n v="-3496"/>
    <n v="-2826"/>
    <n v="-62024"/>
    <n v="-670"/>
  </r>
  <r>
    <x v="1"/>
    <x v="1"/>
    <x v="0"/>
    <s v="2576200"/>
    <n v="400029"/>
    <s v="MD Practice Other Rev--Self Pay"/>
    <s v="Endocrinology-Tacoma-Endo"/>
    <x v="0"/>
    <n v="1500"/>
    <n v="-478"/>
    <n v="-200"/>
    <n v="-27"/>
    <n v="-69"/>
    <n v="-9"/>
    <n v="-171"/>
    <n v="-218"/>
    <n v="56"/>
    <n v="-513"/>
    <n v="-348"/>
    <n v="-75"/>
    <n v="-465"/>
    <n v="-2517"/>
    <n v="390"/>
  </r>
  <r>
    <x v="1"/>
    <x v="1"/>
    <x v="0"/>
    <s v="2576200"/>
    <n v="400029"/>
    <s v="MD Practice Other Rev--Other"/>
    <s v="Endocrinology-Tacoma-Endo"/>
    <x v="0"/>
    <n v="1700"/>
    <n v="-678"/>
    <n v="-207"/>
    <n v="-297"/>
    <n v="-579"/>
    <n v="-1884"/>
    <n v="-665"/>
    <n v="-408"/>
    <n v="-369"/>
    <n v="-357"/>
    <n v="-177"/>
    <n v="-642"/>
    <n v="-201"/>
    <n v="-6464"/>
    <n v="-441"/>
  </r>
  <r>
    <x v="1"/>
    <x v="1"/>
    <x v="0"/>
    <s v="2576200"/>
    <n v="400040"/>
    <s v="Physician Svcs Rev--Medicare"/>
    <s v="Endocrinology-Tacoma-Endo"/>
    <x v="0"/>
    <n v="1100"/>
    <n v="-186526.53"/>
    <n v="-202353.01"/>
    <n v="-148788"/>
    <n v="-202997"/>
    <n v="-194585"/>
    <n v="-201796"/>
    <n v="-207569.5"/>
    <n v="-156466"/>
    <n v="-212159.5"/>
    <n v="-218926"/>
    <n v="-219169.5"/>
    <n v="-195221.33"/>
    <n v="-2346557.37"/>
    <n v="-23948.170000000013"/>
  </r>
  <r>
    <x v="1"/>
    <x v="1"/>
    <x v="0"/>
    <s v="2576200"/>
    <n v="400040"/>
    <s v="Physician Svcs Rev--Medicaid"/>
    <s v="Endocrinology-Tacoma-Endo"/>
    <x v="0"/>
    <n v="1200"/>
    <n v="-104974.51"/>
    <n v="-106535"/>
    <n v="-102049"/>
    <n v="-117048"/>
    <n v="-93055"/>
    <n v="-113334.5"/>
    <n v="-113552.5"/>
    <n v="-84526"/>
    <n v="-115292"/>
    <n v="-108621.5"/>
    <n v="-108708"/>
    <n v="-94352.2"/>
    <n v="-1262048.21"/>
    <n v="-14355.800000000003"/>
  </r>
  <r>
    <x v="1"/>
    <x v="1"/>
    <x v="0"/>
    <s v="2576200"/>
    <n v="400040"/>
    <s v="Physician Svcs Rev--Comm Insurance"/>
    <s v="Endocrinology-Tacoma-Endo"/>
    <x v="0"/>
    <n v="1300"/>
    <n v="-12077"/>
    <n v="-21300"/>
    <n v="-15632"/>
    <n v="-19284"/>
    <n v="-16102"/>
    <n v="-16515.5"/>
    <n v="-15877"/>
    <n v="-13671"/>
    <n v="-19935"/>
    <n v="-15887"/>
    <n v="-14768"/>
    <n v="-17396"/>
    <n v="-198444.5"/>
    <n v="2628"/>
  </r>
  <r>
    <x v="1"/>
    <x v="1"/>
    <x v="0"/>
    <s v="2576200"/>
    <n v="400040"/>
    <s v="Physician Svcs Rev--BCBS Comm"/>
    <s v="Endocrinology-Tacoma-Endo"/>
    <x v="0"/>
    <n v="1301"/>
    <n v="-39491"/>
    <n v="-39862"/>
    <n v="-37585.599999999999"/>
    <n v="-40391"/>
    <n v="-36559"/>
    <n v="-38411"/>
    <n v="-41964"/>
    <n v="-33593"/>
    <n v="-40545"/>
    <n v="-45695"/>
    <n v="-44227"/>
    <n v="-32162.2"/>
    <n v="-470485.8"/>
    <n v="-12064.8"/>
  </r>
  <r>
    <x v="1"/>
    <x v="1"/>
    <x v="0"/>
    <s v="2576200"/>
    <n v="400040"/>
    <s v="Physician Svcs Rev--Managed Care"/>
    <s v="Endocrinology-Tacoma-Endo"/>
    <x v="0"/>
    <n v="1400"/>
    <n v="-126198.5"/>
    <n v="-137219"/>
    <n v="-115349"/>
    <n v="-162462.5"/>
    <n v="-148673"/>
    <n v="-134896"/>
    <n v="-169476"/>
    <n v="-132298"/>
    <n v="-154059.5"/>
    <n v="-181696"/>
    <n v="-156154.5"/>
    <n v="-153326.20000000001"/>
    <n v="-1771808.2"/>
    <n v="-2828.2999999999884"/>
  </r>
  <r>
    <x v="1"/>
    <x v="1"/>
    <x v="0"/>
    <s v="2576200"/>
    <n v="400040"/>
    <s v="Physician Svcs Rev--Self Pay"/>
    <s v="Endocrinology-Tacoma-Endo"/>
    <x v="0"/>
    <n v="1500"/>
    <n v="-3191"/>
    <n v="-4060.5"/>
    <n v="-4898.5"/>
    <n v="-7431"/>
    <n v="-4135"/>
    <n v="-7467"/>
    <n v="-4057"/>
    <n v="-5040"/>
    <n v="-7554"/>
    <n v="-7164.45"/>
    <n v="-9050"/>
    <n v="-7179"/>
    <n v="-71227.45"/>
    <n v="-1871"/>
  </r>
  <r>
    <x v="1"/>
    <x v="1"/>
    <x v="0"/>
    <s v="2576200"/>
    <n v="400040"/>
    <s v="Physician Svcs Rev--Other"/>
    <s v="Endocrinology-Tacoma-Endo"/>
    <x v="0"/>
    <n v="1700"/>
    <n v="-11809"/>
    <n v="-16643"/>
    <n v="-12811"/>
    <n v="-13569"/>
    <n v="-12773"/>
    <n v="-16201"/>
    <n v="-18388"/>
    <n v="-10828"/>
    <n v="-15541"/>
    <n v="-12159"/>
    <n v="-14191"/>
    <n v="-12209"/>
    <n v="-167122"/>
    <n v="-1982"/>
  </r>
  <r>
    <x v="2"/>
    <x v="1"/>
    <x v="0"/>
    <s v="2576200"/>
    <n v="450029"/>
    <s v="Contr Allow--MD Other-Medicare"/>
    <s v="Endocrinology-Tacoma-Endo"/>
    <x v="0"/>
    <n v="1100"/>
    <n v="5983.64"/>
    <n v="6959.92"/>
    <n v="6635.44"/>
    <n v="7789.9"/>
    <n v="6095.12"/>
    <n v="4424.1099999999997"/>
    <n v="5415.41"/>
    <n v="3944.61"/>
    <n v="4244.18"/>
    <n v="5344.95"/>
    <n v="3866.28"/>
    <n v="4827.2700000000004"/>
    <n v="65530.83"/>
    <n v="-960.99000000000024"/>
  </r>
  <r>
    <x v="2"/>
    <x v="1"/>
    <x v="0"/>
    <s v="2576200"/>
    <n v="450029"/>
    <s v="Contr Allow--MD Other-Medicaid"/>
    <s v="Endocrinology-Tacoma-Endo"/>
    <x v="0"/>
    <n v="1200"/>
    <n v="2270.14"/>
    <n v="5328.12"/>
    <n v="1830.14"/>
    <n v="2682.89"/>
    <n v="3345.97"/>
    <n v="1967.38"/>
    <n v="2901.68"/>
    <n v="1740.18"/>
    <n v="2408.5300000000002"/>
    <n v="2788.69"/>
    <n v="982.19"/>
    <n v="2765.19"/>
    <n v="31011.099999999995"/>
    <n v="-1783"/>
  </r>
  <r>
    <x v="2"/>
    <x v="1"/>
    <x v="0"/>
    <s v="2576200"/>
    <n v="450029"/>
    <s v="Contr Allow--MD Other-Comm Insurance"/>
    <s v="Endocrinology-Tacoma-Endo"/>
    <x v="0"/>
    <n v="1300"/>
    <n v="170.82"/>
    <n v="104.69"/>
    <n v="232.47"/>
    <n v="129.06"/>
    <n v="141.91"/>
    <n v="124.35"/>
    <n v="87.44"/>
    <n v="99.17"/>
    <n v="504.29"/>
    <n v="180.95"/>
    <n v="187.14"/>
    <n v="563.91999999999996"/>
    <n v="2526.21"/>
    <n v="-376.78"/>
  </r>
  <r>
    <x v="2"/>
    <x v="1"/>
    <x v="0"/>
    <s v="2576200"/>
    <n v="450029"/>
    <s v="Contr Allow--MD Other BCBS Comm"/>
    <s v="Endocrinology-Tacoma-Endo"/>
    <x v="0"/>
    <n v="1301"/>
    <n v="508.9"/>
    <n v="1024.17"/>
    <n v="908.63"/>
    <n v="1303.29"/>
    <n v="745.5"/>
    <n v="776.58"/>
    <n v="1048.26"/>
    <n v="293.8"/>
    <n v="473"/>
    <n v="741.75"/>
    <n v="748.48"/>
    <n v="498.47"/>
    <n v="9070.83"/>
    <n v="250.01"/>
  </r>
  <r>
    <x v="2"/>
    <x v="1"/>
    <x v="0"/>
    <s v="2576200"/>
    <n v="450029"/>
    <s v="Contr Allow--MD Other-Managed Care"/>
    <s v="Endocrinology-Tacoma-Endo"/>
    <x v="0"/>
    <n v="1400"/>
    <n v="2278.52"/>
    <n v="3948.72"/>
    <n v="2050"/>
    <n v="2386.86"/>
    <n v="4430.12"/>
    <n v="3045.44"/>
    <n v="2584.8200000000002"/>
    <n v="1566.43"/>
    <n v="3138.24"/>
    <n v="2435.6999999999998"/>
    <n v="3219.25"/>
    <n v="2992.21"/>
    <n v="34076.310000000005"/>
    <n v="227.03999999999996"/>
  </r>
  <r>
    <x v="2"/>
    <x v="1"/>
    <x v="0"/>
    <s v="2576200"/>
    <n v="450029"/>
    <s v="Prompt Pay Disc-MD Other-Self Pay"/>
    <s v="Endocrinology-Tacoma-Endo"/>
    <x v="0"/>
    <n v="1500"/>
    <n v="0"/>
    <n v="0"/>
    <n v="0"/>
    <n v="0"/>
    <n v="0"/>
    <n v="7.03"/>
    <n v="0"/>
    <n v="0"/>
    <n v="0"/>
    <n v="0"/>
    <n v="0"/>
    <n v="0"/>
    <n v="7.03"/>
    <n v="0"/>
  </r>
  <r>
    <x v="2"/>
    <x v="1"/>
    <x v="0"/>
    <s v="2576200"/>
    <n v="450029"/>
    <s v="Admin Adjust-MD Other-Self Pay"/>
    <s v="Endocrinology-Tacoma-Endo"/>
    <x v="0"/>
    <n v="1600"/>
    <n v="265.48"/>
    <n v="126.61"/>
    <n v="359.64"/>
    <n v="91.46"/>
    <n v="60.26"/>
    <n v="88.91"/>
    <n v="169.08"/>
    <n v="-11.98"/>
    <n v="307.51"/>
    <n v="180.76"/>
    <n v="57.4"/>
    <n v="332.86"/>
    <n v="2027.9900000000002"/>
    <n v="-275.46000000000004"/>
  </r>
  <r>
    <x v="2"/>
    <x v="1"/>
    <x v="0"/>
    <s v="2576200"/>
    <n v="450029"/>
    <s v="Contr Allow--MD Other-Other"/>
    <s v="Endocrinology-Tacoma-Endo"/>
    <x v="0"/>
    <n v="1700"/>
    <n v="467.87"/>
    <n v="529.04"/>
    <n v="134.46"/>
    <n v="192.36"/>
    <n v="137.63999999999999"/>
    <n v="346.13"/>
    <n v="1553.73"/>
    <n v="211.17"/>
    <n v="230.25"/>
    <n v="343.98"/>
    <n v="174.49"/>
    <n v="482.2"/>
    <n v="4803.32"/>
    <n v="-307.70999999999998"/>
  </r>
  <r>
    <x v="2"/>
    <x v="1"/>
    <x v="0"/>
    <s v="2576200"/>
    <n v="450040"/>
    <s v="Contr Allow--Phys Svcs--Mcare"/>
    <s v="Endocrinology-Tacoma-Endo"/>
    <x v="0"/>
    <n v="1100"/>
    <n v="124094.78"/>
    <n v="119878.26"/>
    <n v="102184.45"/>
    <n v="129390.39"/>
    <n v="131579.99"/>
    <n v="124053.71"/>
    <n v="132389.79999999999"/>
    <n v="111329.8"/>
    <n v="126052.25"/>
    <n v="139289.4"/>
    <n v="143653.73000000001"/>
    <n v="141056.9"/>
    <n v="1524953.4599999997"/>
    <n v="2596.8300000000163"/>
  </r>
  <r>
    <x v="2"/>
    <x v="1"/>
    <x v="0"/>
    <s v="2576200"/>
    <n v="450040"/>
    <s v="Contr Allow--Phys Svcs--Mcaid"/>
    <s v="Endocrinology-Tacoma-Endo"/>
    <x v="0"/>
    <n v="1200"/>
    <n v="73705.919999999998"/>
    <n v="97085.04"/>
    <n v="75459.64"/>
    <n v="94407.8"/>
    <n v="68778.149999999994"/>
    <n v="73114.240000000005"/>
    <n v="95176.1"/>
    <n v="66029.39"/>
    <n v="80304"/>
    <n v="98443.47"/>
    <n v="73490.740000000005"/>
    <n v="79733.81"/>
    <n v="975728.29999999981"/>
    <n v="-6243.0699999999924"/>
  </r>
  <r>
    <x v="2"/>
    <x v="1"/>
    <x v="0"/>
    <s v="2576200"/>
    <n v="450040"/>
    <s v="Contr Allow--Phys Svcs--Comm Insurance"/>
    <s v="Endocrinology-Tacoma-Endo"/>
    <x v="0"/>
    <n v="1300"/>
    <n v="5984.65"/>
    <n v="6953.8"/>
    <n v="7771.43"/>
    <n v="8895.1299999999992"/>
    <n v="7306.47"/>
    <n v="5995.49"/>
    <n v="6243.16"/>
    <n v="3929.73"/>
    <n v="7660.73"/>
    <n v="5266.64"/>
    <n v="6359.55"/>
    <n v="7606.81"/>
    <n v="79973.590000000011"/>
    <n v="-1247.2600000000002"/>
  </r>
  <r>
    <x v="2"/>
    <x v="1"/>
    <x v="0"/>
    <s v="2576200"/>
    <n v="450040"/>
    <s v="Contr Allow--Phys Svcs--BCBS Comm Ins"/>
    <s v="Endocrinology-Tacoma-Endo"/>
    <x v="0"/>
    <n v="1301"/>
    <n v="10777.38"/>
    <n v="13586.87"/>
    <n v="9445.8700000000008"/>
    <n v="8700.36"/>
    <n v="9137.0300000000007"/>
    <n v="11584"/>
    <n v="8618.42"/>
    <n v="8936.85"/>
    <n v="12002.53"/>
    <n v="11019.89"/>
    <n v="10668.43"/>
    <n v="10921.73"/>
    <n v="125399.36"/>
    <n v="-253.29999999999927"/>
  </r>
  <r>
    <x v="2"/>
    <x v="1"/>
    <x v="0"/>
    <s v="2576200"/>
    <n v="450040"/>
    <s v="Contr Allow--Phys Svcs--Managed Care"/>
    <s v="Endocrinology-Tacoma-Endo"/>
    <x v="0"/>
    <n v="1400"/>
    <n v="44618.75"/>
    <n v="47969.74"/>
    <n v="37767.589999999997"/>
    <n v="46773.17"/>
    <n v="60490.94"/>
    <n v="42889.56"/>
    <n v="52824.15"/>
    <n v="48339.25"/>
    <n v="53798.42"/>
    <n v="51916.65"/>
    <n v="68695.009999999995"/>
    <n v="50648.13"/>
    <n v="606731.36"/>
    <n v="18046.879999999997"/>
  </r>
  <r>
    <x v="2"/>
    <x v="1"/>
    <x v="0"/>
    <s v="2576200"/>
    <n v="450040"/>
    <s v="Contr Allow--Phys Svcs--BCBS Mgnd Care"/>
    <s v="Endocrinology-Tacoma-Endo"/>
    <x v="0"/>
    <n v="1401"/>
    <n v="-9090.42"/>
    <n v="-4962.6099999999997"/>
    <n v="1013.98"/>
    <n v="13362.98"/>
    <n v="-17810.39"/>
    <n v="22211.54"/>
    <n v="28925.67"/>
    <n v="-1387.51"/>
    <n v="18035.27"/>
    <n v="-5262.44"/>
    <n v="-6113.29"/>
    <n v="-24056.3"/>
    <n v="14866.48"/>
    <n v="17943.009999999998"/>
  </r>
  <r>
    <x v="2"/>
    <x v="1"/>
    <x v="0"/>
    <s v="2576200"/>
    <n v="450040"/>
    <s v="Prompt Pay Disc-Phys Svcs-Self Pay"/>
    <s v="Endocrinology-Tacoma-Endo"/>
    <x v="0"/>
    <n v="1500"/>
    <n v="0"/>
    <n v="0"/>
    <n v="0"/>
    <n v="0"/>
    <n v="0"/>
    <n v="182.16"/>
    <n v="0"/>
    <n v="0"/>
    <n v="0"/>
    <n v="0"/>
    <n v="0"/>
    <n v="152.66999999999999"/>
    <n v="334.83"/>
    <n v="-152.66999999999999"/>
  </r>
  <r>
    <x v="2"/>
    <x v="1"/>
    <x v="0"/>
    <s v="2576200"/>
    <n v="450040"/>
    <s v="Admin Adjust-Phys Svcs-Self Pay"/>
    <s v="Endocrinology-Tacoma-Endo"/>
    <x v="0"/>
    <n v="1600"/>
    <n v="1142.72"/>
    <n v="1583.71"/>
    <n v="3030.46"/>
    <n v="3454.02"/>
    <n v="2147.19"/>
    <n v="3236.94"/>
    <n v="2508.4699999999998"/>
    <n v="2013.99"/>
    <n v="3693.88"/>
    <n v="3067.6"/>
    <n v="4214.79"/>
    <n v="2895.52"/>
    <n v="32989.29"/>
    <n v="1319.27"/>
  </r>
  <r>
    <x v="2"/>
    <x v="1"/>
    <x v="0"/>
    <s v="2576200"/>
    <n v="450040"/>
    <s v="Contr Allow--Phys Svcs--Other"/>
    <s v="Endocrinology-Tacoma-Endo"/>
    <x v="0"/>
    <n v="1700"/>
    <n v="13554.22"/>
    <n v="7002.17"/>
    <n v="8509.7800000000007"/>
    <n v="10325.879999999999"/>
    <n v="7443.63"/>
    <n v="8657.0400000000009"/>
    <n v="8988.34"/>
    <n v="8308.02"/>
    <n v="7102.28"/>
    <n v="15035.26"/>
    <n v="7451.71"/>
    <n v="8852.32"/>
    <n v="111230.65"/>
    <n v="-1400.6099999999997"/>
  </r>
  <r>
    <x v="3"/>
    <x v="1"/>
    <x v="0"/>
    <s v="2576200"/>
    <n v="470040"/>
    <s v="Charity Care-Physician Svcs"/>
    <s v="Endocrinology-Tacoma-Endo"/>
    <x v="0"/>
    <m/>
    <n v="1416.86"/>
    <n v="5125.37"/>
    <n v="2280.83"/>
    <n v="4568.6099999999997"/>
    <n v="1344.16"/>
    <n v="2694.8"/>
    <n v="3854.68"/>
    <n v="1961.75"/>
    <n v="11032.91"/>
    <n v="7542.9"/>
    <n v="5418.9"/>
    <n v="7247.02"/>
    <n v="54488.790000000008"/>
    <n v="-1828.1200000000008"/>
  </r>
  <r>
    <x v="4"/>
    <x v="1"/>
    <x v="0"/>
    <s v="2576200"/>
    <n v="490010"/>
    <s v="Provision for Bad Debts"/>
    <s v="Endocrinology-Tacoma-Endo"/>
    <x v="0"/>
    <m/>
    <n v="5145.84"/>
    <n v="5257.43"/>
    <n v="4589.07"/>
    <n v="7207.11"/>
    <n v="6859.96"/>
    <n v="2839.76"/>
    <n v="4472.17"/>
    <n v="1917.43"/>
    <n v="5436.87"/>
    <n v="3807.58"/>
    <n v="3904.85"/>
    <n v="252.97"/>
    <n v="51691.040000000001"/>
    <n v="3651.88"/>
  </r>
  <r>
    <x v="14"/>
    <x v="1"/>
    <x v="0"/>
    <s v="2576200"/>
    <n v="600050"/>
    <s v="Miscellaneous Revenue"/>
    <s v="Endocrinology-Tacoma-Endo"/>
    <x v="0"/>
    <m/>
    <n v="0"/>
    <n v="0"/>
    <n v="-24143.5"/>
    <n v="0"/>
    <n v="-5831.25"/>
    <n v="0"/>
    <n v="0"/>
    <n v="-505"/>
    <n v="0"/>
    <n v="0"/>
    <n v="0"/>
    <n v="-12943.75"/>
    <n v="-43423.5"/>
    <n v="12943.75"/>
  </r>
  <r>
    <x v="5"/>
    <x v="1"/>
    <x v="0"/>
    <s v="2576200"/>
    <n v="700022"/>
    <s v="Salaries-Physician-Productive"/>
    <s v="Endocrinology-Tacoma-Endo"/>
    <x v="0"/>
    <m/>
    <n v="112575.92"/>
    <n v="116011.85"/>
    <n v="96066.66"/>
    <n v="125610.06"/>
    <n v="130177.08"/>
    <n v="99875.1"/>
    <n v="125887.93"/>
    <n v="100850.56"/>
    <n v="125312.85"/>
    <n v="128327.75"/>
    <n v="105644.17"/>
    <n v="109122.88"/>
    <n v="1375462.81"/>
    <n v="-3478.7100000000064"/>
  </r>
  <r>
    <x v="5"/>
    <x v="1"/>
    <x v="0"/>
    <s v="2576200"/>
    <n v="700022"/>
    <s v="Salaries-Physician-Other"/>
    <s v="Endocrinology-Tacoma-Endo"/>
    <x v="0"/>
    <n v="2000"/>
    <n v="0"/>
    <n v="942.43"/>
    <n v="0"/>
    <n v="0"/>
    <n v="0"/>
    <n v="0"/>
    <n v="0"/>
    <n v="0"/>
    <n v="0"/>
    <n v="0"/>
    <n v="0"/>
    <n v="0"/>
    <n v="942.43"/>
    <n v="0"/>
  </r>
  <r>
    <x v="5"/>
    <x v="1"/>
    <x v="0"/>
    <s v="2576200"/>
    <n v="700022"/>
    <s v="Salaries-Physician-Provider Incentive"/>
    <s v="Endocrinology-Tacoma-Endo"/>
    <x v="0"/>
    <n v="4003"/>
    <n v="0"/>
    <n v="1000"/>
    <n v="0"/>
    <n v="0"/>
    <n v="500"/>
    <n v="0"/>
    <n v="0"/>
    <n v="500.73"/>
    <n v="0"/>
    <n v="0"/>
    <n v="501.46"/>
    <n v="-0.73"/>
    <n v="2501.46"/>
    <n v="502.19"/>
  </r>
  <r>
    <x v="5"/>
    <x v="1"/>
    <x v="0"/>
    <s v="2576200"/>
    <n v="700024"/>
    <s v="Salaries-Advanced Practice Clinician-Productive"/>
    <s v="Endocrinology-Tacoma-Endo"/>
    <x v="0"/>
    <m/>
    <n v="8898.19"/>
    <n v="14281.31"/>
    <n v="11687.89"/>
    <n v="13710.43"/>
    <n v="15262.94"/>
    <n v="7852.62"/>
    <n v="14061.02"/>
    <n v="10858.78"/>
    <n v="12867.09"/>
    <n v="9390.09"/>
    <n v="14085.61"/>
    <n v="9894.9500000000007"/>
    <n v="142850.92000000001"/>
    <n v="4190.66"/>
  </r>
  <r>
    <x v="5"/>
    <x v="1"/>
    <x v="0"/>
    <s v="2576200"/>
    <n v="700024"/>
    <s v="Salaries-Advanced Practice Clinician-Provider Incentive"/>
    <s v="Endocrinology-Tacoma-Endo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576200"/>
    <n v="700026"/>
    <s v="Salaries-RN-Productive"/>
    <s v="Endocrinology-Tacoma-Endo"/>
    <x v="0"/>
    <m/>
    <n v="10418.44"/>
    <n v="12536.45"/>
    <n v="9974.61"/>
    <n v="15939.08"/>
    <n v="18067.18"/>
    <n v="13650.36"/>
    <n v="12802.57"/>
    <n v="10406.66"/>
    <n v="11516.83"/>
    <n v="17856.330000000002"/>
    <n v="17018.64"/>
    <n v="11096.49"/>
    <n v="161283.64000000001"/>
    <n v="5922.15"/>
  </r>
  <r>
    <x v="5"/>
    <x v="1"/>
    <x v="0"/>
    <s v="2576200"/>
    <n v="700026"/>
    <s v="Salaries-RN-OT"/>
    <s v="Endocrinology-Tacoma-Endo"/>
    <x v="0"/>
    <n v="1000"/>
    <n v="41.73"/>
    <n v="224.95"/>
    <n v="8.5399999999999991"/>
    <n v="423.36"/>
    <n v="132.86000000000001"/>
    <n v="167.35"/>
    <n v="284.33"/>
    <n v="-81"/>
    <n v="264.24"/>
    <n v="134.13"/>
    <n v="97.28"/>
    <n v="10.57"/>
    <n v="1708.3400000000001"/>
    <n v="86.710000000000008"/>
  </r>
  <r>
    <x v="5"/>
    <x v="1"/>
    <x v="0"/>
    <s v="2576200"/>
    <n v="700026"/>
    <s v="Salaries-RN-Other"/>
    <s v="Endocrinology-Tacoma-Endo"/>
    <x v="0"/>
    <n v="2000"/>
    <n v="0"/>
    <n v="0"/>
    <n v="0"/>
    <n v="30"/>
    <n v="0"/>
    <n v="0"/>
    <n v="0"/>
    <n v="0"/>
    <n v="0"/>
    <n v="0"/>
    <n v="0"/>
    <n v="0"/>
    <n v="30"/>
    <n v="0"/>
  </r>
  <r>
    <x v="5"/>
    <x v="1"/>
    <x v="0"/>
    <s v="2576200"/>
    <n v="700030"/>
    <s v="Salaries-LPN-Productive"/>
    <s v="Endocrinology-Tacoma-Endo"/>
    <x v="0"/>
    <m/>
    <n v="3104.5"/>
    <n v="5642.13"/>
    <n v="4642.9799999999996"/>
    <n v="5628.34"/>
    <n v="5207.34"/>
    <n v="4555.07"/>
    <n v="5840.27"/>
    <n v="4447.26"/>
    <n v="5284.22"/>
    <n v="5718.61"/>
    <n v="5318.34"/>
    <n v="4982.8100000000004"/>
    <n v="60371.87000000001"/>
    <n v="335.52999999999975"/>
  </r>
  <r>
    <x v="5"/>
    <x v="1"/>
    <x v="0"/>
    <s v="2576200"/>
    <n v="700030"/>
    <s v="Salaries-LPN-OT"/>
    <s v="Endocrinology-Tacoma-Endo"/>
    <x v="0"/>
    <n v="1000"/>
    <n v="175.18"/>
    <n v="232.37"/>
    <n v="529.17999999999995"/>
    <n v="812.62"/>
    <n v="818.36"/>
    <n v="40.61"/>
    <n v="627.84"/>
    <n v="47.33"/>
    <n v="726.25"/>
    <n v="1096.23"/>
    <n v="6.24"/>
    <n v="722.52"/>
    <n v="5834.73"/>
    <n v="-716.28"/>
  </r>
  <r>
    <x v="5"/>
    <x v="1"/>
    <x v="0"/>
    <s v="2576200"/>
    <n v="700030"/>
    <s v="Salaries-LPN-Other"/>
    <s v="Endocrinology-Tacoma-Endo"/>
    <x v="0"/>
    <n v="2000"/>
    <n v="0"/>
    <n v="0"/>
    <n v="0"/>
    <n v="0"/>
    <n v="0"/>
    <n v="126.47"/>
    <n v="0"/>
    <n v="0"/>
    <n v="0"/>
    <n v="0"/>
    <n v="0"/>
    <n v="0"/>
    <n v="126.47"/>
    <n v="0"/>
  </r>
  <r>
    <x v="5"/>
    <x v="1"/>
    <x v="0"/>
    <s v="2576200"/>
    <n v="700032"/>
    <s v="Salaries-Other Pat Care Providers-Productive"/>
    <s v="Endocrinology-Tacoma-Endo"/>
    <x v="0"/>
    <m/>
    <n v="26691.040000000001"/>
    <n v="33691.79"/>
    <n v="27377.57"/>
    <n v="35747.43"/>
    <n v="35808.42"/>
    <n v="22978.67"/>
    <n v="35728.559999999998"/>
    <n v="28926.63"/>
    <n v="36071.629999999997"/>
    <n v="33614.07"/>
    <n v="36934.910000000003"/>
    <n v="30433.82"/>
    <n v="384004.54"/>
    <n v="6501.0900000000038"/>
  </r>
  <r>
    <x v="5"/>
    <x v="1"/>
    <x v="0"/>
    <s v="2576200"/>
    <n v="700032"/>
    <s v="Salaries-Other Pat Care Providers-OT"/>
    <s v="Endocrinology-Tacoma-Endo"/>
    <x v="0"/>
    <n v="1000"/>
    <n v="1737.18"/>
    <n v="1319.34"/>
    <n v="1309.43"/>
    <n v="2193.9499999999998"/>
    <n v="1629.34"/>
    <n v="816.18"/>
    <n v="1774.67"/>
    <n v="139.55000000000001"/>
    <n v="976.94"/>
    <n v="1068.17"/>
    <n v="1284.1600000000001"/>
    <n v="648.77"/>
    <n v="14897.68"/>
    <n v="635.3900000000001"/>
  </r>
  <r>
    <x v="5"/>
    <x v="1"/>
    <x v="0"/>
    <s v="2576200"/>
    <n v="700032"/>
    <s v="Salaries-Other Pat Care Providers-Other"/>
    <s v="Endocrinology-Tacoma-Endo"/>
    <x v="0"/>
    <n v="2000"/>
    <n v="0"/>
    <n v="0"/>
    <n v="0"/>
    <n v="0"/>
    <n v="20.25"/>
    <n v="0.5"/>
    <n v="5.01"/>
    <n v="7.36"/>
    <n v="-2.1"/>
    <n v="0"/>
    <n v="0"/>
    <n v="30.04"/>
    <n v="61.059999999999995"/>
    <n v="-30.04"/>
  </r>
  <r>
    <x v="5"/>
    <x v="1"/>
    <x v="0"/>
    <s v="2576200"/>
    <n v="700054"/>
    <s v="Salaries-Management-NonProd-Other"/>
    <s v="Endocrinology-Tacoma-Endo"/>
    <x v="0"/>
    <n v="2000"/>
    <n v="0"/>
    <n v="0"/>
    <n v="0"/>
    <n v="0"/>
    <n v="0"/>
    <n v="55.2"/>
    <n v="-55.2"/>
    <n v="0"/>
    <n v="0"/>
    <n v="0"/>
    <n v="0"/>
    <n v="0"/>
    <n v="0"/>
    <n v="0"/>
  </r>
  <r>
    <x v="5"/>
    <x v="1"/>
    <x v="0"/>
    <s v="2576200"/>
    <n v="700062"/>
    <s v="Salaries-Physician-Non-productive"/>
    <s v="Endocrinology-Tacoma-Endo"/>
    <x v="0"/>
    <m/>
    <n v="11210.1"/>
    <n v="22833.95"/>
    <n v="21531.81"/>
    <n v="9628.16"/>
    <n v="-2225.15"/>
    <n v="22276.54"/>
    <n v="7937.44"/>
    <n v="19974.740000000002"/>
    <n v="772.81"/>
    <n v="3737.01"/>
    <n v="32457.5"/>
    <n v="10926.88"/>
    <n v="161061.79"/>
    <n v="21530.620000000003"/>
  </r>
  <r>
    <x v="5"/>
    <x v="1"/>
    <x v="0"/>
    <s v="2576200"/>
    <n v="700062"/>
    <s v="Salaries-Physician-NonProd-Other"/>
    <s v="Endocrinology-Tacoma-End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6200"/>
    <n v="700064"/>
    <s v="Salaries-Advanced Practice Clinician-Non-Productive"/>
    <s v="Endocrinology-Tacoma-Endo"/>
    <x v="0"/>
    <m/>
    <n v="6232.71"/>
    <n v="164.41"/>
    <n v="772.73"/>
    <n v="0"/>
    <n v="0"/>
    <n v="3906.03"/>
    <n v="1282.05"/>
    <n v="1860.28"/>
    <n v="-310.04000000000002"/>
    <n v="3764.89"/>
    <n v="775.12"/>
    <n v="1554.04"/>
    <n v="20002.22"/>
    <n v="-778.92"/>
  </r>
  <r>
    <x v="5"/>
    <x v="1"/>
    <x v="0"/>
    <s v="2576200"/>
    <n v="700066"/>
    <s v="Salaries-RN-Non-productive"/>
    <s v="Endocrinology-Tacoma-Endo"/>
    <x v="0"/>
    <m/>
    <n v="2120.69"/>
    <n v="560.9"/>
    <n v="1393.2"/>
    <n v="2938.64"/>
    <n v="172.11"/>
    <n v="1745.45"/>
    <n v="2930.6"/>
    <n v="1019.29"/>
    <n v="999.72"/>
    <n v="265.58999999999997"/>
    <n v="1739.97"/>
    <n v="5200.5200000000004"/>
    <n v="21086.68"/>
    <n v="-3460.55"/>
  </r>
  <r>
    <x v="5"/>
    <x v="1"/>
    <x v="0"/>
    <s v="2576200"/>
    <n v="700066"/>
    <s v="Salaries-RN-NonProd-Other"/>
    <s v="Endocrinology-Tacoma-Endo"/>
    <x v="0"/>
    <n v="2000"/>
    <n v="0"/>
    <n v="0"/>
    <n v="0"/>
    <n v="0"/>
    <n v="107.7"/>
    <n v="-42.57"/>
    <n v="0"/>
    <n v="0"/>
    <n v="0"/>
    <n v="0"/>
    <n v="0"/>
    <n v="7.53"/>
    <n v="72.66"/>
    <n v="-7.53"/>
  </r>
  <r>
    <x v="5"/>
    <x v="1"/>
    <x v="0"/>
    <s v="2576200"/>
    <n v="700070"/>
    <s v="Salaries-LPN-Non-productive"/>
    <s v="Endocrinology-Tacoma-Endo"/>
    <x v="0"/>
    <m/>
    <n v="0"/>
    <n v="316.29000000000002"/>
    <n v="502.82"/>
    <n v="-32.44"/>
    <n v="713.68"/>
    <n v="584.62"/>
    <n v="411.11"/>
    <n v="531.5"/>
    <n v="398.62"/>
    <n v="-132.87"/>
    <n v="631.17999999999995"/>
    <n v="240.82"/>
    <n v="4165.33"/>
    <n v="390.35999999999996"/>
  </r>
  <r>
    <x v="5"/>
    <x v="1"/>
    <x v="0"/>
    <s v="2576200"/>
    <n v="700070"/>
    <s v="Salaries-LPN-NonProd-Other"/>
    <s v="Endocrinology-Tacoma-Endo"/>
    <x v="0"/>
    <n v="2000"/>
    <n v="9.73"/>
    <n v="10.54"/>
    <n v="44.61"/>
    <n v="72.989999999999995"/>
    <n v="99.88"/>
    <n v="136.84"/>
    <n v="170.23"/>
    <n v="137.88"/>
    <n v="252.48"/>
    <n v="185.99"/>
    <n v="162.77000000000001"/>
    <n v="199.32"/>
    <n v="1483.26"/>
    <n v="-36.549999999999983"/>
  </r>
  <r>
    <x v="5"/>
    <x v="1"/>
    <x v="0"/>
    <s v="2576200"/>
    <n v="700072"/>
    <s v="Salaries-Other Pat Care Providers-Non-productive"/>
    <s v="Endocrinology-Tacoma-Endo"/>
    <x v="0"/>
    <m/>
    <n v="9265.26"/>
    <n v="4111.2"/>
    <n v="4741.12"/>
    <n v="4433.2299999999996"/>
    <n v="3522.95"/>
    <n v="11534.09"/>
    <n v="5191.0600000000004"/>
    <n v="7106.36"/>
    <n v="415.11"/>
    <n v="4894.7"/>
    <n v="5247.4"/>
    <n v="1865.86"/>
    <n v="62328.34"/>
    <n v="3381.54"/>
  </r>
  <r>
    <x v="5"/>
    <x v="1"/>
    <x v="0"/>
    <s v="2576200"/>
    <n v="700072"/>
    <s v="Salaries-Other Pat Care Providers-NonProd-Other"/>
    <s v="Endocrinology-Tacoma-Endo"/>
    <x v="0"/>
    <n v="2000"/>
    <n v="25.02"/>
    <n v="44.27"/>
    <n v="72.400000000000006"/>
    <n v="28.81"/>
    <n v="50.18"/>
    <n v="98.66"/>
    <n v="66.87"/>
    <n v="-5.85"/>
    <n v="31.19"/>
    <n v="10.88"/>
    <n v="47.44"/>
    <n v="23.42"/>
    <n v="493.29"/>
    <n v="24.019999999999996"/>
  </r>
  <r>
    <x v="5"/>
    <x v="1"/>
    <x v="0"/>
    <s v="2576200"/>
    <n v="700084"/>
    <s v="Accrued PTO"/>
    <s v="Endocrinology-Tacoma-Endo"/>
    <x v="0"/>
    <m/>
    <n v="-2869.14"/>
    <n v="2540.84"/>
    <n v="-1412.94"/>
    <n v="2001.15"/>
    <n v="4688.3599999999997"/>
    <n v="-3648.75"/>
    <n v="24.46"/>
    <n v="1140.42"/>
    <n v="3171.84"/>
    <n v="2168.8200000000002"/>
    <n v="443.22"/>
    <n v="-876.64"/>
    <n v="7371.64"/>
    <n v="1319.8600000000001"/>
  </r>
  <r>
    <x v="6"/>
    <x v="1"/>
    <x v="0"/>
    <s v="2576200"/>
    <n v="713010"/>
    <s v="Benefits-FICA/Medicare"/>
    <s v="Endocrinology-Tacoma-Endo"/>
    <x v="0"/>
    <m/>
    <n v="7469.44"/>
    <n v="7513.89"/>
    <n v="6339.24"/>
    <n v="8041.08"/>
    <n v="7104.06"/>
    <n v="10450.49"/>
    <n v="16086.9"/>
    <n v="14024.42"/>
    <n v="14619.83"/>
    <n v="14712.56"/>
    <n v="12957.32"/>
    <n v="8928.19"/>
    <n v="128247.42000000001"/>
    <n v="4029.1299999999992"/>
  </r>
  <r>
    <x v="6"/>
    <x v="1"/>
    <x v="0"/>
    <s v="2576200"/>
    <n v="713090"/>
    <s v="Benefits-Allocated Amounts"/>
    <s v="Endocrinology-Tacoma-Endo"/>
    <x v="0"/>
    <m/>
    <n v="0"/>
    <n v="0"/>
    <n v="0"/>
    <n v="0"/>
    <n v="0"/>
    <n v="0"/>
    <n v="0"/>
    <n v="0"/>
    <n v="144327.97"/>
    <n v="17097.75"/>
    <n v="17567.16"/>
    <n v="16867.46"/>
    <n v="195860.34"/>
    <n v="699.70000000000073"/>
  </r>
  <r>
    <x v="6"/>
    <x v="1"/>
    <x v="0"/>
    <s v="2576200"/>
    <n v="713092"/>
    <s v="Allocated Benefits-Physician"/>
    <s v="Endocrinology-Tacoma-Endo"/>
    <x v="0"/>
    <m/>
    <n v="18168.599999999999"/>
    <n v="17184.98"/>
    <n v="17170.349999999999"/>
    <n v="18819.72"/>
    <n v="19293.72"/>
    <n v="18839.71"/>
    <n v="22441.86"/>
    <n v="20773.939999999999"/>
    <n v="-87817.96"/>
    <n v="7685.38"/>
    <n v="7896.37"/>
    <n v="7581.87"/>
    <n v="88038.54"/>
    <n v="314.5"/>
  </r>
  <r>
    <x v="6"/>
    <x v="1"/>
    <x v="0"/>
    <s v="2576200"/>
    <n v="713093"/>
    <s v="Allocated Benefits-Advanced Practice Clinician"/>
    <s v="Endocrinology-Tacoma-Endo"/>
    <x v="0"/>
    <m/>
    <n v="4720.41"/>
    <n v="4464.8500000000004"/>
    <n v="4461.05"/>
    <n v="4889.58"/>
    <n v="5012.72"/>
    <n v="4894.7700000000004"/>
    <n v="5830.66"/>
    <n v="5397.3"/>
    <n v="-29740.49"/>
    <n v="1176.46"/>
    <n v="1208.75"/>
    <n v="1160.6099999999999"/>
    <n v="13476.670000000002"/>
    <n v="48.1400000000001"/>
  </r>
  <r>
    <x v="7"/>
    <x v="1"/>
    <x v="0"/>
    <s v="2576200"/>
    <n v="718050"/>
    <s v="Miscellaneous Purchased Svcs"/>
    <s v="Endocrinology-Tacoma-Endo"/>
    <x v="0"/>
    <n v="1020"/>
    <n v="50.19"/>
    <n v="-53.79"/>
    <n v="53.37"/>
    <n v="37.97"/>
    <n v="78.34"/>
    <n v="40.61"/>
    <n v="53.38"/>
    <n v="48.99"/>
    <n v="68.040000000000006"/>
    <n v="4.45"/>
    <n v="88.01"/>
    <n v="57.5"/>
    <n v="527.05999999999995"/>
    <n v="30.510000000000005"/>
  </r>
  <r>
    <x v="11"/>
    <x v="1"/>
    <x v="0"/>
    <s v="2576200"/>
    <n v="721010"/>
    <s v="Supplies-Medical - Billable"/>
    <s v="Endocrinology-Tacoma-Endo"/>
    <x v="0"/>
    <m/>
    <n v="-1331.8"/>
    <n v="-7.7"/>
    <n v="1331.8"/>
    <n v="0"/>
    <n v="0"/>
    <n v="0"/>
    <n v="0"/>
    <n v="988.04"/>
    <n v="1161.75"/>
    <n v="1491"/>
    <n v="0"/>
    <n v="3531.26"/>
    <n v="7164.35"/>
    <n v="-3531.26"/>
  </r>
  <r>
    <x v="11"/>
    <x v="1"/>
    <x v="0"/>
    <s v="2576200"/>
    <n v="721410"/>
    <s v="Supplies-Medical - Nonbillable"/>
    <s v="Endocrinology-Tacoma-Endo"/>
    <x v="0"/>
    <m/>
    <n v="0"/>
    <n v="0"/>
    <n v="0"/>
    <n v="0"/>
    <n v="0"/>
    <n v="0"/>
    <n v="0"/>
    <n v="0"/>
    <n v="0"/>
    <n v="0"/>
    <n v="0"/>
    <n v="1054.73"/>
    <n v="1054.73"/>
    <n v="-1054.73"/>
  </r>
  <r>
    <x v="11"/>
    <x v="1"/>
    <x v="0"/>
    <s v="2576200"/>
    <n v="722000"/>
    <s v="Supplies-Freight Expense"/>
    <s v="Endocrinology-Tacoma-Endo"/>
    <x v="0"/>
    <m/>
    <n v="0"/>
    <n v="7.7"/>
    <n v="0"/>
    <n v="0"/>
    <n v="0"/>
    <n v="0"/>
    <n v="0"/>
    <n v="0"/>
    <n v="0"/>
    <n v="0"/>
    <n v="0"/>
    <n v="0"/>
    <n v="7.7"/>
    <n v="0"/>
  </r>
  <r>
    <x v="12"/>
    <x v="1"/>
    <x v="0"/>
    <s v="2576200"/>
    <n v="730010"/>
    <s v="Rental and Leases-Building (DO NOT USE)"/>
    <s v="Endocrinology-Tacoma-Endo"/>
    <x v="0"/>
    <m/>
    <n v="1200"/>
    <n v="1200"/>
    <n v="1200"/>
    <n v="1200"/>
    <n v="1200"/>
    <n v="1200"/>
    <n v="1200"/>
    <n v="1200"/>
    <n v="1200"/>
    <n v="1200"/>
    <n v="1200"/>
    <n v="0"/>
    <n v="13200"/>
    <n v="1200"/>
  </r>
  <r>
    <x v="12"/>
    <x v="1"/>
    <x v="0"/>
    <s v="2576200"/>
    <n v="730020"/>
    <s v="Rental and Leases-Equipment (DO NOT USE)"/>
    <s v="Endocrinology-Tacoma-Endo"/>
    <x v="0"/>
    <m/>
    <n v="0"/>
    <n v="0"/>
    <n v="0"/>
    <n v="0"/>
    <n v="0"/>
    <n v="0"/>
    <n v="625"/>
    <n v="0"/>
    <n v="0"/>
    <n v="0"/>
    <n v="0"/>
    <n v="0"/>
    <n v="625"/>
    <n v="0"/>
  </r>
  <r>
    <x v="12"/>
    <x v="1"/>
    <x v="0"/>
    <s v="2576200"/>
    <n v="730040"/>
    <s v="LT Lease-Real Estate"/>
    <s v="Endocrinology-Tacoma-Endo"/>
    <x v="0"/>
    <m/>
    <n v="0"/>
    <n v="0"/>
    <n v="0"/>
    <n v="0"/>
    <n v="0"/>
    <n v="0"/>
    <n v="0"/>
    <n v="0"/>
    <n v="0"/>
    <n v="0"/>
    <n v="0"/>
    <n v="1200"/>
    <n v="1200"/>
    <n v="-1200"/>
  </r>
  <r>
    <x v="0"/>
    <x v="1"/>
    <x v="0"/>
    <s v="2576200"/>
    <n v="740020"/>
    <s v="Education-Registration Fees"/>
    <s v="Endocrinology-Tacoma-Endo"/>
    <x v="0"/>
    <m/>
    <n v="0"/>
    <n v="0"/>
    <n v="330.99"/>
    <n v="0"/>
    <n v="0"/>
    <n v="247.5"/>
    <n v="0"/>
    <n v="0"/>
    <n v="0"/>
    <n v="495"/>
    <n v="0"/>
    <n v="0"/>
    <n v="1073.49"/>
    <n v="0"/>
  </r>
  <r>
    <x v="0"/>
    <x v="1"/>
    <x v="0"/>
    <s v="2576200"/>
    <n v="740022"/>
    <s v="Education-Physician"/>
    <s v="Endocrinology-Tacoma-Endo"/>
    <x v="0"/>
    <m/>
    <n v="0"/>
    <n v="0"/>
    <n v="0"/>
    <n v="589"/>
    <n v="745"/>
    <n v="0"/>
    <n v="0"/>
    <n v="863"/>
    <n v="0"/>
    <n v="0"/>
    <n v="0"/>
    <n v="750"/>
    <n v="2947"/>
    <n v="-750"/>
  </r>
  <r>
    <x v="8"/>
    <x v="1"/>
    <x v="0"/>
    <s v="2576200"/>
    <n v="741012"/>
    <s v="Physician Liab Insurance-CHI Program"/>
    <s v="Endocrinology-Tacoma-Endo"/>
    <x v="0"/>
    <m/>
    <n v="2273.61"/>
    <n v="2273.61"/>
    <n v="2273.61"/>
    <n v="2273.61"/>
    <n v="2273.61"/>
    <n v="2273.58"/>
    <n v="2273.61"/>
    <n v="2273.58"/>
    <n v="2273.61"/>
    <n v="2273.58"/>
    <n v="2273.61"/>
    <n v="2273.58"/>
    <n v="27283.200000000004"/>
    <n v="3.0000000000200089E-2"/>
  </r>
  <r>
    <x v="0"/>
    <x v="1"/>
    <x v="0"/>
    <s v="2576200"/>
    <n v="743020"/>
    <s v="Dues--Individual"/>
    <s v="Endocrinology-Tacoma-Endo"/>
    <x v="0"/>
    <m/>
    <n v="0"/>
    <n v="0"/>
    <n v="0"/>
    <n v="0"/>
    <n v="0"/>
    <n v="0"/>
    <n v="0"/>
    <n v="2140"/>
    <n v="0"/>
    <n v="0"/>
    <n v="0"/>
    <n v="0"/>
    <n v="2140"/>
    <n v="0"/>
  </r>
  <r>
    <x v="0"/>
    <x v="1"/>
    <x v="0"/>
    <s v="2576200"/>
    <n v="743022"/>
    <s v="Dues-Physician"/>
    <s v="Endocrinology-Tacoma-Endo"/>
    <x v="0"/>
    <m/>
    <n v="0"/>
    <n v="325"/>
    <n v="0"/>
    <n v="0"/>
    <n v="0"/>
    <n v="159"/>
    <n v="1249"/>
    <n v="0"/>
    <n v="0"/>
    <n v="0"/>
    <n v="0"/>
    <n v="0"/>
    <n v="1733"/>
    <n v="0"/>
  </r>
  <r>
    <x v="0"/>
    <x v="1"/>
    <x v="0"/>
    <s v="2576200"/>
    <n v="743042"/>
    <s v="Subscriptions-Physician"/>
    <s v="Endocrinology-Tacoma-Endo"/>
    <x v="0"/>
    <m/>
    <n v="0"/>
    <n v="0"/>
    <n v="0"/>
    <n v="0"/>
    <n v="0"/>
    <n v="0"/>
    <n v="639"/>
    <n v="0"/>
    <n v="0"/>
    <n v="0"/>
    <n v="0"/>
    <n v="3442.86"/>
    <n v="4081.86"/>
    <n v="-3442.86"/>
  </r>
  <r>
    <x v="0"/>
    <x v="1"/>
    <x v="0"/>
    <s v="2576200"/>
    <n v="749510"/>
    <s v="Miscellaneous Expenses"/>
    <s v="Endocrinology-Tacoma-Endo"/>
    <x v="0"/>
    <m/>
    <n v="-3571.49"/>
    <n v="138.97"/>
    <n v="-95.92"/>
    <n v="1510.9"/>
    <n v="577.07000000000005"/>
    <n v="-8.92"/>
    <n v="749"/>
    <n v="-1322.54"/>
    <n v="74.540000000000006"/>
    <n v="8.84"/>
    <n v="251.58"/>
    <n v="2061.14"/>
    <n v="373.16999999999985"/>
    <n v="-1809.56"/>
  </r>
  <r>
    <x v="0"/>
    <x v="1"/>
    <x v="0"/>
    <s v="2576200"/>
    <n v="749510"/>
    <s v="Licenses"/>
    <s v="Endocrinology-Tacoma-Endo"/>
    <x v="0"/>
    <n v="1002"/>
    <n v="0"/>
    <n v="0"/>
    <n v="0"/>
    <n v="0"/>
    <n v="0"/>
    <n v="61"/>
    <n v="0"/>
    <n v="0"/>
    <n v="0"/>
    <n v="0"/>
    <n v="0"/>
    <n v="0"/>
    <n v="61"/>
    <n v="0"/>
  </r>
  <r>
    <x v="0"/>
    <x v="1"/>
    <x v="0"/>
    <s v="2576200"/>
    <n v="749512"/>
    <s v="Licenses-Physician"/>
    <s v="Endocrinology-Tacoma-Endo"/>
    <x v="0"/>
    <n v="2000"/>
    <n v="0"/>
    <n v="0"/>
    <n v="0"/>
    <n v="0"/>
    <n v="0"/>
    <n v="0"/>
    <n v="0"/>
    <n v="1388"/>
    <n v="0"/>
    <n v="0"/>
    <n v="657"/>
    <n v="256"/>
    <n v="2301"/>
    <n v="401"/>
  </r>
  <r>
    <x v="0"/>
    <x v="1"/>
    <x v="0"/>
    <s v="2576200"/>
    <n v="749513"/>
    <s v="Licenses-Advanced Practice Clinician"/>
    <s v="Endocrinology-Tacoma-Endo"/>
    <x v="0"/>
    <n v="2000"/>
    <n v="0"/>
    <n v="0"/>
    <n v="0"/>
    <n v="731"/>
    <n v="0"/>
    <n v="247.5"/>
    <n v="0"/>
    <n v="0"/>
    <n v="0"/>
    <n v="0"/>
    <n v="0"/>
    <n v="0"/>
    <n v="978.5"/>
    <n v="0"/>
  </r>
  <r>
    <x v="0"/>
    <x v="1"/>
    <x v="0"/>
    <s v="2576200"/>
    <n v="749530"/>
    <s v="Travel"/>
    <s v="Endocrinology-Tacoma-Endo"/>
    <x v="0"/>
    <m/>
    <n v="30"/>
    <n v="18"/>
    <n v="12"/>
    <n v="18"/>
    <n v="49"/>
    <n v="30"/>
    <n v="54"/>
    <n v="0"/>
    <n v="51"/>
    <n v="40"/>
    <n v="34"/>
    <n v="18"/>
    <n v="354"/>
    <n v="16"/>
  </r>
  <r>
    <x v="0"/>
    <x v="1"/>
    <x v="0"/>
    <s v="2576200"/>
    <n v="749530"/>
    <s v="Mileage"/>
    <s v="Endocrinology-Tacoma-Endo"/>
    <x v="0"/>
    <n v="1001"/>
    <n v="105.2"/>
    <n v="189.14"/>
    <n v="235.45"/>
    <n v="95.39"/>
    <n v="253.45"/>
    <n v="230.56"/>
    <n v="288.81"/>
    <n v="184.44"/>
    <n v="237.8"/>
    <n v="275"/>
    <n v="252.88"/>
    <n v="332.92"/>
    <n v="2681.04"/>
    <n v="-80.04000000000002"/>
  </r>
  <r>
    <x v="0"/>
    <x v="1"/>
    <x v="0"/>
    <s v="2576200"/>
    <n v="749532"/>
    <s v="Travel-Physician"/>
    <s v="Endocrinology-Tacoma-Endo"/>
    <x v="0"/>
    <m/>
    <n v="392.67"/>
    <n v="0"/>
    <n v="0"/>
    <n v="836.4"/>
    <n v="1085.6199999999999"/>
    <n v="0"/>
    <n v="0"/>
    <n v="2137"/>
    <n v="0"/>
    <n v="0"/>
    <n v="0"/>
    <n v="251.96"/>
    <n v="4703.6499999999996"/>
    <n v="-251.96"/>
  </r>
  <r>
    <x v="1"/>
    <x v="1"/>
    <x v="0"/>
    <s v="2577200"/>
    <n v="400029"/>
    <s v="MD Practice Other Rev--Medicare"/>
    <s v="Urology-Tacoma-Uro"/>
    <x v="0"/>
    <n v="1100"/>
    <n v="-4008"/>
    <n v="-3034"/>
    <n v="-3550"/>
    <n v="-3818"/>
    <n v="-4941"/>
    <n v="-3134"/>
    <n v="-5272"/>
    <n v="-2761"/>
    <n v="-3553"/>
    <n v="-4226"/>
    <n v="-5428"/>
    <n v="-3795"/>
    <n v="-47520"/>
    <n v="-1633"/>
  </r>
  <r>
    <x v="1"/>
    <x v="1"/>
    <x v="0"/>
    <s v="2577200"/>
    <n v="400029"/>
    <s v="MD Practice Other Rev--Medicaid"/>
    <s v="Urology-Tacoma-Uro"/>
    <x v="0"/>
    <n v="1200"/>
    <n v="-1935"/>
    <n v="-1371"/>
    <n v="-1981"/>
    <n v="-2188"/>
    <n v="-1499"/>
    <n v="-1467"/>
    <n v="-1747"/>
    <n v="-1031"/>
    <n v="-1812"/>
    <n v="-1861"/>
    <n v="-1963"/>
    <n v="-1424"/>
    <n v="-20279"/>
    <n v="-539"/>
  </r>
  <r>
    <x v="1"/>
    <x v="1"/>
    <x v="0"/>
    <s v="2577200"/>
    <n v="400029"/>
    <s v="MD Practice Other Rev--Comm Insurance"/>
    <s v="Urology-Tacoma-Uro"/>
    <x v="0"/>
    <n v="1300"/>
    <n v="-310"/>
    <n v="-452"/>
    <n v="-466"/>
    <n v="-315"/>
    <n v="-588"/>
    <n v="-725"/>
    <n v="-538"/>
    <n v="-50"/>
    <n v="-843"/>
    <n v="-872"/>
    <n v="-485"/>
    <n v="-131"/>
    <n v="-5775"/>
    <n v="-354"/>
  </r>
  <r>
    <x v="1"/>
    <x v="1"/>
    <x v="0"/>
    <s v="2577200"/>
    <n v="400029"/>
    <s v="MD Practice Other Rev--BCBS Comm"/>
    <s v="Urology-Tacoma-Uro"/>
    <x v="0"/>
    <n v="1301"/>
    <n v="-357"/>
    <n v="-630"/>
    <n v="-396"/>
    <n v="-485"/>
    <n v="-375"/>
    <n v="-1061"/>
    <n v="-249"/>
    <n v="-353"/>
    <n v="-1373"/>
    <n v="-397"/>
    <n v="-1085"/>
    <n v="-875"/>
    <n v="-7636"/>
    <n v="-210"/>
  </r>
  <r>
    <x v="1"/>
    <x v="1"/>
    <x v="0"/>
    <s v="2577200"/>
    <n v="400029"/>
    <s v="MD Practice Other Rev--Managed Care"/>
    <s v="Urology-Tacoma-Uro"/>
    <x v="0"/>
    <n v="1400"/>
    <n v="-2828"/>
    <n v="-1738"/>
    <n v="-2399"/>
    <n v="-2758"/>
    <n v="-1968"/>
    <n v="-2244"/>
    <n v="-1632"/>
    <n v="-1130"/>
    <n v="-3401"/>
    <n v="-3597"/>
    <n v="-1153"/>
    <n v="-2000"/>
    <n v="-26848"/>
    <n v="847"/>
  </r>
  <r>
    <x v="1"/>
    <x v="1"/>
    <x v="0"/>
    <s v="2577200"/>
    <n v="400029"/>
    <s v="MD Practice Other Rev--Self Pay"/>
    <s v="Urology-Tacoma-Uro"/>
    <x v="0"/>
    <n v="1500"/>
    <n v="-554"/>
    <n v="-40"/>
    <n v="-50"/>
    <n v="-50"/>
    <n v="-539"/>
    <n v="-135"/>
    <n v="-98"/>
    <n v="-20"/>
    <n v="-109"/>
    <n v="-152"/>
    <n v="-634"/>
    <n v="35"/>
    <n v="-2346"/>
    <n v="-669"/>
  </r>
  <r>
    <x v="1"/>
    <x v="1"/>
    <x v="0"/>
    <s v="2577200"/>
    <n v="400029"/>
    <s v="MD Practice Other Rev--Other"/>
    <s v="Urology-Tacoma-Uro"/>
    <x v="0"/>
    <n v="1700"/>
    <n v="-191"/>
    <n v="-307"/>
    <n v="-99"/>
    <n v="-23"/>
    <n v="-30"/>
    <n v="-119"/>
    <n v="-396"/>
    <n v="-79"/>
    <n v="-144"/>
    <n v="-60"/>
    <n v="-269"/>
    <n v="-98"/>
    <n v="-1815"/>
    <n v="-171"/>
  </r>
  <r>
    <x v="1"/>
    <x v="1"/>
    <x v="0"/>
    <s v="2577200"/>
    <n v="400040"/>
    <s v="Physician Svcs Rev--Medicare"/>
    <s v="Urology-Tacoma-Uro"/>
    <x v="0"/>
    <n v="1100"/>
    <n v="-320809"/>
    <n v="-216528"/>
    <n v="-371329"/>
    <n v="-404723.75"/>
    <n v="-310798"/>
    <n v="-243084"/>
    <n v="-332733"/>
    <n v="-340823.5"/>
    <n v="-267656"/>
    <n v="-311072"/>
    <n v="-347003"/>
    <n v="-303212"/>
    <n v="-3769771.25"/>
    <n v="-43791"/>
  </r>
  <r>
    <x v="1"/>
    <x v="1"/>
    <x v="0"/>
    <s v="2577200"/>
    <n v="400040"/>
    <s v="Physician Svcs Rev--Medicaid"/>
    <s v="Urology-Tacoma-Uro"/>
    <x v="0"/>
    <n v="1200"/>
    <n v="-137814"/>
    <n v="-82138.5"/>
    <n v="-163643.25"/>
    <n v="-130276.5"/>
    <n v="-98893"/>
    <n v="-116377.5"/>
    <n v="-111158"/>
    <n v="-58634.5"/>
    <n v="-160614"/>
    <n v="-185331.25"/>
    <n v="-148448.5"/>
    <n v="-136963.6"/>
    <n v="-1530292.6"/>
    <n v="-11484.899999999994"/>
  </r>
  <r>
    <x v="1"/>
    <x v="1"/>
    <x v="0"/>
    <s v="2577200"/>
    <n v="400040"/>
    <s v="Physician Svcs Rev--Comm Insurance"/>
    <s v="Urology-Tacoma-Uro"/>
    <x v="0"/>
    <n v="1300"/>
    <n v="-26874"/>
    <n v="-23543"/>
    <n v="-25940"/>
    <n v="-31457"/>
    <n v="-36784.5"/>
    <n v="-24617"/>
    <n v="-17030"/>
    <n v="-10053"/>
    <n v="-36010.25"/>
    <n v="-34352"/>
    <n v="-14110"/>
    <n v="-12304"/>
    <n v="-293074.75"/>
    <n v="-1806"/>
  </r>
  <r>
    <x v="1"/>
    <x v="1"/>
    <x v="0"/>
    <s v="2577200"/>
    <n v="400040"/>
    <s v="Physician Svcs Rev--BCBS Comm"/>
    <s v="Urology-Tacoma-Uro"/>
    <x v="0"/>
    <n v="1301"/>
    <n v="-23051"/>
    <n v="-21122.5"/>
    <n v="-49391"/>
    <n v="-47576"/>
    <n v="-55378.05"/>
    <n v="-22143"/>
    <n v="-24197"/>
    <n v="-52755"/>
    <n v="-51001"/>
    <n v="-90943.4"/>
    <n v="-54969.25"/>
    <n v="-56563.5"/>
    <n v="-549090.69999999995"/>
    <n v="1594.25"/>
  </r>
  <r>
    <x v="1"/>
    <x v="1"/>
    <x v="0"/>
    <s v="2577200"/>
    <n v="400040"/>
    <s v="Physician Svcs Rev--Managed Care"/>
    <s v="Urology-Tacoma-Uro"/>
    <x v="0"/>
    <n v="1400"/>
    <n v="-124781"/>
    <n v="-149434.25"/>
    <n v="-207253"/>
    <n v="-206063"/>
    <n v="-125987.95"/>
    <n v="-170578.75"/>
    <n v="-116759"/>
    <n v="-116685.5"/>
    <n v="-244729.25"/>
    <n v="-128545.8"/>
    <n v="-127183.5"/>
    <n v="-181971"/>
    <n v="-1899972"/>
    <n v="54787.5"/>
  </r>
  <r>
    <x v="1"/>
    <x v="1"/>
    <x v="0"/>
    <s v="2577200"/>
    <n v="400040"/>
    <s v="Physician Svcs Rev--Self Pay"/>
    <s v="Urology-Tacoma-Uro"/>
    <x v="0"/>
    <n v="1500"/>
    <n v="-5609"/>
    <n v="-4957"/>
    <n v="-4828"/>
    <n v="-10173"/>
    <n v="-12594"/>
    <n v="-6701"/>
    <n v="-16814"/>
    <n v="-2848"/>
    <n v="-8686"/>
    <n v="-6263"/>
    <n v="-71250"/>
    <n v="-3179"/>
    <n v="-153902"/>
    <n v="-68071"/>
  </r>
  <r>
    <x v="1"/>
    <x v="1"/>
    <x v="0"/>
    <s v="2577200"/>
    <n v="400040"/>
    <s v="Physician Svcs Rev--Other"/>
    <s v="Urology-Tacoma-Uro"/>
    <x v="0"/>
    <n v="1700"/>
    <n v="-13077"/>
    <n v="-3810"/>
    <n v="-6238"/>
    <n v="-18676"/>
    <n v="-20533"/>
    <n v="-14685"/>
    <n v="-15257.5"/>
    <n v="-6069.5"/>
    <n v="-26730"/>
    <n v="-21426"/>
    <n v="-24423"/>
    <n v="-9916"/>
    <n v="-180841"/>
    <n v="-14507"/>
  </r>
  <r>
    <x v="2"/>
    <x v="1"/>
    <x v="0"/>
    <s v="2577200"/>
    <n v="450029"/>
    <s v="Contr Allow--MD Other-Medicare"/>
    <s v="Urology-Tacoma-Uro"/>
    <x v="0"/>
    <n v="1100"/>
    <n v="2804.12"/>
    <n v="1857.23"/>
    <n v="2374.89"/>
    <n v="2366.77"/>
    <n v="1773.63"/>
    <n v="3672.29"/>
    <n v="1711.62"/>
    <n v="2694.13"/>
    <n v="1360.97"/>
    <n v="2347.1999999999998"/>
    <n v="3309.82"/>
    <n v="3320.86"/>
    <n v="29593.530000000002"/>
    <n v="-11.039999999999964"/>
  </r>
  <r>
    <x v="2"/>
    <x v="1"/>
    <x v="0"/>
    <s v="2577200"/>
    <n v="450029"/>
    <s v="Contr Allow--MD Other-Medicaid"/>
    <s v="Urology-Tacoma-Uro"/>
    <x v="0"/>
    <n v="1200"/>
    <n v="1335.93"/>
    <n v="967.84"/>
    <n v="1400.1"/>
    <n v="1275.4100000000001"/>
    <n v="1508.19"/>
    <n v="1171.56"/>
    <n v="1222.44"/>
    <n v="1483.95"/>
    <n v="1060.93"/>
    <n v="1782.52"/>
    <n v="1319.62"/>
    <n v="1102.94"/>
    <n v="15631.430000000002"/>
    <n v="216.67999999999984"/>
  </r>
  <r>
    <x v="2"/>
    <x v="1"/>
    <x v="0"/>
    <s v="2577200"/>
    <n v="450029"/>
    <s v="Contr Allow--MD Other-Comm Insurance"/>
    <s v="Urology-Tacoma-Uro"/>
    <x v="0"/>
    <n v="1300"/>
    <n v="274.91000000000003"/>
    <n v="112.57"/>
    <n v="219.32"/>
    <n v="120.95"/>
    <n v="182.24"/>
    <n v="91.85"/>
    <n v="539.39"/>
    <n v="69.7"/>
    <n v="15.36"/>
    <n v="274.97000000000003"/>
    <n v="334.7"/>
    <n v="163.4"/>
    <n v="2399.36"/>
    <n v="171.29999999999998"/>
  </r>
  <r>
    <x v="2"/>
    <x v="1"/>
    <x v="0"/>
    <s v="2577200"/>
    <n v="450029"/>
    <s v="Contr Allow--MD Other BCBS Comm"/>
    <s v="Urology-Tacoma-Uro"/>
    <x v="0"/>
    <n v="1301"/>
    <n v="89.97"/>
    <n v="266.83999999999997"/>
    <n v="164.51"/>
    <n v="176.57"/>
    <n v="83.74"/>
    <n v="285.12"/>
    <n v="206.86"/>
    <n v="148.97999999999999"/>
    <n v="212.88"/>
    <n v="327.58"/>
    <n v="225.03"/>
    <n v="300.74"/>
    <n v="2488.8200000000006"/>
    <n v="-75.710000000000008"/>
  </r>
  <r>
    <x v="2"/>
    <x v="1"/>
    <x v="0"/>
    <s v="2577200"/>
    <n v="450029"/>
    <s v="Contr Allow--MD Other-Managed Care"/>
    <s v="Urology-Tacoma-Uro"/>
    <x v="0"/>
    <n v="1400"/>
    <n v="1557.97"/>
    <n v="1176.1500000000001"/>
    <n v="1326.4"/>
    <n v="670.36"/>
    <n v="1224.6300000000001"/>
    <n v="822.26"/>
    <n v="422.92"/>
    <n v="873.83"/>
    <n v="608.83000000000004"/>
    <n v="1314"/>
    <n v="1008.19"/>
    <n v="743.32"/>
    <n v="11748.86"/>
    <n v="264.87"/>
  </r>
  <r>
    <x v="2"/>
    <x v="1"/>
    <x v="0"/>
    <s v="2577200"/>
    <n v="450029"/>
    <s v="Prompt Pay Disc-MD Other-Self Pay"/>
    <s v="Urology-Tacoma-Uro"/>
    <x v="0"/>
    <n v="1500"/>
    <n v="0"/>
    <n v="0"/>
    <n v="0"/>
    <n v="0"/>
    <n v="0"/>
    <n v="0"/>
    <n v="38.42"/>
    <n v="0"/>
    <n v="0"/>
    <n v="0"/>
    <n v="0"/>
    <n v="0"/>
    <n v="38.42"/>
    <n v="0"/>
  </r>
  <r>
    <x v="2"/>
    <x v="1"/>
    <x v="0"/>
    <s v="2577200"/>
    <n v="450029"/>
    <s v="Admin Adjust-MD Other-Self Pay"/>
    <s v="Urology-Tacoma-Uro"/>
    <x v="0"/>
    <n v="1600"/>
    <n v="267.18"/>
    <n v="46.58"/>
    <n v="232.97"/>
    <n v="44.51"/>
    <n v="216"/>
    <n v="-124.04"/>
    <n v="117.31"/>
    <n v="12.58"/>
    <n v="49.92"/>
    <n v="129.63"/>
    <n v="168.41"/>
    <n v="1.1599999999999999"/>
    <n v="1162.21"/>
    <n v="167.25"/>
  </r>
  <r>
    <x v="2"/>
    <x v="1"/>
    <x v="0"/>
    <s v="2577200"/>
    <n v="450029"/>
    <s v="Contr Allow--MD Other-Other"/>
    <s v="Urology-Tacoma-Uro"/>
    <x v="0"/>
    <n v="1700"/>
    <n v="7.17"/>
    <n v="323.72000000000003"/>
    <n v="65.23"/>
    <n v="223.41"/>
    <n v="7.17"/>
    <n v="28.09"/>
    <n v="45.88"/>
    <n v="27.31"/>
    <n v="38.299999999999997"/>
    <n v="135.24"/>
    <n v="197.37"/>
    <n v="70.72"/>
    <n v="1169.6099999999999"/>
    <n v="126.65"/>
  </r>
  <r>
    <x v="2"/>
    <x v="1"/>
    <x v="0"/>
    <s v="2577200"/>
    <n v="450040"/>
    <s v="Contr Allow--Phys Svcs--Mcare"/>
    <s v="Urology-Tacoma-Uro"/>
    <x v="0"/>
    <n v="1100"/>
    <n v="221018.74"/>
    <n v="165807.54999999999"/>
    <n v="185210.12"/>
    <n v="255888.56"/>
    <n v="247619.1"/>
    <n v="217759.11"/>
    <n v="173723.31"/>
    <n v="280923.95"/>
    <n v="221742.44"/>
    <n v="176894.79"/>
    <n v="244955.33"/>
    <n v="241301.37"/>
    <n v="2632844.37"/>
    <n v="3653.9599999999919"/>
  </r>
  <r>
    <x v="2"/>
    <x v="1"/>
    <x v="0"/>
    <s v="2577200"/>
    <n v="450040"/>
    <s v="Contr Allow--Phys Svcs--Mcaid"/>
    <s v="Urology-Tacoma-Uro"/>
    <x v="0"/>
    <n v="1200"/>
    <n v="87455.11"/>
    <n v="87066.97"/>
    <n v="86330.94"/>
    <n v="97611.68"/>
    <n v="89317.45"/>
    <n v="86283.68"/>
    <n v="93866.18"/>
    <n v="85067.74"/>
    <n v="71936.820000000007"/>
    <n v="145383.54"/>
    <n v="134792.69"/>
    <n v="123256.75"/>
    <n v="1188369.55"/>
    <n v="11535.940000000002"/>
  </r>
  <r>
    <x v="2"/>
    <x v="1"/>
    <x v="0"/>
    <s v="2577200"/>
    <n v="450040"/>
    <s v="Contr Allow--Phys Svcs--Comm Insurance"/>
    <s v="Urology-Tacoma-Uro"/>
    <x v="0"/>
    <n v="1300"/>
    <n v="12336.34"/>
    <n v="14146.31"/>
    <n v="17139.900000000001"/>
    <n v="10493.12"/>
    <n v="13881.65"/>
    <n v="18370.86"/>
    <n v="13489.24"/>
    <n v="4383.9799999999996"/>
    <n v="6105.74"/>
    <n v="14012.55"/>
    <n v="12736.41"/>
    <n v="2776.5"/>
    <n v="139872.6"/>
    <n v="9959.91"/>
  </r>
  <r>
    <x v="2"/>
    <x v="1"/>
    <x v="0"/>
    <s v="2577200"/>
    <n v="450040"/>
    <s v="Contr Allow--Phys Svcs--BCBS Comm Ins"/>
    <s v="Urology-Tacoma-Uro"/>
    <x v="0"/>
    <n v="1301"/>
    <n v="6248.19"/>
    <n v="7711.5"/>
    <n v="22530.68"/>
    <n v="9846.52"/>
    <n v="23013.93"/>
    <n v="19226.54"/>
    <n v="18654.37"/>
    <n v="12325.87"/>
    <n v="31614.82"/>
    <n v="22313.59"/>
    <n v="37767.550000000003"/>
    <n v="31864.880000000001"/>
    <n v="243118.44"/>
    <n v="5902.6700000000019"/>
  </r>
  <r>
    <x v="2"/>
    <x v="1"/>
    <x v="0"/>
    <s v="2577200"/>
    <n v="450040"/>
    <s v="Contr Allow--Phys Svcs--Managed Care"/>
    <s v="Urology-Tacoma-Uro"/>
    <x v="0"/>
    <n v="1400"/>
    <n v="45769.51"/>
    <n v="57314.79"/>
    <n v="71926.47"/>
    <n v="99613.75"/>
    <n v="96764.14"/>
    <n v="75924.289999999994"/>
    <n v="70787.14"/>
    <n v="49737.81"/>
    <n v="69859.100000000006"/>
    <n v="106726.82"/>
    <n v="45303.67"/>
    <n v="60443.21"/>
    <n v="850170.70000000007"/>
    <n v="-15139.54"/>
  </r>
  <r>
    <x v="2"/>
    <x v="1"/>
    <x v="0"/>
    <s v="2577200"/>
    <n v="450040"/>
    <s v="Contr Allow--Phys Svcs--BCBS Mgnd Care"/>
    <s v="Urology-Tacoma-Uro"/>
    <x v="0"/>
    <n v="1401"/>
    <n v="33768.449999999997"/>
    <n v="-22494.639999999999"/>
    <n v="112101.04"/>
    <n v="46887.199999999997"/>
    <n v="-48762.39"/>
    <n v="-22338.44"/>
    <n v="14232.32"/>
    <n v="-14481.13"/>
    <n v="94029.19"/>
    <n v="-9410.44"/>
    <n v="-5577.07"/>
    <n v="-11938.68"/>
    <n v="166015.40999999997"/>
    <n v="6361.6100000000006"/>
  </r>
  <r>
    <x v="2"/>
    <x v="1"/>
    <x v="0"/>
    <s v="2577200"/>
    <n v="450040"/>
    <s v="Prompt Pay Disc-Phys Svcs-Self Pay"/>
    <s v="Urology-Tacoma-Uro"/>
    <x v="0"/>
    <n v="1500"/>
    <n v="0"/>
    <n v="0"/>
    <n v="0"/>
    <n v="0"/>
    <n v="0"/>
    <n v="0"/>
    <n v="1216.2"/>
    <n v="0"/>
    <n v="0"/>
    <n v="-801.15"/>
    <n v="607.91999999999996"/>
    <n v="0"/>
    <n v="1022.97"/>
    <n v="607.91999999999996"/>
  </r>
  <r>
    <x v="2"/>
    <x v="1"/>
    <x v="0"/>
    <s v="2577200"/>
    <n v="450040"/>
    <s v="Admin Adjust-Phys Svcs-Self Pay"/>
    <s v="Urology-Tacoma-Uro"/>
    <x v="0"/>
    <n v="1600"/>
    <n v="4237.17"/>
    <n v="-813.43"/>
    <n v="9176.9599999999991"/>
    <n v="4453.5200000000004"/>
    <n v="8589.48"/>
    <n v="2060.96"/>
    <n v="9340.93"/>
    <n v="850.35"/>
    <n v="2779.56"/>
    <n v="4874.97"/>
    <n v="44628.19"/>
    <n v="1605.92"/>
    <n v="91784.58"/>
    <n v="43022.270000000004"/>
  </r>
  <r>
    <x v="2"/>
    <x v="1"/>
    <x v="0"/>
    <s v="2577200"/>
    <n v="450040"/>
    <s v="Contr Allow--Phys Svcs--Other"/>
    <s v="Urology-Tacoma-Uro"/>
    <x v="0"/>
    <n v="1700"/>
    <n v="3600.41"/>
    <n v="9606.11"/>
    <n v="5463.24"/>
    <n v="3327.88"/>
    <n v="8780.34"/>
    <n v="6117.75"/>
    <n v="19429.650000000001"/>
    <n v="1780.52"/>
    <n v="5403.25"/>
    <n v="17799.18"/>
    <n v="27710.22"/>
    <n v="7531.5"/>
    <n v="116550.05"/>
    <n v="20178.72"/>
  </r>
  <r>
    <x v="3"/>
    <x v="1"/>
    <x v="0"/>
    <s v="2577200"/>
    <n v="470040"/>
    <s v="Charity Care-Physician Svcs"/>
    <s v="Urology-Tacoma-Uro"/>
    <x v="0"/>
    <m/>
    <n v="1331.14"/>
    <n v="5135.8"/>
    <n v="6846.49"/>
    <n v="6919.64"/>
    <n v="3401.11"/>
    <n v="-1722.53"/>
    <n v="9153.2099999999991"/>
    <n v="11039.93"/>
    <n v="11580.8"/>
    <n v="6868.52"/>
    <n v="1866.25"/>
    <n v="19810.939999999999"/>
    <n v="82231.3"/>
    <n v="-17944.689999999999"/>
  </r>
  <r>
    <x v="4"/>
    <x v="1"/>
    <x v="0"/>
    <s v="2577200"/>
    <n v="490010"/>
    <s v="Provision for Bad Debts"/>
    <s v="Urology-Tacoma-Uro"/>
    <x v="0"/>
    <m/>
    <n v="11797.85"/>
    <n v="6182.63"/>
    <n v="16249.52"/>
    <n v="-4813.45"/>
    <n v="1286.3800000000001"/>
    <n v="-3188.1"/>
    <n v="2398.11"/>
    <n v="-4907.04"/>
    <n v="21331.72"/>
    <n v="2036.4"/>
    <n v="8963.36"/>
    <n v="5447.45"/>
    <n v="62784.83"/>
    <n v="3515.9100000000008"/>
  </r>
  <r>
    <x v="14"/>
    <x v="1"/>
    <x v="0"/>
    <s v="2577200"/>
    <n v="600050"/>
    <s v="Miscellaneous Revenue"/>
    <s v="Urology-Tacoma-Uro"/>
    <x v="0"/>
    <m/>
    <n v="-9000"/>
    <n v="0"/>
    <n v="0"/>
    <n v="-8700"/>
    <n v="2350"/>
    <n v="-11102.44"/>
    <n v="-13500"/>
    <n v="0"/>
    <n v="-6550"/>
    <n v="0"/>
    <n v="0"/>
    <n v="-28200"/>
    <n v="-74702.44"/>
    <n v="28200"/>
  </r>
  <r>
    <x v="5"/>
    <x v="1"/>
    <x v="0"/>
    <s v="2577200"/>
    <n v="700018"/>
    <s v="Salaries-Supervisory-Productive"/>
    <s v="Urology-Tacoma-Uro"/>
    <x v="0"/>
    <m/>
    <n v="0"/>
    <n v="0"/>
    <n v="5479.5"/>
    <n v="6532.85"/>
    <n v="9113.89"/>
    <n v="5864.26"/>
    <n v="5887.28"/>
    <n v="6162.77"/>
    <n v="8005.06"/>
    <n v="6359.15"/>
    <n v="7481.36"/>
    <n v="-3366.61"/>
    <n v="57519.51"/>
    <n v="10847.97"/>
  </r>
  <r>
    <x v="5"/>
    <x v="1"/>
    <x v="0"/>
    <s v="2577200"/>
    <n v="700022"/>
    <s v="Salaries-Physician-Productive"/>
    <s v="Urology-Tacoma-Uro"/>
    <x v="0"/>
    <m/>
    <n v="93030.56"/>
    <n v="92058.91"/>
    <n v="114565.7"/>
    <n v="131157.44"/>
    <n v="114673.36"/>
    <n v="99536.21"/>
    <n v="126271.79"/>
    <n v="78891.75"/>
    <n v="131304.88"/>
    <n v="105481.2"/>
    <n v="154432"/>
    <n v="113900"/>
    <n v="1355303.8"/>
    <n v="40532"/>
  </r>
  <r>
    <x v="5"/>
    <x v="1"/>
    <x v="0"/>
    <s v="2577200"/>
    <n v="700022"/>
    <s v="Salaries-Physician-Other"/>
    <s v="Urology-Tacoma-Uro"/>
    <x v="0"/>
    <n v="2000"/>
    <n v="9000"/>
    <n v="0"/>
    <n v="0"/>
    <n v="8700"/>
    <n v="-2350"/>
    <n v="11100"/>
    <n v="13500"/>
    <n v="0"/>
    <n v="6550"/>
    <n v="0"/>
    <n v="0"/>
    <n v="28200"/>
    <n v="74700"/>
    <n v="-28200"/>
  </r>
  <r>
    <x v="5"/>
    <x v="1"/>
    <x v="0"/>
    <s v="2577200"/>
    <n v="700024"/>
    <s v="Salaries-Advanced Practice Clinician-Productive"/>
    <s v="Urology-Tacoma-Uro"/>
    <x v="0"/>
    <m/>
    <n v="35968.620000000003"/>
    <n v="34370.65"/>
    <n v="28232.63"/>
    <n v="30023.119999999999"/>
    <n v="36302.32"/>
    <n v="24551.74"/>
    <n v="36960.230000000003"/>
    <n v="33695.08"/>
    <n v="35308.339999999997"/>
    <n v="32915.879999999997"/>
    <n v="29644.720000000001"/>
    <n v="28979.62"/>
    <n v="386952.94999999995"/>
    <n v="665.10000000000218"/>
  </r>
  <r>
    <x v="5"/>
    <x v="1"/>
    <x v="0"/>
    <s v="2577200"/>
    <n v="700026"/>
    <s v="Salaries-RN-Productive"/>
    <s v="Urology-Tacoma-Uro"/>
    <x v="0"/>
    <m/>
    <n v="17102.5"/>
    <n v="10056.040000000001"/>
    <n v="10064.879999999999"/>
    <n v="12100.19"/>
    <n v="8381.1200000000008"/>
    <n v="13988.71"/>
    <n v="16915.990000000002"/>
    <n v="13183.08"/>
    <n v="16494.849999999999"/>
    <n v="22307.13"/>
    <n v="25939.39"/>
    <n v="21126.86"/>
    <n v="187660.74"/>
    <n v="4812.5299999999988"/>
  </r>
  <r>
    <x v="5"/>
    <x v="1"/>
    <x v="0"/>
    <s v="2577200"/>
    <n v="700026"/>
    <s v="Salaries-RN-OT"/>
    <s v="Urology-Tacoma-Uro"/>
    <x v="0"/>
    <n v="1000"/>
    <n v="1081.3399999999999"/>
    <n v="473.54"/>
    <n v="986.93"/>
    <n v="3503.39"/>
    <n v="2038.69"/>
    <n v="496.34"/>
    <n v="1744.3"/>
    <n v="128.33000000000001"/>
    <n v="2299.9899999999998"/>
    <n v="1830.77"/>
    <n v="732.53"/>
    <n v="180.18"/>
    <n v="15496.33"/>
    <n v="552.34999999999991"/>
  </r>
  <r>
    <x v="5"/>
    <x v="1"/>
    <x v="0"/>
    <s v="2577200"/>
    <n v="700026"/>
    <s v="Salaries-RN-Other"/>
    <s v="Urology-Tacoma-Uro"/>
    <x v="0"/>
    <n v="2000"/>
    <n v="0"/>
    <n v="0"/>
    <n v="30"/>
    <n v="0"/>
    <n v="0"/>
    <n v="60"/>
    <n v="0"/>
    <n v="0"/>
    <n v="0"/>
    <n v="30.04"/>
    <n v="30.04"/>
    <n v="0"/>
    <n v="150.07999999999998"/>
    <n v="30.04"/>
  </r>
  <r>
    <x v="5"/>
    <x v="1"/>
    <x v="0"/>
    <s v="2577200"/>
    <n v="700030"/>
    <s v="Salaries-LPN-Productive"/>
    <s v="Urology-Tacoma-Uro"/>
    <x v="0"/>
    <m/>
    <n v="6743.86"/>
    <n v="9130.7199999999993"/>
    <n v="6182.65"/>
    <n v="3027.47"/>
    <n v="4476.3999999999996"/>
    <n v="2937.8"/>
    <n v="3357.36"/>
    <n v="2970.94"/>
    <n v="2870.72"/>
    <n v="2811.52"/>
    <n v="2191.52"/>
    <n v="3222.57"/>
    <n v="49923.529999999992"/>
    <n v="-1031.0500000000002"/>
  </r>
  <r>
    <x v="5"/>
    <x v="1"/>
    <x v="0"/>
    <s v="2577200"/>
    <n v="700030"/>
    <s v="Salaries-LPN-OT"/>
    <s v="Urology-Tacoma-Uro"/>
    <x v="0"/>
    <n v="1000"/>
    <n v="62.58"/>
    <n v="299.49"/>
    <n v="509.58"/>
    <n v="-139.49"/>
    <n v="251.02"/>
    <n v="146.52000000000001"/>
    <n v="0"/>
    <n v="0"/>
    <n v="0"/>
    <n v="0"/>
    <n v="0"/>
    <n v="35.15"/>
    <n v="1164.8500000000001"/>
    <n v="-35.15"/>
  </r>
  <r>
    <x v="5"/>
    <x v="1"/>
    <x v="0"/>
    <s v="2577200"/>
    <n v="700030"/>
    <s v="Salaries-LPN-Other"/>
    <s v="Urology-Tacoma-Uro"/>
    <x v="0"/>
    <n v="2000"/>
    <n v="0"/>
    <n v="18"/>
    <n v="-6"/>
    <n v="0"/>
    <n v="0"/>
    <n v="0"/>
    <n v="0"/>
    <n v="0"/>
    <n v="0"/>
    <n v="0"/>
    <n v="7.26"/>
    <n v="7.76"/>
    <n v="27.019999999999996"/>
    <n v="-0.5"/>
  </r>
  <r>
    <x v="5"/>
    <x v="1"/>
    <x v="0"/>
    <s v="2577200"/>
    <n v="700032"/>
    <s v="Salaries-Other Pat Care Providers-Productive"/>
    <s v="Urology-Tacoma-Uro"/>
    <x v="0"/>
    <m/>
    <n v="3401.79"/>
    <n v="3756.23"/>
    <n v="3901.38"/>
    <n v="4467.25"/>
    <n v="5041.74"/>
    <n v="4710.57"/>
    <n v="7699.14"/>
    <n v="7098.12"/>
    <n v="8191.41"/>
    <n v="8259.02"/>
    <n v="6457.71"/>
    <n v="5607.29"/>
    <n v="68591.650000000009"/>
    <n v="850.42000000000007"/>
  </r>
  <r>
    <x v="5"/>
    <x v="1"/>
    <x v="0"/>
    <s v="2577200"/>
    <n v="700032"/>
    <s v="Salaries-Other Pat Care Providers-OT"/>
    <s v="Urology-Tacoma-Uro"/>
    <x v="0"/>
    <n v="1000"/>
    <n v="64.77"/>
    <n v="16.2"/>
    <n v="125.95"/>
    <n v="134.94999999999999"/>
    <n v="437.6"/>
    <n v="117.59"/>
    <n v="326.48"/>
    <n v="4.1399999999999997"/>
    <n v="150.97"/>
    <n v="325.20999999999998"/>
    <n v="45.97"/>
    <n v="18.39"/>
    <n v="1768.2200000000003"/>
    <n v="27.58"/>
  </r>
  <r>
    <x v="5"/>
    <x v="1"/>
    <x v="0"/>
    <s v="2577200"/>
    <n v="700032"/>
    <s v="Salaries-Other Pat Care Providers-Other"/>
    <s v="Urology-Tacoma-Uro"/>
    <x v="0"/>
    <n v="2000"/>
    <n v="0"/>
    <n v="0"/>
    <n v="0"/>
    <n v="30.6"/>
    <n v="36.15"/>
    <n v="2.42"/>
    <n v="49.9"/>
    <n v="0"/>
    <n v="0"/>
    <n v="14.27"/>
    <n v="0"/>
    <n v="0"/>
    <n v="133.34"/>
    <n v="0"/>
  </r>
  <r>
    <x v="5"/>
    <x v="1"/>
    <x v="0"/>
    <s v="2577200"/>
    <n v="700054"/>
    <s v="Salaries-Management-NonProd-Other"/>
    <s v="Urology-Tacoma-Uro"/>
    <x v="0"/>
    <n v="2000"/>
    <n v="0"/>
    <n v="0"/>
    <n v="0"/>
    <n v="0"/>
    <n v="0"/>
    <n v="1169.57"/>
    <n v="-1169.57"/>
    <n v="0"/>
    <n v="0"/>
    <n v="0"/>
    <n v="0"/>
    <n v="0"/>
    <n v="0"/>
    <n v="0"/>
  </r>
  <r>
    <x v="5"/>
    <x v="1"/>
    <x v="0"/>
    <s v="2577200"/>
    <n v="700058"/>
    <s v="Salaries-Supervisory-Non-productive"/>
    <s v="Urology-Tacoma-Uro"/>
    <x v="0"/>
    <m/>
    <n v="0"/>
    <n v="0"/>
    <n v="0"/>
    <n v="2017"/>
    <n v="-896.44"/>
    <n v="1979.65"/>
    <n v="1833.11"/>
    <n v="1571.08"/>
    <n v="-149.62"/>
    <n v="1636.55"/>
    <n v="1122.21"/>
    <n v="748.13"/>
    <n v="9861.67"/>
    <n v="374.08000000000004"/>
  </r>
  <r>
    <x v="5"/>
    <x v="1"/>
    <x v="0"/>
    <s v="2577200"/>
    <n v="700058"/>
    <s v="Salaries-Supervisory-NonProd-Other"/>
    <s v="Urology-Tacoma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7200"/>
    <n v="700062"/>
    <s v="Salaries-Physician-Non-productive"/>
    <s v="Urology-Tacoma-Uro"/>
    <x v="0"/>
    <m/>
    <n v="28894.59"/>
    <n v="48415.76"/>
    <n v="951.81"/>
    <n v="1041.9100000000001"/>
    <n v="15483.33"/>
    <n v="25088.83"/>
    <n v="10327.549999999999"/>
    <n v="43209.440000000002"/>
    <n v="-3907.86"/>
    <n v="27960.42"/>
    <n v="-10079.73"/>
    <n v="12390.47"/>
    <n v="199776.52000000002"/>
    <n v="-22470.199999999997"/>
  </r>
  <r>
    <x v="5"/>
    <x v="1"/>
    <x v="0"/>
    <s v="2577200"/>
    <n v="700062"/>
    <s v="Salaries-Physician-NonProd-Other"/>
    <s v="Urology-Tacoma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7200"/>
    <n v="700064"/>
    <s v="Salaries-Advanced Practice Clinician-Non-Productive"/>
    <s v="Urology-Tacoma-Uro"/>
    <x v="0"/>
    <m/>
    <n v="6346.13"/>
    <n v="5718.98"/>
    <n v="4238.9799999999996"/>
    <n v="7284.89"/>
    <n v="1762.32"/>
    <n v="12018.64"/>
    <n v="3131.59"/>
    <n v="1486.14"/>
    <n v="1569.69"/>
    <n v="5706.39"/>
    <n v="11068.57"/>
    <n v="6495.56"/>
    <n v="66827.88"/>
    <n v="4573.0099999999993"/>
  </r>
  <r>
    <x v="5"/>
    <x v="1"/>
    <x v="0"/>
    <s v="2577200"/>
    <n v="700066"/>
    <s v="Salaries-RN-Non-productive"/>
    <s v="Urology-Tacoma-Uro"/>
    <x v="0"/>
    <m/>
    <n v="2026.99"/>
    <n v="1654.36"/>
    <n v="-202.14"/>
    <n v="0"/>
    <n v="2940.84"/>
    <n v="-57.95"/>
    <n v="1550.06"/>
    <n v="3132.04"/>
    <n v="-603.6"/>
    <n v="2159.17"/>
    <n v="1787.38"/>
    <n v="1147.05"/>
    <n v="15534.2"/>
    <n v="640.33000000000015"/>
  </r>
  <r>
    <x v="5"/>
    <x v="1"/>
    <x v="0"/>
    <s v="2577200"/>
    <n v="700066"/>
    <s v="Salaries-RN-NonProd-Other"/>
    <s v="Urology-Tacoma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7200"/>
    <n v="700070"/>
    <s v="Salaries-LPN-Non-productive"/>
    <s v="Urology-Tacoma-Uro"/>
    <x v="0"/>
    <m/>
    <n v="1006.88"/>
    <n v="82.56"/>
    <n v="689.36"/>
    <n v="756.94"/>
    <n v="4.68"/>
    <n v="752.89"/>
    <n v="165.85"/>
    <n v="292.92"/>
    <n v="82.02"/>
    <n v="281.8"/>
    <n v="626.28"/>
    <n v="11.72"/>
    <n v="4753.8999999999996"/>
    <n v="614.55999999999995"/>
  </r>
  <r>
    <x v="5"/>
    <x v="1"/>
    <x v="0"/>
    <s v="2577200"/>
    <n v="700070"/>
    <s v="Salaries-LPN-NonProd-Other"/>
    <s v="Urology-Tacoma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7200"/>
    <n v="700072"/>
    <s v="Salaries-Other Pat Care Providers-Non-productive"/>
    <s v="Urology-Tacoma-Uro"/>
    <x v="0"/>
    <m/>
    <n v="820.47"/>
    <n v="657.93"/>
    <n v="9"/>
    <n v="514.16999999999996"/>
    <n v="-228.52"/>
    <n v="962.07"/>
    <n v="326.88"/>
    <n v="226.4"/>
    <n v="163.11000000000001"/>
    <n v="433.48"/>
    <n v="2584.0100000000002"/>
    <n v="397.24"/>
    <n v="6866.2400000000007"/>
    <n v="2186.7700000000004"/>
  </r>
  <r>
    <x v="5"/>
    <x v="1"/>
    <x v="0"/>
    <s v="2577200"/>
    <n v="700072"/>
    <s v="Salaries-Other Pat Care Providers-NonProd-Other"/>
    <s v="Urology-Tacoma-Uro"/>
    <x v="0"/>
    <n v="2000"/>
    <n v="0"/>
    <n v="0"/>
    <n v="0"/>
    <n v="0"/>
    <n v="9.91"/>
    <n v="0"/>
    <n v="0"/>
    <n v="0"/>
    <n v="0"/>
    <n v="0"/>
    <n v="0"/>
    <n v="0"/>
    <n v="9.91"/>
    <n v="0"/>
  </r>
  <r>
    <x v="5"/>
    <x v="1"/>
    <x v="0"/>
    <s v="2577200"/>
    <n v="700084"/>
    <s v="Accrued PTO"/>
    <s v="Urology-Tacoma-Uro"/>
    <x v="0"/>
    <m/>
    <n v="-716.02"/>
    <n v="-1642.4"/>
    <n v="165.54"/>
    <n v="952.76"/>
    <n v="1434.2"/>
    <n v="-320.10000000000002"/>
    <n v="-414.14"/>
    <n v="-722.77"/>
    <n v="2986.54"/>
    <n v="1672.05"/>
    <n v="-471.3"/>
    <n v="503.91"/>
    <n v="3428.2699999999995"/>
    <n v="-975.21"/>
  </r>
  <r>
    <x v="10"/>
    <x v="1"/>
    <x v="0"/>
    <s v="2577200"/>
    <n v="710060"/>
    <s v="Contract Labor-Other"/>
    <s v="Urology-Tacoma-Uro"/>
    <x v="0"/>
    <m/>
    <n v="0"/>
    <n v="0"/>
    <n v="0"/>
    <n v="6528"/>
    <n v="9656"/>
    <n v="9316"/>
    <n v="5168"/>
    <n v="0"/>
    <n v="0"/>
    <n v="0"/>
    <n v="0"/>
    <n v="0"/>
    <n v="30668"/>
    <n v="0"/>
  </r>
  <r>
    <x v="10"/>
    <x v="1"/>
    <x v="0"/>
    <s v="2577200"/>
    <n v="710060"/>
    <s v="Contract Labor-Overtime"/>
    <s v="Urology-Tacoma-Uro"/>
    <x v="0"/>
    <n v="5100"/>
    <n v="0"/>
    <n v="0"/>
    <n v="0"/>
    <n v="0"/>
    <n v="0"/>
    <n v="390.15"/>
    <n v="183.6"/>
    <n v="0"/>
    <n v="0"/>
    <n v="0"/>
    <n v="0"/>
    <n v="0"/>
    <n v="573.75"/>
    <n v="0"/>
  </r>
  <r>
    <x v="6"/>
    <x v="1"/>
    <x v="0"/>
    <s v="2577200"/>
    <n v="713010"/>
    <s v="Benefits-FICA/Medicare"/>
    <s v="Urology-Tacoma-Uro"/>
    <x v="0"/>
    <m/>
    <n v="7366.36"/>
    <n v="7131.85"/>
    <n v="6137.66"/>
    <n v="6546.7"/>
    <n v="6171.91"/>
    <n v="9959.48"/>
    <n v="16440.849999999999"/>
    <n v="10903.14"/>
    <n v="6889.33"/>
    <n v="8441.8799999999992"/>
    <n v="8831.58"/>
    <n v="6753.92"/>
    <n v="101574.65999999999"/>
    <n v="2077.66"/>
  </r>
  <r>
    <x v="6"/>
    <x v="1"/>
    <x v="0"/>
    <s v="2577200"/>
    <n v="713090"/>
    <s v="Benefits-Allocated Amounts"/>
    <s v="Urology-Tacoma-Uro"/>
    <x v="0"/>
    <m/>
    <n v="0"/>
    <n v="0"/>
    <n v="0"/>
    <n v="0"/>
    <n v="0"/>
    <n v="0"/>
    <n v="0"/>
    <n v="0"/>
    <n v="90083.8"/>
    <n v="11657.32"/>
    <n v="11992.52"/>
    <n v="11244.39"/>
    <n v="124978.03"/>
    <n v="748.13000000000102"/>
  </r>
  <r>
    <x v="6"/>
    <x v="1"/>
    <x v="0"/>
    <s v="2577200"/>
    <n v="713092"/>
    <s v="Allocated Benefits-Physician"/>
    <s v="Urology-Tacoma-Uro"/>
    <x v="0"/>
    <m/>
    <n v="8445.0300000000007"/>
    <n v="6774.81"/>
    <n v="6911.96"/>
    <n v="7350.38"/>
    <n v="7309.24"/>
    <n v="7862.85"/>
    <n v="9804.57"/>
    <n v="9155.31"/>
    <n v="-32031.35"/>
    <n v="4086.99"/>
    <n v="4204.49"/>
    <n v="3942.22"/>
    <n v="43816.499999999993"/>
    <n v="262.27"/>
  </r>
  <r>
    <x v="6"/>
    <x v="1"/>
    <x v="0"/>
    <s v="2577200"/>
    <n v="713093"/>
    <s v="Allocated Benefits-Advanced Practice Clinician"/>
    <s v="Urology-Tacoma-Uro"/>
    <x v="0"/>
    <m/>
    <n v="11172.79"/>
    <n v="8963.1"/>
    <n v="9144.52"/>
    <n v="9724.57"/>
    <n v="9670.15"/>
    <n v="10402.56"/>
    <n v="12971.48"/>
    <n v="12112.5"/>
    <n v="-35012.639999999999"/>
    <n v="6360.15"/>
    <n v="6543.02"/>
    <n v="6134.86"/>
    <n v="68187.06"/>
    <n v="408.16000000000076"/>
  </r>
  <r>
    <x v="7"/>
    <x v="1"/>
    <x v="0"/>
    <s v="2577200"/>
    <n v="718050"/>
    <s v="Contract Svcs-Other"/>
    <s v="Urology-Tacoma-Uro"/>
    <x v="0"/>
    <m/>
    <n v="0"/>
    <n v="0"/>
    <n v="109.77"/>
    <n v="1908.24"/>
    <n v="1037.07"/>
    <n v="0"/>
    <n v="109.77"/>
    <n v="0"/>
    <n v="0"/>
    <n v="0"/>
    <n v="0"/>
    <n v="0"/>
    <n v="3164.85"/>
    <n v="0"/>
  </r>
  <r>
    <x v="7"/>
    <x v="1"/>
    <x v="0"/>
    <s v="2577200"/>
    <n v="718050"/>
    <s v="Contract Management--Linen"/>
    <s v="Urology-Tacoma-Uro"/>
    <x v="0"/>
    <n v="1026"/>
    <n v="0"/>
    <n v="0"/>
    <n v="139.05000000000001"/>
    <n v="0"/>
    <n v="0"/>
    <n v="0"/>
    <n v="0"/>
    <n v="0"/>
    <n v="0"/>
    <n v="0"/>
    <n v="0"/>
    <n v="0"/>
    <n v="139.05000000000001"/>
    <n v="0"/>
  </r>
  <r>
    <x v="7"/>
    <x v="1"/>
    <x v="0"/>
    <s v="2577200"/>
    <n v="718050"/>
    <s v="Purchased Srvcs--Medical Waste"/>
    <s v="Urology-Tacoma-Uro"/>
    <x v="0"/>
    <n v="1027"/>
    <n v="0"/>
    <n v="0"/>
    <n v="0"/>
    <n v="132.66"/>
    <n v="168.52"/>
    <n v="0"/>
    <n v="0"/>
    <n v="0"/>
    <n v="0"/>
    <n v="134.19999999999999"/>
    <n v="0"/>
    <n v="0"/>
    <n v="435.38"/>
    <n v="0"/>
  </r>
  <r>
    <x v="11"/>
    <x v="1"/>
    <x v="0"/>
    <s v="2577200"/>
    <n v="721010"/>
    <s v="Supplies-Medical - Billable"/>
    <s v="Urology-Tacoma-Uro"/>
    <x v="0"/>
    <m/>
    <n v="0"/>
    <n v="0"/>
    <n v="0"/>
    <n v="0"/>
    <n v="0"/>
    <n v="0"/>
    <n v="0"/>
    <n v="0"/>
    <n v="0"/>
    <n v="3507.74"/>
    <n v="-63"/>
    <n v="0"/>
    <n v="3444.74"/>
    <n v="-63"/>
  </r>
  <r>
    <x v="11"/>
    <x v="1"/>
    <x v="0"/>
    <s v="2577200"/>
    <n v="721250"/>
    <s v="Supplies-Pharmacy Drugs - Billable"/>
    <s v="Urology-Tacoma-Uro"/>
    <x v="0"/>
    <m/>
    <n v="21929.22"/>
    <n v="14973.35"/>
    <n v="18911.66"/>
    <n v="21772.55"/>
    <n v="21894.98"/>
    <n v="27566.65"/>
    <n v="29153.1"/>
    <n v="15847.41"/>
    <n v="13817.8"/>
    <n v="6726.59"/>
    <n v="8596.85"/>
    <n v="9767.0499999999993"/>
    <n v="210957.21"/>
    <n v="-1170.1999999999989"/>
  </r>
  <r>
    <x v="11"/>
    <x v="1"/>
    <x v="0"/>
    <s v="2577200"/>
    <n v="721410"/>
    <s v="Supplies-Medical - Nonbillable"/>
    <s v="Urology-Tacoma-Uro"/>
    <x v="0"/>
    <m/>
    <n v="0"/>
    <n v="0"/>
    <n v="0"/>
    <n v="8064.05"/>
    <n v="9910.64"/>
    <n v="3526.4"/>
    <n v="8763.56"/>
    <n v="9792.33"/>
    <n v="4576.17"/>
    <n v="1250.23"/>
    <n v="2919.47"/>
    <n v="8903.6"/>
    <n v="57706.450000000004"/>
    <n v="-5984.130000000001"/>
  </r>
  <r>
    <x v="11"/>
    <x v="1"/>
    <x v="0"/>
    <s v="2577200"/>
    <n v="722000"/>
    <s v="Supplies-Freight Expense"/>
    <s v="Urology-Tacoma-Uro"/>
    <x v="0"/>
    <m/>
    <n v="0"/>
    <n v="0"/>
    <n v="0"/>
    <n v="0"/>
    <n v="0"/>
    <n v="0"/>
    <n v="0"/>
    <n v="0"/>
    <n v="0"/>
    <n v="3.44"/>
    <n v="63"/>
    <n v="0"/>
    <n v="66.44"/>
    <n v="63"/>
  </r>
  <r>
    <x v="16"/>
    <x v="1"/>
    <x v="0"/>
    <s v="2577200"/>
    <n v="732015"/>
    <s v="Repairs-Clinical Equip-T&amp;M-Ext to CHI Programs"/>
    <s v="Urology-Tacoma-Uro"/>
    <x v="0"/>
    <m/>
    <n v="0"/>
    <n v="0"/>
    <n v="0"/>
    <n v="0"/>
    <n v="0"/>
    <n v="0"/>
    <n v="0"/>
    <n v="0"/>
    <n v="0"/>
    <n v="0"/>
    <n v="0"/>
    <n v="21945.16"/>
    <n v="21945.16"/>
    <n v="-21945.16"/>
  </r>
  <r>
    <x v="16"/>
    <x v="1"/>
    <x v="0"/>
    <s v="2577200"/>
    <n v="732030"/>
    <s v="Repairs---Other"/>
    <s v="Urology-Tacoma-Uro"/>
    <x v="0"/>
    <m/>
    <n v="0"/>
    <n v="0"/>
    <n v="0"/>
    <n v="0"/>
    <n v="0"/>
    <n v="0"/>
    <n v="369"/>
    <n v="0"/>
    <n v="37.270000000000003"/>
    <n v="0"/>
    <n v="0"/>
    <n v="0"/>
    <n v="406.27"/>
    <n v="0"/>
  </r>
  <r>
    <x v="13"/>
    <x v="1"/>
    <x v="0"/>
    <s v="2577200"/>
    <n v="735070"/>
    <s v="Depreciation-Movable Equipment"/>
    <s v="Urology-Tacoma-Uro"/>
    <x v="0"/>
    <m/>
    <n v="0"/>
    <n v="2656.97"/>
    <n v="2656.97"/>
    <n v="2656.97"/>
    <n v="2656.98"/>
    <n v="3515.31"/>
    <n v="3515.32"/>
    <n v="3515.31"/>
    <n v="3515.32"/>
    <n v="3816.09"/>
    <n v="3816.11"/>
    <n v="33478.58"/>
    <n v="65799.930000000008"/>
    <n v="-29662.47"/>
  </r>
  <r>
    <x v="0"/>
    <x v="1"/>
    <x v="0"/>
    <s v="2577200"/>
    <n v="740022"/>
    <s v="Education-Physician"/>
    <s v="Urology-Tacoma-Uro"/>
    <x v="0"/>
    <m/>
    <n v="0"/>
    <n v="0"/>
    <n v="0"/>
    <n v="0"/>
    <n v="0"/>
    <n v="0"/>
    <n v="0"/>
    <n v="0"/>
    <n v="625"/>
    <n v="0"/>
    <n v="0"/>
    <n v="0"/>
    <n v="625"/>
    <n v="0"/>
  </r>
  <r>
    <x v="0"/>
    <x v="1"/>
    <x v="0"/>
    <s v="2577200"/>
    <n v="740023"/>
    <s v="Education-Advanced Practice Clinician"/>
    <s v="Urology-Tacoma-Uro"/>
    <x v="0"/>
    <m/>
    <n v="0"/>
    <n v="0"/>
    <n v="0"/>
    <n v="1008.5"/>
    <n v="0"/>
    <n v="0"/>
    <n v="0"/>
    <n v="0"/>
    <n v="0"/>
    <n v="210"/>
    <n v="0"/>
    <n v="0"/>
    <n v="1218.5"/>
    <n v="0"/>
  </r>
  <r>
    <x v="8"/>
    <x v="1"/>
    <x v="0"/>
    <s v="2577200"/>
    <n v="741012"/>
    <s v="Physician Liab Insurance-CHI Program"/>
    <s v="Urology-Tacoma-Uro"/>
    <x v="0"/>
    <m/>
    <n v="1894.66"/>
    <n v="1894.66"/>
    <n v="1894.66"/>
    <n v="1894.66"/>
    <n v="1894.68"/>
    <n v="1894.66"/>
    <n v="1894.68"/>
    <n v="1894.66"/>
    <n v="1894.68"/>
    <n v="1894.66"/>
    <n v="1894.68"/>
    <n v="1894.66"/>
    <n v="22736"/>
    <n v="1.999999999998181E-2"/>
  </r>
  <r>
    <x v="0"/>
    <x v="1"/>
    <x v="0"/>
    <s v="2577200"/>
    <n v="743020"/>
    <s v="Dues--Individual"/>
    <s v="Urology-Tacoma-Uro"/>
    <x v="0"/>
    <m/>
    <n v="0"/>
    <n v="0"/>
    <n v="0"/>
    <n v="0"/>
    <n v="0"/>
    <n v="0"/>
    <n v="0"/>
    <n v="1560"/>
    <n v="0"/>
    <n v="0"/>
    <n v="0"/>
    <n v="0"/>
    <n v="1560"/>
    <n v="0"/>
  </r>
  <r>
    <x v="0"/>
    <x v="1"/>
    <x v="0"/>
    <s v="2577200"/>
    <n v="743022"/>
    <s v="Dues-Physician"/>
    <s v="Urology-Tacoma-Uro"/>
    <x v="0"/>
    <m/>
    <n v="0"/>
    <n v="0"/>
    <n v="0"/>
    <n v="0"/>
    <n v="0"/>
    <n v="0"/>
    <n v="0"/>
    <n v="655"/>
    <n v="0"/>
    <n v="0"/>
    <n v="0"/>
    <n v="0"/>
    <n v="655"/>
    <n v="0"/>
  </r>
  <r>
    <x v="0"/>
    <x v="1"/>
    <x v="0"/>
    <s v="2577200"/>
    <n v="749510"/>
    <s v="Miscellaneous Expenses"/>
    <s v="Urology-Tacoma-Uro"/>
    <x v="0"/>
    <m/>
    <n v="0"/>
    <n v="-387.47"/>
    <n v="509.63"/>
    <n v="-100.65"/>
    <n v="0"/>
    <n v="0"/>
    <n v="0"/>
    <n v="0"/>
    <n v="0"/>
    <n v="0"/>
    <n v="0"/>
    <n v="782"/>
    <n v="803.51"/>
    <n v="-782"/>
  </r>
  <r>
    <x v="0"/>
    <x v="1"/>
    <x v="0"/>
    <s v="2577200"/>
    <n v="749512"/>
    <s v="Licenses-Physician"/>
    <s v="Urology-Tacoma-Uro"/>
    <x v="0"/>
    <n v="2000"/>
    <n v="0"/>
    <n v="0"/>
    <n v="0"/>
    <n v="0"/>
    <n v="0"/>
    <n v="0"/>
    <n v="0"/>
    <n v="0"/>
    <n v="659.5"/>
    <n v="0"/>
    <n v="0"/>
    <n v="0"/>
    <n v="659.5"/>
    <n v="0"/>
  </r>
  <r>
    <x v="0"/>
    <x v="1"/>
    <x v="0"/>
    <s v="2577200"/>
    <n v="749513"/>
    <s v="Licenses-Advanced Practice Clinician"/>
    <s v="Urology-Tacoma-Uro"/>
    <x v="0"/>
    <n v="2000"/>
    <n v="0"/>
    <n v="0"/>
    <n v="0"/>
    <n v="0"/>
    <n v="0"/>
    <n v="0"/>
    <n v="0"/>
    <n v="0"/>
    <n v="247.5"/>
    <n v="0"/>
    <n v="0"/>
    <n v="0"/>
    <n v="247.5"/>
    <n v="0"/>
  </r>
  <r>
    <x v="0"/>
    <x v="1"/>
    <x v="0"/>
    <s v="2577200"/>
    <n v="749530"/>
    <s v="Travel"/>
    <s v="Urology-Tacoma-Uro"/>
    <x v="0"/>
    <m/>
    <n v="0"/>
    <n v="5"/>
    <n v="0"/>
    <n v="0"/>
    <n v="0"/>
    <n v="0"/>
    <n v="0"/>
    <n v="0"/>
    <n v="0"/>
    <n v="0"/>
    <n v="0"/>
    <n v="0"/>
    <n v="5"/>
    <n v="0"/>
  </r>
  <r>
    <x v="0"/>
    <x v="1"/>
    <x v="0"/>
    <s v="2577200"/>
    <n v="749530"/>
    <s v="Mileage"/>
    <s v="Urology-Tacoma-Uro"/>
    <x v="0"/>
    <n v="1001"/>
    <n v="0"/>
    <n v="8.18"/>
    <n v="0"/>
    <n v="0"/>
    <n v="0"/>
    <n v="0"/>
    <n v="0"/>
    <n v="0"/>
    <n v="0"/>
    <n v="20.88"/>
    <n v="0"/>
    <n v="0"/>
    <n v="29.06"/>
    <n v="0"/>
  </r>
  <r>
    <x v="0"/>
    <x v="1"/>
    <x v="0"/>
    <s v="2577200"/>
    <n v="749532"/>
    <s v="Travel-Physician"/>
    <s v="Urology-Tacoma-Uro"/>
    <x v="0"/>
    <m/>
    <n v="0"/>
    <n v="0"/>
    <n v="0"/>
    <n v="0"/>
    <n v="0"/>
    <n v="0"/>
    <n v="0"/>
    <n v="0"/>
    <n v="2375"/>
    <n v="0"/>
    <n v="0"/>
    <n v="0"/>
    <n v="2375"/>
    <n v="0"/>
  </r>
  <r>
    <x v="0"/>
    <x v="1"/>
    <x v="0"/>
    <s v="2577200"/>
    <n v="749533"/>
    <s v="Travel-Advanced Practice Clinician"/>
    <s v="Urology-Tacoma-Uro"/>
    <x v="0"/>
    <m/>
    <n v="0"/>
    <n v="0"/>
    <n v="0"/>
    <n v="625.69000000000005"/>
    <n v="0"/>
    <n v="0"/>
    <n v="878.84"/>
    <n v="0"/>
    <n v="13.22"/>
    <n v="0"/>
    <n v="0"/>
    <n v="0"/>
    <n v="1517.7500000000002"/>
    <n v="0"/>
  </r>
  <r>
    <x v="0"/>
    <x v="1"/>
    <x v="0"/>
    <s v="2577200"/>
    <n v="749533"/>
    <s v="Vehicle Expense-Advanced Practice Clinician"/>
    <s v="Urology-Tacoma-Uro"/>
    <x v="0"/>
    <n v="2001"/>
    <n v="0"/>
    <n v="0"/>
    <n v="0"/>
    <n v="49.05"/>
    <n v="0"/>
    <n v="0"/>
    <n v="0"/>
    <n v="0"/>
    <n v="0"/>
    <n v="0"/>
    <n v="0"/>
    <n v="0"/>
    <n v="49.05"/>
    <n v="0"/>
  </r>
  <r>
    <x v="9"/>
    <x v="1"/>
    <x v="0"/>
    <s v="2577200"/>
    <n v="800015"/>
    <s v="Interest Income-Ext to CHI"/>
    <s v="Urology-Tacoma-Uro"/>
    <x v="0"/>
    <m/>
    <n v="-20.34"/>
    <n v="-19.329999999999998"/>
    <n v="-17.72"/>
    <n v="-17.29"/>
    <n v="-15.75"/>
    <n v="-15.26"/>
    <n v="-14.24"/>
    <n v="-11.94"/>
    <n v="-12.2"/>
    <n v="-10.83"/>
    <n v="-10.17"/>
    <n v="-8.86"/>
    <n v="-173.93"/>
    <n v="-1.3100000000000005"/>
  </r>
  <r>
    <x v="1"/>
    <x v="1"/>
    <x v="0"/>
    <s v="2578200"/>
    <n v="400029"/>
    <s v="MD Practice Other Rev--Managed Care"/>
    <s v="Spec Ctr-Canyon Rd-Int Med"/>
    <x v="0"/>
    <n v="1400"/>
    <n v="0"/>
    <n v="0"/>
    <n v="0"/>
    <n v="0"/>
    <n v="61"/>
    <n v="0"/>
    <n v="0"/>
    <n v="0"/>
    <n v="0"/>
    <n v="0"/>
    <n v="0"/>
    <n v="0"/>
    <n v="61"/>
    <n v="0"/>
  </r>
  <r>
    <x v="1"/>
    <x v="1"/>
    <x v="0"/>
    <s v="2578200"/>
    <n v="400029"/>
    <s v="MD Practice Other Rev--Self Pay"/>
    <s v="Spec Ctr-Canyon Rd-Int Med"/>
    <x v="0"/>
    <n v="1500"/>
    <n v="0"/>
    <n v="0"/>
    <n v="0"/>
    <n v="0"/>
    <n v="-61"/>
    <n v="61"/>
    <n v="0"/>
    <n v="0"/>
    <n v="0"/>
    <n v="0"/>
    <n v="0"/>
    <n v="0"/>
    <n v="0"/>
    <n v="0"/>
  </r>
  <r>
    <x v="1"/>
    <x v="1"/>
    <x v="0"/>
    <s v="2578200"/>
    <n v="400029"/>
    <s v="MD Practice Other Rev--Other"/>
    <s v="Spec Ctr-Canyon Rd-Int Med"/>
    <x v="0"/>
    <n v="1700"/>
    <n v="0"/>
    <n v="0"/>
    <n v="0"/>
    <n v="0"/>
    <n v="0"/>
    <n v="-61"/>
    <n v="0"/>
    <n v="-24"/>
    <n v="0"/>
    <n v="0"/>
    <n v="0"/>
    <n v="0"/>
    <n v="-85"/>
    <n v="0"/>
  </r>
  <r>
    <x v="1"/>
    <x v="1"/>
    <x v="0"/>
    <s v="2578200"/>
    <n v="400040"/>
    <s v="Physician Svcs Rev--Medicare"/>
    <s v="Spec Ctr-Canyon Rd-Int Med"/>
    <x v="0"/>
    <n v="1100"/>
    <n v="-588"/>
    <n v="-1655"/>
    <n v="-2952"/>
    <n v="-2020"/>
    <n v="-186"/>
    <n v="-1930"/>
    <n v="-1214"/>
    <n v="-1195"/>
    <n v="-1176"/>
    <n v="-1968"/>
    <n v="-1930"/>
    <n v="-2537"/>
    <n v="-19351"/>
    <n v="607"/>
  </r>
  <r>
    <x v="1"/>
    <x v="1"/>
    <x v="0"/>
    <s v="2578200"/>
    <n v="400040"/>
    <s v="Physician Svcs Rev--Medicaid"/>
    <s v="Spec Ctr-Canyon Rd-Int Med"/>
    <x v="0"/>
    <n v="1200"/>
    <n v="-1024"/>
    <n v="-1764"/>
    <n v="-294"/>
    <n v="-2548"/>
    <n v="-2952"/>
    <n v="-1326"/>
    <n v="-1344"/>
    <n v="-524"/>
    <n v="-735"/>
    <n v="-588"/>
    <n v="-147"/>
    <n v="-441"/>
    <n v="-13687"/>
    <n v="294"/>
  </r>
  <r>
    <x v="1"/>
    <x v="1"/>
    <x v="0"/>
    <s v="2578200"/>
    <n v="400040"/>
    <s v="Physician Svcs Rev--Comm Insurance"/>
    <s v="Spec Ctr-Canyon Rd-Int Med"/>
    <x v="0"/>
    <n v="1300"/>
    <n v="-147"/>
    <n v="-676"/>
    <n v="-296"/>
    <n v="-166"/>
    <n v="0"/>
    <n v="0"/>
    <n v="0"/>
    <n v="0"/>
    <n v="-294"/>
    <n v="-294"/>
    <n v="-294"/>
    <n v="-147"/>
    <n v="-2314"/>
    <n v="-147"/>
  </r>
  <r>
    <x v="1"/>
    <x v="1"/>
    <x v="0"/>
    <s v="2578200"/>
    <n v="400040"/>
    <s v="Physician Svcs Rev--BCBS Comm"/>
    <s v="Spec Ctr-Canyon Rd-Int Med"/>
    <x v="0"/>
    <n v="1301"/>
    <n v="-1012"/>
    <n v="-15"/>
    <n v="0"/>
    <n v="-298"/>
    <n v="61"/>
    <n v="-1290"/>
    <n v="-396"/>
    <n v="-237"/>
    <n v="-147"/>
    <n v="0"/>
    <n v="453"/>
    <n v="-588"/>
    <n v="-3469"/>
    <n v="1041"/>
  </r>
  <r>
    <x v="1"/>
    <x v="1"/>
    <x v="0"/>
    <s v="2578200"/>
    <n v="400040"/>
    <s v="Physician Svcs Rev--Managed Care"/>
    <s v="Spec Ctr-Canyon Rd-Int Med"/>
    <x v="0"/>
    <n v="1400"/>
    <n v="-1982"/>
    <n v="-1591"/>
    <n v="-844"/>
    <n v="-3995"/>
    <n v="-1027"/>
    <n v="-835"/>
    <n v="-282"/>
    <n v="-1029"/>
    <n v="-882"/>
    <n v="-2156"/>
    <n v="-1709"/>
    <n v="-1470"/>
    <n v="-17802"/>
    <n v="-239"/>
  </r>
  <r>
    <x v="1"/>
    <x v="1"/>
    <x v="0"/>
    <s v="2578200"/>
    <n v="400040"/>
    <s v="Physician Svcs Rev--Self Pay"/>
    <s v="Spec Ctr-Canyon Rd-Int Med"/>
    <x v="0"/>
    <n v="1500"/>
    <n v="-266"/>
    <n v="0"/>
    <n v="0"/>
    <n v="-2050"/>
    <n v="-1889"/>
    <n v="0"/>
    <n v="-2088"/>
    <n v="0"/>
    <n v="-800"/>
    <n v="-295"/>
    <n v="-853"/>
    <n v="-615"/>
    <n v="-8856"/>
    <n v="-238"/>
  </r>
  <r>
    <x v="1"/>
    <x v="1"/>
    <x v="0"/>
    <s v="2578200"/>
    <n v="400040"/>
    <s v="Physician Svcs Rev--Other"/>
    <s v="Spec Ctr-Canyon Rd-Int Med"/>
    <x v="0"/>
    <n v="1700"/>
    <n v="-47148"/>
    <n v="-58150"/>
    <n v="-47187"/>
    <n v="-29174"/>
    <n v="-21363"/>
    <n v="-17911"/>
    <n v="-25853"/>
    <n v="-31990"/>
    <n v="-29310"/>
    <n v="-24766"/>
    <n v="-20049"/>
    <n v="-30829"/>
    <n v="-383730"/>
    <n v="10780"/>
  </r>
  <r>
    <x v="2"/>
    <x v="1"/>
    <x v="0"/>
    <s v="2578200"/>
    <n v="450029"/>
    <s v="Contr Allow--MD Other-Managed Care"/>
    <s v="Spec Ctr-Canyon Rd-Int Med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2578200"/>
    <n v="450029"/>
    <s v="Admin Adjust-MD Other-Self Pay"/>
    <s v="Spec Ctr-Canyon Rd-Int Med"/>
    <x v="0"/>
    <n v="1600"/>
    <n v="0"/>
    <n v="0"/>
    <n v="0"/>
    <n v="0"/>
    <n v="0"/>
    <n v="0"/>
    <n v="0"/>
    <n v="85"/>
    <n v="0"/>
    <n v="0"/>
    <n v="0"/>
    <n v="0"/>
    <n v="85"/>
    <n v="0"/>
  </r>
  <r>
    <x v="2"/>
    <x v="1"/>
    <x v="0"/>
    <s v="2578200"/>
    <n v="450040"/>
    <s v="Contr Allow--Phys Svcs--Mcare"/>
    <s v="Spec Ctr-Canyon Rd-Int Med"/>
    <x v="0"/>
    <n v="1100"/>
    <n v="654.19000000000005"/>
    <n v="502.91"/>
    <n v="1180.51"/>
    <n v="1723.95"/>
    <n v="899.63"/>
    <n v="845.7"/>
    <n v="619.84"/>
    <n v="931.85"/>
    <n v="1011.37"/>
    <n v="844.61"/>
    <n v="1208.55"/>
    <n v="733.91"/>
    <n v="11157.02"/>
    <n v="474.64"/>
  </r>
  <r>
    <x v="2"/>
    <x v="1"/>
    <x v="0"/>
    <s v="2578200"/>
    <n v="450040"/>
    <s v="Contr Allow--Phys Svcs--Mcaid"/>
    <s v="Spec Ctr-Canyon Rd-Int Med"/>
    <x v="0"/>
    <n v="1200"/>
    <n v="1173.28"/>
    <n v="1007.02"/>
    <n v="340.43"/>
    <n v="992.63"/>
    <n v="2698.23"/>
    <n v="1120.4100000000001"/>
    <n v="1048.78"/>
    <n v="769.49"/>
    <n v="565.66999999999996"/>
    <n v="614.80999999999995"/>
    <n v="0"/>
    <n v="484.15"/>
    <n v="10814.9"/>
    <n v="-484.15"/>
  </r>
  <r>
    <x v="2"/>
    <x v="1"/>
    <x v="0"/>
    <s v="2578200"/>
    <n v="450040"/>
    <s v="Contr Allow--Phys Svcs--Comm Insurance"/>
    <s v="Spec Ctr-Canyon Rd-Int Med"/>
    <x v="0"/>
    <n v="1300"/>
    <n v="70.95"/>
    <n v="49.01"/>
    <n v="308.45999999999998"/>
    <n v="41.68"/>
    <n v="0"/>
    <n v="0"/>
    <n v="0"/>
    <n v="0"/>
    <n v="0"/>
    <n v="254.8"/>
    <n v="163.57"/>
    <n v="0"/>
    <n v="888.47"/>
    <n v="163.57"/>
  </r>
  <r>
    <x v="2"/>
    <x v="1"/>
    <x v="0"/>
    <s v="2578200"/>
    <n v="450040"/>
    <s v="Contr Allow--Phys Svcs--BCBS Comm Ins"/>
    <s v="Spec Ctr-Canyon Rd-Int Med"/>
    <x v="0"/>
    <n v="1301"/>
    <n v="53.94"/>
    <n v="0"/>
    <n v="132.76"/>
    <n v="0"/>
    <n v="106.01"/>
    <n v="71.959999999999994"/>
    <n v="0"/>
    <n v="250.94"/>
    <n v="0"/>
    <n v="431.98"/>
    <n v="-212.94"/>
    <n v="71.959999999999994"/>
    <n v="906.6099999999999"/>
    <n v="-284.89999999999998"/>
  </r>
  <r>
    <x v="2"/>
    <x v="1"/>
    <x v="0"/>
    <s v="2578200"/>
    <n v="450040"/>
    <s v="Contr Allow--Phys Svcs--Managed Care"/>
    <s v="Spec Ctr-Canyon Rd-Int Med"/>
    <x v="0"/>
    <n v="1400"/>
    <n v="1112.92"/>
    <n v="491.6"/>
    <n v="475.37"/>
    <n v="946.73"/>
    <n v="556.85"/>
    <n v="477.12"/>
    <n v="-2.84"/>
    <n v="382.11"/>
    <n v="371.35"/>
    <n v="354.9"/>
    <n v="217.81"/>
    <n v="224.92"/>
    <n v="5608.84"/>
    <n v="-7.1099999999999852"/>
  </r>
  <r>
    <x v="2"/>
    <x v="1"/>
    <x v="0"/>
    <s v="2578200"/>
    <n v="450040"/>
    <s v="Contr Allow--Phys Svcs--BCBS Mgnd Care"/>
    <s v="Spec Ctr-Canyon Rd-Int Med"/>
    <x v="0"/>
    <n v="1401"/>
    <n v="1209.3699999999999"/>
    <n v="-4077.1"/>
    <n v="-1873.84"/>
    <n v="-4894.54"/>
    <n v="6.84"/>
    <n v="-4273.54"/>
    <n v="1337.05"/>
    <n v="4362.62"/>
    <n v="-6918.31"/>
    <n v="-904.4"/>
    <n v="-3780.19"/>
    <n v="8282.7800000000007"/>
    <n v="-11523.260000000004"/>
    <n v="-12062.970000000001"/>
  </r>
  <r>
    <x v="2"/>
    <x v="1"/>
    <x v="0"/>
    <s v="2578200"/>
    <n v="450040"/>
    <s v="Admin Adjust-Phys Svcs-Self Pay"/>
    <s v="Spec Ctr-Canyon Rd-Int Med"/>
    <x v="0"/>
    <n v="1600"/>
    <n v="75.849999999999994"/>
    <n v="62.26"/>
    <n v="1309.02"/>
    <n v="0"/>
    <n v="400.93"/>
    <n v="77.75"/>
    <n v="180.56"/>
    <n v="-302"/>
    <n v="0"/>
    <n v="850.15"/>
    <n v="0"/>
    <n v="0"/>
    <n v="2654.52"/>
    <n v="0"/>
  </r>
  <r>
    <x v="2"/>
    <x v="1"/>
    <x v="0"/>
    <s v="2578200"/>
    <n v="450040"/>
    <s v="Contr Allow--Phys Svcs--Other"/>
    <s v="Spec Ctr-Canyon Rd-Int Med"/>
    <x v="0"/>
    <n v="1700"/>
    <n v="14619.63"/>
    <n v="22387.63"/>
    <n v="16848.939999999999"/>
    <n v="14253.91"/>
    <n v="7360.74"/>
    <n v="8807.3799999999992"/>
    <n v="9674.51"/>
    <n v="8103.74"/>
    <n v="12954.53"/>
    <n v="8975.11"/>
    <n v="10519.83"/>
    <n v="6079.22"/>
    <n v="140585.17000000001"/>
    <n v="4440.6099999999997"/>
  </r>
  <r>
    <x v="3"/>
    <x v="1"/>
    <x v="0"/>
    <s v="2578200"/>
    <n v="470040"/>
    <s v="Charity Care-Physician Svcs"/>
    <s v="Spec Ctr-Canyon Rd-Int Med"/>
    <x v="0"/>
    <m/>
    <n v="-139.44"/>
    <n v="327.29000000000002"/>
    <n v="-111.14"/>
    <n v="-172.89"/>
    <n v="83.96"/>
    <n v="-367.27"/>
    <n v="-29.86"/>
    <n v="-10.09"/>
    <n v="56.46"/>
    <n v="-116.24"/>
    <n v="-311.66000000000003"/>
    <n v="971.33"/>
    <n v="180.45000000000005"/>
    <n v="-1282.99"/>
  </r>
  <r>
    <x v="4"/>
    <x v="1"/>
    <x v="0"/>
    <s v="2578200"/>
    <n v="490010"/>
    <s v="Provision for Bad Debts"/>
    <s v="Spec Ctr-Canyon Rd-Int Med"/>
    <x v="0"/>
    <m/>
    <n v="774.79"/>
    <n v="-754.17"/>
    <n v="-670.99"/>
    <n v="-1418.35"/>
    <n v="544.65"/>
    <n v="-964.22"/>
    <n v="-837.76"/>
    <n v="-157.37"/>
    <n v="-353.5"/>
    <n v="-165.51"/>
    <n v="-505.03"/>
    <n v="649.99"/>
    <n v="-3857.4700000000003"/>
    <n v="-1155.02"/>
  </r>
  <r>
    <x v="5"/>
    <x v="1"/>
    <x v="0"/>
    <s v="2578200"/>
    <n v="700018"/>
    <s v="Salaries-Supervisory-Productive"/>
    <s v="Spec Ctr-Canyon Rd-Int Med"/>
    <x v="0"/>
    <m/>
    <n v="1353.2"/>
    <n v="1826.82"/>
    <n v="1556.18"/>
    <n v="1922.28"/>
    <n v="1572.48"/>
    <n v="884.52"/>
    <n v="1982.61"/>
    <n v="2474.67"/>
    <n v="1546.68"/>
    <n v="1715.39"/>
    <n v="1096.74"/>
    <n v="2249.6999999999998"/>
    <n v="20181.270000000004"/>
    <n v="-1152.9599999999998"/>
  </r>
  <r>
    <x v="5"/>
    <x v="1"/>
    <x v="0"/>
    <s v="2578200"/>
    <n v="700030"/>
    <s v="Salaries-LPN-Productive"/>
    <s v="Spec Ctr-Canyon Rd-Int Med"/>
    <x v="0"/>
    <m/>
    <n v="1415.7"/>
    <n v="0"/>
    <n v="0"/>
    <n v="0"/>
    <n v="0"/>
    <n v="0"/>
    <n v="0"/>
    <n v="0"/>
    <n v="0"/>
    <n v="0"/>
    <n v="0"/>
    <n v="1669.03"/>
    <n v="3084.73"/>
    <n v="-1669.03"/>
  </r>
  <r>
    <x v="5"/>
    <x v="1"/>
    <x v="0"/>
    <s v="2578200"/>
    <n v="700030"/>
    <s v="Salaries-LPN-OT"/>
    <s v="Spec Ctr-Canyon Rd-Int Med"/>
    <x v="0"/>
    <n v="1000"/>
    <n v="136.74"/>
    <n v="0"/>
    <n v="0"/>
    <n v="0"/>
    <n v="0"/>
    <n v="0"/>
    <n v="0"/>
    <n v="0"/>
    <n v="0"/>
    <n v="0"/>
    <n v="0"/>
    <n v="0"/>
    <n v="136.74"/>
    <n v="0"/>
  </r>
  <r>
    <x v="5"/>
    <x v="1"/>
    <x v="0"/>
    <s v="2578200"/>
    <n v="700032"/>
    <s v="Salaries-Other Pat Care Providers-Productive"/>
    <s v="Spec Ctr-Canyon Rd-Int Med"/>
    <x v="0"/>
    <m/>
    <n v="2293.3000000000002"/>
    <n v="3240.8"/>
    <n v="3467.12"/>
    <n v="3845.29"/>
    <n v="3600.99"/>
    <n v="3217.52"/>
    <n v="3247.36"/>
    <n v="2488.4"/>
    <n v="3829.71"/>
    <n v="3472.46"/>
    <n v="4036.97"/>
    <n v="2433.63"/>
    <n v="39173.549999999996"/>
    <n v="1603.3399999999997"/>
  </r>
  <r>
    <x v="5"/>
    <x v="1"/>
    <x v="0"/>
    <s v="2578200"/>
    <n v="700058"/>
    <s v="Salaries-Supervisory-Non-productive"/>
    <s v="Spec Ctr-Canyon Rd-Int Med"/>
    <x v="0"/>
    <m/>
    <n v="270.64"/>
    <n v="0"/>
    <n v="0"/>
    <n v="1010.88"/>
    <n v="112.32"/>
    <n v="772.2"/>
    <n v="-70.2"/>
    <n v="0"/>
    <n v="281.20999999999998"/>
    <n v="140.61000000000001"/>
    <n v="1124.8599999999999"/>
    <n v="281.2"/>
    <n v="3923.7200000000003"/>
    <n v="843.65999999999985"/>
  </r>
  <r>
    <x v="5"/>
    <x v="1"/>
    <x v="0"/>
    <s v="2578200"/>
    <n v="700070"/>
    <s v="Salaries-LPN-NonProd-Other"/>
    <s v="Spec Ctr-Canyon Rd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8200"/>
    <n v="700072"/>
    <s v="Salaries-Other Pat Care Providers-Non-productive"/>
    <s v="Spec Ctr-Canyon Rd-Int Med"/>
    <x v="0"/>
    <m/>
    <n v="1349.42"/>
    <n v="515.39"/>
    <n v="141.83000000000001"/>
    <n v="257.67"/>
    <n v="361.73"/>
    <n v="547.54999999999995"/>
    <n v="547.13"/>
    <n v="609.97"/>
    <n v="121.38"/>
    <n v="617.42999999999995"/>
    <n v="-4.34"/>
    <n v="1207.48"/>
    <n v="6272.6400000000012"/>
    <n v="-1211.82"/>
  </r>
  <r>
    <x v="5"/>
    <x v="1"/>
    <x v="0"/>
    <s v="2578200"/>
    <n v="700072"/>
    <s v="Salaries-Other Pat Care Providers-NonProd-Other"/>
    <s v="Spec Ctr-Canyon Rd-Int M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8200"/>
    <n v="700084"/>
    <s v="Accrued PTO"/>
    <s v="Spec Ctr-Canyon Rd-Int Med"/>
    <x v="0"/>
    <m/>
    <n v="-928.91"/>
    <n v="15.69"/>
    <n v="108.15"/>
    <n v="250.11"/>
    <n v="153.38999999999999"/>
    <n v="-177.25"/>
    <n v="-131.02000000000001"/>
    <n v="-10.19"/>
    <n v="312.99"/>
    <n v="-58.42"/>
    <n v="316.47000000000003"/>
    <n v="-693.1"/>
    <n v="-842.08999999999992"/>
    <n v="1009.57"/>
  </r>
  <r>
    <x v="6"/>
    <x v="1"/>
    <x v="0"/>
    <s v="2578200"/>
    <n v="713010"/>
    <s v="Benefits-FICA/Medicare"/>
    <s v="Spec Ctr-Canyon Rd-Int Med"/>
    <x v="0"/>
    <m/>
    <n v="504.81"/>
    <n v="412.58"/>
    <n v="380.21"/>
    <n v="518.72"/>
    <n v="418.04"/>
    <n v="394.32"/>
    <n v="409.18"/>
    <n v="399.87"/>
    <n v="414.32"/>
    <n v="426.65"/>
    <n v="448.08"/>
    <n v="568.80999999999995"/>
    <n v="5295.59"/>
    <n v="-120.72999999999996"/>
  </r>
  <r>
    <x v="6"/>
    <x v="1"/>
    <x v="0"/>
    <s v="2578200"/>
    <n v="713090"/>
    <s v="Benefits-Allocated Amounts"/>
    <s v="Spec Ctr-Canyon Rd-Int Med"/>
    <x v="0"/>
    <m/>
    <n v="1699.36"/>
    <n v="1169.19"/>
    <n v="1338.93"/>
    <n v="1508.89"/>
    <n v="1343.66"/>
    <n v="1340.72"/>
    <n v="1447.46"/>
    <n v="1526.17"/>
    <n v="1531.91"/>
    <n v="1318.08"/>
    <n v="1500.95"/>
    <n v="2176.4"/>
    <n v="17901.72"/>
    <n v="-675.45"/>
  </r>
  <r>
    <x v="11"/>
    <x v="1"/>
    <x v="0"/>
    <s v="2578200"/>
    <n v="721410"/>
    <s v="Supplies-Medical - Nonbillable"/>
    <s v="Spec Ctr-Canyon Rd-Int Med"/>
    <x v="0"/>
    <m/>
    <n v="257.01"/>
    <n v="190.69"/>
    <n v="89.71"/>
    <n v="251.79"/>
    <n v="246.04"/>
    <n v="430.26"/>
    <n v="714.06"/>
    <n v="452.91"/>
    <n v="188.64"/>
    <n v="880.36"/>
    <n v="1078.8499999999999"/>
    <n v="968.12"/>
    <n v="5748.44"/>
    <n v="110.7299999999999"/>
  </r>
  <r>
    <x v="11"/>
    <x v="1"/>
    <x v="0"/>
    <s v="2578200"/>
    <n v="721835"/>
    <s v="Supplies-Forms"/>
    <s v="Spec Ctr-Canyon Rd-Int Med"/>
    <x v="0"/>
    <m/>
    <n v="0"/>
    <n v="0"/>
    <n v="0"/>
    <n v="0"/>
    <n v="13.8"/>
    <n v="0"/>
    <n v="0"/>
    <n v="0"/>
    <n v="0"/>
    <n v="0"/>
    <n v="0"/>
    <n v="0"/>
    <n v="13.8"/>
    <n v="0"/>
  </r>
  <r>
    <x v="11"/>
    <x v="1"/>
    <x v="0"/>
    <s v="2578200"/>
    <n v="722000"/>
    <s v="Supplies-Freight Expense"/>
    <s v="Spec Ctr-Canyon Rd-Int Med"/>
    <x v="0"/>
    <m/>
    <n v="0"/>
    <n v="0"/>
    <n v="0"/>
    <n v="13.73"/>
    <n v="0"/>
    <n v="0"/>
    <n v="0"/>
    <n v="0"/>
    <n v="0"/>
    <n v="0"/>
    <n v="0"/>
    <n v="0"/>
    <n v="13.73"/>
    <n v="0"/>
  </r>
  <r>
    <x v="8"/>
    <x v="1"/>
    <x v="0"/>
    <s v="2578200"/>
    <n v="741012"/>
    <s v="Physician Liab Insurance-CHI Program"/>
    <s v="Spec Ctr-Canyon Rd-Int Med"/>
    <x v="0"/>
    <m/>
    <n v="426.3"/>
    <n v="426.3"/>
    <n v="426.3"/>
    <n v="426.3"/>
    <n v="426.3"/>
    <n v="426.3"/>
    <n v="426.3"/>
    <n v="426.3"/>
    <n v="426.3"/>
    <n v="426.3"/>
    <n v="426.3"/>
    <n v="426.3"/>
    <n v="5115.6000000000013"/>
    <n v="0"/>
  </r>
  <r>
    <x v="1"/>
    <x v="1"/>
    <x v="0"/>
    <s v="2579200"/>
    <n v="400029"/>
    <s v="MD Practice Other Rev--Medicare"/>
    <s v="Urology-Gig Harbor-Uro"/>
    <x v="0"/>
    <n v="1100"/>
    <n v="-1231"/>
    <n v="-1435"/>
    <n v="-960"/>
    <n v="-3100"/>
    <n v="-984"/>
    <n v="-1415"/>
    <n v="-1951"/>
    <n v="-883"/>
    <n v="-1289.5"/>
    <n v="-2164"/>
    <n v="-1231"/>
    <n v="-1096"/>
    <n v="-17739.5"/>
    <n v="-135"/>
  </r>
  <r>
    <x v="1"/>
    <x v="1"/>
    <x v="0"/>
    <s v="2579200"/>
    <n v="400029"/>
    <s v="MD Practice Other Rev--Medicaid"/>
    <s v="Urology-Gig Harbor-Uro"/>
    <x v="0"/>
    <n v="1200"/>
    <n v="-128"/>
    <n v="-89"/>
    <n v="-176"/>
    <n v="-20"/>
    <n v="-79"/>
    <n v="-40"/>
    <n v="-50"/>
    <n v="-10"/>
    <n v="-89"/>
    <n v="-40"/>
    <n v="-40"/>
    <n v="-40"/>
    <n v="-801"/>
    <n v="0"/>
  </r>
  <r>
    <x v="1"/>
    <x v="1"/>
    <x v="0"/>
    <s v="2579200"/>
    <n v="400029"/>
    <s v="MD Practice Other Rev--Comm Insurance"/>
    <s v="Urology-Gig Harbor-Uro"/>
    <x v="0"/>
    <n v="1300"/>
    <n v="-10"/>
    <n v="0"/>
    <n v="-10"/>
    <n v="-287"/>
    <n v="-20"/>
    <n v="-554"/>
    <n v="-30"/>
    <n v="-59"/>
    <n v="-10"/>
    <n v="-50"/>
    <n v="-20"/>
    <n v="0"/>
    <n v="-1050"/>
    <n v="-20"/>
  </r>
  <r>
    <x v="1"/>
    <x v="1"/>
    <x v="0"/>
    <s v="2579200"/>
    <n v="400029"/>
    <s v="MD Practice Other Rev--BCBS Comm"/>
    <s v="Urology-Gig Harbor-Uro"/>
    <x v="0"/>
    <n v="1301"/>
    <n v="-307"/>
    <n v="-10"/>
    <n v="-287"/>
    <n v="-89"/>
    <n v="-117"/>
    <n v="-148"/>
    <n v="-30"/>
    <n v="-30"/>
    <n v="-109"/>
    <n v="-267"/>
    <n v="-327"/>
    <n v="-317"/>
    <n v="-2038"/>
    <n v="-10"/>
  </r>
  <r>
    <x v="1"/>
    <x v="1"/>
    <x v="0"/>
    <s v="2579200"/>
    <n v="400029"/>
    <s v="MD Practice Other Rev--Managed Care"/>
    <s v="Urology-Gig Harbor-Uro"/>
    <x v="0"/>
    <n v="1400"/>
    <n v="-598"/>
    <n v="-119"/>
    <n v="-1171"/>
    <n v="-1019"/>
    <n v="-186"/>
    <n v="-148"/>
    <n v="-149"/>
    <n v="-260.7"/>
    <n v="-1019"/>
    <n v="-673"/>
    <n v="-416"/>
    <n v="-454"/>
    <n v="-6212.7"/>
    <n v="38"/>
  </r>
  <r>
    <x v="1"/>
    <x v="1"/>
    <x v="0"/>
    <s v="2579200"/>
    <n v="400029"/>
    <s v="MD Practice Other Rev--Self Pay"/>
    <s v="Urology-Gig Harbor-Uro"/>
    <x v="0"/>
    <n v="1500"/>
    <n v="-10"/>
    <n v="0"/>
    <n v="0"/>
    <n v="-69"/>
    <n v="-10"/>
    <n v="49"/>
    <n v="-20"/>
    <n v="0"/>
    <n v="-10"/>
    <n v="-20"/>
    <n v="-59"/>
    <n v="0"/>
    <n v="-149"/>
    <n v="-59"/>
  </r>
  <r>
    <x v="1"/>
    <x v="1"/>
    <x v="0"/>
    <s v="2579200"/>
    <n v="400029"/>
    <s v="MD Practice Other Rev--Other"/>
    <s v="Urology-Gig Harbor-Uro"/>
    <x v="0"/>
    <n v="1700"/>
    <n v="-69"/>
    <n v="-277"/>
    <n v="-10"/>
    <n v="-20"/>
    <n v="-30"/>
    <n v="0"/>
    <n v="0"/>
    <n v="-40"/>
    <n v="-20"/>
    <n v="-30"/>
    <n v="-20"/>
    <n v="-10"/>
    <n v="-526"/>
    <n v="-10"/>
  </r>
  <r>
    <x v="1"/>
    <x v="1"/>
    <x v="0"/>
    <s v="2579200"/>
    <n v="400040"/>
    <s v="Physician Svcs Rev--Medicare"/>
    <s v="Urology-Gig Harbor-Uro"/>
    <x v="0"/>
    <n v="1100"/>
    <n v="-86764"/>
    <n v="-86555.5"/>
    <n v="-51277"/>
    <n v="-118177"/>
    <n v="-75638.5"/>
    <n v="-82591"/>
    <n v="-88134"/>
    <n v="-99629.5"/>
    <n v="-91380.55"/>
    <n v="-115137"/>
    <n v="-86723"/>
    <n v="-106038.75"/>
    <n v="-1088045.8"/>
    <n v="19315.75"/>
  </r>
  <r>
    <x v="1"/>
    <x v="1"/>
    <x v="0"/>
    <s v="2579200"/>
    <n v="400040"/>
    <s v="Physician Svcs Rev--Medicaid"/>
    <s v="Urology-Gig Harbor-Uro"/>
    <x v="0"/>
    <n v="1200"/>
    <n v="-7357"/>
    <n v="-7136.5"/>
    <n v="-3215"/>
    <n v="-4873"/>
    <n v="-6229"/>
    <n v="-6881"/>
    <n v="-6045"/>
    <n v="-4531"/>
    <n v="-7638"/>
    <n v="-4734"/>
    <n v="-10181"/>
    <n v="-4996"/>
    <n v="-73816.5"/>
    <n v="-5185"/>
  </r>
  <r>
    <x v="1"/>
    <x v="1"/>
    <x v="0"/>
    <s v="2579200"/>
    <n v="400040"/>
    <s v="Physician Svcs Rev--Comm Insurance"/>
    <s v="Urology-Gig Harbor-Uro"/>
    <x v="0"/>
    <n v="1300"/>
    <n v="-3509"/>
    <n v="-1760"/>
    <n v="-5943"/>
    <n v="-2788"/>
    <n v="3006"/>
    <n v="-7278"/>
    <n v="-695"/>
    <n v="-3714"/>
    <n v="-1248"/>
    <n v="-7124"/>
    <n v="-3006"/>
    <n v="-4253"/>
    <n v="-38312"/>
    <n v="1247"/>
  </r>
  <r>
    <x v="1"/>
    <x v="1"/>
    <x v="0"/>
    <s v="2579200"/>
    <n v="400040"/>
    <s v="Physician Svcs Rev--BCBS Comm"/>
    <s v="Urology-Gig Harbor-Uro"/>
    <x v="0"/>
    <n v="1301"/>
    <n v="-12281"/>
    <n v="-7829"/>
    <n v="-3783"/>
    <n v="-8995"/>
    <n v="-17437"/>
    <n v="-10365"/>
    <n v="-11662"/>
    <n v="-5134"/>
    <n v="-8406"/>
    <n v="-6230"/>
    <n v="-20053"/>
    <n v="-11910"/>
    <n v="-124085"/>
    <n v="-8143"/>
  </r>
  <r>
    <x v="1"/>
    <x v="1"/>
    <x v="0"/>
    <s v="2579200"/>
    <n v="400040"/>
    <s v="Physician Svcs Rev--Managed Care"/>
    <s v="Urology-Gig Harbor-Uro"/>
    <x v="0"/>
    <n v="1400"/>
    <n v="-27631"/>
    <n v="-17698"/>
    <n v="-20970"/>
    <n v="-52425"/>
    <n v="-15998.5"/>
    <n v="-30380"/>
    <n v="-24364"/>
    <n v="-23310"/>
    <n v="-26933"/>
    <n v="-36066"/>
    <n v="-24529.5"/>
    <n v="-29680"/>
    <n v="-329985"/>
    <n v="5150.5"/>
  </r>
  <r>
    <x v="1"/>
    <x v="1"/>
    <x v="0"/>
    <s v="2579200"/>
    <n v="400040"/>
    <s v="Physician Svcs Rev--Self Pay"/>
    <s v="Urology-Gig Harbor-Uro"/>
    <x v="0"/>
    <n v="1500"/>
    <n v="-960"/>
    <n v="-3821"/>
    <n v="-295"/>
    <n v="-2390"/>
    <n v="-1017"/>
    <n v="-2878"/>
    <n v="-496"/>
    <n v="-262"/>
    <n v="-2453"/>
    <n v="-1780"/>
    <n v="-2706"/>
    <n v="-1875"/>
    <n v="-20933"/>
    <n v="-831"/>
  </r>
  <r>
    <x v="1"/>
    <x v="1"/>
    <x v="0"/>
    <s v="2579200"/>
    <n v="400040"/>
    <s v="Physician Svcs Rev--Other"/>
    <s v="Urology-Gig Harbor-Uro"/>
    <x v="0"/>
    <n v="1700"/>
    <n v="-3707"/>
    <n v="-4412"/>
    <n v="-801"/>
    <n v="-1980"/>
    <n v="-885"/>
    <n v="-400"/>
    <n v="-696"/>
    <n v="-5123"/>
    <n v="-3654"/>
    <n v="-4939"/>
    <n v="-1833"/>
    <n v="-3518"/>
    <n v="-31948"/>
    <n v="1685"/>
  </r>
  <r>
    <x v="2"/>
    <x v="1"/>
    <x v="0"/>
    <s v="2579200"/>
    <n v="450029"/>
    <s v="Contr Allow--MD Other-Medicare"/>
    <s v="Urology-Gig Harbor-Uro"/>
    <x v="0"/>
    <n v="1100"/>
    <n v="474.59"/>
    <n v="916.33"/>
    <n v="870.49"/>
    <n v="1495.62"/>
    <n v="1141.46"/>
    <n v="887.78"/>
    <n v="614.29"/>
    <n v="1033.3"/>
    <n v="661.41"/>
    <n v="885.61"/>
    <n v="1086.75"/>
    <n v="824.35"/>
    <n v="10891.98"/>
    <n v="262.39999999999998"/>
  </r>
  <r>
    <x v="2"/>
    <x v="1"/>
    <x v="0"/>
    <s v="2579200"/>
    <n v="450029"/>
    <s v="Contr Allow--MD Other-Medicaid"/>
    <s v="Urology-Gig Harbor-Uro"/>
    <x v="0"/>
    <n v="1200"/>
    <n v="13.3"/>
    <n v="527.14"/>
    <n v="227.57"/>
    <n v="13.56"/>
    <n v="50.73"/>
    <n v="13.81"/>
    <n v="33.79"/>
    <n v="20.25"/>
    <n v="20.59"/>
    <n v="64.290000000000006"/>
    <n v="13.81"/>
    <n v="75.41"/>
    <n v="1074.2499999999998"/>
    <n v="-61.599999999999994"/>
  </r>
  <r>
    <x v="2"/>
    <x v="1"/>
    <x v="0"/>
    <s v="2579200"/>
    <n v="450029"/>
    <s v="Contr Allow--MD Other-Comm Insurance"/>
    <s v="Urology-Gig Harbor-Uro"/>
    <x v="0"/>
    <n v="1300"/>
    <n v="0"/>
    <n v="6.22"/>
    <n v="0"/>
    <n v="126.91"/>
    <n v="4.43"/>
    <n v="0"/>
    <n v="220.17"/>
    <n v="7.65"/>
    <n v="11.13"/>
    <n v="0"/>
    <n v="0"/>
    <n v="9.9600000000000009"/>
    <n v="386.46999999999997"/>
    <n v="-9.9600000000000009"/>
  </r>
  <r>
    <x v="2"/>
    <x v="1"/>
    <x v="0"/>
    <s v="2579200"/>
    <n v="450029"/>
    <s v="Contr Allow--MD Other BCBS Comm"/>
    <s v="Urology-Gig Harbor-Uro"/>
    <x v="0"/>
    <n v="1301"/>
    <n v="38.880000000000003"/>
    <n v="96.97"/>
    <n v="90.47"/>
    <n v="13"/>
    <n v="56.98"/>
    <n v="39"/>
    <n v="30.98"/>
    <n v="19.46"/>
    <n v="26"/>
    <n v="103.08"/>
    <n v="84.28"/>
    <n v="110.28"/>
    <n v="709.38"/>
    <n v="-26"/>
  </r>
  <r>
    <x v="2"/>
    <x v="1"/>
    <x v="0"/>
    <s v="2579200"/>
    <n v="450029"/>
    <s v="Contr Allow--MD Other-Managed Care"/>
    <s v="Urology-Gig Harbor-Uro"/>
    <x v="0"/>
    <n v="1400"/>
    <n v="154.88999999999999"/>
    <n v="146.77000000000001"/>
    <n v="130.63"/>
    <n v="583.61"/>
    <n v="283.60000000000002"/>
    <n v="83.4"/>
    <n v="65.92"/>
    <n v="45.32"/>
    <n v="232.93"/>
    <n v="309.44"/>
    <n v="167.2"/>
    <n v="153.03"/>
    <n v="2356.7400000000002"/>
    <n v="14.169999999999987"/>
  </r>
  <r>
    <x v="2"/>
    <x v="1"/>
    <x v="0"/>
    <s v="2579200"/>
    <n v="450029"/>
    <s v="Admin Adjust-MD Other-Self Pay"/>
    <s v="Urology-Gig Harbor-Uro"/>
    <x v="0"/>
    <n v="1600"/>
    <n v="7.47"/>
    <n v="23.92"/>
    <n v="10.08"/>
    <n v="26.05"/>
    <n v="17.18"/>
    <n v="-29.13"/>
    <n v="2"/>
    <n v="1.1399999999999999"/>
    <n v="5.5"/>
    <n v="5.68"/>
    <n v="18.350000000000001"/>
    <n v="1.02"/>
    <n v="89.259999999999977"/>
    <n v="17.330000000000002"/>
  </r>
  <r>
    <x v="2"/>
    <x v="1"/>
    <x v="0"/>
    <s v="2579200"/>
    <n v="450029"/>
    <s v="Contr Allow--MD Other-Other"/>
    <s v="Urology-Gig Harbor-Uro"/>
    <x v="0"/>
    <n v="1700"/>
    <n v="59.05"/>
    <n v="205.49"/>
    <n v="17.170000000000002"/>
    <n v="7.17"/>
    <n v="0"/>
    <n v="169.47"/>
    <n v="0"/>
    <n v="0"/>
    <n v="0"/>
    <n v="48.24"/>
    <n v="14.34"/>
    <n v="7.17"/>
    <n v="528.1"/>
    <n v="7.17"/>
  </r>
  <r>
    <x v="2"/>
    <x v="1"/>
    <x v="0"/>
    <s v="2579200"/>
    <n v="450040"/>
    <s v="Contr Allow--Phys Svcs--Mcare"/>
    <s v="Urology-Gig Harbor-Uro"/>
    <x v="0"/>
    <n v="1100"/>
    <n v="48944.639999999999"/>
    <n v="46731.96"/>
    <n v="45221.61"/>
    <n v="49696.46"/>
    <n v="78630.210000000006"/>
    <n v="52460.02"/>
    <n v="49338.43"/>
    <n v="54329.54"/>
    <n v="68227.92"/>
    <n v="56955.81"/>
    <n v="70204.78"/>
    <n v="74965.02"/>
    <n v="695706.4"/>
    <n v="-4760.2400000000052"/>
  </r>
  <r>
    <x v="2"/>
    <x v="1"/>
    <x v="0"/>
    <s v="2579200"/>
    <n v="450040"/>
    <s v="Contr Allow--Phys Svcs--Mcaid"/>
    <s v="Urology-Gig Harbor-Uro"/>
    <x v="0"/>
    <n v="1200"/>
    <n v="2626.19"/>
    <n v="3359.28"/>
    <n v="7302.2"/>
    <n v="2556.54"/>
    <n v="4748.38"/>
    <n v="6330.65"/>
    <n v="2714.27"/>
    <n v="3292.16"/>
    <n v="3050.64"/>
    <n v="6373.6"/>
    <n v="1972.56"/>
    <n v="5057.1899999999996"/>
    <n v="49383.659999999996"/>
    <n v="-3084.6299999999997"/>
  </r>
  <r>
    <x v="2"/>
    <x v="1"/>
    <x v="0"/>
    <s v="2579200"/>
    <n v="450040"/>
    <s v="Contr Allow--Phys Svcs--Comm Insurance"/>
    <s v="Urology-Gig Harbor-Uro"/>
    <x v="0"/>
    <n v="1300"/>
    <n v="189.06"/>
    <n v="1481.48"/>
    <n v="221.19"/>
    <n v="1016.91"/>
    <n v="597.22"/>
    <n v="379"/>
    <n v="2311.75"/>
    <n v="778.8"/>
    <n v="987.66"/>
    <n v="848.62"/>
    <n v="868.44"/>
    <n v="3143.57"/>
    <n v="12823.7"/>
    <n v="-2275.13"/>
  </r>
  <r>
    <x v="2"/>
    <x v="1"/>
    <x v="0"/>
    <s v="2579200"/>
    <n v="450040"/>
    <s v="Contr Allow--Phys Svcs--BCBS Comm Ins"/>
    <s v="Urology-Gig Harbor-Uro"/>
    <x v="0"/>
    <n v="1301"/>
    <n v="5143.99"/>
    <n v="1731.09"/>
    <n v="2701.45"/>
    <n v="827.87"/>
    <n v="4503.6499999999996"/>
    <n v="2741.45"/>
    <n v="4482.22"/>
    <n v="2311.1799999999998"/>
    <n v="1694.61"/>
    <n v="2513.61"/>
    <n v="6079.36"/>
    <n v="7553.88"/>
    <n v="42284.36"/>
    <n v="-1474.5200000000004"/>
  </r>
  <r>
    <x v="2"/>
    <x v="1"/>
    <x v="0"/>
    <s v="2579200"/>
    <n v="450040"/>
    <s v="Contr Allow--Phys Svcs--Managed Care"/>
    <s v="Urology-Gig Harbor-Uro"/>
    <x v="0"/>
    <n v="1400"/>
    <n v="16747.97"/>
    <n v="7725.28"/>
    <n v="3876.16"/>
    <n v="13597.59"/>
    <n v="17670.810000000001"/>
    <n v="5280.05"/>
    <n v="7455.45"/>
    <n v="8118.63"/>
    <n v="9529.7099999999991"/>
    <n v="17352.759999999998"/>
    <n v="5239.03"/>
    <n v="9101.14"/>
    <n v="121694.57999999999"/>
    <n v="-3862.1099999999997"/>
  </r>
  <r>
    <x v="2"/>
    <x v="1"/>
    <x v="0"/>
    <s v="2579200"/>
    <n v="450040"/>
    <s v="Contr Allow--Phys Svcs--BCBS Mgnd Care"/>
    <s v="Urology-Gig Harbor-Uro"/>
    <x v="0"/>
    <n v="1401"/>
    <n v="1134.58"/>
    <n v="2344.9899999999998"/>
    <n v="-8448.74"/>
    <n v="32852.92"/>
    <n v="-37976.129999999997"/>
    <n v="14440.84"/>
    <n v="9517.74"/>
    <n v="11595.16"/>
    <n v="-5277.47"/>
    <n v="9846.32"/>
    <n v="811.32"/>
    <n v="-4625.74"/>
    <n v="26215.79"/>
    <n v="5437.0599999999995"/>
  </r>
  <r>
    <x v="2"/>
    <x v="1"/>
    <x v="0"/>
    <s v="2579200"/>
    <n v="450040"/>
    <s v="Admin Adjust-Phys Svcs-Self Pay"/>
    <s v="Urology-Gig Harbor-Uro"/>
    <x v="0"/>
    <n v="1600"/>
    <n v="296.02"/>
    <n v="1564.73"/>
    <n v="979.78"/>
    <n v="514.33000000000004"/>
    <n v="452.97"/>
    <n v="-821.84"/>
    <n v="-529.13"/>
    <n v="292.94"/>
    <n v="1284.1500000000001"/>
    <n v="1523.85"/>
    <n v="1018.53"/>
    <n v="1163.06"/>
    <n v="7739.3899999999994"/>
    <n v="-144.52999999999997"/>
  </r>
  <r>
    <x v="2"/>
    <x v="1"/>
    <x v="0"/>
    <s v="2579200"/>
    <n v="450040"/>
    <s v="Contr Allow--Phys Svcs--Other"/>
    <s v="Urology-Gig Harbor-Uro"/>
    <x v="0"/>
    <n v="1700"/>
    <n v="4067.89"/>
    <n v="1864.11"/>
    <n v="693.45"/>
    <n v="693.31"/>
    <n v="928.53"/>
    <n v="1623.17"/>
    <n v="496.68"/>
    <n v="251.47"/>
    <n v="563.45000000000005"/>
    <n v="3450.82"/>
    <n v="2906.97"/>
    <n v="936.37"/>
    <n v="18476.22"/>
    <n v="1970.6"/>
  </r>
  <r>
    <x v="3"/>
    <x v="1"/>
    <x v="0"/>
    <s v="2579200"/>
    <n v="470040"/>
    <s v="Charity Care-Physician Svcs"/>
    <s v="Urology-Gig Harbor-Uro"/>
    <x v="0"/>
    <m/>
    <n v="448.53"/>
    <n v="3519.32"/>
    <n v="-253.51"/>
    <n v="1634.88"/>
    <n v="-486.47"/>
    <n v="313.27999999999997"/>
    <n v="621.48"/>
    <n v="1530.11"/>
    <n v="4557.82"/>
    <n v="1435.3"/>
    <n v="1734.65"/>
    <n v="942.98"/>
    <n v="15998.369999999997"/>
    <n v="791.67000000000007"/>
  </r>
  <r>
    <x v="4"/>
    <x v="1"/>
    <x v="0"/>
    <s v="2579200"/>
    <n v="490010"/>
    <s v="Provision for Bad Debts"/>
    <s v="Urology-Gig Harbor-Uro"/>
    <x v="0"/>
    <m/>
    <n v="1289.1099999999999"/>
    <n v="51.77"/>
    <n v="-360.89"/>
    <n v="4841.28"/>
    <n v="-3383.76"/>
    <n v="632.01"/>
    <n v="25.41"/>
    <n v="-321.63"/>
    <n v="1130.07"/>
    <n v="364.49"/>
    <n v="-852.71"/>
    <n v="-1121.94"/>
    <n v="2293.2099999999987"/>
    <n v="269.23"/>
  </r>
  <r>
    <x v="14"/>
    <x v="1"/>
    <x v="0"/>
    <s v="2579200"/>
    <n v="600050"/>
    <s v="Miscellaneous Revenue"/>
    <s v="Urology-Gig Harbor-Uro"/>
    <x v="0"/>
    <m/>
    <n v="0"/>
    <n v="0"/>
    <n v="0"/>
    <n v="0"/>
    <n v="0"/>
    <n v="0"/>
    <n v="0"/>
    <n v="-1200"/>
    <n v="0"/>
    <n v="0"/>
    <n v="0"/>
    <n v="0"/>
    <n v="-1200"/>
    <n v="0"/>
  </r>
  <r>
    <x v="5"/>
    <x v="1"/>
    <x v="0"/>
    <s v="2579200"/>
    <n v="700022"/>
    <s v="Salaries-Physician-Productive"/>
    <s v="Urology-Gig Harbor-Uro"/>
    <x v="0"/>
    <m/>
    <n v="30280.12"/>
    <n v="33868.82"/>
    <n v="16480"/>
    <n v="37904"/>
    <n v="30937.599999999999"/>
    <n v="35144.32"/>
    <n v="34407.269999999997"/>
    <n v="26351.59"/>
    <n v="35070.07"/>
    <n v="35039.550000000003"/>
    <n v="36145.910000000003"/>
    <n v="25491.7"/>
    <n v="377120.95"/>
    <n v="10654.210000000003"/>
  </r>
  <r>
    <x v="5"/>
    <x v="1"/>
    <x v="0"/>
    <s v="2579200"/>
    <n v="700022"/>
    <s v="Salaries-Physician-Other"/>
    <s v="Urology-Gig Harbor-Uro"/>
    <x v="0"/>
    <n v="2000"/>
    <n v="0"/>
    <n v="0"/>
    <n v="0"/>
    <n v="0"/>
    <n v="0"/>
    <n v="0"/>
    <n v="0"/>
    <n v="1200"/>
    <n v="0"/>
    <n v="0"/>
    <n v="0"/>
    <n v="0"/>
    <n v="1200"/>
    <n v="0"/>
  </r>
  <r>
    <x v="5"/>
    <x v="1"/>
    <x v="0"/>
    <s v="2579200"/>
    <n v="700026"/>
    <s v="Salaries-RN-Productive"/>
    <s v="Urology-Gig Harbor-Uro"/>
    <x v="0"/>
    <m/>
    <n v="6203.28"/>
    <n v="4677.37"/>
    <n v="3180.3"/>
    <n v="6165.91"/>
    <n v="5932.66"/>
    <n v="5323.18"/>
    <n v="5553.12"/>
    <n v="4565.55"/>
    <n v="5796.23"/>
    <n v="6335.3"/>
    <n v="4677.3599999999997"/>
    <n v="5310.26"/>
    <n v="63720.520000000011"/>
    <n v="-632.90000000000055"/>
  </r>
  <r>
    <x v="5"/>
    <x v="1"/>
    <x v="0"/>
    <s v="2579200"/>
    <n v="700026"/>
    <s v="Salaries-RN-OT"/>
    <s v="Urology-Gig Harbor-Uro"/>
    <x v="0"/>
    <n v="1000"/>
    <n v="1609.86"/>
    <n v="1200.3800000000001"/>
    <n v="702.9"/>
    <n v="182.22"/>
    <n v="229.56"/>
    <n v="567.16"/>
    <n v="511.19"/>
    <n v="365.13"/>
    <n v="-146.05000000000001"/>
    <n v="787.08"/>
    <n v="632.9"/>
    <n v="338.1"/>
    <n v="6980.4299999999994"/>
    <n v="294.79999999999995"/>
  </r>
  <r>
    <x v="5"/>
    <x v="1"/>
    <x v="0"/>
    <s v="2579200"/>
    <n v="700030"/>
    <s v="Salaries-LPN-Productive"/>
    <s v="Urology-Gig Harbor-Uro"/>
    <x v="0"/>
    <m/>
    <n v="1299.1400000000001"/>
    <n v="2645.8"/>
    <n v="1742.19"/>
    <n v="4170.37"/>
    <n v="4094.56"/>
    <n v="2960.31"/>
    <n v="3913.1"/>
    <n v="2537.08"/>
    <n v="4233.93"/>
    <n v="2692.34"/>
    <n v="4359.51"/>
    <n v="2624.6"/>
    <n v="37272.929999999993"/>
    <n v="1734.9100000000003"/>
  </r>
  <r>
    <x v="5"/>
    <x v="1"/>
    <x v="0"/>
    <s v="2579200"/>
    <n v="700030"/>
    <s v="Salaries-LPN-OT"/>
    <s v="Urology-Gig Harbor-Uro"/>
    <x v="0"/>
    <n v="1000"/>
    <n v="0"/>
    <n v="0"/>
    <n v="0"/>
    <n v="0"/>
    <n v="0"/>
    <n v="169.08"/>
    <n v="0"/>
    <n v="0"/>
    <n v="0"/>
    <n v="0"/>
    <n v="0"/>
    <n v="0"/>
    <n v="169.08"/>
    <n v="0"/>
  </r>
  <r>
    <x v="5"/>
    <x v="1"/>
    <x v="0"/>
    <s v="2579200"/>
    <n v="700032"/>
    <s v="Salaries-Other Pat Care Providers-Productive"/>
    <s v="Urology-Gig Harbor-Uro"/>
    <x v="0"/>
    <m/>
    <n v="97.71"/>
    <n v="-16.28"/>
    <n v="0"/>
    <n v="0"/>
    <n v="0"/>
    <n v="0"/>
    <n v="0"/>
    <n v="0"/>
    <n v="0"/>
    <n v="0"/>
    <n v="0"/>
    <n v="208.39"/>
    <n v="289.82"/>
    <n v="-208.39"/>
  </r>
  <r>
    <x v="5"/>
    <x v="1"/>
    <x v="0"/>
    <s v="2579200"/>
    <n v="700062"/>
    <s v="Salaries-Physician-Non-productive"/>
    <s v="Urology-Gig Harbor-Uro"/>
    <x v="0"/>
    <m/>
    <n v="3598.2"/>
    <n v="8240"/>
    <n v="16480"/>
    <n v="0"/>
    <n v="3948.8"/>
    <n v="-1974.4"/>
    <n v="1977.29"/>
    <n v="5579.32"/>
    <n v="-1594.09"/>
    <n v="0"/>
    <n v="0"/>
    <n v="5882.7"/>
    <n v="42137.82"/>
    <n v="-5882.7"/>
  </r>
  <r>
    <x v="5"/>
    <x v="1"/>
    <x v="0"/>
    <s v="2579200"/>
    <n v="700066"/>
    <s v="Salaries-RN-Non-productive"/>
    <s v="Urology-Gig Harbor-Uro"/>
    <x v="0"/>
    <m/>
    <n v="277.68"/>
    <n v="780.98"/>
    <n v="1666.08"/>
    <n v="0"/>
    <n v="0"/>
    <n v="794.01"/>
    <n v="827.7"/>
    <n v="1247.79"/>
    <n v="-183.92"/>
    <n v="0"/>
    <n v="1136"/>
    <n v="-27.05"/>
    <n v="6519.2699999999995"/>
    <n v="1163.05"/>
  </r>
  <r>
    <x v="5"/>
    <x v="1"/>
    <x v="0"/>
    <s v="2579200"/>
    <n v="700066"/>
    <s v="Salaries-RN-NonProd-Other"/>
    <s v="Urology-Gig Harbor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9200"/>
    <n v="700070"/>
    <s v="Salaries-LPN-Non-productive"/>
    <s v="Urology-Gig Harbor-Uro"/>
    <x v="0"/>
    <m/>
    <n v="1470.71"/>
    <n v="61.86"/>
    <n v="694.12"/>
    <n v="-109.96"/>
    <n v="0"/>
    <n v="473.42"/>
    <n v="519.27"/>
    <n v="677.32"/>
    <n v="-90.3"/>
    <n v="1399.05"/>
    <n v="-390.14"/>
    <n v="966.58"/>
    <n v="5671.9299999999994"/>
    <n v="-1356.72"/>
  </r>
  <r>
    <x v="5"/>
    <x v="1"/>
    <x v="0"/>
    <s v="2579200"/>
    <n v="700070"/>
    <s v="Salaries-LPN-NonProd-Other"/>
    <s v="Urology-Gig Harbor-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79200"/>
    <n v="700084"/>
    <s v="Accrued PTO"/>
    <s v="Urology-Gig Harbor-Uro"/>
    <x v="0"/>
    <m/>
    <n v="249.7"/>
    <n v="1164.3"/>
    <n v="-1338.62"/>
    <n v="446.35"/>
    <n v="966.48"/>
    <n v="236.69"/>
    <n v="-319"/>
    <n v="-770.75"/>
    <n v="944.69"/>
    <n v="187.94"/>
    <n v="261.02"/>
    <n v="312.68"/>
    <n v="2341.48"/>
    <n v="-51.660000000000025"/>
  </r>
  <r>
    <x v="6"/>
    <x v="1"/>
    <x v="0"/>
    <s v="2579200"/>
    <n v="713010"/>
    <s v="Benefits-FICA/Medicare"/>
    <s v="Urology-Gig Harbor-Uro"/>
    <x v="0"/>
    <m/>
    <n v="1282.69"/>
    <n v="1305.0899999999999"/>
    <n v="1022.77"/>
    <n v="1299.67"/>
    <n v="1242.3800000000001"/>
    <n v="2280.91"/>
    <n v="3554.67"/>
    <n v="3080.59"/>
    <n v="3209.51"/>
    <n v="2469.7399999999998"/>
    <n v="1006.92"/>
    <n v="1138.05"/>
    <n v="22892.989999999994"/>
    <n v="-131.13"/>
  </r>
  <r>
    <x v="6"/>
    <x v="1"/>
    <x v="0"/>
    <s v="2579200"/>
    <n v="713090"/>
    <s v="Benefits-Allocated Amounts"/>
    <s v="Urology-Gig Harbor-Uro"/>
    <x v="0"/>
    <m/>
    <n v="0"/>
    <n v="0"/>
    <n v="0"/>
    <n v="0"/>
    <n v="0"/>
    <n v="0"/>
    <n v="0"/>
    <n v="0"/>
    <n v="25335.200000000001"/>
    <n v="3123.57"/>
    <n v="2977.67"/>
    <n v="2889.12"/>
    <n v="34325.560000000005"/>
    <n v="88.550000000000182"/>
  </r>
  <r>
    <x v="6"/>
    <x v="1"/>
    <x v="0"/>
    <s v="2579200"/>
    <n v="713092"/>
    <s v="Allocated Benefits-Physician"/>
    <s v="Urology-Gig Harbor-Uro"/>
    <x v="0"/>
    <m/>
    <n v="4397.42"/>
    <n v="4039.89"/>
    <n v="3718.75"/>
    <n v="4130.6000000000004"/>
    <n v="4229.09"/>
    <n v="4554.67"/>
    <n v="5283.33"/>
    <n v="4806.1499999999996"/>
    <n v="-20237.849999999999"/>
    <n v="1839.73"/>
    <n v="1753.81"/>
    <n v="1701.65"/>
    <n v="20217.240000000005"/>
    <n v="52.159999999999854"/>
  </r>
  <r>
    <x v="6"/>
    <x v="1"/>
    <x v="0"/>
    <s v="2579200"/>
    <n v="713096"/>
    <s v="Employee Recognition"/>
    <s v="Urology-Gig Harbor-Uro"/>
    <x v="0"/>
    <n v="1017"/>
    <n v="0"/>
    <n v="0"/>
    <n v="0"/>
    <n v="0"/>
    <n v="0"/>
    <n v="0"/>
    <n v="0"/>
    <n v="0"/>
    <n v="0"/>
    <n v="0"/>
    <n v="33"/>
    <n v="0"/>
    <n v="33"/>
    <n v="33"/>
  </r>
  <r>
    <x v="7"/>
    <x v="1"/>
    <x v="0"/>
    <s v="2579200"/>
    <n v="718050"/>
    <s v="Miscellaneous Purchased Svcs"/>
    <s v="Urology-Gig Harbor-Uro"/>
    <x v="0"/>
    <n v="1020"/>
    <n v="31.26"/>
    <n v="-33.51"/>
    <n v="33.24"/>
    <n v="23.65"/>
    <n v="48.8"/>
    <n v="25.29"/>
    <n v="33.25"/>
    <n v="30.51"/>
    <n v="42.38"/>
    <n v="2.77"/>
    <n v="54.82"/>
    <n v="35.799999999999997"/>
    <n v="328.26"/>
    <n v="19.020000000000003"/>
  </r>
  <r>
    <x v="7"/>
    <x v="1"/>
    <x v="0"/>
    <s v="2579200"/>
    <n v="718050"/>
    <s v="Contract Management--Linen"/>
    <s v="Urology-Gig Harbor-Uro"/>
    <x v="0"/>
    <n v="1026"/>
    <n v="252.39"/>
    <n v="318.32"/>
    <n v="308.85000000000002"/>
    <n v="247.08"/>
    <n v="249.37"/>
    <n v="185.31"/>
    <n v="187.64"/>
    <n v="452.43"/>
    <n v="385.6"/>
    <n v="64.099999999999994"/>
    <n v="544.1"/>
    <n v="129.08000000000001"/>
    <n v="3324.2699999999995"/>
    <n v="415.02"/>
  </r>
  <r>
    <x v="7"/>
    <x v="1"/>
    <x v="0"/>
    <s v="2579200"/>
    <n v="718050"/>
    <s v="Purchased Srvcs--Medical Waste"/>
    <s v="Urology-Gig Harbor-Uro"/>
    <x v="0"/>
    <n v="1027"/>
    <n v="53.1"/>
    <n v="32.380000000000003"/>
    <n v="53.43"/>
    <n v="21.48"/>
    <n v="31.62"/>
    <n v="52.67"/>
    <n v="10.36"/>
    <n v="227.92"/>
    <n v="584.14"/>
    <n v="113.96"/>
    <n v="155.52000000000001"/>
    <n v="0"/>
    <n v="1336.58"/>
    <n v="155.52000000000001"/>
  </r>
  <r>
    <x v="11"/>
    <x v="1"/>
    <x v="0"/>
    <s v="2579200"/>
    <n v="721010"/>
    <s v="Supplies-Medical - Billable"/>
    <s v="Urology-Gig Harbor-Uro"/>
    <x v="0"/>
    <m/>
    <n v="0"/>
    <n v="0"/>
    <n v="817.01"/>
    <n v="2126.9499999999998"/>
    <n v="490.08"/>
    <n v="0"/>
    <n v="2105.16"/>
    <n v="0"/>
    <n v="0"/>
    <n v="0"/>
    <n v="0"/>
    <n v="1184.46"/>
    <n v="6723.66"/>
    <n v="-1184.46"/>
  </r>
  <r>
    <x v="11"/>
    <x v="1"/>
    <x v="0"/>
    <s v="2579200"/>
    <n v="721250"/>
    <s v="Supplies-Pharmacy Drugs - Billable"/>
    <s v="Urology-Gig Harbor-Uro"/>
    <x v="0"/>
    <m/>
    <n v="0"/>
    <n v="0"/>
    <n v="1152"/>
    <n v="0"/>
    <n v="3456"/>
    <n v="2688"/>
    <n v="1152"/>
    <n v="1536"/>
    <n v="1152"/>
    <n v="1152"/>
    <n v="0"/>
    <n v="2304"/>
    <n v="14592"/>
    <n v="-2304"/>
  </r>
  <r>
    <x v="11"/>
    <x v="1"/>
    <x v="0"/>
    <s v="2579200"/>
    <n v="721410"/>
    <s v="Supplies-Medical - Nonbillable"/>
    <s v="Urology-Gig Harbor-Uro"/>
    <x v="0"/>
    <m/>
    <n v="133.26"/>
    <n v="286.89999999999998"/>
    <n v="543.35"/>
    <n v="229.81"/>
    <n v="881.4"/>
    <n v="2348.98"/>
    <n v="3398.08"/>
    <n v="1172.03"/>
    <n v="115.92"/>
    <n v="2180.33"/>
    <n v="0"/>
    <n v="1249.3499999999999"/>
    <n v="12539.41"/>
    <n v="-1249.3499999999999"/>
  </r>
  <r>
    <x v="11"/>
    <x v="1"/>
    <x v="0"/>
    <s v="2579200"/>
    <n v="721910"/>
    <s v="Supplies-Small Equipment"/>
    <s v="Urology-Gig Harbor-Uro"/>
    <x v="0"/>
    <m/>
    <n v="0"/>
    <n v="99.56"/>
    <n v="0"/>
    <n v="0"/>
    <n v="0"/>
    <n v="0"/>
    <n v="36.76"/>
    <n v="0"/>
    <n v="750"/>
    <n v="0"/>
    <n v="0"/>
    <n v="1502.41"/>
    <n v="2388.73"/>
    <n v="-1502.41"/>
  </r>
  <r>
    <x v="11"/>
    <x v="1"/>
    <x v="0"/>
    <s v="2579200"/>
    <n v="722000"/>
    <s v="Supplies-Freight Expense"/>
    <s v="Urology-Gig Harbor-Uro"/>
    <x v="0"/>
    <m/>
    <n v="0"/>
    <n v="0"/>
    <n v="0"/>
    <n v="1.02"/>
    <n v="0"/>
    <n v="0"/>
    <n v="0"/>
    <n v="0"/>
    <n v="0"/>
    <n v="0"/>
    <n v="0"/>
    <n v="16.28"/>
    <n v="17.3"/>
    <n v="-16.28"/>
  </r>
  <r>
    <x v="12"/>
    <x v="1"/>
    <x v="0"/>
    <s v="2579200"/>
    <n v="730020"/>
    <s v="Rental and Leases-Equipment (DO NOT USE)"/>
    <s v="Urology-Gig Harbor-Uro"/>
    <x v="0"/>
    <m/>
    <n v="3355"/>
    <n v="1758.14"/>
    <n v="1758.14"/>
    <n v="1758.14"/>
    <n v="1758.14"/>
    <n v="1758.14"/>
    <n v="1758.14"/>
    <n v="1758.14"/>
    <n v="0"/>
    <n v="0"/>
    <n v="0"/>
    <n v="0"/>
    <n v="15661.979999999998"/>
    <n v="0"/>
  </r>
  <r>
    <x v="16"/>
    <x v="1"/>
    <x v="0"/>
    <s v="2579200"/>
    <n v="732015"/>
    <s v="Repairs-Clinical Equip-T&amp;M-Ext to CHI Programs"/>
    <s v="Urology-Gig Harbor-Uro"/>
    <x v="0"/>
    <m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923.16000000000031"/>
    <n v="0"/>
  </r>
  <r>
    <x v="0"/>
    <x v="1"/>
    <x v="0"/>
    <s v="2579200"/>
    <n v="740020"/>
    <s v="Education-Registration Fees"/>
    <s v="Urology-Gig Harbor-Uro"/>
    <x v="0"/>
    <m/>
    <n v="0"/>
    <n v="0"/>
    <n v="0"/>
    <n v="0"/>
    <n v="0"/>
    <n v="0"/>
    <n v="0"/>
    <n v="0"/>
    <n v="0"/>
    <n v="90"/>
    <n v="0"/>
    <n v="0"/>
    <n v="90"/>
    <n v="0"/>
  </r>
  <r>
    <x v="0"/>
    <x v="1"/>
    <x v="0"/>
    <s v="2579200"/>
    <n v="740022"/>
    <s v="Education-Physician"/>
    <s v="Urology-Gig Harbor-Uro"/>
    <x v="0"/>
    <m/>
    <n v="0"/>
    <n v="0"/>
    <n v="0"/>
    <n v="0"/>
    <n v="0"/>
    <n v="0"/>
    <n v="0"/>
    <n v="0"/>
    <n v="550"/>
    <n v="0"/>
    <n v="0"/>
    <n v="0"/>
    <n v="550"/>
    <n v="0"/>
  </r>
  <r>
    <x v="0"/>
    <x v="1"/>
    <x v="0"/>
    <s v="2579200"/>
    <n v="740022"/>
    <s v="Books-Physician"/>
    <s v="Urology-Gig Harbor-Uro"/>
    <x v="0"/>
    <n v="2000"/>
    <n v="0"/>
    <n v="0"/>
    <n v="0"/>
    <n v="0"/>
    <n v="0"/>
    <n v="0"/>
    <n v="0"/>
    <n v="0"/>
    <n v="0"/>
    <n v="0"/>
    <n v="0"/>
    <n v="225"/>
    <n v="225"/>
    <n v="-225"/>
  </r>
  <r>
    <x v="8"/>
    <x v="1"/>
    <x v="0"/>
    <s v="2579200"/>
    <n v="741012"/>
    <s v="Physician Liab Insurance-CHI Program"/>
    <s v="Urology-Gig Harbor-Uro"/>
    <x v="0"/>
    <m/>
    <n v="852.6"/>
    <n v="852.6"/>
    <n v="852.6"/>
    <n v="852.6"/>
    <n v="852.6"/>
    <n v="852.6"/>
    <n v="852.6"/>
    <n v="852.6"/>
    <n v="852.6"/>
    <n v="852.6"/>
    <n v="852.6"/>
    <n v="852.6"/>
    <n v="10231.200000000003"/>
    <n v="0"/>
  </r>
  <r>
    <x v="0"/>
    <x v="1"/>
    <x v="0"/>
    <s v="2579200"/>
    <n v="743020"/>
    <s v="Dues--Individual"/>
    <s v="Urology-Gig Harbor-Uro"/>
    <x v="0"/>
    <m/>
    <n v="0"/>
    <n v="0"/>
    <n v="0"/>
    <n v="0"/>
    <n v="0"/>
    <n v="0"/>
    <n v="0"/>
    <n v="535"/>
    <n v="0"/>
    <n v="0"/>
    <n v="0"/>
    <n v="0"/>
    <n v="535"/>
    <n v="0"/>
  </r>
  <r>
    <x v="0"/>
    <x v="1"/>
    <x v="0"/>
    <s v="2579200"/>
    <n v="743022"/>
    <s v="Dues-Physician"/>
    <s v="Urology-Gig Harbor-Uro"/>
    <x v="0"/>
    <m/>
    <n v="0"/>
    <n v="0"/>
    <n v="0"/>
    <n v="0"/>
    <n v="0"/>
    <n v="0"/>
    <n v="0"/>
    <n v="285"/>
    <n v="205"/>
    <n v="0"/>
    <n v="0"/>
    <n v="0"/>
    <n v="490"/>
    <n v="0"/>
  </r>
  <r>
    <x v="0"/>
    <x v="1"/>
    <x v="0"/>
    <s v="2579200"/>
    <n v="749510"/>
    <s v="Miscellaneous Expenses"/>
    <s v="Urology-Gig Harbor-Uro"/>
    <x v="0"/>
    <m/>
    <n v="-70.38"/>
    <n v="-55.8"/>
    <n v="508"/>
    <n v="0"/>
    <n v="0"/>
    <n v="0"/>
    <n v="250"/>
    <n v="205"/>
    <n v="-205"/>
    <n v="0"/>
    <n v="250"/>
    <n v="0"/>
    <n v="881.81999999999994"/>
    <n v="250"/>
  </r>
  <r>
    <x v="0"/>
    <x v="1"/>
    <x v="0"/>
    <s v="2579200"/>
    <n v="749510"/>
    <s v="RICE Rewards"/>
    <s v="Urology-Gig Harbor-Uro"/>
    <x v="0"/>
    <n v="5100"/>
    <n v="0"/>
    <n v="0"/>
    <n v="0"/>
    <n v="0"/>
    <n v="0"/>
    <n v="0"/>
    <n v="0"/>
    <n v="0"/>
    <n v="0"/>
    <n v="183.75"/>
    <n v="0"/>
    <n v="0"/>
    <n v="183.75"/>
    <n v="0"/>
  </r>
  <r>
    <x v="0"/>
    <x v="1"/>
    <x v="0"/>
    <s v="2579200"/>
    <n v="749512"/>
    <s v="Licenses-Physician"/>
    <s v="Urology-Gig Harbor-Uro"/>
    <x v="0"/>
    <n v="2000"/>
    <n v="0"/>
    <n v="0"/>
    <n v="0"/>
    <n v="0"/>
    <n v="0"/>
    <n v="0"/>
    <n v="0"/>
    <n v="0"/>
    <n v="659.5"/>
    <n v="0"/>
    <n v="0"/>
    <n v="0"/>
    <n v="659.5"/>
    <n v="0"/>
  </r>
  <r>
    <x v="0"/>
    <x v="1"/>
    <x v="0"/>
    <s v="2579200"/>
    <n v="749530"/>
    <s v="Travel"/>
    <s v="Urology-Gig Harbor-Uro"/>
    <x v="0"/>
    <m/>
    <n v="15"/>
    <n v="10"/>
    <n v="0"/>
    <n v="0"/>
    <n v="0"/>
    <n v="75.78"/>
    <n v="0"/>
    <n v="0"/>
    <n v="0"/>
    <n v="0"/>
    <n v="0"/>
    <n v="0"/>
    <n v="100.78"/>
    <n v="0"/>
  </r>
  <r>
    <x v="0"/>
    <x v="1"/>
    <x v="0"/>
    <s v="2579200"/>
    <n v="749530"/>
    <s v="Mileage"/>
    <s v="Urology-Gig Harbor-Uro"/>
    <x v="0"/>
    <n v="1001"/>
    <n v="111.18"/>
    <n v="45.8"/>
    <n v="0"/>
    <n v="0"/>
    <n v="0"/>
    <n v="39.81"/>
    <n v="0"/>
    <n v="0"/>
    <n v="0"/>
    <n v="8.6999999999999993"/>
    <n v="0"/>
    <n v="0"/>
    <n v="205.49"/>
    <n v="0"/>
  </r>
  <r>
    <x v="0"/>
    <x v="1"/>
    <x v="0"/>
    <s v="2579200"/>
    <n v="749532"/>
    <s v="Travel-Physician"/>
    <s v="Urology-Gig Harbor-Uro"/>
    <x v="0"/>
    <m/>
    <n v="0"/>
    <n v="0"/>
    <n v="0"/>
    <n v="0"/>
    <n v="0"/>
    <n v="0"/>
    <n v="0"/>
    <n v="0"/>
    <n v="1669.94"/>
    <n v="0"/>
    <n v="5.5"/>
    <n v="0"/>
    <n v="1675.44"/>
    <n v="5.5"/>
  </r>
  <r>
    <x v="0"/>
    <x v="1"/>
    <x v="0"/>
    <s v="2579200"/>
    <n v="749532"/>
    <s v="Vehicle Expense-Physician"/>
    <s v="Urology-Gig Harbor-Uro"/>
    <x v="0"/>
    <n v="2001"/>
    <n v="0"/>
    <n v="0"/>
    <n v="0"/>
    <n v="0"/>
    <n v="0"/>
    <n v="0"/>
    <n v="0"/>
    <n v="0"/>
    <n v="22.04"/>
    <n v="0"/>
    <n v="58.58"/>
    <n v="0"/>
    <n v="80.62"/>
    <n v="58.58"/>
  </r>
  <r>
    <x v="2"/>
    <x v="1"/>
    <x v="0"/>
    <s v="2580200"/>
    <n v="450029"/>
    <s v="Admin Adjust-MD Other-Self Pay"/>
    <s v="Spec-EN Cole St-Gen Surg"/>
    <x v="0"/>
    <n v="1600"/>
    <n v="0"/>
    <n v="0"/>
    <n v="0"/>
    <n v="0"/>
    <n v="0"/>
    <n v="0"/>
    <n v="0"/>
    <n v="0"/>
    <n v="0"/>
    <n v="37.28"/>
    <n v="0"/>
    <n v="0"/>
    <n v="37.28"/>
    <n v="0"/>
  </r>
  <r>
    <x v="2"/>
    <x v="1"/>
    <x v="0"/>
    <s v="2580200"/>
    <n v="450040"/>
    <s v="Contr Allow--Phys Svcs--Mcare"/>
    <s v="Spec-EN Cole St-Gen Surg"/>
    <x v="0"/>
    <n v="1100"/>
    <n v="0"/>
    <n v="0"/>
    <n v="0"/>
    <n v="0"/>
    <n v="0"/>
    <n v="0"/>
    <n v="-22.75"/>
    <n v="0"/>
    <n v="0"/>
    <n v="0"/>
    <n v="0"/>
    <n v="0"/>
    <n v="-22.75"/>
    <n v="0"/>
  </r>
  <r>
    <x v="2"/>
    <x v="1"/>
    <x v="0"/>
    <s v="2580200"/>
    <n v="450040"/>
    <s v="Contr Allow--Phys Svcs--BCBS Mgnd Care"/>
    <s v="Spec-EN Cole St-Gen Surg"/>
    <x v="0"/>
    <n v="1401"/>
    <n v="-44.4"/>
    <n v="-1533.14"/>
    <n v="0"/>
    <n v="0"/>
    <n v="228.76"/>
    <n v="3.35"/>
    <n v="44.45"/>
    <n v="4.01"/>
    <n v="0.18"/>
    <n v="-1.59"/>
    <n v="4.9800000000000004"/>
    <n v="-1.65"/>
    <n v="-1295.0500000000002"/>
    <n v="6.6300000000000008"/>
  </r>
  <r>
    <x v="2"/>
    <x v="1"/>
    <x v="0"/>
    <s v="2580200"/>
    <n v="450040"/>
    <s v="Admin Adjust-Phys Svcs-Self Pay"/>
    <s v="Spec-EN Cole St-Gen Surg"/>
    <x v="0"/>
    <n v="1600"/>
    <n v="1.25"/>
    <n v="191.07"/>
    <n v="0"/>
    <n v="0"/>
    <n v="14"/>
    <n v="0"/>
    <n v="0"/>
    <n v="0"/>
    <n v="219.65"/>
    <n v="0"/>
    <n v="0"/>
    <n v="0"/>
    <n v="425.97"/>
    <n v="0"/>
  </r>
  <r>
    <x v="3"/>
    <x v="1"/>
    <x v="0"/>
    <s v="2580200"/>
    <n v="470040"/>
    <s v="Charity Care-Physician Svcs"/>
    <s v="Spec-EN Cole St-Gen Surg"/>
    <x v="0"/>
    <m/>
    <n v="562.1"/>
    <n v="2990.86"/>
    <n v="0"/>
    <n v="0"/>
    <n v="8.18"/>
    <n v="-0.8"/>
    <n v="1.05"/>
    <n v="-0.55000000000000004"/>
    <n v="1.34"/>
    <n v="-0.52"/>
    <n v="-0.98"/>
    <n v="36.93"/>
    <n v="3597.6099999999997"/>
    <n v="-37.909999999999997"/>
  </r>
  <r>
    <x v="4"/>
    <x v="1"/>
    <x v="0"/>
    <s v="2580200"/>
    <n v="490010"/>
    <s v="Provision for Bad Debts"/>
    <s v="Spec-EN Cole St-Gen Surg"/>
    <x v="0"/>
    <m/>
    <n v="-412.79"/>
    <n v="-528.63"/>
    <n v="-22.87"/>
    <n v="-60"/>
    <n v="15.82"/>
    <n v="-267.12"/>
    <n v="1.35"/>
    <n v="-2"/>
    <n v="-856.3"/>
    <n v="-38.01"/>
    <n v="-0.32"/>
    <n v="-34.21"/>
    <n v="-2205.0800000000004"/>
    <n v="33.89"/>
  </r>
  <r>
    <x v="14"/>
    <x v="1"/>
    <x v="0"/>
    <s v="2580200"/>
    <n v="600050"/>
    <s v="Miscellaneous Revenue"/>
    <s v="Spec-EN Cole St-Gen Surg"/>
    <x v="0"/>
    <m/>
    <n v="0"/>
    <n v="-9000"/>
    <n v="-5400"/>
    <n v="0"/>
    <n v="0"/>
    <n v="0"/>
    <n v="0"/>
    <n v="0"/>
    <n v="0"/>
    <n v="0"/>
    <n v="0"/>
    <n v="0"/>
    <n v="-14400"/>
    <n v="0"/>
  </r>
  <r>
    <x v="5"/>
    <x v="1"/>
    <x v="0"/>
    <s v="2580200"/>
    <n v="700022"/>
    <s v="Salaries-Physician-Other"/>
    <s v="Spec-EN Cole St-Gen Surg"/>
    <x v="0"/>
    <n v="2000"/>
    <n v="0"/>
    <n v="9000"/>
    <n v="5400"/>
    <n v="0"/>
    <n v="0"/>
    <n v="0"/>
    <n v="0"/>
    <n v="0"/>
    <n v="0"/>
    <n v="0"/>
    <n v="0"/>
    <n v="0"/>
    <n v="14400"/>
    <n v="0"/>
  </r>
  <r>
    <x v="6"/>
    <x v="1"/>
    <x v="0"/>
    <s v="2580200"/>
    <n v="713090"/>
    <s v="Benefits-Allocated Amounts"/>
    <s v="Spec-EN Cole St-Gen Surg"/>
    <x v="0"/>
    <m/>
    <n v="0"/>
    <n v="330.63"/>
    <n v="199.82"/>
    <n v="-15.64"/>
    <n v="-16.739999999999998"/>
    <n v="2.78"/>
    <n v="49.75"/>
    <n v="15.86"/>
    <n v="15.8"/>
    <n v="-33.57"/>
    <n v="61.23"/>
    <n v="57.09"/>
    <n v="667.01"/>
    <n v="4.1399999999999935"/>
  </r>
  <r>
    <x v="1"/>
    <x v="1"/>
    <x v="0"/>
    <s v="2581200"/>
    <n v="400029"/>
    <s v="MD Practice Other Rev--Medicare"/>
    <s v="Spec-EN Cole St-OB/GYN"/>
    <x v="0"/>
    <n v="1100"/>
    <n v="0"/>
    <n v="-34"/>
    <n v="0"/>
    <n v="0"/>
    <n v="-34"/>
    <n v="-24"/>
    <n v="0"/>
    <n v="-34"/>
    <n v="-20"/>
    <n v="-54"/>
    <n v="0"/>
    <n v="-34"/>
    <n v="-234"/>
    <n v="34"/>
  </r>
  <r>
    <x v="1"/>
    <x v="1"/>
    <x v="0"/>
    <s v="2581200"/>
    <n v="400029"/>
    <s v="MD Practice Other Rev--Medicaid"/>
    <s v="Spec-EN Cole St-OB/GYN"/>
    <x v="0"/>
    <n v="1200"/>
    <n v="-250"/>
    <n v="-284"/>
    <n v="-356"/>
    <n v="-496"/>
    <n v="-404"/>
    <n v="-298"/>
    <n v="-510"/>
    <n v="-346"/>
    <n v="-418"/>
    <n v="-458"/>
    <n v="-707"/>
    <n v="-322"/>
    <n v="-4849"/>
    <n v="-385"/>
  </r>
  <r>
    <x v="1"/>
    <x v="1"/>
    <x v="0"/>
    <s v="2581200"/>
    <n v="400029"/>
    <s v="MD Practice Other Rev--Comm Insurance"/>
    <s v="Spec-EN Cole St-OB/GYN"/>
    <x v="0"/>
    <n v="1300"/>
    <n v="0"/>
    <n v="-130"/>
    <n v="0"/>
    <n v="-72"/>
    <n v="-58"/>
    <n v="-24"/>
    <n v="-72"/>
    <n v="0"/>
    <n v="-24"/>
    <n v="-58"/>
    <n v="-120"/>
    <n v="-144"/>
    <n v="-702"/>
    <n v="24"/>
  </r>
  <r>
    <x v="1"/>
    <x v="1"/>
    <x v="0"/>
    <s v="2581200"/>
    <n v="400029"/>
    <s v="MD Practice Other Rev--BCBS Comm"/>
    <s v="Spec-EN Cole St-OB/GYN"/>
    <x v="0"/>
    <n v="1301"/>
    <n v="-274"/>
    <n v="-192"/>
    <n v="-93"/>
    <n v="-270"/>
    <n v="-120"/>
    <n v="-336"/>
    <n v="-380"/>
    <n v="-140"/>
    <n v="-34"/>
    <n v="-260"/>
    <n v="-270"/>
    <n v="-192"/>
    <n v="-2561"/>
    <n v="-78"/>
  </r>
  <r>
    <x v="1"/>
    <x v="1"/>
    <x v="0"/>
    <s v="2581200"/>
    <n v="400029"/>
    <s v="MD Practice Other Rev--Managed Care"/>
    <s v="Spec-EN Cole St-OB/GYN"/>
    <x v="0"/>
    <n v="1400"/>
    <n v="-270"/>
    <n v="-406"/>
    <n v="-256"/>
    <n v="-728"/>
    <n v="-438"/>
    <n v="-375"/>
    <n v="-740"/>
    <n v="-552"/>
    <n v="-496"/>
    <n v="-722"/>
    <n v="-910"/>
    <n v="-394"/>
    <n v="-6287"/>
    <n v="-516"/>
  </r>
  <r>
    <x v="1"/>
    <x v="1"/>
    <x v="0"/>
    <s v="2581200"/>
    <n v="400029"/>
    <s v="MD Practice Other Rev--Self Pay"/>
    <s v="Spec-EN Cole St-OB/GYN"/>
    <x v="0"/>
    <n v="1500"/>
    <n v="0"/>
    <n v="0"/>
    <n v="-24"/>
    <n v="0"/>
    <n v="0"/>
    <n v="24"/>
    <n v="-24"/>
    <n v="0"/>
    <n v="-24"/>
    <n v="-24"/>
    <n v="0"/>
    <n v="0"/>
    <n v="-72"/>
    <n v="0"/>
  </r>
  <r>
    <x v="1"/>
    <x v="1"/>
    <x v="0"/>
    <s v="2581200"/>
    <n v="400029"/>
    <s v="MD Practice Other Rev--Other"/>
    <s v="Spec-EN Cole St-OB/GYN"/>
    <x v="0"/>
    <n v="1700"/>
    <n v="0"/>
    <n v="-24"/>
    <n v="-24"/>
    <n v="0"/>
    <n v="0"/>
    <n v="0"/>
    <n v="-24"/>
    <n v="-72"/>
    <n v="0"/>
    <n v="0"/>
    <n v="0"/>
    <n v="0"/>
    <n v="-144"/>
    <n v="0"/>
  </r>
  <r>
    <x v="1"/>
    <x v="1"/>
    <x v="0"/>
    <s v="2581200"/>
    <n v="400040"/>
    <s v="Physician Svcs Rev--Medicare"/>
    <s v="Spec-EN Cole St-OB/GYN"/>
    <x v="0"/>
    <n v="1100"/>
    <n v="-12676"/>
    <n v="-3694"/>
    <n v="-5456"/>
    <n v="-10734"/>
    <n v="-12961"/>
    <n v="-6834"/>
    <n v="-14665"/>
    <n v="-11524"/>
    <n v="-13755"/>
    <n v="-10731"/>
    <n v="-5409"/>
    <n v="-9216"/>
    <n v="-117655"/>
    <n v="3807"/>
  </r>
  <r>
    <x v="1"/>
    <x v="1"/>
    <x v="0"/>
    <s v="2581200"/>
    <n v="400040"/>
    <s v="Physician Svcs Rev--Medicaid"/>
    <s v="Spec-EN Cole St-OB/GYN"/>
    <x v="0"/>
    <n v="1200"/>
    <n v="-77119.44"/>
    <n v="-87924.98"/>
    <n v="-52184.84"/>
    <n v="-46577.67"/>
    <n v="-73570.44"/>
    <n v="-46571.98"/>
    <n v="-49238"/>
    <n v="-62915"/>
    <n v="-114067.42"/>
    <n v="-85197"/>
    <n v="-98393"/>
    <n v="-70435.5"/>
    <n v="-864195.27"/>
    <n v="-27957.5"/>
  </r>
  <r>
    <x v="1"/>
    <x v="1"/>
    <x v="0"/>
    <s v="2581200"/>
    <n v="400040"/>
    <s v="Physician Svcs Rev--Comm Insurance"/>
    <s v="Spec-EN Cole St-OB/GYN"/>
    <x v="0"/>
    <n v="1300"/>
    <n v="-771"/>
    <n v="-18349"/>
    <n v="-2143"/>
    <n v="-8021"/>
    <n v="-11157"/>
    <n v="-10639"/>
    <n v="-11588"/>
    <n v="-3160"/>
    <n v="-4071"/>
    <n v="-9304"/>
    <n v="-11610"/>
    <n v="-6039"/>
    <n v="-96852"/>
    <n v="-5571"/>
  </r>
  <r>
    <x v="1"/>
    <x v="1"/>
    <x v="0"/>
    <s v="2581200"/>
    <n v="400040"/>
    <s v="Physician Svcs Rev--BCBS Comm"/>
    <s v="Spec-EN Cole St-OB/GYN"/>
    <x v="0"/>
    <n v="1301"/>
    <n v="-52242"/>
    <n v="-46595.91"/>
    <n v="-21346"/>
    <n v="-60139"/>
    <n v="-32875"/>
    <n v="-40589"/>
    <n v="-45108.91"/>
    <n v="-23603"/>
    <n v="-40805"/>
    <n v="-38304.82"/>
    <n v="-36003"/>
    <n v="-33703.910000000003"/>
    <n v="-471315.55000000005"/>
    <n v="-2299.0899999999965"/>
  </r>
  <r>
    <x v="1"/>
    <x v="1"/>
    <x v="0"/>
    <s v="2581200"/>
    <n v="400040"/>
    <s v="Physician Svcs Rev--Managed Care"/>
    <s v="Spec-EN Cole St-OB/GYN"/>
    <x v="0"/>
    <n v="1400"/>
    <n v="-64987.73"/>
    <n v="-104364.91"/>
    <n v="-76056"/>
    <n v="-107517.6"/>
    <n v="-110861.91"/>
    <n v="-73625"/>
    <n v="-139610.91"/>
    <n v="-107110"/>
    <n v="-89808.82"/>
    <n v="-89593"/>
    <n v="-80086"/>
    <n v="-120944"/>
    <n v="-1164565.8800000001"/>
    <n v="40858"/>
  </r>
  <r>
    <x v="1"/>
    <x v="1"/>
    <x v="0"/>
    <s v="2581200"/>
    <n v="400040"/>
    <s v="Physician Svcs Rev--Self Pay"/>
    <s v="Spec-EN Cole St-OB/GYN"/>
    <x v="0"/>
    <n v="1500"/>
    <n v="-295"/>
    <n v="-354"/>
    <n v="-4080"/>
    <n v="-1215"/>
    <n v="-97"/>
    <n v="-279"/>
    <n v="-1899"/>
    <n v="-795"/>
    <n v="-406"/>
    <n v="-1673"/>
    <n v="-5425"/>
    <n v="-993"/>
    <n v="-17511"/>
    <n v="-4432"/>
  </r>
  <r>
    <x v="1"/>
    <x v="1"/>
    <x v="0"/>
    <s v="2581200"/>
    <n v="400040"/>
    <s v="Physician Svcs Rev--Other"/>
    <s v="Spec-EN Cole St-OB/GYN"/>
    <x v="0"/>
    <n v="1700"/>
    <n v="-2284"/>
    <n v="-8643"/>
    <n v="-4585"/>
    <n v="-7960"/>
    <n v="-12260"/>
    <n v="0"/>
    <n v="-9943"/>
    <n v="-9200"/>
    <n v="-3715"/>
    <n v="-983"/>
    <n v="-712"/>
    <n v="-718"/>
    <n v="-61003"/>
    <n v="6"/>
  </r>
  <r>
    <x v="2"/>
    <x v="1"/>
    <x v="0"/>
    <s v="2581200"/>
    <n v="450029"/>
    <s v="Contr Allow--MD Other-Medicare"/>
    <s v="Spec-EN Cole St-OB/GYN"/>
    <x v="0"/>
    <n v="1100"/>
    <n v="0"/>
    <n v="0"/>
    <n v="15.56"/>
    <n v="7.95"/>
    <n v="23.51"/>
    <n v="0"/>
    <n v="15.56"/>
    <n v="0"/>
    <n v="28.67"/>
    <n v="30"/>
    <n v="14.54"/>
    <n v="0"/>
    <n v="135.79"/>
    <n v="14.54"/>
  </r>
  <r>
    <x v="2"/>
    <x v="1"/>
    <x v="0"/>
    <s v="2581200"/>
    <n v="450029"/>
    <s v="Contr Allow--MD Other-Medicaid"/>
    <s v="Spec-EN Cole St-OB/GYN"/>
    <x v="0"/>
    <n v="1200"/>
    <n v="158.72999999999999"/>
    <n v="191.48"/>
    <n v="226.66"/>
    <n v="226.19"/>
    <n v="392.58"/>
    <n v="185.28"/>
    <n v="224.32"/>
    <n v="353.66"/>
    <n v="223.59"/>
    <n v="252.3"/>
    <n v="348.53"/>
    <n v="356.03"/>
    <n v="3139.3499999999995"/>
    <n v="-7.5"/>
  </r>
  <r>
    <x v="2"/>
    <x v="1"/>
    <x v="0"/>
    <s v="2581200"/>
    <n v="450029"/>
    <s v="Contr Allow--MD Other-Comm Insurance"/>
    <s v="Spec-EN Cole St-OB/GYN"/>
    <x v="0"/>
    <n v="1300"/>
    <n v="22.31"/>
    <n v="26.95"/>
    <n v="18.670000000000002"/>
    <n v="0"/>
    <n v="96.55"/>
    <n v="17.04"/>
    <n v="8.5"/>
    <n v="33"/>
    <n v="0"/>
    <n v="8.93"/>
    <n v="51.57"/>
    <n v="112.31"/>
    <n v="395.83000000000004"/>
    <n v="-60.74"/>
  </r>
  <r>
    <x v="2"/>
    <x v="1"/>
    <x v="0"/>
    <s v="2581200"/>
    <n v="450029"/>
    <s v="Contr Allow--MD Other BCBS Comm"/>
    <s v="Spec-EN Cole St-OB/GYN"/>
    <x v="0"/>
    <n v="1301"/>
    <n v="144.79"/>
    <n v="157.18"/>
    <n v="52.35"/>
    <n v="120.51"/>
    <n v="167.15"/>
    <n v="157.13999999999999"/>
    <n v="217.17"/>
    <n v="207.13"/>
    <n v="50.66"/>
    <n v="100.65"/>
    <n v="220.13"/>
    <n v="185.97"/>
    <n v="1780.8300000000002"/>
    <n v="34.159999999999997"/>
  </r>
  <r>
    <x v="2"/>
    <x v="1"/>
    <x v="0"/>
    <s v="2581200"/>
    <n v="450029"/>
    <s v="Contr Allow--MD Other-Managed Care"/>
    <s v="Spec-EN Cole St-OB/GYN"/>
    <x v="0"/>
    <n v="1400"/>
    <n v="131.05000000000001"/>
    <n v="323.54000000000002"/>
    <n v="98.86"/>
    <n v="310.92"/>
    <n v="351.93"/>
    <n v="221.23"/>
    <n v="410.25"/>
    <n v="387.09"/>
    <n v="406.35"/>
    <n v="465.2"/>
    <n v="553.12"/>
    <n v="440.03"/>
    <n v="4099.57"/>
    <n v="113.09000000000003"/>
  </r>
  <r>
    <x v="2"/>
    <x v="1"/>
    <x v="0"/>
    <s v="2581200"/>
    <n v="450029"/>
    <s v="Admin Adjust-MD Other-Self Pay"/>
    <s v="Spec-EN Cole St-OB/GYN"/>
    <x v="0"/>
    <n v="1600"/>
    <n v="13.16"/>
    <n v="234.49"/>
    <n v="12.38"/>
    <n v="63.31"/>
    <n v="11.24"/>
    <n v="-8.8800000000000008"/>
    <n v="26.88"/>
    <n v="19.87"/>
    <n v="27.29"/>
    <n v="11.41"/>
    <n v="11.89"/>
    <n v="-21.96"/>
    <n v="401.0800000000001"/>
    <n v="33.85"/>
  </r>
  <r>
    <x v="2"/>
    <x v="1"/>
    <x v="0"/>
    <s v="2581200"/>
    <n v="450029"/>
    <s v="Contr Allow--MD Other-Other"/>
    <s v="Spec-EN Cole St-OB/GYN"/>
    <x v="0"/>
    <n v="1700"/>
    <n v="0"/>
    <n v="17"/>
    <n v="34.049999999999997"/>
    <n v="-16.71"/>
    <n v="0"/>
    <n v="0"/>
    <n v="17.809999999999999"/>
    <n v="0"/>
    <n v="32.44"/>
    <n v="34"/>
    <n v="0"/>
    <n v="0"/>
    <n v="118.58999999999999"/>
    <n v="0"/>
  </r>
  <r>
    <x v="2"/>
    <x v="1"/>
    <x v="0"/>
    <s v="2581200"/>
    <n v="450040"/>
    <s v="Contr Allow--Phys Svcs--Mcare"/>
    <s v="Spec-EN Cole St-OB/GYN"/>
    <x v="0"/>
    <n v="1100"/>
    <n v="3571.07"/>
    <n v="6472.43"/>
    <n v="1951.57"/>
    <n v="7059.12"/>
    <n v="9596.26"/>
    <n v="3305.55"/>
    <n v="8382.33"/>
    <n v="5298.18"/>
    <n v="9142.7099999999991"/>
    <n v="6625.55"/>
    <n v="5815.96"/>
    <n v="2142.12"/>
    <n v="69362.849999999991"/>
    <n v="3673.84"/>
  </r>
  <r>
    <x v="2"/>
    <x v="1"/>
    <x v="0"/>
    <s v="2581200"/>
    <n v="450040"/>
    <s v="Contr Allow--Phys Svcs--Mcaid"/>
    <s v="Spec-EN Cole St-OB/GYN"/>
    <x v="0"/>
    <n v="1200"/>
    <n v="50497.72"/>
    <n v="54662.57"/>
    <n v="40552.97"/>
    <n v="35902.78"/>
    <n v="42829.81"/>
    <n v="28598.32"/>
    <n v="46519.98"/>
    <n v="37523.21"/>
    <n v="42377.599999999999"/>
    <n v="80153.38"/>
    <n v="49279.44"/>
    <n v="65037.23"/>
    <n v="573935.01"/>
    <n v="-15757.79"/>
  </r>
  <r>
    <x v="2"/>
    <x v="1"/>
    <x v="0"/>
    <s v="2581200"/>
    <n v="450040"/>
    <s v="Contr Allow--Phys Svcs--Comm Insurance"/>
    <s v="Spec-EN Cole St-OB/GYN"/>
    <x v="0"/>
    <n v="1300"/>
    <n v="3360.28"/>
    <n v="3245.52"/>
    <n v="2593.04"/>
    <n v="3241.08"/>
    <n v="2066.75"/>
    <n v="4634.03"/>
    <n v="9932.9500000000007"/>
    <n v="3803.13"/>
    <n v="4794.5200000000004"/>
    <n v="1095.22"/>
    <n v="4243.49"/>
    <n v="4604.5200000000004"/>
    <n v="47614.53"/>
    <n v="-361.03000000000065"/>
  </r>
  <r>
    <x v="2"/>
    <x v="1"/>
    <x v="0"/>
    <s v="2581200"/>
    <n v="450040"/>
    <s v="Contr Allow--Phys Svcs--BCBS Comm Ins"/>
    <s v="Spec-EN Cole St-OB/GYN"/>
    <x v="0"/>
    <n v="1301"/>
    <n v="18015.810000000001"/>
    <n v="10632.84"/>
    <n v="15543.34"/>
    <n v="13192.12"/>
    <n v="18833.07"/>
    <n v="23152.45"/>
    <n v="19057.45"/>
    <n v="25336.799999999999"/>
    <n v="-6347.6"/>
    <n v="15859.81"/>
    <n v="19763.580000000002"/>
    <n v="13785.06"/>
    <n v="186824.72999999998"/>
    <n v="5978.5200000000023"/>
  </r>
  <r>
    <x v="2"/>
    <x v="1"/>
    <x v="0"/>
    <s v="2581200"/>
    <n v="450040"/>
    <s v="Contr Allow--Phys Svcs--Managed Care"/>
    <s v="Spec-EN Cole St-OB/GYN"/>
    <x v="0"/>
    <n v="1400"/>
    <n v="16784.22"/>
    <n v="33718.28"/>
    <n v="34092.550000000003"/>
    <n v="45520.26"/>
    <n v="53886.48"/>
    <n v="30875.42"/>
    <n v="30374.01"/>
    <n v="55846.400000000001"/>
    <n v="41150.57"/>
    <n v="42660.46"/>
    <n v="35561.65"/>
    <n v="37453.589999999997"/>
    <n v="457923.89000000013"/>
    <n v="-1891.9399999999951"/>
  </r>
  <r>
    <x v="2"/>
    <x v="1"/>
    <x v="0"/>
    <s v="2581200"/>
    <n v="450040"/>
    <s v="Contr Allow--Phys Svcs--BCBS Mgnd Care"/>
    <s v="Spec-EN Cole St-OB/GYN"/>
    <x v="0"/>
    <n v="1401"/>
    <n v="3962"/>
    <n v="-4046.99"/>
    <n v="-19181.75"/>
    <n v="-807.94"/>
    <n v="2230.4"/>
    <n v="-9505.0400000000009"/>
    <n v="33062.82"/>
    <n v="-218.42"/>
    <n v="34155.870000000003"/>
    <n v="-32429.99"/>
    <n v="8456.8799999999992"/>
    <n v="1419.73"/>
    <n v="17097.570000000003"/>
    <n v="7037.15"/>
  </r>
  <r>
    <x v="2"/>
    <x v="1"/>
    <x v="0"/>
    <s v="2581200"/>
    <n v="450040"/>
    <s v="Admin Adjust-Phys Svcs-Self Pay"/>
    <s v="Spec-EN Cole St-OB/GYN"/>
    <x v="0"/>
    <n v="1600"/>
    <n v="295.14"/>
    <n v="45115.51"/>
    <n v="1985.23"/>
    <n v="530.61"/>
    <n v="-1171.8900000000001"/>
    <n v="-5935.41"/>
    <n v="896.11"/>
    <n v="-2205.87"/>
    <n v="-675.06"/>
    <n v="8613.0499999999993"/>
    <n v="3442.95"/>
    <n v="94.97"/>
    <n v="50985.34"/>
    <n v="3347.98"/>
  </r>
  <r>
    <x v="2"/>
    <x v="1"/>
    <x v="0"/>
    <s v="2581200"/>
    <n v="450040"/>
    <s v="Contr Allow--Phys Svcs--Other"/>
    <s v="Spec-EN Cole St-OB/GYN"/>
    <x v="0"/>
    <n v="1700"/>
    <n v="630.05999999999995"/>
    <n v="843.81"/>
    <n v="2166.54"/>
    <n v="3086.05"/>
    <n v="1008.42"/>
    <n v="12378.41"/>
    <n v="4136.18"/>
    <n v="3443.48"/>
    <n v="6079.84"/>
    <n v="3618.68"/>
    <n v="890.62"/>
    <n v="3803.01"/>
    <n v="42085.100000000006"/>
    <n v="-2912.3900000000003"/>
  </r>
  <r>
    <x v="3"/>
    <x v="1"/>
    <x v="0"/>
    <s v="2581200"/>
    <n v="470040"/>
    <s v="Charity Care-Physician Svcs"/>
    <s v="Spec-EN Cole St-OB/GYN"/>
    <x v="0"/>
    <m/>
    <n v="475.21"/>
    <n v="1550.28"/>
    <n v="-306.54000000000002"/>
    <n v="3386.93"/>
    <n v="999.2"/>
    <n v="162.5"/>
    <n v="2195.7800000000002"/>
    <n v="7051.81"/>
    <n v="2906.96"/>
    <n v="-443.67"/>
    <n v="1048.43"/>
    <n v="2195.06"/>
    <n v="21221.950000000004"/>
    <n v="-1146.6299999999999"/>
  </r>
  <r>
    <x v="4"/>
    <x v="1"/>
    <x v="0"/>
    <s v="2581200"/>
    <n v="490010"/>
    <s v="Provision for Bad Debts"/>
    <s v="Spec-EN Cole St-OB/GYN"/>
    <x v="0"/>
    <m/>
    <n v="1073.77"/>
    <n v="441.09"/>
    <n v="3485.2"/>
    <n v="25419.22"/>
    <n v="1421.25"/>
    <n v="-3918.3"/>
    <n v="6968.56"/>
    <n v="-579.59"/>
    <n v="3607.8"/>
    <n v="-4254.4399999999996"/>
    <n v="1497.29"/>
    <n v="2803.34"/>
    <n v="37965.19"/>
    <n v="-1306.0500000000002"/>
  </r>
  <r>
    <x v="5"/>
    <x v="1"/>
    <x v="0"/>
    <s v="2581200"/>
    <n v="700022"/>
    <s v="Salaries-Physician-Productive"/>
    <s v="Spec-EN Cole St-OB/GYN"/>
    <x v="0"/>
    <m/>
    <n v="51578.58"/>
    <n v="45075.26"/>
    <n v="48797.63"/>
    <n v="52247.46"/>
    <n v="54225.39"/>
    <n v="55907.08"/>
    <n v="60530.62"/>
    <n v="49324.93"/>
    <n v="51616.27"/>
    <n v="51314.41"/>
    <n v="48370.53"/>
    <n v="53740.480000000003"/>
    <n v="622728.64"/>
    <n v="-5369.9500000000044"/>
  </r>
  <r>
    <x v="5"/>
    <x v="1"/>
    <x v="0"/>
    <s v="2581200"/>
    <n v="700022"/>
    <s v="Salaries-Physician-Other"/>
    <s v="Spec-EN Cole St-OB/GYN"/>
    <x v="0"/>
    <n v="2000"/>
    <n v="1776.91"/>
    <n v="13552.69"/>
    <n v="1615.38"/>
    <n v="1857.69"/>
    <n v="8776.92"/>
    <n v="1696.14"/>
    <n v="11860.52"/>
    <n v="11075.71"/>
    <n v="1698.66"/>
    <n v="9777.19"/>
    <n v="4515.43"/>
    <n v="12615.38"/>
    <n v="80818.62000000001"/>
    <n v="-8099.9499999999989"/>
  </r>
  <r>
    <x v="5"/>
    <x v="1"/>
    <x v="0"/>
    <s v="2581200"/>
    <n v="700022"/>
    <s v="Salaries-Physician-Provider Incentive"/>
    <s v="Spec-EN Cole St-OB/GYN"/>
    <x v="0"/>
    <n v="4003"/>
    <n v="0"/>
    <n v="500"/>
    <n v="0"/>
    <n v="0"/>
    <n v="500"/>
    <n v="0"/>
    <n v="0"/>
    <n v="500.73"/>
    <n v="0"/>
    <n v="0"/>
    <n v="501.46"/>
    <n v="-0.73"/>
    <n v="2001.46"/>
    <n v="502.19"/>
  </r>
  <r>
    <x v="5"/>
    <x v="1"/>
    <x v="0"/>
    <s v="2581200"/>
    <n v="700024"/>
    <s v="Salaries-Advanced Practice Clinician-Productive"/>
    <s v="Spec-EN Cole St-OB/GYN"/>
    <x v="0"/>
    <m/>
    <n v="12118.36"/>
    <n v="22348.93"/>
    <n v="15997.08"/>
    <n v="24581.55"/>
    <n v="18993.62"/>
    <n v="19797.259999999998"/>
    <n v="21266.62"/>
    <n v="20136.41"/>
    <n v="20501.63"/>
    <n v="15786.31"/>
    <n v="24569.05"/>
    <n v="12484.21"/>
    <n v="228581.02999999997"/>
    <n v="12084.84"/>
  </r>
  <r>
    <x v="5"/>
    <x v="1"/>
    <x v="0"/>
    <s v="2581200"/>
    <n v="700024"/>
    <s v="Salaries-Advanced Practice Clinician-Other"/>
    <s v="Spec-EN Cole St-OB/GYN"/>
    <x v="0"/>
    <n v="2000"/>
    <n v="4667.32"/>
    <n v="7719.26"/>
    <n v="4513.4799999999996"/>
    <n v="5594.24"/>
    <n v="5942.34"/>
    <n v="12661.66"/>
    <n v="8744.61"/>
    <n v="8219.75"/>
    <n v="7041.51"/>
    <n v="6794.78"/>
    <n v="1396.28"/>
    <n v="10053.200000000001"/>
    <n v="83348.429999999993"/>
    <n v="-8656.92"/>
  </r>
  <r>
    <x v="5"/>
    <x v="1"/>
    <x v="0"/>
    <s v="2581200"/>
    <n v="700026"/>
    <s v="Salaries-RN-Productive"/>
    <s v="Spec-EN Cole St-OB/GYN"/>
    <x v="0"/>
    <m/>
    <n v="0"/>
    <n v="0"/>
    <n v="0"/>
    <n v="6363.89"/>
    <n v="3540.38"/>
    <n v="5084.76"/>
    <n v="5670.87"/>
    <n v="4845.59"/>
    <n v="5294.71"/>
    <n v="6627.9"/>
    <n v="5798.97"/>
    <n v="5866.73"/>
    <n v="49093.8"/>
    <n v="-67.759999999999309"/>
  </r>
  <r>
    <x v="5"/>
    <x v="1"/>
    <x v="0"/>
    <s v="2581200"/>
    <n v="700026"/>
    <s v="Salaries-RN-OT"/>
    <s v="Spec-EN Cole St-OB/GYN"/>
    <x v="0"/>
    <n v="1000"/>
    <n v="0"/>
    <n v="0"/>
    <n v="0"/>
    <n v="594.79"/>
    <n v="-169.94"/>
    <n v="712.8"/>
    <n v="373.47"/>
    <n v="262.38"/>
    <n v="346.31"/>
    <n v="444.36"/>
    <n v="270.64999999999998"/>
    <n v="23.64"/>
    <n v="2858.46"/>
    <n v="247.01"/>
  </r>
  <r>
    <x v="5"/>
    <x v="1"/>
    <x v="0"/>
    <s v="2581200"/>
    <n v="700030"/>
    <s v="Salaries-LPN-Productive"/>
    <s v="Spec-EN Cole St-OB/GYN"/>
    <x v="0"/>
    <m/>
    <n v="0"/>
    <n v="3503.52"/>
    <n v="89.21"/>
    <n v="0"/>
    <n v="0"/>
    <n v="0"/>
    <n v="344.34"/>
    <n v="-98.38"/>
    <n v="0"/>
    <n v="0"/>
    <n v="0"/>
    <n v="770.8"/>
    <n v="4609.49"/>
    <n v="-770.8"/>
  </r>
  <r>
    <x v="5"/>
    <x v="1"/>
    <x v="0"/>
    <s v="2581200"/>
    <n v="700032"/>
    <s v="Salaries-Other Pat Care Providers-Productive"/>
    <s v="Spec-EN Cole St-OB/GYN"/>
    <x v="0"/>
    <m/>
    <n v="3906.73"/>
    <n v="5102.22"/>
    <n v="6969.79"/>
    <n v="6904.82"/>
    <n v="6591.83"/>
    <n v="4050.77"/>
    <n v="6350.63"/>
    <n v="5004.03"/>
    <n v="7043.87"/>
    <n v="3724.7"/>
    <n v="3244.52"/>
    <n v="4506.88"/>
    <n v="63400.789999999986"/>
    <n v="-1262.3600000000001"/>
  </r>
  <r>
    <x v="5"/>
    <x v="1"/>
    <x v="0"/>
    <s v="2581200"/>
    <n v="700032"/>
    <s v="Salaries-Other Pat Care Providers-OT"/>
    <s v="Spec-EN Cole St-OB/GYN"/>
    <x v="0"/>
    <n v="1000"/>
    <n v="194.3"/>
    <n v="-32.380000000000003"/>
    <n v="75.930000000000007"/>
    <n v="81.5"/>
    <n v="-35"/>
    <n v="110.18"/>
    <n v="62.43"/>
    <n v="18.66"/>
    <n v="3.53"/>
    <n v="126.86"/>
    <n v="31.74"/>
    <n v="139.85"/>
    <n v="777.6"/>
    <n v="-108.11"/>
  </r>
  <r>
    <x v="5"/>
    <x v="1"/>
    <x v="0"/>
    <s v="2581200"/>
    <n v="700032"/>
    <s v="Salaries-Other Pat Care Providers-Other"/>
    <s v="Spec-EN Cole St-OB/GYN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581200"/>
    <n v="700038"/>
    <s v="Salaries-Service/Support-Productive"/>
    <s v="Spec-EN Cole St-OB/GYN"/>
    <x v="0"/>
    <m/>
    <n v="0"/>
    <n v="803.67"/>
    <n v="-160.72999999999999"/>
    <n v="0"/>
    <n v="0"/>
    <n v="0"/>
    <n v="0"/>
    <n v="0"/>
    <n v="0"/>
    <n v="0"/>
    <n v="0"/>
    <n v="0"/>
    <n v="642.93999999999994"/>
    <n v="0"/>
  </r>
  <r>
    <x v="5"/>
    <x v="1"/>
    <x v="0"/>
    <s v="2581200"/>
    <n v="700054"/>
    <s v="Salaries-Management-NonProd-Other"/>
    <s v="Spec-EN Cole St-OB/GYN"/>
    <x v="0"/>
    <n v="2000"/>
    <n v="0"/>
    <n v="0"/>
    <n v="0"/>
    <n v="0"/>
    <n v="0"/>
    <n v="1173.56"/>
    <n v="-1173.56"/>
    <n v="0"/>
    <n v="0"/>
    <n v="0"/>
    <n v="0"/>
    <n v="0"/>
    <n v="0"/>
    <n v="0"/>
  </r>
  <r>
    <x v="5"/>
    <x v="1"/>
    <x v="0"/>
    <s v="2581200"/>
    <n v="700062"/>
    <s v="Salaries-Physician-Non-productive"/>
    <s v="Spec-EN Cole St-OB/GYN"/>
    <x v="0"/>
    <m/>
    <n v="1195.2"/>
    <n v="7932.69"/>
    <n v="-1368.95"/>
    <n v="2295.5"/>
    <n v="-1020.22"/>
    <n v="3844.3"/>
    <n v="3854.05"/>
    <n v="0"/>
    <n v="0"/>
    <n v="2719.2"/>
    <n v="10927.36"/>
    <n v="-2731.84"/>
    <n v="27647.29"/>
    <n v="13659.2"/>
  </r>
  <r>
    <x v="5"/>
    <x v="1"/>
    <x v="0"/>
    <s v="2581200"/>
    <n v="700064"/>
    <s v="Salaries-Advanced Practice Clinician-Non-Productive"/>
    <s v="Spec-EN Cole St-OB/GYN"/>
    <x v="0"/>
    <m/>
    <n v="587.20000000000005"/>
    <n v="0"/>
    <n v="4996.49"/>
    <n v="232.75"/>
    <n v="4395.13"/>
    <n v="1482.86"/>
    <n v="1957.63"/>
    <n v="226.55"/>
    <n v="1374.93"/>
    <n v="6563.42"/>
    <n v="1074.03"/>
    <n v="2211.96"/>
    <n v="25102.949999999997"/>
    <n v="-1137.93"/>
  </r>
  <r>
    <x v="5"/>
    <x v="1"/>
    <x v="0"/>
    <s v="2581200"/>
    <n v="700064"/>
    <s v="Salaries-Advanced Practice Clinician-Non-Prod-Other"/>
    <s v="Spec-EN Cole St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1200"/>
    <n v="700066"/>
    <s v="Salaries-RN-Non-productive"/>
    <s v="Spec-EN Cole St-OB/GYN"/>
    <x v="0"/>
    <m/>
    <n v="0"/>
    <n v="0"/>
    <n v="0"/>
    <n v="600.6"/>
    <n v="2014.08"/>
    <n v="254.91"/>
    <n v="201.78"/>
    <n v="196.97"/>
    <n v="0"/>
    <n v="756.39"/>
    <n v="0"/>
    <n v="252.13"/>
    <n v="4276.8599999999997"/>
    <n v="-252.13"/>
  </r>
  <r>
    <x v="5"/>
    <x v="1"/>
    <x v="0"/>
    <s v="2581200"/>
    <n v="700066"/>
    <s v="Salaries-RN-NonProd-Other"/>
    <s v="Spec-EN Cole St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1200"/>
    <n v="700070"/>
    <s v="Salaries-LPN-Non-productive"/>
    <s v="Spec-EN Cole St-OB/GYN"/>
    <x v="0"/>
    <m/>
    <n v="5709.44"/>
    <n v="2465.44"/>
    <n v="-129.76"/>
    <n v="0"/>
    <n v="0"/>
    <n v="0"/>
    <n v="0"/>
    <n v="0"/>
    <n v="0"/>
    <n v="0"/>
    <n v="0"/>
    <n v="0"/>
    <n v="8045.119999999999"/>
    <n v="0"/>
  </r>
  <r>
    <x v="5"/>
    <x v="1"/>
    <x v="0"/>
    <s v="2581200"/>
    <n v="700072"/>
    <s v="Salaries-Other Pat Care Providers-Non-productive"/>
    <s v="Spec-EN Cole St-OB/GYN"/>
    <x v="0"/>
    <m/>
    <n v="428.13"/>
    <n v="2477.87"/>
    <n v="-92.04"/>
    <n v="896.15"/>
    <n v="1171.6199999999999"/>
    <n v="3214.86"/>
    <n v="821.01"/>
    <n v="981.87"/>
    <n v="468.12"/>
    <n v="187.28"/>
    <n v="1393.07"/>
    <n v="447.78"/>
    <n v="12395.720000000003"/>
    <n v="945.29"/>
  </r>
  <r>
    <x v="5"/>
    <x v="1"/>
    <x v="0"/>
    <s v="2581200"/>
    <n v="700072"/>
    <s v="Salaries-Other Pat Care Providers-NonProd-Other"/>
    <s v="Spec-EN Cole St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1200"/>
    <n v="700084"/>
    <s v="Accrued PTO"/>
    <s v="Spec-EN Cole St-OB/GYN"/>
    <x v="0"/>
    <m/>
    <n v="-2812.26"/>
    <n v="-1506.56"/>
    <n v="-221.07"/>
    <n v="-8.01"/>
    <n v="-538.54999999999995"/>
    <n v="-666.32"/>
    <n v="5.85"/>
    <n v="257.72000000000003"/>
    <n v="814.91"/>
    <n v="-146.36000000000001"/>
    <n v="415.86"/>
    <n v="276.49"/>
    <n v="-4128.2999999999993"/>
    <n v="139.37"/>
  </r>
  <r>
    <x v="6"/>
    <x v="1"/>
    <x v="0"/>
    <s v="2581200"/>
    <n v="713010"/>
    <s v="Benefits-FICA/Medicare"/>
    <s v="Spec-EN Cole St-OB/GYN"/>
    <x v="0"/>
    <m/>
    <n v="2609.1799999999998"/>
    <n v="3651.4"/>
    <n v="3539.44"/>
    <n v="3913.41"/>
    <n v="3059.79"/>
    <n v="5984.84"/>
    <n v="8021.65"/>
    <n v="6380.21"/>
    <n v="6728.66"/>
    <n v="5280.19"/>
    <n v="5636.32"/>
    <n v="3420.5"/>
    <n v="58225.590000000004"/>
    <n v="2215.8199999999997"/>
  </r>
  <r>
    <x v="6"/>
    <x v="1"/>
    <x v="0"/>
    <s v="2581200"/>
    <n v="713090"/>
    <s v="Benefits-Allocated Amounts"/>
    <s v="Spec-EN Cole St-OB/GYN"/>
    <x v="0"/>
    <m/>
    <n v="0"/>
    <n v="0"/>
    <n v="0"/>
    <n v="0"/>
    <n v="0"/>
    <n v="0"/>
    <n v="0"/>
    <n v="0"/>
    <n v="39062.449999999997"/>
    <n v="4518.37"/>
    <n v="4214.82"/>
    <n v="4241.74"/>
    <n v="52037.38"/>
    <n v="-26.920000000000073"/>
  </r>
  <r>
    <x v="6"/>
    <x v="1"/>
    <x v="0"/>
    <s v="2581200"/>
    <n v="713092"/>
    <s v="Allocated Benefits-Physician"/>
    <s v="Spec-EN Cole St-OB/GYN"/>
    <x v="0"/>
    <m/>
    <n v="3410.29"/>
    <n v="4136.5"/>
    <n v="3738.59"/>
    <n v="4367.1899999999996"/>
    <n v="4400.0200000000004"/>
    <n v="4940.37"/>
    <n v="5608.54"/>
    <n v="4971.1499999999996"/>
    <n v="-6327.02"/>
    <n v="3382.86"/>
    <n v="3155.6"/>
    <n v="3175.74"/>
    <n v="38959.83"/>
    <n v="-20.139999999999873"/>
  </r>
  <r>
    <x v="6"/>
    <x v="1"/>
    <x v="0"/>
    <s v="2581200"/>
    <n v="713093"/>
    <s v="Allocated Benefits-Advanced Practice Clinician"/>
    <s v="Spec-EN Cole St-OB/GYN"/>
    <x v="0"/>
    <m/>
    <n v="4642.08"/>
    <n v="5630.62"/>
    <n v="5088.97"/>
    <n v="5944.61"/>
    <n v="5989.32"/>
    <n v="6724.82"/>
    <n v="7634.34"/>
    <n v="6766.73"/>
    <n v="-20527.55"/>
    <n v="3226.51"/>
    <n v="3009.75"/>
    <n v="3028.96"/>
    <n v="37159.159999999989"/>
    <n v="-19.210000000000036"/>
  </r>
  <r>
    <x v="7"/>
    <x v="1"/>
    <x v="0"/>
    <s v="2581200"/>
    <n v="718010"/>
    <s v="Media/Print Advertising"/>
    <s v="Spec-EN Cole St-OB/GYN"/>
    <x v="0"/>
    <n v="1004"/>
    <n v="108.6"/>
    <n v="0"/>
    <n v="0"/>
    <n v="-12.95"/>
    <n v="0"/>
    <n v="489.41"/>
    <n v="0"/>
    <n v="101.73"/>
    <n v="0"/>
    <n v="186.58"/>
    <n v="0"/>
    <n v="0"/>
    <n v="873.37000000000012"/>
    <n v="0"/>
  </r>
  <r>
    <x v="7"/>
    <x v="1"/>
    <x v="0"/>
    <s v="2581200"/>
    <n v="718040"/>
    <s v="Contract Svcs-Laboratory"/>
    <s v="Spec-EN Cole St-OB/GYN"/>
    <x v="0"/>
    <m/>
    <n v="0"/>
    <n v="0"/>
    <n v="0"/>
    <n v="534"/>
    <n v="0"/>
    <n v="0"/>
    <n v="0"/>
    <n v="0"/>
    <n v="43"/>
    <n v="0"/>
    <n v="0"/>
    <n v="0"/>
    <n v="577"/>
    <n v="0"/>
  </r>
  <r>
    <x v="7"/>
    <x v="1"/>
    <x v="0"/>
    <s v="2581200"/>
    <n v="718050"/>
    <s v="Cleaning Services"/>
    <s v="Spec-EN Cole St-OB/GYN"/>
    <x v="0"/>
    <n v="1011"/>
    <n v="0"/>
    <n v="0"/>
    <n v="424.18"/>
    <n v="0"/>
    <n v="0"/>
    <n v="0"/>
    <n v="0"/>
    <n v="0"/>
    <n v="0"/>
    <n v="0"/>
    <n v="0"/>
    <n v="0"/>
    <n v="424.18"/>
    <n v="0"/>
  </r>
  <r>
    <x v="7"/>
    <x v="1"/>
    <x v="0"/>
    <s v="2581200"/>
    <n v="718050"/>
    <s v="Security"/>
    <s v="Spec-EN Cole St-OB/GYN"/>
    <x v="0"/>
    <n v="1019"/>
    <n v="142.94"/>
    <n v="0"/>
    <n v="0"/>
    <n v="0"/>
    <n v="0"/>
    <n v="0"/>
    <n v="0"/>
    <n v="0"/>
    <n v="0"/>
    <n v="0"/>
    <n v="0"/>
    <n v="0"/>
    <n v="142.94"/>
    <n v="0"/>
  </r>
  <r>
    <x v="7"/>
    <x v="1"/>
    <x v="0"/>
    <s v="2581200"/>
    <n v="718050"/>
    <s v="Translation Services"/>
    <s v="Spec-EN Cole St-OB/GYN"/>
    <x v="0"/>
    <n v="1025"/>
    <n v="0"/>
    <n v="136.35"/>
    <n v="0"/>
    <n v="0"/>
    <n v="0"/>
    <n v="0"/>
    <n v="0"/>
    <n v="40"/>
    <n v="0"/>
    <n v="0"/>
    <n v="0"/>
    <n v="0"/>
    <n v="176.35"/>
    <n v="0"/>
  </r>
  <r>
    <x v="7"/>
    <x v="1"/>
    <x v="0"/>
    <s v="2581200"/>
    <n v="718050"/>
    <s v="Contract Management--Linen"/>
    <s v="Spec-EN Cole St-OB/GYN"/>
    <x v="0"/>
    <n v="1026"/>
    <n v="0"/>
    <n v="0"/>
    <n v="92.83"/>
    <n v="212.09"/>
    <n v="0"/>
    <n v="212.09"/>
    <n v="424.18"/>
    <n v="353.86"/>
    <n v="566.41999999999996"/>
    <n v="0"/>
    <n v="0"/>
    <n v="0"/>
    <n v="1861.4700000000003"/>
    <n v="0"/>
  </r>
  <r>
    <x v="7"/>
    <x v="1"/>
    <x v="0"/>
    <s v="2581200"/>
    <n v="718050"/>
    <s v="Purchased Srvcs--Medical Waste"/>
    <s v="Spec-EN Cole St-OB/GYN"/>
    <x v="0"/>
    <n v="1027"/>
    <n v="0"/>
    <n v="0"/>
    <n v="20.72"/>
    <n v="0"/>
    <n v="0"/>
    <n v="0"/>
    <n v="0"/>
    <n v="0"/>
    <n v="0"/>
    <n v="0"/>
    <n v="0"/>
    <n v="0"/>
    <n v="20.72"/>
    <n v="0"/>
  </r>
  <r>
    <x v="11"/>
    <x v="1"/>
    <x v="0"/>
    <s v="2581200"/>
    <n v="721010"/>
    <s v="Supplies-Medical - Billable"/>
    <s v="Spec-EN Cole St-OB/GYN"/>
    <x v="0"/>
    <m/>
    <n v="16774.96"/>
    <n v="2034.24"/>
    <n v="0"/>
    <n v="8479"/>
    <n v="19074.2"/>
    <n v="3390.4"/>
    <n v="0"/>
    <n v="11541.5"/>
    <n v="3545"/>
    <n v="0"/>
    <n v="18123.650000000001"/>
    <n v="5935.92"/>
    <n v="88898.87000000001"/>
    <n v="12187.730000000001"/>
  </r>
  <r>
    <x v="11"/>
    <x v="1"/>
    <x v="0"/>
    <s v="2581200"/>
    <n v="721250"/>
    <s v="Supplies-Pharmacy Drugs - Billable"/>
    <s v="Spec-EN Cole St-OB/GYN"/>
    <x v="0"/>
    <m/>
    <n v="0"/>
    <n v="1853.19"/>
    <n v="1224.45"/>
    <n v="3326.93"/>
    <n v="617.20000000000005"/>
    <n v="617.20000000000005"/>
    <n v="4727.8100000000004"/>
    <n v="0"/>
    <n v="678.58"/>
    <n v="950.02"/>
    <n v="0"/>
    <n v="2281.7800000000002"/>
    <n v="16277.16"/>
    <n v="-2281.7800000000002"/>
  </r>
  <r>
    <x v="11"/>
    <x v="1"/>
    <x v="0"/>
    <s v="2581200"/>
    <n v="721410"/>
    <s v="Supplies-Medical - Nonbillable"/>
    <s v="Spec-EN Cole St-OB/GYN"/>
    <x v="0"/>
    <m/>
    <n v="1471.51"/>
    <n v="1153.47"/>
    <n v="3028.21"/>
    <n v="636.86"/>
    <n v="989.63"/>
    <n v="759.33"/>
    <n v="492.43"/>
    <n v="1749.28"/>
    <n v="598.58000000000004"/>
    <n v="733.89"/>
    <n v="0"/>
    <n v="849.16"/>
    <n v="12462.35"/>
    <n v="-849.16"/>
  </r>
  <r>
    <x v="11"/>
    <x v="1"/>
    <x v="0"/>
    <s v="2581200"/>
    <n v="721810"/>
    <s v="Supplies-Dietary/Cafeteria"/>
    <s v="Spec-EN Cole St-OB/GYN"/>
    <x v="0"/>
    <m/>
    <n v="0"/>
    <n v="0"/>
    <n v="34.630000000000003"/>
    <n v="0"/>
    <n v="0"/>
    <n v="0"/>
    <n v="0"/>
    <n v="0"/>
    <n v="0"/>
    <n v="0"/>
    <n v="0"/>
    <n v="0"/>
    <n v="34.630000000000003"/>
    <n v="0"/>
  </r>
  <r>
    <x v="11"/>
    <x v="1"/>
    <x v="0"/>
    <s v="2581200"/>
    <n v="721835"/>
    <s v="Supplies-Forms"/>
    <s v="Spec-EN Cole St-OB/GYN"/>
    <x v="0"/>
    <m/>
    <n v="0"/>
    <n v="0"/>
    <n v="0"/>
    <n v="0"/>
    <n v="1.4"/>
    <n v="0"/>
    <n v="6"/>
    <n v="0"/>
    <n v="0"/>
    <n v="0"/>
    <n v="0"/>
    <n v="0"/>
    <n v="7.4"/>
    <n v="0"/>
  </r>
  <r>
    <x v="11"/>
    <x v="1"/>
    <x v="0"/>
    <s v="2581200"/>
    <n v="722000"/>
    <s v="Supplies-Freight Expense"/>
    <s v="Spec-EN Cole St-OB/GYN"/>
    <x v="0"/>
    <m/>
    <n v="14"/>
    <n v="39.04"/>
    <n v="0"/>
    <n v="0"/>
    <n v="0"/>
    <n v="0"/>
    <n v="0"/>
    <n v="0"/>
    <n v="0"/>
    <n v="0"/>
    <n v="0"/>
    <n v="14"/>
    <n v="67.039999999999992"/>
    <n v="-14"/>
  </r>
  <r>
    <x v="12"/>
    <x v="1"/>
    <x v="0"/>
    <s v="2581200"/>
    <n v="730010"/>
    <s v="Rental and Leases-Building (DO NOT USE)"/>
    <s v="Spec-EN Cole St-OB/GYN"/>
    <x v="0"/>
    <m/>
    <n v="5355.4"/>
    <n v="5355.4"/>
    <n v="5355.4"/>
    <n v="5355.4"/>
    <n v="5355.4"/>
    <n v="5355.4"/>
    <n v="5355.4"/>
    <n v="5355.4"/>
    <n v="5355.4"/>
    <n v="5355.4"/>
    <n v="5355.4"/>
    <n v="0"/>
    <n v="58909.400000000009"/>
    <n v="5355.4"/>
  </r>
  <r>
    <x v="12"/>
    <x v="1"/>
    <x v="0"/>
    <s v="2581200"/>
    <n v="730040"/>
    <s v="LT Lease-Real Estate"/>
    <s v="Spec-EN Cole St-OB/GYN"/>
    <x v="0"/>
    <m/>
    <n v="0"/>
    <n v="0"/>
    <n v="0"/>
    <n v="0"/>
    <n v="0"/>
    <n v="0"/>
    <n v="0"/>
    <n v="0"/>
    <n v="0"/>
    <n v="0"/>
    <n v="0"/>
    <n v="5355.4"/>
    <n v="5355.4"/>
    <n v="-5355.4"/>
  </r>
  <r>
    <x v="13"/>
    <x v="1"/>
    <x v="0"/>
    <s v="2581200"/>
    <n v="735070"/>
    <s v="Depreciation-Movable Equipment"/>
    <s v="Spec-EN Cole St-OB/GYN"/>
    <x v="0"/>
    <m/>
    <n v="172.29"/>
    <n v="172.29"/>
    <n v="172.29"/>
    <n v="172.28"/>
    <n v="172.29"/>
    <n v="172.28"/>
    <n v="172.29"/>
    <n v="172.28"/>
    <n v="172.29"/>
    <n v="172.28"/>
    <n v="172.29"/>
    <n v="172.28"/>
    <n v="2067.4299999999998"/>
    <n v="9.9999999999909051E-3"/>
  </r>
  <r>
    <x v="0"/>
    <x v="1"/>
    <x v="0"/>
    <s v="2581200"/>
    <n v="740020"/>
    <s v="Education-Registration Fees"/>
    <s v="Spec-EN Cole St-OB/GYN"/>
    <x v="0"/>
    <m/>
    <n v="0"/>
    <n v="0"/>
    <n v="48.05"/>
    <n v="0"/>
    <n v="0"/>
    <n v="0"/>
    <n v="0"/>
    <n v="0"/>
    <n v="0"/>
    <n v="0"/>
    <n v="0"/>
    <n v="0"/>
    <n v="48.05"/>
    <n v="0"/>
  </r>
  <r>
    <x v="0"/>
    <x v="1"/>
    <x v="0"/>
    <s v="2581200"/>
    <n v="740022"/>
    <s v="Education-Physician"/>
    <s v="Spec-EN Cole St-OB/GYN"/>
    <x v="0"/>
    <m/>
    <n v="0"/>
    <n v="0"/>
    <n v="0"/>
    <n v="0"/>
    <n v="0"/>
    <n v="0"/>
    <n v="1542"/>
    <n v="0"/>
    <n v="0"/>
    <n v="0"/>
    <n v="0"/>
    <n v="1717"/>
    <n v="3259"/>
    <n v="-1717"/>
  </r>
  <r>
    <x v="0"/>
    <x v="1"/>
    <x v="0"/>
    <s v="2581200"/>
    <n v="740023"/>
    <s v="Education-Advanced Practice Clinician"/>
    <s v="Spec-EN Cole St-OB/GYN"/>
    <x v="0"/>
    <m/>
    <n v="0"/>
    <n v="1075"/>
    <n v="0"/>
    <n v="0"/>
    <n v="0"/>
    <n v="0"/>
    <n v="0"/>
    <n v="0"/>
    <n v="0"/>
    <n v="0"/>
    <n v="0"/>
    <n v="319"/>
    <n v="1394"/>
    <n v="-319"/>
  </r>
  <r>
    <x v="8"/>
    <x v="1"/>
    <x v="0"/>
    <s v="2581200"/>
    <n v="741012"/>
    <s v="Physician Liab Insurance-CHI Program"/>
    <s v="Spec-EN Cole St-OB/GYN"/>
    <x v="0"/>
    <m/>
    <n v="5579.82"/>
    <n v="5579.83"/>
    <n v="5579.82"/>
    <n v="5579.83"/>
    <n v="5579.82"/>
    <n v="5874.95"/>
    <n v="5874.95"/>
    <n v="5874.95"/>
    <n v="5874.95"/>
    <n v="5874.95"/>
    <n v="5874.95"/>
    <n v="5874.95"/>
    <n v="69023.76999999999"/>
    <n v="0"/>
  </r>
  <r>
    <x v="0"/>
    <x v="1"/>
    <x v="0"/>
    <s v="2581200"/>
    <n v="742040"/>
    <s v="Freight-Other"/>
    <s v="Spec-EN Cole St-OB/GYN"/>
    <x v="0"/>
    <m/>
    <n v="0"/>
    <n v="0"/>
    <n v="0"/>
    <n v="12.95"/>
    <n v="0"/>
    <n v="0"/>
    <n v="0"/>
    <n v="0"/>
    <n v="0"/>
    <n v="0"/>
    <n v="0"/>
    <n v="0"/>
    <n v="12.95"/>
    <n v="0"/>
  </r>
  <r>
    <x v="0"/>
    <x v="1"/>
    <x v="0"/>
    <s v="2581200"/>
    <n v="743020"/>
    <s v="Dues--Individual"/>
    <s v="Spec-EN Cole St-OB/GYN"/>
    <x v="0"/>
    <m/>
    <n v="0"/>
    <n v="425"/>
    <n v="0"/>
    <n v="0"/>
    <n v="0"/>
    <n v="0"/>
    <n v="0"/>
    <n v="0"/>
    <n v="535"/>
    <n v="0"/>
    <n v="0"/>
    <n v="0"/>
    <n v="960"/>
    <n v="0"/>
  </r>
  <r>
    <x v="0"/>
    <x v="1"/>
    <x v="0"/>
    <s v="2581200"/>
    <n v="743022"/>
    <s v="Dues-Physician"/>
    <s v="Spec-EN Cole St-OB/GYN"/>
    <x v="0"/>
    <m/>
    <n v="0"/>
    <n v="0"/>
    <n v="0"/>
    <n v="0"/>
    <n v="1130"/>
    <n v="790"/>
    <n v="0"/>
    <n v="143"/>
    <n v="275"/>
    <n v="0"/>
    <n v="0"/>
    <n v="0"/>
    <n v="2338"/>
    <n v="0"/>
  </r>
  <r>
    <x v="0"/>
    <x v="1"/>
    <x v="0"/>
    <s v="2581200"/>
    <n v="743023"/>
    <s v="Dues-Advanced Practice Clinician"/>
    <s v="Spec-EN Cole St-OB/GYN"/>
    <x v="0"/>
    <m/>
    <n v="0"/>
    <n v="0"/>
    <n v="190.55"/>
    <n v="0"/>
    <n v="0"/>
    <n v="0"/>
    <n v="0"/>
    <n v="0"/>
    <n v="0"/>
    <n v="0"/>
    <n v="70"/>
    <n v="0"/>
    <n v="260.55"/>
    <n v="70"/>
  </r>
  <r>
    <x v="0"/>
    <x v="1"/>
    <x v="0"/>
    <s v="2581200"/>
    <n v="743030"/>
    <s v="Subscriptions--Institutional"/>
    <s v="Spec-EN Cole St-OB/GYN"/>
    <x v="0"/>
    <m/>
    <n v="0"/>
    <n v="0"/>
    <n v="91.12"/>
    <n v="0"/>
    <n v="0"/>
    <n v="159.19999999999999"/>
    <n v="98.22"/>
    <n v="0"/>
    <n v="0"/>
    <n v="0"/>
    <n v="0"/>
    <n v="0"/>
    <n v="348.53999999999996"/>
    <n v="0"/>
  </r>
  <r>
    <x v="0"/>
    <x v="1"/>
    <x v="0"/>
    <s v="2581200"/>
    <n v="749510"/>
    <s v="Miscellaneous Expenses"/>
    <s v="Spec-EN Cole St-OB/GYN"/>
    <x v="0"/>
    <m/>
    <n v="-61.04"/>
    <n v="106.62"/>
    <n v="-166.57"/>
    <n v="1285.8699999999999"/>
    <n v="417.87"/>
    <n v="202.91"/>
    <n v="-1605.86"/>
    <n v="-324.77"/>
    <n v="0"/>
    <n v="70"/>
    <n v="1839.56"/>
    <n v="-1560.04"/>
    <n v="204.55000000000018"/>
    <n v="3399.6"/>
  </r>
  <r>
    <x v="0"/>
    <x v="1"/>
    <x v="0"/>
    <s v="2581200"/>
    <n v="749512"/>
    <s v="Licenses-Physician"/>
    <s v="Spec-EN Cole St-OB/GYN"/>
    <x v="0"/>
    <n v="2000"/>
    <n v="0"/>
    <n v="0"/>
    <n v="0"/>
    <n v="0"/>
    <n v="0"/>
    <n v="1388"/>
    <n v="0"/>
    <n v="0"/>
    <n v="0"/>
    <n v="0"/>
    <n v="275"/>
    <n v="0"/>
    <n v="1663"/>
    <n v="275"/>
  </r>
  <r>
    <x v="0"/>
    <x v="1"/>
    <x v="0"/>
    <s v="2581200"/>
    <n v="749513"/>
    <s v="Licenses-Advanced Practice Clinician"/>
    <s v="Spec-EN Cole St-OB/GYN"/>
    <x v="0"/>
    <n v="2000"/>
    <n v="0"/>
    <n v="0"/>
    <n v="0"/>
    <n v="197.5"/>
    <n v="0"/>
    <n v="0"/>
    <n v="245"/>
    <n v="0"/>
    <n v="0"/>
    <n v="0"/>
    <n v="0"/>
    <n v="0"/>
    <n v="442.5"/>
    <n v="0"/>
  </r>
  <r>
    <x v="0"/>
    <x v="1"/>
    <x v="0"/>
    <s v="2581200"/>
    <n v="749530"/>
    <s v="Mileage"/>
    <s v="Spec-EN Cole St-OB/GYN"/>
    <x v="0"/>
    <n v="1001"/>
    <n v="168.95"/>
    <n v="131.88999999999999"/>
    <n v="149.88"/>
    <n v="23.98"/>
    <n v="179.85"/>
    <n v="0"/>
    <n v="386.98"/>
    <n v="505.73"/>
    <n v="512.54"/>
    <n v="179.22"/>
    <n v="65.540000000000006"/>
    <n v="423.4"/>
    <n v="2727.96"/>
    <n v="-357.85999999999996"/>
  </r>
  <r>
    <x v="0"/>
    <x v="1"/>
    <x v="0"/>
    <s v="2581200"/>
    <n v="749533"/>
    <s v="Travel-Advanced Practice Clinician"/>
    <s v="Spec-EN Cole St-OB/GYN"/>
    <x v="0"/>
    <m/>
    <n v="0"/>
    <n v="858.6"/>
    <n v="0"/>
    <n v="0"/>
    <n v="0"/>
    <n v="0"/>
    <n v="0"/>
    <n v="0"/>
    <n v="0"/>
    <n v="0"/>
    <n v="0"/>
    <n v="0"/>
    <n v="858.6"/>
    <n v="0"/>
  </r>
  <r>
    <x v="0"/>
    <x v="1"/>
    <x v="0"/>
    <s v="2581200"/>
    <n v="749591"/>
    <s v="Other Expense-Intracompany Allocation"/>
    <s v="Spec-EN Cole St-OB/GYN"/>
    <x v="0"/>
    <m/>
    <n v="27694.880000000001"/>
    <n v="27909.82"/>
    <n v="19891.38"/>
    <n v="33360.1"/>
    <n v="24727.59"/>
    <n v="20675.189999999999"/>
    <n v="29027.29"/>
    <n v="28036.34"/>
    <n v="33110.42"/>
    <n v="26656.79"/>
    <n v="25095.200000000001"/>
    <n v="-296185"/>
    <n v="0"/>
    <n v="321280.2"/>
  </r>
  <r>
    <x v="9"/>
    <x v="1"/>
    <x v="0"/>
    <s v="2581200"/>
    <n v="800015"/>
    <s v="Interest Income-Ext to CHI"/>
    <s v="Spec-EN Cole St-OB/GYN"/>
    <x v="0"/>
    <m/>
    <n v="0"/>
    <n v="0"/>
    <n v="-24.65"/>
    <n v="-24.41"/>
    <n v="-22.6"/>
    <n v="-22.29"/>
    <n v="-21.23"/>
    <n v="-18.21"/>
    <n v="-19.100000000000001"/>
    <n v="-17.46"/>
    <n v="-16.98"/>
    <n v="-15.41"/>
    <n v="-202.33999999999997"/>
    <n v="-1.5700000000000003"/>
  </r>
  <r>
    <x v="1"/>
    <x v="1"/>
    <x v="0"/>
    <s v="2582200"/>
    <n v="400029"/>
    <s v="MD Practice Other Rev--Medicare"/>
    <s v="Spec-EN Cole St-Pod Surg"/>
    <x v="0"/>
    <n v="1100"/>
    <n v="-298"/>
    <n v="-390"/>
    <n v="0"/>
    <n v="0"/>
    <n v="0"/>
    <n v="0"/>
    <n v="0"/>
    <n v="0"/>
    <n v="0"/>
    <n v="0"/>
    <n v="0"/>
    <n v="0"/>
    <n v="-688"/>
    <n v="0"/>
  </r>
  <r>
    <x v="1"/>
    <x v="1"/>
    <x v="0"/>
    <s v="2582200"/>
    <n v="400029"/>
    <s v="MD Practice Other Rev--Medicaid"/>
    <s v="Spec-EN Cole St-Pod Surg"/>
    <x v="0"/>
    <n v="1200"/>
    <n v="72"/>
    <n v="0"/>
    <n v="0"/>
    <n v="0"/>
    <n v="0"/>
    <n v="0"/>
    <n v="0"/>
    <n v="0"/>
    <n v="0"/>
    <n v="0"/>
    <n v="0"/>
    <n v="0"/>
    <n v="72"/>
    <n v="0"/>
  </r>
  <r>
    <x v="1"/>
    <x v="1"/>
    <x v="0"/>
    <s v="2582200"/>
    <n v="400029"/>
    <s v="MD Practice Other Rev--Comm Insurance"/>
    <s v="Spec-EN Cole St-Pod Surg"/>
    <x v="0"/>
    <n v="1300"/>
    <n v="-144"/>
    <n v="0"/>
    <n v="0"/>
    <n v="0"/>
    <n v="0"/>
    <n v="0"/>
    <n v="0"/>
    <n v="0"/>
    <n v="0"/>
    <n v="0"/>
    <n v="72"/>
    <n v="0"/>
    <n v="-72"/>
    <n v="72"/>
  </r>
  <r>
    <x v="1"/>
    <x v="1"/>
    <x v="0"/>
    <s v="2582200"/>
    <n v="400029"/>
    <s v="MD Practice Other Rev--BCBS Comm"/>
    <s v="Spec-EN Cole St-Pod Surg"/>
    <x v="0"/>
    <n v="1301"/>
    <n v="-164"/>
    <n v="-72"/>
    <n v="0"/>
    <n v="0"/>
    <n v="0"/>
    <n v="0"/>
    <n v="0"/>
    <n v="0"/>
    <n v="0"/>
    <n v="0"/>
    <n v="0"/>
    <n v="0"/>
    <n v="-236"/>
    <n v="0"/>
  </r>
  <r>
    <x v="1"/>
    <x v="1"/>
    <x v="0"/>
    <s v="2582200"/>
    <n v="400029"/>
    <s v="MD Practice Other Rev--Managed Care"/>
    <s v="Spec-EN Cole St-Pod Surg"/>
    <x v="0"/>
    <n v="1400"/>
    <n v="-514"/>
    <n v="0"/>
    <n v="0"/>
    <n v="0"/>
    <n v="0"/>
    <n v="0"/>
    <n v="0"/>
    <n v="0"/>
    <n v="0"/>
    <n v="0"/>
    <n v="0"/>
    <n v="-72"/>
    <n v="-586"/>
    <n v="72"/>
  </r>
  <r>
    <x v="1"/>
    <x v="1"/>
    <x v="0"/>
    <s v="2582200"/>
    <n v="400040"/>
    <s v="Physician Svcs Rev--Medicare"/>
    <s v="Spec-EN Cole St-Pod Surg"/>
    <x v="0"/>
    <n v="1100"/>
    <n v="-97637"/>
    <n v="-3860"/>
    <n v="714"/>
    <n v="-898"/>
    <n v="5218"/>
    <n v="-9704"/>
    <n v="0"/>
    <n v="0"/>
    <n v="0"/>
    <n v="0"/>
    <n v="0"/>
    <n v="4807"/>
    <n v="-101360"/>
    <n v="-4807"/>
  </r>
  <r>
    <x v="1"/>
    <x v="1"/>
    <x v="0"/>
    <s v="2582200"/>
    <n v="400040"/>
    <s v="Physician Svcs Rev--Medicaid"/>
    <s v="Spec-EN Cole St-Pod Surg"/>
    <x v="0"/>
    <n v="1200"/>
    <n v="-2797"/>
    <n v="391"/>
    <n v="493"/>
    <n v="-154"/>
    <n v="337"/>
    <n v="-3067"/>
    <n v="534"/>
    <n v="0"/>
    <n v="0"/>
    <n v="0"/>
    <n v="0"/>
    <n v="0"/>
    <n v="-4263"/>
    <n v="0"/>
  </r>
  <r>
    <x v="1"/>
    <x v="1"/>
    <x v="0"/>
    <s v="2582200"/>
    <n v="400040"/>
    <s v="Physician Svcs Rev--Comm Insurance"/>
    <s v="Spec-EN Cole St-Pod Surg"/>
    <x v="0"/>
    <n v="1300"/>
    <n v="-1847"/>
    <n v="0"/>
    <n v="0"/>
    <n v="0"/>
    <n v="0"/>
    <n v="0"/>
    <n v="0"/>
    <n v="0"/>
    <n v="0"/>
    <n v="0"/>
    <n v="789"/>
    <n v="0"/>
    <n v="-1058"/>
    <n v="789"/>
  </r>
  <r>
    <x v="1"/>
    <x v="1"/>
    <x v="0"/>
    <s v="2582200"/>
    <n v="400040"/>
    <s v="Physician Svcs Rev--BCBS Comm"/>
    <s v="Spec-EN Cole St-Pod Surg"/>
    <x v="0"/>
    <n v="1301"/>
    <n v="-4147"/>
    <n v="1239"/>
    <n v="0"/>
    <n v="0"/>
    <n v="-5218"/>
    <n v="0"/>
    <n v="0"/>
    <n v="0"/>
    <n v="0"/>
    <n v="0"/>
    <n v="0"/>
    <n v="0"/>
    <n v="-8126"/>
    <n v="0"/>
  </r>
  <r>
    <x v="1"/>
    <x v="1"/>
    <x v="0"/>
    <s v="2582200"/>
    <n v="400040"/>
    <s v="Physician Svcs Rev--Managed Care"/>
    <s v="Spec-EN Cole St-Pod Surg"/>
    <x v="0"/>
    <n v="1400"/>
    <n v="-26042"/>
    <n v="3103"/>
    <n v="-516"/>
    <n v="220"/>
    <n v="436"/>
    <n v="-197"/>
    <n v="200"/>
    <n v="0"/>
    <n v="4370"/>
    <n v="0"/>
    <n v="0"/>
    <n v="-789"/>
    <n v="-19215"/>
    <n v="789"/>
  </r>
  <r>
    <x v="1"/>
    <x v="1"/>
    <x v="0"/>
    <s v="2582200"/>
    <n v="400040"/>
    <s v="Physician Svcs Rev--Self Pay"/>
    <s v="Spec-EN Cole St-Pod Surg"/>
    <x v="0"/>
    <n v="1500"/>
    <n v="-1068"/>
    <n v="0"/>
    <n v="0"/>
    <n v="-147"/>
    <n v="0"/>
    <n v="0"/>
    <n v="0"/>
    <n v="0"/>
    <n v="0"/>
    <n v="0"/>
    <n v="0"/>
    <n v="0"/>
    <n v="-1215"/>
    <n v="0"/>
  </r>
  <r>
    <x v="1"/>
    <x v="1"/>
    <x v="0"/>
    <s v="2582200"/>
    <n v="400040"/>
    <s v="Physician Svcs Rev--Other"/>
    <s v="Spec-EN Cole St-Pod Surg"/>
    <x v="0"/>
    <n v="1700"/>
    <n v="-11930"/>
    <n v="0"/>
    <n v="-666"/>
    <n v="1121"/>
    <n v="257"/>
    <n v="197"/>
    <n v="0"/>
    <n v="0"/>
    <n v="0"/>
    <n v="0"/>
    <n v="0"/>
    <n v="0"/>
    <n v="-11021"/>
    <n v="0"/>
  </r>
  <r>
    <x v="2"/>
    <x v="1"/>
    <x v="0"/>
    <s v="2582200"/>
    <n v="450029"/>
    <s v="Contr Allow--MD Other-Medicare"/>
    <s v="Spec-EN Cole St-Pod Surg"/>
    <x v="0"/>
    <n v="1100"/>
    <n v="467.35"/>
    <n v="317.64999999999998"/>
    <n v="183.04"/>
    <n v="0"/>
    <n v="73.290000000000006"/>
    <n v="0"/>
    <n v="0"/>
    <n v="45.49"/>
    <n v="-73.290000000000006"/>
    <n v="0"/>
    <n v="73.290000000000006"/>
    <n v="34.880000000000003"/>
    <n v="1121.7"/>
    <n v="38.410000000000004"/>
  </r>
  <r>
    <x v="2"/>
    <x v="1"/>
    <x v="0"/>
    <s v="2582200"/>
    <n v="450029"/>
    <s v="Contr Allow--MD Other-Medicaid"/>
    <s v="Spec-EN Cole St-Pod Surg"/>
    <x v="0"/>
    <n v="1200"/>
    <n v="289.7"/>
    <n v="33.799999999999997"/>
    <n v="0"/>
    <n v="0"/>
    <n v="0"/>
    <n v="0"/>
    <n v="0"/>
    <n v="69.55"/>
    <n v="0"/>
    <n v="55.04"/>
    <n v="0"/>
    <n v="0"/>
    <n v="448.09000000000003"/>
    <n v="0"/>
  </r>
  <r>
    <x v="2"/>
    <x v="1"/>
    <x v="0"/>
    <s v="2582200"/>
    <n v="450029"/>
    <s v="Contr Allow--MD Other-Comm Insurance"/>
    <s v="Spec-EN Cole St-Pod Surg"/>
    <x v="0"/>
    <n v="1300"/>
    <n v="0"/>
    <n v="97.08"/>
    <n v="34.880000000000003"/>
    <n v="0"/>
    <n v="0"/>
    <n v="0"/>
    <n v="0"/>
    <n v="0"/>
    <n v="-59.96"/>
    <n v="0"/>
    <n v="-25.36"/>
    <n v="0"/>
    <n v="46.64"/>
    <n v="-25.36"/>
  </r>
  <r>
    <x v="2"/>
    <x v="1"/>
    <x v="0"/>
    <s v="2582200"/>
    <n v="450029"/>
    <s v="Contr Allow--MD Other BCBS Comm"/>
    <s v="Spec-EN Cole St-Pod Surg"/>
    <x v="0"/>
    <n v="1301"/>
    <n v="19.989999999999998"/>
    <n v="64.290000000000006"/>
    <n v="0"/>
    <n v="0"/>
    <n v="0"/>
    <n v="0"/>
    <n v="0"/>
    <n v="0"/>
    <n v="0"/>
    <n v="0"/>
    <n v="0"/>
    <n v="0"/>
    <n v="84.28"/>
    <n v="0"/>
  </r>
  <r>
    <x v="2"/>
    <x v="1"/>
    <x v="0"/>
    <s v="2582200"/>
    <n v="450029"/>
    <s v="Contr Allow--MD Other-Managed Care"/>
    <s v="Spec-EN Cole St-Pod Surg"/>
    <x v="0"/>
    <n v="1400"/>
    <n v="133.32"/>
    <n v="206.06"/>
    <n v="25.36"/>
    <n v="0"/>
    <n v="0"/>
    <n v="0"/>
    <n v="0.39"/>
    <n v="0"/>
    <n v="0"/>
    <n v="0"/>
    <n v="-24.71"/>
    <n v="0"/>
    <n v="340.42"/>
    <n v="-24.71"/>
  </r>
  <r>
    <x v="2"/>
    <x v="1"/>
    <x v="0"/>
    <s v="2582200"/>
    <n v="450029"/>
    <s v="Prompt Pay Disc-MD Other-Self Pay"/>
    <s v="Spec-EN Cole St-Pod Surg"/>
    <x v="0"/>
    <n v="1500"/>
    <n v="0"/>
    <n v="0"/>
    <n v="0"/>
    <n v="0"/>
    <n v="0"/>
    <n v="0"/>
    <n v="24.07"/>
    <n v="0"/>
    <n v="0"/>
    <n v="0"/>
    <n v="0"/>
    <n v="0"/>
    <n v="24.07"/>
    <n v="0"/>
  </r>
  <r>
    <x v="2"/>
    <x v="1"/>
    <x v="0"/>
    <s v="2582200"/>
    <n v="450029"/>
    <s v="Admin Adjust-MD Other-Self Pay"/>
    <s v="Spec-EN Cole St-Pod Surg"/>
    <x v="0"/>
    <n v="1600"/>
    <n v="0"/>
    <n v="0"/>
    <n v="0"/>
    <n v="0"/>
    <n v="0"/>
    <n v="0"/>
    <n v="-19.940000000000001"/>
    <n v="4.59"/>
    <n v="17.5"/>
    <n v="0"/>
    <n v="0"/>
    <n v="0"/>
    <n v="2.1499999999999986"/>
    <n v="0"/>
  </r>
  <r>
    <x v="2"/>
    <x v="1"/>
    <x v="0"/>
    <s v="2582200"/>
    <n v="450029"/>
    <s v="Contr Allow--MD Other-Other"/>
    <s v="Spec-EN Cole St-Pod Surg"/>
    <x v="0"/>
    <n v="1700"/>
    <n v="0"/>
    <n v="51.53"/>
    <n v="0"/>
    <n v="102.62"/>
    <n v="0"/>
    <n v="0"/>
    <n v="0"/>
    <n v="0"/>
    <n v="0"/>
    <n v="0"/>
    <n v="0"/>
    <n v="0"/>
    <n v="154.15"/>
    <n v="0"/>
  </r>
  <r>
    <x v="2"/>
    <x v="1"/>
    <x v="0"/>
    <s v="2582200"/>
    <n v="450040"/>
    <s v="Contr Allow--Phys Svcs--Mcare"/>
    <s v="Spec-EN Cole St-Pod Surg"/>
    <x v="0"/>
    <n v="1100"/>
    <n v="127848.98"/>
    <n v="34404.99"/>
    <n v="83991.5"/>
    <n v="9483.92"/>
    <n v="-8743.32"/>
    <n v="8593.24"/>
    <n v="2098.84"/>
    <n v="18071.7"/>
    <n v="-4841.38"/>
    <n v="4222.13"/>
    <n v="2226.61"/>
    <n v="1174.6199999999999"/>
    <n v="278531.82999999996"/>
    <n v="1051.9900000000002"/>
  </r>
  <r>
    <x v="2"/>
    <x v="1"/>
    <x v="0"/>
    <s v="2582200"/>
    <n v="450040"/>
    <s v="Contr Allow--Phys Svcs--Mcaid"/>
    <s v="Spec-EN Cole St-Pod Surg"/>
    <x v="0"/>
    <n v="1200"/>
    <n v="16409.400000000001"/>
    <n v="1636.71"/>
    <n v="3042.19"/>
    <n v="5913"/>
    <n v="2131.8200000000002"/>
    <n v="2565.8200000000002"/>
    <n v="513.34"/>
    <n v="2047.09"/>
    <n v="1444.73"/>
    <n v="398.81"/>
    <n v="2544.27"/>
    <n v="12660.02"/>
    <n v="51307.199999999997"/>
    <n v="-10115.75"/>
  </r>
  <r>
    <x v="2"/>
    <x v="1"/>
    <x v="0"/>
    <s v="2582200"/>
    <n v="450040"/>
    <s v="Contr Allow--Phys Svcs--Comm Insurance"/>
    <s v="Spec-EN Cole St-Pod Surg"/>
    <x v="0"/>
    <n v="1300"/>
    <n v="922.9"/>
    <n v="439.05"/>
    <n v="0"/>
    <n v="1811.94"/>
    <n v="0"/>
    <n v="202.85"/>
    <n v="246"/>
    <n v="0"/>
    <n v="-78.239999999999995"/>
    <n v="0"/>
    <n v="-155.37"/>
    <n v="0"/>
    <n v="3389.1300000000006"/>
    <n v="-155.37"/>
  </r>
  <r>
    <x v="2"/>
    <x v="1"/>
    <x v="0"/>
    <s v="2582200"/>
    <n v="450040"/>
    <s v="Contr Allow--Phys Svcs--BCBS Comm Ins"/>
    <s v="Spec-EN Cole St-Pod Surg"/>
    <x v="0"/>
    <n v="1301"/>
    <n v="7367.53"/>
    <n v="4077.87"/>
    <n v="692.93"/>
    <n v="0"/>
    <n v="1358.89"/>
    <n v="-3384.91"/>
    <n v="3339.17"/>
    <n v="2846.86"/>
    <n v="79.400000000000006"/>
    <n v="0"/>
    <n v="0"/>
    <n v="0"/>
    <n v="16377.74"/>
    <n v="0"/>
  </r>
  <r>
    <x v="2"/>
    <x v="1"/>
    <x v="0"/>
    <s v="2582200"/>
    <n v="450040"/>
    <s v="Contr Allow--Phys Svcs--Managed Care"/>
    <s v="Spec-EN Cole St-Pod Surg"/>
    <x v="0"/>
    <n v="1400"/>
    <n v="13153"/>
    <n v="10952.76"/>
    <n v="2261.41"/>
    <n v="249.81"/>
    <n v="5730.14"/>
    <n v="14466.22"/>
    <n v="111.75"/>
    <n v="3521.78"/>
    <n v="0"/>
    <n v="-147.03"/>
    <n v="-986.38"/>
    <n v="-1068"/>
    <n v="48245.460000000006"/>
    <n v="81.62"/>
  </r>
  <r>
    <x v="2"/>
    <x v="1"/>
    <x v="0"/>
    <s v="2582200"/>
    <n v="450040"/>
    <s v="Contr Allow--Phys Svcs--BCBS Mgnd Care"/>
    <s v="Spec-EN Cole St-Pod Surg"/>
    <x v="0"/>
    <n v="1401"/>
    <n v="-82498.52"/>
    <n v="-61095.53"/>
    <n v="-71685.41"/>
    <n v="-18386.419999999998"/>
    <n v="-3866.25"/>
    <n v="-3257.99"/>
    <n v="-2426.7399999999998"/>
    <n v="-16300.16"/>
    <n v="-1588.88"/>
    <n v="-3157.57"/>
    <n v="-2678.72"/>
    <n v="-8549.74"/>
    <n v="-275491.92999999993"/>
    <n v="5871.02"/>
  </r>
  <r>
    <x v="2"/>
    <x v="1"/>
    <x v="0"/>
    <s v="2582200"/>
    <n v="450040"/>
    <s v="Prompt Pay Disc-Phys Svcs-Self Pay"/>
    <s v="Spec-EN Cole St-Pod Surg"/>
    <x v="0"/>
    <n v="1500"/>
    <n v="0"/>
    <n v="0"/>
    <n v="0"/>
    <n v="0"/>
    <n v="0"/>
    <n v="0"/>
    <n v="212.15"/>
    <n v="0"/>
    <n v="0"/>
    <n v="0"/>
    <n v="0"/>
    <n v="0"/>
    <n v="212.15"/>
    <n v="0"/>
  </r>
  <r>
    <x v="2"/>
    <x v="1"/>
    <x v="0"/>
    <s v="2582200"/>
    <n v="450040"/>
    <s v="Admin Adjust-Phys Svcs-Self Pay"/>
    <s v="Spec-EN Cole St-Pod Surg"/>
    <x v="0"/>
    <n v="1600"/>
    <n v="211.38"/>
    <n v="2304.9899999999998"/>
    <n v="573.95000000000005"/>
    <n v="1634.29"/>
    <n v="210.89"/>
    <n v="1963.15"/>
    <n v="-7.02"/>
    <n v="5"/>
    <n v="419.15"/>
    <n v="224.33"/>
    <n v="0"/>
    <n v="-0.8"/>
    <n v="7539.3099999999986"/>
    <n v="0.8"/>
  </r>
  <r>
    <x v="2"/>
    <x v="1"/>
    <x v="0"/>
    <s v="2582200"/>
    <n v="450040"/>
    <s v="Contr Allow--Phys Svcs--Other"/>
    <s v="Spec-EN Cole St-Pod Surg"/>
    <x v="0"/>
    <n v="1700"/>
    <n v="7403.72"/>
    <n v="3529.81"/>
    <n v="8053.08"/>
    <n v="411.25"/>
    <n v="0"/>
    <n v="0"/>
    <n v="-30.74"/>
    <n v="0"/>
    <n v="0"/>
    <n v="0"/>
    <n v="528.33000000000004"/>
    <n v="0"/>
    <n v="19895.45"/>
    <n v="528.33000000000004"/>
  </r>
  <r>
    <x v="3"/>
    <x v="1"/>
    <x v="0"/>
    <s v="2582200"/>
    <n v="470040"/>
    <s v="Charity Care-Physician Svcs"/>
    <s v="Spec-EN Cole St-Pod Surg"/>
    <x v="0"/>
    <m/>
    <n v="-2446.44"/>
    <n v="298.8"/>
    <n v="-2877.33"/>
    <n v="-550.62"/>
    <n v="-50.12"/>
    <n v="-331.86"/>
    <n v="52.72"/>
    <n v="-644.9"/>
    <n v="116.73"/>
    <n v="285.92"/>
    <n v="181.29"/>
    <n v="523"/>
    <n v="-5442.8099999999986"/>
    <n v="-341.71000000000004"/>
  </r>
  <r>
    <x v="4"/>
    <x v="1"/>
    <x v="0"/>
    <s v="2582200"/>
    <n v="490010"/>
    <s v="Provision for Bad Debts"/>
    <s v="Spec-EN Cole St-Pod Surg"/>
    <x v="0"/>
    <m/>
    <n v="-5163.53"/>
    <n v="9292.19"/>
    <n v="-3239.76"/>
    <n v="3680.71"/>
    <n v="7197.71"/>
    <n v="-4300.87"/>
    <n v="-5383.01"/>
    <n v="-1857.68"/>
    <n v="-1295.6500000000001"/>
    <n v="-1562.6"/>
    <n v="-1737.45"/>
    <n v="-1021.67"/>
    <n v="-5391.6100000000006"/>
    <n v="-715.78000000000009"/>
  </r>
  <r>
    <x v="5"/>
    <x v="1"/>
    <x v="0"/>
    <s v="2582200"/>
    <n v="700022"/>
    <s v="Salaries-Physician-Productive"/>
    <s v="Spec-EN Cole St-Pod Surg"/>
    <x v="0"/>
    <m/>
    <n v="23634.6"/>
    <n v="-1989.6"/>
    <n v="0"/>
    <n v="0"/>
    <n v="0"/>
    <n v="0"/>
    <n v="0"/>
    <n v="0"/>
    <n v="0"/>
    <n v="0"/>
    <n v="0"/>
    <n v="0"/>
    <n v="21645"/>
    <n v="0"/>
  </r>
  <r>
    <x v="5"/>
    <x v="1"/>
    <x v="0"/>
    <s v="2582200"/>
    <n v="700032"/>
    <s v="Salaries-Other Pat Care Providers-Productive"/>
    <s v="Spec-EN Cole St-Pod Surg"/>
    <x v="0"/>
    <m/>
    <n v="177.44"/>
    <n v="0"/>
    <n v="0"/>
    <n v="0"/>
    <n v="0"/>
    <n v="0"/>
    <n v="0"/>
    <n v="0"/>
    <n v="0"/>
    <n v="0"/>
    <n v="0"/>
    <n v="0"/>
    <n v="177.44"/>
    <n v="0"/>
  </r>
  <r>
    <x v="5"/>
    <x v="1"/>
    <x v="0"/>
    <s v="2582200"/>
    <n v="700038"/>
    <s v="Salaries-Service/Support-Productive"/>
    <s v="Spec-EN Cole St-Pod Surg"/>
    <x v="0"/>
    <m/>
    <n v="0"/>
    <n v="0"/>
    <n v="0"/>
    <n v="0"/>
    <n v="0"/>
    <n v="0"/>
    <n v="0"/>
    <n v="0"/>
    <n v="547.63"/>
    <n v="-182.54"/>
    <n v="0"/>
    <n v="0"/>
    <n v="365.09000000000003"/>
    <n v="0"/>
  </r>
  <r>
    <x v="10"/>
    <x v="1"/>
    <x v="0"/>
    <s v="2582200"/>
    <n v="710060"/>
    <s v="Contract Labor-Other"/>
    <s v="Spec-EN Cole St-Pod Sur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582200"/>
    <n v="713010"/>
    <s v="Benefits-FICA/Medicare"/>
    <s v="Spec-EN Cole St-Pod Surg"/>
    <x v="0"/>
    <m/>
    <n v="356.48"/>
    <n v="-31.38"/>
    <n v="0"/>
    <n v="0"/>
    <n v="0"/>
    <n v="0"/>
    <n v="0"/>
    <n v="0"/>
    <n v="38.49"/>
    <n v="-12.83"/>
    <n v="0"/>
    <n v="0"/>
    <n v="350.76000000000005"/>
    <n v="0"/>
  </r>
  <r>
    <x v="6"/>
    <x v="1"/>
    <x v="0"/>
    <s v="2582200"/>
    <n v="713090"/>
    <s v="Benefits-Allocated Amounts"/>
    <s v="Spec-EN Cole St-Pod Surg"/>
    <x v="0"/>
    <m/>
    <n v="0"/>
    <n v="0"/>
    <n v="0"/>
    <n v="0"/>
    <n v="0"/>
    <n v="0"/>
    <n v="0"/>
    <n v="0"/>
    <n v="89.98"/>
    <n v="5.9"/>
    <n v="-1.64"/>
    <n v="2.5499999999999998"/>
    <n v="96.79"/>
    <n v="-4.1899999999999995"/>
  </r>
  <r>
    <x v="6"/>
    <x v="1"/>
    <x v="0"/>
    <s v="2582200"/>
    <n v="713092"/>
    <s v="Allocated Benefits-Physician"/>
    <s v="Spec-EN Cole St-Pod Surg"/>
    <x v="0"/>
    <m/>
    <n v="1922.88"/>
    <n v="-157.63"/>
    <n v="-21.04"/>
    <n v="-15.27"/>
    <n v="25.66"/>
    <n v="-52.43"/>
    <n v="67.209999999999994"/>
    <n v="-55.05"/>
    <n v="85.24"/>
    <n v="118.04"/>
    <n v="-32.770000000000003"/>
    <n v="50.95"/>
    <n v="1935.7900000000002"/>
    <n v="-83.72"/>
  </r>
  <r>
    <x v="7"/>
    <x v="1"/>
    <x v="0"/>
    <s v="2582200"/>
    <n v="718050"/>
    <s v="Contract Svcs-Other"/>
    <s v="Spec-EN Cole St-Pod Surg"/>
    <x v="0"/>
    <m/>
    <n v="0"/>
    <n v="0"/>
    <n v="0"/>
    <n v="0"/>
    <n v="777.21"/>
    <n v="0"/>
    <n v="0"/>
    <n v="0"/>
    <n v="0"/>
    <n v="0"/>
    <n v="0"/>
    <n v="0"/>
    <n v="777.21"/>
    <n v="0"/>
  </r>
  <r>
    <x v="7"/>
    <x v="1"/>
    <x v="0"/>
    <s v="2582200"/>
    <n v="718050"/>
    <s v="Miscellaneous Purchased Svcs"/>
    <s v="Spec-EN Cole St-Pod Surg"/>
    <x v="0"/>
    <n v="1020"/>
    <n v="0"/>
    <n v="0"/>
    <n v="1446.78"/>
    <n v="0"/>
    <n v="0"/>
    <n v="0"/>
    <n v="0"/>
    <n v="0"/>
    <n v="0"/>
    <n v="0"/>
    <n v="0"/>
    <n v="0"/>
    <n v="1446.78"/>
    <n v="0"/>
  </r>
  <r>
    <x v="11"/>
    <x v="1"/>
    <x v="0"/>
    <s v="2582200"/>
    <n v="721010"/>
    <s v="Supplies-Medical - Billable"/>
    <s v="Spec-EN Cole St-Pod Surg"/>
    <x v="0"/>
    <m/>
    <n v="50508.04"/>
    <n v="26494"/>
    <n v="20666"/>
    <n v="14099"/>
    <n v="12544"/>
    <n v="5580"/>
    <n v="82.56"/>
    <n v="0"/>
    <n v="0"/>
    <n v="0"/>
    <n v="0"/>
    <n v="0"/>
    <n v="129973.6"/>
    <n v="0"/>
  </r>
  <r>
    <x v="11"/>
    <x v="1"/>
    <x v="0"/>
    <s v="2582200"/>
    <n v="721410"/>
    <s v="Supplies-Medical - Nonbillable"/>
    <s v="Spec-EN Cole St-Pod Surg"/>
    <x v="0"/>
    <m/>
    <n v="82.29"/>
    <n v="0"/>
    <n v="0"/>
    <n v="0"/>
    <n v="0"/>
    <n v="0"/>
    <n v="0"/>
    <n v="0"/>
    <n v="0"/>
    <n v="0"/>
    <n v="0"/>
    <n v="0"/>
    <n v="82.29"/>
    <n v="0"/>
  </r>
  <r>
    <x v="8"/>
    <x v="1"/>
    <x v="0"/>
    <s v="2582200"/>
    <n v="741012"/>
    <s v="Physician Liab Insurance-CHI Program"/>
    <s v="Spec-EN Cole St-Pod Surg"/>
    <x v="0"/>
    <m/>
    <n v="1184.17"/>
    <n v="-94.08"/>
    <n v="0"/>
    <n v="0"/>
    <n v="0"/>
    <n v="0"/>
    <n v="0"/>
    <n v="0"/>
    <n v="0"/>
    <n v="0"/>
    <n v="0"/>
    <n v="0"/>
    <n v="1090.0900000000001"/>
    <n v="0"/>
  </r>
  <r>
    <x v="0"/>
    <x v="1"/>
    <x v="0"/>
    <s v="2582200"/>
    <n v="749510"/>
    <s v="Miscellaneous Expenses"/>
    <s v="Spec-EN Cole St-Pod Surg"/>
    <x v="0"/>
    <m/>
    <n v="0"/>
    <n v="-430"/>
    <n v="0"/>
    <n v="0"/>
    <n v="0"/>
    <n v="0"/>
    <n v="0"/>
    <n v="0"/>
    <n v="0"/>
    <n v="0"/>
    <n v="0"/>
    <n v="0"/>
    <n v="-430"/>
    <n v="0"/>
  </r>
  <r>
    <x v="0"/>
    <x v="1"/>
    <x v="0"/>
    <s v="2582200"/>
    <n v="749591"/>
    <s v="Other Expense-Intracompany Allocation"/>
    <s v="Spec-EN Cole St-Pod Surg"/>
    <x v="0"/>
    <m/>
    <n v="4793.3900000000003"/>
    <n v="-476.25"/>
    <n v="228.98"/>
    <n v="420.7"/>
    <n v="-142.53"/>
    <n v="1355.58"/>
    <n v="-116.87"/>
    <n v="18.600000000000001"/>
    <n v="-23.24"/>
    <n v="-16.760000000000002"/>
    <n v="-25.68"/>
    <n v="-6015.92"/>
    <n v="0"/>
    <n v="5990.24"/>
  </r>
  <r>
    <x v="0"/>
    <x v="1"/>
    <x v="0"/>
    <s v="2584200"/>
    <n v="743023"/>
    <s v="Dues-Advanced Practice Clinician"/>
    <s v="Gyn Onc /WH-Tacoma-OB/GYN"/>
    <x v="0"/>
    <m/>
    <n v="0"/>
    <n v="0"/>
    <n v="0"/>
    <n v="0"/>
    <n v="0"/>
    <n v="0"/>
    <n v="0"/>
    <n v="0"/>
    <n v="0"/>
    <n v="135"/>
    <n v="0"/>
    <n v="0"/>
    <n v="135"/>
    <n v="0"/>
  </r>
  <r>
    <x v="0"/>
    <x v="1"/>
    <x v="0"/>
    <s v="2584200"/>
    <n v="749510"/>
    <s v="Miscellaneous Expenses"/>
    <s v="Gyn Onc /WH-Tacoma-OB/GYN"/>
    <x v="0"/>
    <m/>
    <n v="0"/>
    <n v="0"/>
    <n v="0"/>
    <n v="0"/>
    <n v="0"/>
    <n v="0"/>
    <n v="0"/>
    <n v="0"/>
    <n v="135"/>
    <n v="-135"/>
    <n v="0"/>
    <n v="0"/>
    <n v="0"/>
    <n v="0"/>
  </r>
  <r>
    <x v="1"/>
    <x v="1"/>
    <x v="0"/>
    <s v="2585200"/>
    <n v="400029"/>
    <s v="MD Practice Other Rev--Medicare"/>
    <s v="Gyn Onc /WH-Tacoma-GYNONC"/>
    <x v="0"/>
    <n v="1100"/>
    <n v="-846"/>
    <n v="-1028"/>
    <n v="-339"/>
    <n v="-456"/>
    <n v="-144"/>
    <n v="-490"/>
    <n v="-308"/>
    <n v="-976"/>
    <n v="-1528"/>
    <n v="-476"/>
    <n v="-1638"/>
    <n v="-866"/>
    <n v="-9095"/>
    <n v="-772"/>
  </r>
  <r>
    <x v="1"/>
    <x v="1"/>
    <x v="0"/>
    <s v="2585200"/>
    <n v="400029"/>
    <s v="MD Practice Other Rev--Medicaid"/>
    <s v="Gyn Onc /WH-Tacoma-GYNONC"/>
    <x v="0"/>
    <n v="1200"/>
    <n v="-208"/>
    <n v="-556"/>
    <n v="-122"/>
    <n v="-156"/>
    <n v="-810"/>
    <n v="-562"/>
    <n v="-508"/>
    <n v="-871"/>
    <n v="-1594"/>
    <n v="-580"/>
    <n v="-776"/>
    <n v="-512"/>
    <n v="-7255"/>
    <n v="-264"/>
  </r>
  <r>
    <x v="1"/>
    <x v="1"/>
    <x v="0"/>
    <s v="2585200"/>
    <n v="400029"/>
    <s v="MD Practice Other Rev--Comm Insurance"/>
    <s v="Gyn Onc /WH-Tacoma-GYNONC"/>
    <x v="0"/>
    <n v="1300"/>
    <n v="-10"/>
    <n v="-10"/>
    <n v="-24"/>
    <n v="-10"/>
    <n v="0"/>
    <n v="-54"/>
    <n v="-356"/>
    <n v="-20"/>
    <n v="-404"/>
    <n v="-10"/>
    <n v="-376"/>
    <n v="-390"/>
    <n v="-1664"/>
    <n v="14"/>
  </r>
  <r>
    <x v="1"/>
    <x v="1"/>
    <x v="0"/>
    <s v="2585200"/>
    <n v="400029"/>
    <s v="MD Practice Other Rev--BCBS Comm"/>
    <s v="Gyn Onc /WH-Tacoma-GYNONC"/>
    <x v="0"/>
    <n v="1301"/>
    <n v="-372"/>
    <n v="-56"/>
    <n v="-58"/>
    <n v="-454"/>
    <n v="-1106"/>
    <n v="-676"/>
    <n v="-798"/>
    <n v="-716"/>
    <n v="-44"/>
    <n v="-716"/>
    <n v="-726"/>
    <n v="-736"/>
    <n v="-6458"/>
    <n v="10"/>
  </r>
  <r>
    <x v="1"/>
    <x v="1"/>
    <x v="0"/>
    <s v="2585200"/>
    <n v="400029"/>
    <s v="MD Practice Other Rev--Managed Care"/>
    <s v="Gyn Onc /WH-Tacoma-GYNONC"/>
    <x v="0"/>
    <n v="1400"/>
    <n v="-866"/>
    <n v="-3147"/>
    <n v="-1958"/>
    <n v="-1294"/>
    <n v="-2686"/>
    <n v="-3593"/>
    <n v="-412"/>
    <n v="-1763"/>
    <n v="-3463"/>
    <n v="-2161"/>
    <n v="-2220"/>
    <n v="-2608"/>
    <n v="-26171"/>
    <n v="388"/>
  </r>
  <r>
    <x v="1"/>
    <x v="1"/>
    <x v="0"/>
    <s v="2585200"/>
    <n v="400029"/>
    <s v="MD Practice Other Rev--Self Pay"/>
    <s v="Gyn Onc /WH-Tacoma-GYNONC"/>
    <x v="0"/>
    <n v="1500"/>
    <n v="0"/>
    <n v="-10"/>
    <n v="0"/>
    <n v="34"/>
    <n v="0"/>
    <n v="-24"/>
    <n v="-20"/>
    <n v="0"/>
    <n v="-6"/>
    <n v="-20"/>
    <n v="-10"/>
    <n v="-346"/>
    <n v="-402"/>
    <n v="336"/>
  </r>
  <r>
    <x v="1"/>
    <x v="1"/>
    <x v="0"/>
    <s v="2585200"/>
    <n v="400029"/>
    <s v="MD Practice Other Rev--Other"/>
    <s v="Gyn Onc /WH-Tacoma-GYNONC"/>
    <x v="0"/>
    <n v="1700"/>
    <n v="0"/>
    <n v="-20"/>
    <n v="0"/>
    <n v="-10"/>
    <n v="-10"/>
    <n v="-30"/>
    <n v="-20"/>
    <n v="-10"/>
    <n v="0"/>
    <n v="0"/>
    <n v="-490"/>
    <n v="0"/>
    <n v="-590"/>
    <n v="-490"/>
  </r>
  <r>
    <x v="1"/>
    <x v="1"/>
    <x v="0"/>
    <s v="2585200"/>
    <n v="400040"/>
    <s v="Physician Svcs Rev--Medicare"/>
    <s v="Gyn Onc /WH-Tacoma-GYNONC"/>
    <x v="0"/>
    <n v="1100"/>
    <n v="-292752"/>
    <n v="-292918.5"/>
    <n v="-211595.75"/>
    <n v="-226987.75"/>
    <n v="-149751.75"/>
    <n v="-194163"/>
    <n v="-232589.25"/>
    <n v="-217363.5"/>
    <n v="-293777"/>
    <n v="-251564"/>
    <n v="-218934"/>
    <n v="-198738"/>
    <n v="-2781134.5"/>
    <n v="-20196"/>
  </r>
  <r>
    <x v="1"/>
    <x v="1"/>
    <x v="0"/>
    <s v="2585200"/>
    <n v="400040"/>
    <s v="Physician Svcs Rev--Medicaid"/>
    <s v="Gyn Onc /WH-Tacoma-GYNONC"/>
    <x v="0"/>
    <n v="1200"/>
    <n v="-135857.75"/>
    <n v="-143692.25"/>
    <n v="-108496.25"/>
    <n v="-107605.35"/>
    <n v="-124083.5"/>
    <n v="-118122.25"/>
    <n v="-111461.25"/>
    <n v="-132874.95000000001"/>
    <n v="-105361.3"/>
    <n v="-128742.75"/>
    <n v="-147098.75"/>
    <n v="-112402"/>
    <n v="-1475798.35"/>
    <n v="-34696.75"/>
  </r>
  <r>
    <x v="1"/>
    <x v="1"/>
    <x v="0"/>
    <s v="2585200"/>
    <n v="400040"/>
    <s v="Physician Svcs Rev--Comm Insurance"/>
    <s v="Gyn Onc /WH-Tacoma-GYNONC"/>
    <x v="0"/>
    <n v="1300"/>
    <n v="-26617"/>
    <n v="-58195"/>
    <n v="-11650"/>
    <n v="-33782.25"/>
    <n v="-17526.25"/>
    <n v="-16555"/>
    <n v="-31104.5"/>
    <n v="-15265"/>
    <n v="-18794"/>
    <n v="-24520"/>
    <n v="-20248"/>
    <n v="-26964"/>
    <n v="-301221"/>
    <n v="6716"/>
  </r>
  <r>
    <x v="1"/>
    <x v="1"/>
    <x v="0"/>
    <s v="2585200"/>
    <n v="400040"/>
    <s v="Physician Svcs Rev--BCBS Comm"/>
    <s v="Gyn Onc /WH-Tacoma-GYNONC"/>
    <x v="0"/>
    <n v="1301"/>
    <n v="-32851.5"/>
    <n v="-62638.75"/>
    <n v="-38670"/>
    <n v="-41390"/>
    <n v="-55550.25"/>
    <n v="-81651"/>
    <n v="-48257.5"/>
    <n v="-42069.5"/>
    <n v="-48778"/>
    <n v="-72744.25"/>
    <n v="-58868"/>
    <n v="-58948"/>
    <n v="-642416.75"/>
    <n v="80"/>
  </r>
  <r>
    <x v="1"/>
    <x v="1"/>
    <x v="0"/>
    <s v="2585200"/>
    <n v="400040"/>
    <s v="Physician Svcs Rev--Managed Care"/>
    <s v="Gyn Onc /WH-Tacoma-GYNONC"/>
    <x v="0"/>
    <n v="1400"/>
    <n v="-195569.25"/>
    <n v="-246485.5"/>
    <n v="-245247.5"/>
    <n v="-192359.6"/>
    <n v="-234422"/>
    <n v="-222376.45"/>
    <n v="-223581.5"/>
    <n v="-245446"/>
    <n v="-232027.2"/>
    <n v="-213761.5"/>
    <n v="-198242.25"/>
    <n v="-184120.25"/>
    <n v="-2633639"/>
    <n v="-14122"/>
  </r>
  <r>
    <x v="1"/>
    <x v="1"/>
    <x v="0"/>
    <s v="2585200"/>
    <n v="400040"/>
    <s v="Physician Svcs Rev--Self Pay"/>
    <s v="Gyn Onc /WH-Tacoma-GYNONC"/>
    <x v="0"/>
    <n v="1500"/>
    <n v="-1661"/>
    <n v="-9382"/>
    <n v="-13766.5"/>
    <n v="-15004.25"/>
    <n v="597"/>
    <n v="-2661"/>
    <n v="-17529"/>
    <n v="-9226"/>
    <n v="-9892"/>
    <n v="-11775"/>
    <n v="-32401.5"/>
    <n v="-22912.15"/>
    <n v="-145613.4"/>
    <n v="-9489.3499999999985"/>
  </r>
  <r>
    <x v="1"/>
    <x v="1"/>
    <x v="0"/>
    <s v="2585200"/>
    <n v="400040"/>
    <s v="Physician Svcs Rev--Other"/>
    <s v="Gyn Onc /WH-Tacoma-GYNONC"/>
    <x v="0"/>
    <n v="1700"/>
    <n v="-4158"/>
    <n v="-15336"/>
    <n v="-13200.75"/>
    <n v="-15420.5"/>
    <n v="-20826"/>
    <n v="-13188.75"/>
    <n v="-47094.75"/>
    <n v="-18693"/>
    <n v="-10684"/>
    <n v="-24287.75"/>
    <n v="-13455"/>
    <n v="-10398"/>
    <n v="-206742.5"/>
    <n v="-3057"/>
  </r>
  <r>
    <x v="2"/>
    <x v="1"/>
    <x v="0"/>
    <s v="2585200"/>
    <n v="450029"/>
    <s v="Contr Allow--MD Other-Medicare"/>
    <s v="Gyn Onc /WH-Tacoma-GYNONC"/>
    <x v="0"/>
    <n v="1100"/>
    <n v="643.76"/>
    <n v="640.80999999999995"/>
    <n v="116.88"/>
    <n v="409.82"/>
    <n v="295.5"/>
    <n v="307.39999999999998"/>
    <n v="130.75"/>
    <n v="380.73"/>
    <n v="923.98"/>
    <n v="549.19000000000005"/>
    <n v="1007.3"/>
    <n v="163.72"/>
    <n v="5569.84"/>
    <n v="843.57999999999993"/>
  </r>
  <r>
    <x v="2"/>
    <x v="1"/>
    <x v="0"/>
    <s v="2585200"/>
    <n v="450029"/>
    <s v="Contr Allow--MD Other-Medicaid"/>
    <s v="Gyn Onc /WH-Tacoma-GYNONC"/>
    <x v="0"/>
    <n v="1200"/>
    <n v="133.22"/>
    <n v="382"/>
    <n v="108.73"/>
    <n v="66.36"/>
    <n v="31.78"/>
    <n v="948.7"/>
    <n v="113.81"/>
    <n v="340.38"/>
    <n v="1530.32"/>
    <n v="663.08"/>
    <n v="646.14"/>
    <n v="358.04"/>
    <n v="5322.56"/>
    <n v="288.09999999999997"/>
  </r>
  <r>
    <x v="2"/>
    <x v="1"/>
    <x v="0"/>
    <s v="2585200"/>
    <n v="450029"/>
    <s v="Contr Allow--MD Other-Comm Insurance"/>
    <s v="Gyn Onc /WH-Tacoma-GYNONC"/>
    <x v="0"/>
    <n v="1300"/>
    <n v="55.87"/>
    <n v="4.43"/>
    <n v="6.22"/>
    <n v="18.45"/>
    <n v="5.27"/>
    <n v="26.05"/>
    <n v="5.27"/>
    <n v="147.86000000000001"/>
    <n v="47.88"/>
    <n v="124.97"/>
    <n v="0"/>
    <n v="159.26"/>
    <n v="601.53"/>
    <n v="-159.26"/>
  </r>
  <r>
    <x v="2"/>
    <x v="1"/>
    <x v="0"/>
    <s v="2585200"/>
    <n v="450029"/>
    <s v="Contr Allow--MD Other BCBS Comm"/>
    <s v="Gyn Onc /WH-Tacoma-GYNONC"/>
    <x v="0"/>
    <n v="1301"/>
    <n v="142.09"/>
    <n v="147.06"/>
    <n v="-80.64"/>
    <n v="144.28"/>
    <n v="210.3"/>
    <n v="193.31"/>
    <n v="281.10000000000002"/>
    <n v="149.01"/>
    <n v="25.33"/>
    <n v="224.46"/>
    <n v="203.47"/>
    <n v="199.8"/>
    <n v="1839.57"/>
    <n v="3.6699999999999875"/>
  </r>
  <r>
    <x v="2"/>
    <x v="1"/>
    <x v="0"/>
    <s v="2585200"/>
    <n v="450029"/>
    <s v="Contr Allow--MD Other-Managed Care"/>
    <s v="Gyn Onc /WH-Tacoma-GYNONC"/>
    <x v="0"/>
    <n v="1400"/>
    <n v="495.79"/>
    <n v="1118.6300000000001"/>
    <n v="917.38"/>
    <n v="496.2"/>
    <n v="949.9"/>
    <n v="1220.0999999999999"/>
    <n v="519.37"/>
    <n v="332.96"/>
    <n v="1767.2"/>
    <n v="1106.3399999999999"/>
    <n v="671.98"/>
    <n v="1283.73"/>
    <n v="10879.579999999998"/>
    <n v="-611.75"/>
  </r>
  <r>
    <x v="2"/>
    <x v="1"/>
    <x v="0"/>
    <s v="2585200"/>
    <n v="450029"/>
    <s v="Admin Adjust-MD Other-Self Pay"/>
    <s v="Gyn Onc /WH-Tacoma-GYNONC"/>
    <x v="0"/>
    <n v="1600"/>
    <n v="7.48"/>
    <n v="28.4"/>
    <n v="5.6"/>
    <n v="-10.59"/>
    <n v="1.85"/>
    <n v="12.32"/>
    <n v="13.7"/>
    <n v="5.17"/>
    <n v="4.0199999999999996"/>
    <n v="-2.08"/>
    <n v="-1.35"/>
    <n v="111.52"/>
    <n v="176.04"/>
    <n v="-112.86999999999999"/>
  </r>
  <r>
    <x v="2"/>
    <x v="1"/>
    <x v="0"/>
    <s v="2585200"/>
    <n v="450029"/>
    <s v="Contr Allow--MD Other-Other"/>
    <s v="Gyn Onc /WH-Tacoma-GYNONC"/>
    <x v="0"/>
    <n v="1700"/>
    <n v="6.52"/>
    <n v="14.34"/>
    <n v="0"/>
    <n v="0"/>
    <n v="7.17"/>
    <n v="7.17"/>
    <n v="14.34"/>
    <n v="13.69"/>
    <n v="7.17"/>
    <n v="7.17"/>
    <n v="305.22000000000003"/>
    <n v="20"/>
    <n v="402.79"/>
    <n v="285.22000000000003"/>
  </r>
  <r>
    <x v="2"/>
    <x v="1"/>
    <x v="0"/>
    <s v="2585200"/>
    <n v="450040"/>
    <s v="Contr Allow--Phys Svcs--Mcare"/>
    <s v="Gyn Onc /WH-Tacoma-GYNONC"/>
    <x v="0"/>
    <n v="1100"/>
    <n v="175488.62"/>
    <n v="217280.39"/>
    <n v="180711.05"/>
    <n v="154056.88"/>
    <n v="155144.57"/>
    <n v="100112.44"/>
    <n v="147346.09"/>
    <n v="124587.78"/>
    <n v="179894.3"/>
    <n v="207504.36"/>
    <n v="207095.46"/>
    <n v="157870.54"/>
    <n v="2007092.48"/>
    <n v="49224.919999999984"/>
  </r>
  <r>
    <x v="2"/>
    <x v="1"/>
    <x v="0"/>
    <s v="2585200"/>
    <n v="450040"/>
    <s v="Contr Allow--Phys Svcs--Mcaid"/>
    <s v="Gyn Onc /WH-Tacoma-GYNONC"/>
    <x v="0"/>
    <n v="1200"/>
    <n v="85044.75"/>
    <n v="118178.56"/>
    <n v="65729.42"/>
    <n v="96179.6"/>
    <n v="84066.53"/>
    <n v="113313.04"/>
    <n v="77173.039999999994"/>
    <n v="77853.490000000005"/>
    <n v="94791.17"/>
    <n v="100234.57"/>
    <n v="90245.75"/>
    <n v="93045.6"/>
    <n v="1095855.5200000003"/>
    <n v="-2799.8500000000058"/>
  </r>
  <r>
    <x v="2"/>
    <x v="1"/>
    <x v="0"/>
    <s v="2585200"/>
    <n v="450040"/>
    <s v="Contr Allow--Phys Svcs--Comm Insurance"/>
    <s v="Gyn Onc /WH-Tacoma-GYNONC"/>
    <x v="0"/>
    <n v="1300"/>
    <n v="3703.65"/>
    <n v="27884.84"/>
    <n v="24077.31"/>
    <n v="3347.63"/>
    <n v="17182.27"/>
    <n v="4340.3900000000003"/>
    <n v="6018.72"/>
    <n v="6981.76"/>
    <n v="7051.04"/>
    <n v="7770.1"/>
    <n v="9537.99"/>
    <n v="12817.8"/>
    <n v="130713.5"/>
    <n v="-3279.8099999999995"/>
  </r>
  <r>
    <x v="2"/>
    <x v="1"/>
    <x v="0"/>
    <s v="2585200"/>
    <n v="450040"/>
    <s v="Contr Allow--Phys Svcs--BCBS Comm Ins"/>
    <s v="Gyn Onc /WH-Tacoma-GYNONC"/>
    <x v="0"/>
    <n v="1301"/>
    <n v="25586.43"/>
    <n v="25970.46"/>
    <n v="25584.52"/>
    <n v="17306.23"/>
    <n v="12567.87"/>
    <n v="30574.39"/>
    <n v="19011.62"/>
    <n v="23569.26"/>
    <n v="21636.43"/>
    <n v="25263.33"/>
    <n v="19932.89"/>
    <n v="50838.89"/>
    <n v="297842.32"/>
    <n v="-30906"/>
  </r>
  <r>
    <x v="2"/>
    <x v="1"/>
    <x v="0"/>
    <s v="2585200"/>
    <n v="450040"/>
    <s v="Contr Allow--Phys Svcs--Managed Care"/>
    <s v="Gyn Onc /WH-Tacoma-GYNONC"/>
    <x v="0"/>
    <n v="1400"/>
    <n v="84946.38"/>
    <n v="96135.39"/>
    <n v="113944.06"/>
    <n v="130574.47"/>
    <n v="140058.15"/>
    <n v="98274.71"/>
    <n v="75911.48"/>
    <n v="98643.4"/>
    <n v="130559.99"/>
    <n v="93066.6"/>
    <n v="110587.38"/>
    <n v="102253.33"/>
    <n v="1274955.3400000003"/>
    <n v="8334.0500000000029"/>
  </r>
  <r>
    <x v="2"/>
    <x v="1"/>
    <x v="0"/>
    <s v="2585200"/>
    <n v="450040"/>
    <s v="Contr Allow--Phys Svcs--BCBS Mgnd Care"/>
    <s v="Gyn Onc /WH-Tacoma-GYNONC"/>
    <x v="0"/>
    <n v="1401"/>
    <n v="34551.800000000003"/>
    <n v="7644.84"/>
    <n v="-14705.27"/>
    <n v="-12661.17"/>
    <n v="-35540.6"/>
    <n v="35005.449999999997"/>
    <n v="81960.47"/>
    <n v="70623.199999999997"/>
    <n v="-17101.46"/>
    <n v="-1282.6199999999999"/>
    <n v="-5518.71"/>
    <n v="-52904.67"/>
    <n v="90071.26"/>
    <n v="47385.96"/>
  </r>
  <r>
    <x v="2"/>
    <x v="1"/>
    <x v="0"/>
    <s v="2585200"/>
    <n v="450040"/>
    <s v="Admin Adjust-Phys Svcs-Self Pay"/>
    <s v="Gyn Onc /WH-Tacoma-GYNONC"/>
    <x v="0"/>
    <n v="1600"/>
    <n v="-2338.7600000000002"/>
    <n v="34652.639999999999"/>
    <n v="23846.33"/>
    <n v="8301.75"/>
    <n v="-236.25"/>
    <n v="-880.18"/>
    <n v="10871.06"/>
    <n v="2487.9299999999998"/>
    <n v="3945.55"/>
    <n v="4686.1400000000003"/>
    <n v="19460.71"/>
    <n v="14269.93"/>
    <n v="119066.84999999998"/>
    <n v="5190.7799999999988"/>
  </r>
  <r>
    <x v="2"/>
    <x v="1"/>
    <x v="0"/>
    <s v="2585200"/>
    <n v="450040"/>
    <s v="Contr Allow--Phys Svcs--Other"/>
    <s v="Gyn Onc /WH-Tacoma-GYNONC"/>
    <x v="0"/>
    <n v="1700"/>
    <n v="7945.83"/>
    <n v="10916.36"/>
    <n v="12573.25"/>
    <n v="4609.1099999999997"/>
    <n v="14013.2"/>
    <n v="9494.65"/>
    <n v="12040.54"/>
    <n v="18630.259999999998"/>
    <n v="16817.599999999999"/>
    <n v="18831.36"/>
    <n v="20653.18"/>
    <n v="13125.74"/>
    <n v="159651.07999999999"/>
    <n v="7527.4400000000005"/>
  </r>
  <r>
    <x v="3"/>
    <x v="1"/>
    <x v="0"/>
    <s v="2585200"/>
    <n v="470040"/>
    <s v="Charity Care-Physician Svcs"/>
    <s v="Gyn Onc /WH-Tacoma-GYNONC"/>
    <x v="0"/>
    <m/>
    <n v="18947.97"/>
    <n v="6642.84"/>
    <n v="5136.0200000000004"/>
    <n v="3745.27"/>
    <n v="170.14"/>
    <n v="1130.67"/>
    <n v="10711.36"/>
    <n v="6673.15"/>
    <n v="43123.199999999997"/>
    <n v="17807.45"/>
    <n v="-327.98"/>
    <n v="6993.06"/>
    <n v="120753.15"/>
    <n v="-7321.0400000000009"/>
  </r>
  <r>
    <x v="4"/>
    <x v="1"/>
    <x v="0"/>
    <s v="2585200"/>
    <n v="490010"/>
    <s v="Provision for Bad Debts"/>
    <s v="Gyn Onc /WH-Tacoma-GYNONC"/>
    <x v="0"/>
    <m/>
    <n v="13788.33"/>
    <n v="17478.63"/>
    <n v="-13780.65"/>
    <n v="-2768.77"/>
    <n v="8538.58"/>
    <n v="5105.8100000000004"/>
    <n v="18013.48"/>
    <n v="5925.69"/>
    <n v="5848.85"/>
    <n v="5334.88"/>
    <n v="2676.33"/>
    <n v="261.22000000000003"/>
    <n v="66422.37999999999"/>
    <n v="2415.1099999999997"/>
  </r>
  <r>
    <x v="5"/>
    <x v="1"/>
    <x v="0"/>
    <s v="2585200"/>
    <n v="700018"/>
    <s v="Salaries-Supervisory-Productive"/>
    <s v="Gyn Onc /WH-Tacoma-GYNONC"/>
    <x v="0"/>
    <m/>
    <n v="0"/>
    <n v="5040"/>
    <n v="3864"/>
    <n v="8591.0400000000009"/>
    <n v="7420.16"/>
    <n v="5329.02"/>
    <n v="2770.15"/>
    <n v="0"/>
    <n v="0"/>
    <n v="0"/>
    <n v="0"/>
    <n v="0"/>
    <n v="33014.370000000003"/>
    <n v="0"/>
  </r>
  <r>
    <x v="5"/>
    <x v="1"/>
    <x v="0"/>
    <s v="2585200"/>
    <n v="700022"/>
    <s v="Salaries-Physician-Productive"/>
    <s v="Gyn Onc /WH-Tacoma-GYNONC"/>
    <x v="0"/>
    <m/>
    <n v="104253.88"/>
    <n v="146036.46"/>
    <n v="103826"/>
    <n v="113935.84"/>
    <n v="146650.56"/>
    <n v="97701.37"/>
    <n v="116899.74"/>
    <n v="97933.77"/>
    <n v="115755.8"/>
    <n v="118293.83"/>
    <n v="123595.2"/>
    <n v="90145.52"/>
    <n v="1375027.97"/>
    <n v="33449.679999999993"/>
  </r>
  <r>
    <x v="5"/>
    <x v="1"/>
    <x v="0"/>
    <s v="2585200"/>
    <n v="700022"/>
    <s v="Salaries-Physician-Other"/>
    <s v="Gyn Onc /WH-Tacoma-GYNONC"/>
    <x v="0"/>
    <n v="2000"/>
    <n v="6750"/>
    <n v="0"/>
    <n v="6000"/>
    <n v="6750"/>
    <n v="0"/>
    <n v="9750"/>
    <n v="5250"/>
    <n v="6750"/>
    <n v="0"/>
    <n v="12750"/>
    <n v="0"/>
    <n v="12750"/>
    <n v="66750"/>
    <n v="-12750"/>
  </r>
  <r>
    <x v="5"/>
    <x v="1"/>
    <x v="0"/>
    <s v="2585200"/>
    <n v="700024"/>
    <s v="Salaries-Advanced Practice Clinician-Productive"/>
    <s v="Gyn Onc /WH-Tacoma-GYNONC"/>
    <x v="0"/>
    <m/>
    <n v="25577.279999999999"/>
    <n v="28274.959999999999"/>
    <n v="31771.1"/>
    <n v="27429.34"/>
    <n v="37486.199999999997"/>
    <n v="28218.52"/>
    <n v="29666.45"/>
    <n v="26391.53"/>
    <n v="30017.17"/>
    <n v="30426.77"/>
    <n v="30964.95"/>
    <n v="24554.62"/>
    <n v="350778.89"/>
    <n v="6410.3300000000017"/>
  </r>
  <r>
    <x v="5"/>
    <x v="1"/>
    <x v="0"/>
    <s v="2585200"/>
    <n v="700026"/>
    <s v="Salaries-RN-Productive"/>
    <s v="Gyn Onc /WH-Tacoma-GYNONC"/>
    <x v="0"/>
    <m/>
    <n v="13557.88"/>
    <n v="11216.33"/>
    <n v="17333.38"/>
    <n v="25808.639999999999"/>
    <n v="31308.65"/>
    <n v="18674.61"/>
    <n v="28571.64"/>
    <n v="14898.58"/>
    <n v="24786.1"/>
    <n v="24125.03"/>
    <n v="27981.49"/>
    <n v="22167.85"/>
    <n v="260430.18"/>
    <n v="5813.6400000000031"/>
  </r>
  <r>
    <x v="5"/>
    <x v="1"/>
    <x v="0"/>
    <s v="2585200"/>
    <n v="700026"/>
    <s v="Salaries-RN-OT"/>
    <s v="Gyn Onc /WH-Tacoma-GYNONC"/>
    <x v="0"/>
    <n v="1000"/>
    <n v="0"/>
    <n v="0"/>
    <n v="0"/>
    <n v="245.03"/>
    <n v="-13.59"/>
    <n v="69.069999999999993"/>
    <n v="12"/>
    <n v="0"/>
    <n v="0"/>
    <n v="58.73"/>
    <n v="53.94"/>
    <n v="-39.06"/>
    <n v="386.12"/>
    <n v="93"/>
  </r>
  <r>
    <x v="5"/>
    <x v="1"/>
    <x v="0"/>
    <s v="2585200"/>
    <n v="700026"/>
    <s v="Salaries-RN-Other"/>
    <s v="Gyn Onc /WH-Tacoma-GYNONC"/>
    <x v="0"/>
    <n v="2000"/>
    <n v="176"/>
    <n v="184"/>
    <n v="190"/>
    <n v="184"/>
    <n v="176"/>
    <n v="188"/>
    <n v="184.28"/>
    <n v="160.24"/>
    <n v="198.32"/>
    <n v="176.24"/>
    <n v="184.28"/>
    <n v="160.24"/>
    <n v="2161.6"/>
    <n v="24.039999999999992"/>
  </r>
  <r>
    <x v="5"/>
    <x v="1"/>
    <x v="0"/>
    <s v="2585200"/>
    <n v="700030"/>
    <s v="Salaries-LPN-Productive"/>
    <s v="Gyn Onc /WH-Tacoma-GYNONC"/>
    <x v="0"/>
    <m/>
    <n v="12205.86"/>
    <n v="12684.34"/>
    <n v="10666.96"/>
    <n v="11556.53"/>
    <n v="9590.75"/>
    <n v="8994.01"/>
    <n v="10465.94"/>
    <n v="8424.92"/>
    <n v="12562.55"/>
    <n v="5799.48"/>
    <n v="4939.8900000000003"/>
    <n v="5131.82"/>
    <n v="113023.04999999999"/>
    <n v="-191.92999999999938"/>
  </r>
  <r>
    <x v="5"/>
    <x v="1"/>
    <x v="0"/>
    <s v="2585200"/>
    <n v="700030"/>
    <s v="Salaries-LPN-OT"/>
    <s v="Gyn Onc /WH-Tacoma-GYNONC"/>
    <x v="0"/>
    <n v="1000"/>
    <n v="74.349999999999994"/>
    <n v="76.040000000000006"/>
    <n v="90.59"/>
    <n v="107.87"/>
    <n v="89.28"/>
    <n v="146.44"/>
    <n v="122.34"/>
    <n v="-2.42"/>
    <n v="236.17"/>
    <n v="-78.72"/>
    <n v="0"/>
    <n v="0"/>
    <n v="861.93999999999994"/>
    <n v="0"/>
  </r>
  <r>
    <x v="5"/>
    <x v="1"/>
    <x v="0"/>
    <s v="2585200"/>
    <n v="700030"/>
    <s v="Salaries-LPN-Other"/>
    <s v="Gyn Onc /WH-Tacoma-GYNONC"/>
    <x v="0"/>
    <n v="2000"/>
    <n v="0"/>
    <n v="0"/>
    <n v="0"/>
    <n v="0"/>
    <n v="0"/>
    <n v="13.1"/>
    <n v="0"/>
    <n v="0"/>
    <n v="0"/>
    <n v="0"/>
    <n v="0"/>
    <n v="0"/>
    <n v="13.1"/>
    <n v="0"/>
  </r>
  <r>
    <x v="5"/>
    <x v="1"/>
    <x v="0"/>
    <s v="2585200"/>
    <n v="700032"/>
    <s v="Salaries-Other Pat Care Providers-Productive"/>
    <s v="Gyn Onc /WH-Tacoma-GYNONC"/>
    <x v="0"/>
    <m/>
    <n v="3887.4"/>
    <n v="4334.8"/>
    <n v="1000.47"/>
    <n v="4439.2700000000004"/>
    <n v="3520.26"/>
    <n v="1965.54"/>
    <n v="147.86000000000001"/>
    <n v="0"/>
    <n v="0"/>
    <n v="0"/>
    <n v="3330.14"/>
    <n v="3181.67"/>
    <n v="25807.410000000003"/>
    <n v="148.4699999999998"/>
  </r>
  <r>
    <x v="5"/>
    <x v="1"/>
    <x v="0"/>
    <s v="2585200"/>
    <n v="700032"/>
    <s v="Salaries-Other Pat Care Providers-OT"/>
    <s v="Gyn Onc /WH-Tacoma-GYNONC"/>
    <x v="0"/>
    <n v="1000"/>
    <n v="0"/>
    <n v="26.56"/>
    <n v="0"/>
    <n v="70.83"/>
    <n v="0"/>
    <n v="0"/>
    <n v="0"/>
    <n v="0"/>
    <n v="0"/>
    <n v="0"/>
    <n v="15.92"/>
    <n v="-7.96"/>
    <n v="105.35000000000001"/>
    <n v="23.88"/>
  </r>
  <r>
    <x v="5"/>
    <x v="1"/>
    <x v="0"/>
    <s v="2585200"/>
    <n v="700058"/>
    <s v="Salaries-Supervisory-Non-productive"/>
    <s v="Gyn Onc /WH-Tacoma-GYNONC"/>
    <x v="0"/>
    <m/>
    <n v="0"/>
    <n v="0"/>
    <n v="2541"/>
    <n v="-735"/>
    <n v="0"/>
    <n v="1753.85"/>
    <n v="270.33"/>
    <n v="0"/>
    <n v="0"/>
    <n v="0"/>
    <n v="0"/>
    <n v="0"/>
    <n v="3830.18"/>
    <n v="0"/>
  </r>
  <r>
    <x v="5"/>
    <x v="1"/>
    <x v="0"/>
    <s v="2585200"/>
    <n v="700058"/>
    <s v="Salaries-Supervisory-NonProd-Other"/>
    <s v="Gyn Onc /WH-Tacoma-GYNON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5200"/>
    <n v="700062"/>
    <s v="Salaries-Physician-Non-productive"/>
    <s v="Gyn Onc /WH-Tacoma-GYNONC"/>
    <x v="0"/>
    <m/>
    <n v="11592.32"/>
    <n v="17533.599999999999"/>
    <n v="2266.1999999999998"/>
    <n v="16316.64"/>
    <n v="9262.16"/>
    <n v="28023.34"/>
    <n v="7027.83"/>
    <n v="9729.7000000000007"/>
    <n v="-2779.91"/>
    <n v="0"/>
    <n v="0"/>
    <n v="17269.68"/>
    <n v="116241.56"/>
    <n v="-17269.68"/>
  </r>
  <r>
    <x v="5"/>
    <x v="1"/>
    <x v="0"/>
    <s v="2585200"/>
    <n v="700062"/>
    <s v="Salaries-Physician-NonProd-Other"/>
    <s v="Gyn Onc /WH-Tacoma-GYNON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5200"/>
    <n v="700064"/>
    <s v="Salaries-Advanced Practice Clinician-Non-Productive"/>
    <s v="Gyn Onc /WH-Tacoma-GYNONC"/>
    <x v="0"/>
    <m/>
    <n v="7444.96"/>
    <n v="3809.16"/>
    <n v="841.5"/>
    <n v="8792.49"/>
    <n v="-2860.03"/>
    <n v="4467.3100000000004"/>
    <n v="2938.5"/>
    <n v="2439.5"/>
    <n v="3094.78"/>
    <n v="1199.24"/>
    <n v="1772.54"/>
    <n v="3867.78"/>
    <n v="37807.730000000003"/>
    <n v="-2095.2400000000002"/>
  </r>
  <r>
    <x v="5"/>
    <x v="1"/>
    <x v="0"/>
    <s v="2585200"/>
    <n v="700066"/>
    <s v="Salaries-RN-Non-productive"/>
    <s v="Gyn Onc /WH-Tacoma-GYNONC"/>
    <x v="0"/>
    <m/>
    <n v="2646.86"/>
    <n v="416.94"/>
    <n v="3032.73"/>
    <n v="-218.16"/>
    <n v="2424"/>
    <n v="4578.55"/>
    <n v="2115.9"/>
    <n v="4444.6400000000003"/>
    <n v="-1083.5999999999999"/>
    <n v="3611.85"/>
    <n v="-1161.79"/>
    <n v="2934.44"/>
    <n v="23742.36"/>
    <n v="-4096.2299999999996"/>
  </r>
  <r>
    <x v="5"/>
    <x v="1"/>
    <x v="0"/>
    <s v="2585200"/>
    <n v="700066"/>
    <s v="Salaries-RN-NonProd-Other"/>
    <s v="Gyn Onc /WH-Tacoma-GYNONC"/>
    <x v="0"/>
    <n v="2000"/>
    <n v="0"/>
    <n v="0"/>
    <n v="0"/>
    <n v="0"/>
    <n v="0"/>
    <n v="17.34"/>
    <n v="0"/>
    <n v="0"/>
    <n v="0"/>
    <n v="0"/>
    <n v="0"/>
    <n v="0"/>
    <n v="17.34"/>
    <n v="0"/>
  </r>
  <r>
    <x v="5"/>
    <x v="1"/>
    <x v="0"/>
    <s v="2585200"/>
    <n v="700070"/>
    <s v="Salaries-LPN-Non-productive"/>
    <s v="Gyn Onc /WH-Tacoma-GYNONC"/>
    <x v="0"/>
    <m/>
    <n v="2824.38"/>
    <n v="1250.3499999999999"/>
    <n v="2375.6799999999998"/>
    <n v="527.32000000000005"/>
    <n v="1109.42"/>
    <n v="1336.96"/>
    <n v="1113.02"/>
    <n v="945.7"/>
    <n v="-206.7"/>
    <n v="777.31"/>
    <n v="-165.93"/>
    <n v="948.25"/>
    <n v="12835.76"/>
    <n v="-1114.18"/>
  </r>
  <r>
    <x v="5"/>
    <x v="1"/>
    <x v="0"/>
    <s v="2585200"/>
    <n v="700070"/>
    <s v="Salaries-LPN-NonProd-Other"/>
    <s v="Gyn Onc /WH-Tacoma-GYNONC"/>
    <x v="0"/>
    <n v="2000"/>
    <n v="0"/>
    <n v="0"/>
    <n v="0"/>
    <n v="0"/>
    <n v="0"/>
    <n v="47.06"/>
    <n v="0"/>
    <n v="0"/>
    <n v="42.1"/>
    <n v="110.82"/>
    <n v="31.13"/>
    <n v="28.08"/>
    <n v="259.19"/>
    <n v="3.0500000000000007"/>
  </r>
  <r>
    <x v="5"/>
    <x v="1"/>
    <x v="0"/>
    <s v="2585200"/>
    <n v="700072"/>
    <s v="Salaries-Other Pat Care Providers-Non-productive"/>
    <s v="Gyn Onc /WH-Tacoma-GYNONC"/>
    <x v="0"/>
    <m/>
    <n v="253.81"/>
    <n v="11.81"/>
    <n v="1392.99"/>
    <n v="410.81"/>
    <n v="616.23"/>
    <n v="1695.19"/>
    <n v="265.02999999999997"/>
    <n v="0"/>
    <n v="0"/>
    <n v="0"/>
    <n v="63.64"/>
    <n v="137.86000000000001"/>
    <n v="4847.37"/>
    <n v="-74.220000000000013"/>
  </r>
  <r>
    <x v="5"/>
    <x v="1"/>
    <x v="0"/>
    <s v="2585200"/>
    <n v="700072"/>
    <s v="Salaries-Other Pat Care Providers-NonProd-Other"/>
    <s v="Gyn Onc /WH-Tacoma-GYNON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5200"/>
    <n v="700084"/>
    <s v="Accrued PTO"/>
    <s v="Gyn Onc /WH-Tacoma-GYNONC"/>
    <x v="0"/>
    <m/>
    <n v="-1095.5"/>
    <n v="1751.19"/>
    <n v="-2547.79"/>
    <n v="4197.1400000000003"/>
    <n v="2665.34"/>
    <n v="-784.29"/>
    <n v="126.17"/>
    <n v="-317.82"/>
    <n v="3329.36"/>
    <n v="518.39"/>
    <n v="3384.78"/>
    <n v="1266.29"/>
    <n v="12493.260000000002"/>
    <n v="2118.4900000000002"/>
  </r>
  <r>
    <x v="6"/>
    <x v="1"/>
    <x v="0"/>
    <s v="2585200"/>
    <n v="713010"/>
    <s v="Benefits-FICA/Medicare"/>
    <s v="Gyn Onc /WH-Tacoma-GYNONC"/>
    <x v="0"/>
    <m/>
    <n v="6735.93"/>
    <n v="7193.13"/>
    <n v="7012.51"/>
    <n v="8230.58"/>
    <n v="7527.95"/>
    <n v="10249.129999999999"/>
    <n v="15306.56"/>
    <n v="8654.85"/>
    <n v="9197.4500000000007"/>
    <n v="6131.37"/>
    <n v="6792.45"/>
    <n v="6211.81"/>
    <n v="99243.719999999987"/>
    <n v="580.63999999999942"/>
  </r>
  <r>
    <x v="6"/>
    <x v="1"/>
    <x v="0"/>
    <s v="2585200"/>
    <n v="713090"/>
    <s v="Benefits-Allocated Amounts"/>
    <s v="Gyn Onc /WH-Tacoma-GYNONC"/>
    <x v="0"/>
    <m/>
    <n v="0"/>
    <n v="0"/>
    <n v="0"/>
    <n v="0"/>
    <n v="0"/>
    <n v="0"/>
    <n v="0"/>
    <n v="0"/>
    <n v="105336.83"/>
    <n v="11258.58"/>
    <n v="10624"/>
    <n v="11141.2"/>
    <n v="138360.61000000002"/>
    <n v="-517.20000000000073"/>
  </r>
  <r>
    <x v="6"/>
    <x v="1"/>
    <x v="0"/>
    <s v="2585200"/>
    <n v="713092"/>
    <s v="Allocated Benefits-Physician"/>
    <s v="Gyn Onc /WH-Tacoma-GYNONC"/>
    <x v="0"/>
    <m/>
    <n v="8826.85"/>
    <n v="8445.09"/>
    <n v="8724.44"/>
    <n v="9651.2099999999991"/>
    <n v="10619.23"/>
    <n v="10403.56"/>
    <n v="10924.02"/>
    <n v="9153.49"/>
    <n v="-43192.43"/>
    <n v="3586.47"/>
    <n v="3384.32"/>
    <n v="3549.07"/>
    <n v="44075.320000000014"/>
    <n v="-164.75"/>
  </r>
  <r>
    <x v="6"/>
    <x v="1"/>
    <x v="0"/>
    <s v="2585200"/>
    <n v="713093"/>
    <s v="Allocated Benefits-Advanced Practice Clinician"/>
    <s v="Gyn Onc /WH-Tacoma-GYNONC"/>
    <x v="0"/>
    <m/>
    <n v="9243.75"/>
    <n v="8843.9500000000007"/>
    <n v="9136.5"/>
    <n v="10107.049999999999"/>
    <n v="11120.77"/>
    <n v="10894.93"/>
    <n v="11439.96"/>
    <n v="9585.82"/>
    <n v="-41187.9"/>
    <n v="4188.1400000000003"/>
    <n v="3952.09"/>
    <n v="4144.47"/>
    <n v="51469.530000000013"/>
    <n v="-192.38000000000011"/>
  </r>
  <r>
    <x v="6"/>
    <x v="1"/>
    <x v="0"/>
    <s v="2585200"/>
    <n v="713096"/>
    <s v="Employee Recognition"/>
    <s v="Gyn Onc /WH-Tacoma-GYNONC"/>
    <x v="0"/>
    <n v="1017"/>
    <n v="0"/>
    <n v="0"/>
    <n v="39.159999999999997"/>
    <n v="44"/>
    <n v="0"/>
    <n v="38.479999999999997"/>
    <n v="0"/>
    <n v="0"/>
    <n v="0"/>
    <n v="0"/>
    <n v="0"/>
    <n v="0"/>
    <n v="121.63999999999999"/>
    <n v="0"/>
  </r>
  <r>
    <x v="7"/>
    <x v="1"/>
    <x v="0"/>
    <s v="2585200"/>
    <n v="718050"/>
    <s v="Contract Svcs-Other"/>
    <s v="Gyn Onc /WH-Tacoma-GYNONC"/>
    <x v="0"/>
    <m/>
    <n v="0"/>
    <n v="0"/>
    <n v="0"/>
    <n v="0"/>
    <n v="0"/>
    <n v="0"/>
    <n v="0"/>
    <n v="0"/>
    <n v="0"/>
    <n v="239.28"/>
    <n v="0"/>
    <n v="36.22"/>
    <n v="275.5"/>
    <n v="-36.22"/>
  </r>
  <r>
    <x v="7"/>
    <x v="1"/>
    <x v="0"/>
    <s v="2585200"/>
    <n v="718050"/>
    <s v="Miscellaneous Purchased Svcs"/>
    <s v="Gyn Onc /WH-Tacoma-GYNONC"/>
    <x v="0"/>
    <n v="1020"/>
    <n v="54.95"/>
    <n v="-58.9"/>
    <n v="58.43"/>
    <n v="41.58"/>
    <n v="85.77"/>
    <n v="44.47"/>
    <n v="58.43"/>
    <n v="53.64"/>
    <n v="74.489999999999995"/>
    <n v="4.87"/>
    <n v="96.37"/>
    <n v="63.09"/>
    <n v="577.18999999999994"/>
    <n v="33.28"/>
  </r>
  <r>
    <x v="7"/>
    <x v="1"/>
    <x v="0"/>
    <s v="2585200"/>
    <n v="718050"/>
    <s v="Translation Services"/>
    <s v="Gyn Onc /WH-Tacoma-GYNONC"/>
    <x v="0"/>
    <n v="1025"/>
    <n v="0"/>
    <n v="0"/>
    <n v="0"/>
    <n v="0"/>
    <n v="0"/>
    <n v="0"/>
    <n v="0"/>
    <n v="0"/>
    <n v="0"/>
    <n v="280"/>
    <n v="0"/>
    <n v="0"/>
    <n v="280"/>
    <n v="0"/>
  </r>
  <r>
    <x v="7"/>
    <x v="1"/>
    <x v="0"/>
    <s v="2585200"/>
    <n v="718050"/>
    <s v="Contract Management--Linen"/>
    <s v="Gyn Onc /WH-Tacoma-GYNONC"/>
    <x v="0"/>
    <n v="1026"/>
    <n v="0"/>
    <n v="0"/>
    <n v="0"/>
    <n v="0"/>
    <n v="0"/>
    <n v="0"/>
    <n v="0"/>
    <n v="0"/>
    <n v="0"/>
    <n v="1045.1199999999999"/>
    <n v="0"/>
    <n v="776.4"/>
    <n v="1821.52"/>
    <n v="-776.4"/>
  </r>
  <r>
    <x v="7"/>
    <x v="1"/>
    <x v="0"/>
    <s v="2585200"/>
    <n v="718050"/>
    <s v="Purchased Srvcs--Medical Waste"/>
    <s v="Gyn Onc /WH-Tacoma-GYNONC"/>
    <x v="0"/>
    <n v="1027"/>
    <n v="0"/>
    <n v="0"/>
    <n v="0"/>
    <n v="0"/>
    <n v="0"/>
    <n v="0"/>
    <n v="0"/>
    <n v="0"/>
    <n v="0"/>
    <n v="46.05"/>
    <n v="0"/>
    <n v="22.32"/>
    <n v="68.37"/>
    <n v="-22.32"/>
  </r>
  <r>
    <x v="11"/>
    <x v="1"/>
    <x v="0"/>
    <s v="2585200"/>
    <n v="721410"/>
    <s v="Supplies-Medical - Nonbillable"/>
    <s v="Gyn Onc /WH-Tacoma-GYNONC"/>
    <x v="0"/>
    <m/>
    <n v="0"/>
    <n v="0"/>
    <n v="0"/>
    <n v="0"/>
    <n v="0"/>
    <n v="0"/>
    <n v="0"/>
    <n v="0"/>
    <n v="0"/>
    <n v="1928.37"/>
    <n v="0"/>
    <n v="2612.2600000000002"/>
    <n v="4540.63"/>
    <n v="-2612.2600000000002"/>
  </r>
  <r>
    <x v="11"/>
    <x v="1"/>
    <x v="0"/>
    <s v="2585200"/>
    <n v="721830"/>
    <s v="Supplies-Office"/>
    <s v="Gyn Onc /WH-Tacoma-GYNONC"/>
    <x v="0"/>
    <m/>
    <n v="0"/>
    <n v="0"/>
    <n v="0"/>
    <n v="17.55"/>
    <n v="47.85"/>
    <n v="124.97"/>
    <n v="0"/>
    <n v="0"/>
    <n v="0"/>
    <n v="0"/>
    <n v="0"/>
    <n v="0"/>
    <n v="190.37"/>
    <n v="0"/>
  </r>
  <r>
    <x v="0"/>
    <x v="1"/>
    <x v="0"/>
    <s v="2585200"/>
    <n v="740020"/>
    <s v="Education-Registration Fees"/>
    <s v="Gyn Onc /WH-Tacoma-GYNONC"/>
    <x v="0"/>
    <m/>
    <n v="0"/>
    <n v="0"/>
    <n v="0"/>
    <n v="0"/>
    <n v="0"/>
    <n v="0"/>
    <n v="0"/>
    <n v="0"/>
    <n v="0"/>
    <n v="0"/>
    <n v="0"/>
    <n v="90"/>
    <n v="90"/>
    <n v="-90"/>
  </r>
  <r>
    <x v="0"/>
    <x v="1"/>
    <x v="0"/>
    <s v="2585200"/>
    <n v="740023"/>
    <s v="Education-Advanced Practice Clinician"/>
    <s v="Gyn Onc /WH-Tacoma-GYNONC"/>
    <x v="0"/>
    <m/>
    <n v="0"/>
    <n v="0"/>
    <n v="0"/>
    <n v="975"/>
    <n v="0"/>
    <n v="0"/>
    <n v="0"/>
    <n v="0"/>
    <n v="0"/>
    <n v="575"/>
    <n v="0"/>
    <n v="0"/>
    <n v="1550"/>
    <n v="0"/>
  </r>
  <r>
    <x v="8"/>
    <x v="1"/>
    <x v="0"/>
    <s v="2585200"/>
    <n v="741012"/>
    <s v="Physician Liab Insurance-CHI Program"/>
    <s v="Gyn Onc /WH-Tacoma-GYNONC"/>
    <x v="0"/>
    <m/>
    <n v="3599.87"/>
    <n v="3599.87"/>
    <n v="3599.87"/>
    <n v="3599.87"/>
    <n v="3599.87"/>
    <n v="3599.86"/>
    <n v="3599.87"/>
    <n v="3599.86"/>
    <n v="3599.87"/>
    <n v="3599.86"/>
    <n v="3599.87"/>
    <n v="3599.86"/>
    <n v="43198.400000000001"/>
    <n v="9.9999999997635314E-3"/>
  </r>
  <r>
    <x v="0"/>
    <x v="1"/>
    <x v="0"/>
    <s v="2585200"/>
    <n v="743022"/>
    <s v="Dues-Physician"/>
    <s v="Gyn Onc /WH-Tacoma-GYNONC"/>
    <x v="0"/>
    <m/>
    <n v="0"/>
    <n v="0"/>
    <n v="655"/>
    <n v="0"/>
    <n v="0"/>
    <n v="0"/>
    <n v="0"/>
    <n v="570"/>
    <n v="0"/>
    <n v="0"/>
    <n v="0"/>
    <n v="1070"/>
    <n v="2295"/>
    <n v="-1070"/>
  </r>
  <r>
    <x v="0"/>
    <x v="1"/>
    <x v="0"/>
    <s v="2585200"/>
    <n v="743023"/>
    <s v="Dues-Advanced Practice Clinician"/>
    <s v="Gyn Onc /WH-Tacoma-GYNONC"/>
    <x v="0"/>
    <m/>
    <n v="0"/>
    <n v="0"/>
    <n v="0"/>
    <n v="0"/>
    <n v="135"/>
    <n v="475"/>
    <n v="0"/>
    <n v="70"/>
    <n v="0"/>
    <n v="0"/>
    <n v="0"/>
    <n v="325"/>
    <n v="1005"/>
    <n v="-325"/>
  </r>
  <r>
    <x v="0"/>
    <x v="1"/>
    <x v="0"/>
    <s v="2585200"/>
    <n v="749510"/>
    <s v="Miscellaneous Expenses"/>
    <s v="Gyn Onc /WH-Tacoma-GYNONC"/>
    <x v="0"/>
    <m/>
    <n v="-152.19999999999999"/>
    <n v="184.1"/>
    <n v="-208.38"/>
    <n v="294.95999999999998"/>
    <n v="42.5"/>
    <n v="-379.08"/>
    <n v="68.5"/>
    <n v="762.94"/>
    <n v="-831.44"/>
    <n v="0"/>
    <n v="1142.04"/>
    <n v="-739.92"/>
    <n v="184.01999999999998"/>
    <n v="1881.96"/>
  </r>
  <r>
    <x v="0"/>
    <x v="1"/>
    <x v="0"/>
    <s v="2585200"/>
    <n v="749512"/>
    <s v="Licenses-Physician"/>
    <s v="Gyn Onc /WH-Tacoma-GYNONC"/>
    <x v="0"/>
    <n v="2000"/>
    <n v="0"/>
    <n v="0"/>
    <n v="0"/>
    <n v="0"/>
    <n v="0"/>
    <n v="657"/>
    <n v="0"/>
    <n v="0"/>
    <n v="731"/>
    <n v="0"/>
    <n v="0"/>
    <n v="0"/>
    <n v="1388"/>
    <n v="0"/>
  </r>
  <r>
    <x v="0"/>
    <x v="1"/>
    <x v="0"/>
    <s v="2585200"/>
    <n v="749513"/>
    <s v="Licenses-Advanced Practice Clinician"/>
    <s v="Gyn Onc /WH-Tacoma-GYNONC"/>
    <x v="0"/>
    <n v="2000"/>
    <n v="0"/>
    <n v="0"/>
    <n v="250"/>
    <n v="731"/>
    <n v="122.5"/>
    <n v="100"/>
    <n v="0"/>
    <n v="0"/>
    <n v="0"/>
    <n v="0"/>
    <n v="0"/>
    <n v="245"/>
    <n v="1448.5"/>
    <n v="-245"/>
  </r>
  <r>
    <x v="0"/>
    <x v="1"/>
    <x v="0"/>
    <s v="2585200"/>
    <n v="749530"/>
    <s v="Travel"/>
    <s v="Gyn Onc /WH-Tacoma-GYNONC"/>
    <x v="0"/>
    <m/>
    <n v="66"/>
    <n v="40"/>
    <n v="97.1"/>
    <n v="76"/>
    <n v="114"/>
    <n v="113"/>
    <n v="122"/>
    <n v="62"/>
    <n v="32"/>
    <n v="25"/>
    <n v="25"/>
    <n v="87"/>
    <n v="859.1"/>
    <n v="-62"/>
  </r>
  <r>
    <x v="0"/>
    <x v="1"/>
    <x v="0"/>
    <s v="2585200"/>
    <n v="749530"/>
    <s v="Mileage"/>
    <s v="Gyn Onc /WH-Tacoma-GYNONC"/>
    <x v="0"/>
    <n v="1001"/>
    <n v="173.91"/>
    <n v="80.7"/>
    <n v="222.44"/>
    <n v="206.63"/>
    <n v="317.85000000000002"/>
    <n v="316.2"/>
    <n v="330.07"/>
    <n v="161.24"/>
    <n v="68.44"/>
    <n v="43.5"/>
    <n v="43.5"/>
    <n v="187.34"/>
    <n v="2151.8200000000002"/>
    <n v="-143.84"/>
  </r>
  <r>
    <x v="0"/>
    <x v="1"/>
    <x v="0"/>
    <s v="2585200"/>
    <n v="749533"/>
    <s v="Travel-Advanced Practice Clinician"/>
    <s v="Gyn Onc /WH-Tacoma-GYNONC"/>
    <x v="0"/>
    <m/>
    <n v="0"/>
    <n v="0"/>
    <n v="0"/>
    <n v="1185.57"/>
    <n v="0"/>
    <n v="0"/>
    <n v="0"/>
    <n v="0"/>
    <n v="0"/>
    <n v="1191.48"/>
    <n v="0"/>
    <n v="1250"/>
    <n v="3627.05"/>
    <n v="-1250"/>
  </r>
  <r>
    <x v="0"/>
    <x v="1"/>
    <x v="0"/>
    <s v="2585200"/>
    <n v="749533"/>
    <s v="Vehicle Expense-Advanced Practice Clinician"/>
    <s v="Gyn Onc /WH-Tacoma-GYNONC"/>
    <x v="0"/>
    <n v="2001"/>
    <n v="0"/>
    <n v="0"/>
    <n v="0"/>
    <n v="146.06"/>
    <n v="0"/>
    <n v="0"/>
    <n v="0"/>
    <n v="0"/>
    <n v="0"/>
    <n v="0"/>
    <n v="0"/>
    <n v="0"/>
    <n v="146.06"/>
    <n v="0"/>
  </r>
  <r>
    <x v="0"/>
    <x v="1"/>
    <x v="0"/>
    <s v="2585200"/>
    <n v="749535"/>
    <s v="Meetings"/>
    <s v="Gyn Onc /WH-Tacoma-GYNONC"/>
    <x v="0"/>
    <m/>
    <n v="0"/>
    <n v="0"/>
    <n v="0"/>
    <n v="42.34"/>
    <n v="0"/>
    <n v="0"/>
    <n v="0"/>
    <n v="0"/>
    <n v="0"/>
    <n v="0"/>
    <n v="0"/>
    <n v="0"/>
    <n v="42.34"/>
    <n v="0"/>
  </r>
  <r>
    <x v="2"/>
    <x v="1"/>
    <x v="0"/>
    <s v="2587200"/>
    <n v="450040"/>
    <s v="Contr Allow--Phys Svcs--Mcaid"/>
    <s v="Plastic Surgery-LW-Plas Surg"/>
    <x v="0"/>
    <n v="1200"/>
    <n v="0"/>
    <n v="0"/>
    <n v="0"/>
    <n v="0"/>
    <n v="0"/>
    <n v="0"/>
    <n v="0"/>
    <n v="0"/>
    <n v="0"/>
    <n v="139.69"/>
    <n v="0"/>
    <n v="0"/>
    <n v="139.69"/>
    <n v="0"/>
  </r>
  <r>
    <x v="2"/>
    <x v="1"/>
    <x v="0"/>
    <s v="2587200"/>
    <n v="450040"/>
    <s v="Contr Allow--Phys Svcs--BCBS Mgnd Care"/>
    <s v="Plastic Surgery-LW-Plas Surg"/>
    <x v="0"/>
    <n v="1401"/>
    <n v="609.38"/>
    <n v="0.36"/>
    <n v="5.14"/>
    <n v="-5.04"/>
    <n v="-0.12"/>
    <n v="8.92"/>
    <n v="12.35"/>
    <n v="9.15"/>
    <n v="0.41"/>
    <n v="-3.64"/>
    <n v="11.36"/>
    <n v="-3.75"/>
    <n v="644.52"/>
    <n v="15.11"/>
  </r>
  <r>
    <x v="2"/>
    <x v="1"/>
    <x v="0"/>
    <s v="2587200"/>
    <n v="450040"/>
    <s v="Admin Adjust-Phys Svcs-Self Pay"/>
    <s v="Plastic Surgery-LW-Plas Surg"/>
    <x v="0"/>
    <n v="1600"/>
    <n v="0"/>
    <n v="0"/>
    <n v="0"/>
    <n v="4.4000000000000004"/>
    <n v="0"/>
    <n v="0"/>
    <n v="0"/>
    <n v="0"/>
    <n v="-4.4000000000000004"/>
    <n v="-139.69"/>
    <n v="0"/>
    <n v="0"/>
    <n v="-139.69"/>
    <n v="0"/>
  </r>
  <r>
    <x v="3"/>
    <x v="1"/>
    <x v="0"/>
    <s v="2587200"/>
    <n v="470040"/>
    <s v="Charity Care-Physician Svcs"/>
    <s v="Plastic Surgery-LW-Plas Surg"/>
    <x v="0"/>
    <m/>
    <n v="251.44"/>
    <n v="4.25"/>
    <n v="-1.6"/>
    <n v="-0.4"/>
    <n v="0.87"/>
    <n v="-2.13"/>
    <n v="-0.43"/>
    <n v="-1.25"/>
    <n v="3.05"/>
    <n v="-1.18"/>
    <n v="-2.25"/>
    <n v="3.65"/>
    <n v="254.02"/>
    <n v="-5.9"/>
  </r>
  <r>
    <x v="4"/>
    <x v="1"/>
    <x v="0"/>
    <s v="2587200"/>
    <n v="490010"/>
    <s v="Provision for Bad Debts"/>
    <s v="Plastic Surgery-LW-Plas Surg"/>
    <x v="0"/>
    <m/>
    <n v="-136.25"/>
    <n v="-5.77"/>
    <n v="-7.41"/>
    <n v="-16.5"/>
    <n v="4.17"/>
    <n v="-4.7300000000000004"/>
    <n v="-18.78"/>
    <n v="-15.65"/>
    <n v="4.1100000000000003"/>
    <n v="-1.66"/>
    <n v="-0.73"/>
    <n v="2.56"/>
    <n v="-196.64"/>
    <n v="-3.29"/>
  </r>
  <r>
    <x v="7"/>
    <x v="1"/>
    <x v="0"/>
    <s v="2587200"/>
    <n v="718050"/>
    <s v="Miscellaneous Purchased Svcs"/>
    <s v="Plastic Surgery-LW-Plas Surg"/>
    <x v="0"/>
    <n v="1020"/>
    <n v="0"/>
    <n v="0"/>
    <n v="0"/>
    <n v="0"/>
    <n v="0"/>
    <n v="0"/>
    <n v="0"/>
    <n v="5739.17"/>
    <n v="-2738.1"/>
    <n v="2343.58"/>
    <n v="-783.51"/>
    <n v="-1760.65"/>
    <n v="2800.4899999999993"/>
    <n v="977.1400000000001"/>
  </r>
  <r>
    <x v="1"/>
    <x v="1"/>
    <x v="0"/>
    <s v="2588200"/>
    <n v="400029"/>
    <s v="MD Practice Other Rev--Medicaid"/>
    <s v="Plastic Surgery-PR-Plas Surg"/>
    <x v="0"/>
    <n v="1200"/>
    <n v="-176"/>
    <n v="0"/>
    <n v="248"/>
    <n v="0"/>
    <n v="0"/>
    <n v="0"/>
    <n v="0"/>
    <n v="0"/>
    <n v="0"/>
    <n v="0"/>
    <n v="0"/>
    <n v="0"/>
    <n v="72"/>
    <n v="0"/>
  </r>
  <r>
    <x v="1"/>
    <x v="1"/>
    <x v="0"/>
    <s v="2588200"/>
    <n v="400029"/>
    <s v="MD Practice Other Rev--BCBS Comm"/>
    <s v="Plastic Surgery-PR-Plas Surg"/>
    <x v="0"/>
    <n v="1301"/>
    <n v="0"/>
    <n v="0"/>
    <n v="-176"/>
    <n v="0"/>
    <n v="0"/>
    <n v="0"/>
    <n v="0"/>
    <n v="0"/>
    <n v="0"/>
    <n v="0"/>
    <n v="-199"/>
    <n v="0"/>
    <n v="-375"/>
    <n v="-199"/>
  </r>
  <r>
    <x v="1"/>
    <x v="1"/>
    <x v="0"/>
    <s v="2588200"/>
    <n v="400029"/>
    <s v="MD Practice Other Rev--Managed Care"/>
    <s v="Plastic Surgery-PR-Plas Surg"/>
    <x v="0"/>
    <n v="1400"/>
    <n v="0"/>
    <n v="49"/>
    <n v="0"/>
    <n v="0"/>
    <n v="0"/>
    <n v="0"/>
    <n v="0"/>
    <n v="0"/>
    <n v="0"/>
    <n v="0"/>
    <n v="0"/>
    <n v="0"/>
    <n v="49"/>
    <n v="0"/>
  </r>
  <r>
    <x v="1"/>
    <x v="1"/>
    <x v="0"/>
    <s v="2588200"/>
    <n v="400040"/>
    <s v="Physician Svcs Rev--Medicare"/>
    <s v="Plastic Surgery-PR-Plas Surg"/>
    <x v="0"/>
    <n v="1100"/>
    <n v="-100560"/>
    <n v="-87891.5"/>
    <n v="-55095"/>
    <n v="-65296.5"/>
    <n v="-68077"/>
    <n v="-54969"/>
    <n v="-87291"/>
    <n v="-14817"/>
    <n v="-53978.5"/>
    <n v="-81384"/>
    <n v="-90077"/>
    <n v="-65200.5"/>
    <n v="-824637"/>
    <n v="-24876.5"/>
  </r>
  <r>
    <x v="1"/>
    <x v="1"/>
    <x v="0"/>
    <s v="2588200"/>
    <n v="400040"/>
    <s v="Physician Svcs Rev--Medicaid"/>
    <s v="Plastic Surgery-PR-Plas Surg"/>
    <x v="0"/>
    <n v="1200"/>
    <n v="-64508"/>
    <n v="-40729"/>
    <n v="-63135"/>
    <n v="-32949"/>
    <n v="-58563"/>
    <n v="-97483"/>
    <n v="-87872"/>
    <n v="-34533.5"/>
    <n v="-49668.5"/>
    <n v="-71233.5"/>
    <n v="-119736.5"/>
    <n v="-54601"/>
    <n v="-775012"/>
    <n v="-65135.5"/>
  </r>
  <r>
    <x v="1"/>
    <x v="1"/>
    <x v="0"/>
    <s v="2588200"/>
    <n v="400040"/>
    <s v="Physician Svcs Rev--Comm Insurance"/>
    <s v="Plastic Surgery-PR-Plas Surg"/>
    <x v="0"/>
    <n v="1300"/>
    <n v="-1196"/>
    <n v="924"/>
    <n v="-22745.5"/>
    <n v="-9904"/>
    <n v="-19893"/>
    <n v="-40901"/>
    <n v="-991"/>
    <n v="-31682.5"/>
    <n v="-57577"/>
    <n v="-38147.5"/>
    <n v="-20325"/>
    <n v="-49237"/>
    <n v="-291675.5"/>
    <n v="28912"/>
  </r>
  <r>
    <x v="1"/>
    <x v="1"/>
    <x v="0"/>
    <s v="2588200"/>
    <n v="400040"/>
    <s v="Physician Svcs Rev--BCBS Comm"/>
    <s v="Plastic Surgery-PR-Plas Surg"/>
    <x v="0"/>
    <n v="1301"/>
    <n v="-9163"/>
    <n v="-110501"/>
    <n v="-39266"/>
    <n v="-76043"/>
    <n v="-67354.55"/>
    <n v="-28164"/>
    <n v="-41013"/>
    <n v="-52999"/>
    <n v="-33745"/>
    <n v="-69099"/>
    <n v="-56254"/>
    <n v="-60394"/>
    <n v="-643995.55000000005"/>
    <n v="4140"/>
  </r>
  <r>
    <x v="1"/>
    <x v="1"/>
    <x v="0"/>
    <s v="2588200"/>
    <n v="400040"/>
    <s v="Physician Svcs Rev--Managed Care"/>
    <s v="Plastic Surgery-PR-Plas Surg"/>
    <x v="0"/>
    <n v="1400"/>
    <n v="-134391"/>
    <n v="-196101.5"/>
    <n v="-173606"/>
    <n v="-300199.5"/>
    <n v="-231730.7"/>
    <n v="-136828"/>
    <n v="-157556.5"/>
    <n v="-220509"/>
    <n v="-221359"/>
    <n v="-146152.5"/>
    <n v="-183013"/>
    <n v="-122234"/>
    <n v="-2223680.7000000002"/>
    <n v="-60779"/>
  </r>
  <r>
    <x v="1"/>
    <x v="1"/>
    <x v="0"/>
    <s v="2588200"/>
    <n v="400040"/>
    <s v="Physician Svcs Rev--Self Pay"/>
    <s v="Plastic Surgery-PR-Plas Surg"/>
    <x v="0"/>
    <n v="1500"/>
    <n v="-14605"/>
    <n v="-31341"/>
    <n v="1362"/>
    <n v="-3007"/>
    <n v="-20800"/>
    <n v="1676"/>
    <n v="-27585"/>
    <n v="-17608"/>
    <n v="-50"/>
    <n v="-58018.5"/>
    <n v="-35290.5"/>
    <n v="-16204"/>
    <n v="-221471"/>
    <n v="-19086.5"/>
  </r>
  <r>
    <x v="1"/>
    <x v="1"/>
    <x v="0"/>
    <s v="2588200"/>
    <n v="400040"/>
    <s v="Physician Svcs Rev--Other"/>
    <s v="Plastic Surgery-PR-Plas Surg"/>
    <x v="0"/>
    <n v="1700"/>
    <n v="-20494"/>
    <n v="-2533"/>
    <n v="-18883"/>
    <n v="-9222"/>
    <n v="-25740"/>
    <n v="0"/>
    <n v="-14482"/>
    <n v="-11305"/>
    <n v="-5407"/>
    <n v="-9493.5"/>
    <n v="-14109.5"/>
    <n v="-2802"/>
    <n v="-134471"/>
    <n v="-11307.5"/>
  </r>
  <r>
    <x v="2"/>
    <x v="1"/>
    <x v="0"/>
    <s v="2588200"/>
    <n v="450029"/>
    <s v="Contr Allow--MD Other BCBS Comm"/>
    <s v="Plastic Surgery-PR-Plas Surg"/>
    <x v="0"/>
    <n v="1301"/>
    <n v="0"/>
    <n v="0"/>
    <n v="0"/>
    <n v="0"/>
    <n v="176"/>
    <n v="0"/>
    <n v="0"/>
    <n v="0"/>
    <n v="0"/>
    <n v="0"/>
    <n v="0"/>
    <n v="0"/>
    <n v="176"/>
    <n v="0"/>
  </r>
  <r>
    <x v="2"/>
    <x v="1"/>
    <x v="0"/>
    <s v="2588200"/>
    <n v="450029"/>
    <s v="Admin Adjust-MD Other-Self Pay"/>
    <s v="Plastic Surgery-PR-Plas Surg"/>
    <x v="0"/>
    <n v="1600"/>
    <n v="0"/>
    <n v="0"/>
    <n v="0.37"/>
    <n v="0"/>
    <n v="0"/>
    <n v="0"/>
    <n v="0"/>
    <n v="0"/>
    <n v="0"/>
    <n v="0"/>
    <n v="0"/>
    <n v="0"/>
    <n v="0.37"/>
    <n v="0"/>
  </r>
  <r>
    <x v="2"/>
    <x v="1"/>
    <x v="0"/>
    <s v="2588200"/>
    <n v="450040"/>
    <s v="Contr Allow--Phys Svcs--Mcare"/>
    <s v="Plastic Surgery-PR-Plas Surg"/>
    <x v="0"/>
    <n v="1100"/>
    <n v="67774.2"/>
    <n v="113468.89"/>
    <n v="33536.46"/>
    <n v="44613.62"/>
    <n v="70103.63"/>
    <n v="56350.39"/>
    <n v="47046.73"/>
    <n v="27448.99"/>
    <n v="28537.3"/>
    <n v="5992.73"/>
    <n v="57439.86"/>
    <n v="71016.800000000003"/>
    <n v="623329.6"/>
    <n v="-13576.940000000002"/>
  </r>
  <r>
    <x v="2"/>
    <x v="1"/>
    <x v="0"/>
    <s v="2588200"/>
    <n v="450040"/>
    <s v="Contr Allow--Phys Svcs--Mcaid"/>
    <s v="Plastic Surgery-PR-Plas Surg"/>
    <x v="0"/>
    <n v="1200"/>
    <n v="109900.69"/>
    <n v="31246.79"/>
    <n v="28531"/>
    <n v="38001.919999999998"/>
    <n v="46472.07"/>
    <n v="82643.89"/>
    <n v="59061.17"/>
    <n v="31978.83"/>
    <n v="51735.59"/>
    <n v="35200.089999999997"/>
    <n v="63673.37"/>
    <n v="91892.38"/>
    <n v="670337.79"/>
    <n v="-28219.010000000002"/>
  </r>
  <r>
    <x v="2"/>
    <x v="1"/>
    <x v="0"/>
    <s v="2588200"/>
    <n v="450040"/>
    <s v="Contr Allow--Phys Svcs--Comm Insurance"/>
    <s v="Plastic Surgery-PR-Plas Surg"/>
    <x v="0"/>
    <n v="1300"/>
    <n v="-5279.23"/>
    <n v="12988.84"/>
    <n v="0"/>
    <n v="474.19"/>
    <n v="7164.32"/>
    <n v="14181.22"/>
    <n v="17421.599999999999"/>
    <n v="8595.58"/>
    <n v="17004.810000000001"/>
    <n v="28746.799999999999"/>
    <n v="32671.16"/>
    <n v="19754.419999999998"/>
    <n v="153723.71000000002"/>
    <n v="12916.740000000002"/>
  </r>
  <r>
    <x v="2"/>
    <x v="1"/>
    <x v="0"/>
    <s v="2588200"/>
    <n v="450040"/>
    <s v="Contr Allow--Phys Svcs--BCBS Comm Ins"/>
    <s v="Plastic Surgery-PR-Plas Surg"/>
    <x v="0"/>
    <n v="1301"/>
    <n v="18429.509999999998"/>
    <n v="43486.97"/>
    <n v="39255.32"/>
    <n v="9025.68"/>
    <n v="43028.11"/>
    <n v="63634.66"/>
    <n v="12639.55"/>
    <n v="13786.08"/>
    <n v="60515.46"/>
    <n v="11229.13"/>
    <n v="24509.66"/>
    <n v="36666.89"/>
    <n v="376207.01999999996"/>
    <n v="-12157.23"/>
  </r>
  <r>
    <x v="2"/>
    <x v="1"/>
    <x v="0"/>
    <s v="2588200"/>
    <n v="450040"/>
    <s v="Contr Allow--Phys Svcs--Managed Care"/>
    <s v="Plastic Surgery-PR-Plas Surg"/>
    <x v="0"/>
    <n v="1400"/>
    <n v="138092.88"/>
    <n v="141640.25"/>
    <n v="79667.44"/>
    <n v="110364.14"/>
    <n v="136088.97"/>
    <n v="184056.37"/>
    <n v="154232.68"/>
    <n v="86792.67"/>
    <n v="148597.64000000001"/>
    <n v="121355.04"/>
    <n v="92617.58"/>
    <n v="130948"/>
    <n v="1524453.6600000001"/>
    <n v="-38330.42"/>
  </r>
  <r>
    <x v="2"/>
    <x v="1"/>
    <x v="0"/>
    <s v="2588200"/>
    <n v="450040"/>
    <s v="Contr Allow--Phys Svcs--BCBS Mgnd Care"/>
    <s v="Plastic Surgery-PR-Plas Surg"/>
    <x v="0"/>
    <n v="1401"/>
    <n v="-112865.23"/>
    <n v="-142641.35999999999"/>
    <n v="7969.71"/>
    <n v="62204.160000000003"/>
    <n v="108.54"/>
    <n v="-82094.080000000002"/>
    <n v="-15045.26"/>
    <n v="52794.73"/>
    <n v="-18171.88"/>
    <n v="31239.14"/>
    <n v="68073.36"/>
    <n v="-109824.12"/>
    <n v="-258252.28999999998"/>
    <n v="177897.47999999998"/>
  </r>
  <r>
    <x v="2"/>
    <x v="1"/>
    <x v="0"/>
    <s v="2588200"/>
    <n v="450040"/>
    <s v="Prompt Pay Disc-Phys Svcs-Self Pay"/>
    <s v="Plastic Surgery-PR-Plas Surg"/>
    <x v="0"/>
    <n v="1500"/>
    <n v="0"/>
    <n v="283.45"/>
    <n v="0"/>
    <n v="0"/>
    <n v="0"/>
    <n v="-283.45"/>
    <n v="0"/>
    <n v="0"/>
    <n v="0"/>
    <n v="0"/>
    <n v="0"/>
    <n v="0"/>
    <n v="0"/>
    <n v="0"/>
  </r>
  <r>
    <x v="2"/>
    <x v="1"/>
    <x v="0"/>
    <s v="2588200"/>
    <n v="450040"/>
    <s v="Admin Adjust-Phys Svcs-Self Pay"/>
    <s v="Plastic Surgery-PR-Plas Surg"/>
    <x v="0"/>
    <n v="1600"/>
    <n v="2714.22"/>
    <n v="190928.76"/>
    <n v="54161.73"/>
    <n v="4802.33"/>
    <n v="9232.85"/>
    <n v="-586.39"/>
    <n v="17059.48"/>
    <n v="15380.83"/>
    <n v="-8113.81"/>
    <n v="64665.29"/>
    <n v="12762.77"/>
    <n v="8799.14"/>
    <n v="371807.2"/>
    <n v="3963.630000000001"/>
  </r>
  <r>
    <x v="2"/>
    <x v="1"/>
    <x v="0"/>
    <s v="2588200"/>
    <n v="450040"/>
    <s v="Contr Allow--Phys Svcs--Other"/>
    <s v="Plastic Surgery-PR-Plas Surg"/>
    <x v="0"/>
    <n v="1700"/>
    <n v="21216.53"/>
    <n v="8831.52"/>
    <n v="695.71"/>
    <n v="19474.669999999998"/>
    <n v="4523.92"/>
    <n v="4543.78"/>
    <n v="6492.96"/>
    <n v="8249.2900000000009"/>
    <n v="16867.68"/>
    <n v="10318.19"/>
    <n v="8444.49"/>
    <n v="3563.28"/>
    <n v="113222.02"/>
    <n v="4881.2099999999991"/>
  </r>
  <r>
    <x v="3"/>
    <x v="1"/>
    <x v="0"/>
    <s v="2588200"/>
    <n v="470040"/>
    <s v="Charity Care-Physician Svcs"/>
    <s v="Plastic Surgery-PR-Plas Surg"/>
    <x v="0"/>
    <m/>
    <n v="1791.99"/>
    <n v="553.96"/>
    <n v="473.07"/>
    <n v="2119.61"/>
    <n v="1710.25"/>
    <n v="-497.46"/>
    <n v="-810.56"/>
    <n v="681.21"/>
    <n v="2299.15"/>
    <n v="968.69"/>
    <n v="758.94"/>
    <n v="1879.07"/>
    <n v="11927.920000000002"/>
    <n v="-1120.1299999999999"/>
  </r>
  <r>
    <x v="4"/>
    <x v="1"/>
    <x v="0"/>
    <s v="2588200"/>
    <n v="490010"/>
    <s v="Provision for Bad Debts"/>
    <s v="Plastic Surgery-PR-Plas Surg"/>
    <x v="0"/>
    <m/>
    <n v="5030.28"/>
    <n v="-24806.73"/>
    <n v="-9197.0300000000007"/>
    <n v="3684.43"/>
    <n v="15026.28"/>
    <n v="-14203.43"/>
    <n v="-10378.209999999999"/>
    <n v="2672.5"/>
    <n v="7557.33"/>
    <n v="6963.11"/>
    <n v="5658.2"/>
    <n v="2992.29"/>
    <n v="-9000.98"/>
    <n v="2665.91"/>
  </r>
  <r>
    <x v="14"/>
    <x v="1"/>
    <x v="0"/>
    <s v="2588200"/>
    <n v="600050"/>
    <s v="Miscellaneous Revenue"/>
    <s v="Plastic Surgery-PR-Plas Surg"/>
    <x v="0"/>
    <m/>
    <n v="0"/>
    <n v="0"/>
    <n v="-768"/>
    <n v="0"/>
    <n v="0"/>
    <n v="0"/>
    <n v="0"/>
    <n v="0"/>
    <n v="0"/>
    <n v="0"/>
    <n v="0"/>
    <n v="0"/>
    <n v="-768"/>
    <n v="0"/>
  </r>
  <r>
    <x v="5"/>
    <x v="1"/>
    <x v="0"/>
    <s v="2588200"/>
    <n v="700022"/>
    <s v="Salaries-Physician-Productive"/>
    <s v="Plastic Surgery-PR-Plas Surg"/>
    <x v="0"/>
    <m/>
    <n v="84589.29"/>
    <n v="105849.34"/>
    <n v="77354.679999999993"/>
    <n v="104031.89"/>
    <n v="93981.1"/>
    <n v="61434.12"/>
    <n v="96377.25"/>
    <n v="82028.23"/>
    <n v="80698.36"/>
    <n v="105784.29"/>
    <n v="106206.94"/>
    <n v="87923.32"/>
    <n v="1086258.81"/>
    <n v="18283.619999999995"/>
  </r>
  <r>
    <x v="5"/>
    <x v="1"/>
    <x v="0"/>
    <s v="2588200"/>
    <n v="700024"/>
    <s v="Salaries-Advanced Practice Clinician-Productive"/>
    <s v="Plastic Surgery-PR-Plas Surg"/>
    <x v="0"/>
    <m/>
    <n v="10395.16"/>
    <n v="10327.52"/>
    <n v="20788.150000000001"/>
    <n v="19533.54"/>
    <n v="16903.45"/>
    <n v="5366.26"/>
    <n v="9533.5300000000007"/>
    <n v="8473.98"/>
    <n v="8897.68"/>
    <n v="5719.93"/>
    <n v="13175.73"/>
    <n v="2084.33"/>
    <n v="131199.25999999998"/>
    <n v="11091.4"/>
  </r>
  <r>
    <x v="5"/>
    <x v="1"/>
    <x v="0"/>
    <s v="2588200"/>
    <n v="700026"/>
    <s v="Salaries-RN-Productive"/>
    <s v="Plastic Surgery-PR-Plas Surg"/>
    <x v="0"/>
    <m/>
    <n v="9402.64"/>
    <n v="10917.2"/>
    <n v="4126.33"/>
    <n v="9135.49"/>
    <n v="5725.58"/>
    <n v="3066.03"/>
    <n v="6005.21"/>
    <n v="4778.66"/>
    <n v="3861.6"/>
    <n v="5105.17"/>
    <n v="4589.18"/>
    <n v="5270.4"/>
    <n v="71983.489999999991"/>
    <n v="-681.21999999999935"/>
  </r>
  <r>
    <x v="5"/>
    <x v="1"/>
    <x v="0"/>
    <s v="2588200"/>
    <n v="700030"/>
    <s v="Salaries-LPN-Productive"/>
    <s v="Plastic Surgery-PR-Plas Surg"/>
    <x v="0"/>
    <m/>
    <n v="0"/>
    <n v="0"/>
    <n v="0"/>
    <n v="0"/>
    <n v="6796.8"/>
    <n v="3879.84"/>
    <n v="4706.8599999999997"/>
    <n v="4167.72"/>
    <n v="4810.12"/>
    <n v="4303.1499999999996"/>
    <n v="5020.71"/>
    <n v="3828.8"/>
    <n v="37514"/>
    <n v="1191.9099999999999"/>
  </r>
  <r>
    <x v="5"/>
    <x v="1"/>
    <x v="0"/>
    <s v="2588200"/>
    <n v="700030"/>
    <s v="Salaries-LPN-OT"/>
    <s v="Plastic Surgery-PR-Plas Surg"/>
    <x v="0"/>
    <n v="1000"/>
    <n v="0"/>
    <n v="0"/>
    <n v="0"/>
    <n v="0"/>
    <n v="541.62"/>
    <n v="-53.1"/>
    <n v="42.54"/>
    <n v="0"/>
    <n v="425.42"/>
    <n v="54.24"/>
    <n v="190.38"/>
    <n v="0"/>
    <n v="1201.0999999999999"/>
    <n v="190.38"/>
  </r>
  <r>
    <x v="5"/>
    <x v="1"/>
    <x v="0"/>
    <s v="2588200"/>
    <n v="700032"/>
    <s v="Salaries-Other Pat Care Providers-Productive"/>
    <s v="Plastic Surgery-PR-Plas Surg"/>
    <x v="0"/>
    <m/>
    <n v="3048.97"/>
    <n v="3807.89"/>
    <n v="3147.92"/>
    <n v="4002.32"/>
    <n v="3852.7"/>
    <n v="2325.38"/>
    <n v="3835.1"/>
    <n v="1942.85"/>
    <n v="2850.42"/>
    <n v="3566.6"/>
    <n v="2046.64"/>
    <n v="3922.2"/>
    <n v="38348.989999999991"/>
    <n v="-1875.5599999999997"/>
  </r>
  <r>
    <x v="5"/>
    <x v="1"/>
    <x v="0"/>
    <s v="2588200"/>
    <n v="700032"/>
    <s v="Salaries-Other Pat Care Providers-OT"/>
    <s v="Plastic Surgery-PR-Plas Surg"/>
    <x v="0"/>
    <n v="1000"/>
    <n v="0"/>
    <n v="0"/>
    <n v="0"/>
    <n v="0"/>
    <n v="17.079999999999998"/>
    <n v="-8.5399999999999991"/>
    <n v="34.21"/>
    <n v="0"/>
    <n v="0"/>
    <n v="14.54"/>
    <n v="-5.98"/>
    <n v="230.89"/>
    <n v="282.2"/>
    <n v="-236.86999999999998"/>
  </r>
  <r>
    <x v="5"/>
    <x v="1"/>
    <x v="0"/>
    <s v="2588200"/>
    <n v="700054"/>
    <s v="Salaries-Management-NonProd-Other"/>
    <s v="Plastic Surgery-PR-Plas Surg"/>
    <x v="0"/>
    <n v="2000"/>
    <n v="0"/>
    <n v="0"/>
    <n v="0"/>
    <n v="0"/>
    <n v="0"/>
    <n v="688.39"/>
    <n v="-688.39"/>
    <n v="0"/>
    <n v="0"/>
    <n v="0"/>
    <n v="0"/>
    <n v="0"/>
    <n v="0"/>
    <n v="0"/>
  </r>
  <r>
    <x v="5"/>
    <x v="1"/>
    <x v="0"/>
    <s v="2588200"/>
    <n v="700062"/>
    <s v="Salaries-Physician-Non-productive"/>
    <s v="Plastic Surgery-PR-Plas Surg"/>
    <x v="0"/>
    <m/>
    <n v="3460.56"/>
    <n v="0"/>
    <n v="13107.84"/>
    <n v="0"/>
    <n v="4369.28"/>
    <n v="32335.200000000001"/>
    <n v="6479.69"/>
    <n v="10691.2"/>
    <n v="17459.509999999998"/>
    <n v="-3048.57"/>
    <n v="1401.81"/>
    <n v="5855.83"/>
    <n v="92112.349999999991"/>
    <n v="-4454.0200000000004"/>
  </r>
  <r>
    <x v="5"/>
    <x v="1"/>
    <x v="0"/>
    <s v="2588200"/>
    <n v="700062"/>
    <s v="Salaries-Physician-NonProd-Other"/>
    <s v="Plastic Surgery-PR-Plas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8200"/>
    <n v="700064"/>
    <s v="Salaries-Advanced Practice Clinician-Non-Productive"/>
    <s v="Plastic Surgery-PR-Plas Surg"/>
    <x v="0"/>
    <m/>
    <n v="452.4"/>
    <n v="1531.68"/>
    <n v="664.45"/>
    <n v="2638.37"/>
    <n v="4135.8"/>
    <n v="4210.24"/>
    <n v="900.87"/>
    <n v="679.65"/>
    <n v="682.32"/>
    <n v="4278.82"/>
    <n v="-806.99"/>
    <n v="9008.5499999999993"/>
    <n v="28376.159999999996"/>
    <n v="-9815.5399999999991"/>
  </r>
  <r>
    <x v="5"/>
    <x v="1"/>
    <x v="0"/>
    <s v="2588200"/>
    <n v="700066"/>
    <s v="Salaries-RN-Non-productive"/>
    <s v="Plastic Surgery-PR-Plas Surg"/>
    <x v="0"/>
    <m/>
    <n v="2247.7600000000002"/>
    <n v="1251.8699999999999"/>
    <n v="6942.49"/>
    <n v="-1667.38"/>
    <n v="42.27"/>
    <n v="1352.4"/>
    <n v="314.51"/>
    <n v="-16.12"/>
    <n v="1854.23"/>
    <n v="483.71"/>
    <n v="151.16999999999999"/>
    <n v="423.28"/>
    <n v="13380.189999999997"/>
    <n v="-272.11"/>
  </r>
  <r>
    <x v="5"/>
    <x v="1"/>
    <x v="0"/>
    <s v="2588200"/>
    <n v="700066"/>
    <s v="Salaries-RN-NonProd-Other"/>
    <s v="Plastic Surgery-PR-Plas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8200"/>
    <n v="700070"/>
    <s v="Salaries-LPN-Non-productive"/>
    <s v="Plastic Surgery-PR-Plas Surg"/>
    <x v="0"/>
    <m/>
    <n v="0"/>
    <n v="0"/>
    <n v="0"/>
    <n v="0"/>
    <n v="0"/>
    <n v="920.4"/>
    <n v="611.26"/>
    <n v="114.86"/>
    <n v="-45.37"/>
    <n v="680.68"/>
    <n v="212.7"/>
    <n v="595.6"/>
    <n v="3090.1299999999997"/>
    <n v="-382.90000000000003"/>
  </r>
  <r>
    <x v="5"/>
    <x v="1"/>
    <x v="0"/>
    <s v="2588200"/>
    <n v="700070"/>
    <s v="Salaries-LPN-NonProd-Other"/>
    <s v="Plastic Surgery-PR-Plas Surg"/>
    <x v="0"/>
    <n v="2000"/>
    <n v="0"/>
    <n v="0"/>
    <n v="0"/>
    <n v="0"/>
    <n v="460.03"/>
    <n v="0"/>
    <n v="0"/>
    <n v="-460.03"/>
    <n v="0"/>
    <n v="0"/>
    <n v="0"/>
    <n v="0"/>
    <n v="0"/>
    <n v="0"/>
  </r>
  <r>
    <x v="5"/>
    <x v="1"/>
    <x v="0"/>
    <s v="2588200"/>
    <n v="700072"/>
    <s v="Salaries-Other Pat Care Providers-Non-productive"/>
    <s v="Plastic Surgery-PR-Plas Surg"/>
    <x v="0"/>
    <m/>
    <n v="903.18"/>
    <n v="260.35000000000002"/>
    <n v="389.71"/>
    <n v="160.97"/>
    <n v="143.44999999999999"/>
    <n v="1505.67"/>
    <n v="360.98"/>
    <n v="972.57"/>
    <n v="242.89"/>
    <n v="39.9"/>
    <n v="1470.83"/>
    <n v="-285.07"/>
    <n v="6165.43"/>
    <n v="1755.8999999999999"/>
  </r>
  <r>
    <x v="5"/>
    <x v="1"/>
    <x v="0"/>
    <s v="2588200"/>
    <n v="700072"/>
    <s v="Salaries-Other Pat Care Providers-NonProd-Other"/>
    <s v="Plastic Surgery-PR-Plas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88200"/>
    <n v="700084"/>
    <s v="Accrued PTO"/>
    <s v="Plastic Surgery-PR-Plas Surg"/>
    <x v="0"/>
    <m/>
    <n v="-1189.26"/>
    <n v="420.84"/>
    <n v="-4085.39"/>
    <n v="937.9"/>
    <n v="1356.35"/>
    <n v="-1413.13"/>
    <n v="215.6"/>
    <n v="516.20000000000005"/>
    <n v="-183.4"/>
    <n v="-30.06"/>
    <n v="383.02"/>
    <n v="856.55"/>
    <n v="-2214.7799999999997"/>
    <n v="-473.53"/>
  </r>
  <r>
    <x v="10"/>
    <x v="1"/>
    <x v="0"/>
    <s v="2588200"/>
    <n v="710040"/>
    <s v="Contract Labor-Physician (Locum Tenum)"/>
    <s v="Plastic Surgery-PR-Plas Surg"/>
    <x v="0"/>
    <m/>
    <n v="0"/>
    <n v="0"/>
    <n v="0"/>
    <n v="0"/>
    <n v="0"/>
    <n v="0"/>
    <n v="0"/>
    <n v="0"/>
    <n v="0"/>
    <n v="0"/>
    <n v="0"/>
    <n v="37032.879999999997"/>
    <n v="37032.879999999997"/>
    <n v="-37032.879999999997"/>
  </r>
  <r>
    <x v="6"/>
    <x v="1"/>
    <x v="0"/>
    <s v="2588200"/>
    <n v="713010"/>
    <s v="Benefits-FICA/Medicare"/>
    <s v="Plastic Surgery-PR-Plas Surg"/>
    <x v="0"/>
    <m/>
    <n v="4015.68"/>
    <n v="3605.48"/>
    <n v="3964.23"/>
    <n v="4065.55"/>
    <n v="4376.28"/>
    <n v="5993.08"/>
    <n v="9678.86"/>
    <n v="1732.66"/>
    <n v="3066.99"/>
    <n v="3176.6"/>
    <n v="3379.08"/>
    <n v="3147.83"/>
    <n v="50202.32"/>
    <n v="231.25"/>
  </r>
  <r>
    <x v="6"/>
    <x v="1"/>
    <x v="0"/>
    <s v="2588200"/>
    <n v="713090"/>
    <s v="Benefits-Allocated Amounts"/>
    <s v="Plastic Surgery-PR-Plas Surg"/>
    <x v="0"/>
    <m/>
    <n v="0"/>
    <n v="0"/>
    <n v="0"/>
    <n v="0"/>
    <n v="0"/>
    <n v="0"/>
    <n v="0"/>
    <n v="0"/>
    <n v="46599.31"/>
    <n v="5333.5"/>
    <n v="5159.74"/>
    <n v="5389.57"/>
    <n v="62482.119999999995"/>
    <n v="-229.82999999999993"/>
  </r>
  <r>
    <x v="6"/>
    <x v="1"/>
    <x v="0"/>
    <s v="2588200"/>
    <n v="713092"/>
    <s v="Allocated Benefits-Physician"/>
    <s v="Plastic Surgery-PR-Plas Surg"/>
    <x v="0"/>
    <m/>
    <n v="5633.37"/>
    <n v="5512.08"/>
    <n v="6153.89"/>
    <n v="6011.33"/>
    <n v="6498.29"/>
    <n v="5855.84"/>
    <n v="7167.41"/>
    <n v="6497.92"/>
    <n v="-32200.75"/>
    <n v="1960.52"/>
    <n v="1896.67"/>
    <n v="1981.14"/>
    <n v="22967.710000000006"/>
    <n v="-84.470000000000027"/>
  </r>
  <r>
    <x v="6"/>
    <x v="1"/>
    <x v="0"/>
    <s v="2588200"/>
    <n v="713093"/>
    <s v="Allocated Benefits-Advanced Practice Clinician"/>
    <s v="Plastic Surgery-PR-Plas Surg"/>
    <x v="0"/>
    <m/>
    <n v="3327.4"/>
    <n v="3255.76"/>
    <n v="3634.86"/>
    <n v="3550.65"/>
    <n v="3838.27"/>
    <n v="3458.8"/>
    <n v="4233.5"/>
    <n v="3838.06"/>
    <n v="-2784.41"/>
    <n v="3016.19"/>
    <n v="2917.95"/>
    <n v="3047.91"/>
    <n v="35334.94"/>
    <n v="-129.96000000000004"/>
  </r>
  <r>
    <x v="7"/>
    <x v="1"/>
    <x v="0"/>
    <s v="2588200"/>
    <n v="718040"/>
    <s v="Contract Svcs-Laboratory"/>
    <s v="Plastic Surgery-PR-Plas Surg"/>
    <x v="0"/>
    <m/>
    <n v="0"/>
    <n v="0"/>
    <n v="0"/>
    <n v="0"/>
    <n v="0"/>
    <n v="0"/>
    <n v="43"/>
    <n v="0"/>
    <n v="0"/>
    <n v="0"/>
    <n v="43"/>
    <n v="0"/>
    <n v="86"/>
    <n v="43"/>
  </r>
  <r>
    <x v="7"/>
    <x v="1"/>
    <x v="0"/>
    <s v="2588200"/>
    <n v="718050"/>
    <s v="Contract Management--Linen"/>
    <s v="Plastic Surgery-PR-Plas Surg"/>
    <x v="0"/>
    <n v="1026"/>
    <n v="0"/>
    <n v="0"/>
    <n v="0"/>
    <n v="0"/>
    <n v="0"/>
    <n v="131.36000000000001"/>
    <n v="216.1"/>
    <n v="0"/>
    <n v="0"/>
    <n v="142.01"/>
    <n v="380.26"/>
    <n v="276.31"/>
    <n v="1146.04"/>
    <n v="103.94999999999999"/>
  </r>
  <r>
    <x v="7"/>
    <x v="1"/>
    <x v="0"/>
    <s v="2588200"/>
    <n v="718050"/>
    <s v="Purchased Srvcs--Medical Waste"/>
    <s v="Plastic Surgery-PR-Plas Surg"/>
    <x v="0"/>
    <n v="1027"/>
    <n v="0"/>
    <n v="0"/>
    <n v="0"/>
    <n v="0"/>
    <n v="0"/>
    <n v="239.12"/>
    <n v="158.13"/>
    <n v="0"/>
    <n v="0"/>
    <n v="141.78"/>
    <n v="0"/>
    <n v="270.33"/>
    <n v="809.3599999999999"/>
    <n v="-270.33"/>
  </r>
  <r>
    <x v="11"/>
    <x v="1"/>
    <x v="0"/>
    <s v="2588200"/>
    <n v="721150"/>
    <s v="Supplies-Other Implants - Billable"/>
    <s v="Plastic Surgery-PR-Plas Surg"/>
    <x v="0"/>
    <m/>
    <n v="0"/>
    <n v="0"/>
    <n v="0"/>
    <n v="0"/>
    <n v="0"/>
    <n v="0"/>
    <n v="0"/>
    <n v="0"/>
    <n v="0"/>
    <n v="-5530"/>
    <n v="0"/>
    <n v="12357.2"/>
    <n v="6827.2000000000007"/>
    <n v="-12357.2"/>
  </r>
  <r>
    <x v="11"/>
    <x v="1"/>
    <x v="0"/>
    <s v="2588200"/>
    <n v="721410"/>
    <s v="Supplies-Medical - Nonbillable"/>
    <s v="Plastic Surgery-PR-Plas Surg"/>
    <x v="0"/>
    <m/>
    <n v="0"/>
    <n v="0"/>
    <n v="0"/>
    <n v="0"/>
    <n v="0"/>
    <n v="1598.15"/>
    <n v="236.45"/>
    <n v="0"/>
    <n v="1064.07"/>
    <n v="237.97"/>
    <n v="117.95"/>
    <n v="532.79"/>
    <n v="3787.3799999999997"/>
    <n v="-414.84"/>
  </r>
  <r>
    <x v="11"/>
    <x v="1"/>
    <x v="0"/>
    <s v="2588200"/>
    <n v="721870"/>
    <s v="Supplies-Environmental Services"/>
    <s v="Plastic Surgery-PR-Plas Surg"/>
    <x v="0"/>
    <m/>
    <n v="0"/>
    <n v="0"/>
    <n v="0"/>
    <n v="0"/>
    <n v="0"/>
    <n v="0"/>
    <n v="0"/>
    <n v="0"/>
    <n v="0"/>
    <n v="259.11"/>
    <n v="0"/>
    <n v="0"/>
    <n v="259.11"/>
    <n v="0"/>
  </r>
  <r>
    <x v="11"/>
    <x v="1"/>
    <x v="0"/>
    <s v="2588200"/>
    <n v="722000"/>
    <s v="Supplies-Freight Expense"/>
    <s v="Plastic Surgery-PR-Plas Surg"/>
    <x v="0"/>
    <m/>
    <n v="0"/>
    <n v="0"/>
    <n v="0"/>
    <n v="0"/>
    <n v="0"/>
    <n v="0"/>
    <n v="0"/>
    <n v="0"/>
    <n v="0"/>
    <n v="17.36"/>
    <n v="0"/>
    <n v="0"/>
    <n v="17.36"/>
    <n v="0"/>
  </r>
  <r>
    <x v="8"/>
    <x v="1"/>
    <x v="0"/>
    <s v="2588200"/>
    <n v="741012"/>
    <s v="Physician Liab Insurance-CHI Program"/>
    <s v="Plastic Surgery-PR-Plas Surg"/>
    <x v="0"/>
    <m/>
    <n v="1950.74"/>
    <n v="1894.67"/>
    <n v="1894.67"/>
    <n v="1894.67"/>
    <n v="1894.67"/>
    <n v="1894.66"/>
    <n v="1894.67"/>
    <n v="1894.66"/>
    <n v="3856.82"/>
    <n v="1894.66"/>
    <n v="1894.67"/>
    <n v="1894.66"/>
    <n v="24754.219999999998"/>
    <n v="9.9999999999909051E-3"/>
  </r>
  <r>
    <x v="0"/>
    <x v="1"/>
    <x v="0"/>
    <s v="2588200"/>
    <n v="743020"/>
    <s v="Dues--Individual"/>
    <s v="Plastic Surgery-PR-Plas Surg"/>
    <x v="0"/>
    <m/>
    <n v="0"/>
    <n v="0"/>
    <n v="0"/>
    <n v="0"/>
    <n v="0"/>
    <n v="0"/>
    <n v="0"/>
    <n v="-1299"/>
    <n v="0"/>
    <n v="0"/>
    <n v="0"/>
    <n v="0"/>
    <n v="-1299"/>
    <n v="0"/>
  </r>
  <r>
    <x v="0"/>
    <x v="1"/>
    <x v="0"/>
    <s v="2588200"/>
    <n v="743020"/>
    <s v="Provider-Dues"/>
    <s v="Plastic Surgery-PR-Plas Surg"/>
    <x v="0"/>
    <n v="2200"/>
    <n v="0"/>
    <n v="0"/>
    <n v="0"/>
    <n v="0"/>
    <n v="0"/>
    <n v="1299"/>
    <n v="0"/>
    <n v="0"/>
    <n v="0"/>
    <n v="0"/>
    <n v="0"/>
    <n v="0"/>
    <n v="1299"/>
    <n v="0"/>
  </r>
  <r>
    <x v="0"/>
    <x v="1"/>
    <x v="0"/>
    <s v="2588200"/>
    <n v="743022"/>
    <s v="Dues-Physician"/>
    <s v="Plastic Surgery-PR-Plas Surg"/>
    <x v="0"/>
    <m/>
    <n v="0"/>
    <n v="0"/>
    <n v="0"/>
    <n v="0"/>
    <n v="1299"/>
    <n v="0"/>
    <n v="0"/>
    <n v="285"/>
    <n v="0"/>
    <n v="510"/>
    <n v="0"/>
    <n v="0"/>
    <n v="2094"/>
    <n v="0"/>
  </r>
  <r>
    <x v="0"/>
    <x v="1"/>
    <x v="0"/>
    <s v="2588200"/>
    <n v="743023"/>
    <s v="Dues-Advanced Practice Clinician"/>
    <s v="Plastic Surgery-PR-Plas Surg"/>
    <x v="0"/>
    <m/>
    <n v="0"/>
    <n v="135"/>
    <n v="0"/>
    <n v="0"/>
    <n v="0"/>
    <n v="0"/>
    <n v="0"/>
    <n v="0"/>
    <n v="0"/>
    <n v="0"/>
    <n v="0"/>
    <n v="0"/>
    <n v="135"/>
    <n v="0"/>
  </r>
  <r>
    <x v="0"/>
    <x v="1"/>
    <x v="0"/>
    <s v="2588200"/>
    <n v="743042"/>
    <s v="Subscriptions-Physician"/>
    <s v="Plastic Surgery-PR-Plas Surg"/>
    <x v="0"/>
    <m/>
    <n v="0"/>
    <n v="0"/>
    <n v="0"/>
    <n v="0"/>
    <n v="0"/>
    <n v="0"/>
    <n v="0"/>
    <n v="0"/>
    <n v="0"/>
    <n v="3235"/>
    <n v="0"/>
    <n v="0"/>
    <n v="3235"/>
    <n v="0"/>
  </r>
  <r>
    <x v="0"/>
    <x v="1"/>
    <x v="0"/>
    <s v="2588200"/>
    <n v="746020"/>
    <s v="Bank Fees--Ext to CHI Programs"/>
    <s v="Plastic Surgery-PR-Plas Surg"/>
    <x v="0"/>
    <m/>
    <n v="0"/>
    <n v="0"/>
    <n v="25.81"/>
    <n v="0"/>
    <n v="0"/>
    <n v="0"/>
    <n v="0"/>
    <n v="0"/>
    <n v="0"/>
    <n v="0"/>
    <n v="0"/>
    <n v="0"/>
    <n v="25.81"/>
    <n v="0"/>
  </r>
  <r>
    <x v="0"/>
    <x v="1"/>
    <x v="0"/>
    <s v="2588200"/>
    <n v="749510"/>
    <s v="Miscellaneous Expenses"/>
    <s v="Plastic Surgery-PR-Plas Surg"/>
    <x v="0"/>
    <m/>
    <n v="19.420000000000002"/>
    <n v="44.88"/>
    <n v="-19.420000000000002"/>
    <n v="0"/>
    <n v="0"/>
    <n v="0"/>
    <n v="3459.76"/>
    <n v="23.51"/>
    <n v="2956.41"/>
    <n v="-3000"/>
    <n v="0"/>
    <n v="0"/>
    <n v="3484.5600000000004"/>
    <n v="0"/>
  </r>
  <r>
    <x v="0"/>
    <x v="1"/>
    <x v="0"/>
    <s v="2588200"/>
    <n v="749512"/>
    <s v="Licenses-Physician"/>
    <s v="Plastic Surgery-PR-Plas Surg"/>
    <x v="0"/>
    <n v="2000"/>
    <n v="0"/>
    <n v="0"/>
    <n v="0"/>
    <n v="0"/>
    <n v="0"/>
    <n v="0"/>
    <n v="0"/>
    <n v="0"/>
    <n v="0"/>
    <n v="731"/>
    <n v="0"/>
    <n v="0"/>
    <n v="731"/>
    <n v="0"/>
  </r>
  <r>
    <x v="0"/>
    <x v="1"/>
    <x v="0"/>
    <s v="2588200"/>
    <n v="749513"/>
    <s v="Licenses-Advanced Practice Clinician"/>
    <s v="Plastic Surgery-PR-Plas Surg"/>
    <x v="0"/>
    <n v="2000"/>
    <n v="0"/>
    <n v="120"/>
    <n v="0"/>
    <n v="0"/>
    <n v="0"/>
    <n v="122.5"/>
    <n v="0"/>
    <n v="0"/>
    <n v="0"/>
    <n v="0"/>
    <n v="0"/>
    <n v="0"/>
    <n v="242.5"/>
    <n v="0"/>
  </r>
  <r>
    <x v="0"/>
    <x v="1"/>
    <x v="0"/>
    <s v="2588200"/>
    <n v="749530"/>
    <s v="Travel"/>
    <s v="Plastic Surgery-PR-Plas Surg"/>
    <x v="0"/>
    <m/>
    <n v="10.5"/>
    <n v="26.25"/>
    <n v="32.25"/>
    <n v="15.75"/>
    <n v="0"/>
    <n v="25.75"/>
    <n v="75.25"/>
    <n v="15.5"/>
    <n v="26.25"/>
    <n v="21"/>
    <n v="5.25"/>
    <n v="21"/>
    <n v="274.75"/>
    <n v="-15.75"/>
  </r>
  <r>
    <x v="0"/>
    <x v="1"/>
    <x v="0"/>
    <s v="2588200"/>
    <n v="749530"/>
    <s v="Mileage"/>
    <s v="Plastic Surgery-PR-Plas Surg"/>
    <x v="0"/>
    <n v="1001"/>
    <n v="28.34"/>
    <n v="70.849999999999994"/>
    <n v="85.02"/>
    <n v="42.51"/>
    <n v="0"/>
    <n v="70.849999999999994"/>
    <n v="68.680000000000007"/>
    <n v="34.799999999999997"/>
    <n v="56.26"/>
    <n v="39.44"/>
    <n v="9.86"/>
    <n v="65.540000000000006"/>
    <n v="572.15"/>
    <n v="-55.680000000000007"/>
  </r>
  <r>
    <x v="9"/>
    <x v="1"/>
    <x v="0"/>
    <s v="2588200"/>
    <n v="800015"/>
    <s v="Interest Income-Ext to CHI"/>
    <s v="Plastic Surgery-PR-Plas Surg"/>
    <x v="0"/>
    <m/>
    <n v="0"/>
    <n v="0"/>
    <n v="-39.450000000000003"/>
    <n v="-73.25"/>
    <n v="-67.8"/>
    <n v="-66.88"/>
    <n v="-63.69"/>
    <n v="-54.65"/>
    <n v="-57.32"/>
    <n v="-52.39"/>
    <n v="-50.95"/>
    <n v="-46.23"/>
    <n v="-572.61"/>
    <n v="-4.720000000000006"/>
  </r>
  <r>
    <x v="1"/>
    <x v="1"/>
    <x v="0"/>
    <s v="2589200"/>
    <n v="400029"/>
    <s v="MD Practice Other Rev--Medicare"/>
    <s v="Foot &amp; Ankle-GH-Pod Surg"/>
    <x v="0"/>
    <n v="1100"/>
    <n v="-2340"/>
    <n v="-2183"/>
    <n v="-1443"/>
    <n v="-1300"/>
    <n v="-1299"/>
    <n v="-2176"/>
    <n v="-1638"/>
    <n v="-561"/>
    <n v="-2310"/>
    <n v="-1703"/>
    <n v="-243"/>
    <n v="-486"/>
    <n v="-17682"/>
    <n v="243"/>
  </r>
  <r>
    <x v="1"/>
    <x v="1"/>
    <x v="0"/>
    <s v="2589200"/>
    <n v="400029"/>
    <s v="MD Practice Other Rev--Medicaid"/>
    <s v="Foot &amp; Ankle-GH-Pod Surg"/>
    <x v="0"/>
    <n v="1200"/>
    <n v="-399"/>
    <n v="-394"/>
    <n v="-407"/>
    <n v="-644"/>
    <n v="-411"/>
    <n v="-1051"/>
    <n v="-886"/>
    <n v="-565"/>
    <n v="-567"/>
    <n v="-963"/>
    <n v="-81"/>
    <n v="-323"/>
    <n v="-6691"/>
    <n v="242"/>
  </r>
  <r>
    <x v="1"/>
    <x v="1"/>
    <x v="0"/>
    <s v="2589200"/>
    <n v="400029"/>
    <s v="MD Practice Other Rev--Comm Insurance"/>
    <s v="Foot &amp; Ankle-GH-Pod Surg"/>
    <x v="0"/>
    <n v="1300"/>
    <n v="-160"/>
    <n v="80"/>
    <n v="-162"/>
    <n v="-81"/>
    <n v="-246"/>
    <n v="0"/>
    <n v="-53"/>
    <n v="-81"/>
    <n v="0"/>
    <n v="-340"/>
    <n v="0"/>
    <n v="0"/>
    <n v="-1043"/>
    <n v="0"/>
  </r>
  <r>
    <x v="1"/>
    <x v="1"/>
    <x v="0"/>
    <s v="2589200"/>
    <n v="400029"/>
    <s v="MD Practice Other Rev--BCBS Comm"/>
    <s v="Foot &amp; Ankle-GH-Pod Surg"/>
    <x v="0"/>
    <n v="1301"/>
    <n v="-332"/>
    <n v="-243"/>
    <n v="-555"/>
    <n v="-486"/>
    <n v="-322"/>
    <n v="-642"/>
    <n v="-1128"/>
    <n v="-251"/>
    <n v="-807"/>
    <n v="-162"/>
    <n v="0"/>
    <n v="-243"/>
    <n v="-5171"/>
    <n v="243"/>
  </r>
  <r>
    <x v="1"/>
    <x v="1"/>
    <x v="0"/>
    <s v="2589200"/>
    <n v="400029"/>
    <s v="MD Practice Other Rev--Managed Care"/>
    <s v="Foot &amp; Ankle-GH-Pod Surg"/>
    <x v="0"/>
    <n v="1400"/>
    <n v="-1103"/>
    <n v="-1087"/>
    <n v="-1776"/>
    <n v="-1962"/>
    <n v="-1177"/>
    <n v="-1836"/>
    <n v="-2641"/>
    <n v="-961"/>
    <n v="-1045"/>
    <n v="-1621"/>
    <n v="-88"/>
    <n v="-402"/>
    <n v="-15699"/>
    <n v="314"/>
  </r>
  <r>
    <x v="1"/>
    <x v="1"/>
    <x v="0"/>
    <s v="2589200"/>
    <n v="400029"/>
    <s v="MD Practice Other Rev--Self Pay"/>
    <s v="Foot &amp; Ankle-GH-Pod Surg"/>
    <x v="0"/>
    <n v="1500"/>
    <n v="-81"/>
    <n v="0"/>
    <n v="0"/>
    <n v="0"/>
    <n v="0"/>
    <n v="0"/>
    <n v="0"/>
    <n v="0"/>
    <n v="0"/>
    <n v="0"/>
    <n v="0"/>
    <n v="0"/>
    <n v="-81"/>
    <n v="0"/>
  </r>
  <r>
    <x v="1"/>
    <x v="1"/>
    <x v="0"/>
    <s v="2589200"/>
    <n v="400029"/>
    <s v="MD Practice Other Rev--Other"/>
    <s v="Foot &amp; Ankle-GH-Pod Surg"/>
    <x v="0"/>
    <n v="1700"/>
    <n v="-476"/>
    <n v="-404"/>
    <n v="-468"/>
    <n v="-468"/>
    <n v="-81"/>
    <n v="-243"/>
    <n v="-545"/>
    <n v="-153"/>
    <n v="-310"/>
    <n v="-318"/>
    <n v="0"/>
    <n v="-81"/>
    <n v="-3547"/>
    <n v="81"/>
  </r>
  <r>
    <x v="1"/>
    <x v="1"/>
    <x v="0"/>
    <s v="2589200"/>
    <n v="400040"/>
    <s v="Physician Svcs Rev--Medicare"/>
    <s v="Foot &amp; Ankle-GH-Pod Surg"/>
    <x v="0"/>
    <n v="1100"/>
    <n v="-35059"/>
    <n v="-38164"/>
    <n v="-34537"/>
    <n v="-45054"/>
    <n v="-27911"/>
    <n v="-39744"/>
    <n v="-40500"/>
    <n v="-32788"/>
    <n v="-55386"/>
    <n v="-36031"/>
    <n v="-7697"/>
    <n v="-14099"/>
    <n v="-406970"/>
    <n v="6402"/>
  </r>
  <r>
    <x v="1"/>
    <x v="1"/>
    <x v="0"/>
    <s v="2589200"/>
    <n v="400040"/>
    <s v="Physician Svcs Rev--Medicaid"/>
    <s v="Foot &amp; Ankle-GH-Pod Surg"/>
    <x v="0"/>
    <n v="1200"/>
    <n v="-9777"/>
    <n v="-18811"/>
    <n v="-13972"/>
    <n v="-27332"/>
    <n v="-10094"/>
    <n v="-18401"/>
    <n v="-16321"/>
    <n v="-11701"/>
    <n v="-19851"/>
    <n v="-21567"/>
    <n v="-4767"/>
    <n v="-2951"/>
    <n v="-175545"/>
    <n v="-1816"/>
  </r>
  <r>
    <x v="1"/>
    <x v="1"/>
    <x v="0"/>
    <s v="2589200"/>
    <n v="400040"/>
    <s v="Physician Svcs Rev--Comm Insurance"/>
    <s v="Foot &amp; Ankle-GH-Pod Surg"/>
    <x v="0"/>
    <n v="1300"/>
    <n v="-1343"/>
    <n v="-1170"/>
    <n v="-1650"/>
    <n v="-1158"/>
    <n v="-1570"/>
    <n v="-1220"/>
    <n v="-2083"/>
    <n v="-496"/>
    <n v="-1656"/>
    <n v="-1524"/>
    <n v="0"/>
    <n v="0"/>
    <n v="-13870"/>
    <n v="0"/>
  </r>
  <r>
    <x v="1"/>
    <x v="1"/>
    <x v="0"/>
    <s v="2589200"/>
    <n v="400040"/>
    <s v="Physician Svcs Rev--BCBS Comm"/>
    <s v="Foot &amp; Ankle-GH-Pod Surg"/>
    <x v="0"/>
    <n v="1301"/>
    <n v="-2624"/>
    <n v="-7397"/>
    <n v="-6488"/>
    <n v="-2956"/>
    <n v="-4252"/>
    <n v="-7324"/>
    <n v="-11437"/>
    <n v="-2765"/>
    <n v="-2446"/>
    <n v="-2111"/>
    <n v="-3210"/>
    <n v="-1450"/>
    <n v="-54460"/>
    <n v="-1760"/>
  </r>
  <r>
    <x v="1"/>
    <x v="1"/>
    <x v="0"/>
    <s v="2589200"/>
    <n v="400040"/>
    <s v="Physician Svcs Rev--Managed Care"/>
    <s v="Foot &amp; Ankle-GH-Pod Surg"/>
    <x v="0"/>
    <n v="1400"/>
    <n v="-24366"/>
    <n v="-18269"/>
    <n v="-18737"/>
    <n v="-22442"/>
    <n v="-14004"/>
    <n v="-32136"/>
    <n v="-31894"/>
    <n v="-26864"/>
    <n v="-28756"/>
    <n v="-17083"/>
    <n v="-4900"/>
    <n v="-5133"/>
    <n v="-244584"/>
    <n v="233"/>
  </r>
  <r>
    <x v="1"/>
    <x v="1"/>
    <x v="0"/>
    <s v="2589200"/>
    <n v="400040"/>
    <s v="Physician Svcs Rev--Self Pay"/>
    <s v="Foot &amp; Ankle-GH-Pod Surg"/>
    <x v="0"/>
    <n v="1500"/>
    <n v="-181"/>
    <n v="-327"/>
    <n v="-2749"/>
    <n v="0"/>
    <n v="-121"/>
    <n v="0"/>
    <n v="0"/>
    <n v="0"/>
    <n v="-242"/>
    <n v="-321"/>
    <n v="0"/>
    <n v="0"/>
    <n v="-3941"/>
    <n v="0"/>
  </r>
  <r>
    <x v="1"/>
    <x v="1"/>
    <x v="0"/>
    <s v="2589200"/>
    <n v="400040"/>
    <s v="Physician Svcs Rev--Other"/>
    <s v="Foot &amp; Ankle-GH-Pod Surg"/>
    <x v="0"/>
    <n v="1700"/>
    <n v="-6955"/>
    <n v="-15242"/>
    <n v="-2722"/>
    <n v="-5901"/>
    <n v="-1106"/>
    <n v="-8045"/>
    <n v="-2046"/>
    <n v="-1183"/>
    <n v="-4630"/>
    <n v="-6219"/>
    <n v="-296"/>
    <n v="-858"/>
    <n v="-55203"/>
    <n v="562"/>
  </r>
  <r>
    <x v="2"/>
    <x v="1"/>
    <x v="0"/>
    <s v="2589200"/>
    <n v="450029"/>
    <s v="Contr Allow--MD Other-Medicare"/>
    <s v="Foot &amp; Ankle-GH-Pod Surg"/>
    <x v="0"/>
    <n v="1100"/>
    <n v="1596.99"/>
    <n v="1606.23"/>
    <n v="1030.49"/>
    <n v="990.18"/>
    <n v="767.75"/>
    <n v="1250.26"/>
    <n v="1067.48"/>
    <n v="908.38"/>
    <n v="649.17999999999995"/>
    <n v="1336.13"/>
    <n v="894.21"/>
    <n v="170.7"/>
    <n v="12267.98"/>
    <n v="723.51"/>
  </r>
  <r>
    <x v="2"/>
    <x v="1"/>
    <x v="0"/>
    <s v="2589200"/>
    <n v="450029"/>
    <s v="Contr Allow--MD Other-Medicaid"/>
    <s v="Foot &amp; Ankle-GH-Pod Surg"/>
    <x v="0"/>
    <n v="1200"/>
    <n v="802.01"/>
    <n v="354.51"/>
    <n v="440.79"/>
    <n v="363.51"/>
    <n v="361.96"/>
    <n v="616.29"/>
    <n v="687.11"/>
    <n v="604.77"/>
    <n v="493.6"/>
    <n v="794.27"/>
    <n v="185.23"/>
    <n v="189.76"/>
    <n v="5893.8099999999995"/>
    <n v="-4.5300000000000011"/>
  </r>
  <r>
    <x v="2"/>
    <x v="1"/>
    <x v="0"/>
    <s v="2589200"/>
    <n v="450029"/>
    <s v="Contr Allow--MD Other-Comm Insurance"/>
    <s v="Foot &amp; Ankle-GH-Pod Surg"/>
    <x v="0"/>
    <n v="1300"/>
    <n v="67"/>
    <n v="0"/>
    <n v="0"/>
    <n v="68.209999999999994"/>
    <n v="54.28"/>
    <n v="48.08"/>
    <n v="0"/>
    <n v="0"/>
    <n v="33.71"/>
    <n v="33.85"/>
    <n v="157.04"/>
    <n v="7.09"/>
    <n v="469.25999999999993"/>
    <n v="149.94999999999999"/>
  </r>
  <r>
    <x v="2"/>
    <x v="1"/>
    <x v="0"/>
    <s v="2589200"/>
    <n v="450029"/>
    <s v="Contr Allow--MD Other BCBS Comm"/>
    <s v="Foot &amp; Ankle-GH-Pod Surg"/>
    <x v="0"/>
    <n v="1301"/>
    <n v="90.14"/>
    <n v="116.45"/>
    <n v="158.15"/>
    <n v="86.54"/>
    <n v="59.94"/>
    <n v="40.159999999999997"/>
    <n v="276.54000000000002"/>
    <n v="139.86000000000001"/>
    <n v="83.51"/>
    <n v="192.99"/>
    <n v="39.96"/>
    <n v="59.94"/>
    <n v="1344.1800000000003"/>
    <n v="-19.979999999999997"/>
  </r>
  <r>
    <x v="2"/>
    <x v="1"/>
    <x v="0"/>
    <s v="2589200"/>
    <n v="450029"/>
    <s v="Contr Allow--MD Other-Managed Care"/>
    <s v="Foot &amp; Ankle-GH-Pod Surg"/>
    <x v="0"/>
    <n v="1400"/>
    <n v="148.74"/>
    <n v="526.46"/>
    <n v="558.70000000000005"/>
    <n v="587.70000000000005"/>
    <n v="399.6"/>
    <n v="803.56"/>
    <n v="516.94000000000005"/>
    <n v="655.08000000000004"/>
    <n v="583"/>
    <n v="526.20000000000005"/>
    <n v="173.48"/>
    <n v="146.57"/>
    <n v="5626.03"/>
    <n v="26.909999999999997"/>
  </r>
  <r>
    <x v="2"/>
    <x v="1"/>
    <x v="0"/>
    <s v="2589200"/>
    <n v="450029"/>
    <s v="Admin Adjust-MD Other-Self Pay"/>
    <s v="Foot &amp; Ankle-GH-Pod Surg"/>
    <x v="0"/>
    <n v="1600"/>
    <n v="29.97"/>
    <n v="0"/>
    <n v="0.21"/>
    <n v="11.16"/>
    <n v="0"/>
    <n v="0"/>
    <n v="0"/>
    <n v="5.9"/>
    <n v="0"/>
    <n v="0"/>
    <n v="0"/>
    <n v="0"/>
    <n v="47.24"/>
    <n v="0"/>
  </r>
  <r>
    <x v="2"/>
    <x v="1"/>
    <x v="0"/>
    <s v="2589200"/>
    <n v="450029"/>
    <s v="Contr Allow--MD Other-Other"/>
    <s v="Foot &amp; Ankle-GH-Pod Surg"/>
    <x v="0"/>
    <n v="1700"/>
    <n v="290.26"/>
    <n v="348.7"/>
    <n v="337.49"/>
    <n v="115.74"/>
    <n v="101.88"/>
    <n v="192.34"/>
    <n v="152.84"/>
    <n v="249.07"/>
    <n v="96.15"/>
    <n v="441.03"/>
    <n v="0"/>
    <n v="51.22"/>
    <n v="2376.7199999999998"/>
    <n v="-51.22"/>
  </r>
  <r>
    <x v="2"/>
    <x v="1"/>
    <x v="0"/>
    <s v="2589200"/>
    <n v="450040"/>
    <s v="Contr Allow--Phys Svcs--Mcare"/>
    <s v="Foot &amp; Ankle-GH-Pod Surg"/>
    <x v="0"/>
    <n v="1100"/>
    <n v="28790.27"/>
    <n v="31149.98"/>
    <n v="20350.669999999998"/>
    <n v="28060.58"/>
    <n v="25671.43"/>
    <n v="18883.150000000001"/>
    <n v="28350.19"/>
    <n v="22576.12"/>
    <n v="29758.12"/>
    <n v="22684.43"/>
    <n v="18914.95"/>
    <n v="9744.0400000000009"/>
    <n v="284933.92999999993"/>
    <n v="9170.91"/>
  </r>
  <r>
    <x v="2"/>
    <x v="1"/>
    <x v="0"/>
    <s v="2589200"/>
    <n v="450040"/>
    <s v="Contr Allow--Phys Svcs--Mcaid"/>
    <s v="Foot &amp; Ankle-GH-Pod Surg"/>
    <x v="0"/>
    <n v="1200"/>
    <n v="12838.5"/>
    <n v="14141.29"/>
    <n v="13840.71"/>
    <n v="25302.12"/>
    <n v="11664.8"/>
    <n v="9572.14"/>
    <n v="7791.69"/>
    <n v="13717.21"/>
    <n v="13859.68"/>
    <n v="13544.37"/>
    <n v="12611.64"/>
    <n v="2848.72"/>
    <n v="151732.86999999997"/>
    <n v="9762.92"/>
  </r>
  <r>
    <x v="2"/>
    <x v="1"/>
    <x v="0"/>
    <s v="2589200"/>
    <n v="450040"/>
    <s v="Contr Allow--Phys Svcs--Comm Insurance"/>
    <s v="Foot &amp; Ankle-GH-Pod Surg"/>
    <x v="0"/>
    <n v="1300"/>
    <n v="237.33"/>
    <n v="862.13"/>
    <n v="103.44"/>
    <n v="674.46"/>
    <n v="295.51"/>
    <n v="780.42"/>
    <n v="319.97000000000003"/>
    <n v="2007.68"/>
    <n v="318.05"/>
    <n v="238.86"/>
    <n v="717.76"/>
    <n v="118.28"/>
    <n v="6673.89"/>
    <n v="599.48"/>
  </r>
  <r>
    <x v="2"/>
    <x v="1"/>
    <x v="0"/>
    <s v="2589200"/>
    <n v="450040"/>
    <s v="Contr Allow--Phys Svcs--BCBS Comm Ins"/>
    <s v="Foot &amp; Ankle-GH-Pod Surg"/>
    <x v="0"/>
    <n v="1301"/>
    <n v="1716.58"/>
    <n v="3392.62"/>
    <n v="1210.4100000000001"/>
    <n v="1223.72"/>
    <n v="981.21"/>
    <n v="967.38"/>
    <n v="3008.01"/>
    <n v="4251.72"/>
    <n v="1838.97"/>
    <n v="211.42"/>
    <n v="1510.68"/>
    <n v="219.52"/>
    <n v="20532.240000000002"/>
    <n v="1291.1600000000001"/>
  </r>
  <r>
    <x v="2"/>
    <x v="1"/>
    <x v="0"/>
    <s v="2589200"/>
    <n v="450040"/>
    <s v="Contr Allow--Phys Svcs--Managed Care"/>
    <s v="Foot &amp; Ankle-GH-Pod Surg"/>
    <x v="0"/>
    <n v="1400"/>
    <n v="7265.58"/>
    <n v="11359.04"/>
    <n v="2863.59"/>
    <n v="10279.5"/>
    <n v="5802.75"/>
    <n v="10307.43"/>
    <n v="8793.56"/>
    <n v="11761.03"/>
    <n v="15975.55"/>
    <n v="9561.9"/>
    <n v="4472.4799999999996"/>
    <n v="2741.13"/>
    <n v="101183.54000000001"/>
    <n v="1731.3499999999995"/>
  </r>
  <r>
    <x v="2"/>
    <x v="1"/>
    <x v="0"/>
    <s v="2589200"/>
    <n v="450040"/>
    <s v="Contr Allow--Phys Svcs--BCBS Mgnd Care"/>
    <s v="Foot &amp; Ankle-GH-Pod Surg"/>
    <x v="0"/>
    <n v="1401"/>
    <n v="-12039.03"/>
    <n v="-8432.2000000000007"/>
    <n v="6509.72"/>
    <n v="-2900.77"/>
    <n v="-10309.58"/>
    <n v="14024.73"/>
    <n v="10555.58"/>
    <n v="-10667.32"/>
    <n v="3921.06"/>
    <n v="-2251.91"/>
    <n v="-26147.42"/>
    <n v="-1471.06"/>
    <n v="-39208.199999999997"/>
    <n v="-24676.359999999997"/>
  </r>
  <r>
    <x v="2"/>
    <x v="1"/>
    <x v="0"/>
    <s v="2589200"/>
    <n v="450040"/>
    <s v="Prompt Pay Disc-Phys Svcs-Self Pay"/>
    <s v="Foot &amp; Ankle-GH-Pod Surg"/>
    <x v="0"/>
    <n v="1500"/>
    <n v="0"/>
    <n v="0"/>
    <n v="0"/>
    <n v="0"/>
    <n v="0"/>
    <n v="0"/>
    <n v="0"/>
    <n v="0"/>
    <n v="0"/>
    <n v="0"/>
    <n v="75.069999999999993"/>
    <n v="0"/>
    <n v="75.069999999999993"/>
    <n v="75.069999999999993"/>
  </r>
  <r>
    <x v="2"/>
    <x v="1"/>
    <x v="0"/>
    <s v="2589200"/>
    <n v="450040"/>
    <s v="Admin Adjust-Phys Svcs-Self Pay"/>
    <s v="Foot &amp; Ankle-GH-Pod Surg"/>
    <x v="0"/>
    <n v="1600"/>
    <n v="70.709999999999994"/>
    <n v="156.32"/>
    <n v="1328.44"/>
    <n v="115.56"/>
    <n v="44.01"/>
    <n v="0.02"/>
    <n v="784.37"/>
    <n v="255.43"/>
    <n v="-21.39"/>
    <n v="167.12"/>
    <n v="-14.96"/>
    <n v="0.59"/>
    <n v="2886.22"/>
    <n v="-15.55"/>
  </r>
  <r>
    <x v="2"/>
    <x v="1"/>
    <x v="0"/>
    <s v="2589200"/>
    <n v="450040"/>
    <s v="Contr Allow--Phys Svcs--Other"/>
    <s v="Foot &amp; Ankle-GH-Pod Surg"/>
    <x v="0"/>
    <n v="1700"/>
    <n v="8458.0400000000009"/>
    <n v="9972.26"/>
    <n v="3029.37"/>
    <n v="1611.86"/>
    <n v="2674.03"/>
    <n v="5353.36"/>
    <n v="2375.52"/>
    <n v="3588.72"/>
    <n v="1206.31"/>
    <n v="2725.9"/>
    <n v="2843.89"/>
    <n v="476.28"/>
    <n v="44315.54"/>
    <n v="2367.6099999999997"/>
  </r>
  <r>
    <x v="3"/>
    <x v="1"/>
    <x v="0"/>
    <s v="2589200"/>
    <n v="470040"/>
    <s v="Charity Care-Physician Svcs"/>
    <s v="Foot &amp; Ankle-GH-Pod Surg"/>
    <x v="0"/>
    <m/>
    <n v="-224.09"/>
    <n v="341.9"/>
    <n v="248.76"/>
    <n v="140.32"/>
    <n v="-239.75"/>
    <n v="441.01"/>
    <n v="373.41"/>
    <n v="-13.35"/>
    <n v="4509.91"/>
    <n v="2916.66"/>
    <n v="-962.82"/>
    <n v="243.52"/>
    <n v="7775.48"/>
    <n v="-1206.3400000000001"/>
  </r>
  <r>
    <x v="4"/>
    <x v="1"/>
    <x v="0"/>
    <s v="2589200"/>
    <n v="490010"/>
    <s v="Provision for Bad Debts"/>
    <s v="Foot &amp; Ankle-GH-Pod Surg"/>
    <x v="0"/>
    <m/>
    <n v="-726.91"/>
    <n v="-1266.17"/>
    <n v="1439.05"/>
    <n v="-1349.63"/>
    <n v="-401.31"/>
    <n v="2377.94"/>
    <n v="2601.77"/>
    <n v="-2360.7399999999998"/>
    <n v="-34.56"/>
    <n v="191.14"/>
    <n v="-655.28"/>
    <n v="1157.8800000000001"/>
    <n v="973.18000000000006"/>
    <n v="-1813.16"/>
  </r>
  <r>
    <x v="5"/>
    <x v="1"/>
    <x v="0"/>
    <s v="2589200"/>
    <n v="700022"/>
    <s v="Salaries-Physician-Productive"/>
    <s v="Foot &amp; Ankle-GH-Pod Surg"/>
    <x v="0"/>
    <m/>
    <n v="15860.8"/>
    <n v="12795.52"/>
    <n v="17080.240000000002"/>
    <n v="19777.12"/>
    <n v="16044.32"/>
    <n v="20479.2"/>
    <n v="19618.830000000002"/>
    <n v="12207.56"/>
    <n v="16491.43"/>
    <n v="18821.73"/>
    <n v="-896.28"/>
    <n v="0"/>
    <n v="168280.47"/>
    <n v="-896.28"/>
  </r>
  <r>
    <x v="5"/>
    <x v="1"/>
    <x v="0"/>
    <s v="2589200"/>
    <n v="700030"/>
    <s v="Salaries-LPN-Productive"/>
    <s v="Foot &amp; Ankle-GH-Pod Surg"/>
    <x v="0"/>
    <m/>
    <n v="3840.76"/>
    <n v="3185.49"/>
    <n v="4735.5"/>
    <n v="5272.63"/>
    <n v="5131.3100000000004"/>
    <n v="3921.29"/>
    <n v="5201.37"/>
    <n v="2746.95"/>
    <n v="4804.83"/>
    <n v="4136.76"/>
    <n v="4571.1899999999996"/>
    <n v="1064.3499999999999"/>
    <n v="48612.430000000008"/>
    <n v="3506.8399999999997"/>
  </r>
  <r>
    <x v="5"/>
    <x v="1"/>
    <x v="0"/>
    <s v="2589200"/>
    <n v="700030"/>
    <s v="Salaries-LPN-OT"/>
    <s v="Foot &amp; Ankle-GH-Pod Surg"/>
    <x v="0"/>
    <n v="1000"/>
    <n v="0"/>
    <n v="0"/>
    <n v="0"/>
    <n v="0"/>
    <n v="0"/>
    <n v="0"/>
    <n v="0"/>
    <n v="0"/>
    <n v="59.13"/>
    <n v="0"/>
    <n v="0"/>
    <n v="0"/>
    <n v="59.13"/>
    <n v="0"/>
  </r>
  <r>
    <x v="5"/>
    <x v="1"/>
    <x v="0"/>
    <s v="2589200"/>
    <n v="700034"/>
    <s v="Salaries-Tech/Professional-Productive"/>
    <s v="Foot &amp; Ankle-GH-Pod Surg"/>
    <x v="0"/>
    <m/>
    <n v="3689.23"/>
    <n v="1637.47"/>
    <n v="2582.64"/>
    <n v="4560.22"/>
    <n v="3175.87"/>
    <n v="3233.11"/>
    <n v="4481.41"/>
    <n v="1741.06"/>
    <n v="4416.46"/>
    <n v="3777.2"/>
    <n v="-280.3"/>
    <n v="0"/>
    <n v="33014.369999999995"/>
    <n v="-280.3"/>
  </r>
  <r>
    <x v="5"/>
    <x v="1"/>
    <x v="0"/>
    <s v="2589200"/>
    <n v="700062"/>
    <s v="Salaries-Physician-Non-productive"/>
    <s v="Foot &amp; Ankle-GH-Pod Surg"/>
    <x v="0"/>
    <m/>
    <n v="3175.68"/>
    <n v="8090.64"/>
    <n v="898.96"/>
    <n v="898.96"/>
    <n v="3561.6"/>
    <n v="-1780.8"/>
    <n v="891.71"/>
    <n v="5736.15"/>
    <n v="2330.3200000000002"/>
    <n v="896.28"/>
    <n v="21928.76"/>
    <n v="18343.689999999999"/>
    <n v="64971.95"/>
    <n v="3585.0699999999997"/>
  </r>
  <r>
    <x v="5"/>
    <x v="1"/>
    <x v="0"/>
    <s v="2589200"/>
    <n v="700062"/>
    <s v="Salaries-Physician-NonProd-Other"/>
    <s v="Foot &amp; Ankle-GH-Pod Surg"/>
    <x v="0"/>
    <n v="2000"/>
    <n v="0"/>
    <n v="0"/>
    <n v="0"/>
    <n v="0"/>
    <n v="406.02"/>
    <n v="812.04"/>
    <n v="0"/>
    <n v="-1218.06"/>
    <n v="0"/>
    <n v="0"/>
    <n v="0"/>
    <n v="-5319.67"/>
    <n v="-5319.67"/>
    <n v="5319.67"/>
  </r>
  <r>
    <x v="5"/>
    <x v="1"/>
    <x v="0"/>
    <s v="2589200"/>
    <n v="700070"/>
    <s v="Salaries-LPN-Non-productive"/>
    <s v="Foot &amp; Ankle-GH-Pod Surg"/>
    <x v="0"/>
    <m/>
    <n v="1108.8"/>
    <n v="2044.35"/>
    <n v="11.55"/>
    <n v="138.6"/>
    <n v="0"/>
    <n v="906.91"/>
    <n v="227.15"/>
    <n v="2421.98"/>
    <n v="-25.21"/>
    <n v="1009.16"/>
    <n v="693.8"/>
    <n v="3437.45"/>
    <n v="11974.54"/>
    <n v="-2743.6499999999996"/>
  </r>
  <r>
    <x v="5"/>
    <x v="1"/>
    <x v="0"/>
    <s v="2589200"/>
    <n v="700084"/>
    <s v="Accrued PTO"/>
    <s v="Foot &amp; Ankle-GH-Pod Surg"/>
    <x v="0"/>
    <m/>
    <n v="-508.64"/>
    <n v="-754.27"/>
    <n v="70.55"/>
    <n v="513.76"/>
    <n v="622.27"/>
    <n v="208.5"/>
    <n v="433.4"/>
    <n v="-1341.76"/>
    <n v="475.45"/>
    <n v="-422.91"/>
    <n v="358.26"/>
    <n v="-1415.26"/>
    <n v="-1760.65"/>
    <n v="1773.52"/>
  </r>
  <r>
    <x v="6"/>
    <x v="1"/>
    <x v="0"/>
    <s v="2589200"/>
    <n v="713010"/>
    <s v="Benefits-FICA/Medicare"/>
    <s v="Foot &amp; Ankle-GH-Pod Surg"/>
    <x v="0"/>
    <m/>
    <n v="1639.93"/>
    <n v="765.94"/>
    <n v="797.74"/>
    <n v="1032.48"/>
    <n v="926.93"/>
    <n v="1450.42"/>
    <n v="2240.98"/>
    <n v="1826.14"/>
    <n v="2069.92"/>
    <n v="2099.46"/>
    <n v="1912.63"/>
    <n v="1273.72"/>
    <n v="18036.29"/>
    <n v="638.91000000000008"/>
  </r>
  <r>
    <x v="6"/>
    <x v="1"/>
    <x v="0"/>
    <s v="2589200"/>
    <n v="713090"/>
    <s v="Benefits-Allocated Amounts"/>
    <s v="Foot &amp; Ankle-GH-Pod Surg"/>
    <x v="0"/>
    <m/>
    <n v="0"/>
    <n v="0"/>
    <n v="0"/>
    <n v="0"/>
    <n v="0"/>
    <n v="0"/>
    <n v="0"/>
    <n v="0"/>
    <n v="18458.5"/>
    <n v="2185.1799999999998"/>
    <n v="1764.2"/>
    <n v="1564.66"/>
    <n v="23972.54"/>
    <n v="199.53999999999996"/>
  </r>
  <r>
    <x v="6"/>
    <x v="1"/>
    <x v="0"/>
    <s v="2589200"/>
    <n v="713092"/>
    <s v="Allocated Benefits-Physician"/>
    <s v="Foot &amp; Ankle-GH-Pod Surg"/>
    <x v="0"/>
    <m/>
    <n v="3414.03"/>
    <n v="2861.98"/>
    <n v="3016.16"/>
    <n v="3564.13"/>
    <n v="3305.06"/>
    <n v="3431.12"/>
    <n v="4194.24"/>
    <n v="3436.2"/>
    <n v="-14258.65"/>
    <n v="1534.76"/>
    <n v="1239.08"/>
    <n v="1098.93"/>
    <n v="16837.04"/>
    <n v="140.14999999999986"/>
  </r>
  <r>
    <x v="7"/>
    <x v="1"/>
    <x v="0"/>
    <s v="2589200"/>
    <n v="718010"/>
    <s v="Media/Print Advertising"/>
    <s v="Foot &amp; Ankle-GH-Pod Surg"/>
    <x v="0"/>
    <n v="1004"/>
    <n v="0"/>
    <n v="0"/>
    <n v="0"/>
    <n v="96.26"/>
    <n v="0"/>
    <n v="0"/>
    <n v="0"/>
    <n v="0"/>
    <n v="0"/>
    <n v="0"/>
    <n v="0"/>
    <n v="0"/>
    <n v="96.26"/>
    <n v="0"/>
  </r>
  <r>
    <x v="7"/>
    <x v="1"/>
    <x v="0"/>
    <s v="2589200"/>
    <n v="718050"/>
    <s v="Miscellaneous Purchased Svcs"/>
    <s v="Foot &amp; Ankle-GH-Pod Surg"/>
    <x v="0"/>
    <n v="1020"/>
    <n v="17.02"/>
    <n v="-18.239999999999998"/>
    <n v="18.09"/>
    <n v="12.87"/>
    <n v="26.56"/>
    <n v="13.77"/>
    <n v="18.100000000000001"/>
    <n v="16.62"/>
    <n v="23.07"/>
    <n v="1.51"/>
    <n v="29.84"/>
    <n v="19.489999999999998"/>
    <n v="178.7"/>
    <n v="10.350000000000001"/>
  </r>
  <r>
    <x v="7"/>
    <x v="1"/>
    <x v="0"/>
    <s v="2589200"/>
    <n v="718050"/>
    <s v="Translation Services"/>
    <s v="Foot &amp; Ankle-GH-Pod Surg"/>
    <x v="0"/>
    <n v="1025"/>
    <n v="0"/>
    <n v="0"/>
    <n v="0"/>
    <n v="0"/>
    <n v="208"/>
    <n v="0"/>
    <n v="115.5"/>
    <n v="124"/>
    <n v="0"/>
    <n v="0"/>
    <n v="0"/>
    <n v="0"/>
    <n v="447.5"/>
    <n v="0"/>
  </r>
  <r>
    <x v="11"/>
    <x v="1"/>
    <x v="0"/>
    <s v="2589200"/>
    <n v="721010"/>
    <s v="Supplies-Medical - Billable"/>
    <s v="Foot &amp; Ankle-GH-Pod Surg"/>
    <x v="0"/>
    <m/>
    <n v="0"/>
    <n v="37.450000000000003"/>
    <n v="0"/>
    <n v="0"/>
    <n v="0"/>
    <n v="0"/>
    <n v="0"/>
    <n v="0"/>
    <n v="0"/>
    <n v="0"/>
    <n v="0"/>
    <n v="0"/>
    <n v="37.450000000000003"/>
    <n v="0"/>
  </r>
  <r>
    <x v="11"/>
    <x v="1"/>
    <x v="0"/>
    <s v="2589200"/>
    <n v="721150"/>
    <s v="Surgical Orthopedic"/>
    <s v="Foot &amp; Ankle-GH-Pod Surg"/>
    <x v="0"/>
    <n v="1000"/>
    <n v="0"/>
    <n v="0"/>
    <n v="0"/>
    <n v="100.83"/>
    <n v="0"/>
    <n v="0"/>
    <n v="0"/>
    <n v="0"/>
    <n v="0"/>
    <n v="89.69"/>
    <n v="0"/>
    <n v="0"/>
    <n v="190.51999999999998"/>
    <n v="0"/>
  </r>
  <r>
    <x v="11"/>
    <x v="1"/>
    <x v="0"/>
    <s v="2589200"/>
    <n v="721410"/>
    <s v="Supplies-Medical - Nonbillable"/>
    <s v="Foot &amp; Ankle-GH-Pod Surg"/>
    <x v="0"/>
    <m/>
    <n v="576.76"/>
    <n v="235.76"/>
    <n v="128.52000000000001"/>
    <n v="307.45999999999998"/>
    <n v="181.26"/>
    <n v="396.69"/>
    <n v="0"/>
    <n v="528.73"/>
    <n v="84.08"/>
    <n v="435.1"/>
    <n v="0"/>
    <n v="0"/>
    <n v="2874.36"/>
    <n v="0"/>
  </r>
  <r>
    <x v="11"/>
    <x v="1"/>
    <x v="0"/>
    <s v="2589200"/>
    <n v="721910"/>
    <s v="Supplies-Small Equipment"/>
    <s v="Foot &amp; Ankle-GH-Pod Surg"/>
    <x v="0"/>
    <m/>
    <n v="0"/>
    <n v="41.01"/>
    <n v="0"/>
    <n v="34.479999999999997"/>
    <n v="0"/>
    <n v="0"/>
    <n v="0"/>
    <n v="0"/>
    <n v="0"/>
    <n v="24.97"/>
    <n v="0"/>
    <n v="0"/>
    <n v="100.46"/>
    <n v="0"/>
  </r>
  <r>
    <x v="16"/>
    <x v="1"/>
    <x v="0"/>
    <s v="2589200"/>
    <n v="732015"/>
    <s v="Repairs-Clinical Equip-T&amp;M-Ext to CHI Programs"/>
    <s v="Foot &amp; Ankle-GH-Pod Surg"/>
    <x v="0"/>
    <m/>
    <n v="0"/>
    <n v="24.52"/>
    <n v="12.26"/>
    <n v="12.26"/>
    <n v="12.26"/>
    <n v="12.26"/>
    <n v="12.26"/>
    <n v="12.19"/>
    <n v="12.19"/>
    <n v="12.26"/>
    <n v="0"/>
    <n v="0"/>
    <n v="122.46000000000001"/>
    <n v="0"/>
  </r>
  <r>
    <x v="0"/>
    <x v="1"/>
    <x v="0"/>
    <s v="2589200"/>
    <n v="740022"/>
    <s v="Education-Physician"/>
    <s v="Foot &amp; Ankle-GH-Pod Surg"/>
    <x v="0"/>
    <m/>
    <n v="0"/>
    <n v="0"/>
    <n v="310"/>
    <n v="0"/>
    <n v="0"/>
    <n v="0"/>
    <n v="0"/>
    <n v="149"/>
    <n v="0"/>
    <n v="0"/>
    <n v="0"/>
    <n v="0"/>
    <n v="459"/>
    <n v="0"/>
  </r>
  <r>
    <x v="8"/>
    <x v="1"/>
    <x v="0"/>
    <s v="2589200"/>
    <n v="741012"/>
    <s v="Physician Liab Insurance-CHI Program"/>
    <s v="Foot &amp; Ankle-GH-Pod Surg"/>
    <x v="0"/>
    <m/>
    <n v="1065.75"/>
    <n v="1065.75"/>
    <n v="1065.75"/>
    <n v="1065.75"/>
    <n v="1065.75"/>
    <n v="1065.75"/>
    <n v="1065.75"/>
    <n v="1065.75"/>
    <n v="1065.75"/>
    <n v="1065.75"/>
    <n v="1065.75"/>
    <n v="1065.75"/>
    <n v="12789"/>
    <n v="0"/>
  </r>
  <r>
    <x v="0"/>
    <x v="1"/>
    <x v="0"/>
    <s v="2589200"/>
    <n v="743022"/>
    <s v="Dues-Physician"/>
    <s v="Foot &amp; Ankle-GH-Pod Surg"/>
    <x v="0"/>
    <m/>
    <n v="1800"/>
    <n v="0"/>
    <n v="650"/>
    <n v="0"/>
    <n v="0"/>
    <n v="0"/>
    <n v="0"/>
    <n v="0"/>
    <n v="0"/>
    <n v="0"/>
    <n v="0"/>
    <n v="0"/>
    <n v="2450"/>
    <n v="0"/>
  </r>
  <r>
    <x v="0"/>
    <x v="1"/>
    <x v="0"/>
    <s v="2589200"/>
    <n v="749510"/>
    <s v="Miscellaneous Expenses"/>
    <s v="Foot &amp; Ankle-GH-Pod Surg"/>
    <x v="0"/>
    <m/>
    <n v="0"/>
    <n v="0"/>
    <n v="0"/>
    <n v="0"/>
    <n v="0"/>
    <n v="0"/>
    <n v="752"/>
    <n v="-752"/>
    <n v="0"/>
    <n v="0"/>
    <n v="0"/>
    <n v="50.24"/>
    <n v="50.24"/>
    <n v="-50.24"/>
  </r>
  <r>
    <x v="0"/>
    <x v="1"/>
    <x v="0"/>
    <s v="2589200"/>
    <n v="749512"/>
    <s v="Licenses-Physician"/>
    <s v="Foot &amp; Ankle-GH-Pod Surg"/>
    <x v="0"/>
    <n v="2000"/>
    <n v="0"/>
    <n v="0"/>
    <n v="0"/>
    <n v="0"/>
    <n v="0"/>
    <n v="0"/>
    <n v="0"/>
    <n v="0"/>
    <n v="0"/>
    <n v="716"/>
    <n v="0"/>
    <n v="0"/>
    <n v="716"/>
    <n v="0"/>
  </r>
  <r>
    <x v="0"/>
    <x v="1"/>
    <x v="0"/>
    <s v="2589200"/>
    <n v="749530"/>
    <s v="Mileage"/>
    <s v="Foot &amp; Ankle-GH-Pod Surg"/>
    <x v="0"/>
    <n v="1001"/>
    <n v="0"/>
    <n v="4.91"/>
    <n v="0"/>
    <n v="0"/>
    <n v="0"/>
    <n v="4.91"/>
    <n v="0"/>
    <n v="0"/>
    <n v="0"/>
    <n v="19.14"/>
    <n v="0"/>
    <n v="0"/>
    <n v="28.96"/>
    <n v="0"/>
  </r>
  <r>
    <x v="0"/>
    <x v="1"/>
    <x v="0"/>
    <s v="2589200"/>
    <n v="749532"/>
    <s v="Travel-Physician"/>
    <s v="Foot &amp; Ankle-GH-Pod Surg"/>
    <x v="0"/>
    <m/>
    <n v="0"/>
    <n v="0"/>
    <n v="386.6"/>
    <n v="507.53"/>
    <n v="0"/>
    <n v="0"/>
    <n v="0"/>
    <n v="603"/>
    <n v="0"/>
    <n v="732.82"/>
    <n v="0"/>
    <n v="0"/>
    <n v="2229.9500000000003"/>
    <n v="0"/>
  </r>
  <r>
    <x v="7"/>
    <x v="1"/>
    <x v="0"/>
    <s v="2592200"/>
    <n v="718050"/>
    <s v="Translation Services"/>
    <s v="Closed Clinics/Providers-Surg"/>
    <x v="0"/>
    <n v="1025"/>
    <n v="0"/>
    <n v="0"/>
    <n v="0"/>
    <n v="0"/>
    <n v="0"/>
    <n v="0"/>
    <n v="0"/>
    <n v="0"/>
    <n v="0"/>
    <n v="110"/>
    <n v="0"/>
    <n v="0"/>
    <n v="110"/>
    <n v="0"/>
  </r>
  <r>
    <x v="1"/>
    <x v="1"/>
    <x v="0"/>
    <s v="2593200"/>
    <n v="400029"/>
    <s v="MD Practice Other Rev--Medicare"/>
    <s v="Gen Surg-SA-Gen Surg"/>
    <x v="0"/>
    <n v="1100"/>
    <n v="-440"/>
    <n v="-778"/>
    <n v="-412"/>
    <n v="-492"/>
    <n v="-389"/>
    <n v="-1167"/>
    <n v="-23"/>
    <n v="0"/>
    <n v="-23"/>
    <n v="-46"/>
    <n v="0"/>
    <n v="0"/>
    <n v="-3770"/>
    <n v="0"/>
  </r>
  <r>
    <x v="1"/>
    <x v="1"/>
    <x v="0"/>
    <s v="2593200"/>
    <n v="400029"/>
    <s v="MD Practice Other Rev--Medicaid"/>
    <s v="Gen Surg-SA-Gen Surg"/>
    <x v="0"/>
    <n v="1200"/>
    <n v="-51"/>
    <n v="0"/>
    <n v="0"/>
    <n v="0"/>
    <n v="0"/>
    <n v="0"/>
    <n v="0"/>
    <n v="-1167"/>
    <n v="0"/>
    <n v="0"/>
    <n v="0"/>
    <n v="0"/>
    <n v="-1218"/>
    <n v="0"/>
  </r>
  <r>
    <x v="1"/>
    <x v="1"/>
    <x v="0"/>
    <s v="2593200"/>
    <n v="400029"/>
    <s v="MD Practice Other Rev--BCBS Comm"/>
    <s v="Gen Surg-SA-Gen Surg"/>
    <x v="0"/>
    <n v="1301"/>
    <n v="0"/>
    <n v="0"/>
    <n v="-23"/>
    <n v="0"/>
    <n v="0"/>
    <n v="0"/>
    <n v="-46"/>
    <n v="-23"/>
    <n v="0"/>
    <n v="-69"/>
    <n v="0"/>
    <n v="0"/>
    <n v="-161"/>
    <n v="0"/>
  </r>
  <r>
    <x v="1"/>
    <x v="1"/>
    <x v="0"/>
    <s v="2593200"/>
    <n v="400029"/>
    <s v="MD Practice Other Rev--Managed Care"/>
    <s v="Gen Surg-SA-Gen Surg"/>
    <x v="0"/>
    <n v="1400"/>
    <n v="-52"/>
    <n v="-51"/>
    <n v="0"/>
    <n v="0"/>
    <n v="-189"/>
    <n v="-23"/>
    <n v="-46"/>
    <n v="5"/>
    <n v="-934"/>
    <n v="-47"/>
    <n v="-63"/>
    <n v="-199"/>
    <n v="-1599"/>
    <n v="136"/>
  </r>
  <r>
    <x v="1"/>
    <x v="1"/>
    <x v="0"/>
    <s v="2593200"/>
    <n v="400029"/>
    <s v="MD Practice Other Rev--Self Pay"/>
    <s v="Gen Surg-SA-Gen Surg"/>
    <x v="0"/>
    <n v="1500"/>
    <n v="0"/>
    <n v="0"/>
    <n v="-51"/>
    <n v="0"/>
    <n v="0"/>
    <n v="0"/>
    <n v="0"/>
    <n v="0"/>
    <n v="0"/>
    <n v="0"/>
    <n v="0"/>
    <n v="0"/>
    <n v="-51"/>
    <n v="0"/>
  </r>
  <r>
    <x v="1"/>
    <x v="1"/>
    <x v="0"/>
    <s v="2593200"/>
    <n v="400029"/>
    <s v="MD Practice Other Rev--Other"/>
    <s v="Gen Surg-SA-Gen Surg"/>
    <x v="0"/>
    <n v="1700"/>
    <n v="0"/>
    <n v="0"/>
    <n v="0"/>
    <n v="0"/>
    <n v="-23"/>
    <n v="0"/>
    <n v="-23"/>
    <n v="0"/>
    <n v="0"/>
    <n v="0"/>
    <n v="-23"/>
    <n v="0"/>
    <n v="-69"/>
    <n v="-23"/>
  </r>
  <r>
    <x v="1"/>
    <x v="1"/>
    <x v="0"/>
    <s v="2593200"/>
    <n v="400040"/>
    <s v="Physician Svcs Rev--Medicare"/>
    <s v="Gen Surg-SA-Gen Surg"/>
    <x v="0"/>
    <n v="1100"/>
    <n v="-112639.5"/>
    <n v="-96332"/>
    <n v="-71470"/>
    <n v="-78008"/>
    <n v="-59594.75"/>
    <n v="-50027"/>
    <n v="-72752"/>
    <n v="-51835"/>
    <n v="-102464.5"/>
    <n v="-116814.5"/>
    <n v="-113581"/>
    <n v="-99200.23"/>
    <n v="-1024718.48"/>
    <n v="-14380.770000000004"/>
  </r>
  <r>
    <x v="1"/>
    <x v="1"/>
    <x v="0"/>
    <s v="2593200"/>
    <n v="400040"/>
    <s v="Physician Svcs Rev--Medicaid"/>
    <s v="Gen Surg-SA-Gen Surg"/>
    <x v="0"/>
    <n v="1200"/>
    <n v="-57741"/>
    <n v="-21905"/>
    <n v="-25283"/>
    <n v="-20237"/>
    <n v="-10218"/>
    <n v="-34815"/>
    <n v="-46261"/>
    <n v="-36672"/>
    <n v="-30258"/>
    <n v="-57772.75"/>
    <n v="-59641"/>
    <n v="-44722.23"/>
    <n v="-445525.98"/>
    <n v="-14918.769999999997"/>
  </r>
  <r>
    <x v="1"/>
    <x v="1"/>
    <x v="0"/>
    <s v="2593200"/>
    <n v="400040"/>
    <s v="Physician Svcs Rev--Comm Insurance"/>
    <s v="Gen Surg-SA-Gen Surg"/>
    <x v="0"/>
    <n v="1300"/>
    <n v="-22271"/>
    <n v="-3818"/>
    <n v="4424"/>
    <n v="-14026"/>
    <n v="-4566"/>
    <n v="-25106"/>
    <n v="-14256"/>
    <n v="-7803"/>
    <n v="-7386"/>
    <n v="-10289"/>
    <n v="-11652"/>
    <n v="-16093.25"/>
    <n v="-132842.25"/>
    <n v="4441.25"/>
  </r>
  <r>
    <x v="1"/>
    <x v="1"/>
    <x v="0"/>
    <s v="2593200"/>
    <n v="400040"/>
    <s v="Physician Svcs Rev--BCBS Comm"/>
    <s v="Gen Surg-SA-Gen Surg"/>
    <x v="0"/>
    <n v="1301"/>
    <n v="-13215"/>
    <n v="-16650"/>
    <n v="-24413"/>
    <n v="-20975"/>
    <n v="-14167"/>
    <n v="-17054.5"/>
    <n v="-20374"/>
    <n v="-25531"/>
    <n v="-23859"/>
    <n v="-37555.75"/>
    <n v="-28207"/>
    <n v="-38264.25"/>
    <n v="-280265.5"/>
    <n v="10057.25"/>
  </r>
  <r>
    <x v="1"/>
    <x v="1"/>
    <x v="0"/>
    <s v="2593200"/>
    <n v="400040"/>
    <s v="Physician Svcs Rev--Managed Care"/>
    <s v="Gen Surg-SA-Gen Surg"/>
    <x v="0"/>
    <n v="1400"/>
    <n v="-104227.25"/>
    <n v="-83239.25"/>
    <n v="-63472"/>
    <n v="-66363"/>
    <n v="-52338"/>
    <n v="-53754"/>
    <n v="-83284"/>
    <n v="-93167.25"/>
    <n v="-117977.5"/>
    <n v="-133695"/>
    <n v="-138777"/>
    <n v="-112595"/>
    <n v="-1102889.25"/>
    <n v="-26182"/>
  </r>
  <r>
    <x v="1"/>
    <x v="1"/>
    <x v="0"/>
    <s v="2593200"/>
    <n v="400040"/>
    <s v="Physician Svcs Rev--Self Pay"/>
    <s v="Gen Surg-SA-Gen Surg"/>
    <x v="0"/>
    <n v="1500"/>
    <n v="-4043"/>
    <n v="-1531"/>
    <n v="-7418"/>
    <n v="-2992"/>
    <n v="-200"/>
    <n v="-4825"/>
    <n v="-1183"/>
    <n v="-479"/>
    <n v="-2115"/>
    <n v="-5250"/>
    <n v="-6736"/>
    <n v="378"/>
    <n v="-36394"/>
    <n v="-7114"/>
  </r>
  <r>
    <x v="1"/>
    <x v="1"/>
    <x v="0"/>
    <s v="2593200"/>
    <n v="400040"/>
    <s v="Physician Svcs Rev--Other"/>
    <s v="Gen Surg-SA-Gen Surg"/>
    <x v="0"/>
    <n v="1700"/>
    <n v="-10474"/>
    <n v="-8541"/>
    <n v="-5501"/>
    <n v="-16038"/>
    <n v="-9097"/>
    <n v="-5509"/>
    <n v="-18960"/>
    <n v="-16493.25"/>
    <n v="-31350"/>
    <n v="-18912"/>
    <n v="-12529"/>
    <n v="-19983"/>
    <n v="-173387.25"/>
    <n v="7454"/>
  </r>
  <r>
    <x v="2"/>
    <x v="1"/>
    <x v="0"/>
    <s v="2593200"/>
    <n v="450029"/>
    <s v="Contr Allow--MD Other-Medicare"/>
    <s v="Gen Surg-SA-Gen Surg"/>
    <x v="0"/>
    <n v="1100"/>
    <n v="376.78"/>
    <n v="246.74"/>
    <n v="508.34"/>
    <n v="279.44"/>
    <n v="246.74"/>
    <n v="493.48"/>
    <n v="246.74"/>
    <n v="14.85"/>
    <n v="0"/>
    <n v="14.75"/>
    <n v="14.8"/>
    <n v="0"/>
    <n v="2442.6600000000003"/>
    <n v="14.8"/>
  </r>
  <r>
    <x v="2"/>
    <x v="1"/>
    <x v="0"/>
    <s v="2593200"/>
    <n v="450029"/>
    <s v="Contr Allow--MD Other-Medicaid"/>
    <s v="Gen Surg-SA-Gen Surg"/>
    <x v="0"/>
    <n v="1200"/>
    <n v="100.49"/>
    <n v="0"/>
    <n v="89.94"/>
    <n v="0"/>
    <n v="0"/>
    <n v="0"/>
    <n v="0"/>
    <n v="572.15"/>
    <n v="359.31"/>
    <n v="0"/>
    <n v="0"/>
    <n v="0"/>
    <n v="1121.8899999999999"/>
    <n v="0"/>
  </r>
  <r>
    <x v="2"/>
    <x v="1"/>
    <x v="0"/>
    <s v="2593200"/>
    <n v="450029"/>
    <s v="Contr Allow--MD Other BCBS Comm"/>
    <s v="Gen Surg-SA-Gen Surg"/>
    <x v="0"/>
    <n v="1301"/>
    <n v="0"/>
    <n v="0"/>
    <n v="0"/>
    <n v="6.61"/>
    <n v="0"/>
    <n v="0"/>
    <n v="23"/>
    <n v="0"/>
    <n v="0"/>
    <n v="18.27"/>
    <n v="12.18"/>
    <n v="0"/>
    <n v="60.059999999999995"/>
    <n v="12.18"/>
  </r>
  <r>
    <x v="2"/>
    <x v="1"/>
    <x v="0"/>
    <s v="2593200"/>
    <n v="450029"/>
    <s v="Contr Allow--MD Other-Managed Care"/>
    <s v="Gen Surg-SA-Gen Surg"/>
    <x v="0"/>
    <n v="1400"/>
    <n v="21.12"/>
    <n v="33.25"/>
    <n v="17.38"/>
    <n v="51"/>
    <n v="5.3"/>
    <n v="55.45"/>
    <n v="31.13"/>
    <n v="8.1300000000000008"/>
    <n v="272.60000000000002"/>
    <n v="37.49"/>
    <n v="8.1300000000000008"/>
    <n v="64.489999999999995"/>
    <n v="605.47"/>
    <n v="-56.359999999999992"/>
  </r>
  <r>
    <x v="2"/>
    <x v="1"/>
    <x v="0"/>
    <s v="2593200"/>
    <n v="450029"/>
    <s v="Admin Adjust-MD Other-Self Pay"/>
    <s v="Gen Surg-SA-Gen Surg"/>
    <x v="0"/>
    <n v="1600"/>
    <n v="0"/>
    <n v="0"/>
    <n v="22.61"/>
    <n v="0"/>
    <n v="0"/>
    <n v="0"/>
    <n v="0"/>
    <n v="0"/>
    <n v="0"/>
    <n v="0"/>
    <n v="0"/>
    <n v="0"/>
    <n v="22.61"/>
    <n v="0"/>
  </r>
  <r>
    <x v="2"/>
    <x v="1"/>
    <x v="0"/>
    <s v="2593200"/>
    <n v="450029"/>
    <s v="Contr Allow--MD Other-Other"/>
    <s v="Gen Surg-SA-Gen Surg"/>
    <x v="0"/>
    <n v="1700"/>
    <n v="0"/>
    <n v="0"/>
    <n v="0"/>
    <n v="0"/>
    <n v="0"/>
    <n v="0"/>
    <n v="14.75"/>
    <n v="0"/>
    <n v="14.72"/>
    <n v="0"/>
    <n v="0"/>
    <n v="51"/>
    <n v="80.47"/>
    <n v="-51"/>
  </r>
  <r>
    <x v="2"/>
    <x v="1"/>
    <x v="0"/>
    <s v="2593200"/>
    <n v="450040"/>
    <s v="Contr Allow--Phys Svcs--Mcare"/>
    <s v="Gen Surg-SA-Gen Surg"/>
    <x v="0"/>
    <n v="1100"/>
    <n v="80946.55"/>
    <n v="66767.22"/>
    <n v="25928.43"/>
    <n v="58348.28"/>
    <n v="84795.87"/>
    <n v="27438.799999999999"/>
    <n v="34263.06"/>
    <n v="40438.61"/>
    <n v="62423.31"/>
    <n v="84002.35"/>
    <n v="68963.98"/>
    <n v="85984.74"/>
    <n v="720301.2"/>
    <n v="-17020.760000000009"/>
  </r>
  <r>
    <x v="2"/>
    <x v="1"/>
    <x v="0"/>
    <s v="2593200"/>
    <n v="450040"/>
    <s v="Contr Allow--Phys Svcs--Mcaid"/>
    <s v="Gen Surg-SA-Gen Surg"/>
    <x v="0"/>
    <n v="1200"/>
    <n v="25122.26"/>
    <n v="24003.4"/>
    <n v="38170.04"/>
    <n v="20804.400000000001"/>
    <n v="9032.11"/>
    <n v="16299.53"/>
    <n v="36743.74"/>
    <n v="25270"/>
    <n v="24399.51"/>
    <n v="50437.64"/>
    <n v="37270.6"/>
    <n v="34027.67"/>
    <n v="341580.89999999997"/>
    <n v="3242.9300000000003"/>
  </r>
  <r>
    <x v="2"/>
    <x v="1"/>
    <x v="0"/>
    <s v="2593200"/>
    <n v="450040"/>
    <s v="Contr Allow--Phys Svcs--Comm Insurance"/>
    <s v="Gen Surg-SA-Gen Surg"/>
    <x v="0"/>
    <n v="1300"/>
    <n v="2348.23"/>
    <n v="5875.73"/>
    <n v="1330.81"/>
    <n v="1861.02"/>
    <n v="6976.15"/>
    <n v="7571.41"/>
    <n v="8511.74"/>
    <n v="4475.2299999999996"/>
    <n v="5202.6899999999996"/>
    <n v="5955.51"/>
    <n v="8867.86"/>
    <n v="7281.21"/>
    <n v="66257.59"/>
    <n v="1586.6500000000005"/>
  </r>
  <r>
    <x v="2"/>
    <x v="1"/>
    <x v="0"/>
    <s v="2593200"/>
    <n v="450040"/>
    <s v="Contr Allow--Phys Svcs--BCBS Comm Ins"/>
    <s v="Gen Surg-SA-Gen Surg"/>
    <x v="0"/>
    <n v="1301"/>
    <n v="3767.93"/>
    <n v="8127.34"/>
    <n v="4786.62"/>
    <n v="4636.78"/>
    <n v="7097.86"/>
    <n v="4700.28"/>
    <n v="1440.26"/>
    <n v="12365.64"/>
    <n v="12897.58"/>
    <n v="15430.42"/>
    <n v="10435.43"/>
    <n v="12369.63"/>
    <n v="98055.770000000019"/>
    <n v="-1934.1999999999989"/>
  </r>
  <r>
    <x v="2"/>
    <x v="1"/>
    <x v="0"/>
    <s v="2593200"/>
    <n v="450040"/>
    <s v="Contr Allow--Phys Svcs--Managed Care"/>
    <s v="Gen Surg-SA-Gen Surg"/>
    <x v="0"/>
    <n v="1400"/>
    <n v="36906.26"/>
    <n v="55230.5"/>
    <n v="29365.56"/>
    <n v="16423.13"/>
    <n v="25885.37"/>
    <n v="19528.599999999999"/>
    <n v="34884.51"/>
    <n v="26100.42"/>
    <n v="60008.15"/>
    <n v="49196.87"/>
    <n v="61012.18"/>
    <n v="59893.83"/>
    <n v="474435.38000000006"/>
    <n v="1118.3499999999985"/>
  </r>
  <r>
    <x v="2"/>
    <x v="1"/>
    <x v="0"/>
    <s v="2593200"/>
    <n v="450040"/>
    <s v="Contr Allow--Phys Svcs--BCBS Mgnd Care"/>
    <s v="Gen Surg-SA-Gen Surg"/>
    <x v="0"/>
    <n v="1401"/>
    <n v="15105.34"/>
    <n v="-50005.8"/>
    <n v="6803.47"/>
    <n v="10129.290000000001"/>
    <n v="-49254.92"/>
    <n v="22596.400000000001"/>
    <n v="31376.59"/>
    <n v="19738.009999999998"/>
    <n v="13560.72"/>
    <n v="11797.41"/>
    <n v="16871.71"/>
    <n v="882.42"/>
    <n v="49600.639999999999"/>
    <n v="15989.289999999999"/>
  </r>
  <r>
    <x v="2"/>
    <x v="1"/>
    <x v="0"/>
    <s v="2593200"/>
    <n v="450040"/>
    <s v="Admin Adjust-Phys Svcs-Self Pay"/>
    <s v="Gen Surg-SA-Gen Surg"/>
    <x v="0"/>
    <n v="1600"/>
    <n v="1183.6600000000001"/>
    <n v="9428.2099999999991"/>
    <n v="6333.29"/>
    <n v="-723.22"/>
    <n v="-6664.54"/>
    <n v="1694.55"/>
    <n v="437.71"/>
    <n v="177.23"/>
    <n v="817.54"/>
    <n v="2459.63"/>
    <n v="1072.46"/>
    <n v="-909.09"/>
    <n v="15307.43"/>
    <n v="1981.5500000000002"/>
  </r>
  <r>
    <x v="2"/>
    <x v="1"/>
    <x v="0"/>
    <s v="2593200"/>
    <n v="450040"/>
    <s v="Contr Allow--Phys Svcs--Other"/>
    <s v="Gen Surg-SA-Gen Surg"/>
    <x v="0"/>
    <n v="1700"/>
    <n v="12446.79"/>
    <n v="8702.93"/>
    <n v="2264.11"/>
    <n v="3489.74"/>
    <n v="3373.15"/>
    <n v="2842.65"/>
    <n v="3329.19"/>
    <n v="9775.39"/>
    <n v="9637.73"/>
    <n v="18997.29"/>
    <n v="13390.74"/>
    <n v="7145.93"/>
    <n v="95395.640000000014"/>
    <n v="6244.8099999999995"/>
  </r>
  <r>
    <x v="3"/>
    <x v="1"/>
    <x v="0"/>
    <s v="2593200"/>
    <n v="470040"/>
    <s v="Charity Care-Physician Svcs"/>
    <s v="Gen Surg-SA-Gen Surg"/>
    <x v="0"/>
    <m/>
    <n v="891.52"/>
    <n v="1883.84"/>
    <n v="1263.92"/>
    <n v="2581.36"/>
    <n v="-1137.5"/>
    <n v="220.07"/>
    <n v="4725.18"/>
    <n v="1358.59"/>
    <n v="3995.54"/>
    <n v="1234.08"/>
    <n v="861.93"/>
    <n v="2958.83"/>
    <n v="20837.36"/>
    <n v="-2096.9"/>
  </r>
  <r>
    <x v="4"/>
    <x v="1"/>
    <x v="0"/>
    <s v="2593200"/>
    <n v="490010"/>
    <s v="Provision for Bad Debts"/>
    <s v="Gen Surg-SA-Gen Surg"/>
    <x v="0"/>
    <m/>
    <n v="6124.82"/>
    <n v="-2703.43"/>
    <n v="-1328.59"/>
    <n v="7438.5"/>
    <n v="1616.86"/>
    <n v="5896.04"/>
    <n v="6812.67"/>
    <n v="3223.74"/>
    <n v="3245.65"/>
    <n v="832.84"/>
    <n v="5035.37"/>
    <n v="2485.59"/>
    <n v="38680.06"/>
    <n v="2549.7799999999997"/>
  </r>
  <r>
    <x v="14"/>
    <x v="1"/>
    <x v="0"/>
    <s v="2593200"/>
    <n v="600050"/>
    <s v="Miscellaneous Revenue"/>
    <s v="Gen Surg-SA-Gen Surg"/>
    <x v="0"/>
    <m/>
    <n v="0"/>
    <n v="0"/>
    <n v="-2000"/>
    <n v="0"/>
    <n v="0"/>
    <n v="0"/>
    <n v="-1620"/>
    <n v="-19200"/>
    <n v="-3875"/>
    <n v="-6108"/>
    <n v="-6452"/>
    <n v="-33496"/>
    <n v="-72751"/>
    <n v="27044"/>
  </r>
  <r>
    <x v="5"/>
    <x v="1"/>
    <x v="0"/>
    <s v="2593200"/>
    <n v="700022"/>
    <s v="Salaries-Physician-Productive"/>
    <s v="Gen Surg-SA-Gen Surg"/>
    <x v="0"/>
    <m/>
    <n v="97101.42"/>
    <n v="34524.080000000002"/>
    <n v="45302.400000000001"/>
    <n v="80383.7"/>
    <n v="47256.800000000003"/>
    <n v="37351.519999999997"/>
    <n v="94704.97"/>
    <n v="85128.66"/>
    <n v="62283.59"/>
    <n v="95794.89"/>
    <n v="61571.98"/>
    <n v="137750.82"/>
    <n v="879154.83000000007"/>
    <n v="-76178.84"/>
  </r>
  <r>
    <x v="5"/>
    <x v="1"/>
    <x v="0"/>
    <s v="2593200"/>
    <n v="700022"/>
    <s v="Salaries-Physician-Other"/>
    <s v="Gen Surg-SA-Gen Surg"/>
    <x v="0"/>
    <n v="2000"/>
    <n v="0"/>
    <n v="0"/>
    <n v="2000"/>
    <n v="0"/>
    <n v="0"/>
    <n v="0"/>
    <n v="1620"/>
    <n v="19200"/>
    <n v="3875"/>
    <n v="6108"/>
    <n v="28529.4"/>
    <n v="22318"/>
    <n v="83650.399999999994"/>
    <n v="6211.4000000000015"/>
  </r>
  <r>
    <x v="5"/>
    <x v="1"/>
    <x v="0"/>
    <s v="2593200"/>
    <n v="700022"/>
    <s v="Salaries-Physician-Provider Incentive"/>
    <s v="Gen Surg-SA-Gen Surg"/>
    <x v="0"/>
    <n v="4003"/>
    <n v="0"/>
    <n v="500"/>
    <n v="0"/>
    <n v="0"/>
    <n v="0"/>
    <n v="0"/>
    <n v="4134.2700000000004"/>
    <n v="-2.42"/>
    <n v="-4125.8"/>
    <n v="0"/>
    <n v="-1.85"/>
    <n v="1.85"/>
    <n v="506.05000000000018"/>
    <n v="-3.7"/>
  </r>
  <r>
    <x v="5"/>
    <x v="1"/>
    <x v="0"/>
    <s v="2593200"/>
    <n v="700024"/>
    <s v="Salaries-Advanced Practice Clinician-Productive"/>
    <s v="Gen Surg-SA-Gen Surg"/>
    <x v="0"/>
    <m/>
    <n v="0"/>
    <n v="0"/>
    <n v="0"/>
    <n v="0"/>
    <n v="8461.56"/>
    <n v="7107.7"/>
    <n v="9406.59"/>
    <n v="8473.9599999999991"/>
    <n v="7202.86"/>
    <n v="8897.65"/>
    <n v="8897.66"/>
    <n v="8134.01"/>
    <n v="66581.989999999991"/>
    <n v="763.64999999999964"/>
  </r>
  <r>
    <x v="5"/>
    <x v="1"/>
    <x v="0"/>
    <s v="2593200"/>
    <n v="700024"/>
    <s v="Salaries-Advanced Practice Clinician-Other"/>
    <s v="Gen Surg-SA-Gen Surg"/>
    <x v="0"/>
    <n v="2000"/>
    <n v="0"/>
    <n v="0"/>
    <n v="0"/>
    <n v="0"/>
    <n v="0"/>
    <n v="0"/>
    <n v="0"/>
    <n v="0"/>
    <n v="0"/>
    <n v="0"/>
    <n v="0"/>
    <n v="1338.4"/>
    <n v="1338.4"/>
    <n v="-1338.4"/>
  </r>
  <r>
    <x v="5"/>
    <x v="1"/>
    <x v="0"/>
    <s v="2593200"/>
    <n v="700026"/>
    <s v="Salaries-RN-Productive"/>
    <s v="Gen Surg-SA-Gen Surg"/>
    <x v="0"/>
    <m/>
    <n v="0"/>
    <n v="0"/>
    <n v="0"/>
    <n v="0"/>
    <n v="0"/>
    <n v="0"/>
    <n v="0"/>
    <n v="0"/>
    <n v="8726.7999999999993"/>
    <n v="7679.56"/>
    <n v="5956.05"/>
    <n v="6883.26"/>
    <n v="29245.67"/>
    <n v="-927.21"/>
  </r>
  <r>
    <x v="5"/>
    <x v="1"/>
    <x v="0"/>
    <s v="2593200"/>
    <n v="700026"/>
    <s v="Salaries-RN-OT"/>
    <s v="Gen Surg-SA-Gen Surg"/>
    <x v="0"/>
    <n v="1000"/>
    <n v="0"/>
    <n v="0"/>
    <n v="0"/>
    <n v="0"/>
    <n v="0"/>
    <n v="0"/>
    <n v="0"/>
    <n v="0"/>
    <n v="1268.0999999999999"/>
    <n v="1122.5"/>
    <n v="-377.97"/>
    <n v="0"/>
    <n v="2012.6299999999999"/>
    <n v="-377.97"/>
  </r>
  <r>
    <x v="5"/>
    <x v="1"/>
    <x v="0"/>
    <s v="2593200"/>
    <n v="700030"/>
    <s v="Salaries-LPN-Productive"/>
    <s v="Gen Surg-SA-Gen Surg"/>
    <x v="0"/>
    <m/>
    <n v="5428.2"/>
    <n v="5772.81"/>
    <n v="3142.83"/>
    <n v="8228.59"/>
    <n v="2945.76"/>
    <n v="3302.4"/>
    <n v="2555.29"/>
    <n v="898.44"/>
    <n v="-96.16"/>
    <n v="1635.66"/>
    <n v="6848.02"/>
    <n v="4658.07"/>
    <n v="45319.910000000011"/>
    <n v="2189.9500000000007"/>
  </r>
  <r>
    <x v="5"/>
    <x v="1"/>
    <x v="0"/>
    <s v="2593200"/>
    <n v="700030"/>
    <s v="Salaries-LPN-OT"/>
    <s v="Gen Surg-SA-Gen Surg"/>
    <x v="0"/>
    <n v="1000"/>
    <n v="0"/>
    <n v="74.52"/>
    <n v="130.41"/>
    <n v="114.21"/>
    <n v="-42.48"/>
    <n v="134.35"/>
    <n v="0"/>
    <n v="0"/>
    <n v="0"/>
    <n v="0"/>
    <n v="274.89999999999998"/>
    <n v="-22.91"/>
    <n v="663"/>
    <n v="297.81"/>
  </r>
  <r>
    <x v="5"/>
    <x v="1"/>
    <x v="0"/>
    <s v="2593200"/>
    <n v="700030"/>
    <s v="Salaries-LPN-Other"/>
    <s v="Gen Surg-SA-Gen Surg"/>
    <x v="0"/>
    <n v="2000"/>
    <n v="0"/>
    <n v="0"/>
    <n v="0"/>
    <n v="0"/>
    <n v="0"/>
    <n v="0"/>
    <n v="0"/>
    <n v="0"/>
    <n v="0"/>
    <n v="30.06"/>
    <n v="-0.02"/>
    <n v="0"/>
    <n v="30.04"/>
    <n v="-0.02"/>
  </r>
  <r>
    <x v="5"/>
    <x v="1"/>
    <x v="0"/>
    <s v="2593200"/>
    <n v="700032"/>
    <s v="Salaries-Other Pat Care Providers-Productive"/>
    <s v="Gen Surg-SA-Gen Surg"/>
    <x v="0"/>
    <m/>
    <n v="318.68"/>
    <n v="-35.979999999999997"/>
    <n v="524.28"/>
    <n v="-51.4"/>
    <n v="713.43"/>
    <n v="-20.83"/>
    <n v="1891.02"/>
    <n v="2094.85"/>
    <n v="343.14"/>
    <n v="337.88"/>
    <n v="46.18"/>
    <n v="0"/>
    <n v="6161.25"/>
    <n v="46.18"/>
  </r>
  <r>
    <x v="5"/>
    <x v="1"/>
    <x v="0"/>
    <s v="2593200"/>
    <n v="700032"/>
    <s v="Salaries-Other Pat Care Providers-OT"/>
    <s v="Gen Surg-SA-Gen Surg"/>
    <x v="0"/>
    <n v="1000"/>
    <n v="0"/>
    <n v="0"/>
    <n v="0"/>
    <n v="0"/>
    <n v="0"/>
    <n v="0"/>
    <n v="30.3"/>
    <n v="-8.65"/>
    <n v="0"/>
    <n v="0"/>
    <n v="0"/>
    <n v="0"/>
    <n v="21.65"/>
    <n v="0"/>
  </r>
  <r>
    <x v="5"/>
    <x v="1"/>
    <x v="0"/>
    <s v="2593200"/>
    <n v="700032"/>
    <s v="Salaries-Other Pat Care Providers-Other"/>
    <s v="Gen Surg-SA-Gen Surg"/>
    <x v="0"/>
    <n v="2000"/>
    <n v="0"/>
    <n v="0"/>
    <n v="0"/>
    <n v="0"/>
    <n v="0"/>
    <n v="0"/>
    <n v="35.979999999999997"/>
    <n v="56.03"/>
    <n v="-3.95"/>
    <n v="0"/>
    <n v="5.01"/>
    <n v="0"/>
    <n v="93.07"/>
    <n v="5.01"/>
  </r>
  <r>
    <x v="5"/>
    <x v="1"/>
    <x v="0"/>
    <s v="2593200"/>
    <n v="700054"/>
    <s v="Salaries-Management-NonProd-Other"/>
    <s v="Gen Surg-SA-Gen Surg"/>
    <x v="0"/>
    <n v="2000"/>
    <n v="0"/>
    <n v="0"/>
    <n v="0"/>
    <n v="0"/>
    <n v="0"/>
    <n v="3755.66"/>
    <n v="-3755.66"/>
    <n v="0"/>
    <n v="0"/>
    <n v="0"/>
    <n v="0"/>
    <n v="0"/>
    <n v="0"/>
    <n v="0"/>
  </r>
  <r>
    <x v="5"/>
    <x v="1"/>
    <x v="0"/>
    <s v="2593200"/>
    <n v="700062"/>
    <s v="Salaries-Physician-Non-productive"/>
    <s v="Gen Surg-SA-Gen Surg"/>
    <x v="0"/>
    <m/>
    <n v="0"/>
    <n v="33259.199999999997"/>
    <n v="-9522.4"/>
    <n v="0"/>
    <n v="0"/>
    <n v="1877.56"/>
    <n v="2700.57"/>
    <n v="13126.8"/>
    <n v="-2250.59"/>
    <n v="30299.49"/>
    <n v="10019.07"/>
    <n v="-413.08"/>
    <n v="79096.62000000001"/>
    <n v="10432.15"/>
  </r>
  <r>
    <x v="5"/>
    <x v="1"/>
    <x v="0"/>
    <s v="2593200"/>
    <n v="700062"/>
    <s v="Salaries-Physician-NonProd-Other"/>
    <s v="Gen Surg-SA-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3200"/>
    <n v="700064"/>
    <s v="Salaries-Advanced Practice Clinician-Non-Productive"/>
    <s v="Gen Surg-SA-Gen Surg"/>
    <x v="0"/>
    <m/>
    <n v="0"/>
    <n v="0"/>
    <n v="0"/>
    <n v="0"/>
    <n v="219.46"/>
    <n v="2010.69"/>
    <n v="571.75"/>
    <n v="229.3"/>
    <n v="1925.25"/>
    <n v="652.36"/>
    <n v="1075.6500000000001"/>
    <n v="650.21"/>
    <n v="7334.670000000001"/>
    <n v="425.44000000000005"/>
  </r>
  <r>
    <x v="5"/>
    <x v="1"/>
    <x v="0"/>
    <s v="2593200"/>
    <n v="700066"/>
    <s v="Salaries-RN-Non-productive"/>
    <s v="Gen Surg-SA-Gen Surg"/>
    <x v="0"/>
    <m/>
    <n v="0"/>
    <n v="0"/>
    <n v="0"/>
    <n v="0"/>
    <n v="0"/>
    <n v="0"/>
    <n v="0"/>
    <n v="0"/>
    <n v="0"/>
    <n v="0"/>
    <n v="2094.4299999999998"/>
    <n v="0"/>
    <n v="2094.4299999999998"/>
    <n v="2094.4299999999998"/>
  </r>
  <r>
    <x v="5"/>
    <x v="1"/>
    <x v="0"/>
    <s v="2593200"/>
    <n v="700070"/>
    <s v="Salaries-LPN-Non-productive"/>
    <s v="Gen Surg-SA-Gen Surg"/>
    <x v="0"/>
    <m/>
    <n v="624"/>
    <n v="2365.92"/>
    <n v="5593.44"/>
    <n v="-537.72"/>
    <n v="140.74"/>
    <n v="451.02"/>
    <n v="578.6"/>
    <n v="-56.38"/>
    <n v="0"/>
    <n v="0"/>
    <n v="0"/>
    <n v="0"/>
    <n v="9159.6200000000008"/>
    <n v="0"/>
  </r>
  <r>
    <x v="5"/>
    <x v="1"/>
    <x v="0"/>
    <s v="2593200"/>
    <n v="700070"/>
    <s v="Salaries-LPN-NonProd-Other"/>
    <s v="Gen Surg-SA-Gen Surg"/>
    <x v="0"/>
    <n v="2000"/>
    <n v="0"/>
    <n v="0"/>
    <n v="0"/>
    <n v="0"/>
    <n v="19.2"/>
    <n v="0"/>
    <n v="0"/>
    <n v="0"/>
    <n v="0"/>
    <n v="0"/>
    <n v="0"/>
    <n v="0"/>
    <n v="19.2"/>
    <n v="0"/>
  </r>
  <r>
    <x v="5"/>
    <x v="1"/>
    <x v="0"/>
    <s v="2593200"/>
    <n v="700084"/>
    <s v="Accrued PTO"/>
    <s v="Gen Surg-SA-Gen Surg"/>
    <x v="0"/>
    <m/>
    <n v="-67.319999999999993"/>
    <n v="-1324.8"/>
    <n v="395.03"/>
    <n v="328.31"/>
    <n v="366.45"/>
    <n v="166.08"/>
    <n v="-218.54"/>
    <n v="-1246.97"/>
    <n v="1003.72"/>
    <n v="996.88"/>
    <n v="-274.38"/>
    <n v="1661.17"/>
    <n v="1785.63"/>
    <n v="-1935.5500000000002"/>
  </r>
  <r>
    <x v="6"/>
    <x v="1"/>
    <x v="0"/>
    <s v="2593200"/>
    <n v="713010"/>
    <s v="Benefits-FICA/Medicare"/>
    <s v="Gen Surg-SA-Gen Surg"/>
    <x v="0"/>
    <m/>
    <n v="1866.23"/>
    <n v="1579.42"/>
    <n v="1209.3599999999999"/>
    <n v="1729.58"/>
    <n v="1448.21"/>
    <n v="3352.9"/>
    <n v="9177.5400000000009"/>
    <n v="8267.94"/>
    <n v="8647.74"/>
    <n v="6467.95"/>
    <n v="-660.91"/>
    <n v="4889.2700000000004"/>
    <n v="47975.229999999996"/>
    <n v="-5550.18"/>
  </r>
  <r>
    <x v="6"/>
    <x v="1"/>
    <x v="0"/>
    <s v="2593200"/>
    <n v="713090"/>
    <s v="Benefits-Allocated Amounts"/>
    <s v="Gen Surg-SA-Gen Surg"/>
    <x v="0"/>
    <m/>
    <n v="0"/>
    <n v="0"/>
    <n v="0"/>
    <n v="0"/>
    <n v="0"/>
    <n v="0"/>
    <n v="0"/>
    <n v="0"/>
    <n v="26085.37"/>
    <n v="4854.24"/>
    <n v="4242.7299999999996"/>
    <n v="6061.42"/>
    <n v="41243.759999999995"/>
    <n v="-1818.6900000000005"/>
  </r>
  <r>
    <x v="6"/>
    <x v="1"/>
    <x v="0"/>
    <s v="2593200"/>
    <n v="713092"/>
    <s v="Allocated Benefits-Physician"/>
    <s v="Gen Surg-SA-Gen Surg"/>
    <x v="0"/>
    <m/>
    <n v="8127.98"/>
    <n v="5664.16"/>
    <n v="4975.32"/>
    <n v="6514.68"/>
    <n v="4919.79"/>
    <n v="4993.1899999999996"/>
    <n v="9845.1"/>
    <n v="10342.34"/>
    <n v="-22790.54"/>
    <n v="6065.08"/>
    <n v="5301.03"/>
    <n v="7573.36"/>
    <n v="51531.49"/>
    <n v="-2272.33"/>
  </r>
  <r>
    <x v="6"/>
    <x v="1"/>
    <x v="0"/>
    <s v="2593200"/>
    <n v="713093"/>
    <s v="Allocated Benefits-Advanced Practice Clinician"/>
    <s v="Gen Surg-SA-Gen Surg"/>
    <x v="0"/>
    <m/>
    <n v="0"/>
    <n v="0"/>
    <n v="0"/>
    <n v="0"/>
    <n v="0"/>
    <n v="0"/>
    <n v="0"/>
    <n v="0"/>
    <n v="5609.49"/>
    <n v="1043.8800000000001"/>
    <n v="912.37"/>
    <n v="1303.47"/>
    <n v="8869.2099999999991"/>
    <n v="-391.1"/>
  </r>
  <r>
    <x v="7"/>
    <x v="1"/>
    <x v="0"/>
    <s v="2593200"/>
    <n v="718010"/>
    <s v="Media/Print Advertising"/>
    <s v="Gen Surg-SA-Gen Surg"/>
    <x v="0"/>
    <n v="1004"/>
    <n v="0"/>
    <n v="0"/>
    <n v="0"/>
    <n v="96.26"/>
    <n v="0"/>
    <n v="0"/>
    <n v="0"/>
    <n v="0"/>
    <n v="0"/>
    <n v="0"/>
    <n v="0"/>
    <n v="0"/>
    <n v="96.26"/>
    <n v="0"/>
  </r>
  <r>
    <x v="7"/>
    <x v="1"/>
    <x v="0"/>
    <s v="2593200"/>
    <n v="718040"/>
    <s v="Contract Svcs-Laboratory"/>
    <s v="Gen Surg-SA-Gen Surg"/>
    <x v="0"/>
    <m/>
    <n v="0"/>
    <n v="0"/>
    <n v="0"/>
    <n v="0"/>
    <n v="227"/>
    <n v="0"/>
    <n v="0"/>
    <n v="0"/>
    <n v="0"/>
    <n v="0"/>
    <n v="0"/>
    <n v="0"/>
    <n v="227"/>
    <n v="0"/>
  </r>
  <r>
    <x v="7"/>
    <x v="1"/>
    <x v="0"/>
    <s v="2593200"/>
    <n v="718050"/>
    <s v="Contract Management--Linen"/>
    <s v="Gen Surg-SA-Gen Surg"/>
    <x v="0"/>
    <n v="1026"/>
    <n v="197.5"/>
    <n v="158"/>
    <n v="237"/>
    <n v="158"/>
    <n v="225.75"/>
    <n v="118.5"/>
    <n v="118.5"/>
    <n v="118.5"/>
    <n v="240.99"/>
    <n v="39.5"/>
    <n v="79"/>
    <n v="197.5"/>
    <n v="1888.74"/>
    <n v="-118.5"/>
  </r>
  <r>
    <x v="7"/>
    <x v="1"/>
    <x v="0"/>
    <s v="2593200"/>
    <n v="718050"/>
    <s v="Purchased Srvcs--Medical Waste"/>
    <s v="Gen Surg-SA-Gen Surg"/>
    <x v="0"/>
    <n v="1027"/>
    <n v="44.78"/>
    <n v="44.78"/>
    <n v="40.67"/>
    <n v="44.78"/>
    <n v="89.56"/>
    <n v="44.78"/>
    <n v="10.36"/>
    <n v="65.8"/>
    <n v="45.08"/>
    <n v="45.08"/>
    <n v="0"/>
    <n v="45.08"/>
    <n v="520.75"/>
    <n v="-45.08"/>
  </r>
  <r>
    <x v="11"/>
    <x v="1"/>
    <x v="0"/>
    <s v="2593200"/>
    <n v="721010"/>
    <s v="Supplies-Medical - Billable"/>
    <s v="Gen Surg-SA-Gen Surg"/>
    <x v="0"/>
    <m/>
    <n v="3557.4"/>
    <n v="-3557.4"/>
    <n v="0"/>
    <n v="0"/>
    <n v="0"/>
    <n v="0"/>
    <n v="0"/>
    <n v="0"/>
    <n v="0"/>
    <n v="0"/>
    <n v="0"/>
    <n v="0"/>
    <n v="0"/>
    <n v="0"/>
  </r>
  <r>
    <x v="11"/>
    <x v="1"/>
    <x v="0"/>
    <s v="2593200"/>
    <n v="721410"/>
    <s v="Supplies-Medical - Nonbillable"/>
    <s v="Gen Surg-SA-Gen Surg"/>
    <x v="0"/>
    <m/>
    <n v="798.07"/>
    <n v="650.41"/>
    <n v="708.9"/>
    <n v="0"/>
    <n v="1333.7"/>
    <n v="0"/>
    <n v="663.8"/>
    <n v="1541.17"/>
    <n v="55.55"/>
    <n v="0"/>
    <n v="503.4"/>
    <n v="2108.63"/>
    <n v="8363.630000000001"/>
    <n v="-1605.23"/>
  </r>
  <r>
    <x v="11"/>
    <x v="1"/>
    <x v="0"/>
    <s v="2593200"/>
    <n v="721830"/>
    <s v="Supplies-Office"/>
    <s v="Gen Surg-SA-Gen Surg"/>
    <x v="0"/>
    <m/>
    <n v="0"/>
    <n v="0"/>
    <n v="0"/>
    <n v="0"/>
    <n v="0"/>
    <n v="0"/>
    <n v="0"/>
    <n v="0"/>
    <n v="0"/>
    <n v="0"/>
    <n v="0"/>
    <n v="44.11"/>
    <n v="44.11"/>
    <n v="-44.11"/>
  </r>
  <r>
    <x v="11"/>
    <x v="1"/>
    <x v="0"/>
    <s v="2593200"/>
    <n v="721910"/>
    <s v="Supplies-Small Equipment"/>
    <s v="Gen Surg-SA-Gen Surg"/>
    <x v="0"/>
    <m/>
    <n v="0"/>
    <n v="48.99"/>
    <n v="0"/>
    <n v="0"/>
    <n v="0"/>
    <n v="0"/>
    <n v="0"/>
    <n v="0"/>
    <n v="0"/>
    <n v="0"/>
    <n v="0"/>
    <n v="0"/>
    <n v="48.99"/>
    <n v="0"/>
  </r>
  <r>
    <x v="16"/>
    <x v="1"/>
    <x v="0"/>
    <s v="2593200"/>
    <n v="732015"/>
    <s v="Repairs-Clinical Equip-T&amp;M-Ext to CHI Programs"/>
    <s v="Gen Surg-SA-Gen Surg"/>
    <x v="0"/>
    <m/>
    <n v="0"/>
    <n v="24.52"/>
    <n v="12.26"/>
    <n v="12.26"/>
    <n v="12.26"/>
    <n v="12.26"/>
    <n v="12.26"/>
    <n v="12.26"/>
    <n v="12.26"/>
    <n v="12.26"/>
    <n v="0"/>
    <n v="0"/>
    <n v="122.60000000000002"/>
    <n v="0"/>
  </r>
  <r>
    <x v="0"/>
    <x v="1"/>
    <x v="0"/>
    <s v="2593200"/>
    <n v="740010"/>
    <s v="Education-Materials"/>
    <s v="Gen Surg-SA-Gen Surg"/>
    <x v="0"/>
    <m/>
    <n v="0"/>
    <n v="0"/>
    <n v="1168.43"/>
    <n v="0"/>
    <n v="0"/>
    <n v="0"/>
    <n v="0"/>
    <n v="0"/>
    <n v="0"/>
    <n v="0"/>
    <n v="0"/>
    <n v="0"/>
    <n v="1168.43"/>
    <n v="0"/>
  </r>
  <r>
    <x v="0"/>
    <x v="1"/>
    <x v="0"/>
    <s v="2593200"/>
    <n v="740022"/>
    <s v="Education-Physician"/>
    <s v="Gen Surg-SA-Gen Surg"/>
    <x v="0"/>
    <m/>
    <n v="0"/>
    <n v="0"/>
    <n v="0"/>
    <n v="0"/>
    <n v="0"/>
    <n v="0"/>
    <n v="0"/>
    <n v="0"/>
    <n v="0"/>
    <n v="549"/>
    <n v="0"/>
    <n v="0"/>
    <n v="549"/>
    <n v="0"/>
  </r>
  <r>
    <x v="8"/>
    <x v="1"/>
    <x v="0"/>
    <s v="2593200"/>
    <n v="741012"/>
    <s v="Physician Liab Insurance-CHI Program"/>
    <s v="Gen Surg-SA-Gen Surg"/>
    <x v="0"/>
    <m/>
    <n v="5115.6000000000004"/>
    <n v="3583.6"/>
    <n v="1999.86"/>
    <n v="1878.4"/>
    <n v="1878.39"/>
    <n v="1878.4"/>
    <n v="3809.39"/>
    <n v="3809.4"/>
    <n v="5514.59"/>
    <n v="5514.6"/>
    <n v="5514.6"/>
    <n v="5514.59"/>
    <n v="46011.42"/>
    <n v="1.0000000000218279E-2"/>
  </r>
  <r>
    <x v="0"/>
    <x v="1"/>
    <x v="0"/>
    <s v="2593200"/>
    <n v="743020"/>
    <s v="Dues--Individual"/>
    <s v="Gen Surg-SA-Gen Surg"/>
    <x v="0"/>
    <m/>
    <n v="0"/>
    <n v="0"/>
    <n v="0"/>
    <n v="0"/>
    <n v="0"/>
    <n v="0"/>
    <n v="0"/>
    <n v="535"/>
    <n v="0"/>
    <n v="0"/>
    <n v="0"/>
    <n v="0"/>
    <n v="535"/>
    <n v="0"/>
  </r>
  <r>
    <x v="0"/>
    <x v="1"/>
    <x v="0"/>
    <s v="2593200"/>
    <n v="743022"/>
    <s v="Dues-Physician"/>
    <s v="Gen Surg-SA-Gen Surg"/>
    <x v="0"/>
    <m/>
    <n v="0"/>
    <n v="0"/>
    <n v="375"/>
    <n v="0"/>
    <n v="0"/>
    <n v="0"/>
    <n v="0"/>
    <n v="570"/>
    <n v="520"/>
    <n v="250"/>
    <n v="0"/>
    <n v="0"/>
    <n v="1715"/>
    <n v="0"/>
  </r>
  <r>
    <x v="0"/>
    <x v="1"/>
    <x v="0"/>
    <s v="2593200"/>
    <n v="744010"/>
    <s v="Physician Recruitment Firm Fees"/>
    <s v="Gen Surg-SA-Gen Surg"/>
    <x v="0"/>
    <n v="1000"/>
    <n v="0"/>
    <n v="0"/>
    <n v="0"/>
    <n v="0"/>
    <n v="0"/>
    <n v="0"/>
    <n v="0"/>
    <n v="4280"/>
    <n v="0"/>
    <n v="0"/>
    <n v="-4280"/>
    <n v="0"/>
    <n v="0"/>
    <n v="-4280"/>
  </r>
  <r>
    <x v="0"/>
    <x v="1"/>
    <x v="0"/>
    <s v="2593200"/>
    <n v="749510"/>
    <s v="Miscellaneous Expenses"/>
    <s v="Gen Surg-SA-Gen Surg"/>
    <x v="0"/>
    <m/>
    <n v="0"/>
    <n v="0"/>
    <n v="0"/>
    <n v="0"/>
    <n v="0"/>
    <n v="0"/>
    <n v="24457.45"/>
    <n v="1504.89"/>
    <n v="50088.13"/>
    <n v="0"/>
    <n v="-76050.47"/>
    <n v="0"/>
    <n v="0"/>
    <n v="-76050.47"/>
  </r>
  <r>
    <x v="0"/>
    <x v="1"/>
    <x v="0"/>
    <s v="2593200"/>
    <n v="749512"/>
    <s v="Licenses-Physician"/>
    <s v="Gen Surg-SA-Gen Surg"/>
    <x v="0"/>
    <n v="2000"/>
    <n v="0"/>
    <n v="0"/>
    <n v="0"/>
    <n v="0"/>
    <n v="0"/>
    <n v="0"/>
    <n v="0"/>
    <n v="0"/>
    <n v="0"/>
    <n v="0"/>
    <n v="0"/>
    <n v="657"/>
    <n v="657"/>
    <n v="-657"/>
  </r>
  <r>
    <x v="0"/>
    <x v="1"/>
    <x v="0"/>
    <s v="2593200"/>
    <n v="749530"/>
    <s v="Travel"/>
    <s v="Gen Surg-SA-Gen Sur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2593200"/>
    <n v="749530"/>
    <s v="Mileage"/>
    <s v="Gen Surg-SA-Gen Surg"/>
    <x v="0"/>
    <n v="1001"/>
    <n v="0"/>
    <n v="0"/>
    <n v="0"/>
    <n v="0"/>
    <n v="0"/>
    <n v="30.52"/>
    <n v="79.23"/>
    <n v="472.53"/>
    <n v="342.25"/>
    <n v="0"/>
    <n v="-894.01"/>
    <n v="0"/>
    <n v="30.519999999999982"/>
    <n v="-894.01"/>
  </r>
  <r>
    <x v="0"/>
    <x v="1"/>
    <x v="0"/>
    <s v="2593200"/>
    <n v="749532"/>
    <s v="Travel-Physician"/>
    <s v="Gen Surg-SA-Gen Surg"/>
    <x v="0"/>
    <m/>
    <n v="0"/>
    <n v="0"/>
    <n v="0"/>
    <n v="0"/>
    <n v="0"/>
    <n v="0"/>
    <n v="209.96"/>
    <n v="0"/>
    <n v="0"/>
    <n v="713.34"/>
    <n v="0"/>
    <n v="0"/>
    <n v="923.30000000000007"/>
    <n v="0"/>
  </r>
  <r>
    <x v="9"/>
    <x v="1"/>
    <x v="0"/>
    <s v="2593200"/>
    <n v="800015"/>
    <s v="Interest Income-Ext to CHI"/>
    <s v="Gen Surg-SA-Gen Surg"/>
    <x v="0"/>
    <m/>
    <n v="0"/>
    <n v="0"/>
    <n v="0"/>
    <n v="0"/>
    <n v="-11.13"/>
    <n v="-25.43"/>
    <n v="-144.52000000000001"/>
    <n v="-140.43"/>
    <n v="-148.62"/>
    <n v="-137.19"/>
    <n v="-134.91"/>
    <n v="-123.92"/>
    <n v="-866.14999999999986"/>
    <n v="-10.989999999999995"/>
  </r>
  <r>
    <x v="1"/>
    <x v="1"/>
    <x v="0"/>
    <s v="2594200"/>
    <n v="400029"/>
    <s v="MD Practice Other Rev--Medicare"/>
    <s v="Ortho/Sport Med-EN-Ortho Surg"/>
    <x v="0"/>
    <n v="1100"/>
    <n v="-960"/>
    <n v="-2638"/>
    <n v="-2217"/>
    <n v="-418"/>
    <n v="-1667"/>
    <n v="-650"/>
    <n v="-1391"/>
    <n v="-925"/>
    <n v="-1227"/>
    <n v="-1982"/>
    <n v="-1557"/>
    <n v="-1569"/>
    <n v="-17201"/>
    <n v="12"/>
  </r>
  <r>
    <x v="1"/>
    <x v="1"/>
    <x v="0"/>
    <s v="2594200"/>
    <n v="400029"/>
    <s v="MD Practice Other Rev--Medicaid"/>
    <s v="Ortho/Sport Med-EN-Ortho Surg"/>
    <x v="0"/>
    <n v="1200"/>
    <n v="-355"/>
    <n v="-770"/>
    <n v="-563"/>
    <n v="-374"/>
    <n v="-639"/>
    <n v="-419"/>
    <n v="-396"/>
    <n v="-476"/>
    <n v="-405"/>
    <n v="-519"/>
    <n v="-632"/>
    <n v="-654"/>
    <n v="-6202"/>
    <n v="22"/>
  </r>
  <r>
    <x v="1"/>
    <x v="1"/>
    <x v="0"/>
    <s v="2594200"/>
    <n v="400029"/>
    <s v="MD Practice Other Rev--Comm Insurance"/>
    <s v="Ortho/Sport Med-EN-Ortho Surg"/>
    <x v="0"/>
    <n v="1300"/>
    <n v="0"/>
    <n v="-172"/>
    <n v="-167"/>
    <n v="-363"/>
    <n v="-347"/>
    <n v="-64"/>
    <n v="-87"/>
    <n v="-117"/>
    <n v="-234"/>
    <n v="0"/>
    <n v="-111"/>
    <n v="-81"/>
    <n v="-1743"/>
    <n v="-30"/>
  </r>
  <r>
    <x v="1"/>
    <x v="1"/>
    <x v="0"/>
    <s v="2594200"/>
    <n v="400029"/>
    <s v="MD Practice Other Rev--BCBS Comm"/>
    <s v="Ortho/Sport Med-EN-Ortho Surg"/>
    <x v="0"/>
    <n v="1301"/>
    <n v="-87"/>
    <n v="-168"/>
    <n v="-352"/>
    <n v="-309"/>
    <n v="-467"/>
    <n v="-596"/>
    <n v="-520"/>
    <n v="-416"/>
    <n v="-647"/>
    <n v="-926"/>
    <n v="-842"/>
    <n v="-214"/>
    <n v="-5544"/>
    <n v="-628"/>
  </r>
  <r>
    <x v="1"/>
    <x v="1"/>
    <x v="0"/>
    <s v="2594200"/>
    <n v="400029"/>
    <s v="MD Practice Other Rev--Managed Care"/>
    <s v="Ortho/Sport Med-EN-Ortho Surg"/>
    <x v="0"/>
    <n v="1400"/>
    <n v="-860"/>
    <n v="-1108"/>
    <n v="-1272"/>
    <n v="-539"/>
    <n v="-222"/>
    <n v="-802"/>
    <n v="-1223"/>
    <n v="-1170"/>
    <n v="-685"/>
    <n v="-1907"/>
    <n v="-1201"/>
    <n v="-1027"/>
    <n v="-12016"/>
    <n v="-174"/>
  </r>
  <r>
    <x v="1"/>
    <x v="1"/>
    <x v="0"/>
    <s v="2594200"/>
    <n v="400029"/>
    <s v="MD Practice Other Rev--Self Pay"/>
    <s v="Ortho/Sport Med-EN-Ortho Surg"/>
    <x v="0"/>
    <n v="1500"/>
    <n v="0"/>
    <n v="-174"/>
    <n v="0"/>
    <n v="0"/>
    <n v="0"/>
    <n v="0"/>
    <n v="0"/>
    <n v="-77"/>
    <n v="-77"/>
    <n v="-221"/>
    <n v="0"/>
    <n v="0"/>
    <n v="-549"/>
    <n v="0"/>
  </r>
  <r>
    <x v="1"/>
    <x v="1"/>
    <x v="0"/>
    <s v="2594200"/>
    <n v="400029"/>
    <s v="MD Practice Other Rev--Other"/>
    <s v="Ortho/Sport Med-EN-Ortho Surg"/>
    <x v="0"/>
    <n v="1700"/>
    <n v="-81"/>
    <n v="-87"/>
    <n v="0"/>
    <n v="0"/>
    <n v="-169"/>
    <n v="-291"/>
    <n v="-184"/>
    <n v="-580"/>
    <n v="-648"/>
    <n v="-358"/>
    <n v="-301"/>
    <n v="-390"/>
    <n v="-3089"/>
    <n v="89"/>
  </r>
  <r>
    <x v="1"/>
    <x v="1"/>
    <x v="0"/>
    <s v="2594200"/>
    <n v="400040"/>
    <s v="Physician Svcs Rev--Medicare"/>
    <s v="Ortho/Sport Med-EN-Ortho Surg"/>
    <x v="0"/>
    <n v="1100"/>
    <n v="-54534"/>
    <n v="-75219"/>
    <n v="-52883"/>
    <n v="-81465"/>
    <n v="-102083"/>
    <n v="-76337"/>
    <n v="-71853"/>
    <n v="-75971"/>
    <n v="-74410"/>
    <n v="-68687"/>
    <n v="-68603"/>
    <n v="-29269"/>
    <n v="-831314"/>
    <n v="-39334"/>
  </r>
  <r>
    <x v="1"/>
    <x v="1"/>
    <x v="0"/>
    <s v="2594200"/>
    <n v="400040"/>
    <s v="Physician Svcs Rev--Medicaid"/>
    <s v="Ortho/Sport Med-EN-Ortho Surg"/>
    <x v="0"/>
    <n v="1200"/>
    <n v="-15498"/>
    <n v="-23644"/>
    <n v="-11539"/>
    <n v="-6402"/>
    <n v="-33090"/>
    <n v="-9041"/>
    <n v="-8122"/>
    <n v="-13579"/>
    <n v="-14764"/>
    <n v="-13811"/>
    <n v="-15916"/>
    <n v="-15361"/>
    <n v="-180767"/>
    <n v="-555"/>
  </r>
  <r>
    <x v="1"/>
    <x v="1"/>
    <x v="0"/>
    <s v="2594200"/>
    <n v="400040"/>
    <s v="Physician Svcs Rev--Comm Insurance"/>
    <s v="Ortho/Sport Med-EN-Ortho Surg"/>
    <x v="0"/>
    <n v="1300"/>
    <n v="-3068"/>
    <n v="-775"/>
    <n v="-1604"/>
    <n v="-1113"/>
    <n v="-7889"/>
    <n v="-5434"/>
    <n v="-2596"/>
    <n v="-4882"/>
    <n v="-18945"/>
    <n v="-1908"/>
    <n v="-4871"/>
    <n v="-3080"/>
    <n v="-56165"/>
    <n v="-1791"/>
  </r>
  <r>
    <x v="1"/>
    <x v="1"/>
    <x v="0"/>
    <s v="2594200"/>
    <n v="400040"/>
    <s v="Physician Svcs Rev--BCBS Comm"/>
    <s v="Ortho/Sport Med-EN-Ortho Surg"/>
    <x v="0"/>
    <n v="1301"/>
    <n v="-9266"/>
    <n v="-5738"/>
    <n v="-9804"/>
    <n v="-16674"/>
    <n v="-12175"/>
    <n v="-18703"/>
    <n v="-14493"/>
    <n v="-27890"/>
    <n v="-18274"/>
    <n v="-11607"/>
    <n v="-16860"/>
    <n v="-11519"/>
    <n v="-173003"/>
    <n v="-5341"/>
  </r>
  <r>
    <x v="1"/>
    <x v="1"/>
    <x v="0"/>
    <s v="2594200"/>
    <n v="400040"/>
    <s v="Physician Svcs Rev--Managed Care"/>
    <s v="Ortho/Sport Med-EN-Ortho Surg"/>
    <x v="0"/>
    <n v="1400"/>
    <n v="-34498"/>
    <n v="-55002"/>
    <n v="-31622"/>
    <n v="-36798"/>
    <n v="-34989"/>
    <n v="-25810"/>
    <n v="-42226"/>
    <n v="-37215"/>
    <n v="-63482"/>
    <n v="-17009"/>
    <n v="-28043"/>
    <n v="-32561"/>
    <n v="-439255"/>
    <n v="4518"/>
  </r>
  <r>
    <x v="1"/>
    <x v="1"/>
    <x v="0"/>
    <s v="2594200"/>
    <n v="400040"/>
    <s v="Physician Svcs Rev--Self Pay"/>
    <s v="Ortho/Sport Med-EN-Ortho Surg"/>
    <x v="0"/>
    <n v="1500"/>
    <n v="-653"/>
    <n v="-1091"/>
    <n v="-919"/>
    <n v="-121"/>
    <n v="-206"/>
    <n v="-1416"/>
    <n v="-1136"/>
    <n v="-1848"/>
    <n v="-1734"/>
    <n v="-121"/>
    <n v="-3986"/>
    <n v="-417"/>
    <n v="-13648"/>
    <n v="-3569"/>
  </r>
  <r>
    <x v="1"/>
    <x v="1"/>
    <x v="0"/>
    <s v="2594200"/>
    <n v="400040"/>
    <s v="Physician Svcs Rev--Other"/>
    <s v="Ortho/Sport Med-EN-Ortho Surg"/>
    <x v="0"/>
    <n v="1700"/>
    <n v="-10909"/>
    <n v="-7312"/>
    <n v="-10395"/>
    <n v="-11595"/>
    <n v="-30287"/>
    <n v="-14190"/>
    <n v="-13716"/>
    <n v="-12350"/>
    <n v="-19792"/>
    <n v="-11358"/>
    <n v="-14017"/>
    <n v="-23320"/>
    <n v="-179241"/>
    <n v="9303"/>
  </r>
  <r>
    <x v="2"/>
    <x v="1"/>
    <x v="0"/>
    <s v="2594200"/>
    <n v="450029"/>
    <s v="Contr Allow--MD Other-Medicare"/>
    <s v="Ortho/Sport Med-EN-Ortho Surg"/>
    <x v="0"/>
    <n v="1100"/>
    <n v="653.95000000000005"/>
    <n v="979.38"/>
    <n v="1310"/>
    <n v="1186.82"/>
    <n v="879.53"/>
    <n v="868.72"/>
    <n v="867.24"/>
    <n v="306.23"/>
    <n v="879.88"/>
    <n v="668.46"/>
    <n v="1309.22"/>
    <n v="859.21"/>
    <n v="10768.64"/>
    <n v="450.01"/>
  </r>
  <r>
    <x v="2"/>
    <x v="1"/>
    <x v="0"/>
    <s v="2594200"/>
    <n v="450029"/>
    <s v="Contr Allow--MD Other-Medicaid"/>
    <s v="Ortho/Sport Med-EN-Ortho Surg"/>
    <x v="0"/>
    <n v="1200"/>
    <n v="194.14"/>
    <n v="873.8"/>
    <n v="206.6"/>
    <n v="360.93"/>
    <n v="353.09"/>
    <n v="527.66999999999996"/>
    <n v="359.59"/>
    <n v="324.83999999999997"/>
    <n v="303.57"/>
    <n v="402.87"/>
    <n v="459.37"/>
    <n v="357.24"/>
    <n v="4723.71"/>
    <n v="102.13"/>
  </r>
  <r>
    <x v="2"/>
    <x v="1"/>
    <x v="0"/>
    <s v="2594200"/>
    <n v="450029"/>
    <s v="Contr Allow--MD Other-Comm Insurance"/>
    <s v="Ortho/Sport Med-EN-Ortho Surg"/>
    <x v="0"/>
    <n v="1300"/>
    <n v="90.19"/>
    <n v="-16.239999999999998"/>
    <n v="56.21"/>
    <n v="0.22"/>
    <n v="115.76"/>
    <n v="0"/>
    <n v="59.18"/>
    <n v="75.34"/>
    <n v="73.08"/>
    <n v="73.08"/>
    <n v="38.56"/>
    <n v="50.23"/>
    <n v="615.6099999999999"/>
    <n v="-11.669999999999995"/>
  </r>
  <r>
    <x v="2"/>
    <x v="1"/>
    <x v="0"/>
    <s v="2594200"/>
    <n v="450029"/>
    <s v="Contr Allow--MD Other BCBS Comm"/>
    <s v="Ortho/Sport Med-EN-Ortho Surg"/>
    <x v="0"/>
    <n v="1301"/>
    <n v="171.7"/>
    <n v="25.01"/>
    <n v="46.71"/>
    <n v="161.52000000000001"/>
    <n v="54.92"/>
    <n v="208.07"/>
    <n v="89"/>
    <n v="173.39"/>
    <n v="258.7"/>
    <n v="126.54"/>
    <n v="154.75"/>
    <n v="210.43"/>
    <n v="1680.74"/>
    <n v="-55.680000000000007"/>
  </r>
  <r>
    <x v="2"/>
    <x v="1"/>
    <x v="0"/>
    <s v="2594200"/>
    <n v="450029"/>
    <s v="Contr Allow--MD Other-Managed Care"/>
    <s v="Ortho/Sport Med-EN-Ortho Surg"/>
    <x v="0"/>
    <n v="1400"/>
    <n v="238.28"/>
    <n v="453.04"/>
    <n v="398.57"/>
    <n v="371.68"/>
    <n v="169.81"/>
    <n v="206.51"/>
    <n v="212.22"/>
    <n v="584.45000000000005"/>
    <n v="170.4"/>
    <n v="288.68"/>
    <n v="718.85"/>
    <n v="323.52"/>
    <n v="4136.01"/>
    <n v="395.33000000000004"/>
  </r>
  <r>
    <x v="2"/>
    <x v="1"/>
    <x v="0"/>
    <s v="2594200"/>
    <n v="450029"/>
    <s v="Admin Adjust-MD Other-Self Pay"/>
    <s v="Ortho/Sport Med-EN-Ortho Surg"/>
    <x v="0"/>
    <n v="1600"/>
    <n v="-84.59"/>
    <n v="149.30000000000001"/>
    <n v="9.42"/>
    <n v="99.36"/>
    <n v="3.45"/>
    <n v="0"/>
    <n v="0"/>
    <n v="35.590000000000003"/>
    <n v="43.63"/>
    <n v="109.12"/>
    <n v="0.12"/>
    <n v="4.12"/>
    <n v="369.52000000000004"/>
    <n v="-4"/>
  </r>
  <r>
    <x v="2"/>
    <x v="1"/>
    <x v="0"/>
    <s v="2594200"/>
    <n v="450029"/>
    <s v="Contr Allow--MD Other-Other"/>
    <s v="Ortho/Sport Med-EN-Ortho Surg"/>
    <x v="0"/>
    <n v="1700"/>
    <n v="102.44"/>
    <n v="138.41"/>
    <n v="0"/>
    <n v="0"/>
    <n v="49.01"/>
    <n v="0"/>
    <n v="51.54"/>
    <n v="154.88"/>
    <n v="280.79000000000002"/>
    <n v="345.02"/>
    <n v="177.27"/>
    <n v="54.77"/>
    <n v="1354.13"/>
    <n v="122.5"/>
  </r>
  <r>
    <x v="2"/>
    <x v="1"/>
    <x v="0"/>
    <s v="2594200"/>
    <n v="450040"/>
    <s v="Contr Allow--Phys Svcs--Mcare"/>
    <s v="Ortho/Sport Med-EN-Ortho Surg"/>
    <x v="0"/>
    <n v="1100"/>
    <n v="51328.35"/>
    <n v="47363.99"/>
    <n v="40032.9"/>
    <n v="57580.91"/>
    <n v="71457.72"/>
    <n v="45827.53"/>
    <n v="56366.58"/>
    <n v="52516.21"/>
    <n v="56626.89"/>
    <n v="65797.240000000005"/>
    <n v="42198.62"/>
    <n v="37013.769999999997"/>
    <n v="624110.71000000008"/>
    <n v="5184.8500000000058"/>
  </r>
  <r>
    <x v="2"/>
    <x v="1"/>
    <x v="0"/>
    <s v="2594200"/>
    <n v="450040"/>
    <s v="Contr Allow--Phys Svcs--Mcaid"/>
    <s v="Ortho/Sport Med-EN-Ortho Surg"/>
    <x v="0"/>
    <n v="1200"/>
    <n v="9541.48"/>
    <n v="15355.9"/>
    <n v="12568.74"/>
    <n v="7652.05"/>
    <n v="22526.21"/>
    <n v="6153.69"/>
    <n v="6005.22"/>
    <n v="6920.5"/>
    <n v="9979.5"/>
    <n v="11132.22"/>
    <n v="13234.12"/>
    <n v="17404.84"/>
    <n v="138474.47"/>
    <n v="-4170.7199999999993"/>
  </r>
  <r>
    <x v="2"/>
    <x v="1"/>
    <x v="0"/>
    <s v="2594200"/>
    <n v="450040"/>
    <s v="Contr Allow--Phys Svcs--Comm Insurance"/>
    <s v="Ortho/Sport Med-EN-Ortho Surg"/>
    <x v="0"/>
    <n v="1300"/>
    <n v="386.99"/>
    <n v="339.67"/>
    <n v="902.62"/>
    <n v="772.28"/>
    <n v="1189.03"/>
    <n v="3687.62"/>
    <n v="482.89"/>
    <n v="1428.52"/>
    <n v="9080.83"/>
    <n v="375.46"/>
    <n v="1189.18"/>
    <n v="205.89"/>
    <n v="20040.98"/>
    <n v="983.29000000000008"/>
  </r>
  <r>
    <x v="2"/>
    <x v="1"/>
    <x v="0"/>
    <s v="2594200"/>
    <n v="450040"/>
    <s v="Contr Allow--Phys Svcs--BCBS Comm Ins"/>
    <s v="Ortho/Sport Med-EN-Ortho Surg"/>
    <x v="0"/>
    <n v="1301"/>
    <n v="3353.05"/>
    <n v="5566.12"/>
    <n v="2169.3200000000002"/>
    <n v="2134.2199999999998"/>
    <n v="6019.92"/>
    <n v="6102.3"/>
    <n v="8703.2800000000007"/>
    <n v="3124.98"/>
    <n v="12390.63"/>
    <n v="4553.76"/>
    <n v="10314.83"/>
    <n v="5547.68"/>
    <n v="69980.09"/>
    <n v="4767.1499999999996"/>
  </r>
  <r>
    <x v="2"/>
    <x v="1"/>
    <x v="0"/>
    <s v="2594200"/>
    <n v="450040"/>
    <s v="Contr Allow--Phys Svcs--Managed Care"/>
    <s v="Ortho/Sport Med-EN-Ortho Surg"/>
    <x v="0"/>
    <n v="1400"/>
    <n v="11268.34"/>
    <n v="26471.48"/>
    <n v="6249.11"/>
    <n v="18877.810000000001"/>
    <n v="25419.01"/>
    <n v="6906.97"/>
    <n v="21762.54"/>
    <n v="15517.79"/>
    <n v="25702.43"/>
    <n v="10417.57"/>
    <n v="12295.26"/>
    <n v="10572.9"/>
    <n v="191461.21000000002"/>
    <n v="1722.3600000000006"/>
  </r>
  <r>
    <x v="2"/>
    <x v="1"/>
    <x v="0"/>
    <s v="2594200"/>
    <n v="450040"/>
    <s v="Contr Allow--Phys Svcs--BCBS Mgnd Care"/>
    <s v="Ortho/Sport Med-EN-Ortho Surg"/>
    <x v="0"/>
    <n v="1401"/>
    <n v="-10054.32"/>
    <n v="-4946.1899999999996"/>
    <n v="-5723.46"/>
    <n v="2329.09"/>
    <n v="5796.63"/>
    <n v="9372.14"/>
    <n v="-4856.43"/>
    <n v="16169.89"/>
    <n v="2758.6"/>
    <n v="-16555.16"/>
    <n v="7327.63"/>
    <n v="-15783.55"/>
    <n v="-14165.129999999997"/>
    <n v="23111.18"/>
  </r>
  <r>
    <x v="2"/>
    <x v="1"/>
    <x v="0"/>
    <s v="2594200"/>
    <n v="450040"/>
    <s v="Admin Adjust-Phys Svcs-Self Pay"/>
    <s v="Ortho/Sport Med-EN-Ortho Surg"/>
    <x v="0"/>
    <n v="1600"/>
    <n v="36.619999999999997"/>
    <n v="1256.04"/>
    <n v="7734.32"/>
    <n v="525.57000000000005"/>
    <n v="23.97"/>
    <n v="523.92999999999995"/>
    <n v="470.87"/>
    <n v="909.84"/>
    <n v="854.52"/>
    <n v="55.17"/>
    <n v="3428.32"/>
    <n v="206.63"/>
    <n v="16025.8"/>
    <n v="3221.69"/>
  </r>
  <r>
    <x v="2"/>
    <x v="1"/>
    <x v="0"/>
    <s v="2594200"/>
    <n v="450040"/>
    <s v="Contr Allow--Phys Svcs--Other"/>
    <s v="Ortho/Sport Med-EN-Ortho Surg"/>
    <x v="0"/>
    <n v="1700"/>
    <n v="9695.1299999999992"/>
    <n v="8936.8700000000008"/>
    <n v="4559.4399999999996"/>
    <n v="2224.85"/>
    <n v="5210.46"/>
    <n v="8427.42"/>
    <n v="5325.78"/>
    <n v="12633.33"/>
    <n v="7898.85"/>
    <n v="9034.65"/>
    <n v="5017.09"/>
    <n v="13751.67"/>
    <n v="92715.54"/>
    <n v="-8734.58"/>
  </r>
  <r>
    <x v="3"/>
    <x v="1"/>
    <x v="0"/>
    <s v="2594200"/>
    <n v="470040"/>
    <s v="Charity Care-Physician Svcs"/>
    <s v="Ortho/Sport Med-EN-Ortho Surg"/>
    <x v="0"/>
    <m/>
    <n v="2595.11"/>
    <n v="2800.99"/>
    <n v="-300.07"/>
    <n v="934.52"/>
    <n v="517.45000000000005"/>
    <n v="-79.73"/>
    <n v="3169.98"/>
    <n v="1094.98"/>
    <n v="2208.58"/>
    <n v="-209.44"/>
    <n v="82.63"/>
    <n v="816.89"/>
    <n v="13631.89"/>
    <n v="-734.26"/>
  </r>
  <r>
    <x v="4"/>
    <x v="1"/>
    <x v="0"/>
    <s v="2594200"/>
    <n v="490010"/>
    <s v="Provision for Bad Debts"/>
    <s v="Ortho/Sport Med-EN-Ortho Surg"/>
    <x v="0"/>
    <m/>
    <n v="-1752.62"/>
    <n v="-2597.71"/>
    <n v="7535.73"/>
    <n v="-851.24"/>
    <n v="1077.68"/>
    <n v="4294.7299999999996"/>
    <n v="3555.63"/>
    <n v="2085.5500000000002"/>
    <n v="88.5"/>
    <n v="-3889.83"/>
    <n v="1078.7"/>
    <n v="-2033.6"/>
    <n v="8591.52"/>
    <n v="3112.3"/>
  </r>
  <r>
    <x v="5"/>
    <x v="1"/>
    <x v="0"/>
    <s v="2594200"/>
    <n v="700022"/>
    <s v="Salaries-Physician-Productive"/>
    <s v="Ortho/Sport Med-EN-Ortho Surg"/>
    <x v="0"/>
    <m/>
    <n v="50730.8"/>
    <n v="78211.59"/>
    <n v="65000.04"/>
    <n v="74750.039999999994"/>
    <n v="71500.05"/>
    <n v="72645.19"/>
    <n v="79737.97"/>
    <n v="69332.960000000006"/>
    <n v="64133.06"/>
    <n v="76159.37"/>
    <n v="79616.11"/>
    <n v="69231.399999999994"/>
    <n v="851048.58"/>
    <n v="10384.710000000006"/>
  </r>
  <r>
    <x v="5"/>
    <x v="1"/>
    <x v="0"/>
    <s v="2594200"/>
    <n v="700022"/>
    <s v="Salaries-Physician-Other"/>
    <s v="Ortho/Sport Med-EN-Ortho Surg"/>
    <x v="0"/>
    <n v="2000"/>
    <n v="0"/>
    <n v="0"/>
    <n v="0"/>
    <n v="0"/>
    <n v="0"/>
    <n v="21156.799999999999"/>
    <n v="0"/>
    <n v="0"/>
    <n v="0"/>
    <n v="0"/>
    <n v="0"/>
    <n v="0"/>
    <n v="21156.799999999999"/>
    <n v="0"/>
  </r>
  <r>
    <x v="5"/>
    <x v="1"/>
    <x v="0"/>
    <s v="2594200"/>
    <n v="700026"/>
    <s v="Salaries-RN-Productive"/>
    <s v="Ortho/Sport Med-EN-Ortho Surg"/>
    <x v="0"/>
    <m/>
    <n v="0"/>
    <n v="0"/>
    <n v="0"/>
    <n v="520.21"/>
    <n v="33.04"/>
    <n v="0"/>
    <n v="0"/>
    <n v="0"/>
    <n v="0"/>
    <n v="0"/>
    <n v="0"/>
    <n v="0"/>
    <n v="553.25"/>
    <n v="0"/>
  </r>
  <r>
    <x v="5"/>
    <x v="1"/>
    <x v="0"/>
    <s v="2594200"/>
    <n v="700032"/>
    <s v="Salaries-Other Pat Care Providers-Productive"/>
    <s v="Ortho/Sport Med-EN-Ortho Surg"/>
    <x v="0"/>
    <m/>
    <n v="2390.6"/>
    <n v="3929.83"/>
    <n v="1463.59"/>
    <n v="-25.99"/>
    <n v="3172.06"/>
    <n v="2879.27"/>
    <n v="3483.11"/>
    <n v="2958.92"/>
    <n v="3079.29"/>
    <n v="3431.45"/>
    <n v="3224.14"/>
    <n v="2732.16"/>
    <n v="32718.43"/>
    <n v="491.98"/>
  </r>
  <r>
    <x v="5"/>
    <x v="1"/>
    <x v="0"/>
    <s v="2594200"/>
    <n v="700032"/>
    <s v="Salaries-Other Pat Care Providers-OT"/>
    <s v="Ortho/Sport Med-EN-Ortho Surg"/>
    <x v="0"/>
    <n v="1000"/>
    <n v="0"/>
    <n v="78.03"/>
    <n v="-26.01"/>
    <n v="0"/>
    <n v="106"/>
    <n v="63.7"/>
    <n v="13.49"/>
    <n v="223.29"/>
    <n v="-53.94"/>
    <n v="74.930000000000007"/>
    <n v="44.94"/>
    <n v="7.51"/>
    <n v="531.94000000000005"/>
    <n v="37.43"/>
  </r>
  <r>
    <x v="5"/>
    <x v="1"/>
    <x v="0"/>
    <s v="2594200"/>
    <n v="700032"/>
    <s v="Salaries-Other Pat Care Providers-Other"/>
    <s v="Ortho/Sport Med-EN-Ortho Surg"/>
    <x v="0"/>
    <n v="2000"/>
    <n v="0"/>
    <n v="0"/>
    <n v="0"/>
    <n v="0"/>
    <n v="30"/>
    <n v="0"/>
    <n v="0"/>
    <n v="0"/>
    <n v="0"/>
    <n v="0"/>
    <n v="30.04"/>
    <n v="0"/>
    <n v="60.04"/>
    <n v="30.04"/>
  </r>
  <r>
    <x v="5"/>
    <x v="1"/>
    <x v="0"/>
    <s v="2594200"/>
    <n v="700034"/>
    <s v="Salaries-Tech/Professional-Productive"/>
    <s v="Ortho/Sport Med-EN-Ortho Surg"/>
    <x v="0"/>
    <m/>
    <n v="1777.9"/>
    <n v="5370.63"/>
    <n v="2114.42"/>
    <n v="3895.62"/>
    <n v="3655.82"/>
    <n v="2415.38"/>
    <n v="4330.96"/>
    <n v="2211.09"/>
    <n v="2667.37"/>
    <n v="4031.55"/>
    <n v="3800.64"/>
    <n v="1773.31"/>
    <n v="38044.689999999995"/>
    <n v="2027.33"/>
  </r>
  <r>
    <x v="5"/>
    <x v="1"/>
    <x v="0"/>
    <s v="2594200"/>
    <n v="700038"/>
    <s v="Salaries-Service/Support-Productive"/>
    <s v="Ortho/Sport Med-EN-Ortho Surg"/>
    <x v="0"/>
    <m/>
    <n v="637.19000000000005"/>
    <n v="2301.5300000000002"/>
    <n v="930.3"/>
    <n v="1806.79"/>
    <n v="1371.05"/>
    <n v="1127.56"/>
    <n v="1687.11"/>
    <n v="1176.3"/>
    <n v="607.01"/>
    <n v="1486.61"/>
    <n v="1265.79"/>
    <n v="1088.4100000000001"/>
    <n v="15485.650000000001"/>
    <n v="177.37999999999988"/>
  </r>
  <r>
    <x v="5"/>
    <x v="1"/>
    <x v="0"/>
    <s v="2594200"/>
    <n v="700054"/>
    <s v="Salaries-Management-NonProd-Other"/>
    <s v="Ortho/Sport Med-EN-Ortho Surg"/>
    <x v="0"/>
    <n v="2000"/>
    <n v="0"/>
    <n v="0"/>
    <n v="0"/>
    <n v="0"/>
    <n v="0"/>
    <n v="1790.03"/>
    <n v="-1790.03"/>
    <n v="0"/>
    <n v="0"/>
    <n v="0"/>
    <n v="0"/>
    <n v="0"/>
    <n v="0"/>
    <n v="0"/>
  </r>
  <r>
    <x v="5"/>
    <x v="1"/>
    <x v="0"/>
    <s v="2594200"/>
    <n v="700062"/>
    <s v="Salaries-Physician-Non-productive"/>
    <s v="Ortho/Sport Med-EN-Ortho Surg"/>
    <x v="0"/>
    <m/>
    <n v="20769.240000000002"/>
    <n v="-3461.54"/>
    <n v="0"/>
    <n v="0"/>
    <n v="0"/>
    <n v="2163.46"/>
    <n v="0"/>
    <n v="0"/>
    <n v="8666.5499999999993"/>
    <n v="0"/>
    <n v="0"/>
    <n v="0"/>
    <n v="28137.71"/>
    <n v="0"/>
  </r>
  <r>
    <x v="5"/>
    <x v="1"/>
    <x v="0"/>
    <s v="2594200"/>
    <n v="700072"/>
    <s v="Salaries-Other Pat Care Providers-Non-productive"/>
    <s v="Ortho/Sport Med-EN-Ortho Surg"/>
    <x v="0"/>
    <m/>
    <n v="323.68"/>
    <n v="612.67999999999995"/>
    <n v="531.76"/>
    <n v="0"/>
    <n v="0"/>
    <n v="0"/>
    <n v="0"/>
    <n v="0"/>
    <n v="204.79"/>
    <n v="87.41"/>
    <n v="437.07"/>
    <n v="244.75"/>
    <n v="2442.14"/>
    <n v="192.32"/>
  </r>
  <r>
    <x v="5"/>
    <x v="1"/>
    <x v="0"/>
    <s v="2594200"/>
    <n v="700072"/>
    <s v="Salaries-Other Pat Care Providers-NonProd-Other"/>
    <s v="Ortho/Sport Med-EN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4200"/>
    <n v="700074"/>
    <s v="Salaries-Tech/Professional-Non-productive"/>
    <s v="Ortho/Sport Med-EN-Ortho Surg"/>
    <x v="0"/>
    <m/>
    <n v="2990.77"/>
    <n v="-44.08"/>
    <n v="1723.02"/>
    <n v="354.32"/>
    <n v="-29.51"/>
    <n v="2227.23"/>
    <n v="383.37"/>
    <n v="424.87"/>
    <n v="1440.83"/>
    <n v="0"/>
    <n v="0"/>
    <n v="0"/>
    <n v="9470.82"/>
    <n v="0"/>
  </r>
  <r>
    <x v="5"/>
    <x v="1"/>
    <x v="0"/>
    <s v="2594200"/>
    <n v="700074"/>
    <s v="Salaries-Tech/Professional-NonProd-Other"/>
    <s v="Ortho/Sport Med-EN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4200"/>
    <n v="700084"/>
    <s v="Accrued PTO"/>
    <s v="Ortho/Sport Med-EN-Ortho Surg"/>
    <x v="0"/>
    <m/>
    <n v="960.95"/>
    <n v="669.29"/>
    <n v="-1382.24"/>
    <n v="531.55999999999995"/>
    <n v="918.04"/>
    <n v="-683.38"/>
    <n v="620.92999999999995"/>
    <n v="669.35"/>
    <n v="-600.66"/>
    <n v="846.78"/>
    <n v="577.39"/>
    <n v="-50.78"/>
    <n v="3077.2299999999996"/>
    <n v="628.16999999999996"/>
  </r>
  <r>
    <x v="6"/>
    <x v="1"/>
    <x v="0"/>
    <s v="2594200"/>
    <n v="713010"/>
    <s v="Benefits-FICA/Medicare"/>
    <s v="Ortho/Sport Med-EN-Ortho Surg"/>
    <x v="0"/>
    <m/>
    <n v="1636.7"/>
    <n v="1996.5"/>
    <n v="1455.92"/>
    <n v="1572.33"/>
    <n v="1662.85"/>
    <n v="4532.41"/>
    <n v="6953.15"/>
    <n v="5804.03"/>
    <n v="6140.08"/>
    <n v="2039.58"/>
    <n v="1811.77"/>
    <n v="1925.16"/>
    <n v="37530.480000000003"/>
    <n v="-113.3900000000001"/>
  </r>
  <r>
    <x v="6"/>
    <x v="1"/>
    <x v="0"/>
    <s v="2594200"/>
    <n v="713090"/>
    <s v="Benefits-Allocated Amounts"/>
    <s v="Ortho/Sport Med-EN-Ortho Surg"/>
    <x v="0"/>
    <m/>
    <n v="0"/>
    <n v="0"/>
    <n v="0"/>
    <n v="0"/>
    <n v="0"/>
    <n v="0"/>
    <n v="0"/>
    <n v="0"/>
    <n v="29897.91"/>
    <n v="3603.89"/>
    <n v="3555.59"/>
    <n v="3375.06"/>
    <n v="40432.449999999997"/>
    <n v="180.5300000000002"/>
  </r>
  <r>
    <x v="6"/>
    <x v="1"/>
    <x v="0"/>
    <s v="2594200"/>
    <n v="713092"/>
    <s v="Allocated Benefits-Physician"/>
    <s v="Ortho/Sport Med-EN-Ortho Surg"/>
    <x v="0"/>
    <m/>
    <n v="6596.26"/>
    <n v="6826.35"/>
    <n v="5919.89"/>
    <n v="5862.57"/>
    <n v="6121.31"/>
    <n v="7969.92"/>
    <n v="8476.84"/>
    <n v="7609.42"/>
    <n v="-21603.279999999999"/>
    <n v="4071.75"/>
    <n v="4017.18"/>
    <n v="3813.22"/>
    <n v="45681.43"/>
    <n v="203.96000000000004"/>
  </r>
  <r>
    <x v="7"/>
    <x v="1"/>
    <x v="0"/>
    <s v="2594200"/>
    <n v="718050"/>
    <s v="Physician Answering"/>
    <s v="Ortho/Sport Med-EN-Ortho Surg"/>
    <x v="0"/>
    <n v="1015"/>
    <n v="107.8"/>
    <n v="112.8"/>
    <n v="207.4"/>
    <n v="40.200000000000003"/>
    <n v="168"/>
    <n v="203"/>
    <n v="276.39999999999998"/>
    <n v="228.6"/>
    <n v="181.8"/>
    <n v="258"/>
    <n v="224.8"/>
    <n v="223.2"/>
    <n v="2231.9999999999995"/>
    <n v="1.6000000000000227"/>
  </r>
  <r>
    <x v="7"/>
    <x v="1"/>
    <x v="0"/>
    <s v="2594200"/>
    <n v="718050"/>
    <s v="Purchased Srvcs--Medical Waste"/>
    <s v="Ortho/Sport Med-EN-Ortho Surg"/>
    <x v="0"/>
    <n v="1027"/>
    <n v="20.72"/>
    <n v="20.72"/>
    <n v="20.72"/>
    <n v="0"/>
    <n v="20.72"/>
    <n v="20.72"/>
    <n v="41.44"/>
    <n v="20.72"/>
    <n v="0"/>
    <n v="41.44"/>
    <n v="0"/>
    <n v="20.72"/>
    <n v="227.92"/>
    <n v="-20.72"/>
  </r>
  <r>
    <x v="11"/>
    <x v="1"/>
    <x v="0"/>
    <s v="2594200"/>
    <n v="721830"/>
    <s v="Supplies-Office"/>
    <s v="Ortho/Sport Med-EN-Ortho Surg"/>
    <x v="0"/>
    <m/>
    <n v="0"/>
    <n v="85.86"/>
    <n v="0"/>
    <n v="0"/>
    <n v="0"/>
    <n v="0"/>
    <n v="0"/>
    <n v="0"/>
    <n v="0"/>
    <n v="0"/>
    <n v="0"/>
    <n v="0"/>
    <n v="85.86"/>
    <n v="0"/>
  </r>
  <r>
    <x v="8"/>
    <x v="1"/>
    <x v="0"/>
    <s v="2594200"/>
    <n v="741012"/>
    <s v="Physician Liab Insurance-CHI Program"/>
    <s v="Ortho/Sport Med-EN-Ortho Surg"/>
    <x v="0"/>
    <m/>
    <n v="4679.8500000000004"/>
    <n v="4679.8500000000004"/>
    <n v="4679.8500000000004"/>
    <n v="4679.8500000000004"/>
    <n v="4679.87"/>
    <n v="4679.8500000000004"/>
    <n v="4679.87"/>
    <n v="4679.8500000000004"/>
    <n v="4679.87"/>
    <n v="4679.8599999999997"/>
    <n v="4679.87"/>
    <n v="4679.8599999999997"/>
    <n v="56158.30000000001"/>
    <n v="1.0000000000218279E-2"/>
  </r>
  <r>
    <x v="0"/>
    <x v="1"/>
    <x v="0"/>
    <s v="2594200"/>
    <n v="743020"/>
    <s v="Dues--Individual"/>
    <s v="Ortho/Sport Med-EN-Ortho Surg"/>
    <x v="0"/>
    <m/>
    <n v="0"/>
    <n v="0"/>
    <n v="0"/>
    <n v="0"/>
    <n v="0"/>
    <n v="0"/>
    <n v="0"/>
    <n v="1070"/>
    <n v="0"/>
    <n v="0"/>
    <n v="0"/>
    <n v="0"/>
    <n v="1070"/>
    <n v="0"/>
  </r>
  <r>
    <x v="0"/>
    <x v="1"/>
    <x v="0"/>
    <s v="2594200"/>
    <n v="743022"/>
    <s v="Dues-Physician"/>
    <s v="Ortho/Sport Med-EN-Ortho Surg"/>
    <x v="0"/>
    <m/>
    <n v="0"/>
    <n v="0"/>
    <n v="0"/>
    <n v="0"/>
    <n v="0"/>
    <n v="0"/>
    <n v="0"/>
    <n v="143"/>
    <n v="0"/>
    <n v="0"/>
    <n v="0"/>
    <n v="0"/>
    <n v="143"/>
    <n v="0"/>
  </r>
  <r>
    <x v="0"/>
    <x v="1"/>
    <x v="0"/>
    <s v="2594200"/>
    <n v="749530"/>
    <s v="Mileage"/>
    <s v="Ortho/Sport Med-EN-Ortho Surg"/>
    <x v="0"/>
    <n v="1001"/>
    <n v="0"/>
    <n v="0"/>
    <n v="0"/>
    <n v="10.36"/>
    <n v="0"/>
    <n v="0"/>
    <n v="0"/>
    <n v="0"/>
    <n v="0"/>
    <n v="0"/>
    <n v="0"/>
    <n v="0"/>
    <n v="10.36"/>
    <n v="0"/>
  </r>
  <r>
    <x v="1"/>
    <x v="1"/>
    <x v="0"/>
    <s v="2595200"/>
    <n v="400029"/>
    <s v="MD Practice Other Rev--Medicare"/>
    <s v="WH-Lakewood-OB/GYN"/>
    <x v="0"/>
    <n v="1100"/>
    <n v="-48"/>
    <n v="-72"/>
    <n v="0"/>
    <n v="0"/>
    <n v="-24"/>
    <n v="0"/>
    <n v="-24"/>
    <n v="0"/>
    <n v="0"/>
    <n v="0"/>
    <n v="0"/>
    <n v="0"/>
    <n v="-168"/>
    <n v="0"/>
  </r>
  <r>
    <x v="1"/>
    <x v="1"/>
    <x v="0"/>
    <s v="2595200"/>
    <n v="400029"/>
    <s v="MD Practice Other Rev--Medicaid"/>
    <s v="WH-Lakewood-OB/GYN"/>
    <x v="0"/>
    <n v="1200"/>
    <n v="-480"/>
    <n v="-744"/>
    <n v="-456"/>
    <n v="-552"/>
    <n v="-576"/>
    <n v="-600"/>
    <n v="-456"/>
    <n v="-432"/>
    <n v="-744"/>
    <n v="-552"/>
    <n v="-576"/>
    <n v="-360"/>
    <n v="-6528"/>
    <n v="-216"/>
  </r>
  <r>
    <x v="1"/>
    <x v="1"/>
    <x v="0"/>
    <s v="2595200"/>
    <n v="400029"/>
    <s v="MD Practice Other Rev--Comm Insurance"/>
    <s v="WH-Lakewood-OB/GYN"/>
    <x v="0"/>
    <n v="1300"/>
    <n v="-72"/>
    <n v="-24"/>
    <n v="-24"/>
    <n v="-72"/>
    <n v="-24"/>
    <n v="-96"/>
    <n v="-48"/>
    <n v="0"/>
    <n v="-48"/>
    <n v="-48"/>
    <n v="-24"/>
    <n v="-24"/>
    <n v="-504"/>
    <n v="0"/>
  </r>
  <r>
    <x v="1"/>
    <x v="1"/>
    <x v="0"/>
    <s v="2595200"/>
    <n v="400029"/>
    <s v="MD Practice Other Rev--BCBS Comm"/>
    <s v="WH-Lakewood-OB/GYN"/>
    <x v="0"/>
    <n v="1301"/>
    <n v="-192"/>
    <n v="-136"/>
    <n v="-96"/>
    <n v="-48"/>
    <n v="-192"/>
    <n v="-120"/>
    <n v="-144"/>
    <n v="-144"/>
    <n v="-96"/>
    <n v="-24"/>
    <n v="-24"/>
    <n v="-48"/>
    <n v="-1264"/>
    <n v="24"/>
  </r>
  <r>
    <x v="1"/>
    <x v="1"/>
    <x v="0"/>
    <s v="2595200"/>
    <n v="400029"/>
    <s v="MD Practice Other Rev--Managed Care"/>
    <s v="WH-Lakewood-OB/GYN"/>
    <x v="0"/>
    <n v="1400"/>
    <n v="-360"/>
    <n v="-432"/>
    <n v="-312"/>
    <n v="-693"/>
    <n v="-48"/>
    <n v="-336"/>
    <n v="-288"/>
    <n v="-264"/>
    <n v="-168"/>
    <n v="-480"/>
    <n v="-216"/>
    <n v="-336"/>
    <n v="-3933"/>
    <n v="120"/>
  </r>
  <r>
    <x v="1"/>
    <x v="1"/>
    <x v="0"/>
    <s v="2595200"/>
    <n v="400029"/>
    <s v="MD Practice Other Rev--Self Pay"/>
    <s v="WH-Lakewood-OB/GYN"/>
    <x v="0"/>
    <n v="1500"/>
    <n v="24"/>
    <n v="0"/>
    <n v="0"/>
    <n v="-72"/>
    <n v="-48"/>
    <n v="24"/>
    <n v="-24"/>
    <n v="-24"/>
    <n v="-72"/>
    <n v="-48"/>
    <n v="0"/>
    <n v="-24"/>
    <n v="-264"/>
    <n v="24"/>
  </r>
  <r>
    <x v="1"/>
    <x v="1"/>
    <x v="0"/>
    <s v="2595200"/>
    <n v="400029"/>
    <s v="MD Practice Other Rev--Other"/>
    <s v="WH-Lakewood-OB/GYN"/>
    <x v="0"/>
    <n v="1700"/>
    <n v="-72"/>
    <n v="-336"/>
    <n v="-168"/>
    <n v="-192"/>
    <n v="-336"/>
    <n v="-192"/>
    <n v="-264"/>
    <n v="-240"/>
    <n v="-144"/>
    <n v="-96"/>
    <n v="-96"/>
    <n v="-240"/>
    <n v="-2376"/>
    <n v="144"/>
  </r>
  <r>
    <x v="1"/>
    <x v="1"/>
    <x v="0"/>
    <s v="2595200"/>
    <n v="400040"/>
    <s v="Physician Svcs Rev--Medicare"/>
    <s v="WH-Lakewood-OB/GYN"/>
    <x v="0"/>
    <n v="1100"/>
    <n v="-7839"/>
    <n v="-13012"/>
    <n v="-11298"/>
    <n v="-1525"/>
    <n v="-3514"/>
    <n v="-1849"/>
    <n v="-7413"/>
    <n v="-10680"/>
    <n v="-3018"/>
    <n v="-4986"/>
    <n v="-4153"/>
    <n v="-2563"/>
    <n v="-71850"/>
    <n v="-1590"/>
  </r>
  <r>
    <x v="1"/>
    <x v="1"/>
    <x v="0"/>
    <s v="2595200"/>
    <n v="400040"/>
    <s v="Physician Svcs Rev--Medicaid"/>
    <s v="WH-Lakewood-OB/GYN"/>
    <x v="0"/>
    <n v="1200"/>
    <n v="-93643.48"/>
    <n v="-128335.86"/>
    <n v="-72128.570000000007"/>
    <n v="-113308.68"/>
    <n v="-35115.980000000003"/>
    <n v="-66501"/>
    <n v="-69869.88"/>
    <n v="-89129.88"/>
    <n v="-86484.88"/>
    <n v="-72450.44"/>
    <n v="-61408"/>
    <n v="-78176"/>
    <n v="-966552.64999999991"/>
    <n v="16768"/>
  </r>
  <r>
    <x v="1"/>
    <x v="1"/>
    <x v="0"/>
    <s v="2595200"/>
    <n v="400040"/>
    <s v="Physician Svcs Rev--Comm Insurance"/>
    <s v="WH-Lakewood-OB/GYN"/>
    <x v="0"/>
    <n v="1300"/>
    <n v="-13055"/>
    <n v="-2473"/>
    <n v="-5596"/>
    <n v="-10526.6"/>
    <n v="-7098"/>
    <n v="-12892"/>
    <n v="-20448"/>
    <n v="-3897"/>
    <n v="-6424"/>
    <n v="-4788"/>
    <n v="-2647"/>
    <n v="-14207"/>
    <n v="-104051.6"/>
    <n v="11560"/>
  </r>
  <r>
    <x v="1"/>
    <x v="1"/>
    <x v="0"/>
    <s v="2595200"/>
    <n v="400040"/>
    <s v="Physician Svcs Rev--BCBS Comm"/>
    <s v="WH-Lakewood-OB/GYN"/>
    <x v="0"/>
    <n v="1301"/>
    <n v="-15025"/>
    <n v="-24478"/>
    <n v="-30132"/>
    <n v="-2916"/>
    <n v="-18701.13"/>
    <n v="-13045"/>
    <n v="-10615"/>
    <n v="-8982"/>
    <n v="-8475.98"/>
    <n v="-9807"/>
    <n v="-29139"/>
    <n v="-32218"/>
    <n v="-203534.11000000002"/>
    <n v="3079"/>
  </r>
  <r>
    <x v="1"/>
    <x v="1"/>
    <x v="0"/>
    <s v="2595200"/>
    <n v="400040"/>
    <s v="Physician Svcs Rev--Managed Care"/>
    <s v="WH-Lakewood-OB/GYN"/>
    <x v="0"/>
    <n v="1400"/>
    <n v="-80970.66"/>
    <n v="-71160"/>
    <n v="-57254.2"/>
    <n v="-86906"/>
    <n v="-52749"/>
    <n v="-60492"/>
    <n v="-81412.100000000006"/>
    <n v="-72190"/>
    <n v="-61285"/>
    <n v="-67514"/>
    <n v="-83332"/>
    <n v="-77887"/>
    <n v="-853151.96"/>
    <n v="-5445"/>
  </r>
  <r>
    <x v="1"/>
    <x v="1"/>
    <x v="0"/>
    <s v="2595200"/>
    <n v="400040"/>
    <s v="Physician Svcs Rev--Self Pay"/>
    <s v="WH-Lakewood-OB/GYN"/>
    <x v="0"/>
    <n v="1500"/>
    <n v="11956"/>
    <n v="-6984"/>
    <n v="1592"/>
    <n v="-3521"/>
    <n v="-374"/>
    <n v="-6713"/>
    <n v="-4120"/>
    <n v="-559"/>
    <n v="-2147"/>
    <n v="-72"/>
    <n v="-1192"/>
    <n v="-4090"/>
    <n v="-16224"/>
    <n v="2898"/>
  </r>
  <r>
    <x v="1"/>
    <x v="1"/>
    <x v="0"/>
    <s v="2595200"/>
    <n v="400040"/>
    <s v="Physician Svcs Rev--Other"/>
    <s v="WH-Lakewood-OB/GYN"/>
    <x v="0"/>
    <n v="1700"/>
    <n v="-37274"/>
    <n v="-41423"/>
    <n v="-35061"/>
    <n v="-36428.129999999997"/>
    <n v="-36808.980000000003"/>
    <n v="-14619"/>
    <n v="-36496"/>
    <n v="-24094"/>
    <n v="-15945"/>
    <n v="-11879"/>
    <n v="-26673"/>
    <n v="-45943"/>
    <n v="-362644.11"/>
    <n v="19270"/>
  </r>
  <r>
    <x v="2"/>
    <x v="1"/>
    <x v="0"/>
    <s v="2595200"/>
    <n v="450029"/>
    <s v="Contr Allow--MD Other-Medicare"/>
    <s v="WH-Lakewood-OB/GYN"/>
    <x v="0"/>
    <n v="1100"/>
    <n v="32.270000000000003"/>
    <n v="0"/>
    <n v="34.39"/>
    <n v="0"/>
    <n v="16.64"/>
    <n v="0"/>
    <n v="0"/>
    <n v="0"/>
    <n v="15.56"/>
    <n v="0"/>
    <n v="24"/>
    <n v="0"/>
    <n v="122.86"/>
    <n v="24"/>
  </r>
  <r>
    <x v="2"/>
    <x v="1"/>
    <x v="0"/>
    <s v="2595200"/>
    <n v="450029"/>
    <s v="Contr Allow--MD Other-Medicaid"/>
    <s v="WH-Lakewood-OB/GYN"/>
    <x v="0"/>
    <n v="1200"/>
    <n v="246.74"/>
    <n v="426.71"/>
    <n v="574.28"/>
    <n v="343.21"/>
    <n v="342.86"/>
    <n v="378.98"/>
    <n v="336.37"/>
    <n v="243"/>
    <n v="421.1"/>
    <n v="513.27"/>
    <n v="260.38"/>
    <n v="241.52"/>
    <n v="4328.42"/>
    <n v="18.859999999999985"/>
  </r>
  <r>
    <x v="2"/>
    <x v="1"/>
    <x v="0"/>
    <s v="2595200"/>
    <n v="450029"/>
    <s v="Contr Allow--MD Other-Comm Insurance"/>
    <s v="WH-Lakewood-OB/GYN"/>
    <x v="0"/>
    <n v="1300"/>
    <n v="24.31"/>
    <n v="47.8"/>
    <n v="17.04"/>
    <n v="17.04"/>
    <n v="32.85"/>
    <n v="8.93"/>
    <n v="41.35"/>
    <n v="0"/>
    <n v="63.2"/>
    <n v="6.35"/>
    <n v="35.26"/>
    <n v="33.619999999999997"/>
    <n v="327.75"/>
    <n v="1.6400000000000006"/>
  </r>
  <r>
    <x v="2"/>
    <x v="1"/>
    <x v="0"/>
    <s v="2595200"/>
    <n v="450029"/>
    <s v="Contr Allow--MD Other BCBS Comm"/>
    <s v="WH-Lakewood-OB/GYN"/>
    <x v="0"/>
    <n v="1301"/>
    <n v="94.15"/>
    <n v="217.27"/>
    <n v="75.319999999999993"/>
    <n v="56.49"/>
    <n v="18.829999999999998"/>
    <n v="188.3"/>
    <n v="56.49"/>
    <n v="94.15"/>
    <n v="150.63999999999999"/>
    <n v="37.659999999999997"/>
    <n v="18.829999999999998"/>
    <n v="38.18"/>
    <n v="1046.31"/>
    <n v="-19.350000000000001"/>
  </r>
  <r>
    <x v="2"/>
    <x v="1"/>
    <x v="0"/>
    <s v="2595200"/>
    <n v="450029"/>
    <s v="Contr Allow--MD Other-Managed Care"/>
    <s v="WH-Lakewood-OB/GYN"/>
    <x v="0"/>
    <n v="1400"/>
    <n v="240.03"/>
    <n v="279.42"/>
    <n v="253.76"/>
    <n v="295.77999999999997"/>
    <n v="192.64"/>
    <n v="154.79"/>
    <n v="81.81"/>
    <n v="188.6"/>
    <n v="226.24"/>
    <n v="260.38"/>
    <n v="190.8"/>
    <n v="160.06"/>
    <n v="2524.31"/>
    <n v="30.740000000000009"/>
  </r>
  <r>
    <x v="2"/>
    <x v="1"/>
    <x v="0"/>
    <s v="2595200"/>
    <n v="450029"/>
    <s v="Admin Adjust-MD Other-Self Pay"/>
    <s v="WH-Lakewood-OB/GYN"/>
    <x v="0"/>
    <n v="1600"/>
    <n v="-4.2699999999999996"/>
    <n v="28.05"/>
    <n v="2.35"/>
    <n v="66.97"/>
    <n v="35.94"/>
    <n v="-8.1"/>
    <n v="13.91"/>
    <n v="78.13"/>
    <n v="29.41"/>
    <n v="22.58"/>
    <n v="4.58"/>
    <n v="2.88"/>
    <n v="272.42999999999995"/>
    <n v="1.7000000000000002"/>
  </r>
  <r>
    <x v="2"/>
    <x v="1"/>
    <x v="0"/>
    <s v="2595200"/>
    <n v="450029"/>
    <s v="Contr Allow--MD Other-Other"/>
    <s v="WH-Lakewood-OB/GYN"/>
    <x v="0"/>
    <n v="1700"/>
    <n v="101.71"/>
    <n v="134.1"/>
    <n v="103.83"/>
    <n v="251.78"/>
    <n v="153"/>
    <n v="153"/>
    <n v="187"/>
    <n v="134.38999999999999"/>
    <n v="100.39"/>
    <n v="373.98"/>
    <n v="17"/>
    <n v="109"/>
    <n v="1819.18"/>
    <n v="-92"/>
  </r>
  <r>
    <x v="2"/>
    <x v="1"/>
    <x v="0"/>
    <s v="2595200"/>
    <n v="450040"/>
    <s v="Contr Allow--Phys Svcs--Mcare"/>
    <s v="WH-Lakewood-OB/GYN"/>
    <x v="0"/>
    <n v="1100"/>
    <n v="5371.7"/>
    <n v="3482.74"/>
    <n v="7235.14"/>
    <n v="1417.27"/>
    <n v="1824.22"/>
    <n v="1585.01"/>
    <n v="1638.66"/>
    <n v="747.13"/>
    <n v="3851.37"/>
    <n v="2307.63"/>
    <n v="2197.79"/>
    <n v="4336.29"/>
    <n v="35994.949999999997"/>
    <n v="-2138.5"/>
  </r>
  <r>
    <x v="2"/>
    <x v="1"/>
    <x v="0"/>
    <s v="2595200"/>
    <n v="450040"/>
    <s v="Contr Allow--Phys Svcs--Mcaid"/>
    <s v="WH-Lakewood-OB/GYN"/>
    <x v="0"/>
    <n v="1200"/>
    <n v="55162.41"/>
    <n v="81666.25"/>
    <n v="64892.480000000003"/>
    <n v="47465.54"/>
    <n v="48935.82"/>
    <n v="42890.239999999998"/>
    <n v="43375.7"/>
    <n v="36868.519999999997"/>
    <n v="54611.11"/>
    <n v="74523.69"/>
    <n v="42899.49"/>
    <n v="40119.550000000003"/>
    <n v="633410.80000000005"/>
    <n v="2779.9399999999951"/>
  </r>
  <r>
    <x v="2"/>
    <x v="1"/>
    <x v="0"/>
    <s v="2595200"/>
    <n v="450040"/>
    <s v="Contr Allow--Phys Svcs--Comm Insurance"/>
    <s v="WH-Lakewood-OB/GYN"/>
    <x v="0"/>
    <n v="1300"/>
    <n v="15091.68"/>
    <n v="4618.28"/>
    <n v="1161.1099999999999"/>
    <n v="2359.17"/>
    <n v="3816.88"/>
    <n v="4035.3"/>
    <n v="2863.9"/>
    <n v="9348.98"/>
    <n v="6139.81"/>
    <n v="6299.76"/>
    <n v="-540.62"/>
    <n v="3100.42"/>
    <n v="58294.67"/>
    <n v="-3641.04"/>
  </r>
  <r>
    <x v="2"/>
    <x v="1"/>
    <x v="0"/>
    <s v="2595200"/>
    <n v="450040"/>
    <s v="Contr Allow--Phys Svcs--BCBS Comm Ins"/>
    <s v="WH-Lakewood-OB/GYN"/>
    <x v="0"/>
    <n v="1301"/>
    <n v="5550.33"/>
    <n v="10938.34"/>
    <n v="9545.01"/>
    <n v="4689.3"/>
    <n v="3699.66"/>
    <n v="8030.88"/>
    <n v="6835.33"/>
    <n v="4412.1400000000003"/>
    <n v="8481.27"/>
    <n v="1729.26"/>
    <n v="4829.58"/>
    <n v="12470.6"/>
    <n v="81211.7"/>
    <n v="-7641.02"/>
  </r>
  <r>
    <x v="2"/>
    <x v="1"/>
    <x v="0"/>
    <s v="2595200"/>
    <n v="450040"/>
    <s v="Contr Allow--Phys Svcs--Managed Care"/>
    <s v="WH-Lakewood-OB/GYN"/>
    <x v="0"/>
    <n v="1400"/>
    <n v="20220.740000000002"/>
    <n v="50114.36"/>
    <n v="17565.41"/>
    <n v="31914.45"/>
    <n v="40102.89"/>
    <n v="23161.41"/>
    <n v="30036.560000000001"/>
    <n v="17282.25"/>
    <n v="44957.54"/>
    <n v="36212.639999999999"/>
    <n v="31347.18"/>
    <n v="25403.85"/>
    <n v="368319.27999999997"/>
    <n v="5943.3300000000017"/>
  </r>
  <r>
    <x v="2"/>
    <x v="1"/>
    <x v="0"/>
    <s v="2595200"/>
    <n v="450040"/>
    <s v="Contr Allow--Phys Svcs--BCBS Mgnd Care"/>
    <s v="WH-Lakewood-OB/GYN"/>
    <x v="0"/>
    <n v="1401"/>
    <n v="-13761.87"/>
    <n v="-25554.26"/>
    <n v="-9262.4599999999991"/>
    <n v="18545.38"/>
    <n v="-25568.34"/>
    <n v="7215.67"/>
    <n v="16701.16"/>
    <n v="26891.58"/>
    <n v="-30300.35"/>
    <n v="-42090.21"/>
    <n v="23846.52"/>
    <n v="17441.900000000001"/>
    <n v="-35895.279999999977"/>
    <n v="6404.619999999999"/>
  </r>
  <r>
    <x v="2"/>
    <x v="1"/>
    <x v="0"/>
    <s v="2595200"/>
    <n v="450040"/>
    <s v="Admin Adjust-Phys Svcs-Self Pay"/>
    <s v="WH-Lakewood-OB/GYN"/>
    <x v="0"/>
    <n v="1600"/>
    <n v="-6221.42"/>
    <n v="2708.47"/>
    <n v="8146.77"/>
    <n v="1485.77"/>
    <n v="396.38"/>
    <n v="-3938.19"/>
    <n v="1369.5"/>
    <n v="206.83"/>
    <n v="785.31"/>
    <n v="61.92"/>
    <n v="735.58"/>
    <n v="2461.63"/>
    <n v="8198.5499999999993"/>
    <n v="-1726.0500000000002"/>
  </r>
  <r>
    <x v="2"/>
    <x v="1"/>
    <x v="0"/>
    <s v="2595200"/>
    <n v="450040"/>
    <s v="Contr Allow--Phys Svcs--Other"/>
    <s v="WH-Lakewood-OB/GYN"/>
    <x v="0"/>
    <n v="1700"/>
    <n v="41942.22"/>
    <n v="24670.25"/>
    <n v="16855.79"/>
    <n v="29350.86"/>
    <n v="19202.189999999999"/>
    <n v="17268"/>
    <n v="21445.64"/>
    <n v="13829.38"/>
    <n v="17987.11"/>
    <n v="15485.77"/>
    <n v="7610.14"/>
    <n v="22509.3"/>
    <n v="248156.65"/>
    <n v="-14899.16"/>
  </r>
  <r>
    <x v="3"/>
    <x v="1"/>
    <x v="0"/>
    <s v="2595200"/>
    <n v="470040"/>
    <s v="Charity Care-Physician Svcs"/>
    <s v="WH-Lakewood-OB/GYN"/>
    <x v="0"/>
    <m/>
    <n v="2783.49"/>
    <n v="3457.38"/>
    <n v="5098.7299999999996"/>
    <n v="2586.8200000000002"/>
    <n v="-516.83000000000004"/>
    <n v="1908.52"/>
    <n v="4575.57"/>
    <n v="894.3"/>
    <n v="127.4"/>
    <n v="-772.26"/>
    <n v="289.89999999999998"/>
    <n v="4011.98"/>
    <n v="24445.000000000004"/>
    <n v="-3722.08"/>
  </r>
  <r>
    <x v="4"/>
    <x v="1"/>
    <x v="0"/>
    <s v="2595200"/>
    <n v="490010"/>
    <s v="Provision for Bad Debts"/>
    <s v="WH-Lakewood-OB/GYN"/>
    <x v="0"/>
    <m/>
    <n v="778.46"/>
    <n v="-343.2"/>
    <n v="-895.22"/>
    <n v="2244.29"/>
    <n v="4891.3999999999996"/>
    <n v="1100.0899999999999"/>
    <n v="3147.75"/>
    <n v="9292.52"/>
    <n v="1979.79"/>
    <n v="-3499.38"/>
    <n v="5270.98"/>
    <n v="12056.8"/>
    <n v="36024.28"/>
    <n v="-6785.82"/>
  </r>
  <r>
    <x v="14"/>
    <x v="1"/>
    <x v="0"/>
    <s v="2595200"/>
    <n v="600050"/>
    <s v="Miscellaneous Revenue"/>
    <s v="WH-Lakewood-OB/GYN"/>
    <x v="0"/>
    <m/>
    <n v="-1200"/>
    <n v="-960"/>
    <n v="0"/>
    <n v="0"/>
    <n v="0"/>
    <n v="0"/>
    <n v="0"/>
    <n v="0"/>
    <n v="0"/>
    <n v="0"/>
    <n v="0"/>
    <n v="0"/>
    <n v="-2160"/>
    <n v="0"/>
  </r>
  <r>
    <x v="5"/>
    <x v="1"/>
    <x v="0"/>
    <s v="2595200"/>
    <n v="700018"/>
    <s v="Salaries-Supervisory-Productive"/>
    <s v="WH-Lakewood-OB/GYN"/>
    <x v="0"/>
    <m/>
    <n v="1494.36"/>
    <n v="1802.04"/>
    <n v="1758.08"/>
    <n v="2100.6999999999998"/>
    <n v="1799.62"/>
    <n v="1240.18"/>
    <n v="2455.56"/>
    <n v="2311.08"/>
    <n v="2426.64"/>
    <n v="1964.41"/>
    <n v="2657.75"/>
    <n v="2022.19"/>
    <n v="24032.609999999997"/>
    <n v="635.55999999999995"/>
  </r>
  <r>
    <x v="5"/>
    <x v="1"/>
    <x v="0"/>
    <s v="2595200"/>
    <n v="700022"/>
    <s v="Salaries-Physician-Productive"/>
    <s v="WH-Lakewood-OB/GYN"/>
    <x v="0"/>
    <m/>
    <n v="24933.18"/>
    <n v="26342.44"/>
    <n v="0"/>
    <n v="0"/>
    <n v="15000"/>
    <n v="-15000"/>
    <n v="12017.6"/>
    <n v="12618.48"/>
    <n v="-3605.28"/>
    <n v="53362.94"/>
    <n v="21188.23"/>
    <n v="-19618.73"/>
    <n v="127238.86"/>
    <n v="40806.959999999999"/>
  </r>
  <r>
    <x v="5"/>
    <x v="1"/>
    <x v="0"/>
    <s v="2595200"/>
    <n v="700022"/>
    <s v="Salaries-Physician-Other"/>
    <s v="WH-Lakewood-OB/GYN"/>
    <x v="0"/>
    <n v="2000"/>
    <n v="480"/>
    <n v="0"/>
    <n v="480"/>
    <n v="960"/>
    <n v="0"/>
    <n v="15000.25"/>
    <n v="0"/>
    <n v="0"/>
    <n v="19836"/>
    <n v="28400"/>
    <n v="0"/>
    <n v="0"/>
    <n v="65156.25"/>
    <n v="0"/>
  </r>
  <r>
    <x v="5"/>
    <x v="1"/>
    <x v="0"/>
    <s v="2595200"/>
    <n v="700024"/>
    <s v="Salaries-Advanced Practice Clinician-Productive"/>
    <s v="WH-Lakewood-OB/GYN"/>
    <x v="0"/>
    <m/>
    <n v="24252.87"/>
    <n v="29061.89"/>
    <n v="26486.47"/>
    <n v="33628.31"/>
    <n v="25270.87"/>
    <n v="24321.51"/>
    <n v="31676.94"/>
    <n v="17035.669999999998"/>
    <n v="24148.48"/>
    <n v="26695.1"/>
    <n v="26514.12"/>
    <n v="21377.9"/>
    <n v="310470.13000000006"/>
    <n v="5136.2199999999975"/>
  </r>
  <r>
    <x v="5"/>
    <x v="1"/>
    <x v="0"/>
    <s v="2595200"/>
    <n v="700030"/>
    <s v="Salaries-LPN-Productive"/>
    <s v="WH-Lakewood-OB/GYN"/>
    <x v="0"/>
    <m/>
    <n v="7700.65"/>
    <n v="13153.19"/>
    <n v="7847.87"/>
    <n v="12177.77"/>
    <n v="14627.52"/>
    <n v="8343"/>
    <n v="13513.86"/>
    <n v="10670.41"/>
    <n v="9808.0499999999993"/>
    <n v="9784.01"/>
    <n v="9289.6200000000008"/>
    <n v="6670.2"/>
    <n v="123586.15"/>
    <n v="2619.420000000001"/>
  </r>
  <r>
    <x v="5"/>
    <x v="1"/>
    <x v="0"/>
    <s v="2595200"/>
    <n v="700030"/>
    <s v="Salaries-LPN-OT"/>
    <s v="WH-Lakewood-OB/GYN"/>
    <x v="0"/>
    <n v="1000"/>
    <n v="192.49"/>
    <n v="208.29"/>
    <n v="6.96"/>
    <n v="59.65"/>
    <n v="247.52"/>
    <n v="22.7"/>
    <n v="197.19"/>
    <n v="84.13"/>
    <n v="449.98"/>
    <n v="67.900000000000006"/>
    <n v="83.51"/>
    <n v="87.93"/>
    <n v="1708.25"/>
    <n v="-4.4200000000000017"/>
  </r>
  <r>
    <x v="5"/>
    <x v="1"/>
    <x v="0"/>
    <s v="2595200"/>
    <n v="700030"/>
    <s v="Salaries-LPN-Other"/>
    <s v="WH-Lakewood-OB/GYN"/>
    <x v="0"/>
    <n v="2000"/>
    <n v="0"/>
    <n v="0"/>
    <n v="0"/>
    <n v="0"/>
    <n v="0"/>
    <n v="0"/>
    <n v="0"/>
    <n v="10.27"/>
    <n v="8.01"/>
    <n v="0"/>
    <n v="0"/>
    <n v="0"/>
    <n v="18.28"/>
    <n v="0"/>
  </r>
  <r>
    <x v="5"/>
    <x v="1"/>
    <x v="0"/>
    <s v="2595200"/>
    <n v="700032"/>
    <s v="Salaries-Other Pat Care Providers-Productive"/>
    <s v="WH-Lakewood-OB/GYN"/>
    <x v="0"/>
    <m/>
    <n v="3568.53"/>
    <n v="5072.76"/>
    <n v="1488.86"/>
    <n v="3509.22"/>
    <n v="3443.73"/>
    <n v="2212.58"/>
    <n v="3628.63"/>
    <n v="2212.39"/>
    <n v="3792.81"/>
    <n v="3337.29"/>
    <n v="3150.73"/>
    <n v="2339.87"/>
    <n v="37757.400000000009"/>
    <n v="810.86000000000013"/>
  </r>
  <r>
    <x v="5"/>
    <x v="1"/>
    <x v="0"/>
    <s v="2595200"/>
    <n v="700032"/>
    <s v="Salaries-Other Pat Care Providers-OT"/>
    <s v="WH-Lakewood-OB/GYN"/>
    <x v="0"/>
    <n v="1000"/>
    <n v="132.41"/>
    <n v="589.34"/>
    <n v="-77.92"/>
    <n v="3.54"/>
    <n v="0"/>
    <n v="0"/>
    <n v="0"/>
    <n v="0"/>
    <n v="7.34"/>
    <n v="12.47"/>
    <n v="-5.13"/>
    <n v="0"/>
    <n v="662.05000000000007"/>
    <n v="-5.13"/>
  </r>
  <r>
    <x v="5"/>
    <x v="1"/>
    <x v="0"/>
    <s v="2595200"/>
    <n v="700034"/>
    <s v="Salaries-Tech/Professional-Productive"/>
    <s v="WH-Lakewood-OB/GYN"/>
    <x v="0"/>
    <m/>
    <n v="0"/>
    <n v="1200.8499999999999"/>
    <n v="-400.28"/>
    <n v="0"/>
    <n v="0"/>
    <n v="0"/>
    <n v="0"/>
    <n v="0"/>
    <n v="0"/>
    <n v="0"/>
    <n v="0"/>
    <n v="0"/>
    <n v="800.56999999999994"/>
    <n v="0"/>
  </r>
  <r>
    <x v="5"/>
    <x v="1"/>
    <x v="0"/>
    <s v="2595200"/>
    <n v="700054"/>
    <s v="Salaries-Management-NonProd-Other"/>
    <s v="WH-Lakewood-OB/GYN"/>
    <x v="0"/>
    <n v="2000"/>
    <n v="0"/>
    <n v="0"/>
    <n v="0"/>
    <n v="0"/>
    <n v="0"/>
    <n v="451.95"/>
    <n v="-451.95"/>
    <n v="0"/>
    <n v="0"/>
    <n v="0"/>
    <n v="0"/>
    <n v="0"/>
    <n v="0"/>
    <n v="0"/>
  </r>
  <r>
    <x v="5"/>
    <x v="1"/>
    <x v="0"/>
    <s v="2595200"/>
    <n v="700062"/>
    <s v="Salaries-Physician-Non-productive"/>
    <s v="WH-Lakewood-OB/GYN"/>
    <x v="0"/>
    <m/>
    <n v="0"/>
    <n v="6438.4"/>
    <n v="0"/>
    <n v="0"/>
    <n v="0"/>
    <n v="0"/>
    <n v="0"/>
    <n v="0"/>
    <n v="0"/>
    <n v="0"/>
    <n v="0"/>
    <n v="0"/>
    <n v="6438.4"/>
    <n v="0"/>
  </r>
  <r>
    <x v="5"/>
    <x v="1"/>
    <x v="0"/>
    <s v="2595200"/>
    <n v="700064"/>
    <s v="Salaries-Advanced Practice Clinician-Non-Productive"/>
    <s v="WH-Lakewood-OB/GYN"/>
    <x v="0"/>
    <m/>
    <n v="879.26"/>
    <n v="1538.59"/>
    <n v="-512.86"/>
    <n v="3131.32"/>
    <n v="8204.9"/>
    <n v="5024.1400000000003"/>
    <n v="312.64"/>
    <n v="6269.15"/>
    <n v="3500.65"/>
    <n v="-368.06"/>
    <n v="4000.5"/>
    <n v="2275.13"/>
    <n v="34255.360000000001"/>
    <n v="1725.37"/>
  </r>
  <r>
    <x v="5"/>
    <x v="1"/>
    <x v="0"/>
    <s v="2595200"/>
    <n v="700064"/>
    <s v="Salaries-Advanced Practice Clinician-Non-Prod-Other"/>
    <s v="WH-Lakewood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5200"/>
    <n v="700070"/>
    <s v="Salaries-LPN-Non-productive"/>
    <s v="WH-Lakewood-OB/GYN"/>
    <x v="0"/>
    <m/>
    <n v="2371.88"/>
    <n v="281.2"/>
    <n v="2089.0700000000002"/>
    <n v="466.1"/>
    <n v="-85.11"/>
    <n v="3669.36"/>
    <n v="524.83000000000004"/>
    <n v="2513.8200000000002"/>
    <n v="1176.3"/>
    <n v="883.73"/>
    <n v="3494.63"/>
    <n v="437.61"/>
    <n v="17823.419999999998"/>
    <n v="3057.02"/>
  </r>
  <r>
    <x v="5"/>
    <x v="1"/>
    <x v="0"/>
    <s v="2595200"/>
    <n v="700070"/>
    <s v="Salaries-LPN-NonProd-Other"/>
    <s v="WH-Lakewood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5200"/>
    <n v="700072"/>
    <s v="Salaries-Other Pat Care Providers-Non-productive"/>
    <s v="WH-Lakewood-OB/GYN"/>
    <x v="0"/>
    <m/>
    <n v="188.9"/>
    <n v="0"/>
    <n v="1322.3"/>
    <n v="0"/>
    <n v="0"/>
    <n v="1040.06"/>
    <n v="-23.46"/>
    <n v="892.78"/>
    <n v="-178.16"/>
    <n v="39.159999999999997"/>
    <n v="450.32"/>
    <n v="837"/>
    <n v="4568.8999999999996"/>
    <n v="-386.68"/>
  </r>
  <r>
    <x v="5"/>
    <x v="1"/>
    <x v="0"/>
    <s v="2595200"/>
    <n v="700072"/>
    <s v="Salaries-Other Pat Care Providers-NonProd-Other"/>
    <s v="WH-Lakewood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5200"/>
    <n v="700084"/>
    <s v="Accrued PTO"/>
    <s v="WH-Lakewood-OB/GYN"/>
    <x v="0"/>
    <m/>
    <n v="-991.66"/>
    <n v="1001.98"/>
    <n v="-1096.6300000000001"/>
    <n v="615.92999999999995"/>
    <n v="1195.27"/>
    <n v="-2201.73"/>
    <n v="811.96"/>
    <n v="-1477.91"/>
    <n v="954.44"/>
    <n v="535.63"/>
    <n v="483.34"/>
    <n v="-467.12"/>
    <n v="-636.5"/>
    <n v="950.46"/>
  </r>
  <r>
    <x v="6"/>
    <x v="1"/>
    <x v="0"/>
    <s v="2595200"/>
    <n v="713010"/>
    <s v="Benefits-FICA/Medicare"/>
    <s v="WH-Lakewood-OB/GYN"/>
    <x v="0"/>
    <m/>
    <n v="3395.88"/>
    <n v="4336.78"/>
    <n v="2869.19"/>
    <n v="4038.38"/>
    <n v="3396.81"/>
    <n v="2173.81"/>
    <n v="3799.3"/>
    <n v="3003.13"/>
    <n v="3250.4"/>
    <n v="3037.54"/>
    <n v="3597"/>
    <n v="2589.34"/>
    <n v="39487.56"/>
    <n v="1007.6599999999999"/>
  </r>
  <r>
    <x v="6"/>
    <x v="1"/>
    <x v="0"/>
    <s v="2595200"/>
    <n v="713090"/>
    <s v="Benefits-Allocated Amounts"/>
    <s v="WH-Lakewood-OB/GYN"/>
    <x v="0"/>
    <m/>
    <n v="0"/>
    <n v="0"/>
    <n v="0"/>
    <n v="0"/>
    <n v="0"/>
    <n v="0"/>
    <n v="0"/>
    <n v="0"/>
    <n v="46923.76"/>
    <n v="6438.27"/>
    <n v="5758.53"/>
    <n v="3301.94"/>
    <n v="62422.5"/>
    <n v="2456.5899999999997"/>
  </r>
  <r>
    <x v="6"/>
    <x v="1"/>
    <x v="0"/>
    <s v="2595200"/>
    <n v="713092"/>
    <s v="Allocated Benefits-Physician"/>
    <s v="WH-Lakewood-OB/GYN"/>
    <x v="0"/>
    <m/>
    <n v="2809.45"/>
    <n v="3107.81"/>
    <n v="2387.66"/>
    <n v="2664.26"/>
    <n v="3119.6"/>
    <n v="2232.3200000000002"/>
    <n v="3405.25"/>
    <n v="3056.72"/>
    <n v="-18670.21"/>
    <n v="564.32000000000005"/>
    <n v="504.73"/>
    <n v="289.42"/>
    <n v="5471.33"/>
    <n v="215.31"/>
  </r>
  <r>
    <x v="6"/>
    <x v="1"/>
    <x v="0"/>
    <s v="2595200"/>
    <n v="713093"/>
    <s v="Allocated Benefits-Advanced Practice Clinician"/>
    <s v="WH-Lakewood-OB/GYN"/>
    <x v="0"/>
    <m/>
    <n v="5914.46"/>
    <n v="6542.6"/>
    <n v="5026.49"/>
    <n v="5608.82"/>
    <n v="6567.41"/>
    <n v="4699.47"/>
    <n v="7168.75"/>
    <n v="6435.04"/>
    <n v="-18961.650000000001"/>
    <n v="3979.2"/>
    <n v="3559.08"/>
    <n v="2040.77"/>
    <n v="38580.439999999995"/>
    <n v="1518.31"/>
  </r>
  <r>
    <x v="7"/>
    <x v="1"/>
    <x v="0"/>
    <s v="2595200"/>
    <n v="718050"/>
    <s v="Contract Svcs-Other"/>
    <s v="WH-Lakewood-OB/GYN"/>
    <x v="0"/>
    <m/>
    <n v="11.32"/>
    <n v="16.09"/>
    <n v="11.32"/>
    <n v="11.32"/>
    <n v="57.16"/>
    <n v="9.5399999999999991"/>
    <n v="571.21"/>
    <n v="26.32"/>
    <n v="16.32"/>
    <n v="11.34"/>
    <n v="0"/>
    <n v="42.07"/>
    <n v="784.01000000000022"/>
    <n v="-42.07"/>
  </r>
  <r>
    <x v="7"/>
    <x v="1"/>
    <x v="0"/>
    <s v="2595200"/>
    <n v="718050"/>
    <s v="Translation Services"/>
    <s v="WH-Lakewood-OB/GYN"/>
    <x v="0"/>
    <n v="1025"/>
    <n v="0"/>
    <n v="0"/>
    <n v="10.36"/>
    <n v="0"/>
    <n v="0"/>
    <n v="0"/>
    <n v="0"/>
    <n v="0"/>
    <n v="0"/>
    <n v="0"/>
    <n v="0"/>
    <n v="0"/>
    <n v="10.36"/>
    <n v="0"/>
  </r>
  <r>
    <x v="7"/>
    <x v="1"/>
    <x v="0"/>
    <s v="2595200"/>
    <n v="718050"/>
    <s v="Contract Management--Linen"/>
    <s v="WH-Lakewood-OB/GYN"/>
    <x v="0"/>
    <n v="1026"/>
    <n v="493.84"/>
    <n v="535.41999999999996"/>
    <n v="426.18"/>
    <n v="318.11"/>
    <n v="531.29"/>
    <n v="540.26"/>
    <n v="0"/>
    <n v="506.31"/>
    <n v="542.19000000000005"/>
    <n v="211.7"/>
    <n v="323.25"/>
    <n v="423.54"/>
    <n v="4852.09"/>
    <n v="-100.29000000000002"/>
  </r>
  <r>
    <x v="7"/>
    <x v="1"/>
    <x v="0"/>
    <s v="2595200"/>
    <n v="718050"/>
    <s v="Purchased Srvcs--Medical Waste"/>
    <s v="WH-Lakewood-OB/GYN"/>
    <x v="0"/>
    <n v="1027"/>
    <n v="0"/>
    <n v="10.36"/>
    <n v="10.36"/>
    <n v="0"/>
    <n v="10.36"/>
    <n v="0"/>
    <n v="0"/>
    <n v="10.36"/>
    <n v="0"/>
    <n v="20.72"/>
    <n v="0"/>
    <n v="0"/>
    <n v="62.16"/>
    <n v="0"/>
  </r>
  <r>
    <x v="11"/>
    <x v="1"/>
    <x v="0"/>
    <s v="2595200"/>
    <n v="721410"/>
    <s v="Supplies-Medical - Nonbillable"/>
    <s v="WH-Lakewood-OB/GYN"/>
    <x v="0"/>
    <m/>
    <n v="35.01"/>
    <n v="3345.99"/>
    <n v="1149.49"/>
    <n v="1537.82"/>
    <n v="778.85"/>
    <n v="1536.95"/>
    <n v="0"/>
    <n v="2186.64"/>
    <n v="0"/>
    <n v="0"/>
    <n v="0"/>
    <n v="1194.1199999999999"/>
    <n v="11764.869999999999"/>
    <n v="-1194.1199999999999"/>
  </r>
  <r>
    <x v="11"/>
    <x v="1"/>
    <x v="0"/>
    <s v="2595200"/>
    <n v="722000"/>
    <s v="Supplies-Freight Expense"/>
    <s v="WH-Lakewood-OB/GYN"/>
    <x v="0"/>
    <m/>
    <n v="0"/>
    <n v="0"/>
    <n v="0"/>
    <n v="0"/>
    <n v="0"/>
    <n v="0"/>
    <n v="0"/>
    <n v="0"/>
    <n v="0"/>
    <n v="0"/>
    <n v="0"/>
    <n v="32.979999999999997"/>
    <n v="32.979999999999997"/>
    <n v="-32.979999999999997"/>
  </r>
  <r>
    <x v="0"/>
    <x v="1"/>
    <x v="0"/>
    <s v="2595200"/>
    <n v="740023"/>
    <s v="Education-Advanced Practice Clinician"/>
    <s v="WH-Lakewood-OB/GYN"/>
    <x v="0"/>
    <m/>
    <n v="0"/>
    <n v="975"/>
    <n v="0"/>
    <n v="1525"/>
    <n v="0"/>
    <n v="150"/>
    <n v="0"/>
    <n v="0"/>
    <n v="70"/>
    <n v="0"/>
    <n v="200"/>
    <n v="0"/>
    <n v="2920"/>
    <n v="200"/>
  </r>
  <r>
    <x v="8"/>
    <x v="1"/>
    <x v="0"/>
    <s v="2595200"/>
    <n v="741012"/>
    <s v="Physician Liab Insurance-CHI Program"/>
    <s v="WH-Lakewood-OB/GYN"/>
    <x v="0"/>
    <m/>
    <n v="2936.75"/>
    <n v="2936.75"/>
    <n v="295.12"/>
    <n v="295.12"/>
    <n v="295.13"/>
    <n v="0"/>
    <n v="0"/>
    <n v="0"/>
    <n v="0"/>
    <n v="0"/>
    <n v="0"/>
    <n v="0"/>
    <n v="6758.87"/>
    <n v="0"/>
  </r>
  <r>
    <x v="0"/>
    <x v="1"/>
    <x v="0"/>
    <s v="2595200"/>
    <n v="743043"/>
    <s v="Subscriptions-Advanced Practice Clinician"/>
    <s v="WH-Lakewood-OB/GYN"/>
    <x v="0"/>
    <m/>
    <n v="0"/>
    <n v="0"/>
    <n v="270"/>
    <n v="0"/>
    <n v="0"/>
    <n v="0"/>
    <n v="0"/>
    <n v="0"/>
    <n v="0"/>
    <n v="0"/>
    <n v="0"/>
    <n v="0"/>
    <n v="270"/>
    <n v="0"/>
  </r>
  <r>
    <x v="0"/>
    <x v="1"/>
    <x v="0"/>
    <s v="2595200"/>
    <n v="749510"/>
    <s v="Miscellaneous Expenses"/>
    <s v="WH-Lakewood-OB/GYN"/>
    <x v="0"/>
    <m/>
    <n v="-2953.37"/>
    <n v="0"/>
    <n v="0"/>
    <n v="0"/>
    <n v="150"/>
    <n v="-150"/>
    <n v="0"/>
    <n v="70"/>
    <n v="-70"/>
    <n v="0"/>
    <n v="0"/>
    <n v="13.34"/>
    <n v="-2940.0299999999997"/>
    <n v="-13.34"/>
  </r>
  <r>
    <x v="0"/>
    <x v="1"/>
    <x v="0"/>
    <s v="2595200"/>
    <n v="749510"/>
    <s v="Licenses"/>
    <s v="WH-Lakewood-OB/GYN"/>
    <x v="0"/>
    <n v="1002"/>
    <n v="0"/>
    <n v="0"/>
    <n v="0"/>
    <n v="0"/>
    <n v="0"/>
    <n v="0"/>
    <n v="0"/>
    <n v="250"/>
    <n v="0"/>
    <n v="0"/>
    <n v="0"/>
    <n v="0"/>
    <n v="250"/>
    <n v="0"/>
  </r>
  <r>
    <x v="0"/>
    <x v="1"/>
    <x v="0"/>
    <s v="2595200"/>
    <n v="749530"/>
    <s v="Travel"/>
    <s v="WH-Lakewood-OB/GYN"/>
    <x v="0"/>
    <m/>
    <n v="0"/>
    <n v="0"/>
    <n v="0"/>
    <n v="0"/>
    <n v="35"/>
    <n v="35"/>
    <n v="0"/>
    <n v="25"/>
    <n v="10"/>
    <n v="30"/>
    <n v="0"/>
    <n v="0"/>
    <n v="135"/>
    <n v="0"/>
  </r>
  <r>
    <x v="0"/>
    <x v="1"/>
    <x v="0"/>
    <s v="2595200"/>
    <n v="749530"/>
    <s v="Mileage"/>
    <s v="WH-Lakewood-OB/GYN"/>
    <x v="0"/>
    <n v="1001"/>
    <n v="0"/>
    <n v="0"/>
    <n v="0"/>
    <n v="0"/>
    <n v="160.82"/>
    <n v="146.09"/>
    <n v="0"/>
    <n v="109.04"/>
    <n v="76.56"/>
    <n v="191.4"/>
    <n v="0"/>
    <n v="0"/>
    <n v="683.91"/>
    <n v="0"/>
  </r>
  <r>
    <x v="0"/>
    <x v="1"/>
    <x v="0"/>
    <s v="2595200"/>
    <n v="749533"/>
    <s v="Travel-Advanced Practice Clinician"/>
    <s v="WH-Lakewood-OB/GYN"/>
    <x v="0"/>
    <m/>
    <n v="0"/>
    <n v="0"/>
    <n v="0"/>
    <n v="0"/>
    <n v="0"/>
    <n v="0"/>
    <n v="0"/>
    <n v="0"/>
    <n v="0"/>
    <n v="0"/>
    <n v="582.32000000000005"/>
    <n v="0"/>
    <n v="582.32000000000005"/>
    <n v="582.32000000000005"/>
  </r>
  <r>
    <x v="0"/>
    <x v="1"/>
    <x v="0"/>
    <s v="2595200"/>
    <n v="749533"/>
    <s v="Business Meals-Advanced Practice Clinician"/>
    <s v="WH-Lakewood-OB/GYN"/>
    <x v="0"/>
    <n v="2000"/>
    <n v="0"/>
    <n v="0"/>
    <n v="0"/>
    <n v="0"/>
    <n v="0"/>
    <n v="0"/>
    <n v="0"/>
    <n v="0"/>
    <n v="0"/>
    <n v="0"/>
    <n v="58.9"/>
    <n v="0"/>
    <n v="58.9"/>
    <n v="58.9"/>
  </r>
  <r>
    <x v="0"/>
    <x v="1"/>
    <x v="0"/>
    <s v="2595200"/>
    <n v="749550"/>
    <s v="Cash Over/Short"/>
    <s v="WH-Lakewood-OB/GYN"/>
    <x v="0"/>
    <m/>
    <n v="0"/>
    <n v="0"/>
    <n v="0"/>
    <n v="0"/>
    <n v="0"/>
    <n v="0"/>
    <n v="0"/>
    <n v="0"/>
    <n v="0"/>
    <n v="0"/>
    <n v="10"/>
    <n v="0"/>
    <n v="10"/>
    <n v="10"/>
  </r>
  <r>
    <x v="2"/>
    <x v="1"/>
    <x v="0"/>
    <s v="2596200"/>
    <n v="450029"/>
    <s v="Contr Allow--MD Other-Medicaid"/>
    <s v="Port Orchard-Radiology"/>
    <x v="0"/>
    <n v="1200"/>
    <n v="0"/>
    <n v="0"/>
    <n v="0"/>
    <n v="0"/>
    <n v="31"/>
    <n v="0"/>
    <n v="0"/>
    <n v="0"/>
    <n v="0"/>
    <n v="0"/>
    <n v="0"/>
    <n v="0"/>
    <n v="31"/>
    <n v="0"/>
  </r>
  <r>
    <x v="2"/>
    <x v="1"/>
    <x v="0"/>
    <s v="2596200"/>
    <n v="450029"/>
    <s v="Contr Allow--MD Other-Comm Insurance"/>
    <s v="Port Orchard-Radiology"/>
    <x v="0"/>
    <n v="1300"/>
    <n v="12.55"/>
    <n v="-12.55"/>
    <n v="0"/>
    <n v="0"/>
    <n v="0"/>
    <n v="0"/>
    <n v="0"/>
    <n v="0"/>
    <n v="0"/>
    <n v="0"/>
    <n v="0"/>
    <n v="0"/>
    <n v="0"/>
    <n v="0"/>
  </r>
  <r>
    <x v="2"/>
    <x v="1"/>
    <x v="0"/>
    <s v="2596200"/>
    <n v="450040"/>
    <s v="Contr Allow--Phys Svcs--BCBS Mgnd Care"/>
    <s v="Port Orchard-Radiology"/>
    <x v="0"/>
    <n v="1401"/>
    <n v="-14.56"/>
    <n v="6.42"/>
    <n v="-30.52"/>
    <n v="0"/>
    <n v="0"/>
    <n v="13.47"/>
    <n v="-13.47"/>
    <n v="13.94"/>
    <n v="0.01"/>
    <n v="-0.08"/>
    <n v="0.23"/>
    <n v="-12.23"/>
    <n v="-36.789999999999992"/>
    <n v="12.46"/>
  </r>
  <r>
    <x v="3"/>
    <x v="1"/>
    <x v="0"/>
    <s v="2596200"/>
    <n v="470040"/>
    <s v="Charity Care-Physician Svcs"/>
    <s v="Port Orchard-Radiology"/>
    <x v="0"/>
    <m/>
    <n v="-0.55000000000000004"/>
    <n v="0.41"/>
    <n v="-1.1499999999999999"/>
    <n v="0"/>
    <n v="0"/>
    <n v="0.43"/>
    <n v="-0.43"/>
    <n v="0.39"/>
    <n v="7.0000000000000007E-2"/>
    <n v="-0.03"/>
    <n v="7.0000000000000007E-2"/>
    <n v="-0.32"/>
    <n v="-1.1100000000000001"/>
    <n v="0.39"/>
  </r>
  <r>
    <x v="4"/>
    <x v="1"/>
    <x v="0"/>
    <s v="2596200"/>
    <n v="490010"/>
    <s v="Provision for Bad Debts"/>
    <s v="Port Orchard-Radiology"/>
    <x v="0"/>
    <m/>
    <n v="-5.86"/>
    <n v="0.85"/>
    <n v="-4.3"/>
    <n v="0"/>
    <n v="0"/>
    <n v="4.4000000000000004"/>
    <n v="-1.63"/>
    <n v="1.36"/>
    <n v="0.09"/>
    <n v="-0.04"/>
    <n v="0.02"/>
    <n v="-1.2"/>
    <n v="-6.3100000000000005"/>
    <n v="1.22"/>
  </r>
  <r>
    <x v="5"/>
    <x v="1"/>
    <x v="0"/>
    <s v="2596200"/>
    <n v="700034"/>
    <s v="Salaries-Tech/Professional-Productive"/>
    <s v="Port Orchard-Radiology"/>
    <x v="0"/>
    <m/>
    <n v="6376.23"/>
    <n v="7831.7"/>
    <n v="5517.77"/>
    <n v="7892.57"/>
    <n v="8014.57"/>
    <n v="5623.99"/>
    <n v="7801.59"/>
    <n v="5581.24"/>
    <n v="6907.14"/>
    <n v="7872.94"/>
    <n v="6741.39"/>
    <n v="5171.78"/>
    <n v="81332.909999999989"/>
    <n v="1569.6100000000006"/>
  </r>
  <r>
    <x v="5"/>
    <x v="1"/>
    <x v="0"/>
    <s v="2596200"/>
    <n v="700034"/>
    <s v="Salaries-Tech/Professional-OT"/>
    <s v="Port Orchard-Radiology"/>
    <x v="0"/>
    <n v="1000"/>
    <n v="30.76"/>
    <n v="58.98"/>
    <n v="51.28"/>
    <n v="406.57"/>
    <n v="105.64"/>
    <n v="0"/>
    <n v="37.020000000000003"/>
    <n v="-10.57"/>
    <n v="52.88"/>
    <n v="150.22"/>
    <n v="-14.39"/>
    <n v="7.92"/>
    <n v="876.30999999999983"/>
    <n v="-22.310000000000002"/>
  </r>
  <r>
    <x v="5"/>
    <x v="1"/>
    <x v="0"/>
    <s v="2596200"/>
    <n v="700034"/>
    <s v="Salaries-Tech/Professional-Other"/>
    <s v="Port Orchard-Radiology"/>
    <x v="0"/>
    <n v="2000"/>
    <n v="67.5"/>
    <n v="0"/>
    <n v="0"/>
    <n v="0"/>
    <n v="0"/>
    <n v="0"/>
    <n v="0"/>
    <n v="0"/>
    <n v="0"/>
    <n v="0"/>
    <n v="0"/>
    <n v="71.349999999999994"/>
    <n v="138.85"/>
    <n v="-71.349999999999994"/>
  </r>
  <r>
    <x v="5"/>
    <x v="1"/>
    <x v="0"/>
    <s v="2596200"/>
    <n v="700074"/>
    <s v="Salaries-Tech/Professional-Non-productive"/>
    <s v="Port Orchard-Radiology"/>
    <x v="0"/>
    <m/>
    <n v="3016.37"/>
    <n v="386.81"/>
    <n v="197.2"/>
    <n v="806.96"/>
    <n v="-237.12"/>
    <n v="1443.61"/>
    <n v="317.39999999999998"/>
    <n v="0"/>
    <n v="0"/>
    <n v="0"/>
    <n v="0"/>
    <n v="3117.75"/>
    <n v="9048.98"/>
    <n v="-3117.75"/>
  </r>
  <r>
    <x v="5"/>
    <x v="1"/>
    <x v="0"/>
    <s v="2596200"/>
    <n v="700074"/>
    <s v="Salaries-Tech/Professional-NonProd-Other"/>
    <s v="Port Orchard-Radi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6200"/>
    <n v="700084"/>
    <s v="Accrued PTO"/>
    <s v="Port Orchard-Radiology"/>
    <x v="0"/>
    <m/>
    <n v="-2037.95"/>
    <n v="559.87"/>
    <n v="272.07"/>
    <n v="431.18"/>
    <n v="634.48"/>
    <n v="-431.67"/>
    <n v="278.14999999999998"/>
    <n v="649.28"/>
    <n v="631.30999999999995"/>
    <n v="630.26"/>
    <n v="630.26"/>
    <n v="-1890.07"/>
    <n v="357.16999999999985"/>
    <n v="2520.33"/>
  </r>
  <r>
    <x v="6"/>
    <x v="1"/>
    <x v="0"/>
    <s v="2596200"/>
    <n v="713010"/>
    <s v="Benefits-FICA/Medicare"/>
    <s v="Port Orchard-Radiology"/>
    <x v="0"/>
    <m/>
    <n v="711.24"/>
    <n v="620.71"/>
    <n v="438.85"/>
    <n v="678.52"/>
    <n v="591.01"/>
    <n v="533.88"/>
    <n v="612.27"/>
    <n v="419.04"/>
    <n v="525.79"/>
    <n v="602.58000000000004"/>
    <n v="511.73"/>
    <n v="629.65"/>
    <n v="6875.2699999999986"/>
    <n v="-117.91999999999996"/>
  </r>
  <r>
    <x v="6"/>
    <x v="1"/>
    <x v="0"/>
    <s v="2596200"/>
    <n v="713090"/>
    <s v="Benefits-Allocated Amounts"/>
    <s v="Port Orchard-Radiology"/>
    <x v="0"/>
    <m/>
    <n v="1856.09"/>
    <n v="1397.91"/>
    <n v="1277.24"/>
    <n v="1566.29"/>
    <n v="1434.15"/>
    <n v="1390.48"/>
    <n v="1791.15"/>
    <n v="1308.45"/>
    <n v="1563.83"/>
    <n v="1634.06"/>
    <n v="1359.54"/>
    <n v="1848.25"/>
    <n v="18427.439999999999"/>
    <n v="-488.71000000000004"/>
  </r>
  <r>
    <x v="11"/>
    <x v="1"/>
    <x v="0"/>
    <s v="2596200"/>
    <n v="721410"/>
    <s v="Supplies-Medical - Nonbillable"/>
    <s v="Port Orchard-Radiology"/>
    <x v="0"/>
    <m/>
    <n v="0"/>
    <n v="0"/>
    <n v="0"/>
    <n v="0"/>
    <n v="79.97"/>
    <n v="0"/>
    <n v="0"/>
    <n v="0"/>
    <n v="0"/>
    <n v="0"/>
    <n v="0"/>
    <n v="0"/>
    <n v="79.97"/>
    <n v="0"/>
  </r>
  <r>
    <x v="16"/>
    <x v="1"/>
    <x v="0"/>
    <s v="2596200"/>
    <n v="732030"/>
    <s v="Repairs---Other"/>
    <s v="Port Orchard-Radiology"/>
    <x v="0"/>
    <m/>
    <n v="0"/>
    <n v="0"/>
    <n v="0"/>
    <n v="0"/>
    <n v="0"/>
    <n v="0"/>
    <n v="0"/>
    <n v="0"/>
    <n v="6568.34"/>
    <n v="0"/>
    <n v="0"/>
    <n v="0"/>
    <n v="6568.34"/>
    <n v="0"/>
  </r>
  <r>
    <x v="0"/>
    <x v="1"/>
    <x v="0"/>
    <s v="2596200"/>
    <n v="749530"/>
    <s v="Travel"/>
    <s v="Port Orchard-Radiology"/>
    <x v="0"/>
    <m/>
    <n v="25"/>
    <n v="36"/>
    <n v="0"/>
    <n v="0"/>
    <n v="0"/>
    <n v="0"/>
    <n v="0"/>
    <n v="0"/>
    <n v="5"/>
    <n v="10"/>
    <n v="0"/>
    <n v="20"/>
    <n v="96"/>
    <n v="-20"/>
  </r>
  <r>
    <x v="0"/>
    <x v="1"/>
    <x v="0"/>
    <s v="2596200"/>
    <n v="749530"/>
    <s v="Mileage"/>
    <s v="Port Orchard-Radiology"/>
    <x v="0"/>
    <n v="1001"/>
    <n v="70.849999999999994"/>
    <n v="99.19"/>
    <n v="0"/>
    <n v="0"/>
    <n v="0"/>
    <n v="0"/>
    <n v="0"/>
    <n v="0"/>
    <n v="15.08"/>
    <n v="30.16"/>
    <n v="0"/>
    <n v="60.32"/>
    <n v="275.60000000000002"/>
    <n v="-60.32"/>
  </r>
  <r>
    <x v="1"/>
    <x v="1"/>
    <x v="0"/>
    <s v="2597200"/>
    <n v="400029"/>
    <s v="MD Practice Other Rev--Medicare"/>
    <s v="Ortho-Sport Med-EN"/>
    <x v="0"/>
    <n v="1100"/>
    <n v="-564"/>
    <n v="-4053"/>
    <n v="-2416"/>
    <n v="-3402"/>
    <n v="-3618"/>
    <n v="-1696"/>
    <n v="-3156"/>
    <n v="-2101"/>
    <n v="-1862"/>
    <n v="-3106"/>
    <n v="-2639"/>
    <n v="-3289"/>
    <n v="-31902"/>
    <n v="650"/>
  </r>
  <r>
    <x v="1"/>
    <x v="1"/>
    <x v="0"/>
    <s v="2597200"/>
    <n v="400029"/>
    <s v="MD Practice Other Rev--Medicaid"/>
    <s v="Ortho-Sport Med-EN"/>
    <x v="0"/>
    <n v="1200"/>
    <n v="-87"/>
    <n v="-816"/>
    <n v="-820"/>
    <n v="-271"/>
    <n v="-269"/>
    <n v="-323"/>
    <n v="-182"/>
    <n v="-111"/>
    <n v="-537"/>
    <n v="-715"/>
    <n v="-491"/>
    <n v="-558"/>
    <n v="-5180"/>
    <n v="67"/>
  </r>
  <r>
    <x v="1"/>
    <x v="1"/>
    <x v="0"/>
    <s v="2597200"/>
    <n v="400029"/>
    <s v="MD Practice Other Rev--Comm Insurance"/>
    <s v="Ortho-Sport Med-EN"/>
    <x v="0"/>
    <n v="1300"/>
    <n v="0"/>
    <n v="-218"/>
    <n v="-259"/>
    <n v="-72"/>
    <n v="-77"/>
    <n v="-195"/>
    <n v="-117"/>
    <n v="-250"/>
    <n v="-77"/>
    <n v="-81"/>
    <n v="-81"/>
    <n v="0"/>
    <n v="-1427"/>
    <n v="-81"/>
  </r>
  <r>
    <x v="1"/>
    <x v="1"/>
    <x v="0"/>
    <s v="2597200"/>
    <n v="400029"/>
    <s v="MD Practice Other Rev--BCBS Comm"/>
    <s v="Ortho-Sport Med-EN"/>
    <x v="0"/>
    <n v="1301"/>
    <n v="-117"/>
    <n v="-212"/>
    <n v="-612"/>
    <n v="-657"/>
    <n v="-1135"/>
    <n v="-199"/>
    <n v="-389"/>
    <n v="-259"/>
    <n v="-390"/>
    <n v="-292"/>
    <n v="-701"/>
    <n v="-558"/>
    <n v="-5521"/>
    <n v="-143"/>
  </r>
  <r>
    <x v="1"/>
    <x v="1"/>
    <x v="0"/>
    <s v="2597200"/>
    <n v="400029"/>
    <s v="MD Practice Other Rev--Managed Care"/>
    <s v="Ortho-Sport Med-EN"/>
    <x v="0"/>
    <n v="1400"/>
    <n v="-454"/>
    <n v="-1280"/>
    <n v="-1141"/>
    <n v="-2165"/>
    <n v="-821"/>
    <n v="-592"/>
    <n v="-1675"/>
    <n v="-555"/>
    <n v="-502"/>
    <n v="-737"/>
    <n v="-941"/>
    <n v="-1432"/>
    <n v="-12295"/>
    <n v="491"/>
  </r>
  <r>
    <x v="1"/>
    <x v="1"/>
    <x v="0"/>
    <s v="2597200"/>
    <n v="400029"/>
    <s v="MD Practice Other Rev--Self Pay"/>
    <s v="Ortho-Sport Med-EN"/>
    <x v="0"/>
    <n v="1500"/>
    <n v="0"/>
    <n v="-228"/>
    <n v="-202"/>
    <n v="-101"/>
    <n v="0"/>
    <n v="0"/>
    <n v="0"/>
    <n v="-111"/>
    <n v="0"/>
    <n v="-101"/>
    <n v="0"/>
    <n v="0"/>
    <n v="-743"/>
    <n v="0"/>
  </r>
  <r>
    <x v="1"/>
    <x v="1"/>
    <x v="0"/>
    <s v="2597200"/>
    <n v="400029"/>
    <s v="MD Practice Other Rev--Other"/>
    <s v="Ortho-Sport Med-EN"/>
    <x v="0"/>
    <n v="1700"/>
    <n v="-81"/>
    <n v="-22"/>
    <n v="0"/>
    <n v="-87"/>
    <n v="-212"/>
    <n v="-382"/>
    <n v="-293"/>
    <n v="-182"/>
    <n v="-239"/>
    <n v="-313"/>
    <n v="-101"/>
    <n v="-558"/>
    <n v="-2470"/>
    <n v="457"/>
  </r>
  <r>
    <x v="1"/>
    <x v="1"/>
    <x v="0"/>
    <s v="2597200"/>
    <n v="400040"/>
    <s v="Physician Svcs Rev--Medicare"/>
    <s v="Ortho-Sport Med-EN"/>
    <x v="0"/>
    <n v="1100"/>
    <n v="-9277"/>
    <n v="-29185"/>
    <n v="-13508"/>
    <n v="-58056"/>
    <n v="-19064"/>
    <n v="-30679"/>
    <n v="-34425"/>
    <n v="-61833"/>
    <n v="-59839"/>
    <n v="-24813"/>
    <n v="-20458"/>
    <n v="-12993"/>
    <n v="-374130"/>
    <n v="-7465"/>
  </r>
  <r>
    <x v="1"/>
    <x v="1"/>
    <x v="0"/>
    <s v="2597200"/>
    <n v="400040"/>
    <s v="Physician Svcs Rev--Medicaid"/>
    <s v="Ortho-Sport Med-EN"/>
    <x v="0"/>
    <n v="1200"/>
    <n v="-7945"/>
    <n v="-3324"/>
    <n v="-4926"/>
    <n v="-4202"/>
    <n v="-13202"/>
    <n v="-8683"/>
    <n v="-2940"/>
    <n v="-7424"/>
    <n v="-12799"/>
    <n v="1676"/>
    <n v="-8085"/>
    <n v="-12733"/>
    <n v="-84587"/>
    <n v="4648"/>
  </r>
  <r>
    <x v="1"/>
    <x v="1"/>
    <x v="0"/>
    <s v="2597200"/>
    <n v="400040"/>
    <s v="Physician Svcs Rev--Comm Insurance"/>
    <s v="Ortho-Sport Med-EN"/>
    <x v="0"/>
    <n v="1300"/>
    <n v="-495"/>
    <n v="-592"/>
    <n v="0"/>
    <n v="-417"/>
    <n v="-3794"/>
    <n v="-417"/>
    <n v="-485"/>
    <n v="-2918"/>
    <n v="0"/>
    <n v="-1181"/>
    <n v="-1"/>
    <n v="0"/>
    <n v="-10300"/>
    <n v="-1"/>
  </r>
  <r>
    <x v="1"/>
    <x v="1"/>
    <x v="0"/>
    <s v="2597200"/>
    <n v="400040"/>
    <s v="Physician Svcs Rev--BCBS Comm"/>
    <s v="Ortho-Sport Med-EN"/>
    <x v="0"/>
    <n v="1301"/>
    <n v="-11474"/>
    <n v="-888"/>
    <n v="-2380"/>
    <n v="-4986"/>
    <n v="-9933"/>
    <n v="-10935"/>
    <n v="-753"/>
    <n v="-15401"/>
    <n v="-9894"/>
    <n v="-10395"/>
    <n v="-3299"/>
    <n v="0"/>
    <n v="-80338"/>
    <n v="-3299"/>
  </r>
  <r>
    <x v="1"/>
    <x v="1"/>
    <x v="0"/>
    <s v="2597200"/>
    <n v="400040"/>
    <s v="Physician Svcs Rev--Managed Care"/>
    <s v="Ortho-Sport Med-EN"/>
    <x v="0"/>
    <n v="1400"/>
    <n v="-8640"/>
    <n v="-1842"/>
    <n v="-11539"/>
    <n v="-9189"/>
    <n v="-10666"/>
    <n v="-21154"/>
    <n v="-3023"/>
    <n v="-35688"/>
    <n v="-16351"/>
    <n v="-6504"/>
    <n v="-9434"/>
    <n v="-10071"/>
    <n v="-144101"/>
    <n v="637"/>
  </r>
  <r>
    <x v="1"/>
    <x v="1"/>
    <x v="0"/>
    <s v="2597200"/>
    <n v="400040"/>
    <s v="Physician Svcs Rev--Self Pay"/>
    <s v="Ortho-Sport Med-EN"/>
    <x v="0"/>
    <n v="1500"/>
    <n v="-296"/>
    <n v="0"/>
    <n v="-417"/>
    <n v="0"/>
    <n v="0"/>
    <n v="0"/>
    <n v="121"/>
    <n v="0"/>
    <n v="0"/>
    <n v="0"/>
    <n v="-417"/>
    <n v="0"/>
    <n v="-1009"/>
    <n v="-417"/>
  </r>
  <r>
    <x v="1"/>
    <x v="1"/>
    <x v="0"/>
    <s v="2597200"/>
    <n v="400040"/>
    <s v="Physician Svcs Rev--Other"/>
    <s v="Ortho-Sport Med-EN"/>
    <x v="0"/>
    <n v="1700"/>
    <n v="-1085"/>
    <n v="-1850"/>
    <n v="-3392"/>
    <n v="-4026"/>
    <n v="-4357"/>
    <n v="-912"/>
    <n v="-3022"/>
    <n v="-7641"/>
    <n v="-13311"/>
    <n v="-6087"/>
    <n v="-1392"/>
    <n v="-2551"/>
    <n v="-49626"/>
    <n v="1159"/>
  </r>
  <r>
    <x v="2"/>
    <x v="1"/>
    <x v="0"/>
    <s v="2597200"/>
    <n v="450029"/>
    <s v="Contr Allow--MD Other-Medicare"/>
    <s v="Ortho-Sport Med-EN"/>
    <x v="0"/>
    <n v="1100"/>
    <n v="840.57"/>
    <n v="1503.76"/>
    <n v="1581.52"/>
    <n v="1769.75"/>
    <n v="2057.75"/>
    <n v="1789.77"/>
    <n v="1639.5"/>
    <n v="1113.4100000000001"/>
    <n v="1080.55"/>
    <n v="2307.27"/>
    <n v="1558.75"/>
    <n v="1294.1400000000001"/>
    <n v="18536.739999999998"/>
    <n v="264.6099999999999"/>
  </r>
  <r>
    <x v="2"/>
    <x v="1"/>
    <x v="0"/>
    <s v="2597200"/>
    <n v="450029"/>
    <s v="Contr Allow--MD Other-Medicaid"/>
    <s v="Ortho-Sport Med-EN"/>
    <x v="0"/>
    <n v="1200"/>
    <n v="135.57"/>
    <n v="492.97"/>
    <n v="390.99"/>
    <n v="675.43"/>
    <n v="203.35"/>
    <n v="186.6"/>
    <n v="198.57"/>
    <n v="148.81"/>
    <n v="140"/>
    <n v="761.89"/>
    <n v="355.81"/>
    <n v="303.82"/>
    <n v="3993.81"/>
    <n v="51.990000000000009"/>
  </r>
  <r>
    <x v="2"/>
    <x v="1"/>
    <x v="0"/>
    <s v="2597200"/>
    <n v="450029"/>
    <s v="Contr Allow--MD Other-Comm Insurance"/>
    <s v="Ortho-Sport Med-EN"/>
    <x v="0"/>
    <n v="1300"/>
    <n v="53.08"/>
    <n v="38.69"/>
    <n v="104.55"/>
    <n v="27.67"/>
    <n v="19.850000000000001"/>
    <n v="0"/>
    <n v="39.94"/>
    <n v="87.7"/>
    <n v="0"/>
    <n v="46.01"/>
    <n v="0"/>
    <n v="17.82"/>
    <n v="435.30999999999995"/>
    <n v="-17.82"/>
  </r>
  <r>
    <x v="2"/>
    <x v="1"/>
    <x v="0"/>
    <s v="2597200"/>
    <n v="450029"/>
    <s v="Contr Allow--MD Other BCBS Comm"/>
    <s v="Ortho-Sport Med-EN"/>
    <x v="0"/>
    <n v="1301"/>
    <n v="83.53"/>
    <n v="29.75"/>
    <n v="88.53"/>
    <n v="182.52"/>
    <n v="248.68"/>
    <n v="258.02"/>
    <n v="94.63"/>
    <n v="49.92"/>
    <n v="107.05"/>
    <n v="93.59"/>
    <n v="68.819999999999993"/>
    <n v="247.12"/>
    <n v="1552.1599999999999"/>
    <n v="-178.3"/>
  </r>
  <r>
    <x v="2"/>
    <x v="1"/>
    <x v="0"/>
    <s v="2597200"/>
    <n v="450029"/>
    <s v="Contr Allow--MD Other-Managed Care"/>
    <s v="Ortho-Sport Med-EN"/>
    <x v="0"/>
    <n v="1400"/>
    <n v="342.15"/>
    <n v="333.96"/>
    <n v="361.47"/>
    <n v="540.54"/>
    <n v="805.53"/>
    <n v="108.96"/>
    <n v="422.25"/>
    <n v="377.84"/>
    <n v="293.66000000000003"/>
    <n v="266.99"/>
    <n v="488.42"/>
    <n v="354.37"/>
    <n v="4696.1399999999994"/>
    <n v="134.05000000000001"/>
  </r>
  <r>
    <x v="2"/>
    <x v="1"/>
    <x v="0"/>
    <s v="2597200"/>
    <n v="450029"/>
    <s v="Admin Adjust-MD Other-Self Pay"/>
    <s v="Ortho-Sport Med-EN"/>
    <x v="0"/>
    <n v="1600"/>
    <n v="1.5"/>
    <n v="107.22"/>
    <n v="74.739999999999995"/>
    <n v="37.369999999999997"/>
    <n v="0"/>
    <n v="0"/>
    <n v="0"/>
    <n v="64.3"/>
    <n v="2.64"/>
    <n v="86.25"/>
    <n v="3.28"/>
    <n v="0"/>
    <n v="377.29999999999995"/>
    <n v="3.28"/>
  </r>
  <r>
    <x v="2"/>
    <x v="1"/>
    <x v="0"/>
    <s v="2597200"/>
    <n v="450029"/>
    <s v="Contr Allow--MD Other-Other"/>
    <s v="Ortho-Sport Med-EN"/>
    <x v="0"/>
    <n v="1700"/>
    <n v="34.520000000000003"/>
    <n v="0"/>
    <n v="60.17"/>
    <n v="0"/>
    <n v="28.81"/>
    <n v="0"/>
    <n v="283.62"/>
    <n v="47.68"/>
    <n v="173.52"/>
    <n v="33.020000000000003"/>
    <n v="159.69"/>
    <n v="121.23"/>
    <n v="942.26"/>
    <n v="38.459999999999994"/>
  </r>
  <r>
    <x v="2"/>
    <x v="1"/>
    <x v="0"/>
    <s v="2597200"/>
    <n v="450040"/>
    <s v="Contr Allow--Phys Svcs--Mcare"/>
    <s v="Ortho-Sport Med-EN"/>
    <x v="0"/>
    <n v="1100"/>
    <n v="13866.41"/>
    <n v="15190.02"/>
    <n v="10592.01"/>
    <n v="27357.94"/>
    <n v="36051.21"/>
    <n v="11868.57"/>
    <n v="21759.56"/>
    <n v="25227.919999999998"/>
    <n v="30697.85"/>
    <n v="35141.18"/>
    <n v="12749.61"/>
    <n v="18196.490000000002"/>
    <n v="258698.77000000002"/>
    <n v="-5446.880000000001"/>
  </r>
  <r>
    <x v="2"/>
    <x v="1"/>
    <x v="0"/>
    <s v="2597200"/>
    <n v="450040"/>
    <s v="Contr Allow--Phys Svcs--Mcaid"/>
    <s v="Ortho-Sport Med-EN"/>
    <x v="0"/>
    <n v="1200"/>
    <n v="3846.85"/>
    <n v="7883.11"/>
    <n v="2767.96"/>
    <n v="4294.8599999999997"/>
    <n v="7212.4"/>
    <n v="6337.21"/>
    <n v="3625.96"/>
    <n v="8852.08"/>
    <n v="449.31"/>
    <n v="3364.38"/>
    <n v="849.44"/>
    <n v="9386.01"/>
    <n v="58869.57"/>
    <n v="-8536.57"/>
  </r>
  <r>
    <x v="2"/>
    <x v="1"/>
    <x v="0"/>
    <s v="2597200"/>
    <n v="450040"/>
    <s v="Contr Allow--Phys Svcs--Comm Insurance"/>
    <s v="Ortho-Sport Med-EN"/>
    <x v="0"/>
    <n v="1300"/>
    <n v="237.44"/>
    <n v="268.68"/>
    <n v="92.04"/>
    <n v="0"/>
    <n v="3827.18"/>
    <n v="33.18"/>
    <n v="103.74"/>
    <n v="0"/>
    <n v="786.72"/>
    <n v="1107.07"/>
    <n v="320.10000000000002"/>
    <n v="0"/>
    <n v="6776.1500000000005"/>
    <n v="320.10000000000002"/>
  </r>
  <r>
    <x v="2"/>
    <x v="1"/>
    <x v="0"/>
    <s v="2597200"/>
    <n v="450040"/>
    <s v="Contr Allow--Phys Svcs--BCBS Comm Ins"/>
    <s v="Ortho-Sport Med-EN"/>
    <x v="0"/>
    <n v="1301"/>
    <n v="1268.6300000000001"/>
    <n v="2022.87"/>
    <n v="79.400000000000006"/>
    <n v="694.66"/>
    <n v="1480.39"/>
    <n v="4073.27"/>
    <n v="1676.81"/>
    <n v="1165.23"/>
    <n v="2630.63"/>
    <n v="5349.59"/>
    <n v="3334.57"/>
    <n v="475.5"/>
    <n v="24251.55"/>
    <n v="2859.07"/>
  </r>
  <r>
    <x v="2"/>
    <x v="1"/>
    <x v="0"/>
    <s v="2597200"/>
    <n v="450040"/>
    <s v="Contr Allow--Phys Svcs--Managed Care"/>
    <s v="Ortho-Sport Med-EN"/>
    <x v="0"/>
    <n v="1400"/>
    <n v="812.52"/>
    <n v="2587.75"/>
    <n v="3545.44"/>
    <n v="4718.51"/>
    <n v="2576.44"/>
    <n v="6245.41"/>
    <n v="7071.43"/>
    <n v="6165.88"/>
    <n v="11683.66"/>
    <n v="8687.17"/>
    <n v="3645.29"/>
    <n v="9939.07"/>
    <n v="67678.569999999992"/>
    <n v="-6293.78"/>
  </r>
  <r>
    <x v="2"/>
    <x v="1"/>
    <x v="0"/>
    <s v="2597200"/>
    <n v="450040"/>
    <s v="Contr Allow--Phys Svcs--BCBS Mgnd Care"/>
    <s v="Ortho-Sport Med-EN"/>
    <x v="0"/>
    <n v="1401"/>
    <n v="-2271.86"/>
    <n v="-4664.38"/>
    <n v="2449.2600000000002"/>
    <n v="10562.99"/>
    <n v="-13425.55"/>
    <n v="9725.7000000000007"/>
    <n v="-14952.1"/>
    <n v="32171.07"/>
    <n v="7082.69"/>
    <n v="-24918.57"/>
    <n v="-1246.4100000000001"/>
    <n v="-10722.18"/>
    <n v="-10209.34"/>
    <n v="9475.77"/>
  </r>
  <r>
    <x v="2"/>
    <x v="1"/>
    <x v="0"/>
    <s v="2597200"/>
    <n v="450040"/>
    <s v="Prompt Pay Disc-Phys Svcs-Self Pay"/>
    <s v="Ortho-Sport Med-EN"/>
    <x v="0"/>
    <n v="1500"/>
    <n v="0"/>
    <n v="0"/>
    <n v="0"/>
    <n v="0"/>
    <n v="202.62"/>
    <n v="0"/>
    <n v="0"/>
    <n v="0"/>
    <n v="0"/>
    <n v="0"/>
    <n v="0"/>
    <n v="0"/>
    <n v="202.62"/>
    <n v="0"/>
  </r>
  <r>
    <x v="2"/>
    <x v="1"/>
    <x v="0"/>
    <s v="2597200"/>
    <n v="450040"/>
    <s v="Admin Adjust-Phys Svcs-Self Pay"/>
    <s v="Ortho-Sport Med-EN"/>
    <x v="0"/>
    <n v="1600"/>
    <n v="113.74"/>
    <n v="5.15"/>
    <n v="5568.61"/>
    <n v="237.47"/>
    <n v="167.48"/>
    <n v="0"/>
    <n v="-44.77"/>
    <n v="-52.94"/>
    <n v="12.79"/>
    <n v="-0.85"/>
    <n v="1613.02"/>
    <n v="-14.07"/>
    <n v="7605.6299999999992"/>
    <n v="1627.09"/>
  </r>
  <r>
    <x v="2"/>
    <x v="1"/>
    <x v="0"/>
    <s v="2597200"/>
    <n v="450040"/>
    <s v="Contr Allow--Phys Svcs--Other"/>
    <s v="Ortho-Sport Med-EN"/>
    <x v="0"/>
    <n v="1700"/>
    <n v="2124.5500000000002"/>
    <n v="242.14"/>
    <n v="742.51"/>
    <n v="1406.12"/>
    <n v="587.52"/>
    <n v="1058.81"/>
    <n v="4497.8900000000003"/>
    <n v="3071.41"/>
    <n v="3137.86"/>
    <n v="197.01"/>
    <n v="6591.92"/>
    <n v="1465.01"/>
    <n v="25122.749999999996"/>
    <n v="5126.91"/>
  </r>
  <r>
    <x v="3"/>
    <x v="1"/>
    <x v="0"/>
    <s v="2597200"/>
    <n v="470040"/>
    <s v="Charity Care-Physician Svcs"/>
    <s v="Ortho-Sport Med-EN"/>
    <x v="0"/>
    <m/>
    <n v="-148.44999999999999"/>
    <n v="282.41000000000003"/>
    <n v="34.57"/>
    <n v="622.91999999999996"/>
    <n v="105.62"/>
    <n v="196.55"/>
    <n v="-428.71"/>
    <n v="862.32"/>
    <n v="523.30999999999995"/>
    <n v="-807.79"/>
    <n v="-162.33000000000001"/>
    <n v="0.34"/>
    <n v="1080.76"/>
    <n v="-162.67000000000002"/>
  </r>
  <r>
    <x v="4"/>
    <x v="1"/>
    <x v="0"/>
    <s v="2597200"/>
    <n v="490010"/>
    <s v="Provision for Bad Debts"/>
    <s v="Ortho-Sport Med-EN"/>
    <x v="0"/>
    <m/>
    <n v="-140.93"/>
    <n v="-244.09"/>
    <n v="2022.48"/>
    <n v="1362.87"/>
    <n v="-1731.7"/>
    <n v="1117.6099999999999"/>
    <n v="1061.77"/>
    <n v="3054.42"/>
    <n v="1566.69"/>
    <n v="-7211.5"/>
    <n v="-405.31"/>
    <n v="-379.52"/>
    <n v="72.790000000000816"/>
    <n v="-25.79000000000002"/>
  </r>
  <r>
    <x v="5"/>
    <x v="1"/>
    <x v="0"/>
    <s v="2597200"/>
    <n v="700030"/>
    <s v="Salaries-LPN-Productive"/>
    <s v="Ortho-Sport Med-EN"/>
    <x v="0"/>
    <m/>
    <n v="3068.99"/>
    <n v="3889.62"/>
    <n v="2663.03"/>
    <n v="4177.4799999999996"/>
    <n v="4109.1099999999997"/>
    <n v="2176.64"/>
    <n v="3966.06"/>
    <n v="2951.27"/>
    <n v="4193.24"/>
    <n v="3555.6"/>
    <n v="3659.33"/>
    <n v="3303.37"/>
    <n v="41713.740000000005"/>
    <n v="355.96000000000004"/>
  </r>
  <r>
    <x v="5"/>
    <x v="1"/>
    <x v="0"/>
    <s v="2597200"/>
    <n v="700030"/>
    <s v="Salaries-LPN-OT"/>
    <s v="Ortho-Sport Med-EN"/>
    <x v="0"/>
    <n v="1000"/>
    <n v="0"/>
    <n v="55.87"/>
    <n v="23.27"/>
    <n v="-13.96"/>
    <n v="76.72"/>
    <n v="28.77"/>
    <n v="0"/>
    <n v="76.819999999999993"/>
    <n v="86.44"/>
    <n v="-19.21"/>
    <n v="0"/>
    <n v="0"/>
    <n v="314.72000000000003"/>
    <n v="0"/>
  </r>
  <r>
    <x v="5"/>
    <x v="1"/>
    <x v="0"/>
    <s v="2597200"/>
    <n v="700070"/>
    <s v="Salaries-LPN-Non-productive"/>
    <s v="Ortho-Sport Med-EN"/>
    <x v="0"/>
    <m/>
    <n v="675.37"/>
    <n v="119.19"/>
    <n v="794.56"/>
    <n v="581.38"/>
    <n v="288.95"/>
    <n v="1720.85"/>
    <n v="307.48"/>
    <n v="681.17"/>
    <n v="-19.84"/>
    <n v="716.37"/>
    <n v="419.97"/>
    <n v="588.98"/>
    <n v="6874.4299999999985"/>
    <n v="-169.01"/>
  </r>
  <r>
    <x v="5"/>
    <x v="1"/>
    <x v="0"/>
    <s v="2597200"/>
    <n v="700070"/>
    <s v="Salaries-LPN-NonProd-Other"/>
    <s v="Ortho-Sport Med-E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7200"/>
    <n v="700084"/>
    <s v="Accrued PTO"/>
    <s v="Ortho-Sport Med-EN"/>
    <x v="0"/>
    <m/>
    <n v="-133.12"/>
    <n v="254.76"/>
    <n v="-149.97"/>
    <n v="192.57"/>
    <n v="202.77"/>
    <n v="-1035.8399999999999"/>
    <n v="77.73"/>
    <n v="-107.39"/>
    <n v="364.63"/>
    <n v="-162.37"/>
    <n v="13.04"/>
    <n v="-57.02"/>
    <n v="-540.20999999999992"/>
    <n v="70.06"/>
  </r>
  <r>
    <x v="6"/>
    <x v="1"/>
    <x v="0"/>
    <s v="2597200"/>
    <n v="713010"/>
    <s v="Benefits-FICA/Medicare"/>
    <s v="Ortho-Sport Med-EN"/>
    <x v="0"/>
    <m/>
    <n v="271.06"/>
    <n v="294.87"/>
    <n v="252.29"/>
    <n v="346.9"/>
    <n v="342.87"/>
    <n v="285.67"/>
    <n v="310.32"/>
    <n v="269.36"/>
    <n v="310.70999999999998"/>
    <n v="309.47000000000003"/>
    <n v="295.52"/>
    <n v="283.33999999999997"/>
    <n v="3572.3800000000006"/>
    <n v="12.180000000000007"/>
  </r>
  <r>
    <x v="6"/>
    <x v="1"/>
    <x v="0"/>
    <s v="2597200"/>
    <n v="713090"/>
    <s v="Benefits-Allocated Amounts"/>
    <s v="Ortho-Sport Med-EN"/>
    <x v="0"/>
    <m/>
    <n v="951.21"/>
    <n v="897.5"/>
    <n v="944.19"/>
    <n v="1187.48"/>
    <n v="1011.82"/>
    <n v="985.34"/>
    <n v="1187.45"/>
    <n v="1108.6300000000001"/>
    <n v="1108.1199999999999"/>
    <n v="1121.93"/>
    <n v="1107.3399999999999"/>
    <n v="1103.08"/>
    <n v="12714.089999999998"/>
    <n v="4.2599999999999909"/>
  </r>
  <r>
    <x v="7"/>
    <x v="1"/>
    <x v="0"/>
    <s v="2597200"/>
    <n v="718050"/>
    <s v="Translation Services"/>
    <s v="Ortho-Sport Med-EN"/>
    <x v="0"/>
    <n v="1025"/>
    <n v="104"/>
    <n v="0"/>
    <n v="0"/>
    <n v="0"/>
    <n v="0"/>
    <n v="0"/>
    <n v="0"/>
    <n v="0"/>
    <n v="0"/>
    <n v="0"/>
    <n v="0"/>
    <n v="0"/>
    <n v="104"/>
    <n v="0"/>
  </r>
  <r>
    <x v="12"/>
    <x v="1"/>
    <x v="0"/>
    <s v="2597200"/>
    <n v="730010"/>
    <s v="Rental and Leases-Building (DO NOT USE)"/>
    <s v="Ortho-Sport Med-EN"/>
    <x v="0"/>
    <m/>
    <n v="535.54"/>
    <n v="535.54"/>
    <n v="535.54"/>
    <n v="535.54"/>
    <n v="535.54"/>
    <n v="535.54"/>
    <n v="535.54"/>
    <n v="535.54"/>
    <n v="535.54"/>
    <n v="535.54"/>
    <n v="535.54"/>
    <n v="0"/>
    <n v="5890.94"/>
    <n v="535.54"/>
  </r>
  <r>
    <x v="12"/>
    <x v="1"/>
    <x v="0"/>
    <s v="2597200"/>
    <n v="730040"/>
    <s v="LT Lease-Real Estate"/>
    <s v="Ortho-Sport Med-EN"/>
    <x v="0"/>
    <m/>
    <n v="0"/>
    <n v="0"/>
    <n v="0"/>
    <n v="0"/>
    <n v="0"/>
    <n v="0"/>
    <n v="0"/>
    <n v="0"/>
    <n v="0"/>
    <n v="0"/>
    <n v="0"/>
    <n v="535.54"/>
    <n v="535.54"/>
    <n v="-535.54"/>
  </r>
  <r>
    <x v="1"/>
    <x v="1"/>
    <x v="0"/>
    <s v="2598200"/>
    <n v="400029"/>
    <s v="MD Practice Other Rev--Medicare"/>
    <s v="Spec-EN Cole St-Cardio"/>
    <x v="0"/>
    <n v="1100"/>
    <n v="0"/>
    <n v="0"/>
    <n v="0"/>
    <n v="-10"/>
    <n v="0"/>
    <n v="0"/>
    <n v="0"/>
    <n v="0"/>
    <n v="-54"/>
    <n v="0"/>
    <n v="0"/>
    <n v="0"/>
    <n v="-64"/>
    <n v="0"/>
  </r>
  <r>
    <x v="1"/>
    <x v="1"/>
    <x v="0"/>
    <s v="2598200"/>
    <n v="400029"/>
    <s v="MD Practice Other Rev--Medicaid"/>
    <s v="Spec-EN Cole St-Cardio"/>
    <x v="0"/>
    <n v="1200"/>
    <n v="0"/>
    <n v="0"/>
    <n v="0"/>
    <n v="0"/>
    <n v="0"/>
    <n v="0"/>
    <n v="0"/>
    <n v="-54"/>
    <n v="0"/>
    <n v="0"/>
    <n v="0"/>
    <n v="0"/>
    <n v="-54"/>
    <n v="0"/>
  </r>
  <r>
    <x v="1"/>
    <x v="1"/>
    <x v="0"/>
    <s v="2598200"/>
    <n v="400029"/>
    <s v="MD Practice Other Rev--BCBS Comm"/>
    <s v="Spec-EN Cole St-Cardio"/>
    <x v="0"/>
    <n v="1301"/>
    <n v="0"/>
    <n v="0"/>
    <n v="0"/>
    <n v="-54"/>
    <n v="0"/>
    <n v="0"/>
    <n v="0"/>
    <n v="0"/>
    <n v="0"/>
    <n v="0"/>
    <n v="0"/>
    <n v="0"/>
    <n v="-54"/>
    <n v="0"/>
  </r>
  <r>
    <x v="1"/>
    <x v="1"/>
    <x v="0"/>
    <s v="2598200"/>
    <n v="400040"/>
    <s v="Physician Svcs Rev--Medicare"/>
    <s v="Spec-EN Cole St-Cardio"/>
    <x v="0"/>
    <n v="1100"/>
    <n v="-60114"/>
    <n v="-62146"/>
    <n v="-48519"/>
    <n v="-73558"/>
    <n v="-50827"/>
    <n v="-48274"/>
    <n v="-60250"/>
    <n v="-58361"/>
    <n v="-53198"/>
    <n v="-63490"/>
    <n v="-58465"/>
    <n v="-59652"/>
    <n v="-696854"/>
    <n v="1187"/>
  </r>
  <r>
    <x v="1"/>
    <x v="1"/>
    <x v="0"/>
    <s v="2598200"/>
    <n v="400040"/>
    <s v="Physician Svcs Rev--Medicaid"/>
    <s v="Spec-EN Cole St-Cardio"/>
    <x v="0"/>
    <n v="1200"/>
    <n v="-4605"/>
    <n v="-7286"/>
    <n v="-5849"/>
    <n v="-6121"/>
    <n v="-5459"/>
    <n v="-4165"/>
    <n v="-6709"/>
    <n v="-5668"/>
    <n v="-3803"/>
    <n v="-8818"/>
    <n v="-4032"/>
    <n v="-5642"/>
    <n v="-68157"/>
    <n v="1610"/>
  </r>
  <r>
    <x v="1"/>
    <x v="1"/>
    <x v="0"/>
    <s v="2598200"/>
    <n v="400040"/>
    <s v="Physician Svcs Rev--Comm Insurance"/>
    <s v="Spec-EN Cole St-Cardio"/>
    <x v="0"/>
    <n v="1300"/>
    <n v="-424"/>
    <n v="-1061"/>
    <n v="-1542"/>
    <n v="-1813"/>
    <n v="-1116"/>
    <n v="-738"/>
    <n v="-2127"/>
    <n v="-639"/>
    <n v="-670"/>
    <n v="-1672"/>
    <n v="-926"/>
    <n v="-2692"/>
    <n v="-15420"/>
    <n v="1766"/>
  </r>
  <r>
    <x v="1"/>
    <x v="1"/>
    <x v="0"/>
    <s v="2598200"/>
    <n v="400040"/>
    <s v="Physician Svcs Rev--BCBS Comm"/>
    <s v="Spec-EN Cole St-Cardio"/>
    <x v="0"/>
    <n v="1301"/>
    <n v="-6275"/>
    <n v="-8001"/>
    <n v="-5994"/>
    <n v="-7176"/>
    <n v="-4276"/>
    <n v="-4132"/>
    <n v="-5689"/>
    <n v="-7872"/>
    <n v="-6833"/>
    <n v="-6748"/>
    <n v="-6815"/>
    <n v="-8864"/>
    <n v="-78675"/>
    <n v="2049"/>
  </r>
  <r>
    <x v="1"/>
    <x v="1"/>
    <x v="0"/>
    <s v="2598200"/>
    <n v="400040"/>
    <s v="Physician Svcs Rev--Managed Care"/>
    <s v="Spec-EN Cole St-Cardio"/>
    <x v="0"/>
    <n v="1400"/>
    <n v="-11709"/>
    <n v="-20736"/>
    <n v="-17439"/>
    <n v="-23214"/>
    <n v="-13121"/>
    <n v="-15121"/>
    <n v="-20888"/>
    <n v="-20062"/>
    <n v="-14034"/>
    <n v="-21791"/>
    <n v="-12751"/>
    <n v="-13429"/>
    <n v="-204295"/>
    <n v="678"/>
  </r>
  <r>
    <x v="1"/>
    <x v="1"/>
    <x v="0"/>
    <s v="2598200"/>
    <n v="400040"/>
    <s v="Physician Svcs Rev--Self Pay"/>
    <s v="Spec-EN Cole St-Cardio"/>
    <x v="0"/>
    <n v="1500"/>
    <n v="-370"/>
    <n v="-893"/>
    <n v="-1140"/>
    <n v="-1280"/>
    <n v="-258"/>
    <n v="-1077"/>
    <n v="-360"/>
    <n v="-1313"/>
    <n v="-72"/>
    <n v="-455"/>
    <n v="-226"/>
    <n v="-545"/>
    <n v="-7989"/>
    <n v="319"/>
  </r>
  <r>
    <x v="1"/>
    <x v="1"/>
    <x v="0"/>
    <s v="2598200"/>
    <n v="400040"/>
    <s v="Physician Svcs Rev--Other"/>
    <s v="Spec-EN Cole St-Cardio"/>
    <x v="0"/>
    <n v="1700"/>
    <n v="-914"/>
    <n v="-1375"/>
    <n v="-1175"/>
    <n v="-954"/>
    <n v="-710"/>
    <n v="-1161"/>
    <n v="-762"/>
    <n v="-1142"/>
    <n v="-1204"/>
    <n v="-2020"/>
    <n v="-894"/>
    <n v="-938"/>
    <n v="-13249"/>
    <n v="44"/>
  </r>
  <r>
    <x v="2"/>
    <x v="1"/>
    <x v="0"/>
    <s v="2598200"/>
    <n v="450029"/>
    <s v="Contr Allow--MD Other-Medicare"/>
    <s v="Spec-EN Cole St-Cardio"/>
    <x v="0"/>
    <n v="1100"/>
    <n v="0"/>
    <n v="0"/>
    <n v="0"/>
    <n v="6.59"/>
    <n v="0"/>
    <n v="0"/>
    <n v="0"/>
    <n v="0"/>
    <n v="30.36"/>
    <n v="0"/>
    <n v="0"/>
    <n v="0"/>
    <n v="36.950000000000003"/>
    <n v="0"/>
  </r>
  <r>
    <x v="2"/>
    <x v="1"/>
    <x v="0"/>
    <s v="2598200"/>
    <n v="450029"/>
    <s v="Contr Allow--MD Other-Medicaid"/>
    <s v="Spec-EN Cole St-Cardio"/>
    <x v="0"/>
    <n v="1200"/>
    <n v="0"/>
    <n v="0"/>
    <n v="0"/>
    <n v="0"/>
    <n v="0"/>
    <n v="0"/>
    <n v="0"/>
    <n v="40.54"/>
    <n v="0"/>
    <n v="0"/>
    <n v="0"/>
    <n v="0"/>
    <n v="40.54"/>
    <n v="0"/>
  </r>
  <r>
    <x v="2"/>
    <x v="1"/>
    <x v="0"/>
    <s v="2598200"/>
    <n v="450029"/>
    <s v="Contr Allow--MD Other BCBS Comm"/>
    <s v="Spec-EN Cole St-Cardio"/>
    <x v="0"/>
    <n v="1301"/>
    <n v="0"/>
    <n v="0"/>
    <n v="0"/>
    <n v="0"/>
    <n v="13.56"/>
    <n v="0"/>
    <n v="0"/>
    <n v="0"/>
    <n v="0"/>
    <n v="0"/>
    <n v="0"/>
    <n v="0"/>
    <n v="13.56"/>
    <n v="0"/>
  </r>
  <r>
    <x v="2"/>
    <x v="1"/>
    <x v="0"/>
    <s v="2598200"/>
    <n v="450040"/>
    <s v="Contr Allow--Phys Svcs--Mcare"/>
    <s v="Spec-EN Cole St-Cardio"/>
    <x v="0"/>
    <n v="1100"/>
    <n v="32528.65"/>
    <n v="39884.160000000003"/>
    <n v="34340.410000000003"/>
    <n v="38143.11"/>
    <n v="36006.480000000003"/>
    <n v="32302.07"/>
    <n v="34963.839999999997"/>
    <n v="30125.06"/>
    <n v="39414.47"/>
    <n v="37643.1"/>
    <n v="10745.7"/>
    <n v="13866.31"/>
    <n v="379963.36"/>
    <n v="-3120.6099999999988"/>
  </r>
  <r>
    <x v="2"/>
    <x v="1"/>
    <x v="0"/>
    <s v="2598200"/>
    <n v="450040"/>
    <s v="Contr Allow--Phys Svcs--Mcaid"/>
    <s v="Spec-EN Cole St-Cardio"/>
    <x v="0"/>
    <n v="1200"/>
    <n v="6336.07"/>
    <n v="4757.04"/>
    <n v="5314.32"/>
    <n v="4943.91"/>
    <n v="3817.68"/>
    <n v="3701.22"/>
    <n v="3902.38"/>
    <n v="4483.6099999999997"/>
    <n v="4236.93"/>
    <n v="4776.9399999999996"/>
    <n v="5742.67"/>
    <n v="3606.94"/>
    <n v="55619.710000000006"/>
    <n v="2135.73"/>
  </r>
  <r>
    <x v="2"/>
    <x v="1"/>
    <x v="0"/>
    <s v="2598200"/>
    <n v="450040"/>
    <s v="Contr Allow--Phys Svcs--Comm Insurance"/>
    <s v="Spec-EN Cole St-Cardio"/>
    <x v="0"/>
    <n v="1300"/>
    <n v="326.66000000000003"/>
    <n v="316.61"/>
    <n v="348.46"/>
    <n v="605.55999999999995"/>
    <n v="338.72"/>
    <n v="383.15"/>
    <n v="362.14"/>
    <n v="237.47"/>
    <n v="319.44"/>
    <n v="422.82"/>
    <n v="529.16"/>
    <n v="347.73"/>
    <n v="4537.92"/>
    <n v="181.42999999999995"/>
  </r>
  <r>
    <x v="2"/>
    <x v="1"/>
    <x v="0"/>
    <s v="2598200"/>
    <n v="450040"/>
    <s v="Contr Allow--Phys Svcs--BCBS Comm Ins"/>
    <s v="Spec-EN Cole St-Cardio"/>
    <x v="0"/>
    <n v="1301"/>
    <n v="1805.19"/>
    <n v="2275.66"/>
    <n v="2240.4699999999998"/>
    <n v="1537.61"/>
    <n v="1618.37"/>
    <n v="1441.45"/>
    <n v="578.9"/>
    <n v="2042.42"/>
    <n v="3189.06"/>
    <n v="1893.65"/>
    <n v="1727.52"/>
    <n v="2041.23"/>
    <n v="22391.530000000002"/>
    <n v="-313.71000000000004"/>
  </r>
  <r>
    <x v="2"/>
    <x v="1"/>
    <x v="0"/>
    <s v="2598200"/>
    <n v="450040"/>
    <s v="Contr Allow--Phys Svcs--Managed Care"/>
    <s v="Spec-EN Cole St-Cardio"/>
    <x v="0"/>
    <n v="1400"/>
    <n v="4978.3599999999997"/>
    <n v="6620.99"/>
    <n v="6594.05"/>
    <n v="5540.65"/>
    <n v="6811.86"/>
    <n v="4804.5200000000004"/>
    <n v="5120.3900000000003"/>
    <n v="6382.95"/>
    <n v="9280.01"/>
    <n v="5434.39"/>
    <n v="7178.1"/>
    <n v="4541.76"/>
    <n v="73288.029999999984"/>
    <n v="2636.34"/>
  </r>
  <r>
    <x v="2"/>
    <x v="1"/>
    <x v="0"/>
    <s v="2598200"/>
    <n v="450040"/>
    <s v="Contr Allow--Phys Svcs--BCBS Mgnd Care"/>
    <s v="Spec-EN Cole St-Cardio"/>
    <x v="0"/>
    <n v="1401"/>
    <n v="-685.43"/>
    <n v="783.04"/>
    <n v="-5074.22"/>
    <n v="9240.93"/>
    <n v="-8176.88"/>
    <n v="-1863.15"/>
    <n v="10120.39"/>
    <n v="9510.85"/>
    <n v="-12471.33"/>
    <n v="5879.37"/>
    <n v="17135.78"/>
    <n v="22942.880000000001"/>
    <n v="47342.229999999996"/>
    <n v="-5807.1000000000022"/>
  </r>
  <r>
    <x v="2"/>
    <x v="1"/>
    <x v="0"/>
    <s v="2598200"/>
    <n v="450040"/>
    <s v="Admin Adjust-Phys Svcs-Self Pay"/>
    <s v="Spec-EN Cole St-Cardio"/>
    <x v="0"/>
    <n v="1600"/>
    <n v="112.93"/>
    <n v="1166.44"/>
    <n v="720.76"/>
    <n v="855.17"/>
    <n v="179.38"/>
    <n v="440.69"/>
    <n v="191.31"/>
    <n v="1092.3900000000001"/>
    <n v="-9.64"/>
    <n v="228.75"/>
    <n v="140.25"/>
    <n v="286.47000000000003"/>
    <n v="5404.9000000000005"/>
    <n v="-146.22000000000003"/>
  </r>
  <r>
    <x v="2"/>
    <x v="1"/>
    <x v="0"/>
    <s v="2598200"/>
    <n v="450040"/>
    <s v="Contr Allow--Phys Svcs--Other"/>
    <s v="Spec-EN Cole St-Cardio"/>
    <x v="0"/>
    <n v="1700"/>
    <n v="237.03"/>
    <n v="424.47"/>
    <n v="1059.0899999999999"/>
    <n v="879.02"/>
    <n v="485.45"/>
    <n v="501.19"/>
    <n v="370.7"/>
    <n v="179.69"/>
    <n v="55.67"/>
    <n v="839.45"/>
    <n v="1085.3800000000001"/>
    <n v="634.69000000000005"/>
    <n v="6751.83"/>
    <n v="450.69000000000005"/>
  </r>
  <r>
    <x v="3"/>
    <x v="1"/>
    <x v="0"/>
    <s v="2598200"/>
    <n v="470040"/>
    <s v="Charity Care-Physician Svcs"/>
    <s v="Spec-EN Cole St-Cardio"/>
    <x v="0"/>
    <m/>
    <n v="191.27"/>
    <n v="760.9"/>
    <n v="254.96"/>
    <n v="1181.3599999999999"/>
    <n v="650.34"/>
    <n v="315.42"/>
    <n v="992.27"/>
    <n v="562.96"/>
    <n v="233.94"/>
    <n v="2032.17"/>
    <n v="506.64"/>
    <n v="1636.71"/>
    <n v="9318.94"/>
    <n v="-1130.0700000000002"/>
  </r>
  <r>
    <x v="4"/>
    <x v="1"/>
    <x v="0"/>
    <s v="2598200"/>
    <n v="490010"/>
    <s v="Provision for Bad Debts"/>
    <s v="Spec-EN Cole St-Cardio"/>
    <x v="0"/>
    <m/>
    <n v="1010.59"/>
    <n v="28.94"/>
    <n v="-806.97"/>
    <n v="1259.6300000000001"/>
    <n v="-209.31"/>
    <n v="-87.72"/>
    <n v="1135.6500000000001"/>
    <n v="857.82"/>
    <n v="-634.91"/>
    <n v="522.17999999999995"/>
    <n v="2195.37"/>
    <n v="3347.84"/>
    <n v="8619.11"/>
    <n v="-1152.4700000000003"/>
  </r>
  <r>
    <x v="5"/>
    <x v="1"/>
    <x v="0"/>
    <s v="2598200"/>
    <n v="700018"/>
    <s v="Salaries-Supervisory-Productive"/>
    <s v="Spec-EN Cole St-Cardio"/>
    <x v="0"/>
    <m/>
    <n v="642.42999999999995"/>
    <n v="1231.33"/>
    <n v="803.04"/>
    <n v="963.64"/>
    <n v="1177.8"/>
    <n v="829.8"/>
    <n v="991.9"/>
    <n v="804.21"/>
    <n v="1155.24"/>
    <n v="711.21"/>
    <n v="-187.64"/>
    <n v="0"/>
    <n v="9122.9599999999991"/>
    <n v="-187.64"/>
  </r>
  <r>
    <x v="5"/>
    <x v="1"/>
    <x v="0"/>
    <s v="2598200"/>
    <n v="700022"/>
    <s v="Salaries-Physician-Productive"/>
    <s v="Spec-EN Cole St-Cardio"/>
    <x v="0"/>
    <m/>
    <n v="26536"/>
    <n v="25837.67"/>
    <n v="30027.599999999999"/>
    <n v="24022.05"/>
    <n v="29049.94"/>
    <n v="20670.14"/>
    <n v="27695.49"/>
    <n v="26574.91"/>
    <n v="27833.72"/>
    <n v="31470.3"/>
    <n v="29320.69"/>
    <n v="20949.48"/>
    <n v="319987.98999999993"/>
    <n v="8371.2099999999991"/>
  </r>
  <r>
    <x v="5"/>
    <x v="1"/>
    <x v="0"/>
    <s v="2598200"/>
    <n v="700030"/>
    <s v="Salaries-LPN-Productive"/>
    <s v="Spec-EN Cole St-Cardio"/>
    <x v="0"/>
    <m/>
    <n v="4159.09"/>
    <n v="4138.7"/>
    <n v="4259.7"/>
    <n v="5109.1099999999997"/>
    <n v="5181.63"/>
    <n v="3506.58"/>
    <n v="4977.62"/>
    <n v="4243.08"/>
    <n v="4409.26"/>
    <n v="5110.8599999999997"/>
    <n v="5692.45"/>
    <n v="5832.01"/>
    <n v="56620.090000000004"/>
    <n v="-139.5600000000004"/>
  </r>
  <r>
    <x v="5"/>
    <x v="1"/>
    <x v="0"/>
    <s v="2598200"/>
    <n v="700030"/>
    <s v="Salaries-LPN-OT"/>
    <s v="Spec-EN Cole St-Cardio"/>
    <x v="0"/>
    <n v="1000"/>
    <n v="447.43"/>
    <n v="185.73"/>
    <n v="485.43"/>
    <n v="292.13"/>
    <n v="552.09"/>
    <n v="32.61"/>
    <n v="407.04"/>
    <n v="285.16000000000003"/>
    <n v="385.31"/>
    <n v="403.78"/>
    <n v="580.76"/>
    <n v="431.11"/>
    <n v="4488.58"/>
    <n v="149.64999999999998"/>
  </r>
  <r>
    <x v="5"/>
    <x v="1"/>
    <x v="0"/>
    <s v="2598200"/>
    <n v="700062"/>
    <s v="Salaries-Physician-Non-productive"/>
    <s v="Spec-EN Cole St-Cardio"/>
    <x v="0"/>
    <m/>
    <n v="4189.8900000000003"/>
    <n v="6284.83"/>
    <n v="-2094.94"/>
    <n v="8100.45"/>
    <n v="1675.96"/>
    <n v="8659.1"/>
    <n v="4476.1899999999996"/>
    <n v="1398.68"/>
    <n v="1538.54"/>
    <n v="-699.33"/>
    <n v="2793.26"/>
    <n v="6983.16"/>
    <n v="43305.789999999994"/>
    <n v="-4189.8999999999996"/>
  </r>
  <r>
    <x v="5"/>
    <x v="1"/>
    <x v="0"/>
    <s v="2598200"/>
    <n v="700062"/>
    <s v="Salaries-Physician-NonProd-Other"/>
    <s v="Spec-EN Cole St-Cardi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8200"/>
    <n v="700070"/>
    <s v="Salaries-LPN-Non-productive"/>
    <s v="Spec-EN Cole St-Cardio"/>
    <x v="0"/>
    <m/>
    <n v="793.55"/>
    <n v="1039.08"/>
    <n v="320.08999999999997"/>
    <n v="70.010000000000005"/>
    <n v="-81.14"/>
    <n v="1362.06"/>
    <n v="362.88"/>
    <n v="400.53"/>
    <n v="466.54"/>
    <n v="-2.9"/>
    <n v="166.16"/>
    <n v="116.09"/>
    <n v="5012.9500000000007"/>
    <n v="50.069999999999993"/>
  </r>
  <r>
    <x v="5"/>
    <x v="1"/>
    <x v="0"/>
    <s v="2598200"/>
    <n v="700084"/>
    <s v="Accrued PTO"/>
    <s v="Spec-EN Cole St-Cardio"/>
    <x v="0"/>
    <m/>
    <n v="-174.62"/>
    <n v="-455.87"/>
    <n v="91.17"/>
    <n v="511.39"/>
    <n v="553.52"/>
    <n v="-443.39"/>
    <n v="127.51"/>
    <n v="191.27"/>
    <n v="194.74"/>
    <n v="433.54"/>
    <n v="438.18"/>
    <n v="582.79"/>
    <n v="2050.23"/>
    <n v="-144.60999999999996"/>
  </r>
  <r>
    <x v="6"/>
    <x v="1"/>
    <x v="0"/>
    <s v="2598200"/>
    <n v="713010"/>
    <s v="Benefits-FICA/Medicare"/>
    <s v="Spec-EN Cole St-Cardio"/>
    <x v="0"/>
    <m/>
    <n v="865.91"/>
    <n v="925.67"/>
    <n v="815.54"/>
    <n v="913.86"/>
    <n v="930.19"/>
    <n v="1813.65"/>
    <n v="2903.23"/>
    <n v="2514.92"/>
    <n v="2670.53"/>
    <n v="2760.33"/>
    <n v="650.02"/>
    <n v="848.72"/>
    <n v="18612.570000000003"/>
    <n v="-198.70000000000005"/>
  </r>
  <r>
    <x v="6"/>
    <x v="1"/>
    <x v="0"/>
    <s v="2598200"/>
    <n v="713090"/>
    <s v="Benefits-Allocated Amounts"/>
    <s v="Spec-EN Cole St-Cardio"/>
    <x v="0"/>
    <m/>
    <n v="0"/>
    <n v="0"/>
    <n v="0"/>
    <n v="0"/>
    <n v="0"/>
    <n v="0"/>
    <n v="0"/>
    <n v="0"/>
    <n v="17753.810000000001"/>
    <n v="2125.2199999999998"/>
    <n v="2067.2199999999998"/>
    <n v="2075.4899999999998"/>
    <n v="24021.740000000005"/>
    <n v="-8.2699999999999818"/>
  </r>
  <r>
    <x v="6"/>
    <x v="1"/>
    <x v="0"/>
    <s v="2598200"/>
    <n v="713092"/>
    <s v="Allocated Benefits-Physician"/>
    <s v="Spec-EN Cole St-Cardio"/>
    <x v="0"/>
    <m/>
    <n v="3479.47"/>
    <n v="3218.4"/>
    <n v="3270.22"/>
    <n v="3429.22"/>
    <n v="3409.24"/>
    <n v="3491.25"/>
    <n v="4187.66"/>
    <n v="3940.61"/>
    <n v="-13693.21"/>
    <n v="1763.61"/>
    <n v="1715.46"/>
    <n v="1722.32"/>
    <n v="19934.25"/>
    <n v="-6.8599999999999"/>
  </r>
  <r>
    <x v="7"/>
    <x v="1"/>
    <x v="0"/>
    <s v="2598200"/>
    <n v="718010"/>
    <s v="Media/Print Advertising"/>
    <s v="Spec-EN Cole St-Cardio"/>
    <x v="0"/>
    <n v="1004"/>
    <n v="0"/>
    <n v="0"/>
    <n v="0"/>
    <n v="99.07"/>
    <n v="0"/>
    <n v="246.23"/>
    <n v="0"/>
    <n v="0"/>
    <n v="0"/>
    <n v="0"/>
    <n v="0"/>
    <n v="0"/>
    <n v="345.29999999999995"/>
    <n v="0"/>
  </r>
  <r>
    <x v="11"/>
    <x v="1"/>
    <x v="0"/>
    <s v="2598200"/>
    <n v="721410"/>
    <s v="Supplies-Medical - Nonbillable"/>
    <s v="Spec-EN Cole St-Cardio"/>
    <x v="0"/>
    <m/>
    <n v="0"/>
    <n v="0"/>
    <n v="0"/>
    <n v="0"/>
    <n v="0"/>
    <n v="0"/>
    <n v="243.62"/>
    <n v="321.45999999999998"/>
    <n v="0"/>
    <n v="0"/>
    <n v="0"/>
    <n v="0"/>
    <n v="565.07999999999993"/>
    <n v="0"/>
  </r>
  <r>
    <x v="0"/>
    <x v="1"/>
    <x v="0"/>
    <s v="2598200"/>
    <n v="740022"/>
    <s v="Books-Physician"/>
    <s v="Spec-EN Cole St-Cardio"/>
    <x v="0"/>
    <n v="2000"/>
    <n v="0"/>
    <n v="0"/>
    <n v="0"/>
    <n v="0"/>
    <n v="0"/>
    <n v="0"/>
    <n v="0"/>
    <n v="0"/>
    <n v="0"/>
    <n v="0"/>
    <n v="2150"/>
    <n v="0"/>
    <n v="2150"/>
    <n v="2150"/>
  </r>
  <r>
    <x v="8"/>
    <x v="1"/>
    <x v="0"/>
    <s v="2598200"/>
    <n v="741012"/>
    <s v="Physician Liab Insurance-CHI Program"/>
    <s v="Spec-EN Cole St-Cardio"/>
    <x v="0"/>
    <m/>
    <n v="473.67"/>
    <n v="473.67"/>
    <n v="473.67"/>
    <n v="473.67"/>
    <n v="473.67"/>
    <n v="473.66"/>
    <n v="473.67"/>
    <n v="473.66"/>
    <n v="473.67"/>
    <n v="473.66"/>
    <n v="473.67"/>
    <n v="473.66"/>
    <n v="5683.9999999999991"/>
    <n v="9.9999999999909051E-3"/>
  </r>
  <r>
    <x v="0"/>
    <x v="1"/>
    <x v="0"/>
    <s v="2598200"/>
    <n v="743022"/>
    <s v="Dues-Physician"/>
    <s v="Spec-EN Cole St-Cardio"/>
    <x v="0"/>
    <m/>
    <n v="0"/>
    <n v="0"/>
    <n v="0"/>
    <n v="0"/>
    <n v="0"/>
    <n v="0"/>
    <n v="0"/>
    <n v="995"/>
    <n v="0"/>
    <n v="0"/>
    <n v="0"/>
    <n v="0"/>
    <n v="995"/>
    <n v="0"/>
  </r>
  <r>
    <x v="0"/>
    <x v="1"/>
    <x v="0"/>
    <s v="2598200"/>
    <n v="749591"/>
    <s v="Other Expense-Intracompany Allocation"/>
    <s v="Spec-EN Cole St-Cardio"/>
    <x v="0"/>
    <m/>
    <n v="14886.96"/>
    <n v="12071.96"/>
    <n v="13417.54"/>
    <n v="22834.55"/>
    <n v="10467.35"/>
    <n v="11952.88"/>
    <n v="11732.64"/>
    <n v="14822.75"/>
    <n v="17238.240000000002"/>
    <n v="15789.94"/>
    <n v="13157.66"/>
    <n v="-158372.47"/>
    <n v="0"/>
    <n v="171530.13"/>
  </r>
  <r>
    <x v="1"/>
    <x v="1"/>
    <x v="0"/>
    <s v="2599200"/>
    <n v="400029"/>
    <s v="MD Practice Other Rev--Medicare"/>
    <s v="WH-Fed Way on 320th"/>
    <x v="0"/>
    <n v="1100"/>
    <n v="-34"/>
    <n v="-10"/>
    <n v="-10"/>
    <n v="0"/>
    <n v="-346"/>
    <n v="-346"/>
    <n v="-10"/>
    <n v="-346"/>
    <n v="-692"/>
    <n v="-10"/>
    <n v="0"/>
    <n v="0"/>
    <n v="-1804"/>
    <n v="0"/>
  </r>
  <r>
    <x v="1"/>
    <x v="1"/>
    <x v="0"/>
    <s v="2599200"/>
    <n v="400029"/>
    <s v="MD Practice Other Rev--Medicaid"/>
    <s v="WH-Fed Way on 320th"/>
    <x v="0"/>
    <n v="1200"/>
    <n v="-6308"/>
    <n v="-10742"/>
    <n v="-425"/>
    <n v="-6153"/>
    <n v="-9106"/>
    <n v="-9416"/>
    <n v="-802"/>
    <n v="-6100"/>
    <n v="-6890"/>
    <n v="-476"/>
    <n v="-3819"/>
    <n v="-11046"/>
    <n v="-71283"/>
    <n v="7227"/>
  </r>
  <r>
    <x v="1"/>
    <x v="1"/>
    <x v="0"/>
    <s v="2599200"/>
    <n v="400029"/>
    <s v="MD Practice Other Rev--Comm Insurance"/>
    <s v="WH-Fed Way on 320th"/>
    <x v="0"/>
    <n v="1300"/>
    <n v="-34"/>
    <n v="-342"/>
    <n v="-10"/>
    <n v="-34"/>
    <n v="-740"/>
    <n v="-346"/>
    <n v="-24"/>
    <n v="-380"/>
    <n v="-726"/>
    <n v="0"/>
    <n v="-749"/>
    <n v="-728"/>
    <n v="-4113"/>
    <n v="-21"/>
  </r>
  <r>
    <x v="1"/>
    <x v="1"/>
    <x v="0"/>
    <s v="2599200"/>
    <n v="400029"/>
    <s v="MD Practice Other Rev--BCBS Comm"/>
    <s v="WH-Fed Way on 320th"/>
    <x v="0"/>
    <n v="1301"/>
    <n v="-796"/>
    <n v="-3255"/>
    <n v="-48"/>
    <n v="-3961"/>
    <n v="-2418"/>
    <n v="-2871"/>
    <n v="-130"/>
    <n v="-1534"/>
    <n v="-2226"/>
    <n v="-106"/>
    <n v="-736"/>
    <n v="-2457"/>
    <n v="-20538"/>
    <n v="1721"/>
  </r>
  <r>
    <x v="1"/>
    <x v="1"/>
    <x v="0"/>
    <s v="2599200"/>
    <n v="400029"/>
    <s v="MD Practice Other Rev--Managed Care"/>
    <s v="WH-Fed Way on 320th"/>
    <x v="0"/>
    <n v="1400"/>
    <n v="-4805"/>
    <n v="-7979"/>
    <n v="-298"/>
    <n v="-3386"/>
    <n v="-5089"/>
    <n v="-5068"/>
    <n v="-900"/>
    <n v="-6346"/>
    <n v="-5612"/>
    <n v="-208"/>
    <n v="-3339"/>
    <n v="-5171"/>
    <n v="-48201"/>
    <n v="1832"/>
  </r>
  <r>
    <x v="1"/>
    <x v="1"/>
    <x v="0"/>
    <s v="2599200"/>
    <n v="400029"/>
    <s v="MD Practice Other Rev--Self Pay"/>
    <s v="WH-Fed Way on 320th"/>
    <x v="0"/>
    <n v="1500"/>
    <n v="-496"/>
    <n v="-72"/>
    <n v="-33"/>
    <n v="-229"/>
    <n v="-1084.8"/>
    <n v="-346"/>
    <n v="-72"/>
    <n v="-478"/>
    <n v="-607.70000000000005"/>
    <n v="24"/>
    <n v="-1089"/>
    <n v="-34"/>
    <n v="-4517.5"/>
    <n v="-1055"/>
  </r>
  <r>
    <x v="1"/>
    <x v="1"/>
    <x v="0"/>
    <s v="2599200"/>
    <n v="400029"/>
    <s v="MD Practice Other Rev--Other"/>
    <s v="WH-Fed Way on 320th"/>
    <x v="0"/>
    <n v="1700"/>
    <n v="0"/>
    <n v="0"/>
    <n v="0"/>
    <n v="0"/>
    <n v="-24"/>
    <n v="0"/>
    <n v="0"/>
    <n v="-24"/>
    <n v="-24"/>
    <n v="0"/>
    <n v="0"/>
    <n v="-238"/>
    <n v="-310"/>
    <n v="238"/>
  </r>
  <r>
    <x v="1"/>
    <x v="1"/>
    <x v="0"/>
    <s v="2599200"/>
    <n v="400040"/>
    <s v="Physician Svcs Rev--Medicare"/>
    <s v="WH-Fed Way on 320th"/>
    <x v="0"/>
    <n v="1100"/>
    <n v="-3672"/>
    <n v="-295"/>
    <n v="-1137"/>
    <n v="-1621"/>
    <n v="-1688"/>
    <n v="-4232"/>
    <n v="-5009"/>
    <n v="-694"/>
    <n v="-5793"/>
    <n v="-1321"/>
    <n v="-1237"/>
    <n v="-3420"/>
    <n v="-30119"/>
    <n v="2183"/>
  </r>
  <r>
    <x v="1"/>
    <x v="1"/>
    <x v="0"/>
    <s v="2599200"/>
    <n v="400040"/>
    <s v="Physician Svcs Rev--Medicaid"/>
    <s v="WH-Fed Way on 320th"/>
    <x v="0"/>
    <n v="1200"/>
    <n v="-86157.96"/>
    <n v="-186931.9"/>
    <n v="-84428.76"/>
    <n v="-59444.47"/>
    <n v="-92277.66"/>
    <n v="-119472.44"/>
    <n v="-76039.09"/>
    <n v="-50786.98"/>
    <n v="-109314.98"/>
    <n v="-60670.98"/>
    <n v="-87165.98"/>
    <n v="-92218.98"/>
    <n v="-1104910.18"/>
    <n v="5053"/>
  </r>
  <r>
    <x v="1"/>
    <x v="1"/>
    <x v="0"/>
    <s v="2599200"/>
    <n v="400040"/>
    <s v="Physician Svcs Rev--Comm Insurance"/>
    <s v="WH-Fed Way on 320th"/>
    <x v="0"/>
    <n v="1300"/>
    <n v="-12794"/>
    <n v="-9530"/>
    <n v="-400"/>
    <n v="-2947"/>
    <n v="-1535"/>
    <n v="0"/>
    <n v="-703"/>
    <n v="-5551"/>
    <n v="-2157"/>
    <n v="-2258"/>
    <n v="-2403"/>
    <n v="-6934"/>
    <n v="-47212"/>
    <n v="4531"/>
  </r>
  <r>
    <x v="1"/>
    <x v="1"/>
    <x v="0"/>
    <s v="2599200"/>
    <n v="400040"/>
    <s v="Physician Svcs Rev--BCBS Comm"/>
    <s v="WH-Fed Way on 320th"/>
    <x v="0"/>
    <n v="1301"/>
    <n v="-26044"/>
    <n v="-30476"/>
    <n v="-35184"/>
    <n v="-31742"/>
    <n v="-13407"/>
    <n v="-9006"/>
    <n v="-24465"/>
    <n v="-20163"/>
    <n v="-19999"/>
    <n v="-12847"/>
    <n v="-10989"/>
    <n v="-12708"/>
    <n v="-247030"/>
    <n v="1719"/>
  </r>
  <r>
    <x v="1"/>
    <x v="1"/>
    <x v="0"/>
    <s v="2599200"/>
    <n v="400040"/>
    <s v="Physician Svcs Rev--Managed Care"/>
    <s v="WH-Fed Way on 320th"/>
    <x v="0"/>
    <n v="1400"/>
    <n v="-41770"/>
    <n v="-66263"/>
    <n v="-44459"/>
    <n v="-73750"/>
    <n v="-61714.11"/>
    <n v="-48147"/>
    <n v="-68905"/>
    <n v="-53128"/>
    <n v="-50419"/>
    <n v="-25674"/>
    <n v="-29456"/>
    <n v="-34614.980000000003"/>
    <n v="-598300.09"/>
    <n v="5158.9800000000032"/>
  </r>
  <r>
    <x v="1"/>
    <x v="1"/>
    <x v="0"/>
    <s v="2599200"/>
    <n v="400040"/>
    <s v="Physician Svcs Rev--Self Pay"/>
    <s v="WH-Fed Way on 320th"/>
    <x v="0"/>
    <n v="1500"/>
    <n v="-5101"/>
    <n v="-6088"/>
    <n v="-2773"/>
    <n v="-4128"/>
    <n v="-6601"/>
    <n v="-3137"/>
    <n v="-7214"/>
    <n v="-6803"/>
    <n v="-6726"/>
    <n v="-1635"/>
    <n v="-13708"/>
    <n v="-4860"/>
    <n v="-68774"/>
    <n v="-8848"/>
  </r>
  <r>
    <x v="1"/>
    <x v="1"/>
    <x v="0"/>
    <s v="2599200"/>
    <n v="400040"/>
    <s v="Physician Svcs Rev--Other"/>
    <s v="WH-Fed Way on 320th"/>
    <x v="0"/>
    <n v="1700"/>
    <n v="-6109"/>
    <n v="0"/>
    <n v="-5813"/>
    <n v="-3210"/>
    <n v="-9074"/>
    <n v="-222"/>
    <n v="-3320"/>
    <n v="-475"/>
    <n v="-400"/>
    <n v="0"/>
    <n v="0"/>
    <n v="-6314"/>
    <n v="-34937"/>
    <n v="6314"/>
  </r>
  <r>
    <x v="2"/>
    <x v="1"/>
    <x v="0"/>
    <s v="2599200"/>
    <n v="450029"/>
    <s v="Contr Allow--MD Other-Medicare"/>
    <s v="WH-Fed Way on 320th"/>
    <x v="0"/>
    <n v="1100"/>
    <n v="253.41"/>
    <n v="6.59"/>
    <n v="0"/>
    <n v="6.59"/>
    <n v="221.83"/>
    <n v="208.01"/>
    <n v="0"/>
    <n v="6.59"/>
    <n v="430.62"/>
    <n v="272.56"/>
    <n v="6.59"/>
    <n v="24.97"/>
    <n v="1437.7599999999998"/>
    <n v="-18.38"/>
  </r>
  <r>
    <x v="2"/>
    <x v="1"/>
    <x v="0"/>
    <s v="2599200"/>
    <n v="450029"/>
    <s v="Contr Allow--MD Other-Medicaid"/>
    <s v="WH-Fed Way on 320th"/>
    <x v="0"/>
    <n v="1200"/>
    <n v="4351.3999999999996"/>
    <n v="5862.94"/>
    <n v="3570.42"/>
    <n v="1729.95"/>
    <n v="4475.29"/>
    <n v="9721.2800000000007"/>
    <n v="1563.07"/>
    <n v="2521.62"/>
    <n v="4287.6899999999996"/>
    <n v="3383.91"/>
    <n v="354.73"/>
    <n v="8077.22"/>
    <n v="49899.520000000011"/>
    <n v="-7722.49"/>
  </r>
  <r>
    <x v="2"/>
    <x v="1"/>
    <x v="0"/>
    <s v="2599200"/>
    <n v="450029"/>
    <s v="Contr Allow--MD Other-Comm Insurance"/>
    <s v="WH-Fed Way on 320th"/>
    <x v="0"/>
    <n v="1300"/>
    <n v="0"/>
    <n v="139.72999999999999"/>
    <n v="0"/>
    <n v="30.22"/>
    <n v="12.24"/>
    <n v="0"/>
    <n v="243.76"/>
    <n v="20.74"/>
    <n v="191.39"/>
    <n v="0"/>
    <n v="8.5"/>
    <n v="284.18"/>
    <n v="930.76"/>
    <n v="-275.68"/>
  </r>
  <r>
    <x v="2"/>
    <x v="1"/>
    <x v="0"/>
    <s v="2599200"/>
    <n v="450029"/>
    <s v="Contr Allow--MD Other BCBS Comm"/>
    <s v="WH-Fed Way on 320th"/>
    <x v="0"/>
    <n v="1301"/>
    <n v="459.99"/>
    <n v="442.36"/>
    <n v="644.36"/>
    <n v="357.83"/>
    <n v="1041.8699999999999"/>
    <n v="996.3"/>
    <n v="327.83"/>
    <n v="262.45"/>
    <n v="621.39"/>
    <n v="689.28"/>
    <n v="26.03"/>
    <n v="469.7"/>
    <n v="6339.3899999999994"/>
    <n v="-443.66999999999996"/>
  </r>
  <r>
    <x v="2"/>
    <x v="1"/>
    <x v="0"/>
    <s v="2599200"/>
    <n v="450029"/>
    <s v="Contr Allow--MD Other-Managed Care"/>
    <s v="WH-Fed Way on 320th"/>
    <x v="0"/>
    <n v="1400"/>
    <n v="2042.75"/>
    <n v="2457.54"/>
    <n v="974.02"/>
    <n v="234.52"/>
    <n v="1763.9"/>
    <n v="1575.8"/>
    <n v="1403.96"/>
    <n v="1118.6199999999999"/>
    <n v="2120.7800000000002"/>
    <n v="1683.56"/>
    <n v="180.93"/>
    <n v="1939.42"/>
    <n v="17495.799999999996"/>
    <n v="-1758.49"/>
  </r>
  <r>
    <x v="2"/>
    <x v="1"/>
    <x v="0"/>
    <s v="2599200"/>
    <n v="450029"/>
    <s v="Admin Adjust-MD Other-Self Pay"/>
    <s v="WH-Fed Way on 320th"/>
    <x v="0"/>
    <n v="1600"/>
    <n v="183.85"/>
    <n v="35.700000000000003"/>
    <n v="27.15"/>
    <n v="130.11000000000001"/>
    <n v="479.01"/>
    <n v="166.39"/>
    <n v="21.2"/>
    <n v="192.85"/>
    <n v="315.91000000000003"/>
    <n v="12.09"/>
    <n v="429.09"/>
    <n v="4.51"/>
    <n v="1997.86"/>
    <n v="424.58"/>
  </r>
  <r>
    <x v="2"/>
    <x v="1"/>
    <x v="0"/>
    <s v="2599200"/>
    <n v="450029"/>
    <s v="Contr Allow--MD Other-Other"/>
    <s v="WH-Fed Way on 320th"/>
    <x v="0"/>
    <n v="1700"/>
    <n v="147.81"/>
    <n v="0"/>
    <n v="0"/>
    <n v="0"/>
    <n v="0"/>
    <n v="0"/>
    <n v="17"/>
    <n v="17.05"/>
    <n v="0"/>
    <n v="17.05"/>
    <n v="0"/>
    <n v="0"/>
    <n v="198.91000000000003"/>
    <n v="0"/>
  </r>
  <r>
    <x v="2"/>
    <x v="1"/>
    <x v="0"/>
    <s v="2599200"/>
    <n v="450040"/>
    <s v="Contr Allow--Phys Svcs--Mcare"/>
    <s v="WH-Fed Way on 320th"/>
    <x v="0"/>
    <n v="1100"/>
    <n v="2071.5700000000002"/>
    <n v="386.01"/>
    <n v="494.5"/>
    <n v="841.96"/>
    <n v="864.28"/>
    <n v="1573.08"/>
    <n v="664.55"/>
    <n v="3094.25"/>
    <n v="2332.69"/>
    <n v="1728.3"/>
    <n v="803.36"/>
    <n v="1672.25"/>
    <n v="16526.800000000003"/>
    <n v="-868.89"/>
  </r>
  <r>
    <x v="2"/>
    <x v="1"/>
    <x v="0"/>
    <s v="2599200"/>
    <n v="450040"/>
    <s v="Contr Allow--Phys Svcs--Mcaid"/>
    <s v="WH-Fed Way on 320th"/>
    <x v="0"/>
    <n v="1200"/>
    <n v="61969.66"/>
    <n v="80914.55"/>
    <n v="76139.100000000006"/>
    <n v="44664.65"/>
    <n v="43947.519999999997"/>
    <n v="80499.75"/>
    <n v="58390.43"/>
    <n v="23613.62"/>
    <n v="67677.679999999993"/>
    <n v="51093.31"/>
    <n v="41089.31"/>
    <n v="61074.82"/>
    <n v="691074.4"/>
    <n v="-19985.510000000002"/>
  </r>
  <r>
    <x v="2"/>
    <x v="1"/>
    <x v="0"/>
    <s v="2599200"/>
    <n v="450040"/>
    <s v="Contr Allow--Phys Svcs--Comm Insurance"/>
    <s v="WH-Fed Way on 320th"/>
    <x v="0"/>
    <n v="1300"/>
    <n v="373.9"/>
    <n v="2147.77"/>
    <n v="72.88"/>
    <n v="3106.76"/>
    <n v="1110.31"/>
    <n v="107.22"/>
    <n v="30.8"/>
    <n v="149.47999999999999"/>
    <n v="533.64"/>
    <n v="196.58"/>
    <n v="740.67"/>
    <n v="1094.47"/>
    <n v="9664.48"/>
    <n v="-353.80000000000007"/>
  </r>
  <r>
    <x v="2"/>
    <x v="1"/>
    <x v="0"/>
    <s v="2599200"/>
    <n v="450040"/>
    <s v="Contr Allow--Phys Svcs--BCBS Comm Ins"/>
    <s v="WH-Fed Way on 320th"/>
    <x v="0"/>
    <n v="1301"/>
    <n v="6901.5"/>
    <n v="5414.95"/>
    <n v="8188.86"/>
    <n v="12460.68"/>
    <n v="6072.2"/>
    <n v="14364.54"/>
    <n v="5340.88"/>
    <n v="7444.85"/>
    <n v="10005.549999999999"/>
    <n v="9890.93"/>
    <n v="1760.83"/>
    <n v="4029.32"/>
    <n v="91875.090000000011"/>
    <n v="-2268.4900000000002"/>
  </r>
  <r>
    <x v="2"/>
    <x v="1"/>
    <x v="0"/>
    <s v="2599200"/>
    <n v="450040"/>
    <s v="Contr Allow--Phys Svcs--Managed Care"/>
    <s v="WH-Fed Way on 320th"/>
    <x v="0"/>
    <n v="1400"/>
    <n v="17801.900000000001"/>
    <n v="34359.07"/>
    <n v="18808.63"/>
    <n v="19137.419999999998"/>
    <n v="28485.42"/>
    <n v="21325.47"/>
    <n v="10985.15"/>
    <n v="23960.33"/>
    <n v="23158.639999999999"/>
    <n v="17245.27"/>
    <n v="11528.47"/>
    <n v="15603.67"/>
    <n v="242399.44000000003"/>
    <n v="-4075.2000000000007"/>
  </r>
  <r>
    <x v="2"/>
    <x v="1"/>
    <x v="0"/>
    <s v="2599200"/>
    <n v="450040"/>
    <s v="Contr Allow--Phys Svcs--BCBS Mgnd Care"/>
    <s v="WH-Fed Way on 320th"/>
    <x v="0"/>
    <n v="1401"/>
    <n v="1608.06"/>
    <n v="32206"/>
    <n v="-17648.34"/>
    <n v="3052.49"/>
    <n v="-5003.72"/>
    <n v="-20743.400000000001"/>
    <n v="17917.650000000001"/>
    <n v="11246.43"/>
    <n v="-7730.53"/>
    <n v="-30668.639999999999"/>
    <n v="26133.38"/>
    <n v="7328.39"/>
    <n v="17697.77"/>
    <n v="18804.990000000002"/>
  </r>
  <r>
    <x v="2"/>
    <x v="1"/>
    <x v="0"/>
    <s v="2599200"/>
    <n v="450040"/>
    <s v="Admin Adjust-Phys Svcs-Self Pay"/>
    <s v="WH-Fed Way on 320th"/>
    <x v="0"/>
    <n v="1600"/>
    <n v="2764"/>
    <n v="3239.02"/>
    <n v="4256.21"/>
    <n v="2516.94"/>
    <n v="3080.67"/>
    <n v="2602.7800000000002"/>
    <n v="3586.29"/>
    <n v="3168.9"/>
    <n v="3427.6"/>
    <n v="759.45"/>
    <n v="5858.42"/>
    <n v="2113"/>
    <n v="37373.279999999999"/>
    <n v="3745.42"/>
  </r>
  <r>
    <x v="2"/>
    <x v="1"/>
    <x v="0"/>
    <s v="2599200"/>
    <n v="450040"/>
    <s v="Contr Allow--Phys Svcs--Other"/>
    <s v="WH-Fed Way on 320th"/>
    <x v="0"/>
    <n v="1700"/>
    <n v="1184.97"/>
    <n v="3773.34"/>
    <n v="0"/>
    <n v="380.29"/>
    <n v="7685.02"/>
    <n v="2516.62"/>
    <n v="1077.6600000000001"/>
    <n v="1718.5"/>
    <n v="472.4"/>
    <n v="125.68"/>
    <n v="23.74"/>
    <n v="315.52"/>
    <n v="19273.740000000005"/>
    <n v="-291.77999999999997"/>
  </r>
  <r>
    <x v="3"/>
    <x v="1"/>
    <x v="0"/>
    <s v="2599200"/>
    <n v="470040"/>
    <s v="Charity Care-Physician Svcs"/>
    <s v="WH-Fed Way on 320th"/>
    <x v="0"/>
    <m/>
    <n v="189.12"/>
    <n v="2450.02"/>
    <n v="-575.75"/>
    <n v="183.52"/>
    <n v="2219.71"/>
    <n v="5060.53"/>
    <n v="7553.35"/>
    <n v="-4744.68"/>
    <n v="2688.69"/>
    <n v="4208.5600000000004"/>
    <n v="2415.59"/>
    <n v="1542.96"/>
    <n v="23191.62"/>
    <n v="872.63000000000011"/>
  </r>
  <r>
    <x v="4"/>
    <x v="1"/>
    <x v="0"/>
    <s v="2599200"/>
    <n v="490010"/>
    <s v="Provision for Bad Debts"/>
    <s v="WH-Fed Way on 320th"/>
    <x v="0"/>
    <m/>
    <n v="5904.82"/>
    <n v="5560.03"/>
    <n v="1328.81"/>
    <n v="1278.18"/>
    <n v="10218.65"/>
    <n v="-4275.96"/>
    <n v="-5820.46"/>
    <n v="1422.91"/>
    <n v="5912.1"/>
    <n v="-4516.2299999999996"/>
    <n v="5395.59"/>
    <n v="1685.36"/>
    <n v="24093.800000000003"/>
    <n v="3710.2300000000005"/>
  </r>
  <r>
    <x v="5"/>
    <x v="1"/>
    <x v="0"/>
    <s v="2599200"/>
    <n v="700022"/>
    <s v="Salaries-Physician-Productive"/>
    <s v="WH-Fed Way on 320th"/>
    <x v="0"/>
    <m/>
    <n v="0"/>
    <n v="51245.4"/>
    <n v="6501"/>
    <n v="31030"/>
    <n v="22521.200000000001"/>
    <n v="27664"/>
    <n v="23443.88"/>
    <n v="25345.040000000001"/>
    <n v="27504.19"/>
    <n v="0"/>
    <n v="0"/>
    <n v="34615.379999999997"/>
    <n v="249870.09"/>
    <n v="-34615.379999999997"/>
  </r>
  <r>
    <x v="5"/>
    <x v="1"/>
    <x v="0"/>
    <s v="2599200"/>
    <n v="700022"/>
    <s v="Salaries-Physician-Other"/>
    <s v="WH-Fed Way on 320th"/>
    <x v="0"/>
    <n v="2000"/>
    <n v="0"/>
    <n v="0"/>
    <n v="0"/>
    <n v="0"/>
    <n v="0"/>
    <n v="0"/>
    <n v="0"/>
    <n v="504.82"/>
    <n v="-0.28999999999999998"/>
    <n v="0"/>
    <n v="0"/>
    <n v="0"/>
    <n v="504.53"/>
    <n v="0"/>
  </r>
  <r>
    <x v="5"/>
    <x v="1"/>
    <x v="0"/>
    <s v="2599200"/>
    <n v="700024"/>
    <s v="Salaries-Advanced Practice Clinician-Productive"/>
    <s v="WH-Fed Way on 320th"/>
    <x v="0"/>
    <m/>
    <n v="7895.51"/>
    <n v="14983.23"/>
    <n v="12101.3"/>
    <n v="11729.38"/>
    <n v="12491.76"/>
    <n v="12902.21"/>
    <n v="14478.79"/>
    <n v="11733.02"/>
    <n v="14034.72"/>
    <n v="13902.55"/>
    <n v="14679.1"/>
    <n v="12661.33"/>
    <n v="153592.9"/>
    <n v="2017.7700000000004"/>
  </r>
  <r>
    <x v="5"/>
    <x v="1"/>
    <x v="0"/>
    <s v="2599200"/>
    <n v="700026"/>
    <s v="Salaries-RN-Productive"/>
    <s v="WH-Fed Way on 320th"/>
    <x v="0"/>
    <m/>
    <n v="4105.75"/>
    <n v="5529.2"/>
    <n v="2681.33"/>
    <n v="5073.75"/>
    <n v="2696.47"/>
    <n v="4900.16"/>
    <n v="4887.3100000000004"/>
    <n v="3612.11"/>
    <n v="5295.02"/>
    <n v="5119.99"/>
    <n v="5441.54"/>
    <n v="5331.66"/>
    <n v="54674.290000000008"/>
    <n v="109.88000000000011"/>
  </r>
  <r>
    <x v="5"/>
    <x v="1"/>
    <x v="0"/>
    <s v="2599200"/>
    <n v="700026"/>
    <s v="Salaries-RN-OT"/>
    <s v="WH-Fed Way on 320th"/>
    <x v="0"/>
    <n v="1000"/>
    <n v="0"/>
    <n v="0"/>
    <n v="0"/>
    <n v="0"/>
    <n v="0"/>
    <n v="0"/>
    <n v="0"/>
    <n v="0"/>
    <n v="0"/>
    <n v="0"/>
    <n v="0"/>
    <n v="106.83"/>
    <n v="106.83"/>
    <n v="-106.83"/>
  </r>
  <r>
    <x v="5"/>
    <x v="1"/>
    <x v="0"/>
    <s v="2599200"/>
    <n v="700030"/>
    <s v="Salaries-LPN-Productive"/>
    <s v="WH-Fed Way on 320th"/>
    <x v="0"/>
    <m/>
    <n v="3475.78"/>
    <n v="3036.03"/>
    <n v="3761.71"/>
    <n v="4666.42"/>
    <n v="4355.5200000000004"/>
    <n v="2619.5500000000002"/>
    <n v="3925.88"/>
    <n v="1112.3599999999999"/>
    <n v="0"/>
    <n v="0"/>
    <n v="60.3"/>
    <n v="6.7"/>
    <n v="27020.25"/>
    <n v="53.599999999999994"/>
  </r>
  <r>
    <x v="5"/>
    <x v="1"/>
    <x v="0"/>
    <s v="2599200"/>
    <n v="700030"/>
    <s v="Salaries-LPN-OT"/>
    <s v="WH-Fed Way on 320th"/>
    <x v="0"/>
    <n v="1000"/>
    <n v="345.28"/>
    <n v="18.18"/>
    <n v="0"/>
    <n v="0"/>
    <n v="18.72"/>
    <n v="0"/>
    <n v="22.49"/>
    <n v="-3.74"/>
    <n v="0"/>
    <n v="0"/>
    <n v="724.64"/>
    <n v="367.43"/>
    <n v="1493"/>
    <n v="357.21"/>
  </r>
  <r>
    <x v="5"/>
    <x v="1"/>
    <x v="0"/>
    <s v="2599200"/>
    <n v="700030"/>
    <s v="Salaries-LPN-Other"/>
    <s v="WH-Fed Way on 320th"/>
    <x v="0"/>
    <n v="2000"/>
    <n v="0"/>
    <n v="0"/>
    <n v="0"/>
    <n v="0"/>
    <n v="0"/>
    <n v="0"/>
    <n v="0"/>
    <n v="0"/>
    <n v="0"/>
    <n v="0"/>
    <n v="25.04"/>
    <n v="11.58"/>
    <n v="36.619999999999997"/>
    <n v="13.459999999999999"/>
  </r>
  <r>
    <x v="5"/>
    <x v="1"/>
    <x v="0"/>
    <s v="2599200"/>
    <n v="700032"/>
    <s v="Salaries-Other Pat Care Providers-OT"/>
    <s v="WH-Fed Way on 320th"/>
    <x v="0"/>
    <n v="1000"/>
    <n v="0"/>
    <n v="0"/>
    <n v="0"/>
    <n v="0"/>
    <n v="0"/>
    <n v="0"/>
    <n v="0"/>
    <n v="0"/>
    <n v="0"/>
    <n v="0"/>
    <n v="0"/>
    <n v="319.63"/>
    <n v="319.63"/>
    <n v="-319.63"/>
  </r>
  <r>
    <x v="5"/>
    <x v="1"/>
    <x v="0"/>
    <s v="2599200"/>
    <n v="700032"/>
    <s v="Salaries-Other Pat Care Providers-Other"/>
    <s v="WH-Fed Way on 320th"/>
    <x v="0"/>
    <n v="2000"/>
    <n v="0"/>
    <n v="0"/>
    <n v="0"/>
    <n v="0"/>
    <n v="0"/>
    <n v="0"/>
    <n v="0"/>
    <n v="0"/>
    <n v="0"/>
    <n v="0"/>
    <n v="0"/>
    <n v="4.01"/>
    <n v="4.01"/>
    <n v="-4.01"/>
  </r>
  <r>
    <x v="5"/>
    <x v="1"/>
    <x v="0"/>
    <s v="2599200"/>
    <n v="700054"/>
    <s v="Salaries-Management-NonProd-Other"/>
    <s v="WH-Fed Way on 320th"/>
    <x v="0"/>
    <n v="2000"/>
    <n v="0"/>
    <n v="0"/>
    <n v="0"/>
    <n v="0"/>
    <n v="0"/>
    <n v="846.57"/>
    <n v="-846.57"/>
    <n v="0"/>
    <n v="0"/>
    <n v="0"/>
    <n v="0"/>
    <n v="0"/>
    <n v="0"/>
    <n v="0"/>
  </r>
  <r>
    <x v="5"/>
    <x v="1"/>
    <x v="0"/>
    <s v="2599200"/>
    <n v="700062"/>
    <s v="Salaries-Physician-Non-productive"/>
    <s v="WH-Fed Way on 320th"/>
    <x v="0"/>
    <m/>
    <n v="0"/>
    <n v="5829.6"/>
    <n v="5504"/>
    <n v="-2482.4"/>
    <n v="6561.2"/>
    <n v="266"/>
    <n v="7192.92"/>
    <n v="-331.79"/>
    <n v="-514.09"/>
    <n v="0"/>
    <n v="0"/>
    <n v="0"/>
    <n v="22025.439999999999"/>
    <n v="0"/>
  </r>
  <r>
    <x v="5"/>
    <x v="1"/>
    <x v="0"/>
    <s v="2599200"/>
    <n v="700062"/>
    <s v="Salaries-Physician-NonProd-Other"/>
    <s v="WH-Fed Way on 320t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9200"/>
    <n v="700064"/>
    <s v="Salaries-Advanced Practice Clinician-Non-Productive"/>
    <s v="WH-Fed Way on 320th"/>
    <x v="0"/>
    <m/>
    <n v="4669.5"/>
    <n v="-381.18"/>
    <n v="832.2"/>
    <n v="2718.52"/>
    <n v="2045.44"/>
    <n v="636.76"/>
    <n v="753.72"/>
    <n v="1157.33"/>
    <n v="-231.53"/>
    <n v="492.01"/>
    <n v="86.83"/>
    <n v="0"/>
    <n v="12779.599999999999"/>
    <n v="86.83"/>
  </r>
  <r>
    <x v="5"/>
    <x v="1"/>
    <x v="0"/>
    <s v="2599200"/>
    <n v="700066"/>
    <s v="Salaries-RN-Non-productive"/>
    <s v="WH-Fed Way on 320th"/>
    <x v="0"/>
    <m/>
    <n v="697.84"/>
    <n v="55.51"/>
    <n v="1189.5"/>
    <n v="49.56"/>
    <n v="2153.92"/>
    <n v="239.77"/>
    <n v="696.02"/>
    <n v="974.73"/>
    <n v="-211.62"/>
    <n v="0"/>
    <n v="0"/>
    <n v="366.29"/>
    <n v="6211.52"/>
    <n v="-366.29"/>
  </r>
  <r>
    <x v="5"/>
    <x v="1"/>
    <x v="0"/>
    <s v="2599200"/>
    <n v="700066"/>
    <s v="Salaries-RN-NonProd-Other"/>
    <s v="WH-Fed Way on 320t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599200"/>
    <n v="700070"/>
    <s v="Salaries-LPN-Non-productive"/>
    <s v="WH-Fed Way on 320th"/>
    <x v="0"/>
    <m/>
    <n v="533.05999999999995"/>
    <n v="1696.1"/>
    <n v="24.23"/>
    <n v="-121.15"/>
    <n v="37.44"/>
    <n v="1579.96"/>
    <n v="673.78"/>
    <n v="87.49"/>
    <n v="0"/>
    <n v="0"/>
    <n v="0"/>
    <n v="0"/>
    <n v="4510.91"/>
    <n v="0"/>
  </r>
  <r>
    <x v="5"/>
    <x v="1"/>
    <x v="0"/>
    <s v="2599200"/>
    <n v="700084"/>
    <s v="Accrued PTO"/>
    <s v="WH-Fed Way on 320th"/>
    <x v="0"/>
    <m/>
    <n v="-366.87"/>
    <n v="397.72"/>
    <n v="-468.6"/>
    <n v="894.43"/>
    <n v="-783.89"/>
    <n v="-908.24"/>
    <n v="-562.16999999999996"/>
    <n v="-154.09"/>
    <n v="543.76"/>
    <n v="515.73"/>
    <n v="523.44000000000005"/>
    <n v="538.88"/>
    <n v="170.10000000000025"/>
    <n v="-15.439999999999941"/>
  </r>
  <r>
    <x v="6"/>
    <x v="1"/>
    <x v="0"/>
    <s v="2599200"/>
    <n v="713010"/>
    <s v="Benefits-FICA/Medicare"/>
    <s v="WH-Fed Way on 320th"/>
    <x v="0"/>
    <m/>
    <n v="1656.97"/>
    <n v="2710.11"/>
    <n v="1737.06"/>
    <n v="2243.6"/>
    <n v="2098.38"/>
    <n v="2455.39"/>
    <n v="4321"/>
    <n v="3421.5"/>
    <n v="3464.34"/>
    <n v="1481.68"/>
    <n v="1586.77"/>
    <n v="1977.54"/>
    <n v="29154.34"/>
    <n v="-390.77"/>
  </r>
  <r>
    <x v="6"/>
    <x v="1"/>
    <x v="0"/>
    <s v="2599200"/>
    <n v="713090"/>
    <s v="Benefits-Allocated Amounts"/>
    <s v="WH-Fed Way on 320th"/>
    <x v="0"/>
    <m/>
    <n v="0"/>
    <n v="0"/>
    <n v="0"/>
    <n v="0"/>
    <n v="0"/>
    <n v="0"/>
    <n v="0"/>
    <n v="0"/>
    <n v="22127.09"/>
    <n v="1370.71"/>
    <n v="1416.07"/>
    <n v="2351.85"/>
    <n v="27265.719999999998"/>
    <n v="-935.78"/>
  </r>
  <r>
    <x v="6"/>
    <x v="1"/>
    <x v="0"/>
    <s v="2599200"/>
    <n v="713092"/>
    <s v="Allocated Benefits-Physician"/>
    <s v="WH-Fed Way on 320th"/>
    <x v="0"/>
    <m/>
    <n v="1361.3"/>
    <n v="2777.58"/>
    <n v="1847.12"/>
    <n v="2140.44"/>
    <n v="2116.23"/>
    <n v="2252.33"/>
    <n v="2612.0300000000002"/>
    <n v="2204.58"/>
    <n v="-4831.58"/>
    <n v="773.11"/>
    <n v="798.68"/>
    <n v="1326.48"/>
    <n v="15378.300000000001"/>
    <n v="-527.80000000000007"/>
  </r>
  <r>
    <x v="6"/>
    <x v="1"/>
    <x v="0"/>
    <s v="2599200"/>
    <n v="713093"/>
    <s v="Allocated Benefits-Advanced Practice Clinician"/>
    <s v="WH-Fed Way on 320th"/>
    <x v="0"/>
    <m/>
    <n v="2134.66"/>
    <n v="4355.5"/>
    <n v="2896.48"/>
    <n v="3356.41"/>
    <n v="3318.44"/>
    <n v="3531.88"/>
    <n v="4095.91"/>
    <n v="3457.01"/>
    <n v="-11795.85"/>
    <n v="950.92"/>
    <n v="982.38"/>
    <n v="1631.57"/>
    <n v="18915.310000000001"/>
    <n v="-649.18999999999994"/>
  </r>
  <r>
    <x v="7"/>
    <x v="1"/>
    <x v="0"/>
    <s v="2599200"/>
    <n v="718050"/>
    <s v="Translation Services"/>
    <s v="WH-Fed Way on 320th"/>
    <x v="0"/>
    <n v="1025"/>
    <n v="146.61000000000001"/>
    <n v="0"/>
    <n v="38.07"/>
    <n v="176.96"/>
    <n v="161.02000000000001"/>
    <n v="167.48"/>
    <n v="73.5"/>
    <n v="96.38"/>
    <n v="0"/>
    <n v="60.04"/>
    <n v="106.04"/>
    <n v="132.72"/>
    <n v="1158.82"/>
    <n v="-26.679999999999993"/>
  </r>
  <r>
    <x v="11"/>
    <x v="1"/>
    <x v="0"/>
    <s v="2599200"/>
    <n v="721010"/>
    <s v="Supplies-Medical - Billable"/>
    <s v="WH-Fed Way on 320th"/>
    <x v="0"/>
    <m/>
    <n v="0"/>
    <n v="0"/>
    <n v="0"/>
    <n v="0"/>
    <n v="0"/>
    <n v="0"/>
    <n v="0"/>
    <n v="0"/>
    <n v="0"/>
    <n v="0"/>
    <n v="7213.93"/>
    <n v="0"/>
    <n v="7213.93"/>
    <n v="7213.93"/>
  </r>
  <r>
    <x v="11"/>
    <x v="1"/>
    <x v="0"/>
    <s v="2599200"/>
    <n v="721250"/>
    <s v="Supplies-Pharmacy Drugs - Billable"/>
    <s v="WH-Fed Way on 320th"/>
    <x v="0"/>
    <m/>
    <n v="0"/>
    <n v="0"/>
    <n v="0"/>
    <n v="0"/>
    <n v="0"/>
    <n v="0"/>
    <n v="0"/>
    <n v="0"/>
    <n v="0"/>
    <n v="663.76"/>
    <n v="620.51"/>
    <n v="501.21"/>
    <n v="1785.48"/>
    <n v="119.30000000000001"/>
  </r>
  <r>
    <x v="11"/>
    <x v="1"/>
    <x v="0"/>
    <s v="2599200"/>
    <n v="721410"/>
    <s v="Supplies-Medical - Nonbillable"/>
    <s v="WH-Fed Way on 320th"/>
    <x v="0"/>
    <m/>
    <n v="0"/>
    <n v="0"/>
    <n v="0"/>
    <n v="0"/>
    <n v="0"/>
    <n v="0"/>
    <n v="0"/>
    <n v="0"/>
    <n v="0"/>
    <n v="311.81"/>
    <n v="0"/>
    <n v="0"/>
    <n v="311.81"/>
    <n v="0"/>
  </r>
  <r>
    <x v="0"/>
    <x v="1"/>
    <x v="0"/>
    <s v="2599200"/>
    <n v="740022"/>
    <s v="Education-Physician"/>
    <s v="WH-Fed Way on 320th"/>
    <x v="0"/>
    <m/>
    <n v="0"/>
    <n v="0"/>
    <n v="1449.37"/>
    <n v="377.35"/>
    <n v="0"/>
    <n v="0"/>
    <n v="0"/>
    <n v="0"/>
    <n v="0"/>
    <n v="0"/>
    <n v="0"/>
    <n v="844"/>
    <n v="2670.72"/>
    <n v="-844"/>
  </r>
  <r>
    <x v="0"/>
    <x v="1"/>
    <x v="0"/>
    <s v="2599200"/>
    <n v="740023"/>
    <s v="Education-Advanced Practice Clinician"/>
    <s v="WH-Fed Way on 320th"/>
    <x v="0"/>
    <m/>
    <n v="0"/>
    <n v="0"/>
    <n v="0"/>
    <n v="0"/>
    <n v="0"/>
    <n v="500"/>
    <n v="0"/>
    <n v="0"/>
    <n v="0"/>
    <n v="0"/>
    <n v="0"/>
    <n v="0"/>
    <n v="500"/>
    <n v="0"/>
  </r>
  <r>
    <x v="0"/>
    <x v="1"/>
    <x v="0"/>
    <s v="2599200"/>
    <n v="740023"/>
    <s v="Education Travel-Advanced Practice Clinician"/>
    <s v="WH-Fed Way on 320th"/>
    <x v="0"/>
    <n v="2001"/>
    <n v="0"/>
    <n v="0"/>
    <n v="651"/>
    <n v="0"/>
    <n v="0"/>
    <n v="2000"/>
    <n v="0"/>
    <n v="0"/>
    <n v="0"/>
    <n v="0"/>
    <n v="0"/>
    <n v="0"/>
    <n v="2651"/>
    <n v="0"/>
  </r>
  <r>
    <x v="8"/>
    <x v="1"/>
    <x v="0"/>
    <s v="2599200"/>
    <n v="741012"/>
    <s v="Physician Liab Insurance-CHI Program"/>
    <s v="WH-Fed Way on 320th"/>
    <x v="0"/>
    <m/>
    <n v="0"/>
    <n v="0"/>
    <n v="2936.75"/>
    <n v="2936.75"/>
    <n v="2936.75"/>
    <n v="2936.75"/>
    <n v="2936.75"/>
    <n v="2936.75"/>
    <n v="2936.75"/>
    <n v="-72.41"/>
    <n v="0"/>
    <n v="0"/>
    <n v="20484.84"/>
    <n v="0"/>
  </r>
  <r>
    <x v="0"/>
    <x v="1"/>
    <x v="0"/>
    <s v="2599200"/>
    <n v="749510"/>
    <s v="Miscellaneous Expenses"/>
    <s v="WH-Fed Way on 320th"/>
    <x v="0"/>
    <m/>
    <n v="0"/>
    <n v="715.19"/>
    <n v="-1072.02"/>
    <n v="-377.35"/>
    <n v="0"/>
    <n v="0"/>
    <n v="0"/>
    <n v="0"/>
    <n v="0"/>
    <n v="0"/>
    <n v="0"/>
    <n v="0"/>
    <n v="-734.18"/>
    <n v="0"/>
  </r>
  <r>
    <x v="0"/>
    <x v="1"/>
    <x v="0"/>
    <s v="2599200"/>
    <n v="749512"/>
    <s v="Licenses-Physician"/>
    <s v="WH-Fed Way on 320th"/>
    <x v="0"/>
    <n v="2000"/>
    <n v="0"/>
    <n v="0"/>
    <n v="441"/>
    <n v="0"/>
    <n v="0"/>
    <n v="0"/>
    <n v="0"/>
    <n v="0"/>
    <n v="0"/>
    <n v="0"/>
    <n v="0"/>
    <n v="0"/>
    <n v="441"/>
    <n v="0"/>
  </r>
  <r>
    <x v="0"/>
    <x v="1"/>
    <x v="0"/>
    <s v="2599200"/>
    <n v="749513"/>
    <s v="Licenses-Advanced Practice Clinician"/>
    <s v="WH-Fed Way on 320th"/>
    <x v="0"/>
    <n v="2000"/>
    <n v="0"/>
    <n v="0"/>
    <n v="0"/>
    <n v="0"/>
    <n v="0"/>
    <n v="0"/>
    <n v="0"/>
    <n v="731"/>
    <n v="0"/>
    <n v="0"/>
    <n v="0"/>
    <n v="0"/>
    <n v="731"/>
    <n v="0"/>
  </r>
  <r>
    <x v="0"/>
    <x v="1"/>
    <x v="0"/>
    <s v="2599200"/>
    <n v="749532"/>
    <s v="Travel-Physician"/>
    <s v="WH-Fed Way on 320th"/>
    <x v="0"/>
    <m/>
    <n v="0"/>
    <n v="0"/>
    <n v="0"/>
    <n v="0"/>
    <n v="0"/>
    <n v="0"/>
    <n v="0"/>
    <n v="0"/>
    <n v="0"/>
    <n v="0"/>
    <n v="0"/>
    <n v="849.36"/>
    <n v="849.36"/>
    <n v="-849.36"/>
  </r>
  <r>
    <x v="1"/>
    <x v="1"/>
    <x v="0"/>
    <s v="2600200"/>
    <n v="400029"/>
    <s v="MD Practice Other Rev--Medicare"/>
    <s v="FSA-Enumclaw"/>
    <x v="0"/>
    <n v="1100"/>
    <n v="-90"/>
    <n v="0"/>
    <n v="0"/>
    <n v="0"/>
    <n v="0"/>
    <n v="0"/>
    <n v="0"/>
    <n v="0"/>
    <n v="0"/>
    <n v="0"/>
    <n v="0"/>
    <n v="0"/>
    <n v="-90"/>
    <n v="0"/>
  </r>
  <r>
    <x v="1"/>
    <x v="1"/>
    <x v="0"/>
    <s v="2600200"/>
    <n v="400029"/>
    <s v="MD Practice Other Rev--BCBS Comm"/>
    <s v="FSA-Enumclaw"/>
    <x v="0"/>
    <n v="1301"/>
    <n v="0"/>
    <n v="0"/>
    <n v="0"/>
    <n v="35"/>
    <n v="0"/>
    <n v="0"/>
    <n v="0"/>
    <n v="0"/>
    <n v="0"/>
    <n v="0"/>
    <n v="0"/>
    <n v="0"/>
    <n v="35"/>
    <n v="0"/>
  </r>
  <r>
    <x v="1"/>
    <x v="1"/>
    <x v="0"/>
    <s v="2600200"/>
    <n v="400029"/>
    <s v="MD Practice Other Rev--Self Pay"/>
    <s v="FSA-Enumclaw"/>
    <x v="0"/>
    <n v="1500"/>
    <n v="0"/>
    <n v="0"/>
    <n v="0"/>
    <n v="-35"/>
    <n v="0"/>
    <n v="0"/>
    <n v="0"/>
    <n v="0"/>
    <n v="0"/>
    <n v="0"/>
    <n v="0"/>
    <n v="0"/>
    <n v="-35"/>
    <n v="0"/>
  </r>
  <r>
    <x v="1"/>
    <x v="1"/>
    <x v="0"/>
    <s v="2600200"/>
    <n v="400040"/>
    <s v="Physician Svcs Rev--Medicare"/>
    <s v="FSA-Enumclaw"/>
    <x v="0"/>
    <n v="1100"/>
    <n v="-18390"/>
    <n v="-38620"/>
    <n v="-19315"/>
    <n v="-31777"/>
    <n v="-26431"/>
    <n v="-9867"/>
    <n v="-23317"/>
    <n v="-21085.8"/>
    <n v="-26660"/>
    <n v="-39549"/>
    <n v="-28227"/>
    <n v="-22727"/>
    <n v="-305965.8"/>
    <n v="-5500"/>
  </r>
  <r>
    <x v="1"/>
    <x v="1"/>
    <x v="0"/>
    <s v="2600200"/>
    <n v="400040"/>
    <s v="Physician Svcs Rev--Medicaid"/>
    <s v="FSA-Enumclaw"/>
    <x v="0"/>
    <n v="1200"/>
    <n v="-15014"/>
    <n v="-8834"/>
    <n v="-5065"/>
    <n v="-13469.25"/>
    <n v="-9638"/>
    <n v="-8958"/>
    <n v="-12274"/>
    <n v="-11173"/>
    <n v="-12488"/>
    <n v="-5873"/>
    <n v="-14954"/>
    <n v="-15826"/>
    <n v="-133566.25"/>
    <n v="872"/>
  </r>
  <r>
    <x v="1"/>
    <x v="1"/>
    <x v="0"/>
    <s v="2600200"/>
    <n v="400040"/>
    <s v="Physician Svcs Rev--Comm Insurance"/>
    <s v="FSA-Enumclaw"/>
    <x v="0"/>
    <n v="1300"/>
    <n v="0"/>
    <n v="-5649"/>
    <n v="-1776"/>
    <n v="-2007"/>
    <n v="-7186"/>
    <n v="-8055"/>
    <n v="-5632"/>
    <n v="-2297"/>
    <n v="-2140"/>
    <n v="-3475"/>
    <n v="-825"/>
    <n v="-824"/>
    <n v="-39866"/>
    <n v="-1"/>
  </r>
  <r>
    <x v="1"/>
    <x v="1"/>
    <x v="0"/>
    <s v="2600200"/>
    <n v="400040"/>
    <s v="Physician Svcs Rev--BCBS Comm"/>
    <s v="FSA-Enumclaw"/>
    <x v="0"/>
    <n v="1301"/>
    <n v="-3558"/>
    <n v="-25776"/>
    <n v="-8324"/>
    <n v="-12777"/>
    <n v="-10579"/>
    <n v="-9453"/>
    <n v="-14997"/>
    <n v="-7991"/>
    <n v="-5557"/>
    <n v="-13550"/>
    <n v="-15243"/>
    <n v="-19350"/>
    <n v="-147155"/>
    <n v="4107"/>
  </r>
  <r>
    <x v="1"/>
    <x v="1"/>
    <x v="0"/>
    <s v="2600200"/>
    <n v="400040"/>
    <s v="Physician Svcs Rev--Managed Care"/>
    <s v="FSA-Enumclaw"/>
    <x v="0"/>
    <n v="1400"/>
    <n v="-30322"/>
    <n v="-41432"/>
    <n v="-23367"/>
    <n v="-29640"/>
    <n v="-56730"/>
    <n v="-16384"/>
    <n v="-30342"/>
    <n v="-22796"/>
    <n v="-18661"/>
    <n v="-40225"/>
    <n v="-25350"/>
    <n v="-17397"/>
    <n v="-352646"/>
    <n v="-7953"/>
  </r>
  <r>
    <x v="1"/>
    <x v="1"/>
    <x v="0"/>
    <s v="2600200"/>
    <n v="400040"/>
    <s v="Physician Svcs Rev--Self Pay"/>
    <s v="FSA-Enumclaw"/>
    <x v="0"/>
    <n v="1500"/>
    <n v="3406"/>
    <n v="-1688"/>
    <n v="-3387"/>
    <n v="-400"/>
    <n v="-1028"/>
    <n v="-6"/>
    <n v="-1330"/>
    <n v="0"/>
    <n v="-4070"/>
    <n v="-638"/>
    <n v="-2189"/>
    <n v="-2288"/>
    <n v="-13618"/>
    <n v="99"/>
  </r>
  <r>
    <x v="1"/>
    <x v="1"/>
    <x v="0"/>
    <s v="2600200"/>
    <n v="400040"/>
    <s v="Physician Svcs Rev--Other"/>
    <s v="FSA-Enumclaw"/>
    <x v="0"/>
    <n v="1700"/>
    <n v="-2623"/>
    <n v="-1660"/>
    <n v="-3107"/>
    <n v="-3710"/>
    <n v="-694"/>
    <n v="-653"/>
    <n v="-11886"/>
    <n v="-7563"/>
    <n v="-295"/>
    <n v="-4200"/>
    <n v="-1444"/>
    <n v="-6364"/>
    <n v="-44199"/>
    <n v="4920"/>
  </r>
  <r>
    <x v="2"/>
    <x v="1"/>
    <x v="0"/>
    <s v="2600200"/>
    <n v="450029"/>
    <s v="Contr Allow--MD Other-Medicare"/>
    <s v="FSA-Enumclaw"/>
    <x v="0"/>
    <n v="1100"/>
    <n v="55.71"/>
    <n v="0"/>
    <n v="0"/>
    <n v="0"/>
    <n v="0"/>
    <n v="0"/>
    <n v="0"/>
    <n v="0"/>
    <n v="0"/>
    <n v="0"/>
    <n v="0"/>
    <n v="0"/>
    <n v="55.71"/>
    <n v="0"/>
  </r>
  <r>
    <x v="2"/>
    <x v="1"/>
    <x v="0"/>
    <s v="2600200"/>
    <n v="450029"/>
    <s v="Contr Allow--MD Other BCBS Comm"/>
    <s v="FSA-Enumclaw"/>
    <x v="0"/>
    <n v="1301"/>
    <n v="0"/>
    <n v="0"/>
    <n v="0"/>
    <n v="-35"/>
    <n v="0"/>
    <n v="0"/>
    <n v="0"/>
    <n v="0"/>
    <n v="0"/>
    <n v="0"/>
    <n v="0"/>
    <n v="0"/>
    <n v="-35"/>
    <n v="0"/>
  </r>
  <r>
    <x v="2"/>
    <x v="1"/>
    <x v="0"/>
    <s v="2600200"/>
    <n v="450029"/>
    <s v="Admin Adjust-MD Other-Self Pay"/>
    <s v="FSA-Enumclaw"/>
    <x v="0"/>
    <n v="1600"/>
    <n v="0"/>
    <n v="0"/>
    <n v="0"/>
    <n v="12.95"/>
    <n v="0"/>
    <n v="0"/>
    <n v="0"/>
    <n v="0"/>
    <n v="0"/>
    <n v="0"/>
    <n v="0"/>
    <n v="0"/>
    <n v="12.95"/>
    <n v="0"/>
  </r>
  <r>
    <x v="2"/>
    <x v="1"/>
    <x v="0"/>
    <s v="2600200"/>
    <n v="450040"/>
    <s v="Contr Allow--Phys Svcs--Mcare"/>
    <s v="FSA-Enumclaw"/>
    <x v="0"/>
    <n v="1100"/>
    <n v="11174.09"/>
    <n v="24049.7"/>
    <n v="18324.43"/>
    <n v="14772.67"/>
    <n v="15370.27"/>
    <n v="12621.46"/>
    <n v="8859.7099999999991"/>
    <n v="13461.38"/>
    <n v="11766.11"/>
    <n v="18477.099999999999"/>
    <n v="24226.240000000002"/>
    <n v="20842.54"/>
    <n v="193945.69999999998"/>
    <n v="3383.7000000000007"/>
  </r>
  <r>
    <x v="2"/>
    <x v="1"/>
    <x v="0"/>
    <s v="2600200"/>
    <n v="450040"/>
    <s v="Contr Allow--Phys Svcs--Mcaid"/>
    <s v="FSA-Enumclaw"/>
    <x v="0"/>
    <n v="1200"/>
    <n v="15223.73"/>
    <n v="9627.1299999999992"/>
    <n v="3851.7"/>
    <n v="6895.14"/>
    <n v="8212.7999999999993"/>
    <n v="5824.2"/>
    <n v="8915"/>
    <n v="7248.14"/>
    <n v="11190.36"/>
    <n v="6846.07"/>
    <n v="9080.1299999999992"/>
    <n v="7502.73"/>
    <n v="100417.12999999999"/>
    <n v="1577.3999999999996"/>
  </r>
  <r>
    <x v="2"/>
    <x v="1"/>
    <x v="0"/>
    <s v="2600200"/>
    <n v="450040"/>
    <s v="Contr Allow--Phys Svcs--Comm Insurance"/>
    <s v="FSA-Enumclaw"/>
    <x v="0"/>
    <n v="1300"/>
    <n v="466.42"/>
    <n v="256.72000000000003"/>
    <n v="0"/>
    <n v="711.68"/>
    <n v="1548.36"/>
    <n v="1949.45"/>
    <n v="2148.64"/>
    <n v="826.83"/>
    <n v="700.88"/>
    <n v="1323.36"/>
    <n v="554.37"/>
    <n v="481.2"/>
    <n v="10967.910000000002"/>
    <n v="73.170000000000016"/>
  </r>
  <r>
    <x v="2"/>
    <x v="1"/>
    <x v="0"/>
    <s v="2600200"/>
    <n v="450040"/>
    <s v="Contr Allow--Phys Svcs--BCBS Comm Ins"/>
    <s v="FSA-Enumclaw"/>
    <x v="0"/>
    <n v="1301"/>
    <n v="2289.08"/>
    <n v="6244.07"/>
    <n v="3628.5"/>
    <n v="2559.64"/>
    <n v="3308.42"/>
    <n v="1817.54"/>
    <n v="1476.48"/>
    <n v="1692.32"/>
    <n v="4348.08"/>
    <n v="2063.36"/>
    <n v="3162.51"/>
    <n v="3929.87"/>
    <n v="36519.870000000003"/>
    <n v="-767.35999999999967"/>
  </r>
  <r>
    <x v="2"/>
    <x v="1"/>
    <x v="0"/>
    <s v="2600200"/>
    <n v="450040"/>
    <s v="Contr Allow--Phys Svcs--Managed Care"/>
    <s v="FSA-Enumclaw"/>
    <x v="0"/>
    <n v="1400"/>
    <n v="8498.41"/>
    <n v="19091.990000000002"/>
    <n v="8161.95"/>
    <n v="9389.31"/>
    <n v="13315.32"/>
    <n v="10444.93"/>
    <n v="5828.2"/>
    <n v="6541"/>
    <n v="6958.38"/>
    <n v="12404.73"/>
    <n v="10862.91"/>
    <n v="5962.09"/>
    <n v="117459.22"/>
    <n v="4900.82"/>
  </r>
  <r>
    <x v="2"/>
    <x v="1"/>
    <x v="0"/>
    <s v="2600200"/>
    <n v="450040"/>
    <s v="Contr Allow--Phys Svcs--BCBS Mgnd Care"/>
    <s v="FSA-Enumclaw"/>
    <x v="0"/>
    <n v="1401"/>
    <n v="-8739.08"/>
    <n v="-9377.57"/>
    <n v="-3370.46"/>
    <n v="5533.36"/>
    <n v="9069.67"/>
    <n v="-9169.16"/>
    <n v="22542.91"/>
    <n v="4536.04"/>
    <n v="-6470.9"/>
    <n v="10958"/>
    <n v="-4713.41"/>
    <n v="1431.54"/>
    <n v="12230.939999999999"/>
    <n v="-6144.95"/>
  </r>
  <r>
    <x v="2"/>
    <x v="1"/>
    <x v="0"/>
    <s v="2600200"/>
    <n v="450040"/>
    <s v="Admin Adjust-Phys Svcs-Self Pay"/>
    <s v="FSA-Enumclaw"/>
    <x v="0"/>
    <n v="1600"/>
    <n v="-201.91"/>
    <n v="5975.79"/>
    <n v="1361.14"/>
    <n v="153.16999999999999"/>
    <n v="543.01"/>
    <n v="-275.77999999999997"/>
    <n v="-789.75"/>
    <n v="10"/>
    <n v="1513.57"/>
    <n v="236.06"/>
    <n v="844.03"/>
    <n v="1083.56"/>
    <n v="10452.890000000001"/>
    <n v="-239.52999999999997"/>
  </r>
  <r>
    <x v="2"/>
    <x v="1"/>
    <x v="0"/>
    <s v="2600200"/>
    <n v="450040"/>
    <s v="Contr Allow--Phys Svcs--Other"/>
    <s v="FSA-Enumclaw"/>
    <x v="0"/>
    <n v="1700"/>
    <n v="1026.1300000000001"/>
    <n v="3606.44"/>
    <n v="157.06"/>
    <n v="994.08"/>
    <n v="333.97"/>
    <n v="0"/>
    <n v="284.85000000000002"/>
    <n v="2609.69"/>
    <n v="999.05"/>
    <n v="274.99"/>
    <n v="717.92"/>
    <n v="1204.52"/>
    <n v="12208.7"/>
    <n v="-486.6"/>
  </r>
  <r>
    <x v="3"/>
    <x v="1"/>
    <x v="0"/>
    <s v="2600200"/>
    <n v="470040"/>
    <s v="Charity Care-Physician Svcs"/>
    <s v="FSA-Enumclaw"/>
    <x v="0"/>
    <m/>
    <n v="-216.34"/>
    <n v="466.02"/>
    <n v="1711.78"/>
    <n v="1066.72"/>
    <n v="1809.27"/>
    <n v="-527.63"/>
    <n v="1776.39"/>
    <n v="802.42"/>
    <n v="3619.6"/>
    <n v="1336.75"/>
    <n v="72.599999999999994"/>
    <n v="2691.26"/>
    <n v="14608.840000000002"/>
    <n v="-2618.6600000000003"/>
  </r>
  <r>
    <x v="4"/>
    <x v="1"/>
    <x v="0"/>
    <s v="2600200"/>
    <n v="490010"/>
    <s v="Provision for Bad Debts"/>
    <s v="FSA-Enumclaw"/>
    <x v="0"/>
    <m/>
    <n v="-238.08"/>
    <n v="5744.04"/>
    <n v="-91.24"/>
    <n v="3161.25"/>
    <n v="1273.8900000000001"/>
    <n v="1661.8"/>
    <n v="4559.76"/>
    <n v="958.76"/>
    <n v="1621.02"/>
    <n v="3038.07"/>
    <n v="481.37"/>
    <n v="2857.18"/>
    <n v="25027.82"/>
    <n v="-2375.81"/>
  </r>
  <r>
    <x v="14"/>
    <x v="1"/>
    <x v="0"/>
    <s v="2600200"/>
    <n v="600050"/>
    <s v="Miscellaneous Revenue"/>
    <s v="FSA-Enumclaw"/>
    <x v="0"/>
    <m/>
    <n v="0"/>
    <n v="-20625"/>
    <n v="0"/>
    <n v="-13875"/>
    <n v="-28900"/>
    <n v="-13875"/>
    <n v="-24775"/>
    <n v="-13250"/>
    <n v="-12975"/>
    <n v="-5400"/>
    <n v="-13875"/>
    <n v="-28375"/>
    <n v="-175925"/>
    <n v="14500"/>
  </r>
  <r>
    <x v="5"/>
    <x v="1"/>
    <x v="0"/>
    <s v="2600200"/>
    <n v="700022"/>
    <s v="Salaries-Physician-Productive"/>
    <s v="FSA-Enumclaw"/>
    <x v="0"/>
    <m/>
    <n v="32607.77"/>
    <n v="40014.43"/>
    <n v="35996.959999999999"/>
    <n v="41396.49"/>
    <n v="38565.15"/>
    <n v="36713.71"/>
    <n v="40271.800000000003"/>
    <n v="35127.5"/>
    <n v="36864.5"/>
    <n v="38607.129999999997"/>
    <n v="39364.239999999998"/>
    <n v="34108.81"/>
    <n v="449638.49"/>
    <n v="5255.43"/>
  </r>
  <r>
    <x v="5"/>
    <x v="1"/>
    <x v="0"/>
    <s v="2600200"/>
    <n v="700022"/>
    <s v="Salaries-Physician-Other"/>
    <s v="FSA-Enumclaw"/>
    <x v="0"/>
    <n v="2000"/>
    <n v="0"/>
    <n v="31251"/>
    <n v="0"/>
    <n v="13875"/>
    <n v="28900"/>
    <n v="13875"/>
    <n v="24775"/>
    <n v="13250"/>
    <n v="12975"/>
    <n v="5400"/>
    <n v="13875"/>
    <n v="28375"/>
    <n v="186551"/>
    <n v="-14500"/>
  </r>
  <r>
    <x v="5"/>
    <x v="1"/>
    <x v="0"/>
    <s v="2600200"/>
    <n v="700032"/>
    <s v="Salaries-Other Pat Care Providers-Productive"/>
    <s v="FSA-Enumclaw"/>
    <x v="0"/>
    <m/>
    <n v="5521.67"/>
    <n v="6992.13"/>
    <n v="5085.83"/>
    <n v="6902.65"/>
    <n v="5991.36"/>
    <n v="3250.95"/>
    <n v="4493.59"/>
    <n v="6300.05"/>
    <n v="6410.24"/>
    <n v="7004.28"/>
    <n v="6586.66"/>
    <n v="5336.55"/>
    <n v="69875.959999999992"/>
    <n v="1250.1099999999997"/>
  </r>
  <r>
    <x v="5"/>
    <x v="1"/>
    <x v="0"/>
    <s v="2600200"/>
    <n v="700054"/>
    <s v="Salaries-Management-NonProd-Other"/>
    <s v="FSA-Enumclaw"/>
    <x v="0"/>
    <n v="2000"/>
    <n v="0"/>
    <n v="0"/>
    <n v="0"/>
    <n v="0"/>
    <n v="0"/>
    <n v="60.92"/>
    <n v="-60.92"/>
    <n v="0"/>
    <n v="0"/>
    <n v="0"/>
    <n v="0"/>
    <n v="0"/>
    <n v="0"/>
    <n v="0"/>
  </r>
  <r>
    <x v="5"/>
    <x v="1"/>
    <x v="0"/>
    <s v="2600200"/>
    <n v="700062"/>
    <s v="Salaries-Physician-Non-productive"/>
    <s v="FSA-Enumclaw"/>
    <x v="0"/>
    <m/>
    <n v="5589.3"/>
    <n v="883.39"/>
    <n v="0"/>
    <n v="0"/>
    <n v="0"/>
    <n v="0"/>
    <n v="0"/>
    <n v="0"/>
    <n v="0"/>
    <n v="0"/>
    <n v="0"/>
    <n v="0"/>
    <n v="6472.6900000000005"/>
    <n v="0"/>
  </r>
  <r>
    <x v="5"/>
    <x v="1"/>
    <x v="0"/>
    <s v="2600200"/>
    <n v="700062"/>
    <s v="Salaries-Physician-NonProd-Other"/>
    <s v="FSA-Enumclaw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00200"/>
    <n v="700072"/>
    <s v="Salaries-Other Pat Care Providers-Non-productive"/>
    <s v="FSA-Enumclaw"/>
    <x v="0"/>
    <m/>
    <n v="1356.75"/>
    <n v="-81.17"/>
    <n v="1224.24"/>
    <n v="326.64"/>
    <n v="657.56"/>
    <n v="3330.41"/>
    <n v="2380.39"/>
    <n v="-21.67"/>
    <n v="-79.12"/>
    <n v="397.29"/>
    <n v="542.94000000000005"/>
    <n v="948.18"/>
    <n v="10982.44"/>
    <n v="-405.2399999999999"/>
  </r>
  <r>
    <x v="5"/>
    <x v="1"/>
    <x v="0"/>
    <s v="2600200"/>
    <n v="700072"/>
    <s v="Salaries-Other Pat Care Providers-NonProd-Other"/>
    <s v="FSA-Enumclaw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00200"/>
    <n v="700084"/>
    <s v="Accrued PTO"/>
    <s v="FSA-Enumclaw"/>
    <x v="0"/>
    <m/>
    <n v="-475.71"/>
    <n v="720.6"/>
    <n v="-471.43"/>
    <n v="638.23"/>
    <n v="140.69999999999999"/>
    <n v="-62.8"/>
    <n v="397.64"/>
    <n v="529.54999999999995"/>
    <n v="722.46"/>
    <n v="387.27"/>
    <n v="382.85"/>
    <n v="15.79"/>
    <n v="2925.1499999999996"/>
    <n v="367.06"/>
  </r>
  <r>
    <x v="6"/>
    <x v="1"/>
    <x v="0"/>
    <s v="2600200"/>
    <n v="713010"/>
    <s v="Benefits-FICA/Medicare"/>
    <s v="FSA-Enumclaw"/>
    <x v="0"/>
    <m/>
    <n v="1793.88"/>
    <n v="1200.08"/>
    <n v="977.7"/>
    <n v="1129.97"/>
    <n v="1046.4000000000001"/>
    <n v="2174.8000000000002"/>
    <n v="3539.11"/>
    <n v="3089.53"/>
    <n v="3225.82"/>
    <n v="3224.12"/>
    <n v="1559.62"/>
    <n v="1682.11"/>
    <n v="24643.140000000003"/>
    <n v="-122.49000000000001"/>
  </r>
  <r>
    <x v="6"/>
    <x v="1"/>
    <x v="0"/>
    <s v="2600200"/>
    <n v="713090"/>
    <s v="Benefits-Allocated Amounts"/>
    <s v="FSA-Enumclaw"/>
    <x v="0"/>
    <m/>
    <n v="0"/>
    <n v="0"/>
    <n v="0"/>
    <n v="0"/>
    <n v="0"/>
    <n v="0"/>
    <n v="0"/>
    <n v="0"/>
    <n v="23699.43"/>
    <n v="2668.92"/>
    <n v="2720.54"/>
    <n v="2997.78"/>
    <n v="32086.67"/>
    <n v="-277.24000000000024"/>
  </r>
  <r>
    <x v="6"/>
    <x v="1"/>
    <x v="0"/>
    <s v="2600200"/>
    <n v="713092"/>
    <s v="Allocated Benefits-Physician"/>
    <s v="FSA-Enumclaw"/>
    <x v="0"/>
    <m/>
    <n v="4949.55"/>
    <n v="5680.55"/>
    <n v="4612.24"/>
    <n v="5371.95"/>
    <n v="5674.71"/>
    <n v="5478.78"/>
    <n v="6735.03"/>
    <n v="6138.1"/>
    <n v="-17267.580000000002"/>
    <n v="3082.67"/>
    <n v="3142.27"/>
    <n v="3462.51"/>
    <n v="37060.779999999992"/>
    <n v="-320.24000000000024"/>
  </r>
  <r>
    <x v="7"/>
    <x v="1"/>
    <x v="0"/>
    <s v="2600200"/>
    <n v="718010"/>
    <s v="Media/Print Advertising"/>
    <s v="FSA-Enumclaw"/>
    <x v="0"/>
    <n v="1004"/>
    <n v="0"/>
    <n v="0"/>
    <n v="0"/>
    <n v="460.19"/>
    <n v="0"/>
    <n v="681.46"/>
    <n v="0"/>
    <n v="0"/>
    <n v="0"/>
    <n v="387.26"/>
    <n v="0"/>
    <n v="0"/>
    <n v="1528.91"/>
    <n v="0"/>
  </r>
  <r>
    <x v="7"/>
    <x v="1"/>
    <x v="0"/>
    <s v="2600200"/>
    <n v="718050"/>
    <s v="Contract Svcs-Other"/>
    <s v="FSA-Enumclaw"/>
    <x v="0"/>
    <m/>
    <n v="0"/>
    <n v="0"/>
    <n v="0"/>
    <n v="0"/>
    <n v="45"/>
    <n v="0"/>
    <n v="61.72"/>
    <n v="0"/>
    <n v="0"/>
    <n v="0"/>
    <n v="0"/>
    <n v="72.02"/>
    <n v="178.74"/>
    <n v="-72.02"/>
  </r>
  <r>
    <x v="7"/>
    <x v="1"/>
    <x v="0"/>
    <s v="2600200"/>
    <n v="718050"/>
    <s v="Cleaning Services"/>
    <s v="FSA-Enumclaw"/>
    <x v="0"/>
    <n v="1011"/>
    <n v="0"/>
    <n v="0"/>
    <n v="0"/>
    <n v="0"/>
    <n v="0"/>
    <n v="1140"/>
    <n v="1134"/>
    <n v="0"/>
    <n v="1140"/>
    <n v="570"/>
    <n v="0"/>
    <n v="0"/>
    <n v="3984"/>
    <n v="0"/>
  </r>
  <r>
    <x v="7"/>
    <x v="1"/>
    <x v="0"/>
    <s v="2600200"/>
    <n v="718050"/>
    <s v="Miscellaneous Purchased Svcs"/>
    <s v="FSA-Enumclaw"/>
    <x v="0"/>
    <n v="1020"/>
    <n v="0"/>
    <n v="0"/>
    <n v="0"/>
    <n v="0"/>
    <n v="0"/>
    <n v="0"/>
    <n v="5"/>
    <n v="0"/>
    <n v="0"/>
    <n v="0"/>
    <n v="0"/>
    <n v="0"/>
    <n v="5"/>
    <n v="0"/>
  </r>
  <r>
    <x v="7"/>
    <x v="1"/>
    <x v="0"/>
    <s v="2600200"/>
    <n v="718050"/>
    <s v="Translation Services"/>
    <s v="FSA-Enumclaw"/>
    <x v="0"/>
    <n v="1025"/>
    <n v="0"/>
    <n v="0"/>
    <n v="0"/>
    <n v="0"/>
    <n v="0"/>
    <n v="0"/>
    <n v="32"/>
    <n v="0"/>
    <n v="0"/>
    <n v="0"/>
    <n v="0"/>
    <n v="0"/>
    <n v="32"/>
    <n v="0"/>
  </r>
  <r>
    <x v="7"/>
    <x v="1"/>
    <x v="0"/>
    <s v="2600200"/>
    <n v="718050"/>
    <s v="Purchased Srvcs--Medical Waste"/>
    <s v="FSA-Enumclaw"/>
    <x v="0"/>
    <n v="1027"/>
    <n v="0"/>
    <n v="0"/>
    <n v="0"/>
    <n v="61.72"/>
    <n v="0"/>
    <n v="61.72"/>
    <n v="123.44"/>
    <n v="0"/>
    <n v="61.26"/>
    <n v="62.02"/>
    <n v="0"/>
    <n v="61.26"/>
    <n v="431.41999999999996"/>
    <n v="-61.26"/>
  </r>
  <r>
    <x v="11"/>
    <x v="1"/>
    <x v="0"/>
    <s v="2600200"/>
    <n v="721410"/>
    <s v="Supplies-Medical - Nonbillable"/>
    <s v="FSA-Enumclaw"/>
    <x v="0"/>
    <m/>
    <n v="0"/>
    <n v="0"/>
    <n v="0"/>
    <n v="358.98"/>
    <n v="346.95"/>
    <n v="1032.73"/>
    <n v="55.68"/>
    <n v="219.46"/>
    <n v="5"/>
    <n v="5"/>
    <n v="0"/>
    <n v="1370.94"/>
    <n v="3394.7400000000002"/>
    <n v="-1370.94"/>
  </r>
  <r>
    <x v="11"/>
    <x v="1"/>
    <x v="0"/>
    <s v="2600200"/>
    <n v="721870"/>
    <s v="Supplies-Environmental Services"/>
    <s v="FSA-Enumclaw"/>
    <x v="0"/>
    <m/>
    <n v="0"/>
    <n v="0"/>
    <n v="0"/>
    <n v="0"/>
    <n v="0"/>
    <n v="0"/>
    <n v="627"/>
    <n v="0"/>
    <n v="0"/>
    <n v="0"/>
    <n v="0"/>
    <n v="0"/>
    <n v="627"/>
    <n v="0"/>
  </r>
  <r>
    <x v="11"/>
    <x v="1"/>
    <x v="0"/>
    <s v="2600200"/>
    <n v="721980"/>
    <s v="Supplies-Other"/>
    <s v="FSA-Enumclaw"/>
    <x v="0"/>
    <m/>
    <n v="0"/>
    <n v="0"/>
    <n v="0"/>
    <n v="0"/>
    <n v="0"/>
    <n v="0"/>
    <n v="0"/>
    <n v="0"/>
    <n v="44.72"/>
    <n v="0"/>
    <n v="0"/>
    <n v="0"/>
    <n v="44.72"/>
    <n v="0"/>
  </r>
  <r>
    <x v="12"/>
    <x v="1"/>
    <x v="0"/>
    <s v="2600200"/>
    <n v="730020"/>
    <s v="Rental and Leases-Equipment (DO NOT USE)"/>
    <s v="FSA-Enumclaw"/>
    <x v="0"/>
    <m/>
    <n v="0"/>
    <n v="0"/>
    <n v="0"/>
    <n v="4.7699999999999996"/>
    <n v="0"/>
    <n v="0"/>
    <n v="0"/>
    <n v="0"/>
    <n v="0"/>
    <n v="0"/>
    <n v="0"/>
    <n v="0"/>
    <n v="4.7699999999999996"/>
    <n v="0"/>
  </r>
  <r>
    <x v="15"/>
    <x v="1"/>
    <x v="0"/>
    <s v="2600200"/>
    <n v="731060"/>
    <s v="Telephone"/>
    <s v="FSA-Enumclaw"/>
    <x v="0"/>
    <m/>
    <n v="691.17"/>
    <n v="345.6"/>
    <n v="0"/>
    <n v="345.6"/>
    <n v="348.43"/>
    <n v="348.43"/>
    <n v="348.43"/>
    <n v="348.55"/>
    <n v="348.55"/>
    <n v="348.55"/>
    <n v="350.51"/>
    <n v="338.3"/>
    <n v="4162.1200000000008"/>
    <n v="12.20999999999998"/>
  </r>
  <r>
    <x v="0"/>
    <x v="1"/>
    <x v="0"/>
    <s v="2600200"/>
    <n v="740022"/>
    <s v="Books-Physician"/>
    <s v="FSA-Enumclaw"/>
    <x v="0"/>
    <n v="2000"/>
    <n v="0"/>
    <n v="0"/>
    <n v="0"/>
    <n v="0"/>
    <n v="0"/>
    <n v="0"/>
    <n v="0"/>
    <n v="0"/>
    <n v="0"/>
    <n v="755"/>
    <n v="0"/>
    <n v="0"/>
    <n v="755"/>
    <n v="0"/>
  </r>
  <r>
    <x v="8"/>
    <x v="1"/>
    <x v="0"/>
    <s v="2600200"/>
    <n v="741012"/>
    <s v="Physician Liab Insurance-CHI Program"/>
    <s v="FSA-Enumclaw"/>
    <x v="0"/>
    <m/>
    <n v="3220.93"/>
    <n v="3220.93"/>
    <n v="3220.93"/>
    <n v="3220.93"/>
    <n v="3220.94"/>
    <n v="3220.93"/>
    <n v="3220.94"/>
    <n v="3220.93"/>
    <n v="3220.94"/>
    <n v="3220.93"/>
    <n v="3220.94"/>
    <n v="3220.93"/>
    <n v="38651.199999999997"/>
    <n v="1.0000000000218279E-2"/>
  </r>
  <r>
    <x v="0"/>
    <x v="1"/>
    <x v="0"/>
    <s v="2600200"/>
    <n v="743020"/>
    <s v="Dues--Individual"/>
    <s v="FSA-Enumclaw"/>
    <x v="0"/>
    <m/>
    <n v="0"/>
    <n v="0"/>
    <n v="0"/>
    <n v="0"/>
    <n v="0"/>
    <n v="0"/>
    <n v="0"/>
    <n v="1070"/>
    <n v="0"/>
    <n v="0"/>
    <n v="0"/>
    <n v="0"/>
    <n v="1070"/>
    <n v="0"/>
  </r>
  <r>
    <x v="0"/>
    <x v="1"/>
    <x v="0"/>
    <s v="2600200"/>
    <n v="743022"/>
    <s v="Dues-Physician"/>
    <s v="FSA-Enumclaw"/>
    <x v="0"/>
    <m/>
    <n v="0"/>
    <n v="0"/>
    <n v="0"/>
    <n v="0"/>
    <n v="0"/>
    <n v="0"/>
    <n v="0"/>
    <n v="640"/>
    <n v="0"/>
    <n v="0"/>
    <n v="0"/>
    <n v="0"/>
    <n v="640"/>
    <n v="0"/>
  </r>
  <r>
    <x v="0"/>
    <x v="1"/>
    <x v="0"/>
    <s v="2600200"/>
    <n v="743042"/>
    <s v="Subscriptions-Physician"/>
    <s v="FSA-Enumclaw"/>
    <x v="0"/>
    <m/>
    <n v="0"/>
    <n v="0"/>
    <n v="0"/>
    <n v="0"/>
    <n v="0"/>
    <n v="0"/>
    <n v="0"/>
    <n v="0"/>
    <n v="0"/>
    <n v="0"/>
    <n v="0"/>
    <n v="205.5"/>
    <n v="205.5"/>
    <n v="-205.5"/>
  </r>
  <r>
    <x v="0"/>
    <x v="1"/>
    <x v="0"/>
    <s v="2600200"/>
    <n v="749510"/>
    <s v="Miscellaneous Expenses"/>
    <s v="FSA-Enumclaw"/>
    <x v="0"/>
    <m/>
    <n v="0"/>
    <n v="0"/>
    <n v="4.7699999999999996"/>
    <n v="49.6"/>
    <n v="51.4"/>
    <n v="0"/>
    <n v="0"/>
    <n v="0"/>
    <n v="755"/>
    <n v="-744.8"/>
    <n v="0"/>
    <n v="205.5"/>
    <n v="321.47000000000003"/>
    <n v="-205.5"/>
  </r>
  <r>
    <x v="0"/>
    <x v="1"/>
    <x v="0"/>
    <s v="2600200"/>
    <n v="749510"/>
    <s v="RICE Rewards"/>
    <s v="FSA-Enumclaw"/>
    <x v="0"/>
    <n v="5100"/>
    <n v="0"/>
    <n v="0"/>
    <n v="0"/>
    <n v="0"/>
    <n v="0"/>
    <n v="0"/>
    <n v="0"/>
    <n v="0"/>
    <n v="0"/>
    <n v="0"/>
    <n v="0"/>
    <n v="132.07"/>
    <n v="132.07"/>
    <n v="-132.07"/>
  </r>
  <r>
    <x v="1"/>
    <x v="1"/>
    <x v="0"/>
    <s v="2601200"/>
    <n v="400040"/>
    <s v="Physician Svcs Rev--Medicare"/>
    <s v="St Joseph Med&amp;Spec-Pain Mgmt"/>
    <x v="0"/>
    <n v="1100"/>
    <n v="0"/>
    <n v="0"/>
    <n v="0"/>
    <n v="0"/>
    <n v="0"/>
    <n v="-578"/>
    <n v="-597"/>
    <n v="0"/>
    <n v="-1090"/>
    <n v="0"/>
    <n v="0"/>
    <n v="0"/>
    <n v="-2265"/>
    <n v="0"/>
  </r>
  <r>
    <x v="1"/>
    <x v="1"/>
    <x v="0"/>
    <s v="2601200"/>
    <n v="400040"/>
    <s v="Physician Svcs Rev--Medicaid"/>
    <s v="St Joseph Med&amp;Spec-Pain Mgmt"/>
    <x v="0"/>
    <n v="1200"/>
    <n v="0"/>
    <n v="0"/>
    <n v="0"/>
    <n v="0"/>
    <n v="0"/>
    <n v="1227"/>
    <n v="0"/>
    <n v="0"/>
    <n v="1380"/>
    <n v="0"/>
    <n v="0"/>
    <n v="0"/>
    <n v="2607"/>
    <n v="0"/>
  </r>
  <r>
    <x v="1"/>
    <x v="1"/>
    <x v="0"/>
    <s v="2601200"/>
    <n v="400040"/>
    <s v="Physician Svcs Rev--Managed Care"/>
    <s v="St Joseph Med&amp;Spec-Pain Mgmt"/>
    <x v="0"/>
    <n v="1400"/>
    <n v="0"/>
    <n v="0"/>
    <n v="0"/>
    <n v="0"/>
    <n v="0"/>
    <n v="0"/>
    <n v="0"/>
    <n v="0"/>
    <n v="-290"/>
    <n v="0"/>
    <n v="0"/>
    <n v="0"/>
    <n v="-290"/>
    <n v="0"/>
  </r>
  <r>
    <x v="2"/>
    <x v="1"/>
    <x v="0"/>
    <s v="2601200"/>
    <n v="450040"/>
    <s v="Contr Allow--Phys Svcs--Mcare"/>
    <s v="St Joseph Med&amp;Spec-Pain Mgmt"/>
    <x v="0"/>
    <n v="1100"/>
    <n v="0"/>
    <n v="0"/>
    <n v="228.73"/>
    <n v="0"/>
    <n v="0"/>
    <n v="0"/>
    <n v="0"/>
    <n v="540.77"/>
    <n v="0"/>
    <n v="284.94"/>
    <n v="21.4"/>
    <n v="494.93"/>
    <n v="1570.7700000000002"/>
    <n v="-473.53000000000003"/>
  </r>
  <r>
    <x v="2"/>
    <x v="1"/>
    <x v="0"/>
    <s v="2601200"/>
    <n v="450040"/>
    <s v="Contr Allow--Phys Svcs--Mcaid"/>
    <s v="St Joseph Med&amp;Spec-Pain Mgmt"/>
    <x v="0"/>
    <n v="1200"/>
    <n v="0"/>
    <n v="0"/>
    <n v="-1839.22"/>
    <n v="0"/>
    <n v="-139.76"/>
    <n v="-39"/>
    <n v="0"/>
    <n v="-222.38"/>
    <n v="-829.43"/>
    <n v="0"/>
    <n v="0"/>
    <n v="0"/>
    <n v="-3069.79"/>
    <n v="0"/>
  </r>
  <r>
    <x v="2"/>
    <x v="1"/>
    <x v="0"/>
    <s v="2601200"/>
    <n v="450040"/>
    <s v="Contr Allow--Phys Svcs--Managed Care"/>
    <s v="St Joseph Med&amp;Spec-Pain Mgmt"/>
    <x v="0"/>
    <n v="1400"/>
    <n v="4.92"/>
    <n v="0"/>
    <n v="0"/>
    <n v="0"/>
    <n v="0"/>
    <n v="0"/>
    <n v="0"/>
    <n v="0"/>
    <n v="0"/>
    <n v="0"/>
    <n v="70.989999999999995"/>
    <n v="0"/>
    <n v="75.91"/>
    <n v="70.989999999999995"/>
  </r>
  <r>
    <x v="2"/>
    <x v="1"/>
    <x v="0"/>
    <s v="2601200"/>
    <n v="450040"/>
    <s v="Contr Allow--Phys Svcs--BCBS Mgnd Care"/>
    <s v="St Joseph Med&amp;Spec-Pain Mgmt"/>
    <x v="0"/>
    <n v="1401"/>
    <n v="-43.45"/>
    <n v="68.81"/>
    <n v="1218.79"/>
    <n v="-492.26"/>
    <n v="-0.51"/>
    <n v="-299.99"/>
    <n v="379.61"/>
    <n v="-710.14"/>
    <n v="585.95000000000005"/>
    <n v="-210.59"/>
    <n v="-121.26"/>
    <n v="-408.74"/>
    <n v="-33.780000000000086"/>
    <n v="287.48"/>
  </r>
  <r>
    <x v="2"/>
    <x v="1"/>
    <x v="0"/>
    <s v="2601200"/>
    <n v="450040"/>
    <s v="Admin Adjust-Phys Svcs-Self Pay"/>
    <s v="St Joseph Med&amp;Spec-Pain Mgmt"/>
    <x v="0"/>
    <n v="1600"/>
    <n v="50"/>
    <n v="0"/>
    <n v="-306"/>
    <n v="1.19"/>
    <n v="0"/>
    <n v="39"/>
    <n v="-39"/>
    <n v="3"/>
    <n v="0"/>
    <n v="6.24"/>
    <n v="96"/>
    <n v="0"/>
    <n v="-149.57"/>
    <n v="96"/>
  </r>
  <r>
    <x v="3"/>
    <x v="1"/>
    <x v="0"/>
    <s v="2601200"/>
    <n v="470040"/>
    <s v="Charity Care-Physician Svcs"/>
    <s v="St Joseph Med&amp;Spec-Pain Mgmt"/>
    <x v="0"/>
    <m/>
    <n v="-5.82"/>
    <n v="14.28"/>
    <n v="17.18"/>
    <n v="322.27999999999997"/>
    <n v="15.94"/>
    <n v="-19.36"/>
    <n v="8.73"/>
    <n v="-26.08"/>
    <n v="157.25"/>
    <n v="53.59"/>
    <n v="-12.23"/>
    <n v="-1.23"/>
    <n v="524.53"/>
    <n v="-11"/>
  </r>
  <r>
    <x v="4"/>
    <x v="1"/>
    <x v="0"/>
    <s v="2601200"/>
    <n v="490010"/>
    <s v="Provision for Bad Debts"/>
    <s v="St Joseph Med&amp;Spec-Pain Mgmt"/>
    <x v="0"/>
    <m/>
    <n v="-19.489999999999998"/>
    <n v="32.6"/>
    <n v="300.54000000000002"/>
    <n v="114.02"/>
    <n v="-47.13"/>
    <n v="-142.81"/>
    <n v="-121.53"/>
    <n v="722.19"/>
    <n v="-101.18"/>
    <n v="-100.26"/>
    <n v="-243.8"/>
    <n v="-34.68"/>
    <n v="358.47"/>
    <n v="-209.12"/>
  </r>
  <r>
    <x v="1"/>
    <x v="1"/>
    <x v="0"/>
    <s v="2602200"/>
    <n v="400029"/>
    <s v="MD Practice Other Rev--Medicare"/>
    <s v="Ortho/Sport Med-FW Podiatry"/>
    <x v="0"/>
    <n v="1100"/>
    <n v="-2096"/>
    <n v="-3675"/>
    <n v="-2821"/>
    <n v="-1151"/>
    <n v="-1696"/>
    <n v="-2563"/>
    <n v="-1324"/>
    <n v="-2549"/>
    <n v="-1394"/>
    <n v="-1594"/>
    <n v="-3054"/>
    <n v="-3022"/>
    <n v="-26939"/>
    <n v="-32"/>
  </r>
  <r>
    <x v="1"/>
    <x v="1"/>
    <x v="0"/>
    <s v="2602200"/>
    <n v="400029"/>
    <s v="MD Practice Other Rev--Medicaid"/>
    <s v="Ortho/Sport Med-FW Podiatry"/>
    <x v="0"/>
    <n v="1200"/>
    <n v="-2867"/>
    <n v="-2592"/>
    <n v="-2041"/>
    <n v="-3014"/>
    <n v="-3593"/>
    <n v="-3489"/>
    <n v="-3686"/>
    <n v="-3223"/>
    <n v="-1820"/>
    <n v="-2760"/>
    <n v="-3182"/>
    <n v="-2924"/>
    <n v="-35191"/>
    <n v="-258"/>
  </r>
  <r>
    <x v="1"/>
    <x v="1"/>
    <x v="0"/>
    <s v="2602200"/>
    <n v="400029"/>
    <s v="MD Practice Other Rev--Comm Insurance"/>
    <s v="Ortho/Sport Med-FW Podiatry"/>
    <x v="0"/>
    <n v="1300"/>
    <n v="-520"/>
    <n v="-421"/>
    <n v="-247"/>
    <n v="-243"/>
    <n v="-387"/>
    <n v="-227"/>
    <n v="-170"/>
    <n v="-243"/>
    <n v="-73"/>
    <n v="-259"/>
    <n v="-243"/>
    <n v="-697"/>
    <n v="-3730"/>
    <n v="454"/>
  </r>
  <r>
    <x v="1"/>
    <x v="1"/>
    <x v="0"/>
    <s v="2602200"/>
    <n v="400029"/>
    <s v="MD Practice Other Rev--BCBS Comm"/>
    <s v="Ortho/Sport Med-FW Podiatry"/>
    <x v="0"/>
    <n v="1301"/>
    <n v="-663"/>
    <n v="-1480"/>
    <n v="-399"/>
    <n v="-494"/>
    <n v="-656"/>
    <n v="-255"/>
    <n v="-1160"/>
    <n v="-496"/>
    <n v="-162"/>
    <n v="-753"/>
    <n v="-501"/>
    <n v="-1165"/>
    <n v="-8184"/>
    <n v="664"/>
  </r>
  <r>
    <x v="1"/>
    <x v="1"/>
    <x v="0"/>
    <s v="2602200"/>
    <n v="400029"/>
    <s v="MD Practice Other Rev--Managed Care"/>
    <s v="Ortho/Sport Med-FW Podiatry"/>
    <x v="0"/>
    <n v="1400"/>
    <n v="-3024"/>
    <n v="-5163"/>
    <n v="-3096"/>
    <n v="-3064"/>
    <n v="-2912"/>
    <n v="-4318"/>
    <n v="-4736"/>
    <n v="-3091"/>
    <n v="-2023"/>
    <n v="-2016"/>
    <n v="-4483"/>
    <n v="-2721"/>
    <n v="-40647"/>
    <n v="-1762"/>
  </r>
  <r>
    <x v="1"/>
    <x v="1"/>
    <x v="0"/>
    <s v="2602200"/>
    <n v="400029"/>
    <s v="MD Practice Other Rev--Self Pay"/>
    <s v="Ortho/Sport Med-FW Podiatry"/>
    <x v="0"/>
    <n v="1500"/>
    <n v="81"/>
    <n v="0"/>
    <n v="-684"/>
    <n v="-95"/>
    <n v="-235"/>
    <n v="-494"/>
    <n v="-407"/>
    <n v="0"/>
    <n v="-242"/>
    <n v="-98"/>
    <n v="-8"/>
    <n v="-590"/>
    <n v="-2772"/>
    <n v="582"/>
  </r>
  <r>
    <x v="1"/>
    <x v="1"/>
    <x v="0"/>
    <s v="2602200"/>
    <n v="400029"/>
    <s v="MD Practice Other Rev--Other"/>
    <s v="Ortho/Sport Med-FW Podiatry"/>
    <x v="0"/>
    <n v="1700"/>
    <n v="-322"/>
    <n v="-503"/>
    <n v="-251"/>
    <n v="-494"/>
    <n v="-510"/>
    <n v="-346"/>
    <n v="-591"/>
    <n v="-407"/>
    <n v="-164"/>
    <n v="-640"/>
    <n v="-75"/>
    <n v="-162"/>
    <n v="-4465"/>
    <n v="87"/>
  </r>
  <r>
    <x v="1"/>
    <x v="1"/>
    <x v="0"/>
    <s v="2602200"/>
    <n v="400040"/>
    <s v="Physician Svcs Rev--Medicare"/>
    <s v="Ortho/Sport Med-FW Podiatry"/>
    <x v="0"/>
    <n v="1100"/>
    <n v="-15883"/>
    <n v="-15584"/>
    <n v="-14797"/>
    <n v="-17044"/>
    <n v="-13196"/>
    <n v="-21158"/>
    <n v="-25852"/>
    <n v="-24213"/>
    <n v="-21673"/>
    <n v="-8118"/>
    <n v="-35039"/>
    <n v="-43397"/>
    <n v="-255954"/>
    <n v="8358"/>
  </r>
  <r>
    <x v="1"/>
    <x v="1"/>
    <x v="0"/>
    <s v="2602200"/>
    <n v="400040"/>
    <s v="Physician Svcs Rev--Medicaid"/>
    <s v="Ortho/Sport Med-FW Podiatry"/>
    <x v="0"/>
    <n v="1200"/>
    <n v="-26750"/>
    <n v="-23041"/>
    <n v="-12603"/>
    <n v="-30049"/>
    <n v="-19523"/>
    <n v="-35798"/>
    <n v="-28002"/>
    <n v="-19587"/>
    <n v="-36724"/>
    <n v="-25575"/>
    <n v="-27882"/>
    <n v="-18116"/>
    <n v="-303650"/>
    <n v="-9766"/>
  </r>
  <r>
    <x v="1"/>
    <x v="1"/>
    <x v="0"/>
    <s v="2602200"/>
    <n v="400040"/>
    <s v="Physician Svcs Rev--Comm Insurance"/>
    <s v="Ortho/Sport Med-FW Podiatry"/>
    <x v="0"/>
    <n v="1300"/>
    <n v="-1050"/>
    <n v="-2686"/>
    <n v="-896"/>
    <n v="11652"/>
    <n v="-1380"/>
    <n v="-591"/>
    <n v="-1955"/>
    <n v="-6935"/>
    <n v="2282"/>
    <n v="-652"/>
    <n v="-296"/>
    <n v="-5226"/>
    <n v="-7733"/>
    <n v="4930"/>
  </r>
  <r>
    <x v="1"/>
    <x v="1"/>
    <x v="0"/>
    <s v="2602200"/>
    <n v="400040"/>
    <s v="Physician Svcs Rev--BCBS Comm"/>
    <s v="Ortho/Sport Med-FW Podiatry"/>
    <x v="0"/>
    <n v="1301"/>
    <n v="-7522"/>
    <n v="-5184"/>
    <n v="-3880"/>
    <n v="-5771"/>
    <n v="-6112"/>
    <n v="-3936"/>
    <n v="-5441"/>
    <n v="-4283"/>
    <n v="-8678"/>
    <n v="-1739"/>
    <n v="-4900"/>
    <n v="-11024"/>
    <n v="-68470"/>
    <n v="6124"/>
  </r>
  <r>
    <x v="1"/>
    <x v="1"/>
    <x v="0"/>
    <s v="2602200"/>
    <n v="400040"/>
    <s v="Physician Svcs Rev--Managed Care"/>
    <s v="Ortho/Sport Med-FW Podiatry"/>
    <x v="0"/>
    <n v="1400"/>
    <n v="-38465"/>
    <n v="-30167"/>
    <n v="-22071"/>
    <n v="-19073"/>
    <n v="-23676"/>
    <n v="-20205"/>
    <n v="-49078"/>
    <n v="-23653"/>
    <n v="-27892"/>
    <n v="-12853"/>
    <n v="-44502"/>
    <n v="-35353"/>
    <n v="-346988"/>
    <n v="-9149"/>
  </r>
  <r>
    <x v="1"/>
    <x v="1"/>
    <x v="0"/>
    <s v="2602200"/>
    <n v="400040"/>
    <s v="Physician Svcs Rev--Self Pay"/>
    <s v="Ortho/Sport Med-FW Podiatry"/>
    <x v="0"/>
    <n v="1500"/>
    <n v="2469"/>
    <n v="-794.2"/>
    <n v="-696"/>
    <n v="-14177"/>
    <n v="-1198"/>
    <n v="-813"/>
    <n v="-591"/>
    <n v="-200"/>
    <n v="-2628"/>
    <n v="-2192"/>
    <n v="-6088"/>
    <n v="-3842"/>
    <n v="-30750.2"/>
    <n v="-2246"/>
  </r>
  <r>
    <x v="1"/>
    <x v="1"/>
    <x v="0"/>
    <s v="2602200"/>
    <n v="400040"/>
    <s v="Physician Svcs Rev--Other"/>
    <s v="Ortho/Sport Med-FW Podiatry"/>
    <x v="0"/>
    <n v="1700"/>
    <n v="-5649"/>
    <n v="-6350"/>
    <n v="-5642"/>
    <n v="-4273"/>
    <n v="-3819"/>
    <n v="-15535"/>
    <n v="-8451"/>
    <n v="-9717"/>
    <n v="-4248"/>
    <n v="-3243"/>
    <n v="-4891"/>
    <n v="-16937"/>
    <n v="-88755"/>
    <n v="12046"/>
  </r>
  <r>
    <x v="2"/>
    <x v="1"/>
    <x v="0"/>
    <s v="2602200"/>
    <n v="450029"/>
    <s v="Contr Allow--MD Other-Medicare"/>
    <s v="Ortho/Sport Med-FW Podiatry"/>
    <x v="0"/>
    <n v="1100"/>
    <n v="1748.85"/>
    <n v="1327.63"/>
    <n v="1963.34"/>
    <n v="1477.14"/>
    <n v="1566.94"/>
    <n v="1540.9"/>
    <n v="1069.6300000000001"/>
    <n v="741.32"/>
    <n v="1623.76"/>
    <n v="609.32000000000005"/>
    <n v="1483.93"/>
    <n v="1744.93"/>
    <n v="16897.689999999999"/>
    <n v="-261"/>
  </r>
  <r>
    <x v="2"/>
    <x v="1"/>
    <x v="0"/>
    <s v="2602200"/>
    <n v="450029"/>
    <s v="Contr Allow--MD Other-Medicaid"/>
    <s v="Ortho/Sport Med-FW Podiatry"/>
    <x v="0"/>
    <n v="1200"/>
    <n v="2103.46"/>
    <n v="1740.12"/>
    <n v="1876.55"/>
    <n v="2191.67"/>
    <n v="2008.89"/>
    <n v="3430.09"/>
    <n v="2227.14"/>
    <n v="2505.65"/>
    <n v="2448.4"/>
    <n v="1293.78"/>
    <n v="2267.31"/>
    <n v="2923.98"/>
    <n v="27017.040000000001"/>
    <n v="-656.67000000000007"/>
  </r>
  <r>
    <x v="2"/>
    <x v="1"/>
    <x v="0"/>
    <s v="2602200"/>
    <n v="450029"/>
    <s v="Contr Allow--MD Other-Comm Insurance"/>
    <s v="Ortho/Sport Med-FW Podiatry"/>
    <x v="0"/>
    <n v="1300"/>
    <n v="27.35"/>
    <n v="104.49"/>
    <n v="173.99"/>
    <n v="100.49"/>
    <n v="84.87"/>
    <n v="152.91"/>
    <n v="28.35"/>
    <n v="62.69"/>
    <n v="87.51"/>
    <n v="60.36"/>
    <n v="28.07"/>
    <n v="91.83"/>
    <n v="1002.9100000000002"/>
    <n v="-63.76"/>
  </r>
  <r>
    <x v="2"/>
    <x v="1"/>
    <x v="0"/>
    <s v="2602200"/>
    <n v="450029"/>
    <s v="Contr Allow--MD Other BCBS Comm"/>
    <s v="Ortho/Sport Med-FW Podiatry"/>
    <x v="0"/>
    <n v="1301"/>
    <n v="331.66"/>
    <n v="295.5"/>
    <n v="308.33"/>
    <n v="149.25"/>
    <n v="238.57"/>
    <n v="107.08"/>
    <n v="84.72"/>
    <n v="282.27999999999997"/>
    <n v="170.61"/>
    <n v="19.98"/>
    <n v="308.70999999999998"/>
    <n v="298.88"/>
    <n v="2595.5700000000002"/>
    <n v="9.8299999999999841"/>
  </r>
  <r>
    <x v="2"/>
    <x v="1"/>
    <x v="0"/>
    <s v="2602200"/>
    <n v="450029"/>
    <s v="Contr Allow--MD Other-Managed Care"/>
    <s v="Ortho/Sport Med-FW Podiatry"/>
    <x v="0"/>
    <n v="1400"/>
    <n v="1763.37"/>
    <n v="1596.42"/>
    <n v="1173.5999999999999"/>
    <n v="887.44"/>
    <n v="1186.1300000000001"/>
    <n v="1176.27"/>
    <n v="1122.7"/>
    <n v="1153.54"/>
    <n v="1599.21"/>
    <n v="574.75"/>
    <n v="1338.11"/>
    <n v="989.81"/>
    <n v="14561.35"/>
    <n v="348.29999999999995"/>
  </r>
  <r>
    <x v="2"/>
    <x v="1"/>
    <x v="0"/>
    <s v="2602200"/>
    <n v="450029"/>
    <s v="Admin Adjust-MD Other-Self Pay"/>
    <s v="Ortho/Sport Med-FW Podiatry"/>
    <x v="0"/>
    <n v="1600"/>
    <n v="-28.24"/>
    <n v="-81.680000000000007"/>
    <n v="328.39"/>
    <n v="53.4"/>
    <n v="88.28"/>
    <n v="175.52"/>
    <n v="24.82"/>
    <n v="194.54"/>
    <n v="143.72"/>
    <n v="36.26"/>
    <n v="2.96"/>
    <n v="218.3"/>
    <n v="1156.27"/>
    <n v="-215.34"/>
  </r>
  <r>
    <x v="2"/>
    <x v="1"/>
    <x v="0"/>
    <s v="2602200"/>
    <n v="450029"/>
    <s v="Contr Allow--MD Other-Other"/>
    <s v="Ortho/Sport Med-FW Podiatry"/>
    <x v="0"/>
    <n v="1700"/>
    <n v="152.4"/>
    <n v="178.37"/>
    <n v="212.21"/>
    <n v="149.24"/>
    <n v="253.37"/>
    <n v="219.78"/>
    <n v="80.08"/>
    <n v="189.92"/>
    <n v="214.01"/>
    <n v="76.260000000000005"/>
    <n v="221.34"/>
    <n v="74.41"/>
    <n v="2021.39"/>
    <n v="146.93"/>
  </r>
  <r>
    <x v="2"/>
    <x v="1"/>
    <x v="0"/>
    <s v="2602200"/>
    <n v="450040"/>
    <s v="Contr Allow--Phys Svcs--Mcare"/>
    <s v="Ortho/Sport Med-FW Podiatry"/>
    <x v="0"/>
    <n v="1100"/>
    <n v="14015.67"/>
    <n v="10542.69"/>
    <n v="8345.69"/>
    <n v="7533.8"/>
    <n v="7859.26"/>
    <n v="17511.14"/>
    <n v="16573.810000000001"/>
    <n v="8722.18"/>
    <n v="17368.37"/>
    <n v="10150.94"/>
    <n v="15797.75"/>
    <n v="17526.82"/>
    <n v="151948.12"/>
    <n v="-1729.0699999999997"/>
  </r>
  <r>
    <x v="2"/>
    <x v="1"/>
    <x v="0"/>
    <s v="2602200"/>
    <n v="450040"/>
    <s v="Contr Allow--Phys Svcs--Mcaid"/>
    <s v="Ortho/Sport Med-FW Podiatry"/>
    <x v="0"/>
    <n v="1200"/>
    <n v="23616.31"/>
    <n v="22088.66"/>
    <n v="19270.77"/>
    <n v="18368.72"/>
    <n v="15105.15"/>
    <n v="25590.92"/>
    <n v="19829.36"/>
    <n v="15376.96"/>
    <n v="22741.86"/>
    <n v="20415.28"/>
    <n v="25858.080000000002"/>
    <n v="26968.38"/>
    <n v="255230.45"/>
    <n v="-1110.2999999999993"/>
  </r>
  <r>
    <x v="2"/>
    <x v="1"/>
    <x v="0"/>
    <s v="2602200"/>
    <n v="450040"/>
    <s v="Contr Allow--Phys Svcs--Comm Insurance"/>
    <s v="Ortho/Sport Med-FW Podiatry"/>
    <x v="0"/>
    <n v="1300"/>
    <n v="2707.72"/>
    <n v="849.57"/>
    <n v="261.52999999999997"/>
    <n v="103.86"/>
    <n v="203.72"/>
    <n v="292.82"/>
    <n v="802.21"/>
    <n v="0"/>
    <n v="129.49"/>
    <n v="172.26"/>
    <n v="0"/>
    <n v="457.89"/>
    <n v="5981.07"/>
    <n v="-457.89"/>
  </r>
  <r>
    <x v="2"/>
    <x v="1"/>
    <x v="0"/>
    <s v="2602200"/>
    <n v="450040"/>
    <s v="Contr Allow--Phys Svcs--BCBS Comm Ins"/>
    <s v="Ortho/Sport Med-FW Podiatry"/>
    <x v="0"/>
    <n v="1301"/>
    <n v="1559.88"/>
    <n v="2906.06"/>
    <n v="1515.38"/>
    <n v="2399.21"/>
    <n v="3116.4"/>
    <n v="823.11"/>
    <n v="758.23"/>
    <n v="722.95"/>
    <n v="1852.87"/>
    <n v="441.34"/>
    <n v="7103.15"/>
    <n v="3257.03"/>
    <n v="26455.61"/>
    <n v="3846.1199999999994"/>
  </r>
  <r>
    <x v="2"/>
    <x v="1"/>
    <x v="0"/>
    <s v="2602200"/>
    <n v="450040"/>
    <s v="Contr Allow--Phys Svcs--Managed Care"/>
    <s v="Ortho/Sport Med-FW Podiatry"/>
    <x v="0"/>
    <n v="1400"/>
    <n v="11281.86"/>
    <n v="13761.35"/>
    <n v="9108.0300000000007"/>
    <n v="11933.33"/>
    <n v="5091.9399999999996"/>
    <n v="13745.08"/>
    <n v="14585.17"/>
    <n v="10028.99"/>
    <n v="7970.66"/>
    <n v="11208.89"/>
    <n v="15570.05"/>
    <n v="23217.65"/>
    <n v="147503.00000000003"/>
    <n v="-7647.6000000000022"/>
  </r>
  <r>
    <x v="2"/>
    <x v="1"/>
    <x v="0"/>
    <s v="2602200"/>
    <n v="450040"/>
    <s v="Contr Allow--Phys Svcs--BCBS Mgnd Care"/>
    <s v="Ortho/Sport Med-FW Podiatry"/>
    <x v="0"/>
    <n v="1401"/>
    <n v="-4655.22"/>
    <n v="-7501.35"/>
    <n v="-8182.25"/>
    <n v="-5651.28"/>
    <n v="1708.88"/>
    <n v="1094.07"/>
    <n v="12692.85"/>
    <n v="7098.46"/>
    <n v="450.28"/>
    <n v="-12598.36"/>
    <n v="12087.34"/>
    <n v="4448.62"/>
    <n v="992.04000000000178"/>
    <n v="7638.72"/>
  </r>
  <r>
    <x v="2"/>
    <x v="1"/>
    <x v="0"/>
    <s v="2602200"/>
    <n v="450040"/>
    <s v="Admin Adjust-Phys Svcs-Self Pay"/>
    <s v="Ortho/Sport Med-FW Podiatry"/>
    <x v="0"/>
    <n v="1600"/>
    <n v="-865.88"/>
    <n v="41.8"/>
    <n v="380.41"/>
    <n v="5356.89"/>
    <n v="591.72"/>
    <n v="352.82"/>
    <n v="216.26"/>
    <n v="85.43"/>
    <n v="972.36"/>
    <n v="946.91"/>
    <n v="3881.34"/>
    <n v="1632.63"/>
    <n v="13592.690000000002"/>
    <n v="2248.71"/>
  </r>
  <r>
    <x v="2"/>
    <x v="1"/>
    <x v="0"/>
    <s v="2602200"/>
    <n v="450040"/>
    <s v="Contr Allow--Phys Svcs--Other"/>
    <s v="Ortho/Sport Med-FW Podiatry"/>
    <x v="0"/>
    <n v="1700"/>
    <n v="1389.88"/>
    <n v="2340.0300000000002"/>
    <n v="1232.92"/>
    <n v="4174.3599999999997"/>
    <n v="960.33"/>
    <n v="951.39"/>
    <n v="4519.3900000000003"/>
    <n v="5549.98"/>
    <n v="2378.64"/>
    <n v="1544.76"/>
    <n v="1805.6"/>
    <n v="488.86"/>
    <n v="27336.139999999996"/>
    <n v="1316.7399999999998"/>
  </r>
  <r>
    <x v="3"/>
    <x v="1"/>
    <x v="0"/>
    <s v="2602200"/>
    <n v="470040"/>
    <s v="Charity Care-Physician Svcs"/>
    <s v="Ortho/Sport Med-FW Podiatry"/>
    <x v="0"/>
    <m/>
    <n v="550.33000000000004"/>
    <n v="932.7"/>
    <n v="-272.08999999999997"/>
    <n v="682.86"/>
    <n v="9439.16"/>
    <n v="3527.83"/>
    <n v="1253.72"/>
    <n v="474.4"/>
    <n v="1166.57"/>
    <n v="626.41999999999996"/>
    <n v="2233.13"/>
    <n v="1306.52"/>
    <n v="21921.55"/>
    <n v="926.61000000000013"/>
  </r>
  <r>
    <x v="4"/>
    <x v="1"/>
    <x v="0"/>
    <s v="2602200"/>
    <n v="490010"/>
    <s v="Provision for Bad Debts"/>
    <s v="Ortho/Sport Med-FW Podiatry"/>
    <x v="0"/>
    <m/>
    <n v="3278.3"/>
    <n v="1858.93"/>
    <n v="2473.2199999999998"/>
    <n v="-1705.33"/>
    <n v="2795.03"/>
    <n v="-3690.4"/>
    <n v="3450.91"/>
    <n v="-1788.97"/>
    <n v="-192.82"/>
    <n v="-1238.9100000000001"/>
    <n v="1114.53"/>
    <n v="1970.43"/>
    <n v="8324.9200000000019"/>
    <n v="-855.90000000000009"/>
  </r>
  <r>
    <x v="14"/>
    <x v="1"/>
    <x v="0"/>
    <s v="2602200"/>
    <n v="600050"/>
    <s v="Miscellaneous Revenue"/>
    <s v="Ortho/Sport Med-FW Podiatry"/>
    <x v="0"/>
    <m/>
    <n v="-2800"/>
    <n v="-14000"/>
    <n v="-2800"/>
    <n v="-2800"/>
    <n v="-2800"/>
    <n v="-2800"/>
    <n v="-2800"/>
    <n v="0"/>
    <n v="-2800"/>
    <n v="-5600"/>
    <n v="-2800"/>
    <n v="-2800"/>
    <n v="-44800"/>
    <n v="0"/>
  </r>
  <r>
    <x v="5"/>
    <x v="1"/>
    <x v="0"/>
    <s v="2602200"/>
    <n v="700020"/>
    <s v="Salaries-Physician Admin-Other"/>
    <s v="Ortho/Sport Med-FW Podiatry"/>
    <x v="0"/>
    <n v="2000"/>
    <n v="2800"/>
    <n v="14000"/>
    <n v="2800"/>
    <n v="2800"/>
    <n v="2800"/>
    <n v="2800"/>
    <n v="2800"/>
    <n v="0"/>
    <n v="2800"/>
    <n v="5600"/>
    <n v="2800"/>
    <n v="2800"/>
    <n v="44800"/>
    <n v="0"/>
  </r>
  <r>
    <x v="5"/>
    <x v="1"/>
    <x v="0"/>
    <s v="2602200"/>
    <n v="700022"/>
    <s v="Salaries-Physician-Productive"/>
    <s v="Ortho/Sport Med-FW Podiatry"/>
    <x v="0"/>
    <m/>
    <n v="18128.27"/>
    <n v="26984.85"/>
    <n v="20574.400000000001"/>
    <n v="23660.560000000001"/>
    <n v="21004.639999999999"/>
    <n v="19894.560000000001"/>
    <n v="21822.639999999999"/>
    <n v="18690.400000000001"/>
    <n v="19674.740000000002"/>
    <n v="20611.62"/>
    <n v="21708.76"/>
    <n v="18874.91"/>
    <n v="251630.34999999998"/>
    <n v="2833.8499999999985"/>
  </r>
  <r>
    <x v="5"/>
    <x v="1"/>
    <x v="0"/>
    <s v="2602200"/>
    <n v="700032"/>
    <s v="Salaries-Other Pat Care Providers-Productive"/>
    <s v="Ortho/Sport Med-FW Podiatry"/>
    <x v="0"/>
    <m/>
    <n v="4400.2299999999996"/>
    <n v="4784.1499999999996"/>
    <n v="4112.3100000000004"/>
    <n v="4579.59"/>
    <n v="4571.51"/>
    <n v="3716.9"/>
    <n v="4571.68"/>
    <n v="4056.78"/>
    <n v="4353.68"/>
    <n v="4574.1099999999997"/>
    <n v="3919.62"/>
    <n v="3856.13"/>
    <n v="51496.69"/>
    <n v="63.489999999999782"/>
  </r>
  <r>
    <x v="5"/>
    <x v="1"/>
    <x v="0"/>
    <s v="2602200"/>
    <n v="700032"/>
    <s v="Salaries-Other Pat Care Providers-OT"/>
    <s v="Ortho/Sport Med-FW Podiatry"/>
    <x v="0"/>
    <n v="1000"/>
    <n v="12"/>
    <n v="582.86"/>
    <n v="244.95"/>
    <n v="-9.56"/>
    <n v="104.28"/>
    <n v="0"/>
    <n v="40.950000000000003"/>
    <n v="67.569999999999993"/>
    <n v="9.25"/>
    <n v="94.21"/>
    <n v="64.52"/>
    <n v="20.48"/>
    <n v="1231.51"/>
    <n v="44.039999999999992"/>
  </r>
  <r>
    <x v="5"/>
    <x v="1"/>
    <x v="0"/>
    <s v="2602200"/>
    <n v="700062"/>
    <s v="Salaries-Physician-Non-productive"/>
    <s v="Ortho/Sport Med-FW Podiatry"/>
    <x v="0"/>
    <m/>
    <n v="4537.34"/>
    <n v="-756.22"/>
    <n v="0"/>
    <n v="0"/>
    <n v="0"/>
    <n v="0"/>
    <n v="0"/>
    <n v="0"/>
    <n v="0"/>
    <n v="0"/>
    <n v="0"/>
    <n v="0"/>
    <n v="3781.12"/>
    <n v="0"/>
  </r>
  <r>
    <x v="5"/>
    <x v="1"/>
    <x v="0"/>
    <s v="2602200"/>
    <n v="700072"/>
    <s v="Salaries-Other Pat Care Providers-Non-productive"/>
    <s v="Ortho/Sport Med-FW Podiatry"/>
    <x v="0"/>
    <m/>
    <n v="293.26"/>
    <n v="213.28"/>
    <n v="213.28"/>
    <n v="577.03"/>
    <n v="237.18"/>
    <n v="892.76"/>
    <n v="496.89"/>
    <n v="327.60000000000002"/>
    <n v="240.25"/>
    <n v="262.07"/>
    <n v="1048.33"/>
    <n v="546"/>
    <n v="5347.93"/>
    <n v="502.32999999999993"/>
  </r>
  <r>
    <x v="5"/>
    <x v="1"/>
    <x v="0"/>
    <s v="2602200"/>
    <n v="700072"/>
    <s v="Salaries-Other Pat Care Providers-NonProd-Other"/>
    <s v="Ortho/Sport Med-FW Podiatr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02200"/>
    <n v="700084"/>
    <s v="Accrued PTO"/>
    <s v="Ortho/Sport Med-FW Podiatry"/>
    <x v="0"/>
    <m/>
    <n v="276.73"/>
    <n v="392.44"/>
    <n v="377.77"/>
    <n v="260.91000000000003"/>
    <n v="266.88"/>
    <n v="-104.95"/>
    <n v="142.02000000000001"/>
    <n v="251.34"/>
    <n v="354.92"/>
    <n v="363.11"/>
    <n v="-137.66999999999999"/>
    <n v="-173.91"/>
    <n v="2269.59"/>
    <n v="36.240000000000009"/>
  </r>
  <r>
    <x v="6"/>
    <x v="1"/>
    <x v="0"/>
    <s v="2602200"/>
    <n v="713010"/>
    <s v="Benefits-FICA/Medicare"/>
    <s v="Ortho/Sport Med-FW Podiatry"/>
    <x v="0"/>
    <m/>
    <n v="751.63"/>
    <n v="882.52"/>
    <n v="693.53"/>
    <n v="796.29"/>
    <n v="741.01"/>
    <n v="1340.57"/>
    <n v="2207.62"/>
    <n v="1724.53"/>
    <n v="2009.9"/>
    <n v="2308.4299999999998"/>
    <n v="2069.06"/>
    <n v="1079.76"/>
    <n v="16604.849999999999"/>
    <n v="989.3"/>
  </r>
  <r>
    <x v="6"/>
    <x v="1"/>
    <x v="0"/>
    <s v="2602200"/>
    <n v="713090"/>
    <s v="Benefits-Allocated Amounts"/>
    <s v="Ortho/Sport Med-FW Podiatry"/>
    <x v="0"/>
    <m/>
    <n v="0"/>
    <n v="0"/>
    <n v="0"/>
    <n v="0"/>
    <n v="0"/>
    <n v="0"/>
    <n v="0"/>
    <n v="0"/>
    <n v="14615.28"/>
    <n v="1622.42"/>
    <n v="1678.11"/>
    <n v="1627.19"/>
    <n v="19543"/>
    <n v="50.919999999999845"/>
  </r>
  <r>
    <x v="6"/>
    <x v="1"/>
    <x v="0"/>
    <s v="2602200"/>
    <n v="713092"/>
    <s v="Allocated Benefits-Physician"/>
    <s v="Ortho/Sport Med-FW Podiatry"/>
    <x v="0"/>
    <m/>
    <n v="3079.94"/>
    <n v="3443.24"/>
    <n v="2920.31"/>
    <n v="2940.51"/>
    <n v="2932.07"/>
    <n v="2925.09"/>
    <n v="3609.84"/>
    <n v="3265.67"/>
    <n v="-10996.94"/>
    <n v="1567.42"/>
    <n v="1621.21"/>
    <n v="1572.02"/>
    <n v="18880.379999999997"/>
    <n v="49.190000000000055"/>
  </r>
  <r>
    <x v="7"/>
    <x v="1"/>
    <x v="0"/>
    <s v="2602200"/>
    <n v="718077"/>
    <s v="PACS"/>
    <s v="Ortho/Sport Med-FW Podiatry"/>
    <x v="0"/>
    <n v="1000"/>
    <n v="69.75"/>
    <n v="159.75"/>
    <n v="83.25"/>
    <n v="144"/>
    <n v="114.75"/>
    <n v="49.5"/>
    <n v="123.75"/>
    <n v="164.25"/>
    <n v="150.75"/>
    <n v="137.25"/>
    <n v="182.25"/>
    <n v="126"/>
    <n v="1505.25"/>
    <n v="56.25"/>
  </r>
  <r>
    <x v="0"/>
    <x v="1"/>
    <x v="0"/>
    <s v="2602200"/>
    <n v="740022"/>
    <s v="Education-Physician"/>
    <s v="Ortho/Sport Med-FW Podiatry"/>
    <x v="0"/>
    <m/>
    <n v="0"/>
    <n v="0"/>
    <n v="0"/>
    <n v="0"/>
    <n v="0"/>
    <n v="700"/>
    <n v="0"/>
    <n v="0"/>
    <n v="0"/>
    <n v="0"/>
    <n v="0"/>
    <n v="0"/>
    <n v="700"/>
    <n v="0"/>
  </r>
  <r>
    <x v="8"/>
    <x v="1"/>
    <x v="0"/>
    <s v="2602200"/>
    <n v="741012"/>
    <s v="Physician Liab Insurance-CHI Program"/>
    <s v="Ortho/Sport Med-FW Podiatry"/>
    <x v="0"/>
    <m/>
    <n v="1065.75"/>
    <n v="1065.75"/>
    <n v="1065.75"/>
    <n v="1065.75"/>
    <n v="1065.75"/>
    <n v="1065.75"/>
    <n v="1065.75"/>
    <n v="1065.75"/>
    <n v="1065.75"/>
    <n v="1065.75"/>
    <n v="1065.75"/>
    <n v="1065.75"/>
    <n v="12789"/>
    <n v="0"/>
  </r>
  <r>
    <x v="0"/>
    <x v="1"/>
    <x v="0"/>
    <s v="2602200"/>
    <n v="743022"/>
    <s v="Dues-Physician"/>
    <s v="Ortho/Sport Med-FW Podiatry"/>
    <x v="0"/>
    <m/>
    <n v="0"/>
    <n v="0"/>
    <n v="0"/>
    <n v="1635"/>
    <n v="0"/>
    <n v="610"/>
    <n v="0"/>
    <n v="0"/>
    <n v="0"/>
    <n v="0"/>
    <n v="0"/>
    <n v="0"/>
    <n v="2245"/>
    <n v="0"/>
  </r>
  <r>
    <x v="0"/>
    <x v="1"/>
    <x v="0"/>
    <s v="2602200"/>
    <n v="749510"/>
    <s v="Miscellaneous Expenses"/>
    <s v="Ortho/Sport Med-FW Podiatry"/>
    <x v="0"/>
    <m/>
    <n v="0"/>
    <n v="0"/>
    <n v="2353.5"/>
    <n v="-2353.5"/>
    <n v="0"/>
    <n v="2972.29"/>
    <n v="-2972.29"/>
    <n v="0"/>
    <n v="0"/>
    <n v="0"/>
    <n v="0"/>
    <n v="2349"/>
    <n v="2349"/>
    <n v="-2349"/>
  </r>
  <r>
    <x v="0"/>
    <x v="1"/>
    <x v="0"/>
    <s v="2602200"/>
    <n v="749512"/>
    <s v="Licenses-Physician"/>
    <s v="Ortho/Sport Med-FW Podiatry"/>
    <x v="0"/>
    <n v="2000"/>
    <n v="0"/>
    <n v="0"/>
    <n v="0"/>
    <n v="718.5"/>
    <n v="0"/>
    <n v="0"/>
    <n v="0"/>
    <n v="0"/>
    <n v="0"/>
    <n v="0"/>
    <n v="0"/>
    <n v="0"/>
    <n v="718.5"/>
    <n v="0"/>
  </r>
  <r>
    <x v="0"/>
    <x v="1"/>
    <x v="0"/>
    <s v="2602200"/>
    <n v="749532"/>
    <s v="Travel-Physician"/>
    <s v="Ortho/Sport Med-FW Podiatry"/>
    <x v="0"/>
    <m/>
    <n v="0"/>
    <n v="0"/>
    <n v="0"/>
    <n v="0"/>
    <n v="0"/>
    <n v="633.20000000000005"/>
    <n v="1668"/>
    <n v="0"/>
    <n v="0"/>
    <n v="0"/>
    <n v="0"/>
    <n v="0"/>
    <n v="2301.1999999999998"/>
    <n v="0"/>
  </r>
  <r>
    <x v="1"/>
    <x v="1"/>
    <x v="0"/>
    <s v="2603200"/>
    <n v="400040"/>
    <s v="Physician Svcs Rev--Medicare"/>
    <s v="Enumclaw Med &amp; Spec-Psych"/>
    <x v="0"/>
    <n v="1100"/>
    <n v="0"/>
    <n v="-824"/>
    <n v="0"/>
    <n v="-412"/>
    <n v="-1672"/>
    <n v="-3311"/>
    <n v="-3108"/>
    <n v="-2379"/>
    <n v="-4306"/>
    <n v="-747"/>
    <n v="-4390"/>
    <n v="-4149"/>
    <n v="-25298"/>
    <n v="-241"/>
  </r>
  <r>
    <x v="1"/>
    <x v="1"/>
    <x v="0"/>
    <s v="2603200"/>
    <n v="400040"/>
    <s v="Physician Svcs Rev--Medicaid"/>
    <s v="Enumclaw Med &amp; Spec-Psych"/>
    <x v="0"/>
    <n v="1200"/>
    <n v="0"/>
    <n v="-2060"/>
    <n v="-824"/>
    <n v="0"/>
    <n v="-3478"/>
    <n v="-3946"/>
    <n v="-2655"/>
    <n v="-3578"/>
    <n v="-2988"/>
    <n v="-590"/>
    <n v="-2950"/>
    <n v="-3107"/>
    <n v="-26176"/>
    <n v="157"/>
  </r>
  <r>
    <x v="1"/>
    <x v="1"/>
    <x v="0"/>
    <s v="2603200"/>
    <n v="400040"/>
    <s v="Physician Svcs Rev--Comm Insurance"/>
    <s v="Enumclaw Med &amp; Spec-Psych"/>
    <x v="0"/>
    <n v="1300"/>
    <n v="0"/>
    <n v="-412"/>
    <n v="-412"/>
    <n v="0"/>
    <n v="0"/>
    <n v="0"/>
    <n v="-398"/>
    <n v="0"/>
    <n v="-1042"/>
    <n v="-295"/>
    <n v="-590"/>
    <n v="0"/>
    <n v="-3149"/>
    <n v="-590"/>
  </r>
  <r>
    <x v="1"/>
    <x v="1"/>
    <x v="0"/>
    <s v="2603200"/>
    <n v="400040"/>
    <s v="Physician Svcs Rev--BCBS Comm"/>
    <s v="Enumclaw Med &amp; Spec-Psych"/>
    <x v="0"/>
    <n v="1301"/>
    <n v="0"/>
    <n v="-824"/>
    <n v="-824"/>
    <n v="0"/>
    <n v="-239"/>
    <n v="-2315"/>
    <n v="-1632"/>
    <n v="-2693"/>
    <n v="-885"/>
    <n v="-295"/>
    <n v="-1475"/>
    <n v="-1494"/>
    <n v="-12676"/>
    <n v="19"/>
  </r>
  <r>
    <x v="1"/>
    <x v="1"/>
    <x v="0"/>
    <s v="2603200"/>
    <n v="400040"/>
    <s v="Physician Svcs Rev--Managed Care"/>
    <s v="Enumclaw Med &amp; Spec-Psych"/>
    <x v="0"/>
    <n v="1400"/>
    <n v="0"/>
    <n v="-2472"/>
    <n v="-824"/>
    <n v="0"/>
    <n v="-1131"/>
    <n v="-1784"/>
    <n v="-2222"/>
    <n v="-3421"/>
    <n v="-3145"/>
    <n v="-295"/>
    <n v="-5865"/>
    <n v="-4463"/>
    <n v="-25622"/>
    <n v="-1402"/>
  </r>
  <r>
    <x v="1"/>
    <x v="1"/>
    <x v="0"/>
    <s v="2603200"/>
    <n v="400040"/>
    <s v="Physician Svcs Rev--Self Pay"/>
    <s v="Enumclaw Med &amp; Spec-Psych"/>
    <x v="0"/>
    <n v="1500"/>
    <n v="0"/>
    <n v="-412"/>
    <n v="0"/>
    <n v="0"/>
    <n v="0"/>
    <n v="0"/>
    <n v="0"/>
    <n v="-452"/>
    <n v="0"/>
    <n v="0"/>
    <n v="0"/>
    <n v="0"/>
    <n v="-864"/>
    <n v="0"/>
  </r>
  <r>
    <x v="1"/>
    <x v="1"/>
    <x v="0"/>
    <s v="2603200"/>
    <n v="400040"/>
    <s v="Physician Svcs Rev--Other"/>
    <s v="Enumclaw Med &amp; Spec-Psych"/>
    <x v="0"/>
    <n v="1700"/>
    <n v="0"/>
    <n v="-412"/>
    <n v="-412"/>
    <n v="0"/>
    <n v="-595"/>
    <n v="0"/>
    <n v="-295"/>
    <n v="0"/>
    <n v="0"/>
    <n v="0"/>
    <n v="-295"/>
    <n v="-295"/>
    <n v="-2304"/>
    <n v="0"/>
  </r>
  <r>
    <x v="2"/>
    <x v="1"/>
    <x v="0"/>
    <s v="2603200"/>
    <n v="450040"/>
    <s v="Contr Allow--Phys Svcs--Mcare"/>
    <s v="Enumclaw Med &amp; Spec-Psych"/>
    <x v="0"/>
    <n v="1100"/>
    <n v="0"/>
    <n v="-39.619999999999997"/>
    <n v="254.55"/>
    <n v="254.55"/>
    <n v="0"/>
    <n v="0"/>
    <n v="897.93"/>
    <n v="503.28"/>
    <n v="651.53"/>
    <n v="656.88"/>
    <n v="0"/>
    <n v="470.65"/>
    <n v="3649.75"/>
    <n v="-470.65"/>
  </r>
  <r>
    <x v="2"/>
    <x v="1"/>
    <x v="0"/>
    <s v="2603200"/>
    <n v="450040"/>
    <s v="Contr Allow--Phys Svcs--Mcaid"/>
    <s v="Enumclaw Med &amp; Spec-Psych"/>
    <x v="0"/>
    <n v="1200"/>
    <n v="0"/>
    <n v="312.93"/>
    <n v="1585.32"/>
    <n v="0"/>
    <n v="-2188.52"/>
    <n v="908.87"/>
    <n v="6641.97"/>
    <n v="2604.66"/>
    <n v="3356.46"/>
    <n v="511.98"/>
    <n v="883.38"/>
    <n v="2671.24"/>
    <n v="17288.289999999997"/>
    <n v="-1787.8599999999997"/>
  </r>
  <r>
    <x v="2"/>
    <x v="1"/>
    <x v="0"/>
    <s v="2603200"/>
    <n v="450040"/>
    <s v="Contr Allow--Phys Svcs--Comm Insurance"/>
    <s v="Enumclaw Med &amp; Spec-Psych"/>
    <x v="0"/>
    <n v="1300"/>
    <n v="0"/>
    <n v="167.44"/>
    <n v="0"/>
    <n v="163.84"/>
    <n v="0"/>
    <n v="0"/>
    <n v="111.58"/>
    <n v="0"/>
    <n v="0"/>
    <n v="400.59"/>
    <n v="108.69"/>
    <n v="127.86"/>
    <n v="1079.9999999999998"/>
    <n v="-19.170000000000002"/>
  </r>
  <r>
    <x v="2"/>
    <x v="1"/>
    <x v="0"/>
    <s v="2603200"/>
    <n v="450040"/>
    <s v="Contr Allow--Phys Svcs--BCBS Comm Ins"/>
    <s v="Enumclaw Med &amp; Spec-Psych"/>
    <x v="0"/>
    <n v="1301"/>
    <n v="0"/>
    <n v="164.3"/>
    <n v="164.3"/>
    <n v="164.3"/>
    <n v="0"/>
    <n v="0"/>
    <n v="638.74"/>
    <n v="581.49"/>
    <n v="904.31"/>
    <n v="105.02"/>
    <n v="105.02"/>
    <n v="606.49"/>
    <n v="3433.9700000000003"/>
    <n v="-501.47"/>
  </r>
  <r>
    <x v="2"/>
    <x v="1"/>
    <x v="0"/>
    <s v="2603200"/>
    <n v="450040"/>
    <s v="Contr Allow--Phys Svcs--Managed Care"/>
    <s v="Enumclaw Med &amp; Spec-Psych"/>
    <x v="0"/>
    <n v="1400"/>
    <n v="0"/>
    <n v="1112.82"/>
    <n v="201.06"/>
    <n v="236.18"/>
    <n v="0"/>
    <n v="0"/>
    <n v="1794.34"/>
    <n v="507.59"/>
    <n v="1367.53"/>
    <n v="1061.06"/>
    <n v="1278.08"/>
    <n v="1896.03"/>
    <n v="9454.69"/>
    <n v="-617.95000000000005"/>
  </r>
  <r>
    <x v="2"/>
    <x v="1"/>
    <x v="0"/>
    <s v="2603200"/>
    <n v="450040"/>
    <s v="Contr Allow--Phys Svcs--BCBS Mgnd Care"/>
    <s v="Enumclaw Med &amp; Spec-Psych"/>
    <x v="0"/>
    <n v="1401"/>
    <n v="-6.68"/>
    <n v="1924.93"/>
    <n v="-189.17"/>
    <n v="-885.05"/>
    <n v="4821.75"/>
    <n v="5301.68"/>
    <n v="-3036.9"/>
    <n v="2701.45"/>
    <n v="611.15"/>
    <n v="-1783.25"/>
    <n v="6383.61"/>
    <n v="-5287.79"/>
    <n v="10555.729999999996"/>
    <n v="11671.4"/>
  </r>
  <r>
    <x v="2"/>
    <x v="1"/>
    <x v="0"/>
    <s v="2603200"/>
    <n v="450040"/>
    <s v="Prompt Pay Disc-Phys Svcs-Self Pay"/>
    <s v="Enumclaw Med &amp; Spec-Psych"/>
    <x v="0"/>
    <n v="1500"/>
    <n v="0"/>
    <n v="0"/>
    <n v="0"/>
    <n v="341"/>
    <n v="0"/>
    <n v="0"/>
    <n v="0"/>
    <n v="0"/>
    <n v="0"/>
    <n v="0"/>
    <n v="0"/>
    <n v="0"/>
    <n v="341"/>
    <n v="0"/>
  </r>
  <r>
    <x v="2"/>
    <x v="1"/>
    <x v="0"/>
    <s v="2603200"/>
    <n v="450040"/>
    <s v="Admin Adjust-Phys Svcs-Self Pay"/>
    <s v="Enumclaw Med &amp; Spec-Psych"/>
    <x v="0"/>
    <n v="1600"/>
    <n v="0"/>
    <n v="277.77999999999997"/>
    <n v="78.680000000000007"/>
    <n v="0"/>
    <n v="0"/>
    <n v="0"/>
    <n v="0"/>
    <n v="181.12"/>
    <n v="-138.47999999999999"/>
    <n v="0"/>
    <n v="0"/>
    <n v="12300"/>
    <n v="12699.1"/>
    <n v="-12300"/>
  </r>
  <r>
    <x v="2"/>
    <x v="1"/>
    <x v="0"/>
    <s v="2603200"/>
    <n v="450040"/>
    <s v="Contr Allow--Phys Svcs--Other"/>
    <s v="Enumclaw Med &amp; Spec-Psych"/>
    <x v="0"/>
    <n v="1700"/>
    <n v="0"/>
    <n v="0"/>
    <n v="276.14"/>
    <n v="297.93"/>
    <n v="558"/>
    <n v="0"/>
    <n v="0"/>
    <n v="0"/>
    <n v="0"/>
    <n v="0"/>
    <n v="0"/>
    <n v="0"/>
    <n v="1132.07"/>
    <n v="0"/>
  </r>
  <r>
    <x v="3"/>
    <x v="1"/>
    <x v="0"/>
    <s v="2603200"/>
    <n v="470040"/>
    <s v="Charity Care-Physician Svcs"/>
    <s v="Enumclaw Med &amp; Spec-Psych"/>
    <x v="0"/>
    <m/>
    <n v="-4.4800000000000004"/>
    <n v="343.32"/>
    <n v="88.08"/>
    <n v="-31.62"/>
    <n v="176"/>
    <n v="139.61000000000001"/>
    <n v="-69.069999999999993"/>
    <n v="148"/>
    <n v="78.3"/>
    <n v="-57.05"/>
    <n v="128.72999999999999"/>
    <n v="7.54"/>
    <n v="947.3599999999999"/>
    <n v="121.18999999999998"/>
  </r>
  <r>
    <x v="4"/>
    <x v="1"/>
    <x v="0"/>
    <s v="2603200"/>
    <n v="490010"/>
    <s v="Provision for Bad Debts"/>
    <s v="Enumclaw Med &amp; Spec-Psych"/>
    <x v="0"/>
    <m/>
    <n v="-11.23"/>
    <n v="267.47000000000003"/>
    <n v="-180.41"/>
    <n v="-164.83"/>
    <n v="664.6"/>
    <n v="605"/>
    <n v="-1043.06"/>
    <n v="240.07"/>
    <n v="323.91000000000003"/>
    <n v="-257.33999999999997"/>
    <n v="600.25"/>
    <n v="-249.89"/>
    <n v="794.54000000000008"/>
    <n v="850.14"/>
  </r>
  <r>
    <x v="10"/>
    <x v="1"/>
    <x v="0"/>
    <s v="2603200"/>
    <n v="710040"/>
    <s v="Contract Labor-Physician (Locum Tenum)"/>
    <s v="Enumclaw Med &amp; Spec-Psych"/>
    <x v="0"/>
    <m/>
    <n v="0"/>
    <n v="0"/>
    <n v="0"/>
    <n v="0"/>
    <n v="0"/>
    <n v="0"/>
    <n v="0"/>
    <n v="0"/>
    <n v="0"/>
    <n v="0"/>
    <n v="0"/>
    <n v="37887.53"/>
    <n v="37887.53"/>
    <n v="-37887.53"/>
  </r>
  <r>
    <x v="7"/>
    <x v="1"/>
    <x v="0"/>
    <s v="2603200"/>
    <n v="718050"/>
    <s v="Contract Svcs-Other"/>
    <s v="Enumclaw Med &amp; Spec-Psych"/>
    <x v="0"/>
    <m/>
    <n v="1793.76"/>
    <n v="0"/>
    <n v="0"/>
    <n v="5993.75"/>
    <n v="0"/>
    <n v="0"/>
    <n v="0"/>
    <n v="0"/>
    <n v="0"/>
    <n v="0"/>
    <n v="0"/>
    <n v="-7787.51"/>
    <n v="0"/>
    <n v="7787.51"/>
  </r>
  <r>
    <x v="0"/>
    <x v="1"/>
    <x v="0"/>
    <s v="2603200"/>
    <n v="743020"/>
    <s v="Dues--Individual"/>
    <s v="Enumclaw Med &amp; Spec-Psych"/>
    <x v="0"/>
    <m/>
    <n v="0"/>
    <n v="0"/>
    <n v="0"/>
    <n v="0"/>
    <n v="0"/>
    <n v="0"/>
    <n v="0"/>
    <n v="0"/>
    <n v="0"/>
    <n v="520"/>
    <n v="0"/>
    <n v="0"/>
    <n v="520"/>
    <n v="0"/>
  </r>
  <r>
    <x v="0"/>
    <x v="1"/>
    <x v="0"/>
    <s v="2603200"/>
    <n v="749591"/>
    <s v="Other Expense-Intracompany Allocation"/>
    <s v="Enumclaw Med &amp; Spec-Psych"/>
    <x v="0"/>
    <m/>
    <n v="0"/>
    <n v="2507.96"/>
    <n v="1018.51"/>
    <n v="203.74"/>
    <n v="2252.65"/>
    <n v="2846.64"/>
    <n v="2368.25"/>
    <n v="2694.38"/>
    <n v="2577.9499999999998"/>
    <n v="382.03"/>
    <n v="3339.44"/>
    <n v="2591.41"/>
    <n v="22782.959999999999"/>
    <n v="748.0300000000002"/>
  </r>
  <r>
    <x v="1"/>
    <x v="1"/>
    <x v="0"/>
    <s v="2604200"/>
    <n v="400029"/>
    <s v="MD Practice Other Rev--Medicare"/>
    <s v="Cardiothoracic Surgeons"/>
    <x v="0"/>
    <n v="1100"/>
    <n v="-1714"/>
    <n v="-404"/>
    <n v="-2516"/>
    <n v="-2326"/>
    <n v="-2268"/>
    <n v="-958"/>
    <n v="-1681"/>
    <n v="-2334"/>
    <n v="-1812"/>
    <n v="-1850"/>
    <n v="-1772"/>
    <n v="-1088"/>
    <n v="-20723"/>
    <n v="-684"/>
  </r>
  <r>
    <x v="1"/>
    <x v="1"/>
    <x v="0"/>
    <s v="2604200"/>
    <n v="400029"/>
    <s v="MD Practice Other Rev--Medicaid"/>
    <s v="Cardiothoracic Surgeons"/>
    <x v="0"/>
    <n v="1200"/>
    <n v="-958"/>
    <n v="-880"/>
    <n v="352"/>
    <n v="176"/>
    <n v="0"/>
    <n v="-528"/>
    <n v="-352"/>
    <n v="0"/>
    <n v="-228"/>
    <n v="-92"/>
    <n v="-176"/>
    <n v="-216"/>
    <n v="-2902"/>
    <n v="40"/>
  </r>
  <r>
    <x v="1"/>
    <x v="1"/>
    <x v="0"/>
    <s v="2604200"/>
    <n v="400029"/>
    <s v="MD Practice Other Rev--Comm Insurance"/>
    <s v="Cardiothoracic Surgeons"/>
    <x v="0"/>
    <n v="1300"/>
    <n v="0"/>
    <n v="0"/>
    <n v="-228"/>
    <n v="0"/>
    <n v="0"/>
    <n v="0"/>
    <n v="0"/>
    <n v="-176"/>
    <n v="-176"/>
    <n v="0"/>
    <n v="0"/>
    <n v="0"/>
    <n v="-580"/>
    <n v="0"/>
  </r>
  <r>
    <x v="1"/>
    <x v="1"/>
    <x v="0"/>
    <s v="2604200"/>
    <n v="400029"/>
    <s v="MD Practice Other Rev--BCBS Comm"/>
    <s v="Cardiothoracic Surgeons"/>
    <x v="0"/>
    <n v="1301"/>
    <n v="-78"/>
    <n v="-430"/>
    <n v="-176"/>
    <n v="0"/>
    <n v="-78"/>
    <n v="-78"/>
    <n v="-156"/>
    <n v="-78"/>
    <n v="-176"/>
    <n v="-78"/>
    <n v="0"/>
    <n v="0"/>
    <n v="-1328"/>
    <n v="0"/>
  </r>
  <r>
    <x v="1"/>
    <x v="1"/>
    <x v="0"/>
    <s v="2604200"/>
    <n v="400029"/>
    <s v="MD Practice Other Rev--Managed Care"/>
    <s v="Cardiothoracic Surgeons"/>
    <x v="0"/>
    <n v="1400"/>
    <n v="176"/>
    <n v="-352"/>
    <n v="-156"/>
    <n v="-958"/>
    <n v="-352"/>
    <n v="-228"/>
    <n v="-352"/>
    <n v="-508"/>
    <n v="0"/>
    <n v="-658"/>
    <n v="0"/>
    <n v="-880"/>
    <n v="-4268"/>
    <n v="880"/>
  </r>
  <r>
    <x v="1"/>
    <x v="1"/>
    <x v="0"/>
    <s v="2604200"/>
    <n v="400029"/>
    <s v="MD Practice Other Rev--Self Pay"/>
    <s v="Cardiothoracic Surgeons"/>
    <x v="0"/>
    <n v="1500"/>
    <n v="176"/>
    <n v="0"/>
    <n v="0"/>
    <n v="0"/>
    <n v="0"/>
    <n v="0"/>
    <n v="0"/>
    <n v="0"/>
    <n v="0"/>
    <n v="-78"/>
    <n v="-176"/>
    <n v="-176"/>
    <n v="-254"/>
    <n v="0"/>
  </r>
  <r>
    <x v="1"/>
    <x v="1"/>
    <x v="0"/>
    <s v="2604200"/>
    <n v="400029"/>
    <s v="MD Practice Other Rev--Other"/>
    <s v="Cardiothoracic Surgeons"/>
    <x v="0"/>
    <n v="1700"/>
    <n v="174"/>
    <n v="0"/>
    <n v="-52"/>
    <n v="-176"/>
    <n v="0"/>
    <n v="-352"/>
    <n v="-176"/>
    <n v="0"/>
    <n v="0"/>
    <n v="-352"/>
    <n v="0"/>
    <n v="0"/>
    <n v="-934"/>
    <n v="0"/>
  </r>
  <r>
    <x v="1"/>
    <x v="1"/>
    <x v="0"/>
    <s v="2604200"/>
    <n v="400040"/>
    <s v="Physician Svcs Rev--Medicare"/>
    <s v="Cardiothoracic Surgeons"/>
    <x v="0"/>
    <n v="1100"/>
    <n v="-658919.4"/>
    <n v="-575567"/>
    <n v="-593516.75"/>
    <n v="-705243"/>
    <n v="-493546"/>
    <n v="-658971"/>
    <n v="-601995.5"/>
    <n v="-715554"/>
    <n v="-655115.6"/>
    <n v="-667860"/>
    <n v="-750323.5"/>
    <n v="-452025.5"/>
    <n v="-7528637.25"/>
    <n v="-298298"/>
  </r>
  <r>
    <x v="1"/>
    <x v="1"/>
    <x v="0"/>
    <s v="2604200"/>
    <n v="400040"/>
    <s v="Physician Svcs Rev--Medicaid"/>
    <s v="Cardiothoracic Surgeons"/>
    <x v="0"/>
    <n v="1200"/>
    <n v="-133283"/>
    <n v="-204560.75"/>
    <n v="-64400"/>
    <n v="-97777"/>
    <n v="-94628"/>
    <n v="-106446"/>
    <n v="-67203.5"/>
    <n v="-56755.5"/>
    <n v="-118013.25"/>
    <n v="-81834"/>
    <n v="-145876.5"/>
    <n v="-145461"/>
    <n v="-1316238.5"/>
    <n v="-415.5"/>
  </r>
  <r>
    <x v="1"/>
    <x v="1"/>
    <x v="0"/>
    <s v="2604200"/>
    <n v="400040"/>
    <s v="Physician Svcs Rev--Comm Insurance"/>
    <s v="Cardiothoracic Surgeons"/>
    <x v="0"/>
    <n v="1300"/>
    <n v="-25856"/>
    <n v="-14767"/>
    <n v="-41711"/>
    <n v="-6317"/>
    <n v="-1106"/>
    <n v="-28319"/>
    <n v="-21099"/>
    <n v="-61507"/>
    <n v="-70324"/>
    <n v="-24953"/>
    <n v="-12579"/>
    <n v="-18891"/>
    <n v="-327429"/>
    <n v="6312"/>
  </r>
  <r>
    <x v="1"/>
    <x v="1"/>
    <x v="0"/>
    <s v="2604200"/>
    <n v="400040"/>
    <s v="Physician Svcs Rev--BCBS Comm"/>
    <s v="Cardiothoracic Surgeons"/>
    <x v="0"/>
    <n v="1301"/>
    <n v="-10885"/>
    <n v="-46620"/>
    <n v="-53895"/>
    <n v="-2931"/>
    <n v="-71672"/>
    <n v="-29846"/>
    <n v="-35623"/>
    <n v="-46237"/>
    <n v="-43321"/>
    <n v="-6548"/>
    <n v="-27099"/>
    <n v="-15139"/>
    <n v="-389816"/>
    <n v="-11960"/>
  </r>
  <r>
    <x v="1"/>
    <x v="1"/>
    <x v="0"/>
    <s v="2604200"/>
    <n v="400040"/>
    <s v="Physician Svcs Rev--Managed Care"/>
    <s v="Cardiothoracic Surgeons"/>
    <x v="0"/>
    <n v="1400"/>
    <n v="-124524"/>
    <n v="-266563"/>
    <n v="-335359"/>
    <n v="-361822"/>
    <n v="-193726.75"/>
    <n v="-244756"/>
    <n v="-261458.25"/>
    <n v="-253729"/>
    <n v="-235479"/>
    <n v="-348587"/>
    <n v="-299620"/>
    <n v="-414906.3"/>
    <n v="-3340530.3"/>
    <n v="115286.29999999999"/>
  </r>
  <r>
    <x v="1"/>
    <x v="1"/>
    <x v="0"/>
    <s v="2604200"/>
    <n v="400040"/>
    <s v="Physician Svcs Rev--Self Pay"/>
    <s v="Cardiothoracic Surgeons"/>
    <x v="0"/>
    <n v="1500"/>
    <n v="8145"/>
    <n v="-3384"/>
    <n v="-7315"/>
    <n v="-11913"/>
    <n v="-4967"/>
    <n v="-27787"/>
    <n v="-10388"/>
    <n v="-13136.25"/>
    <n v="5960.25"/>
    <n v="-6226"/>
    <n v="-57606"/>
    <n v="-10333"/>
    <n v="-138950"/>
    <n v="-47273"/>
  </r>
  <r>
    <x v="1"/>
    <x v="1"/>
    <x v="0"/>
    <s v="2604200"/>
    <n v="400040"/>
    <s v="Physician Svcs Rev--Other"/>
    <s v="Cardiothoracic Surgeons"/>
    <x v="0"/>
    <n v="1700"/>
    <n v="-39740"/>
    <n v="-20203"/>
    <n v="-71978"/>
    <n v="-31787"/>
    <n v="-46824"/>
    <n v="-140651"/>
    <n v="-108977"/>
    <n v="-131035"/>
    <n v="-1301"/>
    <n v="-34220"/>
    <n v="-27873"/>
    <n v="-49457"/>
    <n v="-704046"/>
    <n v="21584"/>
  </r>
  <r>
    <x v="2"/>
    <x v="1"/>
    <x v="0"/>
    <s v="2604200"/>
    <n v="450029"/>
    <s v="Contr Allow--MD Other-Medicare"/>
    <s v="Cardiothoracic Surgeons"/>
    <x v="0"/>
    <n v="1100"/>
    <n v="2071.98"/>
    <n v="886.03"/>
    <n v="1321.96"/>
    <n v="1033.4100000000001"/>
    <n v="1763.29"/>
    <n v="724.05"/>
    <n v="851.43"/>
    <n v="774.06"/>
    <n v="987.65"/>
    <n v="2504.34"/>
    <n v="979.76"/>
    <n v="1209.92"/>
    <n v="15107.88"/>
    <n v="-230.16000000000008"/>
  </r>
  <r>
    <x v="2"/>
    <x v="1"/>
    <x v="0"/>
    <s v="2604200"/>
    <n v="450029"/>
    <s v="Contr Allow--MD Other-Medicaid"/>
    <s v="Cardiothoracic Surgeons"/>
    <x v="0"/>
    <n v="1200"/>
    <n v="335.28"/>
    <n v="1150.8499999999999"/>
    <n v="-9.99"/>
    <n v="268.7"/>
    <n v="0"/>
    <n v="275.23"/>
    <n v="408.01"/>
    <n v="1.1599999999999999"/>
    <n v="138.15"/>
    <n v="133.77000000000001"/>
    <n v="134.93"/>
    <n v="39.71"/>
    <n v="2875.7999999999997"/>
    <n v="95.22"/>
  </r>
  <r>
    <x v="2"/>
    <x v="1"/>
    <x v="0"/>
    <s v="2604200"/>
    <n v="450029"/>
    <s v="Contr Allow--MD Other-Comm Insurance"/>
    <s v="Cardiothoracic Surgeons"/>
    <x v="0"/>
    <n v="1300"/>
    <n v="0"/>
    <n v="0"/>
    <n v="0"/>
    <n v="75.459999999999994"/>
    <n v="0"/>
    <n v="0"/>
    <n v="0"/>
    <n v="0"/>
    <n v="75.459999999999994"/>
    <n v="0"/>
    <n v="0"/>
    <n v="0"/>
    <n v="150.91999999999999"/>
    <n v="0"/>
  </r>
  <r>
    <x v="2"/>
    <x v="1"/>
    <x v="0"/>
    <s v="2604200"/>
    <n v="450029"/>
    <s v="Contr Allow--MD Other BCBS Comm"/>
    <s v="Cardiothoracic Surgeons"/>
    <x v="0"/>
    <n v="1301"/>
    <n v="21"/>
    <n v="122.27"/>
    <n v="68.040000000000006"/>
    <n v="0"/>
    <n v="66.22"/>
    <n v="0"/>
    <n v="19.18"/>
    <n v="38.36"/>
    <n v="19.18"/>
    <n v="42.93"/>
    <n v="19.18"/>
    <n v="0"/>
    <n v="416.36"/>
    <n v="19.18"/>
  </r>
  <r>
    <x v="2"/>
    <x v="1"/>
    <x v="0"/>
    <s v="2604200"/>
    <n v="450029"/>
    <s v="Contr Allow--MD Other-Managed Care"/>
    <s v="Cardiothoracic Surgeons"/>
    <x v="0"/>
    <n v="1400"/>
    <n v="140.46"/>
    <n v="58.98"/>
    <n v="67.349999999999994"/>
    <n v="113.41"/>
    <n v="412.94"/>
    <n v="167.68"/>
    <n v="0"/>
    <n v="248.91"/>
    <n v="27.03"/>
    <n v="89.45"/>
    <n v="127.91"/>
    <n v="64.92"/>
    <n v="1519.0400000000002"/>
    <n v="62.989999999999995"/>
  </r>
  <r>
    <x v="2"/>
    <x v="1"/>
    <x v="0"/>
    <s v="2604200"/>
    <n v="450029"/>
    <s v="Admin Adjust-MD Other-Self Pay"/>
    <s v="Cardiothoracic Surgeons"/>
    <x v="0"/>
    <n v="1600"/>
    <n v="-65.12"/>
    <n v="18"/>
    <n v="0.04"/>
    <n v="0"/>
    <n v="0"/>
    <n v="0"/>
    <n v="0"/>
    <n v="0"/>
    <n v="0"/>
    <n v="28.86"/>
    <n v="65.12"/>
    <n v="65.12"/>
    <n v="112.02000000000001"/>
    <n v="0"/>
  </r>
  <r>
    <x v="2"/>
    <x v="1"/>
    <x v="0"/>
    <s v="2604200"/>
    <n v="450029"/>
    <s v="Contr Allow--MD Other-Other"/>
    <s v="Cardiothoracic Surgeons"/>
    <x v="0"/>
    <n v="1700"/>
    <n v="780.47"/>
    <n v="0"/>
    <n v="0"/>
    <n v="372.2"/>
    <n v="0"/>
    <n v="111.59"/>
    <n v="111.46"/>
    <n v="0"/>
    <n v="0"/>
    <n v="111.46"/>
    <n v="111.46"/>
    <n v="111.39"/>
    <n v="1710.0300000000002"/>
    <n v="6.9999999999993179E-2"/>
  </r>
  <r>
    <x v="2"/>
    <x v="1"/>
    <x v="0"/>
    <s v="2604200"/>
    <n v="450040"/>
    <s v="Contr Allow--Phys Svcs--Mcare"/>
    <s v="Cardiothoracic Surgeons"/>
    <x v="0"/>
    <n v="1100"/>
    <n v="467814.66"/>
    <n v="526056.95999999996"/>
    <n v="381384.75"/>
    <n v="501884.11"/>
    <n v="453480.2"/>
    <n v="392165.23"/>
    <n v="401785.26"/>
    <n v="442073.21"/>
    <n v="489728.63"/>
    <n v="655799.22"/>
    <n v="495150.02"/>
    <n v="484031.21"/>
    <n v="5691353.46"/>
    <n v="11118.809999999998"/>
  </r>
  <r>
    <x v="2"/>
    <x v="1"/>
    <x v="0"/>
    <s v="2604200"/>
    <n v="450040"/>
    <s v="Contr Allow--Phys Svcs--Mcaid"/>
    <s v="Cardiothoracic Surgeons"/>
    <x v="0"/>
    <n v="1200"/>
    <n v="148822.03"/>
    <n v="191818.42"/>
    <n v="92132.45"/>
    <n v="99800.15"/>
    <n v="48421.75"/>
    <n v="85949.73"/>
    <n v="87228.29"/>
    <n v="39275.410000000003"/>
    <n v="80786.759999999995"/>
    <n v="104000.76"/>
    <n v="102665.05"/>
    <n v="102604.69"/>
    <n v="1183505.49"/>
    <n v="60.360000000000582"/>
  </r>
  <r>
    <x v="2"/>
    <x v="1"/>
    <x v="0"/>
    <s v="2604200"/>
    <n v="450040"/>
    <s v="Contr Allow--Phys Svcs--Comm Insurance"/>
    <s v="Cardiothoracic Surgeons"/>
    <x v="0"/>
    <n v="1300"/>
    <n v="22429.11"/>
    <n v="2572.0700000000002"/>
    <n v="12290.17"/>
    <n v="10799.66"/>
    <n v="5428.77"/>
    <n v="9492.59"/>
    <n v="15335.45"/>
    <n v="1211.04"/>
    <n v="17035.79"/>
    <n v="31046.26"/>
    <n v="6886.95"/>
    <n v="22634.15"/>
    <n v="157162.00999999998"/>
    <n v="-15747.2"/>
  </r>
  <r>
    <x v="2"/>
    <x v="1"/>
    <x v="0"/>
    <s v="2604200"/>
    <n v="450040"/>
    <s v="Contr Allow--Phys Svcs--BCBS Comm Ins"/>
    <s v="Cardiothoracic Surgeons"/>
    <x v="0"/>
    <n v="1301"/>
    <n v="24791.63"/>
    <n v="10604.33"/>
    <n v="19806.2"/>
    <n v="18092.03"/>
    <n v="31624.799999999999"/>
    <n v="14040.42"/>
    <n v="12305.59"/>
    <n v="27278.15"/>
    <n v="37449.57"/>
    <n v="22482.23"/>
    <n v="1007.9"/>
    <n v="18893.37"/>
    <n v="238376.22"/>
    <n v="-17885.469999999998"/>
  </r>
  <r>
    <x v="2"/>
    <x v="1"/>
    <x v="0"/>
    <s v="2604200"/>
    <n v="450040"/>
    <s v="Contr Allow--Phys Svcs--Managed Care"/>
    <s v="Cardiothoracic Surgeons"/>
    <x v="0"/>
    <n v="1400"/>
    <n v="161863.1"/>
    <n v="158519.17000000001"/>
    <n v="112758.21"/>
    <n v="231374.11"/>
    <n v="241316.89"/>
    <n v="116781.87"/>
    <n v="121276.36"/>
    <n v="155011.34"/>
    <n v="174622.9"/>
    <n v="129555.84"/>
    <n v="218313.07"/>
    <n v="222272.64000000001"/>
    <n v="2043665.5000000005"/>
    <n v="-3959.570000000007"/>
  </r>
  <r>
    <x v="2"/>
    <x v="1"/>
    <x v="0"/>
    <s v="2604200"/>
    <n v="450040"/>
    <s v="Contr Allow--Phys Svcs--BCBS Mgnd Care"/>
    <s v="Cardiothoracic Surgeons"/>
    <x v="0"/>
    <n v="1401"/>
    <n v="-106023.03"/>
    <n v="-36199.24"/>
    <n v="119839.51"/>
    <n v="-18976.11"/>
    <n v="-116534.94"/>
    <n v="177400.59"/>
    <n v="84794.55"/>
    <n v="173646.89"/>
    <n v="3302.2"/>
    <n v="-127358.83"/>
    <n v="74488.66"/>
    <n v="-142347.82"/>
    <n v="86032.430000000022"/>
    <n v="216836.48000000001"/>
  </r>
  <r>
    <x v="2"/>
    <x v="1"/>
    <x v="0"/>
    <s v="2604200"/>
    <n v="450040"/>
    <s v="Prompt Pay Disc-Phys Svcs-Self Pay"/>
    <s v="Cardiothoracic Surgeons"/>
    <x v="0"/>
    <n v="1500"/>
    <n v="0"/>
    <n v="0"/>
    <n v="0"/>
    <n v="0"/>
    <n v="237.01"/>
    <n v="0"/>
    <n v="-237.01"/>
    <n v="0"/>
    <n v="134.94999999999999"/>
    <n v="0"/>
    <n v="7885.96"/>
    <n v="0"/>
    <n v="8020.91"/>
    <n v="7885.96"/>
  </r>
  <r>
    <x v="2"/>
    <x v="1"/>
    <x v="0"/>
    <s v="2604200"/>
    <n v="450040"/>
    <s v="Admin Adjust-Phys Svcs-Self Pay"/>
    <s v="Cardiothoracic Surgeons"/>
    <x v="0"/>
    <n v="1600"/>
    <n v="-3269.85"/>
    <n v="2748.42"/>
    <n v="3729.92"/>
    <n v="9593.9"/>
    <n v="2223.67"/>
    <n v="10261.4"/>
    <n v="-4795.9399999999996"/>
    <n v="4621.38"/>
    <n v="-2606.7399999999998"/>
    <n v="730.01"/>
    <n v="31631.94"/>
    <n v="131574.34"/>
    <n v="186442.45"/>
    <n v="-99942.399999999994"/>
  </r>
  <r>
    <x v="2"/>
    <x v="1"/>
    <x v="0"/>
    <s v="2604200"/>
    <n v="450040"/>
    <s v="Contr Allow--Phys Svcs--Other"/>
    <s v="Cardiothoracic Surgeons"/>
    <x v="0"/>
    <n v="1700"/>
    <n v="36193.15"/>
    <n v="8593.17"/>
    <n v="42094.86"/>
    <n v="74955.17"/>
    <n v="12963.11"/>
    <n v="46166.83"/>
    <n v="83616.789999999994"/>
    <n v="44075.95"/>
    <n v="43689.61"/>
    <n v="57977.14"/>
    <n v="28384.44"/>
    <n v="27298.41"/>
    <n v="506008.62999999995"/>
    <n v="1086.0299999999988"/>
  </r>
  <r>
    <x v="3"/>
    <x v="1"/>
    <x v="0"/>
    <s v="2604200"/>
    <n v="470040"/>
    <s v="Charity Care-Physician Svcs"/>
    <s v="Cardiothoracic Surgeons"/>
    <x v="0"/>
    <m/>
    <n v="-2040.78"/>
    <n v="8067.44"/>
    <n v="7273.39"/>
    <n v="4395.62"/>
    <n v="-2181.2399999999998"/>
    <n v="3333.48"/>
    <n v="4866.6400000000003"/>
    <n v="3258.88"/>
    <n v="18844.88"/>
    <n v="-2772.16"/>
    <n v="3647.92"/>
    <n v="18478.82"/>
    <n v="65172.889999999992"/>
    <n v="-14830.9"/>
  </r>
  <r>
    <x v="4"/>
    <x v="1"/>
    <x v="0"/>
    <s v="2604200"/>
    <n v="490010"/>
    <s v="Provision for Bad Debts"/>
    <s v="Cardiothoracic Surgeons"/>
    <x v="0"/>
    <m/>
    <n v="-15989.36"/>
    <n v="3666.41"/>
    <n v="44830.6"/>
    <n v="-22824.41"/>
    <n v="7271.73"/>
    <n v="19584.54"/>
    <n v="76.09"/>
    <n v="10069.31"/>
    <n v="6211.51"/>
    <n v="-13438.91"/>
    <n v="13711.13"/>
    <n v="-8619.8799999999992"/>
    <n v="44548.759999999995"/>
    <n v="22331.01"/>
  </r>
  <r>
    <x v="14"/>
    <x v="1"/>
    <x v="0"/>
    <s v="2604200"/>
    <n v="600050"/>
    <s v="Miscellaneous Revenue"/>
    <s v="Cardiothoracic Surgeons"/>
    <x v="0"/>
    <m/>
    <n v="-19565"/>
    <n v="-20630"/>
    <n v="-22769.73"/>
    <n v="-35678.68"/>
    <n v="-19886.36"/>
    <n v="-27370"/>
    <n v="-15225"/>
    <n v="-31379"/>
    <n v="-29220"/>
    <n v="-19280"/>
    <n v="-19990"/>
    <n v="-40812.300000000003"/>
    <n v="-301806.07"/>
    <n v="20822.300000000003"/>
  </r>
  <r>
    <x v="5"/>
    <x v="1"/>
    <x v="0"/>
    <s v="2604200"/>
    <n v="700020"/>
    <s v="Salaries-Physician Admin-Other"/>
    <s v="Cardiothoracic Surgeons"/>
    <x v="0"/>
    <n v="2000"/>
    <n v="4340"/>
    <n v="1540"/>
    <n v="1820"/>
    <n v="9940"/>
    <n v="1400"/>
    <n v="4270"/>
    <n v="0"/>
    <n v="10850"/>
    <n v="2800"/>
    <n v="3850"/>
    <n v="0"/>
    <n v="2800"/>
    <n v="43610"/>
    <n v="-2800"/>
  </r>
  <r>
    <x v="5"/>
    <x v="1"/>
    <x v="0"/>
    <s v="2604200"/>
    <n v="700022"/>
    <s v="Salaries-Physician-Productive"/>
    <s v="Cardiothoracic Surgeons"/>
    <x v="0"/>
    <m/>
    <n v="270133.89"/>
    <n v="286080.78999999998"/>
    <n v="377880.2"/>
    <n v="288246.74"/>
    <n v="366685.34"/>
    <n v="332983.76"/>
    <n v="318277.75"/>
    <n v="284938.71999999997"/>
    <n v="294114.65000000002"/>
    <n v="309400.59999999998"/>
    <n v="326184.40000000002"/>
    <n v="296455.02"/>
    <n v="3751381.8599999994"/>
    <n v="29729.380000000005"/>
  </r>
  <r>
    <x v="5"/>
    <x v="1"/>
    <x v="0"/>
    <s v="2604200"/>
    <n v="700022"/>
    <s v="Salaries-Physician-Other"/>
    <s v="Cardiothoracic Surgeons"/>
    <x v="0"/>
    <n v="2000"/>
    <n v="2115.38"/>
    <n v="6601.55"/>
    <n v="5918.08"/>
    <n v="6206.54"/>
    <n v="-1484.61"/>
    <n v="2019.23"/>
    <n v="2214.92"/>
    <n v="10638.8"/>
    <n v="9612.66"/>
    <n v="3595.38"/>
    <n v="7501.55"/>
    <n v="7323.08"/>
    <n v="62262.560000000005"/>
    <n v="178.47000000000025"/>
  </r>
  <r>
    <x v="5"/>
    <x v="1"/>
    <x v="0"/>
    <s v="2604200"/>
    <n v="700022"/>
    <s v="Salaries-Physician-Provider Incentive"/>
    <s v="Cardiothoracic Surgeons"/>
    <x v="0"/>
    <n v="4003"/>
    <n v="22798.32"/>
    <n v="22798.32"/>
    <n v="20084"/>
    <n v="20084"/>
    <n v="20084"/>
    <n v="30126"/>
    <n v="20119.32"/>
    <n v="20106.5"/>
    <n v="20080.099999999999"/>
    <n v="20084"/>
    <n v="20084"/>
    <n v="30126"/>
    <n v="266574.56000000006"/>
    <n v="-10042"/>
  </r>
  <r>
    <x v="5"/>
    <x v="1"/>
    <x v="0"/>
    <s v="2604200"/>
    <n v="700024"/>
    <s v="Salaries-Advanced Practice Clinician-Productive"/>
    <s v="Cardiothoracic Surgeons"/>
    <x v="0"/>
    <m/>
    <n v="66863.429999999993"/>
    <n v="84354.82"/>
    <n v="85569.5"/>
    <n v="112619.9"/>
    <n v="119119.77"/>
    <n v="110254.13"/>
    <n v="116288.95"/>
    <n v="103595.54"/>
    <n v="104973.67"/>
    <n v="113380.21"/>
    <n v="95853.19"/>
    <n v="102438.13"/>
    <n v="1215311.2400000002"/>
    <n v="-6584.9400000000023"/>
  </r>
  <r>
    <x v="5"/>
    <x v="1"/>
    <x v="0"/>
    <s v="2604200"/>
    <n v="700024"/>
    <s v="Salaries-Advanced Practice Clinician-Other"/>
    <s v="Cardiothoracic Surgeons"/>
    <x v="0"/>
    <n v="2000"/>
    <n v="15225"/>
    <n v="28259.599999999999"/>
    <n v="28034.6"/>
    <n v="15450"/>
    <n v="22050"/>
    <n v="23100"/>
    <n v="34329.75"/>
    <n v="27221.25"/>
    <n v="12543.83"/>
    <n v="28230.45"/>
    <n v="28663.360000000001"/>
    <n v="48473.51"/>
    <n v="311581.35000000003"/>
    <n v="-19810.150000000001"/>
  </r>
  <r>
    <x v="5"/>
    <x v="1"/>
    <x v="0"/>
    <s v="2604200"/>
    <n v="700024"/>
    <s v="Salaries-Advanced Practice Clinician-Provider Incentive"/>
    <s v="Cardiothoracic Surgeons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604200"/>
    <n v="700026"/>
    <s v="Salaries-RN-Productive"/>
    <s v="Cardiothoracic Surgeons"/>
    <x v="0"/>
    <m/>
    <n v="31594.17"/>
    <n v="34197.980000000003"/>
    <n v="30059.91"/>
    <n v="37249.78"/>
    <n v="39926.519999999997"/>
    <n v="31476.45"/>
    <n v="37807.339999999997"/>
    <n v="37148.160000000003"/>
    <n v="37033.699999999997"/>
    <n v="40599.47"/>
    <n v="41086.75"/>
    <n v="35397.89"/>
    <n v="433578.12"/>
    <n v="5688.8600000000006"/>
  </r>
  <r>
    <x v="5"/>
    <x v="1"/>
    <x v="0"/>
    <s v="2604200"/>
    <n v="700032"/>
    <s v="Salaries-Other Pat Care Providers-Productive"/>
    <s v="Cardiothoracic Surgeons"/>
    <x v="0"/>
    <m/>
    <n v="8713.35"/>
    <n v="8548.23"/>
    <n v="9373.19"/>
    <n v="6064.56"/>
    <n v="6237.12"/>
    <n v="6335.86"/>
    <n v="7380.83"/>
    <n v="5584.81"/>
    <n v="6612.99"/>
    <n v="6070.65"/>
    <n v="3079.53"/>
    <n v="6726.89"/>
    <n v="80728.009999999995"/>
    <n v="-3647.36"/>
  </r>
  <r>
    <x v="5"/>
    <x v="1"/>
    <x v="0"/>
    <s v="2604200"/>
    <n v="700032"/>
    <s v="Salaries-Other Pat Care Providers-OT"/>
    <s v="Cardiothoracic Surgeons"/>
    <x v="0"/>
    <n v="1000"/>
    <n v="8.6199999999999992"/>
    <n v="37.659999999999997"/>
    <n v="17.68"/>
    <n v="6.77"/>
    <n v="0"/>
    <n v="567.97"/>
    <n v="64.14"/>
    <n v="9.58"/>
    <n v="37.53"/>
    <n v="64.44"/>
    <n v="-12.89"/>
    <n v="7"/>
    <n v="808.50000000000011"/>
    <n v="-19.89"/>
  </r>
  <r>
    <x v="5"/>
    <x v="1"/>
    <x v="0"/>
    <s v="2604200"/>
    <n v="700032"/>
    <s v="Salaries-Other Pat Care Providers-Other"/>
    <s v="Cardiothoracic Surgeons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604200"/>
    <n v="700062"/>
    <s v="Salaries-Physician-Non-productive"/>
    <s v="Cardiothoracic Surgeons"/>
    <x v="0"/>
    <m/>
    <n v="-32981.24"/>
    <n v="-63804.46"/>
    <n v="-50000"/>
    <n v="-50000"/>
    <n v="-50000"/>
    <n v="-28742.44"/>
    <n v="0"/>
    <n v="0"/>
    <n v="0"/>
    <n v="0"/>
    <n v="0"/>
    <n v="30000"/>
    <n v="-245528.14"/>
    <n v="-30000"/>
  </r>
  <r>
    <x v="5"/>
    <x v="1"/>
    <x v="0"/>
    <s v="2604200"/>
    <n v="700062"/>
    <s v="Salaries-Physician-NonProd-Other"/>
    <s v="Cardiothoracic Surgeons"/>
    <x v="0"/>
    <n v="2000"/>
    <n v="0"/>
    <n v="0"/>
    <n v="0"/>
    <n v="0"/>
    <n v="815.47"/>
    <n v="1010.82"/>
    <n v="0"/>
    <n v="-1826.29"/>
    <n v="0"/>
    <n v="0"/>
    <n v="0"/>
    <n v="0"/>
    <n v="0"/>
    <n v="0"/>
  </r>
  <r>
    <x v="5"/>
    <x v="1"/>
    <x v="0"/>
    <s v="2604200"/>
    <n v="700064"/>
    <s v="Salaries-Advanced Practice Clinician-Non-Productive"/>
    <s v="Cardiothoracic Surgeons"/>
    <x v="0"/>
    <m/>
    <n v="23756.25"/>
    <n v="15611.25"/>
    <n v="1357.5"/>
    <n v="449.2"/>
    <n v="3011.82"/>
    <n v="3036.76"/>
    <n v="3022.39"/>
    <n v="2979.01"/>
    <n v="2993.64"/>
    <n v="2970.52"/>
    <n v="20271.84"/>
    <n v="3560.81"/>
    <n v="83020.989999999991"/>
    <n v="16711.03"/>
  </r>
  <r>
    <x v="5"/>
    <x v="1"/>
    <x v="0"/>
    <s v="2604200"/>
    <n v="700064"/>
    <s v="Salaries-Advanced Practice Clinician-Non-Prod-Other"/>
    <s v="Cardiothoracic Surgeons"/>
    <x v="0"/>
    <n v="2000"/>
    <n v="0"/>
    <n v="0"/>
    <n v="0"/>
    <n v="0"/>
    <n v="2123.34"/>
    <n v="4246.68"/>
    <n v="0"/>
    <n v="-6370.02"/>
    <n v="0"/>
    <n v="0"/>
    <n v="0"/>
    <n v="-1081.69"/>
    <n v="-1081.69"/>
    <n v="1081.69"/>
  </r>
  <r>
    <x v="5"/>
    <x v="1"/>
    <x v="0"/>
    <s v="2604200"/>
    <n v="700066"/>
    <s v="Salaries-RN-Non-productive"/>
    <s v="Cardiothoracic Surgeons"/>
    <x v="0"/>
    <m/>
    <n v="3679.83"/>
    <n v="5582.22"/>
    <n v="4136.05"/>
    <n v="273.79000000000002"/>
    <n v="0"/>
    <n v="5743.71"/>
    <n v="1007.28"/>
    <n v="3950.1"/>
    <n v="7042.82"/>
    <n v="3104.1"/>
    <n v="6295.93"/>
    <n v="4643"/>
    <n v="45458.829999999994"/>
    <n v="1652.9300000000003"/>
  </r>
  <r>
    <x v="5"/>
    <x v="1"/>
    <x v="0"/>
    <s v="2604200"/>
    <n v="700066"/>
    <s v="Salaries-RN-NonProd-Other"/>
    <s v="Cardiothoracic Surgeons"/>
    <x v="0"/>
    <n v="2000"/>
    <n v="0"/>
    <n v="0"/>
    <n v="0"/>
    <n v="0"/>
    <n v="438.37"/>
    <n v="0"/>
    <n v="0"/>
    <n v="-438.37"/>
    <n v="0"/>
    <n v="0"/>
    <n v="0"/>
    <n v="0"/>
    <n v="0"/>
    <n v="0"/>
  </r>
  <r>
    <x v="5"/>
    <x v="1"/>
    <x v="0"/>
    <s v="2604200"/>
    <n v="700072"/>
    <s v="Salaries-Other Pat Care Providers-Non-productive"/>
    <s v="Cardiothoracic Surgeons"/>
    <x v="0"/>
    <m/>
    <n v="978.72"/>
    <n v="3170.84"/>
    <n v="663.61"/>
    <n v="-83.76"/>
    <n v="591.74"/>
    <n v="1539.07"/>
    <n v="1958.4"/>
    <n v="782.37"/>
    <n v="455.38"/>
    <n v="982.44"/>
    <n v="494.42"/>
    <n v="-154.1"/>
    <n v="11379.13"/>
    <n v="648.52"/>
  </r>
  <r>
    <x v="5"/>
    <x v="1"/>
    <x v="0"/>
    <s v="2604200"/>
    <n v="700072"/>
    <s v="Salaries-Other Pat Care Providers-NonProd-Other"/>
    <s v="Cardiothoracic Surgeons"/>
    <x v="0"/>
    <n v="2000"/>
    <n v="0"/>
    <n v="0"/>
    <n v="0"/>
    <n v="0"/>
    <n v="19.5"/>
    <n v="-9.75"/>
    <n v="0"/>
    <n v="0"/>
    <n v="0"/>
    <n v="0"/>
    <n v="0"/>
    <n v="0"/>
    <n v="9.75"/>
    <n v="0"/>
  </r>
  <r>
    <x v="5"/>
    <x v="1"/>
    <x v="0"/>
    <s v="2604200"/>
    <n v="700084"/>
    <s v="Accrued PTO"/>
    <s v="Cardiothoracic Surgeons"/>
    <x v="0"/>
    <m/>
    <n v="1168.5"/>
    <n v="-3071.43"/>
    <n v="636.92999999999995"/>
    <n v="3075.99"/>
    <n v="3474.34"/>
    <n v="-59.18"/>
    <n v="2204.15"/>
    <n v="2097.9"/>
    <n v="699.19"/>
    <n v="2459.8200000000002"/>
    <n v="4.37"/>
    <n v="2985.42"/>
    <n v="15676"/>
    <n v="-2981.05"/>
  </r>
  <r>
    <x v="6"/>
    <x v="1"/>
    <x v="0"/>
    <s v="2604200"/>
    <n v="713010"/>
    <s v="Benefits-FICA/Medicare"/>
    <s v="Cardiothoracic Surgeons"/>
    <x v="0"/>
    <m/>
    <n v="14453.78"/>
    <n v="13383.14"/>
    <n v="11614.73"/>
    <n v="11307.03"/>
    <n v="19227.169999999998"/>
    <n v="27731.38"/>
    <n v="40090.269999999997"/>
    <n v="25881.35"/>
    <n v="18271.43"/>
    <n v="18742.45"/>
    <n v="18893.669999999998"/>
    <n v="17136.73"/>
    <n v="236733.13000000003"/>
    <n v="1756.9399999999987"/>
  </r>
  <r>
    <x v="6"/>
    <x v="1"/>
    <x v="0"/>
    <s v="2604200"/>
    <n v="713090"/>
    <s v="Benefits-Allocated Amounts"/>
    <s v="Cardiothoracic Surgeons"/>
    <x v="0"/>
    <m/>
    <n v="0"/>
    <n v="0"/>
    <n v="0"/>
    <n v="0"/>
    <n v="0"/>
    <n v="0"/>
    <n v="0"/>
    <n v="0"/>
    <n v="119844.18"/>
    <n v="14785.43"/>
    <n v="14460.36"/>
    <n v="15422.23"/>
    <n v="164512.19999999998"/>
    <n v="-961.86999999999898"/>
  </r>
  <r>
    <x v="6"/>
    <x v="1"/>
    <x v="0"/>
    <s v="2604200"/>
    <n v="713092"/>
    <s v="Allocated Benefits-Physician"/>
    <s v="Cardiothoracic Surgeons"/>
    <x v="0"/>
    <m/>
    <n v="15142.94"/>
    <n v="14308.6"/>
    <n v="16469.13"/>
    <n v="14908.22"/>
    <n v="17414.41"/>
    <n v="19006.47"/>
    <n v="21178"/>
    <n v="20420.63"/>
    <n v="-42028.98"/>
    <n v="11944.82"/>
    <n v="11682.21"/>
    <n v="12459.26"/>
    <n v="132905.71"/>
    <n v="-777.05000000000109"/>
  </r>
  <r>
    <x v="6"/>
    <x v="1"/>
    <x v="0"/>
    <s v="2604200"/>
    <n v="713093"/>
    <s v="Allocated Benefits-Advanced Practice Clinician"/>
    <s v="Cardiothoracic Surgeons"/>
    <x v="0"/>
    <m/>
    <n v="18379.14"/>
    <n v="17366.5"/>
    <n v="19988.759999999998"/>
    <n v="18094.259999999998"/>
    <n v="21136.05"/>
    <n v="23068.36"/>
    <n v="25703.95"/>
    <n v="24784.74"/>
    <n v="-28962.240000000002"/>
    <n v="17217.759999999998"/>
    <n v="16839.22"/>
    <n v="17959.3"/>
    <n v="191575.8"/>
    <n v="-1120.0799999999981"/>
  </r>
  <r>
    <x v="7"/>
    <x v="1"/>
    <x v="0"/>
    <s v="2604200"/>
    <n v="718040"/>
    <s v="Contract Svcs-Laboratory"/>
    <s v="Cardiothoracic Surgeons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2604200"/>
    <n v="718050"/>
    <s v="Contract Svcs-Other"/>
    <s v="Cardiothoracic Surgeons"/>
    <x v="0"/>
    <m/>
    <n v="0"/>
    <n v="0"/>
    <n v="0"/>
    <n v="0"/>
    <n v="0"/>
    <n v="50.67"/>
    <n v="0"/>
    <n v="0"/>
    <n v="0"/>
    <n v="0"/>
    <n v="325"/>
    <n v="0"/>
    <n v="375.67"/>
    <n v="325"/>
  </r>
  <r>
    <x v="11"/>
    <x v="1"/>
    <x v="0"/>
    <s v="2604200"/>
    <n v="721830"/>
    <s v="Supplies-Office"/>
    <s v="Cardiothoracic Surgeons"/>
    <x v="0"/>
    <m/>
    <n v="0"/>
    <n v="0"/>
    <n v="0"/>
    <n v="0"/>
    <n v="0"/>
    <n v="0"/>
    <n v="0"/>
    <n v="0"/>
    <n v="0"/>
    <n v="35.14"/>
    <n v="258.88"/>
    <n v="0"/>
    <n v="294.02"/>
    <n v="258.88"/>
  </r>
  <r>
    <x v="11"/>
    <x v="1"/>
    <x v="0"/>
    <s v="2604200"/>
    <n v="721835"/>
    <s v="Supplies-Forms"/>
    <s v="Cardiothoracic Surgeons"/>
    <x v="0"/>
    <m/>
    <n v="0"/>
    <n v="0"/>
    <n v="0"/>
    <n v="0"/>
    <n v="0"/>
    <n v="0"/>
    <n v="0"/>
    <n v="0"/>
    <n v="323.25"/>
    <n v="10"/>
    <n v="30"/>
    <n v="19.399999999999999"/>
    <n v="382.65"/>
    <n v="10.600000000000001"/>
  </r>
  <r>
    <x v="0"/>
    <x v="1"/>
    <x v="0"/>
    <s v="2604200"/>
    <n v="740022"/>
    <s v="Education-Physician"/>
    <s v="Cardiothoracic Surgeons"/>
    <x v="0"/>
    <m/>
    <n v="-9350"/>
    <n v="0"/>
    <n v="0"/>
    <n v="0"/>
    <n v="1150"/>
    <n v="0"/>
    <n v="0"/>
    <n v="0"/>
    <n v="0"/>
    <n v="0"/>
    <n v="0"/>
    <n v="650"/>
    <n v="-7550"/>
    <n v="-650"/>
  </r>
  <r>
    <x v="0"/>
    <x v="1"/>
    <x v="0"/>
    <s v="2604200"/>
    <n v="740022"/>
    <s v="Books-Physician"/>
    <s v="Cardiothoracic Surgeons"/>
    <x v="0"/>
    <n v="2000"/>
    <n v="0"/>
    <n v="0"/>
    <n v="0"/>
    <n v="0"/>
    <n v="0"/>
    <n v="0"/>
    <n v="0"/>
    <n v="0"/>
    <n v="0"/>
    <n v="0"/>
    <n v="50"/>
    <n v="0"/>
    <n v="50"/>
    <n v="50"/>
  </r>
  <r>
    <x v="0"/>
    <x v="1"/>
    <x v="0"/>
    <s v="2604200"/>
    <n v="740023"/>
    <s v="Education-Advanced Practice Clinician"/>
    <s v="Cardiothoracic Surgeons"/>
    <x v="0"/>
    <m/>
    <n v="0"/>
    <n v="250"/>
    <n v="0"/>
    <n v="0"/>
    <n v="0"/>
    <n v="0"/>
    <n v="0"/>
    <n v="1250"/>
    <n v="0"/>
    <n v="300"/>
    <n v="0"/>
    <n v="799"/>
    <n v="2599"/>
    <n v="-799"/>
  </r>
  <r>
    <x v="0"/>
    <x v="1"/>
    <x v="0"/>
    <s v="2604200"/>
    <n v="740023"/>
    <s v="Books-Advanced Practice Clinician"/>
    <s v="Cardiothoracic Surgeons"/>
    <x v="0"/>
    <n v="2000"/>
    <n v="0"/>
    <n v="0"/>
    <n v="0"/>
    <n v="0"/>
    <n v="0"/>
    <n v="0"/>
    <n v="0"/>
    <n v="0"/>
    <n v="0"/>
    <n v="0"/>
    <n v="0"/>
    <n v="2405.71"/>
    <n v="2405.71"/>
    <n v="-2405.71"/>
  </r>
  <r>
    <x v="8"/>
    <x v="1"/>
    <x v="0"/>
    <s v="2604200"/>
    <n v="741012"/>
    <s v="Physician Liab Insurance-CHI Program"/>
    <s v="Cardiothoracic Surgeons"/>
    <x v="0"/>
    <m/>
    <n v="13234.32"/>
    <n v="13234.31"/>
    <n v="13234.32"/>
    <n v="13234.31"/>
    <n v="15785.18"/>
    <n v="15785.12"/>
    <n v="13605.53"/>
    <n v="13322.04"/>
    <n v="13322.09"/>
    <n v="13322.05"/>
    <n v="13322.09"/>
    <n v="13322.04"/>
    <n v="164723.4"/>
    <n v="4.9999999999272404E-2"/>
  </r>
  <r>
    <x v="0"/>
    <x v="1"/>
    <x v="0"/>
    <s v="2604200"/>
    <n v="743020"/>
    <s v="Dues--Individual"/>
    <s v="Cardiothoracic Surgeons"/>
    <x v="0"/>
    <m/>
    <n v="0"/>
    <n v="0"/>
    <n v="0"/>
    <n v="0"/>
    <n v="0"/>
    <n v="0"/>
    <n v="0"/>
    <n v="3425"/>
    <n v="0"/>
    <n v="0"/>
    <n v="0"/>
    <n v="91.32"/>
    <n v="3516.32"/>
    <n v="-91.32"/>
  </r>
  <r>
    <x v="0"/>
    <x v="1"/>
    <x v="0"/>
    <s v="2604200"/>
    <n v="743022"/>
    <s v="Dues-Physician"/>
    <s v="Cardiothoracic Surgeons"/>
    <x v="0"/>
    <m/>
    <n v="0"/>
    <n v="0"/>
    <n v="0"/>
    <n v="0"/>
    <n v="0"/>
    <n v="420"/>
    <n v="0"/>
    <n v="1708"/>
    <n v="750"/>
    <n v="0"/>
    <n v="0"/>
    <n v="0"/>
    <n v="2878"/>
    <n v="0"/>
  </r>
  <r>
    <x v="0"/>
    <x v="1"/>
    <x v="0"/>
    <s v="2604200"/>
    <n v="743023"/>
    <s v="Dues-Advanced Practice Clinician"/>
    <s v="Cardiothoracic Surgeons"/>
    <x v="0"/>
    <m/>
    <n v="0"/>
    <n v="135"/>
    <n v="0"/>
    <n v="0"/>
    <n v="0"/>
    <n v="0"/>
    <n v="295"/>
    <n v="0"/>
    <n v="0"/>
    <n v="165"/>
    <n v="0"/>
    <n v="0"/>
    <n v="595"/>
    <n v="0"/>
  </r>
  <r>
    <x v="0"/>
    <x v="1"/>
    <x v="0"/>
    <s v="2604200"/>
    <n v="743030"/>
    <s v="Subscriptions--Institutional"/>
    <s v="Cardiothoracic Surgeons"/>
    <x v="0"/>
    <m/>
    <n v="0"/>
    <n v="0"/>
    <n v="0"/>
    <n v="0"/>
    <n v="0"/>
    <n v="0"/>
    <n v="0"/>
    <n v="0"/>
    <n v="0"/>
    <n v="0"/>
    <n v="0"/>
    <n v="178"/>
    <n v="178"/>
    <n v="-178"/>
  </r>
  <r>
    <x v="0"/>
    <x v="1"/>
    <x v="0"/>
    <s v="2604200"/>
    <n v="743042"/>
    <s v="Subscriptions-Physician"/>
    <s v="Cardiothoracic Surgeons"/>
    <x v="0"/>
    <m/>
    <n v="1350"/>
    <n v="0"/>
    <n v="0"/>
    <n v="0"/>
    <n v="378"/>
    <n v="0"/>
    <n v="0"/>
    <n v="0"/>
    <n v="0"/>
    <n v="0"/>
    <n v="1685.46"/>
    <n v="2473.61"/>
    <n v="5887.07"/>
    <n v="-788.15000000000009"/>
  </r>
  <r>
    <x v="0"/>
    <x v="1"/>
    <x v="0"/>
    <s v="2604200"/>
    <n v="743043"/>
    <s v="Subscriptions-Advanced Practice Clinician"/>
    <s v="Cardiothoracic Surgeons"/>
    <x v="0"/>
    <m/>
    <n v="0"/>
    <n v="0"/>
    <n v="0"/>
    <n v="0"/>
    <n v="345"/>
    <n v="0"/>
    <n v="192.31"/>
    <n v="0"/>
    <n v="0"/>
    <n v="4780.6400000000003"/>
    <n v="0"/>
    <n v="854.01"/>
    <n v="6171.9600000000009"/>
    <n v="-854.01"/>
  </r>
  <r>
    <x v="0"/>
    <x v="1"/>
    <x v="0"/>
    <s v="2604200"/>
    <n v="749510"/>
    <s v="Miscellaneous Expenses"/>
    <s v="Cardiothoracic Surgeons"/>
    <x v="0"/>
    <m/>
    <n v="-7965.3"/>
    <n v="-1558.37"/>
    <n v="1581"/>
    <n v="-1236"/>
    <n v="599.41999999999996"/>
    <n v="-917.52"/>
    <n v="1978.5"/>
    <n v="-1228.5"/>
    <n v="-750"/>
    <n v="657"/>
    <n v="5669.3"/>
    <n v="-2595.3000000000002"/>
    <n v="-5765.77"/>
    <n v="8264.6"/>
  </r>
  <r>
    <x v="0"/>
    <x v="1"/>
    <x v="0"/>
    <s v="2604200"/>
    <n v="749510"/>
    <s v="Licenses"/>
    <s v="Cardiothoracic Surgeons"/>
    <x v="0"/>
    <n v="1002"/>
    <n v="0"/>
    <n v="0"/>
    <n v="0"/>
    <n v="0"/>
    <n v="0"/>
    <n v="0"/>
    <n v="0"/>
    <n v="0"/>
    <n v="0"/>
    <n v="0"/>
    <n v="0"/>
    <n v="77"/>
    <n v="77"/>
    <n v="-77"/>
  </r>
  <r>
    <x v="0"/>
    <x v="1"/>
    <x v="0"/>
    <s v="2604200"/>
    <n v="749512"/>
    <s v="Licenses-Physician"/>
    <s v="Cardiothoracic Surgeons"/>
    <x v="0"/>
    <n v="2000"/>
    <n v="0"/>
    <n v="0"/>
    <n v="0"/>
    <n v="2312"/>
    <n v="0"/>
    <n v="0"/>
    <n v="0"/>
    <n v="0"/>
    <n v="0"/>
    <n v="0"/>
    <n v="657"/>
    <n v="0"/>
    <n v="2969"/>
    <n v="657"/>
  </r>
  <r>
    <x v="0"/>
    <x v="1"/>
    <x v="0"/>
    <s v="2604200"/>
    <n v="749513"/>
    <s v="Licenses-Advanced Practice Clinician"/>
    <s v="Cardiothoracic Surgeons"/>
    <x v="0"/>
    <n v="2000"/>
    <n v="0"/>
    <n v="0"/>
    <n v="202"/>
    <n v="0"/>
    <n v="731"/>
    <n v="1031"/>
    <n v="0"/>
    <n v="0"/>
    <n v="0"/>
    <n v="0"/>
    <n v="0"/>
    <n v="976"/>
    <n v="2940"/>
    <n v="-976"/>
  </r>
  <r>
    <x v="0"/>
    <x v="1"/>
    <x v="0"/>
    <s v="2604200"/>
    <n v="749530"/>
    <s v="Mileage"/>
    <s v="Cardiothoracic Surgeons"/>
    <x v="0"/>
    <n v="1001"/>
    <n v="0"/>
    <n v="0"/>
    <n v="0"/>
    <n v="0"/>
    <n v="0"/>
    <n v="36.520000000000003"/>
    <n v="0"/>
    <n v="0"/>
    <n v="0"/>
    <n v="0"/>
    <n v="0"/>
    <n v="0"/>
    <n v="36.520000000000003"/>
    <n v="0"/>
  </r>
  <r>
    <x v="0"/>
    <x v="1"/>
    <x v="0"/>
    <s v="2604200"/>
    <n v="749532"/>
    <s v="Travel-Physician"/>
    <s v="Cardiothoracic Surgeons"/>
    <x v="0"/>
    <m/>
    <n v="897.95"/>
    <n v="0"/>
    <n v="0"/>
    <n v="0"/>
    <n v="0"/>
    <n v="0"/>
    <n v="0"/>
    <n v="1303.5"/>
    <n v="2441.59"/>
    <n v="0"/>
    <n v="1738.54"/>
    <n v="1523.56"/>
    <n v="7905.1399999999994"/>
    <n v="214.98000000000002"/>
  </r>
  <r>
    <x v="0"/>
    <x v="1"/>
    <x v="0"/>
    <s v="2604200"/>
    <n v="749533"/>
    <s v="Travel-Advanced Practice Clinician"/>
    <s v="Cardiothoracic Surgeons"/>
    <x v="0"/>
    <m/>
    <n v="0"/>
    <n v="0"/>
    <n v="0"/>
    <n v="0"/>
    <n v="0"/>
    <n v="0"/>
    <n v="0"/>
    <n v="2558.65"/>
    <n v="0"/>
    <n v="1412.09"/>
    <n v="0"/>
    <n v="1440.79"/>
    <n v="5411.53"/>
    <n v="-1440.79"/>
  </r>
  <r>
    <x v="0"/>
    <x v="1"/>
    <x v="0"/>
    <s v="2604200"/>
    <n v="749533"/>
    <s v="Vehicle Expense-Advanced Practice Clinician"/>
    <s v="Cardiothoracic Surgeons"/>
    <x v="0"/>
    <n v="2001"/>
    <n v="0"/>
    <n v="0"/>
    <n v="0"/>
    <n v="0"/>
    <n v="0"/>
    <n v="0"/>
    <n v="0"/>
    <n v="0"/>
    <n v="0"/>
    <n v="31.32"/>
    <n v="0"/>
    <n v="0"/>
    <n v="31.32"/>
    <n v="0"/>
  </r>
  <r>
    <x v="0"/>
    <x v="1"/>
    <x v="0"/>
    <s v="2604200"/>
    <n v="749535"/>
    <s v="Meetings"/>
    <s v="Cardiothoracic Surgeons"/>
    <x v="0"/>
    <m/>
    <n v="0"/>
    <n v="0"/>
    <n v="0"/>
    <n v="0"/>
    <n v="0"/>
    <n v="0"/>
    <n v="0"/>
    <n v="23.94"/>
    <n v="0"/>
    <n v="0"/>
    <n v="0"/>
    <n v="0"/>
    <n v="23.94"/>
    <n v="0"/>
  </r>
  <r>
    <x v="9"/>
    <x v="1"/>
    <x v="0"/>
    <s v="2604200"/>
    <n v="800015"/>
    <s v="Interest Income-Ext to CHI"/>
    <s v="Cardiothoracic Surgeons"/>
    <x v="0"/>
    <m/>
    <n v="0"/>
    <n v="0"/>
    <n v="0"/>
    <n v="-32.53"/>
    <n v="-99.73"/>
    <n v="-124.13"/>
    <n v="-722.13"/>
    <n v="-270.68"/>
    <n v="-285.3"/>
    <n v="-262.18"/>
    <n v="-256.55"/>
    <n v="-234.36"/>
    <n v="-2287.59"/>
    <n v="-22.189999999999998"/>
  </r>
  <r>
    <x v="1"/>
    <x v="1"/>
    <x v="0"/>
    <s v="2605200"/>
    <n v="400029"/>
    <s v="MD Practice Other Rev--Medicare"/>
    <s v="WH-Gig Harbor OBGYN"/>
    <x v="0"/>
    <n v="1100"/>
    <n v="0"/>
    <n v="-10"/>
    <n v="0"/>
    <n v="0"/>
    <n v="0"/>
    <n v="0"/>
    <n v="0"/>
    <n v="0"/>
    <n v="0"/>
    <n v="-48"/>
    <n v="0"/>
    <n v="-24"/>
    <n v="-82"/>
    <n v="24"/>
  </r>
  <r>
    <x v="1"/>
    <x v="1"/>
    <x v="0"/>
    <s v="2605200"/>
    <n v="400029"/>
    <s v="MD Practice Other Rev--Medicaid"/>
    <s v="WH-Gig Harbor OBGYN"/>
    <x v="0"/>
    <n v="1200"/>
    <n v="-404"/>
    <n v="-192"/>
    <n v="-336"/>
    <n v="-534"/>
    <n v="-240"/>
    <n v="-192"/>
    <n v="-288"/>
    <n v="-288"/>
    <n v="-312"/>
    <n v="-264"/>
    <n v="-216"/>
    <n v="-288"/>
    <n v="-3554"/>
    <n v="72"/>
  </r>
  <r>
    <x v="1"/>
    <x v="1"/>
    <x v="0"/>
    <s v="2605200"/>
    <n v="400029"/>
    <s v="MD Practice Other Rev--Comm Insurance"/>
    <s v="WH-Gig Harbor OBGYN"/>
    <x v="0"/>
    <n v="1300"/>
    <n v="-48"/>
    <n v="0"/>
    <n v="-48"/>
    <n v="-24"/>
    <n v="-24"/>
    <n v="-24"/>
    <n v="-48"/>
    <n v="-48"/>
    <n v="-24"/>
    <n v="-48"/>
    <n v="-96"/>
    <n v="-96"/>
    <n v="-528"/>
    <n v="0"/>
  </r>
  <r>
    <x v="1"/>
    <x v="1"/>
    <x v="0"/>
    <s v="2605200"/>
    <n v="400029"/>
    <s v="MD Practice Other Rev--BCBS Comm"/>
    <s v="WH-Gig Harbor OBGYN"/>
    <x v="0"/>
    <n v="1301"/>
    <n v="-168"/>
    <n v="-144"/>
    <n v="-72"/>
    <n v="6"/>
    <n v="-48"/>
    <n v="54"/>
    <n v="-216"/>
    <n v="-120"/>
    <n v="-144"/>
    <n v="-48"/>
    <n v="-120"/>
    <n v="-120"/>
    <n v="-1140"/>
    <n v="0"/>
  </r>
  <r>
    <x v="1"/>
    <x v="1"/>
    <x v="0"/>
    <s v="2605200"/>
    <n v="400029"/>
    <s v="MD Practice Other Rev--Managed Care"/>
    <s v="WH-Gig Harbor OBGYN"/>
    <x v="0"/>
    <n v="1400"/>
    <n v="-1482"/>
    <n v="-504"/>
    <n v="-408"/>
    <n v="-432"/>
    <n v="-384"/>
    <n v="-798"/>
    <n v="-504"/>
    <n v="-384"/>
    <n v="-336"/>
    <n v="-360"/>
    <n v="-552"/>
    <n v="-336"/>
    <n v="-6480"/>
    <n v="-216"/>
  </r>
  <r>
    <x v="1"/>
    <x v="1"/>
    <x v="0"/>
    <s v="2605200"/>
    <n v="400029"/>
    <s v="MD Practice Other Rev--Self Pay"/>
    <s v="WH-Gig Harbor OBGYN"/>
    <x v="0"/>
    <n v="1500"/>
    <n v="0"/>
    <n v="-48"/>
    <n v="-24"/>
    <n v="-24"/>
    <n v="-24"/>
    <n v="-24"/>
    <n v="-24"/>
    <n v="0"/>
    <n v="-48"/>
    <n v="0"/>
    <n v="-24"/>
    <n v="-24"/>
    <n v="-264"/>
    <n v="0"/>
  </r>
  <r>
    <x v="1"/>
    <x v="1"/>
    <x v="0"/>
    <s v="2605200"/>
    <n v="400029"/>
    <s v="MD Practice Other Rev--Other"/>
    <s v="WH-Gig Harbor OBGYN"/>
    <x v="0"/>
    <n v="1700"/>
    <n v="-72"/>
    <n v="-24"/>
    <n v="-144"/>
    <n v="-48"/>
    <n v="-72"/>
    <n v="-24"/>
    <n v="-96"/>
    <n v="0"/>
    <n v="-24"/>
    <n v="-72"/>
    <n v="-48"/>
    <n v="-120"/>
    <n v="-744"/>
    <n v="72"/>
  </r>
  <r>
    <x v="1"/>
    <x v="1"/>
    <x v="0"/>
    <s v="2605200"/>
    <n v="400040"/>
    <s v="Physician Svcs Rev--Medicare"/>
    <s v="WH-Gig Harbor OBGYN"/>
    <x v="0"/>
    <n v="1100"/>
    <n v="-7622"/>
    <n v="-2762"/>
    <n v="-3380"/>
    <n v="-9108"/>
    <n v="-2988"/>
    <n v="-2869"/>
    <n v="-5149"/>
    <n v="-1590"/>
    <n v="-2353"/>
    <n v="-3425.2"/>
    <n v="-6391"/>
    <n v="-4188"/>
    <n v="-51825.2"/>
    <n v="-2203"/>
  </r>
  <r>
    <x v="1"/>
    <x v="1"/>
    <x v="0"/>
    <s v="2605200"/>
    <n v="400040"/>
    <s v="Physician Svcs Rev--Medicaid"/>
    <s v="WH-Gig Harbor OBGYN"/>
    <x v="0"/>
    <n v="1200"/>
    <n v="-85465"/>
    <n v="-61914"/>
    <n v="-85474.44"/>
    <n v="-77539.570000000007"/>
    <n v="-54432"/>
    <n v="-38026.11"/>
    <n v="-63903.98"/>
    <n v="-69303.600000000006"/>
    <n v="-64741.64"/>
    <n v="-49614"/>
    <n v="-60028"/>
    <n v="-85247.24"/>
    <n v="-795689.58"/>
    <n v="25219.240000000005"/>
  </r>
  <r>
    <x v="1"/>
    <x v="1"/>
    <x v="0"/>
    <s v="2605200"/>
    <n v="400040"/>
    <s v="Physician Svcs Rev--Comm Insurance"/>
    <s v="WH-Gig Harbor OBGYN"/>
    <x v="0"/>
    <n v="1300"/>
    <n v="-12734"/>
    <n v="-5103"/>
    <n v="-7845"/>
    <n v="-7546"/>
    <n v="-1914"/>
    <n v="-11655"/>
    <n v="-4730"/>
    <n v="-3927"/>
    <n v="-9277"/>
    <n v="-10440"/>
    <n v="-3962"/>
    <n v="-5142"/>
    <n v="-84275"/>
    <n v="1180"/>
  </r>
  <r>
    <x v="1"/>
    <x v="1"/>
    <x v="0"/>
    <s v="2605200"/>
    <n v="400040"/>
    <s v="Physician Svcs Rev--BCBS Comm"/>
    <s v="WH-Gig Harbor OBGYN"/>
    <x v="0"/>
    <n v="1301"/>
    <n v="-28206"/>
    <n v="-32797"/>
    <n v="-21562"/>
    <n v="-38595.199999999997"/>
    <n v="-32412"/>
    <n v="-22943"/>
    <n v="-28258"/>
    <n v="-28461"/>
    <n v="-30208"/>
    <n v="-13840"/>
    <n v="-19992"/>
    <n v="-48820"/>
    <n v="-346094.2"/>
    <n v="28828"/>
  </r>
  <r>
    <x v="1"/>
    <x v="1"/>
    <x v="0"/>
    <s v="2605200"/>
    <n v="400040"/>
    <s v="Physician Svcs Rev--Managed Care"/>
    <s v="WH-Gig Harbor OBGYN"/>
    <x v="0"/>
    <n v="1400"/>
    <n v="-105479.22"/>
    <n v="-119239.91"/>
    <n v="-136568.91"/>
    <n v="-86546"/>
    <n v="-52945.91"/>
    <n v="-54672"/>
    <n v="-85479"/>
    <n v="-49881"/>
    <n v="-114509"/>
    <n v="-69381.91"/>
    <n v="-72593.91"/>
    <n v="-66310"/>
    <n v="-1013606.7700000001"/>
    <n v="-6283.9100000000035"/>
  </r>
  <r>
    <x v="1"/>
    <x v="1"/>
    <x v="0"/>
    <s v="2605200"/>
    <n v="400040"/>
    <s v="Physician Svcs Rev--Self Pay"/>
    <s v="WH-Gig Harbor OBGYN"/>
    <x v="0"/>
    <n v="1500"/>
    <n v="-105"/>
    <n v="-1424"/>
    <n v="-690"/>
    <n v="-828"/>
    <n v="-1999"/>
    <n v="-2830"/>
    <n v="-3111"/>
    <n v="-1472"/>
    <n v="-3142"/>
    <n v="-1014"/>
    <n v="-307"/>
    <n v="-4351"/>
    <n v="-21273"/>
    <n v="4044"/>
  </r>
  <r>
    <x v="1"/>
    <x v="1"/>
    <x v="0"/>
    <s v="2605200"/>
    <n v="400040"/>
    <s v="Physician Svcs Rev--Other"/>
    <s v="WH-Gig Harbor OBGYN"/>
    <x v="0"/>
    <n v="1700"/>
    <n v="-35811"/>
    <n v="-32504"/>
    <n v="-33559"/>
    <n v="-14351"/>
    <n v="-15168"/>
    <n v="-12710"/>
    <n v="-15974"/>
    <n v="-20098"/>
    <n v="-16093"/>
    <n v="-17008"/>
    <n v="-21241"/>
    <n v="-21579"/>
    <n v="-256096"/>
    <n v="338"/>
  </r>
  <r>
    <x v="2"/>
    <x v="1"/>
    <x v="0"/>
    <s v="2605200"/>
    <n v="450029"/>
    <s v="Contr Allow--MD Other-Medicare"/>
    <s v="WH-Gig Harbor OBGYN"/>
    <x v="0"/>
    <n v="1100"/>
    <n v="0"/>
    <n v="0"/>
    <n v="6.59"/>
    <n v="0"/>
    <n v="0"/>
    <n v="0"/>
    <n v="0"/>
    <n v="0"/>
    <n v="0"/>
    <n v="15.56"/>
    <n v="643"/>
    <n v="0"/>
    <n v="665.15"/>
    <n v="643"/>
  </r>
  <r>
    <x v="2"/>
    <x v="1"/>
    <x v="0"/>
    <s v="2605200"/>
    <n v="450029"/>
    <s v="Contr Allow--MD Other-Medicaid"/>
    <s v="WH-Gig Harbor OBGYN"/>
    <x v="0"/>
    <n v="1200"/>
    <n v="103.34"/>
    <n v="206.28"/>
    <n v="514.41999999999996"/>
    <n v="130.04"/>
    <n v="190.43"/>
    <n v="94.69"/>
    <n v="160.62"/>
    <n v="711.27"/>
    <n v="210.26"/>
    <n v="163.94"/>
    <n v="195.14"/>
    <n v="162.47999999999999"/>
    <n v="2842.9100000000003"/>
    <n v="32.659999999999997"/>
  </r>
  <r>
    <x v="2"/>
    <x v="1"/>
    <x v="0"/>
    <s v="2605200"/>
    <n v="450029"/>
    <s v="Contr Allow--MD Other-Comm Insurance"/>
    <s v="WH-Gig Harbor OBGYN"/>
    <x v="0"/>
    <n v="1300"/>
    <n v="84.52"/>
    <n v="36.9"/>
    <n v="32.43"/>
    <n v="15.81"/>
    <n v="8.5"/>
    <n v="0"/>
    <n v="18.45"/>
    <n v="53.71"/>
    <n v="0.56000000000000005"/>
    <n v="52.44"/>
    <n v="18.45"/>
    <n v="10.88"/>
    <n v="332.65"/>
    <n v="7.5699999999999985"/>
  </r>
  <r>
    <x v="2"/>
    <x v="1"/>
    <x v="0"/>
    <s v="2605200"/>
    <n v="450029"/>
    <s v="Contr Allow--MD Other BCBS Comm"/>
    <s v="WH-Gig Harbor OBGYN"/>
    <x v="0"/>
    <n v="1301"/>
    <n v="-18.02"/>
    <n v="223.99"/>
    <n v="37.659999999999997"/>
    <n v="203.69"/>
    <n v="218.59"/>
    <n v="157.52000000000001"/>
    <n v="188.3"/>
    <n v="112.98"/>
    <n v="112.98"/>
    <n v="56.49"/>
    <n v="37.659999999999997"/>
    <n v="99.32"/>
    <n v="1431.16"/>
    <n v="-61.66"/>
  </r>
  <r>
    <x v="2"/>
    <x v="1"/>
    <x v="0"/>
    <s v="2605200"/>
    <n v="450029"/>
    <s v="Contr Allow--MD Other-Managed Care"/>
    <s v="WH-Gig Harbor OBGYN"/>
    <x v="0"/>
    <n v="1400"/>
    <n v="773.02"/>
    <n v="458.83"/>
    <n v="464"/>
    <n v="248.92"/>
    <n v="267.42"/>
    <n v="373.82"/>
    <n v="266.23"/>
    <n v="221.74"/>
    <n v="271.01"/>
    <n v="259.47000000000003"/>
    <n v="950.8"/>
    <n v="335.34"/>
    <n v="4890.6000000000013"/>
    <n v="615.46"/>
  </r>
  <r>
    <x v="2"/>
    <x v="1"/>
    <x v="0"/>
    <s v="2605200"/>
    <n v="450029"/>
    <s v="Admin Adjust-MD Other-Self Pay"/>
    <s v="WH-Gig Harbor OBGYN"/>
    <x v="0"/>
    <n v="1600"/>
    <n v="2.35"/>
    <n v="175.94"/>
    <n v="24.66"/>
    <n v="28.95"/>
    <n v="14.49"/>
    <n v="11.63"/>
    <n v="15.07"/>
    <n v="32.03"/>
    <n v="83.42"/>
    <n v="26.58"/>
    <n v="69.91"/>
    <n v="9.74"/>
    <n v="494.77"/>
    <n v="60.169999999999995"/>
  </r>
  <r>
    <x v="2"/>
    <x v="1"/>
    <x v="0"/>
    <s v="2605200"/>
    <n v="450029"/>
    <s v="Contr Allow--MD Other-Other"/>
    <s v="WH-Gig Harbor OBGYN"/>
    <x v="0"/>
    <n v="1700"/>
    <n v="34"/>
    <n v="51"/>
    <n v="340.15"/>
    <n v="102"/>
    <n v="34"/>
    <n v="34"/>
    <n v="34"/>
    <n v="17"/>
    <n v="0"/>
    <n v="0"/>
    <n v="66.39"/>
    <n v="110.12"/>
    <n v="822.66"/>
    <n v="-43.730000000000004"/>
  </r>
  <r>
    <x v="2"/>
    <x v="1"/>
    <x v="0"/>
    <s v="2605200"/>
    <n v="450040"/>
    <s v="Contr Allow--Phys Svcs--Mcare"/>
    <s v="WH-Gig Harbor OBGYN"/>
    <x v="0"/>
    <n v="1100"/>
    <n v="4543.24"/>
    <n v="1776.9"/>
    <n v="1248.56"/>
    <n v="2192.44"/>
    <n v="4970.53"/>
    <n v="880.01"/>
    <n v="1630.22"/>
    <n v="2883.61"/>
    <n v="1838.17"/>
    <n v="2695.77"/>
    <n v="4553.4799999999996"/>
    <n v="4270.5600000000004"/>
    <n v="33483.49"/>
    <n v="282.91999999999916"/>
  </r>
  <r>
    <x v="2"/>
    <x v="1"/>
    <x v="0"/>
    <s v="2605200"/>
    <n v="450040"/>
    <s v="Contr Allow--Phys Svcs--Mcaid"/>
    <s v="WH-Gig Harbor OBGYN"/>
    <x v="0"/>
    <n v="1200"/>
    <n v="36184.639999999999"/>
    <n v="47678.84"/>
    <n v="48179.73"/>
    <n v="64827.29"/>
    <n v="34627.879999999997"/>
    <n v="37447.599999999999"/>
    <n v="40252.269999999997"/>
    <n v="36741.21"/>
    <n v="53716.14"/>
    <n v="26332.18"/>
    <n v="35572.11"/>
    <n v="54080.2"/>
    <n v="515640.09"/>
    <n v="-18508.089999999997"/>
  </r>
  <r>
    <x v="2"/>
    <x v="1"/>
    <x v="0"/>
    <s v="2605200"/>
    <n v="450040"/>
    <s v="Contr Allow--Phys Svcs--Comm Insurance"/>
    <s v="WH-Gig Harbor OBGYN"/>
    <x v="0"/>
    <n v="1300"/>
    <n v="1731.92"/>
    <n v="9159.84"/>
    <n v="2060.14"/>
    <n v="4675.6400000000003"/>
    <n v="1924.42"/>
    <n v="3430.1"/>
    <n v="6607.9"/>
    <n v="2593.0300000000002"/>
    <n v="1810.11"/>
    <n v="5334.71"/>
    <n v="3029.45"/>
    <n v="1086.02"/>
    <n v="43443.279999999992"/>
    <n v="1943.4299999999998"/>
  </r>
  <r>
    <x v="2"/>
    <x v="1"/>
    <x v="0"/>
    <s v="2605200"/>
    <n v="450040"/>
    <s v="Contr Allow--Phys Svcs--BCBS Comm Ins"/>
    <s v="WH-Gig Harbor OBGYN"/>
    <x v="0"/>
    <n v="1301"/>
    <n v="12249.88"/>
    <n v="9854.06"/>
    <n v="5294.75"/>
    <n v="12294.34"/>
    <n v="10166.549999999999"/>
    <n v="8473.84"/>
    <n v="10248.530000000001"/>
    <n v="7600.15"/>
    <n v="6016.63"/>
    <n v="7925.77"/>
    <n v="4097.07"/>
    <n v="13119.11"/>
    <n v="107340.68000000001"/>
    <n v="-9022.0400000000009"/>
  </r>
  <r>
    <x v="2"/>
    <x v="1"/>
    <x v="0"/>
    <s v="2605200"/>
    <n v="450040"/>
    <s v="Contr Allow--Phys Svcs--Managed Care"/>
    <s v="WH-Gig Harbor OBGYN"/>
    <x v="0"/>
    <n v="1400"/>
    <n v="39481.9"/>
    <n v="55453.97"/>
    <n v="40392.949999999997"/>
    <n v="57443.46"/>
    <n v="27714.639999999999"/>
    <n v="21479.3"/>
    <n v="19881.689999999999"/>
    <n v="22144.3"/>
    <n v="41130.22"/>
    <n v="37616.97"/>
    <n v="32019.18"/>
    <n v="26744.81"/>
    <n v="421503.3899999999"/>
    <n v="5274.369999999999"/>
  </r>
  <r>
    <x v="2"/>
    <x v="1"/>
    <x v="0"/>
    <s v="2605200"/>
    <n v="450040"/>
    <s v="Contr Allow--Phys Svcs--BCBS Mgnd Care"/>
    <s v="WH-Gig Harbor OBGYN"/>
    <x v="0"/>
    <n v="1401"/>
    <n v="14670.88"/>
    <n v="-23915.11"/>
    <n v="23951.03"/>
    <n v="-47691.15"/>
    <n v="-10104.61"/>
    <n v="-5180.82"/>
    <n v="18295.060000000001"/>
    <n v="8830.91"/>
    <n v="4838.95"/>
    <n v="-18726.34"/>
    <n v="5442.65"/>
    <n v="-3184.27"/>
    <n v="-32772.82"/>
    <n v="8626.92"/>
  </r>
  <r>
    <x v="2"/>
    <x v="1"/>
    <x v="0"/>
    <s v="2605200"/>
    <n v="450040"/>
    <s v="Prompt Pay Disc-Phys Svcs-Self Pay"/>
    <s v="WH-Gig Harbor OBGYN"/>
    <x v="0"/>
    <n v="1500"/>
    <n v="0"/>
    <n v="0"/>
    <n v="0"/>
    <n v="0"/>
    <n v="0"/>
    <n v="142.52000000000001"/>
    <n v="0"/>
    <n v="0"/>
    <n v="0"/>
    <n v="0"/>
    <n v="0"/>
    <n v="0"/>
    <n v="142.52000000000001"/>
    <n v="0"/>
  </r>
  <r>
    <x v="2"/>
    <x v="1"/>
    <x v="0"/>
    <s v="2605200"/>
    <n v="450040"/>
    <s v="Admin Adjust-Phys Svcs-Self Pay"/>
    <s v="WH-Gig Harbor OBGYN"/>
    <x v="0"/>
    <n v="1600"/>
    <n v="75.91"/>
    <n v="585.96"/>
    <n v="232.91"/>
    <n v="425.09"/>
    <n v="515.41"/>
    <n v="1035.56"/>
    <n v="2329.84"/>
    <n v="578.67999999999995"/>
    <n v="1275.19"/>
    <n v="245.83"/>
    <n v="192.17"/>
    <n v="3339.86"/>
    <n v="10832.410000000002"/>
    <n v="-3147.69"/>
  </r>
  <r>
    <x v="2"/>
    <x v="1"/>
    <x v="0"/>
    <s v="2605200"/>
    <n v="450040"/>
    <s v="Contr Allow--Phys Svcs--Other"/>
    <s v="WH-Gig Harbor OBGYN"/>
    <x v="0"/>
    <n v="1700"/>
    <n v="21563.01"/>
    <n v="15395.51"/>
    <n v="21406.49"/>
    <n v="26369.74"/>
    <n v="6975.15"/>
    <n v="11034.05"/>
    <n v="7123.4"/>
    <n v="12733.5"/>
    <n v="7333.06"/>
    <n v="13092.54"/>
    <n v="11515.41"/>
    <n v="19393.91"/>
    <n v="173935.77"/>
    <n v="-7878.5"/>
  </r>
  <r>
    <x v="3"/>
    <x v="1"/>
    <x v="0"/>
    <s v="2605200"/>
    <n v="470040"/>
    <s v="Charity Care-Physician Svcs"/>
    <s v="WH-Gig Harbor OBGYN"/>
    <x v="0"/>
    <m/>
    <n v="8106.74"/>
    <n v="3489.76"/>
    <n v="2708.86"/>
    <n v="2841.26"/>
    <n v="2759.37"/>
    <n v="453.35"/>
    <n v="2563.2600000000002"/>
    <n v="1713.56"/>
    <n v="1682.84"/>
    <n v="2238.41"/>
    <n v="603.20000000000005"/>
    <n v="3741.07"/>
    <n v="32901.68"/>
    <n v="-3137.87"/>
  </r>
  <r>
    <x v="4"/>
    <x v="1"/>
    <x v="0"/>
    <s v="2605200"/>
    <n v="490010"/>
    <s v="Provision for Bad Debts"/>
    <s v="WH-Gig Harbor OBGYN"/>
    <x v="0"/>
    <m/>
    <n v="601.92999999999995"/>
    <n v="3152.02"/>
    <n v="5923.92"/>
    <n v="-758.21"/>
    <n v="-3663.32"/>
    <n v="1756.43"/>
    <n v="1197.6300000000001"/>
    <n v="-1159.8599999999999"/>
    <n v="4143.1000000000004"/>
    <n v="1471.87"/>
    <n v="-405.17"/>
    <n v="-324.88"/>
    <n v="11935.460000000003"/>
    <n v="-80.29000000000002"/>
  </r>
  <r>
    <x v="14"/>
    <x v="1"/>
    <x v="0"/>
    <s v="2605200"/>
    <n v="600050"/>
    <s v="Miscellaneous Revenue"/>
    <s v="WH-Gig Harbor OBGYN"/>
    <x v="0"/>
    <m/>
    <n v="-4200"/>
    <n v="-1440"/>
    <n v="-1800"/>
    <n v="-2400"/>
    <n v="-1800"/>
    <n v="0"/>
    <n v="0"/>
    <n v="0"/>
    <n v="0"/>
    <n v="0"/>
    <n v="0"/>
    <n v="0"/>
    <n v="-11640"/>
    <n v="0"/>
  </r>
  <r>
    <x v="5"/>
    <x v="1"/>
    <x v="0"/>
    <s v="2605200"/>
    <n v="700022"/>
    <s v="Salaries-Physician-Productive"/>
    <s v="WH-Gig Harbor OBGYN"/>
    <x v="0"/>
    <m/>
    <n v="27875.040000000001"/>
    <n v="27783.88"/>
    <n v="32111.93"/>
    <n v="48941.57"/>
    <n v="26707.42"/>
    <n v="21923.07"/>
    <n v="24268.01"/>
    <n v="15021.99"/>
    <n v="29408.73"/>
    <n v="15409.38"/>
    <n v="32982.559999999998"/>
    <n v="22008.36"/>
    <n v="324441.94"/>
    <n v="10974.199999999997"/>
  </r>
  <r>
    <x v="5"/>
    <x v="1"/>
    <x v="0"/>
    <s v="2605200"/>
    <n v="700022"/>
    <s v="Salaries-Physician-Other"/>
    <s v="WH-Gig Harbor OBGYN"/>
    <x v="0"/>
    <n v="2000"/>
    <n v="1920"/>
    <n v="960"/>
    <n v="960"/>
    <n v="3300"/>
    <n v="7140"/>
    <n v="-480"/>
    <n v="3362.82"/>
    <n v="1442.12"/>
    <n v="2403.5300000000002"/>
    <n v="4302.29"/>
    <n v="-1177.72"/>
    <n v="4400"/>
    <n v="28533.039999999997"/>
    <n v="-5577.72"/>
  </r>
  <r>
    <x v="5"/>
    <x v="1"/>
    <x v="0"/>
    <s v="2605200"/>
    <n v="700024"/>
    <s v="Salaries-Advanced Practice Clinician-Productive"/>
    <s v="WH-Gig Harbor OBGYN"/>
    <x v="0"/>
    <m/>
    <n v="21762.91"/>
    <n v="26155.78"/>
    <n v="23371.84"/>
    <n v="26424.25"/>
    <n v="25083.11"/>
    <n v="19555.87"/>
    <n v="23610.59"/>
    <n v="20221.689999999999"/>
    <n v="25572.92"/>
    <n v="20311.91"/>
    <n v="29151.46"/>
    <n v="21009.25"/>
    <n v="282231.58"/>
    <n v="8142.2099999999991"/>
  </r>
  <r>
    <x v="5"/>
    <x v="1"/>
    <x v="0"/>
    <s v="2605200"/>
    <n v="700030"/>
    <s v="Salaries-LPN-Productive"/>
    <s v="WH-Gig Harbor OBGYN"/>
    <x v="0"/>
    <m/>
    <n v="9754.7900000000009"/>
    <n v="14226.36"/>
    <n v="11308.21"/>
    <n v="11528.64"/>
    <n v="14561.11"/>
    <n v="4833.08"/>
    <n v="10250.14"/>
    <n v="10420.76"/>
    <n v="12946.65"/>
    <n v="11390.1"/>
    <n v="12811.47"/>
    <n v="9328.61"/>
    <n v="133359.91999999998"/>
    <n v="3482.8599999999988"/>
  </r>
  <r>
    <x v="5"/>
    <x v="1"/>
    <x v="0"/>
    <s v="2605200"/>
    <n v="700030"/>
    <s v="Salaries-LPN-OT"/>
    <s v="WH-Gig Harbor OBGYN"/>
    <x v="0"/>
    <n v="1000"/>
    <n v="114.58"/>
    <n v="439.77"/>
    <n v="-120.49"/>
    <n v="380.14"/>
    <n v="266.32"/>
    <n v="171.28"/>
    <n v="615.64"/>
    <n v="-72.72"/>
    <n v="127.28"/>
    <n v="38.68"/>
    <n v="176.05"/>
    <n v="38.25"/>
    <n v="2174.7799999999997"/>
    <n v="137.80000000000001"/>
  </r>
  <r>
    <x v="5"/>
    <x v="1"/>
    <x v="0"/>
    <s v="2605200"/>
    <n v="700030"/>
    <s v="Salaries-LPN-Other"/>
    <s v="WH-Gig Harbor OBGYN"/>
    <x v="0"/>
    <n v="2000"/>
    <n v="0"/>
    <n v="0"/>
    <n v="0"/>
    <n v="0"/>
    <n v="0"/>
    <n v="0"/>
    <n v="30.05"/>
    <n v="-0.01"/>
    <n v="0"/>
    <n v="0"/>
    <n v="0"/>
    <n v="0"/>
    <n v="30.04"/>
    <n v="0"/>
  </r>
  <r>
    <x v="5"/>
    <x v="1"/>
    <x v="0"/>
    <s v="2605200"/>
    <n v="700032"/>
    <s v="Salaries-Other Pat Care Providers-Productive"/>
    <s v="WH-Gig Harbor OBGYN"/>
    <x v="0"/>
    <m/>
    <n v="0"/>
    <n v="0"/>
    <n v="0"/>
    <n v="0"/>
    <n v="0"/>
    <n v="667.98"/>
    <n v="1384.49"/>
    <n v="212.5"/>
    <n v="0"/>
    <n v="0"/>
    <n v="0"/>
    <n v="0"/>
    <n v="2264.9700000000003"/>
    <n v="0"/>
  </r>
  <r>
    <x v="5"/>
    <x v="1"/>
    <x v="0"/>
    <s v="2605200"/>
    <n v="700032"/>
    <s v="Salaries-Other Pat Care Providers-OT"/>
    <s v="WH-Gig Harbor OBGYN"/>
    <x v="0"/>
    <n v="1000"/>
    <n v="0"/>
    <n v="0"/>
    <n v="0"/>
    <n v="0"/>
    <n v="0"/>
    <n v="9.65"/>
    <n v="0"/>
    <n v="0"/>
    <n v="0"/>
    <n v="0"/>
    <n v="0"/>
    <n v="0"/>
    <n v="9.65"/>
    <n v="0"/>
  </r>
  <r>
    <x v="5"/>
    <x v="1"/>
    <x v="0"/>
    <s v="2605200"/>
    <n v="700054"/>
    <s v="Salaries-Management-NonProd-Other"/>
    <s v="WH-Gig Harbor OBGYN"/>
    <x v="0"/>
    <n v="2000"/>
    <n v="0"/>
    <n v="0"/>
    <n v="0"/>
    <n v="0"/>
    <n v="0"/>
    <n v="500"/>
    <n v="-500"/>
    <n v="0"/>
    <n v="0"/>
    <n v="0"/>
    <n v="0"/>
    <n v="0"/>
    <n v="0"/>
    <n v="0"/>
  </r>
  <r>
    <x v="5"/>
    <x v="1"/>
    <x v="0"/>
    <s v="2605200"/>
    <n v="700062"/>
    <s v="Salaries-Physician-Non-productive"/>
    <s v="WH-Gig Harbor OBGYN"/>
    <x v="0"/>
    <m/>
    <n v="0"/>
    <n v="7936.8"/>
    <n v="11651.77"/>
    <n v="8021.28"/>
    <n v="1322.8"/>
    <n v="2307.69"/>
    <n v="2311.0700000000002"/>
    <n v="6471.01"/>
    <n v="-288.87"/>
    <n v="8320.0400000000009"/>
    <n v="-2600.61"/>
    <n v="4896.32"/>
    <n v="50349.299999999996"/>
    <n v="-7496.93"/>
  </r>
  <r>
    <x v="5"/>
    <x v="1"/>
    <x v="0"/>
    <s v="2605200"/>
    <n v="700062"/>
    <s v="Salaries-Physician-NonProd-Other"/>
    <s v="WH-Gig Harbor OB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05200"/>
    <n v="700064"/>
    <s v="Salaries-Advanced Practice Clinician-Non-Productive"/>
    <s v="WH-Gig Harbor OBGYN"/>
    <x v="0"/>
    <m/>
    <n v="2565.88"/>
    <n v="3077.64"/>
    <n v="576.96"/>
    <n v="1116.8599999999999"/>
    <n v="670.5"/>
    <n v="5622.27"/>
    <n v="4007.72"/>
    <n v="4444.51"/>
    <n v="212.51"/>
    <n v="6701.38"/>
    <n v="-860.55"/>
    <n v="3597.99"/>
    <n v="31733.670000000006"/>
    <n v="-4458.54"/>
  </r>
  <r>
    <x v="5"/>
    <x v="1"/>
    <x v="0"/>
    <s v="2605200"/>
    <n v="700064"/>
    <s v="Salaries-Advanced Practice Clinician-Non-Prod-Other"/>
    <s v="WH-Gig Harbor OBGYN"/>
    <x v="0"/>
    <n v="2000"/>
    <n v="0"/>
    <n v="0"/>
    <n v="0"/>
    <n v="0"/>
    <n v="480.15"/>
    <n v="960.3"/>
    <n v="0"/>
    <n v="-1440.45"/>
    <n v="0"/>
    <n v="0"/>
    <n v="0"/>
    <n v="0"/>
    <n v="-2.2737367544323206E-13"/>
    <n v="0"/>
  </r>
  <r>
    <x v="5"/>
    <x v="1"/>
    <x v="0"/>
    <s v="2605200"/>
    <n v="700070"/>
    <s v="Salaries-LPN-Non-productive"/>
    <s v="WH-Gig Harbor OBGYN"/>
    <x v="0"/>
    <m/>
    <n v="3657.7"/>
    <n v="100.46"/>
    <n v="1511.33"/>
    <n v="1461.81"/>
    <n v="920.42"/>
    <n v="1161.8699999999999"/>
    <n v="2902.47"/>
    <n v="1734.93"/>
    <n v="-103.79"/>
    <n v="752.04"/>
    <n v="1314.79"/>
    <n v="2329.86"/>
    <n v="17743.89"/>
    <n v="-1015.0700000000002"/>
  </r>
  <r>
    <x v="5"/>
    <x v="1"/>
    <x v="0"/>
    <s v="2605200"/>
    <n v="700070"/>
    <s v="Salaries-LPN-NonProd-Other"/>
    <s v="WH-Gig Harbor OBGYN"/>
    <x v="0"/>
    <n v="2000"/>
    <n v="0"/>
    <n v="0"/>
    <n v="0"/>
    <n v="0"/>
    <n v="398.18"/>
    <n v="398.18"/>
    <n v="0"/>
    <n v="-796.36"/>
    <n v="0"/>
    <n v="0"/>
    <n v="0"/>
    <n v="0"/>
    <n v="0"/>
    <n v="0"/>
  </r>
  <r>
    <x v="5"/>
    <x v="1"/>
    <x v="0"/>
    <s v="2605200"/>
    <n v="700084"/>
    <s v="Accrued PTO"/>
    <s v="WH-Gig Harbor OBGYN"/>
    <x v="0"/>
    <m/>
    <n v="-1925"/>
    <n v="1026"/>
    <n v="-168.78"/>
    <n v="386.47"/>
    <n v="195.01"/>
    <n v="-152.04"/>
    <n v="-1320.09"/>
    <n v="469.41"/>
    <n v="1263.04"/>
    <n v="576.51"/>
    <n v="140.22"/>
    <n v="857.9"/>
    <n v="1348.65"/>
    <n v="-717.68"/>
  </r>
  <r>
    <x v="6"/>
    <x v="1"/>
    <x v="0"/>
    <s v="2605200"/>
    <n v="713010"/>
    <s v="Benefits-FICA/Medicare"/>
    <s v="WH-Gig Harbor OBGYN"/>
    <x v="0"/>
    <m/>
    <n v="3232.42"/>
    <n v="3852.25"/>
    <n v="4316.4799999999996"/>
    <n v="5479.83"/>
    <n v="2626.21"/>
    <n v="2502.7800000000002"/>
    <n v="5491.57"/>
    <n v="4505.6400000000003"/>
    <n v="5297.01"/>
    <n v="5061.5600000000004"/>
    <n v="3545.38"/>
    <n v="3137.28"/>
    <n v="49048.409999999989"/>
    <n v="408.09999999999991"/>
  </r>
  <r>
    <x v="6"/>
    <x v="1"/>
    <x v="0"/>
    <s v="2605200"/>
    <n v="713090"/>
    <s v="Benefits-Allocated Amounts"/>
    <s v="WH-Gig Harbor OBGYN"/>
    <x v="0"/>
    <m/>
    <n v="0"/>
    <n v="0"/>
    <n v="0"/>
    <n v="0"/>
    <n v="0"/>
    <n v="0"/>
    <n v="0"/>
    <n v="0"/>
    <n v="35094.58"/>
    <n v="3839.23"/>
    <n v="3941.45"/>
    <n v="3936.93"/>
    <n v="46812.19"/>
    <n v="4.5199999999999818"/>
  </r>
  <r>
    <x v="6"/>
    <x v="1"/>
    <x v="0"/>
    <s v="2605200"/>
    <n v="713092"/>
    <s v="Allocated Benefits-Physician"/>
    <s v="WH-Gig Harbor OBGYN"/>
    <x v="0"/>
    <m/>
    <n v="2591.3000000000002"/>
    <n v="2547.85"/>
    <n v="2858.88"/>
    <n v="3101.3"/>
    <n v="2855.94"/>
    <n v="2176.9699999999998"/>
    <n v="3114.97"/>
    <n v="2886.75"/>
    <n v="-4943.75"/>
    <n v="1880.55"/>
    <n v="1930.63"/>
    <n v="1928.4"/>
    <n v="22929.79"/>
    <n v="2.2300000000000182"/>
  </r>
  <r>
    <x v="6"/>
    <x v="1"/>
    <x v="0"/>
    <s v="2605200"/>
    <n v="713093"/>
    <s v="Allocated Benefits-Advanced Practice Clinician"/>
    <s v="WH-Gig Harbor OBGYN"/>
    <x v="0"/>
    <m/>
    <n v="5470.53"/>
    <n v="5378.78"/>
    <n v="6035.43"/>
    <n v="6547.17"/>
    <n v="6029.21"/>
    <n v="4595.84"/>
    <n v="6576.03"/>
    <n v="6094.25"/>
    <n v="-20537.439999999999"/>
    <n v="2865.07"/>
    <n v="2941.36"/>
    <n v="2937.98"/>
    <n v="34934.209999999992"/>
    <n v="3.3800000000001091"/>
  </r>
  <r>
    <x v="7"/>
    <x v="1"/>
    <x v="0"/>
    <s v="2605200"/>
    <n v="718050"/>
    <s v="Contract Svcs-Other"/>
    <s v="WH-Gig Harbor OBGYN"/>
    <x v="0"/>
    <m/>
    <n v="98.39"/>
    <n v="132.22"/>
    <n v="23.43"/>
    <n v="108.95"/>
    <n v="188.95"/>
    <n v="207.54"/>
    <n v="160.46"/>
    <n v="0"/>
    <n v="227.04"/>
    <n v="223"/>
    <n v="0"/>
    <n v="126.47"/>
    <n v="1496.45"/>
    <n v="-126.47"/>
  </r>
  <r>
    <x v="7"/>
    <x v="1"/>
    <x v="0"/>
    <s v="2605200"/>
    <n v="718050"/>
    <s v="Contract Management--Linen"/>
    <s v="WH-Gig Harbor OBGYN"/>
    <x v="0"/>
    <n v="1026"/>
    <n v="196.22"/>
    <n v="706.61"/>
    <n v="593.04999999999995"/>
    <n v="409.63"/>
    <n v="392.44"/>
    <n v="621.98"/>
    <n v="397.18"/>
    <n v="0"/>
    <n v="910.98"/>
    <n v="821.71"/>
    <n v="0"/>
    <n v="1021.03"/>
    <n v="6070.83"/>
    <n v="-1021.03"/>
  </r>
  <r>
    <x v="7"/>
    <x v="1"/>
    <x v="0"/>
    <s v="2605200"/>
    <n v="718050"/>
    <s v="Purchased Srvcs--Medical Waste"/>
    <s v="WH-Gig Harbor OBGYN"/>
    <x v="0"/>
    <n v="1027"/>
    <n v="10.36"/>
    <n v="10.36"/>
    <n v="10.36"/>
    <n v="10.36"/>
    <n v="0"/>
    <n v="47.84"/>
    <n v="20.72"/>
    <n v="0"/>
    <n v="32.380000000000003"/>
    <n v="42.74"/>
    <n v="0"/>
    <n v="0"/>
    <n v="185.12"/>
    <n v="0"/>
  </r>
  <r>
    <x v="11"/>
    <x v="1"/>
    <x v="0"/>
    <s v="2605200"/>
    <n v="721410"/>
    <s v="Supplies-Medical - Nonbillable"/>
    <s v="WH-Gig Harbor OBGYN"/>
    <x v="0"/>
    <m/>
    <n v="171.2"/>
    <n v="2658.36"/>
    <n v="650.22"/>
    <n v="915.04"/>
    <n v="1267.8699999999999"/>
    <n v="1638.08"/>
    <n v="0"/>
    <n v="0"/>
    <n v="2125.2600000000002"/>
    <n v="524.30999999999995"/>
    <n v="0"/>
    <n v="2539.15"/>
    <n v="12489.489999999998"/>
    <n v="-2539.15"/>
  </r>
  <r>
    <x v="11"/>
    <x v="1"/>
    <x v="0"/>
    <s v="2605200"/>
    <n v="722000"/>
    <s v="Supplies-Freight Expense"/>
    <s v="WH-Gig Harbor OBGYN"/>
    <x v="0"/>
    <m/>
    <n v="0"/>
    <n v="25.15"/>
    <n v="0"/>
    <n v="0"/>
    <n v="0"/>
    <n v="0"/>
    <n v="0"/>
    <n v="0"/>
    <n v="0"/>
    <n v="0"/>
    <n v="0"/>
    <n v="0"/>
    <n v="25.15"/>
    <n v="0"/>
  </r>
  <r>
    <x v="0"/>
    <x v="1"/>
    <x v="0"/>
    <s v="2605200"/>
    <n v="740022"/>
    <s v="Education-Physician"/>
    <s v="WH-Gig Harbor OBGYN"/>
    <x v="0"/>
    <m/>
    <n v="0"/>
    <n v="0"/>
    <n v="0"/>
    <n v="0"/>
    <n v="0"/>
    <n v="0"/>
    <n v="0"/>
    <n v="0"/>
    <n v="0"/>
    <n v="1250"/>
    <n v="0"/>
    <n v="0"/>
    <n v="1250"/>
    <n v="0"/>
  </r>
  <r>
    <x v="8"/>
    <x v="1"/>
    <x v="0"/>
    <s v="2605200"/>
    <n v="741012"/>
    <s v="Physician Liab Insurance-CHI Program"/>
    <s v="WH-Gig Harbor OBGYN"/>
    <x v="0"/>
    <m/>
    <n v="2643.07"/>
    <n v="2643.08"/>
    <n v="5579.82"/>
    <n v="5579.83"/>
    <n v="5579.82"/>
    <n v="757.12"/>
    <n v="2936.75"/>
    <n v="2936.75"/>
    <n v="2936.75"/>
    <n v="2936.75"/>
    <n v="2936.75"/>
    <n v="2936.75"/>
    <n v="40403.24"/>
    <n v="0"/>
  </r>
  <r>
    <x v="0"/>
    <x v="1"/>
    <x v="0"/>
    <s v="2605200"/>
    <n v="742040"/>
    <s v="Freight-Other"/>
    <s v="WH-Gig Harbor OBGYN"/>
    <x v="0"/>
    <m/>
    <n v="0"/>
    <n v="0"/>
    <n v="0"/>
    <n v="0"/>
    <n v="0"/>
    <n v="0"/>
    <n v="0"/>
    <n v="0"/>
    <n v="0"/>
    <n v="0"/>
    <n v="0"/>
    <n v="54.58"/>
    <n v="54.58"/>
    <n v="-54.58"/>
  </r>
  <r>
    <x v="0"/>
    <x v="1"/>
    <x v="0"/>
    <s v="2605200"/>
    <n v="743020"/>
    <s v="Provider-Dues"/>
    <s v="WH-Gig Harbor OBGYN"/>
    <x v="0"/>
    <n v="2200"/>
    <n v="0"/>
    <n v="0"/>
    <n v="0"/>
    <n v="0"/>
    <n v="0"/>
    <n v="0"/>
    <n v="0"/>
    <n v="0"/>
    <n v="535"/>
    <n v="0"/>
    <n v="0"/>
    <n v="0"/>
    <n v="535"/>
    <n v="0"/>
  </r>
  <r>
    <x v="0"/>
    <x v="1"/>
    <x v="0"/>
    <s v="2605200"/>
    <n v="743022"/>
    <s v="Dues-Physician"/>
    <s v="WH-Gig Harbor OBGYN"/>
    <x v="0"/>
    <m/>
    <n v="0"/>
    <n v="0"/>
    <n v="0"/>
    <n v="0"/>
    <n v="0"/>
    <n v="0"/>
    <n v="0"/>
    <n v="143"/>
    <n v="0"/>
    <n v="350"/>
    <n v="0"/>
    <n v="835"/>
    <n v="1328"/>
    <n v="-835"/>
  </r>
  <r>
    <x v="0"/>
    <x v="1"/>
    <x v="0"/>
    <s v="2605200"/>
    <n v="743023"/>
    <s v="Dues-Advanced Practice Clinician"/>
    <s v="WH-Gig Harbor OBGYN"/>
    <x v="0"/>
    <m/>
    <n v="0"/>
    <n v="0"/>
    <n v="0"/>
    <n v="0"/>
    <n v="0"/>
    <n v="0"/>
    <n v="0"/>
    <n v="0"/>
    <n v="0"/>
    <n v="425"/>
    <n v="0"/>
    <n v="0"/>
    <n v="425"/>
    <n v="0"/>
  </r>
  <r>
    <x v="0"/>
    <x v="1"/>
    <x v="0"/>
    <s v="2605200"/>
    <n v="749510"/>
    <s v="Miscellaneous Expenses"/>
    <s v="WH-Gig Harbor OBGYN"/>
    <x v="0"/>
    <m/>
    <n v="-3410.32"/>
    <n v="33.979999999999997"/>
    <n v="714.01"/>
    <n v="-747.99"/>
    <n v="277.89999999999998"/>
    <n v="-277.89999999999998"/>
    <n v="1952.46"/>
    <n v="-1637.46"/>
    <n v="-315"/>
    <n v="0"/>
    <n v="98.58"/>
    <n v="566.41999999999996"/>
    <n v="-2745.3199999999997"/>
    <n v="-467.84"/>
  </r>
  <r>
    <x v="0"/>
    <x v="1"/>
    <x v="0"/>
    <s v="2605200"/>
    <n v="749512"/>
    <s v="Licenses-Physician"/>
    <s v="WH-Gig Harbor OBGYN"/>
    <x v="0"/>
    <n v="2000"/>
    <n v="0"/>
    <n v="0"/>
    <n v="0"/>
    <n v="731"/>
    <n v="0"/>
    <n v="0"/>
    <n v="0"/>
    <n v="441"/>
    <n v="0"/>
    <n v="0"/>
    <n v="0"/>
    <n v="0"/>
    <n v="1172"/>
    <n v="0"/>
  </r>
  <r>
    <x v="0"/>
    <x v="1"/>
    <x v="0"/>
    <s v="2605200"/>
    <n v="749513"/>
    <s v="Licenses-Advanced Practice Clinician"/>
    <s v="WH-Gig Harbor OBGYN"/>
    <x v="0"/>
    <n v="2000"/>
    <n v="0"/>
    <n v="0"/>
    <n v="0"/>
    <n v="0"/>
    <n v="0"/>
    <n v="245"/>
    <n v="0"/>
    <n v="731"/>
    <n v="315"/>
    <n v="0"/>
    <n v="0"/>
    <n v="0"/>
    <n v="1291"/>
    <n v="0"/>
  </r>
  <r>
    <x v="0"/>
    <x v="1"/>
    <x v="0"/>
    <s v="2605200"/>
    <n v="749530"/>
    <s v="Travel"/>
    <s v="WH-Gig Harbor OBGYN"/>
    <x v="0"/>
    <m/>
    <n v="0"/>
    <n v="0"/>
    <n v="10"/>
    <n v="5"/>
    <n v="0"/>
    <n v="10"/>
    <n v="0"/>
    <n v="24"/>
    <n v="29"/>
    <n v="58"/>
    <n v="0"/>
    <n v="74"/>
    <n v="210"/>
    <n v="-74"/>
  </r>
  <r>
    <x v="0"/>
    <x v="1"/>
    <x v="0"/>
    <s v="2605200"/>
    <n v="749530"/>
    <s v="Mileage"/>
    <s v="WH-Gig Harbor OBGYN"/>
    <x v="0"/>
    <n v="1001"/>
    <n v="0"/>
    <n v="0"/>
    <n v="23.98"/>
    <n v="11.99"/>
    <n v="0"/>
    <n v="22.9"/>
    <n v="0"/>
    <n v="0"/>
    <n v="12.18"/>
    <n v="111.36"/>
    <n v="0"/>
    <n v="130.5"/>
    <n v="312.90999999999997"/>
    <n v="-130.5"/>
  </r>
  <r>
    <x v="0"/>
    <x v="1"/>
    <x v="0"/>
    <s v="2605200"/>
    <n v="749532"/>
    <s v="Travel-Physician"/>
    <s v="WH-Gig Harbor OBGYN"/>
    <x v="0"/>
    <m/>
    <n v="0"/>
    <n v="0"/>
    <n v="0"/>
    <n v="0"/>
    <n v="0"/>
    <n v="0"/>
    <n v="0"/>
    <n v="0"/>
    <n v="0"/>
    <n v="1758.8"/>
    <n v="0"/>
    <n v="0"/>
    <n v="1758.8"/>
    <n v="0"/>
  </r>
  <r>
    <x v="0"/>
    <x v="1"/>
    <x v="0"/>
    <s v="2605200"/>
    <n v="749533"/>
    <s v="Travel-Advanced Practice Clinician"/>
    <s v="WH-Gig Harbor OBGYN"/>
    <x v="0"/>
    <m/>
    <n v="0"/>
    <n v="0"/>
    <n v="0"/>
    <n v="0"/>
    <n v="0"/>
    <n v="0"/>
    <n v="4.24"/>
    <n v="780.46"/>
    <n v="0"/>
    <n v="0"/>
    <n v="0"/>
    <n v="0"/>
    <n v="784.7"/>
    <n v="0"/>
  </r>
  <r>
    <x v="5"/>
    <x v="1"/>
    <x v="0"/>
    <s v="2606200"/>
    <n v="700034"/>
    <s v="Salaries-Tech/Professional-Productive"/>
    <s v="WH-Gig Harbor ULTRASOUND"/>
    <x v="0"/>
    <m/>
    <n v="5176.55"/>
    <n v="8680.32"/>
    <n v="6012.93"/>
    <n v="8631.4699999999993"/>
    <n v="8132.11"/>
    <n v="5902.56"/>
    <n v="8392.7900000000009"/>
    <n v="4257.09"/>
    <n v="5899.52"/>
    <n v="7102.58"/>
    <n v="9368.19"/>
    <n v="7497.38"/>
    <n v="85053.49"/>
    <n v="1870.8100000000004"/>
  </r>
  <r>
    <x v="5"/>
    <x v="1"/>
    <x v="0"/>
    <s v="2606200"/>
    <n v="700034"/>
    <s v="Salaries-Tech/Professional-OT"/>
    <s v="WH-Gig Harbor ULTRASOUND"/>
    <x v="0"/>
    <n v="1000"/>
    <n v="142.94"/>
    <n v="1636.91"/>
    <n v="-153.44"/>
    <n v="188.66"/>
    <n v="186.67"/>
    <n v="147.91999999999999"/>
    <n v="578.44000000000005"/>
    <n v="190.45"/>
    <n v="290.95999999999998"/>
    <n v="432.07"/>
    <n v="547.23"/>
    <n v="423.29"/>
    <n v="4612.1000000000004"/>
    <n v="123.94"/>
  </r>
  <r>
    <x v="5"/>
    <x v="1"/>
    <x v="0"/>
    <s v="2606200"/>
    <n v="700034"/>
    <s v="Salaries-Tech/Professional-Other"/>
    <s v="WH-Gig Harbor ULTRASOUND"/>
    <x v="0"/>
    <n v="2000"/>
    <n v="90.31"/>
    <n v="122.15"/>
    <n v="74.83"/>
    <n v="93.81"/>
    <n v="89.59"/>
    <n v="81.33"/>
    <n v="96.6"/>
    <n v="82.1"/>
    <n v="85.95"/>
    <n v="88.85"/>
    <n v="104.94"/>
    <n v="91.14"/>
    <n v="1101.6000000000004"/>
    <n v="13.799999999999997"/>
  </r>
  <r>
    <x v="5"/>
    <x v="1"/>
    <x v="0"/>
    <s v="2606200"/>
    <n v="700074"/>
    <s v="Salaries-Tech/Professional-Non-productive"/>
    <s v="WH-Gig Harbor ULTRASOUND"/>
    <x v="0"/>
    <m/>
    <n v="2893.44"/>
    <n v="-361.68"/>
    <n v="1158.51"/>
    <n v="-45.76"/>
    <n v="126.34"/>
    <n v="1609.57"/>
    <n v="262.58"/>
    <n v="3298.85"/>
    <n v="1949.33"/>
    <n v="923.1"/>
    <n v="-688.81"/>
    <n v="0"/>
    <n v="11125.470000000001"/>
    <n v="-688.81"/>
  </r>
  <r>
    <x v="5"/>
    <x v="1"/>
    <x v="0"/>
    <s v="2606200"/>
    <n v="700074"/>
    <s v="Salaries-Tech/Professional-NonProd-Other"/>
    <s v="WH-Gig Harbor ULTRASOUN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06200"/>
    <n v="700084"/>
    <s v="Accrued PTO"/>
    <s v="WH-Gig Harbor ULTRASOUND"/>
    <x v="0"/>
    <m/>
    <n v="-1595.15"/>
    <n v="905.11"/>
    <n v="-215.2"/>
    <n v="868.23"/>
    <n v="282.14"/>
    <n v="-225.52"/>
    <n v="503.92"/>
    <n v="-2139.6999999999998"/>
    <n v="121.18"/>
    <n v="-117.44"/>
    <n v="878.25"/>
    <n v="1290.47"/>
    <n v="556.29000000000019"/>
    <n v="-412.22"/>
  </r>
  <r>
    <x v="6"/>
    <x v="1"/>
    <x v="0"/>
    <s v="2606200"/>
    <n v="713010"/>
    <s v="Benefits-FICA/Medicare"/>
    <s v="WH-Gig Harbor ULTRASOUND"/>
    <x v="0"/>
    <m/>
    <n v="598.96"/>
    <n v="733.08"/>
    <n v="509.65"/>
    <n v="640.55999999999995"/>
    <n v="616.69000000000005"/>
    <n v="557.54"/>
    <n v="674.61"/>
    <n v="564.88"/>
    <n v="593.6"/>
    <n v="616.41"/>
    <n v="674.76"/>
    <n v="578.88"/>
    <n v="7359.6200000000008"/>
    <n v="95.88"/>
  </r>
  <r>
    <x v="6"/>
    <x v="1"/>
    <x v="0"/>
    <s v="2606200"/>
    <n v="713090"/>
    <s v="Benefits-Allocated Amounts"/>
    <s v="WH-Gig Harbor ULTRASOUND"/>
    <x v="0"/>
    <m/>
    <n v="1232.8499999999999"/>
    <n v="1344.67"/>
    <n v="1203.32"/>
    <n v="1259.55"/>
    <n v="1268.71"/>
    <n v="1329.48"/>
    <n v="1551.5"/>
    <n v="1364.34"/>
    <n v="1289.97"/>
    <n v="1323.55"/>
    <n v="1519.98"/>
    <n v="1392.78"/>
    <n v="16080.699999999999"/>
    <n v="127.20000000000005"/>
  </r>
  <r>
    <x v="0"/>
    <x v="1"/>
    <x v="0"/>
    <s v="2606200"/>
    <n v="749510"/>
    <s v="Miscellaneous Expenses"/>
    <s v="WH-Gig Harbor ULTRASOUND"/>
    <x v="0"/>
    <m/>
    <n v="0"/>
    <n v="192.39"/>
    <n v="-192.39"/>
    <n v="169.9"/>
    <n v="-169.9"/>
    <n v="152.91"/>
    <n v="-70.63"/>
    <n v="-82.28"/>
    <n v="91.3"/>
    <n v="-91.3"/>
    <n v="0"/>
    <n v="0"/>
    <n v="0"/>
    <n v="0"/>
  </r>
  <r>
    <x v="0"/>
    <x v="1"/>
    <x v="0"/>
    <s v="2606200"/>
    <n v="749530"/>
    <s v="Travel"/>
    <s v="WH-Gig Harbor ULTRASOUND"/>
    <x v="0"/>
    <m/>
    <n v="0"/>
    <n v="25"/>
    <n v="60.5"/>
    <n v="44"/>
    <n v="50"/>
    <n v="33"/>
    <n v="45"/>
    <n v="44"/>
    <n v="0"/>
    <n v="27.5"/>
    <n v="0"/>
    <n v="33"/>
    <n v="362"/>
    <n v="-33"/>
  </r>
  <r>
    <x v="0"/>
    <x v="1"/>
    <x v="0"/>
    <s v="2606200"/>
    <n v="749530"/>
    <s v="Mileage"/>
    <s v="WH-Gig Harbor ULTRASOUND"/>
    <x v="0"/>
    <n v="1001"/>
    <n v="0"/>
    <n v="59.95"/>
    <n v="131.88999999999999"/>
    <n v="95.92"/>
    <n v="119.9"/>
    <n v="68.7"/>
    <n v="107.91"/>
    <n v="38.28"/>
    <n v="0"/>
    <n v="63.8"/>
    <n v="0"/>
    <n v="76.56"/>
    <n v="762.90999999999985"/>
    <n v="-76.56"/>
  </r>
  <r>
    <x v="1"/>
    <x v="1"/>
    <x v="0"/>
    <s v="2607200"/>
    <n v="400029"/>
    <s v="MD Practice Other Rev--Medicaid"/>
    <s v="ENT Clinic-ENT St Clare"/>
    <x v="0"/>
    <n v="1200"/>
    <n v="0"/>
    <n v="-555"/>
    <n v="-555"/>
    <n v="0"/>
    <n v="0"/>
    <n v="-273"/>
    <n v="0"/>
    <n v="0"/>
    <n v="0"/>
    <n v="0"/>
    <n v="0"/>
    <n v="0"/>
    <n v="-1383"/>
    <n v="0"/>
  </r>
  <r>
    <x v="1"/>
    <x v="1"/>
    <x v="0"/>
    <s v="2607200"/>
    <n v="400029"/>
    <s v="MD Practice Other Rev--Managed Care"/>
    <s v="ENT Clinic-ENT St Clare"/>
    <x v="0"/>
    <n v="1400"/>
    <n v="0"/>
    <n v="0"/>
    <n v="-555"/>
    <n v="-1110"/>
    <n v="0"/>
    <n v="0"/>
    <n v="0"/>
    <n v="0"/>
    <n v="0"/>
    <n v="0"/>
    <n v="0"/>
    <n v="0"/>
    <n v="-1665"/>
    <n v="0"/>
  </r>
  <r>
    <x v="1"/>
    <x v="1"/>
    <x v="0"/>
    <s v="2607200"/>
    <n v="400029"/>
    <s v="MD Practice Other Rev--Self Pay"/>
    <s v="ENT Clinic-ENT St Clare"/>
    <x v="0"/>
    <n v="1500"/>
    <n v="0"/>
    <n v="0"/>
    <n v="0"/>
    <n v="0"/>
    <n v="-662"/>
    <n v="273"/>
    <n v="0"/>
    <n v="0"/>
    <n v="0"/>
    <n v="0"/>
    <n v="0"/>
    <n v="0"/>
    <n v="-389"/>
    <n v="0"/>
  </r>
  <r>
    <x v="1"/>
    <x v="1"/>
    <x v="0"/>
    <s v="2607200"/>
    <n v="400029"/>
    <s v="MD Practice Other Rev--Other"/>
    <s v="ENT Clinic-ENT St Clare"/>
    <x v="0"/>
    <n v="1700"/>
    <n v="0"/>
    <n v="0"/>
    <n v="0"/>
    <n v="0"/>
    <n v="-555"/>
    <n v="0"/>
    <n v="0"/>
    <n v="0"/>
    <n v="0"/>
    <n v="0"/>
    <n v="0"/>
    <n v="0"/>
    <n v="-555"/>
    <n v="0"/>
  </r>
  <r>
    <x v="1"/>
    <x v="1"/>
    <x v="0"/>
    <s v="2607200"/>
    <n v="400040"/>
    <s v="Physician Svcs Rev--Medicare"/>
    <s v="ENT Clinic-ENT St Clare"/>
    <x v="0"/>
    <n v="1100"/>
    <n v="-61790"/>
    <n v="-70394"/>
    <n v="-36827"/>
    <n v="-56083"/>
    <n v="-43813.2"/>
    <n v="-49442"/>
    <n v="-51500"/>
    <n v="-46307"/>
    <n v="-50072"/>
    <n v="-64737"/>
    <n v="-57451.5"/>
    <n v="-57321.87"/>
    <n v="-645738.56999999995"/>
    <n v="-129.62999999999738"/>
  </r>
  <r>
    <x v="1"/>
    <x v="1"/>
    <x v="0"/>
    <s v="2607200"/>
    <n v="400040"/>
    <s v="Physician Svcs Rev--Medicaid"/>
    <s v="ENT Clinic-ENT St Clare"/>
    <x v="0"/>
    <n v="1200"/>
    <n v="-35675"/>
    <n v="-38504"/>
    <n v="-29560"/>
    <n v="-44385"/>
    <n v="-29034"/>
    <n v="-31407"/>
    <n v="-25086"/>
    <n v="-39203"/>
    <n v="-25381"/>
    <n v="-40070"/>
    <n v="-28492"/>
    <n v="-35202"/>
    <n v="-401999"/>
    <n v="6710"/>
  </r>
  <r>
    <x v="1"/>
    <x v="1"/>
    <x v="0"/>
    <s v="2607200"/>
    <n v="400040"/>
    <s v="Physician Svcs Rev--Comm Insurance"/>
    <s v="ENT Clinic-ENT St Clare"/>
    <x v="0"/>
    <n v="1300"/>
    <n v="-5931"/>
    <n v="-11220"/>
    <n v="-2348"/>
    <n v="-5254"/>
    <n v="-8972"/>
    <n v="-5330"/>
    <n v="-5081"/>
    <n v="-2174"/>
    <n v="-10449"/>
    <n v="-4428"/>
    <n v="-20552"/>
    <n v="-7881"/>
    <n v="-89620"/>
    <n v="-12671"/>
  </r>
  <r>
    <x v="1"/>
    <x v="1"/>
    <x v="0"/>
    <s v="2607200"/>
    <n v="400040"/>
    <s v="Physician Svcs Rev--BCBS Comm"/>
    <s v="ENT Clinic-ENT St Clare"/>
    <x v="0"/>
    <n v="1301"/>
    <n v="-5982"/>
    <n v="-23986"/>
    <n v="-6548"/>
    <n v="-3940"/>
    <n v="-10995"/>
    <n v="-3851"/>
    <n v="-5078"/>
    <n v="-6645"/>
    <n v="-9476"/>
    <n v="-8448"/>
    <n v="-16305"/>
    <n v="-19121"/>
    <n v="-120375"/>
    <n v="2816"/>
  </r>
  <r>
    <x v="1"/>
    <x v="1"/>
    <x v="0"/>
    <s v="2607200"/>
    <n v="400040"/>
    <s v="Physician Svcs Rev--Managed Care"/>
    <s v="ENT Clinic-ENT St Clare"/>
    <x v="0"/>
    <n v="1400"/>
    <n v="-20910"/>
    <n v="-47728"/>
    <n v="-27250"/>
    <n v="-42897"/>
    <n v="-49416"/>
    <n v="-30750.2"/>
    <n v="-33142"/>
    <n v="-56834.2"/>
    <n v="-43877"/>
    <n v="-23114"/>
    <n v="-40376"/>
    <n v="-27292"/>
    <n v="-443586.4"/>
    <n v="-13084"/>
  </r>
  <r>
    <x v="1"/>
    <x v="1"/>
    <x v="0"/>
    <s v="2607200"/>
    <n v="400040"/>
    <s v="Physician Svcs Rev--Self Pay"/>
    <s v="ENT Clinic-ENT St Clare"/>
    <x v="0"/>
    <n v="1500"/>
    <n v="-1345"/>
    <n v="-3892"/>
    <n v="-2588"/>
    <n v="-1554"/>
    <n v="-1562"/>
    <n v="-1639"/>
    <n v="-2509"/>
    <n v="-843"/>
    <n v="-2323"/>
    <n v="-1524"/>
    <n v="-1505"/>
    <n v="-2787"/>
    <n v="-24071"/>
    <n v="1282"/>
  </r>
  <r>
    <x v="1"/>
    <x v="1"/>
    <x v="0"/>
    <s v="2607200"/>
    <n v="400040"/>
    <s v="Physician Svcs Rev--Other"/>
    <s v="ENT Clinic-ENT St Clare"/>
    <x v="0"/>
    <n v="1700"/>
    <n v="-9149"/>
    <n v="-15762"/>
    <n v="-15367.2"/>
    <n v="-9235"/>
    <n v="-8826"/>
    <n v="-9889"/>
    <n v="-6994"/>
    <n v="-4516"/>
    <n v="-12442"/>
    <n v="-5719"/>
    <n v="-16960"/>
    <n v="-7637"/>
    <n v="-122496.2"/>
    <n v="-9323"/>
  </r>
  <r>
    <x v="2"/>
    <x v="1"/>
    <x v="0"/>
    <s v="2607200"/>
    <n v="450029"/>
    <s v="Contr Allow--MD Other-Medicaid"/>
    <s v="ENT Clinic-ENT St Clare"/>
    <x v="0"/>
    <n v="1200"/>
    <n v="0"/>
    <n v="0"/>
    <n v="429.67"/>
    <n v="419.03"/>
    <n v="0"/>
    <n v="207.81"/>
    <n v="0"/>
    <n v="0"/>
    <n v="0"/>
    <n v="0"/>
    <n v="0"/>
    <n v="0"/>
    <n v="1056.51"/>
    <n v="0"/>
  </r>
  <r>
    <x v="2"/>
    <x v="1"/>
    <x v="0"/>
    <s v="2607200"/>
    <n v="450029"/>
    <s v="Contr Allow--MD Other-Managed Care"/>
    <s v="ENT Clinic-ENT St Clare"/>
    <x v="0"/>
    <n v="1400"/>
    <n v="0"/>
    <n v="0"/>
    <n v="185.85"/>
    <n v="377.84"/>
    <n v="0"/>
    <n v="0"/>
    <n v="0"/>
    <n v="0"/>
    <n v="0"/>
    <n v="0"/>
    <n v="0"/>
    <n v="0"/>
    <n v="563.68999999999994"/>
    <n v="0"/>
  </r>
  <r>
    <x v="2"/>
    <x v="1"/>
    <x v="0"/>
    <s v="2607200"/>
    <n v="450029"/>
    <s v="Admin Adjust-MD Other-Self Pay"/>
    <s v="ENT Clinic-ENT St Clare"/>
    <x v="0"/>
    <n v="1600"/>
    <n v="0"/>
    <n v="0"/>
    <n v="0"/>
    <n v="0"/>
    <n v="244.94"/>
    <n v="-101.01"/>
    <n v="0"/>
    <n v="0"/>
    <n v="0"/>
    <n v="0"/>
    <n v="0"/>
    <n v="0"/>
    <n v="143.93"/>
    <n v="0"/>
  </r>
  <r>
    <x v="2"/>
    <x v="1"/>
    <x v="0"/>
    <s v="2607200"/>
    <n v="450040"/>
    <s v="Contr Allow--Phys Svcs--Mcare"/>
    <s v="ENT Clinic-ENT St Clare"/>
    <x v="0"/>
    <n v="1100"/>
    <n v="39506.79"/>
    <n v="47770.45"/>
    <n v="30721.95"/>
    <n v="29568.959999999999"/>
    <n v="31990.55"/>
    <n v="35014.269999999997"/>
    <n v="28787.73"/>
    <n v="28796.43"/>
    <n v="32778.76"/>
    <n v="38775.07"/>
    <n v="32965.19"/>
    <n v="32272.560000000001"/>
    <n v="408948.71"/>
    <n v="692.63000000000102"/>
  </r>
  <r>
    <x v="2"/>
    <x v="1"/>
    <x v="0"/>
    <s v="2607200"/>
    <n v="450040"/>
    <s v="Contr Allow--Phys Svcs--Mcaid"/>
    <s v="ENT Clinic-ENT St Clare"/>
    <x v="0"/>
    <n v="1200"/>
    <n v="32034.25"/>
    <n v="34012.04"/>
    <n v="31606.28"/>
    <n v="28189.06"/>
    <n v="27212.87"/>
    <n v="23114.55"/>
    <n v="23464.18"/>
    <n v="16771.93"/>
    <n v="34994.519999999997"/>
    <n v="28071.4"/>
    <n v="20828.060000000001"/>
    <n v="21497.63"/>
    <n v="321796.76999999996"/>
    <n v="-669.56999999999971"/>
  </r>
  <r>
    <x v="2"/>
    <x v="1"/>
    <x v="0"/>
    <s v="2607200"/>
    <n v="450040"/>
    <s v="Contr Allow--Phys Svcs--Comm Insurance"/>
    <s v="ENT Clinic-ENT St Clare"/>
    <x v="0"/>
    <n v="1300"/>
    <n v="4706.93"/>
    <n v="5325.37"/>
    <n v="2838.05"/>
    <n v="2036"/>
    <n v="1480.41"/>
    <n v="4974.63"/>
    <n v="1470.7"/>
    <n v="2416.5"/>
    <n v="1863.08"/>
    <n v="3282.21"/>
    <n v="2556.63"/>
    <n v="6090.85"/>
    <n v="39041.359999999993"/>
    <n v="-3534.2200000000003"/>
  </r>
  <r>
    <x v="2"/>
    <x v="1"/>
    <x v="0"/>
    <s v="2607200"/>
    <n v="450040"/>
    <s v="Contr Allow--Phys Svcs--BCBS Comm Ins"/>
    <s v="ENT Clinic-ENT St Clare"/>
    <x v="0"/>
    <n v="1301"/>
    <n v="2678.77"/>
    <n v="7727.54"/>
    <n v="1829.09"/>
    <n v="1442.55"/>
    <n v="2156.06"/>
    <n v="1593.31"/>
    <n v="771.12"/>
    <n v="1096.28"/>
    <n v="3468.82"/>
    <n v="2036.54"/>
    <n v="2756.82"/>
    <n v="6675.8"/>
    <n v="34232.699999999997"/>
    <n v="-3918.98"/>
  </r>
  <r>
    <x v="2"/>
    <x v="1"/>
    <x v="0"/>
    <s v="2607200"/>
    <n v="450040"/>
    <s v="Contr Allow--Phys Svcs--Managed Care"/>
    <s v="ENT Clinic-ENT St Clare"/>
    <x v="0"/>
    <n v="1400"/>
    <n v="10256.49"/>
    <n v="15485.09"/>
    <n v="8618.7099999999991"/>
    <n v="27529.27"/>
    <n v="18266.97"/>
    <n v="8775.5"/>
    <n v="14023.19"/>
    <n v="11984.1"/>
    <n v="22641.57"/>
    <n v="12528.03"/>
    <n v="13151"/>
    <n v="13655.53"/>
    <n v="176915.45"/>
    <n v="-504.53000000000065"/>
  </r>
  <r>
    <x v="2"/>
    <x v="1"/>
    <x v="0"/>
    <s v="2607200"/>
    <n v="450040"/>
    <s v="Contr Allow--Phys Svcs--BCBS Mgnd Care"/>
    <s v="ENT Clinic-ENT St Clare"/>
    <x v="0"/>
    <n v="1401"/>
    <n v="-8092.49"/>
    <n v="2541.1999999999998"/>
    <n v="-5747.91"/>
    <n v="-2650.14"/>
    <n v="1403.42"/>
    <n v="382.84"/>
    <n v="1315.9"/>
    <n v="24898.65"/>
    <n v="-12862.48"/>
    <n v="-3657.62"/>
    <n v="22077.47"/>
    <n v="-2411.86"/>
    <n v="17196.980000000003"/>
    <n v="24489.33"/>
  </r>
  <r>
    <x v="2"/>
    <x v="1"/>
    <x v="0"/>
    <s v="2607200"/>
    <n v="450040"/>
    <s v="Admin Adjust-Phys Svcs-Self Pay"/>
    <s v="ENT Clinic-ENT St Clare"/>
    <x v="0"/>
    <n v="1600"/>
    <n v="-2429.9899999999998"/>
    <n v="2167.2600000000002"/>
    <n v="1130.3"/>
    <n v="722.83"/>
    <n v="817.03"/>
    <n v="712.81"/>
    <n v="1209.06"/>
    <n v="10.16"/>
    <n v="879.36"/>
    <n v="658.71"/>
    <n v="809.38"/>
    <n v="1135.5899999999999"/>
    <n v="7822.5"/>
    <n v="-326.20999999999992"/>
  </r>
  <r>
    <x v="2"/>
    <x v="1"/>
    <x v="0"/>
    <s v="2607200"/>
    <n v="450040"/>
    <s v="Contr Allow--Phys Svcs--Other"/>
    <s v="ENT Clinic-ENT St Clare"/>
    <x v="0"/>
    <n v="1700"/>
    <n v="7467.7"/>
    <n v="8265.6"/>
    <n v="7632.19"/>
    <n v="7262.02"/>
    <n v="1758.34"/>
    <n v="3372.37"/>
    <n v="6120.8"/>
    <n v="4580.93"/>
    <n v="3511.86"/>
    <n v="5600.98"/>
    <n v="5453.96"/>
    <n v="3560.33"/>
    <n v="64587.080000000009"/>
    <n v="1893.63"/>
  </r>
  <r>
    <x v="3"/>
    <x v="1"/>
    <x v="0"/>
    <s v="2607200"/>
    <n v="470040"/>
    <s v="Charity Care-Physician Svcs"/>
    <s v="ENT Clinic-ENT St Clare"/>
    <x v="0"/>
    <m/>
    <n v="951.71"/>
    <n v="1130.96"/>
    <n v="-197.33"/>
    <n v="878.56"/>
    <n v="361.48"/>
    <n v="1513.74"/>
    <n v="2143.9"/>
    <n v="3394.62"/>
    <n v="6015.68"/>
    <n v="1395.32"/>
    <n v="834.14"/>
    <n v="1340.07"/>
    <n v="19762.849999999999"/>
    <n v="-505.92999999999995"/>
  </r>
  <r>
    <x v="4"/>
    <x v="1"/>
    <x v="0"/>
    <s v="2607200"/>
    <n v="490010"/>
    <s v="Provision for Bad Debts"/>
    <s v="ENT Clinic-ENT St Clare"/>
    <x v="0"/>
    <m/>
    <n v="1249.24"/>
    <n v="5148.47"/>
    <n v="273.26"/>
    <n v="2016.65"/>
    <n v="2444.7399999999998"/>
    <n v="408.88"/>
    <n v="3330.02"/>
    <n v="1892.44"/>
    <n v="1678.11"/>
    <n v="2700.03"/>
    <n v="5166.42"/>
    <n v="997.14"/>
    <n v="27305.4"/>
    <n v="4169.28"/>
  </r>
  <r>
    <x v="14"/>
    <x v="1"/>
    <x v="0"/>
    <s v="2607200"/>
    <n v="600050"/>
    <s v="Miscellaneous Revenue"/>
    <s v="ENT Clinic-ENT St Clare"/>
    <x v="0"/>
    <m/>
    <n v="-7000"/>
    <n v="-6000"/>
    <n v="-7000"/>
    <n v="0"/>
    <n v="-15300"/>
    <n v="-15000"/>
    <n v="0"/>
    <n v="-7000"/>
    <n v="-8000"/>
    <n v="-3000"/>
    <n v="-9000"/>
    <n v="-13000"/>
    <n v="-90300"/>
    <n v="4000"/>
  </r>
  <r>
    <x v="5"/>
    <x v="1"/>
    <x v="0"/>
    <s v="2607200"/>
    <n v="700022"/>
    <s v="Salaries-Physician-Productive"/>
    <s v="ENT Clinic-ENT St Clare"/>
    <x v="0"/>
    <m/>
    <n v="29485.66"/>
    <n v="39523.31"/>
    <n v="21713.439999999999"/>
    <n v="35672.080000000002"/>
    <n v="36813.919999999998"/>
    <n v="28318.080000000002"/>
    <n v="30724.9"/>
    <n v="34236.39"/>
    <n v="35862.74"/>
    <n v="30684.76"/>
    <n v="40344.879999999997"/>
    <n v="33467.360000000001"/>
    <n v="396847.51999999996"/>
    <n v="6877.5199999999968"/>
  </r>
  <r>
    <x v="5"/>
    <x v="1"/>
    <x v="0"/>
    <s v="2607200"/>
    <n v="700022"/>
    <s v="Salaries-Physician-Other"/>
    <s v="ENT Clinic-ENT St Clare"/>
    <x v="0"/>
    <n v="2000"/>
    <n v="7000"/>
    <n v="6000"/>
    <n v="7000"/>
    <n v="0"/>
    <n v="15300"/>
    <n v="15000"/>
    <n v="0"/>
    <n v="7000"/>
    <n v="8000"/>
    <n v="3000"/>
    <n v="9000"/>
    <n v="13000"/>
    <n v="90300"/>
    <n v="-4000"/>
  </r>
  <r>
    <x v="5"/>
    <x v="1"/>
    <x v="0"/>
    <s v="2607200"/>
    <n v="700026"/>
    <s v="Salaries-RN-Productive"/>
    <s v="ENT Clinic-ENT St Clare"/>
    <x v="0"/>
    <m/>
    <n v="4761.6000000000004"/>
    <n v="8301.1200000000008"/>
    <n v="4528.4799999999996"/>
    <n v="7430.33"/>
    <n v="7105.06"/>
    <n v="4768.55"/>
    <n v="7977.42"/>
    <n v="5721.94"/>
    <n v="6954.6"/>
    <n v="7397.18"/>
    <n v="2483.15"/>
    <n v="4865.18"/>
    <n v="72294.609999999986"/>
    <n v="-2382.0300000000002"/>
  </r>
  <r>
    <x v="5"/>
    <x v="1"/>
    <x v="0"/>
    <s v="2607200"/>
    <n v="700026"/>
    <s v="Salaries-RN-OT"/>
    <s v="ENT Clinic-ENT St Clare"/>
    <x v="0"/>
    <n v="1000"/>
    <n v="447.85"/>
    <n v="14.65"/>
    <n v="148.80000000000001"/>
    <n v="-2.31"/>
    <n v="353.82"/>
    <n v="-183.01"/>
    <n v="455.84"/>
    <n v="19.87"/>
    <n v="261.18"/>
    <n v="-6.13"/>
    <n v="227.6"/>
    <n v="122.19"/>
    <n v="1860.3499999999997"/>
    <n v="105.41"/>
  </r>
  <r>
    <x v="5"/>
    <x v="1"/>
    <x v="0"/>
    <s v="2607200"/>
    <n v="700026"/>
    <s v="Salaries-RN-Other"/>
    <s v="ENT Clinic-ENT St Clare"/>
    <x v="0"/>
    <n v="2000"/>
    <n v="8.25"/>
    <n v="-1.37"/>
    <n v="0"/>
    <n v="0"/>
    <n v="0"/>
    <n v="0"/>
    <n v="0"/>
    <n v="0"/>
    <n v="0"/>
    <n v="0"/>
    <n v="0"/>
    <n v="9.39"/>
    <n v="16.27"/>
    <n v="-9.39"/>
  </r>
  <r>
    <x v="5"/>
    <x v="1"/>
    <x v="0"/>
    <s v="2607200"/>
    <n v="700030"/>
    <s v="Salaries-LPN-Productive"/>
    <s v="ENT Clinic-ENT St Clare"/>
    <x v="0"/>
    <m/>
    <n v="877.74"/>
    <n v="-146.28"/>
    <n v="0"/>
    <n v="0"/>
    <n v="0"/>
    <n v="0"/>
    <n v="0"/>
    <n v="0"/>
    <n v="0"/>
    <n v="0"/>
    <n v="354.77"/>
    <n v="-110.5"/>
    <n v="975.73"/>
    <n v="465.27"/>
  </r>
  <r>
    <x v="5"/>
    <x v="1"/>
    <x v="0"/>
    <s v="2607200"/>
    <n v="700030"/>
    <s v="Salaries-LPN-Other"/>
    <s v="ENT Clinic-ENT St Clare"/>
    <x v="0"/>
    <n v="2000"/>
    <n v="0"/>
    <n v="0"/>
    <n v="0"/>
    <n v="0"/>
    <n v="0"/>
    <n v="0"/>
    <n v="0"/>
    <n v="0"/>
    <n v="0"/>
    <n v="0"/>
    <n v="15.28"/>
    <n v="-4.76"/>
    <n v="10.52"/>
    <n v="20.04"/>
  </r>
  <r>
    <x v="5"/>
    <x v="1"/>
    <x v="0"/>
    <s v="2607200"/>
    <n v="700032"/>
    <s v="Salaries-Other Pat Care Providers-Productive"/>
    <s v="ENT Clinic-ENT St Clare"/>
    <x v="0"/>
    <m/>
    <n v="0"/>
    <n v="0"/>
    <n v="464.08"/>
    <n v="589.21"/>
    <n v="706.3"/>
    <n v="1062.28"/>
    <n v="240.38"/>
    <n v="30.3"/>
    <n v="1117.6199999999999"/>
    <n v="818.5"/>
    <n v="1288.4000000000001"/>
    <n v="2351.73"/>
    <n v="8668.7999999999993"/>
    <n v="-1063.33"/>
  </r>
  <r>
    <x v="5"/>
    <x v="1"/>
    <x v="0"/>
    <s v="2607200"/>
    <n v="700032"/>
    <s v="Salaries-Other Pat Care Providers-Other"/>
    <s v="ENT Clinic-ENT St Clare"/>
    <x v="0"/>
    <n v="2000"/>
    <n v="0"/>
    <n v="0"/>
    <n v="0"/>
    <n v="0"/>
    <n v="0"/>
    <n v="0"/>
    <n v="0"/>
    <n v="0"/>
    <n v="0"/>
    <n v="0"/>
    <n v="26.61"/>
    <n v="16.75"/>
    <n v="43.36"/>
    <n v="9.86"/>
  </r>
  <r>
    <x v="5"/>
    <x v="1"/>
    <x v="0"/>
    <s v="2607200"/>
    <n v="700062"/>
    <s v="Salaries-Physician-Non-productive"/>
    <s v="ENT Clinic-ENT St Clare"/>
    <x v="0"/>
    <m/>
    <n v="1308.24"/>
    <n v="0"/>
    <n v="9305.76"/>
    <n v="0"/>
    <n v="0"/>
    <n v="7079.52"/>
    <n v="8103.24"/>
    <n v="0"/>
    <n v="0"/>
    <n v="6821.44"/>
    <n v="0"/>
    <n v="1761.44"/>
    <n v="34379.64"/>
    <n v="-1761.44"/>
  </r>
  <r>
    <x v="5"/>
    <x v="1"/>
    <x v="0"/>
    <s v="2607200"/>
    <n v="700066"/>
    <s v="Salaries-RN-Non-productive"/>
    <s v="ENT Clinic-ENT St Clare"/>
    <x v="0"/>
    <m/>
    <n v="2241.92"/>
    <n v="0"/>
    <n v="1805.44"/>
    <n v="0"/>
    <n v="61"/>
    <n v="1813.88"/>
    <n v="270.94"/>
    <n v="515.23"/>
    <n v="-57.02"/>
    <n v="71.28"/>
    <n v="4887.5600000000004"/>
    <n v="1262.6099999999999"/>
    <n v="12872.84"/>
    <n v="3624.9500000000007"/>
  </r>
  <r>
    <x v="5"/>
    <x v="1"/>
    <x v="0"/>
    <s v="2607200"/>
    <n v="700066"/>
    <s v="Salaries-RN-NonProd-Other"/>
    <s v="ENT Clinic-ENT St Cl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07200"/>
    <n v="700084"/>
    <s v="Accrued PTO"/>
    <s v="ENT Clinic-ENT St Clare"/>
    <x v="0"/>
    <m/>
    <n v="-1280.1199999999999"/>
    <n v="272.2"/>
    <n v="-1213.01"/>
    <n v="623.51"/>
    <n v="551.07000000000005"/>
    <n v="-871.15"/>
    <n v="286.73"/>
    <n v="143.97"/>
    <n v="610.86"/>
    <n v="532.37"/>
    <n v="-1665.43"/>
    <n v="-208.24"/>
    <n v="-2217.2399999999998"/>
    <n v="-1457.19"/>
  </r>
  <r>
    <x v="6"/>
    <x v="1"/>
    <x v="0"/>
    <s v="2607200"/>
    <n v="713010"/>
    <s v="Benefits-FICA/Medicare"/>
    <s v="ENT Clinic-ENT St Clare"/>
    <x v="0"/>
    <m/>
    <n v="1067.29"/>
    <n v="1199.95"/>
    <n v="940.16"/>
    <n v="1108.17"/>
    <n v="1144.3"/>
    <n v="2189.41"/>
    <n v="3599.57"/>
    <n v="3004.93"/>
    <n v="3308.77"/>
    <n v="733.43"/>
    <n v="1270.3699999999999"/>
    <n v="1137.92"/>
    <n v="20704.269999999997"/>
    <n v="132.44999999999982"/>
  </r>
  <r>
    <x v="6"/>
    <x v="1"/>
    <x v="0"/>
    <s v="2607200"/>
    <n v="713090"/>
    <s v="Benefits-Allocated Amounts"/>
    <s v="ENT Clinic-ENT St Clare"/>
    <x v="0"/>
    <m/>
    <n v="0"/>
    <n v="0"/>
    <n v="0"/>
    <n v="0"/>
    <n v="0"/>
    <n v="0"/>
    <n v="0"/>
    <n v="0"/>
    <n v="19533.310000000001"/>
    <n v="2310.63"/>
    <n v="2557.19"/>
    <n v="2738.27"/>
    <n v="27139.4"/>
    <n v="-181.07999999999993"/>
  </r>
  <r>
    <x v="6"/>
    <x v="1"/>
    <x v="0"/>
    <s v="2607200"/>
    <n v="713092"/>
    <s v="Allocated Benefits-Physician"/>
    <s v="ENT Clinic-ENT St Clare"/>
    <x v="0"/>
    <m/>
    <n v="3837.82"/>
    <n v="3628.47"/>
    <n v="3537.72"/>
    <n v="3492.95"/>
    <n v="4154.71"/>
    <n v="4255.6499999999996"/>
    <n v="4459.2"/>
    <n v="4462.5600000000004"/>
    <n v="-14642.42"/>
    <n v="2033.05"/>
    <n v="2249.9899999999998"/>
    <n v="2409.29"/>
    <n v="23878.990000000005"/>
    <n v="-159.30000000000018"/>
  </r>
  <r>
    <x v="11"/>
    <x v="1"/>
    <x v="0"/>
    <s v="2607200"/>
    <n v="721250"/>
    <s v="Supplies-Pharmacy Drugs - Billable"/>
    <s v="ENT Clinic-ENT St Clare"/>
    <x v="0"/>
    <m/>
    <n v="0"/>
    <n v="0"/>
    <n v="0"/>
    <n v="0"/>
    <n v="0"/>
    <n v="0"/>
    <n v="989.54"/>
    <n v="0"/>
    <n v="234.73"/>
    <n v="0"/>
    <n v="264.88"/>
    <n v="726.7"/>
    <n v="2215.8500000000004"/>
    <n v="-461.82000000000005"/>
  </r>
  <r>
    <x v="0"/>
    <x v="1"/>
    <x v="0"/>
    <s v="2607200"/>
    <n v="740022"/>
    <s v="Education-Physician"/>
    <s v="ENT Clinic-ENT St Clare"/>
    <x v="0"/>
    <m/>
    <n v="0"/>
    <n v="350"/>
    <n v="0"/>
    <n v="0"/>
    <n v="0"/>
    <n v="0"/>
    <n v="0"/>
    <n v="0"/>
    <n v="0"/>
    <n v="0"/>
    <n v="0"/>
    <n v="0"/>
    <n v="350"/>
    <n v="0"/>
  </r>
  <r>
    <x v="0"/>
    <x v="1"/>
    <x v="0"/>
    <s v="2607200"/>
    <n v="740022"/>
    <s v="Books-Physician"/>
    <s v="ENT Clinic-ENT St Clare"/>
    <x v="0"/>
    <n v="2000"/>
    <n v="0"/>
    <n v="0"/>
    <n v="580"/>
    <n v="0"/>
    <n v="0"/>
    <n v="0"/>
    <n v="0"/>
    <n v="0"/>
    <n v="0"/>
    <n v="0"/>
    <n v="0"/>
    <n v="702.04"/>
    <n v="1282.04"/>
    <n v="-702.04"/>
  </r>
  <r>
    <x v="8"/>
    <x v="1"/>
    <x v="0"/>
    <s v="2607200"/>
    <n v="741012"/>
    <s v="Physician Liab Insurance-CHI Program"/>
    <s v="ENT Clinic-ENT St Clare"/>
    <x v="0"/>
    <m/>
    <n v="1894.67"/>
    <n v="1894.67"/>
    <n v="1894.67"/>
    <n v="1894.67"/>
    <n v="1894.67"/>
    <n v="1894.66"/>
    <n v="1894.67"/>
    <n v="1894.66"/>
    <n v="1894.67"/>
    <n v="1894.66"/>
    <n v="1894.67"/>
    <n v="1894.66"/>
    <n v="22736.000000000004"/>
    <n v="9.9999999999909051E-3"/>
  </r>
  <r>
    <x v="0"/>
    <x v="1"/>
    <x v="0"/>
    <s v="2607200"/>
    <n v="743020"/>
    <s v="Provider-Dues"/>
    <s v="ENT Clinic-ENT St Clare"/>
    <x v="0"/>
    <n v="2200"/>
    <n v="0"/>
    <n v="0"/>
    <n v="0"/>
    <n v="0"/>
    <n v="0"/>
    <n v="0"/>
    <n v="0"/>
    <n v="0"/>
    <n v="0"/>
    <n v="0"/>
    <n v="535"/>
    <n v="0"/>
    <n v="535"/>
    <n v="535"/>
  </r>
  <r>
    <x v="0"/>
    <x v="1"/>
    <x v="0"/>
    <s v="2607200"/>
    <n v="743022"/>
    <s v="Dues-Physician"/>
    <s v="ENT Clinic-ENT St Clare"/>
    <x v="0"/>
    <m/>
    <n v="0"/>
    <n v="0"/>
    <n v="310"/>
    <n v="0"/>
    <n v="0"/>
    <n v="1260"/>
    <n v="0"/>
    <n v="285"/>
    <n v="0"/>
    <n v="0"/>
    <n v="0"/>
    <n v="0"/>
    <n v="1855"/>
    <n v="0"/>
  </r>
  <r>
    <x v="0"/>
    <x v="1"/>
    <x v="0"/>
    <s v="2607200"/>
    <n v="749510"/>
    <s v="Miscellaneous Expenses"/>
    <s v="ENT Clinic-ENT St Clare"/>
    <x v="0"/>
    <m/>
    <n v="0"/>
    <n v="0"/>
    <n v="0"/>
    <n v="0"/>
    <n v="1260"/>
    <n v="-1260"/>
    <n v="0"/>
    <n v="0"/>
    <n v="0"/>
    <n v="0"/>
    <n v="0"/>
    <n v="0"/>
    <n v="0"/>
    <n v="0"/>
  </r>
  <r>
    <x v="0"/>
    <x v="1"/>
    <x v="0"/>
    <s v="2607200"/>
    <n v="749512"/>
    <s v="Licenses-Physician"/>
    <s v="ENT Clinic-ENT St Clare"/>
    <x v="0"/>
    <n v="2000"/>
    <n v="0"/>
    <n v="0"/>
    <n v="0"/>
    <n v="0"/>
    <n v="0"/>
    <n v="0"/>
    <n v="0"/>
    <n v="0"/>
    <n v="0"/>
    <n v="0"/>
    <n v="657"/>
    <n v="0"/>
    <n v="657"/>
    <n v="657"/>
  </r>
  <r>
    <x v="1"/>
    <x v="1"/>
    <x v="0"/>
    <s v="2608200"/>
    <n v="400040"/>
    <s v="Physician Svcs Rev--Medicare"/>
    <s v="St.Joseph Med&amp;Spec-Beh Hlth"/>
    <x v="0"/>
    <n v="1100"/>
    <n v="-9591"/>
    <n v="-6814"/>
    <n v="-6088"/>
    <n v="-3232"/>
    <n v="-6983"/>
    <n v="-5025"/>
    <n v="-7005"/>
    <n v="-5076"/>
    <n v="-6208"/>
    <n v="-6636"/>
    <n v="-12071"/>
    <n v="-3760"/>
    <n v="-78489"/>
    <n v="-8311"/>
  </r>
  <r>
    <x v="1"/>
    <x v="1"/>
    <x v="0"/>
    <s v="2608200"/>
    <n v="400040"/>
    <s v="Physician Svcs Rev--Medicaid"/>
    <s v="St.Joseph Med&amp;Spec-Beh Hlth"/>
    <x v="0"/>
    <n v="1200"/>
    <n v="-6698"/>
    <n v="-2746"/>
    <n v="-5311"/>
    <n v="-3061"/>
    <n v="-6008"/>
    <n v="-3487"/>
    <n v="-4054"/>
    <n v="-5158"/>
    <n v="-5848"/>
    <n v="-4000"/>
    <n v="-885"/>
    <n v="-3830"/>
    <n v="-51086"/>
    <n v="2945"/>
  </r>
  <r>
    <x v="1"/>
    <x v="1"/>
    <x v="0"/>
    <s v="2608200"/>
    <n v="400040"/>
    <s v="Physician Svcs Rev--Comm Insurance"/>
    <s v="St.Joseph Med&amp;Spec-Beh Hlth"/>
    <x v="0"/>
    <n v="1300"/>
    <n v="-1248"/>
    <n v="-1362"/>
    <n v="-1134"/>
    <n v="-526"/>
    <n v="-6092"/>
    <n v="-1164"/>
    <n v="-1313"/>
    <n v="-179"/>
    <n v="-1075"/>
    <n v="-1839"/>
    <n v="-1254"/>
    <n v="-776"/>
    <n v="-17962"/>
    <n v="-478"/>
  </r>
  <r>
    <x v="1"/>
    <x v="1"/>
    <x v="0"/>
    <s v="2608200"/>
    <n v="400040"/>
    <s v="Physician Svcs Rev--BCBS Comm"/>
    <s v="St.Joseph Med&amp;Spec-Beh Hlth"/>
    <x v="0"/>
    <n v="1301"/>
    <n v="-2147"/>
    <n v="-1681"/>
    <n v="-2516"/>
    <n v="-369"/>
    <n v="1377"/>
    <n v="-2913"/>
    <n v="-2626"/>
    <n v="-2029"/>
    <n v="-2745"/>
    <n v="-1682"/>
    <n v="-1671"/>
    <n v="-1084"/>
    <n v="-20086"/>
    <n v="-587"/>
  </r>
  <r>
    <x v="1"/>
    <x v="1"/>
    <x v="0"/>
    <s v="2608200"/>
    <n v="400040"/>
    <s v="Physician Svcs Rev--Managed Care"/>
    <s v="St.Joseph Med&amp;Spec-Beh Hlth"/>
    <x v="0"/>
    <n v="1400"/>
    <n v="-11501"/>
    <n v="-5552"/>
    <n v="-6704"/>
    <n v="-3999"/>
    <n v="-6743"/>
    <n v="-5311"/>
    <n v="-5023"/>
    <n v="-5367"/>
    <n v="-3880"/>
    <n v="-5267"/>
    <n v="-5098"/>
    <n v="-5647.89"/>
    <n v="-70092.89"/>
    <n v="549.89000000000033"/>
  </r>
  <r>
    <x v="1"/>
    <x v="1"/>
    <x v="0"/>
    <s v="2608200"/>
    <n v="400040"/>
    <s v="Physician Svcs Rev--Self Pay"/>
    <s v="St.Joseph Med&amp;Spec-Beh Hlth"/>
    <x v="0"/>
    <n v="1500"/>
    <n v="694"/>
    <n v="0"/>
    <n v="0"/>
    <n v="0"/>
    <n v="0"/>
    <n v="-239"/>
    <n v="-179"/>
    <n v="0"/>
    <n v="-179"/>
    <n v="179"/>
    <n v="0"/>
    <n v="0"/>
    <n v="276"/>
    <n v="0"/>
  </r>
  <r>
    <x v="1"/>
    <x v="1"/>
    <x v="0"/>
    <s v="2608200"/>
    <n v="400040"/>
    <s v="Physician Svcs Rev--Other"/>
    <s v="St.Joseph Med&amp;Spec-Beh Hlth"/>
    <x v="0"/>
    <n v="1700"/>
    <n v="-3158"/>
    <n v="-2447"/>
    <n v="-3282"/>
    <n v="-1731"/>
    <n v="-4774"/>
    <n v="-2745"/>
    <n v="-1253"/>
    <n v="-2149"/>
    <n v="-2745"/>
    <n v="-2149"/>
    <n v="-1313"/>
    <n v="-2432.89"/>
    <n v="-30178.89"/>
    <n v="1119.8899999999999"/>
  </r>
  <r>
    <x v="2"/>
    <x v="1"/>
    <x v="0"/>
    <s v="2608200"/>
    <n v="450040"/>
    <s v="Contr Allow--Phys Svcs--Mcare"/>
    <s v="St.Joseph Med&amp;Spec-Beh Hlth"/>
    <x v="0"/>
    <n v="1100"/>
    <n v="3509.7"/>
    <n v="3841.03"/>
    <n v="5200.63"/>
    <n v="3958.66"/>
    <n v="3321.02"/>
    <n v="4190.03"/>
    <n v="3694.41"/>
    <n v="2902.62"/>
    <n v="4076.03"/>
    <n v="5028.55"/>
    <n v="7483.01"/>
    <n v="4693.4399999999996"/>
    <n v="51899.130000000005"/>
    <n v="2789.5700000000006"/>
  </r>
  <r>
    <x v="2"/>
    <x v="1"/>
    <x v="0"/>
    <s v="2608200"/>
    <n v="450040"/>
    <s v="Contr Allow--Phys Svcs--Mcaid"/>
    <s v="St.Joseph Med&amp;Spec-Beh Hlth"/>
    <x v="0"/>
    <n v="1200"/>
    <n v="3735.54"/>
    <n v="3587.74"/>
    <n v="3305.14"/>
    <n v="3546.57"/>
    <n v="3134.9"/>
    <n v="2189"/>
    <n v="1556.9"/>
    <n v="3277.79"/>
    <n v="4717.33"/>
    <n v="3714.16"/>
    <n v="3735.03"/>
    <n v="4000.29"/>
    <n v="40500.390000000007"/>
    <n v="-265.25999999999976"/>
  </r>
  <r>
    <x v="2"/>
    <x v="1"/>
    <x v="0"/>
    <s v="2608200"/>
    <n v="450040"/>
    <s v="Contr Allow--Phys Svcs--Comm Insurance"/>
    <s v="St.Joseph Med&amp;Spec-Beh Hlth"/>
    <x v="0"/>
    <n v="1300"/>
    <n v="289.3"/>
    <n v="384.61"/>
    <n v="630.14"/>
    <n v="984.12"/>
    <n v="3688.15"/>
    <n v="451.02"/>
    <n v="226.87"/>
    <n v="608.48"/>
    <n v="0"/>
    <n v="91.5"/>
    <n v="460.18"/>
    <n v="396.61"/>
    <n v="8210.9800000000014"/>
    <n v="63.569999999999993"/>
  </r>
  <r>
    <x v="2"/>
    <x v="1"/>
    <x v="0"/>
    <s v="2608200"/>
    <n v="450040"/>
    <s v="Contr Allow--Phys Svcs--BCBS Comm Ins"/>
    <s v="St.Joseph Med&amp;Spec-Beh Hlth"/>
    <x v="0"/>
    <n v="1301"/>
    <n v="449.68"/>
    <n v="360.53"/>
    <n v="516.04999999999995"/>
    <n v="308.76"/>
    <n v="173.42"/>
    <n v="650.69000000000005"/>
    <n v="578.4"/>
    <n v="376.41"/>
    <n v="578.4"/>
    <n v="346.84"/>
    <n v="376.41"/>
    <n v="320.92"/>
    <n v="5036.51"/>
    <n v="55.490000000000009"/>
  </r>
  <r>
    <x v="2"/>
    <x v="1"/>
    <x v="0"/>
    <s v="2608200"/>
    <n v="450040"/>
    <s v="Contr Allow--Phys Svcs--Managed Care"/>
    <s v="St.Joseph Med&amp;Spec-Beh Hlth"/>
    <x v="0"/>
    <n v="1400"/>
    <n v="3874.5"/>
    <n v="5945.29"/>
    <n v="4933.3100000000004"/>
    <n v="3239.4"/>
    <n v="2339.5700000000002"/>
    <n v="3564.18"/>
    <n v="1849.88"/>
    <n v="3125.74"/>
    <n v="2936.67"/>
    <n v="3855.36"/>
    <n v="3333.01"/>
    <n v="2868.66"/>
    <n v="41865.570000000007"/>
    <n v="464.35000000000036"/>
  </r>
  <r>
    <x v="2"/>
    <x v="1"/>
    <x v="0"/>
    <s v="2608200"/>
    <n v="450040"/>
    <s v="Contr Allow--Phys Svcs--BCBS Mgnd Care"/>
    <s v="St.Joseph Med&amp;Spec-Beh Hlth"/>
    <x v="0"/>
    <n v="1401"/>
    <n v="4444.22"/>
    <n v="-1856.17"/>
    <n v="-356.04"/>
    <n v="-5000.1899999999996"/>
    <n v="2666.71"/>
    <n v="-158.47999999999999"/>
    <n v="1008.36"/>
    <n v="1237.8699999999999"/>
    <n v="355.45"/>
    <n v="-942.98"/>
    <n v="-2095.19"/>
    <n v="-2053.75"/>
    <n v="-2750.1899999999996"/>
    <n v="-41.440000000000055"/>
  </r>
  <r>
    <x v="2"/>
    <x v="1"/>
    <x v="0"/>
    <s v="2608200"/>
    <n v="450040"/>
    <s v="Admin Adjust-Phys Svcs-Self Pay"/>
    <s v="St.Joseph Med&amp;Spec-Beh Hlth"/>
    <x v="0"/>
    <n v="1600"/>
    <n v="0.04"/>
    <n v="1"/>
    <n v="4.09"/>
    <n v="133.9"/>
    <n v="40"/>
    <n v="88.43"/>
    <n v="66.23"/>
    <n v="8.33"/>
    <n v="106.23"/>
    <n v="-66.23"/>
    <n v="0.04"/>
    <n v="2.7"/>
    <n v="384.76000000000005"/>
    <n v="-2.66"/>
  </r>
  <r>
    <x v="2"/>
    <x v="1"/>
    <x v="0"/>
    <s v="2608200"/>
    <n v="450040"/>
    <s v="Contr Allow--Phys Svcs--Other"/>
    <s v="St.Joseph Med&amp;Spec-Beh Hlth"/>
    <x v="0"/>
    <n v="1700"/>
    <n v="2226.69"/>
    <n v="1086.56"/>
    <n v="663.52"/>
    <n v="946.29"/>
    <n v="2315.3000000000002"/>
    <n v="1131.42"/>
    <n v="2615.31"/>
    <n v="450.96"/>
    <n v="1353.2"/>
    <n v="1319.78"/>
    <n v="1231.03"/>
    <n v="1149.08"/>
    <n v="16489.14"/>
    <n v="81.950000000000045"/>
  </r>
  <r>
    <x v="3"/>
    <x v="1"/>
    <x v="0"/>
    <s v="2608200"/>
    <n v="470040"/>
    <s v="Charity Care-Physician Svcs"/>
    <s v="St.Joseph Med&amp;Spec-Beh Hlth"/>
    <x v="0"/>
    <m/>
    <n v="895.64"/>
    <n v="463.94"/>
    <n v="727.15"/>
    <n v="67.98"/>
    <n v="156.66999999999999"/>
    <n v="47.66"/>
    <n v="87.95"/>
    <n v="416.57"/>
    <n v="289.5"/>
    <n v="369.66"/>
    <n v="145.19999999999999"/>
    <n v="164.63"/>
    <n v="3832.5499999999997"/>
    <n v="-19.430000000000007"/>
  </r>
  <r>
    <x v="4"/>
    <x v="1"/>
    <x v="0"/>
    <s v="2608200"/>
    <n v="490010"/>
    <s v="Provision for Bad Debts"/>
    <s v="St.Joseph Med&amp;Spec-Beh Hlth"/>
    <x v="0"/>
    <m/>
    <n v="1756.77"/>
    <n v="-35.61"/>
    <n v="297.74"/>
    <n v="27.11"/>
    <n v="1167.01"/>
    <n v="522.44000000000005"/>
    <n v="290.58999999999997"/>
    <n v="402.17"/>
    <n v="383.57"/>
    <n v="-171.63"/>
    <n v="-80.790000000000006"/>
    <n v="177.44"/>
    <n v="4736.8099999999995"/>
    <n v="-258.23"/>
  </r>
  <r>
    <x v="5"/>
    <x v="1"/>
    <x v="0"/>
    <s v="2608200"/>
    <n v="700022"/>
    <s v="Salaries-Physician-Productive"/>
    <s v="St.Joseph Med&amp;Spec-Beh Hlth"/>
    <x v="0"/>
    <m/>
    <n v="0"/>
    <n v="0"/>
    <n v="0"/>
    <n v="0"/>
    <n v="0"/>
    <n v="6510"/>
    <n v="0"/>
    <n v="0"/>
    <n v="0"/>
    <n v="0"/>
    <n v="0"/>
    <n v="0"/>
    <n v="6510"/>
    <n v="0"/>
  </r>
  <r>
    <x v="5"/>
    <x v="1"/>
    <x v="0"/>
    <s v="2608200"/>
    <n v="700032"/>
    <s v="Salaries-Other Pat Care Providers-Productive"/>
    <s v="St.Joseph Med&amp;Spec-Beh Hlth"/>
    <x v="0"/>
    <m/>
    <n v="11199.27"/>
    <n v="10352.23"/>
    <n v="9937.3700000000008"/>
    <n v="9949.99"/>
    <n v="8265.4500000000007"/>
    <n v="9131.9599999999991"/>
    <n v="9916.2800000000007"/>
    <n v="9919.44"/>
    <n v="9272.08"/>
    <n v="11068.77"/>
    <n v="9801.07"/>
    <n v="5350.87"/>
    <n v="114164.78"/>
    <n v="4450.2"/>
  </r>
  <r>
    <x v="5"/>
    <x v="1"/>
    <x v="0"/>
    <s v="2608200"/>
    <n v="700032"/>
    <s v="Salaries-Other Pat Care Providers-OT"/>
    <s v="St.Joseph Med&amp;Spec-Beh Hlth"/>
    <x v="0"/>
    <n v="1000"/>
    <n v="16.579999999999998"/>
    <n v="0"/>
    <n v="0"/>
    <n v="30.72"/>
    <n v="-13.65"/>
    <n v="8.5399999999999991"/>
    <n v="136.91"/>
    <n v="8.5500000000000007"/>
    <n v="0"/>
    <n v="222.23"/>
    <n v="8.56"/>
    <n v="0"/>
    <n v="418.44"/>
    <n v="8.56"/>
  </r>
  <r>
    <x v="5"/>
    <x v="1"/>
    <x v="0"/>
    <s v="2608200"/>
    <n v="700032"/>
    <s v="Salaries-Other Pat Care Providers-Other"/>
    <s v="St.Joseph Med&amp;Spec-Beh Hlth"/>
    <x v="0"/>
    <n v="2000"/>
    <n v="0"/>
    <n v="0"/>
    <n v="0"/>
    <n v="0"/>
    <n v="0"/>
    <n v="0"/>
    <n v="3.51"/>
    <n v="0"/>
    <n v="0"/>
    <n v="0"/>
    <n v="0"/>
    <n v="0"/>
    <n v="3.51"/>
    <n v="0"/>
  </r>
  <r>
    <x v="5"/>
    <x v="1"/>
    <x v="0"/>
    <s v="2608200"/>
    <n v="700054"/>
    <s v="Salaries-Management-NonProd-Other"/>
    <s v="St.Joseph Med&amp;Spec-Beh Hlth"/>
    <x v="0"/>
    <n v="2000"/>
    <n v="0"/>
    <n v="0"/>
    <n v="0"/>
    <n v="0"/>
    <n v="0"/>
    <n v="722.75"/>
    <n v="-722.75"/>
    <n v="0"/>
    <n v="0"/>
    <n v="0"/>
    <n v="0"/>
    <n v="0"/>
    <n v="0"/>
    <n v="0"/>
  </r>
  <r>
    <x v="5"/>
    <x v="1"/>
    <x v="0"/>
    <s v="2608200"/>
    <n v="700072"/>
    <s v="Salaries-Other Pat Care Providers-Non-productive"/>
    <s v="St.Joseph Med&amp;Spec-Beh Hlth"/>
    <x v="0"/>
    <m/>
    <n v="1687.98"/>
    <n v="2138.35"/>
    <n v="795.6"/>
    <n v="2554.13"/>
    <n v="3170.52"/>
    <n v="2320.77"/>
    <n v="2779.77"/>
    <n v="754.38"/>
    <n v="2373.5700000000002"/>
    <n v="782.85"/>
    <n v="-183.47"/>
    <n v="2683.46"/>
    <n v="21857.909999999996"/>
    <n v="-2866.93"/>
  </r>
  <r>
    <x v="5"/>
    <x v="1"/>
    <x v="0"/>
    <s v="2608200"/>
    <n v="700072"/>
    <s v="Salaries-Other Pat Care Providers-NonProd-Other"/>
    <s v="St.Joseph Med&amp;Spec-Beh Hlt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08200"/>
    <n v="700084"/>
    <s v="Accrued PTO"/>
    <s v="St.Joseph Med&amp;Spec-Beh Hlth"/>
    <x v="0"/>
    <m/>
    <n v="-267.42"/>
    <n v="150.72"/>
    <n v="-160.66999999999999"/>
    <n v="153.18"/>
    <n v="-156.36000000000001"/>
    <n v="-14.11"/>
    <n v="22.53"/>
    <n v="-29.36"/>
    <n v="-5.92"/>
    <n v="89.68"/>
    <n v="354.6"/>
    <n v="-162.28"/>
    <n v="-25.409999999999997"/>
    <n v="516.88"/>
  </r>
  <r>
    <x v="6"/>
    <x v="1"/>
    <x v="0"/>
    <s v="2608200"/>
    <n v="713010"/>
    <s v="Benefits-FICA/Medicare"/>
    <s v="St.Joseph Med&amp;Spec-Beh Hlth"/>
    <x v="0"/>
    <m/>
    <n v="959.54"/>
    <n v="933.9"/>
    <n v="799.12"/>
    <n v="933.62"/>
    <n v="853.09"/>
    <n v="1397.99"/>
    <n v="996.33"/>
    <n v="777.77"/>
    <n v="849.45"/>
    <n v="889.7"/>
    <n v="727.69"/>
    <n v="610.21"/>
    <n v="10728.41"/>
    <n v="117.48000000000002"/>
  </r>
  <r>
    <x v="6"/>
    <x v="1"/>
    <x v="0"/>
    <s v="2608200"/>
    <n v="713090"/>
    <s v="Benefits-Allocated Amounts"/>
    <s v="St.Joseph Med&amp;Spec-Beh Hlth"/>
    <x v="0"/>
    <m/>
    <n v="2470.4"/>
    <n v="1913.75"/>
    <n v="2097.5100000000002"/>
    <n v="2204.64"/>
    <n v="1932"/>
    <n v="2769.19"/>
    <n v="2633.47"/>
    <n v="2425.87"/>
    <n v="2266.62"/>
    <n v="2386.54"/>
    <n v="1822.95"/>
    <n v="1132.8"/>
    <n v="26055.739999999998"/>
    <n v="690.15000000000009"/>
  </r>
  <r>
    <x v="7"/>
    <x v="1"/>
    <x v="0"/>
    <s v="2608200"/>
    <n v="718040"/>
    <s v="Contract Svcs-Laboratory"/>
    <s v="St.Joseph Med&amp;Spec-Beh Hlth"/>
    <x v="0"/>
    <m/>
    <n v="196.6"/>
    <n v="0"/>
    <n v="0"/>
    <n v="0"/>
    <n v="0"/>
    <n v="0"/>
    <n v="0"/>
    <n v="0"/>
    <n v="0"/>
    <n v="0"/>
    <n v="0"/>
    <n v="0"/>
    <n v="196.6"/>
    <n v="0"/>
  </r>
  <r>
    <x v="0"/>
    <x v="1"/>
    <x v="0"/>
    <s v="2608200"/>
    <n v="743040"/>
    <s v="Subscriptions--Individual"/>
    <s v="St.Joseph Med&amp;Spec-Beh Hlth"/>
    <x v="0"/>
    <m/>
    <n v="0"/>
    <n v="0"/>
    <n v="0"/>
    <n v="0"/>
    <n v="0"/>
    <n v="0"/>
    <n v="0"/>
    <n v="116.73"/>
    <n v="0"/>
    <n v="0"/>
    <n v="0"/>
    <n v="0"/>
    <n v="116.73"/>
    <n v="0"/>
  </r>
  <r>
    <x v="0"/>
    <x v="1"/>
    <x v="0"/>
    <s v="2608200"/>
    <n v="749510"/>
    <s v="Licenses"/>
    <s v="St.Joseph Med&amp;Spec-Beh Hlth"/>
    <x v="0"/>
    <n v="1002"/>
    <n v="0"/>
    <n v="0"/>
    <n v="0"/>
    <n v="0"/>
    <n v="226"/>
    <n v="0"/>
    <n v="0"/>
    <n v="0"/>
    <n v="0"/>
    <n v="0"/>
    <n v="0"/>
    <n v="0"/>
    <n v="226"/>
    <n v="0"/>
  </r>
  <r>
    <x v="0"/>
    <x v="1"/>
    <x v="0"/>
    <s v="2608200"/>
    <n v="749591"/>
    <s v="Other Expense-Intracompany Allocation"/>
    <s v="St.Joseph Med&amp;Spec-Beh Hlth"/>
    <x v="0"/>
    <m/>
    <n v="9842.27"/>
    <n v="5806.31"/>
    <n v="963598.61"/>
    <n v="-951747.82"/>
    <n v="9750.41"/>
    <n v="7107.17"/>
    <n v="-673.45"/>
    <n v="6350.21"/>
    <n v="12881.76"/>
    <n v="5496.42"/>
    <n v="5350.37"/>
    <n v="4713.92"/>
    <n v="78476.179999999993"/>
    <n v="636.44999999999982"/>
  </r>
  <r>
    <x v="1"/>
    <x v="1"/>
    <x v="0"/>
    <s v="2609200"/>
    <n v="400029"/>
    <s v="MD Practice Other Rev--Medicare"/>
    <s v="ENT Clinic-ENT Fed Way"/>
    <x v="0"/>
    <n v="1100"/>
    <n v="0"/>
    <n v="-18"/>
    <n v="0"/>
    <n v="0"/>
    <n v="0"/>
    <n v="0"/>
    <n v="0"/>
    <n v="0"/>
    <n v="0"/>
    <n v="0"/>
    <n v="0"/>
    <n v="0"/>
    <n v="-18"/>
    <n v="0"/>
  </r>
  <r>
    <x v="1"/>
    <x v="1"/>
    <x v="0"/>
    <s v="2609200"/>
    <n v="400040"/>
    <s v="Physician Svcs Rev--Medicare"/>
    <s v="ENT Clinic-ENT Fed Way"/>
    <x v="0"/>
    <n v="1100"/>
    <n v="-14186"/>
    <n v="-1077"/>
    <n v="-514"/>
    <n v="-96"/>
    <n v="0"/>
    <n v="0"/>
    <n v="0"/>
    <n v="0"/>
    <n v="0"/>
    <n v="0"/>
    <n v="0"/>
    <n v="0"/>
    <n v="-15873"/>
    <n v="0"/>
  </r>
  <r>
    <x v="1"/>
    <x v="1"/>
    <x v="0"/>
    <s v="2609200"/>
    <n v="400040"/>
    <s v="Physician Svcs Rev--Medicaid"/>
    <s v="ENT Clinic-ENT Fed Way"/>
    <x v="0"/>
    <n v="1200"/>
    <n v="-21371"/>
    <n v="-175"/>
    <n v="810"/>
    <n v="315"/>
    <n v="0"/>
    <n v="0"/>
    <n v="0"/>
    <n v="-1153"/>
    <n v="-5698"/>
    <n v="-695"/>
    <n v="296"/>
    <n v="0"/>
    <n v="-27671"/>
    <n v="296"/>
  </r>
  <r>
    <x v="1"/>
    <x v="1"/>
    <x v="0"/>
    <s v="2609200"/>
    <n v="400040"/>
    <s v="Physician Svcs Rev--Comm Insurance"/>
    <s v="ENT Clinic-ENT Fed Way"/>
    <x v="0"/>
    <n v="1300"/>
    <n v="-1295"/>
    <n v="0"/>
    <n v="0"/>
    <n v="0"/>
    <n v="0"/>
    <n v="0"/>
    <n v="0"/>
    <n v="0"/>
    <n v="366"/>
    <n v="0"/>
    <n v="0"/>
    <n v="0"/>
    <n v="-929"/>
    <n v="0"/>
  </r>
  <r>
    <x v="1"/>
    <x v="1"/>
    <x v="0"/>
    <s v="2609200"/>
    <n v="400040"/>
    <s v="Physician Svcs Rev--BCBS Comm"/>
    <s v="ENT Clinic-ENT Fed Way"/>
    <x v="0"/>
    <n v="1301"/>
    <n v="-12580"/>
    <n v="0"/>
    <n v="0"/>
    <n v="0"/>
    <n v="1088"/>
    <n v="0"/>
    <n v="0"/>
    <n v="0"/>
    <n v="0"/>
    <n v="0"/>
    <n v="0"/>
    <n v="0"/>
    <n v="-11492"/>
    <n v="0"/>
  </r>
  <r>
    <x v="1"/>
    <x v="1"/>
    <x v="0"/>
    <s v="2609200"/>
    <n v="400040"/>
    <s v="Physician Svcs Rev--Managed Care"/>
    <s v="ENT Clinic-ENT Fed Way"/>
    <x v="0"/>
    <n v="1400"/>
    <n v="-16661"/>
    <n v="-6401"/>
    <n v="-1294"/>
    <n v="-314"/>
    <n v="-942"/>
    <n v="0"/>
    <n v="-704"/>
    <n v="25"/>
    <n v="-897"/>
    <n v="0"/>
    <n v="39"/>
    <n v="0"/>
    <n v="-27149"/>
    <n v="39"/>
  </r>
  <r>
    <x v="1"/>
    <x v="1"/>
    <x v="0"/>
    <s v="2609200"/>
    <n v="400040"/>
    <s v="Physician Svcs Rev--Self Pay"/>
    <s v="ENT Clinic-ENT Fed Way"/>
    <x v="0"/>
    <n v="1500"/>
    <n v="-200"/>
    <n v="-1808"/>
    <n v="0"/>
    <n v="0"/>
    <n v="0"/>
    <n v="0"/>
    <n v="0"/>
    <n v="0"/>
    <n v="0"/>
    <n v="0"/>
    <n v="0"/>
    <n v="0"/>
    <n v="-2008"/>
    <n v="0"/>
  </r>
  <r>
    <x v="1"/>
    <x v="1"/>
    <x v="0"/>
    <s v="2609200"/>
    <n v="400040"/>
    <s v="Physician Svcs Rev--Other"/>
    <s v="ENT Clinic-ENT Fed Way"/>
    <x v="0"/>
    <n v="1700"/>
    <n v="-1995"/>
    <n v="0"/>
    <n v="294"/>
    <n v="-294"/>
    <n v="0"/>
    <n v="0"/>
    <n v="0"/>
    <n v="0"/>
    <n v="0"/>
    <n v="0"/>
    <n v="0"/>
    <n v="0"/>
    <n v="-1995"/>
    <n v="0"/>
  </r>
  <r>
    <x v="2"/>
    <x v="1"/>
    <x v="0"/>
    <s v="2609200"/>
    <n v="450029"/>
    <s v="Admin Adjust-MD Other-Self Pay"/>
    <s v="ENT Clinic-ENT Fed Way"/>
    <x v="0"/>
    <n v="1600"/>
    <n v="0"/>
    <n v="18"/>
    <n v="0"/>
    <n v="0"/>
    <n v="0"/>
    <n v="0"/>
    <n v="0"/>
    <n v="0"/>
    <n v="0"/>
    <n v="0"/>
    <n v="0"/>
    <n v="0"/>
    <n v="18"/>
    <n v="0"/>
  </r>
  <r>
    <x v="2"/>
    <x v="1"/>
    <x v="0"/>
    <s v="2609200"/>
    <n v="450040"/>
    <s v="Contr Allow--Phys Svcs--Mcare"/>
    <s v="ENT Clinic-ENT Fed Way"/>
    <x v="0"/>
    <n v="1100"/>
    <n v="29913.09"/>
    <n v="4911.75"/>
    <n v="206.18"/>
    <n v="1224.8699999999999"/>
    <n v="615.70000000000005"/>
    <n v="-20.62"/>
    <n v="-17.86"/>
    <n v="782.17"/>
    <n v="534.30999999999995"/>
    <n v="447.28"/>
    <n v="1398.92"/>
    <n v="2055.4"/>
    <n v="42051.189999999988"/>
    <n v="-656.48"/>
  </r>
  <r>
    <x v="2"/>
    <x v="1"/>
    <x v="0"/>
    <s v="2609200"/>
    <n v="450040"/>
    <s v="Contr Allow--Phys Svcs--Mcaid"/>
    <s v="ENT Clinic-ENT Fed Way"/>
    <x v="0"/>
    <n v="1200"/>
    <n v="26874.18"/>
    <n v="12479.9"/>
    <n v="4317.22"/>
    <n v="4285.8500000000004"/>
    <n v="3377.38"/>
    <n v="0"/>
    <n v="2251.91"/>
    <n v="0"/>
    <n v="0"/>
    <n v="7115.98"/>
    <n v="1338.9"/>
    <n v="-2748.67"/>
    <n v="59292.65"/>
    <n v="4087.57"/>
  </r>
  <r>
    <x v="2"/>
    <x v="1"/>
    <x v="0"/>
    <s v="2609200"/>
    <n v="450040"/>
    <s v="Contr Allow--Phys Svcs--Comm Insurance"/>
    <s v="ENT Clinic-ENT Fed Way"/>
    <x v="0"/>
    <n v="1300"/>
    <n v="737.3"/>
    <n v="743.03"/>
    <n v="76.790000000000006"/>
    <n v="0"/>
    <n v="0"/>
    <n v="0"/>
    <n v="0"/>
    <n v="0"/>
    <n v="0"/>
    <n v="106.16"/>
    <n v="0"/>
    <n v="0"/>
    <n v="1663.28"/>
    <n v="0"/>
  </r>
  <r>
    <x v="2"/>
    <x v="1"/>
    <x v="0"/>
    <s v="2609200"/>
    <n v="450040"/>
    <s v="Contr Allow--Phys Svcs--BCBS Comm Ins"/>
    <s v="ENT Clinic-ENT Fed Way"/>
    <x v="0"/>
    <n v="1301"/>
    <n v="3445.35"/>
    <n v="2077.23"/>
    <n v="3740.56"/>
    <n v="-0.57999999999999996"/>
    <n v="79.400000000000006"/>
    <n v="79.400000000000006"/>
    <n v="-154.21"/>
    <n v="-207.19"/>
    <n v="0"/>
    <n v="0"/>
    <n v="0"/>
    <n v="27.2"/>
    <n v="9087.16"/>
    <n v="-27.2"/>
  </r>
  <r>
    <x v="2"/>
    <x v="1"/>
    <x v="0"/>
    <s v="2609200"/>
    <n v="450040"/>
    <s v="Contr Allow--Phys Svcs--Managed Care"/>
    <s v="ENT Clinic-ENT Fed Way"/>
    <x v="0"/>
    <n v="1400"/>
    <n v="13634.19"/>
    <n v="5398.69"/>
    <n v="1457.46"/>
    <n v="2317.04"/>
    <n v="1017.44"/>
    <n v="3826.48"/>
    <n v="414.28"/>
    <n v="-1418.62"/>
    <n v="192.79"/>
    <n v="1514.65"/>
    <n v="388.25"/>
    <n v="3409.43"/>
    <n v="32152.080000000002"/>
    <n v="-3021.18"/>
  </r>
  <r>
    <x v="2"/>
    <x v="1"/>
    <x v="0"/>
    <s v="2609200"/>
    <n v="450040"/>
    <s v="Contr Allow--Phys Svcs--BCBS Mgnd Care"/>
    <s v="ENT Clinic-ENT Fed Way"/>
    <x v="0"/>
    <n v="1401"/>
    <n v="-27891.38"/>
    <n v="-19950.66"/>
    <n v="-12411.5"/>
    <n v="-9512.86"/>
    <n v="-5905.57"/>
    <n v="-3910.46"/>
    <n v="-1694.29"/>
    <n v="-1206.67"/>
    <n v="1778.25"/>
    <n v="-6164.6"/>
    <n v="-2119.7199999999998"/>
    <n v="-2194.27"/>
    <n v="-91183.73000000001"/>
    <n v="74.550000000000182"/>
  </r>
  <r>
    <x v="2"/>
    <x v="1"/>
    <x v="0"/>
    <s v="2609200"/>
    <n v="450040"/>
    <s v="Admin Adjust-Phys Svcs-Self Pay"/>
    <s v="ENT Clinic-ENT Fed Way"/>
    <x v="0"/>
    <n v="1600"/>
    <n v="76.959999999999994"/>
    <n v="865.4"/>
    <n v="542.35"/>
    <n v="18.25"/>
    <n v="0"/>
    <n v="-8.16"/>
    <n v="0.11"/>
    <n v="0"/>
    <n v="0"/>
    <n v="43.63"/>
    <n v="0"/>
    <n v="0"/>
    <n v="1538.54"/>
    <n v="0"/>
  </r>
  <r>
    <x v="2"/>
    <x v="1"/>
    <x v="0"/>
    <s v="2609200"/>
    <n v="450040"/>
    <s v="Contr Allow--Phys Svcs--Other"/>
    <s v="ENT Clinic-ENT Fed Way"/>
    <x v="0"/>
    <n v="1700"/>
    <n v="999.32"/>
    <n v="1398.26"/>
    <n v="365.58"/>
    <n v="0"/>
    <n v="808"/>
    <n v="0"/>
    <n v="0"/>
    <n v="0"/>
    <n v="0"/>
    <n v="0"/>
    <n v="0"/>
    <n v="0"/>
    <n v="3571.16"/>
    <n v="0"/>
  </r>
  <r>
    <x v="3"/>
    <x v="1"/>
    <x v="0"/>
    <s v="2609200"/>
    <n v="470040"/>
    <s v="Charity Care-Physician Svcs"/>
    <s v="ENT Clinic-ENT Fed Way"/>
    <x v="0"/>
    <m/>
    <n v="-842.02"/>
    <n v="2466.98"/>
    <n v="329.9"/>
    <n v="-52.82"/>
    <n v="243.75"/>
    <n v="-211.42"/>
    <n v="-25.24"/>
    <n v="-49.35"/>
    <n v="260.02999999999997"/>
    <n v="75.599999999999994"/>
    <n v="244.99"/>
    <n v="-21.91"/>
    <n v="2418.4899999999998"/>
    <n v="266.90000000000003"/>
  </r>
  <r>
    <x v="4"/>
    <x v="1"/>
    <x v="0"/>
    <s v="2609200"/>
    <n v="490010"/>
    <s v="Provision for Bad Debts"/>
    <s v="ENT Clinic-ENT Fed Way"/>
    <x v="0"/>
    <m/>
    <n v="-3211.22"/>
    <n v="-2685.44"/>
    <n v="3864.67"/>
    <n v="4705.5200000000004"/>
    <n v="1099.3800000000001"/>
    <n v="-342.89"/>
    <n v="142.41999999999999"/>
    <n v="286.48"/>
    <n v="14.24"/>
    <n v="-1108.9000000000001"/>
    <n v="-1188.32"/>
    <n v="-614.94000000000005"/>
    <n v="961.00000000000068"/>
    <n v="-573.37999999999988"/>
  </r>
  <r>
    <x v="14"/>
    <x v="1"/>
    <x v="0"/>
    <s v="2609200"/>
    <n v="600050"/>
    <s v="Miscellaneous Revenue"/>
    <s v="ENT Clinic-ENT Fed Way"/>
    <x v="0"/>
    <m/>
    <n v="0"/>
    <n v="0"/>
    <n v="0"/>
    <n v="-1000"/>
    <n v="-1000"/>
    <n v="-2000"/>
    <n v="0"/>
    <n v="0"/>
    <n v="-1000"/>
    <n v="-1000"/>
    <n v="-4000"/>
    <n v="-5000"/>
    <n v="-15000"/>
    <n v="1000"/>
  </r>
  <r>
    <x v="5"/>
    <x v="1"/>
    <x v="0"/>
    <s v="2609200"/>
    <n v="700022"/>
    <s v="Salaries-Physician-Productive"/>
    <s v="ENT Clinic-ENT Fed Way"/>
    <x v="0"/>
    <m/>
    <n v="21150.98"/>
    <n v="-897.6"/>
    <n v="0"/>
    <n v="0"/>
    <n v="0"/>
    <n v="0"/>
    <n v="0"/>
    <n v="0"/>
    <n v="0"/>
    <n v="0"/>
    <n v="0"/>
    <n v="0"/>
    <n v="20253.38"/>
    <n v="0"/>
  </r>
  <r>
    <x v="5"/>
    <x v="1"/>
    <x v="0"/>
    <s v="2609200"/>
    <n v="700022"/>
    <s v="Salaries-Physician-Other"/>
    <s v="ENT Clinic-ENT Fed Way"/>
    <x v="0"/>
    <n v="2000"/>
    <n v="0"/>
    <n v="0"/>
    <n v="0"/>
    <n v="1000"/>
    <n v="1000"/>
    <n v="2000"/>
    <n v="0"/>
    <n v="0"/>
    <n v="1000"/>
    <n v="1000"/>
    <n v="4000"/>
    <n v="5000"/>
    <n v="15000"/>
    <n v="-1000"/>
  </r>
  <r>
    <x v="5"/>
    <x v="1"/>
    <x v="0"/>
    <s v="2609200"/>
    <n v="700026"/>
    <s v="Salaries-RN-Productive"/>
    <s v="ENT Clinic-ENT Fed Way"/>
    <x v="0"/>
    <m/>
    <n v="3750.72"/>
    <n v="-259.44"/>
    <n v="0"/>
    <n v="0"/>
    <n v="0"/>
    <n v="0"/>
    <n v="0"/>
    <n v="0"/>
    <n v="0"/>
    <n v="0"/>
    <n v="0"/>
    <n v="0"/>
    <n v="3491.2799999999997"/>
    <n v="0"/>
  </r>
  <r>
    <x v="5"/>
    <x v="1"/>
    <x v="0"/>
    <s v="2609200"/>
    <n v="700032"/>
    <s v="Salaries-Other Pat Care Providers-Productive"/>
    <s v="ENT Clinic-ENT Fed Way"/>
    <x v="0"/>
    <m/>
    <n v="157.82"/>
    <n v="0"/>
    <n v="0"/>
    <n v="0"/>
    <n v="0"/>
    <n v="0"/>
    <n v="0"/>
    <n v="0"/>
    <n v="0"/>
    <n v="0"/>
    <n v="0"/>
    <n v="0"/>
    <n v="157.82"/>
    <n v="0"/>
  </r>
  <r>
    <x v="5"/>
    <x v="1"/>
    <x v="0"/>
    <s v="2609200"/>
    <n v="700038"/>
    <s v="Salaries-Service/Support-Productive"/>
    <s v="ENT Clinic-ENT Fed Way"/>
    <x v="0"/>
    <m/>
    <n v="2980.69"/>
    <n v="-264.82"/>
    <n v="0"/>
    <n v="0"/>
    <n v="0"/>
    <n v="0"/>
    <n v="0"/>
    <n v="0"/>
    <n v="0"/>
    <n v="0"/>
    <n v="0"/>
    <n v="0"/>
    <n v="2715.87"/>
    <n v="0"/>
  </r>
  <r>
    <x v="5"/>
    <x v="1"/>
    <x v="0"/>
    <s v="2609200"/>
    <n v="700038"/>
    <s v="Salaries-Service/Support-OT"/>
    <s v="ENT Clinic-ENT Fed Way"/>
    <x v="0"/>
    <n v="1000"/>
    <n v="7.25"/>
    <n v="0"/>
    <n v="0"/>
    <n v="0"/>
    <n v="0"/>
    <n v="0"/>
    <n v="0"/>
    <n v="0"/>
    <n v="0"/>
    <n v="0"/>
    <n v="0"/>
    <n v="0"/>
    <n v="7.25"/>
    <n v="0"/>
  </r>
  <r>
    <x v="5"/>
    <x v="1"/>
    <x v="0"/>
    <s v="2609200"/>
    <n v="700062"/>
    <s v="Salaries-Physician-Non-productive"/>
    <s v="ENT Clinic-ENT Fed Way"/>
    <x v="0"/>
    <m/>
    <n v="14062.4"/>
    <n v="-2094.4"/>
    <n v="0"/>
    <n v="0"/>
    <n v="0"/>
    <n v="0"/>
    <n v="0"/>
    <n v="0"/>
    <n v="0"/>
    <n v="0"/>
    <n v="0"/>
    <n v="0"/>
    <n v="11968"/>
    <n v="0"/>
  </r>
  <r>
    <x v="5"/>
    <x v="1"/>
    <x v="0"/>
    <s v="2609200"/>
    <n v="700066"/>
    <s v="Salaries-RN-Non-productive"/>
    <s v="ENT Clinic-ENT Fed Way"/>
    <x v="0"/>
    <m/>
    <n v="957.7"/>
    <n v="-116.91"/>
    <n v="0"/>
    <n v="0"/>
    <n v="0"/>
    <n v="0"/>
    <n v="0"/>
    <n v="0"/>
    <n v="0"/>
    <n v="0"/>
    <n v="0"/>
    <n v="0"/>
    <n v="840.79000000000008"/>
    <n v="0"/>
  </r>
  <r>
    <x v="5"/>
    <x v="1"/>
    <x v="0"/>
    <s v="2609200"/>
    <n v="700078"/>
    <s v="Salaries-Service/Support-Non-productive"/>
    <s v="ENT Clinic-ENT Fed Way"/>
    <x v="0"/>
    <m/>
    <n v="421.4"/>
    <n v="-44.46"/>
    <n v="0"/>
    <n v="0"/>
    <n v="0"/>
    <n v="0"/>
    <n v="0"/>
    <n v="0"/>
    <n v="0"/>
    <n v="0"/>
    <n v="0"/>
    <n v="0"/>
    <n v="376.94"/>
    <n v="0"/>
  </r>
  <r>
    <x v="5"/>
    <x v="1"/>
    <x v="0"/>
    <s v="2609200"/>
    <n v="700084"/>
    <s v="Accrued PTO"/>
    <s v="ENT Clinic-ENT Fed Way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609200"/>
    <n v="713010"/>
    <s v="Benefits-FICA/Medicare"/>
    <s v="ENT Clinic-ENT Fed Way"/>
    <x v="0"/>
    <m/>
    <n v="1115"/>
    <n v="-96.61"/>
    <n v="0"/>
    <n v="0"/>
    <n v="0"/>
    <n v="0"/>
    <n v="0"/>
    <n v="0"/>
    <n v="0"/>
    <n v="0"/>
    <n v="0"/>
    <n v="0"/>
    <n v="1018.39"/>
    <n v="0"/>
  </r>
  <r>
    <x v="6"/>
    <x v="1"/>
    <x v="0"/>
    <s v="2609200"/>
    <n v="713090"/>
    <s v="Benefits-Allocated Amounts"/>
    <s v="ENT Clinic-ENT Fed Way"/>
    <x v="0"/>
    <m/>
    <n v="0"/>
    <n v="0"/>
    <n v="0"/>
    <n v="0"/>
    <n v="0"/>
    <n v="0"/>
    <n v="0"/>
    <n v="0"/>
    <n v="2938.16"/>
    <n v="68.849999999999994"/>
    <n v="158.22999999999999"/>
    <n v="-60.55"/>
    <n v="3104.6899999999996"/>
    <n v="218.77999999999997"/>
  </r>
  <r>
    <x v="6"/>
    <x v="1"/>
    <x v="0"/>
    <s v="2609200"/>
    <n v="713092"/>
    <s v="Allocated Benefits-Physician"/>
    <s v="ENT Clinic-ENT Fed Way"/>
    <x v="0"/>
    <m/>
    <n v="4448.4399999999996"/>
    <n v="-380.78"/>
    <n v="14.9"/>
    <n v="47.79"/>
    <n v="54.3"/>
    <n v="-120.98"/>
    <n v="104.06"/>
    <n v="65.95"/>
    <n v="-2686"/>
    <n v="36.26"/>
    <n v="83.34"/>
    <n v="-31.89"/>
    <n v="1635.39"/>
    <n v="115.23"/>
  </r>
  <r>
    <x v="7"/>
    <x v="1"/>
    <x v="0"/>
    <s v="2609200"/>
    <n v="718040"/>
    <s v="Contract Svcs-Laboratory"/>
    <s v="ENT Clinic-ENT Fed Way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2609200"/>
    <n v="718050"/>
    <s v="Purchased Srvcs--Medical Waste"/>
    <s v="ENT Clinic-ENT Fed Way"/>
    <x v="0"/>
    <n v="1027"/>
    <n v="0"/>
    <n v="0"/>
    <n v="0"/>
    <n v="20.72"/>
    <n v="0"/>
    <n v="20.72"/>
    <n v="10.36"/>
    <n v="0"/>
    <n v="10.36"/>
    <n v="10.36"/>
    <n v="0"/>
    <n v="20.72"/>
    <n v="93.24"/>
    <n v="-20.72"/>
  </r>
  <r>
    <x v="11"/>
    <x v="1"/>
    <x v="0"/>
    <s v="2609200"/>
    <n v="721410"/>
    <s v="Supplies-Medical - Nonbillable"/>
    <s v="ENT Clinic-ENT Fed Way"/>
    <x v="0"/>
    <m/>
    <n v="0"/>
    <n v="0"/>
    <n v="0"/>
    <n v="0"/>
    <n v="37.72"/>
    <n v="65.900000000000006"/>
    <n v="10"/>
    <n v="108.85"/>
    <n v="5"/>
    <n v="5"/>
    <n v="0"/>
    <n v="0"/>
    <n v="232.47"/>
    <n v="0"/>
  </r>
  <r>
    <x v="12"/>
    <x v="1"/>
    <x v="0"/>
    <s v="2609200"/>
    <n v="730020"/>
    <s v="Rental and Leases-Equipment (DO NOT USE)"/>
    <s v="ENT Clinic-ENT Fed Way"/>
    <x v="0"/>
    <m/>
    <n v="0"/>
    <n v="0"/>
    <n v="0"/>
    <n v="4.7699999999999996"/>
    <n v="0"/>
    <n v="0"/>
    <n v="0"/>
    <n v="0"/>
    <n v="0"/>
    <n v="0"/>
    <n v="0"/>
    <n v="0"/>
    <n v="4.7699999999999996"/>
    <n v="0"/>
  </r>
  <r>
    <x v="8"/>
    <x v="1"/>
    <x v="0"/>
    <s v="2609200"/>
    <n v="741012"/>
    <s v="Physician Liab Insurance-CHI Program"/>
    <s v="ENT Clinic-ENT Fed Way"/>
    <x v="0"/>
    <m/>
    <n v="1705.2"/>
    <n v="-135.47999999999999"/>
    <n v="0"/>
    <n v="0"/>
    <n v="0"/>
    <n v="0"/>
    <n v="0"/>
    <n v="0"/>
    <n v="0"/>
    <n v="0"/>
    <n v="0"/>
    <n v="0"/>
    <n v="1569.72"/>
    <n v="0"/>
  </r>
  <r>
    <x v="0"/>
    <x v="1"/>
    <x v="0"/>
    <s v="2609200"/>
    <n v="749510"/>
    <s v="Miscellaneous Expenses"/>
    <s v="ENT Clinic-ENT Fed Way"/>
    <x v="0"/>
    <m/>
    <n v="-86.67"/>
    <n v="-20.170000000000002"/>
    <n v="0"/>
    <n v="32.950000000000003"/>
    <n v="0"/>
    <n v="0"/>
    <n v="0"/>
    <n v="0"/>
    <n v="65.900000000000006"/>
    <n v="0"/>
    <n v="0"/>
    <n v="0"/>
    <n v="-7.9899999999999949"/>
    <n v="0"/>
  </r>
  <r>
    <x v="0"/>
    <x v="1"/>
    <x v="0"/>
    <s v="2609200"/>
    <n v="749530"/>
    <s v="Mileage"/>
    <s v="ENT Clinic-ENT Fed Way"/>
    <x v="0"/>
    <n v="1001"/>
    <n v="0"/>
    <n v="20.170000000000002"/>
    <n v="0"/>
    <n v="0"/>
    <n v="0"/>
    <n v="0"/>
    <n v="0"/>
    <n v="0"/>
    <n v="0"/>
    <n v="0"/>
    <n v="0"/>
    <n v="0"/>
    <n v="20.170000000000002"/>
    <n v="0"/>
  </r>
  <r>
    <x v="1"/>
    <x v="1"/>
    <x v="0"/>
    <s v="2610200"/>
    <n v="400040"/>
    <s v="Physician Svcs Rev--Medicare"/>
    <s v="ENT @ St Clare-Audiology"/>
    <x v="0"/>
    <n v="1100"/>
    <n v="-9801"/>
    <n v="-3403"/>
    <n v="1328"/>
    <n v="-6293"/>
    <n v="-8825"/>
    <n v="-1816"/>
    <n v="-3751"/>
    <n v="-1640"/>
    <n v="-2764"/>
    <n v="-3620"/>
    <n v="-2756"/>
    <n v="-3732"/>
    <n v="-47073"/>
    <n v="976"/>
  </r>
  <r>
    <x v="1"/>
    <x v="1"/>
    <x v="0"/>
    <s v="2610200"/>
    <n v="400040"/>
    <s v="Physician Svcs Rev--Medicaid"/>
    <s v="ENT @ St Clare-Audiology"/>
    <x v="0"/>
    <n v="1200"/>
    <n v="-2298"/>
    <n v="-1347"/>
    <n v="-1398"/>
    <n v="-2287"/>
    <n v="-1715"/>
    <n v="-1099"/>
    <n v="-1012"/>
    <n v="-952.5"/>
    <n v="-920"/>
    <n v="-1791"/>
    <n v="-864"/>
    <n v="-1683"/>
    <n v="-17366.5"/>
    <n v="819"/>
  </r>
  <r>
    <x v="1"/>
    <x v="1"/>
    <x v="0"/>
    <s v="2610200"/>
    <n v="400040"/>
    <s v="Physician Svcs Rev--Comm Insurance"/>
    <s v="ENT @ St Clare-Audiology"/>
    <x v="0"/>
    <n v="1300"/>
    <n v="-288"/>
    <n v="-383"/>
    <n v="-144"/>
    <n v="-379"/>
    <n v="0"/>
    <n v="-288"/>
    <n v="-144"/>
    <n v="0"/>
    <n v="-523"/>
    <n v="-933"/>
    <n v="142"/>
    <n v="-484"/>
    <n v="-3424"/>
    <n v="626"/>
  </r>
  <r>
    <x v="1"/>
    <x v="1"/>
    <x v="0"/>
    <s v="2610200"/>
    <n v="400040"/>
    <s v="Physician Svcs Rev--BCBS Comm"/>
    <s v="ENT @ St Clare-Audiology"/>
    <x v="0"/>
    <n v="1301"/>
    <n v="-288"/>
    <n v="-470"/>
    <n v="-523"/>
    <n v="-592"/>
    <n v="-432"/>
    <n v="-576"/>
    <n v="-144"/>
    <n v="-196"/>
    <n v="-432"/>
    <n v="-523"/>
    <n v="-776"/>
    <n v="-288"/>
    <n v="-5240"/>
    <n v="-488"/>
  </r>
  <r>
    <x v="1"/>
    <x v="1"/>
    <x v="0"/>
    <s v="2610200"/>
    <n v="400040"/>
    <s v="Physician Svcs Rev--Managed Care"/>
    <s v="ENT @ St Clare-Audiology"/>
    <x v="0"/>
    <n v="1400"/>
    <n v="-1681"/>
    <n v="-667"/>
    <n v="-5414"/>
    <n v="-1987"/>
    <n v="-968"/>
    <n v="-824"/>
    <n v="-1767"/>
    <n v="-1307"/>
    <n v="2288"/>
    <n v="-1198"/>
    <n v="-6114"/>
    <n v="-955"/>
    <n v="-20594"/>
    <n v="-5159"/>
  </r>
  <r>
    <x v="1"/>
    <x v="1"/>
    <x v="0"/>
    <s v="2610200"/>
    <n v="400040"/>
    <s v="Physician Svcs Rev--Self Pay"/>
    <s v="ENT @ St Clare-Audiology"/>
    <x v="0"/>
    <n v="1500"/>
    <n v="0"/>
    <n v="-3500"/>
    <n v="-8099"/>
    <n v="-3100"/>
    <n v="144"/>
    <n v="0"/>
    <n v="0"/>
    <n v="-148"/>
    <n v="-3500"/>
    <n v="0"/>
    <n v="-144"/>
    <n v="-3808"/>
    <n v="-22155"/>
    <n v="3664"/>
  </r>
  <r>
    <x v="1"/>
    <x v="1"/>
    <x v="0"/>
    <s v="2610200"/>
    <n v="400040"/>
    <s v="Physician Svcs Rev--Other"/>
    <s v="ENT @ St Clare-Audiology"/>
    <x v="0"/>
    <n v="1700"/>
    <n v="-144"/>
    <n v="-277"/>
    <n v="-3644"/>
    <n v="-4167"/>
    <n v="-563"/>
    <n v="-1144"/>
    <n v="-616"/>
    <n v="-432"/>
    <n v="-4925"/>
    <n v="-144"/>
    <n v="-432"/>
    <n v="-576"/>
    <n v="-17064"/>
    <n v="144"/>
  </r>
  <r>
    <x v="2"/>
    <x v="1"/>
    <x v="0"/>
    <s v="2610200"/>
    <n v="450040"/>
    <s v="Contr Allow--Phys Svcs--Mcare"/>
    <s v="ENT @ St Clare-Audiology"/>
    <x v="0"/>
    <n v="1100"/>
    <n v="2003.82"/>
    <n v="4439.79"/>
    <n v="890.68"/>
    <n v="2615.39"/>
    <n v="2733.02"/>
    <n v="1502.52"/>
    <n v="1957.14"/>
    <n v="1199.9100000000001"/>
    <n v="1104.54"/>
    <n v="1724.37"/>
    <n v="2303.12"/>
    <n v="1803.04"/>
    <n v="24277.34"/>
    <n v="500.07999999999993"/>
  </r>
  <r>
    <x v="2"/>
    <x v="1"/>
    <x v="0"/>
    <s v="2610200"/>
    <n v="450040"/>
    <s v="Contr Allow--Phys Svcs--Mcaid"/>
    <s v="ENT @ St Clare-Audiology"/>
    <x v="0"/>
    <n v="1200"/>
    <n v="3958.25"/>
    <n v="1534.42"/>
    <n v="1463.21"/>
    <n v="1390.49"/>
    <n v="1600.79"/>
    <n v="948.57"/>
    <n v="-79.260000000000005"/>
    <n v="770.01"/>
    <n v="804.34"/>
    <n v="1208.06"/>
    <n v="874.65"/>
    <n v="978.48"/>
    <n v="15452.009999999998"/>
    <n v="-103.83000000000004"/>
  </r>
  <r>
    <x v="2"/>
    <x v="1"/>
    <x v="0"/>
    <s v="2610200"/>
    <n v="450040"/>
    <s v="Contr Allow--Phys Svcs--Comm Insurance"/>
    <s v="ENT @ St Clare-Audiology"/>
    <x v="0"/>
    <n v="1300"/>
    <n v="90.82"/>
    <n v="262.99"/>
    <n v="40.119999999999997"/>
    <n v="159.41999999999999"/>
    <n v="0"/>
    <n v="60.43"/>
    <n v="0"/>
    <n v="66.849999999999994"/>
    <n v="36.46"/>
    <n v="189.27"/>
    <n v="115.68"/>
    <n v="84.43"/>
    <n v="1106.47"/>
    <n v="31.25"/>
  </r>
  <r>
    <x v="2"/>
    <x v="1"/>
    <x v="0"/>
    <s v="2610200"/>
    <n v="450040"/>
    <s v="Contr Allow--Phys Svcs--BCBS Comm Ins"/>
    <s v="ENT @ St Clare-Audiology"/>
    <x v="0"/>
    <n v="1301"/>
    <n v="9.94"/>
    <n v="142.52000000000001"/>
    <n v="155.37"/>
    <n v="193.75"/>
    <n v="41.06"/>
    <n v="109.64"/>
    <n v="140.76"/>
    <n v="35.19"/>
    <n v="70.38"/>
    <n v="70.38"/>
    <n v="235.39"/>
    <n v="225.4"/>
    <n v="1429.7800000000002"/>
    <n v="9.9899999999999807"/>
  </r>
  <r>
    <x v="2"/>
    <x v="1"/>
    <x v="0"/>
    <s v="2610200"/>
    <n v="450040"/>
    <s v="Contr Allow--Phys Svcs--Managed Care"/>
    <s v="ENT @ St Clare-Audiology"/>
    <x v="0"/>
    <n v="1400"/>
    <n v="1017.63"/>
    <n v="331.28"/>
    <n v="788.29"/>
    <n v="526.1"/>
    <n v="893.09"/>
    <n v="569.34"/>
    <n v="504.81"/>
    <n v="717.61"/>
    <n v="700.32"/>
    <n v="482.94"/>
    <n v="1187.05"/>
    <n v="838.83"/>
    <n v="8557.2899999999991"/>
    <n v="348.21999999999991"/>
  </r>
  <r>
    <x v="2"/>
    <x v="1"/>
    <x v="0"/>
    <s v="2610200"/>
    <n v="450040"/>
    <s v="Admin Adjust-Phys Svcs-Self Pay"/>
    <s v="ENT @ St Clare-Audiology"/>
    <x v="0"/>
    <n v="1600"/>
    <n v="-0.05"/>
    <n v="-16.2"/>
    <n v="169.81"/>
    <n v="5.41"/>
    <n v="-53.28"/>
    <n v="0.3"/>
    <n v="0"/>
    <n v="64.7"/>
    <n v="0"/>
    <n v="0"/>
    <n v="53.28"/>
    <n v="132.47999999999999"/>
    <n v="356.45"/>
    <n v="-79.199999999999989"/>
  </r>
  <r>
    <x v="2"/>
    <x v="1"/>
    <x v="0"/>
    <s v="2610200"/>
    <n v="450040"/>
    <s v="Contr Allow--Phys Svcs--Other"/>
    <s v="ENT @ St Clare-Audiology"/>
    <x v="0"/>
    <n v="1700"/>
    <n v="297.20999999999998"/>
    <n v="272.01"/>
    <n v="90.61"/>
    <n v="216.81"/>
    <n v="230.86"/>
    <n v="272.01"/>
    <n v="181.4"/>
    <n v="204.24"/>
    <n v="567.75"/>
    <n v="180.07"/>
    <n v="-0.09"/>
    <n v="178.92"/>
    <n v="2691.8"/>
    <n v="-179.01"/>
  </r>
  <r>
    <x v="3"/>
    <x v="1"/>
    <x v="0"/>
    <s v="2610200"/>
    <n v="470040"/>
    <s v="Charity Care-Physician Svcs"/>
    <s v="ENT @ St Clare-Audiology"/>
    <x v="0"/>
    <m/>
    <n v="0"/>
    <n v="0"/>
    <n v="0"/>
    <n v="27.35"/>
    <n v="21.2"/>
    <n v="46.23"/>
    <n v="0"/>
    <n v="28.09"/>
    <n v="146.80000000000001"/>
    <n v="127.27"/>
    <n v="15"/>
    <n v="192.03"/>
    <n v="603.97"/>
    <n v="-177.03"/>
  </r>
  <r>
    <x v="4"/>
    <x v="1"/>
    <x v="0"/>
    <s v="2610200"/>
    <n v="490010"/>
    <s v="Provision for Bad Debts"/>
    <s v="ENT @ St Clare-Audiology"/>
    <x v="0"/>
    <m/>
    <n v="-83.54"/>
    <n v="-39.32"/>
    <n v="-106.12"/>
    <n v="264.25"/>
    <n v="129.13999999999999"/>
    <n v="-24.8"/>
    <n v="96.18"/>
    <n v="45.37"/>
    <n v="192.66"/>
    <n v="-242.62"/>
    <n v="-16.5"/>
    <n v="-18.809999999999999"/>
    <n v="195.88999999999993"/>
    <n v="2.3099999999999987"/>
  </r>
  <r>
    <x v="2"/>
    <x v="1"/>
    <x v="0"/>
    <s v="2611200"/>
    <n v="450040"/>
    <s v="Contr Allow--Phys Svcs--BCBS Mgnd Care"/>
    <s v="Auburn Med&amp;Spec-Orthopedics"/>
    <x v="0"/>
    <n v="1401"/>
    <n v="-6.15"/>
    <n v="0.89"/>
    <n v="12.73"/>
    <n v="-12.49"/>
    <n v="-0.31"/>
    <n v="22.1"/>
    <n v="30.6"/>
    <n v="22.65"/>
    <n v="1.03"/>
    <n v="-9.02"/>
    <n v="28.14"/>
    <n v="-9.2899999999999991"/>
    <n v="80.880000000000024"/>
    <n v="37.43"/>
  </r>
  <r>
    <x v="3"/>
    <x v="1"/>
    <x v="0"/>
    <s v="2611200"/>
    <n v="470040"/>
    <s v="Charity Care-Physician Svcs"/>
    <s v="Auburn Med&amp;Spec-Orthopedics"/>
    <x v="0"/>
    <m/>
    <n v="-4.12"/>
    <n v="10.51"/>
    <n v="-3.95"/>
    <n v="-0.98"/>
    <n v="2.15"/>
    <n v="-5.28"/>
    <n v="-1.07"/>
    <n v="-3.1"/>
    <n v="7.55"/>
    <n v="-2.92"/>
    <n v="-5.57"/>
    <n v="9.0500000000000007"/>
    <n v="2.2699999999999987"/>
    <n v="-14.620000000000001"/>
  </r>
  <r>
    <x v="4"/>
    <x v="1"/>
    <x v="0"/>
    <s v="2611200"/>
    <n v="490010"/>
    <s v="Provision for Bad Debts"/>
    <s v="Auburn Med&amp;Spec-Orthopedics"/>
    <x v="0"/>
    <m/>
    <n v="181.44"/>
    <n v="-3.21"/>
    <n v="-7.28"/>
    <n v="-18.91"/>
    <n v="10.35"/>
    <n v="-43.53"/>
    <n v="-19.010000000000002"/>
    <n v="-11.3"/>
    <n v="10.17"/>
    <n v="-4.1100000000000003"/>
    <n v="-1.8"/>
    <n v="6.33"/>
    <n v="99.139999999999986"/>
    <n v="-8.1300000000000008"/>
  </r>
  <r>
    <x v="1"/>
    <x v="1"/>
    <x v="0"/>
    <s v="2612200"/>
    <n v="400040"/>
    <s v="Physician Svcs Rev--Medicare"/>
    <s v="West Sound-Ortho Surg"/>
    <x v="0"/>
    <n v="1100"/>
    <n v="-451703"/>
    <n v="-659811"/>
    <n v="-703497"/>
    <n v="-827849"/>
    <n v="-522572"/>
    <n v="-622711"/>
    <n v="-923423"/>
    <n v="-646827"/>
    <n v="-707808"/>
    <n v="-705426"/>
    <n v="-959376"/>
    <n v="-922532"/>
    <n v="-8653535"/>
    <n v="-36844"/>
  </r>
  <r>
    <x v="1"/>
    <x v="1"/>
    <x v="0"/>
    <s v="2612200"/>
    <n v="400040"/>
    <s v="Physician Svcs Rev--Medicaid"/>
    <s v="West Sound-Ortho Surg"/>
    <x v="0"/>
    <n v="1200"/>
    <n v="-153670"/>
    <n v="-192715"/>
    <n v="-154928"/>
    <n v="-174909"/>
    <n v="-181618"/>
    <n v="-138260"/>
    <n v="-236944"/>
    <n v="-215730"/>
    <n v="-233979"/>
    <n v="-165163"/>
    <n v="-150761"/>
    <n v="-234986"/>
    <n v="-2233663"/>
    <n v="84225"/>
  </r>
  <r>
    <x v="1"/>
    <x v="1"/>
    <x v="0"/>
    <s v="2612200"/>
    <n v="400040"/>
    <s v="Physician Svcs Rev--Comm Insurance"/>
    <s v="West Sound-Ortho Surg"/>
    <x v="0"/>
    <n v="1300"/>
    <n v="-54078"/>
    <n v="-56492"/>
    <n v="-47136"/>
    <n v="-65240"/>
    <n v="-59561"/>
    <n v="-71661"/>
    <n v="-79560"/>
    <n v="-49582"/>
    <n v="-57618"/>
    <n v="-49566"/>
    <n v="-76892"/>
    <n v="-17889"/>
    <n v="-685275"/>
    <n v="-59003"/>
  </r>
  <r>
    <x v="1"/>
    <x v="1"/>
    <x v="0"/>
    <s v="2612200"/>
    <n v="400040"/>
    <s v="Physician Svcs Rev--BCBS Comm"/>
    <s v="West Sound-Ortho Surg"/>
    <x v="0"/>
    <n v="1301"/>
    <n v="-137002"/>
    <n v="-202268"/>
    <n v="-150662"/>
    <n v="-193808"/>
    <n v="-134540"/>
    <n v="-196813"/>
    <n v="-238401"/>
    <n v="-184710"/>
    <n v="-177121"/>
    <n v="-135762"/>
    <n v="-194114"/>
    <n v="-231112"/>
    <n v="-2176313"/>
    <n v="36998"/>
  </r>
  <r>
    <x v="1"/>
    <x v="1"/>
    <x v="0"/>
    <s v="2612200"/>
    <n v="400040"/>
    <s v="Physician Svcs Rev--Managed Care"/>
    <s v="West Sound-Ortho Surg"/>
    <x v="0"/>
    <n v="1400"/>
    <n v="-275990"/>
    <n v="-483935"/>
    <n v="-413494"/>
    <n v="-414006"/>
    <n v="-330281"/>
    <n v="-339330"/>
    <n v="-616274"/>
    <n v="-353253"/>
    <n v="-460544"/>
    <n v="-317851"/>
    <n v="-417085"/>
    <n v="-554236"/>
    <n v="-4976279"/>
    <n v="137151"/>
  </r>
  <r>
    <x v="1"/>
    <x v="1"/>
    <x v="0"/>
    <s v="2612200"/>
    <n v="400040"/>
    <s v="Physician Svcs Rev--Self Pay"/>
    <s v="West Sound-Ortho Surg"/>
    <x v="0"/>
    <n v="1500"/>
    <n v="-9747"/>
    <n v="-12525"/>
    <n v="-14854"/>
    <n v="-16611"/>
    <n v="-22237"/>
    <n v="-17804"/>
    <n v="-16837"/>
    <n v="-31003"/>
    <n v="-21411"/>
    <n v="-9869"/>
    <n v="-19833"/>
    <n v="-40846"/>
    <n v="-233577"/>
    <n v="21013"/>
  </r>
  <r>
    <x v="1"/>
    <x v="1"/>
    <x v="0"/>
    <s v="2612200"/>
    <n v="400040"/>
    <s v="Physician Svcs Rev--Other"/>
    <s v="West Sound-Ortho Surg"/>
    <x v="0"/>
    <n v="1700"/>
    <n v="-158927"/>
    <n v="-234445"/>
    <n v="-266099"/>
    <n v="-241553"/>
    <n v="-222322"/>
    <n v="-147869"/>
    <n v="-346140"/>
    <n v="-182859"/>
    <n v="-244089"/>
    <n v="-226800"/>
    <n v="-314058"/>
    <n v="-217491"/>
    <n v="-2802652"/>
    <n v="-96567"/>
  </r>
  <r>
    <x v="2"/>
    <x v="1"/>
    <x v="0"/>
    <s v="2612200"/>
    <n v="450040"/>
    <s v="Contr Allow--Phys Svcs--Mcare"/>
    <s v="West Sound-Ortho Surg"/>
    <x v="0"/>
    <n v="1100"/>
    <n v="302837.69"/>
    <n v="488387.51"/>
    <n v="498419.46"/>
    <n v="628596.4"/>
    <n v="399150.55"/>
    <n v="481095.67"/>
    <n v="681896.72"/>
    <n v="454419.26"/>
    <n v="491962.11"/>
    <n v="529223.56999999995"/>
    <n v="697331.09"/>
    <n v="660648.03"/>
    <n v="6313968.0600000005"/>
    <n v="36683.059999999939"/>
  </r>
  <r>
    <x v="2"/>
    <x v="1"/>
    <x v="0"/>
    <s v="2612200"/>
    <n v="450040"/>
    <s v="Contr Allow--Phys Svcs--Mcaid"/>
    <s v="West Sound-Ortho Surg"/>
    <x v="0"/>
    <n v="1200"/>
    <n v="126870"/>
    <n v="152747.97"/>
    <n v="117517.55"/>
    <n v="136790.26999999999"/>
    <n v="143699.28"/>
    <n v="116210.64"/>
    <n v="206660.56"/>
    <n v="159485.20000000001"/>
    <n v="188061.4"/>
    <n v="134775.47"/>
    <n v="106327.97"/>
    <n v="188711.42"/>
    <n v="1777857.7299999997"/>
    <n v="-82383.450000000012"/>
  </r>
  <r>
    <x v="2"/>
    <x v="1"/>
    <x v="0"/>
    <s v="2612200"/>
    <n v="450040"/>
    <s v="Contr Allow--Phys Svcs--Comm Insurance"/>
    <s v="West Sound-Ortho Surg"/>
    <x v="0"/>
    <n v="1300"/>
    <n v="52912.47"/>
    <n v="32781.93"/>
    <n v="30152.87"/>
    <n v="34370.15"/>
    <n v="16095.22"/>
    <n v="41369.910000000003"/>
    <n v="55270.37"/>
    <n v="40711.75"/>
    <n v="35918.71"/>
    <n v="23669.16"/>
    <n v="48367.85"/>
    <n v="14960.38"/>
    <n v="426580.76999999996"/>
    <n v="33407.47"/>
  </r>
  <r>
    <x v="2"/>
    <x v="1"/>
    <x v="0"/>
    <s v="2612200"/>
    <n v="450040"/>
    <s v="Contr Allow--Phys Svcs--BCBS Comm Ins"/>
    <s v="West Sound-Ortho Surg"/>
    <x v="0"/>
    <n v="1301"/>
    <n v="65312.79"/>
    <n v="97183.46"/>
    <n v="64541.7"/>
    <n v="99819.51"/>
    <n v="87178.74"/>
    <n v="105651.81"/>
    <n v="108814.67"/>
    <n v="89947.44"/>
    <n v="77489.89"/>
    <n v="72130.31"/>
    <n v="92415.2"/>
    <n v="94328.46"/>
    <n v="1054813.98"/>
    <n v="-1913.2600000000093"/>
  </r>
  <r>
    <x v="2"/>
    <x v="1"/>
    <x v="0"/>
    <s v="2612200"/>
    <n v="450040"/>
    <s v="Contr Allow--Phys Svcs--Managed Care"/>
    <s v="West Sound-Ortho Surg"/>
    <x v="0"/>
    <n v="1400"/>
    <n v="161620.72"/>
    <n v="268979.58"/>
    <n v="238183.81"/>
    <n v="220572.64"/>
    <n v="184866.72"/>
    <n v="188362.08"/>
    <n v="322376.44"/>
    <n v="169209.37"/>
    <n v="276183.92"/>
    <n v="179182.24"/>
    <n v="204453.02"/>
    <n v="290563.81"/>
    <n v="2704554.3500000006"/>
    <n v="-86110.790000000008"/>
  </r>
  <r>
    <x v="2"/>
    <x v="1"/>
    <x v="0"/>
    <s v="2612200"/>
    <n v="450040"/>
    <s v="Prompt Pay Disc-Phys Svcs-Self Pay"/>
    <s v="West Sound-Ortho Surg"/>
    <x v="0"/>
    <n v="1500"/>
    <n v="-36802.42"/>
    <n v="1057.6600000000001"/>
    <n v="80366.58"/>
    <n v="-44621.82"/>
    <n v="0"/>
    <n v="0"/>
    <n v="0"/>
    <n v="0"/>
    <n v="0"/>
    <n v="0"/>
    <n v="0"/>
    <n v="0"/>
    <n v="7.2759576141834259E-12"/>
    <n v="0"/>
  </r>
  <r>
    <x v="2"/>
    <x v="1"/>
    <x v="0"/>
    <s v="2612200"/>
    <n v="450040"/>
    <s v="Admin Adjust-Phys Svcs-Self Pay"/>
    <s v="West Sound-Ortho Surg"/>
    <x v="0"/>
    <n v="1600"/>
    <n v="0"/>
    <n v="0"/>
    <n v="0"/>
    <n v="-10051.219999999999"/>
    <n v="-2694.68"/>
    <n v="7304.61"/>
    <n v="3501.75"/>
    <n v="1304.3399999999999"/>
    <n v="6228.39"/>
    <n v="4837.42"/>
    <n v="5597.64"/>
    <n v="3439.21"/>
    <n v="19467.46"/>
    <n v="2158.4300000000003"/>
  </r>
  <r>
    <x v="2"/>
    <x v="1"/>
    <x v="0"/>
    <s v="2612200"/>
    <n v="450040"/>
    <s v="Contr Allow--Phys Svcs--Other"/>
    <s v="West Sound-Ortho Surg"/>
    <x v="0"/>
    <n v="1700"/>
    <n v="91420.08"/>
    <n v="100532.66"/>
    <n v="117233.68"/>
    <n v="134295.16"/>
    <n v="117800.66"/>
    <n v="60967.96"/>
    <n v="198223.61"/>
    <n v="95200.13"/>
    <n v="120988.91"/>
    <n v="106222.57"/>
    <n v="140231.01"/>
    <n v="123196.71"/>
    <n v="1406313.14"/>
    <n v="17034.300000000003"/>
  </r>
  <r>
    <x v="3"/>
    <x v="1"/>
    <x v="0"/>
    <s v="2612200"/>
    <n v="470040"/>
    <s v="Charity Care-Physician Svcs"/>
    <s v="West Sound-Ortho Surg"/>
    <x v="0"/>
    <m/>
    <n v="0"/>
    <n v="0"/>
    <n v="0"/>
    <n v="57866.51"/>
    <n v="11129.3"/>
    <n v="9656.01"/>
    <n v="14719.78"/>
    <n v="-21238.240000000002"/>
    <n v="43075.5"/>
    <n v="-12812.1"/>
    <n v="-11856.92"/>
    <n v="12725.18"/>
    <n v="103265.01999999999"/>
    <n v="-24582.1"/>
  </r>
  <r>
    <x v="4"/>
    <x v="1"/>
    <x v="0"/>
    <s v="2612200"/>
    <n v="490010"/>
    <s v="Provision for Bad Debts"/>
    <s v="West Sound-Ortho Surg"/>
    <x v="0"/>
    <m/>
    <n v="0"/>
    <n v="0"/>
    <n v="0"/>
    <n v="59332.56"/>
    <n v="5451.35"/>
    <n v="5602.14"/>
    <n v="6786.29"/>
    <n v="-16779.46"/>
    <n v="22963.42"/>
    <n v="-8039.41"/>
    <n v="-8559.59"/>
    <n v="3619.12"/>
    <n v="70376.419999999984"/>
    <n v="-12178.71"/>
  </r>
  <r>
    <x v="14"/>
    <x v="1"/>
    <x v="0"/>
    <s v="2612200"/>
    <n v="600050"/>
    <s v="Miscellaneous Revenue"/>
    <s v="West Sound-Ortho Surg"/>
    <x v="0"/>
    <m/>
    <n v="-15000"/>
    <n v="-17000"/>
    <n v="0"/>
    <n v="-36000"/>
    <n v="0"/>
    <n v="-17000"/>
    <n v="-16000"/>
    <n v="0"/>
    <n v="-31000"/>
    <n v="-14000"/>
    <n v="-16000"/>
    <n v="-16000"/>
    <n v="-178000"/>
    <n v="0"/>
  </r>
  <r>
    <x v="5"/>
    <x v="1"/>
    <x v="0"/>
    <s v="2612200"/>
    <n v="700022"/>
    <s v="Salaries-Physician-Productive"/>
    <s v="West Sound-Ortho Surg"/>
    <x v="0"/>
    <m/>
    <n v="289520.61"/>
    <n v="341139.63"/>
    <n v="331592.59999999998"/>
    <n v="324771"/>
    <n v="396609.64"/>
    <n v="300473.84000000003"/>
    <n v="387436.38"/>
    <n v="252273.34"/>
    <n v="355547.41"/>
    <n v="338889.39"/>
    <n v="360587.97"/>
    <n v="287164.79999999999"/>
    <n v="3966006.6100000003"/>
    <n v="73423.169999999984"/>
  </r>
  <r>
    <x v="5"/>
    <x v="1"/>
    <x v="0"/>
    <s v="2612200"/>
    <n v="700022"/>
    <s v="Salaries-Physician-Other"/>
    <s v="West Sound-Ortho Surg"/>
    <x v="0"/>
    <n v="2000"/>
    <n v="16015.2"/>
    <n v="18424"/>
    <n v="0"/>
    <n v="36000"/>
    <n v="0"/>
    <n v="17000"/>
    <n v="16000"/>
    <n v="0"/>
    <n v="31000.04"/>
    <n v="14000"/>
    <n v="16000"/>
    <n v="16000"/>
    <n v="180439.24"/>
    <n v="0"/>
  </r>
  <r>
    <x v="5"/>
    <x v="1"/>
    <x v="0"/>
    <s v="2612200"/>
    <n v="700022"/>
    <s v="Salaries-Physician-Provider Incentive"/>
    <s v="West Sound-Ortho Surg"/>
    <x v="0"/>
    <n v="4003"/>
    <n v="23485"/>
    <n v="0"/>
    <n v="0"/>
    <n v="0"/>
    <n v="3376"/>
    <n v="0"/>
    <n v="14894.52"/>
    <n v="-8.7200000000000006"/>
    <n v="0"/>
    <n v="0"/>
    <n v="48713"/>
    <n v="0"/>
    <n v="90459.8"/>
    <n v="48713"/>
  </r>
  <r>
    <x v="5"/>
    <x v="1"/>
    <x v="0"/>
    <s v="2612200"/>
    <n v="700024"/>
    <s v="Salaries-Advanced Practice Clinician-Productive"/>
    <s v="West Sound-Ortho Surg"/>
    <x v="0"/>
    <m/>
    <n v="55298.400000000001"/>
    <n v="52544.66"/>
    <n v="54103.98"/>
    <n v="55483.54"/>
    <n v="57899.5"/>
    <n v="43887.13"/>
    <n v="63925.85"/>
    <n v="48815.31"/>
    <n v="58362.59"/>
    <n v="57718.46"/>
    <n v="66755.41"/>
    <n v="40038.660000000003"/>
    <n v="654833.49"/>
    <n v="26716.75"/>
  </r>
  <r>
    <x v="5"/>
    <x v="1"/>
    <x v="0"/>
    <s v="2612200"/>
    <n v="700024"/>
    <s v="Salaries-Advanced Practice Clinician-Other"/>
    <s v="West Sound-Ortho Surg"/>
    <x v="0"/>
    <n v="2000"/>
    <n v="0"/>
    <n v="0"/>
    <n v="0"/>
    <n v="0"/>
    <n v="1348.15"/>
    <n v="0"/>
    <n v="0"/>
    <n v="0"/>
    <n v="0"/>
    <n v="0"/>
    <n v="0"/>
    <n v="0"/>
    <n v="1348.15"/>
    <n v="0"/>
  </r>
  <r>
    <x v="5"/>
    <x v="1"/>
    <x v="0"/>
    <s v="2612200"/>
    <n v="700030"/>
    <s v="Salaries-LPN-Productive"/>
    <s v="West Sound-Ortho Surg"/>
    <x v="0"/>
    <m/>
    <n v="3899.04"/>
    <n v="3803.18"/>
    <n v="2354.83"/>
    <n v="5658.96"/>
    <n v="4645.6499999999996"/>
    <n v="4263.53"/>
    <n v="4790.62"/>
    <n v="2596.59"/>
    <n v="5342.64"/>
    <n v="5219.5"/>
    <n v="4242.67"/>
    <n v="3284.44"/>
    <n v="50101.649999999994"/>
    <n v="958.23"/>
  </r>
  <r>
    <x v="5"/>
    <x v="1"/>
    <x v="0"/>
    <s v="2612200"/>
    <n v="700030"/>
    <s v="Salaries-LPN-OT"/>
    <s v="West Sound-Ortho Surg"/>
    <x v="0"/>
    <n v="1000"/>
    <n v="0"/>
    <n v="0"/>
    <n v="0"/>
    <n v="0"/>
    <n v="69.62"/>
    <n v="0.01"/>
    <n v="0"/>
    <n v="34.86"/>
    <n v="29.06"/>
    <n v="87.14"/>
    <n v="244.02"/>
    <n v="104.59"/>
    <n v="569.30000000000007"/>
    <n v="139.43"/>
  </r>
  <r>
    <x v="5"/>
    <x v="1"/>
    <x v="0"/>
    <s v="2612200"/>
    <n v="700030"/>
    <s v="Salaries-LPN-Other"/>
    <s v="West Sound-Ortho Surg"/>
    <x v="0"/>
    <n v="2000"/>
    <n v="0"/>
    <n v="0"/>
    <n v="0"/>
    <n v="4"/>
    <n v="0"/>
    <n v="0"/>
    <n v="0"/>
    <n v="0"/>
    <n v="0"/>
    <n v="0"/>
    <n v="0"/>
    <n v="0"/>
    <n v="4"/>
    <n v="0"/>
  </r>
  <r>
    <x v="5"/>
    <x v="1"/>
    <x v="0"/>
    <s v="2612200"/>
    <n v="700032"/>
    <s v="Salaries-Other Pat Care Providers-Productive"/>
    <s v="West Sound-Ortho Surg"/>
    <x v="0"/>
    <m/>
    <n v="54156.17"/>
    <n v="64936.33"/>
    <n v="58418.19"/>
    <n v="71982.649999999994"/>
    <n v="71286.179999999993"/>
    <n v="48671.39"/>
    <n v="72364.070000000007"/>
    <n v="53586.65"/>
    <n v="71797.39"/>
    <n v="75631.66"/>
    <n v="66446.47"/>
    <n v="58465.120000000003"/>
    <n v="767742.27"/>
    <n v="7981.3499999999985"/>
  </r>
  <r>
    <x v="5"/>
    <x v="1"/>
    <x v="0"/>
    <s v="2612200"/>
    <n v="700032"/>
    <s v="Salaries-Other Pat Care Providers-OT"/>
    <s v="West Sound-Ortho Surg"/>
    <x v="0"/>
    <n v="1000"/>
    <n v="1781.64"/>
    <n v="3117.91"/>
    <n v="1490.31"/>
    <n v="3094.33"/>
    <n v="1308.23"/>
    <n v="1585.31"/>
    <n v="3924.35"/>
    <n v="2197.86"/>
    <n v="1603.44"/>
    <n v="3134.34"/>
    <n v="3344.93"/>
    <n v="3644.01"/>
    <n v="30226.659999999996"/>
    <n v="-299.08000000000038"/>
  </r>
  <r>
    <x v="5"/>
    <x v="1"/>
    <x v="0"/>
    <s v="2612200"/>
    <n v="700032"/>
    <s v="Salaries-Other Pat Care Providers-Other"/>
    <s v="West Sound-Ortho Surg"/>
    <x v="0"/>
    <n v="2000"/>
    <n v="233.78"/>
    <n v="245.94"/>
    <n v="243.92"/>
    <n v="338.18"/>
    <n v="246.65"/>
    <n v="215.57"/>
    <n v="280.77999999999997"/>
    <n v="254.55"/>
    <n v="264.22000000000003"/>
    <n v="252.26"/>
    <n v="280.24"/>
    <n v="237.12"/>
    <n v="3093.21"/>
    <n v="43.120000000000005"/>
  </r>
  <r>
    <x v="5"/>
    <x v="1"/>
    <x v="0"/>
    <s v="2612200"/>
    <n v="700034"/>
    <s v="Salaries-Tech/Professional-Productive"/>
    <s v="West Sound-Ortho Surg"/>
    <x v="0"/>
    <m/>
    <n v="22043.69"/>
    <n v="24609.26"/>
    <n v="22420.75"/>
    <n v="21692.01"/>
    <n v="19059.2"/>
    <n v="16726.96"/>
    <n v="17469.13"/>
    <n v="11240.55"/>
    <n v="15970.28"/>
    <n v="11464.98"/>
    <n v="13510.24"/>
    <n v="8679.02"/>
    <n v="204886.06999999998"/>
    <n v="4831.2199999999993"/>
  </r>
  <r>
    <x v="5"/>
    <x v="1"/>
    <x v="0"/>
    <s v="2612200"/>
    <n v="700034"/>
    <s v="Salaries-Tech/Professional-OT"/>
    <s v="West Sound-Ortho Surg"/>
    <x v="0"/>
    <n v="1000"/>
    <n v="85.05"/>
    <n v="660.63"/>
    <n v="279.08999999999997"/>
    <n v="643.42999999999995"/>
    <n v="46.9"/>
    <n v="57.33"/>
    <n v="381.63"/>
    <n v="54.49"/>
    <n v="799.65"/>
    <n v="150.86000000000001"/>
    <n v="376.23"/>
    <n v="-24.12"/>
    <n v="3511.17"/>
    <n v="400.35"/>
  </r>
  <r>
    <x v="5"/>
    <x v="1"/>
    <x v="0"/>
    <s v="2612200"/>
    <n v="700034"/>
    <s v="Salaries-Tech/Professional-Other"/>
    <s v="West Sound-Ortho Surg"/>
    <x v="0"/>
    <n v="2000"/>
    <n v="50.35"/>
    <n v="14.27"/>
    <n v="29.51"/>
    <n v="29.28"/>
    <n v="20.350000000000001"/>
    <n v="81.31"/>
    <n v="21.16"/>
    <n v="2.36"/>
    <n v="8.18"/>
    <n v="9.6199999999999992"/>
    <n v="-2.97"/>
    <n v="47.33"/>
    <n v="310.75"/>
    <n v="-50.3"/>
  </r>
  <r>
    <x v="5"/>
    <x v="1"/>
    <x v="0"/>
    <s v="2612200"/>
    <n v="700038"/>
    <s v="Salaries-Service/Support-Productive"/>
    <s v="West Sound-Ortho Surg"/>
    <x v="0"/>
    <m/>
    <n v="2743.39"/>
    <n v="2566.9899999999998"/>
    <n v="2127.2800000000002"/>
    <n v="3535.47"/>
    <n v="2921.5"/>
    <n v="2555.58"/>
    <n v="3173.01"/>
    <n v="2149.13"/>
    <n v="2959.8"/>
    <n v="2881.93"/>
    <n v="3255.4"/>
    <n v="2265.65"/>
    <n v="33135.130000000005"/>
    <n v="989.75"/>
  </r>
  <r>
    <x v="5"/>
    <x v="1"/>
    <x v="0"/>
    <s v="2612200"/>
    <n v="700038"/>
    <s v="Salaries-Service/Support-OT"/>
    <s v="West Sound-Ortho Surg"/>
    <x v="0"/>
    <n v="1000"/>
    <n v="189.8"/>
    <n v="-29.4"/>
    <n v="0"/>
    <n v="294.58"/>
    <n v="-95.28"/>
    <n v="34.92"/>
    <n v="39.15"/>
    <n v="79.739999999999995"/>
    <n v="90.91"/>
    <n v="71.430000000000007"/>
    <n v="-29.41"/>
    <n v="13.99"/>
    <n v="660.43"/>
    <n v="-43.4"/>
  </r>
  <r>
    <x v="5"/>
    <x v="1"/>
    <x v="0"/>
    <s v="2612200"/>
    <n v="700038"/>
    <s v="Salaries-Service/Support-Other"/>
    <s v="West Sound-Ortho Surg"/>
    <x v="0"/>
    <n v="2000"/>
    <n v="4.5"/>
    <n v="0"/>
    <n v="5.25"/>
    <n v="13.55"/>
    <n v="-6.8"/>
    <n v="2.2000000000000002"/>
    <n v="-0.2"/>
    <n v="2.8"/>
    <n v="-0.8"/>
    <n v="5.96"/>
    <n v="-2.4500000000000002"/>
    <n v="0"/>
    <n v="24.01"/>
    <n v="-2.4500000000000002"/>
  </r>
  <r>
    <x v="5"/>
    <x v="1"/>
    <x v="0"/>
    <s v="2612200"/>
    <n v="700054"/>
    <s v="Salaries-Management-NonProd-Other"/>
    <s v="West Sound-Ortho Surg"/>
    <x v="0"/>
    <n v="2000"/>
    <n v="0"/>
    <n v="0"/>
    <n v="0"/>
    <n v="0"/>
    <n v="0"/>
    <n v="147.71"/>
    <n v="-147.71"/>
    <n v="0"/>
    <n v="0"/>
    <n v="0"/>
    <n v="0"/>
    <n v="0"/>
    <n v="0"/>
    <n v="0"/>
  </r>
  <r>
    <x v="5"/>
    <x v="1"/>
    <x v="0"/>
    <s v="2612200"/>
    <n v="700062"/>
    <s v="Salaries-Physician-Non-productive"/>
    <s v="West Sound-Ortho Surg"/>
    <x v="0"/>
    <m/>
    <n v="71467.64"/>
    <n v="75332.52"/>
    <n v="31859.4"/>
    <n v="80196.02"/>
    <n v="-3582.7"/>
    <n v="75620.38"/>
    <n v="14110.07"/>
    <n v="95756.67"/>
    <n v="10936.72"/>
    <n v="64375.31"/>
    <n v="-13692.85"/>
    <n v="48764.85"/>
    <n v="551144.03"/>
    <n v="-62457.7"/>
  </r>
  <r>
    <x v="5"/>
    <x v="1"/>
    <x v="0"/>
    <s v="2612200"/>
    <n v="700062"/>
    <s v="Salaries-Physician-NonProd-Other"/>
    <s v="West Sound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12200"/>
    <n v="700064"/>
    <s v="Salaries-Advanced Practice Clinician-Non-Productive"/>
    <s v="West Sound-Ortho Surg"/>
    <x v="0"/>
    <m/>
    <n v="7674.42"/>
    <n v="14593.31"/>
    <n v="4262.92"/>
    <n v="11193.83"/>
    <n v="796.95"/>
    <n v="14153.03"/>
    <n v="1648.79"/>
    <n v="3723.87"/>
    <n v="5524.06"/>
    <n v="5250.4"/>
    <n v="-2405.92"/>
    <n v="19485.79"/>
    <n v="85901.450000000012"/>
    <n v="-21891.71"/>
  </r>
  <r>
    <x v="5"/>
    <x v="1"/>
    <x v="0"/>
    <s v="2612200"/>
    <n v="700064"/>
    <s v="Salaries-Advanced Practice Clinician-Non-Prod-Other"/>
    <s v="West Sound-Ortho Surg"/>
    <x v="0"/>
    <n v="2000"/>
    <n v="0"/>
    <n v="0"/>
    <n v="0"/>
    <n v="0"/>
    <n v="0"/>
    <n v="0"/>
    <n v="0"/>
    <n v="0"/>
    <n v="0"/>
    <n v="0"/>
    <n v="0"/>
    <n v="-448.13"/>
    <n v="-448.13"/>
    <n v="448.13"/>
  </r>
  <r>
    <x v="5"/>
    <x v="1"/>
    <x v="0"/>
    <s v="2612200"/>
    <n v="700070"/>
    <s v="Salaries-LPN-Non-productive"/>
    <s v="West Sound-Ortho Surg"/>
    <x v="0"/>
    <m/>
    <n v="1062.68"/>
    <n v="1231.76"/>
    <n v="2415.1999999999998"/>
    <n v="-603.79999999999995"/>
    <n v="247.52"/>
    <n v="519.79"/>
    <n v="570.15"/>
    <n v="1625.19"/>
    <n v="-492.66"/>
    <n v="0"/>
    <n v="1394.34"/>
    <n v="1471.82"/>
    <n v="9441.99"/>
    <n v="-77.480000000000018"/>
  </r>
  <r>
    <x v="5"/>
    <x v="1"/>
    <x v="0"/>
    <s v="2612200"/>
    <n v="700070"/>
    <s v="Salaries-LPN-NonProd-Other"/>
    <s v="West Sound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12200"/>
    <n v="700072"/>
    <s v="Salaries-Other Pat Care Providers-Non-productive"/>
    <s v="West Sound-Ortho Surg"/>
    <x v="0"/>
    <m/>
    <n v="15606.64"/>
    <n v="6735.11"/>
    <n v="5317.86"/>
    <n v="10130.66"/>
    <n v="6330.12"/>
    <n v="17819.240000000002"/>
    <n v="6427.44"/>
    <n v="14116.98"/>
    <n v="5276.24"/>
    <n v="2475.77"/>
    <n v="12258.49"/>
    <n v="7038.51"/>
    <n v="109533.06000000001"/>
    <n v="5219.9799999999996"/>
  </r>
  <r>
    <x v="5"/>
    <x v="1"/>
    <x v="0"/>
    <s v="2612200"/>
    <n v="700072"/>
    <s v="Salaries-Other Pat Care Providers-NonProd-Other"/>
    <s v="West Sound-Ortho Surg"/>
    <x v="0"/>
    <n v="2000"/>
    <n v="0"/>
    <n v="0"/>
    <n v="0"/>
    <n v="0"/>
    <n v="462.79"/>
    <n v="0"/>
    <n v="0"/>
    <n v="-462.79"/>
    <n v="0"/>
    <n v="0"/>
    <n v="0"/>
    <n v="0"/>
    <n v="0"/>
    <n v="0"/>
  </r>
  <r>
    <x v="5"/>
    <x v="1"/>
    <x v="0"/>
    <s v="2612200"/>
    <n v="700074"/>
    <s v="Salaries-Tech/Professional-Non-productive"/>
    <s v="West Sound-Ortho Surg"/>
    <x v="0"/>
    <m/>
    <n v="481.76"/>
    <n v="1652.28"/>
    <n v="2476.5300000000002"/>
    <n v="2170.7199999999998"/>
    <n v="57.23"/>
    <n v="3213.33"/>
    <n v="2498.11"/>
    <n v="1799.91"/>
    <n v="-96.26"/>
    <n v="5487.82"/>
    <n v="393.84"/>
    <n v="1314.77"/>
    <n v="21450.04"/>
    <n v="-920.93000000000006"/>
  </r>
  <r>
    <x v="5"/>
    <x v="1"/>
    <x v="0"/>
    <s v="2612200"/>
    <n v="700074"/>
    <s v="Salaries-Tech/Professional-NonProd-Other"/>
    <s v="West Sound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12200"/>
    <n v="700078"/>
    <s v="Salaries-Service/Support-Non-productive"/>
    <s v="West Sound-Ortho Surg"/>
    <x v="0"/>
    <m/>
    <n v="191.57"/>
    <n v="530.15"/>
    <n v="285.12"/>
    <n v="-71.28"/>
    <n v="363.09"/>
    <n v="567.91"/>
    <n v="232.2"/>
    <n v="604.19000000000005"/>
    <n v="44.76"/>
    <n v="331.46"/>
    <n v="148.72"/>
    <n v="545.45000000000005"/>
    <n v="3773.34"/>
    <n v="-396.73"/>
  </r>
  <r>
    <x v="5"/>
    <x v="1"/>
    <x v="0"/>
    <s v="2612200"/>
    <n v="700078"/>
    <s v="Salaries-Service/Support-NonProd-Other"/>
    <s v="West Sound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12200"/>
    <n v="700084"/>
    <s v="Accrued PTO"/>
    <s v="West Sound-Ortho Surg"/>
    <x v="0"/>
    <m/>
    <n v="-4743.8500000000004"/>
    <n v="70.569999999999993"/>
    <n v="17.3"/>
    <n v="5395.44"/>
    <n v="6188.29"/>
    <n v="-6476.19"/>
    <n v="1437.2"/>
    <n v="-2521.5500000000002"/>
    <n v="2969.38"/>
    <n v="5233.99"/>
    <n v="1574.6"/>
    <n v="-567.79"/>
    <n v="8577.39"/>
    <n v="2142.39"/>
  </r>
  <r>
    <x v="6"/>
    <x v="1"/>
    <x v="0"/>
    <s v="2612200"/>
    <n v="713010"/>
    <s v="Benefits-FICA/Medicare"/>
    <s v="West Sound-Ortho Surg"/>
    <x v="0"/>
    <m/>
    <n v="18285.259999999998"/>
    <n v="18929.98"/>
    <n v="16719.89"/>
    <n v="17552.740000000002"/>
    <n v="15595.28"/>
    <n v="27221.42"/>
    <n v="45891.01"/>
    <n v="32535.11"/>
    <n v="25671.19"/>
    <n v="17914.04"/>
    <n v="18947.939999999999"/>
    <n v="15539.63"/>
    <n v="270803.49"/>
    <n v="3408.3099999999995"/>
  </r>
  <r>
    <x v="6"/>
    <x v="1"/>
    <x v="0"/>
    <s v="2612200"/>
    <n v="713090"/>
    <s v="Benefits-Allocated Amounts"/>
    <s v="West Sound-Ortho Surg"/>
    <x v="0"/>
    <m/>
    <n v="0"/>
    <n v="0"/>
    <n v="0"/>
    <n v="0"/>
    <n v="0"/>
    <n v="0"/>
    <n v="0"/>
    <n v="0"/>
    <n v="324135.8"/>
    <n v="38735.99"/>
    <n v="37221.68"/>
    <n v="34745.65"/>
    <n v="434839.12"/>
    <n v="2476.0299999999988"/>
  </r>
  <r>
    <x v="6"/>
    <x v="1"/>
    <x v="0"/>
    <s v="2612200"/>
    <n v="713092"/>
    <s v="Allocated Benefits-Physician"/>
    <s v="West Sound-Ortho Surg"/>
    <x v="0"/>
    <m/>
    <n v="33079.85"/>
    <n v="30749.75"/>
    <n v="30788.27"/>
    <n v="33593.35"/>
    <n v="31659.63"/>
    <n v="32311.4"/>
    <n v="39490.04"/>
    <n v="35296.75"/>
    <n v="-150829.85999999999"/>
    <n v="13879.27"/>
    <n v="13336.68"/>
    <n v="12449.5"/>
    <n v="155804.63000000006"/>
    <n v="887.18000000000029"/>
  </r>
  <r>
    <x v="6"/>
    <x v="1"/>
    <x v="0"/>
    <s v="2612200"/>
    <n v="713093"/>
    <s v="Allocated Benefits-Advanced Practice Clinician"/>
    <s v="West Sound-Ortho Surg"/>
    <x v="0"/>
    <m/>
    <n v="22119.75"/>
    <n v="20561.68"/>
    <n v="20587.43"/>
    <n v="22463.119999999999"/>
    <n v="21170.080000000002"/>
    <n v="21605.919999999998"/>
    <n v="26406.1"/>
    <n v="23602.16"/>
    <n v="-106892.43"/>
    <n v="8559.44"/>
    <n v="8224.82"/>
    <n v="7677.69"/>
    <n v="96085.760000000009"/>
    <n v="547.13000000000011"/>
  </r>
  <r>
    <x v="6"/>
    <x v="1"/>
    <x v="0"/>
    <s v="2612200"/>
    <n v="713096"/>
    <s v="Employee Recognition"/>
    <s v="West Sound-Ortho Surg"/>
    <x v="0"/>
    <n v="1017"/>
    <n v="0"/>
    <n v="0"/>
    <n v="0"/>
    <n v="0"/>
    <n v="0"/>
    <n v="43.98"/>
    <n v="0"/>
    <n v="0"/>
    <n v="0"/>
    <n v="73.91"/>
    <n v="0"/>
    <n v="52.03"/>
    <n v="169.92"/>
    <n v="-52.03"/>
  </r>
  <r>
    <x v="7"/>
    <x v="1"/>
    <x v="0"/>
    <s v="2612200"/>
    <n v="718040"/>
    <s v="Contract Svcs-Laboratory"/>
    <s v="West Sound-Ortho Surg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2612200"/>
    <n v="718050"/>
    <s v="Contract Svcs-Other"/>
    <s v="West Sound-Ortho Surg"/>
    <x v="0"/>
    <m/>
    <n v="43.75"/>
    <n v="0"/>
    <n v="80"/>
    <n v="0"/>
    <n v="0"/>
    <n v="0"/>
    <n v="0"/>
    <n v="0"/>
    <n v="0"/>
    <n v="0"/>
    <n v="0"/>
    <n v="0"/>
    <n v="123.75"/>
    <n v="0"/>
  </r>
  <r>
    <x v="7"/>
    <x v="1"/>
    <x v="0"/>
    <s v="2612200"/>
    <n v="718050"/>
    <s v="Transcription"/>
    <s v="West Sound-Ortho Surg"/>
    <x v="0"/>
    <n v="1006"/>
    <n v="481.35"/>
    <n v="174.45"/>
    <n v="1239.75"/>
    <n v="0"/>
    <n v="0"/>
    <n v="0"/>
    <n v="0"/>
    <n v="0"/>
    <n v="0"/>
    <n v="0"/>
    <n v="0"/>
    <n v="0"/>
    <n v="1895.55"/>
    <n v="0"/>
  </r>
  <r>
    <x v="7"/>
    <x v="1"/>
    <x v="0"/>
    <s v="2612200"/>
    <n v="718050"/>
    <s v="Miscellaneous Purchased Svcs"/>
    <s v="West Sound-Ortho Surg"/>
    <x v="0"/>
    <n v="1020"/>
    <n v="0"/>
    <n v="0"/>
    <n v="0"/>
    <n v="0"/>
    <n v="0"/>
    <n v="2378.7199999999998"/>
    <n v="34640.75"/>
    <n v="3356.26"/>
    <n v="3715.22"/>
    <n v="1991.7"/>
    <n v="12522.8"/>
    <n v="1269.3399999999999"/>
    <n v="59874.789999999994"/>
    <n v="11253.46"/>
  </r>
  <r>
    <x v="7"/>
    <x v="1"/>
    <x v="0"/>
    <s v="2612200"/>
    <n v="718050"/>
    <s v="Purchased Srvcs--Medical Waste"/>
    <s v="West Sound-Ortho Surg"/>
    <x v="0"/>
    <n v="1027"/>
    <n v="0"/>
    <n v="0"/>
    <n v="0"/>
    <n v="0"/>
    <n v="0"/>
    <n v="0"/>
    <n v="0"/>
    <n v="0"/>
    <n v="0"/>
    <n v="0"/>
    <n v="0"/>
    <n v="166.98"/>
    <n v="166.98"/>
    <n v="-166.98"/>
  </r>
  <r>
    <x v="7"/>
    <x v="1"/>
    <x v="0"/>
    <s v="2612200"/>
    <n v="718070"/>
    <s v="Contract Srvcs-CHI Clinical Engineering"/>
    <s v="West Sound-Ortho Surg"/>
    <x v="0"/>
    <m/>
    <n v="0"/>
    <n v="2267.92"/>
    <n v="4856.37"/>
    <n v="4916.2299999999996"/>
    <n v="2431.37"/>
    <n v="2431.37"/>
    <n v="2431.37"/>
    <n v="2431.37"/>
    <n v="2431.37"/>
    <n v="2431.37"/>
    <n v="2433.58"/>
    <n v="2433.58"/>
    <n v="31495.899999999994"/>
    <n v="0"/>
  </r>
  <r>
    <x v="11"/>
    <x v="1"/>
    <x v="0"/>
    <s v="2612200"/>
    <n v="721010"/>
    <s v="Supplies-Medical - Billable"/>
    <s v="West Sound-Ortho Surg"/>
    <x v="0"/>
    <m/>
    <n v="1796.41"/>
    <n v="3126.25"/>
    <n v="1679.12"/>
    <n v="1523.23"/>
    <n v="1746.8"/>
    <n v="1352.89"/>
    <n v="705.69"/>
    <n v="2233.39"/>
    <n v="1238.99"/>
    <n v="1256.55"/>
    <n v="369.64"/>
    <n v="1507.96"/>
    <n v="18536.919999999998"/>
    <n v="-1138.3200000000002"/>
  </r>
  <r>
    <x v="11"/>
    <x v="1"/>
    <x v="0"/>
    <s v="2612200"/>
    <n v="721010"/>
    <s v="Patient Monitoring"/>
    <s v="West Sound-Ortho Surg"/>
    <x v="0"/>
    <n v="1000"/>
    <n v="403.47"/>
    <n v="29.72"/>
    <n v="0"/>
    <n v="0"/>
    <n v="0"/>
    <n v="0"/>
    <n v="0"/>
    <n v="0"/>
    <n v="0"/>
    <n v="161.38999999999999"/>
    <n v="-58.79"/>
    <n v="-41.76"/>
    <n v="494.03000000000009"/>
    <n v="-17.03"/>
  </r>
  <r>
    <x v="11"/>
    <x v="1"/>
    <x v="0"/>
    <s v="2612200"/>
    <n v="721020"/>
    <s v="Suture/Wound Closure"/>
    <s v="West Sound-Ortho Surg"/>
    <x v="0"/>
    <n v="1001"/>
    <n v="0"/>
    <n v="0"/>
    <n v="129.49"/>
    <n v="0"/>
    <n v="0"/>
    <n v="0"/>
    <n v="120"/>
    <n v="0"/>
    <n v="0"/>
    <n v="0"/>
    <n v="0"/>
    <n v="0"/>
    <n v="249.49"/>
    <n v="0"/>
  </r>
  <r>
    <x v="11"/>
    <x v="1"/>
    <x v="0"/>
    <s v="2612200"/>
    <n v="721220"/>
    <s v="Supplies-Medical Gases - Billable"/>
    <s v="West Sound-Ortho Surg"/>
    <x v="0"/>
    <m/>
    <n v="0"/>
    <n v="20"/>
    <n v="0"/>
    <n v="0"/>
    <n v="0"/>
    <n v="0"/>
    <n v="0"/>
    <n v="0"/>
    <n v="0"/>
    <n v="0"/>
    <n v="0"/>
    <n v="0"/>
    <n v="20"/>
    <n v="0"/>
  </r>
  <r>
    <x v="11"/>
    <x v="1"/>
    <x v="0"/>
    <s v="2612200"/>
    <n v="721240"/>
    <s v="Supplies-IV Solutions/Supplies - Billable"/>
    <s v="West Sound-Ortho Surg"/>
    <x v="0"/>
    <m/>
    <n v="36"/>
    <n v="72"/>
    <n v="0"/>
    <n v="0"/>
    <n v="0"/>
    <n v="0"/>
    <n v="7.38"/>
    <n v="0"/>
    <n v="0"/>
    <n v="0"/>
    <n v="0"/>
    <n v="36"/>
    <n v="151.38"/>
    <n v="-36"/>
  </r>
  <r>
    <x v="11"/>
    <x v="1"/>
    <x v="0"/>
    <s v="2612200"/>
    <n v="721250"/>
    <s v="Supplies-Pharmacy Drugs - Billable"/>
    <s v="West Sound-Ortho Surg"/>
    <x v="0"/>
    <m/>
    <n v="12827.28"/>
    <n v="3328.4"/>
    <n v="10692.99"/>
    <n v="12888.78"/>
    <n v="19647.54"/>
    <n v="4409.8900000000003"/>
    <n v="1192.92"/>
    <n v="9556.35"/>
    <n v="3528.98"/>
    <n v="47238.37"/>
    <n v="3067.49"/>
    <n v="14091.8"/>
    <n v="142470.79"/>
    <n v="-11024.31"/>
  </r>
  <r>
    <x v="11"/>
    <x v="1"/>
    <x v="0"/>
    <s v="2612200"/>
    <n v="721410"/>
    <s v="Supplies-Medical - Nonbillable"/>
    <s v="West Sound-Ortho Surg"/>
    <x v="0"/>
    <m/>
    <n v="1016.21"/>
    <n v="3754.62"/>
    <n v="612.55999999999995"/>
    <n v="1621.8"/>
    <n v="2376.8000000000002"/>
    <n v="2558.2600000000002"/>
    <n v="1533.58"/>
    <n v="976.55"/>
    <n v="2017.14"/>
    <n v="1859.98"/>
    <n v="1022.76"/>
    <n v="2266.04"/>
    <n v="21616.3"/>
    <n v="-1243.28"/>
  </r>
  <r>
    <x v="11"/>
    <x v="1"/>
    <x v="0"/>
    <s v="2612200"/>
    <n v="721420"/>
    <s v="Supplies-Surgical Nonbillable"/>
    <s v="West Sound-Ortho Surg"/>
    <x v="0"/>
    <m/>
    <n v="0"/>
    <n v="74.599999999999994"/>
    <n v="0"/>
    <n v="55.02"/>
    <n v="34.26"/>
    <n v="49.03"/>
    <n v="60.6"/>
    <n v="0"/>
    <n v="0"/>
    <n v="23.2"/>
    <n v="0"/>
    <n v="0"/>
    <n v="296.70999999999998"/>
    <n v="0"/>
  </r>
  <r>
    <x v="11"/>
    <x v="1"/>
    <x v="0"/>
    <s v="2612200"/>
    <n v="721420"/>
    <s v="Sterilization Process Products"/>
    <s v="West Sound-Ortho Surg"/>
    <x v="0"/>
    <n v="1009"/>
    <n v="49.79"/>
    <n v="97.59"/>
    <n v="147.38"/>
    <n v="0"/>
    <n v="99.58"/>
    <n v="0"/>
    <n v="0"/>
    <n v="0"/>
    <n v="0"/>
    <n v="248.96"/>
    <n v="0"/>
    <n v="0"/>
    <n v="643.29999999999995"/>
    <n v="0"/>
  </r>
  <r>
    <x v="11"/>
    <x v="1"/>
    <x v="0"/>
    <s v="2612200"/>
    <n v="721650"/>
    <s v="Supplies-Pharmacy Drugs - Nonbillable"/>
    <s v="West Sound-Ortho Surg"/>
    <x v="0"/>
    <m/>
    <n v="7.27"/>
    <n v="0"/>
    <n v="0"/>
    <n v="0"/>
    <n v="0"/>
    <n v="5.84"/>
    <n v="0"/>
    <n v="8.67"/>
    <n v="6.75"/>
    <n v="0"/>
    <n v="0"/>
    <n v="0"/>
    <n v="28.53"/>
    <n v="0"/>
  </r>
  <r>
    <x v="11"/>
    <x v="1"/>
    <x v="0"/>
    <s v="2612200"/>
    <n v="721710"/>
    <s v="Supplies-Laboratory - Nonbillable"/>
    <s v="West Sound-Ortho Surg"/>
    <x v="0"/>
    <m/>
    <n v="0"/>
    <n v="0"/>
    <n v="0"/>
    <n v="0"/>
    <n v="0"/>
    <n v="37.35"/>
    <n v="0"/>
    <n v="0"/>
    <n v="0"/>
    <n v="0"/>
    <n v="0"/>
    <n v="0"/>
    <n v="37.35"/>
    <n v="0"/>
  </r>
  <r>
    <x v="11"/>
    <x v="1"/>
    <x v="0"/>
    <s v="2612200"/>
    <n v="721710"/>
    <s v="Reagents"/>
    <s v="West Sound-Ortho Surg"/>
    <x v="0"/>
    <n v="1000"/>
    <n v="56.23"/>
    <n v="0"/>
    <n v="65.45"/>
    <n v="0"/>
    <n v="91.74"/>
    <n v="0"/>
    <n v="37.799999999999997"/>
    <n v="0"/>
    <n v="37.799999999999997"/>
    <n v="37.799999999999997"/>
    <n v="0"/>
    <n v="37.799999999999997"/>
    <n v="364.62000000000006"/>
    <n v="-37.799999999999997"/>
  </r>
  <r>
    <x v="11"/>
    <x v="1"/>
    <x v="0"/>
    <s v="2612200"/>
    <n v="721750"/>
    <s v="Supplies-Film/Radiographic - Nonbillable"/>
    <s v="West Sound-Ortho Surg"/>
    <x v="0"/>
    <m/>
    <n v="0"/>
    <n v="0"/>
    <n v="0"/>
    <n v="0"/>
    <n v="11.24"/>
    <n v="0"/>
    <n v="0"/>
    <n v="0"/>
    <n v="11.24"/>
    <n v="0"/>
    <n v="0"/>
    <n v="130.91999999999999"/>
    <n v="153.39999999999998"/>
    <n v="-130.91999999999999"/>
  </r>
  <r>
    <x v="11"/>
    <x v="1"/>
    <x v="0"/>
    <s v="2612200"/>
    <n v="721810"/>
    <s v="Supplies-Dietary/Cafeteria"/>
    <s v="West Sound-Ortho Surg"/>
    <x v="0"/>
    <m/>
    <n v="0"/>
    <n v="0"/>
    <n v="0"/>
    <n v="0"/>
    <n v="366.54"/>
    <n v="0"/>
    <n v="0"/>
    <n v="0"/>
    <n v="0"/>
    <n v="14.73"/>
    <n v="14.73"/>
    <n v="0"/>
    <n v="396.00000000000006"/>
    <n v="14.73"/>
  </r>
  <r>
    <x v="11"/>
    <x v="1"/>
    <x v="0"/>
    <s v="2612200"/>
    <n v="721830"/>
    <s v="Supplies-Office"/>
    <s v="West Sound-Ortho Surg"/>
    <x v="0"/>
    <m/>
    <n v="0"/>
    <n v="0"/>
    <n v="0"/>
    <n v="0"/>
    <n v="348.8"/>
    <n v="31.39"/>
    <n v="0"/>
    <n v="310.01"/>
    <n v="0"/>
    <n v="0"/>
    <n v="0"/>
    <n v="0"/>
    <n v="690.2"/>
    <n v="0"/>
  </r>
  <r>
    <x v="11"/>
    <x v="1"/>
    <x v="0"/>
    <s v="2612200"/>
    <n v="721835"/>
    <s v="Supplies-Forms"/>
    <s v="West Sound-Ortho Surg"/>
    <x v="0"/>
    <m/>
    <n v="0"/>
    <n v="0"/>
    <n v="0"/>
    <n v="0"/>
    <n v="0"/>
    <n v="0"/>
    <n v="10"/>
    <n v="0"/>
    <n v="0"/>
    <n v="0"/>
    <n v="0"/>
    <n v="0"/>
    <n v="10"/>
    <n v="0"/>
  </r>
  <r>
    <x v="11"/>
    <x v="1"/>
    <x v="0"/>
    <s v="2612200"/>
    <n v="721870"/>
    <s v="Supplies-Environmental Services"/>
    <s v="West Sound-Ortho Surg"/>
    <x v="0"/>
    <m/>
    <n v="120.85"/>
    <n v="154.97999999999999"/>
    <n v="106.24"/>
    <n v="-64.400000000000006"/>
    <n v="116.2"/>
    <n v="842.17"/>
    <n v="141.74"/>
    <n v="131.6"/>
    <n v="113.94"/>
    <n v="107.5"/>
    <n v="64.86"/>
    <n v="55.59"/>
    <n v="1891.2699999999998"/>
    <n v="9.269999999999996"/>
  </r>
  <r>
    <x v="11"/>
    <x v="1"/>
    <x v="0"/>
    <s v="2612200"/>
    <n v="721880"/>
    <s v="Supplies-Linen"/>
    <s v="West Sound-Ortho Surg"/>
    <x v="0"/>
    <m/>
    <n v="75.73"/>
    <n v="0"/>
    <n v="113.6"/>
    <n v="151.46"/>
    <n v="2.94"/>
    <n v="152.85"/>
    <n v="132.53"/>
    <n v="0"/>
    <n v="75.73"/>
    <n v="75.73"/>
    <n v="75.73"/>
    <n v="113.6"/>
    <n v="969.9"/>
    <n v="-37.86999999999999"/>
  </r>
  <r>
    <x v="11"/>
    <x v="1"/>
    <x v="0"/>
    <s v="2612200"/>
    <n v="721910"/>
    <s v="Supplies-Small Equipment"/>
    <s v="West Sound-Ortho Surg"/>
    <x v="0"/>
    <m/>
    <n v="0"/>
    <n v="29.94"/>
    <n v="0"/>
    <n v="0"/>
    <n v="0"/>
    <n v="0"/>
    <n v="0"/>
    <n v="109.16"/>
    <n v="-56.96"/>
    <n v="0"/>
    <n v="0"/>
    <n v="-11.94"/>
    <n v="70.199999999999989"/>
    <n v="11.94"/>
  </r>
  <r>
    <x v="11"/>
    <x v="1"/>
    <x v="0"/>
    <s v="2612200"/>
    <n v="721910"/>
    <s v="Instruments"/>
    <s v="West Sound-Ortho Surg"/>
    <x v="0"/>
    <n v="1000"/>
    <n v="148.25"/>
    <n v="0"/>
    <n v="0"/>
    <n v="198.77"/>
    <n v="83.2"/>
    <n v="118.6"/>
    <n v="316.60000000000002"/>
    <n v="0"/>
    <n v="0"/>
    <n v="177.08"/>
    <n v="7.99"/>
    <n v="29.05"/>
    <n v="1079.54"/>
    <n v="-21.060000000000002"/>
  </r>
  <r>
    <x v="11"/>
    <x v="1"/>
    <x v="0"/>
    <s v="2612200"/>
    <n v="721980"/>
    <s v="Supplies-Other"/>
    <s v="West Sound-Ortho Surg"/>
    <x v="0"/>
    <m/>
    <n v="97.92"/>
    <n v="0"/>
    <n v="60"/>
    <n v="217.53"/>
    <n v="301.32"/>
    <n v="605.78"/>
    <n v="28.39"/>
    <n v="1.1299999999999999"/>
    <n v="321.72000000000003"/>
    <n v="660.9"/>
    <n v="0"/>
    <n v="0"/>
    <n v="2294.69"/>
    <n v="0"/>
  </r>
  <r>
    <x v="11"/>
    <x v="1"/>
    <x v="0"/>
    <s v="2612200"/>
    <n v="722000"/>
    <s v="Supplies-Freight Expense"/>
    <s v="West Sound-Ortho Surg"/>
    <x v="0"/>
    <m/>
    <n v="0"/>
    <n v="43"/>
    <n v="0"/>
    <n v="103.65"/>
    <n v="0"/>
    <n v="47.18"/>
    <n v="0"/>
    <n v="0"/>
    <n v="8.23"/>
    <n v="0"/>
    <n v="0"/>
    <n v="216.31"/>
    <n v="418.37"/>
    <n v="-216.31"/>
  </r>
  <r>
    <x v="12"/>
    <x v="1"/>
    <x v="0"/>
    <s v="2612200"/>
    <n v="730020"/>
    <s v="Rental and Leases-Copier Usage Fees (DO NOT USE)"/>
    <s v="West Sound-Ortho Surg"/>
    <x v="0"/>
    <n v="5100"/>
    <n v="-4.12"/>
    <n v="-9.8800000000000008"/>
    <n v="-7"/>
    <n v="-7"/>
    <n v="-7"/>
    <n v="-7"/>
    <n v="91.44"/>
    <n v="0"/>
    <n v="0"/>
    <n v="0"/>
    <n v="0"/>
    <n v="0"/>
    <n v="49.44"/>
    <n v="0"/>
  </r>
  <r>
    <x v="15"/>
    <x v="1"/>
    <x v="0"/>
    <s v="2612200"/>
    <n v="731050"/>
    <s v="Refuse Disposal"/>
    <s v="West Sound-Ortho Surg"/>
    <x v="0"/>
    <m/>
    <n v="0"/>
    <n v="0"/>
    <n v="0"/>
    <n v="0"/>
    <n v="0"/>
    <n v="99.59"/>
    <n v="103.66"/>
    <n v="81.84"/>
    <n v="67.75"/>
    <n v="0"/>
    <n v="201.26"/>
    <n v="0"/>
    <n v="554.1"/>
    <n v="201.26"/>
  </r>
  <r>
    <x v="15"/>
    <x v="1"/>
    <x v="0"/>
    <s v="2612200"/>
    <n v="731060"/>
    <s v="Telephone"/>
    <s v="West Sound-Ortho Surg"/>
    <x v="0"/>
    <m/>
    <n v="0"/>
    <n v="0"/>
    <n v="0"/>
    <n v="0"/>
    <n v="0"/>
    <n v="1140"/>
    <n v="0"/>
    <n v="0"/>
    <n v="0"/>
    <n v="0"/>
    <n v="0"/>
    <n v="0"/>
    <n v="1140"/>
    <n v="0"/>
  </r>
  <r>
    <x v="16"/>
    <x v="1"/>
    <x v="0"/>
    <s v="2612200"/>
    <n v="732030"/>
    <s v="Repairs---Other"/>
    <s v="West Sound-Ortho Surg"/>
    <x v="0"/>
    <m/>
    <n v="0"/>
    <n v="0"/>
    <n v="0"/>
    <n v="0"/>
    <n v="0"/>
    <n v="0"/>
    <n v="0"/>
    <n v="0"/>
    <n v="689.57"/>
    <n v="0"/>
    <n v="0"/>
    <n v="0"/>
    <n v="689.57"/>
    <n v="0"/>
  </r>
  <r>
    <x v="13"/>
    <x v="1"/>
    <x v="0"/>
    <s v="2612200"/>
    <n v="735070"/>
    <s v="Depreciation-Movable Equipment"/>
    <s v="West Sound-Ortho Surg"/>
    <x v="0"/>
    <m/>
    <n v="0"/>
    <n v="3573.77"/>
    <n v="3693.67"/>
    <n v="4530.62"/>
    <n v="4530.62"/>
    <n v="4530.62"/>
    <n v="4530.62"/>
    <n v="4530.62"/>
    <n v="4530.62"/>
    <n v="4530.62"/>
    <n v="4530.62"/>
    <n v="4530.6099999999997"/>
    <n v="48043.01"/>
    <n v="1.0000000000218279E-2"/>
  </r>
  <r>
    <x v="0"/>
    <x v="1"/>
    <x v="0"/>
    <s v="2612200"/>
    <n v="740020"/>
    <s v="Education-Registration Fees"/>
    <s v="West Sound-Ortho Surg"/>
    <x v="0"/>
    <m/>
    <n v="550"/>
    <n v="0"/>
    <n v="0"/>
    <n v="0"/>
    <n v="0"/>
    <n v="0"/>
    <n v="0"/>
    <n v="0"/>
    <n v="0"/>
    <n v="0"/>
    <n v="630"/>
    <n v="0"/>
    <n v="1180"/>
    <n v="630"/>
  </r>
  <r>
    <x v="0"/>
    <x v="1"/>
    <x v="0"/>
    <s v="2612200"/>
    <n v="740022"/>
    <s v="Education-Physician"/>
    <s v="West Sound-Ortho Surg"/>
    <x v="0"/>
    <m/>
    <n v="0"/>
    <n v="0"/>
    <n v="0"/>
    <n v="0"/>
    <n v="0"/>
    <n v="965"/>
    <n v="0"/>
    <n v="2195"/>
    <n v="0"/>
    <n v="525"/>
    <n v="0"/>
    <n v="0"/>
    <n v="3685"/>
    <n v="0"/>
  </r>
  <r>
    <x v="0"/>
    <x v="1"/>
    <x v="0"/>
    <s v="2612200"/>
    <n v="740022"/>
    <s v="Books-Physician"/>
    <s v="West Sound-Ortho Surg"/>
    <x v="0"/>
    <n v="2000"/>
    <n v="0"/>
    <n v="0"/>
    <n v="0"/>
    <n v="0"/>
    <n v="0"/>
    <n v="588.78"/>
    <n v="0"/>
    <n v="0"/>
    <n v="0"/>
    <n v="0"/>
    <n v="0"/>
    <n v="0"/>
    <n v="588.78"/>
    <n v="0"/>
  </r>
  <r>
    <x v="0"/>
    <x v="1"/>
    <x v="0"/>
    <s v="2612200"/>
    <n v="740023"/>
    <s v="Education-Advanced Practice Clinician"/>
    <s v="West Sound-Ortho Surg"/>
    <x v="0"/>
    <m/>
    <n v="0"/>
    <n v="0"/>
    <n v="625"/>
    <n v="0"/>
    <n v="0"/>
    <n v="0"/>
    <n v="0"/>
    <n v="0"/>
    <n v="0"/>
    <n v="0"/>
    <n v="0"/>
    <n v="0"/>
    <n v="625"/>
    <n v="0"/>
  </r>
  <r>
    <x v="0"/>
    <x v="1"/>
    <x v="0"/>
    <s v="2612200"/>
    <n v="740023"/>
    <s v="Books-Advanced Practice Clinician"/>
    <s v="West Sound-Ortho Surg"/>
    <x v="0"/>
    <n v="2000"/>
    <n v="0"/>
    <n v="0"/>
    <n v="0"/>
    <n v="0"/>
    <n v="0"/>
    <n v="0"/>
    <n v="349"/>
    <n v="0"/>
    <n v="0"/>
    <n v="0"/>
    <n v="0"/>
    <n v="0"/>
    <n v="349"/>
    <n v="0"/>
  </r>
  <r>
    <x v="0"/>
    <x v="1"/>
    <x v="0"/>
    <s v="2612200"/>
    <n v="740030"/>
    <s v="Education-Travel"/>
    <s v="West Sound-Ortho Surg"/>
    <x v="0"/>
    <m/>
    <n v="0"/>
    <n v="0"/>
    <n v="0"/>
    <n v="0"/>
    <n v="0"/>
    <n v="0"/>
    <n v="0"/>
    <n v="0"/>
    <n v="0"/>
    <n v="0"/>
    <n v="286.98"/>
    <n v="0"/>
    <n v="286.98"/>
    <n v="286.98"/>
  </r>
  <r>
    <x v="8"/>
    <x v="1"/>
    <x v="0"/>
    <s v="2612200"/>
    <n v="741012"/>
    <s v="Physician Liab Insurance-CHI Program"/>
    <s v="West Sound-Ortho Surg"/>
    <x v="0"/>
    <m/>
    <n v="17468.919999999998"/>
    <n v="17468.919999999998"/>
    <n v="17468.919999999998"/>
    <n v="17468.919999999998"/>
    <n v="17468.990000000002"/>
    <n v="17468.91"/>
    <n v="17468.990000000002"/>
    <n v="17468.91"/>
    <n v="17468.990000000002"/>
    <n v="17468.919999999998"/>
    <n v="17468.990000000002"/>
    <n v="17468.919999999998"/>
    <n v="209627.3"/>
    <n v="7.0000000003346941E-2"/>
  </r>
  <r>
    <x v="0"/>
    <x v="1"/>
    <x v="0"/>
    <s v="2612200"/>
    <n v="743022"/>
    <s v="Dues-Physician"/>
    <s v="West Sound-Ortho Surg"/>
    <x v="0"/>
    <m/>
    <n v="0"/>
    <n v="0"/>
    <n v="0"/>
    <n v="0"/>
    <n v="0"/>
    <n v="1595"/>
    <n v="1745"/>
    <n v="5810"/>
    <n v="995"/>
    <n v="0"/>
    <n v="0"/>
    <n v="0"/>
    <n v="10145"/>
    <n v="0"/>
  </r>
  <r>
    <x v="0"/>
    <x v="1"/>
    <x v="0"/>
    <s v="2612200"/>
    <n v="743023"/>
    <s v="Dues-Advanced Practice Clinician"/>
    <s v="West Sound-Ortho Surg"/>
    <x v="0"/>
    <m/>
    <n v="0"/>
    <n v="0"/>
    <n v="0"/>
    <n v="0"/>
    <n v="0"/>
    <n v="420"/>
    <n v="0"/>
    <n v="1770"/>
    <n v="0"/>
    <n v="0"/>
    <n v="0"/>
    <n v="0"/>
    <n v="2190"/>
    <n v="0"/>
  </r>
  <r>
    <x v="0"/>
    <x v="1"/>
    <x v="0"/>
    <s v="2612200"/>
    <n v="743042"/>
    <s v="Subscriptions-Physician"/>
    <s v="West Sound-Ortho Surg"/>
    <x v="0"/>
    <m/>
    <n v="0"/>
    <n v="0"/>
    <n v="0"/>
    <n v="0"/>
    <n v="0"/>
    <n v="240"/>
    <n v="0"/>
    <n v="0"/>
    <n v="0"/>
    <n v="0"/>
    <n v="0"/>
    <n v="0"/>
    <n v="240"/>
    <n v="0"/>
  </r>
  <r>
    <x v="0"/>
    <x v="1"/>
    <x v="0"/>
    <s v="2612200"/>
    <n v="749510"/>
    <s v="Miscellaneous Expenses"/>
    <s v="West Sound-Ortho Surg"/>
    <x v="0"/>
    <m/>
    <n v="2200.39"/>
    <n v="-2746.65"/>
    <n v="-263.24"/>
    <n v="1230.6199999999999"/>
    <n v="6250.26"/>
    <n v="-5436.64"/>
    <n v="755.36"/>
    <n v="-1354.14"/>
    <n v="-44.56"/>
    <n v="0"/>
    <n v="642.95000000000005"/>
    <n v="11.05"/>
    <n v="1245.3999999999999"/>
    <n v="631.90000000000009"/>
  </r>
  <r>
    <x v="0"/>
    <x v="1"/>
    <x v="0"/>
    <s v="2612200"/>
    <n v="749510"/>
    <s v="Licenses"/>
    <s v="West Sound-Ortho Surg"/>
    <x v="0"/>
    <n v="1002"/>
    <n v="0"/>
    <n v="0"/>
    <n v="0"/>
    <n v="0"/>
    <n v="330"/>
    <n v="0"/>
    <n v="488"/>
    <n v="0"/>
    <n v="0"/>
    <n v="0"/>
    <n v="0"/>
    <n v="1645.02"/>
    <n v="2463.02"/>
    <n v="-1645.02"/>
  </r>
  <r>
    <x v="0"/>
    <x v="1"/>
    <x v="0"/>
    <s v="2612200"/>
    <n v="749512"/>
    <s v="Licenses-Physician"/>
    <s v="West Sound-Ortho Surg"/>
    <x v="0"/>
    <n v="2000"/>
    <n v="0"/>
    <n v="0"/>
    <n v="0"/>
    <n v="0"/>
    <n v="657"/>
    <n v="0"/>
    <n v="0"/>
    <n v="731"/>
    <n v="1390.5"/>
    <n v="731"/>
    <n v="260"/>
    <n v="0"/>
    <n v="3769.5"/>
    <n v="260"/>
  </r>
  <r>
    <x v="0"/>
    <x v="1"/>
    <x v="0"/>
    <s v="2612200"/>
    <n v="749513"/>
    <s v="Licenses-Advanced Practice Clinician"/>
    <s v="West Sound-Ortho Surg"/>
    <x v="0"/>
    <n v="2000"/>
    <n v="0"/>
    <n v="0"/>
    <n v="0"/>
    <n v="0"/>
    <n v="0"/>
    <n v="854"/>
    <n v="0"/>
    <n v="0"/>
    <n v="0"/>
    <n v="0"/>
    <n v="0"/>
    <n v="0"/>
    <n v="854"/>
    <n v="0"/>
  </r>
  <r>
    <x v="0"/>
    <x v="1"/>
    <x v="0"/>
    <s v="2612200"/>
    <n v="749530"/>
    <s v="Travel"/>
    <s v="West Sound-Ortho Surg"/>
    <x v="0"/>
    <m/>
    <n v="612.54"/>
    <n v="0"/>
    <n v="0"/>
    <n v="5"/>
    <n v="15.1"/>
    <n v="6"/>
    <n v="0"/>
    <n v="0"/>
    <n v="0"/>
    <n v="0"/>
    <n v="0"/>
    <n v="0"/>
    <n v="638.64"/>
    <n v="0"/>
  </r>
  <r>
    <x v="0"/>
    <x v="1"/>
    <x v="0"/>
    <s v="2612200"/>
    <n v="749530"/>
    <s v="Mileage"/>
    <s v="West Sound-Ortho Surg"/>
    <x v="0"/>
    <n v="1001"/>
    <n v="56.14"/>
    <n v="0"/>
    <n v="263.24"/>
    <n v="47.42"/>
    <n v="43.06"/>
    <n v="94.86"/>
    <n v="0"/>
    <n v="24.36"/>
    <n v="17.98"/>
    <n v="12.18"/>
    <n v="0"/>
    <n v="48.72"/>
    <n v="607.96"/>
    <n v="-48.72"/>
  </r>
  <r>
    <x v="0"/>
    <x v="1"/>
    <x v="0"/>
    <s v="2612200"/>
    <n v="749532"/>
    <s v="Travel-Physician"/>
    <s v="West Sound-Ortho Surg"/>
    <x v="0"/>
    <m/>
    <n v="0"/>
    <n v="0"/>
    <n v="0"/>
    <n v="0"/>
    <n v="0"/>
    <n v="2530.14"/>
    <n v="0"/>
    <n v="1538.02"/>
    <n v="0"/>
    <n v="1524.61"/>
    <n v="0"/>
    <n v="0"/>
    <n v="5592.7699999999995"/>
    <n v="0"/>
  </r>
  <r>
    <x v="0"/>
    <x v="1"/>
    <x v="0"/>
    <s v="2612200"/>
    <n v="749532"/>
    <s v="Business Meals-Physician"/>
    <s v="West Sound-Ortho Surg"/>
    <x v="0"/>
    <n v="2000"/>
    <n v="0"/>
    <n v="0"/>
    <n v="0"/>
    <n v="0"/>
    <n v="0"/>
    <n v="400.34"/>
    <n v="0"/>
    <n v="0"/>
    <n v="0"/>
    <n v="0"/>
    <n v="0"/>
    <n v="0"/>
    <n v="400.34"/>
    <n v="0"/>
  </r>
  <r>
    <x v="0"/>
    <x v="1"/>
    <x v="0"/>
    <s v="2612200"/>
    <n v="749532"/>
    <s v="Vehicle Expense-Physician"/>
    <s v="West Sound-Ortho Surg"/>
    <x v="0"/>
    <n v="2001"/>
    <n v="0"/>
    <n v="0"/>
    <n v="0"/>
    <n v="0"/>
    <n v="0"/>
    <n v="71.94"/>
    <n v="0"/>
    <n v="0"/>
    <n v="0"/>
    <n v="0"/>
    <n v="0"/>
    <n v="0"/>
    <n v="71.94"/>
    <n v="0"/>
  </r>
  <r>
    <x v="0"/>
    <x v="1"/>
    <x v="0"/>
    <s v="2612200"/>
    <n v="749533"/>
    <s v="Travel-Advanced Practice Clinician"/>
    <s v="West Sound-Ortho Surg"/>
    <x v="0"/>
    <m/>
    <n v="0"/>
    <n v="0"/>
    <n v="1991.61"/>
    <n v="0"/>
    <n v="0"/>
    <n v="0"/>
    <n v="0"/>
    <n v="0"/>
    <n v="0"/>
    <n v="0"/>
    <n v="0"/>
    <n v="0"/>
    <n v="1991.61"/>
    <n v="0"/>
  </r>
  <r>
    <x v="0"/>
    <x v="1"/>
    <x v="0"/>
    <s v="2612200"/>
    <n v="749535"/>
    <s v="Employee Functions"/>
    <s v="West Sound-Ortho Surg"/>
    <x v="0"/>
    <n v="1004"/>
    <n v="0"/>
    <n v="0"/>
    <n v="0"/>
    <n v="0"/>
    <n v="0"/>
    <n v="0"/>
    <n v="0"/>
    <n v="0"/>
    <n v="0"/>
    <n v="0"/>
    <n v="0"/>
    <n v="642.95000000000005"/>
    <n v="642.95000000000005"/>
    <n v="-642.95000000000005"/>
  </r>
  <r>
    <x v="1"/>
    <x v="1"/>
    <x v="0"/>
    <s v="2613200"/>
    <n v="400040"/>
    <s v="Physician Svcs Rev--Medicare"/>
    <s v="Franciscan Sleep Med Assoc-Bur"/>
    <x v="0"/>
    <n v="1100"/>
    <n v="-24564"/>
    <n v="-27237"/>
    <n v="-25297"/>
    <n v="-32857"/>
    <n v="-24295"/>
    <n v="-25819"/>
    <n v="-29447"/>
    <n v="-19691"/>
    <n v="-29522"/>
    <n v="-35993"/>
    <n v="-39557"/>
    <n v="-21128"/>
    <n v="-335407"/>
    <n v="-18429"/>
  </r>
  <r>
    <x v="1"/>
    <x v="1"/>
    <x v="0"/>
    <s v="2613200"/>
    <n v="400040"/>
    <s v="Physician Svcs Rev--Medicaid"/>
    <s v="Franciscan Sleep Med Assoc-Bur"/>
    <x v="0"/>
    <n v="1200"/>
    <n v="-16689"/>
    <n v="-12567"/>
    <n v="-15807.5"/>
    <n v="-18214"/>
    <n v="-13537.5"/>
    <n v="-13164.5"/>
    <n v="-16302"/>
    <n v="-13606.5"/>
    <n v="-13005"/>
    <n v="-21352"/>
    <n v="-17848"/>
    <n v="-10946.5"/>
    <n v="-183039.5"/>
    <n v="-6901.5"/>
  </r>
  <r>
    <x v="1"/>
    <x v="1"/>
    <x v="0"/>
    <s v="2613200"/>
    <n v="400040"/>
    <s v="Physician Svcs Rev--Comm Insurance"/>
    <s v="Franciscan Sleep Med Assoc-Bur"/>
    <x v="0"/>
    <n v="1300"/>
    <n v="-3405"/>
    <n v="-1476"/>
    <n v="-1776"/>
    <n v="-3084"/>
    <n v="-1399"/>
    <n v="-2674"/>
    <n v="-747"/>
    <n v="-1561"/>
    <n v="-295"/>
    <n v="-1254"/>
    <n v="-1305.5"/>
    <n v="-295"/>
    <n v="-19271.5"/>
    <n v="-1010.5"/>
  </r>
  <r>
    <x v="1"/>
    <x v="1"/>
    <x v="0"/>
    <s v="2613200"/>
    <n v="400040"/>
    <s v="Physician Svcs Rev--BCBS Comm"/>
    <s v="Franciscan Sleep Med Assoc-Bur"/>
    <x v="0"/>
    <n v="1301"/>
    <n v="-7049"/>
    <n v="-6180.6"/>
    <n v="-4179"/>
    <n v="-9062"/>
    <n v="-4152.5"/>
    <n v="-6432"/>
    <n v="-7546"/>
    <n v="-5044"/>
    <n v="-7840"/>
    <n v="-4560.5"/>
    <n v="-11102"/>
    <n v="-4793"/>
    <n v="-77940.600000000006"/>
    <n v="-6309"/>
  </r>
  <r>
    <x v="1"/>
    <x v="1"/>
    <x v="0"/>
    <s v="2613200"/>
    <n v="400040"/>
    <s v="Physician Svcs Rev--Managed Care"/>
    <s v="Franciscan Sleep Med Assoc-Bur"/>
    <x v="0"/>
    <n v="1400"/>
    <n v="-27011"/>
    <n v="-26034"/>
    <n v="-26799"/>
    <n v="-24693"/>
    <n v="-23031"/>
    <n v="-24655"/>
    <n v="-26100.5"/>
    <n v="-19384"/>
    <n v="-25928"/>
    <n v="-27967"/>
    <n v="-32008"/>
    <n v="-17328"/>
    <n v="-300938.5"/>
    <n v="-14680"/>
  </r>
  <r>
    <x v="1"/>
    <x v="1"/>
    <x v="0"/>
    <s v="2613200"/>
    <n v="400040"/>
    <s v="Physician Svcs Rev--Self Pay"/>
    <s v="Franciscan Sleep Med Assoc-Bur"/>
    <x v="0"/>
    <n v="1500"/>
    <n v="-416"/>
    <n v="-452"/>
    <n v="-350"/>
    <n v="0"/>
    <n v="0"/>
    <n v="-904"/>
    <n v="452"/>
    <n v="0"/>
    <n v="0"/>
    <n v="0"/>
    <n v="0"/>
    <n v="0"/>
    <n v="-1670"/>
    <n v="0"/>
  </r>
  <r>
    <x v="1"/>
    <x v="1"/>
    <x v="0"/>
    <s v="2613200"/>
    <n v="400040"/>
    <s v="Physician Svcs Rev--Other"/>
    <s v="Franciscan Sleep Med Assoc-Bur"/>
    <x v="0"/>
    <n v="1700"/>
    <n v="-788"/>
    <n v="0"/>
    <n v="-200"/>
    <n v="0"/>
    <n v="-2726"/>
    <n v="-788"/>
    <n v="0"/>
    <n v="0"/>
    <n v="0"/>
    <n v="-452"/>
    <n v="-452"/>
    <n v="0"/>
    <n v="-5406"/>
    <n v="-452"/>
  </r>
  <r>
    <x v="2"/>
    <x v="1"/>
    <x v="0"/>
    <s v="2613200"/>
    <n v="450040"/>
    <s v="Contr Allow--Phys Svcs--Mcare"/>
    <s v="Franciscan Sleep Med Assoc-Bur"/>
    <x v="0"/>
    <n v="1100"/>
    <n v="11566.44"/>
    <n v="23194.65"/>
    <n v="14775.52"/>
    <n v="19248.36"/>
    <n v="15620.41"/>
    <n v="20531.41"/>
    <n v="17923.61"/>
    <n v="13839.94"/>
    <n v="15674.29"/>
    <n v="17528.419999999998"/>
    <n v="22274.31"/>
    <n v="20698.59"/>
    <n v="212875.94999999998"/>
    <n v="1575.7200000000012"/>
  </r>
  <r>
    <x v="2"/>
    <x v="1"/>
    <x v="0"/>
    <s v="2613200"/>
    <n v="450040"/>
    <s v="Contr Allow--Phys Svcs--Mcaid"/>
    <s v="Franciscan Sleep Med Assoc-Bur"/>
    <x v="0"/>
    <n v="1200"/>
    <n v="11582.88"/>
    <n v="16743.259999999998"/>
    <n v="9757.44"/>
    <n v="13828.55"/>
    <n v="14257.31"/>
    <n v="8370.4599999999991"/>
    <n v="9750.8799999999992"/>
    <n v="11336.23"/>
    <n v="10165.77"/>
    <n v="12112.79"/>
    <n v="16622.45"/>
    <n v="8830.9699999999993"/>
    <n v="143358.99000000002"/>
    <n v="7791.4800000000014"/>
  </r>
  <r>
    <x v="2"/>
    <x v="1"/>
    <x v="0"/>
    <s v="2613200"/>
    <n v="450040"/>
    <s v="Contr Allow--Phys Svcs--Comm Insurance"/>
    <s v="Franciscan Sleep Med Assoc-Bur"/>
    <x v="0"/>
    <n v="1300"/>
    <n v="619.12"/>
    <n v="664.58"/>
    <n v="-208.27"/>
    <n v="677.7"/>
    <n v="714.37"/>
    <n v="836.93"/>
    <n v="350.92"/>
    <n v="281.89"/>
    <n v="300.62"/>
    <n v="16.3"/>
    <n v="307.56"/>
    <n v="277.22000000000003"/>
    <n v="4838.9400000000005"/>
    <n v="30.339999999999975"/>
  </r>
  <r>
    <x v="2"/>
    <x v="1"/>
    <x v="0"/>
    <s v="2613200"/>
    <n v="450040"/>
    <s v="Contr Allow--Phys Svcs--BCBS Comm Ins"/>
    <s v="Franciscan Sleep Med Assoc-Bur"/>
    <x v="0"/>
    <n v="1301"/>
    <n v="2635.68"/>
    <n v="1954.77"/>
    <n v="1388.47"/>
    <n v="1580.34"/>
    <n v="1772.45"/>
    <n v="2059.7600000000002"/>
    <n v="937.74"/>
    <n v="1401.18"/>
    <n v="1891.9"/>
    <n v="1191.9000000000001"/>
    <n v="1970.36"/>
    <n v="1779.49"/>
    <n v="20564.040000000005"/>
    <n v="190.86999999999989"/>
  </r>
  <r>
    <x v="2"/>
    <x v="1"/>
    <x v="0"/>
    <s v="2613200"/>
    <n v="450040"/>
    <s v="Contr Allow--Phys Svcs--Managed Care"/>
    <s v="Franciscan Sleep Med Assoc-Bur"/>
    <x v="0"/>
    <n v="1400"/>
    <n v="7922.18"/>
    <n v="13474.4"/>
    <n v="8508.41"/>
    <n v="9731.2199999999993"/>
    <n v="12710.62"/>
    <n v="7250.96"/>
    <n v="7858.66"/>
    <n v="8725.5499999999993"/>
    <n v="11885.01"/>
    <n v="8767.18"/>
    <n v="12562.82"/>
    <n v="10368.76"/>
    <n v="119765.77"/>
    <n v="2194.0599999999995"/>
  </r>
  <r>
    <x v="2"/>
    <x v="1"/>
    <x v="0"/>
    <s v="2613200"/>
    <n v="450040"/>
    <s v="Contr Allow--Phys Svcs--BCBS Mgnd Care"/>
    <s v="Franciscan Sleep Med Assoc-Bur"/>
    <x v="0"/>
    <n v="1401"/>
    <n v="5524.13"/>
    <n v="-15185.75"/>
    <n v="5705.4"/>
    <n v="1304.57"/>
    <n v="-9023.7199999999993"/>
    <n v="288.16000000000003"/>
    <n v="6919.34"/>
    <n v="-2232.63"/>
    <n v="1262.94"/>
    <n v="9800.65"/>
    <n v="2100.54"/>
    <n v="-12852.48"/>
    <n v="-6388.8499999999995"/>
    <n v="14953.02"/>
  </r>
  <r>
    <x v="2"/>
    <x v="1"/>
    <x v="0"/>
    <s v="2613200"/>
    <n v="450040"/>
    <s v="Admin Adjust-Phys Svcs-Self Pay"/>
    <s v="Franciscan Sleep Med Assoc-Bur"/>
    <x v="0"/>
    <n v="1600"/>
    <n v="162.13999999999999"/>
    <n v="168.94"/>
    <n v="134.51"/>
    <n v="4.72"/>
    <n v="1.23"/>
    <n v="410.78"/>
    <n v="-139.47"/>
    <n v="86.36"/>
    <n v="11.94"/>
    <n v="-3.54"/>
    <n v="192.02"/>
    <n v="0.81"/>
    <n v="1030.44"/>
    <n v="191.21"/>
  </r>
  <r>
    <x v="2"/>
    <x v="1"/>
    <x v="0"/>
    <s v="2613200"/>
    <n v="450040"/>
    <s v="Contr Allow--Phys Svcs--Other"/>
    <s v="Franciscan Sleep Med Assoc-Bur"/>
    <x v="0"/>
    <n v="1700"/>
    <n v="0"/>
    <n v="710.84"/>
    <n v="0"/>
    <n v="326.38"/>
    <n v="640.16"/>
    <n v="204.82"/>
    <n v="992.18"/>
    <n v="0"/>
    <n v="0"/>
    <n v="144.47999999999999"/>
    <n v="630"/>
    <n v="216.35"/>
    <n v="3865.21"/>
    <n v="413.65"/>
  </r>
  <r>
    <x v="3"/>
    <x v="1"/>
    <x v="0"/>
    <s v="2613200"/>
    <n v="470040"/>
    <s v="Charity Care-Physician Svcs"/>
    <s v="Franciscan Sleep Med Assoc-Bur"/>
    <x v="0"/>
    <m/>
    <n v="48.7"/>
    <n v="-108.6"/>
    <n v="130.91999999999999"/>
    <n v="228.33"/>
    <n v="-131.52000000000001"/>
    <n v="-65.150000000000006"/>
    <n v="255.18"/>
    <n v="75.06"/>
    <n v="230.17"/>
    <n v="680.62"/>
    <n v="-12.96"/>
    <n v="341.49"/>
    <n v="1672.24"/>
    <n v="-354.45"/>
  </r>
  <r>
    <x v="4"/>
    <x v="1"/>
    <x v="0"/>
    <s v="2613200"/>
    <n v="490010"/>
    <s v="Provision for Bad Debts"/>
    <s v="Franciscan Sleep Med Assoc-Bur"/>
    <x v="0"/>
    <m/>
    <n v="3172.66"/>
    <n v="-1831.55"/>
    <n v="1188.4100000000001"/>
    <n v="1183.77"/>
    <n v="1117.69"/>
    <n v="707.06"/>
    <n v="1144.2"/>
    <n v="93.41"/>
    <n v="1538.78"/>
    <n v="1718.55"/>
    <n v="777.36"/>
    <n v="-1410.47"/>
    <n v="9399.869999999999"/>
    <n v="2187.83"/>
  </r>
  <r>
    <x v="5"/>
    <x v="1"/>
    <x v="0"/>
    <s v="2613200"/>
    <n v="700022"/>
    <s v="Salaries-Physician-Productive"/>
    <s v="Franciscan Sleep Med Assoc-Bur"/>
    <x v="0"/>
    <m/>
    <n v="24961.55"/>
    <n v="26224.77"/>
    <n v="22795.200000000001"/>
    <n v="26214.48"/>
    <n v="24429.919999999998"/>
    <n v="23257.919999999998"/>
    <n v="25511.93"/>
    <n v="22759.75"/>
    <n v="23796.78"/>
    <n v="24929.96"/>
    <n v="25926.94"/>
    <n v="22491.08"/>
    <n v="293300.27999999997"/>
    <n v="3435.8599999999969"/>
  </r>
  <r>
    <x v="5"/>
    <x v="1"/>
    <x v="0"/>
    <s v="2613200"/>
    <n v="700026"/>
    <s v="Salaries-RN-Productive"/>
    <s v="Franciscan Sleep Med Assoc-Bur"/>
    <x v="0"/>
    <m/>
    <n v="0"/>
    <n v="0"/>
    <n v="0"/>
    <n v="0"/>
    <n v="140.55000000000001"/>
    <n v="0"/>
    <n v="0"/>
    <n v="0"/>
    <n v="0"/>
    <n v="1153.73"/>
    <n v="-372.38"/>
    <n v="0"/>
    <n v="921.9"/>
    <n v="-372.38"/>
  </r>
  <r>
    <x v="5"/>
    <x v="1"/>
    <x v="0"/>
    <s v="2613200"/>
    <n v="700032"/>
    <s v="Salaries-Other Pat Care Providers-Productive"/>
    <s v="Franciscan Sleep Med Assoc-Bur"/>
    <x v="0"/>
    <m/>
    <n v="3337.55"/>
    <n v="2762.99"/>
    <n v="2942.06"/>
    <n v="3680.67"/>
    <n v="3176.44"/>
    <n v="2879.89"/>
    <n v="3649.28"/>
    <n v="2809.99"/>
    <n v="3131.31"/>
    <n v="2684.59"/>
    <n v="3306.5"/>
    <n v="3114.76"/>
    <n v="37476.030000000006"/>
    <n v="191.73999999999978"/>
  </r>
  <r>
    <x v="5"/>
    <x v="1"/>
    <x v="0"/>
    <s v="2613200"/>
    <n v="700032"/>
    <s v="Salaries-Other Pat Care Providers-OT"/>
    <s v="Franciscan Sleep Med Assoc-Bur"/>
    <x v="0"/>
    <n v="1000"/>
    <n v="0"/>
    <n v="0"/>
    <n v="22.83"/>
    <n v="7.61"/>
    <n v="0"/>
    <n v="0"/>
    <n v="26.43"/>
    <n v="18.66"/>
    <n v="32.659999999999997"/>
    <n v="-7.77"/>
    <n v="7.78"/>
    <n v="31.1"/>
    <n v="139.30000000000001"/>
    <n v="-23.32"/>
  </r>
  <r>
    <x v="5"/>
    <x v="1"/>
    <x v="0"/>
    <s v="2613200"/>
    <n v="700038"/>
    <s v="Salaries-Service/Support-Productive"/>
    <s v="Franciscan Sleep Med Assoc-Bur"/>
    <x v="0"/>
    <m/>
    <n v="0"/>
    <n v="0"/>
    <n v="0"/>
    <n v="0"/>
    <n v="77.56"/>
    <n v="0"/>
    <n v="0"/>
    <n v="0"/>
    <n v="0"/>
    <n v="0"/>
    <n v="0"/>
    <n v="0"/>
    <n v="77.56"/>
    <n v="0"/>
  </r>
  <r>
    <x v="5"/>
    <x v="1"/>
    <x v="0"/>
    <s v="2613200"/>
    <n v="700072"/>
    <s v="Salaries-Other Pat Care Providers-Non-productive"/>
    <s v="Franciscan Sleep Med Assoc-Bur"/>
    <x v="0"/>
    <m/>
    <n v="376.38"/>
    <n v="711.67"/>
    <n v="375.37"/>
    <n v="111.74"/>
    <n v="614.79999999999995"/>
    <n v="518.02"/>
    <n v="167.44"/>
    <n v="465.41"/>
    <n v="335.84"/>
    <n v="519.83000000000004"/>
    <n v="433.81"/>
    <n v="119.2"/>
    <n v="4749.51"/>
    <n v="314.61"/>
  </r>
  <r>
    <x v="5"/>
    <x v="1"/>
    <x v="0"/>
    <s v="2613200"/>
    <n v="700072"/>
    <s v="Salaries-Other Pat Care Providers-NonProd-Other"/>
    <s v="Franciscan Sleep Med Assoc-Bur"/>
    <x v="0"/>
    <n v="2000"/>
    <n v="10.15"/>
    <n v="0"/>
    <n v="0"/>
    <n v="0"/>
    <n v="0"/>
    <n v="0"/>
    <n v="0"/>
    <n v="0"/>
    <n v="0"/>
    <n v="0"/>
    <n v="0"/>
    <n v="0"/>
    <n v="10.15"/>
    <n v="0"/>
  </r>
  <r>
    <x v="5"/>
    <x v="1"/>
    <x v="0"/>
    <s v="2613200"/>
    <n v="700084"/>
    <s v="Accrued PTO"/>
    <s v="Franciscan Sleep Med Assoc-Bur"/>
    <x v="0"/>
    <m/>
    <n v="-49.28"/>
    <n v="-222.99"/>
    <n v="-186.66"/>
    <n v="148.01"/>
    <n v="-154.83000000000001"/>
    <n v="-236.4"/>
    <n v="130.62"/>
    <n v="-116.34"/>
    <n v="110.13"/>
    <n v="-128.34"/>
    <n v="2.69"/>
    <n v="81.97"/>
    <n v="-621.41999999999996"/>
    <n v="-79.28"/>
  </r>
  <r>
    <x v="6"/>
    <x v="1"/>
    <x v="0"/>
    <s v="2613200"/>
    <n v="713010"/>
    <s v="Benefits-FICA/Medicare"/>
    <s v="Franciscan Sleep Med Assoc-Bur"/>
    <x v="0"/>
    <m/>
    <n v="637.49"/>
    <n v="636.33000000000004"/>
    <n v="577.54999999999995"/>
    <n v="661.06"/>
    <n v="651.38"/>
    <n v="1326.17"/>
    <n v="2196.0100000000002"/>
    <n v="1950"/>
    <n v="2042.91"/>
    <n v="2188.7199999999998"/>
    <n v="2193.38"/>
    <n v="619.63"/>
    <n v="15680.63"/>
    <n v="1573.75"/>
  </r>
  <r>
    <x v="6"/>
    <x v="1"/>
    <x v="0"/>
    <s v="2613200"/>
    <n v="713090"/>
    <s v="Benefits-Allocated Amounts"/>
    <s v="Franciscan Sleep Med Assoc-Bur"/>
    <x v="0"/>
    <m/>
    <n v="0"/>
    <n v="0"/>
    <n v="0"/>
    <n v="0"/>
    <n v="0"/>
    <n v="0"/>
    <n v="0"/>
    <n v="0"/>
    <n v="13895.37"/>
    <n v="1647.25"/>
    <n v="1663.47"/>
    <n v="1423.36"/>
    <n v="18629.45"/>
    <n v="240.11000000000013"/>
  </r>
  <r>
    <x v="6"/>
    <x v="1"/>
    <x v="0"/>
    <s v="2613200"/>
    <n v="713092"/>
    <s v="Allocated Benefits-Physician"/>
    <s v="Franciscan Sleep Med Assoc-Bur"/>
    <x v="0"/>
    <m/>
    <n v="3055.15"/>
    <n v="2703.16"/>
    <n v="2803.05"/>
    <n v="2876.47"/>
    <n v="2953.78"/>
    <n v="2882.93"/>
    <n v="3524.49"/>
    <n v="3246.47"/>
    <n v="-10282.469999999999"/>
    <n v="1631.56"/>
    <n v="1647.63"/>
    <n v="1409.8"/>
    <n v="18452.02"/>
    <n v="237.83000000000015"/>
  </r>
  <r>
    <x v="11"/>
    <x v="1"/>
    <x v="0"/>
    <s v="2613200"/>
    <n v="721010"/>
    <s v="Supplies-Medical - Billable"/>
    <s v="Franciscan Sleep Med Assoc-Bur"/>
    <x v="0"/>
    <m/>
    <n v="0"/>
    <n v="0"/>
    <n v="0"/>
    <n v="0"/>
    <n v="0"/>
    <n v="5"/>
    <n v="5"/>
    <n v="5"/>
    <n v="0"/>
    <n v="5"/>
    <n v="0"/>
    <n v="0"/>
    <n v="20"/>
    <n v="0"/>
  </r>
  <r>
    <x v="11"/>
    <x v="1"/>
    <x v="0"/>
    <s v="2613200"/>
    <n v="721410"/>
    <s v="Supplies-Medical - Nonbillable"/>
    <s v="Franciscan Sleep Med Assoc-Bur"/>
    <x v="0"/>
    <m/>
    <n v="0"/>
    <n v="0"/>
    <n v="0"/>
    <n v="0"/>
    <n v="74.319999999999993"/>
    <n v="0"/>
    <n v="0"/>
    <n v="0"/>
    <n v="0"/>
    <n v="5"/>
    <n v="118.07"/>
    <n v="74.069999999999993"/>
    <n v="271.45999999999998"/>
    <n v="44"/>
  </r>
  <r>
    <x v="0"/>
    <x v="1"/>
    <x v="0"/>
    <s v="2613200"/>
    <n v="740022"/>
    <s v="Education-Physician"/>
    <s v="Franciscan Sleep Med Assoc-Bur"/>
    <x v="0"/>
    <m/>
    <n v="0"/>
    <n v="0"/>
    <n v="300"/>
    <n v="0"/>
    <n v="0"/>
    <n v="0"/>
    <n v="0"/>
    <n v="0"/>
    <n v="405"/>
    <n v="350"/>
    <n v="0"/>
    <n v="545.72"/>
    <n v="1600.72"/>
    <n v="-545.72"/>
  </r>
  <r>
    <x v="0"/>
    <x v="1"/>
    <x v="0"/>
    <s v="2613200"/>
    <n v="740022"/>
    <s v="Education Travel-Physician"/>
    <s v="Franciscan Sleep Med Assoc-Bur"/>
    <x v="0"/>
    <n v="2001"/>
    <n v="0"/>
    <n v="0"/>
    <n v="0"/>
    <n v="0"/>
    <n v="0"/>
    <n v="0"/>
    <n v="0"/>
    <n v="440.4"/>
    <n v="0"/>
    <n v="0"/>
    <n v="0"/>
    <n v="0"/>
    <n v="440.4"/>
    <n v="0"/>
  </r>
  <r>
    <x v="8"/>
    <x v="1"/>
    <x v="0"/>
    <s v="2613200"/>
    <n v="741012"/>
    <s v="Physician Liab Insurance-CHI Program"/>
    <s v="Franciscan Sleep Med Assoc-Bur"/>
    <x v="0"/>
    <m/>
    <n v="426.3"/>
    <n v="426.3"/>
    <n v="426.3"/>
    <n v="426.3"/>
    <n v="426.3"/>
    <n v="426.3"/>
    <n v="426.3"/>
    <n v="426.3"/>
    <n v="426.3"/>
    <n v="426.3"/>
    <n v="426.3"/>
    <n v="426.3"/>
    <n v="5115.6000000000013"/>
    <n v="0"/>
  </r>
  <r>
    <x v="0"/>
    <x v="1"/>
    <x v="0"/>
    <s v="2613200"/>
    <n v="743022"/>
    <s v="Dues-Physician"/>
    <s v="Franciscan Sleep Med Assoc-Bur"/>
    <x v="0"/>
    <m/>
    <n v="0"/>
    <n v="0"/>
    <n v="0"/>
    <n v="0"/>
    <n v="0"/>
    <n v="0"/>
    <n v="0"/>
    <n v="925"/>
    <n v="0"/>
    <n v="0"/>
    <n v="0"/>
    <n v="0"/>
    <n v="925"/>
    <n v="0"/>
  </r>
  <r>
    <x v="0"/>
    <x v="1"/>
    <x v="0"/>
    <s v="2613200"/>
    <n v="743042"/>
    <s v="Subscriptions-Physician"/>
    <s v="Franciscan Sleep Med Assoc-Bur"/>
    <x v="0"/>
    <m/>
    <n v="0"/>
    <n v="0"/>
    <n v="0"/>
    <n v="0"/>
    <n v="0"/>
    <n v="0"/>
    <n v="0"/>
    <n v="0"/>
    <n v="0"/>
    <n v="207.06"/>
    <n v="0"/>
    <n v="0"/>
    <n v="207.06"/>
    <n v="0"/>
  </r>
  <r>
    <x v="0"/>
    <x v="1"/>
    <x v="0"/>
    <s v="2613200"/>
    <n v="749510"/>
    <s v="Miscellaneous Expenses"/>
    <s v="Franciscan Sleep Med Assoc-Bur"/>
    <x v="0"/>
    <m/>
    <n v="0"/>
    <n v="0"/>
    <n v="0"/>
    <n v="0"/>
    <n v="0"/>
    <n v="0"/>
    <n v="1365.4"/>
    <n v="-1365.4"/>
    <n v="0"/>
    <n v="0"/>
    <n v="0"/>
    <n v="73.069999999999993"/>
    <n v="73.069999999999993"/>
    <n v="-73.069999999999993"/>
  </r>
  <r>
    <x v="0"/>
    <x v="1"/>
    <x v="0"/>
    <s v="2613200"/>
    <n v="749512"/>
    <s v="Licenses-Physician"/>
    <s v="Franciscan Sleep Med Assoc-Bur"/>
    <x v="0"/>
    <n v="2000"/>
    <n v="0"/>
    <n v="0"/>
    <n v="0"/>
    <n v="0"/>
    <n v="0"/>
    <n v="0"/>
    <n v="0"/>
    <n v="0"/>
    <n v="0"/>
    <n v="657"/>
    <n v="0"/>
    <n v="0"/>
    <n v="657"/>
    <n v="0"/>
  </r>
  <r>
    <x v="0"/>
    <x v="1"/>
    <x v="0"/>
    <s v="2613200"/>
    <n v="749530"/>
    <s v="Mileage"/>
    <s v="Franciscan Sleep Med Assoc-Bur"/>
    <x v="0"/>
    <n v="1001"/>
    <n v="0"/>
    <n v="0"/>
    <n v="0"/>
    <n v="0"/>
    <n v="0"/>
    <n v="0"/>
    <n v="16.239999999999998"/>
    <n v="0"/>
    <n v="0"/>
    <n v="0"/>
    <n v="0"/>
    <n v="0"/>
    <n v="16.239999999999998"/>
    <n v="0"/>
  </r>
  <r>
    <x v="0"/>
    <x v="1"/>
    <x v="0"/>
    <s v="2613200"/>
    <n v="749532"/>
    <s v="Travel-Physician"/>
    <s v="Franciscan Sleep Med Assoc-Bur"/>
    <x v="0"/>
    <m/>
    <n v="0"/>
    <n v="0"/>
    <n v="0"/>
    <n v="0"/>
    <n v="0"/>
    <n v="0"/>
    <n v="0"/>
    <n v="0"/>
    <n v="373"/>
    <n v="0"/>
    <n v="0"/>
    <n v="0"/>
    <n v="373"/>
    <n v="0"/>
  </r>
  <r>
    <x v="1"/>
    <x v="1"/>
    <x v="0"/>
    <s v="2614200"/>
    <n v="400029"/>
    <s v="MD Practice Other Rev--Medicare"/>
    <s v="FMC Podiatry Fellowship at SF"/>
    <x v="0"/>
    <n v="1100"/>
    <n v="-162"/>
    <n v="-1142"/>
    <n v="-332"/>
    <n v="-1320"/>
    <n v="-1165"/>
    <n v="-826"/>
    <n v="-891"/>
    <n v="-1725"/>
    <n v="-1482"/>
    <n v="-1231"/>
    <n v="-1483"/>
    <n v="-1409"/>
    <n v="-13168"/>
    <n v="-74"/>
  </r>
  <r>
    <x v="1"/>
    <x v="1"/>
    <x v="0"/>
    <s v="2614200"/>
    <n v="400029"/>
    <s v="MD Practice Other Rev--Medicaid"/>
    <s v="FMC Podiatry Fellowship at SF"/>
    <x v="0"/>
    <n v="1200"/>
    <n v="-170"/>
    <n v="-1160"/>
    <n v="-658"/>
    <n v="-753"/>
    <n v="-1069"/>
    <n v="-841"/>
    <n v="-818"/>
    <n v="-2124"/>
    <n v="-1312"/>
    <n v="-323"/>
    <n v="-1239"/>
    <n v="-486"/>
    <n v="-10953"/>
    <n v="-753"/>
  </r>
  <r>
    <x v="1"/>
    <x v="1"/>
    <x v="0"/>
    <s v="2614200"/>
    <n v="400029"/>
    <s v="MD Practice Other Rev--Comm Insurance"/>
    <s v="FMC Podiatry Fellowship at SF"/>
    <x v="0"/>
    <n v="1300"/>
    <n v="80"/>
    <n v="0"/>
    <n v="0"/>
    <n v="-80"/>
    <n v="-81"/>
    <n v="-233"/>
    <n v="-1"/>
    <n v="-162"/>
    <n v="-259"/>
    <n v="0"/>
    <n v="-81"/>
    <n v="0"/>
    <n v="-817"/>
    <n v="-81"/>
  </r>
  <r>
    <x v="1"/>
    <x v="1"/>
    <x v="0"/>
    <s v="2614200"/>
    <n v="400029"/>
    <s v="MD Practice Other Rev--BCBS Comm"/>
    <s v="FMC Podiatry Fellowship at SF"/>
    <x v="0"/>
    <n v="1301"/>
    <n v="-81"/>
    <n v="-945"/>
    <n v="-81"/>
    <n v="-81"/>
    <n v="0"/>
    <n v="-171"/>
    <n v="-323"/>
    <n v="-162"/>
    <n v="-518"/>
    <n v="-259"/>
    <n v="-863"/>
    <n v="-494"/>
    <n v="-3978"/>
    <n v="-369"/>
  </r>
  <r>
    <x v="1"/>
    <x v="1"/>
    <x v="0"/>
    <s v="2614200"/>
    <n v="400029"/>
    <s v="MD Practice Other Rev--Managed Care"/>
    <s v="FMC Podiatry Fellowship at SF"/>
    <x v="0"/>
    <n v="1400"/>
    <n v="-1369"/>
    <n v="-1520"/>
    <n v="-980"/>
    <n v="-1143"/>
    <n v="-1547"/>
    <n v="-1959"/>
    <n v="-1142"/>
    <n v="-1255"/>
    <n v="-1830"/>
    <n v="-2114"/>
    <n v="-2783"/>
    <n v="-1393"/>
    <n v="-19035"/>
    <n v="-1390"/>
  </r>
  <r>
    <x v="1"/>
    <x v="1"/>
    <x v="0"/>
    <s v="2614200"/>
    <n v="400029"/>
    <s v="MD Practice Other Rev--Self Pay"/>
    <s v="FMC Podiatry Fellowship at SF"/>
    <x v="0"/>
    <n v="1500"/>
    <n v="-80"/>
    <n v="-332"/>
    <n v="-259"/>
    <n v="-72"/>
    <n v="0"/>
    <n v="0"/>
    <n v="0"/>
    <n v="0"/>
    <n v="-170"/>
    <n v="0"/>
    <n v="-89"/>
    <n v="0"/>
    <n v="-1002"/>
    <n v="-89"/>
  </r>
  <r>
    <x v="1"/>
    <x v="1"/>
    <x v="0"/>
    <s v="2614200"/>
    <n v="400029"/>
    <s v="MD Practice Other Rev--Other"/>
    <s v="FMC Podiatry Fellowship at SF"/>
    <x v="0"/>
    <n v="1700"/>
    <n v="-81"/>
    <n v="-160"/>
    <n v="-81"/>
    <n v="-510"/>
    <n v="-89"/>
    <n v="-170"/>
    <n v="-251"/>
    <n v="-161"/>
    <n v="-259"/>
    <n v="-89"/>
    <n v="-89"/>
    <n v="0"/>
    <n v="-1940"/>
    <n v="-89"/>
  </r>
  <r>
    <x v="1"/>
    <x v="1"/>
    <x v="0"/>
    <s v="2614200"/>
    <n v="400040"/>
    <s v="Physician Svcs Rev--Medicare"/>
    <s v="FMC Podiatry Fellowship at SF"/>
    <x v="0"/>
    <n v="1100"/>
    <n v="-31134"/>
    <n v="-62583"/>
    <n v="-26244"/>
    <n v="-44893"/>
    <n v="-36141"/>
    <n v="-46244"/>
    <n v="-38258"/>
    <n v="-60256"/>
    <n v="-50314"/>
    <n v="-53482"/>
    <n v="-44679"/>
    <n v="-42122"/>
    <n v="-536350"/>
    <n v="-2557"/>
  </r>
  <r>
    <x v="1"/>
    <x v="1"/>
    <x v="0"/>
    <s v="2614200"/>
    <n v="400040"/>
    <s v="Physician Svcs Rev--Medicaid"/>
    <s v="FMC Podiatry Fellowship at SF"/>
    <x v="0"/>
    <n v="1200"/>
    <n v="-12262"/>
    <n v="-35426"/>
    <n v="-29754"/>
    <n v="-25362"/>
    <n v="-26552"/>
    <n v="-21217"/>
    <n v="-18879"/>
    <n v="-31360"/>
    <n v="-26330"/>
    <n v="-29575"/>
    <n v="-31168"/>
    <n v="-21822"/>
    <n v="-309707"/>
    <n v="-9346"/>
  </r>
  <r>
    <x v="1"/>
    <x v="1"/>
    <x v="0"/>
    <s v="2614200"/>
    <n v="400040"/>
    <s v="Physician Svcs Rev--Comm Insurance"/>
    <s v="FMC Podiatry Fellowship at SF"/>
    <x v="0"/>
    <n v="1300"/>
    <n v="-96"/>
    <n v="-2290"/>
    <n v="-972"/>
    <n v="-1830"/>
    <n v="-1498"/>
    <n v="-3652"/>
    <n v="-2517"/>
    <n v="-3414"/>
    <n v="-988"/>
    <n v="-1021"/>
    <n v="-1088"/>
    <n v="-888"/>
    <n v="-20254"/>
    <n v="-200"/>
  </r>
  <r>
    <x v="1"/>
    <x v="1"/>
    <x v="0"/>
    <s v="2614200"/>
    <n v="400040"/>
    <s v="Physician Svcs Rev--BCBS Comm"/>
    <s v="FMC Podiatry Fellowship at SF"/>
    <x v="0"/>
    <n v="1301"/>
    <n v="-4535"/>
    <n v="-13050"/>
    <n v="-4967"/>
    <n v="-7899"/>
    <n v="-3049"/>
    <n v="-7184"/>
    <n v="-10113"/>
    <n v="-7272"/>
    <n v="-13882"/>
    <n v="-8842"/>
    <n v="-13242"/>
    <n v="-5301"/>
    <n v="-99336"/>
    <n v="-7941"/>
  </r>
  <r>
    <x v="1"/>
    <x v="1"/>
    <x v="0"/>
    <s v="2614200"/>
    <n v="400040"/>
    <s v="Physician Svcs Rev--Managed Care"/>
    <s v="FMC Podiatry Fellowship at SF"/>
    <x v="0"/>
    <n v="1400"/>
    <n v="-18162"/>
    <n v="-44654"/>
    <n v="-28549"/>
    <n v="-37523"/>
    <n v="-41547"/>
    <n v="-47625"/>
    <n v="-52182"/>
    <n v="-25793"/>
    <n v="-38092"/>
    <n v="-36031"/>
    <n v="-37649"/>
    <n v="-33718"/>
    <n v="-441525"/>
    <n v="-3931"/>
  </r>
  <r>
    <x v="1"/>
    <x v="1"/>
    <x v="0"/>
    <s v="2614200"/>
    <n v="400040"/>
    <s v="Physician Svcs Rev--Self Pay"/>
    <s v="FMC Podiatry Fellowship at SF"/>
    <x v="0"/>
    <n v="1500"/>
    <n v="-918"/>
    <n v="-3636"/>
    <n v="-1069"/>
    <n v="-121"/>
    <n v="-662"/>
    <n v="0"/>
    <n v="-4466"/>
    <n v="-10310"/>
    <n v="-1377"/>
    <n v="0"/>
    <n v="776"/>
    <n v="-92"/>
    <n v="-21875"/>
    <n v="868"/>
  </r>
  <r>
    <x v="1"/>
    <x v="1"/>
    <x v="0"/>
    <s v="2614200"/>
    <n v="400040"/>
    <s v="Physician Svcs Rev--Other"/>
    <s v="FMC Podiatry Fellowship at SF"/>
    <x v="0"/>
    <n v="1700"/>
    <n v="-2499"/>
    <n v="-16011"/>
    <n v="-12558"/>
    <n v="-1196"/>
    <n v="-858"/>
    <n v="-7722"/>
    <n v="-5179"/>
    <n v="6398"/>
    <n v="-3646"/>
    <n v="-3139"/>
    <n v="-6268"/>
    <n v="-1681"/>
    <n v="-54359"/>
    <n v="-4587"/>
  </r>
  <r>
    <x v="2"/>
    <x v="1"/>
    <x v="0"/>
    <s v="2614200"/>
    <n v="450029"/>
    <s v="Contr Allow--MD Other-Medicare"/>
    <s v="FMC Podiatry Fellowship at SF"/>
    <x v="0"/>
    <n v="1100"/>
    <n v="377.39"/>
    <n v="351.52"/>
    <n v="231.48"/>
    <n v="512.52"/>
    <n v="890.1"/>
    <n v="578.92999999999995"/>
    <n v="494.41"/>
    <n v="521.70000000000005"/>
    <n v="1094.77"/>
    <n v="913.84"/>
    <n v="521.95000000000005"/>
    <n v="853.97"/>
    <n v="7342.58"/>
    <n v="-332.02"/>
  </r>
  <r>
    <x v="2"/>
    <x v="1"/>
    <x v="0"/>
    <s v="2614200"/>
    <n v="450029"/>
    <s v="Contr Allow--MD Other-Medicaid"/>
    <s v="FMC Podiatry Fellowship at SF"/>
    <x v="0"/>
    <n v="1200"/>
    <n v="337.07"/>
    <n v="559.4"/>
    <n v="829.43"/>
    <n v="260.13"/>
    <n v="947.07"/>
    <n v="578.59"/>
    <n v="515.48"/>
    <n v="799.07"/>
    <n v="1370.35"/>
    <n v="752.65"/>
    <n v="500.73"/>
    <n v="561.26"/>
    <n v="8011.23"/>
    <n v="-60.529999999999973"/>
  </r>
  <r>
    <x v="2"/>
    <x v="1"/>
    <x v="0"/>
    <s v="2614200"/>
    <n v="450029"/>
    <s v="Contr Allow--MD Other-Comm Insurance"/>
    <s v="FMC Podiatry Fellowship at SF"/>
    <x v="0"/>
    <n v="1300"/>
    <n v="-27.35"/>
    <n v="27.35"/>
    <n v="0"/>
    <n v="0"/>
    <n v="0"/>
    <n v="92.82"/>
    <n v="28.35"/>
    <n v="0"/>
    <n v="0"/>
    <n v="66.53"/>
    <n v="33.71"/>
    <n v="17.55"/>
    <n v="238.96"/>
    <n v="16.16"/>
  </r>
  <r>
    <x v="2"/>
    <x v="1"/>
    <x v="0"/>
    <s v="2614200"/>
    <n v="450029"/>
    <s v="Contr Allow--MD Other BCBS Comm"/>
    <s v="FMC Podiatry Fellowship at SF"/>
    <x v="0"/>
    <n v="1301"/>
    <n v="22.29"/>
    <n v="86.56"/>
    <n v="244.03"/>
    <n v="23.29"/>
    <n v="46.97"/>
    <n v="19.98"/>
    <n v="39.96"/>
    <n v="59.94"/>
    <n v="83.51"/>
    <n v="190.67"/>
    <n v="122.3"/>
    <n v="163.43"/>
    <n v="1102.9299999999998"/>
    <n v="-41.13000000000001"/>
  </r>
  <r>
    <x v="2"/>
    <x v="1"/>
    <x v="0"/>
    <s v="2614200"/>
    <n v="450029"/>
    <s v="Contr Allow--MD Other-Managed Care"/>
    <s v="FMC Podiatry Fellowship at SF"/>
    <x v="0"/>
    <n v="1400"/>
    <n v="577.02"/>
    <n v="530.39"/>
    <n v="348.75"/>
    <n v="318"/>
    <n v="668.54"/>
    <n v="568.54999999999995"/>
    <n v="527.82000000000005"/>
    <n v="411.03"/>
    <n v="446.81"/>
    <n v="862.79"/>
    <n v="840.14"/>
    <n v="647.96"/>
    <n v="6747.8000000000011"/>
    <n v="192.17999999999995"/>
  </r>
  <r>
    <x v="2"/>
    <x v="1"/>
    <x v="0"/>
    <s v="2614200"/>
    <n v="450029"/>
    <s v="Admin Adjust-MD Other-Self Pay"/>
    <s v="FMC Podiatry Fellowship at SF"/>
    <x v="0"/>
    <n v="1600"/>
    <n v="0"/>
    <n v="149.22999999999999"/>
    <n v="95.83"/>
    <n v="26.64"/>
    <n v="170"/>
    <n v="0"/>
    <n v="89"/>
    <n v="0"/>
    <n v="62.9"/>
    <n v="0"/>
    <n v="82.24"/>
    <n v="-43.25"/>
    <n v="632.59"/>
    <n v="125.49"/>
  </r>
  <r>
    <x v="2"/>
    <x v="1"/>
    <x v="0"/>
    <s v="2614200"/>
    <n v="450029"/>
    <s v="Contr Allow--MD Other-Other"/>
    <s v="FMC Podiatry Fellowship at SF"/>
    <x v="0"/>
    <n v="1700"/>
    <n v="47.64"/>
    <n v="25.27"/>
    <n v="25.32"/>
    <n v="50.96"/>
    <n v="225.62"/>
    <n v="0"/>
    <n v="77.81"/>
    <n v="36.46"/>
    <n v="92.31"/>
    <n v="70.790000000000006"/>
    <n v="179.3"/>
    <n v="19.93"/>
    <n v="851.41"/>
    <n v="159.37"/>
  </r>
  <r>
    <x v="2"/>
    <x v="1"/>
    <x v="0"/>
    <s v="2614200"/>
    <n v="450040"/>
    <s v="Contr Allow--Phys Svcs--Mcare"/>
    <s v="FMC Podiatry Fellowship at SF"/>
    <x v="0"/>
    <n v="1100"/>
    <n v="16419.53"/>
    <n v="33835.51"/>
    <n v="21501.54"/>
    <n v="24308.240000000002"/>
    <n v="22883.07"/>
    <n v="18258.63"/>
    <n v="20328.82"/>
    <n v="18969.38"/>
    <n v="28887.05"/>
    <n v="33455.46"/>
    <n v="32461.27"/>
    <n v="29034.3"/>
    <n v="300342.8"/>
    <n v="3426.9700000000012"/>
  </r>
  <r>
    <x v="2"/>
    <x v="1"/>
    <x v="0"/>
    <s v="2614200"/>
    <n v="450040"/>
    <s v="Contr Allow--Phys Svcs--Mcaid"/>
    <s v="FMC Podiatry Fellowship at SF"/>
    <x v="0"/>
    <n v="1200"/>
    <n v="10334.01"/>
    <n v="13318.59"/>
    <n v="17078.04"/>
    <n v="32352.22"/>
    <n v="20593.93"/>
    <n v="12798.13"/>
    <n v="13661.19"/>
    <n v="18549.82"/>
    <n v="15637.79"/>
    <n v="29229.29"/>
    <n v="15808.51"/>
    <n v="14613.5"/>
    <n v="213975.02000000005"/>
    <n v="1195.0100000000002"/>
  </r>
  <r>
    <x v="2"/>
    <x v="1"/>
    <x v="0"/>
    <s v="2614200"/>
    <n v="450040"/>
    <s v="Contr Allow--Phys Svcs--Comm Insurance"/>
    <s v="FMC Podiatry Fellowship at SF"/>
    <x v="0"/>
    <n v="1300"/>
    <n v="23.39"/>
    <n v="532.24"/>
    <n v="404.09"/>
    <n v="0"/>
    <n v="791.45"/>
    <n v="370.79"/>
    <n v="1174.3599999999999"/>
    <n v="1304.55"/>
    <n v="1115.47"/>
    <n v="393.78"/>
    <n v="93.4"/>
    <n v="98.6"/>
    <n v="6302.12"/>
    <n v="-5.1999999999999886"/>
  </r>
  <r>
    <x v="2"/>
    <x v="1"/>
    <x v="0"/>
    <s v="2614200"/>
    <n v="450040"/>
    <s v="Contr Allow--Phys Svcs--BCBS Comm Ins"/>
    <s v="FMC Podiatry Fellowship at SF"/>
    <x v="0"/>
    <n v="1301"/>
    <n v="1508.01"/>
    <n v="4661.2"/>
    <n v="1822.03"/>
    <n v="1886.38"/>
    <n v="6009.74"/>
    <n v="2381.46"/>
    <n v="1794.01"/>
    <n v="961.98"/>
    <n v="5565.38"/>
    <n v="5066.99"/>
    <n v="1730.08"/>
    <n v="4723.8999999999996"/>
    <n v="38111.160000000003"/>
    <n v="-2993.8199999999997"/>
  </r>
  <r>
    <x v="2"/>
    <x v="1"/>
    <x v="0"/>
    <s v="2614200"/>
    <n v="450040"/>
    <s v="Contr Allow--Phys Svcs--Managed Care"/>
    <s v="FMC Podiatry Fellowship at SF"/>
    <x v="0"/>
    <n v="1400"/>
    <n v="9485.6299999999992"/>
    <n v="13616.72"/>
    <n v="9336.27"/>
    <n v="13337.43"/>
    <n v="14362.13"/>
    <n v="15828.15"/>
    <n v="17520.07"/>
    <n v="18865.54"/>
    <n v="14210.29"/>
    <n v="13635.88"/>
    <n v="21031.98"/>
    <n v="14984.34"/>
    <n v="176214.43000000002"/>
    <n v="6047.6399999999994"/>
  </r>
  <r>
    <x v="2"/>
    <x v="1"/>
    <x v="0"/>
    <s v="2614200"/>
    <n v="450040"/>
    <s v="Contr Allow--Phys Svcs--BCBS Mgnd Care"/>
    <s v="FMC Podiatry Fellowship at SF"/>
    <x v="0"/>
    <n v="1401"/>
    <n v="-1523.28"/>
    <n v="22345.33"/>
    <n v="3026.39"/>
    <n v="-3786.09"/>
    <n v="-9852.01"/>
    <n v="19577.03"/>
    <n v="4310.91"/>
    <n v="11669.25"/>
    <n v="1115.18"/>
    <n v="-9012.06"/>
    <n v="3524.92"/>
    <n v="-6639.86"/>
    <n v="34755.71"/>
    <n v="10164.779999999999"/>
  </r>
  <r>
    <x v="2"/>
    <x v="1"/>
    <x v="0"/>
    <s v="2614200"/>
    <n v="450040"/>
    <s v="Admin Adjust-Phys Svcs-Self Pay"/>
    <s v="FMC Podiatry Fellowship at SF"/>
    <x v="0"/>
    <n v="1600"/>
    <n v="-4966.2700000000004"/>
    <n v="4870"/>
    <n v="10326.6"/>
    <n v="3948.8"/>
    <n v="9103.23"/>
    <n v="766.4"/>
    <n v="25233.21"/>
    <n v="5918.01"/>
    <n v="12627.73"/>
    <n v="792.51"/>
    <n v="1782.51"/>
    <n v="1998.47"/>
    <n v="72401.2"/>
    <n v="-215.96000000000004"/>
  </r>
  <r>
    <x v="2"/>
    <x v="1"/>
    <x v="0"/>
    <s v="2614200"/>
    <n v="450040"/>
    <s v="Contr Allow--Phys Svcs--Other"/>
    <s v="FMC Podiatry Fellowship at SF"/>
    <x v="0"/>
    <n v="1700"/>
    <n v="3792.05"/>
    <n v="10468.59"/>
    <n v="658.12"/>
    <n v="2650.18"/>
    <n v="2037.61"/>
    <n v="491.43"/>
    <n v="1988.26"/>
    <n v="9427.7099999999991"/>
    <n v="1822.99"/>
    <n v="1575.06"/>
    <n v="2441.5500000000002"/>
    <n v="2646.81"/>
    <n v="40000.359999999993"/>
    <n v="-205.25999999999976"/>
  </r>
  <r>
    <x v="3"/>
    <x v="1"/>
    <x v="0"/>
    <s v="2614200"/>
    <n v="470040"/>
    <s v="Charity Care-Physician Svcs"/>
    <s v="FMC Podiatry Fellowship at SF"/>
    <x v="0"/>
    <m/>
    <n v="-6.7"/>
    <n v="1947.83"/>
    <n v="121.69"/>
    <n v="144.68"/>
    <n v="-27.29"/>
    <n v="614.20000000000005"/>
    <n v="762.93"/>
    <n v="430.98"/>
    <n v="1510.58"/>
    <n v="-294.69"/>
    <n v="159.71"/>
    <n v="1707.12"/>
    <n v="7071.04"/>
    <n v="-1547.4099999999999"/>
  </r>
  <r>
    <x v="4"/>
    <x v="1"/>
    <x v="0"/>
    <s v="2614200"/>
    <n v="490010"/>
    <s v="Provision for Bad Debts"/>
    <s v="FMC Podiatry Fellowship at SF"/>
    <x v="0"/>
    <m/>
    <n v="4603.8900000000003"/>
    <n v="4472.55"/>
    <n v="989.57"/>
    <n v="-662.56"/>
    <n v="1513"/>
    <n v="4569.66"/>
    <n v="731.13"/>
    <n v="2620.52"/>
    <n v="2096.7600000000002"/>
    <n v="-625.32000000000005"/>
    <n v="4036.01"/>
    <n v="942.6"/>
    <n v="25287.809999999998"/>
    <n v="3093.4100000000003"/>
  </r>
  <r>
    <x v="5"/>
    <x v="1"/>
    <x v="0"/>
    <s v="2614200"/>
    <n v="700022"/>
    <s v="Salaries-Physician-Productive"/>
    <s v="FMC Podiatry Fellowship at SF"/>
    <x v="0"/>
    <m/>
    <n v="26712.92"/>
    <n v="24177.119999999999"/>
    <n v="21099.88"/>
    <n v="24047.200000000001"/>
    <n v="22897.52"/>
    <n v="22632.25"/>
    <n v="23891.71"/>
    <n v="21231.83"/>
    <n v="22173.88"/>
    <n v="23160.68"/>
    <n v="25209.85"/>
    <n v="22974.98"/>
    <n v="280209.82"/>
    <n v="2234.869999999999"/>
  </r>
  <r>
    <x v="5"/>
    <x v="1"/>
    <x v="0"/>
    <s v="2614200"/>
    <n v="700026"/>
    <s v="Salaries-RN-Productive"/>
    <s v="FMC Podiatry Fellowship at SF"/>
    <x v="0"/>
    <m/>
    <n v="192.18"/>
    <n v="-32.03"/>
    <n v="0"/>
    <n v="0"/>
    <n v="0"/>
    <n v="0"/>
    <n v="0"/>
    <n v="0"/>
    <n v="0"/>
    <n v="0"/>
    <n v="0"/>
    <n v="1644.59"/>
    <n v="1804.74"/>
    <n v="-1644.59"/>
  </r>
  <r>
    <x v="5"/>
    <x v="1"/>
    <x v="0"/>
    <s v="2614200"/>
    <n v="700026"/>
    <s v="Salaries-RN-Other"/>
    <s v="FMC Podiatry Fellowship at SF"/>
    <x v="0"/>
    <n v="2000"/>
    <n v="0"/>
    <n v="0"/>
    <n v="0"/>
    <n v="0"/>
    <n v="0"/>
    <n v="0"/>
    <n v="0"/>
    <n v="0"/>
    <n v="0"/>
    <n v="0"/>
    <n v="0"/>
    <n v="18.53"/>
    <n v="18.53"/>
    <n v="-18.53"/>
  </r>
  <r>
    <x v="5"/>
    <x v="1"/>
    <x v="0"/>
    <s v="2614200"/>
    <n v="700030"/>
    <s v="Salaries-LPN-Productive"/>
    <s v="FMC Podiatry Fellowship at SF"/>
    <x v="0"/>
    <m/>
    <n v="0"/>
    <n v="0"/>
    <n v="0"/>
    <n v="0"/>
    <n v="0"/>
    <n v="742.54"/>
    <n v="-25.2"/>
    <n v="0"/>
    <n v="0"/>
    <n v="0"/>
    <n v="0"/>
    <n v="436.98"/>
    <n v="1154.32"/>
    <n v="-436.98"/>
  </r>
  <r>
    <x v="5"/>
    <x v="1"/>
    <x v="0"/>
    <s v="2614200"/>
    <n v="700030"/>
    <s v="Salaries-LPN-Other"/>
    <s v="FMC Podiatry Fellowship at SF"/>
    <x v="0"/>
    <n v="2000"/>
    <n v="0"/>
    <n v="0"/>
    <n v="0"/>
    <n v="0"/>
    <n v="0"/>
    <n v="0"/>
    <n v="0"/>
    <n v="0"/>
    <n v="0"/>
    <n v="0"/>
    <n v="0"/>
    <n v="9.02"/>
    <n v="9.02"/>
    <n v="-9.02"/>
  </r>
  <r>
    <x v="5"/>
    <x v="1"/>
    <x v="0"/>
    <s v="2614200"/>
    <n v="700032"/>
    <s v="Salaries-Other Pat Care Providers-Productive"/>
    <s v="FMC Podiatry Fellowship at SF"/>
    <x v="0"/>
    <m/>
    <n v="2703.91"/>
    <n v="4241.7700000000004"/>
    <n v="2230.62"/>
    <n v="3505.33"/>
    <n v="4074.19"/>
    <n v="464.9"/>
    <n v="2786.75"/>
    <n v="3033.3"/>
    <n v="3380.85"/>
    <n v="3975.57"/>
    <n v="3989.49"/>
    <n v="2681.73"/>
    <n v="37068.410000000003"/>
    <n v="1307.7599999999998"/>
  </r>
  <r>
    <x v="5"/>
    <x v="1"/>
    <x v="0"/>
    <s v="2614200"/>
    <n v="700032"/>
    <s v="Salaries-Other Pat Care Providers-OT"/>
    <s v="FMC Podiatry Fellowship at SF"/>
    <x v="0"/>
    <n v="1000"/>
    <n v="0"/>
    <n v="0"/>
    <n v="0"/>
    <n v="0"/>
    <n v="0"/>
    <n v="0"/>
    <n v="0"/>
    <n v="0"/>
    <n v="0"/>
    <n v="0"/>
    <n v="0"/>
    <n v="79.41"/>
    <n v="79.41"/>
    <n v="-79.41"/>
  </r>
  <r>
    <x v="5"/>
    <x v="1"/>
    <x v="0"/>
    <s v="2614200"/>
    <n v="700054"/>
    <s v="Salaries-Management-Non-productive"/>
    <s v="FMC Podiatry Fellowship at SF"/>
    <x v="0"/>
    <m/>
    <n v="732.86"/>
    <n v="266.5"/>
    <n v="1998.72"/>
    <n v="-666.24"/>
    <n v="1009.44"/>
    <n v="1850.64"/>
    <n v="2325.35"/>
    <n v="336.97"/>
    <n v="2224.04"/>
    <n v="336.98"/>
    <n v="0"/>
    <n v="2358.8000000000002"/>
    <n v="12774.060000000001"/>
    <n v="-2358.8000000000002"/>
  </r>
  <r>
    <x v="5"/>
    <x v="1"/>
    <x v="0"/>
    <s v="2614200"/>
    <n v="700072"/>
    <s v="Salaries-Other Pat Care Providers-Non-productive"/>
    <s v="FMC Podiatry Fellowship at SF"/>
    <x v="0"/>
    <m/>
    <n v="1044.3399999999999"/>
    <n v="-139.59"/>
    <n v="1279.57"/>
    <n v="116.33"/>
    <n v="0"/>
    <n v="2399.85"/>
    <n v="1143.6400000000001"/>
    <n v="370.56"/>
    <n v="608.79"/>
    <n v="-238.22"/>
    <n v="0"/>
    <n v="952.87"/>
    <n v="7538.14"/>
    <n v="-952.87"/>
  </r>
  <r>
    <x v="5"/>
    <x v="1"/>
    <x v="0"/>
    <s v="2614200"/>
    <n v="700072"/>
    <s v="Salaries-Other Pat Care Providers-NonProd-Other"/>
    <s v="FMC Podiatry Fellowship at SF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14200"/>
    <n v="700084"/>
    <s v="Accrued PTO"/>
    <s v="FMC Podiatry Fellowship at SF"/>
    <x v="0"/>
    <m/>
    <n v="-57.16"/>
    <n v="980.43"/>
    <n v="-993.1"/>
    <n v="974.11"/>
    <n v="676.33"/>
    <n v="-521.79999999999995"/>
    <n v="-1074.52"/>
    <n v="744.44"/>
    <n v="867.21"/>
    <n v="1368.06"/>
    <n v="1335.28"/>
    <n v="-1321.34"/>
    <n v="2977.9399999999996"/>
    <n v="2656.62"/>
  </r>
  <r>
    <x v="6"/>
    <x v="1"/>
    <x v="0"/>
    <s v="2614200"/>
    <n v="713010"/>
    <s v="Benefits-FICA/Medicare"/>
    <s v="FMC Podiatry Fellowship at SF"/>
    <x v="0"/>
    <m/>
    <n v="3111.56"/>
    <n v="2153.46"/>
    <n v="1087.56"/>
    <n v="869.43"/>
    <n v="1038.92"/>
    <n v="1549.18"/>
    <n v="2269.6799999999998"/>
    <n v="1868.12"/>
    <n v="2131.6"/>
    <n v="2047.57"/>
    <n v="2201.29"/>
    <n v="2281.85"/>
    <n v="22610.22"/>
    <n v="-80.559999999999945"/>
  </r>
  <r>
    <x v="6"/>
    <x v="1"/>
    <x v="0"/>
    <s v="2614200"/>
    <n v="713090"/>
    <s v="Benefits-Allocated Amounts"/>
    <s v="FMC Podiatry Fellowship at SF"/>
    <x v="0"/>
    <m/>
    <n v="0"/>
    <n v="0"/>
    <n v="0"/>
    <n v="0"/>
    <n v="0"/>
    <n v="0"/>
    <n v="0"/>
    <n v="0"/>
    <n v="11592.06"/>
    <n v="1297.45"/>
    <n v="1289.8800000000001"/>
    <n v="1477.8"/>
    <n v="15657.189999999999"/>
    <n v="-187.91999999999985"/>
  </r>
  <r>
    <x v="6"/>
    <x v="1"/>
    <x v="0"/>
    <s v="2614200"/>
    <n v="713092"/>
    <s v="Allocated Benefits-Physician"/>
    <s v="FMC Podiatry Fellowship at SF"/>
    <x v="0"/>
    <m/>
    <n v="4768.5600000000004"/>
    <n v="3359.35"/>
    <n v="3532.97"/>
    <n v="3429.9"/>
    <n v="3613.85"/>
    <n v="3636.49"/>
    <n v="4433.29"/>
    <n v="4049.74"/>
    <n v="-7141.17"/>
    <n v="2650.71"/>
    <n v="2635.28"/>
    <n v="3019.2"/>
    <n v="31988.169999999995"/>
    <n v="-383.91999999999962"/>
  </r>
  <r>
    <x v="7"/>
    <x v="1"/>
    <x v="0"/>
    <s v="2614200"/>
    <n v="718010"/>
    <s v="Media/Print Advertising"/>
    <s v="FMC Podiatry Fellowship at SF"/>
    <x v="0"/>
    <n v="1004"/>
    <n v="0"/>
    <n v="272.62"/>
    <n v="0"/>
    <n v="0"/>
    <n v="0"/>
    <n v="98.09"/>
    <n v="0"/>
    <n v="0"/>
    <n v="0"/>
    <n v="0"/>
    <n v="0"/>
    <n v="-23.53"/>
    <n v="347.18000000000006"/>
    <n v="23.53"/>
  </r>
  <r>
    <x v="7"/>
    <x v="1"/>
    <x v="0"/>
    <s v="2614200"/>
    <n v="718040"/>
    <s v="Contract Svcs-Laboratory"/>
    <s v="FMC Podiatry Fellowship at SF"/>
    <x v="0"/>
    <m/>
    <n v="139.19999999999999"/>
    <n v="0"/>
    <n v="0"/>
    <n v="0"/>
    <n v="0"/>
    <n v="0"/>
    <n v="0"/>
    <n v="0"/>
    <n v="0"/>
    <n v="0"/>
    <n v="0"/>
    <n v="0"/>
    <n v="139.19999999999999"/>
    <n v="0"/>
  </r>
  <r>
    <x v="7"/>
    <x v="1"/>
    <x v="0"/>
    <s v="2614200"/>
    <n v="718050"/>
    <s v="Contract Svcs-Other"/>
    <s v="FMC Podiatry Fellowship at SF"/>
    <x v="0"/>
    <m/>
    <n v="0"/>
    <n v="0"/>
    <n v="0"/>
    <n v="0"/>
    <n v="0"/>
    <n v="0"/>
    <n v="0"/>
    <n v="0"/>
    <n v="1465.12"/>
    <n v="369.6"/>
    <n v="0"/>
    <n v="0"/>
    <n v="1834.7199999999998"/>
    <n v="0"/>
  </r>
  <r>
    <x v="7"/>
    <x v="1"/>
    <x v="0"/>
    <s v="2614200"/>
    <n v="718050"/>
    <s v="Miscellaneous Purchased Svcs"/>
    <s v="FMC Podiatry Fellowship at SF"/>
    <x v="0"/>
    <n v="1020"/>
    <n v="30"/>
    <n v="0"/>
    <n v="0"/>
    <n v="250"/>
    <n v="0"/>
    <n v="0"/>
    <n v="0"/>
    <n v="1645.02"/>
    <n v="0"/>
    <n v="0"/>
    <n v="0"/>
    <n v="0"/>
    <n v="1925.02"/>
    <n v="0"/>
  </r>
  <r>
    <x v="7"/>
    <x v="1"/>
    <x v="0"/>
    <s v="2614200"/>
    <n v="718050"/>
    <s v="Translation Services"/>
    <s v="FMC Podiatry Fellowship at SF"/>
    <x v="0"/>
    <n v="1025"/>
    <n v="41"/>
    <n v="96"/>
    <n v="73.5"/>
    <n v="0"/>
    <n v="46"/>
    <n v="104"/>
    <n v="0"/>
    <n v="160"/>
    <n v="0"/>
    <n v="78"/>
    <n v="390.5"/>
    <n v="0"/>
    <n v="989"/>
    <n v="390.5"/>
  </r>
  <r>
    <x v="7"/>
    <x v="1"/>
    <x v="0"/>
    <s v="2614200"/>
    <n v="718050"/>
    <s v="Contract Management--Linen"/>
    <s v="FMC Podiatry Fellowship at SF"/>
    <x v="0"/>
    <n v="1026"/>
    <n v="212.09"/>
    <n v="0"/>
    <n v="0"/>
    <n v="0"/>
    <n v="0"/>
    <n v="0"/>
    <n v="0"/>
    <n v="0"/>
    <n v="0"/>
    <n v="0"/>
    <n v="0"/>
    <n v="0"/>
    <n v="212.09"/>
    <n v="0"/>
  </r>
  <r>
    <x v="7"/>
    <x v="1"/>
    <x v="0"/>
    <s v="2614200"/>
    <n v="718050"/>
    <s v="Purchased Srvcs--Medical Waste"/>
    <s v="FMC Podiatry Fellowship at SF"/>
    <x v="0"/>
    <n v="1027"/>
    <n v="57.09"/>
    <n v="33.409999999999997"/>
    <n v="0"/>
    <n v="91.47"/>
    <n v="0"/>
    <n v="11.14"/>
    <n v="11.14"/>
    <n v="56.66"/>
    <n v="0"/>
    <n v="45.18"/>
    <n v="0"/>
    <n v="0"/>
    <n v="306.08999999999997"/>
    <n v="0"/>
  </r>
  <r>
    <x v="11"/>
    <x v="1"/>
    <x v="0"/>
    <s v="2614200"/>
    <n v="721010"/>
    <s v="Supplies-Medical - Billable"/>
    <s v="FMC Podiatry Fellowship at SF"/>
    <x v="0"/>
    <m/>
    <n v="434.02"/>
    <n v="1004.72"/>
    <n v="1279.06"/>
    <n v="561"/>
    <n v="403.36"/>
    <n v="754.99"/>
    <n v="0"/>
    <n v="1854.83"/>
    <n v="100.84"/>
    <n v="304.19"/>
    <n v="630.99"/>
    <n v="1916.13"/>
    <n v="9244.130000000001"/>
    <n v="-1285.1400000000001"/>
  </r>
  <r>
    <x v="11"/>
    <x v="1"/>
    <x v="0"/>
    <s v="2614200"/>
    <n v="721410"/>
    <s v="Supplies-Medical - Nonbillable"/>
    <s v="FMC Podiatry Fellowship at SF"/>
    <x v="0"/>
    <m/>
    <n v="60.1"/>
    <n v="1528.58"/>
    <n v="800.66"/>
    <n v="994.55"/>
    <n v="9.94"/>
    <n v="715"/>
    <n v="133.85"/>
    <n v="760.32"/>
    <n v="412.9"/>
    <n v="407.5"/>
    <n v="36.46"/>
    <n v="1804.34"/>
    <n v="7664.2"/>
    <n v="-1767.8799999999999"/>
  </r>
  <r>
    <x v="11"/>
    <x v="1"/>
    <x v="0"/>
    <s v="2614200"/>
    <n v="722000"/>
    <s v="Supplies-Freight Expense"/>
    <s v="FMC Podiatry Fellowship at SF"/>
    <x v="0"/>
    <m/>
    <n v="0"/>
    <n v="0"/>
    <n v="0"/>
    <n v="0"/>
    <n v="0"/>
    <n v="0"/>
    <n v="0"/>
    <n v="0"/>
    <n v="0"/>
    <n v="0"/>
    <n v="0"/>
    <n v="50.82"/>
    <n v="50.82"/>
    <n v="-50.82"/>
  </r>
  <r>
    <x v="12"/>
    <x v="1"/>
    <x v="0"/>
    <s v="2614200"/>
    <n v="730020"/>
    <s v="Rental and Leases-Copier Usage Fees (DO NOT USE)"/>
    <s v="FMC Podiatry Fellowship at SF"/>
    <x v="0"/>
    <n v="5100"/>
    <n v="112.11"/>
    <n v="113.03"/>
    <n v="112.57"/>
    <n v="112.57"/>
    <n v="112.57"/>
    <n v="112.57"/>
    <n v="115.5"/>
    <n v="97.81"/>
    <n v="97.6"/>
    <n v="163.96"/>
    <n v="97.8"/>
    <n v="99.81"/>
    <n v="1347.8999999999996"/>
    <n v="-2.0100000000000051"/>
  </r>
  <r>
    <x v="16"/>
    <x v="1"/>
    <x v="0"/>
    <s v="2614200"/>
    <n v="732030"/>
    <s v="Repairs---Other"/>
    <s v="FMC Podiatry Fellowship at SF"/>
    <x v="0"/>
    <m/>
    <n v="0"/>
    <n v="0"/>
    <n v="0"/>
    <n v="0"/>
    <n v="0"/>
    <n v="0"/>
    <n v="0"/>
    <n v="0"/>
    <n v="537.29999999999995"/>
    <n v="0"/>
    <n v="0"/>
    <n v="0"/>
    <n v="537.29999999999995"/>
    <n v="0"/>
  </r>
  <r>
    <x v="13"/>
    <x v="1"/>
    <x v="0"/>
    <s v="2614200"/>
    <n v="735070"/>
    <s v="Depreciation-Movable Equipment"/>
    <s v="FMC Podiatry Fellowship at SF"/>
    <x v="0"/>
    <m/>
    <n v="162.38"/>
    <n v="162.38"/>
    <n v="162.38"/>
    <n v="162.38"/>
    <n v="162.38"/>
    <n v="162.38"/>
    <n v="162.38999999999999"/>
    <n v="162.38"/>
    <n v="162.38999999999999"/>
    <n v="162.38"/>
    <n v="162.38999999999999"/>
    <n v="162.38"/>
    <n v="1948.5900000000001"/>
    <n v="9.9999999999909051E-3"/>
  </r>
  <r>
    <x v="0"/>
    <x v="1"/>
    <x v="0"/>
    <s v="2614200"/>
    <n v="740022"/>
    <s v="Education-Physician"/>
    <s v="FMC Podiatry Fellowship at SF"/>
    <x v="0"/>
    <m/>
    <n v="0"/>
    <n v="0"/>
    <n v="0"/>
    <n v="0"/>
    <n v="224"/>
    <n v="0"/>
    <n v="430"/>
    <n v="1095"/>
    <n v="0"/>
    <n v="0"/>
    <n v="725"/>
    <n v="75"/>
    <n v="2549"/>
    <n v="650"/>
  </r>
  <r>
    <x v="8"/>
    <x v="1"/>
    <x v="0"/>
    <s v="2614200"/>
    <n v="741012"/>
    <s v="Physician Liab Insurance-CHI Program"/>
    <s v="FMC Podiatry Fellowship at SF"/>
    <x v="0"/>
    <m/>
    <n v="1894.02"/>
    <n v="970.04"/>
    <n v="2131.5"/>
    <n v="2131.5"/>
    <n v="2131.5100000000002"/>
    <n v="2131.4899999999998"/>
    <n v="2131.5100000000002"/>
    <n v="2131.4899999999998"/>
    <n v="2131.5100000000002"/>
    <n v="2131.4899999999998"/>
    <n v="2131.5100000000002"/>
    <n v="2131.4899999999998"/>
    <n v="24179.059999999998"/>
    <n v="2.0000000000436557E-2"/>
  </r>
  <r>
    <x v="0"/>
    <x v="1"/>
    <x v="0"/>
    <s v="2614200"/>
    <n v="742010"/>
    <s v="Postage-Regular"/>
    <s v="FMC Podiatry Fellowship at SF"/>
    <x v="0"/>
    <m/>
    <n v="0"/>
    <n v="0"/>
    <n v="0"/>
    <n v="0"/>
    <n v="0"/>
    <n v="0"/>
    <n v="0"/>
    <n v="0"/>
    <n v="24.7"/>
    <n v="0"/>
    <n v="0"/>
    <n v="0"/>
    <n v="24.7"/>
    <n v="0"/>
  </r>
  <r>
    <x v="0"/>
    <x v="1"/>
    <x v="0"/>
    <s v="2614200"/>
    <n v="742020"/>
    <s v="Postage-Express Services"/>
    <s v="FMC Podiatry Fellowship at SF"/>
    <x v="0"/>
    <m/>
    <n v="0"/>
    <n v="0"/>
    <n v="0"/>
    <n v="0"/>
    <n v="0"/>
    <n v="24.7"/>
    <n v="0"/>
    <n v="0"/>
    <n v="0"/>
    <n v="0"/>
    <n v="0"/>
    <n v="0"/>
    <n v="24.7"/>
    <n v="0"/>
  </r>
  <r>
    <x v="0"/>
    <x v="1"/>
    <x v="0"/>
    <s v="2614200"/>
    <n v="742040"/>
    <s v="Freight-Other"/>
    <s v="FMC Podiatry Fellowship at SF"/>
    <x v="0"/>
    <m/>
    <n v="0"/>
    <n v="0"/>
    <n v="0"/>
    <n v="0"/>
    <n v="0"/>
    <n v="0"/>
    <n v="0"/>
    <n v="0"/>
    <n v="0"/>
    <n v="0"/>
    <n v="0"/>
    <n v="23.53"/>
    <n v="23.53"/>
    <n v="-23.53"/>
  </r>
  <r>
    <x v="0"/>
    <x v="1"/>
    <x v="0"/>
    <s v="2614200"/>
    <n v="743022"/>
    <s v="Dues-Physician"/>
    <s v="FMC Podiatry Fellowship at SF"/>
    <x v="0"/>
    <m/>
    <n v="300"/>
    <n v="0"/>
    <n v="0"/>
    <n v="0"/>
    <n v="0"/>
    <n v="0"/>
    <n v="0"/>
    <n v="350"/>
    <n v="0"/>
    <n v="0"/>
    <n v="450"/>
    <n v="0"/>
    <n v="1100"/>
    <n v="450"/>
  </r>
  <r>
    <x v="0"/>
    <x v="1"/>
    <x v="0"/>
    <s v="2614200"/>
    <n v="749510"/>
    <s v="Miscellaneous Expenses"/>
    <s v="FMC Podiatry Fellowship at SF"/>
    <x v="0"/>
    <m/>
    <n v="0"/>
    <n v="977.49"/>
    <n v="30"/>
    <n v="0"/>
    <n v="0"/>
    <n v="0"/>
    <n v="2364.9"/>
    <n v="-2349.9"/>
    <n v="113.48"/>
    <n v="1600.42"/>
    <n v="-1600.42"/>
    <n v="42.92"/>
    <n v="1178.8900000000003"/>
    <n v="-1643.3400000000001"/>
  </r>
  <r>
    <x v="0"/>
    <x v="1"/>
    <x v="0"/>
    <s v="2614200"/>
    <n v="749510"/>
    <s v="Licenses"/>
    <s v="FMC Podiatry Fellowship at SF"/>
    <x v="0"/>
    <n v="1002"/>
    <n v="0"/>
    <n v="0"/>
    <n v="0"/>
    <n v="0"/>
    <n v="0"/>
    <n v="716"/>
    <n v="0"/>
    <n v="0"/>
    <n v="716"/>
    <n v="0"/>
    <n v="0"/>
    <n v="0"/>
    <n v="1432"/>
    <n v="0"/>
  </r>
  <r>
    <x v="0"/>
    <x v="1"/>
    <x v="0"/>
    <s v="2614200"/>
    <n v="749510"/>
    <s v="RICE Rewards"/>
    <s v="FMC Podiatry Fellowship at SF"/>
    <x v="0"/>
    <n v="5100"/>
    <n v="0"/>
    <n v="0"/>
    <n v="0"/>
    <n v="0"/>
    <n v="0"/>
    <n v="269"/>
    <n v="0"/>
    <n v="0"/>
    <n v="0"/>
    <n v="0"/>
    <n v="0"/>
    <n v="0"/>
    <n v="269"/>
    <n v="0"/>
  </r>
  <r>
    <x v="0"/>
    <x v="1"/>
    <x v="0"/>
    <s v="2614200"/>
    <n v="749512"/>
    <s v="Licenses-Physician"/>
    <s v="FMC Podiatry Fellowship at SF"/>
    <x v="0"/>
    <n v="2000"/>
    <n v="0"/>
    <n v="0"/>
    <n v="400"/>
    <n v="0"/>
    <n v="0"/>
    <n v="0"/>
    <n v="1075"/>
    <n v="0"/>
    <n v="0"/>
    <n v="0"/>
    <n v="731"/>
    <n v="0"/>
    <n v="2206"/>
    <n v="731"/>
  </r>
  <r>
    <x v="0"/>
    <x v="1"/>
    <x v="0"/>
    <s v="2614200"/>
    <n v="749530"/>
    <s v="Mileage"/>
    <s v="FMC Podiatry Fellowship at SF"/>
    <x v="0"/>
    <n v="1001"/>
    <n v="0"/>
    <n v="0"/>
    <n v="0"/>
    <n v="0"/>
    <n v="0"/>
    <n v="0"/>
    <n v="61.8"/>
    <n v="0"/>
    <n v="0"/>
    <n v="21.46"/>
    <n v="0"/>
    <n v="0"/>
    <n v="83.259999999999991"/>
    <n v="0"/>
  </r>
  <r>
    <x v="0"/>
    <x v="1"/>
    <x v="0"/>
    <s v="2614200"/>
    <n v="749532"/>
    <s v="Travel-Physician"/>
    <s v="FMC Podiatry Fellowship at SF"/>
    <x v="0"/>
    <m/>
    <n v="0"/>
    <n v="0"/>
    <n v="0"/>
    <n v="0"/>
    <n v="0"/>
    <n v="0"/>
    <n v="1792.05"/>
    <n v="904.9"/>
    <n v="0"/>
    <n v="0"/>
    <n v="0"/>
    <n v="701.92"/>
    <n v="3398.87"/>
    <n v="-701.92"/>
  </r>
  <r>
    <x v="0"/>
    <x v="1"/>
    <x v="0"/>
    <s v="2614200"/>
    <n v="749532"/>
    <s v="Vehicle Expense-Physician"/>
    <s v="FMC Podiatry Fellowship at SF"/>
    <x v="0"/>
    <n v="2001"/>
    <n v="0"/>
    <n v="0"/>
    <n v="0"/>
    <n v="0"/>
    <n v="0"/>
    <n v="0"/>
    <n v="0"/>
    <n v="0"/>
    <n v="0"/>
    <n v="905.38"/>
    <n v="144.41999999999999"/>
    <n v="201.26"/>
    <n v="1251.06"/>
    <n v="-56.84"/>
  </r>
  <r>
    <x v="5"/>
    <x v="1"/>
    <x v="0"/>
    <s v="2615200"/>
    <n v="700022"/>
    <s v="Salaries-Physician-Productive"/>
    <s v="FMC Podiatry at SF"/>
    <x v="0"/>
    <m/>
    <n v="0"/>
    <n v="0"/>
    <n v="1026"/>
    <n v="-3237.6"/>
    <n v="3237.6"/>
    <n v="0"/>
    <n v="0"/>
    <n v="0"/>
    <n v="0"/>
    <n v="1552.67"/>
    <n v="12339.68"/>
    <n v="0"/>
    <n v="14918.35"/>
    <n v="12339.68"/>
  </r>
  <r>
    <x v="6"/>
    <x v="1"/>
    <x v="0"/>
    <s v="2615200"/>
    <n v="713010"/>
    <s v="Benefits-FICA/Medicare"/>
    <s v="FMC Podiatry at SF"/>
    <x v="0"/>
    <m/>
    <n v="0"/>
    <n v="0"/>
    <n v="78.489999999999995"/>
    <n v="-247.86"/>
    <n v="247.75"/>
    <n v="0"/>
    <n v="0"/>
    <n v="0"/>
    <n v="0"/>
    <n v="118.58"/>
    <n v="942.62"/>
    <n v="0"/>
    <n v="1139.58"/>
    <n v="942.62"/>
  </r>
  <r>
    <x v="6"/>
    <x v="1"/>
    <x v="0"/>
    <s v="2615200"/>
    <n v="713090"/>
    <s v="Benefits-Allocated Amounts"/>
    <s v="FMC Podiatry at SF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615200"/>
    <n v="713092"/>
    <s v="Allocated Benefits-Physician"/>
    <s v="FMC Podiatry at SF"/>
    <x v="0"/>
    <m/>
    <n v="0"/>
    <n v="0"/>
    <n v="92.09"/>
    <n v="-78.67"/>
    <n v="31.86"/>
    <n v="10.37"/>
    <n v="13.17"/>
    <n v="-68.819999999999993"/>
    <n v="0"/>
    <n v="109.74"/>
    <n v="1252.58"/>
    <n v="128.77000000000001"/>
    <n v="1491.09"/>
    <n v="1123.81"/>
  </r>
  <r>
    <x v="11"/>
    <x v="1"/>
    <x v="0"/>
    <s v="2615200"/>
    <n v="721830"/>
    <s v="Supplies-Office"/>
    <s v="FMC Podiatry at SF"/>
    <x v="0"/>
    <m/>
    <n v="233.72"/>
    <n v="0"/>
    <n v="0"/>
    <n v="189.42"/>
    <n v="102.4"/>
    <n v="155.32"/>
    <n v="59.73"/>
    <n v="229.56"/>
    <n v="0"/>
    <n v="182.29"/>
    <n v="103.25"/>
    <n v="172.21"/>
    <n v="1427.8999999999999"/>
    <n v="-68.960000000000008"/>
  </r>
  <r>
    <x v="8"/>
    <x v="1"/>
    <x v="0"/>
    <s v="2615200"/>
    <n v="741012"/>
    <s v="Physician Liab Insurance-CHI Program"/>
    <s v="FMC Podiatry at SF"/>
    <x v="0"/>
    <m/>
    <n v="355.25"/>
    <n v="355.25"/>
    <n v="355.25"/>
    <n v="355.25"/>
    <n v="355.25"/>
    <n v="355.25"/>
    <n v="355.25"/>
    <n v="355.25"/>
    <n v="355.25"/>
    <n v="355.25"/>
    <n v="355.25"/>
    <n v="355.25"/>
    <n v="4263"/>
    <n v="0"/>
  </r>
  <r>
    <x v="1"/>
    <x v="1"/>
    <x v="0"/>
    <s v="2617200"/>
    <n v="400040"/>
    <s v="Physician Svcs Rev--Medicare"/>
    <s v="FMC Burien-Beh Hlth"/>
    <x v="0"/>
    <n v="1100"/>
    <n v="-8470"/>
    <n v="-8545"/>
    <n v="-6290"/>
    <n v="-9732"/>
    <n v="-9736"/>
    <n v="-5607"/>
    <n v="-9217"/>
    <n v="-6996"/>
    <n v="-6950"/>
    <n v="-7670"/>
    <n v="-5783"/>
    <n v="-4856"/>
    <n v="-89852"/>
    <n v="-927"/>
  </r>
  <r>
    <x v="1"/>
    <x v="1"/>
    <x v="0"/>
    <s v="2617200"/>
    <n v="400040"/>
    <s v="Physician Svcs Rev--Medicaid"/>
    <s v="FMC Burien-Beh Hlth"/>
    <x v="0"/>
    <n v="1200"/>
    <n v="-6290"/>
    <n v="-7547"/>
    <n v="-2884"/>
    <n v="-1282"/>
    <n v="-3943"/>
    <n v="-1422"/>
    <n v="-1572"/>
    <n v="-1912"/>
    <n v="-2538"/>
    <n v="-3103"/>
    <n v="-3057"/>
    <n v="-2289"/>
    <n v="-37839"/>
    <n v="-768"/>
  </r>
  <r>
    <x v="1"/>
    <x v="1"/>
    <x v="0"/>
    <s v="2617200"/>
    <n v="400040"/>
    <s v="Physician Svcs Rev--Comm Insurance"/>
    <s v="FMC Burien-Beh Hlth"/>
    <x v="0"/>
    <n v="1300"/>
    <n v="-1419"/>
    <n v="-776"/>
    <n v="-1693"/>
    <n v="-1789"/>
    <n v="-1814"/>
    <n v="-964"/>
    <n v="428"/>
    <n v="-975"/>
    <n v="-956"/>
    <n v="-2533"/>
    <n v="-171"/>
    <n v="-239"/>
    <n v="-12901"/>
    <n v="68"/>
  </r>
  <r>
    <x v="1"/>
    <x v="1"/>
    <x v="0"/>
    <s v="2617200"/>
    <n v="400040"/>
    <s v="Physician Svcs Rev--BCBS Comm"/>
    <s v="FMC Burien-Beh Hlth"/>
    <x v="0"/>
    <n v="1301"/>
    <n v="-7950"/>
    <n v="-9494"/>
    <n v="-6062"/>
    <n v="-6507"/>
    <n v="-6647"/>
    <n v="-5406"/>
    <n v="-6491"/>
    <n v="-3833"/>
    <n v="-5843"/>
    <n v="-5471"/>
    <n v="-2151"/>
    <n v="-1821"/>
    <n v="-67676"/>
    <n v="-330"/>
  </r>
  <r>
    <x v="1"/>
    <x v="1"/>
    <x v="0"/>
    <s v="2617200"/>
    <n v="400040"/>
    <s v="Physician Svcs Rev--Managed Care"/>
    <s v="FMC Burien-Beh Hlth"/>
    <x v="0"/>
    <n v="1400"/>
    <n v="-25410"/>
    <n v="-30183"/>
    <n v="-14885"/>
    <n v="-36335"/>
    <n v="-24749"/>
    <n v="-21169"/>
    <n v="-18926"/>
    <n v="-15852"/>
    <n v="-17441"/>
    <n v="-22916"/>
    <n v="-15264"/>
    <n v="-6997"/>
    <n v="-250127"/>
    <n v="-8267"/>
  </r>
  <r>
    <x v="1"/>
    <x v="1"/>
    <x v="0"/>
    <s v="2617200"/>
    <n v="400040"/>
    <s v="Physician Svcs Rev--Self Pay"/>
    <s v="FMC Burien-Beh Hlth"/>
    <x v="0"/>
    <n v="1500"/>
    <n v="-179"/>
    <n v="-174"/>
    <n v="174"/>
    <n v="357"/>
    <n v="0"/>
    <n v="-933"/>
    <n v="-357"/>
    <n v="108"/>
    <n v="-179"/>
    <n v="0"/>
    <n v="0"/>
    <n v="-607"/>
    <n v="-1790"/>
    <n v="607"/>
  </r>
  <r>
    <x v="1"/>
    <x v="1"/>
    <x v="0"/>
    <s v="2617200"/>
    <n v="400040"/>
    <s v="Physician Svcs Rev--Other"/>
    <s v="FMC Burien-Beh Hlth"/>
    <x v="0"/>
    <n v="1700"/>
    <n v="-470"/>
    <n v="-1761"/>
    <n v="-717"/>
    <n v="-612"/>
    <n v="-478"/>
    <n v="-478"/>
    <n v="-239"/>
    <n v="-239"/>
    <n v="-478"/>
    <n v="-239"/>
    <n v="-239"/>
    <n v="0"/>
    <n v="-5950"/>
    <n v="-239"/>
  </r>
  <r>
    <x v="2"/>
    <x v="1"/>
    <x v="0"/>
    <s v="2617200"/>
    <n v="450040"/>
    <s v="Contr Allow--Phys Svcs--Mcare"/>
    <s v="FMC Burien-Beh Hlth"/>
    <x v="0"/>
    <n v="1100"/>
    <n v="4345.2"/>
    <n v="6263.68"/>
    <n v="5977.11"/>
    <n v="6605.86"/>
    <n v="8230.2199999999993"/>
    <n v="4755.5600000000004"/>
    <n v="7490.44"/>
    <n v="4949.4399999999996"/>
    <n v="3707.49"/>
    <n v="5259.06"/>
    <n v="5593.51"/>
    <n v="3993.81"/>
    <n v="67171.38"/>
    <n v="1599.7000000000003"/>
  </r>
  <r>
    <x v="2"/>
    <x v="1"/>
    <x v="0"/>
    <s v="2617200"/>
    <n v="450040"/>
    <s v="Contr Allow--Phys Svcs--Mcaid"/>
    <s v="FMC Burien-Beh Hlth"/>
    <x v="0"/>
    <n v="1200"/>
    <n v="3748.7"/>
    <n v="8233.09"/>
    <n v="4556.1099999999997"/>
    <n v="3024.09"/>
    <n v="4291.07"/>
    <n v="1629.96"/>
    <n v="929.82"/>
    <n v="2050.1"/>
    <n v="2530.1799999999998"/>
    <n v="1796.07"/>
    <n v="3568.52"/>
    <n v="3061.17"/>
    <n v="39418.879999999997"/>
    <n v="507.34999999999991"/>
  </r>
  <r>
    <x v="2"/>
    <x v="1"/>
    <x v="0"/>
    <s v="2617200"/>
    <n v="450040"/>
    <s v="Contr Allow--Phys Svcs--Comm Insurance"/>
    <s v="FMC Burien-Beh Hlth"/>
    <x v="0"/>
    <n v="1300"/>
    <n v="593.76"/>
    <n v="413.35"/>
    <n v="96.44"/>
    <n v="2050.08"/>
    <n v="1334.31"/>
    <n v="146.79"/>
    <n v="983.69"/>
    <n v="103.51"/>
    <n v="915.99"/>
    <n v="248.33"/>
    <n v="308.04000000000002"/>
    <n v="508.04"/>
    <n v="7702.33"/>
    <n v="-200"/>
  </r>
  <r>
    <x v="2"/>
    <x v="1"/>
    <x v="0"/>
    <s v="2617200"/>
    <n v="450040"/>
    <s v="Contr Allow--Phys Svcs--BCBS Comm Ins"/>
    <s v="FMC Burien-Beh Hlth"/>
    <x v="0"/>
    <n v="1301"/>
    <n v="2344.1999999999998"/>
    <n v="3008.85"/>
    <n v="1474.32"/>
    <n v="1939.48"/>
    <n v="2254.6999999999998"/>
    <n v="1817.87"/>
    <n v="1616.68"/>
    <n v="1385.24"/>
    <n v="1156.98"/>
    <n v="709.41"/>
    <n v="1420.8"/>
    <n v="744.9"/>
    <n v="19873.43"/>
    <n v="675.9"/>
  </r>
  <r>
    <x v="2"/>
    <x v="1"/>
    <x v="0"/>
    <s v="2617200"/>
    <n v="450040"/>
    <s v="Contr Allow--Phys Svcs--Managed Care"/>
    <s v="FMC Burien-Beh Hlth"/>
    <x v="0"/>
    <n v="1400"/>
    <n v="16560.04"/>
    <n v="15723.03"/>
    <n v="12606.35"/>
    <n v="16682.47"/>
    <n v="23669.53"/>
    <n v="11970.16"/>
    <n v="11940.29"/>
    <n v="9968.1200000000008"/>
    <n v="8879.48"/>
    <n v="13324.83"/>
    <n v="17100.77"/>
    <n v="6683.64"/>
    <n v="165108.71"/>
    <n v="10417.130000000001"/>
  </r>
  <r>
    <x v="2"/>
    <x v="1"/>
    <x v="0"/>
    <s v="2617200"/>
    <n v="450040"/>
    <s v="Contr Allow--Phys Svcs--BCBS Mgnd Care"/>
    <s v="FMC Burien-Beh Hlth"/>
    <x v="0"/>
    <n v="1401"/>
    <n v="-2578.7600000000002"/>
    <n v="-1781.59"/>
    <n v="-6604.35"/>
    <n v="1285.73"/>
    <n v="-9776.84"/>
    <n v="-1204.05"/>
    <n v="-421.07"/>
    <n v="-595.64"/>
    <n v="-494.43"/>
    <n v="1757.88"/>
    <n v="-11037.44"/>
    <n v="-5251.14"/>
    <n v="-36701.699999999997"/>
    <n v="-5786.3"/>
  </r>
  <r>
    <x v="2"/>
    <x v="1"/>
    <x v="0"/>
    <s v="2617200"/>
    <n v="450040"/>
    <s v="Prompt Pay Disc-Phys Svcs-Self Pay"/>
    <s v="FMC Burien-Beh Hlth"/>
    <x v="0"/>
    <n v="1500"/>
    <n v="0"/>
    <n v="0"/>
    <n v="0"/>
    <n v="0"/>
    <n v="0"/>
    <n v="0"/>
    <n v="123.73"/>
    <n v="0"/>
    <n v="0"/>
    <n v="0"/>
    <n v="0"/>
    <n v="0"/>
    <n v="123.73"/>
    <n v="0"/>
  </r>
  <r>
    <x v="2"/>
    <x v="1"/>
    <x v="0"/>
    <s v="2617200"/>
    <n v="450040"/>
    <s v="Admin Adjust-Phys Svcs-Self Pay"/>
    <s v="FMC Burien-Beh Hlth"/>
    <x v="0"/>
    <n v="1600"/>
    <n v="-4.38"/>
    <n v="-232.55"/>
    <n v="914.96"/>
    <n v="521.01"/>
    <n v="-40"/>
    <n v="-2.29"/>
    <n v="441.45"/>
    <n v="150.24"/>
    <n v="98.45"/>
    <n v="4.4000000000000004"/>
    <n v="28.62"/>
    <n v="255.21"/>
    <n v="2135.12"/>
    <n v="-226.59"/>
  </r>
  <r>
    <x v="2"/>
    <x v="1"/>
    <x v="0"/>
    <s v="2617200"/>
    <n v="450040"/>
    <s v="Contr Allow--Phys Svcs--Other"/>
    <s v="FMC Burien-Beh Hlth"/>
    <x v="0"/>
    <n v="1700"/>
    <n v="331.44"/>
    <n v="968.21"/>
    <n v="486.06"/>
    <n v="577.35"/>
    <n v="449.34"/>
    <n v="339.44"/>
    <n v="0"/>
    <n v="169.72"/>
    <n v="339.44"/>
    <n v="334.94"/>
    <n v="167.47"/>
    <n v="0"/>
    <n v="4163.41"/>
    <n v="167.47"/>
  </r>
  <r>
    <x v="3"/>
    <x v="1"/>
    <x v="0"/>
    <s v="2617200"/>
    <n v="470040"/>
    <s v="Charity Care-Physician Svcs"/>
    <s v="FMC Burien-Beh Hlth"/>
    <x v="0"/>
    <m/>
    <n v="-207.98"/>
    <n v="360.19"/>
    <n v="-348.5"/>
    <n v="493.09"/>
    <n v="-250.48"/>
    <n v="-252.36"/>
    <n v="-66.959999999999994"/>
    <n v="274.64999999999998"/>
    <n v="375.57"/>
    <n v="246.25"/>
    <n v="-467.42"/>
    <n v="81.62"/>
    <n v="237.6699999999999"/>
    <n v="-549.04"/>
  </r>
  <r>
    <x v="4"/>
    <x v="1"/>
    <x v="0"/>
    <s v="2617200"/>
    <n v="490010"/>
    <s v="Provision for Bad Debts"/>
    <s v="FMC Burien-Beh Hlth"/>
    <x v="0"/>
    <m/>
    <n v="1768.2"/>
    <n v="2038.22"/>
    <n v="1588.77"/>
    <n v="225.83"/>
    <n v="1073.78"/>
    <n v="1001.57"/>
    <n v="-532.1"/>
    <n v="-1051.6300000000001"/>
    <n v="1339.28"/>
    <n v="643.39"/>
    <n v="-994.52"/>
    <n v="-13.6"/>
    <n v="7087.1899999999987"/>
    <n v="-980.92"/>
  </r>
  <r>
    <x v="5"/>
    <x v="1"/>
    <x v="0"/>
    <s v="2617200"/>
    <n v="700014"/>
    <s v="Salaries-Management-Productive"/>
    <s v="FMC Burien-Beh Hlth"/>
    <x v="0"/>
    <m/>
    <n v="1737.12"/>
    <n v="1816.08"/>
    <n v="1579.2"/>
    <n v="1058.44"/>
    <n v="1372.52"/>
    <n v="1730.01"/>
    <n v="-115.29"/>
    <n v="0"/>
    <n v="0"/>
    <n v="0"/>
    <n v="0"/>
    <n v="0"/>
    <n v="9178.08"/>
    <n v="0"/>
  </r>
  <r>
    <x v="5"/>
    <x v="1"/>
    <x v="0"/>
    <s v="2617200"/>
    <n v="700018"/>
    <s v="Salaries-Supervisory-Productive"/>
    <s v="FMC Burien-Beh Hlth"/>
    <x v="0"/>
    <m/>
    <n v="960.25"/>
    <n v="708.19"/>
    <n v="1404.36"/>
    <n v="276.3"/>
    <n v="1699.78"/>
    <n v="359.56"/>
    <n v="1080.3399999999999"/>
    <n v="982.08"/>
    <n v="523.78"/>
    <n v="0"/>
    <n v="0"/>
    <n v="0"/>
    <n v="7994.64"/>
    <n v="0"/>
  </r>
  <r>
    <x v="5"/>
    <x v="1"/>
    <x v="0"/>
    <s v="2617200"/>
    <n v="700022"/>
    <s v="Salaries-Physician-Productive"/>
    <s v="FMC Burien-Beh Hlth"/>
    <x v="0"/>
    <m/>
    <n v="0"/>
    <n v="0"/>
    <n v="0"/>
    <n v="0"/>
    <n v="0"/>
    <n v="0"/>
    <n v="0"/>
    <n v="0"/>
    <n v="0"/>
    <n v="0"/>
    <n v="0"/>
    <n v="1297.8900000000001"/>
    <n v="1297.8900000000001"/>
    <n v="-1297.8900000000001"/>
  </r>
  <r>
    <x v="5"/>
    <x v="1"/>
    <x v="0"/>
    <s v="2617200"/>
    <n v="700032"/>
    <s v="Salaries-Other Pat Care Providers-Productive"/>
    <s v="FMC Burien-Beh Hlth"/>
    <x v="0"/>
    <m/>
    <n v="16523.46"/>
    <n v="19675.47"/>
    <n v="12213.05"/>
    <n v="19320.3"/>
    <n v="18698.32"/>
    <n v="14340.6"/>
    <n v="17953.8"/>
    <n v="16003.64"/>
    <n v="16212.46"/>
    <n v="19258.939999999999"/>
    <n v="12960.19"/>
    <n v="8905.9"/>
    <n v="192066.13"/>
    <n v="4054.2900000000009"/>
  </r>
  <r>
    <x v="5"/>
    <x v="1"/>
    <x v="0"/>
    <s v="2617200"/>
    <n v="700032"/>
    <s v="Salaries-Other Pat Care Providers-OT"/>
    <s v="FMC Burien-Beh Hlth"/>
    <x v="0"/>
    <n v="1000"/>
    <n v="186.31"/>
    <n v="-11.63"/>
    <n v="-3.88"/>
    <n v="31.05"/>
    <n v="55.98"/>
    <n v="33.57"/>
    <n v="133.06"/>
    <n v="4.8099999999999996"/>
    <n v="32.840000000000003"/>
    <n v="96.1"/>
    <n v="-28.02"/>
    <n v="136.13"/>
    <n v="666.32"/>
    <n v="-164.15"/>
  </r>
  <r>
    <x v="5"/>
    <x v="1"/>
    <x v="0"/>
    <s v="2617200"/>
    <n v="700032"/>
    <s v="Salaries-Other Pat Care Providers-Other"/>
    <s v="FMC Burien-Beh Hlth"/>
    <x v="0"/>
    <n v="2000"/>
    <n v="0"/>
    <n v="0"/>
    <n v="89.96"/>
    <n v="0"/>
    <n v="0"/>
    <n v="0"/>
    <n v="3.51"/>
    <n v="0"/>
    <n v="0"/>
    <n v="0"/>
    <n v="0"/>
    <n v="0"/>
    <n v="93.47"/>
    <n v="0"/>
  </r>
  <r>
    <x v="5"/>
    <x v="1"/>
    <x v="0"/>
    <s v="2617200"/>
    <n v="700072"/>
    <s v="Salaries-Other Pat Care Providers-Non-productive"/>
    <s v="FMC Burien-Beh Hlth"/>
    <x v="0"/>
    <m/>
    <n v="1884"/>
    <n v="68.489999999999995"/>
    <n v="4521.47"/>
    <n v="458.03"/>
    <n v="223.47"/>
    <n v="3552.25"/>
    <n v="1846.95"/>
    <n v="1214.93"/>
    <n v="1875.88"/>
    <n v="-153.04"/>
    <n v="6885.27"/>
    <n v="7096.36"/>
    <n v="29474.06"/>
    <n v="-211.08999999999924"/>
  </r>
  <r>
    <x v="5"/>
    <x v="1"/>
    <x v="0"/>
    <s v="2617200"/>
    <n v="700072"/>
    <s v="Salaries-Other Pat Care Providers-NonProd-Other"/>
    <s v="FMC Burien-Beh Hlth"/>
    <x v="0"/>
    <n v="2000"/>
    <n v="0"/>
    <n v="0"/>
    <n v="0"/>
    <n v="0"/>
    <n v="255.14"/>
    <n v="0"/>
    <n v="0"/>
    <n v="-255.14"/>
    <n v="0"/>
    <n v="0"/>
    <n v="0"/>
    <n v="0"/>
    <n v="0"/>
    <n v="0"/>
  </r>
  <r>
    <x v="5"/>
    <x v="1"/>
    <x v="0"/>
    <s v="2617200"/>
    <n v="700084"/>
    <s v="Accrued PTO"/>
    <s v="FMC Burien-Beh Hlth"/>
    <x v="0"/>
    <m/>
    <n v="-413.18"/>
    <n v="804.18"/>
    <n v="-1828.64"/>
    <n v="664.52"/>
    <n v="981.53"/>
    <n v="-438.92"/>
    <n v="541.66999999999996"/>
    <n v="583.28"/>
    <n v="676.38"/>
    <n v="509.48"/>
    <n v="505.67"/>
    <n v="-6006.34"/>
    <n v="-3420.3700000000003"/>
    <n v="6512.01"/>
  </r>
  <r>
    <x v="6"/>
    <x v="1"/>
    <x v="0"/>
    <s v="2617200"/>
    <n v="713010"/>
    <s v="Benefits-FICA/Medicare"/>
    <s v="FMC Burien-Beh Hlth"/>
    <x v="0"/>
    <m/>
    <n v="1567.52"/>
    <n v="1639.95"/>
    <n v="1457.35"/>
    <n v="1559.22"/>
    <n v="1683.61"/>
    <n v="1437.58"/>
    <n v="1501.83"/>
    <n v="1307.71"/>
    <n v="1339.13"/>
    <n v="1379.73"/>
    <n v="1422.76"/>
    <n v="1252.77"/>
    <n v="17549.16"/>
    <n v="169.99"/>
  </r>
  <r>
    <x v="6"/>
    <x v="1"/>
    <x v="0"/>
    <s v="2617200"/>
    <n v="713090"/>
    <s v="Benefits-Allocated Amounts"/>
    <s v="FMC Burien-Beh Hlth"/>
    <x v="0"/>
    <m/>
    <n v="0"/>
    <n v="0"/>
    <n v="0"/>
    <n v="0"/>
    <n v="0"/>
    <n v="0"/>
    <n v="0"/>
    <n v="0"/>
    <n v="35712.53"/>
    <n v="3735.05"/>
    <n v="4054.13"/>
    <n v="3179.01"/>
    <n v="46680.72"/>
    <n v="875.11999999999989"/>
  </r>
  <r>
    <x v="6"/>
    <x v="1"/>
    <x v="0"/>
    <s v="2617200"/>
    <n v="713092"/>
    <s v="Allocated Benefits-Physician"/>
    <s v="FMC Burien-Beh Hlth"/>
    <x v="0"/>
    <m/>
    <n v="4004.1"/>
    <n v="3627.67"/>
    <n v="3841.55"/>
    <n v="3731.96"/>
    <n v="3982.39"/>
    <n v="3968.83"/>
    <n v="4364.01"/>
    <n v="4115.12"/>
    <n v="-31635.63"/>
    <n v="0"/>
    <n v="0"/>
    <n v="0"/>
    <n v="0"/>
    <n v="0"/>
  </r>
  <r>
    <x v="7"/>
    <x v="1"/>
    <x v="0"/>
    <s v="2617200"/>
    <n v="718040"/>
    <s v="Contract Svcs-Laboratory"/>
    <s v="FMC Burien-Beh Hlth"/>
    <x v="0"/>
    <m/>
    <n v="94.2"/>
    <n v="0"/>
    <n v="0"/>
    <n v="0"/>
    <n v="0"/>
    <n v="0"/>
    <n v="0"/>
    <n v="0"/>
    <n v="0"/>
    <n v="0"/>
    <n v="0"/>
    <n v="0"/>
    <n v="94.2"/>
    <n v="0"/>
  </r>
  <r>
    <x v="15"/>
    <x v="1"/>
    <x v="0"/>
    <s v="2617200"/>
    <n v="731060"/>
    <s v="Pagers"/>
    <s v="FMC Burien-Beh Hlth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0"/>
    <x v="1"/>
    <x v="0"/>
    <s v="2617200"/>
    <n v="740020"/>
    <s v="Education-Registration Fees"/>
    <s v="FMC Burien-Beh Hlth"/>
    <x v="0"/>
    <m/>
    <n v="0"/>
    <n v="0"/>
    <n v="0"/>
    <n v="0"/>
    <n v="0"/>
    <n v="0"/>
    <n v="0"/>
    <n v="0"/>
    <n v="0"/>
    <n v="0"/>
    <n v="0"/>
    <n v="590"/>
    <n v="590"/>
    <n v="-590"/>
  </r>
  <r>
    <x v="0"/>
    <x v="1"/>
    <x v="0"/>
    <s v="2617200"/>
    <n v="749510"/>
    <s v="Miscellaneous Expenses"/>
    <s v="FMC Burien-Beh Hlth"/>
    <x v="0"/>
    <m/>
    <n v="0"/>
    <n v="0"/>
    <n v="0"/>
    <n v="0"/>
    <n v="118.5"/>
    <n v="110"/>
    <n v="-228.5"/>
    <n v="0"/>
    <n v="0"/>
    <n v="0"/>
    <n v="0"/>
    <n v="0"/>
    <n v="0"/>
    <n v="0"/>
  </r>
  <r>
    <x v="0"/>
    <x v="1"/>
    <x v="0"/>
    <s v="2617200"/>
    <n v="749510"/>
    <s v="Licenses"/>
    <s v="FMC Burien-Beh Hlth"/>
    <x v="0"/>
    <n v="1002"/>
    <n v="0"/>
    <n v="0"/>
    <n v="0"/>
    <n v="0"/>
    <n v="0"/>
    <n v="118.5"/>
    <n v="228.5"/>
    <n v="0"/>
    <n v="0"/>
    <n v="0"/>
    <n v="0"/>
    <n v="0"/>
    <n v="347"/>
    <n v="0"/>
  </r>
  <r>
    <x v="0"/>
    <x v="1"/>
    <x v="0"/>
    <s v="2617200"/>
    <n v="749512"/>
    <s v="Licenses-Physician"/>
    <s v="FMC Burien-Beh Hlth"/>
    <x v="0"/>
    <n v="2000"/>
    <n v="0"/>
    <n v="0"/>
    <n v="0"/>
    <n v="0"/>
    <n v="-441"/>
    <n v="0"/>
    <n v="0"/>
    <n v="0"/>
    <n v="0"/>
    <n v="0"/>
    <n v="0"/>
    <n v="0"/>
    <n v="-441"/>
    <n v="0"/>
  </r>
  <r>
    <x v="0"/>
    <x v="1"/>
    <x v="0"/>
    <s v="2617200"/>
    <n v="749530"/>
    <s v="Travel"/>
    <s v="FMC Burien-Beh Hlth"/>
    <x v="0"/>
    <m/>
    <n v="0"/>
    <n v="0"/>
    <n v="0"/>
    <n v="0"/>
    <n v="0"/>
    <n v="0"/>
    <n v="0"/>
    <n v="0"/>
    <n v="0"/>
    <n v="0"/>
    <n v="0"/>
    <n v="400.6"/>
    <n v="400.6"/>
    <n v="-400.6"/>
  </r>
  <r>
    <x v="5"/>
    <x v="1"/>
    <x v="0"/>
    <s v="2621200"/>
    <n v="700034"/>
    <s v="Salaries-Tech/Professional-Productive"/>
    <s v="FPC-Gravelly Lake-Radiology"/>
    <x v="0"/>
    <m/>
    <n v="11400.32"/>
    <n v="11744.06"/>
    <n v="9023.9"/>
    <n v="7335.5"/>
    <n v="6112.93"/>
    <n v="3177.2"/>
    <n v="7655.65"/>
    <n v="4858.91"/>
    <n v="6536.36"/>
    <n v="5670.57"/>
    <n v="6597.7"/>
    <n v="5660.41"/>
    <n v="85773.51"/>
    <n v="937.29"/>
  </r>
  <r>
    <x v="5"/>
    <x v="1"/>
    <x v="0"/>
    <s v="2621200"/>
    <n v="700034"/>
    <s v="Salaries-Tech/Professional-OT"/>
    <s v="FPC-Gravelly Lake-Radiology"/>
    <x v="0"/>
    <n v="1000"/>
    <n v="48.72"/>
    <n v="12.49"/>
    <n v="839.15"/>
    <n v="84.67"/>
    <n v="124.66"/>
    <n v="179"/>
    <n v="-3.73"/>
    <n v="315.89999999999998"/>
    <n v="586.69000000000005"/>
    <n v="351.55"/>
    <n v="820.52"/>
    <n v="401.16"/>
    <n v="3760.78"/>
    <n v="419.35999999999996"/>
  </r>
  <r>
    <x v="5"/>
    <x v="1"/>
    <x v="0"/>
    <s v="2621200"/>
    <n v="700034"/>
    <s v="Salaries-Tech/Professional-Other"/>
    <s v="FPC-Gravelly Lake-Radiology"/>
    <x v="0"/>
    <n v="2000"/>
    <n v="273.98"/>
    <n v="67.900000000000006"/>
    <n v="272.52"/>
    <n v="8.85"/>
    <n v="-4.5999999999999996"/>
    <n v="-4.5"/>
    <n v="133.71"/>
    <n v="0"/>
    <n v="27.29"/>
    <n v="29.56"/>
    <n v="16.260000000000002"/>
    <n v="20.03"/>
    <n v="840.99999999999989"/>
    <n v="-3.7699999999999996"/>
  </r>
  <r>
    <x v="5"/>
    <x v="1"/>
    <x v="0"/>
    <s v="2621200"/>
    <n v="700074"/>
    <s v="Salaries-Tech/Professional-Non-productive"/>
    <s v="FPC-Gravelly Lake-Radiology"/>
    <x v="0"/>
    <m/>
    <n v="461.03"/>
    <n v="271.85000000000002"/>
    <n v="1853.96"/>
    <n v="4885.8500000000004"/>
    <n v="-1500.8"/>
    <n v="2243.5500000000002"/>
    <n v="-133.52000000000001"/>
    <n v="489.74"/>
    <n v="-96.94"/>
    <n v="1027.95"/>
    <n v="668.58"/>
    <n v="635.16"/>
    <n v="10806.41"/>
    <n v="33.420000000000073"/>
  </r>
  <r>
    <x v="5"/>
    <x v="1"/>
    <x v="0"/>
    <s v="2621200"/>
    <n v="700074"/>
    <s v="Salaries-Tech/Professional-NonProd-Other"/>
    <s v="FPC-Gravelly Lake-Radiology"/>
    <x v="0"/>
    <n v="2000"/>
    <n v="0"/>
    <n v="0"/>
    <n v="0"/>
    <n v="0"/>
    <n v="260.27999999999997"/>
    <n v="0"/>
    <n v="0"/>
    <n v="-260.27999999999997"/>
    <n v="0"/>
    <n v="0"/>
    <n v="0"/>
    <n v="0"/>
    <n v="0"/>
    <n v="0"/>
  </r>
  <r>
    <x v="5"/>
    <x v="1"/>
    <x v="0"/>
    <s v="2621200"/>
    <n v="700084"/>
    <s v="Accrued PTO"/>
    <s v="FPC-Gravelly Lake-Radiology"/>
    <x v="0"/>
    <m/>
    <n v="699.99"/>
    <n v="638.57000000000005"/>
    <n v="-276.02999999999997"/>
    <n v="-1267.1099999999999"/>
    <n v="-1283.94"/>
    <n v="-1255.76"/>
    <n v="723.45"/>
    <n v="86.86"/>
    <n v="634.89"/>
    <n v="89.46"/>
    <n v="26.7"/>
    <n v="360.17"/>
    <n v="-822.74999999999977"/>
    <n v="-333.47"/>
  </r>
  <r>
    <x v="6"/>
    <x v="1"/>
    <x v="0"/>
    <s v="2621200"/>
    <n v="713010"/>
    <s v="Benefits-FICA/Medicare"/>
    <s v="FPC-Gravelly Lake-Radiology"/>
    <x v="0"/>
    <m/>
    <n v="890.17"/>
    <n v="882.68"/>
    <n v="877.71"/>
    <n v="897.47"/>
    <n v="409.96"/>
    <n v="408.73"/>
    <n v="548.51"/>
    <n v="431.02"/>
    <n v="534.69000000000005"/>
    <n v="536.9"/>
    <n v="615.84"/>
    <n v="509.78"/>
    <n v="7543.46"/>
    <n v="106.06000000000006"/>
  </r>
  <r>
    <x v="6"/>
    <x v="1"/>
    <x v="0"/>
    <s v="2621200"/>
    <n v="713090"/>
    <s v="Benefits-Allocated Amounts"/>
    <s v="FPC-Gravelly Lake-Radiology"/>
    <x v="0"/>
    <m/>
    <n v="2458.23"/>
    <n v="2136.3200000000002"/>
    <n v="2392.1"/>
    <n v="2358.69"/>
    <n v="1220.1500000000001"/>
    <n v="800.45"/>
    <n v="1892.95"/>
    <n v="1439.83"/>
    <n v="1510.59"/>
    <n v="1610.73"/>
    <n v="1633.11"/>
    <n v="1438.63"/>
    <n v="20891.780000000002"/>
    <n v="194.47999999999979"/>
  </r>
  <r>
    <x v="0"/>
    <x v="1"/>
    <x v="0"/>
    <s v="2621200"/>
    <n v="749530"/>
    <s v="Mileage"/>
    <s v="FPC-Gravelly Lake-Radiology"/>
    <x v="0"/>
    <n v="1001"/>
    <n v="35.979999999999997"/>
    <n v="17.989999999999998"/>
    <n v="0"/>
    <n v="35.979999999999997"/>
    <n v="53.97"/>
    <n v="17.989999999999998"/>
    <n v="0"/>
    <n v="0"/>
    <n v="0"/>
    <n v="47.56"/>
    <n v="71.34"/>
    <n v="46.4"/>
    <n v="327.20999999999998"/>
    <n v="24.940000000000005"/>
  </r>
  <r>
    <x v="1"/>
    <x v="1"/>
    <x v="0"/>
    <s v="2622200"/>
    <n v="400029"/>
    <s v="MD Practice Other Rev--Medicare"/>
    <s v="Neurology-Tacoma-Neuro"/>
    <x v="0"/>
    <n v="1100"/>
    <n v="0"/>
    <n v="0"/>
    <n v="0"/>
    <n v="-18"/>
    <n v="0"/>
    <n v="0"/>
    <n v="0"/>
    <n v="0"/>
    <n v="0"/>
    <n v="0"/>
    <n v="0"/>
    <n v="0"/>
    <n v="-18"/>
    <n v="0"/>
  </r>
  <r>
    <x v="1"/>
    <x v="1"/>
    <x v="0"/>
    <s v="2622200"/>
    <n v="400029"/>
    <s v="MD Practice Other Rev--Managed Care"/>
    <s v="Neurology-Tacoma-Neuro"/>
    <x v="0"/>
    <n v="1400"/>
    <n v="0"/>
    <n v="-760"/>
    <n v="0"/>
    <n v="0"/>
    <n v="0"/>
    <n v="0"/>
    <n v="0"/>
    <n v="0"/>
    <n v="0"/>
    <n v="0"/>
    <n v="0"/>
    <n v="0"/>
    <n v="-760"/>
    <n v="0"/>
  </r>
  <r>
    <x v="1"/>
    <x v="1"/>
    <x v="0"/>
    <s v="2622200"/>
    <n v="400040"/>
    <s v="Physician Svcs Rev--Medicare"/>
    <s v="Neurology-Tacoma-Neuro"/>
    <x v="0"/>
    <n v="1100"/>
    <n v="-229012"/>
    <n v="-236962"/>
    <n v="-217163"/>
    <n v="-249168"/>
    <n v="-227869"/>
    <n v="-204563"/>
    <n v="-246449"/>
    <n v="-221409"/>
    <n v="-247280"/>
    <n v="-185308"/>
    <n v="-317309"/>
    <n v="-240424.49"/>
    <n v="-2822916.49"/>
    <n v="-76884.510000000009"/>
  </r>
  <r>
    <x v="1"/>
    <x v="1"/>
    <x v="0"/>
    <s v="2622200"/>
    <n v="400040"/>
    <s v="Physician Svcs Rev--Medicaid"/>
    <s v="Neurology-Tacoma-Neuro"/>
    <x v="0"/>
    <n v="1200"/>
    <n v="-99263"/>
    <n v="-177012"/>
    <n v="-113326.5"/>
    <n v="-90871"/>
    <n v="-150745"/>
    <n v="-122301"/>
    <n v="-99497"/>
    <n v="-147818"/>
    <n v="-75078"/>
    <n v="-93287"/>
    <n v="-157057"/>
    <n v="-123742.24"/>
    <n v="-1449997.74"/>
    <n v="-33314.759999999995"/>
  </r>
  <r>
    <x v="1"/>
    <x v="1"/>
    <x v="0"/>
    <s v="2622200"/>
    <n v="400040"/>
    <s v="Physician Svcs Rev--Comm Insurance"/>
    <s v="Neurology-Tacoma-Neuro"/>
    <x v="0"/>
    <n v="1300"/>
    <n v="-11505"/>
    <n v="-14047"/>
    <n v="-11900"/>
    <n v="-11574"/>
    <n v="-16491"/>
    <n v="-12334"/>
    <n v="-7121"/>
    <n v="-17696"/>
    <n v="-23734"/>
    <n v="-6278"/>
    <n v="-12785"/>
    <n v="-18714"/>
    <n v="-164179"/>
    <n v="5929"/>
  </r>
  <r>
    <x v="1"/>
    <x v="1"/>
    <x v="0"/>
    <s v="2622200"/>
    <n v="400040"/>
    <s v="Physician Svcs Rev--BCBS Comm"/>
    <s v="Neurology-Tacoma-Neuro"/>
    <x v="0"/>
    <n v="1301"/>
    <n v="-24662"/>
    <n v="-23133"/>
    <n v="-29449"/>
    <n v="-25141"/>
    <n v="-23932"/>
    <n v="-25504"/>
    <n v="-20448"/>
    <n v="-35162"/>
    <n v="-21074"/>
    <n v="-16802"/>
    <n v="-39309"/>
    <n v="-22846"/>
    <n v="-307462"/>
    <n v="-16463"/>
  </r>
  <r>
    <x v="1"/>
    <x v="1"/>
    <x v="0"/>
    <s v="2622200"/>
    <n v="400040"/>
    <s v="Physician Svcs Rev--Managed Care"/>
    <s v="Neurology-Tacoma-Neuro"/>
    <x v="0"/>
    <n v="1400"/>
    <n v="-126512.5"/>
    <n v="-122437.5"/>
    <n v="-126852"/>
    <n v="-108412"/>
    <n v="-126843"/>
    <n v="-147780"/>
    <n v="-56497"/>
    <n v="-166827"/>
    <n v="-107709"/>
    <n v="-69274"/>
    <n v="-158431"/>
    <n v="-114801"/>
    <n v="-1432376"/>
    <n v="-43630"/>
  </r>
  <r>
    <x v="1"/>
    <x v="1"/>
    <x v="0"/>
    <s v="2622200"/>
    <n v="400040"/>
    <s v="Physician Svcs Rev--Self Pay"/>
    <s v="Neurology-Tacoma-Neuro"/>
    <x v="0"/>
    <n v="1500"/>
    <n v="-1078"/>
    <n v="-5995"/>
    <n v="-4368"/>
    <n v="-1822"/>
    <n v="-1042"/>
    <n v="-4713"/>
    <n v="-2024"/>
    <n v="-904"/>
    <n v="-2062"/>
    <n v="-2434"/>
    <n v="-2605"/>
    <n v="-1455"/>
    <n v="-30502"/>
    <n v="-1150"/>
  </r>
  <r>
    <x v="1"/>
    <x v="1"/>
    <x v="0"/>
    <s v="2622200"/>
    <n v="400040"/>
    <s v="Physician Svcs Rev--Other"/>
    <s v="Neurology-Tacoma-Neuro"/>
    <x v="0"/>
    <n v="1700"/>
    <n v="-18057"/>
    <n v="-24301"/>
    <n v="-33952"/>
    <n v="-30935"/>
    <n v="-22752"/>
    <n v="-28105"/>
    <n v="-25909"/>
    <n v="-16882"/>
    <n v="-27521"/>
    <n v="-24675"/>
    <n v="-20592"/>
    <n v="-33111"/>
    <n v="-306792"/>
    <n v="12519"/>
  </r>
  <r>
    <x v="2"/>
    <x v="1"/>
    <x v="0"/>
    <s v="2622200"/>
    <n v="450029"/>
    <s v="Contr Allow--MD Other-Managed Care"/>
    <s v="Neurology-Tacoma-Neuro"/>
    <x v="0"/>
    <n v="1400"/>
    <n v="0"/>
    <n v="322.58999999999997"/>
    <n v="0"/>
    <n v="0"/>
    <n v="0"/>
    <n v="0"/>
    <n v="0"/>
    <n v="0"/>
    <n v="0"/>
    <n v="0"/>
    <n v="0"/>
    <n v="0"/>
    <n v="322.58999999999997"/>
    <n v="0"/>
  </r>
  <r>
    <x v="2"/>
    <x v="1"/>
    <x v="0"/>
    <s v="2622200"/>
    <n v="450040"/>
    <s v="Contr Allow--Phys Svcs--Mcare"/>
    <s v="Neurology-Tacoma-Neuro"/>
    <x v="0"/>
    <n v="1100"/>
    <n v="118696.79"/>
    <n v="117874.92"/>
    <n v="132604.51999999999"/>
    <n v="156591.57999999999"/>
    <n v="150588.62"/>
    <n v="118920.65"/>
    <n v="130831.72"/>
    <n v="146301.06"/>
    <n v="150583.06"/>
    <n v="120144.35"/>
    <n v="149381.25"/>
    <n v="194624.32"/>
    <n v="1687142.84"/>
    <n v="-45243.070000000007"/>
  </r>
  <r>
    <x v="2"/>
    <x v="1"/>
    <x v="0"/>
    <s v="2622200"/>
    <n v="450040"/>
    <s v="Contr Allow--Phys Svcs--Mcaid"/>
    <s v="Neurology-Tacoma-Neuro"/>
    <x v="0"/>
    <n v="1200"/>
    <n v="78282.570000000007"/>
    <n v="81888.59"/>
    <n v="84080.27"/>
    <n v="72499.839999999997"/>
    <n v="76269.69"/>
    <n v="83294.02"/>
    <n v="87000.54"/>
    <n v="51086.01"/>
    <n v="85220.99"/>
    <n v="61543.62"/>
    <n v="61645.11"/>
    <n v="102613.31"/>
    <n v="925424.56"/>
    <n v="-40968.199999999997"/>
  </r>
  <r>
    <x v="2"/>
    <x v="1"/>
    <x v="0"/>
    <s v="2622200"/>
    <n v="450040"/>
    <s v="Contr Allow--Phys Svcs--Comm Insurance"/>
    <s v="Neurology-Tacoma-Neuro"/>
    <x v="0"/>
    <n v="1300"/>
    <n v="718.04"/>
    <n v="8559.68"/>
    <n v="3063.45"/>
    <n v="6452.52"/>
    <n v="1659.27"/>
    <n v="5509.97"/>
    <n v="3513.52"/>
    <n v="4488.0200000000004"/>
    <n v="6379.81"/>
    <n v="6822.59"/>
    <n v="946.5"/>
    <n v="10825.13"/>
    <n v="58938.499999999993"/>
    <n v="-9878.6299999999992"/>
  </r>
  <r>
    <x v="2"/>
    <x v="1"/>
    <x v="0"/>
    <s v="2622200"/>
    <n v="450040"/>
    <s v="Contr Allow--Phys Svcs--BCBS Comm Ins"/>
    <s v="Neurology-Tacoma-Neuro"/>
    <x v="0"/>
    <n v="1301"/>
    <n v="11468.6"/>
    <n v="14840.64"/>
    <n v="8230.83"/>
    <n v="11276.53"/>
    <n v="18683.84"/>
    <n v="4627.3"/>
    <n v="12974.08"/>
    <n v="12432.96"/>
    <n v="14340.47"/>
    <n v="8300.07"/>
    <n v="11493.18"/>
    <n v="14390.88"/>
    <n v="143059.38"/>
    <n v="-2897.6999999999989"/>
  </r>
  <r>
    <x v="2"/>
    <x v="1"/>
    <x v="0"/>
    <s v="2622200"/>
    <n v="450040"/>
    <s v="Contr Allow--Phys Svcs--Managed Care"/>
    <s v="Neurology-Tacoma-Neuro"/>
    <x v="0"/>
    <n v="1400"/>
    <n v="38451.730000000003"/>
    <n v="82155.17"/>
    <n v="58904.43"/>
    <n v="47895.23"/>
    <n v="76290.09"/>
    <n v="41771.589999999997"/>
    <n v="47086.01"/>
    <n v="48800.61"/>
    <n v="79114.52"/>
    <n v="48062.68"/>
    <n v="61873.86"/>
    <n v="77226.62"/>
    <n v="707632.54"/>
    <n v="-15352.759999999995"/>
  </r>
  <r>
    <x v="2"/>
    <x v="1"/>
    <x v="0"/>
    <s v="2622200"/>
    <n v="450040"/>
    <s v="Contr Allow--Phys Svcs--BCBS Mgnd Care"/>
    <s v="Neurology-Tacoma-Neuro"/>
    <x v="0"/>
    <n v="1401"/>
    <n v="34322.19"/>
    <n v="31345.360000000001"/>
    <n v="20350.349999999999"/>
    <n v="-1217.7"/>
    <n v="12985.13"/>
    <n v="50885.91"/>
    <n v="2784.74"/>
    <n v="101964.88"/>
    <n v="-53207.8"/>
    <n v="-38937.839999999997"/>
    <n v="132874.82"/>
    <n v="-57872.39"/>
    <n v="236277.65000000002"/>
    <n v="190747.21000000002"/>
  </r>
  <r>
    <x v="2"/>
    <x v="1"/>
    <x v="0"/>
    <s v="2622200"/>
    <n v="450040"/>
    <s v="Admin Adjust-Phys Svcs-Self Pay"/>
    <s v="Neurology-Tacoma-Neuro"/>
    <x v="0"/>
    <n v="1600"/>
    <n v="450.33"/>
    <n v="2649.76"/>
    <n v="859.85"/>
    <n v="817.22"/>
    <n v="487.52"/>
    <n v="2517.71"/>
    <n v="358.62"/>
    <n v="344.76"/>
    <n v="767.23"/>
    <n v="868.32"/>
    <n v="1167.4000000000001"/>
    <n v="498.09"/>
    <n v="11786.81"/>
    <n v="669.31000000000017"/>
  </r>
  <r>
    <x v="2"/>
    <x v="1"/>
    <x v="0"/>
    <s v="2622200"/>
    <n v="450040"/>
    <s v="Contr Allow--Phys Svcs--Other"/>
    <s v="Neurology-Tacoma-Neuro"/>
    <x v="0"/>
    <n v="1700"/>
    <n v="15960.68"/>
    <n v="17803.16"/>
    <n v="15725.9"/>
    <n v="14472.21"/>
    <n v="10442.950000000001"/>
    <n v="26986.91"/>
    <n v="14761.71"/>
    <n v="5451.55"/>
    <n v="24279.47"/>
    <n v="25720.7"/>
    <n v="8037.01"/>
    <n v="27437.51"/>
    <n v="207079.76"/>
    <n v="-19400.5"/>
  </r>
  <r>
    <x v="3"/>
    <x v="1"/>
    <x v="0"/>
    <s v="2622200"/>
    <n v="470040"/>
    <s v="Charity Care-Physician Svcs"/>
    <s v="Neurology-Tacoma-Neuro"/>
    <x v="0"/>
    <m/>
    <n v="885.15"/>
    <n v="8291.27"/>
    <n v="1229.7"/>
    <n v="1432.03"/>
    <n v="2343.37"/>
    <n v="404.62"/>
    <n v="5387.33"/>
    <n v="4189.55"/>
    <n v="4009.77"/>
    <n v="2723.78"/>
    <n v="3852.31"/>
    <n v="4958.09"/>
    <n v="39706.97"/>
    <n v="-1105.7800000000002"/>
  </r>
  <r>
    <x v="4"/>
    <x v="1"/>
    <x v="0"/>
    <s v="2622200"/>
    <n v="490010"/>
    <s v="Provision for Bad Debts"/>
    <s v="Neurology-Tacoma-Neuro"/>
    <x v="0"/>
    <m/>
    <n v="13838.52"/>
    <n v="10641.79"/>
    <n v="7656.99"/>
    <n v="-317.61"/>
    <n v="12451.28"/>
    <n v="3505.67"/>
    <n v="-5119.9799999999996"/>
    <n v="8541.42"/>
    <n v="1735.15"/>
    <n v="3766.82"/>
    <n v="19675.189999999999"/>
    <n v="-2951.37"/>
    <n v="73423.87000000001"/>
    <n v="22626.559999999998"/>
  </r>
  <r>
    <x v="5"/>
    <x v="1"/>
    <x v="0"/>
    <s v="2622200"/>
    <n v="700014"/>
    <s v="Salaries-Management-Productive"/>
    <s v="Neurology-Tacoma-Neuro"/>
    <x v="0"/>
    <m/>
    <n v="0"/>
    <n v="0"/>
    <n v="0"/>
    <n v="0"/>
    <n v="303.04000000000002"/>
    <n v="0"/>
    <n v="0"/>
    <n v="0"/>
    <n v="0"/>
    <n v="0"/>
    <n v="0"/>
    <n v="0"/>
    <n v="303.04000000000002"/>
    <n v="0"/>
  </r>
  <r>
    <x v="5"/>
    <x v="1"/>
    <x v="0"/>
    <s v="2622200"/>
    <n v="700018"/>
    <s v="Salaries-Supervisory-Productive"/>
    <s v="Neurology-Tacoma-Neuro"/>
    <x v="0"/>
    <m/>
    <n v="0"/>
    <n v="0"/>
    <n v="0"/>
    <n v="0"/>
    <n v="0"/>
    <n v="0"/>
    <n v="3300.99"/>
    <n v="1414.71"/>
    <n v="0"/>
    <n v="0"/>
    <n v="0"/>
    <n v="0"/>
    <n v="4715.7"/>
    <n v="0"/>
  </r>
  <r>
    <x v="5"/>
    <x v="1"/>
    <x v="0"/>
    <s v="2622200"/>
    <n v="700022"/>
    <s v="Salaries-Physician-Productive"/>
    <s v="Neurology-Tacoma-Neuro"/>
    <x v="0"/>
    <m/>
    <n v="65871.88"/>
    <n v="84012.98"/>
    <n v="70787"/>
    <n v="70478.350000000006"/>
    <n v="80460.289999999994"/>
    <n v="39858.46"/>
    <n v="82945.31"/>
    <n v="71795.929999999993"/>
    <n v="76637.91"/>
    <n v="78286.679999999993"/>
    <n v="81773.39"/>
    <n v="70186.61"/>
    <n v="873094.79"/>
    <n v="11586.779999999999"/>
  </r>
  <r>
    <x v="5"/>
    <x v="1"/>
    <x v="0"/>
    <s v="2622200"/>
    <n v="700026"/>
    <s v="Salaries-RN-Productive"/>
    <s v="Neurology-Tacoma-Neuro"/>
    <x v="0"/>
    <m/>
    <n v="9426.33"/>
    <n v="10831.9"/>
    <n v="8639.98"/>
    <n v="11471.13"/>
    <n v="10473.36"/>
    <n v="9258.44"/>
    <n v="10807.31"/>
    <n v="9151.25"/>
    <n v="7963.79"/>
    <n v="6211.44"/>
    <n v="5807.18"/>
    <n v="11494.15"/>
    <n v="111536.25999999998"/>
    <n v="-5686.9699999999993"/>
  </r>
  <r>
    <x v="5"/>
    <x v="1"/>
    <x v="0"/>
    <s v="2622200"/>
    <n v="700026"/>
    <s v="Salaries-RN-OT"/>
    <s v="Neurology-Tacoma-Neuro"/>
    <x v="0"/>
    <n v="1000"/>
    <n v="1062.4000000000001"/>
    <n v="225.94"/>
    <n v="459.86"/>
    <n v="486.42"/>
    <n v="604.48"/>
    <n v="354.24"/>
    <n v="778.23"/>
    <n v="510.89"/>
    <n v="1070.9100000000001"/>
    <n v="1144.67"/>
    <n v="1134.02"/>
    <n v="622.12"/>
    <n v="8454.18"/>
    <n v="511.9"/>
  </r>
  <r>
    <x v="5"/>
    <x v="1"/>
    <x v="0"/>
    <s v="2622200"/>
    <n v="700026"/>
    <s v="Salaries-RN-Other"/>
    <s v="Neurology-Tacoma-Neuro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2622200"/>
    <n v="700030"/>
    <s v="Salaries-LPN-Productive"/>
    <s v="Neurology-Tacoma-Neuro"/>
    <x v="0"/>
    <m/>
    <n v="3235.43"/>
    <n v="4187.0600000000004"/>
    <n v="3419.83"/>
    <n v="4208.82"/>
    <n v="4461.1499999999996"/>
    <n v="3381.56"/>
    <n v="4016.71"/>
    <n v="3763.76"/>
    <n v="2240.0300000000002"/>
    <n v="4333.34"/>
    <n v="4623.01"/>
    <n v="3445.71"/>
    <n v="45316.41"/>
    <n v="1177.3000000000002"/>
  </r>
  <r>
    <x v="5"/>
    <x v="1"/>
    <x v="0"/>
    <s v="2622200"/>
    <n v="700030"/>
    <s v="Salaries-LPN-OT"/>
    <s v="Neurology-Tacoma-Neuro"/>
    <x v="0"/>
    <n v="1000"/>
    <n v="287.26"/>
    <n v="74.06"/>
    <n v="58.01"/>
    <n v="60.01"/>
    <n v="225.29"/>
    <n v="83.1"/>
    <n v="129.46"/>
    <n v="77.67"/>
    <n v="158.12"/>
    <n v="563.07000000000005"/>
    <n v="948.68"/>
    <n v="-46.23"/>
    <n v="2618.5"/>
    <n v="994.91"/>
  </r>
  <r>
    <x v="5"/>
    <x v="1"/>
    <x v="0"/>
    <s v="2622200"/>
    <n v="700032"/>
    <s v="Salaries-Other Pat Care Providers-Productive"/>
    <s v="Neurology-Tacoma-Neuro"/>
    <x v="0"/>
    <m/>
    <n v="2472.39"/>
    <n v="2725.63"/>
    <n v="2190.2600000000002"/>
    <n v="3453.26"/>
    <n v="3446.45"/>
    <n v="2116.6799999999998"/>
    <n v="2189.2600000000002"/>
    <n v="-380.75"/>
    <n v="0"/>
    <n v="600.94000000000005"/>
    <n v="-247.44"/>
    <n v="1658.05"/>
    <n v="20224.73"/>
    <n v="-1905.49"/>
  </r>
  <r>
    <x v="5"/>
    <x v="1"/>
    <x v="0"/>
    <s v="2622200"/>
    <n v="700032"/>
    <s v="Salaries-Other Pat Care Providers-OT"/>
    <s v="Neurology-Tacoma-Neuro"/>
    <x v="0"/>
    <n v="1000"/>
    <n v="216.28"/>
    <n v="499.21"/>
    <n v="242.76"/>
    <n v="633.36"/>
    <n v="-0.9"/>
    <n v="456.77"/>
    <n v="528.29"/>
    <n v="-91.37"/>
    <n v="0"/>
    <n v="0"/>
    <n v="0"/>
    <n v="155.91"/>
    <n v="2640.31"/>
    <n v="-155.91"/>
  </r>
  <r>
    <x v="5"/>
    <x v="1"/>
    <x v="0"/>
    <s v="2622200"/>
    <n v="700038"/>
    <s v="Salaries-Service/Support-Productive"/>
    <s v="Neurology-Tacoma-Neuro"/>
    <x v="0"/>
    <m/>
    <n v="0"/>
    <n v="0"/>
    <n v="0"/>
    <n v="0"/>
    <n v="0"/>
    <n v="0"/>
    <n v="0"/>
    <n v="0"/>
    <n v="0"/>
    <n v="0"/>
    <n v="1140.48"/>
    <n v="-285.12"/>
    <n v="855.36"/>
    <n v="1425.6"/>
  </r>
  <r>
    <x v="5"/>
    <x v="1"/>
    <x v="0"/>
    <s v="2622200"/>
    <n v="700062"/>
    <s v="Salaries-Physician-Non-productive"/>
    <s v="Neurology-Tacoma-Neuro"/>
    <x v="0"/>
    <m/>
    <n v="10847.85"/>
    <n v="-208.17"/>
    <n v="2351.1999999999998"/>
    <n v="12359.32"/>
    <n v="-283.95999999999998"/>
    <n v="36749.51"/>
    <n v="1087.1199999999999"/>
    <n v="1176.8399999999999"/>
    <n v="0"/>
    <n v="2000.62"/>
    <n v="-823.78"/>
    <n v="0"/>
    <n v="65256.55"/>
    <n v="-823.78"/>
  </r>
  <r>
    <x v="5"/>
    <x v="1"/>
    <x v="0"/>
    <s v="2622200"/>
    <n v="700062"/>
    <s v="Salaries-Physician-NonProd-Other"/>
    <s v="Neurology-Tacoma-Neuro"/>
    <x v="0"/>
    <n v="2000"/>
    <n v="0"/>
    <n v="0"/>
    <n v="0"/>
    <n v="0"/>
    <n v="292.76"/>
    <n v="0"/>
    <n v="0"/>
    <n v="-292.76"/>
    <n v="0"/>
    <n v="0"/>
    <n v="0"/>
    <n v="0"/>
    <n v="0"/>
    <n v="0"/>
  </r>
  <r>
    <x v="5"/>
    <x v="1"/>
    <x v="0"/>
    <s v="2622200"/>
    <n v="700066"/>
    <s v="Salaries-RN-Non-productive"/>
    <s v="Neurology-Tacoma-Neuro"/>
    <x v="0"/>
    <m/>
    <n v="1138.93"/>
    <n v="338.24"/>
    <n v="1162.26"/>
    <n v="22.84"/>
    <n v="646.16"/>
    <n v="2003.25"/>
    <n v="801.68"/>
    <n v="664.16"/>
    <n v="136.57"/>
    <n v="-59.18"/>
    <n v="0"/>
    <n v="505.06"/>
    <n v="7359.97"/>
    <n v="-505.06"/>
  </r>
  <r>
    <x v="5"/>
    <x v="1"/>
    <x v="0"/>
    <s v="2622200"/>
    <n v="700066"/>
    <s v="Salaries-RN-NonProd-Other"/>
    <s v="Neurology-Tacoma-Ne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2200"/>
    <n v="700070"/>
    <s v="Salaries-LPN-Non-productive"/>
    <s v="Neurology-Tacoma-Neuro"/>
    <x v="0"/>
    <m/>
    <n v="951.6"/>
    <n v="190.32"/>
    <n v="386.59"/>
    <n v="265.89"/>
    <n v="-118.17"/>
    <n v="754.61"/>
    <n v="520.30999999999995"/>
    <n v="168.91"/>
    <n v="1902.2"/>
    <n v="-203.4"/>
    <n v="0"/>
    <n v="178.76"/>
    <n v="4997.6200000000008"/>
    <n v="-178.76"/>
  </r>
  <r>
    <x v="5"/>
    <x v="1"/>
    <x v="0"/>
    <s v="2622200"/>
    <n v="700070"/>
    <s v="Salaries-LPN-NonProd-Other"/>
    <s v="Neurology-Tacoma-Ne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2200"/>
    <n v="700084"/>
    <s v="Accrued PTO"/>
    <s v="Neurology-Tacoma-Neuro"/>
    <x v="0"/>
    <m/>
    <n v="-616.53"/>
    <n v="767.19"/>
    <n v="-266.83"/>
    <n v="1238.94"/>
    <n v="1013.56"/>
    <n v="-1165.1400000000001"/>
    <n v="-145.06"/>
    <n v="456.36"/>
    <n v="-638.87"/>
    <n v="903.95"/>
    <n v="932.34"/>
    <n v="962.68"/>
    <n v="3442.5899999999997"/>
    <n v="-30.339999999999918"/>
  </r>
  <r>
    <x v="6"/>
    <x v="1"/>
    <x v="0"/>
    <s v="2622200"/>
    <n v="713010"/>
    <s v="Benefits-FICA/Medicare"/>
    <s v="Neurology-Tacoma-Neuro"/>
    <x v="0"/>
    <m/>
    <n v="2464.73"/>
    <n v="2556.23"/>
    <n v="2242.66"/>
    <n v="2668.32"/>
    <n v="2604.31"/>
    <n v="4900.1899999999996"/>
    <n v="8029.73"/>
    <n v="6630.38"/>
    <n v="6786.25"/>
    <n v="7373.09"/>
    <n v="6394.16"/>
    <n v="884.77"/>
    <n v="53534.82"/>
    <n v="5509.3899999999994"/>
  </r>
  <r>
    <x v="6"/>
    <x v="1"/>
    <x v="0"/>
    <s v="2622200"/>
    <n v="713090"/>
    <s v="Benefits-Allocated Amounts"/>
    <s v="Neurology-Tacoma-Neuro"/>
    <x v="0"/>
    <m/>
    <n v="0"/>
    <n v="0"/>
    <n v="0"/>
    <n v="0"/>
    <n v="0"/>
    <n v="0"/>
    <n v="0"/>
    <n v="0"/>
    <n v="50113.24"/>
    <n v="5169.72"/>
    <n v="5113.8900000000003"/>
    <n v="5516.78"/>
    <n v="65913.63"/>
    <n v="-402.88999999999942"/>
  </r>
  <r>
    <x v="6"/>
    <x v="1"/>
    <x v="0"/>
    <s v="2622200"/>
    <n v="713092"/>
    <s v="Allocated Benefits-Physician"/>
    <s v="Neurology-Tacoma-Neuro"/>
    <x v="0"/>
    <m/>
    <n v="9971.18"/>
    <n v="9274.42"/>
    <n v="9198.67"/>
    <n v="10061.879999999999"/>
    <n v="9859.4699999999993"/>
    <n v="9718.35"/>
    <n v="12327.38"/>
    <n v="10982.54"/>
    <n v="-39305.74"/>
    <n v="4341.84"/>
    <n v="4294.95"/>
    <n v="4633.33"/>
    <n v="55358.26999999999"/>
    <n v="-338.38000000000011"/>
  </r>
  <r>
    <x v="11"/>
    <x v="1"/>
    <x v="0"/>
    <s v="2622200"/>
    <n v="721250"/>
    <s v="Supplies-Pharmacy Drugs - Billable"/>
    <s v="Neurology-Tacoma-Neuro"/>
    <x v="0"/>
    <m/>
    <n v="60379.75"/>
    <n v="104394.83"/>
    <n v="94745.1"/>
    <n v="104266.01"/>
    <n v="104563.73"/>
    <n v="114414.97"/>
    <n v="114848.96000000001"/>
    <n v="72514.25"/>
    <n v="120773.67"/>
    <n v="48112.08"/>
    <n v="132305.62"/>
    <n v="98066.8"/>
    <n v="1169385.77"/>
    <n v="34238.819999999992"/>
  </r>
  <r>
    <x v="11"/>
    <x v="1"/>
    <x v="0"/>
    <s v="2622200"/>
    <n v="721410"/>
    <s v="Supplies-Medical - Nonbillable"/>
    <s v="Neurology-Tacoma-Neuro"/>
    <x v="0"/>
    <m/>
    <n v="3096.99"/>
    <n v="1451.5"/>
    <n v="0"/>
    <n v="0"/>
    <n v="0"/>
    <n v="0"/>
    <n v="0"/>
    <n v="0"/>
    <n v="0"/>
    <n v="0"/>
    <n v="0"/>
    <n v="0"/>
    <n v="4548.49"/>
    <n v="0"/>
  </r>
  <r>
    <x v="11"/>
    <x v="1"/>
    <x v="0"/>
    <s v="2622200"/>
    <n v="722000"/>
    <s v="Supplies-Freight Expense"/>
    <s v="Neurology-Tacoma-Neuro"/>
    <x v="0"/>
    <m/>
    <n v="0"/>
    <n v="30"/>
    <n v="0"/>
    <n v="0"/>
    <n v="0"/>
    <n v="0"/>
    <n v="0"/>
    <n v="0"/>
    <n v="0"/>
    <n v="0"/>
    <n v="0"/>
    <n v="0"/>
    <n v="30"/>
    <n v="0"/>
  </r>
  <r>
    <x v="0"/>
    <x v="1"/>
    <x v="0"/>
    <s v="2622200"/>
    <n v="740022"/>
    <s v="Education-Physician"/>
    <s v="Neurology-Tacoma-Neuro"/>
    <x v="0"/>
    <m/>
    <n v="0"/>
    <n v="0"/>
    <n v="0"/>
    <n v="1045"/>
    <n v="0"/>
    <n v="0"/>
    <n v="0"/>
    <n v="0"/>
    <n v="45"/>
    <n v="175"/>
    <n v="0"/>
    <n v="0"/>
    <n v="1265"/>
    <n v="0"/>
  </r>
  <r>
    <x v="8"/>
    <x v="1"/>
    <x v="0"/>
    <s v="2622200"/>
    <n v="741012"/>
    <s v="Physician Liab Insurance-CHI Program"/>
    <s v="Neurology-Tacoma-Neuro"/>
    <x v="0"/>
    <m/>
    <n v="1421.01"/>
    <n v="1421.01"/>
    <n v="1421.01"/>
    <n v="1421.01"/>
    <n v="1421.01"/>
    <n v="1420.98"/>
    <n v="1421.01"/>
    <n v="1420.98"/>
    <n v="1421.01"/>
    <n v="1420.98"/>
    <n v="1421.01"/>
    <n v="1420.98"/>
    <n v="17052"/>
    <n v="2.9999999999972715E-2"/>
  </r>
  <r>
    <x v="0"/>
    <x v="1"/>
    <x v="0"/>
    <s v="2622200"/>
    <n v="743022"/>
    <s v="Dues-Physician"/>
    <s v="Neurology-Tacoma-Neuro"/>
    <x v="0"/>
    <m/>
    <n v="0"/>
    <n v="763"/>
    <n v="0"/>
    <n v="0"/>
    <n v="0"/>
    <n v="0"/>
    <n v="0"/>
    <n v="855"/>
    <n v="3870"/>
    <n v="0"/>
    <n v="0"/>
    <n v="0"/>
    <n v="5488"/>
    <n v="0"/>
  </r>
  <r>
    <x v="0"/>
    <x v="1"/>
    <x v="0"/>
    <s v="2622200"/>
    <n v="743042"/>
    <s v="Subscriptions-Physician"/>
    <s v="Neurology-Tacoma-Neuro"/>
    <x v="0"/>
    <m/>
    <n v="0"/>
    <n v="1137.04"/>
    <n v="0"/>
    <n v="0"/>
    <n v="0"/>
    <n v="0"/>
    <n v="0"/>
    <n v="0"/>
    <n v="0"/>
    <n v="0"/>
    <n v="0"/>
    <n v="0"/>
    <n v="1137.04"/>
    <n v="0"/>
  </r>
  <r>
    <x v="0"/>
    <x v="1"/>
    <x v="0"/>
    <s v="2622200"/>
    <n v="749510"/>
    <s v="Miscellaneous Expenses"/>
    <s v="Neurology-Tacoma-Neuro"/>
    <x v="0"/>
    <m/>
    <n v="-3049.42"/>
    <n v="657"/>
    <n v="0"/>
    <n v="0"/>
    <n v="0"/>
    <n v="0"/>
    <n v="0"/>
    <n v="0"/>
    <n v="0"/>
    <n v="0"/>
    <n v="0"/>
    <n v="0"/>
    <n v="-2392.42"/>
    <n v="0"/>
  </r>
  <r>
    <x v="0"/>
    <x v="1"/>
    <x v="0"/>
    <s v="2622200"/>
    <n v="749512"/>
    <s v="Licenses-Physician"/>
    <s v="Neurology-Tacoma-Neuro"/>
    <x v="0"/>
    <n v="2000"/>
    <n v="0"/>
    <n v="0"/>
    <n v="0"/>
    <n v="0"/>
    <n v="0"/>
    <n v="0"/>
    <n v="731"/>
    <n v="0"/>
    <n v="0"/>
    <n v="0"/>
    <n v="0"/>
    <n v="0"/>
    <n v="731"/>
    <n v="0"/>
  </r>
  <r>
    <x v="0"/>
    <x v="1"/>
    <x v="0"/>
    <s v="2622200"/>
    <n v="749532"/>
    <s v="Travel-Physician"/>
    <s v="Neurology-Tacoma-Neuro"/>
    <x v="0"/>
    <m/>
    <n v="0"/>
    <n v="0"/>
    <n v="0"/>
    <n v="845.21"/>
    <n v="0"/>
    <n v="0"/>
    <n v="0"/>
    <n v="0"/>
    <n v="0"/>
    <n v="0"/>
    <n v="0"/>
    <n v="0"/>
    <n v="845.21"/>
    <n v="0"/>
  </r>
  <r>
    <x v="1"/>
    <x v="1"/>
    <x v="0"/>
    <s v="2623200"/>
    <n v="400029"/>
    <s v="MD Practice Other Rev--Medicare"/>
    <s v="Neurology-Lakewood-Neuro"/>
    <x v="0"/>
    <n v="1100"/>
    <n v="0"/>
    <n v="-18"/>
    <n v="0"/>
    <n v="0"/>
    <n v="0"/>
    <n v="0"/>
    <n v="0"/>
    <n v="0"/>
    <n v="0"/>
    <n v="0"/>
    <n v="0"/>
    <n v="0"/>
    <n v="-18"/>
    <n v="0"/>
  </r>
  <r>
    <x v="1"/>
    <x v="1"/>
    <x v="0"/>
    <s v="2623200"/>
    <n v="400029"/>
    <s v="MD Practice Other Rev--Managed Care"/>
    <s v="Neurology-Lakewood-Neuro"/>
    <x v="0"/>
    <n v="1400"/>
    <n v="0"/>
    <n v="0"/>
    <n v="0"/>
    <n v="-18"/>
    <n v="0"/>
    <n v="0"/>
    <n v="0"/>
    <n v="0"/>
    <n v="0"/>
    <n v="0"/>
    <n v="0"/>
    <n v="0"/>
    <n v="-18"/>
    <n v="0"/>
  </r>
  <r>
    <x v="1"/>
    <x v="1"/>
    <x v="0"/>
    <s v="2623200"/>
    <n v="400040"/>
    <s v="Physician Svcs Rev--Medicare"/>
    <s v="Neurology-Lakewood-Neuro"/>
    <x v="0"/>
    <n v="1100"/>
    <n v="-44100"/>
    <n v="-62462"/>
    <n v="-48519"/>
    <n v="-54040"/>
    <n v="-72874"/>
    <n v="-59887"/>
    <n v="-56093"/>
    <n v="-44609"/>
    <n v="-62506"/>
    <n v="-47979"/>
    <n v="-46773"/>
    <n v="-57717"/>
    <n v="-657559"/>
    <n v="10944"/>
  </r>
  <r>
    <x v="1"/>
    <x v="1"/>
    <x v="0"/>
    <s v="2623200"/>
    <n v="400040"/>
    <s v="Physician Svcs Rev--Medicaid"/>
    <s v="Neurology-Lakewood-Neuro"/>
    <x v="0"/>
    <n v="1200"/>
    <n v="-46437"/>
    <n v="-38455"/>
    <n v="-51940"/>
    <n v="-49357"/>
    <n v="-35902"/>
    <n v="-23948"/>
    <n v="-47929"/>
    <n v="-33500"/>
    <n v="-32383"/>
    <n v="-36009"/>
    <n v="-46991"/>
    <n v="-39057"/>
    <n v="-481908"/>
    <n v="-7934"/>
  </r>
  <r>
    <x v="1"/>
    <x v="1"/>
    <x v="0"/>
    <s v="2623200"/>
    <n v="400040"/>
    <s v="Physician Svcs Rev--Comm Insurance"/>
    <s v="Neurology-Lakewood-Neuro"/>
    <x v="0"/>
    <n v="1300"/>
    <n v="-1785"/>
    <n v="-3940"/>
    <n v="-1443"/>
    <n v="-5691"/>
    <n v="-2757"/>
    <n v="-296"/>
    <n v="-1221"/>
    <n v="-1476"/>
    <n v="-1823"/>
    <n v="-747"/>
    <n v="-2293"/>
    <n v="-4105"/>
    <n v="-27577"/>
    <n v="1812"/>
  </r>
  <r>
    <x v="1"/>
    <x v="1"/>
    <x v="0"/>
    <s v="2623200"/>
    <n v="400040"/>
    <s v="Physician Svcs Rev--BCBS Comm"/>
    <s v="Neurology-Lakewood-Neuro"/>
    <x v="0"/>
    <n v="1301"/>
    <n v="-9979"/>
    <n v="-1844"/>
    <n v="-7101"/>
    <n v="-10170"/>
    <n v="-3393"/>
    <n v="-19519"/>
    <n v="-13324"/>
    <n v="-6197"/>
    <n v="-15956"/>
    <n v="-9512"/>
    <n v="-1991"/>
    <n v="-8977"/>
    <n v="-107963"/>
    <n v="6986"/>
  </r>
  <r>
    <x v="1"/>
    <x v="1"/>
    <x v="0"/>
    <s v="2623200"/>
    <n v="400040"/>
    <s v="Physician Svcs Rev--Managed Care"/>
    <s v="Neurology-Lakewood-Neuro"/>
    <x v="0"/>
    <n v="1400"/>
    <n v="-38395"/>
    <n v="-31190"/>
    <n v="-47610"/>
    <n v="-26556"/>
    <n v="-18618"/>
    <n v="-41406"/>
    <n v="-22465"/>
    <n v="-42759"/>
    <n v="-39943"/>
    <n v="-24371"/>
    <n v="-30847"/>
    <n v="-36800"/>
    <n v="-400960"/>
    <n v="5953"/>
  </r>
  <r>
    <x v="1"/>
    <x v="1"/>
    <x v="0"/>
    <s v="2623200"/>
    <n v="400040"/>
    <s v="Physician Svcs Rev--Self Pay"/>
    <s v="Neurology-Lakewood-Neuro"/>
    <x v="0"/>
    <n v="1500"/>
    <n v="0"/>
    <n v="-805"/>
    <n v="-556"/>
    <n v="-295"/>
    <n v="189"/>
    <n v="-850"/>
    <n v="-496"/>
    <n v="-295"/>
    <n v="-701"/>
    <n v="-540"/>
    <n v="-1041"/>
    <n v="-693"/>
    <n v="-6083"/>
    <n v="-348"/>
  </r>
  <r>
    <x v="1"/>
    <x v="1"/>
    <x v="0"/>
    <s v="2623200"/>
    <n v="400040"/>
    <s v="Physician Svcs Rev--Other"/>
    <s v="Neurology-Lakewood-Neuro"/>
    <x v="0"/>
    <n v="1700"/>
    <n v="-13867"/>
    <n v="-8324"/>
    <n v="-14207"/>
    <n v="-2552"/>
    <n v="-10135"/>
    <n v="-18986"/>
    <n v="-6687"/>
    <n v="-9916"/>
    <n v="-15931"/>
    <n v="-2698"/>
    <n v="-6799"/>
    <n v="-16724"/>
    <n v="-126826"/>
    <n v="9925"/>
  </r>
  <r>
    <x v="2"/>
    <x v="1"/>
    <x v="0"/>
    <s v="2623200"/>
    <n v="450029"/>
    <s v="Contr Allow--MD Other-Managed Care"/>
    <s v="Neurology-Lakewood-Neuro"/>
    <x v="0"/>
    <n v="1400"/>
    <n v="0"/>
    <n v="0"/>
    <n v="0"/>
    <n v="0"/>
    <n v="18"/>
    <n v="0"/>
    <n v="0"/>
    <n v="0"/>
    <n v="0"/>
    <n v="0"/>
    <n v="0"/>
    <n v="0"/>
    <n v="18"/>
    <n v="0"/>
  </r>
  <r>
    <x v="2"/>
    <x v="1"/>
    <x v="0"/>
    <s v="2623200"/>
    <n v="450029"/>
    <s v="Admin Adjust-MD Other-Self Pay"/>
    <s v="Neurology-Lakewood-Neuro"/>
    <x v="0"/>
    <n v="1600"/>
    <n v="0"/>
    <n v="18"/>
    <n v="0"/>
    <n v="0"/>
    <n v="0"/>
    <n v="0"/>
    <n v="0"/>
    <n v="0"/>
    <n v="0"/>
    <n v="0"/>
    <n v="0"/>
    <n v="0"/>
    <n v="18"/>
    <n v="0"/>
  </r>
  <r>
    <x v="2"/>
    <x v="1"/>
    <x v="0"/>
    <s v="2623200"/>
    <n v="450040"/>
    <s v="Contr Allow--Phys Svcs--Mcare"/>
    <s v="Neurology-Lakewood-Neuro"/>
    <x v="0"/>
    <n v="1100"/>
    <n v="28234.14"/>
    <n v="29275.58"/>
    <n v="33816.949999999997"/>
    <n v="30388.2"/>
    <n v="45772.33"/>
    <n v="31729.47"/>
    <n v="47346.93"/>
    <n v="31300.880000000001"/>
    <n v="25701.82"/>
    <n v="36558.75"/>
    <n v="25280.03"/>
    <n v="41666.9"/>
    <n v="407071.98"/>
    <n v="-16386.870000000003"/>
  </r>
  <r>
    <x v="2"/>
    <x v="1"/>
    <x v="0"/>
    <s v="2623200"/>
    <n v="450040"/>
    <s v="Contr Allow--Phys Svcs--Mcaid"/>
    <s v="Neurology-Lakewood-Neuro"/>
    <x v="0"/>
    <n v="1200"/>
    <n v="34042.81"/>
    <n v="25361.17"/>
    <n v="25798.89"/>
    <n v="34190.480000000003"/>
    <n v="20096.05"/>
    <n v="9868.24"/>
    <n v="12935.29"/>
    <n v="22115.18"/>
    <n v="36103.24"/>
    <n v="24126.3"/>
    <n v="14104.91"/>
    <n v="25095.040000000001"/>
    <n v="283837.59999999998"/>
    <n v="-10990.130000000001"/>
  </r>
  <r>
    <x v="2"/>
    <x v="1"/>
    <x v="0"/>
    <s v="2623200"/>
    <n v="450040"/>
    <s v="Contr Allow--Phys Svcs--Comm Insurance"/>
    <s v="Neurology-Lakewood-Neuro"/>
    <x v="0"/>
    <n v="1300"/>
    <n v="188.16"/>
    <n v="1311.59"/>
    <n v="2630.59"/>
    <n v="773.51"/>
    <n v="2793.91"/>
    <n v="342.31"/>
    <n v="0"/>
    <n v="55.96"/>
    <n v="627.61"/>
    <n v="382.63"/>
    <n v="-887.3"/>
    <n v="3484.98"/>
    <n v="11703.95"/>
    <n v="-4372.28"/>
  </r>
  <r>
    <x v="2"/>
    <x v="1"/>
    <x v="0"/>
    <s v="2623200"/>
    <n v="450040"/>
    <s v="Contr Allow--Phys Svcs--BCBS Comm Ins"/>
    <s v="Neurology-Lakewood-Neuro"/>
    <x v="0"/>
    <n v="1301"/>
    <n v="5696.58"/>
    <n v="4311.47"/>
    <n v="682.33"/>
    <n v="3413.34"/>
    <n v="3083.1"/>
    <n v="5255.5"/>
    <n v="4525.05"/>
    <n v="1219.1400000000001"/>
    <n v="6342.06"/>
    <n v="5100.79"/>
    <n v="7680.07"/>
    <n v="3208.68"/>
    <n v="50518.11"/>
    <n v="4471.3899999999994"/>
  </r>
  <r>
    <x v="2"/>
    <x v="1"/>
    <x v="0"/>
    <s v="2623200"/>
    <n v="450040"/>
    <s v="Contr Allow--Phys Svcs--Managed Care"/>
    <s v="Neurology-Lakewood-Neuro"/>
    <x v="0"/>
    <n v="1400"/>
    <n v="14331.84"/>
    <n v="10193.27"/>
    <n v="16267.97"/>
    <n v="24495.84"/>
    <n v="9900.14"/>
    <n v="9333.24"/>
    <n v="17616.009999999998"/>
    <n v="10917.08"/>
    <n v="22769.52"/>
    <n v="11559.51"/>
    <n v="17590.52"/>
    <n v="14357.86"/>
    <n v="179332.8"/>
    <n v="3232.66"/>
  </r>
  <r>
    <x v="2"/>
    <x v="1"/>
    <x v="0"/>
    <s v="2623200"/>
    <n v="450040"/>
    <s v="Contr Allow--Phys Svcs--BCBS Mgnd Care"/>
    <s v="Neurology-Lakewood-Neuro"/>
    <x v="0"/>
    <n v="1401"/>
    <n v="3981.02"/>
    <n v="9435.99"/>
    <n v="20669.82"/>
    <n v="-9600.57"/>
    <n v="-963.99"/>
    <n v="36828.81"/>
    <n v="12266.69"/>
    <n v="17206.490000000002"/>
    <n v="3970.96"/>
    <n v="-11861.5"/>
    <n v="21792.06"/>
    <n v="3785.34"/>
    <n v="107511.12000000001"/>
    <n v="18006.72"/>
  </r>
  <r>
    <x v="2"/>
    <x v="1"/>
    <x v="0"/>
    <s v="2623200"/>
    <n v="450040"/>
    <s v="Admin Adjust-Phys Svcs-Self Pay"/>
    <s v="Neurology-Lakewood-Neuro"/>
    <x v="0"/>
    <n v="1600"/>
    <n v="7.02"/>
    <n v="294.32"/>
    <n v="270.5"/>
    <n v="119.57"/>
    <n v="-69.930000000000007"/>
    <n v="314.5"/>
    <n v="269.39"/>
    <n v="155.13999999999999"/>
    <n v="253.23"/>
    <n v="286.2"/>
    <n v="400.18"/>
    <n v="346.68"/>
    <n v="2646.7999999999997"/>
    <n v="53.5"/>
  </r>
  <r>
    <x v="2"/>
    <x v="1"/>
    <x v="0"/>
    <s v="2623200"/>
    <n v="450040"/>
    <s v="Contr Allow--Phys Svcs--Other"/>
    <s v="Neurology-Lakewood-Neuro"/>
    <x v="0"/>
    <n v="1700"/>
    <n v="5967.05"/>
    <n v="8409.07"/>
    <n v="2232.08"/>
    <n v="7075.59"/>
    <n v="6028.15"/>
    <n v="4736.55"/>
    <n v="5176.63"/>
    <n v="11046.71"/>
    <n v="5682.95"/>
    <n v="10361.27"/>
    <n v="1723.82"/>
    <n v="11315.04"/>
    <n v="79754.91"/>
    <n v="-9591.2200000000012"/>
  </r>
  <r>
    <x v="3"/>
    <x v="1"/>
    <x v="0"/>
    <s v="2623200"/>
    <n v="470040"/>
    <s v="Charity Care-Physician Svcs"/>
    <s v="Neurology-Lakewood-Neuro"/>
    <x v="0"/>
    <m/>
    <n v="-154.82"/>
    <n v="1577.91"/>
    <n v="440.83"/>
    <n v="104.14"/>
    <n v="700.26"/>
    <n v="1220.29"/>
    <n v="1064.53"/>
    <n v="1010.44"/>
    <n v="8215.61"/>
    <n v="1038.8699999999999"/>
    <n v="352.69"/>
    <n v="1593.13"/>
    <n v="17163.88"/>
    <n v="-1240.44"/>
  </r>
  <r>
    <x v="4"/>
    <x v="1"/>
    <x v="0"/>
    <s v="2623200"/>
    <n v="490010"/>
    <s v="Provision for Bad Debts"/>
    <s v="Neurology-Lakewood-Neuro"/>
    <x v="0"/>
    <m/>
    <n v="1370.72"/>
    <n v="2364.19"/>
    <n v="3424.26"/>
    <n v="-1582.44"/>
    <n v="2470.88"/>
    <n v="3802.07"/>
    <n v="-564.41999999999996"/>
    <n v="443.62"/>
    <n v="1887.91"/>
    <n v="-186.75"/>
    <n v="1640.2"/>
    <n v="2288.96"/>
    <n v="17359.2"/>
    <n v="-648.76"/>
  </r>
  <r>
    <x v="5"/>
    <x v="1"/>
    <x v="0"/>
    <s v="2623200"/>
    <n v="700022"/>
    <s v="Salaries-Physician-Productive"/>
    <s v="Neurology-Lakewood-Neuro"/>
    <x v="0"/>
    <m/>
    <n v="21840"/>
    <n v="26465.94"/>
    <n v="19355.04"/>
    <n v="24731.439999999999"/>
    <n v="23992.16"/>
    <n v="21732.39"/>
    <n v="24171.81"/>
    <n v="21873.64"/>
    <n v="22967.33"/>
    <n v="24061"/>
    <n v="24448.05"/>
    <n v="21139.34"/>
    <n v="276778.14000000007"/>
    <n v="3308.7099999999991"/>
  </r>
  <r>
    <x v="5"/>
    <x v="1"/>
    <x v="0"/>
    <s v="2623200"/>
    <n v="700026"/>
    <s v="Salaries-RN-Productive"/>
    <s v="Neurology-Lakewood-Neuro"/>
    <x v="0"/>
    <m/>
    <n v="0"/>
    <n v="0"/>
    <n v="0"/>
    <n v="0"/>
    <n v="0"/>
    <n v="0"/>
    <n v="5138.78"/>
    <n v="5172.3"/>
    <n v="6068.47"/>
    <n v="4701.29"/>
    <n v="5733.27"/>
    <n v="4877.72"/>
    <n v="31691.83"/>
    <n v="855.55000000000018"/>
  </r>
  <r>
    <x v="5"/>
    <x v="1"/>
    <x v="0"/>
    <s v="2623200"/>
    <n v="700026"/>
    <s v="Salaries-RN-OT"/>
    <s v="Neurology-Lakewood-Neuro"/>
    <x v="0"/>
    <n v="1000"/>
    <n v="0"/>
    <n v="0"/>
    <n v="0"/>
    <n v="0"/>
    <n v="0"/>
    <n v="0"/>
    <n v="18.510000000000002"/>
    <n v="484.23"/>
    <n v="1170.9100000000001"/>
    <n v="453.79"/>
    <n v="-142.87"/>
    <n v="529.22"/>
    <n v="2513.79"/>
    <n v="-672.09"/>
  </r>
  <r>
    <x v="5"/>
    <x v="1"/>
    <x v="0"/>
    <s v="2623200"/>
    <n v="700026"/>
    <s v="Salaries-RN-Other"/>
    <s v="Neurology-Lakewood-Neuro"/>
    <x v="0"/>
    <n v="2000"/>
    <n v="0"/>
    <n v="0"/>
    <n v="0"/>
    <n v="0"/>
    <n v="0"/>
    <n v="0"/>
    <n v="30.04"/>
    <n v="0"/>
    <n v="0"/>
    <n v="0"/>
    <n v="0"/>
    <n v="0"/>
    <n v="30.04"/>
    <n v="0"/>
  </r>
  <r>
    <x v="5"/>
    <x v="1"/>
    <x v="0"/>
    <s v="2623200"/>
    <n v="700030"/>
    <s v="Salaries-LPN-Productive"/>
    <s v="Neurology-Lakewood-Neuro"/>
    <x v="0"/>
    <m/>
    <n v="583.49"/>
    <n v="0"/>
    <n v="1101.74"/>
    <n v="-367.24"/>
    <n v="0"/>
    <n v="0"/>
    <n v="0"/>
    <n v="0"/>
    <n v="0"/>
    <n v="0"/>
    <n v="0"/>
    <n v="0"/>
    <n v="1317.99"/>
    <n v="0"/>
  </r>
  <r>
    <x v="5"/>
    <x v="1"/>
    <x v="0"/>
    <s v="2623200"/>
    <n v="700030"/>
    <s v="Salaries-LPN-OT"/>
    <s v="Neurology-Lakewood-Neuro"/>
    <x v="0"/>
    <n v="1000"/>
    <n v="0"/>
    <n v="0"/>
    <n v="99.4"/>
    <n v="-33.130000000000003"/>
    <n v="578.48"/>
    <n v="-289.24"/>
    <n v="0"/>
    <n v="0"/>
    <n v="0"/>
    <n v="0"/>
    <n v="0"/>
    <n v="0"/>
    <n v="355.51"/>
    <n v="0"/>
  </r>
  <r>
    <x v="5"/>
    <x v="1"/>
    <x v="0"/>
    <s v="2623200"/>
    <n v="700030"/>
    <s v="Salaries-LPN-Other"/>
    <s v="Neurology-Lakewood-Neuro"/>
    <x v="0"/>
    <n v="2000"/>
    <n v="0"/>
    <n v="0"/>
    <n v="0"/>
    <n v="0"/>
    <n v="17.5"/>
    <n v="-8.75"/>
    <n v="0"/>
    <n v="0"/>
    <n v="0"/>
    <n v="0"/>
    <n v="0"/>
    <n v="0"/>
    <n v="8.75"/>
    <n v="0"/>
  </r>
  <r>
    <x v="5"/>
    <x v="1"/>
    <x v="0"/>
    <s v="2623200"/>
    <n v="700062"/>
    <s v="Salaries-Physician-Non-productive"/>
    <s v="Neurology-Lakewood-Neuro"/>
    <x v="0"/>
    <m/>
    <n v="950.48"/>
    <n v="0"/>
    <n v="2150.56"/>
    <n v="0"/>
    <n v="0"/>
    <n v="1201.28"/>
    <n v="984.48"/>
    <n v="0"/>
    <n v="0"/>
    <n v="0"/>
    <n v="0"/>
    <n v="0"/>
    <n v="5286.7999999999993"/>
    <n v="0"/>
  </r>
  <r>
    <x v="5"/>
    <x v="1"/>
    <x v="0"/>
    <s v="2623200"/>
    <n v="700066"/>
    <s v="Salaries-RN-Non-productive"/>
    <s v="Neurology-Lakewood-Neuro"/>
    <x v="0"/>
    <m/>
    <n v="0"/>
    <n v="0"/>
    <n v="0"/>
    <n v="0"/>
    <n v="0"/>
    <n v="0"/>
    <n v="0"/>
    <n v="0"/>
    <n v="0"/>
    <n v="0"/>
    <n v="1040.8499999999999"/>
    <n v="626.23"/>
    <n v="1667.08"/>
    <n v="414.61999999999989"/>
  </r>
  <r>
    <x v="5"/>
    <x v="1"/>
    <x v="0"/>
    <s v="2623200"/>
    <n v="700066"/>
    <s v="Salaries-RN-NonProd-Other"/>
    <s v="Neurology-Lakewood-Neur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3200"/>
    <n v="700084"/>
    <s v="Accrued PTO"/>
    <s v="Neurology-Lakewood-Neuro"/>
    <x v="0"/>
    <m/>
    <n v="0"/>
    <n v="0"/>
    <n v="0"/>
    <n v="0"/>
    <n v="0"/>
    <n v="0"/>
    <n v="372.02"/>
    <n v="540.08000000000004"/>
    <n v="578.12"/>
    <n v="408.67"/>
    <n v="-213.49"/>
    <n v="-94.07"/>
    <n v="1591.3300000000002"/>
    <n v="-119.42000000000002"/>
  </r>
  <r>
    <x v="6"/>
    <x v="1"/>
    <x v="0"/>
    <s v="2623200"/>
    <n v="713010"/>
    <s v="Benefits-FICA/Medicare"/>
    <s v="Neurology-Lakewood-Neuro"/>
    <x v="0"/>
    <m/>
    <n v="374.47"/>
    <n v="389.36"/>
    <n v="390.8"/>
    <n v="325.55"/>
    <n v="396.89"/>
    <n v="1047.33"/>
    <n v="2304.75"/>
    <n v="2079.61"/>
    <n v="2277.4699999999998"/>
    <n v="2200.36"/>
    <n v="2341.66"/>
    <n v="945.6"/>
    <n v="15073.85"/>
    <n v="1396.06"/>
  </r>
  <r>
    <x v="6"/>
    <x v="1"/>
    <x v="0"/>
    <s v="2623200"/>
    <n v="713090"/>
    <s v="Benefits-Allocated Amounts"/>
    <s v="Neurology-Lakewood-Neuro"/>
    <x v="0"/>
    <m/>
    <n v="0"/>
    <n v="0"/>
    <n v="0"/>
    <n v="0"/>
    <n v="0"/>
    <n v="0"/>
    <n v="0"/>
    <n v="0"/>
    <n v="1201.33"/>
    <n v="167.53"/>
    <n v="189.94"/>
    <n v="186.06"/>
    <n v="1744.86"/>
    <n v="3.8799999999999955"/>
  </r>
  <r>
    <x v="6"/>
    <x v="1"/>
    <x v="0"/>
    <s v="2623200"/>
    <n v="713092"/>
    <s v="Allocated Benefits-Physician"/>
    <s v="Neurology-Lakewood-Neuro"/>
    <x v="0"/>
    <m/>
    <n v="1969.2"/>
    <n v="1752.62"/>
    <n v="1982.47"/>
    <n v="1716.37"/>
    <n v="1869.33"/>
    <n v="1819.48"/>
    <n v="3133.96"/>
    <n v="3200.2"/>
    <n v="2546.5700000000002"/>
    <n v="2787.55"/>
    <n v="3160.62"/>
    <n v="3096.07"/>
    <n v="29034.44"/>
    <n v="64.549999999999727"/>
  </r>
  <r>
    <x v="11"/>
    <x v="1"/>
    <x v="0"/>
    <s v="2623200"/>
    <n v="721250"/>
    <s v="Supplies-Pharmacy Drugs - Billable"/>
    <s v="Neurology-Lakewood-Neuro"/>
    <x v="0"/>
    <m/>
    <n v="0"/>
    <n v="0"/>
    <n v="0"/>
    <n v="0"/>
    <n v="0"/>
    <n v="0"/>
    <n v="103057.60000000001"/>
    <n v="48080"/>
    <n v="24094.37"/>
    <n v="30066.04"/>
    <n v="30120.12"/>
    <n v="30050"/>
    <n v="265468.13"/>
    <n v="70.119999999998981"/>
  </r>
  <r>
    <x v="16"/>
    <x v="1"/>
    <x v="0"/>
    <s v="2623200"/>
    <n v="732030"/>
    <s v="Repairs---Other"/>
    <s v="Neurology-Lakewood-Neuro"/>
    <x v="0"/>
    <m/>
    <n v="0"/>
    <n v="0"/>
    <n v="0"/>
    <n v="0"/>
    <n v="0"/>
    <n v="0"/>
    <n v="0"/>
    <n v="46.33"/>
    <n v="0"/>
    <n v="0"/>
    <n v="0"/>
    <n v="0"/>
    <n v="46.33"/>
    <n v="0"/>
  </r>
  <r>
    <x v="0"/>
    <x v="1"/>
    <x v="0"/>
    <s v="2623200"/>
    <n v="740022"/>
    <s v="Education-Physician"/>
    <s v="Neurology-Lakewood-Neuro"/>
    <x v="0"/>
    <m/>
    <n v="0"/>
    <n v="0"/>
    <n v="0"/>
    <n v="0"/>
    <n v="0"/>
    <n v="0"/>
    <n v="650"/>
    <n v="0"/>
    <n v="0"/>
    <n v="0"/>
    <n v="0"/>
    <n v="0"/>
    <n v="650"/>
    <n v="0"/>
  </r>
  <r>
    <x v="8"/>
    <x v="1"/>
    <x v="0"/>
    <s v="2623200"/>
    <n v="741012"/>
    <s v="Physician Liab Insurance-CHI Program"/>
    <s v="Neurology-Lakewood-Neuro"/>
    <x v="0"/>
    <m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7673.3999999999987"/>
    <n v="0"/>
  </r>
  <r>
    <x v="0"/>
    <x v="1"/>
    <x v="0"/>
    <s v="2623200"/>
    <n v="743022"/>
    <s v="Dues-Physician"/>
    <s v="Neurology-Lakewood-Neuro"/>
    <x v="0"/>
    <m/>
    <n v="0"/>
    <n v="0"/>
    <n v="0"/>
    <n v="0"/>
    <n v="0"/>
    <n v="0"/>
    <n v="0"/>
    <n v="285"/>
    <n v="485"/>
    <n v="0"/>
    <n v="0"/>
    <n v="0"/>
    <n v="770"/>
    <n v="0"/>
  </r>
  <r>
    <x v="0"/>
    <x v="1"/>
    <x v="0"/>
    <s v="2623200"/>
    <n v="749510"/>
    <s v="Miscellaneous Expenses"/>
    <s v="Neurology-Lakewood-Neuro"/>
    <x v="0"/>
    <m/>
    <n v="0"/>
    <n v="441"/>
    <n v="-441"/>
    <n v="0"/>
    <n v="0"/>
    <n v="0"/>
    <n v="0"/>
    <n v="485"/>
    <n v="-485"/>
    <n v="0"/>
    <n v="0"/>
    <n v="0"/>
    <n v="0"/>
    <n v="0"/>
  </r>
  <r>
    <x v="0"/>
    <x v="1"/>
    <x v="0"/>
    <s v="2623200"/>
    <n v="749512"/>
    <s v="Licenses-Physician"/>
    <s v="Neurology-Lakewood-Neuro"/>
    <x v="0"/>
    <n v="2000"/>
    <n v="0"/>
    <n v="0"/>
    <n v="441"/>
    <n v="0"/>
    <n v="0"/>
    <n v="0"/>
    <n v="0"/>
    <n v="0"/>
    <n v="0"/>
    <n v="0"/>
    <n v="0"/>
    <n v="0"/>
    <n v="441"/>
    <n v="0"/>
  </r>
  <r>
    <x v="0"/>
    <x v="1"/>
    <x v="0"/>
    <s v="2623200"/>
    <n v="749532"/>
    <s v="Travel-Physician"/>
    <s v="Neurology-Lakewood-Neuro"/>
    <x v="0"/>
    <m/>
    <n v="0"/>
    <n v="0"/>
    <n v="0"/>
    <n v="0"/>
    <n v="0"/>
    <n v="0"/>
    <n v="0"/>
    <n v="516.61"/>
    <n v="0"/>
    <n v="0"/>
    <n v="0"/>
    <n v="0"/>
    <n v="516.61"/>
    <n v="0"/>
  </r>
  <r>
    <x v="1"/>
    <x v="1"/>
    <x v="0"/>
    <s v="2624200"/>
    <n v="400040"/>
    <s v="Physician Svcs Rev--Medicare"/>
    <s v="Neurology-Gig Harbor-Neuro"/>
    <x v="0"/>
    <n v="1100"/>
    <n v="0"/>
    <n v="0"/>
    <n v="0"/>
    <n v="0"/>
    <n v="0"/>
    <n v="0"/>
    <n v="0"/>
    <n v="-400"/>
    <n v="0"/>
    <n v="0"/>
    <n v="0"/>
    <n v="0"/>
    <n v="-400"/>
    <n v="0"/>
  </r>
  <r>
    <x v="1"/>
    <x v="1"/>
    <x v="0"/>
    <s v="2624200"/>
    <n v="400040"/>
    <s v="Physician Svcs Rev--Medicaid"/>
    <s v="Neurology-Gig Harbor-Neuro"/>
    <x v="0"/>
    <n v="1200"/>
    <n v="200"/>
    <n v="0"/>
    <n v="0"/>
    <n v="0"/>
    <n v="450"/>
    <n v="0"/>
    <n v="0"/>
    <n v="0"/>
    <n v="0"/>
    <n v="0"/>
    <n v="0"/>
    <n v="0"/>
    <n v="650"/>
    <n v="0"/>
  </r>
  <r>
    <x v="1"/>
    <x v="1"/>
    <x v="0"/>
    <s v="2624200"/>
    <n v="400040"/>
    <s v="Physician Svcs Rev--BCBS Comm"/>
    <s v="Neurology-Gig Harbor-Neuro"/>
    <x v="0"/>
    <n v="1301"/>
    <n v="0"/>
    <n v="0"/>
    <n v="0"/>
    <n v="0"/>
    <n v="-566"/>
    <n v="0"/>
    <n v="0"/>
    <n v="0"/>
    <n v="0"/>
    <n v="0"/>
    <n v="0"/>
    <n v="0"/>
    <n v="-566"/>
    <n v="0"/>
  </r>
  <r>
    <x v="1"/>
    <x v="1"/>
    <x v="0"/>
    <s v="2624200"/>
    <n v="400040"/>
    <s v="Physician Svcs Rev--Managed Care"/>
    <s v="Neurology-Gig Harbor-Neuro"/>
    <x v="0"/>
    <n v="1400"/>
    <n v="-200"/>
    <n v="0"/>
    <n v="0"/>
    <n v="0"/>
    <n v="566"/>
    <n v="0"/>
    <n v="0"/>
    <n v="0"/>
    <n v="0"/>
    <n v="0"/>
    <n v="0"/>
    <n v="0"/>
    <n v="366"/>
    <n v="0"/>
  </r>
  <r>
    <x v="1"/>
    <x v="1"/>
    <x v="0"/>
    <s v="2624200"/>
    <n v="400040"/>
    <s v="Physician Svcs Rev--Other"/>
    <s v="Neurology-Gig Harbor-Neuro"/>
    <x v="0"/>
    <n v="1700"/>
    <n v="0"/>
    <n v="0"/>
    <n v="0"/>
    <n v="0"/>
    <n v="-450"/>
    <n v="0"/>
    <n v="0"/>
    <n v="0"/>
    <n v="0"/>
    <n v="0"/>
    <n v="0"/>
    <n v="0"/>
    <n v="-450"/>
    <n v="0"/>
  </r>
  <r>
    <x v="2"/>
    <x v="1"/>
    <x v="0"/>
    <s v="2624200"/>
    <n v="450040"/>
    <s v="Contr Allow--Phys Svcs--Mcare"/>
    <s v="Neurology-Gig Harbor-Neuro"/>
    <x v="0"/>
    <n v="1100"/>
    <n v="631.91"/>
    <n v="0"/>
    <n v="358.85"/>
    <n v="0"/>
    <n v="-1.61"/>
    <n v="2466.91"/>
    <n v="0"/>
    <n v="400"/>
    <n v="200"/>
    <n v="294"/>
    <n v="188.11"/>
    <n v="152.4"/>
    <n v="4690.5699999999988"/>
    <n v="35.710000000000008"/>
  </r>
  <r>
    <x v="2"/>
    <x v="1"/>
    <x v="0"/>
    <s v="2624200"/>
    <n v="450040"/>
    <s v="Contr Allow--Phys Svcs--Mcaid"/>
    <s v="Neurology-Gig Harbor-Neuro"/>
    <x v="0"/>
    <n v="1200"/>
    <n v="191.52"/>
    <n v="306.08999999999997"/>
    <n v="0"/>
    <n v="0"/>
    <n v="-356.35"/>
    <n v="584"/>
    <n v="0"/>
    <n v="0"/>
    <n v="0"/>
    <n v="757"/>
    <n v="0"/>
    <n v="0"/>
    <n v="1482.26"/>
    <n v="0"/>
  </r>
  <r>
    <x v="2"/>
    <x v="1"/>
    <x v="0"/>
    <s v="2624200"/>
    <n v="450040"/>
    <s v="Contr Allow--Phys Svcs--BCBS Comm Ins"/>
    <s v="Neurology-Gig Harbor-Neuro"/>
    <x v="0"/>
    <n v="1301"/>
    <n v="-573.20000000000005"/>
    <n v="6.41"/>
    <n v="0"/>
    <n v="0"/>
    <n v="0"/>
    <n v="0"/>
    <n v="0"/>
    <n v="0"/>
    <n v="0"/>
    <n v="0"/>
    <n v="0"/>
    <n v="0"/>
    <n v="-566.79000000000008"/>
    <n v="0"/>
  </r>
  <r>
    <x v="2"/>
    <x v="1"/>
    <x v="0"/>
    <s v="2624200"/>
    <n v="450040"/>
    <s v="Contr Allow--Phys Svcs--Managed Care"/>
    <s v="Neurology-Gig Harbor-Neuro"/>
    <x v="0"/>
    <n v="1400"/>
    <n v="213.66"/>
    <n v="-61.57"/>
    <n v="15"/>
    <n v="-183.86"/>
    <n v="2257.13"/>
    <n v="0"/>
    <n v="0"/>
    <n v="0"/>
    <n v="2352.8000000000002"/>
    <n v="267.23"/>
    <n v="1.88"/>
    <n v="0"/>
    <n v="4862.2699999999995"/>
    <n v="1.88"/>
  </r>
  <r>
    <x v="2"/>
    <x v="1"/>
    <x v="0"/>
    <s v="2624200"/>
    <n v="450040"/>
    <s v="Contr Allow--Phys Svcs--BCBS Mgnd Care"/>
    <s v="Neurology-Gig Harbor-Neuro"/>
    <x v="0"/>
    <n v="1401"/>
    <n v="-1201.17"/>
    <n v="-400.95"/>
    <n v="-508.31"/>
    <n v="-382.01"/>
    <n v="-1790.18"/>
    <n v="-2384.15"/>
    <n v="21.25"/>
    <n v="78.59"/>
    <n v="-2205.3000000000002"/>
    <n v="-854.38"/>
    <n v="-58.53"/>
    <n v="-288.63"/>
    <n v="-9973.7699999999986"/>
    <n v="230.1"/>
  </r>
  <r>
    <x v="2"/>
    <x v="1"/>
    <x v="0"/>
    <s v="2624200"/>
    <n v="450040"/>
    <s v="Admin Adjust-Phys Svcs-Self Pay"/>
    <s v="Neurology-Gig Harbor-Neuro"/>
    <x v="0"/>
    <n v="1600"/>
    <n v="0.05"/>
    <n v="0.36"/>
    <n v="1.8"/>
    <n v="0"/>
    <n v="0"/>
    <n v="0"/>
    <n v="0.22"/>
    <n v="0"/>
    <n v="-8.7100000000000009"/>
    <n v="0"/>
    <n v="0"/>
    <n v="0"/>
    <n v="-6.2800000000000011"/>
    <n v="0"/>
  </r>
  <r>
    <x v="2"/>
    <x v="1"/>
    <x v="0"/>
    <s v="2624200"/>
    <n v="450040"/>
    <s v="Contr Allow--Phys Svcs--Other"/>
    <s v="Neurology-Gig Harbor-Neuro"/>
    <x v="0"/>
    <n v="1700"/>
    <n v="0"/>
    <n v="0"/>
    <n v="0"/>
    <n v="184.5"/>
    <n v="0"/>
    <n v="153.36000000000001"/>
    <n v="0"/>
    <n v="0"/>
    <n v="0"/>
    <n v="0"/>
    <n v="0"/>
    <n v="0"/>
    <n v="337.86"/>
    <n v="0"/>
  </r>
  <r>
    <x v="3"/>
    <x v="1"/>
    <x v="0"/>
    <s v="2624200"/>
    <n v="470040"/>
    <s v="Charity Care-Physician Svcs"/>
    <s v="Neurology-Gig Harbor-Neuro"/>
    <x v="0"/>
    <m/>
    <n v="-73.89"/>
    <n v="155.75"/>
    <n v="-54.49"/>
    <n v="32.42"/>
    <n v="-47.11"/>
    <n v="-115.44"/>
    <n v="-9.3000000000000007"/>
    <n v="-16.07"/>
    <n v="-35.82"/>
    <n v="-35.81"/>
    <n v="-20.32"/>
    <n v="17.3"/>
    <n v="-202.77999999999997"/>
    <n v="-37.620000000000005"/>
  </r>
  <r>
    <x v="4"/>
    <x v="1"/>
    <x v="0"/>
    <s v="2624200"/>
    <n v="490010"/>
    <s v="Provision for Bad Debts"/>
    <s v="Neurology-Gig Harbor-Neuro"/>
    <x v="0"/>
    <m/>
    <n v="660.74"/>
    <n v="213.01"/>
    <n v="-166.83"/>
    <n v="564.28"/>
    <n v="-189.33"/>
    <n v="-566.35"/>
    <n v="-143.47"/>
    <n v="-58.38"/>
    <n v="-207.36"/>
    <n v="-98.23"/>
    <n v="-19.34"/>
    <n v="323.97000000000003"/>
    <n v="312.70999999999987"/>
    <n v="-343.31"/>
  </r>
  <r>
    <x v="5"/>
    <x v="1"/>
    <x v="0"/>
    <s v="2624200"/>
    <n v="700022"/>
    <s v="Salaries-Physician-Productive"/>
    <s v="Neurology-Gig Harbor-Neuro"/>
    <x v="0"/>
    <m/>
    <n v="2836.8"/>
    <n v="0"/>
    <n v="0"/>
    <n v="0"/>
    <n v="0"/>
    <n v="0"/>
    <n v="0"/>
    <n v="0"/>
    <n v="0"/>
    <n v="0"/>
    <n v="0"/>
    <n v="0"/>
    <n v="2836.8"/>
    <n v="0"/>
  </r>
  <r>
    <x v="6"/>
    <x v="1"/>
    <x v="0"/>
    <s v="2624200"/>
    <n v="713010"/>
    <s v="Benefits-FICA/Medicare"/>
    <s v="Neurology-Gig Harbor-Neuro"/>
    <x v="0"/>
    <m/>
    <n v="217.01"/>
    <n v="0"/>
    <n v="0"/>
    <n v="0"/>
    <n v="0"/>
    <n v="0"/>
    <n v="0"/>
    <n v="0"/>
    <n v="0"/>
    <n v="0"/>
    <n v="0"/>
    <n v="0"/>
    <n v="217.01"/>
    <n v="0"/>
  </r>
  <r>
    <x v="6"/>
    <x v="1"/>
    <x v="0"/>
    <s v="2624200"/>
    <n v="713090"/>
    <s v="Benefits-Allocated Amounts"/>
    <s v="Neurology-Gig Harbor-Neuro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624200"/>
    <n v="713092"/>
    <s v="Allocated Benefits-Physician"/>
    <s v="Neurology-Gig Harbor-Neuro"/>
    <x v="0"/>
    <m/>
    <n v="240"/>
    <n v="-16.510000000000002"/>
    <n v="16.52"/>
    <n v="44.26"/>
    <n v="-84.29"/>
    <n v="43.19"/>
    <n v="51.73"/>
    <n v="-32.96"/>
    <n v="38.340000000000003"/>
    <n v="36.58"/>
    <n v="35.92"/>
    <n v="-239.38"/>
    <n v="133.40000000000009"/>
    <n v="275.3"/>
  </r>
  <r>
    <x v="11"/>
    <x v="1"/>
    <x v="0"/>
    <s v="2624200"/>
    <n v="721250"/>
    <s v="Supplies-Pharmacy Drugs - Billable"/>
    <s v="Neurology-Gig Harbor-Neuro"/>
    <x v="0"/>
    <m/>
    <n v="0"/>
    <n v="0"/>
    <n v="0"/>
    <n v="-4230.3"/>
    <n v="24232.9"/>
    <n v="36060"/>
    <n v="1048.3"/>
    <n v="0"/>
    <n v="0"/>
    <n v="0"/>
    <n v="0"/>
    <n v="0"/>
    <n v="57110.900000000009"/>
    <n v="0"/>
  </r>
  <r>
    <x v="1"/>
    <x v="1"/>
    <x v="0"/>
    <s v="2625200"/>
    <n v="400029"/>
    <s v="MD Practice Other Rev--Medicare"/>
    <s v="Franciscan Pain Mgmt Clinic"/>
    <x v="0"/>
    <n v="1100"/>
    <n v="-1144"/>
    <n v="-1318"/>
    <n v="-244"/>
    <n v="-1356"/>
    <n v="-649"/>
    <n v="-922"/>
    <n v="-732"/>
    <n v="-606"/>
    <n v="-979"/>
    <n v="-1511"/>
    <n v="-1141"/>
    <n v="-2100"/>
    <n v="-12702"/>
    <n v="959"/>
  </r>
  <r>
    <x v="1"/>
    <x v="1"/>
    <x v="0"/>
    <s v="2625200"/>
    <n v="400029"/>
    <s v="MD Practice Other Rev--Medicaid"/>
    <s v="Franciscan Pain Mgmt Clinic"/>
    <x v="0"/>
    <n v="1200"/>
    <n v="-744"/>
    <n v="-581"/>
    <n v="-576"/>
    <n v="-1149"/>
    <n v="-642"/>
    <n v="-651"/>
    <n v="-500"/>
    <n v="-180"/>
    <n v="-1007"/>
    <n v="-426"/>
    <n v="-1005"/>
    <n v="-1094"/>
    <n v="-8555"/>
    <n v="89"/>
  </r>
  <r>
    <x v="1"/>
    <x v="1"/>
    <x v="0"/>
    <s v="2625200"/>
    <n v="400029"/>
    <s v="MD Practice Other Rev--Comm Insurance"/>
    <s v="Franciscan Pain Mgmt Clinic"/>
    <x v="0"/>
    <n v="1300"/>
    <n v="0"/>
    <n v="0"/>
    <n v="0"/>
    <n v="0"/>
    <n v="-166"/>
    <n v="0"/>
    <n v="0"/>
    <n v="0"/>
    <n v="0"/>
    <n v="0"/>
    <n v="0"/>
    <n v="0"/>
    <n v="-166"/>
    <n v="0"/>
  </r>
  <r>
    <x v="1"/>
    <x v="1"/>
    <x v="0"/>
    <s v="2625200"/>
    <n v="400029"/>
    <s v="MD Practice Other Rev--BCBS Comm"/>
    <s v="Franciscan Pain Mgmt Clinic"/>
    <x v="0"/>
    <n v="1301"/>
    <n v="-166"/>
    <n v="-78"/>
    <n v="0"/>
    <n v="-166"/>
    <n v="0"/>
    <n v="0"/>
    <n v="0"/>
    <n v="-245"/>
    <n v="0"/>
    <n v="0"/>
    <n v="0"/>
    <n v="0"/>
    <n v="-655"/>
    <n v="0"/>
  </r>
  <r>
    <x v="1"/>
    <x v="1"/>
    <x v="0"/>
    <s v="2625200"/>
    <n v="400029"/>
    <s v="MD Practice Other Rev--Managed Care"/>
    <s v="Franciscan Pain Mgmt Clinic"/>
    <x v="0"/>
    <n v="1400"/>
    <n v="-166"/>
    <n v="-669"/>
    <n v="-249"/>
    <n v="-246"/>
    <n v="-332"/>
    <n v="-166"/>
    <n v="-332"/>
    <n v="-168"/>
    <n v="0"/>
    <n v="-78"/>
    <n v="-334"/>
    <n v="-346"/>
    <n v="-3086"/>
    <n v="12"/>
  </r>
  <r>
    <x v="1"/>
    <x v="1"/>
    <x v="0"/>
    <s v="2625200"/>
    <n v="400029"/>
    <s v="MD Practice Other Rev--Other"/>
    <s v="Franciscan Pain Mgmt Clinic"/>
    <x v="0"/>
    <n v="1700"/>
    <n v="-256"/>
    <n v="0"/>
    <n v="-166"/>
    <n v="-78"/>
    <n v="0"/>
    <n v="-166"/>
    <n v="-180"/>
    <n v="-90"/>
    <n v="-244"/>
    <n v="-166"/>
    <n v="-180"/>
    <n v="-90"/>
    <n v="-1616"/>
    <n v="-90"/>
  </r>
  <r>
    <x v="1"/>
    <x v="1"/>
    <x v="0"/>
    <s v="2625200"/>
    <n v="400040"/>
    <s v="Physician Svcs Rev--Medicare"/>
    <s v="Franciscan Pain Mgmt Clinic"/>
    <x v="0"/>
    <n v="1100"/>
    <n v="-132312"/>
    <n v="-162656.25"/>
    <n v="-128251"/>
    <n v="-201881"/>
    <n v="-181879"/>
    <n v="-221137"/>
    <n v="-191772"/>
    <n v="-148937"/>
    <n v="-196061"/>
    <n v="-212871.5"/>
    <n v="-280288"/>
    <n v="-249217"/>
    <n v="-2307262.75"/>
    <n v="-31071"/>
  </r>
  <r>
    <x v="1"/>
    <x v="1"/>
    <x v="0"/>
    <s v="2625200"/>
    <n v="400040"/>
    <s v="Physician Svcs Rev--Medicaid"/>
    <s v="Franciscan Pain Mgmt Clinic"/>
    <x v="0"/>
    <n v="1200"/>
    <n v="-114604"/>
    <n v="-137721"/>
    <n v="-120504"/>
    <n v="-129741"/>
    <n v="-110675"/>
    <n v="-124921"/>
    <n v="-116686"/>
    <n v="-106673"/>
    <n v="-127359"/>
    <n v="-129639"/>
    <n v="-170523"/>
    <n v="-154645"/>
    <n v="-1543691"/>
    <n v="-15878"/>
  </r>
  <r>
    <x v="1"/>
    <x v="1"/>
    <x v="0"/>
    <s v="2625200"/>
    <n v="400040"/>
    <s v="Physician Svcs Rev--Comm Insurance"/>
    <s v="Franciscan Pain Mgmt Clinic"/>
    <x v="0"/>
    <n v="1300"/>
    <n v="-7463"/>
    <n v="-11015"/>
    <n v="-10919"/>
    <n v="-7975"/>
    <n v="-7456"/>
    <n v="-8631"/>
    <n v="-9743"/>
    <n v="-8987.25"/>
    <n v="-8284"/>
    <n v="-6595"/>
    <n v="-7579"/>
    <n v="-15174"/>
    <n v="-109821.25"/>
    <n v="7595"/>
  </r>
  <r>
    <x v="1"/>
    <x v="1"/>
    <x v="0"/>
    <s v="2625200"/>
    <n v="400040"/>
    <s v="Physician Svcs Rev--BCBS Comm"/>
    <s v="Franciscan Pain Mgmt Clinic"/>
    <x v="0"/>
    <n v="1301"/>
    <n v="-10259"/>
    <n v="-14615"/>
    <n v="-10808"/>
    <n v="-16921"/>
    <n v="-17410"/>
    <n v="-17487"/>
    <n v="-16380"/>
    <n v="-21141"/>
    <n v="-16123"/>
    <n v="-14660"/>
    <n v="-14604"/>
    <n v="-18541"/>
    <n v="-188949"/>
    <n v="3937"/>
  </r>
  <r>
    <x v="1"/>
    <x v="1"/>
    <x v="0"/>
    <s v="2625200"/>
    <n v="400040"/>
    <s v="Physician Svcs Rev--Managed Care"/>
    <s v="Franciscan Pain Mgmt Clinic"/>
    <x v="0"/>
    <n v="1400"/>
    <n v="-39979"/>
    <n v="-63609"/>
    <n v="-61325"/>
    <n v="-61828"/>
    <n v="-62752"/>
    <n v="-71153"/>
    <n v="-65719"/>
    <n v="-42885"/>
    <n v="-51108"/>
    <n v="-39585"/>
    <n v="-69886"/>
    <n v="-63841"/>
    <n v="-693670"/>
    <n v="-6045"/>
  </r>
  <r>
    <x v="1"/>
    <x v="1"/>
    <x v="0"/>
    <s v="2625200"/>
    <n v="400040"/>
    <s v="Physician Svcs Rev--Self Pay"/>
    <s v="Franciscan Pain Mgmt Clinic"/>
    <x v="0"/>
    <n v="1500"/>
    <n v="-572"/>
    <n v="-2419"/>
    <n v="-2624"/>
    <n v="-2328"/>
    <n v="-2543"/>
    <n v="-1941"/>
    <n v="-5241"/>
    <n v="-1542"/>
    <n v="-2128"/>
    <n v="-2049"/>
    <n v="-6395"/>
    <n v="-4646"/>
    <n v="-34428"/>
    <n v="-1749"/>
  </r>
  <r>
    <x v="1"/>
    <x v="1"/>
    <x v="0"/>
    <s v="2625200"/>
    <n v="400040"/>
    <s v="Physician Svcs Rev--Other"/>
    <s v="Franciscan Pain Mgmt Clinic"/>
    <x v="0"/>
    <n v="1700"/>
    <n v="-9158"/>
    <n v="-5638"/>
    <n v="-4672"/>
    <n v="-10013"/>
    <n v="-8948"/>
    <n v="-11501"/>
    <n v="-11445"/>
    <n v="-13487"/>
    <n v="-18926"/>
    <n v="-16716"/>
    <n v="-14990"/>
    <n v="-18846"/>
    <n v="-144340"/>
    <n v="3856"/>
  </r>
  <r>
    <x v="2"/>
    <x v="1"/>
    <x v="0"/>
    <s v="2625200"/>
    <n v="450029"/>
    <s v="Contr Allow--MD Other-Medicare"/>
    <s v="Franciscan Pain Mgmt Clinic"/>
    <x v="0"/>
    <n v="1100"/>
    <n v="485.19"/>
    <n v="710.9"/>
    <n v="639.36"/>
    <n v="859.32"/>
    <n v="464.06"/>
    <n v="503.15"/>
    <n v="563.17999999999995"/>
    <n v="420.03"/>
    <n v="81.23"/>
    <n v="888.99"/>
    <n v="764.66"/>
    <n v="724.74"/>
    <n v="7104.8099999999986"/>
    <n v="39.919999999999959"/>
  </r>
  <r>
    <x v="2"/>
    <x v="1"/>
    <x v="0"/>
    <s v="2625200"/>
    <n v="450029"/>
    <s v="Contr Allow--MD Other-Medicaid"/>
    <s v="Franciscan Pain Mgmt Clinic"/>
    <x v="0"/>
    <n v="1200"/>
    <n v="499.21"/>
    <n v="636.25"/>
    <n v="523.73"/>
    <n v="551.07000000000005"/>
    <n v="696.92"/>
    <n v="447"/>
    <n v="686.62"/>
    <n v="70.11"/>
    <n v="457.59"/>
    <n v="639.29999999999995"/>
    <n v="448.76"/>
    <n v="717.54"/>
    <n v="6374.1"/>
    <n v="-268.77999999999997"/>
  </r>
  <r>
    <x v="2"/>
    <x v="1"/>
    <x v="0"/>
    <s v="2625200"/>
    <n v="450029"/>
    <s v="Contr Allow--MD Other-Comm Insurance"/>
    <s v="Franciscan Pain Mgmt Clinic"/>
    <x v="0"/>
    <n v="1300"/>
    <n v="0"/>
    <n v="0"/>
    <n v="0"/>
    <n v="0"/>
    <n v="0"/>
    <n v="0"/>
    <n v="0"/>
    <n v="0"/>
    <n v="0"/>
    <n v="0"/>
    <n v="0"/>
    <n v="154.63"/>
    <n v="154.63"/>
    <n v="-154.63"/>
  </r>
  <r>
    <x v="2"/>
    <x v="1"/>
    <x v="0"/>
    <s v="2625200"/>
    <n v="450029"/>
    <s v="Contr Allow--MD Other BCBS Comm"/>
    <s v="Franciscan Pain Mgmt Clinic"/>
    <x v="0"/>
    <n v="1301"/>
    <n v="0"/>
    <n v="64.45"/>
    <n v="0"/>
    <n v="0"/>
    <n v="41.02"/>
    <n v="0"/>
    <n v="0"/>
    <n v="0"/>
    <n v="97.1"/>
    <n v="0"/>
    <n v="0"/>
    <n v="0"/>
    <n v="202.57"/>
    <n v="0"/>
  </r>
  <r>
    <x v="2"/>
    <x v="1"/>
    <x v="0"/>
    <s v="2625200"/>
    <n v="450029"/>
    <s v="Contr Allow--MD Other-Managed Care"/>
    <s v="Franciscan Pain Mgmt Clinic"/>
    <x v="0"/>
    <n v="1400"/>
    <n v="55.45"/>
    <n v="139.94"/>
    <n v="135.43"/>
    <n v="26.28"/>
    <n v="91.5"/>
    <n v="55.45"/>
    <n v="65.790000000000006"/>
    <n v="153.24"/>
    <n v="26.71"/>
    <n v="0"/>
    <n v="62.37"/>
    <n v="89.49"/>
    <n v="901.65000000000009"/>
    <n v="-27.119999999999997"/>
  </r>
  <r>
    <x v="2"/>
    <x v="1"/>
    <x v="0"/>
    <s v="2625200"/>
    <n v="450029"/>
    <s v="Admin Adjust-MD Other-Self Pay"/>
    <s v="Franciscan Pain Mgmt Clinic"/>
    <x v="0"/>
    <n v="1600"/>
    <n v="0"/>
    <n v="0"/>
    <n v="0.02"/>
    <n v="0"/>
    <n v="0"/>
    <n v="0"/>
    <n v="0.01"/>
    <n v="0"/>
    <n v="0"/>
    <n v="0"/>
    <n v="0"/>
    <n v="0"/>
    <n v="0.03"/>
    <n v="0"/>
  </r>
  <r>
    <x v="2"/>
    <x v="1"/>
    <x v="0"/>
    <s v="2625200"/>
    <n v="450029"/>
    <s v="Contr Allow--MD Other-Other"/>
    <s v="Franciscan Pain Mgmt Clinic"/>
    <x v="0"/>
    <n v="1700"/>
    <n v="161.52000000000001"/>
    <n v="56.97"/>
    <n v="0"/>
    <n v="0"/>
    <n v="153.93"/>
    <n v="0"/>
    <n v="0"/>
    <n v="134.41"/>
    <n v="56.97"/>
    <n v="183.89"/>
    <n v="164.98"/>
    <n v="114.45"/>
    <n v="1027.1200000000001"/>
    <n v="50.529999999999987"/>
  </r>
  <r>
    <x v="2"/>
    <x v="1"/>
    <x v="0"/>
    <s v="2625200"/>
    <n v="450040"/>
    <s v="Contr Allow--Phys Svcs--Mcare"/>
    <s v="Franciscan Pain Mgmt Clinic"/>
    <x v="0"/>
    <n v="1100"/>
    <n v="79372.23"/>
    <n v="88960.59"/>
    <n v="88648.85"/>
    <n v="121132.76"/>
    <n v="138258.4"/>
    <n v="113232.86"/>
    <n v="155068.56"/>
    <n v="95237.72"/>
    <n v="128449.69"/>
    <n v="139288.68"/>
    <n v="164611.84"/>
    <n v="189353.03"/>
    <n v="1501615.21"/>
    <n v="-24741.190000000002"/>
  </r>
  <r>
    <x v="2"/>
    <x v="1"/>
    <x v="0"/>
    <s v="2625200"/>
    <n v="450040"/>
    <s v="Contr Allow--Phys Svcs--Mcaid"/>
    <s v="Franciscan Pain Mgmt Clinic"/>
    <x v="0"/>
    <n v="1200"/>
    <n v="96691.520000000004"/>
    <n v="105503.19"/>
    <n v="92388.45"/>
    <n v="115183.8"/>
    <n v="81728.850000000006"/>
    <n v="98885.89"/>
    <n v="84651.54"/>
    <n v="75867.740000000005"/>
    <n v="95336.58"/>
    <n v="96691.9"/>
    <n v="102266.41"/>
    <n v="112759.27"/>
    <n v="1157955.1400000001"/>
    <n v="-10492.86"/>
  </r>
  <r>
    <x v="2"/>
    <x v="1"/>
    <x v="0"/>
    <s v="2625200"/>
    <n v="450040"/>
    <s v="Contr Allow--Phys Svcs--Comm Insurance"/>
    <s v="Franciscan Pain Mgmt Clinic"/>
    <x v="0"/>
    <n v="1300"/>
    <n v="2758.55"/>
    <n v="2837.66"/>
    <n v="5005.1099999999997"/>
    <n v="3681.53"/>
    <n v="2659.86"/>
    <n v="2516.83"/>
    <n v="3639.46"/>
    <n v="1691.63"/>
    <n v="3130.8"/>
    <n v="2281.27"/>
    <n v="2715.63"/>
    <n v="3321.98"/>
    <n v="36240.310000000005"/>
    <n v="-606.34999999999991"/>
  </r>
  <r>
    <x v="2"/>
    <x v="1"/>
    <x v="0"/>
    <s v="2625200"/>
    <n v="450040"/>
    <s v="Contr Allow--Phys Svcs--BCBS Comm Ins"/>
    <s v="Franciscan Pain Mgmt Clinic"/>
    <x v="0"/>
    <n v="1301"/>
    <n v="7252.38"/>
    <n v="6548.34"/>
    <n v="2442.84"/>
    <n v="3452.27"/>
    <n v="6036.45"/>
    <n v="5257.24"/>
    <n v="3971.97"/>
    <n v="3006.66"/>
    <n v="10189.25"/>
    <n v="5505.75"/>
    <n v="3814.7"/>
    <n v="6800.57"/>
    <n v="64278.420000000006"/>
    <n v="-2985.87"/>
  </r>
  <r>
    <x v="2"/>
    <x v="1"/>
    <x v="0"/>
    <s v="2625200"/>
    <n v="450040"/>
    <s v="Contr Allow--Phys Svcs--Managed Care"/>
    <s v="Franciscan Pain Mgmt Clinic"/>
    <x v="0"/>
    <n v="1400"/>
    <n v="16897.38"/>
    <n v="21283.06"/>
    <n v="18951.400000000001"/>
    <n v="23227.23"/>
    <n v="23777.43"/>
    <n v="21147.08"/>
    <n v="20961.68"/>
    <n v="24843.58"/>
    <n v="20065.47"/>
    <n v="18194.18"/>
    <n v="26639.63"/>
    <n v="24617.5"/>
    <n v="260605.62000000002"/>
    <n v="2022.130000000001"/>
  </r>
  <r>
    <x v="2"/>
    <x v="1"/>
    <x v="0"/>
    <s v="2625200"/>
    <n v="450040"/>
    <s v="Contr Allow--Phys Svcs--BCBS Mgnd Care"/>
    <s v="Franciscan Pain Mgmt Clinic"/>
    <x v="0"/>
    <n v="1401"/>
    <n v="-1486.04"/>
    <n v="23128.81"/>
    <n v="6356.76"/>
    <n v="6384.84"/>
    <n v="-15583.89"/>
    <n v="46693.51"/>
    <n v="1331.15"/>
    <n v="17592.34"/>
    <n v="8844.64"/>
    <n v="-995.5"/>
    <n v="52182.92"/>
    <n v="2838.66"/>
    <n v="147288.19999999998"/>
    <n v="49344.259999999995"/>
  </r>
  <r>
    <x v="2"/>
    <x v="1"/>
    <x v="0"/>
    <s v="2625200"/>
    <n v="450040"/>
    <s v="Prompt Pay Disc-Phys Svcs-Self Pay"/>
    <s v="Franciscan Pain Mgmt Clinic"/>
    <x v="0"/>
    <n v="1500"/>
    <n v="0"/>
    <n v="0"/>
    <n v="0"/>
    <n v="0"/>
    <n v="0"/>
    <n v="0"/>
    <n v="0"/>
    <n v="0"/>
    <n v="0"/>
    <n v="0"/>
    <n v="67.23"/>
    <n v="0"/>
    <n v="67.23"/>
    <n v="67.23"/>
  </r>
  <r>
    <x v="2"/>
    <x v="1"/>
    <x v="0"/>
    <s v="2625200"/>
    <n v="450040"/>
    <s v="Admin Adjust-Phys Svcs-Self Pay"/>
    <s v="Franciscan Pain Mgmt Clinic"/>
    <x v="0"/>
    <n v="1600"/>
    <n v="247.58"/>
    <n v="1199.92"/>
    <n v="1413.86"/>
    <n v="940.31"/>
    <n v="17652.07"/>
    <n v="614.69000000000005"/>
    <n v="2633.56"/>
    <n v="694.79"/>
    <n v="1018.9"/>
    <n v="885.73"/>
    <n v="3374.46"/>
    <n v="2103.52"/>
    <n v="32779.39"/>
    <n v="1270.94"/>
  </r>
  <r>
    <x v="2"/>
    <x v="1"/>
    <x v="0"/>
    <s v="2625200"/>
    <n v="450040"/>
    <s v="Contr Allow--Phys Svcs--Other"/>
    <s v="Franciscan Pain Mgmt Clinic"/>
    <x v="0"/>
    <n v="1700"/>
    <n v="4718.8500000000004"/>
    <n v="3940.96"/>
    <n v="4142.7299999999996"/>
    <n v="4274.84"/>
    <n v="5509.33"/>
    <n v="1905.11"/>
    <n v="8319.64"/>
    <n v="6733.69"/>
    <n v="8162.46"/>
    <n v="12225.34"/>
    <n v="7719.8"/>
    <n v="8433.73"/>
    <n v="76086.48"/>
    <n v="-713.92999999999938"/>
  </r>
  <r>
    <x v="3"/>
    <x v="1"/>
    <x v="0"/>
    <s v="2625200"/>
    <n v="470040"/>
    <s v="Charity Care-Physician Svcs"/>
    <s v="Franciscan Pain Mgmt Clinic"/>
    <x v="0"/>
    <m/>
    <n v="1151.83"/>
    <n v="4332.95"/>
    <n v="830.54"/>
    <n v="1318.22"/>
    <n v="1248.93"/>
    <n v="2502.17"/>
    <n v="3590.74"/>
    <n v="3774.76"/>
    <n v="3916.73"/>
    <n v="2405.75"/>
    <n v="4656.07"/>
    <n v="7555.19"/>
    <n v="37283.879999999997"/>
    <n v="-2899.12"/>
  </r>
  <r>
    <x v="4"/>
    <x v="1"/>
    <x v="0"/>
    <s v="2625200"/>
    <n v="490010"/>
    <s v="Provision for Bad Debts"/>
    <s v="Franciscan Pain Mgmt Clinic"/>
    <x v="0"/>
    <m/>
    <n v="2033.26"/>
    <n v="4728.93"/>
    <n v="3152.1"/>
    <n v="-938.11"/>
    <n v="3622.84"/>
    <n v="5676.41"/>
    <n v="1887.9"/>
    <n v="4842.45"/>
    <n v="5869.67"/>
    <n v="1805.04"/>
    <n v="9499.91"/>
    <n v="6161.13"/>
    <n v="48341.530000000006"/>
    <n v="3338.7799999999997"/>
  </r>
  <r>
    <x v="5"/>
    <x v="1"/>
    <x v="0"/>
    <s v="2625200"/>
    <n v="700020"/>
    <s v="Salaries-Physician Admin-Other"/>
    <s v="Franciscan Pain Mgmt Clinic"/>
    <x v="0"/>
    <n v="2000"/>
    <n v="0"/>
    <n v="5040"/>
    <n v="2520"/>
    <n v="2520"/>
    <n v="2520"/>
    <n v="2520"/>
    <n v="9458.41"/>
    <n v="0"/>
    <n v="-6934.72"/>
    <n v="0"/>
    <n v="0"/>
    <n v="0"/>
    <n v="17643.689999999999"/>
    <n v="0"/>
  </r>
  <r>
    <x v="5"/>
    <x v="1"/>
    <x v="0"/>
    <s v="2625200"/>
    <n v="700022"/>
    <s v="Salaries-Physician-Productive"/>
    <s v="Franciscan Pain Mgmt Clinic"/>
    <x v="0"/>
    <m/>
    <n v="52226.1"/>
    <n v="99827.44"/>
    <n v="76662.45"/>
    <n v="104956.51"/>
    <n v="94264.3"/>
    <n v="86242.36"/>
    <n v="81393.570000000007"/>
    <n v="78768.62"/>
    <n v="64495.63"/>
    <n v="92606.13"/>
    <n v="87704.84"/>
    <n v="75789.84"/>
    <n v="994937.78999999992"/>
    <n v="11915"/>
  </r>
  <r>
    <x v="5"/>
    <x v="1"/>
    <x v="0"/>
    <s v="2625200"/>
    <n v="700024"/>
    <s v="Salaries-Advanced Practice Clinician-Productive"/>
    <s v="Franciscan Pain Mgmt Clinic"/>
    <x v="0"/>
    <m/>
    <n v="9086.5300000000007"/>
    <n v="7355.78"/>
    <n v="8495.18"/>
    <n v="21095.17"/>
    <n v="11495.49"/>
    <n v="14024.65"/>
    <n v="19800.3"/>
    <n v="12816.85"/>
    <n v="18266.189999999999"/>
    <n v="20660.919999999998"/>
    <n v="22953.11"/>
    <n v="17213.07"/>
    <n v="183263.24"/>
    <n v="5740.0400000000009"/>
  </r>
  <r>
    <x v="5"/>
    <x v="1"/>
    <x v="0"/>
    <s v="2625200"/>
    <n v="700026"/>
    <s v="Salaries-RN-Productive"/>
    <s v="Franciscan Pain Mgmt Clinic"/>
    <x v="0"/>
    <m/>
    <n v="5045.22"/>
    <n v="4447.1499999999996"/>
    <n v="4707.24"/>
    <n v="8627.16"/>
    <n v="9005.25"/>
    <n v="5416.52"/>
    <n v="7875.79"/>
    <n v="7307.17"/>
    <n v="6373.24"/>
    <n v="9029.85"/>
    <n v="7408.91"/>
    <n v="5555.08"/>
    <n v="80798.58"/>
    <n v="1853.83"/>
  </r>
  <r>
    <x v="5"/>
    <x v="1"/>
    <x v="0"/>
    <s v="2625200"/>
    <n v="700026"/>
    <s v="Salaries-RN-OT"/>
    <s v="Franciscan Pain Mgmt Clinic"/>
    <x v="0"/>
    <n v="1000"/>
    <n v="133.41"/>
    <n v="458.91"/>
    <n v="-155.27000000000001"/>
    <n v="218.9"/>
    <n v="806.15"/>
    <n v="172.74"/>
    <n v="23.99"/>
    <n v="188.25"/>
    <n v="15.42"/>
    <n v="72.7"/>
    <n v="30"/>
    <n v="57.67"/>
    <n v="2022.8700000000001"/>
    <n v="-27.67"/>
  </r>
  <r>
    <x v="5"/>
    <x v="1"/>
    <x v="0"/>
    <s v="2625200"/>
    <n v="700026"/>
    <s v="Salaries-RN-Other"/>
    <s v="Franciscan Pain Mgmt Clinic"/>
    <x v="0"/>
    <n v="2000"/>
    <n v="0"/>
    <n v="0"/>
    <n v="0"/>
    <n v="30"/>
    <n v="0"/>
    <n v="0"/>
    <n v="0"/>
    <n v="0"/>
    <n v="0"/>
    <n v="0"/>
    <n v="0"/>
    <n v="9.02"/>
    <n v="39.019999999999996"/>
    <n v="-9.02"/>
  </r>
  <r>
    <x v="5"/>
    <x v="1"/>
    <x v="0"/>
    <s v="2625200"/>
    <n v="700030"/>
    <s v="Salaries-LPN-Productive"/>
    <s v="Franciscan Pain Mgmt Clinic"/>
    <x v="0"/>
    <m/>
    <n v="0"/>
    <n v="0"/>
    <n v="0"/>
    <n v="0"/>
    <n v="0"/>
    <n v="0"/>
    <n v="1189.98"/>
    <n v="374.94"/>
    <n v="1599.64"/>
    <n v="473.78"/>
    <n v="0"/>
    <n v="266.97000000000003"/>
    <n v="3905.3100000000004"/>
    <n v="-266.97000000000003"/>
  </r>
  <r>
    <x v="5"/>
    <x v="1"/>
    <x v="0"/>
    <s v="2625200"/>
    <n v="700030"/>
    <s v="Salaries-LPN-OT"/>
    <s v="Franciscan Pain Mgmt Clinic"/>
    <x v="0"/>
    <n v="1000"/>
    <n v="0"/>
    <n v="0"/>
    <n v="0"/>
    <n v="0"/>
    <n v="0"/>
    <n v="0"/>
    <n v="0"/>
    <n v="161.01"/>
    <n v="501.58"/>
    <n v="-4.55"/>
    <n v="0"/>
    <n v="0"/>
    <n v="658.04"/>
    <n v="0"/>
  </r>
  <r>
    <x v="5"/>
    <x v="1"/>
    <x v="0"/>
    <s v="2625200"/>
    <n v="700032"/>
    <s v="Salaries-Other Pat Care Providers-Productive"/>
    <s v="Franciscan Pain Mgmt Clinic"/>
    <x v="0"/>
    <m/>
    <n v="10458.370000000001"/>
    <n v="16476.41"/>
    <n v="17030.25"/>
    <n v="20854.5"/>
    <n v="12525.58"/>
    <n v="1345.32"/>
    <n v="6157.57"/>
    <n v="3555.86"/>
    <n v="11972.06"/>
    <n v="17140.64"/>
    <n v="21334.86"/>
    <n v="11221.2"/>
    <n v="150072.62"/>
    <n v="10113.66"/>
  </r>
  <r>
    <x v="5"/>
    <x v="1"/>
    <x v="0"/>
    <s v="2625200"/>
    <n v="700032"/>
    <s v="Salaries-Other Pat Care Providers-OT"/>
    <s v="Franciscan Pain Mgmt Clinic"/>
    <x v="0"/>
    <n v="1000"/>
    <n v="0"/>
    <n v="163.57"/>
    <n v="420.26"/>
    <n v="501.18"/>
    <n v="749.87"/>
    <n v="-124.2"/>
    <n v="337.38"/>
    <n v="139.94999999999999"/>
    <n v="116.44"/>
    <n v="271.63"/>
    <n v="417.26"/>
    <n v="-38.35"/>
    <n v="2954.9900000000002"/>
    <n v="455.61"/>
  </r>
  <r>
    <x v="5"/>
    <x v="1"/>
    <x v="0"/>
    <s v="2625200"/>
    <n v="700032"/>
    <s v="Salaries-Other Pat Care Providers-Other"/>
    <s v="Franciscan Pain Mgmt Clinic"/>
    <x v="0"/>
    <n v="2000"/>
    <n v="0"/>
    <n v="30"/>
    <n v="0"/>
    <n v="0"/>
    <n v="0"/>
    <n v="0"/>
    <n v="10.51"/>
    <n v="-3"/>
    <n v="6.26"/>
    <n v="0"/>
    <n v="14.01"/>
    <n v="-1.5"/>
    <n v="56.279999999999994"/>
    <n v="15.51"/>
  </r>
  <r>
    <x v="5"/>
    <x v="1"/>
    <x v="0"/>
    <s v="2625200"/>
    <n v="700062"/>
    <s v="Salaries-Physician-Non-productive"/>
    <s v="Franciscan Pain Mgmt Clinic"/>
    <x v="0"/>
    <m/>
    <n v="11940.78"/>
    <n v="-1521.76"/>
    <n v="16018.79"/>
    <n v="1626.9"/>
    <n v="14200.28"/>
    <n v="17913.86"/>
    <n v="3736.86"/>
    <n v="3895.22"/>
    <n v="17866.89"/>
    <n v="-6326.6"/>
    <n v="6953.41"/>
    <n v="7107.76"/>
    <n v="93412.39"/>
    <n v="-154.35000000000036"/>
  </r>
  <r>
    <x v="5"/>
    <x v="1"/>
    <x v="0"/>
    <s v="2625200"/>
    <n v="700064"/>
    <s v="Salaries-Advanced Practice Clinician-Non-Productive"/>
    <s v="Franciscan Pain Mgmt Clinic"/>
    <x v="0"/>
    <m/>
    <n v="1118.73"/>
    <n v="3279.16"/>
    <n v="4496.78"/>
    <n v="609.71"/>
    <n v="9042.93"/>
    <n v="5703.07"/>
    <n v="1712.72"/>
    <n v="6749.88"/>
    <n v="2095.7199999999998"/>
    <n v="603.76"/>
    <n v="1218.8"/>
    <n v="4217.8999999999996"/>
    <n v="40849.160000000003"/>
    <n v="-2999.0999999999995"/>
  </r>
  <r>
    <x v="5"/>
    <x v="1"/>
    <x v="0"/>
    <s v="2625200"/>
    <n v="700066"/>
    <s v="Salaries-RN-Non-productive"/>
    <s v="Franciscan Pain Mgmt Clinic"/>
    <x v="0"/>
    <m/>
    <n v="429.38"/>
    <n v="1196.1300000000001"/>
    <n v="1472.16"/>
    <n v="-245.36"/>
    <n v="0"/>
    <n v="0"/>
    <n v="2776.11"/>
    <n v="-15.39"/>
    <n v="-89.18"/>
    <n v="250.77"/>
    <n v="816.3"/>
    <n v="-161.56"/>
    <n v="6429.36"/>
    <n v="977.8599999999999"/>
  </r>
  <r>
    <x v="5"/>
    <x v="1"/>
    <x v="0"/>
    <s v="2625200"/>
    <n v="700066"/>
    <s v="Salaries-RN-NonProd-Other"/>
    <s v="Franciscan Pain Mgmt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5200"/>
    <n v="700072"/>
    <s v="Salaries-Other Pat Care Providers-Non-productive"/>
    <s v="Franciscan Pain Mgmt Clinic"/>
    <x v="0"/>
    <m/>
    <n v="2644.55"/>
    <n v="2789.31"/>
    <n v="1065.78"/>
    <n v="91.85"/>
    <n v="0"/>
    <n v="13150.67"/>
    <n v="8429.42"/>
    <n v="-885.79"/>
    <n v="1367.19"/>
    <n v="602.59"/>
    <n v="2206.23"/>
    <n v="4166.8100000000004"/>
    <n v="35628.61"/>
    <n v="-1960.5800000000004"/>
  </r>
  <r>
    <x v="5"/>
    <x v="1"/>
    <x v="0"/>
    <s v="2625200"/>
    <n v="700072"/>
    <s v="Salaries-Other Pat Care Providers-NonProd-Other"/>
    <s v="Franciscan Pain Mgmt Clinic"/>
    <x v="0"/>
    <n v="2000"/>
    <n v="0"/>
    <n v="0"/>
    <n v="0"/>
    <n v="0"/>
    <n v="0"/>
    <n v="-364.9"/>
    <n v="-1596.91"/>
    <n v="212.61"/>
    <n v="4.96"/>
    <n v="0"/>
    <n v="0"/>
    <n v="0"/>
    <n v="-1744.2399999999998"/>
    <n v="0"/>
  </r>
  <r>
    <x v="5"/>
    <x v="1"/>
    <x v="0"/>
    <s v="2625200"/>
    <n v="700084"/>
    <s v="Accrued PTO"/>
    <s v="Franciscan Pain Mgmt Clinic"/>
    <x v="0"/>
    <m/>
    <n v="-15.92"/>
    <n v="-875.18"/>
    <n v="-47.92"/>
    <n v="879.02"/>
    <n v="1005.05"/>
    <n v="-943.5"/>
    <n v="-513.27"/>
    <n v="19.05"/>
    <n v="-553.85"/>
    <n v="714.4"/>
    <n v="-29.82"/>
    <n v="-31.03"/>
    <n v="-392.97"/>
    <n v="1.2100000000000009"/>
  </r>
  <r>
    <x v="6"/>
    <x v="1"/>
    <x v="0"/>
    <s v="2625200"/>
    <n v="713010"/>
    <s v="Benefits-FICA/Medicare"/>
    <s v="Franciscan Pain Mgmt Clinic"/>
    <x v="0"/>
    <m/>
    <n v="3119.44"/>
    <n v="5231.42"/>
    <n v="5979.67"/>
    <n v="7612.04"/>
    <n v="5256.64"/>
    <n v="7635.54"/>
    <n v="10565.13"/>
    <n v="8441.31"/>
    <n v="6184.07"/>
    <n v="6696.28"/>
    <n v="6057.05"/>
    <n v="4188.7299999999996"/>
    <n v="76967.319999999992"/>
    <n v="1868.3200000000006"/>
  </r>
  <r>
    <x v="6"/>
    <x v="1"/>
    <x v="0"/>
    <s v="2625200"/>
    <n v="713090"/>
    <s v="Benefits-Allocated Amounts"/>
    <s v="Franciscan Pain Mgmt Clinic"/>
    <x v="0"/>
    <m/>
    <n v="0"/>
    <n v="0"/>
    <n v="0"/>
    <n v="0"/>
    <n v="0"/>
    <n v="0"/>
    <n v="0"/>
    <n v="0"/>
    <n v="59589.65"/>
    <n v="7276.06"/>
    <n v="7727.24"/>
    <n v="6989.94"/>
    <n v="81582.890000000014"/>
    <n v="737.30000000000018"/>
  </r>
  <r>
    <x v="6"/>
    <x v="1"/>
    <x v="0"/>
    <s v="2625200"/>
    <n v="713092"/>
    <s v="Allocated Benefits-Physician"/>
    <s v="Franciscan Pain Mgmt Clinic"/>
    <x v="0"/>
    <m/>
    <n v="6686.9"/>
    <n v="8465.44"/>
    <n v="9466.75"/>
    <n v="11004.29"/>
    <n v="10135.120000000001"/>
    <n v="9898.57"/>
    <n v="11420.63"/>
    <n v="9277.7099999999991"/>
    <n v="-37331.32"/>
    <n v="4764.95"/>
    <n v="5060.41"/>
    <n v="4577.58"/>
    <n v="53427.03"/>
    <n v="482.82999999999993"/>
  </r>
  <r>
    <x v="6"/>
    <x v="1"/>
    <x v="0"/>
    <s v="2625200"/>
    <n v="713093"/>
    <s v="Allocated Benefits-Advanced Practice Clinician"/>
    <s v="Franciscan Pain Mgmt Clinic"/>
    <x v="0"/>
    <m/>
    <n v="2643.66"/>
    <n v="3346.8"/>
    <n v="3742.67"/>
    <n v="4350.53"/>
    <n v="4006.91"/>
    <n v="3913.39"/>
    <n v="4515.13"/>
    <n v="3667.93"/>
    <n v="-7964.97"/>
    <n v="2713.37"/>
    <n v="2881.63"/>
    <n v="2606.67"/>
    <n v="30423.72"/>
    <n v="274.96000000000004"/>
  </r>
  <r>
    <x v="7"/>
    <x v="1"/>
    <x v="0"/>
    <s v="2625200"/>
    <n v="718010"/>
    <s v="Media/Print Advertising"/>
    <s v="Franciscan Pain Mgmt Clinic"/>
    <x v="0"/>
    <n v="1004"/>
    <n v="0"/>
    <n v="494.17"/>
    <n v="0"/>
    <n v="0"/>
    <n v="0"/>
    <n v="0"/>
    <n v="0"/>
    <n v="0"/>
    <n v="0"/>
    <n v="0"/>
    <n v="0"/>
    <n v="-16.43"/>
    <n v="477.74"/>
    <n v="16.43"/>
  </r>
  <r>
    <x v="7"/>
    <x v="1"/>
    <x v="0"/>
    <s v="2625200"/>
    <n v="718050"/>
    <s v="Contract Management--Linen"/>
    <s v="Franciscan Pain Mgmt Clinic"/>
    <x v="0"/>
    <n v="1026"/>
    <n v="0"/>
    <n v="0"/>
    <n v="93.77"/>
    <n v="0"/>
    <n v="0"/>
    <n v="0"/>
    <n v="0"/>
    <n v="0"/>
    <n v="0"/>
    <n v="0"/>
    <n v="0"/>
    <n v="0"/>
    <n v="93.77"/>
    <n v="0"/>
  </r>
  <r>
    <x v="7"/>
    <x v="1"/>
    <x v="0"/>
    <s v="2625200"/>
    <n v="718050"/>
    <s v="Purchased Srvcs--Medical Waste"/>
    <s v="Franciscan Pain Mgmt Clinic"/>
    <x v="0"/>
    <n v="1027"/>
    <n v="0"/>
    <n v="162.15"/>
    <n v="88.38"/>
    <n v="68.38"/>
    <n v="68.38"/>
    <n v="0"/>
    <n v="68.38"/>
    <n v="0"/>
    <n v="68.38"/>
    <n v="104.74"/>
    <n v="0"/>
    <n v="426.64"/>
    <n v="1055.4299999999998"/>
    <n v="-426.64"/>
  </r>
  <r>
    <x v="11"/>
    <x v="1"/>
    <x v="0"/>
    <s v="2625200"/>
    <n v="721250"/>
    <s v="Supplies-Pharmacy Drugs - Billable"/>
    <s v="Franciscan Pain Mgmt Clinic"/>
    <x v="0"/>
    <m/>
    <n v="195.45"/>
    <n v="798.2"/>
    <n v="15.96"/>
    <n v="167.62"/>
    <n v="533.66999999999996"/>
    <n v="9035.65"/>
    <n v="656.23"/>
    <n v="0"/>
    <n v="3895.9"/>
    <n v="0"/>
    <n v="1202"/>
    <n v="2582.1799999999998"/>
    <n v="19082.86"/>
    <n v="-1380.1799999999998"/>
  </r>
  <r>
    <x v="11"/>
    <x v="1"/>
    <x v="0"/>
    <s v="2625200"/>
    <n v="721410"/>
    <s v="Supplies-Medical - Nonbillable"/>
    <s v="Franciscan Pain Mgmt Clinic"/>
    <x v="0"/>
    <m/>
    <n v="0"/>
    <n v="800.76"/>
    <n v="190.34"/>
    <n v="641.27"/>
    <n v="637.99"/>
    <n v="919.51"/>
    <n v="856.6"/>
    <n v="614.91"/>
    <n v="982.49"/>
    <n v="75.55"/>
    <n v="549.54999999999995"/>
    <n v="881.04"/>
    <n v="7150.01"/>
    <n v="-331.49"/>
  </r>
  <r>
    <x v="11"/>
    <x v="1"/>
    <x v="0"/>
    <s v="2625200"/>
    <n v="721980"/>
    <s v="Supplies-Other"/>
    <s v="Franciscan Pain Mgmt Clinic"/>
    <x v="0"/>
    <m/>
    <n v="0"/>
    <n v="0"/>
    <n v="0"/>
    <n v="0"/>
    <n v="0"/>
    <n v="0"/>
    <n v="386.44"/>
    <n v="0"/>
    <n v="0"/>
    <n v="0"/>
    <n v="0"/>
    <n v="0"/>
    <n v="386.44"/>
    <n v="0"/>
  </r>
  <r>
    <x v="0"/>
    <x v="1"/>
    <x v="0"/>
    <s v="2625200"/>
    <n v="740022"/>
    <s v="Education-Physician"/>
    <s v="Franciscan Pain Mgmt Clinic"/>
    <x v="0"/>
    <m/>
    <n v="0"/>
    <n v="0"/>
    <n v="0"/>
    <n v="579"/>
    <n v="675"/>
    <n v="0"/>
    <n v="0"/>
    <n v="0"/>
    <n v="2100"/>
    <n v="0"/>
    <n v="0"/>
    <n v="310"/>
    <n v="3664"/>
    <n v="-310"/>
  </r>
  <r>
    <x v="0"/>
    <x v="1"/>
    <x v="0"/>
    <s v="2625200"/>
    <n v="740023"/>
    <s v="Education-Advanced Practice Clinician"/>
    <s v="Franciscan Pain Mgmt Clinic"/>
    <x v="0"/>
    <m/>
    <n v="0"/>
    <n v="0"/>
    <n v="0"/>
    <n v="0"/>
    <n v="249"/>
    <n v="0"/>
    <n v="0"/>
    <n v="0"/>
    <n v="0"/>
    <n v="800"/>
    <n v="0"/>
    <n v="575"/>
    <n v="1624"/>
    <n v="-575"/>
  </r>
  <r>
    <x v="0"/>
    <x v="1"/>
    <x v="0"/>
    <s v="2625200"/>
    <n v="740023"/>
    <s v="Books-Advanced Practice Clinician"/>
    <s v="Franciscan Pain Mgmt Clinic"/>
    <x v="0"/>
    <n v="2000"/>
    <n v="0"/>
    <n v="0"/>
    <n v="0"/>
    <n v="0"/>
    <n v="0"/>
    <n v="0"/>
    <n v="0"/>
    <n v="0"/>
    <n v="0"/>
    <n v="30"/>
    <n v="0"/>
    <n v="0"/>
    <n v="30"/>
    <n v="0"/>
  </r>
  <r>
    <x v="8"/>
    <x v="1"/>
    <x v="0"/>
    <s v="2625200"/>
    <n v="741012"/>
    <s v="Physician Liab Insurance-CHI Program"/>
    <s v="Franciscan Pain Mgmt Clinic"/>
    <x v="0"/>
    <m/>
    <n v="1302.5899999999999"/>
    <n v="1302.5899999999999"/>
    <n v="1373.64"/>
    <n v="1373.64"/>
    <n v="1373.64"/>
    <n v="1373.62"/>
    <n v="1515.74"/>
    <n v="1373.62"/>
    <n v="1302.5899999999999"/>
    <n v="1302.57"/>
    <n v="1302.5899999999999"/>
    <n v="1302.57"/>
    <n v="16199.400000000001"/>
    <n v="1.999999999998181E-2"/>
  </r>
  <r>
    <x v="0"/>
    <x v="1"/>
    <x v="0"/>
    <s v="2625200"/>
    <n v="742040"/>
    <s v="Freight-Other"/>
    <s v="Franciscan Pain Mgmt Clinic"/>
    <x v="0"/>
    <m/>
    <n v="0"/>
    <n v="0"/>
    <n v="0"/>
    <n v="0"/>
    <n v="0"/>
    <n v="0"/>
    <n v="0"/>
    <n v="0"/>
    <n v="0"/>
    <n v="0"/>
    <n v="0"/>
    <n v="16.43"/>
    <n v="16.43"/>
    <n v="-16.43"/>
  </r>
  <r>
    <x v="0"/>
    <x v="1"/>
    <x v="0"/>
    <s v="2625200"/>
    <n v="743022"/>
    <s v="Dues-Physician"/>
    <s v="Franciscan Pain Mgmt Clinic"/>
    <x v="0"/>
    <m/>
    <n v="0"/>
    <n v="0"/>
    <n v="0"/>
    <n v="0"/>
    <n v="0"/>
    <n v="0"/>
    <n v="0"/>
    <n v="655"/>
    <n v="0"/>
    <n v="0"/>
    <n v="0"/>
    <n v="495"/>
    <n v="1150"/>
    <n v="-495"/>
  </r>
  <r>
    <x v="0"/>
    <x v="1"/>
    <x v="0"/>
    <s v="2625200"/>
    <n v="743023"/>
    <s v="Dues-Advanced Practice Clinician"/>
    <s v="Franciscan Pain Mgmt Clinic"/>
    <x v="0"/>
    <m/>
    <n v="0"/>
    <n v="0"/>
    <n v="0"/>
    <n v="0"/>
    <n v="150"/>
    <n v="0"/>
    <n v="0"/>
    <n v="0"/>
    <n v="79.95"/>
    <n v="148.25"/>
    <n v="0"/>
    <n v="0"/>
    <n v="378.2"/>
    <n v="0"/>
  </r>
  <r>
    <x v="0"/>
    <x v="1"/>
    <x v="0"/>
    <s v="2625200"/>
    <n v="743042"/>
    <s v="Subscriptions-Physician"/>
    <s v="Franciscan Pain Mgmt Clinic"/>
    <x v="0"/>
    <m/>
    <n v="0"/>
    <n v="0"/>
    <n v="0"/>
    <n v="0"/>
    <n v="0"/>
    <n v="0"/>
    <n v="0"/>
    <n v="0"/>
    <n v="0"/>
    <n v="0"/>
    <n v="0"/>
    <n v="36"/>
    <n v="36"/>
    <n v="-36"/>
  </r>
  <r>
    <x v="0"/>
    <x v="1"/>
    <x v="0"/>
    <s v="2625200"/>
    <n v="743043"/>
    <s v="Subscriptions-Advanced Practice Clinician"/>
    <s v="Franciscan Pain Mgmt Clinic"/>
    <x v="0"/>
    <m/>
    <n v="0"/>
    <n v="0"/>
    <n v="0"/>
    <n v="0"/>
    <n v="0"/>
    <n v="0"/>
    <n v="0"/>
    <n v="0"/>
    <n v="0"/>
    <n v="0"/>
    <n v="0"/>
    <n v="492.5"/>
    <n v="492.5"/>
    <n v="-492.5"/>
  </r>
  <r>
    <x v="0"/>
    <x v="1"/>
    <x v="0"/>
    <s v="2625200"/>
    <n v="749510"/>
    <s v="Miscellaneous Expenses"/>
    <s v="Franciscan Pain Mgmt Clinic"/>
    <x v="0"/>
    <m/>
    <n v="0"/>
    <n v="0"/>
    <n v="0"/>
    <n v="675"/>
    <n v="-675"/>
    <n v="0"/>
    <n v="35.200000000000003"/>
    <n v="-35.200000000000003"/>
    <n v="1139.08"/>
    <n v="-1132.08"/>
    <n v="-7"/>
    <n v="0"/>
    <n v="0"/>
    <n v="-7"/>
  </r>
  <r>
    <x v="0"/>
    <x v="1"/>
    <x v="0"/>
    <s v="2625200"/>
    <n v="749510"/>
    <s v="Licenses"/>
    <s v="Franciscan Pain Mgmt Clinic"/>
    <x v="0"/>
    <n v="1002"/>
    <n v="0"/>
    <n v="0"/>
    <n v="265"/>
    <n v="0"/>
    <n v="0"/>
    <n v="70"/>
    <n v="17.5"/>
    <n v="0"/>
    <n v="0"/>
    <n v="0"/>
    <n v="0"/>
    <n v="0"/>
    <n v="352.5"/>
    <n v="0"/>
  </r>
  <r>
    <x v="0"/>
    <x v="1"/>
    <x v="0"/>
    <s v="2625200"/>
    <n v="749512"/>
    <s v="Licenses-Physician"/>
    <s v="Franciscan Pain Mgmt Clinic"/>
    <x v="0"/>
    <n v="2000"/>
    <n v="0"/>
    <n v="0"/>
    <n v="0"/>
    <n v="441"/>
    <n v="0"/>
    <n v="0"/>
    <n v="0"/>
    <n v="0"/>
    <n v="0"/>
    <n v="0"/>
    <n v="0"/>
    <n v="0"/>
    <n v="441"/>
    <n v="0"/>
  </r>
  <r>
    <x v="0"/>
    <x v="1"/>
    <x v="0"/>
    <s v="2625200"/>
    <n v="749513"/>
    <s v="Licenses-Advanced Practice Clinician"/>
    <s v="Franciscan Pain Mgmt Clinic"/>
    <x v="0"/>
    <n v="2000"/>
    <n v="0"/>
    <n v="0"/>
    <n v="204.5"/>
    <n v="731"/>
    <n v="0"/>
    <n v="0"/>
    <n v="0"/>
    <n v="0"/>
    <n v="0"/>
    <n v="240"/>
    <n v="0"/>
    <n v="0"/>
    <n v="1175.5"/>
    <n v="0"/>
  </r>
  <r>
    <x v="0"/>
    <x v="1"/>
    <x v="0"/>
    <s v="2625200"/>
    <n v="749530"/>
    <s v="Travel"/>
    <s v="Franciscan Pain Mgmt Clinic"/>
    <x v="0"/>
    <m/>
    <n v="0"/>
    <n v="0"/>
    <n v="18"/>
    <n v="0"/>
    <n v="0"/>
    <n v="0"/>
    <n v="0"/>
    <n v="12"/>
    <n v="0"/>
    <n v="12"/>
    <n v="7"/>
    <n v="7"/>
    <n v="56"/>
    <n v="0"/>
  </r>
  <r>
    <x v="0"/>
    <x v="1"/>
    <x v="0"/>
    <s v="2625200"/>
    <n v="749530"/>
    <s v="Mileage"/>
    <s v="Franciscan Pain Mgmt Clinic"/>
    <x v="0"/>
    <n v="1001"/>
    <n v="0"/>
    <n v="0"/>
    <n v="52.32"/>
    <n v="0"/>
    <n v="0"/>
    <n v="0"/>
    <n v="0"/>
    <n v="23.2"/>
    <n v="0"/>
    <n v="48.72"/>
    <n v="0"/>
    <n v="0"/>
    <n v="124.24"/>
    <n v="0"/>
  </r>
  <r>
    <x v="0"/>
    <x v="1"/>
    <x v="0"/>
    <s v="2625200"/>
    <n v="749532"/>
    <s v="Travel-Physician"/>
    <s v="Franciscan Pain Mgmt Clinic"/>
    <x v="0"/>
    <m/>
    <n v="0"/>
    <n v="0"/>
    <n v="0"/>
    <n v="778.67"/>
    <n v="0"/>
    <n v="0"/>
    <n v="0"/>
    <n v="0"/>
    <n v="1793.43"/>
    <n v="0"/>
    <n v="0"/>
    <n v="0"/>
    <n v="2572.1"/>
    <n v="0"/>
  </r>
  <r>
    <x v="0"/>
    <x v="1"/>
    <x v="0"/>
    <s v="2625200"/>
    <n v="749533"/>
    <s v="Travel-Advanced Practice Clinician"/>
    <s v="Franciscan Pain Mgmt Clinic"/>
    <x v="0"/>
    <m/>
    <n v="0"/>
    <n v="0"/>
    <n v="1395.56"/>
    <n v="0"/>
    <n v="554.39"/>
    <n v="0"/>
    <n v="0"/>
    <n v="0"/>
    <n v="0"/>
    <n v="1139.08"/>
    <n v="0"/>
    <n v="0"/>
    <n v="3089.0299999999997"/>
    <n v="0"/>
  </r>
  <r>
    <x v="0"/>
    <x v="1"/>
    <x v="0"/>
    <s v="2625200"/>
    <n v="749550"/>
    <s v="Cash Over/Short"/>
    <s v="Franciscan Pain Mgmt Clinic"/>
    <x v="0"/>
    <m/>
    <n v="0"/>
    <n v="0"/>
    <n v="1"/>
    <n v="0"/>
    <n v="0"/>
    <n v="0"/>
    <n v="0"/>
    <n v="0"/>
    <n v="-1"/>
    <n v="0"/>
    <n v="0"/>
    <n v="0"/>
    <n v="0"/>
    <n v="0"/>
  </r>
  <r>
    <x v="9"/>
    <x v="1"/>
    <x v="0"/>
    <s v="2625200"/>
    <n v="800015"/>
    <s v="Interest Income-Ext to CHI"/>
    <s v="Franciscan Pain Mgmt Clinic"/>
    <x v="0"/>
    <m/>
    <n v="-61.04"/>
    <n v="-57.99"/>
    <n v="-105.75"/>
    <n v="-112.91"/>
    <n v="-103.76"/>
    <n v="-101.5"/>
    <n v="-95.8"/>
    <n v="-81.36"/>
    <n v="-84.38"/>
    <n v="-76.150000000000006"/>
    <n v="-72.98"/>
    <n v="-65.099999999999994"/>
    <n v="-1018.72"/>
    <n v="-7.8800000000000097"/>
  </r>
  <r>
    <x v="1"/>
    <x v="1"/>
    <x v="0"/>
    <s v="2626200"/>
    <n v="400029"/>
    <s v="MD Practice Other Rev--Medicare"/>
    <s v="Rheumatology-Burien-Rheum"/>
    <x v="0"/>
    <n v="1100"/>
    <n v="0"/>
    <n v="0"/>
    <n v="0"/>
    <n v="0"/>
    <n v="0"/>
    <n v="0"/>
    <n v="0"/>
    <n v="0"/>
    <n v="-246"/>
    <n v="0"/>
    <n v="0"/>
    <n v="0"/>
    <n v="-246"/>
    <n v="0"/>
  </r>
  <r>
    <x v="1"/>
    <x v="1"/>
    <x v="0"/>
    <s v="2626200"/>
    <n v="400029"/>
    <s v="MD Practice Other Rev--Managed Care"/>
    <s v="Rheumatology-Burien-Rheum"/>
    <x v="0"/>
    <n v="1400"/>
    <n v="0"/>
    <n v="0"/>
    <n v="0"/>
    <n v="0"/>
    <n v="0"/>
    <n v="-54"/>
    <n v="0"/>
    <n v="0"/>
    <n v="0"/>
    <n v="0"/>
    <n v="0"/>
    <n v="0"/>
    <n v="-54"/>
    <n v="0"/>
  </r>
  <r>
    <x v="1"/>
    <x v="1"/>
    <x v="0"/>
    <s v="2626200"/>
    <n v="400040"/>
    <s v="Physician Svcs Rev--Medicare"/>
    <s v="Rheumatology-Burien-Rheum"/>
    <x v="0"/>
    <n v="1100"/>
    <n v="-33367"/>
    <n v="-29325"/>
    <n v="-20115"/>
    <n v="-29661"/>
    <n v="-18014"/>
    <n v="-23437"/>
    <n v="-33005"/>
    <n v="-24527"/>
    <n v="-27829"/>
    <n v="-33548"/>
    <n v="-40653"/>
    <n v="-34839"/>
    <n v="-348320"/>
    <n v="-5814"/>
  </r>
  <r>
    <x v="1"/>
    <x v="1"/>
    <x v="0"/>
    <s v="2626200"/>
    <n v="400040"/>
    <s v="Physician Svcs Rev--Medicaid"/>
    <s v="Rheumatology-Burien-Rheum"/>
    <x v="0"/>
    <n v="1200"/>
    <n v="-19724"/>
    <n v="-14349"/>
    <n v="-14816"/>
    <n v="-20026"/>
    <n v="-9733"/>
    <n v="-19491"/>
    <n v="-20186"/>
    <n v="-13889"/>
    <n v="-14351"/>
    <n v="-18623"/>
    <n v="-18554"/>
    <n v="-15531"/>
    <n v="-199273"/>
    <n v="-3023"/>
  </r>
  <r>
    <x v="1"/>
    <x v="1"/>
    <x v="0"/>
    <s v="2626200"/>
    <n v="400040"/>
    <s v="Physician Svcs Rev--Comm Insurance"/>
    <s v="Rheumatology-Burien-Rheum"/>
    <x v="0"/>
    <n v="1300"/>
    <n v="-796"/>
    <n v="-1838"/>
    <n v="-1887"/>
    <n v="-3175"/>
    <n v="-3347"/>
    <n v="-295"/>
    <n v="-2677"/>
    <n v="-1291"/>
    <n v="-1384"/>
    <n v="-2751"/>
    <n v="-2925"/>
    <n v="-3590"/>
    <n v="-25956"/>
    <n v="665"/>
  </r>
  <r>
    <x v="1"/>
    <x v="1"/>
    <x v="0"/>
    <s v="2626200"/>
    <n v="400040"/>
    <s v="Physician Svcs Rev--BCBS Comm"/>
    <s v="Rheumatology-Burien-Rheum"/>
    <x v="0"/>
    <n v="1301"/>
    <n v="-5809"/>
    <n v="-6548"/>
    <n v="-3842"/>
    <n v="-6206"/>
    <n v="-3304"/>
    <n v="-5967"/>
    <n v="-5653"/>
    <n v="-4927"/>
    <n v="-5267"/>
    <n v="-8581"/>
    <n v="-4421"/>
    <n v="-6516"/>
    <n v="-67041"/>
    <n v="2095"/>
  </r>
  <r>
    <x v="1"/>
    <x v="1"/>
    <x v="0"/>
    <s v="2626200"/>
    <n v="400040"/>
    <s v="Physician Svcs Rev--Managed Care"/>
    <s v="Rheumatology-Burien-Rheum"/>
    <x v="0"/>
    <n v="1400"/>
    <n v="-25280"/>
    <n v="-22236"/>
    <n v="-15574"/>
    <n v="-20464"/>
    <n v="-10908"/>
    <n v="-14591"/>
    <n v="-23571"/>
    <n v="-14289"/>
    <n v="-13640"/>
    <n v="-16294"/>
    <n v="-19907"/>
    <n v="-18446"/>
    <n v="-215200"/>
    <n v="-1461"/>
  </r>
  <r>
    <x v="1"/>
    <x v="1"/>
    <x v="0"/>
    <s v="2626200"/>
    <n v="400040"/>
    <s v="Physician Svcs Rev--Self Pay"/>
    <s v="Rheumatology-Burien-Rheum"/>
    <x v="0"/>
    <n v="1500"/>
    <n v="-590"/>
    <n v="-590"/>
    <n v="-590"/>
    <n v="-590"/>
    <n v="-295"/>
    <n v="-1291"/>
    <n v="-1176"/>
    <n v="-501"/>
    <n v="-809"/>
    <n v="-925"/>
    <n v="-501"/>
    <n v="0"/>
    <n v="-7858"/>
    <n v="-501"/>
  </r>
  <r>
    <x v="1"/>
    <x v="1"/>
    <x v="0"/>
    <s v="2626200"/>
    <n v="400040"/>
    <s v="Physician Svcs Rev--Other"/>
    <s v="Rheumatology-Burien-Rheum"/>
    <x v="0"/>
    <n v="1700"/>
    <n v="-2132"/>
    <n v="-452"/>
    <n v="-1042"/>
    <n v="-432"/>
    <n v="-295"/>
    <n v="-158"/>
    <n v="-590"/>
    <n v="-295"/>
    <n v="-1283"/>
    <n v="-295"/>
    <n v="-1042"/>
    <n v="-1042"/>
    <n v="-9058"/>
    <n v="0"/>
  </r>
  <r>
    <x v="2"/>
    <x v="1"/>
    <x v="0"/>
    <s v="2626200"/>
    <n v="450029"/>
    <s v="Contr Allow--MD Other-Medicare"/>
    <s v="Rheumatology-Burien-Rheum"/>
    <x v="0"/>
    <n v="1100"/>
    <n v="0"/>
    <n v="0"/>
    <n v="0"/>
    <n v="0"/>
    <n v="0"/>
    <n v="0"/>
    <n v="0"/>
    <n v="0"/>
    <n v="0"/>
    <n v="138.54"/>
    <n v="0"/>
    <n v="0"/>
    <n v="138.54"/>
    <n v="0"/>
  </r>
  <r>
    <x v="2"/>
    <x v="1"/>
    <x v="0"/>
    <s v="2626200"/>
    <n v="450029"/>
    <s v="Contr Allow--MD Other-Managed Care"/>
    <s v="Rheumatology-Burien-Rheum"/>
    <x v="0"/>
    <n v="1400"/>
    <n v="0"/>
    <n v="0"/>
    <n v="0"/>
    <n v="0"/>
    <n v="0"/>
    <n v="11.67"/>
    <n v="0"/>
    <n v="0"/>
    <n v="0"/>
    <n v="0"/>
    <n v="0"/>
    <n v="0"/>
    <n v="11.67"/>
    <n v="0"/>
  </r>
  <r>
    <x v="2"/>
    <x v="1"/>
    <x v="0"/>
    <s v="2626200"/>
    <n v="450040"/>
    <s v="Contr Allow--Phys Svcs--Mcare"/>
    <s v="Rheumatology-Burien-Rheum"/>
    <x v="0"/>
    <n v="1100"/>
    <n v="20307.990000000002"/>
    <n v="15561.6"/>
    <n v="14979.51"/>
    <n v="20590.509999999998"/>
    <n v="13238.71"/>
    <n v="10733.48"/>
    <n v="19890.7"/>
    <n v="14271.97"/>
    <n v="15167.49"/>
    <n v="18286.27"/>
    <n v="23602.32"/>
    <n v="22757.7"/>
    <n v="209388.25"/>
    <n v="844.61999999999898"/>
  </r>
  <r>
    <x v="2"/>
    <x v="1"/>
    <x v="0"/>
    <s v="2626200"/>
    <n v="450040"/>
    <s v="Contr Allow--Phys Svcs--Mcaid"/>
    <s v="Rheumatology-Burien-Rheum"/>
    <x v="0"/>
    <n v="1200"/>
    <n v="12762.61"/>
    <n v="19487.48"/>
    <n v="9074.35"/>
    <n v="16175.06"/>
    <n v="9492.6"/>
    <n v="12494.73"/>
    <n v="16041.63"/>
    <n v="10391.57"/>
    <n v="10575.34"/>
    <n v="12611.88"/>
    <n v="15329.6"/>
    <n v="12361.78"/>
    <n v="156798.63"/>
    <n v="2967.8199999999997"/>
  </r>
  <r>
    <x v="2"/>
    <x v="1"/>
    <x v="0"/>
    <s v="2626200"/>
    <n v="450040"/>
    <s v="Contr Allow--Phys Svcs--Comm Insurance"/>
    <s v="Rheumatology-Burien-Rheum"/>
    <x v="0"/>
    <n v="1300"/>
    <n v="224.81"/>
    <n v="1158.2"/>
    <n v="533.02"/>
    <n v="330.36"/>
    <n v="1195.31"/>
    <n v="698.84"/>
    <n v="65.05"/>
    <n v="644.84"/>
    <n v="276.58"/>
    <n v="1054.5999999999999"/>
    <n v="676.9"/>
    <n v="987.86"/>
    <n v="7846.37"/>
    <n v="-310.96000000000004"/>
  </r>
  <r>
    <x v="2"/>
    <x v="1"/>
    <x v="0"/>
    <s v="2626200"/>
    <n v="450040"/>
    <s v="Contr Allow--Phys Svcs--BCBS Comm Ins"/>
    <s v="Rheumatology-Burien-Rheum"/>
    <x v="0"/>
    <n v="1301"/>
    <n v="1763.08"/>
    <n v="2096.58"/>
    <n v="1207.05"/>
    <n v="1363.56"/>
    <n v="1315"/>
    <n v="1243.46"/>
    <n v="1354.54"/>
    <n v="1211.46"/>
    <n v="1571.37"/>
    <n v="1402.68"/>
    <n v="1761.58"/>
    <n v="1329.03"/>
    <n v="17619.39"/>
    <n v="432.54999999999995"/>
  </r>
  <r>
    <x v="2"/>
    <x v="1"/>
    <x v="0"/>
    <s v="2626200"/>
    <n v="450040"/>
    <s v="Contr Allow--Phys Svcs--Managed Care"/>
    <s v="Rheumatology-Burien-Rheum"/>
    <x v="0"/>
    <n v="1400"/>
    <n v="5991.31"/>
    <n v="7381.99"/>
    <n v="6210.17"/>
    <n v="5643.01"/>
    <n v="3903.57"/>
    <n v="5296.9"/>
    <n v="5352.83"/>
    <n v="5168.88"/>
    <n v="5196.54"/>
    <n v="5245.51"/>
    <n v="7490.11"/>
    <n v="5012.7700000000004"/>
    <n v="67893.590000000011"/>
    <n v="2477.3399999999992"/>
  </r>
  <r>
    <x v="2"/>
    <x v="1"/>
    <x v="0"/>
    <s v="2626200"/>
    <n v="450040"/>
    <s v="Contr Allow--Phys Svcs--BCBS Mgnd Care"/>
    <s v="Rheumatology-Burien-Rheum"/>
    <x v="0"/>
    <n v="1401"/>
    <n v="5001.79"/>
    <n v="-5431.9"/>
    <n v="-2798.65"/>
    <n v="997.43"/>
    <n v="-7114.05"/>
    <n v="4133.33"/>
    <n v="6257.96"/>
    <n v="864.36"/>
    <n v="1584.8"/>
    <n v="2795.42"/>
    <n v="176.79"/>
    <n v="829.08"/>
    <n v="7296.3599999999988"/>
    <n v="-652.29000000000008"/>
  </r>
  <r>
    <x v="2"/>
    <x v="1"/>
    <x v="0"/>
    <s v="2626200"/>
    <n v="450040"/>
    <s v="Admin Adjust-Phys Svcs-Self Pay"/>
    <s v="Rheumatology-Burien-Rheum"/>
    <x v="0"/>
    <n v="1600"/>
    <n v="382.44"/>
    <n v="124.89"/>
    <n v="230.01"/>
    <n v="224.58"/>
    <n v="171.52"/>
    <n v="622.46"/>
    <n v="472.96"/>
    <n v="185.37"/>
    <n v="299.69"/>
    <n v="561.85"/>
    <n v="211.92"/>
    <n v="2.08"/>
    <n v="3489.77"/>
    <n v="209.83999999999997"/>
  </r>
  <r>
    <x v="2"/>
    <x v="1"/>
    <x v="0"/>
    <s v="2626200"/>
    <n v="450040"/>
    <s v="Contr Allow--Phys Svcs--Other"/>
    <s v="Rheumatology-Burien-Rheum"/>
    <x v="0"/>
    <n v="1700"/>
    <n v="624.83000000000004"/>
    <n v="729.87"/>
    <n v="449.05"/>
    <n v="0"/>
    <n v="176.78"/>
    <n v="0"/>
    <n v="493.87"/>
    <n v="571.82000000000005"/>
    <n v="0"/>
    <n v="492.38"/>
    <n v="605.95000000000005"/>
    <n v="596.45000000000005"/>
    <n v="4741"/>
    <n v="9.5"/>
  </r>
  <r>
    <x v="3"/>
    <x v="1"/>
    <x v="0"/>
    <s v="2626200"/>
    <n v="470040"/>
    <s v="Charity Care-Physician Svcs"/>
    <s v="Rheumatology-Burien-Rheum"/>
    <x v="0"/>
    <m/>
    <n v="102.61"/>
    <n v="322.75"/>
    <n v="1289.92"/>
    <n v="698.19"/>
    <n v="256.45"/>
    <n v="110.06"/>
    <n v="385.33"/>
    <n v="52.7"/>
    <n v="241.04"/>
    <n v="623.6"/>
    <n v="-78.760000000000005"/>
    <n v="989.18"/>
    <n v="4993.07"/>
    <n v="-1067.94"/>
  </r>
  <r>
    <x v="4"/>
    <x v="1"/>
    <x v="0"/>
    <s v="2626200"/>
    <n v="490010"/>
    <s v="Provision for Bad Debts"/>
    <s v="Rheumatology-Burien-Rheum"/>
    <x v="0"/>
    <m/>
    <n v="1569.06"/>
    <n v="-299.92"/>
    <n v="-16.09"/>
    <n v="24.49"/>
    <n v="380.76"/>
    <n v="-10.82"/>
    <n v="154.75"/>
    <n v="25.3"/>
    <n v="1148.3399999999999"/>
    <n v="953.05"/>
    <n v="279.98"/>
    <n v="1013.11"/>
    <n v="5222.0099999999993"/>
    <n v="-733.13"/>
  </r>
  <r>
    <x v="5"/>
    <x v="1"/>
    <x v="0"/>
    <s v="2626200"/>
    <n v="700022"/>
    <s v="Salaries-Physician-Productive"/>
    <s v="Rheumatology-Burien-Rheum"/>
    <x v="0"/>
    <m/>
    <n v="25384.61"/>
    <n v="26538.46"/>
    <n v="18461.560000000001"/>
    <n v="21230.79"/>
    <n v="20307.72"/>
    <n v="19384.63"/>
    <n v="21263.29"/>
    <n v="21955.25"/>
    <n v="19413.080000000002"/>
    <n v="20337.490000000002"/>
    <n v="21047.75"/>
    <n v="18240.02"/>
    <n v="253564.65"/>
    <n v="2807.7299999999996"/>
  </r>
  <r>
    <x v="5"/>
    <x v="1"/>
    <x v="0"/>
    <s v="2626200"/>
    <n v="700022"/>
    <s v="Salaries-Physician-Provider Incentive"/>
    <s v="Rheumatology-Burien-Rheum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626200"/>
    <n v="700026"/>
    <s v="Salaries-RN-Productive"/>
    <s v="Rheumatology-Burien-Rheum"/>
    <x v="0"/>
    <m/>
    <n v="5134.17"/>
    <n v="4703.25"/>
    <n v="2798.64"/>
    <n v="4410.5200000000004"/>
    <n v="4176.3999999999996"/>
    <n v="3668.14"/>
    <n v="4841.74"/>
    <n v="3541.72"/>
    <n v="3769.81"/>
    <n v="4270.91"/>
    <n v="4027.06"/>
    <n v="3590.35"/>
    <n v="48932.71"/>
    <n v="436.71000000000004"/>
  </r>
  <r>
    <x v="5"/>
    <x v="1"/>
    <x v="0"/>
    <s v="2626200"/>
    <n v="700026"/>
    <s v="Salaries-RN-OT"/>
    <s v="Rheumatology-Burien-Rheum"/>
    <x v="0"/>
    <n v="1000"/>
    <n v="326.64"/>
    <n v="127.66"/>
    <n v="287.52999999999997"/>
    <n v="1117.8699999999999"/>
    <n v="4.7300000000000004"/>
    <n v="1067.3399999999999"/>
    <n v="1090.25"/>
    <n v="201.24"/>
    <n v="113.65"/>
    <n v="248.58"/>
    <n v="177.63"/>
    <n v="142.01"/>
    <n v="4905.1299999999992"/>
    <n v="35.620000000000005"/>
  </r>
  <r>
    <x v="5"/>
    <x v="1"/>
    <x v="0"/>
    <s v="2626200"/>
    <n v="700026"/>
    <s v="Salaries-RN-Other"/>
    <s v="Rheumatology-Burien-Rheum"/>
    <x v="0"/>
    <n v="2000"/>
    <n v="0"/>
    <n v="0"/>
    <n v="0"/>
    <n v="0"/>
    <n v="0"/>
    <n v="0"/>
    <n v="0"/>
    <n v="0"/>
    <n v="0"/>
    <n v="0"/>
    <n v="12.52"/>
    <n v="-3.76"/>
    <n v="8.76"/>
    <n v="16.28"/>
  </r>
  <r>
    <x v="5"/>
    <x v="1"/>
    <x v="0"/>
    <s v="2626200"/>
    <n v="700030"/>
    <s v="Salaries-LPN-Productive"/>
    <s v="Rheumatology-Burien-Rheum"/>
    <x v="0"/>
    <m/>
    <n v="154.9"/>
    <n v="-25.81"/>
    <n v="0"/>
    <n v="0"/>
    <n v="0"/>
    <n v="0"/>
    <n v="0"/>
    <n v="0"/>
    <n v="191.56"/>
    <n v="-63.85"/>
    <n v="0"/>
    <n v="0"/>
    <n v="256.79999999999995"/>
    <n v="0"/>
  </r>
  <r>
    <x v="5"/>
    <x v="1"/>
    <x v="0"/>
    <s v="2626200"/>
    <n v="700032"/>
    <s v="Salaries-Other Pat Care Providers-Productive"/>
    <s v="Rheumatology-Burien-Rheum"/>
    <x v="0"/>
    <m/>
    <n v="0"/>
    <n v="933.99"/>
    <n v="454.15"/>
    <n v="0"/>
    <n v="0"/>
    <n v="0"/>
    <n v="0"/>
    <n v="0"/>
    <n v="0"/>
    <n v="0"/>
    <n v="0"/>
    <n v="0"/>
    <n v="1388.1399999999999"/>
    <n v="0"/>
  </r>
  <r>
    <x v="5"/>
    <x v="1"/>
    <x v="0"/>
    <s v="2626200"/>
    <n v="700032"/>
    <s v="Salaries-Other Pat Care Providers-OT"/>
    <s v="Rheumatology-Burien-Rheum"/>
    <x v="0"/>
    <n v="1000"/>
    <n v="0"/>
    <n v="0"/>
    <n v="515.03"/>
    <n v="0"/>
    <n v="0"/>
    <n v="0"/>
    <n v="0"/>
    <n v="0"/>
    <n v="0"/>
    <n v="0"/>
    <n v="0"/>
    <n v="0"/>
    <n v="515.03"/>
    <n v="0"/>
  </r>
  <r>
    <x v="5"/>
    <x v="1"/>
    <x v="0"/>
    <s v="2626200"/>
    <n v="700066"/>
    <s v="Salaries-RN-Non-productive"/>
    <s v="Rheumatology-Burien-Rheum"/>
    <x v="0"/>
    <m/>
    <n v="245.36"/>
    <n v="1863.2"/>
    <n v="904.76"/>
    <n v="-15.33"/>
    <n v="78.8"/>
    <n v="689.5"/>
    <n v="217.07"/>
    <n v="691.29"/>
    <n v="251.75"/>
    <n v="-5.54"/>
    <n v="1011.72"/>
    <n v="102.57"/>
    <n v="6035.15"/>
    <n v="909.15000000000009"/>
  </r>
  <r>
    <x v="5"/>
    <x v="1"/>
    <x v="0"/>
    <s v="2626200"/>
    <n v="700066"/>
    <s v="Salaries-RN-NonProd-Other"/>
    <s v="Rheumatology-Burien-Rheum"/>
    <x v="0"/>
    <n v="2000"/>
    <n v="49.08"/>
    <n v="-3.06"/>
    <n v="0"/>
    <n v="43.7"/>
    <n v="-12.6"/>
    <n v="0"/>
    <n v="0"/>
    <n v="0"/>
    <n v="0"/>
    <n v="0"/>
    <n v="0"/>
    <n v="0"/>
    <n v="77.12"/>
    <n v="0"/>
  </r>
  <r>
    <x v="5"/>
    <x v="1"/>
    <x v="0"/>
    <s v="2626200"/>
    <n v="700084"/>
    <s v="Accrued PTO"/>
    <s v="Rheumatology-Burien-Rheum"/>
    <x v="0"/>
    <m/>
    <n v="278.17"/>
    <n v="-790.36"/>
    <n v="-1017.94"/>
    <n v="546.23"/>
    <n v="444.43"/>
    <n v="-246.17"/>
    <n v="274.54000000000002"/>
    <n v="-161.07"/>
    <n v="359.01"/>
    <n v="449.16"/>
    <n v="-126.71"/>
    <n v="175.57"/>
    <n v="184.86000000000007"/>
    <n v="-302.27999999999997"/>
  </r>
  <r>
    <x v="6"/>
    <x v="1"/>
    <x v="0"/>
    <s v="2626200"/>
    <n v="713010"/>
    <s v="Benefits-FICA/Medicare"/>
    <s v="Rheumatology-Burien-Rheum"/>
    <x v="0"/>
    <m/>
    <n v="805.3"/>
    <n v="934.6"/>
    <n v="628.49"/>
    <n v="710.96"/>
    <n v="599.4"/>
    <n v="1293.6500000000001"/>
    <n v="2044.9"/>
    <n v="1970.06"/>
    <n v="1771.28"/>
    <n v="1849.48"/>
    <n v="1958.72"/>
    <n v="321.26"/>
    <n v="14888.1"/>
    <n v="1637.46"/>
  </r>
  <r>
    <x v="6"/>
    <x v="1"/>
    <x v="0"/>
    <s v="2626200"/>
    <n v="713090"/>
    <s v="Benefits-Allocated Amounts"/>
    <s v="Rheumatology-Burien-Rheum"/>
    <x v="0"/>
    <m/>
    <n v="0"/>
    <n v="0"/>
    <n v="0"/>
    <n v="0"/>
    <n v="0"/>
    <n v="0"/>
    <n v="0"/>
    <n v="0"/>
    <n v="13950.32"/>
    <n v="1470.19"/>
    <n v="1450.54"/>
    <n v="1376.07"/>
    <n v="18247.12"/>
    <n v="74.470000000000027"/>
  </r>
  <r>
    <x v="6"/>
    <x v="1"/>
    <x v="0"/>
    <s v="2626200"/>
    <n v="713092"/>
    <s v="Allocated Benefits-Physician"/>
    <s v="Rheumatology-Burien-Rheum"/>
    <x v="0"/>
    <m/>
    <n v="3195.02"/>
    <n v="3172.21"/>
    <n v="2718.72"/>
    <n v="2438.85"/>
    <n v="2447.98"/>
    <n v="2475.48"/>
    <n v="3358.05"/>
    <n v="3172.24"/>
    <n v="-11081.29"/>
    <n v="1253.81"/>
    <n v="1237.08"/>
    <n v="1173.55"/>
    <n v="15561.699999999993"/>
    <n v="63.529999999999973"/>
  </r>
  <r>
    <x v="6"/>
    <x v="1"/>
    <x v="0"/>
    <s v="2626200"/>
    <n v="713096"/>
    <s v="Employee Recognition"/>
    <s v="Rheumatology-Burien-Rheum"/>
    <x v="0"/>
    <n v="1017"/>
    <n v="0"/>
    <n v="0"/>
    <n v="0"/>
    <n v="0"/>
    <n v="0"/>
    <n v="0"/>
    <n v="0"/>
    <n v="0"/>
    <n v="0"/>
    <n v="496.65"/>
    <n v="0"/>
    <n v="0"/>
    <n v="496.65"/>
    <n v="0"/>
  </r>
  <r>
    <x v="7"/>
    <x v="1"/>
    <x v="0"/>
    <s v="2626200"/>
    <n v="718050"/>
    <s v="Contract Management--Linen"/>
    <s v="Rheumatology-Burien-Rheum"/>
    <x v="0"/>
    <n v="1026"/>
    <n v="276.5"/>
    <n v="79"/>
    <n v="0"/>
    <n v="0"/>
    <n v="0"/>
    <n v="39.5"/>
    <n v="0"/>
    <n v="0"/>
    <n v="0"/>
    <n v="0"/>
    <n v="0"/>
    <n v="0"/>
    <n v="395"/>
    <n v="0"/>
  </r>
  <r>
    <x v="7"/>
    <x v="1"/>
    <x v="0"/>
    <s v="2626200"/>
    <n v="718050"/>
    <s v="Purchased Srvcs--Medical Waste"/>
    <s v="Rheumatology-Burien-Rheum"/>
    <x v="0"/>
    <n v="1027"/>
    <n v="34.81"/>
    <n v="0"/>
    <n v="0"/>
    <n v="0"/>
    <n v="0"/>
    <n v="0"/>
    <n v="0"/>
    <n v="0"/>
    <n v="0"/>
    <n v="0"/>
    <n v="0"/>
    <n v="0"/>
    <n v="34.81"/>
    <n v="0"/>
  </r>
  <r>
    <x v="11"/>
    <x v="1"/>
    <x v="0"/>
    <s v="2626200"/>
    <n v="721410"/>
    <s v="Supplies-Medical - Nonbillable"/>
    <s v="Rheumatology-Burien-Rheum"/>
    <x v="0"/>
    <m/>
    <n v="49.98"/>
    <n v="155.94999999999999"/>
    <n v="2591.15"/>
    <n v="0"/>
    <n v="122.39"/>
    <n v="106.63"/>
    <n v="108.62"/>
    <n v="92.64"/>
    <n v="183.07"/>
    <n v="0"/>
    <n v="75.19"/>
    <n v="84.54"/>
    <n v="3570.16"/>
    <n v="-9.3500000000000085"/>
  </r>
  <r>
    <x v="0"/>
    <x v="1"/>
    <x v="0"/>
    <s v="2626200"/>
    <n v="740020"/>
    <s v="Education-Registration Fees"/>
    <s v="Rheumatology-Burien-Rheum"/>
    <x v="0"/>
    <m/>
    <n v="0"/>
    <n v="0"/>
    <n v="0"/>
    <n v="0"/>
    <n v="0"/>
    <n v="0"/>
    <n v="0"/>
    <n v="0"/>
    <n v="45"/>
    <n v="0"/>
    <n v="0"/>
    <n v="0"/>
    <n v="45"/>
    <n v="0"/>
  </r>
  <r>
    <x v="0"/>
    <x v="1"/>
    <x v="0"/>
    <s v="2626200"/>
    <n v="740022"/>
    <s v="Education-Physician"/>
    <s v="Rheumatology-Burien-Rheum"/>
    <x v="0"/>
    <m/>
    <n v="0"/>
    <n v="0"/>
    <n v="0"/>
    <n v="0"/>
    <n v="0"/>
    <n v="0"/>
    <n v="0"/>
    <n v="0"/>
    <n v="0"/>
    <n v="1195"/>
    <n v="0"/>
    <n v="0"/>
    <n v="1195"/>
    <n v="0"/>
  </r>
  <r>
    <x v="8"/>
    <x v="1"/>
    <x v="0"/>
    <s v="2626200"/>
    <n v="741012"/>
    <s v="Physician Liab Insurance-CHI Program"/>
    <s v="Rheumatology-Burien-Rheum"/>
    <x v="0"/>
    <m/>
    <n v="473.67"/>
    <n v="473.67"/>
    <n v="473.67"/>
    <n v="473.67"/>
    <n v="473.67"/>
    <n v="473.66"/>
    <n v="473.67"/>
    <n v="473.66"/>
    <n v="473.67"/>
    <n v="473.66"/>
    <n v="473.67"/>
    <n v="473.66"/>
    <n v="5683.9999999999991"/>
    <n v="9.9999999999909051E-3"/>
  </r>
  <r>
    <x v="0"/>
    <x v="1"/>
    <x v="0"/>
    <s v="2626200"/>
    <n v="743022"/>
    <s v="Dues-Physician"/>
    <s v="Rheumatology-Burien-Rheum"/>
    <x v="0"/>
    <m/>
    <n v="0"/>
    <n v="0"/>
    <n v="0"/>
    <n v="0"/>
    <n v="0"/>
    <n v="0"/>
    <n v="0"/>
    <n v="0"/>
    <n v="300"/>
    <n v="0"/>
    <n v="0"/>
    <n v="0"/>
    <n v="300"/>
    <n v="0"/>
  </r>
  <r>
    <x v="0"/>
    <x v="1"/>
    <x v="0"/>
    <s v="2626200"/>
    <n v="743042"/>
    <s v="Subscriptions-Physician"/>
    <s v="Rheumatology-Burien-Rheum"/>
    <x v="0"/>
    <m/>
    <n v="0"/>
    <n v="0"/>
    <n v="0"/>
    <n v="0"/>
    <n v="0"/>
    <n v="0"/>
    <n v="0"/>
    <n v="415"/>
    <n v="0"/>
    <n v="0"/>
    <n v="0"/>
    <n v="0"/>
    <n v="415"/>
    <n v="0"/>
  </r>
  <r>
    <x v="0"/>
    <x v="1"/>
    <x v="0"/>
    <s v="2626200"/>
    <n v="749510"/>
    <s v="Miscellaneous Expenses"/>
    <s v="Rheumatology-Burien-Rheum"/>
    <x v="0"/>
    <m/>
    <n v="0"/>
    <n v="0"/>
    <n v="0"/>
    <n v="0"/>
    <n v="0"/>
    <n v="0"/>
    <n v="0"/>
    <n v="0"/>
    <n v="0"/>
    <n v="0"/>
    <n v="0"/>
    <n v="38.86"/>
    <n v="38.86"/>
    <n v="-38.86"/>
  </r>
  <r>
    <x v="0"/>
    <x v="1"/>
    <x v="0"/>
    <s v="2626200"/>
    <n v="749512"/>
    <s v="Licenses-Physician"/>
    <s v="Rheumatology-Burien-Rheum"/>
    <x v="0"/>
    <n v="2000"/>
    <n v="0"/>
    <n v="0"/>
    <n v="0"/>
    <n v="0"/>
    <n v="0"/>
    <n v="0"/>
    <n v="0"/>
    <n v="0"/>
    <n v="659.5"/>
    <n v="0"/>
    <n v="0"/>
    <n v="0"/>
    <n v="659.5"/>
    <n v="0"/>
  </r>
  <r>
    <x v="0"/>
    <x v="1"/>
    <x v="0"/>
    <s v="2626200"/>
    <n v="749530"/>
    <s v="Mileage"/>
    <s v="Rheumatology-Burien-Rheum"/>
    <x v="0"/>
    <n v="1001"/>
    <n v="0"/>
    <n v="0"/>
    <n v="0"/>
    <n v="0"/>
    <n v="354.3"/>
    <n v="241.47"/>
    <n v="0"/>
    <n v="150.80000000000001"/>
    <n v="0"/>
    <n v="0"/>
    <n v="0"/>
    <n v="0"/>
    <n v="746.56999999999994"/>
    <n v="0"/>
  </r>
  <r>
    <x v="0"/>
    <x v="1"/>
    <x v="0"/>
    <s v="2626200"/>
    <n v="749532"/>
    <s v="Travel-Physician"/>
    <s v="Rheumatology-Burien-Rheum"/>
    <x v="0"/>
    <m/>
    <n v="0"/>
    <n v="0"/>
    <n v="0"/>
    <n v="0"/>
    <n v="0"/>
    <n v="0"/>
    <n v="0"/>
    <n v="0"/>
    <n v="0"/>
    <n v="1308.3499999999999"/>
    <n v="0"/>
    <n v="0"/>
    <n v="1308.3499999999999"/>
    <n v="0"/>
  </r>
  <r>
    <x v="1"/>
    <x v="1"/>
    <x v="0"/>
    <s v="2627200"/>
    <n v="400040"/>
    <s v="Physician Svcs Rev--Medicare"/>
    <s v="Plastic Surgery-PR-Dermatology"/>
    <x v="0"/>
    <n v="1100"/>
    <n v="-23288"/>
    <n v="-13154"/>
    <n v="-28363"/>
    <n v="-19115"/>
    <n v="-17858"/>
    <n v="-20073"/>
    <n v="-14376"/>
    <n v="-7857"/>
    <n v="-10282"/>
    <n v="-77"/>
    <n v="-587"/>
    <n v="0"/>
    <n v="-155030"/>
    <n v="-587"/>
  </r>
  <r>
    <x v="1"/>
    <x v="1"/>
    <x v="0"/>
    <s v="2627200"/>
    <n v="400040"/>
    <s v="Physician Svcs Rev--Medicaid"/>
    <s v="Plastic Surgery-PR-Dermatology"/>
    <x v="0"/>
    <n v="1200"/>
    <n v="-14149"/>
    <n v="-17933"/>
    <n v="-23044"/>
    <n v="-23793"/>
    <n v="-21549"/>
    <n v="-21585"/>
    <n v="-22539"/>
    <n v="-13114"/>
    <n v="-17081"/>
    <n v="-4435"/>
    <n v="205"/>
    <n v="0"/>
    <n v="-179017"/>
    <n v="205"/>
  </r>
  <r>
    <x v="1"/>
    <x v="1"/>
    <x v="0"/>
    <s v="2627200"/>
    <n v="400040"/>
    <s v="Physician Svcs Rev--Comm Insurance"/>
    <s v="Plastic Surgery-PR-Dermatology"/>
    <x v="0"/>
    <n v="1300"/>
    <n v="-5676"/>
    <n v="-6687"/>
    <n v="-6249"/>
    <n v="-7606"/>
    <n v="-4429"/>
    <n v="-2713"/>
    <n v="-10217"/>
    <n v="-2591"/>
    <n v="-4024"/>
    <n v="-200"/>
    <n v="587"/>
    <n v="0"/>
    <n v="-49805"/>
    <n v="587"/>
  </r>
  <r>
    <x v="1"/>
    <x v="1"/>
    <x v="0"/>
    <s v="2627200"/>
    <n v="400040"/>
    <s v="Physician Svcs Rev--BCBS Comm"/>
    <s v="Plastic Surgery-PR-Dermatology"/>
    <x v="0"/>
    <n v="1301"/>
    <n v="-701"/>
    <n v="-5257"/>
    <n v="-2470"/>
    <n v="-6460"/>
    <n v="-4731"/>
    <n v="-5098"/>
    <n v="-4909"/>
    <n v="-1890"/>
    <n v="-2067"/>
    <n v="-200"/>
    <n v="-205"/>
    <n v="0"/>
    <n v="-33988"/>
    <n v="-205"/>
  </r>
  <r>
    <x v="1"/>
    <x v="1"/>
    <x v="0"/>
    <s v="2627200"/>
    <n v="400040"/>
    <s v="Physician Svcs Rev--Managed Care"/>
    <s v="Plastic Surgery-PR-Dermatology"/>
    <x v="0"/>
    <n v="1400"/>
    <n v="-9262"/>
    <n v="-11306"/>
    <n v="-19189"/>
    <n v="-21349"/>
    <n v="-8604"/>
    <n v="-21210"/>
    <n v="-15472"/>
    <n v="-13064"/>
    <n v="-9377"/>
    <n v="-1129"/>
    <n v="0"/>
    <n v="0"/>
    <n v="-129962"/>
    <n v="0"/>
  </r>
  <r>
    <x v="1"/>
    <x v="1"/>
    <x v="0"/>
    <s v="2627200"/>
    <n v="400040"/>
    <s v="Physician Svcs Rev--Self Pay"/>
    <s v="Plastic Surgery-PR-Dermatology"/>
    <x v="0"/>
    <n v="1500"/>
    <n v="-406"/>
    <n v="-296"/>
    <n v="0"/>
    <n v="0"/>
    <n v="0"/>
    <n v="-200"/>
    <n v="200"/>
    <n v="0"/>
    <n v="-162"/>
    <n v="0"/>
    <n v="-1092"/>
    <n v="0"/>
    <n v="-1956"/>
    <n v="-1092"/>
  </r>
  <r>
    <x v="1"/>
    <x v="1"/>
    <x v="0"/>
    <s v="2627200"/>
    <n v="400040"/>
    <s v="Physician Svcs Rev--Other"/>
    <s v="Plastic Surgery-PR-Dermatology"/>
    <x v="0"/>
    <n v="1700"/>
    <n v="-691"/>
    <n v="-1368"/>
    <n v="0"/>
    <n v="-4650"/>
    <n v="-1918"/>
    <n v="-1376"/>
    <n v="-616"/>
    <n v="-1307"/>
    <n v="-1060"/>
    <n v="0"/>
    <n v="0"/>
    <n v="0"/>
    <n v="-12986"/>
    <n v="0"/>
  </r>
  <r>
    <x v="2"/>
    <x v="1"/>
    <x v="0"/>
    <s v="2627200"/>
    <n v="450040"/>
    <s v="Contr Allow--Phys Svcs--Mcare"/>
    <s v="Plastic Surgery-PR-Dermatology"/>
    <x v="0"/>
    <n v="1100"/>
    <n v="18533.53"/>
    <n v="8413.27"/>
    <n v="17242.59"/>
    <n v="16022.12"/>
    <n v="8352.02"/>
    <n v="15288.18"/>
    <n v="10205.85"/>
    <n v="6849.72"/>
    <n v="6935.26"/>
    <n v="3002.42"/>
    <n v="372.2"/>
    <n v="491.1"/>
    <n v="111708.26"/>
    <n v="-118.90000000000003"/>
  </r>
  <r>
    <x v="2"/>
    <x v="1"/>
    <x v="0"/>
    <s v="2627200"/>
    <n v="450040"/>
    <s v="Contr Allow--Phys Svcs--Mcaid"/>
    <s v="Plastic Surgery-PR-Dermatology"/>
    <x v="0"/>
    <n v="1200"/>
    <n v="18059.2"/>
    <n v="14702.33"/>
    <n v="12161.62"/>
    <n v="20133.73"/>
    <n v="16764.91"/>
    <n v="18265.86"/>
    <n v="13248.22"/>
    <n v="13374.57"/>
    <n v="14744.67"/>
    <n v="9175.6200000000008"/>
    <n v="222.31"/>
    <n v="43.42"/>
    <n v="150896.46000000002"/>
    <n v="178.89"/>
  </r>
  <r>
    <x v="2"/>
    <x v="1"/>
    <x v="0"/>
    <s v="2627200"/>
    <n v="450040"/>
    <s v="Contr Allow--Phys Svcs--Comm Insurance"/>
    <s v="Plastic Surgery-PR-Dermatology"/>
    <x v="0"/>
    <n v="1300"/>
    <n v="1325.72"/>
    <n v="2007.51"/>
    <n v="2497.2399999999998"/>
    <n v="3886.7"/>
    <n v="2034.59"/>
    <n v="759.87"/>
    <n v="1319.09"/>
    <n v="4324.8"/>
    <n v="991.23"/>
    <n v="912.66"/>
    <n v="228.03"/>
    <n v="554.91"/>
    <n v="20842.349999999999"/>
    <n v="-326.88"/>
  </r>
  <r>
    <x v="2"/>
    <x v="1"/>
    <x v="0"/>
    <s v="2627200"/>
    <n v="450040"/>
    <s v="Contr Allow--Phys Svcs--BCBS Comm Ins"/>
    <s v="Plastic Surgery-PR-Dermatology"/>
    <x v="0"/>
    <n v="1301"/>
    <n v="595.16999999999996"/>
    <n v="1305.42"/>
    <n v="591.03"/>
    <n v="1161.43"/>
    <n v="2236.2800000000002"/>
    <n v="2064.8000000000002"/>
    <n v="1285.72"/>
    <n v="854.23"/>
    <n v="956.13"/>
    <n v="249.12"/>
    <n v="0"/>
    <n v="0"/>
    <n v="11299.33"/>
    <n v="0"/>
  </r>
  <r>
    <x v="2"/>
    <x v="1"/>
    <x v="0"/>
    <s v="2627200"/>
    <n v="450040"/>
    <s v="Contr Allow--Phys Svcs--Managed Care"/>
    <s v="Plastic Surgery-PR-Dermatology"/>
    <x v="0"/>
    <n v="1400"/>
    <n v="5972.65"/>
    <n v="2903.49"/>
    <n v="5646.73"/>
    <n v="7348.74"/>
    <n v="6092.9"/>
    <n v="5825.39"/>
    <n v="6100.93"/>
    <n v="5607.85"/>
    <n v="5674.69"/>
    <n v="1479.2"/>
    <n v="53.55"/>
    <n v="293.56"/>
    <n v="52999.68"/>
    <n v="-240.01"/>
  </r>
  <r>
    <x v="2"/>
    <x v="1"/>
    <x v="0"/>
    <s v="2627200"/>
    <n v="450040"/>
    <s v="Contr Allow--Phys Svcs--BCBS Mgnd Care"/>
    <s v="Plastic Surgery-PR-Dermatology"/>
    <x v="0"/>
    <n v="1401"/>
    <n v="-15187.06"/>
    <n v="4877.3500000000004"/>
    <n v="7007.16"/>
    <n v="-946.03"/>
    <n v="1587.13"/>
    <n v="289.32"/>
    <n v="7479.64"/>
    <n v="-6957.96"/>
    <n v="-5439.91"/>
    <n v="-10974.06"/>
    <n v="-2023.71"/>
    <n v="-2668.86"/>
    <n v="-22956.989999999998"/>
    <n v="645.15000000000009"/>
  </r>
  <r>
    <x v="2"/>
    <x v="1"/>
    <x v="0"/>
    <s v="2627200"/>
    <n v="450040"/>
    <s v="Admin Adjust-Phys Svcs-Self Pay"/>
    <s v="Plastic Surgery-PR-Dermatology"/>
    <x v="0"/>
    <n v="1600"/>
    <n v="233.33"/>
    <n v="488.4"/>
    <n v="-306.45999999999998"/>
    <n v="-2.35"/>
    <n v="-21.7"/>
    <n v="74"/>
    <n v="-74"/>
    <n v="0"/>
    <n v="55.83"/>
    <n v="-181.3"/>
    <n v="721.12"/>
    <n v="2.7"/>
    <n v="989.57"/>
    <n v="718.42"/>
  </r>
  <r>
    <x v="2"/>
    <x v="1"/>
    <x v="0"/>
    <s v="2627200"/>
    <n v="450040"/>
    <s v="Contr Allow--Phys Svcs--Other"/>
    <s v="Plastic Surgery-PR-Dermatology"/>
    <x v="0"/>
    <n v="1700"/>
    <n v="756.26"/>
    <n v="1899.86"/>
    <n v="619.26"/>
    <n v="1793.19"/>
    <n v="1228.97"/>
    <n v="2042.53"/>
    <n v="1058.1500000000001"/>
    <n v="498.24"/>
    <n v="1171.25"/>
    <n v="574.03"/>
    <n v="5.71"/>
    <n v="10"/>
    <n v="11657.449999999999"/>
    <n v="-4.29"/>
  </r>
  <r>
    <x v="3"/>
    <x v="1"/>
    <x v="0"/>
    <s v="2627200"/>
    <n v="470040"/>
    <s v="Charity Care-Physician Svcs"/>
    <s v="Plastic Surgery-PR-Dermatology"/>
    <x v="0"/>
    <m/>
    <n v="-85.58"/>
    <n v="383.65"/>
    <n v="380.9"/>
    <n v="298.85000000000002"/>
    <n v="96.14"/>
    <n v="-13.34"/>
    <n v="324.33"/>
    <n v="-139.41"/>
    <n v="-37.049999999999997"/>
    <n v="107.21"/>
    <n v="-109.02"/>
    <n v="639.76"/>
    <n v="1846.44"/>
    <n v="-748.78"/>
  </r>
  <r>
    <x v="4"/>
    <x v="1"/>
    <x v="0"/>
    <s v="2627200"/>
    <n v="490010"/>
    <s v="Provision for Bad Debts"/>
    <s v="Plastic Surgery-PR-Dermatology"/>
    <x v="0"/>
    <m/>
    <n v="-1656.12"/>
    <n v="1748.92"/>
    <n v="2391.44"/>
    <n v="167.07"/>
    <n v="557.97"/>
    <n v="635.98"/>
    <n v="836.17"/>
    <n v="-201.28"/>
    <n v="354.79"/>
    <n v="-1521.15"/>
    <n v="387.93"/>
    <n v="936.98"/>
    <n v="4638.7000000000007"/>
    <n v="-549.04999999999995"/>
  </r>
  <r>
    <x v="5"/>
    <x v="1"/>
    <x v="0"/>
    <s v="2627200"/>
    <n v="700022"/>
    <s v="Salaries-Physician-Productive"/>
    <s v="Plastic Surgery-PR-Dermatology"/>
    <x v="0"/>
    <m/>
    <n v="17261.54"/>
    <n v="23353.85"/>
    <n v="25384.61"/>
    <n v="28092.3"/>
    <n v="26061.53"/>
    <n v="18276.919999999998"/>
    <n v="26269.99"/>
    <n v="23049.13"/>
    <n v="25591.33"/>
    <n v="19151.099999999999"/>
    <n v="-4745.3999999999996"/>
    <n v="0"/>
    <n v="227746.90000000002"/>
    <n v="-4745.3999999999996"/>
  </r>
  <r>
    <x v="5"/>
    <x v="1"/>
    <x v="0"/>
    <s v="2627200"/>
    <n v="700022"/>
    <s v="Salaries-Physician-Provider Incentive"/>
    <s v="Plastic Surgery-PR-Dermatology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627200"/>
    <n v="700032"/>
    <s v="Salaries-Other Pat Care Providers-Productive"/>
    <s v="Plastic Surgery-PR-Dermatology"/>
    <x v="0"/>
    <m/>
    <n v="3585.3"/>
    <n v="3437.77"/>
    <n v="3658.48"/>
    <n v="4257.1099999999997"/>
    <n v="1940.16"/>
    <n v="4281.72"/>
    <n v="3693.5"/>
    <n v="3187.84"/>
    <n v="3711.15"/>
    <n v="394.02"/>
    <n v="0"/>
    <n v="0"/>
    <n v="32147.050000000003"/>
    <n v="0"/>
  </r>
  <r>
    <x v="5"/>
    <x v="1"/>
    <x v="0"/>
    <s v="2627200"/>
    <n v="700032"/>
    <s v="Salaries-Other Pat Care Providers-OT"/>
    <s v="Plastic Surgery-PR-Dermatology"/>
    <x v="0"/>
    <n v="1000"/>
    <n v="18"/>
    <n v="107.95"/>
    <n v="67.489999999999995"/>
    <n v="4.5"/>
    <n v="0"/>
    <n v="58.08"/>
    <n v="87.73"/>
    <n v="-25.85"/>
    <n v="0"/>
    <n v="0"/>
    <n v="0"/>
    <n v="0"/>
    <n v="317.89999999999998"/>
    <n v="0"/>
  </r>
  <r>
    <x v="5"/>
    <x v="1"/>
    <x v="0"/>
    <s v="2627200"/>
    <n v="700062"/>
    <s v="Salaries-Physician-Non-productive"/>
    <s v="Plastic Surgery-PR-Dermatology"/>
    <x v="0"/>
    <m/>
    <n v="12523.08"/>
    <n v="7784.62"/>
    <n v="1692.31"/>
    <n v="3046.15"/>
    <n v="3723.09"/>
    <n v="10153.84"/>
    <n v="4916.1099999999997"/>
    <n v="4067.5"/>
    <n v="2881.12"/>
    <n v="-847.38"/>
    <n v="0"/>
    <n v="0"/>
    <n v="49940.44000000001"/>
    <n v="0"/>
  </r>
  <r>
    <x v="5"/>
    <x v="1"/>
    <x v="0"/>
    <s v="2627200"/>
    <n v="700072"/>
    <s v="Salaries-Other Pat Care Providers-Non-productive"/>
    <s v="Plastic Surgery-PR-Dermatology"/>
    <x v="0"/>
    <m/>
    <n v="658.52"/>
    <n v="13.2"/>
    <n v="191.92"/>
    <n v="243.45"/>
    <n v="2510.64"/>
    <n v="-480.12"/>
    <n v="400.87"/>
    <n v="135.44"/>
    <n v="70.81"/>
    <n v="224.72"/>
    <n v="0"/>
    <n v="0"/>
    <n v="3969.4499999999994"/>
    <n v="0"/>
  </r>
  <r>
    <x v="5"/>
    <x v="1"/>
    <x v="0"/>
    <s v="2627200"/>
    <n v="700072"/>
    <s v="Salaries-Other Pat Care Providers-NonProd-Other"/>
    <s v="Plastic Surgery-PR-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7200"/>
    <n v="700084"/>
    <s v="Accrued PTO"/>
    <s v="Plastic Surgery-PR-Dermatology"/>
    <x v="0"/>
    <m/>
    <n v="-222.15"/>
    <n v="345.22"/>
    <n v="179.44"/>
    <n v="323.44"/>
    <n v="-1026.72"/>
    <n v="-126.69"/>
    <n v="-0.2"/>
    <n v="174.32"/>
    <n v="320.36"/>
    <n v="12.25"/>
    <n v="12.11"/>
    <n v="18.14"/>
    <n v="9.519999999999925"/>
    <n v="-6.0300000000000011"/>
  </r>
  <r>
    <x v="6"/>
    <x v="1"/>
    <x v="0"/>
    <s v="2627200"/>
    <n v="713010"/>
    <s v="Benefits-FICA/Medicare"/>
    <s v="Plastic Surgery-PR-Dermatology"/>
    <x v="0"/>
    <m/>
    <n v="739.88"/>
    <n v="714.38"/>
    <n v="675.96"/>
    <n v="777.29"/>
    <n v="754.34"/>
    <n v="1618.66"/>
    <n v="2691.56"/>
    <n v="2315.2800000000002"/>
    <n v="2455.7199999999998"/>
    <n v="1443.86"/>
    <n v="-362.48"/>
    <n v="0"/>
    <n v="13824.45"/>
    <n v="-362.48"/>
  </r>
  <r>
    <x v="6"/>
    <x v="1"/>
    <x v="0"/>
    <s v="2627200"/>
    <n v="713090"/>
    <s v="Benefits-Allocated Amounts"/>
    <s v="Plastic Surgery-PR-Dermatology"/>
    <x v="0"/>
    <m/>
    <n v="0"/>
    <n v="0"/>
    <n v="0"/>
    <n v="0"/>
    <n v="0"/>
    <n v="0"/>
    <n v="0"/>
    <n v="0"/>
    <n v="14941.6"/>
    <n v="989.86"/>
    <n v="-39.89"/>
    <n v="-130.56"/>
    <n v="15761.010000000002"/>
    <n v="90.67"/>
  </r>
  <r>
    <x v="6"/>
    <x v="1"/>
    <x v="0"/>
    <s v="2627200"/>
    <n v="713092"/>
    <s v="Allocated Benefits-Physician"/>
    <s v="Plastic Surgery-PR-Dermatology"/>
    <x v="0"/>
    <m/>
    <n v="3041.53"/>
    <n v="2536.08"/>
    <n v="2800.05"/>
    <n v="2875.66"/>
    <n v="2885.45"/>
    <n v="2985.76"/>
    <n v="3547.35"/>
    <n v="3081.79"/>
    <n v="-11331.58"/>
    <n v="822.96"/>
    <n v="-33.17"/>
    <n v="-108.55"/>
    <n v="13103.33"/>
    <n v="75.38"/>
  </r>
  <r>
    <x v="6"/>
    <x v="1"/>
    <x v="0"/>
    <s v="2627200"/>
    <n v="713096"/>
    <s v="Employee Recognition"/>
    <s v="Plastic Surgery-PR-Dermatology"/>
    <x v="0"/>
    <n v="1017"/>
    <n v="0"/>
    <n v="28.89"/>
    <n v="0"/>
    <n v="0"/>
    <n v="0"/>
    <n v="0"/>
    <n v="0"/>
    <n v="0"/>
    <n v="0"/>
    <n v="0"/>
    <n v="0"/>
    <n v="0"/>
    <n v="28.89"/>
    <n v="0"/>
  </r>
  <r>
    <x v="11"/>
    <x v="1"/>
    <x v="0"/>
    <s v="2627200"/>
    <n v="721830"/>
    <s v="Supplies-Office"/>
    <s v="Plastic Surgery-PR-Dermatology"/>
    <x v="0"/>
    <m/>
    <n v="0"/>
    <n v="37.65"/>
    <n v="0"/>
    <n v="0"/>
    <n v="0"/>
    <n v="518.39"/>
    <n v="0"/>
    <n v="0"/>
    <n v="0"/>
    <n v="0"/>
    <n v="0"/>
    <n v="0"/>
    <n v="556.04"/>
    <n v="0"/>
  </r>
  <r>
    <x v="16"/>
    <x v="1"/>
    <x v="0"/>
    <s v="2627200"/>
    <n v="732030"/>
    <s v="Repairs---Other"/>
    <s v="Plastic Surgery-PR-Dermatology"/>
    <x v="0"/>
    <m/>
    <n v="0"/>
    <n v="21.16"/>
    <n v="0"/>
    <n v="0"/>
    <n v="0"/>
    <n v="0"/>
    <n v="0"/>
    <n v="0"/>
    <n v="0"/>
    <n v="0"/>
    <n v="0"/>
    <n v="0"/>
    <n v="21.16"/>
    <n v="0"/>
  </r>
  <r>
    <x v="13"/>
    <x v="1"/>
    <x v="0"/>
    <s v="2627200"/>
    <n v="735070"/>
    <s v="Depreciation-Movable Equipment"/>
    <s v="Plastic Surgery-PR-Dermatology"/>
    <x v="0"/>
    <m/>
    <n v="227.5"/>
    <n v="227.5"/>
    <n v="227.5"/>
    <n v="227.5"/>
    <n v="227.5"/>
    <n v="227.5"/>
    <n v="227.5"/>
    <n v="227.5"/>
    <n v="227.5"/>
    <n v="227.5"/>
    <n v="0"/>
    <n v="0"/>
    <n v="2275"/>
    <n v="0"/>
  </r>
  <r>
    <x v="8"/>
    <x v="1"/>
    <x v="0"/>
    <s v="2627200"/>
    <n v="741012"/>
    <s v="Physician Liab Insurance-CHI Program"/>
    <s v="Plastic Surgery-PR-Dermatology"/>
    <x v="0"/>
    <m/>
    <n v="511.56"/>
    <n v="511.56"/>
    <n v="511.56"/>
    <n v="511.56"/>
    <n v="511.56"/>
    <n v="511.56"/>
    <n v="511.56"/>
    <n v="511.56"/>
    <n v="511.56"/>
    <n v="1534.68"/>
    <n v="-1328.66"/>
    <n v="0"/>
    <n v="4810.0600000000004"/>
    <n v="-1328.66"/>
  </r>
  <r>
    <x v="0"/>
    <x v="1"/>
    <x v="0"/>
    <s v="2627200"/>
    <n v="743022"/>
    <s v="Dues-Physician"/>
    <s v="Plastic Surgery-PR-Dermatology"/>
    <x v="0"/>
    <m/>
    <n v="0"/>
    <n v="0"/>
    <n v="807"/>
    <n v="0"/>
    <n v="0"/>
    <n v="2125"/>
    <n v="0"/>
    <n v="285"/>
    <n v="0"/>
    <n v="0"/>
    <n v="0"/>
    <n v="0"/>
    <n v="3217"/>
    <n v="0"/>
  </r>
  <r>
    <x v="0"/>
    <x v="1"/>
    <x v="0"/>
    <s v="2627200"/>
    <n v="749510"/>
    <s v="Miscellaneous Expenses"/>
    <s v="Plastic Surgery-PR-Dermatology"/>
    <x v="0"/>
    <m/>
    <n v="-400"/>
    <n v="476.59"/>
    <n v="0"/>
    <n v="0"/>
    <n v="518.39"/>
    <n v="-518.39"/>
    <n v="0"/>
    <n v="0"/>
    <n v="0"/>
    <n v="0"/>
    <n v="0"/>
    <n v="0"/>
    <n v="76.590000000000032"/>
    <n v="0"/>
  </r>
  <r>
    <x v="0"/>
    <x v="1"/>
    <x v="0"/>
    <s v="2627200"/>
    <n v="749510"/>
    <s v="Licenses"/>
    <s v="Plastic Surgery-PR-Dermatology"/>
    <x v="0"/>
    <n v="1002"/>
    <n v="0"/>
    <n v="0"/>
    <n v="0"/>
    <n v="0"/>
    <n v="0"/>
    <n v="100"/>
    <n v="0"/>
    <n v="0"/>
    <n v="0"/>
    <n v="0"/>
    <n v="450"/>
    <n v="0"/>
    <n v="550"/>
    <n v="450"/>
  </r>
  <r>
    <x v="0"/>
    <x v="1"/>
    <x v="0"/>
    <s v="2627200"/>
    <n v="749530"/>
    <s v="Travel"/>
    <s v="Plastic Surgery-PR-Dermatology"/>
    <x v="0"/>
    <m/>
    <n v="0"/>
    <n v="0"/>
    <n v="0"/>
    <n v="0"/>
    <n v="0"/>
    <n v="0"/>
    <n v="6"/>
    <n v="0"/>
    <n v="0"/>
    <n v="0"/>
    <n v="0"/>
    <n v="0"/>
    <n v="6"/>
    <n v="0"/>
  </r>
  <r>
    <x v="0"/>
    <x v="1"/>
    <x v="0"/>
    <s v="2627200"/>
    <n v="749530"/>
    <s v="Mileage"/>
    <s v="Plastic Surgery-PR-Dermatology"/>
    <x v="0"/>
    <n v="1001"/>
    <n v="0"/>
    <n v="94.86"/>
    <n v="0"/>
    <n v="0"/>
    <n v="0"/>
    <n v="47.96"/>
    <n v="9.86"/>
    <n v="33.64"/>
    <n v="16.82"/>
    <n v="0"/>
    <n v="0"/>
    <n v="0"/>
    <n v="203.14"/>
    <n v="0"/>
  </r>
  <r>
    <x v="1"/>
    <x v="1"/>
    <x v="0"/>
    <s v="2628200"/>
    <n v="400029"/>
    <s v="MD Practice Other Rev--Medicare"/>
    <s v="WH-Puyallup OBGYN"/>
    <x v="0"/>
    <n v="1100"/>
    <n v="-24"/>
    <n v="0"/>
    <n v="0"/>
    <n v="-34"/>
    <n v="0"/>
    <n v="0"/>
    <n v="0"/>
    <n v="0"/>
    <n v="0"/>
    <n v="0"/>
    <n v="0"/>
    <n v="0"/>
    <n v="-58"/>
    <n v="0"/>
  </r>
  <r>
    <x v="1"/>
    <x v="1"/>
    <x v="0"/>
    <s v="2628200"/>
    <n v="400029"/>
    <s v="MD Practice Other Rev--Medicaid"/>
    <s v="WH-Puyallup OBGYN"/>
    <x v="0"/>
    <n v="1200"/>
    <n v="-48"/>
    <n v="-82"/>
    <n v="-96"/>
    <n v="-168"/>
    <n v="-120"/>
    <n v="-9"/>
    <n v="-43"/>
    <n v="-48"/>
    <n v="-120"/>
    <n v="-48"/>
    <n v="-120"/>
    <n v="-48"/>
    <n v="-950"/>
    <n v="-72"/>
  </r>
  <r>
    <x v="1"/>
    <x v="1"/>
    <x v="0"/>
    <s v="2628200"/>
    <n v="400029"/>
    <s v="MD Practice Other Rev--Comm Insurance"/>
    <s v="WH-Puyallup OBGYN"/>
    <x v="0"/>
    <n v="1300"/>
    <n v="-24"/>
    <n v="0"/>
    <n v="-24"/>
    <n v="-24"/>
    <n v="-48"/>
    <n v="0"/>
    <n v="-24"/>
    <n v="24"/>
    <n v="0"/>
    <n v="-9"/>
    <n v="0"/>
    <n v="-48"/>
    <n v="-177"/>
    <n v="48"/>
  </r>
  <r>
    <x v="1"/>
    <x v="1"/>
    <x v="0"/>
    <s v="2628200"/>
    <n v="400029"/>
    <s v="MD Practice Other Rev--BCBS Comm"/>
    <s v="WH-Puyallup OBGYN"/>
    <x v="0"/>
    <n v="1301"/>
    <n v="-24"/>
    <n v="0"/>
    <n v="0"/>
    <n v="0"/>
    <n v="-24"/>
    <n v="0"/>
    <n v="-24"/>
    <n v="0"/>
    <n v="-48"/>
    <n v="-24"/>
    <n v="-24"/>
    <n v="-24"/>
    <n v="-192"/>
    <n v="0"/>
  </r>
  <r>
    <x v="1"/>
    <x v="1"/>
    <x v="0"/>
    <s v="2628200"/>
    <n v="400029"/>
    <s v="MD Practice Other Rev--Managed Care"/>
    <s v="WH-Puyallup OBGYN"/>
    <x v="0"/>
    <n v="1400"/>
    <n v="-48"/>
    <n v="-144"/>
    <n v="-48"/>
    <n v="-48"/>
    <n v="-48"/>
    <n v="0"/>
    <n v="16"/>
    <n v="-48"/>
    <n v="-72"/>
    <n v="-96"/>
    <n v="-96"/>
    <n v="-40"/>
    <n v="-672"/>
    <n v="-56"/>
  </r>
  <r>
    <x v="1"/>
    <x v="1"/>
    <x v="0"/>
    <s v="2628200"/>
    <n v="400029"/>
    <s v="MD Practice Other Rev--Self Pay"/>
    <s v="WH-Puyallup OBGYN"/>
    <x v="0"/>
    <n v="1500"/>
    <n v="0"/>
    <n v="0"/>
    <n v="0"/>
    <n v="-24"/>
    <n v="0"/>
    <n v="0"/>
    <n v="0"/>
    <n v="0"/>
    <n v="0"/>
    <n v="0"/>
    <n v="0"/>
    <n v="0"/>
    <n v="-24"/>
    <n v="0"/>
  </r>
  <r>
    <x v="1"/>
    <x v="1"/>
    <x v="0"/>
    <s v="2628200"/>
    <n v="400029"/>
    <s v="MD Practice Other Rev--Other"/>
    <s v="WH-Puyallup OBGYN"/>
    <x v="0"/>
    <n v="1700"/>
    <n v="-24"/>
    <n v="-24"/>
    <n v="0"/>
    <n v="0"/>
    <n v="0"/>
    <n v="0"/>
    <n v="0"/>
    <n v="0"/>
    <n v="0"/>
    <n v="0"/>
    <n v="0"/>
    <n v="0"/>
    <n v="-48"/>
    <n v="0"/>
  </r>
  <r>
    <x v="1"/>
    <x v="1"/>
    <x v="0"/>
    <s v="2628200"/>
    <n v="400040"/>
    <s v="Physician Svcs Rev--Medicare"/>
    <s v="WH-Puyallup OBGYN"/>
    <x v="0"/>
    <n v="1100"/>
    <n v="-1366"/>
    <n v="-1670"/>
    <n v="-206"/>
    <n v="-2055.4"/>
    <n v="-980"/>
    <n v="-420"/>
    <n v="0"/>
    <n v="-200"/>
    <n v="-1087"/>
    <n v="-1699"/>
    <n v="-701"/>
    <n v="-400"/>
    <n v="-10784.4"/>
    <n v="-301"/>
  </r>
  <r>
    <x v="1"/>
    <x v="1"/>
    <x v="0"/>
    <s v="2628200"/>
    <n v="400040"/>
    <s v="Physician Svcs Rev--Medicaid"/>
    <s v="WH-Puyallup OBGYN"/>
    <x v="0"/>
    <n v="1200"/>
    <n v="-18603"/>
    <n v="-31137"/>
    <n v="-24674.46"/>
    <n v="-36926.129999999997"/>
    <n v="-18102"/>
    <n v="2559"/>
    <n v="-7095"/>
    <n v="-6001.44"/>
    <n v="-20876"/>
    <n v="-32555.599999999999"/>
    <n v="-17066"/>
    <n v="-14687"/>
    <n v="-225164.63"/>
    <n v="-2379"/>
  </r>
  <r>
    <x v="1"/>
    <x v="1"/>
    <x v="0"/>
    <s v="2628200"/>
    <n v="400040"/>
    <s v="Physician Svcs Rev--Comm Insurance"/>
    <s v="WH-Puyallup OBGYN"/>
    <x v="0"/>
    <n v="1300"/>
    <n v="-6302"/>
    <n v="-2999"/>
    <n v="-4980"/>
    <n v="-3722"/>
    <n v="-6944"/>
    <n v="-206"/>
    <n v="-2634"/>
    <n v="-1138"/>
    <n v="-6765"/>
    <n v="-2908"/>
    <n v="-4763"/>
    <n v="-7552"/>
    <n v="-50913"/>
    <n v="2789"/>
  </r>
  <r>
    <x v="1"/>
    <x v="1"/>
    <x v="0"/>
    <s v="2628200"/>
    <n v="400040"/>
    <s v="Physician Svcs Rev--BCBS Comm"/>
    <s v="WH-Puyallup OBGYN"/>
    <x v="0"/>
    <n v="1301"/>
    <n v="-19957"/>
    <n v="-20013"/>
    <n v="-3959"/>
    <n v="-10070"/>
    <n v="-6288"/>
    <n v="-1128"/>
    <n v="-3121"/>
    <n v="-334"/>
    <n v="-7476"/>
    <n v="-5424"/>
    <n v="-4242"/>
    <n v="-6918"/>
    <n v="-88930"/>
    <n v="2676"/>
  </r>
  <r>
    <x v="1"/>
    <x v="1"/>
    <x v="0"/>
    <s v="2628200"/>
    <n v="400040"/>
    <s v="Physician Svcs Rev--Managed Care"/>
    <s v="WH-Puyallup OBGYN"/>
    <x v="0"/>
    <n v="1400"/>
    <n v="-23474"/>
    <n v="-25561"/>
    <n v="-18049"/>
    <n v="-17323"/>
    <n v="-30051"/>
    <n v="-16400"/>
    <n v="-1702"/>
    <n v="-7558"/>
    <n v="-19573.599999999999"/>
    <n v="-16126"/>
    <n v="-23809"/>
    <n v="-12126"/>
    <n v="-211752.6"/>
    <n v="-11683"/>
  </r>
  <r>
    <x v="1"/>
    <x v="1"/>
    <x v="0"/>
    <s v="2628200"/>
    <n v="400040"/>
    <s v="Physician Svcs Rev--Self Pay"/>
    <s v="WH-Puyallup OBGYN"/>
    <x v="0"/>
    <n v="1500"/>
    <n v="0"/>
    <n v="-2785"/>
    <n v="-201"/>
    <n v="-2662"/>
    <n v="-323"/>
    <n v="0"/>
    <n v="-586"/>
    <n v="-201"/>
    <n v="0"/>
    <n v="-201"/>
    <n v="-2660"/>
    <n v="2164"/>
    <n v="-7455"/>
    <n v="-4824"/>
  </r>
  <r>
    <x v="1"/>
    <x v="1"/>
    <x v="0"/>
    <s v="2628200"/>
    <n v="400040"/>
    <s v="Physician Svcs Rev--Other"/>
    <s v="WH-Puyallup OBGYN"/>
    <x v="0"/>
    <n v="1700"/>
    <n v="-1798"/>
    <n v="-18863"/>
    <n v="-1697"/>
    <n v="-917"/>
    <n v="-3432"/>
    <n v="-5935"/>
    <n v="-6493"/>
    <n v="0"/>
    <n v="-154"/>
    <n v="-6147"/>
    <n v="-7333"/>
    <n v="-263"/>
    <n v="-53032"/>
    <n v="-7070"/>
  </r>
  <r>
    <x v="2"/>
    <x v="1"/>
    <x v="0"/>
    <s v="2628200"/>
    <n v="450029"/>
    <s v="Contr Allow--MD Other-Medicare"/>
    <s v="WH-Puyallup OBGYN"/>
    <x v="0"/>
    <n v="1100"/>
    <n v="0"/>
    <n v="15.56"/>
    <n v="0"/>
    <n v="23.51"/>
    <n v="0"/>
    <n v="0"/>
    <n v="0"/>
    <n v="0"/>
    <n v="0"/>
    <n v="0"/>
    <n v="0"/>
    <n v="0"/>
    <n v="39.07"/>
    <n v="0"/>
  </r>
  <r>
    <x v="2"/>
    <x v="1"/>
    <x v="0"/>
    <s v="2628200"/>
    <n v="450029"/>
    <s v="Contr Allow--MD Other-Medicaid"/>
    <s v="WH-Puyallup OBGYN"/>
    <x v="0"/>
    <n v="1200"/>
    <n v="0"/>
    <n v="58.55"/>
    <n v="48.68"/>
    <n v="80.72"/>
    <n v="80.72"/>
    <n v="32.04"/>
    <n v="27.94"/>
    <n v="55.63"/>
    <n v="72.06"/>
    <n v="32.46"/>
    <n v="81.14"/>
    <n v="16.64"/>
    <n v="586.57999999999993"/>
    <n v="64.5"/>
  </r>
  <r>
    <x v="2"/>
    <x v="1"/>
    <x v="0"/>
    <s v="2628200"/>
    <n v="450029"/>
    <s v="Contr Allow--MD Other-Comm Insurance"/>
    <s v="WH-Puyallup OBGYN"/>
    <x v="0"/>
    <n v="1300"/>
    <n v="0"/>
    <n v="18.45"/>
    <n v="0"/>
    <n v="17.04"/>
    <n v="34.08"/>
    <n v="0"/>
    <n v="17.04"/>
    <n v="0"/>
    <n v="0"/>
    <n v="0"/>
    <n v="5.56"/>
    <n v="16.809999999999999"/>
    <n v="108.97999999999999"/>
    <n v="-11.25"/>
  </r>
  <r>
    <x v="2"/>
    <x v="1"/>
    <x v="0"/>
    <s v="2628200"/>
    <n v="450029"/>
    <s v="Contr Allow--MD Other BCBS Comm"/>
    <s v="WH-Puyallup OBGYN"/>
    <x v="0"/>
    <n v="1301"/>
    <n v="0"/>
    <n v="18.829999999999998"/>
    <n v="0"/>
    <n v="0"/>
    <n v="0"/>
    <n v="18.829999999999998"/>
    <n v="0"/>
    <n v="0"/>
    <n v="18.829999999999998"/>
    <n v="37.659999999999997"/>
    <n v="0"/>
    <n v="18.829999999999998"/>
    <n v="112.97999999999999"/>
    <n v="-18.829999999999998"/>
  </r>
  <r>
    <x v="2"/>
    <x v="1"/>
    <x v="0"/>
    <s v="2628200"/>
    <n v="450029"/>
    <s v="Contr Allow--MD Other-Managed Care"/>
    <s v="WH-Puyallup OBGYN"/>
    <x v="0"/>
    <n v="1400"/>
    <n v="0"/>
    <n v="95.4"/>
    <n v="16.25"/>
    <n v="31.41"/>
    <n v="46.17"/>
    <n v="0"/>
    <n v="0"/>
    <n v="23.9"/>
    <n v="63.1"/>
    <n v="15.39"/>
    <n v="92.34"/>
    <n v="39.380000000000003"/>
    <n v="423.34000000000003"/>
    <n v="52.96"/>
  </r>
  <r>
    <x v="2"/>
    <x v="1"/>
    <x v="0"/>
    <s v="2628200"/>
    <n v="450029"/>
    <s v="Admin Adjust-MD Other-Self Pay"/>
    <s v="WH-Puyallup OBGYN"/>
    <x v="0"/>
    <n v="1600"/>
    <n v="0"/>
    <n v="0"/>
    <n v="0"/>
    <n v="13.2"/>
    <n v="24"/>
    <n v="0.86"/>
    <n v="0"/>
    <n v="0"/>
    <n v="0"/>
    <n v="0"/>
    <n v="0.86"/>
    <n v="2.6"/>
    <n v="41.52"/>
    <n v="-1.7400000000000002"/>
  </r>
  <r>
    <x v="2"/>
    <x v="1"/>
    <x v="0"/>
    <s v="2628200"/>
    <n v="450029"/>
    <s v="Contr Allow--MD Other-Other"/>
    <s v="WH-Puyallup OBGYN"/>
    <x v="0"/>
    <n v="1700"/>
    <n v="17"/>
    <n v="17"/>
    <n v="0"/>
    <n v="0"/>
    <n v="0"/>
    <n v="0"/>
    <n v="0"/>
    <n v="0"/>
    <n v="0"/>
    <n v="0"/>
    <n v="0"/>
    <n v="0"/>
    <n v="34"/>
    <n v="0"/>
  </r>
  <r>
    <x v="2"/>
    <x v="1"/>
    <x v="0"/>
    <s v="2628200"/>
    <n v="450040"/>
    <s v="Contr Allow--Phys Svcs--Mcare"/>
    <s v="WH-Puyallup OBGYN"/>
    <x v="0"/>
    <n v="1100"/>
    <n v="0"/>
    <n v="1072.1600000000001"/>
    <n v="257.61"/>
    <n v="1719.3"/>
    <n v="373.97"/>
    <n v="358.36"/>
    <n v="262.77999999999997"/>
    <n v="124"/>
    <n v="263.33999999999997"/>
    <n v="851.69"/>
    <n v="935.86"/>
    <n v="129.59"/>
    <n v="6348.6600000000008"/>
    <n v="806.27"/>
  </r>
  <r>
    <x v="2"/>
    <x v="1"/>
    <x v="0"/>
    <s v="2628200"/>
    <n v="450040"/>
    <s v="Contr Allow--Phys Svcs--Mcaid"/>
    <s v="WH-Puyallup OBGYN"/>
    <x v="0"/>
    <n v="1200"/>
    <n v="1490.26"/>
    <n v="24431.08"/>
    <n v="9747.4"/>
    <n v="24485.11"/>
    <n v="9359.9500000000007"/>
    <n v="14181.08"/>
    <n v="1814.42"/>
    <n v="3875.72"/>
    <n v="4485.34"/>
    <n v="12441.76"/>
    <n v="25371.96"/>
    <n v="12695.5"/>
    <n v="144379.57999999999"/>
    <n v="12676.46"/>
  </r>
  <r>
    <x v="2"/>
    <x v="1"/>
    <x v="0"/>
    <s v="2628200"/>
    <n v="450040"/>
    <s v="Contr Allow--Phys Svcs--Comm Insurance"/>
    <s v="WH-Puyallup OBGYN"/>
    <x v="0"/>
    <n v="1300"/>
    <n v="0"/>
    <n v="3057.09"/>
    <n v="1057.79"/>
    <n v="3312.81"/>
    <n v="2940.41"/>
    <n v="316.51"/>
    <n v="3799.42"/>
    <n v="372.52"/>
    <n v="366.76"/>
    <n v="1992.53"/>
    <n v="1715.17"/>
    <n v="3409.53"/>
    <n v="22340.54"/>
    <n v="-1694.3600000000001"/>
  </r>
  <r>
    <x v="2"/>
    <x v="1"/>
    <x v="0"/>
    <s v="2628200"/>
    <n v="450040"/>
    <s v="Contr Allow--Phys Svcs--BCBS Comm Ins"/>
    <s v="WH-Puyallup OBGYN"/>
    <x v="0"/>
    <n v="1301"/>
    <n v="5971.93"/>
    <n v="4774.3500000000004"/>
    <n v="6682.17"/>
    <n v="1919.75"/>
    <n v="4305.76"/>
    <n v="3885.36"/>
    <n v="-21.4"/>
    <n v="288.79000000000002"/>
    <n v="1638.59"/>
    <n v="6657.74"/>
    <n v="282.64"/>
    <n v="3717.06"/>
    <n v="40102.74"/>
    <n v="-3434.42"/>
  </r>
  <r>
    <x v="2"/>
    <x v="1"/>
    <x v="0"/>
    <s v="2628200"/>
    <n v="450040"/>
    <s v="Contr Allow--Phys Svcs--Managed Care"/>
    <s v="WH-Puyallup OBGYN"/>
    <x v="0"/>
    <n v="1400"/>
    <n v="8487.93"/>
    <n v="11446.22"/>
    <n v="8400.66"/>
    <n v="9083.42"/>
    <n v="11715.28"/>
    <n v="4282.5600000000004"/>
    <n v="8078.16"/>
    <n v="-621.65"/>
    <n v="9156.68"/>
    <n v="8625.32"/>
    <n v="8934.2199999999993"/>
    <n v="9844.83"/>
    <n v="97433.62999999999"/>
    <n v="-910.61000000000058"/>
  </r>
  <r>
    <x v="2"/>
    <x v="1"/>
    <x v="0"/>
    <s v="2628200"/>
    <n v="450040"/>
    <s v="Contr Allow--Phys Svcs--BCBS Mgnd Care"/>
    <s v="WH-Puyallup OBGYN"/>
    <x v="0"/>
    <n v="1401"/>
    <n v="19149.73"/>
    <n v="6182.14"/>
    <n v="2643.42"/>
    <n v="3056.44"/>
    <n v="2302.5"/>
    <n v="-10573.13"/>
    <n v="-2215.17"/>
    <n v="-3303.89"/>
    <n v="12896.59"/>
    <n v="9271.18"/>
    <n v="-5837.02"/>
    <n v="-5017.79"/>
    <n v="28554.999999999993"/>
    <n v="-819.23000000000047"/>
  </r>
  <r>
    <x v="2"/>
    <x v="1"/>
    <x v="0"/>
    <s v="2628200"/>
    <n v="450040"/>
    <s v="Admin Adjust-Phys Svcs-Self Pay"/>
    <s v="WH-Puyallup OBGYN"/>
    <x v="0"/>
    <n v="1600"/>
    <n v="0"/>
    <n v="2330.27"/>
    <n v="74.37"/>
    <n v="1363.12"/>
    <n v="119.51"/>
    <n v="0"/>
    <n v="119.51"/>
    <n v="74.37"/>
    <n v="0"/>
    <n v="74.37"/>
    <n v="984.2"/>
    <n v="-747.58"/>
    <n v="4392.1400000000003"/>
    <n v="1731.7800000000002"/>
  </r>
  <r>
    <x v="2"/>
    <x v="1"/>
    <x v="0"/>
    <s v="2628200"/>
    <n v="450040"/>
    <s v="Contr Allow--Phys Svcs--Other"/>
    <s v="WH-Puyallup OBGYN"/>
    <x v="0"/>
    <n v="1700"/>
    <n v="531.64"/>
    <n v="5969.92"/>
    <n v="6876.41"/>
    <n v="453.61"/>
    <n v="697.25"/>
    <n v="2585.15"/>
    <n v="475.84"/>
    <n v="7599.36"/>
    <n v="292.33"/>
    <n v="104.64"/>
    <n v="4081.14"/>
    <n v="519.22"/>
    <n v="30186.510000000006"/>
    <n v="3561.92"/>
  </r>
  <r>
    <x v="3"/>
    <x v="1"/>
    <x v="0"/>
    <s v="2628200"/>
    <n v="470040"/>
    <s v="Charity Care-Physician Svcs"/>
    <s v="WH-Puyallup OBGYN"/>
    <x v="0"/>
    <m/>
    <n v="570.20000000000005"/>
    <n v="410.51"/>
    <n v="1839.44"/>
    <n v="365.91"/>
    <n v="136.15"/>
    <n v="-161.6"/>
    <n v="-86.83"/>
    <n v="363.44"/>
    <n v="688.86"/>
    <n v="233.08"/>
    <n v="-343.07"/>
    <n v="93.14"/>
    <n v="4109.2299999999996"/>
    <n v="-436.21"/>
  </r>
  <r>
    <x v="4"/>
    <x v="1"/>
    <x v="0"/>
    <s v="2628200"/>
    <n v="490010"/>
    <s v="Provision for Bad Debts"/>
    <s v="WH-Puyallup OBGYN"/>
    <x v="0"/>
    <m/>
    <n v="2760.65"/>
    <n v="814.03"/>
    <n v="166.84"/>
    <n v="-15.66"/>
    <n v="719.64"/>
    <n v="-1603.79"/>
    <n v="-624.97"/>
    <n v="-420.57"/>
    <n v="1945.67"/>
    <n v="1116.1600000000001"/>
    <n v="-638.13"/>
    <n v="-29.93"/>
    <n v="4189.9400000000005"/>
    <n v="-608.20000000000005"/>
  </r>
  <r>
    <x v="14"/>
    <x v="1"/>
    <x v="0"/>
    <s v="2628200"/>
    <n v="600050"/>
    <s v="Miscellaneous Revenue"/>
    <s v="WH-Puyallup OBGYN"/>
    <x v="0"/>
    <m/>
    <n v="-120"/>
    <n v="-1080"/>
    <n v="-1200"/>
    <n v="-1800"/>
    <n v="-2400"/>
    <n v="-1800"/>
    <n v="-3000"/>
    <n v="-1800"/>
    <n v="-2100"/>
    <n v="-1500"/>
    <n v="-4000"/>
    <n v="-4200"/>
    <n v="-25000"/>
    <n v="200"/>
  </r>
  <r>
    <x v="5"/>
    <x v="1"/>
    <x v="0"/>
    <s v="2628200"/>
    <n v="700022"/>
    <s v="Salaries-Physician-Productive"/>
    <s v="WH-Puyallup OBGYN"/>
    <x v="0"/>
    <m/>
    <n v="23976.91"/>
    <n v="23888.48"/>
    <n v="5192.3100000000004"/>
    <n v="0"/>
    <n v="0"/>
    <n v="0"/>
    <n v="0"/>
    <n v="0"/>
    <n v="0"/>
    <n v="0"/>
    <n v="0"/>
    <n v="0"/>
    <n v="53057.7"/>
    <n v="0"/>
  </r>
  <r>
    <x v="5"/>
    <x v="1"/>
    <x v="0"/>
    <s v="2628200"/>
    <n v="700022"/>
    <s v="Salaries-Physician-Other"/>
    <s v="WH-Puyallup OBGYN"/>
    <x v="0"/>
    <n v="2000"/>
    <n v="0"/>
    <n v="900"/>
    <n v="1800"/>
    <n v="0"/>
    <n v="0"/>
    <n v="0"/>
    <n v="0"/>
    <n v="0"/>
    <n v="0"/>
    <n v="7800"/>
    <n v="0"/>
    <n v="0"/>
    <n v="10500"/>
    <n v="0"/>
  </r>
  <r>
    <x v="5"/>
    <x v="1"/>
    <x v="0"/>
    <s v="2628200"/>
    <n v="700024"/>
    <s v="Salaries-Advanced Practice Clinician-Productive"/>
    <s v="WH-Puyallup OBGYN"/>
    <x v="0"/>
    <m/>
    <n v="6596.16"/>
    <n v="13634.97"/>
    <n v="7939.8"/>
    <n v="14363.82"/>
    <n v="12545.28"/>
    <n v="7403.76"/>
    <n v="1854.07"/>
    <n v="7897.48"/>
    <n v="9025.7000000000007"/>
    <n v="11705.2"/>
    <n v="12666.78"/>
    <n v="10288.56"/>
    <n v="115921.57999999999"/>
    <n v="2378.2200000000012"/>
  </r>
  <r>
    <x v="5"/>
    <x v="1"/>
    <x v="0"/>
    <s v="2628200"/>
    <n v="700026"/>
    <s v="Salaries-RN-Productive"/>
    <s v="WH-Puyallup OBGYN"/>
    <x v="0"/>
    <m/>
    <n v="1800"/>
    <n v="820"/>
    <n v="0"/>
    <n v="0"/>
    <n v="0"/>
    <n v="0"/>
    <n v="0"/>
    <n v="0"/>
    <n v="0"/>
    <n v="0"/>
    <n v="0"/>
    <n v="0"/>
    <n v="2620"/>
    <n v="0"/>
  </r>
  <r>
    <x v="5"/>
    <x v="1"/>
    <x v="0"/>
    <s v="2628200"/>
    <n v="700030"/>
    <s v="Salaries-LPN-Productive"/>
    <s v="WH-Puyallup OBGYN"/>
    <x v="0"/>
    <m/>
    <n v="2111.6799999999998"/>
    <n v="3889.16"/>
    <n v="4323.3900000000003"/>
    <n v="4750.25"/>
    <n v="4595.3"/>
    <n v="2678.41"/>
    <n v="4629.7299999999996"/>
    <n v="3576.9"/>
    <n v="3868.12"/>
    <n v="2820.77"/>
    <n v="5537.07"/>
    <n v="3656.55"/>
    <n v="46437.33"/>
    <n v="1880.5199999999995"/>
  </r>
  <r>
    <x v="5"/>
    <x v="1"/>
    <x v="0"/>
    <s v="2628200"/>
    <n v="700030"/>
    <s v="Salaries-LPN-OT"/>
    <s v="WH-Puyallup OBGYN"/>
    <x v="0"/>
    <n v="1000"/>
    <n v="239.28"/>
    <n v="377.9"/>
    <n v="441.53"/>
    <n v="1136.8800000000001"/>
    <n v="515.5"/>
    <n v="22.49"/>
    <n v="220.41"/>
    <n v="29.38"/>
    <n v="854.07"/>
    <n v="320.26"/>
    <n v="286.99"/>
    <n v="-19.59"/>
    <n v="4425.0999999999995"/>
    <n v="306.58"/>
  </r>
  <r>
    <x v="5"/>
    <x v="1"/>
    <x v="0"/>
    <s v="2628200"/>
    <n v="700032"/>
    <s v="Salaries-Other Pat Care Providers-Productive"/>
    <s v="WH-Puyallup OBGYN"/>
    <x v="0"/>
    <m/>
    <n v="2228.27"/>
    <n v="2586.3000000000002"/>
    <n v="4268.4799999999996"/>
    <n v="4619.5200000000004"/>
    <n v="3918.25"/>
    <n v="3139.23"/>
    <n v="4677.92"/>
    <n v="2900.97"/>
    <n v="3891.58"/>
    <n v="3303.29"/>
    <n v="4905.34"/>
    <n v="3414.47"/>
    <n v="43853.62000000001"/>
    <n v="1490.8700000000003"/>
  </r>
  <r>
    <x v="5"/>
    <x v="1"/>
    <x v="0"/>
    <s v="2628200"/>
    <n v="700032"/>
    <s v="Salaries-Other Pat Care Providers-OT"/>
    <s v="WH-Puyallup OBGYN"/>
    <x v="0"/>
    <n v="1000"/>
    <n v="0"/>
    <n v="0"/>
    <n v="116.32"/>
    <n v="97.35"/>
    <n v="101.1"/>
    <n v="-6.94"/>
    <n v="40.69"/>
    <n v="-3.96"/>
    <n v="0"/>
    <n v="361.28"/>
    <n v="601.52"/>
    <n v="79.42"/>
    <n v="1386.78"/>
    <n v="522.1"/>
  </r>
  <r>
    <x v="5"/>
    <x v="1"/>
    <x v="0"/>
    <s v="2628200"/>
    <n v="700062"/>
    <s v="Salaries-Physician-Non-productive"/>
    <s v="WH-Puyallup OBGYN"/>
    <x v="0"/>
    <m/>
    <n v="4153.84"/>
    <n v="2192.3200000000002"/>
    <n v="576.92999999999995"/>
    <n v="0"/>
    <n v="0"/>
    <n v="0"/>
    <n v="0"/>
    <n v="0"/>
    <n v="0"/>
    <n v="0"/>
    <n v="0"/>
    <n v="0"/>
    <n v="6923.09"/>
    <n v="0"/>
  </r>
  <r>
    <x v="5"/>
    <x v="1"/>
    <x v="0"/>
    <s v="2628200"/>
    <n v="700064"/>
    <s v="Salaries-Advanced Practice Clinician-Non-Productive"/>
    <s v="WH-Puyallup OBGYN"/>
    <x v="0"/>
    <m/>
    <n v="935.25"/>
    <n v="2735.5"/>
    <n v="4532.74"/>
    <n v="-160.19"/>
    <n v="915.52"/>
    <n v="5470.17"/>
    <n v="12174.7"/>
    <n v="4258.17"/>
    <n v="3721.8"/>
    <n v="1600.1"/>
    <n v="892.78"/>
    <n v="1572.65"/>
    <n v="38649.19"/>
    <n v="-679.87000000000012"/>
  </r>
  <r>
    <x v="5"/>
    <x v="1"/>
    <x v="0"/>
    <s v="2628200"/>
    <n v="700064"/>
    <s v="Salaries-Advanced Practice Clinician-Non-Prod-Other"/>
    <s v="WH-Puyallup OBGYN"/>
    <x v="0"/>
    <n v="2000"/>
    <n v="0"/>
    <n v="0"/>
    <n v="0"/>
    <n v="0"/>
    <n v="500"/>
    <n v="0"/>
    <n v="0"/>
    <n v="-500"/>
    <n v="0"/>
    <n v="0"/>
    <n v="0"/>
    <n v="0"/>
    <n v="0"/>
    <n v="0"/>
  </r>
  <r>
    <x v="5"/>
    <x v="1"/>
    <x v="0"/>
    <s v="2628200"/>
    <n v="700070"/>
    <s v="Salaries-LPN-Non-productive"/>
    <s v="WH-Puyallup OBGYN"/>
    <x v="0"/>
    <m/>
    <n v="319.02999999999997"/>
    <n v="763.4"/>
    <n v="-272.19"/>
    <n v="0"/>
    <n v="0"/>
    <n v="1703.02"/>
    <n v="176.33"/>
    <n v="47.01"/>
    <n v="-15.66"/>
    <n v="1776.05"/>
    <n v="-731.31"/>
    <n v="522.37"/>
    <n v="4288.05"/>
    <n v="-1253.6799999999998"/>
  </r>
  <r>
    <x v="5"/>
    <x v="1"/>
    <x v="0"/>
    <s v="2628200"/>
    <n v="700070"/>
    <s v="Salaries-LPN-NonProd-Other"/>
    <s v="WH-Puyallup OB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8200"/>
    <n v="700072"/>
    <s v="Salaries-Other Pat Care Providers-Non-productive"/>
    <s v="WH-Puyallup OBGYN"/>
    <x v="0"/>
    <m/>
    <n v="405.84"/>
    <n v="1455.36"/>
    <n v="-103.4"/>
    <n v="210.71"/>
    <n v="713.62"/>
    <n v="1250.1400000000001"/>
    <n v="197.28"/>
    <n v="819.2"/>
    <n v="547.25"/>
    <n v="1355.19"/>
    <n v="-35.06"/>
    <n v="820.54"/>
    <n v="7636.6699999999983"/>
    <n v="-855.59999999999991"/>
  </r>
  <r>
    <x v="5"/>
    <x v="1"/>
    <x v="0"/>
    <s v="2628200"/>
    <n v="700072"/>
    <s v="Salaries-Other Pat Care Providers-NonProd-Other"/>
    <s v="WH-Puyallup OB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8200"/>
    <n v="700084"/>
    <s v="Accrued PTO"/>
    <s v="WH-Puyallup OBGYN"/>
    <x v="0"/>
    <m/>
    <n v="153.03"/>
    <n v="1416.49"/>
    <n v="692.47"/>
    <n v="680.96"/>
    <n v="594.41999999999996"/>
    <n v="-1861.64"/>
    <n v="522.35"/>
    <n v="156.29"/>
    <n v="492.46"/>
    <n v="-732.39"/>
    <n v="839.61"/>
    <n v="268.26"/>
    <n v="3222.3100000000004"/>
    <n v="571.35"/>
  </r>
  <r>
    <x v="6"/>
    <x v="1"/>
    <x v="0"/>
    <s v="2628200"/>
    <n v="713010"/>
    <s v="Benefits-FICA/Medicare"/>
    <s v="WH-Puyallup OBGYN"/>
    <x v="0"/>
    <m/>
    <n v="3037.16"/>
    <n v="4000.18"/>
    <n v="1906.75"/>
    <n v="1760.21"/>
    <n v="1384.52"/>
    <n v="976.72"/>
    <n v="1677.94"/>
    <n v="1350.16"/>
    <n v="1528.87"/>
    <n v="1627.11"/>
    <n v="1691.05"/>
    <n v="1412.91"/>
    <n v="22353.579999999998"/>
    <n v="278.13999999999987"/>
  </r>
  <r>
    <x v="6"/>
    <x v="1"/>
    <x v="0"/>
    <s v="2628200"/>
    <n v="713090"/>
    <s v="Benefits-Allocated Amounts"/>
    <s v="WH-Puyallup OBGYN"/>
    <x v="0"/>
    <m/>
    <n v="0"/>
    <n v="0"/>
    <n v="0"/>
    <n v="0"/>
    <n v="0"/>
    <n v="0"/>
    <n v="0"/>
    <n v="0"/>
    <n v="22724.14"/>
    <n v="2691.37"/>
    <n v="2335.5700000000002"/>
    <n v="2471.56"/>
    <n v="30222.639999999999"/>
    <n v="-135.98999999999978"/>
  </r>
  <r>
    <x v="6"/>
    <x v="1"/>
    <x v="0"/>
    <s v="2628200"/>
    <n v="713092"/>
    <s v="Allocated Benefits-Physician"/>
    <s v="WH-Puyallup OBGYN"/>
    <x v="0"/>
    <m/>
    <n v="4516.75"/>
    <n v="5373.94"/>
    <n v="4404.88"/>
    <n v="3808.31"/>
    <n v="3747.75"/>
    <n v="3677.27"/>
    <n v="4430.1000000000004"/>
    <n v="3965.89"/>
    <n v="-29244.67"/>
    <n v="554.30999999999995"/>
    <n v="481.03"/>
    <n v="509.04"/>
    <n v="6224.6"/>
    <n v="-28.010000000000048"/>
  </r>
  <r>
    <x v="6"/>
    <x v="1"/>
    <x v="0"/>
    <s v="2628200"/>
    <n v="713093"/>
    <s v="Allocated Benefits-Advanced Practice Clinician"/>
    <s v="WH-Puyallup OBGYN"/>
    <x v="0"/>
    <m/>
    <n v="0"/>
    <n v="0"/>
    <n v="0"/>
    <n v="0"/>
    <n v="0"/>
    <n v="0"/>
    <n v="0"/>
    <n v="0"/>
    <n v="10697.65"/>
    <n v="1266.99"/>
    <n v="1099.49"/>
    <n v="1163.52"/>
    <n v="14227.65"/>
    <n v="-64.029999999999973"/>
  </r>
  <r>
    <x v="11"/>
    <x v="1"/>
    <x v="0"/>
    <s v="2628200"/>
    <n v="721410"/>
    <s v="Supplies-Medical - Nonbillable"/>
    <s v="WH-Puyallup OBGYN"/>
    <x v="0"/>
    <m/>
    <n v="0"/>
    <n v="0"/>
    <n v="237"/>
    <n v="0"/>
    <n v="0"/>
    <n v="0"/>
    <n v="0"/>
    <n v="0"/>
    <n v="0"/>
    <n v="0"/>
    <n v="0"/>
    <n v="0"/>
    <n v="237"/>
    <n v="0"/>
  </r>
  <r>
    <x v="8"/>
    <x v="1"/>
    <x v="0"/>
    <s v="2628200"/>
    <n v="741012"/>
    <s v="Physician Liab Insurance-CHI Program"/>
    <s v="WH-Puyallup OBGYN"/>
    <x v="0"/>
    <m/>
    <n v="3516.05"/>
    <n v="2936.75"/>
    <n v="0"/>
    <n v="0"/>
    <n v="0"/>
    <n v="0"/>
    <n v="0"/>
    <n v="0"/>
    <n v="0"/>
    <n v="0"/>
    <n v="0"/>
    <n v="0"/>
    <n v="6452.8"/>
    <n v="0"/>
  </r>
  <r>
    <x v="0"/>
    <x v="1"/>
    <x v="0"/>
    <s v="2628200"/>
    <n v="749510"/>
    <s v="Miscellaneous Expenses"/>
    <s v="WH-Puyallup OBGYN"/>
    <x v="0"/>
    <m/>
    <n v="0"/>
    <n v="0"/>
    <n v="0"/>
    <n v="0"/>
    <n v="0"/>
    <n v="0"/>
    <n v="0"/>
    <n v="0"/>
    <n v="0"/>
    <n v="0"/>
    <n v="0"/>
    <n v="2398.16"/>
    <n v="2398.16"/>
    <n v="-2398.16"/>
  </r>
  <r>
    <x v="0"/>
    <x v="1"/>
    <x v="0"/>
    <s v="2628200"/>
    <n v="749513"/>
    <s v="Licenses-Advanced Practice Clinician"/>
    <s v="WH-Puyallup OBGYN"/>
    <x v="0"/>
    <n v="2000"/>
    <n v="0"/>
    <n v="0"/>
    <n v="0"/>
    <n v="0"/>
    <n v="0"/>
    <n v="0"/>
    <n v="0"/>
    <n v="1051"/>
    <n v="0"/>
    <n v="0"/>
    <n v="0"/>
    <n v="0"/>
    <n v="1051"/>
    <n v="0"/>
  </r>
  <r>
    <x v="0"/>
    <x v="1"/>
    <x v="0"/>
    <s v="2628200"/>
    <n v="749591"/>
    <s v="Other Expense-Intracompany Allocation"/>
    <s v="WH-Puyallup OBGYN"/>
    <x v="0"/>
    <m/>
    <n v="24109.81"/>
    <n v="26658.240000000002"/>
    <n v="10362.200000000001"/>
    <n v="15155.94"/>
    <n v="15243.65"/>
    <n v="8167.49"/>
    <n v="11249.68"/>
    <n v="12523.13"/>
    <n v="11683.65"/>
    <n v="12642.64"/>
    <n v="4627.49"/>
    <n v="3102.11"/>
    <n v="155526.02999999997"/>
    <n v="1525.3799999999997"/>
  </r>
  <r>
    <x v="9"/>
    <x v="1"/>
    <x v="0"/>
    <s v="2628200"/>
    <n v="800015"/>
    <s v="Interest Income-Ext to CHI"/>
    <s v="WH-Puyallup OBGYN"/>
    <x v="0"/>
    <m/>
    <n v="-101.92"/>
    <n v="-97.67"/>
    <n v="-90.41"/>
    <n v="-89.17"/>
    <n v="-82.19"/>
    <n v="-80.680000000000007"/>
    <n v="-76.430000000000007"/>
    <n v="-65.2"/>
    <n v="-67.94"/>
    <n v="-61.64"/>
    <n v="-59.45"/>
    <n v="-53.42"/>
    <n v="-926.12000000000012"/>
    <n v="-6.0300000000000011"/>
  </r>
  <r>
    <x v="1"/>
    <x v="1"/>
    <x v="0"/>
    <s v="2629200"/>
    <n v="400029"/>
    <s v="MD Practice Other Rev--Medicare"/>
    <s v="Fran Pain Mgmt St Anthony"/>
    <x v="0"/>
    <n v="1100"/>
    <n v="0"/>
    <n v="0"/>
    <n v="0"/>
    <n v="0"/>
    <n v="0"/>
    <n v="0"/>
    <n v="0"/>
    <n v="0"/>
    <n v="0"/>
    <n v="0"/>
    <n v="-498"/>
    <n v="-166"/>
    <n v="-664"/>
    <n v="-332"/>
  </r>
  <r>
    <x v="1"/>
    <x v="1"/>
    <x v="0"/>
    <s v="2629200"/>
    <n v="400029"/>
    <s v="MD Practice Other Rev--Medicaid"/>
    <s v="Fran Pain Mgmt St Anthony"/>
    <x v="0"/>
    <n v="1200"/>
    <n v="0"/>
    <n v="0"/>
    <n v="0"/>
    <n v="0"/>
    <n v="0"/>
    <n v="0"/>
    <n v="0"/>
    <n v="0"/>
    <n v="0"/>
    <n v="0"/>
    <n v="-166"/>
    <n v="-166"/>
    <n v="-332"/>
    <n v="0"/>
  </r>
  <r>
    <x v="1"/>
    <x v="1"/>
    <x v="0"/>
    <s v="2629200"/>
    <n v="400029"/>
    <s v="MD Practice Other Rev--Managed Care"/>
    <s v="Fran Pain Mgmt St Anthony"/>
    <x v="0"/>
    <n v="1400"/>
    <n v="0"/>
    <n v="0"/>
    <n v="0"/>
    <n v="0"/>
    <n v="0"/>
    <n v="0"/>
    <n v="0"/>
    <n v="0"/>
    <n v="0"/>
    <n v="0"/>
    <n v="-332"/>
    <n v="0"/>
    <n v="-332"/>
    <n v="-332"/>
  </r>
  <r>
    <x v="1"/>
    <x v="1"/>
    <x v="0"/>
    <s v="2629200"/>
    <n v="400040"/>
    <s v="Physician Svcs Rev--Medicare"/>
    <s v="Fran Pain Mgmt St Anthony"/>
    <x v="0"/>
    <n v="1100"/>
    <n v="0"/>
    <n v="0"/>
    <n v="0"/>
    <n v="0"/>
    <n v="0"/>
    <n v="0"/>
    <n v="-14675"/>
    <n v="-18676"/>
    <n v="-18011"/>
    <n v="-29681"/>
    <n v="-54372"/>
    <n v="-39253"/>
    <n v="-174668"/>
    <n v="-15119"/>
  </r>
  <r>
    <x v="1"/>
    <x v="1"/>
    <x v="0"/>
    <s v="2629200"/>
    <n v="400040"/>
    <s v="Physician Svcs Rev--Medicaid"/>
    <s v="Fran Pain Mgmt St Anthony"/>
    <x v="0"/>
    <n v="1200"/>
    <n v="0"/>
    <n v="0"/>
    <n v="0"/>
    <n v="0"/>
    <n v="0"/>
    <n v="0"/>
    <n v="-8748"/>
    <n v="-18690"/>
    <n v="-17236"/>
    <n v="-25717"/>
    <n v="-31442"/>
    <n v="-23386"/>
    <n v="-125219"/>
    <n v="-8056"/>
  </r>
  <r>
    <x v="1"/>
    <x v="1"/>
    <x v="0"/>
    <s v="2629200"/>
    <n v="400040"/>
    <s v="Physician Svcs Rev--Comm Insurance"/>
    <s v="Fran Pain Mgmt St Anthony"/>
    <x v="0"/>
    <n v="1300"/>
    <n v="0"/>
    <n v="0"/>
    <n v="0"/>
    <n v="0"/>
    <n v="0"/>
    <n v="0"/>
    <n v="-400"/>
    <n v="-1104"/>
    <n v="-904"/>
    <n v="-1706"/>
    <n v="-295"/>
    <n v="52"/>
    <n v="-4357"/>
    <n v="-347"/>
  </r>
  <r>
    <x v="1"/>
    <x v="1"/>
    <x v="0"/>
    <s v="2629200"/>
    <n v="400040"/>
    <s v="Physician Svcs Rev--BCBS Comm"/>
    <s v="Fran Pain Mgmt St Anthony"/>
    <x v="0"/>
    <n v="1301"/>
    <n v="0"/>
    <n v="0"/>
    <n v="0"/>
    <n v="0"/>
    <n v="0"/>
    <n v="0"/>
    <n v="-2480"/>
    <n v="-2280"/>
    <n v="-5610"/>
    <n v="-1580"/>
    <n v="-3643"/>
    <n v="-2801"/>
    <n v="-18394"/>
    <n v="-842"/>
  </r>
  <r>
    <x v="1"/>
    <x v="1"/>
    <x v="0"/>
    <s v="2629200"/>
    <n v="400040"/>
    <s v="Physician Svcs Rev--Managed Care"/>
    <s v="Fran Pain Mgmt St Anthony"/>
    <x v="0"/>
    <n v="1400"/>
    <n v="0"/>
    <n v="0"/>
    <n v="0"/>
    <n v="0"/>
    <n v="0"/>
    <n v="0"/>
    <n v="-5512"/>
    <n v="-5140"/>
    <n v="-4730"/>
    <n v="-10862"/>
    <n v="-14278"/>
    <n v="-13411"/>
    <n v="-53933"/>
    <n v="-867"/>
  </r>
  <r>
    <x v="1"/>
    <x v="1"/>
    <x v="0"/>
    <s v="2629200"/>
    <n v="400040"/>
    <s v="Physician Svcs Rev--Self Pay"/>
    <s v="Fran Pain Mgmt St Anthony"/>
    <x v="0"/>
    <n v="1500"/>
    <n v="0"/>
    <n v="0"/>
    <n v="0"/>
    <n v="0"/>
    <n v="0"/>
    <n v="0"/>
    <n v="-452"/>
    <n v="0"/>
    <n v="-90"/>
    <n v="-1949"/>
    <n v="-759"/>
    <n v="-1242"/>
    <n v="-4492"/>
    <n v="483"/>
  </r>
  <r>
    <x v="1"/>
    <x v="1"/>
    <x v="0"/>
    <s v="2629200"/>
    <n v="400040"/>
    <s v="Physician Svcs Rev--Other"/>
    <s v="Fran Pain Mgmt St Anthony"/>
    <x v="0"/>
    <n v="1700"/>
    <n v="0"/>
    <n v="0"/>
    <n v="0"/>
    <n v="0"/>
    <n v="0"/>
    <n v="0"/>
    <n v="-1104"/>
    <n v="-4720"/>
    <n v="-6067"/>
    <n v="-4561"/>
    <n v="-6486"/>
    <n v="-800"/>
    <n v="-23738"/>
    <n v="-5686"/>
  </r>
  <r>
    <x v="2"/>
    <x v="1"/>
    <x v="0"/>
    <s v="2629200"/>
    <n v="450029"/>
    <s v="Contr Allow--MD Other-Medicare"/>
    <s v="Fran Pain Mgmt St Anthony"/>
    <x v="0"/>
    <n v="1100"/>
    <n v="0"/>
    <n v="0"/>
    <n v="0"/>
    <n v="0"/>
    <n v="0"/>
    <n v="0"/>
    <n v="0"/>
    <n v="0"/>
    <n v="0"/>
    <n v="0"/>
    <n v="217.05"/>
    <n v="213.61"/>
    <n v="430.66"/>
    <n v="3.4399999999999977"/>
  </r>
  <r>
    <x v="2"/>
    <x v="1"/>
    <x v="0"/>
    <s v="2629200"/>
    <n v="450029"/>
    <s v="Contr Allow--MD Other-Medicaid"/>
    <s v="Fran Pain Mgmt St Anthony"/>
    <x v="0"/>
    <n v="1200"/>
    <n v="0"/>
    <n v="0"/>
    <n v="0"/>
    <n v="0"/>
    <n v="0"/>
    <n v="0"/>
    <n v="0"/>
    <n v="0"/>
    <n v="0"/>
    <n v="0"/>
    <n v="125.39"/>
    <n v="125.39"/>
    <n v="250.78"/>
    <n v="0"/>
  </r>
  <r>
    <x v="2"/>
    <x v="1"/>
    <x v="0"/>
    <s v="2629200"/>
    <n v="450029"/>
    <s v="Contr Allow--MD Other-Managed Care"/>
    <s v="Fran Pain Mgmt St Anthony"/>
    <x v="0"/>
    <n v="1400"/>
    <n v="0"/>
    <n v="0"/>
    <n v="0"/>
    <n v="0"/>
    <n v="0"/>
    <n v="0"/>
    <n v="0"/>
    <n v="0"/>
    <n v="0"/>
    <n v="0"/>
    <n v="55.45"/>
    <n v="55.45"/>
    <n v="110.9"/>
    <n v="0"/>
  </r>
  <r>
    <x v="2"/>
    <x v="1"/>
    <x v="0"/>
    <s v="2629200"/>
    <n v="450040"/>
    <s v="Contr Allow--Phys Svcs--Mcare"/>
    <s v="Fran Pain Mgmt St Anthony"/>
    <x v="0"/>
    <n v="1100"/>
    <n v="0"/>
    <n v="0"/>
    <n v="0"/>
    <n v="0"/>
    <n v="0"/>
    <n v="0"/>
    <n v="3922.09"/>
    <n v="8570.2999999999993"/>
    <n v="14136.84"/>
    <n v="13189.09"/>
    <n v="25012.45"/>
    <n v="29151.58"/>
    <n v="93982.35"/>
    <n v="-4139.130000000001"/>
  </r>
  <r>
    <x v="2"/>
    <x v="1"/>
    <x v="0"/>
    <s v="2629200"/>
    <n v="450040"/>
    <s v="Contr Allow--Phys Svcs--Mcaid"/>
    <s v="Fran Pain Mgmt St Anthony"/>
    <x v="0"/>
    <n v="1200"/>
    <n v="0"/>
    <n v="0"/>
    <n v="0"/>
    <n v="0"/>
    <n v="0"/>
    <n v="0"/>
    <n v="1958.09"/>
    <n v="8782.5499999999993"/>
    <n v="16699.93"/>
    <n v="14650.97"/>
    <n v="21316.52"/>
    <n v="15260.23"/>
    <n v="78668.289999999994"/>
    <n v="6056.2900000000009"/>
  </r>
  <r>
    <x v="2"/>
    <x v="1"/>
    <x v="0"/>
    <s v="2629200"/>
    <n v="450040"/>
    <s v="Contr Allow--Phys Svcs--Comm Insurance"/>
    <s v="Fran Pain Mgmt St Anthony"/>
    <x v="0"/>
    <n v="1300"/>
    <n v="0"/>
    <n v="0"/>
    <n v="0"/>
    <n v="0"/>
    <n v="0"/>
    <n v="0"/>
    <n v="64.12"/>
    <n v="0"/>
    <n v="439.12"/>
    <n v="143.78"/>
    <n v="578.03"/>
    <n v="80.66"/>
    <n v="1305.71"/>
    <n v="497.37"/>
  </r>
  <r>
    <x v="2"/>
    <x v="1"/>
    <x v="0"/>
    <s v="2629200"/>
    <n v="450040"/>
    <s v="Contr Allow--Phys Svcs--BCBS Comm Ins"/>
    <s v="Fran Pain Mgmt St Anthony"/>
    <x v="0"/>
    <n v="1301"/>
    <n v="0"/>
    <n v="0"/>
    <n v="0"/>
    <n v="0"/>
    <n v="0"/>
    <n v="0"/>
    <n v="48.55"/>
    <n v="457.39"/>
    <n v="2268.66"/>
    <n v="505.8"/>
    <n v="599.4"/>
    <n v="467.86"/>
    <n v="4347.66"/>
    <n v="131.53999999999996"/>
  </r>
  <r>
    <x v="2"/>
    <x v="1"/>
    <x v="0"/>
    <s v="2629200"/>
    <n v="450040"/>
    <s v="Contr Allow--Phys Svcs--Managed Care"/>
    <s v="Fran Pain Mgmt St Anthony"/>
    <x v="0"/>
    <n v="1400"/>
    <n v="0"/>
    <n v="0"/>
    <n v="0"/>
    <n v="0"/>
    <n v="0"/>
    <n v="0"/>
    <n v="375.93"/>
    <n v="1626.79"/>
    <n v="2185.0700000000002"/>
    <n v="1539.79"/>
    <n v="4372.32"/>
    <n v="4197.57"/>
    <n v="14297.47"/>
    <n v="174.75"/>
  </r>
  <r>
    <x v="2"/>
    <x v="1"/>
    <x v="0"/>
    <s v="2629200"/>
    <n v="450040"/>
    <s v="Contr Allow--Phys Svcs--BCBS Mgnd Care"/>
    <s v="Fran Pain Mgmt St Anthony"/>
    <x v="0"/>
    <n v="1401"/>
    <n v="0"/>
    <n v="0"/>
    <n v="0"/>
    <n v="0"/>
    <n v="0"/>
    <n v="0"/>
    <n v="12985.23"/>
    <n v="10849.77"/>
    <n v="-4370.1499999999996"/>
    <n v="10680.88"/>
    <n v="13034.46"/>
    <n v="-2849.53"/>
    <n v="40330.659999999996"/>
    <n v="15883.99"/>
  </r>
  <r>
    <x v="2"/>
    <x v="1"/>
    <x v="0"/>
    <s v="2629200"/>
    <n v="450040"/>
    <s v="Admin Adjust-Phys Svcs-Self Pay"/>
    <s v="Fran Pain Mgmt St Anthony"/>
    <x v="0"/>
    <n v="1600"/>
    <n v="0"/>
    <n v="0"/>
    <n v="0"/>
    <n v="0"/>
    <n v="0"/>
    <n v="0"/>
    <n v="167.24"/>
    <n v="0"/>
    <n v="33.299999999999997"/>
    <n v="910.85"/>
    <n v="280.83"/>
    <n v="576.9"/>
    <n v="1969.12"/>
    <n v="-296.07"/>
  </r>
  <r>
    <x v="2"/>
    <x v="1"/>
    <x v="0"/>
    <s v="2629200"/>
    <n v="450040"/>
    <s v="Contr Allow--Phys Svcs--Other"/>
    <s v="Fran Pain Mgmt St Anthony"/>
    <x v="0"/>
    <n v="1700"/>
    <n v="0"/>
    <n v="0"/>
    <n v="0"/>
    <n v="0"/>
    <n v="0"/>
    <n v="0"/>
    <n v="0"/>
    <n v="694.84"/>
    <n v="2695.01"/>
    <n v="4820.5600000000004"/>
    <n v="2624.55"/>
    <n v="1754.43"/>
    <n v="12589.39"/>
    <n v="870.12000000000012"/>
  </r>
  <r>
    <x v="3"/>
    <x v="1"/>
    <x v="0"/>
    <s v="2629200"/>
    <n v="470040"/>
    <s v="Charity Care-Physician Svcs"/>
    <s v="Fran Pain Mgmt St Anthony"/>
    <x v="0"/>
    <m/>
    <n v="0"/>
    <n v="0"/>
    <n v="0"/>
    <n v="0"/>
    <n v="0"/>
    <n v="0"/>
    <n v="680.72"/>
    <n v="846.38"/>
    <n v="194.41"/>
    <n v="856.1"/>
    <n v="413.89"/>
    <n v="1912.22"/>
    <n v="4903.72"/>
    <n v="-1498.33"/>
  </r>
  <r>
    <x v="4"/>
    <x v="1"/>
    <x v="0"/>
    <s v="2629200"/>
    <n v="490010"/>
    <s v="Provision for Bad Debts"/>
    <s v="Fran Pain Mgmt St Anthony"/>
    <x v="0"/>
    <m/>
    <n v="0"/>
    <n v="0"/>
    <n v="0"/>
    <n v="0"/>
    <n v="0"/>
    <n v="0"/>
    <n v="1380.34"/>
    <n v="947.27"/>
    <n v="-303.23"/>
    <n v="1050.2"/>
    <n v="1268.93"/>
    <n v="-14.18"/>
    <n v="4329.33"/>
    <n v="1283.1100000000001"/>
  </r>
  <r>
    <x v="5"/>
    <x v="1"/>
    <x v="0"/>
    <s v="2629200"/>
    <n v="700022"/>
    <s v="Salaries-Physician-Productive"/>
    <s v="Fran Pain Mgmt St Anthony"/>
    <x v="0"/>
    <m/>
    <n v="0"/>
    <n v="0"/>
    <n v="0"/>
    <n v="0"/>
    <n v="0"/>
    <n v="0"/>
    <n v="25237.41"/>
    <n v="24682.76"/>
    <n v="18720.060000000001"/>
    <n v="29258.77"/>
    <n v="28244.720000000001"/>
    <n v="27692.799999999999"/>
    <n v="153836.51999999999"/>
    <n v="551.92000000000189"/>
  </r>
  <r>
    <x v="5"/>
    <x v="1"/>
    <x v="0"/>
    <s v="2629200"/>
    <n v="700026"/>
    <s v="Salaries-RN-Productive"/>
    <s v="Fran Pain Mgmt St Anthony"/>
    <x v="0"/>
    <m/>
    <n v="0"/>
    <n v="0"/>
    <n v="0"/>
    <n v="0"/>
    <n v="0"/>
    <n v="4376.3500000000004"/>
    <n v="5947.69"/>
    <n v="4089.39"/>
    <n v="4246.68"/>
    <n v="6348.73"/>
    <n v="5720.91"/>
    <n v="3459.16"/>
    <n v="34188.910000000003"/>
    <n v="2261.75"/>
  </r>
  <r>
    <x v="5"/>
    <x v="1"/>
    <x v="0"/>
    <s v="2629200"/>
    <n v="700026"/>
    <s v="Salaries-RN-OT"/>
    <s v="Fran Pain Mgmt St Anthony"/>
    <x v="0"/>
    <n v="1000"/>
    <n v="0"/>
    <n v="0"/>
    <n v="0"/>
    <n v="0"/>
    <n v="0"/>
    <n v="610.32000000000005"/>
    <n v="339.87"/>
    <n v="14.67"/>
    <n v="409.52"/>
    <n v="207.82"/>
    <n v="213.95"/>
    <n v="36.659999999999997"/>
    <n v="1832.8100000000002"/>
    <n v="177.29"/>
  </r>
  <r>
    <x v="5"/>
    <x v="1"/>
    <x v="0"/>
    <s v="2629200"/>
    <n v="700030"/>
    <s v="Salaries-LPN-Productive"/>
    <s v="Fran Pain Mgmt St Anthony"/>
    <x v="0"/>
    <m/>
    <n v="0"/>
    <n v="0"/>
    <n v="0"/>
    <n v="0"/>
    <n v="0"/>
    <n v="0"/>
    <n v="0"/>
    <n v="0"/>
    <n v="0"/>
    <n v="0"/>
    <n v="0"/>
    <n v="185.23"/>
    <n v="185.23"/>
    <n v="-185.23"/>
  </r>
  <r>
    <x v="5"/>
    <x v="1"/>
    <x v="0"/>
    <s v="2629200"/>
    <n v="700030"/>
    <s v="Salaries-LPN-Other"/>
    <s v="Fran Pain Mgmt St Anthony"/>
    <x v="0"/>
    <n v="2000"/>
    <n v="0"/>
    <n v="0"/>
    <n v="0"/>
    <n v="0"/>
    <n v="0"/>
    <n v="0"/>
    <n v="0"/>
    <n v="0"/>
    <n v="0"/>
    <n v="0"/>
    <n v="0"/>
    <n v="8.51"/>
    <n v="8.51"/>
    <n v="-8.51"/>
  </r>
  <r>
    <x v="5"/>
    <x v="1"/>
    <x v="0"/>
    <s v="2629200"/>
    <n v="700062"/>
    <s v="Salaries-Physician-Non-productive"/>
    <s v="Fran Pain Mgmt St Anthony"/>
    <x v="0"/>
    <m/>
    <n v="0"/>
    <n v="0"/>
    <n v="0"/>
    <n v="0"/>
    <n v="0"/>
    <n v="0"/>
    <n v="3882.68"/>
    <n v="277.35000000000002"/>
    <n v="10400.040000000001"/>
    <n v="1247.99"/>
    <n v="3597.23"/>
    <n v="0"/>
    <n v="19405.29"/>
    <n v="3597.23"/>
  </r>
  <r>
    <x v="5"/>
    <x v="1"/>
    <x v="0"/>
    <s v="2629200"/>
    <n v="700066"/>
    <s v="Salaries-RN-Non-productive"/>
    <s v="Fran Pain Mgmt St Anthony"/>
    <x v="0"/>
    <m/>
    <n v="0"/>
    <n v="0"/>
    <n v="0"/>
    <n v="0"/>
    <n v="0"/>
    <n v="1145.76"/>
    <n v="168.03"/>
    <n v="-3.25"/>
    <n v="977.94"/>
    <n v="-325.98"/>
    <n v="325.98"/>
    <n v="651.95000000000005"/>
    <n v="2940.4300000000003"/>
    <n v="-325.97000000000003"/>
  </r>
  <r>
    <x v="5"/>
    <x v="1"/>
    <x v="0"/>
    <s v="2629200"/>
    <n v="700066"/>
    <s v="Salaries-RN-NonProd-Other"/>
    <s v="Fran Pain Mgmt St Anthon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29200"/>
    <n v="700084"/>
    <s v="Accrued PTO"/>
    <s v="Fran Pain Mgmt St Anthony"/>
    <x v="0"/>
    <m/>
    <n v="0"/>
    <n v="0"/>
    <n v="0"/>
    <n v="0"/>
    <n v="0"/>
    <n v="-1364.76"/>
    <n v="1388.59"/>
    <n v="605.42999999999995"/>
    <n v="-50.13"/>
    <n v="597.29"/>
    <n v="275.37"/>
    <n v="62.17"/>
    <n v="1513.96"/>
    <n v="213.2"/>
  </r>
  <r>
    <x v="6"/>
    <x v="1"/>
    <x v="0"/>
    <s v="2629200"/>
    <n v="713010"/>
    <s v="Benefits-FICA/Medicare"/>
    <s v="Fran Pain Mgmt St Anthony"/>
    <x v="0"/>
    <m/>
    <n v="0"/>
    <n v="0"/>
    <n v="0"/>
    <n v="0"/>
    <n v="0"/>
    <n v="449.04"/>
    <n v="2651.7"/>
    <n v="2200.04"/>
    <n v="2627.15"/>
    <n v="2773.37"/>
    <n v="876.21"/>
    <n v="711.04"/>
    <n v="12288.55"/>
    <n v="165.17000000000007"/>
  </r>
  <r>
    <x v="6"/>
    <x v="1"/>
    <x v="0"/>
    <s v="2629200"/>
    <n v="713090"/>
    <s v="Benefits-Allocated Amounts"/>
    <s v="Fran Pain Mgmt St Anthony"/>
    <x v="0"/>
    <m/>
    <n v="0"/>
    <n v="0"/>
    <n v="0"/>
    <n v="0"/>
    <n v="0"/>
    <n v="1090.01"/>
    <n v="3008.9"/>
    <n v="2996.96"/>
    <n v="3368.04"/>
    <n v="3411.05"/>
    <n v="3720.03"/>
    <n v="3429.47"/>
    <n v="21024.46"/>
    <n v="290.5600000000004"/>
  </r>
  <r>
    <x v="7"/>
    <x v="1"/>
    <x v="0"/>
    <s v="2629200"/>
    <n v="718050"/>
    <s v="Purchased Srvcs--Medical Waste"/>
    <s v="Fran Pain Mgmt St Anthony"/>
    <x v="0"/>
    <n v="1027"/>
    <n v="0"/>
    <n v="0"/>
    <n v="0"/>
    <n v="0"/>
    <n v="0"/>
    <n v="0"/>
    <n v="0"/>
    <n v="78.739999999999995"/>
    <n v="0"/>
    <n v="0"/>
    <n v="0"/>
    <n v="161.62"/>
    <n v="240.36"/>
    <n v="-161.62"/>
  </r>
  <r>
    <x v="11"/>
    <x v="1"/>
    <x v="0"/>
    <s v="2629200"/>
    <n v="721410"/>
    <s v="Supplies-Medical - Nonbillable"/>
    <s v="Fran Pain Mgmt St Anthony"/>
    <x v="0"/>
    <m/>
    <n v="0"/>
    <n v="0"/>
    <n v="0"/>
    <n v="0"/>
    <n v="0"/>
    <n v="0"/>
    <n v="1531.09"/>
    <n v="573.16999999999996"/>
    <n v="34.61"/>
    <n v="150.22999999999999"/>
    <n v="0"/>
    <n v="0"/>
    <n v="2289.1"/>
    <n v="0"/>
  </r>
  <r>
    <x v="11"/>
    <x v="1"/>
    <x v="0"/>
    <s v="2629200"/>
    <n v="721830"/>
    <s v="Supplies-Office"/>
    <s v="Fran Pain Mgmt St Anthony"/>
    <x v="0"/>
    <m/>
    <n v="0"/>
    <n v="0"/>
    <n v="0"/>
    <n v="0"/>
    <n v="0"/>
    <n v="0"/>
    <n v="0"/>
    <n v="0"/>
    <n v="0"/>
    <n v="0"/>
    <n v="2637.09"/>
    <n v="0"/>
    <n v="2637.09"/>
    <n v="2637.09"/>
  </r>
  <r>
    <x v="8"/>
    <x v="1"/>
    <x v="0"/>
    <s v="2629200"/>
    <n v="741012"/>
    <s v="Physician Liab Insurance-CHI Program"/>
    <s v="Fran Pain Mgmt St Anthony"/>
    <x v="0"/>
    <m/>
    <n v="0"/>
    <n v="0"/>
    <n v="0"/>
    <n v="0"/>
    <n v="0"/>
    <n v="0"/>
    <n v="0"/>
    <n v="0"/>
    <n v="71.05"/>
    <n v="71.05"/>
    <n v="71.05"/>
    <n v="71.05"/>
    <n v="284.2"/>
    <n v="0"/>
  </r>
  <r>
    <x v="0"/>
    <x v="1"/>
    <x v="0"/>
    <s v="2629200"/>
    <n v="743022"/>
    <s v="Dues-Physician"/>
    <s v="Fran Pain Mgmt St Anthony"/>
    <x v="0"/>
    <m/>
    <n v="0"/>
    <n v="0"/>
    <n v="0"/>
    <n v="0"/>
    <n v="0"/>
    <n v="0"/>
    <n v="0"/>
    <n v="143"/>
    <n v="0"/>
    <n v="0"/>
    <n v="1050"/>
    <n v="0"/>
    <n v="1193"/>
    <n v="1050"/>
  </r>
  <r>
    <x v="0"/>
    <x v="1"/>
    <x v="0"/>
    <s v="2629200"/>
    <n v="749510"/>
    <s v="Miscellaneous Expenses"/>
    <s v="Fran Pain Mgmt St Anthony"/>
    <x v="0"/>
    <m/>
    <n v="0"/>
    <n v="0"/>
    <n v="0"/>
    <n v="0"/>
    <n v="0"/>
    <n v="0"/>
    <n v="0"/>
    <n v="0"/>
    <n v="0"/>
    <n v="4344.09"/>
    <n v="-4344.09"/>
    <n v="0"/>
    <n v="0"/>
    <n v="-4344.09"/>
  </r>
  <r>
    <x v="0"/>
    <x v="1"/>
    <x v="0"/>
    <s v="2629200"/>
    <n v="749512"/>
    <s v="Licenses-Physician"/>
    <s v="Fran Pain Mgmt St Anthony"/>
    <x v="0"/>
    <n v="2000"/>
    <n v="0"/>
    <n v="0"/>
    <n v="0"/>
    <n v="0"/>
    <n v="0"/>
    <n v="0"/>
    <n v="0"/>
    <n v="0"/>
    <n v="0"/>
    <n v="0"/>
    <n v="657"/>
    <n v="0"/>
    <n v="657"/>
    <n v="657"/>
  </r>
  <r>
    <x v="1"/>
    <x v="1"/>
    <x v="0"/>
    <s v="2631200"/>
    <n v="400029"/>
    <s v="MD Practice Other Rev--Medicare"/>
    <s v="FMG Wound Care"/>
    <x v="0"/>
    <n v="1100"/>
    <n v="0"/>
    <n v="0"/>
    <n v="-9"/>
    <n v="0"/>
    <n v="0"/>
    <n v="-18"/>
    <n v="0"/>
    <n v="0"/>
    <n v="0"/>
    <n v="0"/>
    <n v="0"/>
    <n v="0"/>
    <n v="-27"/>
    <n v="0"/>
  </r>
  <r>
    <x v="1"/>
    <x v="1"/>
    <x v="0"/>
    <s v="2631200"/>
    <n v="400029"/>
    <s v="MD Practice Other Rev--Medicaid"/>
    <s v="FMG Wound Care"/>
    <x v="0"/>
    <n v="1200"/>
    <n v="0"/>
    <n v="0"/>
    <n v="0"/>
    <n v="-9"/>
    <n v="0"/>
    <n v="0"/>
    <n v="0"/>
    <n v="0"/>
    <n v="0"/>
    <n v="0"/>
    <n v="0"/>
    <n v="0"/>
    <n v="-9"/>
    <n v="0"/>
  </r>
  <r>
    <x v="1"/>
    <x v="1"/>
    <x v="0"/>
    <s v="2631200"/>
    <n v="400040"/>
    <s v="Physician Svcs Rev--Medicare"/>
    <s v="FMG Wound Care"/>
    <x v="0"/>
    <n v="1100"/>
    <n v="-59188"/>
    <n v="-48394.5"/>
    <n v="-59199"/>
    <n v="-77241"/>
    <n v="-73202"/>
    <n v="-96890"/>
    <n v="-93086"/>
    <n v="-66438"/>
    <n v="-88260"/>
    <n v="-98327"/>
    <n v="-107753"/>
    <n v="-80229.710000000006"/>
    <n v="-948208.21"/>
    <n v="-27523.289999999994"/>
  </r>
  <r>
    <x v="1"/>
    <x v="1"/>
    <x v="0"/>
    <s v="2631200"/>
    <n v="400040"/>
    <s v="Physician Svcs Rev--Medicaid"/>
    <s v="FMG Wound Care"/>
    <x v="0"/>
    <n v="1200"/>
    <n v="-23394"/>
    <n v="-21140"/>
    <n v="-22579"/>
    <n v="-31091"/>
    <n v="-21192"/>
    <n v="-34857"/>
    <n v="-35650"/>
    <n v="-23266"/>
    <n v="-30279"/>
    <n v="-25646"/>
    <n v="-21765"/>
    <n v="-18921"/>
    <n v="-309780"/>
    <n v="-2844"/>
  </r>
  <r>
    <x v="1"/>
    <x v="1"/>
    <x v="0"/>
    <s v="2631200"/>
    <n v="400040"/>
    <s v="Physician Svcs Rev--Comm Insurance"/>
    <s v="FMG Wound Care"/>
    <x v="0"/>
    <n v="1300"/>
    <n v="-345"/>
    <n v="-3046"/>
    <n v="-4274"/>
    <n v="-6020"/>
    <n v="-1432"/>
    <n v="-801"/>
    <n v="-2434"/>
    <n v="-141"/>
    <n v="-2597"/>
    <n v="-1177"/>
    <n v="-3118"/>
    <n v="-3396"/>
    <n v="-28781"/>
    <n v="278"/>
  </r>
  <r>
    <x v="1"/>
    <x v="1"/>
    <x v="0"/>
    <s v="2631200"/>
    <n v="400040"/>
    <s v="Physician Svcs Rev--BCBS Comm"/>
    <s v="FMG Wound Care"/>
    <x v="0"/>
    <n v="1301"/>
    <n v="0"/>
    <n v="-1577"/>
    <n v="-4134"/>
    <n v="-4204"/>
    <n v="-1493"/>
    <n v="-1388"/>
    <n v="-1916"/>
    <n v="-820"/>
    <n v="-927"/>
    <n v="-4182"/>
    <n v="-5891"/>
    <n v="-3587"/>
    <n v="-30119"/>
    <n v="-2304"/>
  </r>
  <r>
    <x v="1"/>
    <x v="1"/>
    <x v="0"/>
    <s v="2631200"/>
    <n v="400040"/>
    <s v="Physician Svcs Rev--Managed Care"/>
    <s v="FMG Wound Care"/>
    <x v="0"/>
    <n v="1400"/>
    <n v="-17777"/>
    <n v="-15765"/>
    <n v="-7750"/>
    <n v="-19022"/>
    <n v="-14872"/>
    <n v="-18552"/>
    <n v="-15740"/>
    <n v="-15262"/>
    <n v="-12986"/>
    <n v="-18869"/>
    <n v="-26016"/>
    <n v="-26651"/>
    <n v="-209262"/>
    <n v="635"/>
  </r>
  <r>
    <x v="1"/>
    <x v="1"/>
    <x v="0"/>
    <s v="2631200"/>
    <n v="400040"/>
    <s v="Physician Svcs Rev--Self Pay"/>
    <s v="FMG Wound Care"/>
    <x v="0"/>
    <n v="1500"/>
    <n v="-4671"/>
    <n v="-2513"/>
    <n v="-4594"/>
    <n v="-3125"/>
    <n v="-1928"/>
    <n v="-305"/>
    <n v="-3545"/>
    <n v="-1826"/>
    <n v="-4293"/>
    <n v="-5010"/>
    <n v="-2687"/>
    <n v="-2797"/>
    <n v="-37294"/>
    <n v="110"/>
  </r>
  <r>
    <x v="1"/>
    <x v="1"/>
    <x v="0"/>
    <s v="2631200"/>
    <n v="400040"/>
    <s v="Physician Svcs Rev--Other"/>
    <s v="FMG Wound Care"/>
    <x v="0"/>
    <n v="1700"/>
    <n v="-816"/>
    <n v="-4463"/>
    <n v="-4131"/>
    <n v="-6781"/>
    <n v="-2383"/>
    <n v="-2191"/>
    <n v="-2923"/>
    <n v="-1465"/>
    <n v="79"/>
    <n v="-853"/>
    <n v="-3167"/>
    <n v="-1736"/>
    <n v="-30830"/>
    <n v="-1431"/>
  </r>
  <r>
    <x v="2"/>
    <x v="1"/>
    <x v="0"/>
    <s v="2631200"/>
    <n v="450029"/>
    <s v="Contr Allow--MD Other-Medicaid"/>
    <s v="FMG Wound Care"/>
    <x v="0"/>
    <n v="1200"/>
    <n v="0"/>
    <n v="0"/>
    <n v="0"/>
    <n v="9"/>
    <n v="0"/>
    <n v="0"/>
    <n v="0"/>
    <n v="0"/>
    <n v="0"/>
    <n v="0"/>
    <n v="0"/>
    <n v="0"/>
    <n v="9"/>
    <n v="0"/>
  </r>
  <r>
    <x v="2"/>
    <x v="1"/>
    <x v="0"/>
    <s v="2631200"/>
    <n v="450029"/>
    <s v="Admin Adjust-MD Other-Self Pay"/>
    <s v="FMG Wound Care"/>
    <x v="0"/>
    <n v="1600"/>
    <n v="0"/>
    <n v="0"/>
    <n v="9"/>
    <n v="0"/>
    <n v="0"/>
    <n v="0"/>
    <n v="18"/>
    <n v="0"/>
    <n v="0"/>
    <n v="0"/>
    <n v="0"/>
    <n v="0"/>
    <n v="27"/>
    <n v="0"/>
  </r>
  <r>
    <x v="2"/>
    <x v="1"/>
    <x v="0"/>
    <s v="2631200"/>
    <n v="450040"/>
    <s v="Contr Allow--Phys Svcs--Mcare"/>
    <s v="FMG Wound Care"/>
    <x v="0"/>
    <n v="1100"/>
    <n v="36266.730000000003"/>
    <n v="27970.63"/>
    <n v="34970.1"/>
    <n v="46348.82"/>
    <n v="55914.74"/>
    <n v="59663.66"/>
    <n v="49684.2"/>
    <n v="44680.03"/>
    <n v="58182.63"/>
    <n v="63317.37"/>
    <n v="67536.25"/>
    <n v="71447.66"/>
    <n v="615982.82000000007"/>
    <n v="-3911.4100000000035"/>
  </r>
  <r>
    <x v="2"/>
    <x v="1"/>
    <x v="0"/>
    <s v="2631200"/>
    <n v="450040"/>
    <s v="Contr Allow--Phys Svcs--Mcaid"/>
    <s v="FMG Wound Care"/>
    <x v="0"/>
    <n v="1200"/>
    <n v="22653.87"/>
    <n v="20047.669999999998"/>
    <n v="16006.83"/>
    <n v="17507"/>
    <n v="25483.01"/>
    <n v="26196.28"/>
    <n v="22571.33"/>
    <n v="21615.82"/>
    <n v="36585.49"/>
    <n v="26953.52"/>
    <n v="20081.68"/>
    <n v="13732.7"/>
    <n v="269435.19999999995"/>
    <n v="6348.98"/>
  </r>
  <r>
    <x v="2"/>
    <x v="1"/>
    <x v="0"/>
    <s v="2631200"/>
    <n v="450040"/>
    <s v="Contr Allow--Phys Svcs--Comm Insurance"/>
    <s v="FMG Wound Care"/>
    <x v="0"/>
    <n v="1300"/>
    <n v="2165.6999999999998"/>
    <n v="-1937.92"/>
    <n v="1904.51"/>
    <n v="928.63"/>
    <n v="1413.3"/>
    <n v="695.24"/>
    <n v="4841.4799999999996"/>
    <n v="5081"/>
    <n v="803.54"/>
    <n v="3909.08"/>
    <n v="631.54999999999995"/>
    <n v="-614.48"/>
    <n v="19821.629999999997"/>
    <n v="1246.03"/>
  </r>
  <r>
    <x v="2"/>
    <x v="1"/>
    <x v="0"/>
    <s v="2631200"/>
    <n v="450040"/>
    <s v="Contr Allow--Phys Svcs--BCBS Comm Ins"/>
    <s v="FMG Wound Care"/>
    <x v="0"/>
    <n v="1301"/>
    <n v="89.6"/>
    <n v="141.4"/>
    <n v="759.03"/>
    <n v="810.19"/>
    <n v="1294.58"/>
    <n v="597.54"/>
    <n v="156.18"/>
    <n v="665.94"/>
    <n v="272.7"/>
    <n v="840.15"/>
    <n v="2166.4499999999998"/>
    <n v="1324.55"/>
    <n v="9118.31"/>
    <n v="841.89999999999986"/>
  </r>
  <r>
    <x v="2"/>
    <x v="1"/>
    <x v="0"/>
    <s v="2631200"/>
    <n v="450040"/>
    <s v="Contr Allow--Phys Svcs--Managed Care"/>
    <s v="FMG Wound Care"/>
    <x v="0"/>
    <n v="1400"/>
    <n v="14608.39"/>
    <n v="3530.38"/>
    <n v="3293.66"/>
    <n v="3895.98"/>
    <n v="6925.55"/>
    <n v="8520.1299999999992"/>
    <n v="4228.1000000000004"/>
    <n v="5039.8900000000003"/>
    <n v="6311.08"/>
    <n v="5171.33"/>
    <n v="7152.9"/>
    <n v="10124.91"/>
    <n v="78802.3"/>
    <n v="-2972.01"/>
  </r>
  <r>
    <x v="2"/>
    <x v="1"/>
    <x v="0"/>
    <s v="2631200"/>
    <n v="450040"/>
    <s v="Contr Allow--Phys Svcs--BCBS Mgnd Care"/>
    <s v="FMG Wound Care"/>
    <x v="0"/>
    <n v="1401"/>
    <n v="-18264.79"/>
    <n v="9292.23"/>
    <n v="6752.56"/>
    <n v="17154.77"/>
    <n v="-17277.98"/>
    <n v="6591.6"/>
    <n v="19894.72"/>
    <n v="-4524.66"/>
    <n v="-10890.24"/>
    <n v="-669.27"/>
    <n v="7344.04"/>
    <n v="-10710.54"/>
    <n v="4692.4399999999987"/>
    <n v="18054.580000000002"/>
  </r>
  <r>
    <x v="2"/>
    <x v="1"/>
    <x v="0"/>
    <s v="2631200"/>
    <n v="450040"/>
    <s v="Admin Adjust-Phys Svcs-Self Pay"/>
    <s v="FMG Wound Care"/>
    <x v="0"/>
    <n v="1600"/>
    <n v="1745.46"/>
    <n v="943.76"/>
    <n v="1721.55"/>
    <n v="1195.3800000000001"/>
    <n v="745.23"/>
    <n v="117.01"/>
    <n v="1492.76"/>
    <n v="795.97"/>
    <n v="1567.93"/>
    <n v="1857.87"/>
    <n v="1009.14"/>
    <n v="1054.97"/>
    <n v="14247.03"/>
    <n v="-45.830000000000041"/>
  </r>
  <r>
    <x v="2"/>
    <x v="1"/>
    <x v="0"/>
    <s v="2631200"/>
    <n v="450040"/>
    <s v="Contr Allow--Phys Svcs--Other"/>
    <s v="FMG Wound Care"/>
    <x v="0"/>
    <n v="1700"/>
    <n v="3800.56"/>
    <n v="856.33"/>
    <n v="3903.08"/>
    <n v="654.41"/>
    <n v="4929.88"/>
    <n v="464.28"/>
    <n v="1788.66"/>
    <n v="974.62"/>
    <n v="1812.74"/>
    <n v="1440.42"/>
    <n v="1139.92"/>
    <n v="1280.82"/>
    <n v="23045.72"/>
    <n v="-140.89999999999986"/>
  </r>
  <r>
    <x v="3"/>
    <x v="1"/>
    <x v="0"/>
    <s v="2631200"/>
    <n v="470040"/>
    <s v="Charity Care-Physician Svcs"/>
    <s v="FMG Wound Care"/>
    <x v="0"/>
    <m/>
    <n v="449.16"/>
    <n v="2222.0700000000002"/>
    <n v="2777.62"/>
    <n v="1504.05"/>
    <n v="919.2"/>
    <n v="149.06"/>
    <n v="843.25"/>
    <n v="3701.03"/>
    <n v="1503.22"/>
    <n v="910.53"/>
    <n v="399.32"/>
    <n v="2434.33"/>
    <n v="17812.84"/>
    <n v="-2035.01"/>
  </r>
  <r>
    <x v="4"/>
    <x v="1"/>
    <x v="0"/>
    <s v="2631200"/>
    <n v="490010"/>
    <s v="Provision for Bad Debts"/>
    <s v="FMG Wound Care"/>
    <x v="0"/>
    <m/>
    <n v="4434.13"/>
    <n v="523.08000000000004"/>
    <n v="544.04"/>
    <n v="1348.98"/>
    <n v="536.5"/>
    <n v="1466.5"/>
    <n v="3571.89"/>
    <n v="-648.66999999999996"/>
    <n v="1133.1400000000001"/>
    <n v="326.01"/>
    <n v="5673.55"/>
    <n v="1331.05"/>
    <n v="20240.199999999997"/>
    <n v="4342.5"/>
  </r>
  <r>
    <x v="14"/>
    <x v="1"/>
    <x v="0"/>
    <s v="2631200"/>
    <n v="600050"/>
    <s v="Miscellaneous Revenue"/>
    <s v="FMG Wound Care"/>
    <x v="0"/>
    <m/>
    <n v="0"/>
    <n v="0"/>
    <n v="0"/>
    <n v="0"/>
    <n v="0"/>
    <n v="0"/>
    <n v="0"/>
    <n v="-12000"/>
    <n v="-2400"/>
    <n v="-2400"/>
    <n v="-2400"/>
    <n v="-2400"/>
    <n v="-21600"/>
    <n v="0"/>
  </r>
  <r>
    <x v="5"/>
    <x v="1"/>
    <x v="0"/>
    <s v="2631200"/>
    <n v="700020"/>
    <s v="Salaries-Physician Admin-Other"/>
    <s v="FMG Wound Care"/>
    <x v="0"/>
    <n v="2000"/>
    <n v="0"/>
    <n v="0"/>
    <n v="0"/>
    <n v="0"/>
    <n v="0"/>
    <n v="0"/>
    <n v="0"/>
    <n v="12000"/>
    <n v="2400"/>
    <n v="2400"/>
    <n v="2400"/>
    <n v="2400"/>
    <n v="21600"/>
    <n v="0"/>
  </r>
  <r>
    <x v="5"/>
    <x v="1"/>
    <x v="0"/>
    <s v="2631200"/>
    <n v="700022"/>
    <s v="Salaries-Physician-Productive"/>
    <s v="FMG Wound Care"/>
    <x v="0"/>
    <m/>
    <n v="7309.72"/>
    <n v="22507.18"/>
    <n v="30184.799999999999"/>
    <n v="43238.47"/>
    <n v="30510.79"/>
    <n v="32816.239999999998"/>
    <n v="30741.360000000001"/>
    <n v="28950.37"/>
    <n v="33476.18"/>
    <n v="38781.07"/>
    <n v="17639.61"/>
    <n v="54927.7"/>
    <n v="371083.49"/>
    <n v="-37288.089999999997"/>
  </r>
  <r>
    <x v="5"/>
    <x v="1"/>
    <x v="0"/>
    <s v="2631200"/>
    <n v="700024"/>
    <s v="Salaries-Advanced Practice Clinician-Productive"/>
    <s v="FMG Wound Care"/>
    <x v="0"/>
    <m/>
    <n v="9189.2199999999993"/>
    <n v="9606.92"/>
    <n v="8353.84"/>
    <n v="9606.91"/>
    <n v="17160.189999999999"/>
    <n v="17141.04"/>
    <n v="18802.23"/>
    <n v="17363.990000000002"/>
    <n v="18054.52"/>
    <n v="18914.28"/>
    <n v="20850.75"/>
    <n v="18271.560000000001"/>
    <n v="183315.45"/>
    <n v="2579.1899999999987"/>
  </r>
  <r>
    <x v="5"/>
    <x v="1"/>
    <x v="0"/>
    <s v="2631200"/>
    <n v="700064"/>
    <s v="Salaries-Advanced Practice Clinician-Non-Productive"/>
    <s v="FMG Wound Care"/>
    <x v="0"/>
    <m/>
    <n v="0"/>
    <n v="0"/>
    <n v="664.45"/>
    <n v="698.25"/>
    <n v="692.8"/>
    <n v="691.88"/>
    <n v="688.69"/>
    <n v="679.65"/>
    <n v="682.32"/>
    <n v="677.39"/>
    <n v="675.95"/>
    <n v="671.23"/>
    <n v="6822.6100000000006"/>
    <n v="4.7200000000000273"/>
  </r>
  <r>
    <x v="6"/>
    <x v="1"/>
    <x v="0"/>
    <s v="2631200"/>
    <n v="713010"/>
    <s v="Benefits-FICA/Medicare"/>
    <s v="FMG Wound Care"/>
    <x v="0"/>
    <m/>
    <n v="825.07"/>
    <n v="1072.43"/>
    <n v="2208.25"/>
    <n v="2980.01"/>
    <n v="2591.2399999999998"/>
    <n v="3765.57"/>
    <n v="3830.77"/>
    <n v="4428.6400000000003"/>
    <n v="4152.3"/>
    <n v="4539.6400000000003"/>
    <n v="2632.53"/>
    <n v="5478.12"/>
    <n v="38504.57"/>
    <n v="-2845.5899999999997"/>
  </r>
  <r>
    <x v="6"/>
    <x v="1"/>
    <x v="0"/>
    <s v="2631200"/>
    <n v="713090"/>
    <s v="Benefits-Allocated Amounts"/>
    <s v="FMG Wound Care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631200"/>
    <n v="713092"/>
    <s v="Allocated Benefits-Physician"/>
    <s v="FMG Wound Care"/>
    <x v="0"/>
    <m/>
    <n v="582.96"/>
    <n v="840.38"/>
    <n v="1135.78"/>
    <n v="1376.38"/>
    <n v="1270.57"/>
    <n v="1427.05"/>
    <n v="1463.47"/>
    <n v="1597.8"/>
    <n v="9608.99"/>
    <n v="2807.39"/>
    <n v="2048.4899999999998"/>
    <n v="3746.7"/>
    <n v="27905.959999999995"/>
    <n v="-1698.21"/>
  </r>
  <r>
    <x v="6"/>
    <x v="1"/>
    <x v="0"/>
    <s v="2631200"/>
    <n v="713093"/>
    <s v="Allocated Benefits-Advanced Practice Clinician"/>
    <s v="FMG Wound Care"/>
    <x v="0"/>
    <m/>
    <n v="1252.94"/>
    <n v="1806.17"/>
    <n v="2441.08"/>
    <n v="2958.21"/>
    <n v="2730.78"/>
    <n v="3067.08"/>
    <n v="3145.37"/>
    <n v="3434.06"/>
    <n v="-4440.83"/>
    <n v="2384.4"/>
    <n v="1739.84"/>
    <n v="3182.16"/>
    <n v="23701.260000000002"/>
    <n v="-1442.32"/>
  </r>
  <r>
    <x v="7"/>
    <x v="1"/>
    <x v="0"/>
    <s v="2631200"/>
    <n v="718040"/>
    <s v="Contract Svcs-Laboratory"/>
    <s v="FMG Wound Care"/>
    <x v="0"/>
    <m/>
    <n v="71.2"/>
    <n v="0"/>
    <n v="0"/>
    <n v="0"/>
    <n v="0"/>
    <n v="0"/>
    <n v="0"/>
    <n v="0"/>
    <n v="0"/>
    <n v="0"/>
    <n v="0"/>
    <n v="0"/>
    <n v="71.2"/>
    <n v="0"/>
  </r>
  <r>
    <x v="0"/>
    <x v="1"/>
    <x v="0"/>
    <s v="2631200"/>
    <n v="740023"/>
    <s v="Books-Advanced Practice Clinician"/>
    <s v="FMG Wound Care"/>
    <x v="0"/>
    <n v="2000"/>
    <n v="0"/>
    <n v="0"/>
    <n v="0"/>
    <n v="0"/>
    <n v="0"/>
    <n v="0"/>
    <n v="0"/>
    <n v="0"/>
    <n v="0"/>
    <n v="499"/>
    <n v="0"/>
    <n v="0"/>
    <n v="499"/>
    <n v="0"/>
  </r>
  <r>
    <x v="8"/>
    <x v="1"/>
    <x v="0"/>
    <s v="2631200"/>
    <n v="741012"/>
    <s v="Physician Liab Insurance-CHI Program"/>
    <s v="FMG Wound Care"/>
    <x v="0"/>
    <m/>
    <n v="0"/>
    <n v="0"/>
    <n v="0"/>
    <n v="0"/>
    <n v="0"/>
    <n v="0"/>
    <n v="0"/>
    <n v="0"/>
    <n v="0"/>
    <n v="0"/>
    <n v="0"/>
    <n v="65.400000000000006"/>
    <n v="65.400000000000006"/>
    <n v="-65.400000000000006"/>
  </r>
  <r>
    <x v="0"/>
    <x v="1"/>
    <x v="0"/>
    <s v="2631200"/>
    <n v="749510"/>
    <s v="Miscellaneous Expenses"/>
    <s v="FMG Wound Care"/>
    <x v="0"/>
    <m/>
    <n v="0"/>
    <n v="0"/>
    <n v="0"/>
    <n v="495"/>
    <n v="-495"/>
    <n v="0"/>
    <n v="0"/>
    <n v="0"/>
    <n v="0"/>
    <n v="0"/>
    <n v="0"/>
    <n v="0"/>
    <n v="0"/>
    <n v="0"/>
  </r>
  <r>
    <x v="0"/>
    <x v="1"/>
    <x v="0"/>
    <s v="2631200"/>
    <n v="749512"/>
    <s v="Licenses-Physician"/>
    <s v="FMG Wound Care"/>
    <x v="0"/>
    <n v="2000"/>
    <n v="0"/>
    <n v="0"/>
    <n v="0"/>
    <n v="0"/>
    <n v="0"/>
    <n v="0"/>
    <n v="0"/>
    <n v="731"/>
    <n v="0"/>
    <n v="0"/>
    <n v="0"/>
    <n v="0"/>
    <n v="731"/>
    <n v="0"/>
  </r>
  <r>
    <x v="0"/>
    <x v="1"/>
    <x v="0"/>
    <s v="2631200"/>
    <n v="749513"/>
    <s v="Licenses-Advanced Practice Clinician"/>
    <s v="FMG Wound Care"/>
    <x v="0"/>
    <n v="2000"/>
    <n v="0"/>
    <n v="0"/>
    <n v="0"/>
    <n v="0"/>
    <n v="495"/>
    <n v="0"/>
    <n v="0"/>
    <n v="0"/>
    <n v="0"/>
    <n v="0"/>
    <n v="0"/>
    <n v="0"/>
    <n v="495"/>
    <n v="0"/>
  </r>
  <r>
    <x v="9"/>
    <x v="1"/>
    <x v="0"/>
    <s v="2631200"/>
    <n v="800015"/>
    <s v="Interest Income-Ext to CHI"/>
    <s v="FMG Wound Care"/>
    <x v="0"/>
    <m/>
    <n v="0"/>
    <n v="0"/>
    <n v="-39.450000000000003"/>
    <n v="-73.25"/>
    <n v="-67.8"/>
    <n v="-66.88"/>
    <n v="-63.69"/>
    <n v="-54.65"/>
    <n v="-57.32"/>
    <n v="-52.39"/>
    <n v="-50.95"/>
    <n v="-46.23"/>
    <n v="-572.61"/>
    <n v="-4.720000000000006"/>
  </r>
  <r>
    <x v="1"/>
    <x v="1"/>
    <x v="0"/>
    <s v="2632200"/>
    <n v="400040"/>
    <s v="Physician Svcs Rev--Medicare"/>
    <s v="Wound Care Highline"/>
    <x v="0"/>
    <n v="1100"/>
    <n v="-8213"/>
    <n v="-2229"/>
    <n v="-5564"/>
    <n v="-8220"/>
    <n v="-6018"/>
    <n v="-32988"/>
    <n v="-24554"/>
    <n v="-22241"/>
    <n v="-34325"/>
    <n v="-43974"/>
    <n v="-39843"/>
    <n v="-29629"/>
    <n v="-257798"/>
    <n v="-10214"/>
  </r>
  <r>
    <x v="1"/>
    <x v="1"/>
    <x v="0"/>
    <s v="2632200"/>
    <n v="400040"/>
    <s v="Physician Svcs Rev--Medicaid"/>
    <s v="Wound Care Highline"/>
    <x v="0"/>
    <n v="1200"/>
    <n v="-1814"/>
    <n v="-2730"/>
    <n v="-2063"/>
    <n v="-3784"/>
    <n v="-1207"/>
    <n v="-8968"/>
    <n v="-4772"/>
    <n v="-3499"/>
    <n v="-6522"/>
    <n v="-8618"/>
    <n v="-2740"/>
    <n v="-6448"/>
    <n v="-53165"/>
    <n v="3708"/>
  </r>
  <r>
    <x v="1"/>
    <x v="1"/>
    <x v="0"/>
    <s v="2632200"/>
    <n v="400040"/>
    <s v="Physician Svcs Rev--Comm Insurance"/>
    <s v="Wound Care Highline"/>
    <x v="0"/>
    <n v="1300"/>
    <n v="-546"/>
    <n v="-746"/>
    <n v="467"/>
    <n v="0"/>
    <n v="65"/>
    <n v="0"/>
    <n v="-692"/>
    <n v="0"/>
    <n v="0"/>
    <n v="0"/>
    <n v="0"/>
    <n v="0"/>
    <n v="-1452"/>
    <n v="0"/>
  </r>
  <r>
    <x v="1"/>
    <x v="1"/>
    <x v="0"/>
    <s v="2632200"/>
    <n v="400040"/>
    <s v="Physician Svcs Rev--BCBS Comm"/>
    <s v="Wound Care Highline"/>
    <x v="0"/>
    <n v="1301"/>
    <n v="-1366"/>
    <n v="-1024"/>
    <n v="0"/>
    <n v="0"/>
    <n v="-141"/>
    <n v="-2141"/>
    <n v="-2152"/>
    <n v="-1125"/>
    <n v="-1284"/>
    <n v="-1619"/>
    <n v="-557"/>
    <n v="0"/>
    <n v="-11409"/>
    <n v="-557"/>
  </r>
  <r>
    <x v="1"/>
    <x v="1"/>
    <x v="0"/>
    <s v="2632200"/>
    <n v="400040"/>
    <s v="Physician Svcs Rev--Managed Care"/>
    <s v="Wound Care Highline"/>
    <x v="0"/>
    <n v="1400"/>
    <n v="-998"/>
    <n v="-2878"/>
    <n v="-2775"/>
    <n v="-878"/>
    <n v="-967"/>
    <n v="-7551"/>
    <n v="-6150"/>
    <n v="-3510"/>
    <n v="-6386"/>
    <n v="-7501"/>
    <n v="-3589"/>
    <n v="-1402"/>
    <n v="-44585"/>
    <n v="-2187"/>
  </r>
  <r>
    <x v="1"/>
    <x v="1"/>
    <x v="0"/>
    <s v="2632200"/>
    <n v="400040"/>
    <s v="Physician Svcs Rev--Self Pay"/>
    <s v="Wound Care Highline"/>
    <x v="0"/>
    <n v="1500"/>
    <n v="0"/>
    <n v="0"/>
    <n v="-777"/>
    <n v="0"/>
    <n v="-207"/>
    <n v="-434"/>
    <n v="-1013"/>
    <n v="692"/>
    <n v="-680"/>
    <n v="-450"/>
    <n v="-1382"/>
    <n v="-1382"/>
    <n v="-5633"/>
    <n v="0"/>
  </r>
  <r>
    <x v="1"/>
    <x v="1"/>
    <x v="0"/>
    <s v="2632200"/>
    <n v="400040"/>
    <s v="Physician Svcs Rev--Other"/>
    <s v="Wound Care Highline"/>
    <x v="0"/>
    <n v="1700"/>
    <n v="0"/>
    <n v="-262"/>
    <n v="107"/>
    <n v="0"/>
    <n v="-381"/>
    <n v="-487"/>
    <n v="-239"/>
    <n v="0"/>
    <n v="-1307"/>
    <n v="-455"/>
    <n v="-207"/>
    <n v="0"/>
    <n v="-3231"/>
    <n v="-207"/>
  </r>
  <r>
    <x v="2"/>
    <x v="1"/>
    <x v="0"/>
    <s v="2632200"/>
    <n v="450040"/>
    <s v="Contr Allow--Phys Svcs--Mcare"/>
    <s v="Wound Care Highline"/>
    <x v="0"/>
    <n v="1100"/>
    <n v="3140.89"/>
    <n v="3007.73"/>
    <n v="2116.06"/>
    <n v="2582.9699999999998"/>
    <n v="2442.65"/>
    <n v="5779.94"/>
    <n v="6268.77"/>
    <n v="25396.19"/>
    <n v="18043.939999999999"/>
    <n v="21111.35"/>
    <n v="26868.639999999999"/>
    <n v="22629.15"/>
    <n v="139388.28"/>
    <n v="4239.489999999998"/>
  </r>
  <r>
    <x v="2"/>
    <x v="1"/>
    <x v="0"/>
    <s v="2632200"/>
    <n v="450040"/>
    <s v="Contr Allow--Phys Svcs--Mcaid"/>
    <s v="Wound Care Highline"/>
    <x v="0"/>
    <n v="1200"/>
    <n v="1298.21"/>
    <n v="761.39"/>
    <n v="1572.32"/>
    <n v="1266.1300000000001"/>
    <n v="1454.66"/>
    <n v="743.9"/>
    <n v="3059.14"/>
    <n v="6176.06"/>
    <n v="4494.5600000000004"/>
    <n v="5506.69"/>
    <n v="4043.12"/>
    <n v="2549"/>
    <n v="32925.18"/>
    <n v="1494.12"/>
  </r>
  <r>
    <x v="2"/>
    <x v="1"/>
    <x v="0"/>
    <s v="2632200"/>
    <n v="450040"/>
    <s v="Contr Allow--Phys Svcs--Comm Insurance"/>
    <s v="Wound Care Highline"/>
    <x v="0"/>
    <n v="1300"/>
    <n v="0"/>
    <n v="0"/>
    <n v="0"/>
    <n v="0"/>
    <n v="0"/>
    <n v="0"/>
    <n v="322.58999999999997"/>
    <n v="232.38"/>
    <n v="0"/>
    <n v="96"/>
    <n v="0"/>
    <n v="10.36"/>
    <n v="661.33"/>
    <n v="-10.36"/>
  </r>
  <r>
    <x v="2"/>
    <x v="1"/>
    <x v="0"/>
    <s v="2632200"/>
    <n v="450040"/>
    <s v="Contr Allow--Phys Svcs--BCBS Comm Ins"/>
    <s v="Wound Care Highline"/>
    <x v="0"/>
    <n v="1301"/>
    <n v="320.69"/>
    <n v="336.08"/>
    <n v="805.83"/>
    <n v="0"/>
    <n v="0"/>
    <n v="70.44"/>
    <n v="1463.62"/>
    <n v="1007.03"/>
    <n v="104.66"/>
    <n v="790.01"/>
    <n v="332.75"/>
    <n v="13.89"/>
    <n v="5245"/>
    <n v="318.86"/>
  </r>
  <r>
    <x v="2"/>
    <x v="1"/>
    <x v="0"/>
    <s v="2632200"/>
    <n v="450040"/>
    <s v="Contr Allow--Phys Svcs--Managed Care"/>
    <s v="Wound Care Highline"/>
    <x v="0"/>
    <n v="1400"/>
    <n v="1219.68"/>
    <n v="850.14"/>
    <n v="851.33"/>
    <n v="1223.75"/>
    <n v="123.52"/>
    <n v="1561.08"/>
    <n v="2404.54"/>
    <n v="1222.0999999999999"/>
    <n v="835.05"/>
    <n v="2335.73"/>
    <n v="1970.09"/>
    <n v="429.83"/>
    <n v="15026.84"/>
    <n v="1540.26"/>
  </r>
  <r>
    <x v="2"/>
    <x v="1"/>
    <x v="0"/>
    <s v="2632200"/>
    <n v="450040"/>
    <s v="Contr Allow--Phys Svcs--BCBS Mgnd Care"/>
    <s v="Wound Care Highline"/>
    <x v="0"/>
    <n v="1401"/>
    <n v="1619.51"/>
    <n v="897.5"/>
    <n v="1042.82"/>
    <n v="2323.8200000000002"/>
    <n v="1176.56"/>
    <n v="19633.16"/>
    <n v="6221.6"/>
    <n v="-11202.02"/>
    <n v="6691.93"/>
    <n v="6977.37"/>
    <n v="-3429.12"/>
    <n v="-1424.01"/>
    <n v="30529.120000000003"/>
    <n v="-2005.11"/>
  </r>
  <r>
    <x v="2"/>
    <x v="1"/>
    <x v="0"/>
    <s v="2632200"/>
    <n v="450040"/>
    <s v="Admin Adjust-Phys Svcs-Self Pay"/>
    <s v="Wound Care Highline"/>
    <x v="0"/>
    <n v="1600"/>
    <n v="0"/>
    <n v="3.4"/>
    <n v="433.29"/>
    <n v="-65"/>
    <n v="76.59"/>
    <n v="28.58"/>
    <n v="5794.81"/>
    <n v="-256.04000000000002"/>
    <n v="248.2"/>
    <n v="166.5"/>
    <n v="511.34"/>
    <n v="511.34"/>
    <n v="7453.01"/>
    <n v="0"/>
  </r>
  <r>
    <x v="2"/>
    <x v="1"/>
    <x v="0"/>
    <s v="2632200"/>
    <n v="450040"/>
    <s v="Contr Allow--Phys Svcs--Other"/>
    <s v="Wound Care Highline"/>
    <x v="0"/>
    <n v="1700"/>
    <n v="0"/>
    <n v="0"/>
    <n v="0"/>
    <n v="0"/>
    <n v="0"/>
    <n v="0"/>
    <n v="295.52"/>
    <n v="145.11000000000001"/>
    <n v="226.04"/>
    <n v="337.68"/>
    <n v="172.46"/>
    <n v="107.56"/>
    <n v="1284.3699999999999"/>
    <n v="64.900000000000006"/>
  </r>
  <r>
    <x v="3"/>
    <x v="1"/>
    <x v="0"/>
    <s v="2632200"/>
    <n v="470040"/>
    <s v="Charity Care-Physician Svcs"/>
    <s v="Wound Care Highline"/>
    <x v="0"/>
    <m/>
    <n v="95.52"/>
    <n v="96.16"/>
    <n v="23.6"/>
    <n v="75.77"/>
    <n v="66.209999999999994"/>
    <n v="567.11"/>
    <n v="145.26"/>
    <n v="-50.15"/>
    <n v="645.21"/>
    <n v="158.01"/>
    <n v="163.41999999999999"/>
    <n v="227.32"/>
    <n v="2213.44"/>
    <n v="-63.900000000000006"/>
  </r>
  <r>
    <x v="4"/>
    <x v="1"/>
    <x v="0"/>
    <s v="2632200"/>
    <n v="490010"/>
    <s v="Provision for Bad Debts"/>
    <s v="Wound Care Highline"/>
    <x v="0"/>
    <m/>
    <n v="270.64999999999998"/>
    <n v="354.35"/>
    <n v="-247.09"/>
    <n v="264.58999999999997"/>
    <n v="304.43"/>
    <n v="2531.4299999999998"/>
    <n v="410.74"/>
    <n v="-966.39"/>
    <n v="1135.76"/>
    <n v="633.92999999999995"/>
    <n v="-569.65"/>
    <n v="988.57"/>
    <n v="5111.32"/>
    <n v="-1558.22"/>
  </r>
  <r>
    <x v="5"/>
    <x v="1"/>
    <x v="0"/>
    <s v="2632200"/>
    <n v="700022"/>
    <s v="Salaries-Physician-Productive"/>
    <s v="Wound Care Highline"/>
    <x v="0"/>
    <m/>
    <n v="10000"/>
    <n v="-1081.25"/>
    <n v="838.75"/>
    <n v="2777.5"/>
    <n v="5115"/>
    <n v="574.75"/>
    <n v="1820.57"/>
    <n v="135468.18"/>
    <n v="-12400.72"/>
    <n v="26701.18"/>
    <n v="21065.48"/>
    <n v="22689.68"/>
    <n v="213569.12"/>
    <n v="-1624.2000000000007"/>
  </r>
  <r>
    <x v="6"/>
    <x v="1"/>
    <x v="0"/>
    <s v="2632200"/>
    <n v="713010"/>
    <s v="Benefits-FICA/Medicare"/>
    <s v="Wound Care Highline"/>
    <x v="0"/>
    <m/>
    <n v="0"/>
    <n v="299.79000000000002"/>
    <n v="64.16"/>
    <n v="212.48"/>
    <n v="391.3"/>
    <n v="43.96"/>
    <n v="139.06"/>
    <n v="10056.98"/>
    <n v="506.16"/>
    <n v="2046.38"/>
    <n v="1613.89"/>
    <n v="1478.65"/>
    <n v="16852.810000000001"/>
    <n v="135.24"/>
  </r>
  <r>
    <x v="6"/>
    <x v="1"/>
    <x v="0"/>
    <s v="2632200"/>
    <n v="713090"/>
    <s v="Benefits-Allocated Amounts"/>
    <s v="Wound Care Highline"/>
    <x v="0"/>
    <m/>
    <n v="766.81"/>
    <n v="-99.54"/>
    <n v="144.83000000000001"/>
    <n v="237.99"/>
    <n v="349.82"/>
    <n v="59.1"/>
    <n v="241.54"/>
    <n v="9718.3799999999992"/>
    <n v="-11418.93"/>
    <n v="0"/>
    <n v="0"/>
    <n v="0"/>
    <n v="-1.8189894035458565E-12"/>
    <n v="0"/>
  </r>
  <r>
    <x v="6"/>
    <x v="1"/>
    <x v="0"/>
    <s v="2632200"/>
    <n v="713092"/>
    <s v="Allocated Benefits-Physician"/>
    <s v="Wound Care Highline"/>
    <x v="0"/>
    <m/>
    <n v="0"/>
    <n v="0"/>
    <n v="0"/>
    <n v="0"/>
    <n v="0"/>
    <n v="0"/>
    <n v="0"/>
    <n v="0"/>
    <n v="12423.07"/>
    <n v="2322.15"/>
    <n v="1961.7"/>
    <n v="2119.98"/>
    <n v="18826.899999999998"/>
    <n v="-158.27999999999997"/>
  </r>
  <r>
    <x v="7"/>
    <x v="1"/>
    <x v="0"/>
    <s v="2632200"/>
    <n v="718040"/>
    <s v="Contract Svcs-Laboratory"/>
    <s v="Wound Care Highline"/>
    <x v="0"/>
    <m/>
    <n v="0"/>
    <n v="0"/>
    <n v="0"/>
    <n v="0"/>
    <n v="0"/>
    <n v="0"/>
    <n v="0"/>
    <n v="0"/>
    <n v="20"/>
    <n v="0"/>
    <n v="0"/>
    <n v="0"/>
    <n v="20"/>
    <n v="0"/>
  </r>
  <r>
    <x v="8"/>
    <x v="1"/>
    <x v="0"/>
    <s v="2632200"/>
    <n v="741012"/>
    <s v="Physician Liab Insurance-CHI Program"/>
    <s v="Wound Care Highline"/>
    <x v="0"/>
    <m/>
    <n v="0"/>
    <n v="0"/>
    <n v="0"/>
    <n v="0"/>
    <n v="0"/>
    <n v="568.4"/>
    <n v="568.4"/>
    <n v="568.4"/>
    <n v="1086.19"/>
    <n v="1086.19"/>
    <n v="1086.19"/>
    <n v="1086.18"/>
    <n v="6049.9500000000007"/>
    <n v="9.9999999999909051E-3"/>
  </r>
  <r>
    <x v="5"/>
    <x v="1"/>
    <x v="0"/>
    <s v="2634200"/>
    <n v="700022"/>
    <s v="Salaries-Physician-Productive"/>
    <s v="Fran Plastic Surgery-St.Fran"/>
    <x v="0"/>
    <m/>
    <n v="0"/>
    <n v="0"/>
    <n v="0"/>
    <n v="0"/>
    <n v="0"/>
    <n v="0"/>
    <n v="0"/>
    <n v="0"/>
    <n v="50554.85"/>
    <n v="21839.65"/>
    <n v="55003.68"/>
    <n v="32287.83"/>
    <n v="159686.01"/>
    <n v="22715.85"/>
  </r>
  <r>
    <x v="5"/>
    <x v="1"/>
    <x v="0"/>
    <s v="2634200"/>
    <n v="700062"/>
    <s v="Salaries-Physician-Non-productive"/>
    <s v="Fran Plastic Surgery-St.Fran"/>
    <x v="0"/>
    <m/>
    <n v="0"/>
    <n v="0"/>
    <n v="0"/>
    <n v="0"/>
    <n v="0"/>
    <n v="0"/>
    <n v="0"/>
    <n v="0"/>
    <n v="0"/>
    <n v="22648.53"/>
    <n v="-8493.19"/>
    <n v="8078"/>
    <n v="22233.339999999997"/>
    <n v="-16571.190000000002"/>
  </r>
  <r>
    <x v="6"/>
    <x v="1"/>
    <x v="0"/>
    <s v="2634200"/>
    <n v="713010"/>
    <s v="Benefits-FICA/Medicare"/>
    <s v="Fran Plastic Surgery-St.Fran"/>
    <x v="0"/>
    <m/>
    <n v="0"/>
    <n v="0"/>
    <n v="0"/>
    <n v="0"/>
    <n v="0"/>
    <n v="0"/>
    <n v="0"/>
    <n v="0"/>
    <n v="3971.3"/>
    <n v="3403.32"/>
    <n v="3572.1"/>
    <n v="-49.07"/>
    <n v="10897.650000000001"/>
    <n v="3621.17"/>
  </r>
  <r>
    <x v="6"/>
    <x v="1"/>
    <x v="0"/>
    <s v="2634200"/>
    <n v="713090"/>
    <s v="Benefits-Allocated Amounts"/>
    <s v="Fran Plastic Surgery-St.Fran"/>
    <x v="0"/>
    <m/>
    <n v="0"/>
    <n v="0"/>
    <n v="0"/>
    <n v="0"/>
    <n v="0"/>
    <n v="0"/>
    <n v="0"/>
    <n v="0"/>
    <n v="2850.83"/>
    <n v="2916.66"/>
    <n v="2846.49"/>
    <n v="3110.33"/>
    <n v="11724.31"/>
    <n v="-263.84000000000015"/>
  </r>
  <r>
    <x v="8"/>
    <x v="1"/>
    <x v="0"/>
    <s v="2634200"/>
    <n v="741012"/>
    <s v="Physician Liab Insurance-CHI Program"/>
    <s v="Fran Plastic Surgery-St.Fran"/>
    <x v="0"/>
    <m/>
    <n v="0"/>
    <n v="0"/>
    <n v="0"/>
    <n v="0"/>
    <n v="0"/>
    <n v="0"/>
    <n v="0"/>
    <n v="0"/>
    <n v="0"/>
    <n v="1962.15"/>
    <n v="1962.15"/>
    <n v="1962.14"/>
    <n v="5886.4400000000005"/>
    <n v="9.9999999999909051E-3"/>
  </r>
  <r>
    <x v="0"/>
    <x v="1"/>
    <x v="0"/>
    <s v="2634200"/>
    <n v="743042"/>
    <s v="Subscriptions-Physician"/>
    <s v="Fran Plastic Surgery-St.Fran"/>
    <x v="0"/>
    <m/>
    <n v="0"/>
    <n v="0"/>
    <n v="0"/>
    <n v="0"/>
    <n v="0"/>
    <n v="0"/>
    <n v="0"/>
    <n v="0"/>
    <n v="1366.31"/>
    <n v="0"/>
    <n v="0"/>
    <n v="0"/>
    <n v="1366.31"/>
    <n v="0"/>
  </r>
  <r>
    <x v="0"/>
    <x v="1"/>
    <x v="0"/>
    <s v="2634200"/>
    <n v="749510"/>
    <s v="Miscellaneous Expenses"/>
    <s v="Fran Plastic Surgery-St.Fran"/>
    <x v="0"/>
    <m/>
    <n v="0"/>
    <n v="0"/>
    <n v="0"/>
    <n v="0"/>
    <n v="0"/>
    <n v="0"/>
    <n v="0"/>
    <n v="0"/>
    <n v="0"/>
    <n v="921.72"/>
    <n v="0"/>
    <n v="0"/>
    <n v="921.72"/>
    <n v="0"/>
  </r>
  <r>
    <x v="0"/>
    <x v="1"/>
    <x v="0"/>
    <s v="2634200"/>
    <n v="749512"/>
    <s v="Licenses-Physician"/>
    <s v="Fran Plastic Surgery-St.Fran"/>
    <x v="0"/>
    <n v="2000"/>
    <n v="0"/>
    <n v="0"/>
    <n v="0"/>
    <n v="0"/>
    <n v="0"/>
    <n v="0"/>
    <n v="0"/>
    <n v="0"/>
    <n v="0"/>
    <n v="0"/>
    <n v="659.5"/>
    <n v="0"/>
    <n v="659.5"/>
    <n v="659.5"/>
  </r>
  <r>
    <x v="1"/>
    <x v="1"/>
    <x v="0"/>
    <s v="2649200"/>
    <n v="400040"/>
    <s v="Physician Svcs Rev--Medicare"/>
    <s v="GH-Dermatology"/>
    <x v="0"/>
    <n v="1100"/>
    <n v="-20829"/>
    <n v="-21057"/>
    <n v="-38418"/>
    <n v="-30327"/>
    <n v="-33871"/>
    <n v="-39444"/>
    <n v="-24924"/>
    <n v="-30656"/>
    <n v="-14300"/>
    <n v="-7461"/>
    <n v="0"/>
    <n v="-687.91"/>
    <n v="-261974.91"/>
    <n v="687.91"/>
  </r>
  <r>
    <x v="1"/>
    <x v="1"/>
    <x v="0"/>
    <s v="2649200"/>
    <n v="400040"/>
    <s v="Physician Svcs Rev--Medicaid"/>
    <s v="GH-Dermatology"/>
    <x v="0"/>
    <n v="1200"/>
    <n v="-10770"/>
    <n v="-15363"/>
    <n v="-19244"/>
    <n v="-17811"/>
    <n v="-7386"/>
    <n v="-12092"/>
    <n v="-16079"/>
    <n v="-10352"/>
    <n v="-7333"/>
    <n v="0"/>
    <n v="0"/>
    <n v="0"/>
    <n v="-116430"/>
    <n v="0"/>
  </r>
  <r>
    <x v="1"/>
    <x v="1"/>
    <x v="0"/>
    <s v="2649200"/>
    <n v="400040"/>
    <s v="Physician Svcs Rev--Comm Insurance"/>
    <s v="GH-Dermatology"/>
    <x v="0"/>
    <n v="1300"/>
    <n v="-792"/>
    <n v="-1882"/>
    <n v="-5903"/>
    <n v="-4588"/>
    <n v="-4188"/>
    <n v="-7563"/>
    <n v="-2458"/>
    <n v="-9323"/>
    <n v="-727"/>
    <n v="-121"/>
    <n v="0"/>
    <n v="0"/>
    <n v="-37545"/>
    <n v="0"/>
  </r>
  <r>
    <x v="1"/>
    <x v="1"/>
    <x v="0"/>
    <s v="2649200"/>
    <n v="400040"/>
    <s v="Physician Svcs Rev--BCBS Comm"/>
    <s v="GH-Dermatology"/>
    <x v="0"/>
    <n v="1301"/>
    <n v="-4302"/>
    <n v="-4154"/>
    <n v="-5306"/>
    <n v="-5167"/>
    <n v="-5850"/>
    <n v="-8082"/>
    <n v="-5840"/>
    <n v="-4067"/>
    <n v="-3296"/>
    <n v="-415"/>
    <n v="0"/>
    <n v="0"/>
    <n v="-46479"/>
    <n v="0"/>
  </r>
  <r>
    <x v="1"/>
    <x v="1"/>
    <x v="0"/>
    <s v="2649200"/>
    <n v="400040"/>
    <s v="Physician Svcs Rev--Managed Care"/>
    <s v="GH-Dermatology"/>
    <x v="0"/>
    <n v="1400"/>
    <n v="-13135"/>
    <n v="-13013"/>
    <n v="-25349"/>
    <n v="-26333"/>
    <n v="-17224"/>
    <n v="-29556"/>
    <n v="-17758"/>
    <n v="-17607"/>
    <n v="-8976"/>
    <n v="-2644"/>
    <n v="0"/>
    <n v="0"/>
    <n v="-171595"/>
    <n v="0"/>
  </r>
  <r>
    <x v="1"/>
    <x v="1"/>
    <x v="0"/>
    <s v="2649200"/>
    <n v="400040"/>
    <s v="Physician Svcs Rev--Self Pay"/>
    <s v="GH-Dermatology"/>
    <x v="0"/>
    <n v="1500"/>
    <n v="-1981"/>
    <n v="-1382"/>
    <n v="-2047"/>
    <n v="-2171"/>
    <n v="-600"/>
    <n v="-4788"/>
    <n v="-2682"/>
    <n v="-3125"/>
    <n v="-2778"/>
    <n v="-2250"/>
    <n v="0"/>
    <n v="0"/>
    <n v="-23804"/>
    <n v="0"/>
  </r>
  <r>
    <x v="1"/>
    <x v="1"/>
    <x v="0"/>
    <s v="2649200"/>
    <n v="400040"/>
    <s v="Physician Svcs Rev--Other"/>
    <s v="GH-Dermatology"/>
    <x v="0"/>
    <n v="1700"/>
    <n v="-3951"/>
    <n v="-4318"/>
    <n v="-3246"/>
    <n v="-3148"/>
    <n v="-2559"/>
    <n v="-2904"/>
    <n v="-2723"/>
    <n v="-1990"/>
    <n v="-1126"/>
    <n v="-1800"/>
    <n v="0"/>
    <n v="687"/>
    <n v="-27078"/>
    <n v="-687"/>
  </r>
  <r>
    <x v="2"/>
    <x v="1"/>
    <x v="0"/>
    <s v="2649200"/>
    <n v="450040"/>
    <s v="Contr Allow--Phys Svcs--Mcare"/>
    <s v="GH-Dermatology"/>
    <x v="0"/>
    <n v="1100"/>
    <n v="13348.86"/>
    <n v="11524.96"/>
    <n v="20883.080000000002"/>
    <n v="24726.3"/>
    <n v="18289.009999999998"/>
    <n v="22123.3"/>
    <n v="19476.490000000002"/>
    <n v="20059.189999999999"/>
    <n v="16169.64"/>
    <n v="5854.17"/>
    <n v="1127.03"/>
    <n v="4218.57"/>
    <n v="177800.60000000003"/>
    <n v="-3091.54"/>
  </r>
  <r>
    <x v="2"/>
    <x v="1"/>
    <x v="0"/>
    <s v="2649200"/>
    <n v="450040"/>
    <s v="Contr Allow--Phys Svcs--Mcaid"/>
    <s v="GH-Dermatology"/>
    <x v="0"/>
    <n v="1200"/>
    <n v="7308.85"/>
    <n v="9880.65"/>
    <n v="12988.43"/>
    <n v="13309.88"/>
    <n v="8476.1200000000008"/>
    <n v="13815"/>
    <n v="7606.1"/>
    <n v="7290.63"/>
    <n v="10390.31"/>
    <n v="1401.51"/>
    <n v="-66.959999999999994"/>
    <n v="237.77"/>
    <n v="92638.29"/>
    <n v="-304.73"/>
  </r>
  <r>
    <x v="2"/>
    <x v="1"/>
    <x v="0"/>
    <s v="2649200"/>
    <n v="450040"/>
    <s v="Contr Allow--Phys Svcs--Comm Insurance"/>
    <s v="GH-Dermatology"/>
    <x v="0"/>
    <n v="1300"/>
    <n v="582.02"/>
    <n v="638.91999999999996"/>
    <n v="1953.07"/>
    <n v="2058.5700000000002"/>
    <n v="1859.98"/>
    <n v="2757.56"/>
    <n v="1195.28"/>
    <n v="1106.17"/>
    <n v="2745.89"/>
    <n v="-537.13"/>
    <n v="193.12"/>
    <n v="15"/>
    <n v="14568.45"/>
    <n v="178.12"/>
  </r>
  <r>
    <x v="2"/>
    <x v="1"/>
    <x v="0"/>
    <s v="2649200"/>
    <n v="450040"/>
    <s v="Contr Allow--Phys Svcs--BCBS Comm Ins"/>
    <s v="GH-Dermatology"/>
    <x v="0"/>
    <n v="1301"/>
    <n v="1362.87"/>
    <n v="2008.63"/>
    <n v="898.82"/>
    <n v="1606.59"/>
    <n v="2079.21"/>
    <n v="3089.26"/>
    <n v="2394.4499999999998"/>
    <n v="875.4"/>
    <n v="2444.0100000000002"/>
    <n v="554.08000000000004"/>
    <n v="-79.400000000000006"/>
    <n v="25"/>
    <n v="17258.920000000002"/>
    <n v="-104.4"/>
  </r>
  <r>
    <x v="2"/>
    <x v="1"/>
    <x v="0"/>
    <s v="2649200"/>
    <n v="450040"/>
    <s v="Contr Allow--Phys Svcs--Managed Care"/>
    <s v="GH-Dermatology"/>
    <x v="0"/>
    <n v="1400"/>
    <n v="5329.87"/>
    <n v="5143.34"/>
    <n v="8383.07"/>
    <n v="9524.74"/>
    <n v="9931.75"/>
    <n v="7501.74"/>
    <n v="5953.73"/>
    <n v="5462.63"/>
    <n v="5262.81"/>
    <n v="3576.91"/>
    <n v="-63.68"/>
    <n v="288.2"/>
    <n v="66295.109999999986"/>
    <n v="-351.88"/>
  </r>
  <r>
    <x v="2"/>
    <x v="1"/>
    <x v="0"/>
    <s v="2649200"/>
    <n v="450040"/>
    <s v="Contr Allow--Phys Svcs--BCBS Mgnd Care"/>
    <s v="GH-Dermatology"/>
    <x v="0"/>
    <n v="1401"/>
    <n v="-1204.9000000000001"/>
    <n v="1572.57"/>
    <n v="10856.19"/>
    <n v="-1073.47"/>
    <n v="-3052.09"/>
    <n v="7184.97"/>
    <n v="763.71"/>
    <n v="6344.22"/>
    <n v="-16104.49"/>
    <n v="-8905.2900000000009"/>
    <n v="-3222.47"/>
    <n v="-6858.04"/>
    <n v="-13699.09"/>
    <n v="3635.57"/>
  </r>
  <r>
    <x v="2"/>
    <x v="1"/>
    <x v="0"/>
    <s v="2649200"/>
    <n v="450040"/>
    <s v="Admin Adjust-Phys Svcs-Self Pay"/>
    <s v="GH-Dermatology"/>
    <x v="0"/>
    <n v="1600"/>
    <n v="105.32"/>
    <n v="596.29999999999995"/>
    <n v="336.15"/>
    <n v="185.31"/>
    <n v="50"/>
    <n v="841.78"/>
    <n v="976.62"/>
    <n v="502.29"/>
    <n v="1043.57"/>
    <n v="300"/>
    <n v="0.01"/>
    <n v="0"/>
    <n v="4937.3499999999995"/>
    <n v="0.01"/>
  </r>
  <r>
    <x v="2"/>
    <x v="1"/>
    <x v="0"/>
    <s v="2649200"/>
    <n v="450040"/>
    <s v="Contr Allow--Phys Svcs--Other"/>
    <s v="GH-Dermatology"/>
    <x v="0"/>
    <n v="1700"/>
    <n v="2711.76"/>
    <n v="3323.62"/>
    <n v="1436.72"/>
    <n v="2334.7399999999998"/>
    <n v="670.27"/>
    <n v="3077.14"/>
    <n v="1605.55"/>
    <n v="1075.81"/>
    <n v="1316.24"/>
    <n v="2350.84"/>
    <n v="588.27"/>
    <n v="-434.4"/>
    <n v="20056.559999999998"/>
    <n v="1022.67"/>
  </r>
  <r>
    <x v="3"/>
    <x v="1"/>
    <x v="0"/>
    <s v="2649200"/>
    <n v="470040"/>
    <s v="Charity Care-Physician Svcs"/>
    <s v="GH-Dermatology"/>
    <x v="0"/>
    <m/>
    <n v="-112.63"/>
    <n v="482.82"/>
    <n v="377.22"/>
    <n v="646.35"/>
    <n v="8.9499999999999993"/>
    <n v="127.13"/>
    <n v="67.94"/>
    <n v="336.23"/>
    <n v="-195.92"/>
    <n v="-108.94"/>
    <n v="-152.94999999999999"/>
    <n v="-17.420000000000002"/>
    <n v="1458.78"/>
    <n v="-135.52999999999997"/>
  </r>
  <r>
    <x v="4"/>
    <x v="1"/>
    <x v="0"/>
    <s v="2649200"/>
    <n v="490010"/>
    <s v="Provision for Bad Debts"/>
    <s v="GH-Dermatology"/>
    <x v="0"/>
    <m/>
    <n v="1728.02"/>
    <n v="444.55"/>
    <n v="-82.81"/>
    <n v="-232.71"/>
    <n v="60.36"/>
    <n v="1080.8599999999999"/>
    <n v="-442.25"/>
    <n v="595.04999999999995"/>
    <n v="139.84"/>
    <n v="-766.13"/>
    <n v="2.0299999999999998"/>
    <n v="657.58"/>
    <n v="3184.39"/>
    <n v="-655.55000000000007"/>
  </r>
  <r>
    <x v="5"/>
    <x v="1"/>
    <x v="0"/>
    <s v="2649200"/>
    <n v="700022"/>
    <s v="Salaries-Physician-Productive"/>
    <s v="GH-Dermatology"/>
    <x v="0"/>
    <m/>
    <n v="17033.080000000002"/>
    <n v="17870.79"/>
    <n v="22338.48"/>
    <n v="23176.16"/>
    <n v="22896.94"/>
    <n v="14380.39"/>
    <n v="23070.94"/>
    <n v="20973.03"/>
    <n v="20553.560000000001"/>
    <n v="15799.69"/>
    <n v="-3914.96"/>
    <n v="0"/>
    <n v="194178.1"/>
    <n v="-3914.96"/>
  </r>
  <r>
    <x v="5"/>
    <x v="1"/>
    <x v="0"/>
    <s v="2649200"/>
    <n v="700030"/>
    <s v="Salaries-LPN-Productive"/>
    <s v="GH-Dermatology"/>
    <x v="0"/>
    <m/>
    <n v="0"/>
    <n v="0"/>
    <n v="0"/>
    <n v="0"/>
    <n v="0"/>
    <n v="0"/>
    <n v="0"/>
    <n v="0"/>
    <n v="1470.31"/>
    <n v="262.8"/>
    <n v="0"/>
    <n v="0"/>
    <n v="1733.11"/>
    <n v="0"/>
  </r>
  <r>
    <x v="5"/>
    <x v="1"/>
    <x v="0"/>
    <s v="2649200"/>
    <n v="700032"/>
    <s v="Salaries-Other Pat Care Providers-Productive"/>
    <s v="GH-Dermatology"/>
    <x v="0"/>
    <m/>
    <n v="3354.03"/>
    <n v="3299.6"/>
    <n v="3479.76"/>
    <n v="951.32"/>
    <n v="4849.09"/>
    <n v="2941.5"/>
    <n v="3422.96"/>
    <n v="3233.65"/>
    <n v="-281.74"/>
    <n v="182.4"/>
    <n v="0"/>
    <n v="0"/>
    <n v="25432.57"/>
    <n v="0"/>
  </r>
  <r>
    <x v="5"/>
    <x v="1"/>
    <x v="0"/>
    <s v="2649200"/>
    <n v="700032"/>
    <s v="Salaries-Other Pat Care Providers-OT"/>
    <s v="GH-Dermatology"/>
    <x v="0"/>
    <n v="1000"/>
    <n v="0"/>
    <n v="0"/>
    <n v="25.26"/>
    <n v="0"/>
    <n v="0"/>
    <n v="34.36"/>
    <n v="0"/>
    <n v="0"/>
    <n v="351.55"/>
    <n v="86.12"/>
    <n v="0"/>
    <n v="0"/>
    <n v="497.29"/>
    <n v="0"/>
  </r>
  <r>
    <x v="5"/>
    <x v="1"/>
    <x v="0"/>
    <s v="2649200"/>
    <n v="700032"/>
    <s v="Salaries-Other Pat Care Providers-Other"/>
    <s v="GH-Dermatology"/>
    <x v="0"/>
    <n v="2000"/>
    <n v="0"/>
    <n v="0"/>
    <n v="0"/>
    <n v="0"/>
    <n v="0"/>
    <n v="0"/>
    <n v="0"/>
    <n v="0"/>
    <n v="9.3800000000000008"/>
    <n v="1.64"/>
    <n v="0"/>
    <n v="0"/>
    <n v="11.020000000000001"/>
    <n v="0"/>
  </r>
  <r>
    <x v="5"/>
    <x v="1"/>
    <x v="0"/>
    <s v="2649200"/>
    <n v="700038"/>
    <s v="Salaries-Service/Support-Productive"/>
    <s v="GH-Dermatology"/>
    <x v="0"/>
    <m/>
    <n v="2859.5"/>
    <n v="3649.5"/>
    <n v="2771.51"/>
    <n v="3810.16"/>
    <n v="3334.4"/>
    <n v="2550.81"/>
    <n v="3504.32"/>
    <n v="2945.86"/>
    <n v="1686.34"/>
    <n v="605.26"/>
    <n v="0"/>
    <n v="0"/>
    <n v="27717.66"/>
    <n v="0"/>
  </r>
  <r>
    <x v="5"/>
    <x v="1"/>
    <x v="0"/>
    <s v="2649200"/>
    <n v="700038"/>
    <s v="Salaries-Service/Support-OT"/>
    <s v="GH-Dermatology"/>
    <x v="0"/>
    <n v="1000"/>
    <n v="0"/>
    <n v="0"/>
    <n v="11.38"/>
    <n v="-3.79"/>
    <n v="0"/>
    <n v="0"/>
    <n v="32.869999999999997"/>
    <n v="-9.39"/>
    <n v="0"/>
    <n v="0"/>
    <n v="0"/>
    <n v="0"/>
    <n v="31.07"/>
    <n v="0"/>
  </r>
  <r>
    <x v="5"/>
    <x v="1"/>
    <x v="0"/>
    <s v="2649200"/>
    <n v="700062"/>
    <s v="Salaries-Physician-Non-productive"/>
    <s v="GH-Dermatology"/>
    <x v="0"/>
    <m/>
    <n v="7539.23"/>
    <n v="7818.47"/>
    <n v="0"/>
    <n v="2513.0700000000002"/>
    <n v="1675.38"/>
    <n v="9075"/>
    <n v="2657.61"/>
    <n v="1398.2"/>
    <n v="2936.21"/>
    <n v="-699.09"/>
    <n v="0"/>
    <n v="0"/>
    <n v="34914.080000000009"/>
    <n v="0"/>
  </r>
  <r>
    <x v="5"/>
    <x v="1"/>
    <x v="0"/>
    <s v="2649200"/>
    <n v="700062"/>
    <s v="Salaries-Physician-NonProd-Other"/>
    <s v="GH-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49200"/>
    <n v="700072"/>
    <s v="Salaries-Other Pat Care Providers-Non-productive"/>
    <s v="GH-Dermatology"/>
    <x v="0"/>
    <m/>
    <n v="610.64"/>
    <n v="290.17"/>
    <n v="112.25"/>
    <n v="1595.49"/>
    <n v="-566.76"/>
    <n v="622.88"/>
    <n v="793.56"/>
    <n v="435.75"/>
    <n v="-110.08"/>
    <n v="0"/>
    <n v="0"/>
    <n v="0"/>
    <n v="3783.9"/>
    <n v="0"/>
  </r>
  <r>
    <x v="5"/>
    <x v="1"/>
    <x v="0"/>
    <s v="2649200"/>
    <n v="700072"/>
    <s v="Salaries-Other Pat Care Providers-NonProd-Other"/>
    <s v="GH-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49200"/>
    <n v="700078"/>
    <s v="Salaries-Service/Support-Non-productive"/>
    <s v="GH-Dermatology"/>
    <x v="0"/>
    <m/>
    <n v="144.63999999999999"/>
    <n v="98.12"/>
    <n v="460.24"/>
    <n v="0"/>
    <n v="333.44"/>
    <n v="950.3"/>
    <n v="372.61"/>
    <n v="145.05000000000001"/>
    <n v="166.45"/>
    <n v="28.7"/>
    <n v="0"/>
    <n v="0"/>
    <n v="2699.5499999999997"/>
    <n v="0"/>
  </r>
  <r>
    <x v="5"/>
    <x v="1"/>
    <x v="0"/>
    <s v="2649200"/>
    <n v="700078"/>
    <s v="Salaries-Service/Support-NonProd-Other"/>
    <s v="GH-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49200"/>
    <n v="700084"/>
    <s v="Accrued PTO"/>
    <s v="GH-Dermatology"/>
    <x v="0"/>
    <m/>
    <n v="-63.48"/>
    <n v="267.67"/>
    <n v="150.01"/>
    <n v="-341.36"/>
    <n v="297.5"/>
    <n v="-688.09"/>
    <n v="62.11"/>
    <n v="156.72"/>
    <n v="115.04"/>
    <n v="0"/>
    <n v="0"/>
    <n v="0"/>
    <n v="-43.879999999999981"/>
    <n v="0"/>
  </r>
  <r>
    <x v="6"/>
    <x v="1"/>
    <x v="0"/>
    <s v="2649200"/>
    <n v="713010"/>
    <s v="Benefits-FICA/Medicare"/>
    <s v="GH-Dermatology"/>
    <x v="0"/>
    <m/>
    <n v="888.22"/>
    <n v="932.58"/>
    <n v="847.63"/>
    <n v="857.25"/>
    <n v="963.33"/>
    <n v="1610.77"/>
    <n v="2515.5500000000002"/>
    <n v="2163.41"/>
    <n v="1979.21"/>
    <n v="1179.02"/>
    <n v="-279.32"/>
    <n v="0"/>
    <n v="13657.650000000001"/>
    <n v="-279.32"/>
  </r>
  <r>
    <x v="6"/>
    <x v="1"/>
    <x v="0"/>
    <s v="2649200"/>
    <n v="713090"/>
    <s v="Benefits-Allocated Amounts"/>
    <s v="GH-Dermatology"/>
    <x v="0"/>
    <m/>
    <n v="0"/>
    <n v="0"/>
    <n v="0"/>
    <n v="0"/>
    <n v="0"/>
    <n v="0"/>
    <n v="0"/>
    <n v="0"/>
    <n v="24284"/>
    <n v="1301.68"/>
    <n v="74.25"/>
    <n v="-598.41999999999996"/>
    <n v="25061.510000000002"/>
    <n v="672.67"/>
  </r>
  <r>
    <x v="6"/>
    <x v="1"/>
    <x v="0"/>
    <s v="2649200"/>
    <n v="713092"/>
    <s v="Allocated Benefits-Physician"/>
    <s v="GH-Dermatology"/>
    <x v="0"/>
    <m/>
    <n v="3581.04"/>
    <n v="3294.34"/>
    <n v="3524.73"/>
    <n v="3355.66"/>
    <n v="3522.5"/>
    <n v="3697"/>
    <n v="4492.41"/>
    <n v="4055.22"/>
    <n v="-21016.38"/>
    <n v="455.98"/>
    <n v="26"/>
    <n v="-209.62"/>
    <n v="8778.8799999999992"/>
    <n v="235.62"/>
  </r>
  <r>
    <x v="8"/>
    <x v="1"/>
    <x v="0"/>
    <s v="2649200"/>
    <n v="741012"/>
    <s v="Physician Liab Insurance-CHI Program"/>
    <s v="GH-Dermatology"/>
    <x v="0"/>
    <m/>
    <n v="447.61"/>
    <n v="447.62"/>
    <n v="447.61"/>
    <n v="447.62"/>
    <n v="447.61"/>
    <n v="447.62"/>
    <n v="447.61"/>
    <n v="447.62"/>
    <n v="447.61"/>
    <n v="1342.85"/>
    <n v="-1162.57"/>
    <n v="0"/>
    <n v="4208.8100000000004"/>
    <n v="-1162.57"/>
  </r>
  <r>
    <x v="0"/>
    <x v="1"/>
    <x v="0"/>
    <s v="2649200"/>
    <n v="743022"/>
    <s v="Dues-Physician"/>
    <s v="GH-Dermatology"/>
    <x v="0"/>
    <m/>
    <n v="0"/>
    <n v="0"/>
    <n v="0"/>
    <n v="0"/>
    <n v="0"/>
    <n v="2125"/>
    <n v="0"/>
    <n v="285"/>
    <n v="0"/>
    <n v="0"/>
    <n v="0"/>
    <n v="0"/>
    <n v="2410"/>
    <n v="0"/>
  </r>
  <r>
    <x v="0"/>
    <x v="1"/>
    <x v="0"/>
    <s v="2649200"/>
    <n v="749510"/>
    <s v="Miscellaneous Expenses"/>
    <s v="GH-Dermatology"/>
    <x v="0"/>
    <m/>
    <n v="-697.2"/>
    <n v="0"/>
    <n v="0"/>
    <n v="0"/>
    <n v="0"/>
    <n v="0"/>
    <n v="820"/>
    <n v="-820"/>
    <n v="0"/>
    <n v="0"/>
    <n v="0"/>
    <n v="0"/>
    <n v="-697.2"/>
    <n v="0"/>
  </r>
  <r>
    <x v="0"/>
    <x v="1"/>
    <x v="0"/>
    <s v="2649200"/>
    <n v="749530"/>
    <s v="Travel"/>
    <s v="GH-Dermatology"/>
    <x v="0"/>
    <m/>
    <n v="0"/>
    <n v="5.5"/>
    <n v="0"/>
    <n v="0"/>
    <n v="0"/>
    <n v="11"/>
    <n v="0"/>
    <n v="0"/>
    <n v="0"/>
    <n v="0"/>
    <n v="0"/>
    <n v="0"/>
    <n v="16.5"/>
    <n v="0"/>
  </r>
  <r>
    <x v="0"/>
    <x v="1"/>
    <x v="0"/>
    <s v="2649200"/>
    <n v="749530"/>
    <s v="Mileage"/>
    <s v="GH-Dermatology"/>
    <x v="0"/>
    <n v="1001"/>
    <n v="0"/>
    <n v="17.440000000000001"/>
    <n v="0"/>
    <n v="0"/>
    <n v="0"/>
    <n v="34.880000000000003"/>
    <n v="0"/>
    <n v="0"/>
    <n v="0"/>
    <n v="0"/>
    <n v="0"/>
    <n v="0"/>
    <n v="52.320000000000007"/>
    <n v="0"/>
  </r>
  <r>
    <x v="1"/>
    <x v="1"/>
    <x v="0"/>
    <s v="2650200"/>
    <n v="400029"/>
    <s v="MD Practice Other Rev--Medicaid"/>
    <s v="Oncology Assoc-Burien"/>
    <x v="0"/>
    <n v="1200"/>
    <n v="0"/>
    <n v="0"/>
    <n v="0"/>
    <n v="0"/>
    <n v="0"/>
    <n v="0"/>
    <n v="0"/>
    <n v="0"/>
    <n v="0"/>
    <n v="-10"/>
    <n v="10"/>
    <n v="0"/>
    <n v="0"/>
    <n v="10"/>
  </r>
  <r>
    <x v="1"/>
    <x v="1"/>
    <x v="0"/>
    <s v="2650200"/>
    <n v="400029"/>
    <s v="MD Practice Other Rev--Managed Care"/>
    <s v="Oncology Assoc-Burien"/>
    <x v="0"/>
    <n v="1400"/>
    <n v="0"/>
    <n v="0"/>
    <n v="0"/>
    <n v="0"/>
    <n v="0"/>
    <n v="0"/>
    <n v="0"/>
    <n v="0"/>
    <n v="-10"/>
    <n v="-20"/>
    <n v="20"/>
    <n v="0"/>
    <n v="-10"/>
    <n v="20"/>
  </r>
  <r>
    <x v="1"/>
    <x v="1"/>
    <x v="0"/>
    <s v="2650200"/>
    <n v="400040"/>
    <s v="Physician Svcs Rev--Medicare"/>
    <s v="Oncology Assoc-Burien"/>
    <x v="0"/>
    <n v="1100"/>
    <n v="-71698"/>
    <n v="-67378"/>
    <n v="-67115"/>
    <n v="-79271"/>
    <n v="-70644"/>
    <n v="-68081"/>
    <n v="-71635"/>
    <n v="-78094"/>
    <n v="-90406"/>
    <n v="-80079"/>
    <n v="-81406"/>
    <n v="-79763"/>
    <n v="-905570"/>
    <n v="-1643"/>
  </r>
  <r>
    <x v="1"/>
    <x v="1"/>
    <x v="0"/>
    <s v="2650200"/>
    <n v="400040"/>
    <s v="Physician Svcs Rev--Medicaid"/>
    <s v="Oncology Assoc-Burien"/>
    <x v="0"/>
    <n v="1200"/>
    <n v="-10659"/>
    <n v="-12017"/>
    <n v="-10103"/>
    <n v="-13639"/>
    <n v="-13342"/>
    <n v="-12256"/>
    <n v="-16454"/>
    <n v="-16509"/>
    <n v="-19077"/>
    <n v="-19423"/>
    <n v="-15993"/>
    <n v="-16625"/>
    <n v="-176097"/>
    <n v="632"/>
  </r>
  <r>
    <x v="1"/>
    <x v="1"/>
    <x v="0"/>
    <s v="2650200"/>
    <n v="400040"/>
    <s v="Physician Svcs Rev--Comm Insurance"/>
    <s v="Oncology Assoc-Burien"/>
    <x v="0"/>
    <n v="1300"/>
    <n v="-1658"/>
    <n v="-2381"/>
    <n v="-1948"/>
    <n v="-2347"/>
    <n v="-3027"/>
    <n v="-2895"/>
    <n v="-2672"/>
    <n v="-5381"/>
    <n v="-2803"/>
    <n v="-1723"/>
    <n v="-3471"/>
    <n v="-1853"/>
    <n v="-32159"/>
    <n v="-1618"/>
  </r>
  <r>
    <x v="1"/>
    <x v="1"/>
    <x v="0"/>
    <s v="2650200"/>
    <n v="400040"/>
    <s v="Physician Svcs Rev--BCBS Comm"/>
    <s v="Oncology Assoc-Burien"/>
    <x v="0"/>
    <n v="1301"/>
    <n v="-4280"/>
    <n v="-7135"/>
    <n v="-3849"/>
    <n v="-8009"/>
    <n v="-6637"/>
    <n v="-5249"/>
    <n v="-5507"/>
    <n v="-5069"/>
    <n v="-7196"/>
    <n v="-7468"/>
    <n v="-8508"/>
    <n v="-8413"/>
    <n v="-77320"/>
    <n v="-95"/>
  </r>
  <r>
    <x v="1"/>
    <x v="1"/>
    <x v="0"/>
    <s v="2650200"/>
    <n v="400040"/>
    <s v="Physician Svcs Rev--Managed Care"/>
    <s v="Oncology Assoc-Burien"/>
    <x v="0"/>
    <n v="1400"/>
    <n v="-19185"/>
    <n v="-24892"/>
    <n v="-21187"/>
    <n v="-29182"/>
    <n v="-22724"/>
    <n v="-23976"/>
    <n v="-22878"/>
    <n v="-17345"/>
    <n v="-23217"/>
    <n v="-30777"/>
    <n v="-27424"/>
    <n v="-26662"/>
    <n v="-289449"/>
    <n v="-762"/>
  </r>
  <r>
    <x v="1"/>
    <x v="1"/>
    <x v="0"/>
    <s v="2650200"/>
    <n v="400040"/>
    <s v="Physician Svcs Rev--Self Pay"/>
    <s v="Oncology Assoc-Burien"/>
    <x v="0"/>
    <n v="1500"/>
    <n v="-1106"/>
    <n v="-464"/>
    <n v="-1853"/>
    <n v="-2296"/>
    <n v="-1776"/>
    <n v="-2928"/>
    <n v="-2496"/>
    <n v="-183"/>
    <n v="-1474"/>
    <n v="-913"/>
    <n v="-3338"/>
    <n v="-2284"/>
    <n v="-21111"/>
    <n v="-1054"/>
  </r>
  <r>
    <x v="1"/>
    <x v="1"/>
    <x v="0"/>
    <s v="2650200"/>
    <n v="400040"/>
    <s v="Physician Svcs Rev--Other"/>
    <s v="Oncology Assoc-Burien"/>
    <x v="0"/>
    <n v="1700"/>
    <n v="0"/>
    <n v="0"/>
    <n v="0"/>
    <n v="0"/>
    <n v="0"/>
    <n v="-768"/>
    <n v="-788"/>
    <n v="-1468"/>
    <n v="-1844"/>
    <n v="-1253"/>
    <n v="-141"/>
    <n v="-2164"/>
    <n v="-8426"/>
    <n v="2023"/>
  </r>
  <r>
    <x v="2"/>
    <x v="1"/>
    <x v="0"/>
    <s v="2650200"/>
    <n v="450029"/>
    <s v="Admin Adjust-MD Other-Self Pay"/>
    <s v="Oncology Assoc-Burien"/>
    <x v="0"/>
    <n v="1600"/>
    <n v="0"/>
    <n v="0"/>
    <n v="0"/>
    <n v="10"/>
    <n v="0"/>
    <n v="0"/>
    <n v="0"/>
    <n v="0"/>
    <n v="10"/>
    <n v="0"/>
    <n v="0"/>
    <n v="0"/>
    <n v="20"/>
    <n v="0"/>
  </r>
  <r>
    <x v="2"/>
    <x v="1"/>
    <x v="0"/>
    <s v="2650200"/>
    <n v="450040"/>
    <s v="Contr Allow--Phys Svcs--Mcare"/>
    <s v="Oncology Assoc-Burien"/>
    <x v="0"/>
    <n v="1100"/>
    <n v="38735.949999999997"/>
    <n v="36061.699999999997"/>
    <n v="31406.720000000001"/>
    <n v="35098.29"/>
    <n v="38952.07"/>
    <n v="27751.61"/>
    <n v="121239.57"/>
    <n v="34895.519999999997"/>
    <n v="51219.12"/>
    <n v="45847.58"/>
    <n v="70846.86"/>
    <n v="52569.02"/>
    <n v="584624.01000000013"/>
    <n v="18277.840000000004"/>
  </r>
  <r>
    <x v="2"/>
    <x v="1"/>
    <x v="0"/>
    <s v="2650200"/>
    <n v="450040"/>
    <s v="Contr Allow--Phys Svcs--Mcaid"/>
    <s v="Oncology Assoc-Burien"/>
    <x v="0"/>
    <n v="1200"/>
    <n v="7909.68"/>
    <n v="8808.2999999999993"/>
    <n v="4931.03"/>
    <n v="5438"/>
    <n v="10713.9"/>
    <n v="7602.2"/>
    <n v="8673.48"/>
    <n v="9569.42"/>
    <n v="14553.16"/>
    <n v="14778.43"/>
    <n v="17397.580000000002"/>
    <n v="10392.27"/>
    <n v="120767.45000000001"/>
    <n v="7005.3100000000013"/>
  </r>
  <r>
    <x v="2"/>
    <x v="1"/>
    <x v="0"/>
    <s v="2650200"/>
    <n v="450040"/>
    <s v="Contr Allow--Phys Svcs--Comm Insurance"/>
    <s v="Oncology Assoc-Burien"/>
    <x v="0"/>
    <n v="1300"/>
    <n v="302.64"/>
    <n v="794.08"/>
    <n v="635.91999999999996"/>
    <n v="182.93"/>
    <n v="3109.92"/>
    <n v="987.06"/>
    <n v="1200.08"/>
    <n v="1813.35"/>
    <n v="1642.18"/>
    <n v="634.28"/>
    <n v="738.39"/>
    <n v="832.81"/>
    <n v="12873.64"/>
    <n v="-94.419999999999959"/>
  </r>
  <r>
    <x v="2"/>
    <x v="1"/>
    <x v="0"/>
    <s v="2650200"/>
    <n v="450040"/>
    <s v="Contr Allow--Phys Svcs--BCBS Comm Ins"/>
    <s v="Oncology Assoc-Burien"/>
    <x v="0"/>
    <n v="1301"/>
    <n v="3415.67"/>
    <n v="4276.2"/>
    <n v="849.1"/>
    <n v="717.06"/>
    <n v="3646.83"/>
    <n v="1626.22"/>
    <n v="945.31"/>
    <n v="1125.27"/>
    <n v="1944.87"/>
    <n v="1391.3"/>
    <n v="1929.64"/>
    <n v="2422.75"/>
    <n v="24290.219999999994"/>
    <n v="-493.1099999999999"/>
  </r>
  <r>
    <x v="2"/>
    <x v="1"/>
    <x v="0"/>
    <s v="2650200"/>
    <n v="450040"/>
    <s v="Contr Allow--Phys Svcs--Managed Care"/>
    <s v="Oncology Assoc-Burien"/>
    <x v="0"/>
    <n v="1400"/>
    <n v="9590.19"/>
    <n v="10234.92"/>
    <n v="4941.25"/>
    <n v="7462.64"/>
    <n v="14583.72"/>
    <n v="7287.51"/>
    <n v="7912.59"/>
    <n v="4763.16"/>
    <n v="7465.53"/>
    <n v="7040.73"/>
    <n v="12304.99"/>
    <n v="7076.22"/>
    <n v="100663.45000000001"/>
    <n v="5228.7699999999995"/>
  </r>
  <r>
    <x v="2"/>
    <x v="1"/>
    <x v="0"/>
    <s v="2650200"/>
    <n v="450040"/>
    <s v="Contr Allow--Phys Svcs--BCBS Mgnd Care"/>
    <s v="Oncology Assoc-Burien"/>
    <x v="0"/>
    <n v="1401"/>
    <n v="-13516.83"/>
    <n v="4976.54"/>
    <n v="22198.02"/>
    <n v="27282.11"/>
    <n v="-10231.93"/>
    <n v="17789.66"/>
    <n v="-51003.76"/>
    <n v="15628.17"/>
    <n v="3798.18"/>
    <n v="-3303.14"/>
    <n v="-21652.84"/>
    <n v="75.06"/>
    <n v="-7960.7600000000102"/>
    <n v="-21727.9"/>
  </r>
  <r>
    <x v="2"/>
    <x v="1"/>
    <x v="0"/>
    <s v="2650200"/>
    <n v="450040"/>
    <s v="Prompt Pay Disc-Phys Svcs-Self Pay"/>
    <s v="Oncology Assoc-Burien"/>
    <x v="0"/>
    <n v="1500"/>
    <n v="0"/>
    <n v="0"/>
    <n v="0"/>
    <n v="0"/>
    <n v="0"/>
    <n v="0"/>
    <n v="0"/>
    <n v="0"/>
    <n v="0"/>
    <n v="0"/>
    <n v="134.66"/>
    <n v="0"/>
    <n v="134.66"/>
    <n v="134.66"/>
  </r>
  <r>
    <x v="2"/>
    <x v="1"/>
    <x v="0"/>
    <s v="2650200"/>
    <n v="450040"/>
    <s v="Admin Adjust-Phys Svcs-Self Pay"/>
    <s v="Oncology Assoc-Burien"/>
    <x v="0"/>
    <n v="1600"/>
    <n v="199.01"/>
    <n v="202.1"/>
    <n v="920.74"/>
    <n v="922.15"/>
    <n v="656.82"/>
    <n v="804.86"/>
    <n v="1443.08"/>
    <n v="690.68"/>
    <n v="546.61"/>
    <n v="17533.45"/>
    <n v="1060.8699999999999"/>
    <n v="1780.54"/>
    <n v="26760.91"/>
    <n v="-719.67000000000007"/>
  </r>
  <r>
    <x v="2"/>
    <x v="1"/>
    <x v="0"/>
    <s v="2650200"/>
    <n v="450040"/>
    <s v="Contr Allow--Phys Svcs--Other"/>
    <s v="Oncology Assoc-Burien"/>
    <x v="0"/>
    <n v="1700"/>
    <n v="337.97"/>
    <n v="0"/>
    <n v="0"/>
    <n v="0"/>
    <n v="0"/>
    <n v="0"/>
    <n v="0"/>
    <n v="565.85"/>
    <n v="917.54"/>
    <n v="641.02"/>
    <n v="709.02"/>
    <n v="778.26"/>
    <n v="3949.66"/>
    <n v="-69.240000000000009"/>
  </r>
  <r>
    <x v="3"/>
    <x v="1"/>
    <x v="0"/>
    <s v="2650200"/>
    <n v="470040"/>
    <s v="Charity Care-Physician Svcs"/>
    <s v="Oncology Assoc-Burien"/>
    <x v="0"/>
    <m/>
    <n v="-9497.64"/>
    <n v="1630.85"/>
    <n v="1805.69"/>
    <n v="2076.14"/>
    <n v="662.01"/>
    <n v="361.6"/>
    <n v="182.9"/>
    <n v="2566.71"/>
    <n v="1316.17"/>
    <n v="1994.25"/>
    <n v="-725.94"/>
    <n v="6287.25"/>
    <n v="8659.9900000000016"/>
    <n v="-7013.1900000000005"/>
  </r>
  <r>
    <x v="4"/>
    <x v="1"/>
    <x v="0"/>
    <s v="2650200"/>
    <n v="490010"/>
    <s v="Provision for Bad Debts"/>
    <s v="Oncology Assoc-Burien"/>
    <x v="0"/>
    <m/>
    <n v="9582.99"/>
    <n v="1397.14"/>
    <n v="2807.2"/>
    <n v="3099.6"/>
    <n v="1151.57"/>
    <n v="2621.75"/>
    <n v="-6581.33"/>
    <n v="1051.46"/>
    <n v="2362.42"/>
    <n v="3231.93"/>
    <n v="-161.15"/>
    <n v="-463.86"/>
    <n v="20099.719999999994"/>
    <n v="302.71000000000004"/>
  </r>
  <r>
    <x v="14"/>
    <x v="1"/>
    <x v="0"/>
    <s v="2650200"/>
    <n v="600050"/>
    <s v="Miscellaneous Revenue"/>
    <s v="Oncology Assoc-Burien"/>
    <x v="0"/>
    <m/>
    <n v="-4750"/>
    <n v="-8825"/>
    <n v="-2825"/>
    <n v="-4975"/>
    <n v="-4900"/>
    <n v="-5725"/>
    <n v="-4000"/>
    <n v="-2675"/>
    <n v="-2900"/>
    <n v="-4000"/>
    <n v="-750"/>
    <n v="-900"/>
    <n v="-47225"/>
    <n v="150"/>
  </r>
  <r>
    <x v="5"/>
    <x v="1"/>
    <x v="0"/>
    <s v="2650200"/>
    <n v="700020"/>
    <s v="Salaries-Physician Admin-Other"/>
    <s v="Oncology Assoc-Burien"/>
    <x v="0"/>
    <n v="2000"/>
    <n v="750"/>
    <n v="825"/>
    <n v="825"/>
    <n v="975"/>
    <n v="900"/>
    <n v="1725"/>
    <n v="0"/>
    <n v="675"/>
    <n v="900"/>
    <n v="0"/>
    <n v="750"/>
    <n v="900"/>
    <n v="9225"/>
    <n v="-150"/>
  </r>
  <r>
    <x v="5"/>
    <x v="1"/>
    <x v="0"/>
    <s v="2650200"/>
    <n v="700022"/>
    <s v="Salaries-Physician-Productive"/>
    <s v="Oncology Assoc-Burien"/>
    <x v="0"/>
    <m/>
    <n v="80277.72"/>
    <n v="91959.33"/>
    <n v="75713.440000000002"/>
    <n v="133782.14000000001"/>
    <n v="112554.05"/>
    <n v="111868.51"/>
    <n v="116830.47"/>
    <n v="94879.66"/>
    <n v="92288.95"/>
    <n v="84060.09"/>
    <n v="123612.1"/>
    <n v="62965.23"/>
    <n v="1180791.69"/>
    <n v="60646.87"/>
  </r>
  <r>
    <x v="5"/>
    <x v="1"/>
    <x v="0"/>
    <s v="2650200"/>
    <n v="700022"/>
    <s v="Salaries-Physician-Other"/>
    <s v="Oncology Assoc-Burien"/>
    <x v="0"/>
    <n v="2000"/>
    <n v="4000"/>
    <n v="8000"/>
    <n v="2000"/>
    <n v="4000"/>
    <n v="4000"/>
    <n v="4000"/>
    <n v="4000"/>
    <n v="2000"/>
    <n v="2000"/>
    <n v="4000"/>
    <n v="0"/>
    <n v="0"/>
    <n v="38000"/>
    <n v="0"/>
  </r>
  <r>
    <x v="5"/>
    <x v="1"/>
    <x v="0"/>
    <s v="2650200"/>
    <n v="700062"/>
    <s v="Salaries-Physician-Non-productive"/>
    <s v="Oncology Assoc-Burien"/>
    <x v="0"/>
    <m/>
    <n v="0"/>
    <n v="0"/>
    <n v="1381.37"/>
    <n v="926.93"/>
    <n v="919.97"/>
    <n v="918.79"/>
    <n v="914.72"/>
    <n v="2912.25"/>
    <n v="11241.18"/>
    <n v="26258.58"/>
    <n v="-9838.66"/>
    <n v="31542.83"/>
    <n v="67177.960000000006"/>
    <n v="-41381.490000000005"/>
  </r>
  <r>
    <x v="6"/>
    <x v="1"/>
    <x v="0"/>
    <s v="2650200"/>
    <n v="713010"/>
    <s v="Benefits-FICA/Medicare"/>
    <s v="Oncology Assoc-Burien"/>
    <x v="0"/>
    <m/>
    <n v="1176.17"/>
    <n v="1346.23"/>
    <n v="1092.43"/>
    <n v="4887.07"/>
    <n v="3998.26"/>
    <n v="6455.56"/>
    <n v="8903.7000000000007"/>
    <n v="7439.72"/>
    <n v="7890.18"/>
    <n v="2736.88"/>
    <n v="1502.37"/>
    <n v="1382.77"/>
    <n v="48811.34"/>
    <n v="119.59999999999991"/>
  </r>
  <r>
    <x v="6"/>
    <x v="1"/>
    <x v="0"/>
    <s v="2650200"/>
    <n v="713090"/>
    <s v="Benefits-Allocated Amounts"/>
    <s v="Oncology Assoc-Burien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650200"/>
    <n v="713092"/>
    <s v="Allocated Benefits-Physician"/>
    <s v="Oncology Assoc-Burien"/>
    <x v="0"/>
    <m/>
    <n v="5211.72"/>
    <n v="5360.04"/>
    <n v="4614.67"/>
    <n v="7554.51"/>
    <n v="6868.37"/>
    <n v="7935.26"/>
    <n v="8629.26"/>
    <n v="7964.74"/>
    <n v="9214.9"/>
    <n v="8094.4"/>
    <n v="8037.62"/>
    <n v="7364.21"/>
    <n v="86849.7"/>
    <n v="673.40999999999985"/>
  </r>
  <r>
    <x v="11"/>
    <x v="1"/>
    <x v="0"/>
    <s v="2650200"/>
    <n v="721910"/>
    <s v="Supplies-Small Equipment"/>
    <s v="Oncology Assoc-Burien"/>
    <x v="0"/>
    <m/>
    <n v="0"/>
    <n v="0"/>
    <n v="0"/>
    <n v="0"/>
    <n v="499.82"/>
    <n v="0"/>
    <n v="0"/>
    <n v="0"/>
    <n v="0"/>
    <n v="0"/>
    <n v="0"/>
    <n v="0"/>
    <n v="499.82"/>
    <n v="0"/>
  </r>
  <r>
    <x v="0"/>
    <x v="1"/>
    <x v="0"/>
    <s v="2650200"/>
    <n v="740022"/>
    <s v="Education-Physician"/>
    <s v="Oncology Assoc-Burien"/>
    <x v="0"/>
    <m/>
    <n v="0"/>
    <n v="0"/>
    <n v="0"/>
    <n v="3000"/>
    <n v="0"/>
    <n v="0"/>
    <n v="0"/>
    <n v="0"/>
    <n v="0"/>
    <n v="0"/>
    <n v="0"/>
    <n v="0"/>
    <n v="3000"/>
    <n v="0"/>
  </r>
  <r>
    <x v="0"/>
    <x v="1"/>
    <x v="0"/>
    <s v="2650200"/>
    <n v="740022"/>
    <s v="Books-Physician"/>
    <s v="Oncology Assoc-Burien"/>
    <x v="0"/>
    <n v="2000"/>
    <n v="0"/>
    <n v="0"/>
    <n v="0"/>
    <n v="0"/>
    <n v="0"/>
    <n v="0"/>
    <n v="0"/>
    <n v="0"/>
    <n v="0"/>
    <n v="0"/>
    <n v="0"/>
    <n v="2250"/>
    <n v="2250"/>
    <n v="-2250"/>
  </r>
  <r>
    <x v="8"/>
    <x v="1"/>
    <x v="0"/>
    <s v="2650200"/>
    <n v="741012"/>
    <s v="Physician Liab Insurance-CHI Program"/>
    <s v="Oncology Assoc-Burien"/>
    <x v="0"/>
    <m/>
    <n v="1492.05"/>
    <n v="1492.05"/>
    <n v="2178.8000000000002"/>
    <n v="2178.8000000000002"/>
    <n v="2178.8000000000002"/>
    <n v="2178.8000000000002"/>
    <n v="2178.8000000000002"/>
    <n v="2178.8000000000002"/>
    <n v="2178.8000000000002"/>
    <n v="2178.8000000000002"/>
    <n v="1971.5"/>
    <n v="1965.65"/>
    <n v="24351.649999999998"/>
    <n v="5.8499999999999091"/>
  </r>
  <r>
    <x v="0"/>
    <x v="1"/>
    <x v="0"/>
    <s v="2650200"/>
    <n v="743020"/>
    <s v="Dues--Individual"/>
    <s v="Oncology Assoc-Burien"/>
    <x v="0"/>
    <m/>
    <n v="0"/>
    <n v="0"/>
    <n v="0"/>
    <n v="0"/>
    <n v="0"/>
    <n v="0"/>
    <n v="0"/>
    <n v="1070"/>
    <n v="0"/>
    <n v="0"/>
    <n v="0"/>
    <n v="0"/>
    <n v="1070"/>
    <n v="0"/>
  </r>
  <r>
    <x v="0"/>
    <x v="1"/>
    <x v="0"/>
    <s v="2650200"/>
    <n v="743022"/>
    <s v="Dues-Physician"/>
    <s v="Oncology Assoc-Burien"/>
    <x v="0"/>
    <m/>
    <n v="0"/>
    <n v="0"/>
    <n v="0"/>
    <n v="0"/>
    <n v="0"/>
    <n v="260"/>
    <n v="0"/>
    <n v="0"/>
    <n v="0"/>
    <n v="0"/>
    <n v="0"/>
    <n v="0"/>
    <n v="260"/>
    <n v="0"/>
  </r>
  <r>
    <x v="0"/>
    <x v="1"/>
    <x v="0"/>
    <s v="2650200"/>
    <n v="749512"/>
    <s v="Licenses-Physician"/>
    <s v="Oncology Assoc-Burien"/>
    <x v="0"/>
    <n v="2000"/>
    <n v="0"/>
    <n v="0"/>
    <n v="0"/>
    <n v="0"/>
    <n v="657"/>
    <n v="0"/>
    <n v="0"/>
    <n v="0"/>
    <n v="0"/>
    <n v="0"/>
    <n v="0"/>
    <n v="0"/>
    <n v="657"/>
    <n v="0"/>
  </r>
  <r>
    <x v="1"/>
    <x v="1"/>
    <x v="0"/>
    <s v="2651200"/>
    <n v="400040"/>
    <s v="Physician Svcs Rev--Medicare"/>
    <s v="Ortho-Spine Surgery-Burien"/>
    <x v="0"/>
    <n v="1100"/>
    <n v="-396"/>
    <n v="0"/>
    <n v="-296"/>
    <n v="0"/>
    <n v="-294"/>
    <n v="0"/>
    <n v="63"/>
    <n v="0"/>
    <n v="-450"/>
    <n v="0"/>
    <n v="0"/>
    <n v="0"/>
    <n v="-1373"/>
    <n v="0"/>
  </r>
  <r>
    <x v="1"/>
    <x v="1"/>
    <x v="0"/>
    <s v="2651200"/>
    <n v="400040"/>
    <s v="Physician Svcs Rev--Medicaid"/>
    <s v="Ortho-Spine Surgery-Burien"/>
    <x v="0"/>
    <n v="1200"/>
    <n v="-504"/>
    <n v="171"/>
    <n v="0"/>
    <n v="9025"/>
    <n v="5922"/>
    <n v="0"/>
    <n v="-72"/>
    <n v="-294"/>
    <n v="450"/>
    <n v="0"/>
    <n v="0"/>
    <n v="0"/>
    <n v="14698"/>
    <n v="0"/>
  </r>
  <r>
    <x v="1"/>
    <x v="1"/>
    <x v="0"/>
    <s v="2651200"/>
    <n v="400040"/>
    <s v="Physician Svcs Rev--Comm Insurance"/>
    <s v="Ortho-Spine Surgery-Burien"/>
    <x v="0"/>
    <n v="1300"/>
    <n v="530"/>
    <n v="-290"/>
    <n v="0"/>
    <n v="450"/>
    <n v="294"/>
    <n v="0"/>
    <n v="0"/>
    <n v="294"/>
    <n v="-296"/>
    <n v="0"/>
    <n v="296"/>
    <n v="0"/>
    <n v="1278"/>
    <n v="296"/>
  </r>
  <r>
    <x v="1"/>
    <x v="1"/>
    <x v="0"/>
    <s v="2651200"/>
    <n v="400040"/>
    <s v="Physician Svcs Rev--BCBS Comm"/>
    <s v="Ortho-Spine Surgery-Burien"/>
    <x v="0"/>
    <n v="1301"/>
    <n v="0"/>
    <n v="0"/>
    <n v="0"/>
    <n v="-9475"/>
    <n v="0"/>
    <n v="0"/>
    <n v="0"/>
    <n v="0"/>
    <n v="0"/>
    <n v="0"/>
    <n v="0"/>
    <n v="0"/>
    <n v="-9475"/>
    <n v="0"/>
  </r>
  <r>
    <x v="1"/>
    <x v="1"/>
    <x v="0"/>
    <s v="2651200"/>
    <n v="400040"/>
    <s v="Physician Svcs Rev--Managed Care"/>
    <s v="Ortho-Spine Surgery-Burien"/>
    <x v="0"/>
    <n v="1400"/>
    <n v="20"/>
    <n v="-6"/>
    <n v="296"/>
    <n v="0"/>
    <n v="0"/>
    <n v="0"/>
    <n v="0"/>
    <n v="0"/>
    <n v="296"/>
    <n v="-566"/>
    <n v="-296"/>
    <n v="0"/>
    <n v="-256"/>
    <n v="-296"/>
  </r>
  <r>
    <x v="1"/>
    <x v="1"/>
    <x v="0"/>
    <s v="2651200"/>
    <n v="400040"/>
    <s v="Physician Svcs Rev--Self Pay"/>
    <s v="Ortho-Spine Surgery-Burien"/>
    <x v="0"/>
    <n v="1500"/>
    <n v="242"/>
    <n v="0"/>
    <n v="0"/>
    <n v="0"/>
    <n v="0"/>
    <n v="0"/>
    <n v="0"/>
    <n v="0"/>
    <n v="0"/>
    <n v="0"/>
    <n v="0"/>
    <n v="0"/>
    <n v="242"/>
    <n v="0"/>
  </r>
  <r>
    <x v="1"/>
    <x v="1"/>
    <x v="0"/>
    <s v="2651200"/>
    <n v="400040"/>
    <s v="Physician Svcs Rev--Other"/>
    <s v="Ortho-Spine Surgery-Burien"/>
    <x v="0"/>
    <n v="1700"/>
    <n v="108"/>
    <n v="296"/>
    <n v="0"/>
    <n v="0"/>
    <n v="0"/>
    <n v="0"/>
    <n v="0"/>
    <n v="0"/>
    <n v="0"/>
    <n v="566"/>
    <n v="0"/>
    <n v="0"/>
    <n v="970"/>
    <n v="0"/>
  </r>
  <r>
    <x v="2"/>
    <x v="1"/>
    <x v="0"/>
    <s v="2651200"/>
    <n v="450040"/>
    <s v="Contr Allow--Phys Svcs--Mcare"/>
    <s v="Ortho-Spine Surgery-Burien"/>
    <x v="0"/>
    <n v="1100"/>
    <n v="14115.33"/>
    <n v="318.94"/>
    <n v="640.79"/>
    <n v="177.67"/>
    <n v="641.44000000000005"/>
    <n v="0"/>
    <n v="-1193.53"/>
    <n v="393.05"/>
    <n v="-842.37"/>
    <n v="966.3"/>
    <n v="1400.57"/>
    <n v="23.64"/>
    <n v="16641.829999999998"/>
    <n v="1376.9299999999998"/>
  </r>
  <r>
    <x v="2"/>
    <x v="1"/>
    <x v="0"/>
    <s v="2651200"/>
    <n v="450040"/>
    <s v="Contr Allow--Phys Svcs--Mcaid"/>
    <s v="Ortho-Spine Surgery-Burien"/>
    <x v="0"/>
    <n v="1200"/>
    <n v="0"/>
    <n v="81.53"/>
    <n v="87.67"/>
    <n v="-10751.81"/>
    <n v="5179.17"/>
    <n v="4604"/>
    <n v="0"/>
    <n v="215.12"/>
    <n v="4186.12"/>
    <n v="0"/>
    <n v="203"/>
    <n v="-3.49"/>
    <n v="3801.3100000000013"/>
    <n v="206.49"/>
  </r>
  <r>
    <x v="2"/>
    <x v="1"/>
    <x v="0"/>
    <s v="2651200"/>
    <n v="450040"/>
    <s v="Contr Allow--Phys Svcs--Comm Insurance"/>
    <s v="Ortho-Spine Surgery-Burien"/>
    <x v="0"/>
    <n v="1300"/>
    <n v="0"/>
    <n v="0"/>
    <n v="0"/>
    <n v="3759.45"/>
    <n v="0"/>
    <n v="0"/>
    <n v="0"/>
    <n v="787"/>
    <n v="0"/>
    <n v="134"/>
    <n v="-188.76"/>
    <n v="0"/>
    <n v="4491.6899999999996"/>
    <n v="-188.76"/>
  </r>
  <r>
    <x v="2"/>
    <x v="1"/>
    <x v="0"/>
    <s v="2651200"/>
    <n v="450040"/>
    <s v="Contr Allow--Phys Svcs--BCBS Comm Ins"/>
    <s v="Ortho-Spine Surgery-Burien"/>
    <x v="0"/>
    <n v="1301"/>
    <n v="390.12"/>
    <n v="317.17"/>
    <n v="0"/>
    <n v="-215.78"/>
    <n v="28.91"/>
    <n v="0"/>
    <n v="0"/>
    <n v="0"/>
    <n v="0"/>
    <n v="78.819999999999993"/>
    <n v="2509.56"/>
    <n v="35"/>
    <n v="3143.8"/>
    <n v="2474.56"/>
  </r>
  <r>
    <x v="2"/>
    <x v="1"/>
    <x v="0"/>
    <s v="2651200"/>
    <n v="450040"/>
    <s v="Contr Allow--Phys Svcs--Managed Care"/>
    <s v="Ortho-Spine Surgery-Burien"/>
    <x v="0"/>
    <n v="1400"/>
    <n v="-993.09"/>
    <n v="747.66"/>
    <n v="185.89"/>
    <n v="2302.12"/>
    <n v="0"/>
    <n v="0"/>
    <n v="-156.44999999999999"/>
    <n v="120.56"/>
    <n v="3.52"/>
    <n v="1202.1300000000001"/>
    <n v="0"/>
    <n v="310.23"/>
    <n v="3722.57"/>
    <n v="-310.23"/>
  </r>
  <r>
    <x v="2"/>
    <x v="1"/>
    <x v="0"/>
    <s v="2651200"/>
    <n v="450040"/>
    <s v="Contr Allow--Phys Svcs--BCBS Mgnd Care"/>
    <s v="Ortho-Spine Surgery-Burien"/>
    <x v="0"/>
    <n v="1401"/>
    <n v="-14651.84"/>
    <n v="-5350.03"/>
    <n v="-3426.5"/>
    <n v="4640.71"/>
    <n v="-8457.61"/>
    <n v="-2621.08"/>
    <n v="1707.89"/>
    <n v="-870.2"/>
    <n v="-5299.76"/>
    <n v="-1952.65"/>
    <n v="-4258.83"/>
    <n v="-728.02"/>
    <n v="-41267.919999999998"/>
    <n v="-3530.81"/>
  </r>
  <r>
    <x v="2"/>
    <x v="1"/>
    <x v="0"/>
    <s v="2651200"/>
    <n v="450040"/>
    <s v="Admin Adjust-Phys Svcs-Self Pay"/>
    <s v="Ortho-Spine Surgery-Burien"/>
    <x v="0"/>
    <n v="1600"/>
    <n v="-88.44"/>
    <n v="293"/>
    <n v="4.3099999999999996"/>
    <n v="166.18"/>
    <n v="113.31"/>
    <n v="-15.32"/>
    <n v="0"/>
    <n v="-67.2"/>
    <n v="23.45"/>
    <n v="0"/>
    <n v="0"/>
    <n v="13.17"/>
    <n v="442.46000000000004"/>
    <n v="-13.17"/>
  </r>
  <r>
    <x v="2"/>
    <x v="1"/>
    <x v="0"/>
    <s v="2651200"/>
    <n v="450040"/>
    <s v="Contr Allow--Phys Svcs--Other"/>
    <s v="Ortho-Spine Surgery-Burien"/>
    <x v="0"/>
    <n v="1700"/>
    <n v="314.91000000000003"/>
    <n v="0"/>
    <n v="454.46"/>
    <n v="0"/>
    <n v="-165.49"/>
    <n v="0"/>
    <n v="195.48"/>
    <n v="0"/>
    <n v="233.88"/>
    <n v="296"/>
    <n v="98.56"/>
    <n v="0"/>
    <n v="1427.8"/>
    <n v="98.56"/>
  </r>
  <r>
    <x v="3"/>
    <x v="1"/>
    <x v="0"/>
    <s v="2651200"/>
    <n v="470040"/>
    <s v="Charity Care-Physician Svcs"/>
    <s v="Ortho-Spine Surgery-Burien"/>
    <x v="0"/>
    <m/>
    <n v="-212.82"/>
    <n v="169.1"/>
    <n v="-258.32"/>
    <n v="242.29"/>
    <n v="28.68"/>
    <n v="-149.79"/>
    <n v="2.3199999999999998"/>
    <n v="-119.75"/>
    <n v="-12.75"/>
    <n v="-32.56"/>
    <n v="-243.12"/>
    <n v="492.31"/>
    <n v="-94.410000000000025"/>
    <n v="-735.43000000000006"/>
  </r>
  <r>
    <x v="4"/>
    <x v="1"/>
    <x v="0"/>
    <s v="2651200"/>
    <n v="490010"/>
    <s v="Provision for Bad Debts"/>
    <s v="Ortho-Spine Surgery-Burien"/>
    <x v="0"/>
    <m/>
    <n v="4102.5200000000004"/>
    <n v="4511.37"/>
    <n v="2467.0500000000002"/>
    <n v="-142.94999999999999"/>
    <n v="-990.76"/>
    <n v="-751.49"/>
    <n v="-671.28"/>
    <n v="46.87"/>
    <n v="10.48"/>
    <n v="-508.78"/>
    <n v="-825.31"/>
    <n v="-962.47"/>
    <n v="6285.2499999999973"/>
    <n v="137.16000000000008"/>
  </r>
  <r>
    <x v="5"/>
    <x v="1"/>
    <x v="0"/>
    <s v="2651200"/>
    <n v="700022"/>
    <s v="Salaries-Physician-Productive"/>
    <s v="Ortho-Spine Surgery-Burien"/>
    <x v="0"/>
    <m/>
    <n v="0"/>
    <n v="0"/>
    <n v="0"/>
    <n v="0"/>
    <n v="0"/>
    <n v="0"/>
    <n v="0"/>
    <n v="0"/>
    <n v="23110.77"/>
    <n v="4727.7700000000004"/>
    <n v="0"/>
    <n v="0"/>
    <n v="27838.54"/>
    <n v="0"/>
  </r>
  <r>
    <x v="5"/>
    <x v="1"/>
    <x v="0"/>
    <s v="2651200"/>
    <n v="700054"/>
    <s v="Salaries-Management-NonProd-Other"/>
    <s v="Ortho-Spine Surgery-Burien"/>
    <x v="0"/>
    <n v="2000"/>
    <n v="0"/>
    <n v="0"/>
    <n v="0"/>
    <n v="0"/>
    <n v="0"/>
    <n v="344.04"/>
    <n v="-344.04"/>
    <n v="0"/>
    <n v="0"/>
    <n v="0"/>
    <n v="0"/>
    <n v="0"/>
    <n v="0"/>
    <n v="0"/>
  </r>
  <r>
    <x v="5"/>
    <x v="1"/>
    <x v="0"/>
    <s v="2651200"/>
    <n v="700062"/>
    <s v="Salaries-Physician-NonProd-Other"/>
    <s v="Ortho-Spine Surgery-Burie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51200"/>
    <n v="700066"/>
    <s v="Salaries-RN-Non-productive"/>
    <s v="Ortho-Spine Surgery-Burien"/>
    <x v="0"/>
    <m/>
    <n v="138.02000000000001"/>
    <n v="0"/>
    <n v="0"/>
    <n v="0"/>
    <n v="0"/>
    <n v="0"/>
    <n v="0"/>
    <n v="0"/>
    <n v="0"/>
    <n v="0"/>
    <n v="0"/>
    <n v="0"/>
    <n v="138.02000000000001"/>
    <n v="0"/>
  </r>
  <r>
    <x v="5"/>
    <x v="1"/>
    <x v="0"/>
    <s v="2651200"/>
    <n v="700066"/>
    <s v="Salaries-RN-NonProd-Other"/>
    <s v="Ortho-Spine Surgery-Burien"/>
    <x v="0"/>
    <n v="2000"/>
    <n v="30.67"/>
    <n v="0"/>
    <n v="0"/>
    <n v="0"/>
    <n v="0"/>
    <n v="0"/>
    <n v="0"/>
    <n v="0"/>
    <n v="0"/>
    <n v="0"/>
    <n v="0"/>
    <n v="0"/>
    <n v="30.67"/>
    <n v="0"/>
  </r>
  <r>
    <x v="5"/>
    <x v="1"/>
    <x v="0"/>
    <s v="2651200"/>
    <n v="700084"/>
    <s v="Accrued PTO"/>
    <s v="Ortho-Spine Surgery-Burien"/>
    <x v="0"/>
    <m/>
    <n v="344.11"/>
    <n v="0"/>
    <n v="0"/>
    <n v="0"/>
    <n v="0"/>
    <n v="0"/>
    <n v="0"/>
    <n v="0"/>
    <n v="0"/>
    <n v="0"/>
    <n v="0"/>
    <n v="0"/>
    <n v="344.11"/>
    <n v="0"/>
  </r>
  <r>
    <x v="6"/>
    <x v="1"/>
    <x v="0"/>
    <s v="2651200"/>
    <n v="713010"/>
    <s v="Benefits-FICA/Medicare"/>
    <s v="Ortho-Spine Surgery-Burien"/>
    <x v="0"/>
    <m/>
    <n v="12.85"/>
    <n v="0"/>
    <n v="0"/>
    <n v="0"/>
    <n v="0"/>
    <n v="26.32"/>
    <n v="26.32"/>
    <n v="0"/>
    <n v="1765.39"/>
    <n v="353.07"/>
    <n v="0"/>
    <n v="0"/>
    <n v="2183.9500000000003"/>
    <n v="0"/>
  </r>
  <r>
    <x v="6"/>
    <x v="1"/>
    <x v="0"/>
    <s v="2651200"/>
    <n v="713090"/>
    <s v="Benefits-Allocated Amounts"/>
    <s v="Ortho-Spine Surgery-Burien"/>
    <x v="0"/>
    <m/>
    <n v="0"/>
    <n v="0"/>
    <n v="0"/>
    <n v="0"/>
    <n v="0"/>
    <n v="0"/>
    <n v="0"/>
    <n v="0"/>
    <n v="1376.9"/>
    <n v="511.58"/>
    <n v="-167.06"/>
    <n v="28.58"/>
    <n v="1750"/>
    <n v="-195.64"/>
  </r>
  <r>
    <x v="6"/>
    <x v="1"/>
    <x v="0"/>
    <s v="2651200"/>
    <n v="713092"/>
    <s v="Allocated Benefits-Physician"/>
    <s v="Ortho-Spine Surgery-Burien"/>
    <x v="0"/>
    <m/>
    <n v="41.64"/>
    <n v="19.89"/>
    <n v="-33.61"/>
    <n v="-27.92"/>
    <n v="0"/>
    <n v="55.65"/>
    <n v="-55.65"/>
    <n v="0"/>
    <n v="0"/>
    <n v="0"/>
    <n v="0"/>
    <n v="0"/>
    <n v="0"/>
    <n v="0"/>
  </r>
  <r>
    <x v="7"/>
    <x v="1"/>
    <x v="0"/>
    <s v="2651200"/>
    <n v="718040"/>
    <s v="Contract Svcs-Laboratory"/>
    <s v="Ortho-Spine Surgery-Burien"/>
    <x v="0"/>
    <m/>
    <n v="0"/>
    <n v="0"/>
    <n v="0"/>
    <n v="0"/>
    <n v="0"/>
    <n v="0"/>
    <n v="0"/>
    <n v="0"/>
    <n v="90"/>
    <n v="0"/>
    <n v="0"/>
    <n v="0"/>
    <n v="90"/>
    <n v="0"/>
  </r>
  <r>
    <x v="11"/>
    <x v="1"/>
    <x v="0"/>
    <s v="2651200"/>
    <n v="721410"/>
    <s v="Supplies-Medical - Nonbillable"/>
    <s v="Ortho-Spine Surgery-Burien"/>
    <x v="0"/>
    <m/>
    <n v="0"/>
    <n v="67.58"/>
    <n v="0"/>
    <n v="0"/>
    <n v="0"/>
    <n v="0"/>
    <n v="0"/>
    <n v="0"/>
    <n v="0"/>
    <n v="0"/>
    <n v="0"/>
    <n v="0"/>
    <n v="67.58"/>
    <n v="0"/>
  </r>
  <r>
    <x v="8"/>
    <x v="1"/>
    <x v="0"/>
    <s v="2651200"/>
    <n v="741012"/>
    <s v="Physician Liab Insurance-CHI Program"/>
    <s v="Ortho-Spine Surgery-Burien"/>
    <x v="0"/>
    <m/>
    <n v="0"/>
    <n v="0"/>
    <n v="0"/>
    <n v="0"/>
    <n v="0"/>
    <n v="0"/>
    <n v="0"/>
    <n v="0"/>
    <n v="2267.39"/>
    <n v="-971.74"/>
    <n v="0"/>
    <n v="0"/>
    <n v="1295.6499999999999"/>
    <n v="0"/>
  </r>
  <r>
    <x v="0"/>
    <x v="1"/>
    <x v="0"/>
    <s v="2651200"/>
    <n v="749510"/>
    <s v="Miscellaneous Expenses"/>
    <s v="Ortho-Spine Surgery-Burien"/>
    <x v="0"/>
    <m/>
    <n v="-20.170000000000002"/>
    <n v="0"/>
    <n v="0"/>
    <n v="0"/>
    <n v="0"/>
    <n v="0"/>
    <n v="0"/>
    <n v="0"/>
    <n v="0"/>
    <n v="0"/>
    <n v="0"/>
    <n v="0"/>
    <n v="-20.170000000000002"/>
    <n v="0"/>
  </r>
  <r>
    <x v="1"/>
    <x v="1"/>
    <x v="0"/>
    <s v="2670200"/>
    <n v="400040"/>
    <s v="Physician Svcs Rev--Medicare"/>
    <s v="Psychiatry Silverdale"/>
    <x v="0"/>
    <n v="1100"/>
    <n v="-35489"/>
    <n v="-5840"/>
    <n v="-22013"/>
    <n v="-24116"/>
    <n v="-26729"/>
    <n v="-19785"/>
    <n v="-29719"/>
    <n v="-19233"/>
    <n v="-30168"/>
    <n v="-31079"/>
    <n v="-18527"/>
    <n v="-30215"/>
    <n v="-292913"/>
    <n v="11688"/>
  </r>
  <r>
    <x v="1"/>
    <x v="1"/>
    <x v="0"/>
    <s v="2670200"/>
    <n v="400040"/>
    <s v="Physician Svcs Rev--Medicaid"/>
    <s v="Psychiatry Silverdale"/>
    <x v="0"/>
    <n v="1200"/>
    <n v="-49613"/>
    <n v="-40104"/>
    <n v="-36453"/>
    <n v="-47124"/>
    <n v="-34879"/>
    <n v="-38531"/>
    <n v="-46933"/>
    <n v="-24418"/>
    <n v="-32182"/>
    <n v="-34217"/>
    <n v="-35112"/>
    <n v="-28841"/>
    <n v="-448407"/>
    <n v="-6271"/>
  </r>
  <r>
    <x v="1"/>
    <x v="1"/>
    <x v="0"/>
    <s v="2670200"/>
    <n v="400040"/>
    <s v="Physician Svcs Rev--Comm Insurance"/>
    <s v="Psychiatry Silverdale"/>
    <x v="0"/>
    <n v="1300"/>
    <n v="-4463"/>
    <n v="-2582"/>
    <n v="-2561"/>
    <n v="-4298"/>
    <n v="-2802"/>
    <n v="-2149"/>
    <n v="-1507"/>
    <n v="-2663"/>
    <n v="-2580"/>
    <n v="-1723"/>
    <n v="-2005"/>
    <n v="-1369"/>
    <n v="-30702"/>
    <n v="-636"/>
  </r>
  <r>
    <x v="1"/>
    <x v="1"/>
    <x v="0"/>
    <s v="2670200"/>
    <n v="400040"/>
    <s v="Physician Svcs Rev--BCBS Comm"/>
    <s v="Psychiatry Silverdale"/>
    <x v="0"/>
    <n v="1301"/>
    <n v="-7575"/>
    <n v="-6226"/>
    <n v="-4956"/>
    <n v="-9111"/>
    <n v="-8750"/>
    <n v="-8956"/>
    <n v="-6817"/>
    <n v="-7459"/>
    <n v="-8169"/>
    <n v="-8731"/>
    <n v="-7258"/>
    <n v="-8683"/>
    <n v="-92691"/>
    <n v="1425"/>
  </r>
  <r>
    <x v="1"/>
    <x v="1"/>
    <x v="0"/>
    <s v="2670200"/>
    <n v="400040"/>
    <s v="Physician Svcs Rev--Managed Care"/>
    <s v="Psychiatry Silverdale"/>
    <x v="0"/>
    <n v="1400"/>
    <n v="-20872"/>
    <n v="-24355"/>
    <n v="-20818"/>
    <n v="-21089"/>
    <n v="-14891"/>
    <n v="-18268"/>
    <n v="-20217"/>
    <n v="-17936"/>
    <n v="-19186"/>
    <n v="-19476"/>
    <n v="-21048"/>
    <n v="-27264"/>
    <n v="-245420"/>
    <n v="6216"/>
  </r>
  <r>
    <x v="1"/>
    <x v="1"/>
    <x v="0"/>
    <s v="2670200"/>
    <n v="400040"/>
    <s v="Physician Svcs Rev--Self Pay"/>
    <s v="Psychiatry Silverdale"/>
    <x v="0"/>
    <n v="1500"/>
    <n v="-279"/>
    <n v="1019"/>
    <n v="-1252"/>
    <n v="-259"/>
    <n v="435"/>
    <n v="0"/>
    <n v="79"/>
    <n v="-108"/>
    <n v="0"/>
    <n v="-368"/>
    <n v="-295"/>
    <n v="0"/>
    <n v="-1028"/>
    <n v="-295"/>
  </r>
  <r>
    <x v="1"/>
    <x v="1"/>
    <x v="0"/>
    <s v="2670200"/>
    <n v="400040"/>
    <s v="Physician Svcs Rev--Other"/>
    <s v="Psychiatry Silverdale"/>
    <x v="0"/>
    <n v="1700"/>
    <n v="-9022"/>
    <n v="-10957"/>
    <n v="-11208"/>
    <n v="-9490"/>
    <n v="-14336"/>
    <n v="-8117"/>
    <n v="-14710"/>
    <n v="-12931"/>
    <n v="-10982"/>
    <n v="-10809"/>
    <n v="-11862"/>
    <n v="-7749"/>
    <n v="-132173"/>
    <n v="-4113"/>
  </r>
  <r>
    <x v="2"/>
    <x v="1"/>
    <x v="0"/>
    <s v="2670200"/>
    <n v="450040"/>
    <s v="Contr Allow--Phys Svcs--Mcare"/>
    <s v="Psychiatry Silverdale"/>
    <x v="0"/>
    <n v="1100"/>
    <n v="18492.14"/>
    <n v="21383.52"/>
    <n v="15687.06"/>
    <n v="16734.330000000002"/>
    <n v="17379.59"/>
    <n v="14666.57"/>
    <n v="16949.16"/>
    <n v="13697.36"/>
    <n v="16923.400000000001"/>
    <n v="19335.14"/>
    <n v="18171.71"/>
    <n v="15425.1"/>
    <n v="204845.07999999996"/>
    <n v="2746.6099999999988"/>
  </r>
  <r>
    <x v="2"/>
    <x v="1"/>
    <x v="0"/>
    <s v="2670200"/>
    <n v="450040"/>
    <s v="Contr Allow--Phys Svcs--Mcaid"/>
    <s v="Psychiatry Silverdale"/>
    <x v="0"/>
    <n v="1200"/>
    <n v="46036.47"/>
    <n v="36181.19"/>
    <n v="28191.62"/>
    <n v="38786.480000000003"/>
    <n v="26018.48"/>
    <n v="21576.38"/>
    <n v="38236.959999999999"/>
    <n v="25236.58"/>
    <n v="25199.55"/>
    <n v="22138.49"/>
    <n v="28918.3"/>
    <n v="19217.8"/>
    <n v="355738.3"/>
    <n v="9700.5"/>
  </r>
  <r>
    <x v="2"/>
    <x v="1"/>
    <x v="0"/>
    <s v="2670200"/>
    <n v="450040"/>
    <s v="Contr Allow--Phys Svcs--Comm Insurance"/>
    <s v="Psychiatry Silverdale"/>
    <x v="0"/>
    <n v="1300"/>
    <n v="1021.88"/>
    <n v="2306.69"/>
    <n v="1476.57"/>
    <n v="1612.86"/>
    <n v="1369.47"/>
    <n v="1085.02"/>
    <n v="524.46"/>
    <n v="488.83"/>
    <n v="1389.15"/>
    <n v="1321.66"/>
    <n v="838.61"/>
    <n v="195.21"/>
    <n v="13630.41"/>
    <n v="643.4"/>
  </r>
  <r>
    <x v="2"/>
    <x v="1"/>
    <x v="0"/>
    <s v="2670200"/>
    <n v="450040"/>
    <s v="Contr Allow--Phys Svcs--BCBS Comm Ins"/>
    <s v="Psychiatry Silverdale"/>
    <x v="0"/>
    <n v="1301"/>
    <n v="5004.5200000000004"/>
    <n v="3210.88"/>
    <n v="2837.11"/>
    <n v="2060.09"/>
    <n v="5715.24"/>
    <n v="3765.86"/>
    <n v="3420.03"/>
    <n v="4613.45"/>
    <n v="4226.38"/>
    <n v="3105.45"/>
    <n v="3730.52"/>
    <n v="3882.32"/>
    <n v="45571.85"/>
    <n v="-151.80000000000018"/>
  </r>
  <r>
    <x v="2"/>
    <x v="1"/>
    <x v="0"/>
    <s v="2670200"/>
    <n v="450040"/>
    <s v="Contr Allow--Phys Svcs--Managed Care"/>
    <s v="Psychiatry Silverdale"/>
    <x v="0"/>
    <n v="1400"/>
    <n v="13274.06"/>
    <n v="13540.33"/>
    <n v="11460.02"/>
    <n v="12006.37"/>
    <n v="11086.7"/>
    <n v="5979.61"/>
    <n v="9732.51"/>
    <n v="7677.59"/>
    <n v="11798.08"/>
    <n v="8383.69"/>
    <n v="11431.09"/>
    <n v="10729.77"/>
    <n v="127099.82"/>
    <n v="701.31999999999971"/>
  </r>
  <r>
    <x v="2"/>
    <x v="1"/>
    <x v="0"/>
    <s v="2670200"/>
    <n v="450040"/>
    <s v="Contr Allow--Phys Svcs--BCBS Mgnd Care"/>
    <s v="Psychiatry Silverdale"/>
    <x v="0"/>
    <n v="1401"/>
    <n v="-5763.31"/>
    <n v="-27813.31"/>
    <n v="-2882.69"/>
    <n v="-1755.1"/>
    <n v="-5060"/>
    <n v="8389.9500000000007"/>
    <n v="6460.44"/>
    <n v="344.15"/>
    <n v="-440.58"/>
    <n v="1749.64"/>
    <n v="-5716.19"/>
    <n v="6107.23"/>
    <n v="-26379.770000000008"/>
    <n v="-11823.419999999998"/>
  </r>
  <r>
    <x v="2"/>
    <x v="1"/>
    <x v="0"/>
    <s v="2670200"/>
    <n v="450040"/>
    <s v="Prompt Pay Disc-Phys Svcs-Self Pay"/>
    <s v="Psychiatry Silverdale"/>
    <x v="0"/>
    <n v="1500"/>
    <n v="0"/>
    <n v="-243.52"/>
    <n v="0"/>
    <n v="0"/>
    <n v="0"/>
    <n v="0"/>
    <n v="0"/>
    <n v="0"/>
    <n v="0"/>
    <n v="0"/>
    <n v="0"/>
    <n v="0"/>
    <n v="-243.52"/>
    <n v="0"/>
  </r>
  <r>
    <x v="2"/>
    <x v="1"/>
    <x v="0"/>
    <s v="2670200"/>
    <n v="450040"/>
    <s v="Admin Adjust-Phys Svcs-Self Pay"/>
    <s v="Psychiatry Silverdale"/>
    <x v="0"/>
    <n v="1600"/>
    <n v="48.95"/>
    <n v="16115.81"/>
    <n v="170.77"/>
    <n v="2207.3200000000002"/>
    <n v="22.13"/>
    <n v="-420.26"/>
    <n v="-282.68"/>
    <n v="137.72999999999999"/>
    <n v="40"/>
    <n v="1150.1600000000001"/>
    <n v="136.74"/>
    <n v="5308.77"/>
    <n v="24635.440000000006"/>
    <n v="-5172.0300000000007"/>
  </r>
  <r>
    <x v="2"/>
    <x v="1"/>
    <x v="0"/>
    <s v="2670200"/>
    <n v="450040"/>
    <s v="Contr Allow--Phys Svcs--Other"/>
    <s v="Psychiatry Silverdale"/>
    <x v="0"/>
    <n v="1700"/>
    <n v="9312.76"/>
    <n v="9115.25"/>
    <n v="8281.9699999999993"/>
    <n v="4981.8100000000004"/>
    <n v="12430.89"/>
    <n v="5986.05"/>
    <n v="7322.16"/>
    <n v="4619.5200000000004"/>
    <n v="8359.14"/>
    <n v="11623.5"/>
    <n v="8070.01"/>
    <n v="7468.18"/>
    <n v="97571.24000000002"/>
    <n v="601.82999999999993"/>
  </r>
  <r>
    <x v="3"/>
    <x v="1"/>
    <x v="0"/>
    <s v="2670200"/>
    <n v="470040"/>
    <s v="Charity Care-Physician Svcs"/>
    <s v="Psychiatry Silverdale"/>
    <x v="0"/>
    <m/>
    <n v="-287.56"/>
    <n v="-345.15"/>
    <n v="563.14"/>
    <n v="1098"/>
    <n v="354.53"/>
    <n v="261.02999999999997"/>
    <n v="310.36"/>
    <n v="262.43"/>
    <n v="1229.55"/>
    <n v="84.86"/>
    <n v="-292.37"/>
    <n v="1842.48"/>
    <n v="5081.3"/>
    <n v="-2134.85"/>
  </r>
  <r>
    <x v="4"/>
    <x v="1"/>
    <x v="0"/>
    <s v="2670200"/>
    <n v="490010"/>
    <s v="Provision for Bad Debts"/>
    <s v="Psychiatry Silverdale"/>
    <x v="0"/>
    <m/>
    <n v="261.68"/>
    <n v="-2761.96"/>
    <n v="2667.74"/>
    <n v="2176.33"/>
    <n v="792.09"/>
    <n v="1318.76"/>
    <n v="-740.34"/>
    <n v="-12.57"/>
    <n v="595.59"/>
    <n v="1137.8699999999999"/>
    <n v="1099.1500000000001"/>
    <n v="424.38"/>
    <n v="6958.7199999999984"/>
    <n v="674.7700000000001"/>
  </r>
  <r>
    <x v="5"/>
    <x v="1"/>
    <x v="0"/>
    <s v="2670200"/>
    <n v="700018"/>
    <s v="Salaries-Supervisory-Productive"/>
    <s v="Psychiatry Silverdale"/>
    <x v="0"/>
    <m/>
    <n v="0"/>
    <n v="2028.48"/>
    <n v="1352.32"/>
    <n v="2450.08"/>
    <n v="2084.16"/>
    <n v="-1736.8"/>
    <n v="1948.06"/>
    <n v="-556.58000000000004"/>
    <n v="0"/>
    <n v="0"/>
    <n v="0"/>
    <n v="3478.7"/>
    <n v="11048.419999999998"/>
    <n v="-3478.7"/>
  </r>
  <r>
    <x v="5"/>
    <x v="1"/>
    <x v="0"/>
    <s v="2670200"/>
    <n v="700022"/>
    <s v="Salaries-Physician-Productive"/>
    <s v="Psychiatry Silverdale"/>
    <x v="0"/>
    <m/>
    <n v="17391.53"/>
    <n v="12467.43"/>
    <n v="16239.08"/>
    <n v="15505.71"/>
    <n v="20115.5"/>
    <n v="13096.03"/>
    <n v="17522.740000000002"/>
    <n v="16787.52"/>
    <n v="18902.64"/>
    <n v="12479.74"/>
    <n v="24497.3"/>
    <n v="6931.83"/>
    <n v="191937.04999999996"/>
    <n v="17565.47"/>
  </r>
  <r>
    <x v="5"/>
    <x v="1"/>
    <x v="0"/>
    <s v="2670200"/>
    <n v="700022"/>
    <s v="Salaries-Physician-Other"/>
    <s v="Psychiatry Silverdale"/>
    <x v="0"/>
    <n v="2000"/>
    <n v="0"/>
    <n v="0"/>
    <n v="0"/>
    <n v="0"/>
    <n v="0"/>
    <n v="0"/>
    <n v="0"/>
    <n v="0"/>
    <n v="5958.23"/>
    <n v="-4.3600000000000003"/>
    <n v="0"/>
    <n v="0"/>
    <n v="5953.87"/>
    <n v="0"/>
  </r>
  <r>
    <x v="5"/>
    <x v="1"/>
    <x v="0"/>
    <s v="2670200"/>
    <n v="700022"/>
    <s v="Salaries-Physician-Provider Incentive"/>
    <s v="Psychiatry Silverdale"/>
    <x v="0"/>
    <n v="4003"/>
    <n v="0"/>
    <n v="0"/>
    <n v="0"/>
    <n v="14715.6"/>
    <n v="0"/>
    <n v="0"/>
    <n v="0"/>
    <n v="0"/>
    <n v="5892.28"/>
    <n v="-1805.3"/>
    <n v="0.92"/>
    <n v="0"/>
    <n v="18803.5"/>
    <n v="0.92"/>
  </r>
  <r>
    <x v="5"/>
    <x v="1"/>
    <x v="0"/>
    <s v="2670200"/>
    <n v="700024"/>
    <s v="Salaries-Advanced Practice Clinician-Productive"/>
    <s v="Psychiatry Silverdale"/>
    <x v="0"/>
    <m/>
    <n v="8175.17"/>
    <n v="9247.34"/>
    <n v="5360.77"/>
    <n v="9247.33"/>
    <n v="4154.6099999999997"/>
    <n v="7773.11"/>
    <n v="9261.5"/>
    <n v="11279.58"/>
    <n v="11278.92"/>
    <n v="9130.5300000000007"/>
    <n v="11059.05"/>
    <n v="8660.4500000000007"/>
    <n v="104628.36"/>
    <n v="2398.5999999999985"/>
  </r>
  <r>
    <x v="5"/>
    <x v="1"/>
    <x v="0"/>
    <s v="2670200"/>
    <n v="700032"/>
    <s v="Salaries-Other Pat Care Providers-Productive"/>
    <s v="Psychiatry Silverdale"/>
    <x v="0"/>
    <m/>
    <n v="8522.52"/>
    <n v="10003.41"/>
    <n v="7301.73"/>
    <n v="10846.23"/>
    <n v="9717.1"/>
    <n v="7714.88"/>
    <n v="10062.700000000001"/>
    <n v="9204.39"/>
    <n v="8154.68"/>
    <n v="10105.06"/>
    <n v="8720.36"/>
    <n v="6450.93"/>
    <n v="106803.98999999999"/>
    <n v="2269.4300000000003"/>
  </r>
  <r>
    <x v="5"/>
    <x v="1"/>
    <x v="0"/>
    <s v="2670200"/>
    <n v="700032"/>
    <s v="Salaries-Other Pat Care Providers-OT"/>
    <s v="Psychiatry Silverdale"/>
    <x v="0"/>
    <n v="1000"/>
    <n v="99.15"/>
    <n v="58.93"/>
    <n v="86.22"/>
    <n v="20.7"/>
    <n v="144.16"/>
    <n v="85.59"/>
    <n v="230.08"/>
    <n v="18.05"/>
    <n v="19.55"/>
    <n v="234.57"/>
    <n v="-54.13"/>
    <n v="52.64"/>
    <n v="995.51"/>
    <n v="-106.77000000000001"/>
  </r>
  <r>
    <x v="5"/>
    <x v="1"/>
    <x v="0"/>
    <s v="2670200"/>
    <n v="700058"/>
    <s v="Salaries-Supervisory-Non-productive"/>
    <s v="Psychiatry Silverdale"/>
    <x v="0"/>
    <m/>
    <n v="0"/>
    <n v="0"/>
    <n v="0"/>
    <n v="0"/>
    <n v="0"/>
    <n v="0"/>
    <n v="0"/>
    <n v="0"/>
    <n v="0"/>
    <n v="0"/>
    <n v="0"/>
    <n v="1391.48"/>
    <n v="1391.48"/>
    <n v="-1391.48"/>
  </r>
  <r>
    <x v="5"/>
    <x v="1"/>
    <x v="0"/>
    <s v="2670200"/>
    <n v="700062"/>
    <s v="Salaries-Physician-Non-productive"/>
    <s v="Psychiatry Silverdale"/>
    <x v="0"/>
    <m/>
    <n v="2926.69"/>
    <n v="8688.94"/>
    <n v="2402.85"/>
    <n v="-1865.37"/>
    <n v="-1676.29"/>
    <n v="4505.03"/>
    <n v="1784.15"/>
    <n v="0"/>
    <n v="0"/>
    <n v="7857.61"/>
    <n v="-3235.48"/>
    <n v="11554.5"/>
    <n v="32942.630000000005"/>
    <n v="-14789.98"/>
  </r>
  <r>
    <x v="5"/>
    <x v="1"/>
    <x v="0"/>
    <s v="2670200"/>
    <n v="700064"/>
    <s v="Salaries-Advanced Practice Clinician-Non-Productive"/>
    <s v="Psychiatry Silverdale"/>
    <x v="0"/>
    <m/>
    <n v="670.1"/>
    <n v="0"/>
    <n v="2680.39"/>
    <n v="0"/>
    <n v="4690.67"/>
    <n v="670.1"/>
    <n v="0"/>
    <n v="0"/>
    <n v="0"/>
    <n v="2685.46"/>
    <n v="0"/>
    <n v="787.31"/>
    <n v="12184.03"/>
    <n v="-787.31"/>
  </r>
  <r>
    <x v="5"/>
    <x v="1"/>
    <x v="0"/>
    <s v="2670200"/>
    <n v="700072"/>
    <s v="Salaries-Other Pat Care Providers-Non-productive"/>
    <s v="Psychiatry Silverdale"/>
    <x v="0"/>
    <m/>
    <n v="1179.17"/>
    <n v="58.94"/>
    <n v="1508.64"/>
    <n v="-195.84"/>
    <n v="508.51"/>
    <n v="2045.93"/>
    <n v="644.07000000000005"/>
    <n v="160.4"/>
    <n v="1620.48"/>
    <n v="135.55000000000001"/>
    <n v="1985.73"/>
    <n v="2878.76"/>
    <n v="12530.34"/>
    <n v="-893.0300000000002"/>
  </r>
  <r>
    <x v="5"/>
    <x v="1"/>
    <x v="0"/>
    <s v="2670200"/>
    <n v="700084"/>
    <s v="Accrued PTO"/>
    <s v="Psychiatry Silverdale"/>
    <x v="0"/>
    <m/>
    <n v="-9.94"/>
    <n v="769.7"/>
    <n v="-417.31"/>
    <n v="1092.6199999999999"/>
    <n v="559.22"/>
    <n v="-665.71"/>
    <n v="276.29000000000002"/>
    <n v="823.08"/>
    <n v="-355.34"/>
    <n v="563.79"/>
    <n v="-64.62"/>
    <n v="-596.1"/>
    <n v="1975.6799999999998"/>
    <n v="531.48"/>
  </r>
  <r>
    <x v="6"/>
    <x v="1"/>
    <x v="0"/>
    <s v="2670200"/>
    <n v="713010"/>
    <s v="Benefits-FICA/Medicare"/>
    <s v="Psychiatry Silverdale"/>
    <x v="0"/>
    <m/>
    <n v="1643.33"/>
    <n v="1789.01"/>
    <n v="1532.86"/>
    <n v="2077.5"/>
    <n v="1712.78"/>
    <n v="1935.02"/>
    <n v="2969.22"/>
    <n v="2653.29"/>
    <n v="3976.83"/>
    <n v="2694.09"/>
    <n v="3139.54"/>
    <n v="3042.1"/>
    <n v="29165.569999999996"/>
    <n v="97.440000000000055"/>
  </r>
  <r>
    <x v="6"/>
    <x v="1"/>
    <x v="0"/>
    <s v="2670200"/>
    <n v="713090"/>
    <s v="Benefits-Allocated Amounts"/>
    <s v="Psychiatry Silverdale"/>
    <x v="0"/>
    <m/>
    <n v="0"/>
    <n v="0"/>
    <n v="0"/>
    <n v="0"/>
    <n v="0"/>
    <n v="0"/>
    <n v="0"/>
    <n v="0"/>
    <n v="27705.17"/>
    <n v="3313.85"/>
    <n v="3085.47"/>
    <n v="3562.73"/>
    <n v="37667.22"/>
    <n v="-477.26000000000022"/>
  </r>
  <r>
    <x v="6"/>
    <x v="1"/>
    <x v="0"/>
    <s v="2670200"/>
    <n v="713092"/>
    <s v="Allocated Benefits-Physician"/>
    <s v="Psychiatry Silverdale"/>
    <x v="0"/>
    <m/>
    <n v="2567.92"/>
    <n v="2501.6999999999998"/>
    <n v="2518.79"/>
    <n v="2807.05"/>
    <n v="2631.05"/>
    <n v="2443.92"/>
    <n v="3112.08"/>
    <n v="2951.14"/>
    <n v="-11244.3"/>
    <n v="1230.71"/>
    <n v="1145.9100000000001"/>
    <n v="1323.15"/>
    <n v="13989.119999999997"/>
    <n v="-177.24"/>
  </r>
  <r>
    <x v="6"/>
    <x v="1"/>
    <x v="0"/>
    <s v="2670200"/>
    <n v="713093"/>
    <s v="Allocated Benefits-Advanced Practice Clinician"/>
    <s v="Psychiatry Silverdale"/>
    <x v="0"/>
    <m/>
    <n v="2187.4899999999998"/>
    <n v="2131.08"/>
    <n v="2145.64"/>
    <n v="2391.1799999999998"/>
    <n v="2241.27"/>
    <n v="2081.85"/>
    <n v="2651.04"/>
    <n v="2513.9299999999998"/>
    <n v="-10626.47"/>
    <n v="923.04"/>
    <n v="859.43"/>
    <n v="992.36"/>
    <n v="10491.84"/>
    <n v="-132.93000000000006"/>
  </r>
  <r>
    <x v="6"/>
    <x v="1"/>
    <x v="0"/>
    <s v="2670200"/>
    <n v="713096"/>
    <s v="Employee Recognition"/>
    <s v="Psychiatry Silverdale"/>
    <x v="0"/>
    <n v="1017"/>
    <n v="0"/>
    <n v="0"/>
    <n v="0"/>
    <n v="0"/>
    <n v="0"/>
    <n v="0"/>
    <n v="180.6"/>
    <n v="0"/>
    <n v="0"/>
    <n v="0"/>
    <n v="0"/>
    <n v="0"/>
    <n v="180.6"/>
    <n v="0"/>
  </r>
  <r>
    <x v="7"/>
    <x v="1"/>
    <x v="0"/>
    <s v="2670200"/>
    <n v="718050"/>
    <s v="Miscellaneous Purchased Svcs"/>
    <s v="Psychiatry Silverdale"/>
    <x v="0"/>
    <n v="1020"/>
    <n v="430"/>
    <n v="582.59"/>
    <n v="860"/>
    <n v="430"/>
    <n v="0"/>
    <n v="430"/>
    <n v="474.98"/>
    <n v="430"/>
    <n v="860"/>
    <n v="430"/>
    <n v="541.08000000000004"/>
    <n v="430"/>
    <n v="5898.65"/>
    <n v="111.08000000000004"/>
  </r>
  <r>
    <x v="11"/>
    <x v="1"/>
    <x v="0"/>
    <s v="2670200"/>
    <n v="721410"/>
    <s v="Supplies-Medical - Nonbillable"/>
    <s v="Psychiatry Silverdale"/>
    <x v="0"/>
    <m/>
    <n v="0"/>
    <n v="19.8"/>
    <n v="0"/>
    <n v="0"/>
    <n v="0"/>
    <n v="8.99"/>
    <n v="8.99"/>
    <n v="0"/>
    <n v="0"/>
    <n v="0"/>
    <n v="8.99"/>
    <n v="0"/>
    <n v="46.77"/>
    <n v="8.99"/>
  </r>
  <r>
    <x v="11"/>
    <x v="1"/>
    <x v="0"/>
    <s v="2670200"/>
    <n v="721810"/>
    <s v="Supplies-Dietary/Cafeteria"/>
    <s v="Psychiatry Silverdale"/>
    <x v="0"/>
    <m/>
    <n v="0"/>
    <n v="25.75"/>
    <n v="0"/>
    <n v="0"/>
    <n v="0"/>
    <n v="0"/>
    <n v="31.25"/>
    <n v="0"/>
    <n v="0"/>
    <n v="0"/>
    <n v="22.9"/>
    <n v="0"/>
    <n v="79.900000000000006"/>
    <n v="22.9"/>
  </r>
  <r>
    <x v="11"/>
    <x v="1"/>
    <x v="0"/>
    <s v="2670200"/>
    <n v="721830"/>
    <s v="Supplies-Office"/>
    <s v="Psychiatry Silverdale"/>
    <x v="0"/>
    <m/>
    <n v="139.12"/>
    <n v="139.63"/>
    <n v="203.53"/>
    <n v="602.41"/>
    <n v="337.86"/>
    <n v="153.56"/>
    <n v="305.73"/>
    <n v="514.16"/>
    <n v="355.36"/>
    <n v="399.15"/>
    <n v="0"/>
    <n v="0"/>
    <n v="3150.51"/>
    <n v="0"/>
  </r>
  <r>
    <x v="11"/>
    <x v="1"/>
    <x v="0"/>
    <s v="2670200"/>
    <n v="721870"/>
    <s v="Supplies-Environmental Services"/>
    <s v="Psychiatry Silverdale"/>
    <x v="0"/>
    <m/>
    <n v="0"/>
    <n v="7.88"/>
    <n v="0"/>
    <n v="0"/>
    <n v="0"/>
    <n v="7.88"/>
    <n v="3.94"/>
    <n v="0"/>
    <n v="0"/>
    <n v="0"/>
    <n v="7.88"/>
    <n v="0"/>
    <n v="27.58"/>
    <n v="7.88"/>
  </r>
  <r>
    <x v="11"/>
    <x v="1"/>
    <x v="0"/>
    <s v="2670200"/>
    <n v="721910"/>
    <s v="Supplies-Small Equipment"/>
    <s v="Psychiatry Silverdale"/>
    <x v="0"/>
    <m/>
    <n v="0"/>
    <n v="56.7"/>
    <n v="0"/>
    <n v="0"/>
    <n v="0"/>
    <n v="2.72"/>
    <n v="5.44"/>
    <n v="45.76"/>
    <n v="0"/>
    <n v="0"/>
    <n v="0"/>
    <n v="0"/>
    <n v="110.62"/>
    <n v="0"/>
  </r>
  <r>
    <x v="11"/>
    <x v="1"/>
    <x v="0"/>
    <s v="2670200"/>
    <n v="721980"/>
    <s v="Supplies-Other"/>
    <s v="Psychiatry Silverdale"/>
    <x v="0"/>
    <m/>
    <n v="0"/>
    <n v="0"/>
    <n v="39.82"/>
    <n v="0"/>
    <n v="0"/>
    <n v="0"/>
    <n v="0"/>
    <n v="0"/>
    <n v="0"/>
    <n v="0"/>
    <n v="0"/>
    <n v="0"/>
    <n v="39.82"/>
    <n v="0"/>
  </r>
  <r>
    <x v="12"/>
    <x v="1"/>
    <x v="0"/>
    <s v="2670200"/>
    <n v="730020"/>
    <s v="Rental and Leases-Equipment (DO NOT USE)"/>
    <s v="Psychiatry Silverdale"/>
    <x v="0"/>
    <m/>
    <n v="66.22"/>
    <n v="66.22"/>
    <n v="66.22"/>
    <n v="66.22"/>
    <n v="43.4"/>
    <n v="0"/>
    <n v="132.26"/>
    <n v="0"/>
    <n v="66.040000000000006"/>
    <n v="66.040000000000006"/>
    <n v="66.040000000000006"/>
    <n v="0"/>
    <n v="638.66"/>
    <n v="66.040000000000006"/>
  </r>
  <r>
    <x v="16"/>
    <x v="1"/>
    <x v="0"/>
    <s v="2670200"/>
    <n v="732030"/>
    <s v="Repairs---Other"/>
    <s v="Psychiatry Silverdale"/>
    <x v="0"/>
    <m/>
    <n v="0"/>
    <n v="0"/>
    <n v="0"/>
    <n v="0"/>
    <n v="0"/>
    <n v="0"/>
    <n v="430"/>
    <n v="0"/>
    <n v="0"/>
    <n v="0"/>
    <n v="0"/>
    <n v="0"/>
    <n v="430"/>
    <n v="0"/>
  </r>
  <r>
    <x v="13"/>
    <x v="1"/>
    <x v="0"/>
    <s v="2670200"/>
    <n v="735050"/>
    <s v="Amortization-Leasehold Improvements"/>
    <s v="Psychiatry Silverdale"/>
    <x v="0"/>
    <m/>
    <n v="868.56"/>
    <n v="868.55"/>
    <n v="868.56"/>
    <n v="868.55"/>
    <n v="868.57"/>
    <n v="868.55"/>
    <n v="868.58"/>
    <n v="868.55"/>
    <n v="868.6"/>
    <n v="868.55"/>
    <n v="868.6"/>
    <n v="868.53"/>
    <n v="10422.750000000002"/>
    <n v="7.0000000000050022E-2"/>
  </r>
  <r>
    <x v="13"/>
    <x v="1"/>
    <x v="0"/>
    <s v="2670200"/>
    <n v="735070"/>
    <s v="Depreciation-Movable Equipment"/>
    <s v="Psychiatry Silverdale"/>
    <x v="0"/>
    <m/>
    <n v="1017.92"/>
    <n v="726.34"/>
    <n v="421.66"/>
    <n v="421.63"/>
    <n v="421.65"/>
    <n v="419.13"/>
    <n v="419.16"/>
    <n v="419.12"/>
    <n v="419.16"/>
    <n v="419.11"/>
    <n v="419.17"/>
    <n v="419.11"/>
    <n v="5943.16"/>
    <n v="6.0000000000002274E-2"/>
  </r>
  <r>
    <x v="0"/>
    <x v="1"/>
    <x v="0"/>
    <s v="2670200"/>
    <n v="740020"/>
    <s v="Education-Registration Fees"/>
    <s v="Psychiatry Silverdale"/>
    <x v="0"/>
    <m/>
    <n v="0"/>
    <n v="0"/>
    <n v="0"/>
    <n v="0"/>
    <n v="0"/>
    <n v="1229.96"/>
    <n v="399.99"/>
    <n v="0"/>
    <n v="0"/>
    <n v="0"/>
    <n v="0"/>
    <n v="0"/>
    <n v="1629.95"/>
    <n v="0"/>
  </r>
  <r>
    <x v="0"/>
    <x v="1"/>
    <x v="0"/>
    <s v="2670200"/>
    <n v="740022"/>
    <s v="Education-Physician"/>
    <s v="Psychiatry Silverdale"/>
    <x v="0"/>
    <m/>
    <n v="0"/>
    <n v="249"/>
    <n v="390"/>
    <n v="0"/>
    <n v="0"/>
    <n v="0"/>
    <n v="851.18"/>
    <n v="0"/>
    <n v="0"/>
    <n v="0"/>
    <n v="0"/>
    <n v="0"/>
    <n v="1490.1799999999998"/>
    <n v="0"/>
  </r>
  <r>
    <x v="0"/>
    <x v="1"/>
    <x v="0"/>
    <s v="2670200"/>
    <n v="740022"/>
    <s v="Education Travel-Physician"/>
    <s v="Psychiatry Silverdale"/>
    <x v="0"/>
    <n v="2001"/>
    <n v="0"/>
    <n v="0"/>
    <n v="0"/>
    <n v="0"/>
    <n v="0"/>
    <n v="0"/>
    <n v="0"/>
    <n v="0"/>
    <n v="0"/>
    <n v="76.040000000000006"/>
    <n v="0"/>
    <n v="0"/>
    <n v="76.040000000000006"/>
    <n v="0"/>
  </r>
  <r>
    <x v="0"/>
    <x v="1"/>
    <x v="0"/>
    <s v="2670200"/>
    <n v="740023"/>
    <s v="Education-Advanced Practice Clinician"/>
    <s v="Psychiatry Silverdale"/>
    <x v="0"/>
    <m/>
    <n v="0"/>
    <n v="0"/>
    <n v="0"/>
    <n v="0"/>
    <n v="0"/>
    <n v="0"/>
    <n v="0"/>
    <n v="0"/>
    <n v="0"/>
    <n v="0"/>
    <n v="2980"/>
    <n v="0"/>
    <n v="2980"/>
    <n v="2980"/>
  </r>
  <r>
    <x v="8"/>
    <x v="1"/>
    <x v="0"/>
    <s v="2670200"/>
    <n v="741012"/>
    <s v="Physician Liab Insurance-CHI Program"/>
    <s v="Psychiatry Silverdale"/>
    <x v="0"/>
    <m/>
    <n v="255.78"/>
    <n v="255.78"/>
    <n v="255.78"/>
    <n v="255.78"/>
    <n v="255.78"/>
    <n v="255.78"/>
    <n v="255.78"/>
    <n v="255.78"/>
    <n v="255.78"/>
    <n v="255.78"/>
    <n v="255.78"/>
    <n v="255.78"/>
    <n v="3069.3600000000006"/>
    <n v="0"/>
  </r>
  <r>
    <x v="0"/>
    <x v="1"/>
    <x v="0"/>
    <s v="2670200"/>
    <n v="743022"/>
    <s v="Dues-Physician"/>
    <s v="Psychiatry Silverdale"/>
    <x v="0"/>
    <m/>
    <n v="0"/>
    <n v="0"/>
    <n v="0"/>
    <n v="0"/>
    <n v="0"/>
    <n v="0"/>
    <n v="0"/>
    <n v="830"/>
    <n v="0"/>
    <n v="0"/>
    <n v="0"/>
    <n v="0"/>
    <n v="830"/>
    <n v="0"/>
  </r>
  <r>
    <x v="0"/>
    <x v="1"/>
    <x v="0"/>
    <s v="2670200"/>
    <n v="743023"/>
    <s v="Dues-Advanced Practice Clinician"/>
    <s v="Psychiatry Silverdale"/>
    <x v="0"/>
    <m/>
    <n v="0"/>
    <n v="0"/>
    <n v="0"/>
    <n v="0"/>
    <n v="0"/>
    <n v="0"/>
    <n v="0"/>
    <n v="90"/>
    <n v="0"/>
    <n v="0"/>
    <n v="0"/>
    <n v="0"/>
    <n v="90"/>
    <n v="0"/>
  </r>
  <r>
    <x v="0"/>
    <x v="1"/>
    <x v="0"/>
    <s v="2670200"/>
    <n v="749510"/>
    <s v="Miscellaneous Expenses"/>
    <s v="Psychiatry Silverdale"/>
    <x v="0"/>
    <m/>
    <n v="-1344"/>
    <n v="0"/>
    <n v="0"/>
    <n v="0"/>
    <n v="0"/>
    <n v="399.99"/>
    <n v="-399.99"/>
    <n v="0"/>
    <n v="0"/>
    <n v="0"/>
    <n v="0"/>
    <n v="0"/>
    <n v="-1344"/>
    <n v="0"/>
  </r>
  <r>
    <x v="0"/>
    <x v="1"/>
    <x v="0"/>
    <s v="2670200"/>
    <n v="749510"/>
    <s v="Licenses"/>
    <s v="Psychiatry Silverdale"/>
    <x v="0"/>
    <n v="1002"/>
    <n v="0"/>
    <n v="0"/>
    <n v="0"/>
    <n v="0"/>
    <n v="0"/>
    <n v="0"/>
    <n v="92.5"/>
    <n v="0"/>
    <n v="0"/>
    <n v="118.5"/>
    <n v="0"/>
    <n v="0"/>
    <n v="211"/>
    <n v="0"/>
  </r>
  <r>
    <x v="0"/>
    <x v="1"/>
    <x v="0"/>
    <s v="2670200"/>
    <n v="749512"/>
    <s v="Licenses-Physician"/>
    <s v="Psychiatry Silverdale"/>
    <x v="0"/>
    <n v="2000"/>
    <n v="0"/>
    <n v="0"/>
    <n v="0"/>
    <n v="175"/>
    <n v="0"/>
    <n v="0"/>
    <n v="0"/>
    <n v="0"/>
    <n v="0"/>
    <n v="0"/>
    <n v="0"/>
    <n v="0"/>
    <n v="175"/>
    <n v="0"/>
  </r>
  <r>
    <x v="0"/>
    <x v="1"/>
    <x v="0"/>
    <s v="2670200"/>
    <n v="749530"/>
    <s v="Travel"/>
    <s v="Psychiatry Silverdale"/>
    <x v="0"/>
    <m/>
    <n v="0"/>
    <n v="0"/>
    <n v="0"/>
    <n v="0"/>
    <n v="0"/>
    <n v="0"/>
    <n v="0"/>
    <n v="0"/>
    <n v="504.66"/>
    <n v="0"/>
    <n v="0"/>
    <n v="0"/>
    <n v="504.66"/>
    <n v="0"/>
  </r>
  <r>
    <x v="0"/>
    <x v="1"/>
    <x v="0"/>
    <s v="2670200"/>
    <n v="749530"/>
    <s v="Mileage"/>
    <s v="Psychiatry Silverdale"/>
    <x v="0"/>
    <n v="1001"/>
    <n v="0"/>
    <n v="0"/>
    <n v="0"/>
    <n v="0"/>
    <n v="0"/>
    <n v="0"/>
    <n v="0"/>
    <n v="0"/>
    <n v="70.760000000000005"/>
    <n v="0"/>
    <n v="0"/>
    <n v="0"/>
    <n v="70.760000000000005"/>
    <n v="0"/>
  </r>
  <r>
    <x v="0"/>
    <x v="1"/>
    <x v="0"/>
    <s v="2670200"/>
    <n v="749532"/>
    <s v="Travel-Physician"/>
    <s v="Psychiatry Silverdale"/>
    <x v="0"/>
    <m/>
    <n v="0"/>
    <n v="0"/>
    <n v="0"/>
    <n v="0"/>
    <n v="0"/>
    <n v="0"/>
    <n v="0"/>
    <n v="0"/>
    <n v="0"/>
    <n v="1438.65"/>
    <n v="0"/>
    <n v="0"/>
    <n v="1438.65"/>
    <n v="0"/>
  </r>
  <r>
    <x v="0"/>
    <x v="1"/>
    <x v="0"/>
    <s v="2670200"/>
    <n v="749532"/>
    <s v="Business Meals-Physician"/>
    <s v="Psychiatry Silverdale"/>
    <x v="0"/>
    <n v="2000"/>
    <n v="0"/>
    <n v="28"/>
    <n v="0"/>
    <n v="0"/>
    <n v="0"/>
    <n v="0"/>
    <n v="0"/>
    <n v="0"/>
    <n v="0"/>
    <n v="0"/>
    <n v="0"/>
    <n v="0"/>
    <n v="28"/>
    <n v="0"/>
  </r>
  <r>
    <x v="0"/>
    <x v="1"/>
    <x v="0"/>
    <s v="2670200"/>
    <n v="766010"/>
    <s v="Property Tax"/>
    <s v="Psychiatry Silverdale"/>
    <x v="0"/>
    <m/>
    <n v="120.89"/>
    <n v="120.89"/>
    <n v="120.89"/>
    <n v="-362.67"/>
    <n v="0"/>
    <n v="0"/>
    <n v="0"/>
    <n v="0"/>
    <n v="0"/>
    <n v="258.68"/>
    <n v="-660.69"/>
    <n v="64.66"/>
    <n v="-337.35"/>
    <n v="-725.35"/>
  </r>
  <r>
    <x v="1"/>
    <x v="1"/>
    <x v="0"/>
    <s v="2672200"/>
    <n v="400029"/>
    <s v="MD Practice Other Rev--Medicare"/>
    <s v="Cardiology Consultants"/>
    <x v="0"/>
    <n v="1100"/>
    <n v="-119103"/>
    <n v="-82215"/>
    <n v="-79046"/>
    <n v="-125175"/>
    <n v="-82715"/>
    <n v="-81430"/>
    <n v="-136482"/>
    <n v="-146524"/>
    <n v="-134614"/>
    <n v="-103841"/>
    <n v="-121675"/>
    <n v="-107687"/>
    <n v="-1320507"/>
    <n v="-13988"/>
  </r>
  <r>
    <x v="1"/>
    <x v="1"/>
    <x v="0"/>
    <s v="2672200"/>
    <n v="400029"/>
    <s v="MD Practice Other Rev--Medicaid"/>
    <s v="Cardiology Consultants"/>
    <x v="0"/>
    <n v="1200"/>
    <n v="-10606"/>
    <n v="-21657"/>
    <n v="-9907"/>
    <n v="-14518"/>
    <n v="-15433"/>
    <n v="-3794"/>
    <n v="-7347"/>
    <n v="-22829"/>
    <n v="-16218"/>
    <n v="-18618"/>
    <n v="-12032"/>
    <n v="-15471"/>
    <n v="-168430"/>
    <n v="3439"/>
  </r>
  <r>
    <x v="1"/>
    <x v="1"/>
    <x v="0"/>
    <s v="2672200"/>
    <n v="400029"/>
    <s v="MD Practice Other Rev--Comm Insurance"/>
    <s v="Cardiology Consultants"/>
    <x v="0"/>
    <n v="1300"/>
    <n v="0"/>
    <n v="-2715"/>
    <n v="0"/>
    <n v="-438"/>
    <n v="-2545"/>
    <n v="-1382"/>
    <n v="-530"/>
    <n v="-2764"/>
    <n v="-1382"/>
    <n v="0"/>
    <n v="0"/>
    <n v="-3202"/>
    <n v="-14958"/>
    <n v="3202"/>
  </r>
  <r>
    <x v="1"/>
    <x v="1"/>
    <x v="0"/>
    <s v="2672200"/>
    <n v="400029"/>
    <s v="MD Practice Other Rev--BCBS Comm"/>
    <s v="Cardiology Consultants"/>
    <x v="0"/>
    <n v="1301"/>
    <n v="-4555"/>
    <n v="-3175"/>
    <n v="-8316"/>
    <n v="-8166"/>
    <n v="-4078"/>
    <n v="-3421"/>
    <n v="-2888"/>
    <n v="-11068"/>
    <n v="-10007"/>
    <n v="-3421"/>
    <n v="-14096"/>
    <n v="-6522"/>
    <n v="-79713"/>
    <n v="-7574"/>
  </r>
  <r>
    <x v="1"/>
    <x v="1"/>
    <x v="0"/>
    <s v="2672200"/>
    <n v="400029"/>
    <s v="MD Practice Other Rev--Managed Care"/>
    <s v="Cardiology Consultants"/>
    <x v="0"/>
    <n v="1400"/>
    <n v="-15024"/>
    <n v="-15369"/>
    <n v="-31357"/>
    <n v="-19198"/>
    <n v="-21139"/>
    <n v="-12699"/>
    <n v="-31139"/>
    <n v="-29198"/>
    <n v="-21310"/>
    <n v="-27642"/>
    <n v="-21863"/>
    <n v="-34115"/>
    <n v="-280053"/>
    <n v="12252"/>
  </r>
  <r>
    <x v="1"/>
    <x v="1"/>
    <x v="0"/>
    <s v="2672200"/>
    <n v="400029"/>
    <s v="MD Practice Other Rev--Self Pay"/>
    <s v="Cardiology Consultants"/>
    <x v="0"/>
    <n v="1500"/>
    <n v="-1593"/>
    <n v="-962"/>
    <n v="306"/>
    <n v="-1900"/>
    <n v="1243"/>
    <n v="-438"/>
    <n v="0"/>
    <n v="-219"/>
    <n v="-1382"/>
    <n v="-1786"/>
    <n v="-3320"/>
    <n v="-657"/>
    <n v="-10708"/>
    <n v="-2663"/>
  </r>
  <r>
    <x v="1"/>
    <x v="1"/>
    <x v="0"/>
    <s v="2672200"/>
    <n v="400029"/>
    <s v="MD Practice Other Rev--Other"/>
    <s v="Cardiology Consultants"/>
    <x v="0"/>
    <n v="1700"/>
    <n v="-1958"/>
    <n v="-3668"/>
    <n v="-11630"/>
    <n v="-12652"/>
    <n v="-5469"/>
    <n v="-5747"/>
    <n v="-16897"/>
    <n v="-23314"/>
    <n v="-27836"/>
    <n v="-11943"/>
    <n v="-2201"/>
    <n v="-13300"/>
    <n v="-136615"/>
    <n v="11099"/>
  </r>
  <r>
    <x v="1"/>
    <x v="1"/>
    <x v="0"/>
    <s v="2672200"/>
    <n v="400040"/>
    <s v="Physician Svcs Rev--Medicare"/>
    <s v="Cardiology Consultants"/>
    <x v="0"/>
    <n v="1100"/>
    <n v="-1061705.08"/>
    <n v="-952019.07"/>
    <n v="-948288.37"/>
    <n v="-1271581.76"/>
    <n v="-1112039.72"/>
    <n v="-1004099.52"/>
    <n v="-1226962.71"/>
    <n v="-1133889.45"/>
    <n v="-1187263.8700000001"/>
    <n v="-1252499.3700000001"/>
    <n v="-1215316.92"/>
    <n v="-1161461.07"/>
    <n v="-13527126.910000002"/>
    <n v="-53855.84999999986"/>
  </r>
  <r>
    <x v="1"/>
    <x v="1"/>
    <x v="0"/>
    <s v="2672200"/>
    <n v="400040"/>
    <s v="Physician Svcs Rev--Medicaid"/>
    <s v="Cardiology Consultants"/>
    <x v="0"/>
    <n v="1200"/>
    <n v="-127784.03"/>
    <n v="-122605"/>
    <n v="-135473.03"/>
    <n v="-146372.01999999999"/>
    <n v="-142292"/>
    <n v="-114765"/>
    <n v="-174268.1"/>
    <n v="-149480"/>
    <n v="-177273.11"/>
    <n v="-163997.01999999999"/>
    <n v="-169632.01"/>
    <n v="-144256.01"/>
    <n v="-1768197.33"/>
    <n v="-25376"/>
  </r>
  <r>
    <x v="1"/>
    <x v="1"/>
    <x v="0"/>
    <s v="2672200"/>
    <n v="400040"/>
    <s v="Physician Svcs Rev--Comm Insurance"/>
    <s v="Cardiology Consultants"/>
    <x v="0"/>
    <n v="1300"/>
    <n v="-15482"/>
    <n v="-23851"/>
    <n v="-5516"/>
    <n v="-19509.009999999998"/>
    <n v="-12754"/>
    <n v="-14100"/>
    <n v="-22445"/>
    <n v="-32575"/>
    <n v="-18880"/>
    <n v="-23994"/>
    <n v="-19781"/>
    <n v="-30261.75"/>
    <n v="-239148.76"/>
    <n v="10480.75"/>
  </r>
  <r>
    <x v="1"/>
    <x v="1"/>
    <x v="0"/>
    <s v="2672200"/>
    <n v="400040"/>
    <s v="Physician Svcs Rev--BCBS Comm"/>
    <s v="Cardiology Consultants"/>
    <x v="0"/>
    <n v="1301"/>
    <n v="-75990.009999999995"/>
    <n v="-42976"/>
    <n v="-67981.009999999995"/>
    <n v="-64029.01"/>
    <n v="-85561.01"/>
    <n v="-65512.02"/>
    <n v="-86251.01"/>
    <n v="-87739.01"/>
    <n v="-73282.11"/>
    <n v="-99912.03"/>
    <n v="-73429.11"/>
    <n v="-60263"/>
    <n v="-882925.33"/>
    <n v="-13166.11"/>
  </r>
  <r>
    <x v="1"/>
    <x v="1"/>
    <x v="0"/>
    <s v="2672200"/>
    <n v="400040"/>
    <s v="Physician Svcs Rev--Managed Care"/>
    <s v="Cardiology Consultants"/>
    <x v="0"/>
    <n v="1400"/>
    <n v="-164351"/>
    <n v="-221658.03"/>
    <n v="-197899"/>
    <n v="-219424.01"/>
    <n v="-238770.11"/>
    <n v="-191744.26"/>
    <n v="-246393.14"/>
    <n v="-246122.03"/>
    <n v="-237225.29"/>
    <n v="-317408.13"/>
    <n v="-268604.43"/>
    <n v="-292097.26"/>
    <n v="-2841696.6900000004"/>
    <n v="23492.830000000016"/>
  </r>
  <r>
    <x v="1"/>
    <x v="1"/>
    <x v="0"/>
    <s v="2672200"/>
    <n v="400040"/>
    <s v="Physician Svcs Rev--Self Pay"/>
    <s v="Cardiology Consultants"/>
    <x v="0"/>
    <n v="1500"/>
    <n v="-2075"/>
    <n v="-17044"/>
    <n v="-2266"/>
    <n v="-20440"/>
    <n v="-33911.01"/>
    <n v="-20155.009999999998"/>
    <n v="-19395"/>
    <n v="-15860"/>
    <n v="-7485"/>
    <n v="-13837"/>
    <n v="-14909"/>
    <n v="-32613"/>
    <n v="-199990.02000000002"/>
    <n v="17704"/>
  </r>
  <r>
    <x v="1"/>
    <x v="1"/>
    <x v="0"/>
    <s v="2672200"/>
    <n v="400040"/>
    <s v="Physician Svcs Rev--Other"/>
    <s v="Cardiology Consultants"/>
    <x v="0"/>
    <n v="1700"/>
    <n v="-56604"/>
    <n v="-88889"/>
    <n v="-92910.13"/>
    <n v="-118345.01"/>
    <n v="-95812.01"/>
    <n v="-101792"/>
    <n v="-103030.01"/>
    <n v="-106513.01"/>
    <n v="-81537"/>
    <n v="-89842.11"/>
    <n v="-76402"/>
    <n v="-83952.39"/>
    <n v="-1095628.67"/>
    <n v="7550.3899999999994"/>
  </r>
  <r>
    <x v="2"/>
    <x v="1"/>
    <x v="0"/>
    <s v="2672200"/>
    <n v="450029"/>
    <s v="Contr Allow--MD Other-Medicare"/>
    <s v="Cardiology Consultants"/>
    <x v="0"/>
    <n v="1100"/>
    <n v="58907.07"/>
    <n v="70620.289999999994"/>
    <n v="44277.1"/>
    <n v="71756.61"/>
    <n v="60716.34"/>
    <n v="60810.44"/>
    <n v="58424"/>
    <n v="94862.56"/>
    <n v="64330.5"/>
    <n v="76589.36"/>
    <n v="85224.38"/>
    <n v="66378.820000000007"/>
    <n v="812897.47"/>
    <n v="18845.559999999998"/>
  </r>
  <r>
    <x v="2"/>
    <x v="1"/>
    <x v="0"/>
    <s v="2672200"/>
    <n v="450029"/>
    <s v="Contr Allow--MD Other-Medicaid"/>
    <s v="Cardiology Consultants"/>
    <x v="0"/>
    <n v="1200"/>
    <n v="10907.66"/>
    <n v="14516.31"/>
    <n v="13613.41"/>
    <n v="8587.39"/>
    <n v="4311.7"/>
    <n v="12765.14"/>
    <n v="3094.36"/>
    <n v="10902.24"/>
    <n v="11505.99"/>
    <n v="16650.84"/>
    <n v="10602.1"/>
    <n v="11003.24"/>
    <n v="128460.38000000002"/>
    <n v="-401.13999999999942"/>
  </r>
  <r>
    <x v="2"/>
    <x v="1"/>
    <x v="0"/>
    <s v="2672200"/>
    <n v="450029"/>
    <s v="Contr Allow--MD Other-Comm Insurance"/>
    <s v="Cardiology Consultants"/>
    <x v="0"/>
    <n v="1300"/>
    <n v="928.28"/>
    <n v="206.27"/>
    <n v="814.08"/>
    <n v="76.78"/>
    <n v="573.13"/>
    <n v="46.52"/>
    <n v="915.03"/>
    <n v="89.36"/>
    <n v="1719.39"/>
    <n v="333.25"/>
    <n v="0"/>
    <n v="1550.08"/>
    <n v="7252.17"/>
    <n v="-1550.08"/>
  </r>
  <r>
    <x v="2"/>
    <x v="1"/>
    <x v="0"/>
    <s v="2672200"/>
    <n v="450029"/>
    <s v="Contr Allow--MD Other BCBS Comm"/>
    <s v="Cardiology Consultants"/>
    <x v="0"/>
    <n v="1301"/>
    <n v="2732.74"/>
    <n v="2974.79"/>
    <n v="3193.86"/>
    <n v="1947.82"/>
    <n v="2996.5"/>
    <n v="1830.58"/>
    <n v="1736.57"/>
    <n v="5010.9399999999996"/>
    <n v="3338.1"/>
    <n v="3738.01"/>
    <n v="3299.1"/>
    <n v="2274.9899999999998"/>
    <n v="35073.999999999993"/>
    <n v="1024.1100000000001"/>
  </r>
  <r>
    <x v="2"/>
    <x v="1"/>
    <x v="0"/>
    <s v="2672200"/>
    <n v="450029"/>
    <s v="Contr Allow--MD Other-Managed Care"/>
    <s v="Cardiology Consultants"/>
    <x v="0"/>
    <n v="1400"/>
    <n v="11792.15"/>
    <n v="5581.07"/>
    <n v="9838.43"/>
    <n v="12787.85"/>
    <n v="8145.46"/>
    <n v="6084.83"/>
    <n v="7189.76"/>
    <n v="13082.78"/>
    <n v="7057.19"/>
    <n v="15952.86"/>
    <n v="9263.67"/>
    <n v="12801.72"/>
    <n v="119577.77"/>
    <n v="-3538.0499999999993"/>
  </r>
  <r>
    <x v="2"/>
    <x v="1"/>
    <x v="0"/>
    <s v="2672200"/>
    <n v="450029"/>
    <s v="Admin Adjust-MD Other-Self Pay"/>
    <s v="Cardiology Consultants"/>
    <x v="0"/>
    <n v="1600"/>
    <n v="618.30999999999995"/>
    <n v="337.64"/>
    <n v="141.71"/>
    <n v="840.02"/>
    <n v="-458.04"/>
    <n v="162.12"/>
    <n v="219.87"/>
    <n v="89.76"/>
    <n v="495.21"/>
    <n v="660.82"/>
    <n v="1228.4000000000001"/>
    <n v="178.93"/>
    <n v="4514.75"/>
    <n v="1049.47"/>
  </r>
  <r>
    <x v="2"/>
    <x v="1"/>
    <x v="0"/>
    <s v="2672200"/>
    <n v="450029"/>
    <s v="Contr Allow--MD Other-Other"/>
    <s v="Cardiology Consultants"/>
    <x v="0"/>
    <n v="1700"/>
    <n v="5128.53"/>
    <n v="3207.1"/>
    <n v="1892.55"/>
    <n v="3045.9"/>
    <n v="6899.21"/>
    <n v="6570.45"/>
    <n v="5339.79"/>
    <n v="7621.52"/>
    <n v="8337.67"/>
    <n v="16880.95"/>
    <n v="6060"/>
    <n v="7931.6"/>
    <n v="78915.27"/>
    <n v="-1871.6000000000004"/>
  </r>
  <r>
    <x v="2"/>
    <x v="1"/>
    <x v="0"/>
    <s v="2672200"/>
    <n v="450040"/>
    <s v="Contr Allow--Phys Svcs--Mcare"/>
    <s v="Cardiology Consultants"/>
    <x v="0"/>
    <n v="1100"/>
    <n v="678047.44"/>
    <n v="675450"/>
    <n v="584907.51"/>
    <n v="836898.99"/>
    <n v="728526.75"/>
    <n v="662221.24"/>
    <n v="705280.82"/>
    <n v="782710.97"/>
    <n v="808872.65"/>
    <n v="803729.84"/>
    <n v="839216.83"/>
    <n v="721184.36"/>
    <n v="8827047.4000000004"/>
    <n v="118032.46999999997"/>
  </r>
  <r>
    <x v="2"/>
    <x v="1"/>
    <x v="0"/>
    <s v="2672200"/>
    <n v="450040"/>
    <s v="Contr Allow--Phys Svcs--Mcaid"/>
    <s v="Cardiology Consultants"/>
    <x v="0"/>
    <n v="1200"/>
    <n v="102632.19"/>
    <n v="139885.48000000001"/>
    <n v="88985.07"/>
    <n v="118896.84"/>
    <n v="72767.350000000006"/>
    <n v="86723.39"/>
    <n v="102870.98"/>
    <n v="108182.6"/>
    <n v="119790.9"/>
    <n v="128312.55"/>
    <n v="119142.09"/>
    <n v="112152.52"/>
    <n v="1300341.96"/>
    <n v="6989.5699999999924"/>
  </r>
  <r>
    <x v="2"/>
    <x v="1"/>
    <x v="0"/>
    <s v="2672200"/>
    <n v="450040"/>
    <s v="Contr Allow--Phys Svcs--Comm Insurance"/>
    <s v="Cardiology Consultants"/>
    <x v="0"/>
    <n v="1300"/>
    <n v="6287.18"/>
    <n v="7928.34"/>
    <n v="7469.2"/>
    <n v="2802.95"/>
    <n v="7949.08"/>
    <n v="4435.13"/>
    <n v="5245.06"/>
    <n v="6808.25"/>
    <n v="14872.96"/>
    <n v="6777.85"/>
    <n v="7910.93"/>
    <n v="10816.82"/>
    <n v="89303.75"/>
    <n v="-2905.8899999999994"/>
  </r>
  <r>
    <x v="2"/>
    <x v="1"/>
    <x v="0"/>
    <s v="2672200"/>
    <n v="450040"/>
    <s v="Contr Allow--Phys Svcs--BCBS Comm Ins"/>
    <s v="Cardiology Consultants"/>
    <x v="0"/>
    <n v="1301"/>
    <n v="43916.800000000003"/>
    <n v="43041.05"/>
    <n v="22243.9"/>
    <n v="32101.200000000001"/>
    <n v="41692.910000000003"/>
    <n v="34164.230000000003"/>
    <n v="27951.02"/>
    <n v="52095.77"/>
    <n v="40699.42"/>
    <n v="53298.92"/>
    <n v="35714.04"/>
    <n v="42156.23"/>
    <n v="469075.48999999993"/>
    <n v="-6442.1900000000023"/>
  </r>
  <r>
    <x v="2"/>
    <x v="1"/>
    <x v="0"/>
    <s v="2672200"/>
    <n v="450040"/>
    <s v="Contr Allow--Phys Svcs--Managed Care"/>
    <s v="Cardiology Consultants"/>
    <x v="0"/>
    <n v="1400"/>
    <n v="122034.29"/>
    <n v="99762.6"/>
    <n v="87463.61"/>
    <n v="103314.18"/>
    <n v="90045.46"/>
    <n v="65337.67"/>
    <n v="89263.45"/>
    <n v="100269.86"/>
    <n v="118570.2"/>
    <n v="112587.15"/>
    <n v="132965.54999999999"/>
    <n v="125238.61"/>
    <n v="1246852.6300000001"/>
    <n v="7726.9399999999878"/>
  </r>
  <r>
    <x v="2"/>
    <x v="1"/>
    <x v="0"/>
    <s v="2672200"/>
    <n v="450040"/>
    <s v="Contr Allow--Phys Svcs--BCBS Mgnd Care"/>
    <s v="Cardiology Consultants"/>
    <x v="0"/>
    <n v="1401"/>
    <n v="-78116.14"/>
    <n v="-87134.26"/>
    <n v="71774.28"/>
    <n v="42077.24"/>
    <n v="57206.8"/>
    <n v="42269.1"/>
    <n v="215746.43"/>
    <n v="32252.93"/>
    <n v="-16845.349999999999"/>
    <n v="-9.52"/>
    <n v="-26106.67"/>
    <n v="60836.98"/>
    <n v="313951.82"/>
    <n v="-86943.65"/>
  </r>
  <r>
    <x v="2"/>
    <x v="1"/>
    <x v="0"/>
    <s v="2672200"/>
    <n v="450040"/>
    <s v="Prompt Pay Disc-Phys Svcs-Self Pay"/>
    <s v="Cardiology Consultants"/>
    <x v="0"/>
    <n v="1500"/>
    <n v="100.23"/>
    <n v="153.4"/>
    <n v="0"/>
    <n v="0"/>
    <n v="427.34"/>
    <n v="0"/>
    <n v="0"/>
    <n v="0"/>
    <n v="0"/>
    <n v="128.91"/>
    <n v="0"/>
    <n v="0"/>
    <n v="809.88"/>
    <n v="0"/>
  </r>
  <r>
    <x v="2"/>
    <x v="1"/>
    <x v="0"/>
    <s v="2672200"/>
    <n v="450040"/>
    <s v="Admin Adjust-Phys Svcs-Self Pay"/>
    <s v="Cardiology Consultants"/>
    <x v="0"/>
    <n v="1600"/>
    <n v="1885.42"/>
    <n v="9506.65"/>
    <n v="3061.18"/>
    <n v="7940.15"/>
    <n v="10507.56"/>
    <n v="4762.87"/>
    <n v="14605.71"/>
    <n v="3220.78"/>
    <n v="5622.13"/>
    <n v="5456.45"/>
    <n v="6388.89"/>
    <n v="15468.25"/>
    <n v="88426.04"/>
    <n v="-9079.36"/>
  </r>
  <r>
    <x v="2"/>
    <x v="1"/>
    <x v="0"/>
    <s v="2672200"/>
    <n v="450040"/>
    <s v="Contr Allow--Phys Svcs--Other"/>
    <s v="Cardiology Consultants"/>
    <x v="0"/>
    <n v="1700"/>
    <n v="49189.77"/>
    <n v="35147.660000000003"/>
    <n v="47860.25"/>
    <n v="47688.72"/>
    <n v="50415.66"/>
    <n v="36372.550000000003"/>
    <n v="77792.52"/>
    <n v="67062.05"/>
    <n v="61100"/>
    <n v="89051.65"/>
    <n v="60388.39"/>
    <n v="47573.47"/>
    <n v="669642.68999999994"/>
    <n v="12814.919999999998"/>
  </r>
  <r>
    <x v="3"/>
    <x v="1"/>
    <x v="0"/>
    <s v="2672200"/>
    <n v="470040"/>
    <s v="Charity Care-Physician Svcs"/>
    <s v="Cardiology Consultants"/>
    <x v="0"/>
    <m/>
    <n v="5710.41"/>
    <n v="11541.19"/>
    <n v="5045.3900000000003"/>
    <n v="4577.7"/>
    <n v="5227.7299999999996"/>
    <n v="3857.25"/>
    <n v="14919.19"/>
    <n v="8165.39"/>
    <n v="12603.39"/>
    <n v="10256.790000000001"/>
    <n v="5104.42"/>
    <n v="16906.7"/>
    <n v="103915.54999999999"/>
    <n v="-11802.28"/>
  </r>
  <r>
    <x v="4"/>
    <x v="1"/>
    <x v="0"/>
    <s v="2672200"/>
    <n v="490010"/>
    <s v="Provision for Bad Debts"/>
    <s v="Cardiology Consultants"/>
    <x v="0"/>
    <m/>
    <n v="11855.07"/>
    <n v="1092.27"/>
    <n v="23859.77"/>
    <n v="10254"/>
    <n v="31793.61"/>
    <n v="10073.469999999999"/>
    <n v="22848.02"/>
    <n v="6485.27"/>
    <n v="14813.61"/>
    <n v="7898.53"/>
    <n v="5508.31"/>
    <n v="15645.96"/>
    <n v="162127.89000000001"/>
    <n v="-10137.649999999998"/>
  </r>
  <r>
    <x v="14"/>
    <x v="1"/>
    <x v="0"/>
    <s v="2672200"/>
    <n v="600050"/>
    <s v="Miscellaneous Revenue"/>
    <s v="Cardiology Consultants"/>
    <x v="0"/>
    <m/>
    <n v="-49165.4"/>
    <n v="-10617"/>
    <n v="-64879.01"/>
    <n v="-4350"/>
    <n v="-27890"/>
    <n v="12700"/>
    <n v="-83946.12"/>
    <n v="-46894.13"/>
    <n v="-61810.03"/>
    <n v="254.57"/>
    <n v="40639.480000000003"/>
    <n v="-80459.7"/>
    <n v="-376417.33999999997"/>
    <n v="121099.18"/>
  </r>
  <r>
    <x v="5"/>
    <x v="1"/>
    <x v="0"/>
    <s v="2672200"/>
    <n v="700014"/>
    <s v="Salaries-Management-Productive"/>
    <s v="Cardiology Consultants"/>
    <x v="0"/>
    <m/>
    <n v="2864.44"/>
    <n v="-477.4"/>
    <n v="0"/>
    <n v="0"/>
    <n v="0"/>
    <n v="0"/>
    <n v="0"/>
    <n v="0"/>
    <n v="0"/>
    <n v="0"/>
    <n v="0"/>
    <n v="0"/>
    <n v="2387.04"/>
    <n v="0"/>
  </r>
  <r>
    <x v="5"/>
    <x v="1"/>
    <x v="0"/>
    <s v="2672200"/>
    <n v="700018"/>
    <s v="Salaries-Supervisory-Productive"/>
    <s v="Cardiology Consultants"/>
    <x v="0"/>
    <m/>
    <n v="5571.2"/>
    <n v="5989.04"/>
    <n v="3064.16"/>
    <n v="7204.08"/>
    <n v="5967.36"/>
    <n v="3864.57"/>
    <n v="8184.21"/>
    <n v="5255.87"/>
    <n v="7551.99"/>
    <n v="4587.6000000000004"/>
    <n v="6744.49"/>
    <n v="3699.5"/>
    <n v="67684.070000000007"/>
    <n v="3044.99"/>
  </r>
  <r>
    <x v="5"/>
    <x v="1"/>
    <x v="0"/>
    <s v="2672200"/>
    <n v="700020"/>
    <s v="Salaries-Physician Admin-Other"/>
    <s v="Cardiology Consultants"/>
    <x v="0"/>
    <n v="2000"/>
    <n v="0"/>
    <n v="0"/>
    <n v="4124.99"/>
    <n v="2250"/>
    <n v="0"/>
    <n v="0"/>
    <n v="5100"/>
    <n v="1875"/>
    <n v="-1725"/>
    <n v="4200"/>
    <n v="1125"/>
    <n v="0"/>
    <n v="16949.989999999998"/>
    <n v="1125"/>
  </r>
  <r>
    <x v="5"/>
    <x v="1"/>
    <x v="0"/>
    <s v="2672200"/>
    <n v="700022"/>
    <s v="Salaries-Physician-Productive"/>
    <s v="Cardiology Consultants"/>
    <x v="0"/>
    <m/>
    <n v="359562.5"/>
    <n v="424295.87"/>
    <n v="529661.17000000004"/>
    <n v="522363.35"/>
    <n v="620412.93000000005"/>
    <n v="479803.84"/>
    <n v="524967.85"/>
    <n v="558388.16"/>
    <n v="531811.06999999995"/>
    <n v="444220.7"/>
    <n v="525860.43999999994"/>
    <n v="483322.17"/>
    <n v="6004670.0500000007"/>
    <n v="42538.26999999996"/>
  </r>
  <r>
    <x v="5"/>
    <x v="1"/>
    <x v="0"/>
    <s v="2672200"/>
    <n v="700022"/>
    <s v="Salaries-Physician-Other"/>
    <s v="Cardiology Consultants"/>
    <x v="0"/>
    <n v="2000"/>
    <n v="0"/>
    <n v="0"/>
    <n v="0"/>
    <n v="0"/>
    <n v="7700"/>
    <n v="16034.46"/>
    <n v="78846.12"/>
    <n v="17038.48"/>
    <n v="11538.48"/>
    <n v="11538.48"/>
    <n v="11538.48"/>
    <n v="57692.4"/>
    <n v="211926.9"/>
    <n v="-46153.919999999998"/>
  </r>
  <r>
    <x v="5"/>
    <x v="1"/>
    <x v="0"/>
    <s v="2672200"/>
    <n v="700022"/>
    <s v="Salaries-Physician-Provider Incentive"/>
    <s v="Cardiology Consultants"/>
    <x v="0"/>
    <n v="4003"/>
    <n v="66655.92"/>
    <n v="31259.88"/>
    <n v="21870.5"/>
    <n v="106572.98"/>
    <n v="25387.360000000001"/>
    <n v="61382.91"/>
    <n v="28955.11"/>
    <n v="32392.69"/>
    <n v="29786.86"/>
    <n v="29787.98"/>
    <n v="31370.23"/>
    <n v="49428.72"/>
    <n v="514851.14"/>
    <n v="-18058.490000000002"/>
  </r>
  <r>
    <x v="5"/>
    <x v="1"/>
    <x v="0"/>
    <s v="2672200"/>
    <n v="700024"/>
    <s v="Salaries-Advanced Practice Clinician-Productive"/>
    <s v="Cardiology Consultants"/>
    <x v="0"/>
    <m/>
    <n v="41436.53"/>
    <n v="48935.61"/>
    <n v="39392.01"/>
    <n v="54395.69"/>
    <n v="56099.9"/>
    <n v="39480.81"/>
    <n v="43748.480000000003"/>
    <n v="44586.54"/>
    <n v="49011.95"/>
    <n v="54332.47"/>
    <n v="53251.51"/>
    <n v="50821.86"/>
    <n v="575493.36"/>
    <n v="2429.6500000000015"/>
  </r>
  <r>
    <x v="5"/>
    <x v="1"/>
    <x v="0"/>
    <s v="2672200"/>
    <n v="700024"/>
    <s v="Salaries-Advanced Practice Clinician-Other"/>
    <s v="Cardiology Consultants"/>
    <x v="0"/>
    <n v="2000"/>
    <n v="0"/>
    <n v="0"/>
    <n v="0"/>
    <n v="0"/>
    <n v="0"/>
    <n v="0"/>
    <n v="0"/>
    <n v="0"/>
    <n v="909.19"/>
    <n v="638.54"/>
    <n v="-262.89"/>
    <n v="2108.87"/>
    <n v="3393.71"/>
    <n v="-2371.7599999999998"/>
  </r>
  <r>
    <x v="5"/>
    <x v="1"/>
    <x v="0"/>
    <s v="2672200"/>
    <n v="700024"/>
    <s v="Salaries-Advanced Practice Clinician-Provider Incentive"/>
    <s v="Cardiology Consultants"/>
    <x v="0"/>
    <n v="4003"/>
    <n v="0"/>
    <n v="0"/>
    <n v="0"/>
    <n v="0"/>
    <n v="0"/>
    <n v="0"/>
    <n v="0"/>
    <n v="0"/>
    <n v="0"/>
    <n v="0"/>
    <n v="453.54"/>
    <n v="-0.66"/>
    <n v="452.88"/>
    <n v="454.20000000000005"/>
  </r>
  <r>
    <x v="5"/>
    <x v="1"/>
    <x v="0"/>
    <s v="2672200"/>
    <n v="700026"/>
    <s v="Salaries-RN-Productive"/>
    <s v="Cardiology Consultants"/>
    <x v="0"/>
    <m/>
    <n v="55752.08"/>
    <n v="65634.25"/>
    <n v="56518.36"/>
    <n v="77241.08"/>
    <n v="63635.13"/>
    <n v="51951.01"/>
    <n v="62828.31"/>
    <n v="55403.23"/>
    <n v="60906.61"/>
    <n v="70627.58"/>
    <n v="65931.820000000007"/>
    <n v="67095.03"/>
    <n v="753524.49"/>
    <n v="-1163.2099999999919"/>
  </r>
  <r>
    <x v="5"/>
    <x v="1"/>
    <x v="0"/>
    <s v="2672200"/>
    <n v="700026"/>
    <s v="Salaries-RN-OT"/>
    <s v="Cardiology Consultants"/>
    <x v="0"/>
    <n v="1000"/>
    <n v="3384.06"/>
    <n v="5903.56"/>
    <n v="9269.41"/>
    <n v="7541.37"/>
    <n v="6830.26"/>
    <n v="3722.08"/>
    <n v="5695.41"/>
    <n v="2690.32"/>
    <n v="8497.68"/>
    <n v="6857.73"/>
    <n v="10471.26"/>
    <n v="3310.6"/>
    <n v="74173.739999999991"/>
    <n v="7160.66"/>
  </r>
  <r>
    <x v="5"/>
    <x v="1"/>
    <x v="0"/>
    <s v="2672200"/>
    <n v="700026"/>
    <s v="Salaries-RN-Other"/>
    <s v="Cardiology Consultants"/>
    <x v="0"/>
    <n v="2000"/>
    <n v="231.99"/>
    <n v="-0.9"/>
    <n v="55.25"/>
    <n v="-9.25"/>
    <n v="1.75"/>
    <n v="0"/>
    <n v="0"/>
    <n v="0"/>
    <n v="0"/>
    <n v="31.07"/>
    <n v="-0.02"/>
    <n v="0"/>
    <n v="309.89000000000004"/>
    <n v="-0.02"/>
  </r>
  <r>
    <x v="5"/>
    <x v="1"/>
    <x v="0"/>
    <s v="2672200"/>
    <n v="700032"/>
    <s v="Salaries-Other Pat Care Providers-Productive"/>
    <s v="Cardiology Consultants"/>
    <x v="0"/>
    <m/>
    <n v="35135.120000000003"/>
    <n v="44052.47"/>
    <n v="41834"/>
    <n v="51551.54"/>
    <n v="51240.67"/>
    <n v="44635.360000000001"/>
    <n v="54892.9"/>
    <n v="44478.63"/>
    <n v="57939.62"/>
    <n v="56834.23"/>
    <n v="54168.31"/>
    <n v="51405.56"/>
    <n v="588168.40999999992"/>
    <n v="2762.75"/>
  </r>
  <r>
    <x v="5"/>
    <x v="1"/>
    <x v="0"/>
    <s v="2672200"/>
    <n v="700032"/>
    <s v="Salaries-Other Pat Care Providers-OT"/>
    <s v="Cardiology Consultants"/>
    <x v="0"/>
    <n v="1000"/>
    <n v="502.13"/>
    <n v="470.93"/>
    <n v="607.03"/>
    <n v="1608.67"/>
    <n v="4126.01"/>
    <n v="-278.68"/>
    <n v="666.94"/>
    <n v="303.14"/>
    <n v="1463.66"/>
    <n v="870.5"/>
    <n v="1038.05"/>
    <n v="752.64"/>
    <n v="12131.02"/>
    <n v="285.40999999999997"/>
  </r>
  <r>
    <x v="5"/>
    <x v="1"/>
    <x v="0"/>
    <s v="2672200"/>
    <n v="700032"/>
    <s v="Salaries-Other Pat Care Providers-Other"/>
    <s v="Cardiology Consultants"/>
    <x v="0"/>
    <n v="2000"/>
    <n v="224.49"/>
    <n v="319.57"/>
    <n v="230.47"/>
    <n v="246.92"/>
    <n v="252.63"/>
    <n v="210.63"/>
    <n v="261.95"/>
    <n v="227.2"/>
    <n v="221.73"/>
    <n v="220.2"/>
    <n v="231.85"/>
    <n v="240.65"/>
    <n v="2888.29"/>
    <n v="-8.8000000000000114"/>
  </r>
  <r>
    <x v="5"/>
    <x v="1"/>
    <x v="0"/>
    <s v="2672200"/>
    <n v="700034"/>
    <s v="Salaries-Tech/Professional-Productive"/>
    <s v="Cardiology Consultants"/>
    <x v="0"/>
    <m/>
    <n v="29266.12"/>
    <n v="31992.22"/>
    <n v="30087.95"/>
    <n v="32821.97"/>
    <n v="34578.339999999997"/>
    <n v="29177.57"/>
    <n v="38406.080000000002"/>
    <n v="33569.81"/>
    <n v="34371.74"/>
    <n v="34619.35"/>
    <n v="26673.8"/>
    <n v="41011.519999999997"/>
    <n v="396576.47"/>
    <n v="-14337.719999999998"/>
  </r>
  <r>
    <x v="5"/>
    <x v="1"/>
    <x v="0"/>
    <s v="2672200"/>
    <n v="700034"/>
    <s v="Salaries-Tech/Professional-OT"/>
    <s v="Cardiology Consultants"/>
    <x v="0"/>
    <n v="1000"/>
    <n v="743.83"/>
    <n v="973.68"/>
    <n v="415.29"/>
    <n v="869.91"/>
    <n v="1130.52"/>
    <n v="1607.22"/>
    <n v="1760.9"/>
    <n v="1005.35"/>
    <n v="3394.06"/>
    <n v="1040.06"/>
    <n v="464.65"/>
    <n v="1199.45"/>
    <n v="14604.92"/>
    <n v="-734.80000000000007"/>
  </r>
  <r>
    <x v="5"/>
    <x v="1"/>
    <x v="0"/>
    <s v="2672200"/>
    <n v="700034"/>
    <s v="Salaries-Tech/Professional-Other"/>
    <s v="Cardiology Consultants"/>
    <x v="0"/>
    <n v="2000"/>
    <n v="205.05"/>
    <n v="725.84"/>
    <n v="665.95"/>
    <n v="810.9"/>
    <n v="678.44"/>
    <n v="839.25"/>
    <n v="524.44000000000005"/>
    <n v="572.16999999999996"/>
    <n v="520.33000000000004"/>
    <n v="850.08"/>
    <n v="805.07"/>
    <n v="854.77"/>
    <n v="8052.2900000000009"/>
    <n v="-49.699999999999932"/>
  </r>
  <r>
    <x v="5"/>
    <x v="1"/>
    <x v="0"/>
    <s v="2672200"/>
    <n v="700038"/>
    <s v="Salaries-Service/Support-Productive"/>
    <s v="Cardiology Consultants"/>
    <x v="0"/>
    <m/>
    <n v="3040.28"/>
    <n v="3230.02"/>
    <n v="2303.9299999999998"/>
    <n v="2143.61"/>
    <n v="2129.9499999999998"/>
    <n v="1823.26"/>
    <n v="2432.8000000000002"/>
    <n v="704.16"/>
    <n v="0"/>
    <n v="732.67"/>
    <n v="0"/>
    <n v="0"/>
    <n v="18540.68"/>
    <n v="0"/>
  </r>
  <r>
    <x v="5"/>
    <x v="1"/>
    <x v="0"/>
    <s v="2672200"/>
    <n v="700038"/>
    <s v="Salaries-Service/Support-OT"/>
    <s v="Cardiology Consultants"/>
    <x v="0"/>
    <n v="1000"/>
    <n v="79.069999999999993"/>
    <n v="50.76"/>
    <n v="28.31"/>
    <n v="-7.39"/>
    <n v="0"/>
    <n v="0"/>
    <n v="42.07"/>
    <n v="-12.01"/>
    <n v="0"/>
    <n v="54.96"/>
    <n v="0"/>
    <n v="0"/>
    <n v="235.77"/>
    <n v="0"/>
  </r>
  <r>
    <x v="5"/>
    <x v="1"/>
    <x v="0"/>
    <s v="2672200"/>
    <n v="700038"/>
    <s v="Salaries-Service/Support-Other"/>
    <s v="Cardiology Consultants"/>
    <x v="0"/>
    <n v="2000"/>
    <n v="422.83"/>
    <n v="716.85"/>
    <n v="355.07"/>
    <n v="311.52"/>
    <n v="310.64"/>
    <n v="379.36"/>
    <n v="317.51"/>
    <n v="168.46"/>
    <n v="0"/>
    <n v="0"/>
    <n v="0"/>
    <n v="0"/>
    <n v="2982.24"/>
    <n v="0"/>
  </r>
  <r>
    <x v="5"/>
    <x v="1"/>
    <x v="0"/>
    <s v="2672200"/>
    <n v="700054"/>
    <s v="Salaries-Management-Non-productive"/>
    <s v="Cardiology Consultants"/>
    <x v="0"/>
    <m/>
    <n v="1909.63"/>
    <n v="-318.27"/>
    <n v="0"/>
    <n v="0"/>
    <n v="0"/>
    <n v="0"/>
    <n v="0"/>
    <n v="0"/>
    <n v="0"/>
    <n v="0"/>
    <n v="0"/>
    <n v="0"/>
    <n v="1591.3600000000001"/>
    <n v="0"/>
  </r>
  <r>
    <x v="5"/>
    <x v="1"/>
    <x v="0"/>
    <s v="2672200"/>
    <n v="700054"/>
    <s v="Salaries-Management-NonProd-Other"/>
    <s v="Cardiology Consultants"/>
    <x v="0"/>
    <n v="2000"/>
    <n v="0"/>
    <n v="0"/>
    <n v="0"/>
    <n v="0"/>
    <n v="0"/>
    <n v="337.1"/>
    <n v="-337.1"/>
    <n v="0"/>
    <n v="0"/>
    <n v="0"/>
    <n v="0"/>
    <n v="0"/>
    <n v="0"/>
    <n v="0"/>
  </r>
  <r>
    <x v="5"/>
    <x v="1"/>
    <x v="0"/>
    <s v="2672200"/>
    <n v="700058"/>
    <s v="Salaries-Supervisory-Non-productive"/>
    <s v="Cardiology Consultants"/>
    <x v="0"/>
    <m/>
    <n v="557.12"/>
    <n v="417.84"/>
    <n v="2507.04"/>
    <n v="-696.4"/>
    <n v="284.16000000000003"/>
    <n v="2102.7800000000002"/>
    <n v="-113.66"/>
    <n v="0"/>
    <n v="711.45"/>
    <n v="910.64"/>
    <n v="-199.2"/>
    <n v="1992.04"/>
    <n v="8473.8100000000013"/>
    <n v="-2191.2399999999998"/>
  </r>
  <r>
    <x v="5"/>
    <x v="1"/>
    <x v="0"/>
    <s v="2672200"/>
    <n v="700062"/>
    <s v="Salaries-Physician-Non-productive"/>
    <s v="Cardiology Consultants"/>
    <x v="0"/>
    <m/>
    <n v="62030.79"/>
    <n v="9688.92"/>
    <n v="22438.57"/>
    <n v="-22661.72"/>
    <n v="-9106.44"/>
    <n v="122350.12"/>
    <n v="96569.78"/>
    <n v="-2121.3000000000002"/>
    <n v="41882.33"/>
    <n v="69991.990000000005"/>
    <n v="42260.71"/>
    <n v="9539.67"/>
    <n v="442863.42000000004"/>
    <n v="32721.040000000001"/>
  </r>
  <r>
    <x v="5"/>
    <x v="1"/>
    <x v="0"/>
    <s v="2672200"/>
    <n v="700062"/>
    <s v="Salaries-Physician-NonProd-Other"/>
    <s v="Cardiology Consultants"/>
    <x v="0"/>
    <n v="2000"/>
    <n v="0"/>
    <n v="0"/>
    <n v="0"/>
    <n v="0"/>
    <n v="270.3"/>
    <n v="0"/>
    <n v="0"/>
    <n v="0"/>
    <n v="0"/>
    <n v="0"/>
    <n v="0"/>
    <n v="0"/>
    <n v="270.3"/>
    <n v="0"/>
  </r>
  <r>
    <x v="5"/>
    <x v="1"/>
    <x v="0"/>
    <s v="2672200"/>
    <n v="700064"/>
    <s v="Salaries-Advanced Practice Clinician-Non-Productive"/>
    <s v="Cardiology Consultants"/>
    <x v="0"/>
    <m/>
    <n v="14116.44"/>
    <n v="9004.3700000000008"/>
    <n v="12654.72"/>
    <n v="4909.79"/>
    <n v="1137.04"/>
    <n v="15223.49"/>
    <n v="5567.72"/>
    <n v="3014.86"/>
    <n v="11032.44"/>
    <n v="11219.55"/>
    <n v="15151.32"/>
    <n v="10281.16"/>
    <n v="113312.9"/>
    <n v="4870.16"/>
  </r>
  <r>
    <x v="5"/>
    <x v="1"/>
    <x v="0"/>
    <s v="2672200"/>
    <n v="700066"/>
    <s v="Salaries-RN-Non-productive"/>
    <s v="Cardiology Consultants"/>
    <x v="0"/>
    <m/>
    <n v="5060.0600000000004"/>
    <n v="2356.89"/>
    <n v="9335.4500000000007"/>
    <n v="-1339.51"/>
    <n v="958.28"/>
    <n v="11059.84"/>
    <n v="9260.06"/>
    <n v="8061.96"/>
    <n v="4354.26"/>
    <n v="220.24"/>
    <n v="13755.39"/>
    <n v="1571.15"/>
    <n v="64654.07"/>
    <n v="12184.24"/>
  </r>
  <r>
    <x v="5"/>
    <x v="1"/>
    <x v="0"/>
    <s v="2672200"/>
    <n v="700066"/>
    <s v="Salaries-RN-NonProd-Other"/>
    <s v="Cardiology Consultant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2200"/>
    <n v="700072"/>
    <s v="Salaries-Other Pat Care Providers-Non-productive"/>
    <s v="Cardiology Consultants"/>
    <x v="0"/>
    <m/>
    <n v="5734.97"/>
    <n v="3665.02"/>
    <n v="2416.16"/>
    <n v="2683.66"/>
    <n v="4672.12"/>
    <n v="8149.03"/>
    <n v="5406.32"/>
    <n v="9480.94"/>
    <n v="-16.23"/>
    <n v="2476.8200000000002"/>
    <n v="6162.33"/>
    <n v="6671.22"/>
    <n v="57502.36"/>
    <n v="-508.89000000000033"/>
  </r>
  <r>
    <x v="5"/>
    <x v="1"/>
    <x v="0"/>
    <s v="2672200"/>
    <n v="700072"/>
    <s v="Salaries-Other Pat Care Providers-NonProd-Other"/>
    <s v="Cardiology Consultants"/>
    <x v="0"/>
    <n v="2000"/>
    <n v="0"/>
    <n v="0"/>
    <n v="0"/>
    <n v="0"/>
    <n v="937.59"/>
    <n v="1115.94"/>
    <n v="0"/>
    <n v="-2053.5300000000002"/>
    <n v="0"/>
    <n v="0"/>
    <n v="0"/>
    <n v="0"/>
    <n v="0"/>
    <n v="0"/>
  </r>
  <r>
    <x v="5"/>
    <x v="1"/>
    <x v="0"/>
    <s v="2672200"/>
    <n v="700074"/>
    <s v="Salaries-Tech/Professional-Non-productive"/>
    <s v="Cardiology Consultants"/>
    <x v="0"/>
    <m/>
    <n v="2098.92"/>
    <n v="3300.12"/>
    <n v="1849.98"/>
    <n v="5590.23"/>
    <n v="1621.46"/>
    <n v="5622.69"/>
    <n v="2782.36"/>
    <n v="4558.37"/>
    <n v="362.54"/>
    <n v="2153.73"/>
    <n v="12539.77"/>
    <n v="-4050.38"/>
    <n v="38429.79"/>
    <n v="16590.150000000001"/>
  </r>
  <r>
    <x v="5"/>
    <x v="1"/>
    <x v="0"/>
    <s v="2672200"/>
    <n v="700074"/>
    <s v="Salaries-Tech/Professional-NonProd-Other"/>
    <s v="Cardiology Consultant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2200"/>
    <n v="700078"/>
    <s v="Salaries-Service/Support-Non-productive"/>
    <s v="Cardiology Consultants"/>
    <x v="0"/>
    <m/>
    <n v="0"/>
    <n v="0"/>
    <n v="289.12"/>
    <n v="390.29"/>
    <n v="0"/>
    <n v="0"/>
    <n v="0"/>
    <n v="0"/>
    <n v="0"/>
    <n v="0"/>
    <n v="0"/>
    <n v="0"/>
    <n v="679.41000000000008"/>
    <n v="0"/>
  </r>
  <r>
    <x v="5"/>
    <x v="1"/>
    <x v="0"/>
    <s v="2672200"/>
    <n v="700078"/>
    <s v="Salaries-Service/Support-NonProd-Other"/>
    <s v="Cardiology Consultant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2200"/>
    <n v="700084"/>
    <s v="Accrued PTO"/>
    <s v="Cardiology Consultants"/>
    <x v="0"/>
    <m/>
    <n v="2814.09"/>
    <n v="-3282.86"/>
    <n v="-141.97"/>
    <n v="10612.76"/>
    <n v="12174.96"/>
    <n v="-5514.82"/>
    <n v="1290.55"/>
    <n v="-816.52"/>
    <n v="8637.5400000000009"/>
    <n v="9680.51"/>
    <n v="-1532.58"/>
    <n v="5122.8500000000004"/>
    <n v="39044.509999999995"/>
    <n v="-6655.43"/>
  </r>
  <r>
    <x v="10"/>
    <x v="1"/>
    <x v="0"/>
    <s v="2672200"/>
    <n v="710040"/>
    <s v="Contract Labor-Physician (Locum Tenum)"/>
    <s v="Cardiology Consultants"/>
    <x v="0"/>
    <m/>
    <n v="0"/>
    <n v="10617"/>
    <n v="41214.01"/>
    <n v="0"/>
    <n v="0"/>
    <n v="0"/>
    <n v="0"/>
    <n v="0"/>
    <n v="27107.200000000001"/>
    <n v="0"/>
    <n v="-78938.210000000006"/>
    <n v="0"/>
    <n v="0"/>
    <n v="-78938.210000000006"/>
  </r>
  <r>
    <x v="10"/>
    <x v="1"/>
    <x v="0"/>
    <s v="2672200"/>
    <n v="710042"/>
    <s v="Locum Tenens Travel-Physician"/>
    <s v="Cardiology Consultants"/>
    <x v="0"/>
    <m/>
    <n v="50.8"/>
    <n v="1095.3599999999999"/>
    <n v="2386.04"/>
    <n v="2332.4499999999998"/>
    <n v="-1265.49"/>
    <n v="0"/>
    <n v="0"/>
    <n v="0"/>
    <n v="7"/>
    <n v="0"/>
    <n v="-4606.16"/>
    <n v="0"/>
    <n v="0"/>
    <n v="-4606.16"/>
  </r>
  <r>
    <x v="6"/>
    <x v="1"/>
    <x v="0"/>
    <s v="2672200"/>
    <n v="713010"/>
    <s v="Benefits-FICA/Medicare"/>
    <s v="Cardiology Consultants"/>
    <x v="0"/>
    <m/>
    <n v="22158.22"/>
    <n v="24558.52"/>
    <n v="30763.119999999999"/>
    <n v="33887.839999999997"/>
    <n v="29500.14"/>
    <n v="43313.68"/>
    <n v="65433.41"/>
    <n v="42071.17"/>
    <n v="28587.200000000001"/>
    <n v="29669.68"/>
    <n v="28008.959999999999"/>
    <n v="25120.77"/>
    <n v="403072.71"/>
    <n v="2888.1899999999987"/>
  </r>
  <r>
    <x v="6"/>
    <x v="1"/>
    <x v="0"/>
    <s v="2672200"/>
    <n v="713090"/>
    <s v="Benefits-Allocated Amounts"/>
    <s v="Cardiology Consultants"/>
    <x v="0"/>
    <m/>
    <n v="0"/>
    <n v="0"/>
    <n v="0"/>
    <n v="0"/>
    <n v="0"/>
    <n v="0"/>
    <n v="0"/>
    <n v="0"/>
    <n v="470285.59"/>
    <n v="56357.62"/>
    <n v="56638.41"/>
    <n v="58780.04"/>
    <n v="642061.66000000015"/>
    <n v="-2141.6299999999974"/>
  </r>
  <r>
    <x v="6"/>
    <x v="1"/>
    <x v="0"/>
    <s v="2672200"/>
    <n v="713092"/>
    <s v="Allocated Benefits-Physician"/>
    <s v="Cardiology Consultants"/>
    <x v="0"/>
    <m/>
    <n v="39773.46"/>
    <n v="36028.910000000003"/>
    <n v="43068.22"/>
    <n v="43872.34"/>
    <n v="45198.9"/>
    <n v="48365.49"/>
    <n v="56928.53"/>
    <n v="52884.53"/>
    <n v="-217931.7"/>
    <n v="17758.48"/>
    <n v="17846.97"/>
    <n v="18521.8"/>
    <n v="202315.93"/>
    <n v="-674.82999999999811"/>
  </r>
  <r>
    <x v="6"/>
    <x v="1"/>
    <x v="0"/>
    <s v="2672200"/>
    <n v="713093"/>
    <s v="Allocated Benefits-Advanced Practice Clinician"/>
    <s v="Cardiology Consultants"/>
    <x v="0"/>
    <m/>
    <n v="26129.16"/>
    <n v="23669.19"/>
    <n v="28293.66"/>
    <n v="28821.94"/>
    <n v="29693.41"/>
    <n v="31773.69"/>
    <n v="37399.19"/>
    <n v="34742.480000000003"/>
    <n v="-156738.37"/>
    <n v="10040.459999999999"/>
    <n v="10090.5"/>
    <n v="10472.030000000001"/>
    <n v="114387.34"/>
    <n v="-381.53000000000065"/>
  </r>
  <r>
    <x v="6"/>
    <x v="1"/>
    <x v="0"/>
    <s v="2672200"/>
    <n v="713096"/>
    <s v="Employee Recognition"/>
    <s v="Cardiology Consultants"/>
    <x v="0"/>
    <n v="1017"/>
    <n v="379.41"/>
    <n v="0"/>
    <n v="146.31"/>
    <n v="0"/>
    <n v="0"/>
    <n v="0"/>
    <n v="0"/>
    <n v="0"/>
    <n v="0"/>
    <n v="0"/>
    <n v="0"/>
    <n v="0"/>
    <n v="525.72"/>
    <n v="0"/>
  </r>
  <r>
    <x v="7"/>
    <x v="1"/>
    <x v="0"/>
    <s v="2672200"/>
    <n v="718040"/>
    <s v="Contract Svcs-Laboratory"/>
    <s v="Cardiology Consultants"/>
    <x v="0"/>
    <m/>
    <n v="320.60000000000002"/>
    <n v="74"/>
    <n v="0"/>
    <n v="0"/>
    <n v="0"/>
    <n v="0"/>
    <n v="0"/>
    <n v="0"/>
    <n v="88"/>
    <n v="0"/>
    <n v="0"/>
    <n v="0"/>
    <n v="482.6"/>
    <n v="0"/>
  </r>
  <r>
    <x v="7"/>
    <x v="1"/>
    <x v="0"/>
    <s v="2672200"/>
    <n v="718050"/>
    <s v="Contract Svcs-Other"/>
    <s v="Cardiology Consultants"/>
    <x v="0"/>
    <m/>
    <n v="0"/>
    <n v="22.41"/>
    <n v="0"/>
    <n v="0"/>
    <n v="4453.1899999999996"/>
    <n v="222.5"/>
    <n v="611.04999999999995"/>
    <n v="0"/>
    <n v="0"/>
    <n v="0"/>
    <n v="1831.46"/>
    <n v="735"/>
    <n v="7875.61"/>
    <n v="1096.46"/>
  </r>
  <r>
    <x v="7"/>
    <x v="1"/>
    <x v="0"/>
    <s v="2672200"/>
    <n v="718050"/>
    <s v="Miscellaneous Purchased Svcs"/>
    <s v="Cardiology Consultants"/>
    <x v="0"/>
    <n v="1020"/>
    <n v="0"/>
    <n v="0"/>
    <n v="0"/>
    <n v="179.02"/>
    <n v="0"/>
    <n v="0"/>
    <n v="0"/>
    <n v="1642.26"/>
    <n v="0"/>
    <n v="0"/>
    <n v="0"/>
    <n v="0"/>
    <n v="1821.28"/>
    <n v="0"/>
  </r>
  <r>
    <x v="7"/>
    <x v="1"/>
    <x v="0"/>
    <s v="2672200"/>
    <n v="718050"/>
    <s v="Contract Management--Linen"/>
    <s v="Cardiology Consultants"/>
    <x v="0"/>
    <n v="1026"/>
    <n v="0"/>
    <n v="0"/>
    <n v="0"/>
    <n v="0"/>
    <n v="0"/>
    <n v="0"/>
    <n v="0"/>
    <n v="0"/>
    <n v="531.69000000000005"/>
    <n v="483.67"/>
    <n v="0"/>
    <n v="967.46"/>
    <n v="1982.8200000000002"/>
    <n v="-967.46"/>
  </r>
  <r>
    <x v="7"/>
    <x v="1"/>
    <x v="0"/>
    <s v="2672200"/>
    <n v="718050"/>
    <s v="Purchased Srvcs--Medical Waste"/>
    <s v="Cardiology Consultants"/>
    <x v="0"/>
    <n v="1027"/>
    <n v="0"/>
    <n v="0"/>
    <n v="0"/>
    <n v="0"/>
    <n v="0"/>
    <n v="0"/>
    <n v="0"/>
    <n v="0"/>
    <n v="0"/>
    <n v="64.3"/>
    <n v="0"/>
    <n v="66.73"/>
    <n v="131.03"/>
    <n v="-66.73"/>
  </r>
  <r>
    <x v="11"/>
    <x v="1"/>
    <x v="0"/>
    <s v="2672200"/>
    <n v="721250"/>
    <s v="Supplies-Pharmacy Drugs - Billable"/>
    <s v="Cardiology Consultants"/>
    <x v="0"/>
    <m/>
    <n v="20444"/>
    <n v="21144.54"/>
    <n v="10483"/>
    <n v="21667.64"/>
    <n v="24931.05"/>
    <n v="13711.06"/>
    <n v="15449.55"/>
    <n v="4395.88"/>
    <n v="15187.95"/>
    <n v="49.49"/>
    <n v="1546.88"/>
    <n v="1157.49"/>
    <n v="150168.53"/>
    <n v="389.3900000000001"/>
  </r>
  <r>
    <x v="11"/>
    <x v="1"/>
    <x v="0"/>
    <s v="2672200"/>
    <n v="721250"/>
    <s v="OP Pharmacy Drugs"/>
    <s v="Cardiology Consultants"/>
    <x v="0"/>
    <n v="1002"/>
    <n v="0"/>
    <n v="0"/>
    <n v="0"/>
    <n v="0"/>
    <n v="0"/>
    <n v="0"/>
    <n v="0"/>
    <n v="0"/>
    <n v="0"/>
    <n v="0"/>
    <n v="0"/>
    <n v="85397.57"/>
    <n v="85397.57"/>
    <n v="-85397.57"/>
  </r>
  <r>
    <x v="11"/>
    <x v="1"/>
    <x v="0"/>
    <s v="2672200"/>
    <n v="721350"/>
    <s v="Radiology Imaging - Contrast Media"/>
    <s v="Cardiology Consultants"/>
    <x v="0"/>
    <n v="1000"/>
    <n v="0"/>
    <n v="0"/>
    <n v="0"/>
    <n v="0"/>
    <n v="0"/>
    <n v="0"/>
    <n v="0"/>
    <n v="0"/>
    <n v="0"/>
    <n v="4527.6400000000003"/>
    <n v="0"/>
    <n v="0"/>
    <n v="4527.6400000000003"/>
    <n v="0"/>
  </r>
  <r>
    <x v="11"/>
    <x v="1"/>
    <x v="0"/>
    <s v="2672200"/>
    <n v="721410"/>
    <s v="Supplies-Medical - Nonbillable"/>
    <s v="Cardiology Consultants"/>
    <x v="0"/>
    <m/>
    <n v="0"/>
    <n v="0"/>
    <n v="0"/>
    <n v="0"/>
    <n v="345.29"/>
    <n v="0"/>
    <n v="0"/>
    <n v="0"/>
    <n v="0"/>
    <n v="35.340000000000003"/>
    <n v="-2.42"/>
    <n v="0"/>
    <n v="378.21"/>
    <n v="-2.42"/>
  </r>
  <r>
    <x v="11"/>
    <x v="1"/>
    <x v="0"/>
    <s v="2672200"/>
    <n v="721650"/>
    <s v="Supplies-Pharmacy Drugs - Nonbillable"/>
    <s v="Cardiology Consultants"/>
    <x v="0"/>
    <m/>
    <n v="16046.61"/>
    <n v="25999.81"/>
    <n v="7314.84"/>
    <n v="4941.13"/>
    <n v="0"/>
    <n v="0"/>
    <n v="0"/>
    <n v="0"/>
    <n v="0"/>
    <n v="0"/>
    <n v="0"/>
    <n v="0"/>
    <n v="54302.389999999992"/>
    <n v="0"/>
  </r>
  <r>
    <x v="11"/>
    <x v="1"/>
    <x v="0"/>
    <s v="2672200"/>
    <n v="721650"/>
    <s v="Radioactive Material"/>
    <s v="Cardiology Consultants"/>
    <x v="0"/>
    <n v="1001"/>
    <n v="0"/>
    <n v="0"/>
    <n v="0"/>
    <n v="0"/>
    <n v="0"/>
    <n v="0"/>
    <n v="2854.86"/>
    <n v="1919.62"/>
    <n v="5786.56"/>
    <n v="4527.6400000000003"/>
    <n v="0"/>
    <n v="5602.46"/>
    <n v="20691.14"/>
    <n v="-5602.46"/>
  </r>
  <r>
    <x v="11"/>
    <x v="1"/>
    <x v="0"/>
    <s v="2672200"/>
    <n v="721810"/>
    <s v="Supplies-Dietary/Cafeteria"/>
    <s v="Cardiology Consultants"/>
    <x v="0"/>
    <m/>
    <n v="60.36"/>
    <n v="0"/>
    <n v="0"/>
    <n v="0"/>
    <n v="57.12"/>
    <n v="0"/>
    <n v="68.47"/>
    <n v="85.12"/>
    <n v="0"/>
    <n v="0"/>
    <n v="0"/>
    <n v="0"/>
    <n v="271.07"/>
    <n v="0"/>
  </r>
  <r>
    <x v="11"/>
    <x v="1"/>
    <x v="0"/>
    <s v="2672200"/>
    <n v="721830"/>
    <s v="Supplies-Office"/>
    <s v="Cardiology Consultants"/>
    <x v="0"/>
    <m/>
    <n v="0"/>
    <n v="0"/>
    <n v="0"/>
    <n v="128.61000000000001"/>
    <n v="0"/>
    <n v="0"/>
    <n v="0"/>
    <n v="0"/>
    <n v="0"/>
    <n v="30.03"/>
    <n v="0"/>
    <n v="0"/>
    <n v="158.64000000000001"/>
    <n v="0"/>
  </r>
  <r>
    <x v="11"/>
    <x v="1"/>
    <x v="0"/>
    <s v="2672200"/>
    <n v="721910"/>
    <s v="Supplies-Small Equipment"/>
    <s v="Cardiology Consultants"/>
    <x v="0"/>
    <m/>
    <n v="31.5"/>
    <n v="0"/>
    <n v="2430.6"/>
    <n v="956.85"/>
    <n v="0"/>
    <n v="0"/>
    <n v="0"/>
    <n v="187.81"/>
    <n v="0"/>
    <n v="0"/>
    <n v="0"/>
    <n v="0"/>
    <n v="3606.7599999999998"/>
    <n v="0"/>
  </r>
  <r>
    <x v="11"/>
    <x v="1"/>
    <x v="0"/>
    <s v="2672200"/>
    <n v="721980"/>
    <s v="Supplies-Other"/>
    <s v="Cardiology Consultants"/>
    <x v="0"/>
    <m/>
    <n v="0"/>
    <n v="0"/>
    <n v="0"/>
    <n v="0"/>
    <n v="0"/>
    <n v="700"/>
    <n v="0"/>
    <n v="121.36"/>
    <n v="0"/>
    <n v="0"/>
    <n v="0"/>
    <n v="0"/>
    <n v="821.36"/>
    <n v="0"/>
  </r>
  <r>
    <x v="11"/>
    <x v="1"/>
    <x v="0"/>
    <s v="2672200"/>
    <n v="722000"/>
    <s v="Supplies-Freight Expense"/>
    <s v="Cardiology Consultants"/>
    <x v="0"/>
    <m/>
    <n v="37.69"/>
    <n v="0"/>
    <n v="0"/>
    <n v="0"/>
    <n v="0"/>
    <n v="0"/>
    <n v="0"/>
    <n v="0"/>
    <n v="0"/>
    <n v="0"/>
    <n v="0"/>
    <n v="0"/>
    <n v="37.69"/>
    <n v="0"/>
  </r>
  <r>
    <x v="12"/>
    <x v="1"/>
    <x v="0"/>
    <s v="2672200"/>
    <n v="730010"/>
    <s v="Rental and Leases-Building (DO NOT USE)"/>
    <s v="Cardiology Consultants"/>
    <x v="0"/>
    <m/>
    <n v="2940"/>
    <n v="490"/>
    <n v="490"/>
    <n v="0"/>
    <n v="0"/>
    <n v="980"/>
    <n v="0"/>
    <n v="980"/>
    <n v="490"/>
    <n v="0"/>
    <n v="490"/>
    <n v="490"/>
    <n v="7350"/>
    <n v="0"/>
  </r>
  <r>
    <x v="12"/>
    <x v="1"/>
    <x v="0"/>
    <s v="2672200"/>
    <n v="730020"/>
    <s v="Rental and Leases-Equipment (DO NOT USE)"/>
    <s v="Cardiology Consultants"/>
    <x v="0"/>
    <m/>
    <n v="0"/>
    <n v="0"/>
    <n v="0"/>
    <n v="66.22"/>
    <n v="0"/>
    <n v="0"/>
    <n v="0"/>
    <n v="0"/>
    <n v="0"/>
    <n v="0"/>
    <n v="0"/>
    <n v="0"/>
    <n v="66.22"/>
    <n v="0"/>
  </r>
  <r>
    <x v="15"/>
    <x v="1"/>
    <x v="0"/>
    <s v="2672200"/>
    <n v="731065"/>
    <s v="Data Communications"/>
    <s v="Cardiology Consultants"/>
    <x v="0"/>
    <m/>
    <n v="0"/>
    <n v="0"/>
    <n v="0"/>
    <n v="0"/>
    <n v="0"/>
    <n v="14.99"/>
    <n v="0"/>
    <n v="0"/>
    <n v="0"/>
    <n v="0"/>
    <n v="0"/>
    <n v="0"/>
    <n v="14.99"/>
    <n v="0"/>
  </r>
  <r>
    <x v="13"/>
    <x v="1"/>
    <x v="0"/>
    <s v="2672200"/>
    <n v="735070"/>
    <s v="Depreciation-Movable Equipment"/>
    <s v="Cardiology Consultants"/>
    <x v="0"/>
    <m/>
    <n v="3798"/>
    <n v="3682.99"/>
    <n v="3594.12"/>
    <n v="3594.1"/>
    <n v="3594.12"/>
    <n v="3572.05"/>
    <n v="3572.08"/>
    <n v="3572.05"/>
    <n v="3572.1"/>
    <n v="3572.05"/>
    <n v="3572.1"/>
    <n v="3572.04"/>
    <n v="43267.799999999996"/>
    <n v="5.999999999994543E-2"/>
  </r>
  <r>
    <x v="0"/>
    <x v="1"/>
    <x v="0"/>
    <s v="2672200"/>
    <n v="740020"/>
    <s v="Education-Registration Fees"/>
    <s v="Cardiology Consultants"/>
    <x v="0"/>
    <m/>
    <n v="0"/>
    <n v="0"/>
    <n v="0"/>
    <n v="0"/>
    <n v="0"/>
    <n v="0"/>
    <n v="0"/>
    <n v="0"/>
    <n v="0"/>
    <n v="0"/>
    <n v="0"/>
    <n v="860"/>
    <n v="860"/>
    <n v="-860"/>
  </r>
  <r>
    <x v="0"/>
    <x v="1"/>
    <x v="0"/>
    <s v="2672200"/>
    <n v="740022"/>
    <s v="Education-Physician"/>
    <s v="Cardiology Consultants"/>
    <x v="0"/>
    <m/>
    <n v="849"/>
    <n v="2203"/>
    <n v="0"/>
    <n v="0"/>
    <n v="0"/>
    <n v="0"/>
    <n v="0"/>
    <n v="0"/>
    <n v="0"/>
    <n v="0"/>
    <n v="0"/>
    <n v="0"/>
    <n v="3052"/>
    <n v="0"/>
  </r>
  <r>
    <x v="0"/>
    <x v="1"/>
    <x v="0"/>
    <s v="2672200"/>
    <n v="740022"/>
    <s v="Books-Physician"/>
    <s v="Cardiology Consultants"/>
    <x v="0"/>
    <n v="2000"/>
    <n v="0"/>
    <n v="0"/>
    <n v="0"/>
    <n v="0"/>
    <n v="0"/>
    <n v="4563.2299999999996"/>
    <n v="0"/>
    <n v="896.25"/>
    <n v="0"/>
    <n v="2405"/>
    <n v="0"/>
    <n v="550"/>
    <n v="8414.48"/>
    <n v="-550"/>
  </r>
  <r>
    <x v="0"/>
    <x v="1"/>
    <x v="0"/>
    <s v="2672200"/>
    <n v="740023"/>
    <s v="Education-Advanced Practice Clinician"/>
    <s v="Cardiology Consultants"/>
    <x v="0"/>
    <m/>
    <n v="255"/>
    <n v="0"/>
    <n v="510"/>
    <n v="734.64"/>
    <n v="255"/>
    <n v="0"/>
    <n v="0"/>
    <n v="0"/>
    <n v="0"/>
    <n v="630"/>
    <n v="0"/>
    <n v="700"/>
    <n v="3084.64"/>
    <n v="-700"/>
  </r>
  <r>
    <x v="0"/>
    <x v="1"/>
    <x v="0"/>
    <s v="2672200"/>
    <n v="740023"/>
    <s v="Books-Advanced Practice Clinician"/>
    <s v="Cardiology Consultants"/>
    <x v="0"/>
    <n v="2000"/>
    <n v="0"/>
    <n v="0"/>
    <n v="0"/>
    <n v="0"/>
    <n v="459"/>
    <n v="0"/>
    <n v="0"/>
    <n v="0"/>
    <n v="0"/>
    <n v="0"/>
    <n v="0"/>
    <n v="0"/>
    <n v="459"/>
    <n v="0"/>
  </r>
  <r>
    <x v="8"/>
    <x v="1"/>
    <x v="0"/>
    <s v="2672200"/>
    <n v="741012"/>
    <s v="Physician Liab Insurance-CHI Program"/>
    <s v="Cardiology Consultants"/>
    <x v="0"/>
    <m/>
    <n v="7225.69"/>
    <n v="6739.05"/>
    <n v="7921.39"/>
    <n v="7921.39"/>
    <n v="7921.4"/>
    <n v="7921.39"/>
    <n v="7921.4"/>
    <n v="7921.38"/>
    <n v="7921.4"/>
    <n v="6730.08"/>
    <n v="6611.37"/>
    <n v="6521.8"/>
    <n v="89277.739999999991"/>
    <n v="89.569999999999709"/>
  </r>
  <r>
    <x v="0"/>
    <x v="1"/>
    <x v="0"/>
    <s v="2672200"/>
    <n v="743022"/>
    <s v="Dues-Physician"/>
    <s v="Cardiology Consultants"/>
    <x v="0"/>
    <m/>
    <n v="0"/>
    <n v="0"/>
    <n v="0"/>
    <n v="0"/>
    <n v="1035"/>
    <n v="2655"/>
    <n v="0"/>
    <n v="7810"/>
    <n v="695"/>
    <n v="0"/>
    <n v="0"/>
    <n v="384"/>
    <n v="12579"/>
    <n v="-384"/>
  </r>
  <r>
    <x v="0"/>
    <x v="1"/>
    <x v="0"/>
    <s v="2672200"/>
    <n v="743023"/>
    <s v="Dues-Advanced Practice Clinician"/>
    <s v="Cardiology Consultants"/>
    <x v="0"/>
    <m/>
    <n v="0"/>
    <n v="0"/>
    <n v="0"/>
    <n v="0"/>
    <n v="445"/>
    <n v="0"/>
    <n v="0"/>
    <n v="1768.25"/>
    <n v="105"/>
    <n v="0"/>
    <n v="78"/>
    <n v="0"/>
    <n v="2396.25"/>
    <n v="78"/>
  </r>
  <r>
    <x v="0"/>
    <x v="1"/>
    <x v="0"/>
    <s v="2672200"/>
    <n v="743042"/>
    <s v="Subscriptions-Physician"/>
    <s v="Cardiology Consultants"/>
    <x v="0"/>
    <m/>
    <n v="0"/>
    <n v="0"/>
    <n v="0"/>
    <n v="0"/>
    <n v="0"/>
    <n v="0"/>
    <n v="0"/>
    <n v="399"/>
    <n v="0"/>
    <n v="1185.94"/>
    <n v="0"/>
    <n v="1629.42"/>
    <n v="3214.36"/>
    <n v="-1629.42"/>
  </r>
  <r>
    <x v="0"/>
    <x v="1"/>
    <x v="0"/>
    <s v="2672200"/>
    <n v="743043"/>
    <s v="Subscriptions-Advanced Practice Clinician"/>
    <s v="Cardiology Consultants"/>
    <x v="0"/>
    <m/>
    <n v="0"/>
    <n v="0"/>
    <n v="0"/>
    <n v="0"/>
    <n v="0"/>
    <n v="0"/>
    <n v="0"/>
    <n v="0"/>
    <n v="164.9"/>
    <n v="0"/>
    <n v="0"/>
    <n v="0"/>
    <n v="164.9"/>
    <n v="0"/>
  </r>
  <r>
    <x v="0"/>
    <x v="1"/>
    <x v="0"/>
    <s v="2672200"/>
    <n v="749510"/>
    <s v="Miscellaneous Expenses"/>
    <s v="Cardiology Consultants"/>
    <x v="0"/>
    <m/>
    <n v="-3566.1"/>
    <n v="-326.39"/>
    <n v="-320.52999999999997"/>
    <n v="4748.6099999999997"/>
    <n v="4589.1899999999996"/>
    <n v="-4677.9799999999996"/>
    <n v="2709.66"/>
    <n v="-1153.75"/>
    <n v="943.32"/>
    <n v="-1738.7"/>
    <n v="3307.96"/>
    <n v="4395.47"/>
    <n v="8910.76"/>
    <n v="-1087.5100000000002"/>
  </r>
  <r>
    <x v="0"/>
    <x v="1"/>
    <x v="0"/>
    <s v="2672200"/>
    <n v="749510"/>
    <s v="Licenses"/>
    <s v="Cardiology Consultants"/>
    <x v="0"/>
    <n v="1002"/>
    <n v="0"/>
    <n v="0"/>
    <n v="0"/>
    <n v="0"/>
    <n v="0"/>
    <n v="6683"/>
    <n v="357"/>
    <n v="0"/>
    <n v="0"/>
    <n v="0"/>
    <n v="150"/>
    <n v="0"/>
    <n v="7190"/>
    <n v="150"/>
  </r>
  <r>
    <x v="0"/>
    <x v="1"/>
    <x v="0"/>
    <s v="2672200"/>
    <n v="749512"/>
    <s v="Licenses-Physician"/>
    <s v="Cardiology Consultants"/>
    <x v="0"/>
    <n v="2000"/>
    <n v="0"/>
    <n v="0"/>
    <n v="0"/>
    <n v="657"/>
    <n v="0"/>
    <n v="657"/>
    <n v="0"/>
    <n v="1152.5"/>
    <n v="0"/>
    <n v="1388"/>
    <n v="0"/>
    <n v="0"/>
    <n v="3854.5"/>
    <n v="0"/>
  </r>
  <r>
    <x v="0"/>
    <x v="1"/>
    <x v="0"/>
    <s v="2672200"/>
    <n v="749513"/>
    <s v="Licenses-Advanced Practice Clinician"/>
    <s v="Cardiology Consultants"/>
    <x v="0"/>
    <n v="2000"/>
    <n v="0"/>
    <n v="250"/>
    <n v="202"/>
    <n v="0"/>
    <n v="0"/>
    <n v="0"/>
    <n v="0"/>
    <n v="0"/>
    <n v="0"/>
    <n v="120"/>
    <n v="250"/>
    <n v="731"/>
    <n v="1553"/>
    <n v="-481"/>
  </r>
  <r>
    <x v="0"/>
    <x v="1"/>
    <x v="0"/>
    <s v="2672200"/>
    <n v="749530"/>
    <s v="Travel"/>
    <s v="Cardiology Consultants"/>
    <x v="0"/>
    <m/>
    <n v="0"/>
    <n v="0"/>
    <n v="0"/>
    <n v="0"/>
    <n v="5"/>
    <n v="0"/>
    <n v="12"/>
    <n v="0"/>
    <n v="10"/>
    <n v="10"/>
    <n v="0"/>
    <n v="1481.19"/>
    <n v="1518.19"/>
    <n v="-1481.19"/>
  </r>
  <r>
    <x v="0"/>
    <x v="1"/>
    <x v="0"/>
    <s v="2672200"/>
    <n v="749530"/>
    <s v="Mileage"/>
    <s v="Cardiology Consultants"/>
    <x v="0"/>
    <n v="1001"/>
    <n v="0"/>
    <n v="345.03"/>
    <n v="1011.76"/>
    <n v="437.2"/>
    <n v="708.13"/>
    <n v="179.89"/>
    <n v="1358.41"/>
    <n v="128.76"/>
    <n v="588.70000000000005"/>
    <n v="1149.56"/>
    <n v="243.6"/>
    <n v="569.55999999999995"/>
    <n v="6720.6"/>
    <n v="-325.95999999999992"/>
  </r>
  <r>
    <x v="0"/>
    <x v="1"/>
    <x v="0"/>
    <s v="2672200"/>
    <n v="749532"/>
    <s v="Travel-Physician"/>
    <s v="Cardiology Consultants"/>
    <x v="0"/>
    <m/>
    <n v="1614.56"/>
    <n v="637.97"/>
    <n v="49.5"/>
    <n v="4308.4399999999996"/>
    <n v="22"/>
    <n v="644.15"/>
    <n v="0"/>
    <n v="1121.8"/>
    <n v="281.60000000000002"/>
    <n v="828.78"/>
    <n v="147.18"/>
    <n v="1215.78"/>
    <n v="10871.76"/>
    <n v="-1068.5999999999999"/>
  </r>
  <r>
    <x v="0"/>
    <x v="1"/>
    <x v="0"/>
    <s v="2672200"/>
    <n v="749532"/>
    <s v="Business Meals-Physician"/>
    <s v="Cardiology Consultants"/>
    <x v="0"/>
    <n v="2000"/>
    <n v="0"/>
    <n v="0"/>
    <n v="0"/>
    <n v="0"/>
    <n v="0"/>
    <n v="0"/>
    <n v="0"/>
    <n v="0"/>
    <n v="0"/>
    <n v="0"/>
    <n v="0"/>
    <n v="802.16"/>
    <n v="802.16"/>
    <n v="-802.16"/>
  </r>
  <r>
    <x v="0"/>
    <x v="1"/>
    <x v="0"/>
    <s v="2672200"/>
    <n v="749532"/>
    <s v="Vehicle Expense-Physician"/>
    <s v="Cardiology Consultants"/>
    <x v="0"/>
    <n v="2001"/>
    <n v="0"/>
    <n v="289.43"/>
    <n v="220.22"/>
    <n v="535.74"/>
    <n v="493.81"/>
    <n v="341.73"/>
    <n v="0"/>
    <n v="0"/>
    <n v="51.04"/>
    <n v="405.42"/>
    <n v="0"/>
    <n v="405.42"/>
    <n v="2742.81"/>
    <n v="-405.42"/>
  </r>
  <r>
    <x v="0"/>
    <x v="1"/>
    <x v="0"/>
    <s v="2672200"/>
    <n v="749533"/>
    <s v="Travel-Advanced Practice Clinician"/>
    <s v="Cardiology Consultants"/>
    <x v="0"/>
    <m/>
    <n v="0"/>
    <n v="0"/>
    <n v="0"/>
    <n v="424.6"/>
    <n v="981.67"/>
    <n v="0"/>
    <n v="0"/>
    <n v="0"/>
    <n v="0"/>
    <n v="442.41"/>
    <n v="0"/>
    <n v="0"/>
    <n v="1848.68"/>
    <n v="0"/>
  </r>
  <r>
    <x v="0"/>
    <x v="1"/>
    <x v="0"/>
    <s v="2672200"/>
    <n v="749535"/>
    <s v="Meetings"/>
    <s v="Cardiology Consultants"/>
    <x v="0"/>
    <m/>
    <n v="0"/>
    <n v="0"/>
    <n v="0"/>
    <n v="0"/>
    <n v="0"/>
    <n v="0"/>
    <n v="0"/>
    <n v="0"/>
    <n v="0"/>
    <n v="0"/>
    <n v="0"/>
    <n v="100.31"/>
    <n v="100.31"/>
    <n v="-100.31"/>
  </r>
  <r>
    <x v="0"/>
    <x v="1"/>
    <x v="0"/>
    <s v="2672200"/>
    <n v="766010"/>
    <s v="Property Tax"/>
    <s v="Cardiology Consultants"/>
    <x v="0"/>
    <m/>
    <n v="288.13"/>
    <n v="288.13"/>
    <n v="288.13"/>
    <n v="288.13"/>
    <n v="288.13"/>
    <n v="288.13"/>
    <n v="288.13"/>
    <n v="288.13"/>
    <n v="288.14"/>
    <n v="619.38"/>
    <n v="370.94"/>
    <n v="370.94"/>
    <n v="3954.4400000000005"/>
    <n v="0"/>
  </r>
  <r>
    <x v="9"/>
    <x v="1"/>
    <x v="0"/>
    <s v="2672200"/>
    <n v="800015"/>
    <s v="Interest Income-Ext to CHI"/>
    <s v="Cardiology Consultants"/>
    <x v="0"/>
    <m/>
    <n v="-149.05000000000001"/>
    <n v="-135.97999999999999"/>
    <n v="-184.68"/>
    <n v="-256.31"/>
    <n v="-232.3"/>
    <n v="-224.88"/>
    <n v="-209.73"/>
    <n v="-176.81"/>
    <n v="-240.54"/>
    <n v="-264.77"/>
    <n v="-255.02"/>
    <n v="-228.82"/>
    <n v="-2558.89"/>
    <n v="-26.200000000000017"/>
  </r>
  <r>
    <x v="1"/>
    <x v="1"/>
    <x v="0"/>
    <s v="2673200"/>
    <n v="400029"/>
    <s v="MD Practice Other Rev--Medicare"/>
    <s v="Orthopaedic Surgery-HHP"/>
    <x v="0"/>
    <n v="1100"/>
    <n v="0"/>
    <n v="0"/>
    <n v="0"/>
    <n v="-114"/>
    <n v="58"/>
    <n v="-61"/>
    <n v="-195"/>
    <n v="0"/>
    <n v="0"/>
    <n v="0"/>
    <n v="0"/>
    <n v="0"/>
    <n v="-312"/>
    <n v="0"/>
  </r>
  <r>
    <x v="1"/>
    <x v="1"/>
    <x v="0"/>
    <s v="2673200"/>
    <n v="400029"/>
    <s v="MD Practice Other Rev--Comm Insurance"/>
    <s v="Orthopaedic Surgery-HHP"/>
    <x v="0"/>
    <n v="1300"/>
    <n v="0"/>
    <n v="0"/>
    <n v="-84"/>
    <n v="0"/>
    <n v="80"/>
    <n v="0"/>
    <n v="0"/>
    <n v="0"/>
    <n v="0"/>
    <n v="0"/>
    <n v="0"/>
    <n v="0"/>
    <n v="-4"/>
    <n v="0"/>
  </r>
  <r>
    <x v="1"/>
    <x v="1"/>
    <x v="0"/>
    <s v="2673200"/>
    <n v="400029"/>
    <s v="MD Practice Other Rev--Self Pay"/>
    <s v="Orthopaedic Surgery-HHP"/>
    <x v="0"/>
    <n v="1500"/>
    <n v="0"/>
    <n v="0"/>
    <n v="84"/>
    <n v="0"/>
    <n v="0"/>
    <n v="0"/>
    <n v="0"/>
    <n v="0"/>
    <n v="0"/>
    <n v="0"/>
    <n v="0"/>
    <n v="0"/>
    <n v="84"/>
    <n v="0"/>
  </r>
  <r>
    <x v="1"/>
    <x v="1"/>
    <x v="0"/>
    <s v="2673200"/>
    <n v="400040"/>
    <s v="Physician Svcs Rev--Medicare"/>
    <s v="Orthopaedic Surgery-HHP"/>
    <x v="0"/>
    <n v="1100"/>
    <n v="-22843"/>
    <n v="-30267"/>
    <n v="-28248"/>
    <n v="-3366"/>
    <n v="87119.72"/>
    <n v="0"/>
    <n v="0"/>
    <n v="0"/>
    <n v="0"/>
    <n v="0"/>
    <n v="0"/>
    <n v="0"/>
    <n v="2395.7200000000012"/>
    <n v="0"/>
  </r>
  <r>
    <x v="1"/>
    <x v="1"/>
    <x v="0"/>
    <s v="2673200"/>
    <n v="400040"/>
    <s v="Physician Svcs Rev--Medicaid"/>
    <s v="Orthopaedic Surgery-HHP"/>
    <x v="0"/>
    <n v="1200"/>
    <n v="0"/>
    <n v="0"/>
    <n v="0"/>
    <n v="0"/>
    <n v="90.41"/>
    <n v="0"/>
    <n v="0"/>
    <n v="0"/>
    <n v="0"/>
    <n v="0"/>
    <n v="0"/>
    <n v="0"/>
    <n v="90.41"/>
    <n v="0"/>
  </r>
  <r>
    <x v="1"/>
    <x v="1"/>
    <x v="0"/>
    <s v="2673200"/>
    <n v="400040"/>
    <s v="Physician Svcs Rev--Comm Insurance"/>
    <s v="Orthopaedic Surgery-HHP"/>
    <x v="0"/>
    <n v="1300"/>
    <n v="0"/>
    <n v="0"/>
    <n v="-436"/>
    <n v="0"/>
    <n v="0"/>
    <n v="0"/>
    <n v="0"/>
    <n v="0"/>
    <n v="0"/>
    <n v="0"/>
    <n v="0"/>
    <n v="0"/>
    <n v="-436"/>
    <n v="0"/>
  </r>
  <r>
    <x v="1"/>
    <x v="1"/>
    <x v="0"/>
    <s v="2673200"/>
    <n v="400040"/>
    <s v="Physician Svcs Rev--BCBS Comm"/>
    <s v="Orthopaedic Surgery-HHP"/>
    <x v="0"/>
    <n v="1301"/>
    <n v="-320"/>
    <n v="-9564"/>
    <n v="0"/>
    <n v="-1505"/>
    <n v="7894.11"/>
    <n v="0"/>
    <n v="0"/>
    <n v="0"/>
    <n v="0"/>
    <n v="0"/>
    <n v="0"/>
    <n v="0"/>
    <n v="-3494.8900000000003"/>
    <n v="0"/>
  </r>
  <r>
    <x v="1"/>
    <x v="1"/>
    <x v="0"/>
    <s v="2673200"/>
    <n v="400040"/>
    <s v="Physician Svcs Rev--Managed Care"/>
    <s v="Orthopaedic Surgery-HHP"/>
    <x v="0"/>
    <n v="1400"/>
    <n v="-468"/>
    <n v="-6448"/>
    <n v="-7447"/>
    <n v="0"/>
    <n v="15309.71"/>
    <n v="0"/>
    <n v="0"/>
    <n v="0"/>
    <n v="0"/>
    <n v="1204"/>
    <n v="0"/>
    <n v="0"/>
    <n v="2150.7099999999991"/>
    <n v="0"/>
  </r>
  <r>
    <x v="1"/>
    <x v="1"/>
    <x v="0"/>
    <s v="2673200"/>
    <n v="400040"/>
    <s v="Physician Svcs Rev--Self Pay"/>
    <s v="Orthopaedic Surgery-HHP"/>
    <x v="0"/>
    <n v="1500"/>
    <n v="0"/>
    <n v="0"/>
    <n v="436"/>
    <n v="0"/>
    <n v="82.05"/>
    <n v="0"/>
    <n v="0"/>
    <n v="0"/>
    <n v="0"/>
    <n v="0"/>
    <n v="0"/>
    <n v="0"/>
    <n v="518.04999999999995"/>
    <n v="0"/>
  </r>
  <r>
    <x v="1"/>
    <x v="1"/>
    <x v="0"/>
    <s v="2673200"/>
    <n v="400040"/>
    <s v="Physician Svcs Rev--Other"/>
    <s v="Orthopaedic Surgery-HHP"/>
    <x v="0"/>
    <n v="1700"/>
    <n v="0"/>
    <n v="-9803"/>
    <n v="-120"/>
    <n v="-6448"/>
    <n v="16371"/>
    <n v="0"/>
    <n v="0"/>
    <n v="0"/>
    <n v="0"/>
    <n v="0"/>
    <n v="0"/>
    <n v="0"/>
    <n v="0"/>
    <n v="0"/>
  </r>
  <r>
    <x v="2"/>
    <x v="1"/>
    <x v="0"/>
    <s v="2673200"/>
    <n v="450029"/>
    <s v="Contr Allow--MD Other-Medicare"/>
    <s v="Orthopaedic Surgery-HHP"/>
    <x v="0"/>
    <n v="1100"/>
    <n v="-105.23"/>
    <n v="0"/>
    <n v="0"/>
    <n v="-15.35"/>
    <n v="-9.01"/>
    <n v="22.79"/>
    <n v="377.72"/>
    <n v="0"/>
    <n v="1.47"/>
    <n v="0"/>
    <n v="0"/>
    <n v="78.53"/>
    <n v="350.92000000000007"/>
    <n v="-78.53"/>
  </r>
  <r>
    <x v="2"/>
    <x v="1"/>
    <x v="0"/>
    <s v="2673200"/>
    <n v="450029"/>
    <s v="Contr Allow--MD Other-Medicaid"/>
    <s v="Orthopaedic Surgery-HHP"/>
    <x v="0"/>
    <n v="1200"/>
    <n v="70.290000000000006"/>
    <n v="0"/>
    <n v="0"/>
    <n v="0"/>
    <n v="0"/>
    <n v="0"/>
    <n v="0"/>
    <n v="0"/>
    <n v="0"/>
    <n v="0"/>
    <n v="0"/>
    <n v="0"/>
    <n v="70.290000000000006"/>
    <n v="0"/>
  </r>
  <r>
    <x v="2"/>
    <x v="1"/>
    <x v="0"/>
    <s v="2673200"/>
    <n v="450029"/>
    <s v="Contr Allow--MD Other-Comm Insurance"/>
    <s v="Orthopaedic Surgery-HHP"/>
    <x v="0"/>
    <n v="1300"/>
    <n v="0"/>
    <n v="0"/>
    <n v="0"/>
    <n v="0"/>
    <n v="0"/>
    <n v="0"/>
    <n v="0"/>
    <n v="0"/>
    <n v="0"/>
    <n v="0"/>
    <n v="97"/>
    <n v="0"/>
    <n v="97"/>
    <n v="97"/>
  </r>
  <r>
    <x v="2"/>
    <x v="1"/>
    <x v="0"/>
    <s v="2673200"/>
    <n v="450029"/>
    <s v="Contr Allow--MD Other BCBS Comm"/>
    <s v="Orthopaedic Surgery-HHP"/>
    <x v="0"/>
    <n v="1301"/>
    <n v="-5.67"/>
    <n v="0"/>
    <n v="0"/>
    <n v="0"/>
    <n v="0"/>
    <n v="0"/>
    <n v="0"/>
    <n v="0"/>
    <n v="0"/>
    <n v="0"/>
    <n v="0"/>
    <n v="0"/>
    <n v="-5.67"/>
    <n v="0"/>
  </r>
  <r>
    <x v="2"/>
    <x v="1"/>
    <x v="0"/>
    <s v="2673200"/>
    <n v="450029"/>
    <s v="Contr Allow--MD Other-Managed Care"/>
    <s v="Orthopaedic Surgery-HHP"/>
    <x v="0"/>
    <n v="1400"/>
    <n v="93.87"/>
    <n v="25.26"/>
    <n v="0"/>
    <n v="82.98"/>
    <n v="0"/>
    <n v="-178.28"/>
    <n v="0"/>
    <n v="0"/>
    <n v="0"/>
    <n v="0"/>
    <n v="0"/>
    <n v="0"/>
    <n v="23.830000000000013"/>
    <n v="0"/>
  </r>
  <r>
    <x v="2"/>
    <x v="1"/>
    <x v="0"/>
    <s v="2673200"/>
    <n v="450029"/>
    <s v="Admin Adjust-MD Other-Self Pay"/>
    <s v="Orthopaedic Surgery-HHP"/>
    <x v="0"/>
    <n v="1600"/>
    <n v="1.1599999999999999"/>
    <n v="2.4700000000000002"/>
    <n v="-21.87"/>
    <n v="1.44"/>
    <n v="0"/>
    <n v="0"/>
    <n v="18.760000000000002"/>
    <n v="33.729999999999997"/>
    <n v="0"/>
    <n v="0"/>
    <n v="0"/>
    <n v="0"/>
    <n v="35.69"/>
    <n v="0"/>
  </r>
  <r>
    <x v="2"/>
    <x v="1"/>
    <x v="0"/>
    <s v="2673200"/>
    <n v="450040"/>
    <s v="Contr Allow--Phys Svcs--Mcare"/>
    <s v="Orthopaedic Surgery-HHP"/>
    <x v="0"/>
    <n v="1100"/>
    <n v="29365.759999999998"/>
    <n v="35317.730000000003"/>
    <n v="16216.93"/>
    <n v="10155.09"/>
    <n v="-90916.89"/>
    <n v="0"/>
    <n v="0"/>
    <n v="0"/>
    <n v="0"/>
    <n v="73.09"/>
    <n v="139.19999999999999"/>
    <n v="-3.09"/>
    <n v="347.82000000000988"/>
    <n v="142.29"/>
  </r>
  <r>
    <x v="2"/>
    <x v="1"/>
    <x v="0"/>
    <s v="2673200"/>
    <n v="450040"/>
    <s v="Contr Allow--Phys Svcs--Mcaid"/>
    <s v="Orthopaedic Surgery-HHP"/>
    <x v="0"/>
    <n v="1200"/>
    <n v="6723"/>
    <n v="0"/>
    <n v="-204.9"/>
    <n v="0"/>
    <n v="-6477.95"/>
    <n v="0"/>
    <n v="-3231.41"/>
    <n v="0"/>
    <n v="0"/>
    <n v="0"/>
    <n v="234.96"/>
    <n v="0"/>
    <n v="-2956.2999999999993"/>
    <n v="234.96"/>
  </r>
  <r>
    <x v="2"/>
    <x v="1"/>
    <x v="0"/>
    <s v="2673200"/>
    <n v="450040"/>
    <s v="Contr Allow--Phys Svcs--BCBS Comm Ins"/>
    <s v="Orthopaedic Surgery-HHP"/>
    <x v="0"/>
    <n v="1301"/>
    <n v="0.41"/>
    <n v="1274.95"/>
    <n v="7380.88"/>
    <n v="0"/>
    <n v="-7380.88"/>
    <n v="-22.19"/>
    <n v="761.98"/>
    <n v="0"/>
    <n v="0"/>
    <n v="0"/>
    <n v="-115.6"/>
    <n v="180.72"/>
    <n v="2080.2699999999995"/>
    <n v="-296.32"/>
  </r>
  <r>
    <x v="2"/>
    <x v="1"/>
    <x v="0"/>
    <s v="2673200"/>
    <n v="450040"/>
    <s v="Contr Allow--Phys Svcs--Managed Care"/>
    <s v="Orthopaedic Surgery-HHP"/>
    <x v="0"/>
    <n v="1400"/>
    <n v="2238.06"/>
    <n v="-67.11"/>
    <n v="1347.37"/>
    <n v="13049.35"/>
    <n v="-13810.33"/>
    <n v="-63.04"/>
    <n v="0"/>
    <n v="0"/>
    <n v="0"/>
    <n v="5284.71"/>
    <n v="4893.32"/>
    <n v="30"/>
    <n v="12902.329999999998"/>
    <n v="4863.32"/>
  </r>
  <r>
    <x v="2"/>
    <x v="1"/>
    <x v="0"/>
    <s v="2673200"/>
    <n v="450040"/>
    <s v="Contr Allow--Phys Svcs--BCBS Mgnd Care"/>
    <s v="Orthopaedic Surgery-HHP"/>
    <x v="0"/>
    <n v="1401"/>
    <n v="-15699.47"/>
    <n v="8293.67"/>
    <n v="1558.04"/>
    <n v="-7510.23"/>
    <n v="12845.03"/>
    <n v="3597.23"/>
    <n v="2016.34"/>
    <n v="2425.9299999999998"/>
    <n v="-16383.31"/>
    <n v="-5025.8999999999996"/>
    <n v="-3074.09"/>
    <n v="-187.94"/>
    <n v="-17144.699999999993"/>
    <n v="-2886.15"/>
  </r>
  <r>
    <x v="2"/>
    <x v="1"/>
    <x v="0"/>
    <s v="2673200"/>
    <n v="450040"/>
    <s v="Admin Adjust-Phys Svcs-Self Pay"/>
    <s v="Orthopaedic Surgery-HHP"/>
    <x v="0"/>
    <n v="1600"/>
    <n v="0.11"/>
    <n v="26.64"/>
    <n v="-158.53"/>
    <n v="0.17"/>
    <n v="-154.36000000000001"/>
    <n v="-2.09"/>
    <n v="8.68"/>
    <n v="26.11"/>
    <n v="69.209999999999994"/>
    <n v="0"/>
    <n v="9.15"/>
    <n v="0"/>
    <n v="-174.91"/>
    <n v="9.15"/>
  </r>
  <r>
    <x v="2"/>
    <x v="1"/>
    <x v="0"/>
    <s v="2673200"/>
    <n v="450040"/>
    <s v="Contr Allow--Phys Svcs--Other"/>
    <s v="Orthopaedic Surgery-HHP"/>
    <x v="0"/>
    <n v="1700"/>
    <n v="10132.94"/>
    <n v="-156.46"/>
    <n v="6420.53"/>
    <n v="180.86"/>
    <n v="-14607.12"/>
    <n v="0"/>
    <n v="358.22"/>
    <n v="4133"/>
    <n v="-2375"/>
    <n v="1131.22"/>
    <n v="0"/>
    <n v="0"/>
    <n v="5218.1900000000023"/>
    <n v="0"/>
  </r>
  <r>
    <x v="3"/>
    <x v="1"/>
    <x v="0"/>
    <s v="2673200"/>
    <n v="470040"/>
    <s v="Charity Care-Physician Svcs"/>
    <s v="Orthopaedic Surgery-HHP"/>
    <x v="0"/>
    <m/>
    <n v="-457.52"/>
    <n v="529.46"/>
    <n v="355.01"/>
    <n v="-265.62"/>
    <n v="479.18"/>
    <n v="8.67"/>
    <n v="107.05"/>
    <n v="-9.09"/>
    <n v="-373.44"/>
    <n v="-187.2"/>
    <n v="-136.97999999999999"/>
    <n v="126.67"/>
    <n v="176.18999999999988"/>
    <n v="-263.64999999999998"/>
  </r>
  <r>
    <x v="4"/>
    <x v="1"/>
    <x v="0"/>
    <s v="2673200"/>
    <n v="490010"/>
    <s v="Provision for Bad Debts"/>
    <s v="Orthopaedic Surgery-HHP"/>
    <x v="0"/>
    <m/>
    <n v="-1350.16"/>
    <n v="2245.7600000000002"/>
    <n v="-351.19"/>
    <n v="-1013.64"/>
    <n v="1353.58"/>
    <n v="1425.02"/>
    <n v="-1608.91"/>
    <n v="62.29"/>
    <n v="-1815.25"/>
    <n v="-559.23"/>
    <n v="-27.19"/>
    <n v="-235.77"/>
    <n v="-1874.6900000000003"/>
    <n v="208.58"/>
  </r>
  <r>
    <x v="5"/>
    <x v="1"/>
    <x v="0"/>
    <s v="2673200"/>
    <n v="700032"/>
    <s v="Salaries-Other Pat Care Providers-Productive"/>
    <s v="Orthopaedic Surgery-HHP"/>
    <x v="0"/>
    <m/>
    <n v="2481.6"/>
    <n v="-413.6"/>
    <n v="0"/>
    <n v="0"/>
    <n v="0"/>
    <n v="0"/>
    <n v="0"/>
    <n v="0"/>
    <n v="0"/>
    <n v="0"/>
    <n v="0"/>
    <n v="0"/>
    <n v="2068"/>
    <n v="0"/>
  </r>
  <r>
    <x v="5"/>
    <x v="1"/>
    <x v="0"/>
    <s v="2673200"/>
    <n v="700032"/>
    <s v="Salaries-Other Pat Care Providers-OT"/>
    <s v="Orthopaedic Surgery-HHP"/>
    <x v="0"/>
    <n v="1000"/>
    <n v="186.19"/>
    <n v="-31.03"/>
    <n v="0"/>
    <n v="0"/>
    <n v="0"/>
    <n v="0"/>
    <n v="0"/>
    <n v="0"/>
    <n v="0"/>
    <n v="0"/>
    <n v="0"/>
    <n v="0"/>
    <n v="155.16"/>
    <n v="0"/>
  </r>
  <r>
    <x v="5"/>
    <x v="1"/>
    <x v="0"/>
    <s v="2673200"/>
    <n v="700032"/>
    <s v="Salaries-Other Pat Care Providers-Other"/>
    <s v="Orthopaedic Surgery-HHP"/>
    <x v="0"/>
    <n v="2000"/>
    <n v="5.4"/>
    <n v="-0.9"/>
    <n v="0"/>
    <n v="0"/>
    <n v="0"/>
    <n v="0"/>
    <n v="0"/>
    <n v="0"/>
    <n v="0"/>
    <n v="0"/>
    <n v="0"/>
    <n v="0"/>
    <n v="4.5"/>
    <n v="0"/>
  </r>
  <r>
    <x v="5"/>
    <x v="1"/>
    <x v="0"/>
    <s v="2673200"/>
    <n v="700038"/>
    <s v="Salaries-Service/Support-Productive"/>
    <s v="Orthopaedic Surgery-HHP"/>
    <x v="0"/>
    <m/>
    <n v="1293.49"/>
    <n v="244.44"/>
    <n v="-81.48"/>
    <n v="0"/>
    <n v="0"/>
    <n v="0"/>
    <n v="0"/>
    <n v="0"/>
    <n v="0"/>
    <n v="0"/>
    <n v="0"/>
    <n v="0"/>
    <n v="1456.45"/>
    <n v="0"/>
  </r>
  <r>
    <x v="5"/>
    <x v="1"/>
    <x v="0"/>
    <s v="2673200"/>
    <n v="700072"/>
    <s v="Salaries-Other Pat Care Providers-Non-productive"/>
    <s v="Orthopaedic Surgery-HHP"/>
    <x v="0"/>
    <m/>
    <n v="0"/>
    <n v="0"/>
    <n v="0"/>
    <n v="0"/>
    <n v="0"/>
    <n v="39.75"/>
    <n v="0"/>
    <n v="0"/>
    <n v="0"/>
    <n v="0"/>
    <n v="0"/>
    <n v="0"/>
    <n v="39.75"/>
    <n v="0"/>
  </r>
  <r>
    <x v="5"/>
    <x v="1"/>
    <x v="0"/>
    <s v="2673200"/>
    <n v="700078"/>
    <s v="Salaries-Service/Support-Non-productive"/>
    <s v="Orthopaedic Surgery-HHP"/>
    <x v="0"/>
    <m/>
    <n v="368.7"/>
    <n v="461.39"/>
    <n v="246.99"/>
    <n v="78.94"/>
    <n v="0"/>
    <n v="0"/>
    <n v="0"/>
    <n v="0"/>
    <n v="0"/>
    <n v="0"/>
    <n v="0"/>
    <n v="0"/>
    <n v="1156.02"/>
    <n v="0"/>
  </r>
  <r>
    <x v="5"/>
    <x v="1"/>
    <x v="0"/>
    <s v="2673200"/>
    <n v="700084"/>
    <s v="Accrued PTO"/>
    <s v="Orthopaedic Surgery-HHP"/>
    <x v="0"/>
    <m/>
    <n v="-387.18"/>
    <n v="-382.45"/>
    <n v="-114.88"/>
    <n v="-277.73"/>
    <n v="522.58000000000004"/>
    <n v="0"/>
    <n v="0"/>
    <n v="0"/>
    <n v="0"/>
    <n v="0"/>
    <n v="0"/>
    <n v="0"/>
    <n v="-639.66"/>
    <n v="0"/>
  </r>
  <r>
    <x v="6"/>
    <x v="1"/>
    <x v="0"/>
    <s v="2673200"/>
    <n v="713010"/>
    <s v="Benefits-FICA/Medicare"/>
    <s v="Orthopaedic Surgery-HHP"/>
    <x v="0"/>
    <m/>
    <n v="321.38"/>
    <n v="18.21"/>
    <n v="12.05"/>
    <n v="5.77"/>
    <n v="0"/>
    <n v="2.97"/>
    <n v="0"/>
    <n v="0"/>
    <n v="0"/>
    <n v="0"/>
    <n v="0"/>
    <n v="0"/>
    <n v="360.38"/>
    <n v="0"/>
  </r>
  <r>
    <x v="6"/>
    <x v="1"/>
    <x v="0"/>
    <s v="2673200"/>
    <n v="713090"/>
    <s v="Benefits-Allocated Amounts"/>
    <s v="Orthopaedic Surgery-HHP"/>
    <x v="0"/>
    <m/>
    <n v="0"/>
    <n v="0"/>
    <n v="0"/>
    <n v="0"/>
    <n v="1339.56"/>
    <n v="-133749.59"/>
    <n v="-28264.12"/>
    <n v="-25863.98"/>
    <n v="187951.61"/>
    <n v="-58.41"/>
    <n v="20.92"/>
    <n v="-143.82"/>
    <n v="1232.1699999999814"/>
    <n v="164.74"/>
  </r>
  <r>
    <x v="6"/>
    <x v="1"/>
    <x v="0"/>
    <s v="2673200"/>
    <n v="713092"/>
    <s v="Allocated Benefits-Physician"/>
    <s v="Orthopaedic Surgery-HHP"/>
    <x v="0"/>
    <m/>
    <n v="1124.79"/>
    <n v="105.44"/>
    <n v="64.349999999999994"/>
    <n v="70.17"/>
    <n v="-1364.75"/>
    <n v="58729.84"/>
    <n v="12427.93"/>
    <n v="11370.39"/>
    <n v="-82528.160000000003"/>
    <n v="0"/>
    <n v="0"/>
    <n v="0"/>
    <n v="-1.4551915228366852E-11"/>
    <n v="0"/>
  </r>
  <r>
    <x v="6"/>
    <x v="1"/>
    <x v="0"/>
    <s v="2673200"/>
    <n v="713093"/>
    <s v="Allocated Benefits-Advanced Practice Clinician"/>
    <s v="Orthopaedic Surgery-HHP"/>
    <x v="0"/>
    <m/>
    <n v="0"/>
    <n v="0"/>
    <n v="0"/>
    <n v="0"/>
    <n v="0"/>
    <n v="75033.94"/>
    <n v="15878.07"/>
    <n v="14526.95"/>
    <n v="-105438.96"/>
    <n v="0"/>
    <n v="0"/>
    <n v="0"/>
    <n v="0"/>
    <n v="0"/>
  </r>
  <r>
    <x v="7"/>
    <x v="1"/>
    <x v="0"/>
    <s v="2673200"/>
    <n v="718050"/>
    <s v="Document Shredding/Storage"/>
    <s v="Orthopaedic Surgery-HHP"/>
    <x v="0"/>
    <n v="1012"/>
    <n v="0"/>
    <n v="90.63"/>
    <n v="28.25"/>
    <n v="29.23"/>
    <n v="-148.11000000000001"/>
    <n v="0"/>
    <n v="0"/>
    <n v="0"/>
    <n v="0"/>
    <n v="0"/>
    <n v="0"/>
    <n v="0"/>
    <n v="-2.8421709430404007E-14"/>
    <n v="0"/>
  </r>
  <r>
    <x v="11"/>
    <x v="1"/>
    <x v="0"/>
    <s v="2673200"/>
    <n v="721980"/>
    <s v="Supplies-Other"/>
    <s v="Orthopaedic Surgery-HHP"/>
    <x v="0"/>
    <m/>
    <n v="0"/>
    <n v="0"/>
    <n v="175.13"/>
    <n v="15.76"/>
    <n v="-190.89"/>
    <n v="0"/>
    <n v="0"/>
    <n v="0"/>
    <n v="0"/>
    <n v="0"/>
    <n v="0"/>
    <n v="0"/>
    <n v="0"/>
    <n v="0"/>
  </r>
  <r>
    <x v="11"/>
    <x v="1"/>
    <x v="0"/>
    <s v="2673200"/>
    <n v="722000"/>
    <s v="Supplies-Freight Expense"/>
    <s v="Orthopaedic Surgery-HHP"/>
    <x v="0"/>
    <m/>
    <n v="0"/>
    <n v="0"/>
    <n v="0"/>
    <n v="22.69"/>
    <n v="-22.69"/>
    <n v="0"/>
    <n v="0"/>
    <n v="0"/>
    <n v="0"/>
    <n v="0"/>
    <n v="0"/>
    <n v="0"/>
    <n v="0"/>
    <n v="0"/>
  </r>
  <r>
    <x v="16"/>
    <x v="1"/>
    <x v="0"/>
    <s v="2673200"/>
    <n v="732030"/>
    <s v="Repairs&amp;Maintenance-Plumbing"/>
    <s v="Orthopaedic Surgery-HHP"/>
    <x v="0"/>
    <n v="5103"/>
    <n v="0"/>
    <n v="0"/>
    <n v="0"/>
    <n v="0"/>
    <n v="0"/>
    <n v="0"/>
    <n v="0"/>
    <n v="0"/>
    <n v="0"/>
    <n v="0"/>
    <n v="0"/>
    <n v="0"/>
    <n v="0"/>
    <n v="0"/>
  </r>
  <r>
    <x v="13"/>
    <x v="1"/>
    <x v="0"/>
    <s v="2673200"/>
    <n v="735070"/>
    <s v="Depreciation-Movable Equipment"/>
    <s v="Orthopaedic Surgery-HHP"/>
    <x v="0"/>
    <m/>
    <n v="950.2"/>
    <n v="796.55"/>
    <n v="796.61"/>
    <n v="796.54"/>
    <n v="730.89"/>
    <n v="607.75"/>
    <n v="-4678.54"/>
    <n v="0"/>
    <n v="0"/>
    <n v="0"/>
    <n v="0"/>
    <n v="0"/>
    <n v="0"/>
    <n v="0"/>
  </r>
  <r>
    <x v="0"/>
    <x v="1"/>
    <x v="0"/>
    <s v="2673200"/>
    <n v="766010"/>
    <s v="Property Tax"/>
    <s v="Orthopaedic Surgery-HHP"/>
    <x v="0"/>
    <m/>
    <n v="101.43"/>
    <n v="101.43"/>
    <n v="101.43"/>
    <n v="-304.29000000000002"/>
    <n v="0"/>
    <n v="0"/>
    <n v="0"/>
    <n v="0"/>
    <n v="0"/>
    <n v="0"/>
    <n v="0"/>
    <n v="0"/>
    <n v="0"/>
    <n v="0"/>
  </r>
  <r>
    <x v="1"/>
    <x v="1"/>
    <x v="0"/>
    <s v="2674200"/>
    <n v="400040"/>
    <s v="Physician Svcs Rev--Medicare"/>
    <s v="Plastic Surgery Prof Fees"/>
    <x v="0"/>
    <n v="1100"/>
    <n v="0"/>
    <n v="-197"/>
    <n v="0"/>
    <n v="0"/>
    <n v="0"/>
    <n v="0"/>
    <n v="0"/>
    <n v="0"/>
    <n v="0"/>
    <n v="0"/>
    <n v="0"/>
    <n v="197"/>
    <n v="0"/>
    <n v="-197"/>
  </r>
  <r>
    <x v="1"/>
    <x v="1"/>
    <x v="0"/>
    <s v="2674200"/>
    <n v="400040"/>
    <s v="Physician Svcs Rev--Managed Care"/>
    <s v="Plastic Surgery Prof Fees"/>
    <x v="0"/>
    <n v="1400"/>
    <n v="0"/>
    <n v="197"/>
    <n v="0"/>
    <n v="0"/>
    <n v="0"/>
    <n v="0"/>
    <n v="0"/>
    <n v="0"/>
    <n v="0"/>
    <n v="0"/>
    <n v="0"/>
    <n v="0"/>
    <n v="197"/>
    <n v="0"/>
  </r>
  <r>
    <x v="2"/>
    <x v="1"/>
    <x v="0"/>
    <s v="2674200"/>
    <n v="450040"/>
    <s v="Contr Allow--Phys Svcs--Mcare"/>
    <s v="Plastic Surgery Prof Fees"/>
    <x v="0"/>
    <n v="1100"/>
    <n v="296.43"/>
    <n v="-32.29"/>
    <n v="1930"/>
    <n v="5152.6000000000004"/>
    <n v="0"/>
    <n v="0"/>
    <n v="0"/>
    <n v="0"/>
    <n v="0"/>
    <n v="0"/>
    <n v="0"/>
    <n v="0"/>
    <n v="7346.74"/>
    <n v="0"/>
  </r>
  <r>
    <x v="2"/>
    <x v="1"/>
    <x v="0"/>
    <s v="2674200"/>
    <n v="450040"/>
    <s v="Contr Allow--Phys Svcs--Mcaid"/>
    <s v="Plastic Surgery Prof Fees"/>
    <x v="0"/>
    <n v="1200"/>
    <n v="10319.36"/>
    <n v="6150.51"/>
    <n v="0"/>
    <n v="0"/>
    <n v="0"/>
    <n v="0"/>
    <n v="0"/>
    <n v="-25.27"/>
    <n v="0"/>
    <n v="0"/>
    <n v="0"/>
    <n v="0"/>
    <n v="16444.600000000002"/>
    <n v="0"/>
  </r>
  <r>
    <x v="2"/>
    <x v="1"/>
    <x v="0"/>
    <s v="2674200"/>
    <n v="450040"/>
    <s v="Contr Allow--Phys Svcs--BCBS Comm Ins"/>
    <s v="Plastic Surgery Prof Fees"/>
    <x v="0"/>
    <n v="1301"/>
    <n v="0"/>
    <n v="0"/>
    <n v="0"/>
    <n v="0"/>
    <n v="0"/>
    <n v="-4586.03"/>
    <n v="0"/>
    <n v="0"/>
    <n v="0"/>
    <n v="0"/>
    <n v="0"/>
    <n v="0"/>
    <n v="-4586.03"/>
    <n v="0"/>
  </r>
  <r>
    <x v="2"/>
    <x v="1"/>
    <x v="0"/>
    <s v="2674200"/>
    <n v="450040"/>
    <s v="Contr Allow--Phys Svcs--Managed Care"/>
    <s v="Plastic Surgery Prof Fees"/>
    <x v="0"/>
    <n v="1400"/>
    <n v="0"/>
    <n v="9529.23"/>
    <n v="0"/>
    <n v="0"/>
    <n v="0"/>
    <n v="-182.76"/>
    <n v="1484"/>
    <n v="-60.95"/>
    <n v="-117.85"/>
    <n v="0"/>
    <n v="0"/>
    <n v="0"/>
    <n v="10651.669999999998"/>
    <n v="0"/>
  </r>
  <r>
    <x v="2"/>
    <x v="1"/>
    <x v="0"/>
    <s v="2674200"/>
    <n v="450040"/>
    <s v="Contr Allow--Phys Svcs--BCBS Mgnd Care"/>
    <s v="Plastic Surgery Prof Fees"/>
    <x v="0"/>
    <n v="1401"/>
    <n v="-6709.19"/>
    <n v="-12892.01"/>
    <n v="-829.35"/>
    <n v="-3835.3"/>
    <n v="-0.1"/>
    <n v="2794.52"/>
    <n v="-617.86"/>
    <n v="50.32"/>
    <n v="140.19"/>
    <n v="-16.399999999999999"/>
    <n v="51.16"/>
    <n v="-123.24"/>
    <n v="-21987.260000000002"/>
    <n v="174.39999999999998"/>
  </r>
  <r>
    <x v="2"/>
    <x v="1"/>
    <x v="0"/>
    <s v="2674200"/>
    <n v="450040"/>
    <s v="Admin Adjust-Phys Svcs-Self Pay"/>
    <s v="Plastic Surgery Prof Fees"/>
    <x v="0"/>
    <n v="1600"/>
    <n v="0"/>
    <n v="7705.92"/>
    <n v="151.66"/>
    <n v="0"/>
    <n v="59.08"/>
    <n v="14.66"/>
    <n v="0"/>
    <n v="0"/>
    <n v="0"/>
    <n v="0"/>
    <n v="0.02"/>
    <n v="0"/>
    <n v="7931.34"/>
    <n v="0.02"/>
  </r>
  <r>
    <x v="2"/>
    <x v="1"/>
    <x v="0"/>
    <s v="2674200"/>
    <n v="450040"/>
    <s v="Contr Allow--Phys Svcs--Other"/>
    <s v="Plastic Surgery Prof Fees"/>
    <x v="0"/>
    <n v="1700"/>
    <n v="0"/>
    <n v="0"/>
    <n v="0"/>
    <n v="0"/>
    <n v="0"/>
    <n v="0"/>
    <n v="0"/>
    <n v="0"/>
    <n v="0"/>
    <n v="0"/>
    <n v="0"/>
    <n v="0"/>
    <n v="0"/>
    <n v="0"/>
  </r>
  <r>
    <x v="3"/>
    <x v="1"/>
    <x v="0"/>
    <s v="2674200"/>
    <n v="470040"/>
    <s v="Charity Care-Physician Svcs"/>
    <s v="Plastic Surgery Prof Fees"/>
    <x v="0"/>
    <m/>
    <n v="-270"/>
    <n v="-359.26"/>
    <n v="-43.83"/>
    <n v="-133.24"/>
    <n v="0.73"/>
    <n v="-650.9"/>
    <n v="-23.16"/>
    <n v="-5.03"/>
    <n v="17.62"/>
    <n v="-5.31"/>
    <n v="-10.14"/>
    <n v="12.95"/>
    <n v="-1469.5700000000002"/>
    <n v="-23.09"/>
  </r>
  <r>
    <x v="4"/>
    <x v="1"/>
    <x v="0"/>
    <s v="2674200"/>
    <n v="490010"/>
    <s v="Provision for Bad Debts"/>
    <s v="Plastic Surgery Prof Fees"/>
    <x v="0"/>
    <m/>
    <n v="-655.16999999999996"/>
    <n v="-1901.1"/>
    <n v="-185.93"/>
    <n v="-1255.01"/>
    <n v="-68.540000000000006"/>
    <n v="401.23"/>
    <n v="-180.78"/>
    <n v="-70.400000000000006"/>
    <n v="-68.05"/>
    <n v="-7.47"/>
    <n v="-3.27"/>
    <n v="2.4700000000000002"/>
    <n v="-3992.0200000000004"/>
    <n v="-5.74"/>
  </r>
  <r>
    <x v="7"/>
    <x v="1"/>
    <x v="0"/>
    <s v="2674200"/>
    <n v="718050"/>
    <s v="Miscellaneous Purchased Svcs"/>
    <s v="Plastic Surgery Prof Fees"/>
    <x v="0"/>
    <n v="1020"/>
    <n v="0"/>
    <n v="99.92"/>
    <n v="0"/>
    <n v="0"/>
    <n v="-99.92"/>
    <n v="0"/>
    <n v="0"/>
    <n v="0"/>
    <n v="0"/>
    <n v="0"/>
    <n v="0"/>
    <n v="0"/>
    <n v="0"/>
    <n v="0"/>
  </r>
  <r>
    <x v="13"/>
    <x v="1"/>
    <x v="0"/>
    <s v="2674200"/>
    <n v="735070"/>
    <s v="Depreciation-Movable Equipment"/>
    <s v="Plastic Surgery Prof Fees"/>
    <x v="0"/>
    <m/>
    <n v="652.39"/>
    <n v="652.39"/>
    <n v="652.39"/>
    <n v="652.39"/>
    <n v="652.39"/>
    <n v="652.38"/>
    <n v="-3914.33"/>
    <n v="0"/>
    <n v="0"/>
    <n v="0"/>
    <n v="0"/>
    <n v="0"/>
    <n v="0"/>
    <n v="0"/>
  </r>
  <r>
    <x v="0"/>
    <x v="1"/>
    <x v="0"/>
    <s v="2674200"/>
    <n v="766010"/>
    <s v="Property Tax"/>
    <s v="Plastic Surgery Prof Fees"/>
    <x v="0"/>
    <m/>
    <n v="42.23"/>
    <n v="42.23"/>
    <n v="42.23"/>
    <n v="-126.69"/>
    <n v="0"/>
    <n v="0"/>
    <n v="0"/>
    <n v="0"/>
    <n v="0"/>
    <n v="0"/>
    <n v="0"/>
    <n v="0"/>
    <n v="0"/>
    <n v="0"/>
  </r>
  <r>
    <x v="1"/>
    <x v="1"/>
    <x v="0"/>
    <s v="2675200"/>
    <n v="400029"/>
    <s v="MD Practice Other Rev--Medicare"/>
    <s v="Pulmon &amp; Sleep Med Brem"/>
    <x v="0"/>
    <n v="1100"/>
    <n v="-679"/>
    <n v="-800"/>
    <n v="-567"/>
    <n v="-593"/>
    <n v="-597"/>
    <n v="-603"/>
    <n v="-827"/>
    <n v="-574"/>
    <n v="-702"/>
    <n v="-823"/>
    <n v="-900"/>
    <n v="-648"/>
    <n v="-8313"/>
    <n v="-252"/>
  </r>
  <r>
    <x v="1"/>
    <x v="1"/>
    <x v="0"/>
    <s v="2675200"/>
    <n v="400029"/>
    <s v="MD Practice Other Rev--Medicaid"/>
    <s v="Pulmon &amp; Sleep Med Brem"/>
    <x v="0"/>
    <n v="1200"/>
    <n v="-162"/>
    <n v="-287"/>
    <n v="-144"/>
    <n v="-207"/>
    <n v="-108"/>
    <n v="-126"/>
    <n v="-144"/>
    <n v="-243"/>
    <n v="-189"/>
    <n v="-148"/>
    <n v="-216"/>
    <n v="-72"/>
    <n v="-2046"/>
    <n v="-144"/>
  </r>
  <r>
    <x v="1"/>
    <x v="1"/>
    <x v="0"/>
    <s v="2675200"/>
    <n v="400029"/>
    <s v="MD Practice Other Rev--Comm Insurance"/>
    <s v="Pulmon &amp; Sleep Med Brem"/>
    <x v="0"/>
    <n v="1300"/>
    <n v="0"/>
    <n v="22"/>
    <n v="-18"/>
    <n v="-18"/>
    <n v="-18"/>
    <n v="-18"/>
    <n v="-36"/>
    <n v="0"/>
    <n v="-18"/>
    <n v="-45"/>
    <n v="-27"/>
    <n v="-18"/>
    <n v="-194"/>
    <n v="-9"/>
  </r>
  <r>
    <x v="1"/>
    <x v="1"/>
    <x v="0"/>
    <s v="2675200"/>
    <n v="400029"/>
    <s v="MD Practice Other Rev--BCBS Comm"/>
    <s v="Pulmon &amp; Sleep Med Brem"/>
    <x v="0"/>
    <n v="1301"/>
    <n v="-27"/>
    <n v="-18"/>
    <n v="-36"/>
    <n v="-27"/>
    <n v="-27"/>
    <n v="0"/>
    <n v="-27"/>
    <n v="-27"/>
    <n v="-18"/>
    <n v="-18"/>
    <n v="-36"/>
    <n v="-36"/>
    <n v="-297"/>
    <n v="0"/>
  </r>
  <r>
    <x v="1"/>
    <x v="1"/>
    <x v="0"/>
    <s v="2675200"/>
    <n v="400029"/>
    <s v="MD Practice Other Rev--Managed Care"/>
    <s v="Pulmon &amp; Sleep Med Brem"/>
    <x v="0"/>
    <n v="1400"/>
    <n v="-135"/>
    <n v="-118"/>
    <n v="-72"/>
    <n v="-81"/>
    <n v="-152"/>
    <n v="-162"/>
    <n v="-144"/>
    <n v="-72"/>
    <n v="-126"/>
    <n v="-90"/>
    <n v="-135"/>
    <n v="-90"/>
    <n v="-1377"/>
    <n v="-45"/>
  </r>
  <r>
    <x v="1"/>
    <x v="1"/>
    <x v="0"/>
    <s v="2675200"/>
    <n v="400029"/>
    <s v="MD Practice Other Rev--Self Pay"/>
    <s v="Pulmon &amp; Sleep Med Brem"/>
    <x v="0"/>
    <n v="1500"/>
    <n v="0"/>
    <n v="0"/>
    <n v="0"/>
    <n v="0"/>
    <n v="-18"/>
    <n v="0"/>
    <n v="-18"/>
    <n v="0"/>
    <n v="-9"/>
    <n v="0"/>
    <n v="0"/>
    <n v="0"/>
    <n v="-45"/>
    <n v="0"/>
  </r>
  <r>
    <x v="1"/>
    <x v="1"/>
    <x v="0"/>
    <s v="2675200"/>
    <n v="400029"/>
    <s v="MD Practice Other Rev--Other"/>
    <s v="Pulmon &amp; Sleep Med Brem"/>
    <x v="0"/>
    <n v="1700"/>
    <n v="-103"/>
    <n v="-161"/>
    <n v="-81"/>
    <n v="-103"/>
    <n v="-131"/>
    <n v="-99"/>
    <n v="-90"/>
    <n v="-27"/>
    <n v="-72"/>
    <n v="-81"/>
    <n v="-108"/>
    <n v="-54"/>
    <n v="-1110"/>
    <n v="-54"/>
  </r>
  <r>
    <x v="1"/>
    <x v="1"/>
    <x v="0"/>
    <s v="2675200"/>
    <n v="400040"/>
    <s v="Physician Svcs Rev--Medicare"/>
    <s v="Pulmon &amp; Sleep Med Brem"/>
    <x v="0"/>
    <n v="1100"/>
    <n v="-221380"/>
    <n v="-275050.5"/>
    <n v="-249204.5"/>
    <n v="-302148"/>
    <n v="-261555"/>
    <n v="-253574"/>
    <n v="-283143"/>
    <n v="-272282"/>
    <n v="-298695"/>
    <n v="-251009.5"/>
    <n v="-297455"/>
    <n v="-272159"/>
    <n v="-3237655.5"/>
    <n v="-25296"/>
  </r>
  <r>
    <x v="1"/>
    <x v="1"/>
    <x v="0"/>
    <s v="2675200"/>
    <n v="400040"/>
    <s v="Physician Svcs Rev--Medicaid"/>
    <s v="Pulmon &amp; Sleep Med Brem"/>
    <x v="0"/>
    <n v="1200"/>
    <n v="-44470.6"/>
    <n v="-86465.5"/>
    <n v="-73108"/>
    <n v="-75918.5"/>
    <n v="-58660"/>
    <n v="-61421.5"/>
    <n v="-57293.13"/>
    <n v="-64200"/>
    <n v="-81117.87"/>
    <n v="-59130.2"/>
    <n v="-75210.5"/>
    <n v="-64632"/>
    <n v="-801627.79999999993"/>
    <n v="-10578.5"/>
  </r>
  <r>
    <x v="1"/>
    <x v="1"/>
    <x v="0"/>
    <s v="2675200"/>
    <n v="400040"/>
    <s v="Physician Svcs Rev--Comm Insurance"/>
    <s v="Pulmon &amp; Sleep Med Brem"/>
    <x v="0"/>
    <n v="1300"/>
    <n v="-4725"/>
    <n v="-5390"/>
    <n v="-5181"/>
    <n v="-8487"/>
    <n v="-9528.5"/>
    <n v="-6611"/>
    <n v="-7271.5"/>
    <n v="-3644"/>
    <n v="-6246.5"/>
    <n v="-7544"/>
    <n v="-11071"/>
    <n v="-5992"/>
    <n v="-81691.5"/>
    <n v="-5079"/>
  </r>
  <r>
    <x v="1"/>
    <x v="1"/>
    <x v="0"/>
    <s v="2675200"/>
    <n v="400040"/>
    <s v="Physician Svcs Rev--BCBS Comm"/>
    <s v="Pulmon &amp; Sleep Med Brem"/>
    <x v="0"/>
    <n v="1301"/>
    <n v="-16884"/>
    <n v="-16649"/>
    <n v="-18529"/>
    <n v="-16257.5"/>
    <n v="-16968"/>
    <n v="-10451"/>
    <n v="-17670.5"/>
    <n v="-15167"/>
    <n v="-20457.5"/>
    <n v="-14962"/>
    <n v="-23040"/>
    <n v="-15759"/>
    <n v="-202794.5"/>
    <n v="-7281"/>
  </r>
  <r>
    <x v="1"/>
    <x v="1"/>
    <x v="0"/>
    <s v="2675200"/>
    <n v="400040"/>
    <s v="Physician Svcs Rev--Managed Care"/>
    <s v="Pulmon &amp; Sleep Med Brem"/>
    <x v="0"/>
    <n v="1400"/>
    <n v="-45278"/>
    <n v="-63847"/>
    <n v="-61176"/>
    <n v="-64914.5"/>
    <n v="-67007.5"/>
    <n v="-70778.5"/>
    <n v="-78532.5"/>
    <n v="-77012"/>
    <n v="-65037"/>
    <n v="-67901"/>
    <n v="-69438"/>
    <n v="-69993"/>
    <n v="-800915"/>
    <n v="555"/>
  </r>
  <r>
    <x v="1"/>
    <x v="1"/>
    <x v="0"/>
    <s v="2675200"/>
    <n v="400040"/>
    <s v="Physician Svcs Rev--Self Pay"/>
    <s v="Pulmon &amp; Sleep Med Brem"/>
    <x v="0"/>
    <n v="1500"/>
    <n v="-1263"/>
    <n v="-2182"/>
    <n v="-626"/>
    <n v="-3524"/>
    <n v="579"/>
    <n v="-787"/>
    <n v="-5149"/>
    <n v="-2026"/>
    <n v="-1434"/>
    <n v="-216"/>
    <n v="758"/>
    <n v="-1918"/>
    <n v="-17788"/>
    <n v="2676"/>
  </r>
  <r>
    <x v="1"/>
    <x v="1"/>
    <x v="0"/>
    <s v="2675200"/>
    <n v="400040"/>
    <s v="Physician Svcs Rev--Other"/>
    <s v="Pulmon &amp; Sleep Med Brem"/>
    <x v="0"/>
    <n v="1700"/>
    <n v="-52346.5"/>
    <n v="-57106"/>
    <n v="-58631"/>
    <n v="-67779.5"/>
    <n v="-56392.5"/>
    <n v="-49378"/>
    <n v="-48669.5"/>
    <n v="-43230"/>
    <n v="-60275.5"/>
    <n v="-48304"/>
    <n v="-66631"/>
    <n v="-52320.5"/>
    <n v="-661064"/>
    <n v="-14310.5"/>
  </r>
  <r>
    <x v="2"/>
    <x v="1"/>
    <x v="0"/>
    <s v="2675200"/>
    <n v="450029"/>
    <s v="Contr Allow--MD Other-Medicare"/>
    <s v="Pulmon &amp; Sleep Med Brem"/>
    <x v="0"/>
    <n v="1100"/>
    <n v="552.27"/>
    <n v="451.83"/>
    <n v="474.74"/>
    <n v="446.07"/>
    <n v="397.15"/>
    <n v="397.4"/>
    <n v="455.99"/>
    <n v="427.77"/>
    <n v="469.35"/>
    <n v="535.91999999999996"/>
    <n v="736.09"/>
    <n v="461.61"/>
    <n v="5806.19"/>
    <n v="274.48"/>
  </r>
  <r>
    <x v="2"/>
    <x v="1"/>
    <x v="0"/>
    <s v="2675200"/>
    <n v="450029"/>
    <s v="Contr Allow--MD Other-Medicaid"/>
    <s v="Pulmon &amp; Sleep Med Brem"/>
    <x v="0"/>
    <n v="1200"/>
    <n v="77.84"/>
    <n v="215.54"/>
    <n v="139.31"/>
    <n v="132.59"/>
    <n v="120.21"/>
    <n v="92.57"/>
    <n v="69.75"/>
    <n v="117.04"/>
    <n v="151.66"/>
    <n v="113.85"/>
    <n v="160.19"/>
    <n v="95.26"/>
    <n v="1485.81"/>
    <n v="64.929999999999993"/>
  </r>
  <r>
    <x v="2"/>
    <x v="1"/>
    <x v="0"/>
    <s v="2675200"/>
    <n v="450029"/>
    <s v="Contr Allow--MD Other-Comm Insurance"/>
    <s v="Pulmon &amp; Sleep Med Brem"/>
    <x v="0"/>
    <n v="1300"/>
    <n v="11"/>
    <n v="-13.26"/>
    <n v="5.5"/>
    <n v="5.5"/>
    <n v="11.57"/>
    <n v="5.5"/>
    <n v="27.5"/>
    <n v="5.5"/>
    <n v="5.5"/>
    <n v="27.5"/>
    <n v="11"/>
    <n v="22.63"/>
    <n v="125.44"/>
    <n v="-11.629999999999999"/>
  </r>
  <r>
    <x v="2"/>
    <x v="1"/>
    <x v="0"/>
    <s v="2675200"/>
    <n v="450029"/>
    <s v="Contr Allow--MD Other BCBS Comm"/>
    <s v="Pulmon &amp; Sleep Med Brem"/>
    <x v="0"/>
    <n v="1301"/>
    <n v="17.23"/>
    <n v="17.25"/>
    <n v="17.25"/>
    <n v="5.75"/>
    <n v="23"/>
    <n v="11.5"/>
    <n v="23"/>
    <n v="11.5"/>
    <n v="11.5"/>
    <n v="11.5"/>
    <n v="17.25"/>
    <n v="17.25"/>
    <n v="183.98000000000002"/>
    <n v="0"/>
  </r>
  <r>
    <x v="2"/>
    <x v="1"/>
    <x v="0"/>
    <s v="2675200"/>
    <n v="450029"/>
    <s v="Contr Allow--MD Other-Managed Care"/>
    <s v="Pulmon &amp; Sleep Med Brem"/>
    <x v="0"/>
    <n v="1400"/>
    <n v="95.97"/>
    <n v="89.74"/>
    <n v="66.77"/>
    <n v="52.99"/>
    <n v="72.42"/>
    <n v="100.84"/>
    <n v="65.88"/>
    <n v="67.16"/>
    <n v="98.82"/>
    <n v="67.13"/>
    <n v="74.09"/>
    <n v="83.74"/>
    <n v="935.55"/>
    <n v="-9.6499999999999915"/>
  </r>
  <r>
    <x v="2"/>
    <x v="1"/>
    <x v="0"/>
    <s v="2675200"/>
    <n v="450029"/>
    <s v="Prompt Pay Disc-MD Other-Self Pay"/>
    <s v="Pulmon &amp; Sleep Med Brem"/>
    <x v="0"/>
    <n v="1500"/>
    <n v="0"/>
    <n v="0"/>
    <n v="0"/>
    <n v="0"/>
    <n v="0"/>
    <n v="0"/>
    <n v="0"/>
    <n v="6.62"/>
    <n v="0"/>
    <n v="0"/>
    <n v="0"/>
    <n v="0"/>
    <n v="6.62"/>
    <n v="0"/>
  </r>
  <r>
    <x v="2"/>
    <x v="1"/>
    <x v="0"/>
    <s v="2675200"/>
    <n v="450029"/>
    <s v="Admin Adjust-MD Other-Self Pay"/>
    <s v="Pulmon &amp; Sleep Med Brem"/>
    <x v="0"/>
    <n v="1600"/>
    <n v="20.61"/>
    <n v="18.93"/>
    <n v="28.04"/>
    <n v="8.7100000000000009"/>
    <n v="-0.57999999999999996"/>
    <n v="2.6"/>
    <n v="17.32"/>
    <n v="2.15"/>
    <n v="13.47"/>
    <n v="0"/>
    <n v="-15.13"/>
    <n v="3.78"/>
    <n v="99.9"/>
    <n v="-18.91"/>
  </r>
  <r>
    <x v="2"/>
    <x v="1"/>
    <x v="0"/>
    <s v="2675200"/>
    <n v="450029"/>
    <s v="Contr Allow--MD Other-Other"/>
    <s v="Pulmon &amp; Sleep Med Brem"/>
    <x v="0"/>
    <n v="1700"/>
    <n v="90.75"/>
    <n v="73.88"/>
    <n v="123.91"/>
    <n v="76.03"/>
    <n v="35.58"/>
    <n v="36.96"/>
    <n v="127.06"/>
    <n v="33.1"/>
    <n v="46.58"/>
    <n v="59.26"/>
    <n v="62.17"/>
    <n v="73.63"/>
    <n v="838.90999999999985"/>
    <n v="-11.459999999999994"/>
  </r>
  <r>
    <x v="2"/>
    <x v="1"/>
    <x v="0"/>
    <s v="2675200"/>
    <n v="450040"/>
    <s v="Contr Allow--Phys Svcs--Mcare"/>
    <s v="Pulmon &amp; Sleep Med Brem"/>
    <x v="0"/>
    <n v="1100"/>
    <n v="151268.88"/>
    <n v="160419.53"/>
    <n v="161731.19"/>
    <n v="210715.69"/>
    <n v="160216.17000000001"/>
    <n v="162770.23999999999"/>
    <n v="166405.59"/>
    <n v="168411.09"/>
    <n v="191959.84"/>
    <n v="176518.97"/>
    <n v="188306.73"/>
    <n v="181204.68"/>
    <n v="2079928.6"/>
    <n v="7102.0500000000175"/>
  </r>
  <r>
    <x v="2"/>
    <x v="1"/>
    <x v="0"/>
    <s v="2675200"/>
    <n v="450040"/>
    <s v="Contr Allow--Phys Svcs--Mcaid"/>
    <s v="Pulmon &amp; Sleep Med Brem"/>
    <x v="0"/>
    <n v="1200"/>
    <n v="47996.94"/>
    <n v="63443.88"/>
    <n v="54554.26"/>
    <n v="68740.539999999994"/>
    <n v="40042.19"/>
    <n v="40174.730000000003"/>
    <n v="51951.59"/>
    <n v="36247.550000000003"/>
    <n v="63553.26"/>
    <n v="53369.88"/>
    <n v="46635.77"/>
    <n v="51367.95"/>
    <n v="618078.53999999992"/>
    <n v="-4732.18"/>
  </r>
  <r>
    <x v="2"/>
    <x v="1"/>
    <x v="0"/>
    <s v="2675200"/>
    <n v="450040"/>
    <s v="Contr Allow--Phys Svcs--Comm Insurance"/>
    <s v="Pulmon &amp; Sleep Med Brem"/>
    <x v="0"/>
    <n v="1300"/>
    <n v="1718.06"/>
    <n v="1984.28"/>
    <n v="1999.87"/>
    <n v="3062.75"/>
    <n v="2911.53"/>
    <n v="1697.81"/>
    <n v="2945.26"/>
    <n v="1211.6099999999999"/>
    <n v="1579.43"/>
    <n v="2372.2199999999998"/>
    <n v="2441.86"/>
    <n v="3345.08"/>
    <n v="27269.760000000002"/>
    <n v="-903.2199999999998"/>
  </r>
  <r>
    <x v="2"/>
    <x v="1"/>
    <x v="0"/>
    <s v="2675200"/>
    <n v="450040"/>
    <s v="Contr Allow--Phys Svcs--BCBS Comm Ins"/>
    <s v="Pulmon &amp; Sleep Med Brem"/>
    <x v="0"/>
    <n v="1301"/>
    <n v="9832.41"/>
    <n v="8516.2199999999993"/>
    <n v="9325.07"/>
    <n v="2790.73"/>
    <n v="9589.07"/>
    <n v="5387.49"/>
    <n v="7440.47"/>
    <n v="4370.04"/>
    <n v="10702.43"/>
    <n v="8641.8700000000008"/>
    <n v="6648.05"/>
    <n v="10140.709999999999"/>
    <n v="93384.56"/>
    <n v="-3492.6599999999989"/>
  </r>
  <r>
    <x v="2"/>
    <x v="1"/>
    <x v="0"/>
    <s v="2675200"/>
    <n v="450040"/>
    <s v="Contr Allow--Phys Svcs--Managed Care"/>
    <s v="Pulmon &amp; Sleep Med Brem"/>
    <x v="0"/>
    <n v="1400"/>
    <n v="25003.360000000001"/>
    <n v="33409.17"/>
    <n v="31361.48"/>
    <n v="27165.24"/>
    <n v="32590.43"/>
    <n v="20348.66"/>
    <n v="28233.4"/>
    <n v="34198.370000000003"/>
    <n v="37267.910000000003"/>
    <n v="25244.5"/>
    <n v="32230.49"/>
    <n v="33691.58"/>
    <n v="360744.59"/>
    <n v="-1461.0900000000001"/>
  </r>
  <r>
    <x v="2"/>
    <x v="1"/>
    <x v="0"/>
    <s v="2675200"/>
    <n v="450040"/>
    <s v="Contr Allow--Phys Svcs--BCBS Mgnd Care"/>
    <s v="Pulmon &amp; Sleep Med Brem"/>
    <x v="0"/>
    <n v="1401"/>
    <n v="-35123.11"/>
    <n v="8338.08"/>
    <n v="-45.87"/>
    <n v="-7631.25"/>
    <n v="1489.88"/>
    <n v="33737.4"/>
    <n v="26922.799999999999"/>
    <n v="25931.27"/>
    <n v="-13189.52"/>
    <n v="-23399.040000000001"/>
    <n v="22402.47"/>
    <n v="-6017.34"/>
    <n v="33415.770000000004"/>
    <n v="28419.81"/>
  </r>
  <r>
    <x v="2"/>
    <x v="1"/>
    <x v="0"/>
    <s v="2675200"/>
    <n v="450040"/>
    <s v="Prompt Pay Disc-Phys Svcs-Self Pay"/>
    <s v="Pulmon &amp; Sleep Med Brem"/>
    <x v="0"/>
    <n v="1500"/>
    <n v="0"/>
    <n v="0"/>
    <n v="0"/>
    <n v="0"/>
    <n v="0"/>
    <n v="0"/>
    <n v="211.49"/>
    <n v="0"/>
    <n v="0"/>
    <n v="0"/>
    <n v="0"/>
    <n v="0"/>
    <n v="211.49"/>
    <n v="0"/>
  </r>
  <r>
    <x v="2"/>
    <x v="1"/>
    <x v="0"/>
    <s v="2675200"/>
    <n v="450040"/>
    <s v="Admin Adjust-Phys Svcs-Self Pay"/>
    <s v="Pulmon &amp; Sleep Med Brem"/>
    <x v="0"/>
    <n v="1600"/>
    <n v="646.33000000000004"/>
    <n v="1598.12"/>
    <n v="1875.59"/>
    <n v="1568.01"/>
    <n v="-57.85"/>
    <n v="214.15"/>
    <n v="2310.46"/>
    <n v="835.35"/>
    <n v="8693.6"/>
    <n v="442.38"/>
    <n v="-322.36"/>
    <n v="400.94"/>
    <n v="18204.72"/>
    <n v="-723.3"/>
  </r>
  <r>
    <x v="2"/>
    <x v="1"/>
    <x v="0"/>
    <s v="2675200"/>
    <n v="450040"/>
    <s v="Contr Allow--Phys Svcs--Other"/>
    <s v="Pulmon &amp; Sleep Med Brem"/>
    <x v="0"/>
    <n v="1700"/>
    <n v="32330.97"/>
    <n v="41571.82"/>
    <n v="31492.9"/>
    <n v="37390.19"/>
    <n v="41777.42"/>
    <n v="17094.87"/>
    <n v="36468.19"/>
    <n v="27636.76"/>
    <n v="37739.19"/>
    <n v="41314.89"/>
    <n v="42618.44"/>
    <n v="30408.400000000001"/>
    <n v="417844.04000000004"/>
    <n v="12210.04"/>
  </r>
  <r>
    <x v="3"/>
    <x v="1"/>
    <x v="0"/>
    <s v="2675200"/>
    <n v="470040"/>
    <s v="Charity Care-Physician Svcs"/>
    <s v="Pulmon &amp; Sleep Med Brem"/>
    <x v="0"/>
    <m/>
    <n v="-69.209999999999994"/>
    <n v="4191.28"/>
    <n v="754.11"/>
    <n v="602.48"/>
    <n v="643.97"/>
    <n v="1089.53"/>
    <n v="3302.95"/>
    <n v="1042.7"/>
    <n v="1860.37"/>
    <n v="435.39"/>
    <n v="-81.7"/>
    <n v="3403.27"/>
    <n v="17175.14"/>
    <n v="-3484.97"/>
  </r>
  <r>
    <x v="4"/>
    <x v="1"/>
    <x v="0"/>
    <s v="2675200"/>
    <n v="490010"/>
    <s v="Provision for Bad Debts"/>
    <s v="Pulmon &amp; Sleep Med Brem"/>
    <x v="0"/>
    <m/>
    <n v="243.69"/>
    <n v="3165.82"/>
    <n v="4905.3500000000004"/>
    <n v="119.07"/>
    <n v="8353.48"/>
    <n v="275.39999999999998"/>
    <n v="-1636.46"/>
    <n v="3345.35"/>
    <n v="3418.29"/>
    <n v="-1574.15"/>
    <n v="5300.08"/>
    <n v="5181.12"/>
    <n v="31097.039999999997"/>
    <n v="118.96000000000004"/>
  </r>
  <r>
    <x v="14"/>
    <x v="1"/>
    <x v="0"/>
    <s v="2675200"/>
    <n v="600050"/>
    <s v="Miscellaneous Revenue"/>
    <s v="Pulmon &amp; Sleep Med Brem"/>
    <x v="0"/>
    <m/>
    <n v="0"/>
    <n v="-8512.5"/>
    <n v="0"/>
    <n v="-21027"/>
    <n v="-2763"/>
    <n v="-6450"/>
    <n v="-10800"/>
    <n v="-6075"/>
    <n v="-3600"/>
    <n v="-13427"/>
    <n v="-15414"/>
    <n v="-10762.5"/>
    <n v="-98831"/>
    <n v="-4651.5"/>
  </r>
  <r>
    <x v="5"/>
    <x v="1"/>
    <x v="0"/>
    <s v="2675200"/>
    <n v="700018"/>
    <s v="Salaries-Supervisory-Productive"/>
    <s v="Pulmon &amp; Sleep Med Brem"/>
    <x v="0"/>
    <m/>
    <n v="9546.32"/>
    <n v="11365.68"/>
    <n v="8308"/>
    <n v="3755.52"/>
    <n v="4799.5200000000004"/>
    <n v="7855.94"/>
    <n v="10027.82"/>
    <n v="9574.9500000000007"/>
    <n v="10449.530000000001"/>
    <n v="8933.85"/>
    <n v="9334.4699999999993"/>
    <n v="7623.96"/>
    <n v="101575.56000000001"/>
    <n v="1710.5099999999993"/>
  </r>
  <r>
    <x v="5"/>
    <x v="1"/>
    <x v="0"/>
    <s v="2675200"/>
    <n v="700020"/>
    <s v="Salaries-Physician Admin-Other"/>
    <s v="Pulmon &amp; Sleep Med Brem"/>
    <x v="0"/>
    <n v="2000"/>
    <n v="0"/>
    <n v="8512.5"/>
    <n v="0"/>
    <n v="9975"/>
    <n v="0"/>
    <n v="6450"/>
    <n v="10800"/>
    <n v="6075"/>
    <n v="3600"/>
    <n v="3375"/>
    <n v="7125"/>
    <n v="10762.5"/>
    <n v="66675"/>
    <n v="-3637.5"/>
  </r>
  <r>
    <x v="5"/>
    <x v="1"/>
    <x v="0"/>
    <s v="2675200"/>
    <n v="700022"/>
    <s v="Salaries-Physician-Productive"/>
    <s v="Pulmon &amp; Sleep Med Brem"/>
    <x v="0"/>
    <m/>
    <n v="175991.66"/>
    <n v="212117.6"/>
    <n v="162818.57999999999"/>
    <n v="189836.79"/>
    <n v="178556.55"/>
    <n v="168548.9"/>
    <n v="210154.23"/>
    <n v="165603.67000000001"/>
    <n v="217764.45"/>
    <n v="148366.57"/>
    <n v="227338.53"/>
    <n v="164806.76999999999"/>
    <n v="2221904.2999999998"/>
    <n v="62531.760000000009"/>
  </r>
  <r>
    <x v="5"/>
    <x v="1"/>
    <x v="0"/>
    <s v="2675200"/>
    <n v="700022"/>
    <s v="Salaries-Physician-Other"/>
    <s v="Pulmon &amp; Sleep Med Brem"/>
    <x v="0"/>
    <n v="2000"/>
    <n v="0"/>
    <n v="0"/>
    <n v="0"/>
    <n v="11052"/>
    <n v="2763"/>
    <n v="23800.99"/>
    <n v="0"/>
    <n v="0"/>
    <n v="0"/>
    <n v="10052"/>
    <n v="8289"/>
    <n v="82346.61"/>
    <n v="138303.6"/>
    <n v="-74057.61"/>
  </r>
  <r>
    <x v="5"/>
    <x v="1"/>
    <x v="0"/>
    <s v="2675200"/>
    <n v="700022"/>
    <s v="Salaries-Physician-Provider Incentive"/>
    <s v="Pulmon &amp; Sleep Med Brem"/>
    <x v="0"/>
    <n v="4003"/>
    <n v="14074.15"/>
    <n v="500"/>
    <n v="0"/>
    <n v="0"/>
    <n v="500"/>
    <n v="0"/>
    <n v="0"/>
    <n v="500.73"/>
    <n v="0"/>
    <n v="0"/>
    <n v="500"/>
    <n v="0"/>
    <n v="16074.88"/>
    <n v="500"/>
  </r>
  <r>
    <x v="5"/>
    <x v="1"/>
    <x v="0"/>
    <s v="2675200"/>
    <n v="700024"/>
    <s v="Salaries-Advanced Practice Clinician-Productive"/>
    <s v="Pulmon &amp; Sleep Med Brem"/>
    <x v="0"/>
    <m/>
    <n v="29057.23"/>
    <n v="25761.439999999999"/>
    <n v="28765.64"/>
    <n v="37012.74"/>
    <n v="31294.94"/>
    <n v="27972.16"/>
    <n v="32967.78"/>
    <n v="24910.29"/>
    <n v="35293.57"/>
    <n v="33952.78"/>
    <n v="35939.760000000002"/>
    <n v="25886.28"/>
    <n v="368814.61"/>
    <n v="10053.480000000003"/>
  </r>
  <r>
    <x v="5"/>
    <x v="1"/>
    <x v="0"/>
    <s v="2675200"/>
    <n v="700024"/>
    <s v="Salaries-Advanced Practice Clinician-Other"/>
    <s v="Pulmon &amp; Sleep Med Brem"/>
    <x v="0"/>
    <n v="2000"/>
    <n v="0"/>
    <n v="-272"/>
    <n v="0"/>
    <n v="0"/>
    <n v="0"/>
    <n v="1576.8"/>
    <n v="0"/>
    <n v="0"/>
    <n v="0"/>
    <n v="0"/>
    <n v="0"/>
    <n v="0"/>
    <n v="1304.8"/>
    <n v="0"/>
  </r>
  <r>
    <x v="5"/>
    <x v="1"/>
    <x v="0"/>
    <s v="2675200"/>
    <n v="700026"/>
    <s v="Salaries-RN-Productive"/>
    <s v="Pulmon &amp; Sleep Med Brem"/>
    <x v="0"/>
    <m/>
    <n v="4754.66"/>
    <n v="3998.29"/>
    <n v="5284.8"/>
    <n v="5798.8"/>
    <n v="5579.4"/>
    <n v="4047.07"/>
    <n v="4738.38"/>
    <n v="4657.4399999999996"/>
    <n v="5842.8"/>
    <n v="-1074.54"/>
    <n v="0"/>
    <n v="0"/>
    <n v="43627.1"/>
    <n v="0"/>
  </r>
  <r>
    <x v="5"/>
    <x v="1"/>
    <x v="0"/>
    <s v="2675200"/>
    <n v="700026"/>
    <s v="Salaries-RN-OT"/>
    <s v="Pulmon &amp; Sleep Med Brem"/>
    <x v="0"/>
    <n v="1000"/>
    <n v="0"/>
    <n v="18.579999999999998"/>
    <n v="-6.19"/>
    <n v="0"/>
    <n v="0"/>
    <n v="0"/>
    <n v="0"/>
    <n v="0"/>
    <n v="0"/>
    <n v="0"/>
    <n v="0"/>
    <n v="0"/>
    <n v="12.389999999999997"/>
    <n v="0"/>
  </r>
  <r>
    <x v="5"/>
    <x v="1"/>
    <x v="0"/>
    <s v="2675200"/>
    <n v="700030"/>
    <s v="Salaries-LPN-Productive"/>
    <s v="Pulmon &amp; Sleep Med Brem"/>
    <x v="0"/>
    <m/>
    <n v="4584.95"/>
    <n v="4518.3100000000004"/>
    <n v="3956.95"/>
    <n v="3948.57"/>
    <n v="8066.53"/>
    <n v="5407.73"/>
    <n v="7137.06"/>
    <n v="4861.46"/>
    <n v="4504.6099999999997"/>
    <n v="5687.33"/>
    <n v="9540.01"/>
    <n v="8209.99"/>
    <n v="70423.5"/>
    <n v="1330.0200000000004"/>
  </r>
  <r>
    <x v="5"/>
    <x v="1"/>
    <x v="0"/>
    <s v="2675200"/>
    <n v="700030"/>
    <s v="Salaries-LPN-OT"/>
    <s v="Pulmon &amp; Sleep Med Brem"/>
    <x v="0"/>
    <n v="1000"/>
    <n v="33.340000000000003"/>
    <n v="10.79"/>
    <n v="39.21"/>
    <n v="-14.7"/>
    <n v="0"/>
    <n v="25.62"/>
    <n v="0"/>
    <n v="0"/>
    <n v="19.899999999999999"/>
    <n v="16.91"/>
    <n v="12.92"/>
    <n v="-9.94"/>
    <n v="134.04999999999998"/>
    <n v="22.86"/>
  </r>
  <r>
    <x v="5"/>
    <x v="1"/>
    <x v="0"/>
    <s v="2675200"/>
    <n v="700030"/>
    <s v="Salaries-LPN-Other"/>
    <s v="Pulmon &amp; Sleep Med Brem"/>
    <x v="0"/>
    <n v="2000"/>
    <n v="0"/>
    <n v="0"/>
    <n v="0"/>
    <n v="0"/>
    <n v="0"/>
    <n v="0"/>
    <n v="0"/>
    <n v="0"/>
    <n v="0"/>
    <n v="30.06"/>
    <n v="-0.02"/>
    <n v="30.04"/>
    <n v="60.08"/>
    <n v="-30.06"/>
  </r>
  <r>
    <x v="5"/>
    <x v="1"/>
    <x v="0"/>
    <s v="2675200"/>
    <n v="700032"/>
    <s v="Salaries-Other Pat Care Providers-Productive"/>
    <s v="Pulmon &amp; Sleep Med Brem"/>
    <x v="0"/>
    <m/>
    <n v="21926.21"/>
    <n v="26676.93"/>
    <n v="22557.26"/>
    <n v="26809.7"/>
    <n v="29152.799999999999"/>
    <n v="19721.259999999998"/>
    <n v="22757.83"/>
    <n v="17394.169999999998"/>
    <n v="19854.650000000001"/>
    <n v="20281.27"/>
    <n v="22504.6"/>
    <n v="19472.61"/>
    <n v="269109.28999999998"/>
    <n v="3031.989999999998"/>
  </r>
  <r>
    <x v="5"/>
    <x v="1"/>
    <x v="0"/>
    <s v="2675200"/>
    <n v="700032"/>
    <s v="Salaries-Other Pat Care Providers-OT"/>
    <s v="Pulmon &amp; Sleep Med Brem"/>
    <x v="0"/>
    <n v="1000"/>
    <n v="0"/>
    <n v="0"/>
    <n v="0"/>
    <n v="33.200000000000003"/>
    <n v="13.28"/>
    <n v="39.200000000000003"/>
    <n v="0"/>
    <n v="0"/>
    <n v="50.09"/>
    <n v="38.159999999999997"/>
    <n v="7.88"/>
    <n v="0"/>
    <n v="181.81"/>
    <n v="7.88"/>
  </r>
  <r>
    <x v="5"/>
    <x v="1"/>
    <x v="0"/>
    <s v="2675200"/>
    <n v="700032"/>
    <s v="Salaries-Other Pat Care Providers-Other"/>
    <s v="Pulmon &amp; Sleep Med Brem"/>
    <x v="0"/>
    <n v="2000"/>
    <n v="0"/>
    <n v="0"/>
    <n v="0"/>
    <n v="0"/>
    <n v="30"/>
    <n v="0"/>
    <n v="0"/>
    <n v="0"/>
    <n v="0"/>
    <n v="0"/>
    <n v="0"/>
    <n v="0"/>
    <n v="30"/>
    <n v="0"/>
  </r>
  <r>
    <x v="5"/>
    <x v="1"/>
    <x v="0"/>
    <s v="2675200"/>
    <n v="700034"/>
    <s v="Salaries-Tech/Professional-Productive"/>
    <s v="Pulmon &amp; Sleep Med Brem"/>
    <x v="0"/>
    <m/>
    <n v="5480.16"/>
    <n v="4044.88"/>
    <n v="5545.4"/>
    <n v="6036.64"/>
    <n v="5783.36"/>
    <n v="4107.5"/>
    <n v="5364.29"/>
    <n v="5396.95"/>
    <n v="5528.59"/>
    <n v="5791.85"/>
    <n v="4409.71"/>
    <n v="4278.07"/>
    <n v="61767.4"/>
    <n v="131.64000000000033"/>
  </r>
  <r>
    <x v="5"/>
    <x v="1"/>
    <x v="0"/>
    <s v="2675200"/>
    <n v="700034"/>
    <s v="Salaries-Tech/Professional-Other"/>
    <s v="Pulmon &amp; Sleep Med Brem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1"/>
    <x v="0"/>
    <s v="2675200"/>
    <n v="700038"/>
    <s v="Salaries-Service/Support-Productive"/>
    <s v="Pulmon &amp; Sleep Med Brem"/>
    <x v="0"/>
    <m/>
    <n v="8027.41"/>
    <n v="7686.6"/>
    <n v="9935.61"/>
    <n v="17106.310000000001"/>
    <n v="21454.35"/>
    <n v="13498.11"/>
    <n v="17841.28"/>
    <n v="14003.36"/>
    <n v="16582.98"/>
    <n v="17300.21"/>
    <n v="18286.3"/>
    <n v="17944.64"/>
    <n v="179667.15999999997"/>
    <n v="341.65999999999985"/>
  </r>
  <r>
    <x v="5"/>
    <x v="1"/>
    <x v="0"/>
    <s v="2675200"/>
    <n v="700038"/>
    <s v="Salaries-Service/Support-OT"/>
    <s v="Pulmon &amp; Sleep Med Brem"/>
    <x v="0"/>
    <n v="1000"/>
    <n v="0"/>
    <n v="27.98"/>
    <n v="33.9"/>
    <n v="39.04"/>
    <n v="42.2"/>
    <n v="-14.03"/>
    <n v="88.81"/>
    <n v="18.649999999999999"/>
    <n v="3.77"/>
    <n v="43.1"/>
    <n v="0"/>
    <n v="29.26"/>
    <n v="312.68"/>
    <n v="-29.26"/>
  </r>
  <r>
    <x v="5"/>
    <x v="1"/>
    <x v="0"/>
    <s v="2675200"/>
    <n v="700038"/>
    <s v="Salaries-Service/Support-Other"/>
    <s v="Pulmon &amp; Sleep Med Brem"/>
    <x v="0"/>
    <n v="2000"/>
    <n v="0"/>
    <n v="0"/>
    <n v="0"/>
    <n v="0"/>
    <n v="0"/>
    <n v="0"/>
    <n v="0"/>
    <n v="4.2"/>
    <n v="-1.2"/>
    <n v="0"/>
    <n v="0"/>
    <n v="30.04"/>
    <n v="33.04"/>
    <n v="-30.04"/>
  </r>
  <r>
    <x v="5"/>
    <x v="1"/>
    <x v="0"/>
    <s v="2675200"/>
    <n v="700054"/>
    <s v="Salaries-Management-NonProd-Other"/>
    <s v="Pulmon &amp; Sleep Med Brem"/>
    <x v="0"/>
    <n v="2000"/>
    <n v="0"/>
    <n v="0"/>
    <n v="0"/>
    <n v="0"/>
    <n v="0"/>
    <n v="1227.71"/>
    <n v="-1227.71"/>
    <n v="0"/>
    <n v="0"/>
    <n v="0"/>
    <n v="0"/>
    <n v="0"/>
    <n v="0"/>
    <n v="0"/>
  </r>
  <r>
    <x v="5"/>
    <x v="1"/>
    <x v="0"/>
    <s v="2675200"/>
    <n v="700058"/>
    <s v="Salaries-Supervisory-Non-productive"/>
    <s v="Pulmon &amp; Sleep Med Brem"/>
    <x v="0"/>
    <m/>
    <n v="1325.2"/>
    <n v="0"/>
    <n v="1575.2"/>
    <n v="7990.32"/>
    <n v="6536.66"/>
    <n v="2964.92"/>
    <n v="1841.75"/>
    <n v="745.78"/>
    <n v="387.24"/>
    <n v="2418.92"/>
    <n v="2534.38"/>
    <n v="2696.76"/>
    <n v="31017.129999999997"/>
    <n v="-162.38000000000011"/>
  </r>
  <r>
    <x v="5"/>
    <x v="1"/>
    <x v="0"/>
    <s v="2675200"/>
    <n v="700062"/>
    <s v="Salaries-Physician-Non-productive"/>
    <s v="Pulmon &amp; Sleep Med Brem"/>
    <x v="0"/>
    <m/>
    <n v="11364.51"/>
    <n v="7253.53"/>
    <n v="25199.34"/>
    <n v="36281.64"/>
    <n v="76802.509999999995"/>
    <n v="68072.600000000006"/>
    <n v="14325.43"/>
    <n v="25843.96"/>
    <n v="-6836.09"/>
    <n v="82672.37"/>
    <n v="-6887.1"/>
    <n v="-6747.3"/>
    <n v="327345.40000000008"/>
    <n v="-139.80000000000018"/>
  </r>
  <r>
    <x v="5"/>
    <x v="1"/>
    <x v="0"/>
    <s v="2675200"/>
    <n v="700062"/>
    <s v="Salaries-Physician-NonProd-Other"/>
    <s v="Pulmon &amp; Sleep Med 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5200"/>
    <n v="700064"/>
    <s v="Salaries-Advanced Practice Clinician-Non-Productive"/>
    <s v="Pulmon &amp; Sleep Med Brem"/>
    <x v="0"/>
    <m/>
    <n v="1937.68"/>
    <n v="3582.3"/>
    <n v="3100.43"/>
    <n v="1368.07"/>
    <n v="4826.45"/>
    <n v="7049.42"/>
    <n v="3924.51"/>
    <n v="8523.16"/>
    <n v="-663.66"/>
    <n v="2352.86"/>
    <n v="1921.11"/>
    <n v="7185.34"/>
    <n v="45107.67"/>
    <n v="-5264.2300000000005"/>
  </r>
  <r>
    <x v="5"/>
    <x v="1"/>
    <x v="0"/>
    <s v="2675200"/>
    <n v="700066"/>
    <s v="Salaries-RN-Non-productive"/>
    <s v="Pulmon &amp; Sleep Med Brem"/>
    <x v="0"/>
    <m/>
    <n v="1066.8699999999999"/>
    <n v="2079.2399999999998"/>
    <n v="0"/>
    <n v="350.71"/>
    <n v="321.89"/>
    <n v="1355.45"/>
    <n v="576.76"/>
    <n v="88.99"/>
    <n v="0"/>
    <n v="0"/>
    <n v="0"/>
    <n v="0"/>
    <n v="5839.91"/>
    <n v="0"/>
  </r>
  <r>
    <x v="5"/>
    <x v="1"/>
    <x v="0"/>
    <s v="2675200"/>
    <n v="700066"/>
    <s v="Salaries-RN-NonProd-Other"/>
    <s v="Pulmon &amp; Sleep Med 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5200"/>
    <n v="700070"/>
    <s v="Salaries-LPN-Non-productive"/>
    <s v="Pulmon &amp; Sleep Med Brem"/>
    <x v="0"/>
    <m/>
    <n v="0"/>
    <n v="0"/>
    <n v="209.12"/>
    <n v="918.53"/>
    <n v="-3.97"/>
    <n v="1809.61"/>
    <n v="538.09"/>
    <n v="1101.4100000000001"/>
    <n v="78.17"/>
    <n v="-106.04"/>
    <n v="26.51"/>
    <n v="1958.61"/>
    <n v="6530.04"/>
    <n v="-1932.1"/>
  </r>
  <r>
    <x v="5"/>
    <x v="1"/>
    <x v="0"/>
    <s v="2675200"/>
    <n v="700070"/>
    <s v="Salaries-LPN-NonProd-Other"/>
    <s v="Pulmon &amp; Sleep Med 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5200"/>
    <n v="700072"/>
    <s v="Salaries-Other Pat Care Providers-Non-productive"/>
    <s v="Pulmon &amp; Sleep Med Brem"/>
    <x v="0"/>
    <m/>
    <n v="3405.09"/>
    <n v="2389.2199999999998"/>
    <n v="2505.17"/>
    <n v="2904.29"/>
    <n v="925.16"/>
    <n v="6268.22"/>
    <n v="2466.8000000000002"/>
    <n v="2379.8000000000002"/>
    <n v="2202.11"/>
    <n v="2362.66"/>
    <n v="3080.6"/>
    <n v="3301.52"/>
    <n v="34190.639999999999"/>
    <n v="-220.92000000000007"/>
  </r>
  <r>
    <x v="5"/>
    <x v="1"/>
    <x v="0"/>
    <s v="2675200"/>
    <n v="700072"/>
    <s v="Salaries-Other Pat Care Providers-NonProd-Other"/>
    <s v="Pulmon &amp; Sleep Med 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5200"/>
    <n v="700074"/>
    <s v="Salaries-Tech/Professional-Non-productive"/>
    <s v="Pulmon &amp; Sleep Med Brem"/>
    <x v="0"/>
    <m/>
    <n v="0"/>
    <n v="0"/>
    <n v="0"/>
    <n v="0"/>
    <n v="0"/>
    <n v="1412.98"/>
    <n v="691.21"/>
    <n v="-131.63"/>
    <n v="0"/>
    <n v="0"/>
    <n v="1645.41"/>
    <n v="987.25"/>
    <n v="4605.22"/>
    <n v="658.16000000000008"/>
  </r>
  <r>
    <x v="5"/>
    <x v="1"/>
    <x v="0"/>
    <s v="2675200"/>
    <n v="700074"/>
    <s v="Salaries-Tech/Professional-NonProd-Other"/>
    <s v="Pulmon &amp; Sleep Med 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5200"/>
    <n v="700078"/>
    <s v="Salaries-Service/Support-Non-productive"/>
    <s v="Pulmon &amp; Sleep Med Brem"/>
    <x v="0"/>
    <m/>
    <n v="1560.36"/>
    <n v="2553.94"/>
    <n v="1848.38"/>
    <n v="638.24"/>
    <n v="381.96"/>
    <n v="6096.19"/>
    <n v="833.07"/>
    <n v="2129.4499999999998"/>
    <n v="652.5"/>
    <n v="731.05"/>
    <n v="517.54"/>
    <n v="1765.45"/>
    <n v="19708.13"/>
    <n v="-1247.9100000000001"/>
  </r>
  <r>
    <x v="5"/>
    <x v="1"/>
    <x v="0"/>
    <s v="2675200"/>
    <n v="700078"/>
    <s v="Salaries-Service/Support-NonProd-Other"/>
    <s v="Pulmon &amp; Sleep Med Br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5200"/>
    <n v="700084"/>
    <s v="Accrued PTO"/>
    <s v="Pulmon &amp; Sleep Med Brem"/>
    <x v="0"/>
    <m/>
    <n v="-172.9"/>
    <n v="1993.69"/>
    <n v="107.61"/>
    <n v="4079.32"/>
    <n v="3247.68"/>
    <n v="-8577.9"/>
    <n v="310.2"/>
    <n v="1830.8"/>
    <n v="3349.74"/>
    <n v="1677.3"/>
    <n v="1218.8900000000001"/>
    <n v="-2564.6799999999998"/>
    <n v="6499.75"/>
    <n v="3783.5699999999997"/>
  </r>
  <r>
    <x v="6"/>
    <x v="1"/>
    <x v="0"/>
    <s v="2675200"/>
    <n v="713010"/>
    <s v="Benefits-FICA/Medicare"/>
    <s v="Pulmon &amp; Sleep Med Brem"/>
    <x v="0"/>
    <m/>
    <n v="10019.64"/>
    <n v="10009.42"/>
    <n v="9424.25"/>
    <n v="12034.65"/>
    <n v="12139.33"/>
    <n v="17913.34"/>
    <n v="25890.04"/>
    <n v="21821.72"/>
    <n v="23308.720000000001"/>
    <n v="15722"/>
    <n v="10301.33"/>
    <n v="11462.04"/>
    <n v="180046.48"/>
    <n v="-1160.7100000000009"/>
  </r>
  <r>
    <x v="6"/>
    <x v="1"/>
    <x v="0"/>
    <s v="2675200"/>
    <n v="713090"/>
    <s v="Benefits-Allocated Amounts"/>
    <s v="Pulmon &amp; Sleep Med Brem"/>
    <x v="0"/>
    <m/>
    <n v="0"/>
    <n v="0"/>
    <n v="0"/>
    <n v="0"/>
    <n v="0"/>
    <n v="0"/>
    <n v="0"/>
    <n v="0"/>
    <n v="219805.75"/>
    <n v="24930.75"/>
    <n v="25298.36"/>
    <n v="27381.86"/>
    <n v="297416.71999999997"/>
    <n v="-2083.5"/>
  </r>
  <r>
    <x v="6"/>
    <x v="1"/>
    <x v="0"/>
    <s v="2675200"/>
    <n v="713092"/>
    <s v="Allocated Benefits-Physician"/>
    <s v="Pulmon &amp; Sleep Med Brem"/>
    <x v="0"/>
    <m/>
    <n v="23391.82"/>
    <n v="22099.54"/>
    <n v="23194.47"/>
    <n v="26170.63"/>
    <n v="28151.17"/>
    <n v="30359.26"/>
    <n v="31053.83"/>
    <n v="28535.37"/>
    <n v="-132324.32999999999"/>
    <n v="9145.4"/>
    <n v="9280.24"/>
    <n v="10044.540000000001"/>
    <n v="109101.94000000003"/>
    <n v="-764.30000000000109"/>
  </r>
  <r>
    <x v="6"/>
    <x v="1"/>
    <x v="0"/>
    <s v="2675200"/>
    <n v="713093"/>
    <s v="Allocated Benefits-Advanced Practice Clinician"/>
    <s v="Pulmon &amp; Sleep Med Brem"/>
    <x v="0"/>
    <m/>
    <n v="9665.67"/>
    <n v="9131.7099999999991"/>
    <n v="9584.1299999999992"/>
    <n v="10813.9"/>
    <n v="11632.27"/>
    <n v="12544.68"/>
    <n v="12831.68"/>
    <n v="11791.03"/>
    <n v="-45059.4"/>
    <n v="4869.84"/>
    <n v="4941.6400000000003"/>
    <n v="5348.62"/>
    <n v="58095.77"/>
    <n v="-406.97999999999956"/>
  </r>
  <r>
    <x v="7"/>
    <x v="1"/>
    <x v="0"/>
    <s v="2675200"/>
    <n v="718040"/>
    <s v="Contract Svcs-Laboratory"/>
    <s v="Pulmon &amp; Sleep Med Brem"/>
    <x v="0"/>
    <m/>
    <n v="102.4"/>
    <n v="0"/>
    <n v="0"/>
    <n v="0"/>
    <n v="0"/>
    <n v="0"/>
    <n v="0"/>
    <n v="0"/>
    <n v="0"/>
    <n v="0"/>
    <n v="0"/>
    <n v="0"/>
    <n v="102.4"/>
    <n v="0"/>
  </r>
  <r>
    <x v="7"/>
    <x v="1"/>
    <x v="0"/>
    <s v="2675200"/>
    <n v="718050"/>
    <s v="Contract Svcs-Other"/>
    <s v="Pulmon &amp; Sleep Med Brem"/>
    <x v="0"/>
    <m/>
    <n v="30.11"/>
    <n v="0"/>
    <n v="23.13"/>
    <n v="0"/>
    <n v="49"/>
    <n v="0"/>
    <n v="15.42"/>
    <n v="14.7"/>
    <n v="0"/>
    <n v="0"/>
    <n v="0"/>
    <n v="0"/>
    <n v="132.35999999999999"/>
    <n v="0"/>
  </r>
  <r>
    <x v="7"/>
    <x v="1"/>
    <x v="0"/>
    <s v="2675200"/>
    <n v="718050"/>
    <s v="Miscellaneous Purchased Svcs"/>
    <s v="Pulmon &amp; Sleep Med Brem"/>
    <x v="0"/>
    <n v="1020"/>
    <n v="4941.91"/>
    <n v="3917.01"/>
    <n v="3070"/>
    <n v="1887"/>
    <n v="0"/>
    <n v="2047.09"/>
    <n v="2215.27"/>
    <n v="1670"/>
    <n v="3340"/>
    <n v="1670"/>
    <n v="1670"/>
    <n v="1670"/>
    <n v="28098.28"/>
    <n v="0"/>
  </r>
  <r>
    <x v="11"/>
    <x v="1"/>
    <x v="0"/>
    <s v="2675200"/>
    <n v="721010"/>
    <s v="Supplies-Medical - Billable"/>
    <s v="Pulmon &amp; Sleep Med Brem"/>
    <x v="0"/>
    <m/>
    <n v="0"/>
    <n v="0"/>
    <n v="0"/>
    <n v="0"/>
    <n v="0"/>
    <n v="0"/>
    <n v="0"/>
    <n v="0"/>
    <n v="372.8"/>
    <n v="0"/>
    <n v="0"/>
    <n v="0"/>
    <n v="372.8"/>
    <n v="0"/>
  </r>
  <r>
    <x v="11"/>
    <x v="1"/>
    <x v="0"/>
    <s v="2675200"/>
    <n v="721010"/>
    <s v="Patient Monitoring"/>
    <s v="Pulmon &amp; Sleep Med Brem"/>
    <x v="0"/>
    <n v="1000"/>
    <n v="0"/>
    <n v="36.200000000000003"/>
    <n v="0"/>
    <n v="0"/>
    <n v="0"/>
    <n v="0"/>
    <n v="0"/>
    <n v="0"/>
    <n v="0"/>
    <n v="0"/>
    <n v="0"/>
    <n v="0"/>
    <n v="36.200000000000003"/>
    <n v="0"/>
  </r>
  <r>
    <x v="11"/>
    <x v="1"/>
    <x v="0"/>
    <s v="2675200"/>
    <n v="721210"/>
    <s v="Supplies-Anesthesia - Billable"/>
    <s v="Pulmon &amp; Sleep Med Brem"/>
    <x v="0"/>
    <m/>
    <n v="0"/>
    <n v="0"/>
    <n v="0"/>
    <n v="0"/>
    <n v="0"/>
    <n v="129.5"/>
    <n v="129.5"/>
    <n v="0"/>
    <n v="0"/>
    <n v="77.7"/>
    <n v="0"/>
    <n v="0"/>
    <n v="336.7"/>
    <n v="0"/>
  </r>
  <r>
    <x v="11"/>
    <x v="1"/>
    <x v="0"/>
    <s v="2675200"/>
    <n v="721250"/>
    <s v="Supplies-Pharmacy Drugs - Billable"/>
    <s v="Pulmon &amp; Sleep Med Brem"/>
    <x v="0"/>
    <m/>
    <n v="3340.62"/>
    <n v="5048.17"/>
    <n v="4223.28"/>
    <n v="1916.46"/>
    <n v="8876.9599999999991"/>
    <n v="1828.28"/>
    <n v="9289.35"/>
    <n v="0"/>
    <n v="0"/>
    <n v="0"/>
    <n v="0"/>
    <n v="1858.82"/>
    <n v="36381.939999999995"/>
    <n v="-1858.82"/>
  </r>
  <r>
    <x v="11"/>
    <x v="1"/>
    <x v="0"/>
    <s v="2675200"/>
    <n v="721410"/>
    <s v="Supplies-Medical - Nonbillable"/>
    <s v="Pulmon &amp; Sleep Med Brem"/>
    <x v="0"/>
    <m/>
    <n v="1922.68"/>
    <n v="3553.7"/>
    <n v="1489.47"/>
    <n v="293.69"/>
    <n v="493.03"/>
    <n v="330.32"/>
    <n v="838.43"/>
    <n v="674.05"/>
    <n v="260.67"/>
    <n v="471.88"/>
    <n v="344.02"/>
    <n v="1192.71"/>
    <n v="11864.649999999998"/>
    <n v="-848.69"/>
  </r>
  <r>
    <x v="11"/>
    <x v="1"/>
    <x v="0"/>
    <s v="2675200"/>
    <n v="721610"/>
    <s v="Supplies-Anesthesia - Nonbillable"/>
    <s v="Pulmon &amp; Sleep Med Brem"/>
    <x v="0"/>
    <m/>
    <n v="272.01"/>
    <n v="396.52"/>
    <n v="473.99"/>
    <n v="678.29"/>
    <n v="1547.48"/>
    <n v="486.3"/>
    <n v="2107.62"/>
    <n v="641.63"/>
    <n v="55.99"/>
    <n v="956.05"/>
    <n v="308.04000000000002"/>
    <n v="1178.1400000000001"/>
    <n v="9102.06"/>
    <n v="-870.10000000000014"/>
  </r>
  <r>
    <x v="11"/>
    <x v="1"/>
    <x v="0"/>
    <s v="2675200"/>
    <n v="721710"/>
    <s v="Supplies-Laboratory - Nonbillable"/>
    <s v="Pulmon &amp; Sleep Med Brem"/>
    <x v="0"/>
    <m/>
    <n v="0"/>
    <n v="77.02"/>
    <n v="473.9"/>
    <n v="0"/>
    <n v="63.77"/>
    <n v="0"/>
    <n v="473.9"/>
    <n v="63.77"/>
    <n v="0"/>
    <n v="473.9"/>
    <n v="0"/>
    <n v="63.77"/>
    <n v="1690.0299999999997"/>
    <n v="-63.77"/>
  </r>
  <r>
    <x v="11"/>
    <x v="1"/>
    <x v="0"/>
    <s v="2675200"/>
    <n v="721710"/>
    <s v="Reagents"/>
    <s v="Pulmon &amp; Sleep Med Brem"/>
    <x v="0"/>
    <n v="1000"/>
    <n v="0"/>
    <n v="52.32"/>
    <n v="0"/>
    <n v="34.880000000000003"/>
    <n v="-2.88"/>
    <n v="87.2"/>
    <n v="52.32"/>
    <n v="-7.2"/>
    <n v="-4.32"/>
    <n v="0"/>
    <n v="0"/>
    <n v="34.880000000000003"/>
    <n v="247.20000000000002"/>
    <n v="-34.880000000000003"/>
  </r>
  <r>
    <x v="11"/>
    <x v="1"/>
    <x v="0"/>
    <s v="2675200"/>
    <n v="721810"/>
    <s v="Supplies-Dietary/Cafeteria"/>
    <s v="Pulmon &amp; Sleep Med Brem"/>
    <x v="0"/>
    <m/>
    <n v="533.15"/>
    <n v="0"/>
    <n v="474.58"/>
    <n v="0"/>
    <n v="498.76"/>
    <n v="407.48"/>
    <n v="0"/>
    <n v="335.89"/>
    <n v="290.24"/>
    <n v="0"/>
    <n v="0"/>
    <n v="248.27"/>
    <n v="2788.3700000000003"/>
    <n v="-248.27"/>
  </r>
  <r>
    <x v="11"/>
    <x v="1"/>
    <x v="0"/>
    <s v="2675200"/>
    <n v="721830"/>
    <s v="Supplies-Office"/>
    <s v="Pulmon &amp; Sleep Med Brem"/>
    <x v="0"/>
    <m/>
    <n v="383.64"/>
    <n v="301.39999999999998"/>
    <n v="1364.46"/>
    <n v="1290.98"/>
    <n v="613.13"/>
    <n v="2161.75"/>
    <n v="572.5"/>
    <n v="449.47"/>
    <n v="687.96"/>
    <n v="549.53"/>
    <n v="785.65"/>
    <n v="702.2"/>
    <n v="9862.6700000000019"/>
    <n v="83.449999999999932"/>
  </r>
  <r>
    <x v="11"/>
    <x v="1"/>
    <x v="0"/>
    <s v="2675200"/>
    <n v="721870"/>
    <s v="Supplies-Environmental Services"/>
    <s v="Pulmon &amp; Sleep Med Brem"/>
    <x v="0"/>
    <m/>
    <n v="47.28"/>
    <n v="0"/>
    <n v="182.95"/>
    <n v="0"/>
    <n v="118.56"/>
    <n v="0"/>
    <n v="144.68"/>
    <n v="71.28"/>
    <n v="15.76"/>
    <n v="0"/>
    <n v="94.92"/>
    <n v="0"/>
    <n v="675.43"/>
    <n v="94.92"/>
  </r>
  <r>
    <x v="11"/>
    <x v="1"/>
    <x v="0"/>
    <s v="2675200"/>
    <n v="721880"/>
    <s v="Supplies-Linen"/>
    <s v="Pulmon &amp; Sleep Med Brem"/>
    <x v="0"/>
    <m/>
    <n v="0"/>
    <n v="0"/>
    <n v="0"/>
    <n v="0"/>
    <n v="26.88"/>
    <n v="0"/>
    <n v="26.88"/>
    <n v="0"/>
    <n v="39.6"/>
    <n v="0"/>
    <n v="0"/>
    <n v="0"/>
    <n v="93.36"/>
    <n v="0"/>
  </r>
  <r>
    <x v="11"/>
    <x v="1"/>
    <x v="0"/>
    <s v="2675200"/>
    <n v="721910"/>
    <s v="Supplies-Small Equipment"/>
    <s v="Pulmon &amp; Sleep Med Brem"/>
    <x v="0"/>
    <m/>
    <n v="1243.78"/>
    <n v="4586.66"/>
    <n v="133.18"/>
    <n v="149.57"/>
    <n v="236.6"/>
    <n v="0"/>
    <n v="158.27000000000001"/>
    <n v="24.48"/>
    <n v="24.48"/>
    <n v="24.48"/>
    <n v="0"/>
    <n v="48.96"/>
    <n v="6630.4599999999991"/>
    <n v="-48.96"/>
  </r>
  <r>
    <x v="11"/>
    <x v="1"/>
    <x v="0"/>
    <s v="2675200"/>
    <n v="721910"/>
    <s v="Instruments"/>
    <s v="Pulmon &amp; Sleep Med Brem"/>
    <x v="0"/>
    <n v="1000"/>
    <n v="0"/>
    <n v="0"/>
    <n v="0"/>
    <n v="0"/>
    <n v="0"/>
    <n v="0"/>
    <n v="0"/>
    <n v="18.190000000000001"/>
    <n v="0"/>
    <n v="163.24"/>
    <n v="20.88"/>
    <n v="19.29"/>
    <n v="221.6"/>
    <n v="1.5899999999999999"/>
  </r>
  <r>
    <x v="11"/>
    <x v="1"/>
    <x v="0"/>
    <s v="2675200"/>
    <n v="721980"/>
    <s v="Supplies-Other"/>
    <s v="Pulmon &amp; Sleep Med Brem"/>
    <x v="0"/>
    <m/>
    <n v="1505.48"/>
    <n v="483.68"/>
    <n v="545.01"/>
    <n v="999.5"/>
    <n v="0"/>
    <n v="0"/>
    <n v="0"/>
    <n v="230.92"/>
    <n v="729.13"/>
    <n v="472.2"/>
    <n v="452.48"/>
    <n v="268.04000000000002"/>
    <n v="5686.44"/>
    <n v="184.44"/>
  </r>
  <r>
    <x v="11"/>
    <x v="1"/>
    <x v="0"/>
    <s v="2675200"/>
    <n v="722000"/>
    <s v="Supplies-Freight Expense"/>
    <s v="Pulmon &amp; Sleep Med Brem"/>
    <x v="0"/>
    <m/>
    <n v="7.94"/>
    <n v="35.83"/>
    <n v="23.78"/>
    <n v="25.15"/>
    <n v="8.61"/>
    <n v="18.399999999999999"/>
    <n v="28.9"/>
    <n v="0"/>
    <n v="21.91"/>
    <n v="0"/>
    <n v="17.32"/>
    <n v="50.3"/>
    <n v="238.14"/>
    <n v="-32.979999999999997"/>
  </r>
  <r>
    <x v="12"/>
    <x v="1"/>
    <x v="0"/>
    <s v="2675200"/>
    <n v="730020"/>
    <s v="Rental and Leases-Equipment (DO NOT USE)"/>
    <s v="Pulmon &amp; Sleep Med Brem"/>
    <x v="0"/>
    <m/>
    <n v="66.22"/>
    <n v="66.22"/>
    <n v="66.22"/>
    <n v="66.22"/>
    <n v="43.4"/>
    <n v="0"/>
    <n v="132.27000000000001"/>
    <n v="0"/>
    <n v="66.040000000000006"/>
    <n v="66.040000000000006"/>
    <n v="66.040000000000006"/>
    <n v="0"/>
    <n v="638.66999999999996"/>
    <n v="66.040000000000006"/>
  </r>
  <r>
    <x v="12"/>
    <x v="1"/>
    <x v="0"/>
    <s v="2675200"/>
    <n v="730020"/>
    <s v="Rental and Leases-Copier Usage Fees (DO NOT USE)"/>
    <s v="Pulmon &amp; Sleep Med Brem"/>
    <x v="0"/>
    <n v="5100"/>
    <n v="0"/>
    <n v="0"/>
    <n v="0"/>
    <n v="0"/>
    <n v="0"/>
    <n v="0"/>
    <n v="0"/>
    <n v="0"/>
    <n v="0"/>
    <n v="0"/>
    <n v="35.32"/>
    <n v="39.74"/>
    <n v="75.06"/>
    <n v="-4.4200000000000017"/>
  </r>
  <r>
    <x v="15"/>
    <x v="1"/>
    <x v="0"/>
    <s v="2675200"/>
    <n v="731050"/>
    <s v="Refuse Disposal"/>
    <s v="Pulmon &amp; Sleep Med Brem"/>
    <x v="0"/>
    <m/>
    <n v="357.73"/>
    <n v="153.82"/>
    <n v="203.91"/>
    <n v="332.72"/>
    <n v="286.79000000000002"/>
    <n v="119.89"/>
    <n v="215.22"/>
    <n v="153.82"/>
    <n v="153.82"/>
    <n v="0"/>
    <n v="153.82"/>
    <n v="270.39999999999998"/>
    <n v="2401.94"/>
    <n v="-116.57999999999998"/>
  </r>
  <r>
    <x v="15"/>
    <x v="1"/>
    <x v="0"/>
    <s v="2675200"/>
    <n v="731060"/>
    <s v="Telephone"/>
    <s v="Pulmon &amp; Sleep Med Brem"/>
    <x v="0"/>
    <m/>
    <n v="2856.96"/>
    <n v="2662.12"/>
    <n v="1962.33"/>
    <n v="3279.69"/>
    <n v="2625.55"/>
    <n v="1963.49"/>
    <n v="3346.83"/>
    <n v="2637.58"/>
    <n v="2638.76"/>
    <n v="2638.76"/>
    <n v="2638.07"/>
    <n v="1982.89"/>
    <n v="31233.030000000006"/>
    <n v="655.18000000000006"/>
  </r>
  <r>
    <x v="16"/>
    <x v="1"/>
    <x v="0"/>
    <s v="2675200"/>
    <n v="732030"/>
    <s v="Repairs---Other"/>
    <s v="Pulmon &amp; Sleep Med Brem"/>
    <x v="0"/>
    <m/>
    <n v="0"/>
    <n v="0"/>
    <n v="0"/>
    <n v="40.880000000000003"/>
    <n v="0"/>
    <n v="0"/>
    <n v="0"/>
    <n v="0"/>
    <n v="0"/>
    <n v="0"/>
    <n v="0"/>
    <n v="0"/>
    <n v="40.880000000000003"/>
    <n v="0"/>
  </r>
  <r>
    <x v="16"/>
    <x v="1"/>
    <x v="0"/>
    <s v="2675200"/>
    <n v="733030"/>
    <s v="Maintenance Contracts-Other"/>
    <s v="Pulmon &amp; Sleep Med Brem"/>
    <x v="0"/>
    <m/>
    <n v="0"/>
    <n v="0"/>
    <n v="0"/>
    <n v="0"/>
    <n v="0"/>
    <n v="2987.6"/>
    <n v="0"/>
    <n v="0"/>
    <n v="0"/>
    <n v="0"/>
    <n v="0"/>
    <n v="0"/>
    <n v="2987.6"/>
    <n v="0"/>
  </r>
  <r>
    <x v="13"/>
    <x v="1"/>
    <x v="0"/>
    <s v="2675200"/>
    <n v="735070"/>
    <s v="Depreciation-Movable Equipment"/>
    <s v="Pulmon &amp; Sleep Med Brem"/>
    <x v="0"/>
    <m/>
    <n v="1987.24"/>
    <n v="620.45000000000005"/>
    <n v="572.33000000000004"/>
    <n v="572.29999999999995"/>
    <n v="559.91999999999996"/>
    <n v="559.9"/>
    <n v="559.91999999999996"/>
    <n v="559.89"/>
    <n v="559.91999999999996"/>
    <n v="559.89"/>
    <n v="559.91999999999996"/>
    <n v="559.89"/>
    <n v="8231.57"/>
    <n v="2.9999999999972715E-2"/>
  </r>
  <r>
    <x v="0"/>
    <x v="1"/>
    <x v="0"/>
    <s v="2675200"/>
    <n v="740020"/>
    <s v="Education-Registration Fees"/>
    <s v="Pulmon &amp; Sleep Med Brem"/>
    <x v="0"/>
    <m/>
    <n v="0"/>
    <n v="0"/>
    <n v="45"/>
    <n v="0"/>
    <n v="0"/>
    <n v="0"/>
    <n v="0"/>
    <n v="0"/>
    <n v="0"/>
    <n v="0"/>
    <n v="0"/>
    <n v="0"/>
    <n v="45"/>
    <n v="0"/>
  </r>
  <r>
    <x v="0"/>
    <x v="1"/>
    <x v="0"/>
    <s v="2675200"/>
    <n v="740022"/>
    <s v="Education-Physician"/>
    <s v="Pulmon &amp; Sleep Med Brem"/>
    <x v="0"/>
    <m/>
    <n v="0"/>
    <n v="2500"/>
    <n v="0"/>
    <n v="0"/>
    <n v="0"/>
    <n v="0"/>
    <n v="0"/>
    <n v="0"/>
    <n v="1200"/>
    <n v="0"/>
    <n v="0"/>
    <n v="0"/>
    <n v="3700"/>
    <n v="0"/>
  </r>
  <r>
    <x v="0"/>
    <x v="1"/>
    <x v="0"/>
    <s v="2675200"/>
    <n v="740022"/>
    <s v="Books-Physician"/>
    <s v="Pulmon &amp; Sleep Med Brem"/>
    <x v="0"/>
    <n v="2000"/>
    <n v="0"/>
    <n v="0"/>
    <n v="125"/>
    <n v="0"/>
    <n v="0"/>
    <n v="0"/>
    <n v="0"/>
    <n v="1315"/>
    <n v="623.20000000000005"/>
    <n v="0"/>
    <n v="0"/>
    <n v="4375.32"/>
    <n v="6438.5199999999995"/>
    <n v="-4375.32"/>
  </r>
  <r>
    <x v="0"/>
    <x v="1"/>
    <x v="0"/>
    <s v="2675200"/>
    <n v="740023"/>
    <s v="Education-Advanced Practice Clinician"/>
    <s v="Pulmon &amp; Sleep Med Brem"/>
    <x v="0"/>
    <m/>
    <n v="0"/>
    <n v="0"/>
    <n v="0"/>
    <n v="0"/>
    <n v="0"/>
    <n v="200"/>
    <n v="0"/>
    <n v="0"/>
    <n v="0"/>
    <n v="0"/>
    <n v="0"/>
    <n v="0"/>
    <n v="200"/>
    <n v="0"/>
  </r>
  <r>
    <x v="0"/>
    <x v="1"/>
    <x v="0"/>
    <s v="2675200"/>
    <n v="740023"/>
    <s v="Books-Advanced Practice Clinician"/>
    <s v="Pulmon &amp; Sleep Med Brem"/>
    <x v="0"/>
    <n v="2000"/>
    <n v="0"/>
    <n v="0"/>
    <n v="0"/>
    <n v="0"/>
    <n v="0"/>
    <n v="151.51"/>
    <n v="0"/>
    <n v="0"/>
    <n v="0"/>
    <n v="0"/>
    <n v="0"/>
    <n v="159.13999999999999"/>
    <n v="310.64999999999998"/>
    <n v="-159.13999999999999"/>
  </r>
  <r>
    <x v="8"/>
    <x v="1"/>
    <x v="0"/>
    <s v="2675200"/>
    <n v="741012"/>
    <s v="Physician Liab Insurance-CHI Program"/>
    <s v="Pulmon &amp; Sleep Med Brem"/>
    <x v="0"/>
    <m/>
    <n v="5935.05"/>
    <n v="5935.05"/>
    <n v="5935.05"/>
    <n v="5935.05"/>
    <n v="5935.07"/>
    <n v="5935.05"/>
    <n v="5990.09"/>
    <n v="5990.07"/>
    <n v="5990.09"/>
    <n v="5990.08"/>
    <n v="5990.1"/>
    <n v="5990.08"/>
    <n v="71550.830000000016"/>
    <n v="2.0000000000436557E-2"/>
  </r>
  <r>
    <x v="0"/>
    <x v="1"/>
    <x v="0"/>
    <s v="2675200"/>
    <n v="743022"/>
    <s v="Dues-Physician"/>
    <s v="Pulmon &amp; Sleep Med Brem"/>
    <x v="0"/>
    <m/>
    <n v="375"/>
    <n v="0"/>
    <n v="0"/>
    <n v="0"/>
    <n v="0"/>
    <n v="0"/>
    <n v="0"/>
    <n v="5810"/>
    <n v="0"/>
    <n v="0"/>
    <n v="0"/>
    <n v="0"/>
    <n v="6185"/>
    <n v="0"/>
  </r>
  <r>
    <x v="0"/>
    <x v="1"/>
    <x v="0"/>
    <s v="2675200"/>
    <n v="743023"/>
    <s v="Dues-Advanced Practice Clinician"/>
    <s v="Pulmon &amp; Sleep Med Brem"/>
    <x v="0"/>
    <m/>
    <n v="0"/>
    <n v="0"/>
    <n v="0"/>
    <n v="0"/>
    <n v="0"/>
    <n v="0"/>
    <n v="0"/>
    <n v="270"/>
    <n v="0"/>
    <n v="0"/>
    <n v="0"/>
    <n v="375"/>
    <n v="645"/>
    <n v="-375"/>
  </r>
  <r>
    <x v="0"/>
    <x v="1"/>
    <x v="0"/>
    <s v="2675200"/>
    <n v="743042"/>
    <s v="Subscriptions-Physician"/>
    <s v="Pulmon &amp; Sleep Med Brem"/>
    <x v="0"/>
    <m/>
    <n v="0"/>
    <n v="195"/>
    <n v="0"/>
    <n v="0"/>
    <n v="0"/>
    <n v="0"/>
    <n v="0"/>
    <n v="0"/>
    <n v="467.78"/>
    <n v="0"/>
    <n v="0"/>
    <n v="0"/>
    <n v="662.78"/>
    <n v="0"/>
  </r>
  <r>
    <x v="0"/>
    <x v="1"/>
    <x v="0"/>
    <s v="2675200"/>
    <n v="743043"/>
    <s v="Subscriptions-Advanced Practice Clinician"/>
    <s v="Pulmon &amp; Sleep Med Brem"/>
    <x v="0"/>
    <m/>
    <n v="151.51"/>
    <n v="0"/>
    <n v="0"/>
    <n v="0"/>
    <n v="0"/>
    <n v="0"/>
    <n v="0"/>
    <n v="0"/>
    <n v="0"/>
    <n v="0"/>
    <n v="0"/>
    <n v="0"/>
    <n v="151.51"/>
    <n v="0"/>
  </r>
  <r>
    <x v="0"/>
    <x v="1"/>
    <x v="0"/>
    <s v="2675200"/>
    <n v="749510"/>
    <s v="Miscellaneous Expenses"/>
    <s v="Pulmon &amp; Sleep Med Brem"/>
    <x v="0"/>
    <m/>
    <n v="-30.49"/>
    <n v="-344.51"/>
    <n v="0"/>
    <n v="0"/>
    <n v="926.81"/>
    <n v="-926.81"/>
    <n v="0"/>
    <n v="0"/>
    <n v="0"/>
    <n v="0"/>
    <n v="0"/>
    <n v="0"/>
    <n v="-375"/>
    <n v="0"/>
  </r>
  <r>
    <x v="0"/>
    <x v="1"/>
    <x v="0"/>
    <s v="2675200"/>
    <n v="749510"/>
    <s v="Licenses"/>
    <s v="Pulmon &amp; Sleep Med Brem"/>
    <x v="0"/>
    <n v="1002"/>
    <n v="0"/>
    <n v="0"/>
    <n v="0"/>
    <n v="450"/>
    <n v="0"/>
    <n v="0"/>
    <n v="0"/>
    <n v="0"/>
    <n v="150"/>
    <n v="0"/>
    <n v="0"/>
    <n v="0"/>
    <n v="600"/>
    <n v="0"/>
  </r>
  <r>
    <x v="0"/>
    <x v="1"/>
    <x v="0"/>
    <s v="2675200"/>
    <n v="749510"/>
    <s v="RICE Rewards"/>
    <s v="Pulmon &amp; Sleep Med Brem"/>
    <x v="0"/>
    <n v="5100"/>
    <n v="0"/>
    <n v="0"/>
    <n v="0"/>
    <n v="0"/>
    <n v="0"/>
    <n v="0"/>
    <n v="0"/>
    <n v="0"/>
    <n v="0"/>
    <n v="0"/>
    <n v="0"/>
    <n v="73.25"/>
    <n v="73.25"/>
    <n v="-73.25"/>
  </r>
  <r>
    <x v="0"/>
    <x v="1"/>
    <x v="0"/>
    <s v="2675200"/>
    <n v="749512"/>
    <s v="Licenses-Physician"/>
    <s v="Pulmon &amp; Sleep Med Brem"/>
    <x v="0"/>
    <n v="2000"/>
    <n v="0"/>
    <n v="0"/>
    <n v="0"/>
    <n v="0"/>
    <n v="0"/>
    <n v="0"/>
    <n v="0"/>
    <n v="2704.5"/>
    <n v="0"/>
    <n v="0"/>
    <n v="0"/>
    <n v="731"/>
    <n v="3435.5"/>
    <n v="-731"/>
  </r>
  <r>
    <x v="0"/>
    <x v="1"/>
    <x v="0"/>
    <s v="2675200"/>
    <n v="749513"/>
    <s v="Licenses-Advanced Practice Clinician"/>
    <s v="Pulmon &amp; Sleep Med Brem"/>
    <x v="0"/>
    <n v="2000"/>
    <n v="731"/>
    <n v="0"/>
    <n v="0"/>
    <n v="0"/>
    <n v="0"/>
    <n v="193"/>
    <n v="0"/>
    <n v="0"/>
    <n v="0"/>
    <n v="120"/>
    <n v="0"/>
    <n v="120"/>
    <n v="1164"/>
    <n v="-120"/>
  </r>
  <r>
    <x v="0"/>
    <x v="1"/>
    <x v="0"/>
    <s v="2675200"/>
    <n v="749530"/>
    <s v="Travel"/>
    <s v="Pulmon &amp; Sleep Med Brem"/>
    <x v="0"/>
    <m/>
    <n v="0"/>
    <n v="27"/>
    <n v="0"/>
    <n v="0"/>
    <n v="12"/>
    <n v="12"/>
    <n v="0"/>
    <n v="0"/>
    <n v="16"/>
    <n v="0"/>
    <n v="0"/>
    <n v="52"/>
    <n v="119"/>
    <n v="-52"/>
  </r>
  <r>
    <x v="0"/>
    <x v="1"/>
    <x v="0"/>
    <s v="2675200"/>
    <n v="749530"/>
    <s v="Mileage"/>
    <s v="Pulmon &amp; Sleep Med Brem"/>
    <x v="0"/>
    <n v="1001"/>
    <n v="0"/>
    <n v="113.36"/>
    <n v="23.44"/>
    <n v="0"/>
    <n v="122.08"/>
    <n v="141.16999999999999"/>
    <n v="8.7200000000000006"/>
    <n v="0"/>
    <n v="116"/>
    <n v="0"/>
    <n v="0"/>
    <n v="315.52"/>
    <n v="840.29"/>
    <n v="-315.52"/>
  </r>
  <r>
    <x v="0"/>
    <x v="1"/>
    <x v="0"/>
    <s v="2675200"/>
    <n v="749532"/>
    <s v="Travel-Physician"/>
    <s v="Pulmon &amp; Sleep Med Brem"/>
    <x v="0"/>
    <m/>
    <n v="0"/>
    <n v="0"/>
    <n v="0"/>
    <n v="0"/>
    <n v="0"/>
    <n v="818.34"/>
    <n v="0"/>
    <n v="0"/>
    <n v="0"/>
    <n v="0"/>
    <n v="0"/>
    <n v="0"/>
    <n v="818.34"/>
    <n v="0"/>
  </r>
  <r>
    <x v="0"/>
    <x v="1"/>
    <x v="0"/>
    <s v="2675200"/>
    <n v="749533"/>
    <s v="Travel-Advanced Practice Clinician"/>
    <s v="Pulmon &amp; Sleep Med Brem"/>
    <x v="0"/>
    <m/>
    <n v="0"/>
    <n v="0"/>
    <n v="0"/>
    <n v="0"/>
    <n v="0"/>
    <n v="6"/>
    <n v="0"/>
    <n v="0"/>
    <n v="0"/>
    <n v="0"/>
    <n v="0"/>
    <n v="303.51"/>
    <n v="309.51"/>
    <n v="-303.51"/>
  </r>
  <r>
    <x v="0"/>
    <x v="1"/>
    <x v="0"/>
    <s v="2675200"/>
    <n v="749533"/>
    <s v="Vehicle Expense-Advanced Practice Clinician"/>
    <s v="Pulmon &amp; Sleep Med Brem"/>
    <x v="0"/>
    <n v="2001"/>
    <n v="0"/>
    <n v="0"/>
    <n v="0"/>
    <n v="0"/>
    <n v="0"/>
    <n v="62.13"/>
    <n v="0"/>
    <n v="0"/>
    <n v="0"/>
    <n v="0"/>
    <n v="0"/>
    <n v="0"/>
    <n v="62.13"/>
    <n v="0"/>
  </r>
  <r>
    <x v="0"/>
    <x v="1"/>
    <x v="0"/>
    <s v="2675200"/>
    <n v="766010"/>
    <s v="Property Tax"/>
    <s v="Pulmon &amp; Sleep Med Brem"/>
    <x v="0"/>
    <m/>
    <n v="415.32"/>
    <n v="415.32"/>
    <n v="415.32"/>
    <n v="-1245.96"/>
    <n v="0"/>
    <n v="0"/>
    <n v="0"/>
    <n v="0"/>
    <n v="0"/>
    <n v="213.47"/>
    <n v="-2278.5300000000002"/>
    <n v="213.4"/>
    <n v="-1851.6600000000003"/>
    <n v="-2491.9300000000003"/>
  </r>
  <r>
    <x v="9"/>
    <x v="1"/>
    <x v="0"/>
    <s v="2675200"/>
    <n v="800015"/>
    <s v="Interest Income-Ext to CHI"/>
    <s v="Pulmon &amp; Sleep Med Brem"/>
    <x v="0"/>
    <m/>
    <n v="-37.15"/>
    <n v="-34.36"/>
    <n v="-43.7"/>
    <n v="-77.61"/>
    <n v="-70.36"/>
    <n v="-67.8"/>
    <n v="-62.89"/>
    <n v="-52.36"/>
    <n v="-53.06"/>
    <n v="-46.61"/>
    <n v="-43.25"/>
    <n v="-37.1"/>
    <n v="-626.25"/>
    <n v="-6.1499999999999986"/>
  </r>
  <r>
    <x v="1"/>
    <x v="1"/>
    <x v="0"/>
    <s v="2676200"/>
    <n v="400029"/>
    <s v="MD Practice Other Rev--Medicare"/>
    <s v="Vascular Surgeons"/>
    <x v="0"/>
    <n v="1100"/>
    <n v="-7425"/>
    <n v="-6727"/>
    <n v="-7372"/>
    <n v="-10602"/>
    <n v="-4649"/>
    <n v="-2917"/>
    <n v="-7294"/>
    <n v="-5609"/>
    <n v="-2162"/>
    <n v="-6814"/>
    <n v="-8725"/>
    <n v="-6020"/>
    <n v="-76316"/>
    <n v="-2705"/>
  </r>
  <r>
    <x v="1"/>
    <x v="1"/>
    <x v="0"/>
    <s v="2676200"/>
    <n v="400029"/>
    <s v="MD Practice Other Rev--Medicaid"/>
    <s v="Vascular Surgeons"/>
    <x v="0"/>
    <n v="1200"/>
    <n v="-829"/>
    <n v="-1650"/>
    <n v="-633"/>
    <n v="-988"/>
    <n v="-1495"/>
    <n v="-840"/>
    <n v="-1026"/>
    <n v="-844"/>
    <n v="91"/>
    <n v="-1172"/>
    <n v="-828"/>
    <n v="-851"/>
    <n v="-11065"/>
    <n v="23"/>
  </r>
  <r>
    <x v="1"/>
    <x v="1"/>
    <x v="0"/>
    <s v="2676200"/>
    <n v="400029"/>
    <s v="MD Practice Other Rev--Comm Insurance"/>
    <s v="Vascular Surgeons"/>
    <x v="0"/>
    <n v="1300"/>
    <n v="-326"/>
    <n v="0"/>
    <n v="0"/>
    <n v="0"/>
    <n v="0"/>
    <n v="-92"/>
    <n v="0"/>
    <n v="0"/>
    <n v="-90"/>
    <n v="0"/>
    <n v="0"/>
    <n v="0"/>
    <n v="-508"/>
    <n v="0"/>
  </r>
  <r>
    <x v="1"/>
    <x v="1"/>
    <x v="0"/>
    <s v="2676200"/>
    <n v="400029"/>
    <s v="MD Practice Other Rev--BCBS Comm"/>
    <s v="Vascular Surgeons"/>
    <x v="0"/>
    <n v="1301"/>
    <n v="-720"/>
    <n v="-433"/>
    <n v="0"/>
    <n v="-421"/>
    <n v="0"/>
    <n v="0"/>
    <n v="0"/>
    <n v="0"/>
    <n v="0"/>
    <n v="0"/>
    <n v="0"/>
    <n v="0"/>
    <n v="-1574"/>
    <n v="0"/>
  </r>
  <r>
    <x v="1"/>
    <x v="1"/>
    <x v="0"/>
    <s v="2676200"/>
    <n v="400029"/>
    <s v="MD Practice Other Rev--Managed Care"/>
    <s v="Vascular Surgeons"/>
    <x v="0"/>
    <n v="1400"/>
    <n v="-1266"/>
    <n v="-24"/>
    <n v="-544"/>
    <n v="-243"/>
    <n v="-723"/>
    <n v="-1168"/>
    <n v="-699"/>
    <n v="-92"/>
    <n v="-473"/>
    <n v="-433"/>
    <n v="-1351"/>
    <n v="-989"/>
    <n v="-8005"/>
    <n v="-362"/>
  </r>
  <r>
    <x v="1"/>
    <x v="1"/>
    <x v="0"/>
    <s v="2676200"/>
    <n v="400029"/>
    <s v="MD Practice Other Rev--Self Pay"/>
    <s v="Vascular Surgeons"/>
    <x v="0"/>
    <n v="1500"/>
    <n v="0"/>
    <n v="0"/>
    <n v="0"/>
    <n v="-184"/>
    <n v="-741"/>
    <n v="0"/>
    <n v="92"/>
    <n v="0"/>
    <n v="-92"/>
    <n v="0"/>
    <n v="92"/>
    <n v="0"/>
    <n v="-833"/>
    <n v="92"/>
  </r>
  <r>
    <x v="1"/>
    <x v="1"/>
    <x v="0"/>
    <s v="2676200"/>
    <n v="400029"/>
    <s v="MD Practice Other Rev--Other"/>
    <s v="Vascular Surgeons"/>
    <x v="0"/>
    <n v="1700"/>
    <n v="40"/>
    <n v="-40"/>
    <n v="-473"/>
    <n v="0"/>
    <n v="0"/>
    <n v="-278"/>
    <n v="-278"/>
    <n v="-433"/>
    <n v="0"/>
    <n v="0"/>
    <n v="0"/>
    <n v="0"/>
    <n v="-1462"/>
    <n v="0"/>
  </r>
  <r>
    <x v="1"/>
    <x v="1"/>
    <x v="0"/>
    <s v="2676200"/>
    <n v="400040"/>
    <s v="Physician Svcs Rev--Medicare"/>
    <s v="Vascular Surgeons"/>
    <x v="0"/>
    <n v="1100"/>
    <n v="-269593"/>
    <n v="-302627"/>
    <n v="-300375.25"/>
    <n v="-379132.5"/>
    <n v="-323953.75"/>
    <n v="-277527"/>
    <n v="-309297"/>
    <n v="-222728.5"/>
    <n v="-208151"/>
    <n v="-381742"/>
    <n v="-368152"/>
    <n v="-363368.25"/>
    <n v="-3706647.25"/>
    <n v="-4783.75"/>
  </r>
  <r>
    <x v="1"/>
    <x v="1"/>
    <x v="0"/>
    <s v="2676200"/>
    <n v="400040"/>
    <s v="Physician Svcs Rev--Medicaid"/>
    <s v="Vascular Surgeons"/>
    <x v="0"/>
    <n v="1200"/>
    <n v="-52238"/>
    <n v="-53796"/>
    <n v="-61889"/>
    <n v="-50877"/>
    <n v="-61718"/>
    <n v="-73866"/>
    <n v="-49195"/>
    <n v="-52767"/>
    <n v="-27443"/>
    <n v="-25275"/>
    <n v="-47437"/>
    <n v="-77522.5"/>
    <n v="-634023.5"/>
    <n v="30085.5"/>
  </r>
  <r>
    <x v="1"/>
    <x v="1"/>
    <x v="0"/>
    <s v="2676200"/>
    <n v="400040"/>
    <s v="Physician Svcs Rev--Comm Insurance"/>
    <s v="Vascular Surgeons"/>
    <x v="0"/>
    <n v="1300"/>
    <n v="-3130"/>
    <n v="-1217"/>
    <n v="-1380"/>
    <n v="-4260"/>
    <n v="-3801"/>
    <n v="-7657"/>
    <n v="-1360"/>
    <n v="-3141"/>
    <n v="-5153"/>
    <n v="-2161"/>
    <n v="-14731"/>
    <n v="-2334"/>
    <n v="-50325"/>
    <n v="-12397"/>
  </r>
  <r>
    <x v="1"/>
    <x v="1"/>
    <x v="0"/>
    <s v="2676200"/>
    <n v="400040"/>
    <s v="Physician Svcs Rev--BCBS Comm"/>
    <s v="Vascular Surgeons"/>
    <x v="0"/>
    <n v="1301"/>
    <n v="-18347"/>
    <n v="-8448"/>
    <n v="-6780"/>
    <n v="-24921"/>
    <n v="-6176"/>
    <n v="-4239"/>
    <n v="-3594"/>
    <n v="-2538"/>
    <n v="-5003"/>
    <n v="-7437"/>
    <n v="-4988"/>
    <n v="-16510"/>
    <n v="-108981"/>
    <n v="11522"/>
  </r>
  <r>
    <x v="1"/>
    <x v="1"/>
    <x v="0"/>
    <s v="2676200"/>
    <n v="400040"/>
    <s v="Physician Svcs Rev--Managed Care"/>
    <s v="Vascular Surgeons"/>
    <x v="0"/>
    <n v="1400"/>
    <n v="-40321"/>
    <n v="-60333"/>
    <n v="-55853"/>
    <n v="-36967"/>
    <n v="-35566"/>
    <n v="-56602"/>
    <n v="-28944"/>
    <n v="-36950"/>
    <n v="-36050"/>
    <n v="-45667"/>
    <n v="-51378"/>
    <n v="-35168"/>
    <n v="-519799"/>
    <n v="-16210"/>
  </r>
  <r>
    <x v="1"/>
    <x v="1"/>
    <x v="0"/>
    <s v="2676200"/>
    <n v="400040"/>
    <s v="Physician Svcs Rev--Self Pay"/>
    <s v="Vascular Surgeons"/>
    <x v="0"/>
    <n v="1500"/>
    <n v="691"/>
    <n v="-5619"/>
    <n v="-658"/>
    <n v="-5062"/>
    <n v="-20349"/>
    <n v="-9128"/>
    <n v="6463"/>
    <n v="-749"/>
    <n v="-1334"/>
    <n v="-695"/>
    <n v="-628"/>
    <n v="-14228"/>
    <n v="-51296"/>
    <n v="13600"/>
  </r>
  <r>
    <x v="1"/>
    <x v="1"/>
    <x v="0"/>
    <s v="2676200"/>
    <n v="400040"/>
    <s v="Physician Svcs Rev--Other"/>
    <s v="Vascular Surgeons"/>
    <x v="0"/>
    <n v="1700"/>
    <n v="-9861"/>
    <n v="-23833"/>
    <n v="-13018"/>
    <n v="-7803"/>
    <n v="-15905"/>
    <n v="-7781"/>
    <n v="-7804"/>
    <n v="-20126"/>
    <n v="-7002"/>
    <n v="-7446"/>
    <n v="-5195"/>
    <n v="-20600"/>
    <n v="-146374"/>
    <n v="15405"/>
  </r>
  <r>
    <x v="2"/>
    <x v="1"/>
    <x v="0"/>
    <s v="2676200"/>
    <n v="450029"/>
    <s v="Contr Allow--MD Other-Medicare"/>
    <s v="Vascular Surgeons"/>
    <x v="0"/>
    <n v="1100"/>
    <n v="3026.04"/>
    <n v="3517.9"/>
    <n v="5922.69"/>
    <n v="5811.81"/>
    <n v="3619.71"/>
    <n v="3679.53"/>
    <n v="2222.42"/>
    <n v="3456.58"/>
    <n v="3750.65"/>
    <n v="2381.41"/>
    <n v="5711.99"/>
    <n v="4755.24"/>
    <n v="47855.97"/>
    <n v="956.75"/>
  </r>
  <r>
    <x v="2"/>
    <x v="1"/>
    <x v="0"/>
    <s v="2676200"/>
    <n v="450029"/>
    <s v="Contr Allow--MD Other-Medicaid"/>
    <s v="Vascular Surgeons"/>
    <x v="0"/>
    <n v="1200"/>
    <n v="445.76"/>
    <n v="1070.33"/>
    <n v="1209.3499999999999"/>
    <n v="633.28"/>
    <n v="1006.04"/>
    <n v="900.06"/>
    <n v="726.25"/>
    <n v="31.23"/>
    <n v="452.21"/>
    <n v="813.71"/>
    <n v="805.62"/>
    <n v="1008.11"/>
    <n v="9101.9499999999989"/>
    <n v="-202.49"/>
  </r>
  <r>
    <x v="2"/>
    <x v="1"/>
    <x v="0"/>
    <s v="2676200"/>
    <n v="450029"/>
    <s v="Contr Allow--MD Other-Comm Insurance"/>
    <s v="Vascular Surgeons"/>
    <x v="0"/>
    <n v="1300"/>
    <n v="0"/>
    <n v="0"/>
    <n v="0"/>
    <n v="0"/>
    <n v="0"/>
    <n v="0"/>
    <n v="0"/>
    <n v="171.45"/>
    <n v="36.049999999999997"/>
    <n v="0"/>
    <n v="0"/>
    <n v="0"/>
    <n v="207.5"/>
    <n v="0"/>
  </r>
  <r>
    <x v="2"/>
    <x v="1"/>
    <x v="0"/>
    <s v="2676200"/>
    <n v="450029"/>
    <s v="Contr Allow--MD Other BCBS Comm"/>
    <s v="Vascular Surgeons"/>
    <x v="0"/>
    <n v="1301"/>
    <n v="331.4"/>
    <n v="434.56"/>
    <n v="0"/>
    <n v="254.98"/>
    <n v="84.62"/>
    <n v="0"/>
    <n v="0"/>
    <n v="0"/>
    <n v="0"/>
    <n v="0"/>
    <n v="0"/>
    <n v="0"/>
    <n v="1105.56"/>
    <n v="0"/>
  </r>
  <r>
    <x v="2"/>
    <x v="1"/>
    <x v="0"/>
    <s v="2676200"/>
    <n v="450029"/>
    <s v="Contr Allow--MD Other-Managed Care"/>
    <s v="Vascular Surgeons"/>
    <x v="0"/>
    <n v="1400"/>
    <n v="178.18"/>
    <n v="529.83000000000004"/>
    <n v="40.159999999999997"/>
    <n v="251.37"/>
    <n v="125.44"/>
    <n v="408.19"/>
    <n v="441.41"/>
    <n v="163.9"/>
    <n v="253.11"/>
    <n v="486.52"/>
    <n v="291.07"/>
    <n v="517.27"/>
    <n v="3686.4500000000003"/>
    <n v="-226.2"/>
  </r>
  <r>
    <x v="2"/>
    <x v="1"/>
    <x v="0"/>
    <s v="2676200"/>
    <n v="450029"/>
    <s v="Admin Adjust-MD Other-Self Pay"/>
    <s v="Vascular Surgeons"/>
    <x v="0"/>
    <n v="1600"/>
    <n v="3.79"/>
    <n v="6.63"/>
    <n v="0.06"/>
    <n v="67.88"/>
    <n v="274.17"/>
    <n v="0"/>
    <n v="-34.04"/>
    <n v="0"/>
    <n v="34.04"/>
    <n v="0"/>
    <n v="-34.04"/>
    <n v="926"/>
    <n v="1244.49"/>
    <n v="-960.04"/>
  </r>
  <r>
    <x v="2"/>
    <x v="1"/>
    <x v="0"/>
    <s v="2676200"/>
    <n v="450029"/>
    <s v="Contr Allow--MD Other-Other"/>
    <s v="Vascular Surgeons"/>
    <x v="0"/>
    <n v="1700"/>
    <n v="-14.69"/>
    <n v="0"/>
    <n v="217.04"/>
    <n v="0"/>
    <n v="25.31"/>
    <n v="0"/>
    <n v="351.24"/>
    <n v="0"/>
    <n v="273.75"/>
    <n v="263.14"/>
    <n v="0"/>
    <n v="0"/>
    <n v="1115.79"/>
    <n v="0"/>
  </r>
  <r>
    <x v="2"/>
    <x v="1"/>
    <x v="0"/>
    <s v="2676200"/>
    <n v="450040"/>
    <s v="Contr Allow--Phys Svcs--Mcare"/>
    <s v="Vascular Surgeons"/>
    <x v="0"/>
    <n v="1100"/>
    <n v="187600.86"/>
    <n v="198133.81"/>
    <n v="201566.99"/>
    <n v="272559.53000000003"/>
    <n v="235860.82"/>
    <n v="231505.8"/>
    <n v="180408.81"/>
    <n v="137950.98000000001"/>
    <n v="172323.91"/>
    <n v="168528.72"/>
    <n v="239434.2"/>
    <n v="216127.2"/>
    <n v="2442001.6300000004"/>
    <n v="23307"/>
  </r>
  <r>
    <x v="2"/>
    <x v="1"/>
    <x v="0"/>
    <s v="2676200"/>
    <n v="450040"/>
    <s v="Contr Allow--Phys Svcs--Mcaid"/>
    <s v="Vascular Surgeons"/>
    <x v="0"/>
    <n v="1200"/>
    <n v="47599.61"/>
    <n v="60096.82"/>
    <n v="38764.29"/>
    <n v="51941.72"/>
    <n v="33131.660000000003"/>
    <n v="52920.54"/>
    <n v="53996.32"/>
    <n v="26061.31"/>
    <n v="29468.48"/>
    <n v="25253.31"/>
    <n v="43979.9"/>
    <n v="28410.78"/>
    <n v="491624.74"/>
    <n v="15569.120000000003"/>
  </r>
  <r>
    <x v="2"/>
    <x v="1"/>
    <x v="0"/>
    <s v="2676200"/>
    <n v="450040"/>
    <s v="Contr Allow--Phys Svcs--Comm Insurance"/>
    <s v="Vascular Surgeons"/>
    <x v="0"/>
    <n v="1300"/>
    <n v="215.26"/>
    <n v="784.95"/>
    <n v="413.85"/>
    <n v="907.62"/>
    <n v="373.86"/>
    <n v="731.73"/>
    <n v="995.3"/>
    <n v="1508.23"/>
    <n v="4346.43"/>
    <n v="565.04999999999995"/>
    <n v="9.1"/>
    <n v="9364.7999999999993"/>
    <n v="20216.18"/>
    <n v="-9355.6999999999989"/>
  </r>
  <r>
    <x v="2"/>
    <x v="1"/>
    <x v="0"/>
    <s v="2676200"/>
    <n v="450040"/>
    <s v="Contr Allow--Phys Svcs--BCBS Comm Ins"/>
    <s v="Vascular Surgeons"/>
    <x v="0"/>
    <n v="1301"/>
    <n v="18292.96"/>
    <n v="13995.74"/>
    <n v="5546.86"/>
    <n v="15992.72"/>
    <n v="2379.84"/>
    <n v="2163.13"/>
    <n v="1206.82"/>
    <n v="4812.34"/>
    <n v="1343.05"/>
    <n v="3793.84"/>
    <n v="2566.5100000000002"/>
    <n v="2698.1"/>
    <n v="74791.909999999989"/>
    <n v="-131.58999999999969"/>
  </r>
  <r>
    <x v="2"/>
    <x v="1"/>
    <x v="0"/>
    <s v="2676200"/>
    <n v="450040"/>
    <s v="Contr Allow--Phys Svcs--Managed Care"/>
    <s v="Vascular Surgeons"/>
    <x v="0"/>
    <n v="1400"/>
    <n v="38320.9"/>
    <n v="12785.31"/>
    <n v="50489.02"/>
    <n v="29771.78"/>
    <n v="28410.45"/>
    <n v="21818.400000000001"/>
    <n v="9228.86"/>
    <n v="35167.78"/>
    <n v="17125.64"/>
    <n v="15996.71"/>
    <n v="25852.01"/>
    <n v="25806.42"/>
    <n v="310773.27999999997"/>
    <n v="45.590000000000146"/>
  </r>
  <r>
    <x v="2"/>
    <x v="1"/>
    <x v="0"/>
    <s v="2676200"/>
    <n v="450040"/>
    <s v="Contr Allow--Phys Svcs--BCBS Mgnd Care"/>
    <s v="Vascular Surgeons"/>
    <x v="0"/>
    <n v="1401"/>
    <n v="-26107.200000000001"/>
    <n v="17663.060000000001"/>
    <n v="-6581.25"/>
    <n v="-5197.2299999999996"/>
    <n v="12632.83"/>
    <n v="-5290.9"/>
    <n v="23970.77"/>
    <n v="20975.47"/>
    <n v="-29906.62"/>
    <n v="76250.490000000005"/>
    <n v="19471.650000000001"/>
    <n v="-2163.4299999999998"/>
    <n v="95717.640000000014"/>
    <n v="21635.08"/>
  </r>
  <r>
    <x v="2"/>
    <x v="1"/>
    <x v="0"/>
    <s v="2676200"/>
    <n v="450040"/>
    <s v="Prompt Pay Disc-Phys Svcs-Self Pay"/>
    <s v="Vascular Surgeons"/>
    <x v="0"/>
    <n v="1500"/>
    <n v="0"/>
    <n v="172.3"/>
    <n v="467.96"/>
    <n v="0"/>
    <n v="0"/>
    <n v="0"/>
    <n v="0"/>
    <n v="0"/>
    <n v="0"/>
    <n v="0"/>
    <n v="0"/>
    <n v="0"/>
    <n v="640.26"/>
    <n v="0"/>
  </r>
  <r>
    <x v="2"/>
    <x v="1"/>
    <x v="0"/>
    <s v="2676200"/>
    <n v="450040"/>
    <s v="Admin Adjust-Phys Svcs-Self Pay"/>
    <s v="Vascular Surgeons"/>
    <x v="0"/>
    <n v="1600"/>
    <n v="-189.06"/>
    <n v="8627.57"/>
    <n v="284.56"/>
    <n v="1953.38"/>
    <n v="8287.56"/>
    <n v="3303.36"/>
    <n v="-2367.31"/>
    <n v="331.91"/>
    <n v="504.03"/>
    <n v="343.49"/>
    <n v="251.63"/>
    <n v="120119.47"/>
    <n v="141450.59"/>
    <n v="-119867.84"/>
  </r>
  <r>
    <x v="2"/>
    <x v="1"/>
    <x v="0"/>
    <s v="2676200"/>
    <n v="450040"/>
    <s v="Contr Allow--Phys Svcs--Other"/>
    <s v="Vascular Surgeons"/>
    <x v="0"/>
    <n v="1700"/>
    <n v="8083.83"/>
    <n v="7458.28"/>
    <n v="15593.02"/>
    <n v="8504.32"/>
    <n v="5455.3"/>
    <n v="7762.29"/>
    <n v="3250.17"/>
    <n v="14996.17"/>
    <n v="3184.86"/>
    <n v="8770.61"/>
    <n v="2841.59"/>
    <n v="6782.44"/>
    <n v="92682.880000000005"/>
    <n v="-3940.8499999999995"/>
  </r>
  <r>
    <x v="3"/>
    <x v="1"/>
    <x v="0"/>
    <s v="2676200"/>
    <n v="470040"/>
    <s v="Charity Care-Physician Svcs"/>
    <s v="Vascular Surgeons"/>
    <x v="0"/>
    <m/>
    <n v="1741.09"/>
    <n v="4193.1499999999996"/>
    <n v="-225.82"/>
    <n v="1651.65"/>
    <n v="2717.25"/>
    <n v="120.58"/>
    <n v="2769.92"/>
    <n v="1271.02"/>
    <n v="2615.5500000000002"/>
    <n v="2917.35"/>
    <n v="-584.88"/>
    <n v="5891.23"/>
    <n v="25078.089999999997"/>
    <n v="-6476.11"/>
  </r>
  <r>
    <x v="4"/>
    <x v="1"/>
    <x v="0"/>
    <s v="2676200"/>
    <n v="490010"/>
    <s v="Provision for Bad Debts"/>
    <s v="Vascular Surgeons"/>
    <x v="0"/>
    <m/>
    <n v="-437.9"/>
    <n v="-4582.82"/>
    <n v="1326.2"/>
    <n v="-2047.23"/>
    <n v="6699.63"/>
    <n v="-1335.5"/>
    <n v="-1935.55"/>
    <n v="1425.35"/>
    <n v="13233.46"/>
    <n v="7741.05"/>
    <n v="3032.26"/>
    <n v="5738.92"/>
    <n v="28857.869999999995"/>
    <n v="-2706.66"/>
  </r>
  <r>
    <x v="14"/>
    <x v="1"/>
    <x v="0"/>
    <s v="2676200"/>
    <n v="600050"/>
    <s v="Miscellaneous Revenue"/>
    <s v="Vascular Surgeons"/>
    <x v="0"/>
    <m/>
    <n v="-24775"/>
    <n v="-22142.5"/>
    <n v="-38345"/>
    <n v="-24385"/>
    <n v="-34980"/>
    <n v="-41030"/>
    <n v="-46442.5"/>
    <n v="-25557.5"/>
    <n v="-50872.5"/>
    <n v="-67292"/>
    <n v="99942.5"/>
    <n v="-18892.5"/>
    <n v="-294772"/>
    <n v="118835"/>
  </r>
  <r>
    <x v="5"/>
    <x v="1"/>
    <x v="0"/>
    <s v="2676200"/>
    <n v="700022"/>
    <s v="Salaries-Physician-Productive"/>
    <s v="Vascular Surgeons"/>
    <x v="0"/>
    <m/>
    <n v="116845.83"/>
    <n v="156326.57"/>
    <n v="133035.32999999999"/>
    <n v="163416.34"/>
    <n v="132608.42000000001"/>
    <n v="103850.46"/>
    <n v="113688.55"/>
    <n v="68363.28"/>
    <n v="52748.63"/>
    <n v="85085.97"/>
    <n v="69495.41"/>
    <n v="50280.02"/>
    <n v="1245744.81"/>
    <n v="19215.390000000007"/>
  </r>
  <r>
    <x v="5"/>
    <x v="1"/>
    <x v="0"/>
    <s v="2676200"/>
    <n v="700022"/>
    <s v="Salaries-Physician-Other"/>
    <s v="Vascular Surgeons"/>
    <x v="0"/>
    <n v="2000"/>
    <n v="10000"/>
    <n v="16240"/>
    <n v="16200"/>
    <n v="22800"/>
    <n v="30880"/>
    <n v="24000"/>
    <n v="20000"/>
    <n v="4800"/>
    <n v="19000"/>
    <n v="11900"/>
    <n v="12400"/>
    <n v="11600"/>
    <n v="199820"/>
    <n v="800"/>
  </r>
  <r>
    <x v="5"/>
    <x v="1"/>
    <x v="0"/>
    <s v="2676200"/>
    <n v="700024"/>
    <s v="Salaries-Advanced Practice Clinician-Productive"/>
    <s v="Vascular Surgeons"/>
    <x v="0"/>
    <m/>
    <n v="27022.11"/>
    <n v="20138.46"/>
    <n v="25461.55"/>
    <n v="27729.8"/>
    <n v="26892.32"/>
    <n v="28330.76"/>
    <n v="35674.47"/>
    <n v="29674.23"/>
    <n v="26841.25"/>
    <n v="38315.15"/>
    <n v="35751.96"/>
    <n v="25395.86"/>
    <n v="347227.92000000004"/>
    <n v="10356.099999999999"/>
  </r>
  <r>
    <x v="5"/>
    <x v="1"/>
    <x v="0"/>
    <s v="2676200"/>
    <n v="700024"/>
    <s v="Salaries-Advanced Practice Clinician-Other"/>
    <s v="Vascular Surgeons"/>
    <x v="0"/>
    <n v="2000"/>
    <n v="7025"/>
    <n v="902.5"/>
    <n v="7270"/>
    <n v="1585"/>
    <n v="1585"/>
    <n v="1530"/>
    <n v="11780"/>
    <n v="6095"/>
    <n v="4920"/>
    <n v="820"/>
    <n v="4620"/>
    <n v="7292.5"/>
    <n v="55425"/>
    <n v="-2672.5"/>
  </r>
  <r>
    <x v="5"/>
    <x v="1"/>
    <x v="0"/>
    <s v="2676200"/>
    <n v="700032"/>
    <s v="Salaries-Other Pat Care Providers-Productive"/>
    <s v="Vascular Surgeons"/>
    <x v="0"/>
    <m/>
    <n v="9800.9699999999993"/>
    <n v="10633.25"/>
    <n v="11622.77"/>
    <n v="11077.42"/>
    <n v="9607.98"/>
    <n v="9181.6200000000008"/>
    <n v="10022.44"/>
    <n v="7618.23"/>
    <n v="7880.45"/>
    <n v="10307.5"/>
    <n v="10869.45"/>
    <n v="9035.7999999999993"/>
    <n v="117657.87999999999"/>
    <n v="1833.6500000000015"/>
  </r>
  <r>
    <x v="5"/>
    <x v="1"/>
    <x v="0"/>
    <s v="2676200"/>
    <n v="700032"/>
    <s v="Salaries-Other Pat Care Providers-OT"/>
    <s v="Vascular Surgeons"/>
    <x v="0"/>
    <n v="1000"/>
    <n v="55.16"/>
    <n v="170.78"/>
    <n v="316"/>
    <n v="401.89"/>
    <n v="-71.69"/>
    <n v="344.83"/>
    <n v="189.03"/>
    <n v="30.24"/>
    <n v="365.62"/>
    <n v="330.1"/>
    <n v="127.58"/>
    <n v="109.27"/>
    <n v="2368.81"/>
    <n v="18.310000000000002"/>
  </r>
  <r>
    <x v="5"/>
    <x v="1"/>
    <x v="0"/>
    <s v="2676200"/>
    <n v="700032"/>
    <s v="Salaries-Other Pat Care Providers-Other"/>
    <s v="Vascular Surgeons"/>
    <x v="0"/>
    <n v="2000"/>
    <n v="0"/>
    <n v="0"/>
    <n v="0"/>
    <n v="0"/>
    <n v="0"/>
    <n v="0"/>
    <n v="0"/>
    <n v="0"/>
    <n v="0"/>
    <n v="0"/>
    <n v="4.76"/>
    <n v="0"/>
    <n v="4.76"/>
    <n v="4.76"/>
  </r>
  <r>
    <x v="5"/>
    <x v="1"/>
    <x v="0"/>
    <s v="2676200"/>
    <n v="700034"/>
    <s v="Salaries-Tech/Professional-Productive"/>
    <s v="Vascular Surgeons"/>
    <x v="0"/>
    <m/>
    <n v="12028.17"/>
    <n v="11686.99"/>
    <n v="10158.31"/>
    <n v="15166.6"/>
    <n v="13379.66"/>
    <n v="9081.2099999999991"/>
    <n v="12505.58"/>
    <n v="8633.93"/>
    <n v="12668.24"/>
    <n v="13431.83"/>
    <n v="14029.29"/>
    <n v="10306.31"/>
    <n v="143076.12000000002"/>
    <n v="3722.9800000000014"/>
  </r>
  <r>
    <x v="5"/>
    <x v="1"/>
    <x v="0"/>
    <s v="2676200"/>
    <n v="700034"/>
    <s v="Salaries-Tech/Professional-OT"/>
    <s v="Vascular Surgeons"/>
    <x v="0"/>
    <n v="1000"/>
    <n v="17.71"/>
    <n v="-2.95"/>
    <n v="0"/>
    <n v="101.27"/>
    <n v="64.16"/>
    <n v="126.77"/>
    <n v="206.52"/>
    <n v="64.239999999999995"/>
    <n v="374.75"/>
    <n v="142.27000000000001"/>
    <n v="48.95"/>
    <n v="168.26"/>
    <n v="1311.95"/>
    <n v="-119.30999999999999"/>
  </r>
  <r>
    <x v="5"/>
    <x v="1"/>
    <x v="0"/>
    <s v="2676200"/>
    <n v="700034"/>
    <s v="Salaries-Tech/Professional-Other"/>
    <s v="Vascular Surgeons"/>
    <x v="0"/>
    <n v="2000"/>
    <n v="270.83999999999997"/>
    <n v="322.18"/>
    <n v="161.27000000000001"/>
    <n v="298.36"/>
    <n v="282.04000000000002"/>
    <n v="231.81"/>
    <n v="215.4"/>
    <n v="205.21"/>
    <n v="298.74"/>
    <n v="266.11"/>
    <n v="246.07"/>
    <n v="279.05"/>
    <n v="3077.0800000000008"/>
    <n v="-32.980000000000018"/>
  </r>
  <r>
    <x v="5"/>
    <x v="1"/>
    <x v="0"/>
    <s v="2676200"/>
    <n v="700038"/>
    <s v="Salaries-Service/Support-Productive"/>
    <s v="Vascular Surgeons"/>
    <x v="0"/>
    <m/>
    <n v="5428.09"/>
    <n v="5629.96"/>
    <n v="5553.53"/>
    <n v="7027.54"/>
    <n v="3553.22"/>
    <n v="5760.58"/>
    <n v="6829.4"/>
    <n v="4257.8500000000004"/>
    <n v="6676.2"/>
    <n v="6439.78"/>
    <n v="6087.9"/>
    <n v="6324.26"/>
    <n v="69568.31"/>
    <n v="-236.36000000000058"/>
  </r>
  <r>
    <x v="5"/>
    <x v="1"/>
    <x v="0"/>
    <s v="2676200"/>
    <n v="700038"/>
    <s v="Salaries-Service/Support-OT"/>
    <s v="Vascular Surgeons"/>
    <x v="0"/>
    <n v="1000"/>
    <n v="0"/>
    <n v="68.75"/>
    <n v="11.46"/>
    <n v="38.549999999999997"/>
    <n v="658.33"/>
    <n v="-235.53"/>
    <n v="54.37"/>
    <n v="28.37"/>
    <n v="11.04"/>
    <n v="31.53"/>
    <n v="0"/>
    <n v="7.88"/>
    <n v="674.75"/>
    <n v="-7.88"/>
  </r>
  <r>
    <x v="5"/>
    <x v="1"/>
    <x v="0"/>
    <s v="2676200"/>
    <n v="700038"/>
    <s v="Salaries-Service/Support-Other"/>
    <s v="Vascular Surgeons"/>
    <x v="0"/>
    <n v="2000"/>
    <n v="48.6"/>
    <n v="11.25"/>
    <n v="10.32"/>
    <n v="15.5"/>
    <n v="10.51"/>
    <n v="-4.25"/>
    <n v="0"/>
    <n v="0"/>
    <n v="0"/>
    <n v="0"/>
    <n v="0"/>
    <n v="0"/>
    <n v="91.93"/>
    <n v="0"/>
  </r>
  <r>
    <x v="5"/>
    <x v="1"/>
    <x v="0"/>
    <s v="2676200"/>
    <n v="700062"/>
    <s v="Salaries-Physician-Non-productive"/>
    <s v="Vascular Surgeons"/>
    <x v="0"/>
    <m/>
    <n v="43208.7"/>
    <n v="10961.78"/>
    <n v="12538.95"/>
    <n v="3032.2"/>
    <n v="26603.26"/>
    <n v="29593.22"/>
    <n v="14208.75"/>
    <n v="4042.95"/>
    <n v="28555.67"/>
    <n v="0"/>
    <n v="19461.55"/>
    <n v="5843.07"/>
    <n v="198050.09999999998"/>
    <n v="13618.48"/>
  </r>
  <r>
    <x v="5"/>
    <x v="1"/>
    <x v="0"/>
    <s v="2676200"/>
    <n v="700062"/>
    <s v="Salaries-Physician-NonProd-Other"/>
    <s v="Vascular Surgeon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6200"/>
    <n v="700064"/>
    <s v="Salaries-Advanced Practice Clinician-Non-Productive"/>
    <s v="Vascular Surgeons"/>
    <x v="0"/>
    <m/>
    <n v="615.38"/>
    <n v="7461.54"/>
    <n v="-1461.54"/>
    <n v="1107.68"/>
    <n v="-492.3"/>
    <n v="6833.77"/>
    <n v="3302.82"/>
    <n v="3911.81"/>
    <n v="9229.81"/>
    <n v="-1004.21"/>
    <n v="2800.59"/>
    <n v="8597.89"/>
    <n v="40903.240000000005"/>
    <n v="-5797.2999999999993"/>
  </r>
  <r>
    <x v="5"/>
    <x v="1"/>
    <x v="0"/>
    <s v="2676200"/>
    <n v="700072"/>
    <s v="Salaries-Other Pat Care Providers-Non-productive"/>
    <s v="Vascular Surgeons"/>
    <x v="0"/>
    <m/>
    <n v="2770.67"/>
    <n v="3082.14"/>
    <n v="1608.08"/>
    <n v="2352.09"/>
    <n v="886.1"/>
    <n v="1698.06"/>
    <n v="1943.78"/>
    <n v="1436.55"/>
    <n v="1575.33"/>
    <n v="1195.2"/>
    <n v="1246.53"/>
    <n v="887.68"/>
    <n v="20682.21"/>
    <n v="358.85"/>
  </r>
  <r>
    <x v="5"/>
    <x v="1"/>
    <x v="0"/>
    <s v="2676200"/>
    <n v="700072"/>
    <s v="Salaries-Other Pat Care Providers-NonProd-Other"/>
    <s v="Vascular Surgeons"/>
    <x v="0"/>
    <n v="2000"/>
    <n v="0"/>
    <n v="0"/>
    <n v="0"/>
    <n v="0"/>
    <n v="0"/>
    <n v="0"/>
    <n v="0"/>
    <n v="0"/>
    <n v="15.2"/>
    <n v="-5.0599999999999996"/>
    <n v="0"/>
    <n v="0"/>
    <n v="10.14"/>
    <n v="0"/>
  </r>
  <r>
    <x v="5"/>
    <x v="1"/>
    <x v="0"/>
    <s v="2676200"/>
    <n v="700074"/>
    <s v="Salaries-Tech/Professional-Non-productive"/>
    <s v="Vascular Surgeons"/>
    <x v="0"/>
    <m/>
    <n v="1133.55"/>
    <n v="1999.75"/>
    <n v="792.16"/>
    <n v="79.75"/>
    <n v="905.96"/>
    <n v="2755.72"/>
    <n v="1338.9"/>
    <n v="2881.16"/>
    <n v="906.17"/>
    <n v="229.45"/>
    <n v="448.69"/>
    <n v="1879.1"/>
    <n v="15350.36"/>
    <n v="-1430.4099999999999"/>
  </r>
  <r>
    <x v="5"/>
    <x v="1"/>
    <x v="0"/>
    <s v="2676200"/>
    <n v="700074"/>
    <s v="Salaries-Tech/Professional-NonProd-Other"/>
    <s v="Vascular Surgeon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6200"/>
    <n v="700078"/>
    <s v="Salaries-Service/Support-Non-productive"/>
    <s v="Vascular Surgeons"/>
    <x v="0"/>
    <m/>
    <n v="465.45"/>
    <n v="1645.39"/>
    <n v="684.95"/>
    <n v="961.59"/>
    <n v="3835.14"/>
    <n v="47.72"/>
    <n v="652"/>
    <n v="1510.68"/>
    <n v="8.9600000000000009"/>
    <n v="900.82"/>
    <n v="1549.58"/>
    <n v="-499.01"/>
    <n v="11763.27"/>
    <n v="2048.59"/>
  </r>
  <r>
    <x v="5"/>
    <x v="1"/>
    <x v="0"/>
    <s v="2676200"/>
    <n v="700078"/>
    <s v="Salaries-Service/Support-NonProd-Other"/>
    <s v="Vascular Surgeons"/>
    <x v="0"/>
    <n v="2000"/>
    <n v="0"/>
    <n v="0"/>
    <n v="0"/>
    <n v="0"/>
    <n v="0"/>
    <n v="0"/>
    <n v="0"/>
    <n v="0"/>
    <n v="31.5"/>
    <n v="-10.49"/>
    <n v="0"/>
    <n v="0"/>
    <n v="21.009999999999998"/>
    <n v="0"/>
  </r>
  <r>
    <x v="5"/>
    <x v="1"/>
    <x v="0"/>
    <s v="2676200"/>
    <n v="700084"/>
    <s v="Accrued PTO"/>
    <s v="Vascular Surgeons"/>
    <x v="0"/>
    <m/>
    <n v="899.7"/>
    <n v="-1805.27"/>
    <n v="-128.4"/>
    <n v="1437.14"/>
    <n v="1464.73"/>
    <n v="-1993.9"/>
    <n v="342.87"/>
    <n v="-1333.22"/>
    <n v="967.15"/>
    <n v="1586.74"/>
    <n v="1120.28"/>
    <n v="1753.5"/>
    <n v="4311.32"/>
    <n v="-633.22"/>
  </r>
  <r>
    <x v="10"/>
    <x v="1"/>
    <x v="0"/>
    <s v="2676200"/>
    <n v="710040"/>
    <s v="Contract Labor-Physician (Locum Tenum)"/>
    <s v="Vascular Surgeons"/>
    <x v="0"/>
    <m/>
    <n v="7750"/>
    <n v="5000"/>
    <n v="14875"/>
    <n v="0"/>
    <n v="0"/>
    <n v="15580"/>
    <n v="14582.5"/>
    <n v="15475"/>
    <n v="26140"/>
    <n v="54572"/>
    <n v="-153974.5"/>
    <n v="0"/>
    <n v="0"/>
    <n v="-153974.5"/>
  </r>
  <r>
    <x v="10"/>
    <x v="1"/>
    <x v="0"/>
    <s v="2676200"/>
    <n v="710042"/>
    <s v="Locum Tenens Travel-Physician"/>
    <s v="Vascular Surgeons"/>
    <x v="0"/>
    <m/>
    <n v="0"/>
    <n v="66"/>
    <n v="1035.77"/>
    <n v="0"/>
    <n v="1078.8800000000001"/>
    <n v="0"/>
    <n v="0"/>
    <n v="2033.45"/>
    <n v="2413.75"/>
    <n v="3408.25"/>
    <n v="-10036.1"/>
    <n v="14032.15"/>
    <n v="14032.15"/>
    <n v="-24068.25"/>
  </r>
  <r>
    <x v="6"/>
    <x v="1"/>
    <x v="0"/>
    <s v="2676200"/>
    <n v="713010"/>
    <s v="Benefits-FICA/Medicare"/>
    <s v="Vascular Surgeons"/>
    <x v="0"/>
    <m/>
    <n v="6703.66"/>
    <n v="7039.26"/>
    <n v="5947.85"/>
    <n v="5477.01"/>
    <n v="5104.76"/>
    <n v="9637.34"/>
    <n v="15100.39"/>
    <n v="9903.4699999999993"/>
    <n v="9646.9500000000007"/>
    <n v="6436.8"/>
    <n v="6672.35"/>
    <n v="5413.33"/>
    <n v="93083.170000000013"/>
    <n v="1259.0200000000004"/>
  </r>
  <r>
    <x v="6"/>
    <x v="1"/>
    <x v="0"/>
    <s v="2676200"/>
    <n v="713090"/>
    <s v="Benefits-Allocated Amounts"/>
    <s v="Vascular Surgeons"/>
    <x v="0"/>
    <m/>
    <n v="0"/>
    <n v="0"/>
    <n v="0"/>
    <n v="0"/>
    <n v="0"/>
    <n v="0"/>
    <n v="0"/>
    <n v="0"/>
    <n v="102810.24000000001"/>
    <n v="10461.459999999999"/>
    <n v="10445.4"/>
    <n v="9299.34"/>
    <n v="133016.44"/>
    <n v="1146.0599999999995"/>
  </r>
  <r>
    <x v="6"/>
    <x v="1"/>
    <x v="0"/>
    <s v="2676200"/>
    <n v="713092"/>
    <s v="Allocated Benefits-Physician"/>
    <s v="Vascular Surgeons"/>
    <x v="0"/>
    <m/>
    <n v="13826.66"/>
    <n v="12870.07"/>
    <n v="13291.24"/>
    <n v="13763.9"/>
    <n v="13502.52"/>
    <n v="13451.92"/>
    <n v="15902.46"/>
    <n v="12463.04"/>
    <n v="-52175.81"/>
    <n v="5789.46"/>
    <n v="5780.56"/>
    <n v="5146.34"/>
    <n v="73612.36"/>
    <n v="634.22000000000025"/>
  </r>
  <r>
    <x v="6"/>
    <x v="1"/>
    <x v="0"/>
    <s v="2676200"/>
    <n v="713093"/>
    <s v="Allocated Benefits-Advanced Practice Clinician"/>
    <s v="Vascular Surgeons"/>
    <x v="0"/>
    <m/>
    <n v="7640.03"/>
    <n v="7111.46"/>
    <n v="7344.19"/>
    <n v="7605.35"/>
    <n v="7460.93"/>
    <n v="7432.97"/>
    <n v="8787.0300000000007"/>
    <n v="6886.55"/>
    <n v="-29031.49"/>
    <n v="3178.52"/>
    <n v="3173.65"/>
    <n v="2825.44"/>
    <n v="40414.630000000005"/>
    <n v="348.21000000000004"/>
  </r>
  <r>
    <x v="7"/>
    <x v="1"/>
    <x v="0"/>
    <s v="2676200"/>
    <n v="718040"/>
    <s v="Contract Svcs-Laboratory"/>
    <s v="Vascular Surgeons"/>
    <x v="0"/>
    <m/>
    <n v="102.4"/>
    <n v="0"/>
    <n v="0"/>
    <n v="0"/>
    <n v="0"/>
    <n v="0"/>
    <n v="0"/>
    <n v="0"/>
    <n v="51.2"/>
    <n v="0"/>
    <n v="43"/>
    <n v="0"/>
    <n v="196.60000000000002"/>
    <n v="43"/>
  </r>
  <r>
    <x v="7"/>
    <x v="1"/>
    <x v="0"/>
    <s v="2676200"/>
    <n v="718050"/>
    <s v="Contract Svcs-Other"/>
    <s v="Vascular Surgeons"/>
    <x v="0"/>
    <m/>
    <n v="0"/>
    <n v="0"/>
    <n v="0"/>
    <n v="0"/>
    <n v="0"/>
    <n v="645"/>
    <n v="0"/>
    <n v="778.6"/>
    <n v="0"/>
    <n v="222.63"/>
    <n v="0"/>
    <n v="0"/>
    <n v="1646.23"/>
    <n v="0"/>
  </r>
  <r>
    <x v="7"/>
    <x v="1"/>
    <x v="0"/>
    <s v="2676200"/>
    <n v="718050"/>
    <s v="Miscellaneous Purchased Svcs"/>
    <s v="Vascular Surgeons"/>
    <x v="0"/>
    <n v="1020"/>
    <n v="654.25"/>
    <n v="863.34"/>
    <n v="682.77"/>
    <n v="570"/>
    <n v="0"/>
    <n v="754.49"/>
    <n v="1140"/>
    <n v="570"/>
    <n v="2120.87"/>
    <n v="1330.55"/>
    <n v="2087.77"/>
    <n v="1176.53"/>
    <n v="11950.570000000002"/>
    <n v="911.24"/>
  </r>
  <r>
    <x v="11"/>
    <x v="1"/>
    <x v="0"/>
    <s v="2676200"/>
    <n v="721010"/>
    <s v="Supplies-Medical - Billable"/>
    <s v="Vascular Surgeons"/>
    <x v="0"/>
    <m/>
    <n v="0"/>
    <n v="63.19"/>
    <n v="0"/>
    <n v="0"/>
    <n v="145.85"/>
    <n v="0"/>
    <n v="0"/>
    <n v="0"/>
    <n v="0"/>
    <n v="0"/>
    <n v="0"/>
    <n v="0"/>
    <n v="209.04"/>
    <n v="0"/>
  </r>
  <r>
    <x v="11"/>
    <x v="1"/>
    <x v="0"/>
    <s v="2676200"/>
    <n v="721050"/>
    <s v="Supplies-Cardiac Rhythm - Billable"/>
    <s v="Vascular Surgeons"/>
    <x v="0"/>
    <m/>
    <n v="1384.3"/>
    <n v="30167.45"/>
    <n v="1655.1"/>
    <n v="10788.28"/>
    <n v="795.97"/>
    <n v="9974.81"/>
    <n v="906.39"/>
    <n v="463.52"/>
    <n v="0"/>
    <n v="580.48"/>
    <n v="1827.61"/>
    <n v="0"/>
    <n v="58543.909999999996"/>
    <n v="1827.61"/>
  </r>
  <r>
    <x v="11"/>
    <x v="1"/>
    <x v="0"/>
    <s v="2676200"/>
    <n v="721240"/>
    <s v="Supplies-IV Solutions/Supplies - Billable"/>
    <s v="Vascular Surgeons"/>
    <x v="0"/>
    <m/>
    <n v="30"/>
    <n v="72"/>
    <n v="0"/>
    <n v="36"/>
    <n v="0"/>
    <n v="72"/>
    <n v="0"/>
    <n v="0"/>
    <n v="0"/>
    <n v="30"/>
    <n v="-576"/>
    <n v="0"/>
    <n v="-336"/>
    <n v="-576"/>
  </r>
  <r>
    <x v="11"/>
    <x v="1"/>
    <x v="0"/>
    <s v="2676200"/>
    <n v="721250"/>
    <s v="Supplies-Pharmacy Drugs - Billable"/>
    <s v="Vascular Surgeons"/>
    <x v="0"/>
    <m/>
    <n v="0"/>
    <n v="128.08000000000001"/>
    <n v="0"/>
    <n v="0"/>
    <n v="16.760000000000002"/>
    <n v="0"/>
    <n v="226"/>
    <n v="0"/>
    <n v="587.58000000000004"/>
    <n v="0"/>
    <n v="0"/>
    <n v="0"/>
    <n v="958.42000000000007"/>
    <n v="0"/>
  </r>
  <r>
    <x v="11"/>
    <x v="1"/>
    <x v="0"/>
    <s v="2676200"/>
    <n v="721410"/>
    <s v="Supplies-Medical - Nonbillable"/>
    <s v="Vascular Surgeons"/>
    <x v="0"/>
    <m/>
    <n v="0"/>
    <n v="18.59"/>
    <n v="366.03"/>
    <n v="474.31"/>
    <n v="50.97"/>
    <n v="286.16000000000003"/>
    <n v="81.180000000000007"/>
    <n v="27.05"/>
    <n v="47.89"/>
    <n v="127.45"/>
    <n v="4.04"/>
    <n v="83.57"/>
    <n v="1567.24"/>
    <n v="-79.529999999999987"/>
  </r>
  <r>
    <x v="11"/>
    <x v="1"/>
    <x v="0"/>
    <s v="2676200"/>
    <n v="721420"/>
    <s v="Supplies-Surgical Nonbillable"/>
    <s v="Vascular Surgeons"/>
    <x v="0"/>
    <m/>
    <n v="22.78"/>
    <n v="112.5"/>
    <n v="112.5"/>
    <n v="0"/>
    <n v="54.22"/>
    <n v="175.34"/>
    <n v="112.5"/>
    <n v="136.66"/>
    <n v="0"/>
    <n v="0"/>
    <n v="11.75"/>
    <n v="54"/>
    <n v="792.25"/>
    <n v="-42.25"/>
  </r>
  <r>
    <x v="11"/>
    <x v="1"/>
    <x v="0"/>
    <s v="2676200"/>
    <n v="721420"/>
    <s v="Sterilization Process Products"/>
    <s v="Vascular Surgeons"/>
    <x v="0"/>
    <n v="1009"/>
    <n v="0"/>
    <n v="0"/>
    <n v="0"/>
    <n v="149.37"/>
    <n v="0"/>
    <n v="0"/>
    <n v="0"/>
    <n v="0"/>
    <n v="149.38"/>
    <n v="0"/>
    <n v="0"/>
    <n v="0"/>
    <n v="298.75"/>
    <n v="0"/>
  </r>
  <r>
    <x v="11"/>
    <x v="1"/>
    <x v="0"/>
    <s v="2676200"/>
    <n v="721640"/>
    <s v="Supplies-IV Solutions/Supplies - Nonbillable"/>
    <s v="Vascular Surgeons"/>
    <x v="0"/>
    <m/>
    <n v="0"/>
    <n v="225.58"/>
    <n v="0"/>
    <n v="0"/>
    <n v="0"/>
    <n v="0"/>
    <n v="0"/>
    <n v="0"/>
    <n v="0"/>
    <n v="0"/>
    <n v="0"/>
    <n v="85.07"/>
    <n v="310.64999999999998"/>
    <n v="-85.07"/>
  </r>
  <r>
    <x v="11"/>
    <x v="1"/>
    <x v="0"/>
    <s v="2676200"/>
    <n v="721650"/>
    <s v="Supplies-Pharmacy Drugs - Nonbillable"/>
    <s v="Vascular Surgeons"/>
    <x v="0"/>
    <m/>
    <n v="0"/>
    <n v="0"/>
    <n v="0"/>
    <n v="0"/>
    <n v="1.46"/>
    <n v="0"/>
    <n v="0"/>
    <n v="3.38"/>
    <n v="0"/>
    <n v="0"/>
    <n v="0.97"/>
    <n v="0"/>
    <n v="5.81"/>
    <n v="0.97"/>
  </r>
  <r>
    <x v="11"/>
    <x v="1"/>
    <x v="0"/>
    <s v="2676200"/>
    <n v="721750"/>
    <s v="Supplies-Film/Radiographic - Nonbillable"/>
    <s v="Vascular Surgeons"/>
    <x v="0"/>
    <m/>
    <n v="8.67"/>
    <n v="-8.67"/>
    <n v="0"/>
    <n v="0"/>
    <n v="0"/>
    <n v="0"/>
    <n v="245.08"/>
    <n v="101.5"/>
    <n v="-67.67"/>
    <n v="0"/>
    <n v="0"/>
    <n v="-33.83"/>
    <n v="245.08000000000004"/>
    <n v="33.83"/>
  </r>
  <r>
    <x v="11"/>
    <x v="1"/>
    <x v="0"/>
    <s v="2676200"/>
    <n v="721810"/>
    <s v="Supplies-Dietary/Cafeteria"/>
    <s v="Vascular Surgeons"/>
    <x v="0"/>
    <m/>
    <n v="316.95999999999998"/>
    <n v="404.08"/>
    <n v="295.64"/>
    <n v="357.88"/>
    <n v="342.4"/>
    <n v="311.2"/>
    <n v="342.32"/>
    <n v="311.2"/>
    <n v="326.76"/>
    <n v="0"/>
    <n v="357.88"/>
    <n v="311.2"/>
    <n v="3677.5199999999995"/>
    <n v="46.680000000000007"/>
  </r>
  <r>
    <x v="11"/>
    <x v="1"/>
    <x v="0"/>
    <s v="2676200"/>
    <n v="721830"/>
    <s v="Supplies-Office"/>
    <s v="Vascular Surgeons"/>
    <x v="0"/>
    <m/>
    <n v="53.34"/>
    <n v="86.09"/>
    <n v="12.55"/>
    <n v="218"/>
    <n v="218"/>
    <n v="0"/>
    <n v="0"/>
    <n v="113.09"/>
    <n v="62.62"/>
    <n v="0"/>
    <n v="0"/>
    <n v="0"/>
    <n v="763.69"/>
    <n v="0"/>
  </r>
  <r>
    <x v="11"/>
    <x v="1"/>
    <x v="0"/>
    <s v="2676200"/>
    <n v="721870"/>
    <s v="Supplies-Environmental Services"/>
    <s v="Vascular Surgeons"/>
    <x v="0"/>
    <m/>
    <n v="0"/>
    <n v="0"/>
    <n v="0"/>
    <n v="0"/>
    <n v="35.64"/>
    <n v="18.96"/>
    <n v="0"/>
    <n v="0"/>
    <n v="47.28"/>
    <n v="0"/>
    <n v="0"/>
    <n v="0"/>
    <n v="101.88"/>
    <n v="0"/>
  </r>
  <r>
    <x v="11"/>
    <x v="1"/>
    <x v="0"/>
    <s v="2676200"/>
    <n v="721880"/>
    <s v="Supplies-Linen"/>
    <s v="Vascular Surgeons"/>
    <x v="0"/>
    <m/>
    <n v="19.8"/>
    <n v="0"/>
    <n v="19.8"/>
    <n v="0"/>
    <n v="46.68"/>
    <n v="26.88"/>
    <n v="26.88"/>
    <n v="26.88"/>
    <n v="0"/>
    <n v="19.8"/>
    <n v="26.88"/>
    <n v="0"/>
    <n v="213.6"/>
    <n v="26.88"/>
  </r>
  <r>
    <x v="11"/>
    <x v="1"/>
    <x v="0"/>
    <s v="2676200"/>
    <n v="721910"/>
    <s v="Supplies-Small Equipment"/>
    <s v="Vascular Surgeons"/>
    <x v="0"/>
    <m/>
    <n v="0"/>
    <n v="0"/>
    <n v="0"/>
    <n v="157.75"/>
    <n v="27.22"/>
    <n v="39.380000000000003"/>
    <n v="0"/>
    <n v="0"/>
    <n v="0"/>
    <n v="0"/>
    <n v="0"/>
    <n v="0"/>
    <n v="224.35"/>
    <n v="0"/>
  </r>
  <r>
    <x v="11"/>
    <x v="1"/>
    <x v="0"/>
    <s v="2676200"/>
    <n v="721980"/>
    <s v="Supplies-Other"/>
    <s v="Vascular Surgeons"/>
    <x v="0"/>
    <m/>
    <n v="0"/>
    <n v="0"/>
    <n v="0"/>
    <n v="164.82"/>
    <n v="0"/>
    <n v="0"/>
    <n v="205.64"/>
    <n v="121.36"/>
    <n v="97.02"/>
    <n v="244.12"/>
    <n v="319.89"/>
    <n v="31.6"/>
    <n v="1184.4499999999998"/>
    <n v="288.28999999999996"/>
  </r>
  <r>
    <x v="11"/>
    <x v="1"/>
    <x v="0"/>
    <s v="2676200"/>
    <n v="722000"/>
    <s v="Supplies-Freight Expense"/>
    <s v="Vascular Surgeons"/>
    <x v="0"/>
    <m/>
    <n v="0"/>
    <n v="8.67"/>
    <n v="0"/>
    <n v="0"/>
    <n v="0"/>
    <n v="23.46"/>
    <n v="0"/>
    <n v="0"/>
    <n v="15.44"/>
    <n v="0"/>
    <n v="0"/>
    <n v="18.48"/>
    <n v="66.05"/>
    <n v="-18.48"/>
  </r>
  <r>
    <x v="15"/>
    <x v="1"/>
    <x v="0"/>
    <s v="2676200"/>
    <n v="731050"/>
    <s v="Refuse Disposal"/>
    <s v="Vascular Surgeons"/>
    <x v="0"/>
    <m/>
    <n v="0"/>
    <n v="0"/>
    <n v="0"/>
    <n v="0"/>
    <n v="0"/>
    <n v="61.89"/>
    <n v="0"/>
    <n v="0"/>
    <n v="0"/>
    <n v="51.34"/>
    <n v="113.99"/>
    <n v="0"/>
    <n v="227.22"/>
    <n v="113.99"/>
  </r>
  <r>
    <x v="16"/>
    <x v="1"/>
    <x v="0"/>
    <s v="2676200"/>
    <n v="732030"/>
    <s v="Repairs---Other"/>
    <s v="Vascular Surgeons"/>
    <x v="0"/>
    <m/>
    <n v="0"/>
    <n v="649.64"/>
    <n v="0"/>
    <n v="0"/>
    <n v="0"/>
    <n v="0"/>
    <n v="0"/>
    <n v="0"/>
    <n v="0"/>
    <n v="0"/>
    <n v="0"/>
    <n v="0"/>
    <n v="649.64"/>
    <n v="0"/>
  </r>
  <r>
    <x v="13"/>
    <x v="1"/>
    <x v="0"/>
    <s v="2676200"/>
    <n v="735070"/>
    <s v="Depreciation-Movable Equipment"/>
    <s v="Vascular Surgeons"/>
    <x v="0"/>
    <m/>
    <n v="3471.24"/>
    <n v="3471.24"/>
    <n v="3471.24"/>
    <n v="3471.24"/>
    <n v="3471.24"/>
    <n v="3471.22"/>
    <n v="3471.25"/>
    <n v="3471.2"/>
    <n v="3471.26"/>
    <n v="3471.2"/>
    <n v="3471.26"/>
    <n v="3471.19"/>
    <n v="41654.78"/>
    <n v="7.0000000000163709E-2"/>
  </r>
  <r>
    <x v="0"/>
    <x v="1"/>
    <x v="0"/>
    <s v="2676200"/>
    <n v="740022"/>
    <s v="Education-Physician"/>
    <s v="Vascular Surgeons"/>
    <x v="0"/>
    <m/>
    <n v="0"/>
    <n v="0"/>
    <n v="0"/>
    <n v="1395"/>
    <n v="1165"/>
    <n v="0"/>
    <n v="0"/>
    <n v="895"/>
    <n v="0"/>
    <n v="0"/>
    <n v="0"/>
    <n v="0"/>
    <n v="3455"/>
    <n v="0"/>
  </r>
  <r>
    <x v="0"/>
    <x v="1"/>
    <x v="0"/>
    <s v="2676200"/>
    <n v="740023"/>
    <s v="Education-Advanced Practice Clinician"/>
    <s v="Vascular Surgeons"/>
    <x v="0"/>
    <m/>
    <n v="0"/>
    <n v="0"/>
    <n v="0"/>
    <n v="0"/>
    <n v="650"/>
    <n v="0"/>
    <n v="285"/>
    <n v="900"/>
    <n v="0"/>
    <n v="0"/>
    <n v="0"/>
    <n v="0"/>
    <n v="1835"/>
    <n v="0"/>
  </r>
  <r>
    <x v="8"/>
    <x v="1"/>
    <x v="0"/>
    <s v="2676200"/>
    <n v="741012"/>
    <s v="Physician Liab Insurance-CHI Program"/>
    <s v="Vascular Surgeons"/>
    <x v="0"/>
    <m/>
    <n v="11034.6"/>
    <n v="11034.6"/>
    <n v="11034.6"/>
    <n v="11034.6"/>
    <n v="11034.64"/>
    <n v="11034.59"/>
    <n v="7761.11"/>
    <n v="5052.37"/>
    <n v="5123.22"/>
    <n v="5123.21"/>
    <n v="5123.22"/>
    <n v="5123.21"/>
    <n v="99513.970000000016"/>
    <n v="1.0000000000218279E-2"/>
  </r>
  <r>
    <x v="0"/>
    <x v="1"/>
    <x v="0"/>
    <s v="2676200"/>
    <n v="743020"/>
    <s v="Provider-Dues"/>
    <s v="Vascular Surgeons"/>
    <x v="0"/>
    <n v="2200"/>
    <n v="0"/>
    <n v="0"/>
    <n v="200"/>
    <n v="0"/>
    <n v="0"/>
    <n v="0"/>
    <n v="0"/>
    <n v="0"/>
    <n v="0"/>
    <n v="0"/>
    <n v="0"/>
    <n v="0"/>
    <n v="200"/>
    <n v="0"/>
  </r>
  <r>
    <x v="0"/>
    <x v="1"/>
    <x v="0"/>
    <s v="2676200"/>
    <n v="743022"/>
    <s v="Dues-Physician"/>
    <s v="Vascular Surgeons"/>
    <x v="0"/>
    <m/>
    <n v="1576"/>
    <n v="0"/>
    <n v="0"/>
    <n v="311"/>
    <n v="0"/>
    <n v="130"/>
    <n v="617"/>
    <n v="1790"/>
    <n v="1212"/>
    <n v="0"/>
    <n v="0"/>
    <n v="200"/>
    <n v="5836"/>
    <n v="-200"/>
  </r>
  <r>
    <x v="0"/>
    <x v="1"/>
    <x v="0"/>
    <s v="2676200"/>
    <n v="743023"/>
    <s v="Dues-Advanced Practice Clinician"/>
    <s v="Vascular Surgeons"/>
    <x v="0"/>
    <m/>
    <n v="0"/>
    <n v="0"/>
    <n v="0"/>
    <n v="0"/>
    <n v="0"/>
    <n v="0"/>
    <n v="0"/>
    <n v="840"/>
    <n v="0"/>
    <n v="0"/>
    <n v="136"/>
    <n v="0"/>
    <n v="976"/>
    <n v="136"/>
  </r>
  <r>
    <x v="0"/>
    <x v="1"/>
    <x v="0"/>
    <s v="2676200"/>
    <n v="743030"/>
    <s v="Subscriptions--Institutional"/>
    <s v="Vascular Surgeons"/>
    <x v="0"/>
    <m/>
    <n v="0"/>
    <n v="0"/>
    <n v="0"/>
    <n v="0"/>
    <n v="0"/>
    <n v="0"/>
    <n v="0"/>
    <n v="0"/>
    <n v="112.97"/>
    <n v="0"/>
    <n v="0"/>
    <n v="0"/>
    <n v="112.97"/>
    <n v="0"/>
  </r>
  <r>
    <x v="0"/>
    <x v="1"/>
    <x v="0"/>
    <s v="2676200"/>
    <n v="749510"/>
    <s v="Miscellaneous Expenses"/>
    <s v="Vascular Surgeons"/>
    <x v="0"/>
    <m/>
    <n v="-908.77"/>
    <n v="0"/>
    <n v="1721.6"/>
    <n v="-1592.98"/>
    <n v="-128.62"/>
    <n v="0"/>
    <n v="0"/>
    <n v="1212"/>
    <n v="-1212"/>
    <n v="0"/>
    <n v="0"/>
    <n v="0"/>
    <n v="-908.7700000000001"/>
    <n v="0"/>
  </r>
  <r>
    <x v="0"/>
    <x v="1"/>
    <x v="0"/>
    <s v="2676200"/>
    <n v="749510"/>
    <s v="Licenses"/>
    <s v="Vascular Surgeons"/>
    <x v="0"/>
    <n v="1002"/>
    <n v="0"/>
    <n v="0"/>
    <n v="0"/>
    <n v="657"/>
    <n v="0"/>
    <n v="0"/>
    <n v="0"/>
    <n v="0"/>
    <n v="0"/>
    <n v="0"/>
    <n v="0"/>
    <n v="0"/>
    <n v="657"/>
    <n v="0"/>
  </r>
  <r>
    <x v="0"/>
    <x v="1"/>
    <x v="0"/>
    <s v="2676200"/>
    <n v="749512"/>
    <s v="Licenses-Physician"/>
    <s v="Vascular Surgeons"/>
    <x v="0"/>
    <n v="2000"/>
    <n v="0"/>
    <n v="0"/>
    <n v="0"/>
    <n v="0"/>
    <n v="0"/>
    <n v="0"/>
    <n v="657.5"/>
    <n v="0"/>
    <n v="0"/>
    <n v="0"/>
    <n v="0"/>
    <n v="0"/>
    <n v="657.5"/>
    <n v="0"/>
  </r>
  <r>
    <x v="0"/>
    <x v="1"/>
    <x v="0"/>
    <s v="2676200"/>
    <n v="749513"/>
    <s v="Licenses-Advanced Practice Clinician"/>
    <s v="Vascular Surgeons"/>
    <x v="0"/>
    <n v="2000"/>
    <n v="0"/>
    <n v="0"/>
    <n v="0"/>
    <n v="0"/>
    <n v="0"/>
    <n v="0"/>
    <n v="0"/>
    <n v="0"/>
    <n v="0"/>
    <n v="0"/>
    <n v="0"/>
    <n v="202"/>
    <n v="202"/>
    <n v="-202"/>
  </r>
  <r>
    <x v="0"/>
    <x v="1"/>
    <x v="0"/>
    <s v="2676200"/>
    <n v="749530"/>
    <s v="Mileage"/>
    <s v="Vascular Surgeons"/>
    <x v="0"/>
    <n v="1001"/>
    <n v="63.77"/>
    <n v="128.08000000000001"/>
    <n v="64.31"/>
    <n v="127.53"/>
    <n v="128.62"/>
    <n v="180.94"/>
    <n v="68.44"/>
    <n v="68.44"/>
    <n v="23.2"/>
    <n v="135.72"/>
    <n v="135.72"/>
    <n v="140.36000000000001"/>
    <n v="1265.1300000000001"/>
    <n v="-4.6400000000000148"/>
  </r>
  <r>
    <x v="0"/>
    <x v="1"/>
    <x v="0"/>
    <s v="2676200"/>
    <n v="749532"/>
    <s v="Travel-Physician"/>
    <s v="Vascular Surgeons"/>
    <x v="0"/>
    <m/>
    <n v="0"/>
    <n v="0"/>
    <n v="0"/>
    <n v="1648.45"/>
    <n v="2751.15"/>
    <n v="88"/>
    <n v="0"/>
    <n v="1075.83"/>
    <n v="3427.22"/>
    <n v="3144.25"/>
    <n v="0"/>
    <n v="0"/>
    <n v="12134.9"/>
    <n v="0"/>
  </r>
  <r>
    <x v="0"/>
    <x v="1"/>
    <x v="0"/>
    <s v="2676200"/>
    <n v="749532"/>
    <s v="Business Meals-Physician"/>
    <s v="Vascular Surgeons"/>
    <x v="0"/>
    <n v="2000"/>
    <n v="0"/>
    <n v="0"/>
    <n v="0"/>
    <n v="0"/>
    <n v="0"/>
    <n v="0"/>
    <n v="0"/>
    <n v="0"/>
    <n v="0"/>
    <n v="197.45"/>
    <n v="0"/>
    <n v="0"/>
    <n v="197.45"/>
    <n v="0"/>
  </r>
  <r>
    <x v="0"/>
    <x v="1"/>
    <x v="0"/>
    <s v="2676200"/>
    <n v="749532"/>
    <s v="Vehicle Expense-Physician"/>
    <s v="Vascular Surgeons"/>
    <x v="0"/>
    <n v="2001"/>
    <n v="0"/>
    <n v="0"/>
    <n v="0"/>
    <n v="0"/>
    <n v="0"/>
    <n v="965.76"/>
    <n v="0"/>
    <n v="0"/>
    <n v="0"/>
    <n v="67.28"/>
    <n v="0"/>
    <n v="0"/>
    <n v="1033.04"/>
    <n v="0"/>
  </r>
  <r>
    <x v="0"/>
    <x v="1"/>
    <x v="0"/>
    <s v="2676200"/>
    <n v="749533"/>
    <s v="Travel-Advanced Practice Clinician"/>
    <s v="Vascular Surgeons"/>
    <x v="0"/>
    <m/>
    <n v="0"/>
    <n v="0"/>
    <n v="0"/>
    <n v="26"/>
    <n v="2352.6999999999998"/>
    <n v="0"/>
    <n v="580.86"/>
    <n v="2393.7600000000002"/>
    <n v="0"/>
    <n v="13"/>
    <n v="50.5"/>
    <n v="0"/>
    <n v="5416.82"/>
    <n v="50.5"/>
  </r>
  <r>
    <x v="0"/>
    <x v="1"/>
    <x v="0"/>
    <s v="2676200"/>
    <n v="749533"/>
    <s v="Vehicle Expense-Advanced Practice Clinician"/>
    <s v="Vascular Surgeons"/>
    <x v="0"/>
    <n v="2001"/>
    <n v="0"/>
    <n v="0"/>
    <n v="128.62"/>
    <n v="214.75"/>
    <n v="64.31"/>
    <n v="128.62"/>
    <n v="68.44"/>
    <n v="0"/>
    <n v="0"/>
    <n v="215.76"/>
    <n v="202.42"/>
    <n v="271.44"/>
    <n v="1294.3599999999999"/>
    <n v="-69.02000000000001"/>
  </r>
  <r>
    <x v="0"/>
    <x v="1"/>
    <x v="0"/>
    <s v="2676200"/>
    <n v="766010"/>
    <s v="Property Tax"/>
    <s v="Vascular Surgeons"/>
    <x v="0"/>
    <m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247.52"/>
    <n v="120.46"/>
    <n v="120.46"/>
    <n v="1191.3400000000001"/>
    <n v="0"/>
  </r>
  <r>
    <x v="9"/>
    <x v="1"/>
    <x v="0"/>
    <s v="2676200"/>
    <n v="800015"/>
    <s v="Interest Income-Ext to CHI"/>
    <s v="Vascular Surgeons"/>
    <x v="0"/>
    <m/>
    <n v="-9.5500000000000007"/>
    <n v="-6.37"/>
    <n v="-3.08"/>
    <n v="0"/>
    <n v="0"/>
    <n v="-17.12"/>
    <n v="-50.87"/>
    <n v="-43.94"/>
    <n v="-46.44"/>
    <n v="-42.8"/>
    <n v="-42.02"/>
    <n v="-38.520000000000003"/>
    <n v="-300.70999999999998"/>
    <n v="-3.5"/>
  </r>
  <r>
    <x v="1"/>
    <x v="1"/>
    <x v="0"/>
    <s v="2677200"/>
    <n v="400029"/>
    <s v="MD Practice Other Rev--Medicare"/>
    <s v="Pulmon &amp; Sleep Med Poulsbo"/>
    <x v="0"/>
    <n v="1100"/>
    <n v="-387"/>
    <n v="-513"/>
    <n v="-459"/>
    <n v="-504"/>
    <n v="-315"/>
    <n v="-450"/>
    <n v="-498"/>
    <n v="-378"/>
    <n v="-423"/>
    <n v="-396"/>
    <n v="-540"/>
    <n v="-306"/>
    <n v="-5169"/>
    <n v="-234"/>
  </r>
  <r>
    <x v="1"/>
    <x v="1"/>
    <x v="0"/>
    <s v="2677200"/>
    <n v="400029"/>
    <s v="MD Practice Other Rev--Medicaid"/>
    <s v="Pulmon &amp; Sleep Med Poulsbo"/>
    <x v="0"/>
    <n v="1200"/>
    <n v="-117"/>
    <n v="-45"/>
    <n v="-45"/>
    <n v="-90"/>
    <n v="-18"/>
    <n v="-54"/>
    <n v="-45"/>
    <n v="-36"/>
    <n v="-63"/>
    <n v="-99"/>
    <n v="-108"/>
    <n v="-45"/>
    <n v="-765"/>
    <n v="-63"/>
  </r>
  <r>
    <x v="1"/>
    <x v="1"/>
    <x v="0"/>
    <s v="2677200"/>
    <n v="400029"/>
    <s v="MD Practice Other Rev--Comm Insurance"/>
    <s v="Pulmon &amp; Sleep Med Poulsbo"/>
    <x v="0"/>
    <n v="1300"/>
    <n v="-9"/>
    <n v="0"/>
    <n v="-9"/>
    <n v="0"/>
    <n v="-18"/>
    <n v="0"/>
    <n v="-9"/>
    <n v="-9"/>
    <n v="-18"/>
    <n v="0"/>
    <n v="-18"/>
    <n v="-18"/>
    <n v="-108"/>
    <n v="0"/>
  </r>
  <r>
    <x v="1"/>
    <x v="1"/>
    <x v="0"/>
    <s v="2677200"/>
    <n v="400029"/>
    <s v="MD Practice Other Rev--BCBS Comm"/>
    <s v="Pulmon &amp; Sleep Med Poulsbo"/>
    <x v="0"/>
    <n v="1301"/>
    <n v="-45"/>
    <n v="-27"/>
    <n v="-45"/>
    <n v="-36"/>
    <n v="-9"/>
    <n v="-36"/>
    <n v="-9"/>
    <n v="0"/>
    <n v="-18"/>
    <n v="-54"/>
    <n v="-27"/>
    <n v="-9"/>
    <n v="-315"/>
    <n v="-18"/>
  </r>
  <r>
    <x v="1"/>
    <x v="1"/>
    <x v="0"/>
    <s v="2677200"/>
    <n v="400029"/>
    <s v="MD Practice Other Rev--Managed Care"/>
    <s v="Pulmon &amp; Sleep Med Poulsbo"/>
    <x v="0"/>
    <n v="1400"/>
    <n v="-99"/>
    <n v="-171"/>
    <n v="-90"/>
    <n v="-54"/>
    <n v="-72"/>
    <n v="-117"/>
    <n v="-45"/>
    <n v="-45"/>
    <n v="-99"/>
    <n v="-153"/>
    <n v="-153"/>
    <n v="-81"/>
    <n v="-1179"/>
    <n v="-72"/>
  </r>
  <r>
    <x v="1"/>
    <x v="1"/>
    <x v="0"/>
    <s v="2677200"/>
    <n v="400029"/>
    <s v="MD Practice Other Rev--Self Pay"/>
    <s v="Pulmon &amp; Sleep Med Poulsbo"/>
    <x v="0"/>
    <n v="1500"/>
    <n v="-9"/>
    <n v="0"/>
    <n v="0"/>
    <n v="0"/>
    <n v="0"/>
    <n v="0"/>
    <n v="0"/>
    <n v="0"/>
    <n v="0"/>
    <n v="0"/>
    <n v="0"/>
    <n v="-9"/>
    <n v="-18"/>
    <n v="9"/>
  </r>
  <r>
    <x v="1"/>
    <x v="1"/>
    <x v="0"/>
    <s v="2677200"/>
    <n v="400029"/>
    <s v="MD Practice Other Rev--Other"/>
    <s v="Pulmon &amp; Sleep Med Poulsbo"/>
    <x v="0"/>
    <n v="1700"/>
    <n v="-27"/>
    <n v="-72"/>
    <n v="-81"/>
    <n v="-72"/>
    <n v="-54"/>
    <n v="-54"/>
    <n v="-27"/>
    <n v="-45"/>
    <n v="-72"/>
    <n v="-72"/>
    <n v="-90"/>
    <n v="-45"/>
    <n v="-711"/>
    <n v="-45"/>
  </r>
  <r>
    <x v="1"/>
    <x v="1"/>
    <x v="0"/>
    <s v="2677200"/>
    <n v="400040"/>
    <s v="Physician Svcs Rev--Medicare"/>
    <s v="Pulmon &amp; Sleep Med Poulsbo"/>
    <x v="0"/>
    <n v="1100"/>
    <n v="-140553"/>
    <n v="-144768"/>
    <n v="-129235"/>
    <n v="-144683"/>
    <n v="-132199"/>
    <n v="-134982"/>
    <n v="-143178"/>
    <n v="-114683"/>
    <n v="-132471"/>
    <n v="-127857"/>
    <n v="-148675"/>
    <n v="-147173"/>
    <n v="-1640457"/>
    <n v="-1502"/>
  </r>
  <r>
    <x v="1"/>
    <x v="1"/>
    <x v="0"/>
    <s v="2677200"/>
    <n v="400040"/>
    <s v="Physician Svcs Rev--Medicaid"/>
    <s v="Pulmon &amp; Sleep Med Poulsbo"/>
    <x v="0"/>
    <n v="1200"/>
    <n v="-27992.19"/>
    <n v="-17376.189999999999"/>
    <n v="-21024"/>
    <n v="-24050"/>
    <n v="-17941"/>
    <n v="-20881"/>
    <n v="-19559"/>
    <n v="-15006"/>
    <n v="-27836"/>
    <n v="-19971"/>
    <n v="-29570"/>
    <n v="-19218"/>
    <n v="-260424.38"/>
    <n v="-10352"/>
  </r>
  <r>
    <x v="1"/>
    <x v="1"/>
    <x v="0"/>
    <s v="2677200"/>
    <n v="400040"/>
    <s v="Physician Svcs Rev--Comm Insurance"/>
    <s v="Pulmon &amp; Sleep Med Poulsbo"/>
    <x v="0"/>
    <n v="1300"/>
    <n v="-1640"/>
    <n v="-3613"/>
    <n v="-5198"/>
    <n v="-3861"/>
    <n v="-3014"/>
    <n v="-1562"/>
    <n v="-3838"/>
    <n v="-3029"/>
    <n v="-2090"/>
    <n v="-1985"/>
    <n v="-5072"/>
    <n v="-3383"/>
    <n v="-38285"/>
    <n v="-1689"/>
  </r>
  <r>
    <x v="1"/>
    <x v="1"/>
    <x v="0"/>
    <s v="2677200"/>
    <n v="400040"/>
    <s v="Physician Svcs Rev--BCBS Comm"/>
    <s v="Pulmon &amp; Sleep Med Poulsbo"/>
    <x v="0"/>
    <n v="1301"/>
    <n v="-10877"/>
    <n v="-12502"/>
    <n v="-11731"/>
    <n v="-13114"/>
    <n v="-5090"/>
    <n v="-14486"/>
    <n v="-7717"/>
    <n v="-8030"/>
    <n v="-14524"/>
    <n v="-10015"/>
    <n v="-8397"/>
    <n v="-8110"/>
    <n v="-124593"/>
    <n v="-287"/>
  </r>
  <r>
    <x v="1"/>
    <x v="1"/>
    <x v="0"/>
    <s v="2677200"/>
    <n v="400040"/>
    <s v="Physician Svcs Rev--Managed Care"/>
    <s v="Pulmon &amp; Sleep Med Poulsbo"/>
    <x v="0"/>
    <n v="1400"/>
    <n v="-32701.5"/>
    <n v="-49602"/>
    <n v="-36225"/>
    <n v="-33235"/>
    <n v="-35476"/>
    <n v="-53156"/>
    <n v="-27893"/>
    <n v="-20689"/>
    <n v="-38853"/>
    <n v="-34103"/>
    <n v="-46150"/>
    <n v="-41390"/>
    <n v="-449473.5"/>
    <n v="-4760"/>
  </r>
  <r>
    <x v="1"/>
    <x v="1"/>
    <x v="0"/>
    <s v="2677200"/>
    <n v="400040"/>
    <s v="Physician Svcs Rev--Self Pay"/>
    <s v="Pulmon &amp; Sleep Med Poulsbo"/>
    <x v="0"/>
    <n v="1500"/>
    <n v="-842"/>
    <n v="-389"/>
    <n v="-321"/>
    <n v="-270"/>
    <n v="-60"/>
    <n v="-766"/>
    <n v="-260"/>
    <n v="0"/>
    <n v="0"/>
    <n v="-295"/>
    <n v="0"/>
    <n v="-1613"/>
    <n v="-4816"/>
    <n v="1613"/>
  </r>
  <r>
    <x v="1"/>
    <x v="1"/>
    <x v="0"/>
    <s v="2677200"/>
    <n v="400040"/>
    <s v="Physician Svcs Rev--Other"/>
    <s v="Pulmon &amp; Sleep Med Poulsbo"/>
    <x v="0"/>
    <n v="1700"/>
    <n v="-27658"/>
    <n v="-39035"/>
    <n v="-32973"/>
    <n v="-33281"/>
    <n v="-27719"/>
    <n v="-27944"/>
    <n v="-22217"/>
    <n v="-19826"/>
    <n v="-29243"/>
    <n v="-25812"/>
    <n v="-34342"/>
    <n v="-26997"/>
    <n v="-347047"/>
    <n v="-7345"/>
  </r>
  <r>
    <x v="2"/>
    <x v="1"/>
    <x v="0"/>
    <s v="2677200"/>
    <n v="450029"/>
    <s v="Contr Allow--MD Other-Medicare"/>
    <s v="Pulmon &amp; Sleep Med Poulsbo"/>
    <x v="0"/>
    <n v="1100"/>
    <n v="317.07"/>
    <n v="251.21"/>
    <n v="332.64"/>
    <n v="407.81"/>
    <n v="252.04"/>
    <n v="280.26"/>
    <n v="279.79000000000002"/>
    <n v="277.79000000000002"/>
    <n v="267.05"/>
    <n v="272.58999999999997"/>
    <n v="393.29"/>
    <n v="348.73"/>
    <n v="3680.2700000000004"/>
    <n v="44.56"/>
  </r>
  <r>
    <x v="2"/>
    <x v="1"/>
    <x v="0"/>
    <s v="2677200"/>
    <n v="450029"/>
    <s v="Contr Allow--MD Other-Medicaid"/>
    <s v="Pulmon &amp; Sleep Med Poulsbo"/>
    <x v="0"/>
    <n v="1200"/>
    <n v="84.02"/>
    <n v="56.63"/>
    <n v="44.03"/>
    <n v="25.3"/>
    <n v="38.51"/>
    <n v="37.950000000000003"/>
    <n v="44.74"/>
    <n v="6.29"/>
    <n v="44.59"/>
    <n v="50.67"/>
    <n v="88.69"/>
    <n v="59.6"/>
    <n v="581.0200000000001"/>
    <n v="29.089999999999996"/>
  </r>
  <r>
    <x v="2"/>
    <x v="1"/>
    <x v="0"/>
    <s v="2677200"/>
    <n v="450029"/>
    <s v="Contr Allow--MD Other-Comm Insurance"/>
    <s v="Pulmon &amp; Sleep Med Poulsbo"/>
    <x v="0"/>
    <n v="1300"/>
    <n v="16.5"/>
    <n v="6.07"/>
    <n v="0"/>
    <n v="5.5"/>
    <n v="6.06"/>
    <n v="5.5"/>
    <n v="5.5"/>
    <n v="0"/>
    <n v="5.5"/>
    <n v="11.25"/>
    <n v="11"/>
    <n v="0"/>
    <n v="72.88"/>
    <n v="11"/>
  </r>
  <r>
    <x v="2"/>
    <x v="1"/>
    <x v="0"/>
    <s v="2677200"/>
    <n v="450029"/>
    <s v="Contr Allow--MD Other BCBS Comm"/>
    <s v="Pulmon &amp; Sleep Med Poulsbo"/>
    <x v="0"/>
    <n v="1301"/>
    <n v="29.12"/>
    <n v="23.33"/>
    <n v="11.5"/>
    <n v="17.57"/>
    <n v="23"/>
    <n v="5.76"/>
    <n v="11.5"/>
    <n v="5.75"/>
    <n v="5.75"/>
    <n v="23"/>
    <n v="29.37"/>
    <n v="17.920000000000002"/>
    <n v="203.57000000000005"/>
    <n v="11.45"/>
  </r>
  <r>
    <x v="2"/>
    <x v="1"/>
    <x v="0"/>
    <s v="2677200"/>
    <n v="450029"/>
    <s v="Contr Allow--MD Other-Managed Care"/>
    <s v="Pulmon &amp; Sleep Med Poulsbo"/>
    <x v="0"/>
    <n v="1400"/>
    <n v="70.25"/>
    <n v="122.75"/>
    <n v="77.98"/>
    <n v="65.25"/>
    <n v="47.99"/>
    <n v="42.5"/>
    <n v="66.77"/>
    <n v="12.14"/>
    <n v="72.53"/>
    <n v="30.12"/>
    <n v="113.49"/>
    <n v="99.73"/>
    <n v="821.5"/>
    <n v="13.759999999999991"/>
  </r>
  <r>
    <x v="2"/>
    <x v="1"/>
    <x v="0"/>
    <s v="2677200"/>
    <n v="450029"/>
    <s v="Admin Adjust-MD Other-Self Pay"/>
    <s v="Pulmon &amp; Sleep Med Poulsbo"/>
    <x v="0"/>
    <n v="1600"/>
    <n v="21.33"/>
    <n v="-2.87"/>
    <n v="0.59"/>
    <n v="5.86"/>
    <n v="12.84"/>
    <n v="0"/>
    <n v="0"/>
    <n v="0"/>
    <n v="-2.93"/>
    <n v="9"/>
    <n v="-7.11"/>
    <n v="-2.85"/>
    <n v="33.86"/>
    <n v="-4.26"/>
  </r>
  <r>
    <x v="2"/>
    <x v="1"/>
    <x v="0"/>
    <s v="2677200"/>
    <n v="450029"/>
    <s v="Contr Allow--MD Other-Other"/>
    <s v="Pulmon &amp; Sleep Med Poulsbo"/>
    <x v="0"/>
    <n v="1700"/>
    <n v="36.39"/>
    <n v="62.61"/>
    <n v="37.49"/>
    <n v="45.24"/>
    <n v="39.17"/>
    <n v="24.25"/>
    <n v="51.68"/>
    <n v="32.299999999999997"/>
    <n v="30.78"/>
    <n v="13.63"/>
    <n v="63.68"/>
    <n v="73.09"/>
    <n v="510.31000000000006"/>
    <n v="-9.4100000000000037"/>
  </r>
  <r>
    <x v="2"/>
    <x v="1"/>
    <x v="0"/>
    <s v="2677200"/>
    <n v="450040"/>
    <s v="Contr Allow--Phys Svcs--Mcare"/>
    <s v="Pulmon &amp; Sleep Med Poulsbo"/>
    <x v="0"/>
    <n v="1100"/>
    <n v="83181.83"/>
    <n v="96435.98"/>
    <n v="82510.52"/>
    <n v="100964.46"/>
    <n v="86738.77"/>
    <n v="86053.18"/>
    <n v="90297.77"/>
    <n v="63375.41"/>
    <n v="95491.71"/>
    <n v="78078.789999999994"/>
    <n v="94618.93"/>
    <n v="92992.42"/>
    <n v="1050739.77"/>
    <n v="1626.5099999999948"/>
  </r>
  <r>
    <x v="2"/>
    <x v="1"/>
    <x v="0"/>
    <s v="2677200"/>
    <n v="450040"/>
    <s v="Contr Allow--Phys Svcs--Mcaid"/>
    <s v="Pulmon &amp; Sleep Med Poulsbo"/>
    <x v="0"/>
    <n v="1200"/>
    <n v="23489.06"/>
    <n v="17573.72"/>
    <n v="17080.09"/>
    <n v="19110.21"/>
    <n v="12918.79"/>
    <n v="12385.45"/>
    <n v="18332.189999999999"/>
    <n v="8936.8700000000008"/>
    <n v="19412.490000000002"/>
    <n v="18958.189999999999"/>
    <n v="18969.330000000002"/>
    <n v="18704.93"/>
    <n v="205871.32"/>
    <n v="264.40000000000146"/>
  </r>
  <r>
    <x v="2"/>
    <x v="1"/>
    <x v="0"/>
    <s v="2677200"/>
    <n v="450040"/>
    <s v="Contr Allow--Phys Svcs--Comm Insurance"/>
    <s v="Pulmon &amp; Sleep Med Poulsbo"/>
    <x v="0"/>
    <n v="1300"/>
    <n v="2328.42"/>
    <n v="490.55"/>
    <n v="1339.5"/>
    <n v="1607.14"/>
    <n v="1395.14"/>
    <n v="744.53"/>
    <n v="1442.61"/>
    <n v="60.86"/>
    <n v="1091.67"/>
    <n v="1368.07"/>
    <n v="1240.23"/>
    <n v="1195.45"/>
    <n v="14304.170000000002"/>
    <n v="44.779999999999973"/>
  </r>
  <r>
    <x v="2"/>
    <x v="1"/>
    <x v="0"/>
    <s v="2677200"/>
    <n v="450040"/>
    <s v="Contr Allow--Phys Svcs--BCBS Comm Ins"/>
    <s v="Pulmon &amp; Sleep Med Poulsbo"/>
    <x v="0"/>
    <n v="1301"/>
    <n v="5488.89"/>
    <n v="6254.41"/>
    <n v="5904.13"/>
    <n v="2953.66"/>
    <n v="7674.8"/>
    <n v="3531.88"/>
    <n v="5542.4"/>
    <n v="2804.33"/>
    <n v="6707.54"/>
    <n v="6483.51"/>
    <n v="4743.51"/>
    <n v="5131.93"/>
    <n v="63220.990000000005"/>
    <n v="-388.42000000000007"/>
  </r>
  <r>
    <x v="2"/>
    <x v="1"/>
    <x v="0"/>
    <s v="2677200"/>
    <n v="450040"/>
    <s v="Contr Allow--Phys Svcs--Managed Care"/>
    <s v="Pulmon &amp; Sleep Med Poulsbo"/>
    <x v="0"/>
    <n v="1400"/>
    <n v="20051.22"/>
    <n v="23294.77"/>
    <n v="16826"/>
    <n v="15831.55"/>
    <n v="14619.02"/>
    <n v="13759.01"/>
    <n v="17960.939999999999"/>
    <n v="6492.15"/>
    <n v="19049.12"/>
    <n v="12514.73"/>
    <n v="17542.07"/>
    <n v="16650.310000000001"/>
    <n v="194590.89"/>
    <n v="891.7599999999984"/>
  </r>
  <r>
    <x v="2"/>
    <x v="1"/>
    <x v="0"/>
    <s v="2677200"/>
    <n v="450040"/>
    <s v="Contr Allow--Phys Svcs--BCBS Mgnd Care"/>
    <s v="Pulmon &amp; Sleep Med Poulsbo"/>
    <x v="0"/>
    <n v="1401"/>
    <n v="-8341.7800000000007"/>
    <n v="-3576.8"/>
    <n v="-264.11"/>
    <n v="-3365.64"/>
    <n v="-3774.26"/>
    <n v="22944.84"/>
    <n v="-5946.42"/>
    <n v="14393.57"/>
    <n v="-9855.61"/>
    <n v="1059.8699999999999"/>
    <n v="7796.31"/>
    <n v="-2199.5"/>
    <n v="8870.4699999999957"/>
    <n v="9995.8100000000013"/>
  </r>
  <r>
    <x v="2"/>
    <x v="1"/>
    <x v="0"/>
    <s v="2677200"/>
    <n v="450040"/>
    <s v="Admin Adjust-Phys Svcs-Self Pay"/>
    <s v="Pulmon &amp; Sleep Med Poulsbo"/>
    <x v="0"/>
    <n v="1600"/>
    <n v="305.81"/>
    <n v="210.74"/>
    <n v="372.09"/>
    <n v="661.82"/>
    <n v="662.82"/>
    <n v="351.35"/>
    <n v="150.41"/>
    <n v="344.39"/>
    <n v="5332.93"/>
    <n v="227.4"/>
    <n v="8.1199999999999992"/>
    <n v="591.65"/>
    <n v="9219.5300000000007"/>
    <n v="-583.53"/>
  </r>
  <r>
    <x v="2"/>
    <x v="1"/>
    <x v="0"/>
    <s v="2677200"/>
    <n v="450040"/>
    <s v="Contr Allow--Phys Svcs--Other"/>
    <s v="Pulmon &amp; Sleep Med Poulsbo"/>
    <x v="0"/>
    <n v="1700"/>
    <n v="20916.78"/>
    <n v="23272.85"/>
    <n v="20563.77"/>
    <n v="18822.13"/>
    <n v="15963.77"/>
    <n v="13606.49"/>
    <n v="20515.63"/>
    <n v="13922.07"/>
    <n v="19110.54"/>
    <n v="16514.66"/>
    <n v="21621.46"/>
    <n v="18572.560000000001"/>
    <n v="223402.71000000002"/>
    <n v="3048.8999999999978"/>
  </r>
  <r>
    <x v="3"/>
    <x v="1"/>
    <x v="0"/>
    <s v="2677200"/>
    <n v="470040"/>
    <s v="Charity Care-Physician Svcs"/>
    <s v="Pulmon &amp; Sleep Med Poulsbo"/>
    <x v="0"/>
    <m/>
    <n v="286.22000000000003"/>
    <n v="1533.62"/>
    <n v="452.73"/>
    <n v="227.57"/>
    <n v="56.42"/>
    <n v="538.28"/>
    <n v="115.91"/>
    <n v="551.52"/>
    <n v="335.77"/>
    <n v="172.38"/>
    <n v="124.21"/>
    <n v="899.44"/>
    <n v="5294.07"/>
    <n v="-775.23"/>
  </r>
  <r>
    <x v="4"/>
    <x v="1"/>
    <x v="0"/>
    <s v="2677200"/>
    <n v="490010"/>
    <s v="Provision for Bad Debts"/>
    <s v="Pulmon &amp; Sleep Med Poulsbo"/>
    <x v="0"/>
    <m/>
    <n v="-1369.92"/>
    <n v="1231.3699999999999"/>
    <n v="597.91999999999996"/>
    <n v="-531.11"/>
    <n v="672.39"/>
    <n v="2417.21"/>
    <n v="-1578.53"/>
    <n v="1521.65"/>
    <n v="-405.28"/>
    <n v="970"/>
    <n v="1954.88"/>
    <n v="839.62"/>
    <n v="6320.2"/>
    <n v="1115.2600000000002"/>
  </r>
  <r>
    <x v="5"/>
    <x v="1"/>
    <x v="0"/>
    <s v="2677200"/>
    <n v="700022"/>
    <s v="Salaries-Physician-Productive"/>
    <s v="Pulmon &amp; Sleep Med Poulsbo"/>
    <x v="0"/>
    <m/>
    <n v="20488.2"/>
    <n v="23870.58"/>
    <n v="17575.18"/>
    <n v="21097.34"/>
    <n v="24802.12"/>
    <n v="13560.12"/>
    <n v="12733.6"/>
    <n v="10183.4"/>
    <n v="13577.85"/>
    <n v="10491.98"/>
    <n v="14195.03"/>
    <n v="14990.09"/>
    <n v="197565.49"/>
    <n v="-795.05999999999949"/>
  </r>
  <r>
    <x v="5"/>
    <x v="1"/>
    <x v="0"/>
    <s v="2677200"/>
    <n v="700026"/>
    <s v="Salaries-RN-Productive"/>
    <s v="Pulmon &amp; Sleep Med Poulsbo"/>
    <x v="0"/>
    <m/>
    <n v="12875.61"/>
    <n v="14613.37"/>
    <n v="11642.95"/>
    <n v="13671.54"/>
    <n v="12541.62"/>
    <n v="10401.209999999999"/>
    <n v="12165.12"/>
    <n v="10360.950000000001"/>
    <n v="13948.39"/>
    <n v="13477.44"/>
    <n v="14988.05"/>
    <n v="19415.439999999999"/>
    <n v="160101.69"/>
    <n v="-4427.3899999999994"/>
  </r>
  <r>
    <x v="5"/>
    <x v="1"/>
    <x v="0"/>
    <s v="2677200"/>
    <n v="700026"/>
    <s v="Salaries-RN-OT"/>
    <s v="Pulmon &amp; Sleep Med Poulsbo"/>
    <x v="0"/>
    <n v="1000"/>
    <n v="0"/>
    <n v="0"/>
    <n v="44.68"/>
    <n v="-14.89"/>
    <n v="14.7"/>
    <n v="78.69"/>
    <n v="36.799999999999997"/>
    <n v="-11.77"/>
    <n v="486.29"/>
    <n v="60.19"/>
    <n v="-1.47"/>
    <n v="77.73"/>
    <n v="770.95"/>
    <n v="-79.2"/>
  </r>
  <r>
    <x v="5"/>
    <x v="1"/>
    <x v="0"/>
    <s v="2677200"/>
    <n v="700026"/>
    <s v="Salaries-RN-Other"/>
    <s v="Pulmon &amp; Sleep Med Poulsbo"/>
    <x v="0"/>
    <n v="2000"/>
    <n v="0"/>
    <n v="0"/>
    <n v="0"/>
    <n v="0"/>
    <n v="0"/>
    <n v="0"/>
    <n v="0"/>
    <n v="0"/>
    <n v="8.26"/>
    <n v="-2.75"/>
    <n v="30.08"/>
    <n v="-0.04"/>
    <n v="35.549999999999997"/>
    <n v="30.119999999999997"/>
  </r>
  <r>
    <x v="5"/>
    <x v="1"/>
    <x v="0"/>
    <s v="2677200"/>
    <n v="700030"/>
    <s v="Salaries-LPN-Productive"/>
    <s v="Pulmon &amp; Sleep Med Poulsbo"/>
    <x v="0"/>
    <m/>
    <n v="3996.2"/>
    <n v="3509.6"/>
    <n v="3482.23"/>
    <n v="2842.37"/>
    <n v="4842.8500000000004"/>
    <n v="3320.45"/>
    <n v="4580.37"/>
    <n v="3233.72"/>
    <n v="3906.32"/>
    <n v="3635.92"/>
    <n v="4771.5200000000004"/>
    <n v="3475.89"/>
    <n v="45597.440000000002"/>
    <n v="1295.6300000000006"/>
  </r>
  <r>
    <x v="5"/>
    <x v="1"/>
    <x v="0"/>
    <s v="2677200"/>
    <n v="700030"/>
    <s v="Salaries-LPN-OT"/>
    <s v="Pulmon &amp; Sleep Med Poulsbo"/>
    <x v="0"/>
    <n v="1000"/>
    <n v="10.94"/>
    <n v="-1.82"/>
    <n v="0"/>
    <n v="0"/>
    <n v="0"/>
    <n v="0"/>
    <n v="0"/>
    <n v="0"/>
    <n v="75.290000000000006"/>
    <n v="0"/>
    <n v="0"/>
    <n v="9.41"/>
    <n v="93.820000000000007"/>
    <n v="-9.41"/>
  </r>
  <r>
    <x v="5"/>
    <x v="1"/>
    <x v="0"/>
    <s v="2677200"/>
    <n v="700032"/>
    <s v="Salaries-Other Pat Care Providers-Productive"/>
    <s v="Pulmon &amp; Sleep Med Poulsbo"/>
    <x v="0"/>
    <m/>
    <n v="6311.26"/>
    <n v="8425.83"/>
    <n v="6824.1"/>
    <n v="8491.58"/>
    <n v="5852.99"/>
    <n v="3756.04"/>
    <n v="5713.87"/>
    <n v="4395.1499999999996"/>
    <n v="5437.06"/>
    <n v="4743.3999999999996"/>
    <n v="5609.57"/>
    <n v="4670.7"/>
    <n v="70231.55"/>
    <n v="938.86999999999989"/>
  </r>
  <r>
    <x v="5"/>
    <x v="1"/>
    <x v="0"/>
    <s v="2677200"/>
    <n v="700032"/>
    <s v="Salaries-Other Pat Care Providers-OT"/>
    <s v="Pulmon &amp; Sleep Med Poulsbo"/>
    <x v="0"/>
    <n v="1000"/>
    <n v="0"/>
    <n v="0"/>
    <n v="25.05"/>
    <n v="-8.35"/>
    <n v="18.260000000000002"/>
    <n v="9.66"/>
    <n v="0"/>
    <n v="0"/>
    <n v="77.33"/>
    <n v="58"/>
    <n v="48.34"/>
    <n v="0"/>
    <n v="228.29"/>
    <n v="48.34"/>
  </r>
  <r>
    <x v="5"/>
    <x v="1"/>
    <x v="0"/>
    <s v="2677200"/>
    <n v="700032"/>
    <s v="Salaries-Other Pat Care Providers-Other"/>
    <s v="Pulmon &amp; Sleep Med Poulsbo"/>
    <x v="0"/>
    <n v="2000"/>
    <n v="47.09"/>
    <n v="22.16"/>
    <n v="98.34"/>
    <n v="108.42"/>
    <n v="108.26"/>
    <n v="182.82"/>
    <n v="192.5"/>
    <n v="150.77000000000001"/>
    <n v="123.53"/>
    <n v="158.72"/>
    <n v="137.85"/>
    <n v="190.88"/>
    <n v="1521.3399999999997"/>
    <n v="-53.03"/>
  </r>
  <r>
    <x v="5"/>
    <x v="1"/>
    <x v="0"/>
    <s v="2677200"/>
    <n v="700034"/>
    <s v="Salaries-Tech/Professional-Productive"/>
    <s v="Pulmon &amp; Sleep Med Poulsbo"/>
    <x v="0"/>
    <m/>
    <n v="7845.41"/>
    <n v="9750.0400000000009"/>
    <n v="7024.31"/>
    <n v="8400.4500000000007"/>
    <n v="9514.66"/>
    <n v="7327.34"/>
    <n v="7627.68"/>
    <n v="6255.69"/>
    <n v="8842.24"/>
    <n v="8313.2999999999993"/>
    <n v="9564.52"/>
    <n v="10837.57"/>
    <n v="101303.21000000002"/>
    <n v="-1273.0499999999993"/>
  </r>
  <r>
    <x v="5"/>
    <x v="1"/>
    <x v="0"/>
    <s v="2677200"/>
    <n v="700038"/>
    <s v="Salaries-Service/Support-Productive"/>
    <s v="Pulmon &amp; Sleep Med Poulsbo"/>
    <x v="0"/>
    <m/>
    <n v="6512.96"/>
    <n v="8027.26"/>
    <n v="6543.44"/>
    <n v="7795.86"/>
    <n v="7531.7"/>
    <n v="3495.91"/>
    <n v="4293.33"/>
    <n v="3487.36"/>
    <n v="3864.3"/>
    <n v="4165.51"/>
    <n v="4013.45"/>
    <n v="3314.3"/>
    <n v="63045.380000000012"/>
    <n v="699.14999999999964"/>
  </r>
  <r>
    <x v="5"/>
    <x v="1"/>
    <x v="0"/>
    <s v="2677200"/>
    <n v="700038"/>
    <s v="Salaries-Service/Support-OT"/>
    <s v="Pulmon &amp; Sleep Med Poulsbo"/>
    <x v="0"/>
    <n v="1000"/>
    <n v="0"/>
    <n v="0"/>
    <n v="56.74"/>
    <n v="-14.18"/>
    <n v="0"/>
    <n v="0"/>
    <n v="113.18"/>
    <n v="-32.33"/>
    <n v="0"/>
    <n v="0"/>
    <n v="0"/>
    <n v="0"/>
    <n v="123.41000000000001"/>
    <n v="0"/>
  </r>
  <r>
    <x v="5"/>
    <x v="1"/>
    <x v="0"/>
    <s v="2677200"/>
    <n v="700038"/>
    <s v="Salaries-Service/Support-Other"/>
    <s v="Pulmon &amp; Sleep Med Poulsbo"/>
    <x v="0"/>
    <n v="2000"/>
    <n v="128.94"/>
    <n v="187.65"/>
    <n v="128.94"/>
    <n v="97.35"/>
    <n v="131.54"/>
    <n v="155.02000000000001"/>
    <n v="117.66"/>
    <n v="106.85"/>
    <n v="106.92"/>
    <n v="98.84"/>
    <n v="108.25"/>
    <n v="164.57"/>
    <n v="1532.5299999999997"/>
    <n v="-56.319999999999993"/>
  </r>
  <r>
    <x v="5"/>
    <x v="1"/>
    <x v="0"/>
    <s v="2677200"/>
    <n v="700062"/>
    <s v="Salaries-Physician-Non-productive"/>
    <s v="Pulmon &amp; Sleep Med Poulsbo"/>
    <x v="0"/>
    <m/>
    <n v="3081.36"/>
    <n v="770.34"/>
    <n v="3851.7"/>
    <n v="3543.56"/>
    <n v="-1232.54"/>
    <n v="8938.08"/>
    <n v="11944.99"/>
    <n v="1476.51"/>
    <n v="-617.16999999999996"/>
    <n v="3085.87"/>
    <n v="0"/>
    <n v="771.46"/>
    <n v="35614.159999999996"/>
    <n v="-771.46"/>
  </r>
  <r>
    <x v="5"/>
    <x v="1"/>
    <x v="0"/>
    <s v="2677200"/>
    <n v="700062"/>
    <s v="Salaries-Physician-NonProd-Other"/>
    <s v="Pulmon &amp; Sleep Med Poulsb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7200"/>
    <n v="700066"/>
    <s v="Salaries-RN-Non-productive"/>
    <s v="Pulmon &amp; Sleep Med Poulsbo"/>
    <x v="0"/>
    <m/>
    <n v="995.45"/>
    <n v="9.8000000000000007"/>
    <n v="945.17"/>
    <n v="973.74"/>
    <n v="1438.07"/>
    <n v="3335.03"/>
    <n v="2472.36"/>
    <n v="2140.87"/>
    <n v="-520.12"/>
    <n v="522.74"/>
    <n v="1206.24"/>
    <n v="918.41"/>
    <n v="14437.76"/>
    <n v="287.83000000000004"/>
  </r>
  <r>
    <x v="5"/>
    <x v="1"/>
    <x v="0"/>
    <s v="2677200"/>
    <n v="700066"/>
    <s v="Salaries-RN-NonProd-Other"/>
    <s v="Pulmon &amp; Sleep Med Poulsb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7200"/>
    <n v="700070"/>
    <s v="Salaries-LPN-Non-productive"/>
    <s v="Pulmon &amp; Sleep Med Poulsbo"/>
    <x v="0"/>
    <m/>
    <n v="243.3"/>
    <n v="973.2"/>
    <n v="392.32"/>
    <n v="669.81"/>
    <n v="18.8"/>
    <n v="889"/>
    <n v="138.76"/>
    <n v="649.99"/>
    <n v="309.95"/>
    <n v="508.21"/>
    <n v="-175.67"/>
    <n v="539.6"/>
    <n v="5157.2700000000004"/>
    <n v="-715.27"/>
  </r>
  <r>
    <x v="5"/>
    <x v="1"/>
    <x v="0"/>
    <s v="2677200"/>
    <n v="700070"/>
    <s v="Salaries-LPN-NonProd-Other"/>
    <s v="Pulmon &amp; Sleep Med Poulsb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7200"/>
    <n v="700072"/>
    <s v="Salaries-Other Pat Care Providers-Non-productive"/>
    <s v="Pulmon &amp; Sleep Med Poulsbo"/>
    <x v="0"/>
    <m/>
    <n v="2202.27"/>
    <n v="477.56"/>
    <n v="730.37"/>
    <n v="1124.01"/>
    <n v="-354.99"/>
    <n v="1106.82"/>
    <n v="559.47"/>
    <n v="-108.25"/>
    <n v="0"/>
    <n v="1031.1099999999999"/>
    <n v="0"/>
    <n v="257.77999999999997"/>
    <n v="7026.15"/>
    <n v="-257.77999999999997"/>
  </r>
  <r>
    <x v="5"/>
    <x v="1"/>
    <x v="0"/>
    <s v="2677200"/>
    <n v="700072"/>
    <s v="Salaries-Other Pat Care Providers-NonProd-Other"/>
    <s v="Pulmon &amp; Sleep Med Poulsb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7200"/>
    <n v="700074"/>
    <s v="Salaries-Tech/Professional-Non-productive"/>
    <s v="Pulmon &amp; Sleep Med Poulsbo"/>
    <x v="0"/>
    <m/>
    <n v="1397.17"/>
    <n v="-6.91"/>
    <n v="1602.26"/>
    <n v="1544.41"/>
    <n v="245.49"/>
    <n v="2116.15"/>
    <n v="2642.85"/>
    <n v="2383.4499999999998"/>
    <n v="309.66000000000003"/>
    <n v="1242.24"/>
    <n v="581.99"/>
    <n v="2342.4699999999998"/>
    <n v="16401.23"/>
    <n v="-1760.4799999999998"/>
  </r>
  <r>
    <x v="5"/>
    <x v="1"/>
    <x v="0"/>
    <s v="2677200"/>
    <n v="700074"/>
    <s v="Salaries-Tech/Professional-NonProd-Other"/>
    <s v="Pulmon &amp; Sleep Med Poulsb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7200"/>
    <n v="700078"/>
    <s v="Salaries-Service/Support-Non-productive"/>
    <s v="Pulmon &amp; Sleep Med Poulsbo"/>
    <x v="0"/>
    <m/>
    <n v="1371.82"/>
    <n v="167.68"/>
    <n v="614.70000000000005"/>
    <n v="224.07"/>
    <n v="745.15"/>
    <n v="3938.37"/>
    <n v="2388.02"/>
    <n v="153.72999999999999"/>
    <n v="1463.35"/>
    <n v="-59.32"/>
    <n v="581.25"/>
    <n v="485.07"/>
    <n v="12073.89"/>
    <n v="96.18"/>
  </r>
  <r>
    <x v="5"/>
    <x v="1"/>
    <x v="0"/>
    <s v="2677200"/>
    <n v="700078"/>
    <s v="Salaries-Service/Support-NonProd-Other"/>
    <s v="Pulmon &amp; Sleep Med Poulsb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7200"/>
    <n v="700084"/>
    <s v="Accrued PTO"/>
    <s v="Pulmon &amp; Sleep Med Poulsbo"/>
    <x v="0"/>
    <m/>
    <n v="-549.16"/>
    <n v="2514.3200000000002"/>
    <n v="24.61"/>
    <n v="886.21"/>
    <n v="915.59"/>
    <n v="-8203.02"/>
    <n v="-1999.15"/>
    <n v="-1520.07"/>
    <n v="1533.69"/>
    <n v="676.95"/>
    <n v="1608.22"/>
    <n v="1449.28"/>
    <n v="-2662.5299999999997"/>
    <n v="158.94000000000005"/>
  </r>
  <r>
    <x v="6"/>
    <x v="1"/>
    <x v="0"/>
    <s v="2677200"/>
    <n v="713010"/>
    <s v="Benefits-FICA/Medicare"/>
    <s v="Pulmon &amp; Sleep Med Poulsbo"/>
    <x v="0"/>
    <m/>
    <n v="5052.17"/>
    <n v="5300.22"/>
    <n v="4607.8999999999996"/>
    <n v="4443.1400000000003"/>
    <n v="4383.55"/>
    <n v="4292.46"/>
    <n v="5055.29"/>
    <n v="3316.65"/>
    <n v="3817.17"/>
    <n v="3823.37"/>
    <n v="4133.58"/>
    <n v="4638.28"/>
    <n v="52863.78"/>
    <n v="-504.69999999999982"/>
  </r>
  <r>
    <x v="6"/>
    <x v="1"/>
    <x v="0"/>
    <s v="2677200"/>
    <n v="713090"/>
    <s v="Benefits-Allocated Amounts"/>
    <s v="Pulmon &amp; Sleep Med Poulsbo"/>
    <x v="0"/>
    <m/>
    <n v="0"/>
    <n v="0"/>
    <n v="0"/>
    <n v="0"/>
    <n v="0"/>
    <n v="0"/>
    <n v="0"/>
    <n v="0"/>
    <n v="91839.32"/>
    <n v="9253.25"/>
    <n v="9253.98"/>
    <n v="10956.75"/>
    <n v="121303.3"/>
    <n v="-1702.7700000000004"/>
  </r>
  <r>
    <x v="6"/>
    <x v="1"/>
    <x v="0"/>
    <s v="2677200"/>
    <n v="713092"/>
    <s v="Allocated Benefits-Physician"/>
    <s v="Pulmon &amp; Sleep Med Poulsbo"/>
    <x v="0"/>
    <m/>
    <n v="12025.38"/>
    <n v="11139.05"/>
    <n v="11548.89"/>
    <n v="11798.47"/>
    <n v="11356.86"/>
    <n v="10727.4"/>
    <n v="12924.01"/>
    <n v="10390.43"/>
    <n v="-81383.62"/>
    <n v="1060.6300000000001"/>
    <n v="1060.71"/>
    <n v="1255.9000000000001"/>
    <n v="13904.109999999995"/>
    <n v="-195.19000000000005"/>
  </r>
  <r>
    <x v="7"/>
    <x v="1"/>
    <x v="0"/>
    <s v="2677200"/>
    <n v="718050"/>
    <s v="Contract Svcs-Other"/>
    <s v="Pulmon &amp; Sleep Med Poulsbo"/>
    <x v="0"/>
    <m/>
    <n v="126"/>
    <n v="0"/>
    <n v="0"/>
    <n v="0"/>
    <n v="0"/>
    <n v="0"/>
    <n v="0"/>
    <n v="0"/>
    <n v="0"/>
    <n v="0"/>
    <n v="0"/>
    <n v="3520.81"/>
    <n v="3646.81"/>
    <n v="-3520.81"/>
  </r>
  <r>
    <x v="7"/>
    <x v="1"/>
    <x v="0"/>
    <s v="2677200"/>
    <n v="718050"/>
    <s v="Miscellaneous Purchased Svcs"/>
    <s v="Pulmon &amp; Sleep Med Poulsbo"/>
    <x v="0"/>
    <n v="1020"/>
    <n v="0"/>
    <n v="1400"/>
    <n v="0"/>
    <n v="1400"/>
    <n v="0"/>
    <n v="843.75"/>
    <n v="6320.83"/>
    <n v="0"/>
    <n v="2800"/>
    <n v="1400"/>
    <n v="1400"/>
    <n v="1400"/>
    <n v="16964.580000000002"/>
    <n v="0"/>
  </r>
  <r>
    <x v="7"/>
    <x v="1"/>
    <x v="0"/>
    <s v="2677200"/>
    <n v="718050"/>
    <s v="Purchased Srvcs--Medical Waste"/>
    <s v="Pulmon &amp; Sleep Med Poulsbo"/>
    <x v="0"/>
    <n v="1027"/>
    <n v="0"/>
    <n v="0"/>
    <n v="0"/>
    <n v="0"/>
    <n v="0"/>
    <n v="0"/>
    <n v="0"/>
    <n v="0"/>
    <n v="0"/>
    <n v="0"/>
    <n v="0"/>
    <n v="20.72"/>
    <n v="20.72"/>
    <n v="-20.72"/>
  </r>
  <r>
    <x v="11"/>
    <x v="1"/>
    <x v="0"/>
    <s v="2677200"/>
    <n v="721010"/>
    <s v="Supplies-Medical - Billable"/>
    <s v="Pulmon &amp; Sleep Med Poulsbo"/>
    <x v="0"/>
    <m/>
    <n v="0"/>
    <n v="0"/>
    <n v="0"/>
    <n v="0"/>
    <n v="0"/>
    <n v="0"/>
    <n v="0"/>
    <n v="0"/>
    <n v="0"/>
    <n v="0"/>
    <n v="0"/>
    <n v="640"/>
    <n v="640"/>
    <n v="-640"/>
  </r>
  <r>
    <x v="11"/>
    <x v="1"/>
    <x v="0"/>
    <s v="2677200"/>
    <n v="721250"/>
    <s v="Supplies-Pharmacy Drugs - Billable"/>
    <s v="Pulmon &amp; Sleep Med Poulsbo"/>
    <x v="0"/>
    <m/>
    <n v="54.96"/>
    <n v="0"/>
    <n v="0"/>
    <n v="1396.64"/>
    <n v="3334.95"/>
    <n v="900.05"/>
    <n v="0"/>
    <n v="0"/>
    <n v="0"/>
    <n v="0"/>
    <n v="0"/>
    <n v="0"/>
    <n v="5686.6"/>
    <n v="0"/>
  </r>
  <r>
    <x v="11"/>
    <x v="1"/>
    <x v="0"/>
    <s v="2677200"/>
    <n v="721410"/>
    <s v="Supplies-Medical - Nonbillable"/>
    <s v="Pulmon &amp; Sleep Med Poulsbo"/>
    <x v="0"/>
    <m/>
    <n v="353.12"/>
    <n v="310.10000000000002"/>
    <n v="400.83"/>
    <n v="243.36"/>
    <n v="233.24"/>
    <n v="78.900000000000006"/>
    <n v="355.31"/>
    <n v="746.01"/>
    <n v="331.03"/>
    <n v="257.75"/>
    <n v="235.89"/>
    <n v="711.82"/>
    <n v="4257.3599999999997"/>
    <n v="-475.93000000000006"/>
  </r>
  <r>
    <x v="11"/>
    <x v="1"/>
    <x v="0"/>
    <s v="2677200"/>
    <n v="721610"/>
    <s v="Supplies-Anesthesia - Nonbillable"/>
    <s v="Pulmon &amp; Sleep Med Poulsbo"/>
    <x v="0"/>
    <m/>
    <n v="74.97"/>
    <n v="0"/>
    <n v="73.62"/>
    <n v="73.31"/>
    <n v="1220.69"/>
    <n v="381.88"/>
    <n v="-44.34"/>
    <n v="126.82"/>
    <n v="367.9"/>
    <n v="220.43"/>
    <n v="70.37"/>
    <n v="155.35"/>
    <n v="2721"/>
    <n v="-84.97999999999999"/>
  </r>
  <r>
    <x v="11"/>
    <x v="1"/>
    <x v="0"/>
    <s v="2677200"/>
    <n v="721710"/>
    <s v="Supplies-Laboratory - Nonbillable"/>
    <s v="Pulmon &amp; Sleep Med Poulsbo"/>
    <x v="0"/>
    <m/>
    <n v="0"/>
    <n v="0"/>
    <n v="0"/>
    <n v="0"/>
    <n v="473.9"/>
    <n v="63.77"/>
    <n v="0"/>
    <n v="0"/>
    <n v="0"/>
    <n v="473.9"/>
    <n v="63.77"/>
    <n v="0"/>
    <n v="1075.3399999999999"/>
    <n v="63.77"/>
  </r>
  <r>
    <x v="11"/>
    <x v="1"/>
    <x v="0"/>
    <s v="2677200"/>
    <n v="721710"/>
    <s v="Reagents"/>
    <s v="Pulmon &amp; Sleep Med Poulsbo"/>
    <x v="0"/>
    <n v="1000"/>
    <n v="0"/>
    <n v="0"/>
    <n v="0"/>
    <n v="0"/>
    <n v="0"/>
    <n v="0"/>
    <n v="0"/>
    <n v="0"/>
    <n v="0"/>
    <n v="34.880000000000003"/>
    <n v="-2.88"/>
    <n v="0"/>
    <n v="32"/>
    <n v="-2.88"/>
  </r>
  <r>
    <x v="11"/>
    <x v="1"/>
    <x v="0"/>
    <s v="2677200"/>
    <n v="721810"/>
    <s v="Supplies-Dietary/Cafeteria"/>
    <s v="Pulmon &amp; Sleep Med Poulsbo"/>
    <x v="0"/>
    <m/>
    <n v="131.61000000000001"/>
    <n v="0"/>
    <n v="260.01"/>
    <n v="0"/>
    <n v="173.77"/>
    <n v="193.9"/>
    <n v="0"/>
    <n v="211.39"/>
    <n v="0"/>
    <n v="342.32"/>
    <n v="75.430000000000007"/>
    <n v="0"/>
    <n v="1388.43"/>
    <n v="75.430000000000007"/>
  </r>
  <r>
    <x v="11"/>
    <x v="1"/>
    <x v="0"/>
    <s v="2677200"/>
    <n v="721830"/>
    <s v="Supplies-Office"/>
    <s v="Pulmon &amp; Sleep Med Poulsbo"/>
    <x v="0"/>
    <m/>
    <n v="446.24"/>
    <n v="0"/>
    <n v="480.83"/>
    <n v="108.78"/>
    <n v="108.78"/>
    <n v="377.24"/>
    <n v="336.73"/>
    <n v="0"/>
    <n v="0"/>
    <n v="163.18"/>
    <n v="0"/>
    <n v="135.97999999999999"/>
    <n v="2157.7599999999998"/>
    <n v="-135.97999999999999"/>
  </r>
  <r>
    <x v="11"/>
    <x v="1"/>
    <x v="0"/>
    <s v="2677200"/>
    <n v="721835"/>
    <s v="Supplies-Forms"/>
    <s v="Pulmon &amp; Sleep Med Poulsbo"/>
    <x v="0"/>
    <m/>
    <n v="0"/>
    <n v="0"/>
    <n v="0"/>
    <n v="0"/>
    <n v="34"/>
    <n v="0"/>
    <n v="34"/>
    <n v="0"/>
    <n v="0"/>
    <n v="63.94"/>
    <n v="0"/>
    <n v="0"/>
    <n v="131.94"/>
    <n v="0"/>
  </r>
  <r>
    <x v="11"/>
    <x v="1"/>
    <x v="0"/>
    <s v="2677200"/>
    <n v="721870"/>
    <s v="Supplies-Environmental Services"/>
    <s v="Pulmon &amp; Sleep Med Poulsbo"/>
    <x v="0"/>
    <m/>
    <n v="47.28"/>
    <n v="69.13"/>
    <n v="0"/>
    <n v="0"/>
    <n v="0"/>
    <n v="0"/>
    <n v="47.28"/>
    <n v="0"/>
    <n v="72.34"/>
    <n v="0"/>
    <n v="0"/>
    <n v="0"/>
    <n v="236.03"/>
    <n v="0"/>
  </r>
  <r>
    <x v="11"/>
    <x v="1"/>
    <x v="0"/>
    <s v="2677200"/>
    <n v="721880"/>
    <s v="Supplies-Linen"/>
    <s v="Pulmon &amp; Sleep Med Poulsbo"/>
    <x v="0"/>
    <m/>
    <n v="19.8"/>
    <n v="19.8"/>
    <n v="0"/>
    <n v="0"/>
    <n v="19.8"/>
    <n v="0"/>
    <n v="26.88"/>
    <n v="0"/>
    <n v="19.8"/>
    <n v="26.88"/>
    <n v="26.88"/>
    <n v="0"/>
    <n v="159.84"/>
    <n v="26.88"/>
  </r>
  <r>
    <x v="11"/>
    <x v="1"/>
    <x v="0"/>
    <s v="2677200"/>
    <n v="721910"/>
    <s v="Supplies-Small Equipment"/>
    <s v="Pulmon &amp; Sleep Med Poulsbo"/>
    <x v="0"/>
    <m/>
    <n v="945.23"/>
    <n v="76.03"/>
    <n v="0"/>
    <n v="0"/>
    <n v="0"/>
    <n v="0"/>
    <n v="81.98"/>
    <n v="16.32"/>
    <n v="0"/>
    <n v="-111.72"/>
    <n v="0"/>
    <n v="0"/>
    <n v="1007.8399999999999"/>
    <n v="0"/>
  </r>
  <r>
    <x v="11"/>
    <x v="1"/>
    <x v="0"/>
    <s v="2677200"/>
    <n v="721910"/>
    <s v="Instruments"/>
    <s v="Pulmon &amp; Sleep Med Poulsbo"/>
    <x v="0"/>
    <n v="1000"/>
    <n v="0"/>
    <n v="0"/>
    <n v="0"/>
    <n v="0"/>
    <n v="0"/>
    <n v="0"/>
    <n v="18.190000000000001"/>
    <n v="0"/>
    <n v="0"/>
    <n v="0"/>
    <n v="0"/>
    <n v="0"/>
    <n v="18.190000000000001"/>
    <n v="0"/>
  </r>
  <r>
    <x v="11"/>
    <x v="1"/>
    <x v="0"/>
    <s v="2677200"/>
    <n v="721980"/>
    <s v="Supplies-Other"/>
    <s v="Pulmon &amp; Sleep Med Poulsbo"/>
    <x v="0"/>
    <m/>
    <n v="0"/>
    <n v="164.82"/>
    <n v="260.88"/>
    <n v="228.13"/>
    <n v="0"/>
    <n v="0"/>
    <n v="516.42999999999995"/>
    <n v="0"/>
    <n v="324"/>
    <n v="479.26"/>
    <n v="365.37"/>
    <n v="238.45"/>
    <n v="2577.3399999999997"/>
    <n v="126.92000000000002"/>
  </r>
  <r>
    <x v="11"/>
    <x v="1"/>
    <x v="0"/>
    <s v="2677200"/>
    <n v="722000"/>
    <s v="Supplies-Freight Expense"/>
    <s v="Pulmon &amp; Sleep Med Poulsbo"/>
    <x v="0"/>
    <m/>
    <n v="0"/>
    <n v="0"/>
    <n v="0"/>
    <n v="25.15"/>
    <n v="0"/>
    <n v="0"/>
    <n v="0"/>
    <n v="0"/>
    <n v="0"/>
    <n v="0"/>
    <n v="8.26"/>
    <n v="50.3"/>
    <n v="83.71"/>
    <n v="-42.04"/>
  </r>
  <r>
    <x v="12"/>
    <x v="1"/>
    <x v="0"/>
    <s v="2677200"/>
    <n v="730020"/>
    <s v="Rental and Leases-Equipment (DO NOT USE)"/>
    <s v="Pulmon &amp; Sleep Med Poulsbo"/>
    <x v="0"/>
    <m/>
    <n v="66.22"/>
    <n v="66.22"/>
    <n v="66.22"/>
    <n v="66.209999999999994"/>
    <n v="43.4"/>
    <n v="0"/>
    <n v="132.27000000000001"/>
    <n v="0"/>
    <n v="66.040000000000006"/>
    <n v="66.040000000000006"/>
    <n v="66.040000000000006"/>
    <n v="0"/>
    <n v="638.66"/>
    <n v="66.040000000000006"/>
  </r>
  <r>
    <x v="15"/>
    <x v="1"/>
    <x v="0"/>
    <s v="2677200"/>
    <n v="731050"/>
    <s v="Refuse Disposal"/>
    <s v="Pulmon &amp; Sleep Med Poulsbo"/>
    <x v="0"/>
    <m/>
    <n v="175.08"/>
    <n v="137.02000000000001"/>
    <n v="277.64"/>
    <n v="198.14"/>
    <n v="115.26"/>
    <n v="185.44"/>
    <n v="226.88"/>
    <n v="195.8"/>
    <n v="175.08"/>
    <n v="31.08"/>
    <n v="164.72"/>
    <n v="289.04000000000002"/>
    <n v="2171.1799999999998"/>
    <n v="-124.32000000000002"/>
  </r>
  <r>
    <x v="0"/>
    <x v="1"/>
    <x v="0"/>
    <s v="2677200"/>
    <n v="740022"/>
    <s v="Education-Physician"/>
    <s v="Pulmon &amp; Sleep Med Poulsbo"/>
    <x v="0"/>
    <m/>
    <n v="0"/>
    <n v="0"/>
    <n v="0"/>
    <n v="0"/>
    <n v="0"/>
    <n v="1800"/>
    <n v="0"/>
    <n v="0"/>
    <n v="0"/>
    <n v="0"/>
    <n v="0"/>
    <n v="0"/>
    <n v="1800"/>
    <n v="0"/>
  </r>
  <r>
    <x v="8"/>
    <x v="1"/>
    <x v="0"/>
    <s v="2677200"/>
    <n v="741012"/>
    <s v="Physician Liab Insurance-CHI Program"/>
    <s v="Pulmon &amp; Sleep Med Poulsbo"/>
    <x v="0"/>
    <m/>
    <n v="445.25"/>
    <n v="445.25"/>
    <n v="445.25"/>
    <n v="445.25"/>
    <n v="445.25"/>
    <n v="445.24"/>
    <n v="445.25"/>
    <n v="445.24"/>
    <n v="445.25"/>
    <n v="445.24"/>
    <n v="445.25"/>
    <n v="445.24"/>
    <n v="5342.9599999999991"/>
    <n v="9.9999999999909051E-3"/>
  </r>
  <r>
    <x v="0"/>
    <x v="1"/>
    <x v="0"/>
    <s v="2677200"/>
    <n v="749510"/>
    <s v="Miscellaneous Expenses"/>
    <s v="Pulmon &amp; Sleep Med Poulsbo"/>
    <x v="0"/>
    <m/>
    <n v="0"/>
    <n v="26.16"/>
    <n v="-26.16"/>
    <n v="0"/>
    <n v="0"/>
    <n v="0"/>
    <n v="0"/>
    <n v="0"/>
    <n v="11.6"/>
    <n v="-11.6"/>
    <n v="16.239999999999998"/>
    <n v="-16.239999999999998"/>
    <n v="0"/>
    <n v="32.479999999999997"/>
  </r>
  <r>
    <x v="0"/>
    <x v="1"/>
    <x v="0"/>
    <s v="2677200"/>
    <n v="749510"/>
    <s v="Licenses"/>
    <s v="Pulmon &amp; Sleep Med Poulsbo"/>
    <x v="0"/>
    <n v="1002"/>
    <n v="0"/>
    <n v="0"/>
    <n v="0"/>
    <n v="0"/>
    <n v="0"/>
    <n v="19"/>
    <n v="0"/>
    <n v="0"/>
    <n v="0"/>
    <n v="0"/>
    <n v="0"/>
    <n v="0"/>
    <n v="19"/>
    <n v="0"/>
  </r>
  <r>
    <x v="0"/>
    <x v="1"/>
    <x v="0"/>
    <s v="2677200"/>
    <n v="749512"/>
    <s v="Licenses-Physician"/>
    <s v="Pulmon &amp; Sleep Med Poulsbo"/>
    <x v="0"/>
    <n v="2000"/>
    <n v="0"/>
    <n v="0"/>
    <n v="0"/>
    <n v="0"/>
    <n v="0"/>
    <n v="731"/>
    <n v="0"/>
    <n v="0"/>
    <n v="0"/>
    <n v="0"/>
    <n v="0"/>
    <n v="0"/>
    <n v="731"/>
    <n v="0"/>
  </r>
  <r>
    <x v="0"/>
    <x v="1"/>
    <x v="0"/>
    <s v="2677200"/>
    <n v="749530"/>
    <s v="Mileage"/>
    <s v="Pulmon &amp; Sleep Med Poulsbo"/>
    <x v="0"/>
    <n v="1001"/>
    <n v="0"/>
    <n v="0"/>
    <n v="52.32"/>
    <n v="0"/>
    <n v="0"/>
    <n v="69.760000000000005"/>
    <n v="0"/>
    <n v="0"/>
    <n v="0"/>
    <n v="11.6"/>
    <n v="0"/>
    <n v="16.239999999999998"/>
    <n v="149.92000000000002"/>
    <n v="-16.239999999999998"/>
  </r>
  <r>
    <x v="2"/>
    <x v="1"/>
    <x v="0"/>
    <s v="2678200"/>
    <n v="450040"/>
    <s v="Contr Allow--Phys Svcs--Managed Care"/>
    <s v="General Surgery Prof Fees"/>
    <x v="0"/>
    <n v="1400"/>
    <n v="1000.32"/>
    <n v="0"/>
    <n v="0"/>
    <n v="0"/>
    <n v="0"/>
    <n v="0"/>
    <n v="0"/>
    <n v="0"/>
    <n v="0"/>
    <n v="0"/>
    <n v="0"/>
    <n v="0"/>
    <n v="1000.32"/>
    <n v="0"/>
  </r>
  <r>
    <x v="2"/>
    <x v="1"/>
    <x v="0"/>
    <s v="2678200"/>
    <n v="450040"/>
    <s v="Contr Allow--Phys Svcs--BCBS Mgnd Care"/>
    <s v="General Surgery Prof Fees"/>
    <x v="0"/>
    <n v="1401"/>
    <n v="-899.81"/>
    <n v="0"/>
    <n v="0"/>
    <n v="0"/>
    <n v="0"/>
    <n v="0"/>
    <n v="0"/>
    <n v="0"/>
    <n v="0"/>
    <n v="0"/>
    <n v="0"/>
    <n v="0"/>
    <n v="-899.81"/>
    <n v="0"/>
  </r>
  <r>
    <x v="3"/>
    <x v="1"/>
    <x v="0"/>
    <s v="2678200"/>
    <n v="470040"/>
    <s v="Charity Care-Physician Svcs"/>
    <s v="General Surgery Prof Fees"/>
    <x v="0"/>
    <m/>
    <n v="-29.92"/>
    <n v="0"/>
    <n v="0"/>
    <n v="0"/>
    <n v="0"/>
    <n v="0"/>
    <n v="0"/>
    <n v="0"/>
    <n v="0"/>
    <n v="0"/>
    <n v="0"/>
    <n v="0"/>
    <n v="-29.92"/>
    <n v="0"/>
  </r>
  <r>
    <x v="4"/>
    <x v="1"/>
    <x v="0"/>
    <s v="2678200"/>
    <n v="490010"/>
    <s v="Provision for Bad Debts"/>
    <s v="General Surgery Prof Fees"/>
    <x v="0"/>
    <m/>
    <n v="-125.79"/>
    <n v="0"/>
    <n v="0"/>
    <n v="0"/>
    <n v="0"/>
    <n v="0"/>
    <n v="0"/>
    <n v="0"/>
    <n v="0"/>
    <n v="0"/>
    <n v="0"/>
    <n v="0"/>
    <n v="-125.79"/>
    <n v="0"/>
  </r>
  <r>
    <x v="0"/>
    <x v="1"/>
    <x v="0"/>
    <s v="2678200"/>
    <n v="743022"/>
    <s v="Dues-Physician"/>
    <s v="General Surgery Prof Fees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2678200"/>
    <n v="743023"/>
    <s v="Dues-Advanced Practice Clinician"/>
    <s v="General Surgery Prof Fees"/>
    <x v="0"/>
    <m/>
    <n v="0"/>
    <n v="0"/>
    <n v="0"/>
    <n v="0"/>
    <n v="0"/>
    <n v="0"/>
    <n v="0"/>
    <n v="0"/>
    <n v="0"/>
    <n v="0"/>
    <n v="0"/>
    <n v="0"/>
    <n v="0"/>
    <n v="0"/>
  </r>
  <r>
    <x v="11"/>
    <x v="2"/>
    <x v="0"/>
    <s v="2678207"/>
    <n v="721250"/>
    <s v="Supplies-Pharmacy Drugs - Billable"/>
    <s v="General Surgery Prof Fees"/>
    <x v="0"/>
    <m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679200"/>
    <n v="400029"/>
    <s v="MD Practice Other Rev--Medicare"/>
    <s v="Urology Clinic"/>
    <x v="0"/>
    <n v="1100"/>
    <n v="-2711"/>
    <n v="-701"/>
    <n v="-1570"/>
    <n v="-2208"/>
    <n v="-2166"/>
    <n v="-1381"/>
    <n v="-1636"/>
    <n v="-3082"/>
    <n v="-3116"/>
    <n v="-3173"/>
    <n v="-2930"/>
    <n v="-3150"/>
    <n v="-27824"/>
    <n v="220"/>
  </r>
  <r>
    <x v="1"/>
    <x v="1"/>
    <x v="0"/>
    <s v="2679200"/>
    <n v="400029"/>
    <s v="MD Practice Other Rev--Medicaid"/>
    <s v="Urology Clinic"/>
    <x v="0"/>
    <n v="1200"/>
    <n v="-49"/>
    <n v="-171"/>
    <n v="-381"/>
    <n v="-217"/>
    <n v="-178"/>
    <n v="-123"/>
    <n v="-529"/>
    <n v="-398"/>
    <n v="-365"/>
    <n v="-357"/>
    <n v="-49"/>
    <n v="-49"/>
    <n v="-2866"/>
    <n v="0"/>
  </r>
  <r>
    <x v="1"/>
    <x v="1"/>
    <x v="0"/>
    <s v="2679200"/>
    <n v="400029"/>
    <s v="MD Practice Other Rev--Comm Insurance"/>
    <s v="Urology Clinic"/>
    <x v="0"/>
    <n v="1300"/>
    <n v="0"/>
    <n v="-49"/>
    <n v="0"/>
    <n v="-451"/>
    <n v="-98"/>
    <n v="0"/>
    <n v="0"/>
    <n v="0"/>
    <n v="0"/>
    <n v="0"/>
    <n v="-316"/>
    <n v="0"/>
    <n v="-914"/>
    <n v="-316"/>
  </r>
  <r>
    <x v="1"/>
    <x v="1"/>
    <x v="0"/>
    <s v="2679200"/>
    <n v="400029"/>
    <s v="MD Practice Other Rev--BCBS Comm"/>
    <s v="Urology Clinic"/>
    <x v="0"/>
    <n v="1301"/>
    <n v="-681"/>
    <n v="-98"/>
    <n v="-98"/>
    <n v="-98"/>
    <n v="-49"/>
    <n v="-339"/>
    <n v="-414"/>
    <n v="-98"/>
    <n v="0"/>
    <n v="-681"/>
    <n v="-49"/>
    <n v="-238"/>
    <n v="-2843"/>
    <n v="189"/>
  </r>
  <r>
    <x v="1"/>
    <x v="1"/>
    <x v="0"/>
    <s v="2679200"/>
    <n v="400029"/>
    <s v="MD Practice Other Rev--Managed Care"/>
    <s v="Urology Clinic"/>
    <x v="0"/>
    <n v="1400"/>
    <n v="-730"/>
    <n v="-98"/>
    <n v="-948"/>
    <n v="-718"/>
    <n v="-771"/>
    <n v="-1644.2"/>
    <n v="-49"/>
    <n v="-172"/>
    <n v="0"/>
    <n v="-700"/>
    <n v="-1238"/>
    <n v="-948"/>
    <n v="-8016.2"/>
    <n v="-290"/>
  </r>
  <r>
    <x v="1"/>
    <x v="1"/>
    <x v="0"/>
    <s v="2679200"/>
    <n v="400029"/>
    <s v="MD Practice Other Rev--Self Pay"/>
    <s v="Urology Clinic"/>
    <x v="0"/>
    <n v="1500"/>
    <n v="-49"/>
    <n v="0"/>
    <n v="0"/>
    <n v="0"/>
    <n v="-98"/>
    <n v="49"/>
    <n v="0"/>
    <n v="-49"/>
    <n v="0"/>
    <n v="0"/>
    <n v="0"/>
    <n v="0"/>
    <n v="-147"/>
    <n v="0"/>
  </r>
  <r>
    <x v="1"/>
    <x v="1"/>
    <x v="0"/>
    <s v="2679200"/>
    <n v="400029"/>
    <s v="MD Practice Other Rev--Other"/>
    <s v="Urology Clinic"/>
    <x v="0"/>
    <n v="1700"/>
    <n v="-147"/>
    <n v="-534"/>
    <n v="-477"/>
    <n v="-49"/>
    <n v="65"/>
    <n v="0"/>
    <n v="-267"/>
    <n v="-49"/>
    <n v="-583"/>
    <n v="-583"/>
    <n v="-316"/>
    <n v="-583"/>
    <n v="-3523"/>
    <n v="267"/>
  </r>
  <r>
    <x v="1"/>
    <x v="1"/>
    <x v="0"/>
    <s v="2679200"/>
    <n v="400040"/>
    <s v="Physician Svcs Rev--Medicare"/>
    <s v="Urology Clinic"/>
    <x v="0"/>
    <n v="1100"/>
    <n v="-208382"/>
    <n v="-145181"/>
    <n v="-167224"/>
    <n v="-226527"/>
    <n v="-142367"/>
    <n v="-159612"/>
    <n v="-235545.25"/>
    <n v="-148588"/>
    <n v="-208193.2"/>
    <n v="-212019.5"/>
    <n v="-245986.2"/>
    <n v="-237124.5"/>
    <n v="-2336749.65"/>
    <n v="-8861.7000000000116"/>
  </r>
  <r>
    <x v="1"/>
    <x v="1"/>
    <x v="0"/>
    <s v="2679200"/>
    <n v="400040"/>
    <s v="Physician Svcs Rev--Medicaid"/>
    <s v="Urology Clinic"/>
    <x v="0"/>
    <n v="1200"/>
    <n v="-46536"/>
    <n v="-25316"/>
    <n v="-37408"/>
    <n v="-45880"/>
    <n v="-25957"/>
    <n v="-27990"/>
    <n v="-40186"/>
    <n v="-24313.8"/>
    <n v="-48481"/>
    <n v="-26262"/>
    <n v="-32279"/>
    <n v="-38606"/>
    <n v="-419214.8"/>
    <n v="6327"/>
  </r>
  <r>
    <x v="1"/>
    <x v="1"/>
    <x v="0"/>
    <s v="2679200"/>
    <n v="400040"/>
    <s v="Physician Svcs Rev--Comm Insurance"/>
    <s v="Urology Clinic"/>
    <x v="0"/>
    <n v="1300"/>
    <n v="-6575"/>
    <n v="-4273"/>
    <n v="-2501"/>
    <n v="-4251"/>
    <n v="-5073"/>
    <n v="-1177"/>
    <n v="-1386"/>
    <n v="-2164"/>
    <n v="-3018"/>
    <n v="-4578"/>
    <n v="-9525"/>
    <n v="-3457"/>
    <n v="-47978"/>
    <n v="-6068"/>
  </r>
  <r>
    <x v="1"/>
    <x v="1"/>
    <x v="0"/>
    <s v="2679200"/>
    <n v="400040"/>
    <s v="Physician Svcs Rev--BCBS Comm"/>
    <s v="Urology Clinic"/>
    <x v="0"/>
    <n v="1301"/>
    <n v="-34939"/>
    <n v="-23793"/>
    <n v="-7763"/>
    <n v="-13080"/>
    <n v="-18557"/>
    <n v="-18559"/>
    <n v="-18590"/>
    <n v="-14243"/>
    <n v="-8694"/>
    <n v="-12906"/>
    <n v="-19466"/>
    <n v="-39215"/>
    <n v="-229805"/>
    <n v="19749"/>
  </r>
  <r>
    <x v="1"/>
    <x v="1"/>
    <x v="0"/>
    <s v="2679200"/>
    <n v="400040"/>
    <s v="Physician Svcs Rev--Managed Care"/>
    <s v="Urology Clinic"/>
    <x v="0"/>
    <n v="1400"/>
    <n v="-30155"/>
    <n v="-39698"/>
    <n v="-46379"/>
    <n v="-56671"/>
    <n v="-32839"/>
    <n v="-60287"/>
    <n v="-41870"/>
    <n v="-46213.8"/>
    <n v="-29758"/>
    <n v="-41500"/>
    <n v="-54644"/>
    <n v="-41299"/>
    <n v="-521313.8"/>
    <n v="-13345"/>
  </r>
  <r>
    <x v="1"/>
    <x v="1"/>
    <x v="0"/>
    <s v="2679200"/>
    <n v="400040"/>
    <s v="Physician Svcs Rev--Self Pay"/>
    <s v="Urology Clinic"/>
    <x v="0"/>
    <n v="1500"/>
    <n v="-2345"/>
    <n v="-738"/>
    <n v="-1437"/>
    <n v="-265"/>
    <n v="-16215"/>
    <n v="2509"/>
    <n v="-977"/>
    <n v="-2358"/>
    <n v="-496"/>
    <n v="-2076"/>
    <n v="-6004"/>
    <n v="-3562"/>
    <n v="-33964"/>
    <n v="-2442"/>
  </r>
  <r>
    <x v="1"/>
    <x v="1"/>
    <x v="0"/>
    <s v="2679200"/>
    <n v="400040"/>
    <s v="Physician Svcs Rev--Other"/>
    <s v="Urology Clinic"/>
    <x v="0"/>
    <n v="1700"/>
    <n v="-20210"/>
    <n v="-12383"/>
    <n v="-39562"/>
    <n v="-23317"/>
    <n v="-7763"/>
    <n v="-9989"/>
    <n v="-26742"/>
    <n v="-9162"/>
    <n v="-28082"/>
    <n v="-21968"/>
    <n v="-29246"/>
    <n v="-29341"/>
    <n v="-257765"/>
    <n v="95"/>
  </r>
  <r>
    <x v="2"/>
    <x v="1"/>
    <x v="0"/>
    <s v="2679200"/>
    <n v="450029"/>
    <s v="Contr Allow--MD Other-Medicare"/>
    <s v="Urology Clinic"/>
    <x v="0"/>
    <n v="1100"/>
    <n v="1810.81"/>
    <n v="1111.19"/>
    <n v="654.17999999999995"/>
    <n v="1397.41"/>
    <n v="1002.49"/>
    <n v="1412"/>
    <n v="1058.54"/>
    <n v="1158.1500000000001"/>
    <n v="1008.4"/>
    <n v="1408.18"/>
    <n v="2270.94"/>
    <n v="1482.51"/>
    <n v="15774.8"/>
    <n v="788.43000000000006"/>
  </r>
  <r>
    <x v="2"/>
    <x v="1"/>
    <x v="0"/>
    <s v="2679200"/>
    <n v="450029"/>
    <s v="Contr Allow--MD Other-Medicaid"/>
    <s v="Urology Clinic"/>
    <x v="0"/>
    <n v="1200"/>
    <n v="232.04"/>
    <n v="52.85"/>
    <n v="149.29"/>
    <n v="271.17"/>
    <n v="108.66"/>
    <n v="75.260000000000005"/>
    <n v="335.28"/>
    <n v="181.78"/>
    <n v="515.05999999999995"/>
    <n v="311.39"/>
    <n v="0"/>
    <n v="75.88"/>
    <n v="2308.66"/>
    <n v="-75.88"/>
  </r>
  <r>
    <x v="2"/>
    <x v="1"/>
    <x v="0"/>
    <s v="2679200"/>
    <n v="450029"/>
    <s v="Contr Allow--MD Other-Comm Insurance"/>
    <s v="Urology Clinic"/>
    <x v="0"/>
    <n v="1300"/>
    <n v="0"/>
    <n v="0"/>
    <n v="17.690000000000001"/>
    <n v="111.86"/>
    <n v="0"/>
    <n v="39.340000000000003"/>
    <n v="0"/>
    <n v="0"/>
    <n v="0"/>
    <n v="0"/>
    <n v="19.670000000000002"/>
    <n v="0"/>
    <n v="188.56"/>
    <n v="19.670000000000002"/>
  </r>
  <r>
    <x v="2"/>
    <x v="1"/>
    <x v="0"/>
    <s v="2679200"/>
    <n v="450029"/>
    <s v="Contr Allow--MD Other BCBS Comm"/>
    <s v="Urology Clinic"/>
    <x v="0"/>
    <n v="1301"/>
    <n v="99.2"/>
    <n v="326.12"/>
    <n v="24.8"/>
    <n v="49.6"/>
    <n v="85.25"/>
    <n v="0"/>
    <n v="106.46"/>
    <n v="177.83"/>
    <n v="48.08"/>
    <n v="153.79"/>
    <n v="177.83"/>
    <n v="83.15"/>
    <n v="1332.1100000000001"/>
    <n v="94.68"/>
  </r>
  <r>
    <x v="2"/>
    <x v="1"/>
    <x v="0"/>
    <s v="2679200"/>
    <n v="450029"/>
    <s v="Contr Allow--MD Other-Managed Care"/>
    <s v="Urology Clinic"/>
    <x v="0"/>
    <n v="1400"/>
    <n v="304.52999999999997"/>
    <n v="417.58"/>
    <n v="151.61000000000001"/>
    <n v="485.64"/>
    <n v="245.12"/>
    <n v="201.59"/>
    <n v="482.03"/>
    <n v="44.44"/>
    <n v="155.09"/>
    <n v="20.95"/>
    <n v="463.43"/>
    <n v="357.65"/>
    <n v="3329.66"/>
    <n v="105.78000000000003"/>
  </r>
  <r>
    <x v="2"/>
    <x v="1"/>
    <x v="0"/>
    <s v="2679200"/>
    <n v="450029"/>
    <s v="Admin Adjust-MD Other-Self Pay"/>
    <s v="Urology Clinic"/>
    <x v="0"/>
    <n v="1600"/>
    <n v="26.95"/>
    <n v="4.3"/>
    <n v="3.6"/>
    <n v="3.06"/>
    <n v="36.26"/>
    <n v="-18.13"/>
    <n v="0"/>
    <n v="97.58"/>
    <n v="0"/>
    <n v="0"/>
    <n v="0"/>
    <n v="0"/>
    <n v="153.62"/>
    <n v="0"/>
  </r>
  <r>
    <x v="2"/>
    <x v="1"/>
    <x v="0"/>
    <s v="2679200"/>
    <n v="450029"/>
    <s v="Contr Allow--MD Other-Other"/>
    <s v="Urology Clinic"/>
    <x v="0"/>
    <n v="1700"/>
    <n v="109.17"/>
    <n v="31.02"/>
    <n v="-240.68"/>
    <n v="603.72"/>
    <n v="0"/>
    <n v="79.98"/>
    <n v="16.05"/>
    <n v="536.96"/>
    <n v="0"/>
    <n v="324.64999999999998"/>
    <n v="293.67"/>
    <n v="316.37"/>
    <n v="2070.91"/>
    <n v="-22.699999999999989"/>
  </r>
  <r>
    <x v="2"/>
    <x v="1"/>
    <x v="0"/>
    <s v="2679200"/>
    <n v="450040"/>
    <s v="Contr Allow--Phys Svcs--Mcare"/>
    <s v="Urology Clinic"/>
    <x v="0"/>
    <n v="1100"/>
    <n v="144916.41"/>
    <n v="132000.10999999999"/>
    <n v="93184.21"/>
    <n v="126045.21"/>
    <n v="123308.81"/>
    <n v="116601.64"/>
    <n v="113809.15"/>
    <n v="113952.6"/>
    <n v="122248.32000000001"/>
    <n v="143099.29999999999"/>
    <n v="150199.69"/>
    <n v="161199.60999999999"/>
    <n v="1540565.06"/>
    <n v="-10999.919999999984"/>
  </r>
  <r>
    <x v="2"/>
    <x v="1"/>
    <x v="0"/>
    <s v="2679200"/>
    <n v="450040"/>
    <s v="Contr Allow--Phys Svcs--Mcaid"/>
    <s v="Urology Clinic"/>
    <x v="0"/>
    <n v="1200"/>
    <n v="39520.730000000003"/>
    <n v="33725.81"/>
    <n v="28092.61"/>
    <n v="34822.519999999997"/>
    <n v="25589.05"/>
    <n v="20786.400000000001"/>
    <n v="27586.92"/>
    <n v="20008.560000000001"/>
    <n v="25700.35"/>
    <n v="20071.310000000001"/>
    <n v="31826.04"/>
    <n v="18692.13"/>
    <n v="326422.43"/>
    <n v="13133.91"/>
  </r>
  <r>
    <x v="2"/>
    <x v="1"/>
    <x v="0"/>
    <s v="2679200"/>
    <n v="450040"/>
    <s v="Contr Allow--Phys Svcs--Comm Insurance"/>
    <s v="Urology Clinic"/>
    <x v="0"/>
    <n v="1300"/>
    <n v="640.54"/>
    <n v="3320.82"/>
    <n v="1921.47"/>
    <n v="1279.3699999999999"/>
    <n v="761.77"/>
    <n v="1792.93"/>
    <n v="495.23"/>
    <n v="331.4"/>
    <n v="1373.14"/>
    <n v="1352.15"/>
    <n v="1293.67"/>
    <n v="790.74"/>
    <n v="15353.229999999998"/>
    <n v="502.93000000000006"/>
  </r>
  <r>
    <x v="2"/>
    <x v="1"/>
    <x v="0"/>
    <s v="2679200"/>
    <n v="450040"/>
    <s v="Contr Allow--Phys Svcs--BCBS Comm Ins"/>
    <s v="Urology Clinic"/>
    <x v="0"/>
    <n v="1301"/>
    <n v="11525.54"/>
    <n v="22446.05"/>
    <n v="6390.84"/>
    <n v="4121.1499999999996"/>
    <n v="13800.34"/>
    <n v="1794.4"/>
    <n v="10792.83"/>
    <n v="7864.57"/>
    <n v="8000.12"/>
    <n v="4935.3999999999996"/>
    <n v="7465.72"/>
    <n v="16260.82"/>
    <n v="115397.78"/>
    <n v="-8795.0999999999985"/>
  </r>
  <r>
    <x v="2"/>
    <x v="1"/>
    <x v="0"/>
    <s v="2679200"/>
    <n v="450040"/>
    <s v="Contr Allow--Phys Svcs--Managed Care"/>
    <s v="Urology Clinic"/>
    <x v="0"/>
    <n v="1400"/>
    <n v="19997.72"/>
    <n v="14681.47"/>
    <n v="20999.5"/>
    <n v="21747.39"/>
    <n v="21647.63"/>
    <n v="14267.55"/>
    <n v="26007.66"/>
    <n v="21073.14"/>
    <n v="8696.81"/>
    <n v="10413.57"/>
    <n v="28322.29"/>
    <n v="25331.51"/>
    <n v="233186.24000000002"/>
    <n v="2990.7800000000025"/>
  </r>
  <r>
    <x v="2"/>
    <x v="1"/>
    <x v="0"/>
    <s v="2679200"/>
    <n v="450040"/>
    <s v="Contr Allow--Phys Svcs--BCBS Mgnd Care"/>
    <s v="Urology Clinic"/>
    <x v="0"/>
    <n v="1401"/>
    <n v="-10130.07"/>
    <n v="-43741.67"/>
    <n v="25215.87"/>
    <n v="22911.75"/>
    <n v="-36787.39"/>
    <n v="11634.46"/>
    <n v="39400.11"/>
    <n v="-16887.11"/>
    <n v="29972.7"/>
    <n v="8845.98"/>
    <n v="12725.11"/>
    <n v="1617.26"/>
    <n v="44777.000000000007"/>
    <n v="11107.85"/>
  </r>
  <r>
    <x v="2"/>
    <x v="1"/>
    <x v="0"/>
    <s v="2679200"/>
    <n v="450040"/>
    <s v="Prompt Pay Disc-Phys Svcs-Self Pay"/>
    <s v="Urology Clinic"/>
    <x v="0"/>
    <n v="1500"/>
    <n v="0"/>
    <n v="0"/>
    <n v="0"/>
    <n v="-470.16"/>
    <n v="0"/>
    <n v="0"/>
    <n v="0"/>
    <n v="0"/>
    <n v="0"/>
    <n v="0"/>
    <n v="0"/>
    <n v="356.42"/>
    <n v="-113.74000000000001"/>
    <n v="-356.42"/>
  </r>
  <r>
    <x v="2"/>
    <x v="1"/>
    <x v="0"/>
    <s v="2679200"/>
    <n v="450040"/>
    <s v="Admin Adjust-Phys Svcs-Self Pay"/>
    <s v="Urology Clinic"/>
    <x v="0"/>
    <n v="1600"/>
    <n v="1238.1300000000001"/>
    <n v="488.86"/>
    <n v="645.63"/>
    <n v="46.5"/>
    <n v="6641.43"/>
    <n v="-809.77"/>
    <n v="688.22"/>
    <n v="1315.3"/>
    <n v="242.59"/>
    <n v="771.22"/>
    <n v="2383.59"/>
    <n v="1508.41"/>
    <n v="15160.109999999999"/>
    <n v="875.18000000000006"/>
  </r>
  <r>
    <x v="2"/>
    <x v="1"/>
    <x v="0"/>
    <s v="2679200"/>
    <n v="450040"/>
    <s v="Contr Allow--Phys Svcs--Other"/>
    <s v="Urology Clinic"/>
    <x v="0"/>
    <n v="1700"/>
    <n v="15369.4"/>
    <n v="9626.74"/>
    <n v="11998.25"/>
    <n v="14786.61"/>
    <n v="17082.12"/>
    <n v="5420.99"/>
    <n v="7282.81"/>
    <n v="9761.17"/>
    <n v="9769.65"/>
    <n v="15701.27"/>
    <n v="16175.65"/>
    <n v="23095.64"/>
    <n v="156070.29999999999"/>
    <n v="-6919.99"/>
  </r>
  <r>
    <x v="3"/>
    <x v="1"/>
    <x v="0"/>
    <s v="2679200"/>
    <n v="470040"/>
    <s v="Charity Care-Physician Svcs"/>
    <s v="Urology Clinic"/>
    <x v="0"/>
    <m/>
    <n v="4846.28"/>
    <n v="1800.27"/>
    <n v="1734.56"/>
    <n v="2617.73"/>
    <n v="-817.57"/>
    <n v="4168.72"/>
    <n v="1579.16"/>
    <n v="10800.72"/>
    <n v="2447.2600000000002"/>
    <n v="337.89"/>
    <n v="-13.22"/>
    <n v="5030.96"/>
    <n v="34532.759999999995"/>
    <n v="-5044.18"/>
  </r>
  <r>
    <x v="4"/>
    <x v="1"/>
    <x v="0"/>
    <s v="2679200"/>
    <n v="490010"/>
    <s v="Provision for Bad Debts"/>
    <s v="Urology Clinic"/>
    <x v="0"/>
    <m/>
    <n v="-514.20000000000005"/>
    <n v="-6377.13"/>
    <n v="4510.6400000000003"/>
    <n v="4575.9799999999996"/>
    <n v="-181.94"/>
    <n v="4075.94"/>
    <n v="3139.6"/>
    <n v="-6821.38"/>
    <n v="3656.81"/>
    <n v="318.62"/>
    <n v="2016.47"/>
    <n v="1824.21"/>
    <n v="10223.619999999999"/>
    <n v="192.26"/>
  </r>
  <r>
    <x v="14"/>
    <x v="1"/>
    <x v="0"/>
    <s v="2679200"/>
    <n v="600050"/>
    <s v="Miscellaneous Revenue"/>
    <s v="Urology Clinic"/>
    <x v="0"/>
    <m/>
    <n v="-6085"/>
    <n v="0"/>
    <n v="-11630"/>
    <n v="-1550"/>
    <n v="-5565"/>
    <n v="-11530"/>
    <n v="-16042"/>
    <n v="-12667"/>
    <n v="537"/>
    <n v="-3200"/>
    <n v="21527"/>
    <n v="-5950"/>
    <n v="-52155"/>
    <n v="27477"/>
  </r>
  <r>
    <x v="5"/>
    <x v="1"/>
    <x v="0"/>
    <s v="2679200"/>
    <n v="700022"/>
    <s v="Salaries-Physician-Productive"/>
    <s v="Urology Clinic"/>
    <x v="0"/>
    <m/>
    <n v="80849.509999999995"/>
    <n v="49237.23"/>
    <n v="77174.539999999994"/>
    <n v="86361.98"/>
    <n v="58799.65"/>
    <n v="77174.53"/>
    <n v="94653.16"/>
    <n v="56912.32"/>
    <n v="94352.07"/>
    <n v="70149.600000000006"/>
    <n v="94632.59"/>
    <n v="82309.240000000005"/>
    <n v="922606.41999999993"/>
    <n v="12323.349999999991"/>
  </r>
  <r>
    <x v="5"/>
    <x v="1"/>
    <x v="0"/>
    <s v="2679200"/>
    <n v="700022"/>
    <s v="Salaries-Physician-Other"/>
    <s v="Urology Clinic"/>
    <x v="0"/>
    <n v="2000"/>
    <n v="0"/>
    <n v="0"/>
    <n v="6650"/>
    <n v="0"/>
    <n v="3850"/>
    <n v="8100"/>
    <n v="67029.320000000007"/>
    <n v="4200"/>
    <n v="2950"/>
    <n v="3200"/>
    <n v="4700"/>
    <n v="5950"/>
    <n v="106629.32"/>
    <n v="-1250"/>
  </r>
  <r>
    <x v="5"/>
    <x v="1"/>
    <x v="0"/>
    <s v="2679200"/>
    <n v="700030"/>
    <s v="Salaries-LPN-Productive"/>
    <s v="Urology Clinic"/>
    <x v="0"/>
    <m/>
    <n v="0"/>
    <n v="0"/>
    <n v="0"/>
    <n v="0"/>
    <n v="568.48"/>
    <n v="688.93"/>
    <n v="0"/>
    <n v="0"/>
    <n v="0"/>
    <n v="0"/>
    <n v="0"/>
    <n v="190.5"/>
    <n v="1447.9099999999999"/>
    <n v="-190.5"/>
  </r>
  <r>
    <x v="5"/>
    <x v="1"/>
    <x v="0"/>
    <s v="2679200"/>
    <n v="700030"/>
    <s v="Salaries-LPN-OT"/>
    <s v="Urology Clinic"/>
    <x v="0"/>
    <n v="1000"/>
    <n v="0"/>
    <n v="0"/>
    <n v="0"/>
    <n v="0"/>
    <n v="0"/>
    <n v="34.9"/>
    <n v="0"/>
    <n v="0"/>
    <n v="0"/>
    <n v="0"/>
    <n v="0"/>
    <n v="0"/>
    <n v="34.9"/>
    <n v="0"/>
  </r>
  <r>
    <x v="5"/>
    <x v="1"/>
    <x v="0"/>
    <s v="2679200"/>
    <n v="700032"/>
    <s v="Salaries-Other Pat Care Providers-Productive"/>
    <s v="Urology Clinic"/>
    <x v="0"/>
    <m/>
    <n v="10786.73"/>
    <n v="6996.3"/>
    <n v="12434.62"/>
    <n v="3591.62"/>
    <n v="10204.969999999999"/>
    <n v="3885.21"/>
    <n v="10576.54"/>
    <n v="9389.59"/>
    <n v="11603.31"/>
    <n v="9806.26"/>
    <n v="11232.75"/>
    <n v="8968.02"/>
    <n v="109475.92"/>
    <n v="2264.7299999999996"/>
  </r>
  <r>
    <x v="5"/>
    <x v="1"/>
    <x v="0"/>
    <s v="2679200"/>
    <n v="700032"/>
    <s v="Salaries-Other Pat Care Providers-OT"/>
    <s v="Urology Clinic"/>
    <x v="0"/>
    <n v="1000"/>
    <n v="178.73"/>
    <n v="118.06"/>
    <n v="151.43"/>
    <n v="100.32"/>
    <n v="45.27"/>
    <n v="129.52000000000001"/>
    <n v="16.36"/>
    <n v="13.08"/>
    <n v="4.45"/>
    <n v="78.31"/>
    <n v="-24.53"/>
    <n v="17.54"/>
    <n v="828.54"/>
    <n v="-42.07"/>
  </r>
  <r>
    <x v="5"/>
    <x v="1"/>
    <x v="0"/>
    <s v="2679200"/>
    <n v="700032"/>
    <s v="Salaries-Other Pat Care Providers-Other"/>
    <s v="Urology Clinic"/>
    <x v="0"/>
    <n v="2000"/>
    <n v="0"/>
    <n v="0"/>
    <n v="0"/>
    <n v="0"/>
    <n v="0"/>
    <n v="0"/>
    <n v="30.04"/>
    <n v="0"/>
    <n v="0"/>
    <n v="0"/>
    <n v="0"/>
    <n v="0"/>
    <n v="30.04"/>
    <n v="0"/>
  </r>
  <r>
    <x v="5"/>
    <x v="1"/>
    <x v="0"/>
    <s v="2679200"/>
    <n v="700038"/>
    <s v="Salaries-Service/Support-Productive"/>
    <s v="Urology Clinic"/>
    <x v="0"/>
    <m/>
    <n v="3861.99"/>
    <n v="4245.1000000000004"/>
    <n v="1983.31"/>
    <n v="151.86000000000001"/>
    <n v="2631.44"/>
    <n v="6586.88"/>
    <n v="5097.6499999999996"/>
    <n v="5059.9799999999996"/>
    <n v="3785.08"/>
    <n v="4137.54"/>
    <n v="8623.35"/>
    <n v="2410.66"/>
    <n v="48574.84"/>
    <n v="6212.6900000000005"/>
  </r>
  <r>
    <x v="5"/>
    <x v="1"/>
    <x v="0"/>
    <s v="2679200"/>
    <n v="700038"/>
    <s v="Salaries-Service/Support-OT"/>
    <s v="Urology Clinic"/>
    <x v="0"/>
    <n v="1000"/>
    <n v="0"/>
    <n v="91.66"/>
    <n v="-30.55"/>
    <n v="0"/>
    <n v="0"/>
    <n v="0"/>
    <n v="0"/>
    <n v="0"/>
    <n v="0"/>
    <n v="13.23"/>
    <n v="-5.44"/>
    <n v="85.6"/>
    <n v="154.5"/>
    <n v="-91.039999999999992"/>
  </r>
  <r>
    <x v="5"/>
    <x v="1"/>
    <x v="0"/>
    <s v="2679200"/>
    <n v="700062"/>
    <s v="Salaries-Physician-Non-productive"/>
    <s v="Urology Clinic"/>
    <x v="0"/>
    <m/>
    <n v="3253.66"/>
    <n v="41840.92"/>
    <n v="-421.3"/>
    <n v="1416.18"/>
    <n v="37049.870000000003"/>
    <n v="0"/>
    <n v="11471.41"/>
    <n v="25032.7"/>
    <n v="-8088.64"/>
    <n v="20221.599999999999"/>
    <n v="0"/>
    <n v="-49384.58"/>
    <n v="82391.819999999992"/>
    <n v="49384.58"/>
  </r>
  <r>
    <x v="5"/>
    <x v="1"/>
    <x v="0"/>
    <s v="2679200"/>
    <n v="700072"/>
    <s v="Salaries-Other Pat Care Providers-Non-productive"/>
    <s v="Urology Clinic"/>
    <x v="0"/>
    <m/>
    <n v="531.76"/>
    <n v="3637.76"/>
    <n v="243.96"/>
    <n v="1780.44"/>
    <n v="257.86"/>
    <n v="3620.34"/>
    <n v="1209.04"/>
    <n v="931.67"/>
    <n v="-114.87"/>
    <n v="492.66"/>
    <n v="704.51"/>
    <n v="1449.43"/>
    <n v="14744.56"/>
    <n v="-744.92000000000007"/>
  </r>
  <r>
    <x v="5"/>
    <x v="1"/>
    <x v="0"/>
    <s v="2679200"/>
    <n v="700072"/>
    <s v="Salaries-Other Pat Care Providers-NonProd-Other"/>
    <s v="Urology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9200"/>
    <n v="700078"/>
    <s v="Salaries-Service/Support-Non-productive"/>
    <s v="Urology Clinic"/>
    <x v="0"/>
    <m/>
    <n v="570.36"/>
    <n v="142.59"/>
    <n v="0"/>
    <n v="0"/>
    <n v="0"/>
    <n v="768.71"/>
    <n v="174.35"/>
    <n v="20.75"/>
    <n v="2235.89"/>
    <n v="-586.24"/>
    <n v="1289.98"/>
    <n v="-244.55"/>
    <n v="4371.8399999999992"/>
    <n v="1534.53"/>
  </r>
  <r>
    <x v="5"/>
    <x v="1"/>
    <x v="0"/>
    <s v="2679200"/>
    <n v="700078"/>
    <s v="Salaries-Service/Support-NonProd-Other"/>
    <s v="Urology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79200"/>
    <n v="700084"/>
    <s v="Accrued PTO"/>
    <s v="Urology Clinic"/>
    <x v="0"/>
    <m/>
    <n v="740.8"/>
    <n v="-1904.35"/>
    <n v="225.45"/>
    <n v="494.18"/>
    <n v="617.37"/>
    <n v="-2406.59"/>
    <n v="182.89"/>
    <n v="580.89"/>
    <n v="-84.1"/>
    <n v="813.37"/>
    <n v="541.92999999999995"/>
    <n v="440.01"/>
    <n v="241.84999999999991"/>
    <n v="101.91999999999996"/>
  </r>
  <r>
    <x v="10"/>
    <x v="1"/>
    <x v="0"/>
    <s v="2679200"/>
    <n v="710040"/>
    <s v="Contract Labor-Physician (Locum Tenum)"/>
    <s v="Urology Clinic"/>
    <x v="0"/>
    <m/>
    <n v="6085"/>
    <n v="0"/>
    <n v="4980"/>
    <n v="1550"/>
    <n v="1715"/>
    <n v="3430"/>
    <n v="8467"/>
    <n v="0"/>
    <n v="4980"/>
    <n v="0"/>
    <n v="-31207"/>
    <n v="0"/>
    <n v="0"/>
    <n v="-31207"/>
  </r>
  <r>
    <x v="10"/>
    <x v="1"/>
    <x v="0"/>
    <s v="2679200"/>
    <n v="710042"/>
    <s v="Locum Tenens Travel-Physician"/>
    <s v="Urology Clinic"/>
    <x v="0"/>
    <m/>
    <n v="67.58"/>
    <n v="34.880000000000003"/>
    <n v="0"/>
    <n v="0"/>
    <n v="0"/>
    <n v="0"/>
    <n v="101.37"/>
    <n v="0"/>
    <n v="0"/>
    <n v="0"/>
    <n v="-203.83"/>
    <n v="0"/>
    <n v="0"/>
    <n v="-203.83"/>
  </r>
  <r>
    <x v="6"/>
    <x v="1"/>
    <x v="0"/>
    <s v="2679200"/>
    <n v="713010"/>
    <s v="Benefits-FICA/Medicare"/>
    <s v="Urology Clinic"/>
    <x v="0"/>
    <m/>
    <n v="2323.29"/>
    <n v="2722.17"/>
    <n v="2148.81"/>
    <n v="1627.42"/>
    <n v="2191.83"/>
    <n v="4788.1000000000004"/>
    <n v="9411.9500000000007"/>
    <n v="2320.94"/>
    <n v="2533.42"/>
    <n v="2324.04"/>
    <n v="3023.64"/>
    <n v="2090.1"/>
    <n v="37505.71"/>
    <n v="933.54"/>
  </r>
  <r>
    <x v="6"/>
    <x v="1"/>
    <x v="0"/>
    <s v="2679200"/>
    <n v="713090"/>
    <s v="Benefits-Allocated Amounts"/>
    <s v="Urology Clinic"/>
    <x v="0"/>
    <m/>
    <n v="0"/>
    <n v="0"/>
    <n v="0"/>
    <n v="0"/>
    <n v="0"/>
    <n v="0"/>
    <n v="0"/>
    <n v="0"/>
    <n v="64593.06"/>
    <n v="7417.15"/>
    <n v="8458.94"/>
    <n v="6262.19"/>
    <n v="86731.34"/>
    <n v="2196.7500000000009"/>
  </r>
  <r>
    <x v="6"/>
    <x v="1"/>
    <x v="0"/>
    <s v="2679200"/>
    <n v="713092"/>
    <s v="Allocated Benefits-Physician"/>
    <s v="Urology Clinic"/>
    <x v="0"/>
    <m/>
    <n v="8909.39"/>
    <n v="7894.51"/>
    <n v="8284.5400000000009"/>
    <n v="5968.88"/>
    <n v="7445.93"/>
    <n v="8685.7000000000007"/>
    <n v="13412.86"/>
    <n v="10561.08"/>
    <n v="-52762.07"/>
    <n v="2112.94"/>
    <n v="2409.7199999999998"/>
    <n v="1783.93"/>
    <n v="24707.41"/>
    <n v="625.78999999999974"/>
  </r>
  <r>
    <x v="7"/>
    <x v="1"/>
    <x v="0"/>
    <s v="2679200"/>
    <n v="718050"/>
    <s v="Miscellaneous Purchased Svcs"/>
    <s v="Urology Clinic"/>
    <x v="0"/>
    <n v="1020"/>
    <n v="0"/>
    <n v="0"/>
    <n v="0"/>
    <n v="0"/>
    <n v="0"/>
    <n v="0"/>
    <n v="0"/>
    <n v="0"/>
    <n v="0"/>
    <n v="5"/>
    <n v="0"/>
    <n v="0"/>
    <n v="5"/>
    <n v="0"/>
  </r>
  <r>
    <x v="7"/>
    <x v="1"/>
    <x v="0"/>
    <s v="2679200"/>
    <n v="718070"/>
    <s v="Contract Srvcs-CHI Clinical Engineering"/>
    <s v="Urology Clinic"/>
    <x v="0"/>
    <m/>
    <n v="0"/>
    <n v="0"/>
    <n v="966.83"/>
    <n v="562.83000000000004"/>
    <n v="515.48"/>
    <n v="3592.95"/>
    <n v="3135.48"/>
    <n v="3464.22"/>
    <n v="542.35"/>
    <n v="542.35"/>
    <n v="542.35"/>
    <n v="514.98"/>
    <n v="14379.82"/>
    <n v="27.370000000000005"/>
  </r>
  <r>
    <x v="11"/>
    <x v="1"/>
    <x v="0"/>
    <s v="2679200"/>
    <n v="721010"/>
    <s v="Supplies-Medical - Billable"/>
    <s v="Urology Clinic"/>
    <x v="0"/>
    <m/>
    <n v="1155.73"/>
    <n v="326.79000000000002"/>
    <n v="1078.68"/>
    <n v="1013.05"/>
    <n v="266.27999999999997"/>
    <n v="1272.6600000000001"/>
    <n v="223.64"/>
    <n v="632.71"/>
    <n v="1391.41"/>
    <n v="600.95000000000005"/>
    <n v="1226.02"/>
    <n v="1059.45"/>
    <n v="10247.370000000001"/>
    <n v="166.56999999999994"/>
  </r>
  <r>
    <x v="11"/>
    <x v="1"/>
    <x v="0"/>
    <s v="2679200"/>
    <n v="721010"/>
    <s v="Patient Monitoring"/>
    <s v="Urology Clinic"/>
    <x v="0"/>
    <n v="1000"/>
    <n v="0"/>
    <n v="0"/>
    <n v="0"/>
    <n v="0"/>
    <n v="0"/>
    <n v="0"/>
    <n v="169.21"/>
    <n v="0"/>
    <n v="0"/>
    <n v="0"/>
    <n v="0"/>
    <n v="0"/>
    <n v="169.21"/>
    <n v="0"/>
  </r>
  <r>
    <x v="11"/>
    <x v="1"/>
    <x v="0"/>
    <s v="2679200"/>
    <n v="721020"/>
    <s v="Supplies-Surgical - Billable"/>
    <s v="Urology Clinic"/>
    <x v="0"/>
    <m/>
    <n v="89.41"/>
    <n v="-10.09"/>
    <n v="0"/>
    <n v="79.319999999999993"/>
    <n v="0"/>
    <n v="0"/>
    <n v="89.41"/>
    <n v="0"/>
    <n v="0"/>
    <n v="89.41"/>
    <n v="89.41"/>
    <n v="-12.5"/>
    <n v="414.37"/>
    <n v="101.91"/>
  </r>
  <r>
    <x v="11"/>
    <x v="1"/>
    <x v="0"/>
    <s v="2679200"/>
    <n v="721020"/>
    <s v="Suture/Wound Closure"/>
    <s v="Urology Clinic"/>
    <x v="0"/>
    <n v="1001"/>
    <n v="0"/>
    <n v="0"/>
    <n v="78.36"/>
    <n v="78.36"/>
    <n v="19.8"/>
    <n v="0"/>
    <n v="0"/>
    <n v="19.8"/>
    <n v="0"/>
    <n v="0"/>
    <n v="0"/>
    <n v="63.33"/>
    <n v="259.65000000000003"/>
    <n v="-63.33"/>
  </r>
  <r>
    <x v="11"/>
    <x v="1"/>
    <x v="0"/>
    <s v="2679200"/>
    <n v="721020"/>
    <s v="Urological Supplies"/>
    <s v="Urology Clinic"/>
    <x v="0"/>
    <n v="1006"/>
    <n v="910.77"/>
    <n v="0.88"/>
    <n v="2433.9699999999998"/>
    <n v="1036.3399999999999"/>
    <n v="1590.09"/>
    <n v="0"/>
    <n v="933.69"/>
    <n v="925.13"/>
    <n v="2610.5500000000002"/>
    <n v="116.45"/>
    <n v="1899.81"/>
    <n v="1976.17"/>
    <n v="14433.85"/>
    <n v="-76.360000000000127"/>
  </r>
  <r>
    <x v="11"/>
    <x v="1"/>
    <x v="0"/>
    <s v="2679200"/>
    <n v="721050"/>
    <s v="Supplies-Cardiac Rhythm - Billable"/>
    <s v="Urology Clinic"/>
    <x v="0"/>
    <m/>
    <n v="0"/>
    <n v="0"/>
    <n v="0"/>
    <n v="0"/>
    <n v="0"/>
    <n v="0"/>
    <n v="0"/>
    <n v="0"/>
    <n v="187.93"/>
    <n v="0"/>
    <n v="0"/>
    <n v="0"/>
    <n v="187.93"/>
    <n v="0"/>
  </r>
  <r>
    <x v="11"/>
    <x v="1"/>
    <x v="0"/>
    <s v="2679200"/>
    <n v="721240"/>
    <s v="Supplies-IV Solutions/Supplies - Billable"/>
    <s v="Urology Clinic"/>
    <x v="0"/>
    <m/>
    <n v="0"/>
    <n v="108"/>
    <n v="36"/>
    <n v="36"/>
    <n v="144"/>
    <n v="30"/>
    <n v="39.9"/>
    <n v="56.02"/>
    <n v="72"/>
    <n v="27.01"/>
    <n v="72"/>
    <n v="72"/>
    <n v="692.93"/>
    <n v="0"/>
  </r>
  <r>
    <x v="11"/>
    <x v="1"/>
    <x v="0"/>
    <s v="2679200"/>
    <n v="721250"/>
    <s v="Supplies-Pharmacy Drugs - Billable"/>
    <s v="Urology Clinic"/>
    <x v="0"/>
    <m/>
    <n v="1402.39"/>
    <n v="4208.34"/>
    <n v="5402.55"/>
    <n v="973.07"/>
    <n v="1804.28"/>
    <n v="3748.11"/>
    <n v="618.17999999999995"/>
    <n v="5403.64"/>
    <n v="537.76"/>
    <n v="3128.04"/>
    <n v="6551.86"/>
    <n v="2651.71"/>
    <n v="36429.93"/>
    <n v="3900.1499999999996"/>
  </r>
  <r>
    <x v="11"/>
    <x v="1"/>
    <x v="0"/>
    <s v="2679200"/>
    <n v="721410"/>
    <s v="Supplies-Medical - Nonbillable"/>
    <s v="Urology Clinic"/>
    <x v="0"/>
    <m/>
    <n v="313.23"/>
    <n v="495.72"/>
    <n v="457.37"/>
    <n v="603.22"/>
    <n v="493.21"/>
    <n v="832.68"/>
    <n v="305.35000000000002"/>
    <n v="573.92999999999995"/>
    <n v="918.03"/>
    <n v="525.79"/>
    <n v="554.94000000000005"/>
    <n v="627.30999999999995"/>
    <n v="6700.7799999999988"/>
    <n v="-72.369999999999891"/>
  </r>
  <r>
    <x v="11"/>
    <x v="1"/>
    <x v="0"/>
    <s v="2679200"/>
    <n v="721420"/>
    <s v="Supplies-Surgical Nonbillable"/>
    <s v="Urology Clinic"/>
    <x v="0"/>
    <m/>
    <n v="160.13999999999999"/>
    <n v="90.23"/>
    <n v="152.91"/>
    <n v="129.71"/>
    <n v="102.37"/>
    <n v="253.26"/>
    <n v="56.35"/>
    <n v="59.62"/>
    <n v="167.11"/>
    <n v="134.79"/>
    <n v="106.64"/>
    <n v="198.7"/>
    <n v="1611.8300000000002"/>
    <n v="-92.059999999999988"/>
  </r>
  <r>
    <x v="11"/>
    <x v="1"/>
    <x v="0"/>
    <s v="2679200"/>
    <n v="721420"/>
    <s v="Sterilization Process Products"/>
    <s v="Urology Clinic"/>
    <x v="0"/>
    <n v="1009"/>
    <n v="218.55"/>
    <n v="465.38"/>
    <n v="461.53"/>
    <n v="217.73"/>
    <n v="391.92"/>
    <n v="176.41"/>
    <n v="591.03"/>
    <n v="81.2"/>
    <n v="308.66000000000003"/>
    <n v="814.32"/>
    <n v="374.76"/>
    <n v="379.05"/>
    <n v="4480.54"/>
    <n v="-4.2900000000000205"/>
  </r>
  <r>
    <x v="11"/>
    <x v="1"/>
    <x v="0"/>
    <s v="2679200"/>
    <n v="721640"/>
    <s v="Supplies-IV Solutions/Supplies - Nonbillable"/>
    <s v="Urology Clinic"/>
    <x v="0"/>
    <m/>
    <n v="0"/>
    <n v="0"/>
    <n v="0"/>
    <n v="304"/>
    <n v="73.14"/>
    <n v="60.54"/>
    <n v="0"/>
    <n v="395"/>
    <n v="0"/>
    <n v="0"/>
    <n v="0"/>
    <n v="0"/>
    <n v="832.68000000000006"/>
    <n v="0"/>
  </r>
  <r>
    <x v="11"/>
    <x v="1"/>
    <x v="0"/>
    <s v="2679200"/>
    <n v="721650"/>
    <s v="Supplies-Pharmacy Drugs - Nonbillable"/>
    <s v="Urology Clinic"/>
    <x v="0"/>
    <m/>
    <n v="20.51"/>
    <n v="0"/>
    <n v="26.55"/>
    <n v="0"/>
    <n v="0"/>
    <n v="20.51"/>
    <n v="0"/>
    <n v="0"/>
    <n v="30.76"/>
    <n v="0"/>
    <n v="14.83"/>
    <n v="31.23"/>
    <n v="144.39000000000001"/>
    <n v="-16.399999999999999"/>
  </r>
  <r>
    <x v="11"/>
    <x v="1"/>
    <x v="0"/>
    <s v="2679200"/>
    <n v="721710"/>
    <s v="Supplies-Laboratory - Nonbillable"/>
    <s v="Urology Clinic"/>
    <x v="0"/>
    <m/>
    <n v="13.25"/>
    <n v="26.5"/>
    <n v="0"/>
    <n v="23.79"/>
    <n v="0"/>
    <n v="53"/>
    <n v="0"/>
    <n v="0"/>
    <n v="23.79"/>
    <n v="0"/>
    <n v="50.18"/>
    <n v="0"/>
    <n v="190.51"/>
    <n v="50.18"/>
  </r>
  <r>
    <x v="11"/>
    <x v="1"/>
    <x v="0"/>
    <s v="2679200"/>
    <n v="721710"/>
    <s v="Reagents"/>
    <s v="Urology Clinic"/>
    <x v="0"/>
    <n v="1000"/>
    <n v="0"/>
    <n v="76.349999999999994"/>
    <n v="0"/>
    <n v="0"/>
    <n v="350.12"/>
    <n v="0"/>
    <n v="18.899999999999999"/>
    <n v="30.6"/>
    <n v="342.66"/>
    <n v="18.899999999999999"/>
    <n v="0"/>
    <n v="12.6"/>
    <n v="850.13000000000011"/>
    <n v="-12.6"/>
  </r>
  <r>
    <x v="11"/>
    <x v="1"/>
    <x v="0"/>
    <s v="2679200"/>
    <n v="721750"/>
    <s v="Supplies-Film/Radiographic - Nonbillable"/>
    <s v="Urology Clinic"/>
    <x v="0"/>
    <m/>
    <n v="0"/>
    <n v="5.62"/>
    <n v="0"/>
    <n v="24.92"/>
    <n v="0"/>
    <n v="0"/>
    <n v="0"/>
    <n v="2.81"/>
    <n v="0"/>
    <n v="32.130000000000003"/>
    <n v="-5.07"/>
    <n v="0"/>
    <n v="60.410000000000004"/>
    <n v="-5.07"/>
  </r>
  <r>
    <x v="11"/>
    <x v="1"/>
    <x v="0"/>
    <s v="2679200"/>
    <n v="721810"/>
    <s v="Supplies-Dietary/Cafeteria"/>
    <s v="Urology Clinic"/>
    <x v="0"/>
    <m/>
    <n v="0"/>
    <n v="0"/>
    <n v="0"/>
    <n v="0"/>
    <n v="0"/>
    <n v="0"/>
    <n v="0"/>
    <n v="0"/>
    <n v="0"/>
    <n v="100"/>
    <n v="0"/>
    <n v="0"/>
    <n v="100"/>
    <n v="0"/>
  </r>
  <r>
    <x v="11"/>
    <x v="1"/>
    <x v="0"/>
    <s v="2679200"/>
    <n v="721830"/>
    <s v="Supplies-Office"/>
    <s v="Urology Clinic"/>
    <x v="0"/>
    <m/>
    <n v="152.94999999999999"/>
    <n v="322.94"/>
    <n v="465.96"/>
    <n v="245.39"/>
    <n v="43.6"/>
    <n v="307.95999999999998"/>
    <n v="785.23"/>
    <n v="78.23"/>
    <n v="279.83"/>
    <n v="532.45000000000005"/>
    <n v="184.86"/>
    <n v="54.39"/>
    <n v="3453.79"/>
    <n v="130.47000000000003"/>
  </r>
  <r>
    <x v="11"/>
    <x v="1"/>
    <x v="0"/>
    <s v="2679200"/>
    <n v="721835"/>
    <s v="Supplies-Forms"/>
    <s v="Urology Clinic"/>
    <x v="0"/>
    <m/>
    <n v="0"/>
    <n v="0"/>
    <n v="0"/>
    <n v="0"/>
    <n v="0"/>
    <n v="0"/>
    <n v="0"/>
    <n v="0"/>
    <n v="70.08"/>
    <n v="0"/>
    <n v="0"/>
    <n v="0"/>
    <n v="70.08"/>
    <n v="0"/>
  </r>
  <r>
    <x v="11"/>
    <x v="1"/>
    <x v="0"/>
    <s v="2679200"/>
    <n v="721870"/>
    <s v="Supplies-Environmental Services"/>
    <s v="Urology Clinic"/>
    <x v="0"/>
    <m/>
    <n v="58.47"/>
    <n v="23.64"/>
    <n v="0"/>
    <n v="93.68"/>
    <n v="0"/>
    <n v="95.48"/>
    <n v="0"/>
    <n v="47.28"/>
    <n v="39.4"/>
    <n v="23.64"/>
    <n v="14.4"/>
    <n v="184.07"/>
    <n v="580.05999999999995"/>
    <n v="-169.67"/>
  </r>
  <r>
    <x v="11"/>
    <x v="1"/>
    <x v="0"/>
    <s v="2679200"/>
    <n v="721880"/>
    <s v="Supplies-Linen"/>
    <s v="Urology Clinic"/>
    <x v="0"/>
    <m/>
    <n v="18.93"/>
    <n v="0"/>
    <n v="28.05"/>
    <n v="37.86"/>
    <n v="46.98"/>
    <n v="18.93"/>
    <n v="18.93"/>
    <n v="0"/>
    <n v="71.17"/>
    <n v="0"/>
    <n v="46.98"/>
    <n v="18.93"/>
    <n v="306.76000000000005"/>
    <n v="28.049999999999997"/>
  </r>
  <r>
    <x v="11"/>
    <x v="1"/>
    <x v="0"/>
    <s v="2679200"/>
    <n v="721910"/>
    <s v="Supplies-Small Equipment"/>
    <s v="Urology Clinic"/>
    <x v="0"/>
    <m/>
    <n v="734.29"/>
    <n v="156.08000000000001"/>
    <n v="76.3"/>
    <n v="85.27"/>
    <n v="1.7"/>
    <n v="444.52"/>
    <n v="34.840000000000003"/>
    <n v="1224.06"/>
    <n v="893.25"/>
    <n v="1958.99"/>
    <n v="93.74"/>
    <n v="414.96"/>
    <n v="6118"/>
    <n v="-321.21999999999997"/>
  </r>
  <r>
    <x v="11"/>
    <x v="1"/>
    <x v="0"/>
    <s v="2679200"/>
    <n v="721910"/>
    <s v="Instruments"/>
    <s v="Urology Clinic"/>
    <x v="0"/>
    <n v="1000"/>
    <n v="0"/>
    <n v="0"/>
    <n v="0"/>
    <n v="374.4"/>
    <n v="0"/>
    <n v="0"/>
    <n v="0"/>
    <n v="374.4"/>
    <n v="59.68"/>
    <n v="0"/>
    <n v="0"/>
    <n v="0"/>
    <n v="808.4799999999999"/>
    <n v="0"/>
  </r>
  <r>
    <x v="11"/>
    <x v="1"/>
    <x v="0"/>
    <s v="2679200"/>
    <n v="721980"/>
    <s v="Supplies-Other"/>
    <s v="Urology Clinic"/>
    <x v="0"/>
    <m/>
    <n v="0"/>
    <n v="200"/>
    <n v="249.64"/>
    <n v="33.619999999999997"/>
    <n v="58.56"/>
    <n v="19.2"/>
    <n v="0"/>
    <n v="0"/>
    <n v="0"/>
    <n v="0"/>
    <n v="0"/>
    <n v="0"/>
    <n v="561.02"/>
    <n v="0"/>
  </r>
  <r>
    <x v="11"/>
    <x v="1"/>
    <x v="0"/>
    <s v="2679200"/>
    <n v="722000"/>
    <s v="Supplies-Freight Expense"/>
    <s v="Urology Clinic"/>
    <x v="0"/>
    <m/>
    <n v="33.22"/>
    <n v="114.65"/>
    <n v="43.4"/>
    <n v="143.33000000000001"/>
    <n v="52.28"/>
    <n v="102.2"/>
    <n v="80.7"/>
    <n v="19.34"/>
    <n v="202.27"/>
    <n v="130.26"/>
    <n v="74.38"/>
    <n v="70.69"/>
    <n v="1066.72"/>
    <n v="3.6899999999999977"/>
  </r>
  <r>
    <x v="12"/>
    <x v="1"/>
    <x v="0"/>
    <s v="2679200"/>
    <n v="730020"/>
    <s v="Rental and Leases-Copier Usage Fees (DO NOT USE)"/>
    <s v="Urology Clinic"/>
    <x v="0"/>
    <n v="5100"/>
    <n v="84.1"/>
    <n v="92.34"/>
    <n v="88.22"/>
    <n v="88.22"/>
    <n v="88.22"/>
    <n v="88.22"/>
    <n v="0.02"/>
    <n v="81.73"/>
    <n v="81.56"/>
    <n v="81.91"/>
    <n v="81.73"/>
    <n v="94.61"/>
    <n v="950.88000000000011"/>
    <n v="-12.879999999999995"/>
  </r>
  <r>
    <x v="16"/>
    <x v="1"/>
    <x v="0"/>
    <s v="2679200"/>
    <n v="732030"/>
    <s v="Repairs---Other"/>
    <s v="Urology Clinic"/>
    <x v="0"/>
    <m/>
    <n v="0"/>
    <n v="0"/>
    <n v="0"/>
    <n v="0"/>
    <n v="0"/>
    <n v="0"/>
    <n v="0"/>
    <n v="512.04999999999995"/>
    <n v="0"/>
    <n v="46.08"/>
    <n v="107.16"/>
    <n v="23.93"/>
    <n v="689.21999999999991"/>
    <n v="83.22999999999999"/>
  </r>
  <r>
    <x v="13"/>
    <x v="1"/>
    <x v="0"/>
    <s v="2679200"/>
    <n v="735070"/>
    <s v="Depreciation-Movable Equipment"/>
    <s v="Urology Clinic"/>
    <x v="0"/>
    <m/>
    <n v="5113.99"/>
    <n v="3700.66"/>
    <n v="3700.68"/>
    <n v="3700.64"/>
    <n v="3700.71"/>
    <n v="3700.62"/>
    <n v="3700.72"/>
    <n v="3700.61"/>
    <n v="3700.75"/>
    <n v="3700.59"/>
    <n v="3700.81"/>
    <n v="3700.59"/>
    <n v="45821.369999999995"/>
    <n v="0.21999999999979991"/>
  </r>
  <r>
    <x v="0"/>
    <x v="1"/>
    <x v="0"/>
    <s v="2679200"/>
    <n v="740022"/>
    <s v="Education-Physician"/>
    <s v="Urology Clinic"/>
    <x v="0"/>
    <m/>
    <n v="0"/>
    <n v="0"/>
    <n v="625"/>
    <n v="0"/>
    <n v="0"/>
    <n v="0"/>
    <n v="0"/>
    <n v="0"/>
    <n v="2308.36"/>
    <n v="0"/>
    <n v="0"/>
    <n v="0"/>
    <n v="2933.36"/>
    <n v="0"/>
  </r>
  <r>
    <x v="8"/>
    <x v="1"/>
    <x v="0"/>
    <s v="2679200"/>
    <n v="741012"/>
    <s v="Physician Liab Insurance-CHI Program"/>
    <s v="Urology Clinic"/>
    <x v="0"/>
    <m/>
    <n v="1042.06"/>
    <n v="1042.06"/>
    <n v="1042.06"/>
    <n v="1042.06"/>
    <n v="1042.08"/>
    <n v="1042.06"/>
    <n v="1042.08"/>
    <n v="1042.06"/>
    <n v="1042.08"/>
    <n v="1042.06"/>
    <n v="1042.08"/>
    <n v="1042.06"/>
    <n v="12504.799999999997"/>
    <n v="1.999999999998181E-2"/>
  </r>
  <r>
    <x v="0"/>
    <x v="1"/>
    <x v="0"/>
    <s v="2679200"/>
    <n v="743022"/>
    <s v="Dues-Physician"/>
    <s v="Urology Clinic"/>
    <x v="0"/>
    <m/>
    <n v="0"/>
    <n v="0"/>
    <n v="0"/>
    <n v="0"/>
    <n v="0"/>
    <n v="0"/>
    <n v="0"/>
    <n v="830"/>
    <n v="205"/>
    <n v="0"/>
    <n v="0"/>
    <n v="0"/>
    <n v="1035"/>
    <n v="0"/>
  </r>
  <r>
    <x v="0"/>
    <x v="1"/>
    <x v="0"/>
    <s v="2679200"/>
    <n v="743030"/>
    <s v="Subscriptions--Institutional"/>
    <s v="Urology Clinic"/>
    <x v="0"/>
    <m/>
    <n v="0"/>
    <n v="0"/>
    <n v="0"/>
    <n v="0"/>
    <n v="0"/>
    <n v="0"/>
    <n v="0"/>
    <n v="0"/>
    <n v="184.26"/>
    <n v="0"/>
    <n v="0"/>
    <n v="0"/>
    <n v="184.26"/>
    <n v="0"/>
  </r>
  <r>
    <x v="0"/>
    <x v="1"/>
    <x v="0"/>
    <s v="2679200"/>
    <n v="749510"/>
    <s v="Miscellaneous Expenses"/>
    <s v="Urology Clinic"/>
    <x v="0"/>
    <m/>
    <n v="0"/>
    <n v="1060.1500000000001"/>
    <n v="-750.59"/>
    <n v="0"/>
    <n v="0"/>
    <n v="0"/>
    <n v="303.02"/>
    <n v="0"/>
    <n v="0"/>
    <n v="0"/>
    <n v="0"/>
    <n v="0"/>
    <n v="612.58000000000004"/>
    <n v="0"/>
  </r>
  <r>
    <x v="0"/>
    <x v="1"/>
    <x v="0"/>
    <s v="2679200"/>
    <n v="749510"/>
    <s v="Licenses"/>
    <s v="Urology Clinic"/>
    <x v="0"/>
    <n v="1002"/>
    <n v="0"/>
    <n v="0"/>
    <n v="0"/>
    <n v="0"/>
    <n v="0"/>
    <n v="75"/>
    <n v="38"/>
    <n v="0"/>
    <n v="0"/>
    <n v="0"/>
    <n v="0"/>
    <n v="0"/>
    <n v="113"/>
    <n v="0"/>
  </r>
  <r>
    <x v="0"/>
    <x v="1"/>
    <x v="0"/>
    <s v="2679200"/>
    <n v="749530"/>
    <s v="Travel"/>
    <s v="Urology Clinic"/>
    <x v="0"/>
    <m/>
    <n v="0"/>
    <n v="0"/>
    <n v="0"/>
    <n v="0"/>
    <n v="0"/>
    <n v="0"/>
    <n v="36"/>
    <n v="0"/>
    <n v="0"/>
    <n v="0"/>
    <n v="0"/>
    <n v="0"/>
    <n v="36"/>
    <n v="0"/>
  </r>
  <r>
    <x v="0"/>
    <x v="1"/>
    <x v="0"/>
    <s v="2679200"/>
    <n v="749530"/>
    <s v="Mileage"/>
    <s v="Urology Clinic"/>
    <x v="0"/>
    <n v="1001"/>
    <n v="0"/>
    <n v="0"/>
    <n v="0"/>
    <n v="0"/>
    <n v="0"/>
    <n v="0"/>
    <n v="258.38"/>
    <n v="8.6999999999999993"/>
    <n v="10.44"/>
    <n v="13.34"/>
    <n v="0"/>
    <n v="0"/>
    <n v="290.85999999999996"/>
    <n v="0"/>
  </r>
  <r>
    <x v="0"/>
    <x v="1"/>
    <x v="0"/>
    <s v="2679200"/>
    <n v="749532"/>
    <s v="Travel-Physician"/>
    <s v="Urology Clinic"/>
    <x v="0"/>
    <m/>
    <n v="0"/>
    <n v="0"/>
    <n v="151.15"/>
    <n v="0"/>
    <n v="0"/>
    <n v="0"/>
    <n v="0"/>
    <n v="0"/>
    <n v="0"/>
    <n v="0"/>
    <n v="0"/>
    <n v="0"/>
    <n v="151.15"/>
    <n v="0"/>
  </r>
  <r>
    <x v="0"/>
    <x v="1"/>
    <x v="0"/>
    <s v="2679200"/>
    <n v="749532"/>
    <s v="Vehicle Expense-Physician"/>
    <s v="Urology Clinic"/>
    <x v="0"/>
    <n v="2001"/>
    <n v="0"/>
    <n v="228.36"/>
    <n v="0"/>
    <n v="0"/>
    <n v="0"/>
    <n v="0"/>
    <n v="0"/>
    <n v="0"/>
    <n v="0"/>
    <n v="0"/>
    <n v="0"/>
    <n v="0"/>
    <n v="228.36"/>
    <n v="0"/>
  </r>
  <r>
    <x v="0"/>
    <x v="1"/>
    <x v="0"/>
    <s v="2679200"/>
    <n v="766010"/>
    <s v="Property Tax"/>
    <s v="Urology Clinic"/>
    <x v="0"/>
    <m/>
    <n v="424.36"/>
    <n v="424.36"/>
    <n v="424.36"/>
    <n v="-1273.08"/>
    <n v="0"/>
    <n v="0"/>
    <n v="0"/>
    <n v="0"/>
    <n v="0"/>
    <n v="742.2"/>
    <n v="-2360.61"/>
    <n v="185.55"/>
    <n v="-1432.8600000000001"/>
    <n v="-2546.1600000000003"/>
  </r>
  <r>
    <x v="1"/>
    <x v="1"/>
    <x v="0"/>
    <s v="2681200"/>
    <n v="400029"/>
    <s v="MD Practice Other Rev--Medicare"/>
    <s v="General Surgery"/>
    <x v="0"/>
    <n v="1100"/>
    <n v="-139"/>
    <n v="-69"/>
    <n v="-184"/>
    <n v="-299"/>
    <n v="-207"/>
    <n v="-115"/>
    <n v="-268"/>
    <n v="-320"/>
    <n v="-23"/>
    <n v="-138"/>
    <n v="-173"/>
    <n v="-69"/>
    <n v="-2004"/>
    <n v="-104"/>
  </r>
  <r>
    <x v="1"/>
    <x v="1"/>
    <x v="0"/>
    <s v="2681200"/>
    <n v="400029"/>
    <s v="MD Practice Other Rev--Medicaid"/>
    <s v="General Surgery"/>
    <x v="0"/>
    <n v="1200"/>
    <n v="0"/>
    <n v="-23"/>
    <n v="-52"/>
    <n v="-63"/>
    <n v="-92"/>
    <n v="-46"/>
    <n v="-46"/>
    <n v="0"/>
    <n v="0"/>
    <n v="0"/>
    <n v="-46"/>
    <n v="-268"/>
    <n v="-636"/>
    <n v="222"/>
  </r>
  <r>
    <x v="1"/>
    <x v="1"/>
    <x v="0"/>
    <s v="2681200"/>
    <n v="400029"/>
    <s v="MD Practice Other Rev--Comm Insurance"/>
    <s v="General Surgery"/>
    <x v="0"/>
    <n v="1300"/>
    <n v="-80"/>
    <n v="80"/>
    <n v="0"/>
    <n v="0"/>
    <n v="0"/>
    <n v="0"/>
    <n v="-52"/>
    <n v="0"/>
    <n v="0"/>
    <n v="0"/>
    <n v="0"/>
    <n v="0"/>
    <n v="-52"/>
    <n v="0"/>
  </r>
  <r>
    <x v="1"/>
    <x v="1"/>
    <x v="0"/>
    <s v="2681200"/>
    <n v="400029"/>
    <s v="MD Practice Other Rev--BCBS Comm"/>
    <s v="General Surgery"/>
    <x v="0"/>
    <n v="1301"/>
    <n v="0"/>
    <n v="0"/>
    <n v="0"/>
    <n v="-92"/>
    <n v="0"/>
    <n v="0"/>
    <n v="0"/>
    <n v="0"/>
    <n v="0"/>
    <n v="-92"/>
    <n v="-115"/>
    <n v="-92"/>
    <n v="-391"/>
    <n v="-23"/>
  </r>
  <r>
    <x v="1"/>
    <x v="1"/>
    <x v="0"/>
    <s v="2681200"/>
    <n v="400029"/>
    <s v="MD Practice Other Rev--Managed Care"/>
    <s v="General Surgery"/>
    <x v="0"/>
    <n v="1400"/>
    <n v="0"/>
    <n v="0"/>
    <n v="-46"/>
    <n v="0"/>
    <n v="-23"/>
    <n v="0"/>
    <n v="0"/>
    <n v="-92"/>
    <n v="-23"/>
    <n v="-184"/>
    <n v="-23"/>
    <n v="-360"/>
    <n v="-751"/>
    <n v="337"/>
  </r>
  <r>
    <x v="1"/>
    <x v="1"/>
    <x v="0"/>
    <s v="2681200"/>
    <n v="400029"/>
    <s v="MD Practice Other Rev--Self Pay"/>
    <s v="General Surgery"/>
    <x v="0"/>
    <n v="1500"/>
    <n v="0"/>
    <n v="-52"/>
    <n v="52"/>
    <n v="-52"/>
    <n v="0"/>
    <n v="0"/>
    <n v="0"/>
    <n v="0"/>
    <n v="0"/>
    <n v="0"/>
    <n v="0"/>
    <n v="0"/>
    <n v="-52"/>
    <n v="0"/>
  </r>
  <r>
    <x v="1"/>
    <x v="1"/>
    <x v="0"/>
    <s v="2681200"/>
    <n v="400029"/>
    <s v="MD Practice Other Rev--Other"/>
    <s v="General Surgery"/>
    <x v="0"/>
    <n v="1700"/>
    <n v="0"/>
    <n v="0"/>
    <n v="0"/>
    <n v="-23"/>
    <n v="-46"/>
    <n v="0"/>
    <n v="0"/>
    <n v="0"/>
    <n v="-23"/>
    <n v="0"/>
    <n v="-51"/>
    <n v="-490"/>
    <n v="-633"/>
    <n v="439"/>
  </r>
  <r>
    <x v="1"/>
    <x v="1"/>
    <x v="0"/>
    <s v="2681200"/>
    <n v="400040"/>
    <s v="Physician Svcs Rev--Medicare"/>
    <s v="General Surgery"/>
    <x v="0"/>
    <n v="1100"/>
    <n v="-219681.25"/>
    <n v="-232253"/>
    <n v="-200072.75"/>
    <n v="-187051.75"/>
    <n v="-163292.25"/>
    <n v="-120331.5"/>
    <n v="-191143.25"/>
    <n v="-191184.5"/>
    <n v="-171236.5"/>
    <n v="-229680.75"/>
    <n v="-287237.25"/>
    <n v="-266974"/>
    <n v="-2460138.75"/>
    <n v="-20263.25"/>
  </r>
  <r>
    <x v="1"/>
    <x v="1"/>
    <x v="0"/>
    <s v="2681200"/>
    <n v="400040"/>
    <s v="Physician Svcs Rev--Medicaid"/>
    <s v="General Surgery"/>
    <x v="0"/>
    <n v="1200"/>
    <n v="-68128"/>
    <n v="-59605"/>
    <n v="-58326"/>
    <n v="-122066.75"/>
    <n v="-84207"/>
    <n v="-54558"/>
    <n v="-110338"/>
    <n v="-86747.5"/>
    <n v="-68331"/>
    <n v="-96454"/>
    <n v="-124467.5"/>
    <n v="-103847.5"/>
    <n v="-1037076.25"/>
    <n v="-20620"/>
  </r>
  <r>
    <x v="1"/>
    <x v="1"/>
    <x v="0"/>
    <s v="2681200"/>
    <n v="400040"/>
    <s v="Physician Svcs Rev--Comm Insurance"/>
    <s v="General Surgery"/>
    <x v="0"/>
    <n v="1300"/>
    <n v="-12278"/>
    <n v="-7319"/>
    <n v="-5178"/>
    <n v="-7131"/>
    <n v="-5874"/>
    <n v="-4602"/>
    <n v="-20392"/>
    <n v="-10315"/>
    <n v="-9008"/>
    <n v="-13946"/>
    <n v="-3884"/>
    <n v="-27087.5"/>
    <n v="-127014.5"/>
    <n v="23203.5"/>
  </r>
  <r>
    <x v="1"/>
    <x v="1"/>
    <x v="0"/>
    <s v="2681200"/>
    <n v="400040"/>
    <s v="Physician Svcs Rev--BCBS Comm"/>
    <s v="General Surgery"/>
    <x v="0"/>
    <n v="1301"/>
    <n v="-11914"/>
    <n v="-30483"/>
    <n v="-68870"/>
    <n v="-30543"/>
    <n v="-70444"/>
    <n v="-17415"/>
    <n v="-33887"/>
    <n v="-19782"/>
    <n v="-16557"/>
    <n v="-37831"/>
    <n v="-68345.75"/>
    <n v="-35905"/>
    <n v="-441976.75"/>
    <n v="-32440.75"/>
  </r>
  <r>
    <x v="1"/>
    <x v="1"/>
    <x v="0"/>
    <s v="2681200"/>
    <n v="400040"/>
    <s v="Physician Svcs Rev--Managed Care"/>
    <s v="General Surgery"/>
    <x v="0"/>
    <n v="1400"/>
    <n v="-84472"/>
    <n v="-112976"/>
    <n v="-98517"/>
    <n v="-96574"/>
    <n v="-131247"/>
    <n v="-62824"/>
    <n v="-182671.75"/>
    <n v="-127652"/>
    <n v="-94168.5"/>
    <n v="-109081.25"/>
    <n v="-142224"/>
    <n v="-166311.5"/>
    <n v="-1408719"/>
    <n v="24087.5"/>
  </r>
  <r>
    <x v="1"/>
    <x v="1"/>
    <x v="0"/>
    <s v="2681200"/>
    <n v="400040"/>
    <s v="Physician Svcs Rev--Self Pay"/>
    <s v="General Surgery"/>
    <x v="0"/>
    <n v="1500"/>
    <n v="-5219"/>
    <n v="-8218"/>
    <n v="-2221"/>
    <n v="-2777"/>
    <n v="-29961"/>
    <n v="-5257"/>
    <n v="-15912"/>
    <n v="-7690"/>
    <n v="-3722"/>
    <n v="-2176"/>
    <n v="-5377.75"/>
    <n v="-37096.199999999997"/>
    <n v="-125626.95"/>
    <n v="31718.449999999997"/>
  </r>
  <r>
    <x v="1"/>
    <x v="1"/>
    <x v="0"/>
    <s v="2681200"/>
    <n v="400040"/>
    <s v="Physician Svcs Rev--Other"/>
    <s v="General Surgery"/>
    <x v="0"/>
    <n v="1700"/>
    <n v="-24348"/>
    <n v="-37177"/>
    <n v="-13750"/>
    <n v="-17238"/>
    <n v="-62953"/>
    <n v="-27382"/>
    <n v="-39580"/>
    <n v="-36427"/>
    <n v="-25272"/>
    <n v="-29803"/>
    <n v="-32337"/>
    <n v="-59246.25"/>
    <n v="-405513.25"/>
    <n v="26909.25"/>
  </r>
  <r>
    <x v="2"/>
    <x v="1"/>
    <x v="0"/>
    <s v="2681200"/>
    <n v="450029"/>
    <s v="Contr Allow--MD Other-Medicare"/>
    <s v="General Surgery"/>
    <x v="0"/>
    <n v="1100"/>
    <n v="89.52"/>
    <n v="0"/>
    <n v="44.58"/>
    <n v="235.2"/>
    <n v="80.459999999999994"/>
    <n v="88.52"/>
    <n v="58.8"/>
    <n v="339.82"/>
    <n v="43.84"/>
    <n v="1.61"/>
    <n v="62.76"/>
    <n v="64.650000000000006"/>
    <n v="1109.76"/>
    <n v="-1.8900000000000077"/>
  </r>
  <r>
    <x v="2"/>
    <x v="1"/>
    <x v="0"/>
    <s v="2681200"/>
    <n v="450029"/>
    <s v="Contr Allow--MD Other-Medicaid"/>
    <s v="General Surgery"/>
    <x v="0"/>
    <n v="1200"/>
    <n v="35.31"/>
    <n v="0"/>
    <n v="17.66"/>
    <n v="71.34"/>
    <n v="0"/>
    <n v="70.2"/>
    <n v="53.69"/>
    <n v="0"/>
    <n v="0"/>
    <n v="0"/>
    <n v="36.299999999999997"/>
    <n v="140.29"/>
    <n v="424.78999999999996"/>
    <n v="-103.99"/>
  </r>
  <r>
    <x v="2"/>
    <x v="1"/>
    <x v="0"/>
    <s v="2681200"/>
    <n v="450029"/>
    <s v="Contr Allow--MD Other BCBS Comm"/>
    <s v="General Surgery"/>
    <x v="0"/>
    <n v="1301"/>
    <n v="0"/>
    <n v="0"/>
    <n v="0"/>
    <n v="0"/>
    <n v="45.09"/>
    <n v="0"/>
    <n v="0"/>
    <n v="0"/>
    <n v="0"/>
    <n v="0"/>
    <n v="45.09"/>
    <n v="11.52"/>
    <n v="101.7"/>
    <n v="33.570000000000007"/>
  </r>
  <r>
    <x v="2"/>
    <x v="1"/>
    <x v="0"/>
    <s v="2681200"/>
    <n v="450029"/>
    <s v="Contr Allow--MD Other-Managed Care"/>
    <s v="General Surgery"/>
    <x v="0"/>
    <n v="1400"/>
    <n v="0"/>
    <n v="0"/>
    <n v="10.1"/>
    <n v="0"/>
    <n v="0"/>
    <n v="11.77"/>
    <n v="0"/>
    <n v="0"/>
    <n v="44.56"/>
    <n v="14.72"/>
    <n v="0"/>
    <n v="38.67"/>
    <n v="119.82000000000001"/>
    <n v="-38.67"/>
  </r>
  <r>
    <x v="2"/>
    <x v="1"/>
    <x v="0"/>
    <s v="2681200"/>
    <n v="450029"/>
    <s v="Admin Adjust-MD Other-Self Pay"/>
    <s v="General Surgery"/>
    <x v="0"/>
    <n v="1600"/>
    <n v="0"/>
    <n v="19.239999999999998"/>
    <n v="-19.239999999999998"/>
    <n v="42.24"/>
    <n v="0"/>
    <n v="0"/>
    <n v="0"/>
    <n v="0"/>
    <n v="6.25"/>
    <n v="0"/>
    <n v="0"/>
    <n v="144"/>
    <n v="192.49"/>
    <n v="-144"/>
  </r>
  <r>
    <x v="2"/>
    <x v="1"/>
    <x v="0"/>
    <s v="2681200"/>
    <n v="450029"/>
    <s v="Contr Allow--MD Other-Other"/>
    <s v="General Surgery"/>
    <x v="0"/>
    <n v="1700"/>
    <n v="0"/>
    <n v="0"/>
    <n v="0"/>
    <n v="0"/>
    <n v="14.73"/>
    <n v="14.73"/>
    <n v="14.73"/>
    <n v="0"/>
    <n v="14.72"/>
    <n v="0"/>
    <n v="51"/>
    <n v="72.930000000000007"/>
    <n v="182.84"/>
    <n v="-21.930000000000007"/>
  </r>
  <r>
    <x v="2"/>
    <x v="1"/>
    <x v="0"/>
    <s v="2681200"/>
    <n v="450040"/>
    <s v="Contr Allow--Phys Svcs--Mcare"/>
    <s v="General Surgery"/>
    <x v="0"/>
    <n v="1100"/>
    <n v="117444.93"/>
    <n v="174859.23"/>
    <n v="136626.04"/>
    <n v="157130.78"/>
    <n v="159444.99"/>
    <n v="106078.92"/>
    <n v="121052.78"/>
    <n v="85475.57"/>
    <n v="149581.38"/>
    <n v="160289.21"/>
    <n v="160663.96"/>
    <n v="131912.01999999999"/>
    <n v="1660559.81"/>
    <n v="28751.940000000002"/>
  </r>
  <r>
    <x v="2"/>
    <x v="1"/>
    <x v="0"/>
    <s v="2681200"/>
    <n v="450040"/>
    <s v="Contr Allow--Phys Svcs--Mcaid"/>
    <s v="General Surgery"/>
    <x v="0"/>
    <n v="1200"/>
    <n v="75957.570000000007"/>
    <n v="72277.39"/>
    <n v="49646.37"/>
    <n v="55313.49"/>
    <n v="72332.03"/>
    <n v="77292.08"/>
    <n v="82412.05"/>
    <n v="70660.61"/>
    <n v="72772.820000000007"/>
    <n v="52822.59"/>
    <n v="89905.02"/>
    <n v="71196.820000000007"/>
    <n v="842588.83999999985"/>
    <n v="18708.199999999997"/>
  </r>
  <r>
    <x v="2"/>
    <x v="1"/>
    <x v="0"/>
    <s v="2681200"/>
    <n v="450040"/>
    <s v="Contr Allow--Phys Svcs--Comm Insurance"/>
    <s v="General Surgery"/>
    <x v="0"/>
    <n v="1300"/>
    <n v="2589.2399999999998"/>
    <n v="8310.66"/>
    <n v="6385.05"/>
    <n v="2462.4499999999998"/>
    <n v="6592.19"/>
    <n v="13429.35"/>
    <n v="2801.68"/>
    <n v="10034.450000000001"/>
    <n v="2448.11"/>
    <n v="3228.94"/>
    <n v="10842.25"/>
    <n v="1649.73"/>
    <n v="70774.100000000006"/>
    <n v="9192.52"/>
  </r>
  <r>
    <x v="2"/>
    <x v="1"/>
    <x v="0"/>
    <s v="2681200"/>
    <n v="450040"/>
    <s v="Contr Allow--Phys Svcs--BCBS Comm Ins"/>
    <s v="General Surgery"/>
    <x v="0"/>
    <n v="1301"/>
    <n v="14380.33"/>
    <n v="11262.05"/>
    <n v="32552.65"/>
    <n v="21400.61"/>
    <n v="39035.65"/>
    <n v="33461.300000000003"/>
    <n v="17282.95"/>
    <n v="27150.59"/>
    <n v="19886.36"/>
    <n v="14367.99"/>
    <n v="19877.37"/>
    <n v="56819.55"/>
    <n v="307477.40000000002"/>
    <n v="-36942.180000000008"/>
  </r>
  <r>
    <x v="2"/>
    <x v="1"/>
    <x v="0"/>
    <s v="2681200"/>
    <n v="450040"/>
    <s v="Contr Allow--Phys Svcs--Managed Care"/>
    <s v="General Surgery"/>
    <x v="0"/>
    <n v="1400"/>
    <n v="71254.429999999993"/>
    <n v="72721.91"/>
    <n v="52894.78"/>
    <n v="39445.86"/>
    <n v="82676.86"/>
    <n v="37956.769999999997"/>
    <n v="59401.71"/>
    <n v="67553.64"/>
    <n v="112584.81"/>
    <n v="54654.77"/>
    <n v="66874.64"/>
    <n v="77715.990000000005"/>
    <n v="795736.17"/>
    <n v="-10841.350000000006"/>
  </r>
  <r>
    <x v="2"/>
    <x v="1"/>
    <x v="0"/>
    <s v="2681200"/>
    <n v="450040"/>
    <s v="Contr Allow--Phys Svcs--BCBS Mgnd Care"/>
    <s v="General Surgery"/>
    <x v="0"/>
    <n v="1401"/>
    <n v="1487.03"/>
    <n v="179.95"/>
    <n v="23181.05"/>
    <n v="29372.79"/>
    <n v="10067"/>
    <n v="-60767.1"/>
    <n v="89386.5"/>
    <n v="46990.239999999998"/>
    <n v="-65962.58"/>
    <n v="40705.519999999997"/>
    <n v="94980.55"/>
    <n v="66564.259999999995"/>
    <n v="276185.21000000002"/>
    <n v="28416.290000000008"/>
  </r>
  <r>
    <x v="2"/>
    <x v="1"/>
    <x v="0"/>
    <s v="2681200"/>
    <n v="450040"/>
    <s v="Admin Adjust-Phys Svcs-Self Pay"/>
    <s v="General Surgery"/>
    <x v="0"/>
    <n v="1600"/>
    <n v="1977.37"/>
    <n v="3659.93"/>
    <n v="3085.56"/>
    <n v="1041.42"/>
    <n v="11138.85"/>
    <n v="2489.21"/>
    <n v="6435.77"/>
    <n v="2887.03"/>
    <n v="2475.69"/>
    <n v="862.17"/>
    <n v="2182.54"/>
    <n v="84361.24"/>
    <n v="122596.78"/>
    <n v="-82178.700000000012"/>
  </r>
  <r>
    <x v="2"/>
    <x v="1"/>
    <x v="0"/>
    <s v="2681200"/>
    <n v="450040"/>
    <s v="Contr Allow--Phys Svcs--Other"/>
    <s v="General Surgery"/>
    <x v="0"/>
    <n v="1700"/>
    <n v="25855.72"/>
    <n v="24352.49"/>
    <n v="17795.189999999999"/>
    <n v="12856.41"/>
    <n v="16746.64"/>
    <n v="23617.4"/>
    <n v="23214.38"/>
    <n v="19270.63"/>
    <n v="19947.599999999999"/>
    <n v="32455.119999999999"/>
    <n v="15002.38"/>
    <n v="23211.69"/>
    <n v="254325.65000000002"/>
    <n v="-8209.31"/>
  </r>
  <r>
    <x v="3"/>
    <x v="1"/>
    <x v="0"/>
    <s v="2681200"/>
    <n v="470040"/>
    <s v="Charity Care-Physician Svcs"/>
    <s v="General Surgery"/>
    <x v="0"/>
    <m/>
    <n v="440.45"/>
    <n v="3112.64"/>
    <n v="3517.48"/>
    <n v="1428.63"/>
    <n v="3256.36"/>
    <n v="8369.17"/>
    <n v="4527.47"/>
    <n v="8826.02"/>
    <n v="5382.91"/>
    <n v="4033.21"/>
    <n v="8382.89"/>
    <n v="9518.68"/>
    <n v="60795.91"/>
    <n v="-1135.7900000000009"/>
  </r>
  <r>
    <x v="4"/>
    <x v="1"/>
    <x v="0"/>
    <s v="2681200"/>
    <n v="490010"/>
    <s v="Provision for Bad Debts"/>
    <s v="General Surgery"/>
    <x v="0"/>
    <m/>
    <n v="3261.09"/>
    <n v="139.51"/>
    <n v="6323.89"/>
    <n v="4866.09"/>
    <n v="8502.74"/>
    <n v="-9628.48"/>
    <n v="10835.07"/>
    <n v="6892.21"/>
    <n v="-3161.89"/>
    <n v="7958.35"/>
    <n v="14953.16"/>
    <n v="9807.2099999999991"/>
    <n v="60748.950000000004"/>
    <n v="5145.9500000000007"/>
  </r>
  <r>
    <x v="14"/>
    <x v="1"/>
    <x v="0"/>
    <s v="2681200"/>
    <n v="600050"/>
    <s v="Miscellaneous Revenue"/>
    <s v="General Surgery"/>
    <x v="0"/>
    <m/>
    <n v="0"/>
    <n v="0"/>
    <n v="-10080"/>
    <n v="0"/>
    <n v="0"/>
    <n v="0"/>
    <n v="0"/>
    <n v="0"/>
    <n v="0"/>
    <n v="0"/>
    <n v="-6300"/>
    <n v="-900"/>
    <n v="-17280"/>
    <n v="-5400"/>
  </r>
  <r>
    <x v="5"/>
    <x v="1"/>
    <x v="0"/>
    <s v="2681200"/>
    <n v="700020"/>
    <s v="Salaries-Physician Admin-Other"/>
    <s v="General Surgery"/>
    <x v="0"/>
    <n v="2000"/>
    <n v="0"/>
    <n v="0"/>
    <n v="10080"/>
    <n v="0"/>
    <n v="0"/>
    <n v="0"/>
    <n v="0"/>
    <n v="0"/>
    <n v="0"/>
    <n v="0"/>
    <n v="0"/>
    <n v="0"/>
    <n v="10080"/>
    <n v="0"/>
  </r>
  <r>
    <x v="5"/>
    <x v="1"/>
    <x v="0"/>
    <s v="2681200"/>
    <n v="700022"/>
    <s v="Salaries-Physician-Productive"/>
    <s v="General Surgery"/>
    <x v="0"/>
    <m/>
    <n v="71924.67"/>
    <n v="83639.009999999995"/>
    <n v="71670.09"/>
    <n v="75696.78"/>
    <n v="66940.17"/>
    <n v="109088.04"/>
    <n v="112118.8"/>
    <n v="91724.76"/>
    <n v="98966.75"/>
    <n v="94141.36"/>
    <n v="102247.52"/>
    <n v="92149.119999999995"/>
    <n v="1070307.0699999998"/>
    <n v="10098.400000000009"/>
  </r>
  <r>
    <x v="5"/>
    <x v="1"/>
    <x v="0"/>
    <s v="2681200"/>
    <n v="700022"/>
    <s v="Salaries-Physician-Other"/>
    <s v="General Surgery"/>
    <x v="0"/>
    <n v="2000"/>
    <n v="0"/>
    <n v="0"/>
    <n v="0"/>
    <n v="0"/>
    <n v="0"/>
    <n v="42494.01"/>
    <n v="0"/>
    <n v="0"/>
    <n v="0"/>
    <n v="0"/>
    <n v="6300"/>
    <n v="900"/>
    <n v="49694.01"/>
    <n v="5400"/>
  </r>
  <r>
    <x v="5"/>
    <x v="1"/>
    <x v="0"/>
    <s v="2681200"/>
    <n v="700022"/>
    <s v="Salaries-Physician-Provider Incentive"/>
    <s v="General Surgery"/>
    <x v="0"/>
    <n v="4003"/>
    <n v="0"/>
    <n v="0"/>
    <n v="0"/>
    <n v="104698.44"/>
    <n v="0"/>
    <n v="0"/>
    <n v="0"/>
    <n v="0"/>
    <n v="0"/>
    <n v="0"/>
    <n v="0"/>
    <n v="0"/>
    <n v="104698.44"/>
    <n v="0"/>
  </r>
  <r>
    <x v="5"/>
    <x v="1"/>
    <x v="0"/>
    <s v="2681200"/>
    <n v="700024"/>
    <s v="Salaries-Advanced Practice Clinician-Productive"/>
    <s v="General Surgery"/>
    <x v="0"/>
    <m/>
    <n v="11608.96"/>
    <n v="12684.64"/>
    <n v="10992"/>
    <n v="11651.52"/>
    <n v="12516.48"/>
    <n v="11526.48"/>
    <n v="12643.56"/>
    <n v="10970.63"/>
    <n v="18449.490000000002"/>
    <n v="22242.97"/>
    <n v="23120.21"/>
    <n v="10328.61"/>
    <n v="168735.55"/>
    <n v="12791.599999999999"/>
  </r>
  <r>
    <x v="5"/>
    <x v="1"/>
    <x v="0"/>
    <s v="2681200"/>
    <n v="700026"/>
    <s v="Salaries-RN-Productive"/>
    <s v="General Surgery"/>
    <x v="0"/>
    <m/>
    <n v="10000.9"/>
    <n v="12178.68"/>
    <n v="10273.450000000001"/>
    <n v="12063.02"/>
    <n v="10575.69"/>
    <n v="9903.61"/>
    <n v="12237.89"/>
    <n v="8437.9699999999993"/>
    <n v="10253.549999999999"/>
    <n v="13117.28"/>
    <n v="12267.78"/>
    <n v="10433.120000000001"/>
    <n v="131742.94"/>
    <n v="1834.6599999999999"/>
  </r>
  <r>
    <x v="5"/>
    <x v="1"/>
    <x v="0"/>
    <s v="2681200"/>
    <n v="700026"/>
    <s v="Salaries-RN-OT"/>
    <s v="General Surgery"/>
    <x v="0"/>
    <n v="1000"/>
    <n v="63.13"/>
    <n v="-2.72"/>
    <n v="245.02"/>
    <n v="-81.67"/>
    <n v="197.72"/>
    <n v="150.91"/>
    <n v="96.51"/>
    <n v="84.86"/>
    <n v="650.6"/>
    <n v="240.44"/>
    <n v="396.04"/>
    <n v="-28.29"/>
    <n v="2012.5500000000002"/>
    <n v="424.33000000000004"/>
  </r>
  <r>
    <x v="5"/>
    <x v="1"/>
    <x v="0"/>
    <s v="2681200"/>
    <n v="700026"/>
    <s v="Salaries-RN-Other"/>
    <s v="General Surgery"/>
    <x v="0"/>
    <n v="2000"/>
    <n v="203.44"/>
    <n v="188.44"/>
    <n v="197.03"/>
    <n v="197.23"/>
    <n v="196.37"/>
    <n v="188.56"/>
    <n v="217.85"/>
    <n v="190.04"/>
    <n v="203.88"/>
    <n v="205.98"/>
    <n v="218.09"/>
    <n v="193.75"/>
    <n v="2400.66"/>
    <n v="24.340000000000003"/>
  </r>
  <r>
    <x v="5"/>
    <x v="1"/>
    <x v="0"/>
    <s v="2681200"/>
    <n v="700030"/>
    <s v="Salaries-LPN-Productive"/>
    <s v="General Surgery"/>
    <x v="0"/>
    <m/>
    <n v="364.65"/>
    <n v="0"/>
    <n v="0"/>
    <n v="0"/>
    <n v="0"/>
    <n v="0"/>
    <n v="0"/>
    <n v="9.5"/>
    <n v="-2.71"/>
    <n v="0"/>
    <n v="0"/>
    <n v="268.10000000000002"/>
    <n v="639.54"/>
    <n v="-268.10000000000002"/>
  </r>
  <r>
    <x v="5"/>
    <x v="1"/>
    <x v="0"/>
    <s v="2681200"/>
    <n v="700030"/>
    <s v="Salaries-LPN-OT"/>
    <s v="General Surgery"/>
    <x v="0"/>
    <n v="1000"/>
    <n v="0"/>
    <n v="0"/>
    <n v="0"/>
    <n v="0"/>
    <n v="0"/>
    <n v="0"/>
    <n v="0"/>
    <n v="527.57000000000005"/>
    <n v="-150.72999999999999"/>
    <n v="0"/>
    <n v="0"/>
    <n v="0"/>
    <n v="376.84000000000003"/>
    <n v="0"/>
  </r>
  <r>
    <x v="5"/>
    <x v="1"/>
    <x v="0"/>
    <s v="2681200"/>
    <n v="700032"/>
    <s v="Salaries-Other Pat Care Providers-Productive"/>
    <s v="General Surgery"/>
    <x v="0"/>
    <m/>
    <n v="3561.05"/>
    <n v="4930.1099999999997"/>
    <n v="3767.62"/>
    <n v="2840.29"/>
    <n v="739.66"/>
    <n v="0"/>
    <n v="461.25"/>
    <n v="324.68"/>
    <n v="804.65"/>
    <n v="155.16"/>
    <n v="300.92"/>
    <n v="-150.46"/>
    <n v="17734.93"/>
    <n v="451.38"/>
  </r>
  <r>
    <x v="5"/>
    <x v="1"/>
    <x v="0"/>
    <s v="2681200"/>
    <n v="700032"/>
    <s v="Salaries-Other Pat Care Providers-OT"/>
    <s v="General Surgery"/>
    <x v="0"/>
    <n v="1000"/>
    <n v="81.66"/>
    <n v="60.55"/>
    <n v="79.56"/>
    <n v="-34.61"/>
    <n v="0"/>
    <n v="0"/>
    <n v="0"/>
    <n v="0"/>
    <n v="14.11"/>
    <n v="0"/>
    <n v="0"/>
    <n v="0"/>
    <n v="201.26999999999998"/>
    <n v="0"/>
  </r>
  <r>
    <x v="5"/>
    <x v="1"/>
    <x v="0"/>
    <s v="2681200"/>
    <n v="700032"/>
    <s v="Salaries-Other Pat Care Providers-Other"/>
    <s v="General Surgery"/>
    <x v="0"/>
    <n v="2000"/>
    <n v="30"/>
    <n v="0"/>
    <n v="61.1"/>
    <n v="0"/>
    <n v="0"/>
    <n v="0"/>
    <n v="0"/>
    <n v="0"/>
    <n v="0"/>
    <n v="0"/>
    <n v="0"/>
    <n v="0"/>
    <n v="91.1"/>
    <n v="0"/>
  </r>
  <r>
    <x v="5"/>
    <x v="1"/>
    <x v="0"/>
    <s v="2681200"/>
    <n v="700038"/>
    <s v="Salaries-Service/Support-Productive"/>
    <s v="General Surgery"/>
    <x v="0"/>
    <m/>
    <n v="1572.17"/>
    <n v="849.49"/>
    <n v="913.47"/>
    <n v="2385.39"/>
    <n v="2163.39"/>
    <n v="1728.06"/>
    <n v="2187.09"/>
    <n v="1488.63"/>
    <n v="2414.63"/>
    <n v="2786.78"/>
    <n v="3035.68"/>
    <n v="1858.82"/>
    <n v="23383.599999999999"/>
    <n v="1176.8599999999999"/>
  </r>
  <r>
    <x v="5"/>
    <x v="1"/>
    <x v="0"/>
    <s v="2681200"/>
    <n v="700062"/>
    <s v="Salaries-Physician-Non-productive"/>
    <s v="General Surgery"/>
    <x v="0"/>
    <m/>
    <n v="14528.86"/>
    <n v="5889.37"/>
    <n v="6890.59"/>
    <n v="-11763.73"/>
    <n v="48335.85"/>
    <n v="-30875.16"/>
    <n v="0"/>
    <n v="3950.42"/>
    <n v="1688.91"/>
    <n v="11270.4"/>
    <n v="5635.2"/>
    <n v="12110.08"/>
    <n v="67660.789999999994"/>
    <n v="-6474.88"/>
  </r>
  <r>
    <x v="5"/>
    <x v="1"/>
    <x v="0"/>
    <s v="2681200"/>
    <n v="700062"/>
    <s v="Salaries-Physician-NonProd-Other"/>
    <s v="General Surger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1200"/>
    <n v="700064"/>
    <s v="Salaries-Advanced Practice Clinician-Non-Productive"/>
    <s v="General Surgery"/>
    <x v="0"/>
    <m/>
    <n v="935.25"/>
    <n v="931"/>
    <n v="923.74"/>
    <n v="1911.79"/>
    <n v="475.84"/>
    <n v="914.01"/>
    <n v="909.77"/>
    <n v="898.53"/>
    <n v="1321.49"/>
    <n v="1362.83"/>
    <n v="1360.05"/>
    <n v="11108.93"/>
    <n v="23053.23"/>
    <n v="-9748.880000000001"/>
  </r>
  <r>
    <x v="5"/>
    <x v="1"/>
    <x v="0"/>
    <s v="2681200"/>
    <n v="700064"/>
    <s v="Salaries-Advanced Practice Clinician-Non-Prod-Other"/>
    <s v="General Surger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1200"/>
    <n v="700066"/>
    <s v="Salaries-RN-Non-productive"/>
    <s v="General Surgery"/>
    <x v="0"/>
    <m/>
    <n v="2763.41"/>
    <n v="-115.27"/>
    <n v="1443.16"/>
    <n v="1500.72"/>
    <n v="2692.52"/>
    <n v="1605.05"/>
    <n v="1728.14"/>
    <n v="2325.8200000000002"/>
    <n v="2877.63"/>
    <n v="482.1"/>
    <n v="1800.83"/>
    <n v="2419.0700000000002"/>
    <n v="21523.18"/>
    <n v="-618.24000000000024"/>
  </r>
  <r>
    <x v="5"/>
    <x v="1"/>
    <x v="0"/>
    <s v="2681200"/>
    <n v="700066"/>
    <s v="Salaries-RN-NonProd-Other"/>
    <s v="General Surgery"/>
    <x v="0"/>
    <n v="2000"/>
    <n v="0"/>
    <n v="0"/>
    <n v="0"/>
    <n v="0"/>
    <n v="0"/>
    <n v="0"/>
    <n v="0"/>
    <n v="0"/>
    <n v="0"/>
    <n v="50.93"/>
    <n v="-13.2"/>
    <n v="28.29"/>
    <n v="66.02000000000001"/>
    <n v="-41.489999999999995"/>
  </r>
  <r>
    <x v="5"/>
    <x v="1"/>
    <x v="0"/>
    <s v="2681200"/>
    <n v="700072"/>
    <s v="Salaries-Other Pat Care Providers-Non-productive"/>
    <s v="General Surgery"/>
    <x v="0"/>
    <m/>
    <n v="0"/>
    <n v="0"/>
    <n v="0"/>
    <n v="381.88"/>
    <n v="188.3"/>
    <n v="0"/>
    <n v="0"/>
    <n v="0"/>
    <n v="0"/>
    <n v="0"/>
    <n v="0"/>
    <n v="0"/>
    <n v="570.18000000000006"/>
    <n v="0"/>
  </r>
  <r>
    <x v="5"/>
    <x v="1"/>
    <x v="0"/>
    <s v="2681200"/>
    <n v="700072"/>
    <s v="Salaries-Other Pat Care Providers-NonProd-Other"/>
    <s v="General Surger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1200"/>
    <n v="700078"/>
    <s v="Salaries-Service/Support-Non-productive"/>
    <s v="General Surgery"/>
    <x v="0"/>
    <m/>
    <n v="904.86"/>
    <n v="1327.59"/>
    <n v="1188"/>
    <n v="-237.6"/>
    <n v="0"/>
    <n v="571.94000000000005"/>
    <n v="261.37"/>
    <n v="424.72"/>
    <n v="-130.66999999999999"/>
    <n v="555.39"/>
    <n v="-65.319999999999993"/>
    <n v="1056.71"/>
    <n v="5856.9900000000007"/>
    <n v="-1122.03"/>
  </r>
  <r>
    <x v="5"/>
    <x v="1"/>
    <x v="0"/>
    <s v="2681200"/>
    <n v="700078"/>
    <s v="Salaries-Service/Support-NonProd-Other"/>
    <s v="General Surger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1200"/>
    <n v="700084"/>
    <s v="Accrued PTO"/>
    <s v="General Surgery"/>
    <x v="0"/>
    <m/>
    <n v="-537.16"/>
    <n v="1738.14"/>
    <n v="786.05"/>
    <n v="996.43"/>
    <n v="-747.24"/>
    <n v="-357.37"/>
    <n v="-98.69"/>
    <n v="-630.66999999999996"/>
    <n v="-1422.41"/>
    <n v="751.77"/>
    <n v="781.5"/>
    <n v="628.13"/>
    <n v="1888.48"/>
    <n v="153.37"/>
  </r>
  <r>
    <x v="10"/>
    <x v="1"/>
    <x v="0"/>
    <s v="2681200"/>
    <n v="710060"/>
    <s v="Contract Labor-Other"/>
    <s v="General Surgery"/>
    <x v="0"/>
    <m/>
    <n v="0"/>
    <n v="0"/>
    <n v="0"/>
    <n v="0"/>
    <n v="0"/>
    <n v="0"/>
    <n v="0"/>
    <n v="0"/>
    <n v="75.75"/>
    <n v="0"/>
    <n v="0"/>
    <n v="0"/>
    <n v="75.75"/>
    <n v="0"/>
  </r>
  <r>
    <x v="6"/>
    <x v="1"/>
    <x v="0"/>
    <s v="2681200"/>
    <n v="713010"/>
    <s v="Benefits-FICA/Medicare"/>
    <s v="General Surgery"/>
    <x v="0"/>
    <m/>
    <n v="5634.07"/>
    <n v="5850.79"/>
    <n v="3146.45"/>
    <n v="5077.95"/>
    <n v="3517.19"/>
    <n v="6984.9"/>
    <n v="10706.23"/>
    <n v="7274.84"/>
    <n v="5841.03"/>
    <n v="4211.51"/>
    <n v="4765"/>
    <n v="4369.12"/>
    <n v="67379.08"/>
    <n v="395.88000000000011"/>
  </r>
  <r>
    <x v="6"/>
    <x v="1"/>
    <x v="0"/>
    <s v="2681200"/>
    <n v="713090"/>
    <s v="Benefits-Allocated Amounts"/>
    <s v="General Surgery"/>
    <x v="0"/>
    <m/>
    <n v="0"/>
    <n v="0"/>
    <n v="0"/>
    <n v="0"/>
    <n v="0"/>
    <n v="0"/>
    <n v="0"/>
    <n v="0"/>
    <n v="52386.11"/>
    <n v="6739.19"/>
    <n v="6697.5"/>
    <n v="6976.81"/>
    <n v="72799.61"/>
    <n v="-279.3100000000004"/>
  </r>
  <r>
    <x v="6"/>
    <x v="1"/>
    <x v="0"/>
    <s v="2681200"/>
    <n v="713092"/>
    <s v="Allocated Benefits-Physician"/>
    <s v="General Surgery"/>
    <x v="0"/>
    <m/>
    <n v="5618.49"/>
    <n v="5114.22"/>
    <n v="5376.14"/>
    <n v="6670.28"/>
    <n v="5594.66"/>
    <n v="6219.53"/>
    <n v="6135.76"/>
    <n v="6099.47"/>
    <n v="-12920.63"/>
    <n v="4362.07"/>
    <n v="4335.09"/>
    <n v="4515.88"/>
    <n v="47120.959999999999"/>
    <n v="-180.78999999999996"/>
  </r>
  <r>
    <x v="6"/>
    <x v="1"/>
    <x v="0"/>
    <s v="2681200"/>
    <n v="713093"/>
    <s v="Allocated Benefits-Advanced Practice Clinician"/>
    <s v="General Surgery"/>
    <x v="0"/>
    <m/>
    <n v="5080.4799999999996"/>
    <n v="4624.5"/>
    <n v="4861.3599999999997"/>
    <n v="6031.55"/>
    <n v="5058.93"/>
    <n v="5623.99"/>
    <n v="5548.21"/>
    <n v="5515.41"/>
    <n v="-25390.47"/>
    <n v="2181.04"/>
    <n v="2167.54"/>
    <n v="2257.94"/>
    <n v="23560.479999999992"/>
    <n v="-90.400000000000091"/>
  </r>
  <r>
    <x v="7"/>
    <x v="1"/>
    <x v="0"/>
    <s v="2681200"/>
    <n v="718040"/>
    <s v="Contract Svcs-Laboratory"/>
    <s v="General Surgery"/>
    <x v="0"/>
    <m/>
    <n v="0"/>
    <n v="0"/>
    <n v="0"/>
    <n v="0"/>
    <n v="0"/>
    <n v="0"/>
    <n v="51.2"/>
    <n v="0"/>
    <n v="47"/>
    <n v="0"/>
    <n v="0"/>
    <n v="0"/>
    <n v="98.2"/>
    <n v="0"/>
  </r>
  <r>
    <x v="7"/>
    <x v="1"/>
    <x v="0"/>
    <s v="2681200"/>
    <n v="718050"/>
    <s v="Contract Svcs-Other"/>
    <s v="General Surgery"/>
    <x v="0"/>
    <m/>
    <n v="0"/>
    <n v="0"/>
    <n v="0"/>
    <n v="0"/>
    <n v="0"/>
    <n v="46.32"/>
    <n v="0"/>
    <n v="0"/>
    <n v="0"/>
    <n v="0"/>
    <n v="0"/>
    <n v="0"/>
    <n v="46.32"/>
    <n v="0"/>
  </r>
  <r>
    <x v="7"/>
    <x v="1"/>
    <x v="0"/>
    <s v="2681200"/>
    <n v="718050"/>
    <s v="Miscellaneous Purchased Svcs"/>
    <s v="General Surgery"/>
    <x v="0"/>
    <n v="1020"/>
    <n v="0"/>
    <n v="0"/>
    <n v="0"/>
    <n v="0"/>
    <n v="0"/>
    <n v="0"/>
    <n v="0"/>
    <n v="93.52"/>
    <n v="47.2"/>
    <n v="47.2"/>
    <n v="0"/>
    <n v="0"/>
    <n v="187.92000000000002"/>
    <n v="0"/>
  </r>
  <r>
    <x v="11"/>
    <x v="1"/>
    <x v="0"/>
    <s v="2681200"/>
    <n v="721010"/>
    <s v="Supplies-Medical - Billable"/>
    <s v="General Surgery"/>
    <x v="0"/>
    <m/>
    <n v="326.8"/>
    <n v="271.64999999999998"/>
    <n v="160.80000000000001"/>
    <n v="160.80000000000001"/>
    <n v="263.56"/>
    <n v="160.80000000000001"/>
    <n v="258.20999999999998"/>
    <n v="487.8"/>
    <n v="445.76"/>
    <n v="329.36"/>
    <n v="248.21"/>
    <n v="492.6"/>
    <n v="3606.3500000000004"/>
    <n v="-244.39000000000001"/>
  </r>
  <r>
    <x v="11"/>
    <x v="1"/>
    <x v="0"/>
    <s v="2681200"/>
    <n v="721020"/>
    <s v="Supplies-Surgical - Billable"/>
    <s v="General Surgery"/>
    <x v="0"/>
    <m/>
    <n v="0"/>
    <n v="0"/>
    <n v="0"/>
    <n v="0"/>
    <n v="0"/>
    <n v="73.44"/>
    <n v="0"/>
    <n v="0"/>
    <n v="0"/>
    <n v="61.94"/>
    <n v="0"/>
    <n v="0"/>
    <n v="135.38"/>
    <n v="0"/>
  </r>
  <r>
    <x v="11"/>
    <x v="1"/>
    <x v="0"/>
    <s v="2681200"/>
    <n v="721020"/>
    <s v="Suture/Wound Closure"/>
    <s v="General Surgery"/>
    <x v="0"/>
    <n v="1001"/>
    <n v="0"/>
    <n v="19.8"/>
    <n v="0"/>
    <n v="0"/>
    <n v="0"/>
    <n v="0"/>
    <n v="0"/>
    <n v="90.28"/>
    <n v="294.3"/>
    <n v="0"/>
    <n v="39.6"/>
    <n v="39.6"/>
    <n v="483.58000000000004"/>
    <n v="0"/>
  </r>
  <r>
    <x v="11"/>
    <x v="1"/>
    <x v="0"/>
    <s v="2681200"/>
    <n v="721240"/>
    <s v="Supplies-IV Solutions/Supplies - Billable"/>
    <s v="General Surgery"/>
    <x v="0"/>
    <m/>
    <n v="24"/>
    <n v="36"/>
    <n v="0"/>
    <n v="0"/>
    <n v="0"/>
    <n v="24"/>
    <n v="18"/>
    <n v="24"/>
    <n v="24"/>
    <n v="0"/>
    <n v="30"/>
    <n v="30"/>
    <n v="210"/>
    <n v="0"/>
  </r>
  <r>
    <x v="11"/>
    <x v="1"/>
    <x v="0"/>
    <s v="2681200"/>
    <n v="721250"/>
    <s v="Supplies-Pharmacy Drugs - Billable"/>
    <s v="General Surgery"/>
    <x v="0"/>
    <m/>
    <n v="-85368.02"/>
    <n v="0"/>
    <n v="309.64"/>
    <n v="3726.03"/>
    <n v="10600.13"/>
    <n v="0"/>
    <n v="10559.99"/>
    <n v="11451.98"/>
    <n v="10700.55"/>
    <n v="20138.22"/>
    <n v="25816.48"/>
    <n v="20488.849999999999"/>
    <n v="28423.850000000002"/>
    <n v="5327.630000000001"/>
  </r>
  <r>
    <x v="11"/>
    <x v="1"/>
    <x v="0"/>
    <s v="2681200"/>
    <n v="721250"/>
    <s v="OP Pharmacy Drugs"/>
    <s v="General Surgery"/>
    <x v="0"/>
    <n v="1002"/>
    <n v="85397.57"/>
    <n v="0"/>
    <n v="0"/>
    <n v="0"/>
    <n v="0"/>
    <n v="0"/>
    <n v="0"/>
    <n v="0"/>
    <n v="0"/>
    <n v="0"/>
    <n v="0"/>
    <n v="-85397.57"/>
    <n v="0"/>
    <n v="85397.57"/>
  </r>
  <r>
    <x v="11"/>
    <x v="1"/>
    <x v="0"/>
    <s v="2681200"/>
    <n v="721410"/>
    <s v="Supplies-Medical - Nonbillable"/>
    <s v="General Surgery"/>
    <x v="0"/>
    <m/>
    <n v="202.88"/>
    <n v="10.9"/>
    <n v="269.93"/>
    <n v="30.47"/>
    <n v="236.6"/>
    <n v="79.12"/>
    <n v="277.77"/>
    <n v="376.4"/>
    <n v="296.95"/>
    <n v="216.52"/>
    <n v="310.20999999999998"/>
    <n v="240.37"/>
    <n v="2548.12"/>
    <n v="69.839999999999975"/>
  </r>
  <r>
    <x v="11"/>
    <x v="1"/>
    <x v="0"/>
    <s v="2681200"/>
    <n v="721420"/>
    <s v="Supplies-Surgical Nonbillable"/>
    <s v="General Surgery"/>
    <x v="0"/>
    <m/>
    <n v="38.26"/>
    <n v="14.18"/>
    <n v="26.93"/>
    <n v="3.18"/>
    <n v="0"/>
    <n v="5.8"/>
    <n v="41.69"/>
    <n v="0"/>
    <n v="12.41"/>
    <n v="67.98"/>
    <n v="41.11"/>
    <n v="44.05"/>
    <n v="295.59000000000003"/>
    <n v="-2.9399999999999977"/>
  </r>
  <r>
    <x v="11"/>
    <x v="1"/>
    <x v="0"/>
    <s v="2681200"/>
    <n v="721420"/>
    <s v="Sterilization Process Products"/>
    <s v="General Surgery"/>
    <x v="0"/>
    <n v="1009"/>
    <n v="49.79"/>
    <n v="0"/>
    <n v="49.79"/>
    <n v="0"/>
    <n v="0"/>
    <n v="0"/>
    <n v="49.79"/>
    <n v="0"/>
    <n v="49.79"/>
    <n v="0"/>
    <n v="0"/>
    <n v="0"/>
    <n v="199.16"/>
    <n v="0"/>
  </r>
  <r>
    <x v="11"/>
    <x v="1"/>
    <x v="0"/>
    <s v="2681200"/>
    <n v="721710"/>
    <s v="Supplies-Laboratory - Nonbillable"/>
    <s v="General Surgery"/>
    <x v="0"/>
    <m/>
    <n v="0"/>
    <n v="0"/>
    <n v="0"/>
    <n v="0"/>
    <n v="0"/>
    <n v="0"/>
    <n v="0"/>
    <n v="0"/>
    <n v="22.65"/>
    <n v="0"/>
    <n v="0"/>
    <n v="0"/>
    <n v="22.65"/>
    <n v="0"/>
  </r>
  <r>
    <x v="11"/>
    <x v="1"/>
    <x v="0"/>
    <s v="2681200"/>
    <n v="721830"/>
    <s v="Supplies-Office"/>
    <s v="General Surgery"/>
    <x v="0"/>
    <m/>
    <n v="0"/>
    <n v="228.66"/>
    <n v="0"/>
    <n v="154.13"/>
    <n v="138.1"/>
    <n v="0"/>
    <n v="0"/>
    <n v="50.25"/>
    <n v="0"/>
    <n v="631.66999999999996"/>
    <n v="339.41"/>
    <n v="50.84"/>
    <n v="1593.06"/>
    <n v="288.57000000000005"/>
  </r>
  <r>
    <x v="11"/>
    <x v="1"/>
    <x v="0"/>
    <s v="2681200"/>
    <n v="721870"/>
    <s v="Supplies-Environmental Services"/>
    <s v="General Surgery"/>
    <x v="0"/>
    <m/>
    <n v="0"/>
    <n v="56.8"/>
    <n v="23.64"/>
    <n v="0"/>
    <n v="0"/>
    <n v="0"/>
    <n v="23.64"/>
    <n v="0"/>
    <n v="0"/>
    <n v="0"/>
    <n v="0"/>
    <n v="19.7"/>
    <n v="123.78"/>
    <n v="-19.7"/>
  </r>
  <r>
    <x v="11"/>
    <x v="1"/>
    <x v="0"/>
    <s v="2681200"/>
    <n v="721880"/>
    <s v="Supplies-Linen"/>
    <s v="General Surgery"/>
    <x v="0"/>
    <m/>
    <n v="29.3"/>
    <n v="18.93"/>
    <n v="19.8"/>
    <n v="0"/>
    <n v="0"/>
    <n v="0"/>
    <n v="45.81"/>
    <n v="0"/>
    <n v="19.8"/>
    <n v="0"/>
    <n v="26.88"/>
    <n v="34.53"/>
    <n v="195.05"/>
    <n v="-7.6500000000000021"/>
  </r>
  <r>
    <x v="15"/>
    <x v="1"/>
    <x v="0"/>
    <s v="2681200"/>
    <n v="731050"/>
    <s v="Refuse Disposal"/>
    <s v="General Surgery"/>
    <x v="0"/>
    <m/>
    <n v="0"/>
    <n v="0"/>
    <n v="0"/>
    <n v="0"/>
    <n v="0"/>
    <n v="0"/>
    <n v="0"/>
    <n v="0"/>
    <n v="0"/>
    <n v="0"/>
    <n v="31.14"/>
    <n v="0"/>
    <n v="31.14"/>
    <n v="31.14"/>
  </r>
  <r>
    <x v="13"/>
    <x v="1"/>
    <x v="0"/>
    <s v="2681200"/>
    <n v="735070"/>
    <s v="Depreciation-Movable Equipment"/>
    <s v="General Surgery"/>
    <x v="0"/>
    <m/>
    <n v="153.69"/>
    <n v="153.69"/>
    <n v="153.69"/>
    <n v="153.69"/>
    <n v="153.69"/>
    <n v="153.69"/>
    <n v="153.69"/>
    <n v="153.69"/>
    <n v="153.69"/>
    <n v="153.69"/>
    <n v="153.69999999999999"/>
    <n v="153.68"/>
    <n v="1844.2800000000004"/>
    <n v="1.999999999998181E-2"/>
  </r>
  <r>
    <x v="0"/>
    <x v="1"/>
    <x v="0"/>
    <s v="2681200"/>
    <n v="740022"/>
    <s v="Education-Physician"/>
    <s v="General Surgery"/>
    <x v="0"/>
    <m/>
    <n v="0"/>
    <n v="0"/>
    <n v="0"/>
    <n v="0"/>
    <n v="0"/>
    <n v="0"/>
    <n v="0"/>
    <n v="0"/>
    <n v="100"/>
    <n v="0"/>
    <n v="0"/>
    <n v="0"/>
    <n v="100"/>
    <n v="0"/>
  </r>
  <r>
    <x v="0"/>
    <x v="1"/>
    <x v="0"/>
    <s v="2681200"/>
    <n v="740022"/>
    <s v="Books-Physician"/>
    <s v="General Surgery"/>
    <x v="0"/>
    <n v="2000"/>
    <n v="0"/>
    <n v="0"/>
    <n v="0"/>
    <n v="0"/>
    <n v="0"/>
    <n v="0"/>
    <n v="0"/>
    <n v="0"/>
    <n v="0"/>
    <n v="0"/>
    <n v="0"/>
    <n v="129.47"/>
    <n v="129.47"/>
    <n v="-129.47"/>
  </r>
  <r>
    <x v="0"/>
    <x v="1"/>
    <x v="0"/>
    <s v="2681200"/>
    <n v="740023"/>
    <s v="Education-Advanced Practice Clinician"/>
    <s v="General Surgery"/>
    <x v="0"/>
    <m/>
    <n v="0"/>
    <n v="0"/>
    <n v="1768.77"/>
    <n v="971.25"/>
    <n v="0"/>
    <n v="0"/>
    <n v="0"/>
    <n v="0"/>
    <n v="0"/>
    <n v="0"/>
    <n v="0"/>
    <n v="0"/>
    <n v="2740.02"/>
    <n v="0"/>
  </r>
  <r>
    <x v="8"/>
    <x v="1"/>
    <x v="0"/>
    <s v="2681200"/>
    <n v="741012"/>
    <s v="Physician Liab Insurance-CHI Program"/>
    <s v="General Surgery"/>
    <x v="0"/>
    <m/>
    <n v="3789.34"/>
    <n v="3789.34"/>
    <n v="3789.34"/>
    <n v="3789.34"/>
    <n v="3789.34"/>
    <n v="3789.32"/>
    <n v="3789.34"/>
    <n v="3789.32"/>
    <n v="3789.34"/>
    <n v="3789.32"/>
    <n v="3789.34"/>
    <n v="3789.32"/>
    <n v="45472.000000000007"/>
    <n v="1.999999999998181E-2"/>
  </r>
  <r>
    <x v="0"/>
    <x v="1"/>
    <x v="0"/>
    <s v="2681200"/>
    <n v="743022"/>
    <s v="Dues-Physician"/>
    <s v="General Surgery"/>
    <x v="0"/>
    <m/>
    <n v="0"/>
    <n v="0"/>
    <n v="0"/>
    <n v="0"/>
    <n v="0"/>
    <n v="0"/>
    <n v="0"/>
    <n v="1660"/>
    <n v="640"/>
    <n v="0"/>
    <n v="0"/>
    <n v="0"/>
    <n v="2300"/>
    <n v="0"/>
  </r>
  <r>
    <x v="0"/>
    <x v="1"/>
    <x v="0"/>
    <s v="2681200"/>
    <n v="743023"/>
    <s v="Dues-Advanced Practice Clinician"/>
    <s v="General Surgery"/>
    <x v="0"/>
    <m/>
    <n v="0"/>
    <n v="0"/>
    <n v="0"/>
    <n v="0"/>
    <n v="150"/>
    <n v="0"/>
    <n v="0"/>
    <n v="420"/>
    <n v="0"/>
    <n v="0"/>
    <n v="0"/>
    <n v="295"/>
    <n v="865"/>
    <n v="-295"/>
  </r>
  <r>
    <x v="0"/>
    <x v="1"/>
    <x v="0"/>
    <s v="2681200"/>
    <n v="743030"/>
    <s v="Subscriptions--Institutional"/>
    <s v="General Surgery"/>
    <x v="0"/>
    <m/>
    <n v="0"/>
    <n v="0"/>
    <n v="0"/>
    <n v="0"/>
    <n v="0"/>
    <n v="0"/>
    <n v="0"/>
    <n v="0"/>
    <n v="552.74"/>
    <n v="0"/>
    <n v="0"/>
    <n v="0"/>
    <n v="552.74"/>
    <n v="0"/>
  </r>
  <r>
    <x v="0"/>
    <x v="1"/>
    <x v="0"/>
    <s v="2681200"/>
    <n v="743042"/>
    <s v="Subscriptions-Physician"/>
    <s v="General Surgery"/>
    <x v="0"/>
    <m/>
    <n v="0"/>
    <n v="0"/>
    <n v="0"/>
    <n v="0"/>
    <n v="0"/>
    <n v="0"/>
    <n v="0"/>
    <n v="0"/>
    <n v="250"/>
    <n v="0"/>
    <n v="0"/>
    <n v="0"/>
    <n v="250"/>
    <n v="0"/>
  </r>
  <r>
    <x v="0"/>
    <x v="1"/>
    <x v="0"/>
    <s v="2681200"/>
    <n v="743043"/>
    <s v="Subscriptions-Advanced Practice Clinician"/>
    <s v="General Surgery"/>
    <x v="0"/>
    <m/>
    <n v="0"/>
    <n v="0"/>
    <n v="0"/>
    <n v="0"/>
    <n v="0"/>
    <n v="0"/>
    <n v="0"/>
    <n v="0"/>
    <n v="0"/>
    <n v="0"/>
    <n v="104.63"/>
    <n v="0"/>
    <n v="104.63"/>
    <n v="104.63"/>
  </r>
  <r>
    <x v="0"/>
    <x v="1"/>
    <x v="0"/>
    <s v="2681200"/>
    <n v="749510"/>
    <s v="Miscellaneous Expenses"/>
    <s v="General Surgery"/>
    <x v="0"/>
    <m/>
    <n v="657"/>
    <n v="-657"/>
    <n v="0"/>
    <n v="0"/>
    <n v="0"/>
    <n v="0"/>
    <n v="0"/>
    <n v="0"/>
    <n v="0"/>
    <n v="0"/>
    <n v="0"/>
    <n v="0"/>
    <n v="0"/>
    <n v="0"/>
  </r>
  <r>
    <x v="0"/>
    <x v="1"/>
    <x v="0"/>
    <s v="2681200"/>
    <n v="749512"/>
    <s v="Licenses-Physician"/>
    <s v="General Surgery"/>
    <x v="0"/>
    <n v="2000"/>
    <n v="0"/>
    <n v="657"/>
    <n v="0"/>
    <n v="0"/>
    <n v="657"/>
    <n v="0"/>
    <n v="0"/>
    <n v="0"/>
    <n v="0"/>
    <n v="0"/>
    <n v="0"/>
    <n v="0"/>
    <n v="1314"/>
    <n v="0"/>
  </r>
  <r>
    <x v="0"/>
    <x v="1"/>
    <x v="0"/>
    <s v="2681200"/>
    <n v="749513"/>
    <s v="Licenses-Advanced Practice Clinician"/>
    <s v="General Surgery"/>
    <x v="0"/>
    <n v="2000"/>
    <n v="0"/>
    <n v="0"/>
    <n v="0"/>
    <n v="0"/>
    <n v="0"/>
    <n v="0"/>
    <n v="0"/>
    <n v="0"/>
    <n v="731"/>
    <n v="0"/>
    <n v="0"/>
    <n v="0"/>
    <n v="731"/>
    <n v="0"/>
  </r>
  <r>
    <x v="0"/>
    <x v="1"/>
    <x v="0"/>
    <s v="2681200"/>
    <n v="749530"/>
    <s v="Mileage"/>
    <s v="General Surgery"/>
    <x v="0"/>
    <n v="1001"/>
    <n v="101.4"/>
    <n v="0"/>
    <n v="0"/>
    <n v="0"/>
    <n v="0"/>
    <n v="0"/>
    <n v="0"/>
    <n v="0"/>
    <n v="0"/>
    <n v="0"/>
    <n v="0"/>
    <n v="0"/>
    <n v="101.4"/>
    <n v="0"/>
  </r>
  <r>
    <x v="0"/>
    <x v="1"/>
    <x v="0"/>
    <s v="2681200"/>
    <n v="766010"/>
    <s v="Property Tax"/>
    <s v="General Surgery"/>
    <x v="0"/>
    <m/>
    <n v="142.19"/>
    <n v="142.19"/>
    <n v="142.19"/>
    <n v="-426.57"/>
    <n v="0"/>
    <n v="0"/>
    <n v="0"/>
    <n v="0"/>
    <n v="0"/>
    <n v="364.44"/>
    <n v="-762.01"/>
    <n v="91.12"/>
    <n v="-306.45"/>
    <n v="-853.13"/>
  </r>
  <r>
    <x v="9"/>
    <x v="1"/>
    <x v="0"/>
    <s v="2681200"/>
    <n v="800015"/>
    <s v="Interest Income-Ext to CHI"/>
    <s v="General Surgery"/>
    <x v="0"/>
    <m/>
    <n v="-101.92"/>
    <n v="-97.67"/>
    <n v="-90.41"/>
    <n v="-89.17"/>
    <n v="-82.19"/>
    <n v="-80.680000000000007"/>
    <n v="-76.430000000000007"/>
    <n v="-65.2"/>
    <n v="-71.5"/>
    <n v="-112.83"/>
    <n v="-110.05"/>
    <n v="-100.16"/>
    <n v="-1078.21"/>
    <n v="-9.89"/>
  </r>
  <r>
    <x v="1"/>
    <x v="1"/>
    <x v="0"/>
    <s v="2682200"/>
    <n v="400029"/>
    <s v="MD Practice Other Rev--Medicaid"/>
    <s v="Bremerton Dermatology"/>
    <x v="0"/>
    <n v="1200"/>
    <n v="-48"/>
    <n v="0"/>
    <n v="0"/>
    <n v="-24"/>
    <n v="-48"/>
    <n v="-24"/>
    <n v="-48"/>
    <n v="-24"/>
    <n v="-24"/>
    <n v="-24"/>
    <n v="0"/>
    <n v="-48"/>
    <n v="-312"/>
    <n v="48"/>
  </r>
  <r>
    <x v="1"/>
    <x v="1"/>
    <x v="0"/>
    <s v="2682200"/>
    <n v="400029"/>
    <s v="MD Practice Other Rev--BCBS Comm"/>
    <s v="Bremerton Dermatology"/>
    <x v="0"/>
    <n v="1301"/>
    <n v="0"/>
    <n v="-24"/>
    <n v="0"/>
    <n v="0"/>
    <n v="-24"/>
    <n v="-24"/>
    <n v="0"/>
    <n v="-48"/>
    <n v="0"/>
    <n v="-24"/>
    <n v="0"/>
    <n v="0"/>
    <n v="-144"/>
    <n v="0"/>
  </r>
  <r>
    <x v="1"/>
    <x v="1"/>
    <x v="0"/>
    <s v="2682200"/>
    <n v="400029"/>
    <s v="MD Practice Other Rev--Managed Care"/>
    <s v="Bremerton Dermatology"/>
    <x v="0"/>
    <n v="1400"/>
    <n v="0"/>
    <n v="0"/>
    <n v="0"/>
    <n v="0"/>
    <n v="-24"/>
    <n v="0"/>
    <n v="-24"/>
    <n v="-24"/>
    <n v="0"/>
    <n v="-24"/>
    <n v="0"/>
    <n v="0"/>
    <n v="-96"/>
    <n v="0"/>
  </r>
  <r>
    <x v="1"/>
    <x v="1"/>
    <x v="0"/>
    <s v="2682200"/>
    <n v="400040"/>
    <s v="Physician Svcs Rev--Medicare"/>
    <s v="Bremerton Dermatology"/>
    <x v="0"/>
    <n v="1100"/>
    <n v="-27773"/>
    <n v="-13392"/>
    <n v="0"/>
    <n v="-8475"/>
    <n v="-67519"/>
    <n v="-94618"/>
    <n v="-82683"/>
    <n v="-50408"/>
    <n v="-86837"/>
    <n v="-105257"/>
    <n v="-160103"/>
    <n v="-104909.75"/>
    <n v="-801974.75"/>
    <n v="-55193.25"/>
  </r>
  <r>
    <x v="1"/>
    <x v="1"/>
    <x v="0"/>
    <s v="2682200"/>
    <n v="400040"/>
    <s v="Physician Svcs Rev--Medicaid"/>
    <s v="Bremerton Dermatology"/>
    <x v="0"/>
    <n v="1200"/>
    <n v="-13755"/>
    <n v="-4841"/>
    <n v="495"/>
    <n v="-2685"/>
    <n v="-47274"/>
    <n v="-61073"/>
    <n v="-56706"/>
    <n v="-34677"/>
    <n v="-63104"/>
    <n v="-82262"/>
    <n v="-81490"/>
    <n v="-65884.509999999995"/>
    <n v="-513256.51"/>
    <n v="-15605.490000000005"/>
  </r>
  <r>
    <x v="1"/>
    <x v="1"/>
    <x v="0"/>
    <s v="2682200"/>
    <n v="400040"/>
    <s v="Physician Svcs Rev--Comm Insurance"/>
    <s v="Bremerton Dermatology"/>
    <x v="0"/>
    <n v="1300"/>
    <n v="-2237"/>
    <n v="-782"/>
    <n v="0"/>
    <n v="-417"/>
    <n v="-5923"/>
    <n v="-3074"/>
    <n v="-1742"/>
    <n v="-3619"/>
    <n v="-5953"/>
    <n v="-13520"/>
    <n v="-16316"/>
    <n v="-8638.44"/>
    <n v="-62221.440000000002"/>
    <n v="-7677.5599999999995"/>
  </r>
  <r>
    <x v="1"/>
    <x v="1"/>
    <x v="0"/>
    <s v="2682200"/>
    <n v="400040"/>
    <s v="Physician Svcs Rev--BCBS Comm"/>
    <s v="Bremerton Dermatology"/>
    <x v="0"/>
    <n v="1301"/>
    <n v="-1896"/>
    <n v="-901"/>
    <n v="0"/>
    <n v="-591"/>
    <n v="-7974"/>
    <n v="-11541"/>
    <n v="-9072"/>
    <n v="-10914"/>
    <n v="-11526"/>
    <n v="-14394"/>
    <n v="-5944"/>
    <n v="-4505.88"/>
    <n v="-79258.880000000005"/>
    <n v="-1438.12"/>
  </r>
  <r>
    <x v="1"/>
    <x v="1"/>
    <x v="0"/>
    <s v="2682200"/>
    <n v="400040"/>
    <s v="Physician Svcs Rev--Managed Care"/>
    <s v="Bremerton Dermatology"/>
    <x v="0"/>
    <n v="1400"/>
    <n v="-17211"/>
    <n v="-12693"/>
    <n v="-695"/>
    <n v="-3486"/>
    <n v="-42079"/>
    <n v="-47986"/>
    <n v="-34193"/>
    <n v="-37477"/>
    <n v="-40490"/>
    <n v="-48962"/>
    <n v="-45966"/>
    <n v="-34158.03"/>
    <n v="-365396.03"/>
    <n v="-11807.970000000001"/>
  </r>
  <r>
    <x v="1"/>
    <x v="1"/>
    <x v="0"/>
    <s v="2682200"/>
    <n v="400040"/>
    <s v="Physician Svcs Rev--Self Pay"/>
    <s v="Bremerton Dermatology"/>
    <x v="0"/>
    <n v="1500"/>
    <n v="-2040"/>
    <n v="-659"/>
    <n v="-522"/>
    <n v="-2818"/>
    <n v="-3402"/>
    <n v="-2752"/>
    <n v="-3501"/>
    <n v="-1487"/>
    <n v="-4375"/>
    <n v="-1029"/>
    <n v="-981"/>
    <n v="-9104"/>
    <n v="-32670"/>
    <n v="8123"/>
  </r>
  <r>
    <x v="1"/>
    <x v="1"/>
    <x v="0"/>
    <s v="2682200"/>
    <n v="400040"/>
    <s v="Physician Svcs Rev--Other"/>
    <s v="Bremerton Dermatology"/>
    <x v="0"/>
    <n v="1700"/>
    <n v="-4506"/>
    <n v="-4188"/>
    <n v="0"/>
    <n v="-400"/>
    <n v="-8664"/>
    <n v="-9159"/>
    <n v="-8341"/>
    <n v="-10282"/>
    <n v="-19950"/>
    <n v="-16765"/>
    <n v="-16477"/>
    <n v="-12591.73"/>
    <n v="-111323.73"/>
    <n v="-3885.2700000000004"/>
  </r>
  <r>
    <x v="2"/>
    <x v="1"/>
    <x v="0"/>
    <s v="2682200"/>
    <n v="450029"/>
    <s v="Contr Allow--MD Other-Medicaid"/>
    <s v="Bremerton Dermatology"/>
    <x v="0"/>
    <n v="1200"/>
    <n v="94.01"/>
    <n v="11.91"/>
    <n v="0"/>
    <n v="0"/>
    <n v="16.02"/>
    <n v="16.02"/>
    <n v="48.06"/>
    <n v="16.02"/>
    <n v="16.02"/>
    <n v="32.659999999999997"/>
    <n v="0"/>
    <n v="16.02"/>
    <n v="266.74"/>
    <n v="-16.02"/>
  </r>
  <r>
    <x v="2"/>
    <x v="1"/>
    <x v="0"/>
    <s v="2682200"/>
    <n v="450029"/>
    <s v="Contr Allow--MD Other BCBS Comm"/>
    <s v="Bremerton Dermatology"/>
    <x v="0"/>
    <n v="1301"/>
    <n v="0"/>
    <n v="18.829999999999998"/>
    <n v="0"/>
    <n v="0"/>
    <n v="0"/>
    <n v="18.829999999999998"/>
    <n v="18.829999999999998"/>
    <n v="0"/>
    <n v="37.659999999999997"/>
    <n v="18.829999999999998"/>
    <n v="0"/>
    <n v="0"/>
    <n v="112.97999999999999"/>
    <n v="0"/>
  </r>
  <r>
    <x v="2"/>
    <x v="1"/>
    <x v="0"/>
    <s v="2682200"/>
    <n v="450029"/>
    <s v="Contr Allow--MD Other-Managed Care"/>
    <s v="Bremerton Dermatology"/>
    <x v="0"/>
    <n v="1400"/>
    <n v="0"/>
    <n v="0"/>
    <n v="0"/>
    <n v="0"/>
    <n v="0"/>
    <n v="15.39"/>
    <n v="18.45"/>
    <n v="0"/>
    <n v="15.39"/>
    <n v="15.39"/>
    <n v="0"/>
    <n v="0"/>
    <n v="64.62"/>
    <n v="0"/>
  </r>
  <r>
    <x v="2"/>
    <x v="1"/>
    <x v="0"/>
    <s v="2682200"/>
    <n v="450029"/>
    <s v="Admin Adjust-MD Other-Self Pay"/>
    <s v="Bremerton Dermatology"/>
    <x v="0"/>
    <n v="1600"/>
    <n v="0.87"/>
    <n v="0.17"/>
    <n v="-0.63"/>
    <n v="0"/>
    <n v="0"/>
    <n v="0"/>
    <n v="0"/>
    <n v="0"/>
    <n v="0"/>
    <n v="0"/>
    <n v="0"/>
    <n v="0"/>
    <n v="0.41000000000000003"/>
    <n v="0"/>
  </r>
  <r>
    <x v="2"/>
    <x v="1"/>
    <x v="0"/>
    <s v="2682200"/>
    <n v="450029"/>
    <s v="Contr Allow--MD Other-Other"/>
    <s v="Bremerton Dermatology"/>
    <x v="0"/>
    <n v="1700"/>
    <n v="34"/>
    <n v="0"/>
    <n v="0"/>
    <n v="0"/>
    <n v="0"/>
    <n v="0"/>
    <n v="0"/>
    <n v="0"/>
    <n v="0"/>
    <n v="0"/>
    <n v="0"/>
    <n v="0"/>
    <n v="34"/>
    <n v="0"/>
  </r>
  <r>
    <x v="2"/>
    <x v="1"/>
    <x v="0"/>
    <s v="2682200"/>
    <n v="450040"/>
    <s v="Contr Allow--Phys Svcs--Mcare"/>
    <s v="Bremerton Dermatology"/>
    <x v="0"/>
    <n v="1100"/>
    <n v="18218.150000000001"/>
    <n v="17170.05"/>
    <n v="2564.9"/>
    <n v="191.73"/>
    <n v="4554.66"/>
    <n v="20825.240000000002"/>
    <n v="19899.38"/>
    <n v="17717.990000000002"/>
    <n v="130851.53"/>
    <n v="91039.03"/>
    <n v="91615.76"/>
    <n v="87351.95"/>
    <n v="502000.37000000005"/>
    <n v="4263.8099999999977"/>
  </r>
  <r>
    <x v="2"/>
    <x v="1"/>
    <x v="0"/>
    <s v="2682200"/>
    <n v="450040"/>
    <s v="Contr Allow--Phys Svcs--Mcaid"/>
    <s v="Bremerton Dermatology"/>
    <x v="0"/>
    <n v="1200"/>
    <n v="18895.52"/>
    <n v="13966.97"/>
    <n v="79.150000000000006"/>
    <n v="1606.78"/>
    <n v="1164.47"/>
    <n v="12491.36"/>
    <n v="20894.439999999999"/>
    <n v="14399.68"/>
    <n v="103662.26"/>
    <n v="53043.53"/>
    <n v="56253.41"/>
    <n v="60778.17"/>
    <n v="357235.74"/>
    <n v="-4524.7599999999948"/>
  </r>
  <r>
    <x v="2"/>
    <x v="1"/>
    <x v="0"/>
    <s v="2682200"/>
    <n v="450040"/>
    <s v="Contr Allow--Phys Svcs--Comm Insurance"/>
    <s v="Bremerton Dermatology"/>
    <x v="0"/>
    <n v="1300"/>
    <n v="782.86"/>
    <n v="672.93"/>
    <n v="694.54"/>
    <n v="0"/>
    <n v="131.33000000000001"/>
    <n v="0"/>
    <n v="839.26"/>
    <n v="0"/>
    <n v="4107.75"/>
    <n v="1805.14"/>
    <n v="5873.63"/>
    <n v="4660.7299999999996"/>
    <n v="19568.169999999998"/>
    <n v="1212.9000000000005"/>
  </r>
  <r>
    <x v="2"/>
    <x v="1"/>
    <x v="0"/>
    <s v="2682200"/>
    <n v="450040"/>
    <s v="Contr Allow--Phys Svcs--BCBS Comm Ins"/>
    <s v="Bremerton Dermatology"/>
    <x v="0"/>
    <n v="1301"/>
    <n v="2253.6999999999998"/>
    <n v="918.18"/>
    <n v="205"/>
    <n v="0"/>
    <n v="287.04000000000002"/>
    <n v="765.44"/>
    <n v="1075.1500000000001"/>
    <n v="502.96"/>
    <n v="20612.580000000002"/>
    <n v="6577.16"/>
    <n v="2788.63"/>
    <n v="2577.17"/>
    <n v="38563.01"/>
    <n v="211.46000000000004"/>
  </r>
  <r>
    <x v="2"/>
    <x v="1"/>
    <x v="0"/>
    <s v="2682200"/>
    <n v="450040"/>
    <s v="Contr Allow--Phys Svcs--Managed Care"/>
    <s v="Bremerton Dermatology"/>
    <x v="0"/>
    <n v="1400"/>
    <n v="11488.58"/>
    <n v="10689"/>
    <n v="1127.92"/>
    <n v="734.89"/>
    <n v="2963.61"/>
    <n v="4505.9399999999996"/>
    <n v="8726.02"/>
    <n v="7323.99"/>
    <n v="44249.22"/>
    <n v="20101.95"/>
    <n v="20502.09"/>
    <n v="15327.31"/>
    <n v="147740.51999999999"/>
    <n v="5174.7800000000007"/>
  </r>
  <r>
    <x v="2"/>
    <x v="1"/>
    <x v="0"/>
    <s v="2682200"/>
    <n v="450040"/>
    <s v="Contr Allow--Phys Svcs--BCBS Mgnd Care"/>
    <s v="Bremerton Dermatology"/>
    <x v="0"/>
    <n v="1401"/>
    <n v="-9970.35"/>
    <n v="-20152.5"/>
    <n v="-7579.95"/>
    <n v="4398.3500000000004"/>
    <n v="82373.91"/>
    <n v="86076.72"/>
    <n v="63107.25"/>
    <n v="49212.44"/>
    <n v="-136698.87"/>
    <n v="-13759.89"/>
    <n v="16539.87"/>
    <n v="-23441.43"/>
    <n v="90105.549999999988"/>
    <n v="39981.300000000003"/>
  </r>
  <r>
    <x v="2"/>
    <x v="1"/>
    <x v="0"/>
    <s v="2682200"/>
    <n v="450040"/>
    <s v="Prompt Pay Disc-Phys Svcs-Self Pay"/>
    <s v="Bremerton Dermatology"/>
    <x v="0"/>
    <n v="1500"/>
    <n v="0"/>
    <n v="0"/>
    <n v="0"/>
    <n v="0"/>
    <n v="0"/>
    <n v="37.14"/>
    <n v="0"/>
    <n v="0"/>
    <n v="0"/>
    <n v="0"/>
    <n v="0"/>
    <n v="0"/>
    <n v="37.14"/>
    <n v="0"/>
  </r>
  <r>
    <x v="2"/>
    <x v="1"/>
    <x v="0"/>
    <s v="2682200"/>
    <n v="450040"/>
    <s v="Admin Adjust-Phys Svcs-Self Pay"/>
    <s v="Bremerton Dermatology"/>
    <x v="0"/>
    <n v="1600"/>
    <n v="684.19"/>
    <n v="708.79"/>
    <n v="114.95"/>
    <n v="641.02"/>
    <n v="1870.79"/>
    <n v="1089.67"/>
    <n v="1678.46"/>
    <n v="386.14"/>
    <n v="1757.11"/>
    <n v="85.71"/>
    <n v="3359.62"/>
    <n v="4078.66"/>
    <n v="16455.11"/>
    <n v="-719.04"/>
  </r>
  <r>
    <x v="2"/>
    <x v="1"/>
    <x v="0"/>
    <s v="2682200"/>
    <n v="450040"/>
    <s v="Contr Allow--Phys Svcs--Other"/>
    <s v="Bremerton Dermatology"/>
    <x v="0"/>
    <n v="1700"/>
    <n v="3358.26"/>
    <n v="4698.82"/>
    <n v="2976.1"/>
    <n v="479.23"/>
    <n v="125.68"/>
    <n v="2004.83"/>
    <n v="1746.18"/>
    <n v="1524.84"/>
    <n v="12364.78"/>
    <n v="18834.48"/>
    <n v="12164.47"/>
    <n v="9374.14"/>
    <n v="69651.81"/>
    <n v="2790.33"/>
  </r>
  <r>
    <x v="3"/>
    <x v="1"/>
    <x v="0"/>
    <s v="2682200"/>
    <n v="470040"/>
    <s v="Charity Care-Physician Svcs"/>
    <s v="Bremerton Dermatology"/>
    <x v="0"/>
    <m/>
    <n v="-251.71"/>
    <n v="-415.62"/>
    <n v="-306.8"/>
    <n v="312.60000000000002"/>
    <n v="2962.77"/>
    <n v="2391.88"/>
    <n v="1761.03"/>
    <n v="800.4"/>
    <n v="-2414.73"/>
    <n v="737.13"/>
    <n v="2073.52"/>
    <n v="620.61"/>
    <n v="8271.08"/>
    <n v="1452.9099999999999"/>
  </r>
  <r>
    <x v="4"/>
    <x v="1"/>
    <x v="0"/>
    <s v="2682200"/>
    <n v="490010"/>
    <s v="Provision for Bad Debts"/>
    <s v="Bremerton Dermatology"/>
    <x v="0"/>
    <m/>
    <n v="-1286.1099999999999"/>
    <n v="-2861.5"/>
    <n v="-608.16"/>
    <n v="851.07"/>
    <n v="12042.76"/>
    <n v="10175.52"/>
    <n v="4324.1099999999997"/>
    <n v="3808.27"/>
    <n v="-14232.87"/>
    <n v="-1230.5"/>
    <n v="1309.6199999999999"/>
    <n v="-331.22"/>
    <n v="11960.990000000003"/>
    <n v="1640.84"/>
  </r>
  <r>
    <x v="5"/>
    <x v="1"/>
    <x v="0"/>
    <s v="2682200"/>
    <n v="700022"/>
    <s v="Salaries-Physician-Productive"/>
    <s v="Bremerton Dermatology"/>
    <x v="0"/>
    <m/>
    <n v="26923.08"/>
    <n v="4326.93"/>
    <n v="0"/>
    <n v="40673.69"/>
    <n v="56923.85"/>
    <n v="55433.32"/>
    <n v="52532.35"/>
    <n v="53155.53"/>
    <n v="55466.6"/>
    <n v="60352.47"/>
    <n v="59887.07"/>
    <n v="45673.51"/>
    <n v="511348.39999999997"/>
    <n v="14213.559999999998"/>
  </r>
  <r>
    <x v="5"/>
    <x v="1"/>
    <x v="0"/>
    <s v="2682200"/>
    <n v="700022"/>
    <s v="Salaries-Physician-Provider Incentive"/>
    <s v="Bremerton Dermatology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682200"/>
    <n v="700026"/>
    <s v="Salaries-RN-Productive"/>
    <s v="Bremerton Dermatology"/>
    <x v="0"/>
    <m/>
    <n v="0"/>
    <n v="0"/>
    <n v="0"/>
    <n v="0"/>
    <n v="0"/>
    <n v="0"/>
    <n v="0"/>
    <n v="0"/>
    <n v="0"/>
    <n v="0"/>
    <n v="0"/>
    <n v="718.49"/>
    <n v="718.49"/>
    <n v="-718.49"/>
  </r>
  <r>
    <x v="5"/>
    <x v="1"/>
    <x v="0"/>
    <s v="2682200"/>
    <n v="700026"/>
    <s v="Salaries-RN-Other"/>
    <s v="Bremerton Dermatology"/>
    <x v="0"/>
    <n v="2000"/>
    <n v="0"/>
    <n v="0"/>
    <n v="0"/>
    <n v="0"/>
    <n v="0"/>
    <n v="0"/>
    <n v="0"/>
    <n v="0"/>
    <n v="0"/>
    <n v="0"/>
    <n v="0"/>
    <n v="19.02"/>
    <n v="19.02"/>
    <n v="-19.02"/>
  </r>
  <r>
    <x v="5"/>
    <x v="1"/>
    <x v="0"/>
    <s v="2682200"/>
    <n v="700030"/>
    <s v="Salaries-LPN-Productive"/>
    <s v="Bremerton Dermatology"/>
    <x v="0"/>
    <m/>
    <n v="0"/>
    <n v="0"/>
    <n v="0"/>
    <n v="0"/>
    <n v="0"/>
    <n v="0"/>
    <n v="0"/>
    <n v="0"/>
    <n v="0"/>
    <n v="1878.37"/>
    <n v="6895.99"/>
    <n v="3984.53"/>
    <n v="12758.890000000001"/>
    <n v="2911.4599999999996"/>
  </r>
  <r>
    <x v="5"/>
    <x v="1"/>
    <x v="0"/>
    <s v="2682200"/>
    <n v="700030"/>
    <s v="Salaries-LPN-OT"/>
    <s v="Bremerton Dermatology"/>
    <x v="0"/>
    <n v="1000"/>
    <n v="0"/>
    <n v="0"/>
    <n v="0"/>
    <n v="0"/>
    <n v="0"/>
    <n v="0"/>
    <n v="0"/>
    <n v="0"/>
    <n v="0"/>
    <n v="0"/>
    <n v="24.38"/>
    <n v="146.25"/>
    <n v="170.63"/>
    <n v="-121.87"/>
  </r>
  <r>
    <x v="5"/>
    <x v="1"/>
    <x v="0"/>
    <s v="2682200"/>
    <n v="700030"/>
    <s v="Salaries-LPN-Other"/>
    <s v="Bremerton Dermatology"/>
    <x v="0"/>
    <n v="2000"/>
    <n v="0"/>
    <n v="0"/>
    <n v="0"/>
    <n v="0"/>
    <n v="0"/>
    <n v="0"/>
    <n v="30.04"/>
    <n v="0"/>
    <n v="0"/>
    <n v="30.06"/>
    <n v="-0.02"/>
    <n v="24.28"/>
    <n v="84.359999999999985"/>
    <n v="-24.3"/>
  </r>
  <r>
    <x v="5"/>
    <x v="1"/>
    <x v="0"/>
    <s v="2682200"/>
    <n v="700032"/>
    <s v="Salaries-Other Pat Care Providers-Productive"/>
    <s v="Bremerton Dermatology"/>
    <x v="0"/>
    <m/>
    <n v="5950.62"/>
    <n v="6095.33"/>
    <n v="3477.87"/>
    <n v="7844.58"/>
    <n v="7433.07"/>
    <n v="5721.24"/>
    <n v="7660.5"/>
    <n v="8324.32"/>
    <n v="10930.99"/>
    <n v="9664.43"/>
    <n v="7889.18"/>
    <n v="5695.64"/>
    <n v="86687.77"/>
    <n v="2193.54"/>
  </r>
  <r>
    <x v="5"/>
    <x v="1"/>
    <x v="0"/>
    <s v="2682200"/>
    <n v="700032"/>
    <s v="Salaries-Other Pat Care Providers-OT"/>
    <s v="Bremerton Dermatology"/>
    <x v="0"/>
    <n v="1000"/>
    <n v="178.43"/>
    <n v="16.559999999999999"/>
    <n v="0"/>
    <n v="68.37"/>
    <n v="676.29"/>
    <n v="361.71"/>
    <n v="58.93"/>
    <n v="45.65"/>
    <n v="377.24"/>
    <n v="177.35"/>
    <n v="494.54"/>
    <n v="68.58"/>
    <n v="2523.65"/>
    <n v="425.96000000000004"/>
  </r>
  <r>
    <x v="5"/>
    <x v="1"/>
    <x v="0"/>
    <s v="2682200"/>
    <n v="700034"/>
    <s v="Salaries-Tech/Professional-Productive"/>
    <s v="Bremerton Dermatology"/>
    <x v="0"/>
    <m/>
    <n v="492.66"/>
    <n v="616.27"/>
    <n v="-205.42"/>
    <n v="86.18"/>
    <n v="169.18"/>
    <n v="422.94"/>
    <n v="706.46"/>
    <n v="375.61"/>
    <n v="684.09"/>
    <n v="1475.25"/>
    <n v="954.23"/>
    <n v="1102.8599999999999"/>
    <n v="6880.31"/>
    <n v="-148.62999999999988"/>
  </r>
  <r>
    <x v="5"/>
    <x v="1"/>
    <x v="0"/>
    <s v="2682200"/>
    <n v="700034"/>
    <s v="Salaries-Tech/Professional-Other"/>
    <s v="Bremerton Dermatology"/>
    <x v="0"/>
    <n v="2000"/>
    <n v="7"/>
    <n v="0"/>
    <n v="0"/>
    <n v="0"/>
    <n v="0"/>
    <n v="0"/>
    <n v="0"/>
    <n v="0"/>
    <n v="0"/>
    <n v="0"/>
    <n v="0"/>
    <n v="0"/>
    <n v="7"/>
    <n v="0"/>
  </r>
  <r>
    <x v="5"/>
    <x v="1"/>
    <x v="0"/>
    <s v="2682200"/>
    <n v="700038"/>
    <s v="Salaries-Service/Support-Productive"/>
    <s v="Bremerton Dermatology"/>
    <x v="0"/>
    <m/>
    <n v="1717.2"/>
    <n v="2468.84"/>
    <n v="3220.08"/>
    <n v="3842.81"/>
    <n v="2656.81"/>
    <n v="3406.26"/>
    <n v="4678.18"/>
    <n v="3603.61"/>
    <n v="3485.31"/>
    <n v="3859.65"/>
    <n v="3530.28"/>
    <n v="3188.58"/>
    <n v="39657.61"/>
    <n v="341.70000000000027"/>
  </r>
  <r>
    <x v="5"/>
    <x v="1"/>
    <x v="0"/>
    <s v="2682200"/>
    <n v="700038"/>
    <s v="Salaries-Service/Support-OT"/>
    <s v="Bremerton Dermatology"/>
    <x v="0"/>
    <n v="1000"/>
    <n v="0"/>
    <n v="0"/>
    <n v="0"/>
    <n v="0"/>
    <n v="0"/>
    <n v="24.89"/>
    <n v="-0.8"/>
    <n v="0"/>
    <n v="80.37"/>
    <n v="206.32"/>
    <n v="0"/>
    <n v="8.0500000000000007"/>
    <n v="318.83"/>
    <n v="-8.0500000000000007"/>
  </r>
  <r>
    <x v="5"/>
    <x v="1"/>
    <x v="0"/>
    <s v="2682200"/>
    <n v="700062"/>
    <s v="Salaries-Physician-Non-productive"/>
    <s v="Bremerton Dermatology"/>
    <x v="0"/>
    <m/>
    <n v="4807.6899999999996"/>
    <n v="28846.16"/>
    <n v="28846.16"/>
    <n v="-4807.6899999999996"/>
    <n v="14423.08"/>
    <n v="7163.55"/>
    <n v="16131.06"/>
    <n v="6547.99"/>
    <n v="7222.09"/>
    <n v="5296.4"/>
    <n v="8655.33"/>
    <n v="13942.57"/>
    <n v="137074.38999999998"/>
    <n v="-5287.24"/>
  </r>
  <r>
    <x v="5"/>
    <x v="1"/>
    <x v="0"/>
    <s v="2682200"/>
    <n v="700062"/>
    <s v="Salaries-Physician-NonProd-Other"/>
    <s v="Bremerton Dermatology"/>
    <x v="0"/>
    <n v="2000"/>
    <n v="0"/>
    <n v="0"/>
    <n v="-1298.07"/>
    <n v="-48.08"/>
    <n v="0"/>
    <n v="0"/>
    <n v="0"/>
    <n v="0"/>
    <n v="0"/>
    <n v="0"/>
    <n v="0"/>
    <n v="0"/>
    <n v="-1346.1499999999999"/>
    <n v="0"/>
  </r>
  <r>
    <x v="5"/>
    <x v="1"/>
    <x v="0"/>
    <s v="2682200"/>
    <n v="700064"/>
    <s v="Salaries-Advanced Practice Clinician-Non-Productive"/>
    <s v="Bremerton Dermatology"/>
    <x v="0"/>
    <m/>
    <n v="0"/>
    <n v="0"/>
    <n v="0"/>
    <n v="1063.07"/>
    <n v="1164.74"/>
    <n v="1163.31"/>
    <n v="1157.78"/>
    <n v="1141.55"/>
    <n v="1146.72"/>
    <n v="1137.98"/>
    <n v="1135.6600000000001"/>
    <n v="1127.28"/>
    <n v="10238.09"/>
    <n v="8.3800000000001091"/>
  </r>
  <r>
    <x v="5"/>
    <x v="1"/>
    <x v="0"/>
    <s v="2682200"/>
    <n v="700070"/>
    <s v="Salaries-LPN-NonProd-Other"/>
    <s v="Bremerton 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2200"/>
    <n v="700072"/>
    <s v="Salaries-Other Pat Care Providers-Non-productive"/>
    <s v="Bremerton Dermatology"/>
    <x v="0"/>
    <m/>
    <n v="1314.22"/>
    <n v="757.18"/>
    <n v="479.99"/>
    <n v="1163.3900000000001"/>
    <n v="-57.58"/>
    <n v="1550.63"/>
    <n v="833.2"/>
    <n v="518.01"/>
    <n v="29.46"/>
    <n v="649.67999999999995"/>
    <n v="4228.2"/>
    <n v="764.11"/>
    <n v="12230.490000000002"/>
    <n v="3464.0899999999997"/>
  </r>
  <r>
    <x v="5"/>
    <x v="1"/>
    <x v="0"/>
    <s v="2682200"/>
    <n v="700072"/>
    <s v="Salaries-Other Pat Care Providers-NonProd-Other"/>
    <s v="Bremerton 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2200"/>
    <n v="700078"/>
    <s v="Salaries-Service/Support-Non-productive"/>
    <s v="Bremerton Dermatology"/>
    <x v="0"/>
    <m/>
    <n v="195.55"/>
    <n v="272.95999999999998"/>
    <n v="175.62"/>
    <n v="45.87"/>
    <n v="1051.81"/>
    <n v="514.87"/>
    <n v="434.15"/>
    <n v="418.97"/>
    <n v="-40.72"/>
    <n v="374.49"/>
    <n v="413.11"/>
    <n v="48.21"/>
    <n v="3904.8900000000008"/>
    <n v="364.90000000000003"/>
  </r>
  <r>
    <x v="5"/>
    <x v="1"/>
    <x v="0"/>
    <s v="2682200"/>
    <n v="700078"/>
    <s v="Salaries-Service/Support-NonProd-Other"/>
    <s v="Bremerton 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2200"/>
    <n v="700084"/>
    <s v="Accrued PTO"/>
    <s v="Bremerton Dermatology"/>
    <x v="0"/>
    <m/>
    <n v="-594.54"/>
    <n v="-10.62"/>
    <n v="40.590000000000003"/>
    <n v="-416.48"/>
    <n v="499.08"/>
    <n v="-979.16"/>
    <n v="-288.41000000000003"/>
    <n v="432.66"/>
    <n v="1082.45"/>
    <n v="352.33"/>
    <n v="1155.08"/>
    <n v="-140.52000000000001"/>
    <n v="1132.46"/>
    <n v="1295.5999999999999"/>
  </r>
  <r>
    <x v="10"/>
    <x v="1"/>
    <x v="0"/>
    <s v="2682200"/>
    <n v="710060"/>
    <s v="Contract Labor-Other"/>
    <s v="Bremerton Dermatology"/>
    <x v="0"/>
    <m/>
    <n v="0"/>
    <n v="0"/>
    <n v="0"/>
    <n v="0"/>
    <n v="0"/>
    <n v="0"/>
    <n v="0"/>
    <n v="0"/>
    <n v="0"/>
    <n v="76.05"/>
    <n v="76.05"/>
    <n v="0"/>
    <n v="152.1"/>
    <n v="76.05"/>
  </r>
  <r>
    <x v="6"/>
    <x v="1"/>
    <x v="0"/>
    <s v="2682200"/>
    <n v="713010"/>
    <s v="Benefits-FICA/Medicare"/>
    <s v="Bremerton Dermatology"/>
    <x v="0"/>
    <m/>
    <n v="1134.5999999999999"/>
    <n v="1189.6400000000001"/>
    <n v="892.68"/>
    <n v="3143.86"/>
    <n v="4154.93"/>
    <n v="4765.32"/>
    <n v="6268.09"/>
    <n v="5520.25"/>
    <n v="5913.07"/>
    <n v="5447.67"/>
    <n v="2263.7399999999998"/>
    <n v="2007.49"/>
    <n v="42701.34"/>
    <n v="256.24999999999977"/>
  </r>
  <r>
    <x v="6"/>
    <x v="1"/>
    <x v="0"/>
    <s v="2682200"/>
    <n v="713090"/>
    <s v="Benefits-Allocated Amounts"/>
    <s v="Bremerton Dermatology"/>
    <x v="0"/>
    <m/>
    <n v="0"/>
    <n v="0"/>
    <n v="0"/>
    <n v="0"/>
    <n v="0"/>
    <n v="0"/>
    <n v="0"/>
    <n v="0"/>
    <n v="45644.66"/>
    <n v="7086.8"/>
    <n v="7847.78"/>
    <n v="7344.53"/>
    <n v="67923.77"/>
    <n v="503.25"/>
  </r>
  <r>
    <x v="6"/>
    <x v="1"/>
    <x v="0"/>
    <s v="2682200"/>
    <n v="713092"/>
    <s v="Allocated Benefits-Physician"/>
    <s v="Bremerton Dermatology"/>
    <x v="0"/>
    <m/>
    <n v="4855.99"/>
    <n v="4525.84"/>
    <n v="4121.2299999999996"/>
    <n v="5326.35"/>
    <n v="7489.83"/>
    <n v="7764.07"/>
    <n v="9166.06"/>
    <n v="8732.43"/>
    <n v="-35828.089999999997"/>
    <n v="2508.0300000000002"/>
    <n v="2777.34"/>
    <n v="2599.2399999999998"/>
    <n v="24038.32"/>
    <n v="178.10000000000036"/>
  </r>
  <r>
    <x v="7"/>
    <x v="1"/>
    <x v="0"/>
    <s v="2682200"/>
    <n v="718050"/>
    <s v="Contract Svcs-Other"/>
    <s v="Bremerton Dermatology"/>
    <x v="0"/>
    <m/>
    <n v="0"/>
    <n v="0"/>
    <n v="0"/>
    <n v="0"/>
    <n v="485.05"/>
    <n v="0"/>
    <n v="0"/>
    <n v="0"/>
    <n v="0"/>
    <n v="0"/>
    <n v="54.06"/>
    <n v="652.04999999999995"/>
    <n v="1191.1599999999999"/>
    <n v="-597.99"/>
  </r>
  <r>
    <x v="7"/>
    <x v="1"/>
    <x v="0"/>
    <s v="2682200"/>
    <n v="718050"/>
    <s v="Miscellaneous Purchased Svcs"/>
    <s v="Bremerton Dermatology"/>
    <x v="0"/>
    <n v="1020"/>
    <n v="50.65"/>
    <n v="107.94"/>
    <n v="650"/>
    <n v="0"/>
    <n v="415.46"/>
    <n v="842.72"/>
    <n v="370.33"/>
    <n v="1743.16"/>
    <n v="1220.3"/>
    <n v="266.82"/>
    <n v="1658.79"/>
    <n v="1451.6"/>
    <n v="8777.77"/>
    <n v="207.19000000000005"/>
  </r>
  <r>
    <x v="7"/>
    <x v="1"/>
    <x v="0"/>
    <s v="2682200"/>
    <n v="718070"/>
    <s v="Contract Srvcs-CHI Clinical Engineering"/>
    <s v="Bremerton Dermatology"/>
    <x v="0"/>
    <m/>
    <n v="0"/>
    <n v="0"/>
    <n v="0"/>
    <n v="0"/>
    <n v="0"/>
    <n v="0"/>
    <n v="0"/>
    <n v="0"/>
    <n v="0"/>
    <n v="0"/>
    <n v="15.33"/>
    <n v="3.75"/>
    <n v="19.079999999999998"/>
    <n v="11.58"/>
  </r>
  <r>
    <x v="11"/>
    <x v="1"/>
    <x v="0"/>
    <s v="2682200"/>
    <n v="721010"/>
    <s v="Supplies-Medical - Billable"/>
    <s v="Bremerton Dermatology"/>
    <x v="0"/>
    <m/>
    <n v="63.39"/>
    <n v="0"/>
    <n v="0"/>
    <n v="0"/>
    <n v="33.5"/>
    <n v="0"/>
    <n v="33.5"/>
    <n v="0"/>
    <n v="0"/>
    <n v="0"/>
    <n v="0"/>
    <n v="0"/>
    <n v="130.38999999999999"/>
    <n v="0"/>
  </r>
  <r>
    <x v="11"/>
    <x v="1"/>
    <x v="0"/>
    <s v="2682200"/>
    <n v="721020"/>
    <s v="Supplies-Surgical - Billable"/>
    <s v="Bremerton Dermatology"/>
    <x v="0"/>
    <m/>
    <n v="1.61"/>
    <n v="0"/>
    <n v="287.76"/>
    <n v="139.96"/>
    <n v="131.01"/>
    <n v="291.02999999999997"/>
    <n v="492.65"/>
    <n v="0"/>
    <n v="528.04"/>
    <n v="54.61"/>
    <n v="245.09"/>
    <n v="0"/>
    <n v="2171.7599999999998"/>
    <n v="245.09"/>
  </r>
  <r>
    <x v="11"/>
    <x v="1"/>
    <x v="0"/>
    <s v="2682200"/>
    <n v="721020"/>
    <s v="Suture/Wound Closure"/>
    <s v="Bremerton Dermatology"/>
    <x v="0"/>
    <n v="1001"/>
    <n v="150.47999999999999"/>
    <n v="0"/>
    <n v="0"/>
    <n v="264.81"/>
    <n v="464.76"/>
    <n v="683.07"/>
    <n v="187.18"/>
    <n v="134.72999999999999"/>
    <n v="280.77"/>
    <n v="191.88"/>
    <n v="181.5"/>
    <n v="646.96"/>
    <n v="3186.1400000000003"/>
    <n v="-465.46000000000004"/>
  </r>
  <r>
    <x v="11"/>
    <x v="1"/>
    <x v="0"/>
    <s v="2682200"/>
    <n v="721020"/>
    <s v="Endomechanical Supplies &amp; Instruments"/>
    <s v="Bremerton Dermatology"/>
    <x v="0"/>
    <n v="1003"/>
    <n v="137.88999999999999"/>
    <n v="0"/>
    <n v="0"/>
    <n v="0"/>
    <n v="0"/>
    <n v="0"/>
    <n v="0"/>
    <n v="0"/>
    <n v="0"/>
    <n v="0"/>
    <n v="0"/>
    <n v="0"/>
    <n v="137.88999999999999"/>
    <n v="0"/>
  </r>
  <r>
    <x v="11"/>
    <x v="1"/>
    <x v="0"/>
    <s v="2682200"/>
    <n v="721240"/>
    <s v="Supplies-IV Solutions/Supplies - Billable"/>
    <s v="Bremerton Dermatology"/>
    <x v="0"/>
    <m/>
    <n v="0"/>
    <n v="0"/>
    <n v="35.22"/>
    <n v="0"/>
    <n v="0"/>
    <n v="0"/>
    <n v="2.91"/>
    <n v="0"/>
    <n v="0"/>
    <n v="0"/>
    <n v="0"/>
    <n v="15"/>
    <n v="53.129999999999995"/>
    <n v="-15"/>
  </r>
  <r>
    <x v="11"/>
    <x v="1"/>
    <x v="0"/>
    <s v="2682200"/>
    <n v="721250"/>
    <s v="Supplies-Pharmacy Drugs - Billable"/>
    <s v="Bremerton Dermatology"/>
    <x v="0"/>
    <m/>
    <n v="0"/>
    <n v="0"/>
    <n v="50.62"/>
    <n v="1829.62"/>
    <n v="618.44000000000005"/>
    <n v="129.63999999999999"/>
    <n v="758.6"/>
    <n v="68.66"/>
    <n v="1888.6"/>
    <n v="508.54"/>
    <n v="1516.33"/>
    <n v="533.61"/>
    <n v="7902.6599999999989"/>
    <n v="982.71999999999991"/>
  </r>
  <r>
    <x v="11"/>
    <x v="1"/>
    <x v="0"/>
    <s v="2682200"/>
    <n v="721410"/>
    <s v="Supplies-Medical - Nonbillable"/>
    <s v="Bremerton Dermatology"/>
    <x v="0"/>
    <m/>
    <n v="288.54000000000002"/>
    <n v="93.87"/>
    <n v="613.12"/>
    <n v="2736.63"/>
    <n v="182.22"/>
    <n v="681.91"/>
    <n v="788.96"/>
    <n v="888.28"/>
    <n v="935.21"/>
    <n v="2545.35"/>
    <n v="1027.58"/>
    <n v="624.52"/>
    <n v="11406.19"/>
    <n v="403.05999999999995"/>
  </r>
  <r>
    <x v="11"/>
    <x v="1"/>
    <x v="0"/>
    <s v="2682200"/>
    <n v="721420"/>
    <s v="Supplies-Surgical Nonbillable"/>
    <s v="Bremerton Dermatology"/>
    <x v="0"/>
    <m/>
    <n v="29.63"/>
    <n v="0"/>
    <n v="0"/>
    <n v="417.23"/>
    <n v="112.46"/>
    <n v="56.72"/>
    <n v="210.66"/>
    <n v="56.72"/>
    <n v="209.31"/>
    <n v="110.16"/>
    <n v="168.8"/>
    <n v="174.12"/>
    <n v="1545.81"/>
    <n v="-5.3199999999999932"/>
  </r>
  <r>
    <x v="11"/>
    <x v="1"/>
    <x v="0"/>
    <s v="2682200"/>
    <n v="721420"/>
    <s v="Sterilization Process Products"/>
    <s v="Bremerton Dermatology"/>
    <x v="0"/>
    <n v="1009"/>
    <n v="0"/>
    <n v="0"/>
    <n v="0"/>
    <n v="229.26"/>
    <n v="99.58"/>
    <n v="298.74"/>
    <n v="149.37"/>
    <n v="248.96"/>
    <n v="0"/>
    <n v="298.76"/>
    <n v="0"/>
    <n v="49.79"/>
    <n v="1374.4599999999998"/>
    <n v="-49.79"/>
  </r>
  <r>
    <x v="11"/>
    <x v="1"/>
    <x v="0"/>
    <s v="2682200"/>
    <n v="721650"/>
    <s v="Supplies-Pharmacy Drugs - Nonbillable"/>
    <s v="Bremerton Dermatology"/>
    <x v="0"/>
    <m/>
    <n v="0"/>
    <n v="0"/>
    <n v="22.17"/>
    <n v="0"/>
    <n v="0"/>
    <n v="0"/>
    <n v="0"/>
    <n v="0"/>
    <n v="0"/>
    <n v="43.65"/>
    <n v="0"/>
    <n v="2.81"/>
    <n v="68.63"/>
    <n v="-2.81"/>
  </r>
  <r>
    <x v="11"/>
    <x v="1"/>
    <x v="0"/>
    <s v="2682200"/>
    <n v="721710"/>
    <s v="Supplies-Laboratory - Nonbillable"/>
    <s v="Bremerton Dermatology"/>
    <x v="0"/>
    <m/>
    <n v="0"/>
    <n v="0"/>
    <n v="21.2"/>
    <n v="512.4"/>
    <n v="24.62"/>
    <n v="0"/>
    <n v="21.2"/>
    <n v="23.42"/>
    <n v="6.6"/>
    <n v="0"/>
    <n v="0"/>
    <n v="0"/>
    <n v="609.44000000000005"/>
    <n v="0"/>
  </r>
  <r>
    <x v="11"/>
    <x v="1"/>
    <x v="0"/>
    <s v="2682200"/>
    <n v="721710"/>
    <s v="Reagents"/>
    <s v="Bremerton Dermatology"/>
    <x v="0"/>
    <n v="1000"/>
    <n v="0"/>
    <n v="0"/>
    <n v="0"/>
    <n v="867.42"/>
    <n v="-8.18"/>
    <n v="0"/>
    <n v="746.65"/>
    <n v="0"/>
    <n v="21.75"/>
    <n v="746.65"/>
    <n v="0"/>
    <n v="0"/>
    <n v="2374.29"/>
    <n v="0"/>
  </r>
  <r>
    <x v="11"/>
    <x v="1"/>
    <x v="0"/>
    <s v="2682200"/>
    <n v="721810"/>
    <s v="Supplies-Dietary/Cafeteria"/>
    <s v="Bremerton Dermatology"/>
    <x v="0"/>
    <m/>
    <n v="0"/>
    <n v="0"/>
    <n v="0"/>
    <n v="7.73"/>
    <n v="0"/>
    <n v="69.33"/>
    <n v="15.63"/>
    <n v="9.3800000000000008"/>
    <n v="84.3"/>
    <n v="11.45"/>
    <n v="0"/>
    <n v="0"/>
    <n v="197.82"/>
    <n v="0"/>
  </r>
  <r>
    <x v="11"/>
    <x v="1"/>
    <x v="0"/>
    <s v="2682200"/>
    <n v="721830"/>
    <s v="Supplies-Office"/>
    <s v="Bremerton Dermatology"/>
    <x v="0"/>
    <m/>
    <n v="70.849999999999994"/>
    <n v="956.84"/>
    <n v="925.14"/>
    <n v="1073.1099999999999"/>
    <n v="570.65"/>
    <n v="253.62"/>
    <n v="317.14"/>
    <n v="741.59"/>
    <n v="287.33999999999997"/>
    <n v="619.99"/>
    <n v="310.10000000000002"/>
    <n v="209.42"/>
    <n v="6335.79"/>
    <n v="100.68000000000004"/>
  </r>
  <r>
    <x v="11"/>
    <x v="1"/>
    <x v="0"/>
    <s v="2682200"/>
    <n v="721835"/>
    <s v="Supplies-Forms"/>
    <s v="Bremerton Dermatology"/>
    <x v="0"/>
    <m/>
    <n v="0"/>
    <n v="0"/>
    <n v="0"/>
    <n v="0"/>
    <n v="0"/>
    <n v="0"/>
    <n v="86.82"/>
    <n v="0"/>
    <n v="0"/>
    <n v="0"/>
    <n v="0"/>
    <n v="0"/>
    <n v="86.82"/>
    <n v="0"/>
  </r>
  <r>
    <x v="11"/>
    <x v="1"/>
    <x v="0"/>
    <s v="2682200"/>
    <n v="721870"/>
    <s v="Supplies-Environmental Services"/>
    <s v="Bremerton Dermatology"/>
    <x v="0"/>
    <m/>
    <n v="0"/>
    <n v="0"/>
    <n v="0"/>
    <n v="0"/>
    <n v="0"/>
    <n v="0"/>
    <n v="39.4"/>
    <n v="0"/>
    <n v="0"/>
    <n v="47.28"/>
    <n v="33.49"/>
    <n v="0"/>
    <n v="120.17000000000002"/>
    <n v="33.49"/>
  </r>
  <r>
    <x v="11"/>
    <x v="1"/>
    <x v="0"/>
    <s v="2682200"/>
    <n v="721880"/>
    <s v="Supplies-Linen"/>
    <s v="Bremerton Dermatology"/>
    <x v="0"/>
    <m/>
    <n v="0"/>
    <n v="0"/>
    <n v="0"/>
    <n v="21.58"/>
    <n v="71.55"/>
    <n v="0"/>
    <n v="29.3"/>
    <n v="0"/>
    <n v="40.51"/>
    <n v="63.83"/>
    <n v="7.72"/>
    <n v="56.11"/>
    <n v="290.59999999999997"/>
    <n v="-48.39"/>
  </r>
  <r>
    <x v="11"/>
    <x v="1"/>
    <x v="0"/>
    <s v="2682200"/>
    <n v="721910"/>
    <s v="Supplies-Small Equipment"/>
    <s v="Bremerton Dermatology"/>
    <x v="0"/>
    <m/>
    <n v="0"/>
    <n v="0"/>
    <n v="0"/>
    <n v="4060.08"/>
    <n v="3847.87"/>
    <n v="3366.95"/>
    <n v="-2292.75"/>
    <n v="570.21"/>
    <n v="3991.44"/>
    <n v="0"/>
    <n v="264.60000000000002"/>
    <n v="0"/>
    <n v="13808.400000000001"/>
    <n v="264.60000000000002"/>
  </r>
  <r>
    <x v="11"/>
    <x v="1"/>
    <x v="0"/>
    <s v="2682200"/>
    <n v="721910"/>
    <s v="Instruments"/>
    <s v="Bremerton Dermatology"/>
    <x v="0"/>
    <n v="1000"/>
    <n v="0"/>
    <n v="75.900000000000006"/>
    <n v="0"/>
    <n v="0"/>
    <n v="84.92"/>
    <n v="0"/>
    <n v="186.85"/>
    <n v="0"/>
    <n v="0"/>
    <n v="925.62"/>
    <n v="136.13999999999999"/>
    <n v="18.190000000000001"/>
    <n v="1427.62"/>
    <n v="117.94999999999999"/>
  </r>
  <r>
    <x v="11"/>
    <x v="1"/>
    <x v="0"/>
    <s v="2682200"/>
    <n v="721980"/>
    <s v="Supplies-Other"/>
    <s v="Bremerton Dermatology"/>
    <x v="0"/>
    <m/>
    <n v="409.61"/>
    <n v="170.71"/>
    <n v="62.53"/>
    <n v="2072.8000000000002"/>
    <n v="1492.49"/>
    <n v="2.2200000000000002"/>
    <n v="1874"/>
    <n v="946.91"/>
    <n v="83.76"/>
    <n v="0"/>
    <n v="80.48"/>
    <n v="84.41"/>
    <n v="7279.92"/>
    <n v="-3.9299999999999926"/>
  </r>
  <r>
    <x v="11"/>
    <x v="1"/>
    <x v="0"/>
    <s v="2682200"/>
    <n v="722000"/>
    <s v="Supplies-Freight Expense"/>
    <s v="Bremerton Dermatology"/>
    <x v="0"/>
    <m/>
    <n v="8.9600000000000009"/>
    <n v="7.95"/>
    <n v="0"/>
    <n v="9"/>
    <n v="0"/>
    <n v="193.32"/>
    <n v="117.12"/>
    <n v="0"/>
    <n v="62.5"/>
    <n v="10.19"/>
    <n v="29.85"/>
    <n v="27.41"/>
    <n v="466.30000000000007"/>
    <n v="2.4400000000000013"/>
  </r>
  <r>
    <x v="12"/>
    <x v="1"/>
    <x v="0"/>
    <s v="2682200"/>
    <n v="730020"/>
    <s v="Rental and Leases-Equipment (DO NOT USE)"/>
    <s v="Bremerton Dermatology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5"/>
    <x v="1"/>
    <x v="0"/>
    <s v="2682200"/>
    <n v="731050"/>
    <s v="Refuse Disposal"/>
    <s v="Bremerton Dermatology"/>
    <x v="0"/>
    <m/>
    <n v="0"/>
    <n v="187.42"/>
    <n v="0"/>
    <n v="108.58"/>
    <n v="54.29"/>
    <n v="54.29"/>
    <n v="0"/>
    <n v="0"/>
    <n v="0"/>
    <n v="0"/>
    <n v="0"/>
    <n v="0"/>
    <n v="404.58000000000004"/>
    <n v="0"/>
  </r>
  <r>
    <x v="16"/>
    <x v="1"/>
    <x v="0"/>
    <s v="2682200"/>
    <n v="732020"/>
    <s v="Repairs--Clin Equip-Parts-Internal to CHI Programs"/>
    <s v="Bremerton Dermatology"/>
    <x v="0"/>
    <m/>
    <n v="0"/>
    <n v="0"/>
    <n v="15.45"/>
    <n v="0"/>
    <n v="0"/>
    <n v="15.45"/>
    <n v="0"/>
    <n v="0"/>
    <n v="14.74"/>
    <n v="1.34"/>
    <n v="0"/>
    <n v="0"/>
    <n v="46.980000000000004"/>
    <n v="0"/>
  </r>
  <r>
    <x v="16"/>
    <x v="1"/>
    <x v="0"/>
    <s v="2682200"/>
    <n v="732030"/>
    <s v="Repairs---Other"/>
    <s v="Bremerton Dermatology"/>
    <x v="0"/>
    <m/>
    <n v="0"/>
    <n v="0"/>
    <n v="970"/>
    <n v="800.44"/>
    <n v="0"/>
    <n v="568.55999999999995"/>
    <n v="1071.3599999999999"/>
    <n v="0"/>
    <n v="1523.95"/>
    <n v="1237.49"/>
    <n v="23.4"/>
    <n v="131.63"/>
    <n v="6326.829999999999"/>
    <n v="-108.22999999999999"/>
  </r>
  <r>
    <x v="16"/>
    <x v="1"/>
    <x v="0"/>
    <s v="2682200"/>
    <n v="732030"/>
    <s v="Repairs&amp;Maintenance-Plumbing"/>
    <s v="Bremerton Dermatology"/>
    <x v="0"/>
    <n v="5103"/>
    <n v="0"/>
    <n v="0"/>
    <n v="0"/>
    <n v="0"/>
    <n v="0"/>
    <n v="0"/>
    <n v="528.65"/>
    <n v="0"/>
    <n v="0"/>
    <n v="0"/>
    <n v="0"/>
    <n v="0"/>
    <n v="528.65"/>
    <n v="0"/>
  </r>
  <r>
    <x v="13"/>
    <x v="1"/>
    <x v="0"/>
    <s v="2682200"/>
    <n v="735050"/>
    <s v="Amortization-Leasehold Improvements"/>
    <s v="Bremerton Dermatology"/>
    <x v="0"/>
    <m/>
    <n v="0"/>
    <n v="0"/>
    <n v="0"/>
    <n v="0"/>
    <n v="0"/>
    <n v="0"/>
    <n v="0"/>
    <n v="0"/>
    <n v="0"/>
    <n v="0"/>
    <n v="11748.43"/>
    <n v="447.91"/>
    <n v="12196.34"/>
    <n v="11300.52"/>
  </r>
  <r>
    <x v="13"/>
    <x v="1"/>
    <x v="0"/>
    <s v="2682200"/>
    <n v="735060"/>
    <s v="Depreciation-Fixed Equipment"/>
    <s v="Bremerton Dermatology"/>
    <x v="0"/>
    <m/>
    <n v="0"/>
    <n v="0"/>
    <n v="0"/>
    <n v="0"/>
    <n v="0"/>
    <n v="0"/>
    <n v="0"/>
    <n v="0"/>
    <n v="0"/>
    <n v="0"/>
    <n v="522.55999999999995"/>
    <n v="0"/>
    <n v="522.55999999999995"/>
    <n v="522.55999999999995"/>
  </r>
  <r>
    <x v="13"/>
    <x v="1"/>
    <x v="0"/>
    <s v="2682200"/>
    <n v="735070"/>
    <s v="Depreciation-Movable Equipment"/>
    <s v="Bremerton Dermatology"/>
    <x v="0"/>
    <m/>
    <n v="0"/>
    <n v="0"/>
    <n v="0"/>
    <n v="0"/>
    <n v="0"/>
    <n v="0"/>
    <n v="0"/>
    <n v="62.48"/>
    <n v="62.48"/>
    <n v="62.48"/>
    <n v="2466.5700000000002"/>
    <n v="795.32"/>
    <n v="3449.3300000000004"/>
    <n v="1671.25"/>
  </r>
  <r>
    <x v="0"/>
    <x v="1"/>
    <x v="0"/>
    <s v="2682200"/>
    <n v="740022"/>
    <s v="Education-Physician"/>
    <s v="Bremerton Dermatology"/>
    <x v="0"/>
    <m/>
    <n v="0"/>
    <n v="0"/>
    <n v="0"/>
    <n v="0"/>
    <n v="0"/>
    <n v="0"/>
    <n v="0"/>
    <n v="0"/>
    <n v="1428"/>
    <n v="0"/>
    <n v="0"/>
    <n v="0"/>
    <n v="1428"/>
    <n v="0"/>
  </r>
  <r>
    <x v="0"/>
    <x v="1"/>
    <x v="0"/>
    <s v="2682200"/>
    <n v="740030"/>
    <s v="Education-Travel"/>
    <s v="Bremerton Dermatology"/>
    <x v="0"/>
    <m/>
    <n v="374.13"/>
    <n v="0"/>
    <n v="0"/>
    <n v="0"/>
    <n v="0"/>
    <n v="0"/>
    <n v="0"/>
    <n v="0"/>
    <n v="0"/>
    <n v="0"/>
    <n v="0"/>
    <n v="0"/>
    <n v="374.13"/>
    <n v="0"/>
  </r>
  <r>
    <x v="8"/>
    <x v="1"/>
    <x v="0"/>
    <s v="2682200"/>
    <n v="741012"/>
    <s v="Physician Liab Insurance-CHI Program"/>
    <s v="Bremerton Dermatology"/>
    <x v="0"/>
    <m/>
    <n v="568.4"/>
    <n v="568.4"/>
    <n v="568.4"/>
    <n v="568.4"/>
    <n v="568.4"/>
    <n v="568.4"/>
    <n v="568.4"/>
    <n v="568.4"/>
    <n v="568.4"/>
    <n v="568.4"/>
    <n v="568.4"/>
    <n v="568.4"/>
    <n v="6820.7999999999984"/>
    <n v="0"/>
  </r>
  <r>
    <x v="0"/>
    <x v="1"/>
    <x v="0"/>
    <s v="2682200"/>
    <n v="743022"/>
    <s v="Dues-Physician"/>
    <s v="Bremerton Dermatology"/>
    <x v="0"/>
    <m/>
    <n v="0"/>
    <n v="0"/>
    <n v="0"/>
    <n v="0"/>
    <n v="0"/>
    <n v="0"/>
    <n v="840"/>
    <n v="1660"/>
    <n v="0"/>
    <n v="0"/>
    <n v="0"/>
    <n v="2561"/>
    <n v="5061"/>
    <n v="-2561"/>
  </r>
  <r>
    <x v="0"/>
    <x v="1"/>
    <x v="0"/>
    <s v="2682200"/>
    <n v="749510"/>
    <s v="Miscellaneous Expenses"/>
    <s v="Bremerton Dermatology"/>
    <x v="0"/>
    <m/>
    <n v="-114.46"/>
    <n v="0"/>
    <n v="0"/>
    <n v="680"/>
    <n v="0"/>
    <n v="0"/>
    <n v="0"/>
    <n v="1428"/>
    <n v="-1428"/>
    <n v="1340"/>
    <n v="0"/>
    <n v="3403.04"/>
    <n v="5308.58"/>
    <n v="-3403.04"/>
  </r>
  <r>
    <x v="0"/>
    <x v="1"/>
    <x v="0"/>
    <s v="2682200"/>
    <n v="749510"/>
    <s v="Licenses"/>
    <s v="Bremerton Dermatology"/>
    <x v="0"/>
    <n v="1002"/>
    <n v="-127.95"/>
    <n v="0"/>
    <n v="0"/>
    <n v="0"/>
    <n v="0"/>
    <n v="0"/>
    <n v="0"/>
    <n v="0"/>
    <n v="0"/>
    <n v="0"/>
    <n v="0"/>
    <n v="0"/>
    <n v="-127.95"/>
    <n v="0"/>
  </r>
  <r>
    <x v="0"/>
    <x v="1"/>
    <x v="0"/>
    <s v="2682200"/>
    <n v="749530"/>
    <s v="Travel"/>
    <s v="Bremerton Dermatology"/>
    <x v="0"/>
    <m/>
    <n v="0"/>
    <n v="0"/>
    <n v="0"/>
    <n v="0"/>
    <n v="0"/>
    <n v="0"/>
    <n v="0"/>
    <n v="100"/>
    <n v="0"/>
    <n v="0"/>
    <n v="9"/>
    <n v="24"/>
    <n v="133"/>
    <n v="-15"/>
  </r>
  <r>
    <x v="0"/>
    <x v="1"/>
    <x v="0"/>
    <s v="2682200"/>
    <n v="749530"/>
    <s v="Mileage"/>
    <s v="Bremerton Dermatology"/>
    <x v="0"/>
    <n v="1001"/>
    <n v="57.23"/>
    <n v="302.49"/>
    <n v="52.33"/>
    <n v="0"/>
    <n v="1285.67"/>
    <n v="0"/>
    <n v="0"/>
    <n v="17.399999999999999"/>
    <n v="0"/>
    <n v="0"/>
    <n v="0"/>
    <n v="157.76"/>
    <n v="1872.88"/>
    <n v="-157.76"/>
  </r>
  <r>
    <x v="0"/>
    <x v="1"/>
    <x v="0"/>
    <s v="2682200"/>
    <n v="749550"/>
    <s v="Cash Over/Short"/>
    <s v="Bremerton Dermatology"/>
    <x v="0"/>
    <m/>
    <n v="0"/>
    <n v="0"/>
    <n v="0"/>
    <n v="0"/>
    <n v="0"/>
    <n v="-0.02"/>
    <n v="0"/>
    <n v="0"/>
    <n v="0"/>
    <n v="-0.02"/>
    <n v="0"/>
    <n v="0"/>
    <n v="-0.04"/>
    <n v="0"/>
  </r>
  <r>
    <x v="9"/>
    <x v="1"/>
    <x v="0"/>
    <s v="2682200"/>
    <n v="800015"/>
    <s v="Interest Income-Ext to CHI"/>
    <s v="Bremerton Dermatology"/>
    <x v="0"/>
    <m/>
    <n v="0"/>
    <n v="0"/>
    <n v="0"/>
    <n v="-21.4"/>
    <n v="-123.07"/>
    <n v="-121.64"/>
    <n v="-116.11"/>
    <n v="-99.88"/>
    <n v="-105.05"/>
    <n v="-96.31"/>
    <n v="-93.99"/>
    <n v="-85.61"/>
    <n v="-863.06000000000006"/>
    <n v="-8.3799999999999955"/>
  </r>
  <r>
    <x v="1"/>
    <x v="1"/>
    <x v="0"/>
    <s v="2683200"/>
    <n v="400029"/>
    <s v="MD Practice Other Rev--Medicare"/>
    <s v="Sequim Dermatology"/>
    <x v="0"/>
    <n v="1100"/>
    <n v="-536"/>
    <n v="-538"/>
    <n v="-269"/>
    <n v="-538"/>
    <n v="-538"/>
    <n v="-553"/>
    <n v="-269"/>
    <n v="-269"/>
    <n v="-269"/>
    <n v="-269"/>
    <n v="-538"/>
    <n v="-553"/>
    <n v="-5139"/>
    <n v="15"/>
  </r>
  <r>
    <x v="1"/>
    <x v="1"/>
    <x v="0"/>
    <s v="2683200"/>
    <n v="400029"/>
    <s v="MD Practice Other Rev--Medicaid"/>
    <s v="Sequim Dermatology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2683200"/>
    <n v="400029"/>
    <s v="MD Practice Other Rev--BCBS Comm"/>
    <s v="Sequim Dermatology"/>
    <x v="0"/>
    <n v="1301"/>
    <n v="0"/>
    <n v="0"/>
    <n v="-15"/>
    <n v="0"/>
    <n v="0"/>
    <n v="0"/>
    <n v="0"/>
    <n v="0"/>
    <n v="0"/>
    <n v="0"/>
    <n v="-374"/>
    <n v="0"/>
    <n v="-389"/>
    <n v="-374"/>
  </r>
  <r>
    <x v="1"/>
    <x v="1"/>
    <x v="0"/>
    <s v="2683200"/>
    <n v="400029"/>
    <s v="MD Practice Other Rev--Managed Care"/>
    <s v="Sequim Dermatology"/>
    <x v="0"/>
    <n v="1400"/>
    <n v="-15"/>
    <n v="0"/>
    <n v="0"/>
    <n v="0"/>
    <n v="0"/>
    <n v="0"/>
    <n v="0"/>
    <n v="0"/>
    <n v="-15"/>
    <n v="0"/>
    <n v="-15"/>
    <n v="-15"/>
    <n v="-60"/>
    <n v="0"/>
  </r>
  <r>
    <x v="1"/>
    <x v="1"/>
    <x v="0"/>
    <s v="2683200"/>
    <n v="400040"/>
    <s v="Physician Svcs Rev--Medicare"/>
    <s v="Sequim Dermatology"/>
    <x v="0"/>
    <n v="1100"/>
    <n v="-548775"/>
    <n v="-405135"/>
    <n v="-371909"/>
    <n v="-512078"/>
    <n v="-373215"/>
    <n v="-354246"/>
    <n v="-406097"/>
    <n v="-349110"/>
    <n v="-397066"/>
    <n v="-334050"/>
    <n v="-445542"/>
    <n v="-394009.17"/>
    <n v="-4891232.17"/>
    <n v="-51532.830000000016"/>
  </r>
  <r>
    <x v="1"/>
    <x v="1"/>
    <x v="0"/>
    <s v="2683200"/>
    <n v="400040"/>
    <s v="Physician Svcs Rev--Medicaid"/>
    <s v="Sequim Dermatology"/>
    <x v="0"/>
    <n v="1200"/>
    <n v="-19491"/>
    <n v="-15047"/>
    <n v="-11258"/>
    <n v="-12299"/>
    <n v="-17523"/>
    <n v="-7882"/>
    <n v="-4817"/>
    <n v="-17302"/>
    <n v="-13033"/>
    <n v="-6771"/>
    <n v="-20951"/>
    <n v="-8949.4500000000007"/>
    <n v="-155323.45000000001"/>
    <n v="-12001.55"/>
  </r>
  <r>
    <x v="1"/>
    <x v="1"/>
    <x v="0"/>
    <s v="2683200"/>
    <n v="400040"/>
    <s v="Physician Svcs Rev--Comm Insurance"/>
    <s v="Sequim Dermatology"/>
    <x v="0"/>
    <n v="1300"/>
    <n v="-9998"/>
    <n v="-2062"/>
    <n v="-2965"/>
    <n v="-2969"/>
    <n v="-776"/>
    <n v="-1825"/>
    <n v="-400"/>
    <n v="-818"/>
    <n v="-1104"/>
    <n v="-496"/>
    <n v="-266"/>
    <n v="0"/>
    <n v="-23679"/>
    <n v="-266"/>
  </r>
  <r>
    <x v="1"/>
    <x v="1"/>
    <x v="0"/>
    <s v="2683200"/>
    <n v="400040"/>
    <s v="Physician Svcs Rev--BCBS Comm"/>
    <s v="Sequim Dermatology"/>
    <x v="0"/>
    <n v="1301"/>
    <n v="-23914"/>
    <n v="-16872"/>
    <n v="-14767"/>
    <n v="-22172"/>
    <n v="-26502"/>
    <n v="-29609"/>
    <n v="-25576"/>
    <n v="-19657"/>
    <n v="-25913"/>
    <n v="-16505"/>
    <n v="-33058"/>
    <n v="-20945.27"/>
    <n v="-275490.27"/>
    <n v="-12112.73"/>
  </r>
  <r>
    <x v="1"/>
    <x v="1"/>
    <x v="0"/>
    <s v="2683200"/>
    <n v="400040"/>
    <s v="Physician Svcs Rev--Managed Care"/>
    <s v="Sequim Dermatology"/>
    <x v="0"/>
    <n v="1400"/>
    <n v="-50566"/>
    <n v="-27232"/>
    <n v="-48039"/>
    <n v="-30639"/>
    <n v="-27910"/>
    <n v="-43371"/>
    <n v="-44398"/>
    <n v="-37067"/>
    <n v="-34368"/>
    <n v="-32843"/>
    <n v="-40170"/>
    <n v="-52773.34"/>
    <n v="-469376.33999999997"/>
    <n v="12603.339999999997"/>
  </r>
  <r>
    <x v="1"/>
    <x v="1"/>
    <x v="0"/>
    <s v="2683200"/>
    <n v="400040"/>
    <s v="Physician Svcs Rev--Self Pay"/>
    <s v="Sequim Dermatology"/>
    <x v="0"/>
    <n v="1500"/>
    <n v="-1498"/>
    <n v="-1280"/>
    <n v="-1357"/>
    <n v="-4275"/>
    <n v="-2937"/>
    <n v="-1917"/>
    <n v="-2185"/>
    <n v="-853"/>
    <n v="-1345"/>
    <n v="-3306"/>
    <n v="-3207"/>
    <n v="-9496"/>
    <n v="-33656"/>
    <n v="6289"/>
  </r>
  <r>
    <x v="1"/>
    <x v="1"/>
    <x v="0"/>
    <s v="2683200"/>
    <n v="400040"/>
    <s v="Physician Svcs Rev--Other"/>
    <s v="Sequim Dermatology"/>
    <x v="0"/>
    <n v="1700"/>
    <n v="-41381"/>
    <n v="-35065"/>
    <n v="-59766"/>
    <n v="-44308"/>
    <n v="-21088"/>
    <n v="-19630"/>
    <n v="-30079"/>
    <n v="-29300"/>
    <n v="-15794"/>
    <n v="-17913"/>
    <n v="-36577"/>
    <n v="-35898.81"/>
    <n v="-386799.81"/>
    <n v="-678.19000000000233"/>
  </r>
  <r>
    <x v="2"/>
    <x v="1"/>
    <x v="0"/>
    <s v="2683200"/>
    <n v="450029"/>
    <s v="Contr Allow--MD Other-Medicare"/>
    <s v="Sequim Dermatology"/>
    <x v="0"/>
    <n v="1100"/>
    <n v="342.74"/>
    <n v="173.37"/>
    <n v="346.74"/>
    <n v="173.37"/>
    <n v="0"/>
    <n v="356.58"/>
    <n v="0"/>
    <n v="171.03"/>
    <n v="0"/>
    <n v="360.23"/>
    <n v="249.09"/>
    <n v="340.9"/>
    <n v="2514.0500000000002"/>
    <n v="-91.809999999999974"/>
  </r>
  <r>
    <x v="2"/>
    <x v="1"/>
    <x v="0"/>
    <s v="2683200"/>
    <n v="450029"/>
    <s v="Contr Allow--MD Other-Medicaid"/>
    <s v="Sequim Dermatology"/>
    <x v="0"/>
    <n v="1200"/>
    <n v="199.49"/>
    <n v="0"/>
    <n v="0"/>
    <n v="0"/>
    <n v="0"/>
    <n v="0"/>
    <n v="0"/>
    <n v="0"/>
    <n v="0"/>
    <n v="0"/>
    <n v="0"/>
    <n v="0"/>
    <n v="199.49"/>
    <n v="0"/>
  </r>
  <r>
    <x v="2"/>
    <x v="1"/>
    <x v="0"/>
    <s v="2683200"/>
    <n v="450029"/>
    <s v="Contr Allow--MD Other BCBS Comm"/>
    <s v="Sequim Dermatology"/>
    <x v="0"/>
    <n v="1301"/>
    <n v="0"/>
    <n v="135.84"/>
    <n v="0"/>
    <n v="0"/>
    <n v="0"/>
    <n v="0"/>
    <n v="0"/>
    <n v="0"/>
    <n v="0"/>
    <n v="0"/>
    <n v="39.14"/>
    <n v="194.03"/>
    <n v="369.01"/>
    <n v="-154.88999999999999"/>
  </r>
  <r>
    <x v="2"/>
    <x v="1"/>
    <x v="0"/>
    <s v="2683200"/>
    <n v="450029"/>
    <s v="Contr Allow--MD Other-Managed Care"/>
    <s v="Sequim Dermatology"/>
    <x v="0"/>
    <n v="1400"/>
    <n v="0"/>
    <n v="9.73"/>
    <n v="0"/>
    <n v="0"/>
    <n v="0"/>
    <n v="0"/>
    <n v="0"/>
    <n v="0"/>
    <n v="0"/>
    <n v="9.14"/>
    <n v="0"/>
    <n v="10.25"/>
    <n v="29.12"/>
    <n v="-10.25"/>
  </r>
  <r>
    <x v="2"/>
    <x v="1"/>
    <x v="0"/>
    <s v="2683200"/>
    <n v="450029"/>
    <s v="Admin Adjust-MD Other-Self Pay"/>
    <s v="Sequim Dermatology"/>
    <x v="0"/>
    <n v="1600"/>
    <n v="0"/>
    <n v="0"/>
    <n v="0"/>
    <n v="0"/>
    <n v="0"/>
    <n v="0"/>
    <n v="0"/>
    <n v="0"/>
    <n v="0"/>
    <n v="0"/>
    <n v="19.91"/>
    <n v="0"/>
    <n v="19.91"/>
    <n v="19.91"/>
  </r>
  <r>
    <x v="2"/>
    <x v="1"/>
    <x v="0"/>
    <s v="2683200"/>
    <n v="450029"/>
    <s v="Contr Allow--MD Other-Other"/>
    <s v="Sequim Dermatology"/>
    <x v="0"/>
    <n v="1700"/>
    <n v="0"/>
    <n v="0"/>
    <n v="0"/>
    <n v="0"/>
    <n v="0"/>
    <n v="-394.02"/>
    <n v="0"/>
    <n v="0"/>
    <n v="0"/>
    <n v="0"/>
    <n v="0"/>
    <n v="0"/>
    <n v="-394.02"/>
    <n v="0"/>
  </r>
  <r>
    <x v="2"/>
    <x v="1"/>
    <x v="0"/>
    <s v="2683200"/>
    <n v="450040"/>
    <s v="Contr Allow--Phys Svcs--Mcare"/>
    <s v="Sequim Dermatology"/>
    <x v="0"/>
    <n v="1100"/>
    <n v="272299.65999999997"/>
    <n v="342991.63"/>
    <n v="225009.16"/>
    <n v="389303.25"/>
    <n v="284470.2"/>
    <n v="266984.93"/>
    <n v="242209.31"/>
    <n v="225281.2"/>
    <n v="264943.15000000002"/>
    <n v="301834.3"/>
    <n v="235442.74"/>
    <n v="268720.24"/>
    <n v="3319489.7700000005"/>
    <n v="-33277.5"/>
  </r>
  <r>
    <x v="2"/>
    <x v="1"/>
    <x v="0"/>
    <s v="2683200"/>
    <n v="450040"/>
    <s v="Contr Allow--Phys Svcs--Mcaid"/>
    <s v="Sequim Dermatology"/>
    <x v="0"/>
    <n v="1200"/>
    <n v="26527.59"/>
    <n v="10822.03"/>
    <n v="9744.23"/>
    <n v="10297.92"/>
    <n v="7696.06"/>
    <n v="10445.129999999999"/>
    <n v="11267.86"/>
    <n v="4173.3599999999997"/>
    <n v="17063.95"/>
    <n v="6336.94"/>
    <n v="18768.64"/>
    <n v="5495.12"/>
    <n v="138638.83000000002"/>
    <n v="13273.52"/>
  </r>
  <r>
    <x v="2"/>
    <x v="1"/>
    <x v="0"/>
    <s v="2683200"/>
    <n v="450040"/>
    <s v="Contr Allow--Phys Svcs--Comm Insurance"/>
    <s v="Sequim Dermatology"/>
    <x v="0"/>
    <n v="1300"/>
    <n v="357.47"/>
    <n v="939.54"/>
    <n v="472.02"/>
    <n v="1381.86"/>
    <n v="1617.15"/>
    <n v="4129.57"/>
    <n v="0"/>
    <n v="-107.3"/>
    <n v="43.68"/>
    <n v="611.85"/>
    <n v="360.93"/>
    <n v="141.69999999999999"/>
    <n v="9948.470000000003"/>
    <n v="219.23000000000002"/>
  </r>
  <r>
    <x v="2"/>
    <x v="1"/>
    <x v="0"/>
    <s v="2683200"/>
    <n v="450040"/>
    <s v="Contr Allow--Phys Svcs--BCBS Comm Ins"/>
    <s v="Sequim Dermatology"/>
    <x v="0"/>
    <n v="1301"/>
    <n v="15757.66"/>
    <n v="18346.810000000001"/>
    <n v="5389.18"/>
    <n v="7218.27"/>
    <n v="17519.14"/>
    <n v="9920.9500000000007"/>
    <n v="17214.009999999998"/>
    <n v="10936.12"/>
    <n v="14834.86"/>
    <n v="14855.32"/>
    <n v="11526.42"/>
    <n v="19186.2"/>
    <n v="162704.94"/>
    <n v="-7659.7800000000007"/>
  </r>
  <r>
    <x v="2"/>
    <x v="1"/>
    <x v="0"/>
    <s v="2683200"/>
    <n v="450040"/>
    <s v="Contr Allow--Phys Svcs--Managed Care"/>
    <s v="Sequim Dermatology"/>
    <x v="0"/>
    <n v="1400"/>
    <n v="13234.28"/>
    <n v="34144.199999999997"/>
    <n v="12523.33"/>
    <n v="20386.97"/>
    <n v="19453.66"/>
    <n v="10768.4"/>
    <n v="22710.47"/>
    <n v="9435.5300000000007"/>
    <n v="14510.79"/>
    <n v="18909.22"/>
    <n v="15805.14"/>
    <n v="22498.36"/>
    <n v="214380.34999999998"/>
    <n v="-6693.2200000000012"/>
  </r>
  <r>
    <x v="2"/>
    <x v="1"/>
    <x v="0"/>
    <s v="2683200"/>
    <n v="450040"/>
    <s v="Contr Allow--Phys Svcs--BCBS Mgnd Care"/>
    <s v="Sequim Dermatology"/>
    <x v="0"/>
    <n v="1401"/>
    <n v="80712.33"/>
    <n v="-77365.429999999993"/>
    <n v="46704.45"/>
    <n v="-15576.81"/>
    <n v="-36541.589999999997"/>
    <n v="1750.56"/>
    <n v="39511.82"/>
    <n v="25964.33"/>
    <n v="4794.7299999999996"/>
    <n v="-66111.360000000001"/>
    <n v="74514.78"/>
    <n v="511.45"/>
    <n v="78869.260000000009"/>
    <n v="74003.33"/>
  </r>
  <r>
    <x v="2"/>
    <x v="1"/>
    <x v="0"/>
    <s v="2683200"/>
    <n v="450040"/>
    <s v="Prompt Pay Disc-Phys Svcs-Self Pay"/>
    <s v="Sequim Dermatology"/>
    <x v="0"/>
    <n v="1500"/>
    <n v="0"/>
    <n v="0"/>
    <n v="0"/>
    <n v="0"/>
    <n v="95.41"/>
    <n v="0"/>
    <n v="0"/>
    <n v="0"/>
    <n v="0"/>
    <n v="0"/>
    <n v="0"/>
    <n v="0"/>
    <n v="95.41"/>
    <n v="0"/>
  </r>
  <r>
    <x v="2"/>
    <x v="1"/>
    <x v="0"/>
    <s v="2683200"/>
    <n v="450040"/>
    <s v="Admin Adjust-Phys Svcs-Self Pay"/>
    <s v="Sequim Dermatology"/>
    <x v="0"/>
    <n v="1600"/>
    <n v="690.1"/>
    <n v="281.95"/>
    <n v="334.22"/>
    <n v="714.87"/>
    <n v="611.6"/>
    <n v="113.16"/>
    <n v="381.72"/>
    <n v="220.77"/>
    <n v="460.39"/>
    <n v="1035.48"/>
    <n v="724.4"/>
    <n v="597.07000000000005"/>
    <n v="6165.73"/>
    <n v="127.32999999999993"/>
  </r>
  <r>
    <x v="2"/>
    <x v="1"/>
    <x v="0"/>
    <s v="2683200"/>
    <n v="450040"/>
    <s v="Contr Allow--Phys Svcs--Other"/>
    <s v="Sequim Dermatology"/>
    <x v="0"/>
    <n v="1700"/>
    <n v="29948.32"/>
    <n v="39436.07"/>
    <n v="31483.37"/>
    <n v="26142.61"/>
    <n v="34401.040000000001"/>
    <n v="13400.68"/>
    <n v="17746.849999999999"/>
    <n v="22058.44"/>
    <n v="19667.04"/>
    <n v="16548.93"/>
    <n v="19954.89"/>
    <n v="29438.74"/>
    <n v="300226.98"/>
    <n v="-9483.8500000000022"/>
  </r>
  <r>
    <x v="3"/>
    <x v="1"/>
    <x v="0"/>
    <s v="2683200"/>
    <n v="470040"/>
    <s v="Charity Care-Physician Svcs"/>
    <s v="Sequim Dermatology"/>
    <x v="0"/>
    <m/>
    <n v="2223.9"/>
    <n v="-395.51"/>
    <n v="1097.48"/>
    <n v="-555.04999999999995"/>
    <n v="-990.73"/>
    <n v="-529.24"/>
    <n v="1244.0899999999999"/>
    <n v="255.97"/>
    <n v="1736.52"/>
    <n v="-2487.08"/>
    <n v="1354.85"/>
    <n v="1725.69"/>
    <n v="4680.8899999999994"/>
    <n v="-370.84000000000015"/>
  </r>
  <r>
    <x v="4"/>
    <x v="1"/>
    <x v="0"/>
    <s v="2683200"/>
    <n v="490010"/>
    <s v="Provision for Bad Debts"/>
    <s v="Sequim Dermatology"/>
    <x v="0"/>
    <m/>
    <n v="13789.53"/>
    <n v="-11501.23"/>
    <n v="6414.34"/>
    <n v="-4131.7299999999996"/>
    <n v="-3908.06"/>
    <n v="1049.0899999999999"/>
    <n v="-511.81"/>
    <n v="2865.63"/>
    <n v="-792.29"/>
    <n v="-6551.28"/>
    <n v="7712.87"/>
    <n v="1387.46"/>
    <n v="5822.5200000000023"/>
    <n v="6325.41"/>
  </r>
  <r>
    <x v="5"/>
    <x v="1"/>
    <x v="0"/>
    <s v="2683200"/>
    <n v="700022"/>
    <s v="Salaries-Physician-Productive"/>
    <s v="Sequim Dermatology"/>
    <x v="0"/>
    <m/>
    <n v="35549.360000000001"/>
    <n v="25623.24"/>
    <n v="40397"/>
    <n v="42474.559999999998"/>
    <n v="40627.839999999997"/>
    <n v="22160.639999999999"/>
    <n v="37452.959999999999"/>
    <n v="37913.29"/>
    <n v="38838.01"/>
    <n v="9225.07"/>
    <n v="34626"/>
    <n v="43859.6"/>
    <n v="408747.57"/>
    <n v="-9233.5999999999985"/>
  </r>
  <r>
    <x v="5"/>
    <x v="1"/>
    <x v="0"/>
    <s v="2683200"/>
    <n v="700024"/>
    <s v="Salaries-Advanced Practice Clinician-Productive"/>
    <s v="Sequim Dermatology"/>
    <x v="0"/>
    <m/>
    <n v="35227.5"/>
    <n v="32639.13"/>
    <n v="30788.1"/>
    <n v="41392.89"/>
    <n v="28735.56"/>
    <n v="33182.730000000003"/>
    <n v="36430.76"/>
    <n v="32203.63"/>
    <n v="38027.69"/>
    <n v="29120.3"/>
    <n v="41111.019999999997"/>
    <n v="23981.439999999999"/>
    <n v="402840.75"/>
    <n v="17129.579999999998"/>
  </r>
  <r>
    <x v="5"/>
    <x v="1"/>
    <x v="0"/>
    <s v="2683200"/>
    <n v="700032"/>
    <s v="Salaries-Other Pat Care Providers-Productive"/>
    <s v="Sequim Dermatology"/>
    <x v="0"/>
    <m/>
    <n v="11802.51"/>
    <n v="12853.11"/>
    <n v="11554.68"/>
    <n v="14648.9"/>
    <n v="13239.19"/>
    <n v="11010.62"/>
    <n v="14116.32"/>
    <n v="11653.62"/>
    <n v="14547.09"/>
    <n v="11865.5"/>
    <n v="15957.72"/>
    <n v="12411.62"/>
    <n v="155660.88"/>
    <n v="3546.0999999999985"/>
  </r>
  <r>
    <x v="5"/>
    <x v="1"/>
    <x v="0"/>
    <s v="2683200"/>
    <n v="700032"/>
    <s v="Salaries-Other Pat Care Providers-OT"/>
    <s v="Sequim Dermatology"/>
    <x v="0"/>
    <n v="1000"/>
    <n v="71.55"/>
    <n v="47.02"/>
    <n v="41.11"/>
    <n v="-7.17"/>
    <n v="16.149999999999999"/>
    <n v="113.45"/>
    <n v="-1.61"/>
    <n v="54.46"/>
    <n v="199.02"/>
    <n v="-11.98"/>
    <n v="80.819999999999993"/>
    <n v="150.72"/>
    <n v="753.54"/>
    <n v="-69.900000000000006"/>
  </r>
  <r>
    <x v="5"/>
    <x v="1"/>
    <x v="0"/>
    <s v="2683200"/>
    <n v="700032"/>
    <s v="Salaries-Other Pat Care Providers-Other"/>
    <s v="Sequim Dermatology"/>
    <x v="0"/>
    <n v="2000"/>
    <n v="220"/>
    <n v="230"/>
    <n v="200.5"/>
    <n v="230"/>
    <n v="220.01"/>
    <n v="210.01"/>
    <n v="229.9"/>
    <n v="143.34"/>
    <n v="231.41"/>
    <n v="220.34"/>
    <n v="230.33"/>
    <n v="201.87"/>
    <n v="2567.71"/>
    <n v="28.460000000000008"/>
  </r>
  <r>
    <x v="5"/>
    <x v="1"/>
    <x v="0"/>
    <s v="2683200"/>
    <n v="700034"/>
    <s v="Salaries-Tech/Professional-Productive"/>
    <s v="Sequim Dermatology"/>
    <x v="0"/>
    <m/>
    <n v="2158.34"/>
    <n v="1193.52"/>
    <n v="2523.58"/>
    <n v="2863.89"/>
    <n v="2711.62"/>
    <n v="1568.45"/>
    <n v="2492.9899999999998"/>
    <n v="2670.14"/>
    <n v="2207.15"/>
    <n v="1466.96"/>
    <n v="2774.52"/>
    <n v="2099.48"/>
    <n v="26730.640000000003"/>
    <n v="675.04"/>
  </r>
  <r>
    <x v="5"/>
    <x v="1"/>
    <x v="0"/>
    <s v="2683200"/>
    <n v="700062"/>
    <s v="Salaries-Physician-Non-productive"/>
    <s v="Sequim Dermatology"/>
    <x v="0"/>
    <m/>
    <n v="6194.87"/>
    <n v="15804.77"/>
    <n v="-3427.67"/>
    <n v="34.93"/>
    <n v="-7000"/>
    <n v="16620.48"/>
    <n v="5086.6099999999997"/>
    <n v="-924.71"/>
    <n v="0"/>
    <n v="46881.16"/>
    <n v="7848.56"/>
    <n v="11331.34"/>
    <n v="98450.34"/>
    <n v="-3482.7799999999997"/>
  </r>
  <r>
    <x v="5"/>
    <x v="1"/>
    <x v="0"/>
    <s v="2683200"/>
    <n v="700062"/>
    <s v="Salaries-Physician-NonProd-Other"/>
    <s v="Sequim Dermat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3200"/>
    <n v="700064"/>
    <s v="Salaries-Advanced Practice Clinician-Non-Productive"/>
    <s v="Sequim Dermatology"/>
    <x v="0"/>
    <m/>
    <n v="4100.42"/>
    <n v="9692.5499999999993"/>
    <n v="5701.5"/>
    <n v="570.15"/>
    <n v="11403"/>
    <n v="5131.3500000000004"/>
    <n v="5596.49"/>
    <n v="4339.4799999999996"/>
    <n v="342.6"/>
    <n v="11077.12"/>
    <n v="913.59"/>
    <n v="12561.68"/>
    <n v="71429.929999999993"/>
    <n v="-11648.09"/>
  </r>
  <r>
    <x v="5"/>
    <x v="1"/>
    <x v="0"/>
    <s v="2683200"/>
    <n v="700072"/>
    <s v="Salaries-Other Pat Care Providers-Non-productive"/>
    <s v="Sequim Dermatology"/>
    <x v="0"/>
    <m/>
    <n v="1777.68"/>
    <n v="2230.67"/>
    <n v="1679.1"/>
    <n v="1030.6500000000001"/>
    <n v="1365.08"/>
    <n v="3661.69"/>
    <n v="1548.36"/>
    <n v="1029.43"/>
    <n v="99.83"/>
    <n v="2642.95"/>
    <n v="20.7"/>
    <n v="1300.72"/>
    <n v="18386.860000000004"/>
    <n v="-1280.02"/>
  </r>
  <r>
    <x v="5"/>
    <x v="1"/>
    <x v="0"/>
    <s v="2683200"/>
    <n v="700072"/>
    <s v="Salaries-Other Pat Care Providers-NonProd-Other"/>
    <s v="Sequim Dermatology"/>
    <x v="0"/>
    <n v="2000"/>
    <n v="0"/>
    <n v="0"/>
    <n v="0"/>
    <n v="0"/>
    <n v="261.83999999999997"/>
    <n v="0"/>
    <n v="0"/>
    <n v="-261.83999999999997"/>
    <n v="0"/>
    <n v="0"/>
    <n v="0"/>
    <n v="0"/>
    <n v="0"/>
    <n v="0"/>
  </r>
  <r>
    <x v="5"/>
    <x v="1"/>
    <x v="0"/>
    <s v="2683200"/>
    <n v="700074"/>
    <s v="Salaries-Tech/Professional-Non-productive"/>
    <s v="Sequim Dermatology"/>
    <x v="0"/>
    <m/>
    <n v="164.34"/>
    <n v="616.27"/>
    <n v="136.94999999999999"/>
    <n v="342.38"/>
    <n v="1144.8"/>
    <n v="-128.79"/>
    <n v="129"/>
    <n v="0"/>
    <n v="773.86"/>
    <n v="470.05"/>
    <n v="-240.75"/>
    <n v="143.31"/>
    <n v="3551.42"/>
    <n v="-384.06"/>
  </r>
  <r>
    <x v="5"/>
    <x v="1"/>
    <x v="0"/>
    <s v="2683200"/>
    <n v="700084"/>
    <s v="Accrued PTO"/>
    <s v="Sequim Dermatology"/>
    <x v="0"/>
    <m/>
    <n v="-200.3"/>
    <n v="-470.84"/>
    <n v="-747.83"/>
    <n v="-6.79"/>
    <n v="149.81"/>
    <n v="-1869.75"/>
    <n v="-108.42"/>
    <n v="583.77"/>
    <n v="886.25"/>
    <n v="-558.54999999999995"/>
    <n v="1038.55"/>
    <n v="772.76"/>
    <n v="-531.33999999999969"/>
    <n v="265.78999999999996"/>
  </r>
  <r>
    <x v="6"/>
    <x v="1"/>
    <x v="0"/>
    <s v="2683200"/>
    <n v="713010"/>
    <s v="Benefits-FICA/Medicare"/>
    <s v="Sequim Dermatology"/>
    <x v="0"/>
    <m/>
    <n v="2927.27"/>
    <n v="2429.2399999999998"/>
    <n v="2203.15"/>
    <n v="2576.6999999999998"/>
    <n v="2562.8200000000002"/>
    <n v="4696.8900000000003"/>
    <n v="7625.18"/>
    <n v="6589.01"/>
    <n v="7050.61"/>
    <n v="4579.0200000000004"/>
    <n v="5073.76"/>
    <n v="4406.42"/>
    <n v="52720.07"/>
    <n v="667.34000000000015"/>
  </r>
  <r>
    <x v="6"/>
    <x v="1"/>
    <x v="0"/>
    <s v="2683200"/>
    <n v="713090"/>
    <s v="Benefits-Allocated Amounts"/>
    <s v="Sequim Dermatology"/>
    <x v="0"/>
    <m/>
    <n v="0"/>
    <n v="0"/>
    <n v="0"/>
    <n v="0"/>
    <n v="0"/>
    <n v="0"/>
    <n v="0"/>
    <n v="0"/>
    <n v="58922.34"/>
    <n v="7131.14"/>
    <n v="6991.35"/>
    <n v="7310.91"/>
    <n v="80355.740000000005"/>
    <n v="-319.55999999999949"/>
  </r>
  <r>
    <x v="6"/>
    <x v="1"/>
    <x v="0"/>
    <s v="2683200"/>
    <n v="713092"/>
    <s v="Allocated Benefits-Physician"/>
    <s v="Sequim Dermatology"/>
    <x v="0"/>
    <m/>
    <n v="3514.44"/>
    <n v="3252.03"/>
    <n v="3359.34"/>
    <n v="3561.85"/>
    <n v="3410.73"/>
    <n v="3567.18"/>
    <n v="4235.3999999999996"/>
    <n v="3945.41"/>
    <n v="-15443.96"/>
    <n v="1622.05"/>
    <n v="1590.24"/>
    <n v="1662.94"/>
    <n v="18277.650000000001"/>
    <n v="-72.700000000000045"/>
  </r>
  <r>
    <x v="6"/>
    <x v="1"/>
    <x v="0"/>
    <s v="2683200"/>
    <n v="713093"/>
    <s v="Allocated Benefits-Advanced Practice Clinician"/>
    <s v="Sequim Dermatology"/>
    <x v="0"/>
    <m/>
    <n v="7028.87"/>
    <n v="6504.08"/>
    <n v="6718.68"/>
    <n v="7123.7"/>
    <n v="6821.46"/>
    <n v="7134.34"/>
    <n v="8470.82"/>
    <n v="7890.81"/>
    <n v="-30887.91"/>
    <n v="3244.09"/>
    <n v="3180.49"/>
    <n v="3325.87"/>
    <n v="36555.300000000003"/>
    <n v="-145.38000000000011"/>
  </r>
  <r>
    <x v="7"/>
    <x v="1"/>
    <x v="0"/>
    <s v="2683200"/>
    <n v="718010"/>
    <s v="Contract Services-Advertising &amp; Public Relations"/>
    <s v="Sequim Dermatology"/>
    <x v="0"/>
    <m/>
    <n v="915.28"/>
    <n v="0"/>
    <n v="0"/>
    <n v="0"/>
    <n v="0"/>
    <n v="0"/>
    <n v="0"/>
    <n v="0"/>
    <n v="0"/>
    <n v="0"/>
    <n v="0"/>
    <n v="0"/>
    <n v="915.28"/>
    <n v="0"/>
  </r>
  <r>
    <x v="7"/>
    <x v="1"/>
    <x v="0"/>
    <s v="2683200"/>
    <n v="718050"/>
    <s v="Contract Svcs-Other"/>
    <s v="Sequim Dermatology"/>
    <x v="0"/>
    <m/>
    <n v="0"/>
    <n v="0"/>
    <n v="0"/>
    <n v="0"/>
    <n v="0"/>
    <n v="0"/>
    <n v="0"/>
    <n v="2840.98"/>
    <n v="0"/>
    <n v="0"/>
    <n v="0"/>
    <n v="0"/>
    <n v="2840.98"/>
    <n v="0"/>
  </r>
  <r>
    <x v="7"/>
    <x v="1"/>
    <x v="0"/>
    <s v="2683200"/>
    <n v="718050"/>
    <s v="Miscellaneous Purchased Svcs"/>
    <s v="Sequim Dermatology"/>
    <x v="0"/>
    <n v="1020"/>
    <n v="50.65"/>
    <n v="328.31"/>
    <n v="319.95999999999998"/>
    <n v="815.57"/>
    <n v="546"/>
    <n v="367"/>
    <n v="0"/>
    <n v="117.09"/>
    <n v="117.09"/>
    <n v="3000"/>
    <n v="0"/>
    <n v="-17.989999999999998"/>
    <n v="5643.68"/>
    <n v="17.989999999999998"/>
  </r>
  <r>
    <x v="11"/>
    <x v="1"/>
    <x v="0"/>
    <s v="2683200"/>
    <n v="721010"/>
    <s v="Supplies-Medical - Billable"/>
    <s v="Sequim Dermatology"/>
    <x v="0"/>
    <m/>
    <n v="0"/>
    <n v="0"/>
    <n v="0"/>
    <n v="0"/>
    <n v="1493.3"/>
    <n v="0"/>
    <n v="0"/>
    <n v="0"/>
    <n v="0"/>
    <n v="0"/>
    <n v="0"/>
    <n v="0"/>
    <n v="1493.3"/>
    <n v="0"/>
  </r>
  <r>
    <x v="11"/>
    <x v="1"/>
    <x v="0"/>
    <s v="2683200"/>
    <n v="721150"/>
    <s v="Surgical Orthopedic"/>
    <s v="Sequim Dermatology"/>
    <x v="0"/>
    <n v="1000"/>
    <n v="0"/>
    <n v="0"/>
    <n v="9342.5"/>
    <n v="0"/>
    <n v="13950"/>
    <n v="-1450"/>
    <n v="0"/>
    <n v="0"/>
    <n v="0"/>
    <n v="0"/>
    <n v="0"/>
    <n v="0"/>
    <n v="21842.5"/>
    <n v="0"/>
  </r>
  <r>
    <x v="11"/>
    <x v="1"/>
    <x v="0"/>
    <s v="2683200"/>
    <n v="721250"/>
    <s v="Supplies-Pharmacy Drugs - Billable"/>
    <s v="Sequim Dermatology"/>
    <x v="0"/>
    <m/>
    <n v="87.8"/>
    <n v="24.2"/>
    <n v="0"/>
    <n v="725.01"/>
    <n v="0"/>
    <n v="222.26"/>
    <n v="176.76"/>
    <n v="91.53"/>
    <n v="-58.89"/>
    <n v="313.37"/>
    <n v="98.29"/>
    <n v="0"/>
    <n v="1680.33"/>
    <n v="98.29"/>
  </r>
  <r>
    <x v="11"/>
    <x v="1"/>
    <x v="0"/>
    <s v="2683200"/>
    <n v="721410"/>
    <s v="Supplies-Medical - Nonbillable"/>
    <s v="Sequim Dermatology"/>
    <x v="0"/>
    <m/>
    <n v="14982.19"/>
    <n v="26088.560000000001"/>
    <n v="9605.3700000000008"/>
    <n v="11494.64"/>
    <n v="15762.1"/>
    <n v="9423.7900000000009"/>
    <n v="16137.46"/>
    <n v="14610.08"/>
    <n v="10235.14"/>
    <n v="13288.94"/>
    <n v="2862.25"/>
    <n v="13652.11"/>
    <n v="158142.63"/>
    <n v="-10789.86"/>
  </r>
  <r>
    <x v="11"/>
    <x v="1"/>
    <x v="0"/>
    <s v="2683200"/>
    <n v="721420"/>
    <s v="Supplies-Surgical Nonbillable"/>
    <s v="Sequim Dermatology"/>
    <x v="0"/>
    <m/>
    <n v="22700.73"/>
    <n v="-833.5"/>
    <n v="0"/>
    <n v="0"/>
    <n v="0"/>
    <n v="0"/>
    <n v="0"/>
    <n v="0"/>
    <n v="4626.08"/>
    <n v="0"/>
    <n v="4626.08"/>
    <n v="0"/>
    <n v="31119.39"/>
    <n v="4626.08"/>
  </r>
  <r>
    <x v="11"/>
    <x v="1"/>
    <x v="0"/>
    <s v="2683200"/>
    <n v="721420"/>
    <s v="Sterilization Process Products"/>
    <s v="Sequim Dermatology"/>
    <x v="0"/>
    <n v="1009"/>
    <n v="547.70000000000005"/>
    <n v="497.91"/>
    <n v="0"/>
    <n v="398.33"/>
    <n v="348.54"/>
    <n v="49.79"/>
    <n v="298.75"/>
    <n v="0"/>
    <n v="99.58"/>
    <n v="398.33"/>
    <n v="199.16"/>
    <n v="199.16"/>
    <n v="3037.2499999999995"/>
    <n v="0"/>
  </r>
  <r>
    <x v="11"/>
    <x v="1"/>
    <x v="0"/>
    <s v="2683200"/>
    <n v="721710"/>
    <s v="Reagents"/>
    <s v="Sequim Dermatology"/>
    <x v="0"/>
    <n v="1000"/>
    <n v="0"/>
    <n v="0"/>
    <n v="0"/>
    <n v="0"/>
    <n v="0"/>
    <n v="0"/>
    <n v="0"/>
    <n v="0"/>
    <n v="0"/>
    <n v="0"/>
    <n v="1493.3"/>
    <n v="0"/>
    <n v="1493.3"/>
    <n v="1493.3"/>
  </r>
  <r>
    <x v="11"/>
    <x v="1"/>
    <x v="0"/>
    <s v="2683200"/>
    <n v="721830"/>
    <s v="Supplies-Office"/>
    <s v="Sequim Dermatology"/>
    <x v="0"/>
    <m/>
    <n v="0"/>
    <n v="108.78"/>
    <n v="43.6"/>
    <n v="113.37"/>
    <n v="0"/>
    <n v="0"/>
    <n v="40.79"/>
    <n v="0"/>
    <n v="54.39"/>
    <n v="31.64"/>
    <n v="488.21"/>
    <n v="0"/>
    <n v="880.78"/>
    <n v="488.21"/>
  </r>
  <r>
    <x v="11"/>
    <x v="1"/>
    <x v="0"/>
    <s v="2683200"/>
    <n v="721910"/>
    <s v="Supplies-Small Equipment"/>
    <s v="Sequim Dermatology"/>
    <x v="0"/>
    <m/>
    <n v="0"/>
    <n v="895"/>
    <n v="0"/>
    <n v="0"/>
    <n v="0"/>
    <n v="0"/>
    <n v="0"/>
    <n v="0"/>
    <n v="0"/>
    <n v="0"/>
    <n v="0"/>
    <n v="0"/>
    <n v="895"/>
    <n v="0"/>
  </r>
  <r>
    <x v="11"/>
    <x v="1"/>
    <x v="0"/>
    <s v="2683200"/>
    <n v="721980"/>
    <s v="Supplies-Other"/>
    <s v="Sequim Dermatology"/>
    <x v="0"/>
    <m/>
    <n v="108.77"/>
    <n v="120.17"/>
    <n v="0"/>
    <n v="86.39"/>
    <n v="7.78"/>
    <n v="0"/>
    <n v="0"/>
    <n v="0"/>
    <n v="0"/>
    <n v="0"/>
    <n v="0"/>
    <n v="0"/>
    <n v="323.10999999999996"/>
    <n v="0"/>
  </r>
  <r>
    <x v="11"/>
    <x v="1"/>
    <x v="0"/>
    <s v="2683200"/>
    <n v="722000"/>
    <s v="Supplies-Freight Expense"/>
    <s v="Sequim Dermatology"/>
    <x v="0"/>
    <m/>
    <n v="0"/>
    <n v="48.03"/>
    <n v="0"/>
    <n v="20.71"/>
    <n v="72.37"/>
    <n v="0"/>
    <n v="0"/>
    <n v="0"/>
    <n v="0"/>
    <n v="0"/>
    <n v="0"/>
    <n v="156.11000000000001"/>
    <n v="297.22000000000003"/>
    <n v="-156.11000000000001"/>
  </r>
  <r>
    <x v="15"/>
    <x v="1"/>
    <x v="0"/>
    <s v="2683200"/>
    <n v="731050"/>
    <s v="Refuse Disposal"/>
    <s v="Sequim Dermatology"/>
    <x v="0"/>
    <m/>
    <n v="310.45"/>
    <n v="116.3"/>
    <n v="203.25"/>
    <n v="109.49"/>
    <n v="244.41"/>
    <n v="0"/>
    <n v="0"/>
    <n v="208.84"/>
    <n v="143.87"/>
    <n v="0"/>
    <n v="0"/>
    <n v="0"/>
    <n v="1336.6100000000001"/>
    <n v="0"/>
  </r>
  <r>
    <x v="16"/>
    <x v="1"/>
    <x v="0"/>
    <s v="2683200"/>
    <n v="732030"/>
    <s v="Repairs---Other"/>
    <s v="Sequim Dermatology"/>
    <x v="0"/>
    <m/>
    <n v="0"/>
    <n v="0"/>
    <n v="0"/>
    <n v="0"/>
    <n v="0"/>
    <n v="0"/>
    <n v="0"/>
    <n v="0"/>
    <n v="0"/>
    <n v="0"/>
    <n v="284"/>
    <n v="0"/>
    <n v="284"/>
    <n v="284"/>
  </r>
  <r>
    <x v="13"/>
    <x v="1"/>
    <x v="0"/>
    <s v="2683200"/>
    <n v="735050"/>
    <s v="Amortization-Leasehold Improvements"/>
    <s v="Sequim Dermatology"/>
    <x v="0"/>
    <m/>
    <n v="420.57"/>
    <n v="420.55"/>
    <n v="420.57"/>
    <n v="420.55"/>
    <n v="420.58"/>
    <n v="420.55"/>
    <n v="420.59"/>
    <n v="420.55"/>
    <n v="420.59"/>
    <n v="420.55"/>
    <n v="420.59"/>
    <n v="420.55"/>
    <n v="5046.7900000000009"/>
    <n v="3.999999999996362E-2"/>
  </r>
  <r>
    <x v="13"/>
    <x v="1"/>
    <x v="0"/>
    <s v="2683200"/>
    <n v="735070"/>
    <s v="Depreciation-Movable Equipment"/>
    <s v="Sequim Dermatology"/>
    <x v="0"/>
    <m/>
    <n v="2241.73"/>
    <n v="2241.7199999999998"/>
    <n v="2241.73"/>
    <n v="2241.71"/>
    <n v="2241.73"/>
    <n v="2123.94"/>
    <n v="2124"/>
    <n v="2123.94"/>
    <n v="2122.17"/>
    <n v="2112.62"/>
    <n v="2112.69"/>
    <n v="2112.62"/>
    <n v="26040.599999999995"/>
    <n v="7.0000000000163709E-2"/>
  </r>
  <r>
    <x v="0"/>
    <x v="1"/>
    <x v="0"/>
    <s v="2683200"/>
    <n v="740020"/>
    <s v="Education-Registration Fees"/>
    <s v="Sequim Dermatology"/>
    <x v="0"/>
    <m/>
    <n v="0"/>
    <n v="0"/>
    <n v="0"/>
    <n v="0"/>
    <n v="0"/>
    <n v="800"/>
    <n v="0"/>
    <n v="0"/>
    <n v="0"/>
    <n v="0"/>
    <n v="260"/>
    <n v="0"/>
    <n v="1060"/>
    <n v="260"/>
  </r>
  <r>
    <x v="0"/>
    <x v="1"/>
    <x v="0"/>
    <s v="2683200"/>
    <n v="740022"/>
    <s v="Education-Physician"/>
    <s v="Sequim Dermatology"/>
    <x v="0"/>
    <m/>
    <n v="0"/>
    <n v="0"/>
    <n v="0"/>
    <n v="0"/>
    <n v="0"/>
    <n v="0"/>
    <n v="0"/>
    <n v="0"/>
    <n v="0"/>
    <n v="0"/>
    <n v="0"/>
    <n v="955"/>
    <n v="955"/>
    <n v="-955"/>
  </r>
  <r>
    <x v="0"/>
    <x v="1"/>
    <x v="0"/>
    <s v="2683200"/>
    <n v="740023"/>
    <s v="Books-Advanced Practice Clinician"/>
    <s v="Sequim Dermatology"/>
    <x v="0"/>
    <n v="2000"/>
    <n v="0"/>
    <n v="0"/>
    <n v="0"/>
    <n v="0"/>
    <n v="0"/>
    <n v="0"/>
    <n v="93.75"/>
    <n v="0"/>
    <n v="371"/>
    <n v="0"/>
    <n v="0"/>
    <n v="0"/>
    <n v="464.75"/>
    <n v="0"/>
  </r>
  <r>
    <x v="8"/>
    <x v="1"/>
    <x v="0"/>
    <s v="2683200"/>
    <n v="741012"/>
    <s v="Physician Liab Insurance-CHI Program"/>
    <s v="Sequim Dermatology"/>
    <x v="0"/>
    <m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639.45000000000005"/>
    <n v="7673.3999999999987"/>
    <n v="0"/>
  </r>
  <r>
    <x v="0"/>
    <x v="1"/>
    <x v="0"/>
    <s v="2683200"/>
    <n v="742010"/>
    <s v="Postage-Regular"/>
    <s v="Sequim Dermatology"/>
    <x v="0"/>
    <m/>
    <n v="333.12"/>
    <n v="337.11"/>
    <n v="387.97"/>
    <n v="486"/>
    <n v="459.69"/>
    <n v="394.5"/>
    <n v="329.82"/>
    <n v="442.74"/>
    <n v="332.82"/>
    <n v="258.33999999999997"/>
    <n v="232.75"/>
    <n v="374.13"/>
    <n v="4368.9900000000007"/>
    <n v="-141.38"/>
  </r>
  <r>
    <x v="0"/>
    <x v="1"/>
    <x v="0"/>
    <s v="2683200"/>
    <n v="742040"/>
    <s v="Freight-Other"/>
    <s v="Sequim Dermatology"/>
    <x v="0"/>
    <m/>
    <n v="0"/>
    <n v="0"/>
    <n v="0"/>
    <n v="0"/>
    <n v="0"/>
    <n v="0"/>
    <n v="0"/>
    <n v="0"/>
    <n v="0"/>
    <n v="0"/>
    <n v="0"/>
    <n v="17.989999999999998"/>
    <n v="17.989999999999998"/>
    <n v="-17.989999999999998"/>
  </r>
  <r>
    <x v="0"/>
    <x v="1"/>
    <x v="0"/>
    <s v="2683200"/>
    <n v="743023"/>
    <s v="Dues-Advanced Practice Clinician"/>
    <s v="Sequim Dermatology"/>
    <x v="0"/>
    <m/>
    <n v="0"/>
    <n v="0"/>
    <n v="0"/>
    <n v="0"/>
    <n v="0"/>
    <n v="0"/>
    <n v="300"/>
    <n v="0"/>
    <n v="0"/>
    <n v="0"/>
    <n v="0"/>
    <n v="0"/>
    <n v="300"/>
    <n v="0"/>
  </r>
  <r>
    <x v="0"/>
    <x v="1"/>
    <x v="0"/>
    <s v="2683200"/>
    <n v="743030"/>
    <s v="Subscriptions--Institutional"/>
    <s v="Sequim Dermatology"/>
    <x v="0"/>
    <m/>
    <n v="0"/>
    <n v="0"/>
    <n v="0"/>
    <n v="325.74"/>
    <n v="0"/>
    <n v="0"/>
    <n v="0"/>
    <n v="0"/>
    <n v="0"/>
    <n v="0"/>
    <n v="0"/>
    <n v="0"/>
    <n v="325.74"/>
    <n v="0"/>
  </r>
  <r>
    <x v="0"/>
    <x v="1"/>
    <x v="0"/>
    <s v="2683200"/>
    <n v="743042"/>
    <s v="Subscriptions-Physician"/>
    <s v="Sequim Dermatology"/>
    <x v="0"/>
    <m/>
    <n v="0"/>
    <n v="0"/>
    <n v="0"/>
    <n v="0"/>
    <n v="0"/>
    <n v="0"/>
    <n v="0"/>
    <n v="0"/>
    <n v="0"/>
    <n v="167.59"/>
    <n v="0"/>
    <n v="0"/>
    <n v="167.59"/>
    <n v="0"/>
  </r>
  <r>
    <x v="0"/>
    <x v="1"/>
    <x v="0"/>
    <s v="2683200"/>
    <n v="749510"/>
    <s v="Miscellaneous Expenses"/>
    <s v="Sequim Dermatology"/>
    <x v="0"/>
    <m/>
    <n v="-1500.26"/>
    <n v="3448.75"/>
    <n v="-221.7"/>
    <n v="0"/>
    <n v="850.01"/>
    <n v="0"/>
    <n v="0"/>
    <n v="0"/>
    <n v="0"/>
    <n v="0"/>
    <n v="0"/>
    <n v="0"/>
    <n v="2576.8000000000002"/>
    <n v="0"/>
  </r>
  <r>
    <x v="0"/>
    <x v="1"/>
    <x v="0"/>
    <s v="2683200"/>
    <n v="749510"/>
    <s v="Licenses"/>
    <s v="Sequim Dermatology"/>
    <x v="0"/>
    <n v="1002"/>
    <n v="0"/>
    <n v="0"/>
    <n v="0"/>
    <n v="0"/>
    <n v="0"/>
    <n v="75"/>
    <n v="0"/>
    <n v="0"/>
    <n v="0"/>
    <n v="0"/>
    <n v="650"/>
    <n v="0"/>
    <n v="725"/>
    <n v="650"/>
  </r>
  <r>
    <x v="0"/>
    <x v="1"/>
    <x v="0"/>
    <s v="2683200"/>
    <n v="749512"/>
    <s v="Licenses-Physician"/>
    <s v="Sequim Dermatology"/>
    <x v="0"/>
    <n v="2000"/>
    <n v="0"/>
    <n v="0"/>
    <n v="657"/>
    <n v="0"/>
    <n v="0"/>
    <n v="0"/>
    <n v="0"/>
    <n v="0"/>
    <n v="0"/>
    <n v="0"/>
    <n v="0"/>
    <n v="0"/>
    <n v="657"/>
    <n v="0"/>
  </r>
  <r>
    <x v="0"/>
    <x v="1"/>
    <x v="0"/>
    <s v="2683200"/>
    <n v="749513"/>
    <s v="Licenses-Advanced Practice Clinician"/>
    <s v="Sequim Dermatology"/>
    <x v="0"/>
    <n v="2000"/>
    <n v="0"/>
    <n v="0"/>
    <n v="0"/>
    <n v="0"/>
    <n v="150"/>
    <n v="0"/>
    <n v="0"/>
    <n v="0"/>
    <n v="0"/>
    <n v="0"/>
    <n v="0"/>
    <n v="0"/>
    <n v="150"/>
    <n v="0"/>
  </r>
  <r>
    <x v="0"/>
    <x v="1"/>
    <x v="0"/>
    <s v="2683200"/>
    <n v="749530"/>
    <s v="Travel"/>
    <s v="Sequim Dermatology"/>
    <x v="0"/>
    <m/>
    <n v="0"/>
    <n v="0"/>
    <n v="0"/>
    <n v="0"/>
    <n v="0"/>
    <n v="603.20000000000005"/>
    <n v="0"/>
    <n v="1004.98"/>
    <n v="0"/>
    <n v="0"/>
    <n v="33.950000000000003"/>
    <n v="0"/>
    <n v="1642.13"/>
    <n v="33.950000000000003"/>
  </r>
  <r>
    <x v="0"/>
    <x v="1"/>
    <x v="0"/>
    <s v="2683200"/>
    <n v="749530"/>
    <s v="Mileage"/>
    <s v="Sequim Dermatology"/>
    <x v="0"/>
    <n v="1001"/>
    <n v="80.66"/>
    <n v="0"/>
    <n v="0"/>
    <n v="0"/>
    <n v="0"/>
    <n v="0"/>
    <n v="0"/>
    <n v="132.82"/>
    <n v="46.4"/>
    <n v="0"/>
    <n v="138.04"/>
    <n v="0"/>
    <n v="397.91999999999996"/>
    <n v="138.04"/>
  </r>
  <r>
    <x v="0"/>
    <x v="1"/>
    <x v="0"/>
    <s v="2683200"/>
    <n v="749532"/>
    <s v="Travel-Physician"/>
    <s v="Sequim Dermatology"/>
    <x v="0"/>
    <m/>
    <n v="0"/>
    <n v="0"/>
    <n v="0"/>
    <n v="0"/>
    <n v="0"/>
    <n v="0"/>
    <n v="0"/>
    <n v="0"/>
    <n v="0"/>
    <n v="0"/>
    <n v="0"/>
    <n v="167"/>
    <n v="167"/>
    <n v="-167"/>
  </r>
  <r>
    <x v="0"/>
    <x v="1"/>
    <x v="0"/>
    <s v="2683200"/>
    <n v="749533"/>
    <s v="Travel-Advanced Practice Clinician"/>
    <s v="Sequim Dermatology"/>
    <x v="0"/>
    <m/>
    <n v="2680.65"/>
    <n v="0"/>
    <n v="0"/>
    <n v="0"/>
    <n v="0"/>
    <n v="0"/>
    <n v="0"/>
    <n v="37.840000000000003"/>
    <n v="0"/>
    <n v="0"/>
    <n v="0"/>
    <n v="0"/>
    <n v="2718.4900000000002"/>
    <n v="0"/>
  </r>
  <r>
    <x v="0"/>
    <x v="1"/>
    <x v="0"/>
    <s v="2683200"/>
    <n v="749533"/>
    <s v="Vehicle Expense-Advanced Practice Clinician"/>
    <s v="Sequim Dermatology"/>
    <x v="0"/>
    <n v="2001"/>
    <n v="0"/>
    <n v="0"/>
    <n v="0"/>
    <n v="0"/>
    <n v="0"/>
    <n v="0"/>
    <n v="0"/>
    <n v="117.16"/>
    <n v="0"/>
    <n v="0"/>
    <n v="0"/>
    <n v="0"/>
    <n v="117.16"/>
    <n v="0"/>
  </r>
  <r>
    <x v="0"/>
    <x v="1"/>
    <x v="0"/>
    <s v="2683200"/>
    <n v="766010"/>
    <s v="Property Tax"/>
    <s v="Sequim Dermatology"/>
    <x v="0"/>
    <m/>
    <n v="71.13"/>
    <n v="71.13"/>
    <n v="71.13"/>
    <n v="71.13"/>
    <n v="71.13"/>
    <n v="71.13"/>
    <n v="0"/>
    <n v="0"/>
    <n v="0"/>
    <n v="317.67"/>
    <n v="79.42"/>
    <n v="79.42"/>
    <n v="903.29"/>
    <n v="0"/>
  </r>
  <r>
    <x v="1"/>
    <x v="1"/>
    <x v="0"/>
    <s v="2684200"/>
    <n v="400029"/>
    <s v="MD Practice Other Rev--Medicare"/>
    <s v="Rheumatology Prof Fees"/>
    <x v="0"/>
    <n v="1100"/>
    <n v="0"/>
    <n v="0"/>
    <n v="0"/>
    <n v="0"/>
    <n v="0"/>
    <n v="-24"/>
    <n v="0"/>
    <n v="-24"/>
    <n v="0"/>
    <n v="0"/>
    <n v="0"/>
    <n v="-24"/>
    <n v="-72"/>
    <n v="24"/>
  </r>
  <r>
    <x v="1"/>
    <x v="1"/>
    <x v="0"/>
    <s v="2684200"/>
    <n v="400029"/>
    <s v="MD Practice Other Rev--BCBS Comm"/>
    <s v="Rheumatology Prof Fees"/>
    <x v="0"/>
    <n v="1301"/>
    <n v="0"/>
    <n v="0"/>
    <n v="0"/>
    <n v="-24"/>
    <n v="-24"/>
    <n v="0"/>
    <n v="0"/>
    <n v="0"/>
    <n v="0"/>
    <n v="0"/>
    <n v="0"/>
    <n v="0"/>
    <n v="-48"/>
    <n v="0"/>
  </r>
  <r>
    <x v="1"/>
    <x v="1"/>
    <x v="0"/>
    <s v="2684200"/>
    <n v="400029"/>
    <s v="MD Practice Other Rev--Managed Care"/>
    <s v="Rheumatology Prof Fees"/>
    <x v="0"/>
    <n v="1400"/>
    <n v="0"/>
    <n v="0"/>
    <n v="-24"/>
    <n v="-24"/>
    <n v="0"/>
    <n v="0"/>
    <n v="-24"/>
    <n v="0"/>
    <n v="0"/>
    <n v="0"/>
    <n v="0"/>
    <n v="0"/>
    <n v="-72"/>
    <n v="0"/>
  </r>
  <r>
    <x v="1"/>
    <x v="1"/>
    <x v="0"/>
    <s v="2684200"/>
    <n v="400040"/>
    <s v="Physician Svcs Rev--Medicare"/>
    <s v="Rheumatology Prof Fees"/>
    <x v="0"/>
    <n v="1100"/>
    <n v="-62891"/>
    <n v="-51559"/>
    <n v="-57742"/>
    <n v="-54622"/>
    <n v="-43851"/>
    <n v="-51116"/>
    <n v="-58564"/>
    <n v="-35109"/>
    <n v="-52786"/>
    <n v="-63530"/>
    <n v="-64419"/>
    <n v="-62602"/>
    <n v="-658791"/>
    <n v="-1817"/>
  </r>
  <r>
    <x v="1"/>
    <x v="1"/>
    <x v="0"/>
    <s v="2684200"/>
    <n v="400040"/>
    <s v="Physician Svcs Rev--Medicaid"/>
    <s v="Rheumatology Prof Fees"/>
    <x v="0"/>
    <n v="1200"/>
    <n v="-18522"/>
    <n v="-20973"/>
    <n v="-14643"/>
    <n v="-18830"/>
    <n v="-16862"/>
    <n v="-15562"/>
    <n v="-16325"/>
    <n v="-10839"/>
    <n v="-19472"/>
    <n v="-20019"/>
    <n v="-24148"/>
    <n v="-21639"/>
    <n v="-217834"/>
    <n v="-2509"/>
  </r>
  <r>
    <x v="1"/>
    <x v="1"/>
    <x v="0"/>
    <s v="2684200"/>
    <n v="400040"/>
    <s v="Physician Svcs Rev--Comm Insurance"/>
    <s v="Rheumatology Prof Fees"/>
    <x v="0"/>
    <n v="1300"/>
    <n v="-3136"/>
    <n v="-4754"/>
    <n v="-1853"/>
    <n v="-2059"/>
    <n v="-2974"/>
    <n v="-3639"/>
    <n v="-2348"/>
    <n v="-2735"/>
    <n v="-5546"/>
    <n v="-2053"/>
    <n v="-3214"/>
    <n v="-1885"/>
    <n v="-36196"/>
    <n v="-1329"/>
  </r>
  <r>
    <x v="1"/>
    <x v="1"/>
    <x v="0"/>
    <s v="2684200"/>
    <n v="400040"/>
    <s v="Physician Svcs Rev--BCBS Comm"/>
    <s v="Rheumatology Prof Fees"/>
    <x v="0"/>
    <n v="1301"/>
    <n v="-8823"/>
    <n v="-12944"/>
    <n v="-10784"/>
    <n v="-11200"/>
    <n v="-10359"/>
    <n v="-7743"/>
    <n v="-10640"/>
    <n v="-6307"/>
    <n v="-9594"/>
    <n v="-14443"/>
    <n v="-10687"/>
    <n v="-13046"/>
    <n v="-126570"/>
    <n v="2359"/>
  </r>
  <r>
    <x v="1"/>
    <x v="1"/>
    <x v="0"/>
    <s v="2684200"/>
    <n v="400040"/>
    <s v="Physician Svcs Rev--Managed Care"/>
    <s v="Rheumatology Prof Fees"/>
    <x v="0"/>
    <n v="1400"/>
    <n v="-23132"/>
    <n v="-32451"/>
    <n v="-24823"/>
    <n v="-24066"/>
    <n v="-26996"/>
    <n v="-26174"/>
    <n v="-23763"/>
    <n v="-18255"/>
    <n v="-31969"/>
    <n v="-29032"/>
    <n v="-30381"/>
    <n v="-29066"/>
    <n v="-320108"/>
    <n v="-1315"/>
  </r>
  <r>
    <x v="1"/>
    <x v="1"/>
    <x v="0"/>
    <s v="2684200"/>
    <n v="400040"/>
    <s v="Physician Svcs Rev--Self Pay"/>
    <s v="Rheumatology Prof Fees"/>
    <x v="0"/>
    <n v="1500"/>
    <n v="-881"/>
    <n v="0"/>
    <n v="-200"/>
    <n v="-653"/>
    <n v="-798"/>
    <n v="-573"/>
    <n v="-868"/>
    <n v="-244"/>
    <n v="-622"/>
    <n v="-976"/>
    <n v="-400"/>
    <n v="-1880"/>
    <n v="-8095"/>
    <n v="1480"/>
  </r>
  <r>
    <x v="1"/>
    <x v="1"/>
    <x v="0"/>
    <s v="2684200"/>
    <n v="400040"/>
    <s v="Physician Svcs Rev--Other"/>
    <s v="Rheumatology Prof Fees"/>
    <x v="0"/>
    <n v="1700"/>
    <n v="-13783"/>
    <n v="-12485"/>
    <n v="-14084"/>
    <n v="-9179"/>
    <n v="-12559"/>
    <n v="-10451"/>
    <n v="-10170"/>
    <n v="-8227"/>
    <n v="-16128"/>
    <n v="-14686"/>
    <n v="-8525"/>
    <n v="-10772"/>
    <n v="-141049"/>
    <n v="2247"/>
  </r>
  <r>
    <x v="2"/>
    <x v="1"/>
    <x v="0"/>
    <s v="2684200"/>
    <n v="450029"/>
    <s v="Contr Allow--MD Other BCBS Comm"/>
    <s v="Rheumatology Prof Fees"/>
    <x v="0"/>
    <n v="1301"/>
    <n v="0"/>
    <n v="0"/>
    <n v="0"/>
    <n v="0"/>
    <n v="12.52"/>
    <n v="12.52"/>
    <n v="0"/>
    <n v="0"/>
    <n v="0"/>
    <n v="0"/>
    <n v="0"/>
    <n v="0"/>
    <n v="25.04"/>
    <n v="0"/>
  </r>
  <r>
    <x v="2"/>
    <x v="1"/>
    <x v="0"/>
    <s v="2684200"/>
    <n v="450029"/>
    <s v="Contr Allow--MD Other-Managed Care"/>
    <s v="Rheumatology Prof Fees"/>
    <x v="0"/>
    <n v="1400"/>
    <n v="0"/>
    <n v="0"/>
    <n v="10.52"/>
    <n v="0"/>
    <n v="9.1300000000000008"/>
    <n v="0"/>
    <n v="0"/>
    <n v="10.52"/>
    <n v="0"/>
    <n v="0"/>
    <n v="0"/>
    <n v="0"/>
    <n v="30.169999999999998"/>
    <n v="0"/>
  </r>
  <r>
    <x v="2"/>
    <x v="1"/>
    <x v="0"/>
    <s v="2684200"/>
    <n v="450040"/>
    <s v="Contr Allow--Phys Svcs--Mcare"/>
    <s v="Rheumatology Prof Fees"/>
    <x v="0"/>
    <n v="1100"/>
    <n v="37999.43"/>
    <n v="40359.64"/>
    <n v="28349.8"/>
    <n v="34326.58"/>
    <n v="35235.089999999997"/>
    <n v="28594.51"/>
    <n v="41856.239999999998"/>
    <n v="23396.799999999999"/>
    <n v="27437.27"/>
    <n v="41787.31"/>
    <n v="42826.400000000001"/>
    <n v="33919.89"/>
    <n v="416088.96000000008"/>
    <n v="8906.510000000002"/>
  </r>
  <r>
    <x v="2"/>
    <x v="1"/>
    <x v="0"/>
    <s v="2684200"/>
    <n v="450040"/>
    <s v="Contr Allow--Phys Svcs--Mcaid"/>
    <s v="Rheumatology Prof Fees"/>
    <x v="0"/>
    <n v="1200"/>
    <n v="11257.98"/>
    <n v="23210.06"/>
    <n v="12920.09"/>
    <n v="15455.46"/>
    <n v="10901.65"/>
    <n v="10771.93"/>
    <n v="12919.43"/>
    <n v="9760.3700000000008"/>
    <n v="12164.6"/>
    <n v="15973.56"/>
    <n v="21090.35"/>
    <n v="12845.21"/>
    <n v="169270.69"/>
    <n v="8245.14"/>
  </r>
  <r>
    <x v="2"/>
    <x v="1"/>
    <x v="0"/>
    <s v="2684200"/>
    <n v="450040"/>
    <s v="Contr Allow--Phys Svcs--Comm Insurance"/>
    <s v="Rheumatology Prof Fees"/>
    <x v="0"/>
    <n v="1300"/>
    <n v="710.12"/>
    <n v="1195.74"/>
    <n v="1452.24"/>
    <n v="811.79"/>
    <n v="556.33000000000004"/>
    <n v="1186.1600000000001"/>
    <n v="815.44"/>
    <n v="471.43"/>
    <n v="1278.3499999999999"/>
    <n v="1904.28"/>
    <n v="1222.82"/>
    <n v="1290.3"/>
    <n v="12895"/>
    <n v="-67.480000000000018"/>
  </r>
  <r>
    <x v="2"/>
    <x v="1"/>
    <x v="0"/>
    <s v="2684200"/>
    <n v="450040"/>
    <s v="Contr Allow--Phys Svcs--BCBS Comm Ins"/>
    <s v="Rheumatology Prof Fees"/>
    <x v="0"/>
    <n v="1301"/>
    <n v="5046.87"/>
    <n v="7063.3"/>
    <n v="4877.1099999999997"/>
    <n v="2305.0300000000002"/>
    <n v="7097.8"/>
    <n v="3959.67"/>
    <n v="4018.41"/>
    <n v="3623.42"/>
    <n v="5258.91"/>
    <n v="6849.72"/>
    <n v="5640.76"/>
    <n v="4544.1099999999997"/>
    <n v="60285.110000000008"/>
    <n v="1096.6500000000005"/>
  </r>
  <r>
    <x v="2"/>
    <x v="1"/>
    <x v="0"/>
    <s v="2684200"/>
    <n v="450040"/>
    <s v="Contr Allow--Phys Svcs--Managed Care"/>
    <s v="Rheumatology Prof Fees"/>
    <x v="0"/>
    <n v="1400"/>
    <n v="9371.4500000000007"/>
    <n v="12518.52"/>
    <n v="8858.7099999999991"/>
    <n v="8034.94"/>
    <n v="11671.29"/>
    <n v="8255.59"/>
    <n v="7804.49"/>
    <n v="7377.84"/>
    <n v="9468.19"/>
    <n v="11363.45"/>
    <n v="11833.71"/>
    <n v="10481.200000000001"/>
    <n v="117039.37999999999"/>
    <n v="1352.5099999999984"/>
  </r>
  <r>
    <x v="2"/>
    <x v="1"/>
    <x v="0"/>
    <s v="2684200"/>
    <n v="450040"/>
    <s v="Contr Allow--Phys Svcs--BCBS Mgnd Care"/>
    <s v="Rheumatology Prof Fees"/>
    <x v="0"/>
    <n v="1401"/>
    <n v="3973.36"/>
    <n v="-11969.41"/>
    <n v="5703.27"/>
    <n v="2078.06"/>
    <n v="-6730.06"/>
    <n v="7180.02"/>
    <n v="2021.97"/>
    <n v="-3184.86"/>
    <n v="14237.14"/>
    <n v="-6630.28"/>
    <n v="-6445.41"/>
    <n v="9491.99"/>
    <n v="9725.7900000000009"/>
    <n v="-15937.4"/>
  </r>
  <r>
    <x v="2"/>
    <x v="1"/>
    <x v="0"/>
    <s v="2684200"/>
    <n v="450040"/>
    <s v="Prompt Pay Disc-Phys Svcs-Self Pay"/>
    <s v="Rheumatology Prof Fees"/>
    <x v="0"/>
    <n v="1500"/>
    <n v="0"/>
    <n v="0"/>
    <n v="0"/>
    <n v="0"/>
    <n v="0"/>
    <n v="0"/>
    <n v="0"/>
    <n v="0"/>
    <n v="0"/>
    <n v="148.38"/>
    <n v="0"/>
    <n v="0"/>
    <n v="148.38"/>
    <n v="0"/>
  </r>
  <r>
    <x v="2"/>
    <x v="1"/>
    <x v="0"/>
    <s v="2684200"/>
    <n v="450040"/>
    <s v="Admin Adjust-Phys Svcs-Self Pay"/>
    <s v="Rheumatology Prof Fees"/>
    <x v="0"/>
    <n v="1600"/>
    <n v="496.37"/>
    <n v="502.01"/>
    <n v="114.38"/>
    <n v="258.52999999999997"/>
    <n v="328.1"/>
    <n v="313.93"/>
    <n v="793.1"/>
    <n v="130.07"/>
    <n v="281.55"/>
    <n v="401.34"/>
    <n v="147.24"/>
    <n v="749.05"/>
    <n v="4515.670000000001"/>
    <n v="-601.80999999999995"/>
  </r>
  <r>
    <x v="2"/>
    <x v="1"/>
    <x v="0"/>
    <s v="2684200"/>
    <n v="450040"/>
    <s v="Contr Allow--Phys Svcs--Other"/>
    <s v="Rheumatology Prof Fees"/>
    <x v="0"/>
    <n v="1700"/>
    <n v="8840.32"/>
    <n v="10007.02"/>
    <n v="7560.42"/>
    <n v="5782.49"/>
    <n v="7771.77"/>
    <n v="5607.36"/>
    <n v="6490.7"/>
    <n v="6300.81"/>
    <n v="7203.92"/>
    <n v="11450.76"/>
    <n v="8468.6299999999992"/>
    <n v="5524.97"/>
    <n v="91009.17"/>
    <n v="2943.6599999999989"/>
  </r>
  <r>
    <x v="3"/>
    <x v="1"/>
    <x v="0"/>
    <s v="2684200"/>
    <n v="470040"/>
    <s v="Charity Care-Physician Svcs"/>
    <s v="Rheumatology Prof Fees"/>
    <x v="0"/>
    <m/>
    <n v="435.8"/>
    <n v="355.63"/>
    <n v="695.56"/>
    <n v="321.35000000000002"/>
    <n v="-126.69"/>
    <n v="559.13"/>
    <n v="53.39"/>
    <n v="-147.91"/>
    <n v="861.68"/>
    <n v="244.71"/>
    <n v="540.42999999999995"/>
    <n v="1245.51"/>
    <n v="5038.59"/>
    <n v="-705.08"/>
  </r>
  <r>
    <x v="4"/>
    <x v="1"/>
    <x v="0"/>
    <s v="2684200"/>
    <n v="490010"/>
    <s v="Provision for Bad Debts"/>
    <s v="Rheumatology Prof Fees"/>
    <x v="0"/>
    <m/>
    <n v="1120.28"/>
    <n v="-1427.23"/>
    <n v="996.04"/>
    <n v="807.39"/>
    <n v="706.74"/>
    <n v="557.74"/>
    <n v="-345.62"/>
    <n v="-180.37"/>
    <n v="2047.74"/>
    <n v="-972.79"/>
    <n v="1348.49"/>
    <n v="2882.83"/>
    <n v="7541.24"/>
    <n v="-1534.34"/>
  </r>
  <r>
    <x v="5"/>
    <x v="1"/>
    <x v="0"/>
    <s v="2684200"/>
    <n v="700022"/>
    <s v="Salaries-Physician-Productive"/>
    <s v="Rheumatology Prof Fees"/>
    <x v="0"/>
    <m/>
    <n v="38343.129999999997"/>
    <n v="40337.360000000001"/>
    <n v="35368.57"/>
    <n v="31248.68"/>
    <n v="43826.05"/>
    <n v="34353.61"/>
    <n v="42826.11"/>
    <n v="22856.11"/>
    <n v="42906.41"/>
    <n v="39235.65"/>
    <n v="42302.53"/>
    <n v="31192.3"/>
    <n v="444796.50999999995"/>
    <n v="11110.23"/>
  </r>
  <r>
    <x v="5"/>
    <x v="1"/>
    <x v="0"/>
    <s v="2684200"/>
    <n v="700032"/>
    <s v="Salaries-Other Pat Care Providers-Productive"/>
    <s v="Rheumatology Prof Fees"/>
    <x v="0"/>
    <m/>
    <n v="7347.88"/>
    <n v="8796.35"/>
    <n v="8948.51"/>
    <n v="9210.9599999999991"/>
    <n v="10654.62"/>
    <n v="7989.13"/>
    <n v="10234.629999999999"/>
    <n v="5568.83"/>
    <n v="6861.27"/>
    <n v="6943.62"/>
    <n v="6790.93"/>
    <n v="5840.38"/>
    <n v="95187.109999999986"/>
    <n v="950.55000000000018"/>
  </r>
  <r>
    <x v="5"/>
    <x v="1"/>
    <x v="0"/>
    <s v="2684200"/>
    <n v="700032"/>
    <s v="Salaries-Other Pat Care Providers-OT"/>
    <s v="Rheumatology Prof Fees"/>
    <x v="0"/>
    <n v="1000"/>
    <n v="134.77000000000001"/>
    <n v="133.97"/>
    <n v="356.45"/>
    <n v="136.19"/>
    <n v="104.93"/>
    <n v="77.680000000000007"/>
    <n v="128.32"/>
    <n v="71.150000000000006"/>
    <n v="298.5"/>
    <n v="122.44"/>
    <n v="217.46"/>
    <n v="114.11"/>
    <n v="1895.9700000000003"/>
    <n v="103.35000000000001"/>
  </r>
  <r>
    <x v="5"/>
    <x v="1"/>
    <x v="0"/>
    <s v="2684200"/>
    <n v="700062"/>
    <s v="Salaries-Physician-Non-productive"/>
    <s v="Rheumatology Prof Fees"/>
    <x v="0"/>
    <m/>
    <n v="2309.83"/>
    <n v="2163.46"/>
    <n v="1588.68"/>
    <n v="11252.13"/>
    <n v="-3173.07"/>
    <n v="4451.4799999999996"/>
    <n v="-260.25"/>
    <n v="14155.33"/>
    <n v="-4044.38"/>
    <n v="1476.93"/>
    <n v="260.64999999999998"/>
    <n v="5770.08"/>
    <n v="35950.869999999995"/>
    <n v="-5509.43"/>
  </r>
  <r>
    <x v="5"/>
    <x v="1"/>
    <x v="0"/>
    <s v="2684200"/>
    <n v="700064"/>
    <s v="Salaries-Advanced Practice Clinician-Non-Productive"/>
    <s v="Rheumatology Prof Fees"/>
    <x v="0"/>
    <m/>
    <n v="911.18"/>
    <n v="907.29"/>
    <n v="901.14"/>
    <n v="899.5"/>
    <n v="893.6"/>
    <n v="891.72"/>
    <n v="887.83"/>
    <n v="879.04"/>
    <n v="880.04"/>
    <n v="874.77"/>
    <n v="872.26"/>
    <n v="867.23"/>
    <n v="10665.6"/>
    <n v="5.0299999999999727"/>
  </r>
  <r>
    <x v="5"/>
    <x v="1"/>
    <x v="0"/>
    <s v="2684200"/>
    <n v="700072"/>
    <s v="Salaries-Other Pat Care Providers-Non-productive"/>
    <s v="Rheumatology Prof Fees"/>
    <x v="0"/>
    <m/>
    <n v="2608.5"/>
    <n v="2001.1"/>
    <n v="465.01"/>
    <n v="1930.15"/>
    <n v="-206.84"/>
    <n v="2083.6"/>
    <n v="759.1"/>
    <n v="2390.04"/>
    <n v="-432.85"/>
    <n v="37.47"/>
    <n v="366.84"/>
    <n v="647.88"/>
    <n v="12649.999999999998"/>
    <n v="-281.04000000000002"/>
  </r>
  <r>
    <x v="5"/>
    <x v="1"/>
    <x v="0"/>
    <s v="2684200"/>
    <n v="700072"/>
    <s v="Salaries-Other Pat Care Providers-NonProd-Other"/>
    <s v="Rheumatology Prof Fe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4200"/>
    <n v="700084"/>
    <s v="Accrued PTO"/>
    <s v="Rheumatology Prof Fees"/>
    <x v="0"/>
    <m/>
    <n v="-1321.53"/>
    <n v="-916.62"/>
    <n v="78.489999999999995"/>
    <n v="-312.02999999999997"/>
    <n v="665.8"/>
    <n v="-747.9"/>
    <n v="157.47999999999999"/>
    <n v="-810.04"/>
    <n v="662.8"/>
    <n v="618.94000000000005"/>
    <n v="469.72"/>
    <n v="166.21"/>
    <n v="-1288.68"/>
    <n v="303.51"/>
  </r>
  <r>
    <x v="6"/>
    <x v="1"/>
    <x v="0"/>
    <s v="2684200"/>
    <n v="713010"/>
    <s v="Benefits-FICA/Medicare"/>
    <s v="Rheumatology Prof Fees"/>
    <x v="0"/>
    <m/>
    <n v="2332.71"/>
    <n v="2381.77"/>
    <n v="1335.08"/>
    <n v="1436.32"/>
    <n v="1389.46"/>
    <n v="2531.39"/>
    <n v="4040.75"/>
    <n v="3396.54"/>
    <n v="3469.66"/>
    <n v="3597.45"/>
    <n v="3754.06"/>
    <n v="1501.87"/>
    <n v="31167.06"/>
    <n v="2252.19"/>
  </r>
  <r>
    <x v="6"/>
    <x v="1"/>
    <x v="0"/>
    <s v="2684200"/>
    <n v="713090"/>
    <s v="Benefits-Allocated Amounts"/>
    <s v="Rheumatology Prof Fees"/>
    <x v="0"/>
    <m/>
    <n v="0"/>
    <n v="0"/>
    <n v="0"/>
    <n v="0"/>
    <n v="0"/>
    <n v="0"/>
    <n v="0"/>
    <n v="0"/>
    <n v="35500.980000000003"/>
    <n v="3631.89"/>
    <n v="3716.56"/>
    <n v="3469.99"/>
    <n v="46319.42"/>
    <n v="246.57000000000016"/>
  </r>
  <r>
    <x v="6"/>
    <x v="1"/>
    <x v="0"/>
    <s v="2684200"/>
    <n v="713092"/>
    <s v="Allocated Benefits-Physician"/>
    <s v="Rheumatology Prof Fees"/>
    <x v="0"/>
    <m/>
    <n v="6275.05"/>
    <n v="5868.89"/>
    <n v="6097.04"/>
    <n v="6311.2"/>
    <n v="6280.07"/>
    <n v="6427.95"/>
    <n v="7433.1"/>
    <n v="6747.68"/>
    <n v="-29191.95"/>
    <n v="2276.16"/>
    <n v="2329.23"/>
    <n v="2174.69"/>
    <n v="29029.109999999993"/>
    <n v="154.53999999999996"/>
  </r>
  <r>
    <x v="7"/>
    <x v="1"/>
    <x v="0"/>
    <s v="2684200"/>
    <n v="718040"/>
    <s v="Contract Svcs-Laboratory"/>
    <s v="Rheumatology Prof Fees"/>
    <x v="0"/>
    <m/>
    <n v="63"/>
    <n v="0"/>
    <n v="0"/>
    <n v="0"/>
    <n v="0"/>
    <n v="0"/>
    <n v="0"/>
    <n v="0"/>
    <n v="0"/>
    <n v="0"/>
    <n v="0"/>
    <n v="0"/>
    <n v="63"/>
    <n v="0"/>
  </r>
  <r>
    <x v="11"/>
    <x v="1"/>
    <x v="0"/>
    <s v="2684200"/>
    <n v="721250"/>
    <s v="Supplies-Pharmacy Drugs - Billable"/>
    <s v="Rheumatology Prof Fees"/>
    <x v="0"/>
    <m/>
    <n v="0"/>
    <n v="1153.97"/>
    <n v="2903.68"/>
    <n v="5249.13"/>
    <n v="1153.97"/>
    <n v="1153.97"/>
    <n v="1153.97"/>
    <n v="2377.1799999999998"/>
    <n v="564.95000000000005"/>
    <n v="6825.79"/>
    <n v="7167.91"/>
    <n v="0"/>
    <n v="29704.519999999997"/>
    <n v="7167.91"/>
  </r>
  <r>
    <x v="0"/>
    <x v="1"/>
    <x v="0"/>
    <s v="2684200"/>
    <n v="740022"/>
    <s v="Education-Physician"/>
    <s v="Rheumatology Prof Fees"/>
    <x v="0"/>
    <m/>
    <n v="0"/>
    <n v="0"/>
    <n v="0"/>
    <n v="0"/>
    <n v="0"/>
    <n v="0"/>
    <n v="0"/>
    <n v="0"/>
    <n v="100"/>
    <n v="495"/>
    <n v="0"/>
    <n v="0"/>
    <n v="595"/>
    <n v="0"/>
  </r>
  <r>
    <x v="0"/>
    <x v="1"/>
    <x v="0"/>
    <s v="2684200"/>
    <n v="740022"/>
    <s v="Books-Physician"/>
    <s v="Rheumatology Prof Fees"/>
    <x v="0"/>
    <n v="2000"/>
    <n v="1316"/>
    <n v="0"/>
    <n v="0"/>
    <n v="125.81"/>
    <n v="0"/>
    <n v="0"/>
    <n v="0"/>
    <n v="0"/>
    <n v="0"/>
    <n v="0"/>
    <n v="0"/>
    <n v="0"/>
    <n v="1441.81"/>
    <n v="0"/>
  </r>
  <r>
    <x v="8"/>
    <x v="1"/>
    <x v="0"/>
    <s v="2684200"/>
    <n v="741012"/>
    <s v="Physician Liab Insurance-CHI Program"/>
    <s v="Rheumatology Prof Fees"/>
    <x v="0"/>
    <m/>
    <n v="852.6"/>
    <n v="852.6"/>
    <n v="852.6"/>
    <n v="852.6"/>
    <n v="852.61"/>
    <n v="852.59"/>
    <n v="852.61"/>
    <n v="852.59"/>
    <n v="852.61"/>
    <n v="852.59"/>
    <n v="852.61"/>
    <n v="852.59"/>
    <n v="10231.200000000001"/>
    <n v="1.999999999998181E-2"/>
  </r>
  <r>
    <x v="0"/>
    <x v="1"/>
    <x v="0"/>
    <s v="2684200"/>
    <n v="743022"/>
    <s v="Dues-Physician"/>
    <s v="Rheumatology Prof Fees"/>
    <x v="0"/>
    <m/>
    <n v="0"/>
    <n v="0"/>
    <n v="0"/>
    <n v="0"/>
    <n v="0"/>
    <n v="0"/>
    <n v="0"/>
    <n v="2075"/>
    <n v="0"/>
    <n v="0"/>
    <n v="0"/>
    <n v="0"/>
    <n v="2075"/>
    <n v="0"/>
  </r>
  <r>
    <x v="0"/>
    <x v="1"/>
    <x v="0"/>
    <s v="2684200"/>
    <n v="743042"/>
    <s v="Subscriptions-Physician"/>
    <s v="Rheumatology Prof Fees"/>
    <x v="0"/>
    <m/>
    <n v="0"/>
    <n v="0"/>
    <n v="0"/>
    <n v="125.81"/>
    <n v="0"/>
    <n v="0"/>
    <n v="0"/>
    <n v="0"/>
    <n v="0"/>
    <n v="0"/>
    <n v="0"/>
    <n v="0"/>
    <n v="125.81"/>
    <n v="0"/>
  </r>
  <r>
    <x v="0"/>
    <x v="1"/>
    <x v="0"/>
    <s v="2684200"/>
    <n v="744012"/>
    <s v="Recruitment-Physician"/>
    <s v="Rheumatology Prof Fees"/>
    <x v="0"/>
    <m/>
    <n v="0"/>
    <n v="0"/>
    <n v="0"/>
    <n v="0"/>
    <n v="0"/>
    <n v="0"/>
    <n v="0"/>
    <n v="0"/>
    <n v="0"/>
    <n v="161.9"/>
    <n v="0"/>
    <n v="0"/>
    <n v="161.9"/>
    <n v="0"/>
  </r>
  <r>
    <x v="0"/>
    <x v="1"/>
    <x v="0"/>
    <s v="2684200"/>
    <n v="749510"/>
    <s v="Miscellaneous Expenses"/>
    <s v="Rheumatology Prof Fees"/>
    <x v="0"/>
    <m/>
    <n v="0"/>
    <n v="0"/>
    <n v="0"/>
    <n v="0"/>
    <n v="0"/>
    <n v="0"/>
    <n v="0"/>
    <n v="333.74"/>
    <n v="-333.74"/>
    <n v="0"/>
    <n v="0"/>
    <n v="0"/>
    <n v="0"/>
    <n v="0"/>
  </r>
  <r>
    <x v="0"/>
    <x v="1"/>
    <x v="0"/>
    <s v="2684200"/>
    <n v="749512"/>
    <s v="Licenses-Physician"/>
    <s v="Rheumatology Prof Fees"/>
    <x v="0"/>
    <n v="2000"/>
    <n v="0"/>
    <n v="0"/>
    <n v="0"/>
    <n v="657"/>
    <n v="0"/>
    <n v="657"/>
    <n v="0"/>
    <n v="0"/>
    <n v="0"/>
    <n v="0"/>
    <n v="0"/>
    <n v="0"/>
    <n v="1314"/>
    <n v="0"/>
  </r>
  <r>
    <x v="0"/>
    <x v="1"/>
    <x v="0"/>
    <s v="2684200"/>
    <n v="749532"/>
    <s v="Travel-Physician"/>
    <s v="Rheumatology Prof Fees"/>
    <x v="0"/>
    <m/>
    <n v="0"/>
    <n v="0"/>
    <n v="0"/>
    <n v="0"/>
    <n v="0"/>
    <n v="0"/>
    <n v="0"/>
    <n v="0"/>
    <n v="0"/>
    <n v="1994.41"/>
    <n v="0"/>
    <n v="0"/>
    <n v="1994.41"/>
    <n v="0"/>
  </r>
  <r>
    <x v="0"/>
    <x v="1"/>
    <x v="0"/>
    <s v="2684200"/>
    <n v="749532"/>
    <s v="Vehicle Expense-Physician"/>
    <s v="Rheumatology Prof Fees"/>
    <x v="0"/>
    <n v="2001"/>
    <n v="0"/>
    <n v="0"/>
    <n v="0"/>
    <n v="0"/>
    <n v="0"/>
    <n v="0"/>
    <n v="0"/>
    <n v="0"/>
    <n v="233.74"/>
    <n v="0"/>
    <n v="0"/>
    <n v="0"/>
    <n v="233.74"/>
    <n v="0"/>
  </r>
  <r>
    <x v="9"/>
    <x v="1"/>
    <x v="0"/>
    <s v="2684200"/>
    <n v="800015"/>
    <s v="Interest Income-Ext to CHI"/>
    <s v="Rheumatology Prof Fees"/>
    <x v="0"/>
    <m/>
    <n v="-77.849999999999994"/>
    <n v="-73.959999999999994"/>
    <n v="-67.8"/>
    <n v="-66.17"/>
    <n v="-60.27"/>
    <n v="-58.39"/>
    <n v="-54.49"/>
    <n v="-45.7"/>
    <n v="-46.71"/>
    <n v="-41.43"/>
    <n v="-38.92"/>
    <n v="-33.9"/>
    <n v="-665.58999999999992"/>
    <n v="-5.0200000000000031"/>
  </r>
  <r>
    <x v="1"/>
    <x v="1"/>
    <x v="0"/>
    <s v="2685200"/>
    <n v="400029"/>
    <s v="MD Practice Other Rev--Medicare"/>
    <s v="Medical Oncology-Bremerton"/>
    <x v="0"/>
    <n v="1100"/>
    <n v="0"/>
    <n v="0"/>
    <n v="0"/>
    <n v="0"/>
    <n v="-9"/>
    <n v="0"/>
    <n v="0"/>
    <n v="0"/>
    <n v="0"/>
    <n v="0"/>
    <n v="0"/>
    <n v="0"/>
    <n v="-9"/>
    <n v="0"/>
  </r>
  <r>
    <x v="1"/>
    <x v="1"/>
    <x v="0"/>
    <s v="2685200"/>
    <n v="400029"/>
    <s v="MD Practice Other Rev--Managed Care"/>
    <s v="Medical Oncology-Bremerton"/>
    <x v="0"/>
    <n v="1400"/>
    <n v="0"/>
    <n v="-72"/>
    <n v="-24"/>
    <n v="0"/>
    <n v="0"/>
    <n v="0"/>
    <n v="0"/>
    <n v="0"/>
    <n v="0"/>
    <n v="0"/>
    <n v="0"/>
    <n v="0"/>
    <n v="-96"/>
    <n v="0"/>
  </r>
  <r>
    <x v="1"/>
    <x v="1"/>
    <x v="0"/>
    <s v="2685200"/>
    <n v="400029"/>
    <s v="MD Practice Other Rev--Other"/>
    <s v="Medical Oncology-Bremerton"/>
    <x v="0"/>
    <n v="1700"/>
    <n v="0"/>
    <n v="-24"/>
    <n v="0"/>
    <n v="0"/>
    <n v="0"/>
    <n v="0"/>
    <n v="0"/>
    <n v="0"/>
    <n v="0"/>
    <n v="0"/>
    <n v="0"/>
    <n v="0"/>
    <n v="-24"/>
    <n v="0"/>
  </r>
  <r>
    <x v="1"/>
    <x v="1"/>
    <x v="0"/>
    <s v="2685200"/>
    <n v="400040"/>
    <s v="Physician Svcs Rev--Medicare"/>
    <s v="Medical Oncology-Bremerton"/>
    <x v="0"/>
    <n v="1100"/>
    <n v="-172540"/>
    <n v="-141537"/>
    <n v="-170174"/>
    <n v="-200702"/>
    <n v="-148152"/>
    <n v="-144121"/>
    <n v="-182036"/>
    <n v="-160808"/>
    <n v="-168388"/>
    <n v="-194642"/>
    <n v="-161204"/>
    <n v="-156721"/>
    <n v="-2001025"/>
    <n v="-4483"/>
  </r>
  <r>
    <x v="1"/>
    <x v="1"/>
    <x v="0"/>
    <s v="2685200"/>
    <n v="400040"/>
    <s v="Physician Svcs Rev--Medicaid"/>
    <s v="Medical Oncology-Bremerton"/>
    <x v="0"/>
    <n v="1200"/>
    <n v="-30241"/>
    <n v="-24008"/>
    <n v="-29604"/>
    <n v="-35684"/>
    <n v="-25765"/>
    <n v="-24266"/>
    <n v="-34588"/>
    <n v="-27412"/>
    <n v="-31546"/>
    <n v="-44028"/>
    <n v="-39973"/>
    <n v="-61541"/>
    <n v="-408656"/>
    <n v="21568"/>
  </r>
  <r>
    <x v="1"/>
    <x v="1"/>
    <x v="0"/>
    <s v="2685200"/>
    <n v="400040"/>
    <s v="Physician Svcs Rev--Comm Insurance"/>
    <s v="Medical Oncology-Bremerton"/>
    <x v="0"/>
    <n v="1300"/>
    <n v="-3109"/>
    <n v="-3187"/>
    <n v="-2844"/>
    <n v="1836"/>
    <n v="-5235"/>
    <n v="-2578"/>
    <n v="-3150"/>
    <n v="-5472"/>
    <n v="-6783"/>
    <n v="-4883"/>
    <n v="-4633"/>
    <n v="-6712"/>
    <n v="-46750"/>
    <n v="2079"/>
  </r>
  <r>
    <x v="1"/>
    <x v="1"/>
    <x v="0"/>
    <s v="2685200"/>
    <n v="400040"/>
    <s v="Physician Svcs Rev--BCBS Comm"/>
    <s v="Medical Oncology-Bremerton"/>
    <x v="0"/>
    <n v="1301"/>
    <n v="-8958"/>
    <n v="-9913"/>
    <n v="-10588"/>
    <n v="-7980"/>
    <n v="-12930"/>
    <n v="-11696"/>
    <n v="-13040"/>
    <n v="-11273"/>
    <n v="-13336"/>
    <n v="-11676"/>
    <n v="-23336"/>
    <n v="-18858"/>
    <n v="-153584"/>
    <n v="-4478"/>
  </r>
  <r>
    <x v="1"/>
    <x v="1"/>
    <x v="0"/>
    <s v="2685200"/>
    <n v="400040"/>
    <s v="Physician Svcs Rev--Managed Care"/>
    <s v="Medical Oncology-Bremerton"/>
    <x v="0"/>
    <n v="1400"/>
    <n v="-42142"/>
    <n v="-37900"/>
    <n v="-66548"/>
    <n v="-76443"/>
    <n v="-43899"/>
    <n v="-50156"/>
    <n v="-43281"/>
    <n v="-58908"/>
    <n v="-58476"/>
    <n v="-61393"/>
    <n v="-44344"/>
    <n v="-42533"/>
    <n v="-626023"/>
    <n v="-1811"/>
  </r>
  <r>
    <x v="1"/>
    <x v="1"/>
    <x v="0"/>
    <s v="2685200"/>
    <n v="400040"/>
    <s v="Physician Svcs Rev--Self Pay"/>
    <s v="Medical Oncology-Bremerton"/>
    <x v="0"/>
    <n v="1500"/>
    <n v="-3553"/>
    <n v="-282"/>
    <n v="401"/>
    <n v="-2294"/>
    <n v="-1633"/>
    <n v="89"/>
    <n v="-1558"/>
    <n v="-1172"/>
    <n v="-2293"/>
    <n v="-4408"/>
    <n v="-4189"/>
    <n v="-591"/>
    <n v="-21483"/>
    <n v="-3598"/>
  </r>
  <r>
    <x v="1"/>
    <x v="1"/>
    <x v="0"/>
    <s v="2685200"/>
    <n v="400040"/>
    <s v="Physician Svcs Rev--Other"/>
    <s v="Medical Oncology-Bremerton"/>
    <x v="0"/>
    <n v="1700"/>
    <n v="-11012"/>
    <n v="-6850"/>
    <n v="-20301"/>
    <n v="-53920"/>
    <n v="-11215"/>
    <n v="-11765"/>
    <n v="-5052"/>
    <n v="-16489"/>
    <n v="-18531"/>
    <n v="-10687"/>
    <n v="-14730"/>
    <n v="-11890"/>
    <n v="-192442"/>
    <n v="-2840"/>
  </r>
  <r>
    <x v="2"/>
    <x v="1"/>
    <x v="0"/>
    <s v="2685200"/>
    <n v="450029"/>
    <s v="Contr Allow--MD Other-Medicare"/>
    <s v="Medical Oncology-Bremerton"/>
    <x v="0"/>
    <n v="1100"/>
    <n v="0"/>
    <n v="0"/>
    <n v="0"/>
    <n v="0"/>
    <n v="6.13"/>
    <n v="0"/>
    <n v="0"/>
    <n v="0"/>
    <n v="0"/>
    <n v="0"/>
    <n v="0"/>
    <n v="0"/>
    <n v="6.13"/>
    <n v="0"/>
  </r>
  <r>
    <x v="2"/>
    <x v="1"/>
    <x v="0"/>
    <s v="2685200"/>
    <n v="450029"/>
    <s v="Contr Allow--MD Other-Managed Care"/>
    <s v="Medical Oncology-Bremerton"/>
    <x v="0"/>
    <n v="1400"/>
    <n v="0"/>
    <n v="0"/>
    <n v="30.78"/>
    <n v="15.39"/>
    <n v="0"/>
    <n v="0"/>
    <n v="0"/>
    <n v="0"/>
    <n v="0"/>
    <n v="0"/>
    <n v="0"/>
    <n v="0"/>
    <n v="46.17"/>
    <n v="0"/>
  </r>
  <r>
    <x v="2"/>
    <x v="1"/>
    <x v="0"/>
    <s v="2685200"/>
    <n v="450029"/>
    <s v="Admin Adjust-MD Other-Self Pay"/>
    <s v="Medical Oncology-Bremerton"/>
    <x v="0"/>
    <n v="1600"/>
    <n v="0"/>
    <n v="24"/>
    <n v="0"/>
    <n v="0"/>
    <n v="0"/>
    <n v="0"/>
    <n v="0"/>
    <n v="0"/>
    <n v="0"/>
    <n v="0"/>
    <n v="0"/>
    <n v="0"/>
    <n v="24"/>
    <n v="0"/>
  </r>
  <r>
    <x v="2"/>
    <x v="1"/>
    <x v="0"/>
    <s v="2685200"/>
    <n v="450029"/>
    <s v="Contr Allow--MD Other-Other"/>
    <s v="Medical Oncology-Bremerton"/>
    <x v="0"/>
    <n v="1700"/>
    <n v="0"/>
    <n v="0"/>
    <n v="17"/>
    <n v="0"/>
    <n v="0"/>
    <n v="0"/>
    <n v="0"/>
    <n v="0"/>
    <n v="0"/>
    <n v="0"/>
    <n v="0"/>
    <n v="0"/>
    <n v="17"/>
    <n v="0"/>
  </r>
  <r>
    <x v="2"/>
    <x v="1"/>
    <x v="0"/>
    <s v="2685200"/>
    <n v="450040"/>
    <s v="Contr Allow--Phys Svcs--Mcare"/>
    <s v="Medical Oncology-Bremerton"/>
    <x v="0"/>
    <n v="1100"/>
    <n v="96717.78"/>
    <n v="88696.88"/>
    <n v="102883.15"/>
    <n v="144651.59"/>
    <n v="89618.69"/>
    <n v="92519.6"/>
    <n v="115852.63"/>
    <n v="93623.52"/>
    <n v="112695.82"/>
    <n v="117000.08"/>
    <n v="113002.69"/>
    <n v="97188.51"/>
    <n v="1264450.9400000002"/>
    <n v="15814.180000000008"/>
  </r>
  <r>
    <x v="2"/>
    <x v="1"/>
    <x v="0"/>
    <s v="2685200"/>
    <n v="450040"/>
    <s v="Contr Allow--Phys Svcs--Mcaid"/>
    <s v="Medical Oncology-Bremerton"/>
    <x v="0"/>
    <n v="1200"/>
    <n v="23745.1"/>
    <n v="27147.66"/>
    <n v="21474.880000000001"/>
    <n v="28160.91"/>
    <n v="14847.17"/>
    <n v="16674.96"/>
    <n v="24161.82"/>
    <n v="18703.57"/>
    <n v="27864.43"/>
    <n v="28266.799999999999"/>
    <n v="32215.79"/>
    <n v="31204.59"/>
    <n v="294467.68"/>
    <n v="1011.2000000000007"/>
  </r>
  <r>
    <x v="2"/>
    <x v="1"/>
    <x v="0"/>
    <s v="2685200"/>
    <n v="450040"/>
    <s v="Contr Allow--Phys Svcs--Comm Insurance"/>
    <s v="Medical Oncology-Bremerton"/>
    <x v="0"/>
    <n v="1300"/>
    <n v="1896.77"/>
    <n v="3101.78"/>
    <n v="2334.83"/>
    <n v="-612.88"/>
    <n v="1635.19"/>
    <n v="1196.48"/>
    <n v="1265.19"/>
    <n v="1135.03"/>
    <n v="2110.9299999999998"/>
    <n v="2394.4899999999998"/>
    <n v="2299.94"/>
    <n v="2466.1"/>
    <n v="21223.85"/>
    <n v="-166.15999999999985"/>
  </r>
  <r>
    <x v="2"/>
    <x v="1"/>
    <x v="0"/>
    <s v="2685200"/>
    <n v="450040"/>
    <s v="Contr Allow--Phys Svcs--BCBS Comm Ins"/>
    <s v="Medical Oncology-Bremerton"/>
    <x v="0"/>
    <n v="1301"/>
    <n v="7102.54"/>
    <n v="4156.3599999999997"/>
    <n v="5013.78"/>
    <n v="3129.03"/>
    <n v="6410.58"/>
    <n v="4257.8100000000004"/>
    <n v="6735.82"/>
    <n v="4626.95"/>
    <n v="7609.3"/>
    <n v="5392.24"/>
    <n v="9464.5400000000009"/>
    <n v="10646.13"/>
    <n v="74545.08"/>
    <n v="-1181.5899999999983"/>
  </r>
  <r>
    <x v="2"/>
    <x v="1"/>
    <x v="0"/>
    <s v="2685200"/>
    <n v="450040"/>
    <s v="Contr Allow--Phys Svcs--Managed Care"/>
    <s v="Medical Oncology-Bremerton"/>
    <x v="0"/>
    <n v="1400"/>
    <n v="20816.73"/>
    <n v="22894.27"/>
    <n v="21584.19"/>
    <n v="39740.86"/>
    <n v="22507.78"/>
    <n v="22390.31"/>
    <n v="18222.57"/>
    <n v="19109.689999999999"/>
    <n v="22391.83"/>
    <n v="31177.1"/>
    <n v="21602.92"/>
    <n v="21755.87"/>
    <n v="284194.12000000005"/>
    <n v="-152.95000000000073"/>
  </r>
  <r>
    <x v="2"/>
    <x v="1"/>
    <x v="0"/>
    <s v="2685200"/>
    <n v="450040"/>
    <s v="Contr Allow--Phys Svcs--BCBS Mgnd Care"/>
    <s v="Medical Oncology-Bremerton"/>
    <x v="0"/>
    <n v="1401"/>
    <n v="6322.32"/>
    <n v="-15738.57"/>
    <n v="19893.12"/>
    <n v="-12785.47"/>
    <n v="7297.45"/>
    <n v="4032.63"/>
    <n v="9279.9"/>
    <n v="22529.31"/>
    <n v="3561.65"/>
    <n v="5333.84"/>
    <n v="-5922.82"/>
    <n v="7735.67"/>
    <n v="51539.030000000006"/>
    <n v="-13658.49"/>
  </r>
  <r>
    <x v="2"/>
    <x v="1"/>
    <x v="0"/>
    <s v="2685200"/>
    <n v="450040"/>
    <s v="Admin Adjust-Phys Svcs-Self Pay"/>
    <s v="Medical Oncology-Bremerton"/>
    <x v="0"/>
    <n v="1600"/>
    <n v="1435.77"/>
    <n v="6267.78"/>
    <n v="-116.45"/>
    <n v="1413.24"/>
    <n v="708.76"/>
    <n v="29.53"/>
    <n v="577.41"/>
    <n v="511.68"/>
    <n v="913.29"/>
    <n v="1666.32"/>
    <n v="1587.61"/>
    <n v="545.04"/>
    <n v="15539.980000000003"/>
    <n v="1042.57"/>
  </r>
  <r>
    <x v="2"/>
    <x v="1"/>
    <x v="0"/>
    <s v="2685200"/>
    <n v="450040"/>
    <s v="Contr Allow--Phys Svcs--Other"/>
    <s v="Medical Oncology-Bremerton"/>
    <x v="0"/>
    <n v="1700"/>
    <n v="6366.5"/>
    <n v="3708.71"/>
    <n v="7558.61"/>
    <n v="32392.240000000002"/>
    <n v="7689.89"/>
    <n v="8885.4599999999991"/>
    <n v="3986.9"/>
    <n v="7242.12"/>
    <n v="4482.6499999999996"/>
    <n v="11990.23"/>
    <n v="9188.41"/>
    <n v="8105.25"/>
    <n v="111596.96999999999"/>
    <n v="1083.1599999999999"/>
  </r>
  <r>
    <x v="3"/>
    <x v="1"/>
    <x v="0"/>
    <s v="2685200"/>
    <n v="470040"/>
    <s v="Charity Care-Physician Svcs"/>
    <s v="Medical Oncology-Bremerton"/>
    <x v="0"/>
    <m/>
    <n v="1709.9"/>
    <n v="1067.68"/>
    <n v="2609.08"/>
    <n v="1160.82"/>
    <n v="704.09"/>
    <n v="992.37"/>
    <n v="2354.2600000000002"/>
    <n v="1882.44"/>
    <n v="1625.15"/>
    <n v="1276.72"/>
    <n v="843.06"/>
    <n v="3082.55"/>
    <n v="19308.12"/>
    <n v="-2239.4900000000002"/>
  </r>
  <r>
    <x v="4"/>
    <x v="1"/>
    <x v="0"/>
    <s v="2685200"/>
    <n v="490010"/>
    <s v="Provision for Bad Debts"/>
    <s v="Medical Oncology-Bremerton"/>
    <x v="0"/>
    <m/>
    <n v="2594.16"/>
    <n v="2821.1"/>
    <n v="4649.21"/>
    <n v="-545.91"/>
    <n v="3996.34"/>
    <n v="1255.26"/>
    <n v="1580.77"/>
    <n v="2416.14"/>
    <n v="1338.22"/>
    <n v="-439.51"/>
    <n v="-596.72"/>
    <n v="6210.99"/>
    <n v="25280.050000000003"/>
    <n v="-6807.71"/>
  </r>
  <r>
    <x v="14"/>
    <x v="1"/>
    <x v="0"/>
    <s v="2685200"/>
    <n v="600050"/>
    <s v="Miscellaneous Revenue"/>
    <s v="Medical Oncology-Bremerton"/>
    <x v="0"/>
    <m/>
    <n v="-13860"/>
    <n v="0"/>
    <n v="0"/>
    <n v="0"/>
    <n v="-2137.5"/>
    <n v="0"/>
    <n v="0"/>
    <n v="-3787.5"/>
    <n v="0"/>
    <n v="0"/>
    <n v="0"/>
    <n v="0"/>
    <n v="-19785"/>
    <n v="0"/>
  </r>
  <r>
    <x v="5"/>
    <x v="1"/>
    <x v="0"/>
    <s v="2685200"/>
    <n v="700020"/>
    <s v="Salaries-Physician Admin-Other"/>
    <s v="Medical Oncology-Bremerton"/>
    <x v="0"/>
    <n v="2000"/>
    <n v="13860"/>
    <n v="0"/>
    <n v="0"/>
    <n v="0"/>
    <n v="2137.5"/>
    <n v="0"/>
    <n v="0"/>
    <n v="3787.5"/>
    <n v="0"/>
    <n v="0"/>
    <n v="0"/>
    <n v="0"/>
    <n v="19785"/>
    <n v="0"/>
  </r>
  <r>
    <x v="5"/>
    <x v="1"/>
    <x v="0"/>
    <s v="2685200"/>
    <n v="700022"/>
    <s v="Salaries-Physician-Productive"/>
    <s v="Medical Oncology-Bremerton"/>
    <x v="0"/>
    <m/>
    <n v="138235.97"/>
    <n v="127453.78"/>
    <n v="132827.12"/>
    <n v="129801.03"/>
    <n v="166220.70000000001"/>
    <n v="101226.66"/>
    <n v="151668.45000000001"/>
    <n v="156945.79999999999"/>
    <n v="148258.48000000001"/>
    <n v="149960.37"/>
    <n v="152593.07999999999"/>
    <n v="128268.67"/>
    <n v="1683460.1100000003"/>
    <n v="24324.409999999989"/>
  </r>
  <r>
    <x v="5"/>
    <x v="1"/>
    <x v="0"/>
    <s v="2685200"/>
    <n v="700024"/>
    <s v="Salaries-Advanced Practice Clinician-Productive"/>
    <s v="Medical Oncology-Bremerton"/>
    <x v="0"/>
    <m/>
    <n v="16942.62"/>
    <n v="17416.64"/>
    <n v="14156.27"/>
    <n v="15145.68"/>
    <n v="16909.64"/>
    <n v="13716.36"/>
    <n v="19213.11"/>
    <n v="16483.98"/>
    <n v="16078.12"/>
    <n v="16382.1"/>
    <n v="13477.25"/>
    <n v="13881.12"/>
    <n v="189802.89"/>
    <n v="-403.8700000000008"/>
  </r>
  <r>
    <x v="5"/>
    <x v="1"/>
    <x v="0"/>
    <s v="2685200"/>
    <n v="700024"/>
    <s v="Salaries-Advanced Practice Clinician-Other"/>
    <s v="Medical Oncology-Bremerton"/>
    <x v="0"/>
    <n v="2000"/>
    <n v="130"/>
    <n v="0"/>
    <n v="0"/>
    <n v="534"/>
    <n v="534"/>
    <n v="1885.4"/>
    <n v="-53.4"/>
    <n v="748.69"/>
    <n v="1295.78"/>
    <n v="779.92"/>
    <n v="2144.85"/>
    <n v="-115.18"/>
    <n v="7884.0599999999995"/>
    <n v="2260.0299999999997"/>
  </r>
  <r>
    <x v="5"/>
    <x v="1"/>
    <x v="0"/>
    <s v="2685200"/>
    <n v="700026"/>
    <s v="Salaries-RN-Productive"/>
    <s v="Medical Oncology-Bremerton"/>
    <x v="0"/>
    <m/>
    <n v="281.04000000000002"/>
    <n v="467.8"/>
    <n v="241.24"/>
    <n v="244.79"/>
    <n v="897.77"/>
    <n v="187.6"/>
    <n v="147.1"/>
    <n v="60.27"/>
    <n v="664.11"/>
    <n v="1075.74"/>
    <n v="470.25"/>
    <n v="213.88"/>
    <n v="4951.59"/>
    <n v="256.37"/>
  </r>
  <r>
    <x v="5"/>
    <x v="1"/>
    <x v="0"/>
    <s v="2685200"/>
    <n v="700026"/>
    <s v="Salaries-RN-Other"/>
    <s v="Medical Oncology-Bremerton"/>
    <x v="0"/>
    <n v="2000"/>
    <n v="6.06"/>
    <n v="10.29"/>
    <n v="5.18"/>
    <n v="5.29"/>
    <n v="18.989999999999998"/>
    <n v="9.5"/>
    <n v="3.15"/>
    <n v="1.29"/>
    <n v="13.88"/>
    <n v="22.55"/>
    <n v="9.8000000000000007"/>
    <n v="4.5599999999999996"/>
    <n v="110.53999999999999"/>
    <n v="5.2400000000000011"/>
  </r>
  <r>
    <x v="5"/>
    <x v="1"/>
    <x v="0"/>
    <s v="2685200"/>
    <n v="700032"/>
    <s v="Salaries-Other Pat Care Providers-Productive"/>
    <s v="Medical Oncology-Bremerton"/>
    <x v="0"/>
    <m/>
    <n v="0"/>
    <n v="0"/>
    <n v="572.99"/>
    <n v="-139.51"/>
    <n v="0"/>
    <n v="0"/>
    <n v="0"/>
    <n v="0"/>
    <n v="0"/>
    <n v="0"/>
    <n v="0"/>
    <n v="0"/>
    <n v="433.48"/>
    <n v="0"/>
  </r>
  <r>
    <x v="5"/>
    <x v="1"/>
    <x v="0"/>
    <s v="2685200"/>
    <n v="700032"/>
    <s v="Salaries-Other Pat Care Providers-OT"/>
    <s v="Medical Oncology-Bremerton"/>
    <x v="0"/>
    <n v="1000"/>
    <n v="0"/>
    <n v="0"/>
    <n v="112.11"/>
    <n v="-37.369999999999997"/>
    <n v="0"/>
    <n v="0"/>
    <n v="0"/>
    <n v="0"/>
    <n v="0"/>
    <n v="0"/>
    <n v="0"/>
    <n v="0"/>
    <n v="74.740000000000009"/>
    <n v="0"/>
  </r>
  <r>
    <x v="5"/>
    <x v="1"/>
    <x v="0"/>
    <s v="2685200"/>
    <n v="700062"/>
    <s v="Salaries-Physician-Non-productive"/>
    <s v="Medical Oncology-Bremerton"/>
    <x v="0"/>
    <m/>
    <n v="25141.759999999998"/>
    <n v="43678.23"/>
    <n v="16946.060000000001"/>
    <n v="26547.86"/>
    <n v="6032.17"/>
    <n v="45861.94"/>
    <n v="13446.89"/>
    <n v="-15674.57"/>
    <n v="-1917.47"/>
    <n v="42200.38"/>
    <n v="17099.580000000002"/>
    <n v="184090.59"/>
    <n v="403453.42000000004"/>
    <n v="-166991.01"/>
  </r>
  <r>
    <x v="5"/>
    <x v="1"/>
    <x v="0"/>
    <s v="2685200"/>
    <n v="700064"/>
    <s v="Salaries-Advanced Practice Clinician-Non-Productive"/>
    <s v="Medical Oncology-Bremerton"/>
    <x v="0"/>
    <m/>
    <n v="4387.0600000000004"/>
    <n v="2422.08"/>
    <n v="4492.16"/>
    <n v="5106.6899999999996"/>
    <n v="1995.94"/>
    <n v="4348.63"/>
    <n v="1371.58"/>
    <n v="1341.72"/>
    <n v="1774.84"/>
    <n v="3528.97"/>
    <n v="5879.05"/>
    <n v="3906.72"/>
    <n v="40555.440000000002"/>
    <n v="1972.3300000000004"/>
  </r>
  <r>
    <x v="6"/>
    <x v="1"/>
    <x v="0"/>
    <s v="2685200"/>
    <n v="713010"/>
    <s v="Benefits-FICA/Medicare"/>
    <s v="Medical Oncology-Bremerton"/>
    <x v="0"/>
    <m/>
    <n v="4218.5"/>
    <n v="4214.9799999999996"/>
    <n v="3478.81"/>
    <n v="3624.53"/>
    <n v="3641.58"/>
    <n v="7734.91"/>
    <n v="13915.42"/>
    <n v="13860.47"/>
    <n v="5153.92"/>
    <n v="6410.46"/>
    <n v="3230.42"/>
    <n v="3347.66"/>
    <n v="72831.66"/>
    <n v="-117.23999999999978"/>
  </r>
  <r>
    <x v="6"/>
    <x v="1"/>
    <x v="0"/>
    <s v="2685200"/>
    <n v="713090"/>
    <s v="Benefits-Allocated Amounts"/>
    <s v="Medical Oncology-Bremerton"/>
    <x v="0"/>
    <m/>
    <n v="0"/>
    <n v="0"/>
    <n v="0"/>
    <n v="0"/>
    <n v="0"/>
    <n v="0"/>
    <n v="0"/>
    <n v="0"/>
    <n v="1508.67"/>
    <n v="198.51"/>
    <n v="177.87"/>
    <n v="265.82"/>
    <n v="2150.8700000000003"/>
    <n v="-87.949999999999989"/>
  </r>
  <r>
    <x v="6"/>
    <x v="1"/>
    <x v="0"/>
    <s v="2685200"/>
    <n v="713092"/>
    <s v="Allocated Benefits-Physician"/>
    <s v="Medical Oncology-Bremerton"/>
    <x v="0"/>
    <m/>
    <n v="8927.8799999999992"/>
    <n v="7681.72"/>
    <n v="7657.45"/>
    <n v="7324.62"/>
    <n v="8087.24"/>
    <n v="8024.91"/>
    <n v="10020.879999999999"/>
    <n v="9321.08"/>
    <n v="5474.44"/>
    <n v="9542.2000000000007"/>
    <n v="8550.1200000000008"/>
    <n v="12777.52"/>
    <n v="103390.05999999998"/>
    <n v="-4227.3999999999996"/>
  </r>
  <r>
    <x v="6"/>
    <x v="1"/>
    <x v="0"/>
    <s v="2685200"/>
    <n v="713093"/>
    <s v="Allocated Benefits-Advanced Practice Clinician"/>
    <s v="Medical Oncology-Bremerton"/>
    <x v="0"/>
    <m/>
    <n v="3974.13"/>
    <n v="3419.41"/>
    <n v="3408.61"/>
    <n v="3260.46"/>
    <n v="3599.93"/>
    <n v="3572.18"/>
    <n v="4460.66"/>
    <n v="4149.16"/>
    <n v="8055.42"/>
    <n v="4986.87"/>
    <n v="4468.3999999999996"/>
    <n v="6677.69"/>
    <n v="54032.920000000006"/>
    <n v="-2209.29"/>
  </r>
  <r>
    <x v="7"/>
    <x v="1"/>
    <x v="0"/>
    <s v="2685200"/>
    <n v="718050"/>
    <s v="Document Shredding/Storage"/>
    <s v="Medical Oncology-Bremerton"/>
    <x v="0"/>
    <n v="1012"/>
    <n v="0"/>
    <n v="138.12"/>
    <n v="-32.119999999999997"/>
    <n v="0"/>
    <n v="0"/>
    <n v="0"/>
    <n v="0"/>
    <n v="0"/>
    <n v="0"/>
    <n v="0"/>
    <n v="0"/>
    <n v="0"/>
    <n v="106"/>
    <n v="0"/>
  </r>
  <r>
    <x v="7"/>
    <x v="1"/>
    <x v="0"/>
    <s v="2685200"/>
    <n v="718050"/>
    <s v="Miscellaneous Purchased Svcs"/>
    <s v="Medical Oncology-Bremerton"/>
    <x v="0"/>
    <n v="1020"/>
    <n v="0"/>
    <n v="3260"/>
    <n v="2086.54"/>
    <n v="0"/>
    <n v="0"/>
    <n v="2051.88"/>
    <n v="3260"/>
    <n v="1630"/>
    <n v="3260"/>
    <n v="1630"/>
    <n v="1630"/>
    <n v="1630"/>
    <n v="20438.419999999998"/>
    <n v="0"/>
  </r>
  <r>
    <x v="7"/>
    <x v="1"/>
    <x v="0"/>
    <s v="2685200"/>
    <n v="718070"/>
    <s v="Contract Srvcs-CHI Clinical Engineering"/>
    <s v="Medical Oncology-Bremerton"/>
    <x v="0"/>
    <m/>
    <n v="1466.47"/>
    <n v="1465.05"/>
    <n v="1833.4"/>
    <n v="1395.47"/>
    <n v="1393.03"/>
    <n v="1393.03"/>
    <n v="1393.03"/>
    <n v="1393.03"/>
    <n v="1393.03"/>
    <n v="1399.39"/>
    <n v="0"/>
    <n v="0"/>
    <n v="14524.930000000002"/>
    <n v="0"/>
  </r>
  <r>
    <x v="11"/>
    <x v="1"/>
    <x v="0"/>
    <s v="2685200"/>
    <n v="721240"/>
    <s v="Supplies-IV Solutions/Supplies - Billable"/>
    <s v="Medical Oncology-Bremerton"/>
    <x v="0"/>
    <m/>
    <n v="1406.02"/>
    <n v="1583.63"/>
    <n v="1485.18"/>
    <n v="878.57"/>
    <n v="1399.44"/>
    <n v="977.78"/>
    <n v="471.47"/>
    <n v="0"/>
    <n v="0"/>
    <n v="0"/>
    <n v="0"/>
    <n v="0"/>
    <n v="8202.09"/>
    <n v="0"/>
  </r>
  <r>
    <x v="11"/>
    <x v="1"/>
    <x v="0"/>
    <s v="2685200"/>
    <n v="721410"/>
    <s v="Supplies-Medical - Nonbillable"/>
    <s v="Medical Oncology-Bremerton"/>
    <x v="0"/>
    <m/>
    <n v="1811.72"/>
    <n v="1629.03"/>
    <n v="1615.63"/>
    <n v="1033.44"/>
    <n v="1669.86"/>
    <n v="1347.42"/>
    <n v="643.05999999999995"/>
    <n v="0"/>
    <n v="0"/>
    <n v="0"/>
    <n v="0"/>
    <n v="957.35"/>
    <n v="10707.509999999998"/>
    <n v="-957.35"/>
  </r>
  <r>
    <x v="11"/>
    <x v="1"/>
    <x v="0"/>
    <s v="2685200"/>
    <n v="721640"/>
    <s v="Supplies-IV Solutions/Supplies - Nonbillable"/>
    <s v="Medical Oncology-Bremerton"/>
    <x v="0"/>
    <m/>
    <n v="750.3"/>
    <n v="576.5"/>
    <n v="379"/>
    <n v="-251"/>
    <n v="512.35"/>
    <n v="210.15"/>
    <n v="0"/>
    <n v="0"/>
    <n v="0"/>
    <n v="0"/>
    <n v="0"/>
    <n v="0"/>
    <n v="2177.3000000000002"/>
    <n v="0"/>
  </r>
  <r>
    <x v="11"/>
    <x v="1"/>
    <x v="0"/>
    <s v="2685200"/>
    <n v="721710"/>
    <s v="Supplies-Laboratory - Nonbillable"/>
    <s v="Medical Oncology-Bremerton"/>
    <x v="0"/>
    <m/>
    <n v="136.69"/>
    <n v="0"/>
    <n v="0"/>
    <n v="0"/>
    <n v="0"/>
    <n v="0"/>
    <n v="0"/>
    <n v="0"/>
    <n v="0"/>
    <n v="0"/>
    <n v="0"/>
    <n v="0"/>
    <n v="136.69"/>
    <n v="0"/>
  </r>
  <r>
    <x v="11"/>
    <x v="1"/>
    <x v="0"/>
    <s v="2685200"/>
    <n v="721810"/>
    <s v="Supplies-Dietary/Cafeteria"/>
    <s v="Medical Oncology-Bremerton"/>
    <x v="0"/>
    <m/>
    <n v="77.41"/>
    <n v="82.52"/>
    <n v="0"/>
    <n v="0"/>
    <n v="0"/>
    <n v="0"/>
    <n v="25.26"/>
    <n v="0"/>
    <n v="0"/>
    <n v="0"/>
    <n v="0"/>
    <n v="0"/>
    <n v="185.19"/>
    <n v="0"/>
  </r>
  <r>
    <x v="11"/>
    <x v="1"/>
    <x v="0"/>
    <s v="2685200"/>
    <n v="721830"/>
    <s v="Supplies-Office"/>
    <s v="Medical Oncology-Bremerton"/>
    <x v="0"/>
    <m/>
    <n v="760.93"/>
    <n v="1068.78"/>
    <n v="938.78"/>
    <n v="1312.66"/>
    <n v="1338.49"/>
    <n v="1161.1300000000001"/>
    <n v="1400.97"/>
    <n v="439.4"/>
    <n v="1317.32"/>
    <n v="275.05"/>
    <n v="0"/>
    <n v="0"/>
    <n v="10013.509999999998"/>
    <n v="0"/>
  </r>
  <r>
    <x v="11"/>
    <x v="1"/>
    <x v="0"/>
    <s v="2685200"/>
    <n v="721870"/>
    <s v="Supplies-Environmental Services"/>
    <s v="Medical Oncology-Bremerton"/>
    <x v="0"/>
    <m/>
    <n v="180.03"/>
    <n v="516.4"/>
    <n v="801.15"/>
    <n v="413.14"/>
    <n v="519.92999999999995"/>
    <n v="457.15"/>
    <n v="0"/>
    <n v="0"/>
    <n v="0"/>
    <n v="0"/>
    <n v="0"/>
    <n v="0"/>
    <n v="2887.7999999999997"/>
    <n v="0"/>
  </r>
  <r>
    <x v="11"/>
    <x v="1"/>
    <x v="0"/>
    <s v="2685200"/>
    <n v="721910"/>
    <s v="Supplies-Small Equipment"/>
    <s v="Medical Oncology-Bremerton"/>
    <x v="0"/>
    <m/>
    <n v="211.65"/>
    <n v="65.13"/>
    <n v="51.83"/>
    <n v="103.66"/>
    <n v="176.72"/>
    <n v="51.83"/>
    <n v="0"/>
    <n v="0"/>
    <n v="0"/>
    <n v="0"/>
    <n v="0"/>
    <n v="0"/>
    <n v="660.82"/>
    <n v="0"/>
  </r>
  <r>
    <x v="11"/>
    <x v="1"/>
    <x v="0"/>
    <s v="2685200"/>
    <n v="721980"/>
    <s v="Supplies-Other"/>
    <s v="Medical Oncology-Bremerton"/>
    <x v="0"/>
    <m/>
    <n v="1483.9"/>
    <n v="860.13"/>
    <n v="0"/>
    <n v="0"/>
    <n v="0"/>
    <n v="927.55"/>
    <n v="800.27"/>
    <n v="239.03"/>
    <n v="817.99"/>
    <n v="546.66"/>
    <n v="608.03"/>
    <n v="254.93"/>
    <n v="6538.49"/>
    <n v="353.09999999999997"/>
  </r>
  <r>
    <x v="11"/>
    <x v="1"/>
    <x v="0"/>
    <s v="2685200"/>
    <n v="722000"/>
    <s v="Supplies-Freight Expense"/>
    <s v="Medical Oncology-Bremerton"/>
    <x v="0"/>
    <m/>
    <n v="51.17"/>
    <n v="16.420000000000002"/>
    <n v="50.76"/>
    <n v="0"/>
    <n v="9.6999999999999993"/>
    <n v="35.01"/>
    <n v="7.99"/>
    <n v="0"/>
    <n v="0"/>
    <n v="0"/>
    <n v="0"/>
    <n v="0"/>
    <n v="171.04999999999998"/>
    <n v="0"/>
  </r>
  <r>
    <x v="12"/>
    <x v="1"/>
    <x v="0"/>
    <s v="2685200"/>
    <n v="730020"/>
    <s v="Rental and Leases-Equipment (DO NOT USE)"/>
    <s v="Medical Oncology-Bremerton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6"/>
    <x v="1"/>
    <x v="0"/>
    <s v="2685200"/>
    <n v="732020"/>
    <s v="Repairs--Clin Equip-Parts-Internal to CHI Programs"/>
    <s v="Medical Oncology-Bremerton"/>
    <x v="0"/>
    <m/>
    <n v="454.08"/>
    <n v="0"/>
    <n v="330.46"/>
    <n v="330.46"/>
    <n v="398.13"/>
    <n v="0"/>
    <n v="0"/>
    <n v="0"/>
    <n v="0"/>
    <n v="0"/>
    <n v="0"/>
    <n v="0"/>
    <n v="1513.13"/>
    <n v="0"/>
  </r>
  <r>
    <x v="16"/>
    <x v="1"/>
    <x v="0"/>
    <s v="2685200"/>
    <n v="732030"/>
    <s v="Repairs---Other"/>
    <s v="Medical Oncology-Bremerton"/>
    <x v="0"/>
    <m/>
    <n v="0"/>
    <n v="0"/>
    <n v="0"/>
    <n v="0"/>
    <n v="0"/>
    <n v="0"/>
    <n v="0"/>
    <n v="159.31"/>
    <n v="482.65"/>
    <n v="0"/>
    <n v="0"/>
    <n v="92.54"/>
    <n v="734.5"/>
    <n v="-92.54"/>
  </r>
  <r>
    <x v="0"/>
    <x v="1"/>
    <x v="0"/>
    <s v="2685200"/>
    <n v="740022"/>
    <s v="Education-Physician"/>
    <s v="Medical Oncology-Bremerton"/>
    <x v="0"/>
    <m/>
    <n v="0"/>
    <n v="0"/>
    <n v="0"/>
    <n v="0"/>
    <n v="1555"/>
    <n v="0"/>
    <n v="780"/>
    <n v="695"/>
    <n v="0"/>
    <n v="0"/>
    <n v="0"/>
    <n v="0"/>
    <n v="3030"/>
    <n v="0"/>
  </r>
  <r>
    <x v="0"/>
    <x v="1"/>
    <x v="0"/>
    <s v="2685200"/>
    <n v="740023"/>
    <s v="Education-Advanced Practice Clinician"/>
    <s v="Medical Oncology-Bremerton"/>
    <x v="0"/>
    <m/>
    <n v="0"/>
    <n v="0"/>
    <n v="0"/>
    <n v="75"/>
    <n v="0"/>
    <n v="0"/>
    <n v="0"/>
    <n v="650"/>
    <n v="0"/>
    <n v="874"/>
    <n v="0"/>
    <n v="0"/>
    <n v="1599"/>
    <n v="0"/>
  </r>
  <r>
    <x v="8"/>
    <x v="1"/>
    <x v="0"/>
    <s v="2685200"/>
    <n v="741012"/>
    <s v="Physician Liab Insurance-CHI Program"/>
    <s v="Medical Oncology-Bremerton"/>
    <x v="0"/>
    <m/>
    <n v="1823.62"/>
    <n v="1823.62"/>
    <n v="1823.62"/>
    <n v="1823.62"/>
    <n v="1823.62"/>
    <n v="1823.61"/>
    <n v="1823.62"/>
    <n v="1823.61"/>
    <n v="1823.62"/>
    <n v="1823.61"/>
    <n v="1823.62"/>
    <n v="1823.61"/>
    <n v="21883.399999999998"/>
    <n v="9.9999999999909051E-3"/>
  </r>
  <r>
    <x v="0"/>
    <x v="1"/>
    <x v="0"/>
    <s v="2685200"/>
    <n v="743022"/>
    <s v="Dues-Physician"/>
    <s v="Medical Oncology-Bremerton"/>
    <x v="0"/>
    <m/>
    <n v="0"/>
    <n v="0"/>
    <n v="0"/>
    <n v="0"/>
    <n v="0"/>
    <n v="0"/>
    <n v="0"/>
    <n v="2490"/>
    <n v="375"/>
    <n v="0"/>
    <n v="0"/>
    <n v="0"/>
    <n v="2865"/>
    <n v="0"/>
  </r>
  <r>
    <x v="0"/>
    <x v="1"/>
    <x v="0"/>
    <s v="2685200"/>
    <n v="743023"/>
    <s v="Dues-Advanced Practice Clinician"/>
    <s v="Medical Oncology-Bremerton"/>
    <x v="0"/>
    <m/>
    <n v="0"/>
    <n v="0"/>
    <n v="0"/>
    <n v="0"/>
    <n v="0"/>
    <n v="0"/>
    <n v="495"/>
    <n v="90"/>
    <n v="0"/>
    <n v="0"/>
    <n v="0"/>
    <n v="0"/>
    <n v="585"/>
    <n v="0"/>
  </r>
  <r>
    <x v="0"/>
    <x v="1"/>
    <x v="0"/>
    <s v="2685200"/>
    <n v="743042"/>
    <s v="Subscriptions-Physician"/>
    <s v="Medical Oncology-Bremerton"/>
    <x v="0"/>
    <m/>
    <n v="0"/>
    <n v="0"/>
    <n v="0"/>
    <n v="0"/>
    <n v="0"/>
    <n v="0"/>
    <n v="0"/>
    <n v="0"/>
    <n v="189"/>
    <n v="0"/>
    <n v="0"/>
    <n v="0"/>
    <n v="189"/>
    <n v="0"/>
  </r>
  <r>
    <x v="0"/>
    <x v="1"/>
    <x v="0"/>
    <s v="2685200"/>
    <n v="743043"/>
    <s v="Subscriptions-Advanced Practice Clinician"/>
    <s v="Medical Oncology-Bremerton"/>
    <x v="0"/>
    <m/>
    <n v="0"/>
    <n v="0"/>
    <n v="0"/>
    <n v="0"/>
    <n v="0"/>
    <n v="0"/>
    <n v="0"/>
    <n v="0"/>
    <n v="0"/>
    <n v="150"/>
    <n v="0"/>
    <n v="0"/>
    <n v="150"/>
    <n v="0"/>
  </r>
  <r>
    <x v="0"/>
    <x v="1"/>
    <x v="0"/>
    <s v="2685200"/>
    <n v="749510"/>
    <s v="Miscellaneous Expenses"/>
    <s v="Medical Oncology-Bremerton"/>
    <x v="0"/>
    <m/>
    <n v="0"/>
    <n v="0"/>
    <n v="0"/>
    <n v="1555"/>
    <n v="-1555"/>
    <n v="0"/>
    <n v="0"/>
    <n v="0"/>
    <n v="0"/>
    <n v="0"/>
    <n v="0"/>
    <n v="0"/>
    <n v="0"/>
    <n v="0"/>
  </r>
  <r>
    <x v="0"/>
    <x v="1"/>
    <x v="0"/>
    <s v="2685200"/>
    <n v="749512"/>
    <s v="Licenses-Physician"/>
    <s v="Medical Oncology-Bremerton"/>
    <x v="0"/>
    <n v="2000"/>
    <n v="0"/>
    <n v="0"/>
    <n v="0"/>
    <n v="0"/>
    <n v="0"/>
    <n v="0"/>
    <n v="0"/>
    <n v="0"/>
    <n v="659.5"/>
    <n v="0"/>
    <n v="731"/>
    <n v="0"/>
    <n v="1390.5"/>
    <n v="731"/>
  </r>
  <r>
    <x v="0"/>
    <x v="1"/>
    <x v="0"/>
    <s v="2685200"/>
    <n v="749513"/>
    <s v="Licenses-Advanced Practice Clinician"/>
    <s v="Medical Oncology-Bremerton"/>
    <x v="0"/>
    <n v="2000"/>
    <n v="0"/>
    <n v="0"/>
    <n v="0"/>
    <n v="0"/>
    <n v="0"/>
    <n v="0"/>
    <n v="0"/>
    <n v="0"/>
    <n v="1326"/>
    <n v="120"/>
    <n v="0"/>
    <n v="0"/>
    <n v="1446"/>
    <n v="0"/>
  </r>
  <r>
    <x v="0"/>
    <x v="1"/>
    <x v="0"/>
    <s v="2685200"/>
    <n v="749532"/>
    <s v="Travel-Physician"/>
    <s v="Medical Oncology-Bremerton"/>
    <x v="0"/>
    <m/>
    <n v="0"/>
    <n v="0"/>
    <n v="0"/>
    <n v="0"/>
    <n v="156.4"/>
    <n v="263.43"/>
    <n v="914.68"/>
    <n v="17"/>
    <n v="0"/>
    <n v="0"/>
    <n v="0"/>
    <n v="0"/>
    <n v="1351.51"/>
    <n v="0"/>
  </r>
  <r>
    <x v="0"/>
    <x v="1"/>
    <x v="0"/>
    <s v="2685200"/>
    <n v="749533"/>
    <s v="Travel-Advanced Practice Clinician"/>
    <s v="Medical Oncology-Bremerton"/>
    <x v="0"/>
    <m/>
    <n v="0"/>
    <n v="0"/>
    <n v="0"/>
    <n v="457.84"/>
    <n v="0"/>
    <n v="0"/>
    <n v="0"/>
    <n v="0"/>
    <n v="667.3"/>
    <n v="2339.1799999999998"/>
    <n v="0"/>
    <n v="0"/>
    <n v="3464.3199999999997"/>
    <n v="0"/>
  </r>
  <r>
    <x v="0"/>
    <x v="1"/>
    <x v="0"/>
    <s v="2685200"/>
    <n v="749550"/>
    <s v="Cash Over/Short"/>
    <s v="Medical Oncology-Bremerton"/>
    <x v="0"/>
    <m/>
    <n v="-10"/>
    <n v="0"/>
    <n v="0"/>
    <n v="0"/>
    <n v="0"/>
    <n v="0"/>
    <n v="0"/>
    <n v="0"/>
    <n v="10"/>
    <n v="0"/>
    <n v="0"/>
    <n v="0"/>
    <n v="0"/>
    <n v="0"/>
  </r>
  <r>
    <x v="9"/>
    <x v="1"/>
    <x v="0"/>
    <s v="2685200"/>
    <n v="800015"/>
    <s v="Interest Income-Ext to CHI"/>
    <s v="Medical Oncology-Bremerton"/>
    <x v="0"/>
    <m/>
    <n v="-34.49"/>
    <n v="-31.04"/>
    <n v="-26.71"/>
    <n v="-24.15"/>
    <n v="-21.57"/>
    <n v="-20.43"/>
    <n v="-18.57"/>
    <n v="-15.1"/>
    <n v="-14.86"/>
    <n v="-12.58"/>
    <n v="-11.14"/>
    <n v="-8.98"/>
    <n v="-239.62000000000003"/>
    <n v="-2.16"/>
  </r>
  <r>
    <x v="1"/>
    <x v="1"/>
    <x v="0"/>
    <s v="2686200"/>
    <n v="400040"/>
    <s v="Physician Svcs Rev--Medicare"/>
    <s v="Medical Oncology-Poulsbo"/>
    <x v="0"/>
    <n v="1100"/>
    <n v="-142745"/>
    <n v="-121595"/>
    <n v="-96987"/>
    <n v="-114914"/>
    <n v="-109179"/>
    <n v="-133170"/>
    <n v="-130684"/>
    <n v="-122197"/>
    <n v="-128128"/>
    <n v="-134726"/>
    <n v="-121219"/>
    <n v="-117208"/>
    <n v="-1472752"/>
    <n v="-4011"/>
  </r>
  <r>
    <x v="1"/>
    <x v="1"/>
    <x v="0"/>
    <s v="2686200"/>
    <n v="400040"/>
    <s v="Physician Svcs Rev--Medicaid"/>
    <s v="Medical Oncology-Poulsbo"/>
    <x v="0"/>
    <n v="1200"/>
    <n v="-15549"/>
    <n v="-23086"/>
    <n v="-17045"/>
    <n v="-14856"/>
    <n v="-16992"/>
    <n v="-14265"/>
    <n v="-18433"/>
    <n v="-18752"/>
    <n v="-15047"/>
    <n v="-23651"/>
    <n v="-14639"/>
    <n v="-23734"/>
    <n v="-216049"/>
    <n v="9095"/>
  </r>
  <r>
    <x v="1"/>
    <x v="1"/>
    <x v="0"/>
    <s v="2686200"/>
    <n v="400040"/>
    <s v="Physician Svcs Rev--Comm Insurance"/>
    <s v="Medical Oncology-Poulsbo"/>
    <x v="0"/>
    <n v="1300"/>
    <n v="-779"/>
    <n v="-457"/>
    <n v="-662"/>
    <n v="-695"/>
    <n v="-1375"/>
    <n v="-1235"/>
    <n v="-1378"/>
    <n v="-357"/>
    <n v="-1536"/>
    <n v="-1711"/>
    <n v="-1460"/>
    <n v="-1846"/>
    <n v="-13491"/>
    <n v="386"/>
  </r>
  <r>
    <x v="1"/>
    <x v="1"/>
    <x v="0"/>
    <s v="2686200"/>
    <n v="400040"/>
    <s v="Physician Svcs Rev--BCBS Comm"/>
    <s v="Medical Oncology-Poulsbo"/>
    <x v="0"/>
    <n v="1301"/>
    <n v="-13290"/>
    <n v="-13192"/>
    <n v="-11538"/>
    <n v="-13733"/>
    <n v="-17114"/>
    <n v="-10323"/>
    <n v="-17629"/>
    <n v="-8213"/>
    <n v="-8281"/>
    <n v="-17306"/>
    <n v="-25411"/>
    <n v="-15511"/>
    <n v="-171541"/>
    <n v="-9900"/>
  </r>
  <r>
    <x v="1"/>
    <x v="1"/>
    <x v="0"/>
    <s v="2686200"/>
    <n v="400040"/>
    <s v="Physician Svcs Rev--Managed Care"/>
    <s v="Medical Oncology-Poulsbo"/>
    <x v="0"/>
    <n v="1400"/>
    <n v="-61320"/>
    <n v="-42209"/>
    <n v="-36279"/>
    <n v="-55486"/>
    <n v="-32321"/>
    <n v="-37339"/>
    <n v="-43653"/>
    <n v="-38232"/>
    <n v="-34672"/>
    <n v="-47112"/>
    <n v="-46169"/>
    <n v="-37125"/>
    <n v="-511917"/>
    <n v="-9044"/>
  </r>
  <r>
    <x v="1"/>
    <x v="1"/>
    <x v="0"/>
    <s v="2686200"/>
    <n v="400040"/>
    <s v="Physician Svcs Rev--Self Pay"/>
    <s v="Medical Oncology-Poulsbo"/>
    <x v="0"/>
    <n v="1500"/>
    <n v="-733"/>
    <n v="-1294"/>
    <n v="-1600"/>
    <n v="-645"/>
    <n v="-282"/>
    <n v="-605"/>
    <n v="-990"/>
    <n v="71"/>
    <n v="-141"/>
    <n v="545"/>
    <n v="-1745"/>
    <n v="-592"/>
    <n v="-8011"/>
    <n v="-1153"/>
  </r>
  <r>
    <x v="1"/>
    <x v="1"/>
    <x v="0"/>
    <s v="2686200"/>
    <n v="400040"/>
    <s v="Physician Svcs Rev--Other"/>
    <s v="Medical Oncology-Poulsbo"/>
    <x v="0"/>
    <n v="1700"/>
    <n v="-10627"/>
    <n v="-8024"/>
    <n v="-9625"/>
    <n v="-20274"/>
    <n v="-10646"/>
    <n v="-6520"/>
    <n v="-3043"/>
    <n v="-11355"/>
    <n v="-12622"/>
    <n v="-8015"/>
    <n v="-5200"/>
    <n v="-8202"/>
    <n v="-114153"/>
    <n v="3002"/>
  </r>
  <r>
    <x v="2"/>
    <x v="1"/>
    <x v="0"/>
    <s v="2686200"/>
    <n v="450040"/>
    <s v="Contr Allow--Phys Svcs--Mcare"/>
    <s v="Medical Oncology-Poulsbo"/>
    <x v="0"/>
    <n v="1100"/>
    <n v="84396.34"/>
    <n v="88065.47"/>
    <n v="64525.39"/>
    <n v="77886.94"/>
    <n v="69641.72"/>
    <n v="82767.69"/>
    <n v="87312.78"/>
    <n v="71261.7"/>
    <n v="76321.25"/>
    <n v="89045.24"/>
    <n v="79056.59"/>
    <n v="80371.66"/>
    <n v="950652.7699999999"/>
    <n v="-1315.070000000007"/>
  </r>
  <r>
    <x v="2"/>
    <x v="1"/>
    <x v="0"/>
    <s v="2686200"/>
    <n v="450040"/>
    <s v="Contr Allow--Phys Svcs--Mcaid"/>
    <s v="Medical Oncology-Poulsbo"/>
    <x v="0"/>
    <n v="1200"/>
    <n v="15901.98"/>
    <n v="13733.06"/>
    <n v="16039.51"/>
    <n v="15303.93"/>
    <n v="7990.49"/>
    <n v="11438.31"/>
    <n v="13020.68"/>
    <n v="11052.05"/>
    <n v="16467.43"/>
    <n v="13163.47"/>
    <n v="15776.21"/>
    <n v="13983.6"/>
    <n v="163870.72"/>
    <n v="1792.6099999999988"/>
  </r>
  <r>
    <x v="2"/>
    <x v="1"/>
    <x v="0"/>
    <s v="2686200"/>
    <n v="450040"/>
    <s v="Contr Allow--Phys Svcs--Comm Insurance"/>
    <s v="Medical Oncology-Poulsbo"/>
    <x v="0"/>
    <n v="1300"/>
    <n v="508.76"/>
    <n v="284.64999999999998"/>
    <n v="294.20999999999998"/>
    <n v="392.92"/>
    <n v="212.6"/>
    <n v="437.2"/>
    <n v="287.11"/>
    <n v="364.08"/>
    <n v="45.94"/>
    <n v="765.66"/>
    <n v="628.66999999999996"/>
    <n v="-19.73"/>
    <n v="4202.07"/>
    <n v="648.4"/>
  </r>
  <r>
    <x v="2"/>
    <x v="1"/>
    <x v="0"/>
    <s v="2686200"/>
    <n v="450040"/>
    <s v="Contr Allow--Phys Svcs--BCBS Comm Ins"/>
    <s v="Medical Oncology-Poulsbo"/>
    <x v="0"/>
    <n v="1301"/>
    <n v="10313.19"/>
    <n v="7129.29"/>
    <n v="4711.97"/>
    <n v="3438.5"/>
    <n v="7378.41"/>
    <n v="7199.1"/>
    <n v="4903.32"/>
    <n v="6499.61"/>
    <n v="5792.54"/>
    <n v="5447.55"/>
    <n v="11186.59"/>
    <n v="11002.57"/>
    <n v="85002.640000000014"/>
    <n v="184.02000000000044"/>
  </r>
  <r>
    <x v="2"/>
    <x v="1"/>
    <x v="0"/>
    <s v="2686200"/>
    <n v="450040"/>
    <s v="Contr Allow--Phys Svcs--Managed Care"/>
    <s v="Medical Oncology-Poulsbo"/>
    <x v="0"/>
    <n v="1400"/>
    <n v="18187.73"/>
    <n v="32100.02"/>
    <n v="17343.82"/>
    <n v="22500.07"/>
    <n v="16040.04"/>
    <n v="15370.79"/>
    <n v="15562.34"/>
    <n v="16099.51"/>
    <n v="15256.37"/>
    <n v="15117.8"/>
    <n v="17770.900000000001"/>
    <n v="16532"/>
    <n v="217881.39"/>
    <n v="1238.9000000000015"/>
  </r>
  <r>
    <x v="2"/>
    <x v="1"/>
    <x v="0"/>
    <s v="2686200"/>
    <n v="450040"/>
    <s v="Contr Allow--Phys Svcs--BCBS Mgnd Care"/>
    <s v="Medical Oncology-Poulsbo"/>
    <x v="0"/>
    <n v="1401"/>
    <n v="10922.24"/>
    <n v="-19019.34"/>
    <n v="-2603.3200000000002"/>
    <n v="-833.17"/>
    <n v="4846.49"/>
    <n v="2148.75"/>
    <n v="11151.91"/>
    <n v="8223.56"/>
    <n v="1886.31"/>
    <n v="9698.93"/>
    <n v="1161.57"/>
    <n v="-4434.7"/>
    <n v="23149.23"/>
    <n v="5596.2699999999995"/>
  </r>
  <r>
    <x v="2"/>
    <x v="1"/>
    <x v="0"/>
    <s v="2686200"/>
    <n v="450040"/>
    <s v="Admin Adjust-Phys Svcs-Self Pay"/>
    <s v="Medical Oncology-Poulsbo"/>
    <x v="0"/>
    <n v="1600"/>
    <n v="332.59"/>
    <n v="504.29"/>
    <n v="611.1"/>
    <n v="266.20999999999998"/>
    <n v="417.9"/>
    <n v="68.66"/>
    <n v="366"/>
    <n v="82.89"/>
    <n v="63.92"/>
    <n v="-205.3"/>
    <n v="642.65"/>
    <n v="166.46"/>
    <n v="3317.37"/>
    <n v="476.18999999999994"/>
  </r>
  <r>
    <x v="2"/>
    <x v="1"/>
    <x v="0"/>
    <s v="2686200"/>
    <n v="450040"/>
    <s v="Contr Allow--Phys Svcs--Other"/>
    <s v="Medical Oncology-Poulsbo"/>
    <x v="0"/>
    <n v="1700"/>
    <n v="4774.71"/>
    <n v="6425.42"/>
    <n v="4716.68"/>
    <n v="15759.98"/>
    <n v="3169.86"/>
    <n v="6770.89"/>
    <n v="2971.66"/>
    <n v="4934.57"/>
    <n v="6478.43"/>
    <n v="5719.21"/>
    <n v="3552.74"/>
    <n v="3079.14"/>
    <n v="68353.289999999994"/>
    <n v="473.59999999999991"/>
  </r>
  <r>
    <x v="3"/>
    <x v="1"/>
    <x v="0"/>
    <s v="2686200"/>
    <n v="470040"/>
    <s v="Charity Care-Physician Svcs"/>
    <s v="Medical Oncology-Poulsbo"/>
    <x v="0"/>
    <m/>
    <n v="1466.9"/>
    <n v="2378.0100000000002"/>
    <n v="668.77"/>
    <n v="373.3"/>
    <n v="1290.74"/>
    <n v="2386.63"/>
    <n v="820.48"/>
    <n v="1352.76"/>
    <n v="1011.05"/>
    <n v="909.6"/>
    <n v="393.32"/>
    <n v="3573.05"/>
    <n v="16624.61"/>
    <n v="-3179.73"/>
  </r>
  <r>
    <x v="4"/>
    <x v="1"/>
    <x v="0"/>
    <s v="2686200"/>
    <n v="490010"/>
    <s v="Provision for Bad Debts"/>
    <s v="Medical Oncology-Poulsbo"/>
    <x v="0"/>
    <m/>
    <n v="3250.15"/>
    <n v="-2789.39"/>
    <n v="725.87"/>
    <n v="-286.94"/>
    <n v="3045.69"/>
    <n v="167.05"/>
    <n v="1112.3800000000001"/>
    <n v="-69.38"/>
    <n v="1560.49"/>
    <n v="864.75"/>
    <n v="1561.93"/>
    <n v="1916.11"/>
    <n v="11058.710000000001"/>
    <n v="-354.17999999999984"/>
  </r>
  <r>
    <x v="14"/>
    <x v="1"/>
    <x v="0"/>
    <s v="2686200"/>
    <n v="600050"/>
    <s v="Miscellaneous Revenue"/>
    <s v="Medical Oncology-Poulsbo"/>
    <x v="0"/>
    <m/>
    <n v="-5062.5"/>
    <n v="0"/>
    <n v="0"/>
    <n v="0"/>
    <n v="-5662.5"/>
    <n v="0"/>
    <n v="0"/>
    <n v="0"/>
    <n v="-3750"/>
    <n v="0"/>
    <n v="0"/>
    <n v="-210"/>
    <n v="-14685"/>
    <n v="210"/>
  </r>
  <r>
    <x v="5"/>
    <x v="1"/>
    <x v="0"/>
    <s v="2686200"/>
    <n v="700020"/>
    <s v="Salaries-Physician Admin-Other"/>
    <s v="Medical Oncology-Poulsbo"/>
    <x v="0"/>
    <n v="2000"/>
    <n v="5062.5"/>
    <n v="0"/>
    <n v="0"/>
    <n v="0"/>
    <n v="5662.5"/>
    <n v="0"/>
    <n v="0"/>
    <n v="0"/>
    <n v="3750"/>
    <n v="0"/>
    <n v="0"/>
    <n v="0"/>
    <n v="14475"/>
    <n v="0"/>
  </r>
  <r>
    <x v="5"/>
    <x v="1"/>
    <x v="0"/>
    <s v="2686200"/>
    <n v="700022"/>
    <s v="Salaries-Physician-Productive"/>
    <s v="Medical Oncology-Poulsbo"/>
    <x v="0"/>
    <m/>
    <n v="91013.7"/>
    <n v="68782.720000000001"/>
    <n v="80080.42"/>
    <n v="84001.25"/>
    <n v="89779.71"/>
    <n v="84990.22"/>
    <n v="108789.34"/>
    <n v="92551.17"/>
    <n v="94991.84"/>
    <n v="95434.94"/>
    <n v="94098.9"/>
    <n v="95863.13"/>
    <n v="1080377.3400000001"/>
    <n v="-1764.2300000000105"/>
  </r>
  <r>
    <x v="5"/>
    <x v="1"/>
    <x v="0"/>
    <s v="2686200"/>
    <n v="700022"/>
    <s v="Salaries-Physician-Other"/>
    <s v="Medical Oncology-Poulsbo"/>
    <x v="0"/>
    <n v="2000"/>
    <n v="0"/>
    <n v="0"/>
    <n v="0"/>
    <n v="0"/>
    <n v="0"/>
    <n v="0"/>
    <n v="0"/>
    <n v="0"/>
    <n v="0"/>
    <n v="0"/>
    <n v="0"/>
    <n v="85310.69"/>
    <n v="85310.69"/>
    <n v="-85310.69"/>
  </r>
  <r>
    <x v="5"/>
    <x v="1"/>
    <x v="0"/>
    <s v="2686200"/>
    <n v="700024"/>
    <s v="Salaries-Advanced Practice Clinician-Productive"/>
    <s v="Medical Oncology-Poulsbo"/>
    <x v="0"/>
    <m/>
    <n v="17087.740000000002"/>
    <n v="19622.900000000001"/>
    <n v="17001.14"/>
    <n v="20300.52"/>
    <n v="21861"/>
    <n v="16555.66"/>
    <n v="20727.18"/>
    <n v="18815.52"/>
    <n v="14056.43"/>
    <n v="21895.62"/>
    <n v="24179.200000000001"/>
    <n v="9057.0499999999993"/>
    <n v="221159.96"/>
    <n v="15122.150000000001"/>
  </r>
  <r>
    <x v="5"/>
    <x v="1"/>
    <x v="0"/>
    <s v="2686200"/>
    <n v="700024"/>
    <s v="Salaries-Advanced Practice Clinician-Other"/>
    <s v="Medical Oncology-Poulsbo"/>
    <x v="0"/>
    <n v="2000"/>
    <n v="504"/>
    <n v="0"/>
    <n v="0"/>
    <n v="760"/>
    <n v="0"/>
    <n v="505"/>
    <n v="0"/>
    <n v="0"/>
    <n v="867.5"/>
    <n v="-0.63"/>
    <n v="0"/>
    <n v="0"/>
    <n v="2635.87"/>
    <n v="0"/>
  </r>
  <r>
    <x v="5"/>
    <x v="1"/>
    <x v="0"/>
    <s v="2686200"/>
    <n v="700026"/>
    <s v="Salaries-RN-Productive"/>
    <s v="Medical Oncology-Poulsbo"/>
    <x v="0"/>
    <m/>
    <n v="214.4"/>
    <n v="15.63"/>
    <n v="0"/>
    <n v="0"/>
    <n v="0"/>
    <n v="46.79"/>
    <n v="0"/>
    <n v="0"/>
    <n v="0"/>
    <n v="0"/>
    <n v="90.36"/>
    <n v="200.58"/>
    <n v="567.76"/>
    <n v="-110.22000000000001"/>
  </r>
  <r>
    <x v="5"/>
    <x v="1"/>
    <x v="0"/>
    <s v="2686200"/>
    <n v="700026"/>
    <s v="Salaries-RN-Other"/>
    <s v="Medical Oncology-Poulsbo"/>
    <x v="0"/>
    <n v="2000"/>
    <n v="4.63"/>
    <n v="0.37"/>
    <n v="0"/>
    <n v="0"/>
    <n v="0"/>
    <n v="1"/>
    <n v="0"/>
    <n v="0"/>
    <n v="0"/>
    <n v="0"/>
    <n v="1.92"/>
    <n v="4.22"/>
    <n v="12.14"/>
    <n v="-2.2999999999999998"/>
  </r>
  <r>
    <x v="5"/>
    <x v="1"/>
    <x v="0"/>
    <s v="2686200"/>
    <n v="700030"/>
    <s v="Salaries-LPN-Productive"/>
    <s v="Medical Oncology-Poulsbo"/>
    <x v="0"/>
    <m/>
    <n v="0"/>
    <n v="0"/>
    <n v="0"/>
    <n v="0"/>
    <n v="466.24"/>
    <n v="-334.4"/>
    <n v="0"/>
    <n v="0"/>
    <n v="0"/>
    <n v="0"/>
    <n v="0"/>
    <n v="0"/>
    <n v="131.84000000000003"/>
    <n v="0"/>
  </r>
  <r>
    <x v="5"/>
    <x v="1"/>
    <x v="0"/>
    <s v="2686200"/>
    <n v="700030"/>
    <s v="Salaries-LPN-OT"/>
    <s v="Medical Oncology-Poulsbo"/>
    <x v="0"/>
    <n v="1000"/>
    <n v="0"/>
    <n v="0"/>
    <n v="0"/>
    <n v="0"/>
    <n v="34.9"/>
    <n v="-34.9"/>
    <n v="0"/>
    <n v="0"/>
    <n v="0"/>
    <n v="0"/>
    <n v="0"/>
    <n v="0"/>
    <n v="0"/>
    <n v="0"/>
  </r>
  <r>
    <x v="5"/>
    <x v="1"/>
    <x v="0"/>
    <s v="2686200"/>
    <n v="700032"/>
    <s v="Salaries-Other Pat Care Providers-Productive"/>
    <s v="Medical Oncology-Poulsbo"/>
    <x v="0"/>
    <m/>
    <n v="0"/>
    <n v="0"/>
    <n v="665.21"/>
    <n v="633.87"/>
    <n v="-156.4"/>
    <n v="0"/>
    <n v="0"/>
    <n v="0"/>
    <n v="0"/>
    <n v="0"/>
    <n v="0"/>
    <n v="0"/>
    <n v="1142.6799999999998"/>
    <n v="0"/>
  </r>
  <r>
    <x v="5"/>
    <x v="1"/>
    <x v="0"/>
    <s v="2686200"/>
    <n v="700062"/>
    <s v="Salaries-Physician-Non-productive"/>
    <s v="Medical Oncology-Poulsbo"/>
    <x v="0"/>
    <m/>
    <n v="16729.77"/>
    <n v="43765.94"/>
    <n v="15698.89"/>
    <n v="40630.49"/>
    <n v="-2226.33"/>
    <n v="15918"/>
    <n v="7914.14"/>
    <n v="24162.27"/>
    <n v="10600.95"/>
    <n v="31654.74"/>
    <n v="19266.62"/>
    <n v="-28402.03"/>
    <n v="195713.44999999998"/>
    <n v="47668.649999999994"/>
  </r>
  <r>
    <x v="5"/>
    <x v="1"/>
    <x v="0"/>
    <s v="2686200"/>
    <n v="700062"/>
    <s v="Salaries-Physician-NonProd-Other"/>
    <s v="Medical Oncology-Poulsb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6200"/>
    <n v="700064"/>
    <s v="Salaries-Advanced Practice Clinician-Non-Productive"/>
    <s v="Medical Oncology-Poulsbo"/>
    <x v="0"/>
    <m/>
    <n v="3697.12"/>
    <n v="3009.63"/>
    <n v="3425.49"/>
    <n v="757.22"/>
    <n v="1658.66"/>
    <n v="4891.83"/>
    <n v="758.71"/>
    <n v="2190.7199999999998"/>
    <n v="6171.95"/>
    <n v="-1038.17"/>
    <n v="0"/>
    <n v="9659.66"/>
    <n v="35182.819999999992"/>
    <n v="-9659.66"/>
  </r>
  <r>
    <x v="5"/>
    <x v="1"/>
    <x v="0"/>
    <s v="2686200"/>
    <n v="700072"/>
    <s v="Salaries-Other Pat Care Providers-NonProd-Other"/>
    <s v="Medical Oncology-Poulsbo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686200"/>
    <n v="713010"/>
    <s v="Benefits-FICA/Medicare"/>
    <s v="Medical Oncology-Poulsbo"/>
    <x v="0"/>
    <m/>
    <n v="3269.83"/>
    <n v="3424.18"/>
    <n v="2915.68"/>
    <n v="3430.73"/>
    <n v="3377.24"/>
    <n v="6490.43"/>
    <n v="10438.25"/>
    <n v="10883.02"/>
    <n v="6369.99"/>
    <n v="3129.58"/>
    <n v="3213.45"/>
    <n v="4083.62"/>
    <n v="61026"/>
    <n v="-870.17000000000007"/>
  </r>
  <r>
    <x v="6"/>
    <x v="1"/>
    <x v="0"/>
    <s v="2686200"/>
    <n v="713090"/>
    <s v="Benefits-Allocated Amounts"/>
    <s v="Medical Oncology-Poulsbo"/>
    <x v="0"/>
    <m/>
    <n v="0"/>
    <n v="0"/>
    <n v="0"/>
    <n v="0"/>
    <n v="0"/>
    <n v="0"/>
    <n v="0"/>
    <n v="0"/>
    <n v="1143.02"/>
    <n v="142.31"/>
    <n v="131.35"/>
    <n v="157.11000000000001"/>
    <n v="1573.79"/>
    <n v="-25.760000000000019"/>
  </r>
  <r>
    <x v="6"/>
    <x v="1"/>
    <x v="0"/>
    <s v="2686200"/>
    <n v="713092"/>
    <s v="Allocated Benefits-Physician"/>
    <s v="Medical Oncology-Poulsbo"/>
    <x v="0"/>
    <m/>
    <n v="5727.65"/>
    <n v="5167.8100000000004"/>
    <n v="5184.76"/>
    <n v="5689.91"/>
    <n v="5152.29"/>
    <n v="5599.82"/>
    <n v="6670.84"/>
    <n v="6744.12"/>
    <n v="1009.64"/>
    <n v="5845.48"/>
    <n v="5394.81"/>
    <n v="6452.78"/>
    <n v="64639.91"/>
    <n v="-1057.9699999999993"/>
  </r>
  <r>
    <x v="6"/>
    <x v="1"/>
    <x v="0"/>
    <s v="2686200"/>
    <n v="713093"/>
    <s v="Allocated Benefits-Advanced Practice Clinician"/>
    <s v="Medical Oncology-Poulsbo"/>
    <x v="0"/>
    <m/>
    <n v="4099.82"/>
    <n v="3699.08"/>
    <n v="3711.22"/>
    <n v="4072.8"/>
    <n v="3687.96"/>
    <n v="4008.32"/>
    <n v="4774.95"/>
    <n v="4827.3900000000003"/>
    <n v="10228.969999999999"/>
    <n v="5367.81"/>
    <n v="4953.96"/>
    <n v="5925.48"/>
    <n v="59357.759999999995"/>
    <n v="-971.51999999999953"/>
  </r>
  <r>
    <x v="7"/>
    <x v="1"/>
    <x v="0"/>
    <s v="2686200"/>
    <n v="718050"/>
    <s v="Miscellaneous Purchased Svcs"/>
    <s v="Medical Oncology-Poulsbo"/>
    <x v="0"/>
    <n v="1020"/>
    <n v="0"/>
    <n v="1714.81"/>
    <n v="1430"/>
    <n v="1430"/>
    <n v="0"/>
    <n v="1747.04"/>
    <n v="1430"/>
    <n v="1430"/>
    <n v="2860"/>
    <n v="1430"/>
    <n v="1430"/>
    <n v="1430"/>
    <n v="16331.849999999999"/>
    <n v="0"/>
  </r>
  <r>
    <x v="7"/>
    <x v="1"/>
    <x v="0"/>
    <s v="2686200"/>
    <n v="718070"/>
    <s v="Contract Srvcs-CHI Clinical Engineering"/>
    <s v="Medical Oncology-Poulsbo"/>
    <x v="0"/>
    <m/>
    <n v="1466.47"/>
    <n v="1465.05"/>
    <n v="1833.4"/>
    <n v="365.81"/>
    <n v="1393.03"/>
    <n v="1393.03"/>
    <n v="1393.03"/>
    <n v="1393.03"/>
    <n v="1393.03"/>
    <n v="1399.37"/>
    <n v="0"/>
    <n v="0"/>
    <n v="13495.25"/>
    <n v="0"/>
  </r>
  <r>
    <x v="11"/>
    <x v="1"/>
    <x v="0"/>
    <s v="2686200"/>
    <n v="721010"/>
    <s v="Supplies-Medical - Billable"/>
    <s v="Medical Oncology-Poulsbo"/>
    <x v="0"/>
    <m/>
    <n v="1351.58"/>
    <n v="846.35"/>
    <n v="284.33999999999997"/>
    <n v="560.04"/>
    <n v="259.07"/>
    <n v="86.19"/>
    <n v="984.52"/>
    <n v="154.79"/>
    <n v="34.479999999999997"/>
    <n v="558.44000000000005"/>
    <n v="255.21"/>
    <n v="501.38"/>
    <n v="5876.3899999999994"/>
    <n v="-246.17"/>
  </r>
  <r>
    <x v="11"/>
    <x v="1"/>
    <x v="0"/>
    <s v="2686200"/>
    <n v="721010"/>
    <s v="Patient Monitoring"/>
    <s v="Medical Oncology-Poulsbo"/>
    <x v="0"/>
    <n v="1000"/>
    <n v="80.569999999999993"/>
    <n v="0"/>
    <n v="0"/>
    <n v="0"/>
    <n v="0"/>
    <n v="0"/>
    <n v="0"/>
    <n v="0"/>
    <n v="0"/>
    <n v="0"/>
    <n v="0"/>
    <n v="0"/>
    <n v="80.569999999999993"/>
    <n v="0"/>
  </r>
  <r>
    <x v="11"/>
    <x v="1"/>
    <x v="0"/>
    <s v="2686200"/>
    <n v="721020"/>
    <s v="Custom Packs"/>
    <s v="Medical Oncology-Poulsbo"/>
    <x v="0"/>
    <n v="1000"/>
    <n v="0"/>
    <n v="0"/>
    <n v="662"/>
    <n v="0"/>
    <n v="662"/>
    <n v="0"/>
    <n v="1443.16"/>
    <n v="0"/>
    <n v="0"/>
    <n v="0"/>
    <n v="662"/>
    <n v="0"/>
    <n v="3429.16"/>
    <n v="662"/>
  </r>
  <r>
    <x v="11"/>
    <x v="1"/>
    <x v="0"/>
    <s v="2686200"/>
    <n v="721240"/>
    <s v="Supplies-IV Solutions/Supplies - Billable"/>
    <s v="Medical Oncology-Poulsbo"/>
    <x v="0"/>
    <m/>
    <n v="1582.44"/>
    <n v="902"/>
    <n v="1489.42"/>
    <n v="2261.94"/>
    <n v="855.75"/>
    <n v="864.25"/>
    <n v="902"/>
    <n v="546"/>
    <n v="953.25"/>
    <n v="655.52"/>
    <n v="1731.5"/>
    <n v="135"/>
    <n v="12879.07"/>
    <n v="1596.5"/>
  </r>
  <r>
    <x v="11"/>
    <x v="1"/>
    <x v="0"/>
    <s v="2686200"/>
    <n v="721320"/>
    <s v="Supplies-Purchased Blood - Billable"/>
    <s v="Medical Oncology-Poulsbo"/>
    <x v="0"/>
    <m/>
    <n v="228.6"/>
    <n v="457.2"/>
    <n v="0"/>
    <n v="0"/>
    <n v="228.6"/>
    <n v="457.2"/>
    <n v="457.2"/>
    <n v="228.6"/>
    <n v="571.5"/>
    <n v="0"/>
    <n v="333.6"/>
    <n v="333.6"/>
    <n v="3296.1"/>
    <n v="0"/>
  </r>
  <r>
    <x v="11"/>
    <x v="1"/>
    <x v="0"/>
    <s v="2686200"/>
    <n v="721410"/>
    <s v="Supplies-Medical - Nonbillable"/>
    <s v="Medical Oncology-Poulsbo"/>
    <x v="0"/>
    <m/>
    <n v="1565.03"/>
    <n v="1406.4"/>
    <n v="1647.61"/>
    <n v="2136.81"/>
    <n v="2178.8200000000002"/>
    <n v="1612.43"/>
    <n v="1459.58"/>
    <n v="1823.46"/>
    <n v="1671.39"/>
    <n v="1575.94"/>
    <n v="1432.05"/>
    <n v="1520.63"/>
    <n v="20030.149999999998"/>
    <n v="-88.580000000000155"/>
  </r>
  <r>
    <x v="11"/>
    <x v="1"/>
    <x v="0"/>
    <s v="2686200"/>
    <n v="721410"/>
    <s v="Patient Monitoring"/>
    <s v="Medical Oncology-Poulsbo"/>
    <x v="0"/>
    <n v="1000"/>
    <n v="0"/>
    <n v="0"/>
    <n v="0"/>
    <n v="0"/>
    <n v="0"/>
    <n v="0"/>
    <n v="53.46"/>
    <n v="0"/>
    <n v="0"/>
    <n v="0"/>
    <n v="0"/>
    <n v="0"/>
    <n v="53.46"/>
    <n v="0"/>
  </r>
  <r>
    <x v="11"/>
    <x v="1"/>
    <x v="0"/>
    <s v="2686200"/>
    <n v="721420"/>
    <s v="Supplies-Surgical Nonbillable"/>
    <s v="Medical Oncology-Poulsbo"/>
    <x v="0"/>
    <m/>
    <n v="0"/>
    <n v="0"/>
    <n v="26.42"/>
    <n v="0"/>
    <n v="0"/>
    <n v="-2.1800000000000002"/>
    <n v="0"/>
    <n v="0"/>
    <n v="0"/>
    <n v="0"/>
    <n v="0"/>
    <n v="0"/>
    <n v="24.240000000000002"/>
    <n v="0"/>
  </r>
  <r>
    <x v="11"/>
    <x v="1"/>
    <x v="0"/>
    <s v="2686200"/>
    <n v="721610"/>
    <s v="Supplies-Anesthesia - Nonbillable"/>
    <s v="Medical Oncology-Poulsbo"/>
    <x v="0"/>
    <m/>
    <n v="0"/>
    <n v="0"/>
    <n v="9.2799999999999994"/>
    <n v="0"/>
    <n v="4.91"/>
    <n v="0"/>
    <n v="0"/>
    <n v="24.54"/>
    <n v="0"/>
    <n v="53.2"/>
    <n v="0"/>
    <n v="0"/>
    <n v="91.93"/>
    <n v="0"/>
  </r>
  <r>
    <x v="11"/>
    <x v="1"/>
    <x v="0"/>
    <s v="2686200"/>
    <n v="721640"/>
    <s v="Supplies-IV Solutions/Supplies - Nonbillable"/>
    <s v="Medical Oncology-Poulsbo"/>
    <x v="0"/>
    <m/>
    <n v="2684.63"/>
    <n v="3678.89"/>
    <n v="3354.59"/>
    <n v="3812.52"/>
    <n v="3192"/>
    <n v="4607.13"/>
    <n v="2745.83"/>
    <n v="1920.5"/>
    <n v="5544.66"/>
    <n v="2257.44"/>
    <n v="2830.73"/>
    <n v="2637.96"/>
    <n v="39266.880000000005"/>
    <n v="192.76999999999998"/>
  </r>
  <r>
    <x v="11"/>
    <x v="1"/>
    <x v="0"/>
    <s v="2686200"/>
    <n v="721710"/>
    <s v="Supplies-Laboratory - Nonbillable"/>
    <s v="Medical Oncology-Poulsbo"/>
    <x v="0"/>
    <m/>
    <n v="731.96"/>
    <n v="728.81"/>
    <n v="1167.68"/>
    <n v="1367.42"/>
    <n v="545.4"/>
    <n v="1077.67"/>
    <n v="1276.48"/>
    <n v="407.66"/>
    <n v="746.92"/>
    <n v="399.78"/>
    <n v="721"/>
    <n v="352.83"/>
    <n v="9523.61"/>
    <n v="368.17"/>
  </r>
  <r>
    <x v="11"/>
    <x v="1"/>
    <x v="0"/>
    <s v="2686200"/>
    <n v="721810"/>
    <s v="Supplies-Dietary/Cafeteria"/>
    <s v="Medical Oncology-Poulsbo"/>
    <x v="0"/>
    <m/>
    <n v="39.72"/>
    <n v="0"/>
    <n v="12.88"/>
    <n v="0"/>
    <n v="0"/>
    <n v="12.5"/>
    <n v="0"/>
    <n v="12.5"/>
    <n v="0"/>
    <n v="0"/>
    <n v="9.16"/>
    <n v="0"/>
    <n v="86.759999999999991"/>
    <n v="9.16"/>
  </r>
  <r>
    <x v="11"/>
    <x v="1"/>
    <x v="0"/>
    <s v="2686200"/>
    <n v="721830"/>
    <s v="Supplies-Office"/>
    <s v="Medical Oncology-Poulsbo"/>
    <x v="0"/>
    <m/>
    <n v="241.09"/>
    <n v="248.86"/>
    <n v="9.5"/>
    <n v="314.56"/>
    <n v="225.66"/>
    <n v="61.09"/>
    <n v="116.34"/>
    <n v="0"/>
    <n v="151"/>
    <n v="0"/>
    <n v="108.78"/>
    <n v="9.5"/>
    <n v="1486.3799999999999"/>
    <n v="99.28"/>
  </r>
  <r>
    <x v="11"/>
    <x v="1"/>
    <x v="0"/>
    <s v="2686200"/>
    <n v="721870"/>
    <s v="Supplies-Environmental Services"/>
    <s v="Medical Oncology-Poulsbo"/>
    <x v="0"/>
    <m/>
    <n v="47.28"/>
    <n v="47.28"/>
    <n v="118.56"/>
    <n v="304.5"/>
    <n v="47.28"/>
    <n v="303.2"/>
    <n v="94.56"/>
    <n v="47.28"/>
    <n v="67.03"/>
    <n v="186.9"/>
    <n v="94.56"/>
    <n v="122.63"/>
    <n v="1481.06"/>
    <n v="-28.069999999999993"/>
  </r>
  <r>
    <x v="11"/>
    <x v="1"/>
    <x v="0"/>
    <s v="2686200"/>
    <n v="721880"/>
    <s v="Supplies-Linen"/>
    <s v="Medical Oncology-Poulsbo"/>
    <x v="0"/>
    <m/>
    <n v="115.33"/>
    <n v="75.73"/>
    <n v="0"/>
    <n v="39.6"/>
    <n v="102.61"/>
    <n v="75.73"/>
    <n v="26.88"/>
    <n v="110.56"/>
    <n v="75.73"/>
    <n v="115.33"/>
    <n v="0"/>
    <n v="197.33"/>
    <n v="934.83000000000015"/>
    <n v="-197.33"/>
  </r>
  <r>
    <x v="11"/>
    <x v="1"/>
    <x v="0"/>
    <s v="2686200"/>
    <n v="721910"/>
    <s v="Supplies-Small Equipment"/>
    <s v="Medical Oncology-Poulsbo"/>
    <x v="0"/>
    <m/>
    <n v="146.06"/>
    <n v="0"/>
    <n v="0"/>
    <n v="219.09"/>
    <n v="0"/>
    <n v="0"/>
    <n v="0"/>
    <n v="292.12"/>
    <n v="0"/>
    <n v="0"/>
    <n v="0"/>
    <n v="146.06"/>
    <n v="803.32999999999993"/>
    <n v="-146.06"/>
  </r>
  <r>
    <x v="11"/>
    <x v="1"/>
    <x v="0"/>
    <s v="2686200"/>
    <n v="721980"/>
    <s v="Supplies-Other"/>
    <s v="Medical Oncology-Poulsbo"/>
    <x v="0"/>
    <m/>
    <n v="86.26"/>
    <n v="2008.38"/>
    <n v="448.18"/>
    <n v="820.12"/>
    <n v="204.89"/>
    <n v="227.27"/>
    <n v="201.03"/>
    <n v="182.58"/>
    <n v="617.92999999999995"/>
    <n v="473.27"/>
    <n v="191.71"/>
    <n v="309.35000000000002"/>
    <n v="5770.97"/>
    <n v="-117.64000000000001"/>
  </r>
  <r>
    <x v="11"/>
    <x v="1"/>
    <x v="0"/>
    <s v="2686200"/>
    <n v="722000"/>
    <s v="Supplies-Freight Expense"/>
    <s v="Medical Oncology-Poulsbo"/>
    <x v="0"/>
    <m/>
    <n v="-14.63"/>
    <n v="55.34"/>
    <n v="8.02"/>
    <n v="0"/>
    <n v="0"/>
    <n v="0"/>
    <n v="0"/>
    <n v="0"/>
    <n v="10.039999999999999"/>
    <n v="38.04"/>
    <n v="8.26"/>
    <n v="0"/>
    <n v="105.07000000000001"/>
    <n v="8.26"/>
  </r>
  <r>
    <x v="12"/>
    <x v="1"/>
    <x v="0"/>
    <s v="2686200"/>
    <n v="730020"/>
    <s v="Rental and Leases-Equipment (DO NOT USE)"/>
    <s v="Medical Oncology-Poulsbo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1"/>
    <x v="0"/>
    <s v="2686200"/>
    <n v="730020"/>
    <s v="Rental and Leases-Copier Usage Fees (DO NOT USE)"/>
    <s v="Medical Oncology-Poulsbo"/>
    <x v="0"/>
    <n v="5100"/>
    <n v="113.09"/>
    <n v="109.18"/>
    <n v="111.14"/>
    <n v="111.14"/>
    <n v="111.14"/>
    <n v="111.14"/>
    <n v="1075.17"/>
    <n v="67.11"/>
    <n v="69.760000000000005"/>
    <n v="242.32"/>
    <n v="72.66"/>
    <n v="85.3"/>
    <n v="2279.15"/>
    <n v="-12.64"/>
  </r>
  <r>
    <x v="15"/>
    <x v="1"/>
    <x v="0"/>
    <s v="2686200"/>
    <n v="731060"/>
    <s v="Cell Phones"/>
    <s v="Medical Oncology-Poulsbo"/>
    <x v="0"/>
    <n v="1001"/>
    <n v="0"/>
    <n v="107.98"/>
    <n v="111.02"/>
    <n v="0"/>
    <n v="58.2"/>
    <n v="27.8"/>
    <n v="312.12"/>
    <n v="0"/>
    <n v="71.790000000000006"/>
    <n v="97.37"/>
    <n v="48.06"/>
    <n v="48.7"/>
    <n v="883.04"/>
    <n v="-0.64000000000000057"/>
  </r>
  <r>
    <x v="0"/>
    <x v="1"/>
    <x v="0"/>
    <s v="2686200"/>
    <n v="740022"/>
    <s v="Education-Physician"/>
    <s v="Medical Oncology-Poulsbo"/>
    <x v="0"/>
    <m/>
    <n v="0"/>
    <n v="0"/>
    <n v="0"/>
    <n v="0"/>
    <n v="0"/>
    <n v="0"/>
    <n v="0"/>
    <n v="0"/>
    <n v="0"/>
    <n v="905"/>
    <n v="0"/>
    <n v="0"/>
    <n v="905"/>
    <n v="0"/>
  </r>
  <r>
    <x v="0"/>
    <x v="1"/>
    <x v="0"/>
    <s v="2686200"/>
    <n v="740022"/>
    <s v="Books-Physician"/>
    <s v="Medical Oncology-Poulsbo"/>
    <x v="0"/>
    <n v="2000"/>
    <n v="0"/>
    <n v="0"/>
    <n v="0"/>
    <n v="100"/>
    <n v="0"/>
    <n v="0"/>
    <n v="0"/>
    <n v="0"/>
    <n v="0"/>
    <n v="1991.43"/>
    <n v="0"/>
    <n v="0"/>
    <n v="2091.4300000000003"/>
    <n v="0"/>
  </r>
  <r>
    <x v="0"/>
    <x v="1"/>
    <x v="0"/>
    <s v="2686200"/>
    <n v="740023"/>
    <s v="Education-Advanced Practice Clinician"/>
    <s v="Medical Oncology-Poulsbo"/>
    <x v="0"/>
    <m/>
    <n v="1012.61"/>
    <n v="0"/>
    <n v="90"/>
    <n v="0"/>
    <n v="0"/>
    <n v="400"/>
    <n v="0"/>
    <n v="0"/>
    <n v="0"/>
    <n v="0"/>
    <n v="813"/>
    <n v="0"/>
    <n v="2315.61"/>
    <n v="813"/>
  </r>
  <r>
    <x v="0"/>
    <x v="1"/>
    <x v="0"/>
    <s v="2686200"/>
    <n v="740023"/>
    <s v="Books-Advanced Practice Clinician"/>
    <s v="Medical Oncology-Poulsbo"/>
    <x v="0"/>
    <n v="2000"/>
    <n v="0"/>
    <n v="141.54"/>
    <n v="0"/>
    <n v="0"/>
    <n v="0"/>
    <n v="0"/>
    <n v="0"/>
    <n v="0"/>
    <n v="0"/>
    <n v="0"/>
    <n v="0"/>
    <n v="0"/>
    <n v="141.54"/>
    <n v="0"/>
  </r>
  <r>
    <x v="8"/>
    <x v="1"/>
    <x v="0"/>
    <s v="2686200"/>
    <n v="741012"/>
    <s v="Physician Liab Insurance-CHI Program"/>
    <s v="Medical Oncology-Poulsbo"/>
    <x v="0"/>
    <m/>
    <n v="1539.42"/>
    <n v="1539.42"/>
    <n v="1539.42"/>
    <n v="1539.42"/>
    <n v="1539.42"/>
    <n v="1539.41"/>
    <n v="1539.42"/>
    <n v="1539.41"/>
    <n v="1539.42"/>
    <n v="1539.41"/>
    <n v="1539.42"/>
    <n v="1539.41"/>
    <n v="18473"/>
    <n v="9.9999999999909051E-3"/>
  </r>
  <r>
    <x v="0"/>
    <x v="1"/>
    <x v="0"/>
    <s v="2686200"/>
    <n v="743022"/>
    <s v="Dues-Physician"/>
    <s v="Medical Oncology-Poulsbo"/>
    <x v="0"/>
    <m/>
    <n v="0"/>
    <n v="0"/>
    <n v="0"/>
    <n v="0"/>
    <n v="0"/>
    <n v="0"/>
    <n v="0"/>
    <n v="2490"/>
    <n v="0"/>
    <n v="465"/>
    <n v="0"/>
    <n v="0"/>
    <n v="2955"/>
    <n v="0"/>
  </r>
  <r>
    <x v="0"/>
    <x v="1"/>
    <x v="0"/>
    <s v="2686200"/>
    <n v="743023"/>
    <s v="Dues-Advanced Practice Clinician"/>
    <s v="Medical Oncology-Poulsbo"/>
    <x v="0"/>
    <m/>
    <n v="0"/>
    <n v="0"/>
    <n v="95"/>
    <n v="0"/>
    <n v="0"/>
    <n v="0"/>
    <n v="0"/>
    <n v="600"/>
    <n v="0"/>
    <n v="0"/>
    <n v="0"/>
    <n v="0"/>
    <n v="695"/>
    <n v="0"/>
  </r>
  <r>
    <x v="0"/>
    <x v="1"/>
    <x v="0"/>
    <s v="2686200"/>
    <n v="749510"/>
    <s v="Miscellaneous Expenses"/>
    <s v="Medical Oncology-Poulsbo"/>
    <x v="0"/>
    <m/>
    <n v="-565.71"/>
    <n v="0"/>
    <n v="0"/>
    <n v="657"/>
    <n v="859.45"/>
    <n v="-1516.45"/>
    <n v="0"/>
    <n v="0"/>
    <n v="0"/>
    <n v="0"/>
    <n v="0"/>
    <n v="539.44000000000005"/>
    <n v="-26.269999999999982"/>
    <n v="-539.44000000000005"/>
  </r>
  <r>
    <x v="0"/>
    <x v="1"/>
    <x v="0"/>
    <s v="2686200"/>
    <n v="749512"/>
    <s v="Licenses-Physician"/>
    <s v="Medical Oncology-Poulsbo"/>
    <x v="0"/>
    <n v="2000"/>
    <n v="0"/>
    <n v="0"/>
    <n v="657"/>
    <n v="0"/>
    <n v="657"/>
    <n v="0"/>
    <n v="0"/>
    <n v="0"/>
    <n v="0"/>
    <n v="0"/>
    <n v="0"/>
    <n v="160"/>
    <n v="1474"/>
    <n v="-160"/>
  </r>
  <r>
    <x v="0"/>
    <x v="1"/>
    <x v="0"/>
    <s v="2686200"/>
    <n v="749513"/>
    <s v="Licenses-Advanced Practice Clinician"/>
    <s v="Medical Oncology-Poulsbo"/>
    <x v="0"/>
    <n v="2000"/>
    <n v="0"/>
    <n v="0"/>
    <n v="0"/>
    <n v="0"/>
    <n v="0"/>
    <n v="0"/>
    <n v="120"/>
    <n v="0"/>
    <n v="0"/>
    <n v="0"/>
    <n v="352"/>
    <n v="0"/>
    <n v="472"/>
    <n v="352"/>
  </r>
  <r>
    <x v="0"/>
    <x v="1"/>
    <x v="0"/>
    <s v="2686200"/>
    <n v="749532"/>
    <s v="Travel-Physician"/>
    <s v="Medical Oncology-Poulsbo"/>
    <x v="0"/>
    <m/>
    <n v="0"/>
    <n v="1139.55"/>
    <n v="0"/>
    <n v="0"/>
    <n v="0"/>
    <n v="0"/>
    <n v="0"/>
    <n v="0"/>
    <n v="0"/>
    <n v="0"/>
    <n v="0"/>
    <n v="0"/>
    <n v="1139.55"/>
    <n v="0"/>
  </r>
  <r>
    <x v="0"/>
    <x v="1"/>
    <x v="0"/>
    <s v="2686200"/>
    <n v="749533"/>
    <s v="Travel-Advanced Practice Clinician"/>
    <s v="Medical Oncology-Poulsbo"/>
    <x v="0"/>
    <m/>
    <n v="0"/>
    <n v="0"/>
    <n v="0"/>
    <n v="1087.6300000000001"/>
    <n v="0"/>
    <n v="1116.45"/>
    <n v="0"/>
    <n v="0"/>
    <n v="0"/>
    <n v="0"/>
    <n v="0"/>
    <n v="0"/>
    <n v="2204.08"/>
    <n v="0"/>
  </r>
  <r>
    <x v="1"/>
    <x v="1"/>
    <x v="0"/>
    <s v="2687200"/>
    <n v="400029"/>
    <s v="MD Practice Other Rev--Medicare"/>
    <s v="Cardiac Thoracic Anesthesiolog"/>
    <x v="0"/>
    <n v="1100"/>
    <n v="-480"/>
    <n v="-640"/>
    <n v="-200"/>
    <n v="0"/>
    <n v="0"/>
    <n v="0"/>
    <n v="0"/>
    <n v="0"/>
    <n v="0"/>
    <n v="0"/>
    <n v="0"/>
    <n v="0"/>
    <n v="-1320"/>
    <n v="0"/>
  </r>
  <r>
    <x v="1"/>
    <x v="1"/>
    <x v="0"/>
    <s v="2687200"/>
    <n v="400029"/>
    <s v="MD Practice Other Rev--Medicaid"/>
    <s v="Cardiac Thoracic Anesthesiolog"/>
    <x v="0"/>
    <n v="1200"/>
    <n v="-80"/>
    <n v="0"/>
    <n v="0"/>
    <n v="0"/>
    <n v="0"/>
    <n v="0"/>
    <n v="0"/>
    <n v="0"/>
    <n v="0"/>
    <n v="0"/>
    <n v="0"/>
    <n v="0"/>
    <n v="-80"/>
    <n v="0"/>
  </r>
  <r>
    <x v="1"/>
    <x v="1"/>
    <x v="0"/>
    <s v="2687200"/>
    <n v="400029"/>
    <s v="MD Practice Other Rev--BCBS Comm"/>
    <s v="Cardiac Thoracic Anesthesiolog"/>
    <x v="0"/>
    <n v="1301"/>
    <n v="-40"/>
    <n v="-40"/>
    <n v="-40"/>
    <n v="0"/>
    <n v="0"/>
    <n v="0"/>
    <n v="0"/>
    <n v="0"/>
    <n v="0"/>
    <n v="0"/>
    <n v="0"/>
    <n v="0"/>
    <n v="-120"/>
    <n v="0"/>
  </r>
  <r>
    <x v="1"/>
    <x v="1"/>
    <x v="0"/>
    <s v="2687200"/>
    <n v="400029"/>
    <s v="MD Practice Other Rev--Managed Care"/>
    <s v="Cardiac Thoracic Anesthesiolog"/>
    <x v="0"/>
    <n v="1400"/>
    <n v="-240"/>
    <n v="-80"/>
    <n v="-160"/>
    <n v="0"/>
    <n v="0"/>
    <n v="0"/>
    <n v="0"/>
    <n v="0"/>
    <n v="0"/>
    <n v="0"/>
    <n v="0"/>
    <n v="0"/>
    <n v="-480"/>
    <n v="0"/>
  </r>
  <r>
    <x v="1"/>
    <x v="1"/>
    <x v="0"/>
    <s v="2687200"/>
    <n v="400029"/>
    <s v="MD Practice Other Rev--Self Pay"/>
    <s v="Cardiac Thoracic Anesthesiolog"/>
    <x v="0"/>
    <n v="1500"/>
    <n v="0"/>
    <n v="0"/>
    <n v="0"/>
    <n v="0"/>
    <n v="-40"/>
    <n v="0"/>
    <n v="0"/>
    <n v="0"/>
    <n v="0"/>
    <n v="0"/>
    <n v="0"/>
    <n v="0"/>
    <n v="-40"/>
    <n v="0"/>
  </r>
  <r>
    <x v="1"/>
    <x v="1"/>
    <x v="0"/>
    <s v="2687200"/>
    <n v="400029"/>
    <s v="MD Practice Other Rev--Other"/>
    <s v="Cardiac Thoracic Anesthesiolog"/>
    <x v="0"/>
    <n v="1700"/>
    <n v="0"/>
    <n v="-80"/>
    <n v="0"/>
    <n v="0"/>
    <n v="0"/>
    <n v="0"/>
    <n v="0"/>
    <n v="0"/>
    <n v="0"/>
    <n v="0"/>
    <n v="0"/>
    <n v="0"/>
    <n v="-80"/>
    <n v="0"/>
  </r>
  <r>
    <x v="1"/>
    <x v="1"/>
    <x v="0"/>
    <s v="2687200"/>
    <n v="400040"/>
    <s v="Physician Svcs Rev--Medicare"/>
    <s v="Cardiac Thoracic Anesthesiolog"/>
    <x v="0"/>
    <n v="1100"/>
    <n v="-155549"/>
    <n v="-169682"/>
    <n v="-101424"/>
    <n v="-1920"/>
    <n v="-387551.41"/>
    <n v="-159493.43"/>
    <n v="-144559.62"/>
    <n v="-130240.3"/>
    <n v="-105629.35"/>
    <n v="-152894.34"/>
    <n v="-152027.93"/>
    <n v="-248907.31"/>
    <n v="-1909878.6900000002"/>
    <n v="96879.38"/>
  </r>
  <r>
    <x v="1"/>
    <x v="1"/>
    <x v="0"/>
    <s v="2687200"/>
    <n v="400040"/>
    <s v="Physician Svcs Rev--Medicaid"/>
    <s v="Cardiac Thoracic Anesthesiolog"/>
    <x v="0"/>
    <n v="1200"/>
    <n v="-16383"/>
    <n v="-13178"/>
    <n v="-20050"/>
    <n v="0"/>
    <n v="-37134.01"/>
    <n v="-10254"/>
    <n v="-39096.15"/>
    <n v="-21640.94"/>
    <n v="-27577.49"/>
    <n v="-19767.240000000002"/>
    <n v="-45196.25"/>
    <n v="-41512.980000000003"/>
    <n v="-291790.06"/>
    <n v="-3683.2699999999968"/>
  </r>
  <r>
    <x v="1"/>
    <x v="1"/>
    <x v="0"/>
    <s v="2687200"/>
    <n v="400040"/>
    <s v="Physician Svcs Rev--Comm Insurance"/>
    <s v="Cardiac Thoracic Anesthesiolog"/>
    <x v="0"/>
    <n v="1300"/>
    <n v="-2620"/>
    <n v="0"/>
    <n v="0"/>
    <n v="0"/>
    <n v="-175464.05"/>
    <n v="-75363.38"/>
    <n v="-59055.92"/>
    <n v="-84423.54"/>
    <n v="-43765.71"/>
    <n v="-35799.050000000003"/>
    <n v="-53295.34"/>
    <n v="-101315.99"/>
    <n v="-631102.98"/>
    <n v="48020.650000000009"/>
  </r>
  <r>
    <x v="1"/>
    <x v="1"/>
    <x v="0"/>
    <s v="2687200"/>
    <n v="400040"/>
    <s v="Physician Svcs Rev--BCBS Comm"/>
    <s v="Cardiac Thoracic Anesthesiolog"/>
    <x v="0"/>
    <n v="1301"/>
    <n v="-27159"/>
    <n v="-5545"/>
    <n v="-6265"/>
    <n v="0"/>
    <n v="0"/>
    <n v="0"/>
    <n v="0"/>
    <n v="0"/>
    <n v="0"/>
    <n v="0"/>
    <n v="0"/>
    <n v="0"/>
    <n v="-38969"/>
    <n v="0"/>
  </r>
  <r>
    <x v="1"/>
    <x v="1"/>
    <x v="0"/>
    <s v="2687200"/>
    <n v="400040"/>
    <s v="Physician Svcs Rev--Managed Care"/>
    <s v="Cardiac Thoracic Anesthesiolog"/>
    <x v="0"/>
    <n v="1400"/>
    <n v="-50401"/>
    <n v="-20704"/>
    <n v="-33902"/>
    <n v="0"/>
    <n v="0"/>
    <n v="0"/>
    <n v="0"/>
    <n v="0"/>
    <n v="0"/>
    <n v="0"/>
    <n v="0"/>
    <n v="0"/>
    <n v="-105007"/>
    <n v="0"/>
  </r>
  <r>
    <x v="1"/>
    <x v="1"/>
    <x v="0"/>
    <s v="2687200"/>
    <n v="400040"/>
    <s v="Physician Svcs Rev--Self Pay"/>
    <s v="Cardiac Thoracic Anesthesiolog"/>
    <x v="0"/>
    <n v="1500"/>
    <n v="0"/>
    <n v="0"/>
    <n v="0"/>
    <n v="0"/>
    <n v="-23505.53"/>
    <n v="-8589.19"/>
    <n v="-9908.31"/>
    <n v="1624.78"/>
    <n v="-17514.45"/>
    <n v="-2999.37"/>
    <n v="-5100.4799999999996"/>
    <n v="-30203.72"/>
    <n v="-96196.27"/>
    <n v="25103.24"/>
  </r>
  <r>
    <x v="1"/>
    <x v="1"/>
    <x v="0"/>
    <s v="2687200"/>
    <n v="400040"/>
    <s v="Physician Svcs Rev--Other"/>
    <s v="Cardiac Thoracic Anesthesiolog"/>
    <x v="0"/>
    <n v="1700"/>
    <n v="-1233"/>
    <n v="-28515"/>
    <n v="-5176"/>
    <n v="0"/>
    <n v="0"/>
    <n v="0"/>
    <n v="0"/>
    <n v="-1540"/>
    <n v="0"/>
    <n v="0"/>
    <n v="0"/>
    <n v="0"/>
    <n v="-36464"/>
    <n v="0"/>
  </r>
  <r>
    <x v="2"/>
    <x v="1"/>
    <x v="0"/>
    <s v="2687200"/>
    <n v="450029"/>
    <s v="Contr Allow--MD Other-Medicare"/>
    <s v="Cardiac Thoracic Anesthesiolog"/>
    <x v="0"/>
    <n v="1100"/>
    <n v="182.1"/>
    <n v="454.86"/>
    <n v="320.57"/>
    <n v="25.14"/>
    <n v="-25.75"/>
    <n v="-0.03"/>
    <n v="0"/>
    <n v="-76.180000000000007"/>
    <n v="107.66"/>
    <n v="25.52"/>
    <n v="-25.14"/>
    <n v="0"/>
    <n v="988.75"/>
    <n v="-25.14"/>
  </r>
  <r>
    <x v="2"/>
    <x v="1"/>
    <x v="0"/>
    <s v="2687200"/>
    <n v="450029"/>
    <s v="Contr Allow--MD Other-Medicaid"/>
    <s v="Cardiac Thoracic Anesthesiolog"/>
    <x v="0"/>
    <n v="1200"/>
    <n v="122.65"/>
    <n v="122.25"/>
    <n v="-63"/>
    <n v="31.5"/>
    <n v="0"/>
    <n v="30.99"/>
    <n v="0"/>
    <n v="30.99"/>
    <n v="30.99"/>
    <n v="0"/>
    <n v="-30.22"/>
    <n v="0"/>
    <n v="276.14999999999998"/>
    <n v="-30.22"/>
  </r>
  <r>
    <x v="2"/>
    <x v="1"/>
    <x v="0"/>
    <s v="2687200"/>
    <n v="450029"/>
    <s v="Contr Allow--MD Other BCBS Comm"/>
    <s v="Cardiac Thoracic Anesthesiolog"/>
    <x v="0"/>
    <n v="1301"/>
    <n v="0"/>
    <n v="20.16"/>
    <n v="40.32"/>
    <n v="0"/>
    <n v="0"/>
    <n v="0"/>
    <n v="0"/>
    <n v="0"/>
    <n v="0"/>
    <n v="0"/>
    <n v="0"/>
    <n v="0"/>
    <n v="60.480000000000004"/>
    <n v="0"/>
  </r>
  <r>
    <x v="2"/>
    <x v="1"/>
    <x v="0"/>
    <s v="2687200"/>
    <n v="450029"/>
    <s v="Contr Allow--MD Other-Managed Care"/>
    <s v="Cardiac Thoracic Anesthesiolog"/>
    <x v="0"/>
    <n v="1400"/>
    <n v="113.78"/>
    <n v="111.02"/>
    <n v="74.959999999999994"/>
    <n v="53.76"/>
    <n v="0"/>
    <n v="0"/>
    <n v="40"/>
    <n v="0"/>
    <n v="0"/>
    <n v="0"/>
    <n v="4.54"/>
    <n v="0"/>
    <n v="398.06"/>
    <n v="4.54"/>
  </r>
  <r>
    <x v="2"/>
    <x v="1"/>
    <x v="0"/>
    <s v="2687200"/>
    <n v="450029"/>
    <s v="Contr Allow--MD Other-Other"/>
    <s v="Cardiac Thoracic Anesthesiolog"/>
    <x v="0"/>
    <n v="1700"/>
    <n v="41.71"/>
    <n v="0"/>
    <n v="25.27"/>
    <n v="0"/>
    <n v="0"/>
    <n v="0"/>
    <n v="0"/>
    <n v="0"/>
    <n v="0"/>
    <n v="0"/>
    <n v="0"/>
    <n v="0"/>
    <n v="66.98"/>
    <n v="0"/>
  </r>
  <r>
    <x v="2"/>
    <x v="1"/>
    <x v="0"/>
    <s v="2687200"/>
    <n v="450040"/>
    <s v="Contr Allow--Phys Svcs--Mcare"/>
    <s v="Cardiac Thoracic Anesthesiolog"/>
    <x v="0"/>
    <n v="1100"/>
    <n v="63408.41"/>
    <n v="165422.42000000001"/>
    <n v="138396.73000000001"/>
    <n v="26717.919999999998"/>
    <n v="216818.31"/>
    <n v="71925.710000000006"/>
    <n v="150096.9"/>
    <n v="127872.31"/>
    <n v="159374.76999999999"/>
    <n v="101488.84"/>
    <n v="108782.58"/>
    <n v="169110.55"/>
    <n v="1499415.4500000002"/>
    <n v="-60327.969999999987"/>
  </r>
  <r>
    <x v="2"/>
    <x v="1"/>
    <x v="0"/>
    <s v="2687200"/>
    <n v="450040"/>
    <s v="Contr Allow--Phys Svcs--Mcaid"/>
    <s v="Cardiac Thoracic Anesthesiolog"/>
    <x v="0"/>
    <n v="1200"/>
    <n v="27449.43"/>
    <n v="22212.560000000001"/>
    <n v="13140.75"/>
    <n v="9068.41"/>
    <n v="11888.79"/>
    <n v="10296.18"/>
    <n v="7151.11"/>
    <n v="16403.95"/>
    <n v="17376.95"/>
    <n v="27241.26"/>
    <n v="11368.3"/>
    <n v="26258.42"/>
    <n v="199856.11"/>
    <n v="-14890.119999999999"/>
  </r>
  <r>
    <x v="2"/>
    <x v="1"/>
    <x v="0"/>
    <s v="2687200"/>
    <n v="450040"/>
    <s v="Contr Allow--Phys Svcs--Comm Insurance"/>
    <s v="Cardiac Thoracic Anesthesiolog"/>
    <x v="0"/>
    <n v="1300"/>
    <n v="0"/>
    <n v="827.1"/>
    <n v="0"/>
    <n v="0"/>
    <n v="58908.93"/>
    <n v="2804.32"/>
    <n v="25403.52"/>
    <n v="38185.919999999998"/>
    <n v="56787.21"/>
    <n v="50016.82"/>
    <n v="34397.97"/>
    <n v="43407.21"/>
    <n v="310739.00000000006"/>
    <n v="-9009.239999999998"/>
  </r>
  <r>
    <x v="2"/>
    <x v="1"/>
    <x v="0"/>
    <s v="2687200"/>
    <n v="450040"/>
    <s v="Contr Allow--Phys Svcs--BCBS Comm Ins"/>
    <s v="Cardiac Thoracic Anesthesiolog"/>
    <x v="0"/>
    <n v="1301"/>
    <n v="3419.28"/>
    <n v="10802.2"/>
    <n v="6794.33"/>
    <n v="0"/>
    <n v="0"/>
    <n v="0"/>
    <n v="0"/>
    <n v="0"/>
    <n v="0"/>
    <n v="0"/>
    <n v="0"/>
    <n v="0"/>
    <n v="21015.81"/>
    <n v="0"/>
  </r>
  <r>
    <x v="2"/>
    <x v="1"/>
    <x v="0"/>
    <s v="2687200"/>
    <n v="450040"/>
    <s v="Contr Allow--Phys Svcs--Managed Care"/>
    <s v="Cardiac Thoracic Anesthesiolog"/>
    <x v="0"/>
    <n v="1400"/>
    <n v="16087.92"/>
    <n v="23629.5"/>
    <n v="18021.97"/>
    <n v="10310.75"/>
    <n v="174.47"/>
    <n v="674"/>
    <n v="7991"/>
    <n v="0"/>
    <n v="0"/>
    <n v="0"/>
    <n v="577.53"/>
    <n v="1500"/>
    <n v="78967.14"/>
    <n v="-922.47"/>
  </r>
  <r>
    <x v="2"/>
    <x v="1"/>
    <x v="0"/>
    <s v="2687200"/>
    <n v="450040"/>
    <s v="Contr Allow--Phys Svcs--BCBS Mgnd Care"/>
    <s v="Cardiac Thoracic Anesthesiolog"/>
    <x v="0"/>
    <n v="1401"/>
    <n v="43671.68"/>
    <n v="-42061.26"/>
    <n v="-45182.52"/>
    <n v="-33153"/>
    <n v="194265.4"/>
    <n v="106082.45"/>
    <n v="1500.99"/>
    <n v="-6416.24"/>
    <n v="-87341.45"/>
    <n v="-2211.5300000000002"/>
    <n v="44694.63"/>
    <n v="79137.47"/>
    <n v="252986.62"/>
    <n v="-34442.840000000004"/>
  </r>
  <r>
    <x v="2"/>
    <x v="1"/>
    <x v="0"/>
    <s v="2687200"/>
    <n v="450040"/>
    <s v="Admin Adjust-Phys Svcs-Self Pay"/>
    <s v="Cardiac Thoracic Anesthesiolog"/>
    <x v="0"/>
    <n v="1600"/>
    <n v="304.44"/>
    <n v="9.3699999999999992"/>
    <n v="18"/>
    <n v="0.34"/>
    <n v="0"/>
    <n v="1988.37"/>
    <n v="-10"/>
    <n v="-0.3"/>
    <n v="7.45"/>
    <n v="10"/>
    <n v="0"/>
    <n v="10"/>
    <n v="2337.6699999999996"/>
    <n v="-10"/>
  </r>
  <r>
    <x v="2"/>
    <x v="1"/>
    <x v="0"/>
    <s v="2687200"/>
    <n v="450040"/>
    <s v="Contr Allow--Phys Svcs--Other"/>
    <s v="Cardiac Thoracic Anesthesiolog"/>
    <x v="0"/>
    <n v="1700"/>
    <n v="8359.06"/>
    <n v="7910.51"/>
    <n v="14589.49"/>
    <n v="1964.16"/>
    <n v="-226.06"/>
    <n v="489.02"/>
    <n v="-110.65"/>
    <n v="2088.39"/>
    <n v="0"/>
    <n v="0"/>
    <n v="191.32"/>
    <n v="1279.25"/>
    <n v="36534.49"/>
    <n v="-1087.93"/>
  </r>
  <r>
    <x v="3"/>
    <x v="1"/>
    <x v="0"/>
    <s v="2687200"/>
    <n v="470040"/>
    <s v="Charity Care-Physician Svcs"/>
    <s v="Cardiac Thoracic Anesthesiolog"/>
    <x v="0"/>
    <m/>
    <n v="1858.22"/>
    <n v="8.76"/>
    <n v="-1938.23"/>
    <n v="-952.77"/>
    <n v="2855.87"/>
    <n v="-396.05"/>
    <n v="5564.03"/>
    <n v="-2395.8200000000002"/>
    <n v="3486.78"/>
    <n v="-966.97"/>
    <n v="-1330.55"/>
    <n v="33604.449999999997"/>
    <n v="39397.72"/>
    <n v="-34935"/>
  </r>
  <r>
    <x v="4"/>
    <x v="1"/>
    <x v="0"/>
    <s v="2687200"/>
    <n v="490010"/>
    <s v="Provision for Bad Debts"/>
    <s v="Cardiac Thoracic Anesthesiolog"/>
    <x v="0"/>
    <m/>
    <n v="8727.7999999999993"/>
    <n v="867.54"/>
    <n v="-5460.68"/>
    <n v="-4118.7299999999996"/>
    <n v="7180.09"/>
    <n v="5389.96"/>
    <n v="8141.83"/>
    <n v="9783.6200000000008"/>
    <n v="3285.33"/>
    <n v="8052.22"/>
    <n v="4344.29"/>
    <n v="23941.05"/>
    <n v="70134.320000000007"/>
    <n v="-19596.759999999998"/>
  </r>
  <r>
    <x v="14"/>
    <x v="1"/>
    <x v="0"/>
    <s v="2687200"/>
    <n v="600050"/>
    <s v="Miscellaneous Revenue"/>
    <s v="Cardiac Thoracic Anesthesiolog"/>
    <x v="0"/>
    <m/>
    <n v="-9230.76"/>
    <n v="-19231.259999999998"/>
    <n v="-9230.76"/>
    <n v="-9230.76"/>
    <n v="-13846.14"/>
    <n v="-23146.14"/>
    <n v="-9230.76"/>
    <n v="-26480.76"/>
    <n v="-9230.73"/>
    <n v="-9230.76"/>
    <n v="-9230.76"/>
    <n v="-26296.14"/>
    <n v="-173615.72999999998"/>
    <n v="17065.379999999997"/>
  </r>
  <r>
    <x v="5"/>
    <x v="1"/>
    <x v="0"/>
    <s v="2687200"/>
    <n v="700020"/>
    <s v="Salaries-Physician Admin-Other"/>
    <s v="Cardiac Thoracic Anesthesiolog"/>
    <x v="0"/>
    <n v="2000"/>
    <n v="0"/>
    <n v="10000.5"/>
    <n v="0"/>
    <n v="0"/>
    <n v="0"/>
    <n v="9300"/>
    <n v="0"/>
    <n v="17250"/>
    <n v="0"/>
    <n v="0"/>
    <n v="0"/>
    <n v="12450"/>
    <n v="49000.5"/>
    <n v="-12450"/>
  </r>
  <r>
    <x v="5"/>
    <x v="1"/>
    <x v="0"/>
    <s v="2687200"/>
    <n v="700022"/>
    <s v="Salaries-Physician-Productive"/>
    <s v="Cardiac Thoracic Anesthesiolog"/>
    <x v="0"/>
    <m/>
    <n v="160346.19"/>
    <n v="187634.69"/>
    <n v="145769.28"/>
    <n v="167634.65"/>
    <n v="160346.23000000001"/>
    <n v="173057.73"/>
    <n v="167891.29"/>
    <n v="145983.14000000001"/>
    <n v="153172.6"/>
    <n v="160324.03"/>
    <n v="207634.69"/>
    <n v="125769.28"/>
    <n v="1955563.8000000003"/>
    <n v="81865.41"/>
  </r>
  <r>
    <x v="5"/>
    <x v="1"/>
    <x v="0"/>
    <s v="2687200"/>
    <n v="700022"/>
    <s v="Salaries-Physician-Other"/>
    <s v="Cardiac Thoracic Anesthesiolog"/>
    <x v="0"/>
    <n v="2000"/>
    <n v="9230.76"/>
    <n v="9230.76"/>
    <n v="9230.76"/>
    <n v="9230.76"/>
    <n v="13846.14"/>
    <n v="13846.14"/>
    <n v="9230.76"/>
    <n v="9230.76"/>
    <n v="9230.73"/>
    <n v="9230.76"/>
    <n v="9230.77"/>
    <n v="13846.14"/>
    <n v="124615.23999999999"/>
    <n v="-4615.369999999999"/>
  </r>
  <r>
    <x v="5"/>
    <x v="1"/>
    <x v="0"/>
    <s v="2687200"/>
    <n v="700022"/>
    <s v="Salaries-Physician-Provider Incentive"/>
    <s v="Cardiac Thoracic Anesthesiolog"/>
    <x v="0"/>
    <n v="4003"/>
    <n v="0"/>
    <n v="0"/>
    <n v="0"/>
    <n v="0"/>
    <n v="0"/>
    <n v="0"/>
    <n v="0"/>
    <n v="0"/>
    <n v="20025.22"/>
    <n v="0"/>
    <n v="0"/>
    <n v="0"/>
    <n v="20025.22"/>
    <n v="0"/>
  </r>
  <r>
    <x v="5"/>
    <x v="1"/>
    <x v="0"/>
    <s v="2687200"/>
    <n v="700062"/>
    <s v="Salaries-Physician-Non-productive"/>
    <s v="Cardiac Thoracic Anesthesiolog"/>
    <x v="0"/>
    <m/>
    <n v="6666.67"/>
    <n v="-13333.33"/>
    <n v="6666.67"/>
    <n v="6666.67"/>
    <n v="0"/>
    <n v="-13333.33"/>
    <n v="0"/>
    <n v="0"/>
    <n v="0"/>
    <n v="0"/>
    <n v="-20000.03"/>
    <n v="0"/>
    <n v="-26666.68"/>
    <n v="-20000.03"/>
  </r>
  <r>
    <x v="6"/>
    <x v="1"/>
    <x v="0"/>
    <s v="2687200"/>
    <n v="713010"/>
    <s v="Benefits-FICA/Medicare"/>
    <s v="Cardiac Thoracic Anesthesiolog"/>
    <x v="0"/>
    <m/>
    <n v="2291.84"/>
    <n v="2687.42"/>
    <n v="2082.94"/>
    <n v="2395.98"/>
    <n v="2295.9699999999998"/>
    <n v="7389.24"/>
    <n v="12648.04"/>
    <n v="12217.54"/>
    <n v="8872.06"/>
    <n v="1215.53"/>
    <n v="2976.84"/>
    <n v="1905.95"/>
    <n v="58979.349999999991"/>
    <n v="1070.8900000000001"/>
  </r>
  <r>
    <x v="6"/>
    <x v="1"/>
    <x v="0"/>
    <s v="2687200"/>
    <n v="713090"/>
    <s v="Benefits-Allocated Amounts"/>
    <s v="Cardiac Thoracic Anesthesiolo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2687200"/>
    <n v="713092"/>
    <s v="Allocated Benefits-Physician"/>
    <s v="Cardiac Thoracic Anesthesiolog"/>
    <x v="0"/>
    <m/>
    <n v="10669.05"/>
    <n v="10163.620000000001"/>
    <n v="9375.6"/>
    <n v="9803.18"/>
    <n v="9743.64"/>
    <n v="11060.96"/>
    <n v="12647.8"/>
    <n v="12418.37"/>
    <n v="14550.37"/>
    <n v="11584.33"/>
    <n v="12218.91"/>
    <n v="10624.93"/>
    <n v="134860.75999999998"/>
    <n v="1593.9799999999996"/>
  </r>
  <r>
    <x v="7"/>
    <x v="1"/>
    <x v="0"/>
    <s v="2687200"/>
    <n v="718050"/>
    <s v="Miscellaneous Purchased Svcs"/>
    <s v="Cardiac Thoracic Anesthesiolog"/>
    <x v="0"/>
    <n v="1020"/>
    <n v="0"/>
    <n v="0"/>
    <n v="0"/>
    <n v="0"/>
    <n v="0"/>
    <n v="0"/>
    <n v="3126.75"/>
    <n v="-3126.75"/>
    <n v="4742.45"/>
    <n v="0"/>
    <n v="2994.4"/>
    <n v="4597.75"/>
    <n v="12334.6"/>
    <n v="-1603.35"/>
  </r>
  <r>
    <x v="15"/>
    <x v="1"/>
    <x v="0"/>
    <s v="2687200"/>
    <n v="731060"/>
    <s v="Pagers"/>
    <s v="Cardiac Thoracic Anesthesiolog"/>
    <x v="0"/>
    <n v="1002"/>
    <n v="8.1"/>
    <n v="8.1"/>
    <n v="8.1"/>
    <n v="8.1199999999999992"/>
    <n v="8.1199999999999992"/>
    <n v="0"/>
    <n v="35.65"/>
    <n v="0"/>
    <n v="0"/>
    <n v="0"/>
    <n v="0"/>
    <n v="0"/>
    <n v="76.19"/>
    <n v="0"/>
  </r>
  <r>
    <x v="0"/>
    <x v="1"/>
    <x v="0"/>
    <s v="2687200"/>
    <n v="740022"/>
    <s v="Education-Physician"/>
    <s v="Cardiac Thoracic Anesthesiolog"/>
    <x v="0"/>
    <m/>
    <n v="0"/>
    <n v="0"/>
    <n v="0"/>
    <n v="2485"/>
    <n v="830"/>
    <n v="0"/>
    <n v="0"/>
    <n v="0"/>
    <n v="210"/>
    <n v="0"/>
    <n v="0"/>
    <n v="0"/>
    <n v="3525"/>
    <n v="0"/>
  </r>
  <r>
    <x v="0"/>
    <x v="1"/>
    <x v="0"/>
    <s v="2687200"/>
    <n v="740022"/>
    <s v="Books-Physician"/>
    <s v="Cardiac Thoracic Anesthesiolog"/>
    <x v="0"/>
    <n v="2000"/>
    <n v="2716.42"/>
    <n v="543.21"/>
    <n v="0"/>
    <n v="0"/>
    <n v="0"/>
    <n v="0"/>
    <n v="0"/>
    <n v="0"/>
    <n v="0"/>
    <n v="0"/>
    <n v="0"/>
    <n v="2390.3200000000002"/>
    <n v="5649.9500000000007"/>
    <n v="-2390.3200000000002"/>
  </r>
  <r>
    <x v="8"/>
    <x v="1"/>
    <x v="0"/>
    <s v="2687200"/>
    <n v="741012"/>
    <s v="Physician Liab Insurance-CHI Program"/>
    <s v="Cardiac Thoracic Anesthesiolog"/>
    <x v="0"/>
    <m/>
    <n v="3149.9"/>
    <n v="3149.9"/>
    <n v="3149.9"/>
    <n v="3149.9"/>
    <n v="3149.9"/>
    <n v="3149.86"/>
    <n v="3149.9"/>
    <n v="3149.86"/>
    <n v="3149.88"/>
    <n v="3149.86"/>
    <n v="3149.88"/>
    <n v="3149.86"/>
    <n v="37798.600000000006"/>
    <n v="1.999999999998181E-2"/>
  </r>
  <r>
    <x v="0"/>
    <x v="1"/>
    <x v="0"/>
    <s v="2687200"/>
    <n v="743022"/>
    <s v="Dues-Physician"/>
    <s v="Cardiac Thoracic Anesthesiolog"/>
    <x v="0"/>
    <m/>
    <n v="0"/>
    <n v="250"/>
    <n v="0"/>
    <n v="2100"/>
    <n v="0"/>
    <n v="0"/>
    <n v="1425"/>
    <n v="3320"/>
    <n v="0"/>
    <n v="0"/>
    <n v="0"/>
    <n v="0"/>
    <n v="7095"/>
    <n v="0"/>
  </r>
  <r>
    <x v="0"/>
    <x v="1"/>
    <x v="0"/>
    <s v="2687200"/>
    <n v="744012"/>
    <s v="Recruitment-Physician"/>
    <s v="Cardiac Thoracic Anesthesiolog"/>
    <x v="0"/>
    <m/>
    <n v="0"/>
    <n v="0"/>
    <n v="0"/>
    <n v="0"/>
    <n v="0"/>
    <n v="0"/>
    <n v="0"/>
    <n v="0"/>
    <n v="0"/>
    <n v="494.58"/>
    <n v="0"/>
    <n v="0"/>
    <n v="494.58"/>
    <n v="0"/>
  </r>
  <r>
    <x v="0"/>
    <x v="1"/>
    <x v="0"/>
    <s v="2687200"/>
    <n v="749510"/>
    <s v="Miscellaneous Expenses"/>
    <s v="Cardiac Thoracic Anesthesiolog"/>
    <x v="0"/>
    <m/>
    <n v="0"/>
    <n v="731"/>
    <n v="-731"/>
    <n v="0"/>
    <n v="0"/>
    <n v="0"/>
    <n v="0"/>
    <n v="210"/>
    <n v="-210"/>
    <n v="0"/>
    <n v="0"/>
    <n v="0"/>
    <n v="0"/>
    <n v="0"/>
  </r>
  <r>
    <x v="0"/>
    <x v="1"/>
    <x v="0"/>
    <s v="2687200"/>
    <n v="749512"/>
    <s v="Licenses-Physician"/>
    <s v="Cardiac Thoracic Anesthesiolog"/>
    <x v="0"/>
    <n v="2000"/>
    <n v="1850"/>
    <n v="0"/>
    <n v="731"/>
    <n v="0"/>
    <n v="0"/>
    <n v="0"/>
    <n v="731"/>
    <n v="0"/>
    <n v="731"/>
    <n v="659.5"/>
    <n v="0"/>
    <n v="657"/>
    <n v="5359.5"/>
    <n v="-657"/>
  </r>
  <r>
    <x v="0"/>
    <x v="1"/>
    <x v="0"/>
    <s v="2687200"/>
    <n v="749532"/>
    <s v="Travel-Physician"/>
    <s v="Cardiac Thoracic Anesthesiolog"/>
    <x v="0"/>
    <m/>
    <n v="0"/>
    <n v="0"/>
    <n v="0"/>
    <n v="2356.88"/>
    <n v="711.54"/>
    <n v="0"/>
    <n v="0"/>
    <n v="0"/>
    <n v="0"/>
    <n v="0"/>
    <n v="0"/>
    <n v="0"/>
    <n v="3068.42"/>
    <n v="0"/>
  </r>
  <r>
    <x v="1"/>
    <x v="1"/>
    <x v="0"/>
    <s v="2688200"/>
    <n v="400029"/>
    <s v="MD Practice Other Rev--Medicare"/>
    <s v="Cardiac Thoracic Surgeons"/>
    <x v="0"/>
    <n v="1100"/>
    <n v="0"/>
    <n v="-170"/>
    <n v="-143"/>
    <n v="0"/>
    <n v="-132"/>
    <n v="-25"/>
    <n v="0"/>
    <n v="-354"/>
    <n v="-65"/>
    <n v="-65"/>
    <n v="-652"/>
    <n v="-92"/>
    <n v="-1698"/>
    <n v="-560"/>
  </r>
  <r>
    <x v="1"/>
    <x v="1"/>
    <x v="0"/>
    <s v="2688200"/>
    <n v="400029"/>
    <s v="MD Practice Other Rev--Medicaid"/>
    <s v="Cardiac Thoracic Surgeons"/>
    <x v="0"/>
    <n v="1200"/>
    <n v="0"/>
    <n v="0"/>
    <n v="0"/>
    <n v="-92"/>
    <n v="0"/>
    <n v="-25"/>
    <n v="0"/>
    <n v="0"/>
    <n v="-92"/>
    <n v="40"/>
    <n v="0"/>
    <n v="-311"/>
    <n v="-480"/>
    <n v="311"/>
  </r>
  <r>
    <x v="1"/>
    <x v="1"/>
    <x v="0"/>
    <s v="2688200"/>
    <n v="400029"/>
    <s v="MD Practice Other Rev--Comm Insurance"/>
    <s v="Cardiac Thoracic Surgeons"/>
    <x v="0"/>
    <n v="1300"/>
    <n v="0"/>
    <n v="0"/>
    <n v="0"/>
    <n v="0"/>
    <n v="0"/>
    <n v="0"/>
    <n v="0"/>
    <n v="0"/>
    <n v="-40"/>
    <n v="0"/>
    <n v="0"/>
    <n v="0"/>
    <n v="-40"/>
    <n v="0"/>
  </r>
  <r>
    <x v="1"/>
    <x v="1"/>
    <x v="0"/>
    <s v="2688200"/>
    <n v="400029"/>
    <s v="MD Practice Other Rev--Managed Care"/>
    <s v="Cardiac Thoracic Surgeons"/>
    <x v="0"/>
    <n v="1400"/>
    <n v="0"/>
    <n v="0"/>
    <n v="0"/>
    <n v="-92"/>
    <n v="0"/>
    <n v="-157"/>
    <n v="0"/>
    <n v="0"/>
    <n v="0"/>
    <n v="0"/>
    <n v="-65"/>
    <n v="0"/>
    <n v="-314"/>
    <n v="-65"/>
  </r>
  <r>
    <x v="1"/>
    <x v="1"/>
    <x v="0"/>
    <s v="2688200"/>
    <n v="400029"/>
    <s v="MD Practice Other Rev--Self Pay"/>
    <s v="Cardiac Thoracic Surgeons"/>
    <x v="0"/>
    <n v="1500"/>
    <n v="0"/>
    <n v="0"/>
    <n v="0"/>
    <n v="0"/>
    <n v="0"/>
    <n v="0"/>
    <n v="0"/>
    <n v="0"/>
    <n v="0"/>
    <n v="0"/>
    <n v="-219"/>
    <n v="219"/>
    <n v="0"/>
    <n v="-438"/>
  </r>
  <r>
    <x v="1"/>
    <x v="1"/>
    <x v="0"/>
    <s v="2688200"/>
    <n v="400029"/>
    <s v="MD Practice Other Rev--Other"/>
    <s v="Cardiac Thoracic Surgeons"/>
    <x v="0"/>
    <n v="1700"/>
    <n v="0"/>
    <n v="0"/>
    <n v="0"/>
    <n v="0"/>
    <n v="0"/>
    <n v="0"/>
    <n v="0"/>
    <n v="0"/>
    <n v="0"/>
    <n v="0"/>
    <n v="-219"/>
    <n v="-92"/>
    <n v="-311"/>
    <n v="-127"/>
  </r>
  <r>
    <x v="1"/>
    <x v="1"/>
    <x v="0"/>
    <s v="2688200"/>
    <n v="400040"/>
    <s v="Physician Svcs Rev--Medicare"/>
    <s v="Cardiac Thoracic Surgeons"/>
    <x v="0"/>
    <n v="1100"/>
    <n v="-205351"/>
    <n v="-304289.5"/>
    <n v="-313891"/>
    <n v="-127956.25"/>
    <n v="-429460.97"/>
    <n v="-196461"/>
    <n v="-238285.5"/>
    <n v="-182475"/>
    <n v="-223006.75"/>
    <n v="-212159"/>
    <n v="-289563"/>
    <n v="-251627"/>
    <n v="-2974525.9699999997"/>
    <n v="-37936"/>
  </r>
  <r>
    <x v="1"/>
    <x v="1"/>
    <x v="0"/>
    <s v="2688200"/>
    <n v="400040"/>
    <s v="Physician Svcs Rev--Medicaid"/>
    <s v="Cardiac Thoracic Surgeons"/>
    <x v="0"/>
    <n v="1200"/>
    <n v="-21287"/>
    <n v="-9619"/>
    <n v="-34322"/>
    <n v="-17134"/>
    <n v="-44411.41"/>
    <n v="-43778"/>
    <n v="-45403.5"/>
    <n v="-24896"/>
    <n v="-25703"/>
    <n v="-85064.25"/>
    <n v="-53560"/>
    <n v="-82612"/>
    <n v="-487790.16000000003"/>
    <n v="29052"/>
  </r>
  <r>
    <x v="1"/>
    <x v="1"/>
    <x v="0"/>
    <s v="2688200"/>
    <n v="400040"/>
    <s v="Physician Svcs Rev--Comm Insurance"/>
    <s v="Cardiac Thoracic Surgeons"/>
    <x v="0"/>
    <n v="1300"/>
    <n v="0"/>
    <n v="0"/>
    <n v="-770"/>
    <n v="0"/>
    <n v="0"/>
    <n v="-1061"/>
    <n v="-1500"/>
    <n v="-1151"/>
    <n v="-21824"/>
    <n v="-13644"/>
    <n v="-10641"/>
    <n v="-11243"/>
    <n v="-61834"/>
    <n v="602"/>
  </r>
  <r>
    <x v="1"/>
    <x v="1"/>
    <x v="0"/>
    <s v="2688200"/>
    <n v="400040"/>
    <s v="Physician Svcs Rev--BCBS Comm"/>
    <s v="Cardiac Thoracic Surgeons"/>
    <x v="0"/>
    <n v="1301"/>
    <n v="-19697"/>
    <n v="-23778"/>
    <n v="-34160"/>
    <n v="-23820"/>
    <n v="-15220.11"/>
    <n v="-16970"/>
    <n v="-1305"/>
    <n v="-32731"/>
    <n v="-27075"/>
    <n v="-12866"/>
    <n v="-22712"/>
    <n v="-1020"/>
    <n v="-231354.11"/>
    <n v="-21692"/>
  </r>
  <r>
    <x v="1"/>
    <x v="1"/>
    <x v="0"/>
    <s v="2688200"/>
    <n v="400040"/>
    <s v="Physician Svcs Rev--Managed Care"/>
    <s v="Cardiac Thoracic Surgeons"/>
    <x v="0"/>
    <n v="1400"/>
    <n v="-73674"/>
    <n v="-68744.5"/>
    <n v="-115915.75"/>
    <n v="-16478"/>
    <n v="-114192.71"/>
    <n v="-138236.5"/>
    <n v="-84337.25"/>
    <n v="-83565"/>
    <n v="-52145"/>
    <n v="-53745.5"/>
    <n v="-107751"/>
    <n v="-61436"/>
    <n v="-970221.21"/>
    <n v="-46315"/>
  </r>
  <r>
    <x v="1"/>
    <x v="1"/>
    <x v="0"/>
    <s v="2688200"/>
    <n v="400040"/>
    <s v="Physician Svcs Rev--Self Pay"/>
    <s v="Cardiac Thoracic Surgeons"/>
    <x v="0"/>
    <n v="1500"/>
    <n v="1170"/>
    <n v="-176"/>
    <n v="-26"/>
    <n v="0"/>
    <n v="-7469.05"/>
    <n v="-376"/>
    <n v="0"/>
    <n v="0"/>
    <n v="-568"/>
    <n v="0"/>
    <n v="-316"/>
    <n v="0"/>
    <n v="-7761.05"/>
    <n v="-316"/>
  </r>
  <r>
    <x v="1"/>
    <x v="1"/>
    <x v="0"/>
    <s v="2688200"/>
    <n v="400040"/>
    <s v="Physician Svcs Rev--Other"/>
    <s v="Cardiac Thoracic Surgeons"/>
    <x v="0"/>
    <n v="1700"/>
    <n v="-7993"/>
    <n v="-38537"/>
    <n v="-17847"/>
    <n v="-14467"/>
    <n v="-49667"/>
    <n v="-27411"/>
    <n v="-10833"/>
    <n v="-1370"/>
    <n v="-1145"/>
    <n v="-8253"/>
    <n v="-31513"/>
    <n v="-3783"/>
    <n v="-212819"/>
    <n v="-27730"/>
  </r>
  <r>
    <x v="2"/>
    <x v="1"/>
    <x v="0"/>
    <s v="2688200"/>
    <n v="450029"/>
    <s v="Contr Allow--MD Other-Medicare"/>
    <s v="Cardiac Thoracic Surgeons"/>
    <x v="0"/>
    <n v="1100"/>
    <n v="59.8"/>
    <n v="49.75"/>
    <n v="150.26"/>
    <n v="0"/>
    <n v="58.61"/>
    <n v="43.5"/>
    <n v="0"/>
    <n v="0"/>
    <n v="0"/>
    <n v="65.58"/>
    <n v="69.56"/>
    <n v="633.89"/>
    <n v="1130.95"/>
    <n v="-564.32999999999993"/>
  </r>
  <r>
    <x v="2"/>
    <x v="1"/>
    <x v="0"/>
    <s v="2688200"/>
    <n v="450029"/>
    <s v="Contr Allow--MD Other-Medicaid"/>
    <s v="Cardiac Thoracic Surgeons"/>
    <x v="0"/>
    <n v="1200"/>
    <n v="58.92"/>
    <n v="0"/>
    <n v="0"/>
    <n v="70.2"/>
    <n v="0"/>
    <n v="19.96"/>
    <n v="0"/>
    <n v="0"/>
    <n v="0"/>
    <n v="0"/>
    <n v="0"/>
    <n v="283.11"/>
    <n v="432.19000000000005"/>
    <n v="-283.11"/>
  </r>
  <r>
    <x v="2"/>
    <x v="1"/>
    <x v="0"/>
    <s v="2688200"/>
    <n v="450029"/>
    <s v="Contr Allow--MD Other-Comm Insurance"/>
    <s v="Cardiac Thoracic Surgeons"/>
    <x v="0"/>
    <n v="1300"/>
    <n v="0"/>
    <n v="0"/>
    <n v="0"/>
    <n v="0"/>
    <n v="0"/>
    <n v="0"/>
    <n v="0"/>
    <n v="0"/>
    <n v="16.29"/>
    <n v="0"/>
    <n v="0"/>
    <n v="0"/>
    <n v="16.29"/>
    <n v="0"/>
  </r>
  <r>
    <x v="2"/>
    <x v="1"/>
    <x v="0"/>
    <s v="2688200"/>
    <n v="450029"/>
    <s v="Contr Allow--MD Other-Managed Care"/>
    <s v="Cardiac Thoracic Surgeons"/>
    <x v="0"/>
    <n v="1400"/>
    <n v="0"/>
    <n v="48.95"/>
    <n v="0"/>
    <n v="0"/>
    <n v="32.57"/>
    <n v="0"/>
    <n v="56.67"/>
    <n v="0"/>
    <n v="0"/>
    <n v="0"/>
    <n v="23.18"/>
    <n v="0"/>
    <n v="161.37"/>
    <n v="23.18"/>
  </r>
  <r>
    <x v="2"/>
    <x v="1"/>
    <x v="0"/>
    <s v="2688200"/>
    <n v="450029"/>
    <s v="Admin Adjust-MD Other-Self Pay"/>
    <s v="Cardiac Thoracic Surgeons"/>
    <x v="0"/>
    <n v="1600"/>
    <n v="0"/>
    <n v="0"/>
    <n v="0"/>
    <n v="0"/>
    <n v="0"/>
    <n v="0"/>
    <n v="0"/>
    <n v="0"/>
    <n v="0"/>
    <n v="0"/>
    <n v="81.03"/>
    <n v="-81.03"/>
    <n v="0"/>
    <n v="162.06"/>
  </r>
  <r>
    <x v="2"/>
    <x v="1"/>
    <x v="0"/>
    <s v="2688200"/>
    <n v="450029"/>
    <s v="Contr Allow--MD Other-Other"/>
    <s v="Cardiac Thoracic Surgeons"/>
    <x v="0"/>
    <n v="1700"/>
    <n v="0"/>
    <n v="0"/>
    <n v="0"/>
    <n v="0"/>
    <n v="0"/>
    <n v="0"/>
    <n v="0"/>
    <n v="0"/>
    <n v="0"/>
    <n v="0"/>
    <n v="0"/>
    <n v="138.26"/>
    <n v="138.26"/>
    <n v="-138.26"/>
  </r>
  <r>
    <x v="2"/>
    <x v="1"/>
    <x v="0"/>
    <s v="2688200"/>
    <n v="450040"/>
    <s v="Contr Allow--Phys Svcs--Mcare"/>
    <s v="Cardiac Thoracic Surgeons"/>
    <x v="0"/>
    <n v="1100"/>
    <n v="104133.05"/>
    <n v="199515.93"/>
    <n v="197625.61"/>
    <n v="197770.21"/>
    <n v="278219.44"/>
    <n v="215671.98"/>
    <n v="176330.64"/>
    <n v="128818.92"/>
    <n v="176485.41"/>
    <n v="180671.28"/>
    <n v="217393"/>
    <n v="147849.91"/>
    <n v="2220485.38"/>
    <n v="69543.09"/>
  </r>
  <r>
    <x v="2"/>
    <x v="1"/>
    <x v="0"/>
    <s v="2688200"/>
    <n v="450040"/>
    <s v="Contr Allow--Phys Svcs--Mcaid"/>
    <s v="Cardiac Thoracic Surgeons"/>
    <x v="0"/>
    <n v="1200"/>
    <n v="22577.919999999998"/>
    <n v="18820.87"/>
    <n v="19903.77"/>
    <n v="10441.16"/>
    <n v="20894.349999999999"/>
    <n v="27701.54"/>
    <n v="50690.11"/>
    <n v="30460.3"/>
    <n v="46199.29"/>
    <n v="24931.78"/>
    <n v="47270.68"/>
    <n v="40208.980000000003"/>
    <n v="360100.75"/>
    <n v="7061.6999999999971"/>
  </r>
  <r>
    <x v="2"/>
    <x v="1"/>
    <x v="0"/>
    <s v="2688200"/>
    <n v="450040"/>
    <s v="Contr Allow--Phys Svcs--Comm Insurance"/>
    <s v="Cardiac Thoracic Surgeons"/>
    <x v="0"/>
    <n v="1300"/>
    <n v="0"/>
    <n v="0"/>
    <n v="103.72"/>
    <n v="77.55"/>
    <n v="-62.64"/>
    <n v="145.38999999999999"/>
    <n v="494.96"/>
    <n v="145.38999999999999"/>
    <n v="814.48"/>
    <n v="11669.56"/>
    <n v="9366.77"/>
    <n v="535.13"/>
    <n v="23290.31"/>
    <n v="8831.6400000000012"/>
  </r>
  <r>
    <x v="2"/>
    <x v="1"/>
    <x v="0"/>
    <s v="2688200"/>
    <n v="450040"/>
    <s v="Contr Allow--Phys Svcs--BCBS Comm Ins"/>
    <s v="Cardiac Thoracic Surgeons"/>
    <x v="0"/>
    <n v="1301"/>
    <n v="397.46"/>
    <n v="35321.61"/>
    <n v="437.38"/>
    <n v="14122.47"/>
    <n v="46248.4"/>
    <n v="3669.86"/>
    <n v="6556.16"/>
    <n v="710.36"/>
    <n v="19549"/>
    <n v="16787.88"/>
    <n v="1107.6300000000001"/>
    <n v="8316.52"/>
    <n v="153224.73000000001"/>
    <n v="-7208.89"/>
  </r>
  <r>
    <x v="2"/>
    <x v="1"/>
    <x v="0"/>
    <s v="2688200"/>
    <n v="450040"/>
    <s v="Contr Allow--Phys Svcs--Managed Care"/>
    <s v="Cardiac Thoracic Surgeons"/>
    <x v="0"/>
    <n v="1400"/>
    <n v="11889.07"/>
    <n v="44873.68"/>
    <n v="35648.449999999997"/>
    <n v="31126.34"/>
    <n v="69760.09"/>
    <n v="35293.99"/>
    <n v="67544.89"/>
    <n v="70465.740000000005"/>
    <n v="66517.279999999999"/>
    <n v="4073.82"/>
    <n v="40649.49"/>
    <n v="51245.23"/>
    <n v="529088.07000000007"/>
    <n v="-10595.740000000005"/>
  </r>
  <r>
    <x v="2"/>
    <x v="1"/>
    <x v="0"/>
    <s v="2688200"/>
    <n v="450040"/>
    <s v="Contr Allow--Phys Svcs--BCBS Mgnd Care"/>
    <s v="Cardiac Thoracic Surgeons"/>
    <x v="0"/>
    <n v="1401"/>
    <n v="54962.02"/>
    <n v="-2505.02"/>
    <n v="74400.13"/>
    <n v="-85552.36"/>
    <n v="41393.86"/>
    <n v="24541.73"/>
    <n v="-22589.22"/>
    <n v="-22926.62"/>
    <n v="-16128.68"/>
    <n v="28305.08"/>
    <n v="48620.62"/>
    <n v="39271.730000000003"/>
    <n v="161793.27000000002"/>
    <n v="9348.89"/>
  </r>
  <r>
    <x v="2"/>
    <x v="1"/>
    <x v="0"/>
    <s v="2688200"/>
    <n v="450040"/>
    <s v="Prompt Pay Disc-Phys Svcs-Self Pay"/>
    <s v="Cardiac Thoracic Surgeons"/>
    <x v="0"/>
    <n v="1500"/>
    <n v="0"/>
    <n v="0"/>
    <n v="0"/>
    <n v="0"/>
    <n v="0"/>
    <n v="0"/>
    <n v="0"/>
    <n v="0"/>
    <n v="0"/>
    <n v="179.87"/>
    <n v="0"/>
    <n v="0"/>
    <n v="179.87"/>
    <n v="0"/>
  </r>
  <r>
    <x v="2"/>
    <x v="1"/>
    <x v="0"/>
    <s v="2688200"/>
    <n v="450040"/>
    <s v="Admin Adjust-Phys Svcs-Self Pay"/>
    <s v="Cardiac Thoracic Surgeons"/>
    <x v="0"/>
    <n v="1600"/>
    <n v="-420.35"/>
    <n v="367.13"/>
    <n v="1800.25"/>
    <n v="621.26"/>
    <n v="4054.74"/>
    <n v="139.12"/>
    <n v="3.23"/>
    <n v="0"/>
    <n v="209.83"/>
    <n v="-213.62"/>
    <n v="140.16999999999999"/>
    <n v="5960.74"/>
    <n v="12662.5"/>
    <n v="-5820.57"/>
  </r>
  <r>
    <x v="2"/>
    <x v="1"/>
    <x v="0"/>
    <s v="2688200"/>
    <n v="450040"/>
    <s v="Contr Allow--Phys Svcs--Other"/>
    <s v="Cardiac Thoracic Surgeons"/>
    <x v="0"/>
    <n v="1700"/>
    <n v="11069.99"/>
    <n v="2585.48"/>
    <n v="-2051.84"/>
    <n v="21812.54"/>
    <n v="20255.27"/>
    <n v="9709.67"/>
    <n v="5121.54"/>
    <n v="39658.410000000003"/>
    <n v="13323.2"/>
    <n v="1439.01"/>
    <n v="5046.8900000000003"/>
    <n v="941.14"/>
    <n v="128911.29999999999"/>
    <n v="4105.75"/>
  </r>
  <r>
    <x v="3"/>
    <x v="1"/>
    <x v="0"/>
    <s v="2688200"/>
    <n v="470040"/>
    <s v="Charity Care-Physician Svcs"/>
    <s v="Cardiac Thoracic Surgeons"/>
    <x v="0"/>
    <m/>
    <n v="1925.46"/>
    <n v="2264.41"/>
    <n v="2271.4699999999998"/>
    <n v="-2734.5"/>
    <n v="4626.54"/>
    <n v="58.84"/>
    <n v="-233.27"/>
    <n v="578.32000000000005"/>
    <n v="1828.79"/>
    <n v="1937.03"/>
    <n v="1083.27"/>
    <n v="3845.03"/>
    <n v="17451.390000000003"/>
    <n v="-2761.76"/>
  </r>
  <r>
    <x v="4"/>
    <x v="1"/>
    <x v="0"/>
    <s v="2688200"/>
    <n v="490010"/>
    <s v="Provision for Bad Debts"/>
    <s v="Cardiac Thoracic Surgeons"/>
    <x v="0"/>
    <m/>
    <n v="9336.5400000000009"/>
    <n v="6418.36"/>
    <n v="17322.86"/>
    <n v="-11006.18"/>
    <n v="14472.65"/>
    <n v="-5514.94"/>
    <n v="-4878.04"/>
    <n v="1442.05"/>
    <n v="6738.06"/>
    <n v="-1202.51"/>
    <n v="11266.49"/>
    <n v="-1006.53"/>
    <n v="43388.81"/>
    <n v="12273.02"/>
  </r>
  <r>
    <x v="14"/>
    <x v="1"/>
    <x v="0"/>
    <s v="2688200"/>
    <n v="600050"/>
    <s v="Miscellaneous Revenue"/>
    <s v="Cardiac Thoracic Surgeons"/>
    <x v="0"/>
    <m/>
    <n v="-46463.22"/>
    <n v="-11326.7"/>
    <n v="-50961.919999999998"/>
    <n v="-45182.62"/>
    <n v="-30510.87"/>
    <n v="-22390.38"/>
    <n v="-27846.92"/>
    <n v="-13651.92"/>
    <n v="-29106.91"/>
    <n v="-48347.62"/>
    <n v="76457.850000000006"/>
    <n v="-17215.38"/>
    <n v="-266546.61"/>
    <n v="93673.23000000001"/>
  </r>
  <r>
    <x v="5"/>
    <x v="1"/>
    <x v="0"/>
    <s v="2688200"/>
    <n v="700020"/>
    <s v="Salaries-Physician Admin-Other"/>
    <s v="Cardiac Thoracic Surgeons"/>
    <x v="0"/>
    <n v="2000"/>
    <n v="8737.5"/>
    <n v="0"/>
    <n v="10000"/>
    <n v="5250"/>
    <n v="0"/>
    <n v="0"/>
    <n v="0"/>
    <n v="4425"/>
    <n v="0"/>
    <n v="10050"/>
    <n v="0"/>
    <n v="0"/>
    <n v="38462.5"/>
    <n v="0"/>
  </r>
  <r>
    <x v="5"/>
    <x v="1"/>
    <x v="0"/>
    <s v="2688200"/>
    <n v="700022"/>
    <s v="Salaries-Physician-Productive"/>
    <s v="Cardiac Thoracic Surgeons"/>
    <x v="0"/>
    <m/>
    <n v="165662.32999999999"/>
    <n v="192932.22"/>
    <n v="196581.56"/>
    <n v="206568.78"/>
    <n v="176422.67"/>
    <n v="191560.33"/>
    <n v="199218.02"/>
    <n v="155999.99"/>
    <n v="187762.61"/>
    <n v="175760.19"/>
    <n v="205048.48"/>
    <n v="152108.98000000001"/>
    <n v="2205626.16"/>
    <n v="52939.5"/>
  </r>
  <r>
    <x v="5"/>
    <x v="1"/>
    <x v="0"/>
    <s v="2688200"/>
    <n v="700022"/>
    <s v="Salaries-Physician-Other"/>
    <s v="Cardiac Thoracic Surgeons"/>
    <x v="0"/>
    <n v="2000"/>
    <n v="3076.92"/>
    <n v="7476.92"/>
    <n v="8576.92"/>
    <n v="3076.92"/>
    <n v="16715.38"/>
    <n v="53122.35"/>
    <n v="8576.92"/>
    <n v="3076.92"/>
    <n v="9676.91"/>
    <n v="8576.92"/>
    <n v="5276.92"/>
    <n v="9015.3799999999992"/>
    <n v="136245.38"/>
    <n v="-3738.4599999999991"/>
  </r>
  <r>
    <x v="5"/>
    <x v="1"/>
    <x v="0"/>
    <s v="2688200"/>
    <n v="700022"/>
    <s v="Salaries-Physician-Provider Incentive"/>
    <s v="Cardiac Thoracic Surgeons"/>
    <x v="0"/>
    <n v="4003"/>
    <n v="10182.92"/>
    <n v="10182.92"/>
    <n v="5154"/>
    <n v="36722.57"/>
    <n v="5154"/>
    <n v="7731"/>
    <n v="5163.07"/>
    <n v="5154.95"/>
    <n v="-2208.86"/>
    <n v="10582.28"/>
    <n v="-4417.72"/>
    <n v="-4417.7"/>
    <n v="84983.430000000008"/>
    <n v="-2.0000000000436557E-2"/>
  </r>
  <r>
    <x v="5"/>
    <x v="1"/>
    <x v="0"/>
    <s v="2688200"/>
    <n v="700024"/>
    <s v="Salaries-Advanced Practice Clinician-Productive"/>
    <s v="Cardiac Thoracic Surgeons"/>
    <x v="0"/>
    <m/>
    <n v="36844.629999999997"/>
    <n v="46142.27"/>
    <n v="36940.61"/>
    <n v="47007.44"/>
    <n v="40478.71"/>
    <n v="37827.230000000003"/>
    <n v="45311.26"/>
    <n v="41119.81"/>
    <n v="42666.32"/>
    <n v="39542.18"/>
    <n v="70059.41"/>
    <n v="53768.13"/>
    <n v="537708"/>
    <n v="16291.280000000006"/>
  </r>
  <r>
    <x v="5"/>
    <x v="1"/>
    <x v="0"/>
    <s v="2688200"/>
    <n v="700024"/>
    <s v="Salaries-Advanced Practice Clinician-Other"/>
    <s v="Cardiac Thoracic Surgeons"/>
    <x v="0"/>
    <n v="2000"/>
    <n v="25884.29"/>
    <n v="14374.29"/>
    <n v="31184.29"/>
    <n v="21754.29"/>
    <n v="21754.29"/>
    <n v="14374.29"/>
    <n v="33665.379999999997"/>
    <n v="20545.36"/>
    <n v="21365.360000000001"/>
    <n v="14395.36"/>
    <n v="38220.239999999998"/>
    <n v="-6195.12"/>
    <n v="251322.32"/>
    <n v="44415.360000000001"/>
  </r>
  <r>
    <x v="5"/>
    <x v="1"/>
    <x v="0"/>
    <s v="2688200"/>
    <n v="700026"/>
    <s v="Salaries-RN-Productive"/>
    <s v="Cardiac Thoracic Surgeons"/>
    <x v="0"/>
    <m/>
    <n v="4997.41"/>
    <n v="3504.16"/>
    <n v="5420.51"/>
    <n v="8093.07"/>
    <n v="6533.69"/>
    <n v="5905.5"/>
    <n v="7590.94"/>
    <n v="6743.08"/>
    <n v="6109.74"/>
    <n v="5811.71"/>
    <n v="8345.02"/>
    <n v="7078.35"/>
    <n v="76133.180000000008"/>
    <n v="1266.67"/>
  </r>
  <r>
    <x v="5"/>
    <x v="1"/>
    <x v="0"/>
    <s v="2688200"/>
    <n v="700026"/>
    <s v="Salaries-RN-OT"/>
    <s v="Cardiac Thoracic Surgeons"/>
    <x v="0"/>
    <n v="1000"/>
    <n v="286.70999999999998"/>
    <n v="71.680000000000007"/>
    <n v="238.93"/>
    <n v="514.47"/>
    <n v="-122.46"/>
    <n v="0"/>
    <n v="0"/>
    <n v="0"/>
    <n v="0"/>
    <n v="0"/>
    <n v="0"/>
    <n v="0"/>
    <n v="989.32999999999993"/>
    <n v="0"/>
  </r>
  <r>
    <x v="5"/>
    <x v="1"/>
    <x v="0"/>
    <s v="2688200"/>
    <n v="700032"/>
    <s v="Salaries-Other Pat Care Providers-Productive"/>
    <s v="Cardiac Thoracic Surgeons"/>
    <x v="0"/>
    <m/>
    <n v="30585.47"/>
    <n v="35539.65"/>
    <n v="26111.89"/>
    <n v="42467.519999999997"/>
    <n v="32475.25"/>
    <n v="35433.120000000003"/>
    <n v="39862.78"/>
    <n v="34694.03"/>
    <n v="35298.589999999997"/>
    <n v="39334.93"/>
    <n v="37271.949999999997"/>
    <n v="23362.93"/>
    <n v="412438.10999999993"/>
    <n v="13909.019999999997"/>
  </r>
  <r>
    <x v="5"/>
    <x v="1"/>
    <x v="0"/>
    <s v="2688200"/>
    <n v="700032"/>
    <s v="Salaries-Other Pat Care Providers-OT"/>
    <s v="Cardiac Thoracic Surgeons"/>
    <x v="0"/>
    <n v="1000"/>
    <n v="33.020000000000003"/>
    <n v="145.31"/>
    <n v="25.24"/>
    <n v="347.71"/>
    <n v="80.459999999999994"/>
    <n v="156.11000000000001"/>
    <n v="-0.74"/>
    <n v="0"/>
    <n v="88.92"/>
    <n v="140.76"/>
    <n v="-22.22"/>
    <n v="170.43"/>
    <n v="1165"/>
    <n v="-192.65"/>
  </r>
  <r>
    <x v="5"/>
    <x v="1"/>
    <x v="0"/>
    <s v="2688200"/>
    <n v="700054"/>
    <s v="Salaries-Management-NonProd-Other"/>
    <s v="Cardiac Thoracic Surgeons"/>
    <x v="0"/>
    <n v="2000"/>
    <n v="0"/>
    <n v="0"/>
    <n v="0"/>
    <n v="0"/>
    <n v="0"/>
    <n v="28.28"/>
    <n v="-28.28"/>
    <n v="0"/>
    <n v="0"/>
    <n v="0"/>
    <n v="0"/>
    <n v="0"/>
    <n v="0"/>
    <n v="0"/>
  </r>
  <r>
    <x v="5"/>
    <x v="1"/>
    <x v="0"/>
    <s v="2688200"/>
    <n v="700062"/>
    <s v="Salaries-Physician-Non-productive"/>
    <s v="Cardiac Thoracic Surgeons"/>
    <x v="0"/>
    <m/>
    <n v="21483.360000000001"/>
    <n v="-13732.99"/>
    <n v="-4510.5"/>
    <n v="-40594.5"/>
    <n v="6817.06"/>
    <n v="-3408.53"/>
    <n v="7168.42"/>
    <n v="23324.92"/>
    <n v="431.01"/>
    <n v="21357.95"/>
    <n v="1022.56"/>
    <n v="42083.21"/>
    <n v="61441.97"/>
    <n v="-41060.65"/>
  </r>
  <r>
    <x v="5"/>
    <x v="1"/>
    <x v="0"/>
    <s v="2688200"/>
    <n v="700062"/>
    <s v="Salaries-Physician-NonProd-Other"/>
    <s v="Cardiac Thoracic Surgeons"/>
    <x v="0"/>
    <n v="2000"/>
    <n v="0"/>
    <n v="0"/>
    <n v="0"/>
    <n v="0"/>
    <n v="0"/>
    <n v="292.20999999999998"/>
    <n v="0"/>
    <n v="-292.20999999999998"/>
    <n v="0"/>
    <n v="0"/>
    <n v="0"/>
    <n v="0"/>
    <n v="0"/>
    <n v="0"/>
  </r>
  <r>
    <x v="5"/>
    <x v="1"/>
    <x v="0"/>
    <s v="2688200"/>
    <n v="700064"/>
    <s v="Salaries-Advanced Practice Clinician-Non-Productive"/>
    <s v="Cardiac Thoracic Surgeons"/>
    <x v="0"/>
    <m/>
    <n v="9838.0499999999993"/>
    <n v="2560.46"/>
    <n v="5661.99"/>
    <n v="1677.74"/>
    <n v="6164.46"/>
    <n v="6782.9"/>
    <n v="3419.07"/>
    <n v="1492.59"/>
    <n v="1980.1"/>
    <n v="7123.99"/>
    <n v="293.69"/>
    <n v="3112.46"/>
    <n v="50107.499999999993"/>
    <n v="-2818.77"/>
  </r>
  <r>
    <x v="5"/>
    <x v="1"/>
    <x v="0"/>
    <s v="2688200"/>
    <n v="700064"/>
    <s v="Salaries-Advanced Practice Clinician-Non-Prod-Other"/>
    <s v="Cardiac Thoracic Surgeons"/>
    <x v="0"/>
    <n v="2000"/>
    <n v="0"/>
    <n v="0"/>
    <n v="0"/>
    <n v="0"/>
    <n v="946.42"/>
    <n v="1088.1400000000001"/>
    <n v="0"/>
    <n v="-2034.56"/>
    <n v="0"/>
    <n v="0"/>
    <n v="0"/>
    <n v="0"/>
    <n v="0"/>
    <n v="0"/>
  </r>
  <r>
    <x v="5"/>
    <x v="1"/>
    <x v="0"/>
    <s v="2688200"/>
    <n v="700066"/>
    <s v="Salaries-RN-Non-productive"/>
    <s v="Cardiac Thoracic Surgeons"/>
    <x v="0"/>
    <m/>
    <n v="2010.91"/>
    <n v="3822.72"/>
    <n v="866.08"/>
    <n v="-607.25"/>
    <n v="1610.46"/>
    <n v="1906.5"/>
    <n v="978.13"/>
    <n v="707.82"/>
    <n v="1713.71"/>
    <n v="745.09"/>
    <n v="745.08"/>
    <n v="372.55"/>
    <n v="14871.799999999997"/>
    <n v="372.53000000000003"/>
  </r>
  <r>
    <x v="5"/>
    <x v="1"/>
    <x v="0"/>
    <s v="2688200"/>
    <n v="700066"/>
    <s v="Salaries-RN-NonProd-Other"/>
    <s v="Cardiac Thoracic Surgeon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8200"/>
    <n v="700072"/>
    <s v="Salaries-Other Pat Care Providers-Non-productive"/>
    <s v="Cardiac Thoracic Surgeons"/>
    <x v="0"/>
    <m/>
    <n v="8686.8700000000008"/>
    <n v="7802.71"/>
    <n v="6546.05"/>
    <n v="1008.58"/>
    <n v="5430.4"/>
    <n v="1861.76"/>
    <n v="1031.51"/>
    <n v="638.98"/>
    <n v="2081.16"/>
    <n v="-236.51"/>
    <n v="3618.26"/>
    <n v="12196.35"/>
    <n v="50666.12"/>
    <n v="-8578.09"/>
  </r>
  <r>
    <x v="5"/>
    <x v="1"/>
    <x v="0"/>
    <s v="2688200"/>
    <n v="700072"/>
    <s v="Salaries-Other Pat Care Providers-NonProd-Other"/>
    <s v="Cardiac Thoracic Surgeon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8200"/>
    <n v="700084"/>
    <s v="Accrued PTO"/>
    <s v="Cardiac Thoracic Surgeons"/>
    <x v="0"/>
    <m/>
    <n v="-3411.91"/>
    <n v="-3672.44"/>
    <n v="-3043.94"/>
    <n v="3729.83"/>
    <n v="1962.2"/>
    <n v="1169.3800000000001"/>
    <n v="2984.11"/>
    <n v="3923.81"/>
    <n v="2161.4899999999998"/>
    <n v="4366.55"/>
    <n v="2095.21"/>
    <n v="204.08"/>
    <n v="12468.369999999997"/>
    <n v="1891.13"/>
  </r>
  <r>
    <x v="10"/>
    <x v="1"/>
    <x v="0"/>
    <s v="2688200"/>
    <n v="710040"/>
    <s v="Contract Labor-Physician (Locum Tenum)"/>
    <s v="Cardiac Thoracic Surgeons"/>
    <x v="0"/>
    <m/>
    <n v="23138.799999999999"/>
    <n v="3849.78"/>
    <n v="15575"/>
    <n v="29475.7"/>
    <n v="465.49"/>
    <n v="15575"/>
    <n v="0"/>
    <n v="12460"/>
    <n v="0"/>
    <n v="29720.7"/>
    <n v="-130260.47"/>
    <n v="0"/>
    <n v="0"/>
    <n v="-130260.47"/>
  </r>
  <r>
    <x v="10"/>
    <x v="1"/>
    <x v="0"/>
    <s v="2688200"/>
    <n v="710042"/>
    <s v="Locum Tenens Travel-Physician"/>
    <s v="Cardiac Thoracic Surgeons"/>
    <x v="0"/>
    <m/>
    <n v="733.31"/>
    <n v="2000.72"/>
    <n v="495.39"/>
    <n v="45.78"/>
    <n v="1168.06"/>
    <n v="0"/>
    <n v="0"/>
    <n v="0"/>
    <n v="0"/>
    <n v="30.52"/>
    <n v="-4473.78"/>
    <n v="0"/>
    <n v="9.0949470177292824E-13"/>
    <n v="-4473.78"/>
  </r>
  <r>
    <x v="6"/>
    <x v="1"/>
    <x v="0"/>
    <s v="2688200"/>
    <n v="713010"/>
    <s v="Benefits-FICA/Medicare"/>
    <s v="Cardiac Thoracic Surgeons"/>
    <x v="0"/>
    <m/>
    <n v="7638.86"/>
    <n v="7831.01"/>
    <n v="6906.59"/>
    <n v="8399.76"/>
    <n v="6309.08"/>
    <n v="14621.39"/>
    <n v="26368.91"/>
    <n v="11325.96"/>
    <n v="12473.92"/>
    <n v="11843"/>
    <n v="13935.54"/>
    <n v="7460.7"/>
    <n v="135114.72"/>
    <n v="6474.8400000000011"/>
  </r>
  <r>
    <x v="6"/>
    <x v="1"/>
    <x v="0"/>
    <s v="2688200"/>
    <n v="713090"/>
    <s v="Benefits-Allocated Amounts"/>
    <s v="Cardiac Thoracic Surgeons"/>
    <x v="0"/>
    <m/>
    <n v="0"/>
    <n v="0"/>
    <n v="0"/>
    <n v="0"/>
    <n v="-109389.2"/>
    <n v="241799.23"/>
    <n v="28264.12"/>
    <n v="25863.98"/>
    <n v="-85283.72"/>
    <n v="12079.56"/>
    <n v="12690.46"/>
    <n v="11900"/>
    <n v="137924.43000000002"/>
    <n v="790.45999999999913"/>
  </r>
  <r>
    <x v="6"/>
    <x v="1"/>
    <x v="0"/>
    <s v="2688200"/>
    <n v="713092"/>
    <s v="Allocated Benefits-Physician"/>
    <s v="Cardiac Thoracic Surgeons"/>
    <x v="0"/>
    <m/>
    <n v="10265.23"/>
    <n v="9158.48"/>
    <n v="9451.85"/>
    <n v="9697.27"/>
    <n v="118844.39"/>
    <n v="-156063.47"/>
    <n v="41.88"/>
    <n v="33.36"/>
    <n v="56364.51"/>
    <n v="6894.73"/>
    <n v="7243.39"/>
    <n v="6792.22"/>
    <n v="78723.839999999997"/>
    <n v="451.17000000000007"/>
  </r>
  <r>
    <x v="6"/>
    <x v="1"/>
    <x v="0"/>
    <s v="2688200"/>
    <n v="713093"/>
    <s v="Allocated Benefits-Advanced Practice Clinician"/>
    <s v="Cardiac Thoracic Surgeons"/>
    <x v="0"/>
    <m/>
    <n v="13114.98"/>
    <n v="11700.99"/>
    <n v="12075.8"/>
    <n v="12389.33"/>
    <n v="12080.08"/>
    <n v="-61361.18"/>
    <n v="0"/>
    <n v="0"/>
    <n v="57793.5"/>
    <n v="6894.73"/>
    <n v="7243.39"/>
    <n v="6792.22"/>
    <n v="78723.840000000011"/>
    <n v="451.17000000000007"/>
  </r>
  <r>
    <x v="7"/>
    <x v="1"/>
    <x v="0"/>
    <s v="2688200"/>
    <n v="718040"/>
    <s v="Contract Svcs-Laboratory"/>
    <s v="Cardiac Thoracic Surgeons"/>
    <x v="0"/>
    <m/>
    <n v="0"/>
    <n v="0"/>
    <n v="0"/>
    <n v="0"/>
    <n v="0"/>
    <n v="0"/>
    <n v="0"/>
    <n v="0"/>
    <n v="96.5"/>
    <n v="0"/>
    <n v="0"/>
    <n v="0"/>
    <n v="96.5"/>
    <n v="0"/>
  </r>
  <r>
    <x v="7"/>
    <x v="1"/>
    <x v="0"/>
    <s v="2688200"/>
    <n v="718050"/>
    <s v="Miscellaneous Purchased Svcs"/>
    <s v="Cardiac Thoracic Surgeons"/>
    <x v="0"/>
    <n v="1020"/>
    <n v="592.51"/>
    <n v="1271.97"/>
    <n v="940"/>
    <n v="470"/>
    <n v="470"/>
    <n v="186.41"/>
    <n v="940"/>
    <n v="0"/>
    <n v="940"/>
    <n v="0"/>
    <n v="5"/>
    <n v="470"/>
    <n v="6285.8899999999994"/>
    <n v="-465"/>
  </r>
  <r>
    <x v="11"/>
    <x v="1"/>
    <x v="0"/>
    <s v="2688200"/>
    <n v="721010"/>
    <s v="Supplies-Medical - Billable"/>
    <s v="Cardiac Thoracic Surgeons"/>
    <x v="0"/>
    <m/>
    <n v="28.23"/>
    <n v="0"/>
    <n v="0"/>
    <n v="270.35000000000002"/>
    <n v="137.87"/>
    <n v="76.819999999999993"/>
    <n v="118.47"/>
    <n v="0"/>
    <n v="88.91"/>
    <n v="57.23"/>
    <n v="8.4700000000000006"/>
    <n v="22"/>
    <n v="808.35"/>
    <n v="-13.53"/>
  </r>
  <r>
    <x v="11"/>
    <x v="1"/>
    <x v="0"/>
    <s v="2688200"/>
    <n v="721020"/>
    <s v="Supplies-Surgical - Billable"/>
    <s v="Cardiac Thoracic Surgeons"/>
    <x v="0"/>
    <m/>
    <n v="0"/>
    <n v="57.25"/>
    <n v="0"/>
    <n v="108.25"/>
    <n v="9.74"/>
    <n v="0"/>
    <n v="0"/>
    <n v="0"/>
    <n v="0"/>
    <n v="0"/>
    <n v="0"/>
    <n v="0"/>
    <n v="175.24"/>
    <n v="0"/>
  </r>
  <r>
    <x v="11"/>
    <x v="1"/>
    <x v="0"/>
    <s v="2688200"/>
    <n v="721020"/>
    <s v="Suture/Wound Closure"/>
    <s v="Cardiac Thoracic Surgeons"/>
    <x v="0"/>
    <n v="1001"/>
    <n v="0"/>
    <n v="0"/>
    <n v="0"/>
    <n v="0"/>
    <n v="0"/>
    <n v="118.8"/>
    <n v="0"/>
    <n v="0"/>
    <n v="0"/>
    <n v="0"/>
    <n v="0"/>
    <n v="0"/>
    <n v="118.8"/>
    <n v="0"/>
  </r>
  <r>
    <x v="11"/>
    <x v="1"/>
    <x v="0"/>
    <s v="2688200"/>
    <n v="721410"/>
    <s v="Supplies-Medical - Nonbillable"/>
    <s v="Cardiac Thoracic Surgeons"/>
    <x v="0"/>
    <m/>
    <n v="73.3"/>
    <n v="44.36"/>
    <n v="0"/>
    <n v="89.32"/>
    <n v="3.18"/>
    <n v="70.59"/>
    <n v="80.680000000000007"/>
    <n v="0"/>
    <n v="79.900000000000006"/>
    <n v="98.39"/>
    <n v="147.12"/>
    <n v="5.12"/>
    <n v="691.96"/>
    <n v="142"/>
  </r>
  <r>
    <x v="11"/>
    <x v="1"/>
    <x v="0"/>
    <s v="2688200"/>
    <n v="721420"/>
    <s v="Supplies-Surgical Nonbillable"/>
    <s v="Cardiac Thoracic Surgeons"/>
    <x v="0"/>
    <m/>
    <n v="0"/>
    <n v="0"/>
    <n v="0"/>
    <n v="14.3"/>
    <n v="0"/>
    <n v="21.3"/>
    <n v="-0.55000000000000004"/>
    <n v="0"/>
    <n v="0"/>
    <n v="0"/>
    <n v="0"/>
    <n v="0"/>
    <n v="35.050000000000004"/>
    <n v="0"/>
  </r>
  <r>
    <x v="11"/>
    <x v="1"/>
    <x v="0"/>
    <s v="2688200"/>
    <n v="721640"/>
    <s v="Supplies-IV Solutions/Supplies - Nonbillable"/>
    <s v="Cardiac Thoracic Surgeons"/>
    <x v="0"/>
    <m/>
    <n v="0"/>
    <n v="0"/>
    <n v="0"/>
    <n v="0"/>
    <n v="0"/>
    <n v="0"/>
    <n v="0.38"/>
    <n v="0"/>
    <n v="0"/>
    <n v="0"/>
    <n v="0"/>
    <n v="0"/>
    <n v="0.38"/>
    <n v="0"/>
  </r>
  <r>
    <x v="11"/>
    <x v="1"/>
    <x v="0"/>
    <s v="2688200"/>
    <n v="721650"/>
    <s v="Supplies-Pharmacy Drugs - Nonbillable"/>
    <s v="Cardiac Thoracic Surgeons"/>
    <x v="0"/>
    <m/>
    <n v="0"/>
    <n v="0"/>
    <n v="0"/>
    <n v="0"/>
    <n v="0"/>
    <n v="0"/>
    <n v="0"/>
    <n v="0"/>
    <n v="0"/>
    <n v="4.5"/>
    <n v="0"/>
    <n v="0"/>
    <n v="4.5"/>
    <n v="0"/>
  </r>
  <r>
    <x v="11"/>
    <x v="1"/>
    <x v="0"/>
    <s v="2688200"/>
    <n v="721710"/>
    <s v="Supplies-Laboratory - Nonbillable"/>
    <s v="Cardiac Thoracic Surgeons"/>
    <x v="0"/>
    <m/>
    <n v="22.2"/>
    <n v="0"/>
    <n v="0"/>
    <n v="0"/>
    <n v="0"/>
    <n v="0"/>
    <n v="23.83"/>
    <n v="0"/>
    <n v="0"/>
    <n v="0"/>
    <n v="0"/>
    <n v="0"/>
    <n v="46.03"/>
    <n v="0"/>
  </r>
  <r>
    <x v="11"/>
    <x v="1"/>
    <x v="0"/>
    <s v="2688200"/>
    <n v="721810"/>
    <s v="Supplies-Dietary/Cafeteria"/>
    <s v="Cardiac Thoracic Surgeons"/>
    <x v="0"/>
    <m/>
    <n v="0"/>
    <n v="0"/>
    <n v="0"/>
    <n v="0"/>
    <n v="0"/>
    <n v="0"/>
    <n v="0"/>
    <n v="0"/>
    <n v="0"/>
    <n v="0"/>
    <n v="0"/>
    <n v="69.849999999999994"/>
    <n v="69.849999999999994"/>
    <n v="-69.849999999999994"/>
  </r>
  <r>
    <x v="11"/>
    <x v="1"/>
    <x v="0"/>
    <s v="2688200"/>
    <n v="721830"/>
    <s v="Supplies-Office"/>
    <s v="Cardiac Thoracic Surgeons"/>
    <x v="0"/>
    <m/>
    <n v="257.57"/>
    <n v="335.55"/>
    <n v="473.17"/>
    <n v="181.68"/>
    <n v="268.8"/>
    <n v="148.36000000000001"/>
    <n v="476.86"/>
    <n v="319.63"/>
    <n v="303.57"/>
    <n v="464.92"/>
    <n v="62.62"/>
    <n v="124.86"/>
    <n v="3417.5900000000006"/>
    <n v="-62.24"/>
  </r>
  <r>
    <x v="11"/>
    <x v="1"/>
    <x v="0"/>
    <s v="2688200"/>
    <n v="721870"/>
    <s v="Supplies-Environmental Services"/>
    <s v="Cardiac Thoracic Surgeons"/>
    <x v="0"/>
    <m/>
    <n v="249"/>
    <n v="0"/>
    <n v="0"/>
    <n v="150.03"/>
    <n v="28.92"/>
    <n v="77.7"/>
    <n v="0"/>
    <n v="0"/>
    <n v="0"/>
    <n v="0"/>
    <n v="27.58"/>
    <n v="0"/>
    <n v="533.23"/>
    <n v="27.58"/>
  </r>
  <r>
    <x v="11"/>
    <x v="1"/>
    <x v="0"/>
    <s v="2688200"/>
    <n v="721880"/>
    <s v="Supplies-Linen"/>
    <s v="Cardiac Thoracic Surgeons"/>
    <x v="0"/>
    <m/>
    <n v="0"/>
    <n v="0"/>
    <n v="0"/>
    <n v="0"/>
    <n v="0"/>
    <n v="0"/>
    <n v="0"/>
    <n v="0"/>
    <n v="0"/>
    <n v="0"/>
    <n v="0"/>
    <n v="18.93"/>
    <n v="18.93"/>
    <n v="-18.93"/>
  </r>
  <r>
    <x v="11"/>
    <x v="1"/>
    <x v="0"/>
    <s v="2688200"/>
    <n v="721910"/>
    <s v="Supplies-Small Equipment"/>
    <s v="Cardiac Thoracic Surgeons"/>
    <x v="0"/>
    <m/>
    <n v="720.49"/>
    <n v="0"/>
    <n v="0"/>
    <n v="0"/>
    <n v="0"/>
    <n v="0"/>
    <n v="0"/>
    <n v="0"/>
    <n v="0"/>
    <n v="0"/>
    <n v="0"/>
    <n v="0"/>
    <n v="720.49"/>
    <n v="0"/>
  </r>
  <r>
    <x v="11"/>
    <x v="1"/>
    <x v="0"/>
    <s v="2688200"/>
    <n v="721910"/>
    <s v="Instruments"/>
    <s v="Cardiac Thoracic Surgeons"/>
    <x v="0"/>
    <n v="1000"/>
    <n v="0"/>
    <n v="0"/>
    <n v="0"/>
    <n v="0"/>
    <n v="0"/>
    <n v="0"/>
    <n v="0"/>
    <n v="0"/>
    <n v="0"/>
    <n v="0"/>
    <n v="1.93"/>
    <n v="0"/>
    <n v="1.93"/>
    <n v="1.93"/>
  </r>
  <r>
    <x v="11"/>
    <x v="1"/>
    <x v="0"/>
    <s v="2688200"/>
    <n v="721980"/>
    <s v="Supplies-Other"/>
    <s v="Cardiac Thoracic Surgeons"/>
    <x v="0"/>
    <m/>
    <n v="11.27"/>
    <n v="0"/>
    <n v="0"/>
    <n v="0"/>
    <n v="0"/>
    <n v="0"/>
    <n v="0"/>
    <n v="0"/>
    <n v="41.88"/>
    <n v="0"/>
    <n v="0"/>
    <n v="0"/>
    <n v="53.150000000000006"/>
    <n v="0"/>
  </r>
  <r>
    <x v="12"/>
    <x v="1"/>
    <x v="0"/>
    <s v="2688200"/>
    <n v="730020"/>
    <s v="Rental and Leases-Equipment (DO NOT USE)"/>
    <s v="Cardiac Thoracic Surgeons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5"/>
    <x v="1"/>
    <x v="0"/>
    <s v="2688200"/>
    <n v="731050"/>
    <s v="Refuse Disposal"/>
    <s v="Cardiac Thoracic Surgeons"/>
    <x v="0"/>
    <m/>
    <n v="0"/>
    <n v="62.65"/>
    <n v="0"/>
    <n v="0"/>
    <n v="0"/>
    <n v="0"/>
    <n v="0"/>
    <n v="0"/>
    <n v="0"/>
    <n v="76.91"/>
    <n v="0"/>
    <n v="0"/>
    <n v="139.56"/>
    <n v="0"/>
  </r>
  <r>
    <x v="15"/>
    <x v="1"/>
    <x v="0"/>
    <s v="2688200"/>
    <n v="731060"/>
    <s v="Telephone"/>
    <s v="Cardiac Thoracic Surgeons"/>
    <x v="0"/>
    <m/>
    <n v="0"/>
    <n v="0"/>
    <n v="0"/>
    <n v="0"/>
    <n v="0"/>
    <n v="169.1"/>
    <n v="0"/>
    <n v="0"/>
    <n v="0"/>
    <n v="0"/>
    <n v="0"/>
    <n v="0"/>
    <n v="169.1"/>
    <n v="0"/>
  </r>
  <r>
    <x v="15"/>
    <x v="1"/>
    <x v="0"/>
    <s v="2688200"/>
    <n v="731060"/>
    <s v="Pagers"/>
    <s v="Cardiac Thoracic Surgeons"/>
    <x v="0"/>
    <n v="1002"/>
    <n v="56.7"/>
    <n v="56.7"/>
    <n v="56.7"/>
    <n v="56.84"/>
    <n v="56.84"/>
    <n v="0"/>
    <n v="113.68"/>
    <n v="95.66"/>
    <n v="40.6"/>
    <n v="40.6"/>
    <n v="40.6"/>
    <n v="40.6"/>
    <n v="655.5200000000001"/>
    <n v="0"/>
  </r>
  <r>
    <x v="13"/>
    <x v="1"/>
    <x v="0"/>
    <s v="2688200"/>
    <n v="735040"/>
    <s v="Depreciation-Building Improvements"/>
    <s v="Cardiac Thoracic Surgeons"/>
    <x v="0"/>
    <m/>
    <n v="1181.48"/>
    <n v="1181.48"/>
    <n v="1181.48"/>
    <n v="1181.48"/>
    <n v="1181.48"/>
    <n v="1181.48"/>
    <n v="1181.48"/>
    <n v="1181.48"/>
    <n v="1181.48"/>
    <n v="1181.47"/>
    <n v="1181.48"/>
    <n v="1181.47"/>
    <n v="14177.739999999996"/>
    <n v="9.9999999999909051E-3"/>
  </r>
  <r>
    <x v="13"/>
    <x v="1"/>
    <x v="0"/>
    <s v="2688200"/>
    <n v="735070"/>
    <s v="Depreciation-Movable Equipment"/>
    <s v="Cardiac Thoracic Surgeons"/>
    <x v="0"/>
    <m/>
    <n v="0"/>
    <n v="0"/>
    <n v="0"/>
    <n v="0"/>
    <n v="0"/>
    <n v="390.46"/>
    <n v="390.46"/>
    <n v="390.45"/>
    <n v="390.46"/>
    <n v="390.45"/>
    <n v="390.46"/>
    <n v="390.45"/>
    <n v="2733.1899999999996"/>
    <n v="9.9999999999909051E-3"/>
  </r>
  <r>
    <x v="0"/>
    <x v="1"/>
    <x v="0"/>
    <s v="2688200"/>
    <n v="740022"/>
    <s v="Education-Physician"/>
    <s v="Cardiac Thoracic Surgeons"/>
    <x v="0"/>
    <m/>
    <n v="0"/>
    <n v="0"/>
    <n v="0"/>
    <n v="0"/>
    <n v="0"/>
    <n v="0"/>
    <n v="0"/>
    <n v="1000"/>
    <n v="1350"/>
    <n v="0"/>
    <n v="0"/>
    <n v="0"/>
    <n v="2350"/>
    <n v="0"/>
  </r>
  <r>
    <x v="0"/>
    <x v="1"/>
    <x v="0"/>
    <s v="2688200"/>
    <n v="740022"/>
    <s v="Books-Physician"/>
    <s v="Cardiac Thoracic Surgeons"/>
    <x v="0"/>
    <n v="2000"/>
    <n v="0"/>
    <n v="0"/>
    <n v="0"/>
    <n v="0"/>
    <n v="0"/>
    <n v="0"/>
    <n v="0"/>
    <n v="0"/>
    <n v="0"/>
    <n v="0"/>
    <n v="0"/>
    <n v="713.01"/>
    <n v="713.01"/>
    <n v="-713.01"/>
  </r>
  <r>
    <x v="0"/>
    <x v="1"/>
    <x v="0"/>
    <s v="2688200"/>
    <n v="740023"/>
    <s v="Education-Advanced Practice Clinician"/>
    <s v="Cardiac Thoracic Surgeons"/>
    <x v="0"/>
    <m/>
    <n v="0"/>
    <n v="0"/>
    <n v="250"/>
    <n v="0"/>
    <n v="0"/>
    <n v="0"/>
    <n v="0"/>
    <n v="0"/>
    <n v="0"/>
    <n v="250"/>
    <n v="0"/>
    <n v="500"/>
    <n v="1000"/>
    <n v="-500"/>
  </r>
  <r>
    <x v="8"/>
    <x v="1"/>
    <x v="0"/>
    <s v="2688200"/>
    <n v="741012"/>
    <s v="Physician Liab Insurance-CHI Program"/>
    <s v="Cardiac Thoracic Surgeons"/>
    <x v="0"/>
    <m/>
    <n v="7389.24"/>
    <n v="7389.24"/>
    <n v="7389.24"/>
    <n v="7389.24"/>
    <n v="7389.27"/>
    <n v="7389.24"/>
    <n v="7389.27"/>
    <n v="7389.24"/>
    <n v="7389.27"/>
    <n v="7389.24"/>
    <n v="7389.27"/>
    <n v="7389.24"/>
    <n v="88671"/>
    <n v="3.0000000000654836E-2"/>
  </r>
  <r>
    <x v="0"/>
    <x v="1"/>
    <x v="0"/>
    <s v="2688200"/>
    <n v="743022"/>
    <s v="Dues-Physician"/>
    <s v="Cardiac Thoracic Surgeons"/>
    <x v="0"/>
    <m/>
    <n v="0"/>
    <n v="0"/>
    <n v="0"/>
    <n v="731"/>
    <n v="0"/>
    <n v="750"/>
    <n v="750"/>
    <n v="2490"/>
    <n v="2065"/>
    <n v="0"/>
    <n v="0"/>
    <n v="0"/>
    <n v="6786"/>
    <n v="0"/>
  </r>
  <r>
    <x v="0"/>
    <x v="1"/>
    <x v="0"/>
    <s v="2688200"/>
    <n v="743023"/>
    <s v="Dues-Advanced Practice Clinician"/>
    <s v="Cardiac Thoracic Surgeons"/>
    <x v="0"/>
    <m/>
    <n v="295"/>
    <n v="0"/>
    <n v="0"/>
    <n v="0"/>
    <n v="0"/>
    <n v="150"/>
    <n v="0"/>
    <n v="1350"/>
    <n v="0"/>
    <n v="350"/>
    <n v="0"/>
    <n v="0"/>
    <n v="2145"/>
    <n v="0"/>
  </r>
  <r>
    <x v="0"/>
    <x v="1"/>
    <x v="0"/>
    <s v="2688200"/>
    <n v="749510"/>
    <s v="Miscellaneous Expenses"/>
    <s v="Cardiac Thoracic Surgeons"/>
    <x v="0"/>
    <m/>
    <n v="-45"/>
    <n v="-250"/>
    <n v="0"/>
    <n v="0"/>
    <n v="0"/>
    <n v="0"/>
    <n v="0"/>
    <n v="0"/>
    <n v="0"/>
    <n v="0"/>
    <n v="657"/>
    <n v="-657"/>
    <n v="-295"/>
    <n v="1314"/>
  </r>
  <r>
    <x v="0"/>
    <x v="1"/>
    <x v="0"/>
    <s v="2688200"/>
    <n v="749510"/>
    <s v="Licenses"/>
    <s v="Cardiac Thoracic Surgeons"/>
    <x v="0"/>
    <n v="1002"/>
    <n v="131"/>
    <n v="0"/>
    <n v="0"/>
    <n v="0"/>
    <n v="0"/>
    <n v="0"/>
    <n v="450"/>
    <n v="0"/>
    <n v="0"/>
    <n v="131"/>
    <n v="0"/>
    <n v="0"/>
    <n v="712"/>
    <n v="0"/>
  </r>
  <r>
    <x v="0"/>
    <x v="1"/>
    <x v="0"/>
    <s v="2688200"/>
    <n v="749512"/>
    <s v="Licenses-Physician"/>
    <s v="Cardiac Thoracic Surgeons"/>
    <x v="0"/>
    <n v="2000"/>
    <n v="0"/>
    <n v="0"/>
    <n v="0"/>
    <n v="0"/>
    <n v="0"/>
    <n v="0"/>
    <n v="0"/>
    <n v="0"/>
    <n v="0"/>
    <n v="0"/>
    <n v="0"/>
    <n v="657"/>
    <n v="657"/>
    <n v="-657"/>
  </r>
  <r>
    <x v="0"/>
    <x v="1"/>
    <x v="0"/>
    <s v="2688200"/>
    <n v="749513"/>
    <s v="Licenses-Advanced Practice Clinician"/>
    <s v="Cardiac Thoracic Surgeons"/>
    <x v="0"/>
    <n v="2000"/>
    <n v="0"/>
    <n v="250"/>
    <n v="0"/>
    <n v="0"/>
    <n v="0"/>
    <n v="0"/>
    <n v="170"/>
    <n v="0"/>
    <n v="0"/>
    <n v="0"/>
    <n v="0"/>
    <n v="0"/>
    <n v="420"/>
    <n v="0"/>
  </r>
  <r>
    <x v="0"/>
    <x v="1"/>
    <x v="0"/>
    <s v="2688200"/>
    <n v="749530"/>
    <s v="Travel"/>
    <s v="Cardiac Thoracic Surgeons"/>
    <x v="0"/>
    <m/>
    <n v="0"/>
    <n v="0"/>
    <n v="0"/>
    <n v="0"/>
    <n v="0"/>
    <n v="0"/>
    <n v="0"/>
    <n v="0"/>
    <n v="298.22000000000003"/>
    <n v="0"/>
    <n v="0"/>
    <n v="0"/>
    <n v="298.22000000000003"/>
    <n v="0"/>
  </r>
  <r>
    <x v="0"/>
    <x v="1"/>
    <x v="0"/>
    <s v="2688200"/>
    <n v="749530"/>
    <s v="Mileage"/>
    <s v="Cardiac Thoracic Surgeons"/>
    <x v="0"/>
    <n v="1001"/>
    <n v="0"/>
    <n v="0"/>
    <n v="64.31"/>
    <n v="0"/>
    <n v="0"/>
    <n v="0"/>
    <n v="0"/>
    <n v="0"/>
    <n v="0"/>
    <n v="0"/>
    <n v="0"/>
    <n v="0"/>
    <n v="64.31"/>
    <n v="0"/>
  </r>
  <r>
    <x v="0"/>
    <x v="1"/>
    <x v="0"/>
    <s v="2688200"/>
    <n v="749532"/>
    <s v="Travel-Physician"/>
    <s v="Cardiac Thoracic Surgeons"/>
    <x v="0"/>
    <m/>
    <n v="0"/>
    <n v="0"/>
    <n v="0"/>
    <n v="475.35"/>
    <n v="0"/>
    <n v="0"/>
    <n v="108"/>
    <n v="1968.82"/>
    <n v="2110.9899999999998"/>
    <n v="0"/>
    <n v="0"/>
    <n v="0"/>
    <n v="4663.16"/>
    <n v="0"/>
  </r>
  <r>
    <x v="0"/>
    <x v="1"/>
    <x v="0"/>
    <s v="2688200"/>
    <n v="749532"/>
    <s v="Vehicle Expense-Physician"/>
    <s v="Cardiac Thoracic Surgeons"/>
    <x v="0"/>
    <n v="2001"/>
    <n v="0"/>
    <n v="0"/>
    <n v="0"/>
    <n v="0"/>
    <n v="0"/>
    <n v="0"/>
    <n v="1255.68"/>
    <n v="0"/>
    <n v="0"/>
    <n v="0"/>
    <n v="0"/>
    <n v="0"/>
    <n v="1255.68"/>
    <n v="0"/>
  </r>
  <r>
    <x v="0"/>
    <x v="1"/>
    <x v="0"/>
    <s v="2688200"/>
    <n v="749533"/>
    <s v="Travel-Advanced Practice Clinician"/>
    <s v="Cardiac Thoracic Surgeons"/>
    <x v="0"/>
    <m/>
    <n v="0"/>
    <n v="0"/>
    <n v="0"/>
    <n v="0"/>
    <n v="0"/>
    <n v="0"/>
    <n v="0"/>
    <n v="0"/>
    <n v="0"/>
    <n v="0"/>
    <n v="0"/>
    <n v="2000"/>
    <n v="2000"/>
    <n v="-2000"/>
  </r>
  <r>
    <x v="0"/>
    <x v="1"/>
    <x v="0"/>
    <s v="2688200"/>
    <n v="749535"/>
    <s v="Meetings"/>
    <s v="Cardiac Thoracic Surgeons"/>
    <x v="0"/>
    <m/>
    <n v="0"/>
    <n v="0"/>
    <n v="0"/>
    <n v="0"/>
    <n v="0"/>
    <n v="0"/>
    <n v="1322.01"/>
    <n v="0"/>
    <n v="0"/>
    <n v="0"/>
    <n v="0"/>
    <n v="0"/>
    <n v="1322.01"/>
    <n v="0"/>
  </r>
  <r>
    <x v="0"/>
    <x v="1"/>
    <x v="0"/>
    <s v="2688200"/>
    <n v="766010"/>
    <s v="Property Tax"/>
    <s v="Cardiac Thoracic Surgeons"/>
    <x v="0"/>
    <m/>
    <n v="192.43"/>
    <n v="192.43"/>
    <n v="192.43"/>
    <n v="192.43"/>
    <n v="192.43"/>
    <n v="192.43"/>
    <n v="192.43"/>
    <n v="192.43"/>
    <n v="192.42"/>
    <n v="449.6"/>
    <n v="256.73"/>
    <n v="256.73"/>
    <n v="2694.9200000000005"/>
    <n v="0"/>
  </r>
  <r>
    <x v="9"/>
    <x v="1"/>
    <x v="0"/>
    <s v="2688200"/>
    <n v="800015"/>
    <s v="Interest Income-Ext to CHI"/>
    <s v="Cardiac Thoracic Surgeons"/>
    <x v="0"/>
    <m/>
    <n v="-175.17"/>
    <n v="-166.41"/>
    <n v="-152.56"/>
    <n v="-148.88999999999999"/>
    <n v="-135.61000000000001"/>
    <n v="-131.37"/>
    <n v="-122.61"/>
    <n v="-102.84"/>
    <n v="-105.1"/>
    <n v="-93.23"/>
    <n v="-124.97"/>
    <n v="-127.47"/>
    <n v="-1586.2299999999998"/>
    <n v="2.5"/>
  </r>
  <r>
    <x v="1"/>
    <x v="1"/>
    <x v="0"/>
    <s v="2689200"/>
    <n v="400029"/>
    <s v="MD Practice Other Rev--Medicare"/>
    <s v="Bremerton Endocrinology"/>
    <x v="0"/>
    <n v="1100"/>
    <n v="-3900"/>
    <n v="-6807"/>
    <n v="-5155"/>
    <n v="-6915"/>
    <n v="-6657"/>
    <n v="-4889"/>
    <n v="-6451"/>
    <n v="-4411"/>
    <n v="-5028"/>
    <n v="-6636"/>
    <n v="-5178"/>
    <n v="-5418"/>
    <n v="-67445"/>
    <n v="240"/>
  </r>
  <r>
    <x v="1"/>
    <x v="1"/>
    <x v="0"/>
    <s v="2689200"/>
    <n v="400029"/>
    <s v="MD Practice Other Rev--Medicaid"/>
    <s v="Bremerton Endocrinology"/>
    <x v="0"/>
    <n v="1200"/>
    <n v="-1533"/>
    <n v="-2583"/>
    <n v="-2327"/>
    <n v="-2735"/>
    <n v="-2425"/>
    <n v="-1911"/>
    <n v="-3450"/>
    <n v="-1473"/>
    <n v="-1960"/>
    <n v="-2100"/>
    <n v="-2325"/>
    <n v="-1533"/>
    <n v="-26355"/>
    <n v="-792"/>
  </r>
  <r>
    <x v="1"/>
    <x v="1"/>
    <x v="0"/>
    <s v="2689200"/>
    <n v="400029"/>
    <s v="MD Practice Other Rev--Comm Insurance"/>
    <s v="Bremerton Endocrinology"/>
    <x v="0"/>
    <n v="1300"/>
    <n v="-60"/>
    <n v="-222"/>
    <n v="-228"/>
    <n v="-144"/>
    <n v="-783"/>
    <n v="-102"/>
    <n v="-288"/>
    <n v="-66"/>
    <n v="-147"/>
    <n v="-162"/>
    <n v="-591"/>
    <n v="-231"/>
    <n v="-3024"/>
    <n v="-360"/>
  </r>
  <r>
    <x v="1"/>
    <x v="1"/>
    <x v="0"/>
    <s v="2689200"/>
    <n v="400029"/>
    <s v="MD Practice Other Rev--BCBS Comm"/>
    <s v="Bremerton Endocrinology"/>
    <x v="0"/>
    <n v="1301"/>
    <n v="-558"/>
    <n v="-1308"/>
    <n v="-642"/>
    <n v="-1167"/>
    <n v="-757"/>
    <n v="-1071"/>
    <n v="-1239"/>
    <n v="-609"/>
    <n v="-1092"/>
    <n v="-1080"/>
    <n v="-687"/>
    <n v="-1359"/>
    <n v="-11569"/>
    <n v="672"/>
  </r>
  <r>
    <x v="1"/>
    <x v="1"/>
    <x v="0"/>
    <s v="2689200"/>
    <n v="400029"/>
    <s v="MD Practice Other Rev--Managed Care"/>
    <s v="Bremerton Endocrinology"/>
    <x v="0"/>
    <n v="1400"/>
    <n v="-4313"/>
    <n v="-4937"/>
    <n v="-5109"/>
    <n v="-5163"/>
    <n v="-4592"/>
    <n v="-2244"/>
    <n v="-2063"/>
    <n v="-2364"/>
    <n v="-3072"/>
    <n v="-3354"/>
    <n v="-2874"/>
    <n v="-2766"/>
    <n v="-42851"/>
    <n v="-108"/>
  </r>
  <r>
    <x v="1"/>
    <x v="1"/>
    <x v="0"/>
    <s v="2689200"/>
    <n v="400029"/>
    <s v="MD Practice Other Rev--Self Pay"/>
    <s v="Bremerton Endocrinology"/>
    <x v="0"/>
    <n v="1500"/>
    <n v="-33"/>
    <n v="-84"/>
    <n v="-18"/>
    <n v="-93"/>
    <n v="-93"/>
    <n v="-84"/>
    <n v="-18"/>
    <n v="-168"/>
    <n v="-78"/>
    <n v="-144"/>
    <n v="-228"/>
    <n v="-18"/>
    <n v="-1059"/>
    <n v="-210"/>
  </r>
  <r>
    <x v="1"/>
    <x v="1"/>
    <x v="0"/>
    <s v="2689200"/>
    <n v="400029"/>
    <s v="MD Practice Other Rev--Other"/>
    <s v="Bremerton Endocrinology"/>
    <x v="0"/>
    <n v="1700"/>
    <n v="-414"/>
    <n v="-447"/>
    <n v="-469"/>
    <n v="-2301"/>
    <n v="-567"/>
    <n v="-492"/>
    <n v="-744"/>
    <n v="-660"/>
    <n v="-822"/>
    <n v="-675"/>
    <n v="-621"/>
    <n v="-906"/>
    <n v="-9118"/>
    <n v="285"/>
  </r>
  <r>
    <x v="1"/>
    <x v="1"/>
    <x v="0"/>
    <s v="2689200"/>
    <n v="400040"/>
    <s v="Physician Svcs Rev--Medicare"/>
    <s v="Bremerton Endocrinology"/>
    <x v="0"/>
    <n v="1100"/>
    <n v="-111275.01"/>
    <n v="-115547"/>
    <n v="-98266"/>
    <n v="-156359"/>
    <n v="-139166"/>
    <n v="-238282"/>
    <n v="-190611"/>
    <n v="-162645"/>
    <n v="-231894"/>
    <n v="-184347.5"/>
    <n v="-227911.09"/>
    <n v="-199359"/>
    <n v="-2055662.6"/>
    <n v="-28552.089999999997"/>
  </r>
  <r>
    <x v="1"/>
    <x v="1"/>
    <x v="0"/>
    <s v="2689200"/>
    <n v="400040"/>
    <s v="Physician Svcs Rev--Medicaid"/>
    <s v="Bremerton Endocrinology"/>
    <x v="0"/>
    <n v="1200"/>
    <n v="-38986.019999999997"/>
    <n v="-42003"/>
    <n v="-43367"/>
    <n v="-48965.13"/>
    <n v="-51106.26"/>
    <n v="-86497"/>
    <n v="-76039"/>
    <n v="-65445"/>
    <n v="-67182"/>
    <n v="-65836.5"/>
    <n v="-83569"/>
    <n v="-59623"/>
    <n v="-728618.91"/>
    <n v="-23946"/>
  </r>
  <r>
    <x v="1"/>
    <x v="1"/>
    <x v="0"/>
    <s v="2689200"/>
    <n v="400040"/>
    <s v="Physician Svcs Rev--Comm Insurance"/>
    <s v="Bremerton Endocrinology"/>
    <x v="0"/>
    <n v="1300"/>
    <n v="-3717"/>
    <n v="-4262"/>
    <n v="-2418"/>
    <n v="-4745"/>
    <n v="-2879"/>
    <n v="-11492"/>
    <n v="-8713"/>
    <n v="-4655"/>
    <n v="-7230"/>
    <n v="-6606"/>
    <n v="-8536"/>
    <n v="-9867"/>
    <n v="-75120"/>
    <n v="1331"/>
  </r>
  <r>
    <x v="1"/>
    <x v="1"/>
    <x v="0"/>
    <s v="2689200"/>
    <n v="400040"/>
    <s v="Physician Svcs Rev--BCBS Comm"/>
    <s v="Bremerton Endocrinology"/>
    <x v="0"/>
    <n v="1301"/>
    <n v="-13528"/>
    <n v="-18847"/>
    <n v="-11590"/>
    <n v="-18621"/>
    <n v="-14932"/>
    <n v="-35583"/>
    <n v="-32030"/>
    <n v="-20960"/>
    <n v="-31735"/>
    <n v="-23336"/>
    <n v="-27895"/>
    <n v="-25470.23"/>
    <n v="-274527.23"/>
    <n v="-2424.7700000000004"/>
  </r>
  <r>
    <x v="1"/>
    <x v="1"/>
    <x v="0"/>
    <s v="2689200"/>
    <n v="400040"/>
    <s v="Physician Svcs Rev--Managed Care"/>
    <s v="Bremerton Endocrinology"/>
    <x v="0"/>
    <n v="1400"/>
    <n v="-43399.01"/>
    <n v="-58620"/>
    <n v="-55515"/>
    <n v="-65687"/>
    <n v="-54793.2"/>
    <n v="-126771.8"/>
    <n v="-98584"/>
    <n v="-67674"/>
    <n v="-91442"/>
    <n v="-91263"/>
    <n v="-89210"/>
    <n v="-74001"/>
    <n v="-916960.01"/>
    <n v="-15209"/>
  </r>
  <r>
    <x v="1"/>
    <x v="1"/>
    <x v="0"/>
    <s v="2689200"/>
    <n v="400040"/>
    <s v="Physician Svcs Rev--Self Pay"/>
    <s v="Bremerton Endocrinology"/>
    <x v="0"/>
    <n v="1500"/>
    <n v="2018"/>
    <n v="-3935"/>
    <n v="649"/>
    <n v="-4456"/>
    <n v="-2454"/>
    <n v="-2798"/>
    <n v="-3672"/>
    <n v="-2286"/>
    <n v="-4026"/>
    <n v="-697"/>
    <n v="-1493"/>
    <n v="-2401"/>
    <n v="-25551"/>
    <n v="908"/>
  </r>
  <r>
    <x v="1"/>
    <x v="1"/>
    <x v="0"/>
    <s v="2689200"/>
    <n v="400040"/>
    <s v="Physician Svcs Rev--Other"/>
    <s v="Bremerton Endocrinology"/>
    <x v="0"/>
    <n v="1700"/>
    <n v="-11948"/>
    <n v="-16294"/>
    <n v="-14023"/>
    <n v="-21736"/>
    <n v="-18448"/>
    <n v="-28072"/>
    <n v="-21438"/>
    <n v="-23022"/>
    <n v="-26495"/>
    <n v="-25462"/>
    <n v="-22890"/>
    <n v="-22672"/>
    <n v="-252500"/>
    <n v="-218"/>
  </r>
  <r>
    <x v="2"/>
    <x v="1"/>
    <x v="0"/>
    <s v="2689200"/>
    <n v="450029"/>
    <s v="Contr Allow--MD Other-Medicare"/>
    <s v="Bremerton Endocrinology"/>
    <x v="0"/>
    <n v="1100"/>
    <n v="3219.47"/>
    <n v="3578.65"/>
    <n v="4334.3100000000004"/>
    <n v="3425.81"/>
    <n v="4616.8500000000004"/>
    <n v="4036.81"/>
    <n v="3372.96"/>
    <n v="3096.68"/>
    <n v="3885.4"/>
    <n v="3450.12"/>
    <n v="4044.89"/>
    <n v="3053.69"/>
    <n v="44115.640000000007"/>
    <n v="991.19999999999982"/>
  </r>
  <r>
    <x v="2"/>
    <x v="1"/>
    <x v="0"/>
    <s v="2689200"/>
    <n v="450029"/>
    <s v="Contr Allow--MD Other-Medicaid"/>
    <s v="Bremerton Endocrinology"/>
    <x v="0"/>
    <n v="1200"/>
    <n v="1016.8"/>
    <n v="1156.3"/>
    <n v="1737.37"/>
    <n v="1760.3"/>
    <n v="1586.06"/>
    <n v="1604.48"/>
    <n v="2263.85"/>
    <n v="1074.32"/>
    <n v="1316.62"/>
    <n v="1374.79"/>
    <n v="1615.28"/>
    <n v="943.48"/>
    <n v="17449.649999999998"/>
    <n v="671.8"/>
  </r>
  <r>
    <x v="2"/>
    <x v="1"/>
    <x v="0"/>
    <s v="2689200"/>
    <n v="450029"/>
    <s v="Contr Allow--MD Other-Comm Insurance"/>
    <s v="Bremerton Endocrinology"/>
    <x v="0"/>
    <n v="1300"/>
    <n v="335.45"/>
    <n v="12.4"/>
    <n v="143.72"/>
    <n v="81.09"/>
    <n v="110.38"/>
    <n v="257.27"/>
    <n v="77.03"/>
    <n v="106.59"/>
    <n v="171.07"/>
    <n v="50"/>
    <n v="53.72"/>
    <n v="227.16"/>
    <n v="1625.8799999999999"/>
    <n v="-173.44"/>
  </r>
  <r>
    <x v="2"/>
    <x v="1"/>
    <x v="0"/>
    <s v="2689200"/>
    <n v="450029"/>
    <s v="Contr Allow--MD Other BCBS Comm"/>
    <s v="Bremerton Endocrinology"/>
    <x v="0"/>
    <n v="1301"/>
    <n v="601.82000000000005"/>
    <n v="778.91"/>
    <n v="355.37"/>
    <n v="124.43"/>
    <n v="931.66"/>
    <n v="438.81"/>
    <n v="619.95000000000005"/>
    <n v="588.41999999999996"/>
    <n v="662.03"/>
    <n v="652.66999999999996"/>
    <n v="515.44000000000005"/>
    <n v="574.84"/>
    <n v="6844.35"/>
    <n v="-59.399999999999977"/>
  </r>
  <r>
    <x v="2"/>
    <x v="1"/>
    <x v="0"/>
    <s v="2689200"/>
    <n v="450029"/>
    <s v="Contr Allow--MD Other-Managed Care"/>
    <s v="Bremerton Endocrinology"/>
    <x v="0"/>
    <n v="1400"/>
    <n v="1882.54"/>
    <n v="2648.85"/>
    <n v="2094.69"/>
    <n v="2678.49"/>
    <n v="2612.7800000000002"/>
    <n v="1194.4000000000001"/>
    <n v="1523.67"/>
    <n v="1467.5"/>
    <n v="1921.88"/>
    <n v="1736.51"/>
    <n v="2531.3200000000002"/>
    <n v="1589.38"/>
    <n v="23882.01"/>
    <n v="941.94"/>
  </r>
  <r>
    <x v="2"/>
    <x v="1"/>
    <x v="0"/>
    <s v="2689200"/>
    <n v="450029"/>
    <s v="Admin Adjust-MD Other-Self Pay"/>
    <s v="Bremerton Endocrinology"/>
    <x v="0"/>
    <n v="1600"/>
    <n v="25.76"/>
    <n v="363.26"/>
    <n v="126.72"/>
    <n v="84.85"/>
    <n v="116.84"/>
    <n v="39.04"/>
    <n v="118.95"/>
    <n v="76.28"/>
    <n v="59.56"/>
    <n v="172.26"/>
    <n v="132.19999999999999"/>
    <n v="49.48"/>
    <n v="1365.2"/>
    <n v="82.72"/>
  </r>
  <r>
    <x v="2"/>
    <x v="1"/>
    <x v="0"/>
    <s v="2689200"/>
    <n v="450029"/>
    <s v="Contr Allow--MD Other-Other"/>
    <s v="Bremerton Endocrinology"/>
    <x v="0"/>
    <n v="1700"/>
    <n v="74.819999999999993"/>
    <n v="410.01"/>
    <n v="325.38"/>
    <n v="443.76"/>
    <n v="1100.45"/>
    <n v="249.45"/>
    <n v="263.42"/>
    <n v="414.19"/>
    <n v="416.29"/>
    <n v="656.49"/>
    <n v="662.15"/>
    <n v="253.89"/>
    <n v="5270.3"/>
    <n v="408.26"/>
  </r>
  <r>
    <x v="2"/>
    <x v="1"/>
    <x v="0"/>
    <s v="2689200"/>
    <n v="450040"/>
    <s v="Contr Allow--Phys Svcs--Mcare"/>
    <s v="Bremerton Endocrinology"/>
    <x v="0"/>
    <n v="1100"/>
    <n v="66454.289999999994"/>
    <n v="74007.92"/>
    <n v="67806.5"/>
    <n v="91497.93"/>
    <n v="97557.49"/>
    <n v="113427.46"/>
    <n v="124902.67"/>
    <n v="123071.66"/>
    <n v="114562.21"/>
    <n v="139092.76999999999"/>
    <n v="139964.69"/>
    <n v="129104.95"/>
    <n v="1281450.54"/>
    <n v="10859.740000000005"/>
  </r>
  <r>
    <x v="2"/>
    <x v="1"/>
    <x v="0"/>
    <s v="2689200"/>
    <n v="450040"/>
    <s v="Contr Allow--Phys Svcs--Mcaid"/>
    <s v="Bremerton Endocrinology"/>
    <x v="0"/>
    <n v="1200"/>
    <n v="26168.28"/>
    <n v="37636.019999999997"/>
    <n v="28723.24"/>
    <n v="43370.1"/>
    <n v="29723.18"/>
    <n v="43202.38"/>
    <n v="57360.79"/>
    <n v="40132.730000000003"/>
    <n v="57424.72"/>
    <n v="52659.45"/>
    <n v="53931.82"/>
    <n v="50962.35"/>
    <n v="521295.05999999994"/>
    <n v="2969.4700000000012"/>
  </r>
  <r>
    <x v="2"/>
    <x v="1"/>
    <x v="0"/>
    <s v="2689200"/>
    <n v="450040"/>
    <s v="Contr Allow--Phys Svcs--Comm Insurance"/>
    <s v="Bremerton Endocrinology"/>
    <x v="0"/>
    <n v="1300"/>
    <n v="1515.78"/>
    <n v="1424.34"/>
    <n v="1410.08"/>
    <n v="1520.72"/>
    <n v="1013.26"/>
    <n v="1254.7"/>
    <n v="3678.94"/>
    <n v="2180.65"/>
    <n v="1970.55"/>
    <n v="2199.33"/>
    <n v="2211.27"/>
    <n v="3167.83"/>
    <n v="23547.449999999997"/>
    <n v="-956.56"/>
  </r>
  <r>
    <x v="2"/>
    <x v="1"/>
    <x v="0"/>
    <s v="2689200"/>
    <n v="450040"/>
    <s v="Contr Allow--Phys Svcs--BCBS Comm Ins"/>
    <s v="Bremerton Endocrinology"/>
    <x v="0"/>
    <n v="1301"/>
    <n v="9360.58"/>
    <n v="8068.24"/>
    <n v="7295.23"/>
    <n v="3059.78"/>
    <n v="11799.39"/>
    <n v="7964.05"/>
    <n v="13329.08"/>
    <n v="14655.7"/>
    <n v="15322.27"/>
    <n v="12023.34"/>
    <n v="12744.18"/>
    <n v="13105.6"/>
    <n v="128727.44"/>
    <n v="-361.42000000000007"/>
  </r>
  <r>
    <x v="2"/>
    <x v="1"/>
    <x v="0"/>
    <s v="2689200"/>
    <n v="450040"/>
    <s v="Contr Allow--Phys Svcs--Managed Care"/>
    <s v="Bremerton Endocrinology"/>
    <x v="0"/>
    <n v="1400"/>
    <n v="16682.55"/>
    <n v="26113.17"/>
    <n v="21944.09"/>
    <n v="24603.91"/>
    <n v="23375.48"/>
    <n v="19407.900000000001"/>
    <n v="32299.51"/>
    <n v="39228.589999999997"/>
    <n v="37941.29"/>
    <n v="32789.4"/>
    <n v="33825.050000000003"/>
    <n v="30069.74"/>
    <n v="338280.68"/>
    <n v="3755.3100000000013"/>
  </r>
  <r>
    <x v="2"/>
    <x v="1"/>
    <x v="0"/>
    <s v="2689200"/>
    <n v="450040"/>
    <s v="Contr Allow--Phys Svcs--BCBS Mgnd Care"/>
    <s v="Bremerton Endocrinology"/>
    <x v="0"/>
    <n v="1401"/>
    <n v="8523.5300000000007"/>
    <n v="125.66"/>
    <n v="-13.02"/>
    <n v="22155.5"/>
    <n v="-4185.7700000000004"/>
    <n v="114533.85"/>
    <n v="25956.240000000002"/>
    <n v="-18388.36"/>
    <n v="33909.03"/>
    <n v="-12637.06"/>
    <n v="16383.89"/>
    <n v="-5447.87"/>
    <n v="180915.62"/>
    <n v="21831.759999999998"/>
  </r>
  <r>
    <x v="2"/>
    <x v="1"/>
    <x v="0"/>
    <s v="2689200"/>
    <n v="450040"/>
    <s v="Prompt Pay Disc-Phys Svcs-Self Pay"/>
    <s v="Bremerton Endocrinology"/>
    <x v="0"/>
    <n v="1500"/>
    <n v="0"/>
    <n v="0"/>
    <n v="0"/>
    <n v="0"/>
    <n v="0"/>
    <n v="151.97999999999999"/>
    <n v="0"/>
    <n v="0"/>
    <n v="0"/>
    <n v="0"/>
    <n v="0"/>
    <n v="0"/>
    <n v="151.97999999999999"/>
    <n v="0"/>
  </r>
  <r>
    <x v="2"/>
    <x v="1"/>
    <x v="0"/>
    <s v="2689200"/>
    <n v="450040"/>
    <s v="Admin Adjust-Phys Svcs-Self Pay"/>
    <s v="Bremerton Endocrinology"/>
    <x v="0"/>
    <n v="1600"/>
    <n v="-672.86"/>
    <n v="2585.0700000000002"/>
    <n v="-219.21"/>
    <n v="2096.52"/>
    <n v="1003.6"/>
    <n v="990.78"/>
    <n v="1617.66"/>
    <n v="816.51"/>
    <n v="1642.83"/>
    <n v="591.9"/>
    <n v="679.04"/>
    <n v="1065.56"/>
    <n v="12197.4"/>
    <n v="-386.52"/>
  </r>
  <r>
    <x v="2"/>
    <x v="1"/>
    <x v="0"/>
    <s v="2689200"/>
    <n v="450040"/>
    <s v="Contr Allow--Phys Svcs--Other"/>
    <s v="Bremerton Endocrinology"/>
    <x v="0"/>
    <n v="1700"/>
    <n v="3944.16"/>
    <n v="11450.66"/>
    <n v="9411.2099999999991"/>
    <n v="8075.75"/>
    <n v="9228.9699999999993"/>
    <n v="9483.66"/>
    <n v="10335.15"/>
    <n v="14047.61"/>
    <n v="14339.62"/>
    <n v="15786.12"/>
    <n v="18962.66"/>
    <n v="12704.69"/>
    <n v="137770.26"/>
    <n v="6257.9699999999993"/>
  </r>
  <r>
    <x v="3"/>
    <x v="1"/>
    <x v="0"/>
    <s v="2689200"/>
    <n v="470040"/>
    <s v="Charity Care-Physician Svcs"/>
    <s v="Bremerton Endocrinology"/>
    <x v="0"/>
    <m/>
    <n v="309.18"/>
    <n v="2164.1799999999998"/>
    <n v="-160.04"/>
    <n v="1760.87"/>
    <n v="207.19"/>
    <n v="3659.74"/>
    <n v="1334.61"/>
    <n v="1083.8"/>
    <n v="4073.46"/>
    <n v="1737.04"/>
    <n v="836.61"/>
    <n v="3550.25"/>
    <n v="20556.89"/>
    <n v="-2713.64"/>
  </r>
  <r>
    <x v="4"/>
    <x v="1"/>
    <x v="0"/>
    <s v="2689200"/>
    <n v="490010"/>
    <s v="Provision for Bad Debts"/>
    <s v="Bremerton Endocrinology"/>
    <x v="0"/>
    <m/>
    <n v="3263.16"/>
    <n v="1520.69"/>
    <n v="1576.35"/>
    <n v="4726.3900000000003"/>
    <n v="3670.01"/>
    <n v="14128.06"/>
    <n v="-65.069999999999993"/>
    <n v="-2350.89"/>
    <n v="7242.85"/>
    <n v="121.61"/>
    <n v="4885.66"/>
    <n v="4808.8500000000004"/>
    <n v="43527.670000000006"/>
    <n v="76.809999999999491"/>
  </r>
  <r>
    <x v="14"/>
    <x v="1"/>
    <x v="0"/>
    <s v="2689200"/>
    <n v="600050"/>
    <s v="Miscellaneous Revenue"/>
    <s v="Bremerton Endocrinology"/>
    <x v="0"/>
    <m/>
    <n v="-1250"/>
    <n v="0"/>
    <n v="0"/>
    <n v="0"/>
    <n v="-75"/>
    <n v="0"/>
    <n v="-1010"/>
    <n v="-3490"/>
    <n v="-2210"/>
    <n v="-1500"/>
    <n v="-1100"/>
    <n v="-3525"/>
    <n v="-14160"/>
    <n v="2425"/>
  </r>
  <r>
    <x v="5"/>
    <x v="1"/>
    <x v="0"/>
    <s v="2689200"/>
    <n v="700018"/>
    <s v="Salaries-Supervisory-Productive"/>
    <s v="Bremerton Endocrinology"/>
    <x v="0"/>
    <m/>
    <n v="4061.44"/>
    <n v="4916.4799999999996"/>
    <n v="3847.68"/>
    <n v="5109.4399999999996"/>
    <n v="4714.08"/>
    <n v="4467.1499999999996"/>
    <n v="4968.57"/>
    <n v="1348.86"/>
    <n v="0"/>
    <n v="0"/>
    <n v="4496.18"/>
    <n v="4215.16"/>
    <n v="42145.040000000008"/>
    <n v="281.02000000000044"/>
  </r>
  <r>
    <x v="5"/>
    <x v="1"/>
    <x v="0"/>
    <s v="2689200"/>
    <n v="700022"/>
    <s v="Salaries-Physician-Productive"/>
    <s v="Bremerton Endocrinology"/>
    <x v="0"/>
    <m/>
    <n v="19581.759999999998"/>
    <n v="62010.35"/>
    <n v="52054.48"/>
    <n v="63823.5"/>
    <n v="52812.58"/>
    <n v="53340.11"/>
    <n v="67900.73"/>
    <n v="64475.16"/>
    <n v="56700.43"/>
    <n v="59853.63"/>
    <n v="57835.18"/>
    <n v="50826.01"/>
    <n v="661213.91999999993"/>
    <n v="7009.1699999999983"/>
  </r>
  <r>
    <x v="5"/>
    <x v="1"/>
    <x v="0"/>
    <s v="2689200"/>
    <n v="700022"/>
    <s v="Salaries-Physician-Other"/>
    <s v="Bremerton Endocrinology"/>
    <x v="0"/>
    <n v="2000"/>
    <n v="0"/>
    <n v="30"/>
    <n v="0"/>
    <n v="0"/>
    <n v="0"/>
    <n v="6536.02"/>
    <n v="0"/>
    <n v="0"/>
    <n v="0"/>
    <n v="0"/>
    <n v="0"/>
    <n v="0"/>
    <n v="6566.02"/>
    <n v="0"/>
  </r>
  <r>
    <x v="5"/>
    <x v="1"/>
    <x v="0"/>
    <s v="2689200"/>
    <n v="700024"/>
    <s v="Salaries-Advanced Practice Clinician-Productive"/>
    <s v="Bremerton Endocrinology"/>
    <x v="0"/>
    <m/>
    <n v="35387.21"/>
    <n v="32527.29"/>
    <n v="27176.36"/>
    <n v="31252.81"/>
    <n v="32181.48"/>
    <n v="30445.47"/>
    <n v="34887.800000000003"/>
    <n v="31056.97"/>
    <n v="32528.77"/>
    <n v="28675.49"/>
    <n v="31018.65"/>
    <n v="26811.1"/>
    <n v="373949.39999999997"/>
    <n v="4207.5500000000029"/>
  </r>
  <r>
    <x v="5"/>
    <x v="1"/>
    <x v="0"/>
    <s v="2689200"/>
    <n v="700024"/>
    <s v="Salaries-Advanced Practice Clinician-Other"/>
    <s v="Bremerton Endocrinology"/>
    <x v="0"/>
    <n v="2000"/>
    <n v="0"/>
    <n v="-453"/>
    <n v="0"/>
    <n v="0"/>
    <n v="0"/>
    <n v="0"/>
    <n v="0"/>
    <n v="0"/>
    <n v="0"/>
    <n v="0"/>
    <n v="0"/>
    <n v="0"/>
    <n v="-453"/>
    <n v="0"/>
  </r>
  <r>
    <x v="5"/>
    <x v="1"/>
    <x v="0"/>
    <s v="2689200"/>
    <n v="700026"/>
    <s v="Salaries-RN-Productive"/>
    <s v="Bremerton Endocrinology"/>
    <x v="0"/>
    <m/>
    <n v="6034.53"/>
    <n v="7907.94"/>
    <n v="6752.47"/>
    <n v="6496.33"/>
    <n v="7883.19"/>
    <n v="4266.79"/>
    <n v="7759.57"/>
    <n v="5698.12"/>
    <n v="5716.71"/>
    <n v="8343.91"/>
    <n v="7190.96"/>
    <n v="6983.32"/>
    <n v="81033.84"/>
    <n v="207.64000000000033"/>
  </r>
  <r>
    <x v="5"/>
    <x v="1"/>
    <x v="0"/>
    <s v="2689200"/>
    <n v="700026"/>
    <s v="Salaries-RN-OT"/>
    <s v="Bremerton Endocrinology"/>
    <x v="0"/>
    <n v="1000"/>
    <n v="0"/>
    <n v="126.51"/>
    <n v="86.97"/>
    <n v="7.91"/>
    <n v="0"/>
    <n v="130.94999999999999"/>
    <n v="180.33"/>
    <n v="-32.78"/>
    <n v="81.96"/>
    <n v="188.51"/>
    <n v="106.57"/>
    <n v="196.72"/>
    <n v="1073.6500000000001"/>
    <n v="-90.15"/>
  </r>
  <r>
    <x v="5"/>
    <x v="1"/>
    <x v="0"/>
    <s v="2689200"/>
    <n v="700032"/>
    <s v="Salaries-Other Pat Care Providers-Productive"/>
    <s v="Bremerton Endocrinology"/>
    <x v="0"/>
    <m/>
    <n v="15606.56"/>
    <n v="21442.49"/>
    <n v="18628.400000000001"/>
    <n v="23703.43"/>
    <n v="23191.33"/>
    <n v="29547.73"/>
    <n v="45175.88"/>
    <n v="37458.43"/>
    <n v="131066.85"/>
    <n v="45842.2"/>
    <n v="47607.42"/>
    <n v="34551.089999999997"/>
    <n v="473821.80999999994"/>
    <n v="13056.330000000002"/>
  </r>
  <r>
    <x v="5"/>
    <x v="1"/>
    <x v="0"/>
    <s v="2689200"/>
    <n v="700032"/>
    <s v="Salaries-Other Pat Care Providers-OT"/>
    <s v="Bremerton Endocrinology"/>
    <x v="0"/>
    <n v="1000"/>
    <n v="431.65"/>
    <n v="199.94"/>
    <n v="329.35"/>
    <n v="106.71"/>
    <n v="866.64"/>
    <n v="1.51"/>
    <n v="749.44"/>
    <n v="517.32000000000005"/>
    <n v="2504.16"/>
    <n v="953.06"/>
    <n v="852.86"/>
    <n v="878.9"/>
    <n v="8391.5399999999991"/>
    <n v="-26.039999999999964"/>
  </r>
  <r>
    <x v="5"/>
    <x v="1"/>
    <x v="0"/>
    <s v="2689200"/>
    <n v="700032"/>
    <s v="Salaries-Other Pat Care Providers-Other"/>
    <s v="Bremerton Endocrinology"/>
    <x v="0"/>
    <n v="2000"/>
    <n v="0"/>
    <n v="90"/>
    <n v="0"/>
    <n v="0"/>
    <n v="0"/>
    <n v="0"/>
    <n v="0"/>
    <n v="0"/>
    <n v="0"/>
    <n v="0"/>
    <n v="0"/>
    <n v="0"/>
    <n v="90"/>
    <n v="0"/>
  </r>
  <r>
    <x v="5"/>
    <x v="1"/>
    <x v="0"/>
    <s v="2689200"/>
    <n v="700038"/>
    <s v="Salaries-Service/Support-Productive"/>
    <s v="Bremerton Endocrinology"/>
    <x v="0"/>
    <m/>
    <n v="0"/>
    <n v="0"/>
    <n v="0"/>
    <n v="308.16000000000003"/>
    <n v="-136.96"/>
    <n v="0"/>
    <n v="0"/>
    <n v="0"/>
    <n v="358.98"/>
    <n v="0"/>
    <n v="0"/>
    <n v="176.81"/>
    <n v="706.99"/>
    <n v="-176.81"/>
  </r>
  <r>
    <x v="5"/>
    <x v="1"/>
    <x v="0"/>
    <s v="2689200"/>
    <n v="700054"/>
    <s v="Salaries-Management-Non-productive"/>
    <s v="Bremerton Endocrinology"/>
    <x v="0"/>
    <m/>
    <n v="0"/>
    <n v="0"/>
    <n v="0"/>
    <n v="0"/>
    <n v="0"/>
    <n v="0"/>
    <n v="0"/>
    <n v="0"/>
    <n v="4772.41"/>
    <n v="-493.86"/>
    <n v="0"/>
    <n v="0"/>
    <n v="4278.55"/>
    <n v="0"/>
  </r>
  <r>
    <x v="5"/>
    <x v="1"/>
    <x v="0"/>
    <s v="2689200"/>
    <n v="700058"/>
    <s v="Salaries-Supervisory-Non-productive"/>
    <s v="Bremerton Endocrinology"/>
    <x v="0"/>
    <m/>
    <n v="641.28"/>
    <n v="0"/>
    <n v="427.52"/>
    <n v="0"/>
    <n v="224.48"/>
    <n v="246.92"/>
    <n v="202.37"/>
    <n v="3147.32"/>
    <n v="4720.99"/>
    <n v="1331.99"/>
    <n v="-151.72999999999999"/>
    <n v="281.02"/>
    <n v="11072.160000000002"/>
    <n v="-432.75"/>
  </r>
  <r>
    <x v="5"/>
    <x v="1"/>
    <x v="0"/>
    <s v="2689200"/>
    <n v="700058"/>
    <s v="Salaries-Supervisory-NonProd-Other"/>
    <s v="Bremerton Endocrin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9200"/>
    <n v="700062"/>
    <s v="Salaries-Physician-Non-productive"/>
    <s v="Bremerton Endocrinology"/>
    <x v="0"/>
    <m/>
    <n v="-5731.76"/>
    <n v="5731.76"/>
    <n v="2670.24"/>
    <n v="-890.08"/>
    <n v="13920.62"/>
    <n v="4255.22"/>
    <n v="8255.4500000000007"/>
    <n v="0"/>
    <n v="0"/>
    <n v="0"/>
    <n v="4622.16"/>
    <n v="-3072.36"/>
    <n v="29761.25"/>
    <n v="7694.52"/>
  </r>
  <r>
    <x v="5"/>
    <x v="1"/>
    <x v="0"/>
    <s v="2689200"/>
    <n v="700062"/>
    <s v="Salaries-Physician-NonProd-Other"/>
    <s v="Bremerton Endocrin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9200"/>
    <n v="700064"/>
    <s v="Salaries-Advanced Practice Clinician-Non-Productive"/>
    <s v="Bremerton Endocrinology"/>
    <x v="0"/>
    <m/>
    <n v="222.26"/>
    <n v="1980.05"/>
    <n v="2075.71"/>
    <n v="2072.9699999999998"/>
    <n v="3142.43"/>
    <n v="3684.89"/>
    <n v="2341.8000000000002"/>
    <n v="2019.78"/>
    <n v="2025.87"/>
    <n v="7414.09"/>
    <n v="6158.46"/>
    <n v="5705.62"/>
    <n v="38843.93"/>
    <n v="452.84000000000015"/>
  </r>
  <r>
    <x v="5"/>
    <x v="1"/>
    <x v="0"/>
    <s v="2689200"/>
    <n v="700066"/>
    <s v="Salaries-RN-Non-productive"/>
    <s v="Bremerton Endocrinology"/>
    <x v="0"/>
    <m/>
    <n v="1433.78"/>
    <n v="-168.68"/>
    <n v="0"/>
    <n v="1465.52"/>
    <n v="-200.78"/>
    <n v="3102.42"/>
    <n v="237.33"/>
    <n v="1296.1199999999999"/>
    <n v="1621.8"/>
    <n v="-655.71"/>
    <n v="874.28"/>
    <n v="0"/>
    <n v="9006.08"/>
    <n v="874.28"/>
  </r>
  <r>
    <x v="5"/>
    <x v="1"/>
    <x v="0"/>
    <s v="2689200"/>
    <n v="700066"/>
    <s v="Salaries-RN-NonProd-Other"/>
    <s v="Bremerton Endocrin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9200"/>
    <n v="700072"/>
    <s v="Salaries-Other Pat Care Providers-Non-productive"/>
    <s v="Bremerton Endocrinology"/>
    <x v="0"/>
    <m/>
    <n v="1835.53"/>
    <n v="2334.0700000000002"/>
    <n v="6080.17"/>
    <n v="4547.78"/>
    <n v="-1027.57"/>
    <n v="8170.94"/>
    <n v="4104.32"/>
    <n v="8505.11"/>
    <n v="12455.2"/>
    <n v="1681.24"/>
    <n v="3458.12"/>
    <n v="7259.44"/>
    <n v="59404.350000000006"/>
    <n v="-3801.3199999999997"/>
  </r>
  <r>
    <x v="5"/>
    <x v="1"/>
    <x v="0"/>
    <s v="2689200"/>
    <n v="700072"/>
    <s v="Salaries-Other Pat Care Providers-NonProd-Other"/>
    <s v="Bremerton Endocrin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89200"/>
    <n v="700084"/>
    <s v="Accrued PTO"/>
    <s v="Bremerton Endocrinology"/>
    <x v="0"/>
    <m/>
    <n v="-536.26"/>
    <n v="1573.82"/>
    <n v="1011.01"/>
    <n v="1155.47"/>
    <n v="2106.4899999999998"/>
    <n v="-6530.12"/>
    <n v="4457.75"/>
    <n v="-1089.32"/>
    <n v="5682.55"/>
    <n v="2642.89"/>
    <n v="3060.94"/>
    <n v="724.24"/>
    <n v="14259.460000000001"/>
    <n v="2336.6999999999998"/>
  </r>
  <r>
    <x v="6"/>
    <x v="1"/>
    <x v="0"/>
    <s v="2689200"/>
    <n v="713010"/>
    <s v="Benefits-FICA/Medicare"/>
    <s v="Bremerton Endocrinology"/>
    <x v="0"/>
    <m/>
    <n v="6392.4"/>
    <n v="9887.36"/>
    <n v="8126.31"/>
    <n v="9097.2900000000009"/>
    <n v="8698.01"/>
    <n v="9794.0300000000007"/>
    <n v="13179.1"/>
    <n v="11611.71"/>
    <n v="20046.5"/>
    <n v="11437.13"/>
    <n v="12213.92"/>
    <n v="10482.02"/>
    <n v="130965.78"/>
    <n v="1731.8999999999996"/>
  </r>
  <r>
    <x v="6"/>
    <x v="1"/>
    <x v="0"/>
    <s v="2689200"/>
    <n v="713090"/>
    <s v="Benefits-Allocated Amounts"/>
    <s v="Bremerton Endocrinology"/>
    <x v="0"/>
    <m/>
    <n v="0"/>
    <n v="0"/>
    <n v="0"/>
    <n v="0"/>
    <n v="0"/>
    <n v="0"/>
    <n v="0"/>
    <n v="0"/>
    <n v="112693.49"/>
    <n v="13158.44"/>
    <n v="13385.91"/>
    <n v="13126.67"/>
    <n v="152364.51"/>
    <n v="259.23999999999978"/>
  </r>
  <r>
    <x v="6"/>
    <x v="1"/>
    <x v="0"/>
    <s v="2689200"/>
    <n v="713092"/>
    <s v="Allocated Benefits-Physician"/>
    <s v="Bremerton Endocrinology"/>
    <x v="0"/>
    <m/>
    <n v="3485.97"/>
    <n v="4530.8500000000004"/>
    <n v="4968.3"/>
    <n v="5127.53"/>
    <n v="4917.09"/>
    <n v="5873.62"/>
    <n v="7327.42"/>
    <n v="7162.27"/>
    <n v="-3753.2"/>
    <n v="4628.46"/>
    <n v="4708.49"/>
    <n v="4617.29"/>
    <n v="53594.090000000004"/>
    <n v="91.199999999999818"/>
  </r>
  <r>
    <x v="6"/>
    <x v="1"/>
    <x v="0"/>
    <s v="2689200"/>
    <n v="713093"/>
    <s v="Allocated Benefits-Advanced Practice Clinician"/>
    <s v="Bremerton Endocrinology"/>
    <x v="0"/>
    <m/>
    <n v="8725.07"/>
    <n v="11340.29"/>
    <n v="12435.18"/>
    <n v="12833.73"/>
    <n v="12307.03"/>
    <n v="14701.12"/>
    <n v="18339.830000000002"/>
    <n v="17926.52"/>
    <n v="-63798.51"/>
    <n v="5232.18"/>
    <n v="5322.63"/>
    <n v="5219.55"/>
    <n v="60584.62"/>
    <n v="103.07999999999993"/>
  </r>
  <r>
    <x v="7"/>
    <x v="1"/>
    <x v="0"/>
    <s v="2689200"/>
    <n v="718040"/>
    <s v="Contract Svcs-Laboratory"/>
    <s v="Bremerton Endocrinology"/>
    <x v="0"/>
    <m/>
    <n v="90"/>
    <n v="0"/>
    <n v="0"/>
    <n v="0"/>
    <n v="0"/>
    <n v="0"/>
    <n v="0"/>
    <n v="0"/>
    <n v="0"/>
    <n v="0"/>
    <n v="0"/>
    <n v="0"/>
    <n v="90"/>
    <n v="0"/>
  </r>
  <r>
    <x v="11"/>
    <x v="1"/>
    <x v="0"/>
    <s v="2689200"/>
    <n v="721010"/>
    <s v="Supplies-Medical - Billable"/>
    <s v="Bremerton Endocrinology"/>
    <x v="0"/>
    <m/>
    <n v="22.05"/>
    <n v="0"/>
    <n v="0"/>
    <n v="0"/>
    <n v="58.89"/>
    <n v="61.85"/>
    <n v="24.74"/>
    <n v="0"/>
    <n v="0"/>
    <n v="0"/>
    <n v="134.83000000000001"/>
    <n v="-11.13"/>
    <n v="291.23"/>
    <n v="145.96"/>
  </r>
  <r>
    <x v="11"/>
    <x v="1"/>
    <x v="0"/>
    <s v="2689200"/>
    <n v="721240"/>
    <s v="Supplies-IV Solutions/Supplies - Billable"/>
    <s v="Bremerton Endocrinology"/>
    <x v="0"/>
    <m/>
    <n v="0"/>
    <n v="0"/>
    <n v="0"/>
    <n v="0"/>
    <n v="0"/>
    <n v="0"/>
    <n v="0"/>
    <n v="16"/>
    <n v="0"/>
    <n v="0"/>
    <n v="0"/>
    <n v="0"/>
    <n v="16"/>
    <n v="0"/>
  </r>
  <r>
    <x v="11"/>
    <x v="1"/>
    <x v="0"/>
    <s v="2689200"/>
    <n v="721250"/>
    <s v="Supplies-Pharmacy Drugs - Billable"/>
    <s v="Bremerton Endocrinology"/>
    <x v="0"/>
    <m/>
    <n v="16160.58"/>
    <n v="4810.88"/>
    <n v="4615.88"/>
    <n v="14893.29"/>
    <n v="7647.92"/>
    <n v="14446.1"/>
    <n v="16766.810000000001"/>
    <n v="9728.8799999999992"/>
    <n v="9508.7199999999993"/>
    <n v="21604.62"/>
    <n v="14653.08"/>
    <n v="7326.54"/>
    <n v="142163.30000000002"/>
    <n v="7326.54"/>
  </r>
  <r>
    <x v="11"/>
    <x v="1"/>
    <x v="0"/>
    <s v="2689200"/>
    <n v="721410"/>
    <s v="Supplies-Medical - Nonbillable"/>
    <s v="Bremerton Endocrinology"/>
    <x v="0"/>
    <m/>
    <n v="182.02"/>
    <n v="245.94"/>
    <n v="104.83"/>
    <n v="102.04"/>
    <n v="64.42"/>
    <n v="352.85"/>
    <n v="1012.11"/>
    <n v="153.38"/>
    <n v="1047.3499999999999"/>
    <n v="468.05"/>
    <n v="330.16"/>
    <n v="60.6"/>
    <n v="4123.75"/>
    <n v="269.56"/>
  </r>
  <r>
    <x v="11"/>
    <x v="1"/>
    <x v="0"/>
    <s v="2689200"/>
    <n v="721420"/>
    <s v="Supplies-Surgical Nonbillable"/>
    <s v="Bremerton Endocrinology"/>
    <x v="0"/>
    <m/>
    <n v="0"/>
    <n v="0"/>
    <n v="0"/>
    <n v="0"/>
    <n v="0"/>
    <n v="0.85"/>
    <n v="0"/>
    <n v="0"/>
    <n v="0"/>
    <n v="0"/>
    <n v="0"/>
    <n v="0"/>
    <n v="0.85"/>
    <n v="0"/>
  </r>
  <r>
    <x v="11"/>
    <x v="1"/>
    <x v="0"/>
    <s v="2689200"/>
    <n v="721650"/>
    <s v="Supplies-Pharmacy Drugs - Nonbillable"/>
    <s v="Bremerton Endocrinology"/>
    <x v="0"/>
    <m/>
    <n v="0"/>
    <n v="0"/>
    <n v="5.13"/>
    <n v="0"/>
    <n v="0"/>
    <n v="0"/>
    <n v="0"/>
    <n v="0"/>
    <n v="0"/>
    <n v="0"/>
    <n v="0"/>
    <n v="0"/>
    <n v="5.13"/>
    <n v="0"/>
  </r>
  <r>
    <x v="11"/>
    <x v="1"/>
    <x v="0"/>
    <s v="2689200"/>
    <n v="721710"/>
    <s v="Supplies-Laboratory - Nonbillable"/>
    <s v="Bremerton Endocrinology"/>
    <x v="0"/>
    <m/>
    <n v="23.2"/>
    <n v="73.819999999999993"/>
    <n v="29"/>
    <n v="23.2"/>
    <n v="0"/>
    <n v="52.2"/>
    <n v="91.45"/>
    <n v="29"/>
    <n v="13.85"/>
    <n v="0"/>
    <n v="495.7"/>
    <n v="79.849999999999994"/>
    <n v="911.2700000000001"/>
    <n v="415.85"/>
  </r>
  <r>
    <x v="11"/>
    <x v="1"/>
    <x v="0"/>
    <s v="2689200"/>
    <n v="721710"/>
    <s v="Reagents"/>
    <s v="Bremerton Endocrinology"/>
    <x v="0"/>
    <n v="1000"/>
    <n v="353.25"/>
    <n v="1342.35"/>
    <n v="1766.25"/>
    <n v="2119.5"/>
    <n v="2013.92"/>
    <n v="1766.25"/>
    <n v="1142.31"/>
    <n v="1059.75"/>
    <n v="2048.85"/>
    <n v="1919.46"/>
    <n v="2119.5"/>
    <n v="1413"/>
    <n v="19064.39"/>
    <n v="706.5"/>
  </r>
  <r>
    <x v="11"/>
    <x v="1"/>
    <x v="0"/>
    <s v="2689200"/>
    <n v="721830"/>
    <s v="Supplies-Office"/>
    <s v="Bremerton Endocrinology"/>
    <x v="0"/>
    <m/>
    <n v="0"/>
    <n v="0"/>
    <n v="0"/>
    <n v="0"/>
    <n v="50"/>
    <n v="50"/>
    <n v="0"/>
    <n v="0"/>
    <n v="0"/>
    <n v="0"/>
    <n v="0"/>
    <n v="31.64"/>
    <n v="131.63999999999999"/>
    <n v="-31.64"/>
  </r>
  <r>
    <x v="11"/>
    <x v="1"/>
    <x v="0"/>
    <s v="2689200"/>
    <n v="721870"/>
    <s v="Supplies-Environmental Services"/>
    <s v="Bremerton Endocrinology"/>
    <x v="0"/>
    <m/>
    <n v="105.83"/>
    <n v="0"/>
    <n v="47.28"/>
    <n v="0"/>
    <n v="0"/>
    <n v="0"/>
    <n v="86.13"/>
    <n v="0"/>
    <n v="0"/>
    <n v="61.18"/>
    <n v="0"/>
    <n v="0"/>
    <n v="300.42"/>
    <n v="0"/>
  </r>
  <r>
    <x v="11"/>
    <x v="1"/>
    <x v="0"/>
    <s v="2689200"/>
    <n v="721880"/>
    <s v="Supplies-Linen"/>
    <s v="Bremerton Endocrinology"/>
    <x v="0"/>
    <m/>
    <n v="0"/>
    <n v="39.6"/>
    <n v="15.6"/>
    <n v="0"/>
    <n v="15.6"/>
    <n v="31.2"/>
    <n v="46.79"/>
    <n v="0"/>
    <n v="31.2"/>
    <n v="31.2"/>
    <n v="62.39"/>
    <n v="15.6"/>
    <n v="289.18"/>
    <n v="46.79"/>
  </r>
  <r>
    <x v="11"/>
    <x v="1"/>
    <x v="0"/>
    <s v="2689200"/>
    <n v="721910"/>
    <s v="Supplies-Small Equipment"/>
    <s v="Bremerton Endocrinology"/>
    <x v="0"/>
    <m/>
    <n v="13.61"/>
    <n v="314.27999999999997"/>
    <n v="7.68"/>
    <n v="48.1"/>
    <n v="0"/>
    <n v="8.16"/>
    <n v="0"/>
    <n v="7.3"/>
    <n v="0"/>
    <n v="45.73"/>
    <n v="0"/>
    <n v="2.72"/>
    <n v="447.5800000000001"/>
    <n v="-2.72"/>
  </r>
  <r>
    <x v="11"/>
    <x v="1"/>
    <x v="0"/>
    <s v="2689200"/>
    <n v="721980"/>
    <s v="Supplies-Other"/>
    <s v="Bremerton Endocrinology"/>
    <x v="0"/>
    <m/>
    <n v="0"/>
    <n v="227.8"/>
    <n v="512.4"/>
    <n v="0"/>
    <n v="35.94"/>
    <n v="0"/>
    <n v="0"/>
    <n v="0"/>
    <n v="0"/>
    <n v="0"/>
    <n v="0"/>
    <n v="0"/>
    <n v="776.1400000000001"/>
    <n v="0"/>
  </r>
  <r>
    <x v="11"/>
    <x v="1"/>
    <x v="0"/>
    <s v="2689200"/>
    <n v="722000"/>
    <s v="Supplies-Freight Expense"/>
    <s v="Bremerton Endocrinology"/>
    <x v="0"/>
    <m/>
    <n v="0"/>
    <n v="0"/>
    <n v="0"/>
    <n v="8"/>
    <n v="0"/>
    <n v="0"/>
    <n v="0"/>
    <n v="0"/>
    <n v="0"/>
    <n v="8.26"/>
    <n v="0"/>
    <n v="16"/>
    <n v="32.26"/>
    <n v="-16"/>
  </r>
  <r>
    <x v="12"/>
    <x v="1"/>
    <x v="0"/>
    <s v="2689200"/>
    <n v="730020"/>
    <s v="Rental and Leases-Equipment (DO NOT USE)"/>
    <s v="Bremerton Endocrinology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1"/>
    <x v="0"/>
    <s v="2689200"/>
    <n v="730020"/>
    <s v="Rental and Leases-Copier Usage Fees (DO NOT USE)"/>
    <s v="Bremerton Endocrinology"/>
    <x v="0"/>
    <n v="5100"/>
    <n v="168.56"/>
    <n v="186.63"/>
    <n v="177.59"/>
    <n v="177.59"/>
    <n v="177.59"/>
    <n v="177.59"/>
    <n v="0.9"/>
    <n v="164.59"/>
    <n v="164.24"/>
    <n v="164.94"/>
    <n v="164.59"/>
    <n v="185.7"/>
    <n v="1910.51"/>
    <n v="-21.109999999999985"/>
  </r>
  <r>
    <x v="13"/>
    <x v="1"/>
    <x v="0"/>
    <s v="2689200"/>
    <n v="735050"/>
    <s v="Amortization-Leasehold Improvements"/>
    <s v="Bremerton Endocrinology"/>
    <x v="0"/>
    <m/>
    <n v="3193.72"/>
    <n v="3193.7"/>
    <n v="3193.74"/>
    <n v="3193.7"/>
    <n v="3193.75"/>
    <n v="3193.68"/>
    <n v="3193.76"/>
    <n v="3193.66"/>
    <n v="3193.78"/>
    <n v="3193.63"/>
    <n v="3193.78"/>
    <n v="3193.59"/>
    <n v="38324.490000000005"/>
    <n v="0.19000000000005457"/>
  </r>
  <r>
    <x v="13"/>
    <x v="1"/>
    <x v="0"/>
    <s v="2689200"/>
    <n v="735070"/>
    <s v="Depreciation-Movable Equipment"/>
    <s v="Bremerton Endocrinology"/>
    <x v="0"/>
    <m/>
    <n v="3841.44"/>
    <n v="2921.06"/>
    <n v="3015.53"/>
    <n v="3015.48"/>
    <n v="3015.55"/>
    <n v="3015.47"/>
    <n v="3015.55"/>
    <n v="3015.46"/>
    <n v="3015.6"/>
    <n v="3015.46"/>
    <n v="3015.61"/>
    <n v="3015.45"/>
    <n v="36917.659999999996"/>
    <n v="0.16000000000030923"/>
  </r>
  <r>
    <x v="0"/>
    <x v="1"/>
    <x v="0"/>
    <s v="2689200"/>
    <n v="740020"/>
    <s v="Education-Registration Fees"/>
    <s v="Bremerton Endocrinology"/>
    <x v="0"/>
    <m/>
    <n v="0"/>
    <n v="0"/>
    <n v="0"/>
    <n v="0"/>
    <n v="0"/>
    <n v="0"/>
    <n v="0"/>
    <n v="0"/>
    <n v="690"/>
    <n v="0"/>
    <n v="0"/>
    <n v="325"/>
    <n v="1015"/>
    <n v="-325"/>
  </r>
  <r>
    <x v="0"/>
    <x v="1"/>
    <x v="0"/>
    <s v="2689200"/>
    <n v="740022"/>
    <s v="Education-Physician"/>
    <s v="Bremerton Endocrinology"/>
    <x v="0"/>
    <m/>
    <n v="0"/>
    <n v="0"/>
    <n v="0"/>
    <n v="2003.06"/>
    <n v="0"/>
    <n v="694"/>
    <n v="0"/>
    <n v="694"/>
    <n v="0"/>
    <n v="0"/>
    <n v="0"/>
    <n v="0"/>
    <n v="3391.06"/>
    <n v="0"/>
  </r>
  <r>
    <x v="0"/>
    <x v="1"/>
    <x v="0"/>
    <s v="2689200"/>
    <n v="740022"/>
    <s v="Books-Physician"/>
    <s v="Bremerton Endocrinology"/>
    <x v="0"/>
    <n v="2000"/>
    <n v="0"/>
    <n v="265"/>
    <n v="0"/>
    <n v="0"/>
    <n v="0"/>
    <n v="0"/>
    <n v="0"/>
    <n v="0"/>
    <n v="0"/>
    <n v="0"/>
    <n v="0"/>
    <n v="0"/>
    <n v="265"/>
    <n v="0"/>
  </r>
  <r>
    <x v="0"/>
    <x v="1"/>
    <x v="0"/>
    <s v="2689200"/>
    <n v="740023"/>
    <s v="Education-Advanced Practice Clinician"/>
    <s v="Bremerton Endocrinology"/>
    <x v="0"/>
    <m/>
    <n v="500"/>
    <n v="0"/>
    <n v="0"/>
    <n v="0"/>
    <n v="0"/>
    <n v="0"/>
    <n v="0"/>
    <n v="730"/>
    <n v="0"/>
    <n v="0"/>
    <n v="0"/>
    <n v="0"/>
    <n v="1230"/>
    <n v="0"/>
  </r>
  <r>
    <x v="8"/>
    <x v="1"/>
    <x v="0"/>
    <s v="2689200"/>
    <n v="741012"/>
    <s v="Physician Liab Insurance-CHI Program"/>
    <s v="Bremerton Endocrinology"/>
    <x v="0"/>
    <m/>
    <n v="757.87"/>
    <n v="1699.3"/>
    <n v="1699.3"/>
    <n v="1699.3"/>
    <n v="1699.3"/>
    <n v="1699.29"/>
    <n v="1699.3"/>
    <n v="1699.29"/>
    <n v="1699.32"/>
    <n v="1653.87"/>
    <n v="1651.95"/>
    <n v="1651.93"/>
    <n v="19310.02"/>
    <n v="1.999999999998181E-2"/>
  </r>
  <r>
    <x v="0"/>
    <x v="1"/>
    <x v="0"/>
    <s v="2689200"/>
    <n v="743010"/>
    <s v="Dues--Institutional"/>
    <s v="Bremerton Endocrinology"/>
    <x v="0"/>
    <m/>
    <n v="0"/>
    <n v="0"/>
    <n v="0"/>
    <n v="0"/>
    <n v="0"/>
    <n v="0"/>
    <n v="0"/>
    <n v="649"/>
    <n v="0"/>
    <n v="0"/>
    <n v="0"/>
    <n v="0"/>
    <n v="649"/>
    <n v="0"/>
  </r>
  <r>
    <x v="0"/>
    <x v="1"/>
    <x v="0"/>
    <s v="2689200"/>
    <n v="743022"/>
    <s v="Dues-Physician"/>
    <s v="Bremerton Endocrinology"/>
    <x v="0"/>
    <m/>
    <n v="0"/>
    <n v="0"/>
    <n v="0"/>
    <n v="0"/>
    <n v="0"/>
    <n v="599"/>
    <n v="0"/>
    <n v="2490"/>
    <n v="0"/>
    <n v="0"/>
    <n v="0"/>
    <n v="0"/>
    <n v="3089"/>
    <n v="0"/>
  </r>
  <r>
    <x v="0"/>
    <x v="1"/>
    <x v="0"/>
    <s v="2689200"/>
    <n v="743023"/>
    <s v="Dues-Advanced Practice Clinician"/>
    <s v="Bremerton Endocrinology"/>
    <x v="0"/>
    <m/>
    <n v="0"/>
    <n v="0"/>
    <n v="0"/>
    <n v="0"/>
    <n v="0"/>
    <n v="0"/>
    <n v="0"/>
    <n v="518.25"/>
    <n v="0"/>
    <n v="0"/>
    <n v="0"/>
    <n v="0"/>
    <n v="518.25"/>
    <n v="0"/>
  </r>
  <r>
    <x v="0"/>
    <x v="1"/>
    <x v="0"/>
    <s v="2689200"/>
    <n v="743042"/>
    <s v="Subscriptions-Physician"/>
    <s v="Bremerton Endocrinology"/>
    <x v="0"/>
    <m/>
    <n v="0"/>
    <n v="0"/>
    <n v="0"/>
    <n v="0"/>
    <n v="0"/>
    <n v="0"/>
    <n v="0"/>
    <n v="0"/>
    <n v="0"/>
    <n v="235"/>
    <n v="0"/>
    <n v="0"/>
    <n v="235"/>
    <n v="0"/>
  </r>
  <r>
    <x v="0"/>
    <x v="1"/>
    <x v="0"/>
    <s v="2689200"/>
    <n v="749510"/>
    <s v="Miscellaneous Expenses"/>
    <s v="Bremerton Endocrinology"/>
    <x v="0"/>
    <m/>
    <n v="-1358.03"/>
    <n v="250"/>
    <n v="-250"/>
    <n v="1388"/>
    <n v="-1388"/>
    <n v="16.899999999999999"/>
    <n v="1882.32"/>
    <n v="-1899.22"/>
    <n v="0"/>
    <n v="0"/>
    <n v="0"/>
    <n v="1865.39"/>
    <n v="507.36000000000013"/>
    <n v="-1865.39"/>
  </r>
  <r>
    <x v="0"/>
    <x v="1"/>
    <x v="0"/>
    <s v="2689200"/>
    <n v="749510"/>
    <s v="Licenses"/>
    <s v="Bremerton Endocrinology"/>
    <x v="0"/>
    <n v="1002"/>
    <n v="0"/>
    <n v="60"/>
    <n v="0"/>
    <n v="0"/>
    <n v="0"/>
    <n v="0"/>
    <n v="0"/>
    <n v="0"/>
    <n v="499"/>
    <n v="0"/>
    <n v="0"/>
    <n v="0"/>
    <n v="559"/>
    <n v="0"/>
  </r>
  <r>
    <x v="0"/>
    <x v="1"/>
    <x v="0"/>
    <s v="2689200"/>
    <n v="749512"/>
    <s v="Licenses-Physician"/>
    <s v="Bremerton Endocrinology"/>
    <x v="0"/>
    <n v="2000"/>
    <n v="0"/>
    <n v="0"/>
    <n v="0"/>
    <n v="143.88"/>
    <n v="1388"/>
    <n v="275"/>
    <n v="124"/>
    <n v="124"/>
    <n v="0"/>
    <n v="0"/>
    <n v="0"/>
    <n v="0"/>
    <n v="2054.88"/>
    <n v="0"/>
  </r>
  <r>
    <x v="0"/>
    <x v="1"/>
    <x v="0"/>
    <s v="2689200"/>
    <n v="749513"/>
    <s v="Licenses-Advanced Practice Clinician"/>
    <s v="Bremerton Endocrinology"/>
    <x v="0"/>
    <n v="2000"/>
    <n v="0"/>
    <n v="0"/>
    <n v="250"/>
    <n v="0"/>
    <n v="120"/>
    <n v="0"/>
    <n v="0"/>
    <n v="0"/>
    <n v="0"/>
    <n v="0"/>
    <n v="0"/>
    <n v="0"/>
    <n v="370"/>
    <n v="0"/>
  </r>
  <r>
    <x v="0"/>
    <x v="1"/>
    <x v="0"/>
    <s v="2689200"/>
    <n v="749530"/>
    <s v="Mileage"/>
    <s v="Bremerton Endocrinology"/>
    <x v="0"/>
    <n v="1001"/>
    <n v="0"/>
    <n v="0"/>
    <n v="0"/>
    <n v="0"/>
    <n v="0"/>
    <n v="0"/>
    <n v="69.760000000000005"/>
    <n v="18.559999999999999"/>
    <n v="0"/>
    <n v="0"/>
    <n v="0"/>
    <n v="0"/>
    <n v="88.320000000000007"/>
    <n v="0"/>
  </r>
  <r>
    <x v="0"/>
    <x v="1"/>
    <x v="0"/>
    <s v="2689200"/>
    <n v="749532"/>
    <s v="Travel-Physician"/>
    <s v="Bremerton Endocrinology"/>
    <x v="0"/>
    <m/>
    <n v="0"/>
    <n v="0"/>
    <n v="0"/>
    <n v="0"/>
    <n v="0"/>
    <n v="703.99"/>
    <n v="0"/>
    <n v="537.66"/>
    <n v="869.6"/>
    <n v="1732.86"/>
    <n v="0"/>
    <n v="0"/>
    <n v="3844.1099999999997"/>
    <n v="0"/>
  </r>
  <r>
    <x v="0"/>
    <x v="1"/>
    <x v="0"/>
    <s v="2689200"/>
    <n v="749533"/>
    <s v="Travel-Advanced Practice Clinician"/>
    <s v="Bremerton Endocrinology"/>
    <x v="0"/>
    <m/>
    <n v="1107.48"/>
    <n v="837.24"/>
    <n v="0"/>
    <n v="0"/>
    <n v="0"/>
    <n v="0"/>
    <n v="0"/>
    <n v="0"/>
    <n v="2760.03"/>
    <n v="0"/>
    <n v="0"/>
    <n v="0"/>
    <n v="4704.75"/>
    <n v="0"/>
  </r>
  <r>
    <x v="0"/>
    <x v="1"/>
    <x v="0"/>
    <s v="2689200"/>
    <n v="766010"/>
    <s v="Property Tax"/>
    <s v="Bremerton Endocrinology"/>
    <x v="0"/>
    <m/>
    <n v="475.16"/>
    <n v="475.16"/>
    <n v="475.16"/>
    <n v="-1425.48"/>
    <n v="0"/>
    <n v="0"/>
    <n v="0"/>
    <n v="0"/>
    <n v="0"/>
    <n v="936.34"/>
    <n v="-2616.87"/>
    <n v="234.09"/>
    <n v="-1446.4399999999998"/>
    <n v="-2850.96"/>
  </r>
  <r>
    <x v="9"/>
    <x v="1"/>
    <x v="0"/>
    <s v="2689200"/>
    <n v="800015"/>
    <s v="Interest Income-Ext to CHI"/>
    <s v="Bremerton Endocrinology"/>
    <x v="0"/>
    <m/>
    <n v="-13.93"/>
    <n v="-105.04"/>
    <n v="-200.72"/>
    <n v="-197.98"/>
    <n v="-182.48"/>
    <n v="-179.14"/>
    <n v="-169.72"/>
    <n v="-144.79"/>
    <n v="-150.88"/>
    <n v="-136.88999999999999"/>
    <n v="-132.02000000000001"/>
    <n v="-118.65"/>
    <n v="-1732.2399999999998"/>
    <n v="-13.370000000000005"/>
  </r>
  <r>
    <x v="1"/>
    <x v="1"/>
    <x v="0"/>
    <s v="2690200"/>
    <n v="400029"/>
    <s v="MD Practice Other Rev--Medicare"/>
    <s v="HOD-EKG"/>
    <x v="0"/>
    <n v="1100"/>
    <n v="0"/>
    <n v="0"/>
    <n v="0"/>
    <n v="0"/>
    <n v="-82"/>
    <n v="0"/>
    <n v="0"/>
    <n v="0"/>
    <n v="0"/>
    <n v="0"/>
    <n v="0"/>
    <n v="0"/>
    <n v="-82"/>
    <n v="0"/>
  </r>
  <r>
    <x v="1"/>
    <x v="1"/>
    <x v="0"/>
    <s v="2690200"/>
    <n v="400040"/>
    <s v="Physician Svcs Rev--Medicare"/>
    <s v="HOD-EKG"/>
    <x v="0"/>
    <n v="1100"/>
    <n v="-37725"/>
    <n v="-30203"/>
    <n v="-32284"/>
    <n v="-34725"/>
    <n v="-28394"/>
    <n v="-24456"/>
    <n v="-25837"/>
    <n v="-12040"/>
    <n v="-14728"/>
    <n v="-23376"/>
    <n v="-21456"/>
    <n v="-11496"/>
    <n v="-296720"/>
    <n v="-9960"/>
  </r>
  <r>
    <x v="1"/>
    <x v="1"/>
    <x v="0"/>
    <s v="2690200"/>
    <n v="400040"/>
    <s v="Physician Svcs Rev--Medicaid"/>
    <s v="HOD-EKG"/>
    <x v="0"/>
    <n v="1200"/>
    <n v="-12099"/>
    <n v="-8664"/>
    <n v="-9113"/>
    <n v="-11637"/>
    <n v="-7992"/>
    <n v="-7200"/>
    <n v="-9072"/>
    <n v="-3552"/>
    <n v="-5424"/>
    <n v="-7224"/>
    <n v="-7080"/>
    <n v="-4512"/>
    <n v="-93569"/>
    <n v="-2568"/>
  </r>
  <r>
    <x v="1"/>
    <x v="1"/>
    <x v="0"/>
    <s v="2690200"/>
    <n v="400040"/>
    <s v="Physician Svcs Rev--Comm Insurance"/>
    <s v="HOD-EKG"/>
    <x v="0"/>
    <n v="1300"/>
    <n v="-552"/>
    <n v="-456"/>
    <n v="-720"/>
    <n v="-1272"/>
    <n v="-1056"/>
    <n v="-600"/>
    <n v="-744"/>
    <n v="-408"/>
    <n v="-576"/>
    <n v="-816"/>
    <n v="-456"/>
    <n v="-600"/>
    <n v="-8256"/>
    <n v="144"/>
  </r>
  <r>
    <x v="1"/>
    <x v="1"/>
    <x v="0"/>
    <s v="2690200"/>
    <n v="400040"/>
    <s v="Physician Svcs Rev--BCBS Comm"/>
    <s v="HOD-EKG"/>
    <x v="0"/>
    <n v="1301"/>
    <n v="-2664"/>
    <n v="-1656"/>
    <n v="-2184"/>
    <n v="-2328"/>
    <n v="-2448"/>
    <n v="-1296"/>
    <n v="-1896"/>
    <n v="-648"/>
    <n v="-1200"/>
    <n v="-1704"/>
    <n v="-1608"/>
    <n v="-504"/>
    <n v="-20136"/>
    <n v="-1104"/>
  </r>
  <r>
    <x v="1"/>
    <x v="1"/>
    <x v="0"/>
    <s v="2690200"/>
    <n v="400040"/>
    <s v="Physician Svcs Rev--Managed Care"/>
    <s v="HOD-EKG"/>
    <x v="0"/>
    <n v="1400"/>
    <n v="-11431"/>
    <n v="-8294"/>
    <n v="-10954"/>
    <n v="-10896"/>
    <n v="-8280"/>
    <n v="-6384"/>
    <n v="-8112"/>
    <n v="-1704"/>
    <n v="-4008"/>
    <n v="-5952"/>
    <n v="-5640"/>
    <n v="-3096"/>
    <n v="-84751"/>
    <n v="-2544"/>
  </r>
  <r>
    <x v="1"/>
    <x v="1"/>
    <x v="0"/>
    <s v="2690200"/>
    <n v="400040"/>
    <s v="Physician Svcs Rev--Self Pay"/>
    <s v="HOD-EKG"/>
    <x v="0"/>
    <n v="1500"/>
    <n v="-792"/>
    <n v="-648"/>
    <n v="-984"/>
    <n v="-5976"/>
    <n v="-792"/>
    <n v="-552"/>
    <n v="-672"/>
    <n v="-432"/>
    <n v="-384"/>
    <n v="-1752"/>
    <n v="-1080"/>
    <n v="-384"/>
    <n v="-14448"/>
    <n v="-696"/>
  </r>
  <r>
    <x v="1"/>
    <x v="1"/>
    <x v="0"/>
    <s v="2690200"/>
    <n v="400040"/>
    <s v="Physician Svcs Rev--Other"/>
    <s v="HOD-EKG"/>
    <x v="0"/>
    <n v="1700"/>
    <n v="-4899"/>
    <n v="-3024"/>
    <n v="-4800"/>
    <n v="-5208"/>
    <n v="-3960"/>
    <n v="-3240"/>
    <n v="-3912"/>
    <n v="-1080"/>
    <n v="-1992"/>
    <n v="-3408"/>
    <n v="-3192"/>
    <n v="-1344"/>
    <n v="-40059"/>
    <n v="-1848"/>
  </r>
  <r>
    <x v="2"/>
    <x v="1"/>
    <x v="0"/>
    <s v="2690200"/>
    <n v="450029"/>
    <s v="Contr Allow--MD Other-Medicare"/>
    <s v="HOD-EKG"/>
    <x v="0"/>
    <n v="1100"/>
    <n v="0"/>
    <n v="0"/>
    <n v="0"/>
    <n v="0"/>
    <n v="52.26"/>
    <n v="0"/>
    <n v="0"/>
    <n v="0"/>
    <n v="0"/>
    <n v="0"/>
    <n v="0"/>
    <n v="0"/>
    <n v="52.26"/>
    <n v="0"/>
  </r>
  <r>
    <x v="2"/>
    <x v="1"/>
    <x v="0"/>
    <s v="2690200"/>
    <n v="450040"/>
    <s v="Contr Allow--Phys Svcs--Mcare"/>
    <s v="HOD-EKG"/>
    <x v="0"/>
    <n v="1100"/>
    <n v="18055.03"/>
    <n v="26449.67"/>
    <n v="15526.53"/>
    <n v="26669.51"/>
    <n v="19884.96"/>
    <n v="15860.11"/>
    <n v="18271.28"/>
    <n v="7670.78"/>
    <n v="2594.8200000000002"/>
    <n v="2908.51"/>
    <n v="4494.76"/>
    <n v="5828.23"/>
    <n v="164214.19"/>
    <n v="-1333.4699999999993"/>
  </r>
  <r>
    <x v="2"/>
    <x v="1"/>
    <x v="0"/>
    <s v="2690200"/>
    <n v="450040"/>
    <s v="Contr Allow--Phys Svcs--Mcaid"/>
    <s v="HOD-EKG"/>
    <x v="0"/>
    <n v="1200"/>
    <n v="8007.08"/>
    <n v="9160.1200000000008"/>
    <n v="6660.86"/>
    <n v="9403.84"/>
    <n v="6706.5"/>
    <n v="4461.42"/>
    <n v="9164.75"/>
    <n v="3702.25"/>
    <n v="4034.04"/>
    <n v="4716.1899999999996"/>
    <n v="5973.42"/>
    <n v="4108.18"/>
    <n v="76098.649999999994"/>
    <n v="1865.2399999999998"/>
  </r>
  <r>
    <x v="2"/>
    <x v="1"/>
    <x v="0"/>
    <s v="2690200"/>
    <n v="450040"/>
    <s v="Contr Allow--Phys Svcs--Comm Insurance"/>
    <s v="HOD-EKG"/>
    <x v="0"/>
    <n v="1300"/>
    <n v="227"/>
    <n v="467.27"/>
    <n v="355.18"/>
    <n v="203"/>
    <n v="448.72"/>
    <n v="293.06"/>
    <n v="263.08999999999997"/>
    <n v="77.849999999999994"/>
    <n v="193.28"/>
    <n v="135.74"/>
    <n v="167.22"/>
    <n v="248.3"/>
    <n v="3079.7100000000005"/>
    <n v="-81.080000000000013"/>
  </r>
  <r>
    <x v="2"/>
    <x v="1"/>
    <x v="0"/>
    <s v="2690200"/>
    <n v="450040"/>
    <s v="Contr Allow--Phys Svcs--BCBS Comm Ins"/>
    <s v="HOD-EKG"/>
    <x v="0"/>
    <n v="1301"/>
    <n v="1707.52"/>
    <n v="1201.17"/>
    <n v="1043"/>
    <n v="941.47"/>
    <n v="1432"/>
    <n v="830.4"/>
    <n v="292.43"/>
    <n v="361.95"/>
    <n v="647.33000000000004"/>
    <n v="574.36"/>
    <n v="1179.5"/>
    <n v="815.44"/>
    <n v="11026.570000000002"/>
    <n v="364.05999999999995"/>
  </r>
  <r>
    <x v="2"/>
    <x v="1"/>
    <x v="0"/>
    <s v="2690200"/>
    <n v="450040"/>
    <s v="Contr Allow--Phys Svcs--Managed Care"/>
    <s v="HOD-EKG"/>
    <x v="0"/>
    <n v="1400"/>
    <n v="4937.41"/>
    <n v="5755.96"/>
    <n v="3696.82"/>
    <n v="5448.03"/>
    <n v="4142.51"/>
    <n v="2717.92"/>
    <n v="3772.16"/>
    <n v="1412.88"/>
    <n v="1924.13"/>
    <n v="2632.3"/>
    <n v="2914.95"/>
    <n v="1305.1600000000001"/>
    <n v="40660.229999999996"/>
    <n v="1609.7899999999997"/>
  </r>
  <r>
    <x v="2"/>
    <x v="1"/>
    <x v="0"/>
    <s v="2690200"/>
    <n v="450040"/>
    <s v="Contr Allow--Phys Svcs--BCBS Mgnd Care"/>
    <s v="HOD-EKG"/>
    <x v="0"/>
    <n v="1401"/>
    <n v="5851.66"/>
    <n v="-11367.76"/>
    <n v="6209.56"/>
    <n v="-1719.3"/>
    <n v="-3039.48"/>
    <n v="803.2"/>
    <n v="-2123.46"/>
    <n v="-3964.88"/>
    <n v="4523.93"/>
    <n v="11557.57"/>
    <n v="7984.15"/>
    <n v="142.81"/>
    <n v="14858"/>
    <n v="7841.3399999999992"/>
  </r>
  <r>
    <x v="2"/>
    <x v="1"/>
    <x v="0"/>
    <s v="2690200"/>
    <n v="450040"/>
    <s v="Prompt Pay Disc-Phys Svcs-Self Pay"/>
    <s v="HOD-EKG"/>
    <x v="0"/>
    <n v="1500"/>
    <n v="15.73"/>
    <n v="-18.59"/>
    <n v="13.47"/>
    <n v="15.51"/>
    <n v="36.06"/>
    <n v="0"/>
    <n v="0"/>
    <n v="0"/>
    <n v="0"/>
    <n v="0"/>
    <n v="0"/>
    <n v="0"/>
    <n v="62.180000000000007"/>
    <n v="0"/>
  </r>
  <r>
    <x v="2"/>
    <x v="1"/>
    <x v="0"/>
    <s v="2690200"/>
    <n v="450040"/>
    <s v="Admin Adjust-Phys Svcs-Self Pay"/>
    <s v="HOD-EKG"/>
    <x v="0"/>
    <n v="1600"/>
    <n v="1200.25"/>
    <n v="3495.21"/>
    <n v="1159.1199999999999"/>
    <n v="3202.7"/>
    <n v="3227.03"/>
    <n v="632.1"/>
    <n v="1215.57"/>
    <n v="1597.99"/>
    <n v="1098.95"/>
    <n v="852.21"/>
    <n v="652.67999999999995"/>
    <n v="204.57"/>
    <n v="18538.379999999997"/>
    <n v="448.10999999999996"/>
  </r>
  <r>
    <x v="2"/>
    <x v="1"/>
    <x v="0"/>
    <s v="2690200"/>
    <n v="450040"/>
    <s v="Contr Allow--Phys Svcs--Other"/>
    <s v="HOD-EKG"/>
    <x v="0"/>
    <n v="1700"/>
    <n v="2670.16"/>
    <n v="2486.73"/>
    <n v="2107.14"/>
    <n v="2153.1799999999998"/>
    <n v="1898.16"/>
    <n v="1941.68"/>
    <n v="2637.25"/>
    <n v="1303.4000000000001"/>
    <n v="1730.86"/>
    <n v="2109.15"/>
    <n v="1939.4"/>
    <n v="994.85"/>
    <n v="23971.960000000003"/>
    <n v="944.55000000000007"/>
  </r>
  <r>
    <x v="3"/>
    <x v="1"/>
    <x v="0"/>
    <s v="2690200"/>
    <n v="470040"/>
    <s v="Charity Care-Physician Svcs"/>
    <s v="HOD-EKG"/>
    <x v="0"/>
    <m/>
    <n v="393.15"/>
    <n v="302.82"/>
    <n v="440.28"/>
    <n v="559.22"/>
    <n v="36.020000000000003"/>
    <n v="201.57"/>
    <n v="360.89"/>
    <n v="366.49"/>
    <n v="615.84"/>
    <n v="670.28"/>
    <n v="232.26"/>
    <n v="1043.7"/>
    <n v="5222.5199999999995"/>
    <n v="-811.44"/>
  </r>
  <r>
    <x v="4"/>
    <x v="1"/>
    <x v="0"/>
    <s v="2690200"/>
    <n v="490010"/>
    <s v="Provision for Bad Debts"/>
    <s v="HOD-EKG"/>
    <x v="0"/>
    <m/>
    <n v="1848.63"/>
    <n v="-636.67999999999995"/>
    <n v="2174.0100000000002"/>
    <n v="792.49"/>
    <n v="433.91"/>
    <n v="474.43"/>
    <n v="372.69"/>
    <n v="1060.6099999999999"/>
    <n v="1496.15"/>
    <n v="1544.91"/>
    <n v="1405.88"/>
    <n v="394.58"/>
    <n v="11361.609999999999"/>
    <n v="1011.3000000000002"/>
  </r>
  <r>
    <x v="5"/>
    <x v="1"/>
    <x v="0"/>
    <s v="2690200"/>
    <n v="700022"/>
    <s v="Salaries-Physician-Productive"/>
    <s v="HOD-EKG"/>
    <x v="0"/>
    <m/>
    <n v="0"/>
    <n v="0"/>
    <n v="0"/>
    <n v="0"/>
    <n v="0"/>
    <n v="0"/>
    <n v="0"/>
    <n v="0"/>
    <n v="0"/>
    <n v="131430"/>
    <n v="0"/>
    <n v="16310"/>
    <n v="147740"/>
    <n v="-16310"/>
  </r>
  <r>
    <x v="6"/>
    <x v="1"/>
    <x v="0"/>
    <s v="2690200"/>
    <n v="713010"/>
    <s v="Benefits-FICA/Medicare"/>
    <s v="HOD-EKG"/>
    <x v="0"/>
    <m/>
    <n v="0"/>
    <n v="0"/>
    <n v="0"/>
    <n v="0"/>
    <n v="0"/>
    <n v="0"/>
    <n v="0"/>
    <n v="0"/>
    <n v="0"/>
    <n v="0"/>
    <n v="0"/>
    <n v="235.33"/>
    <n v="235.33"/>
    <n v="-235.33"/>
  </r>
  <r>
    <x v="6"/>
    <x v="1"/>
    <x v="0"/>
    <s v="2690200"/>
    <n v="713090"/>
    <s v="Benefits-Allocated Amounts"/>
    <s v="HOD-EKG"/>
    <x v="0"/>
    <m/>
    <n v="0"/>
    <n v="0"/>
    <n v="0"/>
    <n v="0"/>
    <n v="0"/>
    <n v="0"/>
    <n v="0"/>
    <n v="0"/>
    <n v="0"/>
    <n v="5486.88"/>
    <n v="2.33"/>
    <n v="647.27"/>
    <n v="6136.48"/>
    <n v="-644.93999999999994"/>
  </r>
  <r>
    <x v="17"/>
    <x v="1"/>
    <x v="0"/>
    <s v="2690200"/>
    <n v="714520"/>
    <s v="Other Contracted Professionals"/>
    <s v="HOD-EKG"/>
    <x v="0"/>
    <m/>
    <n v="32060"/>
    <n v="10250"/>
    <n v="6930"/>
    <n v="16440"/>
    <n v="5780"/>
    <n v="13460"/>
    <n v="14130"/>
    <n v="10360"/>
    <n v="0"/>
    <n v="34490"/>
    <n v="9950"/>
    <n v="16910"/>
    <n v="170760"/>
    <n v="-6960"/>
  </r>
  <r>
    <x v="1"/>
    <x v="1"/>
    <x v="0"/>
    <s v="2691200"/>
    <n v="400040"/>
    <s v="Physician Svcs Rev--Medicaid"/>
    <s v="Closed clinic HHP"/>
    <x v="0"/>
    <n v="1200"/>
    <n v="0"/>
    <n v="0"/>
    <n v="0"/>
    <n v="0"/>
    <n v="0"/>
    <n v="0"/>
    <n v="0"/>
    <n v="-249"/>
    <n v="0"/>
    <n v="0"/>
    <n v="0"/>
    <n v="0"/>
    <n v="-249"/>
    <n v="0"/>
  </r>
  <r>
    <x v="1"/>
    <x v="1"/>
    <x v="0"/>
    <s v="2691200"/>
    <n v="400040"/>
    <s v="Physician Svcs Rev--Managed Care"/>
    <s v="Closed clinic HHP"/>
    <x v="0"/>
    <n v="1400"/>
    <n v="0"/>
    <n v="0"/>
    <n v="0"/>
    <n v="0"/>
    <n v="0"/>
    <n v="0"/>
    <n v="420"/>
    <n v="0"/>
    <n v="0"/>
    <n v="0"/>
    <n v="0"/>
    <n v="0"/>
    <n v="420"/>
    <n v="0"/>
  </r>
  <r>
    <x v="1"/>
    <x v="1"/>
    <x v="0"/>
    <s v="2691200"/>
    <n v="400040"/>
    <s v="Physician Svcs Rev--Other"/>
    <s v="Closed clinic HHP"/>
    <x v="0"/>
    <n v="1700"/>
    <n v="0"/>
    <n v="0"/>
    <n v="0"/>
    <n v="0"/>
    <n v="0"/>
    <n v="0"/>
    <n v="0"/>
    <n v="0"/>
    <n v="0"/>
    <n v="-263"/>
    <n v="0"/>
    <n v="0"/>
    <n v="-263"/>
    <n v="0"/>
  </r>
  <r>
    <x v="2"/>
    <x v="1"/>
    <x v="0"/>
    <s v="2691200"/>
    <n v="450040"/>
    <s v="Contr Allow--Phys Svcs--Mcaid"/>
    <s v="Closed clinic HHP"/>
    <x v="0"/>
    <n v="1200"/>
    <n v="0"/>
    <n v="-113.61"/>
    <n v="0"/>
    <n v="414"/>
    <n v="-412.37"/>
    <n v="599.98"/>
    <n v="335.34"/>
    <n v="171.56"/>
    <n v="0"/>
    <n v="-1093.8599999999999"/>
    <n v="0"/>
    <n v="0"/>
    <n v="-98.960000000000036"/>
    <n v="0"/>
  </r>
  <r>
    <x v="2"/>
    <x v="1"/>
    <x v="0"/>
    <s v="2691200"/>
    <n v="450040"/>
    <s v="Contr Allow--Phys Svcs--BCBS Comm Ins"/>
    <s v="Closed clinic HHP"/>
    <x v="0"/>
    <n v="1301"/>
    <n v="0"/>
    <n v="-209.88"/>
    <n v="41.98"/>
    <n v="0"/>
    <n v="0"/>
    <n v="0"/>
    <n v="0"/>
    <n v="0"/>
    <n v="0"/>
    <n v="0"/>
    <n v="0"/>
    <n v="0"/>
    <n v="-167.9"/>
    <n v="0"/>
  </r>
  <r>
    <x v="2"/>
    <x v="1"/>
    <x v="0"/>
    <s v="2691200"/>
    <n v="450040"/>
    <s v="Contr Allow--Phys Svcs--Managed Care"/>
    <s v="Closed clinic HHP"/>
    <x v="0"/>
    <n v="1400"/>
    <n v="-460.23"/>
    <n v="171.6"/>
    <n v="0"/>
    <n v="0"/>
    <n v="63.68"/>
    <n v="0"/>
    <n v="-155.62"/>
    <n v="0"/>
    <n v="15.55"/>
    <n v="0"/>
    <n v="-15.55"/>
    <n v="0"/>
    <n v="-380.57"/>
    <n v="-15.55"/>
  </r>
  <r>
    <x v="2"/>
    <x v="1"/>
    <x v="0"/>
    <s v="2691200"/>
    <n v="450040"/>
    <s v="Contr Allow--Phys Svcs--BCBS Mgnd Care"/>
    <s v="Closed clinic HHP"/>
    <x v="0"/>
    <n v="1401"/>
    <n v="200.8"/>
    <n v="26.82"/>
    <n v="-16.11"/>
    <n v="-236.43"/>
    <n v="295.60000000000002"/>
    <n v="-115.7"/>
    <n v="-215.06"/>
    <n v="40.22"/>
    <n v="1.81"/>
    <n v="124.29"/>
    <n v="52.45"/>
    <n v="7.3"/>
    <n v="165.99000000000004"/>
    <n v="45.150000000000006"/>
  </r>
  <r>
    <x v="2"/>
    <x v="1"/>
    <x v="0"/>
    <s v="2691200"/>
    <n v="450040"/>
    <s v="Admin Adjust-Phys Svcs-Self Pay"/>
    <s v="Closed clinic HHP"/>
    <x v="0"/>
    <n v="1600"/>
    <n v="0"/>
    <n v="0"/>
    <n v="0"/>
    <n v="0.01"/>
    <n v="0"/>
    <n v="0"/>
    <n v="0"/>
    <n v="0"/>
    <n v="0"/>
    <n v="0"/>
    <n v="0"/>
    <n v="0"/>
    <n v="0.01"/>
    <n v="0"/>
  </r>
  <r>
    <x v="3"/>
    <x v="1"/>
    <x v="0"/>
    <s v="2691200"/>
    <n v="470040"/>
    <s v="Charity Care-Physician Svcs"/>
    <s v="Closed clinic HHP"/>
    <x v="0"/>
    <m/>
    <n v="-1.2"/>
    <n v="22.07"/>
    <n v="-9.4499999999999993"/>
    <n v="-9.23"/>
    <n v="14.59"/>
    <n v="-15.98"/>
    <n v="-10.46"/>
    <n v="-5.5"/>
    <n v="48.43"/>
    <n v="-0.81"/>
    <n v="-10.39"/>
    <n v="17.690000000000001"/>
    <n v="39.759999999999991"/>
    <n v="-28.080000000000002"/>
  </r>
  <r>
    <x v="4"/>
    <x v="1"/>
    <x v="0"/>
    <s v="2691200"/>
    <n v="490010"/>
    <s v="Provision for Bad Debts"/>
    <s v="Closed clinic HHP"/>
    <x v="0"/>
    <m/>
    <n v="144.21"/>
    <n v="-2.93"/>
    <n v="56.45"/>
    <n v="-63.92"/>
    <n v="63.5"/>
    <n v="-24.71"/>
    <n v="-66.3"/>
    <n v="-20.059999999999999"/>
    <n v="-16.98"/>
    <n v="7.02"/>
    <n v="-3.35"/>
    <n v="14.35"/>
    <n v="87.279999999999987"/>
    <n v="-17.7"/>
  </r>
  <r>
    <x v="7"/>
    <x v="1"/>
    <x v="0"/>
    <s v="2691200"/>
    <n v="718050"/>
    <s v="Document Shredding/Storage"/>
    <s v="Closed clinic HHP"/>
    <x v="0"/>
    <n v="1012"/>
    <n v="0"/>
    <n v="0"/>
    <n v="0"/>
    <n v="0"/>
    <n v="200.54"/>
    <n v="30.21"/>
    <n v="29.9"/>
    <n v="29.55"/>
    <n v="27.93"/>
    <n v="32.07"/>
    <n v="29.23"/>
    <n v="30.21"/>
    <n v="409.64"/>
    <n v="-0.98000000000000043"/>
  </r>
  <r>
    <x v="11"/>
    <x v="1"/>
    <x v="0"/>
    <s v="2691200"/>
    <n v="721410"/>
    <s v="Supplies-Medical - Nonbillable"/>
    <s v="Closed clinic HHP"/>
    <x v="0"/>
    <m/>
    <n v="0"/>
    <n v="0"/>
    <n v="0"/>
    <n v="0"/>
    <n v="1300"/>
    <n v="0"/>
    <n v="0"/>
    <n v="0"/>
    <n v="0"/>
    <n v="0"/>
    <n v="0"/>
    <n v="0"/>
    <n v="1300"/>
    <n v="0"/>
  </r>
  <r>
    <x v="12"/>
    <x v="1"/>
    <x v="0"/>
    <s v="2691200"/>
    <n v="730020"/>
    <s v="Rental and Leases-Copier Usage Fees (DO NOT USE)"/>
    <s v="Closed clinic HHP"/>
    <x v="0"/>
    <n v="5100"/>
    <n v="5.04"/>
    <n v="4.43"/>
    <n v="4.7300000000000004"/>
    <n v="4.7300000000000004"/>
    <n v="4.7300000000000004"/>
    <n v="4.74"/>
    <n v="55.52"/>
    <n v="0"/>
    <n v="0"/>
    <n v="0"/>
    <n v="0"/>
    <n v="0"/>
    <n v="83.92"/>
    <n v="0"/>
  </r>
  <r>
    <x v="13"/>
    <x v="1"/>
    <x v="0"/>
    <s v="2691200"/>
    <n v="735050"/>
    <s v="Amortization-Leasehold Improvements"/>
    <s v="Closed clinic HHP"/>
    <x v="0"/>
    <m/>
    <n v="116.67"/>
    <n v="116.67"/>
    <n v="116.67"/>
    <n v="116.67"/>
    <n v="116.67"/>
    <n v="116.66"/>
    <n v="116.67"/>
    <n v="-816.68"/>
    <n v="0"/>
    <n v="0"/>
    <n v="0"/>
    <n v="0"/>
    <n v="0"/>
    <n v="0"/>
  </r>
  <r>
    <x v="13"/>
    <x v="1"/>
    <x v="0"/>
    <s v="2691200"/>
    <n v="735070"/>
    <s v="Depreciation-Movable Equipment"/>
    <s v="Closed clinic HHP"/>
    <x v="0"/>
    <m/>
    <n v="43.89"/>
    <n v="43.85"/>
    <n v="43.89"/>
    <n v="43.84"/>
    <n v="43.89"/>
    <n v="43.84"/>
    <n v="43.93"/>
    <n v="-307.13"/>
    <n v="0"/>
    <n v="0"/>
    <n v="0"/>
    <n v="0"/>
    <n v="5.6843418860808015E-14"/>
    <n v="0"/>
  </r>
  <r>
    <x v="0"/>
    <x v="1"/>
    <x v="0"/>
    <s v="2691200"/>
    <n v="766010"/>
    <s v="Property Tax"/>
    <s v="Closed clinic HHP"/>
    <x v="0"/>
    <m/>
    <n v="0"/>
    <n v="0"/>
    <n v="0"/>
    <n v="0"/>
    <n v="279.95999999999998"/>
    <n v="69.989999999999995"/>
    <n v="0"/>
    <n v="0"/>
    <n v="0"/>
    <n v="0"/>
    <n v="0"/>
    <n v="0"/>
    <n v="349.95"/>
    <n v="0"/>
  </r>
  <r>
    <x v="1"/>
    <x v="1"/>
    <x v="0"/>
    <s v="2693200"/>
    <n v="400029"/>
    <s v="MD Practice Other Rev--Medicare"/>
    <s v="WH-Burien-OB/GYN"/>
    <x v="0"/>
    <n v="1100"/>
    <n v="-770"/>
    <n v="518"/>
    <n v="-745"/>
    <n v="-721"/>
    <n v="-763"/>
    <n v="-867"/>
    <n v="-120"/>
    <n v="-743"/>
    <n v="-727"/>
    <n v="-50"/>
    <n v="-751"/>
    <n v="-731"/>
    <n v="-6470"/>
    <n v="-20"/>
  </r>
  <r>
    <x v="1"/>
    <x v="1"/>
    <x v="0"/>
    <s v="2693200"/>
    <n v="400029"/>
    <s v="MD Practice Other Rev--Medicaid"/>
    <s v="WH-Burien-OB/GYN"/>
    <x v="0"/>
    <n v="1200"/>
    <n v="-22224"/>
    <n v="-34641"/>
    <n v="-40332"/>
    <n v="-37009"/>
    <n v="-28023"/>
    <n v="-28733"/>
    <n v="-35352"/>
    <n v="-27474"/>
    <n v="-35604"/>
    <n v="-29565"/>
    <n v="-37819"/>
    <n v="-26920.799999999999"/>
    <n v="-383696.8"/>
    <n v="-10898.2"/>
  </r>
  <r>
    <x v="1"/>
    <x v="1"/>
    <x v="0"/>
    <s v="2693200"/>
    <n v="400029"/>
    <s v="MD Practice Other Rev--Comm Insurance"/>
    <s v="WH-Burien-OB/GYN"/>
    <x v="0"/>
    <n v="1300"/>
    <n v="-1343"/>
    <n v="-1647"/>
    <n v="-1444"/>
    <n v="-3402"/>
    <n v="-2672"/>
    <n v="-726"/>
    <n v="-1734"/>
    <n v="-3530"/>
    <n v="-5194"/>
    <n v="-1512"/>
    <n v="-1826"/>
    <n v="-2821"/>
    <n v="-27851"/>
    <n v="995"/>
  </r>
  <r>
    <x v="1"/>
    <x v="1"/>
    <x v="0"/>
    <s v="2693200"/>
    <n v="400029"/>
    <s v="MD Practice Other Rev--BCBS Comm"/>
    <s v="WH-Burien-OB/GYN"/>
    <x v="0"/>
    <n v="1301"/>
    <n v="-4303"/>
    <n v="-6519"/>
    <n v="-9476"/>
    <n v="-11395"/>
    <n v="-6601"/>
    <n v="-5764"/>
    <n v="-9141"/>
    <n v="-4404"/>
    <n v="-9761"/>
    <n v="-9909"/>
    <n v="-8706"/>
    <n v="-10704"/>
    <n v="-96683"/>
    <n v="1998"/>
  </r>
  <r>
    <x v="1"/>
    <x v="1"/>
    <x v="0"/>
    <s v="2693200"/>
    <n v="400029"/>
    <s v="MD Practice Other Rev--Managed Care"/>
    <s v="WH-Burien-OB/GYN"/>
    <x v="0"/>
    <n v="1400"/>
    <n v="-28507"/>
    <n v="-24525"/>
    <n v="-26247"/>
    <n v="-30648"/>
    <n v="-24172"/>
    <n v="-25835"/>
    <n v="-34611"/>
    <n v="-19918"/>
    <n v="-28879"/>
    <n v="-24663"/>
    <n v="-19809"/>
    <n v="-23235"/>
    <n v="-311049"/>
    <n v="3426"/>
  </r>
  <r>
    <x v="1"/>
    <x v="1"/>
    <x v="0"/>
    <s v="2693200"/>
    <n v="400029"/>
    <s v="MD Practice Other Rev--Self Pay"/>
    <s v="WH-Burien-OB/GYN"/>
    <x v="0"/>
    <n v="1500"/>
    <n v="-26"/>
    <n v="-2091"/>
    <n v="141"/>
    <n v="-1485"/>
    <n v="527"/>
    <n v="-746"/>
    <n v="-2099"/>
    <n v="-68"/>
    <n v="-3343"/>
    <n v="1180"/>
    <n v="-1418.8"/>
    <n v="935.8"/>
    <n v="-8493"/>
    <n v="-2354.6"/>
  </r>
  <r>
    <x v="1"/>
    <x v="1"/>
    <x v="0"/>
    <s v="2693200"/>
    <n v="400029"/>
    <s v="MD Practice Other Rev--Other"/>
    <s v="WH-Burien-OB/GYN"/>
    <x v="0"/>
    <n v="1700"/>
    <n v="-1891"/>
    <n v="-320"/>
    <n v="-1742"/>
    <n v="-2870"/>
    <n v="-1471"/>
    <n v="-562"/>
    <n v="-394"/>
    <n v="-428"/>
    <n v="-1977"/>
    <n v="598"/>
    <n v="24"/>
    <n v="-24"/>
    <n v="-11057"/>
    <n v="48"/>
  </r>
  <r>
    <x v="1"/>
    <x v="1"/>
    <x v="0"/>
    <s v="2693200"/>
    <n v="400040"/>
    <s v="Physician Svcs Rev--Medicare"/>
    <s v="WH-Burien-OB/GYN"/>
    <x v="0"/>
    <n v="1100"/>
    <n v="-12155"/>
    <n v="-12780"/>
    <n v="-13956"/>
    <n v="-23526"/>
    <n v="-12795"/>
    <n v="-56651"/>
    <n v="-9848"/>
    <n v="-16203.5"/>
    <n v="-17552"/>
    <n v="-19338"/>
    <n v="-23226"/>
    <n v="-19789"/>
    <n v="-237819.5"/>
    <n v="-3437"/>
  </r>
  <r>
    <x v="1"/>
    <x v="1"/>
    <x v="0"/>
    <s v="2693200"/>
    <n v="400040"/>
    <s v="Physician Svcs Rev--Medicaid"/>
    <s v="WH-Burien-OB/GYN"/>
    <x v="0"/>
    <n v="1200"/>
    <n v="-399822.48"/>
    <n v="-497630.52"/>
    <n v="-450959.74"/>
    <n v="-392655.85"/>
    <n v="-332756.03000000003"/>
    <n v="-433035.71"/>
    <n v="-441336.74"/>
    <n v="-460481.28000000003"/>
    <n v="-519559.34"/>
    <n v="-396899.13"/>
    <n v="-436974.94"/>
    <n v="-378467.29"/>
    <n v="-5140579.0500000007"/>
    <n v="-58507.650000000023"/>
  </r>
  <r>
    <x v="1"/>
    <x v="1"/>
    <x v="0"/>
    <s v="2693200"/>
    <n v="400040"/>
    <s v="Physician Svcs Rev--Comm Insurance"/>
    <s v="WH-Burien-OB/GYN"/>
    <x v="0"/>
    <n v="1300"/>
    <n v="-19263"/>
    <n v="-8499"/>
    <n v="-18901"/>
    <n v="-15303"/>
    <n v="-11375"/>
    <n v="-28605"/>
    <n v="-19326"/>
    <n v="-29339"/>
    <n v="-23502"/>
    <n v="-17448"/>
    <n v="-33122"/>
    <n v="-43283"/>
    <n v="-267966"/>
    <n v="10161"/>
  </r>
  <r>
    <x v="1"/>
    <x v="1"/>
    <x v="0"/>
    <s v="2693200"/>
    <n v="400040"/>
    <s v="Physician Svcs Rev--BCBS Comm"/>
    <s v="WH-Burien-OB/GYN"/>
    <x v="0"/>
    <n v="1301"/>
    <n v="-66452.44"/>
    <n v="-68589"/>
    <n v="-103495.2"/>
    <n v="-63847.4"/>
    <n v="-62081.5"/>
    <n v="-183636.5"/>
    <n v="-102149"/>
    <n v="-100630"/>
    <n v="-131352.65"/>
    <n v="-110269.95"/>
    <n v="-146120"/>
    <n v="-125662.35"/>
    <n v="-1264285.9900000002"/>
    <n v="-20457.649999999994"/>
  </r>
  <r>
    <x v="1"/>
    <x v="1"/>
    <x v="0"/>
    <s v="2693200"/>
    <n v="400040"/>
    <s v="Physician Svcs Rev--Managed Care"/>
    <s v="WH-Burien-OB/GYN"/>
    <x v="0"/>
    <n v="1400"/>
    <n v="-310901.64"/>
    <n v="-300775.2"/>
    <n v="-270676.05"/>
    <n v="-373430.65"/>
    <n v="-274401"/>
    <n v="-583436.30000000005"/>
    <n v="-347357.75"/>
    <n v="-370181.02"/>
    <n v="-324435.20000000001"/>
    <n v="-349756.15"/>
    <n v="-396130.2"/>
    <n v="-328655.09000000003"/>
    <n v="-4230136.25"/>
    <n v="-67475.109999999986"/>
  </r>
  <r>
    <x v="1"/>
    <x v="1"/>
    <x v="0"/>
    <s v="2693200"/>
    <n v="400040"/>
    <s v="Physician Svcs Rev--Self Pay"/>
    <s v="WH-Burien-OB/GYN"/>
    <x v="0"/>
    <n v="1500"/>
    <n v="-8738"/>
    <n v="-13624"/>
    <n v="-12106.56"/>
    <n v="-6289"/>
    <n v="-11800.3"/>
    <n v="-26777"/>
    <n v="-22904.75"/>
    <n v="-31342"/>
    <n v="-6324"/>
    <n v="-7875"/>
    <n v="-23455.75"/>
    <n v="-4989.25"/>
    <n v="-176225.61"/>
    <n v="-18466.5"/>
  </r>
  <r>
    <x v="1"/>
    <x v="1"/>
    <x v="0"/>
    <s v="2693200"/>
    <n v="400040"/>
    <s v="Physician Svcs Rev--Other"/>
    <s v="WH-Burien-OB/GYN"/>
    <x v="0"/>
    <n v="1700"/>
    <n v="-7657"/>
    <n v="-5126"/>
    <n v="-8395"/>
    <n v="-20329"/>
    <n v="-9206"/>
    <n v="-25076"/>
    <n v="-16757"/>
    <n v="-11193"/>
    <n v="-29438"/>
    <n v="-7284"/>
    <n v="-34939"/>
    <n v="-2203"/>
    <n v="-177603"/>
    <n v="-32736"/>
  </r>
  <r>
    <x v="2"/>
    <x v="1"/>
    <x v="0"/>
    <s v="2693200"/>
    <n v="450029"/>
    <s v="Contr Allow--MD Other-Medicare"/>
    <s v="WH-Burien-OB/GYN"/>
    <x v="0"/>
    <n v="1100"/>
    <n v="900.73"/>
    <n v="-20.75"/>
    <n v="532.28"/>
    <n v="510.03"/>
    <n v="62.37"/>
    <n v="1004.43"/>
    <n v="78.12"/>
    <n v="468.49"/>
    <n v="485.87"/>
    <n v="65.77"/>
    <n v="21.86"/>
    <n v="911.48"/>
    <n v="5020.68"/>
    <n v="-889.62"/>
  </r>
  <r>
    <x v="2"/>
    <x v="1"/>
    <x v="0"/>
    <s v="2693200"/>
    <n v="450029"/>
    <s v="Contr Allow--MD Other-Medicaid"/>
    <s v="WH-Burien-OB/GYN"/>
    <x v="0"/>
    <n v="1200"/>
    <n v="16349.02"/>
    <n v="25240.959999999999"/>
    <n v="23353.11"/>
    <n v="35222.58"/>
    <n v="21038.560000000001"/>
    <n v="18057.68"/>
    <n v="19218.09"/>
    <n v="21735.22"/>
    <n v="20801.27"/>
    <n v="24795.21"/>
    <n v="25837.51"/>
    <n v="28949.85"/>
    <n v="280599.06"/>
    <n v="-3112.34"/>
  </r>
  <r>
    <x v="2"/>
    <x v="1"/>
    <x v="0"/>
    <s v="2693200"/>
    <n v="450029"/>
    <s v="Contr Allow--MD Other-Comm Insurance"/>
    <s v="WH-Burien-OB/GYN"/>
    <x v="0"/>
    <n v="1300"/>
    <n v="618.19000000000005"/>
    <n v="316.67"/>
    <n v="835.68"/>
    <n v="467.01"/>
    <n v="483.61"/>
    <n v="591.17999999999995"/>
    <n v="-76.55"/>
    <n v="460.57"/>
    <n v="1426.45"/>
    <n v="1144.27"/>
    <n v="593.99"/>
    <n v="1251.8699999999999"/>
    <n v="8112.94"/>
    <n v="-657.87999999999988"/>
  </r>
  <r>
    <x v="2"/>
    <x v="1"/>
    <x v="0"/>
    <s v="2693200"/>
    <n v="450029"/>
    <s v="Contr Allow--MD Other BCBS Comm"/>
    <s v="WH-Burien-OB/GYN"/>
    <x v="0"/>
    <n v="1301"/>
    <n v="2300.81"/>
    <n v="2285.3000000000002"/>
    <n v="3336.86"/>
    <n v="2266.0500000000002"/>
    <n v="3275.75"/>
    <n v="2816.76"/>
    <n v="2388.29"/>
    <n v="2894.42"/>
    <n v="1696.62"/>
    <n v="3660.47"/>
    <n v="2106.5300000000002"/>
    <n v="4840.8999999999996"/>
    <n v="33868.759999999995"/>
    <n v="-2734.3699999999994"/>
  </r>
  <r>
    <x v="2"/>
    <x v="1"/>
    <x v="0"/>
    <s v="2693200"/>
    <n v="450029"/>
    <s v="Contr Allow--MD Other-Managed Care"/>
    <s v="WH-Burien-OB/GYN"/>
    <x v="0"/>
    <n v="1400"/>
    <n v="10306.98"/>
    <n v="11185.07"/>
    <n v="6984.5"/>
    <n v="11582.22"/>
    <n v="11545.76"/>
    <n v="10352"/>
    <n v="7194.32"/>
    <n v="8844.8700000000008"/>
    <n v="10117.41"/>
    <n v="10648.62"/>
    <n v="8143.28"/>
    <n v="9458.26"/>
    <n v="116363.29"/>
    <n v="-1314.9800000000005"/>
  </r>
  <r>
    <x v="2"/>
    <x v="1"/>
    <x v="0"/>
    <s v="2693200"/>
    <n v="450029"/>
    <s v="Admin Adjust-MD Other-Self Pay"/>
    <s v="WH-Burien-OB/GYN"/>
    <x v="0"/>
    <n v="1600"/>
    <n v="174.4"/>
    <n v="965.48"/>
    <n v="422.33"/>
    <n v="948.76"/>
    <n v="-162.96"/>
    <n v="446.56"/>
    <n v="1272.23"/>
    <n v="136.96"/>
    <n v="1790.9"/>
    <n v="-728.03"/>
    <n v="791.69"/>
    <n v="202.58"/>
    <n v="6260.9"/>
    <n v="589.11"/>
  </r>
  <r>
    <x v="2"/>
    <x v="1"/>
    <x v="0"/>
    <s v="2693200"/>
    <n v="450029"/>
    <s v="Contr Allow--MD Other-Other"/>
    <s v="WH-Burien-OB/GYN"/>
    <x v="0"/>
    <n v="1700"/>
    <n v="762.42"/>
    <n v="802.65"/>
    <n v="805.24"/>
    <n v="1501.7"/>
    <n v="845.86"/>
    <n v="456.09"/>
    <n v="473.42"/>
    <n v="334.54"/>
    <n v="794.77"/>
    <n v="301.95"/>
    <n v="305"/>
    <n v="0"/>
    <n v="7383.64"/>
    <n v="305"/>
  </r>
  <r>
    <x v="2"/>
    <x v="1"/>
    <x v="0"/>
    <s v="2693200"/>
    <n v="450040"/>
    <s v="Contr Allow--Phys Svcs--Mcare"/>
    <s v="WH-Burien-OB/GYN"/>
    <x v="0"/>
    <n v="1100"/>
    <n v="14421.32"/>
    <n v="4370.8900000000003"/>
    <n v="8585.49"/>
    <n v="14297.93"/>
    <n v="10818.3"/>
    <n v="34791.31"/>
    <n v="14150.3"/>
    <n v="5927.8"/>
    <n v="15407.81"/>
    <n v="11425.31"/>
    <n v="11830.68"/>
    <n v="10506.38"/>
    <n v="156533.51999999999"/>
    <n v="1324.3000000000011"/>
  </r>
  <r>
    <x v="2"/>
    <x v="1"/>
    <x v="0"/>
    <s v="2693200"/>
    <n v="450040"/>
    <s v="Contr Allow--Phys Svcs--Mcaid"/>
    <s v="WH-Burien-OB/GYN"/>
    <x v="0"/>
    <n v="1200"/>
    <n v="193130.99"/>
    <n v="328241.84000000003"/>
    <n v="287799.71000000002"/>
    <n v="329855.83"/>
    <n v="218658.46"/>
    <n v="297714.71999999997"/>
    <n v="273276.38"/>
    <n v="286834.74"/>
    <n v="334320.17"/>
    <n v="257064.98"/>
    <n v="319820.23"/>
    <n v="280202.40999999997"/>
    <n v="3406920.46"/>
    <n v="39617.820000000007"/>
  </r>
  <r>
    <x v="2"/>
    <x v="1"/>
    <x v="0"/>
    <s v="2693200"/>
    <n v="450040"/>
    <s v="Contr Allow--Phys Svcs--Comm Insurance"/>
    <s v="WH-Burien-OB/GYN"/>
    <x v="0"/>
    <n v="1300"/>
    <n v="2954.27"/>
    <n v="10153.25"/>
    <n v="2983.78"/>
    <n v="7979.91"/>
    <n v="2167.2199999999998"/>
    <n v="7516.53"/>
    <n v="1274.69"/>
    <n v="4531.72"/>
    <n v="16860.78"/>
    <n v="6263.87"/>
    <n v="7789.2"/>
    <n v="9011.11"/>
    <n v="79486.33"/>
    <n v="-1221.9100000000008"/>
  </r>
  <r>
    <x v="2"/>
    <x v="1"/>
    <x v="0"/>
    <s v="2693200"/>
    <n v="450040"/>
    <s v="Contr Allow--Phys Svcs--BCBS Comm Ins"/>
    <s v="WH-Burien-OB/GYN"/>
    <x v="0"/>
    <n v="1301"/>
    <n v="47943.22"/>
    <n v="38721.839999999997"/>
    <n v="20860.740000000002"/>
    <n v="32291.54"/>
    <n v="13745.9"/>
    <n v="57544.36"/>
    <n v="40443.69"/>
    <n v="39249.089999999997"/>
    <n v="51774.59"/>
    <n v="30717.73"/>
    <n v="43188.39"/>
    <n v="55235.03"/>
    <n v="471716.12"/>
    <n v="-12046.64"/>
  </r>
  <r>
    <x v="2"/>
    <x v="1"/>
    <x v="0"/>
    <s v="2693200"/>
    <n v="450040"/>
    <s v="Contr Allow--Phys Svcs--Managed Care"/>
    <s v="WH-Burien-OB/GYN"/>
    <x v="0"/>
    <n v="1400"/>
    <n v="119705.67"/>
    <n v="157929.75"/>
    <n v="80771.47"/>
    <n v="121714.33"/>
    <n v="153537.29"/>
    <n v="203275.16"/>
    <n v="115541.87"/>
    <n v="125849.92"/>
    <n v="164685.26"/>
    <n v="135374.93"/>
    <n v="150608.22"/>
    <n v="144942.25"/>
    <n v="1673936.1199999999"/>
    <n v="5665.9700000000012"/>
  </r>
  <r>
    <x v="2"/>
    <x v="1"/>
    <x v="0"/>
    <s v="2693200"/>
    <n v="450040"/>
    <s v="Contr Allow--Phys Svcs--BCBS Mgnd Care"/>
    <s v="WH-Burien-OB/GYN"/>
    <x v="0"/>
    <n v="1401"/>
    <n v="27864.97"/>
    <n v="-95924.93"/>
    <n v="65230.400000000001"/>
    <n v="-27605.41"/>
    <n v="-44181.79"/>
    <n v="33493.33"/>
    <n v="56215.82"/>
    <n v="81183.839999999997"/>
    <n v="-42832.93"/>
    <n v="-802.54"/>
    <n v="14551.57"/>
    <n v="-64032.97"/>
    <n v="3159.3600000000151"/>
    <n v="78584.540000000008"/>
  </r>
  <r>
    <x v="2"/>
    <x v="1"/>
    <x v="0"/>
    <s v="2693200"/>
    <n v="450040"/>
    <s v="Prompt Pay Disc-Phys Svcs-Self Pay"/>
    <s v="WH-Burien-OB/GYN"/>
    <x v="0"/>
    <n v="1500"/>
    <n v="0"/>
    <n v="0"/>
    <n v="-206.99"/>
    <n v="0"/>
    <n v="0"/>
    <n v="0"/>
    <n v="0"/>
    <n v="0"/>
    <n v="0"/>
    <n v="0"/>
    <n v="0"/>
    <n v="0"/>
    <n v="-206.99"/>
    <n v="0"/>
  </r>
  <r>
    <x v="2"/>
    <x v="1"/>
    <x v="0"/>
    <s v="2693200"/>
    <n v="450040"/>
    <s v="Admin Adjust-Phys Svcs-Self Pay"/>
    <s v="WH-Burien-OB/GYN"/>
    <x v="0"/>
    <n v="1600"/>
    <n v="4484.7"/>
    <n v="11320.46"/>
    <n v="9279.6299999999992"/>
    <n v="1624.51"/>
    <n v="5433.41"/>
    <n v="12282.44"/>
    <n v="13070.26"/>
    <n v="12249.99"/>
    <n v="3791.05"/>
    <n v="3992.16"/>
    <n v="11242.29"/>
    <n v="4135.1000000000004"/>
    <n v="92906.000000000029"/>
    <n v="7107.1900000000005"/>
  </r>
  <r>
    <x v="2"/>
    <x v="1"/>
    <x v="0"/>
    <s v="2693200"/>
    <n v="450040"/>
    <s v="Contr Allow--Phys Svcs--Other"/>
    <s v="WH-Burien-OB/GYN"/>
    <x v="0"/>
    <n v="1700"/>
    <n v="2989.53"/>
    <n v="4319.37"/>
    <n v="2660.53"/>
    <n v="7765.1"/>
    <n v="11028.5"/>
    <n v="8292.09"/>
    <n v="13728.24"/>
    <n v="5727.12"/>
    <n v="10562.63"/>
    <n v="14032.77"/>
    <n v="16872.11"/>
    <n v="7004.51"/>
    <n v="104982.5"/>
    <n v="9867.6"/>
  </r>
  <r>
    <x v="3"/>
    <x v="1"/>
    <x v="0"/>
    <s v="2693200"/>
    <n v="470040"/>
    <s v="Charity Care-Physician Svcs"/>
    <s v="WH-Burien-OB/GYN"/>
    <x v="0"/>
    <m/>
    <n v="19.420000000000002"/>
    <n v="6725.32"/>
    <n v="1145.69"/>
    <n v="867.63"/>
    <n v="3321.88"/>
    <n v="4466.93"/>
    <n v="5823.86"/>
    <n v="5832.02"/>
    <n v="7091.29"/>
    <n v="8188.77"/>
    <n v="1209.4100000000001"/>
    <n v="15284.5"/>
    <n v="59976.72"/>
    <n v="-14075.09"/>
  </r>
  <r>
    <x v="4"/>
    <x v="1"/>
    <x v="0"/>
    <s v="2693200"/>
    <n v="490010"/>
    <s v="Provision for Bad Debts"/>
    <s v="WH-Burien-OB/GYN"/>
    <x v="0"/>
    <m/>
    <n v="13853.05"/>
    <n v="-9266.25"/>
    <n v="22931.66"/>
    <n v="-2271.84"/>
    <n v="9352.75"/>
    <n v="15913.65"/>
    <n v="472.55"/>
    <n v="15140.42"/>
    <n v="11124.89"/>
    <n v="7057.59"/>
    <n v="7335.3"/>
    <n v="8626.52"/>
    <n v="100270.29000000001"/>
    <n v="-1291.2200000000003"/>
  </r>
  <r>
    <x v="14"/>
    <x v="1"/>
    <x v="0"/>
    <s v="2693200"/>
    <n v="600050"/>
    <s v="Miscellaneous Revenue"/>
    <s v="WH-Burien-OB/GYN"/>
    <x v="0"/>
    <m/>
    <n v="-4500"/>
    <n v="-4426"/>
    <n v="-4500"/>
    <n v="-4500"/>
    <n v="-4500"/>
    <n v="-4200"/>
    <n v="-4500"/>
    <n v="0"/>
    <n v="-4500"/>
    <n v="-4500"/>
    <n v="-9000"/>
    <n v="-9000"/>
    <n v="-58126"/>
    <n v="0"/>
  </r>
  <r>
    <x v="5"/>
    <x v="1"/>
    <x v="0"/>
    <s v="2693200"/>
    <n v="700020"/>
    <s v="Salaries-Physician Admin-Other"/>
    <s v="WH-Burien-OB/GYN"/>
    <x v="0"/>
    <n v="2000"/>
    <n v="4500"/>
    <n v="4500"/>
    <n v="4500"/>
    <n v="4500"/>
    <n v="4500"/>
    <n v="4200"/>
    <n v="4500"/>
    <n v="0"/>
    <n v="4500"/>
    <n v="4500"/>
    <n v="9000"/>
    <n v="9000"/>
    <n v="58200"/>
    <n v="0"/>
  </r>
  <r>
    <x v="5"/>
    <x v="1"/>
    <x v="0"/>
    <s v="2693200"/>
    <n v="700022"/>
    <s v="Salaries-Physician-Productive"/>
    <s v="WH-Burien-OB/GYN"/>
    <x v="0"/>
    <m/>
    <n v="121465.37"/>
    <n v="131426.28"/>
    <n v="145155.88"/>
    <n v="169352.15"/>
    <n v="137907.74"/>
    <n v="148254.19"/>
    <n v="139519.82"/>
    <n v="98973.17"/>
    <n v="146827.88"/>
    <n v="127178.62"/>
    <n v="159050.18"/>
    <n v="149276.48000000001"/>
    <n v="1674387.76"/>
    <n v="9773.6999999999825"/>
  </r>
  <r>
    <x v="5"/>
    <x v="1"/>
    <x v="0"/>
    <s v="2693200"/>
    <n v="700022"/>
    <s v="Salaries-Physician-Other"/>
    <s v="WH-Burien-OB/GYN"/>
    <x v="0"/>
    <n v="2000"/>
    <n v="0"/>
    <n v="0"/>
    <n v="0"/>
    <n v="2592"/>
    <n v="3000"/>
    <n v="3000"/>
    <n v="9000"/>
    <n v="1030.72"/>
    <n v="-0.59"/>
    <n v="16284"/>
    <n v="0"/>
    <n v="2592"/>
    <n v="37498.130000000005"/>
    <n v="-2592"/>
  </r>
  <r>
    <x v="5"/>
    <x v="1"/>
    <x v="0"/>
    <s v="2693200"/>
    <n v="700024"/>
    <s v="Salaries-Advanced Practice Clinician-Productive"/>
    <s v="WH-Burien-OB/GYN"/>
    <x v="0"/>
    <m/>
    <n v="51310.7"/>
    <n v="67362.94"/>
    <n v="59775.46"/>
    <n v="71163.89"/>
    <n v="56308.160000000003"/>
    <n v="52053"/>
    <n v="54145.84"/>
    <n v="52124.160000000003"/>
    <n v="61940.22"/>
    <n v="46529.31"/>
    <n v="61489.69"/>
    <n v="46574.92"/>
    <n v="680778.28999999992"/>
    <n v="14914.770000000004"/>
  </r>
  <r>
    <x v="5"/>
    <x v="1"/>
    <x v="0"/>
    <s v="2693200"/>
    <n v="700024"/>
    <s v="Salaries-Advanced Practice Clinician-Other"/>
    <s v="WH-Burien-OB/GYN"/>
    <x v="0"/>
    <n v="2000"/>
    <n v="0"/>
    <n v="0"/>
    <n v="0"/>
    <n v="0"/>
    <n v="720.16"/>
    <n v="0"/>
    <n v="0"/>
    <n v="0"/>
    <n v="0"/>
    <n v="-239.72"/>
    <n v="0"/>
    <n v="0"/>
    <n v="480.43999999999994"/>
    <n v="0"/>
  </r>
  <r>
    <x v="5"/>
    <x v="1"/>
    <x v="0"/>
    <s v="2693200"/>
    <n v="700024"/>
    <s v="Salaries-Advanced Practice Clinician-Provider Incentive"/>
    <s v="WH-Burien-OB/GYN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693200"/>
    <n v="700026"/>
    <s v="Salaries-RN-Productive"/>
    <s v="WH-Burien-OB/GYN"/>
    <x v="0"/>
    <m/>
    <n v="15298.06"/>
    <n v="22399.93"/>
    <n v="18089.73"/>
    <n v="23061.49"/>
    <n v="23174.93"/>
    <n v="15014.9"/>
    <n v="19585.16"/>
    <n v="19237.41"/>
    <n v="23708.19"/>
    <n v="18609.759999999998"/>
    <n v="24751.03"/>
    <n v="17694.060000000001"/>
    <n v="240624.65000000002"/>
    <n v="7056.9699999999975"/>
  </r>
  <r>
    <x v="5"/>
    <x v="1"/>
    <x v="0"/>
    <s v="2693200"/>
    <n v="700026"/>
    <s v="Salaries-RN-OT"/>
    <s v="WH-Burien-OB/GYN"/>
    <x v="0"/>
    <n v="1000"/>
    <n v="63.3"/>
    <n v="137.49"/>
    <n v="-39.11"/>
    <n v="134.05000000000001"/>
    <n v="-53.18"/>
    <n v="81.89"/>
    <n v="195.75"/>
    <n v="-9.43"/>
    <n v="343.31"/>
    <n v="146.61000000000001"/>
    <n v="-15.27"/>
    <n v="24.96"/>
    <n v="1010.3700000000001"/>
    <n v="-40.230000000000004"/>
  </r>
  <r>
    <x v="5"/>
    <x v="1"/>
    <x v="0"/>
    <s v="2693200"/>
    <n v="700026"/>
    <s v="Salaries-RN-Other"/>
    <s v="WH-Burien-OB/GYN"/>
    <x v="0"/>
    <n v="2000"/>
    <n v="0"/>
    <n v="1.87"/>
    <n v="17.010000000000002"/>
    <n v="0"/>
    <n v="0"/>
    <n v="1"/>
    <n v="2"/>
    <n v="1.75"/>
    <n v="0"/>
    <n v="0"/>
    <n v="0"/>
    <n v="0"/>
    <n v="23.630000000000003"/>
    <n v="0"/>
  </r>
  <r>
    <x v="5"/>
    <x v="1"/>
    <x v="0"/>
    <s v="2693200"/>
    <n v="700030"/>
    <s v="Salaries-LPN-Productive"/>
    <s v="WH-Burien-OB/GYN"/>
    <x v="0"/>
    <m/>
    <n v="19212.509999999998"/>
    <n v="20085.16"/>
    <n v="17421.5"/>
    <n v="21617.45"/>
    <n v="15598.05"/>
    <n v="12450.24"/>
    <n v="13083.33"/>
    <n v="9474.42"/>
    <n v="15830.22"/>
    <n v="17621.650000000001"/>
    <n v="18342.63"/>
    <n v="14347.07"/>
    <n v="195084.23"/>
    <n v="3995.5600000000013"/>
  </r>
  <r>
    <x v="5"/>
    <x v="1"/>
    <x v="0"/>
    <s v="2693200"/>
    <n v="700030"/>
    <s v="Salaries-LPN-OT"/>
    <s v="WH-Burien-OB/GYN"/>
    <x v="0"/>
    <n v="1000"/>
    <n v="172.73"/>
    <n v="196.9"/>
    <n v="-48.12"/>
    <n v="56.75"/>
    <n v="351"/>
    <n v="-157.19999999999999"/>
    <n v="53.17"/>
    <n v="-8.1"/>
    <n v="16.739999999999998"/>
    <n v="32.81"/>
    <n v="89.72"/>
    <n v="-1.91"/>
    <n v="754.4899999999999"/>
    <n v="91.63"/>
  </r>
  <r>
    <x v="5"/>
    <x v="1"/>
    <x v="0"/>
    <s v="2693200"/>
    <n v="700030"/>
    <s v="Salaries-LPN-Other"/>
    <s v="WH-Burien-OB/GYN"/>
    <x v="0"/>
    <n v="2000"/>
    <n v="0"/>
    <n v="0"/>
    <n v="0"/>
    <n v="0"/>
    <n v="0"/>
    <n v="0"/>
    <n v="0"/>
    <n v="0"/>
    <n v="30.06"/>
    <n v="-0.02"/>
    <n v="0"/>
    <n v="0"/>
    <n v="30.04"/>
    <n v="0"/>
  </r>
  <r>
    <x v="5"/>
    <x v="1"/>
    <x v="0"/>
    <s v="2693200"/>
    <n v="700032"/>
    <s v="Salaries-Other Pat Care Providers-Productive"/>
    <s v="WH-Burien-OB/GYN"/>
    <x v="0"/>
    <m/>
    <n v="14177.98"/>
    <n v="16155.39"/>
    <n v="18458.939999999999"/>
    <n v="17867.900000000001"/>
    <n v="19989.12"/>
    <n v="16966.580000000002"/>
    <n v="19849.240000000002"/>
    <n v="16688.59"/>
    <n v="18674.82"/>
    <n v="19841.310000000001"/>
    <n v="21725.42"/>
    <n v="12016.44"/>
    <n v="212411.72999999998"/>
    <n v="9708.9799999999977"/>
  </r>
  <r>
    <x v="5"/>
    <x v="1"/>
    <x v="0"/>
    <s v="2693200"/>
    <n v="700032"/>
    <s v="Salaries-Other Pat Care Providers-OT"/>
    <s v="WH-Burien-OB/GYN"/>
    <x v="0"/>
    <n v="1000"/>
    <n v="45.32"/>
    <n v="9.89"/>
    <n v="38.840000000000003"/>
    <n v="212.7"/>
    <n v="23.58"/>
    <n v="2.87"/>
    <n v="239.55"/>
    <n v="122.1"/>
    <n v="142.83000000000001"/>
    <n v="103.45"/>
    <n v="206.14"/>
    <n v="260.41000000000003"/>
    <n v="1407.68"/>
    <n v="-54.270000000000039"/>
  </r>
  <r>
    <x v="5"/>
    <x v="1"/>
    <x v="0"/>
    <s v="2693200"/>
    <n v="700032"/>
    <s v="Salaries-Other Pat Care Providers-Other"/>
    <s v="WH-Burien-OB/GYN"/>
    <x v="0"/>
    <n v="2000"/>
    <n v="0"/>
    <n v="0"/>
    <n v="149.88999999999999"/>
    <n v="0"/>
    <n v="30"/>
    <n v="30"/>
    <n v="3"/>
    <n v="0"/>
    <n v="0"/>
    <n v="0"/>
    <n v="30.04"/>
    <n v="0"/>
    <n v="242.92999999999998"/>
    <n v="30.04"/>
  </r>
  <r>
    <x v="5"/>
    <x v="1"/>
    <x v="0"/>
    <s v="2693200"/>
    <n v="700034"/>
    <s v="Salaries-Tech/Professional-Productive"/>
    <s v="WH-Burien-OB/GYN"/>
    <x v="0"/>
    <m/>
    <n v="9258.6299999999992"/>
    <n v="9559.81"/>
    <n v="11740.99"/>
    <n v="13610.31"/>
    <n v="11265.89"/>
    <n v="9745.4500000000007"/>
    <n v="14238.47"/>
    <n v="9886.4699999999993"/>
    <n v="14590.17"/>
    <n v="10738.77"/>
    <n v="14077.01"/>
    <n v="11041.42"/>
    <n v="139753.39000000001"/>
    <n v="3035.59"/>
  </r>
  <r>
    <x v="5"/>
    <x v="1"/>
    <x v="0"/>
    <s v="2693200"/>
    <n v="700034"/>
    <s v="Salaries-Tech/Professional-OT"/>
    <s v="WH-Burien-OB/GYN"/>
    <x v="0"/>
    <n v="1000"/>
    <n v="0"/>
    <n v="184.44"/>
    <n v="-61.48"/>
    <n v="0"/>
    <n v="0"/>
    <n v="0"/>
    <n v="0"/>
    <n v="0"/>
    <n v="18.02"/>
    <n v="0"/>
    <n v="0"/>
    <n v="0"/>
    <n v="140.98000000000002"/>
    <n v="0"/>
  </r>
  <r>
    <x v="5"/>
    <x v="1"/>
    <x v="0"/>
    <s v="2693200"/>
    <n v="700054"/>
    <s v="Salaries-Management-NonProd-Other"/>
    <s v="WH-Burien-OB/GYN"/>
    <x v="0"/>
    <n v="2000"/>
    <n v="0"/>
    <n v="0"/>
    <n v="0"/>
    <n v="0"/>
    <n v="0"/>
    <n v="4986.88"/>
    <n v="-3243.31"/>
    <n v="0"/>
    <n v="0"/>
    <n v="0"/>
    <n v="0"/>
    <n v="0"/>
    <n v="1743.5700000000002"/>
    <n v="0"/>
  </r>
  <r>
    <x v="5"/>
    <x v="1"/>
    <x v="0"/>
    <s v="2693200"/>
    <n v="700062"/>
    <s v="Salaries-Physician-Non-productive"/>
    <s v="WH-Burien-OB/GYN"/>
    <x v="0"/>
    <m/>
    <n v="31562.400000000001"/>
    <n v="8596.1200000000008"/>
    <n v="10264.65"/>
    <n v="7286.84"/>
    <n v="34621.800000000003"/>
    <n v="15916.11"/>
    <n v="18554.41"/>
    <n v="19732.38"/>
    <n v="-2757.04"/>
    <n v="29705.59"/>
    <n v="13883.05"/>
    <n v="-46.48"/>
    <n v="187319.83"/>
    <n v="13929.529999999999"/>
  </r>
  <r>
    <x v="5"/>
    <x v="1"/>
    <x v="0"/>
    <s v="2693200"/>
    <n v="700062"/>
    <s v="Salaries-Physician-NonProd-Other"/>
    <s v="WH-Burien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3200"/>
    <n v="700064"/>
    <s v="Salaries-Advanced Practice Clinician-Non-Productive"/>
    <s v="WH-Burien-OB/GYN"/>
    <x v="0"/>
    <m/>
    <n v="13647.33"/>
    <n v="4965.66"/>
    <n v="2415.9699999999998"/>
    <n v="644.70000000000005"/>
    <n v="13696.36"/>
    <n v="14733.64"/>
    <n v="16649.919999999998"/>
    <n v="9947.6"/>
    <n v="2329.34"/>
    <n v="11028.13"/>
    <n v="-1182.83"/>
    <n v="6058.02"/>
    <n v="94933.840000000011"/>
    <n v="-7240.85"/>
  </r>
  <r>
    <x v="5"/>
    <x v="1"/>
    <x v="0"/>
    <s v="2693200"/>
    <n v="700064"/>
    <s v="Salaries-Advanced Practice Clinician-Non-Prod-Other"/>
    <s v="WH-Burien-OB/GYN"/>
    <x v="0"/>
    <n v="2000"/>
    <n v="0"/>
    <n v="0"/>
    <n v="0"/>
    <n v="0"/>
    <n v="408.03"/>
    <n v="0"/>
    <n v="-393.48"/>
    <n v="-408.03"/>
    <n v="0"/>
    <n v="0"/>
    <n v="0"/>
    <n v="0"/>
    <n v="-393.48"/>
    <n v="0"/>
  </r>
  <r>
    <x v="5"/>
    <x v="1"/>
    <x v="0"/>
    <s v="2693200"/>
    <n v="700066"/>
    <s v="Salaries-RN-Non-productive"/>
    <s v="WH-Burien-OB/GYN"/>
    <x v="0"/>
    <m/>
    <n v="3200.12"/>
    <n v="560.9"/>
    <n v="1361.65"/>
    <n v="2398.29"/>
    <n v="166.27"/>
    <n v="5368.54"/>
    <n v="3008.89"/>
    <n v="1536.9"/>
    <n v="364.36"/>
    <n v="2945.67"/>
    <n v="-474.11"/>
    <n v="2079.75"/>
    <n v="22517.230000000003"/>
    <n v="-2553.86"/>
  </r>
  <r>
    <x v="5"/>
    <x v="1"/>
    <x v="0"/>
    <s v="2693200"/>
    <n v="700066"/>
    <s v="Salaries-RN-NonProd-Other"/>
    <s v="WH-Burien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3200"/>
    <n v="700070"/>
    <s v="Salaries-LPN-Non-productive"/>
    <s v="WH-Burien-OB/GYN"/>
    <x v="0"/>
    <m/>
    <n v="4037.53"/>
    <n v="2474.19"/>
    <n v="3026"/>
    <n v="2610.37"/>
    <n v="262.94"/>
    <n v="4588.58"/>
    <n v="1225.78"/>
    <n v="1250.29"/>
    <n v="346.29"/>
    <n v="1116.49"/>
    <n v="1469.96"/>
    <n v="1707.65"/>
    <n v="24116.070000000003"/>
    <n v="-237.69000000000005"/>
  </r>
  <r>
    <x v="5"/>
    <x v="1"/>
    <x v="0"/>
    <s v="2693200"/>
    <n v="700070"/>
    <s v="Salaries-LPN-NonProd-Other"/>
    <s v="WH-Burien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3200"/>
    <n v="700072"/>
    <s v="Salaries-Other Pat Care Providers-Non-productive"/>
    <s v="WH-Burien-OB/GYN"/>
    <x v="0"/>
    <m/>
    <n v="6641.23"/>
    <n v="7947.46"/>
    <n v="371.12"/>
    <n v="2530.89"/>
    <n v="856.01"/>
    <n v="4963.76"/>
    <n v="1007.37"/>
    <n v="859.74"/>
    <n v="1218.9100000000001"/>
    <n v="535.96"/>
    <n v="1539.17"/>
    <n v="1161.23"/>
    <n v="29632.850000000002"/>
    <n v="377.94000000000005"/>
  </r>
  <r>
    <x v="5"/>
    <x v="1"/>
    <x v="0"/>
    <s v="2693200"/>
    <n v="700072"/>
    <s v="Salaries-Other Pat Care Providers-NonProd-Other"/>
    <s v="WH-Burien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3200"/>
    <n v="700074"/>
    <s v="Salaries-Tech/Professional-Non-productive"/>
    <s v="WH-Burien-OB/GYN"/>
    <x v="0"/>
    <m/>
    <n v="3986.08"/>
    <n v="6476.8"/>
    <n v="-1007.06"/>
    <n v="940.37"/>
    <n v="2977.44"/>
    <n v="878.58"/>
    <n v="615.55999999999995"/>
    <n v="4317.6400000000003"/>
    <n v="-1203.2"/>
    <n v="2609.5700000000002"/>
    <n v="461.56"/>
    <n v="1827.06"/>
    <n v="22880.400000000005"/>
    <n v="-1365.5"/>
  </r>
  <r>
    <x v="5"/>
    <x v="1"/>
    <x v="0"/>
    <s v="2693200"/>
    <n v="700074"/>
    <s v="Salaries-Tech/Professional-NonProd-Other"/>
    <s v="WH-Burien-OB/GY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3200"/>
    <n v="700084"/>
    <s v="Accrued PTO"/>
    <s v="WH-Burien-OB/GYN"/>
    <x v="0"/>
    <m/>
    <n v="-3881.12"/>
    <n v="-2191.9299999999998"/>
    <n v="1277.3499999999999"/>
    <n v="2252.7199999999998"/>
    <n v="3503.54"/>
    <n v="-6514.1"/>
    <n v="763.85"/>
    <n v="336.28"/>
    <n v="4940.63"/>
    <n v="2235.8000000000002"/>
    <n v="3677.41"/>
    <n v="1097.1199999999999"/>
    <n v="7497.5500000000011"/>
    <n v="2580.29"/>
  </r>
  <r>
    <x v="10"/>
    <x v="1"/>
    <x v="0"/>
    <s v="2693200"/>
    <n v="710060"/>
    <s v="Contract Labor-Other"/>
    <s v="WH-Burien-OB/GYN"/>
    <x v="0"/>
    <m/>
    <n v="276.24"/>
    <n v="0"/>
    <n v="0"/>
    <n v="0"/>
    <n v="0"/>
    <n v="0"/>
    <n v="0"/>
    <n v="0"/>
    <n v="0"/>
    <n v="0"/>
    <n v="0"/>
    <n v="0"/>
    <n v="276.24"/>
    <n v="0"/>
  </r>
  <r>
    <x v="6"/>
    <x v="1"/>
    <x v="0"/>
    <s v="2693200"/>
    <n v="713010"/>
    <s v="Benefits-FICA/Medicare"/>
    <s v="WH-Burien-OB/GYN"/>
    <x v="0"/>
    <m/>
    <n v="12772.46"/>
    <n v="13872.82"/>
    <n v="12092.77"/>
    <n v="14288.87"/>
    <n v="12763.95"/>
    <n v="16729.91"/>
    <n v="23067.200000000001"/>
    <n v="18294.84"/>
    <n v="21324.720000000001"/>
    <n v="21529.65"/>
    <n v="19065.22"/>
    <n v="12907.94"/>
    <n v="198710.35"/>
    <n v="6157.2800000000007"/>
  </r>
  <r>
    <x v="6"/>
    <x v="1"/>
    <x v="0"/>
    <s v="2693200"/>
    <n v="713090"/>
    <s v="Benefits-Allocated Amounts"/>
    <s v="WH-Burien-OB/GYN"/>
    <x v="0"/>
    <m/>
    <n v="0"/>
    <n v="0"/>
    <n v="0"/>
    <n v="0"/>
    <n v="0"/>
    <n v="0"/>
    <n v="0"/>
    <n v="0"/>
    <n v="191010.49"/>
    <n v="21579.45"/>
    <n v="22056.98"/>
    <n v="20079.919999999998"/>
    <n v="254726.84000000003"/>
    <n v="1977.0600000000013"/>
  </r>
  <r>
    <x v="6"/>
    <x v="1"/>
    <x v="0"/>
    <s v="2693200"/>
    <n v="713092"/>
    <s v="Allocated Benefits-Physician"/>
    <s v="WH-Burien-OB/GYN"/>
    <x v="0"/>
    <m/>
    <n v="20046.39"/>
    <n v="18162.900000000001"/>
    <n v="19449.27"/>
    <n v="20500.07"/>
    <n v="19683.21"/>
    <n v="20191.55"/>
    <n v="22248.33"/>
    <n v="19795.14"/>
    <n v="-82010.02"/>
    <n v="8819.6200000000008"/>
    <n v="9014.7900000000009"/>
    <n v="8206.74"/>
    <n v="104107.98999999998"/>
    <n v="808.05000000000109"/>
  </r>
  <r>
    <x v="6"/>
    <x v="1"/>
    <x v="0"/>
    <s v="2693200"/>
    <n v="713093"/>
    <s v="Allocated Benefits-Advanced Practice Clinician"/>
    <s v="WH-Burien-OB/GYN"/>
    <x v="0"/>
    <m/>
    <n v="17526.75"/>
    <n v="15880.02"/>
    <n v="17004.68"/>
    <n v="17923.41"/>
    <n v="17209.240000000002"/>
    <n v="17653.669999999998"/>
    <n v="19451.939999999999"/>
    <n v="17307.07"/>
    <n v="-67896.92"/>
    <n v="8140.98"/>
    <n v="8321.14"/>
    <n v="7575.26"/>
    <n v="96097.239999999991"/>
    <n v="745.8799999999992"/>
  </r>
  <r>
    <x v="6"/>
    <x v="1"/>
    <x v="0"/>
    <s v="2693200"/>
    <n v="713096"/>
    <s v="Employee Recognition"/>
    <s v="WH-Burien-OB/GYN"/>
    <x v="0"/>
    <n v="1017"/>
    <n v="0"/>
    <n v="0"/>
    <n v="0"/>
    <n v="0"/>
    <n v="0"/>
    <n v="39.549999999999997"/>
    <n v="0"/>
    <n v="0"/>
    <n v="0"/>
    <n v="60.45"/>
    <n v="26.99"/>
    <n v="0"/>
    <n v="126.99"/>
    <n v="26.99"/>
  </r>
  <r>
    <x v="7"/>
    <x v="1"/>
    <x v="0"/>
    <s v="2693200"/>
    <n v="718040"/>
    <s v="Contract Svcs-Laboratory"/>
    <s v="WH-Burien-OB/GYN"/>
    <x v="0"/>
    <m/>
    <n v="0"/>
    <n v="0"/>
    <n v="0"/>
    <n v="0"/>
    <n v="0"/>
    <n v="0"/>
    <n v="0"/>
    <n v="0"/>
    <n v="0"/>
    <n v="0"/>
    <n v="40"/>
    <n v="0"/>
    <n v="40"/>
    <n v="40"/>
  </r>
  <r>
    <x v="7"/>
    <x v="1"/>
    <x v="0"/>
    <s v="2693200"/>
    <n v="718050"/>
    <s v="Physician Answering"/>
    <s v="WH-Burien-OB/GYN"/>
    <x v="0"/>
    <n v="1015"/>
    <n v="1808"/>
    <n v="0"/>
    <n v="1248"/>
    <n v="2944"/>
    <n v="1504"/>
    <n v="0"/>
    <n v="3008"/>
    <n v="1120"/>
    <n v="1344"/>
    <n v="1312"/>
    <n v="1344"/>
    <n v="3570"/>
    <n v="19202"/>
    <n v="-2226"/>
  </r>
  <r>
    <x v="7"/>
    <x v="1"/>
    <x v="0"/>
    <s v="2693200"/>
    <n v="718070"/>
    <s v="Contract Srvcs-CHI Clinical Engineering"/>
    <s v="WH-Burien-OB/GYN"/>
    <x v="0"/>
    <m/>
    <n v="2834.58"/>
    <n v="6065.84"/>
    <n v="4581.34"/>
    <n v="2449.08"/>
    <n v="4005.83"/>
    <n v="6427.16"/>
    <n v="5254.86"/>
    <n v="366.08"/>
    <n v="7.5"/>
    <n v="1606.61"/>
    <n v="1930.87"/>
    <n v="282.25"/>
    <n v="35812"/>
    <n v="1648.62"/>
  </r>
  <r>
    <x v="11"/>
    <x v="1"/>
    <x v="0"/>
    <s v="2693200"/>
    <n v="721010"/>
    <s v="Supplies-Medical - Billable"/>
    <s v="WH-Burien-OB/GYN"/>
    <x v="0"/>
    <m/>
    <n v="8713.2199999999993"/>
    <n v="7680.1"/>
    <n v="10171.200000000001"/>
    <n v="13075.34"/>
    <n v="6053.58"/>
    <n v="7700.28"/>
    <n v="8525.7800000000007"/>
    <n v="14228.6"/>
    <n v="14499.65"/>
    <n v="4227"/>
    <n v="6458.49"/>
    <n v="3718.7"/>
    <n v="105051.94"/>
    <n v="2739.79"/>
  </r>
  <r>
    <x v="11"/>
    <x v="1"/>
    <x v="0"/>
    <s v="2693200"/>
    <n v="721250"/>
    <s v="Supplies-Pharmacy Drugs - Billable"/>
    <s v="WH-Burien-OB/GYN"/>
    <x v="0"/>
    <m/>
    <n v="288.2"/>
    <n v="393.57"/>
    <n v="322.04000000000002"/>
    <n v="4687.84"/>
    <n v="1072.29"/>
    <n v="1483.42"/>
    <n v="7887.67"/>
    <n v="1664.94"/>
    <n v="270.83999999999997"/>
    <n v="1527.16"/>
    <n v="415.73"/>
    <n v="271.69"/>
    <n v="20285.39"/>
    <n v="144.04000000000002"/>
  </r>
  <r>
    <x v="11"/>
    <x v="1"/>
    <x v="0"/>
    <s v="2693200"/>
    <n v="721410"/>
    <s v="Supplies-Medical - Nonbillable"/>
    <s v="WH-Burien-OB/GYN"/>
    <x v="0"/>
    <m/>
    <n v="1728.71"/>
    <n v="6246"/>
    <n v="0"/>
    <n v="8817.99"/>
    <n v="1555.66"/>
    <n v="6604.29"/>
    <n v="3969.69"/>
    <n v="4387.7299999999996"/>
    <n v="2747.8"/>
    <n v="2868.42"/>
    <n v="76.05"/>
    <n v="6180.8"/>
    <n v="45183.140000000007"/>
    <n v="-6104.75"/>
  </r>
  <r>
    <x v="11"/>
    <x v="1"/>
    <x v="0"/>
    <s v="2693200"/>
    <n v="721830"/>
    <s v="Supplies-Office"/>
    <s v="WH-Burien-OB/GYN"/>
    <x v="0"/>
    <m/>
    <n v="0"/>
    <n v="0"/>
    <n v="0"/>
    <n v="289"/>
    <n v="0"/>
    <n v="0"/>
    <n v="0"/>
    <n v="5.25"/>
    <n v="0"/>
    <n v="0"/>
    <n v="434.9"/>
    <n v="0"/>
    <n v="729.15"/>
    <n v="434.9"/>
  </r>
  <r>
    <x v="11"/>
    <x v="1"/>
    <x v="0"/>
    <s v="2693200"/>
    <n v="721910"/>
    <s v="Supplies-Small Equipment"/>
    <s v="WH-Burien-OB/GYN"/>
    <x v="0"/>
    <m/>
    <n v="0"/>
    <n v="874.6"/>
    <n v="0"/>
    <n v="3799.39"/>
    <n v="271.52"/>
    <n v="250.46"/>
    <n v="88.16"/>
    <n v="1083.07"/>
    <n v="343.2"/>
    <n v="199.13"/>
    <n v="0"/>
    <n v="559.91999999999996"/>
    <n v="7469.45"/>
    <n v="-559.91999999999996"/>
  </r>
  <r>
    <x v="11"/>
    <x v="1"/>
    <x v="0"/>
    <s v="2693200"/>
    <n v="721980"/>
    <s v="Supplies-Other"/>
    <s v="WH-Burien-OB/GYN"/>
    <x v="0"/>
    <m/>
    <n v="0"/>
    <n v="0"/>
    <n v="58.87"/>
    <n v="0"/>
    <n v="0"/>
    <n v="0"/>
    <n v="0"/>
    <n v="0"/>
    <n v="0"/>
    <n v="0"/>
    <n v="0"/>
    <n v="0"/>
    <n v="58.87"/>
    <n v="0"/>
  </r>
  <r>
    <x v="11"/>
    <x v="1"/>
    <x v="0"/>
    <s v="2693200"/>
    <n v="722000"/>
    <s v="Supplies-Freight Expense"/>
    <s v="WH-Burien-OB/GYN"/>
    <x v="0"/>
    <m/>
    <n v="0"/>
    <n v="14"/>
    <n v="0"/>
    <n v="71.819999999999993"/>
    <n v="0"/>
    <n v="0"/>
    <n v="0"/>
    <n v="0"/>
    <n v="0"/>
    <n v="0"/>
    <n v="0"/>
    <n v="60.67"/>
    <n v="146.49"/>
    <n v="-60.67"/>
  </r>
  <r>
    <x v="0"/>
    <x v="1"/>
    <x v="0"/>
    <s v="2693200"/>
    <n v="740020"/>
    <s v="Education-Registration Fees"/>
    <s v="WH-Burien-OB/GYN"/>
    <x v="0"/>
    <m/>
    <n v="0"/>
    <n v="0"/>
    <n v="0"/>
    <n v="0"/>
    <n v="0"/>
    <n v="0"/>
    <n v="45"/>
    <n v="90"/>
    <n v="675"/>
    <n v="0"/>
    <n v="0"/>
    <n v="45"/>
    <n v="855"/>
    <n v="-45"/>
  </r>
  <r>
    <x v="0"/>
    <x v="1"/>
    <x v="0"/>
    <s v="2693200"/>
    <n v="740022"/>
    <s v="Education-Physician"/>
    <s v="WH-Burien-OB/GYN"/>
    <x v="0"/>
    <m/>
    <n v="0"/>
    <n v="0"/>
    <n v="0"/>
    <n v="0"/>
    <n v="0"/>
    <n v="830"/>
    <n v="0"/>
    <n v="335"/>
    <n v="0"/>
    <n v="0"/>
    <n v="0"/>
    <n v="732.83"/>
    <n v="1897.83"/>
    <n v="-732.83"/>
  </r>
  <r>
    <x v="0"/>
    <x v="1"/>
    <x v="0"/>
    <s v="2693200"/>
    <n v="740022"/>
    <s v="Books-Physician"/>
    <s v="WH-Burien-OB/GYN"/>
    <x v="0"/>
    <n v="2000"/>
    <n v="0"/>
    <n v="0"/>
    <n v="0"/>
    <n v="0"/>
    <n v="0"/>
    <n v="0"/>
    <n v="0"/>
    <n v="0"/>
    <n v="0"/>
    <n v="0"/>
    <n v="1975"/>
    <n v="0"/>
    <n v="1975"/>
    <n v="1975"/>
  </r>
  <r>
    <x v="0"/>
    <x v="1"/>
    <x v="0"/>
    <s v="2693200"/>
    <n v="740022"/>
    <s v="Education Travel-Physician"/>
    <s v="WH-Burien-OB/GYN"/>
    <x v="0"/>
    <n v="2001"/>
    <n v="0"/>
    <n v="0"/>
    <n v="0"/>
    <n v="0"/>
    <n v="0"/>
    <n v="96.81"/>
    <n v="0"/>
    <n v="0"/>
    <n v="0"/>
    <n v="0"/>
    <n v="0"/>
    <n v="0"/>
    <n v="96.81"/>
    <n v="0"/>
  </r>
  <r>
    <x v="0"/>
    <x v="1"/>
    <x v="0"/>
    <s v="2693200"/>
    <n v="740023"/>
    <s v="Education-Advanced Practice Clinician"/>
    <s v="WH-Burien-OB/GYN"/>
    <x v="0"/>
    <m/>
    <n v="1383"/>
    <n v="0"/>
    <n v="0"/>
    <n v="0"/>
    <n v="624"/>
    <n v="375"/>
    <n v="0"/>
    <n v="0"/>
    <n v="0"/>
    <n v="274.73"/>
    <n v="992.27"/>
    <n v="1838"/>
    <n v="5487"/>
    <n v="-845.73"/>
  </r>
  <r>
    <x v="0"/>
    <x v="1"/>
    <x v="0"/>
    <s v="2693200"/>
    <n v="740023"/>
    <s v="Books-Advanced Practice Clinician"/>
    <s v="WH-Burien-OB/GYN"/>
    <x v="0"/>
    <n v="2000"/>
    <n v="0"/>
    <n v="0"/>
    <n v="0"/>
    <n v="0"/>
    <n v="87"/>
    <n v="0"/>
    <n v="0"/>
    <n v="0"/>
    <n v="0"/>
    <n v="0"/>
    <n v="0"/>
    <n v="0"/>
    <n v="87"/>
    <n v="0"/>
  </r>
  <r>
    <x v="0"/>
    <x v="1"/>
    <x v="0"/>
    <s v="2693200"/>
    <n v="740023"/>
    <s v="Education Travel-Advanced Practice Clinician"/>
    <s v="WH-Burien-OB/GYN"/>
    <x v="0"/>
    <n v="2001"/>
    <n v="0"/>
    <n v="126.95"/>
    <n v="0"/>
    <n v="0"/>
    <n v="0"/>
    <n v="0"/>
    <n v="0"/>
    <n v="0"/>
    <n v="0"/>
    <n v="481.61"/>
    <n v="0"/>
    <n v="0"/>
    <n v="608.56000000000006"/>
    <n v="0"/>
  </r>
  <r>
    <x v="8"/>
    <x v="1"/>
    <x v="0"/>
    <s v="2693200"/>
    <n v="741012"/>
    <s v="Physician Liab Insurance-CHI Program"/>
    <s v="WH-Burien-OB/GYN"/>
    <x v="0"/>
    <m/>
    <n v="17563.62"/>
    <n v="17563.68"/>
    <n v="17563.62"/>
    <n v="17563.68"/>
    <n v="17563.62"/>
    <n v="17563.68"/>
    <n v="17563.62"/>
    <n v="16934.55"/>
    <n v="16934.5"/>
    <n v="17983.09"/>
    <n v="17983.03"/>
    <n v="17983.09"/>
    <n v="210763.77999999997"/>
    <n v="-6.0000000001309672E-2"/>
  </r>
  <r>
    <x v="0"/>
    <x v="1"/>
    <x v="0"/>
    <s v="2693200"/>
    <n v="743020"/>
    <s v="Dues--Individual"/>
    <s v="WH-Burien-OB/GYN"/>
    <x v="0"/>
    <m/>
    <n v="0"/>
    <n v="0"/>
    <n v="0"/>
    <n v="0"/>
    <n v="0"/>
    <n v="0"/>
    <n v="0"/>
    <n v="2675"/>
    <n v="0"/>
    <n v="0"/>
    <n v="0"/>
    <n v="0"/>
    <n v="2675"/>
    <n v="0"/>
  </r>
  <r>
    <x v="0"/>
    <x v="1"/>
    <x v="0"/>
    <s v="2693200"/>
    <n v="743020"/>
    <s v="Provider-Dues"/>
    <s v="WH-Burien-OB/GYN"/>
    <x v="0"/>
    <n v="2200"/>
    <n v="0"/>
    <n v="0"/>
    <n v="0"/>
    <n v="0"/>
    <n v="0"/>
    <n v="0"/>
    <n v="0"/>
    <n v="0"/>
    <n v="0"/>
    <n v="0"/>
    <n v="0"/>
    <n v="1300"/>
    <n v="1300"/>
    <n v="-1300"/>
  </r>
  <r>
    <x v="0"/>
    <x v="1"/>
    <x v="0"/>
    <s v="2693200"/>
    <n v="743022"/>
    <s v="Dues-Physician"/>
    <s v="WH-Burien-OB/GYN"/>
    <x v="0"/>
    <m/>
    <n v="0"/>
    <n v="0"/>
    <n v="265"/>
    <n v="0"/>
    <n v="790"/>
    <n v="0"/>
    <n v="1806"/>
    <n v="0"/>
    <n v="657"/>
    <n v="1340"/>
    <n v="0"/>
    <n v="1140"/>
    <n v="5998"/>
    <n v="-1140"/>
  </r>
  <r>
    <x v="0"/>
    <x v="1"/>
    <x v="0"/>
    <s v="2693200"/>
    <n v="743023"/>
    <s v="Dues-Advanced Practice Clinician"/>
    <s v="WH-Burien-OB/GYN"/>
    <x v="0"/>
    <m/>
    <n v="0"/>
    <n v="0"/>
    <n v="540"/>
    <n v="0"/>
    <n v="0"/>
    <n v="0"/>
    <n v="0"/>
    <n v="120"/>
    <n v="70"/>
    <n v="0"/>
    <n v="0"/>
    <n v="375"/>
    <n v="1105"/>
    <n v="-375"/>
  </r>
  <r>
    <x v="0"/>
    <x v="1"/>
    <x v="0"/>
    <s v="2693200"/>
    <n v="743042"/>
    <s v="Subscriptions-Physician"/>
    <s v="WH-Burien-OB/GYN"/>
    <x v="0"/>
    <m/>
    <n v="0"/>
    <n v="0"/>
    <n v="0"/>
    <n v="315"/>
    <n v="0"/>
    <n v="0"/>
    <n v="225"/>
    <n v="840"/>
    <n v="305"/>
    <n v="0"/>
    <n v="2420"/>
    <n v="2259"/>
    <n v="6364"/>
    <n v="161"/>
  </r>
  <r>
    <x v="0"/>
    <x v="1"/>
    <x v="0"/>
    <s v="2693200"/>
    <n v="743043"/>
    <s v="Subscriptions-Advanced Practice Clinician"/>
    <s v="WH-Burien-OB/GYN"/>
    <x v="0"/>
    <m/>
    <n v="570"/>
    <n v="0"/>
    <n v="0"/>
    <n v="0"/>
    <n v="0"/>
    <n v="0"/>
    <n v="0"/>
    <n v="0"/>
    <n v="0"/>
    <n v="0"/>
    <n v="0"/>
    <n v="0"/>
    <n v="570"/>
    <n v="0"/>
  </r>
  <r>
    <x v="0"/>
    <x v="1"/>
    <x v="0"/>
    <s v="2693200"/>
    <n v="749510"/>
    <s v="Miscellaneous Expenses"/>
    <s v="WH-Burien-OB/GYN"/>
    <x v="0"/>
    <m/>
    <n v="-2298.12"/>
    <n v="-959.57"/>
    <n v="-113.26"/>
    <n v="1346.08"/>
    <n v="-1017.76"/>
    <n v="-329.19"/>
    <n v="80.23"/>
    <n v="2614.5100000000002"/>
    <n v="-1376.24"/>
    <n v="-1148.1300000000001"/>
    <n v="13.56"/>
    <n v="333.61"/>
    <n v="-2854.2799999999997"/>
    <n v="-320.05"/>
  </r>
  <r>
    <x v="0"/>
    <x v="1"/>
    <x v="0"/>
    <s v="2693200"/>
    <n v="749512"/>
    <s v="Licenses-Physician"/>
    <s v="WH-Burien-OB/GYN"/>
    <x v="0"/>
    <n v="2000"/>
    <n v="0"/>
    <n v="1420"/>
    <n v="0"/>
    <n v="731"/>
    <n v="35"/>
    <n v="0"/>
    <n v="180"/>
    <n v="0"/>
    <n v="0"/>
    <n v="840"/>
    <n v="0"/>
    <n v="0"/>
    <n v="3206"/>
    <n v="0"/>
  </r>
  <r>
    <x v="0"/>
    <x v="1"/>
    <x v="0"/>
    <s v="2693200"/>
    <n v="749513"/>
    <s v="Licenses-Advanced Practice Clinician"/>
    <s v="WH-Burien-OB/GYN"/>
    <x v="0"/>
    <n v="2000"/>
    <n v="0"/>
    <n v="0"/>
    <n v="0"/>
    <n v="0"/>
    <n v="245"/>
    <n v="360"/>
    <n v="0"/>
    <n v="0"/>
    <n v="0"/>
    <n v="70"/>
    <n v="315"/>
    <n v="771"/>
    <n v="1761"/>
    <n v="-456"/>
  </r>
  <r>
    <x v="0"/>
    <x v="1"/>
    <x v="0"/>
    <s v="2693200"/>
    <n v="749530"/>
    <s v="Mileage"/>
    <s v="WH-Burien-OB/GYN"/>
    <x v="0"/>
    <n v="1001"/>
    <n v="44.16"/>
    <n v="131.94"/>
    <n v="199.52"/>
    <n v="170.1"/>
    <n v="114.47"/>
    <n v="267.66000000000003"/>
    <n v="228.74"/>
    <n v="140.94"/>
    <n v="18.559999999999999"/>
    <n v="186.18"/>
    <n v="67.28"/>
    <n v="117.16"/>
    <n v="1686.7100000000003"/>
    <n v="-49.879999999999995"/>
  </r>
  <r>
    <x v="0"/>
    <x v="1"/>
    <x v="0"/>
    <s v="2693200"/>
    <n v="749532"/>
    <s v="Travel-Physician"/>
    <s v="WH-Burien-OB/GYN"/>
    <x v="0"/>
    <m/>
    <n v="0"/>
    <n v="0"/>
    <n v="0"/>
    <n v="0"/>
    <n v="0"/>
    <n v="1422.92"/>
    <n v="570.27"/>
    <n v="0"/>
    <n v="0"/>
    <n v="508.32"/>
    <n v="0"/>
    <n v="0"/>
    <n v="2501.5100000000002"/>
    <n v="0"/>
  </r>
  <r>
    <x v="0"/>
    <x v="1"/>
    <x v="0"/>
    <s v="2693200"/>
    <n v="749532"/>
    <s v="Business Meals-Physician"/>
    <s v="WH-Burien-OB/GYN"/>
    <x v="0"/>
    <n v="2000"/>
    <n v="0"/>
    <n v="0"/>
    <n v="0"/>
    <n v="0"/>
    <n v="0"/>
    <n v="80"/>
    <n v="0"/>
    <n v="0"/>
    <n v="0"/>
    <n v="0"/>
    <n v="0"/>
    <n v="0"/>
    <n v="80"/>
    <n v="0"/>
  </r>
  <r>
    <x v="0"/>
    <x v="1"/>
    <x v="0"/>
    <s v="2693200"/>
    <n v="749533"/>
    <s v="Travel-Advanced Practice Clinician"/>
    <s v="WH-Burien-OB/GYN"/>
    <x v="0"/>
    <m/>
    <n v="0"/>
    <n v="922.5"/>
    <n v="0"/>
    <n v="0"/>
    <n v="806.37"/>
    <n v="0"/>
    <n v="0"/>
    <n v="0"/>
    <n v="2388.56"/>
    <n v="614.65"/>
    <n v="0"/>
    <n v="0"/>
    <n v="4732.08"/>
    <n v="0"/>
  </r>
  <r>
    <x v="0"/>
    <x v="1"/>
    <x v="0"/>
    <s v="2693200"/>
    <n v="749533"/>
    <s v="Business Meals-Advanced Practice Clinician"/>
    <s v="WH-Burien-OB/GYN"/>
    <x v="0"/>
    <n v="2000"/>
    <n v="0"/>
    <n v="40.659999999999997"/>
    <n v="0"/>
    <n v="0"/>
    <n v="0"/>
    <n v="0"/>
    <n v="0"/>
    <n v="0"/>
    <n v="0"/>
    <n v="0"/>
    <n v="0"/>
    <n v="0"/>
    <n v="40.659999999999997"/>
    <n v="0"/>
  </r>
  <r>
    <x v="0"/>
    <x v="1"/>
    <x v="0"/>
    <s v="2693200"/>
    <n v="749533"/>
    <s v="Vehicle Expense-Advanced Practice Clinician"/>
    <s v="WH-Burien-OB/GYN"/>
    <x v="0"/>
    <n v="2001"/>
    <n v="0"/>
    <n v="0"/>
    <n v="0"/>
    <n v="0"/>
    <n v="0"/>
    <n v="0"/>
    <n v="0"/>
    <n v="0"/>
    <n v="0"/>
    <n v="18.14"/>
    <n v="0"/>
    <n v="0"/>
    <n v="18.14"/>
    <n v="0"/>
  </r>
  <r>
    <x v="0"/>
    <x v="1"/>
    <x v="0"/>
    <s v="2693200"/>
    <n v="749535"/>
    <s v="Meetings"/>
    <s v="WH-Burien-OB/GYN"/>
    <x v="0"/>
    <m/>
    <n v="35.200000000000003"/>
    <n v="34.979999999999997"/>
    <n v="27.91"/>
    <n v="88.03"/>
    <n v="36.4"/>
    <n v="69.37"/>
    <n v="84.77"/>
    <n v="0"/>
    <n v="17.940000000000001"/>
    <n v="24.34"/>
    <n v="11.27"/>
    <n v="842.7"/>
    <n v="1272.9099999999999"/>
    <n v="-831.43000000000006"/>
  </r>
  <r>
    <x v="1"/>
    <x v="1"/>
    <x v="0"/>
    <s v="2694200"/>
    <n v="400029"/>
    <s v="MD Practice Other Rev--Medicare"/>
    <s v="FSA-Burien Gen Surg"/>
    <x v="0"/>
    <n v="1100"/>
    <n v="-240"/>
    <n v="-171"/>
    <n v="-143"/>
    <n v="-148"/>
    <n v="-138"/>
    <n v="-159"/>
    <n v="-97"/>
    <n v="-92"/>
    <n v="-171"/>
    <n v="-120"/>
    <n v="-69"/>
    <n v="-127"/>
    <n v="-1675"/>
    <n v="58"/>
  </r>
  <r>
    <x v="1"/>
    <x v="1"/>
    <x v="0"/>
    <s v="2694200"/>
    <n v="400029"/>
    <s v="MD Practice Other Rev--Medicaid"/>
    <s v="FSA-Burien Gen Surg"/>
    <x v="0"/>
    <n v="1200"/>
    <n v="-120"/>
    <n v="0"/>
    <n v="-204"/>
    <n v="-102"/>
    <n v="0"/>
    <n v="-69"/>
    <n v="28"/>
    <n v="0"/>
    <n v="-153"/>
    <n v="-23"/>
    <n v="0"/>
    <n v="-23"/>
    <n v="-666"/>
    <n v="23"/>
  </r>
  <r>
    <x v="1"/>
    <x v="1"/>
    <x v="0"/>
    <s v="2694200"/>
    <n v="400029"/>
    <s v="MD Practice Other Rev--Comm Insurance"/>
    <s v="FSA-Burien Gen Surg"/>
    <x v="0"/>
    <n v="1300"/>
    <n v="0"/>
    <n v="-23"/>
    <n v="0"/>
    <n v="-23"/>
    <n v="0"/>
    <n v="0"/>
    <n v="-162"/>
    <n v="0"/>
    <n v="0"/>
    <n v="0"/>
    <n v="-51"/>
    <n v="0"/>
    <n v="-259"/>
    <n v="-51"/>
  </r>
  <r>
    <x v="1"/>
    <x v="1"/>
    <x v="0"/>
    <s v="2694200"/>
    <n v="400029"/>
    <s v="MD Practice Other Rev--BCBS Comm"/>
    <s v="FSA-Burien Gen Surg"/>
    <x v="0"/>
    <n v="1301"/>
    <n v="0"/>
    <n v="-496"/>
    <n v="-23"/>
    <n v="0"/>
    <n v="0"/>
    <n v="-23"/>
    <n v="0"/>
    <n v="-51"/>
    <n v="-51"/>
    <n v="0"/>
    <n v="-69"/>
    <n v="-23"/>
    <n v="-736"/>
    <n v="-46"/>
  </r>
  <r>
    <x v="1"/>
    <x v="1"/>
    <x v="0"/>
    <s v="2694200"/>
    <n v="400029"/>
    <s v="MD Practice Other Rev--Managed Care"/>
    <s v="FSA-Burien Gen Surg"/>
    <x v="0"/>
    <n v="1400"/>
    <n v="-120"/>
    <n v="-171"/>
    <n v="-74"/>
    <n v="-46"/>
    <n v="-189"/>
    <n v="-97"/>
    <n v="-97"/>
    <n v="-120"/>
    <n v="0"/>
    <n v="51"/>
    <n v="-97"/>
    <n v="-148"/>
    <n v="-1108"/>
    <n v="51"/>
  </r>
  <r>
    <x v="1"/>
    <x v="1"/>
    <x v="0"/>
    <s v="2694200"/>
    <n v="400029"/>
    <s v="MD Practice Other Rev--Self Pay"/>
    <s v="FSA-Burien Gen Surg"/>
    <x v="0"/>
    <n v="1500"/>
    <n v="0"/>
    <n v="51"/>
    <n v="0"/>
    <n v="0"/>
    <n v="-51"/>
    <n v="0"/>
    <n v="-51"/>
    <n v="-51"/>
    <n v="-51"/>
    <n v="0"/>
    <n v="-102"/>
    <n v="51"/>
    <n v="-204"/>
    <n v="-153"/>
  </r>
  <r>
    <x v="1"/>
    <x v="1"/>
    <x v="0"/>
    <s v="2694200"/>
    <n v="400029"/>
    <s v="MD Practice Other Rev--Other"/>
    <s v="FSA-Burien Gen Surg"/>
    <x v="0"/>
    <n v="1700"/>
    <n v="0"/>
    <n v="0"/>
    <n v="0"/>
    <n v="0"/>
    <n v="0"/>
    <n v="-23"/>
    <n v="0"/>
    <n v="0"/>
    <n v="0"/>
    <n v="0"/>
    <n v="0"/>
    <n v="0"/>
    <n v="-23"/>
    <n v="0"/>
  </r>
  <r>
    <x v="1"/>
    <x v="1"/>
    <x v="0"/>
    <s v="2694200"/>
    <n v="400040"/>
    <s v="Physician Svcs Rev--Medicare"/>
    <s v="FSA-Burien Gen Surg"/>
    <x v="0"/>
    <n v="1100"/>
    <n v="-137799.75"/>
    <n v="-89886.5"/>
    <n v="-91147"/>
    <n v="-96393.25"/>
    <n v="-114102"/>
    <n v="-73277"/>
    <n v="-158308.75"/>
    <n v="-152634"/>
    <n v="-97338.75"/>
    <n v="-107094.75"/>
    <n v="-113879.5"/>
    <n v="-136643.25"/>
    <n v="-1368504.5"/>
    <n v="22763.75"/>
  </r>
  <r>
    <x v="1"/>
    <x v="1"/>
    <x v="0"/>
    <s v="2694200"/>
    <n v="400040"/>
    <s v="Physician Svcs Rev--Medicaid"/>
    <s v="FSA-Burien Gen Surg"/>
    <x v="0"/>
    <n v="1200"/>
    <n v="-61980.25"/>
    <n v="-40581.5"/>
    <n v="-56755.3"/>
    <n v="-47957.25"/>
    <n v="-47560"/>
    <n v="-67692.45"/>
    <n v="-84560"/>
    <n v="-48672.75"/>
    <n v="-70802.25"/>
    <n v="-74091.25"/>
    <n v="-35521"/>
    <n v="-83748.5"/>
    <n v="-719922.5"/>
    <n v="48227.5"/>
  </r>
  <r>
    <x v="1"/>
    <x v="1"/>
    <x v="0"/>
    <s v="2694200"/>
    <n v="400040"/>
    <s v="Physician Svcs Rev--Comm Insurance"/>
    <s v="FSA-Burien Gen Surg"/>
    <x v="0"/>
    <n v="1300"/>
    <n v="-5665"/>
    <n v="-15318"/>
    <n v="-4240"/>
    <n v="-8415"/>
    <n v="-17107"/>
    <n v="-3634"/>
    <n v="-13592"/>
    <n v="84"/>
    <n v="-6497"/>
    <n v="-29496.25"/>
    <n v="-7125"/>
    <n v="-9027"/>
    <n v="-120032.25"/>
    <n v="1902"/>
  </r>
  <r>
    <x v="1"/>
    <x v="1"/>
    <x v="0"/>
    <s v="2694200"/>
    <n v="400040"/>
    <s v="Physician Svcs Rev--BCBS Comm"/>
    <s v="FSA-Burien Gen Surg"/>
    <x v="0"/>
    <n v="1301"/>
    <n v="-10388"/>
    <n v="-14854"/>
    <n v="-21798"/>
    <n v="-12796"/>
    <n v="-15594"/>
    <n v="-21637"/>
    <n v="-24458"/>
    <n v="-24540"/>
    <n v="-20471"/>
    <n v="-21509"/>
    <n v="-46721.25"/>
    <n v="-35184.25"/>
    <n v="-269950.5"/>
    <n v="-11537"/>
  </r>
  <r>
    <x v="1"/>
    <x v="1"/>
    <x v="0"/>
    <s v="2694200"/>
    <n v="400040"/>
    <s v="Physician Svcs Rev--Managed Care"/>
    <s v="FSA-Burien Gen Surg"/>
    <x v="0"/>
    <n v="1400"/>
    <n v="-66423.25"/>
    <n v="-104456.5"/>
    <n v="-28472"/>
    <n v="-67810.2"/>
    <n v="-97500"/>
    <n v="-98076.5"/>
    <n v="-99118"/>
    <n v="-45805"/>
    <n v="-61977.75"/>
    <n v="-65987"/>
    <n v="-56027"/>
    <n v="-68442"/>
    <n v="-860095.2"/>
    <n v="12415"/>
  </r>
  <r>
    <x v="1"/>
    <x v="1"/>
    <x v="0"/>
    <s v="2694200"/>
    <n v="400040"/>
    <s v="Physician Svcs Rev--Self Pay"/>
    <s v="FSA-Burien Gen Surg"/>
    <x v="0"/>
    <n v="1500"/>
    <n v="-1926"/>
    <n v="-3759"/>
    <n v="2552.25"/>
    <n v="-3615"/>
    <n v="-13815"/>
    <n v="-14535"/>
    <n v="-47321.75"/>
    <n v="5144.75"/>
    <n v="-12800"/>
    <n v="-5896.25"/>
    <n v="-25902.75"/>
    <n v="-7735.75"/>
    <n v="-129609.5"/>
    <n v="-18167"/>
  </r>
  <r>
    <x v="1"/>
    <x v="1"/>
    <x v="0"/>
    <s v="2694200"/>
    <n v="400040"/>
    <s v="Physician Svcs Rev--Other"/>
    <s v="FSA-Burien Gen Surg"/>
    <x v="0"/>
    <n v="1700"/>
    <n v="-2"/>
    <n v="-3014"/>
    <n v="-2854"/>
    <n v="-2498.5"/>
    <n v="-2499"/>
    <n v="-15319.25"/>
    <n v="-11854.75"/>
    <n v="-9482"/>
    <n v="-9557"/>
    <n v="-4397"/>
    <n v="-2123"/>
    <n v="-5276"/>
    <n v="-68876.5"/>
    <n v="3153"/>
  </r>
  <r>
    <x v="2"/>
    <x v="1"/>
    <x v="0"/>
    <s v="2694200"/>
    <n v="450029"/>
    <s v="Contr Allow--MD Other-Medicare"/>
    <s v="FSA-Burien Gen Surg"/>
    <x v="0"/>
    <n v="1100"/>
    <n v="90.28"/>
    <n v="52.4"/>
    <n v="107.61"/>
    <n v="125.64"/>
    <n v="120.37"/>
    <n v="46.38"/>
    <n v="190.23"/>
    <n v="14.81"/>
    <n v="58.18"/>
    <n v="60.37"/>
    <n v="28.57"/>
    <n v="117.05"/>
    <n v="1011.89"/>
    <n v="-88.47999999999999"/>
  </r>
  <r>
    <x v="2"/>
    <x v="1"/>
    <x v="0"/>
    <s v="2694200"/>
    <n v="450029"/>
    <s v="Contr Allow--MD Other-Medicaid"/>
    <s v="FSA-Burien Gen Surg"/>
    <x v="0"/>
    <n v="1200"/>
    <n v="54.4"/>
    <n v="171.57"/>
    <n v="38.590000000000003"/>
    <n v="158.62"/>
    <n v="30.22"/>
    <n v="0"/>
    <n v="-2.0299999999999998"/>
    <n v="18.079999999999998"/>
    <n v="38.94"/>
    <n v="3.16"/>
    <n v="184.78"/>
    <n v="23"/>
    <n v="719.33"/>
    <n v="161.78"/>
  </r>
  <r>
    <x v="2"/>
    <x v="1"/>
    <x v="0"/>
    <s v="2694200"/>
    <n v="450029"/>
    <s v="Contr Allow--MD Other-Comm Insurance"/>
    <s v="FSA-Burien Gen Surg"/>
    <x v="0"/>
    <n v="1300"/>
    <n v="0"/>
    <n v="0"/>
    <n v="7.29"/>
    <n v="0"/>
    <n v="0"/>
    <n v="0"/>
    <n v="0"/>
    <n v="0"/>
    <n v="8.5299999999999994"/>
    <n v="0"/>
    <n v="12.69"/>
    <n v="0"/>
    <n v="28.509999999999998"/>
    <n v="12.69"/>
  </r>
  <r>
    <x v="2"/>
    <x v="1"/>
    <x v="0"/>
    <s v="2694200"/>
    <n v="450029"/>
    <s v="Contr Allow--MD Other BCBS Comm"/>
    <s v="FSA-Burien Gen Surg"/>
    <x v="0"/>
    <n v="1301"/>
    <n v="6.61"/>
    <n v="306.83"/>
    <n v="0"/>
    <n v="6.61"/>
    <n v="0"/>
    <n v="0"/>
    <n v="6.09"/>
    <n v="0"/>
    <n v="12.77"/>
    <n v="12.77"/>
    <n v="0"/>
    <n v="18.27"/>
    <n v="369.94999999999993"/>
    <n v="-18.27"/>
  </r>
  <r>
    <x v="2"/>
    <x v="1"/>
    <x v="0"/>
    <s v="2694200"/>
    <n v="450029"/>
    <s v="Contr Allow--MD Other-Managed Care"/>
    <s v="FSA-Burien Gen Surg"/>
    <x v="0"/>
    <n v="1400"/>
    <n v="73.650000000000006"/>
    <n v="36"/>
    <n v="27.61"/>
    <n v="7.67"/>
    <n v="44.99"/>
    <n v="36.700000000000003"/>
    <n v="50.7"/>
    <n v="30.8"/>
    <n v="8.1300000000000008"/>
    <n v="0"/>
    <n v="59.2"/>
    <n v="42.76"/>
    <n v="418.21"/>
    <n v="16.440000000000005"/>
  </r>
  <r>
    <x v="2"/>
    <x v="1"/>
    <x v="0"/>
    <s v="2694200"/>
    <n v="450029"/>
    <s v="Admin Adjust-MD Other-Self Pay"/>
    <s v="FSA-Burien Gen Surg"/>
    <x v="0"/>
    <n v="1600"/>
    <n v="46"/>
    <n v="-18.87"/>
    <n v="23"/>
    <n v="0"/>
    <n v="18.87"/>
    <n v="0"/>
    <n v="41.87"/>
    <n v="18.87"/>
    <n v="18.87"/>
    <n v="0"/>
    <n v="37.74"/>
    <n v="-18.87"/>
    <n v="167.48000000000002"/>
    <n v="56.61"/>
  </r>
  <r>
    <x v="2"/>
    <x v="1"/>
    <x v="0"/>
    <s v="2694200"/>
    <n v="450029"/>
    <s v="Contr Allow--MD Other-Other"/>
    <s v="FSA-Burien Gen Surg"/>
    <x v="0"/>
    <n v="1700"/>
    <n v="11.65"/>
    <n v="0"/>
    <n v="0"/>
    <n v="0"/>
    <n v="0"/>
    <n v="0"/>
    <n v="0"/>
    <n v="0"/>
    <n v="0"/>
    <n v="0"/>
    <n v="0"/>
    <n v="0"/>
    <n v="11.65"/>
    <n v="0"/>
  </r>
  <r>
    <x v="2"/>
    <x v="1"/>
    <x v="0"/>
    <s v="2694200"/>
    <n v="450040"/>
    <s v="Contr Allow--Phys Svcs--Mcare"/>
    <s v="FSA-Burien Gen Surg"/>
    <x v="0"/>
    <n v="1100"/>
    <n v="68605.06"/>
    <n v="62564.71"/>
    <n v="73177.37"/>
    <n v="55181.15"/>
    <n v="64622.15"/>
    <n v="82181.45"/>
    <n v="65883.899999999994"/>
    <n v="66198.8"/>
    <n v="69870.600000000006"/>
    <n v="88789.92"/>
    <n v="58564.21"/>
    <n v="87146.13"/>
    <n v="842785.45000000007"/>
    <n v="-28581.920000000006"/>
  </r>
  <r>
    <x v="2"/>
    <x v="1"/>
    <x v="0"/>
    <s v="2694200"/>
    <n v="450040"/>
    <s v="Contr Allow--Phys Svcs--Mcaid"/>
    <s v="FSA-Burien Gen Surg"/>
    <x v="0"/>
    <n v="1200"/>
    <n v="46365.86"/>
    <n v="47817.919999999998"/>
    <n v="35710.32"/>
    <n v="56463"/>
    <n v="42931.22"/>
    <n v="55656.43"/>
    <n v="53394.51"/>
    <n v="48377.9"/>
    <n v="43206.2"/>
    <n v="42709.86"/>
    <n v="52083.24"/>
    <n v="43749.56"/>
    <n v="568466.02"/>
    <n v="8333.68"/>
  </r>
  <r>
    <x v="2"/>
    <x v="1"/>
    <x v="0"/>
    <s v="2694200"/>
    <n v="450040"/>
    <s v="Contr Allow--Phys Svcs--Comm Insurance"/>
    <s v="FSA-Burien Gen Surg"/>
    <x v="0"/>
    <n v="1300"/>
    <n v="1563.66"/>
    <n v="1363.08"/>
    <n v="2238.06"/>
    <n v="878.22"/>
    <n v="3528.66"/>
    <n v="633.08000000000004"/>
    <n v="2819.98"/>
    <n v="3676.43"/>
    <n v="2754.4"/>
    <n v="1677.97"/>
    <n v="13498.97"/>
    <n v="2037.43"/>
    <n v="36669.94"/>
    <n v="11461.539999999999"/>
  </r>
  <r>
    <x v="2"/>
    <x v="1"/>
    <x v="0"/>
    <s v="2694200"/>
    <n v="450040"/>
    <s v="Contr Allow--Phys Svcs--BCBS Comm Ins"/>
    <s v="FSA-Burien Gen Surg"/>
    <x v="0"/>
    <n v="1301"/>
    <n v="11096.81"/>
    <n v="5660.71"/>
    <n v="3857.88"/>
    <n v="7579.99"/>
    <n v="2884.04"/>
    <n v="6648.98"/>
    <n v="4974.12"/>
    <n v="-5629.16"/>
    <n v="5620.53"/>
    <n v="7910.23"/>
    <n v="7627.58"/>
    <n v="17557.05"/>
    <n v="75788.760000000009"/>
    <n v="-9929.4699999999993"/>
  </r>
  <r>
    <x v="2"/>
    <x v="1"/>
    <x v="0"/>
    <s v="2694200"/>
    <n v="450040"/>
    <s v="Contr Allow--Phys Svcs--Managed Care"/>
    <s v="FSA-Burien Gen Surg"/>
    <x v="0"/>
    <n v="1400"/>
    <n v="25761"/>
    <n v="59009.67"/>
    <n v="16750.66"/>
    <n v="10549.61"/>
    <n v="25208.95"/>
    <n v="37541.89"/>
    <n v="33215.120000000003"/>
    <n v="40555.279999999999"/>
    <n v="25357.77"/>
    <n v="20434.919999999998"/>
    <n v="25301.7"/>
    <n v="26800.59"/>
    <n v="346487.16000000003"/>
    <n v="-1498.8899999999994"/>
  </r>
  <r>
    <x v="2"/>
    <x v="1"/>
    <x v="0"/>
    <s v="2694200"/>
    <n v="450040"/>
    <s v="Contr Allow--Phys Svcs--BCBS Mgnd Care"/>
    <s v="FSA-Burien Gen Surg"/>
    <x v="0"/>
    <n v="1401"/>
    <n v="15674.58"/>
    <n v="-15648.27"/>
    <n v="-14521.68"/>
    <n v="5022.6000000000004"/>
    <n v="30171.59"/>
    <n v="-10499.82"/>
    <n v="73550.259999999995"/>
    <n v="5443.31"/>
    <n v="12420.57"/>
    <n v="7602.91"/>
    <n v="2856.58"/>
    <n v="-29890.28"/>
    <n v="82182.349999999991"/>
    <n v="32746.86"/>
  </r>
  <r>
    <x v="2"/>
    <x v="1"/>
    <x v="0"/>
    <s v="2694200"/>
    <n v="450040"/>
    <s v="Prompt Pay Disc-Phys Svcs-Self Pay"/>
    <s v="FSA-Burien Gen Surg"/>
    <x v="0"/>
    <n v="1500"/>
    <n v="0"/>
    <n v="0"/>
    <n v="0"/>
    <n v="0"/>
    <n v="0"/>
    <n v="0"/>
    <n v="0"/>
    <n v="0"/>
    <n v="0"/>
    <n v="0"/>
    <n v="1862.5"/>
    <n v="0"/>
    <n v="1862.5"/>
    <n v="1862.5"/>
  </r>
  <r>
    <x v="2"/>
    <x v="1"/>
    <x v="0"/>
    <s v="2694200"/>
    <n v="450040"/>
    <s v="Admin Adjust-Phys Svcs-Self Pay"/>
    <s v="FSA-Burien Gen Surg"/>
    <x v="0"/>
    <n v="1600"/>
    <n v="716.82"/>
    <n v="2805.74"/>
    <n v="-792.72"/>
    <n v="1601.3"/>
    <n v="5256.58"/>
    <n v="5383.09"/>
    <n v="23941.63"/>
    <n v="-2188.5"/>
    <n v="5008.7"/>
    <n v="2271.37"/>
    <n v="12655.38"/>
    <n v="68800.19"/>
    <n v="125459.58"/>
    <n v="-56144.810000000005"/>
  </r>
  <r>
    <x v="2"/>
    <x v="1"/>
    <x v="0"/>
    <s v="2694200"/>
    <n v="450040"/>
    <s v="Contr Allow--Phys Svcs--Other"/>
    <s v="FSA-Burien Gen Surg"/>
    <x v="0"/>
    <n v="1700"/>
    <n v="1756.08"/>
    <n v="1350.13"/>
    <n v="2906.66"/>
    <n v="1128.7"/>
    <n v="519.62"/>
    <n v="1876.87"/>
    <n v="4136.79"/>
    <n v="7338.39"/>
    <n v="2095.35"/>
    <n v="9139.61"/>
    <n v="-282.48"/>
    <n v="906.35"/>
    <n v="32872.07"/>
    <n v="-1188.83"/>
  </r>
  <r>
    <x v="3"/>
    <x v="1"/>
    <x v="0"/>
    <s v="2694200"/>
    <n v="470040"/>
    <s v="Charity Care-Physician Svcs"/>
    <s v="FSA-Burien Gen Surg"/>
    <x v="0"/>
    <m/>
    <n v="524.85"/>
    <n v="3479.41"/>
    <n v="-206.79"/>
    <n v="-3.87"/>
    <n v="2131.46"/>
    <n v="257.58"/>
    <n v="8320.1200000000008"/>
    <n v="4422.3"/>
    <n v="6464.32"/>
    <n v="4547.17"/>
    <n v="10654.65"/>
    <n v="17072.64"/>
    <n v="57663.840000000004"/>
    <n v="-6417.99"/>
  </r>
  <r>
    <x v="4"/>
    <x v="1"/>
    <x v="0"/>
    <s v="2694200"/>
    <n v="490010"/>
    <s v="Provision for Bad Debts"/>
    <s v="FSA-Burien Gen Surg"/>
    <x v="0"/>
    <m/>
    <n v="6591.78"/>
    <n v="-1506.72"/>
    <n v="8536.7000000000007"/>
    <n v="9016.9599999999991"/>
    <n v="12608.95"/>
    <n v="374.12"/>
    <n v="5066.21"/>
    <n v="-1678.16"/>
    <n v="6890.41"/>
    <n v="4385.01"/>
    <n v="2996.51"/>
    <n v="11119.47"/>
    <n v="64401.240000000005"/>
    <n v="-8122.9599999999991"/>
  </r>
  <r>
    <x v="14"/>
    <x v="1"/>
    <x v="0"/>
    <s v="2694200"/>
    <n v="600050"/>
    <s v="Miscellaneous Revenue"/>
    <s v="FSA-Burien Gen Surg"/>
    <x v="0"/>
    <m/>
    <n v="0"/>
    <n v="0"/>
    <n v="0"/>
    <n v="-900"/>
    <n v="-56"/>
    <n v="-16652"/>
    <n v="-4234"/>
    <n v="-2544"/>
    <n v="-1822"/>
    <n v="-19192"/>
    <n v="0"/>
    <n v="-46800"/>
    <n v="-92200"/>
    <n v="46800"/>
  </r>
  <r>
    <x v="5"/>
    <x v="1"/>
    <x v="0"/>
    <s v="2694200"/>
    <n v="700022"/>
    <s v="Salaries-Physician-Productive"/>
    <s v="FSA-Burien Gen Surg"/>
    <x v="0"/>
    <m/>
    <n v="47022.54"/>
    <n v="48028.36"/>
    <n v="55018.6"/>
    <n v="71776.58"/>
    <n v="74546.320000000007"/>
    <n v="102798.12"/>
    <n v="111804.93"/>
    <n v="54933.93"/>
    <n v="68169.399999999994"/>
    <n v="90314.01"/>
    <n v="83802.34"/>
    <n v="112926.99"/>
    <n v="921142.12"/>
    <n v="-29124.650000000009"/>
  </r>
  <r>
    <x v="5"/>
    <x v="1"/>
    <x v="0"/>
    <s v="2694200"/>
    <n v="700022"/>
    <s v="Salaries-Physician-Other"/>
    <s v="FSA-Burien Gen Surg"/>
    <x v="0"/>
    <n v="2000"/>
    <n v="0"/>
    <n v="0"/>
    <n v="0"/>
    <n v="900"/>
    <n v="900"/>
    <n v="16652"/>
    <n v="4234"/>
    <n v="3241.02"/>
    <n v="1822"/>
    <n v="19192"/>
    <n v="0"/>
    <n v="32400"/>
    <n v="79341.02"/>
    <n v="-32400"/>
  </r>
  <r>
    <x v="5"/>
    <x v="1"/>
    <x v="0"/>
    <s v="2694200"/>
    <n v="700022"/>
    <s v="Salaries-Physician-Provider Incentive"/>
    <s v="FSA-Burien Gen Surg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694200"/>
    <n v="700026"/>
    <s v="Salaries-RN-Productive"/>
    <s v="FSA-Burien Gen Surg"/>
    <x v="0"/>
    <m/>
    <n v="4801.12"/>
    <n v="4573.29"/>
    <n v="5224.2700000000004"/>
    <n v="5876.92"/>
    <n v="4596.7299999999996"/>
    <n v="3264.83"/>
    <n v="5894.45"/>
    <n v="11622.53"/>
    <n v="10358.370000000001"/>
    <n v="8722.26"/>
    <n v="5789.5"/>
    <n v="10614.13"/>
    <n v="81338.399999999994"/>
    <n v="-4824.6299999999992"/>
  </r>
  <r>
    <x v="5"/>
    <x v="1"/>
    <x v="0"/>
    <s v="2694200"/>
    <n v="700026"/>
    <s v="Salaries-RN-OT"/>
    <s v="FSA-Burien Gen Surg"/>
    <x v="0"/>
    <n v="1000"/>
    <n v="87.89"/>
    <n v="186.76"/>
    <n v="12.21"/>
    <n v="150.16999999999999"/>
    <n v="277.8"/>
    <n v="49.6"/>
    <n v="243.42"/>
    <n v="17.41"/>
    <n v="0"/>
    <n v="12.46"/>
    <n v="12.42"/>
    <n v="37.26"/>
    <n v="1087.4000000000001"/>
    <n v="-24.839999999999996"/>
  </r>
  <r>
    <x v="5"/>
    <x v="1"/>
    <x v="0"/>
    <s v="2694200"/>
    <n v="700032"/>
    <s v="Salaries-Other Pat Care Providers-Productive"/>
    <s v="FSA-Burien Gen Surg"/>
    <x v="0"/>
    <m/>
    <n v="2718.37"/>
    <n v="3137.8"/>
    <n v="2737.99"/>
    <n v="839.26"/>
    <n v="2435.12"/>
    <n v="1698.44"/>
    <n v="3324.66"/>
    <n v="2711.39"/>
    <n v="3202.07"/>
    <n v="2642.98"/>
    <n v="3778.73"/>
    <n v="2634.19"/>
    <n v="31860.999999999996"/>
    <n v="1144.54"/>
  </r>
  <r>
    <x v="5"/>
    <x v="1"/>
    <x v="0"/>
    <s v="2694200"/>
    <n v="700032"/>
    <s v="Salaries-Other Pat Care Providers-OT"/>
    <s v="FSA-Burien Gen Surg"/>
    <x v="0"/>
    <n v="1000"/>
    <n v="65.989999999999995"/>
    <n v="63.14"/>
    <n v="10.75"/>
    <n v="146.04"/>
    <n v="32.21"/>
    <n v="8.7799999999999994"/>
    <n v="90.89"/>
    <n v="-16.13"/>
    <n v="-2.92"/>
    <n v="0"/>
    <n v="22.01"/>
    <n v="29.31"/>
    <n v="450.06999999999988"/>
    <n v="-7.2999999999999972"/>
  </r>
  <r>
    <x v="5"/>
    <x v="1"/>
    <x v="0"/>
    <s v="2694200"/>
    <n v="700062"/>
    <s v="Salaries-Physician-Non-productive"/>
    <s v="FSA-Burien Gen Surg"/>
    <x v="0"/>
    <m/>
    <n v="0"/>
    <n v="20006.2"/>
    <n v="4789.6000000000004"/>
    <n v="3125"/>
    <n v="0"/>
    <n v="0"/>
    <n v="0"/>
    <n v="18472.48"/>
    <n v="11375.02"/>
    <n v="11558.91"/>
    <n v="-6744.64"/>
    <n v="2003.52"/>
    <n v="64586.090000000004"/>
    <n v="-8748.16"/>
  </r>
  <r>
    <x v="5"/>
    <x v="1"/>
    <x v="0"/>
    <s v="2694200"/>
    <n v="700062"/>
    <s v="Salaries-Physician-NonProd-Other"/>
    <s v="FSA-Burien 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4200"/>
    <n v="700066"/>
    <s v="Salaries-RN-Non-productive"/>
    <s v="FSA-Burien Gen Surg"/>
    <x v="0"/>
    <m/>
    <n v="0"/>
    <n v="0"/>
    <n v="260.39999999999998"/>
    <n v="187.16"/>
    <n v="1033.44"/>
    <n v="1817.2"/>
    <n v="150.85"/>
    <n v="718.67"/>
    <n v="-205.33"/>
    <n v="0"/>
    <n v="3808.64"/>
    <n v="-719.36"/>
    <n v="7051.6699999999992"/>
    <n v="4528"/>
  </r>
  <r>
    <x v="5"/>
    <x v="1"/>
    <x v="0"/>
    <s v="2694200"/>
    <n v="700066"/>
    <s v="Salaries-RN-NonProd-Other"/>
    <s v="FSA-Burien Gen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4200"/>
    <n v="700072"/>
    <s v="Salaries-Other Pat Care Providers-Non-productive"/>
    <s v="FSA-Burien Gen Surg"/>
    <x v="0"/>
    <m/>
    <n v="153.04"/>
    <n v="413.69"/>
    <n v="78.91"/>
    <n v="363.47"/>
    <n v="204.96"/>
    <n v="1373.23"/>
    <n v="315.76"/>
    <n v="409.54"/>
    <n v="-62.55"/>
    <n v="797.56"/>
    <n v="-328.4"/>
    <n v="322.55"/>
    <n v="4041.76"/>
    <n v="-650.95000000000005"/>
  </r>
  <r>
    <x v="5"/>
    <x v="1"/>
    <x v="0"/>
    <s v="2694200"/>
    <n v="700084"/>
    <s v="Accrued PTO"/>
    <s v="FSA-Burien Gen Surg"/>
    <x v="0"/>
    <m/>
    <n v="642.20000000000005"/>
    <n v="439.55"/>
    <n v="349.95"/>
    <n v="292.20999999999998"/>
    <n v="-438.63"/>
    <n v="-1887.96"/>
    <n v="162.97"/>
    <n v="469.81"/>
    <n v="1243.8800000000001"/>
    <n v="763.26"/>
    <n v="-1422.11"/>
    <n v="1051.3800000000001"/>
    <n v="1666.5100000000004"/>
    <n v="-2473.4899999999998"/>
  </r>
  <r>
    <x v="10"/>
    <x v="1"/>
    <x v="0"/>
    <s v="2694200"/>
    <n v="710060"/>
    <s v="Contract Labor-Other"/>
    <s v="FSA-Burien Gen Surg"/>
    <x v="0"/>
    <m/>
    <n v="1272.8"/>
    <n v="0"/>
    <n v="0"/>
    <n v="0"/>
    <n v="0"/>
    <n v="0"/>
    <n v="0"/>
    <n v="0"/>
    <n v="0"/>
    <n v="0"/>
    <n v="0"/>
    <n v="0"/>
    <n v="1272.8"/>
    <n v="0"/>
  </r>
  <r>
    <x v="6"/>
    <x v="1"/>
    <x v="0"/>
    <s v="2694200"/>
    <n v="713010"/>
    <s v="Benefits-FICA/Medicare"/>
    <s v="FSA-Burien Gen Surg"/>
    <x v="0"/>
    <m/>
    <n v="1269.32"/>
    <n v="1614.57"/>
    <n v="1487.13"/>
    <n v="2175.23"/>
    <n v="1928.78"/>
    <n v="6421.64"/>
    <n v="9235.5"/>
    <n v="6768.69"/>
    <n v="6119.38"/>
    <n v="5069.43"/>
    <n v="1280.0899999999999"/>
    <n v="4026.89"/>
    <n v="47396.649999999994"/>
    <n v="-2746.8"/>
  </r>
  <r>
    <x v="6"/>
    <x v="1"/>
    <x v="0"/>
    <s v="2694200"/>
    <n v="713090"/>
    <s v="Benefits-Allocated Amounts"/>
    <s v="FSA-Burien Gen Surg"/>
    <x v="0"/>
    <m/>
    <n v="0"/>
    <n v="0"/>
    <n v="0"/>
    <n v="0"/>
    <n v="0"/>
    <n v="0"/>
    <n v="0"/>
    <n v="0"/>
    <n v="31852.39"/>
    <n v="4952.66"/>
    <n v="3635.41"/>
    <n v="5839.45"/>
    <n v="46279.91"/>
    <n v="-2204.04"/>
  </r>
  <r>
    <x v="6"/>
    <x v="1"/>
    <x v="0"/>
    <s v="2694200"/>
    <n v="713092"/>
    <s v="Allocated Benefits-Physician"/>
    <s v="FSA-Burien Gen Surg"/>
    <x v="0"/>
    <m/>
    <n v="5315.83"/>
    <n v="5877.94"/>
    <n v="5974.49"/>
    <n v="6177.74"/>
    <n v="6410.67"/>
    <n v="9434.3799999999992"/>
    <n v="10734.79"/>
    <n v="9790.49"/>
    <n v="-21497.84"/>
    <n v="5942.5"/>
    <n v="4361.99"/>
    <n v="7006.53"/>
    <n v="55529.509999999987"/>
    <n v="-2644.54"/>
  </r>
  <r>
    <x v="7"/>
    <x v="1"/>
    <x v="0"/>
    <s v="2694200"/>
    <n v="718050"/>
    <s v="Contract Svcs-Other"/>
    <s v="FSA-Burien Gen Surg"/>
    <x v="0"/>
    <m/>
    <n v="0"/>
    <n v="0"/>
    <n v="0"/>
    <n v="2612.79"/>
    <n v="0"/>
    <n v="3446.83"/>
    <n v="0"/>
    <n v="2528.8200000000002"/>
    <n v="0"/>
    <n v="2060.44"/>
    <n v="0"/>
    <n v="3145.61"/>
    <n v="13794.490000000002"/>
    <n v="-3145.61"/>
  </r>
  <r>
    <x v="7"/>
    <x v="1"/>
    <x v="0"/>
    <s v="2694200"/>
    <n v="718050"/>
    <s v="Transcription"/>
    <s v="FSA-Burien Gen Surg"/>
    <x v="0"/>
    <n v="1006"/>
    <n v="0"/>
    <n v="0"/>
    <n v="900.18"/>
    <n v="0"/>
    <n v="0"/>
    <n v="0"/>
    <n v="0"/>
    <n v="0"/>
    <n v="0"/>
    <n v="0"/>
    <n v="0"/>
    <n v="0"/>
    <n v="900.18"/>
    <n v="0"/>
  </r>
  <r>
    <x v="8"/>
    <x v="1"/>
    <x v="0"/>
    <s v="2694200"/>
    <n v="741012"/>
    <s v="Physician Liab Insurance-CHI Program"/>
    <s v="FSA-Burien Gen Surg"/>
    <x v="0"/>
    <m/>
    <n v="3599.87"/>
    <n v="3599.87"/>
    <n v="3599.87"/>
    <n v="4290.25"/>
    <n v="5118.72"/>
    <n v="5118.7"/>
    <n v="5118.72"/>
    <n v="5118.7"/>
    <n v="5118.72"/>
    <n v="5118.7"/>
    <n v="5118.7299999999996"/>
    <n v="5118.7"/>
    <n v="56039.55"/>
    <n v="2.9999999999745341E-2"/>
  </r>
  <r>
    <x v="0"/>
    <x v="1"/>
    <x v="0"/>
    <s v="2694200"/>
    <n v="743022"/>
    <s v="Dues-Physician"/>
    <s v="FSA-Burien Gen Surg"/>
    <x v="0"/>
    <m/>
    <n v="0"/>
    <n v="0"/>
    <n v="0"/>
    <n v="0"/>
    <n v="0"/>
    <n v="731"/>
    <n v="0"/>
    <n v="828"/>
    <n v="0"/>
    <n v="0"/>
    <n v="0"/>
    <n v="640"/>
    <n v="2199"/>
    <n v="-640"/>
  </r>
  <r>
    <x v="0"/>
    <x v="1"/>
    <x v="0"/>
    <s v="2694200"/>
    <n v="743042"/>
    <s v="Subscriptions-Physician"/>
    <s v="FSA-Burien Gen Surg"/>
    <x v="0"/>
    <m/>
    <n v="0"/>
    <n v="0"/>
    <n v="0"/>
    <n v="0"/>
    <n v="0"/>
    <n v="0"/>
    <n v="0"/>
    <n v="0"/>
    <n v="0"/>
    <n v="0"/>
    <n v="640"/>
    <n v="0"/>
    <n v="640"/>
    <n v="640"/>
  </r>
  <r>
    <x v="0"/>
    <x v="1"/>
    <x v="0"/>
    <s v="2694200"/>
    <n v="749510"/>
    <s v="Miscellaneous Expenses"/>
    <s v="FSA-Burien Gen Surg"/>
    <x v="0"/>
    <m/>
    <n v="31.08"/>
    <n v="-41.44"/>
    <n v="0"/>
    <n v="0"/>
    <n v="0"/>
    <n v="0"/>
    <n v="0"/>
    <n v="0"/>
    <n v="0"/>
    <n v="0"/>
    <n v="0"/>
    <n v="0"/>
    <n v="-10.36"/>
    <n v="0"/>
  </r>
  <r>
    <x v="0"/>
    <x v="1"/>
    <x v="0"/>
    <s v="2694200"/>
    <n v="749512"/>
    <s v="Licenses-Physician"/>
    <s v="FSA-Burien Gen Surg"/>
    <x v="0"/>
    <n v="2000"/>
    <n v="0"/>
    <n v="0"/>
    <n v="0"/>
    <n v="0"/>
    <n v="0"/>
    <n v="0"/>
    <n v="0"/>
    <n v="0"/>
    <n v="0"/>
    <n v="0"/>
    <n v="0"/>
    <n v="657"/>
    <n v="657"/>
    <n v="-657"/>
  </r>
  <r>
    <x v="0"/>
    <x v="1"/>
    <x v="0"/>
    <s v="2694200"/>
    <n v="749530"/>
    <s v="Mileage"/>
    <s v="FSA-Burien Gen Surg"/>
    <x v="0"/>
    <n v="1001"/>
    <n v="0"/>
    <n v="0"/>
    <n v="30.52"/>
    <n v="0"/>
    <n v="0"/>
    <n v="12.54"/>
    <n v="0"/>
    <n v="0"/>
    <n v="0"/>
    <n v="0"/>
    <n v="0"/>
    <n v="27.26"/>
    <n v="70.320000000000007"/>
    <n v="-27.26"/>
  </r>
  <r>
    <x v="1"/>
    <x v="1"/>
    <x v="0"/>
    <s v="2696200"/>
    <n v="400040"/>
    <s v="Physician Svcs Rev--Medicare"/>
    <s v="Neurology Assoc-Highline"/>
    <x v="0"/>
    <n v="1100"/>
    <n v="-25741"/>
    <n v="-52181"/>
    <n v="-54202"/>
    <n v="-53946"/>
    <n v="-37630"/>
    <n v="-40215"/>
    <n v="-38664"/>
    <n v="-19423"/>
    <n v="-46924"/>
    <n v="-38134"/>
    <n v="-42078"/>
    <n v="-34035"/>
    <n v="-483173"/>
    <n v="-8043"/>
  </r>
  <r>
    <x v="1"/>
    <x v="1"/>
    <x v="0"/>
    <s v="2696200"/>
    <n v="400040"/>
    <s v="Physician Svcs Rev--Medicaid"/>
    <s v="Neurology Assoc-Highline"/>
    <x v="0"/>
    <n v="1200"/>
    <n v="-16183"/>
    <n v="-30030"/>
    <n v="-40121"/>
    <n v="-25236"/>
    <n v="-28058"/>
    <n v="-26963"/>
    <n v="-33347"/>
    <n v="-19266"/>
    <n v="-24018"/>
    <n v="-26934"/>
    <n v="-31200"/>
    <n v="-23852"/>
    <n v="-325208"/>
    <n v="-7348"/>
  </r>
  <r>
    <x v="1"/>
    <x v="1"/>
    <x v="0"/>
    <s v="2696200"/>
    <n v="400040"/>
    <s v="Physician Svcs Rev--Comm Insurance"/>
    <s v="Neurology Assoc-Highline"/>
    <x v="0"/>
    <n v="1300"/>
    <n v="-3332"/>
    <n v="-7700"/>
    <n v="-5255"/>
    <n v="-5826"/>
    <n v="-4081"/>
    <n v="-1831"/>
    <n v="-899"/>
    <n v="-2488"/>
    <n v="-2472"/>
    <n v="-2236"/>
    <n v="-1638"/>
    <n v="-4692"/>
    <n v="-42450"/>
    <n v="3054"/>
  </r>
  <r>
    <x v="1"/>
    <x v="1"/>
    <x v="0"/>
    <s v="2696200"/>
    <n v="400040"/>
    <s v="Physician Svcs Rev--BCBS Comm"/>
    <s v="Neurology Assoc-Highline"/>
    <x v="0"/>
    <n v="1301"/>
    <n v="-5735"/>
    <n v="-15391"/>
    <n v="-10933"/>
    <n v="-10961"/>
    <n v="-12504"/>
    <n v="-15077"/>
    <n v="-6708"/>
    <n v="-7711"/>
    <n v="-3325"/>
    <n v="-11133"/>
    <n v="-8137"/>
    <n v="-5643"/>
    <n v="-113258"/>
    <n v="-2494"/>
  </r>
  <r>
    <x v="1"/>
    <x v="1"/>
    <x v="0"/>
    <s v="2696200"/>
    <n v="400040"/>
    <s v="Physician Svcs Rev--Managed Care"/>
    <s v="Neurology Assoc-Highline"/>
    <x v="0"/>
    <n v="1400"/>
    <n v="-13053"/>
    <n v="-30951"/>
    <n v="-45628"/>
    <n v="-44857"/>
    <n v="-35178"/>
    <n v="-37674"/>
    <n v="-21420"/>
    <n v="-21311"/>
    <n v="-24068"/>
    <n v="-25214"/>
    <n v="-13588"/>
    <n v="-18644"/>
    <n v="-331586"/>
    <n v="5056"/>
  </r>
  <r>
    <x v="1"/>
    <x v="1"/>
    <x v="0"/>
    <s v="2696200"/>
    <n v="400040"/>
    <s v="Physician Svcs Rev--Self Pay"/>
    <s v="Neurology Assoc-Highline"/>
    <x v="0"/>
    <n v="1500"/>
    <n v="-1117"/>
    <n v="-1791"/>
    <n v="-296"/>
    <n v="-121"/>
    <n v="-1803"/>
    <n v="-1799"/>
    <n v="-421"/>
    <n v="-1795"/>
    <n v="-454"/>
    <n v="-335"/>
    <n v="407"/>
    <n v="-2162"/>
    <n v="-11687"/>
    <n v="2569"/>
  </r>
  <r>
    <x v="1"/>
    <x v="1"/>
    <x v="0"/>
    <s v="2696200"/>
    <n v="400040"/>
    <s v="Physician Svcs Rev--Other"/>
    <s v="Neurology Assoc-Highline"/>
    <x v="0"/>
    <n v="1700"/>
    <n v="0"/>
    <n v="-4130"/>
    <n v="-3585"/>
    <n v="-1838"/>
    <n v="-9562"/>
    <n v="-3563"/>
    <n v="-4287"/>
    <n v="-725"/>
    <n v="-3792"/>
    <n v="-3653"/>
    <n v="-3529"/>
    <n v="-2007"/>
    <n v="-40671"/>
    <n v="-1522"/>
  </r>
  <r>
    <x v="2"/>
    <x v="1"/>
    <x v="0"/>
    <s v="2696200"/>
    <n v="450040"/>
    <s v="Contr Allow--Phys Svcs--Mcare"/>
    <s v="Neurology Assoc-Highline"/>
    <x v="0"/>
    <n v="1100"/>
    <n v="14486.49"/>
    <n v="27202.94"/>
    <n v="24234.04"/>
    <n v="27622.799999999999"/>
    <n v="21166.87"/>
    <n v="15463.78"/>
    <n v="15389.32"/>
    <n v="10171.620000000001"/>
    <n v="14343.27"/>
    <n v="9374.94"/>
    <n v="10680.02"/>
    <n v="14384.38"/>
    <n v="204520.46999999997"/>
    <n v="-3704.3599999999988"/>
  </r>
  <r>
    <x v="2"/>
    <x v="1"/>
    <x v="0"/>
    <s v="2696200"/>
    <n v="450040"/>
    <s v="Contr Allow--Phys Svcs--Mcaid"/>
    <s v="Neurology Assoc-Highline"/>
    <x v="0"/>
    <n v="1200"/>
    <n v="16041.39"/>
    <n v="16260.21"/>
    <n v="26279.62"/>
    <n v="26741.34"/>
    <n v="22596.13"/>
    <n v="21026.73"/>
    <n v="17048.04"/>
    <n v="19128.23"/>
    <n v="18917.89"/>
    <n v="23120.33"/>
    <n v="18098.439999999999"/>
    <n v="21311.91"/>
    <n v="246570.26000000004"/>
    <n v="-3213.4700000000012"/>
  </r>
  <r>
    <x v="2"/>
    <x v="1"/>
    <x v="0"/>
    <s v="2696200"/>
    <n v="450040"/>
    <s v="Contr Allow--Phys Svcs--Comm Insurance"/>
    <s v="Neurology Assoc-Highline"/>
    <x v="0"/>
    <n v="1300"/>
    <n v="191.09"/>
    <n v="1686.24"/>
    <n v="728.32"/>
    <n v="1433.78"/>
    <n v="1370.55"/>
    <n v="1734.45"/>
    <n v="55.48"/>
    <n v="281.11"/>
    <n v="484.86"/>
    <n v="-516.71"/>
    <n v="755.54"/>
    <n v="720.66"/>
    <n v="8925.369999999999"/>
    <n v="34.879999999999995"/>
  </r>
  <r>
    <x v="2"/>
    <x v="1"/>
    <x v="0"/>
    <s v="2696200"/>
    <n v="450040"/>
    <s v="Contr Allow--Phys Svcs--BCBS Comm Ins"/>
    <s v="Neurology Assoc-Highline"/>
    <x v="0"/>
    <n v="1301"/>
    <n v="4640.3"/>
    <n v="6129.93"/>
    <n v="3460.25"/>
    <n v="3307.49"/>
    <n v="2961.62"/>
    <n v="3768.94"/>
    <n v="1310.83"/>
    <n v="1352.4"/>
    <n v="2024.45"/>
    <n v="1633.71"/>
    <n v="2235.4499999999998"/>
    <n v="2240.42"/>
    <n v="35065.79"/>
    <n v="-4.9700000000002547"/>
  </r>
  <r>
    <x v="2"/>
    <x v="1"/>
    <x v="0"/>
    <s v="2696200"/>
    <n v="450040"/>
    <s v="Contr Allow--Phys Svcs--Managed Care"/>
    <s v="Neurology Assoc-Highline"/>
    <x v="0"/>
    <n v="1400"/>
    <n v="6859.83"/>
    <n v="8745.7900000000009"/>
    <n v="17463.810000000001"/>
    <n v="9327.49"/>
    <n v="14611.27"/>
    <n v="10422.64"/>
    <n v="13685.24"/>
    <n v="6536.04"/>
    <n v="7631.79"/>
    <n v="7148.68"/>
    <n v="6063.04"/>
    <n v="5509.97"/>
    <n v="114005.58999999998"/>
    <n v="553.06999999999971"/>
  </r>
  <r>
    <x v="2"/>
    <x v="1"/>
    <x v="0"/>
    <s v="2696200"/>
    <n v="450040"/>
    <s v="Contr Allow--Phys Svcs--BCBS Mgnd Care"/>
    <s v="Neurology Assoc-Highline"/>
    <x v="0"/>
    <n v="1401"/>
    <n v="-8950.67"/>
    <n v="17099.48"/>
    <n v="16559.13"/>
    <n v="8222.7099999999991"/>
    <n v="-347.94"/>
    <n v="11126.1"/>
    <n v="11521.54"/>
    <n v="2253.5"/>
    <n v="10785.44"/>
    <n v="6483.57"/>
    <n v="15817.47"/>
    <n v="-66922.55"/>
    <n v="23647.780000000013"/>
    <n v="82740.02"/>
  </r>
  <r>
    <x v="2"/>
    <x v="1"/>
    <x v="0"/>
    <s v="2696200"/>
    <n v="450040"/>
    <s v="Prompt Pay Disc-Phys Svcs-Self Pay"/>
    <s v="Neurology Assoc-Highline"/>
    <x v="0"/>
    <n v="1500"/>
    <n v="0"/>
    <n v="0"/>
    <n v="0"/>
    <n v="0"/>
    <n v="0"/>
    <n v="177.67"/>
    <n v="0"/>
    <n v="0"/>
    <n v="0"/>
    <n v="0"/>
    <n v="0"/>
    <n v="0"/>
    <n v="177.67"/>
    <n v="0"/>
  </r>
  <r>
    <x v="2"/>
    <x v="1"/>
    <x v="0"/>
    <s v="2696200"/>
    <n v="450040"/>
    <s v="Admin Adjust-Phys Svcs-Self Pay"/>
    <s v="Neurology Assoc-Highline"/>
    <x v="0"/>
    <n v="1600"/>
    <n v="732.19"/>
    <n v="432.44"/>
    <n v="100.08"/>
    <n v="49.51"/>
    <n v="915.69"/>
    <n v="452.59"/>
    <n v="81.06"/>
    <n v="1087.8800000000001"/>
    <n v="-13.95"/>
    <n v="2998.31"/>
    <n v="-150.59"/>
    <n v="131217.76"/>
    <n v="137902.97"/>
    <n v="-131368.35"/>
  </r>
  <r>
    <x v="2"/>
    <x v="1"/>
    <x v="0"/>
    <s v="2696200"/>
    <n v="450040"/>
    <s v="Contr Allow--Phys Svcs--Other"/>
    <s v="Neurology Assoc-Highline"/>
    <x v="0"/>
    <n v="1700"/>
    <n v="580.38"/>
    <n v="0"/>
    <n v="1041.45"/>
    <n v="364.1"/>
    <n v="1499.5"/>
    <n v="3618.21"/>
    <n v="1767.56"/>
    <n v="733.98"/>
    <n v="834.71"/>
    <n v="3100.99"/>
    <n v="1230.43"/>
    <n v="1449.97"/>
    <n v="16221.279999999999"/>
    <n v="-219.53999999999996"/>
  </r>
  <r>
    <x v="3"/>
    <x v="1"/>
    <x v="0"/>
    <s v="2696200"/>
    <n v="470040"/>
    <s v="Charity Care-Physician Svcs"/>
    <s v="Neurology Assoc-Highline"/>
    <x v="0"/>
    <m/>
    <n v="-417.78"/>
    <n v="1008.16"/>
    <n v="866.54"/>
    <n v="525.63"/>
    <n v="158.99"/>
    <n v="806.79"/>
    <n v="262.18"/>
    <n v="-137.16999999999999"/>
    <n v="1311.02"/>
    <n v="1006.59"/>
    <n v="623.6"/>
    <n v="-591.64"/>
    <n v="5422.91"/>
    <n v="1215.24"/>
  </r>
  <r>
    <x v="4"/>
    <x v="1"/>
    <x v="0"/>
    <s v="2696200"/>
    <n v="490010"/>
    <s v="Provision for Bad Debts"/>
    <s v="Neurology Assoc-Highline"/>
    <x v="0"/>
    <m/>
    <n v="-895.7"/>
    <n v="2148.2800000000002"/>
    <n v="2322.4"/>
    <n v="909.35"/>
    <n v="3196.29"/>
    <n v="2014.55"/>
    <n v="-74.02"/>
    <n v="1707.63"/>
    <n v="3927.75"/>
    <n v="1467.01"/>
    <n v="3218.64"/>
    <n v="-5095.88"/>
    <n v="14846.299999999996"/>
    <n v="8314.52"/>
  </r>
  <r>
    <x v="5"/>
    <x v="1"/>
    <x v="0"/>
    <s v="2696200"/>
    <n v="700022"/>
    <s v="Salaries-Physician-Productive"/>
    <s v="Neurology Assoc-Highline"/>
    <x v="0"/>
    <m/>
    <n v="22000"/>
    <n v="23000"/>
    <n v="20000"/>
    <n v="23000"/>
    <n v="24118.400000000001"/>
    <n v="162839.72"/>
    <n v="29916.42"/>
    <n v="23110.76"/>
    <n v="24266.31"/>
    <n v="25421.83"/>
    <n v="26577.38"/>
    <n v="23060.85"/>
    <n v="427311.67"/>
    <n v="3516.5300000000025"/>
  </r>
  <r>
    <x v="5"/>
    <x v="1"/>
    <x v="0"/>
    <s v="2696200"/>
    <n v="700022"/>
    <s v="Salaries-Physician-Provider Incentive"/>
    <s v="Neurology Assoc-Highline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2696200"/>
    <n v="700026"/>
    <s v="Salaries-RN-Productive"/>
    <s v="Neurology Assoc-Highline"/>
    <x v="0"/>
    <m/>
    <n v="923.9"/>
    <n v="2020.85"/>
    <n v="-382.46"/>
    <n v="327"/>
    <n v="284.06"/>
    <n v="0"/>
    <n v="0"/>
    <n v="0"/>
    <n v="8312.18"/>
    <n v="7334.96"/>
    <n v="6140.62"/>
    <n v="6545.81"/>
    <n v="31506.920000000002"/>
    <n v="-405.19000000000051"/>
  </r>
  <r>
    <x v="5"/>
    <x v="1"/>
    <x v="0"/>
    <s v="2696200"/>
    <n v="700026"/>
    <s v="Salaries-RN-OT"/>
    <s v="Neurology Assoc-Highline"/>
    <x v="0"/>
    <n v="1000"/>
    <n v="13.8"/>
    <n v="-2.2999999999999998"/>
    <n v="0"/>
    <n v="0"/>
    <n v="0"/>
    <n v="0"/>
    <n v="0"/>
    <n v="0"/>
    <n v="1973.59"/>
    <n v="1198.53"/>
    <n v="2063.5"/>
    <n v="1558.56"/>
    <n v="6805.68"/>
    <n v="504.94000000000005"/>
  </r>
  <r>
    <x v="5"/>
    <x v="1"/>
    <x v="0"/>
    <s v="2696200"/>
    <n v="700026"/>
    <s v="Salaries-RN-Other"/>
    <s v="Neurology Assoc-Highline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1"/>
    <x v="0"/>
    <s v="2696200"/>
    <n v="700030"/>
    <s v="Salaries-LPN-Productive"/>
    <s v="Neurology Assoc-Highline"/>
    <x v="0"/>
    <m/>
    <n v="295.72000000000003"/>
    <n v="-49.28"/>
    <n v="0"/>
    <n v="0"/>
    <n v="0"/>
    <n v="0"/>
    <n v="0"/>
    <n v="0"/>
    <n v="0"/>
    <n v="0"/>
    <n v="0"/>
    <n v="0"/>
    <n v="246.44000000000003"/>
    <n v="0"/>
  </r>
  <r>
    <x v="5"/>
    <x v="1"/>
    <x v="0"/>
    <s v="2696200"/>
    <n v="700032"/>
    <s v="Salaries-Other Pat Care Providers-Productive"/>
    <s v="Neurology Assoc-Highline"/>
    <x v="0"/>
    <m/>
    <n v="196.9"/>
    <n v="1329.11"/>
    <n v="-250.31"/>
    <n v="1944.98"/>
    <n v="1651.87"/>
    <n v="309.43"/>
    <n v="1820.98"/>
    <n v="-147.94999999999999"/>
    <n v="0"/>
    <n v="0"/>
    <n v="757.8"/>
    <n v="-190.74"/>
    <n v="7422.0700000000015"/>
    <n v="948.54"/>
  </r>
  <r>
    <x v="5"/>
    <x v="1"/>
    <x v="0"/>
    <s v="2696200"/>
    <n v="700032"/>
    <s v="Salaries-Other Pat Care Providers-OT"/>
    <s v="Neurology Assoc-Highline"/>
    <x v="0"/>
    <n v="1000"/>
    <n v="0"/>
    <n v="0"/>
    <n v="296.44"/>
    <n v="-32.93"/>
    <n v="-29.28"/>
    <n v="357.45"/>
    <n v="81.86"/>
    <n v="0"/>
    <n v="0"/>
    <n v="0"/>
    <n v="0"/>
    <n v="0"/>
    <n v="673.54"/>
    <n v="0"/>
  </r>
  <r>
    <x v="5"/>
    <x v="1"/>
    <x v="0"/>
    <s v="2696200"/>
    <n v="700038"/>
    <s v="Salaries-Service/Support-Productive"/>
    <s v="Neurology Assoc-Highline"/>
    <x v="0"/>
    <m/>
    <n v="3134.15"/>
    <n v="2554.5500000000002"/>
    <n v="3126.79"/>
    <n v="3764.44"/>
    <n v="3211.74"/>
    <n v="2934.38"/>
    <n v="5102.62"/>
    <n v="876.39"/>
    <n v="3426.07"/>
    <n v="3211.82"/>
    <n v="2817.74"/>
    <n v="840.5"/>
    <n v="35001.19"/>
    <n v="1977.2399999999998"/>
  </r>
  <r>
    <x v="5"/>
    <x v="1"/>
    <x v="0"/>
    <s v="2696200"/>
    <n v="700038"/>
    <s v="Salaries-Service/Support-OT"/>
    <s v="Neurology Assoc-Highline"/>
    <x v="0"/>
    <n v="1000"/>
    <n v="14.97"/>
    <n v="11.59"/>
    <n v="-3.86"/>
    <n v="41.47"/>
    <n v="-10.75"/>
    <n v="30.72"/>
    <n v="76.86"/>
    <n v="-30.73"/>
    <n v="61.51"/>
    <n v="-15.37"/>
    <n v="0"/>
    <n v="15.38"/>
    <n v="191.79"/>
    <n v="-15.38"/>
  </r>
  <r>
    <x v="5"/>
    <x v="1"/>
    <x v="0"/>
    <s v="2696200"/>
    <n v="700038"/>
    <s v="Salaries-Service/Support-Other"/>
    <s v="Neurology Assoc-Highline"/>
    <x v="0"/>
    <n v="2000"/>
    <n v="0"/>
    <n v="30"/>
    <n v="0"/>
    <n v="0"/>
    <n v="0"/>
    <n v="0"/>
    <n v="0"/>
    <n v="0"/>
    <n v="0"/>
    <n v="0"/>
    <n v="0"/>
    <n v="0"/>
    <n v="30"/>
    <n v="0"/>
  </r>
  <r>
    <x v="5"/>
    <x v="1"/>
    <x v="0"/>
    <s v="2696200"/>
    <n v="700062"/>
    <s v="Salaries-Physician-Non-productive"/>
    <s v="Neurology Assoc-Highline"/>
    <x v="0"/>
    <m/>
    <n v="652.07000000000005"/>
    <n v="649.80999999999995"/>
    <n v="646.83000000000004"/>
    <n v="646.83000000000004"/>
    <n v="642.46"/>
    <n v="640.79"/>
    <n v="1749.35"/>
    <n v="635.17999999999995"/>
    <n v="-1640.32"/>
    <n v="0"/>
    <n v="0"/>
    <n v="0"/>
    <n v="4623"/>
    <n v="0"/>
  </r>
  <r>
    <x v="5"/>
    <x v="1"/>
    <x v="0"/>
    <s v="2696200"/>
    <n v="700066"/>
    <s v="Salaries-RN-Non-productive"/>
    <s v="Neurology Assoc-Highline"/>
    <x v="0"/>
    <m/>
    <n v="0"/>
    <n v="0"/>
    <n v="0"/>
    <n v="0"/>
    <n v="0"/>
    <n v="0"/>
    <n v="0"/>
    <n v="0"/>
    <n v="0"/>
    <n v="0"/>
    <n v="0"/>
    <n v="103.9"/>
    <n v="103.9"/>
    <n v="-103.9"/>
  </r>
  <r>
    <x v="5"/>
    <x v="1"/>
    <x v="0"/>
    <s v="2696200"/>
    <n v="700066"/>
    <s v="Salaries-RN-NonProd-Other"/>
    <s v="Neurology Assoc-Highlin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2696200"/>
    <n v="700078"/>
    <s v="Salaries-Service/Support-Non-productive"/>
    <s v="Neurology Assoc-Highline"/>
    <x v="0"/>
    <m/>
    <n v="367.08"/>
    <n v="800"/>
    <n v="0"/>
    <n v="0"/>
    <n v="0"/>
    <n v="693.93"/>
    <n v="958.45"/>
    <n v="-19.489999999999998"/>
    <n v="24.09"/>
    <n v="127.63"/>
    <n v="74.83"/>
    <n v="789.26"/>
    <n v="3815.7800000000007"/>
    <n v="-714.43"/>
  </r>
  <r>
    <x v="5"/>
    <x v="1"/>
    <x v="0"/>
    <s v="2696200"/>
    <n v="700078"/>
    <s v="Salaries-Service/Support-NonProd-Other"/>
    <s v="Neurology Assoc-Highline"/>
    <x v="0"/>
    <n v="2000"/>
    <n v="9.98"/>
    <n v="0"/>
    <n v="15.28"/>
    <n v="13.34"/>
    <n v="-8.19"/>
    <n v="0"/>
    <n v="0"/>
    <n v="0"/>
    <n v="0"/>
    <n v="0"/>
    <n v="0"/>
    <n v="0"/>
    <n v="30.409999999999997"/>
    <n v="0"/>
  </r>
  <r>
    <x v="5"/>
    <x v="1"/>
    <x v="0"/>
    <s v="2696200"/>
    <n v="700084"/>
    <s v="Accrued PTO"/>
    <s v="Neurology Assoc-Highline"/>
    <x v="0"/>
    <m/>
    <n v="-40.22"/>
    <n v="135.66"/>
    <n v="297.2"/>
    <n v="304.06"/>
    <n v="283.3"/>
    <n v="-204.7"/>
    <n v="-341.64"/>
    <n v="34.39"/>
    <n v="947.25"/>
    <n v="810.87"/>
    <n v="758.38"/>
    <n v="985.21"/>
    <n v="3969.76"/>
    <n v="-226.83000000000004"/>
  </r>
  <r>
    <x v="10"/>
    <x v="1"/>
    <x v="0"/>
    <s v="2696200"/>
    <n v="710060"/>
    <s v="Contract Labor-Other"/>
    <s v="Neurology Assoc-Highline"/>
    <x v="0"/>
    <m/>
    <n v="0"/>
    <n v="0"/>
    <n v="10701"/>
    <n v="4922.75"/>
    <n v="15957.25"/>
    <n v="6278.5"/>
    <n v="10686.5"/>
    <n v="3958.5"/>
    <n v="8656.5"/>
    <n v="0"/>
    <n v="0"/>
    <n v="0"/>
    <n v="61161"/>
    <n v="0"/>
  </r>
  <r>
    <x v="10"/>
    <x v="1"/>
    <x v="0"/>
    <s v="2696200"/>
    <n v="710060"/>
    <s v="Contract Labor-Overtime"/>
    <s v="Neurology Assoc-Highline"/>
    <x v="0"/>
    <n v="5100"/>
    <n v="0"/>
    <n v="0"/>
    <n v="87"/>
    <n v="5075"/>
    <n v="-3269.75"/>
    <n v="1000.5"/>
    <n v="1761.75"/>
    <n v="848.25"/>
    <n v="1392"/>
    <n v="0"/>
    <n v="0"/>
    <n v="0"/>
    <n v="6894.75"/>
    <n v="0"/>
  </r>
  <r>
    <x v="6"/>
    <x v="1"/>
    <x v="0"/>
    <s v="2696200"/>
    <n v="713010"/>
    <s v="Benefits-FICA/Medicare"/>
    <s v="Neurology Assoc-Highline"/>
    <x v="0"/>
    <m/>
    <n v="691.74"/>
    <n v="853.29"/>
    <n v="508.94"/>
    <n v="773.88"/>
    <n v="719.78"/>
    <n v="3668.82"/>
    <n v="2986.42"/>
    <n v="1822.94"/>
    <n v="2896.66"/>
    <n v="2818.21"/>
    <n v="2904.67"/>
    <n v="652.28"/>
    <n v="21297.629999999997"/>
    <n v="2252.3900000000003"/>
  </r>
  <r>
    <x v="6"/>
    <x v="1"/>
    <x v="0"/>
    <s v="2696200"/>
    <n v="713090"/>
    <s v="Benefits-Allocated Amounts"/>
    <s v="Neurology Assoc-Highline"/>
    <x v="0"/>
    <m/>
    <n v="0"/>
    <n v="0"/>
    <n v="0"/>
    <n v="0"/>
    <n v="0"/>
    <n v="0"/>
    <n v="0"/>
    <n v="0"/>
    <n v="17781.099999999999"/>
    <n v="1908.4"/>
    <n v="1805.84"/>
    <n v="1811.66"/>
    <n v="23307"/>
    <n v="-5.8200000000001637"/>
  </r>
  <r>
    <x v="6"/>
    <x v="1"/>
    <x v="0"/>
    <s v="2696200"/>
    <n v="713092"/>
    <s v="Allocated Benefits-Physician"/>
    <s v="Neurology Assoc-Highline"/>
    <x v="0"/>
    <m/>
    <n v="3213.77"/>
    <n v="3321.43"/>
    <n v="2740.32"/>
    <n v="3219.44"/>
    <n v="3428.66"/>
    <n v="13535.89"/>
    <n v="5317.21"/>
    <n v="3241.16"/>
    <n v="-12493.24"/>
    <n v="2739.48"/>
    <n v="2592.2800000000002"/>
    <n v="2600.63"/>
    <n v="33457.030000000006"/>
    <n v="-8.3499999999999091"/>
  </r>
  <r>
    <x v="11"/>
    <x v="1"/>
    <x v="0"/>
    <s v="2696200"/>
    <n v="721010"/>
    <s v="Supplies-Medical - Billable"/>
    <s v="Neurology Assoc-Highline"/>
    <x v="0"/>
    <m/>
    <n v="0"/>
    <n v="0"/>
    <n v="0"/>
    <n v="0"/>
    <n v="0"/>
    <n v="9.77"/>
    <n v="0"/>
    <n v="10"/>
    <n v="0"/>
    <n v="15"/>
    <n v="0"/>
    <n v="5"/>
    <n v="39.769999999999996"/>
    <n v="-5"/>
  </r>
  <r>
    <x v="11"/>
    <x v="1"/>
    <x v="0"/>
    <s v="2696200"/>
    <n v="721250"/>
    <s v="Supplies-Pharmacy Drugs - Billable"/>
    <s v="Neurology Assoc-Highline"/>
    <x v="0"/>
    <m/>
    <n v="0"/>
    <n v="0"/>
    <n v="0"/>
    <n v="0"/>
    <n v="4822.8500000000004"/>
    <n v="4862.47"/>
    <n v="0"/>
    <n v="0"/>
    <n v="0"/>
    <n v="4808"/>
    <n v="0"/>
    <n v="0"/>
    <n v="14493.32"/>
    <n v="0"/>
  </r>
  <r>
    <x v="11"/>
    <x v="1"/>
    <x v="0"/>
    <s v="2696200"/>
    <n v="721410"/>
    <s v="Supplies-Medical - Nonbillable"/>
    <s v="Neurology Assoc-Highline"/>
    <x v="0"/>
    <m/>
    <n v="0"/>
    <n v="0"/>
    <n v="403.04"/>
    <n v="1723.28"/>
    <n v="773.08"/>
    <n v="1964.01"/>
    <n v="0"/>
    <n v="1229.53"/>
    <n v="-4.04"/>
    <n v="0"/>
    <n v="372.7"/>
    <n v="976.35"/>
    <n v="7437.95"/>
    <n v="-603.65000000000009"/>
  </r>
  <r>
    <x v="11"/>
    <x v="1"/>
    <x v="0"/>
    <s v="2696200"/>
    <n v="722000"/>
    <s v="Supplies-Freight Expense"/>
    <s v="Neurology Assoc-Highline"/>
    <x v="0"/>
    <m/>
    <n v="0"/>
    <n v="0"/>
    <n v="0"/>
    <n v="0"/>
    <n v="0"/>
    <n v="0"/>
    <n v="0"/>
    <n v="0"/>
    <n v="30"/>
    <n v="0"/>
    <n v="0"/>
    <n v="60"/>
    <n v="90"/>
    <n v="-60"/>
  </r>
  <r>
    <x v="8"/>
    <x v="1"/>
    <x v="0"/>
    <s v="2696200"/>
    <n v="741012"/>
    <s v="Physician Liab Insurance-CHI Program"/>
    <s v="Neurology Assoc-Highline"/>
    <x v="0"/>
    <m/>
    <n v="426.3"/>
    <n v="426.3"/>
    <n v="426.3"/>
    <n v="426.3"/>
    <n v="426.3"/>
    <n v="426.3"/>
    <n v="531.28"/>
    <n v="454.2"/>
    <n v="454.2"/>
    <n v="454.2"/>
    <n v="454.21"/>
    <n v="454.2"/>
    <n v="5360.0899999999992"/>
    <n v="9.9999999999909051E-3"/>
  </r>
  <r>
    <x v="0"/>
    <x v="1"/>
    <x v="0"/>
    <s v="2696200"/>
    <n v="743022"/>
    <s v="Dues-Physician"/>
    <s v="Neurology Assoc-Highline"/>
    <x v="0"/>
    <m/>
    <n v="0"/>
    <n v="0"/>
    <n v="0"/>
    <n v="0"/>
    <n v="0"/>
    <n v="0"/>
    <n v="485"/>
    <n v="0"/>
    <n v="0"/>
    <n v="0"/>
    <n v="0"/>
    <n v="0"/>
    <n v="485"/>
    <n v="0"/>
  </r>
  <r>
    <x v="0"/>
    <x v="1"/>
    <x v="0"/>
    <s v="2696200"/>
    <n v="749510"/>
    <s v="Miscellaneous Expenses"/>
    <s v="Neurology Assoc-Highline"/>
    <x v="0"/>
    <m/>
    <n v="0"/>
    <n v="0"/>
    <n v="0"/>
    <n v="0"/>
    <n v="0"/>
    <n v="0"/>
    <n v="0"/>
    <n v="0"/>
    <n v="0"/>
    <n v="21.46"/>
    <n v="-21.46"/>
    <n v="2983.67"/>
    <n v="2983.67"/>
    <n v="-3005.13"/>
  </r>
  <r>
    <x v="0"/>
    <x v="1"/>
    <x v="0"/>
    <s v="2696200"/>
    <n v="749512"/>
    <s v="Licenses-Physician"/>
    <s v="Neurology Assoc-Highline"/>
    <x v="0"/>
    <n v="2000"/>
    <n v="0"/>
    <n v="0"/>
    <n v="0"/>
    <n v="0"/>
    <n v="0"/>
    <n v="0"/>
    <n v="1388"/>
    <n v="0"/>
    <n v="0"/>
    <n v="0"/>
    <n v="0"/>
    <n v="0"/>
    <n v="1388"/>
    <n v="0"/>
  </r>
  <r>
    <x v="0"/>
    <x v="1"/>
    <x v="0"/>
    <s v="2696200"/>
    <n v="749530"/>
    <s v="Mileage"/>
    <s v="Neurology Assoc-Highline"/>
    <x v="0"/>
    <n v="1001"/>
    <n v="38.159999999999997"/>
    <n v="0"/>
    <n v="0"/>
    <n v="13.08"/>
    <n v="0"/>
    <n v="0"/>
    <n v="70.760000000000005"/>
    <n v="0"/>
    <n v="0"/>
    <n v="21.46"/>
    <n v="21.46"/>
    <n v="0"/>
    <n v="164.92000000000002"/>
    <n v="21.46"/>
  </r>
  <r>
    <x v="1"/>
    <x v="1"/>
    <x v="0"/>
    <s v="2697200"/>
    <n v="400029"/>
    <s v="MD Practice Other Rev--Medicare"/>
    <s v="WH-Des Moines-OB-GYN"/>
    <x v="0"/>
    <n v="1100"/>
    <n v="-44"/>
    <n v="-10"/>
    <n v="-30"/>
    <n v="-30"/>
    <n v="0"/>
    <n v="114"/>
    <n v="0"/>
    <n v="0"/>
    <n v="0"/>
    <n v="0"/>
    <n v="0"/>
    <n v="0"/>
    <n v="0"/>
    <n v="0"/>
  </r>
  <r>
    <x v="1"/>
    <x v="1"/>
    <x v="0"/>
    <s v="2697200"/>
    <n v="400029"/>
    <s v="MD Practice Other Rev--Medicaid"/>
    <s v="WH-Des Moines-OB-GYN"/>
    <x v="0"/>
    <n v="1200"/>
    <n v="-410"/>
    <n v="-688"/>
    <n v="-400"/>
    <n v="-448"/>
    <n v="-268"/>
    <n v="2214"/>
    <n v="0"/>
    <n v="0"/>
    <n v="0"/>
    <n v="0"/>
    <n v="0"/>
    <n v="0"/>
    <n v="0"/>
    <n v="0"/>
  </r>
  <r>
    <x v="1"/>
    <x v="1"/>
    <x v="0"/>
    <s v="2697200"/>
    <n v="400029"/>
    <s v="MD Practice Other Rev--Comm Insurance"/>
    <s v="WH-Des Moines-OB-GYN"/>
    <x v="0"/>
    <n v="1300"/>
    <n v="-48"/>
    <n v="-24"/>
    <n v="-24"/>
    <n v="-58"/>
    <n v="-40"/>
    <n v="194"/>
    <n v="0"/>
    <n v="0"/>
    <n v="0"/>
    <n v="0"/>
    <n v="0"/>
    <n v="0"/>
    <n v="0"/>
    <n v="0"/>
  </r>
  <r>
    <x v="1"/>
    <x v="1"/>
    <x v="0"/>
    <s v="2697200"/>
    <n v="400029"/>
    <s v="MD Practice Other Rev--BCBS Comm"/>
    <s v="WH-Des Moines-OB-GYN"/>
    <x v="0"/>
    <n v="1301"/>
    <n v="-154"/>
    <n v="-350"/>
    <n v="-202"/>
    <n v="-72"/>
    <n v="-118"/>
    <n v="896"/>
    <n v="0"/>
    <n v="0"/>
    <n v="0"/>
    <n v="0"/>
    <n v="0"/>
    <n v="0"/>
    <n v="0"/>
    <n v="0"/>
  </r>
  <r>
    <x v="1"/>
    <x v="1"/>
    <x v="0"/>
    <s v="2697200"/>
    <n v="400029"/>
    <s v="MD Practice Other Rev--Managed Care"/>
    <s v="WH-Des Moines-OB-GYN"/>
    <x v="0"/>
    <n v="1400"/>
    <n v="-568"/>
    <n v="-702"/>
    <n v="-704"/>
    <n v="-692"/>
    <n v="-448"/>
    <n v="3114"/>
    <n v="0"/>
    <n v="0"/>
    <n v="0"/>
    <n v="0"/>
    <n v="0"/>
    <n v="0"/>
    <n v="0"/>
    <n v="0"/>
  </r>
  <r>
    <x v="1"/>
    <x v="1"/>
    <x v="0"/>
    <s v="2697200"/>
    <n v="400029"/>
    <s v="MD Practice Other Rev--Self Pay"/>
    <s v="WH-Des Moines-OB-GYN"/>
    <x v="0"/>
    <n v="1500"/>
    <n v="-74"/>
    <n v="-116"/>
    <n v="-10"/>
    <n v="-36"/>
    <n v="-8"/>
    <n v="244"/>
    <n v="0"/>
    <n v="0"/>
    <n v="0"/>
    <n v="0"/>
    <n v="0"/>
    <n v="0"/>
    <n v="0"/>
    <n v="0"/>
  </r>
  <r>
    <x v="1"/>
    <x v="1"/>
    <x v="0"/>
    <s v="2697200"/>
    <n v="400029"/>
    <s v="MD Practice Other Rev--Other"/>
    <s v="WH-Des Moines-OB-GYN"/>
    <x v="0"/>
    <n v="1700"/>
    <n v="-24"/>
    <n v="-24"/>
    <n v="0"/>
    <n v="0"/>
    <n v="0"/>
    <n v="48"/>
    <n v="0"/>
    <n v="0"/>
    <n v="0"/>
    <n v="0"/>
    <n v="0"/>
    <n v="0"/>
    <n v="0"/>
    <n v="0"/>
  </r>
  <r>
    <x v="1"/>
    <x v="1"/>
    <x v="0"/>
    <s v="2697200"/>
    <n v="400040"/>
    <s v="Physician Svcs Rev--Medicare"/>
    <s v="WH-Des Moines-OB-GYN"/>
    <x v="0"/>
    <n v="1100"/>
    <n v="-5180"/>
    <n v="-4741"/>
    <n v="-8602"/>
    <n v="-7634"/>
    <n v="-6283"/>
    <n v="32440"/>
    <n v="0"/>
    <n v="0"/>
    <n v="0"/>
    <n v="0"/>
    <n v="0"/>
    <n v="0"/>
    <n v="0"/>
    <n v="0"/>
  </r>
  <r>
    <x v="1"/>
    <x v="1"/>
    <x v="0"/>
    <s v="2697200"/>
    <n v="400040"/>
    <s v="Physician Svcs Rev--Medicaid"/>
    <s v="WH-Des Moines-OB-GYN"/>
    <x v="0"/>
    <n v="1200"/>
    <n v="-34042"/>
    <n v="-21017.96"/>
    <n v="-21331.13"/>
    <n v="-21310.01"/>
    <n v="-21006.13"/>
    <n v="118707.23"/>
    <n v="0"/>
    <n v="0"/>
    <n v="0"/>
    <n v="0"/>
    <n v="0"/>
    <n v="0"/>
    <n v="0"/>
    <n v="0"/>
  </r>
  <r>
    <x v="1"/>
    <x v="1"/>
    <x v="0"/>
    <s v="2697200"/>
    <n v="400040"/>
    <s v="Physician Svcs Rev--Comm Insurance"/>
    <s v="WH-Des Moines-OB-GYN"/>
    <x v="0"/>
    <n v="1300"/>
    <n v="-1559"/>
    <n v="-2156"/>
    <n v="-1590"/>
    <n v="-4861"/>
    <n v="-3436"/>
    <n v="13602"/>
    <n v="0"/>
    <n v="0"/>
    <n v="0"/>
    <n v="0"/>
    <n v="0"/>
    <n v="0"/>
    <n v="0"/>
    <n v="0"/>
  </r>
  <r>
    <x v="1"/>
    <x v="1"/>
    <x v="0"/>
    <s v="2697200"/>
    <n v="400040"/>
    <s v="Physician Svcs Rev--BCBS Comm"/>
    <s v="WH-Des Moines-OB-GYN"/>
    <x v="0"/>
    <n v="1301"/>
    <n v="1881"/>
    <n v="-24217"/>
    <n v="-18127.5"/>
    <n v="-21101"/>
    <n v="-8119"/>
    <n v="69683.5"/>
    <n v="0"/>
    <n v="0"/>
    <n v="0"/>
    <n v="0"/>
    <n v="0"/>
    <n v="0"/>
    <n v="0"/>
    <n v="0"/>
  </r>
  <r>
    <x v="1"/>
    <x v="1"/>
    <x v="0"/>
    <s v="2697200"/>
    <n v="400040"/>
    <s v="Physician Svcs Rev--Managed Care"/>
    <s v="WH-Des Moines-OB-GYN"/>
    <x v="0"/>
    <n v="1400"/>
    <n v="-17531"/>
    <n v="-38912"/>
    <n v="-50032.5"/>
    <n v="-59386.7"/>
    <n v="-43010"/>
    <n v="208872.2"/>
    <n v="0"/>
    <n v="0"/>
    <n v="0"/>
    <n v="0"/>
    <n v="0"/>
    <n v="0"/>
    <n v="0"/>
    <n v="0"/>
  </r>
  <r>
    <x v="1"/>
    <x v="1"/>
    <x v="0"/>
    <s v="2697200"/>
    <n v="400040"/>
    <s v="Physician Svcs Rev--Self Pay"/>
    <s v="WH-Des Moines-OB-GYN"/>
    <x v="0"/>
    <n v="1500"/>
    <n v="-1491"/>
    <n v="-4664"/>
    <n v="-1373"/>
    <n v="-747"/>
    <n v="-1960"/>
    <n v="10235"/>
    <n v="0"/>
    <n v="0"/>
    <n v="0"/>
    <n v="0"/>
    <n v="0"/>
    <n v="0"/>
    <n v="0"/>
    <n v="0"/>
  </r>
  <r>
    <x v="1"/>
    <x v="1"/>
    <x v="0"/>
    <s v="2697200"/>
    <n v="400040"/>
    <s v="Physician Svcs Rev--Other"/>
    <s v="WH-Des Moines-OB-GYN"/>
    <x v="0"/>
    <n v="1700"/>
    <n v="-2831"/>
    <n v="-811"/>
    <n v="-268"/>
    <n v="-3372"/>
    <n v="-2687"/>
    <n v="9969"/>
    <n v="0"/>
    <n v="0"/>
    <n v="0"/>
    <n v="0"/>
    <n v="0"/>
    <n v="0"/>
    <n v="0"/>
    <n v="0"/>
  </r>
  <r>
    <x v="2"/>
    <x v="1"/>
    <x v="0"/>
    <s v="2697200"/>
    <n v="450029"/>
    <s v="Contr Allow--MD Other-Medicare"/>
    <s v="WH-Des Moines-OB-GYN"/>
    <x v="0"/>
    <n v="1100"/>
    <n v="6.59"/>
    <n v="28.74"/>
    <n v="14.54"/>
    <n v="6.59"/>
    <n v="28.77"/>
    <n v="-85.23"/>
    <n v="0"/>
    <n v="0"/>
    <n v="0"/>
    <n v="0"/>
    <n v="0"/>
    <n v="0"/>
    <n v="-1.4210854715202004E-14"/>
    <n v="0"/>
  </r>
  <r>
    <x v="2"/>
    <x v="1"/>
    <x v="0"/>
    <s v="2697200"/>
    <n v="450029"/>
    <s v="Contr Allow--MD Other-Medicaid"/>
    <s v="WH-Des Moines-OB-GYN"/>
    <x v="0"/>
    <n v="1200"/>
    <n v="218.41"/>
    <n v="431.61"/>
    <n v="342.91"/>
    <n v="327.71"/>
    <n v="210.86"/>
    <n v="-1531.5"/>
    <n v="0"/>
    <n v="0"/>
    <n v="0"/>
    <n v="0"/>
    <n v="0"/>
    <n v="0"/>
    <n v="0"/>
    <n v="0"/>
  </r>
  <r>
    <x v="2"/>
    <x v="1"/>
    <x v="0"/>
    <s v="2697200"/>
    <n v="450029"/>
    <s v="Contr Allow--MD Other-Comm Insurance"/>
    <s v="WH-Des Moines-OB-GYN"/>
    <x v="0"/>
    <n v="1300"/>
    <n v="21.48"/>
    <n v="0"/>
    <n v="18.45"/>
    <n v="30.91"/>
    <n v="26.95"/>
    <n v="-97.79"/>
    <n v="0"/>
    <n v="0"/>
    <n v="0"/>
    <n v="0"/>
    <n v="0"/>
    <n v="0"/>
    <n v="0"/>
    <n v="0"/>
  </r>
  <r>
    <x v="2"/>
    <x v="1"/>
    <x v="0"/>
    <s v="2697200"/>
    <n v="450029"/>
    <s v="Contr Allow--MD Other BCBS Comm"/>
    <s v="WH-Des Moines-OB-GYN"/>
    <x v="0"/>
    <n v="1301"/>
    <n v="119.46"/>
    <n v="299.74"/>
    <n v="148.44999999999999"/>
    <n v="100.65"/>
    <n v="69.56"/>
    <n v="-737.86"/>
    <n v="0"/>
    <n v="0"/>
    <n v="0"/>
    <n v="0"/>
    <n v="0"/>
    <n v="0"/>
    <n v="-1.1368683772161603E-13"/>
    <n v="0"/>
  </r>
  <r>
    <x v="2"/>
    <x v="1"/>
    <x v="0"/>
    <s v="2697200"/>
    <n v="450029"/>
    <s v="Contr Allow--MD Other-Managed Care"/>
    <s v="WH-Des Moines-OB-GYN"/>
    <x v="0"/>
    <n v="1400"/>
    <n v="355.67"/>
    <n v="549.16"/>
    <n v="334.61"/>
    <n v="503.9"/>
    <n v="283.48"/>
    <n v="-2026.82"/>
    <n v="0"/>
    <n v="0"/>
    <n v="0"/>
    <n v="0"/>
    <n v="0"/>
    <n v="0"/>
    <n v="2.2737367544323206E-13"/>
    <n v="0"/>
  </r>
  <r>
    <x v="2"/>
    <x v="1"/>
    <x v="0"/>
    <s v="2697200"/>
    <n v="450029"/>
    <s v="Admin Adjust-MD Other-Self Pay"/>
    <s v="WH-Des Moines-OB-GYN"/>
    <x v="0"/>
    <n v="1600"/>
    <n v="68.06"/>
    <n v="104.05"/>
    <n v="23.49"/>
    <n v="43.04"/>
    <n v="1.86"/>
    <n v="-240.5"/>
    <n v="0"/>
    <n v="0"/>
    <n v="0"/>
    <n v="0"/>
    <n v="0"/>
    <n v="0"/>
    <n v="2.8421709430404007E-14"/>
    <n v="0"/>
  </r>
  <r>
    <x v="2"/>
    <x v="1"/>
    <x v="0"/>
    <s v="2697200"/>
    <n v="450029"/>
    <s v="Contr Allow--MD Other-Other"/>
    <s v="WH-Des Moines-OB-GYN"/>
    <x v="0"/>
    <n v="1700"/>
    <n v="0"/>
    <n v="34.1"/>
    <n v="0"/>
    <n v="0"/>
    <n v="0"/>
    <n v="-34.1"/>
    <n v="0"/>
    <n v="0"/>
    <n v="0"/>
    <n v="0"/>
    <n v="0"/>
    <n v="0"/>
    <n v="0"/>
    <n v="0"/>
  </r>
  <r>
    <x v="2"/>
    <x v="1"/>
    <x v="0"/>
    <s v="2697200"/>
    <n v="450040"/>
    <s v="Contr Allow--Phys Svcs--Mcare"/>
    <s v="WH-Des Moines-OB-GYN"/>
    <x v="0"/>
    <n v="1100"/>
    <n v="2993.86"/>
    <n v="4429.8100000000004"/>
    <n v="4929.47"/>
    <n v="3965.4"/>
    <n v="5047.78"/>
    <n v="-21366.32"/>
    <n v="0"/>
    <n v="0"/>
    <n v="0"/>
    <n v="0"/>
    <n v="0"/>
    <n v="0"/>
    <n v="0"/>
    <n v="0"/>
  </r>
  <r>
    <x v="2"/>
    <x v="1"/>
    <x v="0"/>
    <s v="2697200"/>
    <n v="450040"/>
    <s v="Contr Allow--Phys Svcs--Mcaid"/>
    <s v="WH-Des Moines-OB-GYN"/>
    <x v="0"/>
    <n v="1200"/>
    <n v="11363.47"/>
    <n v="19862.91"/>
    <n v="18463.669999999998"/>
    <n v="17042.96"/>
    <n v="13607"/>
    <n v="-80340.009999999995"/>
    <n v="0"/>
    <n v="0"/>
    <n v="0"/>
    <n v="0"/>
    <n v="0"/>
    <n v="0"/>
    <n v="0"/>
    <n v="0"/>
  </r>
  <r>
    <x v="2"/>
    <x v="1"/>
    <x v="0"/>
    <s v="2697200"/>
    <n v="450040"/>
    <s v="Contr Allow--Phys Svcs--Comm Insurance"/>
    <s v="WH-Des Moines-OB-GYN"/>
    <x v="0"/>
    <n v="1300"/>
    <n v="488.72"/>
    <n v="321.73"/>
    <n v="234.42"/>
    <n v="609.48"/>
    <n v="1657.24"/>
    <n v="-3311.59"/>
    <n v="0"/>
    <n v="0"/>
    <n v="0"/>
    <n v="0"/>
    <n v="0"/>
    <n v="0"/>
    <n v="0"/>
    <n v="0"/>
  </r>
  <r>
    <x v="2"/>
    <x v="1"/>
    <x v="0"/>
    <s v="2697200"/>
    <n v="450040"/>
    <s v="Contr Allow--Phys Svcs--BCBS Comm Ins"/>
    <s v="WH-Des Moines-OB-GYN"/>
    <x v="0"/>
    <n v="1301"/>
    <n v="11640.4"/>
    <n v="12326.8"/>
    <n v="1874.75"/>
    <n v="6185.39"/>
    <n v="3416.02"/>
    <n v="-35443.360000000001"/>
    <n v="0"/>
    <n v="0"/>
    <n v="0"/>
    <n v="0"/>
    <n v="0"/>
    <n v="0"/>
    <n v="-7.2759576141834259E-12"/>
    <n v="0"/>
  </r>
  <r>
    <x v="2"/>
    <x v="1"/>
    <x v="0"/>
    <s v="2697200"/>
    <n v="450040"/>
    <s v="Contr Allow--Phys Svcs--Managed Care"/>
    <s v="WH-Des Moines-OB-GYN"/>
    <x v="0"/>
    <n v="1400"/>
    <n v="16375.54"/>
    <n v="26205.02"/>
    <n v="15823.49"/>
    <n v="17846.330000000002"/>
    <n v="16176.09"/>
    <n v="-92426.47"/>
    <n v="0"/>
    <n v="0"/>
    <n v="0"/>
    <n v="0"/>
    <n v="0"/>
    <n v="0"/>
    <n v="0"/>
    <n v="0"/>
  </r>
  <r>
    <x v="2"/>
    <x v="1"/>
    <x v="0"/>
    <s v="2697200"/>
    <n v="450040"/>
    <s v="Contr Allow--Phys Svcs--BCBS Mgnd Care"/>
    <s v="WH-Des Moines-OB-GYN"/>
    <x v="0"/>
    <n v="1401"/>
    <n v="-23232.35"/>
    <n v="-17367.47"/>
    <n v="5015.3900000000003"/>
    <n v="7263.04"/>
    <n v="-5847.64"/>
    <n v="34169.03"/>
    <n v="0"/>
    <n v="0"/>
    <n v="0"/>
    <n v="0"/>
    <n v="0"/>
    <n v="0"/>
    <n v="0"/>
    <n v="0"/>
  </r>
  <r>
    <x v="2"/>
    <x v="1"/>
    <x v="0"/>
    <s v="2697200"/>
    <n v="450040"/>
    <s v="Admin Adjust-Phys Svcs-Self Pay"/>
    <s v="WH-Des Moines-OB-GYN"/>
    <x v="0"/>
    <n v="1600"/>
    <n v="814.92"/>
    <n v="2481.59"/>
    <n v="551.79999999999995"/>
    <n v="388.56"/>
    <n v="1217.46"/>
    <n v="-5454.33"/>
    <n v="0"/>
    <n v="0"/>
    <n v="0"/>
    <n v="0"/>
    <n v="0"/>
    <n v="0"/>
    <n v="9.0949470177292824E-13"/>
    <n v="0"/>
  </r>
  <r>
    <x v="2"/>
    <x v="1"/>
    <x v="0"/>
    <s v="2697200"/>
    <n v="450040"/>
    <s v="Contr Allow--Phys Svcs--Other"/>
    <s v="WH-Des Moines-OB-GYN"/>
    <x v="0"/>
    <n v="1700"/>
    <n v="532.6"/>
    <n v="1421.18"/>
    <n v="396.74"/>
    <n v="480.54"/>
    <n v="3127.04"/>
    <n v="-5958.1"/>
    <n v="0"/>
    <n v="0"/>
    <n v="0"/>
    <n v="0"/>
    <n v="0"/>
    <n v="0"/>
    <n v="0"/>
    <n v="0"/>
  </r>
  <r>
    <x v="3"/>
    <x v="1"/>
    <x v="0"/>
    <s v="2697200"/>
    <n v="470040"/>
    <s v="Charity Care-Physician Svcs"/>
    <s v="WH-Des Moines-OB-GYN"/>
    <x v="0"/>
    <m/>
    <n v="-746.14"/>
    <n v="655.4"/>
    <n v="493.87"/>
    <n v="261.24"/>
    <n v="99.66"/>
    <n v="-764.03"/>
    <n v="0"/>
    <n v="0"/>
    <n v="0"/>
    <n v="0"/>
    <n v="0"/>
    <n v="0"/>
    <n v="0"/>
    <n v="0"/>
  </r>
  <r>
    <x v="4"/>
    <x v="1"/>
    <x v="0"/>
    <s v="2697200"/>
    <n v="490010"/>
    <s v="Provision for Bad Debts"/>
    <s v="WH-Des Moines-OB-GYN"/>
    <x v="0"/>
    <m/>
    <n v="-2711.71"/>
    <n v="-351.94"/>
    <n v="2763.97"/>
    <n v="1320.94"/>
    <n v="-482.77"/>
    <n v="-538.49"/>
    <n v="0"/>
    <n v="0"/>
    <n v="0"/>
    <n v="0"/>
    <n v="0"/>
    <n v="0"/>
    <n v="-2.2737367544323206E-13"/>
    <n v="0"/>
  </r>
  <r>
    <x v="5"/>
    <x v="1"/>
    <x v="0"/>
    <s v="2697200"/>
    <n v="700054"/>
    <s v="Salaries-Management-NonProd-Other"/>
    <s v="WH-Des Moines-OB-GYN"/>
    <x v="0"/>
    <n v="2000"/>
    <n v="0"/>
    <n v="0"/>
    <n v="0"/>
    <n v="0"/>
    <n v="0"/>
    <n v="0"/>
    <n v="-1743.57"/>
    <n v="0"/>
    <n v="0"/>
    <n v="0"/>
    <n v="0"/>
    <n v="0"/>
    <n v="-1743.57"/>
    <n v="0"/>
  </r>
  <r>
    <x v="6"/>
    <x v="1"/>
    <x v="0"/>
    <s v="2697200"/>
    <n v="713010"/>
    <s v="Benefits-FICA/Medicare"/>
    <s v="WH-Des Moines-OB-GYN"/>
    <x v="0"/>
    <m/>
    <n v="0"/>
    <n v="0"/>
    <n v="0"/>
    <n v="0"/>
    <n v="0"/>
    <n v="0"/>
    <n v="133.38999999999999"/>
    <n v="0"/>
    <n v="0"/>
    <n v="0"/>
    <n v="0"/>
    <n v="0"/>
    <n v="133.38999999999999"/>
    <n v="0"/>
  </r>
  <r>
    <x v="6"/>
    <x v="1"/>
    <x v="0"/>
    <s v="2697200"/>
    <n v="713090"/>
    <s v="Benefits-Allocated Amounts"/>
    <s v="WH-Des Moines-OB-GYN"/>
    <x v="0"/>
    <m/>
    <n v="0"/>
    <n v="0"/>
    <n v="0"/>
    <n v="0"/>
    <n v="0"/>
    <n v="0"/>
    <n v="0"/>
    <n v="0"/>
    <n v="-97.05"/>
    <n v="-12.69"/>
    <n v="-12.24"/>
    <n v="-11.42"/>
    <n v="-133.39999999999998"/>
    <n v="-0.82000000000000028"/>
  </r>
  <r>
    <x v="6"/>
    <x v="1"/>
    <x v="0"/>
    <s v="2697200"/>
    <n v="713092"/>
    <s v="Allocated Benefits-Physician"/>
    <s v="WH-Des Moines-OB-GYN"/>
    <x v="0"/>
    <m/>
    <n v="0"/>
    <n v="0"/>
    <n v="0"/>
    <n v="0"/>
    <n v="0"/>
    <n v="0"/>
    <n v="0"/>
    <n v="-46.63"/>
    <n v="46.63"/>
    <n v="0"/>
    <n v="0"/>
    <n v="0"/>
    <n v="0"/>
    <n v="0"/>
  </r>
  <r>
    <x v="6"/>
    <x v="1"/>
    <x v="0"/>
    <s v="2697200"/>
    <n v="713093"/>
    <s v="Allocated Benefits-Advanced Practice Clinician"/>
    <s v="WH-Des Moines-OB-GYN"/>
    <x v="0"/>
    <m/>
    <n v="0"/>
    <n v="0"/>
    <n v="0"/>
    <n v="0"/>
    <n v="0"/>
    <n v="0"/>
    <n v="0"/>
    <n v="-34.29"/>
    <n v="34.29"/>
    <n v="0"/>
    <n v="0"/>
    <n v="0"/>
    <n v="0"/>
    <n v="0"/>
  </r>
  <r>
    <x v="1"/>
    <x v="1"/>
    <x v="0"/>
    <s v="2699200"/>
    <n v="400029"/>
    <s v="MD Practice Other Rev--Medicare"/>
    <s v="Endocrinology-Burien-Endo"/>
    <x v="0"/>
    <n v="1100"/>
    <n v="-1785"/>
    <n v="-1518"/>
    <n v="-2783"/>
    <n v="-2253"/>
    <n v="-891"/>
    <n v="-1386"/>
    <n v="-3708"/>
    <n v="-1485"/>
    <n v="-3144"/>
    <n v="-1131"/>
    <n v="-2385"/>
    <n v="-1419"/>
    <n v="-23888"/>
    <n v="-966"/>
  </r>
  <r>
    <x v="1"/>
    <x v="1"/>
    <x v="0"/>
    <s v="2699200"/>
    <n v="400029"/>
    <s v="MD Practice Other Rev--Medicaid"/>
    <s v="Endocrinology-Burien-Endo"/>
    <x v="0"/>
    <n v="1200"/>
    <n v="-1241"/>
    <n v="-231"/>
    <n v="-363"/>
    <n v="-1787"/>
    <n v="-786"/>
    <n v="-924"/>
    <n v="-429"/>
    <n v="-99"/>
    <n v="-1122"/>
    <n v="-453"/>
    <n v="-594"/>
    <n v="-363"/>
    <n v="-8392"/>
    <n v="-231"/>
  </r>
  <r>
    <x v="1"/>
    <x v="1"/>
    <x v="0"/>
    <s v="2699200"/>
    <n v="400029"/>
    <s v="MD Practice Other Rev--Comm Insurance"/>
    <s v="Endocrinology-Burien-Endo"/>
    <x v="0"/>
    <n v="1300"/>
    <n v="-33"/>
    <n v="0"/>
    <n v="-33"/>
    <n v="-693"/>
    <n v="-33"/>
    <n v="-36"/>
    <n v="-66"/>
    <n v="0"/>
    <n v="0"/>
    <n v="0"/>
    <n v="-393"/>
    <n v="0"/>
    <n v="-1287"/>
    <n v="-393"/>
  </r>
  <r>
    <x v="1"/>
    <x v="1"/>
    <x v="0"/>
    <s v="2699200"/>
    <n v="400029"/>
    <s v="MD Practice Other Rev--BCBS Comm"/>
    <s v="Endocrinology-Burien-Endo"/>
    <x v="0"/>
    <n v="1301"/>
    <n v="-528"/>
    <n v="-429"/>
    <n v="-99"/>
    <n v="-1117"/>
    <n v="-818"/>
    <n v="-825"/>
    <n v="-561"/>
    <n v="-198"/>
    <n v="-759"/>
    <n v="-495"/>
    <n v="-1023"/>
    <n v="-132"/>
    <n v="-6984"/>
    <n v="-891"/>
  </r>
  <r>
    <x v="1"/>
    <x v="1"/>
    <x v="0"/>
    <s v="2699200"/>
    <n v="400029"/>
    <s v="MD Practice Other Rev--Managed Care"/>
    <s v="Endocrinology-Burien-Endo"/>
    <x v="0"/>
    <n v="1400"/>
    <n v="-2230"/>
    <n v="-495"/>
    <n v="-1488"/>
    <n v="-2354"/>
    <n v="-2580"/>
    <n v="-2730"/>
    <n v="-1233"/>
    <n v="-1221"/>
    <n v="-2253"/>
    <n v="-1188"/>
    <n v="-1257"/>
    <n v="-1626"/>
    <n v="-20655"/>
    <n v="369"/>
  </r>
  <r>
    <x v="1"/>
    <x v="1"/>
    <x v="0"/>
    <s v="2699200"/>
    <n v="400029"/>
    <s v="MD Practice Other Rev--Self Pay"/>
    <s v="Endocrinology-Burien-Endo"/>
    <x v="0"/>
    <n v="1500"/>
    <n v="0"/>
    <n v="0"/>
    <n v="0"/>
    <n v="521"/>
    <n v="0"/>
    <n v="-330"/>
    <n v="0"/>
    <n v="0"/>
    <n v="0"/>
    <n v="-33"/>
    <n v="0"/>
    <n v="-33"/>
    <n v="125"/>
    <n v="33"/>
  </r>
  <r>
    <x v="1"/>
    <x v="1"/>
    <x v="0"/>
    <s v="2699200"/>
    <n v="400029"/>
    <s v="MD Practice Other Rev--Other"/>
    <s v="Endocrinology-Burien-Endo"/>
    <x v="0"/>
    <n v="1700"/>
    <n v="0"/>
    <n v="0"/>
    <n v="0"/>
    <n v="0"/>
    <n v="0"/>
    <n v="0"/>
    <n v="0"/>
    <n v="0"/>
    <n v="0"/>
    <n v="-33"/>
    <n v="0"/>
    <n v="0"/>
    <n v="-33"/>
    <n v="0"/>
  </r>
  <r>
    <x v="1"/>
    <x v="1"/>
    <x v="0"/>
    <s v="2699200"/>
    <n v="400040"/>
    <s v="Physician Svcs Rev--Medicare"/>
    <s v="Endocrinology-Burien-Endo"/>
    <x v="0"/>
    <n v="1100"/>
    <n v="-16978"/>
    <n v="-16176"/>
    <n v="-20552"/>
    <n v="-33323"/>
    <n v="-23773"/>
    <n v="-28305"/>
    <n v="-34560"/>
    <n v="-23984"/>
    <n v="-39812"/>
    <n v="-19746"/>
    <n v="-34459"/>
    <n v="-31611.46"/>
    <n v="-323279.46000000002"/>
    <n v="-2847.5400000000009"/>
  </r>
  <r>
    <x v="1"/>
    <x v="1"/>
    <x v="0"/>
    <s v="2699200"/>
    <n v="400040"/>
    <s v="Physician Svcs Rev--Medicaid"/>
    <s v="Endocrinology-Burien-Endo"/>
    <x v="0"/>
    <n v="1200"/>
    <n v="-13647"/>
    <n v="-6615"/>
    <n v="-8433"/>
    <n v="-11268"/>
    <n v="-13239"/>
    <n v="-11292"/>
    <n v="-11452"/>
    <n v="-6426"/>
    <n v="-12569"/>
    <n v="-11503"/>
    <n v="-12949"/>
    <n v="-12771.23"/>
    <n v="-132164.23000000001"/>
    <n v="-177.77000000000044"/>
  </r>
  <r>
    <x v="1"/>
    <x v="1"/>
    <x v="0"/>
    <s v="2699200"/>
    <n v="400040"/>
    <s v="Physician Svcs Rev--Comm Insurance"/>
    <s v="Endocrinology-Burien-Endo"/>
    <x v="0"/>
    <n v="1300"/>
    <n v="-1340"/>
    <n v="-495"/>
    <n v="-693"/>
    <n v="-2050"/>
    <n v="-1510"/>
    <n v="-1535"/>
    <n v="-1386"/>
    <n v="-1201"/>
    <n v="0"/>
    <n v="-1220"/>
    <n v="-1676"/>
    <n v="-590"/>
    <n v="-13696"/>
    <n v="-1086"/>
  </r>
  <r>
    <x v="1"/>
    <x v="1"/>
    <x v="0"/>
    <s v="2699200"/>
    <n v="400040"/>
    <s v="Physician Svcs Rev--BCBS Comm"/>
    <s v="Endocrinology-Burien-Endo"/>
    <x v="0"/>
    <n v="1301"/>
    <n v="8042"/>
    <n v="-4350"/>
    <n v="-3662"/>
    <n v="-7045"/>
    <n v="-4274"/>
    <n v="-5394"/>
    <n v="-7622"/>
    <n v="-3210"/>
    <n v="-5622"/>
    <n v="-2860"/>
    <n v="-9902"/>
    <n v="-4824"/>
    <n v="-50723"/>
    <n v="-5078"/>
  </r>
  <r>
    <x v="1"/>
    <x v="1"/>
    <x v="0"/>
    <s v="2699200"/>
    <n v="400040"/>
    <s v="Physician Svcs Rev--Managed Care"/>
    <s v="Endocrinology-Burien-Endo"/>
    <x v="0"/>
    <n v="1400"/>
    <n v="-23722"/>
    <n v="-12773"/>
    <n v="-10387"/>
    <n v="-34760"/>
    <n v="-18611"/>
    <n v="-16722"/>
    <n v="-23393"/>
    <n v="-19329"/>
    <n v="-33348"/>
    <n v="-17382"/>
    <n v="-25868"/>
    <n v="-33222"/>
    <n v="-269517"/>
    <n v="7354"/>
  </r>
  <r>
    <x v="1"/>
    <x v="1"/>
    <x v="0"/>
    <s v="2699200"/>
    <n v="400040"/>
    <s v="Physician Svcs Rev--Self Pay"/>
    <s v="Endocrinology-Burien-Endo"/>
    <x v="0"/>
    <n v="1500"/>
    <n v="-121"/>
    <n v="-398"/>
    <n v="-416"/>
    <n v="-497"/>
    <n v="0"/>
    <n v="-81"/>
    <n v="0"/>
    <n v="0"/>
    <n v="-295"/>
    <n v="-693"/>
    <n v="693"/>
    <n v="-327"/>
    <n v="-2135"/>
    <n v="1020"/>
  </r>
  <r>
    <x v="1"/>
    <x v="1"/>
    <x v="0"/>
    <s v="2699200"/>
    <n v="400040"/>
    <s v="Physician Svcs Rev--Other"/>
    <s v="Endocrinology-Burien-Endo"/>
    <x v="0"/>
    <n v="1700"/>
    <n v="-295"/>
    <n v="0"/>
    <n v="-706"/>
    <n v="-295"/>
    <n v="0"/>
    <n v="-447"/>
    <n v="-295"/>
    <n v="-843"/>
    <n v="-707"/>
    <n v="-843"/>
    <n v="-295"/>
    <n v="-295.23"/>
    <n v="-5021.2299999999996"/>
    <n v="0.23000000000001819"/>
  </r>
  <r>
    <x v="2"/>
    <x v="1"/>
    <x v="0"/>
    <s v="2699200"/>
    <n v="450029"/>
    <s v="Contr Allow--MD Other-Medicare"/>
    <s v="Endocrinology-Burien-Endo"/>
    <x v="0"/>
    <n v="1100"/>
    <n v="1120.07"/>
    <n v="698.64"/>
    <n v="2223.4899999999998"/>
    <n v="1060.92"/>
    <n v="1320.96"/>
    <n v="831.61"/>
    <n v="1681.69"/>
    <n v="1663.76"/>
    <n v="1009.69"/>
    <n v="1989.81"/>
    <n v="1151.06"/>
    <n v="1437.72"/>
    <n v="16189.419999999998"/>
    <n v="-286.66000000000008"/>
  </r>
  <r>
    <x v="2"/>
    <x v="1"/>
    <x v="0"/>
    <s v="2699200"/>
    <n v="450029"/>
    <s v="Contr Allow--MD Other-Medicaid"/>
    <s v="Endocrinology-Burien-Endo"/>
    <x v="0"/>
    <n v="1200"/>
    <n v="1027.43"/>
    <n v="428.51"/>
    <n v="571.74"/>
    <n v="2311.39"/>
    <n v="580.79"/>
    <n v="498.11"/>
    <n v="411.84"/>
    <n v="458.53"/>
    <n v="392.64"/>
    <n v="578.44000000000005"/>
    <n v="292.69"/>
    <n v="369.22"/>
    <n v="7921.33"/>
    <n v="-76.53000000000003"/>
  </r>
  <r>
    <x v="2"/>
    <x v="1"/>
    <x v="0"/>
    <s v="2699200"/>
    <n v="450029"/>
    <s v="Contr Allow--MD Other-Comm Insurance"/>
    <s v="Endocrinology-Burien-Endo"/>
    <x v="0"/>
    <n v="1300"/>
    <n v="0"/>
    <n v="19.25"/>
    <n v="0"/>
    <n v="240.13"/>
    <n v="18.670000000000002"/>
    <n v="0"/>
    <n v="18.670000000000002"/>
    <n v="18.670000000000002"/>
    <n v="0"/>
    <n v="0"/>
    <n v="30.09"/>
    <n v="92.27"/>
    <n v="437.75"/>
    <n v="-62.179999999999993"/>
  </r>
  <r>
    <x v="2"/>
    <x v="1"/>
    <x v="0"/>
    <s v="2699200"/>
    <n v="450029"/>
    <s v="Contr Allow--MD Other BCBS Comm"/>
    <s v="Endocrinology-Burien-Endo"/>
    <x v="0"/>
    <n v="1301"/>
    <n v="130.21"/>
    <n v="193.99"/>
    <n v="174.31"/>
    <n v="200.89"/>
    <n v="254.02"/>
    <n v="431.37"/>
    <n v="228.4"/>
    <n v="98.4"/>
    <n v="184.31"/>
    <n v="144.94999999999999"/>
    <n v="289.89999999999998"/>
    <n v="302.39"/>
    <n v="2633.14"/>
    <n v="-12.490000000000009"/>
  </r>
  <r>
    <x v="2"/>
    <x v="1"/>
    <x v="0"/>
    <s v="2699200"/>
    <n v="450029"/>
    <s v="Contr Allow--MD Other-Managed Care"/>
    <s v="Endocrinology-Burien-Endo"/>
    <x v="0"/>
    <n v="1400"/>
    <n v="1185.76"/>
    <n v="830.86"/>
    <n v="520.59"/>
    <n v="436.77"/>
    <n v="1097.07"/>
    <n v="1095.19"/>
    <n v="745.95"/>
    <n v="634.5"/>
    <n v="905.38"/>
    <n v="742.21"/>
    <n v="1140.03"/>
    <n v="853.02"/>
    <n v="10187.33"/>
    <n v="287.01"/>
  </r>
  <r>
    <x v="2"/>
    <x v="1"/>
    <x v="0"/>
    <s v="2699200"/>
    <n v="450029"/>
    <s v="Admin Adjust-MD Other-Self Pay"/>
    <s v="Endocrinology-Burien-Endo"/>
    <x v="0"/>
    <n v="1600"/>
    <n v="1.19"/>
    <n v="5.65"/>
    <n v="5.98"/>
    <n v="-180.6"/>
    <n v="-4.8"/>
    <n v="122.1"/>
    <n v="12.96"/>
    <n v="1.79"/>
    <n v="0"/>
    <n v="13.54"/>
    <n v="1.2"/>
    <n v="25.2"/>
    <n v="4.2099999999999795"/>
    <n v="-24"/>
  </r>
  <r>
    <x v="2"/>
    <x v="1"/>
    <x v="0"/>
    <s v="2699200"/>
    <n v="450029"/>
    <s v="Contr Allow--MD Other-Other"/>
    <s v="Endocrinology-Burien-Endo"/>
    <x v="0"/>
    <n v="1700"/>
    <n v="26.25"/>
    <n v="0"/>
    <n v="0"/>
    <n v="0"/>
    <n v="0"/>
    <n v="0"/>
    <n v="0"/>
    <n v="0"/>
    <n v="0"/>
    <n v="0"/>
    <n v="24.29"/>
    <n v="0"/>
    <n v="50.54"/>
    <n v="24.29"/>
  </r>
  <r>
    <x v="2"/>
    <x v="1"/>
    <x v="0"/>
    <s v="2699200"/>
    <n v="450040"/>
    <s v="Contr Allow--Phys Svcs--Mcare"/>
    <s v="Endocrinology-Burien-Endo"/>
    <x v="0"/>
    <n v="1100"/>
    <n v="9889.1"/>
    <n v="8547.43"/>
    <n v="13604.89"/>
    <n v="16855.669999999998"/>
    <n v="17394.63"/>
    <n v="14235.14"/>
    <n v="21502.09"/>
    <n v="16297.96"/>
    <n v="16871.169999999998"/>
    <n v="21964.799999999999"/>
    <n v="19427.240000000002"/>
    <n v="19608.53"/>
    <n v="196198.65"/>
    <n v="-181.28999999999724"/>
  </r>
  <r>
    <x v="2"/>
    <x v="1"/>
    <x v="0"/>
    <s v="2699200"/>
    <n v="450040"/>
    <s v="Contr Allow--Phys Svcs--Mcaid"/>
    <s v="Endocrinology-Burien-Endo"/>
    <x v="0"/>
    <n v="1200"/>
    <n v="9276.44"/>
    <n v="7713.76"/>
    <n v="8230.99"/>
    <n v="10966.29"/>
    <n v="5634.61"/>
    <n v="11077.6"/>
    <n v="6265.88"/>
    <n v="10160.08"/>
    <n v="6191.61"/>
    <n v="7426.23"/>
    <n v="10734.64"/>
    <n v="11834.68"/>
    <n v="105512.81"/>
    <n v="-1100.0400000000009"/>
  </r>
  <r>
    <x v="2"/>
    <x v="1"/>
    <x v="0"/>
    <s v="2699200"/>
    <n v="450040"/>
    <s v="Contr Allow--Phys Svcs--Comm Insurance"/>
    <s v="Endocrinology-Burien-Endo"/>
    <x v="0"/>
    <n v="1300"/>
    <n v="325.55"/>
    <n v="269.32"/>
    <n v="437.82"/>
    <n v="548.29"/>
    <n v="736.64"/>
    <n v="539.15"/>
    <n v="279.05"/>
    <n v="302.27"/>
    <n v="175.83"/>
    <n v="156.30000000000001"/>
    <n v="250.87"/>
    <n v="557.42999999999995"/>
    <n v="4578.5200000000004"/>
    <n v="-306.55999999999995"/>
  </r>
  <r>
    <x v="2"/>
    <x v="1"/>
    <x v="0"/>
    <s v="2699200"/>
    <n v="450040"/>
    <s v="Contr Allow--Phys Svcs--BCBS Comm Ins"/>
    <s v="Endocrinology-Burien-Endo"/>
    <x v="0"/>
    <n v="1301"/>
    <n v="1606.99"/>
    <n v="15528.08"/>
    <n v="-12555.57"/>
    <n v="1592.48"/>
    <n v="1545.8"/>
    <n v="897.15"/>
    <n v="1244.6300000000001"/>
    <n v="1647.9"/>
    <n v="1399.29"/>
    <n v="557.03"/>
    <n v="1165.22"/>
    <n v="2321.16"/>
    <n v="16950.16"/>
    <n v="-1155.9399999999998"/>
  </r>
  <r>
    <x v="2"/>
    <x v="1"/>
    <x v="0"/>
    <s v="2699200"/>
    <n v="450040"/>
    <s v="Contr Allow--Phys Svcs--Managed Care"/>
    <s v="Endocrinology-Burien-Endo"/>
    <x v="0"/>
    <n v="1400"/>
    <n v="6106.58"/>
    <n v="5280.48"/>
    <n v="5030.71"/>
    <n v="6502.73"/>
    <n v="8724.61"/>
    <n v="5145.26"/>
    <n v="6577.55"/>
    <n v="5228.24"/>
    <n v="8657.2199999999993"/>
    <n v="5906.68"/>
    <n v="7834.22"/>
    <n v="9058.7900000000009"/>
    <n v="80053.070000000007"/>
    <n v="-1224.5700000000006"/>
  </r>
  <r>
    <x v="2"/>
    <x v="1"/>
    <x v="0"/>
    <s v="2699200"/>
    <n v="450040"/>
    <s v="Contr Allow--Phys Svcs--BCBS Mgnd Care"/>
    <s v="Endocrinology-Burien-Endo"/>
    <x v="0"/>
    <n v="1401"/>
    <n v="-6018.38"/>
    <n v="-12914.36"/>
    <n v="2816.63"/>
    <n v="8552.35"/>
    <n v="-4184.3100000000004"/>
    <n v="872.59"/>
    <n v="6847.98"/>
    <n v="-3042.83"/>
    <n v="11612.58"/>
    <n v="-9258.7099999999991"/>
    <n v="5077.57"/>
    <n v="-2725.33"/>
    <n v="-2364.2199999999993"/>
    <n v="7802.9"/>
  </r>
  <r>
    <x v="2"/>
    <x v="1"/>
    <x v="0"/>
    <s v="2699200"/>
    <n v="450040"/>
    <s v="Admin Adjust-Phys Svcs-Self Pay"/>
    <s v="Endocrinology-Burien-Endo"/>
    <x v="0"/>
    <n v="1600"/>
    <n v="290.45999999999998"/>
    <n v="156.59"/>
    <n v="242.65"/>
    <n v="322.64999999999998"/>
    <n v="-2.79"/>
    <n v="28.38"/>
    <n v="313.37"/>
    <n v="6.91"/>
    <n v="109.15"/>
    <n v="256.41000000000003"/>
    <n v="-223.85"/>
    <n v="176.84"/>
    <n v="1676.7700000000002"/>
    <n v="-400.69"/>
  </r>
  <r>
    <x v="2"/>
    <x v="1"/>
    <x v="0"/>
    <s v="2699200"/>
    <n v="450040"/>
    <s v="Contr Allow--Phys Svcs--Other"/>
    <s v="Endocrinology-Burien-Endo"/>
    <x v="0"/>
    <n v="1700"/>
    <n v="881.73"/>
    <n v="176.78"/>
    <n v="0"/>
    <n v="441.67"/>
    <n v="176.78"/>
    <n v="0"/>
    <n v="0"/>
    <n v="457.62"/>
    <n v="354.19"/>
    <n v="443.15"/>
    <n v="795.37"/>
    <n v="679.48"/>
    <n v="4406.7700000000004"/>
    <n v="115.88999999999999"/>
  </r>
  <r>
    <x v="3"/>
    <x v="1"/>
    <x v="0"/>
    <s v="2699200"/>
    <n v="470040"/>
    <s v="Charity Care-Physician Svcs"/>
    <s v="Endocrinology-Burien-Endo"/>
    <x v="0"/>
    <m/>
    <n v="-327.7"/>
    <n v="526.12"/>
    <n v="218.69"/>
    <n v="-146.44999999999999"/>
    <n v="126.25"/>
    <n v="-84.33"/>
    <n v="932.84"/>
    <n v="-100.89"/>
    <n v="4493.5"/>
    <n v="-197.4"/>
    <n v="165.93"/>
    <n v="273.83999999999997"/>
    <n v="5880.4000000000005"/>
    <n v="-107.90999999999997"/>
  </r>
  <r>
    <x v="4"/>
    <x v="1"/>
    <x v="0"/>
    <s v="2699200"/>
    <n v="490010"/>
    <s v="Provision for Bad Debts"/>
    <s v="Endocrinology-Burien-Endo"/>
    <x v="0"/>
    <m/>
    <n v="1184.26"/>
    <n v="-868.79"/>
    <n v="790.32"/>
    <n v="1601.62"/>
    <n v="1770.22"/>
    <n v="598.38"/>
    <n v="562.72"/>
    <n v="-515.01"/>
    <n v="3696.42"/>
    <n v="474.34"/>
    <n v="1257.8"/>
    <n v="403.8"/>
    <n v="10956.079999999998"/>
    <n v="854"/>
  </r>
  <r>
    <x v="5"/>
    <x v="1"/>
    <x v="0"/>
    <s v="2699200"/>
    <n v="700022"/>
    <s v="Salaries-Physician-Productive"/>
    <s v="Endocrinology-Burien-Endo"/>
    <x v="0"/>
    <m/>
    <n v="16500.34"/>
    <n v="21391.27"/>
    <n v="16738.560000000001"/>
    <n v="19249.34"/>
    <n v="18273.22"/>
    <n v="17429.32"/>
    <n v="19118.47"/>
    <n v="17773.919999999998"/>
    <n v="18461.34"/>
    <n v="19340.43"/>
    <n v="19577.349999999999"/>
    <n v="16940"/>
    <n v="220793.56"/>
    <n v="2637.3499999999985"/>
  </r>
  <r>
    <x v="5"/>
    <x v="1"/>
    <x v="0"/>
    <s v="2699200"/>
    <n v="700026"/>
    <s v="Salaries-RN-Productive"/>
    <s v="Endocrinology-Burien-Endo"/>
    <x v="0"/>
    <m/>
    <n v="5838.41"/>
    <n v="3732.55"/>
    <n v="4063.78"/>
    <n v="6019.07"/>
    <n v="5330.49"/>
    <n v="3798.24"/>
    <n v="5393.93"/>
    <n v="4127.7700000000004"/>
    <n v="5527.94"/>
    <n v="5361.21"/>
    <n v="5708.88"/>
    <n v="4922.68"/>
    <n v="59824.94999999999"/>
    <n v="786.19999999999982"/>
  </r>
  <r>
    <x v="5"/>
    <x v="1"/>
    <x v="0"/>
    <s v="2699200"/>
    <n v="700026"/>
    <s v="Salaries-RN-OT"/>
    <s v="Endocrinology-Burien-Endo"/>
    <x v="0"/>
    <n v="1000"/>
    <n v="27.61"/>
    <n v="443.94"/>
    <n v="-149.51"/>
    <n v="172.13"/>
    <n v="75.75"/>
    <n v="-8.2799999999999994"/>
    <n v="29.63"/>
    <n v="132.76"/>
    <n v="296.31"/>
    <n v="-11.84"/>
    <n v="83"/>
    <n v="272.60000000000002"/>
    <n v="1364.1"/>
    <n v="-189.60000000000002"/>
  </r>
  <r>
    <x v="5"/>
    <x v="1"/>
    <x v="0"/>
    <s v="2699200"/>
    <n v="700030"/>
    <s v="Salaries-LPN-Productive"/>
    <s v="Endocrinology-Burien-Endo"/>
    <x v="0"/>
    <m/>
    <n v="0"/>
    <n v="0"/>
    <n v="0"/>
    <n v="0"/>
    <n v="0"/>
    <n v="447.12"/>
    <n v="0"/>
    <n v="0"/>
    <n v="0"/>
    <n v="0"/>
    <n v="0"/>
    <n v="0"/>
    <n v="447.12"/>
    <n v="0"/>
  </r>
  <r>
    <x v="5"/>
    <x v="1"/>
    <x v="0"/>
    <s v="2699200"/>
    <n v="700032"/>
    <s v="Salaries-Other Pat Care Providers-Productive"/>
    <s v="Endocrinology-Burien-Endo"/>
    <x v="0"/>
    <m/>
    <n v="0"/>
    <n v="0"/>
    <n v="342.75"/>
    <n v="-114.25"/>
    <n v="0"/>
    <n v="429.87"/>
    <n v="0"/>
    <n v="0"/>
    <n v="0"/>
    <n v="146.59"/>
    <n v="0"/>
    <n v="0"/>
    <n v="804.96"/>
    <n v="0"/>
  </r>
  <r>
    <x v="5"/>
    <x v="1"/>
    <x v="0"/>
    <s v="2699200"/>
    <n v="700054"/>
    <s v="Salaries-Management-NonProd-Other"/>
    <s v="Endocrinology-Burien-Endo"/>
    <x v="0"/>
    <n v="2000"/>
    <n v="0"/>
    <n v="0"/>
    <n v="0"/>
    <n v="0"/>
    <n v="0"/>
    <n v="186.4"/>
    <n v="-186.4"/>
    <n v="0"/>
    <n v="0"/>
    <n v="0"/>
    <n v="0"/>
    <n v="0"/>
    <n v="0"/>
    <n v="0"/>
  </r>
  <r>
    <x v="5"/>
    <x v="1"/>
    <x v="0"/>
    <s v="2699200"/>
    <n v="700066"/>
    <s v="Salaries-RN-Non-productive"/>
    <s v="Endocrinology-Burien-Endo"/>
    <x v="0"/>
    <m/>
    <n v="0"/>
    <n v="0"/>
    <n v="1295.81"/>
    <n v="-329.7"/>
    <n v="236.7"/>
    <n v="1503.83"/>
    <n v="422"/>
    <n v="929.22"/>
    <n v="-218.08"/>
    <n v="201.47"/>
    <n v="98.79"/>
    <n v="134.33000000000001"/>
    <n v="4274.37"/>
    <n v="-35.540000000000006"/>
  </r>
  <r>
    <x v="5"/>
    <x v="1"/>
    <x v="0"/>
    <s v="2699200"/>
    <n v="700066"/>
    <s v="Salaries-RN-NonProd-Other"/>
    <s v="Endocrinology-Burien-Endo"/>
    <x v="0"/>
    <n v="2000"/>
    <n v="0"/>
    <n v="0"/>
    <n v="0"/>
    <n v="59.08"/>
    <n v="-12.62"/>
    <n v="0"/>
    <n v="0"/>
    <n v="0"/>
    <n v="0"/>
    <n v="0"/>
    <n v="0"/>
    <n v="0"/>
    <n v="46.46"/>
    <n v="0"/>
  </r>
  <r>
    <x v="5"/>
    <x v="1"/>
    <x v="0"/>
    <s v="2699200"/>
    <n v="700084"/>
    <s v="Accrued PTO"/>
    <s v="Endocrinology-Burien-Endo"/>
    <x v="0"/>
    <m/>
    <n v="76.36"/>
    <n v="47.05"/>
    <n v="157.65"/>
    <n v="539.87"/>
    <n v="471.19"/>
    <n v="-773.85"/>
    <n v="9.7799999999999994"/>
    <n v="-235.12"/>
    <n v="482.87"/>
    <n v="348.42"/>
    <n v="286.88"/>
    <n v="583.86"/>
    <n v="1994.96"/>
    <n v="-296.98"/>
  </r>
  <r>
    <x v="10"/>
    <x v="1"/>
    <x v="0"/>
    <s v="2699200"/>
    <n v="710060"/>
    <s v="Contract Labor-Other"/>
    <s v="Endocrinology-Burien-Endo"/>
    <x v="0"/>
    <m/>
    <n v="0"/>
    <n v="0"/>
    <n v="246.5"/>
    <n v="0"/>
    <n v="0"/>
    <n v="0"/>
    <n v="0"/>
    <n v="0"/>
    <n v="0"/>
    <n v="0"/>
    <n v="0"/>
    <n v="0"/>
    <n v="246.5"/>
    <n v="0"/>
  </r>
  <r>
    <x v="6"/>
    <x v="1"/>
    <x v="0"/>
    <s v="2699200"/>
    <n v="713010"/>
    <s v="Benefits-FICA/Medicare"/>
    <s v="Endocrinology-Burien-Endo"/>
    <x v="0"/>
    <m/>
    <n v="1718.75"/>
    <n v="1522.7"/>
    <n v="499.89"/>
    <n v="721.48"/>
    <n v="693.94"/>
    <n v="1302.78"/>
    <n v="1919.15"/>
    <n v="1752.44"/>
    <n v="1836.71"/>
    <n v="1910.73"/>
    <n v="1943.53"/>
    <n v="1699.44"/>
    <n v="17521.54"/>
    <n v="244.08999999999992"/>
  </r>
  <r>
    <x v="6"/>
    <x v="1"/>
    <x v="0"/>
    <s v="2699200"/>
    <n v="713090"/>
    <s v="Benefits-Allocated Amounts"/>
    <s v="Endocrinology-Burien-Endo"/>
    <x v="0"/>
    <m/>
    <n v="0"/>
    <n v="0"/>
    <n v="0"/>
    <n v="0"/>
    <n v="0"/>
    <n v="0"/>
    <n v="0"/>
    <n v="0"/>
    <n v="14403.08"/>
    <n v="1623.57"/>
    <n v="1717.22"/>
    <n v="1678.79"/>
    <n v="19422.66"/>
    <n v="38.430000000000064"/>
  </r>
  <r>
    <x v="6"/>
    <x v="1"/>
    <x v="0"/>
    <s v="2699200"/>
    <n v="713092"/>
    <s v="Allocated Benefits-Physician"/>
    <s v="Endocrinology-Burien-Endo"/>
    <x v="0"/>
    <m/>
    <n v="2479.69"/>
    <n v="1983.31"/>
    <n v="2376.6799999999998"/>
    <n v="2370.69"/>
    <n v="2332.36"/>
    <n v="2675.89"/>
    <n v="2963.27"/>
    <n v="2672.52"/>
    <n v="-11403.52"/>
    <n v="952.61"/>
    <n v="1007.57"/>
    <n v="985.02"/>
    <n v="11396.09"/>
    <n v="22.550000000000068"/>
  </r>
  <r>
    <x v="7"/>
    <x v="1"/>
    <x v="0"/>
    <s v="2699200"/>
    <n v="718050"/>
    <s v="Contract Svcs-Other"/>
    <s v="Endocrinology-Burien-Endo"/>
    <x v="0"/>
    <m/>
    <n v="11.33"/>
    <n v="0"/>
    <n v="0"/>
    <n v="0"/>
    <n v="0"/>
    <n v="0"/>
    <n v="0"/>
    <n v="0"/>
    <n v="0"/>
    <n v="0"/>
    <n v="0"/>
    <n v="0"/>
    <n v="11.33"/>
    <n v="0"/>
  </r>
  <r>
    <x v="7"/>
    <x v="1"/>
    <x v="0"/>
    <s v="2699200"/>
    <n v="718050"/>
    <s v="Miscellaneous Purchased Svcs"/>
    <s v="Endocrinology-Burien-Endo"/>
    <x v="0"/>
    <n v="1020"/>
    <n v="11.33"/>
    <n v="0"/>
    <n v="0"/>
    <n v="0"/>
    <n v="0"/>
    <n v="0"/>
    <n v="0"/>
    <n v="0"/>
    <n v="0"/>
    <n v="0"/>
    <n v="0"/>
    <n v="0"/>
    <n v="11.33"/>
    <n v="0"/>
  </r>
  <r>
    <x v="7"/>
    <x v="1"/>
    <x v="0"/>
    <s v="2699200"/>
    <n v="718050"/>
    <s v="Translation Services"/>
    <s v="Endocrinology-Burien-Endo"/>
    <x v="0"/>
    <n v="1025"/>
    <n v="79.5"/>
    <n v="0"/>
    <n v="0"/>
    <n v="0"/>
    <n v="0"/>
    <n v="0"/>
    <n v="0"/>
    <n v="0"/>
    <n v="0"/>
    <n v="0"/>
    <n v="0"/>
    <n v="0"/>
    <n v="79.5"/>
    <n v="0"/>
  </r>
  <r>
    <x v="11"/>
    <x v="1"/>
    <x v="0"/>
    <s v="2699200"/>
    <n v="721010"/>
    <s v="Supplies-Medical - Billable"/>
    <s v="Endocrinology-Burien-Endo"/>
    <x v="0"/>
    <m/>
    <n v="489.5"/>
    <n v="3193.44"/>
    <n v="0"/>
    <n v="0"/>
    <n v="0"/>
    <n v="0"/>
    <n v="0"/>
    <n v="0"/>
    <n v="0"/>
    <n v="0"/>
    <n v="0"/>
    <n v="-25.44"/>
    <n v="3657.5"/>
    <n v="25.44"/>
  </r>
  <r>
    <x v="11"/>
    <x v="1"/>
    <x v="0"/>
    <s v="2699200"/>
    <n v="721410"/>
    <s v="Supplies-Medical - Nonbillable"/>
    <s v="Endocrinology-Burien-Endo"/>
    <x v="0"/>
    <m/>
    <n v="1410.06"/>
    <n v="882.99"/>
    <n v="77.540000000000006"/>
    <n v="2319.7800000000002"/>
    <n v="782.03"/>
    <n v="910.1"/>
    <n v="372.57"/>
    <n v="1072.94"/>
    <n v="755.21"/>
    <n v="745.5"/>
    <n v="745.5"/>
    <n v="1561.5"/>
    <n v="11635.720000000001"/>
    <n v="-816"/>
  </r>
  <r>
    <x v="11"/>
    <x v="1"/>
    <x v="0"/>
    <s v="2699200"/>
    <n v="721830"/>
    <s v="Supplies-Office"/>
    <s v="Endocrinology-Burien-Endo"/>
    <x v="0"/>
    <m/>
    <n v="0"/>
    <n v="0"/>
    <n v="0"/>
    <n v="0"/>
    <n v="13.2"/>
    <n v="0"/>
    <n v="0"/>
    <n v="0"/>
    <n v="0"/>
    <n v="0"/>
    <n v="0"/>
    <n v="0"/>
    <n v="13.2"/>
    <n v="0"/>
  </r>
  <r>
    <x v="11"/>
    <x v="1"/>
    <x v="0"/>
    <s v="2699200"/>
    <n v="722000"/>
    <s v="Supplies-Freight Expense"/>
    <s v="Endocrinology-Burien-Endo"/>
    <x v="0"/>
    <m/>
    <n v="0"/>
    <n v="0"/>
    <n v="0"/>
    <n v="0"/>
    <n v="0"/>
    <n v="0"/>
    <n v="0"/>
    <n v="0"/>
    <n v="0"/>
    <n v="0"/>
    <n v="0"/>
    <n v="25.44"/>
    <n v="25.44"/>
    <n v="-25.44"/>
  </r>
  <r>
    <x v="8"/>
    <x v="1"/>
    <x v="0"/>
    <s v="2699200"/>
    <n v="741012"/>
    <s v="Physician Liab Insurance-CHI Program"/>
    <s v="Endocrinology-Burien-Endo"/>
    <x v="0"/>
    <m/>
    <n v="284.2"/>
    <n v="284.2"/>
    <n v="284.2"/>
    <n v="284.2"/>
    <n v="284.2"/>
    <n v="284.2"/>
    <n v="284.2"/>
    <n v="284.2"/>
    <n v="284.2"/>
    <n v="284.2"/>
    <n v="284.2"/>
    <n v="284.2"/>
    <n v="3410.3999999999992"/>
    <n v="0"/>
  </r>
  <r>
    <x v="0"/>
    <x v="1"/>
    <x v="0"/>
    <s v="2699200"/>
    <n v="743030"/>
    <s v="Subscriptions--Institutional"/>
    <s v="Endocrinology-Burien-Endo"/>
    <x v="0"/>
    <m/>
    <n v="0"/>
    <n v="0"/>
    <n v="0"/>
    <n v="0"/>
    <n v="328"/>
    <n v="0"/>
    <n v="0"/>
    <n v="0"/>
    <n v="0"/>
    <n v="0"/>
    <n v="0"/>
    <n v="0"/>
    <n v="328"/>
    <n v="0"/>
  </r>
  <r>
    <x v="0"/>
    <x v="1"/>
    <x v="0"/>
    <s v="2699200"/>
    <n v="743042"/>
    <s v="Subscriptions-Physician"/>
    <s v="Endocrinology-Burien-Endo"/>
    <x v="0"/>
    <m/>
    <n v="0"/>
    <n v="0"/>
    <n v="0"/>
    <n v="0"/>
    <n v="0"/>
    <n v="0"/>
    <n v="0"/>
    <n v="0"/>
    <n v="0"/>
    <n v="0"/>
    <n v="0"/>
    <n v="370"/>
    <n v="370"/>
    <n v="-370"/>
  </r>
  <r>
    <x v="0"/>
    <x v="1"/>
    <x v="0"/>
    <s v="2699200"/>
    <n v="749510"/>
    <s v="Miscellaneous Expenses"/>
    <s v="Endocrinology-Burien-Endo"/>
    <x v="0"/>
    <m/>
    <n v="-1147.44"/>
    <n v="11.33"/>
    <n v="0"/>
    <n v="13.2"/>
    <n v="1537.2"/>
    <n v="-1550.4"/>
    <n v="0"/>
    <n v="0"/>
    <n v="0"/>
    <n v="0"/>
    <n v="0"/>
    <n v="1318"/>
    <n v="181.88999999999987"/>
    <n v="-1318"/>
  </r>
  <r>
    <x v="0"/>
    <x v="1"/>
    <x v="0"/>
    <s v="2699200"/>
    <n v="749530"/>
    <s v="Mileage"/>
    <s v="Endocrinology-Burien-Endo"/>
    <x v="0"/>
    <n v="1001"/>
    <n v="0"/>
    <n v="0"/>
    <n v="0"/>
    <n v="0"/>
    <n v="0"/>
    <n v="30.52"/>
    <n v="0"/>
    <n v="0"/>
    <n v="0"/>
    <n v="0"/>
    <n v="0"/>
    <n v="0"/>
    <n v="30.52"/>
    <n v="0"/>
  </r>
  <r>
    <x v="0"/>
    <x v="1"/>
    <x v="0"/>
    <s v="2699200"/>
    <n v="749532"/>
    <s v="Travel-Physician"/>
    <s v="Endocrinology-Burien-Endo"/>
    <x v="0"/>
    <m/>
    <n v="0"/>
    <n v="0"/>
    <n v="0"/>
    <n v="0"/>
    <n v="0"/>
    <n v="1550.4"/>
    <n v="0"/>
    <n v="0"/>
    <n v="0"/>
    <n v="0"/>
    <n v="0"/>
    <n v="0"/>
    <n v="1550.4"/>
    <n v="0"/>
  </r>
  <r>
    <x v="1"/>
    <x v="1"/>
    <x v="0"/>
    <s v="2700200"/>
    <n v="400040"/>
    <s v="Physician Svcs Rev--Medicare"/>
    <s v="Infectious Disease-Burien"/>
    <x v="0"/>
    <n v="1100"/>
    <n v="-16196"/>
    <n v="-20144"/>
    <n v="-17991"/>
    <n v="-26042"/>
    <n v="-12387"/>
    <n v="-12731"/>
    <n v="-12062"/>
    <n v="-14585"/>
    <n v="-12547"/>
    <n v="-20698"/>
    <n v="-21525.5"/>
    <n v="-16930"/>
    <n v="-203838.5"/>
    <n v="-4595.5"/>
  </r>
  <r>
    <x v="1"/>
    <x v="1"/>
    <x v="0"/>
    <s v="2700200"/>
    <n v="400040"/>
    <s v="Physician Svcs Rev--Medicaid"/>
    <s v="Infectious Disease-Burien"/>
    <x v="0"/>
    <n v="1200"/>
    <n v="-16971"/>
    <n v="-14009"/>
    <n v="-8832"/>
    <n v="-11795"/>
    <n v="-16139"/>
    <n v="-11129"/>
    <n v="-14427"/>
    <n v="-11512"/>
    <n v="-11564"/>
    <n v="-10840"/>
    <n v="-12652"/>
    <n v="-10552"/>
    <n v="-150422"/>
    <n v="-2100"/>
  </r>
  <r>
    <x v="1"/>
    <x v="1"/>
    <x v="0"/>
    <s v="2700200"/>
    <n v="400040"/>
    <s v="Physician Svcs Rev--Comm Insurance"/>
    <s v="Infectious Disease-Burien"/>
    <x v="0"/>
    <n v="1300"/>
    <n v="-554"/>
    <n v="-671"/>
    <n v="-1263"/>
    <n v="-295"/>
    <n v="-516"/>
    <n v="-1835"/>
    <n v="-4267"/>
    <n v="-675"/>
    <n v="0"/>
    <n v="-1808"/>
    <n v="-1296"/>
    <n v="-200"/>
    <n v="-13380"/>
    <n v="-1096"/>
  </r>
  <r>
    <x v="1"/>
    <x v="1"/>
    <x v="0"/>
    <s v="2700200"/>
    <n v="400040"/>
    <s v="Physician Svcs Rev--BCBS Comm"/>
    <s v="Infectious Disease-Burien"/>
    <x v="0"/>
    <n v="1301"/>
    <n v="-4915"/>
    <n v="-3574"/>
    <n v="-1947"/>
    <n v="-3759"/>
    <n v="-2062"/>
    <n v="-3570"/>
    <n v="-6085"/>
    <n v="-2784"/>
    <n v="-4358"/>
    <n v="-4111"/>
    <n v="-4173"/>
    <n v="-3171"/>
    <n v="-44509"/>
    <n v="-1002"/>
  </r>
  <r>
    <x v="1"/>
    <x v="1"/>
    <x v="0"/>
    <s v="2700200"/>
    <n v="400040"/>
    <s v="Physician Svcs Rev--Managed Care"/>
    <s v="Infectious Disease-Burien"/>
    <x v="0"/>
    <n v="1400"/>
    <n v="-4543"/>
    <n v="-9796"/>
    <n v="-9602"/>
    <n v="-13599"/>
    <n v="-9780"/>
    <n v="-12443"/>
    <n v="-8196"/>
    <n v="-4738"/>
    <n v="-13197"/>
    <n v="-8429"/>
    <n v="-5316"/>
    <n v="-7733"/>
    <n v="-107372"/>
    <n v="2417"/>
  </r>
  <r>
    <x v="1"/>
    <x v="1"/>
    <x v="0"/>
    <s v="2700200"/>
    <n v="400040"/>
    <s v="Physician Svcs Rev--Self Pay"/>
    <s v="Infectious Disease-Burien"/>
    <x v="0"/>
    <n v="1500"/>
    <n v="-493"/>
    <n v="474"/>
    <n v="467"/>
    <n v="-2359"/>
    <n v="-219"/>
    <n v="-2784"/>
    <n v="-1252"/>
    <n v="-1492"/>
    <n v="1519"/>
    <n v="-1651"/>
    <n v="-3011"/>
    <n v="-1196"/>
    <n v="-11997"/>
    <n v="-1815"/>
  </r>
  <r>
    <x v="1"/>
    <x v="1"/>
    <x v="0"/>
    <s v="2700200"/>
    <n v="400040"/>
    <s v="Physician Svcs Rev--Other"/>
    <s v="Infectious Disease-Burien"/>
    <x v="0"/>
    <n v="1700"/>
    <n v="188"/>
    <n v="-1021"/>
    <n v="-600"/>
    <n v="-495"/>
    <n v="-1165"/>
    <n v="-645"/>
    <n v="0"/>
    <n v="-577"/>
    <n v="-735"/>
    <n v="-938"/>
    <n v="-998"/>
    <n v="-735"/>
    <n v="-7721"/>
    <n v="-263"/>
  </r>
  <r>
    <x v="2"/>
    <x v="1"/>
    <x v="0"/>
    <s v="2700200"/>
    <n v="450040"/>
    <s v="Contr Allow--Phys Svcs--Mcare"/>
    <s v="Infectious Disease-Burien"/>
    <x v="0"/>
    <n v="1100"/>
    <n v="11263.25"/>
    <n v="13636.9"/>
    <n v="10992.58"/>
    <n v="17515.48"/>
    <n v="11268.13"/>
    <n v="7868.01"/>
    <n v="9368.4599999999991"/>
    <n v="10286.82"/>
    <n v="8163.28"/>
    <n v="11939.93"/>
    <n v="14705.26"/>
    <n v="11452.52"/>
    <n v="138460.62"/>
    <n v="3252.74"/>
  </r>
  <r>
    <x v="2"/>
    <x v="1"/>
    <x v="0"/>
    <s v="2700200"/>
    <n v="450040"/>
    <s v="Contr Allow--Phys Svcs--Mcaid"/>
    <s v="Infectious Disease-Burien"/>
    <x v="0"/>
    <n v="1200"/>
    <n v="10442.379999999999"/>
    <n v="16293.89"/>
    <n v="8177.52"/>
    <n v="9502"/>
    <n v="8030.61"/>
    <n v="11656.19"/>
    <n v="8207.08"/>
    <n v="12546.5"/>
    <n v="8276.4599999999991"/>
    <n v="7317.9"/>
    <n v="10458.379999999999"/>
    <n v="8247.27"/>
    <n v="119156.18000000001"/>
    <n v="2211.1099999999988"/>
  </r>
  <r>
    <x v="2"/>
    <x v="1"/>
    <x v="0"/>
    <s v="2700200"/>
    <n v="450040"/>
    <s v="Contr Allow--Phys Svcs--Comm Insurance"/>
    <s v="Infectious Disease-Burien"/>
    <x v="0"/>
    <n v="1300"/>
    <n v="208.44"/>
    <n v="338.98"/>
    <n v="177.86"/>
    <n v="83.79"/>
    <n v="274.77999999999997"/>
    <n v="397.28"/>
    <n v="352.34"/>
    <n v="764.06"/>
    <n v="286.68"/>
    <n v="130.63999999999999"/>
    <n v="574.04"/>
    <n v="609.82000000000005"/>
    <n v="4198.7099999999991"/>
    <n v="-35.780000000000086"/>
  </r>
  <r>
    <x v="2"/>
    <x v="1"/>
    <x v="0"/>
    <s v="2700200"/>
    <n v="450040"/>
    <s v="Contr Allow--Phys Svcs--BCBS Comm Ins"/>
    <s v="Infectious Disease-Burien"/>
    <x v="0"/>
    <n v="1301"/>
    <n v="1633.2"/>
    <n v="951.33"/>
    <n v="526.63"/>
    <n v="1883.98"/>
    <n v="642.41999999999996"/>
    <n v="210.04"/>
    <n v="2644.16"/>
    <n v="1333.37"/>
    <n v="1546.16"/>
    <n v="1193.57"/>
    <n v="1407.12"/>
    <n v="1297.17"/>
    <n v="15269.15"/>
    <n v="109.94999999999982"/>
  </r>
  <r>
    <x v="2"/>
    <x v="1"/>
    <x v="0"/>
    <s v="2700200"/>
    <n v="450040"/>
    <s v="Contr Allow--Phys Svcs--Managed Care"/>
    <s v="Infectious Disease-Burien"/>
    <x v="0"/>
    <n v="1400"/>
    <n v="1351.69"/>
    <n v="3318.38"/>
    <n v="4114.88"/>
    <n v="3483.87"/>
    <n v="5007.66"/>
    <n v="3205.73"/>
    <n v="3380.19"/>
    <n v="3078.19"/>
    <n v="3168.27"/>
    <n v="3106.87"/>
    <n v="3583.55"/>
    <n v="1596.16"/>
    <n v="38395.440000000002"/>
    <n v="1987.39"/>
  </r>
  <r>
    <x v="2"/>
    <x v="1"/>
    <x v="0"/>
    <s v="2700200"/>
    <n v="450040"/>
    <s v="Contr Allow--Phys Svcs--BCBS Mgnd Care"/>
    <s v="Infectious Disease-Burien"/>
    <x v="0"/>
    <n v="1401"/>
    <n v="397.2"/>
    <n v="-5082.95"/>
    <n v="-943.29"/>
    <n v="968.91"/>
    <n v="-1083.53"/>
    <n v="3074.62"/>
    <n v="1554.6"/>
    <n v="-4604.18"/>
    <n v="1598.24"/>
    <n v="3159.82"/>
    <n v="-1508.63"/>
    <n v="-750.64"/>
    <n v="-3219.8300000000008"/>
    <n v="-757.99000000000012"/>
  </r>
  <r>
    <x v="2"/>
    <x v="1"/>
    <x v="0"/>
    <s v="2700200"/>
    <n v="450040"/>
    <s v="Admin Adjust-Phys Svcs-Self Pay"/>
    <s v="Infectious Disease-Burien"/>
    <x v="0"/>
    <n v="1600"/>
    <n v="117.86"/>
    <n v="-713.78"/>
    <n v="1789.63"/>
    <n v="788.82"/>
    <n v="92.59"/>
    <n v="1030.08"/>
    <n v="707.17"/>
    <n v="584.66"/>
    <n v="-562.03"/>
    <n v="610.87"/>
    <n v="1134.69"/>
    <n v="449.71"/>
    <n v="6030.2700000000013"/>
    <n v="684.98"/>
  </r>
  <r>
    <x v="2"/>
    <x v="1"/>
    <x v="0"/>
    <s v="2700200"/>
    <n v="450040"/>
    <s v="Contr Allow--Phys Svcs--Other"/>
    <s v="Infectious Disease-Burien"/>
    <x v="0"/>
    <n v="1700"/>
    <n v="581.53"/>
    <n v="2084.69"/>
    <n v="179"/>
    <n v="0"/>
    <n v="337.05"/>
    <n v="247.84"/>
    <n v="1542.4"/>
    <n v="115"/>
    <n v="121.11"/>
    <n v="261.66000000000003"/>
    <n v="350.64"/>
    <n v="238.61"/>
    <n v="6059.53"/>
    <n v="112.02999999999997"/>
  </r>
  <r>
    <x v="3"/>
    <x v="1"/>
    <x v="0"/>
    <s v="2700200"/>
    <n v="470040"/>
    <s v="Charity Care-Physician Svcs"/>
    <s v="Infectious Disease-Burien"/>
    <x v="0"/>
    <m/>
    <n v="-104.26"/>
    <n v="188.11"/>
    <n v="184.64"/>
    <n v="113.88"/>
    <n v="18.899999999999999"/>
    <n v="-310.93"/>
    <n v="203.38"/>
    <n v="201.91"/>
    <n v="511.69"/>
    <n v="30.71"/>
    <n v="-212.45"/>
    <n v="2251.08"/>
    <n v="3076.66"/>
    <n v="-2463.5299999999997"/>
  </r>
  <r>
    <x v="4"/>
    <x v="1"/>
    <x v="0"/>
    <s v="2700200"/>
    <n v="490010"/>
    <s v="Provision for Bad Debts"/>
    <s v="Infectious Disease-Burien"/>
    <x v="0"/>
    <m/>
    <n v="-556.4"/>
    <n v="-460.01"/>
    <n v="1345.67"/>
    <n v="2374.02"/>
    <n v="1551.42"/>
    <n v="623.76"/>
    <n v="378.79"/>
    <n v="-721.85"/>
    <n v="1658.21"/>
    <n v="2287.5300000000002"/>
    <n v="652.04999999999995"/>
    <n v="1247.3900000000001"/>
    <n v="10380.58"/>
    <n v="-595.34000000000015"/>
  </r>
  <r>
    <x v="5"/>
    <x v="1"/>
    <x v="0"/>
    <s v="2700200"/>
    <n v="700022"/>
    <s v="Salaries-Physician-Productive"/>
    <s v="Infectious Disease-Burien"/>
    <x v="0"/>
    <m/>
    <n v="0"/>
    <n v="0"/>
    <n v="0"/>
    <n v="17307.68"/>
    <n v="21153.84"/>
    <n v="20192.29"/>
    <n v="22149.22"/>
    <n v="-115553.74"/>
    <n v="34666.120000000003"/>
    <n v="0"/>
    <n v="0"/>
    <n v="0"/>
    <n v="-84.590000000003783"/>
    <n v="0"/>
  </r>
  <r>
    <x v="5"/>
    <x v="1"/>
    <x v="0"/>
    <s v="2700200"/>
    <n v="700024"/>
    <s v="Salaries-Advanced Practice Clinician-Productive"/>
    <s v="Infectious Disease-Burien"/>
    <x v="0"/>
    <m/>
    <n v="11989.24"/>
    <n v="14622.72"/>
    <n v="12880.6"/>
    <n v="14306.44"/>
    <n v="13954.56"/>
    <n v="13339.2"/>
    <n v="14737.11"/>
    <n v="12704.15"/>
    <n v="13368.87"/>
    <n v="14005.49"/>
    <n v="13515.64"/>
    <n v="11680.91"/>
    <n v="161104.92999999996"/>
    <n v="1834.7299999999996"/>
  </r>
  <r>
    <x v="5"/>
    <x v="1"/>
    <x v="0"/>
    <s v="2700200"/>
    <n v="700030"/>
    <s v="Salaries-LPN-Productive"/>
    <s v="Infectious Disease-Burien"/>
    <x v="0"/>
    <m/>
    <n v="0"/>
    <n v="0"/>
    <n v="0"/>
    <n v="1507.96"/>
    <n v="-670.2"/>
    <n v="0"/>
    <n v="0"/>
    <n v="0"/>
    <n v="0"/>
    <n v="0"/>
    <n v="0"/>
    <n v="0"/>
    <n v="837.76"/>
    <n v="0"/>
  </r>
  <r>
    <x v="5"/>
    <x v="1"/>
    <x v="0"/>
    <s v="2700200"/>
    <n v="700032"/>
    <s v="Salaries-Other Pat Care Providers-Productive"/>
    <s v="Infectious Disease-Burien"/>
    <x v="0"/>
    <m/>
    <n v="0"/>
    <n v="0"/>
    <n v="2734.89"/>
    <n v="3676.86"/>
    <n v="2652.12"/>
    <n v="2793.1"/>
    <n v="3247.45"/>
    <n v="1940.52"/>
    <n v="3493.07"/>
    <n v="1688.92"/>
    <n v="-338.1"/>
    <n v="180.42"/>
    <n v="22069.25"/>
    <n v="-518.52"/>
  </r>
  <r>
    <x v="5"/>
    <x v="1"/>
    <x v="0"/>
    <s v="2700200"/>
    <n v="700032"/>
    <s v="Salaries-Other Pat Care Providers-OT"/>
    <s v="Infectious Disease-Burien"/>
    <x v="0"/>
    <n v="1000"/>
    <n v="0"/>
    <n v="0"/>
    <n v="0"/>
    <n v="87.42"/>
    <n v="-31.8"/>
    <n v="15.9"/>
    <n v="0"/>
    <n v="0"/>
    <n v="15.92"/>
    <n v="7.96"/>
    <n v="0"/>
    <n v="0"/>
    <n v="95.4"/>
    <n v="0"/>
  </r>
  <r>
    <x v="5"/>
    <x v="1"/>
    <x v="0"/>
    <s v="2700200"/>
    <n v="700032"/>
    <s v="Salaries-Other Pat Care Providers-Other"/>
    <s v="Infectious Disease-Burien"/>
    <x v="0"/>
    <n v="2000"/>
    <n v="0"/>
    <n v="0"/>
    <n v="60"/>
    <n v="0"/>
    <n v="0"/>
    <n v="0"/>
    <n v="0"/>
    <n v="0"/>
    <n v="0"/>
    <n v="0"/>
    <n v="0"/>
    <n v="0"/>
    <n v="60"/>
    <n v="0"/>
  </r>
  <r>
    <x v="5"/>
    <x v="1"/>
    <x v="0"/>
    <s v="2700200"/>
    <n v="700064"/>
    <s v="Salaries-Advanced Practice Clinician-Non-Productive"/>
    <s v="Infectious Disease-Burien"/>
    <x v="0"/>
    <m/>
    <n v="0"/>
    <n v="0"/>
    <n v="0"/>
    <n v="637.84"/>
    <n v="698.84"/>
    <n v="697.98"/>
    <n v="694.67"/>
    <n v="684.93"/>
    <n v="688.03"/>
    <n v="682.79"/>
    <n v="681.39"/>
    <n v="676.36"/>
    <n v="6142.83"/>
    <n v="5.0299999999999727"/>
  </r>
  <r>
    <x v="5"/>
    <x v="1"/>
    <x v="0"/>
    <s v="2700200"/>
    <n v="700072"/>
    <s v="Salaries-Other Pat Care Providers-Non-productive"/>
    <s v="Infectious Disease-Burien"/>
    <x v="0"/>
    <m/>
    <n v="0"/>
    <n v="0"/>
    <n v="0"/>
    <n v="0"/>
    <n v="0"/>
    <n v="699.6"/>
    <n v="489.44"/>
    <n v="481.94"/>
    <n v="273.33"/>
    <n v="1464.94"/>
    <n v="-613.04"/>
    <n v="0"/>
    <n v="2796.21"/>
    <n v="-613.04"/>
  </r>
  <r>
    <x v="5"/>
    <x v="1"/>
    <x v="0"/>
    <s v="2700200"/>
    <n v="700072"/>
    <s v="Salaries-Other Pat Care Providers-NonProd-Other"/>
    <s v="Infectious Disease-Burien"/>
    <x v="0"/>
    <n v="2000"/>
    <n v="0"/>
    <n v="0"/>
    <n v="0"/>
    <n v="38.159999999999997"/>
    <n v="-16.96"/>
    <n v="0"/>
    <n v="0"/>
    <n v="0"/>
    <n v="0"/>
    <n v="0"/>
    <n v="0"/>
    <n v="0"/>
    <n v="21.199999999999996"/>
    <n v="0"/>
  </r>
  <r>
    <x v="5"/>
    <x v="1"/>
    <x v="0"/>
    <s v="2700200"/>
    <n v="700084"/>
    <s v="Accrued PTO"/>
    <s v="Infectious Disease-Burien"/>
    <x v="0"/>
    <m/>
    <n v="0"/>
    <n v="0"/>
    <n v="201.98"/>
    <n v="291.55"/>
    <n v="253.34"/>
    <n v="-208.82"/>
    <n v="-190.37"/>
    <n v="-235.32"/>
    <n v="80.77"/>
    <n v="-116.84"/>
    <n v="49.18"/>
    <n v="0"/>
    <n v="125.46999999999994"/>
    <n v="49.18"/>
  </r>
  <r>
    <x v="6"/>
    <x v="1"/>
    <x v="0"/>
    <s v="2700200"/>
    <n v="713010"/>
    <s v="Benefits-FICA/Medicare"/>
    <s v="Infectious Disease-Burien"/>
    <x v="0"/>
    <m/>
    <n v="909.26"/>
    <n v="1096.52"/>
    <n v="1186.9100000000001"/>
    <n v="2796"/>
    <n v="2375.0300000000002"/>
    <n v="2325.21"/>
    <n v="3089.43"/>
    <n v="-7385.85"/>
    <n v="2497.3200000000002"/>
    <n v="1302.95"/>
    <n v="940.94"/>
    <n v="888.96"/>
    <n v="12022.68"/>
    <n v="51.980000000000018"/>
  </r>
  <r>
    <x v="6"/>
    <x v="1"/>
    <x v="0"/>
    <s v="2700200"/>
    <n v="713090"/>
    <s v="Benefits-Allocated Amounts"/>
    <s v="Infectious Disease-Burien"/>
    <x v="0"/>
    <m/>
    <n v="0"/>
    <n v="0"/>
    <n v="0"/>
    <n v="0"/>
    <n v="0"/>
    <n v="0"/>
    <n v="0"/>
    <n v="0"/>
    <n v="6009.76"/>
    <n v="729.83"/>
    <n v="536.79"/>
    <n v="412.2"/>
    <n v="7688.58"/>
    <n v="124.58999999999997"/>
  </r>
  <r>
    <x v="6"/>
    <x v="1"/>
    <x v="0"/>
    <s v="2700200"/>
    <n v="713092"/>
    <s v="Allocated Benefits-Physician"/>
    <s v="Infectious Disease-Burien"/>
    <x v="0"/>
    <m/>
    <n v="527.32000000000005"/>
    <n v="507.81"/>
    <n v="777.76"/>
    <n v="1408.99"/>
    <n v="1463.42"/>
    <n v="1703.27"/>
    <n v="1793.07"/>
    <n v="-2014.24"/>
    <n v="-1525.91"/>
    <n v="563.66999999999996"/>
    <n v="414.58"/>
    <n v="318.35000000000002"/>
    <n v="5938.09"/>
    <n v="96.229999999999961"/>
  </r>
  <r>
    <x v="6"/>
    <x v="1"/>
    <x v="0"/>
    <s v="2700200"/>
    <n v="713093"/>
    <s v="Allocated Benefits-Advanced Practice Clinician"/>
    <s v="Infectious Disease-Burien"/>
    <x v="0"/>
    <m/>
    <n v="889.85"/>
    <n v="856.94"/>
    <n v="1312.45"/>
    <n v="2377.67"/>
    <n v="2469.5300000000002"/>
    <n v="2874.28"/>
    <n v="3025.81"/>
    <n v="-3399.05"/>
    <n v="-312.25"/>
    <n v="1225.98"/>
    <n v="901.72"/>
    <n v="692.41"/>
    <n v="12915.339999999998"/>
    <n v="209.31000000000006"/>
  </r>
  <r>
    <x v="11"/>
    <x v="1"/>
    <x v="0"/>
    <s v="2700200"/>
    <n v="721410"/>
    <s v="Supplies-Medical - Nonbillable"/>
    <s v="Infectious Disease-Burien"/>
    <x v="0"/>
    <m/>
    <n v="0"/>
    <n v="0"/>
    <n v="16.98"/>
    <n v="0"/>
    <n v="0"/>
    <n v="0"/>
    <n v="0"/>
    <n v="0"/>
    <n v="0"/>
    <n v="0"/>
    <n v="151.71"/>
    <n v="273.08999999999997"/>
    <n v="441.78"/>
    <n v="-121.37999999999997"/>
  </r>
  <r>
    <x v="0"/>
    <x v="1"/>
    <x v="0"/>
    <s v="2700200"/>
    <n v="740022"/>
    <s v="Education-Physician"/>
    <s v="Infectious Disease-Burien"/>
    <x v="0"/>
    <m/>
    <n v="0"/>
    <n v="0"/>
    <n v="0"/>
    <n v="0"/>
    <n v="0"/>
    <n v="0"/>
    <n v="1910"/>
    <n v="0"/>
    <n v="0"/>
    <n v="0"/>
    <n v="0"/>
    <n v="0"/>
    <n v="1910"/>
    <n v="0"/>
  </r>
  <r>
    <x v="8"/>
    <x v="1"/>
    <x v="0"/>
    <s v="2700200"/>
    <n v="741012"/>
    <s v="Physician Liab Insurance-CHI Program"/>
    <s v="Infectious Disease-Burien"/>
    <x v="0"/>
    <m/>
    <n v="0"/>
    <n v="0"/>
    <n v="0"/>
    <n v="0"/>
    <n v="517.79"/>
    <n v="517.79"/>
    <n v="517.79"/>
    <n v="517.79"/>
    <n v="0"/>
    <n v="0"/>
    <n v="0"/>
    <n v="0"/>
    <n v="2071.16"/>
    <n v="0"/>
  </r>
  <r>
    <x v="0"/>
    <x v="1"/>
    <x v="0"/>
    <s v="2700200"/>
    <n v="749510"/>
    <s v="Miscellaneous Expenses"/>
    <s v="Infectious Disease-Burien"/>
    <x v="0"/>
    <m/>
    <n v="0"/>
    <n v="0"/>
    <n v="0"/>
    <n v="20.18"/>
    <n v="-20.18"/>
    <n v="0"/>
    <n v="0"/>
    <n v="16.82"/>
    <n v="-16.82"/>
    <n v="0"/>
    <n v="0"/>
    <n v="0"/>
    <n v="0"/>
    <n v="0"/>
  </r>
  <r>
    <x v="0"/>
    <x v="1"/>
    <x v="0"/>
    <s v="2700200"/>
    <n v="749512"/>
    <s v="Licenses-Physician"/>
    <s v="Infectious Disease-Burien"/>
    <x v="0"/>
    <n v="2000"/>
    <n v="0"/>
    <n v="0"/>
    <n v="0"/>
    <n v="0"/>
    <n v="0"/>
    <n v="0"/>
    <n v="657"/>
    <n v="0"/>
    <n v="0"/>
    <n v="0"/>
    <n v="0"/>
    <n v="0"/>
    <n v="657"/>
    <n v="0"/>
  </r>
  <r>
    <x v="0"/>
    <x v="1"/>
    <x v="0"/>
    <s v="2700200"/>
    <n v="749530"/>
    <s v="Mileage"/>
    <s v="Infectious Disease-Burien"/>
    <x v="0"/>
    <n v="1001"/>
    <n v="0"/>
    <n v="0"/>
    <n v="92.11"/>
    <n v="0"/>
    <n v="20.170000000000002"/>
    <n v="0"/>
    <n v="0"/>
    <n v="0"/>
    <n v="16.82"/>
    <n v="0"/>
    <n v="0"/>
    <n v="0"/>
    <n v="129.1"/>
    <n v="0"/>
  </r>
  <r>
    <x v="0"/>
    <x v="1"/>
    <x v="0"/>
    <s v="2700200"/>
    <n v="749532"/>
    <s v="Travel-Physician"/>
    <s v="Infectious Disease-Burien"/>
    <x v="0"/>
    <m/>
    <n v="0"/>
    <n v="0"/>
    <n v="0"/>
    <n v="0"/>
    <n v="0"/>
    <n v="0"/>
    <n v="1621.15"/>
    <n v="0"/>
    <n v="0"/>
    <n v="0"/>
    <n v="0"/>
    <n v="0"/>
    <n v="1621.15"/>
    <n v="0"/>
  </r>
  <r>
    <x v="9"/>
    <x v="1"/>
    <x v="0"/>
    <s v="2700200"/>
    <n v="800015"/>
    <s v="Interest Income-Ext to CHI"/>
    <s v="Infectious Disease-Burien"/>
    <x v="0"/>
    <m/>
    <n v="0"/>
    <n v="0"/>
    <n v="0"/>
    <n v="-12.84"/>
    <n v="-73.84"/>
    <n v="-72.98"/>
    <n v="-69.67"/>
    <n v="-59.93"/>
    <n v="-63.03"/>
    <n v="-57.79"/>
    <n v="-56.39"/>
    <n v="-51.36"/>
    <n v="-517.83000000000004"/>
    <n v="-5.0300000000000011"/>
  </r>
  <r>
    <x v="18"/>
    <x v="3"/>
    <x v="0"/>
    <s v="3000101"/>
    <n v="400010"/>
    <s v="Acute I/P Svcs Rev--Medicare"/>
    <s v="Med/Surg 7th Floor"/>
    <x v="0"/>
    <n v="1100"/>
    <n v="-1701905.29"/>
    <n v="-1507517.35"/>
    <n v="-1722134.58"/>
    <n v="-2004178.78"/>
    <n v="-1744375.76"/>
    <n v="-1743939.14"/>
    <n v="-1886677.3"/>
    <n v="-1771219.53"/>
    <n v="-2097644.77"/>
    <n v="-1837993.17"/>
    <n v="-1752991.56"/>
    <n v="-1991586.63"/>
    <n v="-21762163.859999999"/>
    <n v="238595.06999999983"/>
  </r>
  <r>
    <x v="18"/>
    <x v="3"/>
    <x v="0"/>
    <s v="3000101"/>
    <n v="400010"/>
    <s v="Acute I/P Svcs Rev--Medicaid"/>
    <s v="Med/Surg 7th Floor"/>
    <x v="0"/>
    <n v="1200"/>
    <n v="-597254.6"/>
    <n v="-730239.28"/>
    <n v="-718469.61"/>
    <n v="-633332.21"/>
    <n v="-673830.62"/>
    <n v="-681086.08"/>
    <n v="-499305.46"/>
    <n v="-770301.18"/>
    <n v="-506656.12"/>
    <n v="-582503.43999999994"/>
    <n v="-748614.74"/>
    <n v="-659281.37"/>
    <n v="-7800874.71"/>
    <n v="-89333.37"/>
  </r>
  <r>
    <x v="18"/>
    <x v="3"/>
    <x v="0"/>
    <s v="3000101"/>
    <n v="400010"/>
    <s v="Acute I/P Svcs Rev--Comm Insurance"/>
    <s v="Med/Surg 7th Floor"/>
    <x v="0"/>
    <n v="1300"/>
    <n v="-64790.3"/>
    <n v="-45496.39"/>
    <n v="-12814.41"/>
    <n v="-29751.32"/>
    <n v="-31931.16"/>
    <n v="-16872.04"/>
    <n v="-33395.769999999997"/>
    <n v="-50421.06"/>
    <n v="-83904.47"/>
    <n v="21242.44"/>
    <n v="-70737.73"/>
    <n v="-30574.04"/>
    <n v="-449446.25"/>
    <n v="-40163.689999999995"/>
  </r>
  <r>
    <x v="18"/>
    <x v="3"/>
    <x v="0"/>
    <s v="3000101"/>
    <n v="400010"/>
    <s v="Acute I/P Svcs Rev--BCBS Comm"/>
    <s v="Med/Surg 7th Floor"/>
    <x v="0"/>
    <n v="1301"/>
    <n v="-50401.91"/>
    <n v="-216692.32"/>
    <n v="-88412.34"/>
    <n v="-86991.84"/>
    <n v="-125066.28"/>
    <n v="-58866.99"/>
    <n v="-168400.74"/>
    <n v="-28636"/>
    <n v="-77077.94"/>
    <n v="-159469.81"/>
    <n v="-96440.19"/>
    <n v="-137491.12"/>
    <n v="-1293947.48"/>
    <n v="41050.929999999993"/>
  </r>
  <r>
    <x v="18"/>
    <x v="3"/>
    <x v="0"/>
    <s v="3000101"/>
    <n v="400010"/>
    <s v="Acute I/P Svcs Rev--Managed Care"/>
    <s v="Med/Surg 7th Floor"/>
    <x v="0"/>
    <n v="1400"/>
    <n v="-747466.16"/>
    <n v="-657539.48"/>
    <n v="-632623.05000000005"/>
    <n v="-584344.35"/>
    <n v="-452579.27"/>
    <n v="-748353.22"/>
    <n v="-684149.92"/>
    <n v="-583269.32999999996"/>
    <n v="-589087.67000000004"/>
    <n v="-592431.30000000005"/>
    <n v="-480684.23"/>
    <n v="-563112.66"/>
    <n v="-7315640.6400000006"/>
    <n v="82428.430000000051"/>
  </r>
  <r>
    <x v="18"/>
    <x v="3"/>
    <x v="0"/>
    <s v="3000101"/>
    <n v="400010"/>
    <s v="Acute I/P Svcs Rev--Self Pay"/>
    <s v="Med/Surg 7th Floor"/>
    <x v="0"/>
    <n v="1500"/>
    <n v="-3171"/>
    <n v="-37454.230000000003"/>
    <n v="-53529.18"/>
    <n v="-10673.88"/>
    <n v="-60019.63"/>
    <n v="-17559.560000000001"/>
    <n v="-12803.22"/>
    <n v="-9798"/>
    <n v="-56156.11"/>
    <n v="-3702.69"/>
    <n v="-32123.74"/>
    <n v="-51170.82"/>
    <n v="-348162.06"/>
    <n v="19047.079999999998"/>
  </r>
  <r>
    <x v="18"/>
    <x v="3"/>
    <x v="0"/>
    <s v="3000101"/>
    <n v="400010"/>
    <s v="Acute I/P Svcs Rev--Other"/>
    <s v="Med/Surg 7th Floor"/>
    <x v="0"/>
    <n v="1700"/>
    <n v="-32925.93"/>
    <n v="-111208.4"/>
    <n v="-84791.2"/>
    <n v="-27533.27"/>
    <n v="-63704.95"/>
    <n v="-113450.77"/>
    <n v="-65485.25"/>
    <n v="-106061.67"/>
    <n v="-41406.53"/>
    <n v="-65741.34"/>
    <n v="-289696.31"/>
    <n v="57837.66"/>
    <n v="-944167.95999999985"/>
    <n v="-347533.97"/>
  </r>
  <r>
    <x v="19"/>
    <x v="3"/>
    <x v="0"/>
    <s v="3000101"/>
    <n v="400020"/>
    <s v="O/P Care Svcs Rev--Medicare"/>
    <s v="Med/Surg 7th Floor"/>
    <x v="0"/>
    <n v="1100"/>
    <n v="-166965.37"/>
    <n v="-118383.75"/>
    <n v="-100418.96"/>
    <n v="-120090.58"/>
    <n v="-119092.44"/>
    <n v="-87443.63"/>
    <n v="-107008.37"/>
    <n v="-82310.2"/>
    <n v="-106503.25"/>
    <n v="-109667.18"/>
    <n v="-84265.8"/>
    <n v="-50833.64"/>
    <n v="-1252983.17"/>
    <n v="-33432.160000000003"/>
  </r>
  <r>
    <x v="19"/>
    <x v="3"/>
    <x v="0"/>
    <s v="3000101"/>
    <n v="400020"/>
    <s v="O/P Care Svcs Rev--Medicaid"/>
    <s v="Med/Surg 7th Floor"/>
    <x v="0"/>
    <n v="1200"/>
    <n v="-37044.26"/>
    <n v="-19578.82"/>
    <n v="-23872.01"/>
    <n v="-16070.98"/>
    <n v="-37101.629999999997"/>
    <n v="-78414.48"/>
    <n v="-34952.870000000003"/>
    <n v="-26993.279999999999"/>
    <n v="-9843.65"/>
    <n v="-17683.61"/>
    <n v="-48073.77"/>
    <n v="-46204.94"/>
    <n v="-395834.3"/>
    <n v="-1868.8299999999945"/>
  </r>
  <r>
    <x v="19"/>
    <x v="3"/>
    <x v="0"/>
    <s v="3000101"/>
    <n v="400020"/>
    <s v="O/P Care Svcs Rev--Comm Insurance"/>
    <s v="Med/Surg 7th Floor"/>
    <x v="0"/>
    <n v="1300"/>
    <n v="-16116.9"/>
    <n v="-10284.950000000001"/>
    <n v="0"/>
    <n v="0"/>
    <n v="-5383.52"/>
    <n v="-3261.99"/>
    <n v="0"/>
    <n v="0"/>
    <n v="419.18"/>
    <n v="0"/>
    <n v="0"/>
    <n v="-3680.32"/>
    <n v="-38308.5"/>
    <n v="3680.32"/>
  </r>
  <r>
    <x v="19"/>
    <x v="3"/>
    <x v="0"/>
    <s v="3000101"/>
    <n v="400020"/>
    <s v="O/P Care Svcs Rev--BCBS Comm"/>
    <s v="Med/Surg 7th Floor"/>
    <x v="0"/>
    <n v="1301"/>
    <n v="-8236.82"/>
    <n v="-255.26"/>
    <n v="-2169.54"/>
    <n v="-8423.36"/>
    <n v="-11374.71"/>
    <n v="-9576.52"/>
    <n v="-1531.5"/>
    <n v="-2987.14"/>
    <n v="-1496.88"/>
    <n v="-10465.74"/>
    <n v="-12978.48"/>
    <n v="-358.98"/>
    <n v="-69854.929999999993"/>
    <n v="-12619.5"/>
  </r>
  <r>
    <x v="19"/>
    <x v="3"/>
    <x v="0"/>
    <s v="3000101"/>
    <n v="400020"/>
    <s v="O/P Care Svcs Rev--Managed Care"/>
    <s v="Med/Surg 7th Floor"/>
    <x v="0"/>
    <n v="1400"/>
    <n v="-54919.63"/>
    <n v="-62944.04"/>
    <n v="-8091.52"/>
    <n v="-42741.33"/>
    <n v="-71140.25"/>
    <n v="-27000.18"/>
    <n v="-47285.99"/>
    <n v="-16110.36"/>
    <n v="-55513.25"/>
    <n v="-45298.91"/>
    <n v="-20904.080000000002"/>
    <n v="-27267.67"/>
    <n v="-479217.20999999996"/>
    <n v="6363.5899999999965"/>
  </r>
  <r>
    <x v="19"/>
    <x v="3"/>
    <x v="0"/>
    <s v="3000101"/>
    <n v="400020"/>
    <s v="O/P Care Svcs Rev--Self Pay"/>
    <s v="Med/Surg 7th Floor"/>
    <x v="0"/>
    <n v="1500"/>
    <n v="-1717.69"/>
    <n v="1717.69"/>
    <n v="0"/>
    <n v="-17185.560000000001"/>
    <n v="0"/>
    <n v="-4594.32"/>
    <n v="-3895.93"/>
    <n v="0"/>
    <n v="-14324.34"/>
    <n v="0"/>
    <n v="-17960.86"/>
    <n v="-2891.68"/>
    <n v="-60852.69"/>
    <n v="-15069.18"/>
  </r>
  <r>
    <x v="19"/>
    <x v="3"/>
    <x v="0"/>
    <s v="3000101"/>
    <n v="400020"/>
    <s v="O/P Care Svcs Rev--Other"/>
    <s v="Med/Surg 7th Floor"/>
    <x v="0"/>
    <n v="1700"/>
    <n v="-11853.07"/>
    <n v="-4142.66"/>
    <n v="-4346.7299999999996"/>
    <n v="-14962.87"/>
    <n v="0"/>
    <n v="-5720.61"/>
    <n v="-3445.83"/>
    <n v="-1712.45"/>
    <n v="0"/>
    <n v="-6907.4"/>
    <n v="2313"/>
    <n v="-3949.44"/>
    <n v="-54728.060000000005"/>
    <n v="6262.4400000000005"/>
  </r>
  <r>
    <x v="5"/>
    <x v="3"/>
    <x v="0"/>
    <s v="3000101"/>
    <n v="700014"/>
    <s v="Salaries-Management-Productive"/>
    <s v="Med/Surg 7th Floor"/>
    <x v="0"/>
    <m/>
    <n v="16138.38"/>
    <n v="18409.13"/>
    <n v="19771.39"/>
    <n v="22662.76"/>
    <n v="19718.03"/>
    <n v="14983.08"/>
    <n v="20752.419999999998"/>
    <n v="17260.32"/>
    <n v="22684.59"/>
    <n v="22283.48"/>
    <n v="15439.82"/>
    <n v="18885.34"/>
    <n v="228988.74000000002"/>
    <n v="-3445.5200000000004"/>
  </r>
  <r>
    <x v="5"/>
    <x v="3"/>
    <x v="0"/>
    <s v="3000101"/>
    <n v="700014"/>
    <s v="Salaries-Management-Other"/>
    <s v="Med/Surg 7th Floor"/>
    <x v="0"/>
    <n v="2000"/>
    <n v="0"/>
    <n v="0"/>
    <n v="-860.81"/>
    <n v="0"/>
    <n v="0"/>
    <n v="0"/>
    <n v="0"/>
    <n v="0"/>
    <n v="0"/>
    <n v="0"/>
    <n v="0"/>
    <n v="0"/>
    <n v="-860.81"/>
    <n v="0"/>
  </r>
  <r>
    <x v="5"/>
    <x v="3"/>
    <x v="0"/>
    <s v="3000101"/>
    <n v="700026"/>
    <s v="Salaries-RN-Productive"/>
    <s v="Med/Surg 7th Floor"/>
    <x v="0"/>
    <m/>
    <n v="290333.01"/>
    <n v="284879.55"/>
    <n v="293722.65999999997"/>
    <n v="285522.65999999997"/>
    <n v="283023.40000000002"/>
    <n v="283258.74"/>
    <n v="283826.77"/>
    <n v="255167.59"/>
    <n v="265687.38"/>
    <n v="277550.65999999997"/>
    <n v="284965.34999999998"/>
    <n v="274855.90000000002"/>
    <n v="3362793.67"/>
    <n v="10109.449999999953"/>
  </r>
  <r>
    <x v="5"/>
    <x v="3"/>
    <x v="0"/>
    <s v="3000101"/>
    <n v="700026"/>
    <s v="Salaries-RN-OT"/>
    <s v="Med/Surg 7th Floor"/>
    <x v="0"/>
    <n v="1000"/>
    <n v="14670.64"/>
    <n v="14189.65"/>
    <n v="18121.54"/>
    <n v="17184"/>
    <n v="14096.53"/>
    <n v="22074.23"/>
    <n v="24909.65"/>
    <n v="27562.53"/>
    <n v="29525.48"/>
    <n v="22668.61"/>
    <n v="11337.6"/>
    <n v="18349.8"/>
    <n v="234690.25999999998"/>
    <n v="-7012.1999999999989"/>
  </r>
  <r>
    <x v="5"/>
    <x v="3"/>
    <x v="0"/>
    <s v="3000101"/>
    <n v="700026"/>
    <s v="Salaries-RN-Other"/>
    <s v="Med/Surg 7th Floor"/>
    <x v="0"/>
    <n v="2000"/>
    <n v="29088.19"/>
    <n v="29383.19"/>
    <n v="27915.45"/>
    <n v="28747.85"/>
    <n v="28324.91"/>
    <n v="26690.89"/>
    <n v="27110.560000000001"/>
    <n v="25512.44"/>
    <n v="26095.21"/>
    <n v="26284.69"/>
    <n v="28118.31"/>
    <n v="25735.42"/>
    <n v="329007.10999999993"/>
    <n v="2382.8900000000031"/>
  </r>
  <r>
    <x v="5"/>
    <x v="3"/>
    <x v="0"/>
    <s v="3000101"/>
    <n v="700032"/>
    <s v="Salaries-Other Pat Care Providers-Productive"/>
    <s v="Med/Surg 7th Floor"/>
    <x v="0"/>
    <m/>
    <n v="60081.31"/>
    <n v="64618.58"/>
    <n v="54195.46"/>
    <n v="65305.57"/>
    <n v="57267.97"/>
    <n v="67266.240000000005"/>
    <n v="67714.17"/>
    <n v="63849.279999999999"/>
    <n v="65592.88"/>
    <n v="55610.94"/>
    <n v="63792.69"/>
    <n v="61842.28"/>
    <n v="747137.36999999988"/>
    <n v="1950.4100000000035"/>
  </r>
  <r>
    <x v="5"/>
    <x v="3"/>
    <x v="0"/>
    <s v="3000101"/>
    <n v="700032"/>
    <s v="Salaries-Other Pat Care Providers-OT"/>
    <s v="Med/Surg 7th Floor"/>
    <x v="0"/>
    <n v="1000"/>
    <n v="1025.25"/>
    <n v="930.16"/>
    <n v="1774.97"/>
    <n v="2462.4499999999998"/>
    <n v="282.85000000000002"/>
    <n v="2908.51"/>
    <n v="3122.64"/>
    <n v="6829.98"/>
    <n v="8366.19"/>
    <n v="3394.1"/>
    <n v="4823.79"/>
    <n v="3777.25"/>
    <n v="39698.14"/>
    <n v="1046.54"/>
  </r>
  <r>
    <x v="5"/>
    <x v="3"/>
    <x v="0"/>
    <s v="3000101"/>
    <n v="700032"/>
    <s v="Salaries-Other Pat Care Providers-Other"/>
    <s v="Med/Surg 7th Floor"/>
    <x v="0"/>
    <n v="2000"/>
    <n v="4194.93"/>
    <n v="5087.99"/>
    <n v="4101.99"/>
    <n v="4945.95"/>
    <n v="4482.17"/>
    <n v="4947.74"/>
    <n v="5055.6499999999996"/>
    <n v="4849.12"/>
    <n v="5794.79"/>
    <n v="4024.01"/>
    <n v="4502.34"/>
    <n v="4059.33"/>
    <n v="56046.010000000009"/>
    <n v="443.01000000000022"/>
  </r>
  <r>
    <x v="5"/>
    <x v="3"/>
    <x v="0"/>
    <s v="3000101"/>
    <n v="700038"/>
    <s v="Salaries-Service/Support-Productive"/>
    <s v="Med/Surg 7th Floor"/>
    <x v="0"/>
    <m/>
    <n v="2444.7199999999998"/>
    <n v="2197.11"/>
    <n v="2129.2800000000002"/>
    <n v="2069.8000000000002"/>
    <n v="2889.31"/>
    <n v="2683.6"/>
    <n v="3772.64"/>
    <n v="2819"/>
    <n v="1963.93"/>
    <n v="2970.4"/>
    <n v="1275.7"/>
    <n v="2964.3"/>
    <n v="30179.79"/>
    <n v="-1688.6000000000001"/>
  </r>
  <r>
    <x v="5"/>
    <x v="3"/>
    <x v="0"/>
    <s v="3000101"/>
    <n v="700038"/>
    <s v="Salaries-Service/Support-OT"/>
    <s v="Med/Surg 7th Floor"/>
    <x v="0"/>
    <n v="1000"/>
    <n v="0"/>
    <n v="0"/>
    <n v="0"/>
    <n v="0"/>
    <n v="0"/>
    <n v="19.559999999999999"/>
    <n v="-2.44"/>
    <n v="0"/>
    <n v="26.93"/>
    <n v="-1.22"/>
    <n v="0"/>
    <n v="0"/>
    <n v="42.83"/>
    <n v="0"/>
  </r>
  <r>
    <x v="5"/>
    <x v="3"/>
    <x v="0"/>
    <s v="3000101"/>
    <n v="700054"/>
    <s v="Salaries-Management-Non-productive"/>
    <s v="Med/Surg 7th Floor"/>
    <x v="0"/>
    <m/>
    <n v="6292.33"/>
    <n v="4022.62"/>
    <n v="1052.43"/>
    <n v="221.85"/>
    <n v="2532.8000000000002"/>
    <n v="8010.21"/>
    <n v="2276.7600000000002"/>
    <n v="4515.3999999999996"/>
    <n v="194.39"/>
    <n v="0"/>
    <n v="7587.17"/>
    <n v="3399.18"/>
    <n v="40105.14"/>
    <n v="4187.99"/>
  </r>
  <r>
    <x v="5"/>
    <x v="3"/>
    <x v="0"/>
    <s v="3000101"/>
    <n v="700054"/>
    <s v="Salaries-Management-NonProd-Other"/>
    <s v="Med/Surg 7th Floor"/>
    <x v="0"/>
    <n v="2000"/>
    <n v="0"/>
    <n v="0"/>
    <n v="0"/>
    <n v="0"/>
    <n v="0"/>
    <n v="5158.6400000000003"/>
    <n v="-5158.6400000000003"/>
    <n v="0"/>
    <n v="0"/>
    <n v="-665.32"/>
    <n v="0"/>
    <n v="0"/>
    <n v="-665.32"/>
    <n v="0"/>
  </r>
  <r>
    <x v="5"/>
    <x v="3"/>
    <x v="0"/>
    <s v="3000101"/>
    <n v="700066"/>
    <s v="Salaries-RN-Non-productive"/>
    <s v="Med/Surg 7th Floor"/>
    <x v="0"/>
    <m/>
    <n v="52868.04"/>
    <n v="59026.32"/>
    <n v="41672.239999999998"/>
    <n v="42057.81"/>
    <n v="61474.19"/>
    <n v="67652.37"/>
    <n v="46870.05"/>
    <n v="49950.73"/>
    <n v="38804.550000000003"/>
    <n v="40095.67"/>
    <n v="65011.22"/>
    <n v="41343.949999999997"/>
    <n v="606827.1399999999"/>
    <n v="23667.270000000004"/>
  </r>
  <r>
    <x v="5"/>
    <x v="3"/>
    <x v="0"/>
    <s v="3000101"/>
    <n v="700066"/>
    <s v="Salaries-RN-NonProd-Other"/>
    <s v="Med/Surg 7th Floor"/>
    <x v="0"/>
    <n v="2000"/>
    <n v="4350.57"/>
    <n v="4569.42"/>
    <n v="4233.54"/>
    <n v="3131.5"/>
    <n v="8646.1"/>
    <n v="10224.83"/>
    <n v="4902.49"/>
    <n v="-382.65"/>
    <n v="4433.99"/>
    <n v="4910.25"/>
    <n v="4848.62"/>
    <n v="4119.12"/>
    <n v="57987.78"/>
    <n v="729.5"/>
  </r>
  <r>
    <x v="5"/>
    <x v="3"/>
    <x v="0"/>
    <s v="3000101"/>
    <n v="700072"/>
    <s v="Salaries-Other Pat Care Providers-Non-productive"/>
    <s v="Med/Surg 7th Floor"/>
    <x v="0"/>
    <m/>
    <n v="9235.4599999999991"/>
    <n v="9148.0499999999993"/>
    <n v="9447.49"/>
    <n v="9772.7199999999993"/>
    <n v="8937.6"/>
    <n v="10008.92"/>
    <n v="8189.64"/>
    <n v="7160.54"/>
    <n v="11362.94"/>
    <n v="8611.89"/>
    <n v="9247.59"/>
    <n v="7077.22"/>
    <n v="108200.06"/>
    <n v="2170.37"/>
  </r>
  <r>
    <x v="5"/>
    <x v="3"/>
    <x v="0"/>
    <s v="3000101"/>
    <n v="700072"/>
    <s v="Salaries-Other Pat Care Providers-NonProd-Other"/>
    <s v="Med/Surg 7th Floor"/>
    <x v="0"/>
    <n v="2000"/>
    <n v="577.92999999999995"/>
    <n v="596.38"/>
    <n v="471.62"/>
    <n v="356.03"/>
    <n v="2611.59"/>
    <n v="2981.54"/>
    <n v="493.27"/>
    <n v="-3704.55"/>
    <n v="865.68"/>
    <n v="616.05999999999995"/>
    <n v="789.81"/>
    <n v="552.69000000000005"/>
    <n v="7208.0500000000011"/>
    <n v="237.11999999999989"/>
  </r>
  <r>
    <x v="5"/>
    <x v="3"/>
    <x v="0"/>
    <s v="3000101"/>
    <n v="700078"/>
    <s v="Salaries-Service/Support-Non-productive"/>
    <s v="Med/Surg 7th Floor"/>
    <x v="0"/>
    <m/>
    <n v="899.88"/>
    <n v="-51.48"/>
    <n v="0"/>
    <n v="0"/>
    <n v="0"/>
    <n v="0"/>
    <n v="0"/>
    <n v="0"/>
    <n v="0"/>
    <n v="0"/>
    <n v="0"/>
    <n v="0"/>
    <n v="848.4"/>
    <n v="0"/>
  </r>
  <r>
    <x v="5"/>
    <x v="3"/>
    <x v="0"/>
    <s v="3000101"/>
    <n v="700084"/>
    <s v="Accrued PTO"/>
    <s v="Med/Surg 7th Floor"/>
    <x v="0"/>
    <m/>
    <n v="-3583.83"/>
    <n v="-5594.02"/>
    <n v="6405.71"/>
    <n v="14619.32"/>
    <n v="4881.82"/>
    <n v="-11823.23"/>
    <n v="4314.17"/>
    <n v="-97.04"/>
    <n v="11613.76"/>
    <n v="18630.5"/>
    <n v="-5868.31"/>
    <n v="14262.6"/>
    <n v="47761.450000000004"/>
    <n v="-20130.91"/>
  </r>
  <r>
    <x v="10"/>
    <x v="3"/>
    <x v="0"/>
    <s v="3000101"/>
    <n v="710060"/>
    <s v="Contract Labor-Other"/>
    <s v="Med/Surg 7th Floor"/>
    <x v="0"/>
    <m/>
    <n v="5904"/>
    <n v="10423.25"/>
    <n v="4047"/>
    <n v="1437.75"/>
    <n v="1207"/>
    <n v="1704"/>
    <n v="2537.5"/>
    <n v="4966.75"/>
    <n v="2857.75"/>
    <n v="0"/>
    <n v="3289.5"/>
    <n v="372.75"/>
    <n v="38747.25"/>
    <n v="2916.75"/>
  </r>
  <r>
    <x v="10"/>
    <x v="3"/>
    <x v="0"/>
    <s v="3000101"/>
    <n v="710060"/>
    <s v="Contract Labor-Overtime"/>
    <s v="Med/Surg 7th Floor"/>
    <x v="0"/>
    <n v="5100"/>
    <n v="3183.3"/>
    <n v="0"/>
    <n v="0"/>
    <n v="0"/>
    <n v="0"/>
    <n v="0"/>
    <n v="0"/>
    <n v="0"/>
    <n v="0"/>
    <n v="0"/>
    <n v="0"/>
    <n v="0"/>
    <n v="3183.3"/>
    <n v="0"/>
  </r>
  <r>
    <x v="6"/>
    <x v="3"/>
    <x v="0"/>
    <s v="3000101"/>
    <n v="713010"/>
    <s v="Benefits-FICA/Medicare"/>
    <s v="Med/Surg 7th Floor"/>
    <x v="0"/>
    <m/>
    <n v="36790.199999999997"/>
    <n v="36847.21"/>
    <n v="35521.86"/>
    <n v="35955.08"/>
    <n v="37643.870000000003"/>
    <n v="38594.620000000003"/>
    <n v="37479.769999999997"/>
    <n v="34995.06"/>
    <n v="35753.949999999997"/>
    <n v="34615.18"/>
    <n v="37189.39"/>
    <n v="34605.269999999997"/>
    <n v="435991.46"/>
    <n v="2584.1200000000026"/>
  </r>
  <r>
    <x v="6"/>
    <x v="3"/>
    <x v="0"/>
    <s v="3000101"/>
    <n v="713090"/>
    <s v="Benefits-Allocated Amounts"/>
    <s v="Med/Surg 7th Floor"/>
    <x v="0"/>
    <m/>
    <n v="103839.96"/>
    <n v="97897.71"/>
    <n v="100456.75"/>
    <n v="101934.5"/>
    <n v="104377.15"/>
    <n v="104650.68"/>
    <n v="108237.05"/>
    <n v="107531.92"/>
    <n v="83784.479999999996"/>
    <n v="103030.93"/>
    <n v="115512.72"/>
    <n v="104646.55"/>
    <n v="1235900.4000000001"/>
    <n v="10866.169999999998"/>
  </r>
  <r>
    <x v="6"/>
    <x v="3"/>
    <x v="0"/>
    <s v="3000101"/>
    <n v="713096"/>
    <s v="Employee Recognition"/>
    <s v="Med/Surg 7th Floor"/>
    <x v="0"/>
    <n v="1017"/>
    <n v="0"/>
    <n v="0"/>
    <n v="0"/>
    <n v="0"/>
    <n v="0"/>
    <n v="0"/>
    <n v="0"/>
    <n v="0"/>
    <n v="0"/>
    <n v="796.66"/>
    <n v="135.12"/>
    <n v="546.96"/>
    <n v="1478.74"/>
    <n v="-411.84000000000003"/>
  </r>
  <r>
    <x v="17"/>
    <x v="3"/>
    <x v="0"/>
    <s v="3000101"/>
    <n v="714520"/>
    <s v="Other Contracted Professionals"/>
    <s v="Med/Surg 7th Floor"/>
    <x v="0"/>
    <m/>
    <n v="0"/>
    <n v="1937.5"/>
    <n v="968.75"/>
    <n v="0"/>
    <n v="0"/>
    <n v="1937.5"/>
    <n v="1937.5"/>
    <n v="968.75"/>
    <n v="968.75"/>
    <n v="968.75"/>
    <n v="968.75"/>
    <n v="968.75"/>
    <n v="11625"/>
    <n v="0"/>
  </r>
  <r>
    <x v="7"/>
    <x v="3"/>
    <x v="0"/>
    <s v="3000101"/>
    <n v="718050"/>
    <s v="Contract Svcs-Other"/>
    <s v="Med/Surg 7th Floor"/>
    <x v="0"/>
    <m/>
    <n v="0"/>
    <n v="0"/>
    <n v="0"/>
    <n v="0"/>
    <n v="0"/>
    <n v="0"/>
    <n v="275.25"/>
    <n v="0"/>
    <n v="550.5"/>
    <n v="0"/>
    <n v="0"/>
    <n v="0"/>
    <n v="825.75"/>
    <n v="0"/>
  </r>
  <r>
    <x v="7"/>
    <x v="3"/>
    <x v="0"/>
    <s v="3000101"/>
    <n v="718050"/>
    <s v="Document Shredding/Storage"/>
    <s v="Med/Surg 7th Floor"/>
    <x v="0"/>
    <n v="1012"/>
    <n v="15.5"/>
    <n v="15.9"/>
    <n v="14.61"/>
    <n v="15.12"/>
    <n v="15.63"/>
    <n v="15.63"/>
    <n v="15.47"/>
    <n v="13.26"/>
    <n v="13.74"/>
    <n v="18.02"/>
    <n v="15.12"/>
    <n v="15.63"/>
    <n v="183.63"/>
    <n v="-0.51000000000000156"/>
  </r>
  <r>
    <x v="7"/>
    <x v="3"/>
    <x v="0"/>
    <s v="3000101"/>
    <n v="718050"/>
    <s v="Contract Svcs--Medical/Dental"/>
    <s v="Med/Surg 7th Floor"/>
    <x v="0"/>
    <n v="1024"/>
    <n v="0"/>
    <n v="0"/>
    <n v="0"/>
    <n v="0"/>
    <n v="0"/>
    <n v="0"/>
    <n v="0"/>
    <n v="978.77"/>
    <n v="0"/>
    <n v="0"/>
    <n v="0"/>
    <n v="258.95999999999998"/>
    <n v="1237.73"/>
    <n v="-258.95999999999998"/>
  </r>
  <r>
    <x v="7"/>
    <x v="3"/>
    <x v="0"/>
    <s v="3000101"/>
    <n v="718050"/>
    <s v="Translation Services"/>
    <s v="Med/Surg 7th Floor"/>
    <x v="0"/>
    <n v="1025"/>
    <n v="0"/>
    <n v="978.79"/>
    <n v="202.83"/>
    <n v="350.76"/>
    <n v="144"/>
    <n v="179.33"/>
    <n v="107.17"/>
    <n v="168"/>
    <n v="89.27"/>
    <n v="0"/>
    <n v="111.39"/>
    <n v="414.75"/>
    <n v="2746.29"/>
    <n v="-303.36"/>
  </r>
  <r>
    <x v="7"/>
    <x v="3"/>
    <x v="0"/>
    <s v="3000101"/>
    <n v="718050"/>
    <s v="Contract Management--Linen"/>
    <s v="Med/Surg 7th Floor"/>
    <x v="0"/>
    <n v="1026"/>
    <n v="9510.31"/>
    <n v="9099.32"/>
    <n v="9016.2199999999993"/>
    <n v="12618.25"/>
    <n v="11297.39"/>
    <n v="9806.52"/>
    <n v="9594.7999999999993"/>
    <n v="10852.46"/>
    <n v="9910.7099999999991"/>
    <n v="10046.73"/>
    <n v="13914.37"/>
    <n v="8642.4599999999991"/>
    <n v="124309.53999999998"/>
    <n v="5271.9100000000017"/>
  </r>
  <r>
    <x v="11"/>
    <x v="3"/>
    <x v="0"/>
    <s v="3000101"/>
    <n v="721010"/>
    <s v="Supplies-Medical - Billable"/>
    <s v="Med/Surg 7th Floor"/>
    <x v="0"/>
    <m/>
    <n v="8995.6"/>
    <n v="9339.5300000000007"/>
    <n v="7908.04"/>
    <n v="9142.48"/>
    <n v="9328.4"/>
    <n v="9131.24"/>
    <n v="9303.86"/>
    <n v="6150.47"/>
    <n v="9447.36"/>
    <n v="7327.73"/>
    <n v="10541.4"/>
    <n v="6705.93"/>
    <n v="103322.03999999998"/>
    <n v="3835.4699999999993"/>
  </r>
  <r>
    <x v="11"/>
    <x v="3"/>
    <x v="0"/>
    <s v="3000101"/>
    <n v="721010"/>
    <s v="Patient Monitoring"/>
    <s v="Med/Surg 7th Floor"/>
    <x v="0"/>
    <n v="1000"/>
    <n v="129.26"/>
    <n v="147.12"/>
    <n v="169.87"/>
    <n v="59.92"/>
    <n v="142.61000000000001"/>
    <n v="121.81"/>
    <n v="155.06"/>
    <n v="179.96"/>
    <n v="129.96"/>
    <n v="2082.04"/>
    <n v="211.29"/>
    <n v="1869.57"/>
    <n v="5398.4699999999993"/>
    <n v="-1658.28"/>
  </r>
  <r>
    <x v="11"/>
    <x v="3"/>
    <x v="0"/>
    <s v="3000101"/>
    <n v="721020"/>
    <s v="Supplies-Surgical - Billable"/>
    <s v="Med/Surg 7th Floor"/>
    <x v="0"/>
    <m/>
    <n v="465.91"/>
    <n v="384.6"/>
    <n v="496.17"/>
    <n v="563.21"/>
    <n v="1637.45"/>
    <n v="381.44"/>
    <n v="618.79"/>
    <n v="412.24"/>
    <n v="534.30999999999995"/>
    <n v="1015.59"/>
    <n v="807.97"/>
    <n v="623.41999999999996"/>
    <n v="7941.0999999999995"/>
    <n v="184.55000000000007"/>
  </r>
  <r>
    <x v="11"/>
    <x v="3"/>
    <x v="0"/>
    <s v="3000101"/>
    <n v="721020"/>
    <s v="Custom Packs"/>
    <s v="Med/Surg 7th Floor"/>
    <x v="0"/>
    <n v="1000"/>
    <n v="0"/>
    <n v="317.76"/>
    <n v="820.88"/>
    <n v="761.16"/>
    <n v="694.11"/>
    <n v="610.65"/>
    <n v="847.36"/>
    <n v="486.77"/>
    <n v="704.83"/>
    <n v="503.12"/>
    <n v="424.48"/>
    <n v="503.12"/>
    <n v="6674.2400000000007"/>
    <n v="-78.639999999999986"/>
  </r>
  <r>
    <x v="11"/>
    <x v="3"/>
    <x v="0"/>
    <s v="3000101"/>
    <n v="721020"/>
    <s v="Suture/Wound Closure"/>
    <s v="Med/Surg 7th Floor"/>
    <x v="0"/>
    <n v="1001"/>
    <n v="0"/>
    <n v="1.1499999999999999"/>
    <n v="109.35"/>
    <n v="4.8"/>
    <n v="5.38"/>
    <n v="10"/>
    <n v="1.2"/>
    <n v="1.2"/>
    <n v="3.51"/>
    <n v="0"/>
    <n v="2.31"/>
    <n v="0"/>
    <n v="138.89999999999998"/>
    <n v="2.31"/>
  </r>
  <r>
    <x v="11"/>
    <x v="3"/>
    <x v="0"/>
    <s v="3000101"/>
    <n v="721020"/>
    <s v="Urological Supplies"/>
    <s v="Med/Surg 7th Floor"/>
    <x v="0"/>
    <n v="1006"/>
    <n v="399.17"/>
    <n v="0"/>
    <n v="0"/>
    <n v="-41.55"/>
    <n v="0"/>
    <n v="0"/>
    <n v="0"/>
    <n v="0"/>
    <n v="0"/>
    <n v="0"/>
    <n v="0"/>
    <n v="0"/>
    <n v="357.62"/>
    <n v="0"/>
  </r>
  <r>
    <x v="11"/>
    <x v="3"/>
    <x v="0"/>
    <s v="3000101"/>
    <n v="721020"/>
    <s v="Surgical Cardiovascular"/>
    <s v="Med/Surg 7th Floor"/>
    <x v="0"/>
    <n v="1007"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000101"/>
    <n v="721020"/>
    <s v="Tubes Drains &amp; Related Supplies"/>
    <s v="Med/Surg 7th Floor"/>
    <x v="0"/>
    <n v="1008"/>
    <n v="-146.30000000000001"/>
    <n v="32.299999999999997"/>
    <n v="69.89"/>
    <n v="163.03"/>
    <n v="185.75"/>
    <n v="27.55"/>
    <n v="119.6"/>
    <n v="23.76"/>
    <n v="58.43"/>
    <n v="213.41"/>
    <n v="0"/>
    <n v="0"/>
    <n v="747.41999999999985"/>
    <n v="0"/>
  </r>
  <r>
    <x v="11"/>
    <x v="3"/>
    <x v="0"/>
    <s v="3000101"/>
    <n v="721050"/>
    <s v="Supplies-Cardiac Rhythm - Billable"/>
    <s v="Med/Surg 7th Floor"/>
    <x v="0"/>
    <m/>
    <n v="59.24"/>
    <n v="0"/>
    <n v="0"/>
    <n v="0"/>
    <n v="0"/>
    <n v="60.29"/>
    <n v="0"/>
    <n v="0"/>
    <n v="0"/>
    <n v="0"/>
    <n v="0"/>
    <n v="0"/>
    <n v="119.53"/>
    <n v="0"/>
  </r>
  <r>
    <x v="11"/>
    <x v="3"/>
    <x v="0"/>
    <s v="3000101"/>
    <n v="721240"/>
    <s v="Supplies-IV Solutions/Supplies - Billable"/>
    <s v="Med/Surg 7th Floor"/>
    <x v="0"/>
    <m/>
    <n v="1115.6300000000001"/>
    <n v="952.11"/>
    <n v="825.05"/>
    <n v="739.19"/>
    <n v="523.77"/>
    <n v="697.42"/>
    <n v="866.9"/>
    <n v="411.9"/>
    <n v="721.37"/>
    <n v="532.77"/>
    <n v="852.46"/>
    <n v="433.49"/>
    <n v="8672.06"/>
    <n v="418.97"/>
  </r>
  <r>
    <x v="11"/>
    <x v="3"/>
    <x v="0"/>
    <s v="3000101"/>
    <n v="721250"/>
    <s v="Supplies-Pharmacy Drugs - Billable"/>
    <s v="Med/Surg 7th Floor"/>
    <x v="0"/>
    <m/>
    <n v="0"/>
    <n v="0"/>
    <n v="0"/>
    <n v="0"/>
    <n v="43.28"/>
    <n v="0"/>
    <n v="1.69"/>
    <n v="0"/>
    <n v="0"/>
    <n v="0"/>
    <n v="0"/>
    <n v="0"/>
    <n v="44.97"/>
    <n v="0"/>
  </r>
  <r>
    <x v="11"/>
    <x v="3"/>
    <x v="0"/>
    <s v="3000101"/>
    <n v="721410"/>
    <s v="Supplies-Medical - Nonbillable"/>
    <s v="Med/Surg 7th Floor"/>
    <x v="0"/>
    <m/>
    <n v="17163.46"/>
    <n v="16802.48"/>
    <n v="14481.45"/>
    <n v="16680.84"/>
    <n v="19027.8"/>
    <n v="18059.55"/>
    <n v="17913.439999999999"/>
    <n v="15590.62"/>
    <n v="17005.3"/>
    <n v="18541.87"/>
    <n v="19285.87"/>
    <n v="15537.16"/>
    <n v="206089.84"/>
    <n v="3748.7099999999991"/>
  </r>
  <r>
    <x v="11"/>
    <x v="3"/>
    <x v="0"/>
    <s v="3000101"/>
    <n v="721410"/>
    <s v="Patient Monitoring"/>
    <s v="Med/Surg 7th Floor"/>
    <x v="0"/>
    <n v="1000"/>
    <n v="7.5"/>
    <n v="15"/>
    <n v="0"/>
    <n v="3.07"/>
    <n v="0"/>
    <n v="8.61"/>
    <n v="0"/>
    <n v="0"/>
    <n v="0"/>
    <n v="0"/>
    <n v="0"/>
    <n v="5.4"/>
    <n v="39.58"/>
    <n v="-5.4"/>
  </r>
  <r>
    <x v="11"/>
    <x v="3"/>
    <x v="0"/>
    <s v="3000101"/>
    <n v="721420"/>
    <s v="Supplies-Surgical Nonbillable"/>
    <s v="Med/Surg 7th Floor"/>
    <x v="0"/>
    <m/>
    <n v="42.82"/>
    <n v="2.73"/>
    <n v="55.95"/>
    <n v="137.88"/>
    <n v="94.95"/>
    <n v="144.97999999999999"/>
    <n v="49.81"/>
    <n v="145.87"/>
    <n v="74.599999999999994"/>
    <n v="91.85"/>
    <n v="114.74"/>
    <n v="66.28"/>
    <n v="1022.4599999999999"/>
    <n v="48.459999999999994"/>
  </r>
  <r>
    <x v="11"/>
    <x v="3"/>
    <x v="0"/>
    <s v="3000101"/>
    <n v="721420"/>
    <s v="Tubes Drains &amp; Related Supplies"/>
    <s v="Med/Surg 7th Floor"/>
    <x v="0"/>
    <n v="1008"/>
    <n v="36.72"/>
    <n v="59.42"/>
    <n v="33.880000000000003"/>
    <n v="35.58"/>
    <n v="42.64"/>
    <n v="81.36"/>
    <n v="0"/>
    <n v="18.91"/>
    <n v="0"/>
    <n v="7.53"/>
    <n v="57.41"/>
    <n v="9.89"/>
    <n v="383.34000000000003"/>
    <n v="47.519999999999996"/>
  </r>
  <r>
    <x v="11"/>
    <x v="3"/>
    <x v="0"/>
    <s v="3000101"/>
    <n v="721420"/>
    <s v="Sterilization Process Products"/>
    <s v="Med/Surg 7th Floor"/>
    <x v="0"/>
    <n v="1009"/>
    <n v="0"/>
    <n v="58.85"/>
    <n v="26.75"/>
    <n v="58.85"/>
    <n v="23.78"/>
    <n v="5.35"/>
    <n v="5.35"/>
    <n v="26.75"/>
    <n v="42.8"/>
    <n v="0"/>
    <n v="0"/>
    <n v="10.7"/>
    <n v="259.17999999999995"/>
    <n v="-10.7"/>
  </r>
  <r>
    <x v="11"/>
    <x v="3"/>
    <x v="0"/>
    <s v="3000101"/>
    <n v="721610"/>
    <s v="Supplies-Anesthesia - Nonbillable"/>
    <s v="Med/Surg 7th Floor"/>
    <x v="0"/>
    <m/>
    <n v="849.94"/>
    <n v="355.48"/>
    <n v="600.72"/>
    <n v="1004.68"/>
    <n v="610.61"/>
    <n v="652.83000000000004"/>
    <n v="389.08"/>
    <n v="652.79"/>
    <n v="822.8"/>
    <n v="307.57"/>
    <n v="1240.97"/>
    <n v="658.09"/>
    <n v="8145.56"/>
    <n v="582.88"/>
  </r>
  <r>
    <x v="11"/>
    <x v="3"/>
    <x v="0"/>
    <s v="3000101"/>
    <n v="721640"/>
    <s v="Supplies-IV Solutions/Supplies - Nonbillable"/>
    <s v="Med/Surg 7th Floor"/>
    <x v="0"/>
    <m/>
    <n v="5041.22"/>
    <n v="5524.79"/>
    <n v="4856.29"/>
    <n v="4900.8999999999996"/>
    <n v="5541.5"/>
    <n v="5419.71"/>
    <n v="3495.97"/>
    <n v="4800.79"/>
    <n v="5504.26"/>
    <n v="4349.24"/>
    <n v="5189.53"/>
    <n v="3920.35"/>
    <n v="58544.549999999996"/>
    <n v="1269.1799999999998"/>
  </r>
  <r>
    <x v="11"/>
    <x v="3"/>
    <x v="0"/>
    <s v="3000101"/>
    <n v="721650"/>
    <s v="Supplies-Pharmacy Drugs - Nonbillable"/>
    <s v="Med/Surg 7th Floor"/>
    <x v="0"/>
    <m/>
    <n v="101.1"/>
    <n v="102.73"/>
    <n v="44.06"/>
    <n v="110.41"/>
    <n v="149.01"/>
    <n v="91.21"/>
    <n v="37.01"/>
    <n v="55.89"/>
    <n v="105.12"/>
    <n v="206.51"/>
    <n v="111.48"/>
    <n v="76.19"/>
    <n v="1190.72"/>
    <n v="35.290000000000006"/>
  </r>
  <r>
    <x v="11"/>
    <x v="3"/>
    <x v="0"/>
    <s v="3000101"/>
    <n v="721710"/>
    <s v="Supplies-Laboratory - Nonbillable"/>
    <s v="Med/Surg 7th Floor"/>
    <x v="0"/>
    <m/>
    <n v="656.39"/>
    <n v="642.30999999999995"/>
    <n v="559.41"/>
    <n v="523.74"/>
    <n v="552.44000000000005"/>
    <n v="548.54999999999995"/>
    <n v="518.79999999999995"/>
    <n v="514.91"/>
    <n v="574.42999999999995"/>
    <n v="537.66999999999996"/>
    <n v="599.76"/>
    <n v="556.51"/>
    <n v="6784.92"/>
    <n v="43.25"/>
  </r>
  <r>
    <x v="11"/>
    <x v="3"/>
    <x v="0"/>
    <s v="3000101"/>
    <n v="721710"/>
    <s v="Reagents"/>
    <s v="Med/Surg 7th Floor"/>
    <x v="0"/>
    <n v="1000"/>
    <n v="2"/>
    <n v="0"/>
    <n v="8.25"/>
    <n v="2"/>
    <n v="62.02"/>
    <n v="31.36"/>
    <n v="2"/>
    <n v="2"/>
    <n v="12"/>
    <n v="0"/>
    <n v="-2"/>
    <n v="145.11000000000001"/>
    <n v="264.74"/>
    <n v="-147.11000000000001"/>
  </r>
  <r>
    <x v="11"/>
    <x v="3"/>
    <x v="0"/>
    <s v="3000101"/>
    <n v="721750"/>
    <s v="Supplies-Film/Radiographic - Nonbillable"/>
    <s v="Med/Surg 7th Floor"/>
    <x v="0"/>
    <m/>
    <n v="3.74"/>
    <n v="1.87"/>
    <n v="1.87"/>
    <n v="0"/>
    <n v="4.68"/>
    <n v="1.87"/>
    <n v="3.74"/>
    <n v="1.88"/>
    <n v="2.81"/>
    <n v="4.68"/>
    <n v="0.94"/>
    <n v="2.81"/>
    <n v="30.89"/>
    <n v="-1.87"/>
  </r>
  <r>
    <x v="11"/>
    <x v="3"/>
    <x v="0"/>
    <s v="3000101"/>
    <n v="721810"/>
    <s v="Supplies-Dietary/Cafeteria"/>
    <s v="Med/Surg 7th Floor"/>
    <x v="0"/>
    <m/>
    <n v="3683.01"/>
    <n v="2642.01"/>
    <n v="3118.89"/>
    <n v="2863.99"/>
    <n v="3082.75"/>
    <n v="2607.56"/>
    <n v="2558.21"/>
    <n v="2621.96"/>
    <n v="3013.7"/>
    <n v="2818.25"/>
    <n v="3346.8"/>
    <n v="2466.4299999999998"/>
    <n v="34823.56"/>
    <n v="880.37000000000035"/>
  </r>
  <r>
    <x v="11"/>
    <x v="3"/>
    <x v="0"/>
    <s v="3000101"/>
    <n v="721830"/>
    <s v="Supplies-Office"/>
    <s v="Med/Surg 7th Floor"/>
    <x v="0"/>
    <m/>
    <n v="711.09"/>
    <n v="2478.0700000000002"/>
    <n v="-283.01"/>
    <n v="998.53"/>
    <n v="1634.14"/>
    <n v="1070.94"/>
    <n v="823.18"/>
    <n v="166.79"/>
    <n v="1075.71"/>
    <n v="1057.67"/>
    <n v="546.28"/>
    <n v="571.48"/>
    <n v="10850.87"/>
    <n v="-25.200000000000045"/>
  </r>
  <r>
    <x v="11"/>
    <x v="3"/>
    <x v="0"/>
    <s v="3000101"/>
    <n v="721835"/>
    <s v="Supplies-Forms"/>
    <s v="Med/Surg 7th Floor"/>
    <x v="0"/>
    <m/>
    <n v="0"/>
    <n v="0"/>
    <n v="0"/>
    <n v="0"/>
    <n v="212.32"/>
    <n v="290.2"/>
    <n v="89.25"/>
    <n v="0"/>
    <n v="144.03"/>
    <n v="0"/>
    <n v="144.26"/>
    <n v="255.33"/>
    <n v="1135.3899999999999"/>
    <n v="-111.07000000000002"/>
  </r>
  <r>
    <x v="11"/>
    <x v="3"/>
    <x v="0"/>
    <s v="3000101"/>
    <n v="721870"/>
    <s v="Supplies-Environmental Services"/>
    <s v="Med/Surg 7th Floor"/>
    <x v="0"/>
    <m/>
    <n v="2141.79"/>
    <n v="1276.98"/>
    <n v="1009.18"/>
    <n v="1189.18"/>
    <n v="1185.71"/>
    <n v="901.9"/>
    <n v="1060.92"/>
    <n v="769.07"/>
    <n v="865.95"/>
    <n v="817.41"/>
    <n v="902.8"/>
    <n v="646.91"/>
    <n v="12767.8"/>
    <n v="255.89"/>
  </r>
  <r>
    <x v="11"/>
    <x v="3"/>
    <x v="0"/>
    <s v="3000101"/>
    <n v="721880"/>
    <s v="Supplies-Linen"/>
    <s v="Med/Surg 7th Floor"/>
    <x v="0"/>
    <m/>
    <n v="80.25"/>
    <n v="83.46"/>
    <n v="93.09"/>
    <n v="104.4"/>
    <n v="-73.98"/>
    <n v="25.68"/>
    <n v="19.260000000000002"/>
    <n v="22.47"/>
    <n v="173.34"/>
    <n v="102.72"/>
    <n v="54.57"/>
    <n v="0"/>
    <n v="685.26"/>
    <n v="54.57"/>
  </r>
  <r>
    <x v="11"/>
    <x v="3"/>
    <x v="0"/>
    <s v="3000101"/>
    <n v="721910"/>
    <s v="Supplies-Small Equipment"/>
    <s v="Med/Surg 7th Floor"/>
    <x v="0"/>
    <m/>
    <n v="8533.5"/>
    <n v="6767.6"/>
    <n v="9963.39"/>
    <n v="-206.61"/>
    <n v="13226.73"/>
    <n v="32791.370000000003"/>
    <n v="10078.620000000001"/>
    <n v="15764.75"/>
    <n v="30163.13"/>
    <n v="4730.2299999999996"/>
    <n v="6021.2"/>
    <n v="4239.32"/>
    <n v="142073.23000000004"/>
    <n v="1781.88"/>
  </r>
  <r>
    <x v="11"/>
    <x v="3"/>
    <x v="0"/>
    <s v="3000101"/>
    <n v="721910"/>
    <s v="Instruments"/>
    <s v="Med/Surg 7th Floor"/>
    <x v="0"/>
    <n v="1000"/>
    <n v="940.05"/>
    <n v="829.73"/>
    <n v="593.96"/>
    <n v="898.98"/>
    <n v="457.01"/>
    <n v="866.8"/>
    <n v="607.08000000000004"/>
    <n v="497.78"/>
    <n v="637.24"/>
    <n v="549.46"/>
    <n v="764.92"/>
    <n v="641.28"/>
    <n v="8284.2899999999991"/>
    <n v="123.63999999999999"/>
  </r>
  <r>
    <x v="11"/>
    <x v="3"/>
    <x v="0"/>
    <s v="3000101"/>
    <n v="721980"/>
    <s v="Supplies-Other"/>
    <s v="Med/Surg 7th Floor"/>
    <x v="0"/>
    <m/>
    <n v="0"/>
    <n v="0.52"/>
    <n v="720"/>
    <n v="72.72"/>
    <n v="0"/>
    <n v="0"/>
    <n v="0"/>
    <n v="537.58000000000004"/>
    <n v="253.07"/>
    <n v="-20.94"/>
    <n v="-15.72"/>
    <n v="0"/>
    <n v="1547.23"/>
    <n v="-15.72"/>
  </r>
  <r>
    <x v="11"/>
    <x v="3"/>
    <x v="0"/>
    <s v="3000101"/>
    <n v="722000"/>
    <s v="Supplies-Freight Expense"/>
    <s v="Med/Surg 7th Floor"/>
    <x v="0"/>
    <m/>
    <n v="0"/>
    <n v="48.89"/>
    <n v="89.39"/>
    <n v="15.98"/>
    <n v="21.41"/>
    <n v="0"/>
    <n v="19.2"/>
    <n v="11.91"/>
    <n v="0"/>
    <n v="76.06"/>
    <n v="8.26"/>
    <n v="17.260000000000002"/>
    <n v="308.35999999999996"/>
    <n v="-9.0000000000000018"/>
  </r>
  <r>
    <x v="12"/>
    <x v="3"/>
    <x v="0"/>
    <s v="3000101"/>
    <n v="730020"/>
    <s v="Rental and Leases-Equipment (DO NOT USE)"/>
    <s v="Med/Surg 7th Floor"/>
    <x v="0"/>
    <m/>
    <n v="0"/>
    <n v="0"/>
    <n v="0"/>
    <n v="-14042.07"/>
    <n v="-3583.64"/>
    <n v="0"/>
    <n v="0"/>
    <n v="0"/>
    <n v="0"/>
    <n v="0"/>
    <n v="0"/>
    <n v="0"/>
    <n v="-17625.71"/>
    <n v="0"/>
  </r>
  <r>
    <x v="12"/>
    <x v="3"/>
    <x v="0"/>
    <s v="3000101"/>
    <n v="730020"/>
    <s v="Rental and Leases-Copier Usage Fees (DO NOT USE)"/>
    <s v="Med/Surg 7th Floor"/>
    <x v="0"/>
    <n v="5100"/>
    <n v="574.82000000000005"/>
    <n v="589.52"/>
    <n v="582.16999999999996"/>
    <n v="582.16999999999996"/>
    <n v="582.16999999999996"/>
    <n v="582.17999999999995"/>
    <n v="1121.6300000000001"/>
    <n v="802"/>
    <n v="627.16999999999996"/>
    <n v="331.59"/>
    <n v="441.69"/>
    <n v="441.67"/>
    <n v="7258.78"/>
    <n v="1.999999999998181E-2"/>
  </r>
  <r>
    <x v="15"/>
    <x v="3"/>
    <x v="0"/>
    <s v="3000101"/>
    <n v="731060"/>
    <s v="Cell Phones"/>
    <s v="Med/Surg 7th Floor"/>
    <x v="0"/>
    <n v="1001"/>
    <n v="0"/>
    <n v="62.65"/>
    <n v="25.86"/>
    <n v="0"/>
    <n v="29.78"/>
    <n v="10.82"/>
    <n v="62.93"/>
    <n v="0"/>
    <n v="31.96"/>
    <n v="63.41"/>
    <n v="31.09"/>
    <n v="31.7"/>
    <n v="350.19999999999993"/>
    <n v="-0.60999999999999943"/>
  </r>
  <r>
    <x v="15"/>
    <x v="3"/>
    <x v="0"/>
    <s v="3000101"/>
    <n v="731060"/>
    <s v="Pagers"/>
    <s v="Med/Surg 7th Floor"/>
    <x v="0"/>
    <n v="1002"/>
    <n v="24.3"/>
    <n v="24.3"/>
    <n v="24.3"/>
    <n v="24.36"/>
    <n v="24.36"/>
    <n v="0"/>
    <n v="48.72"/>
    <n v="24.36"/>
    <n v="24.36"/>
    <n v="24.36"/>
    <n v="24.36"/>
    <n v="24.36"/>
    <n v="292.14000000000004"/>
    <n v="0"/>
  </r>
  <r>
    <x v="16"/>
    <x v="3"/>
    <x v="0"/>
    <s v="3000101"/>
    <n v="732020"/>
    <s v="Repairs--Clin Equip-Parts-Internal to CHI Programs"/>
    <s v="Med/Surg 7th Floor"/>
    <x v="0"/>
    <m/>
    <n v="0"/>
    <n v="0"/>
    <n v="0"/>
    <n v="0"/>
    <n v="0"/>
    <n v="0"/>
    <n v="0"/>
    <n v="0"/>
    <n v="0"/>
    <n v="265.23"/>
    <n v="265.23"/>
    <n v="1447.09"/>
    <n v="1977.55"/>
    <n v="-1181.8599999999999"/>
  </r>
  <r>
    <x v="13"/>
    <x v="3"/>
    <x v="0"/>
    <s v="3000101"/>
    <n v="735040"/>
    <s v="Depreciation-Building Improvements"/>
    <s v="Med/Surg 7th Floor"/>
    <x v="0"/>
    <m/>
    <n v="19280.86"/>
    <n v="19280.86"/>
    <n v="19280.86"/>
    <n v="19280.86"/>
    <n v="19280.86"/>
    <n v="19280.86"/>
    <n v="19280.87"/>
    <n v="19280.86"/>
    <n v="19280.87"/>
    <n v="19280.86"/>
    <n v="19280.87"/>
    <n v="19280.86"/>
    <n v="231370.34999999998"/>
    <n v="9.9999999983992893E-3"/>
  </r>
  <r>
    <x v="13"/>
    <x v="3"/>
    <x v="0"/>
    <s v="3000101"/>
    <n v="735060"/>
    <s v="Depreciation-Fixed Equipment"/>
    <s v="Med/Surg 7th Floor"/>
    <x v="0"/>
    <m/>
    <n v="887.55"/>
    <n v="887.55"/>
    <n v="887.55"/>
    <n v="887.54"/>
    <n v="887.55"/>
    <n v="887.54"/>
    <n v="1244.5999999999999"/>
    <n v="1252.99"/>
    <n v="1253.01"/>
    <n v="2495.63"/>
    <n v="3433.16"/>
    <n v="1761.12"/>
    <n v="16765.789999999997"/>
    <n v="1672.04"/>
  </r>
  <r>
    <x v="13"/>
    <x v="3"/>
    <x v="0"/>
    <s v="3000101"/>
    <n v="735070"/>
    <s v="Depreciation-Movable Equipment"/>
    <s v="Med/Surg 7th Floor"/>
    <x v="0"/>
    <m/>
    <n v="41181.99"/>
    <n v="41184.339999999997"/>
    <n v="41184.44"/>
    <n v="41102.35"/>
    <n v="35088.639999999999"/>
    <n v="35088.5"/>
    <n v="35194.68"/>
    <n v="35194.49"/>
    <n v="35194.720000000001"/>
    <n v="36609.18"/>
    <n v="36401"/>
    <n v="36400.67"/>
    <n v="449825"/>
    <n v="0.33000000000174623"/>
  </r>
  <r>
    <x v="0"/>
    <x v="3"/>
    <x v="0"/>
    <s v="3000101"/>
    <n v="740020"/>
    <s v="Education-Registration Fees"/>
    <s v="Med/Surg 7th Floor"/>
    <x v="0"/>
    <m/>
    <n v="0"/>
    <n v="0"/>
    <n v="0"/>
    <n v="0"/>
    <n v="0"/>
    <n v="0"/>
    <n v="0"/>
    <n v="0"/>
    <n v="0"/>
    <n v="660"/>
    <n v="0"/>
    <n v="0"/>
    <n v="660"/>
    <n v="0"/>
  </r>
  <r>
    <x v="0"/>
    <x v="3"/>
    <x v="0"/>
    <s v="3000101"/>
    <n v="743030"/>
    <s v="Subscriptions--Institutional"/>
    <s v="Med/Surg 7th Floor"/>
    <x v="0"/>
    <m/>
    <n v="0"/>
    <n v="0"/>
    <n v="0"/>
    <n v="0"/>
    <n v="0"/>
    <n v="0"/>
    <n v="0"/>
    <n v="0"/>
    <n v="0"/>
    <n v="0"/>
    <n v="133.08000000000001"/>
    <n v="0"/>
    <n v="133.08000000000001"/>
    <n v="133.08000000000001"/>
  </r>
  <r>
    <x v="0"/>
    <x v="3"/>
    <x v="0"/>
    <s v="3000101"/>
    <n v="749510"/>
    <s v="Miscellaneous Expenses"/>
    <s v="Med/Surg 7th Floor"/>
    <x v="0"/>
    <m/>
    <n v="401.44"/>
    <n v="265.77"/>
    <n v="78.37"/>
    <n v="1218.27"/>
    <n v="-63.16"/>
    <n v="141.43"/>
    <n v="8078.87"/>
    <n v="728.24"/>
    <n v="90.46"/>
    <n v="2784.54"/>
    <n v="225.39"/>
    <n v="18.420000000000002"/>
    <n v="13968.039999999999"/>
    <n v="206.96999999999997"/>
  </r>
  <r>
    <x v="0"/>
    <x v="3"/>
    <x v="0"/>
    <s v="3000101"/>
    <n v="749510"/>
    <s v="Licenses"/>
    <s v="Med/Surg 7th Floor"/>
    <x v="0"/>
    <n v="1002"/>
    <n v="0"/>
    <n v="0"/>
    <n v="0"/>
    <n v="0"/>
    <n v="0"/>
    <n v="0"/>
    <n v="0"/>
    <n v="375"/>
    <n v="0"/>
    <n v="0"/>
    <n v="0"/>
    <n v="0"/>
    <n v="375"/>
    <n v="0"/>
  </r>
  <r>
    <x v="0"/>
    <x v="3"/>
    <x v="0"/>
    <s v="3000101"/>
    <n v="749510"/>
    <s v="Casualty Loss/Patient Property"/>
    <s v="Med/Surg 7th Floor"/>
    <x v="0"/>
    <n v="4601"/>
    <n v="0"/>
    <n v="0"/>
    <n v="0"/>
    <n v="0"/>
    <n v="0"/>
    <n v="0"/>
    <n v="0"/>
    <n v="3973.95"/>
    <n v="0"/>
    <n v="0"/>
    <n v="0"/>
    <n v="0"/>
    <n v="3973.95"/>
    <n v="0"/>
  </r>
  <r>
    <x v="0"/>
    <x v="3"/>
    <x v="0"/>
    <s v="3000101"/>
    <n v="749510"/>
    <s v="RICE Rewards"/>
    <s v="Med/Surg 7th Floor"/>
    <x v="0"/>
    <n v="5100"/>
    <n v="0"/>
    <n v="0"/>
    <n v="0"/>
    <n v="0"/>
    <n v="109.89"/>
    <n v="0"/>
    <n v="0"/>
    <n v="0"/>
    <n v="0"/>
    <n v="110.99"/>
    <n v="447.95"/>
    <n v="0"/>
    <n v="668.82999999999993"/>
    <n v="447.95"/>
  </r>
  <r>
    <x v="0"/>
    <x v="3"/>
    <x v="0"/>
    <s v="3000101"/>
    <n v="749530"/>
    <s v="Travel"/>
    <s v="Med/Surg 7th Floor"/>
    <x v="0"/>
    <m/>
    <n v="0"/>
    <n v="0"/>
    <n v="0"/>
    <n v="0"/>
    <n v="0"/>
    <n v="0"/>
    <n v="0"/>
    <n v="0"/>
    <n v="0"/>
    <n v="1040.31"/>
    <n v="0"/>
    <n v="0"/>
    <n v="1040.31"/>
    <n v="0"/>
  </r>
  <r>
    <x v="18"/>
    <x v="4"/>
    <x v="0"/>
    <s v="3000103"/>
    <n v="400010"/>
    <s v="Acute I/P Svcs Rev--Medicare"/>
    <s v="Med/Tele"/>
    <x v="0"/>
    <n v="1100"/>
    <n v="-2020283.27"/>
    <n v="-2147700.36"/>
    <n v="-2035694.89"/>
    <n v="-2106323.06"/>
    <n v="-1907968.36"/>
    <n v="-1822299.08"/>
    <n v="-1724203.47"/>
    <n v="-1892247.51"/>
    <n v="-2195479.41"/>
    <n v="-1911663.83"/>
    <n v="-1976366.77"/>
    <n v="-1638102.09"/>
    <n v="-23378332.100000001"/>
    <n v="-338264.67999999993"/>
  </r>
  <r>
    <x v="18"/>
    <x v="4"/>
    <x v="0"/>
    <s v="3000103"/>
    <n v="400010"/>
    <s v="Acute I/P Svcs Rev--Medicaid"/>
    <s v="Med/Tele"/>
    <x v="0"/>
    <n v="1200"/>
    <n v="-804308.34"/>
    <n v="-747025.44"/>
    <n v="-738062.81"/>
    <n v="-831221.58"/>
    <n v="-786057.51"/>
    <n v="-1101692.92"/>
    <n v="-968840.35"/>
    <n v="-1077251.3"/>
    <n v="-832765.48"/>
    <n v="-1066651.93"/>
    <n v="-920415.13"/>
    <n v="-993645.99"/>
    <n v="-10867938.779999999"/>
    <n v="73230.859999999986"/>
  </r>
  <r>
    <x v="18"/>
    <x v="4"/>
    <x v="0"/>
    <s v="3000103"/>
    <n v="400010"/>
    <s v="Acute I/P Svcs Rev--Comm Insurance"/>
    <s v="Med/Tele"/>
    <x v="0"/>
    <n v="1300"/>
    <n v="-33994.35"/>
    <n v="21099.02"/>
    <n v="19822.439999999999"/>
    <n v="-20241.93"/>
    <n v="3534.3"/>
    <n v="-35280.639999999999"/>
    <n v="-23954.39"/>
    <n v="-51953.3"/>
    <n v="-3266"/>
    <n v="16193.14"/>
    <n v="-41352.36"/>
    <n v="-16532.66"/>
    <n v="-165926.73000000001"/>
    <n v="-24819.7"/>
  </r>
  <r>
    <x v="18"/>
    <x v="4"/>
    <x v="0"/>
    <s v="3000103"/>
    <n v="400010"/>
    <s v="Acute I/P Svcs Rev--BCBS Comm"/>
    <s v="Med/Tele"/>
    <x v="0"/>
    <n v="1301"/>
    <n v="-43282.6"/>
    <n v="-10958.38"/>
    <n v="-53540.11"/>
    <n v="-18182.71"/>
    <n v="-14425.82"/>
    <n v="-13095.52"/>
    <n v="-59450.61"/>
    <n v="-41903"/>
    <n v="-52914.03"/>
    <n v="-77024.42"/>
    <n v="-48846.080000000002"/>
    <n v="-37514.22"/>
    <n v="-471137.5"/>
    <n v="-11331.86"/>
  </r>
  <r>
    <x v="18"/>
    <x v="4"/>
    <x v="0"/>
    <s v="3000103"/>
    <n v="400010"/>
    <s v="Acute I/P Svcs Rev--Managed Care"/>
    <s v="Med/Tele"/>
    <x v="0"/>
    <n v="1400"/>
    <n v="-173816.5"/>
    <n v="-158465.28"/>
    <n v="-177500.54"/>
    <n v="-213227.14"/>
    <n v="-97895.97"/>
    <n v="-95763.35"/>
    <n v="-79337.87"/>
    <n v="-89163.73"/>
    <n v="-173276.1"/>
    <n v="-15708.99"/>
    <n v="-124088.69"/>
    <n v="-185059.72"/>
    <n v="-1583303.8800000001"/>
    <n v="60971.03"/>
  </r>
  <r>
    <x v="18"/>
    <x v="4"/>
    <x v="0"/>
    <s v="3000103"/>
    <n v="400010"/>
    <s v="Acute I/P Svcs Rev--Self Pay"/>
    <s v="Med/Tele"/>
    <x v="0"/>
    <n v="1500"/>
    <n v="-48103.57"/>
    <n v="-3208.2"/>
    <n v="5020.82"/>
    <n v="-9189"/>
    <n v="-64057.95"/>
    <n v="-19477.14"/>
    <n v="-17343.12"/>
    <n v="-29999.73"/>
    <n v="-80622.17"/>
    <n v="-25998.92"/>
    <n v="-21167.46"/>
    <n v="-9623.2199999999993"/>
    <n v="-323769.65999999997"/>
    <n v="-11544.24"/>
  </r>
  <r>
    <x v="18"/>
    <x v="4"/>
    <x v="0"/>
    <s v="3000103"/>
    <n v="400010"/>
    <s v="Acute I/P Svcs Rev--Other"/>
    <s v="Med/Tele"/>
    <x v="0"/>
    <n v="1700"/>
    <n v="-121583.61"/>
    <n v="-94648.58"/>
    <n v="-107630.08"/>
    <n v="-80815.23"/>
    <n v="-110559.23"/>
    <n v="-75362.95"/>
    <n v="-327096.28000000003"/>
    <n v="-21310.94"/>
    <n v="-199277.24"/>
    <n v="-184447.71"/>
    <n v="-83022.66"/>
    <n v="-169991.24"/>
    <n v="-1575745.7499999998"/>
    <n v="86968.579999999987"/>
  </r>
  <r>
    <x v="19"/>
    <x v="4"/>
    <x v="0"/>
    <s v="3000103"/>
    <n v="400020"/>
    <s v="O/P Care Svcs Rev--Medicare"/>
    <s v="Med/Tele"/>
    <x v="0"/>
    <n v="1100"/>
    <n v="-176330.1"/>
    <n v="-250284.46"/>
    <n v="-230388.37"/>
    <n v="-376774.44"/>
    <n v="-286822.18"/>
    <n v="-423608.92"/>
    <n v="-490110.24"/>
    <n v="-281708.86"/>
    <n v="-422261.71"/>
    <n v="-189534.41"/>
    <n v="9094.44"/>
    <n v="-894567.17"/>
    <n v="-4013296.42"/>
    <n v="903661.61"/>
  </r>
  <r>
    <x v="19"/>
    <x v="4"/>
    <x v="0"/>
    <s v="3000103"/>
    <n v="400020"/>
    <s v="O/P Care Svcs Rev--Medicaid"/>
    <s v="Med/Tele"/>
    <x v="0"/>
    <n v="1200"/>
    <n v="-97402.89"/>
    <n v="-139736.66"/>
    <n v="-125406.49"/>
    <n v="-158903.81"/>
    <n v="-165190.29999999999"/>
    <n v="-73824.33"/>
    <n v="-104360.39"/>
    <n v="-79452.13"/>
    <n v="-66175.17"/>
    <n v="-104339.46"/>
    <n v="-107559.83"/>
    <n v="-83482.5"/>
    <n v="-1305833.96"/>
    <n v="-24077.33"/>
  </r>
  <r>
    <x v="19"/>
    <x v="4"/>
    <x v="0"/>
    <s v="3000103"/>
    <n v="400020"/>
    <s v="O/P Care Svcs Rev--Comm Insurance"/>
    <s v="Med/Tele"/>
    <x v="0"/>
    <n v="1300"/>
    <n v="-15810.08"/>
    <n v="0"/>
    <n v="-17411.68"/>
    <n v="0"/>
    <n v="-8439.6299999999992"/>
    <n v="0"/>
    <n v="0"/>
    <n v="0"/>
    <n v="-28101.52"/>
    <n v="-2993.76"/>
    <n v="-11587.37"/>
    <n v="-4481.3599999999997"/>
    <n v="-88825.4"/>
    <n v="-7106.0100000000011"/>
  </r>
  <r>
    <x v="19"/>
    <x v="4"/>
    <x v="0"/>
    <s v="3000103"/>
    <n v="400020"/>
    <s v="O/P Care Svcs Rev--BCBS Comm"/>
    <s v="Med/Tele"/>
    <x v="0"/>
    <n v="1301"/>
    <n v="-26935.93"/>
    <n v="-7189.86"/>
    <n v="-4164.84"/>
    <n v="-38728.589999999997"/>
    <n v="-14886.04"/>
    <n v="-24023.55"/>
    <n v="-25362.82"/>
    <n v="0"/>
    <n v="-28950.06"/>
    <n v="3498.35"/>
    <n v="-13230.44"/>
    <n v="-9100.34"/>
    <n v="-189074.12"/>
    <n v="-4130.1000000000004"/>
  </r>
  <r>
    <x v="19"/>
    <x v="4"/>
    <x v="0"/>
    <s v="3000103"/>
    <n v="400020"/>
    <s v="O/P Care Svcs Rev--Managed Care"/>
    <s v="Med/Tele"/>
    <x v="0"/>
    <n v="1400"/>
    <n v="-50186.74"/>
    <n v="0"/>
    <n v="-106196.38"/>
    <n v="-82844.789999999994"/>
    <n v="-131596.47"/>
    <n v="-156697.41"/>
    <n v="-94452.83"/>
    <n v="-42891.02"/>
    <n v="178086.27"/>
    <n v="-70099.16"/>
    <n v="-10935.94"/>
    <n v="-76114.240000000005"/>
    <n v="-643928.71"/>
    <n v="65178.3"/>
  </r>
  <r>
    <x v="19"/>
    <x v="4"/>
    <x v="0"/>
    <s v="3000103"/>
    <n v="400020"/>
    <s v="O/P Care Svcs Rev--Self Pay"/>
    <s v="Med/Tele"/>
    <x v="0"/>
    <n v="1500"/>
    <n v="0"/>
    <n v="-42411.35"/>
    <n v="-7960.4"/>
    <n v="-12117.95"/>
    <n v="-17595.47"/>
    <n v="-2974.19"/>
    <n v="4728.28"/>
    <n v="-35666.17"/>
    <n v="-6074.54"/>
    <n v="-16079.84"/>
    <n v="-4233.9799999999996"/>
    <n v="-27941.439999999999"/>
    <n v="-168327.05000000002"/>
    <n v="23707.46"/>
  </r>
  <r>
    <x v="19"/>
    <x v="4"/>
    <x v="0"/>
    <s v="3000103"/>
    <n v="400020"/>
    <s v="O/P Care Svcs Rev--Other"/>
    <s v="Med/Tele"/>
    <x v="0"/>
    <n v="1700"/>
    <n v="-119788.65"/>
    <n v="-118256.56"/>
    <n v="-47186.58"/>
    <n v="-21316.6"/>
    <n v="-12673.61"/>
    <n v="-5996"/>
    <n v="-17003.38"/>
    <n v="2594.71"/>
    <n v="-23552.959999999999"/>
    <n v="-15066.02"/>
    <n v="-24864.67"/>
    <n v="-23193.84"/>
    <n v="-426304.16"/>
    <n v="-1670.8299999999981"/>
  </r>
  <r>
    <x v="14"/>
    <x v="4"/>
    <x v="0"/>
    <s v="3000103"/>
    <n v="600050"/>
    <s v="Miscellaneous Revenue"/>
    <s v="Med/Tele"/>
    <x v="0"/>
    <m/>
    <n v="0"/>
    <n v="0"/>
    <n v="0"/>
    <n v="0"/>
    <n v="0"/>
    <n v="0"/>
    <n v="0"/>
    <n v="0"/>
    <n v="0"/>
    <n v="0"/>
    <n v="0"/>
    <n v="-3000"/>
    <n v="-3000"/>
    <n v="3000"/>
  </r>
  <r>
    <x v="5"/>
    <x v="4"/>
    <x v="0"/>
    <s v="3000103"/>
    <n v="700014"/>
    <s v="Salaries-Management-Productive"/>
    <s v="Med/Tele"/>
    <x v="0"/>
    <m/>
    <n v="13832.02"/>
    <n v="17974.169999999998"/>
    <n v="17148.919999999998"/>
    <n v="18620.099999999999"/>
    <n v="18565.22"/>
    <n v="12694.37"/>
    <n v="16377.84"/>
    <n v="16650.72"/>
    <n v="19357.7"/>
    <n v="15132.48"/>
    <n v="19426.900000000001"/>
    <n v="14715.49"/>
    <n v="200495.93"/>
    <n v="4711.4100000000017"/>
  </r>
  <r>
    <x v="5"/>
    <x v="4"/>
    <x v="0"/>
    <s v="3000103"/>
    <n v="700026"/>
    <s v="Salaries-RN-Productive"/>
    <s v="Med/Tele"/>
    <x v="0"/>
    <m/>
    <n v="302936.13"/>
    <n v="286234.99"/>
    <n v="294199.03000000003"/>
    <n v="300345.53000000003"/>
    <n v="298494.65999999997"/>
    <n v="305060.58"/>
    <n v="312309.28999999998"/>
    <n v="269857.65000000002"/>
    <n v="283572.7"/>
    <n v="298670.24"/>
    <n v="279568.71999999997"/>
    <n v="276615.55"/>
    <n v="3507865.0699999994"/>
    <n v="2953.1699999999837"/>
  </r>
  <r>
    <x v="5"/>
    <x v="4"/>
    <x v="0"/>
    <s v="3000103"/>
    <n v="700026"/>
    <s v="Salaries-RN-OT"/>
    <s v="Med/Tele"/>
    <x v="0"/>
    <n v="1000"/>
    <n v="13916.01"/>
    <n v="9942.0400000000009"/>
    <n v="16244.65"/>
    <n v="11269.25"/>
    <n v="10789.17"/>
    <n v="8281.02"/>
    <n v="14899.4"/>
    <n v="15129.4"/>
    <n v="19512.939999999999"/>
    <n v="13536.86"/>
    <n v="5909.47"/>
    <n v="6541.77"/>
    <n v="145971.97999999998"/>
    <n v="-632.30000000000018"/>
  </r>
  <r>
    <x v="5"/>
    <x v="4"/>
    <x v="0"/>
    <s v="3000103"/>
    <n v="700026"/>
    <s v="Salaries-RN-Other"/>
    <s v="Med/Tele"/>
    <x v="0"/>
    <n v="2000"/>
    <n v="30556.06"/>
    <n v="29718.67"/>
    <n v="28681.35"/>
    <n v="29965.02"/>
    <n v="31240.46"/>
    <n v="29219.439999999999"/>
    <n v="31125.26"/>
    <n v="27088.55"/>
    <n v="28404.46"/>
    <n v="30282.05"/>
    <n v="28662.07"/>
    <n v="26840.58"/>
    <n v="351783.97000000003"/>
    <n v="1821.489999999998"/>
  </r>
  <r>
    <x v="5"/>
    <x v="4"/>
    <x v="0"/>
    <s v="3000103"/>
    <n v="700032"/>
    <s v="Salaries-Other Pat Care Providers-Productive"/>
    <s v="Med/Tele"/>
    <x v="0"/>
    <m/>
    <n v="69141.69"/>
    <n v="73819.33"/>
    <n v="68228.69"/>
    <n v="75692.850000000006"/>
    <n v="71868.86"/>
    <n v="68432.2"/>
    <n v="72469.320000000007"/>
    <n v="65285.84"/>
    <n v="70478.320000000007"/>
    <n v="70549.960000000006"/>
    <n v="63130.17"/>
    <n v="68788.429999999993"/>
    <n v="837885.66000000015"/>
    <n v="-5658.2599999999948"/>
  </r>
  <r>
    <x v="5"/>
    <x v="4"/>
    <x v="0"/>
    <s v="3000103"/>
    <n v="700032"/>
    <s v="Salaries-Other Pat Care Providers-OT"/>
    <s v="Med/Tele"/>
    <x v="0"/>
    <n v="1000"/>
    <n v="2924.2"/>
    <n v="1147.1199999999999"/>
    <n v="2081.92"/>
    <n v="2569.9"/>
    <n v="2361.67"/>
    <n v="898.1"/>
    <n v="3305.71"/>
    <n v="1849.57"/>
    <n v="5803.79"/>
    <n v="3426.99"/>
    <n v="888.78"/>
    <n v="1930.42"/>
    <n v="29188.17"/>
    <n v="-1041.6400000000001"/>
  </r>
  <r>
    <x v="5"/>
    <x v="4"/>
    <x v="0"/>
    <s v="3000103"/>
    <n v="700032"/>
    <s v="Salaries-Other Pat Care Providers-Other"/>
    <s v="Med/Tele"/>
    <x v="0"/>
    <n v="2000"/>
    <n v="5300.88"/>
    <n v="5567.37"/>
    <n v="5521.86"/>
    <n v="5359.58"/>
    <n v="5992.13"/>
    <n v="5744.92"/>
    <n v="6693.33"/>
    <n v="5435.13"/>
    <n v="6146.88"/>
    <n v="5929.37"/>
    <n v="6711.2"/>
    <n v="6346.94"/>
    <n v="70749.59"/>
    <n v="364.26000000000022"/>
  </r>
  <r>
    <x v="5"/>
    <x v="4"/>
    <x v="0"/>
    <s v="3000103"/>
    <n v="700038"/>
    <s v="Salaries-Service/Support-Productive"/>
    <s v="Med/Tele"/>
    <x v="0"/>
    <m/>
    <n v="9680.08"/>
    <n v="10066.01"/>
    <n v="9241.58"/>
    <n v="10414.67"/>
    <n v="8713.68"/>
    <n v="11450.17"/>
    <n v="9596.3700000000008"/>
    <n v="8033.26"/>
    <n v="8691.25"/>
    <n v="10266.39"/>
    <n v="8925.41"/>
    <n v="9287.18"/>
    <n v="114366.04999999999"/>
    <n v="-361.77000000000044"/>
  </r>
  <r>
    <x v="5"/>
    <x v="4"/>
    <x v="0"/>
    <s v="3000103"/>
    <n v="700038"/>
    <s v="Salaries-Service/Support-OT"/>
    <s v="Med/Tele"/>
    <x v="0"/>
    <n v="1000"/>
    <n v="20.62"/>
    <n v="-1.99"/>
    <n v="9.3000000000000007"/>
    <n v="16.600000000000001"/>
    <n v="-7.3"/>
    <n v="39.4"/>
    <n v="26.02"/>
    <n v="11.31"/>
    <n v="535.17999999999995"/>
    <n v="-168.8"/>
    <n v="28.45"/>
    <n v="-5.0999999999999996"/>
    <n v="503.68999999999994"/>
    <n v="33.549999999999997"/>
  </r>
  <r>
    <x v="5"/>
    <x v="4"/>
    <x v="0"/>
    <s v="3000103"/>
    <n v="700038"/>
    <s v="Salaries-Service/Support-Other"/>
    <s v="Med/Tele"/>
    <x v="0"/>
    <n v="2000"/>
    <n v="166.8"/>
    <n v="183.64"/>
    <n v="170.57"/>
    <n v="185.34"/>
    <n v="177.69"/>
    <n v="269.60000000000002"/>
    <n v="150.04"/>
    <n v="144.06"/>
    <n v="250.2"/>
    <n v="215.39"/>
    <n v="212.31"/>
    <n v="136.65"/>
    <n v="2262.29"/>
    <n v="75.66"/>
  </r>
  <r>
    <x v="5"/>
    <x v="4"/>
    <x v="0"/>
    <s v="3000103"/>
    <n v="700054"/>
    <s v="Salaries-Management-Non-productive"/>
    <s v="Med/Tele"/>
    <x v="0"/>
    <m/>
    <n v="4754.84"/>
    <n v="613.55999999999995"/>
    <n v="839.44"/>
    <n v="449.04"/>
    <n v="0"/>
    <n v="6490.31"/>
    <n v="2836.81"/>
    <n v="702.69"/>
    <n v="-144.84"/>
    <n v="1487.34"/>
    <n v="-214.04"/>
    <n v="3877.82"/>
    <n v="21692.969999999998"/>
    <n v="-4091.86"/>
  </r>
  <r>
    <x v="5"/>
    <x v="4"/>
    <x v="0"/>
    <s v="3000103"/>
    <n v="700054"/>
    <s v="Salaries-Management-NonProd-Other"/>
    <s v="Med/Tele"/>
    <x v="0"/>
    <n v="2000"/>
    <n v="0"/>
    <n v="0"/>
    <n v="0"/>
    <n v="0"/>
    <n v="0"/>
    <n v="5083.1099999999997"/>
    <n v="-5083.1099999999997"/>
    <n v="0"/>
    <n v="0"/>
    <n v="0"/>
    <n v="0"/>
    <n v="0"/>
    <n v="0"/>
    <n v="0"/>
  </r>
  <r>
    <x v="5"/>
    <x v="4"/>
    <x v="0"/>
    <s v="3000103"/>
    <n v="700066"/>
    <s v="Salaries-RN-Non-productive"/>
    <s v="Med/Tele"/>
    <x v="0"/>
    <m/>
    <n v="46282.2"/>
    <n v="57561.35"/>
    <n v="42783.46"/>
    <n v="38806.42"/>
    <n v="34872.58"/>
    <n v="47399.68"/>
    <n v="39746.769999999997"/>
    <n v="35145.620000000003"/>
    <n v="33242.04"/>
    <n v="44992.32"/>
    <n v="39912.370000000003"/>
    <n v="39256"/>
    <n v="500000.81"/>
    <n v="656.37000000000262"/>
  </r>
  <r>
    <x v="5"/>
    <x v="4"/>
    <x v="0"/>
    <s v="3000103"/>
    <n v="700066"/>
    <s v="Salaries-RN-NonProd-Other"/>
    <s v="Med/Tele"/>
    <x v="0"/>
    <n v="2000"/>
    <n v="3495.7"/>
    <n v="3981.3"/>
    <n v="2944.34"/>
    <n v="2992.04"/>
    <n v="6495.37"/>
    <n v="8808.73"/>
    <n v="2817.33"/>
    <n v="5279.8"/>
    <n v="2643.85"/>
    <n v="2856.76"/>
    <n v="2966.31"/>
    <n v="2333.4499999999998"/>
    <n v="47614.979999999996"/>
    <n v="632.86000000000013"/>
  </r>
  <r>
    <x v="5"/>
    <x v="4"/>
    <x v="0"/>
    <s v="3000103"/>
    <n v="700072"/>
    <s v="Salaries-Other Pat Care Providers-Non-productive"/>
    <s v="Med/Tele"/>
    <x v="0"/>
    <m/>
    <n v="13921.5"/>
    <n v="15333.2"/>
    <n v="9990.16"/>
    <n v="10686.64"/>
    <n v="10500.38"/>
    <n v="16589.11"/>
    <n v="13238.1"/>
    <n v="10739.03"/>
    <n v="6799.1"/>
    <n v="12229.31"/>
    <n v="16282.45"/>
    <n v="11962.57"/>
    <n v="148271.55000000002"/>
    <n v="4319.880000000001"/>
  </r>
  <r>
    <x v="5"/>
    <x v="4"/>
    <x v="0"/>
    <s v="3000103"/>
    <n v="700072"/>
    <s v="Salaries-Other Pat Care Providers-NonProd-Other"/>
    <s v="Med/Tele"/>
    <x v="0"/>
    <n v="2000"/>
    <n v="750"/>
    <n v="1383.89"/>
    <n v="396.89"/>
    <n v="879.17"/>
    <n v="2588.96"/>
    <n v="2677.93"/>
    <n v="605.91"/>
    <n v="-3314.18"/>
    <n v="212.98"/>
    <n v="608.61"/>
    <n v="1220.22"/>
    <n v="602.5"/>
    <n v="8612.8799999999992"/>
    <n v="617.72"/>
  </r>
  <r>
    <x v="5"/>
    <x v="4"/>
    <x v="0"/>
    <s v="3000103"/>
    <n v="700078"/>
    <s v="Salaries-Service/Support-Non-productive"/>
    <s v="Med/Tele"/>
    <x v="0"/>
    <m/>
    <n v="2405.11"/>
    <n v="2398.75"/>
    <n v="2034.72"/>
    <n v="1092.02"/>
    <n v="1988.13"/>
    <n v="2194.77"/>
    <n v="1603.38"/>
    <n v="1480.14"/>
    <n v="1984.16"/>
    <n v="536"/>
    <n v="1699.83"/>
    <n v="2666.16"/>
    <n v="22083.170000000002"/>
    <n v="-966.32999999999993"/>
  </r>
  <r>
    <x v="5"/>
    <x v="4"/>
    <x v="0"/>
    <s v="3000103"/>
    <n v="700078"/>
    <s v="Salaries-Service/Support-NonProd-Other"/>
    <s v="Med/Tele"/>
    <x v="0"/>
    <n v="2000"/>
    <n v="0"/>
    <n v="0"/>
    <n v="0"/>
    <n v="0"/>
    <n v="0"/>
    <n v="12.04"/>
    <n v="-0.8"/>
    <n v="0"/>
    <n v="0"/>
    <n v="0"/>
    <n v="6.21"/>
    <n v="0"/>
    <n v="17.45"/>
    <n v="6.21"/>
  </r>
  <r>
    <x v="5"/>
    <x v="4"/>
    <x v="0"/>
    <s v="3000103"/>
    <n v="700084"/>
    <s v="Accrued PTO"/>
    <s v="Med/Tele"/>
    <x v="0"/>
    <m/>
    <n v="-3010.75"/>
    <n v="-14346.31"/>
    <n v="-703.45"/>
    <n v="11008.62"/>
    <n v="1145.29"/>
    <n v="-6559.11"/>
    <n v="2912.04"/>
    <n v="13247.85"/>
    <n v="22920.67"/>
    <n v="4033.22"/>
    <n v="-1638.36"/>
    <n v="16400.48"/>
    <n v="45410.19"/>
    <n v="-18038.84"/>
  </r>
  <r>
    <x v="10"/>
    <x v="4"/>
    <x v="0"/>
    <s v="3000103"/>
    <n v="710060"/>
    <s v="Contract Labor-Other"/>
    <s v="Med/Tele"/>
    <x v="0"/>
    <m/>
    <n v="40357.5"/>
    <n v="11045"/>
    <n v="4002.75"/>
    <n v="7227.5"/>
    <n v="18395.75"/>
    <n v="5217.6000000000004"/>
    <n v="15142.01"/>
    <n v="7066.5"/>
    <n v="3623"/>
    <n v="5784"/>
    <n v="18636"/>
    <n v="26710"/>
    <n v="163207.60999999999"/>
    <n v="-8074"/>
  </r>
  <r>
    <x v="10"/>
    <x v="4"/>
    <x v="0"/>
    <s v="3000103"/>
    <n v="710060"/>
    <s v="Contract Labor-Overtime"/>
    <s v="Med/Tele"/>
    <x v="0"/>
    <n v="5100"/>
    <n v="0"/>
    <n v="1858.95"/>
    <n v="0"/>
    <n v="0"/>
    <n v="0"/>
    <n v="1150.2"/>
    <n v="3350.7"/>
    <n v="1078.6500000000001"/>
    <n v="0"/>
    <n v="0"/>
    <n v="0"/>
    <n v="0"/>
    <n v="7438.5"/>
    <n v="0"/>
  </r>
  <r>
    <x v="10"/>
    <x v="4"/>
    <x v="0"/>
    <s v="3000103"/>
    <n v="710060"/>
    <s v="Contract Labor-Standby Wages"/>
    <s v="Med/Tele"/>
    <x v="0"/>
    <n v="5101"/>
    <n v="0"/>
    <n v="0"/>
    <n v="0"/>
    <n v="0"/>
    <n v="0"/>
    <n v="0"/>
    <n v="100"/>
    <n v="0"/>
    <n v="0"/>
    <n v="0"/>
    <n v="0"/>
    <n v="0"/>
    <n v="100"/>
    <n v="0"/>
  </r>
  <r>
    <x v="6"/>
    <x v="4"/>
    <x v="0"/>
    <s v="3000103"/>
    <n v="713010"/>
    <s v="Benefits-FICA/Medicare"/>
    <s v="Med/Tele"/>
    <x v="0"/>
    <m/>
    <n v="38467.760000000002"/>
    <n v="39072.870000000003"/>
    <n v="37105.57"/>
    <n v="37689.81"/>
    <n v="38316.050000000003"/>
    <n v="39167.78"/>
    <n v="39634.46"/>
    <n v="35504.65"/>
    <n v="36130.67"/>
    <n v="37511.81"/>
    <n v="35104.120000000003"/>
    <n v="34886.01"/>
    <n v="448591.56"/>
    <n v="218.11000000000058"/>
  </r>
  <r>
    <x v="6"/>
    <x v="4"/>
    <x v="0"/>
    <s v="3000103"/>
    <n v="713090"/>
    <s v="Benefits-Allocated Amounts"/>
    <s v="Med/Tele"/>
    <x v="0"/>
    <m/>
    <n v="104147.08"/>
    <n v="89672.03"/>
    <n v="94916.25"/>
    <n v="93729.58"/>
    <n v="96451.75"/>
    <n v="97170.55"/>
    <n v="105502.37"/>
    <n v="97622.86"/>
    <n v="91435.44"/>
    <n v="107983.16"/>
    <n v="99406.21"/>
    <n v="102244.26"/>
    <n v="1180281.54"/>
    <n v="-2838.0499999999884"/>
  </r>
  <r>
    <x v="6"/>
    <x v="4"/>
    <x v="0"/>
    <s v="3000103"/>
    <n v="713096"/>
    <s v="Employee Recognition"/>
    <s v="Med/Tele"/>
    <x v="0"/>
    <n v="1017"/>
    <n v="0"/>
    <n v="96.82"/>
    <n v="631.23"/>
    <n v="168.33"/>
    <n v="345.2"/>
    <n v="295"/>
    <n v="0"/>
    <n v="0"/>
    <n v="0"/>
    <n v="0"/>
    <n v="434.41"/>
    <n v="179.62"/>
    <n v="2150.61"/>
    <n v="254.79000000000002"/>
  </r>
  <r>
    <x v="17"/>
    <x v="4"/>
    <x v="0"/>
    <s v="3000103"/>
    <n v="714520"/>
    <s v="Other Contracted Professionals"/>
    <s v="Med/Tele"/>
    <x v="0"/>
    <m/>
    <n v="3875"/>
    <n v="3875"/>
    <n v="3875"/>
    <n v="3875"/>
    <n v="3875"/>
    <n v="3875"/>
    <n v="3875"/>
    <n v="3875"/>
    <n v="3875"/>
    <n v="4036"/>
    <n v="3714"/>
    <n v="3875"/>
    <n v="46500"/>
    <n v="-161"/>
  </r>
  <r>
    <x v="7"/>
    <x v="4"/>
    <x v="0"/>
    <s v="3000103"/>
    <n v="718050"/>
    <s v="Contract Svcs-Other"/>
    <s v="Med/Tele"/>
    <x v="0"/>
    <m/>
    <n v="22.64"/>
    <n v="22.64"/>
    <n v="22.64"/>
    <n v="1951.39"/>
    <n v="22.64"/>
    <n v="22.64"/>
    <n v="45.36"/>
    <n v="0"/>
    <n v="1797.43"/>
    <n v="22.68"/>
    <n v="419.42"/>
    <n v="22.7"/>
    <n v="4372.1799999999994"/>
    <n v="396.72"/>
  </r>
  <r>
    <x v="7"/>
    <x v="4"/>
    <x v="0"/>
    <s v="3000103"/>
    <n v="718050"/>
    <s v="Miscellaneous Purchased Svcs"/>
    <s v="Med/Tele"/>
    <x v="0"/>
    <n v="1020"/>
    <n v="0"/>
    <n v="0"/>
    <n v="0"/>
    <n v="0"/>
    <n v="0"/>
    <n v="0"/>
    <n v="0"/>
    <n v="0"/>
    <n v="0"/>
    <n v="28"/>
    <n v="175.25"/>
    <n v="112.5"/>
    <n v="315.75"/>
    <n v="62.75"/>
  </r>
  <r>
    <x v="7"/>
    <x v="4"/>
    <x v="0"/>
    <s v="3000103"/>
    <n v="718050"/>
    <s v="Translation Services"/>
    <s v="Med/Tele"/>
    <x v="0"/>
    <n v="1025"/>
    <n v="96"/>
    <n v="0"/>
    <n v="420.91"/>
    <n v="0"/>
    <n v="1856"/>
    <n v="32"/>
    <n v="18.96"/>
    <n v="42.27"/>
    <n v="8.69"/>
    <n v="305.73"/>
    <n v="0"/>
    <n v="0"/>
    <n v="2780.56"/>
    <n v="0"/>
  </r>
  <r>
    <x v="7"/>
    <x v="4"/>
    <x v="0"/>
    <s v="3000103"/>
    <n v="718050"/>
    <s v="Contract Management--Linen"/>
    <s v="Med/Tele"/>
    <x v="0"/>
    <n v="1026"/>
    <n v="6149.52"/>
    <n v="5039.1400000000003"/>
    <n v="4779.22"/>
    <n v="4725.62"/>
    <n v="5675.92"/>
    <n v="6785.39"/>
    <n v="5485.93"/>
    <n v="6124.22"/>
    <n v="5393.76"/>
    <n v="10532.25"/>
    <n v="6154.92"/>
    <n v="4453.41"/>
    <n v="71299.3"/>
    <n v="1701.5100000000002"/>
  </r>
  <r>
    <x v="11"/>
    <x v="4"/>
    <x v="0"/>
    <s v="3000103"/>
    <n v="721010"/>
    <s v="Supplies-Medical - Billable"/>
    <s v="Med/Tele"/>
    <x v="0"/>
    <m/>
    <n v="3658.87"/>
    <n v="3963.76"/>
    <n v="4567.01"/>
    <n v="3848.21"/>
    <n v="5205.33"/>
    <n v="5157.99"/>
    <n v="6511.42"/>
    <n v="5650.39"/>
    <n v="6986.89"/>
    <n v="5894.95"/>
    <n v="6846.65"/>
    <n v="4905.24"/>
    <n v="63196.709999999992"/>
    <n v="1941.4099999999999"/>
  </r>
  <r>
    <x v="11"/>
    <x v="4"/>
    <x v="0"/>
    <s v="3000103"/>
    <n v="721010"/>
    <s v="Patient Monitoring"/>
    <s v="Med/Tele"/>
    <x v="0"/>
    <n v="1000"/>
    <n v="353.38"/>
    <n v="346.63"/>
    <n v="443.04"/>
    <n v="463.74"/>
    <n v="418.91"/>
    <n v="314.58"/>
    <n v="447.04"/>
    <n v="515.05999999999995"/>
    <n v="1945.49"/>
    <n v="1645.21"/>
    <n v="391.93"/>
    <n v="692.82"/>
    <n v="7977.83"/>
    <n v="-300.89000000000004"/>
  </r>
  <r>
    <x v="11"/>
    <x v="4"/>
    <x v="0"/>
    <s v="3000103"/>
    <n v="721020"/>
    <s v="Supplies-Surgical - Billable"/>
    <s v="Med/Tele"/>
    <x v="0"/>
    <m/>
    <n v="1037.8699999999999"/>
    <n v="788.17"/>
    <n v="338.65"/>
    <n v="1043.4100000000001"/>
    <n v="759.83"/>
    <n v="1123.75"/>
    <n v="1441.63"/>
    <n v="976.19"/>
    <n v="1135.73"/>
    <n v="776.15"/>
    <n v="872.04"/>
    <n v="999.79"/>
    <n v="11293.21"/>
    <n v="-127.75"/>
  </r>
  <r>
    <x v="11"/>
    <x v="4"/>
    <x v="0"/>
    <s v="3000103"/>
    <n v="721020"/>
    <s v="Custom Packs"/>
    <s v="Med/Tele"/>
    <x v="0"/>
    <n v="1000"/>
    <n v="0"/>
    <n v="0"/>
    <n v="433.81"/>
    <n v="225.08"/>
    <n v="132.41999999999999"/>
    <n v="39.72"/>
    <n v="10.130000000000001"/>
    <n v="182.4"/>
    <n v="0"/>
    <n v="0"/>
    <n v="39.72"/>
    <n v="0"/>
    <n v="1063.28"/>
    <n v="39.72"/>
  </r>
  <r>
    <x v="11"/>
    <x v="4"/>
    <x v="0"/>
    <s v="3000103"/>
    <n v="721020"/>
    <s v="Suture/Wound Closure"/>
    <s v="Med/Tele"/>
    <x v="0"/>
    <n v="1001"/>
    <n v="0"/>
    <n v="0"/>
    <n v="0"/>
    <n v="5.94"/>
    <n v="0"/>
    <n v="5.95"/>
    <n v="0"/>
    <n v="0"/>
    <n v="0"/>
    <n v="0"/>
    <n v="7.92"/>
    <n v="0"/>
    <n v="19.810000000000002"/>
    <n v="7.92"/>
  </r>
  <r>
    <x v="11"/>
    <x v="4"/>
    <x v="0"/>
    <s v="3000103"/>
    <n v="721020"/>
    <s v="Tubes Drains &amp; Related Supplies"/>
    <s v="Med/Tele"/>
    <x v="0"/>
    <n v="1008"/>
    <n v="0"/>
    <n v="0"/>
    <n v="0"/>
    <n v="0"/>
    <n v="0"/>
    <n v="29.26"/>
    <n v="29.26"/>
    <n v="0"/>
    <n v="53.69"/>
    <n v="0"/>
    <n v="0"/>
    <n v="0"/>
    <n v="112.21000000000001"/>
    <n v="0"/>
  </r>
  <r>
    <x v="11"/>
    <x v="4"/>
    <x v="0"/>
    <s v="3000103"/>
    <n v="721050"/>
    <s v="Supplies-Cardiac Rhythm - Billable"/>
    <s v="Med/Tele"/>
    <x v="0"/>
    <m/>
    <n v="0"/>
    <n v="0"/>
    <n v="0"/>
    <n v="0"/>
    <n v="0"/>
    <n v="0"/>
    <n v="0"/>
    <n v="0"/>
    <n v="0"/>
    <n v="0"/>
    <n v="0"/>
    <n v="-58.32"/>
    <n v="-58.32"/>
    <n v="58.32"/>
  </r>
  <r>
    <x v="11"/>
    <x v="4"/>
    <x v="0"/>
    <s v="3000103"/>
    <n v="721220"/>
    <s v="Supplies-Medical Gases - Billable"/>
    <s v="Med/Tele"/>
    <x v="0"/>
    <m/>
    <n v="42"/>
    <n v="42"/>
    <n v="0"/>
    <n v="84"/>
    <n v="42"/>
    <n v="42"/>
    <n v="42"/>
    <n v="84"/>
    <n v="42"/>
    <n v="42"/>
    <n v="0"/>
    <n v="84"/>
    <n v="546"/>
    <n v="-84"/>
  </r>
  <r>
    <x v="11"/>
    <x v="4"/>
    <x v="0"/>
    <s v="3000103"/>
    <n v="721240"/>
    <s v="Supplies-IV Solutions/Supplies - Billable"/>
    <s v="Med/Tele"/>
    <x v="0"/>
    <m/>
    <n v="2593.77"/>
    <n v="2562.91"/>
    <n v="2098.0300000000002"/>
    <n v="2353.69"/>
    <n v="2780.14"/>
    <n v="2849.75"/>
    <n v="2236"/>
    <n v="2091.8200000000002"/>
    <n v="2072.35"/>
    <n v="2273.52"/>
    <n v="1943.8"/>
    <n v="1957.85"/>
    <n v="27813.629999999997"/>
    <n v="-14.049999999999955"/>
  </r>
  <r>
    <x v="11"/>
    <x v="4"/>
    <x v="0"/>
    <s v="3000103"/>
    <n v="721250"/>
    <s v="Supplies-Pharmacy Drugs - Billable"/>
    <s v="Med/Tele"/>
    <x v="0"/>
    <m/>
    <n v="0.95"/>
    <n v="29.44"/>
    <n v="0"/>
    <n v="1.9"/>
    <n v="0"/>
    <n v="436.9"/>
    <n v="0"/>
    <n v="27.5"/>
    <n v="0"/>
    <n v="45.56"/>
    <n v="1.78"/>
    <n v="0"/>
    <n v="544.03"/>
    <n v="1.78"/>
  </r>
  <r>
    <x v="11"/>
    <x v="4"/>
    <x v="0"/>
    <s v="3000103"/>
    <n v="721410"/>
    <s v="Supplies-Medical - Nonbillable"/>
    <s v="Med/Tele"/>
    <x v="0"/>
    <m/>
    <n v="19050.22"/>
    <n v="17969.59"/>
    <n v="18598.05"/>
    <n v="18267.79"/>
    <n v="16572.39"/>
    <n v="19162.7"/>
    <n v="19368.11"/>
    <n v="18820.13"/>
    <n v="20297.16"/>
    <n v="17502.25"/>
    <n v="19923.759999999998"/>
    <n v="16452.330000000002"/>
    <n v="221984.47999999998"/>
    <n v="3471.4299999999967"/>
  </r>
  <r>
    <x v="11"/>
    <x v="4"/>
    <x v="0"/>
    <s v="3000103"/>
    <n v="721410"/>
    <s v="Patient Monitoring"/>
    <s v="Med/Tele"/>
    <x v="0"/>
    <n v="1000"/>
    <n v="0"/>
    <n v="0"/>
    <n v="0"/>
    <n v="4.76"/>
    <n v="0"/>
    <n v="0"/>
    <n v="0"/>
    <n v="0"/>
    <n v="0"/>
    <n v="10.8"/>
    <n v="2.7"/>
    <n v="2.7"/>
    <n v="20.96"/>
    <n v="0"/>
  </r>
  <r>
    <x v="11"/>
    <x v="4"/>
    <x v="0"/>
    <s v="3000103"/>
    <n v="721420"/>
    <s v="Supplies-Surgical Nonbillable"/>
    <s v="Med/Tele"/>
    <x v="0"/>
    <m/>
    <n v="18.96"/>
    <n v="171.34"/>
    <n v="40.43"/>
    <n v="80.86"/>
    <n v="43.89"/>
    <n v="16.55"/>
    <n v="75.02"/>
    <n v="99.81"/>
    <n v="35.340000000000003"/>
    <n v="12.7"/>
    <n v="15.86"/>
    <n v="46.29"/>
    <n v="657.05000000000007"/>
    <n v="-30.43"/>
  </r>
  <r>
    <x v="11"/>
    <x v="4"/>
    <x v="0"/>
    <s v="3000103"/>
    <n v="721420"/>
    <s v="Tubes Drains &amp; Related Supplies"/>
    <s v="Med/Tele"/>
    <x v="0"/>
    <n v="1008"/>
    <n v="0"/>
    <n v="3.01"/>
    <n v="0"/>
    <n v="2.93"/>
    <n v="8.33"/>
    <n v="0"/>
    <n v="0.6"/>
    <n v="0"/>
    <n v="15.29"/>
    <n v="41.42"/>
    <n v="0"/>
    <n v="21.32"/>
    <n v="92.9"/>
    <n v="-21.32"/>
  </r>
  <r>
    <x v="11"/>
    <x v="4"/>
    <x v="0"/>
    <s v="3000103"/>
    <n v="721420"/>
    <s v="Sterilization Process Products"/>
    <s v="Med/Tele"/>
    <x v="0"/>
    <n v="1009"/>
    <n v="0"/>
    <n v="0"/>
    <n v="0"/>
    <n v="0"/>
    <n v="18.27"/>
    <n v="12.79"/>
    <n v="0"/>
    <n v="0"/>
    <n v="0"/>
    <n v="0"/>
    <n v="0"/>
    <n v="14.17"/>
    <n v="45.23"/>
    <n v="-14.17"/>
  </r>
  <r>
    <x v="11"/>
    <x v="4"/>
    <x v="0"/>
    <s v="3000103"/>
    <n v="721610"/>
    <s v="Supplies-Anesthesia - Nonbillable"/>
    <s v="Med/Tele"/>
    <x v="0"/>
    <m/>
    <n v="639.55999999999995"/>
    <n v="1346.27"/>
    <n v="796.31"/>
    <n v="732.03"/>
    <n v="1338.92"/>
    <n v="531.82000000000005"/>
    <n v="806.42"/>
    <n v="585.95000000000005"/>
    <n v="1140.53"/>
    <n v="1028.22"/>
    <n v="654.07000000000005"/>
    <n v="1450.17"/>
    <n v="11050.269999999999"/>
    <n v="-796.1"/>
  </r>
  <r>
    <x v="11"/>
    <x v="4"/>
    <x v="0"/>
    <s v="3000103"/>
    <n v="721640"/>
    <s v="Supplies-IV Solutions/Supplies - Nonbillable"/>
    <s v="Med/Tele"/>
    <x v="0"/>
    <m/>
    <n v="3143.55"/>
    <n v="4131.16"/>
    <n v="4436.62"/>
    <n v="3297.82"/>
    <n v="3505.2"/>
    <n v="4538.8900000000003"/>
    <n v="3834.8"/>
    <n v="3232.85"/>
    <n v="3815.01"/>
    <n v="4011.48"/>
    <n v="3888.12"/>
    <n v="4271.13"/>
    <n v="46106.63"/>
    <n v="-383.01000000000022"/>
  </r>
  <r>
    <x v="11"/>
    <x v="4"/>
    <x v="0"/>
    <s v="3000103"/>
    <n v="721650"/>
    <s v="Supplies-Pharmacy Drugs - Nonbillable"/>
    <s v="Med/Tele"/>
    <x v="0"/>
    <m/>
    <n v="197.86"/>
    <n v="195.13"/>
    <n v="106.92"/>
    <n v="230.05"/>
    <n v="150.56"/>
    <n v="139.04"/>
    <n v="197.95"/>
    <n v="165.14"/>
    <n v="177.35"/>
    <n v="102.06"/>
    <n v="162.81"/>
    <n v="244.76"/>
    <n v="2069.63"/>
    <n v="-81.949999999999989"/>
  </r>
  <r>
    <x v="11"/>
    <x v="4"/>
    <x v="0"/>
    <s v="3000103"/>
    <n v="721710"/>
    <s v="Supplies-Laboratory - Nonbillable"/>
    <s v="Med/Tele"/>
    <x v="0"/>
    <m/>
    <n v="268.55"/>
    <n v="329.69"/>
    <n v="390.3"/>
    <n v="301.17"/>
    <n v="302.81"/>
    <n v="396.8"/>
    <n v="334.91"/>
    <n v="284.76"/>
    <n v="337.09"/>
    <n v="311.01"/>
    <n v="341.03"/>
    <n v="208.65"/>
    <n v="3806.77"/>
    <n v="132.37999999999997"/>
  </r>
  <r>
    <x v="11"/>
    <x v="4"/>
    <x v="0"/>
    <s v="3000103"/>
    <n v="721710"/>
    <s v="Reagents"/>
    <s v="Med/Tele"/>
    <x v="0"/>
    <n v="1000"/>
    <n v="12.48"/>
    <n v="10.4"/>
    <n v="36.4"/>
    <n v="15.6"/>
    <n v="23.33"/>
    <n v="36.4"/>
    <n v="18.2"/>
    <n v="23.4"/>
    <n v="10.08"/>
    <n v="10.4"/>
    <n v="15.6"/>
    <n v="33.56"/>
    <n v="245.85"/>
    <n v="-17.96"/>
  </r>
  <r>
    <x v="11"/>
    <x v="4"/>
    <x v="0"/>
    <s v="3000103"/>
    <n v="721750"/>
    <s v="Supplies-Film/Radiographic - Nonbillable"/>
    <s v="Med/Tele"/>
    <x v="0"/>
    <m/>
    <n v="0"/>
    <n v="0"/>
    <n v="2.81"/>
    <n v="5.61"/>
    <n v="1.87"/>
    <n v="4.68"/>
    <n v="1.87"/>
    <n v="3.75"/>
    <n v="4.68"/>
    <n v="0"/>
    <n v="1.87"/>
    <n v="0"/>
    <n v="27.14"/>
    <n v="1.87"/>
  </r>
  <r>
    <x v="11"/>
    <x v="4"/>
    <x v="0"/>
    <s v="3000103"/>
    <n v="721810"/>
    <s v="Supplies-Dietary/Cafeteria"/>
    <s v="Med/Tele"/>
    <x v="0"/>
    <m/>
    <n v="3462"/>
    <n v="4428.68"/>
    <n v="3433.68"/>
    <n v="3918.7"/>
    <n v="3976.64"/>
    <n v="3947.24"/>
    <n v="3919.23"/>
    <n v="4372.74"/>
    <n v="794.91"/>
    <n v="8279.6299999999992"/>
    <n v="5760.16"/>
    <n v="4340.97"/>
    <n v="50634.58"/>
    <n v="1419.1899999999996"/>
  </r>
  <r>
    <x v="11"/>
    <x v="4"/>
    <x v="0"/>
    <s v="3000103"/>
    <n v="721830"/>
    <s v="Supplies-Office"/>
    <s v="Med/Tele"/>
    <x v="0"/>
    <m/>
    <n v="501.64"/>
    <n v="886.65"/>
    <n v="816.3"/>
    <n v="748.64"/>
    <n v="435.21"/>
    <n v="469.37"/>
    <n v="513.5"/>
    <n v="511.63"/>
    <n v="1209.1300000000001"/>
    <n v="1215.27"/>
    <n v="398.28"/>
    <n v="248.92"/>
    <n v="7954.54"/>
    <n v="149.35999999999999"/>
  </r>
  <r>
    <x v="11"/>
    <x v="4"/>
    <x v="0"/>
    <s v="3000103"/>
    <n v="721835"/>
    <s v="Supplies-Forms"/>
    <s v="Med/Tele"/>
    <x v="0"/>
    <m/>
    <n v="0"/>
    <n v="0"/>
    <n v="0"/>
    <n v="0"/>
    <n v="499.72"/>
    <n v="65.87"/>
    <n v="12.73"/>
    <n v="0"/>
    <n v="25.41"/>
    <n v="86.4"/>
    <n v="101.67"/>
    <n v="105.45"/>
    <n v="897.25"/>
    <n v="-3.7800000000000011"/>
  </r>
  <r>
    <x v="11"/>
    <x v="4"/>
    <x v="0"/>
    <s v="3000103"/>
    <n v="721870"/>
    <s v="Supplies-Environmental Services"/>
    <s v="Med/Tele"/>
    <x v="0"/>
    <m/>
    <n v="616"/>
    <n v="670.41"/>
    <n v="527.12"/>
    <n v="676.18"/>
    <n v="557"/>
    <n v="558.19000000000005"/>
    <n v="466.26"/>
    <n v="611.03"/>
    <n v="627.92999999999995"/>
    <n v="566.29"/>
    <n v="637.47"/>
    <n v="420.59"/>
    <n v="6934.47"/>
    <n v="216.88000000000005"/>
  </r>
  <r>
    <x v="11"/>
    <x v="4"/>
    <x v="0"/>
    <s v="3000103"/>
    <n v="721910"/>
    <s v="Supplies-Small Equipment"/>
    <s v="Med/Tele"/>
    <x v="0"/>
    <m/>
    <n v="2278.4299999999998"/>
    <n v="3097.73"/>
    <n v="2193.77"/>
    <n v="2923.49"/>
    <n v="4059.94"/>
    <n v="3236.34"/>
    <n v="5721.02"/>
    <n v="2909.75"/>
    <n v="3397.66"/>
    <n v="4127.63"/>
    <n v="4899.4799999999996"/>
    <n v="3797.95"/>
    <n v="42643.19"/>
    <n v="1101.5299999999997"/>
  </r>
  <r>
    <x v="11"/>
    <x v="4"/>
    <x v="0"/>
    <s v="3000103"/>
    <n v="721910"/>
    <s v="Instruments"/>
    <s v="Med/Tele"/>
    <x v="0"/>
    <n v="1000"/>
    <n v="0"/>
    <n v="2.93"/>
    <n v="0"/>
    <n v="0"/>
    <n v="0"/>
    <n v="1.71"/>
    <n v="1.46"/>
    <n v="10.26"/>
    <n v="0"/>
    <n v="0"/>
    <n v="4.1500000000000004"/>
    <n v="0"/>
    <n v="20.509999999999998"/>
    <n v="4.1500000000000004"/>
  </r>
  <r>
    <x v="11"/>
    <x v="4"/>
    <x v="0"/>
    <s v="3000103"/>
    <n v="721980"/>
    <s v="Supplies-Other"/>
    <s v="Med/Tele"/>
    <x v="0"/>
    <m/>
    <n v="210.19"/>
    <n v="164.46"/>
    <n v="148.69999999999999"/>
    <n v="52"/>
    <n v="0"/>
    <n v="123.6"/>
    <n v="7.82"/>
    <n v="141.4"/>
    <n v="550"/>
    <n v="0"/>
    <n v="54.45"/>
    <n v="0"/>
    <n v="1452.6200000000001"/>
    <n v="54.45"/>
  </r>
  <r>
    <x v="11"/>
    <x v="4"/>
    <x v="0"/>
    <s v="3000103"/>
    <n v="722000"/>
    <s v="Supplies-Freight Expense"/>
    <s v="Med/Tele"/>
    <x v="0"/>
    <m/>
    <n v="125.2"/>
    <n v="23.92"/>
    <n v="81.37"/>
    <n v="95.91"/>
    <n v="16.670000000000002"/>
    <n v="0"/>
    <n v="27.1"/>
    <n v="83.84"/>
    <n v="44.21"/>
    <n v="34.78"/>
    <n v="26.53"/>
    <n v="0"/>
    <n v="559.53"/>
    <n v="26.53"/>
  </r>
  <r>
    <x v="11"/>
    <x v="4"/>
    <x v="0"/>
    <s v="3000103"/>
    <n v="722000"/>
    <s v="Minimum Order Fees"/>
    <s v="Med/Tele"/>
    <x v="0"/>
    <n v="1000"/>
    <n v="0"/>
    <n v="25"/>
    <n v="0"/>
    <n v="25"/>
    <n v="0"/>
    <n v="0"/>
    <n v="0"/>
    <n v="0"/>
    <n v="0"/>
    <n v="0"/>
    <n v="0"/>
    <n v="0"/>
    <n v="50"/>
    <n v="0"/>
  </r>
  <r>
    <x v="12"/>
    <x v="4"/>
    <x v="0"/>
    <s v="3000103"/>
    <n v="730020"/>
    <s v="Rental and Leases-Equipment (DO NOT USE)"/>
    <s v="Med/Tele"/>
    <x v="0"/>
    <m/>
    <n v="0"/>
    <n v="0"/>
    <n v="0"/>
    <n v="-6371.19"/>
    <n v="-1257.8599999999999"/>
    <n v="0"/>
    <n v="0"/>
    <n v="0"/>
    <n v="0"/>
    <n v="0"/>
    <n v="0"/>
    <n v="0"/>
    <n v="-7629.0499999999993"/>
    <n v="0"/>
  </r>
  <r>
    <x v="12"/>
    <x v="4"/>
    <x v="0"/>
    <s v="3000103"/>
    <n v="730020"/>
    <s v="Rental and Leases-Copier Usage Fees (DO NOT USE)"/>
    <s v="Med/Tele"/>
    <x v="0"/>
    <n v="5100"/>
    <n v="687.31"/>
    <n v="700.08"/>
    <n v="693.69"/>
    <n v="693.69"/>
    <n v="693.69"/>
    <n v="693.69"/>
    <n v="-1387.75"/>
    <n v="478.75"/>
    <n v="752.99"/>
    <n v="747.37"/>
    <n v="456.4"/>
    <n v="831.55"/>
    <n v="6041.4599999999991"/>
    <n v="-375.15"/>
  </r>
  <r>
    <x v="15"/>
    <x v="4"/>
    <x v="0"/>
    <s v="3000103"/>
    <n v="731060"/>
    <s v="Telephone"/>
    <s v="Med/Tele"/>
    <x v="0"/>
    <m/>
    <n v="0"/>
    <n v="117"/>
    <n v="11.82"/>
    <n v="0"/>
    <n v="0"/>
    <n v="0"/>
    <n v="78"/>
    <n v="0"/>
    <n v="7.88"/>
    <n v="0"/>
    <n v="88"/>
    <n v="0"/>
    <n v="302.7"/>
    <n v="88"/>
  </r>
  <r>
    <x v="15"/>
    <x v="4"/>
    <x v="0"/>
    <s v="3000103"/>
    <n v="731060"/>
    <s v="Cell Phones"/>
    <s v="Med/Tele"/>
    <x v="0"/>
    <n v="1001"/>
    <n v="0"/>
    <n v="27.38"/>
    <n v="54.75"/>
    <n v="0"/>
    <n v="26.83"/>
    <n v="27.45"/>
    <n v="54.82"/>
    <n v="0"/>
    <n v="68.34"/>
    <n v="100.26"/>
    <n v="49.48"/>
    <n v="50.15"/>
    <n v="459.46"/>
    <n v="-0.67000000000000171"/>
  </r>
  <r>
    <x v="15"/>
    <x v="4"/>
    <x v="0"/>
    <s v="3000103"/>
    <n v="731060"/>
    <s v="Pagers"/>
    <s v="Med/Tele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4"/>
    <x v="0"/>
    <s v="3000103"/>
    <n v="732020"/>
    <s v="Repairs--Clin Equip-Parts-Internal to CHI Programs"/>
    <s v="Med/Tele"/>
    <x v="0"/>
    <m/>
    <n v="0"/>
    <n v="0"/>
    <n v="0"/>
    <n v="0"/>
    <n v="0"/>
    <n v="0"/>
    <n v="0"/>
    <n v="0"/>
    <n v="0"/>
    <n v="0"/>
    <n v="0"/>
    <n v="2.1800000000000002"/>
    <n v="2.1800000000000002"/>
    <n v="-2.1800000000000002"/>
  </r>
  <r>
    <x v="16"/>
    <x v="4"/>
    <x v="0"/>
    <s v="3000103"/>
    <n v="732030"/>
    <s v="Repairs---Other"/>
    <s v="Med/Tele"/>
    <x v="0"/>
    <m/>
    <n v="0"/>
    <n v="4368.7"/>
    <n v="0"/>
    <n v="1602.34"/>
    <n v="0"/>
    <n v="0"/>
    <n v="0"/>
    <n v="0"/>
    <n v="0"/>
    <n v="0"/>
    <n v="0"/>
    <n v="0"/>
    <n v="5971.04"/>
    <n v="0"/>
  </r>
  <r>
    <x v="13"/>
    <x v="4"/>
    <x v="0"/>
    <s v="3000103"/>
    <n v="735070"/>
    <s v="Depreciation-Movable Equipment"/>
    <s v="Med/Tele"/>
    <x v="0"/>
    <m/>
    <n v="6991.21"/>
    <n v="6545.35"/>
    <n v="6545.4"/>
    <n v="6545.35"/>
    <n v="5988.69"/>
    <n v="5617.11"/>
    <n v="5617.23"/>
    <n v="5617.07"/>
    <n v="5566.86"/>
    <n v="5566.72"/>
    <n v="5566.86"/>
    <n v="5566.71"/>
    <n v="71734.559999999998"/>
    <n v="0.1499999999996362"/>
  </r>
  <r>
    <x v="0"/>
    <x v="4"/>
    <x v="0"/>
    <s v="3000103"/>
    <n v="740020"/>
    <s v="Education-Registration Fees"/>
    <s v="Med/Tele"/>
    <x v="0"/>
    <m/>
    <n v="0"/>
    <n v="0"/>
    <n v="0"/>
    <n v="175"/>
    <n v="0"/>
    <n v="0"/>
    <n v="0"/>
    <n v="0"/>
    <n v="215"/>
    <n v="175"/>
    <n v="0"/>
    <n v="0"/>
    <n v="565"/>
    <n v="0"/>
  </r>
  <r>
    <x v="0"/>
    <x v="4"/>
    <x v="0"/>
    <s v="3000103"/>
    <n v="743030"/>
    <s v="Subscriptions--Institutional"/>
    <s v="Med/Tele"/>
    <x v="0"/>
    <m/>
    <n v="0"/>
    <n v="0"/>
    <n v="0"/>
    <n v="0"/>
    <n v="58.36"/>
    <n v="0"/>
    <n v="0"/>
    <n v="0"/>
    <n v="0"/>
    <n v="0"/>
    <n v="0"/>
    <n v="0"/>
    <n v="58.36"/>
    <n v="0"/>
  </r>
  <r>
    <x v="0"/>
    <x v="4"/>
    <x v="0"/>
    <s v="3000103"/>
    <n v="749510"/>
    <s v="Miscellaneous Expenses"/>
    <s v="Med/Tele"/>
    <x v="0"/>
    <m/>
    <n v="38.47"/>
    <n v="481.97"/>
    <n v="2349.6"/>
    <n v="348.53"/>
    <n v="49.72"/>
    <n v="341.51"/>
    <n v="204.74"/>
    <n v="-2.09"/>
    <n v="0"/>
    <n v="-82"/>
    <n v="672.42"/>
    <n v="-372.99"/>
    <n v="4029.8799999999992"/>
    <n v="1045.4099999999999"/>
  </r>
  <r>
    <x v="0"/>
    <x v="4"/>
    <x v="0"/>
    <s v="3000103"/>
    <n v="749510"/>
    <s v="Licenses"/>
    <s v="Med/Tele"/>
    <x v="0"/>
    <n v="1002"/>
    <n v="0"/>
    <n v="0"/>
    <n v="0"/>
    <n v="0"/>
    <n v="0"/>
    <n v="0"/>
    <n v="0"/>
    <n v="0"/>
    <n v="0"/>
    <n v="0"/>
    <n v="0"/>
    <n v="255"/>
    <n v="255"/>
    <n v="-255"/>
  </r>
  <r>
    <x v="0"/>
    <x v="4"/>
    <x v="0"/>
    <s v="3000103"/>
    <n v="749510"/>
    <s v="Casualty Loss/Patient Property"/>
    <s v="Med/Tele"/>
    <x v="0"/>
    <n v="4601"/>
    <n v="320"/>
    <n v="0"/>
    <n v="0"/>
    <n v="0"/>
    <n v="0"/>
    <n v="0"/>
    <n v="0"/>
    <n v="0"/>
    <n v="0"/>
    <n v="0"/>
    <n v="0"/>
    <n v="0"/>
    <n v="320"/>
    <n v="0"/>
  </r>
  <r>
    <x v="0"/>
    <x v="4"/>
    <x v="0"/>
    <s v="3000103"/>
    <n v="749510"/>
    <s v="RICE Rewards"/>
    <s v="Med/Tele"/>
    <x v="0"/>
    <n v="5100"/>
    <n v="0"/>
    <n v="0"/>
    <n v="0"/>
    <n v="0"/>
    <n v="0"/>
    <n v="36.43"/>
    <n v="0"/>
    <n v="0"/>
    <n v="0"/>
    <n v="0"/>
    <n v="62.94"/>
    <n v="3985.74"/>
    <n v="4085.1099999999997"/>
    <n v="-3922.7999999999997"/>
  </r>
  <r>
    <x v="0"/>
    <x v="4"/>
    <x v="0"/>
    <s v="3000103"/>
    <n v="749530"/>
    <s v="Travel"/>
    <s v="Med/Tele"/>
    <x v="0"/>
    <m/>
    <n v="0"/>
    <n v="0"/>
    <n v="0"/>
    <n v="93.93"/>
    <n v="0"/>
    <n v="0"/>
    <n v="0"/>
    <n v="0"/>
    <n v="0"/>
    <n v="0"/>
    <n v="0"/>
    <n v="0"/>
    <n v="93.93"/>
    <n v="0"/>
  </r>
  <r>
    <x v="18"/>
    <x v="5"/>
    <x v="0"/>
    <s v="3000106"/>
    <n v="400010"/>
    <s v="Acute I/P Svcs Rev--Medicare"/>
    <s v="Medical"/>
    <x v="0"/>
    <n v="1100"/>
    <n v="-1105546.8799999999"/>
    <n v="-959726.46"/>
    <n v="-1099348.1499999999"/>
    <n v="-1250199.3"/>
    <n v="-1139234.3700000001"/>
    <n v="-1230782.17"/>
    <n v="-1664289.65"/>
    <n v="-1246856.99"/>
    <n v="-1621404.45"/>
    <n v="-1420198.77"/>
    <n v="-1656764.69"/>
    <n v="-2024537.65"/>
    <n v="-16418889.529999999"/>
    <n v="367772.95999999996"/>
  </r>
  <r>
    <x v="18"/>
    <x v="5"/>
    <x v="0"/>
    <s v="3000106"/>
    <n v="400010"/>
    <s v="Acute I/P Svcs Rev--Medicaid"/>
    <s v="Medical"/>
    <x v="0"/>
    <n v="1200"/>
    <n v="-802012.05"/>
    <n v="-490161.16"/>
    <n v="-389196.37"/>
    <n v="-588159.94999999995"/>
    <n v="-498259.91"/>
    <n v="-527377.78"/>
    <n v="-584031.29"/>
    <n v="-455355.85"/>
    <n v="-651782.48"/>
    <n v="-518416.42"/>
    <n v="-390431.25"/>
    <n v="-456189"/>
    <n v="-6351373.5099999998"/>
    <n v="65757.75"/>
  </r>
  <r>
    <x v="18"/>
    <x v="5"/>
    <x v="0"/>
    <s v="3000106"/>
    <n v="400010"/>
    <s v="Acute I/P Svcs Rev--Comm Insurance"/>
    <s v="Medical"/>
    <x v="0"/>
    <n v="1300"/>
    <n v="-227371.47"/>
    <n v="-37876.49"/>
    <n v="-12252"/>
    <n v="36172"/>
    <n v="-52804.31"/>
    <n v="-49207.11"/>
    <n v="-20174.93"/>
    <n v="-10216.35"/>
    <n v="121348.93"/>
    <n v="-231237.9"/>
    <n v="-64777"/>
    <n v="-145650.76"/>
    <n v="-694047.39"/>
    <n v="80873.760000000009"/>
  </r>
  <r>
    <x v="18"/>
    <x v="5"/>
    <x v="0"/>
    <s v="3000106"/>
    <n v="400010"/>
    <s v="Acute I/P Svcs Rev--BCBS Comm"/>
    <s v="Medical"/>
    <x v="0"/>
    <n v="1301"/>
    <n v="-100503.25"/>
    <n v="-154542.93"/>
    <n v="5582.94"/>
    <n v="-42006"/>
    <n v="-180180.14"/>
    <n v="-184017.84"/>
    <n v="66951.48"/>
    <n v="-443157.51"/>
    <n v="-163149.32"/>
    <n v="-136280.24"/>
    <n v="-168375.16"/>
    <n v="546648.99"/>
    <n v="-953028.98"/>
    <n v="-715024.15"/>
  </r>
  <r>
    <x v="18"/>
    <x v="5"/>
    <x v="0"/>
    <s v="3000106"/>
    <n v="400010"/>
    <s v="Acute I/P Svcs Rev--Managed Care"/>
    <s v="Medical"/>
    <x v="0"/>
    <n v="1400"/>
    <n v="-215324.25"/>
    <n v="-283534.02"/>
    <n v="-247189.64"/>
    <n v="-135682.32"/>
    <n v="-221811.39"/>
    <n v="-186497.79"/>
    <n v="-73968.75"/>
    <n v="-99266.22"/>
    <n v="-168981.75"/>
    <n v="-142601.37"/>
    <n v="-89179.5"/>
    <n v="-309783.83"/>
    <n v="-2173820.83"/>
    <n v="220604.33000000002"/>
  </r>
  <r>
    <x v="18"/>
    <x v="5"/>
    <x v="0"/>
    <s v="3000106"/>
    <n v="400010"/>
    <s v="Acute I/P Svcs Rev--Self Pay"/>
    <s v="Medical"/>
    <x v="0"/>
    <n v="1500"/>
    <n v="-64722.11"/>
    <n v="-55118.7"/>
    <n v="-29983.200000000001"/>
    <n v="9651.89"/>
    <n v="-74814.179999999993"/>
    <n v="-62986.63"/>
    <n v="-3190.63"/>
    <n v="-6218"/>
    <n v="-9465"/>
    <n v="-23825.34"/>
    <n v="-28797"/>
    <n v="-58122"/>
    <n v="-407590.9"/>
    <n v="29325"/>
  </r>
  <r>
    <x v="18"/>
    <x v="5"/>
    <x v="0"/>
    <s v="3000106"/>
    <n v="400010"/>
    <s v="Acute I/P Svcs Rev--Other"/>
    <s v="Medical"/>
    <x v="0"/>
    <n v="1700"/>
    <n v="196027.69"/>
    <n v="-24547"/>
    <n v="-25077.3"/>
    <n v="-1212"/>
    <n v="-27874.11"/>
    <n v="-73140.11"/>
    <n v="-82896.27"/>
    <n v="-51215.35"/>
    <n v="-79138.67"/>
    <n v="39269.230000000003"/>
    <n v="-57789"/>
    <n v="-6310"/>
    <n v="-193902.88999999998"/>
    <n v="-51479"/>
  </r>
  <r>
    <x v="19"/>
    <x v="5"/>
    <x v="0"/>
    <s v="3000106"/>
    <n v="400020"/>
    <s v="O/P Care Svcs Rev--Medicare"/>
    <s v="Medical"/>
    <x v="0"/>
    <n v="1100"/>
    <n v="-71309.05"/>
    <n v="-181911.91"/>
    <n v="-137173.6"/>
    <n v="-255065.97"/>
    <n v="-138951.54999999999"/>
    <n v="-145446.85"/>
    <n v="-209529.97"/>
    <n v="-185792.67"/>
    <n v="-339838.99"/>
    <n v="-250834.95"/>
    <n v="-192220.93"/>
    <n v="-159643.5"/>
    <n v="-2267719.94"/>
    <n v="-32577.429999999993"/>
  </r>
  <r>
    <x v="19"/>
    <x v="5"/>
    <x v="0"/>
    <s v="3000106"/>
    <n v="400020"/>
    <s v="O/P Care Svcs Rev--Medicaid"/>
    <s v="Medical"/>
    <x v="0"/>
    <n v="1200"/>
    <n v="-42841.93"/>
    <n v="-57843.44"/>
    <n v="-30121.7"/>
    <n v="-87368.43"/>
    <n v="-62605.05"/>
    <n v="-48302.85"/>
    <n v="-86580.61"/>
    <n v="-78565.86"/>
    <n v="-79821.64"/>
    <n v="-173821.73"/>
    <n v="-49182.47"/>
    <n v="-56803.88"/>
    <n v="-853859.58999999985"/>
    <n v="7621.4099999999962"/>
  </r>
  <r>
    <x v="19"/>
    <x v="5"/>
    <x v="0"/>
    <s v="3000106"/>
    <n v="400020"/>
    <s v="O/P Care Svcs Rev--Comm Insurance"/>
    <s v="Medical"/>
    <x v="0"/>
    <n v="1300"/>
    <n v="-17313.3"/>
    <n v="-5776.78"/>
    <n v="-5429.76"/>
    <n v="638.15"/>
    <n v="-18946.400000000001"/>
    <n v="2521.39"/>
    <n v="-116082.54"/>
    <n v="-7847.29"/>
    <n v="108892.97"/>
    <n v="-4808.46"/>
    <n v="689.32"/>
    <n v="-5914.8"/>
    <n v="-69377.5"/>
    <n v="6604.12"/>
  </r>
  <r>
    <x v="19"/>
    <x v="5"/>
    <x v="0"/>
    <s v="3000106"/>
    <n v="400020"/>
    <s v="O/P Care Svcs Rev--BCBS Comm"/>
    <s v="Medical"/>
    <x v="0"/>
    <n v="1301"/>
    <n v="-8040.23"/>
    <n v="-2438.36"/>
    <n v="-26545.95"/>
    <n v="-28362.71"/>
    <n v="2925.18"/>
    <n v="-38751.86"/>
    <n v="-14969.07"/>
    <n v="-9858"/>
    <n v="-28901.59"/>
    <n v="1577.55"/>
    <n v="-36729.54"/>
    <n v="-10646.64"/>
    <n v="-200741.22000000003"/>
    <n v="-26082.9"/>
  </r>
  <r>
    <x v="19"/>
    <x v="5"/>
    <x v="0"/>
    <s v="3000106"/>
    <n v="400020"/>
    <s v="O/P Care Svcs Rev--Managed Care"/>
    <s v="Medical"/>
    <x v="0"/>
    <n v="1400"/>
    <n v="-33108.39"/>
    <n v="-62345.37"/>
    <n v="-58767.91"/>
    <n v="-112394.7"/>
    <n v="-101990.79"/>
    <n v="-63463.95"/>
    <n v="-87536.7"/>
    <n v="-62907.81"/>
    <n v="-68565.33"/>
    <n v="-54152.34"/>
    <n v="-39851.89"/>
    <n v="-36769.300000000003"/>
    <n v="-781854.48"/>
    <n v="-3082.5899999999965"/>
  </r>
  <r>
    <x v="19"/>
    <x v="5"/>
    <x v="0"/>
    <s v="3000106"/>
    <n v="400020"/>
    <s v="O/P Care Svcs Rev--Self Pay"/>
    <s v="Medical"/>
    <x v="0"/>
    <n v="1500"/>
    <n v="-1507.71"/>
    <n v="-28464.880000000001"/>
    <n v="5679.95"/>
    <n v="-10691.01"/>
    <n v="-21289.18"/>
    <n v="-17175.490000000002"/>
    <n v="-18352.03"/>
    <n v="-3397.72"/>
    <n v="-11056.8"/>
    <n v="-11860.17"/>
    <n v="-23134.16"/>
    <n v="8937.92"/>
    <n v="-132311.28"/>
    <n v="-32072.080000000002"/>
  </r>
  <r>
    <x v="19"/>
    <x v="5"/>
    <x v="0"/>
    <s v="3000106"/>
    <n v="400020"/>
    <s v="O/P Care Svcs Rev--Other"/>
    <s v="Medical"/>
    <x v="0"/>
    <n v="1700"/>
    <n v="-5211.0600000000004"/>
    <n v="-14224.4"/>
    <n v="0"/>
    <n v="0"/>
    <n v="-2935.26"/>
    <n v="-18670.150000000001"/>
    <n v="-8401.4699999999993"/>
    <n v="-1840.16"/>
    <n v="-3943.2"/>
    <n v="-9223.4"/>
    <n v="-5651.92"/>
    <n v="6298.43"/>
    <n v="-63802.590000000004"/>
    <n v="-11950.35"/>
  </r>
  <r>
    <x v="5"/>
    <x v="5"/>
    <x v="0"/>
    <s v="3000106"/>
    <n v="700014"/>
    <s v="Salaries-Management-Productive"/>
    <s v="Medical"/>
    <x v="0"/>
    <m/>
    <n v="0"/>
    <n v="0"/>
    <n v="0"/>
    <n v="0"/>
    <n v="0"/>
    <n v="0"/>
    <n v="0"/>
    <n v="0"/>
    <n v="0"/>
    <n v="0"/>
    <n v="7848.29"/>
    <n v="2228.85"/>
    <n v="10077.14"/>
    <n v="5619.4400000000005"/>
  </r>
  <r>
    <x v="5"/>
    <x v="5"/>
    <x v="0"/>
    <s v="3000106"/>
    <n v="700014"/>
    <s v="Salaries-Management-Other"/>
    <s v="Medical"/>
    <x v="0"/>
    <n v="2000"/>
    <n v="0"/>
    <n v="0"/>
    <n v="0"/>
    <n v="0"/>
    <n v="0"/>
    <n v="0"/>
    <n v="0"/>
    <n v="0"/>
    <n v="0"/>
    <n v="0"/>
    <n v="392.58"/>
    <n v="0"/>
    <n v="392.58"/>
    <n v="392.58"/>
  </r>
  <r>
    <x v="5"/>
    <x v="5"/>
    <x v="0"/>
    <s v="3000106"/>
    <n v="700026"/>
    <s v="Salaries-RN-Productive"/>
    <s v="Medical"/>
    <x v="0"/>
    <m/>
    <n v="199610.82"/>
    <n v="193676.65"/>
    <n v="189277.79"/>
    <n v="206322.64"/>
    <n v="223273.94"/>
    <n v="210419.76"/>
    <n v="211827.58"/>
    <n v="187016.98"/>
    <n v="209161.46"/>
    <n v="216587.59"/>
    <n v="199894.61"/>
    <n v="197272.79"/>
    <n v="2444342.6100000003"/>
    <n v="2621.8199999999779"/>
  </r>
  <r>
    <x v="5"/>
    <x v="5"/>
    <x v="0"/>
    <s v="3000106"/>
    <n v="700026"/>
    <s v="Salaries-RN-OT"/>
    <s v="Medical"/>
    <x v="0"/>
    <n v="1000"/>
    <n v="7820.55"/>
    <n v="8539.35"/>
    <n v="8259.7199999999993"/>
    <n v="11838.33"/>
    <n v="11213.73"/>
    <n v="8043.48"/>
    <n v="13712.53"/>
    <n v="9910.68"/>
    <n v="8547.49"/>
    <n v="10749.96"/>
    <n v="9240.1"/>
    <n v="8648.8799999999992"/>
    <n v="116524.80000000002"/>
    <n v="591.22000000000116"/>
  </r>
  <r>
    <x v="5"/>
    <x v="5"/>
    <x v="0"/>
    <s v="3000106"/>
    <n v="700026"/>
    <s v="Salaries-RN-Other"/>
    <s v="Medical"/>
    <x v="0"/>
    <n v="2000"/>
    <n v="21518.09"/>
    <n v="20631.68"/>
    <n v="19221.740000000002"/>
    <n v="20349.43"/>
    <n v="24321.67"/>
    <n v="22076.57"/>
    <n v="22366.240000000002"/>
    <n v="20257.98"/>
    <n v="21819.22"/>
    <n v="20966.36"/>
    <n v="21981.22"/>
    <n v="20562.740000000002"/>
    <n v="256072.93999999997"/>
    <n v="1418.4799999999996"/>
  </r>
  <r>
    <x v="5"/>
    <x v="5"/>
    <x v="0"/>
    <s v="3000106"/>
    <n v="700032"/>
    <s v="Salaries-Other Pat Care Providers-Productive"/>
    <s v="Medical"/>
    <x v="0"/>
    <m/>
    <n v="85241.39"/>
    <n v="78966.720000000001"/>
    <n v="78324.08"/>
    <n v="98940.92"/>
    <n v="93822.46"/>
    <n v="91439.01"/>
    <n v="81375.039999999994"/>
    <n v="74926.710000000006"/>
    <n v="76197.48"/>
    <n v="74549.45"/>
    <n v="78982.63"/>
    <n v="86704.46"/>
    <n v="999470.34999999986"/>
    <n v="-7721.8300000000017"/>
  </r>
  <r>
    <x v="5"/>
    <x v="5"/>
    <x v="0"/>
    <s v="3000106"/>
    <n v="700032"/>
    <s v="Salaries-Other Pat Care Providers-OT"/>
    <s v="Medical"/>
    <x v="0"/>
    <n v="1000"/>
    <n v="5287.77"/>
    <n v="7060.41"/>
    <n v="565.95000000000005"/>
    <n v="2693.53"/>
    <n v="5115.4799999999996"/>
    <n v="4805.93"/>
    <n v="5005.3"/>
    <n v="3388.22"/>
    <n v="4242.5600000000004"/>
    <n v="347.64"/>
    <n v="2673.57"/>
    <n v="3437.2"/>
    <n v="44623.55999999999"/>
    <n v="-763.62999999999965"/>
  </r>
  <r>
    <x v="5"/>
    <x v="5"/>
    <x v="0"/>
    <s v="3000106"/>
    <n v="700032"/>
    <s v="Salaries-Other Pat Care Providers-Other"/>
    <s v="Medical"/>
    <x v="0"/>
    <n v="2000"/>
    <n v="5548.26"/>
    <n v="5675.26"/>
    <n v="4937.75"/>
    <n v="6249.27"/>
    <n v="6627.75"/>
    <n v="6096.65"/>
    <n v="4682.67"/>
    <n v="4280.55"/>
    <n v="4635.37"/>
    <n v="4020.2"/>
    <n v="4839.46"/>
    <n v="5841.57"/>
    <n v="63434.76"/>
    <n v="-1002.1099999999997"/>
  </r>
  <r>
    <x v="5"/>
    <x v="5"/>
    <x v="0"/>
    <s v="3000106"/>
    <n v="700038"/>
    <s v="Salaries-Service/Support-Productive"/>
    <s v="Medical"/>
    <x v="0"/>
    <m/>
    <n v="0"/>
    <n v="0"/>
    <n v="0"/>
    <n v="0"/>
    <n v="0"/>
    <n v="0"/>
    <n v="0"/>
    <n v="0"/>
    <n v="292.52"/>
    <n v="0"/>
    <n v="0"/>
    <n v="0"/>
    <n v="292.52"/>
    <n v="0"/>
  </r>
  <r>
    <x v="5"/>
    <x v="5"/>
    <x v="0"/>
    <s v="3000106"/>
    <n v="700038"/>
    <s v="Salaries-Service/Support-OT"/>
    <s v="Medical"/>
    <x v="0"/>
    <n v="1000"/>
    <n v="0"/>
    <n v="0"/>
    <n v="0"/>
    <n v="0"/>
    <n v="0"/>
    <n v="0"/>
    <n v="0"/>
    <n v="0"/>
    <n v="165.44"/>
    <n v="0"/>
    <n v="0"/>
    <n v="0"/>
    <n v="165.44"/>
    <n v="0"/>
  </r>
  <r>
    <x v="5"/>
    <x v="5"/>
    <x v="0"/>
    <s v="3000106"/>
    <n v="700038"/>
    <s v="Salaries-Service/Support-Other"/>
    <s v="Medical"/>
    <x v="0"/>
    <n v="2000"/>
    <n v="0"/>
    <n v="0"/>
    <n v="0"/>
    <n v="0"/>
    <n v="0"/>
    <n v="0"/>
    <n v="0"/>
    <n v="0"/>
    <n v="28.7"/>
    <n v="0"/>
    <n v="0"/>
    <n v="0"/>
    <n v="28.7"/>
    <n v="0"/>
  </r>
  <r>
    <x v="5"/>
    <x v="5"/>
    <x v="0"/>
    <s v="3000106"/>
    <n v="700054"/>
    <s v="Salaries-Management-Non-productive"/>
    <s v="Medical"/>
    <x v="0"/>
    <m/>
    <n v="0"/>
    <n v="0"/>
    <n v="0"/>
    <n v="0"/>
    <n v="0"/>
    <n v="0"/>
    <n v="0"/>
    <n v="0"/>
    <n v="0"/>
    <n v="0"/>
    <n v="872.04"/>
    <n v="968.99"/>
    <n v="1841.03"/>
    <n v="-96.950000000000045"/>
  </r>
  <r>
    <x v="5"/>
    <x v="5"/>
    <x v="0"/>
    <s v="3000106"/>
    <n v="700054"/>
    <s v="Salaries-Management-NonProd-Other"/>
    <s v="Medical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3000106"/>
    <n v="700066"/>
    <s v="Salaries-RN-Non-productive"/>
    <s v="Medical"/>
    <x v="0"/>
    <m/>
    <n v="42389.66"/>
    <n v="52184.03"/>
    <n v="29614.49"/>
    <n v="26310.92"/>
    <n v="40390.230000000003"/>
    <n v="30124.18"/>
    <n v="40638.5"/>
    <n v="56139.6"/>
    <n v="34187.839999999997"/>
    <n v="34448.199999999997"/>
    <n v="35575.33"/>
    <n v="29858.14"/>
    <n v="451861.12"/>
    <n v="5717.1900000000023"/>
  </r>
  <r>
    <x v="5"/>
    <x v="5"/>
    <x v="0"/>
    <s v="3000106"/>
    <n v="700066"/>
    <s v="Salaries-RN-NonProd-Other"/>
    <s v="Medical"/>
    <x v="0"/>
    <n v="2000"/>
    <n v="2054.9299999999998"/>
    <n v="3219.25"/>
    <n v="1240.42"/>
    <n v="1483.1"/>
    <n v="2411.4699999999998"/>
    <n v="1310.52"/>
    <n v="1796.7"/>
    <n v="3908.53"/>
    <n v="1683.26"/>
    <n v="2646.89"/>
    <n v="1685.72"/>
    <n v="1948.09"/>
    <n v="25388.880000000001"/>
    <n v="-262.36999999999989"/>
  </r>
  <r>
    <x v="5"/>
    <x v="5"/>
    <x v="0"/>
    <s v="3000106"/>
    <n v="700072"/>
    <s v="Salaries-Other Pat Care Providers-Non-productive"/>
    <s v="Medical"/>
    <x v="0"/>
    <m/>
    <n v="16214.65"/>
    <n v="16030.5"/>
    <n v="7636.66"/>
    <n v="3941.93"/>
    <n v="16313.87"/>
    <n v="9046.31"/>
    <n v="13132.32"/>
    <n v="8761.0499999999993"/>
    <n v="16392.57"/>
    <n v="16493.509999999998"/>
    <n v="18655.02"/>
    <n v="9006.65"/>
    <n v="151625.03999999998"/>
    <n v="9648.3700000000008"/>
  </r>
  <r>
    <x v="5"/>
    <x v="5"/>
    <x v="0"/>
    <s v="3000106"/>
    <n v="700072"/>
    <s v="Salaries-Other Pat Care Providers-NonProd-Other"/>
    <s v="Medical"/>
    <x v="0"/>
    <n v="2000"/>
    <n v="507.98"/>
    <n v="819.86"/>
    <n v="183.75"/>
    <n v="189.21"/>
    <n v="939.68"/>
    <n v="389.7"/>
    <n v="607.41"/>
    <n v="279.68"/>
    <n v="464.45"/>
    <n v="552.48"/>
    <n v="521.83000000000004"/>
    <n v="611.35"/>
    <n v="6067.3799999999992"/>
    <n v="-89.519999999999982"/>
  </r>
  <r>
    <x v="5"/>
    <x v="5"/>
    <x v="0"/>
    <s v="3000106"/>
    <n v="700084"/>
    <s v="Accrued PTO"/>
    <s v="Medical"/>
    <x v="0"/>
    <m/>
    <n v="-5287.31"/>
    <n v="-9025.6"/>
    <n v="1004.72"/>
    <n v="13131.67"/>
    <n v="-4780.25"/>
    <n v="10997.04"/>
    <n v="11975.27"/>
    <n v="-6887.97"/>
    <n v="5345.11"/>
    <n v="6559.2"/>
    <n v="-372.2"/>
    <n v="-1332.67"/>
    <n v="21327.010000000002"/>
    <n v="960.47"/>
  </r>
  <r>
    <x v="10"/>
    <x v="5"/>
    <x v="0"/>
    <s v="3000106"/>
    <n v="710060"/>
    <s v="Contract Labor-Other"/>
    <s v="Medical"/>
    <x v="0"/>
    <m/>
    <n v="1649"/>
    <n v="0"/>
    <n v="0"/>
    <n v="0"/>
    <n v="0"/>
    <n v="2315.58"/>
    <n v="3961"/>
    <n v="4097.5"/>
    <n v="0"/>
    <n v="894.25"/>
    <n v="4435.03"/>
    <n v="2646.25"/>
    <n v="19998.61"/>
    <n v="1788.7799999999997"/>
  </r>
  <r>
    <x v="10"/>
    <x v="5"/>
    <x v="0"/>
    <s v="3000106"/>
    <n v="710060"/>
    <s v="Contract Labor-Overtime"/>
    <s v="Medical"/>
    <x v="0"/>
    <n v="5100"/>
    <n v="0"/>
    <n v="0"/>
    <n v="0"/>
    <n v="0"/>
    <n v="0"/>
    <n v="918"/>
    <n v="0"/>
    <n v="0"/>
    <n v="0"/>
    <n v="0"/>
    <n v="0"/>
    <n v="0"/>
    <n v="918"/>
    <n v="0"/>
  </r>
  <r>
    <x v="10"/>
    <x v="5"/>
    <x v="0"/>
    <s v="3000106"/>
    <n v="710060"/>
    <s v="Contract Labor-Standby Wages"/>
    <s v="Medical"/>
    <x v="0"/>
    <n v="5101"/>
    <n v="0"/>
    <n v="0"/>
    <n v="0"/>
    <n v="0"/>
    <n v="0"/>
    <n v="48"/>
    <n v="-48"/>
    <n v="0"/>
    <n v="0"/>
    <n v="0"/>
    <n v="0"/>
    <n v="0"/>
    <n v="0"/>
    <n v="0"/>
  </r>
  <r>
    <x v="6"/>
    <x v="5"/>
    <x v="0"/>
    <s v="3000106"/>
    <n v="713010"/>
    <s v="Benefits-FICA/Medicare"/>
    <s v="Medical"/>
    <x v="0"/>
    <m/>
    <n v="28970.14"/>
    <n v="29813.25"/>
    <n v="25265.54"/>
    <n v="28224.7"/>
    <n v="31592.78"/>
    <n v="28681.61"/>
    <n v="29569.47"/>
    <n v="28056.26"/>
    <n v="28249.14"/>
    <n v="29812.02"/>
    <n v="29010.82"/>
    <n v="27510.04"/>
    <n v="344755.76999999996"/>
    <n v="1500.7799999999988"/>
  </r>
  <r>
    <x v="6"/>
    <x v="5"/>
    <x v="0"/>
    <s v="3000106"/>
    <n v="713090"/>
    <s v="Benefits-Allocated Amounts"/>
    <s v="Medical"/>
    <x v="0"/>
    <m/>
    <n v="89566.98"/>
    <n v="87433.3"/>
    <n v="76524.740000000005"/>
    <n v="84392.59"/>
    <n v="97303.84"/>
    <n v="85957.55"/>
    <n v="89437.94"/>
    <n v="85005.95"/>
    <n v="83345.33"/>
    <n v="86651.63"/>
    <n v="85843.57"/>
    <n v="81165.97"/>
    <n v="1032629.3899999999"/>
    <n v="4677.6000000000058"/>
  </r>
  <r>
    <x v="17"/>
    <x v="5"/>
    <x v="0"/>
    <s v="3000106"/>
    <n v="714520"/>
    <s v="Other Contracted Professionals"/>
    <s v="Medical"/>
    <x v="0"/>
    <m/>
    <n v="0"/>
    <n v="0"/>
    <n v="0"/>
    <n v="0"/>
    <n v="0"/>
    <n v="25002"/>
    <n v="2083.5"/>
    <n v="2083.5"/>
    <n v="2083.5"/>
    <n v="2083.5"/>
    <n v="2083.5"/>
    <n v="2083.5"/>
    <n v="37503"/>
    <n v="0"/>
  </r>
  <r>
    <x v="17"/>
    <x v="5"/>
    <x v="0"/>
    <s v="3000106"/>
    <n v="714530"/>
    <s v="Medical Prof Fees-Intracompany"/>
    <s v="Medical"/>
    <x v="0"/>
    <m/>
    <n v="1437.54"/>
    <n v="39.35"/>
    <n v="2255.66"/>
    <n v="5890.65"/>
    <n v="6895.29"/>
    <n v="6940.34"/>
    <n v="8491.7099999999991"/>
    <n v="-24376.89"/>
    <n v="9855.9500000000007"/>
    <n v="1773.79"/>
    <n v="747.52"/>
    <n v="1374.79"/>
    <n v="21325.7"/>
    <n v="-627.27"/>
  </r>
  <r>
    <x v="7"/>
    <x v="5"/>
    <x v="0"/>
    <s v="3000106"/>
    <n v="718050"/>
    <s v="Contract Svcs-Other"/>
    <s v="Medical"/>
    <x v="0"/>
    <m/>
    <n v="0"/>
    <n v="0"/>
    <n v="0"/>
    <n v="0"/>
    <n v="0"/>
    <n v="0"/>
    <n v="344.08"/>
    <n v="0"/>
    <n v="0"/>
    <n v="0"/>
    <n v="0"/>
    <n v="-312.13"/>
    <n v="31.949999999999989"/>
    <n v="312.13"/>
  </r>
  <r>
    <x v="7"/>
    <x v="5"/>
    <x v="0"/>
    <s v="3000106"/>
    <n v="718050"/>
    <s v="Miscellaneous Purchased Svcs"/>
    <s v="Medical"/>
    <x v="0"/>
    <n v="1020"/>
    <n v="161"/>
    <n v="0"/>
    <n v="34.4"/>
    <n v="0"/>
    <n v="21.1"/>
    <n v="21.1"/>
    <n v="0"/>
    <n v="0"/>
    <n v="0"/>
    <n v="0"/>
    <n v="0"/>
    <n v="0"/>
    <n v="237.6"/>
    <n v="0"/>
  </r>
  <r>
    <x v="7"/>
    <x v="5"/>
    <x v="0"/>
    <s v="3000106"/>
    <n v="718050"/>
    <s v="Translation Services"/>
    <s v="Medical"/>
    <x v="0"/>
    <n v="1025"/>
    <n v="776.14"/>
    <n v="0"/>
    <n v="538.65"/>
    <n v="440.82"/>
    <n v="396.98"/>
    <n v="0"/>
    <n v="531.66999999999996"/>
    <n v="0"/>
    <n v="530.88"/>
    <n v="474.79"/>
    <n v="0"/>
    <n v="0"/>
    <n v="3689.9300000000003"/>
    <n v="0"/>
  </r>
  <r>
    <x v="7"/>
    <x v="5"/>
    <x v="0"/>
    <s v="3000106"/>
    <n v="718050"/>
    <s v="Contract Management--Linen"/>
    <s v="Medical"/>
    <x v="0"/>
    <n v="1026"/>
    <n v="9234.68"/>
    <n v="4806.58"/>
    <n v="6383.03"/>
    <n v="3535.13"/>
    <n v="6965.68"/>
    <n v="5425.42"/>
    <n v="6507.83"/>
    <n v="5616.14"/>
    <n v="6772.64"/>
    <n v="6881.95"/>
    <n v="4719.7700000000004"/>
    <n v="7786.37"/>
    <n v="74635.22"/>
    <n v="-3066.5999999999995"/>
  </r>
  <r>
    <x v="7"/>
    <x v="5"/>
    <x v="0"/>
    <s v="3000106"/>
    <n v="718050"/>
    <s v="Purchased Srvcs--Medical Waste"/>
    <s v="Medical"/>
    <x v="0"/>
    <n v="1027"/>
    <n v="0"/>
    <n v="0"/>
    <n v="182.16"/>
    <n v="50.11"/>
    <n v="0"/>
    <n v="0"/>
    <n v="0"/>
    <n v="0"/>
    <n v="97.18"/>
    <n v="0"/>
    <n v="0"/>
    <n v="0"/>
    <n v="329.45"/>
    <n v="0"/>
  </r>
  <r>
    <x v="11"/>
    <x v="5"/>
    <x v="0"/>
    <s v="3000106"/>
    <n v="721010"/>
    <s v="Supplies-Medical - Billable"/>
    <s v="Medical"/>
    <x v="0"/>
    <m/>
    <n v="4865.67"/>
    <n v="4739.7299999999996"/>
    <n v="4648.62"/>
    <n v="5400.75"/>
    <n v="5873"/>
    <n v="6230.01"/>
    <n v="6604.4"/>
    <n v="6564.24"/>
    <n v="7086.61"/>
    <n v="7087.99"/>
    <n v="5974.42"/>
    <n v="5353.15"/>
    <n v="70428.59"/>
    <n v="621.27000000000044"/>
  </r>
  <r>
    <x v="11"/>
    <x v="5"/>
    <x v="0"/>
    <s v="3000106"/>
    <n v="721010"/>
    <s v="Patient Monitoring"/>
    <s v="Medical"/>
    <x v="0"/>
    <n v="1000"/>
    <n v="112.33"/>
    <n v="97.35"/>
    <n v="73.13"/>
    <n v="150.57"/>
    <n v="66.510000000000005"/>
    <n v="70.48"/>
    <n v="103"/>
    <n v="286.27999999999997"/>
    <n v="48.02"/>
    <n v="66.790000000000006"/>
    <n v="105.83"/>
    <n v="93.39"/>
    <n v="1273.68"/>
    <n v="12.439999999999998"/>
  </r>
  <r>
    <x v="11"/>
    <x v="5"/>
    <x v="0"/>
    <s v="3000106"/>
    <n v="721020"/>
    <s v="Supplies-Surgical - Billable"/>
    <s v="Medical"/>
    <x v="0"/>
    <m/>
    <n v="373.82"/>
    <n v="111.69"/>
    <n v="236.13"/>
    <n v="249.94"/>
    <n v="196.33"/>
    <n v="254.45"/>
    <n v="148.25"/>
    <n v="466.17"/>
    <n v="248.72"/>
    <n v="519.37"/>
    <n v="89.44"/>
    <n v="147.4"/>
    <n v="3041.71"/>
    <n v="-57.960000000000008"/>
  </r>
  <r>
    <x v="11"/>
    <x v="5"/>
    <x v="0"/>
    <s v="3000106"/>
    <n v="721020"/>
    <s v="Custom Packs"/>
    <s v="Medical"/>
    <x v="0"/>
    <n v="1000"/>
    <n v="0"/>
    <n v="0"/>
    <n v="52.96"/>
    <n v="155.77000000000001"/>
    <n v="145.68"/>
    <n v="66.2"/>
    <n v="198.6"/>
    <n v="132.4"/>
    <n v="85.73"/>
    <n v="52.96"/>
    <n v="132.4"/>
    <n v="52.96"/>
    <n v="1075.6600000000001"/>
    <n v="79.44"/>
  </r>
  <r>
    <x v="11"/>
    <x v="5"/>
    <x v="0"/>
    <s v="3000106"/>
    <n v="721020"/>
    <s v="Urological Supplies"/>
    <s v="Medical"/>
    <x v="0"/>
    <n v="1006"/>
    <n v="48"/>
    <n v="84"/>
    <n v="94.38"/>
    <n v="101.28"/>
    <n v="113.76"/>
    <n v="174.24"/>
    <n v="83.04"/>
    <n v="45.6"/>
    <n v="66.239999999999995"/>
    <n v="90.24"/>
    <n v="41.28"/>
    <n v="42.24"/>
    <n v="984.3"/>
    <n v="-0.96000000000000085"/>
  </r>
  <r>
    <x v="11"/>
    <x v="5"/>
    <x v="0"/>
    <s v="3000106"/>
    <n v="721020"/>
    <s v="Tubes Drains &amp; Related Supplies"/>
    <s v="Medical"/>
    <x v="0"/>
    <n v="1008"/>
    <n v="1.68"/>
    <n v="1.68"/>
    <n v="1.68"/>
    <n v="0"/>
    <n v="2.52"/>
    <n v="0"/>
    <n v="1.68"/>
    <n v="0"/>
    <n v="176.16"/>
    <n v="1.68"/>
    <n v="0"/>
    <n v="138.93"/>
    <n v="326.01"/>
    <n v="-138.93"/>
  </r>
  <r>
    <x v="11"/>
    <x v="5"/>
    <x v="0"/>
    <s v="3000106"/>
    <n v="721150"/>
    <s v="Supplies-Other Implants - Billable"/>
    <s v="Medical"/>
    <x v="0"/>
    <m/>
    <n v="0"/>
    <n v="0"/>
    <n v="0"/>
    <n v="0"/>
    <n v="0"/>
    <n v="0"/>
    <n v="0"/>
    <n v="0"/>
    <n v="69.5"/>
    <n v="0"/>
    <n v="0"/>
    <n v="0"/>
    <n v="69.5"/>
    <n v="0"/>
  </r>
  <r>
    <x v="11"/>
    <x v="5"/>
    <x v="0"/>
    <s v="3000106"/>
    <n v="721240"/>
    <s v="Supplies-IV Solutions/Supplies - Billable"/>
    <s v="Medical"/>
    <x v="0"/>
    <m/>
    <n v="2228.48"/>
    <n v="3590.07"/>
    <n v="1885.99"/>
    <n v="3091.68"/>
    <n v="2606.31"/>
    <n v="3368.02"/>
    <n v="2560.33"/>
    <n v="2697.03"/>
    <n v="2689.56"/>
    <n v="2554.33"/>
    <n v="2210.3000000000002"/>
    <n v="2817.83"/>
    <n v="32299.929999999993"/>
    <n v="-607.52999999999975"/>
  </r>
  <r>
    <x v="11"/>
    <x v="5"/>
    <x v="0"/>
    <s v="3000106"/>
    <n v="721350"/>
    <s v="Radiology Imaging - Contrast Media"/>
    <s v="Medical"/>
    <x v="0"/>
    <n v="1000"/>
    <n v="0"/>
    <n v="0"/>
    <n v="2.36"/>
    <n v="2.36"/>
    <n v="0"/>
    <n v="5.9"/>
    <n v="0"/>
    <n v="2.36"/>
    <n v="2.2599999999999998"/>
    <n v="0"/>
    <n v="2.2599999999999998"/>
    <n v="0"/>
    <n v="17.5"/>
    <n v="2.2599999999999998"/>
  </r>
  <r>
    <x v="11"/>
    <x v="5"/>
    <x v="0"/>
    <s v="3000106"/>
    <n v="721410"/>
    <s v="Supplies-Medical - Nonbillable"/>
    <s v="Medical"/>
    <x v="0"/>
    <m/>
    <n v="10027.540000000001"/>
    <n v="9577.2099999999991"/>
    <n v="8793.64"/>
    <n v="10208.89"/>
    <n v="9735.89"/>
    <n v="10607.68"/>
    <n v="10298.4"/>
    <n v="9488.42"/>
    <n v="11154.66"/>
    <n v="9100.6299999999992"/>
    <n v="9439.44"/>
    <n v="9911.74"/>
    <n v="118344.14000000001"/>
    <n v="-472.29999999999927"/>
  </r>
  <r>
    <x v="11"/>
    <x v="5"/>
    <x v="0"/>
    <s v="3000106"/>
    <n v="721420"/>
    <s v="Supplies-Surgical Nonbillable"/>
    <s v="Medical"/>
    <x v="0"/>
    <m/>
    <n v="32.71"/>
    <n v="36.950000000000003"/>
    <n v="8.5399999999999991"/>
    <n v="36.58"/>
    <n v="102.72"/>
    <n v="15.8"/>
    <n v="31.63"/>
    <n v="30.15"/>
    <n v="6.83"/>
    <n v="8.82"/>
    <n v="52.16"/>
    <n v="77.33"/>
    <n v="440.21999999999997"/>
    <n v="-25.17"/>
  </r>
  <r>
    <x v="11"/>
    <x v="5"/>
    <x v="0"/>
    <s v="3000106"/>
    <n v="721420"/>
    <s v="Tubes Drains &amp; Related Supplies"/>
    <s v="Medical"/>
    <x v="0"/>
    <n v="1008"/>
    <n v="6.88"/>
    <n v="0"/>
    <n v="0"/>
    <n v="5.25"/>
    <n v="0"/>
    <n v="6.88"/>
    <n v="1.41"/>
    <n v="0"/>
    <n v="0"/>
    <n v="0"/>
    <n v="34.4"/>
    <n v="6.61"/>
    <n v="61.429999999999993"/>
    <n v="27.79"/>
  </r>
  <r>
    <x v="11"/>
    <x v="5"/>
    <x v="0"/>
    <s v="3000106"/>
    <n v="721610"/>
    <s v="Supplies-Anesthesia - Nonbillable"/>
    <s v="Medical"/>
    <x v="0"/>
    <m/>
    <n v="77.209999999999994"/>
    <n v="39.9"/>
    <n v="47.17"/>
    <n v="54.63"/>
    <n v="71.78"/>
    <n v="141.30000000000001"/>
    <n v="320.99"/>
    <n v="742.66"/>
    <n v="55.39"/>
    <n v="45.27"/>
    <n v="532.36"/>
    <n v="523.66"/>
    <n v="2652.3199999999997"/>
    <n v="8.7000000000000455"/>
  </r>
  <r>
    <x v="11"/>
    <x v="5"/>
    <x v="0"/>
    <s v="3000106"/>
    <n v="721640"/>
    <s v="Supplies-IV Solutions/Supplies - Nonbillable"/>
    <s v="Medical"/>
    <x v="0"/>
    <m/>
    <n v="2506.6799999999998"/>
    <n v="2241.9"/>
    <n v="1856.84"/>
    <n v="2315.1"/>
    <n v="2743.59"/>
    <n v="2175.67"/>
    <n v="2067.5"/>
    <n v="2210.04"/>
    <n v="1348.59"/>
    <n v="2284.15"/>
    <n v="1506.22"/>
    <n v="2206.38"/>
    <n v="25462.660000000003"/>
    <n v="-700.16000000000008"/>
  </r>
  <r>
    <x v="11"/>
    <x v="5"/>
    <x v="0"/>
    <s v="3000106"/>
    <n v="721650"/>
    <s v="Supplies-Pharmacy Drugs - Nonbillable"/>
    <s v="Medical"/>
    <x v="0"/>
    <m/>
    <n v="2.4"/>
    <n v="7.25"/>
    <n v="7.25"/>
    <n v="162.96"/>
    <n v="61.01"/>
    <n v="143.33000000000001"/>
    <n v="62.16"/>
    <n v="43.11"/>
    <n v="126.92"/>
    <n v="131.43"/>
    <n v="87.12"/>
    <n v="117.6"/>
    <n v="952.54"/>
    <n v="-30.47999999999999"/>
  </r>
  <r>
    <x v="11"/>
    <x v="5"/>
    <x v="0"/>
    <s v="3000106"/>
    <n v="721710"/>
    <s v="Supplies-Laboratory - Nonbillable"/>
    <s v="Medical"/>
    <x v="0"/>
    <m/>
    <n v="234.04"/>
    <n v="166.42"/>
    <n v="150.55000000000001"/>
    <n v="186.22"/>
    <n v="162.86000000000001"/>
    <n v="157.27000000000001"/>
    <n v="166.01"/>
    <n v="-319.77999999999997"/>
    <n v="133.13"/>
    <n v="162.43"/>
    <n v="230.98"/>
    <n v="236.08"/>
    <n v="1666.2100000000003"/>
    <n v="-5.1000000000000227"/>
  </r>
  <r>
    <x v="11"/>
    <x v="5"/>
    <x v="0"/>
    <s v="3000106"/>
    <n v="721750"/>
    <s v="Supplies-Film/Radiographic - Nonbillable"/>
    <s v="Medical"/>
    <x v="0"/>
    <m/>
    <n v="1.87"/>
    <n v="0.94"/>
    <n v="3.74"/>
    <n v="1.87"/>
    <n v="0"/>
    <n v="5.61"/>
    <n v="1.87"/>
    <n v="1.87"/>
    <n v="0"/>
    <n v="1.87"/>
    <n v="0.94"/>
    <n v="1.87"/>
    <n v="22.450000000000006"/>
    <n v="-0.93000000000000016"/>
  </r>
  <r>
    <x v="11"/>
    <x v="5"/>
    <x v="0"/>
    <s v="3000106"/>
    <n v="721810"/>
    <s v="Supplies-Dietary/Cafeteria"/>
    <s v="Medical"/>
    <x v="0"/>
    <m/>
    <n v="2794.69"/>
    <n v="2101.0300000000002"/>
    <n v="2534.6"/>
    <n v="3085.9"/>
    <n v="2668.11"/>
    <n v="2543.25"/>
    <n v="4369.67"/>
    <n v="2703.82"/>
    <n v="3724.62"/>
    <n v="3508.39"/>
    <n v="4330.45"/>
    <n v="3013.56"/>
    <n v="37378.089999999997"/>
    <n v="1316.8899999999999"/>
  </r>
  <r>
    <x v="11"/>
    <x v="5"/>
    <x v="0"/>
    <s v="3000106"/>
    <n v="721830"/>
    <s v="Supplies-Office"/>
    <s v="Medical"/>
    <x v="0"/>
    <m/>
    <n v="17.920000000000002"/>
    <n v="3.3"/>
    <n v="43.2"/>
    <n v="13.48"/>
    <n v="63.28"/>
    <n v="616.26"/>
    <n v="43.68"/>
    <n v="74.069999999999993"/>
    <n v="112.82"/>
    <n v="18.14"/>
    <n v="90.27"/>
    <n v="658.17"/>
    <n v="1754.5900000000001"/>
    <n v="-567.9"/>
  </r>
  <r>
    <x v="11"/>
    <x v="5"/>
    <x v="0"/>
    <s v="3000106"/>
    <n v="721835"/>
    <s v="Supplies-Forms"/>
    <s v="Medical"/>
    <x v="0"/>
    <m/>
    <n v="0"/>
    <n v="0"/>
    <n v="0"/>
    <n v="0"/>
    <n v="224.21"/>
    <n v="139.78"/>
    <n v="128.38999999999999"/>
    <n v="0"/>
    <n v="27.18"/>
    <n v="10.6"/>
    <n v="123.5"/>
    <n v="49.77"/>
    <n v="703.43"/>
    <n v="73.72999999999999"/>
  </r>
  <r>
    <x v="11"/>
    <x v="5"/>
    <x v="0"/>
    <s v="3000106"/>
    <n v="721870"/>
    <s v="Supplies-Environmental Services"/>
    <s v="Medical"/>
    <x v="0"/>
    <m/>
    <n v="473.43"/>
    <n v="528.72"/>
    <n v="382.94"/>
    <n v="694.95"/>
    <n v="672.7"/>
    <n v="644.91"/>
    <n v="570.16"/>
    <n v="474.32"/>
    <n v="561.91"/>
    <n v="740.24"/>
    <n v="592.55999999999995"/>
    <n v="460.11"/>
    <n v="6796.949999999998"/>
    <n v="132.44999999999993"/>
  </r>
  <r>
    <x v="11"/>
    <x v="5"/>
    <x v="0"/>
    <s v="3000106"/>
    <n v="721880"/>
    <s v="Supplies-Linen"/>
    <s v="Medical"/>
    <x v="0"/>
    <m/>
    <n v="1.84"/>
    <n v="0"/>
    <n v="0"/>
    <n v="45.12"/>
    <n v="0"/>
    <n v="0"/>
    <n v="0"/>
    <n v="0"/>
    <n v="0"/>
    <n v="0"/>
    <n v="0"/>
    <n v="0"/>
    <n v="46.96"/>
    <n v="0"/>
  </r>
  <r>
    <x v="11"/>
    <x v="5"/>
    <x v="0"/>
    <s v="3000106"/>
    <n v="721910"/>
    <s v="Supplies-Small Equipment"/>
    <s v="Medical"/>
    <x v="0"/>
    <m/>
    <n v="942.24"/>
    <n v="1179.76"/>
    <n v="1768.97"/>
    <n v="615.6"/>
    <n v="2571.9"/>
    <n v="655.79"/>
    <n v="1826.73"/>
    <n v="804.78"/>
    <n v="543.26"/>
    <n v="1943.04"/>
    <n v="1505.12"/>
    <n v="605.70000000000005"/>
    <n v="14962.890000000003"/>
    <n v="899.41999999999985"/>
  </r>
  <r>
    <x v="11"/>
    <x v="5"/>
    <x v="0"/>
    <s v="3000106"/>
    <n v="721910"/>
    <s v="Instruments"/>
    <s v="Medical"/>
    <x v="0"/>
    <n v="1000"/>
    <n v="8.81"/>
    <n v="10.27"/>
    <n v="5.62"/>
    <n v="-147.9"/>
    <n v="8.73"/>
    <n v="11.83"/>
    <n v="16.72"/>
    <n v="5.8"/>
    <n v="17.309999999999999"/>
    <n v="6.58"/>
    <n v="11.34"/>
    <n v="7.92"/>
    <n v="-36.97"/>
    <n v="3.42"/>
  </r>
  <r>
    <x v="11"/>
    <x v="5"/>
    <x v="0"/>
    <s v="3000106"/>
    <n v="721980"/>
    <s v="Supplies-Other"/>
    <s v="Medical"/>
    <x v="0"/>
    <m/>
    <n v="0"/>
    <n v="3380.86"/>
    <n v="0"/>
    <n v="87.5"/>
    <n v="0"/>
    <n v="0"/>
    <n v="0"/>
    <n v="0"/>
    <n v="2940"/>
    <n v="650"/>
    <n v="0"/>
    <n v="-125.93"/>
    <n v="6932.43"/>
    <n v="125.93"/>
  </r>
  <r>
    <x v="11"/>
    <x v="5"/>
    <x v="0"/>
    <s v="3000106"/>
    <n v="722000"/>
    <s v="Supplies-Freight Expense"/>
    <s v="Medical"/>
    <x v="0"/>
    <m/>
    <n v="0"/>
    <n v="7.93"/>
    <n v="0"/>
    <n v="7.93"/>
    <n v="0"/>
    <n v="0"/>
    <n v="8"/>
    <n v="0"/>
    <n v="0"/>
    <n v="0"/>
    <n v="0"/>
    <n v="419.93"/>
    <n v="443.79"/>
    <n v="-419.93"/>
  </r>
  <r>
    <x v="12"/>
    <x v="5"/>
    <x v="0"/>
    <s v="3000106"/>
    <n v="730020"/>
    <s v="Rental and Leases-Equipment (DO NOT USE)"/>
    <s v="Medical"/>
    <x v="0"/>
    <m/>
    <n v="0"/>
    <n v="0"/>
    <n v="0"/>
    <n v="-3102.52"/>
    <n v="0"/>
    <n v="0"/>
    <n v="0"/>
    <n v="0"/>
    <n v="0"/>
    <n v="0"/>
    <n v="0"/>
    <n v="0"/>
    <n v="-3102.52"/>
    <n v="0"/>
  </r>
  <r>
    <x v="12"/>
    <x v="5"/>
    <x v="0"/>
    <s v="3000106"/>
    <n v="730020"/>
    <s v="Rental and Leases-Copier Usage Fees (DO NOT USE)"/>
    <s v="Medical"/>
    <x v="0"/>
    <n v="5100"/>
    <n v="907.17"/>
    <n v="922.36"/>
    <n v="914.76"/>
    <n v="914.76"/>
    <n v="914.76"/>
    <n v="914.76"/>
    <n v="-2774.02"/>
    <n v="359.92"/>
    <n v="359.16"/>
    <n v="1135.24"/>
    <n v="359.92"/>
    <n v="359.92"/>
    <n v="5288.7100000000009"/>
    <n v="0"/>
  </r>
  <r>
    <x v="15"/>
    <x v="5"/>
    <x v="0"/>
    <s v="3000106"/>
    <n v="731060"/>
    <s v="Cell Phones"/>
    <s v="Medical"/>
    <x v="0"/>
    <n v="1001"/>
    <n v="0"/>
    <n v="95.82"/>
    <n v="132.11000000000001"/>
    <n v="0"/>
    <n v="65.010000000000005"/>
    <n v="66.23"/>
    <n v="132.35"/>
    <n v="0"/>
    <n v="67.17"/>
    <n v="132.6"/>
    <n v="65"/>
    <n v="66.319999999999993"/>
    <n v="822.6099999999999"/>
    <n v="-1.3199999999999932"/>
  </r>
  <r>
    <x v="16"/>
    <x v="5"/>
    <x v="0"/>
    <s v="3000106"/>
    <n v="732030"/>
    <s v="Repairs---Other"/>
    <s v="Medical"/>
    <x v="0"/>
    <m/>
    <n v="0"/>
    <n v="1021.74"/>
    <n v="596.09"/>
    <n v="1150.83"/>
    <n v="448.08"/>
    <n v="1450.36"/>
    <n v="1519.11"/>
    <n v="0"/>
    <n v="0"/>
    <n v="0"/>
    <n v="0"/>
    <n v="1137.4100000000001"/>
    <n v="7323.619999999999"/>
    <n v="-1137.4100000000001"/>
  </r>
  <r>
    <x v="13"/>
    <x v="5"/>
    <x v="0"/>
    <s v="3000106"/>
    <n v="735040"/>
    <s v="Depreciation-Building Improvements"/>
    <s v="Medical"/>
    <x v="0"/>
    <m/>
    <n v="1828.93"/>
    <n v="1828.91"/>
    <n v="1828.93"/>
    <n v="1828.9"/>
    <n v="1828.93"/>
    <n v="1828.9"/>
    <n v="1828.95"/>
    <n v="1828.89"/>
    <n v="1828.98"/>
    <n v="1828.87"/>
    <n v="1829"/>
    <n v="1828.84"/>
    <n v="21947.03"/>
    <n v="0.16000000000008185"/>
  </r>
  <r>
    <x v="13"/>
    <x v="5"/>
    <x v="0"/>
    <s v="3000106"/>
    <n v="735060"/>
    <s v="Depreciation-Fixed Equipment"/>
    <s v="Medical"/>
    <x v="0"/>
    <m/>
    <n v="30.85"/>
    <n v="30.83"/>
    <n v="30.85"/>
    <n v="30.83"/>
    <n v="30.85"/>
    <n v="30.83"/>
    <n v="30.85"/>
    <n v="30.83"/>
    <n v="30.86"/>
    <n v="30.83"/>
    <n v="30.86"/>
    <n v="30.82"/>
    <n v="370.09000000000003"/>
    <n v="3.9999999999999147E-2"/>
  </r>
  <r>
    <x v="13"/>
    <x v="5"/>
    <x v="0"/>
    <s v="3000106"/>
    <n v="735070"/>
    <s v="Depreciation-Movable Equipment"/>
    <s v="Medical"/>
    <x v="0"/>
    <m/>
    <n v="9169.8799999999992"/>
    <n v="9169.42"/>
    <n v="9170.51"/>
    <n v="9168.44"/>
    <n v="9170.5300000000007"/>
    <n v="9168.4"/>
    <n v="9511.7000000000007"/>
    <n v="9216.8799999999992"/>
    <n v="9220.5400000000009"/>
    <n v="9372.06"/>
    <n v="9377.1200000000008"/>
    <n v="9371.5"/>
    <n v="111086.98000000001"/>
    <n v="5.6200000000008004"/>
  </r>
  <r>
    <x v="0"/>
    <x v="5"/>
    <x v="0"/>
    <s v="3000106"/>
    <n v="740020"/>
    <s v="Education-Registration Fees"/>
    <s v="Medical"/>
    <x v="0"/>
    <m/>
    <n v="0"/>
    <n v="0"/>
    <n v="0"/>
    <n v="0"/>
    <n v="325"/>
    <n v="0"/>
    <n v="0"/>
    <n v="1125"/>
    <n v="0"/>
    <n v="0"/>
    <n v="200"/>
    <n v="0"/>
    <n v="1650"/>
    <n v="200"/>
  </r>
  <r>
    <x v="0"/>
    <x v="5"/>
    <x v="0"/>
    <s v="3000106"/>
    <n v="749510"/>
    <s v="Miscellaneous Expenses"/>
    <s v="Medical"/>
    <x v="0"/>
    <m/>
    <n v="-100"/>
    <n v="0"/>
    <n v="0"/>
    <n v="0"/>
    <n v="0"/>
    <n v="0"/>
    <n v="415"/>
    <n v="0"/>
    <n v="0"/>
    <n v="0"/>
    <n v="0"/>
    <n v="0"/>
    <n v="315"/>
    <n v="0"/>
  </r>
  <r>
    <x v="0"/>
    <x v="5"/>
    <x v="0"/>
    <s v="3000106"/>
    <n v="749510"/>
    <s v="Licenses"/>
    <s v="Medical"/>
    <x v="0"/>
    <n v="1002"/>
    <n v="440"/>
    <n v="0"/>
    <n v="110"/>
    <n v="115"/>
    <n v="185"/>
    <n v="0"/>
    <n v="110"/>
    <n v="0"/>
    <n v="220"/>
    <n v="0"/>
    <n v="110"/>
    <n v="115"/>
    <n v="1405"/>
    <n v="-5"/>
  </r>
  <r>
    <x v="0"/>
    <x v="5"/>
    <x v="0"/>
    <s v="3000106"/>
    <n v="749510"/>
    <s v="RICE Rewards"/>
    <s v="Medical"/>
    <x v="0"/>
    <n v="5100"/>
    <n v="0"/>
    <n v="0"/>
    <n v="0"/>
    <n v="0"/>
    <n v="0"/>
    <n v="0"/>
    <n v="0"/>
    <n v="0"/>
    <n v="0"/>
    <n v="0"/>
    <n v="-212.25"/>
    <n v="531.99"/>
    <n v="319.74"/>
    <n v="-744.24"/>
  </r>
  <r>
    <x v="18"/>
    <x v="6"/>
    <x v="0"/>
    <s v="3000107"/>
    <n v="400010"/>
    <s v="Acute I/P Svcs Rev--Medicare"/>
    <s v="2 South"/>
    <x v="0"/>
    <n v="1100"/>
    <n v="-1231463.53"/>
    <n v="-1347471.26"/>
    <n v="-1123026.6100000001"/>
    <n v="-1210600.6200000001"/>
    <n v="-1144845.6399999999"/>
    <n v="-1111117.6399999999"/>
    <n v="-1563543.41"/>
    <n v="-1513142.04"/>
    <n v="-1535871.67"/>
    <n v="-1528862.06"/>
    <n v="-1440712.01"/>
    <n v="-1762680.27"/>
    <n v="-16513336.76"/>
    <n v="321968.26"/>
  </r>
  <r>
    <x v="18"/>
    <x v="6"/>
    <x v="0"/>
    <s v="3000107"/>
    <n v="400010"/>
    <s v="Acute I/P Svcs Rev--Medicaid"/>
    <s v="2 South"/>
    <x v="0"/>
    <n v="1200"/>
    <n v="-187243.97"/>
    <n v="-390576.77"/>
    <n v="-411992.63"/>
    <n v="-244192.11"/>
    <n v="-234482.07"/>
    <n v="-293452.03999999998"/>
    <n v="-288863.96000000002"/>
    <n v="-349422.36"/>
    <n v="-272077.31"/>
    <n v="-381053.05"/>
    <n v="-464283.18"/>
    <n v="-328093.28000000003"/>
    <n v="-3845732.7300000004"/>
    <n v="-136189.89999999997"/>
  </r>
  <r>
    <x v="18"/>
    <x v="6"/>
    <x v="0"/>
    <s v="3000107"/>
    <n v="400010"/>
    <s v="Acute I/P Svcs Rev--Comm Insurance"/>
    <s v="2 South"/>
    <x v="0"/>
    <n v="1300"/>
    <n v="-54095.73"/>
    <n v="45625.49"/>
    <n v="8809.57"/>
    <n v="-14819.05"/>
    <n v="0"/>
    <n v="-24164.11"/>
    <n v="34762.54"/>
    <n v="-122867.16"/>
    <n v="-23678.78"/>
    <n v="100290.16"/>
    <n v="-11034"/>
    <n v="16649.400000000001"/>
    <n v="-44521.670000000006"/>
    <n v="-27683.4"/>
  </r>
  <r>
    <x v="18"/>
    <x v="6"/>
    <x v="0"/>
    <s v="3000107"/>
    <n v="400010"/>
    <s v="Acute I/P Svcs Rev--BCBS Comm"/>
    <s v="2 South"/>
    <x v="0"/>
    <n v="1301"/>
    <n v="-16138.13"/>
    <n v="-35116.79"/>
    <n v="-76400.070000000007"/>
    <n v="-13076.26"/>
    <n v="-66969.39"/>
    <n v="-27352"/>
    <n v="-47440.11"/>
    <n v="7077.39"/>
    <n v="-86840.57"/>
    <n v="-169931.68"/>
    <n v="-49640.52"/>
    <n v="-19263"/>
    <n v="-601091.13"/>
    <n v="-30377.519999999997"/>
  </r>
  <r>
    <x v="18"/>
    <x v="6"/>
    <x v="0"/>
    <s v="3000107"/>
    <n v="400010"/>
    <s v="Acute I/P Svcs Rev--Managed Care"/>
    <s v="2 South"/>
    <x v="0"/>
    <n v="1400"/>
    <n v="-185852.77"/>
    <n v="-123939.9"/>
    <n v="-153813.76000000001"/>
    <n v="156281.85"/>
    <n v="-73270.7"/>
    <n v="-102646.63"/>
    <n v="-124282.82"/>
    <n v="-223395.43"/>
    <n v="-286794.98"/>
    <n v="-190177.83"/>
    <n v="-151063.04000000001"/>
    <n v="-82555.78"/>
    <n v="-1541511.79"/>
    <n v="-68507.260000000009"/>
  </r>
  <r>
    <x v="18"/>
    <x v="6"/>
    <x v="0"/>
    <s v="3000107"/>
    <n v="400010"/>
    <s v="Acute I/P Svcs Rev--Self Pay"/>
    <s v="2 South"/>
    <x v="0"/>
    <n v="1500"/>
    <n v="-9604.11"/>
    <n v="-22701.55"/>
    <n v="-69418.559999999998"/>
    <n v="0"/>
    <n v="-21055.82"/>
    <n v="8412.49"/>
    <n v="-7597.12"/>
    <n v="-28484.720000000001"/>
    <n v="-13252.16"/>
    <n v="-6290.52"/>
    <n v="-6361"/>
    <n v="0"/>
    <n v="-176353.07"/>
    <n v="-6361"/>
  </r>
  <r>
    <x v="18"/>
    <x v="6"/>
    <x v="0"/>
    <s v="3000107"/>
    <n v="400010"/>
    <s v="Acute I/P Svcs Rev--Other"/>
    <s v="2 South"/>
    <x v="0"/>
    <n v="1700"/>
    <n v="-84771.83"/>
    <n v="-62845.11"/>
    <n v="-185514.12"/>
    <n v="-38337.699999999997"/>
    <n v="-57384.06"/>
    <n v="-71615.570000000007"/>
    <n v="-2225.52"/>
    <n v="-19688.77"/>
    <n v="-40315.79"/>
    <n v="-75870.720000000001"/>
    <n v="-52569.37"/>
    <n v="-48789.79"/>
    <n v="-739928.35000000009"/>
    <n v="-3779.5800000000017"/>
  </r>
  <r>
    <x v="19"/>
    <x v="6"/>
    <x v="0"/>
    <s v="3000107"/>
    <n v="400020"/>
    <s v="O/P Care Svcs Rev--Medicare"/>
    <s v="2 South"/>
    <x v="0"/>
    <n v="1100"/>
    <n v="-91024.37"/>
    <n v="-45583.46"/>
    <n v="-71916.73"/>
    <n v="-76880.160000000003"/>
    <n v="-126193.28"/>
    <n v="-290701.02"/>
    <n v="-107591.57"/>
    <n v="-118723.16"/>
    <n v="-51915.17"/>
    <n v="-67886.460000000006"/>
    <n v="-107468.9"/>
    <n v="-130840.84"/>
    <n v="-1286725.1200000001"/>
    <n v="23371.940000000002"/>
  </r>
  <r>
    <x v="19"/>
    <x v="6"/>
    <x v="0"/>
    <s v="3000107"/>
    <n v="400020"/>
    <s v="O/P Care Svcs Rev--Medicaid"/>
    <s v="2 South"/>
    <x v="0"/>
    <n v="1200"/>
    <n v="-36480.53"/>
    <n v="-8567.07"/>
    <n v="-12883.67"/>
    <n v="-8158.16"/>
    <n v="-44872.49"/>
    <n v="-43403.77"/>
    <n v="-17218.46"/>
    <n v="-15504.09"/>
    <n v="-21084.1"/>
    <n v="-27117.19"/>
    <n v="-10435.879999999999"/>
    <n v="-25841.93"/>
    <n v="-271567.33999999997"/>
    <n v="15406.050000000001"/>
  </r>
  <r>
    <x v="19"/>
    <x v="6"/>
    <x v="0"/>
    <s v="3000107"/>
    <n v="400020"/>
    <s v="O/P Care Svcs Rev--Comm Insurance"/>
    <s v="2 South"/>
    <x v="0"/>
    <n v="1300"/>
    <n v="-3217.15"/>
    <n v="-6224.54"/>
    <n v="0"/>
    <n v="-4067.11"/>
    <n v="-8100.47"/>
    <n v="0"/>
    <n v="8100.47"/>
    <n v="0"/>
    <n v="0"/>
    <n v="-3533.2"/>
    <n v="0"/>
    <n v="4067.11"/>
    <n v="-12974.89"/>
    <n v="-4067.11"/>
  </r>
  <r>
    <x v="19"/>
    <x v="6"/>
    <x v="0"/>
    <s v="3000107"/>
    <n v="400020"/>
    <s v="O/P Care Svcs Rev--BCBS Comm"/>
    <s v="2 South"/>
    <x v="0"/>
    <n v="1301"/>
    <n v="-2774.73"/>
    <n v="-4929.33"/>
    <n v="-6803.26"/>
    <n v="-6997.98"/>
    <n v="-3634.84"/>
    <n v="-1717.69"/>
    <n v="-15434.95"/>
    <n v="-8040.02"/>
    <n v="-17353.14"/>
    <n v="-8654.58"/>
    <n v="-17602.560000000001"/>
    <n v="0"/>
    <n v="-93943.08"/>
    <n v="-17602.560000000001"/>
  </r>
  <r>
    <x v="19"/>
    <x v="6"/>
    <x v="0"/>
    <s v="3000107"/>
    <n v="400020"/>
    <s v="O/P Care Svcs Rev--Managed Care"/>
    <s v="2 South"/>
    <x v="0"/>
    <n v="1400"/>
    <n v="-51476.35"/>
    <n v="-49429.08"/>
    <n v="-15775.41"/>
    <n v="-21055.87"/>
    <n v="-19542.09"/>
    <n v="-3699.64"/>
    <n v="-12375.96"/>
    <n v="-3265.92"/>
    <n v="7705.89"/>
    <n v="-22955.82"/>
    <n v="-125157.07"/>
    <n v="-23335.119999999999"/>
    <n v="-340362.44"/>
    <n v="-101821.95000000001"/>
  </r>
  <r>
    <x v="19"/>
    <x v="6"/>
    <x v="0"/>
    <s v="3000107"/>
    <n v="400020"/>
    <s v="O/P Care Svcs Rev--Self Pay"/>
    <s v="2 South"/>
    <x v="0"/>
    <n v="1500"/>
    <n v="-9309.33"/>
    <n v="0"/>
    <n v="-2906.86"/>
    <n v="-2060.91"/>
    <n v="0"/>
    <n v="0"/>
    <n v="0"/>
    <n v="0"/>
    <n v="-8307.59"/>
    <n v="0"/>
    <n v="-913.56"/>
    <n v="0"/>
    <n v="-23498.250000000004"/>
    <n v="-913.56"/>
  </r>
  <r>
    <x v="19"/>
    <x v="6"/>
    <x v="0"/>
    <s v="3000107"/>
    <n v="400020"/>
    <s v="O/P Care Svcs Rev--Other"/>
    <s v="2 South"/>
    <x v="0"/>
    <n v="1700"/>
    <n v="-5318.79"/>
    <n v="-8291.7900000000009"/>
    <n v="-11001.99"/>
    <n v="-13771.88"/>
    <n v="-17224.07"/>
    <n v="-14027.2"/>
    <n v="-55489.7"/>
    <n v="-17402.16"/>
    <n v="-14794.72"/>
    <n v="-17254.099999999999"/>
    <n v="-12043.66"/>
    <n v="-5171.04"/>
    <n v="-191791.1"/>
    <n v="-6872.62"/>
  </r>
  <r>
    <x v="5"/>
    <x v="6"/>
    <x v="0"/>
    <s v="3000107"/>
    <n v="700014"/>
    <s v="Salaries-Management-Productive"/>
    <s v="2 South"/>
    <x v="0"/>
    <m/>
    <n v="4319.96"/>
    <n v="4352.47"/>
    <n v="4449.1899999999996"/>
    <n v="5236.8999999999996"/>
    <n v="2881.8"/>
    <n v="3180.14"/>
    <n v="4777.43"/>
    <n v="3781.89"/>
    <n v="5075.68"/>
    <n v="4976"/>
    <n v="3350.71"/>
    <n v="4163.42"/>
    <n v="50545.59"/>
    <n v="-812.71"/>
  </r>
  <r>
    <x v="5"/>
    <x v="6"/>
    <x v="0"/>
    <s v="3000107"/>
    <n v="700018"/>
    <s v="Salaries-Supervisory-Productive"/>
    <s v="2 South"/>
    <x v="0"/>
    <m/>
    <n v="4249.93"/>
    <n v="4928.71"/>
    <n v="2412"/>
    <n v="10606.14"/>
    <n v="12071.33"/>
    <n v="11729.07"/>
    <n v="12586.71"/>
    <n v="11283.42"/>
    <n v="12492.43"/>
    <n v="10783.23"/>
    <n v="12492.43"/>
    <n v="12089.62"/>
    <n v="117725.01999999999"/>
    <n v="402.80999999999949"/>
  </r>
  <r>
    <x v="5"/>
    <x v="6"/>
    <x v="0"/>
    <s v="3000107"/>
    <n v="700026"/>
    <s v="Salaries-RN-Productive"/>
    <s v="2 South"/>
    <x v="0"/>
    <m/>
    <n v="102397.78"/>
    <n v="99380.46"/>
    <n v="103481.43"/>
    <n v="97708.68"/>
    <n v="80973.52"/>
    <n v="131055.63"/>
    <n v="158437.75"/>
    <n v="156486.17000000001"/>
    <n v="160149.94"/>
    <n v="172463.52"/>
    <n v="154567.01999999999"/>
    <n v="139245.29"/>
    <n v="1556347.1900000002"/>
    <n v="15321.729999999981"/>
  </r>
  <r>
    <x v="5"/>
    <x v="6"/>
    <x v="0"/>
    <s v="3000107"/>
    <n v="700026"/>
    <s v="Salaries-RN-OT"/>
    <s v="2 South"/>
    <x v="0"/>
    <n v="1000"/>
    <n v="5307.23"/>
    <n v="9879.86"/>
    <n v="6591.02"/>
    <n v="5495.47"/>
    <n v="5099.95"/>
    <n v="10485.44"/>
    <n v="15156.82"/>
    <n v="11608.15"/>
    <n v="15157.73"/>
    <n v="14874.3"/>
    <n v="14897.15"/>
    <n v="12947.45"/>
    <n v="127500.56999999999"/>
    <n v="1949.6999999999989"/>
  </r>
  <r>
    <x v="5"/>
    <x v="6"/>
    <x v="0"/>
    <s v="3000107"/>
    <n v="700026"/>
    <s v="Salaries-RN-Other"/>
    <s v="2 South"/>
    <x v="0"/>
    <n v="2000"/>
    <n v="11887.49"/>
    <n v="12122.99"/>
    <n v="11037.63"/>
    <n v="11343.21"/>
    <n v="10713.2"/>
    <n v="12646.67"/>
    <n v="15364.06"/>
    <n v="13817.64"/>
    <n v="14821.41"/>
    <n v="15973.67"/>
    <n v="13959.26"/>
    <n v="14826.22"/>
    <n v="158513.45000000001"/>
    <n v="-866.95999999999913"/>
  </r>
  <r>
    <x v="5"/>
    <x v="6"/>
    <x v="0"/>
    <s v="3000107"/>
    <n v="700030"/>
    <s v="Salaries-LPN-Productive"/>
    <s v="2 South"/>
    <x v="0"/>
    <m/>
    <n v="11772.3"/>
    <n v="13911.93"/>
    <n v="12585.55"/>
    <n v="10831.87"/>
    <n v="4486.0200000000004"/>
    <n v="10887.71"/>
    <n v="11370.82"/>
    <n v="7111.64"/>
    <n v="7062.3"/>
    <n v="7636.63"/>
    <n v="9376.69"/>
    <n v="10078.76"/>
    <n v="117112.22"/>
    <n v="-702.06999999999971"/>
  </r>
  <r>
    <x v="5"/>
    <x v="6"/>
    <x v="0"/>
    <s v="3000107"/>
    <n v="700030"/>
    <s v="Salaries-LPN-OT"/>
    <s v="2 South"/>
    <x v="0"/>
    <n v="1000"/>
    <n v="39.18"/>
    <n v="428.67"/>
    <n v="331.37"/>
    <n v="186.93"/>
    <n v="96.6"/>
    <n v="259.64"/>
    <n v="11.47"/>
    <n v="191.39"/>
    <n v="270.23"/>
    <n v="118.42"/>
    <n v="400.5"/>
    <n v="1020.08"/>
    <n v="3354.48"/>
    <n v="-619.58000000000004"/>
  </r>
  <r>
    <x v="5"/>
    <x v="6"/>
    <x v="0"/>
    <s v="3000107"/>
    <n v="700030"/>
    <s v="Salaries-LPN-Other"/>
    <s v="2 South"/>
    <x v="0"/>
    <n v="2000"/>
    <n v="1025.01"/>
    <n v="1283.5"/>
    <n v="882.39"/>
    <n v="1627.66"/>
    <n v="438.24"/>
    <n v="813.25"/>
    <n v="1027.55"/>
    <n v="170.05"/>
    <n v="168.99"/>
    <n v="311.33"/>
    <n v="535.01"/>
    <n v="788.63"/>
    <n v="9071.6099999999988"/>
    <n v="-253.62"/>
  </r>
  <r>
    <x v="5"/>
    <x v="6"/>
    <x v="0"/>
    <s v="3000107"/>
    <n v="700032"/>
    <s v="Salaries-Other Pat Care Providers-Productive"/>
    <s v="2 South"/>
    <x v="0"/>
    <m/>
    <n v="41096.33"/>
    <n v="39250.75"/>
    <n v="37026.75"/>
    <n v="33582.370000000003"/>
    <n v="26323.48"/>
    <n v="48789.84"/>
    <n v="49672.89"/>
    <n v="35176.959999999999"/>
    <n v="42862.96"/>
    <n v="45985.55"/>
    <n v="48996.34"/>
    <n v="55023.12"/>
    <n v="503787.34000000008"/>
    <n v="-6026.7800000000061"/>
  </r>
  <r>
    <x v="5"/>
    <x v="6"/>
    <x v="0"/>
    <s v="3000107"/>
    <n v="700032"/>
    <s v="Salaries-Other Pat Care Providers-OT"/>
    <s v="2 South"/>
    <x v="0"/>
    <n v="1000"/>
    <n v="2806.93"/>
    <n v="5862.7"/>
    <n v="2068.66"/>
    <n v="624.61"/>
    <n v="4317.62"/>
    <n v="4328.3"/>
    <n v="6878.52"/>
    <n v="5516.94"/>
    <n v="4355.66"/>
    <n v="6287.4"/>
    <n v="4771.8599999999997"/>
    <n v="10124.700000000001"/>
    <n v="57943.900000000009"/>
    <n v="-5352.8400000000011"/>
  </r>
  <r>
    <x v="5"/>
    <x v="6"/>
    <x v="0"/>
    <s v="3000107"/>
    <n v="700032"/>
    <s v="Salaries-Other Pat Care Providers-Other"/>
    <s v="2 South"/>
    <x v="0"/>
    <n v="2000"/>
    <n v="3622.45"/>
    <n v="3989.17"/>
    <n v="3105.17"/>
    <n v="3121.56"/>
    <n v="3069.51"/>
    <n v="4435.2"/>
    <n v="4867.67"/>
    <n v="3083.63"/>
    <n v="3709.59"/>
    <n v="3978.01"/>
    <n v="4211.92"/>
    <n v="4879.55"/>
    <n v="46073.430000000008"/>
    <n v="-667.63000000000011"/>
  </r>
  <r>
    <x v="5"/>
    <x v="6"/>
    <x v="0"/>
    <s v="3000107"/>
    <n v="700034"/>
    <s v="Salaries-Tech/Professional-Productive"/>
    <s v="2 South"/>
    <x v="0"/>
    <m/>
    <n v="0"/>
    <n v="0"/>
    <n v="0"/>
    <n v="0"/>
    <n v="0"/>
    <n v="120.37"/>
    <n v="-15.04"/>
    <n v="0"/>
    <n v="0"/>
    <n v="0"/>
    <n v="0"/>
    <n v="0"/>
    <n v="105.33000000000001"/>
    <n v="0"/>
  </r>
  <r>
    <x v="5"/>
    <x v="6"/>
    <x v="0"/>
    <s v="3000107"/>
    <n v="700054"/>
    <s v="Salaries-Management-Non-productive"/>
    <s v="2 South"/>
    <x v="0"/>
    <m/>
    <n v="677.04"/>
    <n v="644.76"/>
    <n v="386.91"/>
    <n v="-128.94999999999999"/>
    <n v="2086.92"/>
    <n v="1954.37"/>
    <n v="365.11"/>
    <n v="862.5"/>
    <n v="66.38"/>
    <n v="0"/>
    <n v="1791.34"/>
    <n v="812.81"/>
    <n v="9519.1899999999987"/>
    <n v="978.53"/>
  </r>
  <r>
    <x v="5"/>
    <x v="6"/>
    <x v="0"/>
    <s v="3000107"/>
    <n v="700058"/>
    <s v="Salaries-Supervisory-Non-productive"/>
    <s v="2 South"/>
    <x v="0"/>
    <m/>
    <n v="774.12"/>
    <n v="824.82"/>
    <n v="-320.45999999999998"/>
    <n v="0"/>
    <n v="0"/>
    <n v="0"/>
    <n v="0"/>
    <n v="0"/>
    <n v="0"/>
    <n v="0"/>
    <n v="0"/>
    <n v="0"/>
    <n v="1278.48"/>
    <n v="0"/>
  </r>
  <r>
    <x v="5"/>
    <x v="6"/>
    <x v="0"/>
    <s v="3000107"/>
    <n v="700058"/>
    <s v="Salaries-Supervisory-NonProd-Other"/>
    <s v="2 South"/>
    <x v="0"/>
    <n v="2000"/>
    <n v="0"/>
    <n v="0"/>
    <n v="0"/>
    <n v="0"/>
    <n v="397.4"/>
    <n v="0"/>
    <n v="0"/>
    <n v="-397.4"/>
    <n v="0"/>
    <n v="0"/>
    <n v="0"/>
    <n v="0"/>
    <n v="0"/>
    <n v="0"/>
  </r>
  <r>
    <x v="5"/>
    <x v="6"/>
    <x v="0"/>
    <s v="3000107"/>
    <n v="700066"/>
    <s v="Salaries-RN-Non-productive"/>
    <s v="2 South"/>
    <x v="0"/>
    <m/>
    <n v="6435.67"/>
    <n v="1366.89"/>
    <n v="6417.14"/>
    <n v="3072.51"/>
    <n v="1231.48"/>
    <n v="4500.59"/>
    <n v="12650.45"/>
    <n v="8089.97"/>
    <n v="4757.62"/>
    <n v="8986.7999999999993"/>
    <n v="12767.35"/>
    <n v="6370.28"/>
    <n v="76646.75"/>
    <n v="6397.0700000000006"/>
  </r>
  <r>
    <x v="5"/>
    <x v="6"/>
    <x v="0"/>
    <s v="3000107"/>
    <n v="700066"/>
    <s v="Salaries-RN-NonProd-Other"/>
    <s v="2 South"/>
    <x v="0"/>
    <n v="2000"/>
    <n v="357.26"/>
    <n v="126.2"/>
    <n v="205.11"/>
    <n v="298.38"/>
    <n v="208.96"/>
    <n v="645.96"/>
    <n v="665.76"/>
    <n v="309.85000000000002"/>
    <n v="257.77"/>
    <n v="1059.3800000000001"/>
    <n v="415.58"/>
    <n v="24.61"/>
    <n v="4574.82"/>
    <n v="390.96999999999997"/>
  </r>
  <r>
    <x v="5"/>
    <x v="6"/>
    <x v="0"/>
    <s v="3000107"/>
    <n v="700070"/>
    <s v="Salaries-LPN-Non-productive"/>
    <s v="2 South"/>
    <x v="0"/>
    <m/>
    <n v="3680.44"/>
    <n v="476.75"/>
    <n v="4191.08"/>
    <n v="-1365.99"/>
    <n v="3019.18"/>
    <n v="491.8"/>
    <n v="157.19999999999999"/>
    <n v="838.99"/>
    <n v="1053.58"/>
    <n v="-238.17"/>
    <n v="351.56"/>
    <n v="0"/>
    <n v="12656.42"/>
    <n v="351.56"/>
  </r>
  <r>
    <x v="5"/>
    <x v="6"/>
    <x v="0"/>
    <s v="3000107"/>
    <n v="700070"/>
    <s v="Salaries-LPN-NonProd-Other"/>
    <s v="2 South"/>
    <x v="0"/>
    <n v="2000"/>
    <n v="187.39"/>
    <n v="181.53"/>
    <n v="354.9"/>
    <n v="-116.99"/>
    <n v="155.88"/>
    <n v="41.9"/>
    <n v="-10.28"/>
    <n v="53.01"/>
    <n v="-4.45"/>
    <n v="0"/>
    <n v="0"/>
    <n v="0"/>
    <n v="842.88999999999987"/>
    <n v="0"/>
  </r>
  <r>
    <x v="5"/>
    <x v="6"/>
    <x v="0"/>
    <s v="3000107"/>
    <n v="700072"/>
    <s v="Salaries-Other Pat Care Providers-Non-productive"/>
    <s v="2 South"/>
    <x v="0"/>
    <m/>
    <n v="950.29"/>
    <n v="93.79"/>
    <n v="746.72"/>
    <n v="1236.4000000000001"/>
    <n v="2734.77"/>
    <n v="2174.11"/>
    <n v="1136.82"/>
    <n v="2847.84"/>
    <n v="2934.82"/>
    <n v="1557.95"/>
    <n v="3940.68"/>
    <n v="3289.9"/>
    <n v="23644.09"/>
    <n v="650.77999999999975"/>
  </r>
  <r>
    <x v="5"/>
    <x v="6"/>
    <x v="0"/>
    <s v="3000107"/>
    <n v="700072"/>
    <s v="Salaries-Other Pat Care Providers-NonProd-Other"/>
    <s v="2 South"/>
    <x v="0"/>
    <n v="2000"/>
    <n v="293.51"/>
    <n v="-7.34"/>
    <n v="14.08"/>
    <n v="58.12"/>
    <n v="56.86"/>
    <n v="265.89"/>
    <n v="30.17"/>
    <n v="145.32"/>
    <n v="176.08"/>
    <n v="67.13"/>
    <n v="323.55"/>
    <n v="232.94"/>
    <n v="1656.3099999999997"/>
    <n v="90.610000000000014"/>
  </r>
  <r>
    <x v="5"/>
    <x v="6"/>
    <x v="0"/>
    <s v="3000107"/>
    <n v="700084"/>
    <s v="Accrued PTO"/>
    <s v="2 South"/>
    <x v="0"/>
    <m/>
    <n v="-2513.1"/>
    <n v="6315.59"/>
    <n v="603.13"/>
    <n v="6496.45"/>
    <n v="3595.66"/>
    <n v="7683.8"/>
    <n v="-770.52"/>
    <n v="2677.44"/>
    <n v="5950.54"/>
    <n v="7068.25"/>
    <n v="3495.25"/>
    <n v="2184.1799999999998"/>
    <n v="42786.67"/>
    <n v="1311.0700000000002"/>
  </r>
  <r>
    <x v="10"/>
    <x v="6"/>
    <x v="0"/>
    <s v="3000107"/>
    <n v="710060"/>
    <s v="Contract Labor-Other"/>
    <s v="2 South"/>
    <x v="0"/>
    <m/>
    <n v="115732.72"/>
    <n v="160144.21"/>
    <n v="107649.17"/>
    <n v="123527.64"/>
    <n v="139126.79999999999"/>
    <n v="76279.850000000006"/>
    <n v="47824.03"/>
    <n v="46686.25"/>
    <n v="61477.79"/>
    <n v="40262.51"/>
    <n v="58007.81"/>
    <n v="89091.9"/>
    <n v="1065810.68"/>
    <n v="-31084.089999999997"/>
  </r>
  <r>
    <x v="10"/>
    <x v="6"/>
    <x v="0"/>
    <s v="3000107"/>
    <n v="710060"/>
    <s v="Contract Labor-Overtime"/>
    <s v="2 South"/>
    <x v="0"/>
    <n v="5100"/>
    <n v="18426.16"/>
    <n v="6897.38"/>
    <n v="12031.07"/>
    <n v="3556.91"/>
    <n v="8991.57"/>
    <n v="8800.19"/>
    <n v="7894.39"/>
    <n v="4700.3599999999997"/>
    <n v="12593.47"/>
    <n v="8644.84"/>
    <n v="2827.57"/>
    <n v="13008.03"/>
    <n v="108371.94000000002"/>
    <n v="-10180.460000000001"/>
  </r>
  <r>
    <x v="10"/>
    <x v="6"/>
    <x v="0"/>
    <s v="3000107"/>
    <n v="710060"/>
    <s v="Contract Labor-Standby Wages"/>
    <s v="2 South"/>
    <x v="0"/>
    <n v="5101"/>
    <n v="4028.26"/>
    <n v="96"/>
    <n v="0"/>
    <n v="0"/>
    <n v="906"/>
    <n v="0"/>
    <n v="0"/>
    <n v="0"/>
    <n v="0"/>
    <n v="0"/>
    <n v="0"/>
    <n v="0"/>
    <n v="5030.26"/>
    <n v="0"/>
  </r>
  <r>
    <x v="6"/>
    <x v="6"/>
    <x v="0"/>
    <s v="3000107"/>
    <n v="713010"/>
    <s v="Benefits-FICA/Medicare"/>
    <s v="2 South"/>
    <x v="0"/>
    <m/>
    <n v="15202.83"/>
    <n v="15217.23"/>
    <n v="14751.06"/>
    <n v="13863.21"/>
    <n v="12220.85"/>
    <n v="18529.87"/>
    <n v="22216.37"/>
    <n v="19689.96"/>
    <n v="20748.080000000002"/>
    <n v="22298.35"/>
    <n v="21604.91"/>
    <n v="20835.939999999999"/>
    <n v="217178.65999999997"/>
    <n v="768.97000000000116"/>
  </r>
  <r>
    <x v="6"/>
    <x v="6"/>
    <x v="0"/>
    <s v="3000107"/>
    <n v="713090"/>
    <s v="Benefits-Allocated Amounts"/>
    <s v="2 South"/>
    <x v="0"/>
    <m/>
    <n v="38224.449999999997"/>
    <n v="34142.85"/>
    <n v="36983.26"/>
    <n v="33457.83"/>
    <n v="33472.519999999997"/>
    <n v="46426.5"/>
    <n v="54261.56"/>
    <n v="49389.88"/>
    <n v="43638.43"/>
    <n v="56140.87"/>
    <n v="52664.77"/>
    <n v="59230.14"/>
    <n v="538033.05999999994"/>
    <n v="-6565.3700000000026"/>
  </r>
  <r>
    <x v="6"/>
    <x v="6"/>
    <x v="0"/>
    <s v="3000107"/>
    <n v="713096"/>
    <s v="Employee Recognition"/>
    <s v="2 South"/>
    <x v="0"/>
    <n v="1017"/>
    <n v="255.77"/>
    <n v="0"/>
    <n v="0"/>
    <n v="0"/>
    <n v="0"/>
    <n v="0"/>
    <n v="0"/>
    <n v="13.06"/>
    <n v="421.01"/>
    <n v="43.98"/>
    <n v="0"/>
    <n v="275"/>
    <n v="1008.8199999999999"/>
    <n v="-275"/>
  </r>
  <r>
    <x v="17"/>
    <x v="6"/>
    <x v="0"/>
    <s v="3000107"/>
    <n v="714530"/>
    <s v="Medical Prof Fees-Intracompany"/>
    <s v="2 South"/>
    <x v="0"/>
    <m/>
    <n v="4164.88"/>
    <n v="-4164.88"/>
    <n v="0"/>
    <n v="0"/>
    <n v="0"/>
    <n v="0"/>
    <n v="0"/>
    <n v="0"/>
    <n v="0"/>
    <n v="0"/>
    <n v="0"/>
    <n v="0"/>
    <n v="0"/>
    <n v="0"/>
  </r>
  <r>
    <x v="7"/>
    <x v="6"/>
    <x v="0"/>
    <s v="3000107"/>
    <n v="718050"/>
    <s v="Contract Management--Linen"/>
    <s v="2 South"/>
    <x v="0"/>
    <n v="1026"/>
    <n v="4258.6000000000004"/>
    <n v="3881.19"/>
    <n v="4415.2299999999996"/>
    <n v="4208.9399999999996"/>
    <n v="3364.29"/>
    <n v="3299.59"/>
    <n v="4212.7700000000004"/>
    <n v="5335.37"/>
    <n v="3881.8"/>
    <n v="5088.7"/>
    <n v="4462.04"/>
    <n v="5820.65"/>
    <n v="52229.170000000006"/>
    <n v="-1358.6099999999997"/>
  </r>
  <r>
    <x v="7"/>
    <x v="6"/>
    <x v="0"/>
    <s v="3000107"/>
    <n v="718070"/>
    <s v="Contract Srvcs-CHI Clinical Engineering"/>
    <s v="2 South"/>
    <x v="0"/>
    <m/>
    <n v="432.52"/>
    <n v="432.52"/>
    <n v="432.52"/>
    <n v="432.52"/>
    <n v="432.52"/>
    <n v="396.38"/>
    <n v="404"/>
    <n v="481.89"/>
    <n v="478.23"/>
    <n v="478.23"/>
    <n v="483.5"/>
    <n v="474.41"/>
    <n v="5359.24"/>
    <n v="9.089999999999975"/>
  </r>
  <r>
    <x v="11"/>
    <x v="6"/>
    <x v="0"/>
    <s v="3000107"/>
    <n v="721010"/>
    <s v="Supplies-Medical - Billable"/>
    <s v="2 South"/>
    <x v="0"/>
    <m/>
    <n v="2587.2800000000002"/>
    <n v="2259.69"/>
    <n v="4251.01"/>
    <n v="1738.75"/>
    <n v="2512.77"/>
    <n v="3022.42"/>
    <n v="4118.46"/>
    <n v="4217.78"/>
    <n v="5907.88"/>
    <n v="5692.06"/>
    <n v="5104.3100000000004"/>
    <n v="5756.64"/>
    <n v="47169.049999999996"/>
    <n v="-652.32999999999993"/>
  </r>
  <r>
    <x v="11"/>
    <x v="6"/>
    <x v="0"/>
    <s v="3000107"/>
    <n v="721010"/>
    <s v="Patient Monitoring"/>
    <s v="2 South"/>
    <x v="0"/>
    <n v="1000"/>
    <n v="108.94"/>
    <n v="55.53"/>
    <n v="68.67"/>
    <n v="100.78"/>
    <n v="229.11"/>
    <n v="79.8"/>
    <n v="139.68"/>
    <n v="174.46"/>
    <n v="94.2"/>
    <n v="228.57"/>
    <n v="101.45"/>
    <n v="243.85"/>
    <n v="1625.04"/>
    <n v="-142.39999999999998"/>
  </r>
  <r>
    <x v="11"/>
    <x v="6"/>
    <x v="0"/>
    <s v="3000107"/>
    <n v="721020"/>
    <s v="Supplies-Surgical - Billable"/>
    <s v="2 South"/>
    <x v="0"/>
    <m/>
    <n v="178.46"/>
    <n v="235.61"/>
    <n v="416.39"/>
    <n v="59.46"/>
    <n v="97.8"/>
    <n v="97.24"/>
    <n v="312.94"/>
    <n v="98.58"/>
    <n v="359.12"/>
    <n v="313.54000000000002"/>
    <n v="324.06"/>
    <n v="122.41"/>
    <n v="2615.6099999999997"/>
    <n v="201.65"/>
  </r>
  <r>
    <x v="11"/>
    <x v="6"/>
    <x v="0"/>
    <s v="3000107"/>
    <n v="721020"/>
    <s v="Custom Packs"/>
    <s v="2 South"/>
    <x v="0"/>
    <n v="1000"/>
    <n v="0"/>
    <n v="86.58"/>
    <n v="121.11"/>
    <n v="26.48"/>
    <n v="79.56"/>
    <n v="119.16"/>
    <n v="79.44"/>
    <n v="92.68"/>
    <n v="92.68"/>
    <n v="185.36"/>
    <n v="172.12"/>
    <n v="145.63999999999999"/>
    <n v="1200.81"/>
    <n v="26.480000000000018"/>
  </r>
  <r>
    <x v="11"/>
    <x v="6"/>
    <x v="0"/>
    <s v="3000107"/>
    <n v="721020"/>
    <s v="Suture/Wound Closure"/>
    <s v="2 South"/>
    <x v="0"/>
    <n v="1001"/>
    <n v="0"/>
    <n v="0"/>
    <n v="0"/>
    <n v="0"/>
    <n v="0"/>
    <n v="5.94"/>
    <n v="0"/>
    <n v="0"/>
    <n v="0"/>
    <n v="0"/>
    <n v="5.94"/>
    <n v="0"/>
    <n v="11.88"/>
    <n v="5.94"/>
  </r>
  <r>
    <x v="11"/>
    <x v="6"/>
    <x v="0"/>
    <s v="3000107"/>
    <n v="721240"/>
    <s v="Supplies-IV Solutions/Supplies - Billable"/>
    <s v="2 South"/>
    <x v="0"/>
    <m/>
    <n v="1267.79"/>
    <n v="1280.6600000000001"/>
    <n v="1222.06"/>
    <n v="964.5"/>
    <n v="1405.8"/>
    <n v="1053.05"/>
    <n v="1822"/>
    <n v="1962.2"/>
    <n v="1370.52"/>
    <n v="1754.07"/>
    <n v="1259.18"/>
    <n v="1488.99"/>
    <n v="16850.820000000003"/>
    <n v="-229.80999999999995"/>
  </r>
  <r>
    <x v="11"/>
    <x v="6"/>
    <x v="0"/>
    <s v="3000107"/>
    <n v="721320"/>
    <s v="Supplies-Purchased Blood - Billable"/>
    <s v="2 South"/>
    <x v="0"/>
    <m/>
    <n v="171.45"/>
    <n v="228.6"/>
    <n v="171.45"/>
    <n v="228.6"/>
    <n v="171.45"/>
    <n v="171.45"/>
    <n v="114.3"/>
    <n v="114.3"/>
    <n v="308.61"/>
    <n v="250.2"/>
    <n v="191.82"/>
    <n v="250.2"/>
    <n v="2372.4299999999998"/>
    <n v="-58.379999999999995"/>
  </r>
  <r>
    <x v="11"/>
    <x v="6"/>
    <x v="0"/>
    <s v="3000107"/>
    <n v="721410"/>
    <s v="Supplies-Medical - Nonbillable"/>
    <s v="2 South"/>
    <x v="0"/>
    <m/>
    <n v="7455.1"/>
    <n v="8155.92"/>
    <n v="6660.48"/>
    <n v="6237.23"/>
    <n v="5632.57"/>
    <n v="6080.21"/>
    <n v="7160.49"/>
    <n v="9052.2900000000009"/>
    <n v="9816.08"/>
    <n v="8578.33"/>
    <n v="8509.93"/>
    <n v="9750.92"/>
    <n v="93089.55"/>
    <n v="-1240.9899999999998"/>
  </r>
  <r>
    <x v="11"/>
    <x v="6"/>
    <x v="0"/>
    <s v="3000107"/>
    <n v="721420"/>
    <s v="Supplies-Surgical Nonbillable"/>
    <s v="2 South"/>
    <x v="0"/>
    <m/>
    <n v="6.63"/>
    <n v="0"/>
    <n v="0"/>
    <n v="0"/>
    <n v="0"/>
    <n v="2.95"/>
    <n v="0.61"/>
    <n v="4.1399999999999997"/>
    <n v="98.11"/>
    <n v="0"/>
    <n v="16.02"/>
    <n v="4.29"/>
    <n v="132.75"/>
    <n v="11.73"/>
  </r>
  <r>
    <x v="11"/>
    <x v="6"/>
    <x v="0"/>
    <s v="3000107"/>
    <n v="721420"/>
    <s v="Sterilization Process Products"/>
    <s v="2 South"/>
    <x v="0"/>
    <n v="1009"/>
    <n v="0"/>
    <n v="0"/>
    <n v="0"/>
    <n v="1.02"/>
    <n v="0.74"/>
    <n v="0"/>
    <n v="1.44"/>
    <n v="0"/>
    <n v="60.03"/>
    <n v="0"/>
    <n v="0"/>
    <n v="10.66"/>
    <n v="73.89"/>
    <n v="-10.66"/>
  </r>
  <r>
    <x v="11"/>
    <x v="6"/>
    <x v="0"/>
    <s v="3000107"/>
    <n v="721610"/>
    <s v="Supplies-Anesthesia - Nonbillable"/>
    <s v="2 South"/>
    <x v="0"/>
    <m/>
    <n v="0"/>
    <n v="0"/>
    <n v="3.67"/>
    <n v="0"/>
    <n v="20.309999999999999"/>
    <n v="4.9000000000000004"/>
    <n v="40.33"/>
    <n v="0"/>
    <n v="0"/>
    <n v="0"/>
    <n v="0"/>
    <n v="30.38"/>
    <n v="99.589999999999989"/>
    <n v="-30.38"/>
  </r>
  <r>
    <x v="11"/>
    <x v="6"/>
    <x v="0"/>
    <s v="3000107"/>
    <n v="721640"/>
    <s v="Supplies-IV Solutions/Supplies - Nonbillable"/>
    <s v="2 South"/>
    <x v="0"/>
    <m/>
    <n v="1428.23"/>
    <n v="2437.1999999999998"/>
    <n v="1697.3"/>
    <n v="1333.14"/>
    <n v="1931.75"/>
    <n v="1228.6199999999999"/>
    <n v="1759.8"/>
    <n v="1681.73"/>
    <n v="1327.57"/>
    <n v="1926.62"/>
    <n v="2098.5500000000002"/>
    <n v="1833.14"/>
    <n v="20683.649999999994"/>
    <n v="265.41000000000008"/>
  </r>
  <r>
    <x v="11"/>
    <x v="6"/>
    <x v="0"/>
    <s v="3000107"/>
    <n v="721650"/>
    <s v="Supplies-Pharmacy Drugs - Nonbillable"/>
    <s v="2 South"/>
    <x v="0"/>
    <m/>
    <n v="152.91"/>
    <n v="41.4"/>
    <n v="126.54"/>
    <n v="85.86"/>
    <n v="101.78"/>
    <n v="18.97"/>
    <n v="66.33"/>
    <n v="148.37"/>
    <n v="113.93"/>
    <n v="60.79"/>
    <n v="78.12"/>
    <n v="63.9"/>
    <n v="1058.9000000000001"/>
    <n v="14.220000000000006"/>
  </r>
  <r>
    <x v="11"/>
    <x v="6"/>
    <x v="0"/>
    <s v="3000107"/>
    <n v="721710"/>
    <s v="Supplies-Laboratory - Nonbillable"/>
    <s v="2 South"/>
    <x v="0"/>
    <m/>
    <n v="188.45"/>
    <n v="184.73"/>
    <n v="218.03"/>
    <n v="100.07"/>
    <n v="170.96"/>
    <n v="143.46"/>
    <n v="205.52"/>
    <n v="185.03"/>
    <n v="173.6"/>
    <n v="210.83"/>
    <n v="207.34"/>
    <n v="223.34"/>
    <n v="2211.3599999999997"/>
    <n v="-16"/>
  </r>
  <r>
    <x v="11"/>
    <x v="6"/>
    <x v="0"/>
    <s v="3000107"/>
    <n v="721710"/>
    <s v="Reagents"/>
    <s v="2 South"/>
    <x v="0"/>
    <n v="1000"/>
    <n v="0"/>
    <n v="0"/>
    <n v="0"/>
    <n v="0"/>
    <n v="0"/>
    <n v="0"/>
    <n v="0"/>
    <n v="0"/>
    <n v="12.05"/>
    <n v="0"/>
    <n v="0"/>
    <n v="0"/>
    <n v="12.05"/>
    <n v="0"/>
  </r>
  <r>
    <x v="11"/>
    <x v="6"/>
    <x v="0"/>
    <s v="3000107"/>
    <n v="721750"/>
    <s v="Supplies-Film/Radiographic - Nonbillable"/>
    <s v="2 South"/>
    <x v="0"/>
    <m/>
    <n v="0"/>
    <n v="0"/>
    <n v="0"/>
    <n v="7.49"/>
    <n v="1.87"/>
    <n v="0"/>
    <n v="0"/>
    <n v="1.87"/>
    <n v="0.94"/>
    <n v="0"/>
    <n v="0"/>
    <n v="0"/>
    <n v="12.17"/>
    <n v="0"/>
  </r>
  <r>
    <x v="11"/>
    <x v="6"/>
    <x v="0"/>
    <s v="3000107"/>
    <n v="721810"/>
    <s v="Supplies-Dietary/Cafeteria"/>
    <s v="2 South"/>
    <x v="0"/>
    <m/>
    <n v="565.51"/>
    <n v="565.26"/>
    <n v="825.04"/>
    <n v="685.3"/>
    <n v="959.89"/>
    <n v="819.57"/>
    <n v="1102.24"/>
    <n v="1112.71"/>
    <n v="1123.3900000000001"/>
    <n v="857.49"/>
    <n v="1314.39"/>
    <n v="2265.14"/>
    <n v="12195.929999999998"/>
    <n v="-950.74999999999977"/>
  </r>
  <r>
    <x v="11"/>
    <x v="6"/>
    <x v="0"/>
    <s v="3000107"/>
    <n v="721830"/>
    <s v="Supplies-Office"/>
    <s v="2 South"/>
    <x v="0"/>
    <m/>
    <n v="144.12"/>
    <n v="28.5"/>
    <n v="519.89"/>
    <n v="957.27"/>
    <n v="547.22"/>
    <n v="850.66"/>
    <n v="297.62"/>
    <n v="272.20999999999998"/>
    <n v="261.38"/>
    <n v="299.62"/>
    <n v="381.21"/>
    <n v="435.09"/>
    <n v="4994.79"/>
    <n v="-53.879999999999995"/>
  </r>
  <r>
    <x v="11"/>
    <x v="6"/>
    <x v="0"/>
    <s v="3000107"/>
    <n v="721835"/>
    <s v="Supplies-Forms"/>
    <s v="2 South"/>
    <x v="0"/>
    <m/>
    <n v="0"/>
    <n v="0"/>
    <n v="0"/>
    <n v="0"/>
    <n v="36.479999999999997"/>
    <n v="0"/>
    <n v="0"/>
    <n v="0"/>
    <n v="0"/>
    <n v="4.78"/>
    <n v="0"/>
    <n v="0"/>
    <n v="41.26"/>
    <n v="0"/>
  </r>
  <r>
    <x v="11"/>
    <x v="6"/>
    <x v="0"/>
    <s v="3000107"/>
    <n v="721870"/>
    <s v="Supplies-Environmental Services"/>
    <s v="2 South"/>
    <x v="0"/>
    <m/>
    <n v="638.47"/>
    <n v="699.18"/>
    <n v="640.95000000000005"/>
    <n v="448.44"/>
    <n v="632.42999999999995"/>
    <n v="588.88"/>
    <n v="866.69"/>
    <n v="646.65"/>
    <n v="860.3"/>
    <n v="773.7"/>
    <n v="822.34"/>
    <n v="1071.3399999999999"/>
    <n v="8689.369999999999"/>
    <n v="-248.99999999999989"/>
  </r>
  <r>
    <x v="11"/>
    <x v="6"/>
    <x v="0"/>
    <s v="3000107"/>
    <n v="721910"/>
    <s v="Supplies-Small Equipment"/>
    <s v="2 South"/>
    <x v="0"/>
    <m/>
    <n v="368.98"/>
    <n v="764.83"/>
    <n v="395.03"/>
    <n v="6292.3"/>
    <n v="966.55"/>
    <n v="1202.4100000000001"/>
    <n v="834.27"/>
    <n v="1664.5"/>
    <n v="2337.08"/>
    <n v="4204.37"/>
    <n v="1490.39"/>
    <n v="848.41"/>
    <n v="21369.119999999999"/>
    <n v="641.98000000000013"/>
  </r>
  <r>
    <x v="11"/>
    <x v="6"/>
    <x v="0"/>
    <s v="3000107"/>
    <n v="721910"/>
    <s v="Instruments"/>
    <s v="2 South"/>
    <x v="0"/>
    <n v="1000"/>
    <n v="27.37"/>
    <n v="34.659999999999997"/>
    <n v="27.37"/>
    <n v="125.88"/>
    <n v="20.059999999999999"/>
    <n v="40.119999999999997"/>
    <n v="51.08"/>
    <n v="49.25"/>
    <n v="34.659999999999997"/>
    <n v="57.18"/>
    <n v="80.92"/>
    <n v="78.680000000000007"/>
    <n v="627.23"/>
    <n v="2.2399999999999949"/>
  </r>
  <r>
    <x v="11"/>
    <x v="6"/>
    <x v="0"/>
    <s v="3000107"/>
    <n v="721980"/>
    <s v="Supplies-Other"/>
    <s v="2 South"/>
    <x v="0"/>
    <m/>
    <n v="0"/>
    <n v="0"/>
    <n v="0"/>
    <n v="0"/>
    <n v="127.53"/>
    <n v="127.53"/>
    <n v="734"/>
    <n v="0"/>
    <n v="-889.38"/>
    <n v="673.93"/>
    <n v="0"/>
    <n v="165.48"/>
    <n v="939.08999999999992"/>
    <n v="-165.48"/>
  </r>
  <r>
    <x v="11"/>
    <x v="6"/>
    <x v="0"/>
    <s v="3000107"/>
    <n v="722000"/>
    <s v="Supplies-Freight Expense"/>
    <s v="2 South"/>
    <x v="0"/>
    <m/>
    <n v="49.9"/>
    <n v="8.44"/>
    <n v="0"/>
    <n v="2.04"/>
    <n v="0"/>
    <n v="0"/>
    <n v="23.9"/>
    <n v="0"/>
    <n v="16.32"/>
    <n v="0"/>
    <n v="45.4"/>
    <n v="0.27"/>
    <n v="146.27000000000001"/>
    <n v="45.129999999999995"/>
  </r>
  <r>
    <x v="12"/>
    <x v="6"/>
    <x v="0"/>
    <s v="3000107"/>
    <n v="730020"/>
    <s v="Rental and Leases-Equipment (DO NOT USE)"/>
    <s v="2 South"/>
    <x v="0"/>
    <m/>
    <n v="0"/>
    <n v="0"/>
    <n v="0"/>
    <n v="-250.8"/>
    <n v="0"/>
    <n v="0"/>
    <n v="0"/>
    <n v="0"/>
    <n v="0"/>
    <n v="0"/>
    <n v="0"/>
    <n v="0"/>
    <n v="-250.8"/>
    <n v="0"/>
  </r>
  <r>
    <x v="12"/>
    <x v="6"/>
    <x v="0"/>
    <s v="3000107"/>
    <n v="730020"/>
    <s v="Rental and Leases-Copier Usage Fees (DO NOT USE)"/>
    <s v="2 South"/>
    <x v="0"/>
    <n v="5100"/>
    <n v="70.58"/>
    <n v="70.67"/>
    <n v="-765.79"/>
    <n v="0"/>
    <n v="0"/>
    <n v="0"/>
    <n v="0"/>
    <n v="0"/>
    <n v="0"/>
    <n v="0"/>
    <n v="0"/>
    <n v="0"/>
    <n v="-624.54"/>
    <n v="0"/>
  </r>
  <r>
    <x v="15"/>
    <x v="6"/>
    <x v="0"/>
    <s v="3000107"/>
    <n v="731060"/>
    <s v="Telephone"/>
    <s v="2 South"/>
    <x v="0"/>
    <m/>
    <n v="0"/>
    <n v="0"/>
    <n v="0"/>
    <n v="0"/>
    <n v="0"/>
    <n v="0"/>
    <n v="116"/>
    <n v="0"/>
    <n v="0"/>
    <n v="0"/>
    <n v="0"/>
    <n v="0"/>
    <n v="116"/>
    <n v="0"/>
  </r>
  <r>
    <x v="15"/>
    <x v="6"/>
    <x v="0"/>
    <s v="3000107"/>
    <n v="731060"/>
    <s v="Cell Phones"/>
    <s v="2 South"/>
    <x v="0"/>
    <n v="1001"/>
    <n v="0"/>
    <n v="0"/>
    <n v="0"/>
    <n v="0"/>
    <n v="0"/>
    <n v="0"/>
    <n v="0"/>
    <n v="0"/>
    <n v="0"/>
    <n v="118.65"/>
    <n v="53.96"/>
    <n v="53.32"/>
    <n v="225.93"/>
    <n v="0.64000000000000057"/>
  </r>
  <r>
    <x v="0"/>
    <x v="6"/>
    <x v="0"/>
    <s v="3000107"/>
    <n v="749510"/>
    <s v="Miscellaneous Expenses"/>
    <s v="2 South"/>
    <x v="0"/>
    <m/>
    <n v="0"/>
    <n v="255"/>
    <n v="32.92"/>
    <n v="0"/>
    <n v="60"/>
    <n v="0"/>
    <n v="13.06"/>
    <n v="84.93"/>
    <n v="-97.99"/>
    <n v="54.48"/>
    <n v="956.81"/>
    <n v="0"/>
    <n v="1359.21"/>
    <n v="956.81"/>
  </r>
  <r>
    <x v="0"/>
    <x v="6"/>
    <x v="0"/>
    <s v="3000107"/>
    <n v="749510"/>
    <s v="Casualty Loss/Patient Property"/>
    <s v="2 South"/>
    <x v="0"/>
    <n v="4601"/>
    <n v="0"/>
    <n v="0"/>
    <n v="0"/>
    <n v="0"/>
    <n v="0"/>
    <n v="0"/>
    <n v="1904"/>
    <n v="0"/>
    <n v="-170"/>
    <n v="0"/>
    <n v="0"/>
    <n v="0"/>
    <n v="1734"/>
    <n v="0"/>
  </r>
  <r>
    <x v="0"/>
    <x v="6"/>
    <x v="0"/>
    <s v="3000107"/>
    <n v="749530"/>
    <s v="Travel"/>
    <s v="2 South"/>
    <x v="0"/>
    <m/>
    <n v="0"/>
    <n v="0"/>
    <n v="0"/>
    <n v="6"/>
    <n v="0"/>
    <n v="0"/>
    <n v="0"/>
    <n v="0"/>
    <n v="0"/>
    <n v="0"/>
    <n v="24"/>
    <n v="12"/>
    <n v="42"/>
    <n v="12"/>
  </r>
  <r>
    <x v="0"/>
    <x v="6"/>
    <x v="0"/>
    <s v="3000107"/>
    <n v="749530"/>
    <s v="Mileage"/>
    <s v="2 South"/>
    <x v="0"/>
    <n v="1001"/>
    <n v="0"/>
    <n v="0"/>
    <n v="0"/>
    <n v="37.06"/>
    <n v="0"/>
    <n v="0"/>
    <n v="0"/>
    <n v="0"/>
    <n v="0"/>
    <n v="127.6"/>
    <n v="155.44"/>
    <n v="77.72"/>
    <n v="397.82000000000005"/>
    <n v="77.72"/>
  </r>
  <r>
    <x v="0"/>
    <x v="6"/>
    <x v="0"/>
    <s v="3000107"/>
    <n v="749535"/>
    <s v="Meetings"/>
    <s v="2 South"/>
    <x v="0"/>
    <m/>
    <n v="0"/>
    <n v="0"/>
    <n v="0"/>
    <n v="0"/>
    <n v="0"/>
    <n v="0"/>
    <n v="0"/>
    <n v="0"/>
    <n v="0"/>
    <n v="0"/>
    <n v="0"/>
    <n v="133.06"/>
    <n v="133.06"/>
    <n v="-133.06"/>
  </r>
  <r>
    <x v="18"/>
    <x v="7"/>
    <x v="0"/>
    <s v="3000150"/>
    <n v="400010"/>
    <s v="Acute I/P Svcs Rev--Medicare"/>
    <s v="Medical/Surgical Acute"/>
    <x v="0"/>
    <n v="1100"/>
    <n v="-859674.71"/>
    <n v="-975858.94"/>
    <n v="-865250.08"/>
    <n v="-700236.27"/>
    <n v="-743681.32"/>
    <n v="-936822.36"/>
    <n v="-1066852.94"/>
    <n v="-830645.51"/>
    <n v="-1040071.41"/>
    <n v="-1073073.56"/>
    <n v="-1113836.92"/>
    <n v="-764553.17"/>
    <n v="-10970557.189999999"/>
    <n v="-349283.74999999988"/>
  </r>
  <r>
    <x v="18"/>
    <x v="7"/>
    <x v="0"/>
    <s v="3000150"/>
    <n v="400010"/>
    <s v="Acute I/P Svcs Rev--Medicaid"/>
    <s v="Medical/Surgical Acute"/>
    <x v="0"/>
    <n v="1200"/>
    <n v="-203576.4"/>
    <n v="-200184.66"/>
    <n v="-339429.38"/>
    <n v="-250965.67"/>
    <n v="-185339.05"/>
    <n v="-222519.89"/>
    <n v="-178227.79"/>
    <n v="-110977.67"/>
    <n v="-223428.61"/>
    <n v="-167897.49"/>
    <n v="-97844.75"/>
    <n v="-187983.61"/>
    <n v="-2368374.9699999993"/>
    <n v="90138.859999999986"/>
  </r>
  <r>
    <x v="18"/>
    <x v="7"/>
    <x v="0"/>
    <s v="3000150"/>
    <n v="400010"/>
    <s v="Acute I/P Svcs Rev--Comm Insurance"/>
    <s v="Medical/Surgical Acute"/>
    <x v="0"/>
    <n v="1300"/>
    <n v="29781.39"/>
    <n v="-77038.850000000006"/>
    <n v="-59200.37"/>
    <n v="-179693.96"/>
    <n v="114129.55"/>
    <n v="-31812.36"/>
    <n v="0"/>
    <n v="-29937.3"/>
    <n v="-11203.36"/>
    <n v="-63093.34"/>
    <n v="-20588.52"/>
    <n v="-3266"/>
    <n v="-331923.12"/>
    <n v="-17322.52"/>
  </r>
  <r>
    <x v="18"/>
    <x v="7"/>
    <x v="0"/>
    <s v="3000150"/>
    <n v="400010"/>
    <s v="Acute I/P Svcs Rev--BCBS Comm"/>
    <s v="Medical/Surgical Acute"/>
    <x v="0"/>
    <n v="1301"/>
    <n v="-24381.84"/>
    <n v="-80787"/>
    <n v="-18940.38"/>
    <n v="-59425.32"/>
    <n v="-57826.29"/>
    <n v="-93392.34"/>
    <n v="-32599.39"/>
    <n v="-61343.77"/>
    <n v="-110433.08"/>
    <n v="-80831.38"/>
    <n v="-58281.01"/>
    <n v="-104364.99"/>
    <n v="-782606.79"/>
    <n v="46083.98"/>
  </r>
  <r>
    <x v="18"/>
    <x v="7"/>
    <x v="0"/>
    <s v="3000150"/>
    <n v="400010"/>
    <s v="Acute I/P Svcs Rev--Managed Care"/>
    <s v="Medical/Surgical Acute"/>
    <x v="0"/>
    <n v="1400"/>
    <n v="-344816.93"/>
    <n v="-216640.49"/>
    <n v="-60914.47"/>
    <n v="-18572.349999999999"/>
    <n v="-268483.37"/>
    <n v="-185310.99"/>
    <n v="-186344.81"/>
    <n v="-216786.68"/>
    <n v="-146481.71"/>
    <n v="-225989.84"/>
    <n v="-141158.85999999999"/>
    <n v="-94864.73"/>
    <n v="-2106365.23"/>
    <n v="-46294.12999999999"/>
  </r>
  <r>
    <x v="18"/>
    <x v="7"/>
    <x v="0"/>
    <s v="3000150"/>
    <n v="400010"/>
    <s v="Acute I/P Svcs Rev--Self Pay"/>
    <s v="Medical/Surgical Acute"/>
    <x v="0"/>
    <n v="1500"/>
    <n v="-24705.4"/>
    <n v="11063.7"/>
    <n v="-10070.58"/>
    <n v="-46252.11"/>
    <n v="-25933.22"/>
    <n v="-12886.2"/>
    <n v="-9513"/>
    <n v="-54273.02"/>
    <n v="0"/>
    <n v="-11062.35"/>
    <n v="0"/>
    <n v="-36740.620000000003"/>
    <n v="-220372.8"/>
    <n v="36740.620000000003"/>
  </r>
  <r>
    <x v="18"/>
    <x v="7"/>
    <x v="0"/>
    <s v="3000150"/>
    <n v="400010"/>
    <s v="Acute I/P Svcs Rev--Other"/>
    <s v="Medical/Surgical Acute"/>
    <x v="0"/>
    <n v="1700"/>
    <n v="8676.6"/>
    <n v="-31628.49"/>
    <n v="20840.05"/>
    <n v="-10499.74"/>
    <n v="-36952.79"/>
    <n v="-26675.75"/>
    <n v="-27733.72"/>
    <n v="-34767.839999999997"/>
    <n v="-20917.189999999999"/>
    <n v="-10065.790000000001"/>
    <n v="-64961.9"/>
    <n v="20119.599999999999"/>
    <n v="-214566.96"/>
    <n v="-85081.5"/>
  </r>
  <r>
    <x v="19"/>
    <x v="7"/>
    <x v="0"/>
    <s v="3000150"/>
    <n v="400020"/>
    <s v="O/P Care Svcs Rev--Medicare"/>
    <s v="Medical/Surgical Acute"/>
    <x v="0"/>
    <n v="1100"/>
    <n v="-171511.34"/>
    <n v="-139573.94"/>
    <n v="-134757.10999999999"/>
    <n v="-116994.65"/>
    <n v="-182633.60000000001"/>
    <n v="-176296.07"/>
    <n v="-246190.14"/>
    <n v="-259348.58"/>
    <n v="-187872.38"/>
    <n v="-90362.2"/>
    <n v="-141409.06"/>
    <n v="-143223.85999999999"/>
    <n v="-1990172.9300000002"/>
    <n v="1814.7999999999884"/>
  </r>
  <r>
    <x v="19"/>
    <x v="7"/>
    <x v="0"/>
    <s v="3000150"/>
    <n v="400020"/>
    <s v="O/P Care Svcs Rev--Medicaid"/>
    <s v="Medical/Surgical Acute"/>
    <x v="0"/>
    <n v="1200"/>
    <n v="-23505.51"/>
    <n v="-17954.560000000001"/>
    <n v="-13156.04"/>
    <n v="-60778.2"/>
    <n v="-35364.92"/>
    <n v="-31912.02"/>
    <n v="-63435.43"/>
    <n v="-22568.9"/>
    <n v="-16260.62"/>
    <n v="-34895.160000000003"/>
    <n v="-33174.519999999997"/>
    <n v="-5201.72"/>
    <n v="-358207.6"/>
    <n v="-27972.799999999996"/>
  </r>
  <r>
    <x v="19"/>
    <x v="7"/>
    <x v="0"/>
    <s v="3000150"/>
    <n v="400020"/>
    <s v="O/P Care Svcs Rev--Comm Insurance"/>
    <s v="Medical/Surgical Acute"/>
    <x v="0"/>
    <n v="1300"/>
    <n v="-9415.85"/>
    <n v="-71.64"/>
    <n v="-19037.39"/>
    <n v="7135.02"/>
    <n v="0"/>
    <n v="-3062.88"/>
    <n v="-10847.16"/>
    <n v="-1960.01"/>
    <n v="-26006.39"/>
    <n v="-113.56"/>
    <n v="0"/>
    <n v="-2234.48"/>
    <n v="-65614.34"/>
    <n v="2234.48"/>
  </r>
  <r>
    <x v="19"/>
    <x v="7"/>
    <x v="0"/>
    <s v="3000150"/>
    <n v="400020"/>
    <s v="O/P Care Svcs Rev--BCBS Comm"/>
    <s v="Medical/Surgical Acute"/>
    <x v="0"/>
    <n v="1301"/>
    <n v="-15489.89"/>
    <n v="-24081.06"/>
    <n v="-37994.19"/>
    <n v="-29013.09"/>
    <n v="-25568.61"/>
    <n v="-16929.22"/>
    <n v="-57718.91"/>
    <n v="-26565.42"/>
    <n v="-14959.53"/>
    <n v="-24125.18"/>
    <n v="-48469.17"/>
    <n v="-26170.080000000002"/>
    <n v="-347084.35000000003"/>
    <n v="-22299.089999999997"/>
  </r>
  <r>
    <x v="19"/>
    <x v="7"/>
    <x v="0"/>
    <s v="3000150"/>
    <n v="400020"/>
    <s v="O/P Care Svcs Rev--Managed Care"/>
    <s v="Medical/Surgical Acute"/>
    <x v="0"/>
    <n v="1400"/>
    <n v="-67528.33"/>
    <n v="-11989.46"/>
    <n v="-33657.93"/>
    <n v="-44913.34"/>
    <n v="-38256.74"/>
    <n v="-54063.35"/>
    <n v="-58183.86"/>
    <n v="-53229.62"/>
    <n v="-40818.74"/>
    <n v="-11184.8"/>
    <n v="-52471.08"/>
    <n v="-45824.55"/>
    <n v="-512121.8"/>
    <n v="-6646.5299999999988"/>
  </r>
  <r>
    <x v="19"/>
    <x v="7"/>
    <x v="0"/>
    <s v="3000150"/>
    <n v="400020"/>
    <s v="O/P Care Svcs Rev--Self Pay"/>
    <s v="Medical/Surgical Acute"/>
    <x v="0"/>
    <n v="1500"/>
    <n v="0"/>
    <n v="-4970.41"/>
    <n v="-18770.099999999999"/>
    <n v="0"/>
    <n v="-264.26"/>
    <n v="-3497.55"/>
    <n v="0"/>
    <n v="-17583.62"/>
    <n v="0"/>
    <n v="0"/>
    <n v="-16297.17"/>
    <n v="-9118.93"/>
    <n v="-70502.039999999994"/>
    <n v="-7178.24"/>
  </r>
  <r>
    <x v="19"/>
    <x v="7"/>
    <x v="0"/>
    <s v="3000150"/>
    <n v="400020"/>
    <s v="O/P Care Svcs Rev--Other"/>
    <s v="Medical/Surgical Acute"/>
    <x v="0"/>
    <n v="1700"/>
    <n v="0"/>
    <n v="0"/>
    <n v="-12738.02"/>
    <n v="-18899.439999999999"/>
    <n v="0"/>
    <n v="0"/>
    <n v="-8908.7199999999993"/>
    <n v="-14192.56"/>
    <n v="-5529.26"/>
    <n v="-4316.16"/>
    <n v="-7626.82"/>
    <n v="-19766.080000000002"/>
    <n v="-91977.060000000012"/>
    <n v="12139.260000000002"/>
  </r>
  <r>
    <x v="14"/>
    <x v="7"/>
    <x v="0"/>
    <s v="3000150"/>
    <n v="600050"/>
    <s v="Miscellaneous Revenue"/>
    <s v="Medical/Surgical Acute"/>
    <x v="0"/>
    <m/>
    <n v="-3000"/>
    <n v="0"/>
    <n v="0"/>
    <n v="0"/>
    <n v="0"/>
    <n v="0"/>
    <n v="0"/>
    <n v="0"/>
    <n v="0"/>
    <n v="0"/>
    <n v="0"/>
    <n v="0"/>
    <n v="-3000"/>
    <n v="0"/>
  </r>
  <r>
    <x v="5"/>
    <x v="7"/>
    <x v="0"/>
    <s v="3000150"/>
    <n v="700014"/>
    <s v="Salaries-Management-Productive"/>
    <s v="Medical/Surgical Acute"/>
    <x v="0"/>
    <m/>
    <n v="7996.62"/>
    <n v="6707.23"/>
    <n v="9738.2800000000007"/>
    <n v="10185.6"/>
    <n v="9220.93"/>
    <n v="6721.84"/>
    <n v="9945.35"/>
    <n v="5784.46"/>
    <n v="10858.34"/>
    <n v="16543.77"/>
    <n v="18886.509999999998"/>
    <n v="3331.76"/>
    <n v="115920.68999999999"/>
    <n v="15554.749999999998"/>
  </r>
  <r>
    <x v="5"/>
    <x v="7"/>
    <x v="0"/>
    <s v="3000150"/>
    <n v="700014"/>
    <s v="Salaries-Management-Other"/>
    <s v="Medical/Surgical Acute"/>
    <x v="0"/>
    <n v="2000"/>
    <n v="0"/>
    <n v="0"/>
    <n v="0"/>
    <n v="0"/>
    <n v="0"/>
    <n v="0"/>
    <n v="0"/>
    <n v="0"/>
    <n v="0"/>
    <n v="1065.8"/>
    <n v="1053.3399999999999"/>
    <n v="250.4"/>
    <n v="2369.54"/>
    <n v="802.93999999999994"/>
  </r>
  <r>
    <x v="5"/>
    <x v="7"/>
    <x v="0"/>
    <s v="3000150"/>
    <n v="700026"/>
    <s v="Salaries-RN-Productive"/>
    <s v="Medical/Surgical Acute"/>
    <x v="0"/>
    <m/>
    <n v="160686.97"/>
    <n v="157826.51"/>
    <n v="172704.4"/>
    <n v="145119.49"/>
    <n v="156799.1"/>
    <n v="167891.29"/>
    <n v="172045.2"/>
    <n v="160530.64000000001"/>
    <n v="160573.94"/>
    <n v="180037.31"/>
    <n v="179870.79"/>
    <n v="153671.62"/>
    <n v="1967757.2600000002"/>
    <n v="26199.170000000013"/>
  </r>
  <r>
    <x v="5"/>
    <x v="7"/>
    <x v="0"/>
    <s v="3000150"/>
    <n v="700026"/>
    <s v="Salaries-RN-OT"/>
    <s v="Medical/Surgical Acute"/>
    <x v="0"/>
    <n v="1000"/>
    <n v="7629.85"/>
    <n v="6197.35"/>
    <n v="10660.69"/>
    <n v="4090.5"/>
    <n v="7555.13"/>
    <n v="7100.25"/>
    <n v="8702.2099999999991"/>
    <n v="7910.53"/>
    <n v="13034.59"/>
    <n v="8803.5300000000007"/>
    <n v="10863.39"/>
    <n v="2499.4499999999998"/>
    <n v="95047.469999999987"/>
    <n v="8363.9399999999987"/>
  </r>
  <r>
    <x v="5"/>
    <x v="7"/>
    <x v="0"/>
    <s v="3000150"/>
    <n v="700026"/>
    <s v="Salaries-RN-Other"/>
    <s v="Medical/Surgical Acute"/>
    <x v="0"/>
    <n v="2000"/>
    <n v="19248.490000000002"/>
    <n v="19632.93"/>
    <n v="19815.82"/>
    <n v="17667.98"/>
    <n v="19578.919999999998"/>
    <n v="22443.06"/>
    <n v="21141.23"/>
    <n v="19163.27"/>
    <n v="20719.310000000001"/>
    <n v="21820.400000000001"/>
    <n v="23107.4"/>
    <n v="21012.94"/>
    <n v="245351.74999999997"/>
    <n v="2094.4600000000028"/>
  </r>
  <r>
    <x v="5"/>
    <x v="7"/>
    <x v="0"/>
    <s v="3000150"/>
    <n v="700032"/>
    <s v="Salaries-Other Pat Care Providers-Productive"/>
    <s v="Medical/Surgical Acute"/>
    <x v="0"/>
    <m/>
    <n v="35293.46"/>
    <n v="30598.79"/>
    <n v="36168.550000000003"/>
    <n v="30192.49"/>
    <n v="33536.06"/>
    <n v="38209.120000000003"/>
    <n v="34439.269999999997"/>
    <n v="29682.03"/>
    <n v="33231.300000000003"/>
    <n v="31216.73"/>
    <n v="34749.69"/>
    <n v="30510.68"/>
    <n v="397828.17"/>
    <n v="4239.010000000002"/>
  </r>
  <r>
    <x v="5"/>
    <x v="7"/>
    <x v="0"/>
    <s v="3000150"/>
    <n v="700032"/>
    <s v="Salaries-Other Pat Care Providers-OT"/>
    <s v="Medical/Surgical Acute"/>
    <x v="0"/>
    <n v="1000"/>
    <n v="1599.58"/>
    <n v="1725.04"/>
    <n v="3162.84"/>
    <n v="613.75"/>
    <n v="3365.16"/>
    <n v="1249.05"/>
    <n v="2425.48"/>
    <n v="1387.12"/>
    <n v="1128.4000000000001"/>
    <n v="2038.78"/>
    <n v="636.95000000000005"/>
    <n v="965.31"/>
    <n v="20297.46"/>
    <n v="-328.3599999999999"/>
  </r>
  <r>
    <x v="5"/>
    <x v="7"/>
    <x v="0"/>
    <s v="3000150"/>
    <n v="700032"/>
    <s v="Salaries-Other Pat Care Providers-Other"/>
    <s v="Medical/Surgical Acute"/>
    <x v="0"/>
    <n v="2000"/>
    <n v="5361.24"/>
    <n v="5431.56"/>
    <n v="4171.43"/>
    <n v="4508.32"/>
    <n v="5215.43"/>
    <n v="4463.05"/>
    <n v="5118.95"/>
    <n v="3671.84"/>
    <n v="4943.8100000000004"/>
    <n v="4103.95"/>
    <n v="4366.8500000000004"/>
    <n v="4435.6099999999997"/>
    <n v="55792.039999999986"/>
    <n v="-68.759999999999309"/>
  </r>
  <r>
    <x v="5"/>
    <x v="7"/>
    <x v="0"/>
    <s v="3000150"/>
    <n v="700038"/>
    <s v="Salaries-Service/Support-Productive"/>
    <s v="Medical/Surgical Acute"/>
    <x v="0"/>
    <m/>
    <n v="4074.45"/>
    <n v="6505.68"/>
    <n v="5130.5"/>
    <n v="3319.75"/>
    <n v="3773.49"/>
    <n v="3248.59"/>
    <n v="4264.79"/>
    <n v="3376.33"/>
    <n v="3458.38"/>
    <n v="3824.33"/>
    <n v="4576.1899999999996"/>
    <n v="3486.41"/>
    <n v="49038.89"/>
    <n v="1089.7799999999997"/>
  </r>
  <r>
    <x v="5"/>
    <x v="7"/>
    <x v="0"/>
    <s v="3000150"/>
    <n v="700038"/>
    <s v="Salaries-Service/Support-OT"/>
    <s v="Medical/Surgical Acute"/>
    <x v="0"/>
    <n v="1000"/>
    <n v="275.10000000000002"/>
    <n v="180.99"/>
    <n v="66.680000000000007"/>
    <n v="67.739999999999995"/>
    <n v="37.15"/>
    <n v="104.35"/>
    <n v="33.76"/>
    <n v="130.81"/>
    <n v="54.49"/>
    <n v="26.34"/>
    <n v="35.57"/>
    <n v="-7.9"/>
    <n v="1005.08"/>
    <n v="43.47"/>
  </r>
  <r>
    <x v="5"/>
    <x v="7"/>
    <x v="0"/>
    <s v="3000150"/>
    <n v="700038"/>
    <s v="Salaries-Service/Support-Other"/>
    <s v="Medical/Surgical Acute"/>
    <x v="0"/>
    <n v="2000"/>
    <n v="174.85"/>
    <n v="416.72"/>
    <n v="272.58"/>
    <n v="260"/>
    <n v="181.36"/>
    <n v="91.65"/>
    <n v="335.48"/>
    <n v="166.1"/>
    <n v="173.34"/>
    <n v="131.31"/>
    <n v="562.1"/>
    <n v="119.12"/>
    <n v="2884.61"/>
    <n v="442.98"/>
  </r>
  <r>
    <x v="5"/>
    <x v="7"/>
    <x v="0"/>
    <s v="3000150"/>
    <n v="700054"/>
    <s v="Salaries-Management-Non-productive"/>
    <s v="Medical/Surgical Acute"/>
    <x v="0"/>
    <m/>
    <n v="1999.15"/>
    <n v="3289.01"/>
    <n v="-64.37"/>
    <n v="193.49"/>
    <n v="911.94"/>
    <n v="3749.14"/>
    <n v="541.99"/>
    <n v="3687"/>
    <n v="-371.97"/>
    <n v="473.57"/>
    <n v="473.57"/>
    <n v="858.72"/>
    <n v="15741.239999999998"/>
    <n v="-385.15000000000003"/>
  </r>
  <r>
    <x v="5"/>
    <x v="7"/>
    <x v="0"/>
    <s v="3000150"/>
    <n v="700054"/>
    <s v="Salaries-Management-NonProd-Other"/>
    <s v="Medical/Surgical Acute"/>
    <x v="0"/>
    <n v="2000"/>
    <n v="0"/>
    <n v="0"/>
    <n v="0"/>
    <n v="0"/>
    <n v="0"/>
    <n v="8018.49"/>
    <n v="-8018.49"/>
    <n v="0"/>
    <n v="0"/>
    <n v="0"/>
    <n v="0"/>
    <n v="0"/>
    <n v="0"/>
    <n v="0"/>
  </r>
  <r>
    <x v="5"/>
    <x v="7"/>
    <x v="0"/>
    <s v="3000150"/>
    <n v="700066"/>
    <s v="Salaries-RN-Non-productive"/>
    <s v="Medical/Surgical Acute"/>
    <x v="0"/>
    <m/>
    <n v="24649.42"/>
    <n v="40526.589999999997"/>
    <n v="15358.85"/>
    <n v="31258.41"/>
    <n v="15341.15"/>
    <n v="37178.5"/>
    <n v="34801.26"/>
    <n v="17164.240000000002"/>
    <n v="24525.46"/>
    <n v="23830.17"/>
    <n v="32202.77"/>
    <n v="26887.23"/>
    <n v="323724.05"/>
    <n v="5315.5400000000009"/>
  </r>
  <r>
    <x v="5"/>
    <x v="7"/>
    <x v="0"/>
    <s v="3000150"/>
    <n v="700066"/>
    <s v="Salaries-RN-NonProd-Other"/>
    <s v="Medical/Surgical Acute"/>
    <x v="0"/>
    <n v="2000"/>
    <n v="2085.3200000000002"/>
    <n v="3017.22"/>
    <n v="1250.23"/>
    <n v="2253.96"/>
    <n v="3119.56"/>
    <n v="6888.3"/>
    <n v="3444.71"/>
    <n v="-3589.29"/>
    <n v="2141.2199999999998"/>
    <n v="2731.95"/>
    <n v="2638.83"/>
    <n v="2586.5100000000002"/>
    <n v="28568.520000000004"/>
    <n v="52.319999999999709"/>
  </r>
  <r>
    <x v="5"/>
    <x v="7"/>
    <x v="0"/>
    <s v="3000150"/>
    <n v="700072"/>
    <s v="Salaries-Other Pat Care Providers-Non-productive"/>
    <s v="Medical/Surgical Acute"/>
    <x v="0"/>
    <m/>
    <n v="3946.39"/>
    <n v="4246.08"/>
    <n v="2248.0700000000002"/>
    <n v="6079.13"/>
    <n v="8073.49"/>
    <n v="5394.51"/>
    <n v="4522.76"/>
    <n v="3267.36"/>
    <n v="6343.72"/>
    <n v="5471"/>
    <n v="2199.0100000000002"/>
    <n v="3292.21"/>
    <n v="55083.73"/>
    <n v="-1093.1999999999998"/>
  </r>
  <r>
    <x v="5"/>
    <x v="7"/>
    <x v="0"/>
    <s v="3000150"/>
    <n v="700072"/>
    <s v="Salaries-Other Pat Care Providers-NonProd-Other"/>
    <s v="Medical/Surgical Acute"/>
    <x v="0"/>
    <n v="2000"/>
    <n v="294.99"/>
    <n v="217.54"/>
    <n v="171.44"/>
    <n v="123.42"/>
    <n v="598.04999999999995"/>
    <n v="252.74"/>
    <n v="331.82"/>
    <n v="-184.68"/>
    <n v="320.54000000000002"/>
    <n v="293.01"/>
    <n v="105.26"/>
    <n v="110.87"/>
    <n v="2635"/>
    <n v="-5.6099999999999994"/>
  </r>
  <r>
    <x v="5"/>
    <x v="7"/>
    <x v="0"/>
    <s v="3000150"/>
    <n v="700078"/>
    <s v="Salaries-Service/Support-Non-productive"/>
    <s v="Medical/Surgical Acute"/>
    <x v="0"/>
    <m/>
    <n v="2122.02"/>
    <n v="361.93"/>
    <n v="899.83"/>
    <n v="1407.88"/>
    <n v="480.64"/>
    <n v="835.86"/>
    <n v="669.75"/>
    <n v="258.10000000000002"/>
    <n v="509.27"/>
    <n v="-223.22"/>
    <n v="1600.49"/>
    <n v="299.54000000000002"/>
    <n v="9222.090000000002"/>
    <n v="1300.95"/>
  </r>
  <r>
    <x v="5"/>
    <x v="7"/>
    <x v="0"/>
    <s v="3000150"/>
    <n v="700078"/>
    <s v="Salaries-Service/Support-NonProd-Other"/>
    <s v="Medical/Surgical Acute"/>
    <x v="0"/>
    <n v="2000"/>
    <n v="53.84"/>
    <n v="-4.33"/>
    <n v="24.54"/>
    <n v="22.38"/>
    <n v="0"/>
    <n v="0"/>
    <n v="0"/>
    <n v="0"/>
    <n v="0"/>
    <n v="12.2"/>
    <n v="0"/>
    <n v="0"/>
    <n v="108.63000000000001"/>
    <n v="0"/>
  </r>
  <r>
    <x v="5"/>
    <x v="7"/>
    <x v="0"/>
    <s v="3000150"/>
    <n v="700084"/>
    <s v="Accrued PTO"/>
    <s v="Medical/Surgical Acute"/>
    <x v="0"/>
    <m/>
    <n v="-4774.82"/>
    <n v="-16274.58"/>
    <n v="6583.5"/>
    <n v="-34.64"/>
    <n v="8035.82"/>
    <n v="-4995.13"/>
    <n v="-2547.6"/>
    <n v="5907.55"/>
    <n v="5364.23"/>
    <n v="1964.62"/>
    <n v="3462.32"/>
    <n v="-3200.35"/>
    <n v="-509.08000000000266"/>
    <n v="6662.67"/>
  </r>
  <r>
    <x v="10"/>
    <x v="7"/>
    <x v="0"/>
    <s v="3000150"/>
    <n v="710060"/>
    <s v="Contract Labor-Other"/>
    <s v="Medical/Surgical Acute"/>
    <x v="0"/>
    <m/>
    <n v="16466"/>
    <n v="25448.94"/>
    <n v="12444.13"/>
    <n v="24510.83"/>
    <n v="21082.69"/>
    <n v="15386.19"/>
    <n v="8706.43"/>
    <n v="13224.31"/>
    <n v="8088.38"/>
    <n v="18756.13"/>
    <n v="2718.13"/>
    <n v="0"/>
    <n v="166832.16"/>
    <n v="2718.13"/>
  </r>
  <r>
    <x v="10"/>
    <x v="7"/>
    <x v="0"/>
    <s v="3000150"/>
    <n v="710060"/>
    <s v="Contract Labor-Overtime"/>
    <s v="Medical/Surgical Acute"/>
    <x v="0"/>
    <n v="5100"/>
    <n v="1293.98"/>
    <n v="1140.08"/>
    <n v="0"/>
    <n v="734.4"/>
    <n v="642.6"/>
    <n v="1365.86"/>
    <n v="2396.2399999999998"/>
    <n v="694.91"/>
    <n v="0"/>
    <n v="1845.11"/>
    <n v="0"/>
    <n v="0"/>
    <n v="10113.18"/>
    <n v="0"/>
  </r>
  <r>
    <x v="10"/>
    <x v="7"/>
    <x v="0"/>
    <s v="3000150"/>
    <n v="710060"/>
    <s v="Contract Labor-Standby Wages"/>
    <s v="Medical/Surgical Acute"/>
    <x v="0"/>
    <n v="5101"/>
    <n v="0"/>
    <n v="0"/>
    <n v="0"/>
    <n v="0"/>
    <n v="0"/>
    <n v="0"/>
    <n v="0"/>
    <n v="28"/>
    <n v="0"/>
    <n v="0"/>
    <n v="0"/>
    <n v="0"/>
    <n v="28"/>
    <n v="0"/>
  </r>
  <r>
    <x v="6"/>
    <x v="7"/>
    <x v="0"/>
    <s v="3000150"/>
    <n v="713010"/>
    <s v="Benefits-FICA/Medicare"/>
    <s v="Medical/Surgical Acute"/>
    <x v="0"/>
    <m/>
    <n v="20847.61"/>
    <n v="21278.69"/>
    <n v="20989.88"/>
    <n v="19777.82"/>
    <n v="20025.23"/>
    <n v="23520.82"/>
    <n v="23033.73"/>
    <n v="19143.63"/>
    <n v="20779.29"/>
    <n v="22421.45"/>
    <n v="23614.71"/>
    <n v="19161.919999999998"/>
    <n v="254594.78000000003"/>
    <n v="4452.7900000000009"/>
  </r>
  <r>
    <x v="6"/>
    <x v="7"/>
    <x v="0"/>
    <s v="3000150"/>
    <n v="713090"/>
    <s v="Benefits-Allocated Amounts"/>
    <s v="Medical/Surgical Acute"/>
    <x v="0"/>
    <m/>
    <n v="55606.17"/>
    <n v="48398.99"/>
    <n v="55412.28"/>
    <n v="49837.88"/>
    <n v="52229.42"/>
    <n v="55167.58"/>
    <n v="58206.15"/>
    <n v="46567.1"/>
    <n v="48233.51"/>
    <n v="59872.32"/>
    <n v="59415.75"/>
    <n v="51272.54"/>
    <n v="640219.69000000006"/>
    <n v="8143.2099999999991"/>
  </r>
  <r>
    <x v="6"/>
    <x v="7"/>
    <x v="0"/>
    <s v="3000150"/>
    <n v="713096"/>
    <s v="Employee Recognition"/>
    <s v="Medical/Surgical Acute"/>
    <x v="0"/>
    <n v="1017"/>
    <n v="150.22999999999999"/>
    <n v="0"/>
    <n v="200.97"/>
    <n v="124.61"/>
    <n v="0"/>
    <n v="168.64"/>
    <n v="24.32"/>
    <n v="0"/>
    <n v="0"/>
    <n v="566.38"/>
    <n v="613.52"/>
    <n v="299.93"/>
    <n v="2148.6"/>
    <n v="313.58999999999997"/>
  </r>
  <r>
    <x v="7"/>
    <x v="7"/>
    <x v="0"/>
    <s v="3000150"/>
    <n v="718050"/>
    <s v="Contract Svcs-Other"/>
    <s v="Medical/Surgical Acute"/>
    <x v="0"/>
    <m/>
    <n v="0"/>
    <n v="131"/>
    <n v="0"/>
    <n v="100"/>
    <n v="0"/>
    <n v="0"/>
    <n v="0"/>
    <n v="0"/>
    <n v="0"/>
    <n v="0"/>
    <n v="0"/>
    <n v="0"/>
    <n v="231"/>
    <n v="0"/>
  </r>
  <r>
    <x v="7"/>
    <x v="7"/>
    <x v="0"/>
    <s v="3000150"/>
    <n v="718050"/>
    <s v="Miscellaneous Purchased Svcs"/>
    <s v="Medical/Surgical Acute"/>
    <x v="0"/>
    <n v="1020"/>
    <n v="0"/>
    <n v="97.58"/>
    <n v="48.79"/>
    <n v="48.79"/>
    <n v="48.79"/>
    <n v="48.79"/>
    <n v="48.78"/>
    <n v="48.78"/>
    <n v="48.78"/>
    <n v="48.78"/>
    <n v="48.78"/>
    <n v="48.78"/>
    <n v="585.41999999999985"/>
    <n v="0"/>
  </r>
  <r>
    <x v="7"/>
    <x v="7"/>
    <x v="0"/>
    <s v="3000150"/>
    <n v="718050"/>
    <s v="Contract Management--Linen"/>
    <s v="Medical/Surgical Acute"/>
    <x v="0"/>
    <n v="1026"/>
    <n v="3062.59"/>
    <n v="2459.6"/>
    <n v="2914.39"/>
    <n v="2148.08"/>
    <n v="2689.07"/>
    <n v="2822.52"/>
    <n v="3096.37"/>
    <n v="3415.81"/>
    <n v="2986.56"/>
    <n v="3578.71"/>
    <n v="2148.42"/>
    <n v="4154.99"/>
    <n v="35477.11"/>
    <n v="-2006.5699999999997"/>
  </r>
  <r>
    <x v="11"/>
    <x v="7"/>
    <x v="0"/>
    <s v="3000150"/>
    <n v="721010"/>
    <s v="Supplies-Medical - Billable"/>
    <s v="Medical/Surgical Acute"/>
    <x v="0"/>
    <m/>
    <n v="2137.2600000000002"/>
    <n v="1860.05"/>
    <n v="1347.05"/>
    <n v="1412.63"/>
    <n v="1277.8499999999999"/>
    <n v="1517.33"/>
    <n v="1994.78"/>
    <n v="2246.9299999999998"/>
    <n v="2312.38"/>
    <n v="2871.84"/>
    <n v="2964.8"/>
    <n v="1696.78"/>
    <n v="23639.68"/>
    <n v="1268.0200000000002"/>
  </r>
  <r>
    <x v="11"/>
    <x v="7"/>
    <x v="0"/>
    <s v="3000150"/>
    <n v="721010"/>
    <s v="Patient Monitoring"/>
    <s v="Medical/Surgical Acute"/>
    <x v="0"/>
    <n v="1000"/>
    <n v="63.98"/>
    <n v="84.59"/>
    <n v="307.22000000000003"/>
    <n v="206.18"/>
    <n v="135.94999999999999"/>
    <n v="126.87"/>
    <n v="519.82000000000005"/>
    <n v="155.46"/>
    <n v="241.86"/>
    <n v="46.69"/>
    <n v="291.7"/>
    <n v="146.01"/>
    <n v="2326.33"/>
    <n v="145.69"/>
  </r>
  <r>
    <x v="11"/>
    <x v="7"/>
    <x v="0"/>
    <s v="3000150"/>
    <n v="721020"/>
    <s v="Supplies-Surgical - Billable"/>
    <s v="Medical/Surgical Acute"/>
    <x v="0"/>
    <m/>
    <n v="491.95"/>
    <n v="70.2"/>
    <n v="925.11"/>
    <n v="863.32"/>
    <n v="23.43"/>
    <n v="287.08"/>
    <n v="703.17"/>
    <n v="876.32"/>
    <n v="679.04"/>
    <n v="434.95"/>
    <n v="1604.41"/>
    <n v="227.03"/>
    <n v="7186.0099999999993"/>
    <n v="1377.38"/>
  </r>
  <r>
    <x v="11"/>
    <x v="7"/>
    <x v="0"/>
    <s v="3000150"/>
    <n v="721020"/>
    <s v="Custom Packs"/>
    <s v="Medical/Surgical Acute"/>
    <x v="0"/>
    <n v="1000"/>
    <n v="0"/>
    <n v="69.400000000000006"/>
    <n v="152.68"/>
    <n v="97.16"/>
    <n v="152.68"/>
    <n v="126.09"/>
    <n v="195.49"/>
    <n v="187.28"/>
    <n v="79.44"/>
    <n v="158.88"/>
    <n v="132.4"/>
    <n v="66.2"/>
    <n v="1417.7"/>
    <n v="66.2"/>
  </r>
  <r>
    <x v="11"/>
    <x v="7"/>
    <x v="0"/>
    <s v="3000150"/>
    <n v="721020"/>
    <s v="Suture/Wound Closure"/>
    <s v="Medical/Surgical Acute"/>
    <x v="0"/>
    <n v="1001"/>
    <n v="5.94"/>
    <n v="0"/>
    <n v="0"/>
    <n v="0"/>
    <n v="3.96"/>
    <n v="0.68"/>
    <n v="2.66"/>
    <n v="0"/>
    <n v="0"/>
    <n v="3.96"/>
    <n v="0"/>
    <n v="0"/>
    <n v="17.2"/>
    <n v="0"/>
  </r>
  <r>
    <x v="11"/>
    <x v="7"/>
    <x v="0"/>
    <s v="3000150"/>
    <n v="721020"/>
    <s v="Endomechanical Supplies &amp; Instruments"/>
    <s v="Medical/Surgical Acute"/>
    <x v="0"/>
    <n v="1003"/>
    <n v="13.4"/>
    <n v="0"/>
    <n v="0"/>
    <n v="0"/>
    <n v="0"/>
    <n v="0"/>
    <n v="0"/>
    <n v="26.74"/>
    <n v="0"/>
    <n v="0"/>
    <n v="0"/>
    <n v="0"/>
    <n v="40.14"/>
    <n v="0"/>
  </r>
  <r>
    <x v="11"/>
    <x v="7"/>
    <x v="0"/>
    <s v="3000150"/>
    <n v="721020"/>
    <s v="Tubes Drains &amp; Related Supplies"/>
    <s v="Medical/Surgical Acute"/>
    <x v="0"/>
    <n v="1008"/>
    <n v="0"/>
    <n v="15.5"/>
    <n v="33.46"/>
    <n v="0"/>
    <n v="14.44"/>
    <n v="42.35"/>
    <n v="36.53"/>
    <n v="154.33000000000001"/>
    <n v="25.42"/>
    <n v="7.6"/>
    <n v="56.83"/>
    <n v="0"/>
    <n v="386.46000000000004"/>
    <n v="56.83"/>
  </r>
  <r>
    <x v="11"/>
    <x v="7"/>
    <x v="0"/>
    <s v="3000150"/>
    <n v="721240"/>
    <s v="Supplies-IV Solutions/Supplies - Billable"/>
    <s v="Medical/Surgical Acute"/>
    <x v="0"/>
    <m/>
    <n v="1196.55"/>
    <n v="2052.52"/>
    <n v="957.67"/>
    <n v="1543.82"/>
    <n v="1165.8499999999999"/>
    <n v="1451.56"/>
    <n v="3373.63"/>
    <n v="1357.22"/>
    <n v="820.49"/>
    <n v="1250.04"/>
    <n v="1866.59"/>
    <n v="1559.71"/>
    <n v="18595.649999999998"/>
    <n v="306.87999999999988"/>
  </r>
  <r>
    <x v="11"/>
    <x v="7"/>
    <x v="0"/>
    <s v="3000150"/>
    <n v="721250"/>
    <s v="Supplies-Pharmacy Drugs - Billable"/>
    <s v="Medical/Surgical Acute"/>
    <x v="0"/>
    <m/>
    <n v="0"/>
    <n v="3.22"/>
    <n v="1.34"/>
    <n v="1.34"/>
    <n v="1.34"/>
    <n v="0"/>
    <n v="4.0199999999999996"/>
    <n v="1.34"/>
    <n v="12.39"/>
    <n v="0"/>
    <n v="2.68"/>
    <n v="0"/>
    <n v="27.67"/>
    <n v="2.68"/>
  </r>
  <r>
    <x v="11"/>
    <x v="7"/>
    <x v="0"/>
    <s v="3000150"/>
    <n v="721410"/>
    <s v="Supplies-Medical - Nonbillable"/>
    <s v="Medical/Surgical Acute"/>
    <x v="0"/>
    <m/>
    <n v="7170.67"/>
    <n v="3864.4"/>
    <n v="4340.2299999999996"/>
    <n v="5438.36"/>
    <n v="4626.38"/>
    <n v="5712.38"/>
    <n v="8573.57"/>
    <n v="5058.67"/>
    <n v="9591.16"/>
    <n v="12644.48"/>
    <n v="6573.79"/>
    <n v="7735.58"/>
    <n v="81329.67"/>
    <n v="-1161.79"/>
  </r>
  <r>
    <x v="11"/>
    <x v="7"/>
    <x v="0"/>
    <s v="3000150"/>
    <n v="721410"/>
    <s v="Patient Monitoring"/>
    <s v="Medical/Surgical Acute"/>
    <x v="0"/>
    <n v="1000"/>
    <n v="0"/>
    <n v="11.76"/>
    <n v="11.76"/>
    <n v="21.82"/>
    <n v="3.75"/>
    <n v="11.76"/>
    <n v="4.49"/>
    <n v="0"/>
    <n v="16.79"/>
    <n v="17.28"/>
    <n v="6.96"/>
    <n v="16.309999999999999"/>
    <n v="122.67999999999999"/>
    <n v="-9.3499999999999979"/>
  </r>
  <r>
    <x v="11"/>
    <x v="7"/>
    <x v="0"/>
    <s v="3000150"/>
    <n v="721420"/>
    <s v="Supplies-Surgical Nonbillable"/>
    <s v="Medical/Surgical Acute"/>
    <x v="0"/>
    <m/>
    <n v="20.059999999999999"/>
    <n v="57.91"/>
    <n v="68.05"/>
    <n v="26.18"/>
    <n v="12.88"/>
    <n v="19.64"/>
    <n v="21.44"/>
    <n v="4.49"/>
    <n v="27.93"/>
    <n v="21.78"/>
    <n v="19.78"/>
    <n v="3.9"/>
    <n v="304.03999999999996"/>
    <n v="15.88"/>
  </r>
  <r>
    <x v="11"/>
    <x v="7"/>
    <x v="0"/>
    <s v="3000150"/>
    <n v="721420"/>
    <s v="Heart/Lung Machine Supplies"/>
    <s v="Medical/Surgical Acute"/>
    <x v="0"/>
    <n v="1005"/>
    <n v="26.88"/>
    <n v="2.52"/>
    <n v="1.68"/>
    <n v="0"/>
    <n v="0"/>
    <n v="15.12"/>
    <n v="15.96"/>
    <n v="9.24"/>
    <n v="24.99"/>
    <n v="14.37"/>
    <n v="10.38"/>
    <n v="9.58"/>
    <n v="130.72"/>
    <n v="0.80000000000000071"/>
  </r>
  <r>
    <x v="11"/>
    <x v="7"/>
    <x v="0"/>
    <s v="3000150"/>
    <n v="721420"/>
    <s v="Tubes Drains &amp; Related Supplies"/>
    <s v="Medical/Surgical Acute"/>
    <x v="0"/>
    <n v="1008"/>
    <n v="0"/>
    <n v="0"/>
    <n v="2.93"/>
    <n v="10.29"/>
    <n v="-7.87"/>
    <n v="14.52"/>
    <n v="6.52"/>
    <n v="13.48"/>
    <n v="40.33"/>
    <n v="17.329999999999998"/>
    <n v="17.87"/>
    <n v="0.48"/>
    <n v="115.88"/>
    <n v="17.39"/>
  </r>
  <r>
    <x v="11"/>
    <x v="7"/>
    <x v="0"/>
    <s v="3000150"/>
    <n v="721420"/>
    <s v="Sterilization Process Products"/>
    <s v="Medical/Surgical Acute"/>
    <x v="0"/>
    <n v="1009"/>
    <n v="0"/>
    <n v="0"/>
    <n v="0"/>
    <n v="0"/>
    <n v="0"/>
    <n v="9.52"/>
    <n v="2.38"/>
    <n v="0"/>
    <n v="0"/>
    <n v="0"/>
    <n v="2.38"/>
    <n v="0"/>
    <n v="14.279999999999998"/>
    <n v="2.38"/>
  </r>
  <r>
    <x v="11"/>
    <x v="7"/>
    <x v="0"/>
    <s v="3000150"/>
    <n v="721610"/>
    <s v="Supplies-Anesthesia - Nonbillable"/>
    <s v="Medical/Surgical Acute"/>
    <x v="0"/>
    <m/>
    <n v="630.45000000000005"/>
    <n v="189.45"/>
    <n v="570.41"/>
    <n v="0"/>
    <n v="382.71"/>
    <n v="285.08"/>
    <n v="596.02"/>
    <n v="393.91"/>
    <n v="566.42999999999995"/>
    <n v="213.55"/>
    <n v="578.53"/>
    <n v="101.01"/>
    <n v="4507.55"/>
    <n v="477.52"/>
  </r>
  <r>
    <x v="11"/>
    <x v="7"/>
    <x v="0"/>
    <s v="3000150"/>
    <n v="721640"/>
    <s v="Supplies-IV Solutions/Supplies - Nonbillable"/>
    <s v="Medical/Surgical Acute"/>
    <x v="0"/>
    <m/>
    <n v="1455.65"/>
    <n v="1307.3399999999999"/>
    <n v="906.7"/>
    <n v="1461.07"/>
    <n v="1454.09"/>
    <n v="1595.58"/>
    <n v="1943.06"/>
    <n v="1525.34"/>
    <n v="1963.46"/>
    <n v="1754.68"/>
    <n v="1723.12"/>
    <n v="1182.49"/>
    <n v="18272.580000000002"/>
    <n v="540.62999999999988"/>
  </r>
  <r>
    <x v="11"/>
    <x v="7"/>
    <x v="0"/>
    <s v="3000150"/>
    <n v="721650"/>
    <s v="Supplies-Pharmacy Drugs - Nonbillable"/>
    <s v="Medical/Surgical Acute"/>
    <x v="0"/>
    <m/>
    <n v="80.66"/>
    <n v="102.67"/>
    <n v="42.43"/>
    <n v="82.24"/>
    <n v="166.8"/>
    <n v="112.6"/>
    <n v="124.29"/>
    <n v="139.28"/>
    <n v="152.5"/>
    <n v="96.99"/>
    <n v="163.08000000000001"/>
    <n v="34.71"/>
    <n v="1298.2499999999998"/>
    <n v="128.37"/>
  </r>
  <r>
    <x v="11"/>
    <x v="7"/>
    <x v="0"/>
    <s v="3000150"/>
    <n v="721710"/>
    <s v="Supplies-Laboratory - Nonbillable"/>
    <s v="Medical/Surgical Acute"/>
    <x v="0"/>
    <m/>
    <n v="102.94"/>
    <n v="100.23"/>
    <n v="104.89"/>
    <n v="86.18"/>
    <n v="88.96"/>
    <n v="103.86"/>
    <n v="95.95"/>
    <n v="92.7"/>
    <n v="85.19"/>
    <n v="146.97"/>
    <n v="91.09"/>
    <n v="73.31"/>
    <n v="1172.27"/>
    <n v="17.78"/>
  </r>
  <r>
    <x v="11"/>
    <x v="7"/>
    <x v="0"/>
    <s v="3000150"/>
    <n v="721750"/>
    <s v="Supplies-Film/Radiographic - Nonbillable"/>
    <s v="Medical/Surgical Acute"/>
    <x v="0"/>
    <m/>
    <n v="0"/>
    <n v="1.87"/>
    <n v="1.87"/>
    <n v="2.81"/>
    <n v="0"/>
    <n v="1.87"/>
    <n v="1.87"/>
    <n v="0"/>
    <n v="0"/>
    <n v="7.02"/>
    <n v="21.14"/>
    <n v="0"/>
    <n v="38.450000000000003"/>
    <n v="21.14"/>
  </r>
  <r>
    <x v="11"/>
    <x v="7"/>
    <x v="0"/>
    <s v="3000150"/>
    <n v="721810"/>
    <s v="Supplies-Dietary/Cafeteria"/>
    <s v="Medical/Surgical Acute"/>
    <x v="0"/>
    <m/>
    <n v="1569.64"/>
    <n v="2034.67"/>
    <n v="1415.07"/>
    <n v="1184.56"/>
    <n v="1671.85"/>
    <n v="1958.73"/>
    <n v="1719.99"/>
    <n v="1377.69"/>
    <n v="1730.43"/>
    <n v="1871.05"/>
    <n v="1814.3"/>
    <n v="1499.65"/>
    <n v="19847.63"/>
    <n v="314.64999999999986"/>
  </r>
  <r>
    <x v="11"/>
    <x v="7"/>
    <x v="0"/>
    <s v="3000150"/>
    <n v="721830"/>
    <s v="Supplies-Office"/>
    <s v="Medical/Surgical Acute"/>
    <x v="0"/>
    <m/>
    <n v="328.92"/>
    <n v="575.71"/>
    <n v="851.74"/>
    <n v="308.22000000000003"/>
    <n v="493.68"/>
    <n v="701.32"/>
    <n v="428.29"/>
    <n v="270.39"/>
    <n v="496.96"/>
    <n v="3077.77"/>
    <n v="341.09"/>
    <n v="148.27000000000001"/>
    <n v="8022.3600000000006"/>
    <n v="192.81999999999996"/>
  </r>
  <r>
    <x v="11"/>
    <x v="7"/>
    <x v="0"/>
    <s v="3000150"/>
    <n v="721835"/>
    <s v="Supplies-Forms"/>
    <s v="Medical/Surgical Acute"/>
    <x v="0"/>
    <m/>
    <n v="0"/>
    <n v="0"/>
    <n v="0"/>
    <n v="0"/>
    <n v="339.6"/>
    <n v="133.94999999999999"/>
    <n v="165.6"/>
    <n v="0"/>
    <n v="450.1"/>
    <n v="34.880000000000003"/>
    <n v="2.4"/>
    <n v="114.27"/>
    <n v="1240.8000000000002"/>
    <n v="-111.86999999999999"/>
  </r>
  <r>
    <x v="11"/>
    <x v="7"/>
    <x v="0"/>
    <s v="3000150"/>
    <n v="721870"/>
    <s v="Supplies-Environmental Services"/>
    <s v="Medical/Surgical Acute"/>
    <x v="0"/>
    <m/>
    <n v="133.85"/>
    <n v="210.21"/>
    <n v="185.63"/>
    <n v="-93.76"/>
    <n v="149.01"/>
    <n v="181.49"/>
    <n v="247.71"/>
    <n v="295.14999999999998"/>
    <n v="171.09"/>
    <n v="222.94"/>
    <n v="279.20999999999998"/>
    <n v="188.9"/>
    <n v="2171.4299999999998"/>
    <n v="90.309999999999974"/>
  </r>
  <r>
    <x v="11"/>
    <x v="7"/>
    <x v="0"/>
    <s v="3000150"/>
    <n v="721910"/>
    <s v="Supplies-Small Equipment"/>
    <s v="Medical/Surgical Acute"/>
    <x v="0"/>
    <m/>
    <n v="1112.6099999999999"/>
    <n v="468.22"/>
    <n v="802.15"/>
    <n v="4863.17"/>
    <n v="659.7"/>
    <n v="1253.46"/>
    <n v="1250.9000000000001"/>
    <n v="2329.36"/>
    <n v="4516.59"/>
    <n v="6370.34"/>
    <n v="1527.96"/>
    <n v="765.02"/>
    <n v="25919.48"/>
    <n v="762.94"/>
  </r>
  <r>
    <x v="11"/>
    <x v="7"/>
    <x v="0"/>
    <s v="3000150"/>
    <n v="721910"/>
    <s v="Instruments"/>
    <s v="Medical/Surgical Acute"/>
    <x v="0"/>
    <n v="1000"/>
    <n v="0"/>
    <n v="1.58"/>
    <n v="1.58"/>
    <n v="0"/>
    <n v="0"/>
    <n v="7.56"/>
    <n v="2.37"/>
    <n v="697.48"/>
    <n v="923.71"/>
    <n v="2.37"/>
    <n v="263.44"/>
    <n v="0"/>
    <n v="1900.0900000000001"/>
    <n v="263.44"/>
  </r>
  <r>
    <x v="11"/>
    <x v="7"/>
    <x v="0"/>
    <s v="3000150"/>
    <n v="721980"/>
    <s v="Supplies-Other"/>
    <s v="Medical/Surgical Acute"/>
    <x v="0"/>
    <m/>
    <n v="45.06"/>
    <n v="0"/>
    <n v="0"/>
    <n v="0"/>
    <n v="0"/>
    <n v="0"/>
    <n v="15.3"/>
    <n v="0"/>
    <n v="0"/>
    <n v="15.52"/>
    <n v="0"/>
    <n v="0"/>
    <n v="75.88"/>
    <n v="0"/>
  </r>
  <r>
    <x v="11"/>
    <x v="7"/>
    <x v="0"/>
    <s v="3000150"/>
    <n v="722000"/>
    <s v="Supplies-Freight Expense"/>
    <s v="Medical/Surgical Acute"/>
    <x v="0"/>
    <m/>
    <n v="11"/>
    <n v="363.53"/>
    <n v="21.18"/>
    <n v="71.92"/>
    <n v="48.64"/>
    <n v="21.51"/>
    <n v="133.19999999999999"/>
    <n v="0"/>
    <n v="11.06"/>
    <n v="49.33"/>
    <n v="33.33"/>
    <n v="0"/>
    <n v="764.7"/>
    <n v="33.33"/>
  </r>
  <r>
    <x v="11"/>
    <x v="7"/>
    <x v="0"/>
    <s v="3000150"/>
    <n v="722000"/>
    <s v="Minimum Order Fees"/>
    <s v="Medical/Surgical Acute"/>
    <x v="0"/>
    <n v="1000"/>
    <n v="0"/>
    <n v="0"/>
    <n v="0"/>
    <n v="0"/>
    <n v="0"/>
    <n v="0"/>
    <n v="0"/>
    <n v="0"/>
    <n v="0"/>
    <n v="0"/>
    <n v="0"/>
    <n v="25"/>
    <n v="25"/>
    <n v="-25"/>
  </r>
  <r>
    <x v="12"/>
    <x v="7"/>
    <x v="0"/>
    <s v="3000150"/>
    <n v="730020"/>
    <s v="Rental and Leases-Equipment (DO NOT USE)"/>
    <s v="Medical/Surgical Acute"/>
    <x v="0"/>
    <m/>
    <n v="0"/>
    <n v="0"/>
    <n v="0"/>
    <n v="-825.47"/>
    <n v="0"/>
    <n v="0"/>
    <n v="0"/>
    <n v="0"/>
    <n v="0"/>
    <n v="0"/>
    <n v="0"/>
    <n v="0"/>
    <n v="-825.47"/>
    <n v="0"/>
  </r>
  <r>
    <x v="12"/>
    <x v="7"/>
    <x v="0"/>
    <s v="3000150"/>
    <n v="730020"/>
    <s v="Rental and Leases-Copier Usage Fees (DO NOT USE)"/>
    <s v="Medical/Surgical Acute"/>
    <x v="0"/>
    <n v="5100"/>
    <n v="227.42"/>
    <n v="233.18"/>
    <n v="230.3"/>
    <n v="230.3"/>
    <n v="230.3"/>
    <n v="230.3"/>
    <n v="974.47"/>
    <n v="293.88"/>
    <n v="623.76"/>
    <n v="489.72"/>
    <n v="271.47000000000003"/>
    <n v="298.89999999999998"/>
    <n v="4334"/>
    <n v="-27.42999999999995"/>
  </r>
  <r>
    <x v="15"/>
    <x v="7"/>
    <x v="0"/>
    <s v="3000150"/>
    <n v="731060"/>
    <s v="Cell Phones"/>
    <s v="Medical/Surgical Acute"/>
    <x v="0"/>
    <n v="1001"/>
    <n v="0"/>
    <n v="86.88"/>
    <n v="92.42"/>
    <n v="0"/>
    <n v="58.96"/>
    <n v="60.15"/>
    <n v="120.28"/>
    <n v="0"/>
    <n v="61.65"/>
    <n v="120.43"/>
    <n v="59.39"/>
    <n v="60.47"/>
    <n v="720.63"/>
    <n v="-1.0799999999999983"/>
  </r>
  <r>
    <x v="15"/>
    <x v="7"/>
    <x v="0"/>
    <s v="3000150"/>
    <n v="731060"/>
    <s v="Pagers"/>
    <s v="Medical/Surgical Acute"/>
    <x v="0"/>
    <n v="1002"/>
    <n v="16.2"/>
    <n v="16.2"/>
    <n v="16.2"/>
    <n v="-11.29"/>
    <n v="16.239999999999998"/>
    <n v="0"/>
    <n v="32.479999999999997"/>
    <n v="16.239999999999998"/>
    <n v="16.239999999999998"/>
    <n v="16.239999999999998"/>
    <n v="16.239999999999998"/>
    <n v="16.239999999999998"/>
    <n v="167.23000000000002"/>
    <n v="0"/>
  </r>
  <r>
    <x v="16"/>
    <x v="7"/>
    <x v="0"/>
    <s v="3000150"/>
    <n v="732020"/>
    <s v="Repairs--Clin Equip-Parts-Internal to CHI Programs"/>
    <s v="Medical/Surgical Acute"/>
    <x v="0"/>
    <m/>
    <n v="0"/>
    <n v="0"/>
    <n v="0"/>
    <n v="115.14"/>
    <n v="115.14"/>
    <n v="115.14"/>
    <n v="0"/>
    <n v="0"/>
    <n v="118.95"/>
    <n v="0"/>
    <n v="118.95"/>
    <n v="0"/>
    <n v="583.32000000000005"/>
    <n v="118.95"/>
  </r>
  <r>
    <x v="16"/>
    <x v="7"/>
    <x v="0"/>
    <s v="3000150"/>
    <n v="732030"/>
    <s v="Repairs---Other"/>
    <s v="Medical/Surgical Acute"/>
    <x v="0"/>
    <m/>
    <n v="1000.57"/>
    <n v="11430.62"/>
    <n v="982.91"/>
    <n v="930.78"/>
    <n v="70.959999999999994"/>
    <n v="0"/>
    <n v="217.76"/>
    <n v="18.14"/>
    <n v="0"/>
    <n v="0"/>
    <n v="1259.5"/>
    <n v="0"/>
    <n v="15911.24"/>
    <n v="1259.5"/>
  </r>
  <r>
    <x v="13"/>
    <x v="7"/>
    <x v="0"/>
    <s v="3000150"/>
    <n v="735070"/>
    <s v="Depreciation-Movable Equipment"/>
    <s v="Medical/Surgical Acute"/>
    <x v="0"/>
    <m/>
    <n v="9465.18"/>
    <n v="8972.0300000000007"/>
    <n v="8972.11"/>
    <n v="8935.35"/>
    <n v="8935.4699999999993"/>
    <n v="8759.5"/>
    <n v="8759.67"/>
    <n v="4893.0600000000004"/>
    <n v="4893.32"/>
    <n v="4893.03"/>
    <n v="4893.3500000000004"/>
    <n v="4893.03"/>
    <n v="87265.1"/>
    <n v="0.32000000000061846"/>
  </r>
  <r>
    <x v="0"/>
    <x v="7"/>
    <x v="0"/>
    <s v="3000150"/>
    <n v="740010"/>
    <s v="Education-Materials"/>
    <s v="Medical/Surgical Acute"/>
    <x v="0"/>
    <m/>
    <n v="18.62"/>
    <n v="22.74"/>
    <n v="0"/>
    <n v="0"/>
    <n v="0"/>
    <n v="0"/>
    <n v="0"/>
    <n v="0"/>
    <n v="0"/>
    <n v="0"/>
    <n v="0"/>
    <n v="0"/>
    <n v="41.36"/>
    <n v="0"/>
  </r>
  <r>
    <x v="0"/>
    <x v="7"/>
    <x v="0"/>
    <s v="3000150"/>
    <n v="740020"/>
    <s v="Education-Registration Fees"/>
    <s v="Medical/Surgical Acute"/>
    <x v="0"/>
    <m/>
    <n v="0"/>
    <n v="40"/>
    <n v="328.27"/>
    <n v="2000"/>
    <n v="905"/>
    <n v="0"/>
    <n v="65"/>
    <n v="479"/>
    <n v="770"/>
    <n v="525"/>
    <n v="977.5"/>
    <n v="0"/>
    <n v="6089.77"/>
    <n v="977.5"/>
  </r>
  <r>
    <x v="0"/>
    <x v="7"/>
    <x v="0"/>
    <s v="3000150"/>
    <n v="743030"/>
    <s v="Subscriptions--Institutional"/>
    <s v="Medical/Surgical Acute"/>
    <x v="0"/>
    <m/>
    <n v="0"/>
    <n v="0"/>
    <n v="0"/>
    <n v="0"/>
    <n v="0"/>
    <n v="0"/>
    <n v="0"/>
    <n v="0"/>
    <n v="0"/>
    <n v="0"/>
    <n v="0"/>
    <n v="0"/>
    <n v="0"/>
    <n v="0"/>
  </r>
  <r>
    <x v="0"/>
    <x v="7"/>
    <x v="0"/>
    <s v="3000150"/>
    <n v="749510"/>
    <s v="Miscellaneous Expenses"/>
    <s v="Medical/Surgical Acute"/>
    <x v="0"/>
    <m/>
    <n v="-70.14"/>
    <n v="-38.549999999999997"/>
    <n v="107.5"/>
    <n v="180.86"/>
    <n v="193.41"/>
    <n v="-130.22"/>
    <n v="417.78"/>
    <n v="-218.26"/>
    <n v="-199.52"/>
    <n v="3044.05"/>
    <n v="-251.7"/>
    <n v="35.19"/>
    <n v="3070.4000000000005"/>
    <n v="-286.89"/>
  </r>
  <r>
    <x v="0"/>
    <x v="7"/>
    <x v="0"/>
    <s v="3000150"/>
    <n v="749510"/>
    <s v="Licenses"/>
    <s v="Medical/Surgical Acute"/>
    <x v="0"/>
    <n v="1002"/>
    <n v="1585"/>
    <n v="0"/>
    <n v="0"/>
    <n v="0"/>
    <n v="0"/>
    <n v="0"/>
    <n v="0"/>
    <n v="0"/>
    <n v="0"/>
    <n v="0"/>
    <n v="0"/>
    <n v="0"/>
    <n v="1585"/>
    <n v="0"/>
  </r>
  <r>
    <x v="0"/>
    <x v="7"/>
    <x v="0"/>
    <s v="3000150"/>
    <n v="749510"/>
    <s v="RICE Rewards"/>
    <s v="Medical/Surgical Acute"/>
    <x v="0"/>
    <n v="5100"/>
    <n v="0"/>
    <n v="0"/>
    <n v="0"/>
    <n v="0"/>
    <n v="1741.02"/>
    <n v="0"/>
    <n v="0"/>
    <n v="0"/>
    <n v="354.96"/>
    <n v="0"/>
    <n v="354.96"/>
    <n v="0"/>
    <n v="2450.94"/>
    <n v="354.96"/>
  </r>
  <r>
    <x v="0"/>
    <x v="7"/>
    <x v="0"/>
    <s v="3000150"/>
    <n v="749530"/>
    <s v="Travel"/>
    <s v="Medical/Surgical Acute"/>
    <x v="0"/>
    <m/>
    <n v="0"/>
    <n v="0"/>
    <n v="57.3"/>
    <n v="0"/>
    <n v="0"/>
    <n v="111.92"/>
    <n v="14"/>
    <n v="0"/>
    <n v="0"/>
    <n v="14"/>
    <n v="7"/>
    <n v="7"/>
    <n v="211.22"/>
    <n v="0"/>
  </r>
  <r>
    <x v="0"/>
    <x v="7"/>
    <x v="0"/>
    <s v="3000150"/>
    <n v="749530"/>
    <s v="Mileage"/>
    <s v="Medical/Surgical Acute"/>
    <x v="0"/>
    <n v="1001"/>
    <n v="47.43"/>
    <n v="15.81"/>
    <n v="14.17"/>
    <n v="95.4"/>
    <n v="0"/>
    <n v="186.41"/>
    <n v="61.05"/>
    <n v="23.78"/>
    <n v="199.52"/>
    <n v="90.48"/>
    <n v="41.18"/>
    <n v="64.959999999999994"/>
    <n v="840.19"/>
    <n v="-23.779999999999994"/>
  </r>
  <r>
    <x v="0"/>
    <x v="7"/>
    <x v="0"/>
    <s v="3000150"/>
    <n v="749535"/>
    <s v="Meetings"/>
    <s v="Medical/Surgical Acute"/>
    <x v="0"/>
    <m/>
    <n v="42.64"/>
    <n v="9.1"/>
    <n v="0"/>
    <n v="0"/>
    <n v="0"/>
    <n v="0"/>
    <n v="0"/>
    <n v="124.73"/>
    <n v="0"/>
    <n v="0"/>
    <n v="0"/>
    <n v="278.25"/>
    <n v="454.72"/>
    <n v="-278.25"/>
  </r>
  <r>
    <x v="18"/>
    <x v="3"/>
    <x v="0"/>
    <s v="3001101"/>
    <n v="400010"/>
    <s v="Acute I/P Svcs Rev--Medicare"/>
    <s v="Med/Surg 8th Floor"/>
    <x v="0"/>
    <n v="1100"/>
    <n v="-891089.42"/>
    <n v="-946330.82"/>
    <n v="-824516.2"/>
    <n v="-917423.43"/>
    <n v="-912048.77"/>
    <n v="-968764.9"/>
    <n v="-1026576.37"/>
    <n v="-812043.84"/>
    <n v="-1016039.1"/>
    <n v="-1069692.5900000001"/>
    <n v="-801806.06"/>
    <n v="-702068.02"/>
    <n v="-10888399.520000001"/>
    <n v="-99738.040000000037"/>
  </r>
  <r>
    <x v="18"/>
    <x v="3"/>
    <x v="0"/>
    <s v="3001101"/>
    <n v="400010"/>
    <s v="Acute I/P Svcs Rev--Medicaid"/>
    <s v="Med/Surg 8th Floor"/>
    <x v="0"/>
    <n v="1200"/>
    <n v="-374491.01"/>
    <n v="-143098.10999999999"/>
    <n v="-270463.33"/>
    <n v="-248768.94"/>
    <n v="-176369.24"/>
    <n v="-293676.08"/>
    <n v="-216744.84"/>
    <n v="-428284.7"/>
    <n v="-434448.1"/>
    <n v="-400889.47"/>
    <n v="-554684.59"/>
    <n v="-563324"/>
    <n v="-4105242.41"/>
    <n v="8639.4100000000326"/>
  </r>
  <r>
    <x v="18"/>
    <x v="3"/>
    <x v="0"/>
    <s v="3001101"/>
    <n v="400010"/>
    <s v="Acute I/P Svcs Rev--Comm Insurance"/>
    <s v="Med/Surg 8th Floor"/>
    <x v="0"/>
    <n v="1300"/>
    <n v="-76294.53"/>
    <n v="28445.7"/>
    <n v="-12252"/>
    <n v="-77472.39"/>
    <n v="-55345.64"/>
    <n v="-13281.33"/>
    <n v="-12144"/>
    <n v="35515.599999999999"/>
    <n v="-20083.32"/>
    <n v="-3063"/>
    <n v="20083.32"/>
    <n v="2971"/>
    <n v="-182920.58999999997"/>
    <n v="17112.32"/>
  </r>
  <r>
    <x v="18"/>
    <x v="3"/>
    <x v="0"/>
    <s v="3001101"/>
    <n v="400010"/>
    <s v="Acute I/P Svcs Rev--BCBS Comm"/>
    <s v="Med/Surg 8th Floor"/>
    <x v="0"/>
    <n v="1301"/>
    <n v="-39050.410000000003"/>
    <n v="-44537.45"/>
    <n v="-49440"/>
    <n v="-25327.33"/>
    <n v="-12684"/>
    <n v="-76408.02"/>
    <n v="-131.78"/>
    <n v="-43787.79"/>
    <n v="680.4"/>
    <n v="-45613"/>
    <n v="-25499.599999999999"/>
    <n v="0"/>
    <n v="-361798.98"/>
    <n v="-25499.599999999999"/>
  </r>
  <r>
    <x v="18"/>
    <x v="3"/>
    <x v="0"/>
    <s v="3001101"/>
    <n v="400010"/>
    <s v="Acute I/P Svcs Rev--Managed Care"/>
    <s v="Med/Surg 8th Floor"/>
    <x v="0"/>
    <n v="1400"/>
    <n v="-101642.34"/>
    <n v="-311980.89"/>
    <n v="-232784.95"/>
    <n v="-188775.64"/>
    <n v="-208704.45"/>
    <n v="-168936.32000000001"/>
    <n v="-218927.21"/>
    <n v="-116586.6"/>
    <n v="-29973.96"/>
    <n v="-45417.4"/>
    <n v="-90986.12"/>
    <n v="-137998.79"/>
    <n v="-1852714.67"/>
    <n v="47012.670000000013"/>
  </r>
  <r>
    <x v="18"/>
    <x v="3"/>
    <x v="0"/>
    <s v="3001101"/>
    <n v="400010"/>
    <s v="Acute I/P Svcs Rev--Self Pay"/>
    <s v="Med/Surg 8th Floor"/>
    <x v="0"/>
    <n v="1500"/>
    <n v="2917"/>
    <n v="-20783.400000000001"/>
    <n v="-9513"/>
    <n v="0"/>
    <n v="-5549.34"/>
    <n v="-8636.35"/>
    <n v="-17598.61"/>
    <n v="-3155"/>
    <n v="-10255.6"/>
    <n v="0"/>
    <n v="0"/>
    <n v="0"/>
    <n v="-72574.3"/>
    <n v="0"/>
  </r>
  <r>
    <x v="18"/>
    <x v="3"/>
    <x v="0"/>
    <s v="3001101"/>
    <n v="400010"/>
    <s v="Acute I/P Svcs Rev--Other"/>
    <s v="Med/Surg 8th Floor"/>
    <x v="0"/>
    <n v="1700"/>
    <n v="-17182.66"/>
    <n v="-22851.66"/>
    <n v="-84586.29"/>
    <n v="-89912.81"/>
    <n v="10200.299999999999"/>
    <n v="-26027.75"/>
    <n v="-78092.06"/>
    <n v="-25246.080000000002"/>
    <n v="-48358.1"/>
    <n v="-54581.32"/>
    <n v="-3155"/>
    <n v="-12953"/>
    <n v="-452746.43"/>
    <n v="9798"/>
  </r>
  <r>
    <x v="19"/>
    <x v="3"/>
    <x v="0"/>
    <s v="3001101"/>
    <n v="400020"/>
    <s v="O/P Care Svcs Rev--Medicare"/>
    <s v="Med/Surg 8th Floor"/>
    <x v="0"/>
    <n v="1100"/>
    <n v="-95869.51"/>
    <n v="-118773.39"/>
    <n v="-47407.65"/>
    <n v="-52761.08"/>
    <n v="-80082.81"/>
    <n v="-75409.73"/>
    <n v="-24442.09"/>
    <n v="-62011.34"/>
    <n v="-11301.8"/>
    <n v="-33662.660000000003"/>
    <n v="-124822.45"/>
    <n v="-104083.99"/>
    <n v="-830628.5"/>
    <n v="-20738.459999999992"/>
  </r>
  <r>
    <x v="19"/>
    <x v="3"/>
    <x v="0"/>
    <s v="3001101"/>
    <n v="400020"/>
    <s v="O/P Care Svcs Rev--Medicaid"/>
    <s v="Med/Surg 8th Floor"/>
    <x v="0"/>
    <n v="1200"/>
    <n v="-12028.82"/>
    <n v="-23902.98"/>
    <n v="-23979.360000000001"/>
    <n v="-72347.34"/>
    <n v="-25887.759999999998"/>
    <n v="-25701.74"/>
    <n v="-37250.120000000003"/>
    <n v="2477.58"/>
    <n v="0"/>
    <n v="0"/>
    <n v="0"/>
    <n v="-9970.58"/>
    <n v="-228591.12"/>
    <n v="9970.58"/>
  </r>
  <r>
    <x v="19"/>
    <x v="3"/>
    <x v="0"/>
    <s v="3001101"/>
    <n v="400020"/>
    <s v="O/P Care Svcs Rev--Comm Insurance"/>
    <s v="Med/Surg 8th Floor"/>
    <x v="0"/>
    <n v="1300"/>
    <n v="-8914.18"/>
    <n v="116.21"/>
    <n v="-1659.19"/>
    <n v="-3052.49"/>
    <n v="87.13"/>
    <n v="0"/>
    <n v="-4467.05"/>
    <n v="4467.05"/>
    <n v="0"/>
    <n v="0"/>
    <n v="0"/>
    <n v="0"/>
    <n v="-13422.520000000004"/>
    <n v="0"/>
  </r>
  <r>
    <x v="19"/>
    <x v="3"/>
    <x v="0"/>
    <s v="3001101"/>
    <n v="400020"/>
    <s v="O/P Care Svcs Rev--BCBS Comm"/>
    <s v="Med/Surg 8th Floor"/>
    <x v="0"/>
    <n v="1301"/>
    <n v="-1854.87"/>
    <n v="0"/>
    <n v="-8477.4599999999991"/>
    <n v="-6582.42"/>
    <n v="-5181.7"/>
    <n v="0"/>
    <n v="-227.12"/>
    <n v="-14995.34"/>
    <n v="-3203.28"/>
    <n v="0"/>
    <n v="0"/>
    <n v="-9341.7000000000007"/>
    <n v="-49863.89"/>
    <n v="9341.7000000000007"/>
  </r>
  <r>
    <x v="19"/>
    <x v="3"/>
    <x v="0"/>
    <s v="3001101"/>
    <n v="400020"/>
    <s v="O/P Care Svcs Rev--Managed Care"/>
    <s v="Med/Surg 8th Floor"/>
    <x v="0"/>
    <n v="1400"/>
    <n v="-12405.79"/>
    <n v="-20386.169999999998"/>
    <n v="-12995.13"/>
    <n v="-4992.72"/>
    <n v="-17642.189999999999"/>
    <n v="-27436.17"/>
    <n v="-21003.46"/>
    <n v="-5760.4"/>
    <n v="-2676.66"/>
    <n v="-10111.09"/>
    <n v="-1224.72"/>
    <n v="-544.32000000000005"/>
    <n v="-137178.82"/>
    <n v="-680.4"/>
  </r>
  <r>
    <x v="19"/>
    <x v="3"/>
    <x v="0"/>
    <s v="3001101"/>
    <n v="400020"/>
    <s v="O/P Care Svcs Rev--Self Pay"/>
    <s v="Med/Surg 8th Floor"/>
    <x v="0"/>
    <n v="15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3001101"/>
    <n v="400020"/>
    <s v="O/P Care Svcs Rev--Other"/>
    <s v="Med/Surg 8th Floor"/>
    <x v="0"/>
    <n v="1700"/>
    <n v="0"/>
    <n v="0"/>
    <n v="-8771.9500000000007"/>
    <n v="-4021.71"/>
    <n v="-3549.51"/>
    <n v="-10937.21"/>
    <n v="-3193.94"/>
    <n v="0"/>
    <n v="-58309.04"/>
    <n v="0"/>
    <n v="-1632.96"/>
    <n v="-5964.32"/>
    <n v="-96380.640000000014"/>
    <n v="4331.3599999999997"/>
  </r>
  <r>
    <x v="5"/>
    <x v="3"/>
    <x v="0"/>
    <s v="3001101"/>
    <n v="700014"/>
    <s v="Salaries-Management-Productive"/>
    <s v="Med/Surg 8th Floor"/>
    <x v="0"/>
    <m/>
    <n v="6849.69"/>
    <n v="8403.2900000000009"/>
    <n v="10310.280000000001"/>
    <n v="10649.98"/>
    <n v="7834.06"/>
    <n v="7256.86"/>
    <n v="8809.0300000000007"/>
    <n v="7314.88"/>
    <n v="5826.22"/>
    <n v="-72.17"/>
    <n v="9761.7000000000007"/>
    <n v="8617.64"/>
    <n v="91561.46"/>
    <n v="1144.0600000000013"/>
  </r>
  <r>
    <x v="5"/>
    <x v="3"/>
    <x v="0"/>
    <s v="3001101"/>
    <n v="700026"/>
    <s v="Salaries-RN-Productive"/>
    <s v="Med/Surg 8th Floor"/>
    <x v="0"/>
    <m/>
    <n v="136165.88"/>
    <n v="134604.03"/>
    <n v="139037.29999999999"/>
    <n v="133285.07"/>
    <n v="142223.53"/>
    <n v="138574.48000000001"/>
    <n v="132855.82"/>
    <n v="117467.79"/>
    <n v="94248.3"/>
    <n v="88525.56"/>
    <n v="77702.31"/>
    <n v="80117.039999999994"/>
    <n v="1414807.1100000003"/>
    <n v="-2414.7299999999959"/>
  </r>
  <r>
    <x v="5"/>
    <x v="3"/>
    <x v="0"/>
    <s v="3001101"/>
    <n v="700026"/>
    <s v="Salaries-RN-OT"/>
    <s v="Med/Surg 8th Floor"/>
    <x v="0"/>
    <n v="1000"/>
    <n v="4481.8"/>
    <n v="6299.28"/>
    <n v="4061.54"/>
    <n v="5618.59"/>
    <n v="9315.2999999999993"/>
    <n v="7923.47"/>
    <n v="7514.67"/>
    <n v="10272.620000000001"/>
    <n v="11613.25"/>
    <n v="5255.11"/>
    <n v="2111.15"/>
    <n v="3080.09"/>
    <n v="77546.869999999981"/>
    <n v="-968.94"/>
  </r>
  <r>
    <x v="5"/>
    <x v="3"/>
    <x v="0"/>
    <s v="3001101"/>
    <n v="700026"/>
    <s v="Salaries-RN-Other"/>
    <s v="Med/Surg 8th Floor"/>
    <x v="0"/>
    <n v="2000"/>
    <n v="14893.9"/>
    <n v="15407.8"/>
    <n v="14325.37"/>
    <n v="15872.51"/>
    <n v="16342.44"/>
    <n v="14260.48"/>
    <n v="14495.83"/>
    <n v="11780.34"/>
    <n v="9232.16"/>
    <n v="8023.02"/>
    <n v="6359.64"/>
    <n v="6217.13"/>
    <n v="147210.62000000002"/>
    <n v="142.51000000000022"/>
  </r>
  <r>
    <x v="5"/>
    <x v="3"/>
    <x v="0"/>
    <s v="3001101"/>
    <n v="700032"/>
    <s v="Salaries-Other Pat Care Providers-Productive"/>
    <s v="Med/Surg 8th Floor"/>
    <x v="0"/>
    <m/>
    <n v="33319.360000000001"/>
    <n v="29571.1"/>
    <n v="27768.080000000002"/>
    <n v="27281.85"/>
    <n v="30411.15"/>
    <n v="30377.08"/>
    <n v="33055.93"/>
    <n v="29390.55"/>
    <n v="47205.31"/>
    <n v="41088.26"/>
    <n v="54652.9"/>
    <n v="48241.33"/>
    <n v="432362.9"/>
    <n v="6411.57"/>
  </r>
  <r>
    <x v="5"/>
    <x v="3"/>
    <x v="0"/>
    <s v="3001101"/>
    <n v="700032"/>
    <s v="Salaries-Other Pat Care Providers-OT"/>
    <s v="Med/Surg 8th Floor"/>
    <x v="0"/>
    <n v="1000"/>
    <n v="1057.55"/>
    <n v="61.56"/>
    <n v="758.62"/>
    <n v="-159.83000000000001"/>
    <n v="729.13"/>
    <n v="219.36"/>
    <n v="446.5"/>
    <n v="2230.4"/>
    <n v="26552.47"/>
    <n v="4418.3500000000004"/>
    <n v="9354.83"/>
    <n v="15047.18"/>
    <n v="60716.12"/>
    <n v="-5692.35"/>
  </r>
  <r>
    <x v="5"/>
    <x v="3"/>
    <x v="0"/>
    <s v="3001101"/>
    <n v="700032"/>
    <s v="Salaries-Other Pat Care Providers-Other"/>
    <s v="Med/Surg 8th Floor"/>
    <x v="0"/>
    <n v="2000"/>
    <n v="2296.6999999999998"/>
    <n v="2147.64"/>
    <n v="1780.76"/>
    <n v="1798.35"/>
    <n v="1831.91"/>
    <n v="1925.98"/>
    <n v="2180.81"/>
    <n v="2014.8"/>
    <n v="5025.12"/>
    <n v="3194.45"/>
    <n v="4316.03"/>
    <n v="4445.25"/>
    <n v="32957.800000000003"/>
    <n v="-129.22000000000025"/>
  </r>
  <r>
    <x v="5"/>
    <x v="3"/>
    <x v="0"/>
    <s v="3001101"/>
    <n v="700038"/>
    <s v="Salaries-Service/Support-Productive"/>
    <s v="Med/Surg 8th Floor"/>
    <x v="0"/>
    <m/>
    <n v="944.39"/>
    <n v="688.28"/>
    <n v="232.78"/>
    <n v="232.6"/>
    <n v="1343.65"/>
    <n v="726.83"/>
    <n v="981.49"/>
    <n v="1943.49"/>
    <n v="230.85"/>
    <n v="0"/>
    <n v="0"/>
    <n v="265.89"/>
    <n v="7590.2500000000009"/>
    <n v="-265.89"/>
  </r>
  <r>
    <x v="5"/>
    <x v="3"/>
    <x v="0"/>
    <s v="3001101"/>
    <n v="700038"/>
    <s v="Salaries-Service/Support-OT"/>
    <s v="Med/Surg 8th Floor"/>
    <x v="0"/>
    <n v="1000"/>
    <n v="0"/>
    <n v="0"/>
    <n v="0"/>
    <n v="0"/>
    <n v="0"/>
    <n v="0"/>
    <n v="0"/>
    <n v="0"/>
    <n v="318.23"/>
    <n v="0"/>
    <n v="0"/>
    <n v="0"/>
    <n v="318.23"/>
    <n v="0"/>
  </r>
  <r>
    <x v="5"/>
    <x v="3"/>
    <x v="0"/>
    <s v="3001101"/>
    <n v="700054"/>
    <s v="Salaries-Management-Non-productive"/>
    <s v="Med/Surg 8th Floor"/>
    <x v="0"/>
    <m/>
    <n v="0"/>
    <n v="0"/>
    <n v="0"/>
    <n v="0"/>
    <n v="0"/>
    <n v="0"/>
    <n v="1518.54"/>
    <n v="0"/>
    <n v="0"/>
    <n v="0"/>
    <n v="0"/>
    <n v="0"/>
    <n v="1518.54"/>
    <n v="0"/>
  </r>
  <r>
    <x v="5"/>
    <x v="3"/>
    <x v="0"/>
    <s v="3001101"/>
    <n v="700054"/>
    <s v="Salaries-Management-NonProd-Other"/>
    <s v="Med/Surg 8th Floor"/>
    <x v="0"/>
    <n v="2000"/>
    <n v="0"/>
    <n v="0"/>
    <n v="0"/>
    <n v="0"/>
    <n v="0"/>
    <n v="2630.34"/>
    <n v="-2630.34"/>
    <n v="0"/>
    <n v="0"/>
    <n v="0"/>
    <n v="0"/>
    <n v="0"/>
    <n v="0"/>
    <n v="0"/>
  </r>
  <r>
    <x v="5"/>
    <x v="3"/>
    <x v="0"/>
    <s v="3001101"/>
    <n v="700066"/>
    <s v="Salaries-RN-Non-productive"/>
    <s v="Med/Surg 8th Floor"/>
    <x v="0"/>
    <m/>
    <n v="41662.82"/>
    <n v="32273.75"/>
    <n v="32759.73"/>
    <n v="20365.669999999998"/>
    <n v="34960.53"/>
    <n v="23700.53"/>
    <n v="29365.35"/>
    <n v="8589.9699999999993"/>
    <n v="4827.1400000000003"/>
    <n v="-854.28"/>
    <n v="0"/>
    <n v="2560.77"/>
    <n v="230211.98"/>
    <n v="-2560.77"/>
  </r>
  <r>
    <x v="5"/>
    <x v="3"/>
    <x v="0"/>
    <s v="3001101"/>
    <n v="700066"/>
    <s v="Salaries-RN-NonProd-Other"/>
    <s v="Med/Surg 8th Floor"/>
    <x v="0"/>
    <n v="2000"/>
    <n v="3551.32"/>
    <n v="3269.49"/>
    <n v="2844.8"/>
    <n v="1748.04"/>
    <n v="6058.53"/>
    <n v="5990.22"/>
    <n v="3231.66"/>
    <n v="-3939.87"/>
    <n v="415.19"/>
    <n v="125.27"/>
    <n v="45.11"/>
    <n v="400.27"/>
    <n v="23740.030000000002"/>
    <n v="-355.15999999999997"/>
  </r>
  <r>
    <x v="5"/>
    <x v="3"/>
    <x v="0"/>
    <s v="3001101"/>
    <n v="700072"/>
    <s v="Salaries-Other Pat Care Providers-Non-productive"/>
    <s v="Med/Surg 8th Floor"/>
    <x v="0"/>
    <m/>
    <n v="9219.84"/>
    <n v="12060.84"/>
    <n v="6277.7"/>
    <n v="8331.94"/>
    <n v="3052.07"/>
    <n v="10776.25"/>
    <n v="10303.89"/>
    <n v="5862.67"/>
    <n v="760.71"/>
    <n v="407.97"/>
    <n v="1912.91"/>
    <n v="929.06"/>
    <n v="69895.850000000006"/>
    <n v="983.85000000000014"/>
  </r>
  <r>
    <x v="5"/>
    <x v="3"/>
    <x v="0"/>
    <s v="3001101"/>
    <n v="700072"/>
    <s v="Salaries-Other Pat Care Providers-NonProd-Other"/>
    <s v="Med/Surg 8th Floor"/>
    <x v="0"/>
    <n v="2000"/>
    <n v="505.78"/>
    <n v="531.19000000000005"/>
    <n v="237.94"/>
    <n v="591.74"/>
    <n v="831.91"/>
    <n v="600.57000000000005"/>
    <n v="536.35"/>
    <n v="-484.19"/>
    <n v="155.58000000000001"/>
    <n v="-18.93"/>
    <n v="61.25"/>
    <n v="106.55"/>
    <n v="3655.7400000000002"/>
    <n v="-45.3"/>
  </r>
  <r>
    <x v="5"/>
    <x v="3"/>
    <x v="0"/>
    <s v="3001101"/>
    <n v="700084"/>
    <s v="Accrued PTO"/>
    <s v="Med/Surg 8th Floor"/>
    <x v="0"/>
    <m/>
    <n v="-10015.790000000001"/>
    <n v="-5617.85"/>
    <n v="-1399.7"/>
    <n v="1289.95"/>
    <n v="949.05"/>
    <n v="-947.09"/>
    <n v="-1886.95"/>
    <n v="2822.83"/>
    <n v="1.52"/>
    <n v="872.34"/>
    <n v="1682.98"/>
    <n v="14465.83"/>
    <n v="2217.119999999999"/>
    <n v="-12782.85"/>
  </r>
  <r>
    <x v="10"/>
    <x v="3"/>
    <x v="0"/>
    <s v="3001101"/>
    <n v="710060"/>
    <s v="Contract Labor-Other"/>
    <s v="Med/Surg 8th Floor"/>
    <x v="0"/>
    <m/>
    <n v="0"/>
    <n v="3175.5"/>
    <n v="572"/>
    <n v="643"/>
    <n v="284"/>
    <n v="0"/>
    <n v="0"/>
    <n v="0"/>
    <n v="40882"/>
    <n v="80115.25"/>
    <n v="93400.61"/>
    <n v="93234.39"/>
    <n v="312306.75"/>
    <n v="166.22000000000116"/>
  </r>
  <r>
    <x v="10"/>
    <x v="3"/>
    <x v="0"/>
    <s v="3001101"/>
    <n v="710060"/>
    <s v="Contract Labor-Overtime"/>
    <s v="Med/Surg 8th Floor"/>
    <x v="0"/>
    <n v="5100"/>
    <n v="0"/>
    <n v="0"/>
    <n v="0"/>
    <n v="0"/>
    <n v="0"/>
    <n v="0"/>
    <n v="0"/>
    <n v="0"/>
    <n v="1914.64"/>
    <n v="2060.77"/>
    <n v="4217.3999999999996"/>
    <n v="3953.81"/>
    <n v="12146.619999999999"/>
    <n v="263.58999999999969"/>
  </r>
  <r>
    <x v="10"/>
    <x v="3"/>
    <x v="0"/>
    <s v="3001101"/>
    <n v="710060"/>
    <s v="Contract Labor-Standby Wages"/>
    <s v="Med/Surg 8th Floor"/>
    <x v="0"/>
    <n v="5101"/>
    <n v="0"/>
    <n v="0"/>
    <n v="0"/>
    <n v="0"/>
    <n v="0"/>
    <n v="0"/>
    <n v="0"/>
    <n v="0"/>
    <n v="0"/>
    <n v="96"/>
    <n v="0"/>
    <n v="0"/>
    <n v="96"/>
    <n v="0"/>
  </r>
  <r>
    <x v="6"/>
    <x v="3"/>
    <x v="0"/>
    <s v="3001101"/>
    <n v="713010"/>
    <s v="Benefits-FICA/Medicare"/>
    <s v="Med/Surg 8th Floor"/>
    <x v="0"/>
    <m/>
    <n v="19139.88"/>
    <n v="18168.66"/>
    <n v="17843.259999999998"/>
    <n v="16803.900000000001"/>
    <n v="19303.189999999999"/>
    <n v="17883.75"/>
    <n v="18924.34"/>
    <n v="14850.85"/>
    <n v="15442.07"/>
    <n v="11250.8"/>
    <n v="12416.11"/>
    <n v="12732.22"/>
    <n v="194759.03"/>
    <n v="-316.10999999999876"/>
  </r>
  <r>
    <x v="6"/>
    <x v="3"/>
    <x v="0"/>
    <s v="3001101"/>
    <n v="713090"/>
    <s v="Benefits-Allocated Amounts"/>
    <s v="Med/Surg 8th Floor"/>
    <x v="0"/>
    <m/>
    <n v="55794.57"/>
    <n v="49468.49"/>
    <n v="52384.52"/>
    <n v="48101.01"/>
    <n v="54638.35"/>
    <n v="50415.61"/>
    <n v="55790.78"/>
    <n v="48595.67"/>
    <n v="36886.83"/>
    <n v="38908.49"/>
    <n v="45433.919999999998"/>
    <n v="44076.95"/>
    <n v="580495.18999999994"/>
    <n v="1356.9700000000012"/>
  </r>
  <r>
    <x v="7"/>
    <x v="3"/>
    <x v="0"/>
    <s v="3001101"/>
    <n v="718050"/>
    <s v="Contract Svcs-Other"/>
    <s v="Med/Surg 8th Floor"/>
    <x v="0"/>
    <m/>
    <n v="0"/>
    <n v="0"/>
    <n v="0"/>
    <n v="0"/>
    <n v="0"/>
    <n v="0"/>
    <n v="0"/>
    <n v="0"/>
    <n v="275.25"/>
    <n v="0"/>
    <n v="0"/>
    <n v="0"/>
    <n v="275.25"/>
    <n v="0"/>
  </r>
  <r>
    <x v="7"/>
    <x v="3"/>
    <x v="0"/>
    <s v="3001101"/>
    <n v="718050"/>
    <s v="Document Shredding/Storage"/>
    <s v="Med/Surg 8th Floor"/>
    <x v="0"/>
    <n v="1012"/>
    <n v="13.27"/>
    <n v="13.55"/>
    <n v="12.52"/>
    <n v="12.94"/>
    <n v="13.36"/>
    <n v="13.36"/>
    <n v="13.22"/>
    <n v="11.36"/>
    <n v="11.76"/>
    <n v="15.4"/>
    <n v="12.94"/>
    <n v="13.37"/>
    <n v="157.05000000000001"/>
    <n v="-0.42999999999999972"/>
  </r>
  <r>
    <x v="7"/>
    <x v="3"/>
    <x v="0"/>
    <s v="3001101"/>
    <n v="718050"/>
    <s v="Miscellaneous Purchased Svcs"/>
    <s v="Med/Surg 8th Floor"/>
    <x v="0"/>
    <n v="1020"/>
    <n v="0"/>
    <n v="0"/>
    <n v="250.29"/>
    <n v="0"/>
    <n v="0"/>
    <n v="0"/>
    <n v="0"/>
    <n v="0"/>
    <n v="0"/>
    <n v="0"/>
    <n v="0"/>
    <n v="0"/>
    <n v="250.29"/>
    <n v="0"/>
  </r>
  <r>
    <x v="7"/>
    <x v="3"/>
    <x v="0"/>
    <s v="3001101"/>
    <n v="718050"/>
    <s v="Contract Svcs--Medical/Dental"/>
    <s v="Med/Surg 8th Floor"/>
    <x v="0"/>
    <n v="1024"/>
    <n v="0"/>
    <n v="0"/>
    <n v="291.98"/>
    <n v="0"/>
    <n v="0"/>
    <n v="0"/>
    <n v="0"/>
    <n v="0"/>
    <n v="0"/>
    <n v="0"/>
    <n v="0"/>
    <n v="0"/>
    <n v="291.98"/>
    <n v="0"/>
  </r>
  <r>
    <x v="7"/>
    <x v="3"/>
    <x v="0"/>
    <s v="3001101"/>
    <n v="718050"/>
    <s v="Translation Services"/>
    <s v="Med/Surg 8th Floor"/>
    <x v="0"/>
    <n v="1025"/>
    <n v="0"/>
    <n v="315.67"/>
    <n v="73.709999999999994"/>
    <n v="135.09"/>
    <n v="0"/>
    <n v="0"/>
    <n v="66.36"/>
    <n v="0"/>
    <n v="71.099999999999994"/>
    <n v="0"/>
    <n v="0"/>
    <n v="0"/>
    <n v="661.93000000000006"/>
    <n v="0"/>
  </r>
  <r>
    <x v="7"/>
    <x v="3"/>
    <x v="0"/>
    <s v="3001101"/>
    <n v="718050"/>
    <s v="Contract Management--Linen"/>
    <s v="Med/Surg 8th Floor"/>
    <x v="0"/>
    <n v="1026"/>
    <n v="0"/>
    <n v="0"/>
    <n v="0"/>
    <n v="0"/>
    <n v="0"/>
    <n v="0"/>
    <n v="0"/>
    <n v="3851.8"/>
    <n v="3314.99"/>
    <n v="4168.0200000000004"/>
    <n v="3656.87"/>
    <n v="4504.45"/>
    <n v="19496.13"/>
    <n v="-847.57999999999993"/>
  </r>
  <r>
    <x v="11"/>
    <x v="3"/>
    <x v="0"/>
    <s v="3001101"/>
    <n v="721010"/>
    <s v="Supplies-Medical - Billable"/>
    <s v="Med/Surg 8th Floor"/>
    <x v="0"/>
    <m/>
    <n v="438.4"/>
    <n v="107.41"/>
    <n v="239.27"/>
    <n v="259.64999999999998"/>
    <n v="211.42"/>
    <n v="288.69"/>
    <n v="399.18"/>
    <n v="541.97"/>
    <n v="2652.51"/>
    <n v="1081.51"/>
    <n v="688.6"/>
    <n v="1195.01"/>
    <n v="8103.6200000000008"/>
    <n v="-506.40999999999997"/>
  </r>
  <r>
    <x v="11"/>
    <x v="3"/>
    <x v="0"/>
    <s v="3001101"/>
    <n v="721010"/>
    <s v="Patient Monitoring"/>
    <s v="Med/Surg 8th Floor"/>
    <x v="0"/>
    <n v="1000"/>
    <n v="81.06"/>
    <n v="106.62"/>
    <n v="288.74"/>
    <n v="91.64"/>
    <n v="82.83"/>
    <n v="100.45"/>
    <n v="166.31"/>
    <n v="24.74"/>
    <n v="31.72"/>
    <n v="199.7"/>
    <n v="29.09"/>
    <n v="19.39"/>
    <n v="1222.2900000000002"/>
    <n v="9.6999999999999993"/>
  </r>
  <r>
    <x v="11"/>
    <x v="3"/>
    <x v="0"/>
    <s v="3001101"/>
    <n v="721020"/>
    <s v="Supplies-Surgical - Billable"/>
    <s v="Med/Surg 8th Floor"/>
    <x v="0"/>
    <m/>
    <n v="0"/>
    <n v="94.18"/>
    <n v="38.880000000000003"/>
    <n v="25.54"/>
    <n v="0"/>
    <n v="527.41"/>
    <n v="17"/>
    <n v="60.3"/>
    <n v="242.94"/>
    <n v="115.62"/>
    <n v="285.11"/>
    <n v="104.66"/>
    <n v="1511.64"/>
    <n v="180.45000000000002"/>
  </r>
  <r>
    <x v="11"/>
    <x v="3"/>
    <x v="0"/>
    <s v="3001101"/>
    <n v="721020"/>
    <s v="Custom Packs"/>
    <s v="Med/Surg 8th Floor"/>
    <x v="0"/>
    <n v="1000"/>
    <n v="0"/>
    <n v="0"/>
    <n v="0"/>
    <n v="0"/>
    <n v="0"/>
    <n v="0"/>
    <n v="0"/>
    <n v="6.29"/>
    <n v="0"/>
    <n v="0"/>
    <n v="0"/>
    <n v="26.48"/>
    <n v="32.770000000000003"/>
    <n v="-26.48"/>
  </r>
  <r>
    <x v="11"/>
    <x v="3"/>
    <x v="0"/>
    <s v="3001101"/>
    <n v="721020"/>
    <s v="Suture/Wound Closure"/>
    <s v="Med/Surg 8th Floor"/>
    <x v="0"/>
    <n v="1001"/>
    <n v="0"/>
    <n v="0"/>
    <n v="4.8899999999999997"/>
    <n v="0"/>
    <n v="0"/>
    <n v="0"/>
    <n v="4.8899999999999997"/>
    <n v="0"/>
    <n v="3.67"/>
    <n v="0"/>
    <n v="0"/>
    <n v="0"/>
    <n v="13.45"/>
    <n v="0"/>
  </r>
  <r>
    <x v="11"/>
    <x v="3"/>
    <x v="0"/>
    <s v="3001101"/>
    <n v="721020"/>
    <s v="Tubes Drains &amp; Related Supplies"/>
    <s v="Med/Surg 8th Floor"/>
    <x v="0"/>
    <n v="1008"/>
    <n v="0"/>
    <n v="0"/>
    <n v="0"/>
    <n v="7.6"/>
    <n v="0"/>
    <n v="0"/>
    <n v="63.18"/>
    <n v="107.63"/>
    <n v="3.6"/>
    <n v="86.85"/>
    <n v="0"/>
    <n v="0"/>
    <n v="268.86"/>
    <n v="0"/>
  </r>
  <r>
    <x v="11"/>
    <x v="3"/>
    <x v="0"/>
    <s v="3001101"/>
    <n v="721240"/>
    <s v="Supplies-IV Solutions/Supplies - Billable"/>
    <s v="Med/Surg 8th Floor"/>
    <x v="0"/>
    <m/>
    <n v="0"/>
    <n v="0"/>
    <n v="0"/>
    <n v="0"/>
    <n v="0"/>
    <n v="0"/>
    <n v="0"/>
    <n v="-1.96"/>
    <n v="10.01"/>
    <n v="-3.74"/>
    <n v="0"/>
    <n v="-8.4600000000000009"/>
    <n v="-4.1500000000000004"/>
    <n v="8.4600000000000009"/>
  </r>
  <r>
    <x v="11"/>
    <x v="3"/>
    <x v="0"/>
    <s v="3001101"/>
    <n v="721250"/>
    <s v="Supplies-Pharmacy Drugs - Billable"/>
    <s v="Med/Surg 8th Floor"/>
    <x v="0"/>
    <m/>
    <n v="0"/>
    <n v="10.82"/>
    <n v="0"/>
    <n v="0"/>
    <n v="21.64"/>
    <n v="0"/>
    <n v="0"/>
    <n v="0"/>
    <n v="0"/>
    <n v="0"/>
    <n v="0"/>
    <n v="2.64"/>
    <n v="35.1"/>
    <n v="-2.64"/>
  </r>
  <r>
    <x v="11"/>
    <x v="3"/>
    <x v="0"/>
    <s v="3001101"/>
    <n v="721410"/>
    <s v="Supplies-Medical - Nonbillable"/>
    <s v="Med/Surg 8th Floor"/>
    <x v="0"/>
    <m/>
    <n v="525.16"/>
    <n v="387.74"/>
    <n v="375.24"/>
    <n v="403.73"/>
    <n v="512.04999999999995"/>
    <n v="768.72"/>
    <n v="932.47"/>
    <n v="1284.1199999999999"/>
    <n v="1742.18"/>
    <n v="830.6"/>
    <n v="1720.98"/>
    <n v="1199.1400000000001"/>
    <n v="10682.130000000001"/>
    <n v="521.83999999999992"/>
  </r>
  <r>
    <x v="11"/>
    <x v="3"/>
    <x v="0"/>
    <s v="3001101"/>
    <n v="721410"/>
    <s v="Patient Monitoring"/>
    <s v="Med/Surg 8th Floor"/>
    <x v="0"/>
    <n v="1000"/>
    <n v="0"/>
    <n v="0"/>
    <n v="0"/>
    <n v="0"/>
    <n v="0"/>
    <n v="0"/>
    <n v="0"/>
    <n v="0"/>
    <n v="0"/>
    <n v="0"/>
    <n v="0"/>
    <n v="5.4"/>
    <n v="5.4"/>
    <n v="-5.4"/>
  </r>
  <r>
    <x v="11"/>
    <x v="3"/>
    <x v="0"/>
    <s v="3001101"/>
    <n v="721420"/>
    <s v="Supplies-Surgical Nonbillable"/>
    <s v="Med/Surg 8th Floor"/>
    <x v="0"/>
    <m/>
    <n v="0"/>
    <n v="3.71"/>
    <n v="0"/>
    <n v="0"/>
    <n v="0"/>
    <n v="0"/>
    <n v="1.1100000000000001"/>
    <n v="0.36"/>
    <n v="4.49"/>
    <n v="3.71"/>
    <n v="11.13"/>
    <n v="2.54"/>
    <n v="27.050000000000004"/>
    <n v="8.59"/>
  </r>
  <r>
    <x v="11"/>
    <x v="3"/>
    <x v="0"/>
    <s v="3001101"/>
    <n v="721420"/>
    <s v="Tubes Drains &amp; Related Supplies"/>
    <s v="Med/Surg 8th Floor"/>
    <x v="0"/>
    <n v="1008"/>
    <n v="0"/>
    <n v="0"/>
    <n v="0"/>
    <n v="0"/>
    <n v="0"/>
    <n v="5.0199999999999996"/>
    <n v="0"/>
    <n v="0"/>
    <n v="-7.33"/>
    <n v="17.21"/>
    <n v="0.66"/>
    <n v="0"/>
    <n v="15.56"/>
    <n v="0.66"/>
  </r>
  <r>
    <x v="11"/>
    <x v="3"/>
    <x v="0"/>
    <s v="3001101"/>
    <n v="721610"/>
    <s v="Supplies-Anesthesia - Nonbillable"/>
    <s v="Med/Surg 8th Floor"/>
    <x v="0"/>
    <m/>
    <n v="149.22"/>
    <n v="167.73"/>
    <n v="92.12"/>
    <n v="188.3"/>
    <n v="155.47"/>
    <n v="204.13"/>
    <n v="136.62"/>
    <n v="125.01"/>
    <n v="66.87"/>
    <n v="80.34"/>
    <n v="157.38999999999999"/>
    <n v="69.489999999999995"/>
    <n v="1592.6900000000003"/>
    <n v="87.899999999999991"/>
  </r>
  <r>
    <x v="11"/>
    <x v="3"/>
    <x v="0"/>
    <s v="3001101"/>
    <n v="721640"/>
    <s v="Supplies-IV Solutions/Supplies - Nonbillable"/>
    <s v="Med/Surg 8th Floor"/>
    <x v="0"/>
    <m/>
    <n v="102"/>
    <n v="0"/>
    <n v="0"/>
    <n v="5.5"/>
    <n v="0"/>
    <n v="0"/>
    <n v="0"/>
    <n v="13.01"/>
    <n v="0"/>
    <n v="204"/>
    <n v="18.18"/>
    <n v="10.45"/>
    <n v="353.14"/>
    <n v="7.73"/>
  </r>
  <r>
    <x v="11"/>
    <x v="3"/>
    <x v="0"/>
    <s v="3001101"/>
    <n v="721650"/>
    <s v="Supplies-Pharmacy Drugs - Nonbillable"/>
    <s v="Med/Surg 8th Floor"/>
    <x v="0"/>
    <m/>
    <n v="0"/>
    <n v="0.49"/>
    <n v="0"/>
    <n v="0"/>
    <n v="0"/>
    <n v="0.05"/>
    <n v="9.67"/>
    <n v="24.86"/>
    <n v="9.67"/>
    <n v="0"/>
    <n v="19.34"/>
    <n v="7.25"/>
    <n v="71.33"/>
    <n v="12.09"/>
  </r>
  <r>
    <x v="11"/>
    <x v="3"/>
    <x v="0"/>
    <s v="3001101"/>
    <n v="721710"/>
    <s v="Supplies-Laboratory - Nonbillable"/>
    <s v="Med/Surg 8th Floor"/>
    <x v="0"/>
    <m/>
    <n v="0"/>
    <n v="0"/>
    <n v="40.46"/>
    <n v="35.35"/>
    <n v="0"/>
    <n v="97"/>
    <n v="0"/>
    <n v="3.3"/>
    <n v="7.8"/>
    <n v="5.8"/>
    <n v="25.73"/>
    <n v="0"/>
    <n v="215.44000000000003"/>
    <n v="25.73"/>
  </r>
  <r>
    <x v="11"/>
    <x v="3"/>
    <x v="0"/>
    <s v="3001101"/>
    <n v="721710"/>
    <s v="Reagents"/>
    <s v="Med/Surg 8th Floor"/>
    <x v="0"/>
    <n v="1000"/>
    <n v="0"/>
    <n v="0"/>
    <n v="0"/>
    <n v="2"/>
    <n v="0"/>
    <n v="2"/>
    <n v="2"/>
    <n v="4"/>
    <n v="0"/>
    <n v="2"/>
    <n v="0"/>
    <n v="0"/>
    <n v="12"/>
    <n v="0"/>
  </r>
  <r>
    <x v="11"/>
    <x v="3"/>
    <x v="0"/>
    <s v="3001101"/>
    <n v="721810"/>
    <s v="Supplies-Dietary/Cafeteria"/>
    <s v="Med/Surg 8th Floor"/>
    <x v="0"/>
    <m/>
    <n v="7.78"/>
    <n v="29.73"/>
    <n v="49.67"/>
    <n v="31.83"/>
    <n v="522.76"/>
    <n v="170.5"/>
    <n v="96.33"/>
    <n v="113.21"/>
    <n v="78.25"/>
    <n v="57.86"/>
    <n v="150.51"/>
    <n v="117.97"/>
    <n v="1426.3999999999999"/>
    <n v="32.539999999999992"/>
  </r>
  <r>
    <x v="11"/>
    <x v="3"/>
    <x v="0"/>
    <s v="3001101"/>
    <n v="721830"/>
    <s v="Supplies-Office"/>
    <s v="Med/Surg 8th Floor"/>
    <x v="0"/>
    <m/>
    <n v="401.29"/>
    <n v="274.14"/>
    <n v="235.86"/>
    <n v="461.19"/>
    <n v="166.88"/>
    <n v="231.77"/>
    <n v="217.21"/>
    <n v="161.75"/>
    <n v="783.02"/>
    <n v="35.4"/>
    <n v="293.74"/>
    <n v="95.84"/>
    <n v="3358.09"/>
    <n v="197.9"/>
  </r>
  <r>
    <x v="11"/>
    <x v="3"/>
    <x v="0"/>
    <s v="3001101"/>
    <n v="721835"/>
    <s v="Supplies-Forms"/>
    <s v="Med/Surg 8th Floor"/>
    <x v="0"/>
    <m/>
    <n v="0"/>
    <n v="0"/>
    <n v="0"/>
    <n v="0"/>
    <n v="15.61"/>
    <n v="158"/>
    <n v="121.75"/>
    <n v="0"/>
    <n v="150.69999999999999"/>
    <n v="0"/>
    <n v="144.26"/>
    <n v="255.33"/>
    <n v="845.65"/>
    <n v="-111.07000000000002"/>
  </r>
  <r>
    <x v="11"/>
    <x v="3"/>
    <x v="0"/>
    <s v="3001101"/>
    <n v="721870"/>
    <s v="Supplies-Environmental Services"/>
    <s v="Med/Surg 8th Floor"/>
    <x v="0"/>
    <m/>
    <n v="0"/>
    <n v="1.02"/>
    <n v="41.54"/>
    <n v="23.86"/>
    <n v="8.26"/>
    <n v="19.96"/>
    <n v="21.26"/>
    <n v="127.13"/>
    <n v="38.08"/>
    <n v="18.62"/>
    <n v="15.67"/>
    <n v="74.709999999999994"/>
    <n v="390.11"/>
    <n v="-59.039999999999992"/>
  </r>
  <r>
    <x v="11"/>
    <x v="3"/>
    <x v="0"/>
    <s v="3001101"/>
    <n v="721880"/>
    <s v="Supplies-Linen"/>
    <s v="Med/Surg 8th Floor"/>
    <x v="0"/>
    <m/>
    <n v="0"/>
    <n v="0"/>
    <n v="0"/>
    <n v="0"/>
    <n v="0"/>
    <n v="3.21"/>
    <n v="0"/>
    <n v="0"/>
    <n v="0"/>
    <n v="0"/>
    <n v="0"/>
    <n v="25.68"/>
    <n v="28.89"/>
    <n v="-25.68"/>
  </r>
  <r>
    <x v="11"/>
    <x v="3"/>
    <x v="0"/>
    <s v="3001101"/>
    <n v="721910"/>
    <s v="Supplies-Small Equipment"/>
    <s v="Med/Surg 8th Floor"/>
    <x v="0"/>
    <m/>
    <n v="2602.7199999999998"/>
    <n v="1143.02"/>
    <n v="1747.41"/>
    <n v="3243.66"/>
    <n v="912.73"/>
    <n v="6090.9"/>
    <n v="2545.21"/>
    <n v="569.89"/>
    <n v="997.75"/>
    <n v="294.94"/>
    <n v="268.99"/>
    <n v="334.94"/>
    <n v="20752.159999999996"/>
    <n v="-65.949999999999989"/>
  </r>
  <r>
    <x v="11"/>
    <x v="3"/>
    <x v="0"/>
    <s v="3001101"/>
    <n v="721910"/>
    <s v="Instruments"/>
    <s v="Med/Surg 8th Floor"/>
    <x v="0"/>
    <n v="1000"/>
    <n v="0"/>
    <n v="0"/>
    <n v="0"/>
    <n v="0"/>
    <n v="0"/>
    <n v="2"/>
    <n v="0"/>
    <n v="0"/>
    <n v="0"/>
    <n v="0"/>
    <n v="0"/>
    <n v="0"/>
    <n v="2"/>
    <n v="0"/>
  </r>
  <r>
    <x v="11"/>
    <x v="3"/>
    <x v="0"/>
    <s v="3001101"/>
    <n v="721980"/>
    <s v="Supplies-Other"/>
    <s v="Med/Surg 8th Floor"/>
    <x v="0"/>
    <m/>
    <n v="0"/>
    <n v="0"/>
    <n v="33.33"/>
    <n v="0"/>
    <n v="0"/>
    <n v="0"/>
    <n v="0"/>
    <n v="2096.06"/>
    <n v="703.8"/>
    <n v="-64.569999999999993"/>
    <n v="0"/>
    <n v="0"/>
    <n v="2768.6199999999994"/>
    <n v="0"/>
  </r>
  <r>
    <x v="11"/>
    <x v="3"/>
    <x v="0"/>
    <s v="3001101"/>
    <n v="722000"/>
    <s v="Supplies-Freight Expense"/>
    <s v="Med/Surg 8th Floor"/>
    <x v="0"/>
    <m/>
    <n v="8.44"/>
    <n v="8.44"/>
    <n v="15.1"/>
    <n v="7.99"/>
    <n v="0"/>
    <n v="0"/>
    <n v="0"/>
    <n v="0"/>
    <n v="16.46"/>
    <n v="8.26"/>
    <n v="0"/>
    <n v="0"/>
    <n v="64.69"/>
    <n v="0"/>
  </r>
  <r>
    <x v="12"/>
    <x v="3"/>
    <x v="0"/>
    <s v="3001101"/>
    <n v="730020"/>
    <s v="Rental and Leases-Copier Usage Fees (DO NOT USE)"/>
    <s v="Med/Surg 8th Floor"/>
    <x v="0"/>
    <n v="5100"/>
    <n v="326.27999999999997"/>
    <n v="334.44"/>
    <n v="330.36"/>
    <n v="330.36"/>
    <n v="330.36"/>
    <n v="330.36"/>
    <n v="-494"/>
    <n v="201.17"/>
    <n v="200.75"/>
    <n v="359.62"/>
    <n v="201.16"/>
    <n v="302.73"/>
    <n v="2753.59"/>
    <n v="-101.57000000000002"/>
  </r>
  <r>
    <x v="15"/>
    <x v="3"/>
    <x v="0"/>
    <s v="3001101"/>
    <n v="731060"/>
    <s v="Cell Phones"/>
    <s v="Med/Surg 8th Floor"/>
    <x v="0"/>
    <n v="1001"/>
    <n v="0"/>
    <n v="66.400000000000006"/>
    <n v="32.46"/>
    <n v="0"/>
    <n v="32.520000000000003"/>
    <n v="33.1"/>
    <n v="66.23"/>
    <n v="0"/>
    <n v="33.729999999999997"/>
    <n v="241.03"/>
    <n v="86.47"/>
    <n v="86.44"/>
    <n v="678.38000000000011"/>
    <n v="3.0000000000001137E-2"/>
  </r>
  <r>
    <x v="15"/>
    <x v="3"/>
    <x v="0"/>
    <s v="3001101"/>
    <n v="731060"/>
    <s v="Pagers"/>
    <s v="Med/Surg 8th Floor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6"/>
    <x v="3"/>
    <x v="0"/>
    <s v="3001101"/>
    <n v="732015"/>
    <s v="Repairs-Clinical Equip-T&amp;M-Ext to CHI Programs"/>
    <s v="Med/Surg 8th Floor"/>
    <x v="0"/>
    <m/>
    <n v="0"/>
    <n v="0"/>
    <n v="0"/>
    <n v="1101"/>
    <n v="0"/>
    <n v="0"/>
    <n v="0"/>
    <n v="0"/>
    <n v="0"/>
    <n v="0"/>
    <n v="0"/>
    <n v="0"/>
    <n v="1101"/>
    <n v="0"/>
  </r>
  <r>
    <x v="0"/>
    <x v="3"/>
    <x v="0"/>
    <s v="3001101"/>
    <n v="740030"/>
    <s v="Education-Travel"/>
    <s v="Med/Surg 8th Floor"/>
    <x v="0"/>
    <m/>
    <n v="0"/>
    <n v="0"/>
    <n v="0"/>
    <n v="0"/>
    <n v="0"/>
    <n v="0"/>
    <n v="0"/>
    <n v="0"/>
    <n v="0"/>
    <n v="0"/>
    <n v="0"/>
    <n v="45"/>
    <n v="45"/>
    <n v="-45"/>
  </r>
  <r>
    <x v="0"/>
    <x v="3"/>
    <x v="0"/>
    <s v="3001101"/>
    <n v="743030"/>
    <s v="Subscriptions--Institutional"/>
    <s v="Med/Surg 8th Floor"/>
    <x v="0"/>
    <m/>
    <n v="0"/>
    <n v="0"/>
    <n v="0"/>
    <n v="0"/>
    <n v="0"/>
    <n v="0"/>
    <n v="0"/>
    <n v="0"/>
    <n v="0"/>
    <n v="0"/>
    <n v="79.849999999999994"/>
    <n v="0"/>
    <n v="79.849999999999994"/>
    <n v="79.849999999999994"/>
  </r>
  <r>
    <x v="0"/>
    <x v="3"/>
    <x v="0"/>
    <s v="3001101"/>
    <n v="749510"/>
    <s v="Miscellaneous Expenses"/>
    <s v="Med/Surg 8th Floor"/>
    <x v="0"/>
    <m/>
    <n v="0"/>
    <n v="523.91999999999996"/>
    <n v="89.88"/>
    <n v="923.05"/>
    <n v="0"/>
    <n v="375"/>
    <n v="669.08"/>
    <n v="-1"/>
    <n v="98.94"/>
    <n v="1597.16"/>
    <n v="32.979999999999997"/>
    <n v="66.02"/>
    <n v="4375.03"/>
    <n v="-33.04"/>
  </r>
  <r>
    <x v="0"/>
    <x v="3"/>
    <x v="0"/>
    <s v="3001101"/>
    <n v="749510"/>
    <s v="Licenses"/>
    <s v="Med/Surg 8th Floor"/>
    <x v="0"/>
    <n v="1002"/>
    <n v="0"/>
    <n v="0"/>
    <n v="0"/>
    <n v="0"/>
    <n v="0"/>
    <n v="0"/>
    <n v="375"/>
    <n v="0"/>
    <n v="0"/>
    <n v="0"/>
    <n v="0"/>
    <n v="0"/>
    <n v="375"/>
    <n v="0"/>
  </r>
  <r>
    <x v="0"/>
    <x v="3"/>
    <x v="0"/>
    <s v="3001101"/>
    <n v="749510"/>
    <s v="Casualty Loss/Patient Property"/>
    <s v="Med/Surg 8th Floor"/>
    <x v="0"/>
    <n v="4601"/>
    <n v="0"/>
    <n v="0"/>
    <n v="0"/>
    <n v="0"/>
    <n v="2499.98"/>
    <n v="0"/>
    <n v="0"/>
    <n v="0"/>
    <n v="2580"/>
    <n v="0"/>
    <n v="0"/>
    <n v="0"/>
    <n v="5079.9799999999996"/>
    <n v="0"/>
  </r>
  <r>
    <x v="0"/>
    <x v="3"/>
    <x v="0"/>
    <s v="3001101"/>
    <n v="749530"/>
    <s v="Travel"/>
    <s v="Med/Surg 8th Floor"/>
    <x v="0"/>
    <m/>
    <n v="0"/>
    <n v="0"/>
    <n v="0"/>
    <n v="0"/>
    <n v="0"/>
    <n v="0"/>
    <n v="0"/>
    <n v="34.020000000000003"/>
    <n v="0"/>
    <n v="0"/>
    <n v="0"/>
    <n v="0"/>
    <n v="34.020000000000003"/>
    <n v="0"/>
  </r>
  <r>
    <x v="18"/>
    <x v="0"/>
    <x v="0"/>
    <s v="3001102"/>
    <n v="400010"/>
    <s v="Acute I/P Svcs Rev--Medicare"/>
    <s v="Med/Surg 1st Surgical"/>
    <x v="0"/>
    <n v="1100"/>
    <n v="-1485969.38"/>
    <n v="-1166231.27"/>
    <n v="-1086999.94"/>
    <n v="-1511957.44"/>
    <n v="-1401370.06"/>
    <n v="-1418854.32"/>
    <n v="-1404034.5"/>
    <n v="-1346757.27"/>
    <n v="-1836347.66"/>
    <n v="-1372616.62"/>
    <n v="-1361025.57"/>
    <n v="-1003244.83"/>
    <n v="-16395408.860000001"/>
    <n v="-357780.74000000011"/>
  </r>
  <r>
    <x v="18"/>
    <x v="0"/>
    <x v="0"/>
    <s v="3001102"/>
    <n v="400010"/>
    <s v="Acute I/P Svcs Rev--Medicaid"/>
    <s v="Med/Surg 1st Surgical"/>
    <x v="0"/>
    <n v="1200"/>
    <n v="-490366.8"/>
    <n v="-627170.49"/>
    <n v="-578417.47"/>
    <n v="-452258.76"/>
    <n v="-436042.04"/>
    <n v="-360372.36"/>
    <n v="-482310.29"/>
    <n v="-339384.96"/>
    <n v="-390237.77"/>
    <n v="-444352.75"/>
    <n v="-580639.47"/>
    <n v="-706696.29"/>
    <n v="-5888249.4499999993"/>
    <n v="126056.82000000007"/>
  </r>
  <r>
    <x v="18"/>
    <x v="0"/>
    <x v="0"/>
    <s v="3001102"/>
    <n v="400010"/>
    <s v="Acute I/P Svcs Rev--Comm Insurance"/>
    <s v="Med/Surg 1st Surgical"/>
    <x v="0"/>
    <n v="1300"/>
    <n v="37212.559999999998"/>
    <n v="-42089.279999999999"/>
    <n v="-25118.22"/>
    <n v="44762.71"/>
    <n v="-7138.44"/>
    <n v="-29660.54"/>
    <n v="-33476.660000000003"/>
    <n v="16196.44"/>
    <n v="-977.4"/>
    <n v="-27772.880000000001"/>
    <n v="-34660.28"/>
    <n v="-18698.310000000001"/>
    <n v="-121420.3"/>
    <n v="-15961.969999999998"/>
  </r>
  <r>
    <x v="18"/>
    <x v="0"/>
    <x v="0"/>
    <s v="3001102"/>
    <n v="400010"/>
    <s v="Acute I/P Svcs Rev--BCBS Comm"/>
    <s v="Med/Surg 1st Surgical"/>
    <x v="0"/>
    <n v="1301"/>
    <n v="-71007.66"/>
    <n v="-78274.210000000006"/>
    <n v="-68936.56"/>
    <n v="-84786.2"/>
    <n v="-90490.48"/>
    <n v="-61726.5"/>
    <n v="-88339.87"/>
    <n v="-95889.64"/>
    <n v="-75702.22"/>
    <n v="-76472.639999999999"/>
    <n v="-78163.98"/>
    <n v="-211298.21"/>
    <n v="-1081088.17"/>
    <n v="133134.22999999998"/>
  </r>
  <r>
    <x v="18"/>
    <x v="0"/>
    <x v="0"/>
    <s v="3001102"/>
    <n v="400010"/>
    <s v="Acute I/P Svcs Rev--Managed Care"/>
    <s v="Med/Surg 1st Surgical"/>
    <x v="0"/>
    <n v="1400"/>
    <n v="-232047.55"/>
    <n v="-273163.37"/>
    <n v="-306813.40000000002"/>
    <n v="-302498.11"/>
    <n v="-200760.46"/>
    <n v="-271852.40000000002"/>
    <n v="-309911.13"/>
    <n v="-291714.07"/>
    <n v="-161179.21"/>
    <n v="-273184.23"/>
    <n v="-187195.93"/>
    <n v="-134096.68"/>
    <n v="-2944416.54"/>
    <n v="-53099.25"/>
  </r>
  <r>
    <x v="18"/>
    <x v="0"/>
    <x v="0"/>
    <s v="3001102"/>
    <n v="400010"/>
    <s v="Acute I/P Svcs Rev--Self Pay"/>
    <s v="Med/Surg 1st Surgical"/>
    <x v="0"/>
    <n v="1500"/>
    <n v="-57048.46"/>
    <n v="-23450.1"/>
    <n v="23208.560000000001"/>
    <n v="0"/>
    <n v="-59329.17"/>
    <n v="-1861.62"/>
    <n v="-28138.080000000002"/>
    <n v="-28613.51"/>
    <n v="-485.88"/>
    <n v="-17717.98"/>
    <n v="-75256.38"/>
    <n v="-55594.52"/>
    <n v="-324287.14"/>
    <n v="-19661.860000000008"/>
  </r>
  <r>
    <x v="18"/>
    <x v="0"/>
    <x v="0"/>
    <s v="3001102"/>
    <n v="400010"/>
    <s v="Acute I/P Svcs Rev--Other"/>
    <s v="Med/Surg 1st Surgical"/>
    <x v="0"/>
    <n v="1700"/>
    <n v="-38001.33"/>
    <n v="-77345.759999999995"/>
    <n v="-32907.67"/>
    <n v="-2042.81"/>
    <n v="-30601.24"/>
    <n v="-18577.11"/>
    <n v="-18447.46"/>
    <n v="-33096.6"/>
    <n v="-21398.11"/>
    <n v="-47417.77"/>
    <n v="-33288.21"/>
    <n v="-25745.34"/>
    <n v="-378869.41000000003"/>
    <n v="-7542.869999999999"/>
  </r>
  <r>
    <x v="19"/>
    <x v="0"/>
    <x v="0"/>
    <s v="3001102"/>
    <n v="400020"/>
    <s v="O/P Care Svcs Rev--Medicare"/>
    <s v="Med/Surg 1st Surgical"/>
    <x v="0"/>
    <n v="1100"/>
    <n v="-165500.92000000001"/>
    <n v="-199893"/>
    <n v="-240811.69"/>
    <n v="-247682.92"/>
    <n v="-174379.62"/>
    <n v="-138347.74"/>
    <n v="-314494.32"/>
    <n v="-287058"/>
    <n v="-164796.41"/>
    <n v="-151003.65"/>
    <n v="-162565.68"/>
    <n v="-213245.03"/>
    <n v="-2459778.98"/>
    <n v="50679.350000000006"/>
  </r>
  <r>
    <x v="19"/>
    <x v="0"/>
    <x v="0"/>
    <s v="3001102"/>
    <n v="400020"/>
    <s v="O/P Care Svcs Rev--Medicaid"/>
    <s v="Med/Surg 1st Surgical"/>
    <x v="0"/>
    <n v="1200"/>
    <n v="-69774.17"/>
    <n v="-129037.82"/>
    <n v="-117667.97"/>
    <n v="-89440.15"/>
    <n v="-38072.730000000003"/>
    <n v="-91412.7"/>
    <n v="-67056.899999999994"/>
    <n v="-89449.78"/>
    <n v="-49685.21"/>
    <n v="-79655.63"/>
    <n v="-51303.42"/>
    <n v="-93712.73"/>
    <n v="-966269.21"/>
    <n v="42409.31"/>
  </r>
  <r>
    <x v="19"/>
    <x v="0"/>
    <x v="0"/>
    <s v="3001102"/>
    <n v="400020"/>
    <s v="O/P Care Svcs Rev--Comm Insurance"/>
    <s v="Med/Surg 1st Surgical"/>
    <x v="0"/>
    <n v="1300"/>
    <n v="-4584.22"/>
    <n v="3330.3"/>
    <n v="-24139.74"/>
    <n v="-5275.51"/>
    <n v="-9292.15"/>
    <n v="-9402.25"/>
    <n v="-70749.039999999994"/>
    <n v="0"/>
    <n v="-2660.48"/>
    <n v="77505.69"/>
    <n v="-1182.96"/>
    <n v="-2677.52"/>
    <n v="-49127.87999999999"/>
    <n v="1494.56"/>
  </r>
  <r>
    <x v="19"/>
    <x v="0"/>
    <x v="0"/>
    <s v="3001102"/>
    <n v="400020"/>
    <s v="O/P Care Svcs Rev--BCBS Comm"/>
    <s v="Med/Surg 1st Surgical"/>
    <x v="0"/>
    <n v="1301"/>
    <n v="-4100.01"/>
    <n v="-19653.27"/>
    <n v="-3766.97"/>
    <n v="-24030.76"/>
    <n v="-17076.66"/>
    <n v="-97369.05"/>
    <n v="-19151.77"/>
    <n v="-5834.34"/>
    <n v="-14353.6"/>
    <n v="-61645.36"/>
    <n v="-73727.839999999997"/>
    <n v="-5914.8"/>
    <n v="-346624.43"/>
    <n v="-67813.039999999994"/>
  </r>
  <r>
    <x v="19"/>
    <x v="0"/>
    <x v="0"/>
    <s v="3001102"/>
    <n v="400020"/>
    <s v="O/P Care Svcs Rev--Managed Care"/>
    <s v="Med/Surg 1st Surgical"/>
    <x v="0"/>
    <n v="1400"/>
    <n v="-41447.47"/>
    <n v="-28278.01"/>
    <n v="-36606.61"/>
    <n v="-45888.39"/>
    <n v="-33636.21"/>
    <n v="-66934.320000000007"/>
    <n v="-66444.78"/>
    <n v="-55726"/>
    <n v="-20270.259999999998"/>
    <n v="-17063.669999999998"/>
    <n v="-2628.8"/>
    <n v="-24162.98"/>
    <n v="-439087.49999999994"/>
    <n v="21534.18"/>
  </r>
  <r>
    <x v="19"/>
    <x v="0"/>
    <x v="0"/>
    <s v="3001102"/>
    <n v="400020"/>
    <s v="O/P Care Svcs Rev--Self Pay"/>
    <s v="Med/Surg 1st Surgical"/>
    <x v="0"/>
    <n v="1500"/>
    <n v="-12487.71"/>
    <n v="-8311.07"/>
    <n v="-12435.65"/>
    <n v="0"/>
    <n v="-26236.87"/>
    <n v="-577.51"/>
    <n v="0"/>
    <n v="-7957.72"/>
    <n v="-3735.9"/>
    <n v="-4093.32"/>
    <n v="-1974.31"/>
    <n v="-6794.19"/>
    <n v="-84604.25"/>
    <n v="4819.8799999999992"/>
  </r>
  <r>
    <x v="19"/>
    <x v="0"/>
    <x v="0"/>
    <s v="3001102"/>
    <n v="400020"/>
    <s v="O/P Care Svcs Rev--Other"/>
    <s v="Med/Surg 1st Surgical"/>
    <x v="0"/>
    <n v="1700"/>
    <n v="-13043.7"/>
    <n v="-32179.05"/>
    <n v="-4977.18"/>
    <n v="-248.96"/>
    <n v="-36619.620000000003"/>
    <n v="-56394.87"/>
    <n v="32421.93"/>
    <n v="-11214.22"/>
    <n v="-13572.93"/>
    <n v="-99504.59"/>
    <n v="-28746.12"/>
    <n v="-9984.4"/>
    <n v="-274063.71000000002"/>
    <n v="-18761.72"/>
  </r>
  <r>
    <x v="14"/>
    <x v="0"/>
    <x v="0"/>
    <s v="3001102"/>
    <n v="600050"/>
    <s v="Miscellaneous Revenue"/>
    <s v="Med/Surg 1st Surgical"/>
    <x v="0"/>
    <m/>
    <n v="0"/>
    <n v="-6000"/>
    <n v="0"/>
    <n v="0"/>
    <n v="0"/>
    <n v="0"/>
    <n v="0"/>
    <n v="0"/>
    <n v="0"/>
    <n v="0"/>
    <n v="0"/>
    <n v="-3000"/>
    <n v="-9000"/>
    <n v="3000"/>
  </r>
  <r>
    <x v="5"/>
    <x v="0"/>
    <x v="0"/>
    <s v="3001102"/>
    <n v="700014"/>
    <s v="Salaries-Management-Productive"/>
    <s v="Med/Surg 1st Surgical"/>
    <x v="0"/>
    <m/>
    <n v="6313.61"/>
    <n v="9299.74"/>
    <n v="8211.31"/>
    <n v="7023.81"/>
    <n v="10642.41"/>
    <n v="6200.35"/>
    <n v="9154.73"/>
    <n v="8065.75"/>
    <n v="9474.11"/>
    <n v="7489.37"/>
    <n v="9378.07"/>
    <n v="9122.14"/>
    <n v="100375.39999999998"/>
    <n v="255.93000000000029"/>
  </r>
  <r>
    <x v="5"/>
    <x v="0"/>
    <x v="0"/>
    <s v="3001102"/>
    <n v="700026"/>
    <s v="Salaries-RN-Productive"/>
    <s v="Med/Surg 1st Surgical"/>
    <x v="0"/>
    <m/>
    <n v="224788.26"/>
    <n v="235158.07"/>
    <n v="230200.34"/>
    <n v="234561.97"/>
    <n v="227425.59"/>
    <n v="250276.86"/>
    <n v="243658.73"/>
    <n v="204996.44"/>
    <n v="222207.26"/>
    <n v="210594.07"/>
    <n v="224065.85"/>
    <n v="207417.25"/>
    <n v="2715350.69"/>
    <n v="16648.600000000006"/>
  </r>
  <r>
    <x v="5"/>
    <x v="0"/>
    <x v="0"/>
    <s v="3001102"/>
    <n v="700026"/>
    <s v="Salaries-RN-OT"/>
    <s v="Med/Surg 1st Surgical"/>
    <x v="0"/>
    <n v="1000"/>
    <n v="4986.92"/>
    <n v="8533.58"/>
    <n v="11410.52"/>
    <n v="9896.51"/>
    <n v="7060.04"/>
    <n v="6573.14"/>
    <n v="9077.07"/>
    <n v="4748.88"/>
    <n v="4913.05"/>
    <n v="8600.58"/>
    <n v="4804.78"/>
    <n v="5971.59"/>
    <n v="86576.659999999989"/>
    <n v="-1166.8100000000004"/>
  </r>
  <r>
    <x v="5"/>
    <x v="0"/>
    <x v="0"/>
    <s v="3001102"/>
    <n v="700026"/>
    <s v="Salaries-RN-Other"/>
    <s v="Med/Surg 1st Surgical"/>
    <x v="0"/>
    <n v="2000"/>
    <n v="23981.34"/>
    <n v="25980.5"/>
    <n v="29416.81"/>
    <n v="26062.63"/>
    <n v="26168.06"/>
    <n v="24362.46"/>
    <n v="24453.51"/>
    <n v="20649.32"/>
    <n v="22499.18"/>
    <n v="21618.12"/>
    <n v="23731.89"/>
    <n v="22294.880000000001"/>
    <n v="291218.7"/>
    <n v="1437.0099999999984"/>
  </r>
  <r>
    <x v="5"/>
    <x v="0"/>
    <x v="0"/>
    <s v="3001102"/>
    <n v="700030"/>
    <s v="Salaries-LPN-Productive"/>
    <s v="Med/Surg 1st Surgical"/>
    <x v="0"/>
    <m/>
    <n v="0"/>
    <n v="0"/>
    <n v="42.42"/>
    <n v="70.7"/>
    <n v="231.92"/>
    <n v="0"/>
    <n v="315.19"/>
    <n v="-82.93"/>
    <n v="0"/>
    <n v="0"/>
    <n v="0"/>
    <n v="0"/>
    <n v="577.29999999999995"/>
    <n v="0"/>
  </r>
  <r>
    <x v="5"/>
    <x v="0"/>
    <x v="0"/>
    <s v="3001102"/>
    <n v="700030"/>
    <s v="Salaries-LPN-OT"/>
    <s v="Med/Surg 1st Surgical"/>
    <x v="0"/>
    <n v="1000"/>
    <n v="0"/>
    <n v="0"/>
    <n v="0"/>
    <n v="0"/>
    <n v="10.87"/>
    <n v="0"/>
    <n v="0"/>
    <n v="0"/>
    <n v="0"/>
    <n v="0"/>
    <n v="0"/>
    <n v="0"/>
    <n v="10.87"/>
    <n v="0"/>
  </r>
  <r>
    <x v="5"/>
    <x v="0"/>
    <x v="0"/>
    <s v="3001102"/>
    <n v="700030"/>
    <s v="Salaries-LPN-Other"/>
    <s v="Med/Surg 1st Surgical"/>
    <x v="0"/>
    <n v="2000"/>
    <n v="0"/>
    <n v="0"/>
    <n v="6.36"/>
    <n v="10.6"/>
    <n v="0"/>
    <n v="0"/>
    <n v="0"/>
    <n v="0"/>
    <n v="0"/>
    <n v="0"/>
    <n v="57.92"/>
    <n v="-27.88"/>
    <n v="47"/>
    <n v="85.8"/>
  </r>
  <r>
    <x v="5"/>
    <x v="0"/>
    <x v="0"/>
    <s v="3001102"/>
    <n v="700032"/>
    <s v="Salaries-Other Pat Care Providers-Productive"/>
    <s v="Med/Surg 1st Surgical"/>
    <x v="0"/>
    <m/>
    <n v="60781.99"/>
    <n v="60744.59"/>
    <n v="64132.35"/>
    <n v="64042.86"/>
    <n v="62154.33"/>
    <n v="71703.990000000005"/>
    <n v="59086.16"/>
    <n v="50889.79"/>
    <n v="52951.49"/>
    <n v="59884.05"/>
    <n v="49788.25"/>
    <n v="60903.4"/>
    <n v="717063.25000000012"/>
    <n v="-11115.150000000001"/>
  </r>
  <r>
    <x v="5"/>
    <x v="0"/>
    <x v="0"/>
    <s v="3001102"/>
    <n v="700032"/>
    <s v="Salaries-Other Pat Care Providers-OT"/>
    <s v="Med/Surg 1st Surgical"/>
    <x v="0"/>
    <n v="1000"/>
    <n v="1007.66"/>
    <n v="1502.63"/>
    <n v="3872.27"/>
    <n v="4978.8599999999997"/>
    <n v="239.79"/>
    <n v="3222.31"/>
    <n v="4070.75"/>
    <n v="2155.9899999999998"/>
    <n v="2160.5100000000002"/>
    <n v="4184.03"/>
    <n v="183.19"/>
    <n v="2821.09"/>
    <n v="30399.079999999994"/>
    <n v="-2637.9"/>
  </r>
  <r>
    <x v="5"/>
    <x v="0"/>
    <x v="0"/>
    <s v="3001102"/>
    <n v="700032"/>
    <s v="Salaries-Other Pat Care Providers-Other"/>
    <s v="Med/Surg 1st Surgical"/>
    <x v="0"/>
    <n v="2000"/>
    <n v="4898.76"/>
    <n v="4585.74"/>
    <n v="5243.42"/>
    <n v="4678.25"/>
    <n v="5472.25"/>
    <n v="5851"/>
    <n v="4930.3599999999997"/>
    <n v="4483.59"/>
    <n v="4265.92"/>
    <n v="5275.36"/>
    <n v="6160.4"/>
    <n v="6011.23"/>
    <n v="61856.28"/>
    <n v="149.17000000000007"/>
  </r>
  <r>
    <x v="5"/>
    <x v="0"/>
    <x v="0"/>
    <s v="3001102"/>
    <n v="700038"/>
    <s v="Salaries-Service/Support-Productive"/>
    <s v="Med/Surg 1st Surgical"/>
    <x v="0"/>
    <m/>
    <n v="6713.42"/>
    <n v="7513.89"/>
    <n v="6975.09"/>
    <n v="6225.24"/>
    <n v="5732.32"/>
    <n v="5478.1"/>
    <n v="7378.72"/>
    <n v="6235.59"/>
    <n v="8198.2000000000007"/>
    <n v="7590.29"/>
    <n v="8045.39"/>
    <n v="7511.54"/>
    <n v="83597.789999999979"/>
    <n v="533.85000000000036"/>
  </r>
  <r>
    <x v="5"/>
    <x v="0"/>
    <x v="0"/>
    <s v="3001102"/>
    <n v="700038"/>
    <s v="Salaries-Service/Support-OT"/>
    <s v="Med/Surg 1st Surgical"/>
    <x v="0"/>
    <n v="1000"/>
    <n v="577.02"/>
    <n v="664.83"/>
    <n v="2094.62"/>
    <n v="1530.5"/>
    <n v="1833.54"/>
    <n v="1217.32"/>
    <n v="793.11"/>
    <n v="786.21"/>
    <n v="769.37"/>
    <n v="790.57"/>
    <n v="97.02"/>
    <n v="171.19"/>
    <n v="11325.3"/>
    <n v="-74.17"/>
  </r>
  <r>
    <x v="5"/>
    <x v="0"/>
    <x v="0"/>
    <s v="3001102"/>
    <n v="700038"/>
    <s v="Salaries-Service/Support-Other"/>
    <s v="Med/Surg 1st Surgical"/>
    <x v="0"/>
    <n v="2000"/>
    <n v="113.46"/>
    <n v="162.74"/>
    <n v="179.36"/>
    <n v="123.48"/>
    <n v="50.63"/>
    <n v="96.96"/>
    <n v="197.96"/>
    <n v="128.99"/>
    <n v="163.85"/>
    <n v="151.94999999999999"/>
    <n v="163.66999999999999"/>
    <n v="220.95"/>
    <n v="1754"/>
    <n v="-57.28"/>
  </r>
  <r>
    <x v="5"/>
    <x v="0"/>
    <x v="0"/>
    <s v="3001102"/>
    <n v="700054"/>
    <s v="Salaries-Management-Non-productive"/>
    <s v="Med/Surg 1st Surgical"/>
    <x v="0"/>
    <m/>
    <n v="0"/>
    <n v="0"/>
    <n v="0"/>
    <n v="840.93"/>
    <n v="0"/>
    <n v="279.64999999999998"/>
    <n v="0"/>
    <n v="448.09"/>
    <n v="224.05"/>
    <n v="280.35000000000002"/>
    <n v="-0.28999999999999998"/>
    <n v="0"/>
    <n v="2072.7799999999997"/>
    <n v="-0.28999999999999998"/>
  </r>
  <r>
    <x v="5"/>
    <x v="0"/>
    <x v="0"/>
    <s v="3001102"/>
    <n v="700054"/>
    <s v="Salaries-Management-NonProd-Other"/>
    <s v="Med/Surg 1st Surgical"/>
    <x v="0"/>
    <n v="2000"/>
    <n v="0"/>
    <n v="0"/>
    <n v="0"/>
    <n v="0"/>
    <n v="0"/>
    <n v="2905.08"/>
    <n v="-2905.08"/>
    <n v="0"/>
    <n v="0"/>
    <n v="0"/>
    <n v="0"/>
    <n v="0"/>
    <n v="0"/>
    <n v="0"/>
  </r>
  <r>
    <x v="5"/>
    <x v="0"/>
    <x v="0"/>
    <s v="3001102"/>
    <n v="700066"/>
    <s v="Salaries-RN-Non-productive"/>
    <s v="Med/Surg 1st Surgical"/>
    <x v="0"/>
    <m/>
    <n v="31005.47"/>
    <n v="38339.760000000002"/>
    <n v="39620.68"/>
    <n v="29680.720000000001"/>
    <n v="31990.31"/>
    <n v="32688.73"/>
    <n v="15042.67"/>
    <n v="24726.85"/>
    <n v="29141.48"/>
    <n v="31202.73"/>
    <n v="31229.759999999998"/>
    <n v="46589.62"/>
    <n v="381258.78"/>
    <n v="-15359.860000000004"/>
  </r>
  <r>
    <x v="5"/>
    <x v="0"/>
    <x v="0"/>
    <s v="3001102"/>
    <n v="700066"/>
    <s v="Salaries-RN-NonProd-Other"/>
    <s v="Med/Surg 1st Surgical"/>
    <x v="0"/>
    <n v="2000"/>
    <n v="1788.42"/>
    <n v="2454.0700000000002"/>
    <n v="2073.0700000000002"/>
    <n v="2252.0700000000002"/>
    <n v="3689.03"/>
    <n v="7911.05"/>
    <n v="699.3"/>
    <n v="-5757.26"/>
    <n v="1543.69"/>
    <n v="1860.91"/>
    <n v="2232.0300000000002"/>
    <n v="2455.17"/>
    <n v="23201.549999999996"/>
    <n v="-223.13999999999987"/>
  </r>
  <r>
    <x v="5"/>
    <x v="0"/>
    <x v="0"/>
    <s v="3001102"/>
    <n v="700072"/>
    <s v="Salaries-Other Pat Care Providers-Non-productive"/>
    <s v="Med/Surg 1st Surgical"/>
    <x v="0"/>
    <m/>
    <n v="4312.41"/>
    <n v="6536.46"/>
    <n v="4502.2"/>
    <n v="3517.91"/>
    <n v="1563.58"/>
    <n v="6670.33"/>
    <n v="4774.84"/>
    <n v="3945.16"/>
    <n v="3461.97"/>
    <n v="7231.63"/>
    <n v="722.04"/>
    <n v="10890.4"/>
    <n v="58128.93"/>
    <n v="-10168.36"/>
  </r>
  <r>
    <x v="5"/>
    <x v="0"/>
    <x v="0"/>
    <s v="3001102"/>
    <n v="700072"/>
    <s v="Salaries-Other Pat Care Providers-NonProd-Other"/>
    <s v="Med/Surg 1st Surgical"/>
    <x v="0"/>
    <n v="2000"/>
    <n v="258.89999999999998"/>
    <n v="488.07"/>
    <n v="206.76"/>
    <n v="282.05"/>
    <n v="117.56"/>
    <n v="519.02"/>
    <n v="415.97"/>
    <n v="428.16"/>
    <n v="97.63"/>
    <n v="436.32"/>
    <n v="106.53"/>
    <n v="901.53"/>
    <n v="4258.5"/>
    <n v="-795"/>
  </r>
  <r>
    <x v="5"/>
    <x v="0"/>
    <x v="0"/>
    <s v="3001102"/>
    <n v="700078"/>
    <s v="Salaries-Service/Support-Non-productive"/>
    <s v="Med/Surg 1st Surgical"/>
    <x v="0"/>
    <m/>
    <n v="1531.71"/>
    <n v="568.64"/>
    <n v="2568.4699999999998"/>
    <n v="2069.98"/>
    <n v="1150.43"/>
    <n v="369.29"/>
    <n v="94.6"/>
    <n v="1765.92"/>
    <n v="-400.3"/>
    <n v="1328.51"/>
    <n v="1193.92"/>
    <n v="923.06"/>
    <n v="13164.230000000001"/>
    <n v="270.86000000000013"/>
  </r>
  <r>
    <x v="5"/>
    <x v="0"/>
    <x v="0"/>
    <s v="3001102"/>
    <n v="700078"/>
    <s v="Salaries-Service/Support-NonProd-Other"/>
    <s v="Med/Surg 1st Surgical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3001102"/>
    <n v="700084"/>
    <s v="Accrued PTO"/>
    <s v="Med/Surg 1st Surgical"/>
    <x v="0"/>
    <m/>
    <n v="2835.08"/>
    <n v="-3869.36"/>
    <n v="-6082.11"/>
    <n v="8118.85"/>
    <n v="12416.74"/>
    <n v="126.07"/>
    <n v="20223.28"/>
    <n v="7997.66"/>
    <n v="11317.94"/>
    <n v="3731.5"/>
    <n v="9267.68"/>
    <n v="-8100.2"/>
    <n v="57983.130000000019"/>
    <n v="17367.88"/>
  </r>
  <r>
    <x v="10"/>
    <x v="0"/>
    <x v="0"/>
    <s v="3001102"/>
    <n v="710060"/>
    <s v="Contract Labor-Other"/>
    <s v="Med/Surg 1st Surgical"/>
    <x v="0"/>
    <m/>
    <n v="15861"/>
    <n v="6579"/>
    <n v="4974"/>
    <n v="5173.3100000000004"/>
    <n v="0"/>
    <n v="0"/>
    <n v="0"/>
    <n v="0"/>
    <n v="0"/>
    <n v="0"/>
    <n v="0"/>
    <n v="0"/>
    <n v="32587.31"/>
    <n v="0"/>
  </r>
  <r>
    <x v="10"/>
    <x v="0"/>
    <x v="0"/>
    <s v="3001102"/>
    <n v="710060"/>
    <s v="Contract Labor-Overtime"/>
    <s v="Med/Surg 1st Surgical"/>
    <x v="0"/>
    <n v="5100"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3001102"/>
    <n v="713010"/>
    <s v="Benefits-FICA/Medicare"/>
    <s v="Med/Surg 1st Surgical"/>
    <x v="0"/>
    <m/>
    <n v="27318.05"/>
    <n v="29619.14"/>
    <n v="30024.94"/>
    <n v="29196.240000000002"/>
    <n v="27383.21"/>
    <n v="31749.69"/>
    <n v="29166.03"/>
    <n v="24812.38"/>
    <n v="26733.599999999999"/>
    <n v="27109.07"/>
    <n v="26727.08"/>
    <n v="28728.15"/>
    <n v="338567.58000000007"/>
    <n v="-2001.0699999999997"/>
  </r>
  <r>
    <x v="6"/>
    <x v="0"/>
    <x v="0"/>
    <s v="3001102"/>
    <n v="713090"/>
    <s v="Benefits-Allocated Amounts"/>
    <s v="Med/Surg 1st Surgical"/>
    <x v="0"/>
    <m/>
    <n v="78407.06"/>
    <n v="72786.87"/>
    <n v="80117.06"/>
    <n v="75520.53"/>
    <n v="75877.759999999995"/>
    <n v="81914.990000000005"/>
    <n v="79532.28"/>
    <n v="73583.600000000006"/>
    <n v="71301.08"/>
    <n v="79656.17"/>
    <n v="74922.240000000005"/>
    <n v="83302.02"/>
    <n v="926921.66"/>
    <n v="-8379.7799999999988"/>
  </r>
  <r>
    <x v="6"/>
    <x v="0"/>
    <x v="0"/>
    <s v="3001102"/>
    <n v="713096"/>
    <s v="Employee Recognition"/>
    <s v="Med/Surg 1st Surgical"/>
    <x v="0"/>
    <n v="1017"/>
    <n v="0"/>
    <n v="69.64"/>
    <n v="224.87"/>
    <n v="142.19999999999999"/>
    <n v="0"/>
    <n v="805.78"/>
    <n v="0"/>
    <n v="44.55"/>
    <n v="68.819999999999993"/>
    <n v="20.99"/>
    <n v="99.95"/>
    <n v="372.91"/>
    <n v="1849.71"/>
    <n v="-272.96000000000004"/>
  </r>
  <r>
    <x v="17"/>
    <x v="0"/>
    <x v="0"/>
    <s v="3001102"/>
    <n v="714520"/>
    <s v="Other Contracted Professionals"/>
    <s v="Med/Surg 1st Surgical"/>
    <x v="0"/>
    <m/>
    <n v="0"/>
    <n v="3875"/>
    <n v="1937.5"/>
    <n v="0"/>
    <n v="0"/>
    <n v="3875"/>
    <n v="3875"/>
    <n v="1937.5"/>
    <n v="1937.5"/>
    <n v="1937.5"/>
    <n v="1937.5"/>
    <n v="1937.5"/>
    <n v="23250"/>
    <n v="0"/>
  </r>
  <r>
    <x v="7"/>
    <x v="0"/>
    <x v="0"/>
    <s v="3001102"/>
    <n v="718050"/>
    <s v="Contract Svcs-Other"/>
    <s v="Med/Surg 1st Surgical"/>
    <x v="0"/>
    <m/>
    <n v="4196.1000000000004"/>
    <n v="0"/>
    <n v="0"/>
    <n v="2153.8000000000002"/>
    <n v="0"/>
    <n v="607.20000000000005"/>
    <n v="936.92"/>
    <n v="0"/>
    <n v="0"/>
    <n v="0"/>
    <n v="0"/>
    <n v="909.15"/>
    <n v="8803.17"/>
    <n v="-909.15"/>
  </r>
  <r>
    <x v="7"/>
    <x v="0"/>
    <x v="0"/>
    <s v="3001102"/>
    <n v="718050"/>
    <s v="Miscellaneous Purchased Svcs"/>
    <s v="Med/Surg 1st Surgical"/>
    <x v="0"/>
    <n v="1020"/>
    <n v="0"/>
    <n v="1441.95"/>
    <n v="0"/>
    <n v="0"/>
    <n v="0"/>
    <n v="300.86"/>
    <n v="954.68"/>
    <n v="0"/>
    <n v="1296.79"/>
    <n v="0"/>
    <n v="4640.8"/>
    <n v="0"/>
    <n v="8635.08"/>
    <n v="4640.8"/>
  </r>
  <r>
    <x v="7"/>
    <x v="0"/>
    <x v="0"/>
    <s v="3001102"/>
    <n v="718050"/>
    <s v="Translation Services"/>
    <s v="Med/Surg 1st Surgical"/>
    <x v="0"/>
    <n v="1025"/>
    <n v="968.77"/>
    <n v="862.23"/>
    <n v="1004.46"/>
    <n v="416.34"/>
    <n v="0"/>
    <n v="580.77"/>
    <n v="51.84"/>
    <n v="126.36"/>
    <n v="1134.4100000000001"/>
    <n v="166.05"/>
    <n v="144"/>
    <n v="0"/>
    <n v="5455.2300000000005"/>
    <n v="144"/>
  </r>
  <r>
    <x v="7"/>
    <x v="0"/>
    <x v="0"/>
    <s v="3001102"/>
    <n v="718050"/>
    <s v="Contract Management--Linen"/>
    <s v="Med/Surg 1st Surgical"/>
    <x v="0"/>
    <n v="1026"/>
    <n v="0"/>
    <n v="0"/>
    <n v="0"/>
    <n v="0"/>
    <n v="0"/>
    <n v="0"/>
    <n v="0"/>
    <n v="0"/>
    <n v="0"/>
    <n v="63476.73"/>
    <n v="8181.17"/>
    <n v="7148.69"/>
    <n v="78806.590000000011"/>
    <n v="1032.4800000000005"/>
  </r>
  <r>
    <x v="11"/>
    <x v="0"/>
    <x v="0"/>
    <s v="3001102"/>
    <n v="721010"/>
    <s v="Supplies-Medical - Billable"/>
    <s v="Med/Surg 1st Surgical"/>
    <x v="0"/>
    <m/>
    <n v="3704.22"/>
    <n v="3972.62"/>
    <n v="3399.94"/>
    <n v="4386.3999999999996"/>
    <n v="3428.18"/>
    <n v="3542.93"/>
    <n v="4188.8"/>
    <n v="3109.32"/>
    <n v="5232.97"/>
    <n v="4811.7700000000004"/>
    <n v="3120.56"/>
    <n v="3693.96"/>
    <n v="46591.669999999991"/>
    <n v="-573.40000000000009"/>
  </r>
  <r>
    <x v="11"/>
    <x v="0"/>
    <x v="0"/>
    <s v="3001102"/>
    <n v="721010"/>
    <s v="Patient Monitoring"/>
    <s v="Med/Surg 1st Surgical"/>
    <x v="0"/>
    <n v="1000"/>
    <n v="250.54"/>
    <n v="1163.26"/>
    <n v="105.65"/>
    <n v="181.26"/>
    <n v="710.59"/>
    <n v="115.75"/>
    <n v="144.15"/>
    <n v="143.1"/>
    <n v="146.28"/>
    <n v="143.1"/>
    <n v="123.64"/>
    <n v="111.3"/>
    <n v="3338.6200000000003"/>
    <n v="12.340000000000003"/>
  </r>
  <r>
    <x v="11"/>
    <x v="0"/>
    <x v="0"/>
    <s v="3001102"/>
    <n v="721020"/>
    <s v="Supplies-Surgical - Billable"/>
    <s v="Med/Surg 1st Surgical"/>
    <x v="0"/>
    <m/>
    <n v="486.26"/>
    <n v="335.95"/>
    <n v="361.01"/>
    <n v="884.57"/>
    <n v="719.16"/>
    <n v="940.89"/>
    <n v="828.48"/>
    <n v="822.25"/>
    <n v="671.76"/>
    <n v="638.47"/>
    <n v="392.59"/>
    <n v="319.33"/>
    <n v="7400.72"/>
    <n v="73.259999999999991"/>
  </r>
  <r>
    <x v="11"/>
    <x v="0"/>
    <x v="0"/>
    <s v="3001102"/>
    <n v="721020"/>
    <s v="Custom Packs"/>
    <s v="Med/Surg 1st Surgical"/>
    <x v="0"/>
    <n v="1000"/>
    <n v="10.130000000000001"/>
    <n v="132.4"/>
    <n v="450.16"/>
    <n v="331"/>
    <n v="237.66"/>
    <n v="317.76"/>
    <n v="563.1"/>
    <n v="211.84"/>
    <n v="264.8"/>
    <n v="711.85"/>
    <n v="317.76"/>
    <n v="238.32"/>
    <n v="3786.78"/>
    <n v="79.44"/>
  </r>
  <r>
    <x v="11"/>
    <x v="0"/>
    <x v="0"/>
    <s v="3001102"/>
    <n v="721020"/>
    <s v="Suture/Wound Closure"/>
    <s v="Med/Surg 1st Surgical"/>
    <x v="0"/>
    <n v="1001"/>
    <n v="0"/>
    <n v="-6.1"/>
    <n v="0"/>
    <n v="0"/>
    <n v="0"/>
    <n v="0"/>
    <n v="0"/>
    <n v="0"/>
    <n v="0"/>
    <n v="0"/>
    <n v="0"/>
    <n v="0"/>
    <n v="-6.1"/>
    <n v="0"/>
  </r>
  <r>
    <x v="11"/>
    <x v="0"/>
    <x v="0"/>
    <s v="3001102"/>
    <n v="721020"/>
    <s v="Endomechanical Supplies &amp; Instruments"/>
    <s v="Med/Surg 1st Surgical"/>
    <x v="0"/>
    <n v="1003"/>
    <n v="0"/>
    <n v="0"/>
    <n v="0"/>
    <n v="0"/>
    <n v="0"/>
    <n v="0"/>
    <n v="0"/>
    <n v="1.21"/>
    <n v="0"/>
    <n v="0"/>
    <n v="0"/>
    <n v="0"/>
    <n v="1.21"/>
    <n v="0"/>
  </r>
  <r>
    <x v="11"/>
    <x v="0"/>
    <x v="0"/>
    <s v="3001102"/>
    <n v="721020"/>
    <s v="Tubes Drains &amp; Related Supplies"/>
    <s v="Med/Surg 1st Surgical"/>
    <x v="0"/>
    <n v="1008"/>
    <n v="0"/>
    <n v="0"/>
    <n v="0"/>
    <n v="0"/>
    <n v="0"/>
    <n v="-153"/>
    <n v="2.48"/>
    <n v="0"/>
    <n v="0"/>
    <n v="0"/>
    <n v="-39.36"/>
    <n v="0"/>
    <n v="-189.88"/>
    <n v="-39.36"/>
  </r>
  <r>
    <x v="11"/>
    <x v="0"/>
    <x v="0"/>
    <s v="3001102"/>
    <n v="721050"/>
    <s v="Supplies-Cardiac Rhythm - Billable"/>
    <s v="Med/Surg 1st Surgical"/>
    <x v="0"/>
    <m/>
    <n v="0"/>
    <n v="0"/>
    <n v="0"/>
    <n v="75.88"/>
    <n v="0"/>
    <n v="0"/>
    <n v="0"/>
    <n v="0"/>
    <n v="0"/>
    <n v="0"/>
    <n v="0"/>
    <n v="0"/>
    <n v="75.88"/>
    <n v="0"/>
  </r>
  <r>
    <x v="11"/>
    <x v="0"/>
    <x v="0"/>
    <s v="3001102"/>
    <n v="721240"/>
    <s v="Supplies-IV Solutions/Supplies - Billable"/>
    <s v="Med/Surg 1st Surgical"/>
    <x v="0"/>
    <m/>
    <n v="1825.98"/>
    <n v="1790.5"/>
    <n v="1111.77"/>
    <n v="1556.52"/>
    <n v="1591.88"/>
    <n v="1554.54"/>
    <n v="1664.28"/>
    <n v="1619.8"/>
    <n v="1789.65"/>
    <n v="-2255.94"/>
    <n v="5010.32"/>
    <n v="1471.1"/>
    <n v="18730.399999999998"/>
    <n v="3539.22"/>
  </r>
  <r>
    <x v="11"/>
    <x v="0"/>
    <x v="0"/>
    <s v="3001102"/>
    <n v="721250"/>
    <s v="Supplies-Pharmacy Drugs - Billable"/>
    <s v="Med/Surg 1st Surgical"/>
    <x v="0"/>
    <m/>
    <n v="1.34"/>
    <n v="0"/>
    <n v="1.71"/>
    <n v="4.4800000000000004"/>
    <n v="0"/>
    <n v="27.5"/>
    <n v="0"/>
    <n v="1.34"/>
    <n v="0.94"/>
    <n v="1.34"/>
    <n v="1.34"/>
    <n v="2.68"/>
    <n v="42.670000000000009"/>
    <n v="-1.34"/>
  </r>
  <r>
    <x v="11"/>
    <x v="0"/>
    <x v="0"/>
    <s v="3001102"/>
    <n v="721410"/>
    <s v="Supplies-Medical - Nonbillable"/>
    <s v="Med/Surg 1st Surgical"/>
    <x v="0"/>
    <m/>
    <n v="12114.14"/>
    <n v="12367.81"/>
    <n v="11629.35"/>
    <n v="15535.91"/>
    <n v="12603.04"/>
    <n v="15357.54"/>
    <n v="16248.8"/>
    <n v="15416.11"/>
    <n v="13438.59"/>
    <n v="17065.2"/>
    <n v="12647.36"/>
    <n v="12049.3"/>
    <n v="166473.14999999997"/>
    <n v="598.06000000000131"/>
  </r>
  <r>
    <x v="11"/>
    <x v="0"/>
    <x v="0"/>
    <s v="3001102"/>
    <n v="721410"/>
    <s v="Patient Monitoring"/>
    <s v="Med/Surg 1st Surgical"/>
    <x v="0"/>
    <n v="1000"/>
    <n v="2.2200000000000002"/>
    <n v="0"/>
    <n v="0"/>
    <n v="0"/>
    <n v="0"/>
    <n v="0"/>
    <n v="0"/>
    <n v="0"/>
    <n v="0"/>
    <n v="0"/>
    <n v="2.2200000000000002"/>
    <n v="0"/>
    <n v="4.4400000000000004"/>
    <n v="2.2200000000000002"/>
  </r>
  <r>
    <x v="11"/>
    <x v="0"/>
    <x v="0"/>
    <s v="3001102"/>
    <n v="721420"/>
    <s v="Supplies-Surgical Nonbillable"/>
    <s v="Med/Surg 1st Surgical"/>
    <x v="0"/>
    <m/>
    <n v="31.53"/>
    <n v="31.69"/>
    <n v="26.36"/>
    <n v="32.46"/>
    <n v="23.42"/>
    <n v="19.329999999999998"/>
    <n v="29.54"/>
    <n v="54.12"/>
    <n v="53.55"/>
    <n v="39.04"/>
    <n v="32.49"/>
    <n v="35.26"/>
    <n v="408.78999999999996"/>
    <n v="-2.769999999999996"/>
  </r>
  <r>
    <x v="11"/>
    <x v="0"/>
    <x v="0"/>
    <s v="3001102"/>
    <n v="721420"/>
    <s v="Tubes Drains &amp; Related Supplies"/>
    <s v="Med/Surg 1st Surgical"/>
    <x v="0"/>
    <n v="1008"/>
    <n v="1.59"/>
    <n v="0"/>
    <n v="0"/>
    <n v="0"/>
    <n v="0"/>
    <n v="0"/>
    <n v="1.34"/>
    <n v="0"/>
    <n v="0"/>
    <n v="0"/>
    <n v="15.03"/>
    <n v="19.28"/>
    <n v="37.24"/>
    <n v="-4.2500000000000018"/>
  </r>
  <r>
    <x v="11"/>
    <x v="0"/>
    <x v="0"/>
    <s v="3001102"/>
    <n v="721420"/>
    <s v="Sterilization Process Products"/>
    <s v="Med/Surg 1st Surgical"/>
    <x v="0"/>
    <n v="1009"/>
    <n v="0"/>
    <n v="0"/>
    <n v="11.28"/>
    <n v="0"/>
    <n v="0"/>
    <n v="0"/>
    <n v="15.82"/>
    <n v="0"/>
    <n v="0"/>
    <n v="0"/>
    <n v="0"/>
    <n v="0"/>
    <n v="27.1"/>
    <n v="0"/>
  </r>
  <r>
    <x v="11"/>
    <x v="0"/>
    <x v="0"/>
    <s v="3001102"/>
    <n v="721610"/>
    <s v="Supplies-Anesthesia - Nonbillable"/>
    <s v="Med/Surg 1st Surgical"/>
    <x v="0"/>
    <m/>
    <n v="361.9"/>
    <n v="185.29"/>
    <n v="82.77"/>
    <n v="412.31"/>
    <n v="349.33"/>
    <n v="311.17"/>
    <n v="508.16"/>
    <n v="416.03"/>
    <n v="278.67"/>
    <n v="258.99"/>
    <n v="178.64"/>
    <n v="193.13"/>
    <n v="3536.39"/>
    <n v="-14.490000000000009"/>
  </r>
  <r>
    <x v="11"/>
    <x v="0"/>
    <x v="0"/>
    <s v="3001102"/>
    <n v="721640"/>
    <s v="Supplies-IV Solutions/Supplies - Nonbillable"/>
    <s v="Med/Surg 1st Surgical"/>
    <x v="0"/>
    <m/>
    <n v="3038.34"/>
    <n v="2855.26"/>
    <n v="2507.2199999999998"/>
    <n v="2919.97"/>
    <n v="2723.83"/>
    <n v="2843.85"/>
    <n v="2775.22"/>
    <n v="2806.81"/>
    <n v="2442.66"/>
    <n v="3088"/>
    <n v="2016.09"/>
    <n v="2310.9699999999998"/>
    <n v="32328.22"/>
    <n v="-294.87999999999988"/>
  </r>
  <r>
    <x v="11"/>
    <x v="0"/>
    <x v="0"/>
    <s v="3001102"/>
    <n v="721650"/>
    <s v="Supplies-Pharmacy Drugs - Nonbillable"/>
    <s v="Med/Surg 1st Surgical"/>
    <x v="0"/>
    <m/>
    <n v="360.26"/>
    <n v="180.9"/>
    <n v="96.71"/>
    <n v="160.41999999999999"/>
    <n v="132.66"/>
    <n v="313.56"/>
    <n v="239.16"/>
    <n v="265.32"/>
    <n v="226.75"/>
    <n v="303.51"/>
    <n v="194.65"/>
    <n v="134.16"/>
    <n v="2608.06"/>
    <n v="60.490000000000009"/>
  </r>
  <r>
    <x v="11"/>
    <x v="0"/>
    <x v="0"/>
    <s v="3001102"/>
    <n v="721710"/>
    <s v="Supplies-Laboratory - Nonbillable"/>
    <s v="Med/Surg 1st Surgical"/>
    <x v="0"/>
    <m/>
    <n v="258"/>
    <n v="234.48"/>
    <n v="199.03"/>
    <n v="312.70999999999998"/>
    <n v="241.1"/>
    <n v="263.12"/>
    <n v="201.9"/>
    <n v="203.36"/>
    <n v="244.74"/>
    <n v="174.96"/>
    <n v="193.04"/>
    <n v="174.99"/>
    <n v="2701.4300000000003"/>
    <n v="18.049999999999983"/>
  </r>
  <r>
    <x v="11"/>
    <x v="0"/>
    <x v="0"/>
    <s v="3001102"/>
    <n v="721710"/>
    <s v="Reagents"/>
    <s v="Med/Surg 1st Surgical"/>
    <x v="0"/>
    <n v="1000"/>
    <n v="26.83"/>
    <n v="0"/>
    <n v="25.2"/>
    <n v="0"/>
    <n v="10"/>
    <n v="0"/>
    <n v="19.989999999999998"/>
    <n v="0"/>
    <n v="10"/>
    <n v="0"/>
    <n v="0"/>
    <n v="19.989999999999998"/>
    <n v="112.00999999999999"/>
    <n v="-19.989999999999998"/>
  </r>
  <r>
    <x v="11"/>
    <x v="0"/>
    <x v="0"/>
    <s v="3001102"/>
    <n v="721750"/>
    <s v="Supplies-Film/Radiographic - Nonbillable"/>
    <s v="Med/Surg 1st Surgical"/>
    <x v="0"/>
    <m/>
    <n v="3.75"/>
    <n v="2.81"/>
    <n v="0"/>
    <n v="2.81"/>
    <n v="2.81"/>
    <n v="1.87"/>
    <n v="2.81"/>
    <n v="1.87"/>
    <n v="3.74"/>
    <n v="0"/>
    <n v="6.55"/>
    <n v="1.87"/>
    <n v="30.89"/>
    <n v="4.68"/>
  </r>
  <r>
    <x v="11"/>
    <x v="0"/>
    <x v="0"/>
    <s v="3001102"/>
    <n v="721810"/>
    <s v="Supplies-Dietary/Cafeteria"/>
    <s v="Med/Surg 1st Surgical"/>
    <x v="0"/>
    <m/>
    <n v="3100.4"/>
    <n v="3044.1"/>
    <n v="3215.99"/>
    <n v="2901.08"/>
    <n v="2684.35"/>
    <n v="3368.11"/>
    <n v="3919.04"/>
    <n v="3291.12"/>
    <n v="3021.64"/>
    <n v="3088.29"/>
    <n v="2896.7"/>
    <n v="2644.39"/>
    <n v="37175.21"/>
    <n v="252.30999999999995"/>
  </r>
  <r>
    <x v="11"/>
    <x v="0"/>
    <x v="0"/>
    <s v="3001102"/>
    <n v="721830"/>
    <s v="Supplies-Office"/>
    <s v="Med/Surg 1st Surgical"/>
    <x v="0"/>
    <m/>
    <n v="87.58"/>
    <n v="613.63"/>
    <n v="226.59"/>
    <n v="551.41"/>
    <n v="4416.5200000000004"/>
    <n v="55.28"/>
    <n v="819.76"/>
    <n v="530.84"/>
    <n v="2214.15"/>
    <n v="1117.81"/>
    <n v="338.93"/>
    <n v="554.48"/>
    <n v="11526.98"/>
    <n v="-215.55"/>
  </r>
  <r>
    <x v="11"/>
    <x v="0"/>
    <x v="0"/>
    <s v="3001102"/>
    <n v="721835"/>
    <s v="Supplies-Forms"/>
    <s v="Med/Surg 1st Surgical"/>
    <x v="0"/>
    <m/>
    <n v="0"/>
    <n v="0"/>
    <n v="0"/>
    <n v="0"/>
    <n v="228.66"/>
    <n v="89.6"/>
    <n v="266.5"/>
    <n v="0"/>
    <n v="235.63"/>
    <n v="31.75"/>
    <n v="114.45"/>
    <n v="210.66"/>
    <n v="1177.25"/>
    <n v="-96.21"/>
  </r>
  <r>
    <x v="11"/>
    <x v="0"/>
    <x v="0"/>
    <s v="3001102"/>
    <n v="721870"/>
    <s v="Supplies-Environmental Services"/>
    <s v="Med/Surg 1st Surgical"/>
    <x v="0"/>
    <m/>
    <n v="432.4"/>
    <n v="612.69000000000005"/>
    <n v="592.34"/>
    <n v="727.53"/>
    <n v="758.7"/>
    <n v="763.03"/>
    <n v="768.15"/>
    <n v="795.07"/>
    <n v="779.51"/>
    <n v="814.02"/>
    <n v="1085.02"/>
    <n v="453.85"/>
    <n v="8582.31"/>
    <n v="631.16999999999996"/>
  </r>
  <r>
    <x v="11"/>
    <x v="0"/>
    <x v="0"/>
    <s v="3001102"/>
    <n v="721880"/>
    <s v="Supplies-Linen"/>
    <s v="Med/Surg 1st Surgical"/>
    <x v="0"/>
    <m/>
    <n v="0"/>
    <n v="0"/>
    <n v="32.1"/>
    <n v="0"/>
    <n v="0"/>
    <n v="12053.54"/>
    <n v="792.3"/>
    <n v="0"/>
    <n v="1.31"/>
    <n v="0"/>
    <n v="0"/>
    <n v="0"/>
    <n v="12879.25"/>
    <n v="0"/>
  </r>
  <r>
    <x v="11"/>
    <x v="0"/>
    <x v="0"/>
    <s v="3001102"/>
    <n v="721910"/>
    <s v="Supplies-Small Equipment"/>
    <s v="Med/Surg 1st Surgical"/>
    <x v="0"/>
    <m/>
    <n v="4253.97"/>
    <n v="6715.58"/>
    <n v="1415.76"/>
    <n v="3568.74"/>
    <n v="1736.52"/>
    <n v="2274.9499999999998"/>
    <n v="3725.15"/>
    <n v="2589.1999999999998"/>
    <n v="5201.2700000000004"/>
    <n v="4287.32"/>
    <n v="4880.5600000000004"/>
    <n v="2689.63"/>
    <n v="43338.65"/>
    <n v="2190.9300000000003"/>
  </r>
  <r>
    <x v="11"/>
    <x v="0"/>
    <x v="0"/>
    <s v="3001102"/>
    <n v="721910"/>
    <s v="Instruments"/>
    <s v="Med/Surg 1st Surgical"/>
    <x v="0"/>
    <n v="1000"/>
    <n v="8"/>
    <n v="21.07"/>
    <n v="2.92"/>
    <n v="0"/>
    <n v="0"/>
    <n v="16"/>
    <n v="18"/>
    <n v="10"/>
    <n v="0"/>
    <n v="16"/>
    <n v="-42.25"/>
    <n v="0"/>
    <n v="49.740000000000009"/>
    <n v="-42.25"/>
  </r>
  <r>
    <x v="11"/>
    <x v="0"/>
    <x v="0"/>
    <s v="3001102"/>
    <n v="721980"/>
    <s v="Supplies-Other"/>
    <s v="Med/Surg 1st Surgical"/>
    <x v="0"/>
    <m/>
    <n v="0"/>
    <n v="1518"/>
    <n v="0"/>
    <n v="0"/>
    <n v="0"/>
    <n v="0"/>
    <n v="0"/>
    <n v="106"/>
    <n v="0"/>
    <n v="0"/>
    <n v="0"/>
    <n v="0"/>
    <n v="1624"/>
    <n v="0"/>
  </r>
  <r>
    <x v="11"/>
    <x v="0"/>
    <x v="0"/>
    <s v="3001102"/>
    <n v="722000"/>
    <s v="Supplies-Freight Expense"/>
    <s v="Med/Surg 1st Surgical"/>
    <x v="0"/>
    <m/>
    <n v="5.62"/>
    <n v="26.84"/>
    <n v="0"/>
    <n v="0"/>
    <n v="0"/>
    <n v="6.52"/>
    <n v="51.51"/>
    <n v="14.75"/>
    <n v="81.53"/>
    <n v="76.92"/>
    <n v="17.7"/>
    <n v="0"/>
    <n v="281.39"/>
    <n v="17.7"/>
  </r>
  <r>
    <x v="12"/>
    <x v="0"/>
    <x v="0"/>
    <s v="3001102"/>
    <n v="730020"/>
    <s v="Rental and Leases-Equipment (DO NOT USE)"/>
    <s v="Med/Surg 1st Surgical"/>
    <x v="0"/>
    <m/>
    <n v="0"/>
    <n v="0"/>
    <n v="0"/>
    <n v="-1235.46"/>
    <n v="-954.69"/>
    <n v="0"/>
    <n v="0"/>
    <n v="0"/>
    <n v="0"/>
    <n v="0"/>
    <n v="0"/>
    <n v="7920"/>
    <n v="5729.85"/>
    <n v="-7920"/>
  </r>
  <r>
    <x v="12"/>
    <x v="0"/>
    <x v="0"/>
    <s v="3001102"/>
    <n v="730020"/>
    <s v="Rental and Leases-Copier Usage Fees (DO NOT USE)"/>
    <s v="Med/Surg 1st Surgical"/>
    <x v="0"/>
    <n v="5100"/>
    <n v="470.42"/>
    <n v="473.48"/>
    <n v="471.95"/>
    <n v="471.96"/>
    <n v="471.95"/>
    <n v="471.95"/>
    <n v="441.07"/>
    <n v="709.85"/>
    <n v="318.85000000000002"/>
    <n v="222.2"/>
    <n v="320.33999999999997"/>
    <n v="349.24"/>
    <n v="5193.26"/>
    <n v="-28.900000000000034"/>
  </r>
  <r>
    <x v="15"/>
    <x v="0"/>
    <x v="0"/>
    <s v="3001102"/>
    <n v="731060"/>
    <s v="Telephone"/>
    <s v="Med/Surg 1st Surgical"/>
    <x v="0"/>
    <m/>
    <n v="0"/>
    <n v="0"/>
    <n v="0"/>
    <n v="0"/>
    <n v="0"/>
    <n v="0"/>
    <n v="43"/>
    <n v="0"/>
    <n v="0"/>
    <n v="0"/>
    <n v="0"/>
    <n v="0"/>
    <n v="43"/>
    <n v="0"/>
  </r>
  <r>
    <x v="15"/>
    <x v="0"/>
    <x v="0"/>
    <s v="3001102"/>
    <n v="731060"/>
    <s v="Cell Phones"/>
    <s v="Med/Surg 1st Surgical"/>
    <x v="0"/>
    <n v="1001"/>
    <n v="0"/>
    <n v="53.87"/>
    <n v="26.42"/>
    <n v="0"/>
    <n v="26.47"/>
    <n v="27.05"/>
    <n v="54.14"/>
    <n v="0"/>
    <n v="28.08"/>
    <n v="54.16"/>
    <n v="26.9"/>
    <n v="27.33"/>
    <n v="324.4199999999999"/>
    <n v="-0.42999999999999972"/>
  </r>
  <r>
    <x v="15"/>
    <x v="0"/>
    <x v="0"/>
    <s v="3001102"/>
    <n v="731060"/>
    <s v="Pagers"/>
    <s v="Med/Surg 1st Surgical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6"/>
    <x v="0"/>
    <x v="0"/>
    <s v="3001102"/>
    <n v="732015"/>
    <s v="Repairs-Clinical Equip-T&amp;M-Ext to CHI Programs"/>
    <s v="Med/Surg 1st Surgical"/>
    <x v="0"/>
    <m/>
    <n v="0"/>
    <n v="0"/>
    <n v="0"/>
    <n v="0"/>
    <n v="0"/>
    <n v="0"/>
    <n v="0"/>
    <n v="0"/>
    <n v="0"/>
    <n v="100"/>
    <n v="0"/>
    <n v="0"/>
    <n v="100"/>
    <n v="0"/>
  </r>
  <r>
    <x v="16"/>
    <x v="0"/>
    <x v="0"/>
    <s v="3001102"/>
    <n v="732020"/>
    <s v="Repairs--Clin Equip-Parts-Internal to CHI Programs"/>
    <s v="Med/Surg 1st Surgical"/>
    <x v="0"/>
    <m/>
    <n v="0"/>
    <n v="1358.23"/>
    <n v="0"/>
    <n v="0"/>
    <n v="0"/>
    <n v="0"/>
    <n v="0"/>
    <n v="0"/>
    <n v="0"/>
    <n v="0"/>
    <n v="0"/>
    <n v="0"/>
    <n v="1358.23"/>
    <n v="0"/>
  </r>
  <r>
    <x v="13"/>
    <x v="0"/>
    <x v="0"/>
    <s v="3001102"/>
    <n v="735070"/>
    <s v="Depreciation-Movable Equipment"/>
    <s v="Med/Surg 1st Surgical"/>
    <x v="0"/>
    <m/>
    <n v="2214.9899999999998"/>
    <n v="1877.03"/>
    <n v="1877.01"/>
    <n v="1456.48"/>
    <n v="963.75"/>
    <n v="655.78"/>
    <n v="655.79"/>
    <n v="655.78"/>
    <n v="655.8"/>
    <n v="655.78"/>
    <n v="1114.75"/>
    <n v="1114.7"/>
    <n v="13897.640000000003"/>
    <n v="4.9999999999954525E-2"/>
  </r>
  <r>
    <x v="0"/>
    <x v="0"/>
    <x v="0"/>
    <s v="3001102"/>
    <n v="740020"/>
    <s v="Education-Registration Fees"/>
    <s v="Med/Surg 1st Surgical"/>
    <x v="0"/>
    <m/>
    <n v="175"/>
    <n v="0"/>
    <n v="0"/>
    <n v="613.5"/>
    <n v="255"/>
    <n v="0"/>
    <n v="0"/>
    <n v="0"/>
    <n v="0"/>
    <n v="0"/>
    <n v="0"/>
    <n v="612.80999999999995"/>
    <n v="1656.31"/>
    <n v="-612.80999999999995"/>
  </r>
  <r>
    <x v="0"/>
    <x v="0"/>
    <x v="0"/>
    <s v="3001102"/>
    <n v="743030"/>
    <s v="Subscriptions--Institutional"/>
    <s v="Med/Surg 1st Surgical"/>
    <x v="0"/>
    <m/>
    <n v="0"/>
    <n v="0"/>
    <n v="173.8"/>
    <n v="0"/>
    <n v="0"/>
    <n v="0"/>
    <n v="0"/>
    <n v="0"/>
    <n v="0"/>
    <n v="0"/>
    <n v="0"/>
    <n v="0"/>
    <n v="173.8"/>
    <n v="0"/>
  </r>
  <r>
    <x v="0"/>
    <x v="0"/>
    <x v="0"/>
    <s v="3001102"/>
    <n v="743040"/>
    <s v="Subscriptions--Individual"/>
    <s v="Med/Surg 1st Surgical"/>
    <x v="0"/>
    <m/>
    <n v="0"/>
    <n v="0"/>
    <n v="0"/>
    <n v="0"/>
    <n v="0"/>
    <n v="20.57"/>
    <n v="250"/>
    <n v="0"/>
    <n v="0"/>
    <n v="0"/>
    <n v="0"/>
    <n v="0"/>
    <n v="270.57"/>
    <n v="0"/>
  </r>
  <r>
    <x v="0"/>
    <x v="0"/>
    <x v="0"/>
    <s v="3001102"/>
    <n v="749510"/>
    <s v="Miscellaneous Expenses"/>
    <s v="Med/Surg 1st Surgical"/>
    <x v="0"/>
    <m/>
    <n v="57.04"/>
    <n v="783.43"/>
    <n v="-435.07"/>
    <n v="213.31"/>
    <n v="-186.35"/>
    <n v="192.05"/>
    <n v="1159.03"/>
    <n v="147.6"/>
    <n v="1895.15"/>
    <n v="1600.23"/>
    <n v="358.35"/>
    <n v="1421.37"/>
    <n v="7206.14"/>
    <n v="-1063.02"/>
  </r>
  <r>
    <x v="0"/>
    <x v="0"/>
    <x v="0"/>
    <s v="3001102"/>
    <n v="749510"/>
    <s v="RICE Rewards"/>
    <s v="Med/Surg 1st Surgical"/>
    <x v="0"/>
    <n v="5100"/>
    <n v="0"/>
    <n v="0"/>
    <n v="0"/>
    <n v="0"/>
    <n v="0"/>
    <n v="0"/>
    <n v="0"/>
    <n v="0"/>
    <n v="0"/>
    <n v="0"/>
    <n v="0"/>
    <n v="3737.74"/>
    <n v="3737.74"/>
    <n v="-3737.74"/>
  </r>
  <r>
    <x v="0"/>
    <x v="0"/>
    <x v="0"/>
    <s v="3001102"/>
    <n v="749530"/>
    <s v="Travel"/>
    <s v="Med/Surg 1st Surgical"/>
    <x v="0"/>
    <m/>
    <n v="0"/>
    <n v="0"/>
    <n v="0"/>
    <n v="0"/>
    <n v="0"/>
    <n v="11"/>
    <n v="0"/>
    <n v="0"/>
    <n v="0"/>
    <n v="42.25"/>
    <n v="0"/>
    <n v="451.08"/>
    <n v="504.33"/>
    <n v="-451.08"/>
  </r>
  <r>
    <x v="0"/>
    <x v="0"/>
    <x v="0"/>
    <s v="3001102"/>
    <n v="749535"/>
    <s v="Meetings"/>
    <s v="Med/Surg 1st Surgical"/>
    <x v="0"/>
    <m/>
    <n v="0"/>
    <n v="0"/>
    <n v="0"/>
    <n v="0"/>
    <n v="0"/>
    <n v="0"/>
    <n v="0"/>
    <n v="0"/>
    <n v="0"/>
    <n v="0"/>
    <n v="0"/>
    <n v="98.8"/>
    <n v="98.8"/>
    <n v="-98.8"/>
  </r>
  <r>
    <x v="18"/>
    <x v="8"/>
    <x v="0"/>
    <s v="3001104"/>
    <n v="400010"/>
    <s v="Acute I/P Svcs Rev--Medicare"/>
    <s v="Medical 4th Floor"/>
    <x v="0"/>
    <n v="1100"/>
    <n v="-1832728.82"/>
    <n v="-2020886.62"/>
    <n v="-1593477.89"/>
    <n v="-1476644.59"/>
    <n v="-1594334.95"/>
    <n v="-2093579.55"/>
    <n v="-2185884.89"/>
    <n v="-2207002.37"/>
    <n v="-1806074.02"/>
    <n v="-1965655.98"/>
    <n v="-1846576.06"/>
    <n v="-1330300.01"/>
    <n v="-21953145.75"/>
    <n v="-516276.05000000005"/>
  </r>
  <r>
    <x v="18"/>
    <x v="8"/>
    <x v="0"/>
    <s v="3001104"/>
    <n v="400010"/>
    <s v="Acute I/P Svcs Rev--Medicaid"/>
    <s v="Medical 4th Floor"/>
    <x v="0"/>
    <n v="1200"/>
    <n v="-493992.5"/>
    <n v="-330460.52"/>
    <n v="-586929.67000000004"/>
    <n v="-634117.22"/>
    <n v="-381880.68"/>
    <n v="-191912.21"/>
    <n v="-296067.96000000002"/>
    <n v="-397166.63"/>
    <n v="-458090.75"/>
    <n v="-602191.75"/>
    <n v="-375349.96"/>
    <n v="-414287.68"/>
    <n v="-5162447.5299999993"/>
    <n v="38937.719999999972"/>
  </r>
  <r>
    <x v="18"/>
    <x v="8"/>
    <x v="0"/>
    <s v="3001104"/>
    <n v="400010"/>
    <s v="Acute I/P Svcs Rev--Comm Insurance"/>
    <s v="Medical 4th Floor"/>
    <x v="0"/>
    <n v="1300"/>
    <n v="-99187.01"/>
    <n v="205652.73"/>
    <n v="-11235.15"/>
    <n v="-25139.88"/>
    <n v="-73430.64"/>
    <n v="-17074.580000000002"/>
    <n v="-14806.54"/>
    <n v="0"/>
    <n v="-17694.849999999999"/>
    <n v="-4496.84"/>
    <n v="-39500.720000000001"/>
    <n v="-65478.16"/>
    <n v="-162391.63999999998"/>
    <n v="25977.440000000002"/>
  </r>
  <r>
    <x v="18"/>
    <x v="8"/>
    <x v="0"/>
    <s v="3001104"/>
    <n v="400010"/>
    <s v="Acute I/P Svcs Rev--BCBS Comm"/>
    <s v="Medical 4th Floor"/>
    <x v="0"/>
    <n v="1301"/>
    <n v="-91328.79"/>
    <n v="-84168.15"/>
    <n v="-59702.23"/>
    <n v="-31981.41"/>
    <n v="-209470.9"/>
    <n v="-42246.74"/>
    <n v="-164959.18"/>
    <n v="-32267.74"/>
    <n v="-144578.75"/>
    <n v="-102103.22"/>
    <n v="-88226.05"/>
    <n v="-45852.5"/>
    <n v="-1096885.6599999999"/>
    <n v="-42373.55"/>
  </r>
  <r>
    <x v="18"/>
    <x v="8"/>
    <x v="0"/>
    <s v="3001104"/>
    <n v="400010"/>
    <s v="Acute I/P Svcs Rev--Managed Care"/>
    <s v="Medical 4th Floor"/>
    <x v="0"/>
    <n v="1400"/>
    <n v="-110485.74"/>
    <n v="-135871.29999999999"/>
    <n v="-340591.92"/>
    <n v="-153788.44"/>
    <n v="-208127.65"/>
    <n v="-365040.84"/>
    <n v="-80701.38"/>
    <n v="-92327.53"/>
    <n v="-158832.32000000001"/>
    <n v="-164224.28"/>
    <n v="-197216.62"/>
    <n v="-156719.82"/>
    <n v="-2163927.84"/>
    <n v="-40496.799999999988"/>
  </r>
  <r>
    <x v="18"/>
    <x v="8"/>
    <x v="0"/>
    <s v="3001104"/>
    <n v="400010"/>
    <s v="Acute I/P Svcs Rev--Self Pay"/>
    <s v="Medical 4th Floor"/>
    <x v="0"/>
    <n v="1500"/>
    <n v="-61144.76"/>
    <n v="-48516.08"/>
    <n v="-101627.45"/>
    <n v="-39436.69"/>
    <n v="7068.6"/>
    <n v="45131.67"/>
    <n v="-11683.81"/>
    <n v="-11845.53"/>
    <n v="-30864.39"/>
    <n v="26530.61"/>
    <n v="-93484.13"/>
    <n v="11202.13"/>
    <n v="-308669.82999999996"/>
    <n v="-104686.26000000001"/>
  </r>
  <r>
    <x v="18"/>
    <x v="8"/>
    <x v="0"/>
    <s v="3001104"/>
    <n v="400010"/>
    <s v="Acute I/P Svcs Rev--Other"/>
    <s v="Medical 4th Floor"/>
    <x v="0"/>
    <n v="1700"/>
    <n v="-91594.87"/>
    <n v="-293640.26"/>
    <n v="-106182.27"/>
    <n v="-196614.94"/>
    <n v="-108351.67999999999"/>
    <n v="-136957.15"/>
    <n v="-169841.17"/>
    <n v="-112492.64"/>
    <n v="-174058.17"/>
    <n v="-83780.600000000006"/>
    <n v="-216206.26"/>
    <n v="-150235.20000000001"/>
    <n v="-1839955.21"/>
    <n v="-65971.06"/>
  </r>
  <r>
    <x v="19"/>
    <x v="8"/>
    <x v="0"/>
    <s v="3001104"/>
    <n v="400020"/>
    <s v="O/P Care Svcs Rev--Medicare"/>
    <s v="Medical 4th Floor"/>
    <x v="0"/>
    <n v="1100"/>
    <n v="-232476.99"/>
    <n v="-263537.40000000002"/>
    <n v="-120739.7"/>
    <n v="-155194.48000000001"/>
    <n v="-206598.98"/>
    <n v="-213000.48"/>
    <n v="-81140.77"/>
    <n v="-284505.55"/>
    <n v="-464426.51"/>
    <n v="-243380.42"/>
    <n v="-195605.72"/>
    <n v="-172096.46"/>
    <n v="-2632703.4600000004"/>
    <n v="-23509.260000000009"/>
  </r>
  <r>
    <x v="19"/>
    <x v="8"/>
    <x v="0"/>
    <s v="3001104"/>
    <n v="400020"/>
    <s v="O/P Care Svcs Rev--Medicaid"/>
    <s v="Medical 4th Floor"/>
    <x v="0"/>
    <n v="1200"/>
    <n v="-55472.33"/>
    <n v="-76028.86"/>
    <n v="-23651.61"/>
    <n v="-34366.03"/>
    <n v="-28058.46"/>
    <n v="-74187"/>
    <n v="-45770.47"/>
    <n v="-32111.19"/>
    <n v="-54834.54"/>
    <n v="-36259.019999999997"/>
    <n v="-7664.58"/>
    <n v="-33141.269999999997"/>
    <n v="-501545.36000000004"/>
    <n v="25476.689999999995"/>
  </r>
  <r>
    <x v="19"/>
    <x v="8"/>
    <x v="0"/>
    <s v="3001104"/>
    <n v="400020"/>
    <s v="O/P Care Svcs Rev--Comm Insurance"/>
    <s v="Medical 4th Floor"/>
    <x v="0"/>
    <n v="1300"/>
    <n v="-8670.7900000000009"/>
    <n v="5845.89"/>
    <n v="-8659.15"/>
    <n v="-2445.67"/>
    <n v="-9885.86"/>
    <n v="0"/>
    <n v="0"/>
    <n v="-452.04"/>
    <n v="-336927.85"/>
    <n v="-101753.45"/>
    <n v="-108098.26"/>
    <n v="522085.42"/>
    <n v="-48961.759999999951"/>
    <n v="-630183.67999999993"/>
  </r>
  <r>
    <x v="19"/>
    <x v="8"/>
    <x v="0"/>
    <s v="3001104"/>
    <n v="400020"/>
    <s v="O/P Care Svcs Rev--BCBS Comm"/>
    <s v="Medical 4th Floor"/>
    <x v="0"/>
    <n v="1301"/>
    <n v="-12167.4"/>
    <n v="-681.35"/>
    <n v="-1403.93"/>
    <n v="-16393.12"/>
    <n v="-54192.81"/>
    <n v="-41843.47"/>
    <n v="-101853.67"/>
    <n v="-105745.83"/>
    <n v="222548.74"/>
    <n v="-10852.38"/>
    <n v="-19621.46"/>
    <n v="-576567.84"/>
    <n v="-718774.52"/>
    <n v="556946.38"/>
  </r>
  <r>
    <x v="19"/>
    <x v="8"/>
    <x v="0"/>
    <s v="3001104"/>
    <n v="400020"/>
    <s v="O/P Care Svcs Rev--Managed Care"/>
    <s v="Medical 4th Floor"/>
    <x v="0"/>
    <n v="1400"/>
    <n v="-8758.7199999999993"/>
    <n v="-43977.74"/>
    <n v="-27564.799999999999"/>
    <n v="-45828.06"/>
    <n v="-48037.71"/>
    <n v="-13371.82"/>
    <n v="-59457.14"/>
    <n v="-19880.509999999998"/>
    <n v="-11131.46"/>
    <n v="-61475.72"/>
    <n v="-65341.74"/>
    <n v="-54075.42"/>
    <n v="-458900.84"/>
    <n v="-11266.32"/>
  </r>
  <r>
    <x v="19"/>
    <x v="8"/>
    <x v="0"/>
    <s v="3001104"/>
    <n v="400020"/>
    <s v="O/P Care Svcs Rev--Self Pay"/>
    <s v="Medical 4th Floor"/>
    <x v="0"/>
    <n v="1500"/>
    <n v="0"/>
    <n v="0"/>
    <n v="0"/>
    <n v="-4622.3500000000004"/>
    <n v="-20720.7"/>
    <n v="0"/>
    <n v="-6412.21"/>
    <n v="-1404.4"/>
    <n v="0"/>
    <n v="0"/>
    <n v="-2313.36"/>
    <n v="-7441.44"/>
    <n v="-42914.460000000006"/>
    <n v="5128.08"/>
  </r>
  <r>
    <x v="19"/>
    <x v="8"/>
    <x v="0"/>
    <s v="3001104"/>
    <n v="400020"/>
    <s v="O/P Care Svcs Rev--Other"/>
    <s v="Medical 4th Floor"/>
    <x v="0"/>
    <n v="1700"/>
    <n v="14000.01"/>
    <n v="-924.91"/>
    <n v="-7647.86"/>
    <n v="-20749.900000000001"/>
    <n v="-6881.52"/>
    <n v="-3669.54"/>
    <n v="-14056.75"/>
    <n v="205.79"/>
    <n v="-9789.2800000000007"/>
    <n v="-26261.8"/>
    <n v="-19871.29"/>
    <n v="-9213.18"/>
    <n v="-104860.22999999998"/>
    <n v="-10658.11"/>
  </r>
  <r>
    <x v="14"/>
    <x v="8"/>
    <x v="0"/>
    <s v="3001104"/>
    <n v="600050"/>
    <s v="Miscellaneous Revenue"/>
    <s v="Medical 4th Floor"/>
    <x v="0"/>
    <m/>
    <n v="0"/>
    <n v="0"/>
    <n v="0"/>
    <n v="-75"/>
    <n v="0"/>
    <n v="0"/>
    <n v="0"/>
    <n v="0"/>
    <n v="0"/>
    <n v="0"/>
    <n v="0"/>
    <n v="0"/>
    <n v="-75"/>
    <n v="0"/>
  </r>
  <r>
    <x v="5"/>
    <x v="8"/>
    <x v="0"/>
    <s v="3001104"/>
    <n v="700014"/>
    <s v="Salaries-Management-Productive"/>
    <s v="Medical 4th Floor"/>
    <x v="0"/>
    <m/>
    <n v="9191.23"/>
    <n v="11192.97"/>
    <n v="6004.48"/>
    <n v="11755.41"/>
    <n v="11842.56"/>
    <n v="8301.64"/>
    <n v="10526.12"/>
    <n v="7970.47"/>
    <n v="12394.15"/>
    <n v="7855.73"/>
    <n v="10639.98"/>
    <n v="10296.9"/>
    <n v="117971.63999999997"/>
    <n v="343.07999999999993"/>
  </r>
  <r>
    <x v="5"/>
    <x v="8"/>
    <x v="0"/>
    <s v="3001104"/>
    <n v="700026"/>
    <s v="Salaries-RN-Productive"/>
    <s v="Medical 4th Floor"/>
    <x v="0"/>
    <m/>
    <n v="235098.45"/>
    <n v="217284.6"/>
    <n v="240489.49"/>
    <n v="192470.98"/>
    <n v="243466.06"/>
    <n v="222260.53"/>
    <n v="232434.38"/>
    <n v="239778.31"/>
    <n v="244289.17"/>
    <n v="222490.37"/>
    <n v="215723.32"/>
    <n v="186718.33"/>
    <n v="2692503.99"/>
    <n v="29004.99000000002"/>
  </r>
  <r>
    <x v="5"/>
    <x v="8"/>
    <x v="0"/>
    <s v="3001104"/>
    <n v="700026"/>
    <s v="Salaries-RN-OT"/>
    <s v="Medical 4th Floor"/>
    <x v="0"/>
    <n v="1000"/>
    <n v="6573.14"/>
    <n v="7208.94"/>
    <n v="5210.84"/>
    <n v="6316.31"/>
    <n v="4708.37"/>
    <n v="5267.12"/>
    <n v="4022.03"/>
    <n v="9499.56"/>
    <n v="6584.38"/>
    <n v="6084.89"/>
    <n v="4133.18"/>
    <n v="4459.3900000000003"/>
    <n v="70068.149999999994"/>
    <n v="-326.21000000000004"/>
  </r>
  <r>
    <x v="5"/>
    <x v="8"/>
    <x v="0"/>
    <s v="3001104"/>
    <n v="700026"/>
    <s v="Salaries-RN-Other"/>
    <s v="Medical 4th Floor"/>
    <x v="0"/>
    <n v="2000"/>
    <n v="24007.14"/>
    <n v="22164.799999999999"/>
    <n v="22604.83"/>
    <n v="19683.13"/>
    <n v="23916.720000000001"/>
    <n v="20109.93"/>
    <n v="22783.55"/>
    <n v="21953.98"/>
    <n v="23133.05"/>
    <n v="23413.03"/>
    <n v="22924.46"/>
    <n v="16894.490000000002"/>
    <n v="263589.11"/>
    <n v="6029.9699999999975"/>
  </r>
  <r>
    <x v="5"/>
    <x v="8"/>
    <x v="0"/>
    <s v="3001104"/>
    <n v="700032"/>
    <s v="Salaries-Other Pat Care Providers-Productive"/>
    <s v="Medical 4th Floor"/>
    <x v="0"/>
    <m/>
    <n v="74445.279999999999"/>
    <n v="62914.49"/>
    <n v="46450.34"/>
    <n v="48129.58"/>
    <n v="53527.839999999997"/>
    <n v="51664.26"/>
    <n v="58081.34"/>
    <n v="50139.02"/>
    <n v="58351.48"/>
    <n v="42560.17"/>
    <n v="55733.8"/>
    <n v="40097.339999999997"/>
    <n v="642094.94000000006"/>
    <n v="15636.460000000006"/>
  </r>
  <r>
    <x v="5"/>
    <x v="8"/>
    <x v="0"/>
    <s v="3001104"/>
    <n v="700032"/>
    <s v="Salaries-Other Pat Care Providers-OT"/>
    <s v="Medical 4th Floor"/>
    <x v="0"/>
    <n v="1000"/>
    <n v="2855.15"/>
    <n v="2218.25"/>
    <n v="359.04"/>
    <n v="981.21"/>
    <n v="1086.56"/>
    <n v="752.56"/>
    <n v="3120.25"/>
    <n v="377.39"/>
    <n v="1640.63"/>
    <n v="699.65"/>
    <n v="429.16"/>
    <n v="957.36"/>
    <n v="15477.209999999997"/>
    <n v="-528.20000000000005"/>
  </r>
  <r>
    <x v="5"/>
    <x v="8"/>
    <x v="0"/>
    <s v="3001104"/>
    <n v="700032"/>
    <s v="Salaries-Other Pat Care Providers-Other"/>
    <s v="Medical 4th Floor"/>
    <x v="0"/>
    <n v="2000"/>
    <n v="5210.7700000000004"/>
    <n v="5709.34"/>
    <n v="3244.33"/>
    <n v="5100.43"/>
    <n v="4100.97"/>
    <n v="4708.42"/>
    <n v="4629.84"/>
    <n v="3499.05"/>
    <n v="4718.84"/>
    <n v="2793.5"/>
    <n v="4537.3500000000004"/>
    <n v="2985.16"/>
    <n v="51238"/>
    <n v="1552.1900000000005"/>
  </r>
  <r>
    <x v="5"/>
    <x v="8"/>
    <x v="0"/>
    <s v="3001104"/>
    <n v="700038"/>
    <s v="Salaries-Service/Support-Productive"/>
    <s v="Medical 4th Floor"/>
    <x v="0"/>
    <m/>
    <n v="8106.38"/>
    <n v="7902.68"/>
    <n v="8665.66"/>
    <n v="8198.5300000000007"/>
    <n v="4669.59"/>
    <n v="8420.1"/>
    <n v="8896.25"/>
    <n v="7788.18"/>
    <n v="7772.15"/>
    <n v="8397.9699999999993"/>
    <n v="9040.69"/>
    <n v="7501.13"/>
    <n v="95359.31"/>
    <n v="1539.5600000000004"/>
  </r>
  <r>
    <x v="5"/>
    <x v="8"/>
    <x v="0"/>
    <s v="3001104"/>
    <n v="700038"/>
    <s v="Salaries-Service/Support-OT"/>
    <s v="Medical 4th Floor"/>
    <x v="0"/>
    <n v="1000"/>
    <n v="498.96"/>
    <n v="279.08999999999997"/>
    <n v="429.37"/>
    <n v="431.97"/>
    <n v="2362.86"/>
    <n v="138.97"/>
    <n v="-19.38"/>
    <n v="328.51"/>
    <n v="667.11"/>
    <n v="652.09"/>
    <n v="88.07"/>
    <n v="169.02"/>
    <n v="6026.64"/>
    <n v="-80.950000000000017"/>
  </r>
  <r>
    <x v="5"/>
    <x v="8"/>
    <x v="0"/>
    <s v="3001104"/>
    <n v="700038"/>
    <s v="Salaries-Service/Support-Other"/>
    <s v="Medical 4th Floor"/>
    <x v="0"/>
    <n v="2000"/>
    <n v="156.68"/>
    <n v="230.8"/>
    <n v="248.68"/>
    <n v="240.45"/>
    <n v="50.67"/>
    <n v="292.27999999999997"/>
    <n v="159.33000000000001"/>
    <n v="145"/>
    <n v="156.72999999999999"/>
    <n v="137.57"/>
    <n v="155.53"/>
    <n v="231.94"/>
    <n v="2205.66"/>
    <n v="-76.41"/>
  </r>
  <r>
    <x v="5"/>
    <x v="8"/>
    <x v="0"/>
    <s v="3001104"/>
    <n v="700054"/>
    <s v="Salaries-Management-Non-productive"/>
    <s v="Medical 4th Floor"/>
    <x v="0"/>
    <m/>
    <n v="2297.8000000000002"/>
    <n v="296.60000000000002"/>
    <n v="5114.59"/>
    <n v="-11.56"/>
    <n v="-418.87"/>
    <n v="3503.23"/>
    <n v="1297.2"/>
    <n v="2707.56"/>
    <n v="-571.96"/>
    <n v="3584.71"/>
    <n v="1182.22"/>
    <n v="1144.0899999999999"/>
    <n v="20125.61"/>
    <n v="38.130000000000109"/>
  </r>
  <r>
    <x v="5"/>
    <x v="8"/>
    <x v="0"/>
    <s v="3001104"/>
    <n v="700054"/>
    <s v="Salaries-Management-NonProd-Other"/>
    <s v="Medical 4th Floor"/>
    <x v="0"/>
    <n v="2000"/>
    <n v="0"/>
    <n v="0"/>
    <n v="0"/>
    <n v="0"/>
    <n v="0"/>
    <n v="3775.73"/>
    <n v="-3775.73"/>
    <n v="0"/>
    <n v="0"/>
    <n v="0"/>
    <n v="0"/>
    <n v="0"/>
    <n v="0"/>
    <n v="0"/>
  </r>
  <r>
    <x v="5"/>
    <x v="8"/>
    <x v="0"/>
    <s v="3001104"/>
    <n v="700066"/>
    <s v="Salaries-RN-Non-productive"/>
    <s v="Medical 4th Floor"/>
    <x v="0"/>
    <m/>
    <n v="51717.88"/>
    <n v="52322.77"/>
    <n v="27238.18"/>
    <n v="34093.26"/>
    <n v="26298.21"/>
    <n v="34515.42"/>
    <n v="26733.439999999999"/>
    <n v="23399.69"/>
    <n v="24112.07"/>
    <n v="33363.97"/>
    <n v="40373.040000000001"/>
    <n v="37244.11"/>
    <n v="411412.04"/>
    <n v="3128.9300000000003"/>
  </r>
  <r>
    <x v="5"/>
    <x v="8"/>
    <x v="0"/>
    <s v="3001104"/>
    <n v="700066"/>
    <s v="Salaries-RN-NonProd-Other"/>
    <s v="Medical 4th Floor"/>
    <x v="0"/>
    <n v="2000"/>
    <n v="2842.68"/>
    <n v="3314.98"/>
    <n v="2204.14"/>
    <n v="2372.66"/>
    <n v="3559.69"/>
    <n v="5199.76"/>
    <n v="1291.21"/>
    <n v="-1284.49"/>
    <n v="1340.28"/>
    <n v="1493.51"/>
    <n v="3510.09"/>
    <n v="3140.89"/>
    <n v="28985.399999999994"/>
    <n v="369.20000000000027"/>
  </r>
  <r>
    <x v="5"/>
    <x v="8"/>
    <x v="0"/>
    <s v="3001104"/>
    <n v="700072"/>
    <s v="Salaries-Other Pat Care Providers-Non-productive"/>
    <s v="Medical 4th Floor"/>
    <x v="0"/>
    <m/>
    <n v="5645.99"/>
    <n v="9891.3700000000008"/>
    <n v="9418.73"/>
    <n v="8084.85"/>
    <n v="2845.78"/>
    <n v="8115.68"/>
    <n v="3841.5"/>
    <n v="4357.92"/>
    <n v="4702.95"/>
    <n v="6114.93"/>
    <n v="8959.7999999999993"/>
    <n v="7618.83"/>
    <n v="79598.33"/>
    <n v="1340.9699999999993"/>
  </r>
  <r>
    <x v="5"/>
    <x v="8"/>
    <x v="0"/>
    <s v="3001104"/>
    <n v="700072"/>
    <s v="Salaries-Other Pat Care Providers-NonProd-Other"/>
    <s v="Medical 4th Floor"/>
    <x v="0"/>
    <n v="2000"/>
    <n v="248.36"/>
    <n v="706.12"/>
    <n v="327.76"/>
    <n v="390.02"/>
    <n v="120.87"/>
    <n v="400.66"/>
    <n v="274.02999999999997"/>
    <n v="198.73"/>
    <n v="332.8"/>
    <n v="303.83"/>
    <n v="439.19"/>
    <n v="148.41"/>
    <n v="3890.7799999999997"/>
    <n v="290.77999999999997"/>
  </r>
  <r>
    <x v="5"/>
    <x v="8"/>
    <x v="0"/>
    <s v="3001104"/>
    <n v="700078"/>
    <s v="Salaries-Service/Support-Non-productive"/>
    <s v="Medical 4th Floor"/>
    <x v="0"/>
    <m/>
    <n v="2487.54"/>
    <n v="1288.6199999999999"/>
    <n v="39.130000000000003"/>
    <n v="0"/>
    <n v="5986.14"/>
    <n v="3154.8"/>
    <n v="-224.77"/>
    <n v="1718.6"/>
    <n v="-248.82"/>
    <n v="1978.02"/>
    <n v="405.41"/>
    <n v="2103.84"/>
    <n v="18688.510000000002"/>
    <n v="-1698.43"/>
  </r>
  <r>
    <x v="5"/>
    <x v="8"/>
    <x v="0"/>
    <s v="3001104"/>
    <n v="700078"/>
    <s v="Salaries-Service/Support-NonProd-Other"/>
    <s v="Medical 4th Floor"/>
    <x v="0"/>
    <n v="2000"/>
    <n v="108.72"/>
    <n v="84.89"/>
    <n v="25.8"/>
    <n v="0"/>
    <n v="248.77"/>
    <n v="514.16999999999996"/>
    <n v="1"/>
    <n v="81.67"/>
    <n v="-17.5"/>
    <n v="182.65"/>
    <n v="-29.51"/>
    <n v="238.05"/>
    <n v="1438.71"/>
    <n v="-267.56"/>
  </r>
  <r>
    <x v="5"/>
    <x v="8"/>
    <x v="0"/>
    <s v="3001104"/>
    <n v="700084"/>
    <s v="Accrued PTO"/>
    <s v="Medical 4th Floor"/>
    <x v="0"/>
    <m/>
    <n v="-2222.66"/>
    <n v="-2326.4"/>
    <n v="-3245.13"/>
    <n v="6433.2"/>
    <n v="11513.84"/>
    <n v="3416.92"/>
    <n v="7499.05"/>
    <n v="6072.66"/>
    <n v="15908.29"/>
    <n v="2787.96"/>
    <n v="-5273.92"/>
    <n v="-1864.96"/>
    <n v="38698.850000000006"/>
    <n v="-3408.96"/>
  </r>
  <r>
    <x v="10"/>
    <x v="8"/>
    <x v="0"/>
    <s v="3001104"/>
    <n v="710060"/>
    <s v="Contract Labor-Other"/>
    <s v="Medical 4th Floor"/>
    <x v="0"/>
    <m/>
    <n v="16540"/>
    <n v="27083.5"/>
    <n v="18842.25"/>
    <n v="13328"/>
    <n v="15159"/>
    <n v="6258.75"/>
    <n v="29111.5"/>
    <n v="20176.3"/>
    <n v="27359.7"/>
    <n v="26644"/>
    <n v="39464.5"/>
    <n v="30346"/>
    <n v="270313.5"/>
    <n v="9118.5"/>
  </r>
  <r>
    <x v="10"/>
    <x v="8"/>
    <x v="0"/>
    <s v="3001104"/>
    <n v="710060"/>
    <s v="Contract Labor-Overtime"/>
    <s v="Medical 4th Floor"/>
    <x v="0"/>
    <n v="5100"/>
    <n v="0"/>
    <n v="642.6"/>
    <n v="0"/>
    <n v="0"/>
    <n v="766.8"/>
    <n v="459"/>
    <n v="1967.66"/>
    <n v="3"/>
    <n v="436.05"/>
    <n v="1101.5999999999999"/>
    <n v="780.3"/>
    <n v="367.2"/>
    <n v="6524.2100000000009"/>
    <n v="413.09999999999997"/>
  </r>
  <r>
    <x v="6"/>
    <x v="8"/>
    <x v="0"/>
    <s v="3001104"/>
    <n v="713010"/>
    <s v="Benefits-FICA/Medicare"/>
    <s v="Medical 4th Floor"/>
    <x v="0"/>
    <m/>
    <n v="32035.35"/>
    <n v="29965.45"/>
    <n v="28122.9"/>
    <n v="24862.07"/>
    <n v="28473.65"/>
    <n v="27587.88"/>
    <n v="28381.75"/>
    <n v="27925.77"/>
    <n v="28857.78"/>
    <n v="26630.51"/>
    <n v="27940.68"/>
    <n v="24776.49"/>
    <n v="335560.27999999997"/>
    <n v="3164.1899999999987"/>
  </r>
  <r>
    <x v="6"/>
    <x v="8"/>
    <x v="0"/>
    <s v="3001104"/>
    <n v="713090"/>
    <s v="Benefits-Allocated Amounts"/>
    <s v="Medical 4th Floor"/>
    <x v="0"/>
    <m/>
    <n v="85661.47"/>
    <n v="71632.429999999993"/>
    <n v="69336.06"/>
    <n v="63435.77"/>
    <n v="74665.23"/>
    <n v="66970.58"/>
    <n v="70585.47"/>
    <n v="74463.199999999997"/>
    <n v="73670.149999999994"/>
    <n v="73171.16"/>
    <n v="74486.759999999995"/>
    <n v="63313.57"/>
    <n v="861391.85"/>
    <n v="11173.189999999995"/>
  </r>
  <r>
    <x v="6"/>
    <x v="8"/>
    <x v="0"/>
    <s v="3001104"/>
    <n v="713096"/>
    <s v="Employee Recognition"/>
    <s v="Medical 4th Floor"/>
    <x v="0"/>
    <n v="1017"/>
    <n v="0"/>
    <n v="0"/>
    <n v="0"/>
    <n v="0"/>
    <n v="0"/>
    <n v="0"/>
    <n v="0"/>
    <n v="0"/>
    <n v="0"/>
    <n v="303.12"/>
    <n v="0"/>
    <n v="0"/>
    <n v="303.12"/>
    <n v="0"/>
  </r>
  <r>
    <x v="17"/>
    <x v="8"/>
    <x v="0"/>
    <s v="3001104"/>
    <n v="714520"/>
    <s v="Other Contracted Professionals"/>
    <s v="Medical 4th Floor"/>
    <x v="0"/>
    <m/>
    <n v="0"/>
    <n v="7750"/>
    <n v="3875"/>
    <n v="0"/>
    <n v="0"/>
    <n v="7750"/>
    <n v="7750"/>
    <n v="3875"/>
    <n v="3875"/>
    <n v="3875"/>
    <n v="3875"/>
    <n v="3875"/>
    <n v="46500"/>
    <n v="0"/>
  </r>
  <r>
    <x v="7"/>
    <x v="8"/>
    <x v="0"/>
    <s v="3001104"/>
    <n v="718050"/>
    <s v="Contract Svcs-Other"/>
    <s v="Medical 4th Floor"/>
    <x v="0"/>
    <m/>
    <n v="0"/>
    <n v="0"/>
    <n v="0"/>
    <n v="0"/>
    <n v="0"/>
    <n v="0"/>
    <n v="0"/>
    <n v="0"/>
    <n v="0"/>
    <n v="2205.81"/>
    <n v="0"/>
    <n v="0"/>
    <n v="2205.81"/>
    <n v="0"/>
  </r>
  <r>
    <x v="7"/>
    <x v="8"/>
    <x v="0"/>
    <s v="3001104"/>
    <n v="718050"/>
    <s v="Miscellaneous Purchased Svcs"/>
    <s v="Medical 4th Floor"/>
    <x v="0"/>
    <n v="1020"/>
    <n v="0"/>
    <n v="134.1"/>
    <n v="0"/>
    <n v="89.4"/>
    <n v="0"/>
    <n v="89.4"/>
    <n v="0"/>
    <n v="0"/>
    <n v="89.82"/>
    <n v="0"/>
    <n v="134.31"/>
    <n v="44.7"/>
    <n v="581.73"/>
    <n v="89.61"/>
  </r>
  <r>
    <x v="7"/>
    <x v="8"/>
    <x v="0"/>
    <s v="3001104"/>
    <n v="718050"/>
    <s v="Translation Services"/>
    <s v="Medical 4th Floor"/>
    <x v="0"/>
    <n v="1025"/>
    <n v="0"/>
    <n v="0"/>
    <n v="0.81"/>
    <n v="7.73"/>
    <n v="0"/>
    <n v="0"/>
    <n v="0"/>
    <n v="0"/>
    <n v="0"/>
    <n v="0"/>
    <n v="0"/>
    <n v="26.86"/>
    <n v="35.4"/>
    <n v="-26.86"/>
  </r>
  <r>
    <x v="7"/>
    <x v="8"/>
    <x v="0"/>
    <s v="3001104"/>
    <n v="718050"/>
    <s v="Contract Management--Linen"/>
    <s v="Medical 4th Floor"/>
    <x v="0"/>
    <n v="1026"/>
    <n v="7440.38"/>
    <n v="5733.16"/>
    <n v="5008.9799999999996"/>
    <n v="5586.37"/>
    <n v="6884.27"/>
    <n v="6041.77"/>
    <n v="5794.03"/>
    <n v="6341.35"/>
    <n v="6244.62"/>
    <n v="7394.33"/>
    <n v="6989.74"/>
    <n v="7512.01"/>
    <n v="76971.009999999995"/>
    <n v="-522.27000000000044"/>
  </r>
  <r>
    <x v="11"/>
    <x v="8"/>
    <x v="0"/>
    <s v="3001104"/>
    <n v="721010"/>
    <s v="Supplies-Medical - Billable"/>
    <s v="Medical 4th Floor"/>
    <x v="0"/>
    <m/>
    <n v="5539.51"/>
    <n v="3987.38"/>
    <n v="4783.59"/>
    <n v="4569.2"/>
    <n v="4852.03"/>
    <n v="4275.2"/>
    <n v="5343.88"/>
    <n v="5659.07"/>
    <n v="4583.0600000000004"/>
    <n v="7303"/>
    <n v="4525.42"/>
    <n v="4430.45"/>
    <n v="59851.789999999994"/>
    <n v="94.970000000000255"/>
  </r>
  <r>
    <x v="11"/>
    <x v="8"/>
    <x v="0"/>
    <s v="3001104"/>
    <n v="721010"/>
    <s v="Patient Monitoring"/>
    <s v="Medical 4th Floor"/>
    <x v="0"/>
    <n v="1000"/>
    <n v="181.28"/>
    <n v="218.1"/>
    <n v="190.02"/>
    <n v="125.65"/>
    <n v="193.74"/>
    <n v="108.45"/>
    <n v="138.47999999999999"/>
    <n v="129.57"/>
    <n v="851.46"/>
    <n v="225.7"/>
    <n v="131.76"/>
    <n v="70.5"/>
    <n v="2564.71"/>
    <n v="61.259999999999991"/>
  </r>
  <r>
    <x v="11"/>
    <x v="8"/>
    <x v="0"/>
    <s v="3001104"/>
    <n v="721020"/>
    <s v="Supplies-Surgical - Billable"/>
    <s v="Medical 4th Floor"/>
    <x v="0"/>
    <m/>
    <n v="1485.87"/>
    <n v="1273.54"/>
    <n v="657.46"/>
    <n v="787.34"/>
    <n v="1176"/>
    <n v="1389.12"/>
    <n v="1103.19"/>
    <n v="1088.27"/>
    <n v="1185.57"/>
    <n v="1222.43"/>
    <n v="1244.8499999999999"/>
    <n v="574.26"/>
    <n v="13187.900000000001"/>
    <n v="670.58999999999992"/>
  </r>
  <r>
    <x v="11"/>
    <x v="8"/>
    <x v="0"/>
    <s v="3001104"/>
    <n v="721020"/>
    <s v="Custom Packs"/>
    <s v="Medical 4th Floor"/>
    <x v="0"/>
    <n v="1000"/>
    <n v="0"/>
    <n v="6.29"/>
    <n v="7.14"/>
    <n v="0"/>
    <n v="0"/>
    <n v="20.27"/>
    <n v="0"/>
    <n v="0"/>
    <n v="0"/>
    <n v="12.58"/>
    <n v="0"/>
    <n v="0"/>
    <n v="46.28"/>
    <n v="0"/>
  </r>
  <r>
    <x v="11"/>
    <x v="8"/>
    <x v="0"/>
    <s v="3001104"/>
    <n v="721020"/>
    <s v="Tubes Drains &amp; Related Supplies"/>
    <s v="Medical 4th Floor"/>
    <x v="0"/>
    <n v="1008"/>
    <n v="13.43"/>
    <n v="0"/>
    <n v="0"/>
    <n v="0"/>
    <n v="0"/>
    <n v="0"/>
    <n v="0"/>
    <n v="0"/>
    <n v="0"/>
    <n v="0"/>
    <n v="0"/>
    <n v="0"/>
    <n v="13.43"/>
    <n v="0"/>
  </r>
  <r>
    <x v="11"/>
    <x v="8"/>
    <x v="0"/>
    <s v="3001104"/>
    <n v="721050"/>
    <s v="Supplies-Cardiac Rhythm - Billable"/>
    <s v="Medical 4th Floor"/>
    <x v="0"/>
    <m/>
    <n v="0"/>
    <n v="0"/>
    <n v="57.1"/>
    <n v="0"/>
    <n v="0"/>
    <n v="0"/>
    <n v="0"/>
    <n v="0"/>
    <n v="0"/>
    <n v="0"/>
    <n v="0"/>
    <n v="0"/>
    <n v="57.1"/>
    <n v="0"/>
  </r>
  <r>
    <x v="11"/>
    <x v="8"/>
    <x v="0"/>
    <s v="3001104"/>
    <n v="721240"/>
    <s v="Supplies-IV Solutions/Supplies - Billable"/>
    <s v="Medical 4th Floor"/>
    <x v="0"/>
    <m/>
    <n v="1158.21"/>
    <n v="1445.28"/>
    <n v="1356.9"/>
    <n v="860.89"/>
    <n v="1605.22"/>
    <n v="1571.13"/>
    <n v="1506.06"/>
    <n v="1285.1199999999999"/>
    <n v="906.38"/>
    <n v="1111.3399999999999"/>
    <n v="1549.77"/>
    <n v="682.59"/>
    <n v="15038.890000000001"/>
    <n v="867.18"/>
  </r>
  <r>
    <x v="11"/>
    <x v="8"/>
    <x v="0"/>
    <s v="3001104"/>
    <n v="721410"/>
    <s v="Supplies-Medical - Nonbillable"/>
    <s v="Medical 4th Floor"/>
    <x v="0"/>
    <m/>
    <n v="11480.39"/>
    <n v="8911.4500000000007"/>
    <n v="12708.12"/>
    <n v="10324.33"/>
    <n v="10504.17"/>
    <n v="11378.05"/>
    <n v="13375.01"/>
    <n v="11756.35"/>
    <n v="9351.99"/>
    <n v="18027.97"/>
    <n v="11540.31"/>
    <n v="7947.63"/>
    <n v="137305.76999999999"/>
    <n v="3592.6799999999994"/>
  </r>
  <r>
    <x v="11"/>
    <x v="8"/>
    <x v="0"/>
    <s v="3001104"/>
    <n v="721410"/>
    <s v="Patient Monitoring"/>
    <s v="Medical 4th Floor"/>
    <x v="0"/>
    <n v="1000"/>
    <n v="0"/>
    <n v="7.6"/>
    <n v="0"/>
    <n v="33.880000000000003"/>
    <n v="0"/>
    <n v="0"/>
    <n v="0"/>
    <n v="0"/>
    <n v="0"/>
    <n v="5.43"/>
    <n v="0"/>
    <n v="5.43"/>
    <n v="52.34"/>
    <n v="-5.43"/>
  </r>
  <r>
    <x v="11"/>
    <x v="8"/>
    <x v="0"/>
    <s v="3001104"/>
    <n v="721420"/>
    <s v="Supplies-Surgical Nonbillable"/>
    <s v="Medical 4th Floor"/>
    <x v="0"/>
    <m/>
    <n v="44.03"/>
    <n v="30.43"/>
    <n v="46.39"/>
    <n v="10.130000000000001"/>
    <n v="122.29"/>
    <n v="28.8"/>
    <n v="38.61"/>
    <n v="3.03"/>
    <n v="39.28"/>
    <n v="125.21"/>
    <n v="18.86"/>
    <n v="33.24"/>
    <n v="540.29999999999995"/>
    <n v="-14.380000000000003"/>
  </r>
  <r>
    <x v="11"/>
    <x v="8"/>
    <x v="0"/>
    <s v="3001104"/>
    <n v="721420"/>
    <s v="Tubes Drains &amp; Related Supplies"/>
    <s v="Medical 4th Floor"/>
    <x v="0"/>
    <n v="1008"/>
    <n v="8.92"/>
    <n v="0"/>
    <n v="0"/>
    <n v="0"/>
    <n v="0"/>
    <n v="7.11"/>
    <n v="0"/>
    <n v="0"/>
    <n v="11.17"/>
    <n v="1.92"/>
    <n v="1.92"/>
    <n v="4.59"/>
    <n v="35.63000000000001"/>
    <n v="-2.67"/>
  </r>
  <r>
    <x v="11"/>
    <x v="8"/>
    <x v="0"/>
    <s v="3001104"/>
    <n v="721420"/>
    <s v="Sterilization Process Products"/>
    <s v="Medical 4th Floor"/>
    <x v="0"/>
    <n v="1009"/>
    <n v="0"/>
    <n v="0"/>
    <n v="0"/>
    <n v="0"/>
    <n v="4.3099999999999996"/>
    <n v="0"/>
    <n v="0"/>
    <n v="0"/>
    <n v="0"/>
    <n v="0"/>
    <n v="0"/>
    <n v="0"/>
    <n v="4.3099999999999996"/>
    <n v="0"/>
  </r>
  <r>
    <x v="11"/>
    <x v="8"/>
    <x v="0"/>
    <s v="3001104"/>
    <n v="721610"/>
    <s v="Supplies-Anesthesia - Nonbillable"/>
    <s v="Medical 4th Floor"/>
    <x v="0"/>
    <m/>
    <n v="664.16"/>
    <n v="863.36"/>
    <n v="385.59"/>
    <n v="1713.68"/>
    <n v="1118.18"/>
    <n v="766.25"/>
    <n v="472.31"/>
    <n v="473.2"/>
    <n v="413.96"/>
    <n v="852.81"/>
    <n v="977.18"/>
    <n v="1446.94"/>
    <n v="10147.620000000001"/>
    <n v="-469.7600000000001"/>
  </r>
  <r>
    <x v="11"/>
    <x v="8"/>
    <x v="0"/>
    <s v="3001104"/>
    <n v="721640"/>
    <s v="Supplies-IV Solutions/Supplies - Nonbillable"/>
    <s v="Medical 4th Floor"/>
    <x v="0"/>
    <m/>
    <n v="3316.71"/>
    <n v="3375.5"/>
    <n v="3278.37"/>
    <n v="3749.51"/>
    <n v="2892.27"/>
    <n v="3316.36"/>
    <n v="2585.58"/>
    <n v="3113.44"/>
    <n v="3367.24"/>
    <n v="4247.7"/>
    <n v="3977.17"/>
    <n v="3447.67"/>
    <n v="40667.519999999997"/>
    <n v="529.5"/>
  </r>
  <r>
    <x v="11"/>
    <x v="8"/>
    <x v="0"/>
    <s v="3001104"/>
    <n v="721650"/>
    <s v="Supplies-Pharmacy Drugs - Nonbillable"/>
    <s v="Medical 4th Floor"/>
    <x v="0"/>
    <m/>
    <n v="135.91999999999999"/>
    <n v="73.63"/>
    <n v="30.41"/>
    <n v="41.46"/>
    <n v="53.05"/>
    <n v="69.010000000000005"/>
    <n v="84.01"/>
    <n v="67.05"/>
    <n v="66.34"/>
    <n v="72.87"/>
    <n v="64.52"/>
    <n v="51.47"/>
    <n v="809.74"/>
    <n v="13.049999999999997"/>
  </r>
  <r>
    <x v="11"/>
    <x v="8"/>
    <x v="0"/>
    <s v="3001104"/>
    <n v="721710"/>
    <s v="Supplies-Laboratory - Nonbillable"/>
    <s v="Medical 4th Floor"/>
    <x v="0"/>
    <m/>
    <n v="606.49"/>
    <n v="421.45"/>
    <n v="386.38"/>
    <n v="446.08"/>
    <n v="303.83999999999997"/>
    <n v="465.86"/>
    <n v="242.24"/>
    <n v="453.83"/>
    <n v="269.64"/>
    <n v="420.5"/>
    <n v="281.73"/>
    <n v="459.65"/>
    <n v="4757.6899999999996"/>
    <n v="-177.91999999999996"/>
  </r>
  <r>
    <x v="11"/>
    <x v="8"/>
    <x v="0"/>
    <s v="3001104"/>
    <n v="721710"/>
    <s v="Reagents"/>
    <s v="Medical 4th Floor"/>
    <x v="0"/>
    <n v="1000"/>
    <n v="0"/>
    <n v="0"/>
    <n v="0"/>
    <n v="0"/>
    <n v="25.99"/>
    <n v="25.99"/>
    <n v="25.99"/>
    <n v="0"/>
    <n v="0"/>
    <n v="0"/>
    <n v="71.97"/>
    <n v="23.99"/>
    <n v="173.93"/>
    <n v="47.980000000000004"/>
  </r>
  <r>
    <x v="11"/>
    <x v="8"/>
    <x v="0"/>
    <s v="3001104"/>
    <n v="721750"/>
    <s v="Supplies-Film/Radiographic - Nonbillable"/>
    <s v="Medical 4th Floor"/>
    <x v="0"/>
    <m/>
    <n v="0"/>
    <n v="25.8"/>
    <n v="7.09"/>
    <n v="0"/>
    <n v="0"/>
    <n v="0"/>
    <n v="23.65"/>
    <n v="0"/>
    <n v="0"/>
    <n v="17.2"/>
    <n v="0"/>
    <n v="0"/>
    <n v="73.739999999999995"/>
    <n v="0"/>
  </r>
  <r>
    <x v="11"/>
    <x v="8"/>
    <x v="0"/>
    <s v="3001104"/>
    <n v="721810"/>
    <s v="Supplies-Dietary/Cafeteria"/>
    <s v="Medical 4th Floor"/>
    <x v="0"/>
    <m/>
    <n v="1870.52"/>
    <n v="2206.0700000000002"/>
    <n v="2455.67"/>
    <n v="1605.21"/>
    <n v="1507.65"/>
    <n v="2809.5"/>
    <n v="1643.69"/>
    <n v="1783.43"/>
    <n v="2385.6999999999998"/>
    <n v="1936.26"/>
    <n v="2211.2399999999998"/>
    <n v="1740.72"/>
    <n v="24155.660000000003"/>
    <n v="470.51999999999975"/>
  </r>
  <r>
    <x v="11"/>
    <x v="8"/>
    <x v="0"/>
    <s v="3001104"/>
    <n v="721830"/>
    <s v="Supplies-Office"/>
    <s v="Medical 4th Floor"/>
    <x v="0"/>
    <m/>
    <n v="542.6"/>
    <n v="1106.3699999999999"/>
    <n v="254.72"/>
    <n v="646.53"/>
    <n v="914.6"/>
    <n v="675.7"/>
    <n v="950.07"/>
    <n v="834.94"/>
    <n v="411.66"/>
    <n v="930.93"/>
    <n v="306.22000000000003"/>
    <n v="640.79"/>
    <n v="8215.1299999999992"/>
    <n v="-334.56999999999994"/>
  </r>
  <r>
    <x v="11"/>
    <x v="8"/>
    <x v="0"/>
    <s v="3001104"/>
    <n v="721835"/>
    <s v="Supplies-Forms"/>
    <s v="Medical 4th Floor"/>
    <x v="0"/>
    <m/>
    <n v="0"/>
    <n v="0"/>
    <n v="0"/>
    <n v="0"/>
    <n v="292.83"/>
    <n v="203"/>
    <n v="150"/>
    <n v="0"/>
    <n v="27.61"/>
    <n v="219.93"/>
    <n v="11.33"/>
    <n v="148.96"/>
    <n v="1053.6599999999999"/>
    <n v="-137.63"/>
  </r>
  <r>
    <x v="11"/>
    <x v="8"/>
    <x v="0"/>
    <s v="3001104"/>
    <n v="721870"/>
    <s v="Supplies-Environmental Services"/>
    <s v="Medical 4th Floor"/>
    <x v="0"/>
    <m/>
    <n v="482.6"/>
    <n v="515.58000000000004"/>
    <n v="568.52"/>
    <n v="526.41"/>
    <n v="482.52"/>
    <n v="527.04999999999995"/>
    <n v="527"/>
    <n v="471.35"/>
    <n v="446.64"/>
    <n v="603.54999999999995"/>
    <n v="538.78"/>
    <n v="367.24"/>
    <n v="6057.2400000000007"/>
    <n v="171.53999999999996"/>
  </r>
  <r>
    <x v="11"/>
    <x v="8"/>
    <x v="0"/>
    <s v="3001104"/>
    <n v="721880"/>
    <s v="Supplies-Linen"/>
    <s v="Medical 4th Floor"/>
    <x v="0"/>
    <m/>
    <n v="950.4"/>
    <n v="475.2"/>
    <n v="0"/>
    <n v="0"/>
    <n v="950.4"/>
    <n v="4043.95"/>
    <n v="0"/>
    <n v="0"/>
    <n v="950.4"/>
    <n v="0"/>
    <n v="792"/>
    <n v="1900.8"/>
    <n v="10063.15"/>
    <n v="-1108.8"/>
  </r>
  <r>
    <x v="11"/>
    <x v="8"/>
    <x v="0"/>
    <s v="3001104"/>
    <n v="721910"/>
    <s v="Supplies-Small Equipment"/>
    <s v="Medical 4th Floor"/>
    <x v="0"/>
    <m/>
    <n v="2978.16"/>
    <n v="1742.93"/>
    <n v="1339.23"/>
    <n v="1095.6199999999999"/>
    <n v="966.55"/>
    <n v="1844.4"/>
    <n v="1166.71"/>
    <n v="1423.52"/>
    <n v="1423.39"/>
    <n v="1536.55"/>
    <n v="3253.04"/>
    <n v="1082.08"/>
    <n v="19852.18"/>
    <n v="2170.96"/>
  </r>
  <r>
    <x v="11"/>
    <x v="8"/>
    <x v="0"/>
    <s v="3001104"/>
    <n v="721910"/>
    <s v="Instruments"/>
    <s v="Medical 4th Floor"/>
    <x v="0"/>
    <n v="1000"/>
    <n v="0"/>
    <n v="415.83"/>
    <n v="56.12"/>
    <n v="0"/>
    <n v="-950.42"/>
    <n v="0"/>
    <n v="6.81"/>
    <n v="415.83"/>
    <n v="840.29"/>
    <n v="0"/>
    <n v="16"/>
    <n v="0"/>
    <n v="800.46"/>
    <n v="16"/>
  </r>
  <r>
    <x v="11"/>
    <x v="8"/>
    <x v="0"/>
    <s v="3001104"/>
    <n v="721980"/>
    <s v="Supplies-Other"/>
    <s v="Medical 4th Floor"/>
    <x v="0"/>
    <m/>
    <n v="663.4"/>
    <n v="252.67"/>
    <n v="0"/>
    <n v="0"/>
    <n v="0"/>
    <n v="1588.46"/>
    <n v="0"/>
    <n v="2142.67"/>
    <n v="0"/>
    <n v="-2033"/>
    <n v="620"/>
    <n v="13.7"/>
    <n v="3247.8999999999996"/>
    <n v="606.29999999999995"/>
  </r>
  <r>
    <x v="11"/>
    <x v="8"/>
    <x v="0"/>
    <s v="3001104"/>
    <n v="722000"/>
    <s v="Supplies-Freight Expense"/>
    <s v="Medical 4th Floor"/>
    <x v="0"/>
    <m/>
    <n v="16.37"/>
    <n v="0"/>
    <n v="39.65"/>
    <n v="106.92"/>
    <n v="0"/>
    <n v="43.6"/>
    <n v="36.01"/>
    <n v="8.94"/>
    <n v="8.23"/>
    <n v="0"/>
    <n v="43.71"/>
    <n v="91.11"/>
    <n v="394.53999999999996"/>
    <n v="-47.4"/>
  </r>
  <r>
    <x v="11"/>
    <x v="8"/>
    <x v="0"/>
    <s v="3001104"/>
    <n v="722000"/>
    <s v="Minimum Order Fees"/>
    <s v="Medical 4th Floor"/>
    <x v="0"/>
    <n v="1000"/>
    <n v="0"/>
    <n v="0"/>
    <n v="0"/>
    <n v="0"/>
    <n v="0"/>
    <n v="0"/>
    <n v="0"/>
    <n v="0"/>
    <n v="0"/>
    <n v="0"/>
    <n v="0"/>
    <n v="39"/>
    <n v="39"/>
    <n v="-39"/>
  </r>
  <r>
    <x v="12"/>
    <x v="8"/>
    <x v="0"/>
    <s v="3001104"/>
    <n v="730020"/>
    <s v="Rental and Leases-Equipment (DO NOT USE)"/>
    <s v="Medical 4th Floor"/>
    <x v="0"/>
    <m/>
    <n v="0"/>
    <n v="0"/>
    <n v="0"/>
    <n v="0"/>
    <n v="-309.99"/>
    <n v="0"/>
    <n v="0"/>
    <n v="0"/>
    <n v="0"/>
    <n v="0"/>
    <n v="0"/>
    <n v="0"/>
    <n v="-309.99"/>
    <n v="0"/>
  </r>
  <r>
    <x v="12"/>
    <x v="8"/>
    <x v="0"/>
    <s v="3001104"/>
    <n v="730020"/>
    <s v="Rental and Leases-Copier Usage Fees (DO NOT USE)"/>
    <s v="Medical 4th Floor"/>
    <x v="0"/>
    <n v="5100"/>
    <n v="197.46"/>
    <n v="204.33"/>
    <n v="200.89"/>
    <n v="200.89"/>
    <n v="200.89"/>
    <n v="200.89"/>
    <n v="188.26"/>
    <n v="207.43"/>
    <n v="206.99"/>
    <n v="207.87"/>
    <n v="207.43"/>
    <n v="244.39"/>
    <n v="2467.7199999999998"/>
    <n v="-36.95999999999998"/>
  </r>
  <r>
    <x v="15"/>
    <x v="8"/>
    <x v="0"/>
    <s v="3001104"/>
    <n v="731060"/>
    <s v="Cell Phones"/>
    <s v="Medical 4th Floor"/>
    <x v="0"/>
    <n v="1001"/>
    <n v="0"/>
    <n v="125.3"/>
    <n v="51.72"/>
    <n v="0"/>
    <n v="59.56"/>
    <n v="21.64"/>
    <n v="125.88"/>
    <n v="0"/>
    <n v="63.92"/>
    <n v="126.82"/>
    <n v="62.18"/>
    <n v="63.4"/>
    <n v="700.41999999999985"/>
    <n v="-1.2199999999999989"/>
  </r>
  <r>
    <x v="13"/>
    <x v="8"/>
    <x v="0"/>
    <s v="3001104"/>
    <n v="735070"/>
    <s v="Depreciation-Movable Equipment"/>
    <s v="Medical 4th Floor"/>
    <x v="0"/>
    <m/>
    <n v="1236.47"/>
    <n v="4919.83"/>
    <n v="5895.17"/>
    <n v="5895.14"/>
    <n v="5138.38"/>
    <n v="5138.3599999999997"/>
    <n v="5138.38"/>
    <n v="6894.32"/>
    <n v="10994.57"/>
    <n v="14107"/>
    <n v="14107.04"/>
    <n v="9546.4"/>
    <n v="89011.06"/>
    <n v="4560.6400000000012"/>
  </r>
  <r>
    <x v="0"/>
    <x v="8"/>
    <x v="0"/>
    <s v="3001104"/>
    <n v="740020"/>
    <s v="Education-Registration Fees"/>
    <s v="Medical 4th Floor"/>
    <x v="0"/>
    <m/>
    <n v="0"/>
    <n v="0"/>
    <n v="0"/>
    <n v="0"/>
    <n v="0"/>
    <n v="0"/>
    <n v="0"/>
    <n v="0"/>
    <n v="375"/>
    <n v="0"/>
    <n v="645"/>
    <n v="375"/>
    <n v="1395"/>
    <n v="270"/>
  </r>
  <r>
    <x v="0"/>
    <x v="8"/>
    <x v="0"/>
    <s v="3001104"/>
    <n v="742040"/>
    <s v="Freight-Other"/>
    <s v="Medical 4th Floor"/>
    <x v="0"/>
    <m/>
    <n v="0"/>
    <n v="0"/>
    <n v="0"/>
    <n v="54.8"/>
    <n v="0"/>
    <n v="0"/>
    <n v="0"/>
    <n v="0"/>
    <n v="0"/>
    <n v="0"/>
    <n v="0"/>
    <n v="0"/>
    <n v="54.8"/>
    <n v="0"/>
  </r>
  <r>
    <x v="0"/>
    <x v="8"/>
    <x v="0"/>
    <s v="3001104"/>
    <n v="743030"/>
    <s v="Subscriptions--Institutional"/>
    <s v="Medical 4th Floor"/>
    <x v="0"/>
    <m/>
    <n v="0"/>
    <n v="170.05"/>
    <n v="0"/>
    <n v="0"/>
    <n v="112.46"/>
    <n v="0"/>
    <n v="0"/>
    <n v="0"/>
    <n v="0"/>
    <n v="0"/>
    <n v="0"/>
    <n v="0"/>
    <n v="282.51"/>
    <n v="0"/>
  </r>
  <r>
    <x v="0"/>
    <x v="8"/>
    <x v="0"/>
    <s v="3001104"/>
    <n v="749510"/>
    <s v="Miscellaneous Expenses"/>
    <s v="Medical 4th Floor"/>
    <x v="0"/>
    <m/>
    <n v="93.62"/>
    <n v="161.43"/>
    <n v="11.69"/>
    <n v="326.45999999999998"/>
    <n v="32.409999999999997"/>
    <n v="3984.3"/>
    <n v="-30.17"/>
    <n v="51.76"/>
    <n v="35.57"/>
    <n v="193.68"/>
    <n v="594.13"/>
    <n v="1477.37"/>
    <n v="6932.25"/>
    <n v="-883.2399999999999"/>
  </r>
  <r>
    <x v="0"/>
    <x v="8"/>
    <x v="0"/>
    <s v="3001104"/>
    <n v="749510"/>
    <s v="Licenses"/>
    <s v="Medical 4th Floor"/>
    <x v="0"/>
    <n v="1002"/>
    <n v="330"/>
    <n v="0"/>
    <n v="0"/>
    <n v="0"/>
    <n v="345"/>
    <n v="0"/>
    <n v="0"/>
    <n v="0"/>
    <n v="0"/>
    <n v="170"/>
    <n v="0"/>
    <n v="0"/>
    <n v="845"/>
    <n v="0"/>
  </r>
  <r>
    <x v="0"/>
    <x v="8"/>
    <x v="0"/>
    <s v="3001104"/>
    <n v="749510"/>
    <s v="Promotional Items"/>
    <s v="Medical 4th Floor"/>
    <x v="0"/>
    <n v="1004"/>
    <n v="0"/>
    <n v="0"/>
    <n v="0"/>
    <n v="0"/>
    <n v="0"/>
    <n v="38.049999999999997"/>
    <n v="0"/>
    <n v="0"/>
    <n v="3.23"/>
    <n v="0"/>
    <n v="0"/>
    <n v="0"/>
    <n v="41.279999999999994"/>
    <n v="0"/>
  </r>
  <r>
    <x v="0"/>
    <x v="8"/>
    <x v="0"/>
    <s v="3001104"/>
    <n v="749510"/>
    <s v="RICE Rewards"/>
    <s v="Medical 4th Floor"/>
    <x v="0"/>
    <n v="5100"/>
    <n v="0"/>
    <n v="0"/>
    <n v="0"/>
    <n v="0"/>
    <n v="0"/>
    <n v="0"/>
    <n v="889.49"/>
    <n v="0"/>
    <n v="0"/>
    <n v="0"/>
    <n v="250"/>
    <n v="3498.16"/>
    <n v="4637.6499999999996"/>
    <n v="-3248.16"/>
  </r>
  <r>
    <x v="0"/>
    <x v="8"/>
    <x v="0"/>
    <s v="3001104"/>
    <n v="749530"/>
    <s v="Travel"/>
    <s v="Medical 4th Floor"/>
    <x v="0"/>
    <m/>
    <n v="0"/>
    <n v="0"/>
    <n v="0"/>
    <n v="0"/>
    <n v="0"/>
    <n v="0"/>
    <n v="0"/>
    <n v="0"/>
    <n v="0"/>
    <n v="0"/>
    <n v="258.08"/>
    <n v="352.6"/>
    <n v="610.68000000000006"/>
    <n v="-94.520000000000039"/>
  </r>
  <r>
    <x v="18"/>
    <x v="6"/>
    <x v="0"/>
    <s v="3001107"/>
    <n v="400010"/>
    <s v="Acute I/P Svcs Rev--Medicare"/>
    <s v="2 West"/>
    <x v="0"/>
    <n v="1100"/>
    <n v="-1403930.83"/>
    <n v="-1386416.3"/>
    <n v="-1376575.04"/>
    <n v="-1326117.81"/>
    <n v="-1517876.08"/>
    <n v="-1664645.13"/>
    <n v="-1583319.91"/>
    <n v="-1411863.68"/>
    <n v="-1674356.91"/>
    <n v="-1290604.58"/>
    <n v="-1205967.8400000001"/>
    <n v="-1159350.53"/>
    <n v="-17001024.640000001"/>
    <n v="-46617.310000000056"/>
  </r>
  <r>
    <x v="18"/>
    <x v="6"/>
    <x v="0"/>
    <s v="3001107"/>
    <n v="400010"/>
    <s v="Acute I/P Svcs Rev--Medicaid"/>
    <s v="2 West"/>
    <x v="0"/>
    <n v="1200"/>
    <n v="-263465.84999999998"/>
    <n v="-359192.96"/>
    <n v="-310770.63"/>
    <n v="-216715.65"/>
    <n v="-289727.87"/>
    <n v="-254973.44"/>
    <n v="-365190.72"/>
    <n v="-340159.93"/>
    <n v="-360104.89"/>
    <n v="-387495.39"/>
    <n v="-362489.81"/>
    <n v="-812331.12"/>
    <n v="-4322618.26"/>
    <n v="449841.31"/>
  </r>
  <r>
    <x v="18"/>
    <x v="6"/>
    <x v="0"/>
    <s v="3001107"/>
    <n v="400010"/>
    <s v="Acute I/P Svcs Rev--Comm Insurance"/>
    <s v="2 West"/>
    <x v="0"/>
    <n v="1300"/>
    <n v="0"/>
    <n v="-26716.59"/>
    <n v="-21983.11"/>
    <n v="-8427.4500000000007"/>
    <n v="-19247.52"/>
    <n v="9751.41"/>
    <n v="-6228.34"/>
    <n v="-79141.3"/>
    <n v="-3155"/>
    <n v="-34863.279999999999"/>
    <n v="79030.3"/>
    <n v="-16809"/>
    <n v="-127789.87999999999"/>
    <n v="95839.3"/>
  </r>
  <r>
    <x v="18"/>
    <x v="6"/>
    <x v="0"/>
    <s v="3001107"/>
    <n v="400010"/>
    <s v="Acute I/P Svcs Rev--BCBS Comm"/>
    <s v="2 West"/>
    <x v="0"/>
    <n v="1301"/>
    <n v="-55819.63"/>
    <n v="-101698.57"/>
    <n v="-172663.46"/>
    <n v="-90981.35"/>
    <n v="-116966.79"/>
    <n v="-242931.52"/>
    <n v="-166051.20000000001"/>
    <n v="-111252.43"/>
    <n v="-204235.32"/>
    <n v="-295516.83"/>
    <n v="-369755.7"/>
    <n v="-190200.72"/>
    <n v="-2118073.52"/>
    <n v="-179554.98"/>
  </r>
  <r>
    <x v="18"/>
    <x v="6"/>
    <x v="0"/>
    <s v="3001107"/>
    <n v="400010"/>
    <s v="Acute I/P Svcs Rev--Managed Care"/>
    <s v="2 West"/>
    <x v="0"/>
    <n v="1400"/>
    <n v="-144398.57999999999"/>
    <n v="-109853.39"/>
    <n v="-173801.86"/>
    <n v="-141066.65"/>
    <n v="-179923.87"/>
    <n v="-208896.18"/>
    <n v="-192521"/>
    <n v="-256738.45"/>
    <n v="-222184.31"/>
    <n v="-271810.06"/>
    <n v="-475350.62"/>
    <n v="-124670.34"/>
    <n v="-2501215.31"/>
    <n v="-350680.28"/>
  </r>
  <r>
    <x v="18"/>
    <x v="6"/>
    <x v="0"/>
    <s v="3001107"/>
    <n v="400010"/>
    <s v="Acute I/P Svcs Rev--Self Pay"/>
    <s v="2 West"/>
    <x v="0"/>
    <n v="1500"/>
    <n v="0"/>
    <n v="0"/>
    <n v="-4008.03"/>
    <n v="-42113.38"/>
    <n v="-3130.33"/>
    <n v="-10892.76"/>
    <n v="-10680.77"/>
    <n v="-77262.62"/>
    <n v="0"/>
    <n v="-3565.16"/>
    <n v="-1025.4000000000001"/>
    <n v="0"/>
    <n v="-152678.45000000001"/>
    <n v="-1025.4000000000001"/>
  </r>
  <r>
    <x v="18"/>
    <x v="6"/>
    <x v="0"/>
    <s v="3001107"/>
    <n v="400010"/>
    <s v="Acute I/P Svcs Rev--Other"/>
    <s v="2 West"/>
    <x v="0"/>
    <n v="1700"/>
    <n v="-193548.75"/>
    <n v="-14070"/>
    <n v="-240759.84"/>
    <n v="-210815.14"/>
    <n v="-154041.41"/>
    <n v="-12879.52"/>
    <n v="-72531.75"/>
    <n v="-68625.75"/>
    <n v="-44456.76"/>
    <n v="-31612.76"/>
    <n v="-195144.33"/>
    <n v="-31755.08"/>
    <n v="-1270241.0900000001"/>
    <n v="-163389.25"/>
  </r>
  <r>
    <x v="19"/>
    <x v="6"/>
    <x v="0"/>
    <s v="3001107"/>
    <n v="400020"/>
    <s v="O/P Care Svcs Rev--Medicare"/>
    <s v="2 West"/>
    <x v="0"/>
    <n v="1100"/>
    <n v="-23226.26"/>
    <n v="-37047.61"/>
    <n v="-66214.52"/>
    <n v="-19654.099999999999"/>
    <n v="363.93"/>
    <n v="-15169.97"/>
    <n v="-25586.84"/>
    <n v="-30893.17"/>
    <n v="-81852.639999999999"/>
    <n v="32709.88"/>
    <n v="-17398.990000000002"/>
    <n v="-13677.33"/>
    <n v="-297647.62"/>
    <n v="-3721.6600000000017"/>
  </r>
  <r>
    <x v="19"/>
    <x v="6"/>
    <x v="0"/>
    <s v="3001107"/>
    <n v="400020"/>
    <s v="O/P Care Svcs Rev--Medicaid"/>
    <s v="2 West"/>
    <x v="0"/>
    <n v="1200"/>
    <n v="0"/>
    <n v="-13849.71"/>
    <n v="0"/>
    <n v="-13677.62"/>
    <n v="-8125.49"/>
    <n v="-47715.47"/>
    <n v="-3339.8"/>
    <n v="-26089.040000000001"/>
    <n v="-23841.01"/>
    <n v="-21300.46"/>
    <n v="-6979.84"/>
    <n v="-7577.08"/>
    <n v="-172495.52"/>
    <n v="597.23999999999978"/>
  </r>
  <r>
    <x v="19"/>
    <x v="6"/>
    <x v="0"/>
    <s v="3001107"/>
    <n v="400020"/>
    <s v="O/P Care Svcs Rev--Comm Insurance"/>
    <s v="2 West"/>
    <x v="0"/>
    <n v="1300"/>
    <n v="6917.9"/>
    <n v="0"/>
    <n v="0"/>
    <n v="-9370.57"/>
    <n v="0"/>
    <n v="9370.57"/>
    <n v="0"/>
    <n v="0"/>
    <n v="0"/>
    <n v="-7035.72"/>
    <n v="7035.72"/>
    <n v="0"/>
    <n v="6917.9"/>
    <n v="7035.72"/>
  </r>
  <r>
    <x v="19"/>
    <x v="6"/>
    <x v="0"/>
    <s v="3001107"/>
    <n v="400020"/>
    <s v="O/P Care Svcs Rev--BCBS Comm"/>
    <s v="2 West"/>
    <x v="0"/>
    <n v="1301"/>
    <n v="0"/>
    <n v="-10512.7"/>
    <n v="0"/>
    <n v="-12432.14"/>
    <n v="-5213.6499999999996"/>
    <n v="-382.89"/>
    <n v="-4492.42"/>
    <n v="-525.76"/>
    <n v="-16699.84"/>
    <n v="0"/>
    <n v="-13150.5"/>
    <n v="4575.08"/>
    <n v="-58834.819999999992"/>
    <n v="-17725.580000000002"/>
  </r>
  <r>
    <x v="19"/>
    <x v="6"/>
    <x v="0"/>
    <s v="3001107"/>
    <n v="400020"/>
    <s v="O/P Care Svcs Rev--Managed Care"/>
    <s v="2 West"/>
    <x v="0"/>
    <n v="1400"/>
    <n v="-7951.63"/>
    <n v="-2873.77"/>
    <n v="-13508.55"/>
    <n v="-38877.550000000003"/>
    <n v="-27072.87"/>
    <n v="-30013.5"/>
    <n v="-16512.189999999999"/>
    <n v="-43876.160000000003"/>
    <n v="27112.03"/>
    <n v="-51683.9"/>
    <n v="-4067.6"/>
    <n v="-35786.959999999999"/>
    <n v="-245112.65"/>
    <n v="31719.360000000001"/>
  </r>
  <r>
    <x v="19"/>
    <x v="6"/>
    <x v="0"/>
    <s v="3001107"/>
    <n v="400020"/>
    <s v="O/P Care Svcs Rev--Self Pay"/>
    <s v="2 West"/>
    <x v="0"/>
    <n v="1500"/>
    <n v="-2041.92"/>
    <n v="-5232.83"/>
    <n v="0"/>
    <n v="0"/>
    <n v="0"/>
    <n v="-3535.65"/>
    <n v="-363.45"/>
    <n v="0"/>
    <n v="0"/>
    <n v="0"/>
    <n v="0"/>
    <n v="0"/>
    <n v="-11173.85"/>
    <n v="0"/>
  </r>
  <r>
    <x v="19"/>
    <x v="6"/>
    <x v="0"/>
    <s v="3001107"/>
    <n v="400020"/>
    <s v="O/P Care Svcs Rev--Other"/>
    <s v="2 West"/>
    <x v="0"/>
    <n v="1700"/>
    <n v="-2109.85"/>
    <n v="-3567.51"/>
    <n v="-6606.5"/>
    <n v="261.27"/>
    <n v="9"/>
    <n v="-5096.41"/>
    <n v="-4881.76"/>
    <n v="-2103.04"/>
    <n v="2109.85"/>
    <n v="-952.56"/>
    <n v="-2041.2"/>
    <n v="-4206.08"/>
    <n v="-29184.790000000008"/>
    <n v="2164.88"/>
  </r>
  <r>
    <x v="14"/>
    <x v="6"/>
    <x v="0"/>
    <s v="3001107"/>
    <n v="600050"/>
    <s v="Miscellaneous Revenue"/>
    <s v="2 West"/>
    <x v="0"/>
    <m/>
    <n v="0"/>
    <n v="0"/>
    <n v="0"/>
    <n v="0"/>
    <n v="0"/>
    <n v="0"/>
    <n v="0"/>
    <n v="0"/>
    <n v="0"/>
    <n v="0"/>
    <n v="-2916.66"/>
    <n v="0"/>
    <n v="-2916.66"/>
    <n v="-2916.66"/>
  </r>
  <r>
    <x v="5"/>
    <x v="6"/>
    <x v="0"/>
    <s v="3001107"/>
    <n v="700014"/>
    <s v="Salaries-Management-Productive"/>
    <s v="2 West"/>
    <x v="0"/>
    <m/>
    <n v="9517.51"/>
    <n v="10677.8"/>
    <n v="4298.6899999999996"/>
    <n v="11969.58"/>
    <n v="10515.15"/>
    <n v="7080.6"/>
    <n v="7582.74"/>
    <n v="9863.84"/>
    <n v="11057.45"/>
    <n v="10530.58"/>
    <n v="9442.77"/>
    <n v="6915.49"/>
    <n v="109452.2"/>
    <n v="2527.2800000000007"/>
  </r>
  <r>
    <x v="5"/>
    <x v="6"/>
    <x v="0"/>
    <s v="3001107"/>
    <n v="700018"/>
    <s v="Salaries-Supervisory-Productive"/>
    <s v="2 West"/>
    <x v="0"/>
    <m/>
    <n v="0"/>
    <n v="4207.67"/>
    <n v="7153.52"/>
    <n v="7465.53"/>
    <n v="7275.24"/>
    <n v="6935.98"/>
    <n v="7602.45"/>
    <n v="6800.36"/>
    <n v="-194.13"/>
    <n v="680.04"/>
    <n v="0"/>
    <n v="0"/>
    <n v="47926.66"/>
    <n v="0"/>
  </r>
  <r>
    <x v="5"/>
    <x v="6"/>
    <x v="0"/>
    <s v="3001107"/>
    <n v="700026"/>
    <s v="Salaries-RN-Productive"/>
    <s v="2 West"/>
    <x v="0"/>
    <m/>
    <n v="158986.34"/>
    <n v="151704"/>
    <n v="172339.16"/>
    <n v="166044.4"/>
    <n v="146253.49"/>
    <n v="153170.4"/>
    <n v="166195.29"/>
    <n v="153908.1"/>
    <n v="173097.18"/>
    <n v="162368.57999999999"/>
    <n v="153087.97"/>
    <n v="168503.84"/>
    <n v="1925658.7500000002"/>
    <n v="-15415.869999999995"/>
  </r>
  <r>
    <x v="5"/>
    <x v="6"/>
    <x v="0"/>
    <s v="3001107"/>
    <n v="700026"/>
    <s v="Salaries-RN-OT"/>
    <s v="2 West"/>
    <x v="0"/>
    <n v="1000"/>
    <n v="13281.89"/>
    <n v="16252.63"/>
    <n v="22339.98"/>
    <n v="16825.62"/>
    <n v="15702.14"/>
    <n v="16098.19"/>
    <n v="17413.27"/>
    <n v="29699.16"/>
    <n v="19435.349999999999"/>
    <n v="24937"/>
    <n v="26473.7"/>
    <n v="18714.509999999998"/>
    <n v="237173.44000000003"/>
    <n v="7759.1900000000023"/>
  </r>
  <r>
    <x v="5"/>
    <x v="6"/>
    <x v="0"/>
    <s v="3001107"/>
    <n v="700026"/>
    <s v="Salaries-RN-Other"/>
    <s v="2 West"/>
    <x v="0"/>
    <n v="2000"/>
    <n v="15070.8"/>
    <n v="14514.52"/>
    <n v="16620.599999999999"/>
    <n v="17090.86"/>
    <n v="15410.35"/>
    <n v="16066.47"/>
    <n v="15557.34"/>
    <n v="15102.47"/>
    <n v="17337.34"/>
    <n v="16713.54"/>
    <n v="14895.87"/>
    <n v="14741.76"/>
    <n v="189121.92000000001"/>
    <n v="154.11000000000058"/>
  </r>
  <r>
    <x v="5"/>
    <x v="6"/>
    <x v="0"/>
    <s v="3001107"/>
    <n v="700030"/>
    <s v="Salaries-LPN-Productive"/>
    <s v="2 West"/>
    <x v="0"/>
    <m/>
    <n v="580.48"/>
    <n v="531.96"/>
    <n v="1673.63"/>
    <n v="664.72"/>
    <n v="809.57"/>
    <n v="777.72"/>
    <n v="446.49"/>
    <n v="322.45"/>
    <n v="919.61"/>
    <n v="303.64"/>
    <n v="1665.81"/>
    <n v="395.94"/>
    <n v="9092.02"/>
    <n v="1269.8699999999999"/>
  </r>
  <r>
    <x v="5"/>
    <x v="6"/>
    <x v="0"/>
    <s v="3001107"/>
    <n v="700030"/>
    <s v="Salaries-LPN-OT"/>
    <s v="2 West"/>
    <x v="0"/>
    <n v="1000"/>
    <n v="0"/>
    <n v="12.01"/>
    <n v="18.63"/>
    <n v="104.34"/>
    <n v="-32.200000000000003"/>
    <n v="-8.31"/>
    <n v="0"/>
    <n v="29.76"/>
    <n v="78.41"/>
    <n v="1.28"/>
    <n v="16.78"/>
    <n v="35.01"/>
    <n v="255.71"/>
    <n v="-18.229999999999997"/>
  </r>
  <r>
    <x v="5"/>
    <x v="6"/>
    <x v="0"/>
    <s v="3001107"/>
    <n v="700030"/>
    <s v="Salaries-LPN-Other"/>
    <s v="2 West"/>
    <x v="0"/>
    <n v="2000"/>
    <n v="7.23"/>
    <n v="8.17"/>
    <n v="124.25"/>
    <n v="69.400000000000006"/>
    <n v="46.4"/>
    <n v="65.430000000000007"/>
    <n v="12.02"/>
    <n v="11.47"/>
    <n v="24.09"/>
    <n v="-5.32"/>
    <n v="60.49"/>
    <n v="20.78"/>
    <n v="444.40999999999997"/>
    <n v="39.71"/>
  </r>
  <r>
    <x v="5"/>
    <x v="6"/>
    <x v="0"/>
    <s v="3001107"/>
    <n v="700032"/>
    <s v="Salaries-Other Pat Care Providers-Productive"/>
    <s v="2 West"/>
    <x v="0"/>
    <m/>
    <n v="40332.720000000001"/>
    <n v="38492.82"/>
    <n v="43126.68"/>
    <n v="44454.07"/>
    <n v="42528.47"/>
    <n v="41982.22"/>
    <n v="41371.199999999997"/>
    <n v="43299.66"/>
    <n v="42398.53"/>
    <n v="46254.04"/>
    <n v="39772.800000000003"/>
    <n v="50907.16"/>
    <n v="514920.37"/>
    <n v="-11134.36"/>
  </r>
  <r>
    <x v="5"/>
    <x v="6"/>
    <x v="0"/>
    <s v="3001107"/>
    <n v="700032"/>
    <s v="Salaries-Other Pat Care Providers-OT"/>
    <s v="2 West"/>
    <x v="0"/>
    <n v="1000"/>
    <n v="4567.59"/>
    <n v="5809.16"/>
    <n v="7748.99"/>
    <n v="8148.83"/>
    <n v="8897.14"/>
    <n v="2500.5500000000002"/>
    <n v="5954.88"/>
    <n v="8189.69"/>
    <n v="7990.48"/>
    <n v="8139.88"/>
    <n v="6631.53"/>
    <n v="7505.71"/>
    <n v="82084.430000000008"/>
    <n v="-874.18000000000029"/>
  </r>
  <r>
    <x v="5"/>
    <x v="6"/>
    <x v="0"/>
    <s v="3001107"/>
    <n v="700032"/>
    <s v="Salaries-Other Pat Care Providers-Other"/>
    <s v="2 West"/>
    <x v="0"/>
    <n v="2000"/>
    <n v="3203.12"/>
    <n v="3462.63"/>
    <n v="3377.18"/>
    <n v="3579.43"/>
    <n v="3668.39"/>
    <n v="3289.14"/>
    <n v="3315.38"/>
    <n v="3679.1"/>
    <n v="3491.92"/>
    <n v="3961.99"/>
    <n v="3510.53"/>
    <n v="3644.9"/>
    <n v="42183.71"/>
    <n v="-134.36999999999989"/>
  </r>
  <r>
    <x v="5"/>
    <x v="6"/>
    <x v="0"/>
    <s v="3001107"/>
    <n v="700038"/>
    <s v="Salaries-Service/Support-Productive"/>
    <s v="2 West"/>
    <x v="0"/>
    <m/>
    <n v="0"/>
    <n v="0"/>
    <n v="0"/>
    <n v="55.92"/>
    <n v="-24.6"/>
    <n v="0"/>
    <n v="42.56"/>
    <n v="-11.19"/>
    <n v="31.37"/>
    <n v="0"/>
    <n v="0"/>
    <n v="0"/>
    <n v="94.06"/>
    <n v="0"/>
  </r>
  <r>
    <x v="5"/>
    <x v="6"/>
    <x v="0"/>
    <s v="3001107"/>
    <n v="700054"/>
    <s v="Salaries-Management-Non-productive"/>
    <s v="2 West"/>
    <x v="0"/>
    <m/>
    <n v="1057.5"/>
    <n v="-102.3"/>
    <n v="5935.8"/>
    <n v="-1159.8"/>
    <n v="0"/>
    <n v="3785.41"/>
    <n v="3300.23"/>
    <n v="-35.04"/>
    <n v="-175.48"/>
    <n v="0"/>
    <n v="1439.17"/>
    <n v="3615.57"/>
    <n v="17661.060000000001"/>
    <n v="-2176.4"/>
  </r>
  <r>
    <x v="5"/>
    <x v="6"/>
    <x v="0"/>
    <s v="3001107"/>
    <n v="700054"/>
    <s v="Salaries-Management-NonProd-Other"/>
    <s v="2 West"/>
    <x v="0"/>
    <n v="2000"/>
    <n v="0"/>
    <n v="0"/>
    <n v="0"/>
    <n v="0"/>
    <n v="0"/>
    <n v="539.16999999999996"/>
    <n v="-539.16999999999996"/>
    <n v="0"/>
    <n v="0"/>
    <n v="0"/>
    <n v="0"/>
    <n v="0"/>
    <n v="0"/>
    <n v="0"/>
  </r>
  <r>
    <x v="5"/>
    <x v="6"/>
    <x v="0"/>
    <s v="3001107"/>
    <n v="700058"/>
    <s v="Salaries-Supervisory-Non-productive"/>
    <s v="2 West"/>
    <x v="0"/>
    <m/>
    <n v="7246.63"/>
    <n v="3039.29"/>
    <n v="-140.22999999999999"/>
    <n v="0"/>
    <n v="0"/>
    <n v="582"/>
    <n v="-72.72"/>
    <n v="0"/>
    <n v="0"/>
    <n v="0"/>
    <n v="0"/>
    <n v="0"/>
    <n v="10654.970000000001"/>
    <n v="0"/>
  </r>
  <r>
    <x v="5"/>
    <x v="6"/>
    <x v="0"/>
    <s v="3001107"/>
    <n v="700058"/>
    <s v="Salaries-Supervisory-NonProd-Other"/>
    <s v="2 Wes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001107"/>
    <n v="700066"/>
    <s v="Salaries-RN-Non-productive"/>
    <s v="2 West"/>
    <x v="0"/>
    <m/>
    <n v="21057.59"/>
    <n v="25463.47"/>
    <n v="21898.639999999999"/>
    <n v="28920.880000000001"/>
    <n v="32926.86"/>
    <n v="29877.79"/>
    <n v="23739.93"/>
    <n v="13854.4"/>
    <n v="14920"/>
    <n v="13583.73"/>
    <n v="17508.57"/>
    <n v="14030.75"/>
    <n v="257782.61000000002"/>
    <n v="3477.8199999999997"/>
  </r>
  <r>
    <x v="5"/>
    <x v="6"/>
    <x v="0"/>
    <s v="3001107"/>
    <n v="700066"/>
    <s v="Salaries-RN-NonProd-Other"/>
    <s v="2 West"/>
    <x v="0"/>
    <n v="2000"/>
    <n v="1808.53"/>
    <n v="1359.29"/>
    <n v="1137.32"/>
    <n v="2229.71"/>
    <n v="1921.13"/>
    <n v="1468.02"/>
    <n v="946.38"/>
    <n v="317.16000000000003"/>
    <n v="1636.45"/>
    <n v="984.99"/>
    <n v="576.89"/>
    <n v="341.75"/>
    <n v="14727.619999999999"/>
    <n v="235.14"/>
  </r>
  <r>
    <x v="5"/>
    <x v="6"/>
    <x v="0"/>
    <s v="3001107"/>
    <n v="700072"/>
    <s v="Salaries-Other Pat Care Providers-Non-productive"/>
    <s v="2 West"/>
    <x v="0"/>
    <m/>
    <n v="6219.21"/>
    <n v="6107.96"/>
    <n v="7500.37"/>
    <n v="11742.4"/>
    <n v="1913.62"/>
    <n v="8472.67"/>
    <n v="3500.94"/>
    <n v="3808.56"/>
    <n v="4375.3100000000004"/>
    <n v="5378.58"/>
    <n v="7775.41"/>
    <n v="3432.53"/>
    <n v="70227.56"/>
    <n v="4342.8799999999992"/>
  </r>
  <r>
    <x v="5"/>
    <x v="6"/>
    <x v="0"/>
    <s v="3001107"/>
    <n v="700072"/>
    <s v="Salaries-Other Pat Care Providers-NonProd-Other"/>
    <s v="2 West"/>
    <x v="0"/>
    <n v="2000"/>
    <n v="404.15"/>
    <n v="159.41999999999999"/>
    <n v="216.92"/>
    <n v="211.43"/>
    <n v="202.23"/>
    <n v="289.52999999999997"/>
    <n v="177.86"/>
    <n v="215.39"/>
    <n v="195.38"/>
    <n v="429.12"/>
    <n v="301.42"/>
    <n v="194.32"/>
    <n v="2997.17"/>
    <n v="107.10000000000002"/>
  </r>
  <r>
    <x v="5"/>
    <x v="6"/>
    <x v="0"/>
    <s v="3001107"/>
    <n v="700084"/>
    <s v="Accrued PTO"/>
    <s v="2 West"/>
    <x v="0"/>
    <m/>
    <n v="948.59"/>
    <n v="3626.07"/>
    <n v="-998.64"/>
    <n v="9872.52"/>
    <n v="-3303.17"/>
    <n v="-5999.85"/>
    <n v="2962.54"/>
    <n v="-19208.900000000001"/>
    <n v="32409.91"/>
    <n v="13274.36"/>
    <n v="1260.56"/>
    <n v="4778.03"/>
    <n v="39622.019999999997"/>
    <n v="-3517.47"/>
  </r>
  <r>
    <x v="10"/>
    <x v="6"/>
    <x v="0"/>
    <s v="3001107"/>
    <n v="710060"/>
    <s v="Contract Labor-Other"/>
    <s v="2 West"/>
    <x v="0"/>
    <m/>
    <n v="5171.5"/>
    <n v="2728.06"/>
    <n v="584.26"/>
    <n v="1745.94"/>
    <n v="15877.75"/>
    <n v="20189.61"/>
    <n v="7001.66"/>
    <n v="22117.599999999999"/>
    <n v="11939.88"/>
    <n v="11428.79"/>
    <n v="25971"/>
    <n v="7437.24"/>
    <n v="132193.29"/>
    <n v="18533.760000000002"/>
  </r>
  <r>
    <x v="10"/>
    <x v="6"/>
    <x v="0"/>
    <s v="3001107"/>
    <n v="710060"/>
    <s v="Contract Labor-Overtime"/>
    <s v="2 West"/>
    <x v="0"/>
    <n v="5100"/>
    <n v="2553.19"/>
    <n v="1655.87"/>
    <n v="0"/>
    <n v="0"/>
    <n v="0"/>
    <n v="1239.3"/>
    <n v="0"/>
    <n v="3786.75"/>
    <n v="0"/>
    <n v="0"/>
    <n v="1514.7"/>
    <n v="1479.76"/>
    <n v="12229.570000000002"/>
    <n v="34.940000000000055"/>
  </r>
  <r>
    <x v="6"/>
    <x v="6"/>
    <x v="0"/>
    <s v="3001107"/>
    <n v="713010"/>
    <s v="Benefits-FICA/Medicare"/>
    <s v="2 West"/>
    <x v="0"/>
    <m/>
    <n v="21267.72"/>
    <n v="21144.04"/>
    <n v="23689.21"/>
    <n v="23917.24"/>
    <n v="21746.17"/>
    <n v="21987.91"/>
    <n v="22475.97"/>
    <n v="21732.92"/>
    <n v="25674.22"/>
    <n v="23167.040000000001"/>
    <n v="21313.17"/>
    <n v="21956.58"/>
    <n v="270072.19"/>
    <n v="-643.41000000000349"/>
  </r>
  <r>
    <x v="6"/>
    <x v="6"/>
    <x v="0"/>
    <s v="3001107"/>
    <n v="713090"/>
    <s v="Benefits-Allocated Amounts"/>
    <s v="2 West"/>
    <x v="0"/>
    <m/>
    <n v="47648.73"/>
    <n v="42495.72"/>
    <n v="51246.26"/>
    <n v="53307.839999999997"/>
    <n v="53924.42"/>
    <n v="49223.65"/>
    <n v="50772.15"/>
    <n v="51577.05"/>
    <n v="42468.35"/>
    <n v="55792.34"/>
    <n v="48936.38"/>
    <n v="60543.66"/>
    <n v="607936.55000000005"/>
    <n v="-11607.280000000006"/>
  </r>
  <r>
    <x v="6"/>
    <x v="6"/>
    <x v="0"/>
    <s v="3001107"/>
    <n v="713096"/>
    <s v="Employee Recognition"/>
    <s v="2 West"/>
    <x v="0"/>
    <n v="1017"/>
    <n v="272.64999999999998"/>
    <n v="37.14"/>
    <n v="76.8"/>
    <n v="58.5"/>
    <n v="0"/>
    <n v="792.06"/>
    <n v="18.48"/>
    <n v="87.09"/>
    <n v="412.53"/>
    <n v="162.13"/>
    <n v="65.28"/>
    <n v="133.91999999999999"/>
    <n v="2116.5799999999995"/>
    <n v="-68.639999999999986"/>
  </r>
  <r>
    <x v="17"/>
    <x v="6"/>
    <x v="0"/>
    <s v="3001107"/>
    <n v="714530"/>
    <s v="Medical Prof Fees-Intracompany"/>
    <s v="2 West"/>
    <x v="0"/>
    <m/>
    <n v="4164.88"/>
    <n v="-4164.88"/>
    <n v="0"/>
    <n v="0"/>
    <n v="0"/>
    <n v="0"/>
    <n v="0"/>
    <n v="0"/>
    <n v="0"/>
    <n v="0"/>
    <n v="0"/>
    <n v="0"/>
    <n v="0"/>
    <n v="0"/>
  </r>
  <r>
    <x v="7"/>
    <x v="6"/>
    <x v="0"/>
    <s v="3001107"/>
    <n v="718050"/>
    <s v="Contract Management--Linen"/>
    <s v="2 West"/>
    <x v="0"/>
    <n v="1026"/>
    <n v="3795.4"/>
    <n v="3931.22"/>
    <n v="4552.49"/>
    <n v="4100.55"/>
    <n v="4133.68"/>
    <n v="3473.35"/>
    <n v="4406.68"/>
    <n v="5132.92"/>
    <n v="5328.64"/>
    <n v="5073.8999999999996"/>
    <n v="4335.6400000000003"/>
    <n v="6043.94"/>
    <n v="54308.41"/>
    <n v="-1708.2999999999993"/>
  </r>
  <r>
    <x v="7"/>
    <x v="6"/>
    <x v="0"/>
    <s v="3001107"/>
    <n v="718070"/>
    <s v="Contract Srvcs-CHI Clinical Engineering"/>
    <s v="2 West"/>
    <x v="0"/>
    <m/>
    <n v="349.13"/>
    <n v="349.13"/>
    <n v="349.13"/>
    <n v="349.13"/>
    <n v="349.13"/>
    <n v="319.95999999999998"/>
    <n v="326.11"/>
    <n v="326.11"/>
    <n v="323.63"/>
    <n v="323.63"/>
    <n v="327.2"/>
    <n v="321.05"/>
    <n v="4013.3400000000006"/>
    <n v="6.1499999999999773"/>
  </r>
  <r>
    <x v="11"/>
    <x v="6"/>
    <x v="0"/>
    <s v="3001107"/>
    <n v="721010"/>
    <s v="Supplies-Medical - Billable"/>
    <s v="2 West"/>
    <x v="0"/>
    <m/>
    <n v="4110.59"/>
    <n v="5633.63"/>
    <n v="4537.55"/>
    <n v="6075.7"/>
    <n v="4925.92"/>
    <n v="5339.45"/>
    <n v="4902.3100000000004"/>
    <n v="5431.68"/>
    <n v="6492.41"/>
    <n v="7357.65"/>
    <n v="5736.56"/>
    <n v="5145.7"/>
    <n v="65689.150000000009"/>
    <n v="590.86000000000058"/>
  </r>
  <r>
    <x v="11"/>
    <x v="6"/>
    <x v="0"/>
    <s v="3001107"/>
    <n v="721010"/>
    <s v="Patient Monitoring"/>
    <s v="2 West"/>
    <x v="0"/>
    <n v="1000"/>
    <n v="57.69"/>
    <n v="62.43"/>
    <n v="161.18"/>
    <n v="160.18"/>
    <n v="39.03"/>
    <n v="194.79"/>
    <n v="74.040000000000006"/>
    <n v="114.81"/>
    <n v="146.65"/>
    <n v="49.37"/>
    <n v="58.64"/>
    <n v="380.36"/>
    <n v="1499.17"/>
    <n v="-321.72000000000003"/>
  </r>
  <r>
    <x v="11"/>
    <x v="6"/>
    <x v="0"/>
    <s v="3001107"/>
    <n v="721020"/>
    <s v="Supplies-Surgical - Billable"/>
    <s v="2 West"/>
    <x v="0"/>
    <m/>
    <n v="9.8800000000000008"/>
    <n v="26.67"/>
    <n v="193.86"/>
    <n v="54.8"/>
    <n v="80.400000000000006"/>
    <n v="37.549999999999997"/>
    <n v="229.22"/>
    <n v="4.9400000000000004"/>
    <n v="14.82"/>
    <n v="208.64"/>
    <n v="0"/>
    <n v="86.07"/>
    <n v="946.85000000000014"/>
    <n v="-86.07"/>
  </r>
  <r>
    <x v="11"/>
    <x v="6"/>
    <x v="0"/>
    <s v="3001107"/>
    <n v="721020"/>
    <s v="Custom Packs"/>
    <s v="2 West"/>
    <x v="0"/>
    <n v="1000"/>
    <n v="0"/>
    <n v="71.72"/>
    <n v="268.70999999999998"/>
    <n v="158.97"/>
    <n v="251.88"/>
    <n v="304.52"/>
    <n v="529.6"/>
    <n v="291.27999999999997"/>
    <n v="225.08"/>
    <n v="317.76"/>
    <n v="423.68"/>
    <n v="344.24"/>
    <n v="3187.4400000000005"/>
    <n v="79.44"/>
  </r>
  <r>
    <x v="11"/>
    <x v="6"/>
    <x v="0"/>
    <s v="3001107"/>
    <n v="721020"/>
    <s v="Suture/Wound Closure"/>
    <s v="2 West"/>
    <x v="0"/>
    <n v="1001"/>
    <n v="0"/>
    <n v="3.96"/>
    <n v="0"/>
    <n v="0"/>
    <n v="7.92"/>
    <n v="0"/>
    <n v="3.96"/>
    <n v="0"/>
    <n v="0"/>
    <n v="0"/>
    <n v="0"/>
    <n v="3.96"/>
    <n v="19.8"/>
    <n v="-3.96"/>
  </r>
  <r>
    <x v="11"/>
    <x v="6"/>
    <x v="0"/>
    <s v="3001107"/>
    <n v="721240"/>
    <s v="Supplies-IV Solutions/Supplies - Billable"/>
    <s v="2 West"/>
    <x v="0"/>
    <m/>
    <n v="1002.69"/>
    <n v="1598.98"/>
    <n v="979.63"/>
    <n v="1724.07"/>
    <n v="1179.97"/>
    <n v="884.5"/>
    <n v="1149.45"/>
    <n v="1644.15"/>
    <n v="1316.97"/>
    <n v="1341.74"/>
    <n v="1447.55"/>
    <n v="1133.3"/>
    <n v="15402.999999999998"/>
    <n v="314.25"/>
  </r>
  <r>
    <x v="11"/>
    <x v="6"/>
    <x v="0"/>
    <s v="3001107"/>
    <n v="721250"/>
    <s v="Supplies-Pharmacy Drugs - Billable"/>
    <s v="2 West"/>
    <x v="0"/>
    <m/>
    <n v="0"/>
    <n v="0"/>
    <n v="0"/>
    <n v="0"/>
    <n v="146"/>
    <n v="0"/>
    <n v="0"/>
    <n v="0"/>
    <n v="0"/>
    <n v="0"/>
    <n v="0"/>
    <n v="0"/>
    <n v="146"/>
    <n v="0"/>
  </r>
  <r>
    <x v="11"/>
    <x v="6"/>
    <x v="0"/>
    <s v="3001107"/>
    <n v="721320"/>
    <s v="Supplies-Purchased Blood - Billable"/>
    <s v="2 West"/>
    <x v="0"/>
    <m/>
    <n v="742.95"/>
    <n v="400.05"/>
    <n v="948.69"/>
    <n v="971.55"/>
    <n v="1143"/>
    <n v="777.24"/>
    <n v="822.96"/>
    <n v="891.54"/>
    <n v="922.12"/>
    <n v="897.95"/>
    <n v="1117.56"/>
    <n v="1205.6099999999999"/>
    <n v="10841.22"/>
    <n v="-88.049999999999955"/>
  </r>
  <r>
    <x v="11"/>
    <x v="6"/>
    <x v="0"/>
    <s v="3001107"/>
    <n v="721410"/>
    <s v="Supplies-Medical - Nonbillable"/>
    <s v="2 West"/>
    <x v="0"/>
    <m/>
    <n v="6883.5"/>
    <n v="7203.06"/>
    <n v="7375.81"/>
    <n v="6668.83"/>
    <n v="7510"/>
    <n v="7253.98"/>
    <n v="7928.79"/>
    <n v="7560"/>
    <n v="8612.5300000000007"/>
    <n v="7646.79"/>
    <n v="7923.91"/>
    <n v="8125.83"/>
    <n v="90693.030000000013"/>
    <n v="-201.92000000000007"/>
  </r>
  <r>
    <x v="11"/>
    <x v="6"/>
    <x v="0"/>
    <s v="3001107"/>
    <n v="721420"/>
    <s v="Supplies-Surgical Nonbillable"/>
    <s v="2 West"/>
    <x v="0"/>
    <m/>
    <n v="1.74"/>
    <n v="5.37"/>
    <n v="181.15"/>
    <n v="25.85"/>
    <n v="1.82"/>
    <n v="39.24"/>
    <n v="0"/>
    <n v="5.27"/>
    <n v="0.57999999999999996"/>
    <n v="6.7"/>
    <n v="4.26"/>
    <n v="0.61"/>
    <n v="272.58999999999997"/>
    <n v="3.65"/>
  </r>
  <r>
    <x v="11"/>
    <x v="6"/>
    <x v="0"/>
    <s v="3001107"/>
    <n v="721420"/>
    <s v="Sterilization Process Products"/>
    <s v="2 West"/>
    <x v="0"/>
    <n v="1009"/>
    <n v="0"/>
    <n v="0"/>
    <n v="0"/>
    <n v="0"/>
    <n v="0"/>
    <n v="0"/>
    <n v="0"/>
    <n v="0"/>
    <n v="9.9600000000000009"/>
    <n v="49.79"/>
    <n v="0"/>
    <n v="0"/>
    <n v="59.75"/>
    <n v="0"/>
  </r>
  <r>
    <x v="11"/>
    <x v="6"/>
    <x v="0"/>
    <s v="3001107"/>
    <n v="721610"/>
    <s v="Supplies-Anesthesia - Nonbillable"/>
    <s v="2 West"/>
    <x v="0"/>
    <m/>
    <n v="0"/>
    <n v="8.56"/>
    <n v="28.37"/>
    <n v="204.79"/>
    <n v="119.17"/>
    <n v="4.8899999999999997"/>
    <n v="10.51"/>
    <n v="6.1"/>
    <n v="3.67"/>
    <n v="2.4500000000000002"/>
    <n v="9.7899999999999991"/>
    <n v="11.1"/>
    <n v="409.40000000000003"/>
    <n v="-1.3100000000000005"/>
  </r>
  <r>
    <x v="11"/>
    <x v="6"/>
    <x v="0"/>
    <s v="3001107"/>
    <n v="721640"/>
    <s v="Supplies-IV Solutions/Supplies - Nonbillable"/>
    <s v="2 West"/>
    <x v="0"/>
    <m/>
    <n v="2609.34"/>
    <n v="2707.68"/>
    <n v="2599.85"/>
    <n v="2856.18"/>
    <n v="3343.99"/>
    <n v="3092.45"/>
    <n v="3803.13"/>
    <n v="3719.69"/>
    <n v="4270.1400000000003"/>
    <n v="3346.95"/>
    <n v="3858.58"/>
    <n v="4596.34"/>
    <n v="40804.320000000007"/>
    <n v="-737.76000000000022"/>
  </r>
  <r>
    <x v="11"/>
    <x v="6"/>
    <x v="0"/>
    <s v="3001107"/>
    <n v="721650"/>
    <s v="Supplies-Pharmacy Drugs - Nonbillable"/>
    <s v="2 West"/>
    <x v="0"/>
    <m/>
    <n v="186.18"/>
    <n v="86.49"/>
    <n v="116.91"/>
    <n v="99.36"/>
    <n v="106.33"/>
    <n v="67.180000000000007"/>
    <n v="87.93"/>
    <n v="35.840000000000003"/>
    <n v="203.76"/>
    <n v="5.13"/>
    <n v="54.87"/>
    <n v="38.69"/>
    <n v="1088.67"/>
    <n v="16.18"/>
  </r>
  <r>
    <x v="11"/>
    <x v="6"/>
    <x v="0"/>
    <s v="3001107"/>
    <n v="721710"/>
    <s v="Supplies-Laboratory - Nonbillable"/>
    <s v="2 West"/>
    <x v="0"/>
    <m/>
    <n v="293.04000000000002"/>
    <n v="327.98"/>
    <n v="284.04000000000002"/>
    <n v="392.31"/>
    <n v="355.69"/>
    <n v="304.66000000000003"/>
    <n v="446.96"/>
    <n v="397.4"/>
    <n v="353.2"/>
    <n v="526.38"/>
    <n v="339.06"/>
    <n v="351.84"/>
    <n v="4372.5599999999995"/>
    <n v="-12.779999999999973"/>
  </r>
  <r>
    <x v="11"/>
    <x v="6"/>
    <x v="0"/>
    <s v="3001107"/>
    <n v="721710"/>
    <s v="Reagents"/>
    <s v="2 West"/>
    <x v="0"/>
    <n v="1000"/>
    <n v="0"/>
    <n v="27.05"/>
    <n v="3.15"/>
    <n v="0"/>
    <n v="3.15"/>
    <n v="0"/>
    <n v="0"/>
    <n v="0"/>
    <n v="0"/>
    <n v="5.45"/>
    <n v="0"/>
    <n v="0"/>
    <n v="38.800000000000004"/>
    <n v="0"/>
  </r>
  <r>
    <x v="11"/>
    <x v="6"/>
    <x v="0"/>
    <s v="3001107"/>
    <n v="721750"/>
    <s v="Supplies-Film/Radiographic - Nonbillable"/>
    <s v="2 West"/>
    <x v="0"/>
    <m/>
    <n v="1.87"/>
    <n v="1.87"/>
    <n v="1.87"/>
    <n v="4.68"/>
    <n v="2.81"/>
    <n v="0"/>
    <n v="2.81"/>
    <n v="0"/>
    <n v="1.87"/>
    <n v="0"/>
    <n v="3.75"/>
    <n v="2.81"/>
    <n v="24.34"/>
    <n v="0.94"/>
  </r>
  <r>
    <x v="11"/>
    <x v="6"/>
    <x v="0"/>
    <s v="3001107"/>
    <n v="721810"/>
    <s v="Supplies-Dietary/Cafeteria"/>
    <s v="2 West"/>
    <x v="0"/>
    <m/>
    <n v="2014.54"/>
    <n v="1598.52"/>
    <n v="1582"/>
    <n v="1716.12"/>
    <n v="2271.84"/>
    <n v="2211.4699999999998"/>
    <n v="2219.2800000000002"/>
    <n v="2967.75"/>
    <n v="2241.67"/>
    <n v="1754.89"/>
    <n v="2712"/>
    <n v="1111.8"/>
    <n v="24401.88"/>
    <n v="1600.2"/>
  </r>
  <r>
    <x v="11"/>
    <x v="6"/>
    <x v="0"/>
    <s v="3001107"/>
    <n v="721830"/>
    <s v="Supplies-Office"/>
    <s v="2 West"/>
    <x v="0"/>
    <m/>
    <n v="181.37"/>
    <n v="325.95999999999998"/>
    <n v="198.43"/>
    <n v="193.97"/>
    <n v="249.26"/>
    <n v="747.06"/>
    <n v="300.17"/>
    <n v="185.62"/>
    <n v="287.2"/>
    <n v="1354.13"/>
    <n v="228.38"/>
    <n v="285"/>
    <n v="4536.5499999999993"/>
    <n v="-56.620000000000005"/>
  </r>
  <r>
    <x v="11"/>
    <x v="6"/>
    <x v="0"/>
    <s v="3001107"/>
    <n v="721835"/>
    <s v="Supplies-Forms"/>
    <s v="2 West"/>
    <x v="0"/>
    <m/>
    <n v="0"/>
    <n v="0"/>
    <n v="0"/>
    <n v="0"/>
    <n v="183.71"/>
    <n v="0"/>
    <n v="0.5"/>
    <n v="0"/>
    <n v="12"/>
    <n v="0.5"/>
    <n v="0.5"/>
    <n v="16.260000000000002"/>
    <n v="213.47"/>
    <n v="-15.760000000000002"/>
  </r>
  <r>
    <x v="11"/>
    <x v="6"/>
    <x v="0"/>
    <s v="3001107"/>
    <n v="721870"/>
    <s v="Supplies-Environmental Services"/>
    <s v="2 West"/>
    <x v="0"/>
    <m/>
    <n v="658.95"/>
    <n v="804.38"/>
    <n v="555.30999999999995"/>
    <n v="786.91"/>
    <n v="757.81"/>
    <n v="654.55999999999995"/>
    <n v="1049.23"/>
    <n v="856.82"/>
    <n v="700.28"/>
    <n v="693.22"/>
    <n v="861.8"/>
    <n v="1128.22"/>
    <n v="9507.489999999998"/>
    <n v="-266.42000000000007"/>
  </r>
  <r>
    <x v="11"/>
    <x v="6"/>
    <x v="0"/>
    <s v="3001107"/>
    <n v="721910"/>
    <s v="Supplies-Small Equipment"/>
    <s v="2 West"/>
    <x v="0"/>
    <m/>
    <n v="2941.9"/>
    <n v="1013.25"/>
    <n v="1042.08"/>
    <n v="3167.74"/>
    <n v="1028.3499999999999"/>
    <n v="1130.5"/>
    <n v="1935.64"/>
    <n v="1440.08"/>
    <n v="1769.35"/>
    <n v="4819.95"/>
    <n v="1689.07"/>
    <n v="1573.32"/>
    <n v="23551.23"/>
    <n v="115.75"/>
  </r>
  <r>
    <x v="11"/>
    <x v="6"/>
    <x v="0"/>
    <s v="3001107"/>
    <n v="721910"/>
    <s v="Instruments"/>
    <s v="2 West"/>
    <x v="0"/>
    <n v="1000"/>
    <n v="60.53"/>
    <n v="71.14"/>
    <n v="96.36"/>
    <n v="52.91"/>
    <n v="47.43"/>
    <n v="63.84"/>
    <n v="49.26"/>
    <n v="43.79"/>
    <n v="52.92"/>
    <n v="46.11"/>
    <n v="59.71"/>
    <n v="74.39"/>
    <n v="718.3900000000001"/>
    <n v="-14.68"/>
  </r>
  <r>
    <x v="11"/>
    <x v="6"/>
    <x v="0"/>
    <s v="3001107"/>
    <n v="721980"/>
    <s v="Supplies-Other"/>
    <s v="2 West"/>
    <x v="0"/>
    <m/>
    <n v="0"/>
    <n v="0"/>
    <n v="21.57"/>
    <n v="0"/>
    <n v="0"/>
    <n v="56.71"/>
    <n v="0"/>
    <n v="0"/>
    <n v="0"/>
    <n v="0"/>
    <n v="0"/>
    <n v="50.25"/>
    <n v="128.53"/>
    <n v="-50.25"/>
  </r>
  <r>
    <x v="11"/>
    <x v="6"/>
    <x v="0"/>
    <s v="3001107"/>
    <n v="722000"/>
    <s v="Supplies-Freight Expense"/>
    <s v="2 West"/>
    <x v="0"/>
    <m/>
    <n v="0"/>
    <n v="0"/>
    <n v="0"/>
    <n v="21.21"/>
    <n v="0"/>
    <n v="0"/>
    <n v="0"/>
    <n v="0"/>
    <n v="16.46"/>
    <n v="0"/>
    <n v="8.26"/>
    <n v="0"/>
    <n v="45.93"/>
    <n v="8.26"/>
  </r>
  <r>
    <x v="12"/>
    <x v="6"/>
    <x v="0"/>
    <s v="3001107"/>
    <n v="730020"/>
    <s v="Rental and Leases-Equipment (DO NOT USE)"/>
    <s v="2 West"/>
    <x v="0"/>
    <m/>
    <n v="0"/>
    <n v="84.32"/>
    <n v="42"/>
    <n v="-3879.38"/>
    <n v="-3126.28"/>
    <n v="0"/>
    <n v="76.040000000000006"/>
    <n v="0"/>
    <n v="38.020000000000003"/>
    <n v="0"/>
    <n v="76.040000000000006"/>
    <n v="38.020000000000003"/>
    <n v="-6651.2199999999993"/>
    <n v="38.020000000000003"/>
  </r>
  <r>
    <x v="12"/>
    <x v="6"/>
    <x v="0"/>
    <s v="3001107"/>
    <n v="730020"/>
    <s v="Rental and Leases-Copier Usage Fees (DO NOT USE)"/>
    <s v="2 West"/>
    <x v="0"/>
    <n v="5100"/>
    <n v="272.69"/>
    <n v="248.05"/>
    <n v="260.37"/>
    <n v="260.37"/>
    <n v="260.37"/>
    <n v="260.37"/>
    <n v="3552.26"/>
    <n v="117.05"/>
    <n v="116.8"/>
    <n v="852.4"/>
    <n v="117.05"/>
    <n v="131.49"/>
    <n v="6449.2699999999995"/>
    <n v="-14.440000000000012"/>
  </r>
  <r>
    <x v="15"/>
    <x v="6"/>
    <x v="0"/>
    <s v="3001107"/>
    <n v="731060"/>
    <s v="Telephone"/>
    <s v="2 West"/>
    <x v="0"/>
    <m/>
    <n v="0"/>
    <n v="0"/>
    <n v="58"/>
    <n v="21.13"/>
    <n v="0"/>
    <n v="0"/>
    <n v="0"/>
    <n v="76"/>
    <n v="0"/>
    <n v="0"/>
    <n v="0"/>
    <n v="58"/>
    <n v="213.13"/>
    <n v="-58"/>
  </r>
  <r>
    <x v="15"/>
    <x v="6"/>
    <x v="0"/>
    <s v="3001107"/>
    <n v="731060"/>
    <s v="Cell Phones"/>
    <s v="2 West"/>
    <x v="0"/>
    <n v="1001"/>
    <n v="0"/>
    <n v="0"/>
    <n v="0"/>
    <n v="0"/>
    <n v="0"/>
    <n v="0"/>
    <n v="0"/>
    <n v="0"/>
    <n v="0"/>
    <n v="118.65"/>
    <n v="53.96"/>
    <n v="53.32"/>
    <n v="225.93"/>
    <n v="0.64000000000000057"/>
  </r>
  <r>
    <x v="16"/>
    <x v="6"/>
    <x v="0"/>
    <s v="3001107"/>
    <n v="732030"/>
    <s v="Repairs---Other"/>
    <s v="2 West"/>
    <x v="0"/>
    <m/>
    <n v="10.65"/>
    <n v="0"/>
    <n v="0"/>
    <n v="0"/>
    <n v="0"/>
    <n v="0"/>
    <n v="0"/>
    <n v="204.38"/>
    <n v="0"/>
    <n v="-187.5"/>
    <n v="0"/>
    <n v="0"/>
    <n v="27.53"/>
    <n v="0"/>
  </r>
  <r>
    <x v="13"/>
    <x v="6"/>
    <x v="0"/>
    <s v="3001107"/>
    <n v="735070"/>
    <s v="Depreciation-Movable Equipment"/>
    <s v="2 West"/>
    <x v="0"/>
    <m/>
    <n v="1057.32"/>
    <n v="1057.32"/>
    <n v="1057.32"/>
    <n v="1057.31"/>
    <n v="1057.33"/>
    <n v="1057.29"/>
    <n v="1057.3399999999999"/>
    <n v="1057.29"/>
    <n v="1057.3499999999999"/>
    <n v="1057.29"/>
    <n v="1057.3599999999999"/>
    <n v="1057.29"/>
    <n v="12687.810000000001"/>
    <n v="6.9999999999936335E-2"/>
  </r>
  <r>
    <x v="0"/>
    <x v="6"/>
    <x v="0"/>
    <s v="3001107"/>
    <n v="740020"/>
    <s v="Education-Registration Fees"/>
    <s v="2 West"/>
    <x v="0"/>
    <m/>
    <n v="0"/>
    <n v="139"/>
    <n v="929"/>
    <n v="180"/>
    <n v="0"/>
    <n v="28.5"/>
    <n v="0"/>
    <n v="0"/>
    <n v="0"/>
    <n v="0"/>
    <n v="296"/>
    <n v="250"/>
    <n v="1822.5"/>
    <n v="46"/>
  </r>
  <r>
    <x v="0"/>
    <x v="6"/>
    <x v="0"/>
    <s v="3001107"/>
    <n v="743020"/>
    <s v="Dues--Individual"/>
    <s v="2 West"/>
    <x v="0"/>
    <m/>
    <n v="0"/>
    <n v="0"/>
    <n v="0"/>
    <n v="135"/>
    <n v="0"/>
    <n v="0"/>
    <n v="0"/>
    <n v="0"/>
    <n v="0"/>
    <n v="340"/>
    <n v="0"/>
    <n v="0"/>
    <n v="475"/>
    <n v="0"/>
  </r>
  <r>
    <x v="0"/>
    <x v="6"/>
    <x v="0"/>
    <s v="3001107"/>
    <n v="749510"/>
    <s v="Miscellaneous Expenses"/>
    <s v="2 West"/>
    <x v="0"/>
    <m/>
    <n v="0"/>
    <n v="314.8"/>
    <n v="-314.8"/>
    <n v="0"/>
    <n v="0"/>
    <n v="45.51"/>
    <n v="-18.48"/>
    <n v="699.44"/>
    <n v="-30.15"/>
    <n v="81.09"/>
    <n v="-90.88"/>
    <n v="72.290000000000006"/>
    <n v="758.82"/>
    <n v="-163.17000000000002"/>
  </r>
  <r>
    <x v="0"/>
    <x v="6"/>
    <x v="0"/>
    <s v="3001107"/>
    <n v="749530"/>
    <s v="Travel"/>
    <s v="2 West"/>
    <x v="0"/>
    <m/>
    <n v="0"/>
    <n v="0"/>
    <n v="0"/>
    <n v="234.25"/>
    <n v="0"/>
    <n v="0"/>
    <n v="0"/>
    <n v="0"/>
    <n v="0"/>
    <n v="0"/>
    <n v="12"/>
    <n v="0"/>
    <n v="246.25"/>
    <n v="12"/>
  </r>
  <r>
    <x v="0"/>
    <x v="6"/>
    <x v="0"/>
    <s v="3001107"/>
    <n v="749530"/>
    <s v="Mileage"/>
    <s v="2 West"/>
    <x v="0"/>
    <n v="1001"/>
    <n v="0"/>
    <n v="0"/>
    <n v="0"/>
    <n v="232.17"/>
    <n v="0"/>
    <n v="0"/>
    <n v="0"/>
    <n v="0"/>
    <n v="0"/>
    <n v="0"/>
    <n v="78.88"/>
    <n v="296"/>
    <n v="607.04999999999995"/>
    <n v="-217.12"/>
  </r>
  <r>
    <x v="18"/>
    <x v="3"/>
    <x v="0"/>
    <s v="3002101"/>
    <n v="400010"/>
    <s v="Acute I/P Svcs Rev--Medicare"/>
    <s v="Med/Surg 9th Floor"/>
    <x v="0"/>
    <n v="1100"/>
    <n v="-2036063.79"/>
    <n v="-2213434.06"/>
    <n v="-2022545.09"/>
    <n v="-2508813.23"/>
    <n v="-2354905.64"/>
    <n v="-2426046.23"/>
    <n v="-2373418.25"/>
    <n v="-2153280.29"/>
    <n v="-2342168.7400000002"/>
    <n v="-2363777.19"/>
    <n v="-2877519.99"/>
    <n v="-2184015.41"/>
    <n v="-27855987.91"/>
    <n v="-693504.58000000007"/>
  </r>
  <r>
    <x v="18"/>
    <x v="3"/>
    <x v="0"/>
    <s v="3002101"/>
    <n v="400010"/>
    <s v="Acute I/P Svcs Rev--Medicaid"/>
    <s v="Med/Surg 9th Floor"/>
    <x v="0"/>
    <n v="1200"/>
    <n v="-790624.11"/>
    <n v="-691064.83"/>
    <n v="-717511.21"/>
    <n v="-474596.24"/>
    <n v="-477184.87"/>
    <n v="-352582.53"/>
    <n v="-536445.93000000005"/>
    <n v="-685783.81"/>
    <n v="-659738.6"/>
    <n v="-502483.76"/>
    <n v="-311855.61"/>
    <n v="-807323.46"/>
    <n v="-7007194.96"/>
    <n v="495467.85"/>
  </r>
  <r>
    <x v="18"/>
    <x v="3"/>
    <x v="0"/>
    <s v="3002101"/>
    <n v="400010"/>
    <s v="Acute I/P Svcs Rev--Comm Insurance"/>
    <s v="Med/Surg 9th Floor"/>
    <x v="0"/>
    <n v="1300"/>
    <n v="43672.82"/>
    <n v="-10975.6"/>
    <n v="-6342"/>
    <n v="-12684"/>
    <n v="714.27"/>
    <n v="-6342"/>
    <n v="-17718.169999999998"/>
    <n v="-32689"/>
    <n v="-51933.11"/>
    <n v="-59974.94"/>
    <n v="7349.05"/>
    <n v="-98967.24"/>
    <n v="-245889.91999999998"/>
    <n v="106316.29000000001"/>
  </r>
  <r>
    <x v="18"/>
    <x v="3"/>
    <x v="0"/>
    <s v="3002101"/>
    <n v="400010"/>
    <s v="Acute I/P Svcs Rev--BCBS Comm"/>
    <s v="Med/Surg 9th Floor"/>
    <x v="0"/>
    <n v="1301"/>
    <n v="-65137.71"/>
    <n v="-103996.14"/>
    <n v="-69223.929999999993"/>
    <n v="-48253.02"/>
    <n v="0"/>
    <n v="0"/>
    <n v="-11694.06"/>
    <n v="-91875.71"/>
    <n v="-51768.79"/>
    <n v="-94585.03"/>
    <n v="-29683.18"/>
    <n v="-40120.14"/>
    <n v="-606337.71000000008"/>
    <n v="10436.959999999999"/>
  </r>
  <r>
    <x v="18"/>
    <x v="3"/>
    <x v="0"/>
    <s v="3002101"/>
    <n v="400010"/>
    <s v="Acute I/P Svcs Rev--Managed Care"/>
    <s v="Med/Surg 9th Floor"/>
    <x v="0"/>
    <n v="1400"/>
    <n v="-292215.95"/>
    <n v="-293756.74"/>
    <n v="-461029.89"/>
    <n v="-247925.61"/>
    <n v="-245910.96"/>
    <n v="-336614.44"/>
    <n v="-330642.42"/>
    <n v="-185635.66"/>
    <n v="-1756353.66"/>
    <n v="1410736"/>
    <n v="-269888.03999999998"/>
    <n v="-254428.56"/>
    <n v="-3263665.93"/>
    <n v="-15459.479999999981"/>
  </r>
  <r>
    <x v="18"/>
    <x v="3"/>
    <x v="0"/>
    <s v="3002101"/>
    <n v="400010"/>
    <s v="Acute I/P Svcs Rev--Self Pay"/>
    <s v="Med/Surg 9th Floor"/>
    <x v="0"/>
    <n v="1500"/>
    <n v="-18325.36"/>
    <n v="-12978.6"/>
    <n v="-15780.55"/>
    <n v="0"/>
    <n v="-34137.199999999997"/>
    <n v="-30896.53"/>
    <n v="-6128.99"/>
    <n v="-3266"/>
    <n v="-13374.58"/>
    <n v="-7643.95"/>
    <n v="-10695.48"/>
    <n v="-10237.01"/>
    <n v="-163464.25000000003"/>
    <n v="-458.46999999999935"/>
  </r>
  <r>
    <x v="18"/>
    <x v="3"/>
    <x v="0"/>
    <s v="3002101"/>
    <n v="400010"/>
    <s v="Acute I/P Svcs Rev--Other"/>
    <s v="Med/Surg 9th Floor"/>
    <x v="0"/>
    <n v="1700"/>
    <n v="-86538.58"/>
    <n v="-146758.59"/>
    <n v="-93378.19"/>
    <n v="-36994.32"/>
    <n v="-37797.089999999997"/>
    <n v="-149609.29"/>
    <n v="-190415.17"/>
    <n v="-90916.69"/>
    <n v="-166099.29"/>
    <n v="-198861.55"/>
    <n v="-61320.13"/>
    <n v="-183318.89"/>
    <n v="-1442007.7800000003"/>
    <n v="121998.76000000001"/>
  </r>
  <r>
    <x v="19"/>
    <x v="3"/>
    <x v="0"/>
    <s v="3002101"/>
    <n v="400020"/>
    <s v="O/P Care Svcs Rev--Medicare"/>
    <s v="Med/Surg 9th Floor"/>
    <x v="0"/>
    <n v="1100"/>
    <n v="-125007.4"/>
    <n v="-204298.85"/>
    <n v="-204191.44"/>
    <n v="-263689.40999999997"/>
    <n v="-338472.09"/>
    <n v="-181186.54"/>
    <n v="-341120.19"/>
    <n v="-225932.08"/>
    <n v="-290054.51"/>
    <n v="-198055.78"/>
    <n v="-134370.32"/>
    <n v="-87975.08"/>
    <n v="-2594353.6899999995"/>
    <n v="-46395.240000000005"/>
  </r>
  <r>
    <x v="19"/>
    <x v="3"/>
    <x v="0"/>
    <s v="3002101"/>
    <n v="400020"/>
    <s v="O/P Care Svcs Rev--Medicaid"/>
    <s v="Med/Surg 9th Floor"/>
    <x v="0"/>
    <n v="1200"/>
    <n v="-109431.82"/>
    <n v="-108315.89"/>
    <n v="-151132.96"/>
    <n v="-153896.87"/>
    <n v="-115933.79"/>
    <n v="-84912.11"/>
    <n v="-36997.18"/>
    <n v="-6517.16"/>
    <n v="-19164.48"/>
    <n v="-22756.43"/>
    <n v="-10267.969999999999"/>
    <n v="-12085.26"/>
    <n v="-831411.92000000016"/>
    <n v="1817.2900000000009"/>
  </r>
  <r>
    <x v="19"/>
    <x v="3"/>
    <x v="0"/>
    <s v="3002101"/>
    <n v="400020"/>
    <s v="O/P Care Svcs Rev--Comm Insurance"/>
    <s v="Med/Surg 9th Floor"/>
    <x v="0"/>
    <n v="1300"/>
    <n v="-4753.6899999999996"/>
    <n v="-1701.56"/>
    <n v="0"/>
    <n v="0"/>
    <n v="-1659.19"/>
    <n v="0"/>
    <n v="0"/>
    <n v="0"/>
    <n v="0"/>
    <n v="0"/>
    <n v="0"/>
    <n v="0"/>
    <n v="-8114.4400000000005"/>
    <n v="0"/>
  </r>
  <r>
    <x v="19"/>
    <x v="3"/>
    <x v="0"/>
    <s v="3002101"/>
    <n v="400020"/>
    <s v="O/P Care Svcs Rev--BCBS Comm"/>
    <s v="Med/Surg 9th Floor"/>
    <x v="0"/>
    <n v="1301"/>
    <n v="-8349.26"/>
    <n v="1567.28"/>
    <n v="-1717.69"/>
    <n v="-4117.84"/>
    <n v="-127.63"/>
    <n v="-6393.37"/>
    <n v="528.52"/>
    <n v="-12436.33"/>
    <n v="-26021.86"/>
    <n v="0"/>
    <n v="-12443.66"/>
    <n v="-3372.39"/>
    <n v="-72884.23"/>
    <n v="-9071.27"/>
  </r>
  <r>
    <x v="19"/>
    <x v="3"/>
    <x v="0"/>
    <s v="3002101"/>
    <n v="400020"/>
    <s v="O/P Care Svcs Rev--Managed Care"/>
    <s v="Med/Surg 9th Floor"/>
    <x v="0"/>
    <n v="1400"/>
    <n v="-43289.95"/>
    <n v="-30070"/>
    <n v="-19725.169999999998"/>
    <n v="-47358.44"/>
    <n v="-15206.45"/>
    <n v="-41978.13"/>
    <n v="-21917.43"/>
    <n v="-21146.18"/>
    <n v="-22786.84"/>
    <n v="-50153.18"/>
    <n v="-32602.92"/>
    <n v="-42475.11"/>
    <n v="-388709.8"/>
    <n v="9872.1900000000023"/>
  </r>
  <r>
    <x v="19"/>
    <x v="3"/>
    <x v="0"/>
    <s v="3002101"/>
    <n v="400020"/>
    <s v="O/P Care Svcs Rev--Self Pay"/>
    <s v="Med/Surg 9th Floor"/>
    <x v="0"/>
    <n v="1500"/>
    <n v="-7869.79"/>
    <n v="0"/>
    <n v="0"/>
    <n v="-2169.71"/>
    <n v="2169.71"/>
    <n v="-6381.5"/>
    <n v="-4247.09"/>
    <n v="0"/>
    <n v="0"/>
    <n v="-18452.3"/>
    <n v="-12689.85"/>
    <n v="-5725.56"/>
    <n v="-55366.09"/>
    <n v="-6964.29"/>
  </r>
  <r>
    <x v="19"/>
    <x v="3"/>
    <x v="0"/>
    <s v="3002101"/>
    <n v="400020"/>
    <s v="O/P Care Svcs Rev--Other"/>
    <s v="Med/Surg 9th Floor"/>
    <x v="0"/>
    <n v="1700"/>
    <n v="0"/>
    <n v="-10051.1"/>
    <n v="-6741.62"/>
    <n v="-30748.9"/>
    <n v="-33788.839999999997"/>
    <n v="-24530.2"/>
    <n v="-16075.96"/>
    <n v="-24852.07"/>
    <n v="12.57"/>
    <n v="3410.03"/>
    <n v="0"/>
    <n v="0"/>
    <n v="-143366.09"/>
    <n v="0"/>
  </r>
  <r>
    <x v="14"/>
    <x v="3"/>
    <x v="0"/>
    <s v="3002101"/>
    <n v="600050"/>
    <s v="Miscellaneous Revenue"/>
    <s v="Med/Surg 9th Floor"/>
    <x v="0"/>
    <m/>
    <n v="0"/>
    <n v="0"/>
    <n v="0"/>
    <n v="0"/>
    <n v="-1000"/>
    <n v="0"/>
    <n v="-3000"/>
    <n v="0"/>
    <n v="0"/>
    <n v="0"/>
    <n v="0"/>
    <n v="0"/>
    <n v="-4000"/>
    <n v="0"/>
  </r>
  <r>
    <x v="5"/>
    <x v="3"/>
    <x v="0"/>
    <s v="3002101"/>
    <n v="700014"/>
    <s v="Salaries-Management-Productive"/>
    <s v="Med/Surg 9th Floor"/>
    <x v="0"/>
    <m/>
    <n v="16437.96"/>
    <n v="17942.05"/>
    <n v="21341.15"/>
    <n v="12483.8"/>
    <n v="22217.35"/>
    <n v="8798.0300000000007"/>
    <n v="18265.96"/>
    <n v="17612.62"/>
    <n v="22477.95"/>
    <n v="13702.82"/>
    <n v="23357.3"/>
    <n v="15210.57"/>
    <n v="209847.56"/>
    <n v="8146.73"/>
  </r>
  <r>
    <x v="5"/>
    <x v="3"/>
    <x v="0"/>
    <s v="3002101"/>
    <n v="700026"/>
    <s v="Salaries-RN-Productive"/>
    <s v="Med/Surg 9th Floor"/>
    <x v="0"/>
    <m/>
    <n v="271526.17"/>
    <n v="276666.09999999998"/>
    <n v="285661.52"/>
    <n v="278671.78000000003"/>
    <n v="261408.39"/>
    <n v="285006.13"/>
    <n v="281989.24"/>
    <n v="260001.1"/>
    <n v="271092.18"/>
    <n v="270072.55"/>
    <n v="265811.62"/>
    <n v="267713.86"/>
    <n v="3275620.6399999997"/>
    <n v="-1902.2399999999907"/>
  </r>
  <r>
    <x v="5"/>
    <x v="3"/>
    <x v="0"/>
    <s v="3002101"/>
    <n v="700026"/>
    <s v="Salaries-RN-OT"/>
    <s v="Med/Surg 9th Floor"/>
    <x v="0"/>
    <n v="1000"/>
    <n v="3433.45"/>
    <n v="8068.62"/>
    <n v="10034.43"/>
    <n v="5990.88"/>
    <n v="5214.76"/>
    <n v="11307.81"/>
    <n v="6691.27"/>
    <n v="9521.8700000000008"/>
    <n v="10119.98"/>
    <n v="10804.82"/>
    <n v="10029.15"/>
    <n v="6103.96"/>
    <n v="97321.000000000015"/>
    <n v="3925.1899999999996"/>
  </r>
  <r>
    <x v="5"/>
    <x v="3"/>
    <x v="0"/>
    <s v="3002101"/>
    <n v="700026"/>
    <s v="Salaries-RN-Other"/>
    <s v="Med/Surg 9th Floor"/>
    <x v="0"/>
    <n v="2000"/>
    <n v="25537.119999999999"/>
    <n v="26356.47"/>
    <n v="26553.41"/>
    <n v="26157.11"/>
    <n v="25847.02"/>
    <n v="24621.31"/>
    <n v="26076.21"/>
    <n v="23609.82"/>
    <n v="25496.35"/>
    <n v="24028.080000000002"/>
    <n v="26022.18"/>
    <n v="25498.77"/>
    <n v="305803.85000000003"/>
    <n v="523.40999999999985"/>
  </r>
  <r>
    <x v="5"/>
    <x v="3"/>
    <x v="0"/>
    <s v="3002101"/>
    <n v="700032"/>
    <s v="Salaries-Other Pat Care Providers-Productive"/>
    <s v="Med/Surg 9th Floor"/>
    <x v="0"/>
    <m/>
    <n v="78128.25"/>
    <n v="71146.33"/>
    <n v="83682.149999999994"/>
    <n v="78837.990000000005"/>
    <n v="88155.65"/>
    <n v="63898.41"/>
    <n v="69498.36"/>
    <n v="60888.91"/>
    <n v="78457.279999999999"/>
    <n v="67495.320000000007"/>
    <n v="86480.27"/>
    <n v="82574.33"/>
    <n v="909243.25000000012"/>
    <n v="3905.9400000000023"/>
  </r>
  <r>
    <x v="5"/>
    <x v="3"/>
    <x v="0"/>
    <s v="3002101"/>
    <n v="700032"/>
    <s v="Salaries-Other Pat Care Providers-OT"/>
    <s v="Med/Surg 9th Floor"/>
    <x v="0"/>
    <n v="1000"/>
    <n v="4017.09"/>
    <n v="973.48"/>
    <n v="2651.83"/>
    <n v="3864.27"/>
    <n v="782.39"/>
    <n v="482.12"/>
    <n v="2569.41"/>
    <n v="1919.79"/>
    <n v="4251.51"/>
    <n v="1644.94"/>
    <n v="7331.42"/>
    <n v="9449.7800000000007"/>
    <n v="39938.03"/>
    <n v="-2118.3600000000006"/>
  </r>
  <r>
    <x v="5"/>
    <x v="3"/>
    <x v="0"/>
    <s v="3002101"/>
    <n v="700032"/>
    <s v="Salaries-Other Pat Care Providers-Other"/>
    <s v="Med/Surg 9th Floor"/>
    <x v="0"/>
    <n v="2000"/>
    <n v="6921.34"/>
    <n v="5674.78"/>
    <n v="6321.11"/>
    <n v="6488.97"/>
    <n v="6956.99"/>
    <n v="4932.04"/>
    <n v="5474.03"/>
    <n v="4713.41"/>
    <n v="6704.64"/>
    <n v="5012.75"/>
    <n v="6526.76"/>
    <n v="6548.08"/>
    <n v="72274.899999999994"/>
    <n v="-21.319999999999709"/>
  </r>
  <r>
    <x v="5"/>
    <x v="3"/>
    <x v="0"/>
    <s v="3002101"/>
    <n v="700038"/>
    <s v="Salaries-Service/Support-Productive"/>
    <s v="Med/Surg 9th Floor"/>
    <x v="0"/>
    <m/>
    <n v="1982.83"/>
    <n v="603.09"/>
    <n v="1402.57"/>
    <n v="1039.28"/>
    <n v="-620.94000000000005"/>
    <n v="0"/>
    <n v="332.19"/>
    <n v="952.18"/>
    <n v="2703.84"/>
    <n v="2326.52"/>
    <n v="2148.0300000000002"/>
    <n v="2355.17"/>
    <n v="15224.760000000002"/>
    <n v="-207.13999999999987"/>
  </r>
  <r>
    <x v="5"/>
    <x v="3"/>
    <x v="0"/>
    <s v="3002101"/>
    <n v="700038"/>
    <s v="Salaries-Service/Support-OT"/>
    <s v="Med/Surg 9th Floor"/>
    <x v="0"/>
    <n v="1000"/>
    <n v="0"/>
    <n v="0"/>
    <n v="0"/>
    <n v="0"/>
    <n v="0"/>
    <n v="0"/>
    <n v="0"/>
    <n v="0"/>
    <n v="0"/>
    <n v="111.88"/>
    <n v="-26.21"/>
    <n v="0"/>
    <n v="85.669999999999987"/>
    <n v="-26.21"/>
  </r>
  <r>
    <x v="5"/>
    <x v="3"/>
    <x v="0"/>
    <s v="3002101"/>
    <n v="700054"/>
    <s v="Salaries-Management-Non-productive"/>
    <s v="Med/Surg 9th Floor"/>
    <x v="0"/>
    <m/>
    <n v="9610.01"/>
    <n v="6553.85"/>
    <n v="186.94"/>
    <n v="10405.4"/>
    <n v="2553.42"/>
    <n v="17637.900000000001"/>
    <n v="3909.08"/>
    <n v="2740.38"/>
    <n v="55.9"/>
    <n v="8103.36"/>
    <n v="-823.47"/>
    <n v="6596.68"/>
    <n v="67529.450000000012"/>
    <n v="-7420.1500000000005"/>
  </r>
  <r>
    <x v="5"/>
    <x v="3"/>
    <x v="0"/>
    <s v="3002101"/>
    <n v="700054"/>
    <s v="Salaries-Management-NonProd-Other"/>
    <s v="Med/Surg 9th Floor"/>
    <x v="0"/>
    <n v="2000"/>
    <n v="0"/>
    <n v="0"/>
    <n v="0"/>
    <n v="0"/>
    <n v="0"/>
    <n v="5049.2700000000004"/>
    <n v="-5049.2700000000004"/>
    <n v="0"/>
    <n v="0"/>
    <n v="0"/>
    <n v="0"/>
    <n v="0"/>
    <n v="0"/>
    <n v="0"/>
  </r>
  <r>
    <x v="5"/>
    <x v="3"/>
    <x v="0"/>
    <s v="3002101"/>
    <n v="700066"/>
    <s v="Salaries-RN-Non-productive"/>
    <s v="Med/Surg 9th Floor"/>
    <x v="0"/>
    <m/>
    <n v="45780.84"/>
    <n v="49929.58"/>
    <n v="45536.69"/>
    <n v="41866.18"/>
    <n v="53995.01"/>
    <n v="43253.48"/>
    <n v="43824.63"/>
    <n v="29158.62"/>
    <n v="43596.08"/>
    <n v="54079.61"/>
    <n v="44129.97"/>
    <n v="42788.2"/>
    <n v="537938.8899999999"/>
    <n v="1341.7700000000041"/>
  </r>
  <r>
    <x v="5"/>
    <x v="3"/>
    <x v="0"/>
    <s v="3002101"/>
    <n v="700066"/>
    <s v="Salaries-RN-NonProd-Other"/>
    <s v="Med/Surg 9th Floor"/>
    <x v="0"/>
    <n v="2000"/>
    <n v="4112.5600000000004"/>
    <n v="3323.81"/>
    <n v="3771.12"/>
    <n v="3930.79"/>
    <n v="6329.33"/>
    <n v="2177.29"/>
    <n v="2567.09"/>
    <n v="2377.4299999999998"/>
    <n v="2923.54"/>
    <n v="4960.76"/>
    <n v="3223.13"/>
    <n v="2376.73"/>
    <n v="42073.58"/>
    <n v="846.40000000000009"/>
  </r>
  <r>
    <x v="5"/>
    <x v="3"/>
    <x v="0"/>
    <s v="3002101"/>
    <n v="700072"/>
    <s v="Salaries-Other Pat Care Providers-Non-productive"/>
    <s v="Med/Surg 9th Floor"/>
    <x v="0"/>
    <m/>
    <n v="8837.7199999999993"/>
    <n v="13150.45"/>
    <n v="10432.969999999999"/>
    <n v="6857.74"/>
    <n v="9011.68"/>
    <n v="11874.47"/>
    <n v="9497.1"/>
    <n v="11799.09"/>
    <n v="11534.97"/>
    <n v="5289.15"/>
    <n v="12400.65"/>
    <n v="6176.73"/>
    <n v="116862.71999999999"/>
    <n v="6223.92"/>
  </r>
  <r>
    <x v="5"/>
    <x v="3"/>
    <x v="0"/>
    <s v="3002101"/>
    <n v="700072"/>
    <s v="Salaries-Other Pat Care Providers-NonProd-Other"/>
    <s v="Med/Surg 9th Floor"/>
    <x v="0"/>
    <n v="2000"/>
    <n v="514"/>
    <n v="552.14"/>
    <n v="663.05"/>
    <n v="599.36"/>
    <n v="983.33"/>
    <n v="1963.65"/>
    <n v="713.99"/>
    <n v="-990.43"/>
    <n v="664.42"/>
    <n v="343.58"/>
    <n v="660.15"/>
    <n v="568.99"/>
    <n v="7236.2299999999987"/>
    <n v="91.159999999999968"/>
  </r>
  <r>
    <x v="5"/>
    <x v="3"/>
    <x v="0"/>
    <s v="3002101"/>
    <n v="700078"/>
    <s v="Salaries-Service/Support-Non-productive"/>
    <s v="Med/Surg 9th Floor"/>
    <x v="0"/>
    <m/>
    <n v="2127.2600000000002"/>
    <n v="672.72"/>
    <n v="352.87"/>
    <n v="233.34"/>
    <n v="262.45"/>
    <n v="6098.27"/>
    <n v="621.39"/>
    <n v="1344.55"/>
    <n v="185.37"/>
    <n v="198.18"/>
    <n v="3775.96"/>
    <n v="-660.22"/>
    <n v="15212.140000000001"/>
    <n v="4436.18"/>
  </r>
  <r>
    <x v="5"/>
    <x v="3"/>
    <x v="0"/>
    <s v="3002101"/>
    <n v="700084"/>
    <s v="Accrued PTO"/>
    <s v="Med/Surg 9th Floor"/>
    <x v="0"/>
    <m/>
    <n v="-5847.06"/>
    <n v="-5514.2"/>
    <n v="1921.23"/>
    <n v="9532.15"/>
    <n v="-9670.58"/>
    <n v="-14574.64"/>
    <n v="2469.4"/>
    <n v="7145.41"/>
    <n v="13758.97"/>
    <n v="-2247.41"/>
    <n v="2801.03"/>
    <n v="3048.71"/>
    <n v="2823.0100000000025"/>
    <n v="-247.67999999999984"/>
  </r>
  <r>
    <x v="10"/>
    <x v="3"/>
    <x v="0"/>
    <s v="3002101"/>
    <n v="710060"/>
    <s v="Contract Labor-Other"/>
    <s v="Med/Surg 9th Floor"/>
    <x v="0"/>
    <m/>
    <n v="2746.8"/>
    <n v="5037.75"/>
    <n v="4916.25"/>
    <n v="2218.75"/>
    <n v="2289.75"/>
    <n v="0"/>
    <n v="0"/>
    <n v="852"/>
    <n v="0"/>
    <n v="0"/>
    <n v="5464.5"/>
    <n v="3925"/>
    <n v="27450.799999999999"/>
    <n v="1539.5"/>
  </r>
  <r>
    <x v="10"/>
    <x v="3"/>
    <x v="0"/>
    <s v="3002101"/>
    <n v="710060"/>
    <s v="Contract Labor-Overtime"/>
    <s v="Med/Surg 9th Floor"/>
    <x v="0"/>
    <n v="5100"/>
    <n v="-388.8"/>
    <n v="0"/>
    <n v="0"/>
    <n v="0"/>
    <n v="0"/>
    <n v="0"/>
    <n v="0"/>
    <n v="0"/>
    <n v="0"/>
    <n v="0"/>
    <n v="0"/>
    <n v="383.4"/>
    <n v="-5.4000000000000341"/>
    <n v="-383.4"/>
  </r>
  <r>
    <x v="6"/>
    <x v="3"/>
    <x v="0"/>
    <s v="3002101"/>
    <n v="713010"/>
    <s v="Benefits-FICA/Medicare"/>
    <s v="Med/Surg 9th Floor"/>
    <x v="0"/>
    <m/>
    <n v="35797.64"/>
    <n v="35913.129999999997"/>
    <n v="37202.94"/>
    <n v="35598.080000000002"/>
    <n v="36351.57"/>
    <n v="36405.25"/>
    <n v="35569.11"/>
    <n v="31887.360000000001"/>
    <n v="35805.39"/>
    <n v="34837.99"/>
    <n v="36650.959999999999"/>
    <n v="35884.720000000001"/>
    <n v="427904.14"/>
    <n v="766.23999999999796"/>
  </r>
  <r>
    <x v="6"/>
    <x v="3"/>
    <x v="0"/>
    <s v="3002101"/>
    <n v="713090"/>
    <s v="Benefits-Allocated Amounts"/>
    <s v="Med/Surg 9th Floor"/>
    <x v="0"/>
    <m/>
    <n v="107808.69"/>
    <n v="100581.29"/>
    <n v="115299.38"/>
    <n v="107108.47"/>
    <n v="111869.08"/>
    <n v="101698.83"/>
    <n v="110284.56"/>
    <n v="106442.11"/>
    <n v="92459.41"/>
    <n v="108620.53"/>
    <n v="121917.68"/>
    <n v="114689.97"/>
    <n v="1298779.9999999998"/>
    <n v="7227.7099999999919"/>
  </r>
  <r>
    <x v="6"/>
    <x v="3"/>
    <x v="0"/>
    <s v="3002101"/>
    <n v="713096"/>
    <s v="Employee Recognition"/>
    <s v="Med/Surg 9th Floor"/>
    <x v="0"/>
    <n v="1017"/>
    <n v="67.27"/>
    <n v="0"/>
    <n v="0"/>
    <n v="0"/>
    <n v="0"/>
    <n v="0"/>
    <n v="300.27"/>
    <n v="61.66"/>
    <n v="254.2"/>
    <n v="93.82"/>
    <n v="270.67"/>
    <n v="1050.72"/>
    <n v="2098.6099999999997"/>
    <n v="-780.05"/>
  </r>
  <r>
    <x v="17"/>
    <x v="3"/>
    <x v="0"/>
    <s v="3002101"/>
    <n v="714520"/>
    <s v="Other Contracted Professionals"/>
    <s v="Med/Surg 9th Floor"/>
    <x v="0"/>
    <m/>
    <n v="0"/>
    <n v="1937.5"/>
    <n v="968.75"/>
    <n v="0"/>
    <n v="0"/>
    <n v="1937.5"/>
    <n v="1937.5"/>
    <n v="968.75"/>
    <n v="968.75"/>
    <n v="968.75"/>
    <n v="968.75"/>
    <n v="968.75"/>
    <n v="11625"/>
    <n v="0"/>
  </r>
  <r>
    <x v="7"/>
    <x v="3"/>
    <x v="0"/>
    <s v="3002101"/>
    <n v="718050"/>
    <s v="Document Shredding/Storage"/>
    <s v="Med/Surg 9th Floor"/>
    <x v="0"/>
    <n v="1012"/>
    <n v="18.78"/>
    <n v="19.23"/>
    <n v="17.690000000000001"/>
    <n v="18.309999999999999"/>
    <n v="18.93"/>
    <n v="18.93"/>
    <n v="18.739999999999998"/>
    <n v="16.079999999999998"/>
    <n v="16.66"/>
    <n v="21.79"/>
    <n v="18.309999999999999"/>
    <n v="18.93"/>
    <n v="222.38"/>
    <n v="-0.62000000000000099"/>
  </r>
  <r>
    <x v="7"/>
    <x v="3"/>
    <x v="0"/>
    <s v="3002101"/>
    <n v="718050"/>
    <s v="Miscellaneous Purchased Svcs"/>
    <s v="Med/Surg 9th Floor"/>
    <x v="0"/>
    <n v="1020"/>
    <n v="0"/>
    <n v="0"/>
    <n v="0"/>
    <n v="0"/>
    <n v="0"/>
    <n v="0"/>
    <n v="0"/>
    <n v="0"/>
    <n v="0"/>
    <n v="0"/>
    <n v="54.75"/>
    <n v="0"/>
    <n v="54.75"/>
    <n v="54.75"/>
  </r>
  <r>
    <x v="7"/>
    <x v="3"/>
    <x v="0"/>
    <s v="3002101"/>
    <n v="718050"/>
    <s v="Contract Svcs--Medical/Dental"/>
    <s v="Med/Surg 9th Floor"/>
    <x v="0"/>
    <n v="1024"/>
    <n v="0"/>
    <n v="0"/>
    <n v="0"/>
    <n v="0"/>
    <n v="0"/>
    <n v="0"/>
    <n v="0"/>
    <n v="0"/>
    <n v="0"/>
    <n v="0"/>
    <n v="0"/>
    <n v="124.08"/>
    <n v="124.08"/>
    <n v="-124.08"/>
  </r>
  <r>
    <x v="7"/>
    <x v="3"/>
    <x v="0"/>
    <s v="3002101"/>
    <n v="718050"/>
    <s v="Translation Services"/>
    <s v="Med/Surg 9th Floor"/>
    <x v="0"/>
    <n v="1025"/>
    <n v="48"/>
    <n v="303.75"/>
    <n v="296.42"/>
    <n v="122.45"/>
    <n v="88"/>
    <n v="314.42"/>
    <n v="67.959999999999994"/>
    <n v="0"/>
    <n v="42.66"/>
    <n v="0"/>
    <n v="27.65"/>
    <n v="24.49"/>
    <n v="1335.8000000000004"/>
    <n v="3.16"/>
  </r>
  <r>
    <x v="7"/>
    <x v="3"/>
    <x v="0"/>
    <s v="3002101"/>
    <n v="718050"/>
    <s v="Contract Management--Linen"/>
    <s v="Med/Surg 9th Floor"/>
    <x v="0"/>
    <n v="1026"/>
    <n v="10081.69"/>
    <n v="10805.56"/>
    <n v="10640.14"/>
    <n v="11065.87"/>
    <n v="13226.29"/>
    <n v="13231.89"/>
    <n v="10538.33"/>
    <n v="8097.84"/>
    <n v="6878.77"/>
    <n v="8242.0300000000007"/>
    <n v="8363.48"/>
    <n v="8261.26"/>
    <n v="119433.15"/>
    <n v="102.21999999999935"/>
  </r>
  <r>
    <x v="11"/>
    <x v="3"/>
    <x v="0"/>
    <s v="3002101"/>
    <n v="721010"/>
    <s v="Supplies-Medical - Billable"/>
    <s v="Med/Surg 9th Floor"/>
    <x v="0"/>
    <m/>
    <n v="7379.94"/>
    <n v="7046.06"/>
    <n v="8479.0400000000009"/>
    <n v="10200.49"/>
    <n v="8225.23"/>
    <n v="11807.45"/>
    <n v="11025.16"/>
    <n v="10177.469999999999"/>
    <n v="10272.129999999999"/>
    <n v="8041.8"/>
    <n v="9223.09"/>
    <n v="9016.0400000000009"/>
    <n v="110893.9"/>
    <n v="207.04999999999927"/>
  </r>
  <r>
    <x v="11"/>
    <x v="3"/>
    <x v="0"/>
    <s v="3002101"/>
    <n v="721010"/>
    <s v="Patient Monitoring"/>
    <s v="Med/Surg 9th Floor"/>
    <x v="0"/>
    <n v="1000"/>
    <n v="198.7"/>
    <n v="158.56"/>
    <n v="234.39"/>
    <n v="186.99"/>
    <n v="267.08999999999997"/>
    <n v="809.8"/>
    <n v="156.38"/>
    <n v="1207.68"/>
    <n v="201.09"/>
    <n v="1576.69"/>
    <n v="286.38"/>
    <n v="1957"/>
    <n v="7240.7500000000009"/>
    <n v="-1670.62"/>
  </r>
  <r>
    <x v="11"/>
    <x v="3"/>
    <x v="0"/>
    <s v="3002101"/>
    <n v="721020"/>
    <s v="Supplies-Surgical - Billable"/>
    <s v="Med/Surg 9th Floor"/>
    <x v="0"/>
    <m/>
    <n v="592.95000000000005"/>
    <n v="530.79999999999995"/>
    <n v="469.44"/>
    <n v="1980.65"/>
    <n v="458.28"/>
    <n v="744.02"/>
    <n v="860.89"/>
    <n v="491.16"/>
    <n v="741.64"/>
    <n v="640.41"/>
    <n v="912.36"/>
    <n v="1079.49"/>
    <n v="9502.09"/>
    <n v="-167.13"/>
  </r>
  <r>
    <x v="11"/>
    <x v="3"/>
    <x v="0"/>
    <s v="3002101"/>
    <n v="721020"/>
    <s v="Custom Packs"/>
    <s v="Med/Surg 9th Floor"/>
    <x v="0"/>
    <n v="1000"/>
    <n v="0"/>
    <n v="158.88"/>
    <n v="225.08"/>
    <n v="129.29"/>
    <n v="191.65"/>
    <n v="185.36"/>
    <n v="185.36"/>
    <n v="138.69"/>
    <n v="182.25"/>
    <n v="274.93"/>
    <n v="215.76"/>
    <n v="317.76"/>
    <n v="2205.0100000000002"/>
    <n v="-102"/>
  </r>
  <r>
    <x v="11"/>
    <x v="3"/>
    <x v="0"/>
    <s v="3002101"/>
    <n v="721020"/>
    <s v="Urological Supplies"/>
    <s v="Med/Surg 9th Floor"/>
    <x v="0"/>
    <n v="1006"/>
    <n v="0"/>
    <n v="0"/>
    <n v="0"/>
    <n v="0"/>
    <n v="0"/>
    <n v="0"/>
    <n v="17.48"/>
    <n v="0"/>
    <n v="0"/>
    <n v="0"/>
    <n v="0"/>
    <n v="106.29"/>
    <n v="123.77000000000001"/>
    <n v="-106.29"/>
  </r>
  <r>
    <x v="11"/>
    <x v="3"/>
    <x v="0"/>
    <s v="3002101"/>
    <n v="721020"/>
    <s v="Tubes Drains &amp; Related Supplies"/>
    <s v="Med/Surg 9th Floor"/>
    <x v="0"/>
    <n v="1008"/>
    <n v="-100.66"/>
    <n v="0"/>
    <n v="160.28"/>
    <n v="210.29"/>
    <n v="59.17"/>
    <n v="7.13"/>
    <n v="249.09"/>
    <n v="404.4"/>
    <n v="170.28"/>
    <n v="224.8"/>
    <n v="300.7"/>
    <n v="70.77"/>
    <n v="1756.25"/>
    <n v="229.93"/>
  </r>
  <r>
    <x v="11"/>
    <x v="3"/>
    <x v="0"/>
    <s v="3002101"/>
    <n v="721050"/>
    <s v="Supplies-Cardiac Rhythm - Billable"/>
    <s v="Med/Surg 9th Floor"/>
    <x v="0"/>
    <m/>
    <n v="0"/>
    <n v="0"/>
    <n v="86"/>
    <n v="0"/>
    <n v="0"/>
    <n v="0"/>
    <n v="0"/>
    <n v="0"/>
    <n v="0"/>
    <n v="0"/>
    <n v="0"/>
    <n v="0"/>
    <n v="86"/>
    <n v="0"/>
  </r>
  <r>
    <x v="11"/>
    <x v="3"/>
    <x v="0"/>
    <s v="3002101"/>
    <n v="721240"/>
    <s v="Supplies-IV Solutions/Supplies - Billable"/>
    <s v="Med/Surg 9th Floor"/>
    <x v="0"/>
    <m/>
    <n v="2129.02"/>
    <n v="2776.96"/>
    <n v="2330.41"/>
    <n v="1507.46"/>
    <n v="2000.43"/>
    <n v="1834.35"/>
    <n v="2856.33"/>
    <n v="745.43"/>
    <n v="2239.7199999999998"/>
    <n v="2623.66"/>
    <n v="1799.24"/>
    <n v="2283.4499999999998"/>
    <n v="25126.460000000003"/>
    <n v="-484.20999999999981"/>
  </r>
  <r>
    <x v="11"/>
    <x v="3"/>
    <x v="0"/>
    <s v="3002101"/>
    <n v="721250"/>
    <s v="Supplies-Pharmacy Drugs - Billable"/>
    <s v="Med/Surg 9th Floor"/>
    <x v="0"/>
    <m/>
    <n v="0"/>
    <n v="21.64"/>
    <n v="0.94"/>
    <n v="0"/>
    <n v="43.28"/>
    <n v="0"/>
    <n v="2.63"/>
    <n v="0"/>
    <n v="0"/>
    <n v="0"/>
    <n v="0"/>
    <n v="1.34"/>
    <n v="69.83"/>
    <n v="-1.34"/>
  </r>
  <r>
    <x v="11"/>
    <x v="3"/>
    <x v="0"/>
    <s v="3002101"/>
    <n v="721410"/>
    <s v="Supplies-Medical - Nonbillable"/>
    <s v="Med/Surg 9th Floor"/>
    <x v="0"/>
    <m/>
    <n v="20390.68"/>
    <n v="20584.64"/>
    <n v="17871.13"/>
    <n v="18129.54"/>
    <n v="22482.21"/>
    <n v="21602.43"/>
    <n v="19740.689999999999"/>
    <n v="15705.26"/>
    <n v="31305.22"/>
    <n v="22791.91"/>
    <n v="23945.77"/>
    <n v="21958.54"/>
    <n v="256508.02"/>
    <n v="1987.2299999999996"/>
  </r>
  <r>
    <x v="11"/>
    <x v="3"/>
    <x v="0"/>
    <s v="3002101"/>
    <n v="721410"/>
    <s v="Patient Monitoring"/>
    <s v="Med/Surg 9th Floor"/>
    <x v="0"/>
    <n v="1000"/>
    <n v="3.75"/>
    <n v="0"/>
    <n v="0"/>
    <n v="0"/>
    <n v="-3.75"/>
    <n v="9.67"/>
    <n v="0"/>
    <n v="0"/>
    <n v="0"/>
    <n v="0"/>
    <n v="0"/>
    <n v="0"/>
    <n v="9.67"/>
    <n v="0"/>
  </r>
  <r>
    <x v="11"/>
    <x v="3"/>
    <x v="0"/>
    <s v="3002101"/>
    <n v="721420"/>
    <s v="Supplies-Surgical Nonbillable"/>
    <s v="Med/Surg 9th Floor"/>
    <x v="0"/>
    <m/>
    <n v="74.459999999999994"/>
    <n v="94.39"/>
    <n v="146.93"/>
    <n v="67.260000000000005"/>
    <n v="81.489999999999995"/>
    <n v="22.59"/>
    <n v="44.67"/>
    <n v="23.45"/>
    <n v="15.93"/>
    <n v="71.66"/>
    <n v="26.74"/>
    <n v="12.49"/>
    <n v="682.06"/>
    <n v="14.249999999999998"/>
  </r>
  <r>
    <x v="11"/>
    <x v="3"/>
    <x v="0"/>
    <s v="3002101"/>
    <n v="721420"/>
    <s v="Tubes Drains &amp; Related Supplies"/>
    <s v="Med/Surg 9th Floor"/>
    <x v="0"/>
    <n v="1008"/>
    <n v="39.18"/>
    <n v="0.66"/>
    <n v="76.3"/>
    <n v="28.51"/>
    <n v="40.549999999999997"/>
    <n v="19.59"/>
    <n v="39.08"/>
    <n v="27.35"/>
    <n v="7.33"/>
    <n v="86.67"/>
    <n v="5.18"/>
    <n v="22.6"/>
    <n v="393.00000000000006"/>
    <n v="-17.420000000000002"/>
  </r>
  <r>
    <x v="11"/>
    <x v="3"/>
    <x v="0"/>
    <s v="3002101"/>
    <n v="721420"/>
    <s v="Sterilization Process Products"/>
    <s v="Med/Surg 9th Floor"/>
    <x v="0"/>
    <n v="1009"/>
    <n v="7.18"/>
    <n v="16.05"/>
    <n v="1.83"/>
    <n v="33.659999999999997"/>
    <n v="-1.62"/>
    <n v="37.450000000000003"/>
    <n v="9.01"/>
    <n v="12.53"/>
    <n v="16.05"/>
    <n v="12.53"/>
    <n v="10.7"/>
    <n v="32.1"/>
    <n v="187.47"/>
    <n v="-21.400000000000002"/>
  </r>
  <r>
    <x v="11"/>
    <x v="3"/>
    <x v="0"/>
    <s v="3002101"/>
    <n v="721610"/>
    <s v="Supplies-Anesthesia - Nonbillable"/>
    <s v="Med/Surg 9th Floor"/>
    <x v="0"/>
    <m/>
    <n v="634.14"/>
    <n v="534.02"/>
    <n v="1135.01"/>
    <n v="833.34"/>
    <n v="1309.46"/>
    <n v="725.53"/>
    <n v="479.6"/>
    <n v="1197.3800000000001"/>
    <n v="529.08000000000004"/>
    <n v="572.41999999999996"/>
    <n v="1923.09"/>
    <n v="1260.96"/>
    <n v="11134.029999999999"/>
    <n v="662.12999999999988"/>
  </r>
  <r>
    <x v="11"/>
    <x v="3"/>
    <x v="0"/>
    <s v="3002101"/>
    <n v="721640"/>
    <s v="Supplies-IV Solutions/Supplies - Nonbillable"/>
    <s v="Med/Surg 9th Floor"/>
    <x v="0"/>
    <m/>
    <n v="5963.9"/>
    <n v="6343.19"/>
    <n v="5307.71"/>
    <n v="5448.46"/>
    <n v="4864.96"/>
    <n v="5507.39"/>
    <n v="5155.1099999999997"/>
    <n v="4495.66"/>
    <n v="4897.1000000000004"/>
    <n v="6143.62"/>
    <n v="5652.77"/>
    <n v="6299.84"/>
    <n v="66079.710000000006"/>
    <n v="-647.06999999999971"/>
  </r>
  <r>
    <x v="11"/>
    <x v="3"/>
    <x v="0"/>
    <s v="3002101"/>
    <n v="721650"/>
    <s v="Supplies-Pharmacy Drugs - Nonbillable"/>
    <s v="Med/Surg 9th Floor"/>
    <x v="0"/>
    <m/>
    <n v="161.18"/>
    <n v="132.24"/>
    <n v="193.04"/>
    <n v="165.55"/>
    <n v="81.239999999999995"/>
    <n v="200.3"/>
    <n v="189.47"/>
    <n v="157.66999999999999"/>
    <n v="189.21"/>
    <n v="135.82"/>
    <n v="171.1"/>
    <n v="186.81"/>
    <n v="1963.6299999999999"/>
    <n v="-15.710000000000008"/>
  </r>
  <r>
    <x v="11"/>
    <x v="3"/>
    <x v="0"/>
    <s v="3002101"/>
    <n v="721710"/>
    <s v="Supplies-Laboratory - Nonbillable"/>
    <s v="Med/Surg 9th Floor"/>
    <x v="0"/>
    <m/>
    <n v="640.76"/>
    <n v="543.49"/>
    <n v="581.01"/>
    <n v="567.27"/>
    <n v="462.44"/>
    <n v="582.52"/>
    <n v="448.92"/>
    <n v="458.42"/>
    <n v="542.53"/>
    <n v="637.37"/>
    <n v="792.6"/>
    <n v="539.95000000000005"/>
    <n v="6797.28"/>
    <n v="252.64999999999998"/>
  </r>
  <r>
    <x v="11"/>
    <x v="3"/>
    <x v="0"/>
    <s v="3002101"/>
    <n v="721710"/>
    <s v="Reagents"/>
    <s v="Med/Surg 9th Floor"/>
    <x v="0"/>
    <n v="1000"/>
    <n v="70.22"/>
    <n v="0"/>
    <n v="6"/>
    <n v="-1.4"/>
    <n v="12"/>
    <n v="36"/>
    <n v="2"/>
    <n v="8"/>
    <n v="62"/>
    <n v="10"/>
    <n v="4"/>
    <n v="8"/>
    <n v="216.82"/>
    <n v="-4"/>
  </r>
  <r>
    <x v="11"/>
    <x v="3"/>
    <x v="0"/>
    <s v="3002101"/>
    <n v="721750"/>
    <s v="Supplies-Film/Radiographic - Nonbillable"/>
    <s v="Med/Surg 9th Floor"/>
    <x v="0"/>
    <m/>
    <n v="1.87"/>
    <n v="7.49"/>
    <n v="3.74"/>
    <n v="2.81"/>
    <n v="0.93"/>
    <n v="0"/>
    <n v="1.87"/>
    <n v="2.81"/>
    <n v="2.81"/>
    <n v="1.87"/>
    <n v="3.74"/>
    <n v="4.68"/>
    <n v="34.619999999999997"/>
    <n v="-0.9399999999999995"/>
  </r>
  <r>
    <x v="11"/>
    <x v="3"/>
    <x v="0"/>
    <s v="3002101"/>
    <n v="721810"/>
    <s v="Supplies-Dietary/Cafeteria"/>
    <s v="Med/Surg 9th Floor"/>
    <x v="0"/>
    <m/>
    <n v="3223.76"/>
    <n v="2574.9"/>
    <n v="3605.85"/>
    <n v="3546.27"/>
    <n v="4424.3100000000004"/>
    <n v="3105.2"/>
    <n v="3165.32"/>
    <n v="3263.9"/>
    <n v="3434.4"/>
    <n v="3011.93"/>
    <n v="3527.91"/>
    <n v="2928.79"/>
    <n v="39812.54"/>
    <n v="599.11999999999989"/>
  </r>
  <r>
    <x v="11"/>
    <x v="3"/>
    <x v="0"/>
    <s v="3002101"/>
    <n v="721830"/>
    <s v="Supplies-Office"/>
    <s v="Med/Surg 9th Floor"/>
    <x v="0"/>
    <m/>
    <n v="621.92999999999995"/>
    <n v="316.45999999999998"/>
    <n v="532.04999999999995"/>
    <n v="371.6"/>
    <n v="233.76"/>
    <n v="437.96"/>
    <n v="560.34"/>
    <n v="1178.1099999999999"/>
    <n v="1085.1500000000001"/>
    <n v="1445.82"/>
    <n v="1072.4000000000001"/>
    <n v="490.27"/>
    <n v="8345.85"/>
    <n v="582.13000000000011"/>
  </r>
  <r>
    <x v="11"/>
    <x v="3"/>
    <x v="0"/>
    <s v="3002101"/>
    <n v="721835"/>
    <s v="Supplies-Forms"/>
    <s v="Med/Surg 9th Floor"/>
    <x v="0"/>
    <m/>
    <n v="0"/>
    <n v="0"/>
    <n v="0"/>
    <n v="0"/>
    <n v="85.3"/>
    <n v="158"/>
    <n v="89.25"/>
    <n v="0"/>
    <n v="183.2"/>
    <n v="0"/>
    <n v="144.26"/>
    <n v="310.63"/>
    <n v="970.64"/>
    <n v="-166.37"/>
  </r>
  <r>
    <x v="11"/>
    <x v="3"/>
    <x v="0"/>
    <s v="3002101"/>
    <n v="721870"/>
    <s v="Supplies-Environmental Services"/>
    <s v="Med/Surg 9th Floor"/>
    <x v="0"/>
    <m/>
    <n v="1175.55"/>
    <n v="995.56"/>
    <n v="867.13"/>
    <n v="1092.49"/>
    <n v="658.29"/>
    <n v="623.52"/>
    <n v="1359.94"/>
    <n v="619.36"/>
    <n v="610.65"/>
    <n v="887.04"/>
    <n v="678.88"/>
    <n v="660.6"/>
    <n v="10229.009999999998"/>
    <n v="18.279999999999973"/>
  </r>
  <r>
    <x v="11"/>
    <x v="3"/>
    <x v="0"/>
    <s v="3002101"/>
    <n v="721880"/>
    <s v="Supplies-Linen"/>
    <s v="Med/Surg 9th Floor"/>
    <x v="0"/>
    <m/>
    <n v="22.47"/>
    <n v="12.84"/>
    <n v="19.260000000000002"/>
    <n v="22.47"/>
    <n v="6.42"/>
    <n v="0"/>
    <n v="70.62"/>
    <n v="12.84"/>
    <n v="19.260000000000002"/>
    <n v="12.84"/>
    <n v="0"/>
    <n v="25.68"/>
    <n v="224.70000000000002"/>
    <n v="-25.68"/>
  </r>
  <r>
    <x v="11"/>
    <x v="3"/>
    <x v="0"/>
    <s v="3002101"/>
    <n v="721910"/>
    <s v="Supplies-Small Equipment"/>
    <s v="Med/Surg 9th Floor"/>
    <x v="0"/>
    <m/>
    <n v="13102.98"/>
    <n v="7720.97"/>
    <n v="8291.06"/>
    <n v="12888.84"/>
    <n v="8603.82"/>
    <n v="25535.93"/>
    <n v="13984.56"/>
    <n v="30033.43"/>
    <n v="39103.85"/>
    <n v="9474.2199999999993"/>
    <n v="12485.99"/>
    <n v="5972.37"/>
    <n v="187198.02"/>
    <n v="6513.62"/>
  </r>
  <r>
    <x v="11"/>
    <x v="3"/>
    <x v="0"/>
    <s v="3002101"/>
    <n v="721910"/>
    <s v="Instruments"/>
    <s v="Med/Surg 9th Floor"/>
    <x v="0"/>
    <n v="1000"/>
    <n v="54.7"/>
    <n v="0"/>
    <n v="8"/>
    <n v="48.95"/>
    <n v="55.68"/>
    <n v="8"/>
    <n v="10.74"/>
    <n v="6"/>
    <n v="0"/>
    <n v="0"/>
    <n v="8"/>
    <n v="29.07"/>
    <n v="229.14000000000001"/>
    <n v="-21.07"/>
  </r>
  <r>
    <x v="11"/>
    <x v="3"/>
    <x v="0"/>
    <s v="3002101"/>
    <n v="721980"/>
    <s v="Supplies-Other"/>
    <s v="Med/Surg 9th Floor"/>
    <x v="0"/>
    <m/>
    <n v="0"/>
    <n v="792.72"/>
    <n v="37"/>
    <n v="0"/>
    <n v="760.08"/>
    <n v="14.6"/>
    <n v="0"/>
    <n v="1312.36"/>
    <n v="0"/>
    <n v="404.67"/>
    <n v="-109.01"/>
    <n v="0"/>
    <n v="3212.42"/>
    <n v="-109.01"/>
  </r>
  <r>
    <x v="11"/>
    <x v="3"/>
    <x v="0"/>
    <s v="3002101"/>
    <n v="722000"/>
    <s v="Supplies-Freight Expense"/>
    <s v="Med/Surg 9th Floor"/>
    <x v="0"/>
    <m/>
    <n v="0"/>
    <n v="7.93"/>
    <n v="15.86"/>
    <n v="65.58"/>
    <n v="32.549999999999997"/>
    <n v="17.47"/>
    <n v="7.97"/>
    <n v="8.23"/>
    <n v="70.260000000000005"/>
    <n v="18.23"/>
    <n v="26.83"/>
    <n v="1200.3800000000001"/>
    <n v="1471.29"/>
    <n v="-1173.5500000000002"/>
  </r>
  <r>
    <x v="12"/>
    <x v="3"/>
    <x v="0"/>
    <s v="3002101"/>
    <n v="730020"/>
    <s v="Rental and Leases-Equipment (DO NOT USE)"/>
    <s v="Med/Surg 9th Floor"/>
    <x v="0"/>
    <m/>
    <n v="0"/>
    <n v="365.4"/>
    <n v="707.2"/>
    <n v="-4376.8999999999996"/>
    <n v="-1104.52"/>
    <n v="0"/>
    <n v="750"/>
    <n v="500"/>
    <n v="500"/>
    <n v="250"/>
    <n v="250"/>
    <n v="2500"/>
    <n v="341.18000000000029"/>
    <n v="-2250"/>
  </r>
  <r>
    <x v="12"/>
    <x v="3"/>
    <x v="0"/>
    <s v="3002101"/>
    <n v="730020"/>
    <s v="Rental and Leases-Copier Usage Fees (DO NOT USE)"/>
    <s v="Med/Surg 9th Floor"/>
    <x v="0"/>
    <n v="5100"/>
    <n v="961.07"/>
    <n v="979.33"/>
    <n v="970.2"/>
    <n v="970.2"/>
    <n v="970.2"/>
    <n v="970.2"/>
    <n v="-2852.15"/>
    <n v="500.42"/>
    <n v="499.37"/>
    <n v="1313.48"/>
    <n v="477.76"/>
    <n v="903.64"/>
    <n v="6663.72"/>
    <n v="-425.88"/>
  </r>
  <r>
    <x v="15"/>
    <x v="3"/>
    <x v="0"/>
    <s v="3002101"/>
    <n v="731060"/>
    <s v="Cell Phones"/>
    <s v="Med/Surg 9th Floor"/>
    <x v="0"/>
    <n v="1001"/>
    <n v="0"/>
    <n v="125.3"/>
    <n v="51.72"/>
    <n v="0"/>
    <n v="59.56"/>
    <n v="21.64"/>
    <n v="125.88"/>
    <n v="0"/>
    <n v="63.92"/>
    <n v="126.82"/>
    <n v="62.18"/>
    <n v="63.4"/>
    <n v="700.41999999999985"/>
    <n v="-1.2199999999999989"/>
  </r>
  <r>
    <x v="15"/>
    <x v="3"/>
    <x v="0"/>
    <s v="3002101"/>
    <n v="731060"/>
    <s v="Pagers"/>
    <s v="Med/Surg 9th Floor"/>
    <x v="0"/>
    <n v="1002"/>
    <n v="73.83"/>
    <n v="73.83"/>
    <n v="73.83"/>
    <n v="74.010000000000005"/>
    <n v="74.010000000000005"/>
    <n v="0"/>
    <n v="148.02000000000001"/>
    <n v="74.010000000000005"/>
    <n v="74.010000000000005"/>
    <n v="74.010000000000005"/>
    <n v="74.010000000000005"/>
    <n v="74.010000000000005"/>
    <n v="887.57999999999993"/>
    <n v="0"/>
  </r>
  <r>
    <x v="16"/>
    <x v="3"/>
    <x v="0"/>
    <s v="3002101"/>
    <n v="732020"/>
    <s v="Repairs--Clin Equip-Parts-Internal to CHI Programs"/>
    <s v="Med/Surg 9th Floor"/>
    <x v="0"/>
    <m/>
    <n v="78.87"/>
    <n v="125.61"/>
    <n v="540.5"/>
    <n v="985.05"/>
    <n v="351.8"/>
    <n v="147.35"/>
    <n v="793.5"/>
    <n v="574.25"/>
    <n v="830.88"/>
    <n v="189.78"/>
    <n v="107.78"/>
    <n v="103.01"/>
    <n v="4828.3799999999992"/>
    <n v="4.769999999999996"/>
  </r>
  <r>
    <x v="13"/>
    <x v="3"/>
    <x v="0"/>
    <s v="3002101"/>
    <n v="735060"/>
    <s v="Depreciation-Fixed Equipment"/>
    <s v="Med/Surg 9th Floor"/>
    <x v="0"/>
    <m/>
    <n v="1737.31"/>
    <n v="1737.3"/>
    <n v="1737.31"/>
    <n v="1737.29"/>
    <n v="1737.31"/>
    <n v="1737.28"/>
    <n v="1737.31"/>
    <n v="1737.28"/>
    <n v="1737.31"/>
    <n v="1737.28"/>
    <n v="1737.31"/>
    <n v="1737.28"/>
    <n v="20847.57"/>
    <n v="2.9999999999972715E-2"/>
  </r>
  <r>
    <x v="13"/>
    <x v="3"/>
    <x v="0"/>
    <s v="3002101"/>
    <n v="735070"/>
    <s v="Depreciation-Movable Equipment"/>
    <s v="Med/Surg 9th Floor"/>
    <x v="0"/>
    <m/>
    <n v="5672.01"/>
    <n v="5672.03"/>
    <n v="5672.01"/>
    <n v="5504.76"/>
    <n v="5504.8"/>
    <n v="5504.76"/>
    <n v="5504.81"/>
    <n v="5504.76"/>
    <n v="5504.81"/>
    <n v="5504.76"/>
    <n v="5504.82"/>
    <n v="5504.76"/>
    <n v="66559.09"/>
    <n v="5.9999999999490683E-2"/>
  </r>
  <r>
    <x v="0"/>
    <x v="3"/>
    <x v="0"/>
    <s v="3002101"/>
    <n v="740020"/>
    <s v="Education-Registration Fees"/>
    <s v="Med/Surg 9th Floor"/>
    <x v="0"/>
    <m/>
    <n v="4675"/>
    <n v="0"/>
    <n v="0"/>
    <n v="0"/>
    <n v="0"/>
    <n v="0"/>
    <n v="0"/>
    <n v="0"/>
    <n v="0"/>
    <n v="0"/>
    <n v="0"/>
    <n v="65"/>
    <n v="4740"/>
    <n v="-65"/>
  </r>
  <r>
    <x v="0"/>
    <x v="3"/>
    <x v="0"/>
    <s v="3002101"/>
    <n v="743030"/>
    <s v="Subscriptions--Institutional"/>
    <s v="Med/Surg 9th Floor"/>
    <x v="0"/>
    <m/>
    <n v="0"/>
    <n v="0"/>
    <n v="0"/>
    <n v="0"/>
    <n v="0"/>
    <n v="0"/>
    <n v="0"/>
    <n v="0"/>
    <n v="0"/>
    <n v="0"/>
    <n v="133.08000000000001"/>
    <n v="0"/>
    <n v="133.08000000000001"/>
    <n v="133.08000000000001"/>
  </r>
  <r>
    <x v="0"/>
    <x v="3"/>
    <x v="0"/>
    <s v="3002101"/>
    <n v="749510"/>
    <s v="Miscellaneous Expenses"/>
    <s v="Med/Surg 9th Floor"/>
    <x v="0"/>
    <m/>
    <n v="2147.81"/>
    <n v="2992.57"/>
    <n v="-16.05"/>
    <n v="823.04"/>
    <n v="203.52"/>
    <n v="0"/>
    <n v="330.69"/>
    <n v="2400.89"/>
    <n v="13127.97"/>
    <n v="11226.42"/>
    <n v="1628.59"/>
    <n v="-1251.32"/>
    <n v="33614.129999999997"/>
    <n v="2879.91"/>
  </r>
  <r>
    <x v="0"/>
    <x v="3"/>
    <x v="0"/>
    <s v="3002101"/>
    <n v="749510"/>
    <s v="Licenses"/>
    <s v="Med/Surg 9th Floor"/>
    <x v="0"/>
    <n v="1002"/>
    <n v="0"/>
    <n v="0"/>
    <n v="63"/>
    <n v="375"/>
    <n v="0"/>
    <n v="0"/>
    <n v="440"/>
    <n v="0"/>
    <n v="0"/>
    <n v="0"/>
    <n v="0"/>
    <n v="255"/>
    <n v="1133"/>
    <n v="-255"/>
  </r>
  <r>
    <x v="0"/>
    <x v="3"/>
    <x v="0"/>
    <s v="3002101"/>
    <n v="749510"/>
    <s v="RICE Rewards"/>
    <s v="Med/Surg 9th Floor"/>
    <x v="0"/>
    <n v="5100"/>
    <n v="0"/>
    <n v="0"/>
    <n v="0"/>
    <n v="0"/>
    <n v="0"/>
    <n v="0"/>
    <n v="0"/>
    <n v="0"/>
    <n v="0"/>
    <n v="0"/>
    <n v="0"/>
    <n v="462.01"/>
    <n v="462.01"/>
    <n v="-462.01"/>
  </r>
  <r>
    <x v="0"/>
    <x v="3"/>
    <x v="0"/>
    <s v="3002101"/>
    <n v="749530"/>
    <s v="Travel"/>
    <s v="Med/Surg 9th Floor"/>
    <x v="0"/>
    <m/>
    <n v="0"/>
    <n v="0"/>
    <n v="0"/>
    <n v="0"/>
    <n v="0"/>
    <n v="0"/>
    <n v="0"/>
    <n v="44.9"/>
    <n v="0"/>
    <n v="0"/>
    <n v="0"/>
    <n v="0"/>
    <n v="44.9"/>
    <n v="0"/>
  </r>
  <r>
    <x v="18"/>
    <x v="0"/>
    <x v="0"/>
    <s v="3002102"/>
    <n v="400010"/>
    <s v="Acute I/P Svcs Rev--Medicare"/>
    <s v="3rd Medical"/>
    <x v="0"/>
    <n v="1100"/>
    <n v="-1420843.51"/>
    <n v="-1507233.07"/>
    <n v="-1559243.66"/>
    <n v="-1556022.67"/>
    <n v="-1379563.4"/>
    <n v="-1704505.46"/>
    <n v="-1558790.18"/>
    <n v="-1473699.98"/>
    <n v="-1504141.58"/>
    <n v="-1718004.03"/>
    <n v="-1413914.14"/>
    <n v="-1437785.98"/>
    <n v="-18233747.66"/>
    <n v="23871.840000000084"/>
  </r>
  <r>
    <x v="18"/>
    <x v="0"/>
    <x v="0"/>
    <s v="3002102"/>
    <n v="400010"/>
    <s v="Acute I/P Svcs Rev--Medicaid"/>
    <s v="3rd Medical"/>
    <x v="0"/>
    <n v="1200"/>
    <n v="-347977.24"/>
    <n v="-611975.11"/>
    <n v="-447178.96"/>
    <n v="-539880.47"/>
    <n v="-451305.84"/>
    <n v="-689832.58"/>
    <n v="-368350.08"/>
    <n v="-416387.93"/>
    <n v="-310817.73"/>
    <n v="-296536.02"/>
    <n v="-585537.84"/>
    <n v="-352348.47"/>
    <n v="-5418128.2700000005"/>
    <n v="-233189.37"/>
  </r>
  <r>
    <x v="18"/>
    <x v="0"/>
    <x v="0"/>
    <s v="3002102"/>
    <n v="400010"/>
    <s v="Acute I/P Svcs Rev--Comm Insurance"/>
    <s v="3rd Medical"/>
    <x v="0"/>
    <n v="1300"/>
    <n v="37364.339999999997"/>
    <n v="-17948.900000000001"/>
    <n v="-15302"/>
    <n v="0"/>
    <n v="-5929.9"/>
    <n v="-39300.81"/>
    <n v="-77925.86"/>
    <n v="0"/>
    <n v="-25030.03"/>
    <n v="-55663.78"/>
    <n v="-29125.69"/>
    <n v="-36183.08"/>
    <n v="-265045.71000000002"/>
    <n v="7057.3900000000031"/>
  </r>
  <r>
    <x v="18"/>
    <x v="0"/>
    <x v="0"/>
    <s v="3002102"/>
    <n v="400010"/>
    <s v="Acute I/P Svcs Rev--BCBS Comm"/>
    <s v="3rd Medical"/>
    <x v="0"/>
    <n v="1301"/>
    <n v="-141406.28"/>
    <n v="-89130.48"/>
    <n v="-34729.79"/>
    <n v="-70003.72"/>
    <n v="-129796.34"/>
    <n v="-50207.91"/>
    <n v="-60118.81"/>
    <n v="-77823.710000000006"/>
    <n v="-41498.910000000003"/>
    <n v="-66917.77"/>
    <n v="-129577.38"/>
    <n v="-137955.65"/>
    <n v="-1029166.7500000001"/>
    <n v="8378.2699999999895"/>
  </r>
  <r>
    <x v="18"/>
    <x v="0"/>
    <x v="0"/>
    <s v="3002102"/>
    <n v="400010"/>
    <s v="Acute I/P Svcs Rev--Managed Care"/>
    <s v="3rd Medical"/>
    <x v="0"/>
    <n v="1400"/>
    <n v="-265183.45"/>
    <n v="-189502.21"/>
    <n v="-138828.87"/>
    <n v="-139992.70000000001"/>
    <n v="-69433.33"/>
    <n v="-60244.6"/>
    <n v="-208272.04"/>
    <n v="-142134.57999999999"/>
    <n v="-133458.06"/>
    <n v="-116674.49"/>
    <n v="-186859.7"/>
    <n v="-105995.91"/>
    <n v="-1756579.94"/>
    <n v="-80863.790000000008"/>
  </r>
  <r>
    <x v="18"/>
    <x v="0"/>
    <x v="0"/>
    <s v="3002102"/>
    <n v="400010"/>
    <s v="Acute I/P Svcs Rev--Self Pay"/>
    <s v="3rd Medical"/>
    <x v="0"/>
    <n v="1500"/>
    <n v="-9302.11"/>
    <n v="-60543.6"/>
    <n v="-149213.10999999999"/>
    <n v="-85297.75"/>
    <n v="-9698.48"/>
    <n v="135272.85"/>
    <n v="32080.21"/>
    <n v="-32604.82"/>
    <n v="-47400.17"/>
    <n v="-78468.03"/>
    <n v="-96.95"/>
    <n v="-46528.46"/>
    <n v="-351800.41999999993"/>
    <n v="46431.51"/>
  </r>
  <r>
    <x v="18"/>
    <x v="0"/>
    <x v="0"/>
    <s v="3002102"/>
    <n v="400010"/>
    <s v="Acute I/P Svcs Rev--Other"/>
    <s v="3rd Medical"/>
    <x v="0"/>
    <n v="1700"/>
    <n v="-38464.14"/>
    <n v="-9833.69"/>
    <n v="-9172.08"/>
    <n v="1057.49"/>
    <n v="2933"/>
    <n v="-6126"/>
    <n v="-15877.41"/>
    <n v="-44266.81"/>
    <n v="-10223.799999999999"/>
    <n v="-74316.7"/>
    <n v="-45191.14"/>
    <n v="-32276.76"/>
    <n v="-281758.04000000004"/>
    <n v="-12914.380000000001"/>
  </r>
  <r>
    <x v="19"/>
    <x v="0"/>
    <x v="0"/>
    <s v="3002102"/>
    <n v="400020"/>
    <s v="O/P Care Svcs Rev--Medicare"/>
    <s v="3rd Medical"/>
    <x v="0"/>
    <n v="1100"/>
    <n v="-337220"/>
    <n v="-277107.61"/>
    <n v="-252274.77"/>
    <n v="-403939.19"/>
    <n v="-362069.11"/>
    <n v="-31396.61"/>
    <n v="-441487.56"/>
    <n v="-371906.77"/>
    <n v="-704323.09"/>
    <n v="-273834.15000000002"/>
    <n v="-192524.23"/>
    <n v="-388446.2"/>
    <n v="-4036529.29"/>
    <n v="195921.97"/>
  </r>
  <r>
    <x v="19"/>
    <x v="0"/>
    <x v="0"/>
    <s v="3002102"/>
    <n v="400020"/>
    <s v="O/P Care Svcs Rev--Medicaid"/>
    <s v="3rd Medical"/>
    <x v="0"/>
    <n v="1200"/>
    <n v="-32577.45"/>
    <n v="-29923.3"/>
    <n v="-56458.95"/>
    <n v="-145865.14000000001"/>
    <n v="-115648.14"/>
    <n v="-69962.539999999994"/>
    <n v="-101335.33"/>
    <n v="-87754.47"/>
    <n v="-24771.94"/>
    <n v="-28411.54"/>
    <n v="-21833.86"/>
    <n v="-55990.81"/>
    <n v="-770533.47"/>
    <n v="34156.949999999997"/>
  </r>
  <r>
    <x v="19"/>
    <x v="0"/>
    <x v="0"/>
    <s v="3002102"/>
    <n v="400020"/>
    <s v="O/P Care Svcs Rev--Comm Insurance"/>
    <s v="3rd Medical"/>
    <x v="0"/>
    <n v="1300"/>
    <n v="0"/>
    <n v="0"/>
    <n v="-363.3"/>
    <n v="-5172.53"/>
    <n v="0"/>
    <n v="-12389.64"/>
    <n v="-18410.330000000002"/>
    <n v="0"/>
    <n v="0"/>
    <n v="160.97"/>
    <n v="0"/>
    <n v="-8654.42"/>
    <n v="-44829.25"/>
    <n v="8654.42"/>
  </r>
  <r>
    <x v="19"/>
    <x v="0"/>
    <x v="0"/>
    <s v="3002102"/>
    <n v="400020"/>
    <s v="O/P Care Svcs Rev--BCBS Comm"/>
    <s v="3rd Medical"/>
    <x v="0"/>
    <n v="1301"/>
    <n v="-48304.61"/>
    <n v="-199.11"/>
    <n v="-11874.43"/>
    <n v="-20569.240000000002"/>
    <n v="-17383.68"/>
    <n v="-244486.17"/>
    <n v="-2246.21"/>
    <n v="-10482.4"/>
    <n v="-17797.78"/>
    <n v="-19732.28"/>
    <n v="-2650.48"/>
    <n v="-2649.88"/>
    <n v="-398376.27"/>
    <n v="-0.59999999999990905"/>
  </r>
  <r>
    <x v="19"/>
    <x v="0"/>
    <x v="0"/>
    <s v="3002102"/>
    <n v="400020"/>
    <s v="O/P Care Svcs Rev--Managed Care"/>
    <s v="3rd Medical"/>
    <x v="0"/>
    <n v="1400"/>
    <n v="-66195.17"/>
    <n v="-44032.01"/>
    <n v="-17210.41"/>
    <n v="-11231.64"/>
    <n v="-82736.08"/>
    <n v="-69736.13"/>
    <n v="-126620.2"/>
    <n v="-122418.5"/>
    <n v="-165811.97"/>
    <n v="-125496.61"/>
    <n v="-114175.29"/>
    <n v="-90879.84"/>
    <n v="-1036543.85"/>
    <n v="-23295.449999999997"/>
  </r>
  <r>
    <x v="19"/>
    <x v="0"/>
    <x v="0"/>
    <s v="3002102"/>
    <n v="400020"/>
    <s v="O/P Care Svcs Rev--Self Pay"/>
    <s v="3rd Medical"/>
    <x v="0"/>
    <n v="1500"/>
    <n v="3882.6"/>
    <n v="-3093.78"/>
    <n v="-5847.61"/>
    <n v="0"/>
    <n v="-3502.71"/>
    <n v="-16076.13"/>
    <n v="-1057.04"/>
    <n v="-27108.95"/>
    <n v="3289.98"/>
    <n v="-11151.22"/>
    <n v="-12440.14"/>
    <n v="-14188.66"/>
    <n v="-87293.66"/>
    <n v="1748.5200000000004"/>
  </r>
  <r>
    <x v="19"/>
    <x v="0"/>
    <x v="0"/>
    <s v="3002102"/>
    <n v="400020"/>
    <s v="O/P Care Svcs Rev--Other"/>
    <s v="3rd Medical"/>
    <x v="0"/>
    <n v="1700"/>
    <n v="3026.12"/>
    <n v="-19319.150000000001"/>
    <n v="0"/>
    <n v="-21174.79"/>
    <n v="229.5"/>
    <n v="-31323.119999999999"/>
    <n v="160.97"/>
    <n v="-490.07"/>
    <n v="-6527.2"/>
    <n v="-29.53"/>
    <n v="-9663.4500000000007"/>
    <n v="-567.58000000000004"/>
    <n v="-85678.3"/>
    <n v="-9095.8700000000008"/>
  </r>
  <r>
    <x v="14"/>
    <x v="0"/>
    <x v="0"/>
    <s v="3002102"/>
    <n v="600050"/>
    <s v="Miscellaneous Revenue"/>
    <s v="3rd Medical"/>
    <x v="0"/>
    <m/>
    <n v="-3000"/>
    <n v="0"/>
    <n v="0"/>
    <n v="0"/>
    <n v="0"/>
    <n v="0"/>
    <n v="0"/>
    <n v="0"/>
    <n v="0"/>
    <n v="0"/>
    <n v="0"/>
    <n v="0"/>
    <n v="-3000"/>
    <n v="0"/>
  </r>
  <r>
    <x v="5"/>
    <x v="0"/>
    <x v="0"/>
    <s v="3002102"/>
    <n v="700014"/>
    <s v="Salaries-Management-Productive"/>
    <s v="3rd Medical"/>
    <x v="0"/>
    <m/>
    <n v="9894.11"/>
    <n v="11445.28"/>
    <n v="11076.22"/>
    <n v="11699.55"/>
    <n v="7207.83"/>
    <n v="10394.870000000001"/>
    <n v="10562.82"/>
    <n v="11017.86"/>
    <n v="11777.84"/>
    <n v="8662.2000000000007"/>
    <n v="12917.48"/>
    <n v="7484.9"/>
    <n v="124140.95999999999"/>
    <n v="5432.58"/>
  </r>
  <r>
    <x v="5"/>
    <x v="0"/>
    <x v="0"/>
    <s v="3002102"/>
    <n v="700026"/>
    <s v="Salaries-RN-Productive"/>
    <s v="3rd Medical"/>
    <x v="0"/>
    <m/>
    <n v="213167.46"/>
    <n v="222076.76"/>
    <n v="238542.36"/>
    <n v="215741.35"/>
    <n v="220511.46"/>
    <n v="251541.03"/>
    <n v="237051.46"/>
    <n v="198276.35"/>
    <n v="221154.43"/>
    <n v="210680.45"/>
    <n v="222285.62"/>
    <n v="208499.24"/>
    <n v="2659527.9699999997"/>
    <n v="13786.380000000005"/>
  </r>
  <r>
    <x v="5"/>
    <x v="0"/>
    <x v="0"/>
    <s v="3002102"/>
    <n v="700026"/>
    <s v="Salaries-RN-OT"/>
    <s v="3rd Medical"/>
    <x v="0"/>
    <n v="1000"/>
    <n v="4663.55"/>
    <n v="6848.18"/>
    <n v="12512.61"/>
    <n v="9867.49"/>
    <n v="2908.81"/>
    <n v="12972.81"/>
    <n v="13159.89"/>
    <n v="1750.83"/>
    <n v="3587.87"/>
    <n v="6508.94"/>
    <n v="3811.3"/>
    <n v="2968.34"/>
    <n v="81560.62"/>
    <n v="842.96"/>
  </r>
  <r>
    <x v="5"/>
    <x v="0"/>
    <x v="0"/>
    <s v="3002102"/>
    <n v="700026"/>
    <s v="Salaries-RN-Other"/>
    <s v="3rd Medical"/>
    <x v="0"/>
    <n v="2000"/>
    <n v="21668.35"/>
    <n v="22905.26"/>
    <n v="26947.85"/>
    <n v="21957.84"/>
    <n v="23801.200000000001"/>
    <n v="23425.06"/>
    <n v="23248.63"/>
    <n v="18366.63"/>
    <n v="21390.959999999999"/>
    <n v="21192.26"/>
    <n v="23456.62"/>
    <n v="21819.56"/>
    <n v="270180.22000000003"/>
    <n v="1637.0599999999977"/>
  </r>
  <r>
    <x v="5"/>
    <x v="0"/>
    <x v="0"/>
    <s v="3002102"/>
    <n v="700030"/>
    <s v="Salaries-LPN-Productive"/>
    <s v="3rd Medical"/>
    <x v="0"/>
    <m/>
    <n v="0"/>
    <n v="0"/>
    <n v="0"/>
    <n v="0"/>
    <n v="0"/>
    <n v="231.92"/>
    <n v="0"/>
    <n v="0"/>
    <n v="0"/>
    <n v="0"/>
    <n v="0"/>
    <n v="0"/>
    <n v="231.92"/>
    <n v="0"/>
  </r>
  <r>
    <x v="5"/>
    <x v="0"/>
    <x v="0"/>
    <s v="3002102"/>
    <n v="700032"/>
    <s v="Salaries-Other Pat Care Providers-Productive"/>
    <s v="3rd Medical"/>
    <x v="0"/>
    <m/>
    <n v="40607.01"/>
    <n v="41113.61"/>
    <n v="55462.9"/>
    <n v="45823.77"/>
    <n v="49963.99"/>
    <n v="58286.79"/>
    <n v="54354.06"/>
    <n v="60646.9"/>
    <n v="63289.58"/>
    <n v="48982.96"/>
    <n v="53210.27"/>
    <n v="58923.09"/>
    <n v="630664.92999999993"/>
    <n v="-5712.82"/>
  </r>
  <r>
    <x v="5"/>
    <x v="0"/>
    <x v="0"/>
    <s v="3002102"/>
    <n v="700032"/>
    <s v="Salaries-Other Pat Care Providers-OT"/>
    <s v="3rd Medical"/>
    <x v="0"/>
    <n v="1000"/>
    <n v="1040.5899999999999"/>
    <n v="1801.67"/>
    <n v="3931.63"/>
    <n v="841.54"/>
    <n v="2516.39"/>
    <n v="765.42"/>
    <n v="2466.0300000000002"/>
    <n v="3278.67"/>
    <n v="3467.75"/>
    <n v="1415.34"/>
    <n v="627.79999999999995"/>
    <n v="2987.21"/>
    <n v="25140.04"/>
    <n v="-2359.41"/>
  </r>
  <r>
    <x v="5"/>
    <x v="0"/>
    <x v="0"/>
    <s v="3002102"/>
    <n v="700032"/>
    <s v="Salaries-Other Pat Care Providers-Other"/>
    <s v="3rd Medical"/>
    <x v="0"/>
    <n v="2000"/>
    <n v="3916.61"/>
    <n v="3930.29"/>
    <n v="4867.66"/>
    <n v="3722.03"/>
    <n v="5041.28"/>
    <n v="4774.9799999999996"/>
    <n v="4316.41"/>
    <n v="5178.57"/>
    <n v="5303.39"/>
    <n v="5206.43"/>
    <n v="7370.32"/>
    <n v="5821.75"/>
    <n v="59449.72"/>
    <n v="1548.5699999999997"/>
  </r>
  <r>
    <x v="5"/>
    <x v="0"/>
    <x v="0"/>
    <s v="3002102"/>
    <n v="700038"/>
    <s v="Salaries-Service/Support-Productive"/>
    <s v="3rd Medical"/>
    <x v="0"/>
    <m/>
    <n v="8004.53"/>
    <n v="7540.85"/>
    <n v="8585.56"/>
    <n v="8321.44"/>
    <n v="5889.88"/>
    <n v="7019.46"/>
    <n v="6548.33"/>
    <n v="4068.68"/>
    <n v="6384.13"/>
    <n v="6867.44"/>
    <n v="7578.59"/>
    <n v="8807.26"/>
    <n v="85616.15"/>
    <n v="-1228.67"/>
  </r>
  <r>
    <x v="5"/>
    <x v="0"/>
    <x v="0"/>
    <s v="3002102"/>
    <n v="700038"/>
    <s v="Salaries-Service/Support-OT"/>
    <s v="3rd Medical"/>
    <x v="0"/>
    <n v="1000"/>
    <n v="669.51"/>
    <n v="139.18"/>
    <n v="413.08"/>
    <n v="121.44"/>
    <n v="973.65"/>
    <n v="-64.91"/>
    <n v="1871.9"/>
    <n v="1671.49"/>
    <n v="114.36"/>
    <n v="9.01"/>
    <n v="9.08"/>
    <n v="18.170000000000002"/>
    <n v="5945.96"/>
    <n v="-9.0900000000000016"/>
  </r>
  <r>
    <x v="5"/>
    <x v="0"/>
    <x v="0"/>
    <s v="3002102"/>
    <n v="700038"/>
    <s v="Salaries-Service/Support-Other"/>
    <s v="3rd Medical"/>
    <x v="0"/>
    <n v="2000"/>
    <n v="149.18"/>
    <n v="120.7"/>
    <n v="123.43"/>
    <n v="130.16"/>
    <n v="90.78"/>
    <n v="127.5"/>
    <n v="141.72999999999999"/>
    <n v="27.26"/>
    <n v="39.93"/>
    <n v="68.680000000000007"/>
    <n v="84.91"/>
    <n v="136.72"/>
    <n v="1240.98"/>
    <n v="-51.81"/>
  </r>
  <r>
    <x v="5"/>
    <x v="0"/>
    <x v="0"/>
    <s v="3002102"/>
    <n v="700054"/>
    <s v="Salaries-Management-Non-productive"/>
    <s v="3rd Medical"/>
    <x v="0"/>
    <m/>
    <n v="1550.64"/>
    <n v="0"/>
    <n v="0"/>
    <n v="0"/>
    <n v="4173"/>
    <n v="1365.73"/>
    <n v="1216.1199999999999"/>
    <n v="-379.87"/>
    <n v="0"/>
    <n v="2735.32"/>
    <n v="-1139.6300000000001"/>
    <n v="3913.14"/>
    <n v="13434.45"/>
    <n v="-5052.7700000000004"/>
  </r>
  <r>
    <x v="5"/>
    <x v="0"/>
    <x v="0"/>
    <s v="3002102"/>
    <n v="700054"/>
    <s v="Salaries-Management-NonProd-Other"/>
    <s v="3rd Medical"/>
    <x v="0"/>
    <n v="2000"/>
    <n v="0"/>
    <n v="0"/>
    <n v="0"/>
    <n v="0"/>
    <n v="0"/>
    <n v="1127.8599999999999"/>
    <n v="-1127.8599999999999"/>
    <n v="0"/>
    <n v="0"/>
    <n v="0"/>
    <n v="0"/>
    <n v="0"/>
    <n v="0"/>
    <n v="0"/>
  </r>
  <r>
    <x v="5"/>
    <x v="0"/>
    <x v="0"/>
    <s v="3002102"/>
    <n v="700066"/>
    <s v="Salaries-RN-Non-productive"/>
    <s v="3rd Medical"/>
    <x v="0"/>
    <m/>
    <n v="49003.22"/>
    <n v="47661.59"/>
    <n v="21632.04"/>
    <n v="26501"/>
    <n v="27548.720000000001"/>
    <n v="46157.33"/>
    <n v="22684.22"/>
    <n v="33816.21"/>
    <n v="50094.71"/>
    <n v="12985.22"/>
    <n v="38645.85"/>
    <n v="46667.34"/>
    <n v="423397.44999999995"/>
    <n v="-8021.489999999998"/>
  </r>
  <r>
    <x v="5"/>
    <x v="0"/>
    <x v="0"/>
    <s v="3002102"/>
    <n v="700066"/>
    <s v="Salaries-RN-NonProd-Other"/>
    <s v="3rd Medical"/>
    <x v="0"/>
    <n v="2000"/>
    <n v="3908.91"/>
    <n v="3439.66"/>
    <n v="1143.8599999999999"/>
    <n v="2230.39"/>
    <n v="2319.4899999999998"/>
    <n v="2792.62"/>
    <n v="2190.91"/>
    <n v="622.6"/>
    <n v="2682.54"/>
    <n v="924.44"/>
    <n v="2396.85"/>
    <n v="3375.2"/>
    <n v="28027.469999999998"/>
    <n v="-978.34999999999991"/>
  </r>
  <r>
    <x v="5"/>
    <x v="0"/>
    <x v="0"/>
    <s v="3002102"/>
    <n v="700072"/>
    <s v="Salaries-Other Pat Care Providers-Non-productive"/>
    <s v="3rd Medical"/>
    <x v="0"/>
    <m/>
    <n v="6561.2"/>
    <n v="9023.41"/>
    <n v="8120.12"/>
    <n v="2757.19"/>
    <n v="6029.16"/>
    <n v="3123.04"/>
    <n v="11039.16"/>
    <n v="8018.95"/>
    <n v="2715.78"/>
    <n v="11106.1"/>
    <n v="2476.17"/>
    <n v="3088.68"/>
    <n v="74058.959999999992"/>
    <n v="-612.50999999999976"/>
  </r>
  <r>
    <x v="5"/>
    <x v="0"/>
    <x v="0"/>
    <s v="3002102"/>
    <n v="700072"/>
    <s v="Salaries-Other Pat Care Providers-NonProd-Other"/>
    <s v="3rd Medical"/>
    <x v="0"/>
    <n v="2000"/>
    <n v="193.62"/>
    <n v="618.72"/>
    <n v="426.92"/>
    <n v="334.94"/>
    <n v="1457.2"/>
    <n v="1053.48"/>
    <n v="871.66"/>
    <n v="-1370.44"/>
    <n v="186.44"/>
    <n v="436.86"/>
    <n v="185.43"/>
    <n v="93.7"/>
    <n v="4488.53"/>
    <n v="91.73"/>
  </r>
  <r>
    <x v="5"/>
    <x v="0"/>
    <x v="0"/>
    <s v="3002102"/>
    <n v="700078"/>
    <s v="Salaries-Service/Support-Non-productive"/>
    <s v="3rd Medical"/>
    <x v="0"/>
    <m/>
    <n v="2997.63"/>
    <n v="1656.6"/>
    <n v="83"/>
    <n v="303.47000000000003"/>
    <n v="2721.91"/>
    <n v="1452.14"/>
    <n v="428.9"/>
    <n v="3495.11"/>
    <n v="3063.97"/>
    <n v="484.08"/>
    <n v="24.98"/>
    <n v="402.1"/>
    <n v="17113.89"/>
    <n v="-377.12"/>
  </r>
  <r>
    <x v="5"/>
    <x v="0"/>
    <x v="0"/>
    <s v="3002102"/>
    <n v="700078"/>
    <s v="Salaries-Service/Support-NonProd-Other"/>
    <s v="3rd Medical"/>
    <x v="0"/>
    <n v="2000"/>
    <n v="202.7"/>
    <n v="55.3"/>
    <n v="0"/>
    <n v="9.6"/>
    <n v="403.03"/>
    <n v="359.11"/>
    <n v="7.24"/>
    <n v="-692.42"/>
    <n v="0"/>
    <n v="0"/>
    <n v="0"/>
    <n v="0"/>
    <n v="344.56000000000006"/>
    <n v="0"/>
  </r>
  <r>
    <x v="5"/>
    <x v="0"/>
    <x v="0"/>
    <s v="3002102"/>
    <n v="700084"/>
    <s v="Accrued PTO"/>
    <s v="3rd Medical"/>
    <x v="0"/>
    <m/>
    <n v="-9330.98"/>
    <n v="-6396.47"/>
    <n v="7338.05"/>
    <n v="15695.46"/>
    <n v="13184.88"/>
    <n v="3686.03"/>
    <n v="8591.15"/>
    <n v="916.11"/>
    <n v="-2574.7399999999998"/>
    <n v="8334.7900000000009"/>
    <n v="4821.3900000000003"/>
    <n v="2072.1999999999998"/>
    <n v="46337.869999999995"/>
    <n v="2749.1900000000005"/>
  </r>
  <r>
    <x v="10"/>
    <x v="0"/>
    <x v="0"/>
    <s v="3002102"/>
    <n v="710060"/>
    <s v="Contract Labor-Other"/>
    <s v="3rd Medical"/>
    <x v="0"/>
    <m/>
    <n v="1564"/>
    <n v="0"/>
    <n v="816"/>
    <n v="0"/>
    <n v="0"/>
    <n v="0"/>
    <n v="0"/>
    <n v="0"/>
    <n v="0"/>
    <n v="0"/>
    <n v="0"/>
    <n v="0"/>
    <n v="2380"/>
    <n v="0"/>
  </r>
  <r>
    <x v="6"/>
    <x v="0"/>
    <x v="0"/>
    <s v="3002102"/>
    <n v="713010"/>
    <s v="Benefits-FICA/Medicare"/>
    <s v="3rd Medical"/>
    <x v="0"/>
    <m/>
    <n v="27930.32"/>
    <n v="27188.86"/>
    <n v="28369.22"/>
    <n v="24896.06"/>
    <n v="26629.69"/>
    <n v="30742.66"/>
    <n v="29830.05"/>
    <n v="26386.51"/>
    <n v="29466.85"/>
    <n v="25094.45"/>
    <n v="27843.39"/>
    <n v="27880.18"/>
    <n v="332258.24"/>
    <n v="-36.790000000000873"/>
  </r>
  <r>
    <x v="6"/>
    <x v="0"/>
    <x v="0"/>
    <s v="3002102"/>
    <n v="713090"/>
    <s v="Benefits-Allocated Amounts"/>
    <s v="3rd Medical"/>
    <x v="0"/>
    <m/>
    <n v="75213"/>
    <n v="68188.19"/>
    <n v="78114.5"/>
    <n v="66955.289999999994"/>
    <n v="72210.8"/>
    <n v="80174.48"/>
    <n v="79675.600000000006"/>
    <n v="77547.33"/>
    <n v="77584.84"/>
    <n v="73368.25"/>
    <n v="76426.350000000006"/>
    <n v="79725.75"/>
    <n v="905184.37999999989"/>
    <n v="-3299.3999999999942"/>
  </r>
  <r>
    <x v="6"/>
    <x v="0"/>
    <x v="0"/>
    <s v="3002102"/>
    <n v="713096"/>
    <s v="Employee Recognition"/>
    <s v="3rd Medical"/>
    <x v="0"/>
    <n v="1017"/>
    <n v="0"/>
    <n v="43.11"/>
    <n v="162.15"/>
    <n v="0"/>
    <n v="0"/>
    <n v="244.35"/>
    <n v="0"/>
    <n v="0"/>
    <n v="0"/>
    <n v="0"/>
    <n v="259.87"/>
    <n v="329"/>
    <n v="1038.48"/>
    <n v="-69.13"/>
  </r>
  <r>
    <x v="17"/>
    <x v="0"/>
    <x v="0"/>
    <s v="3002102"/>
    <n v="714520"/>
    <s v="Other Contracted Professionals"/>
    <s v="3rd Medical"/>
    <x v="0"/>
    <m/>
    <n v="0"/>
    <n v="3875"/>
    <n v="1937.5"/>
    <n v="0"/>
    <n v="0"/>
    <n v="3875"/>
    <n v="3875"/>
    <n v="1937.5"/>
    <n v="1937.5"/>
    <n v="1937.5"/>
    <n v="1937.5"/>
    <n v="1937.5"/>
    <n v="23250"/>
    <n v="0"/>
  </r>
  <r>
    <x v="7"/>
    <x v="0"/>
    <x v="0"/>
    <s v="3002102"/>
    <n v="718050"/>
    <s v="Contract Svcs-Other"/>
    <s v="3rd Medical"/>
    <x v="0"/>
    <m/>
    <n v="3579.59"/>
    <n v="1935.87"/>
    <n v="0"/>
    <n v="1958"/>
    <n v="0"/>
    <n v="0"/>
    <n v="1151.92"/>
    <n v="1309.44"/>
    <n v="0"/>
    <n v="1250.78"/>
    <n v="0"/>
    <n v="0"/>
    <n v="11185.600000000002"/>
    <n v="0"/>
  </r>
  <r>
    <x v="7"/>
    <x v="0"/>
    <x v="0"/>
    <s v="3002102"/>
    <n v="718050"/>
    <s v="Miscellaneous Purchased Svcs"/>
    <s v="3rd Medical"/>
    <x v="0"/>
    <n v="1020"/>
    <n v="0"/>
    <n v="0"/>
    <n v="0"/>
    <n v="0"/>
    <n v="275"/>
    <n v="2594.9"/>
    <n v="0"/>
    <n v="0"/>
    <n v="0"/>
    <n v="0"/>
    <n v="4916.05"/>
    <n v="895"/>
    <n v="8680.9500000000007"/>
    <n v="4021.05"/>
  </r>
  <r>
    <x v="7"/>
    <x v="0"/>
    <x v="0"/>
    <s v="3002102"/>
    <n v="718050"/>
    <s v="Translation Services"/>
    <s v="3rd Medical"/>
    <x v="0"/>
    <n v="1025"/>
    <n v="37.26"/>
    <n v="712.21"/>
    <n v="864.54"/>
    <n v="140.94999999999999"/>
    <n v="176"/>
    <n v="501.39"/>
    <n v="176.61"/>
    <n v="170.1"/>
    <n v="348.75"/>
    <n v="415.55"/>
    <n v="0"/>
    <n v="0"/>
    <n v="3543.36"/>
    <n v="0"/>
  </r>
  <r>
    <x v="7"/>
    <x v="0"/>
    <x v="0"/>
    <s v="3002102"/>
    <n v="718050"/>
    <s v="Contract Management--Linen"/>
    <s v="3rd Medical"/>
    <x v="0"/>
    <n v="1026"/>
    <n v="4724.3"/>
    <n v="4737.62"/>
    <n v="5268.16"/>
    <n v="4635.88"/>
    <n v="5523.53"/>
    <n v="5044.3500000000004"/>
    <n v="5670.22"/>
    <n v="2191.64"/>
    <n v="5291.28"/>
    <n v="5042.62"/>
    <n v="4873.57"/>
    <n v="4608.16"/>
    <n v="57611.33"/>
    <n v="265.40999999999985"/>
  </r>
  <r>
    <x v="11"/>
    <x v="0"/>
    <x v="0"/>
    <s v="3002102"/>
    <n v="721010"/>
    <s v="Supplies-Medical - Billable"/>
    <s v="3rd Medical"/>
    <x v="0"/>
    <m/>
    <n v="2661.6"/>
    <n v="2920.21"/>
    <n v="2217.31"/>
    <n v="3842.91"/>
    <n v="3269.79"/>
    <n v="2489.33"/>
    <n v="1802.37"/>
    <n v="3403.94"/>
    <n v="4913.04"/>
    <n v="4700.75"/>
    <n v="2678.26"/>
    <n v="1974.72"/>
    <n v="36874.230000000003"/>
    <n v="703.54000000000019"/>
  </r>
  <r>
    <x v="11"/>
    <x v="0"/>
    <x v="0"/>
    <s v="3002102"/>
    <n v="721010"/>
    <s v="Patient Monitoring"/>
    <s v="3rd Medical"/>
    <x v="0"/>
    <n v="1000"/>
    <n v="170.08"/>
    <n v="120.84"/>
    <n v="208.11"/>
    <n v="95.73"/>
    <n v="753.16"/>
    <n v="134.22"/>
    <n v="63.2"/>
    <n v="57.24"/>
    <n v="78.7"/>
    <n v="166.28"/>
    <n v="117.99"/>
    <n v="93.1"/>
    <n v="2058.65"/>
    <n v="24.89"/>
  </r>
  <r>
    <x v="11"/>
    <x v="0"/>
    <x v="0"/>
    <s v="3002102"/>
    <n v="721020"/>
    <s v="Supplies-Surgical - Billable"/>
    <s v="3rd Medical"/>
    <x v="0"/>
    <m/>
    <n v="599.59"/>
    <n v="856.76"/>
    <n v="959.77"/>
    <n v="870.19"/>
    <n v="633.26"/>
    <n v="973.75"/>
    <n v="689.55"/>
    <n v="683.27"/>
    <n v="812.49"/>
    <n v="1075.0999999999999"/>
    <n v="883.3"/>
    <n v="742.24"/>
    <n v="9779.2699999999986"/>
    <n v="141.05999999999995"/>
  </r>
  <r>
    <x v="11"/>
    <x v="0"/>
    <x v="0"/>
    <s v="3002102"/>
    <n v="721020"/>
    <s v="Tubes Drains &amp; Related Supplies"/>
    <s v="3rd Medical"/>
    <x v="0"/>
    <n v="1008"/>
    <n v="26.86"/>
    <n v="0"/>
    <n v="13.43"/>
    <n v="0"/>
    <n v="13.43"/>
    <n v="0"/>
    <n v="0"/>
    <n v="0"/>
    <n v="0"/>
    <n v="0"/>
    <n v="0"/>
    <n v="0"/>
    <n v="53.72"/>
    <n v="0"/>
  </r>
  <r>
    <x v="11"/>
    <x v="0"/>
    <x v="0"/>
    <s v="3002102"/>
    <n v="721240"/>
    <s v="Supplies-IV Solutions/Supplies - Billable"/>
    <s v="3rd Medical"/>
    <x v="0"/>
    <m/>
    <n v="1521.85"/>
    <n v="1392.71"/>
    <n v="1230.8800000000001"/>
    <n v="1322.89"/>
    <n v="1635"/>
    <n v="1611.13"/>
    <n v="1001.52"/>
    <n v="1593.27"/>
    <n v="1343.89"/>
    <n v="1013.23"/>
    <n v="1378.12"/>
    <n v="1579.96"/>
    <n v="16624.45"/>
    <n v="-201.84000000000015"/>
  </r>
  <r>
    <x v="11"/>
    <x v="0"/>
    <x v="0"/>
    <s v="3002102"/>
    <n v="721250"/>
    <s v="Supplies-Pharmacy Drugs - Billable"/>
    <s v="3rd Medical"/>
    <x v="0"/>
    <m/>
    <n v="1.34"/>
    <n v="0"/>
    <n v="2.64"/>
    <n v="0"/>
    <n v="0"/>
    <n v="28.84"/>
    <n v="0.97"/>
    <n v="1.34"/>
    <n v="14.94"/>
    <n v="0.94"/>
    <n v="0"/>
    <n v="0"/>
    <n v="51.01"/>
    <n v="0"/>
  </r>
  <r>
    <x v="11"/>
    <x v="0"/>
    <x v="0"/>
    <s v="3002102"/>
    <n v="721410"/>
    <s v="Supplies-Medical - Nonbillable"/>
    <s v="3rd Medical"/>
    <x v="0"/>
    <m/>
    <n v="7728.22"/>
    <n v="10075.540000000001"/>
    <n v="9053.49"/>
    <n v="8027.55"/>
    <n v="9583.02"/>
    <n v="11721.44"/>
    <n v="7779.29"/>
    <n v="9471.06"/>
    <n v="12551.85"/>
    <n v="17207.18"/>
    <n v="11165.59"/>
    <n v="11115.21"/>
    <n v="125479.44"/>
    <n v="50.380000000001019"/>
  </r>
  <r>
    <x v="11"/>
    <x v="0"/>
    <x v="0"/>
    <s v="3002102"/>
    <n v="721410"/>
    <s v="Patient Monitoring"/>
    <s v="3rd Medical"/>
    <x v="0"/>
    <n v="1000"/>
    <n v="0"/>
    <n v="0"/>
    <n v="1.1100000000000001"/>
    <n v="0"/>
    <n v="0"/>
    <n v="0"/>
    <n v="1.1100000000000001"/>
    <n v="0"/>
    <n v="0"/>
    <n v="0"/>
    <n v="0"/>
    <n v="0"/>
    <n v="2.2200000000000002"/>
    <n v="0"/>
  </r>
  <r>
    <x v="11"/>
    <x v="0"/>
    <x v="0"/>
    <s v="3002102"/>
    <n v="721420"/>
    <s v="Supplies-Surgical Nonbillable"/>
    <s v="3rd Medical"/>
    <x v="0"/>
    <m/>
    <n v="16.66"/>
    <n v="27.1"/>
    <n v="16.97"/>
    <n v="17.04"/>
    <n v="14.42"/>
    <n v="12.72"/>
    <n v="13.08"/>
    <n v="24.69"/>
    <n v="33.57"/>
    <n v="35.35"/>
    <n v="18.14"/>
    <n v="21.74"/>
    <n v="251.48000000000002"/>
    <n v="-3.5999999999999979"/>
  </r>
  <r>
    <x v="11"/>
    <x v="0"/>
    <x v="0"/>
    <s v="3002102"/>
    <n v="721420"/>
    <s v="Tubes Drains &amp; Related Supplies"/>
    <s v="3rd Medical"/>
    <x v="0"/>
    <n v="1008"/>
    <n v="35.07"/>
    <n v="0"/>
    <n v="0"/>
    <n v="0"/>
    <n v="9.64"/>
    <n v="0"/>
    <n v="0.48"/>
    <n v="0"/>
    <n v="0"/>
    <n v="0"/>
    <n v="0"/>
    <n v="0.79"/>
    <n v="45.98"/>
    <n v="-0.79"/>
  </r>
  <r>
    <x v="11"/>
    <x v="0"/>
    <x v="0"/>
    <s v="3002102"/>
    <n v="721420"/>
    <s v="Sterilization Process Products"/>
    <s v="3rd Medical"/>
    <x v="0"/>
    <n v="1009"/>
    <n v="47.5"/>
    <n v="0"/>
    <n v="0"/>
    <n v="0"/>
    <n v="0"/>
    <n v="0"/>
    <n v="0"/>
    <n v="0"/>
    <n v="66.44"/>
    <n v="0"/>
    <n v="31.63"/>
    <n v="0"/>
    <n v="145.57"/>
    <n v="31.63"/>
  </r>
  <r>
    <x v="11"/>
    <x v="0"/>
    <x v="0"/>
    <s v="3002102"/>
    <n v="721610"/>
    <s v="Supplies-Anesthesia - Nonbillable"/>
    <s v="3rd Medical"/>
    <x v="0"/>
    <m/>
    <n v="1480.07"/>
    <n v="298.12"/>
    <n v="244.09"/>
    <n v="313.95999999999998"/>
    <n v="654.1"/>
    <n v="248.75"/>
    <n v="143.02000000000001"/>
    <n v="112.71"/>
    <n v="240.79"/>
    <n v="210.37"/>
    <n v="242.66"/>
    <n v="132.24"/>
    <n v="4320.8799999999992"/>
    <n v="110.41999999999999"/>
  </r>
  <r>
    <x v="11"/>
    <x v="0"/>
    <x v="0"/>
    <s v="3002102"/>
    <n v="721640"/>
    <s v="Supplies-IV Solutions/Supplies - Nonbillable"/>
    <s v="3rd Medical"/>
    <x v="0"/>
    <m/>
    <n v="1174.0899999999999"/>
    <n v="1430.77"/>
    <n v="1242.99"/>
    <n v="1358.72"/>
    <n v="1613.79"/>
    <n v="1965.14"/>
    <n v="1097.17"/>
    <n v="949.92"/>
    <n v="1298.3699999999999"/>
    <n v="1020.62"/>
    <n v="1387.89"/>
    <n v="1921.28"/>
    <n v="16460.75"/>
    <n v="-533.38999999999987"/>
  </r>
  <r>
    <x v="11"/>
    <x v="0"/>
    <x v="0"/>
    <s v="3002102"/>
    <n v="721650"/>
    <s v="Supplies-Pharmacy Drugs - Nonbillable"/>
    <s v="3rd Medical"/>
    <x v="0"/>
    <m/>
    <n v="214.21"/>
    <n v="150.75"/>
    <n v="242.1"/>
    <n v="180.9"/>
    <n v="188.15"/>
    <n v="223.11"/>
    <n v="186.94"/>
    <n v="199.47"/>
    <n v="193.16"/>
    <n v="115.79"/>
    <n v="198.99"/>
    <n v="129.6"/>
    <n v="2223.17"/>
    <n v="69.390000000000015"/>
  </r>
  <r>
    <x v="11"/>
    <x v="0"/>
    <x v="0"/>
    <s v="3002102"/>
    <n v="721710"/>
    <s v="Supplies-Laboratory - Nonbillable"/>
    <s v="3rd Medical"/>
    <x v="0"/>
    <m/>
    <n v="140.16999999999999"/>
    <n v="212.68"/>
    <n v="248.52"/>
    <n v="167.88"/>
    <n v="167.13"/>
    <n v="254.55"/>
    <n v="152.16999999999999"/>
    <n v="153.85"/>
    <n v="172.47"/>
    <n v="116.16"/>
    <n v="140.94"/>
    <n v="197.15"/>
    <n v="2123.67"/>
    <n v="-56.210000000000008"/>
  </r>
  <r>
    <x v="11"/>
    <x v="0"/>
    <x v="0"/>
    <s v="3002102"/>
    <n v="721710"/>
    <s v="Reagents"/>
    <s v="3rd Medical"/>
    <x v="0"/>
    <n v="1000"/>
    <n v="-7.04"/>
    <n v="4.6900000000000004"/>
    <n v="11.99"/>
    <n v="5.2"/>
    <n v="14.63"/>
    <n v="0"/>
    <n v="9.1999999999999993"/>
    <n v="0"/>
    <n v="47.45"/>
    <n v="0"/>
    <n v="0"/>
    <n v="2"/>
    <n v="88.12"/>
    <n v="-2"/>
  </r>
  <r>
    <x v="11"/>
    <x v="0"/>
    <x v="0"/>
    <s v="3002102"/>
    <n v="721750"/>
    <s v="Supplies-Film/Radiographic - Nonbillable"/>
    <s v="3rd Medical"/>
    <x v="0"/>
    <m/>
    <n v="1.87"/>
    <n v="1.87"/>
    <n v="0.94"/>
    <n v="1.87"/>
    <n v="0"/>
    <n v="3.74"/>
    <n v="0"/>
    <n v="0.94"/>
    <n v="0"/>
    <n v="1.87"/>
    <n v="0"/>
    <n v="1.87"/>
    <n v="14.969999999999999"/>
    <n v="-1.87"/>
  </r>
  <r>
    <x v="11"/>
    <x v="0"/>
    <x v="0"/>
    <s v="3002102"/>
    <n v="721810"/>
    <s v="Supplies-Dietary/Cafeteria"/>
    <s v="3rd Medical"/>
    <x v="0"/>
    <m/>
    <n v="3071.78"/>
    <n v="3475.11"/>
    <n v="4043.5"/>
    <n v="3725.51"/>
    <n v="3630.86"/>
    <n v="4012.76"/>
    <n v="2598.2399999999998"/>
    <n v="2759.74"/>
    <n v="2887.13"/>
    <n v="3156.83"/>
    <n v="3545.33"/>
    <n v="2401.87"/>
    <n v="39308.659999999996"/>
    <n v="1143.46"/>
  </r>
  <r>
    <x v="11"/>
    <x v="0"/>
    <x v="0"/>
    <s v="3002102"/>
    <n v="721830"/>
    <s v="Supplies-Office"/>
    <s v="3rd Medical"/>
    <x v="0"/>
    <m/>
    <n v="59.03"/>
    <n v="608.25"/>
    <n v="151.91"/>
    <n v="5744.08"/>
    <n v="70.930000000000007"/>
    <n v="416.3"/>
    <n v="702.3"/>
    <n v="416.57"/>
    <n v="34.799999999999997"/>
    <n v="684.77"/>
    <n v="301.07"/>
    <n v="38.76"/>
    <n v="9228.77"/>
    <n v="262.31"/>
  </r>
  <r>
    <x v="11"/>
    <x v="0"/>
    <x v="0"/>
    <s v="3002102"/>
    <n v="721835"/>
    <s v="Supplies-Forms"/>
    <s v="3rd Medical"/>
    <x v="0"/>
    <m/>
    <n v="0"/>
    <n v="0"/>
    <n v="0"/>
    <n v="0"/>
    <n v="335.71"/>
    <n v="50"/>
    <n v="100"/>
    <n v="0"/>
    <n v="235.63"/>
    <n v="31.75"/>
    <n v="115.45"/>
    <n v="133.41"/>
    <n v="1001.9499999999999"/>
    <n v="-17.959999999999994"/>
  </r>
  <r>
    <x v="11"/>
    <x v="0"/>
    <x v="0"/>
    <s v="3002102"/>
    <n v="721870"/>
    <s v="Supplies-Environmental Services"/>
    <s v="3rd Medical"/>
    <x v="0"/>
    <m/>
    <n v="585.66"/>
    <n v="714.01"/>
    <n v="409.98"/>
    <n v="572.16999999999996"/>
    <n v="585.44000000000005"/>
    <n v="637.32000000000005"/>
    <n v="372.7"/>
    <n v="542.53"/>
    <n v="690.88"/>
    <n v="473.93"/>
    <n v="546.46"/>
    <n v="211.61"/>
    <n v="6342.6900000000005"/>
    <n v="334.85"/>
  </r>
  <r>
    <x v="11"/>
    <x v="0"/>
    <x v="0"/>
    <s v="3002102"/>
    <n v="721880"/>
    <s v="Supplies-Linen"/>
    <s v="3rd Medical"/>
    <x v="0"/>
    <m/>
    <n v="0"/>
    <n v="0"/>
    <n v="0"/>
    <n v="0"/>
    <n v="0"/>
    <n v="0"/>
    <n v="64.2"/>
    <n v="0"/>
    <n v="0"/>
    <n v="0"/>
    <n v="0"/>
    <n v="0"/>
    <n v="64.2"/>
    <n v="0"/>
  </r>
  <r>
    <x v="11"/>
    <x v="0"/>
    <x v="0"/>
    <s v="3002102"/>
    <n v="721910"/>
    <s v="Supplies-Small Equipment"/>
    <s v="3rd Medical"/>
    <x v="0"/>
    <m/>
    <n v="2593.1"/>
    <n v="6652.57"/>
    <n v="2958.02"/>
    <n v="1146.0899999999999"/>
    <n v="1449.7"/>
    <n v="2262.6799999999998"/>
    <n v="2556.8000000000002"/>
    <n v="1145.44"/>
    <n v="3397.43"/>
    <n v="2950.88"/>
    <n v="3042.29"/>
    <n v="1581.79"/>
    <n v="31736.79"/>
    <n v="1460.5"/>
  </r>
  <r>
    <x v="11"/>
    <x v="0"/>
    <x v="0"/>
    <s v="3002102"/>
    <n v="721910"/>
    <s v="Instruments"/>
    <s v="3rd Medical"/>
    <x v="0"/>
    <n v="1000"/>
    <n v="7.22"/>
    <n v="1.47"/>
    <n v="63.21"/>
    <n v="0"/>
    <n v="52.93"/>
    <n v="1.47"/>
    <n v="10"/>
    <n v="10"/>
    <n v="0"/>
    <n v="0"/>
    <n v="10"/>
    <n v="0"/>
    <n v="156.30000000000001"/>
    <n v="10"/>
  </r>
  <r>
    <x v="11"/>
    <x v="0"/>
    <x v="0"/>
    <s v="3002102"/>
    <n v="721980"/>
    <s v="Supplies-Other"/>
    <s v="3rd Medical"/>
    <x v="0"/>
    <m/>
    <n v="409.8"/>
    <n v="0"/>
    <n v="0"/>
    <n v="0"/>
    <n v="0"/>
    <n v="0"/>
    <n v="0"/>
    <n v="0"/>
    <n v="0"/>
    <n v="0"/>
    <n v="0"/>
    <n v="0"/>
    <n v="409.8"/>
    <n v="0"/>
  </r>
  <r>
    <x v="11"/>
    <x v="0"/>
    <x v="0"/>
    <s v="3002102"/>
    <n v="722000"/>
    <s v="Supplies-Freight Expense"/>
    <s v="3rd Medical"/>
    <x v="0"/>
    <m/>
    <n v="5.62"/>
    <n v="0"/>
    <n v="7.93"/>
    <n v="0"/>
    <n v="0"/>
    <n v="11.39"/>
    <n v="41.73"/>
    <n v="0"/>
    <n v="45.83"/>
    <n v="9.35"/>
    <n v="7.86"/>
    <n v="16.53"/>
    <n v="146.24"/>
    <n v="-8.6700000000000017"/>
  </r>
  <r>
    <x v="12"/>
    <x v="0"/>
    <x v="0"/>
    <s v="3002102"/>
    <n v="730020"/>
    <s v="Rental and Leases-Equipment (DO NOT USE)"/>
    <s v="3rd Medical"/>
    <x v="0"/>
    <m/>
    <n v="0"/>
    <n v="0"/>
    <n v="0"/>
    <n v="-4146.5600000000004"/>
    <n v="0"/>
    <n v="0"/>
    <n v="0"/>
    <n v="0"/>
    <n v="0"/>
    <n v="0"/>
    <n v="0"/>
    <n v="2640"/>
    <n v="-1506.5600000000004"/>
    <n v="-2640"/>
  </r>
  <r>
    <x v="12"/>
    <x v="0"/>
    <x v="0"/>
    <s v="3002102"/>
    <n v="730020"/>
    <s v="Rental and Leases-Copier Usage Fees (DO NOT USE)"/>
    <s v="3rd Medical"/>
    <x v="0"/>
    <n v="5100"/>
    <n v="903.29"/>
    <n v="917.58"/>
    <n v="910.43"/>
    <n v="910.43"/>
    <n v="910.43"/>
    <n v="910.43"/>
    <n v="-967.31"/>
    <n v="279.12"/>
    <n v="489.4"/>
    <n v="1679.43"/>
    <n v="489.99"/>
    <n v="525.20000000000005"/>
    <n v="7958.42"/>
    <n v="-35.210000000000036"/>
  </r>
  <r>
    <x v="15"/>
    <x v="0"/>
    <x v="0"/>
    <s v="3002102"/>
    <n v="731060"/>
    <s v="Telephone"/>
    <s v="3rd Medical"/>
    <x v="0"/>
    <m/>
    <n v="0"/>
    <n v="0"/>
    <n v="0"/>
    <n v="0"/>
    <n v="0"/>
    <n v="0"/>
    <n v="39"/>
    <n v="43"/>
    <n v="0"/>
    <n v="4.3"/>
    <n v="0"/>
    <n v="0"/>
    <n v="86.3"/>
    <n v="0"/>
  </r>
  <r>
    <x v="15"/>
    <x v="0"/>
    <x v="0"/>
    <s v="3002102"/>
    <n v="731060"/>
    <s v="Cell Phones"/>
    <s v="3rd Medical"/>
    <x v="0"/>
    <n v="1001"/>
    <n v="0"/>
    <n v="53.87"/>
    <n v="26.42"/>
    <n v="0"/>
    <n v="26.47"/>
    <n v="27.05"/>
    <n v="54.14"/>
    <n v="0"/>
    <n v="28.08"/>
    <n v="54.16"/>
    <n v="26.9"/>
    <n v="27.33"/>
    <n v="324.4199999999999"/>
    <n v="-0.42999999999999972"/>
  </r>
  <r>
    <x v="15"/>
    <x v="0"/>
    <x v="0"/>
    <s v="3002102"/>
    <n v="731060"/>
    <s v="Pagers"/>
    <s v="3rd Medical"/>
    <x v="0"/>
    <n v="1002"/>
    <n v="48.6"/>
    <n v="48.6"/>
    <n v="48.6"/>
    <n v="48.72"/>
    <n v="48.72"/>
    <n v="0"/>
    <n v="108.73"/>
    <n v="40.6"/>
    <n v="40.6"/>
    <n v="40.6"/>
    <n v="40.6"/>
    <n v="40.6"/>
    <n v="554.97000000000014"/>
    <n v="0"/>
  </r>
  <r>
    <x v="16"/>
    <x v="0"/>
    <x v="0"/>
    <s v="3002102"/>
    <n v="732015"/>
    <s v="Repairs-Clinical Equip-T&amp;M-Ext to CHI Programs"/>
    <s v="3rd Medical"/>
    <x v="0"/>
    <m/>
    <n v="0"/>
    <n v="0"/>
    <n v="0"/>
    <n v="0"/>
    <n v="0"/>
    <n v="0"/>
    <n v="0"/>
    <n v="0"/>
    <n v="0"/>
    <n v="100"/>
    <n v="0"/>
    <n v="0"/>
    <n v="100"/>
    <n v="0"/>
  </r>
  <r>
    <x v="16"/>
    <x v="0"/>
    <x v="0"/>
    <s v="3002102"/>
    <n v="732030"/>
    <s v="Repairs---Other"/>
    <s v="3rd Medical"/>
    <x v="0"/>
    <m/>
    <n v="0"/>
    <n v="0"/>
    <n v="2199.4899999999998"/>
    <n v="0"/>
    <n v="0"/>
    <n v="0"/>
    <n v="0"/>
    <n v="0"/>
    <n v="0"/>
    <n v="0"/>
    <n v="0"/>
    <n v="0"/>
    <n v="2199.4899999999998"/>
    <n v="0"/>
  </r>
  <r>
    <x v="13"/>
    <x v="0"/>
    <x v="0"/>
    <s v="3002102"/>
    <n v="735070"/>
    <s v="Depreciation-Movable Equipment"/>
    <s v="3rd Medical"/>
    <x v="0"/>
    <m/>
    <n v="435.13"/>
    <n v="663.96"/>
    <n v="663.97"/>
    <n v="663.96"/>
    <n v="663.97"/>
    <n v="663.95"/>
    <n v="663.98"/>
    <n v="663.94"/>
    <n v="663.99"/>
    <n v="663.94"/>
    <n v="664"/>
    <n v="663.94"/>
    <n v="7738.7300000000014"/>
    <n v="5.999999999994543E-2"/>
  </r>
  <r>
    <x v="0"/>
    <x v="0"/>
    <x v="0"/>
    <s v="3002102"/>
    <n v="740020"/>
    <s v="Education-Registration Fees"/>
    <s v="3rd Medical"/>
    <x v="0"/>
    <m/>
    <n v="0"/>
    <n v="0"/>
    <n v="0"/>
    <n v="613.5"/>
    <n v="255"/>
    <n v="450"/>
    <n v="0"/>
    <n v="375"/>
    <n v="0"/>
    <n v="1125"/>
    <n v="0"/>
    <n v="612.80999999999995"/>
    <n v="3431.31"/>
    <n v="-612.80999999999995"/>
  </r>
  <r>
    <x v="0"/>
    <x v="0"/>
    <x v="0"/>
    <s v="3002102"/>
    <n v="743030"/>
    <s v="Subscriptions--Institutional"/>
    <s v="3rd Medical"/>
    <x v="0"/>
    <m/>
    <n v="0"/>
    <n v="0"/>
    <n v="173.8"/>
    <n v="0"/>
    <n v="218.82"/>
    <n v="0"/>
    <n v="0"/>
    <n v="0"/>
    <n v="0"/>
    <n v="0"/>
    <n v="0"/>
    <n v="0"/>
    <n v="392.62"/>
    <n v="0"/>
  </r>
  <r>
    <x v="0"/>
    <x v="0"/>
    <x v="0"/>
    <s v="3002102"/>
    <n v="743040"/>
    <s v="Subscriptions--Individual"/>
    <s v="3rd Medical"/>
    <x v="0"/>
    <m/>
    <n v="0"/>
    <n v="0"/>
    <n v="0"/>
    <n v="0"/>
    <n v="0"/>
    <n v="20.56"/>
    <n v="0"/>
    <n v="0"/>
    <n v="0"/>
    <n v="0"/>
    <n v="0"/>
    <n v="0"/>
    <n v="20.56"/>
    <n v="0"/>
  </r>
  <r>
    <x v="0"/>
    <x v="0"/>
    <x v="0"/>
    <s v="3002102"/>
    <n v="749510"/>
    <s v="Miscellaneous Expenses"/>
    <s v="3rd Medical"/>
    <x v="0"/>
    <m/>
    <n v="-16.739999999999998"/>
    <n v="12955.05"/>
    <n v="98.41"/>
    <n v="149.19"/>
    <n v="77.41"/>
    <n v="284.41000000000003"/>
    <n v="62.1"/>
    <n v="122.33"/>
    <n v="2038.99"/>
    <n v="1166.19"/>
    <n v="473.16"/>
    <n v="908.02"/>
    <n v="18318.52"/>
    <n v="-434.85999999999996"/>
  </r>
  <r>
    <x v="0"/>
    <x v="0"/>
    <x v="0"/>
    <s v="3002102"/>
    <n v="749510"/>
    <s v="Licenses"/>
    <s v="3rd Medical"/>
    <x v="0"/>
    <n v="1002"/>
    <n v="0"/>
    <n v="0"/>
    <n v="0"/>
    <n v="0"/>
    <n v="0"/>
    <n v="0"/>
    <n v="0"/>
    <n v="0"/>
    <n v="0"/>
    <n v="0"/>
    <n v="0"/>
    <n v="375"/>
    <n v="375"/>
    <n v="-375"/>
  </r>
  <r>
    <x v="0"/>
    <x v="0"/>
    <x v="0"/>
    <s v="3002102"/>
    <n v="749510"/>
    <s v="RICE Rewards"/>
    <s v="3rd Medical"/>
    <x v="0"/>
    <n v="5100"/>
    <n v="0"/>
    <n v="0"/>
    <n v="0"/>
    <n v="0"/>
    <n v="0"/>
    <n v="0"/>
    <n v="0"/>
    <n v="0"/>
    <n v="0"/>
    <n v="0"/>
    <n v="0"/>
    <n v="3167"/>
    <n v="3167"/>
    <n v="-3167"/>
  </r>
  <r>
    <x v="0"/>
    <x v="0"/>
    <x v="0"/>
    <s v="3002102"/>
    <n v="749530"/>
    <s v="Travel"/>
    <s v="3rd Medical"/>
    <x v="0"/>
    <m/>
    <n v="0"/>
    <n v="0"/>
    <n v="0"/>
    <n v="0"/>
    <n v="0"/>
    <n v="0"/>
    <n v="0"/>
    <n v="0"/>
    <n v="0"/>
    <n v="0"/>
    <n v="0"/>
    <n v="451.08"/>
    <n v="451.08"/>
    <n v="-451.08"/>
  </r>
  <r>
    <x v="0"/>
    <x v="0"/>
    <x v="0"/>
    <s v="3002102"/>
    <n v="749535"/>
    <s v="Meetings"/>
    <s v="3rd Medical"/>
    <x v="0"/>
    <m/>
    <n v="0"/>
    <n v="0"/>
    <n v="0"/>
    <n v="0"/>
    <n v="0"/>
    <n v="0"/>
    <n v="0"/>
    <n v="0"/>
    <n v="0"/>
    <n v="0"/>
    <n v="0"/>
    <n v="98.8"/>
    <n v="98.8"/>
    <n v="-98.8"/>
  </r>
  <r>
    <x v="18"/>
    <x v="8"/>
    <x v="0"/>
    <s v="3002104"/>
    <n v="400010"/>
    <s v="Acute I/P Svcs Rev--Medicare"/>
    <s v="Surgical 5th Floor"/>
    <x v="0"/>
    <n v="1100"/>
    <n v="-1684709.07"/>
    <n v="-1466195.25"/>
    <n v="-1350128.48"/>
    <n v="-1367381.87"/>
    <n v="-856225.17"/>
    <n v="-1331056.92"/>
    <n v="-1501240.08"/>
    <n v="-1545390.62"/>
    <n v="-2207974.2799999998"/>
    <n v="-1240626.4099999999"/>
    <n v="-1103018.27"/>
    <n v="-424195.33"/>
    <n v="-16078141.75"/>
    <n v="-678822.94"/>
  </r>
  <r>
    <x v="18"/>
    <x v="8"/>
    <x v="0"/>
    <s v="3002104"/>
    <n v="400010"/>
    <s v="Acute I/P Svcs Rev--Medicaid"/>
    <s v="Surgical 5th Floor"/>
    <x v="0"/>
    <n v="1200"/>
    <n v="-487699.14"/>
    <n v="-216303.47"/>
    <n v="-191809.79"/>
    <n v="-217012.5"/>
    <n v="-374778.12"/>
    <n v="-393701.84"/>
    <n v="-116925.51"/>
    <n v="-204871.87"/>
    <n v="-291765.68"/>
    <n v="-202014.24"/>
    <n v="-136126.15"/>
    <n v="-305017.33"/>
    <n v="-3138025.64"/>
    <n v="168891.18000000002"/>
  </r>
  <r>
    <x v="18"/>
    <x v="8"/>
    <x v="0"/>
    <s v="3002104"/>
    <n v="400010"/>
    <s v="Acute I/P Svcs Rev--Comm Insurance"/>
    <s v="Surgical 5th Floor"/>
    <x v="0"/>
    <n v="1300"/>
    <n v="-85852.95"/>
    <n v="40373.89"/>
    <n v="-34012.620000000003"/>
    <n v="-62128.74"/>
    <n v="-46763.77"/>
    <n v="-70101.19"/>
    <n v="-58832.4"/>
    <n v="-27154.13"/>
    <n v="-9712.2199999999993"/>
    <n v="10884.01"/>
    <n v="-45133.33"/>
    <n v="-53875.33"/>
    <n v="-442308.77999999997"/>
    <n v="8742"/>
  </r>
  <r>
    <x v="18"/>
    <x v="8"/>
    <x v="0"/>
    <s v="3002104"/>
    <n v="400010"/>
    <s v="Acute I/P Svcs Rev--BCBS Comm"/>
    <s v="Surgical 5th Floor"/>
    <x v="0"/>
    <n v="1301"/>
    <n v="-44563.6"/>
    <n v="-120184.76"/>
    <n v="-118229.78"/>
    <n v="-155912.89000000001"/>
    <n v="-120137.96"/>
    <n v="-94310.99"/>
    <n v="-194488.64"/>
    <n v="-335999.89"/>
    <n v="-51587.97"/>
    <n v="-53273.3"/>
    <n v="-144796.12"/>
    <n v="-163661.14000000001"/>
    <n v="-1597147.04"/>
    <n v="18865.020000000019"/>
  </r>
  <r>
    <x v="18"/>
    <x v="8"/>
    <x v="0"/>
    <s v="3002104"/>
    <n v="400010"/>
    <s v="Acute I/P Svcs Rev--Managed Care"/>
    <s v="Surgical 5th Floor"/>
    <x v="0"/>
    <n v="1400"/>
    <n v="-222526.21"/>
    <n v="-354211.16"/>
    <n v="-310014.49"/>
    <n v="-263098.46999999997"/>
    <n v="-183514.79"/>
    <n v="-134075.43"/>
    <n v="-233226.55"/>
    <n v="-162105.67000000001"/>
    <n v="-286191.84999999998"/>
    <n v="-195352.47"/>
    <n v="-173000.01"/>
    <n v="-209434.03"/>
    <n v="-2726751.1300000004"/>
    <n v="36434.01999999999"/>
  </r>
  <r>
    <x v="18"/>
    <x v="8"/>
    <x v="0"/>
    <s v="3002104"/>
    <n v="400010"/>
    <s v="Acute I/P Svcs Rev--Self Pay"/>
    <s v="Surgical 5th Floor"/>
    <x v="0"/>
    <n v="1500"/>
    <n v="-19328.47"/>
    <n v="-8244.26"/>
    <n v="-35372.58"/>
    <n v="-25902.37"/>
    <n v="-1580.06"/>
    <n v="-58652.76"/>
    <n v="-20611.18"/>
    <n v="-19725.560000000001"/>
    <n v="9615.56"/>
    <n v="-83478.740000000005"/>
    <n v="-47349.4"/>
    <n v="-24269.599999999999"/>
    <n v="-334899.42"/>
    <n v="-23079.800000000003"/>
  </r>
  <r>
    <x v="18"/>
    <x v="8"/>
    <x v="0"/>
    <s v="3002104"/>
    <n v="400010"/>
    <s v="Acute I/P Svcs Rev--Other"/>
    <s v="Surgical 5th Floor"/>
    <x v="0"/>
    <n v="1700"/>
    <n v="-93109.57"/>
    <n v="-57568.68"/>
    <n v="-67993"/>
    <n v="-78640.160000000003"/>
    <n v="-51539.040000000001"/>
    <n v="-76657.55"/>
    <n v="-95382.02"/>
    <n v="-143350.99"/>
    <n v="-119569.83"/>
    <n v="-68645.91"/>
    <n v="-39686.449999999997"/>
    <n v="-230584.07"/>
    <n v="-1122727.27"/>
    <n v="190897.62"/>
  </r>
  <r>
    <x v="19"/>
    <x v="8"/>
    <x v="0"/>
    <s v="3002104"/>
    <n v="400020"/>
    <s v="O/P Care Svcs Rev--Medicare"/>
    <s v="Surgical 5th Floor"/>
    <x v="0"/>
    <n v="1100"/>
    <n v="-153003.79"/>
    <n v="-168532.77"/>
    <n v="-291846.84000000003"/>
    <n v="-132784.57999999999"/>
    <n v="-204932.26"/>
    <n v="-185441.23"/>
    <n v="-200789.68"/>
    <n v="-226115.56"/>
    <n v="-248619.57"/>
    <n v="-209387.95"/>
    <n v="-231879.33"/>
    <n v="-143098.85999999999"/>
    <n v="-2396432.42"/>
    <n v="-88780.47"/>
  </r>
  <r>
    <x v="19"/>
    <x v="8"/>
    <x v="0"/>
    <s v="3002104"/>
    <n v="400020"/>
    <s v="O/P Care Svcs Rev--Medicaid"/>
    <s v="Surgical 5th Floor"/>
    <x v="0"/>
    <n v="1200"/>
    <n v="-23589.45"/>
    <n v="-75412.05"/>
    <n v="-77862.13"/>
    <n v="-39281.17"/>
    <n v="-95038.43"/>
    <n v="-53023.93"/>
    <n v="-54883.48"/>
    <n v="-32452.95"/>
    <n v="-21042.18"/>
    <n v="-60732.66"/>
    <n v="-72171.63"/>
    <n v="-24424.35"/>
    <n v="-629914.40999999992"/>
    <n v="-47747.280000000006"/>
  </r>
  <r>
    <x v="19"/>
    <x v="8"/>
    <x v="0"/>
    <s v="3002104"/>
    <n v="400020"/>
    <s v="O/P Care Svcs Rev--Comm Insurance"/>
    <s v="Surgical 5th Floor"/>
    <x v="0"/>
    <n v="1300"/>
    <n v="900.89"/>
    <n v="77.239999999999995"/>
    <n v="-2297.16"/>
    <n v="-15432.01"/>
    <n v="796.44"/>
    <n v="-54561.99"/>
    <n v="-6335.59"/>
    <n v="-8223.91"/>
    <n v="-76944.12"/>
    <n v="-16506"/>
    <n v="-9828.8799999999992"/>
    <n v="59456.58"/>
    <n v="-128898.51"/>
    <n v="-69285.460000000006"/>
  </r>
  <r>
    <x v="19"/>
    <x v="8"/>
    <x v="0"/>
    <s v="3002104"/>
    <n v="400020"/>
    <s v="O/P Care Svcs Rev--BCBS Comm"/>
    <s v="Surgical 5th Floor"/>
    <x v="0"/>
    <n v="1301"/>
    <n v="-37732.97"/>
    <n v="-33080.71"/>
    <n v="-26290.79"/>
    <n v="-65950.14"/>
    <n v="-64572.77"/>
    <n v="-105989.97"/>
    <n v="-30328.23"/>
    <n v="-51920.37"/>
    <n v="-886.33"/>
    <n v="-30310.400000000001"/>
    <n v="-41259.300000000003"/>
    <n v="-132947.63"/>
    <n v="-621269.61"/>
    <n v="91688.33"/>
  </r>
  <r>
    <x v="19"/>
    <x v="8"/>
    <x v="0"/>
    <s v="3002104"/>
    <n v="400020"/>
    <s v="O/P Care Svcs Rev--Managed Care"/>
    <s v="Surgical 5th Floor"/>
    <x v="0"/>
    <n v="1400"/>
    <n v="-63095.22"/>
    <n v="-50448.32"/>
    <n v="-74396.69"/>
    <n v="-91164.61"/>
    <n v="-104872.16"/>
    <n v="-121869.91"/>
    <n v="-149103.29"/>
    <n v="-102843.21"/>
    <n v="-109740.32"/>
    <n v="-70373.960000000006"/>
    <n v="-61772.09"/>
    <n v="-94654.18"/>
    <n v="-1094333.96"/>
    <n v="32882.089999999997"/>
  </r>
  <r>
    <x v="19"/>
    <x v="8"/>
    <x v="0"/>
    <s v="3002104"/>
    <n v="400020"/>
    <s v="O/P Care Svcs Rev--Self Pay"/>
    <s v="Surgical 5th Floor"/>
    <x v="0"/>
    <n v="1500"/>
    <n v="-2680.02"/>
    <n v="-18214.27"/>
    <n v="-9901.0400000000009"/>
    <n v="-4549.3500000000004"/>
    <n v="-10548.67"/>
    <n v="-15110.86"/>
    <n v="-24409.21"/>
    <n v="-17055.8"/>
    <n v="-7280.47"/>
    <n v="-24693.24"/>
    <n v="-3154.56"/>
    <n v="-6786.96"/>
    <n v="-144384.44999999998"/>
    <n v="3632.4"/>
  </r>
  <r>
    <x v="19"/>
    <x v="8"/>
    <x v="0"/>
    <s v="3002104"/>
    <n v="400020"/>
    <s v="O/P Care Svcs Rev--Other"/>
    <s v="Surgical 5th Floor"/>
    <x v="0"/>
    <n v="1700"/>
    <n v="-4428.6899999999996"/>
    <n v="-14481.95"/>
    <n v="-13496.54"/>
    <n v="-25372.1"/>
    <n v="-50783.88"/>
    <n v="-59157.77"/>
    <n v="-24529.56"/>
    <n v="-28566.04"/>
    <n v="-26225.03"/>
    <n v="-16688.650000000001"/>
    <n v="-79137.33"/>
    <n v="-6322.42"/>
    <n v="-349189.96"/>
    <n v="-72814.91"/>
  </r>
  <r>
    <x v="14"/>
    <x v="8"/>
    <x v="0"/>
    <s v="3002104"/>
    <n v="600050"/>
    <s v="Miscellaneous Revenue"/>
    <s v="Surgical 5th Floor"/>
    <x v="0"/>
    <m/>
    <n v="-75"/>
    <n v="0"/>
    <n v="-300"/>
    <n v="0"/>
    <n v="0"/>
    <n v="0"/>
    <n v="0"/>
    <n v="0"/>
    <n v="0"/>
    <n v="0"/>
    <n v="0"/>
    <n v="0"/>
    <n v="-375"/>
    <n v="0"/>
  </r>
  <r>
    <x v="20"/>
    <x v="8"/>
    <x v="0"/>
    <s v="3002104"/>
    <n v="610010"/>
    <s v="Foundation Distributions"/>
    <s v="Surgical 5th Floor"/>
    <x v="0"/>
    <n v="1175"/>
    <n v="0"/>
    <n v="-2824.07"/>
    <n v="0"/>
    <n v="0"/>
    <n v="0"/>
    <n v="0"/>
    <n v="0"/>
    <n v="0"/>
    <n v="0"/>
    <n v="0"/>
    <n v="0"/>
    <n v="0"/>
    <n v="-2824.07"/>
    <n v="0"/>
  </r>
  <r>
    <x v="5"/>
    <x v="8"/>
    <x v="0"/>
    <s v="3002104"/>
    <n v="700014"/>
    <s v="Salaries-Management-Productive"/>
    <s v="Surgical 5th Floor"/>
    <x v="0"/>
    <m/>
    <n v="5679.82"/>
    <n v="4064.45"/>
    <n v="3912.84"/>
    <n v="8825.16"/>
    <n v="10739.45"/>
    <n v="8127.45"/>
    <n v="7817.17"/>
    <n v="8429.99"/>
    <n v="10174.14"/>
    <n v="7428.44"/>
    <n v="9560.49"/>
    <n v="9237.6299999999992"/>
    <n v="93997.030000000013"/>
    <n v="322.86000000000058"/>
  </r>
  <r>
    <x v="5"/>
    <x v="8"/>
    <x v="0"/>
    <s v="3002104"/>
    <n v="700014"/>
    <s v="Salaries-Management-Other"/>
    <s v="Surgical 5th Floor"/>
    <x v="0"/>
    <n v="2000"/>
    <n v="212.48"/>
    <n v="387.5"/>
    <n v="375.01"/>
    <n v="-99.99"/>
    <n v="0"/>
    <n v="0"/>
    <n v="0"/>
    <n v="0"/>
    <n v="0"/>
    <n v="0"/>
    <n v="0"/>
    <n v="0"/>
    <n v="875"/>
    <n v="0"/>
  </r>
  <r>
    <x v="5"/>
    <x v="8"/>
    <x v="0"/>
    <s v="3002104"/>
    <n v="700026"/>
    <s v="Salaries-RN-Productive"/>
    <s v="Surgical 5th Floor"/>
    <x v="0"/>
    <m/>
    <n v="216701.33"/>
    <n v="169420.57"/>
    <n v="191733.85"/>
    <n v="173108.44"/>
    <n v="169773.63"/>
    <n v="198250.36"/>
    <n v="178790.17"/>
    <n v="194491.66"/>
    <n v="184707.31"/>
    <n v="163349.31"/>
    <n v="146628.13"/>
    <n v="178311.4"/>
    <n v="2165266.1599999997"/>
    <n v="-31683.26999999999"/>
  </r>
  <r>
    <x v="5"/>
    <x v="8"/>
    <x v="0"/>
    <s v="3002104"/>
    <n v="700026"/>
    <s v="Salaries-RN-OT"/>
    <s v="Surgical 5th Floor"/>
    <x v="0"/>
    <n v="1000"/>
    <n v="7320.35"/>
    <n v="5880.43"/>
    <n v="9167.92"/>
    <n v="3936.73"/>
    <n v="5099.62"/>
    <n v="5551.41"/>
    <n v="4617.05"/>
    <n v="4412.47"/>
    <n v="6460.1"/>
    <n v="4568.0600000000004"/>
    <n v="3303.53"/>
    <n v="4958.1000000000004"/>
    <n v="65275.77"/>
    <n v="-1654.5700000000002"/>
  </r>
  <r>
    <x v="5"/>
    <x v="8"/>
    <x v="0"/>
    <s v="3002104"/>
    <n v="700026"/>
    <s v="Salaries-RN-Other"/>
    <s v="Surgical 5th Floor"/>
    <x v="0"/>
    <n v="2000"/>
    <n v="24911.71"/>
    <n v="19002.16"/>
    <n v="19585.02"/>
    <n v="19135.43"/>
    <n v="19241.419999999998"/>
    <n v="19051.34"/>
    <n v="19058.03"/>
    <n v="19816"/>
    <n v="19883.98"/>
    <n v="17683.29"/>
    <n v="16953.099999999999"/>
    <n v="20617.22"/>
    <n v="234938.7"/>
    <n v="-3664.1200000000026"/>
  </r>
  <r>
    <x v="5"/>
    <x v="8"/>
    <x v="0"/>
    <s v="3002104"/>
    <n v="700032"/>
    <s v="Salaries-Other Pat Care Providers-Productive"/>
    <s v="Surgical 5th Floor"/>
    <x v="0"/>
    <m/>
    <n v="57149.7"/>
    <n v="43510.400000000001"/>
    <n v="53176.7"/>
    <n v="40644.67"/>
    <n v="53118.64"/>
    <n v="49552.28"/>
    <n v="41906.82"/>
    <n v="39684.949999999997"/>
    <n v="39549.629999999997"/>
    <n v="41430.67"/>
    <n v="36932.18"/>
    <n v="38869.03"/>
    <n v="535525.67000000004"/>
    <n v="-1936.8499999999985"/>
  </r>
  <r>
    <x v="5"/>
    <x v="8"/>
    <x v="0"/>
    <s v="3002104"/>
    <n v="700032"/>
    <s v="Salaries-Other Pat Care Providers-OT"/>
    <s v="Surgical 5th Floor"/>
    <x v="0"/>
    <n v="1000"/>
    <n v="2935.76"/>
    <n v="918.55"/>
    <n v="1860.37"/>
    <n v="160.63"/>
    <n v="1531.96"/>
    <n v="708"/>
    <n v="1034.32"/>
    <n v="319.67"/>
    <n v="867.2"/>
    <n v="996.09"/>
    <n v="141.05000000000001"/>
    <n v="1147.8399999999999"/>
    <n v="12621.44"/>
    <n v="-1006.79"/>
  </r>
  <r>
    <x v="5"/>
    <x v="8"/>
    <x v="0"/>
    <s v="3002104"/>
    <n v="700032"/>
    <s v="Salaries-Other Pat Care Providers-Other"/>
    <s v="Surgical 5th Floor"/>
    <x v="0"/>
    <n v="2000"/>
    <n v="4598.16"/>
    <n v="3600.49"/>
    <n v="4320.25"/>
    <n v="3586.66"/>
    <n v="4257.54"/>
    <n v="4021.75"/>
    <n v="2810.35"/>
    <n v="2401.81"/>
    <n v="2545.5700000000002"/>
    <n v="3220.43"/>
    <n v="3447.23"/>
    <n v="2587.3000000000002"/>
    <n v="41397.54"/>
    <n v="859.92999999999984"/>
  </r>
  <r>
    <x v="5"/>
    <x v="8"/>
    <x v="0"/>
    <s v="3002104"/>
    <n v="700038"/>
    <s v="Salaries-Service/Support-Productive"/>
    <s v="Surgical 5th Floor"/>
    <x v="0"/>
    <m/>
    <n v="8277.75"/>
    <n v="6602.96"/>
    <n v="6449.96"/>
    <n v="8875.9699999999993"/>
    <n v="4054.46"/>
    <n v="6036.82"/>
    <n v="4648.7700000000004"/>
    <n v="5183.6099999999997"/>
    <n v="5195.95"/>
    <n v="4594.83"/>
    <n v="5266.04"/>
    <n v="4172.1400000000003"/>
    <n v="69359.260000000009"/>
    <n v="1093.8999999999996"/>
  </r>
  <r>
    <x v="5"/>
    <x v="8"/>
    <x v="0"/>
    <s v="3002104"/>
    <n v="700038"/>
    <s v="Salaries-Service/Support-OT"/>
    <s v="Surgical 5th Floor"/>
    <x v="0"/>
    <n v="1000"/>
    <n v="16.989999999999998"/>
    <n v="12.09"/>
    <n v="756.42"/>
    <n v="-434.78"/>
    <n v="930.44"/>
    <n v="-141.85"/>
    <n v="-2.5"/>
    <n v="246.57"/>
    <n v="56.16"/>
    <n v="-39.96"/>
    <n v="0"/>
    <n v="27.55"/>
    <n v="1427.13"/>
    <n v="-27.55"/>
  </r>
  <r>
    <x v="5"/>
    <x v="8"/>
    <x v="0"/>
    <s v="3002104"/>
    <n v="700038"/>
    <s v="Salaries-Service/Support-Other"/>
    <s v="Surgical 5th Floor"/>
    <x v="0"/>
    <n v="2000"/>
    <n v="214.42"/>
    <n v="132.68"/>
    <n v="174.53"/>
    <n v="89.36"/>
    <n v="157.94"/>
    <n v="70.55"/>
    <n v="65.650000000000006"/>
    <n v="80.650000000000006"/>
    <n v="77.569999999999993"/>
    <n v="62.36"/>
    <n v="74.459999999999994"/>
    <n v="64.260000000000005"/>
    <n v="1264.4299999999998"/>
    <n v="10.199999999999989"/>
  </r>
  <r>
    <x v="5"/>
    <x v="8"/>
    <x v="0"/>
    <s v="3002104"/>
    <n v="700054"/>
    <s v="Salaries-Management-Non-productive"/>
    <s v="Surgical 5th Floor"/>
    <x v="0"/>
    <m/>
    <n v="1329.36"/>
    <n v="1273.92"/>
    <n v="1273.92"/>
    <n v="2418.83"/>
    <n v="-1064.27"/>
    <n v="1870.55"/>
    <n v="2196.44"/>
    <n v="613.64"/>
    <n v="-161.46"/>
    <n v="2260.91"/>
    <n v="452.18"/>
    <n v="452.18"/>
    <n v="12916.2"/>
    <n v="0"/>
  </r>
  <r>
    <x v="5"/>
    <x v="8"/>
    <x v="0"/>
    <s v="3002104"/>
    <n v="700054"/>
    <s v="Salaries-Management-NonProd-Other"/>
    <s v="Surgical 5th Floor"/>
    <x v="0"/>
    <n v="2000"/>
    <n v="0"/>
    <n v="0"/>
    <n v="0"/>
    <n v="0"/>
    <n v="0"/>
    <n v="4459.37"/>
    <n v="-4459.37"/>
    <n v="0"/>
    <n v="0"/>
    <n v="0"/>
    <n v="0"/>
    <n v="0"/>
    <n v="0"/>
    <n v="0"/>
  </r>
  <r>
    <x v="5"/>
    <x v="8"/>
    <x v="0"/>
    <s v="3002104"/>
    <n v="700066"/>
    <s v="Salaries-RN-Non-productive"/>
    <s v="Surgical 5th Floor"/>
    <x v="0"/>
    <m/>
    <n v="24308.36"/>
    <n v="41720.15"/>
    <n v="20917.95"/>
    <n v="30511.54"/>
    <n v="14258.78"/>
    <n v="43480.76"/>
    <n v="30889.13"/>
    <n v="30485.24"/>
    <n v="33498.879999999997"/>
    <n v="36597.480000000003"/>
    <n v="11282.6"/>
    <n v="40030.160000000003"/>
    <n v="357981.02999999991"/>
    <n v="-28747.560000000005"/>
  </r>
  <r>
    <x v="5"/>
    <x v="8"/>
    <x v="0"/>
    <s v="3002104"/>
    <n v="700066"/>
    <s v="Salaries-RN-NonProd-Other"/>
    <s v="Surgical 5th Floor"/>
    <x v="0"/>
    <n v="2000"/>
    <n v="2482.34"/>
    <n v="4580.71"/>
    <n v="2821.4"/>
    <n v="3687.93"/>
    <n v="3279.07"/>
    <n v="8040.39"/>
    <n v="2792.07"/>
    <n v="-4999.09"/>
    <n v="3244.41"/>
    <n v="2114.98"/>
    <n v="1008.96"/>
    <n v="2760.35"/>
    <n v="31813.519999999997"/>
    <n v="-1751.3899999999999"/>
  </r>
  <r>
    <x v="5"/>
    <x v="8"/>
    <x v="0"/>
    <s v="3002104"/>
    <n v="700072"/>
    <s v="Salaries-Other Pat Care Providers-Non-productive"/>
    <s v="Surgical 5th Floor"/>
    <x v="0"/>
    <m/>
    <n v="8432.34"/>
    <n v="7669.73"/>
    <n v="7641.55"/>
    <n v="6983.38"/>
    <n v="6727.25"/>
    <n v="5718.1"/>
    <n v="5853.69"/>
    <n v="9437.77"/>
    <n v="7193.92"/>
    <n v="6254.57"/>
    <n v="10456.26"/>
    <n v="3787.04"/>
    <n v="86155.599999999977"/>
    <n v="6669.22"/>
  </r>
  <r>
    <x v="5"/>
    <x v="8"/>
    <x v="0"/>
    <s v="3002104"/>
    <n v="700072"/>
    <s v="Salaries-Other Pat Care Providers-NonProd-Other"/>
    <s v="Surgical 5th Floor"/>
    <x v="0"/>
    <n v="2000"/>
    <n v="333.56"/>
    <n v="443.87"/>
    <n v="562.86"/>
    <n v="304.39999999999998"/>
    <n v="355.2"/>
    <n v="399.15"/>
    <n v="439.98"/>
    <n v="359.25"/>
    <n v="266.75"/>
    <n v="216.35"/>
    <n v="613.89"/>
    <n v="90.05"/>
    <n v="4385.3100000000004"/>
    <n v="523.84"/>
  </r>
  <r>
    <x v="5"/>
    <x v="8"/>
    <x v="0"/>
    <s v="3002104"/>
    <n v="700078"/>
    <s v="Salaries-Service/Support-Non-productive"/>
    <s v="Surgical 5th Floor"/>
    <x v="0"/>
    <m/>
    <n v="1010.56"/>
    <n v="148.57"/>
    <n v="-16.899999999999999"/>
    <n v="363.78"/>
    <n v="1714.49"/>
    <n v="-455.22"/>
    <n v="239.98"/>
    <n v="32.799999999999997"/>
    <n v="13.69"/>
    <n v="203.47"/>
    <n v="341.74"/>
    <n v="779.41"/>
    <n v="4376.37"/>
    <n v="-437.66999999999996"/>
  </r>
  <r>
    <x v="5"/>
    <x v="8"/>
    <x v="0"/>
    <s v="3002104"/>
    <n v="700078"/>
    <s v="Salaries-Service/Support-NonProd-Other"/>
    <s v="Surgical 5th Floor"/>
    <x v="0"/>
    <n v="2000"/>
    <n v="0"/>
    <n v="0"/>
    <n v="0"/>
    <n v="0"/>
    <n v="0"/>
    <n v="0"/>
    <n v="0"/>
    <n v="7.85"/>
    <n v="-2.06"/>
    <n v="0"/>
    <n v="0"/>
    <n v="0"/>
    <n v="5.7899999999999991"/>
    <n v="0"/>
  </r>
  <r>
    <x v="5"/>
    <x v="8"/>
    <x v="0"/>
    <s v="3002104"/>
    <n v="700084"/>
    <s v="Accrued PTO"/>
    <s v="Surgical 5th Floor"/>
    <x v="0"/>
    <m/>
    <n v="5294.55"/>
    <n v="-10403.69"/>
    <n v="-4453.05"/>
    <n v="7373.77"/>
    <n v="11575.45"/>
    <n v="-2433.65"/>
    <n v="4791.25"/>
    <n v="3060.54"/>
    <n v="5307.71"/>
    <n v="-9701.77"/>
    <n v="3930.88"/>
    <n v="-2579.12"/>
    <n v="11762.870000000003"/>
    <n v="6510"/>
  </r>
  <r>
    <x v="10"/>
    <x v="8"/>
    <x v="0"/>
    <s v="3002104"/>
    <n v="710060"/>
    <s v="Contract Labor-Other"/>
    <s v="Surgical 5th Floor"/>
    <x v="0"/>
    <m/>
    <n v="25379.25"/>
    <n v="22399.99"/>
    <n v="11051"/>
    <n v="4233"/>
    <n v="1764.5"/>
    <n v="4799.5"/>
    <n v="3621"/>
    <n v="1697.25"/>
    <n v="3060"/>
    <n v="15032"/>
    <n v="7735"/>
    <n v="9709.5"/>
    <n v="110481.99"/>
    <n v="-1974.5"/>
  </r>
  <r>
    <x v="10"/>
    <x v="8"/>
    <x v="0"/>
    <s v="3002104"/>
    <n v="710060"/>
    <s v="Contract Labor-Overtime"/>
    <s v="Surgical 5th Floor"/>
    <x v="0"/>
    <n v="5100"/>
    <n v="367.2"/>
    <n v="413.1"/>
    <n v="0"/>
    <n v="0"/>
    <n v="1198.1199999999999"/>
    <n v="0"/>
    <n v="0"/>
    <n v="1030.3900000000001"/>
    <n v="734.4"/>
    <n v="0"/>
    <n v="0"/>
    <n v="413.1"/>
    <n v="4156.3100000000004"/>
    <n v="-413.1"/>
  </r>
  <r>
    <x v="10"/>
    <x v="8"/>
    <x v="0"/>
    <s v="3002104"/>
    <n v="710060"/>
    <s v="Contract Labor-Standby Wages"/>
    <s v="Surgical 5th Floor"/>
    <x v="0"/>
    <n v="5101"/>
    <n v="0"/>
    <n v="0"/>
    <n v="0"/>
    <n v="0"/>
    <n v="0"/>
    <n v="0"/>
    <n v="0"/>
    <n v="18"/>
    <n v="0"/>
    <n v="0"/>
    <n v="0"/>
    <n v="0"/>
    <n v="18"/>
    <n v="0"/>
  </r>
  <r>
    <x v="6"/>
    <x v="8"/>
    <x v="0"/>
    <s v="3002104"/>
    <n v="713010"/>
    <s v="Benefits-FICA/Medicare"/>
    <s v="Surgical 5th Floor"/>
    <x v="0"/>
    <m/>
    <n v="27355.33"/>
    <n v="23574.04"/>
    <n v="24029.86"/>
    <n v="22380.28"/>
    <n v="22420.82"/>
    <n v="26218.58"/>
    <n v="22859.78"/>
    <n v="23626.81"/>
    <n v="23265.71"/>
    <n v="21649.22"/>
    <n v="18242.78"/>
    <n v="22814.14"/>
    <n v="278437.35000000003"/>
    <n v="-4571.3600000000006"/>
  </r>
  <r>
    <x v="6"/>
    <x v="8"/>
    <x v="0"/>
    <s v="3002104"/>
    <n v="713090"/>
    <s v="Benefits-Allocated Amounts"/>
    <s v="Surgical 5th Floor"/>
    <x v="0"/>
    <m/>
    <n v="75087.399999999994"/>
    <n v="54884.69"/>
    <n v="63301.919999999998"/>
    <n v="57766.31"/>
    <n v="60950.76"/>
    <n v="64271.87"/>
    <n v="59060.03"/>
    <n v="66310.100000000006"/>
    <n v="61256.82"/>
    <n v="61842.44"/>
    <n v="52305.49"/>
    <n v="62371.67"/>
    <n v="739409.49999999988"/>
    <n v="-10066.18"/>
  </r>
  <r>
    <x v="6"/>
    <x v="8"/>
    <x v="0"/>
    <s v="3002104"/>
    <n v="713096"/>
    <s v="Employee Recognition"/>
    <s v="Surgical 5th Floor"/>
    <x v="0"/>
    <n v="1017"/>
    <n v="0"/>
    <n v="0"/>
    <n v="0"/>
    <n v="0"/>
    <n v="0"/>
    <n v="0"/>
    <n v="0"/>
    <n v="31.07"/>
    <n v="0"/>
    <n v="0"/>
    <n v="0"/>
    <n v="106.31"/>
    <n v="137.38"/>
    <n v="-106.31"/>
  </r>
  <r>
    <x v="7"/>
    <x v="8"/>
    <x v="0"/>
    <s v="3002104"/>
    <n v="718050"/>
    <s v="Contract Svcs-Other"/>
    <s v="Surgical 5th Floor"/>
    <x v="0"/>
    <m/>
    <n v="0"/>
    <n v="0"/>
    <n v="0"/>
    <n v="0"/>
    <n v="879.52"/>
    <n v="-82.03"/>
    <n v="0"/>
    <n v="0"/>
    <n v="275.25"/>
    <n v="0"/>
    <n v="0"/>
    <n v="0"/>
    <n v="1072.74"/>
    <n v="0"/>
  </r>
  <r>
    <x v="7"/>
    <x v="8"/>
    <x v="0"/>
    <s v="3002104"/>
    <n v="718050"/>
    <s v="Miscellaneous Purchased Svcs"/>
    <s v="Surgical 5th Floor"/>
    <x v="0"/>
    <n v="1020"/>
    <n v="0"/>
    <n v="268.23"/>
    <n v="89.41"/>
    <n v="1799.37"/>
    <n v="89.41"/>
    <n v="89.41"/>
    <n v="89.82"/>
    <n v="89.82"/>
    <n v="89.82"/>
    <n v="89.41"/>
    <n v="0"/>
    <n v="89.41"/>
    <n v="2784.1099999999997"/>
    <n v="-89.41"/>
  </r>
  <r>
    <x v="7"/>
    <x v="8"/>
    <x v="0"/>
    <s v="3002104"/>
    <n v="718050"/>
    <s v="Contract Management--Linen"/>
    <s v="Surgical 5th Floor"/>
    <x v="0"/>
    <n v="1026"/>
    <n v="8363.82"/>
    <n v="8044.5"/>
    <n v="8462.0300000000007"/>
    <n v="8078.86"/>
    <n v="8383.11"/>
    <n v="8885.2199999999993"/>
    <n v="9963.43"/>
    <n v="12416.33"/>
    <n v="10640.08"/>
    <n v="6734.33"/>
    <n v="3883.86"/>
    <n v="7732.29"/>
    <n v="101587.86"/>
    <n v="-3848.43"/>
  </r>
  <r>
    <x v="11"/>
    <x v="8"/>
    <x v="0"/>
    <s v="3002104"/>
    <n v="721010"/>
    <s v="Supplies-Medical - Billable"/>
    <s v="Surgical 5th Floor"/>
    <x v="0"/>
    <m/>
    <n v="5992.61"/>
    <n v="6097.05"/>
    <n v="3254.13"/>
    <n v="3435.46"/>
    <n v="2654.53"/>
    <n v="3851.05"/>
    <n v="4365.91"/>
    <n v="3438.61"/>
    <n v="7294.56"/>
    <n v="4060.29"/>
    <n v="2793.05"/>
    <n v="5071.87"/>
    <n v="52309.120000000003"/>
    <n v="-2278.8199999999997"/>
  </r>
  <r>
    <x v="11"/>
    <x v="8"/>
    <x v="0"/>
    <s v="3002104"/>
    <n v="721010"/>
    <s v="Patient Monitoring"/>
    <s v="Surgical 5th Floor"/>
    <x v="0"/>
    <n v="1000"/>
    <n v="112.01"/>
    <n v="237.68"/>
    <n v="126.17"/>
    <n v="73.69"/>
    <n v="108.23"/>
    <n v="227.2"/>
    <n v="102.26"/>
    <n v="64.86"/>
    <n v="161.97"/>
    <n v="501.93"/>
    <n v="346.43"/>
    <n v="92.51"/>
    <n v="2154.94"/>
    <n v="253.92000000000002"/>
  </r>
  <r>
    <x v="11"/>
    <x v="8"/>
    <x v="0"/>
    <s v="3002104"/>
    <n v="721020"/>
    <s v="Supplies-Surgical - Billable"/>
    <s v="Surgical 5th Floor"/>
    <x v="0"/>
    <m/>
    <n v="849.26"/>
    <n v="976.06"/>
    <n v="654.08000000000004"/>
    <n v="570.9"/>
    <n v="887.15"/>
    <n v="738.97"/>
    <n v="873.24"/>
    <n v="552.46"/>
    <n v="909.66"/>
    <n v="560.24"/>
    <n v="642.61"/>
    <n v="772.97"/>
    <n v="8987.5999999999985"/>
    <n v="-130.36000000000001"/>
  </r>
  <r>
    <x v="11"/>
    <x v="8"/>
    <x v="0"/>
    <s v="3002104"/>
    <n v="721020"/>
    <s v="Custom Packs"/>
    <s v="Surgical 5th Floor"/>
    <x v="0"/>
    <n v="1000"/>
    <n v="0"/>
    <n v="10.130000000000001"/>
    <n v="0"/>
    <n v="0"/>
    <n v="0"/>
    <n v="0"/>
    <n v="6.29"/>
    <n v="0"/>
    <n v="0"/>
    <n v="0"/>
    <n v="0"/>
    <n v="0"/>
    <n v="16.420000000000002"/>
    <n v="0"/>
  </r>
  <r>
    <x v="11"/>
    <x v="8"/>
    <x v="0"/>
    <s v="3002104"/>
    <n v="721020"/>
    <s v="Urological Supplies"/>
    <s v="Surgical 5th Floor"/>
    <x v="0"/>
    <n v="1006"/>
    <n v="0"/>
    <n v="456.31"/>
    <n v="0"/>
    <n v="0"/>
    <n v="0"/>
    <n v="0"/>
    <n v="0"/>
    <n v="0"/>
    <n v="79.66"/>
    <n v="0"/>
    <n v="0"/>
    <n v="0"/>
    <n v="535.97"/>
    <n v="0"/>
  </r>
  <r>
    <x v="11"/>
    <x v="8"/>
    <x v="0"/>
    <s v="3002104"/>
    <n v="721020"/>
    <s v="Tubes Drains &amp; Related Supplies"/>
    <s v="Surgical 5th Floor"/>
    <x v="0"/>
    <n v="1008"/>
    <n v="0"/>
    <n v="0"/>
    <n v="0"/>
    <n v="0"/>
    <n v="0"/>
    <n v="0"/>
    <n v="0"/>
    <n v="0"/>
    <n v="0"/>
    <n v="0"/>
    <n v="175"/>
    <n v="0"/>
    <n v="175"/>
    <n v="175"/>
  </r>
  <r>
    <x v="11"/>
    <x v="8"/>
    <x v="0"/>
    <s v="3002104"/>
    <n v="721240"/>
    <s v="Supplies-IV Solutions/Supplies - Billable"/>
    <s v="Surgical 5th Floor"/>
    <x v="0"/>
    <m/>
    <n v="1002.44"/>
    <n v="771.51"/>
    <n v="985.26"/>
    <n v="1440.26"/>
    <n v="667.9"/>
    <n v="995.16"/>
    <n v="1262.75"/>
    <n v="1027.45"/>
    <n v="905.93"/>
    <n v="1479.99"/>
    <n v="1011.97"/>
    <n v="835.74"/>
    <n v="12386.359999999999"/>
    <n v="176.23000000000002"/>
  </r>
  <r>
    <x v="11"/>
    <x v="8"/>
    <x v="0"/>
    <s v="3002104"/>
    <n v="721250"/>
    <s v="Supplies-Pharmacy Drugs - Billable"/>
    <s v="Surgical 5th Floor"/>
    <x v="0"/>
    <m/>
    <n v="21.64"/>
    <n v="0"/>
    <n v="17.27"/>
    <n v="16.23"/>
    <n v="5.41"/>
    <n v="2.94"/>
    <n v="37.58"/>
    <n v="9.07"/>
    <n v="0"/>
    <n v="70.459999999999994"/>
    <n v="23.1"/>
    <n v="11.34"/>
    <n v="215.03999999999996"/>
    <n v="11.760000000000002"/>
  </r>
  <r>
    <x v="11"/>
    <x v="8"/>
    <x v="0"/>
    <s v="3002104"/>
    <n v="721410"/>
    <s v="Supplies-Medical - Nonbillable"/>
    <s v="Surgical 5th Floor"/>
    <x v="0"/>
    <m/>
    <n v="11444.96"/>
    <n v="8217.23"/>
    <n v="9840.94"/>
    <n v="11188.53"/>
    <n v="7641.97"/>
    <n v="8970.7099999999991"/>
    <n v="10629.88"/>
    <n v="9289.41"/>
    <n v="10444.5"/>
    <n v="3177.18"/>
    <n v="7374.47"/>
    <n v="7894.84"/>
    <n v="106114.62"/>
    <n v="-520.36999999999989"/>
  </r>
  <r>
    <x v="11"/>
    <x v="8"/>
    <x v="0"/>
    <s v="3002104"/>
    <n v="721410"/>
    <s v="Patient Monitoring"/>
    <s v="Surgical 5th Floor"/>
    <x v="0"/>
    <n v="1000"/>
    <n v="21.49"/>
    <n v="3.75"/>
    <n v="3.75"/>
    <n v="0"/>
    <n v="3.75"/>
    <n v="11.25"/>
    <n v="0"/>
    <n v="16.05"/>
    <n v="0"/>
    <n v="3.75"/>
    <n v="0"/>
    <n v="0"/>
    <n v="63.789999999999992"/>
    <n v="0"/>
  </r>
  <r>
    <x v="11"/>
    <x v="8"/>
    <x v="0"/>
    <s v="3002104"/>
    <n v="721420"/>
    <s v="Supplies-Surgical Nonbillable"/>
    <s v="Surgical 5th Floor"/>
    <x v="0"/>
    <m/>
    <n v="179"/>
    <n v="185.59"/>
    <n v="166.84"/>
    <n v="37.4"/>
    <n v="90.12"/>
    <n v="12.84"/>
    <n v="137.46"/>
    <n v="184.89"/>
    <n v="108.66"/>
    <n v="142.04"/>
    <n v="132.78"/>
    <n v="79.7"/>
    <n v="1457.3200000000002"/>
    <n v="53.08"/>
  </r>
  <r>
    <x v="11"/>
    <x v="8"/>
    <x v="0"/>
    <s v="3002104"/>
    <n v="721420"/>
    <s v="Tubes Drains &amp; Related Supplies"/>
    <s v="Surgical 5th Floor"/>
    <x v="0"/>
    <n v="1008"/>
    <n v="0"/>
    <n v="0"/>
    <n v="0"/>
    <n v="0"/>
    <n v="0"/>
    <n v="0.96"/>
    <n v="0"/>
    <n v="0"/>
    <n v="0"/>
    <n v="0"/>
    <n v="0"/>
    <n v="4.59"/>
    <n v="5.55"/>
    <n v="-4.59"/>
  </r>
  <r>
    <x v="11"/>
    <x v="8"/>
    <x v="0"/>
    <s v="3002104"/>
    <n v="721420"/>
    <s v="Sterilization Process Products"/>
    <s v="Surgical 5th Floor"/>
    <x v="0"/>
    <n v="1009"/>
    <n v="0"/>
    <n v="0"/>
    <n v="6.46"/>
    <n v="0"/>
    <n v="0"/>
    <n v="0"/>
    <n v="0"/>
    <n v="0"/>
    <n v="0"/>
    <n v="0"/>
    <n v="0"/>
    <n v="0"/>
    <n v="6.46"/>
    <n v="0"/>
  </r>
  <r>
    <x v="11"/>
    <x v="8"/>
    <x v="0"/>
    <s v="3002104"/>
    <n v="721610"/>
    <s v="Supplies-Anesthesia - Nonbillable"/>
    <s v="Surgical 5th Floor"/>
    <x v="0"/>
    <m/>
    <n v="472.68"/>
    <n v="238.93"/>
    <n v="132.91"/>
    <n v="272.58"/>
    <n v="285.69"/>
    <n v="196.54"/>
    <n v="471.5"/>
    <n v="284.81"/>
    <n v="291.79000000000002"/>
    <n v="888.9"/>
    <n v="896.58"/>
    <n v="1129.1600000000001"/>
    <n v="5562.07"/>
    <n v="-232.58000000000004"/>
  </r>
  <r>
    <x v="11"/>
    <x v="8"/>
    <x v="0"/>
    <s v="3002104"/>
    <n v="721640"/>
    <s v="Supplies-IV Solutions/Supplies - Nonbillable"/>
    <s v="Surgical 5th Floor"/>
    <x v="0"/>
    <m/>
    <n v="3184.25"/>
    <n v="2356.66"/>
    <n v="2602.4699999999998"/>
    <n v="3104.64"/>
    <n v="2980.59"/>
    <n v="2730.03"/>
    <n v="2442.0700000000002"/>
    <n v="3345.16"/>
    <n v="3136.69"/>
    <n v="2581.9"/>
    <n v="2490.23"/>
    <n v="2047.8"/>
    <n v="33002.49"/>
    <n v="442.43000000000006"/>
  </r>
  <r>
    <x v="11"/>
    <x v="8"/>
    <x v="0"/>
    <s v="3002104"/>
    <n v="721650"/>
    <s v="Supplies-Pharmacy Drugs - Nonbillable"/>
    <s v="Surgical 5th Floor"/>
    <x v="0"/>
    <m/>
    <n v="113.7"/>
    <n v="71.75"/>
    <n v="46.69"/>
    <n v="28.44"/>
    <n v="58.33"/>
    <n v="37.75"/>
    <n v="54.61"/>
    <n v="46.26"/>
    <n v="29.91"/>
    <n v="61.39"/>
    <n v="41.87"/>
    <n v="34.71"/>
    <n v="625.41000000000008"/>
    <n v="7.1599999999999966"/>
  </r>
  <r>
    <x v="11"/>
    <x v="8"/>
    <x v="0"/>
    <s v="3002104"/>
    <n v="721710"/>
    <s v="Supplies-Laboratory - Nonbillable"/>
    <s v="Surgical 5th Floor"/>
    <x v="0"/>
    <m/>
    <n v="517.72"/>
    <n v="307.91000000000003"/>
    <n v="240.93"/>
    <n v="180.23"/>
    <n v="288.49"/>
    <n v="281.77999999999997"/>
    <n v="203.07"/>
    <n v="396.93"/>
    <n v="298.47000000000003"/>
    <n v="169.81"/>
    <n v="293.24"/>
    <n v="444.94"/>
    <n v="3623.52"/>
    <n v="-151.69999999999999"/>
  </r>
  <r>
    <x v="11"/>
    <x v="8"/>
    <x v="0"/>
    <s v="3002104"/>
    <n v="721710"/>
    <s v="Reagents"/>
    <s v="Surgical 5th Floor"/>
    <x v="0"/>
    <n v="1000"/>
    <n v="0"/>
    <n v="0"/>
    <n v="0"/>
    <n v="37.979999999999997"/>
    <n v="0"/>
    <n v="0"/>
    <n v="0"/>
    <n v="0"/>
    <n v="39.979999999999997"/>
    <n v="0"/>
    <n v="25.99"/>
    <n v="0"/>
    <n v="103.94999999999999"/>
    <n v="25.99"/>
  </r>
  <r>
    <x v="11"/>
    <x v="8"/>
    <x v="0"/>
    <s v="3002104"/>
    <n v="721750"/>
    <s v="Supplies-Film/Radiographic - Nonbillable"/>
    <s v="Surgical 5th Floor"/>
    <x v="0"/>
    <m/>
    <n v="8.6"/>
    <n v="21.5"/>
    <n v="0"/>
    <n v="21.5"/>
    <n v="0"/>
    <n v="0"/>
    <n v="27.95"/>
    <n v="0"/>
    <n v="8.6"/>
    <n v="17.2"/>
    <n v="0"/>
    <n v="10.75"/>
    <n v="116.1"/>
    <n v="-10.75"/>
  </r>
  <r>
    <x v="11"/>
    <x v="8"/>
    <x v="0"/>
    <s v="3002104"/>
    <n v="721810"/>
    <s v="Supplies-Dietary/Cafeteria"/>
    <s v="Surgical 5th Floor"/>
    <x v="0"/>
    <m/>
    <n v="1700.77"/>
    <n v="1630.83"/>
    <n v="1792.31"/>
    <n v="1381.84"/>
    <n v="1775.12"/>
    <n v="1697.92"/>
    <n v="1462.78"/>
    <n v="1434.99"/>
    <n v="2821.45"/>
    <n v="1394.42"/>
    <n v="1426.77"/>
    <n v="1643.42"/>
    <n v="20162.620000000003"/>
    <n v="-216.65000000000009"/>
  </r>
  <r>
    <x v="11"/>
    <x v="8"/>
    <x v="0"/>
    <s v="3002104"/>
    <n v="721830"/>
    <s v="Supplies-Office"/>
    <s v="Surgical 5th Floor"/>
    <x v="0"/>
    <m/>
    <n v="775.31"/>
    <n v="706.37"/>
    <n v="982.01"/>
    <n v="561.9"/>
    <n v="798.94"/>
    <n v="481.25"/>
    <n v="746.55"/>
    <n v="432.37"/>
    <n v="481.05"/>
    <n v="691.16"/>
    <n v="522.22"/>
    <n v="377.25"/>
    <n v="7556.38"/>
    <n v="144.97000000000003"/>
  </r>
  <r>
    <x v="11"/>
    <x v="8"/>
    <x v="0"/>
    <s v="3002104"/>
    <n v="721835"/>
    <s v="Supplies-Forms"/>
    <s v="Surgical 5th Floor"/>
    <x v="0"/>
    <m/>
    <n v="0"/>
    <n v="0"/>
    <n v="0"/>
    <n v="0"/>
    <n v="368.83"/>
    <n v="222.5"/>
    <n v="154.30000000000001"/>
    <n v="0"/>
    <n v="110.85"/>
    <n v="214.39"/>
    <n v="14.3"/>
    <n v="110.08"/>
    <n v="1195.2499999999998"/>
    <n v="-95.78"/>
  </r>
  <r>
    <x v="11"/>
    <x v="8"/>
    <x v="0"/>
    <s v="3002104"/>
    <n v="721870"/>
    <s v="Supplies-Environmental Services"/>
    <s v="Surgical 5th Floor"/>
    <x v="0"/>
    <m/>
    <n v="610.44000000000005"/>
    <n v="-17.309999999999999"/>
    <n v="445.64"/>
    <n v="478.85"/>
    <n v="472.09"/>
    <n v="324.64"/>
    <n v="535.02"/>
    <n v="519.86"/>
    <n v="459.91"/>
    <n v="367.56"/>
    <n v="308.17"/>
    <n v="364.19"/>
    <n v="4869.0599999999995"/>
    <n v="-56.019999999999982"/>
  </r>
  <r>
    <x v="11"/>
    <x v="8"/>
    <x v="0"/>
    <s v="3002104"/>
    <n v="721880"/>
    <s v="Supplies-Linen"/>
    <s v="Surgical 5th Floor"/>
    <x v="0"/>
    <m/>
    <n v="1900.8"/>
    <n v="475.2"/>
    <n v="0"/>
    <n v="0"/>
    <n v="950.4"/>
    <n v="4043.95"/>
    <n v="0"/>
    <n v="0"/>
    <n v="3801.6"/>
    <n v="0"/>
    <n v="396"/>
    <n v="1900.8"/>
    <n v="13468.75"/>
    <n v="-1504.8"/>
  </r>
  <r>
    <x v="11"/>
    <x v="8"/>
    <x v="0"/>
    <s v="3002104"/>
    <n v="721910"/>
    <s v="Supplies-Small Equipment"/>
    <s v="Surgical 5th Floor"/>
    <x v="0"/>
    <m/>
    <n v="114.1"/>
    <n v="2475.25"/>
    <n v="2509.9499999999998"/>
    <n v="-155.13999999999999"/>
    <n v="57.65"/>
    <n v="1151.17"/>
    <n v="164.9"/>
    <n v="247.03"/>
    <n v="94.5"/>
    <n v="11.37"/>
    <n v="121.85"/>
    <n v="-36.04"/>
    <n v="6756.5899999999983"/>
    <n v="157.88999999999999"/>
  </r>
  <r>
    <x v="11"/>
    <x v="8"/>
    <x v="0"/>
    <s v="3002104"/>
    <n v="721910"/>
    <s v="Instruments"/>
    <s v="Surgical 5th Floor"/>
    <x v="0"/>
    <n v="1000"/>
    <n v="130.26"/>
    <n v="37.07"/>
    <n v="39"/>
    <n v="592.41999999999996"/>
    <n v="16"/>
    <n v="0"/>
    <n v="33.47"/>
    <n v="383.25"/>
    <n v="829.71"/>
    <n v="448.4"/>
    <n v="32.58"/>
    <n v="12"/>
    <n v="2554.1600000000003"/>
    <n v="20.58"/>
  </r>
  <r>
    <x v="11"/>
    <x v="8"/>
    <x v="0"/>
    <s v="3002104"/>
    <n v="721980"/>
    <s v="Supplies-Other"/>
    <s v="Surgical 5th Floor"/>
    <x v="0"/>
    <m/>
    <n v="0"/>
    <n v="0"/>
    <n v="1494.14"/>
    <n v="127"/>
    <n v="0"/>
    <n v="0"/>
    <n v="0"/>
    <n v="0"/>
    <n v="0"/>
    <n v="2672.64"/>
    <n v="1450"/>
    <n v="0"/>
    <n v="5743.78"/>
    <n v="1450"/>
  </r>
  <r>
    <x v="11"/>
    <x v="8"/>
    <x v="0"/>
    <s v="3002104"/>
    <n v="722000"/>
    <s v="Supplies-Freight Expense"/>
    <s v="Surgical 5th Floor"/>
    <x v="0"/>
    <m/>
    <n v="7.93"/>
    <n v="55"/>
    <n v="23.79"/>
    <n v="65.33"/>
    <n v="0"/>
    <n v="32.159999999999997"/>
    <n v="32.979999999999997"/>
    <n v="8.24"/>
    <n v="8.23"/>
    <n v="15.97"/>
    <n v="16.52"/>
    <n v="12.25"/>
    <n v="278.39999999999998"/>
    <n v="4.2699999999999996"/>
  </r>
  <r>
    <x v="12"/>
    <x v="8"/>
    <x v="0"/>
    <s v="3002104"/>
    <n v="730020"/>
    <s v="Rental and Leases-Equipment (DO NOT USE)"/>
    <s v="Surgical 5th Floor"/>
    <x v="0"/>
    <m/>
    <n v="0"/>
    <n v="0"/>
    <n v="0"/>
    <n v="0"/>
    <n v="-527.74"/>
    <n v="0"/>
    <n v="0"/>
    <n v="0"/>
    <n v="0"/>
    <n v="0"/>
    <n v="0"/>
    <n v="0"/>
    <n v="-527.74"/>
    <n v="0"/>
  </r>
  <r>
    <x v="12"/>
    <x v="8"/>
    <x v="0"/>
    <s v="3002104"/>
    <n v="730020"/>
    <s v="Rental and Leases-Copier Usage Fees (DO NOT USE)"/>
    <s v="Surgical 5th Floor"/>
    <x v="0"/>
    <n v="5100"/>
    <n v="495.83"/>
    <n v="513.05999999999995"/>
    <n v="504.45"/>
    <n v="504.45"/>
    <n v="504.45"/>
    <n v="504.45"/>
    <n v="13354.13"/>
    <n v="1110.03"/>
    <n v="1166.32"/>
    <n v="1706.94"/>
    <n v="1168.6600000000001"/>
    <n v="1296.45"/>
    <n v="22829.219999999998"/>
    <n v="-127.78999999999996"/>
  </r>
  <r>
    <x v="15"/>
    <x v="8"/>
    <x v="0"/>
    <s v="3002104"/>
    <n v="731060"/>
    <s v="Cell Phones"/>
    <s v="Surgical 5th Floor"/>
    <x v="0"/>
    <n v="1001"/>
    <n v="0"/>
    <n v="125.28"/>
    <n v="51.72"/>
    <n v="0"/>
    <n v="59.56"/>
    <n v="21.64"/>
    <n v="125.88"/>
    <n v="0"/>
    <n v="63.92"/>
    <n v="126.82"/>
    <n v="62.18"/>
    <n v="63.4"/>
    <n v="700.39999999999986"/>
    <n v="-1.2199999999999989"/>
  </r>
  <r>
    <x v="15"/>
    <x v="8"/>
    <x v="0"/>
    <s v="3002104"/>
    <n v="731060"/>
    <s v="Pagers"/>
    <s v="Surgical 5th Floor"/>
    <x v="0"/>
    <n v="1002"/>
    <n v="8.1"/>
    <n v="8.1"/>
    <n v="8.1"/>
    <n v="8.1199999999999992"/>
    <n v="0"/>
    <n v="0"/>
    <n v="0"/>
    <n v="0"/>
    <n v="0"/>
    <n v="0"/>
    <n v="0"/>
    <n v="0"/>
    <n v="32.419999999999995"/>
    <n v="0"/>
  </r>
  <r>
    <x v="16"/>
    <x v="8"/>
    <x v="0"/>
    <s v="3002104"/>
    <n v="732030"/>
    <s v="Repairs---Other"/>
    <s v="Surgical 5th Floor"/>
    <x v="0"/>
    <m/>
    <n v="160.41"/>
    <n v="0"/>
    <n v="243.9"/>
    <n v="69.31"/>
    <n v="0"/>
    <n v="1109.5"/>
    <n v="0"/>
    <n v="109.68"/>
    <n v="0"/>
    <n v="0"/>
    <n v="0"/>
    <n v="0"/>
    <n v="1692.8"/>
    <n v="0"/>
  </r>
  <r>
    <x v="13"/>
    <x v="8"/>
    <x v="0"/>
    <s v="3002104"/>
    <n v="735030"/>
    <s v="Depreciation-Buildings"/>
    <s v="Surgical 5th Floor"/>
    <x v="0"/>
    <m/>
    <n v="45634.9"/>
    <n v="45634.879999999997"/>
    <n v="45634.91"/>
    <n v="45634.87"/>
    <n v="45634.97"/>
    <n v="45634.85"/>
    <n v="45634.99"/>
    <n v="45634.84"/>
    <n v="45635.03"/>
    <n v="44505.22"/>
    <n v="44505.45"/>
    <n v="44505.17"/>
    <n v="544230.07999999996"/>
    <n v="0.27999999999883585"/>
  </r>
  <r>
    <x v="13"/>
    <x v="8"/>
    <x v="0"/>
    <s v="3002104"/>
    <n v="735040"/>
    <s v="Depreciation-Building Improvements"/>
    <s v="Surgical 5th Floor"/>
    <x v="0"/>
    <m/>
    <n v="2034.91"/>
    <n v="2034.89"/>
    <n v="2034.9"/>
    <n v="1653.17"/>
    <n v="1653.21"/>
    <n v="1653.17"/>
    <n v="1653.22"/>
    <n v="1653.17"/>
    <n v="1653.23"/>
    <n v="1653.17"/>
    <n v="1653.24"/>
    <n v="1653.17"/>
    <n v="20983.450000000004"/>
    <n v="6.9999999999936335E-2"/>
  </r>
  <r>
    <x v="13"/>
    <x v="8"/>
    <x v="0"/>
    <s v="3002104"/>
    <n v="735060"/>
    <s v="Depreciation-Fixed Equipment"/>
    <s v="Surgical 5th Floor"/>
    <x v="0"/>
    <m/>
    <n v="784.75"/>
    <n v="784.75"/>
    <n v="784.74"/>
    <n v="752.09"/>
    <n v="752.1"/>
    <n v="752.09"/>
    <n v="752.1"/>
    <n v="752.09"/>
    <n v="752.1"/>
    <n v="752.09"/>
    <n v="752.1"/>
    <n v="752.09"/>
    <n v="9123.09"/>
    <n v="9.9999999999909051E-3"/>
  </r>
  <r>
    <x v="13"/>
    <x v="8"/>
    <x v="0"/>
    <s v="3002104"/>
    <n v="735070"/>
    <s v="Depreciation-Movable Equipment"/>
    <s v="Surgical 5th Floor"/>
    <x v="0"/>
    <m/>
    <n v="32466.43"/>
    <n v="32710.49"/>
    <n v="32762.43"/>
    <n v="32267.15"/>
    <n v="32267.119999999999"/>
    <n v="32665.57"/>
    <n v="32665.54"/>
    <n v="32665.55"/>
    <n v="32665.58"/>
    <n v="27142.560000000001"/>
    <n v="27142.85"/>
    <n v="27134.15"/>
    <n v="374555.42"/>
    <n v="8.6999999999970896"/>
  </r>
  <r>
    <x v="0"/>
    <x v="8"/>
    <x v="0"/>
    <s v="3002104"/>
    <n v="740020"/>
    <s v="Education-Registration Fees"/>
    <s v="Surgical 5th Floor"/>
    <x v="0"/>
    <m/>
    <n v="0"/>
    <n v="0"/>
    <n v="945"/>
    <n v="1125"/>
    <n v="45"/>
    <n v="0"/>
    <n v="0"/>
    <n v="465"/>
    <n v="0"/>
    <n v="0"/>
    <n v="0"/>
    <n v="45"/>
    <n v="2625"/>
    <n v="-45"/>
  </r>
  <r>
    <x v="0"/>
    <x v="8"/>
    <x v="0"/>
    <s v="3002104"/>
    <n v="743030"/>
    <s v="Subscriptions--Institutional"/>
    <s v="Surgical 5th Floor"/>
    <x v="0"/>
    <m/>
    <n v="0"/>
    <n v="254.97"/>
    <n v="0"/>
    <n v="0"/>
    <n v="0"/>
    <n v="0"/>
    <n v="0"/>
    <n v="0"/>
    <n v="656"/>
    <n v="0"/>
    <n v="0"/>
    <n v="0"/>
    <n v="910.97"/>
    <n v="0"/>
  </r>
  <r>
    <x v="0"/>
    <x v="8"/>
    <x v="0"/>
    <s v="3002104"/>
    <n v="749510"/>
    <s v="Miscellaneous Expenses"/>
    <s v="Surgical 5th Floor"/>
    <x v="0"/>
    <m/>
    <n v="3.23"/>
    <n v="116.85"/>
    <n v="32.5"/>
    <n v="32.5"/>
    <n v="0"/>
    <n v="0"/>
    <n v="28.79"/>
    <n v="36.840000000000003"/>
    <n v="-360.3"/>
    <n v="1431.68"/>
    <n v="0"/>
    <n v="472.28"/>
    <n v="1794.3700000000001"/>
    <n v="-472.28"/>
  </r>
  <r>
    <x v="0"/>
    <x v="8"/>
    <x v="0"/>
    <s v="3002104"/>
    <n v="749510"/>
    <s v="Licenses"/>
    <s v="Surgical 5th Floor"/>
    <x v="0"/>
    <n v="1002"/>
    <n v="115"/>
    <n v="330"/>
    <n v="0"/>
    <n v="280"/>
    <n v="225"/>
    <n v="110"/>
    <n v="100"/>
    <n v="0"/>
    <n v="0"/>
    <n v="115"/>
    <n v="0"/>
    <n v="0"/>
    <n v="1275"/>
    <n v="0"/>
  </r>
  <r>
    <x v="0"/>
    <x v="8"/>
    <x v="0"/>
    <s v="3002104"/>
    <n v="749510"/>
    <s v="Promotional Items"/>
    <s v="Surgical 5th Floor"/>
    <x v="0"/>
    <n v="1004"/>
    <n v="0"/>
    <n v="0"/>
    <n v="0"/>
    <n v="0"/>
    <n v="0"/>
    <n v="38.049999999999997"/>
    <n v="0"/>
    <n v="0"/>
    <n v="3.23"/>
    <n v="0"/>
    <n v="0"/>
    <n v="0"/>
    <n v="41.279999999999994"/>
    <n v="0"/>
  </r>
  <r>
    <x v="0"/>
    <x v="8"/>
    <x v="0"/>
    <s v="3002104"/>
    <n v="749510"/>
    <s v="RICE Rewards"/>
    <s v="Surgical 5th Floor"/>
    <x v="0"/>
    <n v="5100"/>
    <n v="0"/>
    <n v="0"/>
    <n v="0"/>
    <n v="0"/>
    <n v="0"/>
    <n v="0"/>
    <n v="555.5"/>
    <n v="0"/>
    <n v="0"/>
    <n v="0"/>
    <n v="705.24"/>
    <n v="350"/>
    <n v="1610.74"/>
    <n v="355.24"/>
  </r>
  <r>
    <x v="0"/>
    <x v="8"/>
    <x v="0"/>
    <s v="3002104"/>
    <n v="749530"/>
    <s v="Travel"/>
    <s v="Surgical 5th Floor"/>
    <x v="0"/>
    <m/>
    <n v="0"/>
    <n v="0"/>
    <n v="0"/>
    <n v="0"/>
    <n v="0"/>
    <n v="0"/>
    <n v="0"/>
    <n v="0"/>
    <n v="20.56"/>
    <n v="0"/>
    <n v="0"/>
    <n v="0"/>
    <n v="20.56"/>
    <n v="0"/>
  </r>
  <r>
    <x v="18"/>
    <x v="6"/>
    <x v="0"/>
    <s v="3002107"/>
    <n v="400010"/>
    <s v="Acute I/P Svcs Rev--Medicare"/>
    <s v="2 Southeast"/>
    <x v="0"/>
    <n v="1100"/>
    <n v="-1819225.01"/>
    <n v="-1739058.37"/>
    <n v="-1890400.74"/>
    <n v="-2193316.31"/>
    <n v="-1993886.03"/>
    <n v="-1988380.29"/>
    <n v="-1957063.26"/>
    <n v="-2013364.36"/>
    <n v="-2290984.46"/>
    <n v="-1843985.99"/>
    <n v="-2258519.59"/>
    <n v="-2062528.92"/>
    <n v="-24050713.329999998"/>
    <n v="-195990.66999999993"/>
  </r>
  <r>
    <x v="18"/>
    <x v="6"/>
    <x v="0"/>
    <s v="3002107"/>
    <n v="400010"/>
    <s v="Acute I/P Svcs Rev--Medicaid"/>
    <s v="2 Southeast"/>
    <x v="0"/>
    <n v="1200"/>
    <n v="-453384.5"/>
    <n v="-303916.59000000003"/>
    <n v="-243266.05"/>
    <n v="-285217.8"/>
    <n v="-274506.61"/>
    <n v="-369563.19"/>
    <n v="-420913.99"/>
    <n v="-405640.62"/>
    <n v="-484102.03"/>
    <n v="-335562.83"/>
    <n v="-309411.44"/>
    <n v="-494853.84"/>
    <n v="-4380339.4900000012"/>
    <n v="185442.40000000002"/>
  </r>
  <r>
    <x v="18"/>
    <x v="6"/>
    <x v="0"/>
    <s v="3002107"/>
    <n v="400010"/>
    <s v="Acute I/P Svcs Rev--Comm Insurance"/>
    <s v="2 Southeast"/>
    <x v="0"/>
    <n v="1300"/>
    <n v="48052.37"/>
    <n v="-4159.55"/>
    <n v="0"/>
    <n v="17691.990000000002"/>
    <n v="-4416.1099999999997"/>
    <n v="-52659.07"/>
    <n v="376.75"/>
    <n v="28487.51"/>
    <n v="-18810.38"/>
    <n v="-38897.519999999997"/>
    <n v="-52668.4"/>
    <n v="-2641.18"/>
    <n v="-79643.59"/>
    <n v="-50027.22"/>
  </r>
  <r>
    <x v="18"/>
    <x v="6"/>
    <x v="0"/>
    <s v="3002107"/>
    <n v="400010"/>
    <s v="Acute I/P Svcs Rev--BCBS Comm"/>
    <s v="2 Southeast"/>
    <x v="0"/>
    <n v="1301"/>
    <n v="-122952.86"/>
    <n v="-216874.89"/>
    <n v="-131439.44"/>
    <n v="-32394.3"/>
    <n v="-149461.72"/>
    <n v="-12689.15"/>
    <n v="-50116.15"/>
    <n v="-93111.3"/>
    <n v="-71814.77"/>
    <n v="-218561.65"/>
    <n v="-90117.94"/>
    <n v="-7815.08"/>
    <n v="-1197349.25"/>
    <n v="-82302.86"/>
  </r>
  <r>
    <x v="18"/>
    <x v="6"/>
    <x v="0"/>
    <s v="3002107"/>
    <n v="400010"/>
    <s v="Acute I/P Svcs Rev--Managed Care"/>
    <s v="2 Southeast"/>
    <x v="0"/>
    <n v="1400"/>
    <n v="-138354.69"/>
    <n v="-128828.07"/>
    <n v="-185067.27"/>
    <n v="-107428.72"/>
    <n v="-119656.27"/>
    <n v="-118731.28"/>
    <n v="-138049.63"/>
    <n v="-102641.57"/>
    <n v="-149769.82"/>
    <n v="-364692.44"/>
    <n v="-198483.25"/>
    <n v="-147723.23000000001"/>
    <n v="-1899426.24"/>
    <n v="-50760.01999999999"/>
  </r>
  <r>
    <x v="18"/>
    <x v="6"/>
    <x v="0"/>
    <s v="3002107"/>
    <n v="400010"/>
    <s v="Acute I/P Svcs Rev--Self Pay"/>
    <s v="2 Southeast"/>
    <x v="0"/>
    <n v="1500"/>
    <n v="-12223.6"/>
    <n v="-54724.2"/>
    <n v="-36644.65"/>
    <n v="-4069.8"/>
    <n v="-4284.33"/>
    <n v="-55713.53"/>
    <n v="-120728.63"/>
    <n v="-11319.14"/>
    <n v="-13460"/>
    <n v="-36961.019999999997"/>
    <n v="-35162.160000000003"/>
    <n v="-49536"/>
    <n v="-434827.06000000006"/>
    <n v="14373.839999999997"/>
  </r>
  <r>
    <x v="18"/>
    <x v="6"/>
    <x v="0"/>
    <s v="3002107"/>
    <n v="400010"/>
    <s v="Acute I/P Svcs Rev--Other"/>
    <s v="2 Southeast"/>
    <x v="0"/>
    <n v="1700"/>
    <n v="-18838.82"/>
    <n v="-48790.879999999997"/>
    <n v="-157597.57"/>
    <n v="-44705.55"/>
    <n v="-50533.3"/>
    <n v="-47352.73"/>
    <n v="-184497.21"/>
    <n v="-164042.10999999999"/>
    <n v="-193952.4"/>
    <n v="-159647.56"/>
    <n v="-120314.25"/>
    <n v="-69004.08"/>
    <n v="-1259276.46"/>
    <n v="-51310.17"/>
  </r>
  <r>
    <x v="19"/>
    <x v="6"/>
    <x v="0"/>
    <s v="3002107"/>
    <n v="400020"/>
    <s v="O/P Care Svcs Rev--Medicare"/>
    <s v="2 Southeast"/>
    <x v="0"/>
    <n v="1100"/>
    <n v="-164278.70000000001"/>
    <n v="-139636.63"/>
    <n v="-153866.69"/>
    <n v="-167127.29999999999"/>
    <n v="-176500.67"/>
    <n v="-143387.14000000001"/>
    <n v="-143114.89000000001"/>
    <n v="-82108.38"/>
    <n v="-139444.63"/>
    <n v="-126394.78"/>
    <n v="-122265.12"/>
    <n v="-106738.61"/>
    <n v="-1664863.5399999998"/>
    <n v="-15526.509999999995"/>
  </r>
  <r>
    <x v="19"/>
    <x v="6"/>
    <x v="0"/>
    <s v="3002107"/>
    <n v="400020"/>
    <s v="O/P Care Svcs Rev--Medicaid"/>
    <s v="2 Southeast"/>
    <x v="0"/>
    <n v="1200"/>
    <n v="-32794.85"/>
    <n v="-45093.49"/>
    <n v="-50565.48"/>
    <n v="-32431.31"/>
    <n v="-30522.44"/>
    <n v="-24955.03"/>
    <n v="-35542.839999999997"/>
    <n v="-6042.54"/>
    <n v="-30735.06"/>
    <n v="-20221.12"/>
    <n v="-8512.5"/>
    <n v="-19733.310000000001"/>
    <n v="-337149.97000000003"/>
    <n v="11220.810000000001"/>
  </r>
  <r>
    <x v="19"/>
    <x v="6"/>
    <x v="0"/>
    <s v="3002107"/>
    <n v="400020"/>
    <s v="O/P Care Svcs Rev--Comm Insurance"/>
    <s v="2 Southeast"/>
    <x v="0"/>
    <n v="1300"/>
    <n v="-805.38"/>
    <n v="14158.04"/>
    <n v="0"/>
    <n v="-3919.3"/>
    <n v="-3963.9"/>
    <n v="-8209.9699999999993"/>
    <n v="-3038.99"/>
    <n v="-2262.64"/>
    <n v="0"/>
    <n v="0"/>
    <n v="-5582.4"/>
    <n v="-13188.96"/>
    <n v="-26813.499999999996"/>
    <n v="7606.5599999999995"/>
  </r>
  <r>
    <x v="19"/>
    <x v="6"/>
    <x v="0"/>
    <s v="3002107"/>
    <n v="400020"/>
    <s v="O/P Care Svcs Rev--BCBS Comm"/>
    <s v="2 Southeast"/>
    <x v="0"/>
    <n v="1301"/>
    <n v="0"/>
    <n v="-14117.13"/>
    <n v="-7062.53"/>
    <n v="-18502.349999999999"/>
    <n v="-1981.95"/>
    <n v="-26290.29"/>
    <n v="-8560.77"/>
    <n v="-32873.21"/>
    <n v="-36130.800000000003"/>
    <n v="-13907.76"/>
    <n v="-12383.28"/>
    <n v="-17071.419999999998"/>
    <n v="-188881.49000000005"/>
    <n v="4688.1399999999976"/>
  </r>
  <r>
    <x v="19"/>
    <x v="6"/>
    <x v="0"/>
    <s v="3002107"/>
    <n v="400020"/>
    <s v="O/P Care Svcs Rev--Managed Care"/>
    <s v="2 Southeast"/>
    <x v="0"/>
    <n v="1400"/>
    <n v="-36827.89"/>
    <n v="-42147"/>
    <n v="-29587.72"/>
    <n v="-7775.93"/>
    <n v="-24054.51"/>
    <n v="-27983.47"/>
    <n v="-16218.15"/>
    <n v="-4696.07"/>
    <n v="-7946.2"/>
    <n v="-74091.149999999994"/>
    <n v="-37715.949999999997"/>
    <n v="-30259.78"/>
    <n v="-339303.82000000007"/>
    <n v="-7456.1699999999983"/>
  </r>
  <r>
    <x v="19"/>
    <x v="6"/>
    <x v="0"/>
    <s v="3002107"/>
    <n v="400020"/>
    <s v="O/P Care Svcs Rev--Self Pay"/>
    <s v="2 Southeast"/>
    <x v="0"/>
    <n v="1500"/>
    <n v="0"/>
    <n v="0"/>
    <n v="-2246.21"/>
    <n v="-14619.54"/>
    <n v="-1652.54"/>
    <n v="-3700.79"/>
    <n v="0"/>
    <n v="0"/>
    <n v="0"/>
    <n v="0"/>
    <n v="-8304"/>
    <n v="0"/>
    <n v="-30523.08"/>
    <n v="-8304"/>
  </r>
  <r>
    <x v="19"/>
    <x v="6"/>
    <x v="0"/>
    <s v="3002107"/>
    <n v="400020"/>
    <s v="O/P Care Svcs Rev--Other"/>
    <s v="2 Southeast"/>
    <x v="0"/>
    <n v="1700"/>
    <n v="-11808.39"/>
    <n v="-18808.68"/>
    <n v="-7402.27"/>
    <n v="-31784.74"/>
    <n v="-29803.01"/>
    <n v="-1608.97"/>
    <n v="-15963.98"/>
    <n v="-12212.98"/>
    <n v="-4413.7299999999996"/>
    <n v="-19825.96"/>
    <n v="-26298.28"/>
    <n v="-25438.62"/>
    <n v="-205369.61"/>
    <n v="-859.65999999999985"/>
  </r>
  <r>
    <x v="20"/>
    <x v="6"/>
    <x v="0"/>
    <s v="3002107"/>
    <n v="610010"/>
    <s v="Foundation Distributions"/>
    <s v="2 Southeast"/>
    <x v="0"/>
    <n v="1175"/>
    <n v="0"/>
    <n v="0"/>
    <n v="0"/>
    <n v="-400"/>
    <n v="0"/>
    <n v="0"/>
    <n v="0"/>
    <n v="0"/>
    <n v="0"/>
    <n v="0"/>
    <n v="0"/>
    <n v="0"/>
    <n v="-400"/>
    <n v="0"/>
  </r>
  <r>
    <x v="5"/>
    <x v="6"/>
    <x v="0"/>
    <s v="3002107"/>
    <n v="700014"/>
    <s v="Salaries-Management-Productive"/>
    <s v="2 Southeast"/>
    <x v="0"/>
    <m/>
    <n v="3106.74"/>
    <n v="5002"/>
    <n v="3790.46"/>
    <n v="4922.8"/>
    <n v="4788.7299999999996"/>
    <n v="3224.59"/>
    <n v="4668.1899999999996"/>
    <n v="4172.43"/>
    <n v="5035.7"/>
    <n v="2621.64"/>
    <n v="5115.63"/>
    <n v="3405.19"/>
    <n v="49854.1"/>
    <n v="1710.44"/>
  </r>
  <r>
    <x v="5"/>
    <x v="6"/>
    <x v="0"/>
    <s v="3002107"/>
    <n v="700018"/>
    <s v="Salaries-Supervisory-Productive"/>
    <s v="2 Southeast"/>
    <x v="0"/>
    <m/>
    <n v="13813.88"/>
    <n v="15730.22"/>
    <n v="16020.34"/>
    <n v="15989.44"/>
    <n v="12199.56"/>
    <n v="11140.73"/>
    <n v="9179.4699999999993"/>
    <n v="8290.2999999999993"/>
    <n v="9178.6"/>
    <n v="8882.23"/>
    <n v="9178.6"/>
    <n v="8660.34"/>
    <n v="138263.71000000002"/>
    <n v="518.26000000000022"/>
  </r>
  <r>
    <x v="5"/>
    <x v="6"/>
    <x v="0"/>
    <s v="3002107"/>
    <n v="700026"/>
    <s v="Salaries-RN-Productive"/>
    <s v="2 Southeast"/>
    <x v="0"/>
    <m/>
    <n v="174898.96"/>
    <n v="192961.18"/>
    <n v="192721.01"/>
    <n v="201651.49"/>
    <n v="192499.64"/>
    <n v="238572.11"/>
    <n v="227493.39"/>
    <n v="218944.71"/>
    <n v="217243.97"/>
    <n v="222720.73"/>
    <n v="198603.86"/>
    <n v="191627.69"/>
    <n v="2469938.7400000002"/>
    <n v="6976.1699999999837"/>
  </r>
  <r>
    <x v="5"/>
    <x v="6"/>
    <x v="0"/>
    <s v="3002107"/>
    <n v="700026"/>
    <s v="Salaries-RN-OT"/>
    <s v="2 Southeast"/>
    <x v="0"/>
    <n v="1000"/>
    <n v="15525.93"/>
    <n v="20746.28"/>
    <n v="12349.13"/>
    <n v="17349.63"/>
    <n v="10361.4"/>
    <n v="16747.900000000001"/>
    <n v="16375.37"/>
    <n v="15338.45"/>
    <n v="19799.28"/>
    <n v="14899.2"/>
    <n v="20548.3"/>
    <n v="12464.57"/>
    <n v="192505.44"/>
    <n v="8083.73"/>
  </r>
  <r>
    <x v="5"/>
    <x v="6"/>
    <x v="0"/>
    <s v="3002107"/>
    <n v="700026"/>
    <s v="Salaries-RN-Other"/>
    <s v="2 Southeast"/>
    <x v="0"/>
    <n v="2000"/>
    <n v="19850.23"/>
    <n v="20904.82"/>
    <n v="17722.04"/>
    <n v="21965.78"/>
    <n v="18975.38"/>
    <n v="22003.05"/>
    <n v="19779.22"/>
    <n v="17687.11"/>
    <n v="20864.5"/>
    <n v="19491.45"/>
    <n v="18566.62"/>
    <n v="19168.39"/>
    <n v="236978.59000000003"/>
    <n v="-601.77000000000044"/>
  </r>
  <r>
    <x v="5"/>
    <x v="6"/>
    <x v="0"/>
    <s v="3002107"/>
    <n v="700030"/>
    <s v="Salaries-LPN-Productive"/>
    <s v="2 Southeast"/>
    <x v="0"/>
    <m/>
    <n v="470.76"/>
    <n v="573.11"/>
    <n v="666.02"/>
    <n v="752.01"/>
    <n v="646.61"/>
    <n v="897.59"/>
    <n v="1494.53"/>
    <n v="302.45"/>
    <n v="756.82"/>
    <n v="740.04"/>
    <n v="1160.26"/>
    <n v="904.16"/>
    <n v="9364.3599999999988"/>
    <n v="256.10000000000002"/>
  </r>
  <r>
    <x v="5"/>
    <x v="6"/>
    <x v="0"/>
    <s v="3002107"/>
    <n v="700030"/>
    <s v="Salaries-LPN-OT"/>
    <s v="2 Southeast"/>
    <x v="0"/>
    <n v="1000"/>
    <n v="0"/>
    <n v="0"/>
    <n v="0"/>
    <n v="14.99"/>
    <n v="-6.59"/>
    <n v="0"/>
    <n v="0"/>
    <n v="0"/>
    <n v="0"/>
    <n v="561.24"/>
    <n v="-218.83"/>
    <n v="296.70999999999998"/>
    <n v="647.52"/>
    <n v="-515.54"/>
  </r>
  <r>
    <x v="5"/>
    <x v="6"/>
    <x v="0"/>
    <s v="3002107"/>
    <n v="700030"/>
    <s v="Salaries-LPN-Other"/>
    <s v="2 Southeast"/>
    <x v="0"/>
    <n v="2000"/>
    <n v="14.82"/>
    <n v="16.350000000000001"/>
    <n v="5.41"/>
    <n v="27.25"/>
    <n v="35.409999999999997"/>
    <n v="22.88"/>
    <n v="172.98"/>
    <n v="-24.2"/>
    <n v="12.47"/>
    <n v="47.77"/>
    <n v="6.56"/>
    <n v="8.86"/>
    <n v="346.56"/>
    <n v="-2.2999999999999998"/>
  </r>
  <r>
    <x v="5"/>
    <x v="6"/>
    <x v="0"/>
    <s v="3002107"/>
    <n v="700032"/>
    <s v="Salaries-Other Pat Care Providers-Productive"/>
    <s v="2 Southeast"/>
    <x v="0"/>
    <m/>
    <n v="61244.639999999999"/>
    <n v="61327.56"/>
    <n v="64575.1"/>
    <n v="61866.15"/>
    <n v="65448.07"/>
    <n v="59092.46"/>
    <n v="67059.570000000007"/>
    <n v="57969.72"/>
    <n v="65827.12"/>
    <n v="56507.81"/>
    <n v="63622.16"/>
    <n v="61129.58"/>
    <n v="745669.94"/>
    <n v="2492.5800000000017"/>
  </r>
  <r>
    <x v="5"/>
    <x v="6"/>
    <x v="0"/>
    <s v="3002107"/>
    <n v="700032"/>
    <s v="Salaries-Other Pat Care Providers-OT"/>
    <s v="2 Southeast"/>
    <x v="0"/>
    <n v="1000"/>
    <n v="6124.25"/>
    <n v="8384.02"/>
    <n v="3247.15"/>
    <n v="2241.58"/>
    <n v="4147.7"/>
    <n v="2394.37"/>
    <n v="3965.35"/>
    <n v="2192.96"/>
    <n v="4456.4799999999996"/>
    <n v="2710.34"/>
    <n v="6035.94"/>
    <n v="3511.04"/>
    <n v="49411.18"/>
    <n v="2524.8999999999996"/>
  </r>
  <r>
    <x v="5"/>
    <x v="6"/>
    <x v="0"/>
    <s v="3002107"/>
    <n v="700032"/>
    <s v="Salaries-Other Pat Care Providers-Other"/>
    <s v="2 Southeast"/>
    <x v="0"/>
    <n v="2000"/>
    <n v="6050.09"/>
    <n v="5618.3"/>
    <n v="5334.07"/>
    <n v="5438.51"/>
    <n v="6102.18"/>
    <n v="5407.01"/>
    <n v="5979.37"/>
    <n v="5356.36"/>
    <n v="5984.48"/>
    <n v="5420.85"/>
    <n v="6199.01"/>
    <n v="5365.1"/>
    <n v="68255.330000000016"/>
    <n v="833.90999999999985"/>
  </r>
  <r>
    <x v="5"/>
    <x v="6"/>
    <x v="0"/>
    <s v="3002107"/>
    <n v="700034"/>
    <s v="Salaries-Tech/Professional-Productive"/>
    <s v="2 Southeast"/>
    <x v="0"/>
    <m/>
    <n v="0"/>
    <n v="0"/>
    <n v="0"/>
    <n v="69.3"/>
    <n v="-30.49"/>
    <n v="0"/>
    <n v="0"/>
    <n v="0"/>
    <n v="0"/>
    <n v="0"/>
    <n v="0"/>
    <n v="0"/>
    <n v="38.81"/>
    <n v="0"/>
  </r>
  <r>
    <x v="5"/>
    <x v="6"/>
    <x v="0"/>
    <s v="3002107"/>
    <n v="700038"/>
    <s v="Salaries-Service/Support-Productive"/>
    <s v="2 Southeast"/>
    <x v="0"/>
    <m/>
    <n v="304.25"/>
    <n v="299.89999999999998"/>
    <n v="185.3"/>
    <n v="226.71"/>
    <n v="349.55"/>
    <n v="196.87"/>
    <n v="254.3"/>
    <n v="233.3"/>
    <n v="248.97"/>
    <n v="323.70999999999998"/>
    <n v="314.79000000000002"/>
    <n v="237.48"/>
    <n v="3175.1299999999997"/>
    <n v="77.310000000000031"/>
  </r>
  <r>
    <x v="5"/>
    <x v="6"/>
    <x v="0"/>
    <s v="3002107"/>
    <n v="700054"/>
    <s v="Salaries-Management-Non-productive"/>
    <s v="2 Southeast"/>
    <x v="0"/>
    <m/>
    <n v="1708.69"/>
    <n v="-186.33"/>
    <n v="869.92"/>
    <n v="0"/>
    <n v="0"/>
    <n v="1723.92"/>
    <n v="288.06"/>
    <n v="303.72000000000003"/>
    <n v="-79.91"/>
    <n v="2174.1"/>
    <n v="-159.83000000000001"/>
    <n v="1390.77"/>
    <n v="8033.1100000000024"/>
    <n v="-1550.6"/>
  </r>
  <r>
    <x v="5"/>
    <x v="6"/>
    <x v="0"/>
    <s v="3002107"/>
    <n v="700054"/>
    <s v="Salaries-Management-NonProd-Other"/>
    <s v="2 Southeast"/>
    <x v="0"/>
    <n v="2000"/>
    <n v="0"/>
    <n v="0"/>
    <n v="0"/>
    <n v="0"/>
    <n v="0"/>
    <n v="39.5"/>
    <n v="-39.5"/>
    <n v="0"/>
    <n v="0"/>
    <n v="0"/>
    <n v="0"/>
    <n v="0"/>
    <n v="0"/>
    <n v="0"/>
  </r>
  <r>
    <x v="5"/>
    <x v="6"/>
    <x v="0"/>
    <s v="3002107"/>
    <n v="700058"/>
    <s v="Salaries-Supervisory-Non-productive"/>
    <s v="2 Southeast"/>
    <x v="0"/>
    <m/>
    <n v="2442.58"/>
    <n v="526.99"/>
    <n v="-287.33"/>
    <n v="670.56"/>
    <n v="4016.02"/>
    <n v="-587.62"/>
    <n v="0"/>
    <n v="0"/>
    <n v="0"/>
    <n v="0"/>
    <n v="0"/>
    <n v="0"/>
    <n v="6781.2"/>
    <n v="0"/>
  </r>
  <r>
    <x v="5"/>
    <x v="6"/>
    <x v="0"/>
    <s v="3002107"/>
    <n v="700066"/>
    <s v="Salaries-RN-Non-productive"/>
    <s v="2 Southeast"/>
    <x v="0"/>
    <m/>
    <n v="31349.599999999999"/>
    <n v="22055.200000000001"/>
    <n v="20980.97"/>
    <n v="21947.81"/>
    <n v="35107.01"/>
    <n v="21452.7"/>
    <n v="28813.77"/>
    <n v="17333.57"/>
    <n v="23461.09"/>
    <n v="15618.78"/>
    <n v="14639.59"/>
    <n v="26507.95"/>
    <n v="279268.03999999998"/>
    <n v="-11868.36"/>
  </r>
  <r>
    <x v="5"/>
    <x v="6"/>
    <x v="0"/>
    <s v="3002107"/>
    <n v="700066"/>
    <s v="Salaries-RN-NonProd-Other"/>
    <s v="2 Southeast"/>
    <x v="0"/>
    <n v="2000"/>
    <n v="2389.17"/>
    <n v="1575.05"/>
    <n v="1137.72"/>
    <n v="1209.99"/>
    <n v="2942.11"/>
    <n v="977.19"/>
    <n v="2133.14"/>
    <n v="847.41"/>
    <n v="1076.18"/>
    <n v="1322.83"/>
    <n v="449.71"/>
    <n v="2242.54"/>
    <n v="18303.04"/>
    <n v="-1792.83"/>
  </r>
  <r>
    <x v="5"/>
    <x v="6"/>
    <x v="0"/>
    <s v="3002107"/>
    <n v="700072"/>
    <s v="Salaries-Other Pat Care Providers-Non-productive"/>
    <s v="2 Southeast"/>
    <x v="0"/>
    <m/>
    <n v="7919.11"/>
    <n v="10081.6"/>
    <n v="8522.36"/>
    <n v="5934.37"/>
    <n v="3984.38"/>
    <n v="6555.78"/>
    <n v="4802.8500000000004"/>
    <n v="6914.69"/>
    <n v="3999.37"/>
    <n v="4748.79"/>
    <n v="1104.72"/>
    <n v="7552.76"/>
    <n v="72120.78"/>
    <n v="-6448.04"/>
  </r>
  <r>
    <x v="5"/>
    <x v="6"/>
    <x v="0"/>
    <s v="3002107"/>
    <n v="700072"/>
    <s v="Salaries-Other Pat Care Providers-NonProd-Other"/>
    <s v="2 Southeast"/>
    <x v="0"/>
    <n v="2000"/>
    <n v="574.53"/>
    <n v="435.36"/>
    <n v="337.73"/>
    <n v="685.51"/>
    <n v="145.16"/>
    <n v="421.67"/>
    <n v="339.03"/>
    <n v="159.57"/>
    <n v="160.44"/>
    <n v="327.31"/>
    <n v="63.06"/>
    <n v="420.02"/>
    <n v="4069.39"/>
    <n v="-356.96"/>
  </r>
  <r>
    <x v="5"/>
    <x v="6"/>
    <x v="0"/>
    <s v="3002107"/>
    <n v="700084"/>
    <s v="Accrued PTO"/>
    <s v="2 Southeast"/>
    <x v="0"/>
    <m/>
    <n v="-10994.58"/>
    <n v="1199.03"/>
    <n v="2506.2600000000002"/>
    <n v="12113.4"/>
    <n v="-1358.1"/>
    <n v="3390.88"/>
    <n v="2587.21"/>
    <n v="5356.44"/>
    <n v="8623.7800000000007"/>
    <n v="7552.43"/>
    <n v="9100.06"/>
    <n v="-1068.29"/>
    <n v="39008.519999999997"/>
    <n v="10168.349999999999"/>
  </r>
  <r>
    <x v="10"/>
    <x v="6"/>
    <x v="0"/>
    <s v="3002107"/>
    <n v="710060"/>
    <s v="Contract Labor-Other"/>
    <s v="2 Southeast"/>
    <x v="0"/>
    <m/>
    <n v="73257.320000000007"/>
    <n v="105469.37"/>
    <n v="64019.86"/>
    <n v="66279.3"/>
    <n v="65968.759999999995"/>
    <n v="37023.85"/>
    <n v="31735.88"/>
    <n v="58589.35"/>
    <n v="55892.73"/>
    <n v="76269.279999999999"/>
    <n v="118608.97"/>
    <n v="51101.25"/>
    <n v="804215.91999999993"/>
    <n v="67507.72"/>
  </r>
  <r>
    <x v="10"/>
    <x v="6"/>
    <x v="0"/>
    <s v="3002107"/>
    <n v="710060"/>
    <s v="Contract Labor-Overtime"/>
    <s v="2 Southeast"/>
    <x v="0"/>
    <n v="5100"/>
    <n v="14332.5"/>
    <n v="10968.1"/>
    <n v="2463.39"/>
    <n v="804"/>
    <n v="1053.8699999999999"/>
    <n v="4264.03"/>
    <n v="5156.26"/>
    <n v="12401.5"/>
    <n v="6297.2"/>
    <n v="13878.46"/>
    <n v="14917.51"/>
    <n v="15338.86"/>
    <n v="101875.68"/>
    <n v="-421.35000000000036"/>
  </r>
  <r>
    <x v="10"/>
    <x v="6"/>
    <x v="0"/>
    <s v="3002107"/>
    <n v="710060"/>
    <s v="Contract Labor-Standby Wages"/>
    <s v="2 Southeast"/>
    <x v="0"/>
    <n v="5101"/>
    <n v="-96"/>
    <n v="96"/>
    <n v="0"/>
    <n v="0"/>
    <n v="0"/>
    <n v="0"/>
    <n v="0"/>
    <n v="0"/>
    <n v="0"/>
    <n v="0"/>
    <n v="0"/>
    <n v="0"/>
    <n v="0"/>
    <n v="0"/>
  </r>
  <r>
    <x v="6"/>
    <x v="6"/>
    <x v="0"/>
    <s v="3002107"/>
    <n v="713010"/>
    <s v="Benefits-FICA/Medicare"/>
    <s v="2 Southeast"/>
    <x v="0"/>
    <m/>
    <n v="26015.1"/>
    <n v="27407.85"/>
    <n v="26041.68"/>
    <n v="27200.34"/>
    <n v="26466.51"/>
    <n v="30115.54"/>
    <n v="29479.22"/>
    <n v="26594.65"/>
    <n v="28358.04"/>
    <n v="27017.09"/>
    <n v="25611.22"/>
    <n v="26326.41"/>
    <n v="326633.64999999997"/>
    <n v="-715.18999999999869"/>
  </r>
  <r>
    <x v="6"/>
    <x v="6"/>
    <x v="0"/>
    <s v="3002107"/>
    <n v="713090"/>
    <s v="Benefits-Allocated Amounts"/>
    <s v="2 Southeast"/>
    <x v="0"/>
    <m/>
    <n v="60351.37"/>
    <n v="57146.5"/>
    <n v="61412.1"/>
    <n v="60428.1"/>
    <n v="69141.240000000005"/>
    <n v="64700.71"/>
    <n v="68251.66"/>
    <n v="65095.53"/>
    <n v="55845.4"/>
    <n v="68859.350000000006"/>
    <n v="61749.19"/>
    <n v="72644.100000000006"/>
    <n v="765625.25000000012"/>
    <n v="-10894.910000000003"/>
  </r>
  <r>
    <x v="6"/>
    <x v="6"/>
    <x v="0"/>
    <s v="3002107"/>
    <n v="713096"/>
    <s v="Employee Recognition"/>
    <s v="2 Southeast"/>
    <x v="0"/>
    <n v="1017"/>
    <n v="34.11"/>
    <n v="82.5"/>
    <n v="0"/>
    <n v="0"/>
    <n v="0"/>
    <n v="0"/>
    <n v="46.85"/>
    <n v="978.67"/>
    <n v="61.16"/>
    <n v="0"/>
    <n v="161.68"/>
    <n v="142.44999999999999"/>
    <n v="1507.42"/>
    <n v="19.230000000000018"/>
  </r>
  <r>
    <x v="17"/>
    <x v="6"/>
    <x v="0"/>
    <s v="3002107"/>
    <n v="714530"/>
    <s v="Medical Prof Fees-Intracompany"/>
    <s v="2 Southeast"/>
    <x v="0"/>
    <m/>
    <n v="4164.88"/>
    <n v="-4164.88"/>
    <n v="0"/>
    <n v="0"/>
    <n v="0"/>
    <n v="0"/>
    <n v="0"/>
    <n v="0"/>
    <n v="0"/>
    <n v="0"/>
    <n v="0"/>
    <n v="0"/>
    <n v="0"/>
    <n v="0"/>
  </r>
  <r>
    <x v="7"/>
    <x v="6"/>
    <x v="0"/>
    <s v="3002107"/>
    <n v="718050"/>
    <s v="Contract Management--Linen"/>
    <s v="2 Southeast"/>
    <x v="0"/>
    <n v="1026"/>
    <n v="4537.12"/>
    <n v="4672.87"/>
    <n v="5448.84"/>
    <n v="4783.88"/>
    <n v="4736.57"/>
    <n v="4379.68"/>
    <n v="4834.7299999999996"/>
    <n v="5364.62"/>
    <n v="4977.25"/>
    <n v="5376.69"/>
    <n v="4043.91"/>
    <n v="6540.66"/>
    <n v="59696.820000000007"/>
    <n v="-2496.75"/>
  </r>
  <r>
    <x v="7"/>
    <x v="6"/>
    <x v="0"/>
    <s v="3002107"/>
    <n v="718070"/>
    <s v="Contract Srvcs-CHI Clinical Engineering"/>
    <s v="2 Southeast"/>
    <x v="0"/>
    <m/>
    <n v="531.48"/>
    <n v="531.48"/>
    <n v="531.48"/>
    <n v="531.48"/>
    <n v="531.48"/>
    <n v="487.08"/>
    <n v="496.44"/>
    <n v="496.44"/>
    <n v="492.66"/>
    <n v="492.66"/>
    <n v="498.1"/>
    <n v="488.74"/>
    <n v="6109.5199999999995"/>
    <n v="9.3600000000000136"/>
  </r>
  <r>
    <x v="11"/>
    <x v="6"/>
    <x v="0"/>
    <s v="3002107"/>
    <n v="721010"/>
    <s v="Supplies-Medical - Billable"/>
    <s v="2 Southeast"/>
    <x v="0"/>
    <m/>
    <n v="9067.9699999999993"/>
    <n v="8664.4699999999993"/>
    <n v="10049.89"/>
    <n v="8259.43"/>
    <n v="9986.89"/>
    <n v="8639.23"/>
    <n v="10943.22"/>
    <n v="7304.67"/>
    <n v="13448.44"/>
    <n v="15186.61"/>
    <n v="7326.56"/>
    <n v="7819"/>
    <n v="116696.37999999999"/>
    <n v="-492.4399999999996"/>
  </r>
  <r>
    <x v="11"/>
    <x v="6"/>
    <x v="0"/>
    <s v="3002107"/>
    <n v="721010"/>
    <s v="Patient Monitoring"/>
    <s v="2 Southeast"/>
    <x v="0"/>
    <n v="1000"/>
    <n v="2297.39"/>
    <n v="989.15"/>
    <n v="523.24"/>
    <n v="1344.78"/>
    <n v="469.24"/>
    <n v="1541.03"/>
    <n v="1629.51"/>
    <n v="578.35"/>
    <n v="1215.57"/>
    <n v="648.03"/>
    <n v="1293.58"/>
    <n v="939.94"/>
    <n v="13469.81"/>
    <n v="353.63999999999987"/>
  </r>
  <r>
    <x v="11"/>
    <x v="6"/>
    <x v="0"/>
    <s v="3002107"/>
    <n v="721020"/>
    <s v="Supplies-Surgical - Billable"/>
    <s v="2 Southeast"/>
    <x v="0"/>
    <m/>
    <n v="261.26"/>
    <n v="135.03"/>
    <n v="277.5"/>
    <n v="208"/>
    <n v="208.09"/>
    <n v="257.77"/>
    <n v="346.79"/>
    <n v="163.9"/>
    <n v="402.63"/>
    <n v="192.62"/>
    <n v="379.98"/>
    <n v="398.91"/>
    <n v="3232.4799999999996"/>
    <n v="-18.930000000000007"/>
  </r>
  <r>
    <x v="11"/>
    <x v="6"/>
    <x v="0"/>
    <s v="3002107"/>
    <n v="721020"/>
    <s v="Custom Packs"/>
    <s v="2 Southeast"/>
    <x v="0"/>
    <n v="1000"/>
    <n v="0"/>
    <n v="202.05"/>
    <n v="71.09"/>
    <n v="251.56"/>
    <n v="52.96"/>
    <n v="317.76"/>
    <n v="119.16"/>
    <n v="225.08"/>
    <n v="185.36"/>
    <n v="264.8"/>
    <n v="105.92"/>
    <n v="317.76"/>
    <n v="2113.5"/>
    <n v="-211.83999999999997"/>
  </r>
  <r>
    <x v="11"/>
    <x v="6"/>
    <x v="0"/>
    <s v="3002107"/>
    <n v="721020"/>
    <s v="Suture/Wound Closure"/>
    <s v="2 Southeast"/>
    <x v="0"/>
    <n v="1001"/>
    <n v="0"/>
    <n v="0"/>
    <n v="0"/>
    <n v="5.94"/>
    <n v="0"/>
    <n v="0"/>
    <n v="0"/>
    <n v="0"/>
    <n v="5.94"/>
    <n v="0"/>
    <n v="0"/>
    <n v="0"/>
    <n v="11.88"/>
    <n v="0"/>
  </r>
  <r>
    <x v="11"/>
    <x v="6"/>
    <x v="0"/>
    <s v="3002107"/>
    <n v="721050"/>
    <s v="Supplies-Cardiac Rhythm - Billable"/>
    <s v="2 Southeast"/>
    <x v="0"/>
    <m/>
    <n v="0"/>
    <n v="0"/>
    <n v="0"/>
    <n v="0"/>
    <n v="0"/>
    <n v="0"/>
    <n v="0"/>
    <n v="0"/>
    <n v="0"/>
    <n v="0"/>
    <n v="90"/>
    <n v="0"/>
    <n v="90"/>
    <n v="90"/>
  </r>
  <r>
    <x v="11"/>
    <x v="6"/>
    <x v="0"/>
    <s v="3002107"/>
    <n v="721240"/>
    <s v="Supplies-IV Solutions/Supplies - Billable"/>
    <s v="2 Southeast"/>
    <x v="0"/>
    <m/>
    <n v="1715.65"/>
    <n v="1476.27"/>
    <n v="1545.52"/>
    <n v="1426.82"/>
    <n v="1335.99"/>
    <n v="1663.51"/>
    <n v="1843.42"/>
    <n v="1331.76"/>
    <n v="1829.69"/>
    <n v="1373.58"/>
    <n v="1764.31"/>
    <n v="2544.79"/>
    <n v="19851.310000000001"/>
    <n v="-780.48"/>
  </r>
  <r>
    <x v="11"/>
    <x v="6"/>
    <x v="0"/>
    <s v="3002107"/>
    <n v="721320"/>
    <s v="Supplies-Purchased Blood - Billable"/>
    <s v="2 Southeast"/>
    <x v="0"/>
    <m/>
    <n v="125.73"/>
    <n v="457.2"/>
    <n v="171.45"/>
    <n v="251.46"/>
    <n v="297.18"/>
    <n v="297.18"/>
    <n v="400.05"/>
    <n v="182.88"/>
    <n v="240.03"/>
    <n v="262.56"/>
    <n v="83.4"/>
    <n v="216.59"/>
    <n v="2985.7100000000005"/>
    <n v="-133.19"/>
  </r>
  <r>
    <x v="11"/>
    <x v="6"/>
    <x v="0"/>
    <s v="3002107"/>
    <n v="721410"/>
    <s v="Supplies-Medical - Nonbillable"/>
    <s v="2 Southeast"/>
    <x v="0"/>
    <m/>
    <n v="9053.27"/>
    <n v="9071.7900000000009"/>
    <n v="7109.82"/>
    <n v="8248.02"/>
    <n v="8460.43"/>
    <n v="9948.98"/>
    <n v="9296.91"/>
    <n v="11603.29"/>
    <n v="9933.77"/>
    <n v="8589.9599999999991"/>
    <n v="8714.26"/>
    <n v="9323.4699999999993"/>
    <n v="109353.97000000002"/>
    <n v="-609.20999999999913"/>
  </r>
  <r>
    <x v="11"/>
    <x v="6"/>
    <x v="0"/>
    <s v="3002107"/>
    <n v="721420"/>
    <s v="Supplies-Surgical Nonbillable"/>
    <s v="2 Southeast"/>
    <x v="0"/>
    <m/>
    <n v="83.57"/>
    <n v="90.93"/>
    <n v="140.66"/>
    <n v="138.16999999999999"/>
    <n v="85.66"/>
    <n v="177.71"/>
    <n v="92.54"/>
    <n v="46.93"/>
    <n v="114.3"/>
    <n v="235.49"/>
    <n v="48.84"/>
    <n v="39.5"/>
    <n v="1294.2999999999997"/>
    <n v="9.3400000000000034"/>
  </r>
  <r>
    <x v="11"/>
    <x v="6"/>
    <x v="0"/>
    <s v="3002107"/>
    <n v="721420"/>
    <s v="Sterilization Process Products"/>
    <s v="2 Southeast"/>
    <x v="0"/>
    <n v="1009"/>
    <n v="3.6"/>
    <n v="53.45"/>
    <n v="4.5"/>
    <n v="3.3"/>
    <n v="3.6"/>
    <n v="6.74"/>
    <n v="4.92"/>
    <n v="4.0199999999999996"/>
    <n v="5.96"/>
    <n v="3.81"/>
    <n v="3.06"/>
    <n v="5.34"/>
    <n v="102.3"/>
    <n v="-2.2799999999999998"/>
  </r>
  <r>
    <x v="11"/>
    <x v="6"/>
    <x v="0"/>
    <s v="3002107"/>
    <n v="721610"/>
    <s v="Supplies-Anesthesia - Nonbillable"/>
    <s v="2 Southeast"/>
    <x v="0"/>
    <m/>
    <n v="25.62"/>
    <n v="42.08"/>
    <n v="0"/>
    <n v="18.59"/>
    <n v="0"/>
    <n v="162.43"/>
    <n v="440.85"/>
    <n v="38.65"/>
    <n v="4.26"/>
    <n v="0"/>
    <n v="139.57"/>
    <n v="-31.03"/>
    <n v="841.02"/>
    <n v="170.6"/>
  </r>
  <r>
    <x v="11"/>
    <x v="6"/>
    <x v="0"/>
    <s v="3002107"/>
    <n v="721640"/>
    <s v="Supplies-IV Solutions/Supplies - Nonbillable"/>
    <s v="2 Southeast"/>
    <x v="0"/>
    <m/>
    <n v="2008"/>
    <n v="2448.08"/>
    <n v="1904.99"/>
    <n v="2080.7199999999998"/>
    <n v="1789.3"/>
    <n v="2673.53"/>
    <n v="1749.11"/>
    <n v="1891.95"/>
    <n v="2374.62"/>
    <n v="2513.9499999999998"/>
    <n v="2587.69"/>
    <n v="2740.63"/>
    <n v="26762.57"/>
    <n v="-152.94000000000005"/>
  </r>
  <r>
    <x v="11"/>
    <x v="6"/>
    <x v="0"/>
    <s v="3002107"/>
    <n v="721650"/>
    <s v="Supplies-Pharmacy Drugs - Nonbillable"/>
    <s v="2 Southeast"/>
    <x v="0"/>
    <m/>
    <n v="112.95"/>
    <n v="135.44999999999999"/>
    <n v="172.95"/>
    <n v="72.040000000000006"/>
    <n v="166.9"/>
    <n v="193.23"/>
    <n v="107.73"/>
    <n v="146.30000000000001"/>
    <n v="193.46"/>
    <n v="141.32"/>
    <n v="182.82"/>
    <n v="203.81"/>
    <n v="1828.9599999999998"/>
    <n v="-20.990000000000009"/>
  </r>
  <r>
    <x v="11"/>
    <x v="6"/>
    <x v="0"/>
    <s v="3002107"/>
    <n v="721710"/>
    <s v="Supplies-Laboratory - Nonbillable"/>
    <s v="2 Southeast"/>
    <x v="0"/>
    <m/>
    <n v="276.39999999999998"/>
    <n v="319.95"/>
    <n v="308.89999999999998"/>
    <n v="298.61"/>
    <n v="193.48"/>
    <n v="349.8"/>
    <n v="237.4"/>
    <n v="276.56"/>
    <n v="286.31"/>
    <n v="122.57"/>
    <n v="262.94"/>
    <n v="275.57"/>
    <n v="3208.4900000000002"/>
    <n v="-12.629999999999995"/>
  </r>
  <r>
    <x v="11"/>
    <x v="6"/>
    <x v="0"/>
    <s v="3002107"/>
    <n v="721710"/>
    <s v="Reagents"/>
    <s v="2 Southeast"/>
    <x v="0"/>
    <n v="1000"/>
    <n v="0"/>
    <n v="0"/>
    <n v="3.15"/>
    <n v="0"/>
    <n v="0"/>
    <n v="0"/>
    <n v="0"/>
    <n v="0"/>
    <n v="0"/>
    <n v="0"/>
    <n v="0"/>
    <n v="0"/>
    <n v="3.15"/>
    <n v="0"/>
  </r>
  <r>
    <x v="11"/>
    <x v="6"/>
    <x v="0"/>
    <s v="3002107"/>
    <n v="721750"/>
    <s v="Supplies-Film/Radiographic - Nonbillable"/>
    <s v="2 Southeast"/>
    <x v="0"/>
    <m/>
    <n v="3.74"/>
    <n v="4.6900000000000004"/>
    <n v="8.43"/>
    <n v="6.56"/>
    <n v="4.68"/>
    <n v="2.81"/>
    <n v="4.68"/>
    <n v="3.74"/>
    <n v="3.75"/>
    <n v="12.18"/>
    <n v="2.81"/>
    <n v="11.24"/>
    <n v="69.31"/>
    <n v="-8.43"/>
  </r>
  <r>
    <x v="11"/>
    <x v="6"/>
    <x v="0"/>
    <s v="3002107"/>
    <n v="721810"/>
    <s v="Supplies-Dietary/Cafeteria"/>
    <s v="2 Southeast"/>
    <x v="0"/>
    <m/>
    <n v="957.53"/>
    <n v="772.88"/>
    <n v="1102.75"/>
    <n v="1294.8900000000001"/>
    <n v="1342.94"/>
    <n v="1276.54"/>
    <n v="1408.46"/>
    <n v="1591.99"/>
    <n v="1249.8399999999999"/>
    <n v="1876.25"/>
    <n v="2426.17"/>
    <n v="1881.74"/>
    <n v="17181.98"/>
    <n v="544.43000000000006"/>
  </r>
  <r>
    <x v="11"/>
    <x v="6"/>
    <x v="0"/>
    <s v="3002107"/>
    <n v="721830"/>
    <s v="Supplies-Office"/>
    <s v="2 Southeast"/>
    <x v="0"/>
    <m/>
    <n v="705.57"/>
    <n v="1078.6600000000001"/>
    <n v="440.75"/>
    <n v="927.78"/>
    <n v="771.52"/>
    <n v="492.28"/>
    <n v="613.9"/>
    <n v="8068.19"/>
    <n v="400.77"/>
    <n v="-6781.42"/>
    <n v="346.57"/>
    <n v="312.98"/>
    <n v="7377.5499999999993"/>
    <n v="33.589999999999975"/>
  </r>
  <r>
    <x v="11"/>
    <x v="6"/>
    <x v="0"/>
    <s v="3002107"/>
    <n v="721835"/>
    <s v="Supplies-Forms"/>
    <s v="2 Southeast"/>
    <x v="0"/>
    <m/>
    <n v="0"/>
    <n v="0"/>
    <n v="0"/>
    <n v="0"/>
    <n v="180.12"/>
    <n v="53.75"/>
    <n v="29.98"/>
    <n v="0"/>
    <n v="28.24"/>
    <n v="31.43"/>
    <n v="29.35"/>
    <n v="41.26"/>
    <n v="394.13000000000005"/>
    <n v="-11.909999999999997"/>
  </r>
  <r>
    <x v="11"/>
    <x v="6"/>
    <x v="0"/>
    <s v="3002107"/>
    <n v="721870"/>
    <s v="Supplies-Environmental Services"/>
    <s v="2 Southeast"/>
    <x v="0"/>
    <m/>
    <n v="837.91"/>
    <n v="668.27"/>
    <n v="642.16999999999996"/>
    <n v="909.37"/>
    <n v="861.69"/>
    <n v="831.41"/>
    <n v="983.41"/>
    <n v="787.57"/>
    <n v="786.85"/>
    <n v="1276.07"/>
    <n v="909.79"/>
    <n v="1272.1600000000001"/>
    <n v="10766.669999999998"/>
    <n v="-362.37000000000012"/>
  </r>
  <r>
    <x v="11"/>
    <x v="6"/>
    <x v="0"/>
    <s v="3002107"/>
    <n v="721910"/>
    <s v="Supplies-Small Equipment"/>
    <s v="2 Southeast"/>
    <x v="0"/>
    <m/>
    <n v="3001.13"/>
    <n v="1211.98"/>
    <n v="1409.96"/>
    <n v="6031.11"/>
    <n v="1544.18"/>
    <n v="5090.8"/>
    <n v="2942.58"/>
    <n v="1028.8900000000001"/>
    <n v="2014.62"/>
    <n v="1987.23"/>
    <n v="2092.35"/>
    <n v="2249.29"/>
    <n v="30604.119999999995"/>
    <n v="-156.94000000000005"/>
  </r>
  <r>
    <x v="11"/>
    <x v="6"/>
    <x v="0"/>
    <s v="3002107"/>
    <n v="721910"/>
    <s v="Instruments"/>
    <s v="2 Southeast"/>
    <x v="0"/>
    <n v="1000"/>
    <n v="41.95"/>
    <n v="55.39"/>
    <n v="54.72"/>
    <n v="63.84"/>
    <n v="60.19"/>
    <n v="82.08"/>
    <n v="75.87"/>
    <n v="36.479999999999997"/>
    <n v="91.21"/>
    <n v="46.62"/>
    <n v="77.040000000000006"/>
    <n v="84.12"/>
    <n v="769.51"/>
    <n v="-7.0799999999999983"/>
  </r>
  <r>
    <x v="11"/>
    <x v="6"/>
    <x v="0"/>
    <s v="3002107"/>
    <n v="721980"/>
    <s v="Supplies-Other"/>
    <s v="2 Southeast"/>
    <x v="0"/>
    <m/>
    <n v="529.88"/>
    <n v="30.12"/>
    <n v="0"/>
    <n v="786.68"/>
    <n v="0"/>
    <n v="0"/>
    <n v="76.45"/>
    <n v="-1.39"/>
    <n v="0"/>
    <n v="-770"/>
    <n v="0"/>
    <n v="32.31"/>
    <n v="684.04999999999973"/>
    <n v="-32.31"/>
  </r>
  <r>
    <x v="11"/>
    <x v="6"/>
    <x v="0"/>
    <s v="3002107"/>
    <n v="722000"/>
    <s v="Supplies-Freight Expense"/>
    <s v="2 Southeast"/>
    <x v="0"/>
    <m/>
    <n v="0"/>
    <n v="34.31"/>
    <n v="7.93"/>
    <n v="4.34"/>
    <n v="0"/>
    <n v="46.79"/>
    <n v="16.350000000000001"/>
    <n v="8.24"/>
    <n v="10.3"/>
    <n v="8.26"/>
    <n v="25.56"/>
    <n v="1.91"/>
    <n v="163.98999999999998"/>
    <n v="23.65"/>
  </r>
  <r>
    <x v="12"/>
    <x v="6"/>
    <x v="0"/>
    <s v="3002107"/>
    <n v="730020"/>
    <s v="Rental and Leases-Equipment (DO NOT USE)"/>
    <s v="2 Southeast"/>
    <x v="0"/>
    <m/>
    <n v="0"/>
    <n v="0"/>
    <n v="0"/>
    <n v="-2600.66"/>
    <n v="-1149.48"/>
    <n v="0"/>
    <n v="0"/>
    <n v="0"/>
    <n v="0"/>
    <n v="0"/>
    <n v="0"/>
    <n v="0"/>
    <n v="-3750.14"/>
    <n v="0"/>
  </r>
  <r>
    <x v="12"/>
    <x v="6"/>
    <x v="0"/>
    <s v="3002107"/>
    <n v="730020"/>
    <s v="Rental and Leases-Copier Usage Fees (DO NOT USE)"/>
    <s v="2 Southeast"/>
    <x v="0"/>
    <n v="5100"/>
    <n v="229.98"/>
    <n v="225.16"/>
    <n v="227.57"/>
    <n v="227.57"/>
    <n v="227.57"/>
    <n v="227.57"/>
    <n v="-122.36"/>
    <n v="70.959999999999994"/>
    <n v="70.819999999999993"/>
    <n v="686.24"/>
    <n v="70.97"/>
    <n v="80.540000000000006"/>
    <n v="2222.5899999999997"/>
    <n v="-9.5700000000000074"/>
  </r>
  <r>
    <x v="15"/>
    <x v="6"/>
    <x v="0"/>
    <s v="3002107"/>
    <n v="731060"/>
    <s v="Telephone"/>
    <s v="2 Southeast"/>
    <x v="0"/>
    <m/>
    <n v="0"/>
    <n v="0"/>
    <n v="0"/>
    <n v="0"/>
    <n v="203"/>
    <n v="0"/>
    <n v="0"/>
    <n v="0"/>
    <n v="0"/>
    <n v="0"/>
    <n v="0"/>
    <n v="0"/>
    <n v="203"/>
    <n v="0"/>
  </r>
  <r>
    <x v="15"/>
    <x v="6"/>
    <x v="0"/>
    <s v="3002107"/>
    <n v="731060"/>
    <s v="Cell Phones"/>
    <s v="2 Southeast"/>
    <x v="0"/>
    <n v="1001"/>
    <n v="0"/>
    <n v="0"/>
    <n v="0"/>
    <n v="0"/>
    <n v="0"/>
    <n v="0"/>
    <n v="0"/>
    <n v="0"/>
    <n v="0"/>
    <n v="118.65"/>
    <n v="53.96"/>
    <n v="53.32"/>
    <n v="225.93"/>
    <n v="0.64000000000000057"/>
  </r>
  <r>
    <x v="16"/>
    <x v="6"/>
    <x v="0"/>
    <s v="3002107"/>
    <n v="732020"/>
    <s v="Repairs--Clin Equip-Parts-Internal to CHI Programs"/>
    <s v="2 Southeast"/>
    <x v="0"/>
    <m/>
    <n v="258.68"/>
    <n v="406.21"/>
    <n v="480.31"/>
    <n v="129.34"/>
    <n v="406.21"/>
    <n v="480.31"/>
    <n v="452.69"/>
    <n v="0"/>
    <n v="323.35000000000002"/>
    <n v="458.08"/>
    <n v="129.34"/>
    <n v="194.01"/>
    <n v="3718.5299999999997"/>
    <n v="-64.669999999999987"/>
  </r>
  <r>
    <x v="16"/>
    <x v="6"/>
    <x v="0"/>
    <s v="3002107"/>
    <n v="732030"/>
    <s v="Repairs---Other"/>
    <s v="2 Southeast"/>
    <x v="0"/>
    <m/>
    <n v="0"/>
    <n v="710.9"/>
    <n v="63.98"/>
    <n v="0"/>
    <n v="0"/>
    <n v="3400"/>
    <n v="335"/>
    <n v="0"/>
    <n v="20"/>
    <n v="11825.3"/>
    <n v="1049.4100000000001"/>
    <n v="1119.57"/>
    <n v="18524.16"/>
    <n v="-70.159999999999854"/>
  </r>
  <r>
    <x v="13"/>
    <x v="6"/>
    <x v="0"/>
    <s v="3002107"/>
    <n v="735070"/>
    <s v="Depreciation-Movable Equipment"/>
    <s v="2 Southeast"/>
    <x v="0"/>
    <m/>
    <n v="3957.02"/>
    <n v="3956.99"/>
    <n v="3855.94"/>
    <n v="3814.85"/>
    <n v="3814.9"/>
    <n v="3814.83"/>
    <n v="3811.75"/>
    <n v="3811.68"/>
    <n v="3811.76"/>
    <n v="3811.65"/>
    <n v="3811.76"/>
    <n v="3811.64"/>
    <n v="46084.770000000004"/>
    <n v="0.12000000000034561"/>
  </r>
  <r>
    <x v="0"/>
    <x v="6"/>
    <x v="0"/>
    <s v="3002107"/>
    <n v="740020"/>
    <s v="Education-Registration Fees"/>
    <s v="2 Southeast"/>
    <x v="0"/>
    <m/>
    <n v="125"/>
    <n v="0"/>
    <n v="0"/>
    <n v="400"/>
    <n v="0"/>
    <n v="0"/>
    <n v="0"/>
    <n v="0"/>
    <n v="0"/>
    <n v="0"/>
    <n v="0"/>
    <n v="0"/>
    <n v="525"/>
    <n v="0"/>
  </r>
  <r>
    <x v="0"/>
    <x v="6"/>
    <x v="0"/>
    <s v="3002107"/>
    <n v="749510"/>
    <s v="Miscellaneous Expenses"/>
    <s v="2 Southeast"/>
    <x v="0"/>
    <m/>
    <n v="235"/>
    <n v="282.41000000000003"/>
    <n v="551.55999999999995"/>
    <n v="671"/>
    <n v="-60"/>
    <n v="35.96"/>
    <n v="22.49"/>
    <n v="-25.27"/>
    <n v="53.56"/>
    <n v="-0.57999999999999996"/>
    <n v="231.88"/>
    <n v="-142.43"/>
    <n v="1855.5800000000002"/>
    <n v="374.31"/>
  </r>
  <r>
    <x v="0"/>
    <x v="6"/>
    <x v="0"/>
    <s v="3002107"/>
    <n v="749510"/>
    <s v="Licenses"/>
    <s v="2 Southeast"/>
    <x v="0"/>
    <n v="1002"/>
    <n v="0"/>
    <n v="0"/>
    <n v="0"/>
    <n v="0"/>
    <n v="0"/>
    <n v="0"/>
    <n v="0"/>
    <n v="0"/>
    <n v="0"/>
    <n v="0"/>
    <n v="0"/>
    <n v="142.43"/>
    <n v="142.43"/>
    <n v="-142.43"/>
  </r>
  <r>
    <x v="0"/>
    <x v="6"/>
    <x v="0"/>
    <s v="3002107"/>
    <n v="749510"/>
    <s v="RICE Rewards"/>
    <s v="2 Southeast"/>
    <x v="0"/>
    <n v="5100"/>
    <n v="0"/>
    <n v="0"/>
    <n v="0"/>
    <n v="0"/>
    <n v="312"/>
    <n v="0"/>
    <n v="35.96"/>
    <n v="91.89"/>
    <n v="345.97"/>
    <n v="0"/>
    <n v="304.95"/>
    <n v="382.89"/>
    <n v="1473.6599999999999"/>
    <n v="-77.94"/>
  </r>
  <r>
    <x v="0"/>
    <x v="6"/>
    <x v="0"/>
    <s v="3002107"/>
    <n v="749530"/>
    <s v="Travel"/>
    <s v="2 Southeast"/>
    <x v="0"/>
    <m/>
    <n v="0"/>
    <n v="0"/>
    <n v="0"/>
    <n v="0"/>
    <n v="0"/>
    <n v="0"/>
    <n v="0"/>
    <n v="42"/>
    <n v="0"/>
    <n v="24"/>
    <n v="6"/>
    <n v="0"/>
    <n v="72"/>
    <n v="6"/>
  </r>
  <r>
    <x v="0"/>
    <x v="6"/>
    <x v="0"/>
    <s v="3002107"/>
    <n v="749530"/>
    <s v="Mileage"/>
    <s v="2 Southeast"/>
    <x v="0"/>
    <n v="1001"/>
    <n v="0"/>
    <n v="0"/>
    <n v="0"/>
    <n v="0"/>
    <n v="0"/>
    <n v="0"/>
    <n v="0"/>
    <n v="328.86"/>
    <n v="0"/>
    <n v="189.66"/>
    <n v="46.98"/>
    <n v="0"/>
    <n v="565.5"/>
    <n v="46.98"/>
  </r>
  <r>
    <x v="18"/>
    <x v="3"/>
    <x v="0"/>
    <s v="3003101"/>
    <n v="400010"/>
    <s v="Acute I/P Svcs Rev--Medicare"/>
    <s v="Med/Surg Observation"/>
    <x v="0"/>
    <n v="1100"/>
    <n v="-40553.620000000003"/>
    <n v="-135427.57"/>
    <n v="-205984.58"/>
    <n v="-349961.11"/>
    <n v="-137540.64000000001"/>
    <n v="-282780.3"/>
    <n v="-566425"/>
    <n v="-463031.88"/>
    <n v="-786337.8"/>
    <n v="-363961.97"/>
    <n v="-424791.14"/>
    <n v="-532034.77"/>
    <n v="-4288830.38"/>
    <n v="107243.63"/>
  </r>
  <r>
    <x v="18"/>
    <x v="3"/>
    <x v="0"/>
    <s v="3003101"/>
    <n v="400010"/>
    <s v="Acute I/P Svcs Rev--Medicaid"/>
    <s v="Med/Surg Observation"/>
    <x v="0"/>
    <n v="1200"/>
    <n v="13385.03"/>
    <n v="-20221.07"/>
    <n v="-21840.94"/>
    <n v="-186452.34"/>
    <n v="-23921.41"/>
    <n v="-43902.04"/>
    <n v="-238898.17"/>
    <n v="-171363.5"/>
    <n v="-254936.23"/>
    <n v="-113715.87"/>
    <n v="-120785.45"/>
    <n v="-147706.14000000001"/>
    <n v="-1330358.1299999999"/>
    <n v="26920.690000000017"/>
  </r>
  <r>
    <x v="18"/>
    <x v="3"/>
    <x v="0"/>
    <s v="3003101"/>
    <n v="400010"/>
    <s v="Acute I/P Svcs Rev--Comm Insurance"/>
    <s v="Med/Surg Observation"/>
    <x v="0"/>
    <n v="1300"/>
    <n v="475.41"/>
    <n v="1207.93"/>
    <n v="-4050.39"/>
    <n v="-11666.76"/>
    <n v="3597.4"/>
    <n v="123.17"/>
    <n v="-21207.96"/>
    <n v="-2928.74"/>
    <n v="-14069.88"/>
    <n v="3155"/>
    <n v="-30930.1"/>
    <n v="15420.12"/>
    <n v="-60874.799999999981"/>
    <n v="-46350.22"/>
  </r>
  <r>
    <x v="18"/>
    <x v="3"/>
    <x v="0"/>
    <s v="3003101"/>
    <n v="400010"/>
    <s v="Acute I/P Svcs Rev--BCBS Comm"/>
    <s v="Med/Surg Observation"/>
    <x v="0"/>
    <n v="1301"/>
    <n v="13809.35"/>
    <n v="-5044.95"/>
    <n v="-17612.740000000002"/>
    <n v="-14132.99"/>
    <n v="-6751.18"/>
    <n v="0"/>
    <n v="-14670.1"/>
    <n v="-30679.7"/>
    <n v="4185.7"/>
    <n v="-19631.78"/>
    <n v="-6245.56"/>
    <n v="-42136.93"/>
    <n v="-138910.88"/>
    <n v="35891.370000000003"/>
  </r>
  <r>
    <x v="18"/>
    <x v="3"/>
    <x v="0"/>
    <s v="3003101"/>
    <n v="400010"/>
    <s v="Acute I/P Svcs Rev--Managed Care"/>
    <s v="Med/Surg Observation"/>
    <x v="0"/>
    <n v="1400"/>
    <n v="-24369.040000000001"/>
    <n v="-4299.92"/>
    <n v="-14591.71"/>
    <n v="-95902.04"/>
    <n v="-16882.52"/>
    <n v="-29231.06"/>
    <n v="-141057.60999999999"/>
    <n v="-130820.51"/>
    <n v="-135749.29999999999"/>
    <n v="-74981.570000000007"/>
    <n v="-114036.32"/>
    <n v="-75879.759999999995"/>
    <n v="-857801.3600000001"/>
    <n v="-38156.560000000012"/>
  </r>
  <r>
    <x v="18"/>
    <x v="3"/>
    <x v="0"/>
    <s v="3003101"/>
    <n v="400010"/>
    <s v="Acute I/P Svcs Rev--Self Pay"/>
    <s v="Med/Surg Observation"/>
    <x v="0"/>
    <n v="1500"/>
    <n v="-10188.4"/>
    <n v="-1062"/>
    <n v="-363.3"/>
    <n v="-4460.01"/>
    <n v="-12939.62"/>
    <n v="-5861.74"/>
    <n v="-10218.49"/>
    <n v="-12626.67"/>
    <n v="-3155"/>
    <n v="-6421"/>
    <n v="-16188.05"/>
    <n v="-43625.39"/>
    <n v="-127109.67"/>
    <n v="27437.34"/>
  </r>
  <r>
    <x v="18"/>
    <x v="3"/>
    <x v="0"/>
    <s v="3003101"/>
    <n v="400010"/>
    <s v="Acute I/P Svcs Rev--Other"/>
    <s v="Med/Surg Observation"/>
    <x v="0"/>
    <n v="1700"/>
    <n v="4055.89"/>
    <n v="-3324.68"/>
    <n v="-528.83000000000004"/>
    <n v="-6543.48"/>
    <n v="-15427.1"/>
    <n v="-10487.62"/>
    <n v="-17516.46"/>
    <n v="-14575.81"/>
    <n v="-27419.919999999998"/>
    <n v="-15400.65"/>
    <n v="-36617.96"/>
    <n v="-44965.43"/>
    <n v="-188752.05"/>
    <n v="8347.4700000000012"/>
  </r>
  <r>
    <x v="19"/>
    <x v="3"/>
    <x v="0"/>
    <s v="3003101"/>
    <n v="400020"/>
    <s v="O/P Care Svcs Rev--Medicare"/>
    <s v="Med/Surg Observation"/>
    <x v="0"/>
    <n v="1100"/>
    <n v="-7414.69"/>
    <n v="-72828.09"/>
    <n v="-47428.61"/>
    <n v="-145821.38"/>
    <n v="-61801.54"/>
    <n v="-95305.78"/>
    <n v="-135799.49"/>
    <n v="-123736.76"/>
    <n v="-204642.55"/>
    <n v="-52436.29"/>
    <n v="-115569.32"/>
    <n v="-86819.62"/>
    <n v="-1149604.1200000001"/>
    <n v="-28749.700000000012"/>
  </r>
  <r>
    <x v="19"/>
    <x v="3"/>
    <x v="0"/>
    <s v="3003101"/>
    <n v="400020"/>
    <s v="O/P Care Svcs Rev--Medicaid"/>
    <s v="Med/Surg Observation"/>
    <x v="0"/>
    <n v="1200"/>
    <n v="-16606.22"/>
    <n v="-14874.69"/>
    <n v="-22186.14"/>
    <n v="-31976.84"/>
    <n v="-21389.8"/>
    <n v="-24339.88"/>
    <n v="-63669.37"/>
    <n v="-50368.27"/>
    <n v="-79254.75"/>
    <n v="-29008.67"/>
    <n v="-27843.05"/>
    <n v="-65022.06"/>
    <n v="-446539.73999999993"/>
    <n v="37179.009999999995"/>
  </r>
  <r>
    <x v="19"/>
    <x v="3"/>
    <x v="0"/>
    <s v="3003101"/>
    <n v="400020"/>
    <s v="O/P Care Svcs Rev--Comm Insurance"/>
    <s v="Med/Surg Observation"/>
    <x v="0"/>
    <n v="1300"/>
    <n v="2066.1799999999998"/>
    <n v="5929.91"/>
    <n v="-382.89"/>
    <n v="-3808.13"/>
    <n v="-2373.84"/>
    <n v="2806.68"/>
    <n v="0"/>
    <n v="-657.2"/>
    <n v="-11432.24"/>
    <n v="-1088.6400000000001"/>
    <n v="-920.08"/>
    <n v="-11651"/>
    <n v="-21511.25"/>
    <n v="10730.92"/>
  </r>
  <r>
    <x v="19"/>
    <x v="3"/>
    <x v="0"/>
    <s v="3003101"/>
    <n v="400020"/>
    <s v="O/P Care Svcs Rev--BCBS Comm"/>
    <s v="Med/Surg Observation"/>
    <x v="0"/>
    <n v="1301"/>
    <n v="0"/>
    <n v="0"/>
    <n v="-6606.5"/>
    <n v="-13066.04"/>
    <n v="-5813.72"/>
    <n v="-1139.67"/>
    <n v="-11794.44"/>
    <n v="-7350.24"/>
    <n v="-2294.8000000000002"/>
    <n v="-24097.78"/>
    <n v="-11107.7"/>
    <n v="-20699.22"/>
    <n v="-103970.11"/>
    <n v="9591.52"/>
  </r>
  <r>
    <x v="19"/>
    <x v="3"/>
    <x v="0"/>
    <s v="3003101"/>
    <n v="400020"/>
    <s v="O/P Care Svcs Rev--Managed Care"/>
    <s v="Med/Surg Observation"/>
    <x v="0"/>
    <n v="1400"/>
    <n v="-2935.49"/>
    <n v="-3950.4"/>
    <n v="-32159.68"/>
    <n v="-36456.33"/>
    <n v="-17419.169999999998"/>
    <n v="-18088.54"/>
    <n v="-38661.910000000003"/>
    <n v="-26396.32"/>
    <n v="-40444.839999999997"/>
    <n v="-27138.43"/>
    <n v="-13904.88"/>
    <n v="-11287.33"/>
    <n v="-268843.32"/>
    <n v="-2617.5499999999993"/>
  </r>
  <r>
    <x v="19"/>
    <x v="3"/>
    <x v="0"/>
    <s v="3003101"/>
    <n v="400020"/>
    <s v="O/P Care Svcs Rev--Self Pay"/>
    <s v="Med/Surg Observation"/>
    <x v="0"/>
    <n v="1500"/>
    <n v="-121.54"/>
    <n v="0"/>
    <n v="-4322.7"/>
    <n v="-16663.16"/>
    <n v="-3686.14"/>
    <n v="9"/>
    <n v="-10540.76"/>
    <n v="1185.22"/>
    <n v="8136.51"/>
    <n v="0"/>
    <n v="-4486"/>
    <n v="-9259.6"/>
    <n v="-39749.17"/>
    <n v="4773.6000000000004"/>
  </r>
  <r>
    <x v="19"/>
    <x v="3"/>
    <x v="0"/>
    <s v="3003101"/>
    <n v="400020"/>
    <s v="O/P Care Svcs Rev--Other"/>
    <s v="Med/Surg Observation"/>
    <x v="0"/>
    <n v="1700"/>
    <n v="-1321.3"/>
    <n v="541.71"/>
    <n v="-12309.5"/>
    <n v="-22285.82"/>
    <n v="-8378.11"/>
    <n v="-9663.11"/>
    <n v="-6884.9"/>
    <n v="-20388.89"/>
    <n v="-25578.01"/>
    <n v="-3707.21"/>
    <n v="3779.68"/>
    <n v="3417.44"/>
    <n v="-102778.02000000002"/>
    <n v="362.23999999999978"/>
  </r>
  <r>
    <x v="14"/>
    <x v="3"/>
    <x v="0"/>
    <s v="3003101"/>
    <n v="600050"/>
    <s v="Miscellaneous Revenue"/>
    <s v="Med/Surg Observation"/>
    <x v="0"/>
    <m/>
    <n v="0"/>
    <n v="0"/>
    <n v="-3000"/>
    <n v="0"/>
    <n v="0"/>
    <n v="0"/>
    <n v="0"/>
    <n v="0"/>
    <n v="0"/>
    <n v="3000"/>
    <n v="0"/>
    <n v="0"/>
    <n v="0"/>
    <n v="0"/>
  </r>
  <r>
    <x v="5"/>
    <x v="3"/>
    <x v="0"/>
    <s v="3003101"/>
    <n v="700026"/>
    <s v="Salaries-RN-Productive"/>
    <s v="Med/Surg Observation"/>
    <x v="0"/>
    <m/>
    <n v="6099.13"/>
    <n v="10566.42"/>
    <n v="28799.360000000001"/>
    <n v="87193.52"/>
    <n v="2157.85"/>
    <n v="61871.46"/>
    <n v="63766.75"/>
    <n v="66037.61"/>
    <n v="148267.63"/>
    <n v="64964.33"/>
    <n v="40829.660000000003"/>
    <n v="127293.3"/>
    <n v="707847.02"/>
    <n v="-86463.64"/>
  </r>
  <r>
    <x v="5"/>
    <x v="3"/>
    <x v="0"/>
    <s v="3003101"/>
    <n v="700026"/>
    <s v="Salaries-RN-OT"/>
    <s v="Med/Surg Observation"/>
    <x v="0"/>
    <n v="1000"/>
    <n v="237.06"/>
    <n v="147.06"/>
    <n v="1280.96"/>
    <n v="5598.55"/>
    <n v="-976.99"/>
    <n v="3507.42"/>
    <n v="2228.02"/>
    <n v="3521.72"/>
    <n v="15296.2"/>
    <n v="1507.99"/>
    <n v="3079.44"/>
    <n v="6101.45"/>
    <n v="41528.879999999997"/>
    <n v="-3022.0099999999998"/>
  </r>
  <r>
    <x v="5"/>
    <x v="3"/>
    <x v="0"/>
    <s v="3003101"/>
    <n v="700026"/>
    <s v="Salaries-RN-Other"/>
    <s v="Med/Surg Observation"/>
    <x v="0"/>
    <n v="2000"/>
    <n v="694.41"/>
    <n v="1321.51"/>
    <n v="2379.86"/>
    <n v="8142.61"/>
    <n v="107.65"/>
    <n v="4051.66"/>
    <n v="4859.46"/>
    <n v="5245.46"/>
    <n v="13814.7"/>
    <n v="4791.66"/>
    <n v="4349.8100000000004"/>
    <n v="11680.46"/>
    <n v="61439.249999999993"/>
    <n v="-7330.6499999999987"/>
  </r>
  <r>
    <x v="5"/>
    <x v="3"/>
    <x v="0"/>
    <s v="3003101"/>
    <n v="700032"/>
    <s v="Salaries-Other Pat Care Providers-Productive"/>
    <s v="Med/Surg Observation"/>
    <x v="0"/>
    <m/>
    <n v="3226.79"/>
    <n v="4077.57"/>
    <n v="9108.7999999999993"/>
    <n v="23852.720000000001"/>
    <n v="1986.63"/>
    <n v="15917.15"/>
    <n v="17212.099999999999"/>
    <n v="21811.21"/>
    <n v="32285.42"/>
    <n v="15126.71"/>
    <n v="8279.84"/>
    <n v="35140.550000000003"/>
    <n v="188025.49"/>
    <n v="-26860.710000000003"/>
  </r>
  <r>
    <x v="5"/>
    <x v="3"/>
    <x v="0"/>
    <s v="3003101"/>
    <n v="700032"/>
    <s v="Salaries-Other Pat Care Providers-OT"/>
    <s v="Med/Surg Observation"/>
    <x v="0"/>
    <n v="1000"/>
    <n v="0"/>
    <n v="349.06"/>
    <n v="-104.7"/>
    <n v="2966.63"/>
    <n v="-928.91"/>
    <n v="323.37"/>
    <n v="1220.3699999999999"/>
    <n v="5186.59"/>
    <n v="2305.4"/>
    <n v="-3.89"/>
    <n v="-116.83"/>
    <n v="2617.9499999999998"/>
    <n v="13815.04"/>
    <n v="-2734.7799999999997"/>
  </r>
  <r>
    <x v="5"/>
    <x v="3"/>
    <x v="0"/>
    <s v="3003101"/>
    <n v="700032"/>
    <s v="Salaries-Other Pat Care Providers-Other"/>
    <s v="Med/Surg Observation"/>
    <x v="0"/>
    <n v="2000"/>
    <n v="385.54"/>
    <n v="226.57"/>
    <n v="686.03"/>
    <n v="1585.23"/>
    <n v="114.73"/>
    <n v="648.04999999999995"/>
    <n v="1035.18"/>
    <n v="1455.37"/>
    <n v="2302.92"/>
    <n v="710.71"/>
    <n v="406.14"/>
    <n v="2312.6799999999998"/>
    <n v="11869.149999999998"/>
    <n v="-1906.54"/>
  </r>
  <r>
    <x v="5"/>
    <x v="3"/>
    <x v="0"/>
    <s v="3003101"/>
    <n v="700054"/>
    <s v="Salaries-Management-NonProd-Other"/>
    <s v="Med/Surg Observation"/>
    <x v="0"/>
    <n v="2000"/>
    <n v="0"/>
    <n v="0"/>
    <n v="0"/>
    <n v="0"/>
    <n v="0"/>
    <n v="4761.3900000000003"/>
    <n v="-4761.3900000000003"/>
    <n v="0"/>
    <n v="0"/>
    <n v="0"/>
    <n v="0"/>
    <n v="0"/>
    <n v="0"/>
    <n v="0"/>
  </r>
  <r>
    <x v="5"/>
    <x v="3"/>
    <x v="0"/>
    <s v="3003101"/>
    <n v="700066"/>
    <s v="Salaries-RN-Non-productive"/>
    <s v="Med/Surg Observation"/>
    <x v="0"/>
    <m/>
    <n v="22647.759999999998"/>
    <n v="18102.09"/>
    <n v="21314.85"/>
    <n v="12020.87"/>
    <n v="15452.27"/>
    <n v="5463.87"/>
    <n v="538.36"/>
    <n v="0"/>
    <n v="0"/>
    <n v="0"/>
    <n v="0"/>
    <n v="0"/>
    <n v="95540.069999999992"/>
    <n v="0"/>
  </r>
  <r>
    <x v="5"/>
    <x v="3"/>
    <x v="0"/>
    <s v="3003101"/>
    <n v="700066"/>
    <s v="Salaries-RN-NonProd-Other"/>
    <s v="Med/Surg Observation"/>
    <x v="0"/>
    <n v="2000"/>
    <n v="1349.23"/>
    <n v="1025.6500000000001"/>
    <n v="1591.78"/>
    <n v="1462.14"/>
    <n v="2463.5700000000002"/>
    <n v="-75.040000000000006"/>
    <n v="190.16"/>
    <n v="-332.28"/>
    <n v="1077.33"/>
    <n v="206.83"/>
    <n v="57.48"/>
    <n v="622.96"/>
    <n v="9639.8100000000013"/>
    <n v="-565.48"/>
  </r>
  <r>
    <x v="5"/>
    <x v="3"/>
    <x v="0"/>
    <s v="3003101"/>
    <n v="700072"/>
    <s v="Salaries-Other Pat Care Providers-Non-productive"/>
    <s v="Med/Surg Observation"/>
    <x v="0"/>
    <m/>
    <n v="7678.16"/>
    <n v="11243.91"/>
    <n v="3871.32"/>
    <n v="6701.64"/>
    <n v="4349.57"/>
    <n v="7376.25"/>
    <n v="1273"/>
    <n v="53.57"/>
    <n v="0"/>
    <n v="0"/>
    <n v="0"/>
    <n v="0"/>
    <n v="42547.42"/>
    <n v="0"/>
  </r>
  <r>
    <x v="5"/>
    <x v="3"/>
    <x v="0"/>
    <s v="3003101"/>
    <n v="700072"/>
    <s v="Salaries-Other Pat Care Providers-NonProd-Other"/>
    <s v="Med/Surg Observation"/>
    <x v="0"/>
    <n v="2000"/>
    <n v="432.44"/>
    <n v="399.44"/>
    <n v="134.30000000000001"/>
    <n v="224.21"/>
    <n v="1137.26"/>
    <n v="846.36"/>
    <n v="131.29"/>
    <n v="-1487.16"/>
    <n v="32.880000000000003"/>
    <n v="17.55"/>
    <n v="1.86"/>
    <n v="34.729999999999997"/>
    <n v="1905.16"/>
    <n v="-32.869999999999997"/>
  </r>
  <r>
    <x v="5"/>
    <x v="3"/>
    <x v="0"/>
    <s v="3003101"/>
    <n v="700084"/>
    <s v="Accrued PTO"/>
    <s v="Med/Surg Observation"/>
    <x v="0"/>
    <m/>
    <n v="-5964.33"/>
    <n v="-4325.1899999999996"/>
    <n v="-2132.17"/>
    <n v="4762.71"/>
    <n v="295.17"/>
    <n v="7291.69"/>
    <n v="-6864.87"/>
    <n v="0"/>
    <n v="-26651.3"/>
    <n v="0"/>
    <n v="0"/>
    <n v="0"/>
    <n v="-33588.29"/>
    <n v="0"/>
  </r>
  <r>
    <x v="10"/>
    <x v="3"/>
    <x v="0"/>
    <s v="3003101"/>
    <n v="710060"/>
    <s v="Contract Labor-Other"/>
    <s v="Med/Surg Observation"/>
    <x v="0"/>
    <m/>
    <n v="7654.5"/>
    <n v="3179.75"/>
    <n v="1420"/>
    <n v="5715.5"/>
    <n v="6579.5"/>
    <n v="1704"/>
    <n v="1728"/>
    <n v="5580.75"/>
    <n v="4100.25"/>
    <n v="11949.75"/>
    <n v="15565.5"/>
    <n v="22023.75"/>
    <n v="87201.25"/>
    <n v="-6458.25"/>
  </r>
  <r>
    <x v="10"/>
    <x v="3"/>
    <x v="0"/>
    <s v="3003101"/>
    <n v="710060"/>
    <s v="Contract Labor-Overtime"/>
    <s v="Med/Surg Observation"/>
    <x v="0"/>
    <n v="5100"/>
    <n v="0"/>
    <n v="0"/>
    <n v="0"/>
    <n v="0"/>
    <n v="0"/>
    <n v="0"/>
    <n v="383.4"/>
    <n v="0"/>
    <n v="0"/>
    <n v="0"/>
    <n v="0"/>
    <n v="379.69"/>
    <n v="763.08999999999992"/>
    <n v="-379.69"/>
  </r>
  <r>
    <x v="10"/>
    <x v="3"/>
    <x v="0"/>
    <s v="3003101"/>
    <n v="710060"/>
    <s v="Contract Labor-Standby Wages"/>
    <s v="Med/Surg Observation"/>
    <x v="0"/>
    <n v="5101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3003101"/>
    <n v="713010"/>
    <s v="Benefits-FICA/Medicare"/>
    <s v="Med/Surg Observation"/>
    <x v="0"/>
    <m/>
    <n v="3134.94"/>
    <n v="3497.98"/>
    <n v="5106.7700000000004"/>
    <n v="11048.52"/>
    <n v="2507.54"/>
    <n v="7698.87"/>
    <n v="7275.42"/>
    <n v="7778.4"/>
    <n v="16020.61"/>
    <n v="6537.2"/>
    <n v="4244.57"/>
    <n v="13865.65"/>
    <n v="88716.47"/>
    <n v="-9621.08"/>
  </r>
  <r>
    <x v="6"/>
    <x v="3"/>
    <x v="0"/>
    <s v="3003101"/>
    <n v="713090"/>
    <s v="Benefits-Allocated Amounts"/>
    <s v="Med/Surg Observation"/>
    <x v="0"/>
    <m/>
    <n v="10067.61"/>
    <n v="10527.98"/>
    <n v="16006.23"/>
    <n v="34191.339999999997"/>
    <n v="6820.88"/>
    <n v="23549.07"/>
    <n v="21467.78"/>
    <n v="25383.94"/>
    <n v="42214.239999999998"/>
    <n v="21810.94"/>
    <n v="13820.6"/>
    <n v="44332.57"/>
    <n v="270193.18"/>
    <n v="-30511.97"/>
  </r>
  <r>
    <x v="17"/>
    <x v="3"/>
    <x v="0"/>
    <s v="3003101"/>
    <n v="714520"/>
    <s v="Other Contracted Professionals"/>
    <s v="Med/Surg Observation"/>
    <x v="0"/>
    <m/>
    <n v="0"/>
    <n v="1937.5"/>
    <n v="968.75"/>
    <n v="0"/>
    <n v="0"/>
    <n v="1937.5"/>
    <n v="1937.5"/>
    <n v="968.75"/>
    <n v="968.75"/>
    <n v="968.75"/>
    <n v="968.75"/>
    <n v="968.75"/>
    <n v="11625"/>
    <n v="0"/>
  </r>
  <r>
    <x v="7"/>
    <x v="3"/>
    <x v="0"/>
    <s v="3003101"/>
    <n v="718050"/>
    <s v="Miscellaneous Purchased Svcs"/>
    <s v="Med/Surg Observation"/>
    <x v="0"/>
    <n v="1020"/>
    <n v="0"/>
    <n v="0"/>
    <n v="0"/>
    <n v="0"/>
    <n v="0"/>
    <n v="0"/>
    <n v="0"/>
    <n v="0"/>
    <n v="0"/>
    <n v="0"/>
    <n v="20"/>
    <n v="0"/>
    <n v="20"/>
    <n v="20"/>
  </r>
  <r>
    <x v="7"/>
    <x v="3"/>
    <x v="0"/>
    <s v="3003101"/>
    <n v="718050"/>
    <s v="Translation Services"/>
    <s v="Med/Surg Observation"/>
    <x v="0"/>
    <n v="1025"/>
    <n v="72"/>
    <n v="606.37"/>
    <n v="299.33999999999997"/>
    <n v="96.38"/>
    <n v="0"/>
    <n v="0"/>
    <n v="369.32"/>
    <n v="120"/>
    <n v="155.15"/>
    <n v="0"/>
    <n v="201.47"/>
    <n v="9.48"/>
    <n v="1929.5100000000002"/>
    <n v="191.99"/>
  </r>
  <r>
    <x v="7"/>
    <x v="3"/>
    <x v="0"/>
    <s v="3003101"/>
    <n v="718050"/>
    <s v="Contract Management--Linen"/>
    <s v="Med/Surg Observation"/>
    <x v="0"/>
    <n v="1026"/>
    <n v="2069.5700000000002"/>
    <n v="410.76"/>
    <n v="396.09"/>
    <n v="2371.15"/>
    <n v="911.22"/>
    <n v="1425.17"/>
    <n v="1854.84"/>
    <n v="2242.08"/>
    <n v="1859.53"/>
    <n v="2424.37"/>
    <n v="1945.29"/>
    <n v="2026.32"/>
    <n v="19936.39"/>
    <n v="-81.029999999999973"/>
  </r>
  <r>
    <x v="11"/>
    <x v="3"/>
    <x v="0"/>
    <s v="3003101"/>
    <n v="721010"/>
    <s v="Supplies-Medical - Billable"/>
    <s v="Med/Surg Observation"/>
    <x v="0"/>
    <m/>
    <n v="5.89"/>
    <n v="5.39"/>
    <n v="67.73"/>
    <n v="84.34"/>
    <n v="12.19"/>
    <n v="105.97"/>
    <n v="120.58"/>
    <n v="116.7"/>
    <n v="-142.4"/>
    <n v="18.37"/>
    <n v="19.46"/>
    <n v="82.13"/>
    <n v="496.34999999999997"/>
    <n v="-62.669999999999995"/>
  </r>
  <r>
    <x v="11"/>
    <x v="3"/>
    <x v="0"/>
    <s v="3003101"/>
    <n v="721010"/>
    <s v="Patient Monitoring"/>
    <s v="Med/Surg Observation"/>
    <x v="0"/>
    <n v="1000"/>
    <n v="6.61"/>
    <n v="0"/>
    <n v="32.15"/>
    <n v="57.29"/>
    <n v="19.829999999999998"/>
    <n v="44.07"/>
    <n v="130.63999999999999"/>
    <n v="49.28"/>
    <n v="61.69"/>
    <n v="41.86"/>
    <n v="33.049999999999997"/>
    <n v="37.450000000000003"/>
    <n v="513.92000000000007"/>
    <n v="-4.4000000000000057"/>
  </r>
  <r>
    <x v="11"/>
    <x v="3"/>
    <x v="0"/>
    <s v="3003101"/>
    <n v="721020"/>
    <s v="Supplies-Surgical - Billable"/>
    <s v="Med/Surg Observation"/>
    <x v="0"/>
    <m/>
    <n v="0"/>
    <n v="0"/>
    <n v="0"/>
    <n v="0"/>
    <n v="15.05"/>
    <n v="0"/>
    <n v="106.71"/>
    <n v="0"/>
    <n v="-12.81"/>
    <n v="13.6"/>
    <n v="0"/>
    <n v="-10.49"/>
    <n v="112.05999999999999"/>
    <n v="10.49"/>
  </r>
  <r>
    <x v="11"/>
    <x v="3"/>
    <x v="0"/>
    <s v="3003101"/>
    <n v="721020"/>
    <s v="Tubes Drains &amp; Related Supplies"/>
    <s v="Med/Surg Observation"/>
    <x v="0"/>
    <n v="1008"/>
    <n v="0"/>
    <n v="0"/>
    <n v="0"/>
    <n v="0"/>
    <n v="0"/>
    <n v="0"/>
    <n v="21.03"/>
    <n v="0"/>
    <n v="0"/>
    <n v="0"/>
    <n v="0"/>
    <n v="0"/>
    <n v="21.03"/>
    <n v="0"/>
  </r>
  <r>
    <x v="11"/>
    <x v="3"/>
    <x v="0"/>
    <s v="3003101"/>
    <n v="721240"/>
    <s v="Supplies-IV Solutions/Supplies - Billable"/>
    <s v="Med/Surg Observation"/>
    <x v="0"/>
    <m/>
    <n v="111.25"/>
    <n v="0"/>
    <n v="9.76"/>
    <n v="7.8"/>
    <n v="51.13"/>
    <n v="117.32"/>
    <n v="87.65"/>
    <n v="10.88"/>
    <n v="6.76"/>
    <n v="103.2"/>
    <n v="62.63"/>
    <n v="9.75"/>
    <n v="578.13"/>
    <n v="52.88"/>
  </r>
  <r>
    <x v="11"/>
    <x v="3"/>
    <x v="0"/>
    <s v="3003101"/>
    <n v="721250"/>
    <s v="Supplies-Pharmacy Drugs - Billable"/>
    <s v="Med/Surg Observation"/>
    <x v="0"/>
    <m/>
    <n v="0"/>
    <n v="0"/>
    <n v="0"/>
    <n v="0"/>
    <n v="0"/>
    <n v="0"/>
    <n v="0"/>
    <n v="0"/>
    <n v="5.41"/>
    <n v="0"/>
    <n v="0"/>
    <n v="0"/>
    <n v="5.41"/>
    <n v="0"/>
  </r>
  <r>
    <x v="11"/>
    <x v="3"/>
    <x v="0"/>
    <s v="3003101"/>
    <n v="721410"/>
    <s v="Supplies-Medical - Nonbillable"/>
    <s v="Med/Surg Observation"/>
    <x v="0"/>
    <m/>
    <n v="104.19"/>
    <n v="293.52"/>
    <n v="762.55"/>
    <n v="1364.83"/>
    <n v="327.76"/>
    <n v="930.5"/>
    <n v="1484.28"/>
    <n v="1380.32"/>
    <n v="1693.05"/>
    <n v="1351.35"/>
    <n v="1098.3499999999999"/>
    <n v="1387.82"/>
    <n v="12178.52"/>
    <n v="-289.47000000000003"/>
  </r>
  <r>
    <x v="11"/>
    <x v="3"/>
    <x v="0"/>
    <s v="3003101"/>
    <n v="721420"/>
    <s v="Supplies-Surgical Nonbillable"/>
    <s v="Med/Surg Observation"/>
    <x v="0"/>
    <m/>
    <n v="0"/>
    <n v="0"/>
    <n v="0"/>
    <n v="0"/>
    <n v="0"/>
    <n v="29.68"/>
    <n v="0"/>
    <n v="0"/>
    <n v="-0.12"/>
    <n v="0"/>
    <n v="0"/>
    <n v="0"/>
    <n v="29.56"/>
    <n v="0"/>
  </r>
  <r>
    <x v="11"/>
    <x v="3"/>
    <x v="0"/>
    <s v="3003101"/>
    <n v="721420"/>
    <s v="Tubes Drains &amp; Related Supplies"/>
    <s v="Med/Surg Observation"/>
    <x v="0"/>
    <n v="1008"/>
    <n v="0"/>
    <n v="0"/>
    <n v="1.08"/>
    <n v="0"/>
    <n v="0"/>
    <n v="0"/>
    <n v="7.33"/>
    <n v="0"/>
    <n v="0"/>
    <n v="0"/>
    <n v="0"/>
    <n v="0"/>
    <n v="8.41"/>
    <n v="0"/>
  </r>
  <r>
    <x v="11"/>
    <x v="3"/>
    <x v="0"/>
    <s v="3003101"/>
    <n v="721610"/>
    <s v="Supplies-Anesthesia - Nonbillable"/>
    <s v="Med/Surg Observation"/>
    <x v="0"/>
    <m/>
    <n v="32.549999999999997"/>
    <n v="46.03"/>
    <n v="167.67"/>
    <n v="260.13"/>
    <n v="85.72"/>
    <n v="245.07"/>
    <n v="195.08"/>
    <n v="137.85"/>
    <n v="172.09"/>
    <n v="149.26"/>
    <n v="96.8"/>
    <n v="73.319999999999993"/>
    <n v="1661.5699999999997"/>
    <n v="23.480000000000004"/>
  </r>
  <r>
    <x v="11"/>
    <x v="3"/>
    <x v="0"/>
    <s v="3003101"/>
    <n v="721640"/>
    <s v="Supplies-IV Solutions/Supplies - Nonbillable"/>
    <s v="Med/Surg Observation"/>
    <x v="0"/>
    <m/>
    <n v="39.26"/>
    <n v="10.15"/>
    <n v="228.68"/>
    <n v="416"/>
    <n v="134.4"/>
    <n v="369.03"/>
    <n v="673.28"/>
    <n v="480.74"/>
    <n v="454.77"/>
    <n v="438.77"/>
    <n v="477.82"/>
    <n v="406.1"/>
    <n v="4129"/>
    <n v="71.71999999999997"/>
  </r>
  <r>
    <x v="11"/>
    <x v="3"/>
    <x v="0"/>
    <s v="3003101"/>
    <n v="721650"/>
    <s v="Supplies-Pharmacy Drugs - Nonbillable"/>
    <s v="Med/Surg Observation"/>
    <x v="0"/>
    <m/>
    <n v="0"/>
    <n v="0"/>
    <n v="0.72"/>
    <n v="0.48"/>
    <n v="0"/>
    <n v="1.45"/>
    <n v="0"/>
    <n v="0"/>
    <n v="0"/>
    <n v="0"/>
    <n v="0"/>
    <n v="0"/>
    <n v="2.65"/>
    <n v="0"/>
  </r>
  <r>
    <x v="11"/>
    <x v="3"/>
    <x v="0"/>
    <s v="3003101"/>
    <n v="721710"/>
    <s v="Supplies-Laboratory - Nonbillable"/>
    <s v="Med/Surg Observation"/>
    <x v="0"/>
    <m/>
    <n v="3.84"/>
    <n v="0"/>
    <n v="12.26"/>
    <n v="13.27"/>
    <n v="3.81"/>
    <n v="27.62"/>
    <n v="36.39"/>
    <n v="38.200000000000003"/>
    <n v="29.27"/>
    <n v="15.37"/>
    <n v="12.08"/>
    <n v="25.31"/>
    <n v="217.42000000000002"/>
    <n v="-13.229999999999999"/>
  </r>
  <r>
    <x v="11"/>
    <x v="3"/>
    <x v="0"/>
    <s v="3003101"/>
    <n v="721710"/>
    <s v="Reagents"/>
    <s v="Med/Surg Observation"/>
    <x v="0"/>
    <n v="1000"/>
    <n v="0"/>
    <n v="0"/>
    <n v="0"/>
    <n v="10"/>
    <n v="0"/>
    <n v="2"/>
    <n v="4"/>
    <n v="2"/>
    <n v="6"/>
    <n v="0"/>
    <n v="0"/>
    <n v="0"/>
    <n v="24"/>
    <n v="0"/>
  </r>
  <r>
    <x v="11"/>
    <x v="3"/>
    <x v="0"/>
    <s v="3003101"/>
    <n v="721810"/>
    <s v="Supplies-Dietary/Cafeteria"/>
    <s v="Med/Surg Observation"/>
    <x v="0"/>
    <m/>
    <n v="105.45"/>
    <n v="41.18"/>
    <n v="91.49"/>
    <n v="248.86"/>
    <n v="124.08"/>
    <n v="180.13"/>
    <n v="107.21"/>
    <n v="124.84"/>
    <n v="96.62"/>
    <n v="105.25"/>
    <n v="55.58"/>
    <n v="115.09"/>
    <n v="1395.78"/>
    <n v="-59.510000000000005"/>
  </r>
  <r>
    <x v="11"/>
    <x v="3"/>
    <x v="0"/>
    <s v="3003101"/>
    <n v="721830"/>
    <s v="Supplies-Office"/>
    <s v="Med/Surg Observation"/>
    <x v="0"/>
    <m/>
    <n v="0"/>
    <n v="0"/>
    <n v="241.73"/>
    <n v="200.66"/>
    <n v="0"/>
    <n v="276.31"/>
    <n v="157.06"/>
    <n v="6.88"/>
    <n v="13.77"/>
    <n v="0"/>
    <n v="0"/>
    <n v="221.54"/>
    <n v="1117.95"/>
    <n v="-221.54"/>
  </r>
  <r>
    <x v="11"/>
    <x v="3"/>
    <x v="0"/>
    <s v="3003101"/>
    <n v="721835"/>
    <s v="Supplies-Forms"/>
    <s v="Med/Surg Observation"/>
    <x v="0"/>
    <m/>
    <n v="0"/>
    <n v="0"/>
    <n v="0"/>
    <n v="0"/>
    <n v="205.2"/>
    <n v="0"/>
    <n v="0"/>
    <n v="0"/>
    <n v="0"/>
    <n v="0"/>
    <n v="0"/>
    <n v="89.58"/>
    <n v="294.77999999999997"/>
    <n v="-89.58"/>
  </r>
  <r>
    <x v="11"/>
    <x v="3"/>
    <x v="0"/>
    <s v="3003101"/>
    <n v="721870"/>
    <s v="Supplies-Environmental Services"/>
    <s v="Med/Surg Observation"/>
    <x v="0"/>
    <m/>
    <n v="23.7"/>
    <n v="6.55"/>
    <n v="20.260000000000002"/>
    <n v="57.22"/>
    <n v="34.49"/>
    <n v="103.02"/>
    <n v="58.18"/>
    <n v="64.349999999999994"/>
    <n v="113.01"/>
    <n v="48.93"/>
    <n v="55.56"/>
    <n v="85.73"/>
    <n v="671"/>
    <n v="-30.17"/>
  </r>
  <r>
    <x v="11"/>
    <x v="3"/>
    <x v="0"/>
    <s v="3003101"/>
    <n v="721880"/>
    <s v="Supplies-Linen"/>
    <s v="Med/Surg Observation"/>
    <x v="0"/>
    <m/>
    <n v="0"/>
    <n v="0"/>
    <n v="70.62"/>
    <n v="0"/>
    <n v="3.21"/>
    <n v="35.31"/>
    <n v="9.6300000000000008"/>
    <n v="0"/>
    <n v="12.84"/>
    <n v="9.6300000000000008"/>
    <n v="48.15"/>
    <n v="16.05"/>
    <n v="205.44"/>
    <n v="32.099999999999994"/>
  </r>
  <r>
    <x v="11"/>
    <x v="3"/>
    <x v="0"/>
    <s v="3003101"/>
    <n v="721910"/>
    <s v="Supplies-Small Equipment"/>
    <s v="Med/Surg Observation"/>
    <x v="0"/>
    <m/>
    <n v="55.36"/>
    <n v="0"/>
    <n v="15.5"/>
    <n v="-608.49"/>
    <n v="4735.62"/>
    <n v="3991.34"/>
    <n v="2435.33"/>
    <n v="2919.9"/>
    <n v="1743.91"/>
    <n v="164.87"/>
    <n v="171.23"/>
    <n v="159.75"/>
    <n v="15784.32"/>
    <n v="11.47999999999999"/>
  </r>
  <r>
    <x v="11"/>
    <x v="3"/>
    <x v="0"/>
    <s v="3003101"/>
    <n v="721980"/>
    <s v="Supplies-Other"/>
    <s v="Med/Surg Observation"/>
    <x v="0"/>
    <m/>
    <n v="9127.4699999999993"/>
    <n v="0"/>
    <n v="0"/>
    <n v="3175.06"/>
    <n v="10.8"/>
    <n v="0"/>
    <n v="220.64"/>
    <n v="-9.19"/>
    <n v="0"/>
    <n v="684.82"/>
    <n v="0"/>
    <n v="0"/>
    <n v="13209.599999999997"/>
    <n v="0"/>
  </r>
  <r>
    <x v="11"/>
    <x v="3"/>
    <x v="0"/>
    <s v="3003101"/>
    <n v="722000"/>
    <s v="Supplies-Freight Expense"/>
    <s v="Med/Surg Observation"/>
    <x v="0"/>
    <m/>
    <n v="0"/>
    <n v="0"/>
    <n v="0"/>
    <n v="0"/>
    <n v="0"/>
    <n v="0"/>
    <n v="0"/>
    <n v="8.24"/>
    <n v="0"/>
    <n v="0"/>
    <n v="0"/>
    <n v="0"/>
    <n v="8.24"/>
    <n v="0"/>
  </r>
  <r>
    <x v="12"/>
    <x v="3"/>
    <x v="0"/>
    <s v="3003101"/>
    <n v="730020"/>
    <s v="Rental and Leases-Copier Usage Fees (DO NOT USE)"/>
    <s v="Med/Surg Observation"/>
    <x v="0"/>
    <n v="5100"/>
    <n v="58.04"/>
    <n v="59.35"/>
    <n v="58.69"/>
    <n v="58.7"/>
    <n v="58.69"/>
    <n v="58.7"/>
    <n v="59.21"/>
    <n v="57.51"/>
    <n v="57.39"/>
    <n v="81.87"/>
    <n v="57.51"/>
    <n v="68.39"/>
    <n v="734.05"/>
    <n v="-10.880000000000003"/>
  </r>
  <r>
    <x v="15"/>
    <x v="3"/>
    <x v="0"/>
    <s v="3003101"/>
    <n v="731060"/>
    <s v="Cell Phones"/>
    <s v="Med/Surg Observation"/>
    <x v="0"/>
    <n v="1001"/>
    <n v="0"/>
    <n v="33.03"/>
    <n v="66.069999999999993"/>
    <n v="0"/>
    <n v="32.51"/>
    <n v="33.119999999999997"/>
    <n v="66.19"/>
    <n v="0"/>
    <n v="33.590000000000003"/>
    <n v="66.290000000000006"/>
    <n v="32.5"/>
    <n v="33.159999999999997"/>
    <n v="396.46000000000004"/>
    <n v="-0.65999999999999659"/>
  </r>
  <r>
    <x v="15"/>
    <x v="3"/>
    <x v="0"/>
    <s v="3003101"/>
    <n v="731060"/>
    <s v="Pagers"/>
    <s v="Med/Surg Observation"/>
    <x v="0"/>
    <n v="1002"/>
    <n v="27.53"/>
    <n v="0"/>
    <n v="0"/>
    <n v="0"/>
    <n v="0"/>
    <n v="0"/>
    <n v="0"/>
    <n v="0"/>
    <n v="0"/>
    <n v="0"/>
    <n v="0"/>
    <n v="0"/>
    <n v="27.53"/>
    <n v="0"/>
  </r>
  <r>
    <x v="13"/>
    <x v="3"/>
    <x v="0"/>
    <s v="3003101"/>
    <n v="735060"/>
    <s v="Depreciation-Fixed Equipment"/>
    <s v="Med/Surg Observation"/>
    <x v="0"/>
    <m/>
    <n v="3.26"/>
    <n v="3.25"/>
    <n v="0"/>
    <n v="0"/>
    <n v="0"/>
    <n v="0"/>
    <n v="0"/>
    <n v="0"/>
    <n v="0"/>
    <n v="0"/>
    <n v="0"/>
    <n v="0"/>
    <n v="6.51"/>
    <n v="0"/>
  </r>
  <r>
    <x v="13"/>
    <x v="3"/>
    <x v="0"/>
    <s v="3003101"/>
    <n v="735070"/>
    <s v="Depreciation-Movable Equipment"/>
    <s v="Med/Surg Observation"/>
    <x v="0"/>
    <m/>
    <n v="1111.3"/>
    <n v="1111.22"/>
    <n v="0"/>
    <n v="0"/>
    <n v="0"/>
    <n v="0"/>
    <n v="0"/>
    <n v="0"/>
    <n v="0"/>
    <n v="0"/>
    <n v="0"/>
    <n v="0"/>
    <n v="2222.52"/>
    <n v="0"/>
  </r>
  <r>
    <x v="0"/>
    <x v="3"/>
    <x v="0"/>
    <s v="3003101"/>
    <n v="740020"/>
    <s v="Education-Registration Fees"/>
    <s v="Med/Surg Observation"/>
    <x v="0"/>
    <m/>
    <n v="0"/>
    <n v="175"/>
    <n v="200"/>
    <n v="0"/>
    <n v="260"/>
    <n v="0"/>
    <n v="0"/>
    <n v="0"/>
    <n v="175"/>
    <n v="0"/>
    <n v="0"/>
    <n v="215"/>
    <n v="1025"/>
    <n v="-215"/>
  </r>
  <r>
    <x v="0"/>
    <x v="3"/>
    <x v="0"/>
    <s v="3003101"/>
    <n v="749510"/>
    <s v="Miscellaneous Expenses"/>
    <s v="Med/Surg Observation"/>
    <x v="0"/>
    <m/>
    <n v="0"/>
    <n v="156.71"/>
    <n v="164.85"/>
    <n v="-5.81"/>
    <n v="668.98"/>
    <n v="0"/>
    <n v="1201.22"/>
    <n v="127.17"/>
    <n v="32.979999999999997"/>
    <n v="0"/>
    <n v="-79.02"/>
    <n v="66.02"/>
    <n v="2333.1"/>
    <n v="-145.04"/>
  </r>
  <r>
    <x v="18"/>
    <x v="0"/>
    <x v="0"/>
    <s v="3003102"/>
    <n v="400010"/>
    <s v="Acute I/P Svcs Rev--Medicare"/>
    <s v="3rd West Med/Surg"/>
    <x v="0"/>
    <n v="1100"/>
    <n v="-481528.48"/>
    <n v="-778513.21"/>
    <n v="-549145.49"/>
    <n v="-587805.26"/>
    <n v="-483730.06"/>
    <n v="-598489.23"/>
    <n v="-542186.19999999995"/>
    <n v="-504205.39"/>
    <n v="-525784.16"/>
    <n v="-538365.02"/>
    <n v="-631578.97"/>
    <n v="-513218.76"/>
    <n v="-6734550.2299999995"/>
    <n v="-118360.20999999996"/>
  </r>
  <r>
    <x v="18"/>
    <x v="0"/>
    <x v="0"/>
    <s v="3003102"/>
    <n v="400010"/>
    <s v="Acute I/P Svcs Rev--Medicaid"/>
    <s v="3rd West Med/Surg"/>
    <x v="0"/>
    <n v="1200"/>
    <n v="-125925.87"/>
    <n v="-56544.71"/>
    <n v="-256031.74"/>
    <n v="-150944.73000000001"/>
    <n v="-195529.47"/>
    <n v="-194443.25"/>
    <n v="-248462.17"/>
    <n v="-147513.5"/>
    <n v="-181075.9"/>
    <n v="-203552.18"/>
    <n v="-127909.92"/>
    <n v="-195036.29"/>
    <n v="-2082969.7299999997"/>
    <n v="67126.37000000001"/>
  </r>
  <r>
    <x v="18"/>
    <x v="0"/>
    <x v="0"/>
    <s v="3003102"/>
    <n v="400010"/>
    <s v="Acute I/P Svcs Rev--Comm Insurance"/>
    <s v="3rd West Med/Surg"/>
    <x v="0"/>
    <n v="1300"/>
    <n v="-35697"/>
    <n v="-14769.73"/>
    <n v="0"/>
    <n v="-29384.02"/>
    <n v="26213.02"/>
    <n v="0"/>
    <n v="-23605.78"/>
    <n v="-3294.39"/>
    <n v="11841.84"/>
    <n v="-20485.669999999998"/>
    <n v="0"/>
    <n v="-3155"/>
    <n v="-92336.73"/>
    <n v="3155"/>
  </r>
  <r>
    <x v="18"/>
    <x v="0"/>
    <x v="0"/>
    <s v="3003102"/>
    <n v="400010"/>
    <s v="Acute I/P Svcs Rev--BCBS Comm"/>
    <s v="3rd West Med/Surg"/>
    <x v="0"/>
    <n v="1301"/>
    <n v="0"/>
    <n v="-12650.22"/>
    <n v="-13173.33"/>
    <n v="-10504.24"/>
    <n v="-39713.01"/>
    <n v="-13971.18"/>
    <n v="-27289.63"/>
    <n v="-20194.32"/>
    <n v="-12252"/>
    <n v="-27221.1"/>
    <n v="1403.77"/>
    <n v="-49433.25"/>
    <n v="-224998.51000000004"/>
    <n v="50837.02"/>
  </r>
  <r>
    <x v="18"/>
    <x v="0"/>
    <x v="0"/>
    <s v="3003102"/>
    <n v="400010"/>
    <s v="Acute I/P Svcs Rev--Managed Care"/>
    <s v="3rd West Med/Surg"/>
    <x v="0"/>
    <n v="1400"/>
    <n v="-31136.22"/>
    <n v="902.63"/>
    <n v="-29758.06"/>
    <n v="-102065.84"/>
    <n v="-130795.62"/>
    <n v="-83401.09"/>
    <n v="-114352.7"/>
    <n v="-94490.21"/>
    <n v="-240909.2"/>
    <n v="-116777.93"/>
    <n v="-72854.509999999995"/>
    <n v="-66450.5"/>
    <n v="-1082089.25"/>
    <n v="-6404.0099999999948"/>
  </r>
  <r>
    <x v="18"/>
    <x v="0"/>
    <x v="0"/>
    <s v="3003102"/>
    <n v="400010"/>
    <s v="Acute I/P Svcs Rev--Self Pay"/>
    <s v="3rd West Med/Surg"/>
    <x v="0"/>
    <n v="1500"/>
    <n v="-9631.48"/>
    <n v="0"/>
    <n v="-15979.66"/>
    <n v="25611.14"/>
    <n v="-3063"/>
    <n v="0"/>
    <n v="-3262.11"/>
    <n v="-32455.45"/>
    <n v="-39504.53"/>
    <n v="-14485.3"/>
    <n v="-10824.6"/>
    <n v="-10208.16"/>
    <n v="-113803.15000000001"/>
    <n v="-616.44000000000051"/>
  </r>
  <r>
    <x v="18"/>
    <x v="0"/>
    <x v="0"/>
    <s v="3003102"/>
    <n v="400010"/>
    <s v="Acute I/P Svcs Rev--Other"/>
    <s v="3rd West Med/Surg"/>
    <x v="0"/>
    <n v="1700"/>
    <n v="-35728.69"/>
    <n v="-9621"/>
    <n v="-21964.11"/>
    <n v="0"/>
    <n v="-3063"/>
    <n v="-12684"/>
    <n v="-562.41"/>
    <n v="-21410"/>
    <n v="0"/>
    <n v="-30893.200000000001"/>
    <n v="-20713.07"/>
    <n v="-22248.33"/>
    <n v="-178887.81"/>
    <n v="1535.260000000002"/>
  </r>
  <r>
    <x v="19"/>
    <x v="0"/>
    <x v="0"/>
    <s v="3003102"/>
    <n v="400020"/>
    <s v="O/P Care Svcs Rev--Medicare"/>
    <s v="3rd West Med/Surg"/>
    <x v="0"/>
    <n v="1100"/>
    <n v="-112702.76"/>
    <n v="-23565.73"/>
    <n v="-55457.91"/>
    <n v="-90628.69"/>
    <n v="-107625.13"/>
    <n v="-21180.68"/>
    <n v="-32190.46"/>
    <n v="-46199.05"/>
    <n v="-65692.289999999994"/>
    <n v="-24405.119999999999"/>
    <n v="-52976.88"/>
    <n v="-75027.02"/>
    <n v="-707651.72"/>
    <n v="22050.140000000007"/>
  </r>
  <r>
    <x v="19"/>
    <x v="0"/>
    <x v="0"/>
    <s v="3003102"/>
    <n v="400020"/>
    <s v="O/P Care Svcs Rev--Medicaid"/>
    <s v="3rd West Med/Surg"/>
    <x v="0"/>
    <n v="1200"/>
    <n v="-61689.89"/>
    <n v="-8739.01"/>
    <n v="-7407.71"/>
    <n v="-47622.41"/>
    <n v="-396.39"/>
    <n v="-34679.71"/>
    <n v="-40172.51"/>
    <n v="-17939.54"/>
    <n v="-41162.36"/>
    <n v="-6014.17"/>
    <n v="-70454.7"/>
    <n v="-51140.28"/>
    <n v="-387418.68000000005"/>
    <n v="-19314.419999999998"/>
  </r>
  <r>
    <x v="19"/>
    <x v="0"/>
    <x v="0"/>
    <s v="3003102"/>
    <n v="400020"/>
    <s v="O/P Care Svcs Rev--Comm Insurance"/>
    <s v="3rd West Med/Surg"/>
    <x v="0"/>
    <n v="1300"/>
    <n v="-136.18"/>
    <n v="-35489.68"/>
    <n v="0"/>
    <n v="-2823.19"/>
    <n v="2823.19"/>
    <n v="0"/>
    <n v="0"/>
    <n v="-25792.720000000001"/>
    <n v="-8831.2800000000007"/>
    <n v="-3154.56"/>
    <n v="394.32"/>
    <n v="0"/>
    <n v="-73010.099999999991"/>
    <n v="394.32"/>
  </r>
  <r>
    <x v="19"/>
    <x v="0"/>
    <x v="0"/>
    <s v="3003102"/>
    <n v="400020"/>
    <s v="O/P Care Svcs Rev--BCBS Comm"/>
    <s v="3rd West Med/Surg"/>
    <x v="0"/>
    <n v="1301"/>
    <n v="-10149.99"/>
    <n v="0"/>
    <n v="0"/>
    <n v="0"/>
    <n v="-3142.56"/>
    <n v="-1021.04"/>
    <n v="0"/>
    <n v="0"/>
    <n v="-1372.61"/>
    <n v="1435.56"/>
    <n v="-10886.18"/>
    <n v="-3154.56"/>
    <n v="-28291.38"/>
    <n v="-7731.6200000000008"/>
  </r>
  <r>
    <x v="19"/>
    <x v="0"/>
    <x v="0"/>
    <s v="3003102"/>
    <n v="400020"/>
    <s v="O/P Care Svcs Rev--Managed Care"/>
    <s v="3rd West Med/Surg"/>
    <x v="0"/>
    <n v="1400"/>
    <n v="-17656.09"/>
    <n v="-16296.72"/>
    <n v="-3811.23"/>
    <n v="-12977.21"/>
    <n v="-27667.74"/>
    <n v="-9587.18"/>
    <n v="-11186.14"/>
    <n v="-21891.86"/>
    <n v="131.44"/>
    <n v="-27186.080000000002"/>
    <n v="-11731.54"/>
    <n v="-5182.3"/>
    <n v="-165042.65"/>
    <n v="-6549.2400000000007"/>
  </r>
  <r>
    <x v="19"/>
    <x v="0"/>
    <x v="0"/>
    <s v="3003102"/>
    <n v="400020"/>
    <s v="O/P Care Svcs Rev--Self Pay"/>
    <s v="3rd West Med/Surg"/>
    <x v="0"/>
    <n v="1500"/>
    <n v="0"/>
    <n v="0"/>
    <n v="0"/>
    <n v="0"/>
    <n v="-18533.98"/>
    <n v="-2552.6"/>
    <n v="0"/>
    <n v="-9446.52"/>
    <n v="9446.52"/>
    <n v="-2177.2800000000002"/>
    <n v="0"/>
    <n v="-1632.96"/>
    <n v="-24896.819999999996"/>
    <n v="1632.96"/>
  </r>
  <r>
    <x v="19"/>
    <x v="0"/>
    <x v="0"/>
    <s v="3003102"/>
    <n v="400020"/>
    <s v="O/P Care Svcs Rev--Other"/>
    <s v="3rd West Med/Surg"/>
    <x v="0"/>
    <n v="1700"/>
    <n v="0"/>
    <n v="0"/>
    <n v="0"/>
    <n v="-18571.099999999999"/>
    <n v="18571.099999999999"/>
    <n v="0"/>
    <n v="0"/>
    <n v="0"/>
    <n v="-3753.96"/>
    <n v="3753.96"/>
    <n v="-5776.22"/>
    <n v="-220.31"/>
    <n v="-5996.5300000000007"/>
    <n v="-5555.91"/>
  </r>
  <r>
    <x v="14"/>
    <x v="0"/>
    <x v="0"/>
    <s v="3003102"/>
    <n v="600050"/>
    <s v="Miscellaneous Revenue"/>
    <s v="3rd West Med/Surg"/>
    <x v="0"/>
    <m/>
    <n v="0"/>
    <n v="0"/>
    <n v="0"/>
    <n v="0"/>
    <n v="0"/>
    <n v="0"/>
    <n v="0"/>
    <n v="0"/>
    <n v="0"/>
    <n v="0"/>
    <n v="-3000"/>
    <n v="-3000"/>
    <n v="-6000"/>
    <n v="0"/>
  </r>
  <r>
    <x v="5"/>
    <x v="0"/>
    <x v="0"/>
    <s v="3003102"/>
    <n v="700014"/>
    <s v="Salaries-Management-Productive"/>
    <s v="3rd West Med/Surg"/>
    <x v="0"/>
    <m/>
    <n v="11203.85"/>
    <n v="940.15"/>
    <n v="12505.28"/>
    <n v="10901.21"/>
    <n v="10088.26"/>
    <n v="9792.9599999999991"/>
    <n v="10511.44"/>
    <n v="10362.370000000001"/>
    <n v="10954.58"/>
    <n v="11102.26"/>
    <n v="2849.92"/>
    <n v="10917.55"/>
    <n v="112129.82999999999"/>
    <n v="-8067.6299999999992"/>
  </r>
  <r>
    <x v="5"/>
    <x v="0"/>
    <x v="0"/>
    <s v="3003102"/>
    <n v="700026"/>
    <s v="Salaries-RN-Productive"/>
    <s v="3rd West Med/Surg"/>
    <x v="0"/>
    <m/>
    <n v="74361.62"/>
    <n v="85520.93"/>
    <n v="84620.17"/>
    <n v="80854.509999999995"/>
    <n v="94591.2"/>
    <n v="90994.25"/>
    <n v="88825.26"/>
    <n v="82748.679999999993"/>
    <n v="88217.68"/>
    <n v="82371.350000000006"/>
    <n v="101336.93"/>
    <n v="96189.17"/>
    <n v="1050631.7499999998"/>
    <n v="5147.7599999999948"/>
  </r>
  <r>
    <x v="5"/>
    <x v="0"/>
    <x v="0"/>
    <s v="3003102"/>
    <n v="700026"/>
    <s v="Salaries-RN-OT"/>
    <s v="3rd West Med/Surg"/>
    <x v="0"/>
    <n v="1000"/>
    <n v="1035.3499999999999"/>
    <n v="1851.27"/>
    <n v="1991.43"/>
    <n v="1645.91"/>
    <n v="1072.97"/>
    <n v="5580.72"/>
    <n v="2195.27"/>
    <n v="2129"/>
    <n v="3964.46"/>
    <n v="5324.39"/>
    <n v="2429.15"/>
    <n v="2915.58"/>
    <n v="32135.5"/>
    <n v="-486.42999999999984"/>
  </r>
  <r>
    <x v="5"/>
    <x v="0"/>
    <x v="0"/>
    <s v="3003102"/>
    <n v="700026"/>
    <s v="Salaries-RN-Other"/>
    <s v="3rd West Med/Surg"/>
    <x v="0"/>
    <n v="2000"/>
    <n v="7187.49"/>
    <n v="7919.6"/>
    <n v="8327.81"/>
    <n v="9050.4"/>
    <n v="11231.24"/>
    <n v="11634.17"/>
    <n v="12195.27"/>
    <n v="11083.24"/>
    <n v="12154.85"/>
    <n v="11350.18"/>
    <n v="15293.43"/>
    <n v="13350.3"/>
    <n v="130777.98"/>
    <n v="1943.130000000001"/>
  </r>
  <r>
    <x v="5"/>
    <x v="0"/>
    <x v="0"/>
    <s v="3003102"/>
    <n v="700030"/>
    <s v="Salaries-LPN-Productive"/>
    <s v="3rd West Med/Surg"/>
    <x v="0"/>
    <m/>
    <n v="0"/>
    <n v="0"/>
    <n v="0"/>
    <n v="0"/>
    <n v="0"/>
    <n v="0"/>
    <n v="0"/>
    <n v="0"/>
    <n v="0"/>
    <n v="0"/>
    <n v="0"/>
    <n v="93.3"/>
    <n v="93.3"/>
    <n v="-93.3"/>
  </r>
  <r>
    <x v="5"/>
    <x v="0"/>
    <x v="0"/>
    <s v="3003102"/>
    <n v="700030"/>
    <s v="Salaries-LPN-Other"/>
    <s v="3rd West Med/Surg"/>
    <x v="0"/>
    <n v="2000"/>
    <n v="0"/>
    <n v="0"/>
    <n v="0"/>
    <n v="0"/>
    <n v="36.409999999999997"/>
    <n v="34.78"/>
    <n v="47.25"/>
    <n v="-12.42"/>
    <n v="34.83"/>
    <n v="0"/>
    <n v="0"/>
    <n v="13.99"/>
    <n v="154.84"/>
    <n v="-13.99"/>
  </r>
  <r>
    <x v="5"/>
    <x v="0"/>
    <x v="0"/>
    <s v="3003102"/>
    <n v="700032"/>
    <s v="Salaries-Other Pat Care Providers-Productive"/>
    <s v="3rd West Med/Surg"/>
    <x v="0"/>
    <m/>
    <n v="11360.61"/>
    <n v="11319.67"/>
    <n v="8844.7900000000009"/>
    <n v="13116.1"/>
    <n v="11971.66"/>
    <n v="15048.03"/>
    <n v="14169.83"/>
    <n v="13825.84"/>
    <n v="21565.43"/>
    <n v="10233.65"/>
    <n v="15729.6"/>
    <n v="15195.29"/>
    <n v="162380.5"/>
    <n v="534.30999999999949"/>
  </r>
  <r>
    <x v="5"/>
    <x v="0"/>
    <x v="0"/>
    <s v="3003102"/>
    <n v="700032"/>
    <s v="Salaries-Other Pat Care Providers-OT"/>
    <s v="3rd West Med/Surg"/>
    <x v="0"/>
    <n v="1000"/>
    <n v="337.07"/>
    <n v="548.24"/>
    <n v="242.76"/>
    <n v="-38.380000000000003"/>
    <n v="-180.92"/>
    <n v="513.71"/>
    <n v="891.46"/>
    <n v="989.94"/>
    <n v="1723.34"/>
    <n v="1261.74"/>
    <n v="-141.24"/>
    <n v="416.24"/>
    <n v="6563.96"/>
    <n v="-557.48"/>
  </r>
  <r>
    <x v="5"/>
    <x v="0"/>
    <x v="0"/>
    <s v="3003102"/>
    <n v="700032"/>
    <s v="Salaries-Other Pat Care Providers-Other"/>
    <s v="3rd West Med/Surg"/>
    <x v="0"/>
    <n v="2000"/>
    <n v="1288.43"/>
    <n v="965.76"/>
    <n v="1235.5999999999999"/>
    <n v="2270.87"/>
    <n v="1586.84"/>
    <n v="3062.52"/>
    <n v="2633.64"/>
    <n v="3060.15"/>
    <n v="3741.39"/>
    <n v="3258.05"/>
    <n v="3218.64"/>
    <n v="3647.22"/>
    <n v="29969.11"/>
    <n v="-428.57999999999993"/>
  </r>
  <r>
    <x v="5"/>
    <x v="0"/>
    <x v="0"/>
    <s v="3003102"/>
    <n v="700054"/>
    <s v="Salaries-Management-Non-productive"/>
    <s v="3rd West Med/Surg"/>
    <x v="0"/>
    <m/>
    <n v="0"/>
    <n v="10264.209999999999"/>
    <n v="-1662.21"/>
    <n v="506"/>
    <n v="997.72"/>
    <n v="1662.95"/>
    <n v="962.36"/>
    <n v="0"/>
    <n v="518.12"/>
    <n v="0"/>
    <n v="8622.77"/>
    <n v="185.24"/>
    <n v="22057.160000000003"/>
    <n v="8437.5300000000007"/>
  </r>
  <r>
    <x v="5"/>
    <x v="0"/>
    <x v="0"/>
    <s v="3003102"/>
    <n v="700054"/>
    <s v="Salaries-Management-NonProd-Other"/>
    <s v="3rd West Med/Surg"/>
    <x v="0"/>
    <n v="2000"/>
    <n v="0"/>
    <n v="0"/>
    <n v="0"/>
    <n v="0"/>
    <n v="477.61"/>
    <n v="2964.79"/>
    <n v="-2009.57"/>
    <n v="-1432.83"/>
    <n v="0"/>
    <n v="0"/>
    <n v="0"/>
    <n v="0"/>
    <n v="2.2737367544323206E-13"/>
    <n v="0"/>
  </r>
  <r>
    <x v="5"/>
    <x v="0"/>
    <x v="0"/>
    <s v="3003102"/>
    <n v="700066"/>
    <s v="Salaries-RN-Non-productive"/>
    <s v="3rd West Med/Surg"/>
    <x v="0"/>
    <m/>
    <n v="8824.77"/>
    <n v="10216.379999999999"/>
    <n v="3357.75"/>
    <n v="3365.71"/>
    <n v="2674.78"/>
    <n v="8869.23"/>
    <n v="13178.38"/>
    <n v="10749.73"/>
    <n v="9545.36"/>
    <n v="4753.2299999999996"/>
    <n v="15947.57"/>
    <n v="10231.93"/>
    <n v="101714.81999999998"/>
    <n v="5715.6399999999994"/>
  </r>
  <r>
    <x v="5"/>
    <x v="0"/>
    <x v="0"/>
    <s v="3003102"/>
    <n v="700066"/>
    <s v="Salaries-RN-NonProd-Other"/>
    <s v="3rd West Med/Surg"/>
    <x v="0"/>
    <n v="2000"/>
    <n v="297.32"/>
    <n v="306.02999999999997"/>
    <n v="545.46"/>
    <n v="639.59"/>
    <n v="-159.29"/>
    <n v="591.89"/>
    <n v="1112.67"/>
    <n v="933.77"/>
    <n v="815.58"/>
    <n v="205.4"/>
    <n v="1051"/>
    <n v="1064.8"/>
    <n v="7404.22"/>
    <n v="-13.799999999999955"/>
  </r>
  <r>
    <x v="5"/>
    <x v="0"/>
    <x v="0"/>
    <s v="3003102"/>
    <n v="700072"/>
    <s v="Salaries-Other Pat Care Providers-Non-productive"/>
    <s v="3rd West Med/Surg"/>
    <x v="0"/>
    <m/>
    <n v="2119.75"/>
    <n v="1603.24"/>
    <n v="232.32"/>
    <n v="2151.8000000000002"/>
    <n v="901.12"/>
    <n v="2792.45"/>
    <n v="2122.08"/>
    <n v="2440.6"/>
    <n v="2335.9"/>
    <n v="-240.82"/>
    <n v="4228.3500000000004"/>
    <n v="1796.84"/>
    <n v="22483.63"/>
    <n v="2431.5100000000002"/>
  </r>
  <r>
    <x v="5"/>
    <x v="0"/>
    <x v="0"/>
    <s v="3003102"/>
    <n v="700072"/>
    <s v="Salaries-Other Pat Care Providers-NonProd-Other"/>
    <s v="3rd West Med/Surg"/>
    <x v="0"/>
    <n v="2000"/>
    <n v="133.83000000000001"/>
    <n v="99.75"/>
    <n v="46.28"/>
    <n v="163.44"/>
    <n v="46.07"/>
    <n v="36.85"/>
    <n v="105.19"/>
    <n v="7.45"/>
    <n v="-18.440000000000001"/>
    <n v="21.54"/>
    <n v="419.86"/>
    <n v="112.02"/>
    <n v="1173.8400000000001"/>
    <n v="307.84000000000003"/>
  </r>
  <r>
    <x v="5"/>
    <x v="0"/>
    <x v="0"/>
    <s v="3003102"/>
    <n v="700084"/>
    <s v="Accrued PTO"/>
    <s v="3rd West Med/Surg"/>
    <x v="0"/>
    <m/>
    <n v="-1300.3"/>
    <n v="-8696.06"/>
    <n v="6769.72"/>
    <n v="18401.310000000001"/>
    <n v="8081.37"/>
    <n v="5874.07"/>
    <n v="-4679.7"/>
    <n v="-1281.42"/>
    <n v="268.49"/>
    <n v="6150.21"/>
    <n v="-6710.67"/>
    <n v="431.32"/>
    <n v="23308.339999999997"/>
    <n v="-7141.99"/>
  </r>
  <r>
    <x v="10"/>
    <x v="0"/>
    <x v="0"/>
    <s v="3003102"/>
    <n v="710060"/>
    <s v="Contract Labor-Other"/>
    <s v="3rd West Med/Surg"/>
    <x v="0"/>
    <m/>
    <n v="4760.5"/>
    <n v="-0.5"/>
    <n v="0"/>
    <n v="843"/>
    <n v="0"/>
    <n v="0"/>
    <n v="0"/>
    <n v="0"/>
    <n v="0"/>
    <n v="0"/>
    <n v="0"/>
    <n v="0"/>
    <n v="5603"/>
    <n v="0"/>
  </r>
  <r>
    <x v="10"/>
    <x v="0"/>
    <x v="0"/>
    <s v="3003102"/>
    <n v="710060"/>
    <s v="Contract Labor-Overtime"/>
    <s v="3rd West Med/Surg"/>
    <x v="0"/>
    <n v="5100"/>
    <n v="1055.7"/>
    <n v="0"/>
    <n v="0"/>
    <n v="0"/>
    <n v="0"/>
    <n v="0"/>
    <n v="0"/>
    <n v="0"/>
    <n v="0"/>
    <n v="0"/>
    <n v="0"/>
    <n v="0"/>
    <n v="1055.7"/>
    <n v="0"/>
  </r>
  <r>
    <x v="6"/>
    <x v="0"/>
    <x v="0"/>
    <s v="3003102"/>
    <n v="713010"/>
    <s v="Benefits-FICA/Medicare"/>
    <s v="3rd West Med/Surg"/>
    <x v="0"/>
    <m/>
    <n v="8716.2999999999993"/>
    <n v="9618.4"/>
    <n v="8810.15"/>
    <n v="8943.16"/>
    <n v="9768.89"/>
    <n v="11106.88"/>
    <n v="11217.97"/>
    <n v="10283.969999999999"/>
    <n v="11862.62"/>
    <n v="9517.2900000000009"/>
    <n v="13058.42"/>
    <n v="12081.25"/>
    <n v="124985.29999999997"/>
    <n v="977.17000000000007"/>
  </r>
  <r>
    <x v="6"/>
    <x v="0"/>
    <x v="0"/>
    <s v="3003102"/>
    <n v="713090"/>
    <s v="Benefits-Allocated Amounts"/>
    <s v="3rd West Med/Surg"/>
    <x v="0"/>
    <m/>
    <n v="23354.21"/>
    <n v="22622.03"/>
    <n v="22312.14"/>
    <n v="23653.8"/>
    <n v="24405.62"/>
    <n v="27011.31"/>
    <n v="27904.9"/>
    <n v="27275.63"/>
    <n v="29434.47"/>
    <n v="25646.65"/>
    <n v="30081.62"/>
    <n v="29171.27"/>
    <n v="312873.65000000002"/>
    <n v="910.34999999999854"/>
  </r>
  <r>
    <x v="6"/>
    <x v="0"/>
    <x v="0"/>
    <s v="3003102"/>
    <n v="713096"/>
    <s v="Employee Recognition"/>
    <s v="3rd West Med/Surg"/>
    <x v="0"/>
    <n v="1017"/>
    <n v="0"/>
    <n v="0"/>
    <n v="162.15"/>
    <n v="0"/>
    <n v="0"/>
    <n v="74.28"/>
    <n v="0"/>
    <n v="0"/>
    <n v="0"/>
    <n v="0"/>
    <n v="39.979999999999997"/>
    <n v="329"/>
    <n v="605.41000000000008"/>
    <n v="-289.02"/>
  </r>
  <r>
    <x v="7"/>
    <x v="0"/>
    <x v="0"/>
    <s v="3003102"/>
    <n v="718050"/>
    <s v="Contract Svcs-Other"/>
    <s v="3rd West Med/Surg"/>
    <x v="0"/>
    <m/>
    <n v="2072.58"/>
    <n v="888.27"/>
    <n v="0"/>
    <n v="210.25"/>
    <n v="0"/>
    <n v="0"/>
    <n v="428.18"/>
    <n v="380.05"/>
    <n v="0"/>
    <n v="795.3"/>
    <n v="0"/>
    <n v="0"/>
    <n v="4774.63"/>
    <n v="0"/>
  </r>
  <r>
    <x v="7"/>
    <x v="0"/>
    <x v="0"/>
    <s v="3003102"/>
    <n v="718050"/>
    <s v="Miscellaneous Purchased Svcs"/>
    <s v="3rd West Med/Surg"/>
    <x v="0"/>
    <n v="1020"/>
    <n v="0"/>
    <n v="0"/>
    <n v="0"/>
    <n v="1141.0899999999999"/>
    <n v="0"/>
    <n v="1141.0899999999999"/>
    <n v="0"/>
    <n v="0"/>
    <n v="0"/>
    <n v="0"/>
    <n v="3759.16"/>
    <n v="0"/>
    <n v="6041.34"/>
    <n v="3759.16"/>
  </r>
  <r>
    <x v="7"/>
    <x v="0"/>
    <x v="0"/>
    <s v="3003102"/>
    <n v="718050"/>
    <s v="Translation Services"/>
    <s v="3rd West Med/Surg"/>
    <x v="0"/>
    <n v="1025"/>
    <n v="0"/>
    <n v="119.07"/>
    <n v="396.94"/>
    <n v="35.64"/>
    <n v="0"/>
    <n v="33.21"/>
    <n v="46.98"/>
    <n v="97.01"/>
    <n v="63.18"/>
    <n v="0"/>
    <n v="0"/>
    <n v="0"/>
    <n v="792.03"/>
    <n v="0"/>
  </r>
  <r>
    <x v="7"/>
    <x v="0"/>
    <x v="0"/>
    <s v="3003102"/>
    <n v="718050"/>
    <s v="Contract Management--Linen"/>
    <s v="3rd West Med/Surg"/>
    <x v="0"/>
    <n v="1026"/>
    <n v="1481.95"/>
    <n v="1989.31"/>
    <n v="2198.4899999999998"/>
    <n v="1464.26"/>
    <n v="2220.0700000000002"/>
    <n v="1453.16"/>
    <n v="1638.21"/>
    <n v="2459.5100000000002"/>
    <n v="2525.0100000000002"/>
    <n v="2079.31"/>
    <n v="3007.81"/>
    <n v="1582.83"/>
    <n v="24099.920000000006"/>
    <n v="1424.98"/>
  </r>
  <r>
    <x v="11"/>
    <x v="0"/>
    <x v="0"/>
    <s v="3003102"/>
    <n v="721010"/>
    <s v="Supplies-Medical - Billable"/>
    <s v="3rd West Med/Surg"/>
    <x v="0"/>
    <m/>
    <n v="755.52"/>
    <n v="755.02"/>
    <n v="684.54"/>
    <n v="957.65"/>
    <n v="1376.08"/>
    <n v="1259.2"/>
    <n v="783.98"/>
    <n v="711.96"/>
    <n v="1548.91"/>
    <n v="1513.55"/>
    <n v="821.54"/>
    <n v="1004.2"/>
    <n v="12172.150000000001"/>
    <n v="-182.66000000000008"/>
  </r>
  <r>
    <x v="11"/>
    <x v="0"/>
    <x v="0"/>
    <s v="3003102"/>
    <n v="721010"/>
    <s v="Patient Monitoring"/>
    <s v="3rd West Med/Surg"/>
    <x v="0"/>
    <n v="1000"/>
    <n v="50.88"/>
    <n v="12.72"/>
    <n v="31.8"/>
    <n v="22.26"/>
    <n v="636.38"/>
    <n v="44.85"/>
    <n v="12.72"/>
    <n v="63.93"/>
    <n v="93.93"/>
    <n v="76.319999999999993"/>
    <n v="44.52"/>
    <n v="28.62"/>
    <n v="1118.9299999999998"/>
    <n v="15.900000000000002"/>
  </r>
  <r>
    <x v="11"/>
    <x v="0"/>
    <x v="0"/>
    <s v="3003102"/>
    <n v="721020"/>
    <s v="Supplies-Surgical - Billable"/>
    <s v="3rd West Med/Surg"/>
    <x v="0"/>
    <m/>
    <n v="54.93"/>
    <n v="159.44999999999999"/>
    <n v="70.95"/>
    <n v="302.66000000000003"/>
    <n v="200.61"/>
    <n v="257.83"/>
    <n v="32.9"/>
    <n v="174.5"/>
    <n v="239.67"/>
    <n v="521.37"/>
    <n v="131.6"/>
    <n v="277.51"/>
    <n v="2423.9800000000005"/>
    <n v="-145.91"/>
  </r>
  <r>
    <x v="11"/>
    <x v="0"/>
    <x v="0"/>
    <s v="3003102"/>
    <n v="721020"/>
    <s v="Tubes Drains &amp; Related Supplies"/>
    <s v="3rd West Med/Surg"/>
    <x v="0"/>
    <n v="1008"/>
    <n v="13.43"/>
    <n v="0"/>
    <n v="0"/>
    <n v="0"/>
    <n v="13.43"/>
    <n v="26.86"/>
    <n v="0"/>
    <n v="0"/>
    <n v="0"/>
    <n v="55.92"/>
    <n v="0"/>
    <n v="0"/>
    <n v="109.64"/>
    <n v="0"/>
  </r>
  <r>
    <x v="11"/>
    <x v="0"/>
    <x v="0"/>
    <s v="3003102"/>
    <n v="721240"/>
    <s v="Supplies-IV Solutions/Supplies - Billable"/>
    <s v="3rd West Med/Surg"/>
    <x v="0"/>
    <m/>
    <n v="377.05"/>
    <n v="475.66"/>
    <n v="593.98"/>
    <n v="421.65"/>
    <n v="666.72"/>
    <n v="467.82"/>
    <n v="582.23"/>
    <n v="673.85"/>
    <n v="553.71"/>
    <n v="643.74"/>
    <n v="443.19"/>
    <n v="587.02"/>
    <n v="6486.6200000000008"/>
    <n v="-143.82999999999998"/>
  </r>
  <r>
    <x v="11"/>
    <x v="0"/>
    <x v="0"/>
    <s v="3003102"/>
    <n v="721250"/>
    <s v="Supplies-Pharmacy Drugs - Billable"/>
    <s v="3rd West Med/Surg"/>
    <x v="0"/>
    <m/>
    <n v="0"/>
    <n v="0"/>
    <n v="0"/>
    <n v="0"/>
    <n v="0.9"/>
    <n v="0"/>
    <n v="0"/>
    <n v="0"/>
    <n v="0"/>
    <n v="0"/>
    <n v="0"/>
    <n v="0"/>
    <n v="0.9"/>
    <n v="0"/>
  </r>
  <r>
    <x v="11"/>
    <x v="0"/>
    <x v="0"/>
    <s v="3003102"/>
    <n v="721410"/>
    <s v="Supplies-Medical - Nonbillable"/>
    <s v="3rd West Med/Surg"/>
    <x v="0"/>
    <m/>
    <n v="4017.85"/>
    <n v="3145.99"/>
    <n v="3588.11"/>
    <n v="4428.33"/>
    <n v="4682.95"/>
    <n v="5385.96"/>
    <n v="3857.66"/>
    <n v="3523.65"/>
    <n v="4372.28"/>
    <n v="9547.2800000000007"/>
    <n v="4889.7299999999996"/>
    <n v="4766.1899999999996"/>
    <n v="56205.979999999996"/>
    <n v="123.53999999999996"/>
  </r>
  <r>
    <x v="11"/>
    <x v="0"/>
    <x v="0"/>
    <s v="3003102"/>
    <n v="721410"/>
    <s v="Patient Monitoring"/>
    <s v="3rd West Med/Surg"/>
    <x v="0"/>
    <n v="1000"/>
    <n v="0"/>
    <n v="0"/>
    <n v="0"/>
    <n v="0"/>
    <n v="2.2200000000000002"/>
    <n v="0"/>
    <n v="0"/>
    <n v="0"/>
    <n v="0"/>
    <n v="0"/>
    <n v="0"/>
    <n v="0"/>
    <n v="2.2200000000000002"/>
    <n v="0"/>
  </r>
  <r>
    <x v="11"/>
    <x v="0"/>
    <x v="0"/>
    <s v="3003102"/>
    <n v="721420"/>
    <s v="Supplies-Surgical Nonbillable"/>
    <s v="3rd West Med/Surg"/>
    <x v="0"/>
    <m/>
    <n v="7.2"/>
    <n v="10.38"/>
    <n v="6.81"/>
    <n v="12.77"/>
    <n v="14.18"/>
    <n v="23.33"/>
    <n v="0"/>
    <n v="0"/>
    <n v="14.3"/>
    <n v="0.61"/>
    <n v="14.2"/>
    <n v="11.54"/>
    <n v="115.32"/>
    <n v="2.66"/>
  </r>
  <r>
    <x v="11"/>
    <x v="0"/>
    <x v="0"/>
    <s v="3003102"/>
    <n v="721420"/>
    <s v="Tubes Drains &amp; Related Supplies"/>
    <s v="3rd West Med/Surg"/>
    <x v="0"/>
    <n v="1008"/>
    <n v="11.23"/>
    <n v="0"/>
    <n v="0"/>
    <n v="0"/>
    <n v="11.23"/>
    <n v="11.23"/>
    <n v="0"/>
    <n v="0"/>
    <n v="0"/>
    <n v="38.549999999999997"/>
    <n v="0"/>
    <n v="1.82"/>
    <n v="74.059999999999988"/>
    <n v="-1.82"/>
  </r>
  <r>
    <x v="11"/>
    <x v="0"/>
    <x v="0"/>
    <s v="3003102"/>
    <n v="721610"/>
    <s v="Supplies-Anesthesia - Nonbillable"/>
    <s v="3rd West Med/Surg"/>
    <x v="0"/>
    <m/>
    <n v="83"/>
    <n v="66.42"/>
    <n v="29.81"/>
    <n v="489.3"/>
    <n v="66.39"/>
    <n v="58.47"/>
    <n v="115.51"/>
    <n v="84.03"/>
    <n v="92.77"/>
    <n v="117.24"/>
    <n v="105.1"/>
    <n v="121.78"/>
    <n v="1429.82"/>
    <n v="-16.680000000000007"/>
  </r>
  <r>
    <x v="11"/>
    <x v="0"/>
    <x v="0"/>
    <s v="3003102"/>
    <n v="721640"/>
    <s v="Supplies-IV Solutions/Supplies - Nonbillable"/>
    <s v="3rd West Med/Surg"/>
    <x v="0"/>
    <m/>
    <n v="549.52"/>
    <n v="541.51"/>
    <n v="770.63"/>
    <n v="705.28"/>
    <n v="582.97"/>
    <n v="771.78"/>
    <n v="836.56"/>
    <n v="451.46"/>
    <n v="896.89"/>
    <n v="900.02"/>
    <n v="649.71"/>
    <n v="1272.04"/>
    <n v="8928.3700000000008"/>
    <n v="-622.32999999999993"/>
  </r>
  <r>
    <x v="11"/>
    <x v="0"/>
    <x v="0"/>
    <s v="3003102"/>
    <n v="721650"/>
    <s v="Supplies-Pharmacy Drugs - Nonbillable"/>
    <s v="3rd West Med/Surg"/>
    <x v="0"/>
    <m/>
    <n v="62.65"/>
    <n v="0"/>
    <n v="0"/>
    <n v="31.36"/>
    <n v="48.24"/>
    <n v="31.23"/>
    <n v="319.66000000000003"/>
    <n v="37.39"/>
    <n v="91.66"/>
    <n v="62.72"/>
    <n v="18.09"/>
    <n v="45.67"/>
    <n v="748.67"/>
    <n v="-27.580000000000002"/>
  </r>
  <r>
    <x v="11"/>
    <x v="0"/>
    <x v="0"/>
    <s v="3003102"/>
    <n v="721710"/>
    <s v="Supplies-Laboratory - Nonbillable"/>
    <s v="3rd West Med/Surg"/>
    <x v="0"/>
    <m/>
    <n v="47.62"/>
    <n v="584.98"/>
    <n v="124.27"/>
    <n v="83.7"/>
    <n v="62.32"/>
    <n v="150.04"/>
    <n v="131.35"/>
    <n v="88.13"/>
    <n v="135.75"/>
    <n v="168.97"/>
    <n v="88.13"/>
    <n v="113.49"/>
    <n v="1778.7499999999998"/>
    <n v="-25.36"/>
  </r>
  <r>
    <x v="11"/>
    <x v="0"/>
    <x v="0"/>
    <s v="3003102"/>
    <n v="721710"/>
    <s v="Reagents"/>
    <s v="3rd West Med/Surg"/>
    <x v="0"/>
    <n v="1000"/>
    <n v="0"/>
    <n v="0"/>
    <n v="0"/>
    <n v="0"/>
    <n v="0"/>
    <n v="0"/>
    <n v="0"/>
    <n v="19.79"/>
    <n v="0"/>
    <n v="22.86"/>
    <n v="0"/>
    <n v="5.2"/>
    <n v="47.85"/>
    <n v="-5.2"/>
  </r>
  <r>
    <x v="11"/>
    <x v="0"/>
    <x v="0"/>
    <s v="3003102"/>
    <n v="721750"/>
    <s v="Supplies-Film/Radiographic - Nonbillable"/>
    <s v="3rd West Med/Surg"/>
    <x v="0"/>
    <m/>
    <n v="1.87"/>
    <n v="0"/>
    <n v="0"/>
    <n v="0"/>
    <n v="0.94"/>
    <n v="0.94"/>
    <n v="0.94"/>
    <n v="0"/>
    <n v="1.87"/>
    <n v="0"/>
    <n v="0"/>
    <n v="0"/>
    <n v="6.56"/>
    <n v="0"/>
  </r>
  <r>
    <x v="11"/>
    <x v="0"/>
    <x v="0"/>
    <s v="3003102"/>
    <n v="721810"/>
    <s v="Supplies-Dietary/Cafeteria"/>
    <s v="3rd West Med/Surg"/>
    <x v="0"/>
    <m/>
    <n v="1291.44"/>
    <n v="1816.95"/>
    <n v="1833.73"/>
    <n v="1721.97"/>
    <n v="1714.39"/>
    <n v="1444.23"/>
    <n v="1550.8"/>
    <n v="1209.54"/>
    <n v="1117.53"/>
    <n v="1050.3699999999999"/>
    <n v="1404.66"/>
    <n v="1229.83"/>
    <n v="17385.440000000002"/>
    <n v="174.83000000000015"/>
  </r>
  <r>
    <x v="11"/>
    <x v="0"/>
    <x v="0"/>
    <s v="3003102"/>
    <n v="721830"/>
    <s v="Supplies-Office"/>
    <s v="3rd West Med/Surg"/>
    <x v="0"/>
    <m/>
    <n v="19.739999999999998"/>
    <n v="152.03"/>
    <n v="165.14"/>
    <n v="338.49"/>
    <n v="2625.41"/>
    <n v="74"/>
    <n v="260.61"/>
    <n v="0.08"/>
    <n v="300.52"/>
    <n v="183.91"/>
    <n v="27.65"/>
    <n v="95.67"/>
    <n v="4243.25"/>
    <n v="-68.02000000000001"/>
  </r>
  <r>
    <x v="11"/>
    <x v="0"/>
    <x v="0"/>
    <s v="3003102"/>
    <n v="721835"/>
    <s v="Supplies-Forms"/>
    <s v="3rd West Med/Surg"/>
    <x v="0"/>
    <m/>
    <n v="0"/>
    <n v="0"/>
    <n v="0"/>
    <n v="0"/>
    <n v="235.12"/>
    <n v="50"/>
    <n v="100"/>
    <n v="0"/>
    <n v="0"/>
    <n v="0"/>
    <n v="0"/>
    <n v="101.66"/>
    <n v="486.78"/>
    <n v="-101.66"/>
  </r>
  <r>
    <x v="11"/>
    <x v="0"/>
    <x v="0"/>
    <s v="3003102"/>
    <n v="721870"/>
    <s v="Supplies-Environmental Services"/>
    <s v="3rd West Med/Surg"/>
    <x v="0"/>
    <m/>
    <n v="165.51"/>
    <n v="222.83"/>
    <n v="198.32"/>
    <n v="170.66"/>
    <n v="222.06"/>
    <n v="184.72"/>
    <n v="142.46"/>
    <n v="216.77"/>
    <n v="270.14999999999998"/>
    <n v="122.89"/>
    <n v="243.82"/>
    <n v="153.34"/>
    <n v="2313.5300000000002"/>
    <n v="90.47999999999999"/>
  </r>
  <r>
    <x v="11"/>
    <x v="0"/>
    <x v="0"/>
    <s v="3003102"/>
    <n v="721880"/>
    <s v="Supplies-Linen"/>
    <s v="3rd West Med/Surg"/>
    <x v="0"/>
    <m/>
    <n v="0"/>
    <n v="0"/>
    <n v="16.05"/>
    <n v="0"/>
    <n v="0"/>
    <n v="0"/>
    <n v="67.41"/>
    <n v="0"/>
    <n v="0"/>
    <n v="12.84"/>
    <n v="0"/>
    <n v="25.68"/>
    <n v="121.97999999999999"/>
    <n v="-25.68"/>
  </r>
  <r>
    <x v="11"/>
    <x v="0"/>
    <x v="0"/>
    <s v="3003102"/>
    <n v="721910"/>
    <s v="Supplies-Small Equipment"/>
    <s v="3rd West Med/Surg"/>
    <x v="0"/>
    <m/>
    <n v="347.41"/>
    <n v="1385.66"/>
    <n v="-15.28"/>
    <n v="483.94"/>
    <n v="205.94"/>
    <n v="747.92"/>
    <n v="1043.73"/>
    <n v="327.02"/>
    <n v="5674.34"/>
    <n v="1598.92"/>
    <n v="2423.9499999999998"/>
    <n v="427.59"/>
    <n v="14651.14"/>
    <n v="1996.36"/>
  </r>
  <r>
    <x v="11"/>
    <x v="0"/>
    <x v="0"/>
    <s v="3003102"/>
    <n v="721910"/>
    <s v="Instruments"/>
    <s v="3rd West Med/Surg"/>
    <x v="0"/>
    <n v="1000"/>
    <n v="3.61"/>
    <n v="0"/>
    <n v="0"/>
    <n v="0"/>
    <n v="3.61"/>
    <n v="3.61"/>
    <n v="0"/>
    <n v="0"/>
    <n v="0"/>
    <n v="0"/>
    <n v="0"/>
    <n v="0"/>
    <n v="10.83"/>
    <n v="0"/>
  </r>
  <r>
    <x v="11"/>
    <x v="0"/>
    <x v="0"/>
    <s v="3003102"/>
    <n v="721980"/>
    <s v="Supplies-Other"/>
    <s v="3rd West Med/Surg"/>
    <x v="0"/>
    <m/>
    <n v="930"/>
    <n v="93"/>
    <n v="0"/>
    <n v="0"/>
    <n v="0"/>
    <n v="0"/>
    <n v="0"/>
    <n v="0"/>
    <n v="0"/>
    <n v="0"/>
    <n v="0"/>
    <n v="0"/>
    <n v="1023"/>
    <n v="0"/>
  </r>
  <r>
    <x v="11"/>
    <x v="0"/>
    <x v="0"/>
    <s v="3003102"/>
    <n v="722000"/>
    <s v="Supplies-Freight Expense"/>
    <s v="3rd West Med/Surg"/>
    <x v="0"/>
    <m/>
    <n v="0"/>
    <n v="24.08"/>
    <n v="0"/>
    <n v="0"/>
    <n v="0"/>
    <n v="0"/>
    <n v="0"/>
    <n v="0"/>
    <n v="0"/>
    <n v="35.26"/>
    <n v="0"/>
    <n v="0"/>
    <n v="59.339999999999996"/>
    <n v="0"/>
  </r>
  <r>
    <x v="12"/>
    <x v="0"/>
    <x v="0"/>
    <s v="3003102"/>
    <n v="730020"/>
    <s v="Rental and Leases-Copier Usage Fees (DO NOT USE)"/>
    <s v="3rd West Med/Surg"/>
    <x v="0"/>
    <n v="5100"/>
    <n v="124.56"/>
    <n v="124.08"/>
    <n v="123.27"/>
    <n v="123.27"/>
    <n v="123.28"/>
    <n v="123.27"/>
    <n v="419.27"/>
    <n v="28.75"/>
    <n v="28.69"/>
    <n v="645.97"/>
    <n v="28.75"/>
    <n v="28.75"/>
    <n v="1921.91"/>
    <n v="0"/>
  </r>
  <r>
    <x v="15"/>
    <x v="0"/>
    <x v="0"/>
    <s v="3003102"/>
    <n v="731060"/>
    <s v="Cell Phones"/>
    <s v="3rd West Med/Surg"/>
    <x v="0"/>
    <n v="1001"/>
    <n v="0"/>
    <n v="107.74"/>
    <n v="52.84"/>
    <n v="0"/>
    <n v="52.94"/>
    <n v="54.09"/>
    <n v="110.4"/>
    <n v="0"/>
    <n v="55.16"/>
    <n v="108.25"/>
    <n v="53.37"/>
    <n v="54.4"/>
    <n v="649.18999999999994"/>
    <n v="-1.0300000000000011"/>
  </r>
  <r>
    <x v="16"/>
    <x v="0"/>
    <x v="0"/>
    <s v="3003102"/>
    <n v="732015"/>
    <s v="Repairs-Clinical Equip-T&amp;M-Ext to CHI Programs"/>
    <s v="3rd West Med/Surg"/>
    <x v="0"/>
    <m/>
    <n v="0"/>
    <n v="0"/>
    <n v="0"/>
    <n v="0"/>
    <n v="0"/>
    <n v="0"/>
    <n v="0"/>
    <n v="0"/>
    <n v="0"/>
    <n v="100"/>
    <n v="0"/>
    <n v="0"/>
    <n v="100"/>
    <n v="0"/>
  </r>
  <r>
    <x v="16"/>
    <x v="0"/>
    <x v="0"/>
    <s v="3003102"/>
    <n v="732020"/>
    <s v="Repairs--Clin Equip-Parts-Internal to CHI Programs"/>
    <s v="3rd West Med/Surg"/>
    <x v="0"/>
    <m/>
    <n v="0"/>
    <n v="888.27"/>
    <n v="0"/>
    <n v="0"/>
    <n v="0"/>
    <n v="0"/>
    <n v="0"/>
    <n v="0"/>
    <n v="0"/>
    <n v="0"/>
    <n v="0"/>
    <n v="0"/>
    <n v="888.27"/>
    <n v="0"/>
  </r>
  <r>
    <x v="13"/>
    <x v="0"/>
    <x v="0"/>
    <s v="3003102"/>
    <n v="735060"/>
    <s v="Depreciation-Fixed Equipment"/>
    <s v="3rd West Med/Surg"/>
    <x v="0"/>
    <m/>
    <n v="192.52"/>
    <n v="192.52"/>
    <n v="192.52"/>
    <n v="192.52"/>
    <n v="192.52"/>
    <n v="192.51"/>
    <n v="192.52"/>
    <n v="192.51"/>
    <n v="192.52"/>
    <n v="192.51"/>
    <n v="192.52"/>
    <n v="192.51"/>
    <n v="2310.1999999999998"/>
    <n v="1.0000000000019327E-2"/>
  </r>
  <r>
    <x v="13"/>
    <x v="0"/>
    <x v="0"/>
    <s v="3003102"/>
    <n v="735070"/>
    <s v="Depreciation-Movable Equipment"/>
    <s v="3rd West Med/Surg"/>
    <x v="0"/>
    <m/>
    <n v="2831.39"/>
    <n v="3344.73"/>
    <n v="3503.56"/>
    <n v="3503.55"/>
    <n v="3503.57"/>
    <n v="3503.55"/>
    <n v="3503.59"/>
    <n v="3503.52"/>
    <n v="3976.58"/>
    <n v="4176.99"/>
    <n v="4177.1000000000004"/>
    <n v="4242.88"/>
    <n v="43771.009999999995"/>
    <n v="-65.779999999999745"/>
  </r>
  <r>
    <x v="0"/>
    <x v="0"/>
    <x v="0"/>
    <s v="3003102"/>
    <n v="743030"/>
    <s v="Subscriptions--Institutional"/>
    <s v="3rd West Med/Surg"/>
    <x v="0"/>
    <m/>
    <n v="0"/>
    <n v="0"/>
    <n v="173.8"/>
    <n v="0"/>
    <n v="0"/>
    <n v="0"/>
    <n v="0"/>
    <n v="0"/>
    <n v="0"/>
    <n v="0"/>
    <n v="0"/>
    <n v="0"/>
    <n v="173.8"/>
    <n v="0"/>
  </r>
  <r>
    <x v="0"/>
    <x v="0"/>
    <x v="0"/>
    <s v="3003102"/>
    <n v="743040"/>
    <s v="Subscriptions--Individual"/>
    <s v="3rd West Med/Surg"/>
    <x v="0"/>
    <m/>
    <n v="0"/>
    <n v="0"/>
    <n v="0"/>
    <n v="0"/>
    <n v="0"/>
    <n v="21.98"/>
    <n v="0"/>
    <n v="0"/>
    <n v="0"/>
    <n v="0"/>
    <n v="0"/>
    <n v="0"/>
    <n v="21.98"/>
    <n v="0"/>
  </r>
  <r>
    <x v="0"/>
    <x v="0"/>
    <x v="0"/>
    <s v="3003102"/>
    <n v="749510"/>
    <s v="Miscellaneous Expenses"/>
    <s v="3rd West Med/Surg"/>
    <x v="0"/>
    <m/>
    <n v="-53.1"/>
    <n v="4206.9799999999996"/>
    <n v="0"/>
    <n v="26.7"/>
    <n v="91.3"/>
    <n v="28.77"/>
    <n v="0"/>
    <n v="-297"/>
    <n v="1595.2"/>
    <n v="-289.55"/>
    <n v="0"/>
    <n v="117.59"/>
    <n v="5426.8899999999994"/>
    <n v="-117.59"/>
  </r>
  <r>
    <x v="0"/>
    <x v="0"/>
    <x v="0"/>
    <s v="3003102"/>
    <n v="749510"/>
    <s v="RICE Rewards"/>
    <s v="3rd West Med/Surg"/>
    <x v="0"/>
    <n v="5100"/>
    <n v="0"/>
    <n v="0"/>
    <n v="0"/>
    <n v="0"/>
    <n v="0"/>
    <n v="0"/>
    <n v="0"/>
    <n v="0"/>
    <n v="0"/>
    <n v="0"/>
    <n v="0"/>
    <n v="782"/>
    <n v="782"/>
    <n v="-782"/>
  </r>
  <r>
    <x v="0"/>
    <x v="0"/>
    <x v="0"/>
    <s v="3003102"/>
    <n v="749535"/>
    <s v="Meetings"/>
    <s v="3rd West Med/Surg"/>
    <x v="0"/>
    <m/>
    <n v="0"/>
    <n v="0"/>
    <n v="0"/>
    <n v="0"/>
    <n v="0"/>
    <n v="0"/>
    <n v="0"/>
    <n v="0"/>
    <n v="0"/>
    <n v="0"/>
    <n v="0"/>
    <n v="98.8"/>
    <n v="98.8"/>
    <n v="-98.8"/>
  </r>
  <r>
    <x v="18"/>
    <x v="8"/>
    <x v="0"/>
    <s v="3003104"/>
    <n v="400010"/>
    <s v="Acute I/P Svcs Rev--Medicare"/>
    <s v="Med/Surg Observation"/>
    <x v="0"/>
    <n v="1100"/>
    <n v="-527950.43000000005"/>
    <n v="-787419.28"/>
    <n v="-843694.2"/>
    <n v="-678320.9"/>
    <n v="-767086.39"/>
    <n v="-794717.27"/>
    <n v="-781891.02"/>
    <n v="-721651.23"/>
    <n v="-727058.78"/>
    <n v="-711409.01"/>
    <n v="-740693.36"/>
    <n v="-777007.95"/>
    <n v="-8858899.8200000003"/>
    <n v="36314.589999999967"/>
  </r>
  <r>
    <x v="18"/>
    <x v="8"/>
    <x v="0"/>
    <s v="3003104"/>
    <n v="400010"/>
    <s v="Acute I/P Svcs Rev--Medicaid"/>
    <s v="Med/Surg Observation"/>
    <x v="0"/>
    <n v="1200"/>
    <n v="-113895.48"/>
    <n v="-264958.83"/>
    <n v="-178960.67"/>
    <n v="-280317.90000000002"/>
    <n v="-233045.41"/>
    <n v="-200028.41"/>
    <n v="-191848.04"/>
    <n v="-284467.15999999997"/>
    <n v="-201107.02"/>
    <n v="-108086.07"/>
    <n v="-317462.39"/>
    <n v="-76851.97"/>
    <n v="-2451029.35"/>
    <n v="-240610.42"/>
  </r>
  <r>
    <x v="18"/>
    <x v="8"/>
    <x v="0"/>
    <s v="3003104"/>
    <n v="400010"/>
    <s v="Acute I/P Svcs Rev--Comm Insurance"/>
    <s v="Med/Surg Observation"/>
    <x v="0"/>
    <n v="1300"/>
    <n v="-28083.88"/>
    <n v="43225.8"/>
    <n v="-25087.64"/>
    <n v="-52243.56"/>
    <n v="38549.21"/>
    <n v="0"/>
    <n v="-11023.11"/>
    <n v="0"/>
    <n v="-21506.54"/>
    <n v="-28792.38"/>
    <n v="-3155"/>
    <n v="-36809.620000000003"/>
    <n v="-124926.72"/>
    <n v="33654.620000000003"/>
  </r>
  <r>
    <x v="18"/>
    <x v="8"/>
    <x v="0"/>
    <s v="3003104"/>
    <n v="400010"/>
    <s v="Acute I/P Svcs Rev--BCBS Comm"/>
    <s v="Med/Surg Observation"/>
    <x v="0"/>
    <n v="1301"/>
    <n v="-47131.28"/>
    <n v="-45920.36"/>
    <n v="-112549.25"/>
    <n v="-46836.06"/>
    <n v="-43490.32"/>
    <n v="-83562.78"/>
    <n v="-58695.75"/>
    <n v="-39423.480000000003"/>
    <n v="-100637.18"/>
    <n v="-87658.76"/>
    <n v="-50237.27"/>
    <n v="-54404.46"/>
    <n v="-770546.95"/>
    <n v="4167.1900000000023"/>
  </r>
  <r>
    <x v="18"/>
    <x v="8"/>
    <x v="0"/>
    <s v="3003104"/>
    <n v="400010"/>
    <s v="Acute I/P Svcs Rev--Managed Care"/>
    <s v="Med/Surg Observation"/>
    <x v="0"/>
    <n v="1400"/>
    <n v="-133001.39000000001"/>
    <n v="-11149.06"/>
    <n v="-75715.7"/>
    <n v="-123999.36"/>
    <n v="-74798.41"/>
    <n v="-118072.29"/>
    <n v="-220807.96"/>
    <n v="-270902.27"/>
    <n v="-194733.78"/>
    <n v="-100921.45"/>
    <n v="-121929.2"/>
    <n v="-185731.71"/>
    <n v="-1631762.5799999998"/>
    <n v="63802.509999999995"/>
  </r>
  <r>
    <x v="18"/>
    <x v="8"/>
    <x v="0"/>
    <s v="3003104"/>
    <n v="400010"/>
    <s v="Acute I/P Svcs Rev--Self Pay"/>
    <s v="Med/Surg Observation"/>
    <x v="0"/>
    <n v="1500"/>
    <n v="6885.15"/>
    <n v="-23534.720000000001"/>
    <n v="-39966.49"/>
    <n v="14001.39"/>
    <n v="0"/>
    <n v="-27410.51"/>
    <n v="-34999.1"/>
    <n v="0"/>
    <n v="-8054.47"/>
    <n v="-573.08000000000004"/>
    <n v="-23329.79"/>
    <n v="-21001.8"/>
    <n v="-157983.41999999998"/>
    <n v="-2327.9900000000016"/>
  </r>
  <r>
    <x v="18"/>
    <x v="8"/>
    <x v="0"/>
    <s v="3003104"/>
    <n v="400010"/>
    <s v="Acute I/P Svcs Rev--Other"/>
    <s v="Med/Surg Observation"/>
    <x v="0"/>
    <n v="1700"/>
    <n v="-72526.87"/>
    <n v="-20421.8"/>
    <n v="-25132.43"/>
    <n v="-63569.81"/>
    <n v="-15713.99"/>
    <n v="-6971.74"/>
    <n v="-123232.86"/>
    <n v="-12290.34"/>
    <n v="-16453.61"/>
    <n v="855.66"/>
    <n v="-72205.47"/>
    <n v="12515.07"/>
    <n v="-415148.19"/>
    <n v="-84720.540000000008"/>
  </r>
  <r>
    <x v="19"/>
    <x v="8"/>
    <x v="0"/>
    <s v="3003104"/>
    <n v="400020"/>
    <s v="O/P Care Svcs Rev--Medicare"/>
    <s v="Med/Surg Observation"/>
    <x v="0"/>
    <n v="1100"/>
    <n v="-148536.92000000001"/>
    <n v="-153566.59"/>
    <n v="-125295.11"/>
    <n v="-89843.16"/>
    <n v="-242300.44"/>
    <n v="-210637.63"/>
    <n v="-163580.04"/>
    <n v="-252051.56"/>
    <n v="-138770.66"/>
    <n v="-268882.21999999997"/>
    <n v="-168974.07999999999"/>
    <n v="-191343.95"/>
    <n v="-2153782.36"/>
    <n v="22369.870000000024"/>
  </r>
  <r>
    <x v="19"/>
    <x v="8"/>
    <x v="0"/>
    <s v="3003104"/>
    <n v="400020"/>
    <s v="O/P Care Svcs Rev--Medicaid"/>
    <s v="Med/Surg Observation"/>
    <x v="0"/>
    <n v="1200"/>
    <n v="-51282.94"/>
    <n v="-52207.24"/>
    <n v="-28148.38"/>
    <n v="-40329.25"/>
    <n v="-100722.23"/>
    <n v="-81174.039999999994"/>
    <n v="-20360.560000000001"/>
    <n v="-29936.36"/>
    <n v="-72968.7"/>
    <n v="-112962.86"/>
    <n v="-40067.800000000003"/>
    <n v="-36634.67"/>
    <n v="-666795.03"/>
    <n v="-3433.1300000000047"/>
  </r>
  <r>
    <x v="19"/>
    <x v="8"/>
    <x v="0"/>
    <s v="3003104"/>
    <n v="400020"/>
    <s v="O/P Care Svcs Rev--Comm Insurance"/>
    <s v="Med/Surg Observation"/>
    <x v="0"/>
    <n v="1300"/>
    <n v="910.08"/>
    <n v="-15192.5"/>
    <n v="0"/>
    <n v="0"/>
    <n v="-19950.830000000002"/>
    <n v="-1725.93"/>
    <n v="0"/>
    <n v="-530.4"/>
    <n v="-7093.06"/>
    <n v="-13560.97"/>
    <n v="-3223.96"/>
    <n v="255.26"/>
    <n v="-60112.31"/>
    <n v="-3479.2200000000003"/>
  </r>
  <r>
    <x v="19"/>
    <x v="8"/>
    <x v="0"/>
    <s v="3003104"/>
    <n v="400020"/>
    <s v="O/P Care Svcs Rev--BCBS Comm"/>
    <s v="Med/Surg Observation"/>
    <x v="0"/>
    <n v="1301"/>
    <n v="-33392.11"/>
    <n v="-33090.199999999997"/>
    <n v="-22522.46"/>
    <n v="-28988.799999999999"/>
    <n v="-19857.66"/>
    <n v="-42817.11"/>
    <n v="-4786.13"/>
    <n v="85.45"/>
    <n v="-23616.84"/>
    <n v="-18066.52"/>
    <n v="-17615.64"/>
    <n v="-14115.21"/>
    <n v="-258783.22999999995"/>
    <n v="-3500.4300000000003"/>
  </r>
  <r>
    <x v="19"/>
    <x v="8"/>
    <x v="0"/>
    <s v="3003104"/>
    <n v="400020"/>
    <s v="O/P Care Svcs Rev--Managed Care"/>
    <s v="Med/Surg Observation"/>
    <x v="0"/>
    <n v="1400"/>
    <n v="-44248.71"/>
    <n v="-38445.919999999998"/>
    <n v="-17989.419999999998"/>
    <n v="-12348.67"/>
    <n v="-28258.51"/>
    <n v="-21414.02"/>
    <n v="-32522.11"/>
    <n v="-39744.57"/>
    <n v="-27703.78"/>
    <n v="-33152.44"/>
    <n v="-38690.089999999997"/>
    <n v="-43237.88"/>
    <n v="-377756.12"/>
    <n v="4547.7900000000009"/>
  </r>
  <r>
    <x v="19"/>
    <x v="8"/>
    <x v="0"/>
    <s v="3003104"/>
    <n v="400020"/>
    <s v="O/P Care Svcs Rev--Self Pay"/>
    <s v="Med/Surg Observation"/>
    <x v="0"/>
    <n v="1500"/>
    <n v="-33151.440000000002"/>
    <n v="11672.13"/>
    <n v="0"/>
    <n v="-9724.4500000000007"/>
    <n v="0"/>
    <n v="-6719.86"/>
    <n v="-1512.89"/>
    <n v="-14501.78"/>
    <n v="0"/>
    <n v="-8324.5400000000009"/>
    <n v="-1360.8"/>
    <n v="-2041.2"/>
    <n v="-65664.83"/>
    <n v="680.40000000000009"/>
  </r>
  <r>
    <x v="19"/>
    <x v="8"/>
    <x v="0"/>
    <s v="3003104"/>
    <n v="400020"/>
    <s v="O/P Care Svcs Rev--Other"/>
    <s v="Med/Surg Observation"/>
    <x v="0"/>
    <n v="1700"/>
    <n v="-11399"/>
    <n v="-3289.72"/>
    <n v="-5416.9"/>
    <n v="-17763.990000000002"/>
    <n v="847.89"/>
    <n v="-13582.04"/>
    <n v="-10223.950000000001"/>
    <n v="-2833.88"/>
    <n v="-18709.189999999999"/>
    <n v="-20955.28"/>
    <n v="-13270"/>
    <n v="-23790.91"/>
    <n v="-140386.97"/>
    <n v="10520.91"/>
  </r>
  <r>
    <x v="5"/>
    <x v="8"/>
    <x v="0"/>
    <s v="3003104"/>
    <n v="700014"/>
    <s v="Salaries-Management-Productive"/>
    <s v="Med/Surg Observation"/>
    <x v="0"/>
    <m/>
    <n v="8123.86"/>
    <n v="7760.58"/>
    <n v="9033.7800000000007"/>
    <n v="7269.93"/>
    <n v="10372.209999999999"/>
    <n v="6852.82"/>
    <n v="8547.86"/>
    <n v="8141.72"/>
    <n v="9826.25"/>
    <n v="8921.32"/>
    <n v="7143.64"/>
    <n v="9670.34"/>
    <n v="101664.30999999998"/>
    <n v="-2526.6999999999998"/>
  </r>
  <r>
    <x v="5"/>
    <x v="8"/>
    <x v="0"/>
    <s v="3003104"/>
    <n v="700014"/>
    <s v="Salaries-Management-OT"/>
    <s v="Med/Surg Observation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3003104"/>
    <n v="700014"/>
    <s v="Salaries-Management-Other"/>
    <s v="Med/Surg Observ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3003104"/>
    <n v="700026"/>
    <s v="Salaries-RN-Productive"/>
    <s v="Med/Surg Observation"/>
    <x v="0"/>
    <m/>
    <n v="82171.570000000007"/>
    <n v="105787.47"/>
    <n v="105043.38"/>
    <n v="101848.17"/>
    <n v="106762.6"/>
    <n v="120074.1"/>
    <n v="112717.16"/>
    <n v="105077.66"/>
    <n v="102735.54"/>
    <n v="93258.8"/>
    <n v="97297.05"/>
    <n v="108527.16"/>
    <n v="1241300.6600000001"/>
    <n v="-11230.11"/>
  </r>
  <r>
    <x v="5"/>
    <x v="8"/>
    <x v="0"/>
    <s v="3003104"/>
    <n v="700026"/>
    <s v="Salaries-RN-OT"/>
    <s v="Med/Surg Observation"/>
    <x v="0"/>
    <n v="1000"/>
    <n v="1831.17"/>
    <n v="4288.55"/>
    <n v="7232.53"/>
    <n v="1273.78"/>
    <n v="4848.21"/>
    <n v="4667"/>
    <n v="2971.07"/>
    <n v="5123.9799999999996"/>
    <n v="2871.89"/>
    <n v="4042.76"/>
    <n v="1841.55"/>
    <n v="1652.56"/>
    <n v="42645.05"/>
    <n v="188.99"/>
  </r>
  <r>
    <x v="5"/>
    <x v="8"/>
    <x v="0"/>
    <s v="3003104"/>
    <n v="700026"/>
    <s v="Salaries-RN-Other"/>
    <s v="Med/Surg Observation"/>
    <x v="0"/>
    <n v="2000"/>
    <n v="9030.07"/>
    <n v="10413.06"/>
    <n v="10864.42"/>
    <n v="9388.9599999999991"/>
    <n v="12232.99"/>
    <n v="10790.8"/>
    <n v="10968.93"/>
    <n v="10577.68"/>
    <n v="8979.27"/>
    <n v="8551.2999999999993"/>
    <n v="10678.12"/>
    <n v="10131.81"/>
    <n v="122607.40999999997"/>
    <n v="546.31000000000131"/>
  </r>
  <r>
    <x v="5"/>
    <x v="8"/>
    <x v="0"/>
    <s v="3003104"/>
    <n v="700032"/>
    <s v="Salaries-Other Pat Care Providers-Productive"/>
    <s v="Med/Surg Observation"/>
    <x v="0"/>
    <m/>
    <n v="19471.43"/>
    <n v="21474.67"/>
    <n v="23607.32"/>
    <n v="17922.39"/>
    <n v="25990.92"/>
    <n v="23720.41"/>
    <n v="20982.05"/>
    <n v="19932.54"/>
    <n v="22261.77"/>
    <n v="19449.689999999999"/>
    <n v="22464.69"/>
    <n v="38054.86"/>
    <n v="275332.74"/>
    <n v="-15590.170000000002"/>
  </r>
  <r>
    <x v="5"/>
    <x v="8"/>
    <x v="0"/>
    <s v="3003104"/>
    <n v="700032"/>
    <s v="Salaries-Other Pat Care Providers-OT"/>
    <s v="Med/Surg Observation"/>
    <x v="0"/>
    <n v="1000"/>
    <n v="1309.06"/>
    <n v="858.98"/>
    <n v="541.96"/>
    <n v="1183.6099999999999"/>
    <n v="1895.5"/>
    <n v="1245.74"/>
    <n v="1381.77"/>
    <n v="432.52"/>
    <n v="1382.18"/>
    <n v="747.38"/>
    <n v="228.23"/>
    <n v="1701.19"/>
    <n v="12908.119999999999"/>
    <n v="-1472.96"/>
  </r>
  <r>
    <x v="5"/>
    <x v="8"/>
    <x v="0"/>
    <s v="3003104"/>
    <n v="700032"/>
    <s v="Salaries-Other Pat Care Providers-Other"/>
    <s v="Med/Surg Observation"/>
    <x v="0"/>
    <n v="2000"/>
    <n v="1324.13"/>
    <n v="1960.64"/>
    <n v="1899.16"/>
    <n v="1377.66"/>
    <n v="2481.5300000000002"/>
    <n v="1399.22"/>
    <n v="1382.33"/>
    <n v="1081.4100000000001"/>
    <n v="1590.29"/>
    <n v="1461.67"/>
    <n v="1855.91"/>
    <n v="2642.98"/>
    <n v="20456.93"/>
    <n v="-787.06999999999994"/>
  </r>
  <r>
    <x v="5"/>
    <x v="8"/>
    <x v="0"/>
    <s v="3003104"/>
    <n v="700038"/>
    <s v="Salaries-Service/Support-Productive"/>
    <s v="Med/Surg Observation"/>
    <x v="0"/>
    <m/>
    <n v="3527.26"/>
    <n v="6096.55"/>
    <n v="5244.56"/>
    <n v="5425.87"/>
    <n v="5400.81"/>
    <n v="5088.28"/>
    <n v="7187.47"/>
    <n v="4772.99"/>
    <n v="7120.43"/>
    <n v="3706.57"/>
    <n v="7298.96"/>
    <n v="7238.43"/>
    <n v="68108.179999999993"/>
    <n v="60.529999999999745"/>
  </r>
  <r>
    <x v="5"/>
    <x v="8"/>
    <x v="0"/>
    <s v="3003104"/>
    <n v="700038"/>
    <s v="Salaries-Service/Support-OT"/>
    <s v="Med/Surg Observation"/>
    <x v="0"/>
    <n v="1000"/>
    <n v="108.18"/>
    <n v="0"/>
    <n v="287.11"/>
    <n v="81.14"/>
    <n v="393.76"/>
    <n v="78.5"/>
    <n v="121.33"/>
    <n v="-7.51"/>
    <n v="385.55"/>
    <n v="246.34"/>
    <n v="-157.05000000000001"/>
    <n v="0"/>
    <n v="1537.35"/>
    <n v="-157.05000000000001"/>
  </r>
  <r>
    <x v="5"/>
    <x v="8"/>
    <x v="0"/>
    <s v="3003104"/>
    <n v="700038"/>
    <s v="Salaries-Service/Support-Other"/>
    <s v="Med/Surg Observation"/>
    <x v="0"/>
    <n v="2000"/>
    <n v="150.19"/>
    <n v="68.37"/>
    <n v="134.96"/>
    <n v="212.43"/>
    <n v="178.71"/>
    <n v="105.21"/>
    <n v="155.24"/>
    <n v="135.36000000000001"/>
    <n v="157.9"/>
    <n v="72.900000000000006"/>
    <n v="294.52999999999997"/>
    <n v="153.85"/>
    <n v="1819.6500000000003"/>
    <n v="140.67999999999998"/>
  </r>
  <r>
    <x v="5"/>
    <x v="8"/>
    <x v="0"/>
    <s v="3003104"/>
    <n v="700054"/>
    <s v="Salaries-Management-Non-productive"/>
    <s v="Med/Surg Observation"/>
    <x v="0"/>
    <m/>
    <n v="1273.2"/>
    <n v="1636.91"/>
    <n v="60.69"/>
    <n v="2336.12"/>
    <n v="-1027.8800000000001"/>
    <n v="2803.29"/>
    <n v="1123.3499999999999"/>
    <n v="592.66"/>
    <n v="-155.94"/>
    <n v="436.72"/>
    <n v="2526.64"/>
    <n v="-311.87"/>
    <n v="11293.889999999998"/>
    <n v="2838.5099999999998"/>
  </r>
  <r>
    <x v="5"/>
    <x v="8"/>
    <x v="0"/>
    <s v="3003104"/>
    <n v="700054"/>
    <s v="Salaries-Management-NonProd-Other"/>
    <s v="Med/Surg Observation"/>
    <x v="0"/>
    <n v="2000"/>
    <n v="0"/>
    <n v="0"/>
    <n v="0"/>
    <n v="0"/>
    <n v="0"/>
    <n v="1193.79"/>
    <n v="-1193.79"/>
    <n v="0"/>
    <n v="0"/>
    <n v="0"/>
    <n v="0"/>
    <n v="0"/>
    <n v="0"/>
    <n v="0"/>
  </r>
  <r>
    <x v="5"/>
    <x v="8"/>
    <x v="0"/>
    <s v="3003104"/>
    <n v="700066"/>
    <s v="Salaries-RN-Non-productive"/>
    <s v="Med/Surg Observation"/>
    <x v="0"/>
    <m/>
    <n v="13017.35"/>
    <n v="5560.87"/>
    <n v="11796.21"/>
    <n v="12121.03"/>
    <n v="14247.74"/>
    <n v="7564.34"/>
    <n v="12687.06"/>
    <n v="3609.95"/>
    <n v="10228.59"/>
    <n v="5073.09"/>
    <n v="17965.52"/>
    <n v="3977.6"/>
    <n v="117849.34999999999"/>
    <n v="13987.92"/>
  </r>
  <r>
    <x v="5"/>
    <x v="8"/>
    <x v="0"/>
    <s v="3003104"/>
    <n v="700066"/>
    <s v="Salaries-RN-NonProd-Other"/>
    <s v="Med/Surg Observation"/>
    <x v="0"/>
    <n v="2000"/>
    <n v="1050.43"/>
    <n v="1453.11"/>
    <n v="1424.4"/>
    <n v="520.55999999999995"/>
    <n v="943.4"/>
    <n v="1033.43"/>
    <n v="705.25"/>
    <n v="395.74"/>
    <n v="913.04"/>
    <n v="394.85"/>
    <n v="1514.06"/>
    <n v="559.41999999999996"/>
    <n v="10907.69"/>
    <n v="954.64"/>
  </r>
  <r>
    <x v="5"/>
    <x v="8"/>
    <x v="0"/>
    <s v="3003104"/>
    <n v="700072"/>
    <s v="Salaries-Other Pat Care Providers-Non-productive"/>
    <s v="Med/Surg Observation"/>
    <x v="0"/>
    <m/>
    <n v="617.28"/>
    <n v="3145.1"/>
    <n v="2726.05"/>
    <n v="941.97"/>
    <n v="3911.9"/>
    <n v="2362.4499999999998"/>
    <n v="2279.83"/>
    <n v="1801.2"/>
    <n v="1516.03"/>
    <n v="878.73"/>
    <n v="1875.76"/>
    <n v="1037.53"/>
    <n v="23093.829999999994"/>
    <n v="838.23"/>
  </r>
  <r>
    <x v="5"/>
    <x v="8"/>
    <x v="0"/>
    <s v="3003104"/>
    <n v="700072"/>
    <s v="Salaries-Other Pat Care Providers-NonProd-Other"/>
    <s v="Med/Surg Observation"/>
    <x v="0"/>
    <n v="2000"/>
    <n v="37.44"/>
    <n v="91.94"/>
    <n v="290.45"/>
    <n v="214.02"/>
    <n v="650.6"/>
    <n v="197.28"/>
    <n v="198.86"/>
    <n v="-45.89"/>
    <n v="-1.72"/>
    <n v="132.41999999999999"/>
    <n v="132.41"/>
    <n v="15.06"/>
    <n v="1912.8700000000001"/>
    <n v="117.35"/>
  </r>
  <r>
    <x v="5"/>
    <x v="8"/>
    <x v="0"/>
    <s v="3003104"/>
    <n v="700078"/>
    <s v="Salaries-Service/Support-Non-productive"/>
    <s v="Med/Surg Observation"/>
    <x v="0"/>
    <m/>
    <n v="2245.88"/>
    <n v="174.12"/>
    <n v="596.67999999999995"/>
    <n v="1873.03"/>
    <n v="435.97"/>
    <n v="2359.0700000000002"/>
    <n v="-254.56"/>
    <n v="701.78"/>
    <n v="1817.12"/>
    <n v="725.87"/>
    <n v="1675.34"/>
    <n v="-628.99"/>
    <n v="11721.310000000001"/>
    <n v="2304.33"/>
  </r>
  <r>
    <x v="5"/>
    <x v="8"/>
    <x v="0"/>
    <s v="3003104"/>
    <n v="700078"/>
    <s v="Salaries-Service/Support-NonProd-Other"/>
    <s v="Med/Surg Observation"/>
    <x v="0"/>
    <n v="2000"/>
    <n v="0"/>
    <n v="0"/>
    <n v="0"/>
    <n v="0"/>
    <n v="0"/>
    <n v="24.77"/>
    <n v="14.04"/>
    <n v="-4.12"/>
    <n v="0"/>
    <n v="0"/>
    <n v="0"/>
    <n v="0"/>
    <n v="34.690000000000005"/>
    <n v="0"/>
  </r>
  <r>
    <x v="5"/>
    <x v="8"/>
    <x v="0"/>
    <s v="3003104"/>
    <n v="700084"/>
    <s v="Accrued PTO"/>
    <s v="Med/Surg Observation"/>
    <x v="0"/>
    <m/>
    <n v="-1530.87"/>
    <n v="2688.5"/>
    <n v="842.19"/>
    <n v="542.83000000000004"/>
    <n v="-3831.64"/>
    <n v="-2360.0500000000002"/>
    <n v="101.82"/>
    <n v="5660.83"/>
    <n v="1057.5899999999999"/>
    <n v="5503.69"/>
    <n v="-4006.62"/>
    <n v="5750.54"/>
    <n v="10418.81"/>
    <n v="-9757.16"/>
  </r>
  <r>
    <x v="10"/>
    <x v="8"/>
    <x v="0"/>
    <s v="3003104"/>
    <n v="710060"/>
    <s v="Contract Labor-Other"/>
    <s v="Med/Surg Observation"/>
    <x v="0"/>
    <m/>
    <n v="14522.75"/>
    <n v="13232.25"/>
    <n v="9767.75"/>
    <n v="11424"/>
    <n v="10525"/>
    <n v="9335.75"/>
    <n v="14006.25"/>
    <n v="5357"/>
    <n v="13871"/>
    <n v="24239.25"/>
    <n v="14178"/>
    <n v="25922.25"/>
    <n v="166381.25"/>
    <n v="-11744.25"/>
  </r>
  <r>
    <x v="10"/>
    <x v="8"/>
    <x v="0"/>
    <s v="3003104"/>
    <n v="710060"/>
    <s v="Contract Labor-Overtime"/>
    <s v="Med/Surg Observation"/>
    <x v="0"/>
    <n v="5100"/>
    <n v="1305.45"/>
    <n v="-1"/>
    <n v="0"/>
    <n v="872.1"/>
    <n v="0"/>
    <n v="0"/>
    <n v="0"/>
    <n v="0"/>
    <n v="0"/>
    <n v="1881.9"/>
    <n v="734.4"/>
    <n v="1147.5"/>
    <n v="5940.35"/>
    <n v="-413.1"/>
  </r>
  <r>
    <x v="10"/>
    <x v="8"/>
    <x v="0"/>
    <s v="3003104"/>
    <n v="710060"/>
    <s v="Contract Labor-Standby Wages"/>
    <s v="Med/Surg Observation"/>
    <x v="0"/>
    <n v="5101"/>
    <n v="0"/>
    <n v="0"/>
    <n v="0"/>
    <n v="0"/>
    <n v="0"/>
    <n v="0"/>
    <n v="0"/>
    <n v="0"/>
    <n v="0"/>
    <n v="96"/>
    <n v="620"/>
    <n v="192"/>
    <n v="908"/>
    <n v="428"/>
  </r>
  <r>
    <x v="6"/>
    <x v="8"/>
    <x v="0"/>
    <s v="3003104"/>
    <n v="713010"/>
    <s v="Benefits-FICA/Medicare"/>
    <s v="Med/Surg Observation"/>
    <x v="0"/>
    <m/>
    <n v="10797.7"/>
    <n v="13204.62"/>
    <n v="13437.58"/>
    <n v="12143.32"/>
    <n v="14078.93"/>
    <n v="14239.96"/>
    <n v="13670.23"/>
    <n v="12063.14"/>
    <n v="12811.21"/>
    <n v="11136"/>
    <n v="12935.42"/>
    <n v="14007.32"/>
    <n v="154525.43000000002"/>
    <n v="-1071.8999999999996"/>
  </r>
  <r>
    <x v="6"/>
    <x v="8"/>
    <x v="0"/>
    <s v="3003104"/>
    <n v="713090"/>
    <s v="Benefits-Allocated Amounts"/>
    <s v="Med/Surg Observation"/>
    <x v="0"/>
    <m/>
    <n v="29012.55"/>
    <n v="30921.25"/>
    <n v="33704.160000000003"/>
    <n v="31214.05"/>
    <n v="37304.720000000001"/>
    <n v="35256.51"/>
    <n v="35632.71"/>
    <n v="34857.360000000001"/>
    <n v="33771.800000000003"/>
    <n v="33307.230000000003"/>
    <n v="36418.42"/>
    <n v="40557.9"/>
    <n v="411958.66"/>
    <n v="-4139.4800000000032"/>
  </r>
  <r>
    <x v="7"/>
    <x v="8"/>
    <x v="0"/>
    <s v="3003104"/>
    <n v="718050"/>
    <s v="Contract Management--Linen"/>
    <s v="Med/Surg Observation"/>
    <x v="0"/>
    <n v="1026"/>
    <n v="0"/>
    <n v="0"/>
    <n v="0"/>
    <n v="0"/>
    <n v="0"/>
    <n v="0"/>
    <n v="0"/>
    <n v="0"/>
    <n v="0"/>
    <n v="1999.59"/>
    <n v="1932.53"/>
    <n v="2558.1799999999998"/>
    <n v="6490.2999999999993"/>
    <n v="-625.64999999999986"/>
  </r>
  <r>
    <x v="11"/>
    <x v="8"/>
    <x v="0"/>
    <s v="3003104"/>
    <n v="721010"/>
    <s v="Supplies-Medical - Billable"/>
    <s v="Med/Surg Observation"/>
    <x v="0"/>
    <m/>
    <n v="1734.48"/>
    <n v="1175.24"/>
    <n v="1523.3"/>
    <n v="1744.29"/>
    <n v="1639.78"/>
    <n v="1482.49"/>
    <n v="1741.75"/>
    <n v="2177.65"/>
    <n v="3663.87"/>
    <n v="2050.34"/>
    <n v="1472.06"/>
    <n v="2889.13"/>
    <n v="23294.38"/>
    <n v="-1417.0700000000002"/>
  </r>
  <r>
    <x v="11"/>
    <x v="8"/>
    <x v="0"/>
    <s v="3003104"/>
    <n v="721010"/>
    <s v="Patient Monitoring"/>
    <s v="Med/Surg Observation"/>
    <x v="0"/>
    <n v="1000"/>
    <n v="146.61000000000001"/>
    <n v="238.9"/>
    <n v="75.23"/>
    <n v="233.56"/>
    <n v="64.02"/>
    <n v="199.11"/>
    <n v="164.34"/>
    <n v="90.06"/>
    <n v="265.70999999999998"/>
    <n v="122.5"/>
    <n v="146.43"/>
    <n v="79.5"/>
    <n v="1825.97"/>
    <n v="66.930000000000007"/>
  </r>
  <r>
    <x v="11"/>
    <x v="8"/>
    <x v="0"/>
    <s v="3003104"/>
    <n v="721020"/>
    <s v="Supplies-Surgical - Billable"/>
    <s v="Med/Surg Observation"/>
    <x v="0"/>
    <m/>
    <n v="451.59"/>
    <n v="464.33"/>
    <n v="241.39"/>
    <n v="220.16"/>
    <n v="480.17"/>
    <n v="435.82"/>
    <n v="458.22"/>
    <n v="301.11"/>
    <n v="657.17"/>
    <n v="581.29999999999995"/>
    <n v="381.08"/>
    <n v="448.02"/>
    <n v="5120.3600000000006"/>
    <n v="-66.94"/>
  </r>
  <r>
    <x v="11"/>
    <x v="8"/>
    <x v="0"/>
    <s v="3003104"/>
    <n v="721020"/>
    <s v="Custom Packs"/>
    <s v="Med/Surg Observation"/>
    <x v="0"/>
    <n v="1000"/>
    <n v="6.29"/>
    <n v="0"/>
    <n v="0"/>
    <n v="0"/>
    <n v="0"/>
    <n v="12.58"/>
    <n v="0"/>
    <n v="132.4"/>
    <n v="390.99"/>
    <n v="79.44"/>
    <n v="105.92"/>
    <n v="105.92"/>
    <n v="833.54"/>
    <n v="0"/>
  </r>
  <r>
    <x v="11"/>
    <x v="8"/>
    <x v="0"/>
    <s v="3003104"/>
    <n v="721020"/>
    <s v="Tubes Drains &amp; Related Supplies"/>
    <s v="Med/Surg Observation"/>
    <x v="0"/>
    <n v="1008"/>
    <n v="0"/>
    <n v="0"/>
    <n v="26.86"/>
    <n v="13.43"/>
    <n v="0"/>
    <n v="0"/>
    <n v="0"/>
    <n v="0"/>
    <n v="0"/>
    <n v="0"/>
    <n v="0"/>
    <n v="0"/>
    <n v="40.29"/>
    <n v="0"/>
  </r>
  <r>
    <x v="11"/>
    <x v="8"/>
    <x v="0"/>
    <s v="3003104"/>
    <n v="721240"/>
    <s v="Supplies-IV Solutions/Supplies - Billable"/>
    <s v="Med/Surg Observation"/>
    <x v="0"/>
    <m/>
    <n v="1237.94"/>
    <n v="954.84"/>
    <n v="641.33000000000004"/>
    <n v="851.76"/>
    <n v="1157.81"/>
    <n v="795.31"/>
    <n v="1185.6099999999999"/>
    <n v="595.15"/>
    <n v="1409.34"/>
    <n v="512.1"/>
    <n v="1232.76"/>
    <n v="485.32"/>
    <n v="11059.269999999999"/>
    <n v="747.44"/>
  </r>
  <r>
    <x v="11"/>
    <x v="8"/>
    <x v="0"/>
    <s v="3003104"/>
    <n v="721410"/>
    <s v="Supplies-Medical - Nonbillable"/>
    <s v="Med/Surg Observation"/>
    <x v="0"/>
    <m/>
    <n v="4773.4399999999996"/>
    <n v="4997.43"/>
    <n v="4763.45"/>
    <n v="4996.32"/>
    <n v="6239.43"/>
    <n v="7314.84"/>
    <n v="6299.44"/>
    <n v="4773.05"/>
    <n v="7341.16"/>
    <n v="6258.41"/>
    <n v="5681.21"/>
    <n v="4926.47"/>
    <n v="68364.650000000009"/>
    <n v="754.73999999999978"/>
  </r>
  <r>
    <x v="11"/>
    <x v="8"/>
    <x v="0"/>
    <s v="3003104"/>
    <n v="721410"/>
    <s v="Patient Monitoring"/>
    <s v="Med/Surg Observation"/>
    <x v="0"/>
    <n v="1000"/>
    <n v="10.86"/>
    <n v="0"/>
    <n v="0"/>
    <n v="0"/>
    <n v="0"/>
    <n v="0"/>
    <n v="0"/>
    <n v="0"/>
    <n v="0"/>
    <n v="21.48"/>
    <n v="0"/>
    <n v="0"/>
    <n v="32.340000000000003"/>
    <n v="0"/>
  </r>
  <r>
    <x v="11"/>
    <x v="8"/>
    <x v="0"/>
    <s v="3003104"/>
    <n v="721420"/>
    <s v="Supplies-Surgical Nonbillable"/>
    <s v="Med/Surg Observation"/>
    <x v="0"/>
    <m/>
    <n v="39.03"/>
    <n v="26.05"/>
    <n v="3.03"/>
    <n v="19.5"/>
    <n v="3.03"/>
    <n v="34.11"/>
    <n v="5.89"/>
    <n v="25.98"/>
    <n v="47.66"/>
    <n v="8.84"/>
    <n v="26.69"/>
    <n v="13.51"/>
    <n v="253.31999999999996"/>
    <n v="13.180000000000001"/>
  </r>
  <r>
    <x v="11"/>
    <x v="8"/>
    <x v="0"/>
    <s v="3003104"/>
    <n v="721420"/>
    <s v="Tubes Drains &amp; Related Supplies"/>
    <s v="Med/Surg Observation"/>
    <x v="0"/>
    <n v="1008"/>
    <n v="0"/>
    <n v="0"/>
    <n v="17.28"/>
    <n v="8.92"/>
    <n v="0"/>
    <n v="5.67"/>
    <n v="0"/>
    <n v="0"/>
    <n v="0"/>
    <n v="0"/>
    <n v="0"/>
    <n v="4.59"/>
    <n v="36.460000000000008"/>
    <n v="-4.59"/>
  </r>
  <r>
    <x v="11"/>
    <x v="8"/>
    <x v="0"/>
    <s v="3003104"/>
    <n v="721420"/>
    <s v="Sterilization Process Products"/>
    <s v="Med/Surg Observation"/>
    <x v="0"/>
    <n v="1009"/>
    <n v="0"/>
    <n v="5.48"/>
    <n v="2.15"/>
    <n v="0"/>
    <n v="0"/>
    <n v="0"/>
    <n v="0"/>
    <n v="0"/>
    <n v="0"/>
    <n v="3.54"/>
    <n v="0"/>
    <n v="0"/>
    <n v="11.170000000000002"/>
    <n v="0"/>
  </r>
  <r>
    <x v="11"/>
    <x v="8"/>
    <x v="0"/>
    <s v="3003104"/>
    <n v="721610"/>
    <s v="Supplies-Anesthesia - Nonbillable"/>
    <s v="Med/Surg Observation"/>
    <x v="0"/>
    <m/>
    <n v="230.97"/>
    <n v="179.95"/>
    <n v="168.96"/>
    <n v="247.62"/>
    <n v="276.72000000000003"/>
    <n v="338.52"/>
    <n v="288.02"/>
    <n v="313.85000000000002"/>
    <n v="917.79"/>
    <n v="1066"/>
    <n v="370.81"/>
    <n v="392.13"/>
    <n v="4791.34"/>
    <n v="-21.319999999999993"/>
  </r>
  <r>
    <x v="11"/>
    <x v="8"/>
    <x v="0"/>
    <s v="3003104"/>
    <n v="721640"/>
    <s v="Supplies-IV Solutions/Supplies - Nonbillable"/>
    <s v="Med/Surg Observation"/>
    <x v="0"/>
    <m/>
    <n v="909.66"/>
    <n v="1609.35"/>
    <n v="1632.93"/>
    <n v="1563.2"/>
    <n v="1217.01"/>
    <n v="1787.8"/>
    <n v="1349.94"/>
    <n v="2221.2800000000002"/>
    <n v="1775.37"/>
    <n v="1640.45"/>
    <n v="1603.6"/>
    <n v="1408.15"/>
    <n v="18718.740000000002"/>
    <n v="195.44999999999982"/>
  </r>
  <r>
    <x v="11"/>
    <x v="8"/>
    <x v="0"/>
    <s v="3003104"/>
    <n v="721650"/>
    <s v="Supplies-Pharmacy Drugs - Nonbillable"/>
    <s v="Med/Surg Observation"/>
    <x v="0"/>
    <m/>
    <n v="34.06"/>
    <n v="61.07"/>
    <n v="12.78"/>
    <n v="57.37"/>
    <n v="26.62"/>
    <n v="67.16"/>
    <n v="29.68"/>
    <n v="27.87"/>
    <n v="20.25"/>
    <n v="25.15"/>
    <n v="22.03"/>
    <n v="26.09"/>
    <n v="410.12999999999994"/>
    <n v="-4.0599999999999987"/>
  </r>
  <r>
    <x v="11"/>
    <x v="8"/>
    <x v="0"/>
    <s v="3003104"/>
    <n v="721710"/>
    <s v="Supplies-Laboratory - Nonbillable"/>
    <s v="Med/Surg Observation"/>
    <x v="0"/>
    <m/>
    <n v="253.89"/>
    <n v="216.52"/>
    <n v="153.94"/>
    <n v="167.16"/>
    <n v="129.76"/>
    <n v="219.7"/>
    <n v="139.07"/>
    <n v="294.44"/>
    <n v="333.48"/>
    <n v="183.54"/>
    <n v="152.37"/>
    <n v="193.02"/>
    <n v="2436.89"/>
    <n v="-40.650000000000006"/>
  </r>
  <r>
    <x v="11"/>
    <x v="8"/>
    <x v="0"/>
    <s v="3003104"/>
    <n v="721710"/>
    <s v="Reagents"/>
    <s v="Med/Surg Observation"/>
    <x v="0"/>
    <n v="1000"/>
    <n v="0"/>
    <n v="0"/>
    <n v="0"/>
    <n v="0"/>
    <n v="23.99"/>
    <n v="0"/>
    <n v="0"/>
    <n v="11.99"/>
    <n v="25.99"/>
    <n v="0"/>
    <n v="0"/>
    <n v="0"/>
    <n v="61.97"/>
    <n v="0"/>
  </r>
  <r>
    <x v="11"/>
    <x v="8"/>
    <x v="0"/>
    <s v="3003104"/>
    <n v="721750"/>
    <s v="Supplies-Film/Radiographic - Nonbillable"/>
    <s v="Med/Surg Observation"/>
    <x v="0"/>
    <m/>
    <n v="0"/>
    <n v="21.5"/>
    <n v="0"/>
    <n v="0"/>
    <n v="0"/>
    <n v="10.75"/>
    <n v="0"/>
    <n v="8.6"/>
    <n v="0"/>
    <n v="0"/>
    <n v="0"/>
    <n v="10.75"/>
    <n v="51.6"/>
    <n v="-10.75"/>
  </r>
  <r>
    <x v="11"/>
    <x v="8"/>
    <x v="0"/>
    <s v="3003104"/>
    <n v="721810"/>
    <s v="Supplies-Dietary/Cafeteria"/>
    <s v="Med/Surg Observation"/>
    <x v="0"/>
    <m/>
    <n v="804.86"/>
    <n v="915.21"/>
    <n v="1137.98"/>
    <n v="978.18"/>
    <n v="1019.61"/>
    <n v="1624.27"/>
    <n v="1301.8499999999999"/>
    <n v="1293.6600000000001"/>
    <n v="1859.14"/>
    <n v="1605.17"/>
    <n v="1179.27"/>
    <n v="1683.21"/>
    <n v="15402.41"/>
    <n v="-503.94000000000005"/>
  </r>
  <r>
    <x v="11"/>
    <x v="8"/>
    <x v="0"/>
    <s v="3003104"/>
    <n v="721830"/>
    <s v="Supplies-Office"/>
    <s v="Med/Surg Observation"/>
    <x v="0"/>
    <m/>
    <n v="133.87"/>
    <n v="484.88"/>
    <n v="290.02"/>
    <n v="489.46"/>
    <n v="428.18"/>
    <n v="922.41"/>
    <n v="593.12"/>
    <n v="644.80999999999995"/>
    <n v="367.97"/>
    <n v="400.38"/>
    <n v="246.13"/>
    <n v="297.77999999999997"/>
    <n v="5299.01"/>
    <n v="-51.649999999999977"/>
  </r>
  <r>
    <x v="11"/>
    <x v="8"/>
    <x v="0"/>
    <s v="3003104"/>
    <n v="721835"/>
    <s v="Supplies-Forms"/>
    <s v="Med/Surg Observation"/>
    <x v="0"/>
    <m/>
    <n v="0"/>
    <n v="0"/>
    <n v="0"/>
    <n v="0"/>
    <n v="326.54000000000002"/>
    <n v="203"/>
    <n v="150"/>
    <n v="0"/>
    <n v="56.54"/>
    <n v="217.39"/>
    <n v="0"/>
    <n v="94.4"/>
    <n v="1047.8699999999999"/>
    <n v="-94.4"/>
  </r>
  <r>
    <x v="11"/>
    <x v="8"/>
    <x v="0"/>
    <s v="3003104"/>
    <n v="721870"/>
    <s v="Supplies-Environmental Services"/>
    <s v="Med/Surg Observation"/>
    <x v="0"/>
    <m/>
    <n v="318.81"/>
    <n v="336.18"/>
    <n v="154.91999999999999"/>
    <n v="169.17"/>
    <n v="531.35"/>
    <n v="250.99"/>
    <n v="311.14999999999998"/>
    <n v="267.32"/>
    <n v="400.43"/>
    <n v="262.44"/>
    <n v="303.45"/>
    <n v="170.74"/>
    <n v="3476.95"/>
    <n v="132.70999999999998"/>
  </r>
  <r>
    <x v="11"/>
    <x v="8"/>
    <x v="0"/>
    <s v="3003104"/>
    <n v="721880"/>
    <s v="Supplies-Linen"/>
    <s v="Med/Surg Observation"/>
    <x v="0"/>
    <m/>
    <n v="0"/>
    <n v="0"/>
    <n v="0"/>
    <n v="0"/>
    <n v="950.4"/>
    <n v="4043.94"/>
    <n v="0"/>
    <n v="0"/>
    <n v="0"/>
    <n v="0"/>
    <n v="0"/>
    <n v="475.2"/>
    <n v="5469.54"/>
    <n v="-475.2"/>
  </r>
  <r>
    <x v="11"/>
    <x v="8"/>
    <x v="0"/>
    <s v="3003104"/>
    <n v="721910"/>
    <s v="Supplies-Small Equipment"/>
    <s v="Med/Surg Observation"/>
    <x v="0"/>
    <m/>
    <n v="1847.03"/>
    <n v="598.17999999999995"/>
    <n v="275.23"/>
    <n v="645.55999999999995"/>
    <n v="375.01"/>
    <n v="756.23"/>
    <n v="742.4"/>
    <n v="50.87"/>
    <n v="871.67"/>
    <n v="449.79"/>
    <n v="518.13"/>
    <n v="475.77"/>
    <n v="7605.869999999999"/>
    <n v="42.360000000000014"/>
  </r>
  <r>
    <x v="11"/>
    <x v="8"/>
    <x v="0"/>
    <s v="3003104"/>
    <n v="721910"/>
    <s v="Instruments"/>
    <s v="Med/Surg Observation"/>
    <x v="0"/>
    <n v="1000"/>
    <n v="0"/>
    <n v="0"/>
    <n v="39"/>
    <n v="0"/>
    <n v="0"/>
    <n v="0"/>
    <n v="0"/>
    <n v="860.51"/>
    <n v="0"/>
    <n v="0"/>
    <n v="0"/>
    <n v="0"/>
    <n v="899.51"/>
    <n v="0"/>
  </r>
  <r>
    <x v="11"/>
    <x v="8"/>
    <x v="0"/>
    <s v="3003104"/>
    <n v="721980"/>
    <s v="Supplies-Other"/>
    <s v="Med/Surg Observation"/>
    <x v="0"/>
    <m/>
    <n v="1502.44"/>
    <n v="246.16"/>
    <n v="0"/>
    <n v="0"/>
    <n v="0"/>
    <n v="0"/>
    <n v="0"/>
    <n v="0"/>
    <n v="0"/>
    <n v="0"/>
    <n v="0"/>
    <n v="0"/>
    <n v="1748.6000000000001"/>
    <n v="0"/>
  </r>
  <r>
    <x v="11"/>
    <x v="8"/>
    <x v="0"/>
    <s v="3003104"/>
    <n v="722000"/>
    <s v="Supplies-Freight Expense"/>
    <s v="Med/Surg Observation"/>
    <x v="0"/>
    <m/>
    <n v="0"/>
    <n v="0"/>
    <n v="0"/>
    <n v="73.319999999999993"/>
    <n v="0"/>
    <n v="0"/>
    <n v="7.97"/>
    <n v="0"/>
    <n v="14.28"/>
    <n v="0"/>
    <n v="14.31"/>
    <n v="12.25"/>
    <n v="122.13"/>
    <n v="2.0600000000000005"/>
  </r>
  <r>
    <x v="12"/>
    <x v="8"/>
    <x v="0"/>
    <s v="3003104"/>
    <n v="730020"/>
    <s v="Rental and Leases-Copier Usage Fees (DO NOT USE)"/>
    <s v="Med/Surg Observation"/>
    <x v="0"/>
    <n v="5100"/>
    <n v="67.59"/>
    <n v="69.83"/>
    <n v="68.709999999999994"/>
    <n v="68.709999999999994"/>
    <n v="68.709999999999994"/>
    <n v="68.709999999999994"/>
    <n v="77.39"/>
    <n v="70.3"/>
    <n v="70.16"/>
    <n v="70.98"/>
    <n v="34.61"/>
    <n v="43.63"/>
    <n v="779.32999999999993"/>
    <n v="-9.0200000000000031"/>
  </r>
  <r>
    <x v="15"/>
    <x v="8"/>
    <x v="0"/>
    <s v="3003104"/>
    <n v="731060"/>
    <s v="Cell Phones"/>
    <s v="Med/Surg Observation"/>
    <x v="0"/>
    <n v="1001"/>
    <n v="0"/>
    <n v="62.64"/>
    <n v="25.86"/>
    <n v="0"/>
    <n v="29.78"/>
    <n v="10.82"/>
    <n v="62.94"/>
    <n v="0"/>
    <n v="31.96"/>
    <n v="63.41"/>
    <n v="31.09"/>
    <n v="31.7"/>
    <n v="350.19999999999993"/>
    <n v="-0.60999999999999943"/>
  </r>
  <r>
    <x v="16"/>
    <x v="8"/>
    <x v="0"/>
    <s v="3003104"/>
    <n v="732015"/>
    <s v="Repairs-Clinical Equip-T&amp;M-Ext to CHI Programs"/>
    <s v="Med/Surg Observation"/>
    <x v="0"/>
    <m/>
    <n v="0"/>
    <n v="0"/>
    <n v="0"/>
    <n v="0"/>
    <n v="0"/>
    <n v="0"/>
    <n v="0"/>
    <n v="0"/>
    <n v="0"/>
    <n v="0"/>
    <n v="0"/>
    <n v="350"/>
    <n v="350"/>
    <n v="-350"/>
  </r>
  <r>
    <x v="16"/>
    <x v="8"/>
    <x v="0"/>
    <s v="3003104"/>
    <n v="732030"/>
    <s v="Repairs---Other"/>
    <s v="Med/Surg Observation"/>
    <x v="0"/>
    <m/>
    <n v="0"/>
    <n v="224"/>
    <n v="34.770000000000003"/>
    <n v="0"/>
    <n v="49.08"/>
    <n v="1658.46"/>
    <n v="4.17"/>
    <n v="109.68"/>
    <n v="0"/>
    <n v="0"/>
    <n v="0"/>
    <n v="0"/>
    <n v="2080.16"/>
    <n v="0"/>
  </r>
  <r>
    <x v="13"/>
    <x v="8"/>
    <x v="0"/>
    <s v="3003104"/>
    <n v="735070"/>
    <s v="Depreciation-Movable Equipment"/>
    <s v="Med/Surg Observation"/>
    <x v="0"/>
    <m/>
    <n v="2308.56"/>
    <n v="2308.56"/>
    <n v="2308.56"/>
    <n v="2308.56"/>
    <n v="2308.56"/>
    <n v="2308.56"/>
    <n v="2308.56"/>
    <n v="2308.56"/>
    <n v="2308.56"/>
    <n v="2308.56"/>
    <n v="2308.56"/>
    <n v="2308.56"/>
    <n v="27702.720000000005"/>
    <n v="0"/>
  </r>
  <r>
    <x v="0"/>
    <x v="8"/>
    <x v="0"/>
    <s v="3003104"/>
    <n v="742040"/>
    <s v="Freight-Other"/>
    <s v="Med/Surg Observation"/>
    <x v="0"/>
    <m/>
    <n v="0"/>
    <n v="0"/>
    <n v="0"/>
    <n v="54.8"/>
    <n v="0"/>
    <n v="0"/>
    <n v="0"/>
    <n v="0"/>
    <n v="0"/>
    <n v="0"/>
    <n v="0"/>
    <n v="0"/>
    <n v="54.8"/>
    <n v="0"/>
  </r>
  <r>
    <x v="0"/>
    <x v="8"/>
    <x v="0"/>
    <s v="3003104"/>
    <n v="743030"/>
    <s v="Subscriptions--Institutional"/>
    <s v="Med/Surg Observation"/>
    <x v="0"/>
    <m/>
    <n v="0"/>
    <n v="170.05"/>
    <n v="0"/>
    <n v="0"/>
    <n v="0"/>
    <n v="0"/>
    <n v="0"/>
    <n v="0"/>
    <n v="0"/>
    <n v="0"/>
    <n v="0"/>
    <n v="0"/>
    <n v="170.05"/>
    <n v="0"/>
  </r>
  <r>
    <x v="0"/>
    <x v="8"/>
    <x v="0"/>
    <s v="3003104"/>
    <n v="749510"/>
    <s v="Miscellaneous Expenses"/>
    <s v="Med/Surg Observation"/>
    <x v="0"/>
    <m/>
    <n v="92.73"/>
    <n v="75.959999999999994"/>
    <n v="204.28"/>
    <n v="-55.8"/>
    <n v="294"/>
    <n v="-294"/>
    <n v="936.5"/>
    <n v="0"/>
    <n v="0"/>
    <n v="38.450000000000003"/>
    <n v="0"/>
    <n v="153.55000000000001"/>
    <n v="1445.67"/>
    <n v="-153.55000000000001"/>
  </r>
  <r>
    <x v="0"/>
    <x v="8"/>
    <x v="0"/>
    <s v="3003104"/>
    <n v="749510"/>
    <s v="Licenses"/>
    <s v="Med/Surg Observation"/>
    <x v="0"/>
    <n v="1002"/>
    <n v="0"/>
    <n v="0"/>
    <n v="0"/>
    <n v="0"/>
    <n v="0"/>
    <n v="115"/>
    <n v="0"/>
    <n v="0"/>
    <n v="0"/>
    <n v="0"/>
    <n v="0"/>
    <n v="0"/>
    <n v="115"/>
    <n v="0"/>
  </r>
  <r>
    <x v="0"/>
    <x v="8"/>
    <x v="0"/>
    <s v="3003104"/>
    <n v="749510"/>
    <s v="Promotional Items"/>
    <s v="Med/Surg Observation"/>
    <x v="0"/>
    <n v="1004"/>
    <n v="0"/>
    <n v="0"/>
    <n v="0"/>
    <n v="0"/>
    <n v="0"/>
    <n v="38.049999999999997"/>
    <n v="0"/>
    <n v="0"/>
    <n v="3.23"/>
    <n v="0"/>
    <n v="0"/>
    <n v="0"/>
    <n v="41.279999999999994"/>
    <n v="0"/>
  </r>
  <r>
    <x v="0"/>
    <x v="8"/>
    <x v="0"/>
    <s v="3003104"/>
    <n v="749510"/>
    <s v="RICE Rewards"/>
    <s v="Med/Surg Observation"/>
    <x v="0"/>
    <n v="5100"/>
    <n v="0"/>
    <n v="0"/>
    <n v="0"/>
    <n v="0"/>
    <n v="0"/>
    <n v="546.89"/>
    <n v="0"/>
    <n v="0"/>
    <n v="0"/>
    <n v="768.11"/>
    <n v="0"/>
    <n v="0"/>
    <n v="1315"/>
    <n v="0"/>
  </r>
  <r>
    <x v="18"/>
    <x v="6"/>
    <x v="0"/>
    <s v="3003107"/>
    <n v="400010"/>
    <s v="Acute I/P Svcs Rev--Medicare"/>
    <s v="3 North"/>
    <x v="0"/>
    <n v="1100"/>
    <n v="-837043.32"/>
    <n v="-1066685.81"/>
    <n v="-1661242.51"/>
    <n v="-1001810.16"/>
    <n v="-1110902.82"/>
    <n v="-1074846.74"/>
    <n v="-1093668.29"/>
    <n v="-1130291.1200000001"/>
    <n v="-1123916.6100000001"/>
    <n v="-1053729.52"/>
    <n v="-1174595.01"/>
    <n v="-1237281.8700000001"/>
    <n v="-13566013.779999997"/>
    <n v="62686.860000000102"/>
  </r>
  <r>
    <x v="18"/>
    <x v="6"/>
    <x v="0"/>
    <s v="3003107"/>
    <n v="400010"/>
    <s v="Acute I/P Svcs Rev--Medicaid"/>
    <s v="3 North"/>
    <x v="0"/>
    <n v="1200"/>
    <n v="-88987.03"/>
    <n v="-300004.63"/>
    <n v="-66587.61"/>
    <n v="-177160.35"/>
    <n v="-100463.94"/>
    <n v="-289143.96999999997"/>
    <n v="-627089.11"/>
    <n v="-424267.74"/>
    <n v="-249001.7"/>
    <n v="-404187.78"/>
    <n v="-348752.08"/>
    <n v="-307832.96000000002"/>
    <n v="-3383478.9000000004"/>
    <n v="-40919.119999999995"/>
  </r>
  <r>
    <x v="18"/>
    <x v="6"/>
    <x v="0"/>
    <s v="3003107"/>
    <n v="400010"/>
    <s v="Acute I/P Svcs Rev--Comm Insurance"/>
    <s v="3 North"/>
    <x v="0"/>
    <n v="1300"/>
    <n v="-51458.35"/>
    <n v="44465.9"/>
    <n v="6342"/>
    <n v="0"/>
    <n v="-12252"/>
    <n v="-9513"/>
    <n v="15835.89"/>
    <n v="0"/>
    <n v="0"/>
    <n v="-18643.57"/>
    <n v="6310"/>
    <n v="0"/>
    <n v="-18913.129999999997"/>
    <n v="6310"/>
  </r>
  <r>
    <x v="18"/>
    <x v="6"/>
    <x v="0"/>
    <s v="3003107"/>
    <n v="400010"/>
    <s v="Acute I/P Svcs Rev--BCBS Comm"/>
    <s v="3 North"/>
    <x v="0"/>
    <n v="1301"/>
    <n v="-67709.34"/>
    <n v="-28868.34"/>
    <n v="-10467.43"/>
    <n v="12696.34"/>
    <n v="-6077.74"/>
    <n v="-30344.54"/>
    <n v="-46367.02"/>
    <n v="-100442.78"/>
    <n v="-13047.08"/>
    <n v="-65090.559999999998"/>
    <n v="-110230.14"/>
    <n v="-38839.660000000003"/>
    <n v="-504788.29000000004"/>
    <n v="-71390.48"/>
  </r>
  <r>
    <x v="18"/>
    <x v="6"/>
    <x v="0"/>
    <s v="3003107"/>
    <n v="400010"/>
    <s v="Acute I/P Svcs Rev--Managed Care"/>
    <s v="3 North"/>
    <x v="0"/>
    <n v="1400"/>
    <n v="-75068.88"/>
    <n v="-60371.89"/>
    <n v="-71058.509999999995"/>
    <n v="-95771.61"/>
    <n v="-143107.98000000001"/>
    <n v="-70380.47"/>
    <n v="-99506.34"/>
    <n v="-90437.79"/>
    <n v="-87948.56"/>
    <n v="-52336.79"/>
    <n v="-94919.08"/>
    <n v="-170097.16"/>
    <n v="-1111005.06"/>
    <n v="75178.080000000002"/>
  </r>
  <r>
    <x v="18"/>
    <x v="6"/>
    <x v="0"/>
    <s v="3003107"/>
    <n v="400010"/>
    <s v="Acute I/P Svcs Rev--Self Pay"/>
    <s v="3 North"/>
    <x v="0"/>
    <n v="1500"/>
    <n v="-18379.41"/>
    <n v="-7285.74"/>
    <n v="9513"/>
    <n v="0"/>
    <n v="0"/>
    <n v="-3171"/>
    <n v="0"/>
    <n v="0"/>
    <n v="-6532"/>
    <n v="-3266"/>
    <n v="-773.46"/>
    <n v="-2105.6999999999998"/>
    <n v="-32000.31"/>
    <n v="1332.2399999999998"/>
  </r>
  <r>
    <x v="18"/>
    <x v="6"/>
    <x v="0"/>
    <s v="3003107"/>
    <n v="400010"/>
    <s v="Acute I/P Svcs Rev--Other"/>
    <s v="3 North"/>
    <x v="0"/>
    <n v="1700"/>
    <n v="-115684.56"/>
    <n v="-61020.9"/>
    <n v="8517.66"/>
    <n v="-85454.81"/>
    <n v="-188723.31"/>
    <n v="-65997.66"/>
    <n v="-18985.330000000002"/>
    <n v="-17897.47"/>
    <n v="-112953"/>
    <n v="-16089"/>
    <n v="-5166.62"/>
    <n v="-48657"/>
    <n v="-728111.99999999988"/>
    <n v="43490.38"/>
  </r>
  <r>
    <x v="19"/>
    <x v="6"/>
    <x v="0"/>
    <s v="3003107"/>
    <n v="400020"/>
    <s v="O/P Care Svcs Rev--Medicare"/>
    <s v="3 North"/>
    <x v="0"/>
    <n v="1100"/>
    <n v="-338666.79"/>
    <n v="-292708.11"/>
    <n v="58804.47"/>
    <n v="-267291.53999999998"/>
    <n v="-130466.13"/>
    <n v="-81402.92"/>
    <n v="-109005.61"/>
    <n v="-180823.56"/>
    <n v="-412666.82"/>
    <n v="-235531.38"/>
    <n v="-297859.74"/>
    <n v="-179334.26"/>
    <n v="-2466952.3899999997"/>
    <n v="-118525.47999999998"/>
  </r>
  <r>
    <x v="19"/>
    <x v="6"/>
    <x v="0"/>
    <s v="3003107"/>
    <n v="400020"/>
    <s v="O/P Care Svcs Rev--Medicaid"/>
    <s v="3 North"/>
    <x v="0"/>
    <n v="1200"/>
    <n v="-42274.49"/>
    <n v="-22573.01"/>
    <n v="-33901.519999999997"/>
    <n v="-83833.600000000006"/>
    <n v="-142297.17000000001"/>
    <n v="-28461.759999999998"/>
    <n v="-89521.67"/>
    <n v="-74281.53"/>
    <n v="-63222.64"/>
    <n v="-222072.1"/>
    <n v="-11764.3"/>
    <n v="-7795.46"/>
    <n v="-821999.25"/>
    <n v="-3968.8399999999992"/>
  </r>
  <r>
    <x v="19"/>
    <x v="6"/>
    <x v="0"/>
    <s v="3003107"/>
    <n v="400020"/>
    <s v="O/P Care Svcs Rev--Comm Insurance"/>
    <s v="3 North"/>
    <x v="0"/>
    <n v="1300"/>
    <n v="-7913.06"/>
    <n v="1531.56"/>
    <n v="0"/>
    <n v="-2114.08"/>
    <n v="2114.08"/>
    <n v="0"/>
    <n v="0"/>
    <n v="-1148.67"/>
    <n v="1148.67"/>
    <n v="-3231.28"/>
    <n v="0"/>
    <n v="-4898.88"/>
    <n v="-14511.66"/>
    <n v="4898.88"/>
  </r>
  <r>
    <x v="19"/>
    <x v="6"/>
    <x v="0"/>
    <s v="3003107"/>
    <n v="400020"/>
    <s v="O/P Care Svcs Rev--BCBS Comm"/>
    <s v="3 North"/>
    <x v="0"/>
    <n v="1301"/>
    <n v="-3072.58"/>
    <n v="0"/>
    <n v="-6012.87"/>
    <n v="-3435.38"/>
    <n v="0"/>
    <n v="-2903.99"/>
    <n v="-2680.23"/>
    <n v="-1632.96"/>
    <n v="0"/>
    <n v="-17513.54"/>
    <n v="0"/>
    <n v="-8300.8799999999992"/>
    <n v="-45552.43"/>
    <n v="8300.8799999999992"/>
  </r>
  <r>
    <x v="19"/>
    <x v="6"/>
    <x v="0"/>
    <s v="3003107"/>
    <n v="400020"/>
    <s v="O/P Care Svcs Rev--Managed Care"/>
    <s v="3 North"/>
    <x v="0"/>
    <n v="1400"/>
    <n v="-2830.8"/>
    <n v="-9454.7999999999993"/>
    <n v="-18986.25"/>
    <n v="-12983.44"/>
    <n v="-26890.7"/>
    <n v="-42253.81"/>
    <n v="-27252.34"/>
    <n v="-4108.93"/>
    <n v="-11377.77"/>
    <n v="-9802.0400000000009"/>
    <n v="-13522.83"/>
    <n v="-15789.92"/>
    <n v="-195253.63"/>
    <n v="2267.09"/>
  </r>
  <r>
    <x v="19"/>
    <x v="6"/>
    <x v="0"/>
    <s v="3003107"/>
    <n v="400020"/>
    <s v="O/P Care Svcs Rev--Self Pay"/>
    <s v="3 North"/>
    <x v="0"/>
    <n v="1500"/>
    <n v="0"/>
    <n v="-1531.56"/>
    <n v="0"/>
    <n v="0"/>
    <n v="0"/>
    <n v="-5375.79"/>
    <n v="-6859.66"/>
    <n v="0"/>
    <n v="0"/>
    <n v="0"/>
    <n v="0"/>
    <n v="-2723.52"/>
    <n v="-16490.53"/>
    <n v="2723.52"/>
  </r>
  <r>
    <x v="19"/>
    <x v="6"/>
    <x v="0"/>
    <s v="3003107"/>
    <n v="400020"/>
    <s v="O/P Care Svcs Rev--Other"/>
    <s v="3 North"/>
    <x v="0"/>
    <n v="1700"/>
    <n v="-8382.49"/>
    <n v="-199.11"/>
    <n v="0"/>
    <n v="-20343.22"/>
    <n v="0"/>
    <n v="-31233.16"/>
    <n v="-3231.28"/>
    <n v="-42455.12"/>
    <n v="-97659.92"/>
    <n v="143346.32"/>
    <n v="-6177.68"/>
    <n v="-2857.68"/>
    <n v="-69193.339999999967"/>
    <n v="-3320.0000000000005"/>
  </r>
  <r>
    <x v="5"/>
    <x v="6"/>
    <x v="0"/>
    <s v="3003107"/>
    <n v="700014"/>
    <s v="Salaries-Management-Productive"/>
    <s v="3 North"/>
    <x v="0"/>
    <m/>
    <n v="4128.3"/>
    <n v="3133.02"/>
    <n v="4362.78"/>
    <n v="3331.47"/>
    <n v="5057.67"/>
    <n v="3128.91"/>
    <n v="4168.07"/>
    <n v="4259.04"/>
    <n v="3163.93"/>
    <n v="4836.8999999999996"/>
    <n v="3452.91"/>
    <n v="5993.18"/>
    <n v="49016.18"/>
    <n v="-2540.2700000000004"/>
  </r>
  <r>
    <x v="5"/>
    <x v="6"/>
    <x v="0"/>
    <s v="3003107"/>
    <n v="700018"/>
    <s v="Salaries-Supervisory-Productive"/>
    <s v="3 North"/>
    <x v="0"/>
    <m/>
    <n v="11753.35"/>
    <n v="10872.98"/>
    <n v="10936.6"/>
    <n v="14442.19"/>
    <n v="13803.22"/>
    <n v="10447.879999999999"/>
    <n v="11421.97"/>
    <n v="13282.68"/>
    <n v="14079.68"/>
    <n v="11857.86"/>
    <n v="13290.82"/>
    <n v="12586.78"/>
    <n v="148776.00999999998"/>
    <n v="704.03999999999905"/>
  </r>
  <r>
    <x v="5"/>
    <x v="6"/>
    <x v="0"/>
    <s v="3003107"/>
    <n v="700026"/>
    <s v="Salaries-RN-Productive"/>
    <s v="3 North"/>
    <x v="0"/>
    <m/>
    <n v="153594.76999999999"/>
    <n v="153012.59"/>
    <n v="155478.07"/>
    <n v="152374.64000000001"/>
    <n v="155189.47"/>
    <n v="165839.45000000001"/>
    <n v="178418.26"/>
    <n v="168410.56"/>
    <n v="186214.43"/>
    <n v="168902.32"/>
    <n v="182897.54"/>
    <n v="177465.59"/>
    <n v="1997797.6900000002"/>
    <n v="5431.9500000000116"/>
  </r>
  <r>
    <x v="5"/>
    <x v="6"/>
    <x v="0"/>
    <s v="3003107"/>
    <n v="700026"/>
    <s v="Salaries-RN-OT"/>
    <s v="3 North"/>
    <x v="0"/>
    <n v="1000"/>
    <n v="11156.14"/>
    <n v="12025.78"/>
    <n v="10633.46"/>
    <n v="13066.6"/>
    <n v="10246.19"/>
    <n v="14358.24"/>
    <n v="19080.21"/>
    <n v="15547.43"/>
    <n v="21182.240000000002"/>
    <n v="17217.47"/>
    <n v="14457.89"/>
    <n v="21163.63"/>
    <n v="180135.28000000003"/>
    <n v="-6705.7400000000016"/>
  </r>
  <r>
    <x v="5"/>
    <x v="6"/>
    <x v="0"/>
    <s v="3003107"/>
    <n v="700026"/>
    <s v="Salaries-RN-Other"/>
    <s v="3 North"/>
    <x v="0"/>
    <n v="2000"/>
    <n v="16433.009999999998"/>
    <n v="18099.54"/>
    <n v="18489.41"/>
    <n v="17385.77"/>
    <n v="18592.939999999999"/>
    <n v="17640.419999999998"/>
    <n v="20056.36"/>
    <n v="16531.259999999998"/>
    <n v="20350.419999999998"/>
    <n v="20518.07"/>
    <n v="20358.509999999998"/>
    <n v="20133.830000000002"/>
    <n v="224589.54000000004"/>
    <n v="224.67999999999665"/>
  </r>
  <r>
    <x v="5"/>
    <x v="6"/>
    <x v="0"/>
    <s v="3003107"/>
    <n v="700030"/>
    <s v="Salaries-LPN-Productive"/>
    <s v="3 North"/>
    <x v="0"/>
    <m/>
    <n v="4704.38"/>
    <n v="3701.8"/>
    <n v="852.3"/>
    <n v="4458.17"/>
    <n v="4808.8100000000004"/>
    <n v="4533.3999999999996"/>
    <n v="4409.2299999999996"/>
    <n v="3021.04"/>
    <n v="4111.78"/>
    <n v="3226.01"/>
    <n v="3225.95"/>
    <n v="5775.47"/>
    <n v="46828.340000000004"/>
    <n v="-2549.5200000000004"/>
  </r>
  <r>
    <x v="5"/>
    <x v="6"/>
    <x v="0"/>
    <s v="3003107"/>
    <n v="700030"/>
    <s v="Salaries-LPN-OT"/>
    <s v="3 North"/>
    <x v="0"/>
    <n v="1000"/>
    <n v="10.17"/>
    <n v="0"/>
    <n v="0"/>
    <n v="56.18"/>
    <n v="23.05"/>
    <n v="-18.72"/>
    <n v="219.28"/>
    <n v="-7.21"/>
    <n v="0"/>
    <n v="32.380000000000003"/>
    <n v="-13.48"/>
    <n v="82.7"/>
    <n v="384.34999999999997"/>
    <n v="-96.18"/>
  </r>
  <r>
    <x v="5"/>
    <x v="6"/>
    <x v="0"/>
    <s v="3003107"/>
    <n v="700030"/>
    <s v="Salaries-LPN-Other"/>
    <s v="3 North"/>
    <x v="0"/>
    <n v="2000"/>
    <n v="98.51"/>
    <n v="69.900000000000006"/>
    <n v="37.53"/>
    <n v="78.989999999999995"/>
    <n v="89.95"/>
    <n v="103.59"/>
    <n v="70.03"/>
    <n v="37.56"/>
    <n v="36.78"/>
    <n v="59.51"/>
    <n v="41.45"/>
    <n v="223.67"/>
    <n v="947.46999999999991"/>
    <n v="-182.21999999999997"/>
  </r>
  <r>
    <x v="5"/>
    <x v="6"/>
    <x v="0"/>
    <s v="3003107"/>
    <n v="700032"/>
    <s v="Salaries-Other Pat Care Providers-Productive"/>
    <s v="3 North"/>
    <x v="0"/>
    <m/>
    <n v="28660.78"/>
    <n v="30211.26"/>
    <n v="30923.54"/>
    <n v="25846.29"/>
    <n v="33114.550000000003"/>
    <n v="28813.71"/>
    <n v="27786.14"/>
    <n v="28178.31"/>
    <n v="30610.12"/>
    <n v="29237.79"/>
    <n v="30170.26"/>
    <n v="27102.13"/>
    <n v="350654.87999999995"/>
    <n v="3068.1299999999974"/>
  </r>
  <r>
    <x v="5"/>
    <x v="6"/>
    <x v="0"/>
    <s v="3003107"/>
    <n v="700032"/>
    <s v="Salaries-Other Pat Care Providers-OT"/>
    <s v="3 North"/>
    <x v="0"/>
    <n v="1000"/>
    <n v="6270.47"/>
    <n v="4194.58"/>
    <n v="3931.58"/>
    <n v="6141.8"/>
    <n v="1163.96"/>
    <n v="4442"/>
    <n v="2954.82"/>
    <n v="4953.7700000000004"/>
    <n v="5877.38"/>
    <n v="7955.27"/>
    <n v="1732.42"/>
    <n v="5911.82"/>
    <n v="55529.869999999988"/>
    <n v="-4179.3999999999996"/>
  </r>
  <r>
    <x v="5"/>
    <x v="6"/>
    <x v="0"/>
    <s v="3003107"/>
    <n v="700032"/>
    <s v="Salaries-Other Pat Care Providers-Other"/>
    <s v="3 North"/>
    <x v="0"/>
    <n v="2000"/>
    <n v="2813.84"/>
    <n v="3162.54"/>
    <n v="2699.45"/>
    <n v="2695.27"/>
    <n v="2876.42"/>
    <n v="2845.62"/>
    <n v="2277.83"/>
    <n v="2528.79"/>
    <n v="2718.91"/>
    <n v="2644.35"/>
    <n v="2776.37"/>
    <n v="1846.31"/>
    <n v="31885.7"/>
    <n v="930.06"/>
  </r>
  <r>
    <x v="5"/>
    <x v="6"/>
    <x v="0"/>
    <s v="3003107"/>
    <n v="700054"/>
    <s v="Salaries-Management-Non-productive"/>
    <s v="3 North"/>
    <x v="0"/>
    <m/>
    <n v="409.92"/>
    <n v="1405.41"/>
    <n v="29.31"/>
    <n v="1344.09"/>
    <n v="-501.21"/>
    <n v="1579.57"/>
    <n v="547.77"/>
    <n v="0"/>
    <n v="1551.45"/>
    <n v="-273.75"/>
    <n v="1262.47"/>
    <n v="1384.16"/>
    <n v="8739.19"/>
    <n v="-121.69000000000005"/>
  </r>
  <r>
    <x v="5"/>
    <x v="6"/>
    <x v="0"/>
    <s v="3003107"/>
    <n v="700054"/>
    <s v="Salaries-Management-NonProd-Other"/>
    <s v="3 North"/>
    <x v="0"/>
    <n v="2000"/>
    <n v="0"/>
    <n v="0"/>
    <n v="0"/>
    <n v="0"/>
    <n v="0"/>
    <n v="763.59"/>
    <n v="-763.59"/>
    <n v="0"/>
    <n v="0"/>
    <n v="0"/>
    <n v="0"/>
    <n v="0"/>
    <n v="0"/>
    <n v="0"/>
  </r>
  <r>
    <x v="5"/>
    <x v="6"/>
    <x v="0"/>
    <s v="3003107"/>
    <n v="700058"/>
    <s v="Salaries-Supervisory-Non-productive"/>
    <s v="3 North"/>
    <x v="0"/>
    <m/>
    <n v="2579.6"/>
    <n v="3460.62"/>
    <n v="2934.82"/>
    <n v="413.21"/>
    <n v="693.67"/>
    <n v="4532.75"/>
    <n v="3582.05"/>
    <n v="267.97000000000003"/>
    <n v="922.94"/>
    <n v="2660.31"/>
    <n v="1711.79"/>
    <n v="1932.09"/>
    <n v="25691.82"/>
    <n v="-220.29999999999995"/>
  </r>
  <r>
    <x v="5"/>
    <x v="6"/>
    <x v="0"/>
    <s v="3003107"/>
    <n v="700066"/>
    <s v="Salaries-RN-Non-productive"/>
    <s v="3 North"/>
    <x v="0"/>
    <m/>
    <n v="31012.98"/>
    <n v="29692.05"/>
    <n v="20199.2"/>
    <n v="22954.53"/>
    <n v="32628.79"/>
    <n v="24521.24"/>
    <n v="20176.55"/>
    <n v="18289.41"/>
    <n v="26951.07"/>
    <n v="18334.82"/>
    <n v="22037.08"/>
    <n v="13837.46"/>
    <n v="280635.18"/>
    <n v="8199.6200000000026"/>
  </r>
  <r>
    <x v="5"/>
    <x v="6"/>
    <x v="0"/>
    <s v="3003107"/>
    <n v="700066"/>
    <s v="Salaries-RN-NonProd-Other"/>
    <s v="3 North"/>
    <x v="0"/>
    <n v="2000"/>
    <n v="1659.62"/>
    <n v="2162.44"/>
    <n v="1326.86"/>
    <n v="1349.75"/>
    <n v="4656.22"/>
    <n v="5248.81"/>
    <n v="650.89"/>
    <n v="-4755.0600000000004"/>
    <n v="2006.03"/>
    <n v="986.02"/>
    <n v="822.97"/>
    <n v="1022.92"/>
    <n v="17137.469999999998"/>
    <n v="-199.94999999999993"/>
  </r>
  <r>
    <x v="5"/>
    <x v="6"/>
    <x v="0"/>
    <s v="3003107"/>
    <n v="700070"/>
    <s v="Salaries-LPN-Non-productive"/>
    <s v="3 North"/>
    <x v="0"/>
    <m/>
    <n v="0"/>
    <n v="696.23"/>
    <n v="1336.83"/>
    <n v="968.04"/>
    <n v="-403.34"/>
    <n v="480.16"/>
    <n v="277.08"/>
    <n v="1292.6099999999999"/>
    <n v="323.14999999999998"/>
    <n v="1292.6099999999999"/>
    <n v="1415.66"/>
    <n v="423.84"/>
    <n v="8102.869999999999"/>
    <n v="991.82000000000016"/>
  </r>
  <r>
    <x v="5"/>
    <x v="6"/>
    <x v="0"/>
    <s v="3003107"/>
    <n v="700072"/>
    <s v="Salaries-Other Pat Care Providers-Non-productive"/>
    <s v="3 North"/>
    <x v="0"/>
    <m/>
    <n v="9119.81"/>
    <n v="10860.54"/>
    <n v="7539.41"/>
    <n v="7374.62"/>
    <n v="10502.69"/>
    <n v="12564.97"/>
    <n v="7047.46"/>
    <n v="4685.33"/>
    <n v="12469.55"/>
    <n v="3851.21"/>
    <n v="13940.46"/>
    <n v="6040.55"/>
    <n v="105996.60000000002"/>
    <n v="7899.9099999999989"/>
  </r>
  <r>
    <x v="5"/>
    <x v="6"/>
    <x v="0"/>
    <s v="3003107"/>
    <n v="700072"/>
    <s v="Salaries-Other Pat Care Providers-NonProd-Other"/>
    <s v="3 North"/>
    <x v="0"/>
    <n v="2000"/>
    <n v="475.82"/>
    <n v="535.02"/>
    <n v="558.46"/>
    <n v="502.31"/>
    <n v="1553.72"/>
    <n v="2420.56"/>
    <n v="325.44"/>
    <n v="-2085.67"/>
    <n v="466.13"/>
    <n v="156.37"/>
    <n v="764.23"/>
    <n v="410.08"/>
    <n v="6082.4699999999993"/>
    <n v="354.15000000000003"/>
  </r>
  <r>
    <x v="5"/>
    <x v="6"/>
    <x v="0"/>
    <s v="3003107"/>
    <n v="700084"/>
    <s v="Accrued PTO"/>
    <s v="3 North"/>
    <x v="0"/>
    <m/>
    <n v="-9277.6299999999992"/>
    <n v="-5401.12"/>
    <n v="2647.1"/>
    <n v="11438.11"/>
    <n v="2688.39"/>
    <n v="-343.12"/>
    <n v="7504.41"/>
    <n v="14316.09"/>
    <n v="6650.42"/>
    <n v="7617.34"/>
    <n v="6790.19"/>
    <n v="10414.86"/>
    <n v="55045.040000000008"/>
    <n v="-3624.670000000001"/>
  </r>
  <r>
    <x v="10"/>
    <x v="6"/>
    <x v="0"/>
    <s v="3003107"/>
    <n v="710060"/>
    <s v="Contract Labor-Other"/>
    <s v="3 North"/>
    <x v="0"/>
    <m/>
    <n v="1473.5"/>
    <n v="3819.56"/>
    <n v="1374.83"/>
    <n v="2775.33"/>
    <n v="2479.5"/>
    <n v="720.86"/>
    <n v="0"/>
    <n v="847"/>
    <n v="275.58"/>
    <n v="363"/>
    <n v="920"/>
    <n v="242"/>
    <n v="15291.16"/>
    <n v="678"/>
  </r>
  <r>
    <x v="10"/>
    <x v="6"/>
    <x v="0"/>
    <s v="3003107"/>
    <n v="710060"/>
    <s v="Contract Labor-Overtime"/>
    <s v="3 North"/>
    <x v="0"/>
    <n v="5100"/>
    <n v="0"/>
    <n v="1204.8800000000001"/>
    <n v="0"/>
    <n v="0"/>
    <n v="766.8"/>
    <n v="0"/>
    <n v="0"/>
    <n v="0"/>
    <n v="304.08"/>
    <n v="0"/>
    <n v="0"/>
    <n v="0"/>
    <n v="2275.7600000000002"/>
    <n v="0"/>
  </r>
  <r>
    <x v="6"/>
    <x v="6"/>
    <x v="0"/>
    <s v="3003107"/>
    <n v="713010"/>
    <s v="Benefits-FICA/Medicare"/>
    <s v="3 North"/>
    <x v="0"/>
    <m/>
    <n v="21187.03"/>
    <n v="21329.89"/>
    <n v="20241.39"/>
    <n v="20458.439999999999"/>
    <n v="22333.56"/>
    <n v="22732.080000000002"/>
    <n v="22649.360000000001"/>
    <n v="21039.9"/>
    <n v="24834.52"/>
    <n v="21947.85"/>
    <n v="23938.6"/>
    <n v="22555.56"/>
    <n v="265248.18"/>
    <n v="1383.0399999999972"/>
  </r>
  <r>
    <x v="6"/>
    <x v="6"/>
    <x v="0"/>
    <s v="3003107"/>
    <n v="713090"/>
    <s v="Benefits-Allocated Amounts"/>
    <s v="3 North"/>
    <x v="0"/>
    <m/>
    <n v="47293.58"/>
    <n v="43399.8"/>
    <n v="44980.5"/>
    <n v="44127.77"/>
    <n v="54126.35"/>
    <n v="49177.52"/>
    <n v="49949.279999999999"/>
    <n v="49698.05"/>
    <n v="47245.34"/>
    <n v="53105.14"/>
    <n v="53096.09"/>
    <n v="58657.46"/>
    <n v="594856.88"/>
    <n v="-5561.3700000000026"/>
  </r>
  <r>
    <x v="6"/>
    <x v="6"/>
    <x v="0"/>
    <s v="3003107"/>
    <n v="713096"/>
    <s v="Employee Recognition"/>
    <s v="3 North"/>
    <x v="0"/>
    <n v="1017"/>
    <n v="0"/>
    <n v="0"/>
    <n v="0"/>
    <n v="0"/>
    <n v="0"/>
    <n v="22.86"/>
    <n v="0"/>
    <n v="0"/>
    <n v="0"/>
    <n v="43.98"/>
    <n v="0"/>
    <n v="0"/>
    <n v="66.84"/>
    <n v="0"/>
  </r>
  <r>
    <x v="17"/>
    <x v="6"/>
    <x v="0"/>
    <s v="3003107"/>
    <n v="714530"/>
    <s v="Medical Prof Fees-Intracompany"/>
    <s v="3 North"/>
    <x v="0"/>
    <m/>
    <n v="4164.88"/>
    <n v="-4164.88"/>
    <n v="0"/>
    <n v="0"/>
    <n v="0"/>
    <n v="0"/>
    <n v="0"/>
    <n v="0"/>
    <n v="0"/>
    <n v="0"/>
    <n v="0"/>
    <n v="0"/>
    <n v="0"/>
    <n v="0"/>
  </r>
  <r>
    <x v="7"/>
    <x v="6"/>
    <x v="0"/>
    <s v="3003107"/>
    <n v="718050"/>
    <s v="Contract Svcs-Other"/>
    <s v="3 North"/>
    <x v="0"/>
    <m/>
    <n v="0"/>
    <n v="0"/>
    <n v="0"/>
    <n v="0"/>
    <n v="0"/>
    <n v="450.8"/>
    <n v="0"/>
    <n v="0"/>
    <n v="0"/>
    <n v="0"/>
    <n v="0"/>
    <n v="0"/>
    <n v="450.8"/>
    <n v="0"/>
  </r>
  <r>
    <x v="7"/>
    <x v="6"/>
    <x v="0"/>
    <s v="3003107"/>
    <n v="718050"/>
    <s v="Contract Management--Linen"/>
    <s v="3 North"/>
    <x v="0"/>
    <n v="1026"/>
    <n v="3837.85"/>
    <n v="4221.84"/>
    <n v="5104.12"/>
    <n v="4410.08"/>
    <n v="4314.49"/>
    <n v="7899.82"/>
    <n v="4626.08"/>
    <n v="5217.6000000000004"/>
    <n v="4202.99"/>
    <n v="4474.8900000000003"/>
    <n v="3667.3"/>
    <n v="6002.96"/>
    <n v="57980.02"/>
    <n v="-2335.66"/>
  </r>
  <r>
    <x v="7"/>
    <x v="6"/>
    <x v="0"/>
    <s v="3003107"/>
    <n v="718070"/>
    <s v="Contract Srvcs-CHI Clinical Engineering"/>
    <s v="3 North"/>
    <x v="0"/>
    <m/>
    <n v="349.13"/>
    <n v="349.13"/>
    <n v="349.13"/>
    <n v="349.13"/>
    <n v="349.14"/>
    <n v="319.95999999999998"/>
    <n v="326.11"/>
    <n v="326.11"/>
    <n v="323.63"/>
    <n v="323.63"/>
    <n v="327.2"/>
    <n v="321.05"/>
    <n v="4013.3500000000004"/>
    <n v="6.1499999999999773"/>
  </r>
  <r>
    <x v="11"/>
    <x v="6"/>
    <x v="0"/>
    <s v="3003107"/>
    <n v="721010"/>
    <s v="Supplies-Medical - Billable"/>
    <s v="3 North"/>
    <x v="0"/>
    <m/>
    <n v="4184.5200000000004"/>
    <n v="3152.67"/>
    <n v="2869.81"/>
    <n v="3352.04"/>
    <n v="2929.07"/>
    <n v="2545.4299999999998"/>
    <n v="7678.71"/>
    <n v="1319.6"/>
    <n v="2244.67"/>
    <n v="4182.2299999999996"/>
    <n v="3571.49"/>
    <n v="3401.71"/>
    <n v="41431.949999999997"/>
    <n v="169.77999999999975"/>
  </r>
  <r>
    <x v="11"/>
    <x v="6"/>
    <x v="0"/>
    <s v="3003107"/>
    <n v="721010"/>
    <s v="Patient Monitoring"/>
    <s v="3 North"/>
    <x v="0"/>
    <n v="1000"/>
    <n v="239.43"/>
    <n v="106.16"/>
    <n v="70.97"/>
    <n v="69.61"/>
    <n v="89.52"/>
    <n v="201.25"/>
    <n v="117.44"/>
    <n v="52.46"/>
    <n v="136.01"/>
    <n v="122.02"/>
    <n v="67.16"/>
    <n v="105.83"/>
    <n v="1377.8600000000001"/>
    <n v="-38.67"/>
  </r>
  <r>
    <x v="11"/>
    <x v="6"/>
    <x v="0"/>
    <s v="3003107"/>
    <n v="721020"/>
    <s v="Supplies-Surgical - Billable"/>
    <s v="3 North"/>
    <x v="0"/>
    <m/>
    <n v="177.44"/>
    <n v="232.48"/>
    <n v="80.099999999999994"/>
    <n v="169.7"/>
    <n v="112.14"/>
    <n v="193.93"/>
    <n v="244.76"/>
    <n v="39.340000000000003"/>
    <n v="191.04"/>
    <n v="96.12"/>
    <n v="122.56"/>
    <n v="192.24"/>
    <n v="1851.8499999999997"/>
    <n v="-69.680000000000007"/>
  </r>
  <r>
    <x v="11"/>
    <x v="6"/>
    <x v="0"/>
    <s v="3003107"/>
    <n v="721020"/>
    <s v="Custom Packs"/>
    <s v="3 North"/>
    <x v="0"/>
    <n v="1000"/>
    <n v="0"/>
    <n v="72.16"/>
    <n v="216.73"/>
    <n v="105.92"/>
    <n v="92.8"/>
    <n v="66.2"/>
    <n v="26.48"/>
    <n v="39.72"/>
    <n v="52.96"/>
    <n v="132.4"/>
    <n v="66.2"/>
    <n v="158.88"/>
    <n v="1030.4500000000003"/>
    <n v="-92.679999999999993"/>
  </r>
  <r>
    <x v="11"/>
    <x v="6"/>
    <x v="0"/>
    <s v="3003107"/>
    <n v="721020"/>
    <s v="Suture/Wound Closure"/>
    <s v="3 North"/>
    <x v="0"/>
    <n v="1001"/>
    <n v="0"/>
    <n v="0"/>
    <n v="0"/>
    <n v="0"/>
    <n v="3.96"/>
    <n v="0"/>
    <n v="0"/>
    <n v="0"/>
    <n v="0"/>
    <n v="0"/>
    <n v="11.88"/>
    <n v="0"/>
    <n v="15.84"/>
    <n v="11.88"/>
  </r>
  <r>
    <x v="11"/>
    <x v="6"/>
    <x v="0"/>
    <s v="3003107"/>
    <n v="721050"/>
    <s v="Supplies-Cardiac Rhythm - Billable"/>
    <s v="3 North"/>
    <x v="0"/>
    <m/>
    <n v="0"/>
    <n v="0"/>
    <n v="0"/>
    <n v="0"/>
    <n v="0"/>
    <n v="-90"/>
    <n v="0"/>
    <n v="0"/>
    <n v="0"/>
    <n v="0"/>
    <n v="0"/>
    <n v="0"/>
    <n v="-90"/>
    <n v="0"/>
  </r>
  <r>
    <x v="11"/>
    <x v="6"/>
    <x v="0"/>
    <s v="3003107"/>
    <n v="721240"/>
    <s v="Supplies-IV Solutions/Supplies - Billable"/>
    <s v="3 North"/>
    <x v="0"/>
    <m/>
    <n v="1103.98"/>
    <n v="1108.28"/>
    <n v="992.51"/>
    <n v="866.03"/>
    <n v="1282.3599999999999"/>
    <n v="714.03"/>
    <n v="1361.79"/>
    <n v="1021.64"/>
    <n v="748.27"/>
    <n v="1129.6400000000001"/>
    <n v="782.9"/>
    <n v="1228.08"/>
    <n v="12339.509999999998"/>
    <n v="-445.17999999999995"/>
  </r>
  <r>
    <x v="11"/>
    <x v="6"/>
    <x v="0"/>
    <s v="3003107"/>
    <n v="721320"/>
    <s v="Supplies-Purchased Blood - Billable"/>
    <s v="3 North"/>
    <x v="0"/>
    <m/>
    <n v="240.03"/>
    <n v="205.74"/>
    <n v="68.58"/>
    <n v="137.16"/>
    <n v="137.16"/>
    <n v="148.59"/>
    <n v="102.87"/>
    <n v="0"/>
    <n v="137.16"/>
    <n v="91.74"/>
    <n v="41.7"/>
    <n v="150.12"/>
    <n v="1460.8500000000004"/>
    <n v="-108.42"/>
  </r>
  <r>
    <x v="11"/>
    <x v="6"/>
    <x v="0"/>
    <s v="3003107"/>
    <n v="721410"/>
    <s v="Supplies-Medical - Nonbillable"/>
    <s v="3 North"/>
    <x v="0"/>
    <m/>
    <n v="7173.35"/>
    <n v="6723.4"/>
    <n v="6652.64"/>
    <n v="6732.91"/>
    <n v="6422.03"/>
    <n v="6504.35"/>
    <n v="7795.53"/>
    <n v="6455.67"/>
    <n v="8782.6"/>
    <n v="6841.73"/>
    <n v="6434.56"/>
    <n v="7206.91"/>
    <n v="83725.679999999993"/>
    <n v="-772.34999999999945"/>
  </r>
  <r>
    <x v="11"/>
    <x v="6"/>
    <x v="0"/>
    <s v="3003107"/>
    <n v="721410"/>
    <s v="Patient Monitoring"/>
    <s v="3 North"/>
    <x v="0"/>
    <n v="1000"/>
    <n v="0"/>
    <n v="6.86"/>
    <n v="0"/>
    <n v="-6.86"/>
    <n v="13.72"/>
    <n v="0"/>
    <n v="0"/>
    <n v="0"/>
    <n v="0"/>
    <n v="0"/>
    <n v="0"/>
    <n v="0"/>
    <n v="13.72"/>
    <n v="0"/>
  </r>
  <r>
    <x v="11"/>
    <x v="6"/>
    <x v="0"/>
    <s v="3003107"/>
    <n v="721420"/>
    <s v="Supplies-Surgical Nonbillable"/>
    <s v="3 North"/>
    <x v="0"/>
    <m/>
    <n v="8.35"/>
    <n v="1.1599999999999999"/>
    <n v="16.510000000000002"/>
    <n v="11.13"/>
    <n v="167.13"/>
    <n v="2.93"/>
    <n v="3.96"/>
    <n v="22.04"/>
    <n v="199.81"/>
    <n v="2.58"/>
    <n v="1.1599999999999999"/>
    <n v="103.77"/>
    <n v="540.53"/>
    <n v="-102.61"/>
  </r>
  <r>
    <x v="11"/>
    <x v="6"/>
    <x v="0"/>
    <s v="3003107"/>
    <n v="721420"/>
    <s v="Sterilization Process Products"/>
    <s v="3 North"/>
    <x v="0"/>
    <n v="1009"/>
    <n v="3.3"/>
    <n v="51.59"/>
    <n v="1.8"/>
    <n v="2.7"/>
    <n v="0.74"/>
    <n v="2.4"/>
    <n v="1.8"/>
    <n v="2.08"/>
    <n v="2.17"/>
    <n v="1.34"/>
    <n v="1.2"/>
    <n v="2.9"/>
    <n v="74.02000000000001"/>
    <n v="-1.7"/>
  </r>
  <r>
    <x v="11"/>
    <x v="6"/>
    <x v="0"/>
    <s v="3003107"/>
    <n v="721610"/>
    <s v="Supplies-Anesthesia - Nonbillable"/>
    <s v="3 North"/>
    <x v="0"/>
    <m/>
    <n v="0"/>
    <n v="10.52"/>
    <n v="7.35"/>
    <n v="3.67"/>
    <n v="8.57"/>
    <n v="18.59"/>
    <n v="59.5"/>
    <n v="4.42"/>
    <n v="177.06"/>
    <n v="25.88"/>
    <n v="2.4500000000000002"/>
    <n v="28.08"/>
    <n v="346.09"/>
    <n v="-25.63"/>
  </r>
  <r>
    <x v="11"/>
    <x v="6"/>
    <x v="0"/>
    <s v="3003107"/>
    <n v="721640"/>
    <s v="Supplies-IV Solutions/Supplies - Nonbillable"/>
    <s v="3 North"/>
    <x v="0"/>
    <m/>
    <n v="1548.09"/>
    <n v="1594.08"/>
    <n v="1644.87"/>
    <n v="1095.3599999999999"/>
    <n v="824.15"/>
    <n v="1160.6199999999999"/>
    <n v="1237.58"/>
    <n v="1034.4000000000001"/>
    <n v="904.52"/>
    <n v="1363.73"/>
    <n v="980.56"/>
    <n v="1857.57"/>
    <n v="15245.529999999999"/>
    <n v="-877.01"/>
  </r>
  <r>
    <x v="11"/>
    <x v="6"/>
    <x v="0"/>
    <s v="3003107"/>
    <n v="721650"/>
    <s v="Supplies-Pharmacy Drugs - Nonbillable"/>
    <s v="3 North"/>
    <x v="0"/>
    <m/>
    <n v="152.19"/>
    <n v="125.82"/>
    <n v="72.36"/>
    <n v="138.37"/>
    <n v="121.23"/>
    <n v="157.13999999999999"/>
    <n v="60.3"/>
    <n v="140.72"/>
    <n v="177.64"/>
    <n v="125.82"/>
    <n v="197.79"/>
    <n v="139.41999999999999"/>
    <n v="1608.8"/>
    <n v="58.370000000000005"/>
  </r>
  <r>
    <x v="11"/>
    <x v="6"/>
    <x v="0"/>
    <s v="3003107"/>
    <n v="721710"/>
    <s v="Supplies-Laboratory - Nonbillable"/>
    <s v="3 North"/>
    <x v="0"/>
    <m/>
    <n v="174.42"/>
    <n v="183.6"/>
    <n v="153.11000000000001"/>
    <n v="149.1"/>
    <n v="100.62"/>
    <n v="108.39"/>
    <n v="159.24"/>
    <n v="142.22"/>
    <n v="116.53"/>
    <n v="113.91"/>
    <n v="179.59"/>
    <n v="157.97999999999999"/>
    <n v="1738.71"/>
    <n v="21.610000000000014"/>
  </r>
  <r>
    <x v="11"/>
    <x v="6"/>
    <x v="0"/>
    <s v="3003107"/>
    <n v="721710"/>
    <s v="Reagents"/>
    <s v="3 North"/>
    <x v="0"/>
    <n v="1000"/>
    <n v="0"/>
    <n v="0"/>
    <n v="3.15"/>
    <n v="0"/>
    <n v="0"/>
    <n v="0"/>
    <n v="0"/>
    <n v="0"/>
    <n v="0"/>
    <n v="0"/>
    <n v="0"/>
    <n v="0"/>
    <n v="3.15"/>
    <n v="0"/>
  </r>
  <r>
    <x v="11"/>
    <x v="6"/>
    <x v="0"/>
    <s v="3003107"/>
    <n v="721750"/>
    <s v="Supplies-Film/Radiographic - Nonbillable"/>
    <s v="3 North"/>
    <x v="0"/>
    <m/>
    <n v="0"/>
    <n v="2.81"/>
    <n v="0"/>
    <n v="2.81"/>
    <n v="0"/>
    <n v="0"/>
    <n v="6.55"/>
    <n v="2.81"/>
    <n v="0"/>
    <n v="2.81"/>
    <n v="2.81"/>
    <n v="0"/>
    <n v="20.599999999999998"/>
    <n v="2.81"/>
  </r>
  <r>
    <x v="11"/>
    <x v="6"/>
    <x v="0"/>
    <s v="3003107"/>
    <n v="721810"/>
    <s v="Supplies-Dietary/Cafeteria"/>
    <s v="3 North"/>
    <x v="0"/>
    <m/>
    <n v="1042.72"/>
    <n v="1320.44"/>
    <n v="880.13"/>
    <n v="1092.8800000000001"/>
    <n v="2041.41"/>
    <n v="1526.43"/>
    <n v="1549.8"/>
    <n v="1335.95"/>
    <n v="1588.32"/>
    <n v="1589.38"/>
    <n v="2197.02"/>
    <n v="1569.95"/>
    <n v="17734.43"/>
    <n v="627.06999999999994"/>
  </r>
  <r>
    <x v="11"/>
    <x v="6"/>
    <x v="0"/>
    <s v="3003107"/>
    <n v="721830"/>
    <s v="Supplies-Office"/>
    <s v="3 North"/>
    <x v="0"/>
    <m/>
    <n v="240.08"/>
    <n v="481.74"/>
    <n v="992.57"/>
    <n v="763.28"/>
    <n v="1309.33"/>
    <n v="644.71"/>
    <n v="727.6"/>
    <n v="358.55"/>
    <n v="1213.8"/>
    <n v="590.91"/>
    <n v="11973.91"/>
    <n v="-11286.55"/>
    <n v="8009.93"/>
    <n v="23260.46"/>
  </r>
  <r>
    <x v="11"/>
    <x v="6"/>
    <x v="0"/>
    <s v="3003107"/>
    <n v="721835"/>
    <s v="Supplies-Forms"/>
    <s v="3 North"/>
    <x v="0"/>
    <m/>
    <n v="0"/>
    <n v="0"/>
    <n v="0"/>
    <n v="0"/>
    <n v="188.78"/>
    <n v="0.5"/>
    <n v="0"/>
    <n v="0"/>
    <n v="5.4"/>
    <n v="25.8"/>
    <n v="0.5"/>
    <n v="15.77"/>
    <n v="236.75000000000003"/>
    <n v="-15.27"/>
  </r>
  <r>
    <x v="11"/>
    <x v="6"/>
    <x v="0"/>
    <s v="3003107"/>
    <n v="721870"/>
    <s v="Supplies-Environmental Services"/>
    <s v="3 North"/>
    <x v="0"/>
    <m/>
    <n v="967.95"/>
    <n v="806.02"/>
    <n v="940.34"/>
    <n v="981.96"/>
    <n v="779.14"/>
    <n v="1063.6500000000001"/>
    <n v="1131.18"/>
    <n v="855.48"/>
    <n v="1197.44"/>
    <n v="933.07"/>
    <n v="938.14"/>
    <n v="1124.8599999999999"/>
    <n v="11719.23"/>
    <n v="-186.71999999999991"/>
  </r>
  <r>
    <x v="11"/>
    <x v="6"/>
    <x v="0"/>
    <s v="3003107"/>
    <n v="721910"/>
    <s v="Supplies-Small Equipment"/>
    <s v="3 North"/>
    <x v="0"/>
    <m/>
    <n v="4389.05"/>
    <n v="1353.06"/>
    <n v="492.72"/>
    <n v="4460.87"/>
    <n v="862.5"/>
    <n v="1590.12"/>
    <n v="1108.74"/>
    <n v="1042.47"/>
    <n v="1033.28"/>
    <n v="3933.32"/>
    <n v="796.49"/>
    <n v="1432.83"/>
    <n v="22495.450000000004"/>
    <n v="-636.33999999999992"/>
  </r>
  <r>
    <x v="11"/>
    <x v="6"/>
    <x v="0"/>
    <s v="3003107"/>
    <n v="721910"/>
    <s v="Instruments"/>
    <s v="3 North"/>
    <x v="0"/>
    <n v="1000"/>
    <n v="63.54"/>
    <n v="72.819999999999993"/>
    <n v="88.92"/>
    <n v="58.72"/>
    <n v="71.14"/>
    <n v="74.8"/>
    <n v="67.34"/>
    <n v="65.52"/>
    <n v="52.75"/>
    <n v="60.52"/>
    <n v="51.99"/>
    <n v="70.739999999999995"/>
    <n v="798.8"/>
    <n v="-18.749999999999993"/>
  </r>
  <r>
    <x v="11"/>
    <x v="6"/>
    <x v="0"/>
    <s v="3003107"/>
    <n v="721980"/>
    <s v="Supplies-Other"/>
    <s v="3 North"/>
    <x v="0"/>
    <m/>
    <n v="0"/>
    <n v="1065.28"/>
    <n v="0"/>
    <n v="0"/>
    <n v="-390.88"/>
    <n v="60.67"/>
    <n v="105.88"/>
    <n v="38.49"/>
    <n v="-8.74"/>
    <n v="0"/>
    <n v="0"/>
    <n v="0"/>
    <n v="870.69999999999993"/>
    <n v="0"/>
  </r>
  <r>
    <x v="11"/>
    <x v="6"/>
    <x v="0"/>
    <s v="3003107"/>
    <n v="722000"/>
    <s v="Supplies-Freight Expense"/>
    <s v="3 North"/>
    <x v="0"/>
    <m/>
    <n v="-10.87"/>
    <n v="7.93"/>
    <n v="7.93"/>
    <n v="6.81"/>
    <n v="0"/>
    <n v="21.92"/>
    <n v="0"/>
    <n v="0"/>
    <n v="8.76"/>
    <n v="0"/>
    <n v="8.7899999999999991"/>
    <n v="0"/>
    <n v="51.269999999999996"/>
    <n v="8.7899999999999991"/>
  </r>
  <r>
    <x v="12"/>
    <x v="6"/>
    <x v="0"/>
    <s v="3003107"/>
    <n v="730020"/>
    <s v="Rental and Leases-Equipment (DO NOT USE)"/>
    <s v="3 North"/>
    <x v="0"/>
    <m/>
    <n v="0"/>
    <n v="84.32"/>
    <n v="42"/>
    <n v="-1293.4000000000001"/>
    <n v="0"/>
    <n v="0"/>
    <n v="76.040000000000006"/>
    <n v="0"/>
    <n v="38.020000000000003"/>
    <n v="0"/>
    <n v="76.040000000000006"/>
    <n v="38.020000000000003"/>
    <n v="-938.96000000000026"/>
    <n v="38.020000000000003"/>
  </r>
  <r>
    <x v="12"/>
    <x v="6"/>
    <x v="0"/>
    <s v="3003107"/>
    <n v="730020"/>
    <s v="Rental and Leases-Copier Usage Fees (DO NOT USE)"/>
    <s v="3 North"/>
    <x v="0"/>
    <n v="5100"/>
    <n v="292.79000000000002"/>
    <n v="290.97000000000003"/>
    <n v="291.88"/>
    <n v="291.88"/>
    <n v="291.88"/>
    <n v="291.88"/>
    <n v="125.71"/>
    <n v="703.66"/>
    <n v="170.23"/>
    <n v="-179.51"/>
    <n v="171.72"/>
    <n v="738.35"/>
    <n v="3481.4399999999996"/>
    <n v="-566.63"/>
  </r>
  <r>
    <x v="15"/>
    <x v="6"/>
    <x v="0"/>
    <s v="3003107"/>
    <n v="731060"/>
    <s v="Telephone"/>
    <s v="3 North"/>
    <x v="0"/>
    <m/>
    <n v="0"/>
    <n v="0"/>
    <n v="0"/>
    <n v="0"/>
    <n v="87"/>
    <n v="0"/>
    <n v="0"/>
    <n v="87"/>
    <n v="0"/>
    <n v="87"/>
    <n v="0"/>
    <n v="0"/>
    <n v="261"/>
    <n v="0"/>
  </r>
  <r>
    <x v="15"/>
    <x v="6"/>
    <x v="0"/>
    <s v="3003107"/>
    <n v="731060"/>
    <s v="Cell Phones"/>
    <s v="3 North"/>
    <x v="0"/>
    <n v="1001"/>
    <n v="0"/>
    <n v="0"/>
    <n v="0"/>
    <n v="0"/>
    <n v="0"/>
    <n v="0"/>
    <n v="0"/>
    <n v="0"/>
    <n v="0"/>
    <n v="118.65"/>
    <n v="53.96"/>
    <n v="53.33"/>
    <n v="225.94"/>
    <n v="0.63000000000000256"/>
  </r>
  <r>
    <x v="13"/>
    <x v="6"/>
    <x v="0"/>
    <s v="3003107"/>
    <n v="735040"/>
    <s v="Depreciation-Building Improvements"/>
    <s v="3 North"/>
    <x v="0"/>
    <m/>
    <n v="181.18"/>
    <n v="181.18"/>
    <n v="181.18"/>
    <n v="181.17"/>
    <n v="181.18"/>
    <n v="181.17"/>
    <n v="181.18"/>
    <n v="181.17"/>
    <n v="181.18"/>
    <n v="181.17"/>
    <n v="181.18"/>
    <n v="181.17"/>
    <n v="2174.11"/>
    <n v="1.0000000000019327E-2"/>
  </r>
  <r>
    <x v="13"/>
    <x v="6"/>
    <x v="0"/>
    <s v="3003107"/>
    <n v="735060"/>
    <s v="Depreciation-Fixed Equipment"/>
    <s v="3 North"/>
    <x v="0"/>
    <m/>
    <n v="123.53"/>
    <n v="123.53"/>
    <n v="123.53"/>
    <n v="123.52"/>
    <n v="123.53"/>
    <n v="123.52"/>
    <n v="123.53"/>
    <n v="123.52"/>
    <n v="123.53"/>
    <n v="123.53"/>
    <n v="123.53"/>
    <n v="123.53"/>
    <n v="1482.33"/>
    <n v="0"/>
  </r>
  <r>
    <x v="13"/>
    <x v="6"/>
    <x v="0"/>
    <s v="3003107"/>
    <n v="735070"/>
    <s v="Depreciation-Movable Equipment"/>
    <s v="3 North"/>
    <x v="0"/>
    <m/>
    <n v="834.28"/>
    <n v="691.75"/>
    <n v="691.78"/>
    <n v="691.74"/>
    <n v="691.79"/>
    <n v="691.73"/>
    <n v="691.79"/>
    <n v="691.73"/>
    <n v="691.82"/>
    <n v="691.73"/>
    <n v="691.82"/>
    <n v="691.71"/>
    <n v="8443.6699999999983"/>
    <n v="0.11000000000001364"/>
  </r>
  <r>
    <x v="0"/>
    <x v="6"/>
    <x v="0"/>
    <s v="3003107"/>
    <n v="740020"/>
    <s v="Education-Registration Fees"/>
    <s v="3 North"/>
    <x v="0"/>
    <m/>
    <n v="0"/>
    <n v="0"/>
    <n v="0"/>
    <n v="0"/>
    <n v="0"/>
    <n v="0"/>
    <n v="0"/>
    <n v="0"/>
    <n v="0"/>
    <n v="208"/>
    <n v="0"/>
    <n v="0"/>
    <n v="208"/>
    <n v="0"/>
  </r>
  <r>
    <x v="0"/>
    <x v="6"/>
    <x v="0"/>
    <s v="3003107"/>
    <n v="749510"/>
    <s v="Miscellaneous Expenses"/>
    <s v="3 North"/>
    <x v="0"/>
    <m/>
    <n v="0"/>
    <n v="0"/>
    <n v="32.69"/>
    <n v="0"/>
    <n v="37.06"/>
    <n v="-37.06"/>
    <n v="0"/>
    <n v="0"/>
    <n v="0"/>
    <n v="-745.21"/>
    <n v="0"/>
    <n v="0"/>
    <n v="-712.52"/>
    <n v="0"/>
  </r>
  <r>
    <x v="0"/>
    <x v="6"/>
    <x v="0"/>
    <s v="3003107"/>
    <n v="749510"/>
    <s v="Casualty Loss/Patient Property"/>
    <s v="3 North"/>
    <x v="0"/>
    <n v="4601"/>
    <n v="0"/>
    <n v="0"/>
    <n v="0"/>
    <n v="0"/>
    <n v="0"/>
    <n v="0"/>
    <n v="0"/>
    <n v="0"/>
    <n v="0"/>
    <n v="89"/>
    <n v="0"/>
    <n v="0"/>
    <n v="89"/>
    <n v="0"/>
  </r>
  <r>
    <x v="0"/>
    <x v="6"/>
    <x v="0"/>
    <s v="3003107"/>
    <n v="749530"/>
    <s v="Mileage"/>
    <s v="3 North"/>
    <x v="0"/>
    <n v="1001"/>
    <n v="0"/>
    <n v="0"/>
    <n v="0"/>
    <n v="0"/>
    <n v="0"/>
    <n v="37.06"/>
    <n v="0"/>
    <n v="0"/>
    <n v="0"/>
    <n v="0"/>
    <n v="0"/>
    <n v="0"/>
    <n v="37.06"/>
    <n v="0"/>
  </r>
  <r>
    <x v="18"/>
    <x v="3"/>
    <x v="0"/>
    <s v="3004101"/>
    <n v="400010"/>
    <s v="Acute I/P Svcs Rev--Medicare"/>
    <s v="3 South M/S Transition"/>
    <x v="0"/>
    <n v="1100"/>
    <n v="-1035610.76"/>
    <n v="-1377755.94"/>
    <n v="-1489578.91"/>
    <n v="-2011969.36"/>
    <n v="-1194374.05"/>
    <n v="-2006909.96"/>
    <n v="-2052157.26"/>
    <n v="-1653465.61"/>
    <n v="-1865949.3"/>
    <n v="-1849351.29"/>
    <n v="-2065295.46"/>
    <n v="-1760663.28"/>
    <n v="-20363081.180000003"/>
    <n v="-304632.17999999993"/>
  </r>
  <r>
    <x v="18"/>
    <x v="3"/>
    <x v="0"/>
    <s v="3004101"/>
    <n v="400010"/>
    <s v="Acute I/P Svcs Rev--Medicaid"/>
    <s v="3 South M/S Transition"/>
    <x v="0"/>
    <n v="1200"/>
    <n v="-583279.77"/>
    <n v="-418888.3"/>
    <n v="-480659.21"/>
    <n v="-259889.03"/>
    <n v="-578108.04"/>
    <n v="-375306.08"/>
    <n v="-546366.66"/>
    <n v="-622487.87"/>
    <n v="-570530.04"/>
    <n v="-552886.32999999996"/>
    <n v="-378730.29"/>
    <n v="-524870.53"/>
    <n v="-5892002.1500000004"/>
    <n v="146140.24000000005"/>
  </r>
  <r>
    <x v="18"/>
    <x v="3"/>
    <x v="0"/>
    <s v="3004101"/>
    <n v="400010"/>
    <s v="Acute I/P Svcs Rev--Comm Insurance"/>
    <s v="3 South M/S Transition"/>
    <x v="0"/>
    <n v="1300"/>
    <n v="-38306.31"/>
    <n v="-9818.35"/>
    <n v="39895.61"/>
    <n v="9826.34"/>
    <n v="-67092.53"/>
    <n v="-16172.99"/>
    <n v="-2692.69"/>
    <n v="25430.5"/>
    <n v="-23998.76"/>
    <n v="-67193.09"/>
    <n v="-54071.53"/>
    <n v="-32875.4"/>
    <n v="-237069.19999999998"/>
    <n v="-21196.129999999997"/>
  </r>
  <r>
    <x v="18"/>
    <x v="3"/>
    <x v="0"/>
    <s v="3004101"/>
    <n v="400010"/>
    <s v="Acute I/P Svcs Rev--BCBS Comm"/>
    <s v="3 South M/S Transition"/>
    <x v="0"/>
    <n v="1301"/>
    <n v="-38075.550000000003"/>
    <n v="-9513"/>
    <n v="-18161.22"/>
    <n v="-27253.93"/>
    <n v="-16132.25"/>
    <n v="-3238.33"/>
    <n v="-10712.28"/>
    <n v="-60117.5"/>
    <n v="-52713.38"/>
    <n v="-169793.54"/>
    <n v="-43291.14"/>
    <n v="-82753.119999999995"/>
    <n v="-531755.24"/>
    <n v="39461.979999999996"/>
  </r>
  <r>
    <x v="18"/>
    <x v="3"/>
    <x v="0"/>
    <s v="3004101"/>
    <n v="400010"/>
    <s v="Acute I/P Svcs Rev--Managed Care"/>
    <s v="3 South M/S Transition"/>
    <x v="0"/>
    <n v="1400"/>
    <n v="-165973.45000000001"/>
    <n v="-265940.40000000002"/>
    <n v="-344276.1"/>
    <n v="-296431.03000000003"/>
    <n v="-132049.29"/>
    <n v="-186703.43"/>
    <n v="-251427.15"/>
    <n v="-300758.40999999997"/>
    <n v="-472045.28"/>
    <n v="-311141.05"/>
    <n v="-437901.24"/>
    <n v="-354887.21"/>
    <n v="-3519534.04"/>
    <n v="-83014.02999999997"/>
  </r>
  <r>
    <x v="18"/>
    <x v="3"/>
    <x v="0"/>
    <s v="3004101"/>
    <n v="400010"/>
    <s v="Acute I/P Svcs Rev--Self Pay"/>
    <s v="3 South M/S Transition"/>
    <x v="0"/>
    <n v="1500"/>
    <n v="-6904.41"/>
    <n v="-65124.89"/>
    <n v="-4652.3999999999996"/>
    <n v="-18456.84"/>
    <n v="-3524.53"/>
    <n v="1858.94"/>
    <n v="-20168.68"/>
    <n v="21946.44"/>
    <n v="-14903"/>
    <n v="-25922"/>
    <n v="-4309.17"/>
    <n v="-22751"/>
    <n v="-162911.54"/>
    <n v="18441.830000000002"/>
  </r>
  <r>
    <x v="18"/>
    <x v="3"/>
    <x v="0"/>
    <s v="3004101"/>
    <n v="400010"/>
    <s v="Acute I/P Svcs Rev--Other"/>
    <s v="3 South M/S Transition"/>
    <x v="0"/>
    <n v="1700"/>
    <n v="-44149.59"/>
    <n v="-58097.79"/>
    <n v="-59345.56"/>
    <n v="-55238.63"/>
    <n v="-94802.14"/>
    <n v="-43679.82"/>
    <n v="-93630.76"/>
    <n v="-124279.23"/>
    <n v="-67121.440000000002"/>
    <n v="-35295.129999999997"/>
    <n v="-75335.179999999993"/>
    <n v="-102923.57"/>
    <n v="-853898.84000000008"/>
    <n v="27588.390000000014"/>
  </r>
  <r>
    <x v="19"/>
    <x v="3"/>
    <x v="0"/>
    <s v="3004101"/>
    <n v="400020"/>
    <s v="O/P Care Svcs Rev--Medicare"/>
    <s v="3 South M/S Transition"/>
    <x v="0"/>
    <n v="1100"/>
    <n v="-277212.84999999998"/>
    <n v="-403303.69"/>
    <n v="-286754.99"/>
    <n v="-308525.65000000002"/>
    <n v="-116373.83"/>
    <n v="-193602.23"/>
    <n v="-217039.39"/>
    <n v="-169952.15"/>
    <n v="-143861.1"/>
    <n v="-137366.10999999999"/>
    <n v="-133205.64000000001"/>
    <n v="-133037.44"/>
    <n v="-2520235.0700000003"/>
    <n v="-168.20000000001164"/>
  </r>
  <r>
    <x v="19"/>
    <x v="3"/>
    <x v="0"/>
    <s v="3004101"/>
    <n v="400020"/>
    <s v="O/P Care Svcs Rev--Medicaid"/>
    <s v="3 South M/S Transition"/>
    <x v="0"/>
    <n v="1200"/>
    <n v="-54438.57"/>
    <n v="-78470.8"/>
    <n v="-39033.730000000003"/>
    <n v="-48999.4"/>
    <n v="-32490.48"/>
    <n v="-15728.04"/>
    <n v="-32877.22"/>
    <n v="-17262.080000000002"/>
    <n v="-41562.910000000003"/>
    <n v="-14520.29"/>
    <n v="-36941.74"/>
    <n v="-20030.97"/>
    <n v="-432356.23"/>
    <n v="-16910.769999999997"/>
  </r>
  <r>
    <x v="19"/>
    <x v="3"/>
    <x v="0"/>
    <s v="3004101"/>
    <n v="400020"/>
    <s v="O/P Care Svcs Rev--Comm Insurance"/>
    <s v="3 South M/S Transition"/>
    <x v="0"/>
    <n v="1300"/>
    <n v="-2680.23"/>
    <n v="-1717.69"/>
    <n v="0"/>
    <n v="-3502.71"/>
    <n v="0"/>
    <n v="822.48"/>
    <n v="0"/>
    <n v="0"/>
    <n v="-272.16000000000003"/>
    <n v="0"/>
    <n v="0"/>
    <n v="0"/>
    <n v="-7350.3099999999995"/>
    <n v="0"/>
  </r>
  <r>
    <x v="19"/>
    <x v="3"/>
    <x v="0"/>
    <s v="3004101"/>
    <n v="400020"/>
    <s v="O/P Care Svcs Rev--BCBS Comm"/>
    <s v="3 South M/S Transition"/>
    <x v="0"/>
    <n v="1301"/>
    <n v="-6510.59"/>
    <n v="0"/>
    <n v="-1659.19"/>
    <n v="-2297.34"/>
    <n v="0"/>
    <n v="-4268.49"/>
    <n v="-510.52"/>
    <n v="0"/>
    <n v="-7925.86"/>
    <n v="-5715.36"/>
    <n v="-5987.52"/>
    <n v="-5929.48"/>
    <n v="-40804.350000000006"/>
    <n v="-58.040000000000873"/>
  </r>
  <r>
    <x v="19"/>
    <x v="3"/>
    <x v="0"/>
    <s v="3004101"/>
    <n v="400020"/>
    <s v="O/P Care Svcs Rev--Managed Care"/>
    <s v="3 South M/S Transition"/>
    <x v="0"/>
    <n v="1400"/>
    <n v="-29488.13"/>
    <n v="-68839.81"/>
    <n v="-26548.95"/>
    <n v="-28207.65"/>
    <n v="-13363.65"/>
    <n v="-143845.95000000001"/>
    <n v="-114360.16"/>
    <n v="-3019.62"/>
    <n v="-19481.560000000001"/>
    <n v="-47180.27"/>
    <n v="-44691.24"/>
    <n v="-61595.82"/>
    <n v="-600622.81000000006"/>
    <n v="16904.580000000002"/>
  </r>
  <r>
    <x v="19"/>
    <x v="3"/>
    <x v="0"/>
    <s v="3004101"/>
    <n v="400020"/>
    <s v="O/P Care Svcs Rev--Self Pay"/>
    <s v="3 South M/S Transition"/>
    <x v="0"/>
    <n v="1500"/>
    <n v="-2246.21"/>
    <n v="-20785.52"/>
    <n v="-5199.6000000000004"/>
    <n v="-22443.119999999999"/>
    <n v="0"/>
    <n v="0"/>
    <n v="0"/>
    <n v="-26589.21"/>
    <n v="-3592.7"/>
    <n v="0"/>
    <n v="0"/>
    <n v="-11288.4"/>
    <n v="-92144.76"/>
    <n v="11288.4"/>
  </r>
  <r>
    <x v="19"/>
    <x v="3"/>
    <x v="0"/>
    <s v="3004101"/>
    <n v="400020"/>
    <s v="O/P Care Svcs Rev--Other"/>
    <s v="3 South M/S Transition"/>
    <x v="0"/>
    <n v="1700"/>
    <n v="-5395.46"/>
    <n v="-3584.71"/>
    <n v="-12240.14"/>
    <n v="-2580.79"/>
    <n v="-21772.799999999999"/>
    <n v="-12628.83"/>
    <n v="-3699.64"/>
    <n v="-19100.78"/>
    <n v="-73387.429999999993"/>
    <n v="4619.1000000000004"/>
    <n v="-2721.6"/>
    <n v="0"/>
    <n v="-152493.07999999999"/>
    <n v="-2721.6"/>
  </r>
  <r>
    <x v="5"/>
    <x v="3"/>
    <x v="0"/>
    <s v="3004101"/>
    <n v="700014"/>
    <s v="Salaries-Management-Productive"/>
    <s v="3 South M/S Transition"/>
    <x v="0"/>
    <m/>
    <n v="0"/>
    <n v="0"/>
    <n v="0"/>
    <n v="0"/>
    <n v="0"/>
    <n v="0"/>
    <n v="6869.37"/>
    <n v="9436.7000000000007"/>
    <n v="12938.53"/>
    <n v="15725.04"/>
    <n v="10212.73"/>
    <n v="19104.830000000002"/>
    <n v="74287.199999999997"/>
    <n v="-8892.1000000000022"/>
  </r>
  <r>
    <x v="5"/>
    <x v="3"/>
    <x v="0"/>
    <s v="3004101"/>
    <n v="700026"/>
    <s v="Salaries-RN-Productive"/>
    <s v="3 South M/S Transition"/>
    <x v="0"/>
    <m/>
    <n v="158560.28"/>
    <n v="161165.82999999999"/>
    <n v="201576.53"/>
    <n v="215142.91"/>
    <n v="143392.9"/>
    <n v="221991.42"/>
    <n v="212602.39"/>
    <n v="198866.92"/>
    <n v="245026.82"/>
    <n v="235173.87"/>
    <n v="247378.13"/>
    <n v="226820.2"/>
    <n v="2467698.2000000002"/>
    <n v="20557.929999999993"/>
  </r>
  <r>
    <x v="5"/>
    <x v="3"/>
    <x v="0"/>
    <s v="3004101"/>
    <n v="700026"/>
    <s v="Salaries-RN-OT"/>
    <s v="3 South M/S Transition"/>
    <x v="0"/>
    <n v="1000"/>
    <n v="4965.49"/>
    <n v="3843.21"/>
    <n v="13067.16"/>
    <n v="21391.9"/>
    <n v="753.67"/>
    <n v="22619.68"/>
    <n v="22506.81"/>
    <n v="25302.82"/>
    <n v="25896.51"/>
    <n v="12077.44"/>
    <n v="11564.53"/>
    <n v="14056.89"/>
    <n v="178046.11"/>
    <n v="-2492.3599999999988"/>
  </r>
  <r>
    <x v="5"/>
    <x v="3"/>
    <x v="0"/>
    <s v="3004101"/>
    <n v="700026"/>
    <s v="Salaries-RN-Other"/>
    <s v="3 South M/S Transition"/>
    <x v="0"/>
    <n v="2000"/>
    <n v="16505.12"/>
    <n v="16619.75"/>
    <n v="19687.13"/>
    <n v="21450.99"/>
    <n v="13869.48"/>
    <n v="22383.57"/>
    <n v="20808.39"/>
    <n v="20258.93"/>
    <n v="25082.07"/>
    <n v="21390.99"/>
    <n v="25283.61"/>
    <n v="21135.03"/>
    <n v="244475.05999999997"/>
    <n v="4148.5800000000017"/>
  </r>
  <r>
    <x v="5"/>
    <x v="3"/>
    <x v="0"/>
    <s v="3004101"/>
    <n v="700032"/>
    <s v="Salaries-Other Pat Care Providers-Productive"/>
    <s v="3 South M/S Transition"/>
    <x v="0"/>
    <m/>
    <n v="60466.39"/>
    <n v="54598.83"/>
    <n v="71160.240000000005"/>
    <n v="64757.34"/>
    <n v="53061.9"/>
    <n v="90495.43"/>
    <n v="78239.19"/>
    <n v="64393.51"/>
    <n v="67031.31"/>
    <n v="77145.8"/>
    <n v="61381.15"/>
    <n v="84944.34"/>
    <n v="827675.42999999993"/>
    <n v="-23563.189999999995"/>
  </r>
  <r>
    <x v="5"/>
    <x v="3"/>
    <x v="0"/>
    <s v="3004101"/>
    <n v="700032"/>
    <s v="Salaries-Other Pat Care Providers-OT"/>
    <s v="3 South M/S Transition"/>
    <x v="0"/>
    <n v="1000"/>
    <n v="6701.85"/>
    <n v="1160.5899999999999"/>
    <n v="4111.42"/>
    <n v="9277.2000000000007"/>
    <n v="-1126.82"/>
    <n v="14722.18"/>
    <n v="11189.75"/>
    <n v="14044.48"/>
    <n v="11545.68"/>
    <n v="15240.11"/>
    <n v="5244.59"/>
    <n v="17939.59"/>
    <n v="110050.61999999998"/>
    <n v="-12695"/>
  </r>
  <r>
    <x v="5"/>
    <x v="3"/>
    <x v="0"/>
    <s v="3004101"/>
    <n v="700032"/>
    <s v="Salaries-Other Pat Care Providers-Other"/>
    <s v="3 South M/S Transition"/>
    <x v="0"/>
    <n v="2000"/>
    <n v="4547.3500000000004"/>
    <n v="3879.74"/>
    <n v="5268.18"/>
    <n v="5639.36"/>
    <n v="3409.71"/>
    <n v="6980.37"/>
    <n v="6537.46"/>
    <n v="5152.67"/>
    <n v="5240.3500000000004"/>
    <n v="6315.71"/>
    <n v="4559.68"/>
    <n v="7213.19"/>
    <n v="64743.77"/>
    <n v="-2653.5099999999993"/>
  </r>
  <r>
    <x v="5"/>
    <x v="3"/>
    <x v="0"/>
    <s v="3004101"/>
    <n v="700038"/>
    <s v="Salaries-Service/Support-Productive"/>
    <s v="3 South M/S Transition"/>
    <x v="0"/>
    <m/>
    <n v="2438.66"/>
    <n v="-201.07"/>
    <n v="0"/>
    <n v="0"/>
    <n v="0"/>
    <n v="0"/>
    <n v="463.07"/>
    <n v="978.23"/>
    <n v="1328.73"/>
    <n v="1800.11"/>
    <n v="3311.9"/>
    <n v="1509.97"/>
    <n v="11629.599999999999"/>
    <n v="1801.93"/>
  </r>
  <r>
    <x v="5"/>
    <x v="3"/>
    <x v="0"/>
    <s v="3004101"/>
    <n v="700038"/>
    <s v="Salaries-Service/Support-OT"/>
    <s v="3 South M/S Transition"/>
    <x v="0"/>
    <n v="1000"/>
    <n v="0"/>
    <n v="0"/>
    <n v="0"/>
    <n v="0"/>
    <n v="0"/>
    <n v="0"/>
    <n v="0"/>
    <n v="0"/>
    <n v="0"/>
    <n v="14.68"/>
    <n v="-6.11"/>
    <n v="0"/>
    <n v="8.57"/>
    <n v="-6.11"/>
  </r>
  <r>
    <x v="5"/>
    <x v="3"/>
    <x v="0"/>
    <s v="3004101"/>
    <n v="700054"/>
    <s v="Salaries-Management-Non-productive"/>
    <s v="3 South M/S Transition"/>
    <x v="0"/>
    <m/>
    <n v="0"/>
    <n v="0"/>
    <n v="0"/>
    <n v="0"/>
    <n v="0"/>
    <n v="0"/>
    <n v="0"/>
    <n v="686.92"/>
    <n v="1772.3"/>
    <n v="4077.84"/>
    <n v="414.61"/>
    <n v="5326.61"/>
    <n v="12278.279999999999"/>
    <n v="-4912"/>
  </r>
  <r>
    <x v="5"/>
    <x v="3"/>
    <x v="0"/>
    <s v="3004101"/>
    <n v="700066"/>
    <s v="Salaries-RN-Non-productive"/>
    <s v="3 South M/S Transition"/>
    <x v="0"/>
    <m/>
    <n v="4082.65"/>
    <n v="9561.26"/>
    <n v="3509.73"/>
    <n v="7057.83"/>
    <n v="6869.65"/>
    <n v="8951.85"/>
    <n v="12509.9"/>
    <n v="28833.09"/>
    <n v="16060.4"/>
    <n v="33323.47"/>
    <n v="24616.97"/>
    <n v="33593.550000000003"/>
    <n v="188970.34999999998"/>
    <n v="-8976.5800000000017"/>
  </r>
  <r>
    <x v="5"/>
    <x v="3"/>
    <x v="0"/>
    <s v="3004101"/>
    <n v="700066"/>
    <s v="Salaries-RN-NonProd-Other"/>
    <s v="3 South M/S Transition"/>
    <x v="0"/>
    <n v="2000"/>
    <n v="612.62"/>
    <n v="749.39"/>
    <n v="912.6"/>
    <n v="1249.0899999999999"/>
    <n v="982.54"/>
    <n v="2222.46"/>
    <n v="1281.54"/>
    <n v="1678.46"/>
    <n v="1757.7"/>
    <n v="2712.72"/>
    <n v="1520.58"/>
    <n v="2636.23"/>
    <n v="18315.93"/>
    <n v="-1115.6500000000001"/>
  </r>
  <r>
    <x v="5"/>
    <x v="3"/>
    <x v="0"/>
    <s v="3004101"/>
    <n v="700072"/>
    <s v="Salaries-Other Pat Care Providers-Non-productive"/>
    <s v="3 South M/S Transition"/>
    <x v="0"/>
    <m/>
    <n v="0"/>
    <n v="756.32"/>
    <n v="516.17999999999995"/>
    <n v="317.68"/>
    <n v="508.36"/>
    <n v="449.21"/>
    <n v="-160.19"/>
    <n v="4805.43"/>
    <n v="1760.86"/>
    <n v="7899.25"/>
    <n v="9708.89"/>
    <n v="5524.44"/>
    <n v="32086.429999999997"/>
    <n v="4184.45"/>
  </r>
  <r>
    <x v="5"/>
    <x v="3"/>
    <x v="0"/>
    <s v="3004101"/>
    <n v="700072"/>
    <s v="Salaries-Other Pat Care Providers-NonProd-Other"/>
    <s v="3 South M/S Transition"/>
    <x v="0"/>
    <n v="2000"/>
    <n v="93.66"/>
    <n v="184.11"/>
    <n v="141.63"/>
    <n v="102.75"/>
    <n v="123.61"/>
    <n v="164.22"/>
    <n v="240.29"/>
    <n v="512.6"/>
    <n v="230.47"/>
    <n v="474.55"/>
    <n v="625.35"/>
    <n v="329.07"/>
    <n v="3222.31"/>
    <n v="296.28000000000003"/>
  </r>
  <r>
    <x v="5"/>
    <x v="3"/>
    <x v="0"/>
    <s v="3004101"/>
    <n v="700078"/>
    <s v="Salaries-Service/Support-Non-productive"/>
    <s v="3 South M/S Transition"/>
    <x v="0"/>
    <m/>
    <n v="0"/>
    <n v="0"/>
    <n v="0"/>
    <n v="0"/>
    <n v="0"/>
    <n v="0"/>
    <n v="0"/>
    <n v="0"/>
    <n v="0"/>
    <n v="0"/>
    <n v="273.45"/>
    <n v="-131.65"/>
    <n v="141.79999999999998"/>
    <n v="405.1"/>
  </r>
  <r>
    <x v="5"/>
    <x v="3"/>
    <x v="0"/>
    <s v="3004101"/>
    <n v="700084"/>
    <s v="Accrued PTO"/>
    <s v="3 South M/S Transition"/>
    <x v="0"/>
    <m/>
    <n v="344.97"/>
    <n v="-2066.89"/>
    <n v="2472.69"/>
    <n v="4052.19"/>
    <n v="2984.94"/>
    <n v="5063.67"/>
    <n v="-1219.29"/>
    <n v="-935.22"/>
    <n v="15374.54"/>
    <n v="1324.51"/>
    <n v="13515.09"/>
    <n v="14506.53"/>
    <n v="55417.729999999996"/>
    <n v="-991.44000000000051"/>
  </r>
  <r>
    <x v="10"/>
    <x v="3"/>
    <x v="0"/>
    <s v="3004101"/>
    <n v="710060"/>
    <s v="Contract Labor-Other"/>
    <s v="3 South M/S Transition"/>
    <x v="0"/>
    <m/>
    <n v="19804"/>
    <n v="120630"/>
    <n v="64107"/>
    <n v="111192.25"/>
    <n v="84537.73"/>
    <n v="12584.75"/>
    <n v="32361.25"/>
    <n v="74508.75"/>
    <n v="41619"/>
    <n v="2591.5"/>
    <n v="20748.5"/>
    <n v="7375.5"/>
    <n v="592060.23"/>
    <n v="13373"/>
  </r>
  <r>
    <x v="10"/>
    <x v="3"/>
    <x v="0"/>
    <s v="3004101"/>
    <n v="710060"/>
    <s v="Contract Labor-Overtime"/>
    <s v="3 South M/S Transition"/>
    <x v="0"/>
    <n v="5100"/>
    <n v="0"/>
    <n v="407.36"/>
    <n v="1174.1600000000001"/>
    <n v="5358.82"/>
    <n v="15816.08"/>
    <n v="1174.1600000000001"/>
    <n v="0"/>
    <n v="0"/>
    <n v="1999.69"/>
    <n v="0"/>
    <n v="0"/>
    <n v="835.31"/>
    <n v="26765.579999999998"/>
    <n v="-835.31"/>
  </r>
  <r>
    <x v="10"/>
    <x v="3"/>
    <x v="0"/>
    <s v="3004101"/>
    <n v="710060"/>
    <s v="Contract Labor-Standby Wages"/>
    <s v="3 South M/S Transition"/>
    <x v="0"/>
    <n v="5101"/>
    <n v="0"/>
    <n v="0"/>
    <n v="0"/>
    <n v="121.5"/>
    <n v="158.5"/>
    <n v="0"/>
    <n v="0"/>
    <n v="0"/>
    <n v="0"/>
    <n v="0"/>
    <n v="0"/>
    <n v="0"/>
    <n v="280"/>
    <n v="0"/>
  </r>
  <r>
    <x v="6"/>
    <x v="3"/>
    <x v="0"/>
    <s v="3004101"/>
    <n v="713010"/>
    <s v="Benefits-FICA/Medicare"/>
    <s v="3 South M/S Transition"/>
    <x v="0"/>
    <m/>
    <n v="19201.28"/>
    <n v="18694.72"/>
    <n v="23745.34"/>
    <n v="25778.66"/>
    <n v="16636"/>
    <n v="29288.03"/>
    <n v="27852.07"/>
    <n v="28286.23"/>
    <n v="30935.77"/>
    <n v="32129.09"/>
    <n v="30242.46"/>
    <n v="32717.59"/>
    <n v="315507.24000000005"/>
    <n v="-2475.130000000001"/>
  </r>
  <r>
    <x v="6"/>
    <x v="3"/>
    <x v="0"/>
    <s v="3004101"/>
    <n v="713090"/>
    <s v="Benefits-Allocated Amounts"/>
    <s v="3 South M/S Transition"/>
    <x v="0"/>
    <m/>
    <n v="61881.69"/>
    <n v="55596.06"/>
    <n v="75657.66"/>
    <n v="78111.91"/>
    <n v="54399.07"/>
    <n v="89649.47"/>
    <n v="88436.49"/>
    <n v="90644.64"/>
    <n v="79688.509999999995"/>
    <n v="101120.04"/>
    <n v="98977.43"/>
    <n v="105059.01"/>
    <n v="979221.98"/>
    <n v="-6081.5800000000017"/>
  </r>
  <r>
    <x v="6"/>
    <x v="3"/>
    <x v="0"/>
    <s v="3004101"/>
    <n v="713096"/>
    <s v="Employee Recognition"/>
    <s v="3 South M/S Transition"/>
    <x v="0"/>
    <n v="1017"/>
    <n v="0"/>
    <n v="0"/>
    <n v="0"/>
    <n v="0"/>
    <n v="0"/>
    <n v="0"/>
    <n v="0"/>
    <n v="0"/>
    <n v="0"/>
    <n v="176.33"/>
    <n v="333.33"/>
    <n v="0"/>
    <n v="509.65999999999997"/>
    <n v="333.33"/>
  </r>
  <r>
    <x v="7"/>
    <x v="3"/>
    <x v="0"/>
    <s v="3004101"/>
    <n v="718050"/>
    <s v="Contract Svcs-Other"/>
    <s v="3 South M/S Transition"/>
    <x v="0"/>
    <m/>
    <n v="0"/>
    <n v="0"/>
    <n v="0"/>
    <n v="0"/>
    <n v="0"/>
    <n v="0"/>
    <n v="884"/>
    <n v="0"/>
    <n v="0"/>
    <n v="11666.42"/>
    <n v="0"/>
    <n v="0"/>
    <n v="12550.42"/>
    <n v="0"/>
  </r>
  <r>
    <x v="7"/>
    <x v="3"/>
    <x v="0"/>
    <s v="3004101"/>
    <n v="718050"/>
    <s v="Miscellaneous Purchased Svcs"/>
    <s v="3 South M/S Transition"/>
    <x v="0"/>
    <n v="1020"/>
    <n v="0"/>
    <n v="0"/>
    <n v="0"/>
    <n v="0"/>
    <n v="0"/>
    <n v="0"/>
    <n v="0"/>
    <n v="0"/>
    <n v="0"/>
    <n v="0"/>
    <n v="8653.76"/>
    <n v="1036.04"/>
    <n v="9689.7999999999993"/>
    <n v="7617.72"/>
  </r>
  <r>
    <x v="7"/>
    <x v="3"/>
    <x v="0"/>
    <s v="3004101"/>
    <n v="718050"/>
    <s v="Translation Services"/>
    <s v="3 South M/S Transition"/>
    <x v="0"/>
    <n v="1025"/>
    <n v="0"/>
    <n v="2792.98"/>
    <n v="32"/>
    <n v="54.51"/>
    <n v="0"/>
    <n v="248"/>
    <n v="0"/>
    <n v="0"/>
    <n v="3.95"/>
    <n v="32"/>
    <n v="0"/>
    <n v="65.569999999999993"/>
    <n v="3229.01"/>
    <n v="-65.569999999999993"/>
  </r>
  <r>
    <x v="7"/>
    <x v="3"/>
    <x v="0"/>
    <s v="3004101"/>
    <n v="718050"/>
    <s v="Contract Management--Linen"/>
    <s v="3 South M/S Transition"/>
    <x v="0"/>
    <n v="1026"/>
    <n v="4321.2299999999996"/>
    <n v="5453.88"/>
    <n v="5031.3999999999996"/>
    <n v="6191.96"/>
    <n v="5292.07"/>
    <n v="6865.81"/>
    <n v="6915.83"/>
    <n v="6747.88"/>
    <n v="6162.08"/>
    <n v="6636.42"/>
    <n v="7577.49"/>
    <n v="8254.2900000000009"/>
    <n v="75450.34"/>
    <n v="-676.80000000000109"/>
  </r>
  <r>
    <x v="11"/>
    <x v="3"/>
    <x v="0"/>
    <s v="3004101"/>
    <n v="721010"/>
    <s v="Supplies-Medical - Billable"/>
    <s v="3 South M/S Transition"/>
    <x v="0"/>
    <m/>
    <n v="2011.9"/>
    <n v="2806.55"/>
    <n v="3522.18"/>
    <n v="3264.24"/>
    <n v="2664.4"/>
    <n v="3515.28"/>
    <n v="2853.46"/>
    <n v="4596.33"/>
    <n v="7796.95"/>
    <n v="5717.17"/>
    <n v="6240.59"/>
    <n v="4909.3999999999996"/>
    <n v="49898.44999999999"/>
    <n v="1331.1900000000005"/>
  </r>
  <r>
    <x v="11"/>
    <x v="3"/>
    <x v="0"/>
    <s v="3004101"/>
    <n v="721010"/>
    <s v="Patient Monitoring"/>
    <s v="3 South M/S Transition"/>
    <x v="0"/>
    <n v="1000"/>
    <n v="183.49"/>
    <n v="202.96"/>
    <n v="162.66999999999999"/>
    <n v="-1.55"/>
    <n v="112.82"/>
    <n v="124.21"/>
    <n v="275.66000000000003"/>
    <n v="1243.1099999999999"/>
    <n v="217.67"/>
    <n v="90.89"/>
    <n v="369.74"/>
    <n v="1072.78"/>
    <n v="4054.45"/>
    <n v="-703.04"/>
  </r>
  <r>
    <x v="11"/>
    <x v="3"/>
    <x v="0"/>
    <s v="3004101"/>
    <n v="721020"/>
    <s v="Supplies-Surgical - Billable"/>
    <s v="3 South M/S Transition"/>
    <x v="0"/>
    <m/>
    <n v="392.76"/>
    <n v="210.65"/>
    <n v="155.66"/>
    <n v="113.5"/>
    <n v="315.99"/>
    <n v="419.03"/>
    <n v="711.69"/>
    <n v="138.61000000000001"/>
    <n v="1482.26"/>
    <n v="1383.18"/>
    <n v="1434.16"/>
    <n v="1457.1"/>
    <n v="8214.59"/>
    <n v="-22.939999999999827"/>
  </r>
  <r>
    <x v="11"/>
    <x v="3"/>
    <x v="0"/>
    <s v="3004101"/>
    <n v="721020"/>
    <s v="Custom Packs"/>
    <s v="3 South M/S Transition"/>
    <x v="0"/>
    <n v="1000"/>
    <n v="0"/>
    <n v="6.29"/>
    <n v="169.01"/>
    <n v="39.72"/>
    <n v="13.24"/>
    <n v="66.2"/>
    <n v="26.48"/>
    <n v="79.44"/>
    <n v="182.25"/>
    <n v="72.489999999999995"/>
    <n v="26.48"/>
    <n v="129.29"/>
    <n v="810.89"/>
    <n v="-102.80999999999999"/>
  </r>
  <r>
    <x v="11"/>
    <x v="3"/>
    <x v="0"/>
    <s v="3004101"/>
    <n v="721020"/>
    <s v="Suture/Wound Closure"/>
    <s v="3 South M/S Transition"/>
    <x v="0"/>
    <n v="1001"/>
    <n v="0"/>
    <n v="0"/>
    <n v="0"/>
    <n v="0"/>
    <n v="0"/>
    <n v="109.35"/>
    <n v="0"/>
    <n v="0"/>
    <n v="3.31"/>
    <n v="0"/>
    <n v="0"/>
    <n v="2.34"/>
    <n v="115"/>
    <n v="-2.34"/>
  </r>
  <r>
    <x v="11"/>
    <x v="3"/>
    <x v="0"/>
    <s v="3004101"/>
    <n v="721020"/>
    <s v="Urological Supplies"/>
    <s v="3 South M/S Transition"/>
    <x v="0"/>
    <n v="1006"/>
    <n v="0"/>
    <n v="0"/>
    <n v="0"/>
    <n v="0"/>
    <n v="0"/>
    <n v="0"/>
    <n v="0"/>
    <n v="357.08"/>
    <n v="0"/>
    <n v="0"/>
    <n v="0"/>
    <n v="0"/>
    <n v="357.08"/>
    <n v="0"/>
  </r>
  <r>
    <x v="11"/>
    <x v="3"/>
    <x v="0"/>
    <s v="3004101"/>
    <n v="721020"/>
    <s v="Tubes Drains &amp; Related Supplies"/>
    <s v="3 South M/S Transition"/>
    <x v="0"/>
    <n v="1008"/>
    <n v="0"/>
    <n v="0"/>
    <n v="111.15"/>
    <n v="21.03"/>
    <n v="0"/>
    <n v="0"/>
    <n v="13.43"/>
    <n v="13.43"/>
    <n v="0"/>
    <n v="99.35"/>
    <n v="31.04"/>
    <n v="0"/>
    <n v="289.43"/>
    <n v="31.04"/>
  </r>
  <r>
    <x v="11"/>
    <x v="3"/>
    <x v="0"/>
    <s v="3004101"/>
    <n v="721050"/>
    <s v="Supplies-Cardiac Rhythm - Billable"/>
    <s v="3 South M/S Transition"/>
    <x v="0"/>
    <m/>
    <n v="0"/>
    <n v="0"/>
    <n v="0"/>
    <n v="0"/>
    <n v="0"/>
    <n v="37.590000000000003"/>
    <n v="0"/>
    <n v="-15.08"/>
    <n v="18.850000000000001"/>
    <n v="0"/>
    <n v="0"/>
    <n v="0"/>
    <n v="41.360000000000007"/>
    <n v="0"/>
  </r>
  <r>
    <x v="11"/>
    <x v="3"/>
    <x v="0"/>
    <s v="3004101"/>
    <n v="721240"/>
    <s v="Supplies-IV Solutions/Supplies - Billable"/>
    <s v="3 South M/S Transition"/>
    <x v="0"/>
    <m/>
    <n v="205.05"/>
    <n v="513.25"/>
    <n v="1127.8"/>
    <n v="558.37"/>
    <n v="376.65"/>
    <n v="468.61"/>
    <n v="604.51"/>
    <n v="326.55"/>
    <n v="224.01"/>
    <n v="368.45"/>
    <n v="444.11"/>
    <n v="577.32000000000005"/>
    <n v="5794.6799999999994"/>
    <n v="-133.21000000000004"/>
  </r>
  <r>
    <x v="11"/>
    <x v="3"/>
    <x v="0"/>
    <s v="3004101"/>
    <n v="721410"/>
    <s v="Supplies-Medical - Nonbillable"/>
    <s v="3 South M/S Transition"/>
    <x v="0"/>
    <m/>
    <n v="7079"/>
    <n v="9392.43"/>
    <n v="11811.08"/>
    <n v="11248.72"/>
    <n v="8863.6200000000008"/>
    <n v="12886.64"/>
    <n v="14001.57"/>
    <n v="11898.14"/>
    <n v="13785"/>
    <n v="4255.17"/>
    <n v="13082.48"/>
    <n v="12395.41"/>
    <n v="130699.26"/>
    <n v="687.06999999999971"/>
  </r>
  <r>
    <x v="11"/>
    <x v="3"/>
    <x v="0"/>
    <s v="3004101"/>
    <n v="721410"/>
    <s v="Patient Monitoring"/>
    <s v="3 South M/S Transition"/>
    <x v="0"/>
    <n v="1000"/>
    <n v="11.25"/>
    <n v="-15"/>
    <n v="18.75"/>
    <n v="15"/>
    <n v="0"/>
    <n v="0"/>
    <n v="13.47"/>
    <n v="0"/>
    <n v="-1.37"/>
    <n v="0"/>
    <n v="8.1"/>
    <n v="5.4"/>
    <n v="55.6"/>
    <n v="2.6999999999999993"/>
  </r>
  <r>
    <x v="11"/>
    <x v="3"/>
    <x v="0"/>
    <s v="3004101"/>
    <n v="721420"/>
    <s v="Supplies-Surgical Nonbillable"/>
    <s v="3 South M/S Transition"/>
    <x v="0"/>
    <m/>
    <n v="77.459999999999994"/>
    <n v="14.09"/>
    <n v="73.8"/>
    <n v="13.72"/>
    <n v="13.74"/>
    <n v="71.459999999999994"/>
    <n v="12.62"/>
    <n v="9.5"/>
    <n v="-46.28"/>
    <n v="8.85"/>
    <n v="1.24"/>
    <n v="54.79"/>
    <n v="304.99"/>
    <n v="-53.55"/>
  </r>
  <r>
    <x v="11"/>
    <x v="3"/>
    <x v="0"/>
    <s v="3004101"/>
    <n v="721420"/>
    <s v="Tubes Drains &amp; Related Supplies"/>
    <s v="3 South M/S Transition"/>
    <x v="0"/>
    <n v="1008"/>
    <n v="6.03"/>
    <n v="0"/>
    <n v="3.01"/>
    <n v="9.1199999999999992"/>
    <n v="-1.51"/>
    <n v="11.43"/>
    <n v="12.82"/>
    <n v="3.9"/>
    <n v="30.12"/>
    <n v="42.95"/>
    <n v="26.47"/>
    <n v="18.25"/>
    <n v="162.58999999999997"/>
    <n v="8.2199999999999989"/>
  </r>
  <r>
    <x v="11"/>
    <x v="3"/>
    <x v="0"/>
    <s v="3004101"/>
    <n v="721420"/>
    <s v="Sterilization Process Products"/>
    <s v="3 South M/S Transition"/>
    <x v="0"/>
    <n v="1009"/>
    <n v="0"/>
    <n v="0"/>
    <n v="91.5"/>
    <n v="0"/>
    <n v="5.35"/>
    <n v="-16.05"/>
    <n v="12.53"/>
    <n v="1.83"/>
    <n v="5.35"/>
    <n v="32.1"/>
    <n v="17.88"/>
    <n v="27.12"/>
    <n v="177.60999999999999"/>
    <n v="-9.240000000000002"/>
  </r>
  <r>
    <x v="11"/>
    <x v="3"/>
    <x v="0"/>
    <s v="3004101"/>
    <n v="721610"/>
    <s v="Supplies-Anesthesia - Nonbillable"/>
    <s v="3 South M/S Transition"/>
    <x v="0"/>
    <m/>
    <n v="534.74"/>
    <n v="519.57000000000005"/>
    <n v="581.35"/>
    <n v="498.55"/>
    <n v="482.91"/>
    <n v="580.46"/>
    <n v="467.19"/>
    <n v="348.14"/>
    <n v="432.36"/>
    <n v="333.29"/>
    <n v="382.98"/>
    <n v="427.04"/>
    <n v="5588.579999999999"/>
    <n v="-44.06"/>
  </r>
  <r>
    <x v="11"/>
    <x v="3"/>
    <x v="0"/>
    <s v="3004101"/>
    <n v="721640"/>
    <s v="Supplies-IV Solutions/Supplies - Nonbillable"/>
    <s v="3 South M/S Transition"/>
    <x v="0"/>
    <m/>
    <n v="3105.28"/>
    <n v="2704.32"/>
    <n v="3989.25"/>
    <n v="4309.5200000000004"/>
    <n v="3583.36"/>
    <n v="3497.12"/>
    <n v="5086.9799999999996"/>
    <n v="3097.39"/>
    <n v="2716.56"/>
    <n v="2993.42"/>
    <n v="3797.31"/>
    <n v="2907.67"/>
    <n v="41788.179999999993"/>
    <n v="889.63999999999987"/>
  </r>
  <r>
    <x v="11"/>
    <x v="3"/>
    <x v="0"/>
    <s v="3004101"/>
    <n v="721650"/>
    <s v="Supplies-Pharmacy Drugs - Nonbillable"/>
    <s v="3 South M/S Transition"/>
    <x v="0"/>
    <m/>
    <n v="3.34"/>
    <n v="7.25"/>
    <n v="0"/>
    <n v="15.26"/>
    <n v="8.09"/>
    <n v="40.43"/>
    <n v="-97"/>
    <n v="78.489999999999995"/>
    <n v="125.38"/>
    <n v="126.84"/>
    <n v="94.77"/>
    <n v="159.88"/>
    <n v="562.73"/>
    <n v="-65.11"/>
  </r>
  <r>
    <x v="11"/>
    <x v="3"/>
    <x v="0"/>
    <s v="3004101"/>
    <n v="721710"/>
    <s v="Supplies-Laboratory - Nonbillable"/>
    <s v="3 South M/S Transition"/>
    <x v="0"/>
    <m/>
    <n v="311.69"/>
    <n v="495.35"/>
    <n v="402.48"/>
    <n v="492.52"/>
    <n v="186.79"/>
    <n v="373.11"/>
    <n v="357.87"/>
    <n v="395.72"/>
    <n v="65.89"/>
    <n v="443.85"/>
    <n v="345.65"/>
    <n v="301.17"/>
    <n v="4172.0899999999992"/>
    <n v="44.479999999999961"/>
  </r>
  <r>
    <x v="11"/>
    <x v="3"/>
    <x v="0"/>
    <s v="3004101"/>
    <n v="721710"/>
    <s v="Reagents"/>
    <s v="3 South M/S Transition"/>
    <x v="0"/>
    <n v="1000"/>
    <n v="0"/>
    <n v="0"/>
    <n v="110.46"/>
    <n v="80"/>
    <n v="0"/>
    <n v="0"/>
    <n v="-2"/>
    <n v="2"/>
    <n v="-327.63"/>
    <n v="22"/>
    <n v="0"/>
    <n v="2"/>
    <n v="-113.17000000000002"/>
    <n v="-2"/>
  </r>
  <r>
    <x v="11"/>
    <x v="3"/>
    <x v="0"/>
    <s v="3004101"/>
    <n v="721750"/>
    <s v="Supplies-Film/Radiographic - Nonbillable"/>
    <s v="3 South M/S Transition"/>
    <x v="0"/>
    <m/>
    <n v="0"/>
    <n v="0"/>
    <n v="5.62"/>
    <n v="2.81"/>
    <n v="0"/>
    <n v="1.87"/>
    <n v="0"/>
    <n v="0.94"/>
    <n v="0.93"/>
    <n v="3.74"/>
    <n v="0"/>
    <n v="0"/>
    <n v="15.91"/>
    <n v="0"/>
  </r>
  <r>
    <x v="11"/>
    <x v="3"/>
    <x v="0"/>
    <s v="3004101"/>
    <n v="721810"/>
    <s v="Supplies-Dietary/Cafeteria"/>
    <s v="3 South M/S Transition"/>
    <x v="0"/>
    <m/>
    <n v="2635.39"/>
    <n v="2112.5500000000002"/>
    <n v="2593.2399999999998"/>
    <n v="2528.4899999999998"/>
    <n v="2542.12"/>
    <n v="2386.7199999999998"/>
    <n v="2802.03"/>
    <n v="2430.84"/>
    <n v="2822.73"/>
    <n v="2790.54"/>
    <n v="4129.16"/>
    <n v="2891.1"/>
    <n v="32664.91"/>
    <n v="1238.06"/>
  </r>
  <r>
    <x v="11"/>
    <x v="3"/>
    <x v="0"/>
    <s v="3004101"/>
    <n v="721830"/>
    <s v="Supplies-Office"/>
    <s v="3 South M/S Transition"/>
    <x v="0"/>
    <m/>
    <n v="785.94"/>
    <n v="249.77"/>
    <n v="420.72"/>
    <n v="292.04000000000002"/>
    <n v="143.59"/>
    <n v="163.81"/>
    <n v="5150.8599999999997"/>
    <n v="974.43"/>
    <n v="711.4"/>
    <n v="417.85"/>
    <n v="540.13"/>
    <n v="76.040000000000006"/>
    <n v="9926.58"/>
    <n v="464.09"/>
  </r>
  <r>
    <x v="11"/>
    <x v="3"/>
    <x v="0"/>
    <s v="3004101"/>
    <n v="721835"/>
    <s v="Supplies-Forms"/>
    <s v="3 South M/S Transition"/>
    <x v="0"/>
    <m/>
    <n v="0"/>
    <n v="0"/>
    <n v="0"/>
    <n v="0"/>
    <n v="453.95"/>
    <n v="0"/>
    <n v="19.98"/>
    <n v="0"/>
    <n v="128.4"/>
    <n v="14"/>
    <n v="8.66"/>
    <n v="255.33"/>
    <n v="880.32"/>
    <n v="-246.67000000000002"/>
  </r>
  <r>
    <x v="11"/>
    <x v="3"/>
    <x v="0"/>
    <s v="3004101"/>
    <n v="721870"/>
    <s v="Supplies-Environmental Services"/>
    <s v="3 South M/S Transition"/>
    <x v="0"/>
    <m/>
    <n v="821.55"/>
    <n v="788.2"/>
    <n v="817.27"/>
    <n v="721.36"/>
    <n v="302.05"/>
    <n v="453.68"/>
    <n v="1088.8"/>
    <n v="448.68"/>
    <n v="905.63"/>
    <n v="608.65"/>
    <n v="614.23"/>
    <n v="311.3"/>
    <n v="7881.4000000000005"/>
    <n v="302.93"/>
  </r>
  <r>
    <x v="11"/>
    <x v="3"/>
    <x v="0"/>
    <s v="3004101"/>
    <n v="721880"/>
    <s v="Supplies-Linen"/>
    <s v="3 South M/S Transition"/>
    <x v="0"/>
    <m/>
    <n v="9.6300000000000008"/>
    <n v="-15692.16"/>
    <n v="25.68"/>
    <n v="12.84"/>
    <n v="28.89"/>
    <n v="6.42"/>
    <n v="12.84"/>
    <n v="0"/>
    <n v="6.42"/>
    <n v="0"/>
    <n v="0"/>
    <n v="0"/>
    <n v="-15589.44"/>
    <n v="0"/>
  </r>
  <r>
    <x v="11"/>
    <x v="3"/>
    <x v="0"/>
    <s v="3004101"/>
    <n v="721910"/>
    <s v="Supplies-Small Equipment"/>
    <s v="3 South M/S Transition"/>
    <x v="0"/>
    <m/>
    <n v="2191.41"/>
    <n v="3957.77"/>
    <n v="4666.54"/>
    <n v="22812"/>
    <n v="1749.37"/>
    <n v="41073.660000000003"/>
    <n v="99018.12"/>
    <n v="31690.51"/>
    <n v="18682.2"/>
    <n v="39191.54"/>
    <n v="9300.68"/>
    <n v="7983.59"/>
    <n v="282317.39"/>
    <n v="1317.0900000000001"/>
  </r>
  <r>
    <x v="11"/>
    <x v="3"/>
    <x v="0"/>
    <s v="3004101"/>
    <n v="721910"/>
    <s v="Instruments"/>
    <s v="3 South M/S Transition"/>
    <x v="0"/>
    <n v="1000"/>
    <n v="0"/>
    <n v="0"/>
    <n v="18"/>
    <n v="0"/>
    <n v="2.17"/>
    <n v="20"/>
    <n v="-18"/>
    <n v="0.01"/>
    <n v="41.07"/>
    <n v="20"/>
    <n v="140.6"/>
    <n v="0"/>
    <n v="223.85"/>
    <n v="140.6"/>
  </r>
  <r>
    <x v="11"/>
    <x v="3"/>
    <x v="0"/>
    <s v="3004101"/>
    <n v="721980"/>
    <s v="Supplies-Other"/>
    <s v="3 South M/S Transition"/>
    <x v="0"/>
    <m/>
    <n v="1150"/>
    <n v="1236.17"/>
    <n v="5531.91"/>
    <n v="2259.79"/>
    <n v="1556.88"/>
    <n v="45.21"/>
    <n v="777.6"/>
    <n v="490.36"/>
    <n v="197.39"/>
    <n v="-63.88"/>
    <n v="0"/>
    <n v="-47.35"/>
    <n v="13134.08"/>
    <n v="47.35"/>
  </r>
  <r>
    <x v="11"/>
    <x v="3"/>
    <x v="0"/>
    <s v="3004101"/>
    <n v="722000"/>
    <s v="Supplies-Freight Expense"/>
    <s v="3 South M/S Transition"/>
    <x v="0"/>
    <m/>
    <n v="279.81"/>
    <n v="0"/>
    <n v="148.43"/>
    <n v="0"/>
    <n v="476.94"/>
    <n v="0"/>
    <n v="0"/>
    <n v="118.63"/>
    <n v="32.57"/>
    <n v="56.61"/>
    <n v="9.9"/>
    <n v="326.27999999999997"/>
    <n v="1449.17"/>
    <n v="-316.38"/>
  </r>
  <r>
    <x v="12"/>
    <x v="3"/>
    <x v="0"/>
    <s v="3004101"/>
    <n v="730020"/>
    <s v="Rental and Leases-Equipment (DO NOT USE)"/>
    <s v="3 South M/S Transition"/>
    <x v="0"/>
    <m/>
    <n v="0"/>
    <n v="-3465.94"/>
    <n v="0"/>
    <n v="0"/>
    <n v="0"/>
    <n v="0"/>
    <n v="0"/>
    <n v="0"/>
    <n v="0"/>
    <n v="0"/>
    <n v="0"/>
    <n v="0"/>
    <n v="-3465.94"/>
    <n v="0"/>
  </r>
  <r>
    <x v="12"/>
    <x v="3"/>
    <x v="0"/>
    <s v="3004101"/>
    <n v="730020"/>
    <s v="Rental and Leases-Copier Usage Fees (DO NOT USE)"/>
    <s v="3 South M/S Transition"/>
    <x v="0"/>
    <n v="5100"/>
    <n v="1051.1400000000001"/>
    <n v="1071.0899999999999"/>
    <n v="1061.1099999999999"/>
    <n v="1061.1099999999999"/>
    <n v="1061.1099999999999"/>
    <n v="1061.1099999999999"/>
    <n v="-3371.89"/>
    <n v="552.09"/>
    <n v="567.04"/>
    <n v="729.72"/>
    <n v="656.53"/>
    <n v="989.27"/>
    <n v="6489.43"/>
    <n v="-332.74"/>
  </r>
  <r>
    <x v="15"/>
    <x v="3"/>
    <x v="0"/>
    <s v="3004101"/>
    <n v="731060"/>
    <s v="Telephone"/>
    <s v="3 South M/S Transition"/>
    <x v="0"/>
    <m/>
    <n v="0"/>
    <n v="0"/>
    <n v="0"/>
    <n v="0"/>
    <n v="0"/>
    <n v="0"/>
    <n v="390"/>
    <n v="0"/>
    <n v="0"/>
    <n v="0"/>
    <n v="0"/>
    <n v="0"/>
    <n v="390"/>
    <n v="0"/>
  </r>
  <r>
    <x v="15"/>
    <x v="3"/>
    <x v="0"/>
    <s v="3004101"/>
    <n v="731060"/>
    <s v="Pagers"/>
    <s v="3 South M/S Transition"/>
    <x v="0"/>
    <n v="1002"/>
    <n v="8.1"/>
    <n v="19.1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108.39000000000001"/>
    <n v="0"/>
  </r>
  <r>
    <x v="13"/>
    <x v="3"/>
    <x v="0"/>
    <s v="3004101"/>
    <n v="735040"/>
    <s v="Depreciation-Building Improvements"/>
    <s v="3 South M/S Transition"/>
    <x v="0"/>
    <m/>
    <n v="0"/>
    <n v="0"/>
    <n v="0"/>
    <n v="0"/>
    <n v="0"/>
    <n v="0"/>
    <n v="0"/>
    <n v="0"/>
    <n v="0"/>
    <n v="305.51"/>
    <n v="736.61"/>
    <n v="1381.35"/>
    <n v="2423.4699999999998"/>
    <n v="-644.7399999999999"/>
  </r>
  <r>
    <x v="13"/>
    <x v="3"/>
    <x v="0"/>
    <s v="3004101"/>
    <n v="735060"/>
    <s v="Depreciation-Fixed Equipment"/>
    <s v="3 South M/S Transition"/>
    <x v="0"/>
    <m/>
    <n v="0"/>
    <n v="0"/>
    <n v="0"/>
    <n v="0"/>
    <n v="0"/>
    <n v="0"/>
    <n v="501.4"/>
    <n v="575.25"/>
    <n v="575.25"/>
    <n v="815.38"/>
    <n v="2221.09"/>
    <n v="1899.07"/>
    <n v="6587.4400000000005"/>
    <n v="322.02000000000021"/>
  </r>
  <r>
    <x v="13"/>
    <x v="3"/>
    <x v="0"/>
    <s v="3004101"/>
    <n v="735070"/>
    <s v="Depreciation-Movable Equipment"/>
    <s v="3 South M/S Transition"/>
    <x v="0"/>
    <m/>
    <n v="0"/>
    <n v="0"/>
    <n v="0"/>
    <n v="0"/>
    <n v="0"/>
    <n v="0"/>
    <n v="1082.4000000000001"/>
    <n v="1082.4000000000001"/>
    <n v="1082.4000000000001"/>
    <n v="1082.4000000000001"/>
    <n v="1082.4000000000001"/>
    <n v="1082.3900000000001"/>
    <n v="6494.39"/>
    <n v="9.9999999999909051E-3"/>
  </r>
  <r>
    <x v="0"/>
    <x v="3"/>
    <x v="0"/>
    <s v="3004101"/>
    <n v="740020"/>
    <s v="Education-Registration Fees"/>
    <s v="3 South M/S Transition"/>
    <x v="0"/>
    <m/>
    <n v="0"/>
    <n v="45"/>
    <n v="0"/>
    <n v="0"/>
    <n v="45"/>
    <n v="0"/>
    <n v="0"/>
    <n v="215"/>
    <n v="0"/>
    <n v="0"/>
    <n v="0"/>
    <n v="0"/>
    <n v="305"/>
    <n v="0"/>
  </r>
  <r>
    <x v="0"/>
    <x v="3"/>
    <x v="0"/>
    <s v="3004101"/>
    <n v="743030"/>
    <s v="Subscriptions--Institutional"/>
    <s v="3 South M/S Transition"/>
    <x v="0"/>
    <m/>
    <n v="0"/>
    <n v="0"/>
    <n v="0"/>
    <n v="0"/>
    <n v="0"/>
    <n v="0"/>
    <n v="0"/>
    <n v="0"/>
    <n v="0"/>
    <n v="0"/>
    <n v="106.47"/>
    <n v="0"/>
    <n v="106.47"/>
    <n v="106.47"/>
  </r>
  <r>
    <x v="0"/>
    <x v="3"/>
    <x v="0"/>
    <s v="3004101"/>
    <n v="749510"/>
    <s v="Miscellaneous Expenses"/>
    <s v="3 South M/S Transition"/>
    <x v="0"/>
    <m/>
    <n v="4112.99"/>
    <n v="5307.93"/>
    <n v="574.09"/>
    <n v="2801.51"/>
    <n v="3370.25"/>
    <n v="3940.75"/>
    <n v="5904.9"/>
    <n v="2452.19"/>
    <n v="79.239999999999995"/>
    <n v="2689.03"/>
    <n v="2273.98"/>
    <n v="169.83"/>
    <n v="33676.69"/>
    <n v="2104.15"/>
  </r>
  <r>
    <x v="0"/>
    <x v="3"/>
    <x v="0"/>
    <s v="3004101"/>
    <n v="749510"/>
    <s v="Casualty Loss/Patient Property"/>
    <s v="3 South M/S Transition"/>
    <x v="0"/>
    <n v="4601"/>
    <n v="0"/>
    <n v="0"/>
    <n v="0"/>
    <n v="0"/>
    <n v="0"/>
    <n v="0"/>
    <n v="0"/>
    <n v="0"/>
    <n v="0"/>
    <n v="9475"/>
    <n v="0"/>
    <n v="0"/>
    <n v="9475"/>
    <n v="0"/>
  </r>
  <r>
    <x v="18"/>
    <x v="0"/>
    <x v="0"/>
    <s v="3004102"/>
    <n v="400010"/>
    <s v="Acute I/P Svcs Rev--Medicare"/>
    <s v="Med/Surg Observation"/>
    <x v="0"/>
    <n v="1100"/>
    <n v="-107217.72"/>
    <n v="-29477.99"/>
    <n v="-127364.3"/>
    <n v="-81267.19"/>
    <n v="-92477.16"/>
    <n v="-61905.94"/>
    <n v="-92253.38"/>
    <n v="-105476.05"/>
    <n v="-142265.35"/>
    <n v="-142536.89000000001"/>
    <n v="-93338.91"/>
    <n v="-126609.92"/>
    <n v="-1202190.7999999998"/>
    <n v="33271.009999999995"/>
  </r>
  <r>
    <x v="18"/>
    <x v="0"/>
    <x v="0"/>
    <s v="3004102"/>
    <n v="400010"/>
    <s v="Acute I/P Svcs Rev--Medicaid"/>
    <s v="Med/Surg Observation"/>
    <x v="0"/>
    <n v="1200"/>
    <n v="-29776.35"/>
    <n v="-75177.3"/>
    <n v="-22417.89"/>
    <n v="-24452.639999999999"/>
    <n v="-28330.400000000001"/>
    <n v="-53194.78"/>
    <n v="-54559.45"/>
    <n v="-12518.96"/>
    <n v="-96377.86"/>
    <n v="-27319.73"/>
    <n v="-21873.67"/>
    <n v="-23863.37"/>
    <n v="-469862.39999999997"/>
    <n v="1989.7000000000007"/>
  </r>
  <r>
    <x v="18"/>
    <x v="0"/>
    <x v="0"/>
    <s v="3004102"/>
    <n v="400010"/>
    <s v="Acute I/P Svcs Rev--Comm Insurance"/>
    <s v="Med/Surg Observation"/>
    <x v="0"/>
    <n v="1300"/>
    <n v="-11661.11"/>
    <n v="-2760.13"/>
    <n v="0"/>
    <n v="0"/>
    <n v="-3533.35"/>
    <n v="499.44"/>
    <n v="-40232.03"/>
    <n v="-4365.41"/>
    <n v="-25735.88"/>
    <n v="0"/>
    <n v="0"/>
    <n v="0"/>
    <n v="-87788.47"/>
    <n v="0"/>
  </r>
  <r>
    <x v="18"/>
    <x v="0"/>
    <x v="0"/>
    <s v="3004102"/>
    <n v="400010"/>
    <s v="Acute I/P Svcs Rev--BCBS Comm"/>
    <s v="Med/Surg Observation"/>
    <x v="0"/>
    <n v="1301"/>
    <n v="-20781"/>
    <n v="-12797.31"/>
    <n v="0"/>
    <n v="-6939.64"/>
    <n v="-3567.39"/>
    <n v="-4957.82"/>
    <n v="-20761.490000000002"/>
    <n v="-19081.580000000002"/>
    <n v="-24113.82"/>
    <n v="-26354.42"/>
    <n v="-26007.46"/>
    <n v="-12145.53"/>
    <n v="-177507.45999999996"/>
    <n v="-13861.929999999998"/>
  </r>
  <r>
    <x v="18"/>
    <x v="0"/>
    <x v="0"/>
    <s v="3004102"/>
    <n v="400010"/>
    <s v="Acute I/P Svcs Rev--Managed Care"/>
    <s v="Med/Surg Observation"/>
    <x v="0"/>
    <n v="1400"/>
    <n v="-11865.79"/>
    <n v="-9274.4"/>
    <n v="-16810.39"/>
    <n v="-38723.040000000001"/>
    <n v="-31258.75"/>
    <n v="-64246.36"/>
    <n v="-77261.009999999995"/>
    <n v="-33465.99"/>
    <n v="-15581.17"/>
    <n v="-112072.4"/>
    <n v="-14797.79"/>
    <n v="-10332.700000000001"/>
    <n v="-435689.78999999992"/>
    <n v="-4465.09"/>
  </r>
  <r>
    <x v="18"/>
    <x v="0"/>
    <x v="0"/>
    <s v="3004102"/>
    <n v="400010"/>
    <s v="Acute I/P Svcs Rev--Self Pay"/>
    <s v="Med/Surg Observation"/>
    <x v="0"/>
    <n v="1500"/>
    <n v="0"/>
    <n v="-1189.17"/>
    <n v="-4251.82"/>
    <n v="0"/>
    <n v="-12280.82"/>
    <n v="0"/>
    <n v="-11267.31"/>
    <n v="-3834.38"/>
    <n v="0"/>
    <n v="0"/>
    <n v="-3266"/>
    <n v="-12891.39"/>
    <n v="-48980.889999999992"/>
    <n v="9625.39"/>
  </r>
  <r>
    <x v="18"/>
    <x v="0"/>
    <x v="0"/>
    <s v="3004102"/>
    <n v="400010"/>
    <s v="Acute I/P Svcs Rev--Other"/>
    <s v="Med/Surg Observation"/>
    <x v="0"/>
    <n v="1700"/>
    <n v="-1698.36"/>
    <n v="-6196.85"/>
    <n v="0"/>
    <n v="0"/>
    <n v="-3963.78"/>
    <n v="0"/>
    <n v="0"/>
    <n v="-3266"/>
    <n v="0"/>
    <n v="0"/>
    <n v="3963.78"/>
    <n v="-5662.35"/>
    <n v="-16823.559999999998"/>
    <n v="9626.130000000001"/>
  </r>
  <r>
    <x v="19"/>
    <x v="0"/>
    <x v="0"/>
    <s v="3004102"/>
    <n v="400020"/>
    <s v="O/P Care Svcs Rev--Medicare"/>
    <s v="Med/Surg Observation"/>
    <x v="0"/>
    <n v="1100"/>
    <n v="-296846.32"/>
    <n v="-261572.2"/>
    <n v="-222502.34"/>
    <n v="-202414.69"/>
    <n v="-202681.44"/>
    <n v="-133908"/>
    <n v="-203367.17"/>
    <n v="-259632.48"/>
    <n v="-238985.73"/>
    <n v="-171502.18"/>
    <n v="-178105.92"/>
    <n v="-202625.16"/>
    <n v="-2574143.63"/>
    <n v="24519.239999999991"/>
  </r>
  <r>
    <x v="19"/>
    <x v="0"/>
    <x v="0"/>
    <s v="3004102"/>
    <n v="400020"/>
    <s v="O/P Care Svcs Rev--Medicaid"/>
    <s v="Med/Surg Observation"/>
    <x v="0"/>
    <n v="1200"/>
    <n v="-118451.76"/>
    <n v="-137498.35999999999"/>
    <n v="-141260.73000000001"/>
    <n v="-161101.88"/>
    <n v="-113931.48"/>
    <n v="-149795.16"/>
    <n v="-110474.21"/>
    <n v="-114045.55"/>
    <n v="-137419.42000000001"/>
    <n v="-96811.81"/>
    <n v="-76803.28"/>
    <n v="-87308.41"/>
    <n v="-1444902.05"/>
    <n v="10505.130000000005"/>
  </r>
  <r>
    <x v="19"/>
    <x v="0"/>
    <x v="0"/>
    <s v="3004102"/>
    <n v="400020"/>
    <s v="O/P Care Svcs Rev--Comm Insurance"/>
    <s v="Med/Surg Observation"/>
    <x v="0"/>
    <n v="1300"/>
    <n v="-19754"/>
    <n v="-23838.51"/>
    <n v="-687.13"/>
    <n v="-2544.71"/>
    <n v="-1686.43"/>
    <n v="0"/>
    <n v="-5524.87"/>
    <n v="-18969.38"/>
    <n v="-35717.51"/>
    <n v="-2134.1999999999998"/>
    <n v="-5832.28"/>
    <n v="-12084.16"/>
    <n v="-128773.18000000001"/>
    <n v="6251.88"/>
  </r>
  <r>
    <x v="19"/>
    <x v="0"/>
    <x v="0"/>
    <s v="3004102"/>
    <n v="400020"/>
    <s v="O/P Care Svcs Rev--BCBS Comm"/>
    <s v="Med/Surg Observation"/>
    <x v="0"/>
    <n v="1301"/>
    <n v="-53618.99"/>
    <n v="-45705.98"/>
    <n v="-73839.179999999993"/>
    <n v="-46747.76"/>
    <n v="-53561.69"/>
    <n v="-34967.24"/>
    <n v="-54503.65"/>
    <n v="-20285.55"/>
    <n v="-49074.78"/>
    <n v="-55976.4"/>
    <n v="-52951.71"/>
    <n v="-73878.66"/>
    <n v="-615111.59"/>
    <n v="20926.950000000004"/>
  </r>
  <r>
    <x v="19"/>
    <x v="0"/>
    <x v="0"/>
    <s v="3004102"/>
    <n v="400020"/>
    <s v="O/P Care Svcs Rev--Managed Care"/>
    <s v="Med/Surg Observation"/>
    <x v="0"/>
    <n v="1400"/>
    <n v="-109854.18"/>
    <n v="-158484.1"/>
    <n v="-79613.570000000007"/>
    <n v="-120047.42"/>
    <n v="-112601.76"/>
    <n v="-114898.71"/>
    <n v="-138726.85"/>
    <n v="-115207.54"/>
    <n v="-163907.95000000001"/>
    <n v="-110755.96"/>
    <n v="-167208.92000000001"/>
    <n v="-104175.96"/>
    <n v="-1495482.92"/>
    <n v="-63032.960000000006"/>
  </r>
  <r>
    <x v="19"/>
    <x v="0"/>
    <x v="0"/>
    <s v="3004102"/>
    <n v="400020"/>
    <s v="O/P Care Svcs Rev--Self Pay"/>
    <s v="Med/Surg Observation"/>
    <x v="0"/>
    <n v="1500"/>
    <n v="-13324.63"/>
    <n v="-23649.4"/>
    <n v="-33462.620000000003"/>
    <n v="-37335.46"/>
    <n v="-27834.46"/>
    <n v="-27664.14"/>
    <n v="-40215.54"/>
    <n v="-33303.19"/>
    <n v="-29356.54"/>
    <n v="-3665.48"/>
    <n v="-37143.82"/>
    <n v="-13612.08"/>
    <n v="-320567.36"/>
    <n v="-23531.739999999998"/>
  </r>
  <r>
    <x v="19"/>
    <x v="0"/>
    <x v="0"/>
    <s v="3004102"/>
    <n v="400020"/>
    <s v="O/P Care Svcs Rev--Other"/>
    <s v="Med/Surg Observation"/>
    <x v="0"/>
    <n v="1700"/>
    <n v="-19481.12"/>
    <n v="0"/>
    <n v="-12791.72"/>
    <n v="-12374.3"/>
    <n v="0"/>
    <n v="-11354.68"/>
    <n v="-5020.9399999999996"/>
    <n v="-3134"/>
    <n v="-22581.94"/>
    <n v="-7032.87"/>
    <n v="-24389.1"/>
    <n v="-13397.36"/>
    <n v="-131558.02999999997"/>
    <n v="-10991.739999999998"/>
  </r>
  <r>
    <x v="20"/>
    <x v="0"/>
    <x v="0"/>
    <s v="3004102"/>
    <n v="610010"/>
    <s v="Foundation Distributions"/>
    <s v="Med/Surg Observation"/>
    <x v="0"/>
    <n v="1175"/>
    <n v="0"/>
    <n v="0"/>
    <n v="0"/>
    <n v="0"/>
    <n v="0"/>
    <n v="-500"/>
    <n v="0"/>
    <n v="0"/>
    <n v="0"/>
    <n v="0"/>
    <n v="0"/>
    <n v="0"/>
    <n v="-500"/>
    <n v="0"/>
  </r>
  <r>
    <x v="5"/>
    <x v="0"/>
    <x v="0"/>
    <s v="3004102"/>
    <n v="700014"/>
    <s v="Salaries-Management-Productive"/>
    <s v="Med/Surg Observation"/>
    <x v="0"/>
    <m/>
    <n v="2909.77"/>
    <n v="3213.95"/>
    <n v="3257.42"/>
    <n v="3235.4"/>
    <n v="4559.88"/>
    <n v="3161.66"/>
    <n v="4780.1499999999996"/>
    <n v="3470.71"/>
    <n v="3653.37"/>
    <n v="4718.7700000000004"/>
    <n v="4292.72"/>
    <n v="3242.47"/>
    <n v="44496.27"/>
    <n v="1050.2500000000005"/>
  </r>
  <r>
    <x v="5"/>
    <x v="0"/>
    <x v="0"/>
    <s v="3004102"/>
    <n v="700026"/>
    <s v="Salaries-RN-Productive"/>
    <s v="Med/Surg Observation"/>
    <x v="0"/>
    <m/>
    <n v="76237.919999999998"/>
    <n v="74252.86"/>
    <n v="68158.53"/>
    <n v="72138.320000000007"/>
    <n v="70231.41"/>
    <n v="75011.95"/>
    <n v="80273.960000000006"/>
    <n v="73089.88"/>
    <n v="70280.52"/>
    <n v="67685.460000000006"/>
    <n v="69527.070000000007"/>
    <n v="57460.62"/>
    <n v="854348.50000000012"/>
    <n v="12066.450000000004"/>
  </r>
  <r>
    <x v="5"/>
    <x v="0"/>
    <x v="0"/>
    <s v="3004102"/>
    <n v="700026"/>
    <s v="Salaries-RN-OT"/>
    <s v="Med/Surg Observation"/>
    <x v="0"/>
    <n v="1000"/>
    <n v="1902.16"/>
    <n v="1844.76"/>
    <n v="2065.88"/>
    <n v="757"/>
    <n v="1737.87"/>
    <n v="915.81"/>
    <n v="1364.18"/>
    <n v="1225.01"/>
    <n v="759.49"/>
    <n v="2078.5300000000002"/>
    <n v="798.99"/>
    <n v="354.26"/>
    <n v="15803.94"/>
    <n v="444.73"/>
  </r>
  <r>
    <x v="5"/>
    <x v="0"/>
    <x v="0"/>
    <s v="3004102"/>
    <n v="700026"/>
    <s v="Salaries-RN-Other"/>
    <s v="Med/Surg Observation"/>
    <x v="0"/>
    <n v="2000"/>
    <n v="8195.9699999999993"/>
    <n v="8270.57"/>
    <n v="7137.95"/>
    <n v="8076.81"/>
    <n v="8164.91"/>
    <n v="8272.65"/>
    <n v="8739.11"/>
    <n v="7974.94"/>
    <n v="7644.41"/>
    <n v="8310.56"/>
    <n v="8936.8799999999992"/>
    <n v="7886.13"/>
    <n v="97610.890000000014"/>
    <n v="1050.7499999999991"/>
  </r>
  <r>
    <x v="5"/>
    <x v="0"/>
    <x v="0"/>
    <s v="3004102"/>
    <n v="700032"/>
    <s v="Salaries-Other Pat Care Providers-Productive"/>
    <s v="Med/Surg Observation"/>
    <x v="0"/>
    <m/>
    <n v="6561.77"/>
    <n v="6167.07"/>
    <n v="5350.45"/>
    <n v="6610.35"/>
    <n v="7997.55"/>
    <n v="8270.11"/>
    <n v="8554.36"/>
    <n v="8347.0499999999993"/>
    <n v="11836.9"/>
    <n v="14213.64"/>
    <n v="12076.86"/>
    <n v="6104.29"/>
    <n v="102090.4"/>
    <n v="5972.5700000000006"/>
  </r>
  <r>
    <x v="5"/>
    <x v="0"/>
    <x v="0"/>
    <s v="3004102"/>
    <n v="700032"/>
    <s v="Salaries-Other Pat Care Providers-OT"/>
    <s v="Med/Surg Observation"/>
    <x v="0"/>
    <n v="1000"/>
    <n v="365.09"/>
    <n v="-58.88"/>
    <n v="463.18"/>
    <n v="-110.69"/>
    <n v="43.57"/>
    <n v="17.09"/>
    <n v="52.88"/>
    <n v="430.49"/>
    <n v="1560.54"/>
    <n v="318.99"/>
    <n v="1426.05"/>
    <n v="41.72"/>
    <n v="4550.0300000000007"/>
    <n v="1384.33"/>
  </r>
  <r>
    <x v="5"/>
    <x v="0"/>
    <x v="0"/>
    <s v="3004102"/>
    <n v="700032"/>
    <s v="Salaries-Other Pat Care Providers-Other"/>
    <s v="Med/Surg Observation"/>
    <x v="0"/>
    <n v="2000"/>
    <n v="674.14"/>
    <n v="457.25"/>
    <n v="517.05999999999995"/>
    <n v="504.74"/>
    <n v="526.73"/>
    <n v="635.37"/>
    <n v="587.96"/>
    <n v="682.25"/>
    <n v="1141.67"/>
    <n v="931.32"/>
    <n v="921.39"/>
    <n v="1014.19"/>
    <n v="8594.07"/>
    <n v="-92.800000000000068"/>
  </r>
  <r>
    <x v="5"/>
    <x v="0"/>
    <x v="0"/>
    <s v="3004102"/>
    <n v="700054"/>
    <s v="Salaries-Management-Non-productive"/>
    <s v="Med/Surg Observation"/>
    <x v="0"/>
    <m/>
    <n v="1216.08"/>
    <n v="405.36"/>
    <n v="0"/>
    <n v="3242.88"/>
    <n v="0"/>
    <n v="3100.75"/>
    <n v="-121.55"/>
    <n v="1583.06"/>
    <n v="2131.13"/>
    <n v="-304.41000000000003"/>
    <n v="852.44"/>
    <n v="1735.29"/>
    <n v="13841.029999999999"/>
    <n v="-882.84999999999991"/>
  </r>
  <r>
    <x v="5"/>
    <x v="0"/>
    <x v="0"/>
    <s v="3004102"/>
    <n v="700066"/>
    <s v="Salaries-RN-Non-productive"/>
    <s v="Med/Surg Observation"/>
    <x v="0"/>
    <m/>
    <n v="12328.21"/>
    <n v="9373.73"/>
    <n v="10358.02"/>
    <n v="7772.1"/>
    <n v="12645.09"/>
    <n v="11264.78"/>
    <n v="8832.69"/>
    <n v="10432.129999999999"/>
    <n v="8241.81"/>
    <n v="14664.93"/>
    <n v="-1024.1600000000001"/>
    <n v="16414.64"/>
    <n v="121303.96999999999"/>
    <n v="-17438.8"/>
  </r>
  <r>
    <x v="5"/>
    <x v="0"/>
    <x v="0"/>
    <s v="3004102"/>
    <n v="700066"/>
    <s v="Salaries-RN-NonProd-Other"/>
    <s v="Med/Surg Observation"/>
    <x v="0"/>
    <n v="2000"/>
    <n v="488.5"/>
    <n v="457.06"/>
    <n v="339.63"/>
    <n v="730.5"/>
    <n v="772.17"/>
    <n v="336.74"/>
    <n v="835.33"/>
    <n v="-19.82"/>
    <n v="414.38"/>
    <n v="576.02"/>
    <n v="-94.97"/>
    <n v="443.17"/>
    <n v="5278.71"/>
    <n v="-538.14"/>
  </r>
  <r>
    <x v="5"/>
    <x v="0"/>
    <x v="0"/>
    <s v="3004102"/>
    <n v="700072"/>
    <s v="Salaries-Other Pat Care Providers-Non-productive"/>
    <s v="Med/Surg Observation"/>
    <x v="0"/>
    <m/>
    <n v="62.07"/>
    <n v="214.64"/>
    <n v="957.97"/>
    <n v="3.54"/>
    <n v="719.46"/>
    <n v="773"/>
    <n v="879.57"/>
    <n v="628.41"/>
    <n v="42.4"/>
    <n v="407.3"/>
    <n v="164.59"/>
    <n v="1790.58"/>
    <n v="6643.5300000000007"/>
    <n v="-1625.99"/>
  </r>
  <r>
    <x v="5"/>
    <x v="0"/>
    <x v="0"/>
    <s v="3004102"/>
    <n v="700072"/>
    <s v="Salaries-Other Pat Care Providers-NonProd-Other"/>
    <s v="Med/Surg Observation"/>
    <x v="0"/>
    <n v="2000"/>
    <n v="0"/>
    <n v="0"/>
    <n v="28.48"/>
    <n v="-10.35"/>
    <n v="17.399999999999999"/>
    <n v="17.760000000000002"/>
    <n v="14.5"/>
    <n v="33.39"/>
    <n v="2.54"/>
    <n v="0"/>
    <n v="0"/>
    <n v="48.72"/>
    <n v="152.44"/>
    <n v="-48.72"/>
  </r>
  <r>
    <x v="5"/>
    <x v="0"/>
    <x v="0"/>
    <s v="3004102"/>
    <n v="700084"/>
    <s v="Accrued PTO"/>
    <s v="Med/Surg Observation"/>
    <x v="0"/>
    <m/>
    <n v="-765.38"/>
    <n v="1419.02"/>
    <n v="1998.46"/>
    <n v="-3830.75"/>
    <n v="3194.91"/>
    <n v="1280.3"/>
    <n v="1184.77"/>
    <n v="574.58000000000004"/>
    <n v="6176.81"/>
    <n v="-96.64"/>
    <n v="4807.88"/>
    <n v="-3131.79"/>
    <n v="12812.170000000002"/>
    <n v="7939.67"/>
  </r>
  <r>
    <x v="10"/>
    <x v="0"/>
    <x v="0"/>
    <s v="3004102"/>
    <n v="710060"/>
    <s v="Contract Labor-Other"/>
    <s v="Med/Surg Observation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3004102"/>
    <n v="713010"/>
    <s v="Benefits-FICA/Medicare"/>
    <s v="Med/Surg Observation"/>
    <x v="0"/>
    <m/>
    <n v="8275.56"/>
    <n v="8046.52"/>
    <n v="7353.65"/>
    <n v="7729.58"/>
    <n v="8145.29"/>
    <n v="8577.33"/>
    <n v="8665.16"/>
    <n v="8277.02"/>
    <n v="8067.58"/>
    <n v="8540.8700000000008"/>
    <n v="7350.65"/>
    <n v="7242.18"/>
    <n v="96271.389999999985"/>
    <n v="108.46999999999935"/>
  </r>
  <r>
    <x v="6"/>
    <x v="0"/>
    <x v="0"/>
    <s v="3004102"/>
    <n v="713090"/>
    <s v="Benefits-Allocated Amounts"/>
    <s v="Med/Surg Observation"/>
    <x v="0"/>
    <m/>
    <n v="20312.53"/>
    <n v="17001.490000000002"/>
    <n v="17850.03"/>
    <n v="17697.2"/>
    <n v="19076.21"/>
    <n v="20056.98"/>
    <n v="21124.47"/>
    <n v="20498.849999999999"/>
    <n v="20063.96"/>
    <n v="22002.81"/>
    <n v="19231.48"/>
    <n v="18833.71"/>
    <n v="233749.71999999997"/>
    <n v="397.77000000000044"/>
  </r>
  <r>
    <x v="6"/>
    <x v="0"/>
    <x v="0"/>
    <s v="3004102"/>
    <n v="713096"/>
    <s v="Employee Recognition"/>
    <s v="Med/Surg Observation"/>
    <x v="0"/>
    <n v="1017"/>
    <n v="222.33"/>
    <n v="0"/>
    <n v="0"/>
    <n v="107.77"/>
    <n v="0"/>
    <n v="0"/>
    <n v="0"/>
    <n v="0"/>
    <n v="0"/>
    <n v="0"/>
    <n v="39.979999999999997"/>
    <n v="0"/>
    <n v="370.08000000000004"/>
    <n v="39.979999999999997"/>
  </r>
  <r>
    <x v="7"/>
    <x v="0"/>
    <x v="0"/>
    <s v="3004102"/>
    <n v="716038"/>
    <s v="Contract Services-Legal"/>
    <s v="Med/Surg Observation"/>
    <x v="0"/>
    <m/>
    <n v="0"/>
    <n v="0"/>
    <n v="0"/>
    <n v="2019.63"/>
    <n v="0"/>
    <n v="0"/>
    <n v="0"/>
    <n v="0"/>
    <n v="0"/>
    <n v="0"/>
    <n v="0"/>
    <n v="0"/>
    <n v="2019.63"/>
    <n v="0"/>
  </r>
  <r>
    <x v="7"/>
    <x v="0"/>
    <x v="0"/>
    <s v="3004102"/>
    <n v="718050"/>
    <s v="Contract Svcs-Other"/>
    <s v="Med/Surg Observation"/>
    <x v="0"/>
    <m/>
    <n v="0"/>
    <n v="0"/>
    <n v="0"/>
    <n v="0"/>
    <n v="65.900000000000006"/>
    <n v="0"/>
    <n v="65.900000000000006"/>
    <n v="0"/>
    <n v="145.9"/>
    <n v="262.95"/>
    <n v="0"/>
    <n v="32.950000000000003"/>
    <n v="573.60000000000014"/>
    <n v="-32.950000000000003"/>
  </r>
  <r>
    <x v="7"/>
    <x v="0"/>
    <x v="0"/>
    <s v="3004102"/>
    <n v="718050"/>
    <s v="Miscellaneous Purchased Svcs"/>
    <s v="Med/Surg Observation"/>
    <x v="0"/>
    <n v="1020"/>
    <n v="20833"/>
    <n v="20833"/>
    <n v="20833"/>
    <n v="20833"/>
    <n v="6642.41"/>
    <n v="34626"/>
    <n v="37626"/>
    <n v="33626"/>
    <n v="33626"/>
    <n v="33626"/>
    <n v="33626"/>
    <n v="33626"/>
    <n v="330356.41000000003"/>
    <n v="0"/>
  </r>
  <r>
    <x v="7"/>
    <x v="0"/>
    <x v="0"/>
    <s v="3004102"/>
    <n v="718050"/>
    <s v="Translation Services"/>
    <s v="Med/Surg Observation"/>
    <x v="0"/>
    <n v="1025"/>
    <n v="0"/>
    <n v="0"/>
    <n v="129.6"/>
    <n v="0"/>
    <n v="256"/>
    <n v="2.4300000000000002"/>
    <n v="0"/>
    <n v="111.78"/>
    <n v="75.33"/>
    <n v="297.27"/>
    <n v="0"/>
    <n v="0"/>
    <n v="872.41000000000008"/>
    <n v="0"/>
  </r>
  <r>
    <x v="7"/>
    <x v="0"/>
    <x v="0"/>
    <s v="3004102"/>
    <n v="718050"/>
    <s v="Contract Management--Linen"/>
    <s v="Med/Surg Observation"/>
    <x v="0"/>
    <n v="1026"/>
    <n v="1671.76"/>
    <n v="1352.58"/>
    <n v="1509.55"/>
    <n v="1345.16"/>
    <n v="1573.32"/>
    <n v="898.55"/>
    <n v="1193.04"/>
    <n v="2214.33"/>
    <n v="1818.47"/>
    <n v="1402.15"/>
    <n v="1655.26"/>
    <n v="1315.9"/>
    <n v="17950.07"/>
    <n v="339.3599999999999"/>
  </r>
  <r>
    <x v="11"/>
    <x v="0"/>
    <x v="0"/>
    <s v="3004102"/>
    <n v="721010"/>
    <s v="Supplies-Medical - Billable"/>
    <s v="Med/Surg Observation"/>
    <x v="0"/>
    <m/>
    <n v="418.55"/>
    <n v="408.81"/>
    <n v="173.76"/>
    <n v="308.37"/>
    <n v="368.19"/>
    <n v="221"/>
    <n v="191.35"/>
    <n v="513.75"/>
    <n v="200.66"/>
    <n v="357.87"/>
    <n v="202.08"/>
    <n v="199.5"/>
    <n v="3563.89"/>
    <n v="2.5800000000000125"/>
  </r>
  <r>
    <x v="11"/>
    <x v="0"/>
    <x v="0"/>
    <s v="3004102"/>
    <n v="721010"/>
    <s v="Patient Monitoring"/>
    <s v="Med/Surg Observation"/>
    <x v="0"/>
    <n v="1000"/>
    <n v="43.12"/>
    <n v="75.02"/>
    <n v="40.99"/>
    <n v="67.11"/>
    <n v="43.78"/>
    <n v="20.93"/>
    <n v="29.02"/>
    <n v="94.25"/>
    <n v="64.16"/>
    <n v="109.57"/>
    <n v="32.32"/>
    <n v="11.39"/>
    <n v="631.66000000000008"/>
    <n v="20.93"/>
  </r>
  <r>
    <x v="11"/>
    <x v="0"/>
    <x v="0"/>
    <s v="3004102"/>
    <n v="721020"/>
    <s v="Supplies-Surgical - Billable"/>
    <s v="Med/Surg Observation"/>
    <x v="0"/>
    <m/>
    <n v="0"/>
    <n v="0"/>
    <n v="21.44"/>
    <n v="0"/>
    <n v="12.84"/>
    <n v="19.489999999999998"/>
    <n v="0"/>
    <n v="-64.08"/>
    <n v="0"/>
    <n v="-8.49"/>
    <n v="2.0499999999999998"/>
    <n v="0"/>
    <n v="-16.750000000000004"/>
    <n v="2.0499999999999998"/>
  </r>
  <r>
    <x v="11"/>
    <x v="0"/>
    <x v="0"/>
    <s v="3004102"/>
    <n v="721020"/>
    <s v="Custom Packs"/>
    <s v="Med/Surg Observation"/>
    <x v="0"/>
    <n v="1000"/>
    <n v="0"/>
    <n v="0"/>
    <n v="0"/>
    <n v="0"/>
    <n v="0"/>
    <n v="0"/>
    <n v="0"/>
    <n v="0"/>
    <n v="0"/>
    <n v="0"/>
    <n v="13.24"/>
    <n v="0"/>
    <n v="13.24"/>
    <n v="13.24"/>
  </r>
  <r>
    <x v="11"/>
    <x v="0"/>
    <x v="0"/>
    <s v="3004102"/>
    <n v="721020"/>
    <s v="Urological Supplies"/>
    <s v="Med/Surg Observation"/>
    <x v="0"/>
    <n v="1006"/>
    <n v="0"/>
    <n v="0"/>
    <n v="0"/>
    <n v="0"/>
    <n v="77.489999999999995"/>
    <n v="0"/>
    <n v="0"/>
    <n v="0"/>
    <n v="0"/>
    <n v="0"/>
    <n v="0"/>
    <n v="0"/>
    <n v="77.489999999999995"/>
    <n v="0"/>
  </r>
  <r>
    <x v="11"/>
    <x v="0"/>
    <x v="0"/>
    <s v="3004102"/>
    <n v="721020"/>
    <s v="Tubes Drains &amp; Related Supplies"/>
    <s v="Med/Surg Observation"/>
    <x v="0"/>
    <n v="1008"/>
    <n v="0"/>
    <n v="0"/>
    <n v="0"/>
    <n v="0"/>
    <n v="0"/>
    <n v="0"/>
    <n v="13.43"/>
    <n v="0"/>
    <n v="0"/>
    <n v="0"/>
    <n v="0"/>
    <n v="0"/>
    <n v="13.43"/>
    <n v="0"/>
  </r>
  <r>
    <x v="11"/>
    <x v="0"/>
    <x v="0"/>
    <s v="3004102"/>
    <n v="721240"/>
    <s v="Supplies-IV Solutions/Supplies - Billable"/>
    <s v="Med/Surg Observation"/>
    <x v="0"/>
    <m/>
    <n v="232.76"/>
    <n v="370.51"/>
    <n v="-10.029999999999999"/>
    <n v="222.25"/>
    <n v="363.65"/>
    <n v="377.93"/>
    <n v="404.3"/>
    <n v="181.37"/>
    <n v="210.65"/>
    <n v="211.56"/>
    <n v="120.55"/>
    <n v="258.29000000000002"/>
    <n v="2943.79"/>
    <n v="-137.74"/>
  </r>
  <r>
    <x v="11"/>
    <x v="0"/>
    <x v="0"/>
    <s v="3004102"/>
    <n v="721410"/>
    <s v="Supplies-Medical - Nonbillable"/>
    <s v="Med/Surg Observation"/>
    <x v="0"/>
    <m/>
    <n v="2075.62"/>
    <n v="1891.58"/>
    <n v="1829.91"/>
    <n v="2121.08"/>
    <n v="1770.11"/>
    <n v="1729.01"/>
    <n v="2210.1"/>
    <n v="2194.23"/>
    <n v="3068.6"/>
    <n v="2528.59"/>
    <n v="1650.66"/>
    <n v="1371.33"/>
    <n v="24440.82"/>
    <n v="279.33000000000015"/>
  </r>
  <r>
    <x v="11"/>
    <x v="0"/>
    <x v="0"/>
    <s v="3004102"/>
    <n v="721420"/>
    <s v="Supplies-Surgical Nonbillable"/>
    <s v="Med/Surg Observation"/>
    <x v="0"/>
    <m/>
    <n v="22.89"/>
    <n v="50.27"/>
    <n v="18.55"/>
    <n v="30.65"/>
    <n v="86.16"/>
    <n v="56.02"/>
    <n v="66.78"/>
    <n v="34.36"/>
    <n v="55.65"/>
    <n v="30.37"/>
    <n v="64.64"/>
    <n v="55.68"/>
    <n v="572.01999999999987"/>
    <n v="8.9600000000000009"/>
  </r>
  <r>
    <x v="11"/>
    <x v="0"/>
    <x v="0"/>
    <s v="3004102"/>
    <n v="721420"/>
    <s v="Tubes Drains &amp; Related Supplies"/>
    <s v="Med/Surg Observation"/>
    <x v="0"/>
    <n v="1008"/>
    <n v="0"/>
    <n v="0"/>
    <n v="0"/>
    <n v="0"/>
    <n v="0"/>
    <n v="0"/>
    <n v="14.66"/>
    <n v="0"/>
    <n v="0"/>
    <n v="0"/>
    <n v="0"/>
    <n v="3.36"/>
    <n v="18.02"/>
    <n v="-3.36"/>
  </r>
  <r>
    <x v="11"/>
    <x v="0"/>
    <x v="0"/>
    <s v="3004102"/>
    <n v="721610"/>
    <s v="Supplies-Anesthesia - Nonbillable"/>
    <s v="Med/Surg Observation"/>
    <x v="0"/>
    <m/>
    <n v="167.34"/>
    <n v="135.63999999999999"/>
    <n v="99.41"/>
    <n v="162.24"/>
    <n v="162.07"/>
    <n v="192.06"/>
    <n v="146.93"/>
    <n v="139.26"/>
    <n v="217.78"/>
    <n v="167.27"/>
    <n v="97.09"/>
    <n v="77.91"/>
    <n v="1765"/>
    <n v="19.180000000000007"/>
  </r>
  <r>
    <x v="11"/>
    <x v="0"/>
    <x v="0"/>
    <s v="3004102"/>
    <n v="721640"/>
    <s v="Supplies-IV Solutions/Supplies - Nonbillable"/>
    <s v="Med/Surg Observation"/>
    <x v="0"/>
    <m/>
    <n v="680.41"/>
    <n v="810.31"/>
    <n v="951.7"/>
    <n v="721.24"/>
    <n v="771.74"/>
    <n v="645.70000000000005"/>
    <n v="954.33"/>
    <n v="733.48"/>
    <n v="937.47"/>
    <n v="750.81"/>
    <n v="817.37"/>
    <n v="773.26"/>
    <n v="9547.8200000000015"/>
    <n v="44.110000000000014"/>
  </r>
  <r>
    <x v="11"/>
    <x v="0"/>
    <x v="0"/>
    <s v="3004102"/>
    <n v="721650"/>
    <s v="Supplies-Pharmacy Drugs - Nonbillable"/>
    <s v="Med/Surg Observation"/>
    <x v="0"/>
    <m/>
    <n v="2.42"/>
    <n v="-0.48"/>
    <n v="0.97"/>
    <n v="0"/>
    <n v="0"/>
    <n v="0.97"/>
    <n v="0"/>
    <n v="54.27"/>
    <n v="31.12"/>
    <n v="0"/>
    <n v="0.83"/>
    <n v="0"/>
    <n v="90.100000000000009"/>
    <n v="0.83"/>
  </r>
  <r>
    <x v="11"/>
    <x v="0"/>
    <x v="0"/>
    <s v="3004102"/>
    <n v="721710"/>
    <s v="Supplies-Laboratory - Nonbillable"/>
    <s v="Med/Surg Observation"/>
    <x v="0"/>
    <m/>
    <n v="270.89999999999998"/>
    <n v="261.63"/>
    <n v="300.83999999999997"/>
    <n v="257.7"/>
    <n v="321.79000000000002"/>
    <n v="312.44"/>
    <n v="328.72"/>
    <n v="255.4"/>
    <n v="313.64"/>
    <n v="251.2"/>
    <n v="178.29"/>
    <n v="215.23"/>
    <n v="3267.7799999999997"/>
    <n v="-36.94"/>
  </r>
  <r>
    <x v="11"/>
    <x v="0"/>
    <x v="0"/>
    <s v="3004102"/>
    <n v="721710"/>
    <s v="Reagents"/>
    <s v="Med/Surg Observation"/>
    <x v="0"/>
    <n v="1000"/>
    <n v="0"/>
    <n v="0"/>
    <n v="0"/>
    <n v="23.19"/>
    <n v="10"/>
    <n v="119.95"/>
    <n v="0"/>
    <n v="0"/>
    <n v="0"/>
    <n v="0"/>
    <n v="0"/>
    <n v="0"/>
    <n v="153.13999999999999"/>
    <n v="0"/>
  </r>
  <r>
    <x v="11"/>
    <x v="0"/>
    <x v="0"/>
    <s v="3004102"/>
    <n v="721810"/>
    <s v="Supplies-Dietary/Cafeteria"/>
    <s v="Med/Surg Observation"/>
    <x v="0"/>
    <m/>
    <n v="144.80000000000001"/>
    <n v="115.75"/>
    <n v="160.4"/>
    <n v="129.91"/>
    <n v="137.49"/>
    <n v="142.44"/>
    <n v="306.99"/>
    <n v="126.26"/>
    <n v="117.36"/>
    <n v="99.78"/>
    <n v="148.99"/>
    <n v="125.95"/>
    <n v="1756.12"/>
    <n v="23.040000000000006"/>
  </r>
  <r>
    <x v="11"/>
    <x v="0"/>
    <x v="0"/>
    <s v="3004102"/>
    <n v="721830"/>
    <s v="Supplies-Office"/>
    <s v="Med/Surg Observation"/>
    <x v="0"/>
    <m/>
    <n v="0"/>
    <n v="116.69"/>
    <n v="0"/>
    <n v="63.28"/>
    <n v="-457.63"/>
    <n v="96.93"/>
    <n v="0"/>
    <n v="0"/>
    <n v="61.95"/>
    <n v="0"/>
    <n v="293.89999999999998"/>
    <n v="0"/>
    <n v="175.12"/>
    <n v="293.89999999999998"/>
  </r>
  <r>
    <x v="11"/>
    <x v="0"/>
    <x v="0"/>
    <s v="3004102"/>
    <n v="721835"/>
    <s v="Supplies-Forms"/>
    <s v="Med/Surg Observation"/>
    <x v="0"/>
    <m/>
    <n v="0"/>
    <n v="0"/>
    <n v="0"/>
    <n v="0"/>
    <n v="1"/>
    <n v="0"/>
    <n v="194.55"/>
    <n v="0"/>
    <n v="0"/>
    <n v="316"/>
    <n v="0.5"/>
    <n v="0"/>
    <n v="512.04999999999995"/>
    <n v="0.5"/>
  </r>
  <r>
    <x v="11"/>
    <x v="0"/>
    <x v="0"/>
    <s v="3004102"/>
    <n v="721870"/>
    <s v="Supplies-Environmental Services"/>
    <s v="Med/Surg Observation"/>
    <x v="0"/>
    <m/>
    <n v="68.7"/>
    <n v="74.599999999999994"/>
    <n v="98.41"/>
    <n v="124.69"/>
    <n v="88.41"/>
    <n v="54.7"/>
    <n v="136.78"/>
    <n v="48.59"/>
    <n v="60.2"/>
    <n v="87.9"/>
    <n v="143.59"/>
    <n v="72.28"/>
    <n v="1058.8500000000001"/>
    <n v="71.31"/>
  </r>
  <r>
    <x v="11"/>
    <x v="0"/>
    <x v="0"/>
    <s v="3004102"/>
    <n v="721880"/>
    <s v="Supplies-Linen"/>
    <s v="Med/Surg Observation"/>
    <x v="0"/>
    <m/>
    <n v="0"/>
    <n v="25.68"/>
    <n v="80.25"/>
    <n v="0"/>
    <n v="6.42"/>
    <n v="0"/>
    <n v="0"/>
    <n v="19.260000000000002"/>
    <n v="12.84"/>
    <n v="0"/>
    <n v="64.2"/>
    <n v="32.1"/>
    <n v="240.75000000000003"/>
    <n v="32.1"/>
  </r>
  <r>
    <x v="11"/>
    <x v="0"/>
    <x v="0"/>
    <s v="3004102"/>
    <n v="721910"/>
    <s v="Supplies-Small Equipment"/>
    <s v="Med/Surg Observation"/>
    <x v="0"/>
    <m/>
    <n v="93.6"/>
    <n v="165.52"/>
    <n v="99.33"/>
    <n v="84"/>
    <n v="36.47"/>
    <n v="56.6"/>
    <n v="109.24"/>
    <n v="-50.84"/>
    <n v="22.82"/>
    <n v="-53.2"/>
    <n v="32.61"/>
    <n v="182.04"/>
    <n v="778.18999999999994"/>
    <n v="-149.43"/>
  </r>
  <r>
    <x v="11"/>
    <x v="0"/>
    <x v="0"/>
    <s v="3004102"/>
    <n v="721910"/>
    <s v="Instruments"/>
    <s v="Med/Surg Observation"/>
    <x v="0"/>
    <n v="1000"/>
    <n v="1407.25"/>
    <n v="0"/>
    <n v="0"/>
    <n v="0.73"/>
    <n v="0"/>
    <n v="3.9"/>
    <n v="0"/>
    <n v="0"/>
    <n v="0"/>
    <n v="0"/>
    <n v="0"/>
    <n v="0"/>
    <n v="1411.88"/>
    <n v="0"/>
  </r>
  <r>
    <x v="11"/>
    <x v="0"/>
    <x v="0"/>
    <s v="3004102"/>
    <n v="721980"/>
    <s v="Supplies-Other"/>
    <s v="Med/Surg Observation"/>
    <x v="0"/>
    <m/>
    <n v="0"/>
    <n v="1480.83"/>
    <n v="0"/>
    <n v="0"/>
    <n v="0"/>
    <n v="0"/>
    <n v="0"/>
    <n v="0"/>
    <n v="0"/>
    <n v="0"/>
    <n v="0"/>
    <n v="0"/>
    <n v="1480.83"/>
    <n v="0"/>
  </r>
  <r>
    <x v="12"/>
    <x v="0"/>
    <x v="0"/>
    <s v="3004102"/>
    <n v="730020"/>
    <s v="Rental and Leases-Copier Usage Fees (DO NOT USE)"/>
    <s v="Med/Surg Observation"/>
    <x v="0"/>
    <n v="5100"/>
    <n v="152.77000000000001"/>
    <n v="164.18"/>
    <n v="158.47"/>
    <n v="158.47"/>
    <n v="158.47"/>
    <n v="158.47"/>
    <n v="-421.1"/>
    <n v="101.64"/>
    <n v="101.42"/>
    <n v="367.3"/>
    <n v="90.43"/>
    <n v="92.35"/>
    <n v="1282.8700000000001"/>
    <n v="-1.9199999999999875"/>
  </r>
  <r>
    <x v="15"/>
    <x v="0"/>
    <x v="0"/>
    <s v="3004102"/>
    <n v="731060"/>
    <s v="Cell Phones"/>
    <s v="Med/Surg Observation"/>
    <x v="0"/>
    <n v="1001"/>
    <n v="0"/>
    <n v="50"/>
    <n v="100"/>
    <n v="0"/>
    <n v="49.49"/>
    <n v="50.1"/>
    <n v="100.15"/>
    <n v="0"/>
    <n v="50.58"/>
    <n v="100.26"/>
    <n v="49.48"/>
    <n v="50.15"/>
    <n v="600.20999999999992"/>
    <n v="-0.67000000000000171"/>
  </r>
  <r>
    <x v="0"/>
    <x v="0"/>
    <x v="0"/>
    <s v="3004102"/>
    <n v="740020"/>
    <s v="Education-Registration Fees"/>
    <s v="Med/Surg Observation"/>
    <x v="0"/>
    <m/>
    <n v="0"/>
    <n v="0"/>
    <n v="0"/>
    <n v="0"/>
    <n v="45"/>
    <n v="0"/>
    <n v="175"/>
    <n v="0"/>
    <n v="470"/>
    <n v="165"/>
    <n v="0"/>
    <n v="0"/>
    <n v="855"/>
    <n v="0"/>
  </r>
  <r>
    <x v="0"/>
    <x v="0"/>
    <x v="0"/>
    <s v="3004102"/>
    <n v="743030"/>
    <s v="Subscriptions--Institutional"/>
    <s v="Med/Surg Observation"/>
    <x v="0"/>
    <m/>
    <n v="0"/>
    <n v="0"/>
    <n v="174.56"/>
    <n v="0"/>
    <n v="0"/>
    <n v="0"/>
    <n v="0"/>
    <n v="0"/>
    <n v="0"/>
    <n v="0"/>
    <n v="0"/>
    <n v="0"/>
    <n v="174.56"/>
    <n v="0"/>
  </r>
  <r>
    <x v="0"/>
    <x v="0"/>
    <x v="0"/>
    <s v="3004102"/>
    <n v="749510"/>
    <s v="Miscellaneous Expenses"/>
    <s v="Med/Surg Observation"/>
    <x v="0"/>
    <m/>
    <n v="0"/>
    <n v="8280"/>
    <n v="72.44"/>
    <n v="0"/>
    <n v="4576.6000000000004"/>
    <n v="262.24"/>
    <n v="324.8"/>
    <n v="0"/>
    <n v="122.58"/>
    <n v="200.48"/>
    <n v="0"/>
    <n v="2435"/>
    <n v="16274.14"/>
    <n v="-2435"/>
  </r>
  <r>
    <x v="0"/>
    <x v="0"/>
    <x v="0"/>
    <s v="3004102"/>
    <n v="749510"/>
    <s v="Casualty Loss/Patient Property"/>
    <s v="Med/Surg Observation"/>
    <x v="0"/>
    <n v="4601"/>
    <n v="0"/>
    <n v="0"/>
    <n v="0"/>
    <n v="0"/>
    <n v="0"/>
    <n v="0"/>
    <n v="1150"/>
    <n v="0"/>
    <n v="805"/>
    <n v="0"/>
    <n v="0"/>
    <n v="0"/>
    <n v="1955"/>
    <n v="0"/>
  </r>
  <r>
    <x v="0"/>
    <x v="0"/>
    <x v="0"/>
    <s v="3004102"/>
    <n v="749535"/>
    <s v="Meetings"/>
    <s v="Med/Surg Observation"/>
    <x v="0"/>
    <m/>
    <n v="0"/>
    <n v="0"/>
    <n v="0"/>
    <n v="0"/>
    <n v="0"/>
    <n v="0"/>
    <n v="0"/>
    <n v="0"/>
    <n v="0"/>
    <n v="25.58"/>
    <n v="0"/>
    <n v="0"/>
    <n v="25.58"/>
    <n v="0"/>
  </r>
  <r>
    <x v="5"/>
    <x v="8"/>
    <x v="0"/>
    <s v="3004104"/>
    <n v="700026"/>
    <s v="Salaries-RN-Productive"/>
    <s v="Med/Surg 5 Floor"/>
    <x v="0"/>
    <m/>
    <n v="0"/>
    <n v="0"/>
    <n v="0"/>
    <n v="0"/>
    <n v="0"/>
    <n v="0"/>
    <n v="0"/>
    <n v="0"/>
    <n v="0"/>
    <n v="0"/>
    <n v="0"/>
    <n v="46.03"/>
    <n v="46.03"/>
    <n v="-46.03"/>
  </r>
  <r>
    <x v="5"/>
    <x v="8"/>
    <x v="0"/>
    <s v="3004104"/>
    <n v="700026"/>
    <s v="Salaries-RN-OT"/>
    <s v="Med/Surg 5 Floor"/>
    <x v="0"/>
    <n v="1000"/>
    <n v="0"/>
    <n v="0"/>
    <n v="0"/>
    <n v="0"/>
    <n v="0"/>
    <n v="0"/>
    <n v="0"/>
    <n v="0"/>
    <n v="0"/>
    <n v="0"/>
    <n v="0"/>
    <n v="17.32"/>
    <n v="17.32"/>
    <n v="-17.32"/>
  </r>
  <r>
    <x v="5"/>
    <x v="8"/>
    <x v="0"/>
    <s v="3004104"/>
    <n v="700026"/>
    <s v="Salaries-RN-Other"/>
    <s v="Med/Surg 5 Floor"/>
    <x v="0"/>
    <n v="2000"/>
    <n v="0"/>
    <n v="0"/>
    <n v="0"/>
    <n v="0"/>
    <n v="0"/>
    <n v="0"/>
    <n v="0"/>
    <n v="0"/>
    <n v="0"/>
    <n v="0"/>
    <n v="0"/>
    <n v="3.69"/>
    <n v="3.69"/>
    <n v="-3.69"/>
  </r>
  <r>
    <x v="10"/>
    <x v="8"/>
    <x v="0"/>
    <s v="3004104"/>
    <n v="710060"/>
    <s v="Contract Labor-Other"/>
    <s v="Med/Surg 5 Floor"/>
    <x v="0"/>
    <m/>
    <n v="0"/>
    <n v="0"/>
    <n v="0"/>
    <n v="5112"/>
    <n v="-5112"/>
    <n v="0"/>
    <n v="0"/>
    <n v="0"/>
    <n v="0"/>
    <n v="0"/>
    <n v="0"/>
    <n v="0"/>
    <n v="0"/>
    <n v="0"/>
  </r>
  <r>
    <x v="6"/>
    <x v="8"/>
    <x v="0"/>
    <s v="3004104"/>
    <n v="713010"/>
    <s v="Benefits-FICA/Medicare"/>
    <s v="Med/Surg 5 Floor"/>
    <x v="0"/>
    <m/>
    <n v="0"/>
    <n v="0"/>
    <n v="0"/>
    <n v="0"/>
    <n v="0"/>
    <n v="0"/>
    <n v="0"/>
    <n v="0"/>
    <n v="0"/>
    <n v="0"/>
    <n v="0"/>
    <n v="4.79"/>
    <n v="4.79"/>
    <n v="-4.79"/>
  </r>
  <r>
    <x v="0"/>
    <x v="8"/>
    <x v="0"/>
    <s v="3004104"/>
    <n v="749510"/>
    <s v="Miscellaneous Expenses"/>
    <s v="Med/Surg 5 Floor"/>
    <x v="0"/>
    <m/>
    <n v="0"/>
    <n v="0"/>
    <n v="0"/>
    <n v="145.47999999999999"/>
    <n v="0"/>
    <n v="0"/>
    <n v="12.37"/>
    <n v="0"/>
    <n v="0"/>
    <n v="38.450000000000003"/>
    <n v="0"/>
    <n v="0"/>
    <n v="196.3"/>
    <n v="0"/>
  </r>
  <r>
    <x v="18"/>
    <x v="6"/>
    <x v="0"/>
    <s v="3004107"/>
    <n v="400010"/>
    <s v="Acute I/P Svcs Rev--Medicare"/>
    <s v="3 West"/>
    <x v="0"/>
    <n v="1100"/>
    <n v="-1454857.26"/>
    <n v="-1447398.41"/>
    <n v="-1297490.8600000001"/>
    <n v="-1276035.17"/>
    <n v="-1372461.64"/>
    <n v="-1316183.22"/>
    <n v="-1521695.2"/>
    <n v="-1689477.5"/>
    <n v="-1770653.05"/>
    <n v="-1555751.41"/>
    <n v="-1476148.22"/>
    <n v="-1449900.58"/>
    <n v="-17628052.520000003"/>
    <n v="-26247.639999999898"/>
  </r>
  <r>
    <x v="18"/>
    <x v="6"/>
    <x v="0"/>
    <s v="3004107"/>
    <n v="400010"/>
    <s v="Acute I/P Svcs Rev--Medicaid"/>
    <s v="3 West"/>
    <x v="0"/>
    <n v="1200"/>
    <n v="-322575.49"/>
    <n v="-425245.32"/>
    <n v="-503324.2"/>
    <n v="-306109.01"/>
    <n v="-481362.16"/>
    <n v="-300639.96000000002"/>
    <n v="-316538.23"/>
    <n v="-283222.49"/>
    <n v="-463596.87"/>
    <n v="-415627.07"/>
    <n v="-496501.71"/>
    <n v="-364254.11"/>
    <n v="-4678996.620000001"/>
    <n v="-132247.60000000003"/>
  </r>
  <r>
    <x v="18"/>
    <x v="6"/>
    <x v="0"/>
    <s v="3004107"/>
    <n v="400010"/>
    <s v="Acute I/P Svcs Rev--Comm Insurance"/>
    <s v="3 West"/>
    <x v="0"/>
    <n v="1300"/>
    <n v="14609.51"/>
    <n v="14998.67"/>
    <n v="-15553.33"/>
    <n v="-48652.75"/>
    <n v="-27009.64"/>
    <n v="5070.99"/>
    <n v="-19539.330000000002"/>
    <n v="0"/>
    <n v="-3471.08"/>
    <n v="-7009.25"/>
    <n v="-32681.64"/>
    <n v="-55954.65"/>
    <n v="-175192.5"/>
    <n v="23273.010000000002"/>
  </r>
  <r>
    <x v="18"/>
    <x v="6"/>
    <x v="0"/>
    <s v="3004107"/>
    <n v="400010"/>
    <s v="Acute I/P Svcs Rev--BCBS Comm"/>
    <s v="3 West"/>
    <x v="0"/>
    <n v="1301"/>
    <n v="-62457.14"/>
    <n v="-26488.400000000001"/>
    <n v="-48060.56"/>
    <n v="-170375.79"/>
    <n v="-68271.179999999993"/>
    <n v="-103726.22"/>
    <n v="-131163.51999999999"/>
    <n v="-27297.16"/>
    <n v="-76341.490000000005"/>
    <n v="-49497.24"/>
    <n v="-103692.22"/>
    <n v="-79247.929999999993"/>
    <n v="-946618.85000000009"/>
    <n v="-24444.290000000008"/>
  </r>
  <r>
    <x v="18"/>
    <x v="6"/>
    <x v="0"/>
    <s v="3004107"/>
    <n v="400010"/>
    <s v="Acute I/P Svcs Rev--Managed Care"/>
    <s v="3 West"/>
    <x v="0"/>
    <n v="1400"/>
    <n v="-82331.710000000006"/>
    <n v="-41264.339999999997"/>
    <n v="-100935.25"/>
    <n v="-91974.63"/>
    <n v="-124928.06"/>
    <n v="-73306.259999999995"/>
    <n v="-175604.75"/>
    <n v="-114502.04"/>
    <n v="-218107.32"/>
    <n v="-160517.76999999999"/>
    <n v="-182159.19"/>
    <n v="-166151.4"/>
    <n v="-1531782.72"/>
    <n v="-16007.790000000008"/>
  </r>
  <r>
    <x v="18"/>
    <x v="6"/>
    <x v="0"/>
    <s v="3004107"/>
    <n v="400010"/>
    <s v="Acute I/P Svcs Rev--Self Pay"/>
    <s v="3 West"/>
    <x v="0"/>
    <n v="1500"/>
    <n v="1646.58"/>
    <n v="-20276.849999999999"/>
    <n v="-55087.73"/>
    <n v="0"/>
    <n v="0"/>
    <n v="-39300.629999999997"/>
    <n v="3754.24"/>
    <n v="-43746.5"/>
    <n v="45861.13"/>
    <n v="0"/>
    <n v="-45293.38"/>
    <n v="-22529"/>
    <n v="-174972.14"/>
    <n v="-22764.379999999997"/>
  </r>
  <r>
    <x v="18"/>
    <x v="6"/>
    <x v="0"/>
    <s v="3004107"/>
    <n v="400010"/>
    <s v="Acute I/P Svcs Rev--Other"/>
    <s v="3 West"/>
    <x v="0"/>
    <n v="1700"/>
    <n v="-67640.89"/>
    <n v="-71605.009999999995"/>
    <n v="-172830.57"/>
    <n v="-52488.35"/>
    <n v="-80487.899999999994"/>
    <n v="-113756.07"/>
    <n v="-76115.61"/>
    <n v="-145555.78"/>
    <n v="-75859.820000000007"/>
    <n v="-52287.33"/>
    <n v="-72063.87"/>
    <n v="-36745.050000000003"/>
    <n v="-1017436.25"/>
    <n v="-35318.819999999992"/>
  </r>
  <r>
    <x v="19"/>
    <x v="6"/>
    <x v="0"/>
    <s v="3004107"/>
    <n v="400020"/>
    <s v="O/P Care Svcs Rev--Medicare"/>
    <s v="3 West"/>
    <x v="0"/>
    <n v="1100"/>
    <n v="-91128.48"/>
    <n v="-58437.54"/>
    <n v="-40284.1"/>
    <n v="-79422.91"/>
    <n v="-75426.289999999994"/>
    <n v="-190699"/>
    <n v="-190817"/>
    <n v="-105627.28"/>
    <n v="-109118.01"/>
    <n v="-113453.38"/>
    <n v="-136151.93"/>
    <n v="-68499.14"/>
    <n v="-1259065.06"/>
    <n v="-67652.789999999994"/>
  </r>
  <r>
    <x v="19"/>
    <x v="6"/>
    <x v="0"/>
    <s v="3004107"/>
    <n v="400020"/>
    <s v="O/P Care Svcs Rev--Medicaid"/>
    <s v="3 West"/>
    <x v="0"/>
    <n v="1200"/>
    <n v="-78099.56"/>
    <n v="-11080.56"/>
    <n v="-55704.44"/>
    <n v="-48419.22"/>
    <n v="-19346.72"/>
    <n v="-16042.03"/>
    <n v="-71282.39"/>
    <n v="-53075.26"/>
    <n v="-15514.74"/>
    <n v="-20248.400000000001"/>
    <n v="-26273.56"/>
    <n v="-16227.52"/>
    <n v="-431314.4"/>
    <n v="-10046.040000000001"/>
  </r>
  <r>
    <x v="19"/>
    <x v="6"/>
    <x v="0"/>
    <s v="3004107"/>
    <n v="400020"/>
    <s v="O/P Care Svcs Rev--Comm Insurance"/>
    <s v="3 West"/>
    <x v="0"/>
    <n v="1300"/>
    <n v="0"/>
    <n v="0"/>
    <n v="0"/>
    <n v="-3476.67"/>
    <n v="-2297.16"/>
    <n v="0"/>
    <n v="0"/>
    <n v="0"/>
    <n v="0"/>
    <n v="-1457.44"/>
    <n v="1457.44"/>
    <n v="0"/>
    <n v="-5773.83"/>
    <n v="1457.44"/>
  </r>
  <r>
    <x v="19"/>
    <x v="6"/>
    <x v="0"/>
    <s v="3004107"/>
    <n v="400020"/>
    <s v="O/P Care Svcs Rev--BCBS Comm"/>
    <s v="3 West"/>
    <x v="0"/>
    <n v="1301"/>
    <n v="-17464.87"/>
    <n v="-2896.14"/>
    <n v="-3318.38"/>
    <n v="-1256.5"/>
    <n v="-8489.89"/>
    <n v="-9980.52"/>
    <n v="7697.11"/>
    <n v="-6111.45"/>
    <n v="-10128.950000000001"/>
    <n v="-2759.36"/>
    <n v="0"/>
    <n v="-35031.32"/>
    <n v="-89740.26999999999"/>
    <n v="35031.32"/>
  </r>
  <r>
    <x v="19"/>
    <x v="6"/>
    <x v="0"/>
    <s v="3004107"/>
    <n v="400020"/>
    <s v="O/P Care Svcs Rev--Managed Care"/>
    <s v="3 West"/>
    <x v="0"/>
    <n v="1400"/>
    <n v="-24973.93"/>
    <n v="-20058.71"/>
    <n v="-45625.65"/>
    <n v="-681.43"/>
    <n v="-7872"/>
    <n v="-25818.05"/>
    <n v="-17068.05"/>
    <n v="-23737.759999999998"/>
    <n v="-18726.86"/>
    <n v="-34906.839999999997"/>
    <n v="-23190.7"/>
    <n v="-35994.639999999999"/>
    <n v="-278654.62"/>
    <n v="12803.939999999999"/>
  </r>
  <r>
    <x v="19"/>
    <x v="6"/>
    <x v="0"/>
    <s v="3004107"/>
    <n v="400020"/>
    <s v="O/P Care Svcs Rev--Self Pay"/>
    <s v="3 West"/>
    <x v="0"/>
    <n v="1500"/>
    <n v="0"/>
    <n v="-5020.9399999999996"/>
    <n v="0"/>
    <n v="0"/>
    <n v="-25537.18"/>
    <n v="-64708.41"/>
    <n v="0"/>
    <n v="0"/>
    <n v="0"/>
    <n v="-6856.56"/>
    <n v="-16469.5"/>
    <n v="-3538.08"/>
    <n v="-122130.67"/>
    <n v="-12931.42"/>
  </r>
  <r>
    <x v="19"/>
    <x v="6"/>
    <x v="0"/>
    <s v="3004107"/>
    <n v="400020"/>
    <s v="O/P Care Svcs Rev--Other"/>
    <s v="3 West"/>
    <x v="0"/>
    <n v="1700"/>
    <n v="0"/>
    <n v="-15946.58"/>
    <n v="0"/>
    <n v="-12244.55"/>
    <n v="-12737.46"/>
    <n v="-9370.01"/>
    <n v="0"/>
    <n v="-7492.08"/>
    <n v="-9171.34"/>
    <n v="-27623.56"/>
    <n v="-29629.17"/>
    <n v="0"/>
    <n v="-124214.75"/>
    <n v="-29629.17"/>
  </r>
  <r>
    <x v="5"/>
    <x v="6"/>
    <x v="0"/>
    <s v="3004107"/>
    <n v="700014"/>
    <s v="Salaries-Management-Productive"/>
    <s v="3 West"/>
    <x v="0"/>
    <m/>
    <n v="4128.3"/>
    <n v="3133.02"/>
    <n v="4362.78"/>
    <n v="3331.47"/>
    <n v="5057.67"/>
    <n v="3128.91"/>
    <n v="4168.07"/>
    <n v="4259.04"/>
    <n v="3163.93"/>
    <n v="4836.8999999999996"/>
    <n v="3452.91"/>
    <n v="1734.14"/>
    <n v="44757.14"/>
    <n v="1718.7699999999998"/>
  </r>
  <r>
    <x v="5"/>
    <x v="6"/>
    <x v="0"/>
    <s v="3004107"/>
    <n v="700014"/>
    <s v="Salaries-Management-OT"/>
    <s v="3 West"/>
    <x v="0"/>
    <n v="1000"/>
    <n v="0"/>
    <n v="0"/>
    <n v="0"/>
    <n v="0"/>
    <n v="-64.099999999999994"/>
    <n v="0"/>
    <n v="0"/>
    <n v="0"/>
    <n v="0"/>
    <n v="0"/>
    <n v="0"/>
    <n v="0"/>
    <n v="-64.099999999999994"/>
    <n v="0"/>
  </r>
  <r>
    <x v="5"/>
    <x v="6"/>
    <x v="0"/>
    <s v="3004107"/>
    <n v="700014"/>
    <s v="Salaries-Management-Other"/>
    <s v="3 West"/>
    <x v="0"/>
    <n v="2000"/>
    <n v="0"/>
    <n v="0"/>
    <n v="0"/>
    <n v="0"/>
    <n v="-1710.75"/>
    <n v="0"/>
    <n v="0"/>
    <n v="0"/>
    <n v="0"/>
    <n v="0"/>
    <n v="0"/>
    <n v="0"/>
    <n v="-1710.75"/>
    <n v="0"/>
  </r>
  <r>
    <x v="5"/>
    <x v="6"/>
    <x v="0"/>
    <s v="3004107"/>
    <n v="700018"/>
    <s v="Salaries-Supervisory-Productive"/>
    <s v="3 West"/>
    <x v="0"/>
    <m/>
    <n v="5331.28"/>
    <n v="3439"/>
    <n v="17122.37"/>
    <n v="13160.64"/>
    <n v="15852.74"/>
    <n v="12656.29"/>
    <n v="15627.61"/>
    <n v="9318.59"/>
    <n v="10320.370000000001"/>
    <n v="7846.04"/>
    <n v="7764.03"/>
    <n v="7510.34"/>
    <n v="125949.29999999997"/>
    <n v="253.6899999999996"/>
  </r>
  <r>
    <x v="5"/>
    <x v="6"/>
    <x v="0"/>
    <s v="3004107"/>
    <n v="700026"/>
    <s v="Salaries-RN-Productive"/>
    <s v="3 West"/>
    <x v="0"/>
    <m/>
    <n v="144891.1"/>
    <n v="136218.04999999999"/>
    <n v="152409.23000000001"/>
    <n v="150654.88"/>
    <n v="157469.57"/>
    <n v="161400.54999999999"/>
    <n v="165277.18"/>
    <n v="159469.06"/>
    <n v="179076.95"/>
    <n v="160967.03"/>
    <n v="180828.95"/>
    <n v="179976.86"/>
    <n v="1928639.4100000001"/>
    <n v="852.09000000002561"/>
  </r>
  <r>
    <x v="5"/>
    <x v="6"/>
    <x v="0"/>
    <s v="3004107"/>
    <n v="700026"/>
    <s v="Salaries-RN-OT"/>
    <s v="3 West"/>
    <x v="0"/>
    <n v="1000"/>
    <n v="9379.86"/>
    <n v="11086.82"/>
    <n v="11479.81"/>
    <n v="10769.58"/>
    <n v="13901.22"/>
    <n v="9236.66"/>
    <n v="13541.58"/>
    <n v="12395.81"/>
    <n v="17703.53"/>
    <n v="9386.49"/>
    <n v="7540.73"/>
    <n v="17096.400000000001"/>
    <n v="143518.49"/>
    <n v="-9555.6700000000019"/>
  </r>
  <r>
    <x v="5"/>
    <x v="6"/>
    <x v="0"/>
    <s v="3004107"/>
    <n v="700026"/>
    <s v="Salaries-RN-Other"/>
    <s v="3 West"/>
    <x v="0"/>
    <n v="2000"/>
    <n v="17330.650000000001"/>
    <n v="19338.37"/>
    <n v="19167.82"/>
    <n v="19641.09"/>
    <n v="19112.54"/>
    <n v="18483.47"/>
    <n v="19277.3"/>
    <n v="17014.650000000001"/>
    <n v="20958.740000000002"/>
    <n v="17312.8"/>
    <n v="20269.189999999999"/>
    <n v="21398.54"/>
    <n v="229305.15999999997"/>
    <n v="-1129.3500000000022"/>
  </r>
  <r>
    <x v="5"/>
    <x v="6"/>
    <x v="0"/>
    <s v="3004107"/>
    <n v="700030"/>
    <s v="Salaries-LPN-Productive"/>
    <s v="3 West"/>
    <x v="0"/>
    <m/>
    <n v="4049.26"/>
    <n v="3749.77"/>
    <n v="6451.53"/>
    <n v="2732.68"/>
    <n v="3950.68"/>
    <n v="3891.41"/>
    <n v="3921.73"/>
    <n v="807.57"/>
    <n v="3838.76"/>
    <n v="4370.2299999999996"/>
    <n v="4079.54"/>
    <n v="2981.32"/>
    <n v="44824.479999999996"/>
    <n v="1098.2199999999998"/>
  </r>
  <r>
    <x v="5"/>
    <x v="6"/>
    <x v="0"/>
    <s v="3004107"/>
    <n v="700030"/>
    <s v="Salaries-LPN-OT"/>
    <s v="3 West"/>
    <x v="0"/>
    <n v="1000"/>
    <n v="21.29"/>
    <n v="80.8"/>
    <n v="40.18"/>
    <n v="826"/>
    <n v="131.58000000000001"/>
    <n v="105.24"/>
    <n v="125.52"/>
    <n v="248.47"/>
    <n v="1233.1600000000001"/>
    <n v="-414.63"/>
    <n v="32.229999999999997"/>
    <n v="218.56"/>
    <n v="2648.3999999999996"/>
    <n v="-186.33"/>
  </r>
  <r>
    <x v="5"/>
    <x v="6"/>
    <x v="0"/>
    <s v="3004107"/>
    <n v="700030"/>
    <s v="Salaries-LPN-Other"/>
    <s v="3 West"/>
    <x v="0"/>
    <n v="2000"/>
    <n v="302.70999999999998"/>
    <n v="313.27"/>
    <n v="390.52"/>
    <n v="368.36"/>
    <n v="372.28"/>
    <n v="298.73"/>
    <n v="368.6"/>
    <n v="89.91"/>
    <n v="372.23"/>
    <n v="401.24"/>
    <n v="461.57"/>
    <n v="310.49"/>
    <n v="4049.9100000000008"/>
    <n v="151.07999999999998"/>
  </r>
  <r>
    <x v="5"/>
    <x v="6"/>
    <x v="0"/>
    <s v="3004107"/>
    <n v="700032"/>
    <s v="Salaries-Other Pat Care Providers-Productive"/>
    <s v="3 West"/>
    <x v="0"/>
    <m/>
    <n v="47234.39"/>
    <n v="49106.13"/>
    <n v="55448.38"/>
    <n v="51521.06"/>
    <n v="57728.33"/>
    <n v="56504.06"/>
    <n v="53705.86"/>
    <n v="50098.43"/>
    <n v="52579.29"/>
    <n v="57466.59"/>
    <n v="56354.04"/>
    <n v="56734.16"/>
    <n v="644480.72"/>
    <n v="-380.12000000000262"/>
  </r>
  <r>
    <x v="5"/>
    <x v="6"/>
    <x v="0"/>
    <s v="3004107"/>
    <n v="700032"/>
    <s v="Salaries-Other Pat Care Providers-OT"/>
    <s v="3 West"/>
    <x v="0"/>
    <n v="1000"/>
    <n v="4506.34"/>
    <n v="6506.79"/>
    <n v="4021.46"/>
    <n v="1739.59"/>
    <n v="2899.29"/>
    <n v="5255.94"/>
    <n v="3263.02"/>
    <n v="6504.18"/>
    <n v="5695.22"/>
    <n v="4076.15"/>
    <n v="4734.97"/>
    <n v="8787.56"/>
    <n v="57990.51"/>
    <n v="-4052.5899999999992"/>
  </r>
  <r>
    <x v="5"/>
    <x v="6"/>
    <x v="0"/>
    <s v="3004107"/>
    <n v="700032"/>
    <s v="Salaries-Other Pat Care Providers-Other"/>
    <s v="3 West"/>
    <x v="0"/>
    <n v="2000"/>
    <n v="4402.17"/>
    <n v="4788.6099999999997"/>
    <n v="4251.2"/>
    <n v="4656.4799999999996"/>
    <n v="5627.68"/>
    <n v="4704.8100000000004"/>
    <n v="4261.07"/>
    <n v="4238.2700000000004"/>
    <n v="4358.28"/>
    <n v="4774.5600000000004"/>
    <n v="4786.12"/>
    <n v="4381.99"/>
    <n v="55231.24"/>
    <n v="404.13000000000011"/>
  </r>
  <r>
    <x v="5"/>
    <x v="6"/>
    <x v="0"/>
    <s v="3004107"/>
    <n v="700054"/>
    <s v="Salaries-Management-Non-productive"/>
    <s v="3 West"/>
    <x v="0"/>
    <m/>
    <n v="409.92"/>
    <n v="1405.41"/>
    <n v="29.31"/>
    <n v="1344.09"/>
    <n v="-501.21"/>
    <n v="1579.57"/>
    <n v="547.77"/>
    <n v="0"/>
    <n v="1551.45"/>
    <n v="-273.75"/>
    <n v="1262.47"/>
    <n v="15.24"/>
    <n v="7370.27"/>
    <n v="1247.23"/>
  </r>
  <r>
    <x v="5"/>
    <x v="6"/>
    <x v="0"/>
    <s v="3004107"/>
    <n v="700054"/>
    <s v="Salaries-Management-NonProd-Other"/>
    <s v="3 West"/>
    <x v="0"/>
    <n v="2000"/>
    <n v="0"/>
    <n v="0"/>
    <n v="0"/>
    <n v="0"/>
    <n v="0"/>
    <n v="115"/>
    <n v="-115"/>
    <n v="0"/>
    <n v="0"/>
    <n v="0"/>
    <n v="0"/>
    <n v="0"/>
    <n v="0"/>
    <n v="0"/>
  </r>
  <r>
    <x v="5"/>
    <x v="6"/>
    <x v="0"/>
    <s v="3004107"/>
    <n v="700058"/>
    <s v="Salaries-Supervisory-Non-productive"/>
    <s v="3 West"/>
    <x v="0"/>
    <m/>
    <n v="3977.74"/>
    <n v="10793.16"/>
    <n v="-2276.35"/>
    <n v="2642.87"/>
    <n v="-451.99"/>
    <n v="3258.32"/>
    <n v="311.86"/>
    <n v="5076.8999999999996"/>
    <n v="-1335.89"/>
    <n v="384.09"/>
    <n v="740.7"/>
    <n v="720.19"/>
    <n v="23841.600000000002"/>
    <n v="20.509999999999991"/>
  </r>
  <r>
    <x v="5"/>
    <x v="6"/>
    <x v="0"/>
    <s v="3004107"/>
    <n v="700058"/>
    <s v="Salaries-Supervisory-NonProd-Other"/>
    <s v="3 Wes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004107"/>
    <n v="700066"/>
    <s v="Salaries-RN-Non-productive"/>
    <s v="3 West"/>
    <x v="0"/>
    <m/>
    <n v="16348.33"/>
    <n v="11243.43"/>
    <n v="10827.37"/>
    <n v="18957.79"/>
    <n v="14376.78"/>
    <n v="17099.32"/>
    <n v="12622.53"/>
    <n v="19902.439999999999"/>
    <n v="22362.33"/>
    <n v="26579.22"/>
    <n v="16869.34"/>
    <n v="11480.59"/>
    <n v="198669.47"/>
    <n v="5388.75"/>
  </r>
  <r>
    <x v="5"/>
    <x v="6"/>
    <x v="0"/>
    <s v="3004107"/>
    <n v="700066"/>
    <s v="Salaries-RN-NonProd-Other"/>
    <s v="3 West"/>
    <x v="0"/>
    <n v="2000"/>
    <n v="1182.95"/>
    <n v="440.28"/>
    <n v="800.99"/>
    <n v="1414.32"/>
    <n v="1361.15"/>
    <n v="1863.13"/>
    <n v="1038.9000000000001"/>
    <n v="754.49"/>
    <n v="1884.07"/>
    <n v="2077.19"/>
    <n v="817.05"/>
    <n v="592.39"/>
    <n v="14226.91"/>
    <n v="224.65999999999997"/>
  </r>
  <r>
    <x v="5"/>
    <x v="6"/>
    <x v="0"/>
    <s v="3004107"/>
    <n v="700070"/>
    <s v="Salaries-LPN-Non-productive"/>
    <s v="3 West"/>
    <x v="0"/>
    <m/>
    <n v="193.44"/>
    <n v="299.52"/>
    <n v="0"/>
    <n v="0"/>
    <n v="0"/>
    <n v="350.79"/>
    <n v="373.35"/>
    <n v="2481.19"/>
    <n v="-187.5"/>
    <n v="-91.48"/>
    <n v="0"/>
    <n v="0"/>
    <n v="3419.31"/>
    <n v="0"/>
  </r>
  <r>
    <x v="5"/>
    <x v="6"/>
    <x v="0"/>
    <s v="3004107"/>
    <n v="700070"/>
    <s v="Salaries-LPN-NonProd-Other"/>
    <s v="3 West"/>
    <x v="0"/>
    <n v="2000"/>
    <n v="14.34"/>
    <n v="22.2"/>
    <n v="0"/>
    <n v="0"/>
    <n v="0"/>
    <n v="25.37"/>
    <n v="26.99"/>
    <n v="179.44"/>
    <n v="-13.58"/>
    <n v="-6.6"/>
    <n v="0"/>
    <n v="0"/>
    <n v="248.15999999999997"/>
    <n v="0"/>
  </r>
  <r>
    <x v="5"/>
    <x v="6"/>
    <x v="0"/>
    <s v="3004107"/>
    <n v="700072"/>
    <s v="Salaries-Other Pat Care Providers-Non-productive"/>
    <s v="3 West"/>
    <x v="0"/>
    <m/>
    <n v="9718.6"/>
    <n v="8637.7199999999993"/>
    <n v="9312.4"/>
    <n v="3415.72"/>
    <n v="6989.88"/>
    <n v="11206.36"/>
    <n v="9208.06"/>
    <n v="3123.83"/>
    <n v="6071.06"/>
    <n v="7807.58"/>
    <n v="8208.39"/>
    <n v="6994.36"/>
    <n v="90693.96"/>
    <n v="1214.0299999999997"/>
  </r>
  <r>
    <x v="5"/>
    <x v="6"/>
    <x v="0"/>
    <s v="3004107"/>
    <n v="700072"/>
    <s v="Salaries-Other Pat Care Providers-NonProd-Other"/>
    <s v="3 West"/>
    <x v="0"/>
    <n v="2000"/>
    <n v="713.37"/>
    <n v="533.74"/>
    <n v="525.16999999999996"/>
    <n v="173.26"/>
    <n v="449.24"/>
    <n v="653.78"/>
    <n v="613.79999999999995"/>
    <n v="211.35"/>
    <n v="182.86"/>
    <n v="318.5"/>
    <n v="718.53"/>
    <n v="416.38"/>
    <n v="5509.9800000000005"/>
    <n v="302.14999999999998"/>
  </r>
  <r>
    <x v="5"/>
    <x v="6"/>
    <x v="0"/>
    <s v="3004107"/>
    <n v="700084"/>
    <s v="Accrued PTO"/>
    <s v="3 West"/>
    <x v="0"/>
    <m/>
    <n v="-4342.08"/>
    <n v="-924.88"/>
    <n v="6096.2"/>
    <n v="12190.26"/>
    <n v="7623.92"/>
    <n v="4482.01"/>
    <n v="5598.33"/>
    <n v="6874.3"/>
    <n v="5786.64"/>
    <n v="1068.69"/>
    <n v="1702.46"/>
    <n v="5315.41"/>
    <n v="51471.260000000009"/>
    <n v="-3612.95"/>
  </r>
  <r>
    <x v="10"/>
    <x v="6"/>
    <x v="0"/>
    <s v="3004107"/>
    <n v="710060"/>
    <s v="Contract Labor-Other"/>
    <s v="3 West"/>
    <x v="0"/>
    <m/>
    <n v="34398.879999999997"/>
    <n v="37523.94"/>
    <n v="17774.310000000001"/>
    <n v="13832.32"/>
    <n v="6416"/>
    <n v="2627"/>
    <n v="2516.41"/>
    <n v="3123.78"/>
    <n v="6029.4"/>
    <n v="7498.5"/>
    <n v="363"/>
    <n v="105.88"/>
    <n v="132209.42000000001"/>
    <n v="257.12"/>
  </r>
  <r>
    <x v="10"/>
    <x v="6"/>
    <x v="0"/>
    <s v="3004107"/>
    <n v="710060"/>
    <s v="Contract Labor-Overtime"/>
    <s v="3 West"/>
    <x v="0"/>
    <n v="5100"/>
    <n v="8301.98"/>
    <n v="8861.19"/>
    <n v="1836"/>
    <n v="1520.44"/>
    <n v="0"/>
    <n v="0"/>
    <n v="0"/>
    <n v="0"/>
    <n v="1150.2"/>
    <n v="814.72"/>
    <n v="0"/>
    <n v="0"/>
    <n v="22484.53"/>
    <n v="0"/>
  </r>
  <r>
    <x v="10"/>
    <x v="6"/>
    <x v="0"/>
    <s v="3004107"/>
    <n v="710060"/>
    <s v="Contract Labor-Standby Wages"/>
    <s v="3 West"/>
    <x v="0"/>
    <n v="5101"/>
    <n v="0"/>
    <n v="96"/>
    <n v="0"/>
    <n v="0"/>
    <n v="0"/>
    <n v="0"/>
    <n v="-40834.559999999998"/>
    <n v="0"/>
    <n v="0"/>
    <n v="0"/>
    <n v="0"/>
    <n v="0"/>
    <n v="-40738.559999999998"/>
    <n v="0"/>
  </r>
  <r>
    <x v="6"/>
    <x v="6"/>
    <x v="0"/>
    <s v="3004107"/>
    <n v="713010"/>
    <s v="Benefits-FICA/Medicare"/>
    <s v="3 West"/>
    <x v="0"/>
    <m/>
    <n v="20626.900000000001"/>
    <n v="20379.150000000001"/>
    <n v="22223.5"/>
    <n v="21595.16"/>
    <n v="22816.82"/>
    <n v="23351.11"/>
    <n v="23136.44"/>
    <n v="22301.81"/>
    <n v="25346.09"/>
    <n v="22932.2"/>
    <n v="23982.78"/>
    <n v="24057.47"/>
    <n v="272749.43"/>
    <n v="-74.690000000002328"/>
  </r>
  <r>
    <x v="6"/>
    <x v="6"/>
    <x v="0"/>
    <s v="3004107"/>
    <n v="713090"/>
    <s v="Benefits-Allocated Amounts"/>
    <s v="3 West"/>
    <x v="0"/>
    <m/>
    <n v="50770.39"/>
    <n v="44589.63"/>
    <n v="54647.99"/>
    <n v="50812.88"/>
    <n v="62891.14"/>
    <n v="58843.360000000001"/>
    <n v="58611.24"/>
    <n v="58524.67"/>
    <n v="52055.49"/>
    <n v="63479.03"/>
    <n v="59420.76"/>
    <n v="69739.5"/>
    <n v="684386.08"/>
    <n v="-10318.739999999998"/>
  </r>
  <r>
    <x v="6"/>
    <x v="6"/>
    <x v="0"/>
    <s v="3004107"/>
    <n v="713096"/>
    <s v="Employee Recognition"/>
    <s v="3 West"/>
    <x v="0"/>
    <n v="1017"/>
    <n v="62.9"/>
    <n v="0"/>
    <n v="192.28"/>
    <n v="0"/>
    <n v="157.22"/>
    <n v="632.34"/>
    <n v="57.92"/>
    <n v="44.51"/>
    <n v="97.99"/>
    <n v="43.98"/>
    <n v="345.18"/>
    <n v="498.77"/>
    <n v="2133.09"/>
    <n v="-153.58999999999997"/>
  </r>
  <r>
    <x v="17"/>
    <x v="6"/>
    <x v="0"/>
    <s v="3004107"/>
    <n v="714530"/>
    <s v="Medical Prof Fees-Intracompany"/>
    <s v="3 West"/>
    <x v="0"/>
    <m/>
    <n v="4164.88"/>
    <n v="-4164.88"/>
    <n v="0"/>
    <n v="0"/>
    <n v="0"/>
    <n v="0"/>
    <n v="0"/>
    <n v="0"/>
    <n v="0"/>
    <n v="0"/>
    <n v="0"/>
    <n v="0"/>
    <n v="0"/>
    <n v="0"/>
  </r>
  <r>
    <x v="7"/>
    <x v="6"/>
    <x v="0"/>
    <s v="3004107"/>
    <n v="718050"/>
    <s v="Contract Svcs-Other"/>
    <s v="3 West"/>
    <x v="0"/>
    <m/>
    <n v="437.92"/>
    <n v="423.2"/>
    <n v="0"/>
    <n v="0"/>
    <n v="0"/>
    <n v="0"/>
    <n v="0"/>
    <n v="0"/>
    <n v="0"/>
    <n v="0"/>
    <n v="0"/>
    <n v="0"/>
    <n v="861.12"/>
    <n v="0"/>
  </r>
  <r>
    <x v="7"/>
    <x v="6"/>
    <x v="0"/>
    <s v="3004107"/>
    <n v="718050"/>
    <s v="Contract Management--Linen"/>
    <s v="3 West"/>
    <x v="0"/>
    <n v="1026"/>
    <n v="4260.33"/>
    <n v="4089.54"/>
    <n v="4584.78"/>
    <n v="4172.3500000000004"/>
    <n v="4424.79"/>
    <n v="3965.44"/>
    <n v="4713.49"/>
    <n v="5169.79"/>
    <n v="4704.8100000000004"/>
    <n v="4814.62"/>
    <n v="4816.53"/>
    <n v="5627.85"/>
    <n v="55344.32"/>
    <n v="-811.32000000000062"/>
  </r>
  <r>
    <x v="7"/>
    <x v="6"/>
    <x v="0"/>
    <s v="3004107"/>
    <n v="718070"/>
    <s v="Contract Srvcs-CHI Clinical Engineering"/>
    <s v="3 West"/>
    <x v="0"/>
    <m/>
    <n v="614.87"/>
    <n v="614.87"/>
    <n v="614.87"/>
    <n v="614.87"/>
    <n v="614.87"/>
    <n v="563.5"/>
    <n v="574.33000000000004"/>
    <n v="546.28"/>
    <n v="542.5"/>
    <n v="542.5"/>
    <n v="547.94000000000005"/>
    <n v="538.58000000000004"/>
    <n v="6929.98"/>
    <n v="9.3600000000000136"/>
  </r>
  <r>
    <x v="11"/>
    <x v="6"/>
    <x v="0"/>
    <s v="3004107"/>
    <n v="721010"/>
    <s v="Supplies-Medical - Billable"/>
    <s v="3 West"/>
    <x v="0"/>
    <m/>
    <n v="4756.4399999999996"/>
    <n v="3326.71"/>
    <n v="3548.9"/>
    <n v="4776.28"/>
    <n v="4760.63"/>
    <n v="3527.03"/>
    <n v="5673.67"/>
    <n v="6293.3"/>
    <n v="6771.76"/>
    <n v="5632.41"/>
    <n v="6396.31"/>
    <n v="8138.94"/>
    <n v="63602.380000000005"/>
    <n v="-1742.6299999999992"/>
  </r>
  <r>
    <x v="11"/>
    <x v="6"/>
    <x v="0"/>
    <s v="3004107"/>
    <n v="721010"/>
    <s v="Patient Monitoring"/>
    <s v="3 West"/>
    <x v="0"/>
    <n v="1000"/>
    <n v="83.19"/>
    <n v="161.96"/>
    <n v="150.16999999999999"/>
    <n v="314.20999999999998"/>
    <n v="185.55"/>
    <n v="73.650000000000006"/>
    <n v="185.56"/>
    <n v="80.08"/>
    <n v="88.11"/>
    <n v="196"/>
    <n v="122.45"/>
    <n v="277.16000000000003"/>
    <n v="1918.09"/>
    <n v="-154.71000000000004"/>
  </r>
  <r>
    <x v="11"/>
    <x v="6"/>
    <x v="0"/>
    <s v="3004107"/>
    <n v="721020"/>
    <s v="Supplies-Surgical - Billable"/>
    <s v="3 West"/>
    <x v="0"/>
    <m/>
    <n v="93.84"/>
    <n v="197.74"/>
    <n v="159"/>
    <n v="68.16"/>
    <n v="167.07"/>
    <n v="160.96"/>
    <n v="429.1"/>
    <n v="331.31"/>
    <n v="473.05"/>
    <n v="230.82"/>
    <n v="301.61"/>
    <n v="465.13"/>
    <n v="3077.7900000000004"/>
    <n v="-163.51999999999998"/>
  </r>
  <r>
    <x v="11"/>
    <x v="6"/>
    <x v="0"/>
    <s v="3004107"/>
    <n v="721020"/>
    <s v="Custom Packs"/>
    <s v="3 West"/>
    <x v="0"/>
    <n v="1000"/>
    <n v="0"/>
    <n v="28.86"/>
    <n v="397.2"/>
    <n v="278.41000000000003"/>
    <n v="304.92"/>
    <n v="52.96"/>
    <n v="185.36"/>
    <n v="132.4"/>
    <n v="225.08"/>
    <n v="198.6"/>
    <n v="370.72"/>
    <n v="238.32"/>
    <n v="2412.8300000000004"/>
    <n v="132.40000000000003"/>
  </r>
  <r>
    <x v="11"/>
    <x v="6"/>
    <x v="0"/>
    <s v="3004107"/>
    <n v="721020"/>
    <s v="Suture/Wound Closure"/>
    <s v="3 West"/>
    <x v="0"/>
    <n v="1001"/>
    <n v="0"/>
    <n v="5.94"/>
    <n v="11.88"/>
    <n v="0"/>
    <n v="11.88"/>
    <n v="5.94"/>
    <n v="2.34"/>
    <n v="0"/>
    <n v="0"/>
    <n v="20.079999999999998"/>
    <n v="3.96"/>
    <n v="3.96"/>
    <n v="65.98"/>
    <n v="0"/>
  </r>
  <r>
    <x v="11"/>
    <x v="6"/>
    <x v="0"/>
    <s v="3004107"/>
    <n v="721240"/>
    <s v="Supplies-IV Solutions/Supplies - Billable"/>
    <s v="3 West"/>
    <x v="0"/>
    <m/>
    <n v="1761.29"/>
    <n v="1584.81"/>
    <n v="1659.87"/>
    <n v="1701.5"/>
    <n v="1925.21"/>
    <n v="1617.13"/>
    <n v="1473.04"/>
    <n v="1775.69"/>
    <n v="1494.17"/>
    <n v="1278.19"/>
    <n v="1645.51"/>
    <n v="1551.15"/>
    <n v="19467.560000000005"/>
    <n v="94.3599999999999"/>
  </r>
  <r>
    <x v="11"/>
    <x v="6"/>
    <x v="0"/>
    <s v="3004107"/>
    <n v="721320"/>
    <s v="Supplies-Purchased Blood - Billable"/>
    <s v="3 West"/>
    <x v="0"/>
    <m/>
    <n v="262.89"/>
    <n v="240.03"/>
    <n v="262.89"/>
    <n v="457.2"/>
    <n v="262.89"/>
    <n v="171.45"/>
    <n v="171.45"/>
    <n v="228.6"/>
    <n v="324.36"/>
    <n v="125.1"/>
    <n v="141.78"/>
    <n v="241.86"/>
    <n v="2890.5000000000005"/>
    <n v="-100.08000000000001"/>
  </r>
  <r>
    <x v="11"/>
    <x v="6"/>
    <x v="0"/>
    <s v="3004107"/>
    <n v="721410"/>
    <s v="Supplies-Medical - Nonbillable"/>
    <s v="3 West"/>
    <x v="0"/>
    <m/>
    <n v="8454.25"/>
    <n v="6216.63"/>
    <n v="8437.39"/>
    <n v="8211.5499999999993"/>
    <n v="7844.64"/>
    <n v="7023.51"/>
    <n v="9615.9500000000007"/>
    <n v="7965.54"/>
    <n v="10902.11"/>
    <n v="10628.74"/>
    <n v="8570.66"/>
    <n v="9278.85"/>
    <n v="103149.82000000002"/>
    <n v="-708.19000000000051"/>
  </r>
  <r>
    <x v="11"/>
    <x v="6"/>
    <x v="0"/>
    <s v="3004107"/>
    <n v="721420"/>
    <s v="Supplies-Surgical Nonbillable"/>
    <s v="3 West"/>
    <x v="0"/>
    <m/>
    <n v="11.68"/>
    <n v="0"/>
    <n v="6.39"/>
    <n v="1.76"/>
    <n v="2.3199999999999998"/>
    <n v="14.91"/>
    <n v="6.19"/>
    <n v="8.4"/>
    <n v="-0.79"/>
    <n v="12.2"/>
    <n v="8.5399999999999991"/>
    <n v="3.89"/>
    <n v="75.489999999999995"/>
    <n v="4.6499999999999986"/>
  </r>
  <r>
    <x v="11"/>
    <x v="6"/>
    <x v="0"/>
    <s v="3004107"/>
    <n v="721420"/>
    <s v="Sterilization Process Products"/>
    <s v="3 West"/>
    <x v="0"/>
    <n v="1009"/>
    <n v="6"/>
    <n v="3"/>
    <n v="6.24"/>
    <n v="52.79"/>
    <n v="0"/>
    <n v="0"/>
    <n v="3"/>
    <n v="3"/>
    <n v="0"/>
    <n v="0"/>
    <n v="49.79"/>
    <n v="0"/>
    <n v="123.82"/>
    <n v="49.79"/>
  </r>
  <r>
    <x v="11"/>
    <x v="6"/>
    <x v="0"/>
    <s v="3004107"/>
    <n v="721610"/>
    <s v="Supplies-Anesthesia - Nonbillable"/>
    <s v="3 West"/>
    <x v="0"/>
    <m/>
    <n v="157.38"/>
    <n v="0"/>
    <n v="33.869999999999997"/>
    <n v="14.94"/>
    <n v="7.36"/>
    <n v="10.38"/>
    <n v="8.57"/>
    <n v="11.03"/>
    <n v="12.24"/>
    <n v="8.56"/>
    <n v="54.16"/>
    <n v="3.67"/>
    <n v="322.16000000000003"/>
    <n v="50.489999999999995"/>
  </r>
  <r>
    <x v="11"/>
    <x v="6"/>
    <x v="0"/>
    <s v="3004107"/>
    <n v="721640"/>
    <s v="Supplies-IV Solutions/Supplies - Nonbillable"/>
    <s v="3 West"/>
    <x v="0"/>
    <m/>
    <n v="2302.2199999999998"/>
    <n v="2028.69"/>
    <n v="2546.6"/>
    <n v="2853.02"/>
    <n v="2174.7800000000002"/>
    <n v="1532.36"/>
    <n v="2166.15"/>
    <n v="1803.28"/>
    <n v="1717.36"/>
    <n v="2779.37"/>
    <n v="2379.13"/>
    <n v="2194.7800000000002"/>
    <n v="26477.74"/>
    <n v="184.34999999999991"/>
  </r>
  <r>
    <x v="11"/>
    <x v="6"/>
    <x v="0"/>
    <s v="3004107"/>
    <n v="721650"/>
    <s v="Supplies-Pharmacy Drugs - Nonbillable"/>
    <s v="3 West"/>
    <x v="0"/>
    <m/>
    <n v="113.44"/>
    <n v="66.33"/>
    <n v="59.66"/>
    <n v="58.68"/>
    <n v="108.54"/>
    <n v="102.51"/>
    <n v="108.54"/>
    <n v="60.3"/>
    <n v="127.19"/>
    <n v="180.9"/>
    <n v="73.37"/>
    <n v="195.71"/>
    <n v="1255.1699999999998"/>
    <n v="-122.34"/>
  </r>
  <r>
    <x v="11"/>
    <x v="6"/>
    <x v="0"/>
    <s v="3004107"/>
    <n v="721710"/>
    <s v="Supplies-Laboratory - Nonbillable"/>
    <s v="3 West"/>
    <x v="0"/>
    <m/>
    <n v="243.74"/>
    <n v="158.72"/>
    <n v="162.35"/>
    <n v="263.04000000000002"/>
    <n v="711.66"/>
    <n v="-303.01"/>
    <n v="269.39999999999998"/>
    <n v="206.88"/>
    <n v="172.1"/>
    <n v="209.38"/>
    <n v="242.01"/>
    <n v="268.22000000000003"/>
    <n v="2604.4900000000007"/>
    <n v="-26.210000000000036"/>
  </r>
  <r>
    <x v="11"/>
    <x v="6"/>
    <x v="0"/>
    <s v="3004107"/>
    <n v="721750"/>
    <s v="Supplies-Film/Radiographic - Nonbillable"/>
    <s v="3 West"/>
    <x v="0"/>
    <m/>
    <n v="0.94"/>
    <n v="0"/>
    <n v="0"/>
    <n v="1.87"/>
    <n v="0"/>
    <n v="2.81"/>
    <n v="0"/>
    <n v="0"/>
    <n v="1.87"/>
    <n v="0"/>
    <n v="0"/>
    <n v="2.81"/>
    <n v="10.3"/>
    <n v="-2.81"/>
  </r>
  <r>
    <x v="11"/>
    <x v="6"/>
    <x v="0"/>
    <s v="3004107"/>
    <n v="721810"/>
    <s v="Supplies-Dietary/Cafeteria"/>
    <s v="3 West"/>
    <x v="0"/>
    <m/>
    <n v="585.19000000000005"/>
    <n v="449.07"/>
    <n v="764.42"/>
    <n v="869.73"/>
    <n v="910.44"/>
    <n v="909.15"/>
    <n v="974.45"/>
    <n v="934.84"/>
    <n v="1120.3599999999999"/>
    <n v="1171.8800000000001"/>
    <n v="1400.83"/>
    <n v="1219.83"/>
    <n v="11310.189999999999"/>
    <n v="181"/>
  </r>
  <r>
    <x v="11"/>
    <x v="6"/>
    <x v="0"/>
    <s v="3004107"/>
    <n v="721830"/>
    <s v="Supplies-Office"/>
    <s v="3 West"/>
    <x v="0"/>
    <m/>
    <n v="385.51"/>
    <n v="282.57"/>
    <n v="1219.77"/>
    <n v="516.28"/>
    <n v="1279.79"/>
    <n v="719.29"/>
    <n v="307.86"/>
    <n v="625.04999999999995"/>
    <n v="1084.04"/>
    <n v="629.69000000000005"/>
    <n v="315.27"/>
    <n v="377.14"/>
    <n v="7742.2600000000011"/>
    <n v="-61.870000000000005"/>
  </r>
  <r>
    <x v="11"/>
    <x v="6"/>
    <x v="0"/>
    <s v="3004107"/>
    <n v="721835"/>
    <s v="Supplies-Forms"/>
    <s v="3 West"/>
    <x v="0"/>
    <m/>
    <n v="0"/>
    <n v="0"/>
    <n v="0"/>
    <n v="0"/>
    <n v="356.12"/>
    <n v="12.5"/>
    <n v="3.73"/>
    <n v="0"/>
    <n v="42.06"/>
    <n v="34.119999999999997"/>
    <n v="1"/>
    <n v="65.44"/>
    <n v="514.97"/>
    <n v="-64.44"/>
  </r>
  <r>
    <x v="11"/>
    <x v="6"/>
    <x v="0"/>
    <s v="3004107"/>
    <n v="721870"/>
    <s v="Supplies-Environmental Services"/>
    <s v="3 West"/>
    <x v="0"/>
    <m/>
    <n v="782.61"/>
    <n v="713.07"/>
    <n v="927.21"/>
    <n v="1030.4000000000001"/>
    <n v="719.93"/>
    <n v="784.47"/>
    <n v="964.77"/>
    <n v="788.23"/>
    <n v="875.85"/>
    <n v="948.5"/>
    <n v="798.17"/>
    <n v="1187.49"/>
    <n v="10520.7"/>
    <n v="-389.32000000000005"/>
  </r>
  <r>
    <x v="11"/>
    <x v="6"/>
    <x v="0"/>
    <s v="3004107"/>
    <n v="721910"/>
    <s v="Supplies-Small Equipment"/>
    <s v="3 West"/>
    <x v="0"/>
    <m/>
    <n v="2382.5300000000002"/>
    <n v="1758.35"/>
    <n v="951.99"/>
    <n v="4532.66"/>
    <n v="1457.41"/>
    <n v="3195.96"/>
    <n v="1967.92"/>
    <n v="3517.74"/>
    <n v="1935.06"/>
    <n v="4437.53"/>
    <n v="1707.09"/>
    <n v="1845.69"/>
    <n v="29689.929999999997"/>
    <n v="-138.60000000000014"/>
  </r>
  <r>
    <x v="11"/>
    <x v="6"/>
    <x v="0"/>
    <s v="3004107"/>
    <n v="721910"/>
    <s v="Instruments"/>
    <s v="3 West"/>
    <x v="0"/>
    <n v="1000"/>
    <n v="54.72"/>
    <n v="91.2"/>
    <n v="83.91"/>
    <n v="91.2"/>
    <n v="100.32"/>
    <n v="74.790000000000006"/>
    <n v="105.8"/>
    <n v="91.2"/>
    <n v="85.74"/>
    <n v="83.44"/>
    <n v="50.08"/>
    <n v="103.77"/>
    <n v="1016.1700000000002"/>
    <n v="-53.69"/>
  </r>
  <r>
    <x v="11"/>
    <x v="6"/>
    <x v="0"/>
    <s v="3004107"/>
    <n v="721980"/>
    <s v="Supplies-Other"/>
    <s v="3 West"/>
    <x v="0"/>
    <m/>
    <n v="0"/>
    <n v="637.03"/>
    <n v="56.25"/>
    <n v="0"/>
    <n v="390.88"/>
    <n v="67.69"/>
    <n v="105.88"/>
    <n v="0"/>
    <n v="-8.74"/>
    <n v="0"/>
    <n v="0"/>
    <n v="0"/>
    <n v="1248.99"/>
    <n v="0"/>
  </r>
  <r>
    <x v="11"/>
    <x v="6"/>
    <x v="0"/>
    <s v="3004107"/>
    <n v="722000"/>
    <s v="Supplies-Freight Expense"/>
    <s v="3 West"/>
    <x v="0"/>
    <m/>
    <n v="0"/>
    <n v="0"/>
    <n v="8.8699999999999992"/>
    <n v="11.05"/>
    <n v="0"/>
    <n v="9.02"/>
    <n v="0"/>
    <n v="8.23"/>
    <n v="82.82"/>
    <n v="0"/>
    <n v="8.7899999999999991"/>
    <n v="9.4600000000000009"/>
    <n v="138.24"/>
    <n v="-0.67000000000000171"/>
  </r>
  <r>
    <x v="12"/>
    <x v="6"/>
    <x v="0"/>
    <s v="3004107"/>
    <n v="730020"/>
    <s v="Rental and Leases-Equipment (DO NOT USE)"/>
    <s v="3 West"/>
    <x v="0"/>
    <m/>
    <n v="0"/>
    <n v="168.65"/>
    <n v="84"/>
    <n v="-485.47"/>
    <n v="0"/>
    <n v="0"/>
    <n v="146.04"/>
    <n v="0"/>
    <n v="73.02"/>
    <n v="0"/>
    <n v="146.04"/>
    <n v="73.02"/>
    <n v="205.29999999999995"/>
    <n v="73.02"/>
  </r>
  <r>
    <x v="12"/>
    <x v="6"/>
    <x v="0"/>
    <s v="3004107"/>
    <n v="730020"/>
    <s v="Rental and Leases-Copier Usage Fees (DO NOT USE)"/>
    <s v="3 West"/>
    <x v="0"/>
    <n v="5100"/>
    <n v="419.22"/>
    <n v="416.31"/>
    <n v="1254.18"/>
    <n v="488.39"/>
    <n v="488.4"/>
    <n v="488.4"/>
    <n v="1249.76"/>
    <n v="266.19"/>
    <n v="265.64"/>
    <n v="1254.25"/>
    <n v="266.2"/>
    <n v="860.41"/>
    <n v="7717.3499999999995"/>
    <n v="-594.21"/>
  </r>
  <r>
    <x v="15"/>
    <x v="6"/>
    <x v="0"/>
    <s v="3004107"/>
    <n v="731060"/>
    <s v="Telephone"/>
    <s v="3 West"/>
    <x v="0"/>
    <m/>
    <n v="0"/>
    <n v="72.5"/>
    <n v="180.98"/>
    <n v="20.66"/>
    <n v="0"/>
    <n v="0"/>
    <n v="0"/>
    <n v="35"/>
    <n v="3.15"/>
    <n v="87"/>
    <n v="116"/>
    <n v="58"/>
    <n v="573.29"/>
    <n v="58"/>
  </r>
  <r>
    <x v="15"/>
    <x v="6"/>
    <x v="0"/>
    <s v="3004107"/>
    <n v="731060"/>
    <s v="Cell Phones"/>
    <s v="3 West"/>
    <x v="0"/>
    <n v="1001"/>
    <n v="0"/>
    <n v="0"/>
    <n v="0"/>
    <n v="0"/>
    <n v="0"/>
    <n v="0"/>
    <n v="0"/>
    <n v="0"/>
    <n v="0"/>
    <n v="118.65"/>
    <n v="53.96"/>
    <n v="53.33"/>
    <n v="225.94"/>
    <n v="0.63000000000000256"/>
  </r>
  <r>
    <x v="16"/>
    <x v="6"/>
    <x v="0"/>
    <s v="3004107"/>
    <n v="732020"/>
    <s v="Repairs--Clin Equip-Parts-Internal to CHI Programs"/>
    <s v="3 West"/>
    <x v="0"/>
    <m/>
    <n v="0"/>
    <n v="0"/>
    <n v="13.68"/>
    <n v="0"/>
    <n v="0"/>
    <n v="0"/>
    <n v="0"/>
    <n v="0"/>
    <n v="0"/>
    <n v="0"/>
    <n v="0"/>
    <n v="0"/>
    <n v="13.68"/>
    <n v="0"/>
  </r>
  <r>
    <x v="16"/>
    <x v="6"/>
    <x v="0"/>
    <s v="3004107"/>
    <n v="732030"/>
    <s v="Repairs---Other"/>
    <s v="3 West"/>
    <x v="0"/>
    <m/>
    <n v="0"/>
    <n v="0"/>
    <n v="0"/>
    <n v="0"/>
    <n v="0"/>
    <n v="0"/>
    <n v="0"/>
    <n v="425.66"/>
    <n v="558.13"/>
    <n v="0"/>
    <n v="0"/>
    <n v="12753"/>
    <n v="13736.79"/>
    <n v="-12753"/>
  </r>
  <r>
    <x v="13"/>
    <x v="6"/>
    <x v="0"/>
    <s v="3004107"/>
    <n v="735070"/>
    <s v="Depreciation-Movable Equipment"/>
    <s v="3 West"/>
    <x v="0"/>
    <m/>
    <n v="8063.55"/>
    <n v="8060.88"/>
    <n v="8060.92"/>
    <n v="8060.87"/>
    <n v="8060.99"/>
    <n v="8060.83"/>
    <n v="8060.99"/>
    <n v="8060.83"/>
    <n v="8061"/>
    <n v="8060.79"/>
    <n v="8061"/>
    <n v="8060.79"/>
    <n v="96733.439999999988"/>
    <n v="0.21000000000003638"/>
  </r>
  <r>
    <x v="0"/>
    <x v="6"/>
    <x v="0"/>
    <s v="3004107"/>
    <n v="740020"/>
    <s v="Education-Registration Fees"/>
    <s v="3 West"/>
    <x v="0"/>
    <m/>
    <n v="0"/>
    <n v="0"/>
    <n v="0"/>
    <n v="0"/>
    <n v="0"/>
    <n v="0"/>
    <n v="0"/>
    <n v="375"/>
    <n v="675"/>
    <n v="0"/>
    <n v="225"/>
    <n v="250"/>
    <n v="1525"/>
    <n v="-25"/>
  </r>
  <r>
    <x v="0"/>
    <x v="6"/>
    <x v="0"/>
    <s v="3004107"/>
    <n v="749510"/>
    <s v="Miscellaneous Expenses"/>
    <s v="3 West"/>
    <x v="0"/>
    <m/>
    <n v="-62.9"/>
    <n v="0"/>
    <n v="0"/>
    <n v="98.17"/>
    <n v="415.46"/>
    <n v="-460.07"/>
    <n v="170.02"/>
    <n v="423.21"/>
    <n v="-230.23"/>
    <n v="-138"/>
    <n v="-127.01"/>
    <n v="3123.95"/>
    <n v="3212.6"/>
    <n v="-3250.96"/>
  </r>
  <r>
    <x v="0"/>
    <x v="6"/>
    <x v="0"/>
    <s v="3004107"/>
    <n v="749510"/>
    <s v="Licenses"/>
    <s v="3 West"/>
    <x v="0"/>
    <n v="1002"/>
    <n v="0"/>
    <n v="0"/>
    <n v="172.5"/>
    <n v="0"/>
    <n v="0"/>
    <n v="0"/>
    <n v="0"/>
    <n v="0"/>
    <n v="0"/>
    <n v="0"/>
    <n v="0"/>
    <n v="0"/>
    <n v="172.5"/>
    <n v="0"/>
  </r>
  <r>
    <x v="0"/>
    <x v="6"/>
    <x v="0"/>
    <s v="3004107"/>
    <n v="749530"/>
    <s v="Travel"/>
    <s v="3 West"/>
    <x v="0"/>
    <m/>
    <n v="0"/>
    <n v="0"/>
    <n v="0"/>
    <n v="0"/>
    <n v="7"/>
    <n v="27.6"/>
    <n v="0"/>
    <n v="5"/>
    <n v="137.24"/>
    <n v="6"/>
    <n v="0"/>
    <n v="48"/>
    <n v="230.84"/>
    <n v="-48"/>
  </r>
  <r>
    <x v="0"/>
    <x v="6"/>
    <x v="0"/>
    <s v="3004107"/>
    <n v="749530"/>
    <s v="Mileage"/>
    <s v="3 West"/>
    <x v="0"/>
    <n v="1001"/>
    <n v="0"/>
    <n v="0"/>
    <n v="0"/>
    <n v="0"/>
    <n v="37.61"/>
    <n v="77.400000000000006"/>
    <n v="0"/>
    <n v="40.020000000000003"/>
    <n v="0"/>
    <n v="39.44"/>
    <n v="0"/>
    <n v="0"/>
    <n v="194.47"/>
    <n v="0"/>
  </r>
  <r>
    <x v="18"/>
    <x v="3"/>
    <x v="0"/>
    <s v="3005101"/>
    <n v="400010"/>
    <s v="Acute I/P Svcs Rev--Medicare"/>
    <s v="Med/Surg 4th South"/>
    <x v="0"/>
    <n v="1100"/>
    <n v="-1177602.3899999999"/>
    <n v="-1201716.67"/>
    <n v="-935953.32"/>
    <n v="-1239171.27"/>
    <n v="-1097384.25"/>
    <n v="-1084286.22"/>
    <n v="-983913.33"/>
    <n v="-982243.66"/>
    <n v="-1317681.96"/>
    <n v="-1124308.96"/>
    <n v="-1144465.44"/>
    <n v="-1028317.6"/>
    <n v="-13317045.07"/>
    <n v="-116147.83999999997"/>
  </r>
  <r>
    <x v="18"/>
    <x v="3"/>
    <x v="0"/>
    <s v="3005101"/>
    <n v="400010"/>
    <s v="Acute I/P Svcs Rev--Medicaid"/>
    <s v="Med/Surg 4th South"/>
    <x v="0"/>
    <n v="1200"/>
    <n v="-283346.89"/>
    <n v="-316721.77"/>
    <n v="-407203.33"/>
    <n v="-168895.54"/>
    <n v="-399218.32"/>
    <n v="-513408.69"/>
    <n v="-552887.59"/>
    <n v="-571606.94999999995"/>
    <n v="-212909.52"/>
    <n v="-444726.25"/>
    <n v="-389861.5"/>
    <n v="-323330.75"/>
    <n v="-4584117.0999999996"/>
    <n v="-66530.75"/>
  </r>
  <r>
    <x v="18"/>
    <x v="3"/>
    <x v="0"/>
    <s v="3005101"/>
    <n v="400010"/>
    <s v="Acute I/P Svcs Rev--Comm Insurance"/>
    <s v="Med/Surg 4th South"/>
    <x v="0"/>
    <n v="1300"/>
    <n v="-35627.85"/>
    <n v="-28199.71"/>
    <n v="-8816.2199999999993"/>
    <n v="-102019.14"/>
    <n v="8270.08"/>
    <n v="-19117.8"/>
    <n v="-4746.2"/>
    <n v="-21811.67"/>
    <n v="-6521.8"/>
    <n v="15182.72"/>
    <n v="-94585.7"/>
    <n v="-36231.39"/>
    <n v="-334224.68"/>
    <n v="-58354.31"/>
  </r>
  <r>
    <x v="18"/>
    <x v="3"/>
    <x v="0"/>
    <s v="3005101"/>
    <n v="400010"/>
    <s v="Acute I/P Svcs Rev--BCBS Comm"/>
    <s v="Med/Surg 4th South"/>
    <x v="0"/>
    <n v="1301"/>
    <n v="-28478.66"/>
    <n v="-59412.59"/>
    <n v="-29982.59"/>
    <n v="-40448.74"/>
    <n v="-37186.629999999997"/>
    <n v="0"/>
    <n v="-45445.67"/>
    <n v="-24916.86"/>
    <n v="-52807.28"/>
    <n v="-82041.94"/>
    <n v="-38586.6"/>
    <n v="-35448.160000000003"/>
    <n v="-474755.72"/>
    <n v="-3138.4399999999951"/>
  </r>
  <r>
    <x v="18"/>
    <x v="3"/>
    <x v="0"/>
    <s v="3005101"/>
    <n v="400010"/>
    <s v="Acute I/P Svcs Rev--Managed Care"/>
    <s v="Med/Surg 4th South"/>
    <x v="0"/>
    <n v="1400"/>
    <n v="-178036.82"/>
    <n v="-159734.66"/>
    <n v="-199779.36"/>
    <n v="-63565.05"/>
    <n v="-128574.95"/>
    <n v="-242411.92"/>
    <n v="-259188.63"/>
    <n v="-76296.87"/>
    <n v="-231200.58"/>
    <n v="-208656.33"/>
    <n v="-122999.66"/>
    <n v="-218961.31"/>
    <n v="-2089406.1400000004"/>
    <n v="95961.65"/>
  </r>
  <r>
    <x v="18"/>
    <x v="3"/>
    <x v="0"/>
    <s v="3005101"/>
    <n v="400010"/>
    <s v="Acute I/P Svcs Rev--Self Pay"/>
    <s v="Med/Surg 4th South"/>
    <x v="0"/>
    <n v="1500"/>
    <n v="-45363.28"/>
    <n v="-3063"/>
    <n v="-79810.58"/>
    <n v="4234.58"/>
    <n v="0"/>
    <n v="3295"/>
    <n v="-3295"/>
    <n v="-2771.74"/>
    <n v="-34109.300000000003"/>
    <n v="19498.38"/>
    <n v="-19848.3"/>
    <n v="-3266"/>
    <n v="-164499.24"/>
    <n v="-16582.3"/>
  </r>
  <r>
    <x v="18"/>
    <x v="3"/>
    <x v="0"/>
    <s v="3005101"/>
    <n v="400010"/>
    <s v="Acute I/P Svcs Rev--Other"/>
    <s v="Med/Surg 4th South"/>
    <x v="0"/>
    <n v="1700"/>
    <n v="9152.92"/>
    <n v="-134196.9"/>
    <n v="-64966.57"/>
    <n v="-62470.64"/>
    <n v="-41375.040000000001"/>
    <n v="-114286.94"/>
    <n v="-125224.66"/>
    <n v="-64259.13"/>
    <n v="-98824.61"/>
    <n v="-57988"/>
    <n v="-84517.19"/>
    <n v="-157568.18"/>
    <n v="-996524.94"/>
    <n v="73050.989999999991"/>
  </r>
  <r>
    <x v="19"/>
    <x v="3"/>
    <x v="0"/>
    <s v="3005101"/>
    <n v="400020"/>
    <s v="O/P Care Svcs Rev--Medicare"/>
    <s v="Med/Surg 4th South"/>
    <x v="0"/>
    <n v="1100"/>
    <n v="-82762.66"/>
    <n v="-116028.15"/>
    <n v="-128988.82"/>
    <n v="-236568.36"/>
    <n v="-138825.44"/>
    <n v="-25195.33"/>
    <n v="-85086.42"/>
    <n v="-63816.47"/>
    <n v="-78094.53"/>
    <n v="-67360.92"/>
    <n v="-91226.34"/>
    <n v="-50461.29"/>
    <n v="-1164414.73"/>
    <n v="-40765.049999999996"/>
  </r>
  <r>
    <x v="19"/>
    <x v="3"/>
    <x v="0"/>
    <s v="3005101"/>
    <n v="400020"/>
    <s v="O/P Care Svcs Rev--Medicaid"/>
    <s v="Med/Surg 4th South"/>
    <x v="0"/>
    <n v="1200"/>
    <n v="-17935.73"/>
    <n v="-34970.32"/>
    <n v="-7837"/>
    <n v="-15039.95"/>
    <n v="-1386.65"/>
    <n v="0"/>
    <n v="-38097.019999999997"/>
    <n v="-32811.29"/>
    <n v="-15821.22"/>
    <n v="205.08"/>
    <n v="-13315.44"/>
    <n v="-15872.54"/>
    <n v="-192882.08000000002"/>
    <n v="2557.1000000000004"/>
  </r>
  <r>
    <x v="19"/>
    <x v="3"/>
    <x v="0"/>
    <s v="3005101"/>
    <n v="400020"/>
    <s v="O/P Care Svcs Rev--Comm Insurance"/>
    <s v="Med/Surg 4th South"/>
    <x v="0"/>
    <n v="1300"/>
    <n v="1959.54"/>
    <n v="9490.1299999999992"/>
    <n v="-4799.1099999999997"/>
    <n v="4799.1099999999997"/>
    <n v="-67.33"/>
    <n v="-5684.58"/>
    <n v="5684.58"/>
    <n v="0"/>
    <n v="0"/>
    <n v="0"/>
    <n v="-788.64"/>
    <n v="-8806.48"/>
    <n v="1787.2199999999993"/>
    <n v="8017.8399999999992"/>
  </r>
  <r>
    <x v="19"/>
    <x v="3"/>
    <x v="0"/>
    <s v="3005101"/>
    <n v="400020"/>
    <s v="O/P Care Svcs Rev--BCBS Comm"/>
    <s v="Med/Surg 4th South"/>
    <x v="0"/>
    <n v="1301"/>
    <n v="0"/>
    <n v="-16599.830000000002"/>
    <n v="0"/>
    <n v="0"/>
    <n v="0"/>
    <n v="0"/>
    <n v="-3446.01"/>
    <n v="16599.830000000002"/>
    <n v="-3154.56"/>
    <n v="0"/>
    <n v="0"/>
    <n v="-2923.36"/>
    <n v="-9523.9300000000021"/>
    <n v="2923.36"/>
  </r>
  <r>
    <x v="19"/>
    <x v="3"/>
    <x v="0"/>
    <s v="3005101"/>
    <n v="400020"/>
    <s v="O/P Care Svcs Rev--Managed Care"/>
    <s v="Med/Surg 4th South"/>
    <x v="0"/>
    <n v="1400"/>
    <n v="-26478.48"/>
    <n v="-21404.3"/>
    <n v="-34123.32"/>
    <n v="-40295.47"/>
    <n v="-31337.55"/>
    <n v="-33902.29"/>
    <n v="-22651.48"/>
    <n v="-26152.7"/>
    <n v="-40010.14"/>
    <n v="-5762.49"/>
    <n v="-13396.48"/>
    <n v="-40455.019999999997"/>
    <n v="-335969.72000000003"/>
    <n v="27058.539999999997"/>
  </r>
  <r>
    <x v="19"/>
    <x v="3"/>
    <x v="0"/>
    <s v="3005101"/>
    <n v="400020"/>
    <s v="O/P Care Svcs Rev--Self Pay"/>
    <s v="Med/Surg 4th South"/>
    <x v="0"/>
    <n v="1500"/>
    <n v="0"/>
    <n v="0"/>
    <n v="0"/>
    <n v="0"/>
    <n v="0"/>
    <n v="-9262.7199999999993"/>
    <n v="792.78"/>
    <n v="0"/>
    <n v="0"/>
    <n v="0"/>
    <n v="0"/>
    <n v="0"/>
    <n v="-8469.9399999999987"/>
    <n v="0"/>
  </r>
  <r>
    <x v="19"/>
    <x v="3"/>
    <x v="0"/>
    <s v="3005101"/>
    <n v="400020"/>
    <s v="O/P Care Svcs Rev--Other"/>
    <s v="Med/Surg 4th South"/>
    <x v="0"/>
    <n v="1700"/>
    <n v="0"/>
    <n v="-17954.810000000001"/>
    <n v="-50858.3"/>
    <n v="-8571.92"/>
    <n v="-13050.28"/>
    <n v="-6508.62"/>
    <n v="-2807.64"/>
    <n v="-14415.3"/>
    <n v="-7778.25"/>
    <n v="-7274.39"/>
    <n v="-11017.63"/>
    <n v="-2453.02"/>
    <n v="-142690.15999999997"/>
    <n v="-8564.6099999999988"/>
  </r>
  <r>
    <x v="14"/>
    <x v="3"/>
    <x v="0"/>
    <s v="3005101"/>
    <n v="600050"/>
    <s v="Miscellaneous Revenue"/>
    <s v="Med/Surg 4th South"/>
    <x v="0"/>
    <m/>
    <n v="-3000"/>
    <n v="-3000"/>
    <n v="0"/>
    <n v="0"/>
    <n v="0"/>
    <n v="0"/>
    <n v="0"/>
    <n v="0"/>
    <n v="0"/>
    <n v="0"/>
    <n v="0"/>
    <n v="0"/>
    <n v="-6000"/>
    <n v="0"/>
  </r>
  <r>
    <x v="5"/>
    <x v="3"/>
    <x v="0"/>
    <s v="3005101"/>
    <n v="700014"/>
    <s v="Salaries-Management-Productive"/>
    <s v="Med/Surg 4th South"/>
    <x v="0"/>
    <m/>
    <n v="2461.6"/>
    <n v="0"/>
    <n v="0"/>
    <n v="8989.34"/>
    <n v="12217.93"/>
    <n v="7925.57"/>
    <n v="10730.08"/>
    <n v="8377.94"/>
    <n v="7496.13"/>
    <n v="12199.08"/>
    <n v="11391.11"/>
    <n v="9958.2000000000007"/>
    <n v="91746.98"/>
    <n v="1432.9099999999999"/>
  </r>
  <r>
    <x v="5"/>
    <x v="3"/>
    <x v="0"/>
    <s v="3005101"/>
    <n v="700014"/>
    <s v="Salaries-Management-Other"/>
    <s v="Med/Surg 4th South"/>
    <x v="0"/>
    <n v="2000"/>
    <n v="0"/>
    <n v="0"/>
    <n v="0"/>
    <n v="30"/>
    <n v="0"/>
    <n v="0"/>
    <n v="0"/>
    <n v="0"/>
    <n v="0"/>
    <n v="0"/>
    <n v="0"/>
    <n v="0"/>
    <n v="30"/>
    <n v="0"/>
  </r>
  <r>
    <x v="5"/>
    <x v="3"/>
    <x v="0"/>
    <s v="3005101"/>
    <n v="700026"/>
    <s v="Salaries-RN-Productive"/>
    <s v="Med/Surg 4th South"/>
    <x v="0"/>
    <m/>
    <n v="143566.39000000001"/>
    <n v="146031.56"/>
    <n v="134516.91"/>
    <n v="149360.21"/>
    <n v="121355.39"/>
    <n v="136918.76"/>
    <n v="143158.93"/>
    <n v="135736.29999999999"/>
    <n v="139260.47"/>
    <n v="146632.29999999999"/>
    <n v="138735.70000000001"/>
    <n v="141308.17000000001"/>
    <n v="1676581.0899999999"/>
    <n v="-2572.4700000000012"/>
  </r>
  <r>
    <x v="5"/>
    <x v="3"/>
    <x v="0"/>
    <s v="3005101"/>
    <n v="700026"/>
    <s v="Salaries-RN-OT"/>
    <s v="Med/Surg 4th South"/>
    <x v="0"/>
    <n v="1000"/>
    <n v="13332.63"/>
    <n v="15090.11"/>
    <n v="17814.189999999999"/>
    <n v="12845.18"/>
    <n v="10721.55"/>
    <n v="17680.38"/>
    <n v="13634.12"/>
    <n v="12831.6"/>
    <n v="18232.740000000002"/>
    <n v="16482.509999999998"/>
    <n v="13402.07"/>
    <n v="19065.3"/>
    <n v="181132.38"/>
    <n v="-5663.23"/>
  </r>
  <r>
    <x v="5"/>
    <x v="3"/>
    <x v="0"/>
    <s v="3005101"/>
    <n v="700026"/>
    <s v="Salaries-RN-Other"/>
    <s v="Med/Surg 4th South"/>
    <x v="0"/>
    <n v="2000"/>
    <n v="17036.560000000001"/>
    <n v="17543.52"/>
    <n v="18238.66"/>
    <n v="18872.27"/>
    <n v="15140.55"/>
    <n v="17046.27"/>
    <n v="17815.5"/>
    <n v="16540.88"/>
    <n v="18333.810000000001"/>
    <n v="17318.11"/>
    <n v="16801.990000000002"/>
    <n v="17383.48"/>
    <n v="208071.6"/>
    <n v="-581.48999999999796"/>
  </r>
  <r>
    <x v="5"/>
    <x v="3"/>
    <x v="0"/>
    <s v="3005101"/>
    <n v="700032"/>
    <s v="Salaries-Other Pat Care Providers-Productive"/>
    <s v="Med/Surg 4th South"/>
    <x v="0"/>
    <m/>
    <n v="40442.11"/>
    <n v="39197.54"/>
    <n v="33684.410000000003"/>
    <n v="37438.79"/>
    <n v="45946.34"/>
    <n v="50362.15"/>
    <n v="36218.94"/>
    <n v="40492.28"/>
    <n v="38105.339999999997"/>
    <n v="39164.49"/>
    <n v="32045.29"/>
    <n v="41280.660000000003"/>
    <n v="474378.33999999997"/>
    <n v="-9235.3700000000026"/>
  </r>
  <r>
    <x v="5"/>
    <x v="3"/>
    <x v="0"/>
    <s v="3005101"/>
    <n v="700032"/>
    <s v="Salaries-Other Pat Care Providers-OT"/>
    <s v="Med/Surg 4th South"/>
    <x v="0"/>
    <n v="1000"/>
    <n v="1312.02"/>
    <n v="2783.76"/>
    <n v="1113.44"/>
    <n v="2434.37"/>
    <n v="2859.02"/>
    <n v="5492.41"/>
    <n v="2717.93"/>
    <n v="6849.13"/>
    <n v="6983.04"/>
    <n v="8534.84"/>
    <n v="2617.1999999999998"/>
    <n v="5651.91"/>
    <n v="49349.070000000007"/>
    <n v="-3034.71"/>
  </r>
  <r>
    <x v="5"/>
    <x v="3"/>
    <x v="0"/>
    <s v="3005101"/>
    <n v="700032"/>
    <s v="Salaries-Other Pat Care Providers-Other"/>
    <s v="Med/Surg 4th South"/>
    <x v="0"/>
    <n v="2000"/>
    <n v="3325.56"/>
    <n v="3763.59"/>
    <n v="2942.39"/>
    <n v="3307.48"/>
    <n v="4050.59"/>
    <n v="4241.2"/>
    <n v="3115.15"/>
    <n v="3601.09"/>
    <n v="3541.69"/>
    <n v="3554.68"/>
    <n v="2814.33"/>
    <n v="3644.83"/>
    <n v="41902.58"/>
    <n v="-830.5"/>
  </r>
  <r>
    <x v="5"/>
    <x v="3"/>
    <x v="0"/>
    <s v="3005101"/>
    <n v="700038"/>
    <s v="Salaries-Service/Support-Productive"/>
    <s v="Med/Surg 4th South"/>
    <x v="0"/>
    <m/>
    <n v="1477.73"/>
    <n v="909.3"/>
    <n v="-242.39"/>
    <n v="974.77"/>
    <n v="2160.1999999999998"/>
    <n v="-551.08000000000004"/>
    <n v="1510.73"/>
    <n v="958.59"/>
    <n v="2072.3200000000002"/>
    <n v="696.21"/>
    <n v="-24.53"/>
    <n v="3286.66"/>
    <n v="13228.51"/>
    <n v="-3311.19"/>
  </r>
  <r>
    <x v="5"/>
    <x v="3"/>
    <x v="0"/>
    <s v="3005101"/>
    <n v="700038"/>
    <s v="Salaries-Service/Support-Other"/>
    <s v="Med/Surg 4th South"/>
    <x v="0"/>
    <n v="2000"/>
    <n v="0"/>
    <n v="0"/>
    <n v="0"/>
    <n v="30"/>
    <n v="0"/>
    <n v="0"/>
    <n v="0"/>
    <n v="0"/>
    <n v="0"/>
    <n v="0"/>
    <n v="0"/>
    <n v="0"/>
    <n v="30"/>
    <n v="0"/>
  </r>
  <r>
    <x v="5"/>
    <x v="3"/>
    <x v="0"/>
    <s v="3005101"/>
    <n v="700054"/>
    <s v="Salaries-Management-Non-productive"/>
    <s v="Med/Surg 4th South"/>
    <x v="0"/>
    <m/>
    <n v="2461.6"/>
    <n v="0"/>
    <n v="0"/>
    <n v="0"/>
    <n v="0"/>
    <n v="3448.84"/>
    <n v="662.12"/>
    <n v="1910.73"/>
    <n v="2682.41"/>
    <n v="-734.86"/>
    <n v="0"/>
    <n v="1065.5999999999999"/>
    <n v="11496.44"/>
    <n v="-1065.5999999999999"/>
  </r>
  <r>
    <x v="5"/>
    <x v="3"/>
    <x v="0"/>
    <s v="3005101"/>
    <n v="700054"/>
    <s v="Salaries-Management-NonProd-Other"/>
    <s v="Med/Surg 4th South"/>
    <x v="0"/>
    <n v="2000"/>
    <n v="0"/>
    <n v="0"/>
    <n v="0"/>
    <n v="0"/>
    <n v="0"/>
    <n v="1729.02"/>
    <n v="-1729.02"/>
    <n v="0"/>
    <n v="0"/>
    <n v="0"/>
    <n v="0"/>
    <n v="0"/>
    <n v="0"/>
    <n v="0"/>
  </r>
  <r>
    <x v="5"/>
    <x v="3"/>
    <x v="0"/>
    <s v="3005101"/>
    <n v="700066"/>
    <s v="Salaries-RN-Non-productive"/>
    <s v="Med/Surg 4th South"/>
    <x v="0"/>
    <m/>
    <n v="27258.69"/>
    <n v="21678.87"/>
    <n v="18610.740000000002"/>
    <n v="11718.34"/>
    <n v="14096.52"/>
    <n v="32718.63"/>
    <n v="17001.22"/>
    <n v="29081.8"/>
    <n v="27273.63"/>
    <n v="15281.75"/>
    <n v="28143.75"/>
    <n v="25192.63"/>
    <n v="268056.57"/>
    <n v="2951.119999999999"/>
  </r>
  <r>
    <x v="5"/>
    <x v="3"/>
    <x v="0"/>
    <s v="3005101"/>
    <n v="700066"/>
    <s v="Salaries-RN-NonProd-Other"/>
    <s v="Med/Surg 4th South"/>
    <x v="0"/>
    <n v="2000"/>
    <n v="4001.01"/>
    <n v="4036.77"/>
    <n v="2222.89"/>
    <n v="2638.57"/>
    <n v="4275.01"/>
    <n v="8931.73"/>
    <n v="2373.56"/>
    <n v="-2612.64"/>
    <n v="3681.05"/>
    <n v="2892.25"/>
    <n v="4106.33"/>
    <n v="2737.33"/>
    <n v="39283.86"/>
    <n v="1369"/>
  </r>
  <r>
    <x v="5"/>
    <x v="3"/>
    <x v="0"/>
    <s v="3005101"/>
    <n v="700072"/>
    <s v="Salaries-Other Pat Care Providers-Non-productive"/>
    <s v="Med/Surg 4th South"/>
    <x v="0"/>
    <m/>
    <n v="5428.3"/>
    <n v="4540.74"/>
    <n v="5164.63"/>
    <n v="6697.63"/>
    <n v="3777.04"/>
    <n v="7856.53"/>
    <n v="3857.49"/>
    <n v="6691.62"/>
    <n v="3401.01"/>
    <n v="6256.96"/>
    <n v="2542.14"/>
    <n v="2990.29"/>
    <n v="59204.380000000005"/>
    <n v="-448.15000000000009"/>
  </r>
  <r>
    <x v="5"/>
    <x v="3"/>
    <x v="0"/>
    <s v="3005101"/>
    <n v="700072"/>
    <s v="Salaries-Other Pat Care Providers-NonProd-Other"/>
    <s v="Med/Surg 4th South"/>
    <x v="0"/>
    <n v="2000"/>
    <n v="481.93"/>
    <n v="561.02"/>
    <n v="708.4"/>
    <n v="820.7"/>
    <n v="1484.01"/>
    <n v="784.95"/>
    <n v="437.91"/>
    <n v="-538.79999999999995"/>
    <n v="504.73"/>
    <n v="543.91999999999996"/>
    <n v="396.05"/>
    <n v="362.08"/>
    <n v="6546.9000000000005"/>
    <n v="33.970000000000027"/>
  </r>
  <r>
    <x v="5"/>
    <x v="3"/>
    <x v="0"/>
    <s v="3005101"/>
    <n v="700078"/>
    <s v="Salaries-Service/Support-Non-productive"/>
    <s v="Med/Surg 4th South"/>
    <x v="0"/>
    <m/>
    <n v="0"/>
    <n v="0"/>
    <n v="0"/>
    <n v="0"/>
    <n v="0"/>
    <n v="0"/>
    <n v="1334.86"/>
    <n v="183.27"/>
    <n v="-9.77"/>
    <n v="998.99"/>
    <n v="426.06"/>
    <n v="43.32"/>
    <n v="2976.73"/>
    <n v="382.74"/>
  </r>
  <r>
    <x v="5"/>
    <x v="3"/>
    <x v="0"/>
    <s v="3005101"/>
    <n v="700084"/>
    <s v="Accrued PTO"/>
    <s v="Med/Surg 4th South"/>
    <x v="0"/>
    <m/>
    <n v="-4491.6000000000004"/>
    <n v="466.06"/>
    <n v="3613.12"/>
    <n v="7588.69"/>
    <n v="12000.25"/>
    <n v="-608.65"/>
    <n v="9631.5400000000009"/>
    <n v="452.23"/>
    <n v="5359.84"/>
    <n v="6805.77"/>
    <n v="2027.72"/>
    <n v="-1110.33"/>
    <n v="41734.639999999999"/>
    <n v="3138.05"/>
  </r>
  <r>
    <x v="10"/>
    <x v="3"/>
    <x v="0"/>
    <s v="3005101"/>
    <n v="710060"/>
    <s v="Contract Labor-Other"/>
    <s v="Med/Surg 4th South"/>
    <x v="0"/>
    <m/>
    <n v="2664"/>
    <n v="9003.75"/>
    <n v="3124"/>
    <n v="4463.75"/>
    <n v="2276"/>
    <n v="284"/>
    <n v="292"/>
    <n v="0"/>
    <n v="0"/>
    <n v="0"/>
    <n v="0"/>
    <n v="1502.75"/>
    <n v="23610.25"/>
    <n v="-1502.75"/>
  </r>
  <r>
    <x v="10"/>
    <x v="3"/>
    <x v="0"/>
    <s v="3005101"/>
    <n v="710060"/>
    <s v="Contract Labor-Overtime"/>
    <s v="Med/Surg 4th South"/>
    <x v="0"/>
    <n v="5100"/>
    <n v="388.8"/>
    <n v="0"/>
    <n v="383.4"/>
    <n v="388.8"/>
    <n v="0"/>
    <n v="0"/>
    <n v="0"/>
    <n v="0"/>
    <n v="0"/>
    <n v="0"/>
    <n v="0"/>
    <n v="0"/>
    <n v="1161"/>
    <n v="0"/>
  </r>
  <r>
    <x v="6"/>
    <x v="3"/>
    <x v="0"/>
    <s v="3005101"/>
    <n v="713010"/>
    <s v="Benefits-FICA/Medicare"/>
    <s v="Med/Surg 4th South"/>
    <x v="0"/>
    <m/>
    <n v="19478.02"/>
    <n v="20313.759999999998"/>
    <n v="17501.77"/>
    <n v="19020.62"/>
    <n v="18168.29"/>
    <n v="22427.38"/>
    <n v="19055.93"/>
    <n v="19865.75"/>
    <n v="20464.37"/>
    <n v="20116.16"/>
    <n v="18785.400000000001"/>
    <n v="20383.34"/>
    <n v="235580.78999999998"/>
    <n v="-1597.9399999999987"/>
  </r>
  <r>
    <x v="6"/>
    <x v="3"/>
    <x v="0"/>
    <s v="3005101"/>
    <n v="713090"/>
    <s v="Benefits-Allocated Amounts"/>
    <s v="Med/Surg 4th South"/>
    <x v="0"/>
    <m/>
    <n v="60753.45"/>
    <n v="54178.25"/>
    <n v="54770.47"/>
    <n v="57669.77"/>
    <n v="57178.22"/>
    <n v="65119.39"/>
    <n v="60945.01"/>
    <n v="67557.31"/>
    <n v="52158.43"/>
    <n v="65299.82"/>
    <n v="63057.66"/>
    <n v="65972.320000000007"/>
    <n v="724660.10000000009"/>
    <n v="-2914.6600000000035"/>
  </r>
  <r>
    <x v="6"/>
    <x v="3"/>
    <x v="0"/>
    <s v="3005101"/>
    <n v="713096"/>
    <s v="Employee Recognition"/>
    <s v="Med/Surg 4th South"/>
    <x v="0"/>
    <n v="1017"/>
    <n v="0"/>
    <n v="0"/>
    <n v="0"/>
    <n v="0"/>
    <n v="0"/>
    <n v="0"/>
    <n v="0"/>
    <n v="0"/>
    <n v="175.85"/>
    <n v="0"/>
    <n v="137.08000000000001"/>
    <n v="132.88"/>
    <n v="445.81"/>
    <n v="4.2000000000000171"/>
  </r>
  <r>
    <x v="17"/>
    <x v="3"/>
    <x v="0"/>
    <s v="3005101"/>
    <n v="714520"/>
    <s v="Other Contracted Professionals"/>
    <s v="Med/Surg 4th South"/>
    <x v="0"/>
    <m/>
    <n v="0"/>
    <n v="1937.5"/>
    <n v="968.75"/>
    <n v="0"/>
    <n v="0"/>
    <n v="1937.5"/>
    <n v="1937.5"/>
    <n v="968.75"/>
    <n v="968.75"/>
    <n v="968.75"/>
    <n v="968.75"/>
    <n v="968.75"/>
    <n v="11625"/>
    <n v="0"/>
  </r>
  <r>
    <x v="7"/>
    <x v="3"/>
    <x v="0"/>
    <s v="3005101"/>
    <n v="718050"/>
    <s v="Contract Svcs-Other"/>
    <s v="Med/Surg 4th South"/>
    <x v="0"/>
    <m/>
    <n v="0"/>
    <n v="0"/>
    <n v="0"/>
    <n v="0"/>
    <n v="0"/>
    <n v="0"/>
    <n v="0"/>
    <n v="0"/>
    <n v="550.5"/>
    <n v="5433.44"/>
    <n v="0"/>
    <n v="0"/>
    <n v="5983.94"/>
    <n v="0"/>
  </r>
  <r>
    <x v="7"/>
    <x v="3"/>
    <x v="0"/>
    <s v="3005101"/>
    <n v="718050"/>
    <s v="Miscellaneous Purchased Svcs"/>
    <s v="Med/Surg 4th South"/>
    <x v="0"/>
    <n v="1020"/>
    <n v="0"/>
    <n v="0"/>
    <n v="43.42"/>
    <n v="0"/>
    <n v="275.25"/>
    <n v="0"/>
    <n v="0"/>
    <n v="0"/>
    <n v="0"/>
    <n v="0"/>
    <n v="5454.94"/>
    <n v="0"/>
    <n v="5773.61"/>
    <n v="5454.94"/>
  </r>
  <r>
    <x v="7"/>
    <x v="3"/>
    <x v="0"/>
    <s v="3005101"/>
    <n v="718050"/>
    <s v="Contract Svcs--Medical/Dental"/>
    <s v="Med/Surg 4th South"/>
    <x v="0"/>
    <n v="1024"/>
    <n v="0"/>
    <n v="0"/>
    <n v="0"/>
    <n v="0"/>
    <n v="0"/>
    <n v="0"/>
    <n v="121.29"/>
    <n v="0"/>
    <n v="0"/>
    <n v="0"/>
    <n v="0"/>
    <n v="636.63"/>
    <n v="757.92"/>
    <n v="-636.63"/>
  </r>
  <r>
    <x v="7"/>
    <x v="3"/>
    <x v="0"/>
    <s v="3005101"/>
    <n v="718050"/>
    <s v="Translation Services"/>
    <s v="Med/Surg 4th South"/>
    <x v="0"/>
    <n v="1025"/>
    <n v="0"/>
    <n v="344.97"/>
    <n v="51.24"/>
    <n v="98.96"/>
    <n v="0"/>
    <n v="697.28"/>
    <n v="26.07"/>
    <n v="0"/>
    <n v="126.12"/>
    <n v="0"/>
    <n v="32.39"/>
    <n v="0"/>
    <n v="1377.03"/>
    <n v="32.39"/>
  </r>
  <r>
    <x v="7"/>
    <x v="3"/>
    <x v="0"/>
    <s v="3005101"/>
    <n v="718050"/>
    <s v="Contract Management--Linen"/>
    <s v="Med/Surg 4th South"/>
    <x v="0"/>
    <n v="1026"/>
    <n v="3532.64"/>
    <n v="4015.95"/>
    <n v="3941.06"/>
    <n v="3483.41"/>
    <n v="3736.24"/>
    <n v="3842.92"/>
    <n v="4375.96"/>
    <n v="4533.3"/>
    <n v="2879.51"/>
    <n v="3674.26"/>
    <n v="4060.07"/>
    <n v="4345.63"/>
    <n v="46420.95"/>
    <n v="-285.55999999999995"/>
  </r>
  <r>
    <x v="11"/>
    <x v="3"/>
    <x v="0"/>
    <s v="3005101"/>
    <n v="721010"/>
    <s v="Supplies-Medical - Billable"/>
    <s v="Med/Surg 4th South"/>
    <x v="0"/>
    <m/>
    <n v="3562.8"/>
    <n v="5115.63"/>
    <n v="5028.47"/>
    <n v="6703.79"/>
    <n v="6427.74"/>
    <n v="7300.54"/>
    <n v="4567.09"/>
    <n v="4834.49"/>
    <n v="4995.71"/>
    <n v="5946.64"/>
    <n v="5729.45"/>
    <n v="6641.29"/>
    <n v="66853.639999999985"/>
    <n v="-911.84000000000015"/>
  </r>
  <r>
    <x v="11"/>
    <x v="3"/>
    <x v="0"/>
    <s v="3005101"/>
    <n v="721010"/>
    <s v="Patient Monitoring"/>
    <s v="Med/Surg 4th South"/>
    <x v="0"/>
    <n v="1000"/>
    <n v="6.28"/>
    <n v="238.97"/>
    <n v="232.91"/>
    <n v="80.760000000000005"/>
    <n v="321.77999999999997"/>
    <n v="108.5"/>
    <n v="53.63"/>
    <n v="106.19"/>
    <n v="64.28"/>
    <n v="410.15"/>
    <n v="61.69"/>
    <n v="782.76"/>
    <n v="2467.8999999999996"/>
    <n v="-721.06999999999994"/>
  </r>
  <r>
    <x v="11"/>
    <x v="3"/>
    <x v="0"/>
    <s v="3005101"/>
    <n v="721020"/>
    <s v="Supplies-Surgical - Billable"/>
    <s v="Med/Surg 4th South"/>
    <x v="0"/>
    <m/>
    <n v="366.46"/>
    <n v="457.04"/>
    <n v="437.4"/>
    <n v="388.96"/>
    <n v="437"/>
    <n v="556.53"/>
    <n v="420.3"/>
    <n v="409.06"/>
    <n v="375.65"/>
    <n v="415.79"/>
    <n v="469.07"/>
    <n v="447.04"/>
    <n v="5180.3"/>
    <n v="22.029999999999973"/>
  </r>
  <r>
    <x v="11"/>
    <x v="3"/>
    <x v="0"/>
    <s v="3005101"/>
    <n v="721020"/>
    <s v="Custom Packs"/>
    <s v="Med/Surg 4th South"/>
    <x v="0"/>
    <n v="1000"/>
    <n v="0"/>
    <n v="0"/>
    <n v="278.04000000000002"/>
    <n v="122.34"/>
    <n v="105.92"/>
    <n v="185.36"/>
    <n v="158.88"/>
    <n v="-13.24"/>
    <n v="79.44"/>
    <n v="162.06"/>
    <n v="116.05"/>
    <n v="10.130000000000001"/>
    <n v="1204.98"/>
    <n v="105.92"/>
  </r>
  <r>
    <x v="11"/>
    <x v="3"/>
    <x v="0"/>
    <s v="3005101"/>
    <n v="721020"/>
    <s v="Suture/Wound Closure"/>
    <s v="Med/Surg 4th South"/>
    <x v="0"/>
    <n v="1001"/>
    <n v="0"/>
    <n v="7.35"/>
    <n v="1.29"/>
    <n v="0"/>
    <n v="0"/>
    <n v="0"/>
    <n v="0"/>
    <n v="0"/>
    <n v="0"/>
    <n v="119.29"/>
    <n v="115.45"/>
    <n v="2.4500000000000002"/>
    <n v="245.82999999999998"/>
    <n v="113"/>
  </r>
  <r>
    <x v="11"/>
    <x v="3"/>
    <x v="0"/>
    <s v="3005101"/>
    <n v="721020"/>
    <s v="Urological Supplies"/>
    <s v="Med/Surg 4th South"/>
    <x v="0"/>
    <n v="1006"/>
    <n v="0"/>
    <n v="0"/>
    <n v="234.09"/>
    <n v="0"/>
    <n v="0"/>
    <n v="0"/>
    <n v="0"/>
    <n v="0"/>
    <n v="0"/>
    <n v="0"/>
    <n v="0"/>
    <n v="0"/>
    <n v="234.09"/>
    <n v="0"/>
  </r>
  <r>
    <x v="11"/>
    <x v="3"/>
    <x v="0"/>
    <s v="3005101"/>
    <n v="721020"/>
    <s v="Surgical Cardiovascular"/>
    <s v="Med/Surg 4th South"/>
    <x v="0"/>
    <n v="1007"/>
    <n v="0"/>
    <n v="0"/>
    <n v="0"/>
    <n v="1.02"/>
    <n v="0"/>
    <n v="0"/>
    <n v="0"/>
    <n v="0"/>
    <n v="0"/>
    <n v="0"/>
    <n v="0"/>
    <n v="0"/>
    <n v="1.02"/>
    <n v="0"/>
  </r>
  <r>
    <x v="11"/>
    <x v="3"/>
    <x v="0"/>
    <s v="3005101"/>
    <n v="721020"/>
    <s v="Tubes Drains &amp; Related Supplies"/>
    <s v="Med/Surg 4th South"/>
    <x v="0"/>
    <n v="1008"/>
    <n v="19"/>
    <n v="13.43"/>
    <n v="0"/>
    <n v="0"/>
    <n v="40.28"/>
    <n v="0"/>
    <n v="13.43"/>
    <n v="26.86"/>
    <n v="15.2"/>
    <n v="0"/>
    <n v="13.43"/>
    <n v="0"/>
    <n v="141.63000000000002"/>
    <n v="13.43"/>
  </r>
  <r>
    <x v="11"/>
    <x v="3"/>
    <x v="0"/>
    <s v="3005101"/>
    <n v="721240"/>
    <s v="Supplies-IV Solutions/Supplies - Billable"/>
    <s v="Med/Surg 4th South"/>
    <x v="0"/>
    <m/>
    <n v="658.19"/>
    <n v="440.04"/>
    <n v="566.49"/>
    <n v="625.66999999999996"/>
    <n v="292.27"/>
    <n v="794.78"/>
    <n v="508.93"/>
    <n v="405.45"/>
    <n v="499.72"/>
    <n v="216.76"/>
    <n v="242.46"/>
    <n v="520"/>
    <n v="5770.76"/>
    <n v="-277.53999999999996"/>
  </r>
  <r>
    <x v="11"/>
    <x v="3"/>
    <x v="0"/>
    <s v="3005101"/>
    <n v="721250"/>
    <s v="Supplies-Pharmacy Drugs - Billable"/>
    <s v="Med/Surg 4th South"/>
    <x v="0"/>
    <m/>
    <n v="0"/>
    <n v="12.51"/>
    <n v="0"/>
    <n v="0"/>
    <n v="25.02"/>
    <n v="0"/>
    <n v="0"/>
    <n v="0"/>
    <n v="2.2000000000000002"/>
    <n v="0"/>
    <n v="0"/>
    <n v="0"/>
    <n v="39.730000000000004"/>
    <n v="0"/>
  </r>
  <r>
    <x v="11"/>
    <x v="3"/>
    <x v="0"/>
    <s v="3005101"/>
    <n v="721410"/>
    <s v="Supplies-Medical - Nonbillable"/>
    <s v="Med/Surg 4th South"/>
    <x v="0"/>
    <m/>
    <n v="10249.98"/>
    <n v="9705.25"/>
    <n v="10667.59"/>
    <n v="9775.06"/>
    <n v="7239.08"/>
    <n v="12319.76"/>
    <n v="9524.48"/>
    <n v="9028.1299999999992"/>
    <n v="8397.6299999999992"/>
    <n v="7562.9"/>
    <n v="10276.36"/>
    <n v="9449.8700000000008"/>
    <n v="114196.09"/>
    <n v="826.48999999999978"/>
  </r>
  <r>
    <x v="11"/>
    <x v="3"/>
    <x v="0"/>
    <s v="3005101"/>
    <n v="721410"/>
    <s v="Patient Monitoring"/>
    <s v="Med/Surg 4th South"/>
    <x v="0"/>
    <n v="1000"/>
    <n v="0"/>
    <n v="11.25"/>
    <n v="0"/>
    <n v="0"/>
    <n v="0"/>
    <n v="3.75"/>
    <n v="-7.5"/>
    <n v="15"/>
    <n v="0"/>
    <n v="0"/>
    <n v="0"/>
    <n v="0"/>
    <n v="22.5"/>
    <n v="0"/>
  </r>
  <r>
    <x v="11"/>
    <x v="3"/>
    <x v="0"/>
    <s v="3005101"/>
    <n v="721420"/>
    <s v="Supplies-Surgical Nonbillable"/>
    <s v="Med/Surg 4th South"/>
    <x v="0"/>
    <m/>
    <n v="15.23"/>
    <n v="19.09"/>
    <n v="66.11"/>
    <n v="6.89"/>
    <n v="14.63"/>
    <n v="110.34"/>
    <n v="0"/>
    <n v="9.5500000000000007"/>
    <n v="64.33"/>
    <n v="36.880000000000003"/>
    <n v="26.84"/>
    <n v="20.3"/>
    <n v="390.19"/>
    <n v="6.5399999999999991"/>
  </r>
  <r>
    <x v="11"/>
    <x v="3"/>
    <x v="0"/>
    <s v="3005101"/>
    <n v="721420"/>
    <s v="Tubes Drains &amp; Related Supplies"/>
    <s v="Med/Surg 4th South"/>
    <x v="0"/>
    <n v="1008"/>
    <n v="0.66"/>
    <n v="10.34"/>
    <n v="0"/>
    <n v="0"/>
    <n v="37.36"/>
    <n v="0"/>
    <n v="21.16"/>
    <n v="38.5"/>
    <n v="0"/>
    <n v="7.81"/>
    <n v="8.2899999999999991"/>
    <n v="0"/>
    <n v="124.12"/>
    <n v="8.2899999999999991"/>
  </r>
  <r>
    <x v="11"/>
    <x v="3"/>
    <x v="0"/>
    <s v="3005101"/>
    <n v="721420"/>
    <s v="Sterilization Process Products"/>
    <s v="Med/Surg 4th South"/>
    <x v="0"/>
    <n v="1009"/>
    <n v="0"/>
    <n v="48.15"/>
    <n v="0"/>
    <n v="0"/>
    <n v="0"/>
    <n v="0"/>
    <n v="1.83"/>
    <n v="0"/>
    <n v="0"/>
    <n v="0"/>
    <n v="1.83"/>
    <n v="96.3"/>
    <n v="148.10999999999999"/>
    <n v="-94.47"/>
  </r>
  <r>
    <x v="11"/>
    <x v="3"/>
    <x v="0"/>
    <s v="3005101"/>
    <n v="721610"/>
    <s v="Supplies-Anesthesia - Nonbillable"/>
    <s v="Med/Surg 4th South"/>
    <x v="0"/>
    <m/>
    <n v="118.12"/>
    <n v="265.58999999999997"/>
    <n v="218.52"/>
    <n v="339.39"/>
    <n v="13.91"/>
    <n v="557.72"/>
    <n v="191.55"/>
    <n v="273.70999999999998"/>
    <n v="159.19999999999999"/>
    <n v="230.23"/>
    <n v="224.54"/>
    <n v="264.14999999999998"/>
    <n v="2856.63"/>
    <n v="-39.609999999999985"/>
  </r>
  <r>
    <x v="11"/>
    <x v="3"/>
    <x v="0"/>
    <s v="3005101"/>
    <n v="721640"/>
    <s v="Supplies-IV Solutions/Supplies - Nonbillable"/>
    <s v="Med/Surg 4th South"/>
    <x v="0"/>
    <m/>
    <n v="1722.32"/>
    <n v="2527.73"/>
    <n v="2933.13"/>
    <n v="3374.91"/>
    <n v="2142.4899999999998"/>
    <n v="3900.35"/>
    <n v="3510.73"/>
    <n v="3031.81"/>
    <n v="3954.81"/>
    <n v="3317.29"/>
    <n v="2440.09"/>
    <n v="3205.68"/>
    <n v="36061.340000000004"/>
    <n v="-765.58999999999969"/>
  </r>
  <r>
    <x v="11"/>
    <x v="3"/>
    <x v="0"/>
    <s v="3005101"/>
    <n v="721650"/>
    <s v="Supplies-Pharmacy Drugs - Nonbillable"/>
    <s v="Med/Surg 4th South"/>
    <x v="0"/>
    <m/>
    <n v="32.409999999999997"/>
    <n v="77.180000000000007"/>
    <n v="41"/>
    <n v="73.62"/>
    <n v="72.95"/>
    <n v="71.260000000000005"/>
    <n v="36.549999999999997"/>
    <n v="27.81"/>
    <n v="72.900000000000006"/>
    <n v="28.21"/>
    <n v="87.95"/>
    <n v="72.89"/>
    <n v="694.73000000000013"/>
    <n v="15.060000000000002"/>
  </r>
  <r>
    <x v="11"/>
    <x v="3"/>
    <x v="0"/>
    <s v="3005101"/>
    <n v="721710"/>
    <s v="Supplies-Laboratory - Nonbillable"/>
    <s v="Med/Surg 4th South"/>
    <x v="0"/>
    <m/>
    <n v="604.44000000000005"/>
    <n v="433.85"/>
    <n v="312.67"/>
    <n v="479.69"/>
    <n v="234.08"/>
    <n v="417.8"/>
    <n v="253.21"/>
    <n v="350.1"/>
    <n v="173.39"/>
    <n v="371.13"/>
    <n v="331.52"/>
    <n v="306.36"/>
    <n v="4268.24"/>
    <n v="25.159999999999968"/>
  </r>
  <r>
    <x v="11"/>
    <x v="3"/>
    <x v="0"/>
    <s v="3005101"/>
    <n v="721710"/>
    <s v="Reagents"/>
    <s v="Med/Surg 4th South"/>
    <x v="0"/>
    <n v="1000"/>
    <n v="0"/>
    <n v="0"/>
    <n v="2"/>
    <n v="22"/>
    <n v="2"/>
    <n v="0"/>
    <n v="2"/>
    <n v="14"/>
    <n v="6"/>
    <n v="243.92"/>
    <n v="0"/>
    <n v="0"/>
    <n v="291.91999999999996"/>
    <n v="0"/>
  </r>
  <r>
    <x v="11"/>
    <x v="3"/>
    <x v="0"/>
    <s v="3005101"/>
    <n v="721750"/>
    <s v="Supplies-Film/Radiographic - Nonbillable"/>
    <s v="Med/Surg 4th South"/>
    <x v="0"/>
    <m/>
    <n v="4.68"/>
    <n v="4.68"/>
    <n v="4.68"/>
    <n v="2.81"/>
    <n v="8.43"/>
    <n v="1.87"/>
    <n v="0.94"/>
    <n v="10.3"/>
    <n v="3.75"/>
    <n v="0"/>
    <n v="7.49"/>
    <n v="3.75"/>
    <n v="53.38"/>
    <n v="3.74"/>
  </r>
  <r>
    <x v="11"/>
    <x v="3"/>
    <x v="0"/>
    <s v="3005101"/>
    <n v="721810"/>
    <s v="Supplies-Dietary/Cafeteria"/>
    <s v="Med/Surg 4th South"/>
    <x v="0"/>
    <m/>
    <n v="2278.2800000000002"/>
    <n v="1906.82"/>
    <n v="2546.1799999999998"/>
    <n v="2182.31"/>
    <n v="2550.73"/>
    <n v="1924.11"/>
    <n v="1941.34"/>
    <n v="1948.64"/>
    <n v="2231.1999999999998"/>
    <n v="1986.06"/>
    <n v="2270.4"/>
    <n v="1791.24"/>
    <n v="25557.310000000005"/>
    <n v="479.16000000000008"/>
  </r>
  <r>
    <x v="11"/>
    <x v="3"/>
    <x v="0"/>
    <s v="3005101"/>
    <n v="721830"/>
    <s v="Supplies-Office"/>
    <s v="Med/Surg 4th South"/>
    <x v="0"/>
    <m/>
    <n v="525.66"/>
    <n v="352.63"/>
    <n v="199.63"/>
    <n v="1260.6600000000001"/>
    <n v="168.38"/>
    <n v="120.13"/>
    <n v="110.01"/>
    <n v="326.13"/>
    <n v="602.04"/>
    <n v="378"/>
    <n v="261.02"/>
    <n v="66.13"/>
    <n v="4370.420000000001"/>
    <n v="194.89"/>
  </r>
  <r>
    <x v="11"/>
    <x v="3"/>
    <x v="0"/>
    <s v="3005101"/>
    <n v="721835"/>
    <s v="Supplies-Forms"/>
    <s v="Med/Surg 4th South"/>
    <x v="0"/>
    <m/>
    <n v="0"/>
    <n v="0"/>
    <n v="0"/>
    <n v="0"/>
    <n v="21.2"/>
    <n v="158"/>
    <n v="32.04"/>
    <n v="0"/>
    <n v="150.69999999999999"/>
    <n v="0"/>
    <n v="174.5"/>
    <n v="255.83"/>
    <n v="792.27"/>
    <n v="-81.330000000000013"/>
  </r>
  <r>
    <x v="11"/>
    <x v="3"/>
    <x v="0"/>
    <s v="3005101"/>
    <n v="721870"/>
    <s v="Supplies-Environmental Services"/>
    <s v="Med/Surg 4th South"/>
    <x v="0"/>
    <m/>
    <n v="289.94"/>
    <n v="370.49"/>
    <n v="484.57"/>
    <n v="263.47000000000003"/>
    <n v="390.36"/>
    <n v="458.05"/>
    <n v="447.84"/>
    <n v="297.88"/>
    <n v="354.04"/>
    <n v="378"/>
    <n v="367.65"/>
    <n v="393.85"/>
    <n v="4496.1400000000003"/>
    <n v="-26.200000000000045"/>
  </r>
  <r>
    <x v="11"/>
    <x v="3"/>
    <x v="0"/>
    <s v="3005101"/>
    <n v="721880"/>
    <s v="Supplies-Linen"/>
    <s v="Med/Surg 4th South"/>
    <x v="0"/>
    <m/>
    <n v="131.61000000000001"/>
    <n v="199.02"/>
    <n v="295.32"/>
    <n v="234.33"/>
    <n v="173.34"/>
    <n v="141.24"/>
    <n v="166.92"/>
    <n v="118.77"/>
    <n v="176.55"/>
    <n v="131.61000000000001"/>
    <n v="182.97"/>
    <n v="157.29"/>
    <n v="2108.9700000000003"/>
    <n v="25.680000000000007"/>
  </r>
  <r>
    <x v="11"/>
    <x v="3"/>
    <x v="0"/>
    <s v="3005101"/>
    <n v="721910"/>
    <s v="Supplies-Small Equipment"/>
    <s v="Med/Surg 4th South"/>
    <x v="0"/>
    <m/>
    <n v="4847.92"/>
    <n v="3702.77"/>
    <n v="5851.28"/>
    <n v="14087.77"/>
    <n v="3976.4"/>
    <n v="20091.900000000001"/>
    <n v="9853.14"/>
    <n v="3620.09"/>
    <n v="2104.4299999999998"/>
    <n v="2062.63"/>
    <n v="-3624.6"/>
    <n v="1432.23"/>
    <n v="68005.959999999992"/>
    <n v="-5056.83"/>
  </r>
  <r>
    <x v="11"/>
    <x v="3"/>
    <x v="0"/>
    <s v="3005101"/>
    <n v="721910"/>
    <s v="Instruments"/>
    <s v="Med/Surg 4th South"/>
    <x v="0"/>
    <n v="1000"/>
    <n v="0"/>
    <n v="12"/>
    <n v="0"/>
    <n v="21.07"/>
    <n v="13.47"/>
    <n v="0"/>
    <n v="0"/>
    <n v="0"/>
    <n v="12"/>
    <n v="24"/>
    <n v="0.01"/>
    <n v="0"/>
    <n v="82.55"/>
    <n v="0.01"/>
  </r>
  <r>
    <x v="11"/>
    <x v="3"/>
    <x v="0"/>
    <s v="3005101"/>
    <n v="721980"/>
    <s v="Supplies-Other"/>
    <s v="Med/Surg 4th South"/>
    <x v="0"/>
    <m/>
    <n v="0"/>
    <n v="729.38"/>
    <n v="0"/>
    <n v="0"/>
    <n v="0"/>
    <n v="0"/>
    <n v="0"/>
    <n v="120.45"/>
    <n v="529.74"/>
    <n v="23.22"/>
    <n v="-48.6"/>
    <n v="0"/>
    <n v="1354.1900000000003"/>
    <n v="-48.6"/>
  </r>
  <r>
    <x v="11"/>
    <x v="3"/>
    <x v="0"/>
    <s v="3005101"/>
    <n v="722000"/>
    <s v="Supplies-Freight Expense"/>
    <s v="Med/Surg 4th South"/>
    <x v="0"/>
    <m/>
    <n v="31.08"/>
    <n v="7.93"/>
    <n v="16.8"/>
    <n v="17.239999999999998"/>
    <n v="23.7"/>
    <n v="8.02"/>
    <n v="0"/>
    <n v="0"/>
    <n v="0"/>
    <n v="0"/>
    <n v="0"/>
    <n v="0"/>
    <n v="104.77"/>
    <n v="0"/>
  </r>
  <r>
    <x v="12"/>
    <x v="3"/>
    <x v="0"/>
    <s v="3005101"/>
    <n v="730020"/>
    <s v="Rental and Leases-Equipment (DO NOT USE)"/>
    <s v="Med/Surg 4th South"/>
    <x v="0"/>
    <m/>
    <n v="0"/>
    <n v="0"/>
    <n v="0"/>
    <n v="-8077.24"/>
    <n v="-1104.21"/>
    <n v="0"/>
    <n v="0"/>
    <n v="0"/>
    <n v="0"/>
    <n v="0"/>
    <n v="0"/>
    <n v="0"/>
    <n v="-9181.4500000000007"/>
    <n v="0"/>
  </r>
  <r>
    <x v="12"/>
    <x v="3"/>
    <x v="0"/>
    <s v="3005101"/>
    <n v="730020"/>
    <s v="Rental and Leases-Copier Usage Fees (DO NOT USE)"/>
    <s v="Med/Surg 4th South"/>
    <x v="0"/>
    <n v="5100"/>
    <n v="471.82"/>
    <n v="471.52"/>
    <n v="471.67"/>
    <n v="471.67"/>
    <n v="471.67"/>
    <n v="471.67"/>
    <n v="1041.49"/>
    <n v="442.87"/>
    <n v="441.94"/>
    <n v="663.87"/>
    <n v="468.94"/>
    <n v="547.22"/>
    <n v="6436.3499999999995"/>
    <n v="-78.28000000000003"/>
  </r>
  <r>
    <x v="15"/>
    <x v="3"/>
    <x v="0"/>
    <s v="3005101"/>
    <n v="731060"/>
    <s v="Cell Phones"/>
    <s v="Med/Surg 4th South"/>
    <x v="0"/>
    <n v="1001"/>
    <n v="0"/>
    <n v="62.64"/>
    <n v="25.86"/>
    <n v="0"/>
    <n v="29.78"/>
    <n v="10.82"/>
    <n v="62.94"/>
    <n v="0"/>
    <n v="31.96"/>
    <n v="63.41"/>
    <n v="31.09"/>
    <n v="31.7"/>
    <n v="350.19999999999993"/>
    <n v="-0.60999999999999943"/>
  </r>
  <r>
    <x v="16"/>
    <x v="3"/>
    <x v="0"/>
    <s v="3005101"/>
    <n v="732015"/>
    <s v="Repairs-Clinical Equip-T&amp;M-Ext to CHI Programs"/>
    <s v="Med/Surg 4th South"/>
    <x v="0"/>
    <m/>
    <n v="0"/>
    <n v="0"/>
    <n v="0"/>
    <n v="0"/>
    <n v="1101"/>
    <n v="0"/>
    <n v="0"/>
    <n v="0"/>
    <n v="0"/>
    <n v="0"/>
    <n v="0"/>
    <n v="0"/>
    <n v="1101"/>
    <n v="0"/>
  </r>
  <r>
    <x v="13"/>
    <x v="3"/>
    <x v="0"/>
    <s v="3005101"/>
    <n v="735060"/>
    <s v="Depreciation-Fixed Equipment"/>
    <s v="Med/Surg 4th South"/>
    <x v="0"/>
    <m/>
    <n v="207.76"/>
    <n v="207.76"/>
    <n v="207.76"/>
    <n v="207.76"/>
    <n v="207.76"/>
    <n v="207.75"/>
    <n v="207.76"/>
    <n v="207.75"/>
    <n v="207.76"/>
    <n v="207.75"/>
    <n v="207.76"/>
    <n v="207.75"/>
    <n v="2493.08"/>
    <n v="9.9999999999909051E-3"/>
  </r>
  <r>
    <x v="13"/>
    <x v="3"/>
    <x v="0"/>
    <s v="3005101"/>
    <n v="735070"/>
    <s v="Depreciation-Movable Equipment"/>
    <s v="Med/Surg 4th South"/>
    <x v="0"/>
    <m/>
    <n v="8628.25"/>
    <n v="8628.23"/>
    <n v="8628.2900000000009"/>
    <n v="8628.17"/>
    <n v="8628.39"/>
    <n v="8628.09"/>
    <n v="9801.35"/>
    <n v="9801"/>
    <n v="9801.35"/>
    <n v="9657.68"/>
    <n v="9658.1"/>
    <n v="9657.65"/>
    <n v="110146.54999999999"/>
    <n v="0.4500000000007276"/>
  </r>
  <r>
    <x v="0"/>
    <x v="3"/>
    <x v="0"/>
    <s v="3005101"/>
    <n v="743030"/>
    <s v="Subscriptions--Institutional"/>
    <s v="Med/Surg 4th South"/>
    <x v="0"/>
    <m/>
    <n v="0"/>
    <n v="0"/>
    <n v="0"/>
    <n v="0"/>
    <n v="0"/>
    <n v="0"/>
    <n v="0"/>
    <n v="0"/>
    <n v="0"/>
    <n v="0"/>
    <n v="79.849999999999994"/>
    <n v="0"/>
    <n v="79.849999999999994"/>
    <n v="79.849999999999994"/>
  </r>
  <r>
    <x v="0"/>
    <x v="3"/>
    <x v="0"/>
    <s v="3005101"/>
    <n v="749510"/>
    <s v="Miscellaneous Expenses"/>
    <s v="Med/Surg 4th South"/>
    <x v="0"/>
    <m/>
    <n v="0"/>
    <n v="2130.73"/>
    <n v="239.67"/>
    <n v="758.06"/>
    <n v="0"/>
    <n v="216.21"/>
    <n v="401.27"/>
    <n v="556.48"/>
    <n v="1108.1300000000001"/>
    <n v="1243.9000000000001"/>
    <n v="-1589"/>
    <n v="151.15"/>
    <n v="5216.6000000000004"/>
    <n v="-1740.15"/>
  </r>
  <r>
    <x v="0"/>
    <x v="3"/>
    <x v="0"/>
    <s v="3005101"/>
    <n v="749510"/>
    <s v="RICE Rewards"/>
    <s v="Med/Surg 4th South"/>
    <x v="0"/>
    <n v="5100"/>
    <n v="0"/>
    <n v="0"/>
    <n v="0"/>
    <n v="0"/>
    <n v="0"/>
    <n v="0"/>
    <n v="0"/>
    <n v="0"/>
    <n v="0"/>
    <n v="0"/>
    <n v="0"/>
    <n v="1268.24"/>
    <n v="1268.24"/>
    <n v="-1268.24"/>
  </r>
  <r>
    <x v="0"/>
    <x v="3"/>
    <x v="0"/>
    <s v="3005101"/>
    <n v="749530"/>
    <s v="Travel"/>
    <s v="Med/Surg 4th South"/>
    <x v="0"/>
    <m/>
    <n v="0"/>
    <n v="0"/>
    <n v="0"/>
    <n v="0"/>
    <n v="0"/>
    <n v="0"/>
    <n v="0"/>
    <n v="0"/>
    <n v="15.72"/>
    <n v="168.2"/>
    <n v="0"/>
    <n v="0"/>
    <n v="183.92"/>
    <n v="0"/>
  </r>
  <r>
    <x v="0"/>
    <x v="3"/>
    <x v="0"/>
    <s v="3005101"/>
    <n v="749535"/>
    <s v="Employee Functions"/>
    <s v="Med/Surg 4th South"/>
    <x v="0"/>
    <n v="1004"/>
    <n v="0"/>
    <n v="0"/>
    <n v="0"/>
    <n v="0"/>
    <n v="0"/>
    <n v="0"/>
    <n v="0"/>
    <n v="0"/>
    <n v="77.03"/>
    <n v="0"/>
    <n v="0"/>
    <n v="0"/>
    <n v="77.03"/>
    <n v="0"/>
  </r>
  <r>
    <x v="18"/>
    <x v="5"/>
    <x v="0"/>
    <s v="3005106"/>
    <n v="400010"/>
    <s v="Acute I/P Svcs Rev--Medicare"/>
    <s v="Telemetry"/>
    <x v="0"/>
    <n v="1100"/>
    <n v="-1613661.12"/>
    <n v="-1568668.54"/>
    <n v="-1423314.15"/>
    <n v="-1653179.97"/>
    <n v="-1550412.79"/>
    <n v="-1568805.05"/>
    <n v="-1997055.01"/>
    <n v="-1581774.49"/>
    <n v="-1875341.51"/>
    <n v="-1693434.14"/>
    <n v="-1754317.76"/>
    <n v="-1585228.85"/>
    <n v="-19865193.380000003"/>
    <n v="-169088.90999999992"/>
  </r>
  <r>
    <x v="18"/>
    <x v="5"/>
    <x v="0"/>
    <s v="3005106"/>
    <n v="400010"/>
    <s v="Acute I/P Svcs Rev--Medicaid"/>
    <s v="Telemetry"/>
    <x v="0"/>
    <n v="1200"/>
    <n v="-605156.21"/>
    <n v="-353081.34"/>
    <n v="-598155.74"/>
    <n v="-352234.64"/>
    <n v="-393016.07"/>
    <n v="-527511.80000000005"/>
    <n v="-518285.09"/>
    <n v="-481042.57"/>
    <n v="-512273.11"/>
    <n v="-571491.88"/>
    <n v="-557806.52"/>
    <n v="-661197.74"/>
    <n v="-6131252.709999999"/>
    <n v="103391.21999999997"/>
  </r>
  <r>
    <x v="18"/>
    <x v="5"/>
    <x v="0"/>
    <s v="3005106"/>
    <n v="400010"/>
    <s v="Acute I/P Svcs Rev--Comm Insurance"/>
    <s v="Telemetry"/>
    <x v="0"/>
    <n v="1300"/>
    <n v="-9344.98"/>
    <n v="-72568.960000000006"/>
    <n v="50213.35"/>
    <n v="-82204.5"/>
    <n v="29415.59"/>
    <n v="-18947.53"/>
    <n v="13011.09"/>
    <n v="-74933.350000000006"/>
    <n v="-31860.46"/>
    <n v="-55607.11"/>
    <n v="-23901.9"/>
    <n v="-35847.43"/>
    <n v="-312576.19"/>
    <n v="11945.529999999999"/>
  </r>
  <r>
    <x v="18"/>
    <x v="5"/>
    <x v="0"/>
    <s v="3005106"/>
    <n v="400010"/>
    <s v="Acute I/P Svcs Rev--BCBS Comm"/>
    <s v="Telemetry"/>
    <x v="0"/>
    <n v="1301"/>
    <n v="-48550.39"/>
    <n v="-97027.09"/>
    <n v="-78693.490000000005"/>
    <n v="-106001.32"/>
    <n v="-85928.89"/>
    <n v="-84526.5"/>
    <n v="-167859.11"/>
    <n v="-99489.96"/>
    <n v="-71852"/>
    <n v="-52260.52"/>
    <n v="-127162.62"/>
    <n v="-101223.91"/>
    <n v="-1120575.8"/>
    <n v="-25938.709999999992"/>
  </r>
  <r>
    <x v="18"/>
    <x v="5"/>
    <x v="0"/>
    <s v="3005106"/>
    <n v="400010"/>
    <s v="Acute I/P Svcs Rev--Managed Care"/>
    <s v="Telemetry"/>
    <x v="0"/>
    <n v="1400"/>
    <n v="-256283.38"/>
    <n v="-195916.44"/>
    <n v="-191338.04"/>
    <n v="-117271.38"/>
    <n v="-360416.68"/>
    <n v="-402795.99"/>
    <n v="-268104.74"/>
    <n v="-227322.13"/>
    <n v="-219592.24"/>
    <n v="-208029.47"/>
    <n v="-141667"/>
    <n v="-131005.6"/>
    <n v="-2719743.09"/>
    <n v="-10661.399999999994"/>
  </r>
  <r>
    <x v="18"/>
    <x v="5"/>
    <x v="0"/>
    <s v="3005106"/>
    <n v="400010"/>
    <s v="Acute I/P Svcs Rev--Self Pay"/>
    <s v="Telemetry"/>
    <x v="0"/>
    <n v="1500"/>
    <n v="2125.96"/>
    <n v="-145977.01999999999"/>
    <n v="-81727.53"/>
    <n v="29149.43"/>
    <n v="-45235.47"/>
    <n v="-14854.27"/>
    <n v="-57486.77"/>
    <n v="-37826.32"/>
    <n v="-45411.76"/>
    <n v="-13078.16"/>
    <n v="-63894.54"/>
    <n v="-19095.439999999999"/>
    <n v="-493311.88999999996"/>
    <n v="-44799.100000000006"/>
  </r>
  <r>
    <x v="18"/>
    <x v="5"/>
    <x v="0"/>
    <s v="3005106"/>
    <n v="400010"/>
    <s v="Acute I/P Svcs Rev--Other"/>
    <s v="Telemetry"/>
    <x v="0"/>
    <n v="1700"/>
    <n v="3764.87"/>
    <n v="-66624.3"/>
    <n v="-36169.050000000003"/>
    <n v="14950.84"/>
    <n v="-26440.83"/>
    <n v="-19624.560000000001"/>
    <n v="-10565.66"/>
    <n v="-18235.12"/>
    <n v="-48944.98"/>
    <n v="-37853.879999999997"/>
    <n v="-112127.24"/>
    <n v="-56179.96"/>
    <n v="-414049.87000000005"/>
    <n v="-55947.280000000006"/>
  </r>
  <r>
    <x v="19"/>
    <x v="5"/>
    <x v="0"/>
    <s v="3005106"/>
    <n v="400020"/>
    <s v="O/P Care Svcs Rev--Medicare"/>
    <s v="Telemetry"/>
    <x v="0"/>
    <n v="1100"/>
    <n v="-168503.77"/>
    <n v="-239660.7"/>
    <n v="-237452.09"/>
    <n v="-432176.43"/>
    <n v="-209164.91"/>
    <n v="-252557.31"/>
    <n v="-196752.5"/>
    <n v="-328486.14"/>
    <n v="-279740.33"/>
    <n v="-270970.77"/>
    <n v="-267531.12"/>
    <n v="-214562.82"/>
    <n v="-3097558.89"/>
    <n v="-52968.299999999988"/>
  </r>
  <r>
    <x v="19"/>
    <x v="5"/>
    <x v="0"/>
    <s v="3005106"/>
    <n v="400020"/>
    <s v="O/P Care Svcs Rev--Medicaid"/>
    <s v="Telemetry"/>
    <x v="0"/>
    <n v="1200"/>
    <n v="-46726.25"/>
    <n v="-80224.789999999994"/>
    <n v="-82087.429999999993"/>
    <n v="-121926.12"/>
    <n v="-102165.27"/>
    <n v="-93367.33"/>
    <n v="-58614.81"/>
    <n v="-49139.93"/>
    <n v="-49252.88"/>
    <n v="-44392.160000000003"/>
    <n v="-53095.839999999997"/>
    <n v="-58864.28"/>
    <n v="-839857.09000000008"/>
    <n v="5768.4400000000023"/>
  </r>
  <r>
    <x v="19"/>
    <x v="5"/>
    <x v="0"/>
    <s v="3005106"/>
    <n v="400020"/>
    <s v="O/P Care Svcs Rev--Comm Insurance"/>
    <s v="Telemetry"/>
    <x v="0"/>
    <n v="1300"/>
    <n v="-2196.94"/>
    <n v="18567.189999999999"/>
    <n v="0"/>
    <n v="-6645.26"/>
    <n v="-4223.6499999999996"/>
    <n v="1713.18"/>
    <n v="-127.62"/>
    <n v="-2496.67"/>
    <n v="-2101.56"/>
    <n v="-21574.639999999999"/>
    <n v="-9581.24"/>
    <n v="-4980.04"/>
    <n v="-33647.25"/>
    <n v="-4601.2"/>
  </r>
  <r>
    <x v="19"/>
    <x v="5"/>
    <x v="0"/>
    <s v="3005106"/>
    <n v="400020"/>
    <s v="O/P Care Svcs Rev--BCBS Comm"/>
    <s v="Telemetry"/>
    <x v="0"/>
    <n v="1301"/>
    <n v="-12451.18"/>
    <n v="-8669.36"/>
    <n v="-18961.03"/>
    <n v="-16340.12"/>
    <n v="-23908.55"/>
    <n v="-16371.46"/>
    <n v="-36112.85"/>
    <n v="-12944.22"/>
    <n v="-24839.22"/>
    <n v="-15313.72"/>
    <n v="-30107.42"/>
    <n v="-14077.94"/>
    <n v="-230097.07"/>
    <n v="-16029.479999999998"/>
  </r>
  <r>
    <x v="19"/>
    <x v="5"/>
    <x v="0"/>
    <s v="3005106"/>
    <n v="400020"/>
    <s v="O/P Care Svcs Rev--Managed Care"/>
    <s v="Telemetry"/>
    <x v="0"/>
    <n v="1400"/>
    <n v="-36043.15"/>
    <n v="-58034.39"/>
    <n v="-27289.67"/>
    <n v="-12914.61"/>
    <n v="-40714.47"/>
    <n v="-43538.7"/>
    <n v="-18391.13"/>
    <n v="-40969.800000000003"/>
    <n v="-54145.84"/>
    <n v="-46104.160000000003"/>
    <n v="-29742.67"/>
    <n v="-34744.519999999997"/>
    <n v="-442633.11000000004"/>
    <n v="5001.8499999999985"/>
  </r>
  <r>
    <x v="19"/>
    <x v="5"/>
    <x v="0"/>
    <s v="3005106"/>
    <n v="400020"/>
    <s v="O/P Care Svcs Rev--Self Pay"/>
    <s v="Telemetry"/>
    <x v="0"/>
    <n v="1500"/>
    <n v="-26945.78"/>
    <n v="-7169.41"/>
    <n v="-10070.61"/>
    <n v="-11365.51"/>
    <n v="-11826.9"/>
    <n v="-14964.93"/>
    <n v="-660.65"/>
    <n v="-9504.84"/>
    <n v="-8752.4"/>
    <n v="340.24"/>
    <n v="-17142.78"/>
    <n v="-5715.36"/>
    <n v="-123778.93"/>
    <n v="-11427.419999999998"/>
  </r>
  <r>
    <x v="19"/>
    <x v="5"/>
    <x v="0"/>
    <s v="3005106"/>
    <n v="400020"/>
    <s v="O/P Care Svcs Rev--Other"/>
    <s v="Telemetry"/>
    <x v="0"/>
    <n v="1700"/>
    <n v="-4426.37"/>
    <n v="-9827.77"/>
    <n v="-8443.27"/>
    <n v="-4808.7"/>
    <n v="-1585.56"/>
    <n v="-28698.6"/>
    <n v="-17150.84"/>
    <n v="-23265.42"/>
    <n v="6479.83"/>
    <n v="-5744.72"/>
    <n v="-3158.06"/>
    <n v="0"/>
    <n v="-100629.48"/>
    <n v="-3158.06"/>
  </r>
  <r>
    <x v="5"/>
    <x v="5"/>
    <x v="0"/>
    <s v="3005106"/>
    <n v="700014"/>
    <s v="Salaries-Management-Productive"/>
    <s v="Telemetry"/>
    <x v="0"/>
    <m/>
    <n v="6093.33"/>
    <n v="10559.64"/>
    <n v="7784.49"/>
    <n v="9290.3799999999992"/>
    <n v="11986.12"/>
    <n v="8621.98"/>
    <n v="9390.44"/>
    <n v="8733.0400000000009"/>
    <n v="10177.68"/>
    <n v="7485.31"/>
    <n v="11162.49"/>
    <n v="4957.78"/>
    <n v="106242.68000000001"/>
    <n v="6204.71"/>
  </r>
  <r>
    <x v="5"/>
    <x v="5"/>
    <x v="0"/>
    <s v="3005106"/>
    <n v="700014"/>
    <s v="Salaries-Management-OT"/>
    <s v="Telemetry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3005106"/>
    <n v="700014"/>
    <s v="Salaries-Management-Other"/>
    <s v="Telemetry"/>
    <x v="0"/>
    <n v="2000"/>
    <n v="0"/>
    <n v="0"/>
    <n v="0"/>
    <n v="0"/>
    <n v="0"/>
    <n v="-245.63"/>
    <n v="0"/>
    <n v="0"/>
    <n v="0"/>
    <n v="0"/>
    <n v="0"/>
    <n v="0"/>
    <n v="-245.63"/>
    <n v="0"/>
  </r>
  <r>
    <x v="5"/>
    <x v="5"/>
    <x v="0"/>
    <s v="3005106"/>
    <n v="700026"/>
    <s v="Salaries-RN-Productive"/>
    <s v="Telemetry"/>
    <x v="0"/>
    <m/>
    <n v="228338.54"/>
    <n v="233401.37"/>
    <n v="235695.54"/>
    <n v="254744.99"/>
    <n v="233762.93"/>
    <n v="240154.19"/>
    <n v="253596.39"/>
    <n v="231572.51"/>
    <n v="262167.37"/>
    <n v="234250.04"/>
    <n v="249867.4"/>
    <n v="227032.49"/>
    <n v="2884583.76"/>
    <n v="22834.910000000003"/>
  </r>
  <r>
    <x v="5"/>
    <x v="5"/>
    <x v="0"/>
    <s v="3005106"/>
    <n v="700026"/>
    <s v="Salaries-RN-OT"/>
    <s v="Telemetry"/>
    <x v="0"/>
    <n v="1000"/>
    <n v="3682.32"/>
    <n v="5882.24"/>
    <n v="4304.0200000000004"/>
    <n v="4574.6499999999996"/>
    <n v="3437.94"/>
    <n v="8590.09"/>
    <n v="6476.33"/>
    <n v="8167.2"/>
    <n v="5956.45"/>
    <n v="7722.1"/>
    <n v="3119.74"/>
    <n v="9807.5300000000007"/>
    <n v="71720.609999999986"/>
    <n v="-6687.7900000000009"/>
  </r>
  <r>
    <x v="5"/>
    <x v="5"/>
    <x v="0"/>
    <s v="3005106"/>
    <n v="700026"/>
    <s v="Salaries-RN-Other"/>
    <s v="Telemetry"/>
    <x v="0"/>
    <n v="2000"/>
    <n v="22458.15"/>
    <n v="23278.89"/>
    <n v="24291.38"/>
    <n v="25179.75"/>
    <n v="24694.58"/>
    <n v="23460.33"/>
    <n v="24927.23"/>
    <n v="23800.15"/>
    <n v="28145.200000000001"/>
    <n v="22189.67"/>
    <n v="25749.67"/>
    <n v="22427.37"/>
    <n v="290602.37"/>
    <n v="3322.2999999999993"/>
  </r>
  <r>
    <x v="5"/>
    <x v="5"/>
    <x v="0"/>
    <s v="3005106"/>
    <n v="700032"/>
    <s v="Salaries-Other Pat Care Providers-Productive"/>
    <s v="Telemetry"/>
    <x v="0"/>
    <m/>
    <n v="76435.350000000006"/>
    <n v="86525.34"/>
    <n v="74807.240000000005"/>
    <n v="92212.17"/>
    <n v="80976.47"/>
    <n v="93922.79"/>
    <n v="79780.09"/>
    <n v="75218.41"/>
    <n v="100849.22"/>
    <n v="83899.9"/>
    <n v="94590.32"/>
    <n v="81941.08"/>
    <n v="1021158.38"/>
    <n v="12649.240000000005"/>
  </r>
  <r>
    <x v="5"/>
    <x v="5"/>
    <x v="0"/>
    <s v="3005106"/>
    <n v="700032"/>
    <s v="Salaries-Other Pat Care Providers-OT"/>
    <s v="Telemetry"/>
    <x v="0"/>
    <n v="1000"/>
    <n v="1501.03"/>
    <n v="579.64"/>
    <n v="762.24"/>
    <n v="2243.7600000000002"/>
    <n v="-468.45"/>
    <n v="2224.0500000000002"/>
    <n v="933.89"/>
    <n v="868.08"/>
    <n v="1364.49"/>
    <n v="1470.88"/>
    <n v="827.28"/>
    <n v="2171.54"/>
    <n v="14478.43"/>
    <n v="-1344.26"/>
  </r>
  <r>
    <x v="5"/>
    <x v="5"/>
    <x v="0"/>
    <s v="3005106"/>
    <n v="700032"/>
    <s v="Salaries-Other Pat Care Providers-Other"/>
    <s v="Telemetry"/>
    <x v="0"/>
    <n v="2000"/>
    <n v="4530.43"/>
    <n v="5256.58"/>
    <n v="4720.42"/>
    <n v="5579.15"/>
    <n v="4631.92"/>
    <n v="6024.47"/>
    <n v="4153.55"/>
    <n v="3874.46"/>
    <n v="5461.9"/>
    <n v="4707.25"/>
    <n v="5639.83"/>
    <n v="5238.24"/>
    <n v="59818.200000000004"/>
    <n v="401.59000000000015"/>
  </r>
  <r>
    <x v="5"/>
    <x v="5"/>
    <x v="0"/>
    <s v="3005106"/>
    <n v="700038"/>
    <s v="Salaries-Service/Support-Productive"/>
    <s v="Telemetry"/>
    <x v="0"/>
    <m/>
    <n v="195.43"/>
    <n v="-34.47"/>
    <n v="0"/>
    <n v="0"/>
    <n v="0"/>
    <n v="0"/>
    <n v="0"/>
    <n v="0"/>
    <n v="0"/>
    <n v="0"/>
    <n v="138.63999999999999"/>
    <n v="0"/>
    <n v="299.60000000000002"/>
    <n v="138.63999999999999"/>
  </r>
  <r>
    <x v="5"/>
    <x v="5"/>
    <x v="0"/>
    <s v="3005106"/>
    <n v="700038"/>
    <s v="Salaries-Service/Support-OT"/>
    <s v="Telemetry"/>
    <x v="0"/>
    <n v="1000"/>
    <n v="0"/>
    <n v="0"/>
    <n v="0"/>
    <n v="0"/>
    <n v="0"/>
    <n v="0"/>
    <n v="0"/>
    <n v="0"/>
    <n v="0"/>
    <n v="0"/>
    <n v="6.75"/>
    <n v="0"/>
    <n v="6.75"/>
    <n v="6.75"/>
  </r>
  <r>
    <x v="5"/>
    <x v="5"/>
    <x v="0"/>
    <s v="3005106"/>
    <n v="700038"/>
    <s v="Salaries-Service/Support-Other"/>
    <s v="Telemetry"/>
    <x v="0"/>
    <n v="2000"/>
    <n v="11.28"/>
    <n v="-1.98"/>
    <n v="0"/>
    <n v="0"/>
    <n v="0"/>
    <n v="0"/>
    <n v="0"/>
    <n v="0"/>
    <n v="0"/>
    <n v="0"/>
    <n v="14.28"/>
    <n v="0"/>
    <n v="23.58"/>
    <n v="14.28"/>
  </r>
  <r>
    <x v="5"/>
    <x v="5"/>
    <x v="0"/>
    <s v="3005106"/>
    <n v="700054"/>
    <s v="Salaries-Management-Non-productive"/>
    <s v="Telemetry"/>
    <x v="0"/>
    <m/>
    <n v="3796.17"/>
    <n v="-669.69"/>
    <n v="1786.56"/>
    <n v="819.56"/>
    <n v="524.5"/>
    <n v="1540.77"/>
    <n v="788.2"/>
    <n v="459.64"/>
    <n v="0"/>
    <n v="2363.71"/>
    <n v="-984.8"/>
    <n v="4891.7"/>
    <n v="15316.320000000003"/>
    <n v="-5876.5"/>
  </r>
  <r>
    <x v="5"/>
    <x v="5"/>
    <x v="0"/>
    <s v="3005106"/>
    <n v="700054"/>
    <s v="Salaries-Management-NonProd-Other"/>
    <s v="Telemetry"/>
    <x v="0"/>
    <n v="2000"/>
    <n v="0"/>
    <n v="0"/>
    <n v="0"/>
    <n v="0"/>
    <n v="0"/>
    <n v="162.32"/>
    <n v="-162.32"/>
    <n v="0"/>
    <n v="0"/>
    <n v="0"/>
    <n v="0"/>
    <n v="0"/>
    <n v="0"/>
    <n v="0"/>
  </r>
  <r>
    <x v="5"/>
    <x v="5"/>
    <x v="0"/>
    <s v="3005106"/>
    <n v="700066"/>
    <s v="Salaries-RN-Non-productive"/>
    <s v="Telemetry"/>
    <x v="0"/>
    <m/>
    <n v="48595.24"/>
    <n v="40476.720000000001"/>
    <n v="32412.639999999999"/>
    <n v="29592.7"/>
    <n v="40213.269999999997"/>
    <n v="34083.68"/>
    <n v="27104.77"/>
    <n v="18766.830000000002"/>
    <n v="32999.17"/>
    <n v="29267.55"/>
    <n v="38256.04"/>
    <n v="35932.639999999999"/>
    <n v="407701.24999999994"/>
    <n v="2323.4000000000015"/>
  </r>
  <r>
    <x v="5"/>
    <x v="5"/>
    <x v="0"/>
    <s v="3005106"/>
    <n v="700066"/>
    <s v="Salaries-RN-NonProd-Other"/>
    <s v="Telemetry"/>
    <x v="0"/>
    <n v="2000"/>
    <n v="3046.06"/>
    <n v="2577.6799999999998"/>
    <n v="1649.31"/>
    <n v="2319.56"/>
    <n v="3965.36"/>
    <n v="3589.71"/>
    <n v="1340.89"/>
    <n v="-772.46"/>
    <n v="1400.71"/>
    <n v="1551.69"/>
    <n v="1699.13"/>
    <n v="2468.2399999999998"/>
    <n v="24835.879999999997"/>
    <n v="-769.10999999999967"/>
  </r>
  <r>
    <x v="5"/>
    <x v="5"/>
    <x v="0"/>
    <s v="3005106"/>
    <n v="700072"/>
    <s v="Salaries-Other Pat Care Providers-Non-productive"/>
    <s v="Telemetry"/>
    <x v="0"/>
    <m/>
    <n v="13394.85"/>
    <n v="11791.73"/>
    <n v="17470.810000000001"/>
    <n v="6169.32"/>
    <n v="12674.32"/>
    <n v="10038.31"/>
    <n v="6640.88"/>
    <n v="13530.02"/>
    <n v="16714.13"/>
    <n v="11034.66"/>
    <n v="15506.39"/>
    <n v="15016.81"/>
    <n v="149982.23000000001"/>
    <n v="489.57999999999993"/>
  </r>
  <r>
    <x v="5"/>
    <x v="5"/>
    <x v="0"/>
    <s v="3005106"/>
    <n v="700072"/>
    <s v="Salaries-Other Pat Care Providers-NonProd-Other"/>
    <s v="Telemetry"/>
    <x v="0"/>
    <n v="2000"/>
    <n v="554.91"/>
    <n v="386.04"/>
    <n v="961.75"/>
    <n v="254.21"/>
    <n v="970.5"/>
    <n v="958.5"/>
    <n v="269.35000000000002"/>
    <n v="-182.79"/>
    <n v="639.92999999999995"/>
    <n v="339.99"/>
    <n v="652.91"/>
    <n v="524.03"/>
    <n v="6329.33"/>
    <n v="128.88"/>
  </r>
  <r>
    <x v="5"/>
    <x v="5"/>
    <x v="0"/>
    <s v="3005106"/>
    <n v="700084"/>
    <s v="Accrued PTO"/>
    <s v="Telemetry"/>
    <x v="0"/>
    <m/>
    <n v="-12638.81"/>
    <n v="-13506.97"/>
    <n v="-10081.56"/>
    <n v="5818.39"/>
    <n v="-4186.58"/>
    <n v="1613.29"/>
    <n v="5505.43"/>
    <n v="8725.0499999999993"/>
    <n v="3894.06"/>
    <n v="-4290.7700000000004"/>
    <n v="-4981.82"/>
    <n v="-4952.25"/>
    <n v="-29082.54"/>
    <n v="-29.569999999999709"/>
  </r>
  <r>
    <x v="10"/>
    <x v="5"/>
    <x v="0"/>
    <s v="3005106"/>
    <n v="710060"/>
    <s v="Contract Labor-Other"/>
    <s v="Telemetry"/>
    <x v="0"/>
    <m/>
    <n v="30384.880000000001"/>
    <n v="25756.14"/>
    <n v="20221.25"/>
    <n v="2556"/>
    <n v="5580.5"/>
    <n v="31137.06"/>
    <n v="33034.25"/>
    <n v="24556.61"/>
    <n v="5713.83"/>
    <n v="19105.13"/>
    <n v="40576.93"/>
    <n v="36500"/>
    <n v="275122.57999999996"/>
    <n v="4076.9300000000003"/>
  </r>
  <r>
    <x v="10"/>
    <x v="5"/>
    <x v="0"/>
    <s v="3005106"/>
    <n v="710060"/>
    <s v="Contract Labor-Overtime"/>
    <s v="Telemetry"/>
    <x v="0"/>
    <n v="5100"/>
    <n v="766.8"/>
    <n v="383.4"/>
    <n v="1150.2"/>
    <n v="0"/>
    <n v="0"/>
    <n v="1919"/>
    <n v="4719.3999999999996"/>
    <n v="766.8"/>
    <n v="0"/>
    <n v="0"/>
    <n v="3128.96"/>
    <n v="7588.36"/>
    <n v="20422.919999999998"/>
    <n v="-4459.3999999999996"/>
  </r>
  <r>
    <x v="10"/>
    <x v="5"/>
    <x v="0"/>
    <s v="3005106"/>
    <n v="710060"/>
    <s v="Contract Labor-Standby Wages"/>
    <s v="Telemetry"/>
    <x v="0"/>
    <n v="5101"/>
    <n v="671.4"/>
    <n v="-383.4"/>
    <n v="0"/>
    <n v="0"/>
    <n v="0"/>
    <n v="0"/>
    <n v="0"/>
    <n v="0"/>
    <n v="0"/>
    <n v="0"/>
    <n v="96"/>
    <n v="0"/>
    <n v="384"/>
    <n v="96"/>
  </r>
  <r>
    <x v="6"/>
    <x v="5"/>
    <x v="0"/>
    <s v="3005106"/>
    <n v="713010"/>
    <s v="Benefits-FICA/Medicare"/>
    <s v="Telemetry"/>
    <x v="0"/>
    <m/>
    <n v="30759.21"/>
    <n v="31274.5"/>
    <n v="30282.62"/>
    <n v="33138.400000000001"/>
    <n v="31360.58"/>
    <n v="33125.61"/>
    <n v="31053.85"/>
    <n v="29034.65"/>
    <n v="34930.65"/>
    <n v="30281.83"/>
    <n v="33349.83"/>
    <n v="30789.98"/>
    <n v="379381.71"/>
    <n v="2559.8500000000022"/>
  </r>
  <r>
    <x v="6"/>
    <x v="5"/>
    <x v="0"/>
    <s v="3005106"/>
    <n v="713090"/>
    <s v="Benefits-Allocated Amounts"/>
    <s v="Telemetry"/>
    <x v="0"/>
    <m/>
    <n v="91747.82"/>
    <n v="93731.61"/>
    <n v="88561.25"/>
    <n v="93454.54"/>
    <n v="94904.81"/>
    <n v="95179.8"/>
    <n v="91185.73"/>
    <n v="88571.62"/>
    <n v="100221.22"/>
    <n v="92040.73"/>
    <n v="97957.09"/>
    <n v="89809.36"/>
    <n v="1117365.5799999998"/>
    <n v="8147.7299999999959"/>
  </r>
  <r>
    <x v="17"/>
    <x v="5"/>
    <x v="0"/>
    <s v="3005106"/>
    <n v="714520"/>
    <s v="Other Contracted Professionals"/>
    <s v="Telemetry"/>
    <x v="0"/>
    <m/>
    <n v="0"/>
    <n v="0"/>
    <n v="0"/>
    <n v="0"/>
    <n v="0"/>
    <n v="25002"/>
    <n v="2083.5"/>
    <n v="2083.5"/>
    <n v="2083.5"/>
    <n v="2083.5"/>
    <n v="2083.5"/>
    <n v="2083.5"/>
    <n v="37503"/>
    <n v="0"/>
  </r>
  <r>
    <x v="17"/>
    <x v="5"/>
    <x v="0"/>
    <s v="3005106"/>
    <n v="714530"/>
    <s v="Medical Prof Fees-Intracompany"/>
    <s v="Telemetry"/>
    <x v="0"/>
    <m/>
    <n v="1437.12"/>
    <n v="39.04"/>
    <n v="2254.5500000000002"/>
    <n v="5887.76"/>
    <n v="6891.9"/>
    <n v="6936.93"/>
    <n v="8487.5400000000009"/>
    <n v="-24364.91"/>
    <n v="9851.1"/>
    <n v="1772.92"/>
    <n v="747.15"/>
    <n v="1374.11"/>
    <n v="21315.210000000006"/>
    <n v="-626.95999999999992"/>
  </r>
  <r>
    <x v="7"/>
    <x v="5"/>
    <x v="0"/>
    <s v="3005106"/>
    <n v="718050"/>
    <s v="Contract Svcs-Other"/>
    <s v="Telemetry"/>
    <x v="0"/>
    <m/>
    <n v="551.74"/>
    <n v="0"/>
    <n v="0"/>
    <n v="0"/>
    <n v="0"/>
    <n v="0"/>
    <n v="0"/>
    <n v="0"/>
    <n v="0"/>
    <n v="0"/>
    <n v="0"/>
    <n v="0"/>
    <n v="551.74"/>
    <n v="0"/>
  </r>
  <r>
    <x v="7"/>
    <x v="5"/>
    <x v="0"/>
    <s v="3005106"/>
    <n v="718050"/>
    <s v="Miscellaneous Purchased Svcs"/>
    <s v="Telemetry"/>
    <x v="0"/>
    <n v="1020"/>
    <n v="0"/>
    <n v="0"/>
    <n v="0"/>
    <n v="0"/>
    <n v="0"/>
    <n v="39.4"/>
    <n v="0"/>
    <n v="0"/>
    <n v="0"/>
    <n v="0"/>
    <n v="0"/>
    <n v="0"/>
    <n v="39.4"/>
    <n v="0"/>
  </r>
  <r>
    <x v="7"/>
    <x v="5"/>
    <x v="0"/>
    <s v="3005106"/>
    <n v="718050"/>
    <s v="Translation Services"/>
    <s v="Telemetry"/>
    <x v="0"/>
    <n v="1025"/>
    <n v="8.1"/>
    <n v="0"/>
    <n v="260.01"/>
    <n v="9.48"/>
    <n v="0"/>
    <n v="0"/>
    <n v="158.79"/>
    <n v="0"/>
    <n v="15.8"/>
    <n v="4.74"/>
    <n v="561.69000000000005"/>
    <n v="336.54"/>
    <n v="1355.15"/>
    <n v="225.15000000000003"/>
  </r>
  <r>
    <x v="7"/>
    <x v="5"/>
    <x v="0"/>
    <s v="3005106"/>
    <n v="718050"/>
    <s v="Contract Management--Linen"/>
    <s v="Telemetry"/>
    <x v="0"/>
    <n v="1026"/>
    <n v="7600.79"/>
    <n v="4419.78"/>
    <n v="5750.84"/>
    <n v="4450.97"/>
    <n v="6636.42"/>
    <n v="6378.13"/>
    <n v="6373.33"/>
    <n v="7779.78"/>
    <n v="5832.93"/>
    <n v="6968.13"/>
    <n v="5969.78"/>
    <n v="7678.14"/>
    <n v="75839.02"/>
    <n v="-1708.3600000000006"/>
  </r>
  <r>
    <x v="7"/>
    <x v="5"/>
    <x v="0"/>
    <s v="3005106"/>
    <n v="718050"/>
    <s v="Purchased Srvcs--Medical Waste"/>
    <s v="Telemetry"/>
    <x v="0"/>
    <n v="1027"/>
    <n v="0"/>
    <n v="0"/>
    <n v="216.49"/>
    <n v="0"/>
    <n v="0"/>
    <n v="0"/>
    <n v="0"/>
    <n v="0"/>
    <n v="434.23"/>
    <n v="120.99"/>
    <n v="55.65"/>
    <n v="0"/>
    <n v="827.36"/>
    <n v="55.65"/>
  </r>
  <r>
    <x v="11"/>
    <x v="5"/>
    <x v="0"/>
    <s v="3005106"/>
    <n v="721010"/>
    <s v="Supplies-Medical - Billable"/>
    <s v="Telemetry"/>
    <x v="0"/>
    <m/>
    <n v="3006.19"/>
    <n v="4412.41"/>
    <n v="3639.62"/>
    <n v="4667.58"/>
    <n v="4332.57"/>
    <n v="5431.83"/>
    <n v="4942.67"/>
    <n v="5381.62"/>
    <n v="5775.28"/>
    <n v="5326.78"/>
    <n v="6526.33"/>
    <n v="5275.15"/>
    <n v="58718.030000000006"/>
    <n v="1251.1800000000003"/>
  </r>
  <r>
    <x v="11"/>
    <x v="5"/>
    <x v="0"/>
    <s v="3005106"/>
    <n v="721010"/>
    <s v="Patient Monitoring"/>
    <s v="Telemetry"/>
    <x v="0"/>
    <n v="1000"/>
    <n v="246.69"/>
    <n v="394.05"/>
    <n v="403.42"/>
    <n v="511.46"/>
    <n v="981.13"/>
    <n v="378.83"/>
    <n v="339.19"/>
    <n v="382.74"/>
    <n v="435.27"/>
    <n v="342.93"/>
    <n v="370.46"/>
    <n v="402.1"/>
    <n v="5188.2700000000004"/>
    <n v="-31.640000000000043"/>
  </r>
  <r>
    <x v="11"/>
    <x v="5"/>
    <x v="0"/>
    <s v="3005106"/>
    <n v="721020"/>
    <s v="Supplies-Surgical - Billable"/>
    <s v="Telemetry"/>
    <x v="0"/>
    <m/>
    <n v="720.85"/>
    <n v="566.75"/>
    <n v="423.75"/>
    <n v="722.13"/>
    <n v="342.42"/>
    <n v="632.04999999999995"/>
    <n v="492.93"/>
    <n v="598.6"/>
    <n v="1248.8900000000001"/>
    <n v="677.64"/>
    <n v="688.59"/>
    <n v="708.05"/>
    <n v="7822.6500000000005"/>
    <n v="-19.459999999999923"/>
  </r>
  <r>
    <x v="11"/>
    <x v="5"/>
    <x v="0"/>
    <s v="3005106"/>
    <n v="721020"/>
    <s v="Custom Packs"/>
    <s v="Telemetry"/>
    <x v="0"/>
    <n v="1000"/>
    <n v="0"/>
    <n v="0"/>
    <n v="0"/>
    <n v="13.24"/>
    <n v="66.239999999999995"/>
    <n v="52.96"/>
    <n v="172.12"/>
    <n v="132.4"/>
    <n v="79.44"/>
    <n v="26.48"/>
    <n v="92.68"/>
    <n v="39.72"/>
    <n v="675.2800000000002"/>
    <n v="52.960000000000008"/>
  </r>
  <r>
    <x v="11"/>
    <x v="5"/>
    <x v="0"/>
    <s v="3005106"/>
    <n v="721020"/>
    <s v="Urological Supplies"/>
    <s v="Telemetry"/>
    <x v="0"/>
    <n v="1006"/>
    <n v="29.76"/>
    <n v="-4346.3999999999996"/>
    <n v="50.88"/>
    <n v="161.76"/>
    <n v="77.760000000000005"/>
    <n v="147.33000000000001"/>
    <n v="64.319999999999993"/>
    <n v="139.19999999999999"/>
    <n v="104.16"/>
    <n v="89.76"/>
    <n v="122.88"/>
    <n v="108"/>
    <n v="-3250.5899999999988"/>
    <n v="14.879999999999995"/>
  </r>
  <r>
    <x v="11"/>
    <x v="5"/>
    <x v="0"/>
    <s v="3005106"/>
    <n v="721020"/>
    <s v="Tubes Drains &amp; Related Supplies"/>
    <s v="Telemetry"/>
    <x v="0"/>
    <n v="1008"/>
    <n v="0"/>
    <n v="0"/>
    <n v="80.66"/>
    <n v="2.0299999999999998"/>
    <n v="2.52"/>
    <n v="0"/>
    <n v="0"/>
    <n v="4.2"/>
    <n v="2.52"/>
    <n v="3.36"/>
    <n v="4.71"/>
    <n v="1.68"/>
    <n v="101.67999999999999"/>
    <n v="3.0300000000000002"/>
  </r>
  <r>
    <x v="11"/>
    <x v="5"/>
    <x v="0"/>
    <s v="3005106"/>
    <n v="721050"/>
    <s v="Supplies-Cardiac Rhythm - Billable"/>
    <s v="Telemetry"/>
    <x v="0"/>
    <m/>
    <n v="100"/>
    <n v="0"/>
    <n v="62.5"/>
    <n v="200"/>
    <n v="0"/>
    <n v="50"/>
    <n v="0"/>
    <n v="62.5"/>
    <n v="0"/>
    <n v="75"/>
    <n v="100"/>
    <n v="50"/>
    <n v="700"/>
    <n v="50"/>
  </r>
  <r>
    <x v="11"/>
    <x v="5"/>
    <x v="0"/>
    <s v="3005106"/>
    <n v="721240"/>
    <s v="Supplies-IV Solutions/Supplies - Billable"/>
    <s v="Telemetry"/>
    <x v="0"/>
    <m/>
    <n v="1843.86"/>
    <n v="3271.11"/>
    <n v="2914.97"/>
    <n v="2793.38"/>
    <n v="2969.86"/>
    <n v="3007.71"/>
    <n v="2436"/>
    <n v="2999.2"/>
    <n v="2712.67"/>
    <n v="2496.62"/>
    <n v="2611.77"/>
    <n v="2916.93"/>
    <n v="32974.080000000002"/>
    <n v="-305.15999999999985"/>
  </r>
  <r>
    <x v="11"/>
    <x v="5"/>
    <x v="0"/>
    <s v="3005106"/>
    <n v="721350"/>
    <s v="Radiology Imaging - Contrast Media"/>
    <s v="Telemetry"/>
    <x v="0"/>
    <n v="1000"/>
    <n v="0"/>
    <n v="2.2599999999999998"/>
    <n v="3.54"/>
    <n v="3.54"/>
    <n v="4.72"/>
    <n v="3.54"/>
    <n v="0"/>
    <n v="2.36"/>
    <n v="4.5199999999999996"/>
    <n v="0"/>
    <n v="4.5199999999999996"/>
    <n v="0"/>
    <n v="28.999999999999996"/>
    <n v="4.5199999999999996"/>
  </r>
  <r>
    <x v="11"/>
    <x v="5"/>
    <x v="0"/>
    <s v="3005106"/>
    <n v="721410"/>
    <s v="Supplies-Medical - Nonbillable"/>
    <s v="Telemetry"/>
    <x v="0"/>
    <m/>
    <n v="10249.19"/>
    <n v="11839.32"/>
    <n v="10409.34"/>
    <n v="10943.95"/>
    <n v="9839.58"/>
    <n v="11218.8"/>
    <n v="11043.67"/>
    <n v="9849.31"/>
    <n v="11811.42"/>
    <n v="7653.23"/>
    <n v="10039.219999999999"/>
    <n v="9422.9500000000007"/>
    <n v="124319.98"/>
    <n v="616.26999999999862"/>
  </r>
  <r>
    <x v="11"/>
    <x v="5"/>
    <x v="0"/>
    <s v="3005106"/>
    <n v="721420"/>
    <s v="Supplies-Surgical Nonbillable"/>
    <s v="Telemetry"/>
    <x v="0"/>
    <m/>
    <n v="20.75"/>
    <n v="64.260000000000005"/>
    <n v="45.39"/>
    <n v="38.340000000000003"/>
    <n v="103.47"/>
    <n v="35.31"/>
    <n v="36.19"/>
    <n v="69.58"/>
    <n v="60.65"/>
    <n v="40.549999999999997"/>
    <n v="59.93"/>
    <n v="27.3"/>
    <n v="601.71999999999991"/>
    <n v="32.629999999999995"/>
  </r>
  <r>
    <x v="11"/>
    <x v="5"/>
    <x v="0"/>
    <s v="3005106"/>
    <n v="721420"/>
    <s v="Tubes Drains &amp; Related Supplies"/>
    <s v="Telemetry"/>
    <x v="0"/>
    <n v="1008"/>
    <n v="9.81"/>
    <n v="6.88"/>
    <n v="28.91"/>
    <n v="12.21"/>
    <n v="23.31"/>
    <n v="6.88"/>
    <n v="1.34"/>
    <n v="47.05"/>
    <n v="0"/>
    <n v="25.36"/>
    <n v="67.739999999999995"/>
    <n v="39.89"/>
    <n v="269.38"/>
    <n v="27.849999999999994"/>
  </r>
  <r>
    <x v="11"/>
    <x v="5"/>
    <x v="0"/>
    <s v="3005106"/>
    <n v="721420"/>
    <s v="Sterilization Process Products"/>
    <s v="Telemetry"/>
    <x v="0"/>
    <n v="1009"/>
    <n v="0"/>
    <n v="0"/>
    <n v="0"/>
    <n v="-0.71"/>
    <n v="0"/>
    <n v="0.71"/>
    <n v="0"/>
    <n v="0"/>
    <n v="0"/>
    <n v="0"/>
    <n v="0"/>
    <n v="0"/>
    <n v="0"/>
    <n v="0"/>
  </r>
  <r>
    <x v="11"/>
    <x v="5"/>
    <x v="0"/>
    <s v="3005106"/>
    <n v="721610"/>
    <s v="Supplies-Anesthesia - Nonbillable"/>
    <s v="Telemetry"/>
    <x v="0"/>
    <m/>
    <n v="131.09"/>
    <n v="132.44"/>
    <n v="205.67"/>
    <n v="115.89"/>
    <n v="144.43"/>
    <n v="168.33"/>
    <n v="116.65"/>
    <n v="446.09"/>
    <n v="182.63"/>
    <n v="779.4"/>
    <n v="350.45"/>
    <n v="136.04"/>
    <n v="2909.1099999999997"/>
    <n v="214.41"/>
  </r>
  <r>
    <x v="11"/>
    <x v="5"/>
    <x v="0"/>
    <s v="3005106"/>
    <n v="721640"/>
    <s v="Supplies-IV Solutions/Supplies - Nonbillable"/>
    <s v="Telemetry"/>
    <x v="0"/>
    <m/>
    <n v="2740.36"/>
    <n v="2231.6999999999998"/>
    <n v="2526.33"/>
    <n v="2657.69"/>
    <n v="2197.5100000000002"/>
    <n v="2438.67"/>
    <n v="2662.49"/>
    <n v="2387.77"/>
    <n v="1936.89"/>
    <n v="2290.7199999999998"/>
    <n v="2722.62"/>
    <n v="2798.89"/>
    <n v="29591.64"/>
    <n v="-76.269999999999982"/>
  </r>
  <r>
    <x v="11"/>
    <x v="5"/>
    <x v="0"/>
    <s v="3005106"/>
    <n v="721650"/>
    <s v="Supplies-Pharmacy Drugs - Nonbillable"/>
    <s v="Telemetry"/>
    <x v="0"/>
    <m/>
    <n v="66.239999999999995"/>
    <n v="191.32"/>
    <n v="125.81"/>
    <n v="201.65"/>
    <n v="200.88"/>
    <n v="148.01"/>
    <n v="163.06"/>
    <n v="179.51"/>
    <n v="260.93"/>
    <n v="220.32"/>
    <n v="208.15"/>
    <n v="248.36"/>
    <n v="2214.2400000000002"/>
    <n v="-40.210000000000008"/>
  </r>
  <r>
    <x v="11"/>
    <x v="5"/>
    <x v="0"/>
    <s v="3005106"/>
    <n v="721710"/>
    <s v="Supplies-Laboratory - Nonbillable"/>
    <s v="Telemetry"/>
    <x v="0"/>
    <m/>
    <n v="331.99"/>
    <n v="230.71"/>
    <n v="277.11"/>
    <n v="199.75"/>
    <n v="264.44"/>
    <n v="364.28"/>
    <n v="215.26"/>
    <n v="210.01"/>
    <n v="199.97"/>
    <n v="279.61"/>
    <n v="355.04"/>
    <n v="320.58999999999997"/>
    <n v="3248.76"/>
    <n v="34.450000000000045"/>
  </r>
  <r>
    <x v="11"/>
    <x v="5"/>
    <x v="0"/>
    <s v="3005106"/>
    <n v="721750"/>
    <s v="Supplies-Film/Radiographic - Nonbillable"/>
    <s v="Telemetry"/>
    <x v="0"/>
    <m/>
    <n v="3.74"/>
    <n v="8.42"/>
    <n v="2.81"/>
    <n v="3.75"/>
    <n v="1.87"/>
    <n v="5.61"/>
    <n v="3.74"/>
    <n v="2.81"/>
    <n v="7.49"/>
    <n v="4.68"/>
    <n v="0"/>
    <n v="3.74"/>
    <n v="48.660000000000004"/>
    <n v="-3.74"/>
  </r>
  <r>
    <x v="11"/>
    <x v="5"/>
    <x v="0"/>
    <s v="3005106"/>
    <n v="721810"/>
    <s v="Supplies-Dietary/Cafeteria"/>
    <s v="Telemetry"/>
    <x v="0"/>
    <m/>
    <n v="2199.77"/>
    <n v="1931.92"/>
    <n v="2384.85"/>
    <n v="2517.02"/>
    <n v="2045.75"/>
    <n v="1973.1"/>
    <n v="3065.78"/>
    <n v="2180.25"/>
    <n v="2641.39"/>
    <n v="3031.09"/>
    <n v="2557.21"/>
    <n v="2062.88"/>
    <n v="28591.010000000002"/>
    <n v="494.32999999999993"/>
  </r>
  <r>
    <x v="11"/>
    <x v="5"/>
    <x v="0"/>
    <s v="3005106"/>
    <n v="721830"/>
    <s v="Supplies-Office"/>
    <s v="Telemetry"/>
    <x v="0"/>
    <m/>
    <n v="951.71"/>
    <n v="625.72"/>
    <n v="924.25"/>
    <n v="1278.28"/>
    <n v="100.55"/>
    <n v="1444.45"/>
    <n v="807.87"/>
    <n v="834.52"/>
    <n v="107.6"/>
    <n v="2097.9899999999998"/>
    <n v="906.06"/>
    <n v="231.54"/>
    <n v="10310.540000000001"/>
    <n v="674.52"/>
  </r>
  <r>
    <x v="11"/>
    <x v="5"/>
    <x v="0"/>
    <s v="3005106"/>
    <n v="721835"/>
    <s v="Supplies-Forms"/>
    <s v="Telemetry"/>
    <x v="0"/>
    <m/>
    <n v="0"/>
    <n v="0"/>
    <n v="0"/>
    <n v="0"/>
    <n v="260.49"/>
    <n v="0"/>
    <n v="166.66"/>
    <n v="0"/>
    <n v="166.67"/>
    <n v="0"/>
    <n v="109.5"/>
    <n v="26.67"/>
    <n v="729.9899999999999"/>
    <n v="82.83"/>
  </r>
  <r>
    <x v="11"/>
    <x v="5"/>
    <x v="0"/>
    <s v="3005106"/>
    <n v="721870"/>
    <s v="Supplies-Environmental Services"/>
    <s v="Telemetry"/>
    <x v="0"/>
    <m/>
    <n v="602.73"/>
    <n v="590.71"/>
    <n v="551.63"/>
    <n v="707.42"/>
    <n v="586.16999999999996"/>
    <n v="711.52"/>
    <n v="674.94"/>
    <n v="417.01"/>
    <n v="683.89"/>
    <n v="1057.42"/>
    <n v="582.39"/>
    <n v="684.06"/>
    <n v="7849.8900000000012"/>
    <n v="-101.66999999999996"/>
  </r>
  <r>
    <x v="11"/>
    <x v="5"/>
    <x v="0"/>
    <s v="3005106"/>
    <n v="721880"/>
    <s v="Supplies-Linen"/>
    <s v="Telemetry"/>
    <x v="0"/>
    <m/>
    <n v="45.12"/>
    <n v="0"/>
    <n v="0"/>
    <n v="0"/>
    <n v="45.12"/>
    <n v="0"/>
    <n v="0"/>
    <n v="0"/>
    <n v="0"/>
    <n v="0"/>
    <n v="0"/>
    <n v="0"/>
    <n v="90.24"/>
    <n v="0"/>
  </r>
  <r>
    <x v="11"/>
    <x v="5"/>
    <x v="0"/>
    <s v="3005106"/>
    <n v="721910"/>
    <s v="Supplies-Small Equipment"/>
    <s v="Telemetry"/>
    <x v="0"/>
    <m/>
    <n v="2107.29"/>
    <n v="1410.32"/>
    <n v="3225.56"/>
    <n v="2221.9299999999998"/>
    <n v="1635.34"/>
    <n v="1309.48"/>
    <n v="2611.42"/>
    <n v="2135.91"/>
    <n v="1428.25"/>
    <n v="3007.7"/>
    <n v="2183.58"/>
    <n v="1292.79"/>
    <n v="24569.57"/>
    <n v="890.79"/>
  </r>
  <r>
    <x v="11"/>
    <x v="5"/>
    <x v="0"/>
    <s v="3005106"/>
    <n v="721910"/>
    <s v="Instruments"/>
    <s v="Telemetry"/>
    <x v="0"/>
    <n v="1000"/>
    <n v="4.3600000000000003"/>
    <n v="9.1999999999999993"/>
    <n v="11.63"/>
    <n v="214.88"/>
    <n v="12.48"/>
    <n v="6.24"/>
    <n v="29.84"/>
    <n v="15.57"/>
    <n v="467.13"/>
    <n v="11.39"/>
    <n v="13.73"/>
    <n v="9.1999999999999993"/>
    <n v="805.65"/>
    <n v="4.5300000000000011"/>
  </r>
  <r>
    <x v="11"/>
    <x v="5"/>
    <x v="0"/>
    <s v="3005106"/>
    <n v="721980"/>
    <s v="Supplies-Other"/>
    <s v="Telemetry"/>
    <x v="0"/>
    <m/>
    <n v="0"/>
    <n v="344"/>
    <n v="21.41"/>
    <n v="743.07"/>
    <n v="-1295"/>
    <n v="0"/>
    <n v="1295"/>
    <n v="566.20000000000005"/>
    <n v="0"/>
    <n v="0"/>
    <n v="0"/>
    <n v="0"/>
    <n v="1674.68"/>
    <n v="0"/>
  </r>
  <r>
    <x v="11"/>
    <x v="5"/>
    <x v="0"/>
    <s v="3005106"/>
    <n v="722000"/>
    <s v="Supplies-Freight Expense"/>
    <s v="Telemetry"/>
    <x v="0"/>
    <m/>
    <n v="0"/>
    <n v="0"/>
    <n v="0"/>
    <n v="0"/>
    <n v="0"/>
    <n v="8.02"/>
    <n v="8.11"/>
    <n v="9.89"/>
    <n v="0"/>
    <n v="0"/>
    <n v="0"/>
    <n v="1100.8800000000001"/>
    <n v="1126.9000000000001"/>
    <n v="-1100.8800000000001"/>
  </r>
  <r>
    <x v="12"/>
    <x v="5"/>
    <x v="0"/>
    <s v="3005106"/>
    <n v="730020"/>
    <s v="Rental and Leases-Equipment (DO NOT USE)"/>
    <s v="Telemetry"/>
    <x v="0"/>
    <m/>
    <n v="0"/>
    <n v="0"/>
    <n v="0"/>
    <n v="-477.35"/>
    <n v="0"/>
    <n v="0"/>
    <n v="0"/>
    <n v="0"/>
    <n v="0"/>
    <n v="0"/>
    <n v="0"/>
    <n v="0"/>
    <n v="-477.35"/>
    <n v="0"/>
  </r>
  <r>
    <x v="12"/>
    <x v="5"/>
    <x v="0"/>
    <s v="3005106"/>
    <n v="730020"/>
    <s v="Rental and Leases-Copier Usage Fees (DO NOT USE)"/>
    <s v="Telemetry"/>
    <x v="0"/>
    <n v="5100"/>
    <n v="617.13"/>
    <n v="626.77"/>
    <n v="621.95000000000005"/>
    <n v="621.95000000000005"/>
    <n v="621.95000000000005"/>
    <n v="621.95000000000005"/>
    <n v="-927.66"/>
    <n v="275.11"/>
    <n v="274.52999999999997"/>
    <n v="1131.8800000000001"/>
    <n v="452.39"/>
    <n v="404.74"/>
    <n v="5342.6900000000005"/>
    <n v="47.649999999999977"/>
  </r>
  <r>
    <x v="15"/>
    <x v="5"/>
    <x v="0"/>
    <s v="3005106"/>
    <n v="731060"/>
    <s v="Cell Phones"/>
    <s v="Telemetry"/>
    <x v="0"/>
    <n v="1001"/>
    <n v="0"/>
    <n v="586.27"/>
    <n v="25.86"/>
    <n v="0"/>
    <n v="29.78"/>
    <n v="10.82"/>
    <n v="62.93"/>
    <n v="0"/>
    <n v="31.96"/>
    <n v="63.42"/>
    <n v="31.09"/>
    <n v="31.7"/>
    <n v="873.83"/>
    <n v="-0.60999999999999943"/>
  </r>
  <r>
    <x v="15"/>
    <x v="5"/>
    <x v="0"/>
    <s v="3005106"/>
    <n v="731060"/>
    <s v="Pagers"/>
    <s v="Telemetry"/>
    <x v="0"/>
    <n v="1002"/>
    <n v="7.99"/>
    <n v="7.99"/>
    <n v="7.99"/>
    <n v="8.02"/>
    <n v="8.02"/>
    <n v="0"/>
    <n v="16.04"/>
    <n v="8.02"/>
    <n v="8.02"/>
    <n v="8.01"/>
    <n v="8.01"/>
    <n v="8.01"/>
    <n v="96.12"/>
    <n v="0"/>
  </r>
  <r>
    <x v="16"/>
    <x v="5"/>
    <x v="0"/>
    <s v="3005106"/>
    <n v="732030"/>
    <s v="Repairs---Other"/>
    <s v="Telemetry"/>
    <x v="0"/>
    <m/>
    <n v="0"/>
    <n v="1389.97"/>
    <n v="351.1"/>
    <n v="712.8"/>
    <n v="448.09"/>
    <n v="352.54"/>
    <n v="3654.2"/>
    <n v="379.51"/>
    <n v="0"/>
    <n v="379.51"/>
    <n v="0"/>
    <n v="372.74"/>
    <n v="8040.46"/>
    <n v="-372.74"/>
  </r>
  <r>
    <x v="13"/>
    <x v="5"/>
    <x v="0"/>
    <s v="3005106"/>
    <n v="735040"/>
    <s v="Depreciation-Building Improvements"/>
    <s v="Telemetry"/>
    <x v="0"/>
    <m/>
    <n v="21.92"/>
    <n v="21.92"/>
    <n v="21.92"/>
    <n v="21.92"/>
    <n v="21.92"/>
    <n v="21.92"/>
    <n v="21.93"/>
    <n v="21.92"/>
    <n v="21.93"/>
    <n v="21.92"/>
    <n v="21.93"/>
    <n v="21.92"/>
    <n v="263.07000000000005"/>
    <n v="9.9999999999980105E-3"/>
  </r>
  <r>
    <x v="13"/>
    <x v="5"/>
    <x v="0"/>
    <s v="3005106"/>
    <n v="735060"/>
    <s v="Depreciation-Fixed Equipment"/>
    <s v="Telemetry"/>
    <x v="0"/>
    <m/>
    <n v="72.099999999999994"/>
    <n v="72.099999999999994"/>
    <n v="72.099999999999994"/>
    <n v="72.099999999999994"/>
    <n v="72.11"/>
    <n v="72.099999999999994"/>
    <n v="72.11"/>
    <n v="72.099999999999994"/>
    <n v="72.12"/>
    <n v="72.099999999999994"/>
    <n v="72.14"/>
    <n v="72.09"/>
    <n v="865.2700000000001"/>
    <n v="4.9999999999997158E-2"/>
  </r>
  <r>
    <x v="13"/>
    <x v="5"/>
    <x v="0"/>
    <s v="3005106"/>
    <n v="735070"/>
    <s v="Depreciation-Movable Equipment"/>
    <s v="Telemetry"/>
    <x v="0"/>
    <m/>
    <n v="8296.7099999999991"/>
    <n v="8296.65"/>
    <n v="8296.7800000000007"/>
    <n v="8296.56"/>
    <n v="8296.7800000000007"/>
    <n v="8296.5499999999993"/>
    <n v="8296.84"/>
    <n v="8296.48"/>
    <n v="8297.0300000000007"/>
    <n v="8296.24"/>
    <n v="8297.48"/>
    <n v="8296.11"/>
    <n v="99560.209999999992"/>
    <n v="1.3699999999989814"/>
  </r>
  <r>
    <x v="0"/>
    <x v="5"/>
    <x v="0"/>
    <s v="3005106"/>
    <n v="740020"/>
    <s v="Education-Registration Fees"/>
    <s v="Telemetry"/>
    <x v="0"/>
    <m/>
    <n v="0"/>
    <n v="430"/>
    <n v="495"/>
    <n v="370"/>
    <n v="794"/>
    <n v="0"/>
    <n v="330"/>
    <n v="685"/>
    <n v="165"/>
    <n v="250"/>
    <n v="0"/>
    <n v="165"/>
    <n v="3684"/>
    <n v="-165"/>
  </r>
  <r>
    <x v="0"/>
    <x v="5"/>
    <x v="0"/>
    <s v="3005106"/>
    <n v="749510"/>
    <s v="Miscellaneous Expenses"/>
    <s v="Telemetry"/>
    <x v="0"/>
    <m/>
    <n v="0"/>
    <n v="-14.72"/>
    <n v="0"/>
    <n v="441.86"/>
    <n v="-441.86"/>
    <n v="0"/>
    <n v="0"/>
    <n v="154.38"/>
    <n v="-181.83"/>
    <n v="0"/>
    <n v="0"/>
    <n v="54.9"/>
    <n v="12.729999999999954"/>
    <n v="-54.9"/>
  </r>
  <r>
    <x v="0"/>
    <x v="5"/>
    <x v="0"/>
    <s v="3005106"/>
    <n v="749510"/>
    <s v="Casualty Loss/Patient Property"/>
    <s v="Telemetry"/>
    <x v="0"/>
    <n v="4601"/>
    <n v="0"/>
    <n v="0"/>
    <n v="0"/>
    <n v="0"/>
    <n v="0"/>
    <n v="0"/>
    <n v="196.01"/>
    <n v="0"/>
    <n v="0"/>
    <n v="0"/>
    <n v="0"/>
    <n v="0"/>
    <n v="196.01"/>
    <n v="0"/>
  </r>
  <r>
    <x v="0"/>
    <x v="5"/>
    <x v="0"/>
    <s v="3005106"/>
    <n v="749530"/>
    <s v="Travel"/>
    <s v="Telemetry"/>
    <x v="0"/>
    <m/>
    <n v="0"/>
    <n v="0"/>
    <n v="0"/>
    <n v="0"/>
    <n v="142.86000000000001"/>
    <n v="0"/>
    <n v="0"/>
    <n v="53.64"/>
    <n v="181.83"/>
    <n v="458.71"/>
    <n v="100"/>
    <n v="0"/>
    <n v="937.04"/>
    <n v="100"/>
  </r>
  <r>
    <x v="0"/>
    <x v="5"/>
    <x v="0"/>
    <s v="3005106"/>
    <n v="749535"/>
    <s v="Meetings"/>
    <s v="Telemetry"/>
    <x v="0"/>
    <m/>
    <n v="0"/>
    <n v="0"/>
    <n v="0"/>
    <n v="0"/>
    <n v="0"/>
    <n v="0"/>
    <n v="0"/>
    <n v="131.34"/>
    <n v="0"/>
    <n v="0"/>
    <n v="0"/>
    <n v="0"/>
    <n v="131.34"/>
    <n v="0"/>
  </r>
  <r>
    <x v="18"/>
    <x v="6"/>
    <x v="0"/>
    <s v="3005107"/>
    <n v="400010"/>
    <s v="Acute I/P Svcs Rev--Medicare"/>
    <s v="4 West"/>
    <x v="0"/>
    <n v="1100"/>
    <n v="-1437444.66"/>
    <n v="-1262249.5"/>
    <n v="-1519348.84"/>
    <n v="-1289354.2"/>
    <n v="-1183510.1399999999"/>
    <n v="-1454126.2"/>
    <n v="-1432045.88"/>
    <n v="-1300402.17"/>
    <n v="-1687441.09"/>
    <n v="-1474189.93"/>
    <n v="-1775609.85"/>
    <n v="-1473188.29"/>
    <n v="-17288910.75"/>
    <n v="-302421.56000000006"/>
  </r>
  <r>
    <x v="18"/>
    <x v="6"/>
    <x v="0"/>
    <s v="3005107"/>
    <n v="400010"/>
    <s v="Acute I/P Svcs Rev--Medicaid"/>
    <s v="4 West"/>
    <x v="0"/>
    <n v="1200"/>
    <n v="-393728.5"/>
    <n v="-487933.78"/>
    <n v="-375635.42"/>
    <n v="-435557.34"/>
    <n v="-435645.12"/>
    <n v="-337529.18"/>
    <n v="-351831.08"/>
    <n v="-530547.39"/>
    <n v="-452077.69"/>
    <n v="-465852.02"/>
    <n v="-240488.87"/>
    <n v="-400532.05"/>
    <n v="-4907358.4400000004"/>
    <n v="160043.18"/>
  </r>
  <r>
    <x v="18"/>
    <x v="6"/>
    <x v="0"/>
    <s v="3005107"/>
    <n v="400010"/>
    <s v="Acute I/P Svcs Rev--Comm Insurance"/>
    <s v="4 West"/>
    <x v="0"/>
    <n v="1300"/>
    <n v="193343.09"/>
    <n v="49787.89"/>
    <n v="3784.99"/>
    <n v="-64613.87"/>
    <n v="11687.06"/>
    <n v="-57240.11"/>
    <n v="-5503.43"/>
    <n v="-27485.35"/>
    <n v="-78369.320000000007"/>
    <n v="-91046.8"/>
    <n v="-128333"/>
    <n v="11950.56"/>
    <n v="-182038.29000000004"/>
    <n v="-140283.56"/>
  </r>
  <r>
    <x v="18"/>
    <x v="6"/>
    <x v="0"/>
    <s v="3005107"/>
    <n v="400010"/>
    <s v="Acute I/P Svcs Rev--BCBS Comm"/>
    <s v="4 West"/>
    <x v="0"/>
    <n v="1301"/>
    <n v="-45418.77"/>
    <n v="-51491.86"/>
    <n v="-140398.57999999999"/>
    <n v="-28896.55"/>
    <n v="-104333.54"/>
    <n v="-117145.04"/>
    <n v="-143178.69"/>
    <n v="-107031.34"/>
    <n v="-93924.85"/>
    <n v="-184089.25"/>
    <n v="-215083.13"/>
    <n v="-131508.88"/>
    <n v="-1362500.48"/>
    <n v="-83574.25"/>
  </r>
  <r>
    <x v="18"/>
    <x v="6"/>
    <x v="0"/>
    <s v="3005107"/>
    <n v="400010"/>
    <s v="Acute I/P Svcs Rev--Managed Care"/>
    <s v="4 West"/>
    <x v="0"/>
    <n v="1400"/>
    <n v="-208982.48"/>
    <n v="-257480.22"/>
    <n v="-358510.7"/>
    <n v="-230508.05"/>
    <n v="-271718.57"/>
    <n v="-39614.269999999997"/>
    <n v="-278213.07"/>
    <n v="-334698.90000000002"/>
    <n v="-148137.47"/>
    <n v="-164279.51"/>
    <n v="-203292.1"/>
    <n v="-171278.19"/>
    <n v="-2666713.5300000003"/>
    <n v="-32013.910000000003"/>
  </r>
  <r>
    <x v="18"/>
    <x v="6"/>
    <x v="0"/>
    <s v="3005107"/>
    <n v="400010"/>
    <s v="Acute I/P Svcs Rev--Self Pay"/>
    <s v="4 West"/>
    <x v="0"/>
    <n v="1500"/>
    <n v="3903.48"/>
    <n v="-15423"/>
    <n v="-32108.22"/>
    <n v="22472.16"/>
    <n v="-22478.82"/>
    <n v="-62405.65"/>
    <n v="-22679.439999999999"/>
    <n v="-18208.400000000001"/>
    <n v="0"/>
    <n v="-13872.97"/>
    <n v="-44364.54"/>
    <n v="-12953"/>
    <n v="-218118.40000000002"/>
    <n v="-31411.54"/>
  </r>
  <r>
    <x v="18"/>
    <x v="6"/>
    <x v="0"/>
    <s v="3005107"/>
    <n v="400010"/>
    <s v="Acute I/P Svcs Rev--Other"/>
    <s v="4 West"/>
    <x v="0"/>
    <n v="1700"/>
    <n v="-181348.97"/>
    <n v="-76693.89"/>
    <n v="-18294.05"/>
    <n v="-67873.179999999993"/>
    <n v="-87971.64"/>
    <n v="-121575.55"/>
    <n v="-72788.149999999994"/>
    <n v="-82005.45"/>
    <n v="-120173.26"/>
    <n v="-51799.67"/>
    <n v="-87415.9"/>
    <n v="-148667.76"/>
    <n v="-1116607.4700000002"/>
    <n v="61251.860000000015"/>
  </r>
  <r>
    <x v="19"/>
    <x v="6"/>
    <x v="0"/>
    <s v="3005107"/>
    <n v="400020"/>
    <s v="O/P Care Svcs Rev--Medicare"/>
    <s v="4 West"/>
    <x v="0"/>
    <n v="1100"/>
    <n v="-53194.54"/>
    <n v="-87419.3"/>
    <n v="-35775.29"/>
    <n v="-154296.43"/>
    <n v="-107114.14"/>
    <n v="-150605.19"/>
    <n v="-160744.56"/>
    <n v="48383.41"/>
    <n v="-55189.59"/>
    <n v="-84800.37"/>
    <n v="-75351.09"/>
    <n v="-93139"/>
    <n v="-1009246.0899999999"/>
    <n v="17787.910000000003"/>
  </r>
  <r>
    <x v="19"/>
    <x v="6"/>
    <x v="0"/>
    <s v="3005107"/>
    <n v="400020"/>
    <s v="O/P Care Svcs Rev--Medicaid"/>
    <s v="4 West"/>
    <x v="0"/>
    <n v="1200"/>
    <n v="-47957.85"/>
    <n v="-27334.81"/>
    <n v="-8642.51"/>
    <n v="-8706.5300000000007"/>
    <n v="-102283.74"/>
    <n v="-111085.24"/>
    <n v="-124643.54"/>
    <n v="-118972.72"/>
    <n v="-140456.06"/>
    <n v="-51196.52"/>
    <n v="-1051.52"/>
    <n v="-47310.84"/>
    <n v="-789641.88"/>
    <n v="46259.32"/>
  </r>
  <r>
    <x v="19"/>
    <x v="6"/>
    <x v="0"/>
    <s v="3005107"/>
    <n v="400020"/>
    <s v="O/P Care Svcs Rev--Comm Insurance"/>
    <s v="4 West"/>
    <x v="0"/>
    <n v="1300"/>
    <n v="-8094.36"/>
    <n v="0"/>
    <n v="-5394.23"/>
    <n v="0"/>
    <n v="-3345.77"/>
    <n v="-510.52"/>
    <n v="0"/>
    <n v="-2719.48"/>
    <n v="324.92"/>
    <n v="-3821.62"/>
    <n v="-141428.53"/>
    <n v="-1577.28"/>
    <n v="-166566.87"/>
    <n v="-139851.25"/>
  </r>
  <r>
    <x v="19"/>
    <x v="6"/>
    <x v="0"/>
    <s v="3005107"/>
    <n v="400020"/>
    <s v="O/P Care Svcs Rev--BCBS Comm"/>
    <s v="4 West"/>
    <x v="0"/>
    <n v="1301"/>
    <n v="-23940.77"/>
    <n v="-20704.18"/>
    <n v="-14582.87"/>
    <n v="-11039.97"/>
    <n v="-21268.85"/>
    <n v="-21324.35"/>
    <n v="-21470.73"/>
    <n v="-141249.79999999999"/>
    <n v="-6935.3"/>
    <n v="-4106.84"/>
    <n v="120364.91"/>
    <n v="-9564.76"/>
    <n v="-175823.51000000004"/>
    <n v="129929.67"/>
  </r>
  <r>
    <x v="19"/>
    <x v="6"/>
    <x v="0"/>
    <s v="3005107"/>
    <n v="400020"/>
    <s v="O/P Care Svcs Rev--Managed Care"/>
    <s v="4 West"/>
    <x v="0"/>
    <n v="1400"/>
    <n v="-33904.870000000003"/>
    <n v="-32204.04"/>
    <n v="-15442.29"/>
    <n v="-35645.67"/>
    <n v="-68401.86"/>
    <n v="-13395.5"/>
    <n v="-30019.38"/>
    <n v="-14497.44"/>
    <n v="-18588.07"/>
    <n v="-33647.360000000001"/>
    <n v="-7296.88"/>
    <n v="-21909.72"/>
    <n v="-324953.08000000007"/>
    <n v="14612.84"/>
  </r>
  <r>
    <x v="19"/>
    <x v="6"/>
    <x v="0"/>
    <s v="3005107"/>
    <n v="400020"/>
    <s v="O/P Care Svcs Rev--Self Pay"/>
    <s v="4 West"/>
    <x v="0"/>
    <n v="1500"/>
    <n v="-382.89"/>
    <n v="-2041.89"/>
    <n v="0"/>
    <n v="0"/>
    <n v="-2364.4899999999998"/>
    <n v="-5299.75"/>
    <n v="-7997.07"/>
    <n v="4661.8999999999996"/>
    <n v="0"/>
    <n v="-3523.96"/>
    <n v="-205.08"/>
    <n v="-11335.52"/>
    <n v="-28488.750000000004"/>
    <n v="11130.44"/>
  </r>
  <r>
    <x v="19"/>
    <x v="6"/>
    <x v="0"/>
    <s v="3005107"/>
    <n v="400020"/>
    <s v="O/P Care Svcs Rev--Other"/>
    <s v="4 West"/>
    <x v="0"/>
    <n v="1700"/>
    <n v="-5068.88"/>
    <n v="-13979.53"/>
    <n v="-1242.53"/>
    <n v="-8051.39"/>
    <n v="-16941.98"/>
    <n v="-14997.62"/>
    <n v="-10550.71"/>
    <n v="-3861.42"/>
    <n v="-17341.599999999999"/>
    <n v="-11315.48"/>
    <n v="-32967.629999999997"/>
    <n v="-43423.25"/>
    <n v="-179742.02"/>
    <n v="10455.620000000003"/>
  </r>
  <r>
    <x v="5"/>
    <x v="6"/>
    <x v="0"/>
    <s v="3005107"/>
    <n v="700014"/>
    <s v="Salaries-Management-Productive"/>
    <s v="4 West"/>
    <x v="0"/>
    <m/>
    <n v="4319.96"/>
    <n v="4352.47"/>
    <n v="4449.1899999999996"/>
    <n v="5236.8999999999996"/>
    <n v="2881.8"/>
    <n v="3180.14"/>
    <n v="4777.4399999999996"/>
    <n v="3781.89"/>
    <n v="5075.6899999999996"/>
    <n v="4976.03"/>
    <n v="3350.71"/>
    <n v="4163.42"/>
    <n v="50545.639999999992"/>
    <n v="-812.71"/>
  </r>
  <r>
    <x v="5"/>
    <x v="6"/>
    <x v="0"/>
    <s v="3005107"/>
    <n v="700018"/>
    <s v="Salaries-Supervisory-Productive"/>
    <s v="4 West"/>
    <x v="0"/>
    <m/>
    <n v="11798.75"/>
    <n v="9753.06"/>
    <n v="5703.3"/>
    <n v="6708.16"/>
    <n v="6519.43"/>
    <n v="3942.92"/>
    <n v="5394.67"/>
    <n v="5440.95"/>
    <n v="6979.98"/>
    <n v="5876.04"/>
    <n v="6311.56"/>
    <n v="6093.99"/>
    <n v="80522.809999999983"/>
    <n v="217.57000000000062"/>
  </r>
  <r>
    <x v="5"/>
    <x v="6"/>
    <x v="0"/>
    <s v="3005107"/>
    <n v="700026"/>
    <s v="Salaries-RN-Productive"/>
    <s v="4 West"/>
    <x v="0"/>
    <m/>
    <n v="157670.95000000001"/>
    <n v="152875.17000000001"/>
    <n v="172054.56"/>
    <n v="171943.85"/>
    <n v="171609.79"/>
    <n v="195142.01"/>
    <n v="180859.97"/>
    <n v="183450.73"/>
    <n v="195537.88"/>
    <n v="188921.26"/>
    <n v="211093.59"/>
    <n v="194793.69"/>
    <n v="2175953.4500000002"/>
    <n v="16299.899999999994"/>
  </r>
  <r>
    <x v="5"/>
    <x v="6"/>
    <x v="0"/>
    <s v="3005107"/>
    <n v="700026"/>
    <s v="Salaries-RN-OT"/>
    <s v="4 West"/>
    <x v="0"/>
    <n v="1000"/>
    <n v="18658.830000000002"/>
    <n v="19383.04"/>
    <n v="20435.52"/>
    <n v="18715.37"/>
    <n v="24625.99"/>
    <n v="21197.9"/>
    <n v="25886.69"/>
    <n v="28117.27"/>
    <n v="27416.09"/>
    <n v="22983.88"/>
    <n v="20163.669999999998"/>
    <n v="27249.99"/>
    <n v="274834.24"/>
    <n v="-7086.3200000000033"/>
  </r>
  <r>
    <x v="5"/>
    <x v="6"/>
    <x v="0"/>
    <s v="3005107"/>
    <n v="700026"/>
    <s v="Salaries-RN-Other"/>
    <s v="4 West"/>
    <x v="0"/>
    <n v="2000"/>
    <n v="16291.97"/>
    <n v="14965.14"/>
    <n v="18367.63"/>
    <n v="18885.490000000002"/>
    <n v="19244.57"/>
    <n v="21130.85"/>
    <n v="19339.05"/>
    <n v="18915.7"/>
    <n v="20094.12"/>
    <n v="21062.92"/>
    <n v="22674.33"/>
    <n v="20975.84"/>
    <n v="231947.61000000002"/>
    <n v="1698.4900000000016"/>
  </r>
  <r>
    <x v="5"/>
    <x v="6"/>
    <x v="0"/>
    <s v="3005107"/>
    <n v="700030"/>
    <s v="Salaries-LPN-Productive"/>
    <s v="4 West"/>
    <x v="0"/>
    <m/>
    <n v="5174.3999999999996"/>
    <n v="3006.69"/>
    <n v="3914.67"/>
    <n v="3300.37"/>
    <n v="3694.81"/>
    <n v="3628.7"/>
    <n v="3342.11"/>
    <n v="3372.2"/>
    <n v="3775.57"/>
    <n v="3544.25"/>
    <n v="5463.75"/>
    <n v="6187.69"/>
    <n v="48405.210000000006"/>
    <n v="-723.9399999999996"/>
  </r>
  <r>
    <x v="5"/>
    <x v="6"/>
    <x v="0"/>
    <s v="3005107"/>
    <n v="700030"/>
    <s v="Salaries-LPN-OT"/>
    <s v="4 West"/>
    <x v="0"/>
    <n v="1000"/>
    <n v="18.27"/>
    <n v="32.58"/>
    <n v="21.91"/>
    <n v="17.86"/>
    <n v="17.809999999999999"/>
    <n v="0.88"/>
    <n v="23.81"/>
    <n v="61.01"/>
    <n v="26.66"/>
    <n v="29.89"/>
    <n v="453.42"/>
    <n v="-7.44"/>
    <n v="696.65999999999985"/>
    <n v="460.86"/>
  </r>
  <r>
    <x v="5"/>
    <x v="6"/>
    <x v="0"/>
    <s v="3005107"/>
    <n v="700030"/>
    <s v="Salaries-LPN-Other"/>
    <s v="4 West"/>
    <x v="0"/>
    <n v="2000"/>
    <n v="74.11"/>
    <n v="161.24"/>
    <n v="26.56"/>
    <n v="135.86000000000001"/>
    <n v="74.42"/>
    <n v="129.6"/>
    <n v="73.87"/>
    <n v="60.87"/>
    <n v="56.37"/>
    <n v="107.76"/>
    <n v="236.71"/>
    <n v="17.07"/>
    <n v="1154.44"/>
    <n v="219.64000000000001"/>
  </r>
  <r>
    <x v="5"/>
    <x v="6"/>
    <x v="0"/>
    <s v="3005107"/>
    <n v="700032"/>
    <s v="Salaries-Other Pat Care Providers-Productive"/>
    <s v="4 West"/>
    <x v="0"/>
    <m/>
    <n v="50092.69"/>
    <n v="47218.720000000001"/>
    <n v="58785.61"/>
    <n v="58756.76"/>
    <n v="56875.86"/>
    <n v="50250.15"/>
    <n v="53969.36"/>
    <n v="59756.84"/>
    <n v="54346.52"/>
    <n v="52354.64"/>
    <n v="60086.32"/>
    <n v="57699.79"/>
    <n v="660193.26"/>
    <n v="2386.5299999999988"/>
  </r>
  <r>
    <x v="5"/>
    <x v="6"/>
    <x v="0"/>
    <s v="3005107"/>
    <n v="700032"/>
    <s v="Salaries-Other Pat Care Providers-OT"/>
    <s v="4 West"/>
    <x v="0"/>
    <n v="1000"/>
    <n v="4533.33"/>
    <n v="3377.82"/>
    <n v="7664.83"/>
    <n v="3895.15"/>
    <n v="6905.73"/>
    <n v="6608.11"/>
    <n v="7204.04"/>
    <n v="8550.4500000000007"/>
    <n v="7816.75"/>
    <n v="5601.85"/>
    <n v="10425.969999999999"/>
    <n v="7689.55"/>
    <n v="80273.58"/>
    <n v="2736.4199999999992"/>
  </r>
  <r>
    <x v="5"/>
    <x v="6"/>
    <x v="0"/>
    <s v="3005107"/>
    <n v="700032"/>
    <s v="Salaries-Other Pat Care Providers-Other"/>
    <s v="4 West"/>
    <x v="0"/>
    <n v="2000"/>
    <n v="3966.07"/>
    <n v="3759.65"/>
    <n v="4939.3"/>
    <n v="5223.8"/>
    <n v="5372.6"/>
    <n v="4559.66"/>
    <n v="5157.3"/>
    <n v="5190.47"/>
    <n v="4846.63"/>
    <n v="4679.42"/>
    <n v="5596.87"/>
    <n v="5079.75"/>
    <n v="58371.519999999997"/>
    <n v="517.11999999999989"/>
  </r>
  <r>
    <x v="5"/>
    <x v="6"/>
    <x v="0"/>
    <s v="3005107"/>
    <n v="700038"/>
    <s v="Salaries-Service/Support-Productive"/>
    <s v="4 West"/>
    <x v="0"/>
    <m/>
    <n v="0"/>
    <n v="0"/>
    <n v="0"/>
    <n v="0"/>
    <n v="0"/>
    <n v="0"/>
    <n v="0"/>
    <n v="0"/>
    <n v="0"/>
    <n v="0"/>
    <n v="0"/>
    <n v="62.73"/>
    <n v="62.73"/>
    <n v="-62.73"/>
  </r>
  <r>
    <x v="5"/>
    <x v="6"/>
    <x v="0"/>
    <s v="3005107"/>
    <n v="700054"/>
    <s v="Salaries-Management-Non-productive"/>
    <s v="4 West"/>
    <x v="0"/>
    <m/>
    <n v="677.04"/>
    <n v="644.76"/>
    <n v="386.91"/>
    <n v="-128.94999999999999"/>
    <n v="2086.92"/>
    <n v="1954.37"/>
    <n v="365.12"/>
    <n v="862.52"/>
    <n v="66.39"/>
    <n v="0"/>
    <n v="1791.36"/>
    <n v="812.83"/>
    <n v="9519.27"/>
    <n v="978.52999999999986"/>
  </r>
  <r>
    <x v="5"/>
    <x v="6"/>
    <x v="0"/>
    <s v="3005107"/>
    <n v="700054"/>
    <s v="Salaries-Management-NonProd-Other"/>
    <s v="4 West"/>
    <x v="0"/>
    <n v="2000"/>
    <n v="0"/>
    <n v="0"/>
    <n v="0"/>
    <n v="0"/>
    <n v="0"/>
    <n v="1479.24"/>
    <n v="-1479.24"/>
    <n v="0"/>
    <n v="0"/>
    <n v="0"/>
    <n v="0"/>
    <n v="0"/>
    <n v="0"/>
    <n v="0"/>
  </r>
  <r>
    <x v="5"/>
    <x v="6"/>
    <x v="0"/>
    <s v="3005107"/>
    <n v="700058"/>
    <s v="Salaries-Supervisory-Non-productive"/>
    <s v="4 West"/>
    <x v="0"/>
    <m/>
    <n v="2049.2399999999998"/>
    <n v="3671.84"/>
    <n v="-823.04"/>
    <n v="0"/>
    <n v="0"/>
    <n v="3539.09"/>
    <n v="1259.67"/>
    <n v="652.91"/>
    <n v="-233.14"/>
    <n v="1958.75"/>
    <n v="435.27"/>
    <n v="435.27"/>
    <n v="12945.860000000002"/>
    <n v="0"/>
  </r>
  <r>
    <x v="5"/>
    <x v="6"/>
    <x v="0"/>
    <s v="3005107"/>
    <n v="700058"/>
    <s v="Salaries-Supervisory-NonProd-Other"/>
    <s v="4 West"/>
    <x v="0"/>
    <n v="2000"/>
    <n v="0"/>
    <n v="0"/>
    <n v="0"/>
    <n v="0"/>
    <n v="355.9"/>
    <n v="0"/>
    <n v="0"/>
    <n v="-355.9"/>
    <n v="0"/>
    <n v="0"/>
    <n v="0"/>
    <n v="0"/>
    <n v="0"/>
    <n v="0"/>
  </r>
  <r>
    <x v="5"/>
    <x v="6"/>
    <x v="0"/>
    <s v="3005107"/>
    <n v="700066"/>
    <s v="Salaries-RN-Non-productive"/>
    <s v="4 West"/>
    <x v="0"/>
    <m/>
    <n v="31146.68"/>
    <n v="22876.18"/>
    <n v="25504"/>
    <n v="25087.34"/>
    <n v="21956.18"/>
    <n v="42423.48"/>
    <n v="19867.03"/>
    <n v="13760.18"/>
    <n v="19447.36"/>
    <n v="26357.41"/>
    <n v="13647.79"/>
    <n v="26140.41"/>
    <n v="288214.03999999998"/>
    <n v="-12492.619999999999"/>
  </r>
  <r>
    <x v="5"/>
    <x v="6"/>
    <x v="0"/>
    <s v="3005107"/>
    <n v="700066"/>
    <s v="Salaries-RN-NonProd-Other"/>
    <s v="4 West"/>
    <x v="0"/>
    <n v="2000"/>
    <n v="2427.15"/>
    <n v="3078.57"/>
    <n v="1529.35"/>
    <n v="2197.13"/>
    <n v="1685.25"/>
    <n v="2387.87"/>
    <n v="893.28"/>
    <n v="-499.84"/>
    <n v="1951.33"/>
    <n v="808.16"/>
    <n v="1348.85"/>
    <n v="1260.33"/>
    <n v="19067.43"/>
    <n v="88.519999999999982"/>
  </r>
  <r>
    <x v="5"/>
    <x v="6"/>
    <x v="0"/>
    <s v="3005107"/>
    <n v="700070"/>
    <s v="Salaries-LPN-Non-productive"/>
    <s v="4 West"/>
    <x v="0"/>
    <m/>
    <n v="695.4"/>
    <n v="535.91999999999996"/>
    <n v="377.57"/>
    <n v="521.12"/>
    <n v="-143.53"/>
    <n v="249.6"/>
    <n v="957.86"/>
    <n v="79.489999999999995"/>
    <n v="196.4"/>
    <n v="403.53"/>
    <n v="178.5"/>
    <n v="922.45"/>
    <n v="4974.3099999999995"/>
    <n v="-743.95"/>
  </r>
  <r>
    <x v="5"/>
    <x v="6"/>
    <x v="0"/>
    <s v="3005107"/>
    <n v="700070"/>
    <s v="Salaries-LPN-NonProd-Other"/>
    <s v="4 West"/>
    <x v="0"/>
    <n v="2000"/>
    <n v="139.16"/>
    <n v="210.87"/>
    <n v="15.77"/>
    <n v="-13.91"/>
    <n v="0"/>
    <n v="27.63"/>
    <n v="3.58"/>
    <n v="94.61"/>
    <n v="17.87"/>
    <n v="18.75"/>
    <n v="6.38"/>
    <n v="0"/>
    <n v="520.70999999999992"/>
    <n v="6.38"/>
  </r>
  <r>
    <x v="5"/>
    <x v="6"/>
    <x v="0"/>
    <s v="3005107"/>
    <n v="700072"/>
    <s v="Salaries-Other Pat Care Providers-Non-productive"/>
    <s v="4 West"/>
    <x v="0"/>
    <m/>
    <n v="11280.53"/>
    <n v="11427.11"/>
    <n v="3357.05"/>
    <n v="7538.74"/>
    <n v="4395.37"/>
    <n v="10560.68"/>
    <n v="8930.86"/>
    <n v="5065.28"/>
    <n v="7347.99"/>
    <n v="5776.98"/>
    <n v="5987.07"/>
    <n v="4846.2700000000004"/>
    <n v="86513.930000000008"/>
    <n v="1140.7999999999993"/>
  </r>
  <r>
    <x v="5"/>
    <x v="6"/>
    <x v="0"/>
    <s v="3005107"/>
    <n v="700072"/>
    <s v="Salaries-Other Pat Care Providers-NonProd-Other"/>
    <s v="4 West"/>
    <x v="0"/>
    <n v="2000"/>
    <n v="980.77"/>
    <n v="391.96"/>
    <n v="265.12"/>
    <n v="544.99"/>
    <n v="339.16"/>
    <n v="525.09"/>
    <n v="425.08"/>
    <n v="294.87"/>
    <n v="258.08"/>
    <n v="375.79"/>
    <n v="195.07"/>
    <n v="313.87"/>
    <n v="4909.8499999999995"/>
    <n v="-118.80000000000001"/>
  </r>
  <r>
    <x v="5"/>
    <x v="6"/>
    <x v="0"/>
    <s v="3005107"/>
    <n v="700084"/>
    <s v="Accrued PTO"/>
    <s v="4 West"/>
    <x v="0"/>
    <m/>
    <n v="-8485.44"/>
    <n v="-2511.4899999999998"/>
    <n v="3077.63"/>
    <n v="10693.47"/>
    <n v="165.42"/>
    <n v="-9532.31"/>
    <n v="1363.22"/>
    <n v="13465.62"/>
    <n v="11824.44"/>
    <n v="4365.3900000000003"/>
    <n v="10856.18"/>
    <n v="12273.9"/>
    <n v="47556.030000000006"/>
    <n v="-1417.7199999999993"/>
  </r>
  <r>
    <x v="10"/>
    <x v="6"/>
    <x v="0"/>
    <s v="3005107"/>
    <n v="710060"/>
    <s v="Contract Labor-Other"/>
    <s v="4 West"/>
    <x v="0"/>
    <m/>
    <n v="34075"/>
    <n v="42572.67"/>
    <n v="35713.53"/>
    <n v="40149.769999999997"/>
    <n v="17622.5"/>
    <n v="13706.5"/>
    <n v="26541.25"/>
    <n v="25441.75"/>
    <n v="17659.240000000002"/>
    <n v="20118.75"/>
    <n v="15026.17"/>
    <n v="12766.75"/>
    <n v="301393.87999999995"/>
    <n v="2259.42"/>
  </r>
  <r>
    <x v="10"/>
    <x v="6"/>
    <x v="0"/>
    <s v="3005107"/>
    <n v="710060"/>
    <s v="Contract Labor-Overtime"/>
    <s v="4 West"/>
    <x v="0"/>
    <n v="5100"/>
    <n v="1053"/>
    <n v="8108.44"/>
    <n v="9604.9599999999991"/>
    <n v="4401"/>
    <n v="864"/>
    <n v="1782"/>
    <n v="4524.6899999999996"/>
    <n v="6017.28"/>
    <n v="3658.88"/>
    <n v="2683.81"/>
    <n v="1629.45"/>
    <n v="455.29"/>
    <n v="44782.799999999988"/>
    <n v="1174.1600000000001"/>
  </r>
  <r>
    <x v="6"/>
    <x v="6"/>
    <x v="0"/>
    <s v="3005107"/>
    <n v="713010"/>
    <s v="Benefits-FICA/Medicare"/>
    <s v="4 West"/>
    <x v="0"/>
    <m/>
    <n v="23999.49"/>
    <n v="23871.62"/>
    <n v="24432.79"/>
    <n v="24535.96"/>
    <n v="24630.91"/>
    <n v="27745.49"/>
    <n v="25376.240000000002"/>
    <n v="25321.42"/>
    <n v="26480.13"/>
    <n v="25755.52"/>
    <n v="28190.58"/>
    <n v="27259.23"/>
    <n v="307599.37999999995"/>
    <n v="931.35000000000218"/>
  </r>
  <r>
    <x v="6"/>
    <x v="6"/>
    <x v="0"/>
    <s v="3005107"/>
    <n v="713090"/>
    <s v="Benefits-Allocated Amounts"/>
    <s v="4 West"/>
    <x v="0"/>
    <m/>
    <n v="54983.76"/>
    <n v="45503.16"/>
    <n v="55379.39"/>
    <n v="55400.79"/>
    <n v="62696.87"/>
    <n v="61506.3"/>
    <n v="58675.7"/>
    <n v="61678.07"/>
    <n v="51498.31"/>
    <n v="64000.88"/>
    <n v="64545.89"/>
    <n v="72470.009999999995"/>
    <n v="708339.13"/>
    <n v="-7924.1199999999953"/>
  </r>
  <r>
    <x v="6"/>
    <x v="6"/>
    <x v="0"/>
    <s v="3005107"/>
    <n v="713096"/>
    <s v="Employee Recognition"/>
    <s v="4 West"/>
    <x v="0"/>
    <n v="1017"/>
    <n v="271.29000000000002"/>
    <n v="0"/>
    <n v="164.69"/>
    <n v="97.99"/>
    <n v="0"/>
    <n v="89.98"/>
    <n v="158.51"/>
    <n v="813.03"/>
    <n v="980.26"/>
    <n v="118.96"/>
    <n v="376.88"/>
    <n v="163.79"/>
    <n v="3235.38"/>
    <n v="213.09"/>
  </r>
  <r>
    <x v="17"/>
    <x v="6"/>
    <x v="0"/>
    <s v="3005107"/>
    <n v="714530"/>
    <s v="Medical Prof Fees-Intracompany"/>
    <s v="4 West"/>
    <x v="0"/>
    <m/>
    <n v="4164.88"/>
    <n v="-4164.88"/>
    <n v="0"/>
    <n v="0"/>
    <n v="0"/>
    <n v="0"/>
    <n v="0"/>
    <n v="0"/>
    <n v="0"/>
    <n v="0"/>
    <n v="0"/>
    <n v="0"/>
    <n v="0"/>
    <n v="0"/>
  </r>
  <r>
    <x v="7"/>
    <x v="6"/>
    <x v="0"/>
    <s v="3005107"/>
    <n v="718050"/>
    <s v="Contract Svcs-Other"/>
    <s v="4 West"/>
    <x v="0"/>
    <m/>
    <n v="0"/>
    <n v="0"/>
    <n v="0"/>
    <n v="472.88"/>
    <n v="0"/>
    <n v="0"/>
    <n v="0"/>
    <n v="0"/>
    <n v="0"/>
    <n v="0"/>
    <n v="0"/>
    <n v="0"/>
    <n v="472.88"/>
    <n v="0"/>
  </r>
  <r>
    <x v="7"/>
    <x v="6"/>
    <x v="0"/>
    <s v="3005107"/>
    <n v="718050"/>
    <s v="Contract Management--Linen"/>
    <s v="4 West"/>
    <x v="0"/>
    <n v="1026"/>
    <n v="4492.6099999999997"/>
    <n v="4002.77"/>
    <n v="5461.88"/>
    <n v="4834.8500000000004"/>
    <n v="4656.8999999999996"/>
    <n v="4558.3999999999996"/>
    <n v="4763.62"/>
    <n v="5264.05"/>
    <n v="4504.12"/>
    <n v="5719.11"/>
    <n v="5124.13"/>
    <n v="6545.46"/>
    <n v="59927.900000000009"/>
    <n v="-1421.33"/>
  </r>
  <r>
    <x v="7"/>
    <x v="6"/>
    <x v="0"/>
    <s v="3005107"/>
    <n v="718070"/>
    <s v="Contract Srvcs-CHI Clinical Engineering"/>
    <s v="4 West"/>
    <x v="0"/>
    <m/>
    <n v="349.13"/>
    <n v="349.13"/>
    <n v="349.13"/>
    <n v="349.13"/>
    <n v="349.13"/>
    <n v="319.95999999999998"/>
    <n v="326.11"/>
    <n v="326.11"/>
    <n v="323.63"/>
    <n v="323.63"/>
    <n v="327.2"/>
    <n v="321.05"/>
    <n v="4013.3400000000006"/>
    <n v="6.1499999999999773"/>
  </r>
  <r>
    <x v="11"/>
    <x v="6"/>
    <x v="0"/>
    <s v="3005107"/>
    <n v="721010"/>
    <s v="Supplies-Medical - Billable"/>
    <s v="4 West"/>
    <x v="0"/>
    <m/>
    <n v="6665.43"/>
    <n v="5545.49"/>
    <n v="7675.67"/>
    <n v="6085.13"/>
    <n v="4638.91"/>
    <n v="6902.71"/>
    <n v="7421.33"/>
    <n v="8260.33"/>
    <n v="6737.52"/>
    <n v="7775.59"/>
    <n v="5997.81"/>
    <n v="6873.74"/>
    <n v="80579.66"/>
    <n v="-875.92999999999938"/>
  </r>
  <r>
    <x v="11"/>
    <x v="6"/>
    <x v="0"/>
    <s v="3005107"/>
    <n v="721010"/>
    <s v="Patient Monitoring"/>
    <s v="4 West"/>
    <x v="0"/>
    <n v="1000"/>
    <n v="151.16999999999999"/>
    <n v="69.89"/>
    <n v="55.54"/>
    <n v="149.41999999999999"/>
    <n v="164.59"/>
    <n v="119.77"/>
    <n v="92.33"/>
    <n v="42.12"/>
    <n v="86.7"/>
    <n v="76.7"/>
    <n v="82.02"/>
    <n v="199.38"/>
    <n v="1289.6300000000001"/>
    <n v="-117.36"/>
  </r>
  <r>
    <x v="11"/>
    <x v="6"/>
    <x v="0"/>
    <s v="3005107"/>
    <n v="721020"/>
    <s v="Supplies-Surgical - Billable"/>
    <s v="4 West"/>
    <x v="0"/>
    <m/>
    <n v="103.02"/>
    <n v="49.21"/>
    <n v="120.13"/>
    <n v="157.97999999999999"/>
    <n v="74.400000000000006"/>
    <n v="194.29"/>
    <n v="191.62"/>
    <n v="201.32"/>
    <n v="239.17"/>
    <n v="311.89999999999998"/>
    <n v="151.63999999999999"/>
    <n v="59.18"/>
    <n v="1853.86"/>
    <n v="92.45999999999998"/>
  </r>
  <r>
    <x v="11"/>
    <x v="6"/>
    <x v="0"/>
    <s v="3005107"/>
    <n v="721020"/>
    <s v="Custom Packs"/>
    <s v="4 West"/>
    <x v="0"/>
    <n v="1000"/>
    <n v="0"/>
    <n v="115.45"/>
    <n v="374.63"/>
    <n v="344.54"/>
    <n v="159.04"/>
    <n v="105.92"/>
    <n v="158.88"/>
    <n v="132.4"/>
    <n v="79.44"/>
    <n v="52.96"/>
    <n v="156.74"/>
    <n v="105.92"/>
    <n v="1785.9200000000003"/>
    <n v="50.820000000000007"/>
  </r>
  <r>
    <x v="11"/>
    <x v="6"/>
    <x v="0"/>
    <s v="3005107"/>
    <n v="721020"/>
    <s v="Suture/Wound Closure"/>
    <s v="4 West"/>
    <x v="0"/>
    <n v="1001"/>
    <n v="24.49"/>
    <n v="9.9"/>
    <n v="0"/>
    <n v="9.9"/>
    <n v="9.9"/>
    <n v="19.8"/>
    <n v="0"/>
    <n v="19.8"/>
    <n v="0"/>
    <n v="19.8"/>
    <n v="0"/>
    <n v="9.9"/>
    <n v="123.49"/>
    <n v="-9.9"/>
  </r>
  <r>
    <x v="11"/>
    <x v="6"/>
    <x v="0"/>
    <s v="3005107"/>
    <n v="721240"/>
    <s v="Supplies-IV Solutions/Supplies - Billable"/>
    <s v="4 West"/>
    <x v="0"/>
    <m/>
    <n v="1617.35"/>
    <n v="1258.05"/>
    <n v="1955.32"/>
    <n v="1464.92"/>
    <n v="1184.3499999999999"/>
    <n v="1625.4"/>
    <n v="1355.04"/>
    <n v="1376.12"/>
    <n v="1080.07"/>
    <n v="1446.9"/>
    <n v="1477.83"/>
    <n v="1411.37"/>
    <n v="17252.719999999998"/>
    <n v="66.460000000000036"/>
  </r>
  <r>
    <x v="11"/>
    <x v="6"/>
    <x v="0"/>
    <s v="3005107"/>
    <n v="721320"/>
    <s v="Supplies-Purchased Blood - Billable"/>
    <s v="4 West"/>
    <x v="0"/>
    <m/>
    <n v="228.6"/>
    <n v="114.3"/>
    <n v="171.45"/>
    <n v="228.6"/>
    <n v="228.6"/>
    <n v="228.6"/>
    <n v="114.3"/>
    <n v="171.45"/>
    <n v="342.9"/>
    <n v="208.5"/>
    <n v="208.5"/>
    <n v="204.81"/>
    <n v="2450.6099999999997"/>
    <n v="3.6899999999999977"/>
  </r>
  <r>
    <x v="11"/>
    <x v="6"/>
    <x v="0"/>
    <s v="3005107"/>
    <n v="721410"/>
    <s v="Supplies-Medical - Nonbillable"/>
    <s v="4 West"/>
    <x v="0"/>
    <m/>
    <n v="9989.3700000000008"/>
    <n v="7139.17"/>
    <n v="9293.07"/>
    <n v="8760.08"/>
    <n v="6637.42"/>
    <n v="8080.1"/>
    <n v="8651.1200000000008"/>
    <n v="7764.93"/>
    <n v="10367.91"/>
    <n v="8344.5"/>
    <n v="6585.38"/>
    <n v="7208.48"/>
    <n v="98821.530000000013"/>
    <n v="-623.09999999999945"/>
  </r>
  <r>
    <x v="11"/>
    <x v="6"/>
    <x v="0"/>
    <s v="3005107"/>
    <n v="721410"/>
    <s v="Patient Monitoring"/>
    <s v="4 West"/>
    <x v="0"/>
    <n v="1000"/>
    <n v="0"/>
    <n v="0"/>
    <n v="0"/>
    <n v="0"/>
    <n v="13.72"/>
    <n v="0"/>
    <n v="0"/>
    <n v="0"/>
    <n v="0"/>
    <n v="0"/>
    <n v="0"/>
    <n v="0"/>
    <n v="13.72"/>
    <n v="0"/>
  </r>
  <r>
    <x v="11"/>
    <x v="6"/>
    <x v="0"/>
    <s v="3005107"/>
    <n v="721420"/>
    <s v="Supplies-Surgical Nonbillable"/>
    <s v="4 West"/>
    <x v="0"/>
    <m/>
    <n v="7.22"/>
    <n v="4.7"/>
    <n v="5.33"/>
    <n v="14.3"/>
    <n v="8.41"/>
    <n v="6.87"/>
    <n v="7.77"/>
    <n v="4.37"/>
    <n v="6.88"/>
    <n v="5.25"/>
    <n v="8.7799999999999994"/>
    <n v="11.35"/>
    <n v="91.22999999999999"/>
    <n v="-2.5700000000000003"/>
  </r>
  <r>
    <x v="11"/>
    <x v="6"/>
    <x v="0"/>
    <s v="3005107"/>
    <n v="721420"/>
    <s v="Sterilization Process Products"/>
    <s v="4 West"/>
    <x v="0"/>
    <n v="1009"/>
    <n v="0"/>
    <n v="0"/>
    <n v="0"/>
    <n v="0"/>
    <n v="0"/>
    <n v="0"/>
    <n v="9.23"/>
    <n v="0"/>
    <n v="0"/>
    <n v="50.15"/>
    <n v="0"/>
    <n v="0"/>
    <n v="59.379999999999995"/>
    <n v="0"/>
  </r>
  <r>
    <x v="11"/>
    <x v="6"/>
    <x v="0"/>
    <s v="3005107"/>
    <n v="721610"/>
    <s v="Supplies-Anesthesia - Nonbillable"/>
    <s v="4 West"/>
    <x v="0"/>
    <m/>
    <n v="11.74"/>
    <n v="37.6"/>
    <n v="7.35"/>
    <n v="16.64"/>
    <n v="66.06"/>
    <n v="4.8899999999999997"/>
    <n v="8.57"/>
    <n v="2.44"/>
    <n v="91.94"/>
    <n v="3.67"/>
    <n v="6.12"/>
    <n v="4.8899999999999997"/>
    <n v="261.90999999999997"/>
    <n v="1.2300000000000004"/>
  </r>
  <r>
    <x v="11"/>
    <x v="6"/>
    <x v="0"/>
    <s v="3005107"/>
    <n v="721640"/>
    <s v="Supplies-IV Solutions/Supplies - Nonbillable"/>
    <s v="4 West"/>
    <x v="0"/>
    <m/>
    <n v="2837.9"/>
    <n v="2578.7199999999998"/>
    <n v="2732.61"/>
    <n v="2249.0300000000002"/>
    <n v="2210.15"/>
    <n v="2081.66"/>
    <n v="2500.58"/>
    <n v="1834.84"/>
    <n v="1413.72"/>
    <n v="1901.2"/>
    <n v="1995.97"/>
    <n v="1820.99"/>
    <n v="26157.370000000006"/>
    <n v="174.98000000000002"/>
  </r>
  <r>
    <x v="11"/>
    <x v="6"/>
    <x v="0"/>
    <s v="3005107"/>
    <n v="721650"/>
    <s v="Supplies-Pharmacy Drugs - Nonbillable"/>
    <s v="4 West"/>
    <x v="0"/>
    <m/>
    <n v="53.53"/>
    <n v="84.96"/>
    <n v="87.93"/>
    <n v="107.69"/>
    <n v="37.53"/>
    <n v="411.18"/>
    <n v="99.2"/>
    <n v="17.5"/>
    <n v="141.87"/>
    <n v="173.82"/>
    <n v="230.54"/>
    <n v="110.86"/>
    <n v="1556.6099999999997"/>
    <n v="119.67999999999999"/>
  </r>
  <r>
    <x v="11"/>
    <x v="6"/>
    <x v="0"/>
    <s v="3005107"/>
    <n v="721710"/>
    <s v="Supplies-Laboratory - Nonbillable"/>
    <s v="4 West"/>
    <x v="0"/>
    <m/>
    <n v="235.19"/>
    <n v="201.36"/>
    <n v="318.39999999999998"/>
    <n v="220.19"/>
    <n v="179.25"/>
    <n v="166.28"/>
    <n v="213.84"/>
    <n v="181.33"/>
    <n v="212.63"/>
    <n v="175.43"/>
    <n v="135.66"/>
    <n v="209.76"/>
    <n v="2449.3199999999997"/>
    <n v="-74.099999999999994"/>
  </r>
  <r>
    <x v="11"/>
    <x v="6"/>
    <x v="0"/>
    <s v="3005107"/>
    <n v="721750"/>
    <s v="Supplies-Film/Radiographic - Nonbillable"/>
    <s v="4 West"/>
    <x v="0"/>
    <m/>
    <n v="6.56"/>
    <n v="0"/>
    <n v="0"/>
    <n v="0"/>
    <n v="3.74"/>
    <n v="0"/>
    <n v="1.87"/>
    <n v="3.74"/>
    <n v="3.74"/>
    <n v="1.87"/>
    <n v="5.63"/>
    <n v="7.48"/>
    <n v="34.630000000000003"/>
    <n v="-1.8500000000000005"/>
  </r>
  <r>
    <x v="11"/>
    <x v="6"/>
    <x v="0"/>
    <s v="3005107"/>
    <n v="721810"/>
    <s v="Supplies-Dietary/Cafeteria"/>
    <s v="4 West"/>
    <x v="0"/>
    <m/>
    <n v="3007.03"/>
    <n v="1886.84"/>
    <n v="855.76"/>
    <n v="1163.33"/>
    <n v="1119.68"/>
    <n v="1080.08"/>
    <n v="1310.6400000000001"/>
    <n v="1118.3599999999999"/>
    <n v="1102.29"/>
    <n v="1024.8599999999999"/>
    <n v="1416.32"/>
    <n v="1245.42"/>
    <n v="16330.610000000002"/>
    <n v="170.89999999999986"/>
  </r>
  <r>
    <x v="11"/>
    <x v="6"/>
    <x v="0"/>
    <s v="3005107"/>
    <n v="721830"/>
    <s v="Supplies-Office"/>
    <s v="4 West"/>
    <x v="0"/>
    <m/>
    <n v="70.13"/>
    <n v="583.63"/>
    <n v="670.99"/>
    <n v="201.61"/>
    <n v="482.15"/>
    <n v="1056.06"/>
    <n v="355.48"/>
    <n v="430.9"/>
    <n v="246.97"/>
    <n v="397.71"/>
    <n v="285.27999999999997"/>
    <n v="293.68"/>
    <n v="5074.59"/>
    <n v="-8.4000000000000341"/>
  </r>
  <r>
    <x v="11"/>
    <x v="6"/>
    <x v="0"/>
    <s v="3005107"/>
    <n v="721835"/>
    <s v="Supplies-Forms"/>
    <s v="4 West"/>
    <x v="0"/>
    <m/>
    <n v="0"/>
    <n v="0"/>
    <n v="0"/>
    <n v="0"/>
    <n v="221.94"/>
    <n v="0"/>
    <n v="0.5"/>
    <n v="0"/>
    <n v="11.68"/>
    <n v="4.78"/>
    <n v="0.5"/>
    <n v="16.77"/>
    <n v="256.17"/>
    <n v="-16.27"/>
  </r>
  <r>
    <x v="11"/>
    <x v="6"/>
    <x v="0"/>
    <s v="3005107"/>
    <n v="721870"/>
    <s v="Supplies-Environmental Services"/>
    <s v="4 West"/>
    <x v="0"/>
    <m/>
    <n v="788.47"/>
    <n v="666.22"/>
    <n v="764.39"/>
    <n v="665.73"/>
    <n v="672.61"/>
    <n v="766.31"/>
    <n v="936.7"/>
    <n v="656.85"/>
    <n v="751.01"/>
    <n v="863.93"/>
    <n v="742.6"/>
    <n v="817.16"/>
    <n v="9091.98"/>
    <n v="-74.559999999999945"/>
  </r>
  <r>
    <x v="11"/>
    <x v="6"/>
    <x v="0"/>
    <s v="3005107"/>
    <n v="721910"/>
    <s v="Supplies-Small Equipment"/>
    <s v="4 West"/>
    <x v="0"/>
    <m/>
    <n v="3355.78"/>
    <n v="3600.64"/>
    <n v="756.56"/>
    <n v="2445.38"/>
    <n v="-3255.06"/>
    <n v="2377.4899999999998"/>
    <n v="733.51"/>
    <n v="1288.82"/>
    <n v="2736.68"/>
    <n v="5271.12"/>
    <n v="1328.47"/>
    <n v="1174.48"/>
    <n v="21813.870000000003"/>
    <n v="153.99"/>
  </r>
  <r>
    <x v="11"/>
    <x v="6"/>
    <x v="0"/>
    <s v="3005107"/>
    <n v="721910"/>
    <s v="Instruments"/>
    <s v="4 West"/>
    <x v="0"/>
    <n v="1000"/>
    <n v="213.46"/>
    <n v="136.85"/>
    <n v="149.61000000000001"/>
    <n v="54.74"/>
    <n v="136.85"/>
    <n v="109.48"/>
    <n v="164.22"/>
    <n v="96.71"/>
    <n v="82.11"/>
    <n v="143.84"/>
    <n v="165.71"/>
    <n v="124.48"/>
    <n v="1578.06"/>
    <n v="41.230000000000004"/>
  </r>
  <r>
    <x v="11"/>
    <x v="6"/>
    <x v="0"/>
    <s v="3005107"/>
    <n v="721980"/>
    <s v="Supplies-Other"/>
    <s v="4 West"/>
    <x v="0"/>
    <m/>
    <n v="0"/>
    <n v="0"/>
    <n v="0"/>
    <n v="0"/>
    <n v="0"/>
    <n v="0"/>
    <n v="64.400000000000006"/>
    <n v="0"/>
    <n v="-5.31"/>
    <n v="0"/>
    <n v="0"/>
    <n v="0"/>
    <n v="59.09"/>
    <n v="0"/>
  </r>
  <r>
    <x v="11"/>
    <x v="6"/>
    <x v="0"/>
    <s v="3005107"/>
    <n v="722000"/>
    <s v="Supplies-Freight Expense"/>
    <s v="4 West"/>
    <x v="0"/>
    <m/>
    <n v="0"/>
    <n v="0"/>
    <n v="8.44"/>
    <n v="13.73"/>
    <n v="0"/>
    <n v="8.02"/>
    <n v="0"/>
    <n v="8.24"/>
    <n v="8.23"/>
    <n v="0"/>
    <n v="17.53"/>
    <n v="0"/>
    <n v="64.19"/>
    <n v="17.53"/>
  </r>
  <r>
    <x v="12"/>
    <x v="6"/>
    <x v="0"/>
    <s v="3005107"/>
    <n v="730020"/>
    <s v="Rental and Leases-Equipment (DO NOT USE)"/>
    <s v="4 West"/>
    <x v="0"/>
    <m/>
    <n v="0"/>
    <n v="84.32"/>
    <n v="42"/>
    <n v="-707.8"/>
    <n v="0"/>
    <n v="0"/>
    <n v="76.040000000000006"/>
    <n v="0"/>
    <n v="38.020000000000003"/>
    <n v="0"/>
    <n v="76.040000000000006"/>
    <n v="38.020000000000003"/>
    <n v="-353.36"/>
    <n v="38.020000000000003"/>
  </r>
  <r>
    <x v="12"/>
    <x v="6"/>
    <x v="0"/>
    <s v="3005107"/>
    <n v="730020"/>
    <s v="Rental and Leases-Copier Usage Fees (DO NOT USE)"/>
    <s v="4 West"/>
    <x v="0"/>
    <n v="5100"/>
    <n v="381.3"/>
    <n v="383.48"/>
    <n v="382.39"/>
    <n v="382.39"/>
    <n v="382.39"/>
    <n v="382.39"/>
    <n v="99.16"/>
    <n v="154.94"/>
    <n v="154.61000000000001"/>
    <n v="664.35"/>
    <n v="154.94"/>
    <n v="175.87"/>
    <n v="3698.2099999999996"/>
    <n v="-20.930000000000007"/>
  </r>
  <r>
    <x v="15"/>
    <x v="6"/>
    <x v="0"/>
    <s v="3005107"/>
    <n v="731060"/>
    <s v="Telephone"/>
    <s v="4 West"/>
    <x v="0"/>
    <m/>
    <n v="0"/>
    <n v="0"/>
    <n v="0"/>
    <n v="0"/>
    <n v="0"/>
    <n v="0"/>
    <n v="0"/>
    <n v="0"/>
    <n v="0"/>
    <n v="145"/>
    <n v="0"/>
    <n v="0"/>
    <n v="145"/>
    <n v="0"/>
  </r>
  <r>
    <x v="15"/>
    <x v="6"/>
    <x v="0"/>
    <s v="3005107"/>
    <n v="731060"/>
    <s v="Cell Phones"/>
    <s v="4 West"/>
    <x v="0"/>
    <n v="1001"/>
    <n v="0"/>
    <n v="0"/>
    <n v="0"/>
    <n v="0"/>
    <n v="0"/>
    <n v="0"/>
    <n v="0"/>
    <n v="0"/>
    <n v="0"/>
    <n v="118.65"/>
    <n v="53.96"/>
    <n v="53.33"/>
    <n v="225.94"/>
    <n v="0.63000000000000256"/>
  </r>
  <r>
    <x v="16"/>
    <x v="6"/>
    <x v="0"/>
    <s v="3005107"/>
    <n v="732030"/>
    <s v="Repairs---Other"/>
    <s v="4 West"/>
    <x v="0"/>
    <m/>
    <n v="0"/>
    <n v="0"/>
    <n v="0"/>
    <n v="0"/>
    <n v="0"/>
    <n v="0"/>
    <n v="0"/>
    <n v="0"/>
    <n v="0"/>
    <n v="0"/>
    <n v="14878.5"/>
    <n v="0"/>
    <n v="14878.5"/>
    <n v="14878.5"/>
  </r>
  <r>
    <x v="13"/>
    <x v="6"/>
    <x v="0"/>
    <s v="3005107"/>
    <n v="735070"/>
    <s v="Depreciation-Movable Equipment"/>
    <s v="4 West"/>
    <x v="0"/>
    <m/>
    <n v="549.99"/>
    <n v="549.99"/>
    <n v="550"/>
    <n v="549.98"/>
    <n v="550.01"/>
    <n v="549.98"/>
    <n v="550.02"/>
    <n v="549.98"/>
    <n v="550.04"/>
    <n v="549.98"/>
    <n v="550.04"/>
    <n v="549.98"/>
    <n v="6599.9900000000016"/>
    <n v="5.999999999994543E-2"/>
  </r>
  <r>
    <x v="0"/>
    <x v="6"/>
    <x v="0"/>
    <s v="3005107"/>
    <n v="740020"/>
    <s v="Education-Registration Fees"/>
    <s v="4 West"/>
    <x v="0"/>
    <m/>
    <n v="0"/>
    <n v="0"/>
    <n v="0"/>
    <n v="0"/>
    <n v="0"/>
    <n v="0"/>
    <n v="0"/>
    <n v="0"/>
    <n v="125"/>
    <n v="0"/>
    <n v="0"/>
    <n v="0"/>
    <n v="125"/>
    <n v="0"/>
  </r>
  <r>
    <x v="0"/>
    <x v="6"/>
    <x v="0"/>
    <s v="3005107"/>
    <n v="749510"/>
    <s v="Miscellaneous Expenses"/>
    <s v="4 West"/>
    <x v="0"/>
    <m/>
    <n v="0"/>
    <n v="82.83"/>
    <n v="-161.97999999999999"/>
    <n v="0"/>
    <n v="42.06"/>
    <n v="17.940000000000001"/>
    <n v="369.79"/>
    <n v="-179.27"/>
    <n v="-250.52"/>
    <n v="80.45"/>
    <n v="-80.45"/>
    <n v="61.8"/>
    <n v="-17.34999999999998"/>
    <n v="-142.25"/>
  </r>
  <r>
    <x v="0"/>
    <x v="6"/>
    <x v="0"/>
    <s v="3005107"/>
    <n v="749510"/>
    <s v="Casualty Loss/Patient Property"/>
    <s v="4 West"/>
    <x v="0"/>
    <n v="4601"/>
    <n v="0"/>
    <n v="0"/>
    <n v="0"/>
    <n v="3765"/>
    <n v="0"/>
    <n v="0"/>
    <n v="0"/>
    <n v="0"/>
    <n v="0"/>
    <n v="0"/>
    <n v="0"/>
    <n v="0"/>
    <n v="3765"/>
    <n v="0"/>
  </r>
  <r>
    <x v="0"/>
    <x v="6"/>
    <x v="0"/>
    <s v="3005107"/>
    <n v="749530"/>
    <s v="Travel"/>
    <s v="4 West"/>
    <x v="0"/>
    <m/>
    <n v="0"/>
    <n v="20"/>
    <n v="0"/>
    <n v="7"/>
    <n v="7"/>
    <n v="29.6"/>
    <n v="0"/>
    <n v="140.29"/>
    <n v="12"/>
    <n v="12"/>
    <n v="0"/>
    <n v="0"/>
    <n v="227.89"/>
    <n v="0"/>
  </r>
  <r>
    <x v="0"/>
    <x v="6"/>
    <x v="0"/>
    <s v="3005107"/>
    <n v="749530"/>
    <s v="Mileage"/>
    <s v="4 West"/>
    <x v="0"/>
    <n v="1001"/>
    <n v="0"/>
    <n v="109"/>
    <n v="0"/>
    <n v="37.06"/>
    <n v="37.06"/>
    <n v="75.760000000000005"/>
    <n v="0"/>
    <n v="39.44"/>
    <n v="66.12"/>
    <n v="78.88"/>
    <n v="216.92"/>
    <n v="0"/>
    <n v="660.24"/>
    <n v="216.92"/>
  </r>
  <r>
    <x v="18"/>
    <x v="3"/>
    <x v="0"/>
    <s v="3006101"/>
    <n v="400010"/>
    <s v="Acute I/P Svcs Rev--Medicare"/>
    <s v="Clinical Decision Unit"/>
    <x v="0"/>
    <n v="1100"/>
    <n v="0"/>
    <n v="0"/>
    <n v="0"/>
    <n v="0"/>
    <n v="0"/>
    <n v="-17610.169999999998"/>
    <n v="-30182.15"/>
    <n v="-25388.3"/>
    <n v="-50997.95"/>
    <n v="-53190.13"/>
    <n v="-49624.42"/>
    <n v="-48937.35"/>
    <n v="-275930.46999999997"/>
    <n v="-687.06999999999971"/>
  </r>
  <r>
    <x v="18"/>
    <x v="3"/>
    <x v="0"/>
    <s v="3006101"/>
    <n v="400010"/>
    <s v="Acute I/P Svcs Rev--Medicaid"/>
    <s v="Clinical Decision Unit"/>
    <x v="0"/>
    <n v="1200"/>
    <n v="0"/>
    <n v="0"/>
    <n v="0"/>
    <n v="0"/>
    <n v="0"/>
    <n v="-7470.29"/>
    <n v="-28436.43"/>
    <n v="-18248.63"/>
    <n v="-45317.33"/>
    <n v="-10672.14"/>
    <n v="-29682.39"/>
    <n v="-9818.4699999999993"/>
    <n v="-149645.68000000002"/>
    <n v="-19863.919999999998"/>
  </r>
  <r>
    <x v="18"/>
    <x v="3"/>
    <x v="0"/>
    <s v="3006101"/>
    <n v="400010"/>
    <s v="Acute I/P Svcs Rev--Comm Insurance"/>
    <s v="Clinical Decision Unit"/>
    <x v="0"/>
    <n v="1300"/>
    <n v="0"/>
    <n v="0"/>
    <n v="0"/>
    <n v="0"/>
    <n v="0"/>
    <n v="-16.899999999999999"/>
    <n v="-7096.42"/>
    <n v="0"/>
    <n v="0"/>
    <n v="-688.85"/>
    <n v="-1496.88"/>
    <n v="0"/>
    <n v="-9299.0499999999993"/>
    <n v="-1496.88"/>
  </r>
  <r>
    <x v="18"/>
    <x v="3"/>
    <x v="0"/>
    <s v="3006101"/>
    <n v="400010"/>
    <s v="Acute I/P Svcs Rev--BCBS Comm"/>
    <s v="Clinical Decision Unit"/>
    <x v="0"/>
    <n v="1301"/>
    <n v="0"/>
    <n v="0"/>
    <n v="0"/>
    <n v="0"/>
    <n v="0"/>
    <n v="0"/>
    <n v="-7519.12"/>
    <n v="-3641.23"/>
    <n v="0"/>
    <n v="3012.3"/>
    <n v="-3026.04"/>
    <n v="-1674.27"/>
    <n v="-12848.36"/>
    <n v="-1351.77"/>
  </r>
  <r>
    <x v="18"/>
    <x v="3"/>
    <x v="0"/>
    <s v="3006101"/>
    <n v="400010"/>
    <s v="Acute I/P Svcs Rev--Managed Care"/>
    <s v="Clinical Decision Unit"/>
    <x v="0"/>
    <n v="1400"/>
    <n v="0"/>
    <n v="0"/>
    <n v="0"/>
    <n v="0"/>
    <n v="0"/>
    <n v="-42.25"/>
    <n v="-10681.18"/>
    <n v="-10403.9"/>
    <n v="-11379.68"/>
    <n v="-14954.3"/>
    <n v="-14144.89"/>
    <n v="-15392.23"/>
    <n v="-76998.429999999993"/>
    <n v="1247.3400000000001"/>
  </r>
  <r>
    <x v="18"/>
    <x v="3"/>
    <x v="0"/>
    <s v="3006101"/>
    <n v="400010"/>
    <s v="Acute I/P Svcs Rev--Self Pay"/>
    <s v="Clinical Decision Unit"/>
    <x v="0"/>
    <n v="1500"/>
    <n v="0"/>
    <n v="0"/>
    <n v="0"/>
    <n v="0"/>
    <n v="0"/>
    <n v="0"/>
    <n v="0"/>
    <n v="0"/>
    <n v="-5704.74"/>
    <n v="-1905.12"/>
    <n v="-1088.6400000000001"/>
    <n v="-3402"/>
    <n v="-12100.5"/>
    <n v="2313.3599999999997"/>
  </r>
  <r>
    <x v="18"/>
    <x v="3"/>
    <x v="0"/>
    <s v="3006101"/>
    <n v="400010"/>
    <s v="Acute I/P Svcs Rev--Other"/>
    <s v="Clinical Decision Unit"/>
    <x v="0"/>
    <n v="1700"/>
    <n v="0"/>
    <n v="0"/>
    <n v="0"/>
    <n v="0"/>
    <n v="0"/>
    <n v="0"/>
    <n v="-12077.52"/>
    <n v="-402.41"/>
    <n v="-7362.57"/>
    <n v="-16.899999999999999"/>
    <n v="-6609.29"/>
    <n v="-14449.91"/>
    <n v="-40918.600000000006"/>
    <n v="7840.62"/>
  </r>
  <r>
    <x v="19"/>
    <x v="3"/>
    <x v="0"/>
    <s v="3006101"/>
    <n v="400020"/>
    <s v="O/P Care Svcs Rev--Medicare"/>
    <s v="Clinical Decision Unit"/>
    <x v="0"/>
    <n v="1100"/>
    <n v="0"/>
    <n v="0"/>
    <n v="0"/>
    <n v="0"/>
    <n v="0"/>
    <n v="-45019.040000000001"/>
    <n v="-130773.1"/>
    <n v="-96685.39"/>
    <n v="-165904.57999999999"/>
    <n v="-161954.04999999999"/>
    <n v="-192143.93"/>
    <n v="-119880.43"/>
    <n v="-912360.51999999979"/>
    <n v="-72263.5"/>
  </r>
  <r>
    <x v="19"/>
    <x v="3"/>
    <x v="0"/>
    <s v="3006101"/>
    <n v="400020"/>
    <s v="O/P Care Svcs Rev--Medicaid"/>
    <s v="Clinical Decision Unit"/>
    <x v="0"/>
    <n v="1200"/>
    <n v="0"/>
    <n v="0"/>
    <n v="0"/>
    <n v="0"/>
    <n v="0"/>
    <n v="-22304.93"/>
    <n v="-67358.02"/>
    <n v="-78707.31"/>
    <n v="-69426.17"/>
    <n v="-89904.61"/>
    <n v="-72135.38"/>
    <n v="-101052.6"/>
    <n v="-500889.02"/>
    <n v="28917.22"/>
  </r>
  <r>
    <x v="19"/>
    <x v="3"/>
    <x v="0"/>
    <s v="3006101"/>
    <n v="400020"/>
    <s v="O/P Care Svcs Rev--Comm Insurance"/>
    <s v="Clinical Decision Unit"/>
    <x v="0"/>
    <n v="1300"/>
    <n v="0"/>
    <n v="0"/>
    <n v="0"/>
    <n v="0"/>
    <n v="0"/>
    <n v="-6144.5"/>
    <n v="0"/>
    <n v="-2920.39"/>
    <n v="-7419.58"/>
    <n v="-18103.21"/>
    <n v="561.20000000000005"/>
    <n v="-8917.2999999999993"/>
    <n v="-42943.78"/>
    <n v="9478.5"/>
  </r>
  <r>
    <x v="19"/>
    <x v="3"/>
    <x v="0"/>
    <s v="3006101"/>
    <n v="400020"/>
    <s v="O/P Care Svcs Rev--BCBS Comm"/>
    <s v="Clinical Decision Unit"/>
    <x v="0"/>
    <n v="1301"/>
    <n v="0"/>
    <n v="0"/>
    <n v="0"/>
    <n v="0"/>
    <n v="0"/>
    <n v="-3318.38"/>
    <n v="-24493.279999999999"/>
    <n v="-44649.120000000003"/>
    <n v="-29878.05"/>
    <n v="-8772.09"/>
    <n v="-23204.76"/>
    <n v="-5925.68"/>
    <n v="-140241.35999999999"/>
    <n v="-17279.079999999998"/>
  </r>
  <r>
    <x v="19"/>
    <x v="3"/>
    <x v="0"/>
    <s v="3006101"/>
    <n v="400020"/>
    <s v="O/P Care Svcs Rev--Managed Care"/>
    <s v="Clinical Decision Unit"/>
    <x v="0"/>
    <n v="1400"/>
    <n v="0"/>
    <n v="0"/>
    <n v="0"/>
    <n v="0"/>
    <n v="0"/>
    <n v="-13184.43"/>
    <n v="-50499.71"/>
    <n v="-33081.699999999997"/>
    <n v="-30755.11"/>
    <n v="-74914.460000000006"/>
    <n v="-47400.49"/>
    <n v="-40588.629999999997"/>
    <n v="-290424.52999999997"/>
    <n v="-6811.8600000000006"/>
  </r>
  <r>
    <x v="19"/>
    <x v="3"/>
    <x v="0"/>
    <s v="3006101"/>
    <n v="400020"/>
    <s v="O/P Care Svcs Rev--Self Pay"/>
    <s v="Clinical Decision Unit"/>
    <x v="0"/>
    <n v="1500"/>
    <n v="0"/>
    <n v="0"/>
    <n v="0"/>
    <n v="0"/>
    <n v="0"/>
    <n v="-5541.22"/>
    <n v="-705.74"/>
    <n v="-33147.480000000003"/>
    <n v="-4523.1000000000004"/>
    <n v="-7497.11"/>
    <n v="-8714.66"/>
    <n v="-6222.7"/>
    <n v="-66352.009999999995"/>
    <n v="-2491.96"/>
  </r>
  <r>
    <x v="19"/>
    <x v="3"/>
    <x v="0"/>
    <s v="3006101"/>
    <n v="400020"/>
    <s v="O/P Care Svcs Rev--Other"/>
    <s v="Clinical Decision Unit"/>
    <x v="0"/>
    <n v="1700"/>
    <n v="0"/>
    <n v="0"/>
    <n v="0"/>
    <n v="0"/>
    <n v="0"/>
    <n v="-14052.16"/>
    <n v="-12225.77"/>
    <n v="-24465.86"/>
    <n v="-23910.85"/>
    <n v="-22004.46"/>
    <n v="-17535.7"/>
    <n v="-7473.85"/>
    <n v="-121668.65000000001"/>
    <n v="-10061.85"/>
  </r>
  <r>
    <x v="5"/>
    <x v="3"/>
    <x v="0"/>
    <s v="3006101"/>
    <n v="700026"/>
    <s v="Salaries-RN-Productive"/>
    <s v="Clinical Decision Unit"/>
    <x v="0"/>
    <m/>
    <n v="0"/>
    <n v="0"/>
    <n v="0"/>
    <n v="0"/>
    <n v="0"/>
    <n v="23001.15"/>
    <n v="45352.85"/>
    <n v="41829.54"/>
    <n v="32943.06"/>
    <n v="38102.49"/>
    <n v="35908.07"/>
    <n v="21348.33"/>
    <n v="238485.49"/>
    <n v="14559.739999999998"/>
  </r>
  <r>
    <x v="5"/>
    <x v="3"/>
    <x v="0"/>
    <s v="3006101"/>
    <n v="700026"/>
    <s v="Salaries-RN-OT"/>
    <s v="Clinical Decision Unit"/>
    <x v="0"/>
    <n v="1000"/>
    <n v="0"/>
    <n v="0"/>
    <n v="0"/>
    <n v="0"/>
    <n v="0"/>
    <n v="599.84"/>
    <n v="1498.4"/>
    <n v="1737.6"/>
    <n v="1130.78"/>
    <n v="1433.25"/>
    <n v="103.78"/>
    <n v="142.15"/>
    <n v="6645.7999999999993"/>
    <n v="-38.370000000000005"/>
  </r>
  <r>
    <x v="5"/>
    <x v="3"/>
    <x v="0"/>
    <s v="3006101"/>
    <n v="700026"/>
    <s v="Salaries-RN-Other"/>
    <s v="Clinical Decision Unit"/>
    <x v="0"/>
    <n v="2000"/>
    <n v="0"/>
    <n v="0"/>
    <n v="0"/>
    <n v="0"/>
    <n v="0"/>
    <n v="2035.67"/>
    <n v="3718.95"/>
    <n v="3596.86"/>
    <n v="2925.08"/>
    <n v="3828.3"/>
    <n v="3683.92"/>
    <n v="1627.81"/>
    <n v="21416.59"/>
    <n v="2056.11"/>
  </r>
  <r>
    <x v="5"/>
    <x v="3"/>
    <x v="0"/>
    <s v="3006101"/>
    <n v="700032"/>
    <s v="Salaries-Other Pat Care Providers-Productive"/>
    <s v="Clinical Decision Unit"/>
    <x v="0"/>
    <m/>
    <n v="0"/>
    <n v="0"/>
    <n v="0"/>
    <n v="0"/>
    <n v="0"/>
    <n v="2520.7800000000002"/>
    <n v="10128.799999999999"/>
    <n v="8521.3700000000008"/>
    <n v="7673.94"/>
    <n v="8247.06"/>
    <n v="13937.06"/>
    <n v="5037.0200000000004"/>
    <n v="56066.03"/>
    <n v="8900.0399999999991"/>
  </r>
  <r>
    <x v="5"/>
    <x v="3"/>
    <x v="0"/>
    <s v="3006101"/>
    <n v="700032"/>
    <s v="Salaries-Other Pat Care Providers-OT"/>
    <s v="Clinical Decision Unit"/>
    <x v="0"/>
    <n v="1000"/>
    <n v="0"/>
    <n v="0"/>
    <n v="0"/>
    <n v="0"/>
    <n v="0"/>
    <n v="0"/>
    <n v="83.73"/>
    <n v="547.02"/>
    <n v="166.17"/>
    <n v="-29.1"/>
    <n v="560.33000000000004"/>
    <n v="-71.319999999999993"/>
    <n v="1256.8300000000002"/>
    <n v="631.65000000000009"/>
  </r>
  <r>
    <x v="5"/>
    <x v="3"/>
    <x v="0"/>
    <s v="3006101"/>
    <n v="700032"/>
    <s v="Salaries-Other Pat Care Providers-Other"/>
    <s v="Clinical Decision Unit"/>
    <x v="0"/>
    <n v="2000"/>
    <n v="0"/>
    <n v="0"/>
    <n v="0"/>
    <n v="0"/>
    <n v="0"/>
    <n v="58.24"/>
    <n v="425.92"/>
    <n v="769.44"/>
    <n v="501.04"/>
    <n v="407.25"/>
    <n v="724.02"/>
    <n v="386.23"/>
    <n v="3272.1400000000003"/>
    <n v="337.78999999999996"/>
  </r>
  <r>
    <x v="5"/>
    <x v="3"/>
    <x v="0"/>
    <s v="3006101"/>
    <n v="700066"/>
    <s v="Salaries-RN-Non-productive"/>
    <s v="Clinical Decision Unit"/>
    <x v="0"/>
    <m/>
    <n v="0"/>
    <n v="0"/>
    <n v="0"/>
    <n v="0"/>
    <n v="0"/>
    <n v="1059.77"/>
    <n v="14070.51"/>
    <n v="9058.6299999999992"/>
    <n v="6544.86"/>
    <n v="12438.52"/>
    <n v="4352.26"/>
    <n v="16069.68"/>
    <n v="63594.23"/>
    <n v="-11717.42"/>
  </r>
  <r>
    <x v="5"/>
    <x v="3"/>
    <x v="0"/>
    <s v="3006101"/>
    <n v="700066"/>
    <s v="Salaries-RN-NonProd-Other"/>
    <s v="Clinical Decision Unit"/>
    <x v="0"/>
    <n v="2000"/>
    <n v="0"/>
    <n v="0"/>
    <n v="0"/>
    <n v="0"/>
    <n v="0"/>
    <n v="0"/>
    <n v="781.97"/>
    <n v="830.81"/>
    <n v="291.41000000000003"/>
    <n v="592.9"/>
    <n v="414.3"/>
    <n v="1325.46"/>
    <n v="4236.8500000000004"/>
    <n v="-911.16000000000008"/>
  </r>
  <r>
    <x v="5"/>
    <x v="3"/>
    <x v="0"/>
    <s v="3006101"/>
    <n v="700072"/>
    <s v="Salaries-Other Pat Care Providers-Non-productive"/>
    <s v="Clinical Decision Unit"/>
    <x v="0"/>
    <m/>
    <n v="0"/>
    <n v="0"/>
    <n v="0"/>
    <n v="0"/>
    <n v="0"/>
    <n v="2957.67"/>
    <n v="2730.83"/>
    <n v="9176.5400000000009"/>
    <n v="12258.7"/>
    <n v="11307.15"/>
    <n v="4182.76"/>
    <n v="4283.01"/>
    <n v="46896.66"/>
    <n v="-100.25"/>
  </r>
  <r>
    <x v="5"/>
    <x v="3"/>
    <x v="0"/>
    <s v="3006101"/>
    <n v="700072"/>
    <s v="Salaries-Other Pat Care Providers-NonProd-Other"/>
    <s v="Clinical Decision Unit"/>
    <x v="0"/>
    <n v="2000"/>
    <n v="0"/>
    <n v="0"/>
    <n v="0"/>
    <n v="0"/>
    <n v="0"/>
    <n v="474.87"/>
    <n v="91.16"/>
    <n v="255.73"/>
    <n v="206.8"/>
    <n v="299.62"/>
    <n v="260.81"/>
    <n v="230.33"/>
    <n v="1819.3199999999997"/>
    <n v="30.47999999999999"/>
  </r>
  <r>
    <x v="5"/>
    <x v="3"/>
    <x v="0"/>
    <s v="3006101"/>
    <n v="700084"/>
    <s v="Accrued PTO"/>
    <s v="Clinical Decision Unit"/>
    <x v="0"/>
    <m/>
    <n v="0"/>
    <n v="0"/>
    <n v="0"/>
    <n v="0"/>
    <n v="0"/>
    <n v="602.86"/>
    <n v="4349.58"/>
    <n v="-1686.54"/>
    <n v="5654.43"/>
    <n v="1540.52"/>
    <n v="5034.3599999999997"/>
    <n v="386.22"/>
    <n v="15881.429999999998"/>
    <n v="4648.1399999999994"/>
  </r>
  <r>
    <x v="10"/>
    <x v="3"/>
    <x v="0"/>
    <s v="3006101"/>
    <n v="710060"/>
    <s v="Contract Labor-Other"/>
    <s v="Clinical Decision Unit"/>
    <x v="0"/>
    <m/>
    <n v="0"/>
    <n v="0"/>
    <n v="0"/>
    <n v="0"/>
    <n v="0"/>
    <n v="0"/>
    <n v="0"/>
    <n v="0"/>
    <n v="0"/>
    <n v="284"/>
    <n v="0"/>
    <n v="0"/>
    <n v="284"/>
    <n v="0"/>
  </r>
  <r>
    <x v="6"/>
    <x v="3"/>
    <x v="0"/>
    <s v="3006101"/>
    <n v="713010"/>
    <s v="Benefits-FICA/Medicare"/>
    <s v="Clinical Decision Unit"/>
    <x v="0"/>
    <m/>
    <n v="0"/>
    <n v="0"/>
    <n v="0"/>
    <n v="0"/>
    <n v="0"/>
    <n v="2699.6"/>
    <n v="5873.98"/>
    <n v="5816.88"/>
    <n v="4798.29"/>
    <n v="5720.19"/>
    <n v="4764.22"/>
    <n v="3992.06"/>
    <n v="33665.22"/>
    <n v="772.16000000000031"/>
  </r>
  <r>
    <x v="6"/>
    <x v="3"/>
    <x v="0"/>
    <s v="3006101"/>
    <n v="713090"/>
    <s v="Benefits-Allocated Amounts"/>
    <s v="Clinical Decision Unit"/>
    <x v="0"/>
    <m/>
    <n v="0"/>
    <n v="0"/>
    <n v="0"/>
    <n v="0"/>
    <n v="0"/>
    <n v="7336.37"/>
    <n v="18428.87"/>
    <n v="18142.98"/>
    <n v="15336.66"/>
    <n v="18691.12"/>
    <n v="16577.7"/>
    <n v="12614.55"/>
    <n v="107128.25"/>
    <n v="3963.1500000000015"/>
  </r>
  <r>
    <x v="7"/>
    <x v="3"/>
    <x v="0"/>
    <s v="3006101"/>
    <n v="718050"/>
    <s v="Translation Services"/>
    <s v="Clinical Decision Unit"/>
    <x v="0"/>
    <n v="1025"/>
    <n v="0"/>
    <n v="0"/>
    <n v="0"/>
    <n v="0"/>
    <n v="0"/>
    <n v="0"/>
    <n v="0"/>
    <n v="128"/>
    <n v="0"/>
    <n v="0"/>
    <n v="0"/>
    <n v="0"/>
    <n v="128"/>
    <n v="0"/>
  </r>
  <r>
    <x v="11"/>
    <x v="3"/>
    <x v="0"/>
    <s v="3006101"/>
    <n v="721010"/>
    <s v="Supplies-Medical - Billable"/>
    <s v="Clinical Decision Unit"/>
    <x v="0"/>
    <m/>
    <n v="0"/>
    <n v="0"/>
    <n v="0"/>
    <n v="0"/>
    <n v="0"/>
    <n v="14.63"/>
    <n v="22.6"/>
    <n v="10.050000000000001"/>
    <n v="55.47"/>
    <n v="38.25"/>
    <n v="30.55"/>
    <n v="67.739999999999995"/>
    <n v="239.29000000000002"/>
    <n v="-37.19"/>
  </r>
  <r>
    <x v="11"/>
    <x v="3"/>
    <x v="0"/>
    <s v="3006101"/>
    <n v="721010"/>
    <s v="Patient Monitoring"/>
    <s v="Clinical Decision Unit"/>
    <x v="0"/>
    <n v="1000"/>
    <n v="0"/>
    <n v="0"/>
    <n v="0"/>
    <n v="0"/>
    <n v="0"/>
    <n v="19.829999999999998"/>
    <n v="42.29"/>
    <n v="48.47"/>
    <n v="55.07"/>
    <n v="41.87"/>
    <n v="55.42"/>
    <n v="53.3"/>
    <n v="316.25"/>
    <n v="2.1200000000000045"/>
  </r>
  <r>
    <x v="11"/>
    <x v="3"/>
    <x v="0"/>
    <s v="3006101"/>
    <n v="721020"/>
    <s v="Supplies-Surgical - Billable"/>
    <s v="Clinical Decision Unit"/>
    <x v="0"/>
    <m/>
    <n v="0"/>
    <n v="0"/>
    <n v="0"/>
    <n v="0"/>
    <n v="0"/>
    <n v="0"/>
    <n v="0"/>
    <n v="0"/>
    <n v="0"/>
    <n v="0"/>
    <n v="0"/>
    <n v="10.49"/>
    <n v="10.49"/>
    <n v="-10.49"/>
  </r>
  <r>
    <x v="11"/>
    <x v="3"/>
    <x v="0"/>
    <s v="3006101"/>
    <n v="721020"/>
    <s v="Tubes Drains &amp; Related Supplies"/>
    <s v="Clinical Decision Unit"/>
    <x v="0"/>
    <n v="1008"/>
    <n v="0"/>
    <n v="0"/>
    <n v="0"/>
    <n v="0"/>
    <n v="0"/>
    <n v="0"/>
    <n v="0"/>
    <n v="0"/>
    <n v="0"/>
    <n v="0"/>
    <n v="0"/>
    <n v="27.55"/>
    <n v="27.55"/>
    <n v="-27.55"/>
  </r>
  <r>
    <x v="11"/>
    <x v="3"/>
    <x v="0"/>
    <s v="3006101"/>
    <n v="721240"/>
    <s v="Supplies-IV Solutions/Supplies - Billable"/>
    <s v="Clinical Decision Unit"/>
    <x v="0"/>
    <m/>
    <n v="0"/>
    <n v="0"/>
    <n v="0"/>
    <n v="0"/>
    <n v="0"/>
    <n v="0"/>
    <n v="4.88"/>
    <n v="0"/>
    <n v="0"/>
    <n v="0"/>
    <n v="-9"/>
    <n v="21.8"/>
    <n v="17.68"/>
    <n v="-30.8"/>
  </r>
  <r>
    <x v="11"/>
    <x v="3"/>
    <x v="0"/>
    <s v="3006101"/>
    <n v="721410"/>
    <s v="Supplies-Medical - Nonbillable"/>
    <s v="Clinical Decision Unit"/>
    <x v="0"/>
    <m/>
    <n v="0"/>
    <n v="0"/>
    <n v="0"/>
    <n v="0"/>
    <n v="0"/>
    <n v="256.64999999999998"/>
    <n v="1348.55"/>
    <n v="1044.07"/>
    <n v="1341.78"/>
    <n v="1187.3800000000001"/>
    <n v="1179.69"/>
    <n v="1453.53"/>
    <n v="7811.6499999999987"/>
    <n v="-273.83999999999992"/>
  </r>
  <r>
    <x v="11"/>
    <x v="3"/>
    <x v="0"/>
    <s v="3006101"/>
    <n v="721610"/>
    <s v="Supplies-Anesthesia - Nonbillable"/>
    <s v="Clinical Decision Unit"/>
    <x v="0"/>
    <m/>
    <n v="0"/>
    <n v="0"/>
    <n v="0"/>
    <n v="0"/>
    <n v="0"/>
    <n v="51.13"/>
    <n v="74.17"/>
    <n v="76.989999999999995"/>
    <n v="108.95"/>
    <n v="126.93"/>
    <n v="90.89"/>
    <n v="92.15"/>
    <n v="621.21"/>
    <n v="-1.2600000000000051"/>
  </r>
  <r>
    <x v="11"/>
    <x v="3"/>
    <x v="0"/>
    <s v="3006101"/>
    <n v="721640"/>
    <s v="Supplies-IV Solutions/Supplies - Nonbillable"/>
    <s v="Clinical Decision Unit"/>
    <x v="0"/>
    <m/>
    <n v="0"/>
    <n v="0"/>
    <n v="0"/>
    <n v="0"/>
    <n v="0"/>
    <n v="25.5"/>
    <n v="164.33"/>
    <n v="124.9"/>
    <n v="220.95"/>
    <n v="137.69"/>
    <n v="86.18"/>
    <n v="220.53"/>
    <n v="980.08000000000015"/>
    <n v="-134.35"/>
  </r>
  <r>
    <x v="11"/>
    <x v="3"/>
    <x v="0"/>
    <s v="3006101"/>
    <n v="721650"/>
    <s v="Supplies-Pharmacy Drugs - Nonbillable"/>
    <s v="Clinical Decision Unit"/>
    <x v="0"/>
    <m/>
    <n v="0"/>
    <n v="0"/>
    <n v="0"/>
    <n v="0"/>
    <n v="0"/>
    <n v="0"/>
    <n v="0"/>
    <n v="0"/>
    <n v="0"/>
    <n v="0.48"/>
    <n v="0"/>
    <n v="0.48"/>
    <n v="0.96"/>
    <n v="-0.48"/>
  </r>
  <r>
    <x v="11"/>
    <x v="3"/>
    <x v="0"/>
    <s v="3006101"/>
    <n v="721710"/>
    <s v="Supplies-Laboratory - Nonbillable"/>
    <s v="Clinical Decision Unit"/>
    <x v="0"/>
    <m/>
    <n v="0"/>
    <n v="0"/>
    <n v="0"/>
    <n v="0"/>
    <n v="0"/>
    <n v="0"/>
    <n v="475.27"/>
    <n v="1.06"/>
    <n v="8.3000000000000007"/>
    <n v="13.32"/>
    <n v="9.43"/>
    <n v="6.79"/>
    <n v="514.16999999999996"/>
    <n v="2.6399999999999997"/>
  </r>
  <r>
    <x v="11"/>
    <x v="3"/>
    <x v="0"/>
    <s v="3006101"/>
    <n v="721810"/>
    <s v="Supplies-Dietary/Cafeteria"/>
    <s v="Clinical Decision Unit"/>
    <x v="0"/>
    <m/>
    <n v="0"/>
    <n v="0"/>
    <n v="0"/>
    <n v="0"/>
    <n v="0"/>
    <n v="4.9800000000000004"/>
    <n v="43.93"/>
    <n v="29.73"/>
    <n v="49.24"/>
    <n v="53.26"/>
    <n v="41.06"/>
    <n v="41.72"/>
    <n v="263.91999999999996"/>
    <n v="-0.65999999999999659"/>
  </r>
  <r>
    <x v="11"/>
    <x v="3"/>
    <x v="0"/>
    <s v="3006101"/>
    <n v="721830"/>
    <s v="Supplies-Office"/>
    <s v="Clinical Decision Unit"/>
    <x v="0"/>
    <m/>
    <n v="0"/>
    <n v="0"/>
    <n v="0"/>
    <n v="0"/>
    <n v="0"/>
    <n v="114.63"/>
    <n v="404.53"/>
    <n v="405.22"/>
    <n v="0"/>
    <n v="0"/>
    <n v="0"/>
    <n v="0"/>
    <n v="924.38"/>
    <n v="0"/>
  </r>
  <r>
    <x v="11"/>
    <x v="3"/>
    <x v="0"/>
    <s v="3006101"/>
    <n v="721835"/>
    <s v="Supplies-Forms"/>
    <s v="Clinical Decision Unit"/>
    <x v="0"/>
    <m/>
    <n v="0"/>
    <n v="0"/>
    <n v="0"/>
    <n v="0"/>
    <n v="0"/>
    <n v="0"/>
    <n v="0"/>
    <n v="0"/>
    <n v="15"/>
    <n v="0"/>
    <n v="0"/>
    <n v="0"/>
    <n v="15"/>
    <n v="0"/>
  </r>
  <r>
    <x v="11"/>
    <x v="3"/>
    <x v="0"/>
    <s v="3006101"/>
    <n v="721870"/>
    <s v="Supplies-Environmental Services"/>
    <s v="Clinical Decision Unit"/>
    <x v="0"/>
    <m/>
    <n v="0"/>
    <n v="0"/>
    <n v="0"/>
    <n v="0"/>
    <n v="0"/>
    <n v="4.07"/>
    <n v="73.27"/>
    <n v="15.49"/>
    <n v="15.49"/>
    <n v="11.42"/>
    <n v="11.4"/>
    <n v="6.56"/>
    <n v="137.69999999999999"/>
    <n v="4.8400000000000007"/>
  </r>
  <r>
    <x v="11"/>
    <x v="3"/>
    <x v="0"/>
    <s v="3006101"/>
    <n v="721880"/>
    <s v="Supplies-Linen"/>
    <s v="Clinical Decision Unit"/>
    <x v="0"/>
    <m/>
    <n v="0"/>
    <n v="0"/>
    <n v="0"/>
    <n v="0"/>
    <n v="0"/>
    <n v="0"/>
    <n v="12.84"/>
    <n v="0"/>
    <n v="0"/>
    <n v="0"/>
    <n v="0"/>
    <n v="0"/>
    <n v="12.84"/>
    <n v="0"/>
  </r>
  <r>
    <x v="11"/>
    <x v="3"/>
    <x v="0"/>
    <s v="3006101"/>
    <n v="721910"/>
    <s v="Supplies-Small Equipment"/>
    <s v="Clinical Decision Unit"/>
    <x v="0"/>
    <m/>
    <n v="0"/>
    <n v="0"/>
    <n v="0"/>
    <n v="0"/>
    <n v="0"/>
    <n v="0"/>
    <n v="224.93"/>
    <n v="0"/>
    <n v="129.82"/>
    <n v="1641.69"/>
    <n v="334.17"/>
    <n v="3.55"/>
    <n v="2334.1600000000003"/>
    <n v="330.62"/>
  </r>
  <r>
    <x v="11"/>
    <x v="3"/>
    <x v="0"/>
    <s v="3006101"/>
    <n v="721980"/>
    <s v="Supplies-Other"/>
    <s v="Clinical Decision Unit"/>
    <x v="0"/>
    <m/>
    <n v="0"/>
    <n v="0"/>
    <n v="0"/>
    <n v="0"/>
    <n v="0"/>
    <n v="0"/>
    <n v="120.45"/>
    <n v="0"/>
    <n v="0"/>
    <n v="0"/>
    <n v="0"/>
    <n v="0"/>
    <n v="120.45"/>
    <n v="0"/>
  </r>
  <r>
    <x v="0"/>
    <x v="3"/>
    <x v="0"/>
    <s v="3006101"/>
    <n v="749510"/>
    <s v="Miscellaneous Expenses"/>
    <s v="Clinical Decision Unit"/>
    <x v="0"/>
    <m/>
    <n v="0"/>
    <n v="0"/>
    <n v="0"/>
    <n v="0"/>
    <n v="0"/>
    <n v="0"/>
    <n v="131.91999999999999"/>
    <n v="1444.27"/>
    <n v="110.11"/>
    <n v="0"/>
    <n v="0.68"/>
    <n v="215.41"/>
    <n v="1902.39"/>
    <n v="-214.73"/>
  </r>
  <r>
    <x v="18"/>
    <x v="6"/>
    <x v="0"/>
    <s v="3115107"/>
    <n v="400010"/>
    <s v="Acute I/P Svcs Rev--Medicare"/>
    <s v="Ortho Unit-Silverdale"/>
    <x v="0"/>
    <n v="1100"/>
    <n v="-262796.56"/>
    <n v="-308174.92"/>
    <n v="-297120.83"/>
    <n v="-382087.66"/>
    <n v="-305278.23"/>
    <n v="-324555.5"/>
    <n v="-375316.79"/>
    <n v="-302992.31"/>
    <n v="-389165.32"/>
    <n v="-512418.92"/>
    <n v="-458017.12"/>
    <n v="-475912.78"/>
    <n v="-4393836.9399999995"/>
    <n v="17895.660000000033"/>
  </r>
  <r>
    <x v="18"/>
    <x v="6"/>
    <x v="0"/>
    <s v="3115107"/>
    <n v="400010"/>
    <s v="Acute I/P Svcs Rev--Medicaid"/>
    <s v="Ortho Unit-Silverdale"/>
    <x v="0"/>
    <n v="1200"/>
    <n v="-41932.92"/>
    <n v="-25554.6"/>
    <n v="-4763.83"/>
    <n v="-88385.43"/>
    <n v="-26592"/>
    <n v="-14358.52"/>
    <n v="-56394.85"/>
    <n v="-36420.29"/>
    <n v="-135922.37"/>
    <n v="-97770.07"/>
    <n v="-68830.039999999994"/>
    <n v="-140684.84"/>
    <n v="-737609.75999999989"/>
    <n v="71854.8"/>
  </r>
  <r>
    <x v="18"/>
    <x v="6"/>
    <x v="0"/>
    <s v="3115107"/>
    <n v="400010"/>
    <s v="Acute I/P Svcs Rev--Comm Insurance"/>
    <s v="Ortho Unit-Silverdale"/>
    <x v="0"/>
    <n v="1300"/>
    <n v="18914.28"/>
    <n v="-10206.91"/>
    <n v="-12252"/>
    <n v="21640.11"/>
    <n v="-9496.11"/>
    <n v="-3063"/>
    <n v="-12926.4"/>
    <n v="-12620"/>
    <n v="-26188.240000000002"/>
    <n v="12620"/>
    <n v="0"/>
    <n v="-3155"/>
    <n v="-36733.270000000004"/>
    <n v="3155"/>
  </r>
  <r>
    <x v="18"/>
    <x v="6"/>
    <x v="0"/>
    <s v="3115107"/>
    <n v="400010"/>
    <s v="Acute I/P Svcs Rev--BCBS Comm"/>
    <s v="Ortho Unit-Silverdale"/>
    <x v="0"/>
    <n v="1301"/>
    <n v="-34886.519999999997"/>
    <n v="-33219.07"/>
    <n v="-46957.440000000002"/>
    <n v="-10783.54"/>
    <n v="-63408.09"/>
    <n v="-28242.37"/>
    <n v="-12447.88"/>
    <n v="-27534.58"/>
    <n v="-44264.47"/>
    <n v="-37136.050000000003"/>
    <n v="-37056.94"/>
    <n v="-12117.92"/>
    <n v="-388054.86999999994"/>
    <n v="-24939.020000000004"/>
  </r>
  <r>
    <x v="18"/>
    <x v="6"/>
    <x v="0"/>
    <s v="3115107"/>
    <n v="400010"/>
    <s v="Acute I/P Svcs Rev--Managed Care"/>
    <s v="Ortho Unit-Silverdale"/>
    <x v="0"/>
    <n v="1400"/>
    <n v="-78500.83"/>
    <n v="-47063.43"/>
    <n v="-62463.25"/>
    <n v="-116447.9"/>
    <n v="-105237.97"/>
    <n v="-87112.26"/>
    <n v="-92426.45"/>
    <n v="-105974.79"/>
    <n v="-51854.37"/>
    <n v="-37079.83"/>
    <n v="-40980.129999999997"/>
    <n v="-55971.94"/>
    <n v="-881113.14999999991"/>
    <n v="14991.810000000005"/>
  </r>
  <r>
    <x v="18"/>
    <x v="6"/>
    <x v="0"/>
    <s v="3115107"/>
    <n v="400010"/>
    <s v="Acute I/P Svcs Rev--Self Pay"/>
    <s v="Ortho Unit-Silverdale"/>
    <x v="0"/>
    <n v="1500"/>
    <n v="0"/>
    <n v="0"/>
    <n v="0"/>
    <n v="0"/>
    <n v="0"/>
    <n v="0"/>
    <n v="0"/>
    <n v="0"/>
    <n v="-3155"/>
    <n v="0"/>
    <n v="0"/>
    <n v="0"/>
    <n v="-3155"/>
    <n v="0"/>
  </r>
  <r>
    <x v="18"/>
    <x v="6"/>
    <x v="0"/>
    <s v="3115107"/>
    <n v="400010"/>
    <s v="Acute I/P Svcs Rev--Other"/>
    <s v="Ortho Unit-Silverdale"/>
    <x v="0"/>
    <n v="1700"/>
    <n v="-37329.39"/>
    <n v="-34927.120000000003"/>
    <n v="-74556.44"/>
    <n v="-31170.05"/>
    <n v="-53999.040000000001"/>
    <n v="-42772.54"/>
    <n v="-21964.11"/>
    <n v="-3420.57"/>
    <n v="-32720.240000000002"/>
    <n v="-35949.379999999997"/>
    <n v="-26867.62"/>
    <n v="-25246.97"/>
    <n v="-420923.47"/>
    <n v="-1620.6499999999978"/>
  </r>
  <r>
    <x v="19"/>
    <x v="6"/>
    <x v="0"/>
    <s v="3115107"/>
    <n v="400020"/>
    <s v="O/P Care Svcs Rev--Medicare"/>
    <s v="Ortho Unit-Silverdale"/>
    <x v="0"/>
    <n v="1100"/>
    <n v="-17155.669999999998"/>
    <n v="-29443.67"/>
    <n v="-27642.75"/>
    <n v="-38221.22"/>
    <n v="-37696.379999999997"/>
    <n v="-20560.669999999998"/>
    <n v="-12762"/>
    <n v="-14922.07"/>
    <n v="-11172.4"/>
    <n v="-21620.81"/>
    <n v="-25630.799999999999"/>
    <n v="-42984.71"/>
    <n v="-299813.14999999997"/>
    <n v="17353.91"/>
  </r>
  <r>
    <x v="19"/>
    <x v="6"/>
    <x v="0"/>
    <s v="3115107"/>
    <n v="400020"/>
    <s v="O/P Care Svcs Rev--Medicaid"/>
    <s v="Ortho Unit-Silverdale"/>
    <x v="0"/>
    <n v="1200"/>
    <n v="-3573.36"/>
    <n v="-10081.98"/>
    <n v="-430.63"/>
    <n v="-3597.92"/>
    <n v="-16762.95"/>
    <n v="-2041.63"/>
    <n v="-8107.39"/>
    <n v="-14868.3"/>
    <n v="-34829.800000000003"/>
    <n v="6638.8"/>
    <n v="-18196.72"/>
    <n v="-12801.88"/>
    <n v="-118653.75999999999"/>
    <n v="-5394.840000000002"/>
  </r>
  <r>
    <x v="19"/>
    <x v="6"/>
    <x v="0"/>
    <s v="3115107"/>
    <n v="400020"/>
    <s v="O/P Care Svcs Rev--Comm Insurance"/>
    <s v="Ortho Unit-Silverdale"/>
    <x v="0"/>
    <n v="1300"/>
    <n v="-2552.4"/>
    <n v="0"/>
    <n v="0"/>
    <n v="-9704.36"/>
    <n v="0"/>
    <n v="0"/>
    <n v="-3190.5"/>
    <n v="-255.24"/>
    <n v="0"/>
    <n v="255.24"/>
    <n v="0"/>
    <n v="0"/>
    <n v="-15447.26"/>
    <n v="0"/>
  </r>
  <r>
    <x v="19"/>
    <x v="6"/>
    <x v="0"/>
    <s v="3115107"/>
    <n v="400020"/>
    <s v="O/P Care Svcs Rev--BCBS Comm"/>
    <s v="Ortho Unit-Silverdale"/>
    <x v="0"/>
    <n v="1301"/>
    <n v="-7803"/>
    <n v="-2807.64"/>
    <n v="-2349.6799999999998"/>
    <n v="-10053.57"/>
    <n v="-6320.71"/>
    <n v="-22221.040000000001"/>
    <n v="-4817.1899999999996"/>
    <n v="-8017.84"/>
    <n v="-726.55"/>
    <n v="-1477.03"/>
    <n v="-1064.58"/>
    <n v="-8125.78"/>
    <n v="-75784.61"/>
    <n v="7061.2"/>
  </r>
  <r>
    <x v="19"/>
    <x v="6"/>
    <x v="0"/>
    <s v="3115107"/>
    <n v="400020"/>
    <s v="O/P Care Svcs Rev--Managed Care"/>
    <s v="Ortho Unit-Silverdale"/>
    <x v="0"/>
    <n v="1400"/>
    <n v="-15577.02"/>
    <n v="-9545.77"/>
    <n v="-12996"/>
    <n v="-19641.61"/>
    <n v="-12181.77"/>
    <n v="-32657.77"/>
    <n v="-15641.69"/>
    <n v="-11496.63"/>
    <n v="-15452.12"/>
    <n v="-12934.76"/>
    <n v="784.48"/>
    <n v="-16692.88"/>
    <n v="-174033.54"/>
    <n v="17477.36"/>
  </r>
  <r>
    <x v="19"/>
    <x v="6"/>
    <x v="0"/>
    <s v="3115107"/>
    <n v="400020"/>
    <s v="O/P Care Svcs Rev--Self Pay"/>
    <s v="Ortho Unit-Silverdale"/>
    <x v="0"/>
    <n v="1500"/>
    <n v="0"/>
    <n v="0"/>
    <n v="0"/>
    <n v="0"/>
    <n v="0"/>
    <n v="-255.26"/>
    <n v="0"/>
    <n v="0"/>
    <n v="0"/>
    <n v="-11625.88"/>
    <n v="0"/>
    <n v="-5915.05"/>
    <n v="-17796.189999999999"/>
    <n v="5915.05"/>
  </r>
  <r>
    <x v="19"/>
    <x v="6"/>
    <x v="0"/>
    <s v="3115107"/>
    <n v="400020"/>
    <s v="O/P Care Svcs Rev--Other"/>
    <s v="Ortho Unit-Silverdale"/>
    <x v="0"/>
    <n v="1700"/>
    <n v="-7657.23"/>
    <n v="-1894.71"/>
    <n v="-8825.34"/>
    <n v="-13527.72"/>
    <n v="-13267.39"/>
    <n v="-4083.84"/>
    <n v="-255.24"/>
    <n v="-1051.52"/>
    <n v="-5650.29"/>
    <n v="-2891.68"/>
    <n v="-7097.76"/>
    <n v="-10809.27"/>
    <n v="-77011.989999999991"/>
    <n v="3711.51"/>
  </r>
  <r>
    <x v="5"/>
    <x v="6"/>
    <x v="0"/>
    <s v="3115107"/>
    <n v="700014"/>
    <s v="Salaries-Management-Productive"/>
    <s v="Ortho Unit-Silverdale"/>
    <x v="0"/>
    <m/>
    <n v="4581.82"/>
    <n v="5300.15"/>
    <n v="3146.01"/>
    <n v="3529.67"/>
    <n v="6236.68"/>
    <n v="3830.04"/>
    <n v="5348.95"/>
    <n v="4257.83"/>
    <n v="5243.13"/>
    <n v="5418.89"/>
    <n v="4222.66"/>
    <n v="4539.43"/>
    <n v="55655.26"/>
    <n v="-316.77000000000044"/>
  </r>
  <r>
    <x v="5"/>
    <x v="6"/>
    <x v="0"/>
    <s v="3115107"/>
    <n v="700018"/>
    <s v="Salaries-Supervisory-Productive"/>
    <s v="Ortho Unit-Silverdale"/>
    <x v="0"/>
    <m/>
    <n v="6892.36"/>
    <n v="5558.68"/>
    <n v="-960.63"/>
    <n v="0"/>
    <n v="4929.55"/>
    <n v="7835.85"/>
    <n v="7086.18"/>
    <n v="6399.78"/>
    <n v="7085.51"/>
    <n v="6376.75"/>
    <n v="6468.41"/>
    <n v="7154.16"/>
    <n v="64826.600000000006"/>
    <n v="-685.75"/>
  </r>
  <r>
    <x v="5"/>
    <x v="6"/>
    <x v="0"/>
    <s v="3115107"/>
    <n v="700026"/>
    <s v="Salaries-RN-Productive"/>
    <s v="Ortho Unit-Silverdale"/>
    <x v="0"/>
    <m/>
    <n v="71247.62"/>
    <n v="71305.31"/>
    <n v="81339.490000000005"/>
    <n v="86182.37"/>
    <n v="81336.38"/>
    <n v="78545.460000000006"/>
    <n v="70152.320000000007"/>
    <n v="71309.75"/>
    <n v="95438"/>
    <n v="99650.5"/>
    <n v="87058.17"/>
    <n v="92689.61"/>
    <n v="986254.98"/>
    <n v="-5631.4400000000023"/>
  </r>
  <r>
    <x v="5"/>
    <x v="6"/>
    <x v="0"/>
    <s v="3115107"/>
    <n v="700026"/>
    <s v="Salaries-RN-OT"/>
    <s v="Ortho Unit-Silverdale"/>
    <x v="0"/>
    <n v="1000"/>
    <n v="3409.12"/>
    <n v="3761.42"/>
    <n v="8290.17"/>
    <n v="7440.58"/>
    <n v="12388.25"/>
    <n v="6128.36"/>
    <n v="7832.03"/>
    <n v="8453.51"/>
    <n v="11579.12"/>
    <n v="7023.87"/>
    <n v="7352.13"/>
    <n v="8909.14"/>
    <n v="92567.7"/>
    <n v="-1557.0099999999993"/>
  </r>
  <r>
    <x v="5"/>
    <x v="6"/>
    <x v="0"/>
    <s v="3115107"/>
    <n v="700026"/>
    <s v="Salaries-RN-Other"/>
    <s v="Ortho Unit-Silverdale"/>
    <x v="0"/>
    <n v="2000"/>
    <n v="6975.68"/>
    <n v="5821.49"/>
    <n v="7695.67"/>
    <n v="8226.6299999999992"/>
    <n v="7256.21"/>
    <n v="7057.47"/>
    <n v="9897.5300000000007"/>
    <n v="6333.92"/>
    <n v="9130.43"/>
    <n v="8952.2900000000009"/>
    <n v="8424.5499999999993"/>
    <n v="8570.3700000000008"/>
    <n v="94342.24"/>
    <n v="-145.82000000000153"/>
  </r>
  <r>
    <x v="5"/>
    <x v="6"/>
    <x v="0"/>
    <s v="3115107"/>
    <n v="700030"/>
    <s v="Salaries-LPN-Productive"/>
    <s v="Ortho Unit-Silverdale"/>
    <x v="0"/>
    <m/>
    <n v="0"/>
    <n v="0"/>
    <n v="0"/>
    <n v="175.23"/>
    <n v="220.4"/>
    <n v="39.57"/>
    <n v="368.74"/>
    <n v="1012.07"/>
    <n v="3959.7"/>
    <n v="1718.47"/>
    <n v="3132.07"/>
    <n v="5326.81"/>
    <n v="15953.060000000001"/>
    <n v="-2194.7400000000002"/>
  </r>
  <r>
    <x v="5"/>
    <x v="6"/>
    <x v="0"/>
    <s v="3115107"/>
    <n v="700030"/>
    <s v="Salaries-LPN-OT"/>
    <s v="Ortho Unit-Silverdale"/>
    <x v="0"/>
    <n v="1000"/>
    <n v="0"/>
    <n v="0"/>
    <n v="0"/>
    <n v="0"/>
    <n v="0"/>
    <n v="0"/>
    <n v="0"/>
    <n v="17.739999999999998"/>
    <n v="879.9"/>
    <n v="1290.46"/>
    <n v="761.31"/>
    <n v="1180.6400000000001"/>
    <n v="4130.05"/>
    <n v="-419.33000000000015"/>
  </r>
  <r>
    <x v="5"/>
    <x v="6"/>
    <x v="0"/>
    <s v="3115107"/>
    <n v="700030"/>
    <s v="Salaries-LPN-Other"/>
    <s v="Ortho Unit-Silverdale"/>
    <x v="0"/>
    <n v="2000"/>
    <n v="0"/>
    <n v="0"/>
    <n v="0"/>
    <n v="40.69"/>
    <n v="24"/>
    <n v="5.25"/>
    <n v="48.91"/>
    <n v="54.74"/>
    <n v="410.32"/>
    <n v="408.71"/>
    <n v="910.88"/>
    <n v="748.69"/>
    <n v="2652.19"/>
    <n v="162.18999999999994"/>
  </r>
  <r>
    <x v="5"/>
    <x v="6"/>
    <x v="0"/>
    <s v="3115107"/>
    <n v="700032"/>
    <s v="Salaries-Other Pat Care Providers-Productive"/>
    <s v="Ortho Unit-Silverdale"/>
    <x v="0"/>
    <m/>
    <n v="9465.0400000000009"/>
    <n v="10701.1"/>
    <n v="11697.51"/>
    <n v="14410.71"/>
    <n v="16025.2"/>
    <n v="15979.04"/>
    <n v="10261.120000000001"/>
    <n v="8775.68"/>
    <n v="14297.46"/>
    <n v="18664.099999999999"/>
    <n v="14120.51"/>
    <n v="15146.76"/>
    <n v="159544.23000000001"/>
    <n v="-1026.25"/>
  </r>
  <r>
    <x v="5"/>
    <x v="6"/>
    <x v="0"/>
    <s v="3115107"/>
    <n v="700032"/>
    <s v="Salaries-Other Pat Care Providers-OT"/>
    <s v="Ortho Unit-Silverdale"/>
    <x v="0"/>
    <n v="1000"/>
    <n v="434.19"/>
    <n v="710.42"/>
    <n v="959.72"/>
    <n v="1925.96"/>
    <n v="-117.15"/>
    <n v="1000.06"/>
    <n v="774.54"/>
    <n v="343.79"/>
    <n v="999.8"/>
    <n v="838.7"/>
    <n v="310.74"/>
    <n v="1637.3"/>
    <n v="9818.07"/>
    <n v="-1326.56"/>
  </r>
  <r>
    <x v="5"/>
    <x v="6"/>
    <x v="0"/>
    <s v="3115107"/>
    <n v="700032"/>
    <s v="Salaries-Other Pat Care Providers-Other"/>
    <s v="Ortho Unit-Silverdale"/>
    <x v="0"/>
    <n v="2000"/>
    <n v="907.48"/>
    <n v="621.70000000000005"/>
    <n v="1130.68"/>
    <n v="1377.74"/>
    <n v="1021.32"/>
    <n v="1275.29"/>
    <n v="615.63"/>
    <n v="752.01"/>
    <n v="1293.0899999999999"/>
    <n v="1068.42"/>
    <n v="1411.56"/>
    <n v="1048.1600000000001"/>
    <n v="12523.08"/>
    <n v="363.39999999999986"/>
  </r>
  <r>
    <x v="5"/>
    <x v="6"/>
    <x v="0"/>
    <s v="3115107"/>
    <n v="700054"/>
    <s v="Salaries-Management-Non-productive"/>
    <s v="Ortho Unit-Silverdale"/>
    <x v="0"/>
    <m/>
    <n v="718.08"/>
    <n v="0"/>
    <n v="1983.24"/>
    <n v="3405.81"/>
    <n v="-1739.25"/>
    <n v="1616.25"/>
    <n v="105.83"/>
    <n v="668.55"/>
    <n v="211.15"/>
    <n v="-140.74"/>
    <n v="1231.5999999999999"/>
    <n v="738.96"/>
    <n v="8799.48"/>
    <n v="492.63999999999987"/>
  </r>
  <r>
    <x v="5"/>
    <x v="6"/>
    <x v="0"/>
    <s v="3115107"/>
    <n v="700054"/>
    <s v="Salaries-Management-NonProd-Other"/>
    <s v="Ortho Unit-Silverdale"/>
    <x v="0"/>
    <n v="2000"/>
    <n v="0"/>
    <n v="0"/>
    <n v="0"/>
    <n v="0"/>
    <n v="0"/>
    <n v="1225.79"/>
    <n v="-1225.79"/>
    <n v="0"/>
    <n v="0"/>
    <n v="0"/>
    <n v="0"/>
    <n v="0"/>
    <n v="0"/>
    <n v="0"/>
  </r>
  <r>
    <x v="5"/>
    <x v="6"/>
    <x v="0"/>
    <s v="3115107"/>
    <n v="700058"/>
    <s v="Salaries-Supervisory-Non-productive"/>
    <s v="Ortho Unit-Silverdale"/>
    <x v="0"/>
    <m/>
    <n v="0"/>
    <n v="1333.98"/>
    <n v="7604.11"/>
    <n v="7039.81"/>
    <n v="1917.12"/>
    <n v="-593.34"/>
    <n v="0"/>
    <n v="0"/>
    <n v="0"/>
    <n v="479.98"/>
    <n v="617.09"/>
    <n v="-297.10000000000002"/>
    <n v="18101.650000000001"/>
    <n v="914.19"/>
  </r>
  <r>
    <x v="5"/>
    <x v="6"/>
    <x v="0"/>
    <s v="3115107"/>
    <n v="700066"/>
    <s v="Salaries-RN-Non-productive"/>
    <s v="Ortho Unit-Silverdale"/>
    <x v="0"/>
    <m/>
    <n v="20096.32"/>
    <n v="29268.07"/>
    <n v="5570.85"/>
    <n v="12763.12"/>
    <n v="19016.93"/>
    <n v="17420.419999999998"/>
    <n v="17107.72"/>
    <n v="11972.07"/>
    <n v="8783.2999999999993"/>
    <n v="15302.09"/>
    <n v="8793.83"/>
    <n v="9543.41"/>
    <n v="175638.12999999998"/>
    <n v="-749.57999999999993"/>
  </r>
  <r>
    <x v="5"/>
    <x v="6"/>
    <x v="0"/>
    <s v="3115107"/>
    <n v="700066"/>
    <s v="Salaries-RN-NonProd-Other"/>
    <s v="Ortho Unit-Silverdale"/>
    <x v="0"/>
    <n v="2000"/>
    <n v="1325.36"/>
    <n v="1218.52"/>
    <n v="110.24"/>
    <n v="571.47"/>
    <n v="1619.21"/>
    <n v="2966.62"/>
    <n v="520.96"/>
    <n v="-2273.56"/>
    <n v="349.76"/>
    <n v="974.79"/>
    <n v="520.24"/>
    <n v="594.07000000000005"/>
    <n v="8497.6800000000021"/>
    <n v="-73.830000000000041"/>
  </r>
  <r>
    <x v="5"/>
    <x v="6"/>
    <x v="0"/>
    <s v="3115107"/>
    <n v="700070"/>
    <s v="Salaries-LPN-Non-productive"/>
    <s v="Ortho Unit-Silverdale"/>
    <x v="0"/>
    <m/>
    <n v="0"/>
    <n v="0"/>
    <n v="0"/>
    <n v="0"/>
    <n v="0"/>
    <n v="0"/>
    <n v="0"/>
    <n v="0"/>
    <n v="0"/>
    <n v="0"/>
    <n v="0"/>
    <n v="277.13"/>
    <n v="277.13"/>
    <n v="-277.13"/>
  </r>
  <r>
    <x v="5"/>
    <x v="6"/>
    <x v="0"/>
    <s v="3115107"/>
    <n v="700070"/>
    <s v="Salaries-LPN-NonProd-Other"/>
    <s v="Ortho Unit-Silverdale"/>
    <x v="0"/>
    <n v="2000"/>
    <n v="0"/>
    <n v="0"/>
    <n v="0"/>
    <n v="0"/>
    <n v="0"/>
    <n v="0"/>
    <n v="0"/>
    <n v="0"/>
    <n v="0"/>
    <n v="85.5"/>
    <n v="-35.61"/>
    <n v="36.049999999999997"/>
    <n v="85.94"/>
    <n v="-71.66"/>
  </r>
  <r>
    <x v="5"/>
    <x v="6"/>
    <x v="0"/>
    <s v="3115107"/>
    <n v="700072"/>
    <s v="Salaries-Other Pat Care Providers-Non-productive"/>
    <s v="Ortho Unit-Silverdale"/>
    <x v="0"/>
    <m/>
    <n v="4542.72"/>
    <n v="4139.6899999999996"/>
    <n v="660.62"/>
    <n v="2501.56"/>
    <n v="5154.24"/>
    <n v="3137.42"/>
    <n v="3780.94"/>
    <n v="3074.88"/>
    <n v="64.69"/>
    <n v="1586.89"/>
    <n v="2863.39"/>
    <n v="925.38"/>
    <n v="32432.42"/>
    <n v="1938.0099999999998"/>
  </r>
  <r>
    <x v="5"/>
    <x v="6"/>
    <x v="0"/>
    <s v="3115107"/>
    <n v="700072"/>
    <s v="Salaries-Other Pat Care Providers-NonProd-Other"/>
    <s v="Ortho Unit-Silverdale"/>
    <x v="0"/>
    <n v="2000"/>
    <n v="218.99"/>
    <n v="198.23"/>
    <n v="44.22"/>
    <n v="0.8"/>
    <n v="84.51"/>
    <n v="220.96"/>
    <n v="217.77"/>
    <n v="33.24"/>
    <n v="27.99"/>
    <n v="62.13"/>
    <n v="38.56"/>
    <n v="69.709999999999994"/>
    <n v="1217.1100000000001"/>
    <n v="-31.149999999999991"/>
  </r>
  <r>
    <x v="5"/>
    <x v="6"/>
    <x v="0"/>
    <s v="3115107"/>
    <n v="700084"/>
    <s v="Accrued PTO"/>
    <s v="Ortho Unit-Silverdale"/>
    <x v="0"/>
    <m/>
    <n v="-2957.52"/>
    <n v="-929.78"/>
    <n v="4444.45"/>
    <n v="3328.62"/>
    <n v="-2415.2600000000002"/>
    <n v="885.79"/>
    <n v="3844.02"/>
    <n v="5108.59"/>
    <n v="9016"/>
    <n v="3971.09"/>
    <n v="1271.18"/>
    <n v="8400.92"/>
    <n v="33968.1"/>
    <n v="-7129.74"/>
  </r>
  <r>
    <x v="10"/>
    <x v="6"/>
    <x v="0"/>
    <s v="3115107"/>
    <n v="710060"/>
    <s v="Contract Labor-Other"/>
    <s v="Ortho Unit-Silverdale"/>
    <x v="0"/>
    <m/>
    <n v="0"/>
    <n v="0"/>
    <n v="1083.75"/>
    <n v="0"/>
    <n v="12733"/>
    <n v="7076.25"/>
    <n v="12001.1"/>
    <n v="0"/>
    <n v="544"/>
    <n v="0"/>
    <n v="0"/>
    <n v="2261"/>
    <n v="35699.1"/>
    <n v="-2261"/>
  </r>
  <r>
    <x v="10"/>
    <x v="6"/>
    <x v="0"/>
    <s v="3115107"/>
    <n v="710060"/>
    <s v="Contract Labor-Overtime"/>
    <s v="Ortho Unit-Silverdale"/>
    <x v="0"/>
    <n v="5100"/>
    <n v="0"/>
    <n v="0"/>
    <n v="0"/>
    <n v="0"/>
    <n v="0"/>
    <n v="0"/>
    <n v="0"/>
    <n v="0"/>
    <n v="367.2"/>
    <n v="0"/>
    <n v="0"/>
    <n v="0"/>
    <n v="367.2"/>
    <n v="0"/>
  </r>
  <r>
    <x v="10"/>
    <x v="6"/>
    <x v="0"/>
    <s v="3115107"/>
    <n v="710060"/>
    <s v="Contract Labor-Standby Wages"/>
    <s v="Ortho Unit-Silverdale"/>
    <x v="0"/>
    <n v="5101"/>
    <n v="0"/>
    <n v="0"/>
    <n v="0"/>
    <n v="0"/>
    <n v="0"/>
    <n v="96"/>
    <n v="0"/>
    <n v="96"/>
    <n v="0"/>
    <n v="0"/>
    <n v="0"/>
    <n v="0"/>
    <n v="192"/>
    <n v="0"/>
  </r>
  <r>
    <x v="6"/>
    <x v="6"/>
    <x v="0"/>
    <s v="3115107"/>
    <n v="713010"/>
    <s v="Benefits-FICA/Medicare"/>
    <s v="Ortho Unit-Silverdale"/>
    <x v="0"/>
    <m/>
    <n v="9765.76"/>
    <n v="10400.43"/>
    <n v="9477.81"/>
    <n v="11112.29"/>
    <n v="11284.59"/>
    <n v="10516.1"/>
    <n v="10003.200000000001"/>
    <n v="9163.25"/>
    <n v="11847.53"/>
    <n v="12567.07"/>
    <n v="10957.06"/>
    <n v="14155.04"/>
    <n v="131250.13"/>
    <n v="-3197.9800000000014"/>
  </r>
  <r>
    <x v="6"/>
    <x v="6"/>
    <x v="0"/>
    <s v="3115107"/>
    <n v="713090"/>
    <s v="Benefits-Allocated Amounts"/>
    <s v="Ortho Unit-Silverdale"/>
    <x v="0"/>
    <m/>
    <n v="19602.21"/>
    <n v="19651.46"/>
    <n v="19434.759999999998"/>
    <n v="22433.38"/>
    <n v="26653.58"/>
    <n v="23057.72"/>
    <n v="20798.490000000002"/>
    <n v="20585.169999999998"/>
    <n v="21425.89"/>
    <n v="29184.01"/>
    <n v="23482.94"/>
    <n v="30014.35"/>
    <n v="276323.96000000002"/>
    <n v="-6531.41"/>
  </r>
  <r>
    <x v="6"/>
    <x v="6"/>
    <x v="0"/>
    <s v="3115107"/>
    <n v="713096"/>
    <s v="Employee Recognition"/>
    <s v="Ortho Unit-Silverdale"/>
    <x v="0"/>
    <n v="1017"/>
    <n v="0"/>
    <n v="0"/>
    <n v="0"/>
    <n v="0"/>
    <n v="0"/>
    <n v="0"/>
    <n v="0"/>
    <n v="0"/>
    <n v="0"/>
    <n v="0"/>
    <n v="0"/>
    <n v="1000"/>
    <n v="1000"/>
    <n v="-1000"/>
  </r>
  <r>
    <x v="7"/>
    <x v="6"/>
    <x v="0"/>
    <s v="3115107"/>
    <n v="718050"/>
    <s v="Contract Management--Linen"/>
    <s v="Ortho Unit-Silverdale"/>
    <x v="0"/>
    <n v="1026"/>
    <n v="419.12"/>
    <n v="1123.77"/>
    <n v="1105.81"/>
    <n v="1231.3900000000001"/>
    <n v="1193.6300000000001"/>
    <n v="1201.93"/>
    <n v="681.14"/>
    <n v="1197.06"/>
    <n v="1227.08"/>
    <n v="1365.91"/>
    <n v="1040.3900000000001"/>
    <n v="1985.02"/>
    <n v="13772.25"/>
    <n v="-944.62999999999988"/>
  </r>
  <r>
    <x v="7"/>
    <x v="6"/>
    <x v="0"/>
    <s v="3115107"/>
    <n v="718070"/>
    <s v="Contract Srvcs-CHI Clinical Engineering"/>
    <s v="Ortho Unit-Silverdale"/>
    <x v="0"/>
    <m/>
    <n v="296.17"/>
    <n v="296.17"/>
    <n v="296.17"/>
    <n v="296.17"/>
    <n v="296.17"/>
    <n v="-1184.68"/>
    <n v="301.87"/>
    <n v="-586.64"/>
    <n v="334.6"/>
    <n v="334.6"/>
    <n v="583.91"/>
    <n v="282.04000000000002"/>
    <n v="1546.5500000000002"/>
    <n v="301.86999999999995"/>
  </r>
  <r>
    <x v="11"/>
    <x v="6"/>
    <x v="0"/>
    <s v="3115107"/>
    <n v="721010"/>
    <s v="Supplies-Medical - Billable"/>
    <s v="Ortho Unit-Silverdale"/>
    <x v="0"/>
    <m/>
    <n v="504.5"/>
    <n v="1303.42"/>
    <n v="630.58000000000004"/>
    <n v="1465.6"/>
    <n v="1132.78"/>
    <n v="1243.5"/>
    <n v="344.11"/>
    <n v="493.49"/>
    <n v="1038.79"/>
    <n v="1068.54"/>
    <n v="945.65"/>
    <n v="852.27"/>
    <n v="11023.23"/>
    <n v="93.38"/>
  </r>
  <r>
    <x v="11"/>
    <x v="6"/>
    <x v="0"/>
    <s v="3115107"/>
    <n v="721010"/>
    <s v="Patient Monitoring"/>
    <s v="Ortho Unit-Silverdale"/>
    <x v="0"/>
    <n v="1000"/>
    <n v="18.510000000000002"/>
    <n v="0"/>
    <n v="72.510000000000005"/>
    <n v="0"/>
    <n v="18.510000000000002"/>
    <n v="9.26"/>
    <n v="0"/>
    <n v="18.510000000000002"/>
    <n v="0"/>
    <n v="18.510000000000002"/>
    <n v="0"/>
    <n v="18.510000000000002"/>
    <n v="174.32"/>
    <n v="-18.510000000000002"/>
  </r>
  <r>
    <x v="11"/>
    <x v="6"/>
    <x v="0"/>
    <s v="3115107"/>
    <n v="721020"/>
    <s v="Supplies-Surgical - Billable"/>
    <s v="Ortho Unit-Silverdale"/>
    <x v="0"/>
    <m/>
    <n v="45.78"/>
    <n v="0"/>
    <n v="0"/>
    <n v="70.95"/>
    <n v="91.68"/>
    <n v="12.84"/>
    <n v="91.56"/>
    <n v="20.61"/>
    <n v="0"/>
    <n v="32.549999999999997"/>
    <n v="91.56"/>
    <n v="133.74"/>
    <n v="591.2700000000001"/>
    <n v="-42.180000000000007"/>
  </r>
  <r>
    <x v="11"/>
    <x v="6"/>
    <x v="0"/>
    <s v="3115107"/>
    <n v="721020"/>
    <s v="Custom Packs"/>
    <s v="Ortho Unit-Silverdale"/>
    <x v="0"/>
    <n v="1000"/>
    <n v="0"/>
    <n v="0"/>
    <n v="39.72"/>
    <n v="0"/>
    <n v="39.72"/>
    <n v="0"/>
    <n v="0"/>
    <n v="0"/>
    <n v="0"/>
    <n v="0"/>
    <n v="0"/>
    <n v="0"/>
    <n v="79.44"/>
    <n v="0"/>
  </r>
  <r>
    <x v="11"/>
    <x v="6"/>
    <x v="0"/>
    <s v="3115107"/>
    <n v="721240"/>
    <s v="Supplies-IV Solutions/Supplies - Billable"/>
    <s v="Ortho Unit-Silverdale"/>
    <x v="0"/>
    <m/>
    <n v="261.14999999999998"/>
    <n v="609.71"/>
    <n v="281.10000000000002"/>
    <n v="801.63"/>
    <n v="588.97"/>
    <n v="771.47"/>
    <n v="383.75"/>
    <n v="627.74"/>
    <n v="583.99"/>
    <n v="638.78"/>
    <n v="472.58"/>
    <n v="918.59"/>
    <n v="6939.46"/>
    <n v="-446.01000000000005"/>
  </r>
  <r>
    <x v="11"/>
    <x v="6"/>
    <x v="0"/>
    <s v="3115107"/>
    <n v="721320"/>
    <s v="Supplies-Purchased Blood - Billable"/>
    <s v="Ortho Unit-Silverdale"/>
    <x v="0"/>
    <m/>
    <n v="0"/>
    <n v="0"/>
    <n v="0"/>
    <n v="0"/>
    <n v="0"/>
    <n v="114.3"/>
    <n v="0"/>
    <n v="0"/>
    <n v="0"/>
    <n v="83.4"/>
    <n v="0"/>
    <n v="0"/>
    <n v="197.7"/>
    <n v="0"/>
  </r>
  <r>
    <x v="11"/>
    <x v="6"/>
    <x v="0"/>
    <s v="3115107"/>
    <n v="721410"/>
    <s v="Supplies-Medical - Nonbillable"/>
    <s v="Ortho Unit-Silverdale"/>
    <x v="0"/>
    <m/>
    <n v="2038.59"/>
    <n v="1612.79"/>
    <n v="2754.92"/>
    <n v="2081.67"/>
    <n v="1736.8"/>
    <n v="1845.03"/>
    <n v="1515.63"/>
    <n v="2102.67"/>
    <n v="2049.48"/>
    <n v="1625.48"/>
    <n v="1950.64"/>
    <n v="2328.9"/>
    <n v="23642.600000000002"/>
    <n v="-378.26"/>
  </r>
  <r>
    <x v="11"/>
    <x v="6"/>
    <x v="0"/>
    <s v="3115107"/>
    <n v="721420"/>
    <s v="Supplies-Surgical Nonbillable"/>
    <s v="Ortho Unit-Silverdale"/>
    <x v="0"/>
    <m/>
    <n v="0"/>
    <n v="0.59"/>
    <n v="0"/>
    <n v="0"/>
    <n v="45.11"/>
    <n v="0"/>
    <n v="0"/>
    <n v="0"/>
    <n v="1.2"/>
    <n v="0"/>
    <n v="24.99"/>
    <n v="55.65"/>
    <n v="127.53999999999999"/>
    <n v="-30.66"/>
  </r>
  <r>
    <x v="11"/>
    <x v="6"/>
    <x v="0"/>
    <s v="3115107"/>
    <n v="721420"/>
    <s v="Tubes Drains &amp; Related Supplies"/>
    <s v="Ortho Unit-Silverdale"/>
    <x v="0"/>
    <n v="1008"/>
    <n v="0"/>
    <n v="0"/>
    <n v="0"/>
    <n v="0"/>
    <n v="0"/>
    <n v="0"/>
    <n v="0"/>
    <n v="0"/>
    <n v="0"/>
    <n v="85.78"/>
    <n v="0"/>
    <n v="6.49"/>
    <n v="92.27"/>
    <n v="-6.49"/>
  </r>
  <r>
    <x v="11"/>
    <x v="6"/>
    <x v="0"/>
    <s v="3115107"/>
    <n v="721610"/>
    <s v="Supplies-Anesthesia - Nonbillable"/>
    <s v="Ortho Unit-Silverdale"/>
    <x v="0"/>
    <m/>
    <n v="72.91"/>
    <n v="16.38"/>
    <n v="55.66"/>
    <n v="38.71"/>
    <n v="88.02"/>
    <n v="12.67"/>
    <n v="0"/>
    <n v="0"/>
    <n v="5.32"/>
    <n v="39.47"/>
    <n v="152.51"/>
    <n v="67.58"/>
    <n v="549.23"/>
    <n v="84.929999999999993"/>
  </r>
  <r>
    <x v="11"/>
    <x v="6"/>
    <x v="0"/>
    <s v="3115107"/>
    <n v="721640"/>
    <s v="Supplies-IV Solutions/Supplies - Nonbillable"/>
    <s v="Ortho Unit-Silverdale"/>
    <x v="0"/>
    <m/>
    <n v="668.88"/>
    <n v="650.91999999999996"/>
    <n v="751.71"/>
    <n v="1049.0999999999999"/>
    <n v="584.98"/>
    <n v="726.56"/>
    <n v="757.03"/>
    <n v="701.64"/>
    <n v="840.27"/>
    <n v="912.46"/>
    <n v="606.35"/>
    <n v="1031.8399999999999"/>
    <n v="9281.74"/>
    <n v="-425.4899999999999"/>
  </r>
  <r>
    <x v="11"/>
    <x v="6"/>
    <x v="0"/>
    <s v="3115107"/>
    <n v="721650"/>
    <s v="Supplies-Pharmacy Drugs - Nonbillable"/>
    <s v="Ortho Unit-Silverdale"/>
    <x v="0"/>
    <m/>
    <n v="13.99"/>
    <n v="66.09"/>
    <n v="0"/>
    <n v="38.340000000000003"/>
    <n v="13.5"/>
    <n v="15.26"/>
    <n v="32.08"/>
    <n v="31"/>
    <n v="13.5"/>
    <n v="13.5"/>
    <n v="63.18"/>
    <n v="30.51"/>
    <n v="330.95"/>
    <n v="32.67"/>
  </r>
  <r>
    <x v="11"/>
    <x v="6"/>
    <x v="0"/>
    <s v="3115107"/>
    <n v="721710"/>
    <s v="Supplies-Laboratory - Nonbillable"/>
    <s v="Ortho Unit-Silverdale"/>
    <x v="0"/>
    <m/>
    <n v="11.78"/>
    <n v="48.05"/>
    <n v="39.17"/>
    <n v="38.619999999999997"/>
    <n v="30.07"/>
    <n v="27.39"/>
    <n v="36.93"/>
    <n v="40.619999999999997"/>
    <n v="46.06"/>
    <n v="35.79"/>
    <n v="47.06"/>
    <n v="24.1"/>
    <n v="425.64000000000004"/>
    <n v="22.96"/>
  </r>
  <r>
    <x v="11"/>
    <x v="6"/>
    <x v="0"/>
    <s v="3115107"/>
    <n v="721750"/>
    <s v="Supplies-Film/Radiographic - Nonbillable"/>
    <s v="Ortho Unit-Silverdale"/>
    <x v="0"/>
    <m/>
    <n v="1.87"/>
    <n v="0"/>
    <n v="0"/>
    <n v="0"/>
    <n v="2.81"/>
    <n v="1.87"/>
    <n v="0"/>
    <n v="0"/>
    <n v="0"/>
    <n v="0"/>
    <n v="1.87"/>
    <n v="0"/>
    <n v="8.42"/>
    <n v="1.87"/>
  </r>
  <r>
    <x v="11"/>
    <x v="6"/>
    <x v="0"/>
    <s v="3115107"/>
    <n v="721810"/>
    <s v="Supplies-Dietary/Cafeteria"/>
    <s v="Ortho Unit-Silverdale"/>
    <x v="0"/>
    <m/>
    <n v="380.99"/>
    <n v="426.94"/>
    <n v="289.39999999999998"/>
    <n v="319.67"/>
    <n v="264.33999999999997"/>
    <n v="351.97"/>
    <n v="307.24"/>
    <n v="408.73"/>
    <n v="334.29"/>
    <n v="489.14"/>
    <n v="357.34"/>
    <n v="611.51"/>
    <n v="4541.5600000000004"/>
    <n v="-254.17000000000002"/>
  </r>
  <r>
    <x v="11"/>
    <x v="6"/>
    <x v="0"/>
    <s v="3115107"/>
    <n v="721830"/>
    <s v="Supplies-Office"/>
    <s v="Ortho Unit-Silverdale"/>
    <x v="0"/>
    <m/>
    <n v="157.75"/>
    <n v="85.96"/>
    <n v="117.53"/>
    <n v="181.33"/>
    <n v="194.09"/>
    <n v="97.35"/>
    <n v="63.84"/>
    <n v="197.38"/>
    <n v="283.95999999999998"/>
    <n v="231.07"/>
    <n v="128.86000000000001"/>
    <n v="200.51"/>
    <n v="1939.6299999999999"/>
    <n v="-71.649999999999977"/>
  </r>
  <r>
    <x v="11"/>
    <x v="6"/>
    <x v="0"/>
    <s v="3115107"/>
    <n v="721835"/>
    <s v="Supplies-Forms"/>
    <s v="Ortho Unit-Silverdale"/>
    <x v="0"/>
    <m/>
    <n v="0"/>
    <n v="0"/>
    <n v="0"/>
    <n v="0"/>
    <n v="57.15"/>
    <n v="12.9"/>
    <n v="0"/>
    <n v="0"/>
    <n v="0"/>
    <n v="0"/>
    <n v="0"/>
    <n v="1"/>
    <n v="71.05"/>
    <n v="-1"/>
  </r>
  <r>
    <x v="11"/>
    <x v="6"/>
    <x v="0"/>
    <s v="3115107"/>
    <n v="721870"/>
    <s v="Supplies-Environmental Services"/>
    <s v="Ortho Unit-Silverdale"/>
    <x v="0"/>
    <m/>
    <n v="118.38"/>
    <n v="353.04"/>
    <n v="61.07"/>
    <n v="273.77999999999997"/>
    <n v="260.16000000000003"/>
    <n v="158.80000000000001"/>
    <n v="319.57"/>
    <n v="246.37"/>
    <n v="16"/>
    <n v="407.02"/>
    <n v="264.92"/>
    <n v="206.2"/>
    <n v="2685.31"/>
    <n v="58.720000000000027"/>
  </r>
  <r>
    <x v="11"/>
    <x v="6"/>
    <x v="0"/>
    <s v="3115107"/>
    <n v="721910"/>
    <s v="Supplies-Small Equipment"/>
    <s v="Ortho Unit-Silverdale"/>
    <x v="0"/>
    <m/>
    <n v="3789.86"/>
    <n v="-71.12"/>
    <n v="3.84"/>
    <n v="3149.79"/>
    <n v="12.6"/>
    <n v="198.48"/>
    <n v="185"/>
    <n v="923.31"/>
    <n v="358.2"/>
    <n v="221.4"/>
    <n v="241.46"/>
    <n v="58"/>
    <n v="9070.82"/>
    <n v="183.46"/>
  </r>
  <r>
    <x v="11"/>
    <x v="6"/>
    <x v="0"/>
    <s v="3115107"/>
    <n v="721910"/>
    <s v="Instruments"/>
    <s v="Ortho Unit-Silverdale"/>
    <x v="0"/>
    <n v="1000"/>
    <n v="18.239999999999998"/>
    <n v="18.239999999999998"/>
    <n v="0"/>
    <n v="18.239999999999998"/>
    <n v="27.36"/>
    <n v="18.239999999999998"/>
    <n v="18.239999999999998"/>
    <n v="18.239999999999998"/>
    <n v="0"/>
    <n v="0"/>
    <n v="19.260000000000002"/>
    <n v="19.260000000000002"/>
    <n v="175.31999999999996"/>
    <n v="0"/>
  </r>
  <r>
    <x v="11"/>
    <x v="6"/>
    <x v="0"/>
    <s v="3115107"/>
    <n v="721980"/>
    <s v="Supplies-Other"/>
    <s v="Ortho Unit-Silverdale"/>
    <x v="0"/>
    <m/>
    <n v="0"/>
    <n v="0"/>
    <n v="0"/>
    <n v="0"/>
    <n v="0"/>
    <n v="0"/>
    <n v="0"/>
    <n v="0"/>
    <n v="0"/>
    <n v="63.52"/>
    <n v="0"/>
    <n v="0"/>
    <n v="63.52"/>
    <n v="0"/>
  </r>
  <r>
    <x v="11"/>
    <x v="6"/>
    <x v="0"/>
    <s v="3115107"/>
    <n v="722000"/>
    <s v="Supplies-Freight Expense"/>
    <s v="Ortho Unit-Silverdale"/>
    <x v="0"/>
    <m/>
    <n v="0"/>
    <n v="0"/>
    <n v="0"/>
    <n v="0"/>
    <n v="7.99"/>
    <n v="9.0399999999999991"/>
    <n v="0"/>
    <n v="0"/>
    <n v="0"/>
    <n v="0"/>
    <n v="8.26"/>
    <n v="0"/>
    <n v="25.29"/>
    <n v="8.26"/>
  </r>
  <r>
    <x v="12"/>
    <x v="6"/>
    <x v="0"/>
    <s v="3115107"/>
    <n v="730020"/>
    <s v="Rental and Leases-Copier Usage Fees (DO NOT USE)"/>
    <s v="Ortho Unit-Silverdale"/>
    <x v="0"/>
    <n v="5100"/>
    <n v="681.93"/>
    <n v="701.95"/>
    <n v="691.94"/>
    <n v="691.94"/>
    <n v="691.94"/>
    <n v="691.94"/>
    <n v="1096.3399999999999"/>
    <n v="700.27"/>
    <n v="720.8"/>
    <n v="808.65"/>
    <n v="722.29"/>
    <n v="765.03"/>
    <n v="8965.02"/>
    <n v="-42.740000000000009"/>
  </r>
  <r>
    <x v="15"/>
    <x v="6"/>
    <x v="0"/>
    <s v="3115107"/>
    <n v="731060"/>
    <s v="Cell Phones"/>
    <s v="Ortho Unit-Silverdale"/>
    <x v="0"/>
    <n v="1001"/>
    <n v="0"/>
    <n v="0"/>
    <n v="0"/>
    <n v="0"/>
    <n v="0"/>
    <n v="0"/>
    <n v="0"/>
    <n v="0"/>
    <n v="0"/>
    <n v="59.09"/>
    <n v="51.32"/>
    <n v="52.05"/>
    <n v="162.45999999999998"/>
    <n v="-0.72999999999999687"/>
  </r>
  <r>
    <x v="13"/>
    <x v="6"/>
    <x v="0"/>
    <s v="3115107"/>
    <n v="735070"/>
    <s v="Depreciation-Movable Equipment"/>
    <s v="Ortho Unit-Silverdale"/>
    <x v="0"/>
    <m/>
    <n v="1823.51"/>
    <n v="1776.84"/>
    <n v="1776.84"/>
    <n v="1910.82"/>
    <n v="1910.82"/>
    <n v="1910.81"/>
    <n v="2120.08"/>
    <n v="2120.79"/>
    <n v="2120.8000000000002"/>
    <n v="2545.46"/>
    <n v="2191.59"/>
    <n v="2191.56"/>
    <n v="24399.919999999998"/>
    <n v="3.0000000000200089E-2"/>
  </r>
  <r>
    <x v="0"/>
    <x v="6"/>
    <x v="0"/>
    <s v="3115107"/>
    <n v="749510"/>
    <s v="Miscellaneous Expenses"/>
    <s v="Ortho Unit-Silverdale"/>
    <x v="0"/>
    <m/>
    <n v="-49.6"/>
    <n v="0"/>
    <n v="0"/>
    <n v="7.83"/>
    <n v="18.989999999999998"/>
    <n v="73.28"/>
    <n v="0"/>
    <n v="0"/>
    <n v="0"/>
    <n v="0"/>
    <n v="0"/>
    <n v="0"/>
    <n v="50.5"/>
    <n v="0"/>
  </r>
  <r>
    <x v="0"/>
    <x v="6"/>
    <x v="0"/>
    <s v="3115107"/>
    <n v="749530"/>
    <s v="Travel"/>
    <s v="Ortho Unit-Silverdale"/>
    <x v="0"/>
    <m/>
    <n v="6"/>
    <n v="0"/>
    <n v="0"/>
    <n v="0"/>
    <n v="0"/>
    <n v="6"/>
    <n v="0"/>
    <n v="0"/>
    <n v="0"/>
    <n v="0"/>
    <n v="10"/>
    <n v="0"/>
    <n v="22"/>
    <n v="10"/>
  </r>
  <r>
    <x v="0"/>
    <x v="6"/>
    <x v="0"/>
    <s v="3115107"/>
    <n v="749530"/>
    <s v="Mileage"/>
    <s v="Ortho Unit-Silverdale"/>
    <x v="0"/>
    <n v="1001"/>
    <n v="43.6"/>
    <n v="0"/>
    <n v="0"/>
    <n v="0"/>
    <n v="0"/>
    <n v="43.6"/>
    <n v="0"/>
    <n v="0"/>
    <n v="0"/>
    <n v="0"/>
    <n v="84.68"/>
    <n v="0"/>
    <n v="171.88"/>
    <n v="84.68"/>
  </r>
  <r>
    <x v="18"/>
    <x v="3"/>
    <x v="0"/>
    <s v="3120101"/>
    <n v="400010"/>
    <s v="Acute I/P Svcs Rev--Medicare"/>
    <s v="Med/Surg Oncology"/>
    <x v="0"/>
    <n v="1100"/>
    <n v="-1429907.35"/>
    <n v="-1595593.84"/>
    <n v="-1733234.65"/>
    <n v="-1779301.86"/>
    <n v="-1511622.04"/>
    <n v="-1390732.54"/>
    <n v="-1703345.93"/>
    <n v="-1838723.71"/>
    <n v="-1622019.66"/>
    <n v="-1646642.17"/>
    <n v="-1395565.83"/>
    <n v="-1106668.43"/>
    <n v="-18753358.010000002"/>
    <n v="-288897.40000000014"/>
  </r>
  <r>
    <x v="18"/>
    <x v="3"/>
    <x v="0"/>
    <s v="3120101"/>
    <n v="400010"/>
    <s v="Acute I/P Svcs Rev--Medicaid"/>
    <s v="Med/Surg Oncology"/>
    <x v="0"/>
    <n v="1200"/>
    <n v="-621909.68999999994"/>
    <n v="-505297.99"/>
    <n v="-354894.87"/>
    <n v="-632870.25"/>
    <n v="-560925.98"/>
    <n v="-720260.18"/>
    <n v="-627838.17000000004"/>
    <n v="-480993.97"/>
    <n v="-809791.53"/>
    <n v="-614930.62"/>
    <n v="-793518.27"/>
    <n v="-761263.13"/>
    <n v="-7484494.6499999994"/>
    <n v="-32255.140000000014"/>
  </r>
  <r>
    <x v="18"/>
    <x v="3"/>
    <x v="0"/>
    <s v="3120101"/>
    <n v="400010"/>
    <s v="Acute I/P Svcs Rev--Comm Insurance"/>
    <s v="Med/Surg Oncology"/>
    <x v="0"/>
    <n v="1300"/>
    <n v="31202.5"/>
    <n v="-58706.66"/>
    <n v="-188256.54"/>
    <n v="-78226.92"/>
    <n v="-94403.65"/>
    <n v="-89901.49"/>
    <n v="1651.64"/>
    <n v="5422.83"/>
    <n v="-50439.21"/>
    <n v="37517.379999999997"/>
    <n v="649.08000000000004"/>
    <n v="-17136.36"/>
    <n v="-500627.39999999997"/>
    <n v="17785.440000000002"/>
  </r>
  <r>
    <x v="18"/>
    <x v="3"/>
    <x v="0"/>
    <s v="3120101"/>
    <n v="400010"/>
    <s v="Acute I/P Svcs Rev--BCBS Comm"/>
    <s v="Med/Surg Oncology"/>
    <x v="0"/>
    <n v="1301"/>
    <n v="-114959.27"/>
    <n v="-132193.26999999999"/>
    <n v="-109069.32"/>
    <n v="-134454.20000000001"/>
    <n v="-55526.76"/>
    <n v="-196024.97"/>
    <n v="-94486.37"/>
    <n v="-79578.600000000006"/>
    <n v="-40203.089999999997"/>
    <n v="-36835.54"/>
    <n v="-80079.570000000007"/>
    <n v="-110665.28"/>
    <n v="-1184076.24"/>
    <n v="30585.709999999992"/>
  </r>
  <r>
    <x v="18"/>
    <x v="3"/>
    <x v="0"/>
    <s v="3120101"/>
    <n v="400010"/>
    <s v="Acute I/P Svcs Rev--Managed Care"/>
    <s v="Med/Surg Oncology"/>
    <x v="0"/>
    <n v="1400"/>
    <n v="-1084435.04"/>
    <n v="-768580.09"/>
    <n v="-534384.55000000005"/>
    <n v="-512773.5"/>
    <n v="-485113.73"/>
    <n v="-535997.97"/>
    <n v="-840609.84"/>
    <n v="-419852.69"/>
    <n v="-727164.11"/>
    <n v="-833384.86"/>
    <n v="-774377.91"/>
    <n v="-1028494.97"/>
    <n v="-8545169.2600000016"/>
    <n v="254117.05999999994"/>
  </r>
  <r>
    <x v="18"/>
    <x v="3"/>
    <x v="0"/>
    <s v="3120101"/>
    <n v="400010"/>
    <s v="Acute I/P Svcs Rev--Self Pay"/>
    <s v="Med/Surg Oncology"/>
    <x v="0"/>
    <n v="1500"/>
    <n v="-24771.91"/>
    <n v="-47828.63"/>
    <n v="-7160.96"/>
    <n v="-15016.71"/>
    <n v="0"/>
    <n v="-17858.59"/>
    <n v="0"/>
    <n v="-26738.84"/>
    <n v="-62463.16"/>
    <n v="-38355.97"/>
    <n v="18810.73"/>
    <n v="-38674.14"/>
    <n v="-260058.18"/>
    <n v="57484.869999999995"/>
  </r>
  <r>
    <x v="18"/>
    <x v="3"/>
    <x v="0"/>
    <s v="3120101"/>
    <n v="400010"/>
    <s v="Acute I/P Svcs Rev--Other"/>
    <s v="Med/Surg Oncology"/>
    <x v="0"/>
    <n v="1700"/>
    <n v="-2378.34"/>
    <n v="-40126.29"/>
    <n v="24888.68"/>
    <n v="-10278.89"/>
    <n v="-11273.31"/>
    <n v="-45437.23"/>
    <n v="-45710.9"/>
    <n v="-96961.91"/>
    <n v="-33148.800000000003"/>
    <n v="-78600.179999999993"/>
    <n v="-190505.17"/>
    <n v="-203352.61"/>
    <n v="-732884.95"/>
    <n v="12847.439999999973"/>
  </r>
  <r>
    <x v="19"/>
    <x v="3"/>
    <x v="0"/>
    <s v="3120101"/>
    <n v="400020"/>
    <s v="O/P Care Svcs Rev--Medicare"/>
    <s v="Med/Surg Oncology"/>
    <x v="0"/>
    <n v="1100"/>
    <n v="-45041.34"/>
    <n v="-20370.84"/>
    <n v="-45654.57"/>
    <n v="-19187.990000000002"/>
    <n v="-51824.73"/>
    <n v="-28624.46"/>
    <n v="-12979.98"/>
    <n v="-5981.48"/>
    <n v="-37636.94"/>
    <n v="-69626.039999999994"/>
    <n v="-39519.839999999997"/>
    <n v="-31723.61"/>
    <n v="-408171.81999999995"/>
    <n v="-7796.2299999999959"/>
  </r>
  <r>
    <x v="19"/>
    <x v="3"/>
    <x v="0"/>
    <s v="3120101"/>
    <n v="400020"/>
    <s v="O/P Care Svcs Rev--Medicaid"/>
    <s v="Med/Surg Oncology"/>
    <x v="0"/>
    <n v="1200"/>
    <n v="-8802.98"/>
    <n v="-6860.03"/>
    <n v="-820.26"/>
    <n v="0"/>
    <n v="-18147.32"/>
    <n v="-13763.76"/>
    <n v="-6692.79"/>
    <n v="-24488.61"/>
    <n v="-4375.97"/>
    <n v="-25621.05"/>
    <n v="-4832.26"/>
    <n v="0"/>
    <n v="-114405.03"/>
    <n v="-4832.26"/>
  </r>
  <r>
    <x v="19"/>
    <x v="3"/>
    <x v="0"/>
    <s v="3120101"/>
    <n v="400020"/>
    <s v="O/P Care Svcs Rev--Comm Insurance"/>
    <s v="Med/Surg Oncology"/>
    <x v="0"/>
    <n v="1300"/>
    <n v="1586.57"/>
    <n v="0"/>
    <n v="0"/>
    <n v="-5194.9799999999996"/>
    <n v="2118.5700000000002"/>
    <n v="0"/>
    <n v="0"/>
    <n v="0"/>
    <n v="0"/>
    <n v="0"/>
    <n v="-615.24"/>
    <n v="0"/>
    <n v="-2105.08"/>
    <n v="-615.24"/>
  </r>
  <r>
    <x v="19"/>
    <x v="3"/>
    <x v="0"/>
    <s v="3120101"/>
    <n v="400020"/>
    <s v="O/P Care Svcs Rev--BCBS Comm"/>
    <s v="Med/Surg Oncology"/>
    <x v="0"/>
    <n v="1301"/>
    <n v="0"/>
    <n v="0"/>
    <n v="0"/>
    <n v="-2169.71"/>
    <n v="-5417.33"/>
    <n v="-9352.02"/>
    <n v="660.65"/>
    <n v="0"/>
    <n v="0"/>
    <n v="0"/>
    <n v="-31277.06"/>
    <n v="-10702.47"/>
    <n v="-58257.94"/>
    <n v="-20574.590000000004"/>
  </r>
  <r>
    <x v="19"/>
    <x v="3"/>
    <x v="0"/>
    <s v="3120101"/>
    <n v="400020"/>
    <s v="O/P Care Svcs Rev--Managed Care"/>
    <s v="Med/Surg Oncology"/>
    <x v="0"/>
    <n v="1400"/>
    <n v="0"/>
    <n v="-15038.99"/>
    <n v="0"/>
    <n v="0"/>
    <n v="-19177.099999999999"/>
    <n v="-4384.42"/>
    <n v="-25049.68"/>
    <n v="-12777.74"/>
    <n v="-8405.08"/>
    <n v="-26332.82"/>
    <n v="-6644.84"/>
    <n v="-19416.2"/>
    <n v="-137226.87"/>
    <n v="12771.36"/>
  </r>
  <r>
    <x v="19"/>
    <x v="3"/>
    <x v="0"/>
    <s v="3120101"/>
    <n v="400020"/>
    <s v="O/P Care Svcs Rev--Self Pay"/>
    <s v="Med/Surg Oncology"/>
    <x v="0"/>
    <n v="15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3120101"/>
    <n v="400020"/>
    <s v="O/P Care Svcs Rev--Other"/>
    <s v="Med/Surg Oncology"/>
    <x v="0"/>
    <n v="1700"/>
    <n v="0"/>
    <n v="1948.63"/>
    <n v="-9480.0400000000009"/>
    <n v="1311.72"/>
    <n v="0"/>
    <n v="0"/>
    <n v="0"/>
    <n v="0"/>
    <n v="-4829.28"/>
    <n v="0"/>
    <n v="0"/>
    <n v="0"/>
    <n v="-11048.970000000001"/>
    <n v="0"/>
  </r>
  <r>
    <x v="5"/>
    <x v="3"/>
    <x v="0"/>
    <s v="3120101"/>
    <n v="700014"/>
    <s v="Salaries-Management-Productive"/>
    <s v="Med/Surg Oncology"/>
    <x v="0"/>
    <m/>
    <n v="8918"/>
    <n v="11121.37"/>
    <n v="8598.84"/>
    <n v="10002.16"/>
    <n v="8798.3700000000008"/>
    <n v="8287.5499999999993"/>
    <n v="11188.46"/>
    <n v="5557.59"/>
    <n v="12431.03"/>
    <n v="10968.33"/>
    <n v="9798.7199999999993"/>
    <n v="9433.25"/>
    <n v="115103.67"/>
    <n v="365.46999999999935"/>
  </r>
  <r>
    <x v="5"/>
    <x v="3"/>
    <x v="0"/>
    <s v="3120101"/>
    <n v="700018"/>
    <s v="Salaries-Supervisory-Productive"/>
    <s v="Med/Surg Oncology"/>
    <x v="0"/>
    <m/>
    <n v="0"/>
    <n v="0"/>
    <n v="0"/>
    <n v="0"/>
    <n v="0"/>
    <n v="0"/>
    <n v="8161.87"/>
    <n v="6455.44"/>
    <n v="7791.07"/>
    <n v="6826.25"/>
    <n v="7914.72"/>
    <n v="6381.37"/>
    <n v="43530.720000000001"/>
    <n v="1533.3500000000004"/>
  </r>
  <r>
    <x v="5"/>
    <x v="3"/>
    <x v="0"/>
    <s v="3120101"/>
    <n v="700026"/>
    <s v="Salaries-RN-Productive"/>
    <s v="Med/Surg Oncology"/>
    <x v="0"/>
    <m/>
    <n v="243139.1"/>
    <n v="251004.77"/>
    <n v="249002.55"/>
    <n v="263089.51"/>
    <n v="224356.17"/>
    <n v="229142.28"/>
    <n v="245398.69"/>
    <n v="225381.69"/>
    <n v="243046.39"/>
    <n v="224712.54"/>
    <n v="235315.1"/>
    <n v="243157.26"/>
    <n v="2876746.05"/>
    <n v="-7842.1600000000035"/>
  </r>
  <r>
    <x v="5"/>
    <x v="3"/>
    <x v="0"/>
    <s v="3120101"/>
    <n v="700026"/>
    <s v="Salaries-RN-OT"/>
    <s v="Med/Surg Oncology"/>
    <x v="0"/>
    <n v="1000"/>
    <n v="12459.4"/>
    <n v="12351.08"/>
    <n v="11182.38"/>
    <n v="18345.599999999999"/>
    <n v="13442.68"/>
    <n v="9208.9500000000007"/>
    <n v="11946.01"/>
    <n v="13236.47"/>
    <n v="18955.28"/>
    <n v="11458.61"/>
    <n v="8139.23"/>
    <n v="12519.31"/>
    <n v="153245"/>
    <n v="-4380.08"/>
  </r>
  <r>
    <x v="5"/>
    <x v="3"/>
    <x v="0"/>
    <s v="3120101"/>
    <n v="700026"/>
    <s v="Salaries-RN-Other"/>
    <s v="Med/Surg Oncology"/>
    <x v="0"/>
    <n v="2000"/>
    <n v="22897.57"/>
    <n v="23521.41"/>
    <n v="23116.23"/>
    <n v="25214.78"/>
    <n v="21928.31"/>
    <n v="20319.41"/>
    <n v="22891.53"/>
    <n v="22040.97"/>
    <n v="23236.14"/>
    <n v="21072.49"/>
    <n v="24032.91"/>
    <n v="21977.24"/>
    <n v="272248.99"/>
    <n v="2055.6699999999983"/>
  </r>
  <r>
    <x v="5"/>
    <x v="3"/>
    <x v="0"/>
    <s v="3120101"/>
    <n v="700032"/>
    <s v="Salaries-Other Pat Care Providers-Productive"/>
    <s v="Med/Surg Oncology"/>
    <x v="0"/>
    <m/>
    <n v="67528.53"/>
    <n v="64707.82"/>
    <n v="61230.09"/>
    <n v="66880.5"/>
    <n v="93307.99"/>
    <n v="65045.93"/>
    <n v="67573.210000000006"/>
    <n v="54647.92"/>
    <n v="66817.87"/>
    <n v="63056.5"/>
    <n v="66838.67"/>
    <n v="54401.49"/>
    <n v="792036.52"/>
    <n v="12437.18"/>
  </r>
  <r>
    <x v="5"/>
    <x v="3"/>
    <x v="0"/>
    <s v="3120101"/>
    <n v="700032"/>
    <s v="Salaries-Other Pat Care Providers-OT"/>
    <s v="Med/Surg Oncology"/>
    <x v="0"/>
    <n v="1000"/>
    <n v="6805.12"/>
    <n v="2510.9"/>
    <n v="3894.81"/>
    <n v="10599.5"/>
    <n v="6081.26"/>
    <n v="8946.36"/>
    <n v="5558.71"/>
    <n v="10987.88"/>
    <n v="9901.77"/>
    <n v="7342.43"/>
    <n v="7530.12"/>
    <n v="4710.6499999999996"/>
    <n v="84869.50999999998"/>
    <n v="2819.4700000000003"/>
  </r>
  <r>
    <x v="5"/>
    <x v="3"/>
    <x v="0"/>
    <s v="3120101"/>
    <n v="700032"/>
    <s v="Salaries-Other Pat Care Providers-Other"/>
    <s v="Med/Surg Oncology"/>
    <x v="0"/>
    <n v="2000"/>
    <n v="4956.59"/>
    <n v="4947.55"/>
    <n v="4187.0600000000004"/>
    <n v="5346.42"/>
    <n v="6628.91"/>
    <n v="4806.54"/>
    <n v="4829.82"/>
    <n v="3738.03"/>
    <n v="4795.16"/>
    <n v="4325.2299999999996"/>
    <n v="4858.5600000000004"/>
    <n v="3689.08"/>
    <n v="57108.95"/>
    <n v="1169.4800000000005"/>
  </r>
  <r>
    <x v="5"/>
    <x v="3"/>
    <x v="0"/>
    <s v="3120101"/>
    <n v="700038"/>
    <s v="Salaries-Service/Support-Productive"/>
    <s v="Med/Surg Oncology"/>
    <x v="0"/>
    <m/>
    <n v="0"/>
    <n v="0"/>
    <n v="0"/>
    <n v="0"/>
    <n v="0"/>
    <n v="0"/>
    <n v="0"/>
    <n v="0"/>
    <n v="0"/>
    <n v="0"/>
    <n v="0"/>
    <n v="311.54000000000002"/>
    <n v="311.54000000000002"/>
    <n v="-311.54000000000002"/>
  </r>
  <r>
    <x v="5"/>
    <x v="3"/>
    <x v="0"/>
    <s v="3120101"/>
    <n v="700038"/>
    <s v="Salaries-Service/Support-OT"/>
    <s v="Med/Surg Oncology"/>
    <x v="0"/>
    <n v="1000"/>
    <n v="0"/>
    <n v="0"/>
    <n v="0"/>
    <n v="0"/>
    <n v="0"/>
    <n v="0"/>
    <n v="0"/>
    <n v="0"/>
    <n v="0"/>
    <n v="0"/>
    <n v="0"/>
    <n v="137.80000000000001"/>
    <n v="137.80000000000001"/>
    <n v="-137.80000000000001"/>
  </r>
  <r>
    <x v="5"/>
    <x v="3"/>
    <x v="0"/>
    <s v="3120101"/>
    <n v="700038"/>
    <s v="Salaries-Service/Support-Other"/>
    <s v="Med/Surg Oncology"/>
    <x v="0"/>
    <n v="2000"/>
    <n v="0"/>
    <n v="0"/>
    <n v="0"/>
    <n v="0"/>
    <n v="0"/>
    <n v="0"/>
    <n v="0"/>
    <n v="0"/>
    <n v="0"/>
    <n v="0"/>
    <n v="0"/>
    <n v="26.7"/>
    <n v="26.7"/>
    <n v="-26.7"/>
  </r>
  <r>
    <x v="5"/>
    <x v="3"/>
    <x v="0"/>
    <s v="3120101"/>
    <n v="700054"/>
    <s v="Salaries-Management-Non-productive"/>
    <s v="Med/Surg Oncology"/>
    <x v="0"/>
    <m/>
    <n v="2096.31"/>
    <n v="-106.55"/>
    <n v="2060.79"/>
    <n v="1256.94"/>
    <n v="2153.9"/>
    <n v="3030.18"/>
    <n v="146.93"/>
    <n v="4679.79"/>
    <n v="-1096.72"/>
    <n v="0"/>
    <n v="1535.6"/>
    <n v="1535.59"/>
    <n v="17292.760000000002"/>
    <n v="9.9999999999909051E-3"/>
  </r>
  <r>
    <x v="5"/>
    <x v="3"/>
    <x v="0"/>
    <s v="3120101"/>
    <n v="700054"/>
    <s v="Salaries-Management-NonProd-Other"/>
    <s v="Med/Surg Oncology"/>
    <x v="0"/>
    <n v="2000"/>
    <n v="0"/>
    <n v="0"/>
    <n v="0"/>
    <n v="0"/>
    <n v="0"/>
    <n v="5194.74"/>
    <n v="-5194.74"/>
    <n v="0"/>
    <n v="0"/>
    <n v="0"/>
    <n v="0"/>
    <n v="0"/>
    <n v="0"/>
    <n v="0"/>
  </r>
  <r>
    <x v="5"/>
    <x v="3"/>
    <x v="0"/>
    <s v="3120101"/>
    <n v="700058"/>
    <s v="Salaries-Supervisory-Non-productive"/>
    <s v="Med/Surg Oncology"/>
    <x v="0"/>
    <m/>
    <n v="0"/>
    <n v="0"/>
    <n v="0"/>
    <n v="0"/>
    <n v="0"/>
    <n v="0"/>
    <n v="0"/>
    <n v="469.92"/>
    <n v="-123.65"/>
    <n v="593.57000000000005"/>
    <n v="-247.3"/>
    <n v="1038.81"/>
    <n v="1731.35"/>
    <n v="-1286.1099999999999"/>
  </r>
  <r>
    <x v="5"/>
    <x v="3"/>
    <x v="0"/>
    <s v="3120101"/>
    <n v="700066"/>
    <s v="Salaries-RN-Non-productive"/>
    <s v="Med/Surg Oncology"/>
    <x v="0"/>
    <m/>
    <n v="37043.74"/>
    <n v="31023.06"/>
    <n v="29695.759999999998"/>
    <n v="40125.120000000003"/>
    <n v="47859.01"/>
    <n v="41409.65"/>
    <n v="33635.81"/>
    <n v="26644.92"/>
    <n v="46552.28"/>
    <n v="29678.68"/>
    <n v="24321.05"/>
    <n v="42850.48"/>
    <n v="430839.55999999994"/>
    <n v="-18529.430000000004"/>
  </r>
  <r>
    <x v="5"/>
    <x v="3"/>
    <x v="0"/>
    <s v="3120101"/>
    <n v="700066"/>
    <s v="Salaries-RN-NonProd-Other"/>
    <s v="Med/Surg Oncology"/>
    <x v="0"/>
    <n v="2000"/>
    <n v="3525.61"/>
    <n v="2306.6799999999998"/>
    <n v="1996.71"/>
    <n v="3624.41"/>
    <n v="5144.16"/>
    <n v="6174"/>
    <n v="2305.0300000000002"/>
    <n v="-2499.9299999999998"/>
    <n v="5316.07"/>
    <n v="2469.13"/>
    <n v="1939.26"/>
    <n v="4065.21"/>
    <n v="36366.339999999997"/>
    <n v="-2125.9499999999998"/>
  </r>
  <r>
    <x v="5"/>
    <x v="3"/>
    <x v="0"/>
    <s v="3120101"/>
    <n v="700072"/>
    <s v="Salaries-Other Pat Care Providers-Non-productive"/>
    <s v="Med/Surg Oncology"/>
    <x v="0"/>
    <m/>
    <n v="4834.84"/>
    <n v="5138.07"/>
    <n v="5715.19"/>
    <n v="5022.2700000000004"/>
    <n v="4159"/>
    <n v="4091.52"/>
    <n v="10737.67"/>
    <n v="4424.95"/>
    <n v="4067.36"/>
    <n v="4053.39"/>
    <n v="4234.58"/>
    <n v="2565.94"/>
    <n v="59044.78"/>
    <n v="1668.6399999999999"/>
  </r>
  <r>
    <x v="5"/>
    <x v="3"/>
    <x v="0"/>
    <s v="3120101"/>
    <n v="700072"/>
    <s v="Salaries-Other Pat Care Providers-NonProd-Other"/>
    <s v="Med/Surg Oncology"/>
    <x v="0"/>
    <n v="2000"/>
    <n v="224.85"/>
    <n v="373.44"/>
    <n v="414.23"/>
    <n v="190.99"/>
    <n v="1385.54"/>
    <n v="1150.92"/>
    <n v="500.29"/>
    <n v="-1196.6199999999999"/>
    <n v="360.72"/>
    <n v="176.46"/>
    <n v="321.52999999999997"/>
    <n v="152.18"/>
    <n v="4054.53"/>
    <n v="169.34999999999997"/>
  </r>
  <r>
    <x v="5"/>
    <x v="3"/>
    <x v="0"/>
    <s v="3120101"/>
    <n v="700084"/>
    <s v="Accrued PTO"/>
    <s v="Med/Surg Oncology"/>
    <x v="0"/>
    <m/>
    <n v="-235.15"/>
    <n v="10307.040000000001"/>
    <n v="4926.91"/>
    <n v="4427.3900000000003"/>
    <n v="-5874.38"/>
    <n v="-708.85"/>
    <n v="6430.1"/>
    <n v="8527.2000000000007"/>
    <n v="6501.78"/>
    <n v="6423.32"/>
    <n v="12708.56"/>
    <n v="-229.9"/>
    <n v="53204.02"/>
    <n v="12938.46"/>
  </r>
  <r>
    <x v="10"/>
    <x v="3"/>
    <x v="0"/>
    <s v="3120101"/>
    <n v="710060"/>
    <s v="Contract Labor-Other"/>
    <s v="Med/Surg Oncology"/>
    <x v="0"/>
    <m/>
    <n v="1746"/>
    <n v="3615.25"/>
    <n v="1495"/>
    <n v="8219"/>
    <n v="22117"/>
    <n v="22189.75"/>
    <n v="18037"/>
    <n v="15045"/>
    <n v="25398"/>
    <n v="22918"/>
    <n v="10453"/>
    <n v="9163.5"/>
    <n v="160396.5"/>
    <n v="1289.5"/>
  </r>
  <r>
    <x v="10"/>
    <x v="3"/>
    <x v="0"/>
    <s v="3120101"/>
    <n v="710060"/>
    <s v="Contract Labor-Overtime"/>
    <s v="Med/Surg Oncology"/>
    <x v="0"/>
    <n v="5100"/>
    <n v="0"/>
    <n v="0"/>
    <n v="0"/>
    <n v="0"/>
    <n v="803.25"/>
    <n v="206.55"/>
    <n v="3098.25"/>
    <n v="1239.3"/>
    <n v="3144.15"/>
    <n v="0"/>
    <n v="803.25"/>
    <n v="3121.2"/>
    <n v="12415.95"/>
    <n v="-2317.9499999999998"/>
  </r>
  <r>
    <x v="6"/>
    <x v="3"/>
    <x v="0"/>
    <s v="3120101"/>
    <n v="713010"/>
    <s v="Benefits-FICA/Medicare"/>
    <s v="Med/Surg Oncology"/>
    <x v="0"/>
    <m/>
    <n v="30770.6"/>
    <n v="30305.33"/>
    <n v="29618.7"/>
    <n v="32852.879999999997"/>
    <n v="31924.799999999999"/>
    <n v="29809.81"/>
    <n v="31782.880000000001"/>
    <n v="28227.83"/>
    <n v="32671.360000000001"/>
    <n v="28616.99"/>
    <n v="29314.28"/>
    <n v="30266.74"/>
    <n v="366162.19999999995"/>
    <n v="-952.46000000000276"/>
  </r>
  <r>
    <x v="6"/>
    <x v="3"/>
    <x v="0"/>
    <s v="3120101"/>
    <n v="713090"/>
    <s v="Benefits-Allocated Amounts"/>
    <s v="Med/Surg Oncology"/>
    <x v="0"/>
    <m/>
    <n v="89666.47"/>
    <n v="82667.19"/>
    <n v="87617.13"/>
    <n v="92654.720000000001"/>
    <n v="97598.36"/>
    <n v="81548.91"/>
    <n v="95049.15"/>
    <n v="88108.88"/>
    <n v="78687.520000000004"/>
    <n v="88305.35"/>
    <n v="94448.82"/>
    <n v="90983.86"/>
    <n v="1067336.3600000001"/>
    <n v="3464.9600000000064"/>
  </r>
  <r>
    <x v="7"/>
    <x v="3"/>
    <x v="0"/>
    <s v="3120101"/>
    <n v="718050"/>
    <s v="Contract Svcs-Other"/>
    <s v="Med/Surg Oncology"/>
    <x v="0"/>
    <m/>
    <n v="0"/>
    <n v="170"/>
    <n v="17.170000000000002"/>
    <n v="65.95"/>
    <n v="0"/>
    <n v="0"/>
    <n v="261.27999999999997"/>
    <n v="0"/>
    <n v="0"/>
    <n v="0"/>
    <n v="551"/>
    <n v="66.02"/>
    <n v="1131.42"/>
    <n v="484.98"/>
  </r>
  <r>
    <x v="7"/>
    <x v="3"/>
    <x v="0"/>
    <s v="3120101"/>
    <n v="718050"/>
    <s v="Document Shredding/Storage"/>
    <s v="Med/Surg Oncology"/>
    <x v="0"/>
    <n v="1012"/>
    <n v="4.99"/>
    <n v="5.12"/>
    <n v="4.7300000000000004"/>
    <n v="4.88"/>
    <n v="5.03"/>
    <n v="5.03"/>
    <n v="4.97"/>
    <n v="4.26"/>
    <n v="4.42"/>
    <n v="5.83"/>
    <n v="4.88"/>
    <n v="5.03"/>
    <n v="59.17"/>
    <n v="-0.15000000000000036"/>
  </r>
  <r>
    <x v="7"/>
    <x v="3"/>
    <x v="0"/>
    <s v="3120101"/>
    <n v="718050"/>
    <s v="Miscellaneous Purchased Svcs"/>
    <s v="Med/Surg Oncology"/>
    <x v="0"/>
    <n v="1020"/>
    <n v="0"/>
    <n v="131.9"/>
    <n v="65.95"/>
    <n v="17380"/>
    <n v="0"/>
    <n v="142.91999999999999"/>
    <n v="2047.98"/>
    <n v="0"/>
    <n v="0"/>
    <n v="14075.25"/>
    <n v="275.25"/>
    <n v="29295"/>
    <n v="63414.25"/>
    <n v="-29019.75"/>
  </r>
  <r>
    <x v="7"/>
    <x v="3"/>
    <x v="0"/>
    <s v="3120101"/>
    <n v="718050"/>
    <s v="Translation Services"/>
    <s v="Med/Surg Oncology"/>
    <x v="0"/>
    <n v="1025"/>
    <n v="0"/>
    <n v="469"/>
    <n v="177.21"/>
    <n v="314.45"/>
    <n v="0"/>
    <n v="41.87"/>
    <n v="235.03"/>
    <n v="64"/>
    <n v="20.54"/>
    <n v="152"/>
    <n v="112.97"/>
    <n v="609.66999999999996"/>
    <n v="2196.7400000000002"/>
    <n v="-496.69999999999993"/>
  </r>
  <r>
    <x v="7"/>
    <x v="3"/>
    <x v="0"/>
    <s v="3120101"/>
    <n v="718050"/>
    <s v="Contract Management--Linen"/>
    <s v="Med/Surg Oncology"/>
    <x v="0"/>
    <n v="1026"/>
    <n v="8186.14"/>
    <n v="8180.96"/>
    <n v="8083.65"/>
    <n v="8651.51"/>
    <n v="10070.85"/>
    <n v="8565.4699999999993"/>
    <n v="8202.92"/>
    <n v="9881.7800000000007"/>
    <n v="8637.66"/>
    <n v="9502.09"/>
    <n v="6664.28"/>
    <n v="11297.43"/>
    <n v="105924.73999999999"/>
    <n v="-4633.1500000000005"/>
  </r>
  <r>
    <x v="7"/>
    <x v="3"/>
    <x v="0"/>
    <s v="3120101"/>
    <n v="718091"/>
    <s v="Contract Services-Intracompany Allocation"/>
    <s v="Med/Surg Oncology"/>
    <x v="0"/>
    <m/>
    <n v="73417.759999999995"/>
    <n v="92775.32"/>
    <n v="73898.37"/>
    <n v="92785.17"/>
    <n v="78609.320000000007"/>
    <n v="82449.149999999994"/>
    <n v="85663.42"/>
    <n v="80271.61"/>
    <n v="87037.48"/>
    <n v="89751.86"/>
    <n v="93293.89"/>
    <n v="78128.63"/>
    <n v="1008081.98"/>
    <n v="15165.259999999995"/>
  </r>
  <r>
    <x v="11"/>
    <x v="3"/>
    <x v="0"/>
    <s v="3120101"/>
    <n v="721010"/>
    <s v="Supplies-Medical - Billable"/>
    <s v="Med/Surg Oncology"/>
    <x v="0"/>
    <m/>
    <n v="4485.2299999999996"/>
    <n v="6893.48"/>
    <n v="6349.35"/>
    <n v="7165.96"/>
    <n v="6916.21"/>
    <n v="7423.31"/>
    <n v="6957.78"/>
    <n v="7611.69"/>
    <n v="10462.75"/>
    <n v="10824.21"/>
    <n v="7939.21"/>
    <n v="7579.52"/>
    <n v="90608.700000000012"/>
    <n v="359.6899999999996"/>
  </r>
  <r>
    <x v="11"/>
    <x v="3"/>
    <x v="0"/>
    <s v="3120101"/>
    <n v="721010"/>
    <s v="Patient Monitoring"/>
    <s v="Med/Surg Oncology"/>
    <x v="0"/>
    <n v="1000"/>
    <n v="131.16999999999999"/>
    <n v="110.25"/>
    <n v="97.99"/>
    <n v="135.05000000000001"/>
    <n v="241.23"/>
    <n v="173.85"/>
    <n v="63.34"/>
    <n v="301.76"/>
    <n v="337.93"/>
    <n v="908.94"/>
    <n v="909.54"/>
    <n v="614"/>
    <n v="4025.05"/>
    <n v="295.53999999999996"/>
  </r>
  <r>
    <x v="11"/>
    <x v="3"/>
    <x v="0"/>
    <s v="3120101"/>
    <n v="721020"/>
    <s v="Supplies-Surgical - Billable"/>
    <s v="Med/Surg Oncology"/>
    <x v="0"/>
    <m/>
    <n v="265.85000000000002"/>
    <n v="352.09"/>
    <n v="285.95"/>
    <n v="326.99"/>
    <n v="611.34"/>
    <n v="327.91"/>
    <n v="689.18"/>
    <n v="449.74"/>
    <n v="1173.58"/>
    <n v="164.35"/>
    <n v="764.65"/>
    <n v="483.49"/>
    <n v="5895.12"/>
    <n v="281.15999999999997"/>
  </r>
  <r>
    <x v="11"/>
    <x v="3"/>
    <x v="0"/>
    <s v="3120101"/>
    <n v="721020"/>
    <s v="Custom Packs"/>
    <s v="Med/Surg Oncology"/>
    <x v="0"/>
    <n v="1000"/>
    <n v="0"/>
    <n v="0"/>
    <n v="20.92"/>
    <n v="13.02"/>
    <n v="0"/>
    <n v="6.29"/>
    <n v="0"/>
    <n v="10.46"/>
    <n v="66.989999999999995"/>
    <n v="7.37"/>
    <n v="0"/>
    <n v="31.38"/>
    <n v="156.43"/>
    <n v="-31.38"/>
  </r>
  <r>
    <x v="11"/>
    <x v="3"/>
    <x v="0"/>
    <s v="3120101"/>
    <n v="721020"/>
    <s v="Suture/Wound Closure"/>
    <s v="Med/Surg Oncology"/>
    <x v="0"/>
    <n v="1001"/>
    <n v="0"/>
    <n v="0"/>
    <n v="1.21"/>
    <n v="0"/>
    <n v="0"/>
    <n v="2.34"/>
    <n v="0"/>
    <n v="5.63"/>
    <n v="0"/>
    <n v="0"/>
    <n v="0"/>
    <n v="1.21"/>
    <n v="10.39"/>
    <n v="-1.21"/>
  </r>
  <r>
    <x v="11"/>
    <x v="3"/>
    <x v="0"/>
    <s v="3120101"/>
    <n v="721020"/>
    <s v="Urological Supplies"/>
    <s v="Med/Surg Oncology"/>
    <x v="0"/>
    <n v="1006"/>
    <n v="0"/>
    <n v="0"/>
    <n v="82.39"/>
    <n v="0"/>
    <n v="0"/>
    <n v="0"/>
    <n v="167.76"/>
    <n v="0"/>
    <n v="0"/>
    <n v="0"/>
    <n v="0"/>
    <n v="0"/>
    <n v="250.14999999999998"/>
    <n v="0"/>
  </r>
  <r>
    <x v="11"/>
    <x v="3"/>
    <x v="0"/>
    <s v="3120101"/>
    <n v="721020"/>
    <s v="Tubes Drains &amp; Related Supplies"/>
    <s v="Med/Surg Oncology"/>
    <x v="0"/>
    <n v="1008"/>
    <n v="0"/>
    <n v="13.43"/>
    <n v="0"/>
    <n v="27.55"/>
    <n v="36.11"/>
    <n v="0"/>
    <n v="7.6"/>
    <n v="36.229999999999997"/>
    <n v="21.03"/>
    <n v="11.5"/>
    <n v="37.049999999999997"/>
    <n v="32.57"/>
    <n v="223.07"/>
    <n v="4.4799999999999969"/>
  </r>
  <r>
    <x v="11"/>
    <x v="3"/>
    <x v="0"/>
    <s v="3120101"/>
    <n v="721050"/>
    <s v="Supplies-Cardiac Rhythm - Billable"/>
    <s v="Med/Surg Oncology"/>
    <x v="0"/>
    <m/>
    <n v="0"/>
    <n v="0"/>
    <n v="0"/>
    <n v="0"/>
    <n v="0"/>
    <n v="0"/>
    <n v="37.590000000000003"/>
    <n v="0"/>
    <n v="0"/>
    <n v="0"/>
    <n v="0"/>
    <n v="192.85"/>
    <n v="230.44"/>
    <n v="-192.85"/>
  </r>
  <r>
    <x v="11"/>
    <x v="3"/>
    <x v="0"/>
    <s v="3120101"/>
    <n v="721240"/>
    <s v="Supplies-IV Solutions/Supplies - Billable"/>
    <s v="Med/Surg Oncology"/>
    <x v="0"/>
    <m/>
    <n v="1354.78"/>
    <n v="1250.02"/>
    <n v="998.96"/>
    <n v="1273.05"/>
    <n v="924.26"/>
    <n v="865.69"/>
    <n v="1162.6400000000001"/>
    <n v="1220.56"/>
    <n v="1262.1600000000001"/>
    <n v="832.83"/>
    <n v="670.3"/>
    <n v="1151.72"/>
    <n v="12966.97"/>
    <n v="-481.42000000000007"/>
  </r>
  <r>
    <x v="11"/>
    <x v="3"/>
    <x v="0"/>
    <s v="3120101"/>
    <n v="721250"/>
    <s v="Supplies-Pharmacy Drugs - Billable"/>
    <s v="Med/Surg Oncology"/>
    <x v="0"/>
    <m/>
    <n v="0"/>
    <n v="21.64"/>
    <n v="30.38"/>
    <n v="0"/>
    <n v="43.28"/>
    <n v="0"/>
    <n v="23.33"/>
    <n v="0"/>
    <n v="25.97"/>
    <n v="0"/>
    <n v="0"/>
    <n v="0"/>
    <n v="144.6"/>
    <n v="0"/>
  </r>
  <r>
    <x v="11"/>
    <x v="3"/>
    <x v="0"/>
    <s v="3120101"/>
    <n v="721410"/>
    <s v="Supplies-Medical - Nonbillable"/>
    <s v="Med/Surg Oncology"/>
    <x v="0"/>
    <m/>
    <n v="12207.62"/>
    <n v="12946.67"/>
    <n v="12050.39"/>
    <n v="11346.87"/>
    <n v="11293.11"/>
    <n v="11590.7"/>
    <n v="13781.48"/>
    <n v="13948.33"/>
    <n v="14543.65"/>
    <n v="14620.27"/>
    <n v="31133.73"/>
    <n v="14367.08"/>
    <n v="173829.9"/>
    <n v="16766.650000000001"/>
  </r>
  <r>
    <x v="11"/>
    <x v="3"/>
    <x v="0"/>
    <s v="3120101"/>
    <n v="721410"/>
    <s v="Patient Monitoring"/>
    <s v="Med/Surg Oncology"/>
    <x v="0"/>
    <n v="1000"/>
    <n v="0"/>
    <n v="0"/>
    <n v="7.5"/>
    <n v="0"/>
    <n v="0"/>
    <n v="7.5"/>
    <n v="0"/>
    <n v="118.91"/>
    <n v="0"/>
    <n v="5.4"/>
    <n v="4.4400000000000004"/>
    <n v="9.68"/>
    <n v="153.43"/>
    <n v="-5.2399999999999993"/>
  </r>
  <r>
    <x v="11"/>
    <x v="3"/>
    <x v="0"/>
    <s v="3120101"/>
    <n v="721420"/>
    <s v="Supplies-Surgical Nonbillable"/>
    <s v="Med/Surg Oncology"/>
    <x v="0"/>
    <m/>
    <n v="83.98"/>
    <n v="43.45"/>
    <n v="27.4"/>
    <n v="17.16"/>
    <n v="89.01"/>
    <n v="43.74"/>
    <n v="18.02"/>
    <n v="78.53"/>
    <n v="79.05"/>
    <n v="36.97"/>
    <n v="23.53"/>
    <n v="121.71"/>
    <n v="662.55"/>
    <n v="-98.179999999999993"/>
  </r>
  <r>
    <x v="11"/>
    <x v="3"/>
    <x v="0"/>
    <s v="3120101"/>
    <n v="721420"/>
    <s v="Tubes Drains &amp; Related Supplies"/>
    <s v="Med/Surg Oncology"/>
    <x v="0"/>
    <n v="1008"/>
    <n v="6.03"/>
    <n v="17.55"/>
    <n v="21.09"/>
    <n v="10.55"/>
    <n v="3.01"/>
    <n v="25.81"/>
    <n v="22.34"/>
    <n v="28.7"/>
    <n v="16.36"/>
    <n v="22.61"/>
    <n v="30.3"/>
    <n v="11.31"/>
    <n v="215.66000000000003"/>
    <n v="18.990000000000002"/>
  </r>
  <r>
    <x v="11"/>
    <x v="3"/>
    <x v="0"/>
    <s v="3120101"/>
    <n v="721420"/>
    <s v="Sterilization Process Products"/>
    <s v="Med/Surg Oncology"/>
    <x v="0"/>
    <n v="1009"/>
    <n v="-10.7"/>
    <n v="0"/>
    <n v="0"/>
    <n v="0"/>
    <n v="0"/>
    <n v="10.7"/>
    <n v="0"/>
    <n v="0"/>
    <n v="0"/>
    <n v="1.83"/>
    <n v="0"/>
    <n v="0"/>
    <n v="1.83"/>
    <n v="0"/>
  </r>
  <r>
    <x v="11"/>
    <x v="3"/>
    <x v="0"/>
    <s v="3120101"/>
    <n v="721610"/>
    <s v="Supplies-Anesthesia - Nonbillable"/>
    <s v="Med/Surg Oncology"/>
    <x v="0"/>
    <m/>
    <n v="338.73"/>
    <n v="423.34"/>
    <n v="586.24"/>
    <n v="698.3"/>
    <n v="604.04"/>
    <n v="99.49"/>
    <n v="394.34"/>
    <n v="344.84"/>
    <n v="350.42"/>
    <n v="315.95"/>
    <n v="338.21"/>
    <n v="354.91"/>
    <n v="4848.8099999999995"/>
    <n v="-16.700000000000045"/>
  </r>
  <r>
    <x v="11"/>
    <x v="3"/>
    <x v="0"/>
    <s v="3120101"/>
    <n v="721640"/>
    <s v="Supplies-IV Solutions/Supplies - Nonbillable"/>
    <s v="Med/Surg Oncology"/>
    <x v="0"/>
    <m/>
    <n v="6123.33"/>
    <n v="7683.52"/>
    <n v="5494.54"/>
    <n v="6382.69"/>
    <n v="3938.53"/>
    <n v="5307.32"/>
    <n v="6712.98"/>
    <n v="5208.54"/>
    <n v="6194.35"/>
    <n v="5788.21"/>
    <n v="5100.71"/>
    <n v="6135.91"/>
    <n v="70070.62999999999"/>
    <n v="-1035.1999999999998"/>
  </r>
  <r>
    <x v="11"/>
    <x v="3"/>
    <x v="0"/>
    <s v="3120101"/>
    <n v="721650"/>
    <s v="Supplies-Pharmacy Drugs - Nonbillable"/>
    <s v="Med/Surg Oncology"/>
    <x v="0"/>
    <m/>
    <n v="109.19"/>
    <n v="55.6"/>
    <n v="40.76"/>
    <n v="93.05"/>
    <n v="92.99"/>
    <n v="142.82"/>
    <n v="80.8"/>
    <n v="75.69"/>
    <n v="140.12"/>
    <n v="42.82"/>
    <n v="64.44"/>
    <n v="80.33"/>
    <n v="1018.61"/>
    <n v="-15.89"/>
  </r>
  <r>
    <x v="11"/>
    <x v="3"/>
    <x v="0"/>
    <s v="3120101"/>
    <n v="721710"/>
    <s v="Supplies-Laboratory - Nonbillable"/>
    <s v="Med/Surg Oncology"/>
    <x v="0"/>
    <m/>
    <n v="804.6"/>
    <n v="984.65"/>
    <n v="855"/>
    <n v="824.7"/>
    <n v="768.58"/>
    <n v="648.99"/>
    <n v="803.32"/>
    <n v="705.14"/>
    <n v="836.52"/>
    <n v="957.36"/>
    <n v="733.25"/>
    <n v="887.75"/>
    <n v="9809.86"/>
    <n v="-154.5"/>
  </r>
  <r>
    <x v="11"/>
    <x v="3"/>
    <x v="0"/>
    <s v="3120101"/>
    <n v="721710"/>
    <s v="Reagents"/>
    <s v="Med/Surg Oncology"/>
    <x v="0"/>
    <n v="1000"/>
    <n v="64.48"/>
    <n v="0"/>
    <n v="57.2"/>
    <n v="178.88"/>
    <n v="48.02"/>
    <n v="6"/>
    <n v="4"/>
    <n v="12"/>
    <n v="10"/>
    <n v="42.02"/>
    <n v="33.200000000000003"/>
    <n v="6"/>
    <n v="461.79999999999995"/>
    <n v="27.200000000000003"/>
  </r>
  <r>
    <x v="11"/>
    <x v="3"/>
    <x v="0"/>
    <s v="3120101"/>
    <n v="721750"/>
    <s v="Supplies-Film/Radiographic - Nonbillable"/>
    <s v="Med/Surg Oncology"/>
    <x v="0"/>
    <m/>
    <n v="0"/>
    <n v="1.87"/>
    <n v="1.87"/>
    <n v="2.81"/>
    <n v="0.94"/>
    <n v="1.87"/>
    <n v="1.87"/>
    <n v="0"/>
    <n v="0"/>
    <n v="2.81"/>
    <n v="0"/>
    <n v="0"/>
    <n v="14.040000000000001"/>
    <n v="0"/>
  </r>
  <r>
    <x v="11"/>
    <x v="3"/>
    <x v="0"/>
    <s v="3120101"/>
    <n v="721810"/>
    <s v="Supplies-Dietary/Cafeteria"/>
    <s v="Med/Surg Oncology"/>
    <x v="0"/>
    <m/>
    <n v="1639.65"/>
    <n v="1953.72"/>
    <n v="2077.12"/>
    <n v="2104.29"/>
    <n v="2090.54"/>
    <n v="1724.92"/>
    <n v="2162.37"/>
    <n v="1750.94"/>
    <n v="2184.36"/>
    <n v="2056.2399999999998"/>
    <n v="1977.35"/>
    <n v="1891.06"/>
    <n v="23612.560000000001"/>
    <n v="86.289999999999964"/>
  </r>
  <r>
    <x v="11"/>
    <x v="3"/>
    <x v="0"/>
    <s v="3120101"/>
    <n v="721830"/>
    <s v="Supplies-Office"/>
    <s v="Med/Surg Oncology"/>
    <x v="0"/>
    <m/>
    <n v="138.41999999999999"/>
    <n v="67.56"/>
    <n v="1623.52"/>
    <n v="937.64"/>
    <n v="881.45"/>
    <n v="911.4"/>
    <n v="-392.13"/>
    <n v="177.13"/>
    <n v="581.04999999999995"/>
    <n v="683.84"/>
    <n v="95.12"/>
    <n v="29.76"/>
    <n v="5734.76"/>
    <n v="65.36"/>
  </r>
  <r>
    <x v="11"/>
    <x v="3"/>
    <x v="0"/>
    <s v="3120101"/>
    <n v="721835"/>
    <s v="Supplies-Forms"/>
    <s v="Med/Surg Oncology"/>
    <x v="0"/>
    <m/>
    <n v="0"/>
    <n v="0"/>
    <n v="0"/>
    <n v="0"/>
    <n v="133.96"/>
    <n v="0"/>
    <n v="61.4"/>
    <n v="0"/>
    <n v="278.64999999999998"/>
    <n v="0"/>
    <n v="0"/>
    <n v="153.38999999999999"/>
    <n v="627.4"/>
    <n v="-153.38999999999999"/>
  </r>
  <r>
    <x v="11"/>
    <x v="3"/>
    <x v="0"/>
    <s v="3120101"/>
    <n v="721870"/>
    <s v="Supplies-Environmental Services"/>
    <s v="Med/Surg Oncology"/>
    <x v="0"/>
    <m/>
    <n v="2092.54"/>
    <n v="1417.77"/>
    <n v="1300.05"/>
    <n v="1709.87"/>
    <n v="971.98"/>
    <n v="2342.86"/>
    <n v="1045.3900000000001"/>
    <n v="1026.28"/>
    <n v="1462.37"/>
    <n v="1490.33"/>
    <n v="1107.74"/>
    <n v="898.61"/>
    <n v="16865.79"/>
    <n v="209.13"/>
  </r>
  <r>
    <x v="11"/>
    <x v="3"/>
    <x v="0"/>
    <s v="3120101"/>
    <n v="721880"/>
    <s v="Supplies-Linen"/>
    <s v="Med/Surg Oncology"/>
    <x v="0"/>
    <m/>
    <n v="12.84"/>
    <n v="6.42"/>
    <n v="0"/>
    <n v="0"/>
    <n v="0"/>
    <n v="0"/>
    <n v="0"/>
    <n v="0"/>
    <n v="19.260000000000002"/>
    <n v="0"/>
    <n v="13.1"/>
    <n v="0"/>
    <n v="51.62"/>
    <n v="13.1"/>
  </r>
  <r>
    <x v="11"/>
    <x v="3"/>
    <x v="0"/>
    <s v="3120101"/>
    <n v="721910"/>
    <s v="Supplies-Small Equipment"/>
    <s v="Med/Surg Oncology"/>
    <x v="0"/>
    <m/>
    <n v="3947.79"/>
    <n v="4241.17"/>
    <n v="4427.16"/>
    <n v="6505.08"/>
    <n v="4715.7"/>
    <n v="3810.14"/>
    <n v="4674.37"/>
    <n v="4160.55"/>
    <n v="4796.28"/>
    <n v="3126.37"/>
    <n v="10608.96"/>
    <n v="3103.06"/>
    <n v="58116.63"/>
    <n v="7505.9"/>
  </r>
  <r>
    <x v="11"/>
    <x v="3"/>
    <x v="0"/>
    <s v="3120101"/>
    <n v="721910"/>
    <s v="Instruments"/>
    <s v="Med/Surg Oncology"/>
    <x v="0"/>
    <n v="1000"/>
    <n v="22.35"/>
    <n v="128.13"/>
    <n v="0"/>
    <n v="1.68"/>
    <n v="29.8"/>
    <n v="42.14"/>
    <n v="0"/>
    <n v="6"/>
    <n v="0"/>
    <n v="4.13"/>
    <n v="8"/>
    <n v="2.13"/>
    <n v="244.36"/>
    <n v="5.87"/>
  </r>
  <r>
    <x v="11"/>
    <x v="3"/>
    <x v="0"/>
    <s v="3120101"/>
    <n v="721980"/>
    <s v="Supplies-Other"/>
    <s v="Med/Surg Oncology"/>
    <x v="0"/>
    <m/>
    <n v="27.16"/>
    <n v="-520"/>
    <n v="0"/>
    <n v="0"/>
    <n v="1183.4100000000001"/>
    <n v="0"/>
    <n v="5743.77"/>
    <n v="0"/>
    <n v="0"/>
    <n v="187.57"/>
    <n v="65.959999999999994"/>
    <n v="45.02"/>
    <n v="6732.89"/>
    <n v="20.939999999999991"/>
  </r>
  <r>
    <x v="11"/>
    <x v="3"/>
    <x v="0"/>
    <s v="3120101"/>
    <n v="722000"/>
    <s v="Supplies-Freight Expense"/>
    <s v="Med/Surg Oncology"/>
    <x v="0"/>
    <m/>
    <n v="16.38"/>
    <n v="527.92999999999995"/>
    <n v="15.86"/>
    <n v="15.98"/>
    <n v="69.37"/>
    <n v="283.89"/>
    <n v="29.96"/>
    <n v="16.23"/>
    <n v="8.4600000000000009"/>
    <n v="22.11"/>
    <n v="20.21"/>
    <n v="0"/>
    <n v="1026.3800000000001"/>
    <n v="20.21"/>
  </r>
  <r>
    <x v="12"/>
    <x v="3"/>
    <x v="0"/>
    <s v="3120101"/>
    <n v="730020"/>
    <s v="Rental and Leases-Equipment (DO NOT USE)"/>
    <s v="Med/Surg Oncology"/>
    <x v="0"/>
    <m/>
    <n v="0"/>
    <n v="0"/>
    <n v="0"/>
    <n v="-2084.44"/>
    <n v="-552.26"/>
    <n v="0"/>
    <n v="0"/>
    <n v="0"/>
    <n v="0"/>
    <n v="0"/>
    <n v="0"/>
    <n v="0"/>
    <n v="-2636.7"/>
    <n v="0"/>
  </r>
  <r>
    <x v="12"/>
    <x v="3"/>
    <x v="0"/>
    <s v="3120101"/>
    <n v="730020"/>
    <s v="Rental and Leases-Copier Usage Fees (DO NOT USE)"/>
    <s v="Med/Surg Oncology"/>
    <x v="0"/>
    <n v="5100"/>
    <n v="820.52"/>
    <n v="837.61"/>
    <n v="829.06"/>
    <n v="829.06"/>
    <n v="829.06"/>
    <n v="829.06"/>
    <n v="-681.56"/>
    <n v="491.33"/>
    <n v="507.48"/>
    <n v="1649.52"/>
    <n v="181.73"/>
    <n v="459.58"/>
    <n v="7582.4499999999989"/>
    <n v="-277.85000000000002"/>
  </r>
  <r>
    <x v="15"/>
    <x v="3"/>
    <x v="0"/>
    <s v="3120101"/>
    <n v="731060"/>
    <s v="Telephone"/>
    <s v="Med/Surg Oncology"/>
    <x v="0"/>
    <m/>
    <n v="0"/>
    <n v="0"/>
    <n v="117"/>
    <n v="0"/>
    <n v="11.82"/>
    <n v="0"/>
    <n v="0"/>
    <n v="0"/>
    <n v="0"/>
    <n v="0"/>
    <n v="0"/>
    <n v="0"/>
    <n v="128.82"/>
    <n v="0"/>
  </r>
  <r>
    <x v="15"/>
    <x v="3"/>
    <x v="0"/>
    <s v="3120101"/>
    <n v="731060"/>
    <s v="Cell Phones"/>
    <s v="Med/Surg Oncology"/>
    <x v="0"/>
    <n v="1001"/>
    <n v="0"/>
    <n v="33.03"/>
    <n v="66.069999999999993"/>
    <n v="0"/>
    <n v="32.799999999999997"/>
    <n v="72.75"/>
    <n v="66.19"/>
    <n v="0"/>
    <n v="33.590000000000003"/>
    <n v="66.290000000000006"/>
    <n v="32.79"/>
    <n v="33.159999999999997"/>
    <n v="436.66999999999996"/>
    <n v="-0.36999999999999744"/>
  </r>
  <r>
    <x v="15"/>
    <x v="3"/>
    <x v="0"/>
    <s v="3120101"/>
    <n v="731060"/>
    <s v="Pagers"/>
    <s v="Med/Surg Oncology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6"/>
    <x v="3"/>
    <x v="0"/>
    <s v="3120101"/>
    <n v="732020"/>
    <s v="Repairs--Clin Equip-Parts-Internal to CHI Programs"/>
    <s v="Med/Surg Oncology"/>
    <x v="0"/>
    <m/>
    <n v="0"/>
    <n v="0"/>
    <n v="0"/>
    <n v="0"/>
    <n v="0"/>
    <n v="0"/>
    <n v="0"/>
    <n v="0"/>
    <n v="120.45"/>
    <n v="132.62"/>
    <n v="132.62"/>
    <n v="0"/>
    <n v="385.69"/>
    <n v="132.62"/>
  </r>
  <r>
    <x v="13"/>
    <x v="3"/>
    <x v="0"/>
    <s v="3120101"/>
    <n v="735060"/>
    <s v="Depreciation-Fixed Equipment"/>
    <s v="Med/Surg Oncology"/>
    <x v="0"/>
    <m/>
    <n v="470.86"/>
    <n v="470.85"/>
    <n v="470.86"/>
    <n v="470.85"/>
    <n v="470.86"/>
    <n v="470.85"/>
    <n v="470.86"/>
    <n v="470.85"/>
    <n v="470.86"/>
    <n v="470.85"/>
    <n v="470.86"/>
    <n v="470.85"/>
    <n v="5650.26"/>
    <n v="9.9999999999909051E-3"/>
  </r>
  <r>
    <x v="13"/>
    <x v="3"/>
    <x v="0"/>
    <s v="3120101"/>
    <n v="735070"/>
    <s v="Depreciation-Movable Equipment"/>
    <s v="Med/Surg Oncology"/>
    <x v="0"/>
    <m/>
    <n v="318.52999999999997"/>
    <n v="318.52999999999997"/>
    <n v="318.52999999999997"/>
    <n v="318.52"/>
    <n v="318.52999999999997"/>
    <n v="318.51"/>
    <n v="306.32"/>
    <n v="306.3"/>
    <n v="306.32"/>
    <n v="306.3"/>
    <n v="306.32"/>
    <n v="306.3"/>
    <n v="3749.0100000000007"/>
    <n v="1.999999999998181E-2"/>
  </r>
  <r>
    <x v="0"/>
    <x v="3"/>
    <x v="0"/>
    <s v="3120101"/>
    <n v="740020"/>
    <s v="Education-Registration Fees"/>
    <s v="Med/Surg Oncology"/>
    <x v="0"/>
    <m/>
    <n v="0"/>
    <n v="238"/>
    <n v="0"/>
    <n v="0"/>
    <n v="0"/>
    <n v="0"/>
    <n v="0"/>
    <n v="0"/>
    <n v="0"/>
    <n v="0"/>
    <n v="0"/>
    <n v="0"/>
    <n v="238"/>
    <n v="0"/>
  </r>
  <r>
    <x v="0"/>
    <x v="3"/>
    <x v="0"/>
    <s v="3120101"/>
    <n v="743030"/>
    <s v="Subscriptions--Institutional"/>
    <s v="Med/Surg Oncology"/>
    <x v="0"/>
    <m/>
    <n v="0"/>
    <n v="0"/>
    <n v="0"/>
    <n v="0"/>
    <n v="0"/>
    <n v="29.18"/>
    <n v="0"/>
    <n v="878.18"/>
    <n v="0"/>
    <n v="0"/>
    <n v="0"/>
    <n v="0"/>
    <n v="907.3599999999999"/>
    <n v="0"/>
  </r>
  <r>
    <x v="0"/>
    <x v="3"/>
    <x v="0"/>
    <s v="3120101"/>
    <n v="749510"/>
    <s v="Miscellaneous Expenses"/>
    <s v="Med/Surg Oncology"/>
    <x v="0"/>
    <m/>
    <n v="0"/>
    <n v="0"/>
    <n v="65.95"/>
    <n v="10015.44"/>
    <n v="3841.55"/>
    <n v="5146.33"/>
    <n v="33.71"/>
    <n v="0"/>
    <n v="412.6"/>
    <n v="459.99"/>
    <n v="1825"/>
    <n v="277.74"/>
    <n v="22078.310000000005"/>
    <n v="1547.26"/>
  </r>
  <r>
    <x v="0"/>
    <x v="3"/>
    <x v="0"/>
    <s v="3120101"/>
    <n v="749530"/>
    <s v="Travel"/>
    <s v="Med/Surg Oncology"/>
    <x v="0"/>
    <m/>
    <n v="0"/>
    <n v="0"/>
    <n v="0"/>
    <n v="0"/>
    <n v="0"/>
    <n v="353.97"/>
    <n v="0"/>
    <n v="0"/>
    <n v="0"/>
    <n v="0"/>
    <n v="0"/>
    <n v="0"/>
    <n v="353.97"/>
    <n v="0"/>
  </r>
  <r>
    <x v="0"/>
    <x v="3"/>
    <x v="0"/>
    <s v="3120101"/>
    <n v="749530"/>
    <s v="Mileage"/>
    <s v="Med/Surg Oncology"/>
    <x v="0"/>
    <n v="1001"/>
    <n v="0"/>
    <n v="0"/>
    <n v="0"/>
    <n v="0"/>
    <n v="0"/>
    <n v="42.52"/>
    <n v="0"/>
    <n v="0"/>
    <n v="40.020000000000003"/>
    <n v="81.78"/>
    <n v="0"/>
    <n v="0"/>
    <n v="164.32"/>
    <n v="0"/>
  </r>
  <r>
    <x v="18"/>
    <x v="4"/>
    <x v="0"/>
    <s v="3136103"/>
    <n v="400010"/>
    <s v="Acute I/P Svcs Rev--Medicare"/>
    <s v="Orthopedic Surgical"/>
    <x v="0"/>
    <n v="1100"/>
    <n v="-1678717.12"/>
    <n v="-1827912.23"/>
    <n v="-1939807.78"/>
    <n v="-1888551.32"/>
    <n v="-1499266.67"/>
    <n v="-1728488.4"/>
    <n v="-1873134.79"/>
    <n v="-1749792.11"/>
    <n v="-1892355.74"/>
    <n v="-1737994.81"/>
    <n v="-1895208.68"/>
    <n v="-1754242.77"/>
    <n v="-21465472.420000002"/>
    <n v="-140965.90999999992"/>
  </r>
  <r>
    <x v="18"/>
    <x v="4"/>
    <x v="0"/>
    <s v="3136103"/>
    <n v="400010"/>
    <s v="Acute I/P Svcs Rev--Medicaid"/>
    <s v="Orthopedic Surgical"/>
    <x v="0"/>
    <n v="1200"/>
    <n v="-750643.68"/>
    <n v="-517316.44"/>
    <n v="-630316.26"/>
    <n v="-534041.05000000005"/>
    <n v="-764557.98"/>
    <n v="-926549.23"/>
    <n v="-671774.74"/>
    <n v="-758930.45"/>
    <n v="-865152.05"/>
    <n v="-671310.74"/>
    <n v="-668378.57999999996"/>
    <n v="-547264.22"/>
    <n v="-8306235.4199999999"/>
    <n v="-121114.35999999999"/>
  </r>
  <r>
    <x v="18"/>
    <x v="4"/>
    <x v="0"/>
    <s v="3136103"/>
    <n v="400010"/>
    <s v="Acute I/P Svcs Rev--Comm Insurance"/>
    <s v="Orthopedic Surgical"/>
    <x v="0"/>
    <n v="1300"/>
    <n v="-71843.39"/>
    <n v="-61165.61"/>
    <n v="-2638.89"/>
    <n v="-17017.189999999999"/>
    <n v="-77739.17"/>
    <n v="-12272.95"/>
    <n v="-18619.740000000002"/>
    <n v="5175.91"/>
    <n v="8355.9500000000007"/>
    <n v="-22172.58"/>
    <n v="-71205.539999999994"/>
    <n v="-28256.68"/>
    <n v="-369399.87999999995"/>
    <n v="-42948.859999999993"/>
  </r>
  <r>
    <x v="18"/>
    <x v="4"/>
    <x v="0"/>
    <s v="3136103"/>
    <n v="400010"/>
    <s v="Acute I/P Svcs Rev--BCBS Comm"/>
    <s v="Orthopedic Surgical"/>
    <x v="0"/>
    <n v="1301"/>
    <n v="-65271.08"/>
    <n v="-41882.550000000003"/>
    <n v="-79519.3"/>
    <n v="-55479.71"/>
    <n v="-43094.53"/>
    <n v="-25265.52"/>
    <n v="-25799.77"/>
    <n v="-13652.7"/>
    <n v="-54608.24"/>
    <n v="-103119.7"/>
    <n v="-90287.75"/>
    <n v="-22046.51"/>
    <n v="-620027.3600000001"/>
    <n v="-68241.240000000005"/>
  </r>
  <r>
    <x v="18"/>
    <x v="4"/>
    <x v="0"/>
    <s v="3136103"/>
    <n v="400010"/>
    <s v="Acute I/P Svcs Rev--Managed Care"/>
    <s v="Orthopedic Surgical"/>
    <x v="0"/>
    <n v="1400"/>
    <n v="-218957.95"/>
    <n v="-86569.04"/>
    <n v="-133630.51"/>
    <n v="-152811.24"/>
    <n v="-134335.85"/>
    <n v="-69646.69"/>
    <n v="-75137.600000000006"/>
    <n v="-246449.87"/>
    <n v="-235960.74"/>
    <n v="-196921.73"/>
    <n v="-166206.44"/>
    <n v="-48599.14"/>
    <n v="-1765226.7999999998"/>
    <n v="-117607.3"/>
  </r>
  <r>
    <x v="18"/>
    <x v="4"/>
    <x v="0"/>
    <s v="3136103"/>
    <n v="400010"/>
    <s v="Acute I/P Svcs Rev--Self Pay"/>
    <s v="Orthopedic Surgical"/>
    <x v="0"/>
    <n v="1500"/>
    <n v="21445"/>
    <n v="-69310.350000000006"/>
    <n v="-17560.5"/>
    <n v="0"/>
    <n v="-28855.360000000001"/>
    <n v="-12643.33"/>
    <n v="-16285.63"/>
    <n v="-11720.88"/>
    <n v="-33433.46"/>
    <n v="-61607.22"/>
    <n v="-20309.150000000001"/>
    <n v="-13064"/>
    <n v="-263344.88"/>
    <n v="-7245.1500000000015"/>
  </r>
  <r>
    <x v="18"/>
    <x v="4"/>
    <x v="0"/>
    <s v="3136103"/>
    <n v="400010"/>
    <s v="Acute I/P Svcs Rev--Other"/>
    <s v="Orthopedic Surgical"/>
    <x v="0"/>
    <n v="1700"/>
    <n v="-35943.339999999997"/>
    <n v="-114652.13"/>
    <n v="-55244.19"/>
    <n v="-144358.44"/>
    <n v="-81558.09"/>
    <n v="-200075.29"/>
    <n v="-313994.28999999998"/>
    <n v="-156798.75"/>
    <n v="-66096.66"/>
    <n v="-53803.48"/>
    <n v="-147997.94"/>
    <n v="-160589.20000000001"/>
    <n v="-1531111.7999999998"/>
    <n v="12591.260000000009"/>
  </r>
  <r>
    <x v="19"/>
    <x v="4"/>
    <x v="0"/>
    <s v="3136103"/>
    <n v="400020"/>
    <s v="O/P Care Svcs Rev--Medicare"/>
    <s v="Orthopedic Surgical"/>
    <x v="0"/>
    <n v="1100"/>
    <n v="-249136.27"/>
    <n v="-277146.02"/>
    <n v="-284359.77"/>
    <n v="-233366.48"/>
    <n v="-344287.23"/>
    <n v="-167070.59"/>
    <n v="-171523.72"/>
    <n v="-153525"/>
    <n v="-170576.33"/>
    <n v="-206812.24"/>
    <n v="-28404.69"/>
    <n v="-306218.17"/>
    <n v="-2592426.5100000002"/>
    <n v="277813.48"/>
  </r>
  <r>
    <x v="19"/>
    <x v="4"/>
    <x v="0"/>
    <s v="3136103"/>
    <n v="400020"/>
    <s v="O/P Care Svcs Rev--Medicaid"/>
    <s v="Orthopedic Surgical"/>
    <x v="0"/>
    <n v="1200"/>
    <n v="-186771.65"/>
    <n v="-165278.88"/>
    <n v="-90226.75"/>
    <n v="-130266.02"/>
    <n v="-306686.56"/>
    <n v="-188648.15"/>
    <n v="-173619.12"/>
    <n v="-107285.15"/>
    <n v="-65345.02"/>
    <n v="-213279.65"/>
    <n v="-125102.83"/>
    <n v="-184513.47"/>
    <n v="-1937023.2499999998"/>
    <n v="59410.64"/>
  </r>
  <r>
    <x v="19"/>
    <x v="4"/>
    <x v="0"/>
    <s v="3136103"/>
    <n v="400020"/>
    <s v="O/P Care Svcs Rev--Comm Insurance"/>
    <s v="Orthopedic Surgical"/>
    <x v="0"/>
    <n v="1300"/>
    <n v="-15138.45"/>
    <n v="-5465.94"/>
    <n v="-9647.1299999999992"/>
    <n v="-16821.21"/>
    <n v="-6115.75"/>
    <n v="-9325.91"/>
    <n v="-2042.08"/>
    <n v="0"/>
    <n v="-6719.89"/>
    <n v="-5106.01"/>
    <n v="-1474.53"/>
    <n v="-4206.08"/>
    <n v="-82062.98"/>
    <n v="2731.55"/>
  </r>
  <r>
    <x v="19"/>
    <x v="4"/>
    <x v="0"/>
    <s v="3136103"/>
    <n v="400020"/>
    <s v="O/P Care Svcs Rev--BCBS Comm"/>
    <s v="Orthopedic Surgical"/>
    <x v="0"/>
    <n v="1301"/>
    <n v="-28009.31"/>
    <n v="-4310.18"/>
    <n v="-8834.26"/>
    <n v="-2942.91"/>
    <n v="-29485.62"/>
    <n v="-25628.639999999999"/>
    <n v="-12555.99"/>
    <n v="-3227.1"/>
    <n v="-17428.22"/>
    <n v="-4775.8500000000004"/>
    <n v="-25013.68"/>
    <n v="-11731.96"/>
    <n v="-173943.72"/>
    <n v="-13281.720000000001"/>
  </r>
  <r>
    <x v="19"/>
    <x v="4"/>
    <x v="0"/>
    <s v="3136103"/>
    <n v="400020"/>
    <s v="O/P Care Svcs Rev--Managed Care"/>
    <s v="Orthopedic Surgical"/>
    <x v="0"/>
    <n v="1400"/>
    <n v="-53228.54"/>
    <n v="-43922.45"/>
    <n v="-67700.27"/>
    <n v="-62461.01"/>
    <n v="-52571.17"/>
    <n v="-69674.14"/>
    <n v="-39608.699999999997"/>
    <n v="-46897.62"/>
    <n v="-54439.7"/>
    <n v="-97277.25"/>
    <n v="-42763.11"/>
    <n v="-36667.589999999997"/>
    <n v="-667211.55000000005"/>
    <n v="-6095.5200000000041"/>
  </r>
  <r>
    <x v="19"/>
    <x v="4"/>
    <x v="0"/>
    <s v="3136103"/>
    <n v="400020"/>
    <s v="O/P Care Svcs Rev--Self Pay"/>
    <s v="Orthopedic Surgical"/>
    <x v="0"/>
    <n v="1500"/>
    <n v="12590.55"/>
    <n v="-21680.95"/>
    <n v="-15942.57"/>
    <n v="-1115.6099999999999"/>
    <n v="-2163.39"/>
    <n v="-6310.35"/>
    <n v="-761.52"/>
    <n v="0"/>
    <n v="-5143.46"/>
    <n v="1145.22"/>
    <n v="1445.84"/>
    <n v="-12316.72"/>
    <n v="-50252.959999999999"/>
    <n v="13762.56"/>
  </r>
  <r>
    <x v="19"/>
    <x v="4"/>
    <x v="0"/>
    <s v="3136103"/>
    <n v="400020"/>
    <s v="O/P Care Svcs Rev--Other"/>
    <s v="Orthopedic Surgical"/>
    <x v="0"/>
    <n v="1700"/>
    <n v="-14676.71"/>
    <n v="-37654.620000000003"/>
    <n v="-44033.97"/>
    <n v="-60556.55"/>
    <n v="-27972.240000000002"/>
    <n v="-14574.29"/>
    <n v="-14779.76"/>
    <n v="-16448.3"/>
    <n v="-51539.67"/>
    <n v="-33442.639999999999"/>
    <n v="-31754.720000000001"/>
    <n v="-40837.08"/>
    <n v="-388270.55"/>
    <n v="9082.36"/>
  </r>
  <r>
    <x v="14"/>
    <x v="4"/>
    <x v="0"/>
    <s v="3136103"/>
    <n v="600050"/>
    <s v="Miscellaneous Revenue"/>
    <s v="Orthopedic Surgical"/>
    <x v="0"/>
    <m/>
    <n v="0"/>
    <n v="0"/>
    <n v="0"/>
    <n v="0"/>
    <n v="0"/>
    <n v="0"/>
    <n v="0"/>
    <n v="0"/>
    <n v="-3000"/>
    <n v="0"/>
    <n v="0"/>
    <n v="0"/>
    <n v="-3000"/>
    <n v="0"/>
  </r>
  <r>
    <x v="5"/>
    <x v="4"/>
    <x v="0"/>
    <s v="3136103"/>
    <n v="700014"/>
    <s v="Salaries-Management-Productive"/>
    <s v="Orthopedic Surgical"/>
    <x v="0"/>
    <m/>
    <n v="3425.48"/>
    <n v="11357.58"/>
    <n v="9807.76"/>
    <n v="11380.64"/>
    <n v="11060.28"/>
    <n v="8037.54"/>
    <n v="10006.67"/>
    <n v="9304.52"/>
    <n v="10818.41"/>
    <n v="7901.2"/>
    <n v="11815.26"/>
    <n v="10043.19"/>
    <n v="114958.53"/>
    <n v="1772.0699999999997"/>
  </r>
  <r>
    <x v="5"/>
    <x v="4"/>
    <x v="0"/>
    <s v="3136103"/>
    <n v="700014"/>
    <s v="Salaries-Management-OT"/>
    <s v="Orthopedic Surgical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3136103"/>
    <n v="700018"/>
    <s v="Salaries-Supervisory-Productive"/>
    <s v="Orthopedic Surgical"/>
    <x v="0"/>
    <m/>
    <n v="0"/>
    <n v="0"/>
    <n v="0"/>
    <n v="0"/>
    <n v="0"/>
    <n v="0"/>
    <n v="0"/>
    <n v="0"/>
    <n v="6471.08"/>
    <n v="6765.12"/>
    <n v="9118.57"/>
    <n v="5736.09"/>
    <n v="28090.86"/>
    <n v="3382.4799999999996"/>
  </r>
  <r>
    <x v="5"/>
    <x v="4"/>
    <x v="0"/>
    <s v="3136103"/>
    <n v="700026"/>
    <s v="Salaries-RN-Productive"/>
    <s v="Orthopedic Surgical"/>
    <x v="0"/>
    <m/>
    <n v="228077.96"/>
    <n v="217710.01"/>
    <n v="230312.11"/>
    <n v="245870.43"/>
    <n v="229616.4"/>
    <n v="251905.85"/>
    <n v="253315.92"/>
    <n v="218909.7"/>
    <n v="238598.33"/>
    <n v="233846.2"/>
    <n v="224329.97"/>
    <n v="209301.78"/>
    <n v="2781794.66"/>
    <n v="15028.190000000002"/>
  </r>
  <r>
    <x v="5"/>
    <x v="4"/>
    <x v="0"/>
    <s v="3136103"/>
    <n v="700026"/>
    <s v="Salaries-RN-OT"/>
    <s v="Orthopedic Surgical"/>
    <x v="0"/>
    <n v="1000"/>
    <n v="11715.25"/>
    <n v="4050.56"/>
    <n v="7841.15"/>
    <n v="10030.43"/>
    <n v="8602.74"/>
    <n v="6710.21"/>
    <n v="9188.06"/>
    <n v="8756.89"/>
    <n v="9927.57"/>
    <n v="13791.74"/>
    <n v="1181.4100000000001"/>
    <n v="7108.33"/>
    <n v="98904.34"/>
    <n v="-5926.92"/>
  </r>
  <r>
    <x v="5"/>
    <x v="4"/>
    <x v="0"/>
    <s v="3136103"/>
    <n v="700026"/>
    <s v="Salaries-RN-Other"/>
    <s v="Orthopedic Surgical"/>
    <x v="0"/>
    <n v="2000"/>
    <n v="20737.330000000002"/>
    <n v="20635.18"/>
    <n v="19711.240000000002"/>
    <n v="21304.39"/>
    <n v="19926.12"/>
    <n v="21585.94"/>
    <n v="20725.72"/>
    <n v="18994.29"/>
    <n v="21055.31"/>
    <n v="20887.650000000001"/>
    <n v="20939.990000000002"/>
    <n v="19501.939999999999"/>
    <n v="246005.09999999998"/>
    <n v="1438.0500000000029"/>
  </r>
  <r>
    <x v="5"/>
    <x v="4"/>
    <x v="0"/>
    <s v="3136103"/>
    <n v="700032"/>
    <s v="Salaries-Other Pat Care Providers-Productive"/>
    <s v="Orthopedic Surgical"/>
    <x v="0"/>
    <m/>
    <n v="69829.37"/>
    <n v="67295.38"/>
    <n v="67526.75"/>
    <n v="72584.679999999993"/>
    <n v="61531.25"/>
    <n v="69508.69"/>
    <n v="71290.009999999995"/>
    <n v="69006.820000000007"/>
    <n v="77726.81"/>
    <n v="78839.53"/>
    <n v="70782.77"/>
    <n v="70857.119999999995"/>
    <n v="846779.18"/>
    <n v="-74.349999999991269"/>
  </r>
  <r>
    <x v="5"/>
    <x v="4"/>
    <x v="0"/>
    <s v="3136103"/>
    <n v="700032"/>
    <s v="Salaries-Other Pat Care Providers-OT"/>
    <s v="Orthopedic Surgical"/>
    <x v="0"/>
    <n v="1000"/>
    <n v="2971.89"/>
    <n v="1162.29"/>
    <n v="3587.44"/>
    <n v="4608.7299999999996"/>
    <n v="1010.27"/>
    <n v="3548.62"/>
    <n v="3821.85"/>
    <n v="3184.71"/>
    <n v="2473.65"/>
    <n v="5012.21"/>
    <n v="684.04"/>
    <n v="4386.91"/>
    <n v="36452.61"/>
    <n v="-3702.87"/>
  </r>
  <r>
    <x v="5"/>
    <x v="4"/>
    <x v="0"/>
    <s v="3136103"/>
    <n v="700032"/>
    <s v="Salaries-Other Pat Care Providers-Other"/>
    <s v="Orthopedic Surgical"/>
    <x v="0"/>
    <n v="2000"/>
    <n v="5172.21"/>
    <n v="5309.53"/>
    <n v="5575.41"/>
    <n v="5477.98"/>
    <n v="5148.76"/>
    <n v="5566.88"/>
    <n v="5619.09"/>
    <n v="5093"/>
    <n v="5717.5"/>
    <n v="6194.9"/>
    <n v="5800.44"/>
    <n v="5622.53"/>
    <n v="66298.23000000001"/>
    <n v="177.90999999999985"/>
  </r>
  <r>
    <x v="5"/>
    <x v="4"/>
    <x v="0"/>
    <s v="3136103"/>
    <n v="700038"/>
    <s v="Salaries-Service/Support-Productive"/>
    <s v="Orthopedic Surgical"/>
    <x v="0"/>
    <m/>
    <n v="9899.4599999999991"/>
    <n v="10059.65"/>
    <n v="9361.23"/>
    <n v="8976.0499999999993"/>
    <n v="7281.28"/>
    <n v="7950.55"/>
    <n v="7111.84"/>
    <n v="7844.01"/>
    <n v="8951.98"/>
    <n v="8382.9699999999993"/>
    <n v="8371.57"/>
    <n v="8748.1299999999992"/>
    <n v="102938.72"/>
    <n v="-376.55999999999949"/>
  </r>
  <r>
    <x v="5"/>
    <x v="4"/>
    <x v="0"/>
    <s v="3136103"/>
    <n v="700038"/>
    <s v="Salaries-Service/Support-OT"/>
    <s v="Orthopedic Surgical"/>
    <x v="0"/>
    <n v="1000"/>
    <n v="46.44"/>
    <n v="28.64"/>
    <n v="13.77"/>
    <n v="1026.48"/>
    <n v="648.89"/>
    <n v="1300.3599999999999"/>
    <n v="1118.0899999999999"/>
    <n v="343.92"/>
    <n v="241.6"/>
    <n v="23.5"/>
    <n v="525.25"/>
    <n v="25.85"/>
    <n v="5342.7900000000009"/>
    <n v="499.4"/>
  </r>
  <r>
    <x v="5"/>
    <x v="4"/>
    <x v="0"/>
    <s v="3136103"/>
    <n v="700038"/>
    <s v="Salaries-Service/Support-Other"/>
    <s v="Orthopedic Surgical"/>
    <x v="0"/>
    <n v="2000"/>
    <n v="544.75"/>
    <n v="460.38"/>
    <n v="669.08"/>
    <n v="322.66000000000003"/>
    <n v="121.94"/>
    <n v="124.58"/>
    <n v="92.28"/>
    <n v="239.23"/>
    <n v="171.46"/>
    <n v="162.94999999999999"/>
    <n v="204.62"/>
    <n v="313.57"/>
    <n v="3427.5"/>
    <n v="-108.94999999999999"/>
  </r>
  <r>
    <x v="5"/>
    <x v="4"/>
    <x v="0"/>
    <s v="3136103"/>
    <n v="700054"/>
    <s v="Salaries-Management-Non-productive"/>
    <s v="Orthopedic Surgical"/>
    <x v="0"/>
    <m/>
    <n v="7751.8"/>
    <n v="-179.8"/>
    <n v="1009.6"/>
    <n v="0"/>
    <n v="0"/>
    <n v="3391.79"/>
    <n v="1440.49"/>
    <n v="1033.82"/>
    <n v="627.67999999999995"/>
    <n v="3175.31"/>
    <n v="-369.17"/>
    <n v="1033.83"/>
    <n v="18915.349999999999"/>
    <n v="-1403"/>
  </r>
  <r>
    <x v="5"/>
    <x v="4"/>
    <x v="0"/>
    <s v="3136103"/>
    <n v="700054"/>
    <s v="Salaries-Management-NonProd-Other"/>
    <s v="Orthopedic Surgical"/>
    <x v="0"/>
    <n v="2000"/>
    <n v="0"/>
    <n v="0"/>
    <n v="0"/>
    <n v="0"/>
    <n v="0"/>
    <n v="7366.94"/>
    <n v="-7366.94"/>
    <n v="0"/>
    <n v="0"/>
    <n v="0"/>
    <n v="0"/>
    <n v="0"/>
    <n v="0"/>
    <n v="0"/>
  </r>
  <r>
    <x v="5"/>
    <x v="4"/>
    <x v="0"/>
    <s v="3136103"/>
    <n v="700058"/>
    <s v="Salaries-Supervisory-Non-productive"/>
    <s v="Orthopedic Surgical"/>
    <x v="0"/>
    <m/>
    <n v="0"/>
    <n v="0"/>
    <n v="0"/>
    <n v="0"/>
    <n v="0"/>
    <n v="0"/>
    <n v="0"/>
    <n v="0"/>
    <n v="0"/>
    <n v="2059.02"/>
    <n v="0"/>
    <n v="3088.44"/>
    <n v="5147.46"/>
    <n v="-3088.44"/>
  </r>
  <r>
    <x v="5"/>
    <x v="4"/>
    <x v="0"/>
    <s v="3136103"/>
    <n v="700066"/>
    <s v="Salaries-RN-Non-productive"/>
    <s v="Orthopedic Surgical"/>
    <x v="0"/>
    <m/>
    <n v="34743"/>
    <n v="41408.54"/>
    <n v="29455.7"/>
    <n v="34760.620000000003"/>
    <n v="37448.75"/>
    <n v="39684.54"/>
    <n v="28987.57"/>
    <n v="40427.629999999997"/>
    <n v="21743.05"/>
    <n v="20955.47"/>
    <n v="25961.01"/>
    <n v="42333.22"/>
    <n v="397909.1"/>
    <n v="-16372.210000000003"/>
  </r>
  <r>
    <x v="5"/>
    <x v="4"/>
    <x v="0"/>
    <s v="3136103"/>
    <n v="700066"/>
    <s v="Salaries-RN-NonProd-Other"/>
    <s v="Orthopedic Surgical"/>
    <x v="0"/>
    <n v="2000"/>
    <n v="2118.3200000000002"/>
    <n v="2257.29"/>
    <n v="1860.79"/>
    <n v="1945.97"/>
    <n v="4462.91"/>
    <n v="3789.88"/>
    <n v="1728.91"/>
    <n v="-648.64"/>
    <n v="2389.16"/>
    <n v="1052.75"/>
    <n v="1380.53"/>
    <n v="2609.44"/>
    <n v="24947.309999999998"/>
    <n v="-1228.9100000000001"/>
  </r>
  <r>
    <x v="5"/>
    <x v="4"/>
    <x v="0"/>
    <s v="3136103"/>
    <n v="700072"/>
    <s v="Salaries-Other Pat Care Providers-Non-productive"/>
    <s v="Orthopedic Surgical"/>
    <x v="0"/>
    <m/>
    <n v="11065.8"/>
    <n v="6849.61"/>
    <n v="8699.61"/>
    <n v="10925.46"/>
    <n v="13814.61"/>
    <n v="10846.97"/>
    <n v="6188.63"/>
    <n v="4752.62"/>
    <n v="3713.16"/>
    <n v="5888.48"/>
    <n v="7360.73"/>
    <n v="9447.11"/>
    <n v="99552.79"/>
    <n v="-2086.380000000001"/>
  </r>
  <r>
    <x v="5"/>
    <x v="4"/>
    <x v="0"/>
    <s v="3136103"/>
    <n v="700072"/>
    <s v="Salaries-Other Pat Care Providers-NonProd-Other"/>
    <s v="Orthopedic Surgical"/>
    <x v="0"/>
    <n v="2000"/>
    <n v="822.95"/>
    <n v="195.91"/>
    <n v="260.08"/>
    <n v="523.27"/>
    <n v="1115.6199999999999"/>
    <n v="590.91"/>
    <n v="281.10000000000002"/>
    <n v="766.25"/>
    <n v="-81.89"/>
    <n v="169.33"/>
    <n v="156.12"/>
    <n v="354.15"/>
    <n v="5153.7999999999993"/>
    <n v="-198.02999999999997"/>
  </r>
  <r>
    <x v="5"/>
    <x v="4"/>
    <x v="0"/>
    <s v="3136103"/>
    <n v="700078"/>
    <s v="Salaries-Service/Support-Non-productive"/>
    <s v="Orthopedic Surgical"/>
    <x v="0"/>
    <m/>
    <n v="3039.2"/>
    <n v="1710.95"/>
    <n v="366.51"/>
    <n v="543.88"/>
    <n v="5172.42"/>
    <n v="2537.17"/>
    <n v="4523.51"/>
    <n v="-260.38"/>
    <n v="217.68"/>
    <n v="4482.22"/>
    <n v="666.9"/>
    <n v="1370.34"/>
    <n v="24370.400000000001"/>
    <n v="-703.43999999999994"/>
  </r>
  <r>
    <x v="5"/>
    <x v="4"/>
    <x v="0"/>
    <s v="3136103"/>
    <n v="700078"/>
    <s v="Salaries-Service/Support-NonProd-Other"/>
    <s v="Orthopedic Surgical"/>
    <x v="0"/>
    <n v="2000"/>
    <n v="0"/>
    <n v="0"/>
    <n v="0"/>
    <n v="11.51"/>
    <n v="343.96"/>
    <n v="349.02"/>
    <n v="0"/>
    <n v="-698.04"/>
    <n v="0"/>
    <n v="0"/>
    <n v="0"/>
    <n v="0"/>
    <n v="6.4500000000000455"/>
    <n v="0"/>
  </r>
  <r>
    <x v="5"/>
    <x v="4"/>
    <x v="0"/>
    <s v="3136103"/>
    <n v="700084"/>
    <s v="Accrued PTO"/>
    <s v="Orthopedic Surgical"/>
    <x v="0"/>
    <m/>
    <n v="-5677.83"/>
    <n v="-3737.48"/>
    <n v="9792.31"/>
    <n v="7167.45"/>
    <n v="-1191.52"/>
    <n v="-11912.42"/>
    <n v="5893.28"/>
    <n v="6989.13"/>
    <n v="12401.71"/>
    <n v="3938.18"/>
    <n v="11570.76"/>
    <n v="971.45"/>
    <n v="36205.019999999997"/>
    <n v="10599.31"/>
  </r>
  <r>
    <x v="10"/>
    <x v="4"/>
    <x v="0"/>
    <s v="3136103"/>
    <n v="710060"/>
    <s v="Contract Labor-Other"/>
    <s v="Orthopedic Surgical"/>
    <x v="0"/>
    <m/>
    <n v="41437"/>
    <n v="33129"/>
    <n v="51188"/>
    <n v="26351"/>
    <n v="24305.75"/>
    <n v="27151.75"/>
    <n v="41595.25"/>
    <n v="8238"/>
    <n v="13691.75"/>
    <n v="33475"/>
    <n v="35258.75"/>
    <n v="99467.03"/>
    <n v="435288.28"/>
    <n v="-64208.28"/>
  </r>
  <r>
    <x v="10"/>
    <x v="4"/>
    <x v="0"/>
    <s v="3136103"/>
    <n v="710060"/>
    <s v="Contract Labor-Overtime"/>
    <s v="Orthopedic Surgical"/>
    <x v="0"/>
    <n v="5100"/>
    <n v="780.3"/>
    <n v="344.25"/>
    <n v="2295"/>
    <n v="0"/>
    <n v="0"/>
    <n v="1101.5999999999999"/>
    <n v="7025.4"/>
    <n v="1215"/>
    <n v="0"/>
    <n v="0"/>
    <n v="0"/>
    <n v="2300.4"/>
    <n v="15061.949999999999"/>
    <n v="-2300.4"/>
  </r>
  <r>
    <x v="10"/>
    <x v="4"/>
    <x v="0"/>
    <s v="3136103"/>
    <n v="710060"/>
    <s v="Contract Labor-Standby Wages"/>
    <s v="Orthopedic Surgical"/>
    <x v="0"/>
    <n v="5101"/>
    <n v="96"/>
    <n v="192"/>
    <n v="0"/>
    <n v="0"/>
    <n v="0"/>
    <n v="0"/>
    <n v="0"/>
    <n v="0"/>
    <n v="0"/>
    <n v="0"/>
    <n v="140"/>
    <n v="192"/>
    <n v="620"/>
    <n v="-52"/>
  </r>
  <r>
    <x v="6"/>
    <x v="4"/>
    <x v="0"/>
    <s v="3136103"/>
    <n v="713010"/>
    <s v="Benefits-FICA/Medicare"/>
    <s v="Orthopedic Surgical"/>
    <x v="0"/>
    <m/>
    <n v="30733.78"/>
    <n v="29103.15"/>
    <n v="30405.33"/>
    <n v="32218.74"/>
    <n v="31070.97"/>
    <n v="32780.47"/>
    <n v="32541.88"/>
    <n v="29826.99"/>
    <n v="30724.62"/>
    <n v="31099.13"/>
    <n v="28944.02"/>
    <n v="29894.61"/>
    <n v="369343.69000000006"/>
    <n v="-950.59000000000015"/>
  </r>
  <r>
    <x v="6"/>
    <x v="4"/>
    <x v="0"/>
    <s v="3136103"/>
    <n v="713090"/>
    <s v="Benefits-Allocated Amounts"/>
    <s v="Orthopedic Surgical"/>
    <x v="0"/>
    <m/>
    <n v="84570.98"/>
    <n v="69261.58"/>
    <n v="77793.789999999994"/>
    <n v="80757.08"/>
    <n v="80881.81"/>
    <n v="82020.2"/>
    <n v="87449.13"/>
    <n v="82538.92"/>
    <n v="78400.44"/>
    <n v="90660.4"/>
    <n v="82703.05"/>
    <n v="85142.98"/>
    <n v="982180.36000000022"/>
    <n v="-2439.929999999993"/>
  </r>
  <r>
    <x v="6"/>
    <x v="4"/>
    <x v="0"/>
    <s v="3136103"/>
    <n v="713096"/>
    <s v="Employee Recognition"/>
    <s v="Orthopedic Surgical"/>
    <x v="0"/>
    <n v="1017"/>
    <n v="0"/>
    <n v="0"/>
    <n v="0"/>
    <n v="0"/>
    <n v="0"/>
    <n v="0"/>
    <n v="0"/>
    <n v="0"/>
    <n v="0"/>
    <n v="0"/>
    <n v="278.05"/>
    <n v="0"/>
    <n v="278.05"/>
    <n v="278.05"/>
  </r>
  <r>
    <x v="7"/>
    <x v="4"/>
    <x v="0"/>
    <s v="3136103"/>
    <n v="718050"/>
    <s v="Contract Svcs-Other"/>
    <s v="Orthopedic Surgical"/>
    <x v="0"/>
    <m/>
    <n v="22.64"/>
    <n v="22.64"/>
    <n v="22.64"/>
    <n v="1446.94"/>
    <n v="22.64"/>
    <n v="537.84"/>
    <n v="0"/>
    <n v="45.36"/>
    <n v="1522.68"/>
    <n v="22.68"/>
    <n v="419.41"/>
    <n v="22.7"/>
    <n v="4108.17"/>
    <n v="396.71000000000004"/>
  </r>
  <r>
    <x v="7"/>
    <x v="4"/>
    <x v="0"/>
    <s v="3136103"/>
    <n v="718050"/>
    <s v="Miscellaneous Purchased Svcs"/>
    <s v="Orthopedic Surgical"/>
    <x v="0"/>
    <n v="1020"/>
    <n v="0"/>
    <n v="0"/>
    <n v="0"/>
    <n v="0"/>
    <n v="0"/>
    <n v="0"/>
    <n v="0"/>
    <n v="0"/>
    <n v="0"/>
    <n v="96.75"/>
    <n v="122.25"/>
    <n v="185.5"/>
    <n v="404.5"/>
    <n v="-63.25"/>
  </r>
  <r>
    <x v="7"/>
    <x v="4"/>
    <x v="0"/>
    <s v="3136103"/>
    <n v="718050"/>
    <s v="Translation Services"/>
    <s v="Orthopedic Surgical"/>
    <x v="0"/>
    <n v="1025"/>
    <n v="57.92"/>
    <n v="66.42"/>
    <n v="139.33000000000001"/>
    <n v="0"/>
    <n v="0"/>
    <n v="0"/>
    <n v="0"/>
    <n v="0"/>
    <n v="0"/>
    <n v="142"/>
    <n v="0"/>
    <n v="0"/>
    <n v="405.67"/>
    <n v="0"/>
  </r>
  <r>
    <x v="7"/>
    <x v="4"/>
    <x v="0"/>
    <s v="3136103"/>
    <n v="718050"/>
    <s v="Contract Management--Linen"/>
    <s v="Orthopedic Surgical"/>
    <x v="0"/>
    <n v="1026"/>
    <n v="5885.97"/>
    <n v="4962.8999999999996"/>
    <n v="4709.34"/>
    <n v="6105.02"/>
    <n v="5902.81"/>
    <n v="5488.54"/>
    <n v="5748.27"/>
    <n v="6504.06"/>
    <n v="5566.28"/>
    <n v="11355.44"/>
    <n v="4316.4799999999996"/>
    <n v="5914.07"/>
    <n v="72459.179999999993"/>
    <n v="-1597.5900000000001"/>
  </r>
  <r>
    <x v="11"/>
    <x v="4"/>
    <x v="0"/>
    <s v="3136103"/>
    <n v="721010"/>
    <s v="Supplies-Medical - Billable"/>
    <s v="Orthopedic Surgical"/>
    <x v="0"/>
    <m/>
    <n v="4010.79"/>
    <n v="5405.09"/>
    <n v="5058.37"/>
    <n v="4547.46"/>
    <n v="5749.08"/>
    <n v="5570.84"/>
    <n v="5557.25"/>
    <n v="4894.22"/>
    <n v="5168.21"/>
    <n v="4900.57"/>
    <n v="4394.68"/>
    <n v="4557.3"/>
    <n v="59813.860000000008"/>
    <n v="-162.61999999999989"/>
  </r>
  <r>
    <x v="11"/>
    <x v="4"/>
    <x v="0"/>
    <s v="3136103"/>
    <n v="721010"/>
    <s v="Patient Monitoring"/>
    <s v="Orthopedic Surgical"/>
    <x v="0"/>
    <n v="1000"/>
    <n v="491.58"/>
    <n v="336.74"/>
    <n v="343.86"/>
    <n v="403.28"/>
    <n v="318.67"/>
    <n v="359.31"/>
    <n v="475.49"/>
    <n v="441.99"/>
    <n v="2087.33"/>
    <n v="1661.42"/>
    <n v="467.84"/>
    <n v="370.83"/>
    <n v="7758.34"/>
    <n v="97.009999999999991"/>
  </r>
  <r>
    <x v="11"/>
    <x v="4"/>
    <x v="0"/>
    <s v="3136103"/>
    <n v="721020"/>
    <s v="Supplies-Surgical - Billable"/>
    <s v="Orthopedic Surgical"/>
    <x v="0"/>
    <m/>
    <n v="473.58"/>
    <n v="681.25"/>
    <n v="1344.57"/>
    <n v="1580.84"/>
    <n v="1005.78"/>
    <n v="1181.6400000000001"/>
    <n v="891.51"/>
    <n v="692.55"/>
    <n v="966.73"/>
    <n v="735.81"/>
    <n v="750.63"/>
    <n v="882.37"/>
    <n v="11187.26"/>
    <n v="-131.74"/>
  </r>
  <r>
    <x v="11"/>
    <x v="4"/>
    <x v="0"/>
    <s v="3136103"/>
    <n v="721020"/>
    <s v="Custom Packs"/>
    <s v="Orthopedic Surgical"/>
    <x v="0"/>
    <n v="1000"/>
    <n v="0"/>
    <n v="172.12"/>
    <n v="291.27999999999997"/>
    <n v="211.84"/>
    <n v="0"/>
    <n v="79.44"/>
    <n v="26.48"/>
    <n v="0"/>
    <n v="0"/>
    <n v="0"/>
    <n v="0"/>
    <n v="0"/>
    <n v="781.16000000000008"/>
    <n v="0"/>
  </r>
  <r>
    <x v="11"/>
    <x v="4"/>
    <x v="0"/>
    <s v="3136103"/>
    <n v="721020"/>
    <s v="Suture/Wound Closure"/>
    <s v="Orthopedic Surgical"/>
    <x v="0"/>
    <n v="1001"/>
    <n v="13.86"/>
    <n v="0"/>
    <n v="0"/>
    <n v="9.9"/>
    <n v="0"/>
    <n v="13.86"/>
    <n v="0"/>
    <n v="139.05000000000001"/>
    <n v="0"/>
    <n v="0"/>
    <n v="0"/>
    <n v="15.84"/>
    <n v="192.51000000000002"/>
    <n v="-15.84"/>
  </r>
  <r>
    <x v="11"/>
    <x v="4"/>
    <x v="0"/>
    <s v="3136103"/>
    <n v="721020"/>
    <s v="Tubes Drains &amp; Related Supplies"/>
    <s v="Orthopedic Surgical"/>
    <x v="0"/>
    <n v="1008"/>
    <n v="0"/>
    <n v="0"/>
    <n v="0"/>
    <n v="0"/>
    <n v="0"/>
    <n v="0"/>
    <n v="0"/>
    <n v="0"/>
    <n v="0"/>
    <n v="13.43"/>
    <n v="0"/>
    <n v="0"/>
    <n v="13.43"/>
    <n v="0"/>
  </r>
  <r>
    <x v="11"/>
    <x v="4"/>
    <x v="0"/>
    <s v="3136103"/>
    <n v="721240"/>
    <s v="Supplies-IV Solutions/Supplies - Billable"/>
    <s v="Orthopedic Surgical"/>
    <x v="0"/>
    <m/>
    <n v="1761.13"/>
    <n v="1852.73"/>
    <n v="2358"/>
    <n v="1971.73"/>
    <n v="2392.5700000000002"/>
    <n v="1700.79"/>
    <n v="1992.37"/>
    <n v="1610.14"/>
    <n v="2204.17"/>
    <n v="1739.79"/>
    <n v="2292.7600000000002"/>
    <n v="1729.9"/>
    <n v="23606.080000000002"/>
    <n v="562.86000000000013"/>
  </r>
  <r>
    <x v="11"/>
    <x v="4"/>
    <x v="0"/>
    <s v="3136103"/>
    <n v="721250"/>
    <s v="Supplies-Pharmacy Drugs - Billable"/>
    <s v="Orthopedic Surgical"/>
    <x v="0"/>
    <m/>
    <n v="0"/>
    <n v="26.57"/>
    <n v="0"/>
    <n v="4.7699999999999996"/>
    <n v="0"/>
    <n v="0"/>
    <n v="0"/>
    <n v="0"/>
    <n v="0"/>
    <n v="0"/>
    <n v="7.7"/>
    <n v="30.14"/>
    <n v="69.180000000000007"/>
    <n v="-22.44"/>
  </r>
  <r>
    <x v="11"/>
    <x v="4"/>
    <x v="0"/>
    <s v="3136103"/>
    <n v="721410"/>
    <s v="Supplies-Medical - Nonbillable"/>
    <s v="Orthopedic Surgical"/>
    <x v="0"/>
    <m/>
    <n v="14081.51"/>
    <n v="12591.35"/>
    <n v="13017.9"/>
    <n v="14594.9"/>
    <n v="15067.03"/>
    <n v="15036.47"/>
    <n v="14839.67"/>
    <n v="13209.44"/>
    <n v="14218.32"/>
    <n v="13497.92"/>
    <n v="13042.25"/>
    <n v="12473.47"/>
    <n v="165670.23000000001"/>
    <n v="568.78000000000065"/>
  </r>
  <r>
    <x v="11"/>
    <x v="4"/>
    <x v="0"/>
    <s v="3136103"/>
    <n v="721410"/>
    <s v="Patient Monitoring"/>
    <s v="Orthopedic Surgical"/>
    <x v="0"/>
    <n v="1000"/>
    <n v="0"/>
    <n v="0"/>
    <n v="0"/>
    <n v="0"/>
    <n v="0"/>
    <n v="0"/>
    <n v="0"/>
    <n v="0"/>
    <n v="0"/>
    <n v="5.4"/>
    <n v="0"/>
    <n v="5.4"/>
    <n v="10.8"/>
    <n v="-5.4"/>
  </r>
  <r>
    <x v="11"/>
    <x v="4"/>
    <x v="0"/>
    <s v="3136103"/>
    <n v="721420"/>
    <s v="Supplies-Surgical Nonbillable"/>
    <s v="Orthopedic Surgical"/>
    <x v="0"/>
    <m/>
    <n v="1.7"/>
    <n v="-8.2100000000000009"/>
    <n v="11.11"/>
    <n v="15.48"/>
    <n v="5.3"/>
    <n v="30.04"/>
    <n v="14.54"/>
    <n v="2.17"/>
    <n v="11.7"/>
    <n v="22.36"/>
    <n v="0"/>
    <n v="8.07"/>
    <n v="114.26000000000002"/>
    <n v="-8.07"/>
  </r>
  <r>
    <x v="11"/>
    <x v="4"/>
    <x v="0"/>
    <s v="3136103"/>
    <n v="721420"/>
    <s v="Tubes Drains &amp; Related Supplies"/>
    <s v="Orthopedic Surgical"/>
    <x v="0"/>
    <n v="1008"/>
    <n v="0"/>
    <n v="0"/>
    <n v="0"/>
    <n v="0"/>
    <n v="0"/>
    <n v="10.49"/>
    <n v="3.01"/>
    <n v="0"/>
    <n v="14.46"/>
    <n v="29.55"/>
    <n v="0"/>
    <n v="0.6"/>
    <n v="58.110000000000007"/>
    <n v="-0.6"/>
  </r>
  <r>
    <x v="11"/>
    <x v="4"/>
    <x v="0"/>
    <s v="3136103"/>
    <n v="721420"/>
    <s v="Sterilization Process Products"/>
    <s v="Orthopedic Surgical"/>
    <x v="0"/>
    <n v="1009"/>
    <n v="0"/>
    <n v="0"/>
    <n v="0"/>
    <n v="1.83"/>
    <n v="0"/>
    <n v="0"/>
    <n v="7.31"/>
    <n v="0"/>
    <n v="0"/>
    <n v="0"/>
    <n v="0"/>
    <n v="0"/>
    <n v="9.14"/>
    <n v="0"/>
  </r>
  <r>
    <x v="11"/>
    <x v="4"/>
    <x v="0"/>
    <s v="3136103"/>
    <n v="721610"/>
    <s v="Supplies-Anesthesia - Nonbillable"/>
    <s v="Orthopedic Surgical"/>
    <x v="0"/>
    <m/>
    <n v="423.26"/>
    <n v="483.08"/>
    <n v="662.39"/>
    <n v="285"/>
    <n v="389.04"/>
    <n v="420.22"/>
    <n v="387.68"/>
    <n v="442.64"/>
    <n v="391.7"/>
    <n v="394.22"/>
    <n v="315.33999999999997"/>
    <n v="251.85"/>
    <n v="4846.42"/>
    <n v="63.489999999999981"/>
  </r>
  <r>
    <x v="11"/>
    <x v="4"/>
    <x v="0"/>
    <s v="3136103"/>
    <n v="721640"/>
    <s v="Supplies-IV Solutions/Supplies - Nonbillable"/>
    <s v="Orthopedic Surgical"/>
    <x v="0"/>
    <m/>
    <n v="3030.86"/>
    <n v="3920.86"/>
    <n v="3540.85"/>
    <n v="2812.68"/>
    <n v="3353.79"/>
    <n v="3648.25"/>
    <n v="3503.09"/>
    <n v="3017.95"/>
    <n v="3329.55"/>
    <n v="3305.38"/>
    <n v="3942.8"/>
    <n v="2427.2399999999998"/>
    <n v="39833.300000000003"/>
    <n v="1515.5600000000004"/>
  </r>
  <r>
    <x v="11"/>
    <x v="4"/>
    <x v="0"/>
    <s v="3136103"/>
    <n v="721650"/>
    <s v="Supplies-Pharmacy Drugs - Nonbillable"/>
    <s v="Orthopedic Surgical"/>
    <x v="0"/>
    <m/>
    <n v="368.47"/>
    <n v="197.26"/>
    <n v="138.51"/>
    <n v="182.88"/>
    <n v="111.78"/>
    <n v="134.33000000000001"/>
    <n v="132.15"/>
    <n v="82.62"/>
    <n v="87.34"/>
    <n v="155.52000000000001"/>
    <n v="97.2"/>
    <n v="152.4"/>
    <n v="1840.46"/>
    <n v="-55.2"/>
  </r>
  <r>
    <x v="11"/>
    <x v="4"/>
    <x v="0"/>
    <s v="3136103"/>
    <n v="721710"/>
    <s v="Supplies-Laboratory - Nonbillable"/>
    <s v="Orthopedic Surgical"/>
    <x v="0"/>
    <m/>
    <n v="255.08"/>
    <n v="433.81"/>
    <n v="263.2"/>
    <n v="318.5"/>
    <n v="283.88"/>
    <n v="277.38"/>
    <n v="307.24"/>
    <n v="268.08"/>
    <n v="277.89999999999998"/>
    <n v="303.11"/>
    <n v="295.54000000000002"/>
    <n v="230.08"/>
    <n v="3513.8"/>
    <n v="65.460000000000008"/>
  </r>
  <r>
    <x v="11"/>
    <x v="4"/>
    <x v="0"/>
    <s v="3136103"/>
    <n v="721710"/>
    <s v="Reagents"/>
    <s v="Orthopedic Surgical"/>
    <x v="0"/>
    <n v="1000"/>
    <n v="9.36"/>
    <n v="30.56"/>
    <n v="15.6"/>
    <n v="30.58"/>
    <n v="5.2"/>
    <n v="10.4"/>
    <n v="0"/>
    <n v="0"/>
    <n v="10.4"/>
    <n v="23.4"/>
    <n v="18.2"/>
    <n v="20.68"/>
    <n v="174.38"/>
    <n v="-2.4800000000000004"/>
  </r>
  <r>
    <x v="11"/>
    <x v="4"/>
    <x v="0"/>
    <s v="3136103"/>
    <n v="721750"/>
    <s v="Supplies-Film/Radiographic - Nonbillable"/>
    <s v="Orthopedic Surgical"/>
    <x v="0"/>
    <m/>
    <n v="1.87"/>
    <n v="1.87"/>
    <n v="0"/>
    <n v="1.87"/>
    <n v="1.87"/>
    <n v="0"/>
    <n v="2.81"/>
    <n v="0"/>
    <n v="4.68"/>
    <n v="1.87"/>
    <n v="1.87"/>
    <n v="1.87"/>
    <n v="20.580000000000002"/>
    <n v="0"/>
  </r>
  <r>
    <x v="11"/>
    <x v="4"/>
    <x v="0"/>
    <s v="3136103"/>
    <n v="721810"/>
    <s v="Supplies-Dietary/Cafeteria"/>
    <s v="Orthopedic Surgical"/>
    <x v="0"/>
    <m/>
    <n v="3323.31"/>
    <n v="3309.01"/>
    <n v="3002.52"/>
    <n v="4052.59"/>
    <n v="3306.78"/>
    <n v="3364.05"/>
    <n v="3386.19"/>
    <n v="3897.13"/>
    <n v="638.41999999999996"/>
    <n v="8250"/>
    <n v="5320.63"/>
    <n v="4098.07"/>
    <n v="45948.7"/>
    <n v="1222.5600000000004"/>
  </r>
  <r>
    <x v="11"/>
    <x v="4"/>
    <x v="0"/>
    <s v="3136103"/>
    <n v="721830"/>
    <s v="Supplies-Office"/>
    <s v="Orthopedic Surgical"/>
    <x v="0"/>
    <m/>
    <n v="665.01"/>
    <n v="1504.08"/>
    <n v="546.91"/>
    <n v="1209.29"/>
    <n v="3438.03"/>
    <n v="725.14"/>
    <n v="908.26"/>
    <n v="401.16"/>
    <n v="2284.9499999999998"/>
    <n v="3239.48"/>
    <n v="88.01"/>
    <n v="565.1"/>
    <n v="15575.419999999998"/>
    <n v="-477.09000000000003"/>
  </r>
  <r>
    <x v="11"/>
    <x v="4"/>
    <x v="0"/>
    <s v="3136103"/>
    <n v="721835"/>
    <s v="Supplies-Forms"/>
    <s v="Orthopedic Surgical"/>
    <x v="0"/>
    <m/>
    <n v="0"/>
    <n v="0"/>
    <n v="0"/>
    <n v="0"/>
    <n v="555.55999999999995"/>
    <n v="97.23"/>
    <n v="35.43"/>
    <n v="0"/>
    <n v="33.53"/>
    <n v="86.4"/>
    <n v="103.26"/>
    <n v="105.45"/>
    <n v="1016.8599999999999"/>
    <n v="-2.1899999999999977"/>
  </r>
  <r>
    <x v="11"/>
    <x v="4"/>
    <x v="0"/>
    <s v="3136103"/>
    <n v="721870"/>
    <s v="Supplies-Environmental Services"/>
    <s v="Orthopedic Surgical"/>
    <x v="0"/>
    <m/>
    <n v="547.21"/>
    <n v="490.33"/>
    <n v="606.54999999999995"/>
    <n v="589.84"/>
    <n v="465.6"/>
    <n v="662.59"/>
    <n v="511.43"/>
    <n v="515.23"/>
    <n v="543.92999999999995"/>
    <n v="554.38"/>
    <n v="453.27"/>
    <n v="515.98"/>
    <n v="6456.34"/>
    <n v="-62.710000000000036"/>
  </r>
  <r>
    <x v="11"/>
    <x v="4"/>
    <x v="0"/>
    <s v="3136103"/>
    <n v="721910"/>
    <s v="Supplies-Small Equipment"/>
    <s v="Orthopedic Surgical"/>
    <x v="0"/>
    <m/>
    <n v="2491.0100000000002"/>
    <n v="2822.87"/>
    <n v="2589.98"/>
    <n v="2847.46"/>
    <n v="4471.78"/>
    <n v="3378.47"/>
    <n v="8645.75"/>
    <n v="2144.81"/>
    <n v="2003.03"/>
    <n v="3592.87"/>
    <n v="3184.45"/>
    <n v="3341.69"/>
    <n v="41514.17"/>
    <n v="-157.24000000000024"/>
  </r>
  <r>
    <x v="11"/>
    <x v="4"/>
    <x v="0"/>
    <s v="3136103"/>
    <n v="721910"/>
    <s v="Instruments"/>
    <s v="Orthopedic Surgical"/>
    <x v="0"/>
    <n v="1000"/>
    <n v="0"/>
    <n v="0"/>
    <n v="0"/>
    <n v="1.71"/>
    <n v="0.73"/>
    <n v="0.02"/>
    <n v="0"/>
    <n v="0"/>
    <n v="0"/>
    <n v="0"/>
    <n v="0"/>
    <n v="1.46"/>
    <n v="3.92"/>
    <n v="-1.46"/>
  </r>
  <r>
    <x v="11"/>
    <x v="4"/>
    <x v="0"/>
    <s v="3136103"/>
    <n v="721980"/>
    <s v="Supplies-Other"/>
    <s v="Orthopedic Surgical"/>
    <x v="0"/>
    <m/>
    <n v="81.760000000000005"/>
    <n v="396"/>
    <n v="180.78"/>
    <n v="575.36"/>
    <n v="88"/>
    <n v="969.99"/>
    <n v="157.31"/>
    <n v="245.39"/>
    <n v="169"/>
    <n v="20.22"/>
    <n v="92.81"/>
    <n v="0"/>
    <n v="2976.62"/>
    <n v="92.81"/>
  </r>
  <r>
    <x v="11"/>
    <x v="4"/>
    <x v="0"/>
    <s v="3136103"/>
    <n v="722000"/>
    <s v="Supplies-Freight Expense"/>
    <s v="Orthopedic Surgical"/>
    <x v="0"/>
    <m/>
    <n v="0"/>
    <n v="0"/>
    <n v="68.97"/>
    <n v="0"/>
    <n v="0"/>
    <n v="0"/>
    <n v="162.82"/>
    <n v="8.24"/>
    <n v="37.81"/>
    <n v="0"/>
    <n v="12.92"/>
    <n v="0"/>
    <n v="290.76000000000005"/>
    <n v="12.92"/>
  </r>
  <r>
    <x v="12"/>
    <x v="4"/>
    <x v="0"/>
    <s v="3136103"/>
    <n v="730020"/>
    <s v="Rental and Leases-Equipment (DO NOT USE)"/>
    <s v="Orthopedic Surgical"/>
    <x v="0"/>
    <m/>
    <n v="0"/>
    <n v="0"/>
    <n v="0"/>
    <n v="-3740.78"/>
    <n v="-451.03"/>
    <n v="0"/>
    <n v="0"/>
    <n v="0"/>
    <n v="0"/>
    <n v="0"/>
    <n v="0"/>
    <n v="0"/>
    <n v="-4191.8100000000004"/>
    <n v="0"/>
  </r>
  <r>
    <x v="12"/>
    <x v="4"/>
    <x v="0"/>
    <s v="3136103"/>
    <n v="730020"/>
    <s v="Rental and Leases-Copier Usage Fees (DO NOT USE)"/>
    <s v="Orthopedic Surgical"/>
    <x v="0"/>
    <n v="5100"/>
    <n v="475.03"/>
    <n v="489.27"/>
    <n v="482.15"/>
    <n v="482.15"/>
    <n v="482.15"/>
    <n v="482.15"/>
    <n v="165.26"/>
    <n v="420.84"/>
    <n v="419.95"/>
    <n v="537.62"/>
    <n v="413.19"/>
    <n v="496.16"/>
    <n v="5345.9199999999992"/>
    <n v="-82.970000000000027"/>
  </r>
  <r>
    <x v="15"/>
    <x v="4"/>
    <x v="0"/>
    <s v="3136103"/>
    <n v="731060"/>
    <s v="Telephone"/>
    <s v="Orthopedic Surgical"/>
    <x v="0"/>
    <m/>
    <n v="0"/>
    <n v="117"/>
    <n v="11.82"/>
    <n v="0"/>
    <n v="0"/>
    <n v="0"/>
    <n v="0"/>
    <n v="0"/>
    <n v="0"/>
    <n v="0"/>
    <n v="88"/>
    <n v="8.7100000000000009"/>
    <n v="225.53"/>
    <n v="79.289999999999992"/>
  </r>
  <r>
    <x v="15"/>
    <x v="4"/>
    <x v="0"/>
    <s v="3136103"/>
    <n v="731060"/>
    <s v="Cell Phones"/>
    <s v="Orthopedic Surgical"/>
    <x v="0"/>
    <n v="1001"/>
    <n v="0"/>
    <n v="27.38"/>
    <n v="276.95"/>
    <n v="0"/>
    <n v="26.83"/>
    <n v="27.45"/>
    <n v="54.82"/>
    <n v="0"/>
    <n v="68.34"/>
    <n v="100.26"/>
    <n v="49.48"/>
    <n v="50.15"/>
    <n v="681.66"/>
    <n v="-0.67000000000000171"/>
  </r>
  <r>
    <x v="15"/>
    <x v="4"/>
    <x v="0"/>
    <s v="3136103"/>
    <n v="731060"/>
    <s v="Pagers"/>
    <s v="Orthopedic Surgical"/>
    <x v="0"/>
    <n v="1002"/>
    <n v="24.3"/>
    <n v="24.3"/>
    <n v="43.73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238.49000000000004"/>
    <n v="0"/>
  </r>
  <r>
    <x v="16"/>
    <x v="4"/>
    <x v="0"/>
    <s v="3136103"/>
    <n v="732020"/>
    <s v="Repairs--Clin Equip-Parts-Internal to CHI Programs"/>
    <s v="Orthopedic Surgical"/>
    <x v="0"/>
    <m/>
    <n v="0"/>
    <n v="0"/>
    <n v="0"/>
    <n v="0"/>
    <n v="0"/>
    <n v="0"/>
    <n v="0"/>
    <n v="0"/>
    <n v="0"/>
    <n v="0"/>
    <n v="0"/>
    <n v="0"/>
    <n v="0"/>
    <n v="0"/>
  </r>
  <r>
    <x v="13"/>
    <x v="4"/>
    <x v="0"/>
    <s v="3136103"/>
    <n v="735040"/>
    <s v="Depreciation-Building Improvements"/>
    <s v="Orthopedic Surgical"/>
    <x v="0"/>
    <m/>
    <n v="1759.94"/>
    <n v="1759.93"/>
    <n v="1759.94"/>
    <n v="1759.93"/>
    <n v="1759.96"/>
    <n v="1759.93"/>
    <n v="1759.98"/>
    <n v="1759.92"/>
    <n v="1759.99"/>
    <n v="1759.92"/>
    <n v="1759.99"/>
    <n v="1759.92"/>
    <n v="21119.350000000006"/>
    <n v="6.9999999999936335E-2"/>
  </r>
  <r>
    <x v="13"/>
    <x v="4"/>
    <x v="0"/>
    <s v="3136103"/>
    <n v="735070"/>
    <s v="Depreciation-Movable Equipment"/>
    <s v="Orthopedic Surgical"/>
    <x v="0"/>
    <m/>
    <n v="2244.5300000000002"/>
    <n v="2244.52"/>
    <n v="2244.5300000000002"/>
    <n v="2155.66"/>
    <n v="2155.6799999999998"/>
    <n v="2155.63"/>
    <n v="2155.6799999999998"/>
    <n v="2155.62"/>
    <n v="1836.11"/>
    <n v="1836.04"/>
    <n v="1836.11"/>
    <n v="1836.04"/>
    <n v="24856.15"/>
    <n v="6.9999999999936335E-2"/>
  </r>
  <r>
    <x v="0"/>
    <x v="4"/>
    <x v="0"/>
    <s v="3136103"/>
    <n v="740020"/>
    <s v="Education-Registration Fees"/>
    <s v="Orthopedic Surgical"/>
    <x v="0"/>
    <m/>
    <n v="175"/>
    <n v="0"/>
    <n v="400"/>
    <n v="0"/>
    <n v="0"/>
    <n v="0"/>
    <n v="0"/>
    <n v="0"/>
    <n v="350"/>
    <n v="0"/>
    <n v="0"/>
    <n v="0"/>
    <n v="925"/>
    <n v="0"/>
  </r>
  <r>
    <x v="0"/>
    <x v="4"/>
    <x v="0"/>
    <s v="3136103"/>
    <n v="742010"/>
    <s v="Postage-Regular"/>
    <s v="Orthopedic Surgical"/>
    <x v="0"/>
    <m/>
    <n v="0"/>
    <n v="0"/>
    <n v="0"/>
    <n v="0"/>
    <n v="0"/>
    <n v="0"/>
    <n v="0"/>
    <n v="23.9"/>
    <n v="0"/>
    <n v="0"/>
    <n v="0"/>
    <n v="0"/>
    <n v="23.9"/>
    <n v="0"/>
  </r>
  <r>
    <x v="0"/>
    <x v="4"/>
    <x v="0"/>
    <s v="3136103"/>
    <n v="743030"/>
    <s v="Subscriptions--Institutional"/>
    <s v="Orthopedic Surgical"/>
    <x v="0"/>
    <m/>
    <n v="0"/>
    <n v="0"/>
    <n v="0"/>
    <n v="0"/>
    <n v="58.35"/>
    <n v="585.96"/>
    <n v="0"/>
    <n v="0"/>
    <n v="0"/>
    <n v="0"/>
    <n v="0"/>
    <n v="0"/>
    <n v="644.31000000000006"/>
    <n v="0"/>
  </r>
  <r>
    <x v="0"/>
    <x v="4"/>
    <x v="0"/>
    <s v="3136103"/>
    <n v="749510"/>
    <s v="Miscellaneous Expenses"/>
    <s v="Orthopedic Surgical"/>
    <x v="0"/>
    <m/>
    <n v="0"/>
    <n v="1098.1099999999999"/>
    <n v="940.39"/>
    <n v="307.63"/>
    <n v="448.11"/>
    <n v="179.27"/>
    <n v="22.81"/>
    <n v="4473.66"/>
    <n v="1455.71"/>
    <n v="-5.78"/>
    <n v="5718.6"/>
    <n v="1453.58"/>
    <n v="16092.089999999998"/>
    <n v="4265.0200000000004"/>
  </r>
  <r>
    <x v="0"/>
    <x v="4"/>
    <x v="0"/>
    <s v="3136103"/>
    <n v="749510"/>
    <s v="RICE Rewards"/>
    <s v="Orthopedic Surgical"/>
    <x v="0"/>
    <n v="5100"/>
    <n v="0"/>
    <n v="0"/>
    <n v="0"/>
    <n v="0"/>
    <n v="0"/>
    <n v="36.43"/>
    <n v="0"/>
    <n v="0"/>
    <n v="0"/>
    <n v="184.75"/>
    <n v="0"/>
    <n v="0"/>
    <n v="221.18"/>
    <n v="0"/>
  </r>
  <r>
    <x v="0"/>
    <x v="4"/>
    <x v="0"/>
    <s v="3136103"/>
    <n v="749535"/>
    <s v="Meetings"/>
    <s v="Orthopedic Surgical"/>
    <x v="0"/>
    <m/>
    <n v="0"/>
    <n v="0"/>
    <n v="0"/>
    <n v="0"/>
    <n v="0"/>
    <n v="225.8"/>
    <n v="0"/>
    <n v="0"/>
    <n v="0"/>
    <n v="0"/>
    <n v="0"/>
    <n v="0"/>
    <n v="225.8"/>
    <n v="0"/>
  </r>
  <r>
    <x v="18"/>
    <x v="3"/>
    <x v="0"/>
    <s v="3165101"/>
    <n v="400010"/>
    <s v="Acute I/P Svcs Rev--Medicare"/>
    <s v="Physical Rehabilitation Car"/>
    <x v="0"/>
    <n v="1100"/>
    <n v="-39895.61"/>
    <n v="0"/>
    <n v="39895.61"/>
    <n v="0"/>
    <n v="0"/>
    <n v="0"/>
    <n v="0"/>
    <n v="0"/>
    <n v="0"/>
    <n v="0"/>
    <n v="0"/>
    <n v="0"/>
    <n v="0"/>
    <n v="0"/>
  </r>
  <r>
    <x v="18"/>
    <x v="3"/>
    <x v="0"/>
    <s v="3165101"/>
    <n v="400010"/>
    <s v="Acute I/P Svcs Rev--Medicaid"/>
    <s v="Physical Rehabilitation Car"/>
    <x v="0"/>
    <n v="1200"/>
    <n v="0"/>
    <n v="0"/>
    <n v="0"/>
    <n v="0"/>
    <n v="0"/>
    <n v="0"/>
    <n v="0"/>
    <n v="0"/>
    <n v="0"/>
    <n v="0"/>
    <n v="0"/>
    <n v="0"/>
    <n v="0"/>
    <n v="0"/>
  </r>
  <r>
    <x v="18"/>
    <x v="3"/>
    <x v="0"/>
    <s v="3165101"/>
    <n v="400010"/>
    <s v="Acute I/P Svcs Rev--Comm Insurance"/>
    <s v="Physical Rehabilitation Car"/>
    <x v="0"/>
    <n v="1300"/>
    <n v="39895.61"/>
    <n v="0"/>
    <n v="-39895.61"/>
    <n v="0"/>
    <n v="0"/>
    <n v="0"/>
    <n v="0"/>
    <n v="0"/>
    <n v="0"/>
    <n v="0"/>
    <n v="0"/>
    <n v="0"/>
    <n v="0"/>
    <n v="0"/>
  </r>
  <r>
    <x v="18"/>
    <x v="3"/>
    <x v="0"/>
    <s v="3165101"/>
    <n v="400010"/>
    <s v="Acute I/P Svcs Rev--Managed Care"/>
    <s v="Physical Rehabilitation Car"/>
    <x v="0"/>
    <n v="14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3165101"/>
    <n v="700026"/>
    <s v="Salaries-RN-Other"/>
    <s v="Physical Rehabilitation Car"/>
    <x v="0"/>
    <n v="2000"/>
    <n v="1724.15"/>
    <n v="1083.75"/>
    <n v="-155.1"/>
    <n v="-2652.8"/>
    <n v="0"/>
    <n v="0"/>
    <n v="0"/>
    <n v="0"/>
    <n v="0"/>
    <n v="0"/>
    <n v="0"/>
    <n v="0"/>
    <n v="0"/>
    <n v="0"/>
  </r>
  <r>
    <x v="5"/>
    <x v="3"/>
    <x v="0"/>
    <s v="3165101"/>
    <n v="700032"/>
    <s v="Salaries-Other Pat Care Providers-Productive"/>
    <s v="Physical Rehabilitation Car"/>
    <x v="0"/>
    <m/>
    <n v="1879.49"/>
    <n v="204.44"/>
    <n v="-2114.3200000000002"/>
    <n v="30.39"/>
    <n v="0"/>
    <n v="0"/>
    <n v="0"/>
    <n v="0"/>
    <n v="0"/>
    <n v="0"/>
    <n v="0"/>
    <n v="0"/>
    <n v="-3.2684965844964609E-13"/>
    <n v="0"/>
  </r>
  <r>
    <x v="5"/>
    <x v="3"/>
    <x v="0"/>
    <s v="3165101"/>
    <n v="700032"/>
    <s v="Salaries-Other Pat Care Providers-Other"/>
    <s v="Physical Rehabilitation Car"/>
    <x v="0"/>
    <n v="2000"/>
    <n v="179.44"/>
    <n v="14.28"/>
    <n v="-154.54"/>
    <n v="-39.18"/>
    <n v="0"/>
    <n v="0"/>
    <n v="0"/>
    <n v="0"/>
    <n v="0"/>
    <n v="0"/>
    <n v="0"/>
    <n v="0"/>
    <n v="7.1054273576010019E-15"/>
    <n v="0"/>
  </r>
  <r>
    <x v="5"/>
    <x v="3"/>
    <x v="0"/>
    <s v="3165101"/>
    <n v="700066"/>
    <s v="Salaries-RN-NonProd-Other"/>
    <s v="Physical Rehabilitation Car"/>
    <x v="0"/>
    <n v="2000"/>
    <n v="2032.45"/>
    <n v="6300.69"/>
    <n v="-5184.67"/>
    <n v="-3148.47"/>
    <n v="0"/>
    <n v="0"/>
    <n v="0"/>
    <n v="0"/>
    <n v="0"/>
    <n v="0"/>
    <n v="0"/>
    <n v="0"/>
    <n v="-4.5474735088646412E-13"/>
    <n v="0"/>
  </r>
  <r>
    <x v="5"/>
    <x v="3"/>
    <x v="0"/>
    <s v="3165101"/>
    <n v="700072"/>
    <s v="Salaries-Other Pat Care Providers-NonProd-Other"/>
    <s v="Physical Rehabilitation Car"/>
    <x v="0"/>
    <n v="2000"/>
    <n v="16.53"/>
    <n v="0"/>
    <n v="-23.65"/>
    <n v="7.12"/>
    <n v="0"/>
    <n v="0"/>
    <n v="0"/>
    <n v="0"/>
    <n v="0"/>
    <n v="0"/>
    <n v="0"/>
    <n v="0"/>
    <n v="2.6645352591003757E-15"/>
    <n v="0"/>
  </r>
  <r>
    <x v="5"/>
    <x v="3"/>
    <x v="0"/>
    <s v="3165101"/>
    <n v="700074"/>
    <s v="Salaries-Tech/Professional-NonProd-Other"/>
    <s v="Physical Rehabilitation Ca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3165101"/>
    <n v="700084"/>
    <s v="Accrued PTO"/>
    <s v="Physical Rehabilitation Car"/>
    <x v="0"/>
    <m/>
    <n v="-146.24"/>
    <n v="0"/>
    <n v="0"/>
    <n v="146.24"/>
    <n v="0"/>
    <n v="0"/>
    <n v="0"/>
    <n v="0"/>
    <n v="0"/>
    <n v="0"/>
    <n v="0"/>
    <n v="0"/>
    <n v="0"/>
    <n v="0"/>
  </r>
  <r>
    <x v="10"/>
    <x v="3"/>
    <x v="0"/>
    <s v="3165101"/>
    <n v="710060"/>
    <s v="Contract Labor-Other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3165101"/>
    <n v="713010"/>
    <s v="Benefits-FICA/Medicare"/>
    <s v="Physical Rehabilitation Car"/>
    <x v="0"/>
    <m/>
    <n v="1089.45"/>
    <n v="165.49"/>
    <n v="-578.52"/>
    <n v="-676.42"/>
    <n v="0"/>
    <n v="0"/>
    <n v="0"/>
    <n v="0"/>
    <n v="0"/>
    <n v="0"/>
    <n v="0"/>
    <n v="0"/>
    <n v="1.1368683772161603E-13"/>
    <n v="0"/>
  </r>
  <r>
    <x v="6"/>
    <x v="3"/>
    <x v="0"/>
    <s v="3165101"/>
    <n v="713090"/>
    <s v="Benefits-Allocated Amounts"/>
    <s v="Physical Rehabilitation Car"/>
    <x v="0"/>
    <m/>
    <n v="933.63"/>
    <n v="439.82"/>
    <n v="-1067.71"/>
    <n v="-305.74"/>
    <n v="0"/>
    <n v="0"/>
    <n v="0"/>
    <n v="0"/>
    <n v="0"/>
    <n v="0"/>
    <n v="0"/>
    <n v="0"/>
    <n v="0"/>
    <n v="0"/>
  </r>
  <r>
    <x v="7"/>
    <x v="3"/>
    <x v="0"/>
    <s v="3165101"/>
    <n v="718050"/>
    <s v="Translation Services"/>
    <s v="Physical Rehabilitation Car"/>
    <x v="0"/>
    <n v="1025"/>
    <n v="0"/>
    <n v="0"/>
    <n v="0"/>
    <n v="0"/>
    <n v="0"/>
    <n v="0"/>
    <n v="0"/>
    <n v="0"/>
    <n v="0"/>
    <n v="0"/>
    <n v="0"/>
    <n v="0"/>
    <n v="0"/>
    <n v="0"/>
  </r>
  <r>
    <x v="7"/>
    <x v="3"/>
    <x v="0"/>
    <s v="3165101"/>
    <n v="718050"/>
    <s v="Contract Management--Linen"/>
    <s v="Physical Rehabilitation Car"/>
    <x v="0"/>
    <n v="1026"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010"/>
    <s v="Supplies-Medical - Billable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410"/>
    <s v="Supplies-Medical - Nonbillable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420"/>
    <s v="Supplies-Surgical Nonbillable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420"/>
    <s v="Tubes Drains &amp; Related Supplies"/>
    <s v="Physical Rehabilitation Car"/>
    <x v="0"/>
    <n v="1008"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640"/>
    <s v="Supplies-IV Solutions/Supplies - Nonbillable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710"/>
    <s v="Supplies-Laboratory - Nonbillable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810"/>
    <s v="Supplies-Dietary/Cafeteria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870"/>
    <s v="Supplies-Environmental Services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880"/>
    <s v="Supplies-Linen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910"/>
    <s v="Supplies-Small Equipment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3165101"/>
    <n v="721980"/>
    <s v="Supplies-Other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2"/>
    <x v="3"/>
    <x v="0"/>
    <s v="3165101"/>
    <n v="730020"/>
    <s v="Rental and Leases-Equipment (DO NOT USE)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12"/>
    <x v="3"/>
    <x v="0"/>
    <s v="3165101"/>
    <n v="730020"/>
    <s v="Rental and Leases-Copier Usage Fees (DO NOT USE)"/>
    <s v="Physical Rehabilitation Car"/>
    <x v="0"/>
    <n v="5100"/>
    <n v="0"/>
    <n v="0"/>
    <n v="0"/>
    <n v="0"/>
    <n v="0"/>
    <n v="0"/>
    <n v="0"/>
    <n v="0"/>
    <n v="0"/>
    <n v="0"/>
    <n v="0"/>
    <n v="0"/>
    <n v="0"/>
    <n v="0"/>
  </r>
  <r>
    <x v="15"/>
    <x v="3"/>
    <x v="0"/>
    <s v="3165101"/>
    <n v="731060"/>
    <s v="Pagers"/>
    <s v="Physical Rehabilitation Car"/>
    <x v="0"/>
    <n v="1002"/>
    <n v="0"/>
    <n v="0"/>
    <n v="0"/>
    <n v="0"/>
    <n v="0"/>
    <n v="0"/>
    <n v="0"/>
    <n v="0"/>
    <n v="0"/>
    <n v="0"/>
    <n v="0"/>
    <n v="0"/>
    <n v="0"/>
    <n v="0"/>
  </r>
  <r>
    <x v="16"/>
    <x v="3"/>
    <x v="0"/>
    <s v="3165101"/>
    <n v="732030"/>
    <s v="Repairs---Other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3165101"/>
    <n v="749510"/>
    <s v="Miscellaneous Expenses"/>
    <s v="Physical Rehabilitation Car"/>
    <x v="0"/>
    <m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3165106"/>
    <n v="700026"/>
    <s v="Salaries-RN-Productive"/>
    <s v="Acute Rehab"/>
    <x v="0"/>
    <m/>
    <n v="-669.44"/>
    <n v="0"/>
    <n v="0"/>
    <n v="0"/>
    <n v="0"/>
    <n v="0"/>
    <n v="0"/>
    <n v="388.41"/>
    <n v="0"/>
    <n v="0"/>
    <n v="0"/>
    <n v="-388.41"/>
    <n v="-669.44"/>
    <n v="388.41"/>
  </r>
  <r>
    <x v="5"/>
    <x v="5"/>
    <x v="0"/>
    <s v="3165106"/>
    <n v="700026"/>
    <s v="Salaries-RN-OT"/>
    <s v="Acute Rehab"/>
    <x v="0"/>
    <n v="1000"/>
    <n v="0"/>
    <n v="0"/>
    <n v="0"/>
    <n v="0"/>
    <n v="0"/>
    <n v="0"/>
    <n v="0"/>
    <n v="13.81"/>
    <n v="0"/>
    <n v="0"/>
    <n v="0"/>
    <n v="-13.81"/>
    <n v="0"/>
    <n v="13.81"/>
  </r>
  <r>
    <x v="5"/>
    <x v="5"/>
    <x v="0"/>
    <s v="3165106"/>
    <n v="700026"/>
    <s v="Salaries-RN-Other"/>
    <s v="Acute Rehab"/>
    <x v="0"/>
    <n v="2000"/>
    <n v="-20.38"/>
    <n v="0"/>
    <n v="0"/>
    <n v="0"/>
    <n v="0"/>
    <n v="0"/>
    <n v="0"/>
    <n v="41.19"/>
    <n v="0"/>
    <n v="0"/>
    <n v="0"/>
    <n v="-41.91"/>
    <n v="-21.099999999999998"/>
    <n v="41.91"/>
  </r>
  <r>
    <x v="5"/>
    <x v="5"/>
    <x v="0"/>
    <s v="3165106"/>
    <n v="700032"/>
    <s v="Salaries-Other Pat Care Providers-Productive"/>
    <s v="Acute Rehab"/>
    <x v="0"/>
    <m/>
    <n v="213.28"/>
    <n v="109.03"/>
    <n v="0"/>
    <n v="0"/>
    <n v="0"/>
    <n v="487.02"/>
    <n v="1031.55"/>
    <n v="-209.97"/>
    <n v="461.99"/>
    <n v="935.98"/>
    <n v="83.28"/>
    <n v="-3112.16"/>
    <n v="0"/>
    <n v="3195.44"/>
  </r>
  <r>
    <x v="5"/>
    <x v="5"/>
    <x v="0"/>
    <s v="3165106"/>
    <n v="700032"/>
    <s v="Salaries-Other Pat Care Providers-OT"/>
    <s v="Acute Rehab"/>
    <x v="0"/>
    <n v="1000"/>
    <n v="0"/>
    <n v="0"/>
    <n v="0"/>
    <n v="0"/>
    <n v="0"/>
    <n v="0"/>
    <n v="0"/>
    <n v="0"/>
    <n v="0"/>
    <n v="335.98"/>
    <n v="-139.97999999999999"/>
    <n v="-196"/>
    <n v="0"/>
    <n v="56.02000000000001"/>
  </r>
  <r>
    <x v="5"/>
    <x v="5"/>
    <x v="0"/>
    <s v="3165106"/>
    <n v="700032"/>
    <s v="Salaries-Other Pat Care Providers-Other"/>
    <s v="Acute Rehab"/>
    <x v="0"/>
    <n v="2000"/>
    <n v="0"/>
    <n v="0"/>
    <n v="0"/>
    <n v="0"/>
    <n v="0"/>
    <n v="44.53"/>
    <n v="75.98"/>
    <n v="-7.81"/>
    <n v="22.77"/>
    <n v="132.66"/>
    <n v="18.53"/>
    <n v="-286.66000000000003"/>
    <n v="0"/>
    <n v="305.19000000000005"/>
  </r>
  <r>
    <x v="6"/>
    <x v="5"/>
    <x v="0"/>
    <s v="3165106"/>
    <n v="713010"/>
    <s v="Benefits-FICA/Medicare"/>
    <s v="Acute Rehab"/>
    <x v="0"/>
    <m/>
    <n v="-34.21"/>
    <n v="8.35"/>
    <n v="0"/>
    <n v="0"/>
    <n v="0"/>
    <n v="38.65"/>
    <n v="81.53"/>
    <n v="17"/>
    <n v="36.67"/>
    <n v="103.89"/>
    <n v="-4.12"/>
    <n v="-247.76"/>
    <n v="0"/>
    <n v="243.64"/>
  </r>
  <r>
    <x v="6"/>
    <x v="5"/>
    <x v="0"/>
    <s v="3165106"/>
    <n v="713090"/>
    <s v="Benefits-Allocated Amounts"/>
    <s v="Acute Rehab"/>
    <x v="0"/>
    <m/>
    <n v="-56.87"/>
    <n v="49.16"/>
    <n v="-17.02"/>
    <n v="3.53"/>
    <n v="-4.91"/>
    <n v="133.35"/>
    <n v="342.43"/>
    <n v="1.37"/>
    <n v="215.97"/>
    <n v="356.24"/>
    <n v="16.63"/>
    <n v="-247.24"/>
    <n v="792.6400000000001"/>
    <n v="263.87"/>
  </r>
  <r>
    <x v="11"/>
    <x v="5"/>
    <x v="0"/>
    <s v="3165106"/>
    <n v="721810"/>
    <s v="Supplies-Dietary/Cafeteria"/>
    <s v="Acute Rehab"/>
    <x v="0"/>
    <m/>
    <n v="15.38"/>
    <n v="0"/>
    <n v="0"/>
    <n v="0"/>
    <n v="0"/>
    <n v="0"/>
    <n v="2.88"/>
    <n v="0"/>
    <n v="0"/>
    <n v="5.51"/>
    <n v="0"/>
    <n v="-23.77"/>
    <n v="0"/>
    <n v="23.77"/>
  </r>
  <r>
    <x v="11"/>
    <x v="5"/>
    <x v="0"/>
    <s v="3165106"/>
    <n v="721830"/>
    <s v="Supplies-Office"/>
    <s v="Acute Rehab"/>
    <x v="0"/>
    <m/>
    <n v="0"/>
    <n v="126.72"/>
    <n v="126.85"/>
    <n v="0"/>
    <n v="0"/>
    <n v="0"/>
    <n v="0"/>
    <n v="42.19"/>
    <n v="0"/>
    <n v="68.55"/>
    <n v="171.72"/>
    <n v="-536.03"/>
    <n v="0"/>
    <n v="707.75"/>
  </r>
  <r>
    <x v="13"/>
    <x v="5"/>
    <x v="0"/>
    <s v="3165106"/>
    <n v="735070"/>
    <s v="Depreciation-Movable Equipment"/>
    <s v="Acute Rehab"/>
    <x v="0"/>
    <m/>
    <n v="48.7"/>
    <n v="48.69"/>
    <n v="48.7"/>
    <n v="48.69"/>
    <n v="48.7"/>
    <n v="48.69"/>
    <n v="-292.17"/>
    <n v="0"/>
    <n v="0"/>
    <n v="0"/>
    <n v="0"/>
    <n v="0"/>
    <n v="0"/>
    <n v="0"/>
  </r>
  <r>
    <x v="12"/>
    <x v="6"/>
    <x v="0"/>
    <s v="3180107"/>
    <n v="730020"/>
    <s v="Rental and Leases-Copier Usage Fees (DO NOT USE)"/>
    <s v="Palliative Care"/>
    <x v="0"/>
    <n v="5100"/>
    <n v="170.36"/>
    <n v="172.79"/>
    <n v="171.57"/>
    <n v="171.57"/>
    <n v="171.57"/>
    <n v="171.57"/>
    <n v="457.11"/>
    <n v="70.7"/>
    <n v="70.55"/>
    <n v="562.66"/>
    <n v="70.7"/>
    <n v="75.959999999999994"/>
    <n v="2337.1099999999997"/>
    <n v="-5.2599999999999909"/>
  </r>
  <r>
    <x v="5"/>
    <x v="6"/>
    <x v="0"/>
    <s v="3190107"/>
    <n v="700014"/>
    <s v="Salaries-Management-Productive"/>
    <s v="Orthopedic Service Line"/>
    <x v="0"/>
    <m/>
    <n v="5894.18"/>
    <n v="10749.06"/>
    <n v="9917.01"/>
    <n v="5873.72"/>
    <n v="13081.3"/>
    <n v="7267.6"/>
    <n v="8503.52"/>
    <n v="9403.83"/>
    <n v="11349.48"/>
    <n v="10304.27"/>
    <n v="11169.35"/>
    <n v="10304.77"/>
    <n v="113818.09000000001"/>
    <n v="864.57999999999993"/>
  </r>
  <r>
    <x v="5"/>
    <x v="6"/>
    <x v="0"/>
    <s v="3190107"/>
    <n v="700014"/>
    <s v="Salaries-Management-Other"/>
    <s v="Orthopedic Service Line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6"/>
    <x v="0"/>
    <s v="3190107"/>
    <n v="700026"/>
    <s v="Salaries-RN-Productive"/>
    <s v="Orthopedic Service Line"/>
    <x v="0"/>
    <m/>
    <n v="0"/>
    <n v="0"/>
    <n v="0"/>
    <n v="0"/>
    <n v="556.6"/>
    <n v="-100.47"/>
    <n v="0"/>
    <n v="0"/>
    <n v="0"/>
    <n v="0"/>
    <n v="0"/>
    <n v="0"/>
    <n v="456.13"/>
    <n v="0"/>
  </r>
  <r>
    <x v="5"/>
    <x v="6"/>
    <x v="0"/>
    <s v="3190107"/>
    <n v="700026"/>
    <s v="Salaries-RN-Other"/>
    <s v="Orthopedic Service Line"/>
    <x v="0"/>
    <n v="2000"/>
    <n v="0"/>
    <n v="0"/>
    <n v="0"/>
    <n v="0"/>
    <n v="0"/>
    <n v="3.75"/>
    <n v="0"/>
    <n v="0"/>
    <n v="0"/>
    <n v="0"/>
    <n v="0"/>
    <n v="0"/>
    <n v="3.75"/>
    <n v="0"/>
  </r>
  <r>
    <x v="5"/>
    <x v="6"/>
    <x v="0"/>
    <s v="3190107"/>
    <n v="700032"/>
    <s v="Salaries-Other Pat Care Providers-Productive"/>
    <s v="Orthopedic Service Line"/>
    <x v="0"/>
    <m/>
    <n v="0"/>
    <n v="75000"/>
    <n v="-75000"/>
    <n v="0"/>
    <n v="0"/>
    <n v="0"/>
    <n v="0"/>
    <n v="0"/>
    <n v="0"/>
    <n v="0"/>
    <n v="0"/>
    <n v="0"/>
    <n v="0"/>
    <n v="0"/>
  </r>
  <r>
    <x v="5"/>
    <x v="6"/>
    <x v="0"/>
    <s v="3190107"/>
    <n v="700038"/>
    <s v="Salaries-Service/Support-Productive"/>
    <s v="Orthopedic Service Line"/>
    <x v="0"/>
    <m/>
    <n v="2548.91"/>
    <n v="2161.13"/>
    <n v="2463.98"/>
    <n v="2567.19"/>
    <n v="2498.42"/>
    <n v="2009.12"/>
    <n v="1158.6500000000001"/>
    <n v="2445.88"/>
    <n v="3012.62"/>
    <n v="2535.8200000000002"/>
    <n v="653.30999999999995"/>
    <n v="3213.85"/>
    <n v="27268.879999999997"/>
    <n v="-2560.54"/>
  </r>
  <r>
    <x v="5"/>
    <x v="6"/>
    <x v="0"/>
    <s v="3190107"/>
    <n v="700038"/>
    <s v="Salaries-Service/Support-Other"/>
    <s v="Orthopedic Service Line"/>
    <x v="0"/>
    <n v="2000"/>
    <n v="0"/>
    <n v="9.7100000000000009"/>
    <n v="4.84"/>
    <n v="-2.81"/>
    <n v="0"/>
    <n v="0"/>
    <n v="18.95"/>
    <n v="4.2"/>
    <n v="-2.41"/>
    <n v="0"/>
    <n v="42.05"/>
    <n v="188.54"/>
    <n v="263.07"/>
    <n v="-146.49"/>
  </r>
  <r>
    <x v="5"/>
    <x v="6"/>
    <x v="0"/>
    <s v="3190107"/>
    <n v="700054"/>
    <s v="Salaries-Management-Non-productive"/>
    <s v="Orthopedic Service Line"/>
    <x v="0"/>
    <m/>
    <n v="0"/>
    <n v="0"/>
    <n v="485.44"/>
    <n v="5201.08"/>
    <n v="-2288.4499999999998"/>
    <n v="3885.38"/>
    <n v="2666.89"/>
    <n v="684.54"/>
    <n v="-180.12"/>
    <n v="504.42"/>
    <n v="0"/>
    <n v="504.42"/>
    <n v="11463.6"/>
    <n v="-504.42"/>
  </r>
  <r>
    <x v="5"/>
    <x v="6"/>
    <x v="0"/>
    <s v="3190107"/>
    <n v="700078"/>
    <s v="Salaries-Service/Support-Non-productive"/>
    <s v="Orthopedic Service Line"/>
    <x v="0"/>
    <m/>
    <n v="169.33"/>
    <n v="628.94000000000005"/>
    <n v="169.33"/>
    <n v="215.98"/>
    <n v="126.55"/>
    <n v="722.67"/>
    <n v="1554.01"/>
    <n v="13.01"/>
    <n v="-108.12"/>
    <n v="121.13"/>
    <n v="0"/>
    <n v="262.94"/>
    <n v="3875.7700000000009"/>
    <n v="-262.94"/>
  </r>
  <r>
    <x v="5"/>
    <x v="6"/>
    <x v="0"/>
    <s v="3190107"/>
    <n v="700084"/>
    <s v="Accrued PTO"/>
    <s v="Orthopedic Service Line"/>
    <x v="0"/>
    <m/>
    <n v="1042.31"/>
    <n v="977.45"/>
    <n v="946.78"/>
    <n v="-1032.4000000000001"/>
    <n v="1532.65"/>
    <n v="-1790.62"/>
    <n v="-1613.67"/>
    <n v="842.38"/>
    <n v="1670.29"/>
    <n v="1026.32"/>
    <n v="1515.01"/>
    <n v="1110.77"/>
    <n v="6227.27"/>
    <n v="404.24"/>
  </r>
  <r>
    <x v="6"/>
    <x v="6"/>
    <x v="0"/>
    <s v="3190107"/>
    <n v="713010"/>
    <s v="Benefits-FICA/Medicare"/>
    <s v="Orthopedic Service Line"/>
    <x v="0"/>
    <m/>
    <n v="639.35"/>
    <n v="1012.92"/>
    <n v="975.3"/>
    <n v="1036.8699999999999"/>
    <n v="1043.02"/>
    <n v="1032.6099999999999"/>
    <n v="1036.95"/>
    <n v="936.28"/>
    <n v="1049.99"/>
    <n v="1004.51"/>
    <n v="2356.7199999999998"/>
    <n v="401.48"/>
    <n v="12525.999999999998"/>
    <n v="1955.2399999999998"/>
  </r>
  <r>
    <x v="6"/>
    <x v="6"/>
    <x v="0"/>
    <s v="3190107"/>
    <n v="713090"/>
    <s v="Benefits-Allocated Amounts"/>
    <s v="Orthopedic Service Line"/>
    <x v="0"/>
    <m/>
    <n v="1440.35"/>
    <n v="4359.33"/>
    <n v="-565.37"/>
    <n v="1934.52"/>
    <n v="2285.62"/>
    <n v="1987.67"/>
    <n v="1972.81"/>
    <n v="1948.97"/>
    <n v="1796.83"/>
    <n v="2294.77"/>
    <n v="1531.14"/>
    <n v="2695.89"/>
    <n v="23682.53"/>
    <n v="-1164.7499999999998"/>
  </r>
  <r>
    <x v="17"/>
    <x v="6"/>
    <x v="0"/>
    <s v="3190107"/>
    <n v="714520"/>
    <s v="Other Contracted Professionals"/>
    <s v="Orthopedic Service Line"/>
    <x v="0"/>
    <m/>
    <n v="26500"/>
    <n v="51564.56"/>
    <n v="-73000"/>
    <n v="6000"/>
    <n v="6000"/>
    <n v="6000"/>
    <n v="6000"/>
    <n v="6000"/>
    <n v="6000"/>
    <n v="6000"/>
    <n v="6000"/>
    <n v="25620"/>
    <n v="78684.56"/>
    <n v="-19620"/>
  </r>
  <r>
    <x v="11"/>
    <x v="6"/>
    <x v="0"/>
    <s v="3190107"/>
    <n v="721810"/>
    <s v="Supplies-Dietary/Cafeteria"/>
    <s v="Orthopedic Service Line"/>
    <x v="0"/>
    <m/>
    <n v="51.65"/>
    <n v="0"/>
    <n v="0"/>
    <n v="1761.37"/>
    <n v="254.17"/>
    <n v="0"/>
    <n v="0"/>
    <n v="0"/>
    <n v="0"/>
    <n v="0"/>
    <n v="0"/>
    <n v="0"/>
    <n v="2067.19"/>
    <n v="0"/>
  </r>
  <r>
    <x v="11"/>
    <x v="6"/>
    <x v="0"/>
    <s v="3190107"/>
    <n v="721835"/>
    <s v="Supplies-Forms"/>
    <s v="Orthopedic Service Line"/>
    <x v="0"/>
    <m/>
    <n v="0"/>
    <n v="0"/>
    <n v="0"/>
    <n v="0"/>
    <n v="0"/>
    <n v="0"/>
    <n v="0"/>
    <n v="0"/>
    <n v="34.799999999999997"/>
    <n v="0"/>
    <n v="0"/>
    <n v="0"/>
    <n v="34.799999999999997"/>
    <n v="0"/>
  </r>
  <r>
    <x v="11"/>
    <x v="6"/>
    <x v="0"/>
    <s v="3190107"/>
    <n v="721910"/>
    <s v="Supplies-Small Equipment"/>
    <s v="Orthopedic Service Line"/>
    <x v="0"/>
    <m/>
    <n v="0"/>
    <n v="0"/>
    <n v="0"/>
    <n v="0"/>
    <n v="0"/>
    <n v="0"/>
    <n v="0"/>
    <n v="0"/>
    <n v="0"/>
    <n v="0"/>
    <n v="76.38"/>
    <n v="0"/>
    <n v="76.38"/>
    <n v="76.38"/>
  </r>
  <r>
    <x v="11"/>
    <x v="6"/>
    <x v="0"/>
    <s v="3190107"/>
    <n v="721980"/>
    <s v="Supplies-Other"/>
    <s v="Orthopedic Service Line"/>
    <x v="0"/>
    <m/>
    <n v="0"/>
    <n v="0"/>
    <n v="0"/>
    <n v="0"/>
    <n v="0"/>
    <n v="0"/>
    <n v="0"/>
    <n v="0"/>
    <n v="53.94"/>
    <n v="0"/>
    <n v="0"/>
    <n v="0"/>
    <n v="53.94"/>
    <n v="0"/>
  </r>
  <r>
    <x v="0"/>
    <x v="6"/>
    <x v="0"/>
    <s v="3190107"/>
    <n v="740020"/>
    <s v="Education-Registration Fees"/>
    <s v="Orthopedic Service Line"/>
    <x v="0"/>
    <m/>
    <n v="0"/>
    <n v="0"/>
    <n v="0"/>
    <n v="0"/>
    <n v="0"/>
    <n v="0"/>
    <n v="421.4"/>
    <n v="0"/>
    <n v="0"/>
    <n v="0"/>
    <n v="0"/>
    <n v="0"/>
    <n v="421.4"/>
    <n v="0"/>
  </r>
  <r>
    <x v="0"/>
    <x v="6"/>
    <x v="0"/>
    <s v="3190107"/>
    <n v="749530"/>
    <s v="Travel"/>
    <s v="Orthopedic Service Line"/>
    <x v="0"/>
    <m/>
    <n v="0"/>
    <n v="0"/>
    <n v="0"/>
    <n v="0"/>
    <n v="0"/>
    <n v="0"/>
    <n v="322.64999999999998"/>
    <n v="0"/>
    <n v="0"/>
    <n v="0"/>
    <n v="0"/>
    <n v="0"/>
    <n v="322.64999999999998"/>
    <n v="0"/>
  </r>
  <r>
    <x v="0"/>
    <x v="6"/>
    <x v="0"/>
    <s v="3190107"/>
    <n v="749535"/>
    <s v="Meetings"/>
    <s v="Orthopedic Service Line"/>
    <x v="0"/>
    <m/>
    <n v="0"/>
    <n v="0"/>
    <n v="0"/>
    <n v="0"/>
    <n v="0"/>
    <n v="0"/>
    <n v="0"/>
    <n v="0"/>
    <n v="0"/>
    <n v="0"/>
    <n v="354.25"/>
    <n v="0"/>
    <n v="354.25"/>
    <n v="354.25"/>
  </r>
  <r>
    <x v="5"/>
    <x v="9"/>
    <x v="0"/>
    <s v="3190501"/>
    <n v="700014"/>
    <s v="Salaries-Management-Productive"/>
    <s v="Ortho Service Line"/>
    <x v="0"/>
    <m/>
    <n v="24384.53"/>
    <n v="24385.64"/>
    <n v="20770.22"/>
    <n v="23376.71"/>
    <n v="21183.55"/>
    <n v="17913.62"/>
    <n v="22811.33"/>
    <n v="21661.37"/>
    <n v="25396.77"/>
    <n v="24718.34"/>
    <n v="21855.03"/>
    <n v="17920.52"/>
    <n v="266377.63"/>
    <n v="3934.5099999999984"/>
  </r>
  <r>
    <x v="5"/>
    <x v="9"/>
    <x v="0"/>
    <s v="3190501"/>
    <n v="700014"/>
    <s v="Salaries-Management-Other"/>
    <s v="Ortho Service Line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9"/>
    <x v="0"/>
    <s v="3190501"/>
    <n v="700026"/>
    <s v="Salaries-RN-Productive"/>
    <s v="Ortho Service Line"/>
    <x v="0"/>
    <m/>
    <n v="23245.08"/>
    <n v="25356.43"/>
    <n v="24077.93"/>
    <n v="26881.89"/>
    <n v="27176.7"/>
    <n v="-1605.13"/>
    <n v="14182.56"/>
    <n v="21720.5"/>
    <n v="29024.84"/>
    <n v="24236.58"/>
    <n v="22463.439999999999"/>
    <n v="24376.93"/>
    <n v="261137.75"/>
    <n v="-1913.4900000000016"/>
  </r>
  <r>
    <x v="5"/>
    <x v="9"/>
    <x v="0"/>
    <s v="3190501"/>
    <n v="700026"/>
    <s v="Salaries-RN-OT"/>
    <s v="Ortho Service Line"/>
    <x v="0"/>
    <n v="1000"/>
    <n v="667.88"/>
    <n v="413.25"/>
    <n v="579.9"/>
    <n v="1149.46"/>
    <n v="662.08"/>
    <n v="-40.74"/>
    <n v="0"/>
    <n v="187.22"/>
    <n v="122.46"/>
    <n v="242.12"/>
    <n v="-39.4"/>
    <n v="39.409999999999997"/>
    <n v="3983.64"/>
    <n v="-78.81"/>
  </r>
  <r>
    <x v="5"/>
    <x v="9"/>
    <x v="0"/>
    <s v="3190501"/>
    <n v="700026"/>
    <s v="Salaries-RN-Other"/>
    <s v="Ortho Service Line"/>
    <x v="0"/>
    <n v="2000"/>
    <n v="0"/>
    <n v="0"/>
    <n v="0"/>
    <n v="25.78"/>
    <n v="28.44"/>
    <n v="0.1"/>
    <n v="0"/>
    <n v="0"/>
    <n v="46.43"/>
    <n v="-2.35"/>
    <n v="0"/>
    <n v="13.55"/>
    <n v="111.95"/>
    <n v="-13.55"/>
  </r>
  <r>
    <x v="5"/>
    <x v="9"/>
    <x v="0"/>
    <s v="3190501"/>
    <n v="700034"/>
    <s v="Salaries-Tech/Professional-Productive"/>
    <s v="Ortho Service Line"/>
    <x v="0"/>
    <m/>
    <n v="4235.03"/>
    <n v="5162.8599999999997"/>
    <n v="4134.12"/>
    <n v="4526.96"/>
    <n v="4089.11"/>
    <n v="3548.69"/>
    <n v="4583.01"/>
    <n v="4488.32"/>
    <n v="5133.34"/>
    <n v="5530.94"/>
    <n v="5550.06"/>
    <n v="5398.58"/>
    <n v="56381.020000000004"/>
    <n v="151.48000000000047"/>
  </r>
  <r>
    <x v="5"/>
    <x v="9"/>
    <x v="0"/>
    <s v="3190501"/>
    <n v="700034"/>
    <s v="Salaries-Tech/Professional-OT"/>
    <s v="Ortho Service Line"/>
    <x v="0"/>
    <n v="1000"/>
    <n v="437.34"/>
    <n v="760.49"/>
    <n v="395.58"/>
    <n v="634.49"/>
    <n v="674.2"/>
    <n v="-280.06"/>
    <n v="0"/>
    <n v="0"/>
    <n v="0"/>
    <n v="0"/>
    <n v="0"/>
    <n v="0"/>
    <n v="2622.0399999999995"/>
    <n v="0"/>
  </r>
  <r>
    <x v="5"/>
    <x v="9"/>
    <x v="0"/>
    <s v="3190501"/>
    <n v="700038"/>
    <s v="Salaries-Service/Support-Productive"/>
    <s v="Ortho Service Line"/>
    <x v="0"/>
    <m/>
    <n v="4453.6099999999997"/>
    <n v="3033.83"/>
    <n v="4026.78"/>
    <n v="4975.6000000000004"/>
    <n v="4714.99"/>
    <n v="3203.76"/>
    <n v="4820.33"/>
    <n v="3755.03"/>
    <n v="-565.66"/>
    <n v="4480.6000000000004"/>
    <n v="3777.08"/>
    <n v="4740.29"/>
    <n v="45416.240000000005"/>
    <n v="-963.21"/>
  </r>
  <r>
    <x v="5"/>
    <x v="9"/>
    <x v="0"/>
    <s v="3190501"/>
    <n v="700038"/>
    <s v="Salaries-Service/Support-OT"/>
    <s v="Ortho Service Line"/>
    <x v="0"/>
    <n v="1000"/>
    <n v="380.98"/>
    <n v="417.57"/>
    <n v="-30.71"/>
    <n v="527.24"/>
    <n v="26.38"/>
    <n v="-47.45"/>
    <n v="171.97"/>
    <n v="49.81"/>
    <n v="0"/>
    <n v="0"/>
    <n v="0"/>
    <n v="0"/>
    <n v="1495.79"/>
    <n v="0"/>
  </r>
  <r>
    <x v="5"/>
    <x v="9"/>
    <x v="0"/>
    <s v="3190501"/>
    <n v="700038"/>
    <s v="Salaries-Service/Support-Other"/>
    <s v="Ortho Service Line"/>
    <x v="0"/>
    <n v="2000"/>
    <n v="0"/>
    <n v="0"/>
    <n v="0"/>
    <n v="0"/>
    <n v="0"/>
    <n v="0"/>
    <n v="0"/>
    <n v="0"/>
    <n v="0"/>
    <n v="30.04"/>
    <n v="0"/>
    <n v="0"/>
    <n v="30.04"/>
    <n v="0"/>
  </r>
  <r>
    <x v="5"/>
    <x v="9"/>
    <x v="0"/>
    <s v="3190501"/>
    <n v="700054"/>
    <s v="Salaries-Management-Non-productive"/>
    <s v="Ortho Service Line"/>
    <x v="0"/>
    <m/>
    <n v="0"/>
    <n v="0"/>
    <n v="2829.12"/>
    <n v="1534.62"/>
    <n v="3045.53"/>
    <n v="7123.91"/>
    <n v="2265.2800000000002"/>
    <n v="986.18"/>
    <n v="-289.67"/>
    <n v="0"/>
    <n v="3128.75"/>
    <n v="6257.66"/>
    <n v="26881.38"/>
    <n v="-3128.91"/>
  </r>
  <r>
    <x v="5"/>
    <x v="9"/>
    <x v="0"/>
    <s v="3190501"/>
    <n v="700054"/>
    <s v="Salaries-Management-NonProd-Other"/>
    <s v="Ortho Service Line"/>
    <x v="0"/>
    <n v="2000"/>
    <n v="0"/>
    <n v="0"/>
    <n v="0"/>
    <n v="0"/>
    <n v="0"/>
    <n v="245.9"/>
    <n v="-245.9"/>
    <n v="0"/>
    <n v="0"/>
    <n v="0"/>
    <n v="0"/>
    <n v="0"/>
    <n v="0"/>
    <n v="0"/>
  </r>
  <r>
    <x v="5"/>
    <x v="9"/>
    <x v="0"/>
    <s v="3190501"/>
    <n v="700066"/>
    <s v="Salaries-RN-Non-productive"/>
    <s v="Ortho Service Line"/>
    <x v="0"/>
    <m/>
    <n v="3975.43"/>
    <n v="1901.64"/>
    <n v="2121.21"/>
    <n v="1030.01"/>
    <n v="1255.74"/>
    <n v="1569.69"/>
    <n v="3258.53"/>
    <n v="3494.83"/>
    <n v="345.55"/>
    <n v="3529.97"/>
    <n v="2811.92"/>
    <n v="736.21"/>
    <n v="26030.730000000003"/>
    <n v="2075.71"/>
  </r>
  <r>
    <x v="5"/>
    <x v="9"/>
    <x v="0"/>
    <s v="3190501"/>
    <n v="700066"/>
    <s v="Salaries-RN-NonProd-Other"/>
    <s v="Ortho Service Line"/>
    <x v="0"/>
    <n v="2000"/>
    <n v="0"/>
    <n v="0"/>
    <n v="0"/>
    <n v="0"/>
    <n v="0"/>
    <n v="0"/>
    <n v="0"/>
    <n v="1502.97"/>
    <n v="-1502.14"/>
    <n v="0"/>
    <n v="0"/>
    <n v="0"/>
    <n v="0.82999999999992724"/>
    <n v="0"/>
  </r>
  <r>
    <x v="5"/>
    <x v="9"/>
    <x v="0"/>
    <s v="3190501"/>
    <n v="700074"/>
    <s v="Salaries-Tech/Professional-Non-productive"/>
    <s v="Ortho Service Line"/>
    <x v="0"/>
    <m/>
    <n v="416"/>
    <n v="0"/>
    <n v="0"/>
    <n v="0"/>
    <n v="852.69"/>
    <n v="1134.99"/>
    <n v="121.22"/>
    <n v="472.42"/>
    <n v="738.74"/>
    <n v="151.53"/>
    <n v="322.02"/>
    <n v="284.16000000000003"/>
    <n v="4493.7700000000004"/>
    <n v="37.859999999999957"/>
  </r>
  <r>
    <x v="5"/>
    <x v="9"/>
    <x v="0"/>
    <s v="3190501"/>
    <n v="700078"/>
    <s v="Salaries-Service/Support-Non-productive"/>
    <s v="Ortho Service Line"/>
    <x v="0"/>
    <m/>
    <n v="382.2"/>
    <n v="1737.37"/>
    <n v="653.33000000000004"/>
    <n v="-15.59"/>
    <n v="0"/>
    <n v="1172.94"/>
    <n v="529.30999999999995"/>
    <n v="84.48"/>
    <n v="0"/>
    <n v="0"/>
    <n v="0"/>
    <n v="0"/>
    <n v="4544.0399999999991"/>
    <n v="0"/>
  </r>
  <r>
    <x v="5"/>
    <x v="9"/>
    <x v="0"/>
    <s v="3190501"/>
    <n v="700084"/>
    <s v="Accrued PTO"/>
    <s v="Ortho Service Line"/>
    <x v="0"/>
    <m/>
    <n v="4652.8900000000003"/>
    <n v="3477.27"/>
    <n v="198.58"/>
    <n v="7662.47"/>
    <n v="2714.27"/>
    <n v="-5873.16"/>
    <n v="-820.33"/>
    <n v="3368.94"/>
    <n v="5958.63"/>
    <n v="4043.32"/>
    <n v="2340.84"/>
    <n v="565.07000000000005"/>
    <n v="28288.79"/>
    <n v="1775.77"/>
  </r>
  <r>
    <x v="6"/>
    <x v="9"/>
    <x v="0"/>
    <s v="3190501"/>
    <n v="713010"/>
    <s v="Benefits-FICA/Medicare"/>
    <s v="Ortho Service Line"/>
    <x v="0"/>
    <m/>
    <n v="4670.4799999999996"/>
    <n v="3781.46"/>
    <n v="3410.14"/>
    <n v="3741.53"/>
    <n v="3713.74"/>
    <n v="1995.88"/>
    <n v="3950.99"/>
    <n v="4367.79"/>
    <n v="4522.2"/>
    <n v="5787.79"/>
    <n v="4459.38"/>
    <n v="4465.32"/>
    <n v="48866.7"/>
    <n v="-5.9399999999995998"/>
  </r>
  <r>
    <x v="6"/>
    <x v="9"/>
    <x v="0"/>
    <s v="3190501"/>
    <n v="713090"/>
    <s v="Benefits-Allocated Amounts"/>
    <s v="Ortho Service Line"/>
    <x v="0"/>
    <m/>
    <n v="10153.950000000001"/>
    <n v="9377.84"/>
    <n v="9351.9500000000007"/>
    <n v="9624.25"/>
    <n v="8917.99"/>
    <n v="5483.06"/>
    <n v="8858.42"/>
    <n v="9721.42"/>
    <n v="10302.129999999999"/>
    <n v="10589.47"/>
    <n v="9723.82"/>
    <n v="10040.16"/>
    <n v="112144.46000000002"/>
    <n v="-316.34000000000015"/>
  </r>
  <r>
    <x v="6"/>
    <x v="9"/>
    <x v="0"/>
    <s v="3190501"/>
    <n v="713096"/>
    <s v="Employee Recognition"/>
    <s v="Ortho Service Line"/>
    <x v="0"/>
    <n v="1017"/>
    <n v="0"/>
    <n v="153.59"/>
    <n v="0"/>
    <n v="0"/>
    <n v="58.11"/>
    <n v="0"/>
    <n v="95"/>
    <n v="0"/>
    <n v="0"/>
    <n v="0"/>
    <n v="113.31"/>
    <n v="0"/>
    <n v="420.01"/>
    <n v="113.31"/>
  </r>
  <r>
    <x v="17"/>
    <x v="9"/>
    <x v="0"/>
    <s v="3190501"/>
    <n v="714510"/>
    <s v="Medical Director Fees"/>
    <s v="Ortho Service Line"/>
    <x v="0"/>
    <m/>
    <n v="0"/>
    <n v="0"/>
    <n v="0"/>
    <n v="0"/>
    <n v="0"/>
    <n v="11200"/>
    <n v="0"/>
    <n v="0"/>
    <n v="0"/>
    <n v="0"/>
    <n v="0"/>
    <n v="0"/>
    <n v="11200"/>
    <n v="0"/>
  </r>
  <r>
    <x v="17"/>
    <x v="9"/>
    <x v="0"/>
    <s v="3190501"/>
    <n v="714520"/>
    <s v="Other Contracted Professionals"/>
    <s v="Ortho Service Line"/>
    <x v="0"/>
    <m/>
    <n v="0"/>
    <n v="0"/>
    <n v="0"/>
    <n v="0"/>
    <n v="0"/>
    <n v="0"/>
    <n v="0"/>
    <n v="0"/>
    <n v="0"/>
    <n v="0"/>
    <n v="0"/>
    <n v="6819.84"/>
    <n v="6819.84"/>
    <n v="-6819.84"/>
  </r>
  <r>
    <x v="7"/>
    <x v="9"/>
    <x v="0"/>
    <s v="3190501"/>
    <n v="718050"/>
    <s v="Miscellaneous Purchased Svcs"/>
    <s v="Ortho Service Line"/>
    <x v="0"/>
    <n v="1020"/>
    <n v="0"/>
    <n v="0"/>
    <n v="0"/>
    <n v="0"/>
    <n v="0"/>
    <n v="0"/>
    <n v="0"/>
    <n v="0"/>
    <n v="0"/>
    <n v="6155.4"/>
    <n v="0"/>
    <n v="0"/>
    <n v="6155.4"/>
    <n v="0"/>
  </r>
  <r>
    <x v="11"/>
    <x v="9"/>
    <x v="0"/>
    <s v="3190501"/>
    <n v="721810"/>
    <s v="Supplies-Dietary/Cafeteria"/>
    <s v="Ortho Service Line"/>
    <x v="0"/>
    <m/>
    <n v="0"/>
    <n v="159.47"/>
    <n v="0"/>
    <n v="785.44"/>
    <n v="0"/>
    <n v="0"/>
    <n v="59.5"/>
    <n v="0"/>
    <n v="270.88"/>
    <n v="0"/>
    <n v="68.650000000000006"/>
    <n v="0"/>
    <n v="1343.94"/>
    <n v="68.650000000000006"/>
  </r>
  <r>
    <x v="11"/>
    <x v="9"/>
    <x v="0"/>
    <s v="3190501"/>
    <n v="721830"/>
    <s v="Supplies-Office"/>
    <s v="Ortho Service Line"/>
    <x v="0"/>
    <m/>
    <n v="150.44999999999999"/>
    <n v="88.62"/>
    <n v="55.49"/>
    <n v="331.09"/>
    <n v="1650.19"/>
    <n v="156.05000000000001"/>
    <n v="0"/>
    <n v="100.87"/>
    <n v="28.79"/>
    <n v="82.11"/>
    <n v="0"/>
    <n v="0"/>
    <n v="2643.6600000000003"/>
    <n v="0"/>
  </r>
  <r>
    <x v="11"/>
    <x v="9"/>
    <x v="0"/>
    <s v="3190501"/>
    <n v="721835"/>
    <s v="Supplies-Forms"/>
    <s v="Ortho Service Line"/>
    <x v="0"/>
    <m/>
    <n v="0"/>
    <n v="0"/>
    <n v="0"/>
    <n v="0"/>
    <n v="132.91"/>
    <n v="0"/>
    <n v="14.83"/>
    <n v="0"/>
    <n v="0"/>
    <n v="149.9"/>
    <n v="0"/>
    <n v="0"/>
    <n v="297.64"/>
    <n v="0"/>
  </r>
  <r>
    <x v="11"/>
    <x v="9"/>
    <x v="0"/>
    <s v="3190501"/>
    <n v="721980"/>
    <s v="Supplies-Other"/>
    <s v="Ortho Service Line"/>
    <x v="0"/>
    <m/>
    <n v="0"/>
    <n v="0"/>
    <n v="233.77"/>
    <n v="0"/>
    <n v="0"/>
    <n v="0"/>
    <n v="80.14"/>
    <n v="0"/>
    <n v="0"/>
    <n v="0"/>
    <n v="0"/>
    <n v="42.87"/>
    <n v="356.78000000000003"/>
    <n v="-42.87"/>
  </r>
  <r>
    <x v="12"/>
    <x v="9"/>
    <x v="0"/>
    <s v="3190501"/>
    <n v="730010"/>
    <s v="Rental and Leases-Building (DO NOT USE)"/>
    <s v="Ortho Service Line"/>
    <x v="0"/>
    <m/>
    <n v="1315.12"/>
    <n v="1315.12"/>
    <n v="1315.12"/>
    <n v="1315.12"/>
    <n v="1315.12"/>
    <n v="-1535.41"/>
    <n v="845.14"/>
    <n v="845.14"/>
    <n v="866.82"/>
    <n v="865.86"/>
    <n v="865.86"/>
    <n v="0"/>
    <n v="9329.01"/>
    <n v="865.86"/>
  </r>
  <r>
    <x v="12"/>
    <x v="9"/>
    <x v="0"/>
    <s v="3190501"/>
    <n v="730010"/>
    <s v="Rental-Common Area Maint (DO NOT USE)"/>
    <s v="Ortho Service Line"/>
    <x v="0"/>
    <n v="2200"/>
    <n v="0"/>
    <n v="0"/>
    <n v="0"/>
    <n v="0"/>
    <n v="0"/>
    <n v="2855.9"/>
    <n v="826.57"/>
    <n v="475.35"/>
    <n v="475.35"/>
    <n v="474.83"/>
    <n v="474.83"/>
    <n v="0"/>
    <n v="5582.8300000000008"/>
    <n v="474.83"/>
  </r>
  <r>
    <x v="12"/>
    <x v="9"/>
    <x v="0"/>
    <s v="3190501"/>
    <n v="730020"/>
    <s v="Rental and Leases-Copier Usage Fees (DO NOT USE)"/>
    <s v="Ortho Service Line"/>
    <x v="0"/>
    <n v="5100"/>
    <n v="63.15"/>
    <n v="60.69"/>
    <n v="61.92"/>
    <n v="61.92"/>
    <n v="61.92"/>
    <n v="61.92"/>
    <n v="-97.95"/>
    <n v="33.369999999999997"/>
    <n v="33.299999999999997"/>
    <n v="49.68"/>
    <n v="33.369999999999997"/>
    <n v="53.38"/>
    <n v="476.67000000000007"/>
    <n v="-20.010000000000005"/>
  </r>
  <r>
    <x v="12"/>
    <x v="9"/>
    <x v="0"/>
    <s v="3190501"/>
    <n v="730040"/>
    <s v="LT Lease-Real Estate"/>
    <s v="Ortho Service Line"/>
    <x v="0"/>
    <m/>
    <n v="0"/>
    <n v="0"/>
    <n v="0"/>
    <n v="0"/>
    <n v="0"/>
    <n v="0"/>
    <n v="0"/>
    <n v="0"/>
    <n v="0"/>
    <n v="0"/>
    <n v="0"/>
    <n v="1340.69"/>
    <n v="1340.69"/>
    <n v="-1340.69"/>
  </r>
  <r>
    <x v="15"/>
    <x v="9"/>
    <x v="0"/>
    <s v="3190501"/>
    <n v="731065"/>
    <s v="Data Communications"/>
    <s v="Ortho Service Line"/>
    <x v="0"/>
    <m/>
    <n v="0"/>
    <n v="0"/>
    <n v="0"/>
    <n v="0"/>
    <n v="0"/>
    <n v="0"/>
    <n v="0"/>
    <n v="0"/>
    <n v="136.05000000000001"/>
    <n v="0"/>
    <n v="0"/>
    <n v="0"/>
    <n v="136.05000000000001"/>
    <n v="0"/>
  </r>
  <r>
    <x v="16"/>
    <x v="9"/>
    <x v="0"/>
    <s v="3190501"/>
    <n v="732030"/>
    <s v="Repairs&amp;Maintenance-Bldg Routine"/>
    <s v="Ortho Service Line"/>
    <x v="0"/>
    <n v="2300"/>
    <n v="4.62"/>
    <n v="0"/>
    <n v="0"/>
    <n v="0"/>
    <n v="4.1399999999999997"/>
    <n v="98.35"/>
    <n v="0"/>
    <n v="0"/>
    <n v="0"/>
    <n v="0"/>
    <n v="0"/>
    <n v="0"/>
    <n v="107.11"/>
    <n v="0"/>
  </r>
  <r>
    <x v="16"/>
    <x v="9"/>
    <x v="0"/>
    <s v="3190501"/>
    <n v="733030"/>
    <s v="Maintenance Contracts-Other"/>
    <s v="Ortho Service Line"/>
    <x v="0"/>
    <m/>
    <n v="0"/>
    <n v="2262.3000000000002"/>
    <n v="0"/>
    <n v="-2262.3000000000002"/>
    <n v="0"/>
    <n v="0"/>
    <n v="0"/>
    <n v="0"/>
    <n v="0"/>
    <n v="0"/>
    <n v="0"/>
    <n v="0"/>
    <n v="0"/>
    <n v="0"/>
  </r>
  <r>
    <x v="16"/>
    <x v="9"/>
    <x v="0"/>
    <s v="3190501"/>
    <n v="733030"/>
    <s v="Maintenance Contracts-Software"/>
    <s v="Ortho Service Line"/>
    <x v="0"/>
    <n v="1002"/>
    <n v="18074.75"/>
    <n v="40473.75"/>
    <n v="18074.75"/>
    <n v="24337.05"/>
    <n v="28074.75"/>
    <n v="18074.75"/>
    <n v="18074.75"/>
    <n v="18074.75"/>
    <n v="51672.75"/>
    <n v="25010.26"/>
    <n v="18074.75"/>
    <n v="102069.75"/>
    <n v="380086.81"/>
    <n v="-83995"/>
  </r>
  <r>
    <x v="0"/>
    <x v="9"/>
    <x v="0"/>
    <s v="3190501"/>
    <n v="740020"/>
    <s v="Education-Registration Fees"/>
    <s v="Ortho Service Line"/>
    <x v="0"/>
    <m/>
    <n v="0"/>
    <n v="380"/>
    <n v="0"/>
    <n v="0"/>
    <n v="0"/>
    <n v="0"/>
    <n v="39.979999999999997"/>
    <n v="0"/>
    <n v="600"/>
    <n v="0"/>
    <n v="0"/>
    <n v="0"/>
    <n v="1019.98"/>
    <n v="0"/>
  </r>
  <r>
    <x v="0"/>
    <x v="9"/>
    <x v="0"/>
    <s v="3190501"/>
    <n v="743030"/>
    <s v="Subscriptions--Institutional"/>
    <s v="Ortho Service Line"/>
    <x v="0"/>
    <m/>
    <n v="0"/>
    <n v="0"/>
    <n v="0"/>
    <n v="0"/>
    <n v="49.95"/>
    <n v="0"/>
    <n v="0"/>
    <n v="0"/>
    <n v="0"/>
    <n v="0"/>
    <n v="0"/>
    <n v="0"/>
    <n v="49.95"/>
    <n v="0"/>
  </r>
  <r>
    <x v="0"/>
    <x v="9"/>
    <x v="0"/>
    <s v="3190501"/>
    <n v="749510"/>
    <s v="Miscellaneous Expenses"/>
    <s v="Ortho Service Line"/>
    <x v="0"/>
    <m/>
    <n v="-4239.2700000000004"/>
    <n v="1874.35"/>
    <n v="2283.3000000000002"/>
    <n v="-2711.49"/>
    <n v="-728.63"/>
    <n v="378.54"/>
    <n v="-852.7"/>
    <n v="-610.70000000000005"/>
    <n v="-399.8"/>
    <n v="507.71"/>
    <n v="-335.83"/>
    <n v="-430.17"/>
    <n v="-5264.6900000000005"/>
    <n v="94.340000000000032"/>
  </r>
  <r>
    <x v="0"/>
    <x v="9"/>
    <x v="0"/>
    <s v="3190501"/>
    <n v="749510"/>
    <s v="RICE Rewards"/>
    <s v="Ortho Service Line"/>
    <x v="0"/>
    <n v="5100"/>
    <n v="0"/>
    <n v="0"/>
    <n v="0"/>
    <n v="0"/>
    <n v="0"/>
    <n v="0"/>
    <n v="0"/>
    <n v="0"/>
    <n v="528.01"/>
    <n v="0"/>
    <n v="0"/>
    <n v="0"/>
    <n v="528.01"/>
    <n v="0"/>
  </r>
  <r>
    <x v="0"/>
    <x v="9"/>
    <x v="0"/>
    <s v="3190501"/>
    <n v="749530"/>
    <s v="Travel"/>
    <s v="Ortho Service Line"/>
    <x v="0"/>
    <m/>
    <n v="0"/>
    <n v="0"/>
    <n v="0"/>
    <n v="1147.31"/>
    <n v="10"/>
    <n v="0"/>
    <n v="555.44000000000005"/>
    <n v="265.37"/>
    <n v="1004.15"/>
    <n v="0"/>
    <n v="76.78"/>
    <n v="398.63"/>
    <n v="3457.6800000000003"/>
    <n v="-321.85000000000002"/>
  </r>
  <r>
    <x v="0"/>
    <x v="9"/>
    <x v="0"/>
    <s v="3190501"/>
    <n v="749530"/>
    <s v="Mileage"/>
    <s v="Ortho Service Line"/>
    <x v="0"/>
    <n v="1001"/>
    <n v="0"/>
    <n v="136.26"/>
    <n v="0"/>
    <n v="150.43"/>
    <n v="47.42"/>
    <n v="0"/>
    <n v="133.94999999999999"/>
    <n v="0"/>
    <n v="285.94"/>
    <n v="88.74"/>
    <n v="15.66"/>
    <n v="351.48"/>
    <n v="1209.8800000000001"/>
    <n v="-335.82"/>
  </r>
  <r>
    <x v="0"/>
    <x v="9"/>
    <x v="0"/>
    <s v="3190501"/>
    <n v="749535"/>
    <s v="Meetings"/>
    <s v="Ortho Service Line"/>
    <x v="0"/>
    <m/>
    <n v="0"/>
    <n v="66.599999999999994"/>
    <n v="652.09"/>
    <n v="1786.75"/>
    <n v="215.97"/>
    <n v="0"/>
    <n v="100.66"/>
    <n v="562.48"/>
    <n v="-178.73"/>
    <n v="371.26"/>
    <n v="338.49"/>
    <n v="0"/>
    <n v="3915.5699999999997"/>
    <n v="338.49"/>
  </r>
  <r>
    <x v="5"/>
    <x v="9"/>
    <x v="0"/>
    <s v="3191501"/>
    <n v="700014"/>
    <s v="Salaries-Management-Productive"/>
    <s v="Neuro Admin"/>
    <x v="0"/>
    <m/>
    <n v="14936.4"/>
    <n v="12918.69"/>
    <n v="11707.64"/>
    <n v="15199.02"/>
    <n v="11095.84"/>
    <n v="8451.9500000000007"/>
    <n v="15683.15"/>
    <n v="9918.17"/>
    <n v="13345.47"/>
    <n v="15681.65"/>
    <n v="15370.63"/>
    <n v="14124.59"/>
    <n v="158433.19999999998"/>
    <n v="1246.0399999999991"/>
  </r>
  <r>
    <x v="5"/>
    <x v="9"/>
    <x v="0"/>
    <s v="3191501"/>
    <n v="700026"/>
    <s v="Salaries-RN-Productive"/>
    <s v="Neuro Admin"/>
    <x v="0"/>
    <m/>
    <n v="34588.949999999997"/>
    <n v="41798.5"/>
    <n v="37418.080000000002"/>
    <n v="39456.53"/>
    <n v="31882.37"/>
    <n v="22740.71"/>
    <n v="29296.47"/>
    <n v="36023.379999999997"/>
    <n v="38892.629999999997"/>
    <n v="36297.120000000003"/>
    <n v="36821.449999999997"/>
    <n v="37004.81"/>
    <n v="422221"/>
    <n v="-183.36000000000058"/>
  </r>
  <r>
    <x v="5"/>
    <x v="9"/>
    <x v="0"/>
    <s v="3191501"/>
    <n v="700026"/>
    <s v="Salaries-RN-Other"/>
    <s v="Neuro Admin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9"/>
    <x v="0"/>
    <s v="3191501"/>
    <n v="700038"/>
    <s v="Salaries-Service/Support-Productive"/>
    <s v="Neuro Admin"/>
    <x v="0"/>
    <m/>
    <n v="4373.2299999999996"/>
    <n v="4953.07"/>
    <n v="3916.99"/>
    <n v="4214.8999999999996"/>
    <n v="4722.7299999999996"/>
    <n v="3463.5"/>
    <n v="4752.26"/>
    <n v="3541.92"/>
    <n v="5045.1099999999997"/>
    <n v="3958.11"/>
    <n v="5045.13"/>
    <n v="4085.44"/>
    <n v="52072.39"/>
    <n v="959.69"/>
  </r>
  <r>
    <x v="5"/>
    <x v="9"/>
    <x v="0"/>
    <s v="3191501"/>
    <n v="700038"/>
    <s v="Salaries-Service/Support-OT"/>
    <s v="Neuro Admin"/>
    <x v="0"/>
    <n v="1000"/>
    <n v="0"/>
    <n v="20.36"/>
    <n v="0"/>
    <n v="0"/>
    <n v="0"/>
    <n v="0"/>
    <n v="14.02"/>
    <n v="-3.68"/>
    <n v="0"/>
    <n v="0"/>
    <n v="0"/>
    <n v="0"/>
    <n v="30.699999999999996"/>
    <n v="0"/>
  </r>
  <r>
    <x v="5"/>
    <x v="9"/>
    <x v="0"/>
    <s v="3191501"/>
    <n v="700054"/>
    <s v="Salaries-Management-Non-productive"/>
    <s v="Neuro Admin"/>
    <x v="0"/>
    <m/>
    <n v="706.48"/>
    <n v="2724.89"/>
    <n v="3431.51"/>
    <n v="791.71"/>
    <n v="4459.18"/>
    <n v="7622.09"/>
    <n v="416.01"/>
    <n v="4621.5200000000004"/>
    <n v="2752.15"/>
    <n v="-103.8"/>
    <n v="726.99"/>
    <n v="1453.98"/>
    <n v="29602.710000000003"/>
    <n v="-726.99"/>
  </r>
  <r>
    <x v="5"/>
    <x v="9"/>
    <x v="0"/>
    <s v="3191501"/>
    <n v="700054"/>
    <s v="Salaries-Management-NonProd-Other"/>
    <s v="Neuro Admin"/>
    <x v="0"/>
    <n v="2000"/>
    <n v="0"/>
    <n v="0"/>
    <n v="0"/>
    <n v="0"/>
    <n v="0"/>
    <n v="1251.6199999999999"/>
    <n v="-1251.6199999999999"/>
    <n v="0"/>
    <n v="0"/>
    <n v="0"/>
    <n v="0"/>
    <n v="0"/>
    <n v="0"/>
    <n v="0"/>
  </r>
  <r>
    <x v="5"/>
    <x v="9"/>
    <x v="0"/>
    <s v="3191501"/>
    <n v="700066"/>
    <s v="Salaries-RN-Non-productive"/>
    <s v="Neuro Admin"/>
    <x v="0"/>
    <m/>
    <n v="4154.43"/>
    <n v="0.41"/>
    <n v="3033.01"/>
    <n v="3252.35"/>
    <n v="9658.81"/>
    <n v="14080.44"/>
    <n v="5930.06"/>
    <n v="3355.66"/>
    <n v="4097.6400000000003"/>
    <n v="5304.96"/>
    <n v="6168.81"/>
    <n v="4599.2700000000004"/>
    <n v="63635.849999999991"/>
    <n v="1569.54"/>
  </r>
  <r>
    <x v="5"/>
    <x v="9"/>
    <x v="0"/>
    <s v="3191501"/>
    <n v="700066"/>
    <s v="Salaries-RN-NonProd-Other"/>
    <s v="Neuro Admi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3191501"/>
    <n v="700078"/>
    <s v="Salaries-Service/Support-Non-productive"/>
    <s v="Neuro Admin"/>
    <x v="0"/>
    <m/>
    <n v="0"/>
    <n v="0"/>
    <n v="692.07"/>
    <n v="651.36"/>
    <n v="0"/>
    <n v="1416.81"/>
    <n v="126.32"/>
    <n v="874.99"/>
    <n v="-157.63"/>
    <n v="771.53"/>
    <n v="-157.63"/>
    <n v="644.42999999999995"/>
    <n v="4862.25"/>
    <n v="-802.06"/>
  </r>
  <r>
    <x v="5"/>
    <x v="9"/>
    <x v="0"/>
    <s v="3191501"/>
    <n v="700084"/>
    <s v="Accrued PTO"/>
    <s v="Neuro Admin"/>
    <x v="0"/>
    <m/>
    <n v="3511.04"/>
    <n v="5294.08"/>
    <n v="1254.5"/>
    <n v="7134.45"/>
    <n v="1375.15"/>
    <n v="-14796.95"/>
    <n v="196.22"/>
    <n v="-1070.8399999999999"/>
    <n v="2611.83"/>
    <n v="1058.82"/>
    <n v="2203.23"/>
    <n v="2299.9"/>
    <n v="11071.43"/>
    <n v="-96.670000000000073"/>
  </r>
  <r>
    <x v="6"/>
    <x v="9"/>
    <x v="0"/>
    <s v="3191501"/>
    <n v="713010"/>
    <s v="Benefits-FICA/Medicare"/>
    <s v="Neuro Admin"/>
    <x v="0"/>
    <m/>
    <n v="4349.3"/>
    <n v="4625.83"/>
    <n v="3662.15"/>
    <n v="3732.78"/>
    <n v="3626.98"/>
    <n v="3885.59"/>
    <n v="4240.03"/>
    <n v="4245.75"/>
    <n v="4693.3"/>
    <n v="4481.22"/>
    <n v="4706.47"/>
    <n v="4547.8599999999997"/>
    <n v="50797.26"/>
    <n v="158.61000000000058"/>
  </r>
  <r>
    <x v="6"/>
    <x v="9"/>
    <x v="0"/>
    <s v="3191501"/>
    <n v="713090"/>
    <s v="Benefits-Allocated Amounts"/>
    <s v="Neuro Admin"/>
    <x v="0"/>
    <m/>
    <n v="9410.61"/>
    <n v="9442.7199999999993"/>
    <n v="9613.9599999999991"/>
    <n v="9524.1"/>
    <n v="8697.92"/>
    <n v="8561.26"/>
    <n v="9197.34"/>
    <n v="9964.7900000000009"/>
    <n v="11536.27"/>
    <n v="10496.01"/>
    <n v="10697.77"/>
    <n v="10531.04"/>
    <n v="117673.79000000001"/>
    <n v="166.72999999999956"/>
  </r>
  <r>
    <x v="6"/>
    <x v="9"/>
    <x v="0"/>
    <s v="3191501"/>
    <n v="713096"/>
    <s v="Employee Recognition"/>
    <s v="Neuro Admin"/>
    <x v="0"/>
    <n v="1017"/>
    <n v="0"/>
    <n v="0"/>
    <n v="55.96"/>
    <n v="0"/>
    <n v="0"/>
    <n v="0"/>
    <n v="74.44"/>
    <n v="0"/>
    <n v="0"/>
    <n v="100.53"/>
    <n v="197.82"/>
    <n v="0"/>
    <n v="428.75"/>
    <n v="197.82"/>
  </r>
  <r>
    <x v="17"/>
    <x v="9"/>
    <x v="0"/>
    <s v="3191501"/>
    <n v="714510"/>
    <s v="Medical Director Fees"/>
    <s v="Neuro Admin"/>
    <x v="0"/>
    <m/>
    <n v="5740"/>
    <n v="7474.5"/>
    <n v="5880"/>
    <n v="5712.5"/>
    <n v="7126.5"/>
    <n v="7646"/>
    <n v="5620"/>
    <n v="5320"/>
    <n v="4760"/>
    <n v="5937.5"/>
    <n v="5330"/>
    <n v="6701.5"/>
    <n v="73248.5"/>
    <n v="-1371.5"/>
  </r>
  <r>
    <x v="7"/>
    <x v="9"/>
    <x v="0"/>
    <s v="3191501"/>
    <n v="718050"/>
    <s v="Contract Svcs-Other"/>
    <s v="Neuro Admin"/>
    <x v="0"/>
    <m/>
    <n v="0"/>
    <n v="0"/>
    <n v="0"/>
    <n v="44480.4"/>
    <n v="0"/>
    <n v="0"/>
    <n v="0"/>
    <n v="29707"/>
    <n v="275.25"/>
    <n v="0"/>
    <n v="0"/>
    <n v="0"/>
    <n v="74462.649999999994"/>
    <n v="0"/>
  </r>
  <r>
    <x v="7"/>
    <x v="9"/>
    <x v="0"/>
    <s v="3191501"/>
    <n v="718050"/>
    <s v="Miscellaneous Purchased Svcs"/>
    <s v="Neuro Admin"/>
    <x v="0"/>
    <n v="1020"/>
    <n v="0"/>
    <n v="0"/>
    <n v="0"/>
    <n v="0"/>
    <n v="0"/>
    <n v="0"/>
    <n v="0"/>
    <n v="0"/>
    <n v="0"/>
    <n v="0"/>
    <n v="997.45"/>
    <n v="0"/>
    <n v="997.45"/>
    <n v="997.45"/>
  </r>
  <r>
    <x v="11"/>
    <x v="9"/>
    <x v="0"/>
    <s v="3191501"/>
    <n v="721810"/>
    <s v="Supplies-Dietary/Cafeteria"/>
    <s v="Neuro Admin"/>
    <x v="0"/>
    <m/>
    <n v="35.869999999999997"/>
    <n v="323.39999999999998"/>
    <n v="528.45000000000005"/>
    <n v="701.66"/>
    <n v="734.65"/>
    <n v="0"/>
    <n v="99.64"/>
    <n v="740.53"/>
    <n v="768.47"/>
    <n v="1053.43"/>
    <n v="-156.84"/>
    <n v="0"/>
    <n v="4829.26"/>
    <n v="-156.84"/>
  </r>
  <r>
    <x v="11"/>
    <x v="9"/>
    <x v="0"/>
    <s v="3191501"/>
    <n v="721830"/>
    <s v="Supplies-Office"/>
    <s v="Neuro Admin"/>
    <x v="0"/>
    <m/>
    <n v="115.35"/>
    <n v="139.22"/>
    <n v="55.73"/>
    <n v="0"/>
    <n v="0"/>
    <n v="122.84"/>
    <n v="0"/>
    <n v="0"/>
    <n v="100.94"/>
    <n v="0"/>
    <n v="0"/>
    <n v="0"/>
    <n v="534.07999999999993"/>
    <n v="0"/>
  </r>
  <r>
    <x v="11"/>
    <x v="9"/>
    <x v="0"/>
    <s v="3191501"/>
    <n v="721835"/>
    <s v="Supplies-Forms"/>
    <s v="Neuro Admin"/>
    <x v="0"/>
    <m/>
    <n v="0"/>
    <n v="0"/>
    <n v="0"/>
    <n v="0"/>
    <n v="141.66999999999999"/>
    <n v="41.8"/>
    <n v="43.89"/>
    <n v="0"/>
    <n v="47.95"/>
    <n v="6.37"/>
    <n v="6.07"/>
    <n v="0"/>
    <n v="287.74999999999994"/>
    <n v="6.07"/>
  </r>
  <r>
    <x v="11"/>
    <x v="9"/>
    <x v="0"/>
    <s v="3191501"/>
    <n v="721910"/>
    <s v="Supplies-Small Equipment"/>
    <s v="Neuro Admin"/>
    <x v="0"/>
    <m/>
    <n v="0"/>
    <n v="0"/>
    <n v="0"/>
    <n v="-201.46"/>
    <n v="0"/>
    <n v="202.92"/>
    <n v="0"/>
    <n v="0"/>
    <n v="0"/>
    <n v="0"/>
    <n v="0"/>
    <n v="0"/>
    <n v="1.4599999999999795"/>
    <n v="0"/>
  </r>
  <r>
    <x v="11"/>
    <x v="9"/>
    <x v="0"/>
    <s v="3191501"/>
    <n v="721980"/>
    <s v="Supplies-Other"/>
    <s v="Neuro Admin"/>
    <x v="0"/>
    <m/>
    <n v="0"/>
    <n v="46.22"/>
    <n v="0"/>
    <n v="41.98"/>
    <n v="4.24"/>
    <n v="0"/>
    <n v="0"/>
    <n v="0"/>
    <n v="0"/>
    <n v="0"/>
    <n v="0"/>
    <n v="0"/>
    <n v="92.439999999999984"/>
    <n v="0"/>
  </r>
  <r>
    <x v="11"/>
    <x v="9"/>
    <x v="0"/>
    <s v="3191501"/>
    <n v="722000"/>
    <s v="Supplies-Freight Expense"/>
    <s v="Neuro Admin"/>
    <x v="0"/>
    <m/>
    <n v="0"/>
    <n v="0"/>
    <n v="0"/>
    <n v="0"/>
    <n v="0"/>
    <n v="0"/>
    <n v="0"/>
    <n v="6.78"/>
    <n v="0"/>
    <n v="0"/>
    <n v="0"/>
    <n v="0"/>
    <n v="6.78"/>
    <n v="0"/>
  </r>
  <r>
    <x v="12"/>
    <x v="9"/>
    <x v="0"/>
    <s v="3191501"/>
    <n v="730020"/>
    <s v="Rental and Leases-Copier Usage Fees (DO NOT USE)"/>
    <s v="Neuro Admin"/>
    <x v="0"/>
    <n v="5100"/>
    <n v="160.51"/>
    <n v="166.13"/>
    <n v="163.32"/>
    <n v="163.32"/>
    <n v="163.32"/>
    <n v="163.32"/>
    <n v="657.79"/>
    <n v="500.45"/>
    <n v="164.3"/>
    <n v="-168.7"/>
    <n v="165.35"/>
    <n v="165.35"/>
    <n v="2464.46"/>
    <n v="0"/>
  </r>
  <r>
    <x v="15"/>
    <x v="9"/>
    <x v="0"/>
    <s v="3191501"/>
    <n v="731060"/>
    <s v="Telephone"/>
    <s v="Neuro Admin"/>
    <x v="0"/>
    <m/>
    <n v="0"/>
    <n v="0"/>
    <n v="0"/>
    <n v="0"/>
    <n v="0"/>
    <n v="0"/>
    <n v="0"/>
    <n v="0"/>
    <n v="0"/>
    <n v="0"/>
    <n v="0"/>
    <n v="78"/>
    <n v="78"/>
    <n v="-78"/>
  </r>
  <r>
    <x v="15"/>
    <x v="9"/>
    <x v="0"/>
    <s v="3191501"/>
    <n v="731060"/>
    <s v="Pagers"/>
    <s v="Neuro Admin"/>
    <x v="0"/>
    <n v="1002"/>
    <n v="37.24"/>
    <n v="85.71"/>
    <n v="63.46"/>
    <n v="63.57"/>
    <n v="62.36"/>
    <n v="0"/>
    <n v="124.72"/>
    <n v="62.36"/>
    <n v="62.36"/>
    <n v="89.89"/>
    <n v="62.36"/>
    <n v="62.36"/>
    <n v="776.39"/>
    <n v="0"/>
  </r>
  <r>
    <x v="13"/>
    <x v="9"/>
    <x v="0"/>
    <s v="3191501"/>
    <n v="735070"/>
    <s v="Depreciation-Movable Equipment"/>
    <s v="Neuro Admin"/>
    <x v="0"/>
    <m/>
    <n v="77.09"/>
    <n v="77.09"/>
    <n v="77.09"/>
    <n v="77.099999999999994"/>
    <n v="77.09"/>
    <n v="77.099999999999994"/>
    <n v="77.09"/>
    <n v="77.099999999999994"/>
    <n v="77.09"/>
    <n v="77.099999999999994"/>
    <n v="77.09"/>
    <n v="0"/>
    <n v="848.0300000000002"/>
    <n v="77.09"/>
  </r>
  <r>
    <x v="0"/>
    <x v="9"/>
    <x v="0"/>
    <s v="3191501"/>
    <n v="740020"/>
    <s v="Education-Registration Fees"/>
    <s v="Neuro Admin"/>
    <x v="0"/>
    <m/>
    <n v="0"/>
    <n v="0"/>
    <n v="0"/>
    <n v="0"/>
    <n v="0"/>
    <n v="0"/>
    <n v="0"/>
    <n v="165"/>
    <n v="0"/>
    <n v="830"/>
    <n v="0"/>
    <n v="0"/>
    <n v="995"/>
    <n v="0"/>
  </r>
  <r>
    <x v="0"/>
    <x v="9"/>
    <x v="0"/>
    <s v="3191501"/>
    <n v="743030"/>
    <s v="Subscriptions--Institutional"/>
    <s v="Neuro Admin"/>
    <x v="0"/>
    <m/>
    <n v="0"/>
    <n v="94.6"/>
    <n v="0"/>
    <n v="0"/>
    <n v="0"/>
    <n v="402.74"/>
    <n v="0"/>
    <n v="0"/>
    <n v="0"/>
    <n v="0"/>
    <n v="0"/>
    <n v="0"/>
    <n v="497.34000000000003"/>
    <n v="0"/>
  </r>
  <r>
    <x v="0"/>
    <x v="9"/>
    <x v="0"/>
    <s v="3191501"/>
    <n v="749510"/>
    <s v="Miscellaneous Expenses"/>
    <s v="Neuro Admin"/>
    <x v="0"/>
    <m/>
    <n v="28.16"/>
    <n v="19.670000000000002"/>
    <n v="-148.18"/>
    <n v="4641.8500000000004"/>
    <n v="5177.71"/>
    <n v="128.75"/>
    <n v="-128.75"/>
    <n v="-9081.2800000000007"/>
    <n v="298.62"/>
    <n v="-26.81"/>
    <n v="556.73"/>
    <n v="518.05999999999995"/>
    <n v="1984.5299999999984"/>
    <n v="38.670000000000073"/>
  </r>
  <r>
    <x v="0"/>
    <x v="9"/>
    <x v="0"/>
    <s v="3191501"/>
    <n v="749510"/>
    <s v="Licenses"/>
    <s v="Neuro Admin"/>
    <x v="0"/>
    <n v="1002"/>
    <n v="0"/>
    <n v="0"/>
    <n v="0"/>
    <n v="303.88"/>
    <n v="0"/>
    <n v="0"/>
    <n v="0"/>
    <n v="0"/>
    <n v="0"/>
    <n v="0"/>
    <n v="31.15"/>
    <n v="0"/>
    <n v="335.03"/>
    <n v="31.15"/>
  </r>
  <r>
    <x v="0"/>
    <x v="9"/>
    <x v="0"/>
    <s v="3191501"/>
    <n v="749510"/>
    <s v="RICE Rewards"/>
    <s v="Neuro Admin"/>
    <x v="0"/>
    <n v="5100"/>
    <n v="0"/>
    <n v="0"/>
    <n v="0"/>
    <n v="0"/>
    <n v="0"/>
    <n v="0"/>
    <n v="0"/>
    <n v="0"/>
    <n v="0"/>
    <n v="128.63"/>
    <n v="167.85"/>
    <n v="0"/>
    <n v="296.48"/>
    <n v="167.85"/>
  </r>
  <r>
    <x v="0"/>
    <x v="9"/>
    <x v="0"/>
    <s v="3191501"/>
    <n v="749530"/>
    <s v="Travel"/>
    <s v="Neuro Admin"/>
    <x v="0"/>
    <m/>
    <n v="20"/>
    <n v="31"/>
    <n v="40"/>
    <n v="53.16"/>
    <n v="25"/>
    <n v="20"/>
    <n v="25"/>
    <n v="519.55999999999995"/>
    <n v="15"/>
    <n v="1648.34"/>
    <n v="67.430000000000007"/>
    <n v="46.81"/>
    <n v="2511.2999999999997"/>
    <n v="20.620000000000005"/>
  </r>
  <r>
    <x v="0"/>
    <x v="9"/>
    <x v="0"/>
    <s v="3191501"/>
    <n v="749530"/>
    <s v="Mileage"/>
    <s v="Neuro Admin"/>
    <x v="0"/>
    <n v="1001"/>
    <n v="105.76"/>
    <n v="285.64999999999998"/>
    <n v="407.72"/>
    <n v="199.49"/>
    <n v="339.62"/>
    <n v="61.6"/>
    <n v="299.25"/>
    <n v="77.14"/>
    <n v="194.3"/>
    <n v="666.42"/>
    <n v="298.7"/>
    <n v="437.9"/>
    <n v="3373.5499999999997"/>
    <n v="-139.19999999999999"/>
  </r>
  <r>
    <x v="0"/>
    <x v="9"/>
    <x v="0"/>
    <s v="3191501"/>
    <n v="749535"/>
    <s v="Meetings"/>
    <s v="Neuro Admin"/>
    <x v="0"/>
    <m/>
    <n v="0"/>
    <n v="0"/>
    <n v="0"/>
    <n v="0"/>
    <n v="0"/>
    <n v="47.94"/>
    <n v="0"/>
    <n v="0"/>
    <n v="0"/>
    <n v="55.91"/>
    <n v="0"/>
    <n v="0"/>
    <n v="103.85"/>
    <n v="0"/>
  </r>
  <r>
    <x v="5"/>
    <x v="6"/>
    <x v="0"/>
    <s v="3198107"/>
    <n v="700018"/>
    <s v="Salaries-Supervisory-Productive"/>
    <s v="ER Transitional Unit-Silvrdale"/>
    <x v="0"/>
    <m/>
    <n v="0"/>
    <n v="0"/>
    <n v="0"/>
    <n v="0"/>
    <n v="0"/>
    <n v="495.97"/>
    <n v="-61.97"/>
    <n v="0"/>
    <n v="0"/>
    <n v="0"/>
    <n v="0"/>
    <n v="0"/>
    <n v="434"/>
    <n v="0"/>
  </r>
  <r>
    <x v="5"/>
    <x v="6"/>
    <x v="0"/>
    <s v="3198107"/>
    <n v="700026"/>
    <s v="Salaries-RN-Productive"/>
    <s v="ER Transitional Unit-Silvrdale"/>
    <x v="0"/>
    <m/>
    <n v="4112.1400000000003"/>
    <n v="5396.57"/>
    <n v="6658.01"/>
    <n v="3252.46"/>
    <n v="7330.92"/>
    <n v="2908.78"/>
    <n v="7879.77"/>
    <n v="6952.65"/>
    <n v="18774.939999999999"/>
    <n v="6766.3"/>
    <n v="4954.16"/>
    <n v="5975.81"/>
    <n v="80962.509999999995"/>
    <n v="-1021.6500000000005"/>
  </r>
  <r>
    <x v="5"/>
    <x v="6"/>
    <x v="0"/>
    <s v="3198107"/>
    <n v="700026"/>
    <s v="Salaries-RN-OT"/>
    <s v="ER Transitional Unit-Silvrdale"/>
    <x v="0"/>
    <n v="1000"/>
    <n v="198"/>
    <n v="0"/>
    <n v="0"/>
    <n v="0"/>
    <n v="918.81"/>
    <n v="-442.37"/>
    <n v="0"/>
    <n v="0"/>
    <n v="19.96"/>
    <n v="0"/>
    <n v="0"/>
    <n v="0"/>
    <n v="694.4"/>
    <n v="0"/>
  </r>
  <r>
    <x v="5"/>
    <x v="6"/>
    <x v="0"/>
    <s v="3198107"/>
    <n v="700026"/>
    <s v="Salaries-RN-Other"/>
    <s v="ER Transitional Unit-Silvrdale"/>
    <x v="0"/>
    <n v="2000"/>
    <n v="275.13"/>
    <n v="467.79"/>
    <n v="381.98"/>
    <n v="220.25"/>
    <n v="587.5"/>
    <n v="228.13"/>
    <n v="743.49"/>
    <n v="527.07000000000005"/>
    <n v="1528.37"/>
    <n v="390.25"/>
    <n v="609.86"/>
    <n v="126.75"/>
    <n v="6086.5700000000006"/>
    <n v="483.11"/>
  </r>
  <r>
    <x v="5"/>
    <x v="6"/>
    <x v="0"/>
    <s v="3198107"/>
    <n v="700030"/>
    <s v="Salaries-LPN-Productive"/>
    <s v="ER Transitional Unit-Silvrdale"/>
    <x v="0"/>
    <m/>
    <n v="0"/>
    <n v="0"/>
    <n v="0"/>
    <n v="0"/>
    <n v="0"/>
    <n v="0"/>
    <n v="0"/>
    <n v="0"/>
    <n v="0"/>
    <n v="0"/>
    <n v="69.28"/>
    <n v="0"/>
    <n v="69.28"/>
    <n v="69.28"/>
  </r>
  <r>
    <x v="5"/>
    <x v="6"/>
    <x v="0"/>
    <s v="3198107"/>
    <n v="700030"/>
    <s v="Salaries-LPN-Other"/>
    <s v="ER Transitional Unit-Silvrdale"/>
    <x v="0"/>
    <n v="2000"/>
    <n v="0"/>
    <n v="0"/>
    <n v="0"/>
    <n v="0"/>
    <n v="0"/>
    <n v="0"/>
    <n v="0"/>
    <n v="0"/>
    <n v="0"/>
    <n v="0"/>
    <n v="9.01"/>
    <n v="0"/>
    <n v="9.01"/>
    <n v="9.01"/>
  </r>
  <r>
    <x v="5"/>
    <x v="6"/>
    <x v="0"/>
    <s v="3198107"/>
    <n v="700032"/>
    <s v="Salaries-Other Pat Care Providers-Productive"/>
    <s v="ER Transitional Unit-Silvrdale"/>
    <x v="0"/>
    <m/>
    <n v="626.45000000000005"/>
    <n v="296.95"/>
    <n v="1184.03"/>
    <n v="487.75"/>
    <n v="914.89"/>
    <n v="389.03"/>
    <n v="4370.6000000000004"/>
    <n v="2379.75"/>
    <n v="2436.88"/>
    <n v="1901.58"/>
    <n v="3078.46"/>
    <n v="2220.2399999999998"/>
    <n v="20286.61"/>
    <n v="858.22000000000025"/>
  </r>
  <r>
    <x v="5"/>
    <x v="6"/>
    <x v="0"/>
    <s v="3198107"/>
    <n v="700032"/>
    <s v="Salaries-Other Pat Care Providers-OT"/>
    <s v="ER Transitional Unit-Silvrdale"/>
    <x v="0"/>
    <n v="1000"/>
    <n v="0"/>
    <n v="0"/>
    <n v="0"/>
    <n v="0"/>
    <n v="0"/>
    <n v="0"/>
    <n v="0"/>
    <n v="220.11"/>
    <n v="0"/>
    <n v="0"/>
    <n v="0"/>
    <n v="9.33"/>
    <n v="229.44000000000003"/>
    <n v="-9.33"/>
  </r>
  <r>
    <x v="5"/>
    <x v="6"/>
    <x v="0"/>
    <s v="3198107"/>
    <n v="700032"/>
    <s v="Salaries-Other Pat Care Providers-Other"/>
    <s v="ER Transitional Unit-Silvrdale"/>
    <x v="0"/>
    <n v="2000"/>
    <n v="45.61"/>
    <n v="29.58"/>
    <n v="79.13"/>
    <n v="63.67"/>
    <n v="57"/>
    <n v="48.08"/>
    <n v="361.29"/>
    <n v="247.92"/>
    <n v="170.43"/>
    <n v="185.87"/>
    <n v="208.68"/>
    <n v="302.17"/>
    <n v="1799.43"/>
    <n v="-93.490000000000009"/>
  </r>
  <r>
    <x v="6"/>
    <x v="6"/>
    <x v="0"/>
    <s v="3198107"/>
    <n v="713010"/>
    <s v="Benefits-FICA/Medicare"/>
    <s v="ER Transitional Unit-Silvrdale"/>
    <x v="0"/>
    <m/>
    <n v="396.98"/>
    <n v="463.54"/>
    <n v="556.91"/>
    <n v="325.94"/>
    <n v="480.37"/>
    <n v="250.48"/>
    <n v="1005.75"/>
    <n v="780.09"/>
    <n v="1719.64"/>
    <n v="700.13"/>
    <n v="676.57"/>
    <n v="638"/>
    <n v="7994.4"/>
    <n v="38.57000000000005"/>
  </r>
  <r>
    <x v="6"/>
    <x v="6"/>
    <x v="0"/>
    <s v="3198107"/>
    <n v="713090"/>
    <s v="Benefits-Allocated Amounts"/>
    <s v="ER Transitional Unit-Silvrdale"/>
    <x v="0"/>
    <m/>
    <n v="809.78"/>
    <n v="762.74"/>
    <n v="1278.1600000000001"/>
    <n v="595.51"/>
    <n v="1408.49"/>
    <n v="641.22"/>
    <n v="2310.98"/>
    <n v="1821.22"/>
    <n v="3172.68"/>
    <n v="1698.25"/>
    <n v="1657.06"/>
    <n v="1762.73"/>
    <n v="17918.82"/>
    <n v="-105.67000000000007"/>
  </r>
  <r>
    <x v="18"/>
    <x v="3"/>
    <x v="0"/>
    <s v="3199101"/>
    <n v="400010"/>
    <s v="Acute I/P Svcs Rev--Medicare"/>
    <s v="Transition Unit"/>
    <x v="0"/>
    <n v="1100"/>
    <n v="-84068.1"/>
    <n v="-68150.41"/>
    <n v="-48810.17"/>
    <n v="-132223.22"/>
    <n v="-75713.45"/>
    <n v="-55687.48"/>
    <n v="-117502.79"/>
    <n v="-140639.48000000001"/>
    <n v="-241215.07"/>
    <n v="-109670.3"/>
    <n v="-82558.899999999994"/>
    <n v="-93642.72"/>
    <n v="-1249882.0899999999"/>
    <n v="11083.820000000007"/>
  </r>
  <r>
    <x v="18"/>
    <x v="3"/>
    <x v="0"/>
    <s v="3199101"/>
    <n v="400010"/>
    <s v="Acute I/P Svcs Rev--Medicaid"/>
    <s v="Transition Unit"/>
    <x v="0"/>
    <n v="1200"/>
    <n v="-24438.28"/>
    <n v="-42122"/>
    <n v="-36662.980000000003"/>
    <n v="-59783"/>
    <n v="-69024.94"/>
    <n v="-44667"/>
    <n v="-68249"/>
    <n v="-62658"/>
    <n v="-61977.3"/>
    <n v="-21986"/>
    <n v="-78724"/>
    <n v="-50355"/>
    <n v="-620647.5"/>
    <n v="-28369"/>
  </r>
  <r>
    <x v="18"/>
    <x v="3"/>
    <x v="0"/>
    <s v="3199101"/>
    <n v="400010"/>
    <s v="Acute I/P Svcs Rev--Comm Insurance"/>
    <s v="Transition Unit"/>
    <x v="0"/>
    <n v="1300"/>
    <n v="-8032"/>
    <n v="-402"/>
    <n v="-8434"/>
    <n v="-6455"/>
    <n v="-4217"/>
    <n v="-8434"/>
    <n v="-6455"/>
    <n v="-6649"/>
    <n v="-17376"/>
    <n v="-15603"/>
    <n v="17642"/>
    <n v="2305"/>
    <n v="-62110"/>
    <n v="15337"/>
  </r>
  <r>
    <x v="18"/>
    <x v="3"/>
    <x v="0"/>
    <s v="3199101"/>
    <n v="400010"/>
    <s v="Acute I/P Svcs Rev--BCBS Comm"/>
    <s v="Transition Unit"/>
    <x v="0"/>
    <n v="1301"/>
    <n v="-4217"/>
    <n v="-4217"/>
    <n v="-7086.73"/>
    <n v="0"/>
    <n v="0"/>
    <n v="-8434"/>
    <n v="-6455"/>
    <n v="-6649"/>
    <n v="-4344"/>
    <n v="0"/>
    <n v="-21986"/>
    <n v="-2305"/>
    <n v="-65693.73"/>
    <n v="-19681"/>
  </r>
  <r>
    <x v="18"/>
    <x v="3"/>
    <x v="0"/>
    <s v="3199101"/>
    <n v="400010"/>
    <s v="Acute I/P Svcs Rev--Managed Care"/>
    <s v="Transition Unit"/>
    <x v="0"/>
    <n v="1400"/>
    <n v="-4725"/>
    <n v="-22954.37"/>
    <n v="-19106"/>
    <n v="-17127"/>
    <n v="-2203.08"/>
    <n v="-50863"/>
    <n v="-45233"/>
    <n v="-16265.08"/>
    <n v="-35668.68"/>
    <n v="-10993"/>
    <n v="-4471"/>
    <n v="-10993"/>
    <n v="-240602.21"/>
    <n v="6522"/>
  </r>
  <r>
    <x v="18"/>
    <x v="3"/>
    <x v="0"/>
    <s v="3199101"/>
    <n v="400010"/>
    <s v="Acute I/P Svcs Rev--Self Pay"/>
    <s v="Transition Unit"/>
    <x v="0"/>
    <n v="1500"/>
    <n v="0"/>
    <n v="0"/>
    <n v="-10672"/>
    <n v="-4217"/>
    <n v="-8434"/>
    <n v="0"/>
    <n v="-273.42"/>
    <n v="-6649"/>
    <n v="-13298"/>
    <n v="13298"/>
    <n v="-6649"/>
    <n v="-4344"/>
    <n v="-41238.42"/>
    <n v="-2305"/>
  </r>
  <r>
    <x v="18"/>
    <x v="3"/>
    <x v="0"/>
    <s v="3199101"/>
    <n v="400010"/>
    <s v="Acute I/P Svcs Rev--Other"/>
    <s v="Transition Unit"/>
    <x v="0"/>
    <n v="1700"/>
    <n v="-6854.38"/>
    <n v="-16868"/>
    <n v="-17127"/>
    <n v="-14889"/>
    <n v="-14889"/>
    <n v="-11492.26"/>
    <n v="-4217"/>
    <n v="-31547.62"/>
    <n v="-26330"/>
    <n v="8276.64"/>
    <n v="-10993"/>
    <n v="-6649"/>
    <n v="-153579.62"/>
    <n v="-4344"/>
  </r>
  <r>
    <x v="19"/>
    <x v="3"/>
    <x v="0"/>
    <s v="3199101"/>
    <n v="400020"/>
    <s v="O/P Care Svcs Rev--Medicare"/>
    <s v="Transition Unit"/>
    <x v="0"/>
    <n v="1100"/>
    <n v="-7811.95"/>
    <n v="-2436.65"/>
    <n v="-2396.42"/>
    <n v="-1730.71"/>
    <n v="-793.28"/>
    <n v="-27467.54"/>
    <n v="-14087.69"/>
    <n v="-2290.4"/>
    <n v="-12328.3"/>
    <n v="-1459.58"/>
    <n v="-5405.3"/>
    <n v="0"/>
    <n v="-78207.820000000007"/>
    <n v="-5405.3"/>
  </r>
  <r>
    <x v="19"/>
    <x v="3"/>
    <x v="0"/>
    <s v="3199101"/>
    <n v="400020"/>
    <s v="O/P Care Svcs Rev--Medicaid"/>
    <s v="Transition Unit"/>
    <x v="0"/>
    <n v="1200"/>
    <n v="-11637.68"/>
    <n v="-762.68"/>
    <n v="-3463.44"/>
    <n v="-995.03"/>
    <n v="-1367.1"/>
    <n v="-6479"/>
    <n v="-273.42"/>
    <n v="-13467.86"/>
    <n v="-4770.3599999999997"/>
    <n v="0"/>
    <n v="-5069.16"/>
    <n v="0"/>
    <n v="-48285.729999999996"/>
    <n v="-5069.16"/>
  </r>
  <r>
    <x v="19"/>
    <x v="3"/>
    <x v="0"/>
    <s v="3199101"/>
    <n v="400020"/>
    <s v="O/P Care Svcs Rev--Comm Insurance"/>
    <s v="Transition Unit"/>
    <x v="0"/>
    <n v="1300"/>
    <n v="2661.75"/>
    <n v="0"/>
    <n v="0"/>
    <n v="0"/>
    <n v="0"/>
    <n v="0"/>
    <n v="0"/>
    <n v="0"/>
    <n v="0"/>
    <n v="-205.08"/>
    <n v="0"/>
    <n v="0"/>
    <n v="2456.67"/>
    <n v="0"/>
  </r>
  <r>
    <x v="19"/>
    <x v="3"/>
    <x v="0"/>
    <s v="3199101"/>
    <n v="400020"/>
    <s v="O/P Care Svcs Rev--BCBS Comm"/>
    <s v="Transition Unit"/>
    <x v="0"/>
    <n v="1301"/>
    <n v="0"/>
    <n v="0"/>
    <n v="0"/>
    <n v="-1438.25"/>
    <n v="0"/>
    <n v="0"/>
    <n v="0"/>
    <n v="0"/>
    <n v="-647.96"/>
    <n v="-4645.3599999999997"/>
    <n v="0"/>
    <n v="0"/>
    <n v="-6731.57"/>
    <n v="0"/>
  </r>
  <r>
    <x v="19"/>
    <x v="3"/>
    <x v="0"/>
    <s v="3199101"/>
    <n v="400020"/>
    <s v="O/P Care Svcs Rev--Managed Care"/>
    <s v="Transition Unit"/>
    <x v="0"/>
    <n v="1400"/>
    <n v="0"/>
    <n v="-631.73"/>
    <n v="0"/>
    <n v="-8120.04"/>
    <n v="-1289.01"/>
    <n v="-654.62"/>
    <n v="-2712.28"/>
    <n v="-3441.52"/>
    <n v="-12026.14"/>
    <n v="-2715.12"/>
    <n v="-442.88"/>
    <n v="0"/>
    <n v="-32033.34"/>
    <n v="-442.88"/>
  </r>
  <r>
    <x v="19"/>
    <x v="3"/>
    <x v="0"/>
    <s v="3199101"/>
    <n v="400020"/>
    <s v="O/P Care Svcs Rev--Self Pay"/>
    <s v="Transition Unit"/>
    <x v="0"/>
    <n v="15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3199101"/>
    <n v="400020"/>
    <s v="O/P Care Svcs Rev--Other"/>
    <s v="Transition Unit"/>
    <x v="0"/>
    <n v="1700"/>
    <n v="0"/>
    <n v="0"/>
    <n v="0"/>
    <n v="-1864.3"/>
    <n v="0"/>
    <n v="-546.84"/>
    <n v="789.86"/>
    <n v="-3201.82"/>
    <n v="-1880.66"/>
    <n v="0"/>
    <n v="0"/>
    <n v="0"/>
    <n v="-6703.76"/>
    <n v="0"/>
  </r>
  <r>
    <x v="5"/>
    <x v="3"/>
    <x v="0"/>
    <s v="3199101"/>
    <n v="700026"/>
    <s v="Salaries-RN-Productive"/>
    <s v="Transition Unit"/>
    <x v="0"/>
    <m/>
    <n v="17300.849999999999"/>
    <n v="5690.99"/>
    <n v="28288.61"/>
    <n v="33967.480000000003"/>
    <n v="26589.74"/>
    <n v="38721.410000000003"/>
    <n v="38416.26"/>
    <n v="48431.58"/>
    <n v="43156.75"/>
    <n v="27682.04"/>
    <n v="25056.09"/>
    <n v="29852.720000000001"/>
    <n v="363154.52"/>
    <n v="-4796.630000000001"/>
  </r>
  <r>
    <x v="5"/>
    <x v="3"/>
    <x v="0"/>
    <s v="3199101"/>
    <n v="700026"/>
    <s v="Salaries-RN-OT"/>
    <s v="Transition Unit"/>
    <x v="0"/>
    <n v="1000"/>
    <n v="64.81"/>
    <n v="7.31"/>
    <n v="59.5"/>
    <n v="276.64999999999998"/>
    <n v="196.78"/>
    <n v="263.58999999999997"/>
    <n v="421.64"/>
    <n v="968.19"/>
    <n v="1511.52"/>
    <n v="-407.6"/>
    <n v="1112.01"/>
    <n v="-408.83"/>
    <n v="4065.5699999999997"/>
    <n v="1520.84"/>
  </r>
  <r>
    <x v="5"/>
    <x v="3"/>
    <x v="0"/>
    <s v="3199101"/>
    <n v="700026"/>
    <s v="Salaries-RN-Other"/>
    <s v="Transition Unit"/>
    <x v="0"/>
    <n v="2000"/>
    <n v="1401.15"/>
    <n v="461.84"/>
    <n v="2900.41"/>
    <n v="3463.84"/>
    <n v="1867.77"/>
    <n v="2358.65"/>
    <n v="3787.4"/>
    <n v="4113.3"/>
    <n v="4519.3999999999996"/>
    <n v="2344.79"/>
    <n v="1238.8699999999999"/>
    <n v="3868.09"/>
    <n v="32325.510000000002"/>
    <n v="-2629.2200000000003"/>
  </r>
  <r>
    <x v="5"/>
    <x v="3"/>
    <x v="0"/>
    <s v="3199101"/>
    <n v="700032"/>
    <s v="Salaries-Other Pat Care Providers-Productive"/>
    <s v="Transition Unit"/>
    <x v="0"/>
    <m/>
    <n v="6.52"/>
    <n v="18.350000000000001"/>
    <n v="363.88"/>
    <n v="49.41"/>
    <n v="235.59"/>
    <n v="950.07"/>
    <n v="267.88"/>
    <n v="1467.47"/>
    <n v="458.49"/>
    <n v="1025.3900000000001"/>
    <n v="-76.52"/>
    <n v="1570.54"/>
    <n v="6337.07"/>
    <n v="-1647.06"/>
  </r>
  <r>
    <x v="5"/>
    <x v="3"/>
    <x v="0"/>
    <s v="3199101"/>
    <n v="700032"/>
    <s v="Salaries-Other Pat Care Providers-OT"/>
    <s v="Transition Unit"/>
    <x v="0"/>
    <n v="1000"/>
    <n v="0"/>
    <n v="0"/>
    <n v="0"/>
    <n v="0"/>
    <n v="0"/>
    <n v="0"/>
    <n v="34.31"/>
    <n v="0"/>
    <n v="0"/>
    <n v="190.06"/>
    <n v="-79.180000000000007"/>
    <n v="0"/>
    <n v="145.19"/>
    <n v="-79.180000000000007"/>
  </r>
  <r>
    <x v="5"/>
    <x v="3"/>
    <x v="0"/>
    <s v="3199101"/>
    <n v="700032"/>
    <s v="Salaries-Other Pat Care Providers-Other"/>
    <s v="Transition Unit"/>
    <x v="0"/>
    <n v="2000"/>
    <n v="0"/>
    <n v="0"/>
    <n v="10.07"/>
    <n v="-3.66"/>
    <n v="0"/>
    <n v="37"/>
    <n v="0"/>
    <n v="72.56"/>
    <n v="26.13"/>
    <n v="45.48"/>
    <n v="-16.62"/>
    <n v="47.83"/>
    <n v="218.78999999999996"/>
    <n v="-64.45"/>
  </r>
  <r>
    <x v="5"/>
    <x v="3"/>
    <x v="0"/>
    <s v="3199101"/>
    <n v="700034"/>
    <s v="Salaries-Tech/Professional-OT"/>
    <s v="Transition Unit"/>
    <x v="0"/>
    <n v="1000"/>
    <n v="0"/>
    <n v="0"/>
    <n v="0"/>
    <n v="0.47"/>
    <n v="0"/>
    <n v="0"/>
    <n v="0"/>
    <n v="0"/>
    <n v="0"/>
    <n v="0"/>
    <n v="0"/>
    <n v="0"/>
    <n v="0.47"/>
    <n v="0"/>
  </r>
  <r>
    <x v="5"/>
    <x v="3"/>
    <x v="0"/>
    <s v="3199101"/>
    <n v="700066"/>
    <s v="Salaries-RN-NonProd-Other"/>
    <s v="Transition Unit"/>
    <x v="0"/>
    <n v="2000"/>
    <n v="0"/>
    <n v="0"/>
    <n v="0"/>
    <n v="0"/>
    <n v="0"/>
    <n v="0"/>
    <n v="20.47"/>
    <n v="25.38"/>
    <n v="-0.54"/>
    <n v="0"/>
    <n v="0"/>
    <n v="27.45"/>
    <n v="72.759999999999991"/>
    <n v="-27.45"/>
  </r>
  <r>
    <x v="5"/>
    <x v="3"/>
    <x v="0"/>
    <s v="3199101"/>
    <n v="700072"/>
    <s v="Salaries-Other Pat Care Providers-NonProd-Other"/>
    <s v="Transition Unit"/>
    <x v="0"/>
    <n v="2000"/>
    <n v="0"/>
    <n v="0"/>
    <n v="8.2100000000000009"/>
    <n v="-2.98"/>
    <n v="0"/>
    <n v="0"/>
    <n v="0"/>
    <n v="0"/>
    <n v="0"/>
    <n v="0"/>
    <n v="0"/>
    <n v="9.3800000000000008"/>
    <n v="14.610000000000001"/>
    <n v="-9.3800000000000008"/>
  </r>
  <r>
    <x v="10"/>
    <x v="3"/>
    <x v="0"/>
    <s v="3199101"/>
    <n v="710060"/>
    <s v="Contract Labor-Other"/>
    <s v="Transition Unit"/>
    <x v="0"/>
    <m/>
    <n v="288"/>
    <n v="864"/>
    <n v="0"/>
    <n v="852"/>
    <n v="852"/>
    <n v="0"/>
    <n v="0"/>
    <n v="0"/>
    <n v="0"/>
    <n v="0"/>
    <n v="0"/>
    <n v="0"/>
    <n v="2856"/>
    <n v="0"/>
  </r>
  <r>
    <x v="6"/>
    <x v="3"/>
    <x v="0"/>
    <s v="3199101"/>
    <n v="713010"/>
    <s v="Benefits-FICA/Medicare"/>
    <s v="Transition Unit"/>
    <x v="0"/>
    <m/>
    <n v="1394.36"/>
    <n v="466.7"/>
    <n v="2349.84"/>
    <n v="2822.14"/>
    <n v="2152.81"/>
    <n v="3119.17"/>
    <n v="3186.77"/>
    <n v="4085.11"/>
    <n v="3657.28"/>
    <n v="2278.69"/>
    <n v="2047.99"/>
    <n v="2570.63"/>
    <n v="30131.489999999998"/>
    <n v="-522.6400000000001"/>
  </r>
  <r>
    <x v="6"/>
    <x v="3"/>
    <x v="0"/>
    <s v="3199101"/>
    <n v="713090"/>
    <s v="Benefits-Allocated Amounts"/>
    <s v="Transition Unit"/>
    <x v="0"/>
    <m/>
    <n v="3683.15"/>
    <n v="1054.6500000000001"/>
    <n v="6073.28"/>
    <n v="7544.66"/>
    <n v="5875.65"/>
    <n v="7950.93"/>
    <n v="8917.19"/>
    <n v="11706.21"/>
    <n v="8393.14"/>
    <n v="6713.41"/>
    <n v="5953.7"/>
    <n v="7704.68"/>
    <n v="81570.649999999994"/>
    <n v="-1750.9800000000005"/>
  </r>
  <r>
    <x v="11"/>
    <x v="3"/>
    <x v="0"/>
    <s v="3199101"/>
    <n v="721010"/>
    <s v="Supplies-Medical - Billable"/>
    <s v="Transition Unit"/>
    <x v="0"/>
    <m/>
    <n v="0"/>
    <n v="12.63"/>
    <n v="11.14"/>
    <n v="33.92"/>
    <n v="39.700000000000003"/>
    <n v="0"/>
    <n v="373.66"/>
    <n v="44.88"/>
    <n v="185.48"/>
    <n v="123.31"/>
    <n v="176"/>
    <n v="237.1"/>
    <n v="1237.82"/>
    <n v="-61.099999999999994"/>
  </r>
  <r>
    <x v="11"/>
    <x v="3"/>
    <x v="0"/>
    <s v="3199101"/>
    <n v="721020"/>
    <s v="Supplies-Surgical - Billable"/>
    <s v="Transition Unit"/>
    <x v="0"/>
    <m/>
    <n v="0"/>
    <n v="4.25"/>
    <n v="181.4"/>
    <n v="30.1"/>
    <n v="0"/>
    <n v="81.05"/>
    <n v="135.85"/>
    <n v="94.23"/>
    <n v="105.75"/>
    <n v="0"/>
    <n v="0"/>
    <n v="90.7"/>
    <n v="723.33"/>
    <n v="-90.7"/>
  </r>
  <r>
    <x v="11"/>
    <x v="3"/>
    <x v="0"/>
    <s v="3199101"/>
    <n v="721410"/>
    <s v="Supplies-Medical - Nonbillable"/>
    <s v="Transition Unit"/>
    <x v="0"/>
    <m/>
    <n v="0"/>
    <n v="26.72"/>
    <n v="29.5"/>
    <n v="54.68"/>
    <n v="16.329999999999998"/>
    <n v="77.33"/>
    <n v="183.08"/>
    <n v="249.15"/>
    <n v="107.68"/>
    <n v="95.18"/>
    <n v="267.92"/>
    <n v="276.70999999999998"/>
    <n v="1384.2800000000002"/>
    <n v="-8.7899999999999636"/>
  </r>
  <r>
    <x v="11"/>
    <x v="3"/>
    <x v="0"/>
    <s v="3199101"/>
    <n v="721610"/>
    <s v="Supplies-Anesthesia - Nonbillable"/>
    <s v="Transition Unit"/>
    <x v="0"/>
    <m/>
    <n v="0"/>
    <n v="0"/>
    <n v="0"/>
    <n v="0"/>
    <n v="0"/>
    <n v="0"/>
    <n v="0"/>
    <n v="0"/>
    <n v="0"/>
    <n v="0"/>
    <n v="0"/>
    <n v="1.05"/>
    <n v="1.05"/>
    <n v="-1.05"/>
  </r>
  <r>
    <x v="11"/>
    <x v="3"/>
    <x v="0"/>
    <s v="3199101"/>
    <n v="721640"/>
    <s v="Supplies-IV Solutions/Supplies - Nonbillable"/>
    <s v="Transition Unit"/>
    <x v="0"/>
    <m/>
    <n v="0"/>
    <n v="0"/>
    <n v="0"/>
    <n v="0"/>
    <n v="0"/>
    <n v="0"/>
    <n v="0"/>
    <n v="0"/>
    <n v="0"/>
    <n v="0"/>
    <n v="0"/>
    <n v="1.73"/>
    <n v="1.73"/>
    <n v="-1.73"/>
  </r>
  <r>
    <x v="11"/>
    <x v="3"/>
    <x v="0"/>
    <s v="3199101"/>
    <n v="721650"/>
    <s v="Supplies-Pharmacy Drugs - Nonbillable"/>
    <s v="Transition Unit"/>
    <x v="0"/>
    <m/>
    <n v="0"/>
    <n v="0"/>
    <n v="0"/>
    <n v="0"/>
    <n v="0"/>
    <n v="0"/>
    <n v="2.4300000000000002"/>
    <n v="0"/>
    <n v="0"/>
    <n v="0"/>
    <n v="2.4300000000000002"/>
    <n v="2.48"/>
    <n v="7.34"/>
    <n v="-4.9999999999999822E-2"/>
  </r>
  <r>
    <x v="11"/>
    <x v="3"/>
    <x v="0"/>
    <s v="3199101"/>
    <n v="721810"/>
    <s v="Supplies-Dietary/Cafeteria"/>
    <s v="Transition Unit"/>
    <x v="0"/>
    <m/>
    <n v="0"/>
    <n v="0"/>
    <n v="0"/>
    <n v="0"/>
    <n v="0"/>
    <n v="0"/>
    <n v="12.51"/>
    <n v="16.809999999999999"/>
    <n v="20.94"/>
    <n v="0"/>
    <n v="0"/>
    <n v="0"/>
    <n v="50.260000000000005"/>
    <n v="0"/>
  </r>
  <r>
    <x v="11"/>
    <x v="3"/>
    <x v="0"/>
    <s v="3199101"/>
    <n v="721870"/>
    <s v="Supplies-Environmental Services"/>
    <s v="Transition Unit"/>
    <x v="0"/>
    <m/>
    <n v="197.76"/>
    <n v="26.2"/>
    <n v="36.770000000000003"/>
    <n v="97.03"/>
    <n v="52.91"/>
    <n v="28.49"/>
    <n v="36.630000000000003"/>
    <n v="46.23"/>
    <n v="28.48"/>
    <n v="20.350000000000001"/>
    <n v="20.100000000000001"/>
    <n v="32.159999999999997"/>
    <n v="623.11"/>
    <n v="-12.059999999999995"/>
  </r>
  <r>
    <x v="11"/>
    <x v="3"/>
    <x v="0"/>
    <s v="3199101"/>
    <n v="721910"/>
    <s v="Supplies-Small Equipment"/>
    <s v="Transition Unit"/>
    <x v="0"/>
    <m/>
    <n v="0"/>
    <n v="0"/>
    <n v="50.2"/>
    <n v="0"/>
    <n v="121.75"/>
    <n v="60.88"/>
    <n v="34.28"/>
    <n v="56.78"/>
    <n v="73.73"/>
    <n v="58"/>
    <n v="58"/>
    <n v="106.2"/>
    <n v="619.82000000000005"/>
    <n v="-48.2"/>
  </r>
  <r>
    <x v="18"/>
    <x v="0"/>
    <x v="0"/>
    <s v="3199102"/>
    <n v="400010"/>
    <s v="Acute I/P Svcs Rev--Medicare"/>
    <s v="Transition Unit"/>
    <x v="0"/>
    <n v="1100"/>
    <n v="-186060.93"/>
    <n v="-189340.7"/>
    <n v="-214496.64000000001"/>
    <n v="-284460.94"/>
    <n v="-237718.84"/>
    <n v="-275601.7"/>
    <n v="-398829.09"/>
    <n v="-525420.09"/>
    <n v="-600819.44999999995"/>
    <n v="-318795.64"/>
    <n v="-238025.60000000001"/>
    <n v="-205400.45"/>
    <n v="-3674970.0700000003"/>
    <n v="-32625.149999999994"/>
  </r>
  <r>
    <x v="18"/>
    <x v="0"/>
    <x v="0"/>
    <s v="3199102"/>
    <n v="400010"/>
    <s v="Acute I/P Svcs Rev--Medicaid"/>
    <s v="Transition Unit"/>
    <x v="0"/>
    <n v="1200"/>
    <n v="-76446.899999999994"/>
    <n v="-130142.11"/>
    <n v="-139024.13"/>
    <n v="-131560.99"/>
    <n v="-80154.740000000005"/>
    <n v="-80161.789999999994"/>
    <n v="-141014.25"/>
    <n v="-154731.70000000001"/>
    <n v="-210631.98"/>
    <n v="-42759"/>
    <n v="-52355.43"/>
    <n v="-65252.08"/>
    <n v="-1304235.1000000001"/>
    <n v="12896.650000000001"/>
  </r>
  <r>
    <x v="18"/>
    <x v="0"/>
    <x v="0"/>
    <s v="3199102"/>
    <n v="400010"/>
    <s v="Acute I/P Svcs Rev--Comm Insurance"/>
    <s v="Transition Unit"/>
    <x v="0"/>
    <n v="1300"/>
    <n v="-7948.57"/>
    <n v="-14960.46"/>
    <n v="-7150"/>
    <n v="0"/>
    <n v="2933"/>
    <n v="-364.62"/>
    <n v="-1915.81"/>
    <n v="-23396.15"/>
    <n v="-4105.6499999999996"/>
    <n v="-3494"/>
    <n v="-17694.52"/>
    <n v="125.44"/>
    <n v="-77971.34"/>
    <n v="-17819.96"/>
  </r>
  <r>
    <x v="18"/>
    <x v="0"/>
    <x v="0"/>
    <s v="3199102"/>
    <n v="400010"/>
    <s v="Acute I/P Svcs Rev--BCBS Comm"/>
    <s v="Transition Unit"/>
    <x v="0"/>
    <n v="1301"/>
    <n v="-28914.89"/>
    <n v="127.63"/>
    <n v="-31029.87"/>
    <n v="-22446.32"/>
    <n v="-19293.91"/>
    <n v="-13359.39"/>
    <n v="-25578.36"/>
    <n v="-30002.58"/>
    <n v="-46392.480000000003"/>
    <n v="-19202.12"/>
    <n v="-29788.720000000001"/>
    <n v="-12948.37"/>
    <n v="-278829.38"/>
    <n v="-16840.349999999999"/>
  </r>
  <r>
    <x v="18"/>
    <x v="0"/>
    <x v="0"/>
    <s v="3199102"/>
    <n v="400010"/>
    <s v="Acute I/P Svcs Rev--Managed Care"/>
    <s v="Transition Unit"/>
    <x v="0"/>
    <n v="1400"/>
    <n v="-57796.79"/>
    <n v="-33610.76"/>
    <n v="-59841.36"/>
    <n v="-53396.86"/>
    <n v="-11580.67"/>
    <n v="-41957.27"/>
    <n v="-95510.02"/>
    <n v="-42078.22"/>
    <n v="-104620.12"/>
    <n v="-47631.15"/>
    <n v="-60642.7"/>
    <n v="-30175.4"/>
    <n v="-638841.32000000007"/>
    <n v="-30467.299999999996"/>
  </r>
  <r>
    <x v="18"/>
    <x v="0"/>
    <x v="0"/>
    <s v="3199102"/>
    <n v="400010"/>
    <s v="Acute I/P Svcs Rev--Self Pay"/>
    <s v="Transition Unit"/>
    <x v="0"/>
    <n v="1500"/>
    <n v="-12365.76"/>
    <n v="-14039.85"/>
    <n v="-16894.45"/>
    <n v="3723.65"/>
    <n v="-3265.08"/>
    <n v="-10111.780000000001"/>
    <n v="-13684.74"/>
    <n v="-17061.419999999998"/>
    <n v="-22523.599999999999"/>
    <n v="-18816.04"/>
    <n v="-10247.040000000001"/>
    <n v="-21644.7"/>
    <n v="-156930.81000000003"/>
    <n v="11397.66"/>
  </r>
  <r>
    <x v="18"/>
    <x v="0"/>
    <x v="0"/>
    <s v="3199102"/>
    <n v="400010"/>
    <s v="Acute I/P Svcs Rev--Other"/>
    <s v="Transition Unit"/>
    <x v="0"/>
    <n v="1700"/>
    <n v="-382.89"/>
    <n v="-17655.73"/>
    <n v="-9679.89"/>
    <n v="-10691.13"/>
    <n v="-3171"/>
    <n v="0"/>
    <n v="-7097.65"/>
    <n v="-1614.4"/>
    <n v="-7623.76"/>
    <n v="-20957.2"/>
    <n v="-6405.12"/>
    <n v="-394.32"/>
    <n v="-85673.090000000011"/>
    <n v="-6010.8"/>
  </r>
  <r>
    <x v="19"/>
    <x v="0"/>
    <x v="0"/>
    <s v="3199102"/>
    <n v="400020"/>
    <s v="O/P Care Svcs Rev--Medicare"/>
    <s v="Transition Unit"/>
    <x v="0"/>
    <n v="1100"/>
    <n v="-61127.15"/>
    <n v="-94366.96"/>
    <n v="-47095.89"/>
    <n v="-108114.41"/>
    <n v="-101260.39"/>
    <n v="-73182.539999999994"/>
    <n v="-165494.23000000001"/>
    <n v="-151136.24"/>
    <n v="-222579"/>
    <n v="-96420.85"/>
    <n v="-58794.14"/>
    <n v="-83734.740000000005"/>
    <n v="-1263306.54"/>
    <n v="24940.600000000006"/>
  </r>
  <r>
    <x v="19"/>
    <x v="0"/>
    <x v="0"/>
    <s v="3199102"/>
    <n v="400020"/>
    <s v="O/P Care Svcs Rev--Medicaid"/>
    <s v="Transition Unit"/>
    <x v="0"/>
    <n v="1200"/>
    <n v="-31056.35"/>
    <n v="-28569.38"/>
    <n v="-35616.33"/>
    <n v="-50507.91"/>
    <n v="-42558.6"/>
    <n v="-50819.4"/>
    <n v="-89060.74"/>
    <n v="-87939.839999999997"/>
    <n v="-63069.45"/>
    <n v="-51070.16"/>
    <n v="-25791.38"/>
    <n v="-9842.2800000000007"/>
    <n v="-565901.82000000007"/>
    <n v="-15949.1"/>
  </r>
  <r>
    <x v="19"/>
    <x v="0"/>
    <x v="0"/>
    <s v="3199102"/>
    <n v="400020"/>
    <s v="O/P Care Svcs Rev--Comm Insurance"/>
    <s v="Transition Unit"/>
    <x v="0"/>
    <n v="1300"/>
    <n v="-1057.04"/>
    <n v="-259.76"/>
    <n v="-1658.42"/>
    <n v="-6708.16"/>
    <n v="0"/>
    <n v="-2629.1"/>
    <n v="-18417.650000000001"/>
    <n v="-272.16000000000003"/>
    <n v="-5586.04"/>
    <n v="-6821.92"/>
    <n v="-131.44"/>
    <n v="-1210.8"/>
    <n v="-44752.490000000005"/>
    <n v="1079.3599999999999"/>
  </r>
  <r>
    <x v="19"/>
    <x v="0"/>
    <x v="0"/>
    <s v="3199102"/>
    <n v="400020"/>
    <s v="O/P Care Svcs Rev--BCBS Comm"/>
    <s v="Transition Unit"/>
    <x v="0"/>
    <n v="1301"/>
    <n v="-739.48"/>
    <n v="-4822.59"/>
    <n v="-14407.56"/>
    <n v="-7109.85"/>
    <n v="-2036.27"/>
    <n v="-4902.43"/>
    <n v="-25848.23"/>
    <n v="-4333.1000000000004"/>
    <n v="-3075.04"/>
    <n v="-4614.76"/>
    <n v="-7068.8"/>
    <n v="-7955.4"/>
    <n v="-86913.50999999998"/>
    <n v="886.59999999999945"/>
  </r>
  <r>
    <x v="19"/>
    <x v="0"/>
    <x v="0"/>
    <s v="3199102"/>
    <n v="400020"/>
    <s v="O/P Care Svcs Rev--Managed Care"/>
    <s v="Transition Unit"/>
    <x v="0"/>
    <n v="1400"/>
    <n v="-12759.08"/>
    <n v="-20766.189999999999"/>
    <n v="985.84"/>
    <n v="-21817.919999999998"/>
    <n v="-19809.599999999999"/>
    <n v="-3865.28"/>
    <n v="-43555.38"/>
    <n v="-38699.120000000003"/>
    <n v="-41135.279999999999"/>
    <n v="-54199.03"/>
    <n v="-9851.7199999999993"/>
    <n v="-1104"/>
    <n v="-266576.75999999995"/>
    <n v="-8747.7199999999993"/>
  </r>
  <r>
    <x v="19"/>
    <x v="0"/>
    <x v="0"/>
    <s v="3199102"/>
    <n v="400020"/>
    <s v="O/P Care Svcs Rev--Self Pay"/>
    <s v="Transition Unit"/>
    <x v="0"/>
    <n v="1500"/>
    <n v="-4578.83"/>
    <n v="-6348.66"/>
    <n v="508.85"/>
    <n v="-4495.37"/>
    <n v="-11912.2"/>
    <n v="-8423.58"/>
    <n v="-2902.36"/>
    <n v="-9114.8700000000008"/>
    <n v="-12145.25"/>
    <n v="-15126.5"/>
    <n v="-1422.96"/>
    <n v="-2308.7199999999998"/>
    <n v="-78270.450000000012"/>
    <n v="885.75999999999976"/>
  </r>
  <r>
    <x v="19"/>
    <x v="0"/>
    <x v="0"/>
    <s v="3199102"/>
    <n v="400020"/>
    <s v="O/P Care Svcs Rev--Other"/>
    <s v="Transition Unit"/>
    <x v="0"/>
    <n v="1700"/>
    <n v="-10850.56"/>
    <n v="-5699.26"/>
    <n v="3314.66"/>
    <n v="-5267.27"/>
    <n v="-2990.09"/>
    <n v="-9505.7000000000007"/>
    <n v="0"/>
    <n v="-1896.01"/>
    <n v="-11879.15"/>
    <n v="-6103.32"/>
    <n v="-350.6"/>
    <n v="394.32"/>
    <n v="-50832.98"/>
    <n v="-744.92000000000007"/>
  </r>
  <r>
    <x v="5"/>
    <x v="0"/>
    <x v="0"/>
    <s v="3199102"/>
    <n v="700014"/>
    <s v="Salaries-Management-Productive"/>
    <s v="Transition Unit"/>
    <x v="0"/>
    <m/>
    <n v="2909.77"/>
    <n v="3213.95"/>
    <n v="3257.42"/>
    <n v="3235.4"/>
    <n v="4559.88"/>
    <n v="3161.66"/>
    <n v="4780.1499999999996"/>
    <n v="3470.71"/>
    <n v="3653.37"/>
    <n v="4718.7700000000004"/>
    <n v="4292.72"/>
    <n v="3242.47"/>
    <n v="44496.27"/>
    <n v="1050.2500000000005"/>
  </r>
  <r>
    <x v="5"/>
    <x v="0"/>
    <x v="0"/>
    <s v="3199102"/>
    <n v="700026"/>
    <s v="Salaries-RN-Productive"/>
    <s v="Transition Unit"/>
    <x v="0"/>
    <m/>
    <n v="80804.19"/>
    <n v="85287"/>
    <n v="103220.83"/>
    <n v="108373.44"/>
    <n v="63359.29"/>
    <n v="126018.67"/>
    <n v="168626.67"/>
    <n v="142997.24"/>
    <n v="172171.68"/>
    <n v="157872.69"/>
    <n v="70791.25"/>
    <n v="95258.6"/>
    <n v="1374781.55"/>
    <n v="-24467.350000000006"/>
  </r>
  <r>
    <x v="5"/>
    <x v="0"/>
    <x v="0"/>
    <s v="3199102"/>
    <n v="700026"/>
    <s v="Salaries-RN-OT"/>
    <s v="Transition Unit"/>
    <x v="0"/>
    <n v="1000"/>
    <n v="1906.15"/>
    <n v="2008.28"/>
    <n v="1453.81"/>
    <n v="2676.36"/>
    <n v="429.62"/>
    <n v="3822.18"/>
    <n v="6427.81"/>
    <n v="3614.84"/>
    <n v="7111.87"/>
    <n v="2969.77"/>
    <n v="3510.5"/>
    <n v="153.46"/>
    <n v="36084.65"/>
    <n v="3357.04"/>
  </r>
  <r>
    <x v="5"/>
    <x v="0"/>
    <x v="0"/>
    <s v="3199102"/>
    <n v="700026"/>
    <s v="Salaries-RN-Other"/>
    <s v="Transition Unit"/>
    <x v="0"/>
    <n v="2000"/>
    <n v="6527.35"/>
    <n v="7662.94"/>
    <n v="9958.0300000000007"/>
    <n v="8640.07"/>
    <n v="4503.7"/>
    <n v="11447.54"/>
    <n v="17126.59"/>
    <n v="13417.93"/>
    <n v="19764.82"/>
    <n v="15745.47"/>
    <n v="7316.33"/>
    <n v="8374.09"/>
    <n v="130484.86"/>
    <n v="-1057.7600000000002"/>
  </r>
  <r>
    <x v="5"/>
    <x v="0"/>
    <x v="0"/>
    <s v="3199102"/>
    <n v="700032"/>
    <s v="Salaries-Other Pat Care Providers-Productive"/>
    <s v="Transition Unit"/>
    <x v="0"/>
    <m/>
    <n v="20982.52"/>
    <n v="15072.61"/>
    <n v="13786.77"/>
    <n v="18218.48"/>
    <n v="14423.3"/>
    <n v="23776.639999999999"/>
    <n v="25127.52"/>
    <n v="27522.49"/>
    <n v="24412.09"/>
    <n v="26232.42"/>
    <n v="15001.74"/>
    <n v="12926.7"/>
    <n v="237483.27999999997"/>
    <n v="2075.0399999999991"/>
  </r>
  <r>
    <x v="5"/>
    <x v="0"/>
    <x v="0"/>
    <s v="3199102"/>
    <n v="700032"/>
    <s v="Salaries-Other Pat Care Providers-OT"/>
    <s v="Transition Unit"/>
    <x v="0"/>
    <n v="1000"/>
    <n v="301.77999999999997"/>
    <n v="179.48"/>
    <n v="871.27"/>
    <n v="152.05000000000001"/>
    <n v="-288.27"/>
    <n v="552.28"/>
    <n v="1958.79"/>
    <n v="1095.1600000000001"/>
    <n v="402.61"/>
    <n v="3117.72"/>
    <n v="-664.31"/>
    <n v="-226.93"/>
    <n v="7451.6299999999992"/>
    <n v="-437.37999999999994"/>
  </r>
  <r>
    <x v="5"/>
    <x v="0"/>
    <x v="0"/>
    <s v="3199102"/>
    <n v="700032"/>
    <s v="Salaries-Other Pat Care Providers-Other"/>
    <s v="Transition Unit"/>
    <x v="0"/>
    <n v="2000"/>
    <n v="1043.56"/>
    <n v="930.02"/>
    <n v="874.82"/>
    <n v="982.3"/>
    <n v="963.36"/>
    <n v="1583.85"/>
    <n v="1851.64"/>
    <n v="1981.64"/>
    <n v="1516.72"/>
    <n v="2224.52"/>
    <n v="841.67"/>
    <n v="935.19"/>
    <n v="15729.289999999999"/>
    <n v="-93.520000000000095"/>
  </r>
  <r>
    <x v="5"/>
    <x v="0"/>
    <x v="0"/>
    <s v="3199102"/>
    <n v="700038"/>
    <s v="Salaries-Service/Support-Productive"/>
    <s v="Transition Unit"/>
    <x v="0"/>
    <m/>
    <n v="0"/>
    <n v="0"/>
    <n v="0"/>
    <n v="0"/>
    <n v="0"/>
    <n v="0"/>
    <n v="631.79999999999995"/>
    <n v="-73.42"/>
    <n v="0"/>
    <n v="0"/>
    <n v="0"/>
    <n v="0"/>
    <n v="558.38"/>
    <n v="0"/>
  </r>
  <r>
    <x v="5"/>
    <x v="0"/>
    <x v="0"/>
    <s v="3199102"/>
    <n v="700038"/>
    <s v="Salaries-Service/Support-OT"/>
    <s v="Transition Unit"/>
    <x v="0"/>
    <n v="1000"/>
    <n v="0"/>
    <n v="0"/>
    <n v="0"/>
    <n v="0"/>
    <n v="0"/>
    <n v="0"/>
    <n v="82.2"/>
    <n v="0"/>
    <n v="0"/>
    <n v="0"/>
    <n v="0"/>
    <n v="0"/>
    <n v="82.2"/>
    <n v="0"/>
  </r>
  <r>
    <x v="5"/>
    <x v="0"/>
    <x v="0"/>
    <s v="3199102"/>
    <n v="700038"/>
    <s v="Salaries-Service/Support-Other"/>
    <s v="Transition Unit"/>
    <x v="0"/>
    <n v="2000"/>
    <n v="0"/>
    <n v="0"/>
    <n v="0"/>
    <n v="0"/>
    <n v="0"/>
    <n v="0"/>
    <n v="16.940000000000001"/>
    <n v="-4.4400000000000004"/>
    <n v="0"/>
    <n v="0"/>
    <n v="0"/>
    <n v="0"/>
    <n v="12.5"/>
    <n v="0"/>
  </r>
  <r>
    <x v="5"/>
    <x v="0"/>
    <x v="0"/>
    <s v="3199102"/>
    <n v="700054"/>
    <s v="Salaries-Management-Non-productive"/>
    <s v="Transition Unit"/>
    <x v="0"/>
    <m/>
    <n v="0"/>
    <n v="0"/>
    <n v="0"/>
    <n v="0"/>
    <n v="0"/>
    <n v="0"/>
    <n v="0"/>
    <n v="0"/>
    <n v="0"/>
    <n v="0"/>
    <n v="0"/>
    <n v="913.3"/>
    <n v="913.3"/>
    <n v="-913.3"/>
  </r>
  <r>
    <x v="5"/>
    <x v="0"/>
    <x v="0"/>
    <s v="3199102"/>
    <n v="700066"/>
    <s v="Salaries-RN-Non-productive"/>
    <s v="Transition Unit"/>
    <x v="0"/>
    <m/>
    <n v="3510.08"/>
    <n v="4331.5200000000004"/>
    <n v="5414.16"/>
    <n v="2717.65"/>
    <n v="554.42999999999995"/>
    <n v="6138.62"/>
    <n v="2251.9299999999998"/>
    <n v="3120.01"/>
    <n v="8488.15"/>
    <n v="-392.15"/>
    <n v="6102.74"/>
    <n v="1159.1300000000001"/>
    <n v="43396.27"/>
    <n v="4943.6099999999997"/>
  </r>
  <r>
    <x v="5"/>
    <x v="0"/>
    <x v="0"/>
    <s v="3199102"/>
    <n v="700066"/>
    <s v="Salaries-RN-NonProd-Other"/>
    <s v="Transition Unit"/>
    <x v="0"/>
    <n v="2000"/>
    <n v="195.98"/>
    <n v="250.75"/>
    <n v="114.22"/>
    <n v="41.94"/>
    <n v="62.85"/>
    <n v="472.86"/>
    <n v="9.48"/>
    <n v="165.43"/>
    <n v="561.11"/>
    <n v="-58.16"/>
    <n v="301.42"/>
    <n v="294.55"/>
    <n v="2412.4300000000003"/>
    <n v="6.8700000000000045"/>
  </r>
  <r>
    <x v="5"/>
    <x v="0"/>
    <x v="0"/>
    <s v="3199102"/>
    <n v="700072"/>
    <s v="Salaries-Other Pat Care Providers-Non-productive"/>
    <s v="Transition Unit"/>
    <x v="0"/>
    <m/>
    <n v="1439.48"/>
    <n v="-210.75"/>
    <n v="1567.35"/>
    <n v="866.14"/>
    <n v="474.47"/>
    <n v="1750.23"/>
    <n v="367.2"/>
    <n v="2292.44"/>
    <n v="2115.92"/>
    <n v="939.53"/>
    <n v="1064.8699999999999"/>
    <n v="845.64"/>
    <n v="13512.52"/>
    <n v="219.2299999999999"/>
  </r>
  <r>
    <x v="5"/>
    <x v="0"/>
    <x v="0"/>
    <s v="3199102"/>
    <n v="700072"/>
    <s v="Salaries-Other Pat Care Providers-NonProd-Other"/>
    <s v="Transition Unit"/>
    <x v="0"/>
    <n v="2000"/>
    <n v="0"/>
    <n v="0"/>
    <n v="124.15"/>
    <n v="27.17"/>
    <n v="-15.17"/>
    <n v="64.989999999999995"/>
    <n v="22.15"/>
    <n v="107.15"/>
    <n v="95.44"/>
    <n v="-6.14"/>
    <n v="48.97"/>
    <n v="87.07"/>
    <n v="555.78"/>
    <n v="-38.099999999999994"/>
  </r>
  <r>
    <x v="5"/>
    <x v="0"/>
    <x v="0"/>
    <s v="3199102"/>
    <n v="700084"/>
    <s v="Accrued PTO"/>
    <s v="Transition Unit"/>
    <x v="0"/>
    <m/>
    <n v="-307.32"/>
    <n v="421.42"/>
    <n v="-1006.45"/>
    <n v="4309.3100000000004"/>
    <n v="3471.78"/>
    <n v="-603.55999999999995"/>
    <n v="2879.7"/>
    <n v="-670.18"/>
    <n v="-3152.21"/>
    <n v="1700.06"/>
    <n v="-872"/>
    <n v="754.61"/>
    <n v="6925.1600000000008"/>
    <n v="-1626.6100000000001"/>
  </r>
  <r>
    <x v="10"/>
    <x v="0"/>
    <x v="0"/>
    <s v="3199102"/>
    <n v="710060"/>
    <s v="Contract Labor-Other"/>
    <s v="Transition Unit"/>
    <x v="0"/>
    <m/>
    <n v="8307.5"/>
    <n v="-740"/>
    <n v="832.5"/>
    <n v="0"/>
    <n v="0"/>
    <n v="0"/>
    <n v="0"/>
    <n v="0"/>
    <n v="0"/>
    <n v="0"/>
    <n v="0"/>
    <n v="0"/>
    <n v="8400"/>
    <n v="0"/>
  </r>
  <r>
    <x v="10"/>
    <x v="0"/>
    <x v="0"/>
    <s v="3199102"/>
    <n v="710060"/>
    <s v="Contract Labor-Overtime"/>
    <s v="Transition Unit"/>
    <x v="0"/>
    <n v="5100"/>
    <n v="688.5"/>
    <n v="0"/>
    <n v="0"/>
    <n v="0"/>
    <n v="0"/>
    <n v="0"/>
    <n v="0"/>
    <n v="0"/>
    <n v="0"/>
    <n v="0"/>
    <n v="0"/>
    <n v="0"/>
    <n v="688.5"/>
    <n v="0"/>
  </r>
  <r>
    <x v="6"/>
    <x v="0"/>
    <x v="0"/>
    <s v="3199102"/>
    <n v="713010"/>
    <s v="Benefits-FICA/Medicare"/>
    <s v="Transition Unit"/>
    <x v="0"/>
    <m/>
    <n v="8838.1299999999992"/>
    <n v="8825.67"/>
    <n v="9876.99"/>
    <n v="9883.74"/>
    <n v="6369.91"/>
    <n v="12770.85"/>
    <n v="17090.47"/>
    <n v="14883.57"/>
    <n v="17953.37"/>
    <n v="15834.45"/>
    <n v="8109.08"/>
    <n v="9490.7999999999993"/>
    <n v="139927.03"/>
    <n v="-1381.7199999999993"/>
  </r>
  <r>
    <x v="6"/>
    <x v="0"/>
    <x v="0"/>
    <s v="3199102"/>
    <n v="713090"/>
    <s v="Benefits-Allocated Amounts"/>
    <s v="Transition Unit"/>
    <x v="0"/>
    <m/>
    <n v="23173.46"/>
    <n v="19342.95"/>
    <n v="24625.31"/>
    <n v="24843.61"/>
    <n v="16291.04"/>
    <n v="31083.759999999998"/>
    <n v="40375.769999999997"/>
    <n v="36257.47"/>
    <n v="39826.51"/>
    <n v="38949.78"/>
    <n v="20718.419999999998"/>
    <n v="23459.78"/>
    <n v="338947.86"/>
    <n v="-2741.3600000000006"/>
  </r>
  <r>
    <x v="11"/>
    <x v="0"/>
    <x v="0"/>
    <s v="3199102"/>
    <n v="721810"/>
    <s v="Supplies-Dietary/Cafeteria"/>
    <s v="Transition Unit"/>
    <x v="0"/>
    <m/>
    <n v="36.36"/>
    <n v="31.7"/>
    <n v="30.93"/>
    <n v="15.68"/>
    <n v="0"/>
    <n v="16"/>
    <n v="132.32"/>
    <n v="38.58"/>
    <n v="34.75"/>
    <n v="247.98"/>
    <n v="16"/>
    <n v="0"/>
    <n v="600.29999999999995"/>
    <n v="16"/>
  </r>
  <r>
    <x v="0"/>
    <x v="0"/>
    <x v="0"/>
    <s v="3199102"/>
    <n v="740020"/>
    <s v="Education-Registration Fees"/>
    <s v="Transition Unit"/>
    <x v="0"/>
    <m/>
    <n v="0"/>
    <n v="0"/>
    <n v="0"/>
    <n v="165"/>
    <n v="0"/>
    <n v="0"/>
    <n v="0"/>
    <n v="0"/>
    <n v="0"/>
    <n v="0"/>
    <n v="0"/>
    <n v="0"/>
    <n v="165"/>
    <n v="0"/>
  </r>
  <r>
    <x v="18"/>
    <x v="4"/>
    <x v="0"/>
    <s v="3199103"/>
    <n v="400010"/>
    <s v="Acute I/P Svcs Rev--Medicare"/>
    <s v="Transition Unit"/>
    <x v="0"/>
    <n v="1100"/>
    <n v="-70651.16"/>
    <n v="-87180.49"/>
    <n v="-160831.59"/>
    <n v="-204337.62"/>
    <n v="-97024.11"/>
    <n v="-182045.99"/>
    <n v="-335831.08"/>
    <n v="-391355.62"/>
    <n v="-403200.17"/>
    <n v="-211592.97"/>
    <n v="-243934.32"/>
    <n v="-112198.56"/>
    <n v="-2500183.6800000002"/>
    <n v="-131735.76"/>
  </r>
  <r>
    <x v="18"/>
    <x v="4"/>
    <x v="0"/>
    <s v="3199103"/>
    <n v="400010"/>
    <s v="Acute I/P Svcs Rev--Medicaid"/>
    <s v="Transition Unit"/>
    <x v="0"/>
    <n v="1200"/>
    <n v="-44670.41"/>
    <n v="-51542.17"/>
    <n v="-57225.86"/>
    <n v="-116530.92"/>
    <n v="-77600.679999999993"/>
    <n v="-81512.039999999994"/>
    <n v="-206620.62"/>
    <n v="-266272.23"/>
    <n v="-222330.98"/>
    <n v="-119094.04"/>
    <n v="-104246.66"/>
    <n v="-71884.240000000005"/>
    <n v="-1419530.8499999999"/>
    <n v="-32362.42"/>
  </r>
  <r>
    <x v="18"/>
    <x v="4"/>
    <x v="0"/>
    <s v="3199103"/>
    <n v="400010"/>
    <s v="Acute I/P Svcs Rev--Comm Insurance"/>
    <s v="Transition Unit"/>
    <x v="0"/>
    <n v="1300"/>
    <n v="-396.39"/>
    <n v="-2052.56"/>
    <n v="-2113.96"/>
    <n v="-3195.13"/>
    <n v="-382.89"/>
    <n v="382.89"/>
    <n v="-3235.75"/>
    <n v="-7484.4"/>
    <n v="1959.45"/>
    <n v="-5007.2"/>
    <n v="0"/>
    <n v="-3932.48"/>
    <n v="-25458.420000000002"/>
    <n v="3932.48"/>
  </r>
  <r>
    <x v="18"/>
    <x v="4"/>
    <x v="0"/>
    <s v="3199103"/>
    <n v="400010"/>
    <s v="Acute I/P Svcs Rev--BCBS Comm"/>
    <s v="Transition Unit"/>
    <x v="0"/>
    <n v="1301"/>
    <n v="-11221.47"/>
    <n v="-13105.91"/>
    <n v="-19379.650000000001"/>
    <n v="-117.12"/>
    <n v="-3171"/>
    <n v="-7676.39"/>
    <n v="-22647.78"/>
    <n v="-18132.68"/>
    <n v="-22296.82"/>
    <n v="-4738.32"/>
    <n v="-7572.02"/>
    <n v="-6920.28"/>
    <n v="-136979.44000000003"/>
    <n v="-651.74000000000069"/>
  </r>
  <r>
    <x v="18"/>
    <x v="4"/>
    <x v="0"/>
    <s v="3199103"/>
    <n v="400010"/>
    <s v="Acute I/P Svcs Rev--Managed Care"/>
    <s v="Transition Unit"/>
    <x v="0"/>
    <n v="1400"/>
    <n v="-19924.46"/>
    <n v="-17690.95"/>
    <n v="-24216.17"/>
    <n v="-21123.37"/>
    <n v="-18472.349999999999"/>
    <n v="-16942.419999999998"/>
    <n v="-32171.53"/>
    <n v="-55577.279999999999"/>
    <n v="-51971.199999999997"/>
    <n v="-17718.599999999999"/>
    <n v="-18218.04"/>
    <n v="-32527.16"/>
    <n v="-326553.52999999991"/>
    <n v="14309.119999999999"/>
  </r>
  <r>
    <x v="18"/>
    <x v="4"/>
    <x v="0"/>
    <s v="3199103"/>
    <n v="400010"/>
    <s v="Acute I/P Svcs Rev--Self Pay"/>
    <s v="Transition Unit"/>
    <x v="0"/>
    <n v="1500"/>
    <n v="2491.48"/>
    <n v="-6831.89"/>
    <n v="3425.55"/>
    <n v="-7280"/>
    <n v="-3741.01"/>
    <n v="-6342"/>
    <n v="-24705.43"/>
    <n v="-7068.41"/>
    <n v="-21551.200000000001"/>
    <n v="-13359.51"/>
    <n v="-8470.36"/>
    <n v="568.55999999999995"/>
    <n v="-92864.22"/>
    <n v="-9038.92"/>
  </r>
  <r>
    <x v="18"/>
    <x v="4"/>
    <x v="0"/>
    <s v="3199103"/>
    <n v="400010"/>
    <s v="Acute I/P Svcs Rev--Other"/>
    <s v="Transition Unit"/>
    <x v="0"/>
    <n v="1700"/>
    <n v="-4577.9799999999996"/>
    <n v="-6392.82"/>
    <n v="-20336.259999999998"/>
    <n v="-42640.56"/>
    <n v="-9358.5300000000007"/>
    <n v="-16667.29"/>
    <n v="-44344.72"/>
    <n v="-40067.599999999999"/>
    <n v="-56025.02"/>
    <n v="-16159.23"/>
    <n v="-21636.78"/>
    <n v="2752.64"/>
    <n v="-275454.15000000002"/>
    <n v="-24389.42"/>
  </r>
  <r>
    <x v="19"/>
    <x v="4"/>
    <x v="0"/>
    <s v="3199103"/>
    <n v="400020"/>
    <s v="O/P Care Svcs Rev--Medicare"/>
    <s v="Transition Unit"/>
    <x v="0"/>
    <n v="1100"/>
    <n v="-32155.09"/>
    <n v="-35521.129999999997"/>
    <n v="-49407.79"/>
    <n v="-77404.41"/>
    <n v="-39170.61"/>
    <n v="-40323.410000000003"/>
    <n v="-133118.92000000001"/>
    <n v="-196863.01"/>
    <n v="-116106.26"/>
    <n v="-50310.64"/>
    <n v="-33687.870000000003"/>
    <n v="-41828.879999999997"/>
    <n v="-845898.02000000014"/>
    <n v="8141.0099999999948"/>
  </r>
  <r>
    <x v="19"/>
    <x v="4"/>
    <x v="0"/>
    <s v="3199103"/>
    <n v="400020"/>
    <s v="O/P Care Svcs Rev--Medicaid"/>
    <s v="Transition Unit"/>
    <x v="0"/>
    <n v="1200"/>
    <n v="-24872.080000000002"/>
    <n v="-21481.33"/>
    <n v="-21919.91"/>
    <n v="-58002.75"/>
    <n v="-22591.88"/>
    <n v="-25862.11"/>
    <n v="-76370.95"/>
    <n v="-103766.23"/>
    <n v="-68894.490000000005"/>
    <n v="-55714.45"/>
    <n v="-22943.17"/>
    <n v="-14159.13"/>
    <n v="-516578.48"/>
    <n v="-8784.0399999999991"/>
  </r>
  <r>
    <x v="19"/>
    <x v="4"/>
    <x v="0"/>
    <s v="3199103"/>
    <n v="400020"/>
    <s v="O/P Care Svcs Rev--Comm Insurance"/>
    <s v="Transition Unit"/>
    <x v="0"/>
    <n v="1300"/>
    <n v="224.46"/>
    <n v="-1938.26"/>
    <n v="1414.24"/>
    <n v="-754.98"/>
    <n v="-5507.84"/>
    <n v="-2932.63"/>
    <n v="-4133.66"/>
    <n v="-6491.1"/>
    <n v="-4589.6000000000004"/>
    <n v="-1314.4"/>
    <n v="-2103.73"/>
    <n v="-1564.53"/>
    <n v="-29692.030000000002"/>
    <n v="-539.20000000000005"/>
  </r>
  <r>
    <x v="19"/>
    <x v="4"/>
    <x v="0"/>
    <s v="3199103"/>
    <n v="400020"/>
    <s v="O/P Care Svcs Rev--BCBS Comm"/>
    <s v="Transition Unit"/>
    <x v="0"/>
    <n v="1301"/>
    <n v="-9295.4500000000007"/>
    <n v="-1680.02"/>
    <n v="-770.28"/>
    <n v="-11286.04"/>
    <n v="-3616.81"/>
    <n v="-9595.1200000000008"/>
    <n v="-24111.54"/>
    <n v="-1822.09"/>
    <n v="-30782.32"/>
    <n v="-1196.8800000000001"/>
    <n v="4836.62"/>
    <n v="-1360.8"/>
    <n v="-90680.73000000001"/>
    <n v="6197.42"/>
  </r>
  <r>
    <x v="19"/>
    <x v="4"/>
    <x v="0"/>
    <s v="3199103"/>
    <n v="400020"/>
    <s v="O/P Care Svcs Rev--Managed Care"/>
    <s v="Transition Unit"/>
    <x v="0"/>
    <n v="1400"/>
    <n v="-8445.2099999999991"/>
    <n v="-2812.36"/>
    <n v="-8709.26"/>
    <n v="-17854.689999999999"/>
    <n v="-5822.76"/>
    <n v="-5752.31"/>
    <n v="-40097.919999999998"/>
    <n v="-57469.34"/>
    <n v="-39707.51"/>
    <n v="-17806.91"/>
    <n v="-1976.42"/>
    <n v="-4250.3599999999997"/>
    <n v="-210705.05000000002"/>
    <n v="2273.9399999999996"/>
  </r>
  <r>
    <x v="19"/>
    <x v="4"/>
    <x v="0"/>
    <s v="3199103"/>
    <n v="400020"/>
    <s v="O/P Care Svcs Rev--Self Pay"/>
    <s v="Transition Unit"/>
    <x v="0"/>
    <n v="1500"/>
    <n v="-6060.8"/>
    <n v="919.5"/>
    <n v="-5839.16"/>
    <n v="-1057.04"/>
    <n v="-5137.92"/>
    <n v="-1294.3"/>
    <n v="-7935.42"/>
    <n v="-9426.2900000000009"/>
    <n v="-6227.66"/>
    <n v="-10674.5"/>
    <n v="-1764.76"/>
    <n v="-4645.96"/>
    <n v="-59144.31"/>
    <n v="2881.2"/>
  </r>
  <r>
    <x v="19"/>
    <x v="4"/>
    <x v="0"/>
    <s v="3199103"/>
    <n v="400020"/>
    <s v="O/P Care Svcs Rev--Other"/>
    <s v="Transition Unit"/>
    <x v="0"/>
    <n v="1700"/>
    <n v="1717.43"/>
    <n v="-11323.5"/>
    <n v="-6877.97"/>
    <n v="-13185.08"/>
    <n v="-5468.24"/>
    <n v="-6747.15"/>
    <n v="-32919.58"/>
    <n v="-3333.78"/>
    <n v="-31824.36"/>
    <n v="-10433.6"/>
    <n v="-12064.77"/>
    <n v="-6386.48"/>
    <n v="-138847.08000000002"/>
    <n v="-5678.2900000000009"/>
  </r>
  <r>
    <x v="5"/>
    <x v="4"/>
    <x v="0"/>
    <s v="3199103"/>
    <n v="700026"/>
    <s v="Salaries-RN-Productive"/>
    <s v="Transition Unit"/>
    <x v="0"/>
    <m/>
    <n v="58999.49"/>
    <n v="51059.76"/>
    <n v="110839.9"/>
    <n v="160111.56"/>
    <n v="40130.67"/>
    <n v="107458.81"/>
    <n v="150761.16"/>
    <n v="181786.22"/>
    <n v="133023.67000000001"/>
    <n v="67358.740000000005"/>
    <n v="45336.21"/>
    <n v="55564.55"/>
    <n v="1162430.74"/>
    <n v="-10228.340000000004"/>
  </r>
  <r>
    <x v="5"/>
    <x v="4"/>
    <x v="0"/>
    <s v="3199103"/>
    <n v="700026"/>
    <s v="Salaries-RN-OT"/>
    <s v="Transition Unit"/>
    <x v="0"/>
    <n v="1000"/>
    <n v="3148.2"/>
    <n v="3100.12"/>
    <n v="3526.85"/>
    <n v="14906.51"/>
    <n v="1670.03"/>
    <n v="4714.5200000000004"/>
    <n v="6202.76"/>
    <n v="7967.92"/>
    <n v="8498.16"/>
    <n v="2320.73"/>
    <n v="651.35"/>
    <n v="1181.1400000000001"/>
    <n v="57888.289999999994"/>
    <n v="-529.79000000000008"/>
  </r>
  <r>
    <x v="5"/>
    <x v="4"/>
    <x v="0"/>
    <s v="3199103"/>
    <n v="700026"/>
    <s v="Salaries-RN-Other"/>
    <s v="Transition Unit"/>
    <x v="0"/>
    <n v="2000"/>
    <n v="5448.53"/>
    <n v="4724.58"/>
    <n v="8922.17"/>
    <n v="13689.33"/>
    <n v="4453.16"/>
    <n v="8413.67"/>
    <n v="14111.03"/>
    <n v="14141.19"/>
    <n v="12943.97"/>
    <n v="5687.66"/>
    <n v="3819.08"/>
    <n v="4435.82"/>
    <n v="100790.19"/>
    <n v="-616.73999999999978"/>
  </r>
  <r>
    <x v="5"/>
    <x v="4"/>
    <x v="0"/>
    <s v="3199103"/>
    <n v="700032"/>
    <s v="Salaries-Other Pat Care Providers-Productive"/>
    <s v="Transition Unit"/>
    <x v="0"/>
    <m/>
    <n v="8457.07"/>
    <n v="963.4"/>
    <n v="10107.709999999999"/>
    <n v="23804.93"/>
    <n v="17010.64"/>
    <n v="23796.85"/>
    <n v="25134.5"/>
    <n v="24669.93"/>
    <n v="25347.31"/>
    <n v="10824.53"/>
    <n v="11058.34"/>
    <n v="13050.15"/>
    <n v="194225.36"/>
    <n v="-1991.8099999999995"/>
  </r>
  <r>
    <x v="5"/>
    <x v="4"/>
    <x v="0"/>
    <s v="3199103"/>
    <n v="700032"/>
    <s v="Salaries-Other Pat Care Providers-OT"/>
    <s v="Transition Unit"/>
    <x v="0"/>
    <n v="1000"/>
    <n v="367.72"/>
    <n v="-31.8"/>
    <n v="21.18"/>
    <n v="1515.61"/>
    <n v="-79.48"/>
    <n v="520.61"/>
    <n v="1316.42"/>
    <n v="963.16"/>
    <n v="2190.1799999999998"/>
    <n v="256.45"/>
    <n v="264.14999999999998"/>
    <n v="176.06"/>
    <n v="7480.26"/>
    <n v="88.089999999999975"/>
  </r>
  <r>
    <x v="5"/>
    <x v="4"/>
    <x v="0"/>
    <s v="3199103"/>
    <n v="700032"/>
    <s v="Salaries-Other Pat Care Providers-Other"/>
    <s v="Transition Unit"/>
    <x v="0"/>
    <n v="2000"/>
    <n v="329.74"/>
    <n v="6.5"/>
    <n v="470.86"/>
    <n v="1085.48"/>
    <n v="1031.3699999999999"/>
    <n v="1320.04"/>
    <n v="1387.54"/>
    <n v="1326.05"/>
    <n v="1763.5"/>
    <n v="326.95999999999998"/>
    <n v="715.47"/>
    <n v="492.3"/>
    <n v="10255.809999999998"/>
    <n v="223.17000000000002"/>
  </r>
  <r>
    <x v="5"/>
    <x v="4"/>
    <x v="0"/>
    <s v="3199103"/>
    <n v="700038"/>
    <s v="Salaries-Service/Support-Productive"/>
    <s v="Transition Unit"/>
    <x v="0"/>
    <m/>
    <n v="0"/>
    <n v="0"/>
    <n v="0"/>
    <n v="289.06"/>
    <n v="-127.18"/>
    <n v="0"/>
    <n v="0"/>
    <n v="0"/>
    <n v="0"/>
    <n v="0"/>
    <n v="338.66"/>
    <n v="-128.99"/>
    <n v="371.55"/>
    <n v="467.65000000000003"/>
  </r>
  <r>
    <x v="5"/>
    <x v="4"/>
    <x v="0"/>
    <s v="3199103"/>
    <n v="700038"/>
    <s v="Salaries-Service/Support-Other"/>
    <s v="Transition Unit"/>
    <x v="0"/>
    <n v="2000"/>
    <n v="0"/>
    <n v="0"/>
    <n v="0"/>
    <n v="0"/>
    <n v="0"/>
    <n v="0"/>
    <n v="0"/>
    <n v="0"/>
    <n v="0"/>
    <n v="0"/>
    <n v="23.44"/>
    <n v="-9.1"/>
    <n v="14.340000000000002"/>
    <n v="32.54"/>
  </r>
  <r>
    <x v="5"/>
    <x v="4"/>
    <x v="0"/>
    <s v="3199103"/>
    <n v="700066"/>
    <s v="Salaries-RN-Non-productive"/>
    <s v="Transition Unit"/>
    <x v="0"/>
    <m/>
    <n v="0"/>
    <n v="0"/>
    <n v="0"/>
    <n v="0"/>
    <n v="0"/>
    <n v="0"/>
    <n v="0"/>
    <n v="0"/>
    <n v="0"/>
    <n v="254.85"/>
    <n v="0"/>
    <n v="0"/>
    <n v="254.85"/>
    <n v="0"/>
  </r>
  <r>
    <x v="5"/>
    <x v="4"/>
    <x v="0"/>
    <s v="3199103"/>
    <n v="700066"/>
    <s v="Salaries-RN-NonProd-Other"/>
    <s v="Transition Unit"/>
    <x v="0"/>
    <n v="2000"/>
    <n v="6.67"/>
    <n v="-1.17"/>
    <n v="0"/>
    <n v="38.17"/>
    <n v="16.739999999999998"/>
    <n v="14.61"/>
    <n v="72.69"/>
    <n v="83.97"/>
    <n v="29.91"/>
    <n v="0"/>
    <n v="0"/>
    <n v="0"/>
    <n v="261.58999999999997"/>
    <n v="0"/>
  </r>
  <r>
    <x v="5"/>
    <x v="4"/>
    <x v="0"/>
    <s v="3199103"/>
    <n v="700072"/>
    <s v="Salaries-Other Pat Care Providers-NonProd-Other"/>
    <s v="Transition Unit"/>
    <x v="0"/>
    <n v="2000"/>
    <n v="0"/>
    <n v="0"/>
    <n v="0"/>
    <n v="0"/>
    <n v="0"/>
    <n v="0"/>
    <n v="0"/>
    <n v="0"/>
    <n v="0"/>
    <n v="0"/>
    <n v="0"/>
    <n v="0"/>
    <n v="0"/>
    <n v="0"/>
  </r>
  <r>
    <x v="10"/>
    <x v="4"/>
    <x v="0"/>
    <s v="3199103"/>
    <n v="710060"/>
    <s v="Contract Labor-Other"/>
    <s v="Transition Unit"/>
    <x v="0"/>
    <m/>
    <n v="20065.75"/>
    <n v="26191.25"/>
    <n v="31018"/>
    <n v="12015.5"/>
    <n v="40346.5"/>
    <n v="71747.06"/>
    <n v="108664.75"/>
    <n v="71154.31"/>
    <n v="148524.70000000001"/>
    <n v="104714"/>
    <n v="51781.760000000002"/>
    <n v="38818.5"/>
    <n v="725042.08000000007"/>
    <n v="12963.260000000002"/>
  </r>
  <r>
    <x v="10"/>
    <x v="4"/>
    <x v="0"/>
    <s v="3199103"/>
    <n v="710060"/>
    <s v="Contract Labor-Overtime"/>
    <s v="Transition Unit"/>
    <x v="0"/>
    <n v="5100"/>
    <n v="1147.5"/>
    <n v="1147.5"/>
    <n v="0"/>
    <n v="0"/>
    <n v="0"/>
    <n v="1845.11"/>
    <n v="1976.4"/>
    <n v="734.4"/>
    <n v="4201.53"/>
    <n v="4779.67"/>
    <n v="0"/>
    <n v="0"/>
    <n v="15832.109999999999"/>
    <n v="0"/>
  </r>
  <r>
    <x v="10"/>
    <x v="4"/>
    <x v="0"/>
    <s v="3199103"/>
    <n v="710060"/>
    <s v="Contract Labor-Standby Wages"/>
    <s v="Transition Unit"/>
    <x v="0"/>
    <n v="5101"/>
    <n v="0"/>
    <n v="0"/>
    <n v="0"/>
    <n v="0"/>
    <n v="96"/>
    <n v="332"/>
    <n v="96"/>
    <n v="296"/>
    <n v="40"/>
    <n v="44"/>
    <n v="144"/>
    <n v="96"/>
    <n v="1144"/>
    <n v="48"/>
  </r>
  <r>
    <x v="6"/>
    <x v="4"/>
    <x v="0"/>
    <s v="3199103"/>
    <n v="713010"/>
    <s v="Benefits-FICA/Medicare"/>
    <s v="Transition Unit"/>
    <x v="0"/>
    <m/>
    <n v="5783.06"/>
    <n v="4516.49"/>
    <n v="9999.67"/>
    <n v="16165.89"/>
    <n v="4597.68"/>
    <n v="10935.26"/>
    <n v="14912.75"/>
    <n v="17284.53"/>
    <n v="13690.11"/>
    <n v="6543.28"/>
    <n v="4629.66"/>
    <n v="5576.84"/>
    <n v="114635.22"/>
    <n v="-947.18000000000029"/>
  </r>
  <r>
    <x v="6"/>
    <x v="4"/>
    <x v="0"/>
    <s v="3199103"/>
    <n v="713090"/>
    <s v="Benefits-Allocated Amounts"/>
    <s v="Transition Unit"/>
    <x v="0"/>
    <m/>
    <n v="14719.84"/>
    <n v="9456.7199999999993"/>
    <n v="24053.48"/>
    <n v="37926.22"/>
    <n v="13252.45"/>
    <n v="27260.080000000002"/>
    <n v="38134.76"/>
    <n v="43582.61"/>
    <n v="35106.36"/>
    <n v="18706.12"/>
    <n v="13419.12"/>
    <n v="16674.45"/>
    <n v="292292.20999999996"/>
    <n v="-3255.33"/>
  </r>
  <r>
    <x v="11"/>
    <x v="4"/>
    <x v="0"/>
    <s v="3199103"/>
    <n v="721010"/>
    <s v="Supplies-Medical - Billable"/>
    <s v="Transition Unit"/>
    <x v="0"/>
    <m/>
    <n v="0"/>
    <n v="0"/>
    <n v="0"/>
    <n v="54.17"/>
    <n v="8.7899999999999991"/>
    <n v="0"/>
    <n v="28.25"/>
    <n v="38.479999999999997"/>
    <n v="71.790000000000006"/>
    <n v="12.36"/>
    <n v="0"/>
    <n v="0"/>
    <n v="213.84000000000003"/>
    <n v="0"/>
  </r>
  <r>
    <x v="11"/>
    <x v="4"/>
    <x v="0"/>
    <s v="3199103"/>
    <n v="721010"/>
    <s v="Patient Monitoring"/>
    <s v="Transition Unit"/>
    <x v="0"/>
    <n v="1000"/>
    <n v="0"/>
    <n v="0"/>
    <n v="0"/>
    <n v="0"/>
    <n v="0"/>
    <n v="0"/>
    <n v="3.08"/>
    <n v="0"/>
    <n v="0"/>
    <n v="0"/>
    <n v="0"/>
    <n v="0"/>
    <n v="3.08"/>
    <n v="0"/>
  </r>
  <r>
    <x v="11"/>
    <x v="4"/>
    <x v="0"/>
    <s v="3199103"/>
    <n v="721240"/>
    <s v="Supplies-IV Solutions/Supplies - Billable"/>
    <s v="Transition Unit"/>
    <x v="0"/>
    <m/>
    <n v="0"/>
    <n v="0"/>
    <n v="0"/>
    <n v="13.35"/>
    <n v="17.8"/>
    <n v="0"/>
    <n v="1.95"/>
    <n v="53.4"/>
    <n v="5.85"/>
    <n v="0"/>
    <n v="0"/>
    <n v="0"/>
    <n v="92.35"/>
    <n v="0"/>
  </r>
  <r>
    <x v="11"/>
    <x v="4"/>
    <x v="0"/>
    <s v="3199103"/>
    <n v="721410"/>
    <s v="Supplies-Medical - Nonbillable"/>
    <s v="Transition Unit"/>
    <x v="0"/>
    <m/>
    <n v="0"/>
    <n v="0"/>
    <n v="23.18"/>
    <n v="54.99"/>
    <n v="98.02"/>
    <n v="8.2799999999999994"/>
    <n v="175.43"/>
    <n v="79.28"/>
    <n v="614.54"/>
    <n v="28.48"/>
    <n v="0"/>
    <n v="0"/>
    <n v="1082.1999999999998"/>
    <n v="0"/>
  </r>
  <r>
    <x v="11"/>
    <x v="4"/>
    <x v="0"/>
    <s v="3199103"/>
    <n v="721610"/>
    <s v="Supplies-Anesthesia - Nonbillable"/>
    <s v="Transition Unit"/>
    <x v="0"/>
    <m/>
    <n v="0"/>
    <n v="0"/>
    <n v="0"/>
    <n v="1.06"/>
    <n v="0"/>
    <n v="0"/>
    <n v="3.19"/>
    <n v="0"/>
    <n v="4.1900000000000004"/>
    <n v="0"/>
    <n v="0"/>
    <n v="0"/>
    <n v="8.4400000000000013"/>
    <n v="0"/>
  </r>
  <r>
    <x v="11"/>
    <x v="4"/>
    <x v="0"/>
    <s v="3199103"/>
    <n v="721640"/>
    <s v="Supplies-IV Solutions/Supplies - Nonbillable"/>
    <s v="Transition Unit"/>
    <x v="0"/>
    <m/>
    <n v="0"/>
    <n v="0"/>
    <n v="0"/>
    <n v="77.73"/>
    <n v="0"/>
    <n v="0"/>
    <n v="72.39"/>
    <n v="320.29000000000002"/>
    <n v="447.9"/>
    <n v="0"/>
    <n v="0"/>
    <n v="0"/>
    <n v="918.31"/>
    <n v="0"/>
  </r>
  <r>
    <x v="11"/>
    <x v="4"/>
    <x v="0"/>
    <s v="3199103"/>
    <n v="721710"/>
    <s v="Supplies-Laboratory - Nonbillable"/>
    <s v="Transition Unit"/>
    <x v="0"/>
    <m/>
    <n v="0"/>
    <n v="0"/>
    <n v="0"/>
    <n v="2.76"/>
    <n v="0"/>
    <n v="0"/>
    <n v="4.87"/>
    <n v="2.2000000000000002"/>
    <n v="22.61"/>
    <n v="0.79"/>
    <n v="0"/>
    <n v="0"/>
    <n v="33.229999999999997"/>
    <n v="0"/>
  </r>
  <r>
    <x v="11"/>
    <x v="4"/>
    <x v="0"/>
    <s v="3199103"/>
    <n v="721810"/>
    <s v="Supplies-Dietary/Cafeteria"/>
    <s v="Transition Unit"/>
    <x v="0"/>
    <m/>
    <n v="0"/>
    <n v="0"/>
    <n v="0"/>
    <n v="0"/>
    <n v="9.9499999999999993"/>
    <n v="7.69"/>
    <n v="6.51"/>
    <n v="7.47"/>
    <n v="2.25"/>
    <n v="10.52"/>
    <n v="0"/>
    <n v="0"/>
    <n v="44.39"/>
    <n v="0"/>
  </r>
  <r>
    <x v="11"/>
    <x v="4"/>
    <x v="0"/>
    <s v="3199103"/>
    <n v="721870"/>
    <s v="Supplies-Environmental Services"/>
    <s v="Transition Unit"/>
    <x v="0"/>
    <m/>
    <n v="0"/>
    <n v="0"/>
    <n v="0"/>
    <n v="15.15"/>
    <n v="15.15"/>
    <n v="0"/>
    <n v="15.15"/>
    <n v="0"/>
    <n v="20.7"/>
    <n v="15.15"/>
    <n v="0"/>
    <n v="0"/>
    <n v="81.300000000000011"/>
    <n v="0"/>
  </r>
  <r>
    <x v="11"/>
    <x v="4"/>
    <x v="0"/>
    <s v="3199103"/>
    <n v="721910"/>
    <s v="Supplies-Small Equipment"/>
    <s v="Transition Unit"/>
    <x v="0"/>
    <m/>
    <n v="0"/>
    <n v="0"/>
    <n v="0"/>
    <n v="0"/>
    <n v="0"/>
    <n v="16.91"/>
    <n v="0"/>
    <n v="0"/>
    <n v="23.91"/>
    <n v="0"/>
    <n v="0"/>
    <n v="0"/>
    <n v="40.82"/>
    <n v="0"/>
  </r>
  <r>
    <x v="0"/>
    <x v="4"/>
    <x v="0"/>
    <s v="3199103"/>
    <n v="749510"/>
    <s v="Miscellaneous Expenses"/>
    <s v="Transition Unit"/>
    <x v="0"/>
    <m/>
    <n v="0"/>
    <n v="0"/>
    <n v="0"/>
    <n v="0"/>
    <n v="0"/>
    <n v="38.47"/>
    <n v="0"/>
    <n v="0"/>
    <n v="0"/>
    <n v="0"/>
    <n v="0"/>
    <n v="0"/>
    <n v="38.47"/>
    <n v="0"/>
  </r>
  <r>
    <x v="18"/>
    <x v="8"/>
    <x v="0"/>
    <s v="3199104"/>
    <n v="400010"/>
    <s v="Acute I/P Svcs Rev--Medicare"/>
    <s v="Transition Unit"/>
    <x v="0"/>
    <n v="1100"/>
    <n v="-77808.38"/>
    <n v="-102052"/>
    <n v="-76773.8"/>
    <n v="-71413.820000000007"/>
    <n v="-47473.78"/>
    <n v="-121893.25"/>
    <n v="-111917.32"/>
    <n v="-143972.14000000001"/>
    <n v="-106652.71"/>
    <n v="-80769.55"/>
    <n v="-84880.320000000007"/>
    <n v="-94368.639999999999"/>
    <n v="-1119975.71"/>
    <n v="9488.3199999999924"/>
  </r>
  <r>
    <x v="18"/>
    <x v="8"/>
    <x v="0"/>
    <s v="3199104"/>
    <n v="400010"/>
    <s v="Acute I/P Svcs Rev--Medicaid"/>
    <s v="Transition Unit"/>
    <x v="0"/>
    <n v="1200"/>
    <n v="-25730.68"/>
    <n v="-21968"/>
    <n v="-41253.97"/>
    <n v="-35688.800000000003"/>
    <n v="-19559.759999999998"/>
    <n v="-20125.16"/>
    <n v="-25837.89"/>
    <n v="-29803.03"/>
    <n v="-16449.36"/>
    <n v="-18177.59"/>
    <n v="-24551.84"/>
    <n v="-24456.14"/>
    <n v="-303602.22000000003"/>
    <n v="-95.700000000000728"/>
  </r>
  <r>
    <x v="18"/>
    <x v="8"/>
    <x v="0"/>
    <s v="3199104"/>
    <n v="400010"/>
    <s v="Acute I/P Svcs Rev--Comm Insurance"/>
    <s v="Transition Unit"/>
    <x v="0"/>
    <n v="1300"/>
    <n v="-3204.07"/>
    <n v="-790.18"/>
    <n v="-3553.93"/>
    <n v="1609.79"/>
    <n v="-2666.49"/>
    <n v="0"/>
    <n v="-981.86"/>
    <n v="-3518.3"/>
    <n v="-1595.51"/>
    <n v="333.69"/>
    <n v="-1541.63"/>
    <n v="-1921.16"/>
    <n v="-17829.650000000001"/>
    <n v="379.53"/>
  </r>
  <r>
    <x v="18"/>
    <x v="8"/>
    <x v="0"/>
    <s v="3199104"/>
    <n v="400010"/>
    <s v="Acute I/P Svcs Rev--BCBS Comm"/>
    <s v="Transition Unit"/>
    <x v="0"/>
    <n v="1301"/>
    <n v="-6135.97"/>
    <n v="-6591.78"/>
    <n v="-22919.19"/>
    <n v="-7885.4"/>
    <n v="-10094.620000000001"/>
    <n v="-2999.41"/>
    <n v="-8517.0400000000009"/>
    <n v="-3530.45"/>
    <n v="-5548.63"/>
    <n v="-16259.41"/>
    <n v="-6456.15"/>
    <n v="-3538.16"/>
    <n v="-100476.21000000002"/>
    <n v="-2917.99"/>
  </r>
  <r>
    <x v="18"/>
    <x v="8"/>
    <x v="0"/>
    <s v="3199104"/>
    <n v="400010"/>
    <s v="Acute I/P Svcs Rev--Managed Care"/>
    <s v="Transition Unit"/>
    <x v="0"/>
    <n v="1400"/>
    <n v="-22814.9"/>
    <n v="-13793.67"/>
    <n v="-35552.589999999997"/>
    <n v="-21967.62"/>
    <n v="-15031.17"/>
    <n v="-31912.639999999999"/>
    <n v="-18932.349999999999"/>
    <n v="-14820.29"/>
    <n v="-27711.5"/>
    <n v="-10488.29"/>
    <n v="-23979.31"/>
    <n v="-9991.65"/>
    <n v="-246995.98"/>
    <n v="-13987.660000000002"/>
  </r>
  <r>
    <x v="18"/>
    <x v="8"/>
    <x v="0"/>
    <s v="3199104"/>
    <n v="400010"/>
    <s v="Acute I/P Svcs Rev--Self Pay"/>
    <s v="Transition Unit"/>
    <x v="0"/>
    <n v="1500"/>
    <n v="-1860.1"/>
    <n v="-2859.72"/>
    <n v="-7187.77"/>
    <n v="-5095.6000000000004"/>
    <n v="2228.34"/>
    <n v="-1070.33"/>
    <n v="-1810.1"/>
    <n v="-272.16000000000003"/>
    <n v="-737.47"/>
    <n v="308.5"/>
    <n v="-6879.54"/>
    <n v="-967.34"/>
    <n v="-26203.290000000005"/>
    <n v="-5912.2"/>
  </r>
  <r>
    <x v="18"/>
    <x v="8"/>
    <x v="0"/>
    <s v="3199104"/>
    <n v="400010"/>
    <s v="Acute I/P Svcs Rev--Other"/>
    <s v="Transition Unit"/>
    <x v="0"/>
    <n v="1700"/>
    <n v="-10819.74"/>
    <n v="-5916.18"/>
    <n v="-1439.27"/>
    <n v="-4481.2"/>
    <n v="-3091.7"/>
    <n v="-11293.28"/>
    <n v="-5206.6400000000003"/>
    <n v="-8938.43"/>
    <n v="-15673.78"/>
    <n v="-4641.6099999999997"/>
    <n v="-6285.47"/>
    <n v="-9346.09"/>
    <n v="-87133.39"/>
    <n v="3060.62"/>
  </r>
  <r>
    <x v="19"/>
    <x v="8"/>
    <x v="0"/>
    <s v="3199104"/>
    <n v="400020"/>
    <s v="O/P Care Svcs Rev--Medicare"/>
    <s v="Transition Unit"/>
    <x v="0"/>
    <n v="1100"/>
    <n v="-16931.89"/>
    <n v="-20754.68"/>
    <n v="-16153.37"/>
    <n v="-22736.98"/>
    <n v="-21740.14"/>
    <n v="-26674.07"/>
    <n v="-26132.26"/>
    <n v="-49535.96"/>
    <n v="-23591.95"/>
    <n v="-20390.37"/>
    <n v="-27401.65"/>
    <n v="-16707.490000000002"/>
    <n v="-288750.81"/>
    <n v="-10694.16"/>
  </r>
  <r>
    <x v="19"/>
    <x v="8"/>
    <x v="0"/>
    <s v="3199104"/>
    <n v="400020"/>
    <s v="O/P Care Svcs Rev--Medicaid"/>
    <s v="Transition Unit"/>
    <x v="0"/>
    <n v="1200"/>
    <n v="-5787.1"/>
    <n v="-6741.16"/>
    <n v="-8851.0499999999993"/>
    <n v="-6501.61"/>
    <n v="-8011.12"/>
    <n v="-6229.18"/>
    <n v="-4584.28"/>
    <n v="-21097.8"/>
    <n v="-8658.68"/>
    <n v="-4522.79"/>
    <n v="-5778.82"/>
    <n v="-4690.83"/>
    <n v="-91454.42"/>
    <n v="-1087.9899999999998"/>
  </r>
  <r>
    <x v="19"/>
    <x v="8"/>
    <x v="0"/>
    <s v="3199104"/>
    <n v="400020"/>
    <s v="O/P Care Svcs Rev--Comm Insurance"/>
    <s v="Transition Unit"/>
    <x v="0"/>
    <n v="1300"/>
    <n v="-1562.66"/>
    <n v="711.34"/>
    <n v="-127.63"/>
    <n v="-1434.66"/>
    <n v="-2001.34"/>
    <n v="-1185.0999999999999"/>
    <n v="-490.94"/>
    <n v="-1420.99"/>
    <n v="-889.76"/>
    <n v="-733.79"/>
    <n v="-247.37"/>
    <n v="-289.06"/>
    <n v="-9671.9599999999991"/>
    <n v="41.69"/>
  </r>
  <r>
    <x v="19"/>
    <x v="8"/>
    <x v="0"/>
    <s v="3199104"/>
    <n v="400020"/>
    <s v="O/P Care Svcs Rev--BCBS Comm"/>
    <s v="Transition Unit"/>
    <x v="0"/>
    <n v="1301"/>
    <n v="-3099.75"/>
    <n v="-1631.94"/>
    <n v="-2741.44"/>
    <n v="-3437.9"/>
    <n v="-4299.3900000000003"/>
    <n v="-1534.14"/>
    <n v="-3396.26"/>
    <n v="-4754.8100000000004"/>
    <n v="-4279.01"/>
    <n v="-2458.37"/>
    <n v="-4574.75"/>
    <n v="-5004.84"/>
    <n v="-41212.599999999991"/>
    <n v="430.09000000000015"/>
  </r>
  <r>
    <x v="19"/>
    <x v="8"/>
    <x v="0"/>
    <s v="3199104"/>
    <n v="400020"/>
    <s v="O/P Care Svcs Rev--Managed Care"/>
    <s v="Transition Unit"/>
    <x v="0"/>
    <n v="1400"/>
    <n v="-2039.23"/>
    <n v="-4839.72"/>
    <n v="-15185.64"/>
    <n v="-8774.1"/>
    <n v="-8078.74"/>
    <n v="-4368.67"/>
    <n v="-13931.67"/>
    <n v="-6805.37"/>
    <n v="-4040.03"/>
    <n v="-10170.09"/>
    <n v="-9357.9599999999991"/>
    <n v="-10072.67"/>
    <n v="-97663.89"/>
    <n v="714.71000000000095"/>
  </r>
  <r>
    <x v="19"/>
    <x v="8"/>
    <x v="0"/>
    <s v="3199104"/>
    <n v="400020"/>
    <s v="O/P Care Svcs Rev--Self Pay"/>
    <s v="Transition Unit"/>
    <x v="0"/>
    <n v="1500"/>
    <n v="-731.12"/>
    <n v="363.31"/>
    <n v="0"/>
    <n v="-612.49"/>
    <n v="0"/>
    <n v="-569.86"/>
    <n v="-750.7"/>
    <n v="-5345.29"/>
    <n v="-494.74"/>
    <n v="-262.88"/>
    <n v="-403.6"/>
    <n v="-797.92"/>
    <n v="-9605.2899999999991"/>
    <n v="394.31999999999994"/>
  </r>
  <r>
    <x v="19"/>
    <x v="8"/>
    <x v="0"/>
    <s v="3199104"/>
    <n v="400020"/>
    <s v="O/P Care Svcs Rev--Other"/>
    <s v="Transition Unit"/>
    <x v="0"/>
    <n v="1700"/>
    <n v="-259.76"/>
    <n v="-367.81"/>
    <n v="-656.15"/>
    <n v="-2355.4699999999998"/>
    <n v="-1455.82"/>
    <n v="-2338.65"/>
    <n v="-3436.37"/>
    <n v="-932.6"/>
    <n v="-3349.58"/>
    <n v="-2534.15"/>
    <n v="-1941.96"/>
    <n v="-1544.27"/>
    <n v="-21172.59"/>
    <n v="-397.69000000000005"/>
  </r>
  <r>
    <x v="5"/>
    <x v="8"/>
    <x v="0"/>
    <s v="3199104"/>
    <n v="700026"/>
    <s v="Salaries-RN-Productive"/>
    <s v="Transition Unit"/>
    <x v="0"/>
    <m/>
    <n v="23792.73"/>
    <n v="24333.33"/>
    <n v="27505.919999999998"/>
    <n v="31165.93"/>
    <n v="17471.66"/>
    <n v="29813.54"/>
    <n v="27266.6"/>
    <n v="32057.13"/>
    <n v="29419.53"/>
    <n v="18869.96"/>
    <n v="18722.79"/>
    <n v="13778.26"/>
    <n v="294197.38"/>
    <n v="4944.5300000000007"/>
  </r>
  <r>
    <x v="5"/>
    <x v="8"/>
    <x v="0"/>
    <s v="3199104"/>
    <n v="700026"/>
    <s v="Salaries-RN-OT"/>
    <s v="Transition Unit"/>
    <x v="0"/>
    <n v="1000"/>
    <n v="744.73"/>
    <n v="425.29"/>
    <n v="1180.67"/>
    <n v="231.19"/>
    <n v="73.290000000000006"/>
    <n v="766.53"/>
    <n v="1015.4"/>
    <n v="942.04"/>
    <n v="335.54"/>
    <n v="1244.8599999999999"/>
    <n v="-289.76"/>
    <n v="303.18"/>
    <n v="6972.9599999999991"/>
    <n v="-592.94000000000005"/>
  </r>
  <r>
    <x v="5"/>
    <x v="8"/>
    <x v="0"/>
    <s v="3199104"/>
    <n v="700026"/>
    <s v="Salaries-RN-Other"/>
    <s v="Transition Unit"/>
    <x v="0"/>
    <n v="2000"/>
    <n v="2271.35"/>
    <n v="2717.41"/>
    <n v="2402.0700000000002"/>
    <n v="3249.99"/>
    <n v="1237.03"/>
    <n v="2556.38"/>
    <n v="2102.06"/>
    <n v="2462.29"/>
    <n v="2327.29"/>
    <n v="1486.31"/>
    <n v="1664.84"/>
    <n v="1383.66"/>
    <n v="25860.680000000004"/>
    <n v="281.17999999999984"/>
  </r>
  <r>
    <x v="5"/>
    <x v="8"/>
    <x v="0"/>
    <s v="3199104"/>
    <n v="700032"/>
    <s v="Salaries-Other Pat Care Providers-Productive"/>
    <s v="Transition Unit"/>
    <x v="0"/>
    <m/>
    <n v="247.16"/>
    <n v="467.71"/>
    <n v="166.17"/>
    <n v="117.41"/>
    <n v="214.43"/>
    <n v="628.03"/>
    <n v="241.55"/>
    <n v="396.55"/>
    <n v="867.27"/>
    <n v="157.66999999999999"/>
    <n v="618.26"/>
    <n v="-83.27"/>
    <n v="4038.94"/>
    <n v="701.53"/>
  </r>
  <r>
    <x v="5"/>
    <x v="8"/>
    <x v="0"/>
    <s v="3199104"/>
    <n v="700032"/>
    <s v="Salaries-Other Pat Care Providers-OT"/>
    <s v="Transition Unit"/>
    <x v="0"/>
    <n v="1000"/>
    <n v="0"/>
    <n v="0"/>
    <n v="0"/>
    <n v="0"/>
    <n v="0"/>
    <n v="7.86"/>
    <n v="-0.98"/>
    <n v="187.41"/>
    <n v="6.78"/>
    <n v="0"/>
    <n v="0"/>
    <n v="0"/>
    <n v="201.07"/>
    <n v="0"/>
  </r>
  <r>
    <x v="5"/>
    <x v="8"/>
    <x v="0"/>
    <s v="3199104"/>
    <n v="700032"/>
    <s v="Salaries-Other Pat Care Providers-Other"/>
    <s v="Transition Unit"/>
    <x v="0"/>
    <n v="2000"/>
    <n v="29.83"/>
    <n v="3.48"/>
    <n v="5.95"/>
    <n v="8.56"/>
    <n v="9.7799999999999994"/>
    <n v="26.89"/>
    <n v="30.1"/>
    <n v="84.32"/>
    <n v="28.97"/>
    <n v="9.41"/>
    <n v="95.84"/>
    <n v="-35.090000000000003"/>
    <n v="298.03999999999996"/>
    <n v="130.93"/>
  </r>
  <r>
    <x v="5"/>
    <x v="8"/>
    <x v="0"/>
    <s v="3199104"/>
    <n v="700038"/>
    <s v="Salaries-Service/Support-Productive"/>
    <s v="Transition Unit"/>
    <x v="0"/>
    <m/>
    <n v="2823.53"/>
    <n v="2095.56"/>
    <n v="3104.82"/>
    <n v="2843.92"/>
    <n v="2961.68"/>
    <n v="2426.5100000000002"/>
    <n v="3285.35"/>
    <n v="2483.6"/>
    <n v="3052.91"/>
    <n v="3131.72"/>
    <n v="2503.37"/>
    <n v="2848.33"/>
    <n v="33561.299999999996"/>
    <n v="-344.96000000000004"/>
  </r>
  <r>
    <x v="5"/>
    <x v="8"/>
    <x v="0"/>
    <s v="3199104"/>
    <n v="700038"/>
    <s v="Salaries-Service/Support-OT"/>
    <s v="Transition Unit"/>
    <x v="0"/>
    <n v="1000"/>
    <n v="23.47"/>
    <n v="0"/>
    <n v="0"/>
    <n v="23.05"/>
    <n v="0"/>
    <n v="11.87"/>
    <n v="32.89"/>
    <n v="-8.65"/>
    <n v="0"/>
    <n v="20.37"/>
    <n v="-8.48"/>
    <n v="0"/>
    <n v="94.52"/>
    <n v="-8.48"/>
  </r>
  <r>
    <x v="5"/>
    <x v="8"/>
    <x v="0"/>
    <s v="3199104"/>
    <n v="700038"/>
    <s v="Salaries-Service/Support-Other"/>
    <s v="Transition Unit"/>
    <x v="0"/>
    <n v="2000"/>
    <n v="10.06"/>
    <n v="-1"/>
    <n v="0"/>
    <n v="0"/>
    <n v="0"/>
    <n v="0"/>
    <n v="0"/>
    <n v="0"/>
    <n v="0"/>
    <n v="0"/>
    <n v="0"/>
    <n v="0"/>
    <n v="9.06"/>
    <n v="0"/>
  </r>
  <r>
    <x v="5"/>
    <x v="8"/>
    <x v="0"/>
    <s v="3199104"/>
    <n v="700066"/>
    <s v="Salaries-RN-NonProd-Other"/>
    <s v="Transition Unit"/>
    <x v="0"/>
    <n v="2000"/>
    <n v="115.21"/>
    <n v="0"/>
    <n v="0"/>
    <n v="23.6"/>
    <n v="0"/>
    <n v="0"/>
    <n v="0.49"/>
    <n v="10.55"/>
    <n v="-2.77"/>
    <n v="0"/>
    <n v="0"/>
    <n v="0"/>
    <n v="147.08000000000001"/>
    <n v="0"/>
  </r>
  <r>
    <x v="5"/>
    <x v="8"/>
    <x v="0"/>
    <s v="3199104"/>
    <n v="700072"/>
    <s v="Salaries-Other Pat Care Providers-NonProd-Other"/>
    <s v="Transition Unit"/>
    <x v="0"/>
    <n v="2000"/>
    <n v="0"/>
    <n v="0"/>
    <n v="0"/>
    <n v="0"/>
    <n v="0"/>
    <n v="0"/>
    <n v="0"/>
    <n v="6.42"/>
    <n v="-1.68"/>
    <n v="0"/>
    <n v="0"/>
    <n v="0"/>
    <n v="4.74"/>
    <n v="0"/>
  </r>
  <r>
    <x v="10"/>
    <x v="8"/>
    <x v="0"/>
    <s v="3199104"/>
    <n v="710060"/>
    <s v="Contract Labor-Other"/>
    <s v="Transition Unit"/>
    <x v="0"/>
    <m/>
    <n v="1401.75"/>
    <n v="834.25"/>
    <n v="680"/>
    <n v="0"/>
    <n v="476"/>
    <n v="0"/>
    <n v="0"/>
    <n v="952"/>
    <n v="1632"/>
    <n v="0"/>
    <n v="816"/>
    <n v="0"/>
    <n v="6792"/>
    <n v="816"/>
  </r>
  <r>
    <x v="6"/>
    <x v="8"/>
    <x v="0"/>
    <s v="3199104"/>
    <n v="713010"/>
    <s v="Benefits-FICA/Medicare"/>
    <s v="Transition Unit"/>
    <x v="0"/>
    <m/>
    <n v="2254.84"/>
    <n v="2246.54"/>
    <n v="2545.23"/>
    <n v="2793.57"/>
    <n v="1586.4"/>
    <n v="2572.5300000000002"/>
    <n v="2533.4299999999998"/>
    <n v="2870.8"/>
    <n v="2712.11"/>
    <n v="1847.1"/>
    <n v="1710.89"/>
    <n v="1376.48"/>
    <n v="27049.919999999998"/>
    <n v="334.41000000000008"/>
  </r>
  <r>
    <x v="6"/>
    <x v="8"/>
    <x v="0"/>
    <s v="3199104"/>
    <n v="713090"/>
    <s v="Benefits-Allocated Amounts"/>
    <s v="Transition Unit"/>
    <x v="0"/>
    <m/>
    <n v="5533.14"/>
    <n v="4578.29"/>
    <n v="5915.33"/>
    <n v="6506.5"/>
    <n v="3832.1"/>
    <n v="5899.49"/>
    <n v="5873.62"/>
    <n v="7137.25"/>
    <n v="6164.13"/>
    <n v="5022.79"/>
    <n v="4308.55"/>
    <n v="3465.12"/>
    <n v="64236.310000000005"/>
    <n v="843.43000000000029"/>
  </r>
  <r>
    <x v="11"/>
    <x v="8"/>
    <x v="0"/>
    <s v="3199104"/>
    <n v="721010"/>
    <s v="Patient Monitoring"/>
    <s v="Transition Unit"/>
    <x v="0"/>
    <n v="1000"/>
    <n v="0"/>
    <n v="18.29"/>
    <n v="0"/>
    <n v="0"/>
    <n v="0"/>
    <n v="0"/>
    <n v="0"/>
    <n v="0"/>
    <n v="0"/>
    <n v="0"/>
    <n v="0"/>
    <n v="0"/>
    <n v="18.29"/>
    <n v="0"/>
  </r>
  <r>
    <x v="11"/>
    <x v="8"/>
    <x v="0"/>
    <s v="3199104"/>
    <n v="721420"/>
    <s v="Tubes Drains &amp; Related Supplies"/>
    <s v="Transition Unit"/>
    <x v="0"/>
    <n v="1008"/>
    <n v="0"/>
    <n v="10.039999999999999"/>
    <n v="0"/>
    <n v="0"/>
    <n v="0"/>
    <n v="0"/>
    <n v="0"/>
    <n v="0"/>
    <n v="0"/>
    <n v="0"/>
    <n v="0"/>
    <n v="0"/>
    <n v="10.039999999999999"/>
    <n v="0"/>
  </r>
  <r>
    <x v="11"/>
    <x v="8"/>
    <x v="0"/>
    <s v="3199104"/>
    <n v="721810"/>
    <s v="Supplies-Dietary/Cafeteria"/>
    <s v="Transition Unit"/>
    <x v="0"/>
    <m/>
    <n v="0"/>
    <n v="0"/>
    <n v="0"/>
    <n v="0"/>
    <n v="6.24"/>
    <n v="0"/>
    <n v="0"/>
    <n v="0"/>
    <n v="0"/>
    <n v="0"/>
    <n v="0"/>
    <n v="0"/>
    <n v="6.24"/>
    <n v="0"/>
  </r>
  <r>
    <x v="11"/>
    <x v="8"/>
    <x v="0"/>
    <s v="3199104"/>
    <n v="721910"/>
    <s v="Supplies-Small Equipment"/>
    <s v="Transition Unit"/>
    <x v="0"/>
    <m/>
    <n v="0"/>
    <n v="0"/>
    <n v="0"/>
    <n v="-435.04"/>
    <n v="0"/>
    <n v="0"/>
    <n v="0"/>
    <n v="0"/>
    <n v="0"/>
    <n v="0"/>
    <n v="0"/>
    <n v="0"/>
    <n v="-435.04"/>
    <n v="0"/>
  </r>
  <r>
    <x v="12"/>
    <x v="8"/>
    <x v="0"/>
    <s v="3199104"/>
    <n v="730020"/>
    <s v="Rental and Leases-Equipment (DO NOT USE)"/>
    <s v="Transition Unit"/>
    <x v="0"/>
    <m/>
    <n v="0"/>
    <n v="0"/>
    <n v="0"/>
    <n v="-420"/>
    <n v="-247.38"/>
    <n v="0"/>
    <n v="0"/>
    <n v="0"/>
    <n v="0"/>
    <n v="0"/>
    <n v="0"/>
    <n v="0"/>
    <n v="-667.38"/>
    <n v="0"/>
  </r>
  <r>
    <x v="18"/>
    <x v="5"/>
    <x v="0"/>
    <s v="3199106"/>
    <n v="400010"/>
    <s v="Acute I/P Svcs Rev--Medicare"/>
    <s v="Transition Unit"/>
    <x v="0"/>
    <n v="1100"/>
    <n v="-52493.07"/>
    <n v="-55602.67"/>
    <n v="-45922.43"/>
    <n v="-41441.39"/>
    <n v="-43587.34"/>
    <n v="-116946.15"/>
    <n v="-374807.01"/>
    <n v="-434374.23"/>
    <n v="-349419.52000000002"/>
    <n v="-182739.92"/>
    <n v="-164617.38"/>
    <n v="-306335.15999999997"/>
    <n v="-2168286.27"/>
    <n v="141717.77999999997"/>
  </r>
  <r>
    <x v="18"/>
    <x v="5"/>
    <x v="0"/>
    <s v="3199106"/>
    <n v="400010"/>
    <s v="Acute I/P Svcs Rev--Medicaid"/>
    <s v="Transition Unit"/>
    <x v="0"/>
    <n v="1200"/>
    <n v="-20418.45"/>
    <n v="-81371.37"/>
    <n v="-30571.82"/>
    <n v="-28831.24"/>
    <n v="-39625.160000000003"/>
    <n v="-111681.26"/>
    <n v="-225724.28"/>
    <n v="-209315.89"/>
    <n v="-155177.48000000001"/>
    <n v="-170618.62"/>
    <n v="-117846.44"/>
    <n v="-112388.2"/>
    <n v="-1303570.2099999997"/>
    <n v="-5458.2400000000052"/>
  </r>
  <r>
    <x v="18"/>
    <x v="5"/>
    <x v="0"/>
    <s v="3199106"/>
    <n v="400010"/>
    <s v="Acute I/P Svcs Rev--Comm Insurance"/>
    <s v="Transition Unit"/>
    <x v="0"/>
    <n v="1300"/>
    <n v="-5736.92"/>
    <n v="22697.85"/>
    <n v="13095.89"/>
    <n v="8751"/>
    <n v="-101187"/>
    <n v="55134"/>
    <n v="2823.43"/>
    <n v="-11476.43"/>
    <n v="-6548"/>
    <n v="-19249.88"/>
    <n v="-6358.12"/>
    <n v="-1423.4"/>
    <n v="-49477.58"/>
    <n v="-4934.7199999999993"/>
  </r>
  <r>
    <x v="18"/>
    <x v="5"/>
    <x v="0"/>
    <s v="3199106"/>
    <n v="400010"/>
    <s v="Acute I/P Svcs Rev--BCBS Comm"/>
    <s v="Transition Unit"/>
    <x v="0"/>
    <n v="1301"/>
    <n v="-9103"/>
    <n v="-3190.63"/>
    <n v="-12342.89"/>
    <n v="-6744.52"/>
    <n v="-3322.76"/>
    <n v="-9405"/>
    <n v="-63540.31"/>
    <n v="3946.85"/>
    <n v="-3286.44"/>
    <n v="-6351.76"/>
    <n v="-6287.04"/>
    <n v="-20838.32"/>
    <n v="-140465.81999999998"/>
    <n v="14551.279999999999"/>
  </r>
  <r>
    <x v="18"/>
    <x v="5"/>
    <x v="0"/>
    <s v="3199106"/>
    <n v="400010"/>
    <s v="Acute I/P Svcs Rev--Managed Care"/>
    <s v="Transition Unit"/>
    <x v="0"/>
    <n v="1400"/>
    <n v="-31852.959999999999"/>
    <n v="-1063.17"/>
    <n v="-6616.93"/>
    <n v="-7636.05"/>
    <n v="-6636.52"/>
    <n v="-35252.53"/>
    <n v="-55429.79"/>
    <n v="-139242.32999999999"/>
    <n v="-51635.519999999997"/>
    <n v="-30334.62"/>
    <n v="-10210"/>
    <n v="-19288.080000000002"/>
    <n v="-395198.50000000006"/>
    <n v="9078.0800000000017"/>
  </r>
  <r>
    <x v="18"/>
    <x v="5"/>
    <x v="0"/>
    <s v="3199106"/>
    <n v="400010"/>
    <s v="Acute I/P Svcs Rev--Self Pay"/>
    <s v="Transition Unit"/>
    <x v="0"/>
    <n v="1500"/>
    <n v="-3403"/>
    <n v="-3327.26"/>
    <n v="-2917"/>
    <n v="-3063"/>
    <n v="-15315"/>
    <n v="-108"/>
    <n v="-15843.89"/>
    <n v="-18654"/>
    <n v="-14303"/>
    <n v="-3746.56"/>
    <n v="-8894"/>
    <n v="-9465"/>
    <n v="-99039.709999999992"/>
    <n v="571"/>
  </r>
  <r>
    <x v="18"/>
    <x v="5"/>
    <x v="0"/>
    <s v="3199106"/>
    <n v="400010"/>
    <s v="Acute I/P Svcs Rev--Other"/>
    <s v="Transition Unit"/>
    <x v="0"/>
    <n v="1700"/>
    <n v="-132.13"/>
    <n v="-127.63"/>
    <n v="0"/>
    <n v="0"/>
    <n v="-3063"/>
    <n v="-3063"/>
    <n v="-6613.5"/>
    <n v="-4431.4799999999996"/>
    <n v="-11138.88"/>
    <n v="-3003.12"/>
    <n v="0"/>
    <n v="-9465"/>
    <n v="-41037.739999999991"/>
    <n v="9465"/>
  </r>
  <r>
    <x v="19"/>
    <x v="5"/>
    <x v="0"/>
    <s v="3199106"/>
    <n v="400020"/>
    <s v="O/P Care Svcs Rev--Medicare"/>
    <s v="Transition Unit"/>
    <x v="0"/>
    <n v="1100"/>
    <n v="-18815.21"/>
    <n v="-8501.99"/>
    <n v="-5081.2299999999996"/>
    <n v="-18763.14"/>
    <n v="-7333.26"/>
    <n v="-30711.14"/>
    <n v="-119645.48"/>
    <n v="-106199.03999999999"/>
    <n v="-92807.86"/>
    <n v="-83908.66"/>
    <n v="-37567.08"/>
    <n v="-74327.759999999995"/>
    <n v="-603661.85"/>
    <n v="36760.679999999993"/>
  </r>
  <r>
    <x v="19"/>
    <x v="5"/>
    <x v="0"/>
    <s v="3199106"/>
    <n v="400020"/>
    <s v="O/P Care Svcs Rev--Medicaid"/>
    <s v="Transition Unit"/>
    <x v="0"/>
    <n v="1200"/>
    <n v="-14473.04"/>
    <n v="-6632.49"/>
    <n v="-2974.72"/>
    <n v="-4121.3100000000004"/>
    <n v="-2196.71"/>
    <n v="-40238.480000000003"/>
    <n v="-73636.899999999994"/>
    <n v="-13328.69"/>
    <n v="-47323.54"/>
    <n v="-54092.51"/>
    <n v="-7651.36"/>
    <n v="-19803.740000000002"/>
    <n v="-286473.49"/>
    <n v="12152.380000000001"/>
  </r>
  <r>
    <x v="19"/>
    <x v="5"/>
    <x v="0"/>
    <s v="3199106"/>
    <n v="400020"/>
    <s v="O/P Care Svcs Rev--Comm Insurance"/>
    <s v="Transition Unit"/>
    <x v="0"/>
    <n v="1300"/>
    <n v="-243.08"/>
    <n v="-290.10000000000002"/>
    <n v="-255.26"/>
    <n v="0"/>
    <n v="-3450.51"/>
    <n v="-618.55999999999995"/>
    <n v="-1972.95"/>
    <n v="-9277.43"/>
    <n v="4724.22"/>
    <n v="-5163.09"/>
    <n v="-3205.6"/>
    <n v="-1568.31"/>
    <n v="-21320.67"/>
    <n v="-1637.29"/>
  </r>
  <r>
    <x v="19"/>
    <x v="5"/>
    <x v="0"/>
    <s v="3199106"/>
    <n v="400020"/>
    <s v="O/P Care Svcs Rev--BCBS Comm"/>
    <s v="Transition Unit"/>
    <x v="0"/>
    <n v="1301"/>
    <n v="-1546.6"/>
    <n v="-656.15"/>
    <n v="-396.39"/>
    <n v="-1294.3"/>
    <n v="-665.15"/>
    <n v="-4743.18"/>
    <n v="-11252.87"/>
    <n v="-3810.24"/>
    <n v="-10943.04"/>
    <n v="-12298.54"/>
    <n v="-2004.08"/>
    <n v="-2031.92"/>
    <n v="-51642.46"/>
    <n v="27.840000000000146"/>
  </r>
  <r>
    <x v="19"/>
    <x v="5"/>
    <x v="0"/>
    <s v="3199106"/>
    <n v="400020"/>
    <s v="O/P Care Svcs Rev--Managed Care"/>
    <s v="Transition Unit"/>
    <x v="0"/>
    <n v="1400"/>
    <n v="-4803.47"/>
    <n v="-5304.71"/>
    <n v="-1576.72"/>
    <n v="-2416.7199999999998"/>
    <n v="-5295.64"/>
    <n v="-14194.13"/>
    <n v="-18655.32"/>
    <n v="-16534.349999999999"/>
    <n v="-33815.82"/>
    <n v="-27604"/>
    <n v="-3637.04"/>
    <n v="-15851.68"/>
    <n v="-149689.60000000001"/>
    <n v="12214.64"/>
  </r>
  <r>
    <x v="19"/>
    <x v="5"/>
    <x v="0"/>
    <s v="3199106"/>
    <n v="400020"/>
    <s v="O/P Care Svcs Rev--Self Pay"/>
    <s v="Transition Unit"/>
    <x v="0"/>
    <n v="1500"/>
    <n v="-269.66000000000003"/>
    <n v="-1878.87"/>
    <n v="-136.63"/>
    <n v="-1148.67"/>
    <n v="0"/>
    <n v="-5382.96"/>
    <n v="-2661.56"/>
    <n v="-4741.12"/>
    <n v="-18119.28"/>
    <n v="7998.4"/>
    <n v="-1727.28"/>
    <n v="394.32"/>
    <n v="-27673.309999999998"/>
    <n v="-2121.6"/>
  </r>
  <r>
    <x v="19"/>
    <x v="5"/>
    <x v="0"/>
    <s v="3199106"/>
    <n v="400020"/>
    <s v="O/P Care Svcs Rev--Other"/>
    <s v="Transition Unit"/>
    <x v="0"/>
    <n v="1700"/>
    <n v="-2547.1999999999998"/>
    <n v="117.73"/>
    <n v="0"/>
    <n v="0"/>
    <n v="0"/>
    <n v="-2770.1"/>
    <n v="-4902.57"/>
    <n v="0"/>
    <n v="-2304.08"/>
    <n v="0"/>
    <n v="0"/>
    <n v="-3358.45"/>
    <n v="-15764.669999999998"/>
    <n v="3358.45"/>
  </r>
  <r>
    <x v="5"/>
    <x v="5"/>
    <x v="0"/>
    <s v="3199106"/>
    <n v="700024"/>
    <s v="Salaries-Advanced Practice Clinician-Productive"/>
    <s v="Transition Unit"/>
    <x v="0"/>
    <m/>
    <n v="0"/>
    <n v="0"/>
    <n v="0"/>
    <n v="0"/>
    <n v="0"/>
    <n v="0"/>
    <n v="0"/>
    <n v="0"/>
    <n v="0"/>
    <n v="0"/>
    <n v="0"/>
    <n v="487.25"/>
    <n v="487.25"/>
    <n v="-487.25"/>
  </r>
  <r>
    <x v="5"/>
    <x v="5"/>
    <x v="0"/>
    <s v="3199106"/>
    <n v="700026"/>
    <s v="Salaries-RN-Productive"/>
    <s v="Transition Unit"/>
    <x v="0"/>
    <m/>
    <n v="61861.96"/>
    <n v="31606.54"/>
    <n v="9803.49"/>
    <n v="19518.080000000002"/>
    <n v="32094.92"/>
    <n v="73590.820000000007"/>
    <n v="142561.99"/>
    <n v="109609.14"/>
    <n v="92957.2"/>
    <n v="86935.77"/>
    <n v="33635.410000000003"/>
    <n v="91194.15"/>
    <n v="785369.47000000009"/>
    <n v="-57558.739999999991"/>
  </r>
  <r>
    <x v="5"/>
    <x v="5"/>
    <x v="0"/>
    <s v="3199106"/>
    <n v="700026"/>
    <s v="Salaries-RN-OT"/>
    <s v="Transition Unit"/>
    <x v="0"/>
    <n v="1000"/>
    <n v="1637.85"/>
    <n v="1214.1199999999999"/>
    <n v="97.84"/>
    <n v="1213.57"/>
    <n v="478.27"/>
    <n v="2012.97"/>
    <n v="5528.41"/>
    <n v="7040.88"/>
    <n v="3842.38"/>
    <n v="4239.84"/>
    <n v="1395.34"/>
    <n v="2041.4"/>
    <n v="30742.870000000003"/>
    <n v="-646.06000000000017"/>
  </r>
  <r>
    <x v="5"/>
    <x v="5"/>
    <x v="0"/>
    <s v="3199106"/>
    <n v="700026"/>
    <s v="Salaries-RN-Other"/>
    <s v="Transition Unit"/>
    <x v="0"/>
    <n v="2000"/>
    <n v="4916.5200000000004"/>
    <n v="2482.4299999999998"/>
    <n v="772.11"/>
    <n v="1385.42"/>
    <n v="2887.52"/>
    <n v="5628.65"/>
    <n v="12494.08"/>
    <n v="8133.68"/>
    <n v="8599.9500000000007"/>
    <n v="7147.72"/>
    <n v="2860.08"/>
    <n v="7826.07"/>
    <n v="65134.23"/>
    <n v="-4965.99"/>
  </r>
  <r>
    <x v="5"/>
    <x v="5"/>
    <x v="0"/>
    <s v="3199106"/>
    <n v="700032"/>
    <s v="Salaries-Other Pat Care Providers-Productive"/>
    <s v="Transition Unit"/>
    <x v="0"/>
    <m/>
    <n v="25199.14"/>
    <n v="20246.53"/>
    <n v="26178.15"/>
    <n v="24672.31"/>
    <n v="25054.28"/>
    <n v="18909.78"/>
    <n v="38000.6"/>
    <n v="39159.769999999997"/>
    <n v="34842.550000000003"/>
    <n v="26611.13"/>
    <n v="15364.9"/>
    <n v="29196.17"/>
    <n v="323435.31"/>
    <n v="-13831.269999999999"/>
  </r>
  <r>
    <x v="5"/>
    <x v="5"/>
    <x v="0"/>
    <s v="3199106"/>
    <n v="700032"/>
    <s v="Salaries-Other Pat Care Providers-OT"/>
    <s v="Transition Unit"/>
    <x v="0"/>
    <n v="1000"/>
    <n v="580.87"/>
    <n v="721.32"/>
    <n v="1004.05"/>
    <n v="217.42"/>
    <n v="-23.75"/>
    <n v="852.03"/>
    <n v="2844.53"/>
    <n v="2175.4499999999998"/>
    <n v="990.06"/>
    <n v="-57.03"/>
    <n v="1145.68"/>
    <n v="-252.69"/>
    <n v="10197.939999999997"/>
    <n v="1398.3700000000001"/>
  </r>
  <r>
    <x v="5"/>
    <x v="5"/>
    <x v="0"/>
    <s v="3199106"/>
    <n v="700032"/>
    <s v="Salaries-Other Pat Care Providers-Other"/>
    <s v="Transition Unit"/>
    <x v="0"/>
    <n v="2000"/>
    <n v="2490.91"/>
    <n v="1975.98"/>
    <n v="2988.22"/>
    <n v="2174.56"/>
    <n v="2681.2"/>
    <n v="1894.02"/>
    <n v="3172.18"/>
    <n v="3311.82"/>
    <n v="3356.96"/>
    <n v="2090.91"/>
    <n v="1624.52"/>
    <n v="2713.96"/>
    <n v="30475.239999999998"/>
    <n v="-1089.44"/>
  </r>
  <r>
    <x v="5"/>
    <x v="5"/>
    <x v="0"/>
    <s v="3199106"/>
    <n v="700034"/>
    <s v="Salaries-Tech/Professional-Productive"/>
    <s v="Transition Unit"/>
    <x v="0"/>
    <m/>
    <n v="0"/>
    <n v="0"/>
    <n v="0"/>
    <n v="323.86"/>
    <n v="1056.02"/>
    <n v="-297.85000000000002"/>
    <n v="0"/>
    <n v="0"/>
    <n v="0"/>
    <n v="0"/>
    <n v="0"/>
    <n v="0"/>
    <n v="1082.0300000000002"/>
    <n v="0"/>
  </r>
  <r>
    <x v="5"/>
    <x v="5"/>
    <x v="0"/>
    <s v="3199106"/>
    <n v="700034"/>
    <s v="Salaries-Tech/Professional-OT"/>
    <s v="Transition Unit"/>
    <x v="0"/>
    <n v="1000"/>
    <n v="0"/>
    <n v="0"/>
    <n v="0"/>
    <n v="14.2"/>
    <n v="0"/>
    <n v="0"/>
    <n v="0"/>
    <n v="0"/>
    <n v="0"/>
    <n v="0"/>
    <n v="0"/>
    <n v="0"/>
    <n v="14.2"/>
    <n v="0"/>
  </r>
  <r>
    <x v="5"/>
    <x v="5"/>
    <x v="0"/>
    <s v="3199106"/>
    <n v="700034"/>
    <s v="Salaries-Tech/Professional-Other"/>
    <s v="Transition Unit"/>
    <x v="0"/>
    <n v="2000"/>
    <n v="0"/>
    <n v="0"/>
    <n v="0"/>
    <n v="1.78"/>
    <n v="5"/>
    <n v="-2.78"/>
    <n v="0"/>
    <n v="0"/>
    <n v="0"/>
    <n v="0"/>
    <n v="0"/>
    <n v="0"/>
    <n v="4"/>
    <n v="0"/>
  </r>
  <r>
    <x v="5"/>
    <x v="5"/>
    <x v="0"/>
    <s v="3199106"/>
    <n v="700066"/>
    <s v="Salaries-RN-NonProd-Other"/>
    <s v="Transition Unit"/>
    <x v="0"/>
    <n v="2000"/>
    <n v="0"/>
    <n v="0"/>
    <n v="0"/>
    <n v="0"/>
    <n v="0"/>
    <n v="0"/>
    <n v="13.35"/>
    <n v="35.14"/>
    <n v="-9.99"/>
    <n v="2.5"/>
    <n v="0"/>
    <n v="19.02"/>
    <n v="60.019999999999996"/>
    <n v="-19.02"/>
  </r>
  <r>
    <x v="10"/>
    <x v="5"/>
    <x v="0"/>
    <s v="3199106"/>
    <n v="710060"/>
    <s v="Contract Labor-Other"/>
    <s v="Transition Unit"/>
    <x v="0"/>
    <m/>
    <n v="7136"/>
    <n v="6248"/>
    <n v="8520"/>
    <n v="0"/>
    <n v="0"/>
    <n v="0"/>
    <n v="4439"/>
    <n v="5146.25"/>
    <n v="0"/>
    <n v="3809.38"/>
    <n v="1767.25"/>
    <n v="891.25"/>
    <n v="37957.129999999997"/>
    <n v="876"/>
  </r>
  <r>
    <x v="10"/>
    <x v="5"/>
    <x v="0"/>
    <s v="3199106"/>
    <n v="710060"/>
    <s v="Contract Labor-Overtime"/>
    <s v="Transition Unit"/>
    <x v="0"/>
    <n v="5100"/>
    <n v="1697"/>
    <n v="200"/>
    <n v="0"/>
    <n v="0"/>
    <n v="0"/>
    <n v="0"/>
    <n v="757.35"/>
    <n v="0"/>
    <n v="0"/>
    <n v="0"/>
    <n v="0"/>
    <n v="0"/>
    <n v="2654.35"/>
    <n v="0"/>
  </r>
  <r>
    <x v="6"/>
    <x v="5"/>
    <x v="0"/>
    <s v="3199106"/>
    <n v="713010"/>
    <s v="Benefits-FICA/Medicare"/>
    <s v="Transition Unit"/>
    <x v="0"/>
    <m/>
    <n v="7229.35"/>
    <n v="4360.03"/>
    <n v="3061.56"/>
    <n v="3686.95"/>
    <n v="4799.4399999999996"/>
    <n v="7500.17"/>
    <n v="15340.16"/>
    <n v="12688.54"/>
    <n v="10858.95"/>
    <n v="9484.7999999999993"/>
    <n v="4152.88"/>
    <n v="9940.24"/>
    <n v="93103.070000000022"/>
    <n v="-5787.36"/>
  </r>
  <r>
    <x v="6"/>
    <x v="5"/>
    <x v="0"/>
    <s v="3199106"/>
    <n v="713090"/>
    <s v="Benefits-Allocated Amounts"/>
    <s v="Transition Unit"/>
    <x v="0"/>
    <m/>
    <n v="22608.38"/>
    <n v="13850.15"/>
    <n v="11539.43"/>
    <n v="12246.96"/>
    <n v="16388.669999999998"/>
    <n v="21924.25"/>
    <n v="43784.76"/>
    <n v="37303.03"/>
    <n v="30650.37"/>
    <n v="27644.07"/>
    <n v="12498.22"/>
    <n v="28832.799999999999"/>
    <n v="279271.09000000003"/>
    <n v="-16334.58"/>
  </r>
  <r>
    <x v="18"/>
    <x v="6"/>
    <x v="0"/>
    <s v="3199107"/>
    <n v="400010"/>
    <s v="Acute I/P Svcs Rev--Medicare"/>
    <s v="Transition Unit"/>
    <x v="0"/>
    <n v="1100"/>
    <n v="-147688.73000000001"/>
    <n v="-40619.410000000003"/>
    <n v="-95397.93"/>
    <n v="-13966.67"/>
    <n v="-86536.29"/>
    <n v="-13028.63"/>
    <n v="-101173.82"/>
    <n v="-202289.16"/>
    <n v="-315391.82"/>
    <n v="-178283.7"/>
    <n v="-126938.32"/>
    <n v="-163368.79999999999"/>
    <n v="-1484683.28"/>
    <n v="36430.479999999981"/>
  </r>
  <r>
    <x v="18"/>
    <x v="6"/>
    <x v="0"/>
    <s v="3199107"/>
    <n v="400010"/>
    <s v="Acute I/P Svcs Rev--Medicaid"/>
    <s v="Transition Unit"/>
    <x v="0"/>
    <n v="1200"/>
    <n v="-28786.95"/>
    <n v="-16554.91"/>
    <n v="-51586.82"/>
    <n v="-10873.56"/>
    <n v="-12334.36"/>
    <n v="-14942.47"/>
    <n v="-34014.25"/>
    <n v="-100167.27"/>
    <n v="-102482.76"/>
    <n v="-46714.3"/>
    <n v="-40188.239999999998"/>
    <n v="-27906.799999999999"/>
    <n v="-486552.68999999994"/>
    <n v="-12281.439999999999"/>
  </r>
  <r>
    <x v="18"/>
    <x v="6"/>
    <x v="0"/>
    <s v="3199107"/>
    <n v="400010"/>
    <s v="Acute I/P Svcs Rev--Comm Insurance"/>
    <s v="Transition Unit"/>
    <x v="0"/>
    <n v="1300"/>
    <n v="-296.67"/>
    <n v="375.21"/>
    <n v="-6234"/>
    <n v="108"/>
    <n v="3063"/>
    <n v="-6641.02"/>
    <n v="2930.87"/>
    <n v="-9332.24"/>
    <n v="0"/>
    <n v="-1326.44"/>
    <n v="-3690.04"/>
    <n v="-136.08000000000001"/>
    <n v="-21179.41"/>
    <n v="-3553.96"/>
  </r>
  <r>
    <x v="18"/>
    <x v="6"/>
    <x v="0"/>
    <s v="3199107"/>
    <n v="400010"/>
    <s v="Acute I/P Svcs Rev--BCBS Comm"/>
    <s v="Transition Unit"/>
    <x v="0"/>
    <n v="1301"/>
    <n v="1676.37"/>
    <n v="-656.15"/>
    <n v="-4379.8"/>
    <n v="-924.91"/>
    <n v="-1048.04"/>
    <n v="-255.26"/>
    <n v="-10340.540000000001"/>
    <n v="-21343.56"/>
    <n v="-22367.759999999998"/>
    <n v="-1637.78"/>
    <n v="-6601.16"/>
    <n v="-3528.88"/>
    <n v="-71407.47"/>
    <n v="-3072.2799999999997"/>
  </r>
  <r>
    <x v="18"/>
    <x v="6"/>
    <x v="0"/>
    <s v="3199107"/>
    <n v="400010"/>
    <s v="Acute I/P Svcs Rev--Managed Care"/>
    <s v="Transition Unit"/>
    <x v="0"/>
    <n v="1400"/>
    <n v="-4742.2"/>
    <n v="-4333.17"/>
    <n v="-8055.19"/>
    <n v="-396.39"/>
    <n v="-4187.66"/>
    <n v="-6594.59"/>
    <n v="-19916.93"/>
    <n v="-61840.4"/>
    <n v="-38804.980000000003"/>
    <n v="-8384.48"/>
    <n v="-19696.240000000002"/>
    <n v="-15657.92"/>
    <n v="-192610.15000000002"/>
    <n v="-4038.3200000000015"/>
  </r>
  <r>
    <x v="18"/>
    <x v="6"/>
    <x v="0"/>
    <s v="3199107"/>
    <n v="400010"/>
    <s v="Acute I/P Svcs Rev--Self Pay"/>
    <s v="Transition Unit"/>
    <x v="0"/>
    <n v="1500"/>
    <n v="-3171"/>
    <n v="0"/>
    <n v="2774.61"/>
    <n v="0"/>
    <n v="0"/>
    <n v="-127.63"/>
    <n v="-3298.63"/>
    <n v="-671.95"/>
    <n v="-3266"/>
    <n v="0"/>
    <n v="-6310"/>
    <n v="-4206.5200000000004"/>
    <n v="-18277.120000000003"/>
    <n v="-2103.4799999999996"/>
  </r>
  <r>
    <x v="18"/>
    <x v="6"/>
    <x v="0"/>
    <s v="3199107"/>
    <n v="400010"/>
    <s v="Acute I/P Svcs Rev--Other"/>
    <s v="Transition Unit"/>
    <x v="0"/>
    <n v="1700"/>
    <n v="-6473.59"/>
    <n v="-5920.36"/>
    <n v="624.65"/>
    <n v="-524.02"/>
    <n v="-6513.39"/>
    <n v="-8197.58"/>
    <n v="-3459.39"/>
    <n v="-8414.42"/>
    <n v="-14671.2"/>
    <n v="-18068.439999999999"/>
    <n v="-1695.24"/>
    <n v="-3286.44"/>
    <n v="-76599.420000000013"/>
    <n v="1591.2"/>
  </r>
  <r>
    <x v="19"/>
    <x v="6"/>
    <x v="0"/>
    <s v="3199107"/>
    <n v="400020"/>
    <s v="O/P Care Svcs Rev--Medicare"/>
    <s v="Transition Unit"/>
    <x v="0"/>
    <n v="1100"/>
    <n v="-6020.63"/>
    <n v="-7109.69"/>
    <n v="-47063.76"/>
    <n v="-19719.29"/>
    <n v="-8205.8799999999992"/>
    <n v="15190.39"/>
    <n v="-40354.82"/>
    <n v="-131451.44"/>
    <n v="-51869.57"/>
    <n v="-32059.24"/>
    <n v="-52577.54"/>
    <n v="-10837.36"/>
    <n v="-392078.82999999996"/>
    <n v="-41740.18"/>
  </r>
  <r>
    <x v="19"/>
    <x v="6"/>
    <x v="0"/>
    <s v="3199107"/>
    <n v="400020"/>
    <s v="O/P Care Svcs Rev--Medicaid"/>
    <s v="Transition Unit"/>
    <x v="0"/>
    <n v="1200"/>
    <n v="-2434.2199999999998"/>
    <n v="-2595.8000000000002"/>
    <n v="-30686.03"/>
    <n v="1753.57"/>
    <n v="10075.52"/>
    <n v="-2802.15"/>
    <n v="-8259.76"/>
    <n v="-17847.27"/>
    <n v="-20817.04"/>
    <n v="-34112.379999999997"/>
    <n v="-7852.4"/>
    <n v="-12898.32"/>
    <n v="-128476.28"/>
    <n v="5045.92"/>
  </r>
  <r>
    <x v="19"/>
    <x v="6"/>
    <x v="0"/>
    <s v="3199107"/>
    <n v="400020"/>
    <s v="O/P Care Svcs Rev--Comm Insurance"/>
    <s v="Transition Unit"/>
    <x v="0"/>
    <n v="1300"/>
    <n v="-125.83"/>
    <n v="0"/>
    <n v="0"/>
    <n v="-132.13"/>
    <n v="-2774.73"/>
    <n v="924.91"/>
    <n v="-132.13"/>
    <n v="-510.52"/>
    <n v="510.52"/>
    <n v="-3496.32"/>
    <n v="638.64"/>
    <n v="-3252"/>
    <n v="-8349.59"/>
    <n v="3890.64"/>
  </r>
  <r>
    <x v="19"/>
    <x v="6"/>
    <x v="0"/>
    <s v="3199107"/>
    <n v="400020"/>
    <s v="O/P Care Svcs Rev--BCBS Comm"/>
    <s v="Transition Unit"/>
    <x v="0"/>
    <n v="1301"/>
    <n v="-387.39"/>
    <n v="-370.71"/>
    <n v="-3234.73"/>
    <n v="69.010000000000005"/>
    <n v="-770.28"/>
    <n v="-4561.55"/>
    <n v="-1289.8"/>
    <n v="-2647.56"/>
    <n v="-5684.4"/>
    <n v="-3800.96"/>
    <n v="-8672"/>
    <n v="-971.12"/>
    <n v="-32321.489999999994"/>
    <n v="-7700.88"/>
  </r>
  <r>
    <x v="19"/>
    <x v="6"/>
    <x v="0"/>
    <s v="3199107"/>
    <n v="400020"/>
    <s v="O/P Care Svcs Rev--Managed Care"/>
    <s v="Transition Unit"/>
    <x v="0"/>
    <n v="1400"/>
    <n v="-3011.78"/>
    <n v="-2852.86"/>
    <n v="-1572.06"/>
    <n v="-1827.32"/>
    <n v="-2775.05"/>
    <n v="-2852.86"/>
    <n v="-5942.98"/>
    <n v="-11854.73"/>
    <n v="-13984.31"/>
    <n v="-21593.68"/>
    <n v="-16614.080000000002"/>
    <n v="-1634.48"/>
    <n v="-86516.19"/>
    <n v="-14979.600000000002"/>
  </r>
  <r>
    <x v="19"/>
    <x v="6"/>
    <x v="0"/>
    <s v="3199107"/>
    <n v="400020"/>
    <s v="O/P Care Svcs Rev--Self Pay"/>
    <s v="Transition Unit"/>
    <x v="0"/>
    <n v="1500"/>
    <n v="-654.35"/>
    <n v="-384.69"/>
    <n v="0"/>
    <n v="-132.13"/>
    <n v="0"/>
    <n v="-255.26"/>
    <n v="-132.13"/>
    <n v="-1714.93"/>
    <n v="389.68"/>
    <n v="-136.08000000000001"/>
    <n v="-1605.12"/>
    <n v="-131.44"/>
    <n v="-4756.45"/>
    <n v="-1473.6799999999998"/>
  </r>
  <r>
    <x v="19"/>
    <x v="6"/>
    <x v="0"/>
    <s v="3199107"/>
    <n v="400020"/>
    <s v="O/P Care Svcs Rev--Other"/>
    <s v="Transition Unit"/>
    <x v="0"/>
    <n v="1700"/>
    <n v="-391.89"/>
    <n v="-1205.8499999999999"/>
    <n v="-660.65"/>
    <n v="-1827.32"/>
    <n v="-1426.43"/>
    <n v="-1294.3"/>
    <n v="-770.28"/>
    <n v="-37719.14"/>
    <n v="-7229.29"/>
    <n v="10012.459999999999"/>
    <n v="-9932.7000000000007"/>
    <n v="-1062.06"/>
    <n v="-53507.45"/>
    <n v="-8870.6400000000012"/>
  </r>
  <r>
    <x v="5"/>
    <x v="6"/>
    <x v="0"/>
    <s v="3199107"/>
    <n v="700018"/>
    <s v="Salaries-Supervisory-Productive"/>
    <s v="Transition Unit"/>
    <x v="0"/>
    <m/>
    <n v="1175.46"/>
    <n v="0"/>
    <n v="0"/>
    <n v="0"/>
    <n v="0"/>
    <n v="0"/>
    <n v="0"/>
    <n v="0"/>
    <n v="0"/>
    <n v="0"/>
    <n v="0"/>
    <n v="0"/>
    <n v="1175.46"/>
    <n v="0"/>
  </r>
  <r>
    <x v="5"/>
    <x v="6"/>
    <x v="0"/>
    <s v="3199107"/>
    <n v="700026"/>
    <s v="Salaries-RN-Productive"/>
    <s v="Transition Unit"/>
    <x v="0"/>
    <m/>
    <n v="41832.080000000002"/>
    <n v="53578.879999999997"/>
    <n v="57517.37"/>
    <n v="53626.82"/>
    <n v="59004.99"/>
    <n v="61515.64"/>
    <n v="68740.179999999993"/>
    <n v="98217.71"/>
    <n v="85210.16"/>
    <n v="59594.87"/>
    <n v="52163.69"/>
    <n v="56518.42"/>
    <n v="747520.81000000017"/>
    <n v="-4354.7299999999959"/>
  </r>
  <r>
    <x v="5"/>
    <x v="6"/>
    <x v="0"/>
    <s v="3199107"/>
    <n v="700026"/>
    <s v="Salaries-RN-OT"/>
    <s v="Transition Unit"/>
    <x v="0"/>
    <n v="1000"/>
    <n v="18"/>
    <n v="13.34"/>
    <n v="0"/>
    <n v="34.64"/>
    <n v="498.47"/>
    <n v="-200.06"/>
    <n v="21.33"/>
    <n v="1129.19"/>
    <n v="-6.18"/>
    <n v="0"/>
    <n v="174.09"/>
    <n v="163.31"/>
    <n v="1846.1299999999999"/>
    <n v="10.780000000000001"/>
  </r>
  <r>
    <x v="5"/>
    <x v="6"/>
    <x v="0"/>
    <s v="3199107"/>
    <n v="700026"/>
    <s v="Salaries-RN-Other"/>
    <s v="Transition Unit"/>
    <x v="0"/>
    <n v="2000"/>
    <n v="2634.58"/>
    <n v="3181.1"/>
    <n v="3997.46"/>
    <n v="3699.22"/>
    <n v="3498.91"/>
    <n v="4538.22"/>
    <n v="5354.34"/>
    <n v="7333.98"/>
    <n v="6850.78"/>
    <n v="4583.8999999999996"/>
    <n v="4036.22"/>
    <n v="4910.26"/>
    <n v="54618.97"/>
    <n v="-874.04000000000042"/>
  </r>
  <r>
    <x v="5"/>
    <x v="6"/>
    <x v="0"/>
    <s v="3199107"/>
    <n v="700030"/>
    <s v="Salaries-LPN-Productive"/>
    <s v="Transition Unit"/>
    <x v="0"/>
    <m/>
    <n v="0"/>
    <n v="0"/>
    <n v="0"/>
    <n v="0"/>
    <n v="0"/>
    <n v="0"/>
    <n v="0"/>
    <n v="0"/>
    <n v="26.02"/>
    <n v="-9.4600000000000009"/>
    <n v="0"/>
    <n v="0"/>
    <n v="16.559999999999999"/>
    <n v="0"/>
  </r>
  <r>
    <x v="5"/>
    <x v="6"/>
    <x v="0"/>
    <s v="3199107"/>
    <n v="700032"/>
    <s v="Salaries-Other Pat Care Providers-Productive"/>
    <s v="Transition Unit"/>
    <x v="0"/>
    <m/>
    <n v="8396.26"/>
    <n v="13538.43"/>
    <n v="19537.810000000001"/>
    <n v="12287.33"/>
    <n v="18576.84"/>
    <n v="11696.67"/>
    <n v="17443.07"/>
    <n v="30368.61"/>
    <n v="23268.99"/>
    <n v="12839.94"/>
    <n v="12999.39"/>
    <n v="10694.82"/>
    <n v="191648.16000000003"/>
    <n v="2304.5699999999997"/>
  </r>
  <r>
    <x v="5"/>
    <x v="6"/>
    <x v="0"/>
    <s v="3199107"/>
    <n v="700032"/>
    <s v="Salaries-Other Pat Care Providers-OT"/>
    <s v="Transition Unit"/>
    <x v="0"/>
    <n v="1000"/>
    <n v="43.81"/>
    <n v="19.03"/>
    <n v="624.91"/>
    <n v="61.31"/>
    <n v="-111.63"/>
    <n v="0"/>
    <n v="342.78"/>
    <n v="-7.11"/>
    <n v="30.58"/>
    <n v="-11.11"/>
    <n v="38.19"/>
    <n v="-18.38"/>
    <n v="1012.38"/>
    <n v="56.569999999999993"/>
  </r>
  <r>
    <x v="5"/>
    <x v="6"/>
    <x v="0"/>
    <s v="3199107"/>
    <n v="700032"/>
    <s v="Salaries-Other Pat Care Providers-Other"/>
    <s v="Transition Unit"/>
    <x v="0"/>
    <n v="2000"/>
    <n v="493.08"/>
    <n v="1052.02"/>
    <n v="1351.59"/>
    <n v="749.89"/>
    <n v="1111.0999999999999"/>
    <n v="1020.65"/>
    <n v="1178.3"/>
    <n v="2128.31"/>
    <n v="1349.56"/>
    <n v="1104.77"/>
    <n v="741.85"/>
    <n v="967.92"/>
    <n v="13249.039999999999"/>
    <n v="-226.06999999999994"/>
  </r>
  <r>
    <x v="5"/>
    <x v="6"/>
    <x v="0"/>
    <s v="3199107"/>
    <n v="700038"/>
    <s v="Salaries-Service/Support-Productive"/>
    <s v="Transition Unit"/>
    <x v="0"/>
    <m/>
    <n v="0"/>
    <n v="0"/>
    <n v="0"/>
    <n v="0"/>
    <n v="0"/>
    <n v="0"/>
    <n v="0"/>
    <n v="0"/>
    <n v="0"/>
    <n v="374"/>
    <n v="0"/>
    <n v="0"/>
    <n v="374"/>
    <n v="0"/>
  </r>
  <r>
    <x v="6"/>
    <x v="6"/>
    <x v="0"/>
    <s v="3199107"/>
    <n v="713010"/>
    <s v="Benefits-FICA/Medicare"/>
    <s v="Transition Unit"/>
    <x v="0"/>
    <m/>
    <n v="4096.01"/>
    <n v="5370.24"/>
    <n v="6199.62"/>
    <n v="5201.8"/>
    <n v="6121.66"/>
    <n v="5815.73"/>
    <n v="6931.57"/>
    <n v="10367.01"/>
    <n v="8664.7000000000007"/>
    <n v="5855.9"/>
    <n v="5186.3"/>
    <n v="5441.95"/>
    <n v="75252.489999999991"/>
    <n v="-255.64999999999964"/>
  </r>
  <r>
    <x v="6"/>
    <x v="6"/>
    <x v="0"/>
    <s v="3199107"/>
    <n v="713090"/>
    <s v="Benefits-Allocated Amounts"/>
    <s v="Transition Unit"/>
    <x v="0"/>
    <m/>
    <n v="9416.77"/>
    <n v="11446"/>
    <n v="14857.78"/>
    <n v="11995.86"/>
    <n v="16252.55"/>
    <n v="13582.07"/>
    <n v="16730.53"/>
    <n v="25867.09"/>
    <n v="18669.84"/>
    <n v="15606.94"/>
    <n v="12784.55"/>
    <n v="15254.31"/>
    <n v="182464.28999999998"/>
    <n v="-2469.7600000000002"/>
  </r>
  <r>
    <x v="5"/>
    <x v="3"/>
    <x v="0"/>
    <s v="3205101"/>
    <n v="700026"/>
    <s v="Salaries-RN-Productive"/>
    <s v="Nurse Staffing-Break Relief"/>
    <x v="0"/>
    <m/>
    <n v="165302.57999999999"/>
    <n v="162479.35"/>
    <n v="164847.20000000001"/>
    <n v="179564.84"/>
    <n v="161873.25"/>
    <n v="173721.2"/>
    <n v="188245.08"/>
    <n v="159847.21"/>
    <n v="191323.72"/>
    <n v="190719.15"/>
    <n v="199092.2"/>
    <n v="184817.5"/>
    <n v="2121833.2799999998"/>
    <n v="14274.700000000012"/>
  </r>
  <r>
    <x v="5"/>
    <x v="3"/>
    <x v="0"/>
    <s v="3205101"/>
    <n v="700026"/>
    <s v="Salaries-RN-OT"/>
    <s v="Nurse Staffing-Break Relief"/>
    <x v="0"/>
    <n v="1000"/>
    <n v="5392.62"/>
    <n v="1651.53"/>
    <n v="2352.29"/>
    <n v="3081.34"/>
    <n v="3510.52"/>
    <n v="3026.87"/>
    <n v="3836.93"/>
    <n v="4801.03"/>
    <n v="3288.27"/>
    <n v="4216.91"/>
    <n v="5830.65"/>
    <n v="2915.61"/>
    <n v="43904.57"/>
    <n v="2915.0399999999995"/>
  </r>
  <r>
    <x v="5"/>
    <x v="3"/>
    <x v="0"/>
    <s v="3205101"/>
    <n v="700026"/>
    <s v="Salaries-RN-Other"/>
    <s v="Nurse Staffing-Break Relief"/>
    <x v="0"/>
    <n v="2000"/>
    <n v="11136.81"/>
    <n v="10308.379999999999"/>
    <n v="10660.14"/>
    <n v="11703.68"/>
    <n v="10195.24"/>
    <n v="10828.65"/>
    <n v="12205.91"/>
    <n v="10594.32"/>
    <n v="11738.36"/>
    <n v="12232.62"/>
    <n v="11665.08"/>
    <n v="11070.79"/>
    <n v="134339.98000000001"/>
    <n v="594.28999999999905"/>
  </r>
  <r>
    <x v="5"/>
    <x v="3"/>
    <x v="0"/>
    <s v="3205101"/>
    <n v="700032"/>
    <s v="Salaries-Other Pat Care Providers-Productive"/>
    <s v="Nurse Staffing-Break Relief"/>
    <x v="0"/>
    <m/>
    <n v="0"/>
    <n v="0"/>
    <n v="0"/>
    <n v="0"/>
    <n v="0"/>
    <n v="0"/>
    <n v="0"/>
    <n v="0"/>
    <n v="320.77999999999997"/>
    <n v="-116.64"/>
    <n v="0"/>
    <n v="0"/>
    <n v="204.14"/>
    <n v="0"/>
  </r>
  <r>
    <x v="5"/>
    <x v="3"/>
    <x v="0"/>
    <s v="3205101"/>
    <n v="700038"/>
    <s v="Salaries-Service/Support-Productive"/>
    <s v="Nurse Staffing-Break Relief"/>
    <x v="0"/>
    <m/>
    <n v="0"/>
    <n v="0"/>
    <n v="0"/>
    <n v="0"/>
    <n v="0"/>
    <n v="0"/>
    <n v="0"/>
    <n v="0"/>
    <n v="0"/>
    <n v="0"/>
    <n v="0"/>
    <n v="294.02999999999997"/>
    <n v="294.02999999999997"/>
    <n v="-294.02999999999997"/>
  </r>
  <r>
    <x v="5"/>
    <x v="3"/>
    <x v="0"/>
    <s v="3205101"/>
    <n v="700066"/>
    <s v="Salaries-RN-Non-productive"/>
    <s v="Nurse Staffing-Break Relief"/>
    <x v="0"/>
    <m/>
    <n v="95.4"/>
    <n v="-16.82"/>
    <n v="0"/>
    <n v="0"/>
    <n v="0"/>
    <n v="0"/>
    <n v="0"/>
    <n v="1936.77"/>
    <n v="-509.62"/>
    <n v="0"/>
    <n v="0"/>
    <n v="886.78"/>
    <n v="2392.5100000000002"/>
    <n v="-886.78"/>
  </r>
  <r>
    <x v="5"/>
    <x v="3"/>
    <x v="0"/>
    <s v="3205101"/>
    <n v="700066"/>
    <s v="Salaries-RN-NonProd-Other"/>
    <s v="Nurse Staffing-Break Relief"/>
    <x v="0"/>
    <n v="2000"/>
    <n v="18.420000000000002"/>
    <n v="0.67"/>
    <n v="0.14000000000000001"/>
    <n v="337.55"/>
    <n v="-140.88"/>
    <n v="78.900000000000006"/>
    <n v="91.78"/>
    <n v="19.100000000000001"/>
    <n v="31.99"/>
    <n v="62.84"/>
    <n v="9.23"/>
    <n v="28.76"/>
    <n v="538.50000000000011"/>
    <n v="-19.53"/>
  </r>
  <r>
    <x v="6"/>
    <x v="3"/>
    <x v="0"/>
    <s v="3205101"/>
    <n v="713010"/>
    <s v="Benefits-FICA/Medicare"/>
    <s v="Nurse Staffing-Break Relief"/>
    <x v="0"/>
    <m/>
    <n v="13523.57"/>
    <n v="12898.35"/>
    <n v="13238.19"/>
    <n v="14389.57"/>
    <n v="13036.91"/>
    <n v="13766.44"/>
    <n v="15134.45"/>
    <n v="13158.39"/>
    <n v="15234.39"/>
    <n v="15306.19"/>
    <n v="15989.75"/>
    <n v="14725.49"/>
    <n v="170401.68999999997"/>
    <n v="1264.2600000000002"/>
  </r>
  <r>
    <x v="6"/>
    <x v="3"/>
    <x v="0"/>
    <s v="3205101"/>
    <n v="713090"/>
    <s v="Benefits-Allocated Amounts"/>
    <s v="Nurse Staffing-Break Relief"/>
    <x v="0"/>
    <m/>
    <n v="34386.32"/>
    <n v="30915.68"/>
    <n v="33758.65"/>
    <n v="36278.870000000003"/>
    <n v="33375.730000000003"/>
    <n v="34492.21"/>
    <n v="40059.08"/>
    <n v="37207.980000000003"/>
    <n v="32230.82"/>
    <n v="40163.449999999997"/>
    <n v="44016.01"/>
    <n v="39769.72"/>
    <n v="436654.52"/>
    <n v="4246.2900000000009"/>
  </r>
  <r>
    <x v="11"/>
    <x v="3"/>
    <x v="0"/>
    <s v="3205101"/>
    <n v="721835"/>
    <s v="Supplies-Forms"/>
    <s v="Nurse Staffing-Break Relief"/>
    <x v="0"/>
    <m/>
    <n v="0"/>
    <n v="0"/>
    <n v="0"/>
    <n v="0"/>
    <n v="5.2"/>
    <n v="0"/>
    <n v="0"/>
    <n v="0"/>
    <n v="0"/>
    <n v="0"/>
    <n v="0"/>
    <n v="0"/>
    <n v="5.2"/>
    <n v="0"/>
  </r>
  <r>
    <x v="5"/>
    <x v="0"/>
    <x v="0"/>
    <s v="3205102"/>
    <n v="700026"/>
    <s v="Salaries-RN-Productive"/>
    <s v="Nursing Staff Office"/>
    <x v="0"/>
    <m/>
    <n v="2803.7"/>
    <n v="0"/>
    <n v="0"/>
    <n v="0"/>
    <n v="0"/>
    <n v="0"/>
    <n v="0"/>
    <n v="0"/>
    <n v="0"/>
    <n v="0"/>
    <n v="0"/>
    <n v="0"/>
    <n v="2803.7"/>
    <n v="0"/>
  </r>
  <r>
    <x v="5"/>
    <x v="0"/>
    <x v="0"/>
    <s v="3205102"/>
    <n v="700038"/>
    <s v="Salaries-Service/Support-Productive"/>
    <s v="Nursing Staff Office"/>
    <x v="0"/>
    <m/>
    <n v="8745.8799999999992"/>
    <n v="7528.08"/>
    <n v="10590.58"/>
    <n v="11246.38"/>
    <n v="7809.42"/>
    <n v="9424"/>
    <n v="10341.07"/>
    <n v="9503.19"/>
    <n v="7205.58"/>
    <n v="8100.23"/>
    <n v="6135.93"/>
    <n v="5684.97"/>
    <n v="102315.31"/>
    <n v="450.96000000000004"/>
  </r>
  <r>
    <x v="5"/>
    <x v="0"/>
    <x v="0"/>
    <s v="3205102"/>
    <n v="700038"/>
    <s v="Salaries-Service/Support-OT"/>
    <s v="Nursing Staff Office"/>
    <x v="0"/>
    <n v="1000"/>
    <n v="1332.64"/>
    <n v="131.76"/>
    <n v="992.29"/>
    <n v="77.83"/>
    <n v="779.85"/>
    <n v="144.46"/>
    <n v="313.17"/>
    <n v="263.58"/>
    <n v="599.9"/>
    <n v="180.85"/>
    <n v="383.5"/>
    <n v="180.9"/>
    <n v="5380.73"/>
    <n v="202.6"/>
  </r>
  <r>
    <x v="5"/>
    <x v="0"/>
    <x v="0"/>
    <s v="3205102"/>
    <n v="700038"/>
    <s v="Salaries-Service/Support-Other"/>
    <s v="Nursing Staff Office"/>
    <x v="0"/>
    <n v="2000"/>
    <n v="0"/>
    <n v="0"/>
    <n v="30"/>
    <n v="0"/>
    <n v="0"/>
    <n v="2.1800000000000002"/>
    <n v="0"/>
    <n v="13.59"/>
    <n v="-3.57"/>
    <n v="0"/>
    <n v="0"/>
    <n v="0"/>
    <n v="42.199999999999996"/>
    <n v="0"/>
  </r>
  <r>
    <x v="5"/>
    <x v="0"/>
    <x v="0"/>
    <s v="3205102"/>
    <n v="700078"/>
    <s v="Salaries-Service/Support-Non-productive"/>
    <s v="Nursing Staff Office"/>
    <x v="0"/>
    <m/>
    <n v="45.3"/>
    <n v="308.98"/>
    <n v="1218.4000000000001"/>
    <n v="279.38"/>
    <n v="3346.06"/>
    <n v="2273.85"/>
    <n v="1390.06"/>
    <n v="1206.0999999999999"/>
    <n v="3041.32"/>
    <n v="-582.70000000000005"/>
    <n v="2057.62"/>
    <n v="289.33"/>
    <n v="14873.699999999999"/>
    <n v="1768.29"/>
  </r>
  <r>
    <x v="5"/>
    <x v="0"/>
    <x v="0"/>
    <s v="3205102"/>
    <n v="700078"/>
    <s v="Salaries-Service/Support-NonProd-Other"/>
    <s v="Nursing Staff Office"/>
    <x v="0"/>
    <n v="2000"/>
    <n v="0"/>
    <n v="0"/>
    <n v="0"/>
    <n v="0"/>
    <n v="23.08"/>
    <n v="-6.36"/>
    <n v="0"/>
    <n v="20.12"/>
    <n v="56.95"/>
    <n v="0.85"/>
    <n v="75.78"/>
    <n v="14.14"/>
    <n v="184.56"/>
    <n v="61.64"/>
  </r>
  <r>
    <x v="5"/>
    <x v="0"/>
    <x v="0"/>
    <s v="3205102"/>
    <n v="700084"/>
    <s v="Accrued PTO"/>
    <s v="Nursing Staff Office"/>
    <x v="0"/>
    <m/>
    <n v="1117.1199999999999"/>
    <n v="293.55"/>
    <n v="56.34"/>
    <n v="568.58000000000004"/>
    <n v="-948.11"/>
    <n v="-1168.29"/>
    <n v="216.77"/>
    <n v="-55.92"/>
    <n v="-458.71"/>
    <n v="783.58"/>
    <n v="-523.79999999999995"/>
    <n v="175.13"/>
    <n v="56.239999999999725"/>
    <n v="-698.93"/>
  </r>
  <r>
    <x v="6"/>
    <x v="0"/>
    <x v="0"/>
    <s v="3205102"/>
    <n v="713010"/>
    <s v="Benefits-FICA/Medicare"/>
    <s v="Nursing Staff Office"/>
    <x v="0"/>
    <m/>
    <n v="960.51"/>
    <n v="579.04"/>
    <n v="950"/>
    <n v="855.29"/>
    <n v="883.58"/>
    <n v="877.83"/>
    <n v="896.1"/>
    <n v="819.24"/>
    <n v="808.76"/>
    <n v="571.35"/>
    <n v="637.13"/>
    <n v="458.82"/>
    <n v="9297.65"/>
    <n v="178.31"/>
  </r>
  <r>
    <x v="6"/>
    <x v="0"/>
    <x v="0"/>
    <s v="3205102"/>
    <n v="713090"/>
    <s v="Benefits-Allocated Amounts"/>
    <s v="Nursing Staff Office"/>
    <x v="0"/>
    <m/>
    <n v="3517.53"/>
    <n v="2069.75"/>
    <n v="3849.4"/>
    <n v="3392.03"/>
    <n v="3476.03"/>
    <n v="3445.02"/>
    <n v="3784.17"/>
    <n v="3563.66"/>
    <n v="3052.85"/>
    <n v="2403.5300000000002"/>
    <n v="2507.9299999999998"/>
    <n v="1971.37"/>
    <n v="37033.269999999997"/>
    <n v="536.55999999999995"/>
  </r>
  <r>
    <x v="6"/>
    <x v="0"/>
    <x v="0"/>
    <s v="3205102"/>
    <n v="713096"/>
    <s v="Employee Recognition"/>
    <s v="Nursing Staff Office"/>
    <x v="0"/>
    <n v="1017"/>
    <n v="0"/>
    <n v="0"/>
    <n v="0"/>
    <n v="0"/>
    <n v="0"/>
    <n v="0"/>
    <n v="0"/>
    <n v="0"/>
    <n v="0"/>
    <n v="0"/>
    <n v="0"/>
    <n v="71.97"/>
    <n v="71.97"/>
    <n v="-71.97"/>
  </r>
  <r>
    <x v="11"/>
    <x v="0"/>
    <x v="0"/>
    <s v="3205102"/>
    <n v="721810"/>
    <s v="Supplies-Dietary/Cafeteria"/>
    <s v="Nursing Staff Office"/>
    <x v="0"/>
    <m/>
    <n v="0"/>
    <n v="8"/>
    <n v="0"/>
    <n v="0"/>
    <n v="8"/>
    <n v="8"/>
    <n v="16"/>
    <n v="8"/>
    <n v="39.15"/>
    <n v="0"/>
    <n v="8"/>
    <n v="38.950000000000003"/>
    <n v="134.10000000000002"/>
    <n v="-30.950000000000003"/>
  </r>
  <r>
    <x v="11"/>
    <x v="0"/>
    <x v="0"/>
    <s v="3205102"/>
    <n v="721830"/>
    <s v="Supplies-Office"/>
    <s v="Nursing Staff Office"/>
    <x v="0"/>
    <m/>
    <n v="0"/>
    <n v="0"/>
    <n v="30"/>
    <n v="0"/>
    <n v="0"/>
    <n v="8.91"/>
    <n v="0"/>
    <n v="0"/>
    <n v="0"/>
    <n v="0"/>
    <n v="0"/>
    <n v="0"/>
    <n v="38.909999999999997"/>
    <n v="0"/>
  </r>
  <r>
    <x v="0"/>
    <x v="0"/>
    <x v="0"/>
    <s v="3205102"/>
    <n v="740020"/>
    <s v="Education-Registration Fees"/>
    <s v="Nursing Staff Office"/>
    <x v="0"/>
    <m/>
    <n v="0"/>
    <n v="0"/>
    <n v="0"/>
    <n v="0"/>
    <n v="0"/>
    <n v="0"/>
    <n v="0"/>
    <n v="0"/>
    <n v="0"/>
    <n v="0"/>
    <n v="0"/>
    <n v="0"/>
    <n v="0"/>
    <n v="0"/>
  </r>
  <r>
    <x v="0"/>
    <x v="0"/>
    <x v="0"/>
    <s v="3205102"/>
    <n v="749510"/>
    <s v="Miscellaneous Expenses"/>
    <s v="Nursing Staff Office"/>
    <x v="0"/>
    <m/>
    <n v="0"/>
    <n v="0"/>
    <n v="0"/>
    <n v="0"/>
    <n v="66.22"/>
    <n v="-66.22"/>
    <n v="0"/>
    <n v="0"/>
    <n v="0"/>
    <n v="0"/>
    <n v="0"/>
    <n v="0"/>
    <n v="0"/>
    <n v="0"/>
  </r>
  <r>
    <x v="0"/>
    <x v="0"/>
    <x v="0"/>
    <s v="3205102"/>
    <n v="749510"/>
    <s v="RICE Rewards"/>
    <s v="Nursing Staff Office"/>
    <x v="0"/>
    <n v="5100"/>
    <n v="0"/>
    <n v="0"/>
    <n v="0"/>
    <n v="0"/>
    <n v="0"/>
    <n v="66.22"/>
    <n v="0"/>
    <n v="0"/>
    <n v="0"/>
    <n v="0"/>
    <n v="0"/>
    <n v="0"/>
    <n v="66.22"/>
    <n v="0"/>
  </r>
  <r>
    <x v="5"/>
    <x v="4"/>
    <x v="0"/>
    <s v="3205103"/>
    <n v="700026"/>
    <s v="Salaries-RN-Productive"/>
    <s v="Nurse Staffing Office"/>
    <x v="0"/>
    <m/>
    <n v="0"/>
    <n v="0"/>
    <n v="3190.91"/>
    <n v="8307.42"/>
    <n v="7017.83"/>
    <n v="7913.64"/>
    <n v="-26429.8"/>
    <n v="0"/>
    <n v="0"/>
    <n v="0"/>
    <n v="0"/>
    <n v="0"/>
    <n v="0"/>
    <n v="0"/>
  </r>
  <r>
    <x v="5"/>
    <x v="4"/>
    <x v="0"/>
    <s v="3205103"/>
    <n v="700026"/>
    <s v="Salaries-RN-OT"/>
    <s v="Nurse Staffing Office"/>
    <x v="0"/>
    <n v="1000"/>
    <n v="0"/>
    <n v="0"/>
    <n v="0"/>
    <n v="211.62"/>
    <n v="-73.52"/>
    <n v="121.21"/>
    <n v="-259.31"/>
    <n v="0"/>
    <n v="0"/>
    <n v="0"/>
    <n v="0"/>
    <n v="0"/>
    <n v="0"/>
    <n v="0"/>
  </r>
  <r>
    <x v="5"/>
    <x v="4"/>
    <x v="0"/>
    <s v="3205103"/>
    <n v="700026"/>
    <s v="Salaries-RN-Other"/>
    <s v="Nurse Staffing Office"/>
    <x v="0"/>
    <n v="2000"/>
    <n v="0"/>
    <n v="0"/>
    <n v="0"/>
    <n v="99.99"/>
    <n v="-43.99"/>
    <n v="269.5"/>
    <n v="-325.5"/>
    <n v="0"/>
    <n v="0"/>
    <n v="0"/>
    <n v="0"/>
    <n v="0"/>
    <n v="0"/>
    <n v="0"/>
  </r>
  <r>
    <x v="5"/>
    <x v="4"/>
    <x v="0"/>
    <s v="3205103"/>
    <n v="700054"/>
    <s v="Salaries-Management-NonProd-Other"/>
    <s v="Nurse Staffing Office"/>
    <x v="0"/>
    <n v="2000"/>
    <n v="0"/>
    <n v="0"/>
    <n v="0"/>
    <n v="0"/>
    <n v="0"/>
    <n v="2682.37"/>
    <n v="-5364.74"/>
    <n v="0"/>
    <n v="0"/>
    <n v="0"/>
    <n v="0"/>
    <n v="0"/>
    <n v="-2682.37"/>
    <n v="0"/>
  </r>
  <r>
    <x v="5"/>
    <x v="4"/>
    <x v="0"/>
    <s v="3205103"/>
    <n v="700078"/>
    <s v="Salaries-Service/Support-Non-productive"/>
    <s v="Nurse Staffing Office"/>
    <x v="0"/>
    <m/>
    <n v="1663.93"/>
    <n v="1305.27"/>
    <n v="0"/>
    <n v="0"/>
    <n v="0"/>
    <n v="0"/>
    <n v="-2969.2"/>
    <n v="0"/>
    <n v="0"/>
    <n v="0"/>
    <n v="0"/>
    <n v="0"/>
    <n v="0"/>
    <n v="0"/>
  </r>
  <r>
    <x v="5"/>
    <x v="4"/>
    <x v="0"/>
    <s v="3205103"/>
    <n v="700084"/>
    <s v="Accrued PTO"/>
    <s v="Nurse Staffing Office"/>
    <x v="0"/>
    <m/>
    <n v="158.28"/>
    <n v="12.12"/>
    <n v="0"/>
    <n v="0"/>
    <n v="0"/>
    <n v="0"/>
    <n v="-170.4"/>
    <n v="0"/>
    <n v="0"/>
    <n v="0"/>
    <n v="0"/>
    <n v="0"/>
    <n v="0"/>
    <n v="0"/>
  </r>
  <r>
    <x v="6"/>
    <x v="4"/>
    <x v="0"/>
    <s v="3205103"/>
    <n v="713010"/>
    <s v="Benefits-FICA/Medicare"/>
    <s v="Nurse Staffing Office"/>
    <x v="0"/>
    <m/>
    <n v="105.53"/>
    <n v="443.4"/>
    <n v="244.09"/>
    <n v="659.39"/>
    <n v="527.82000000000005"/>
    <n v="827.96"/>
    <n v="-2534.14"/>
    <n v="0"/>
    <n v="0"/>
    <n v="0"/>
    <n v="0"/>
    <n v="0"/>
    <n v="274.05000000000018"/>
    <n v="0"/>
  </r>
  <r>
    <x v="6"/>
    <x v="4"/>
    <x v="0"/>
    <s v="3205103"/>
    <n v="713090"/>
    <s v="Benefits-Allocated Amounts"/>
    <s v="Nurse Staffing Office"/>
    <x v="0"/>
    <m/>
    <n v="409.48"/>
    <n v="262.19"/>
    <n v="474.28"/>
    <n v="1232.55"/>
    <n v="1018.35"/>
    <n v="1323.6"/>
    <n v="-4720.45"/>
    <n v="-83.18"/>
    <n v="-10.73"/>
    <n v="52.42"/>
    <n v="22.78"/>
    <n v="3.36"/>
    <n v="-15.350000000000009"/>
    <n v="19.420000000000002"/>
  </r>
  <r>
    <x v="11"/>
    <x v="4"/>
    <x v="0"/>
    <s v="3205103"/>
    <n v="721810"/>
    <s v="Supplies-Dietary/Cafeteria"/>
    <s v="Nurse Staffing Office"/>
    <x v="0"/>
    <m/>
    <n v="0"/>
    <n v="0"/>
    <n v="0"/>
    <n v="0"/>
    <n v="0"/>
    <n v="0"/>
    <n v="0"/>
    <n v="0"/>
    <n v="0"/>
    <n v="0"/>
    <n v="8"/>
    <n v="0"/>
    <n v="8"/>
    <n v="8"/>
  </r>
  <r>
    <x v="5"/>
    <x v="8"/>
    <x v="0"/>
    <s v="3205104"/>
    <n v="700026"/>
    <s v="Salaries-RN-Productive"/>
    <s v="Nursing Staff Office"/>
    <x v="0"/>
    <m/>
    <n v="0"/>
    <n v="0"/>
    <n v="0"/>
    <n v="0"/>
    <n v="0"/>
    <n v="196.15"/>
    <n v="-24.51"/>
    <n v="0"/>
    <n v="0"/>
    <n v="0"/>
    <n v="0"/>
    <n v="688.69"/>
    <n v="860.33"/>
    <n v="-688.69"/>
  </r>
  <r>
    <x v="5"/>
    <x v="8"/>
    <x v="0"/>
    <s v="3205104"/>
    <n v="700026"/>
    <s v="Salaries-RN-Other"/>
    <s v="Nursing Staff Office"/>
    <x v="0"/>
    <n v="2000"/>
    <n v="0"/>
    <n v="0"/>
    <n v="0"/>
    <n v="0"/>
    <n v="0"/>
    <n v="14.85"/>
    <n v="-1.85"/>
    <n v="0"/>
    <n v="0"/>
    <n v="0"/>
    <n v="0"/>
    <n v="46.83"/>
    <n v="59.83"/>
    <n v="-46.83"/>
  </r>
  <r>
    <x v="6"/>
    <x v="8"/>
    <x v="0"/>
    <s v="3205104"/>
    <n v="713010"/>
    <s v="Benefits-FICA/Medicare"/>
    <s v="Nursing Staff Office"/>
    <x v="0"/>
    <m/>
    <n v="0"/>
    <n v="0"/>
    <n v="0"/>
    <n v="0"/>
    <n v="0"/>
    <n v="15.61"/>
    <n v="-1.94"/>
    <n v="0"/>
    <n v="0"/>
    <n v="0"/>
    <n v="0"/>
    <n v="56.04"/>
    <n v="69.709999999999994"/>
    <n v="-56.04"/>
  </r>
  <r>
    <x v="6"/>
    <x v="8"/>
    <x v="0"/>
    <s v="3205104"/>
    <n v="713090"/>
    <s v="Benefits-Allocated Amounts"/>
    <s v="Nursing Staff Office"/>
    <x v="0"/>
    <m/>
    <n v="0"/>
    <n v="0"/>
    <n v="0"/>
    <n v="0"/>
    <n v="0"/>
    <n v="38.369999999999997"/>
    <n v="6.94"/>
    <n v="6.92"/>
    <n v="-36.51"/>
    <n v="1.87"/>
    <n v="-17.59"/>
    <n v="160.61000000000001"/>
    <n v="160.61000000000001"/>
    <n v="-178.20000000000002"/>
  </r>
  <r>
    <x v="5"/>
    <x v="5"/>
    <x v="0"/>
    <s v="3205106"/>
    <n v="700026"/>
    <s v="Salaries-RN-Productive"/>
    <s v="Nurse Staffing Office"/>
    <x v="0"/>
    <m/>
    <n v="701.71"/>
    <n v="-123.79"/>
    <n v="0"/>
    <n v="2081.6"/>
    <n v="0"/>
    <n v="421.4"/>
    <n v="0"/>
    <n v="425.99"/>
    <n v="-28.96"/>
    <n v="0"/>
    <n v="0"/>
    <n v="27"/>
    <n v="3504.95"/>
    <n v="-27"/>
  </r>
  <r>
    <x v="5"/>
    <x v="5"/>
    <x v="0"/>
    <s v="3205106"/>
    <n v="700026"/>
    <s v="Salaries-RN-OT"/>
    <s v="Nurse Staffing Office"/>
    <x v="0"/>
    <n v="1000"/>
    <n v="146.18"/>
    <n v="-25.78"/>
    <n v="0"/>
    <n v="0"/>
    <n v="0"/>
    <n v="0"/>
    <n v="0"/>
    <n v="82.55"/>
    <n v="-21.72"/>
    <n v="0"/>
    <n v="0"/>
    <n v="0"/>
    <n v="181.23"/>
    <n v="0"/>
  </r>
  <r>
    <x v="5"/>
    <x v="5"/>
    <x v="0"/>
    <s v="3205106"/>
    <n v="700026"/>
    <s v="Salaries-RN-Other"/>
    <s v="Nurse Staffing Office"/>
    <x v="0"/>
    <n v="2000"/>
    <n v="36.270000000000003"/>
    <n v="-6.39"/>
    <n v="0"/>
    <n v="0"/>
    <n v="0"/>
    <n v="35"/>
    <n v="0"/>
    <n v="22"/>
    <n v="0"/>
    <n v="0"/>
    <n v="0"/>
    <n v="1.38"/>
    <n v="88.259999999999991"/>
    <n v="-1.38"/>
  </r>
  <r>
    <x v="5"/>
    <x v="5"/>
    <x v="0"/>
    <s v="3205106"/>
    <n v="700066"/>
    <s v="Salaries-RN-Non-productive"/>
    <s v="Nurse Staffing Office"/>
    <x v="0"/>
    <m/>
    <n v="758.24"/>
    <n v="490.72"/>
    <n v="182.14"/>
    <n v="0"/>
    <n v="647.88"/>
    <n v="624.72"/>
    <n v="262.67"/>
    <n v="-77.22"/>
    <n v="0"/>
    <n v="0"/>
    <n v="0"/>
    <n v="0"/>
    <n v="2889.15"/>
    <n v="0"/>
  </r>
  <r>
    <x v="5"/>
    <x v="5"/>
    <x v="0"/>
    <s v="3205106"/>
    <n v="700066"/>
    <s v="Salaries-RN-NonProd-Other"/>
    <s v="Nurse Staffing Office"/>
    <x v="0"/>
    <n v="2000"/>
    <n v="3.03"/>
    <n v="-0.53"/>
    <n v="0"/>
    <n v="0"/>
    <n v="0"/>
    <n v="0"/>
    <n v="0"/>
    <n v="0"/>
    <n v="0"/>
    <n v="0"/>
    <n v="0"/>
    <n v="0"/>
    <n v="2.5"/>
    <n v="0"/>
  </r>
  <r>
    <x v="5"/>
    <x v="5"/>
    <x v="0"/>
    <s v="3205106"/>
    <n v="700084"/>
    <s v="Accrued PTO"/>
    <s v="Nurse Staffing Office"/>
    <x v="0"/>
    <m/>
    <n v="328.76"/>
    <n v="327.33999999999997"/>
    <n v="200.87"/>
    <n v="686.15"/>
    <n v="-232.69"/>
    <n v="-272.64999999999998"/>
    <n v="860.06"/>
    <n v="0"/>
    <n v="0"/>
    <n v="0"/>
    <n v="0"/>
    <n v="0"/>
    <n v="1897.8399999999997"/>
    <n v="0"/>
  </r>
  <r>
    <x v="6"/>
    <x v="5"/>
    <x v="0"/>
    <s v="3205106"/>
    <n v="713010"/>
    <s v="Benefits-FICA/Medicare"/>
    <s v="Nurse Staffing Office"/>
    <x v="0"/>
    <m/>
    <n v="123.71"/>
    <n v="24.14"/>
    <n v="13.42"/>
    <n v="154.21"/>
    <n v="47.73"/>
    <n v="81"/>
    <n v="19.28"/>
    <n v="34.380000000000003"/>
    <n v="-3.73"/>
    <n v="0"/>
    <n v="0"/>
    <n v="2.14"/>
    <n v="496.28"/>
    <n v="-2.14"/>
  </r>
  <r>
    <x v="6"/>
    <x v="5"/>
    <x v="0"/>
    <s v="3205106"/>
    <n v="713090"/>
    <s v="Benefits-Allocated Amounts"/>
    <s v="Nurse Staffing Office"/>
    <x v="0"/>
    <m/>
    <n v="315.5"/>
    <n v="88.9"/>
    <n v="27.83"/>
    <n v="414.24"/>
    <n v="115.8"/>
    <n v="160.88"/>
    <n v="84.76"/>
    <n v="126.25"/>
    <n v="-40.630000000000003"/>
    <n v="16.22"/>
    <n v="16.149999999999999"/>
    <n v="-35.99"/>
    <n v="1289.9100000000001"/>
    <n v="52.14"/>
  </r>
  <r>
    <x v="5"/>
    <x v="6"/>
    <x v="0"/>
    <s v="3205107"/>
    <n v="700038"/>
    <s v="Salaries-Service/Support-Productive"/>
    <s v="Nurse Staffing Office"/>
    <x v="0"/>
    <m/>
    <n v="11954.11"/>
    <n v="11622.16"/>
    <n v="11946.46"/>
    <n v="13733.18"/>
    <n v="12033.05"/>
    <n v="14640.94"/>
    <n v="12290.97"/>
    <n v="11747.08"/>
    <n v="13416.84"/>
    <n v="12163.83"/>
    <n v="12052.33"/>
    <n v="11405.6"/>
    <n v="149006.54999999999"/>
    <n v="646.72999999999956"/>
  </r>
  <r>
    <x v="5"/>
    <x v="6"/>
    <x v="0"/>
    <s v="3205107"/>
    <n v="700038"/>
    <s v="Salaries-Service/Support-OT"/>
    <s v="Nurse Staffing Office"/>
    <x v="0"/>
    <n v="1000"/>
    <n v="0"/>
    <n v="665.34"/>
    <n v="166.09"/>
    <n v="39.25"/>
    <n v="0"/>
    <n v="602.29"/>
    <n v="-61.62"/>
    <n v="0"/>
    <n v="0"/>
    <n v="0"/>
    <n v="7.57"/>
    <n v="84.58"/>
    <n v="1503.5"/>
    <n v="-77.009999999999991"/>
  </r>
  <r>
    <x v="5"/>
    <x v="6"/>
    <x v="0"/>
    <s v="3205107"/>
    <n v="700038"/>
    <s v="Salaries-Service/Support-Other"/>
    <s v="Nurse Staffing Office"/>
    <x v="0"/>
    <n v="2000"/>
    <n v="1648.29"/>
    <n v="2066.96"/>
    <n v="2011.97"/>
    <n v="1819.54"/>
    <n v="1577.47"/>
    <n v="2056.6"/>
    <n v="1092.29"/>
    <n v="1349.41"/>
    <n v="1326.99"/>
    <n v="1148.49"/>
    <n v="1360.57"/>
    <n v="1305.67"/>
    <n v="18764.25"/>
    <n v="54.899999999999864"/>
  </r>
  <r>
    <x v="5"/>
    <x v="6"/>
    <x v="0"/>
    <s v="3205107"/>
    <n v="700078"/>
    <s v="Salaries-Service/Support-Non-productive"/>
    <s v="Nurse Staffing Office"/>
    <x v="0"/>
    <m/>
    <n v="2281.23"/>
    <n v="4885.55"/>
    <n v="4353.17"/>
    <n v="2111.35"/>
    <n v="2038.1"/>
    <n v="4247.41"/>
    <n v="2004.75"/>
    <n v="1887.21"/>
    <n v="2868.97"/>
    <n v="2061.1799999999998"/>
    <n v="2122.39"/>
    <n v="4873.88"/>
    <n v="35735.19"/>
    <n v="-2751.4900000000002"/>
  </r>
  <r>
    <x v="5"/>
    <x v="6"/>
    <x v="0"/>
    <s v="3205107"/>
    <n v="700078"/>
    <s v="Salaries-Service/Support-NonProd-Other"/>
    <s v="Nurse Staffing Offi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205107"/>
    <n v="700084"/>
    <s v="Accrued PTO"/>
    <s v="Nurse Staffing Office"/>
    <x v="0"/>
    <m/>
    <n v="-524.9"/>
    <n v="451.67"/>
    <n v="-298.10000000000002"/>
    <n v="-804.05"/>
    <n v="62.01"/>
    <n v="-438.89"/>
    <n v="213.42"/>
    <n v="110.59"/>
    <n v="-400.38"/>
    <n v="-176.36"/>
    <n v="732.61"/>
    <n v="396.92"/>
    <n v="-675.45999999999958"/>
    <n v="335.69"/>
  </r>
  <r>
    <x v="6"/>
    <x v="6"/>
    <x v="0"/>
    <s v="3205107"/>
    <n v="713010"/>
    <s v="Benefits-FICA/Medicare"/>
    <s v="Nurse Staffing Office"/>
    <x v="0"/>
    <m/>
    <n v="1155.5999999999999"/>
    <n v="1397.2"/>
    <n v="1340.49"/>
    <n v="1278.03"/>
    <n v="1169.5999999999999"/>
    <n v="1585.49"/>
    <n v="1113.99"/>
    <n v="1085.71"/>
    <n v="1284.73"/>
    <n v="1115.5899999999999"/>
    <n v="1126.94"/>
    <n v="1329.89"/>
    <n v="14983.26"/>
    <n v="-202.95000000000005"/>
  </r>
  <r>
    <x v="6"/>
    <x v="6"/>
    <x v="0"/>
    <s v="3205107"/>
    <n v="713090"/>
    <s v="Benefits-Allocated Amounts"/>
    <s v="Nurse Staffing Office"/>
    <x v="0"/>
    <m/>
    <n v="4010.23"/>
    <n v="4409.3"/>
    <n v="4677.09"/>
    <n v="4485.6899999999996"/>
    <n v="4547.6899999999996"/>
    <n v="5594.37"/>
    <n v="4153.68"/>
    <n v="4186.59"/>
    <n v="4292.68"/>
    <n v="4476.57"/>
    <n v="3968.42"/>
    <n v="5533.93"/>
    <n v="54336.24"/>
    <n v="-1565.5100000000002"/>
  </r>
  <r>
    <x v="11"/>
    <x v="6"/>
    <x v="0"/>
    <s v="3205107"/>
    <n v="721830"/>
    <s v="Supplies-Office"/>
    <s v="Nurse Staffing Office"/>
    <x v="0"/>
    <m/>
    <n v="0"/>
    <n v="0"/>
    <n v="31.3"/>
    <n v="0"/>
    <n v="0"/>
    <n v="0"/>
    <n v="0"/>
    <n v="0"/>
    <n v="0"/>
    <n v="0"/>
    <n v="0"/>
    <n v="0"/>
    <n v="31.3"/>
    <n v="0"/>
  </r>
  <r>
    <x v="5"/>
    <x v="9"/>
    <x v="0"/>
    <s v="3205501"/>
    <n v="700026"/>
    <s v="Salaries-RN-Productive"/>
    <s v="Regional Nurse Scheduling"/>
    <x v="0"/>
    <m/>
    <n v="0"/>
    <n v="0"/>
    <n v="0"/>
    <n v="0"/>
    <n v="0"/>
    <n v="2171.77"/>
    <n v="-271.37"/>
    <n v="0"/>
    <n v="0"/>
    <n v="0"/>
    <n v="0"/>
    <n v="0"/>
    <n v="1900.4"/>
    <n v="0"/>
  </r>
  <r>
    <x v="5"/>
    <x v="9"/>
    <x v="0"/>
    <s v="3205501"/>
    <n v="700034"/>
    <s v="Salaries-Tech/Professional-Productive"/>
    <s v="Regional Nurse Scheduling"/>
    <x v="0"/>
    <m/>
    <n v="1696.83"/>
    <n v="0"/>
    <n v="4001.42"/>
    <n v="-1455.01"/>
    <n v="0"/>
    <n v="0"/>
    <n v="232.4"/>
    <n v="0"/>
    <n v="0"/>
    <n v="0"/>
    <n v="0"/>
    <n v="0"/>
    <n v="4475.6399999999994"/>
    <n v="0"/>
  </r>
  <r>
    <x v="5"/>
    <x v="9"/>
    <x v="0"/>
    <s v="3205501"/>
    <n v="700034"/>
    <s v="Salaries-Tech/Professional-OT"/>
    <s v="Regional Nurse Scheduling"/>
    <x v="0"/>
    <n v="1000"/>
    <n v="0"/>
    <n v="0"/>
    <n v="0"/>
    <n v="0"/>
    <n v="0"/>
    <n v="0"/>
    <n v="251"/>
    <n v="0"/>
    <n v="0"/>
    <n v="0"/>
    <n v="0"/>
    <n v="0"/>
    <n v="251"/>
    <n v="0"/>
  </r>
  <r>
    <x v="5"/>
    <x v="9"/>
    <x v="0"/>
    <s v="3205501"/>
    <n v="700038"/>
    <s v="Salaries-Service/Support-Productive"/>
    <s v="Regional Nurse Scheduling"/>
    <x v="0"/>
    <m/>
    <n v="42102.879999999997"/>
    <n v="39040.75"/>
    <n v="33843.1"/>
    <n v="42092.56"/>
    <n v="40708.47"/>
    <n v="35878.01"/>
    <n v="39287.980000000003"/>
    <n v="36169.08"/>
    <n v="34351.230000000003"/>
    <n v="36836.269999999997"/>
    <n v="40372.32"/>
    <n v="41641.69"/>
    <n v="462324.34"/>
    <n v="-1269.3700000000026"/>
  </r>
  <r>
    <x v="5"/>
    <x v="9"/>
    <x v="0"/>
    <s v="3205501"/>
    <n v="700038"/>
    <s v="Salaries-Service/Support-OT"/>
    <s v="Regional Nurse Scheduling"/>
    <x v="0"/>
    <n v="1000"/>
    <n v="2501.2600000000002"/>
    <n v="2032.68"/>
    <n v="2784.53"/>
    <n v="969.96"/>
    <n v="3607.92"/>
    <n v="1256.32"/>
    <n v="4040.14"/>
    <n v="4152.76"/>
    <n v="5016.1499999999996"/>
    <n v="4457.97"/>
    <n v="2523.54"/>
    <n v="6923.36"/>
    <n v="40266.590000000004"/>
    <n v="-4399.82"/>
  </r>
  <r>
    <x v="5"/>
    <x v="9"/>
    <x v="0"/>
    <s v="3205501"/>
    <n v="700038"/>
    <s v="Salaries-Service/Support-Other"/>
    <s v="Regional Nurse Scheduling"/>
    <x v="0"/>
    <n v="2000"/>
    <n v="2212.12"/>
    <n v="2472.0100000000002"/>
    <n v="2340.56"/>
    <n v="1814.43"/>
    <n v="2248.38"/>
    <n v="2055.66"/>
    <n v="2454.34"/>
    <n v="2193.7800000000002"/>
    <n v="1968.73"/>
    <n v="1814.01"/>
    <n v="2121.4899999999998"/>
    <n v="2378.87"/>
    <n v="26074.379999999994"/>
    <n v="-257.38000000000011"/>
  </r>
  <r>
    <x v="5"/>
    <x v="9"/>
    <x v="0"/>
    <s v="3205501"/>
    <n v="700054"/>
    <s v="Salaries-Management-NonProd-Other"/>
    <s v="Regional Nurse Scheduling"/>
    <x v="0"/>
    <n v="2000"/>
    <n v="0"/>
    <n v="0"/>
    <n v="0"/>
    <n v="0"/>
    <n v="0"/>
    <n v="1367.77"/>
    <n v="-1367.77"/>
    <n v="0"/>
    <n v="0"/>
    <n v="0"/>
    <n v="0"/>
    <n v="0"/>
    <n v="0"/>
    <n v="0"/>
  </r>
  <r>
    <x v="5"/>
    <x v="9"/>
    <x v="0"/>
    <s v="3205501"/>
    <n v="700078"/>
    <s v="Salaries-Service/Support-Non-productive"/>
    <s v="Regional Nurse Scheduling"/>
    <x v="0"/>
    <m/>
    <n v="2772.38"/>
    <n v="4969.5"/>
    <n v="6573.8"/>
    <n v="2431.39"/>
    <n v="2901.77"/>
    <n v="8735.44"/>
    <n v="5727.2"/>
    <n v="3401.79"/>
    <n v="3652.02"/>
    <n v="3250.86"/>
    <n v="1961.64"/>
    <n v="6237.67"/>
    <n v="52615.459999999992"/>
    <n v="-4276.03"/>
  </r>
  <r>
    <x v="5"/>
    <x v="9"/>
    <x v="0"/>
    <s v="3205501"/>
    <n v="700078"/>
    <s v="Salaries-Service/Support-NonProd-Other"/>
    <s v="Regional Nurse Scheduling"/>
    <x v="0"/>
    <n v="2000"/>
    <n v="103.58"/>
    <n v="126.24"/>
    <n v="229.36"/>
    <n v="191.15"/>
    <n v="88.77"/>
    <n v="395.88"/>
    <n v="351.64"/>
    <n v="112.7"/>
    <n v="246.17"/>
    <n v="102.27"/>
    <n v="87.33"/>
    <n v="257.76"/>
    <n v="2292.85"/>
    <n v="-170.43"/>
  </r>
  <r>
    <x v="5"/>
    <x v="9"/>
    <x v="0"/>
    <s v="3205501"/>
    <n v="700084"/>
    <s v="Accrued PTO"/>
    <s v="Regional Nurse Scheduling"/>
    <x v="0"/>
    <m/>
    <n v="2197.35"/>
    <n v="-543.67999999999995"/>
    <n v="-944.25"/>
    <n v="1337.76"/>
    <n v="1085.3"/>
    <n v="-2248.85"/>
    <n v="377.97"/>
    <n v="-1935.68"/>
    <n v="3687.64"/>
    <n v="540.21"/>
    <n v="1708.78"/>
    <n v="-525.95000000000005"/>
    <n v="4736.6000000000004"/>
    <n v="2234.73"/>
  </r>
  <r>
    <x v="10"/>
    <x v="9"/>
    <x v="0"/>
    <s v="3205501"/>
    <n v="710060"/>
    <s v="Contract Labor-Other"/>
    <s v="Regional Nurse Scheduling"/>
    <x v="0"/>
    <m/>
    <n v="0"/>
    <n v="0"/>
    <n v="0"/>
    <n v="0"/>
    <n v="0"/>
    <n v="0"/>
    <n v="1552"/>
    <n v="787.5"/>
    <n v="0"/>
    <n v="1462.5"/>
    <n v="7673"/>
    <n v="-3010.5"/>
    <n v="8464.5"/>
    <n v="10683.5"/>
  </r>
  <r>
    <x v="10"/>
    <x v="9"/>
    <x v="0"/>
    <s v="3205501"/>
    <n v="710060"/>
    <s v="Contract Labor-Overtime"/>
    <s v="Regional Nurse Scheduling"/>
    <x v="0"/>
    <n v="5100"/>
    <n v="0"/>
    <n v="0"/>
    <n v="0"/>
    <n v="0"/>
    <n v="0"/>
    <n v="0"/>
    <n v="0"/>
    <n v="0"/>
    <n v="0"/>
    <n v="0"/>
    <n v="2054.6999999999998"/>
    <n v="-670.95"/>
    <n v="1383.7499999999998"/>
    <n v="2725.6499999999996"/>
  </r>
  <r>
    <x v="10"/>
    <x v="9"/>
    <x v="0"/>
    <s v="3205501"/>
    <n v="710060"/>
    <s v="Contract Labor-Standby Wages"/>
    <s v="Regional Nurse Scheduling"/>
    <x v="0"/>
    <n v="5101"/>
    <n v="0"/>
    <n v="0"/>
    <n v="0"/>
    <n v="0"/>
    <n v="0"/>
    <n v="0"/>
    <n v="0"/>
    <n v="0"/>
    <n v="0"/>
    <n v="0"/>
    <n v="308"/>
    <n v="0"/>
    <n v="308"/>
    <n v="308"/>
  </r>
  <r>
    <x v="6"/>
    <x v="9"/>
    <x v="0"/>
    <s v="3205501"/>
    <n v="713010"/>
    <s v="Benefits-FICA/Medicare"/>
    <s v="Regional Nurse Scheduling"/>
    <x v="0"/>
    <m/>
    <n v="3790.38"/>
    <n v="3584.38"/>
    <n v="3677.56"/>
    <n v="3370.23"/>
    <n v="3660.97"/>
    <n v="3963.07"/>
    <n v="3969.66"/>
    <n v="3393.47"/>
    <n v="3340.57"/>
    <n v="3374.94"/>
    <n v="3446.49"/>
    <n v="4370.22"/>
    <n v="43941.94"/>
    <n v="-923.73000000000047"/>
  </r>
  <r>
    <x v="6"/>
    <x v="9"/>
    <x v="0"/>
    <s v="3205501"/>
    <n v="713090"/>
    <s v="Benefits-Allocated Amounts"/>
    <s v="Regional Nurse Scheduling"/>
    <x v="0"/>
    <m/>
    <n v="13891.22"/>
    <n v="11839.11"/>
    <n v="13135.81"/>
    <n v="12168.03"/>
    <n v="12376.1"/>
    <n v="13082.3"/>
    <n v="13941.33"/>
    <n v="12999.19"/>
    <n v="12738.42"/>
    <n v="12853.02"/>
    <n v="13036.86"/>
    <n v="16042.07"/>
    <n v="158103.46000000002"/>
    <n v="-3005.2099999999991"/>
  </r>
  <r>
    <x v="6"/>
    <x v="9"/>
    <x v="0"/>
    <s v="3205501"/>
    <n v="713096"/>
    <s v="Employee Recognition"/>
    <s v="Regional Nurse Scheduling"/>
    <x v="0"/>
    <n v="1017"/>
    <n v="0"/>
    <n v="0"/>
    <n v="0"/>
    <n v="0"/>
    <n v="0"/>
    <n v="55.05"/>
    <n v="0"/>
    <n v="0"/>
    <n v="0"/>
    <n v="0"/>
    <n v="0"/>
    <n v="0"/>
    <n v="55.05"/>
    <n v="0"/>
  </r>
  <r>
    <x v="7"/>
    <x v="9"/>
    <x v="0"/>
    <s v="3205501"/>
    <n v="718050"/>
    <s v="Contract Svcs-Other"/>
    <s v="Regional Nurse Scheduling"/>
    <x v="0"/>
    <m/>
    <n v="0"/>
    <n v="2885.65"/>
    <n v="1368.65"/>
    <n v="2650"/>
    <n v="0"/>
    <n v="0"/>
    <n v="5870"/>
    <n v="0"/>
    <n v="0"/>
    <n v="0"/>
    <n v="0"/>
    <n v="13097.7"/>
    <n v="25872"/>
    <n v="-13097.7"/>
  </r>
  <r>
    <x v="11"/>
    <x v="9"/>
    <x v="0"/>
    <s v="3205501"/>
    <n v="721830"/>
    <s v="Supplies-Office"/>
    <s v="Regional Nurse Scheduling"/>
    <x v="0"/>
    <m/>
    <n v="485.84"/>
    <n v="0"/>
    <n v="1694.83"/>
    <n v="-1592.69"/>
    <n v="420.42"/>
    <n v="1112.93"/>
    <n v="2661.45"/>
    <n v="182.55"/>
    <n v="752.55"/>
    <n v="118.84"/>
    <n v="63.89"/>
    <n v="0"/>
    <n v="5900.6100000000006"/>
    <n v="63.89"/>
  </r>
  <r>
    <x v="11"/>
    <x v="9"/>
    <x v="0"/>
    <s v="3205501"/>
    <n v="721835"/>
    <s v="Supplies-Forms"/>
    <s v="Regional Nurse Scheduling"/>
    <x v="0"/>
    <m/>
    <n v="0"/>
    <n v="0"/>
    <n v="0"/>
    <n v="0"/>
    <n v="0"/>
    <n v="0"/>
    <n v="0"/>
    <n v="0"/>
    <n v="0"/>
    <n v="0"/>
    <n v="1.8"/>
    <n v="0"/>
    <n v="1.8"/>
    <n v="1.8"/>
  </r>
  <r>
    <x v="11"/>
    <x v="9"/>
    <x v="0"/>
    <s v="3205501"/>
    <n v="721910"/>
    <s v="Supplies-Small Equipment"/>
    <s v="Regional Nurse Scheduling"/>
    <x v="0"/>
    <m/>
    <n v="1477.43"/>
    <n v="3030.92"/>
    <n v="-2000"/>
    <n v="-1000"/>
    <n v="0"/>
    <n v="783.94"/>
    <n v="79.180000000000007"/>
    <n v="0"/>
    <n v="250"/>
    <n v="0"/>
    <n v="25.25"/>
    <n v="0"/>
    <n v="2646.7200000000003"/>
    <n v="25.25"/>
  </r>
  <r>
    <x v="11"/>
    <x v="9"/>
    <x v="0"/>
    <s v="3205501"/>
    <n v="722000"/>
    <s v="Supplies-Freight Expense"/>
    <s v="Regional Nurse Scheduling"/>
    <x v="0"/>
    <m/>
    <n v="0"/>
    <n v="0"/>
    <n v="0"/>
    <n v="0"/>
    <n v="0"/>
    <n v="0"/>
    <n v="0"/>
    <n v="0"/>
    <n v="0"/>
    <n v="39.880000000000003"/>
    <n v="0"/>
    <n v="0"/>
    <n v="39.880000000000003"/>
    <n v="0"/>
  </r>
  <r>
    <x v="12"/>
    <x v="9"/>
    <x v="0"/>
    <s v="3205501"/>
    <n v="730020"/>
    <s v="Rental and Leases-Copier Usage Fees (DO NOT USE)"/>
    <s v="Regional Nurse Scheduling"/>
    <x v="0"/>
    <n v="5100"/>
    <n v="441.13"/>
    <n v="460.3"/>
    <n v="450.71"/>
    <n v="450.71"/>
    <n v="450.71"/>
    <n v="450.71"/>
    <n v="-1485.66"/>
    <n v="120.02"/>
    <n v="119.76"/>
    <n v="942.98"/>
    <n v="120.02"/>
    <n v="1823.05"/>
    <n v="4344.4399999999996"/>
    <n v="-1703.03"/>
  </r>
  <r>
    <x v="15"/>
    <x v="9"/>
    <x v="0"/>
    <s v="3205501"/>
    <n v="731060"/>
    <s v="Cell Phones"/>
    <s v="Regional Nurse Scheduling"/>
    <x v="0"/>
    <n v="1001"/>
    <n v="0"/>
    <n v="139.43"/>
    <n v="118.88"/>
    <n v="0"/>
    <n v="85.44"/>
    <n v="87.19"/>
    <n v="178.68"/>
    <n v="0"/>
    <n v="87.74"/>
    <n v="174.47"/>
    <n v="85.44"/>
    <n v="87.3"/>
    <n v="1044.57"/>
    <n v="-1.8599999999999994"/>
  </r>
  <r>
    <x v="0"/>
    <x v="9"/>
    <x v="0"/>
    <s v="3205501"/>
    <n v="749510"/>
    <s v="Miscellaneous Expenses"/>
    <s v="Regional Nurse Scheduling"/>
    <x v="0"/>
    <m/>
    <n v="4094.51"/>
    <n v="1004"/>
    <n v="1363.37"/>
    <n v="0"/>
    <n v="0"/>
    <n v="0"/>
    <n v="1388.4"/>
    <n v="0"/>
    <n v="0"/>
    <n v="0"/>
    <n v="37.340000000000003"/>
    <n v="191.3"/>
    <n v="8078.920000000001"/>
    <n v="-153.96"/>
  </r>
  <r>
    <x v="0"/>
    <x v="9"/>
    <x v="0"/>
    <s v="3205501"/>
    <n v="749510"/>
    <s v="RICE Rewards"/>
    <s v="Regional Nurse Scheduling"/>
    <x v="0"/>
    <n v="5100"/>
    <n v="0"/>
    <n v="0"/>
    <n v="0"/>
    <n v="0"/>
    <n v="0"/>
    <n v="0"/>
    <n v="1145.06"/>
    <n v="291.66000000000003"/>
    <n v="0"/>
    <n v="0"/>
    <n v="0"/>
    <n v="0"/>
    <n v="1436.72"/>
    <n v="0"/>
  </r>
  <r>
    <x v="0"/>
    <x v="9"/>
    <x v="0"/>
    <s v="3205501"/>
    <n v="749530"/>
    <s v="Travel"/>
    <s v="Regional Nurse Scheduling"/>
    <x v="0"/>
    <m/>
    <n v="0"/>
    <n v="0"/>
    <n v="0"/>
    <n v="0"/>
    <n v="0"/>
    <n v="227.99"/>
    <n v="194.59"/>
    <n v="0"/>
    <n v="0"/>
    <n v="396.6"/>
    <n v="0"/>
    <n v="0"/>
    <n v="819.18000000000006"/>
    <n v="0"/>
  </r>
  <r>
    <x v="5"/>
    <x v="3"/>
    <x v="0"/>
    <s v="3208101"/>
    <n v="700026"/>
    <s v="Salaries-RN-Productive"/>
    <s v="Nursing Float"/>
    <x v="0"/>
    <m/>
    <n v="30557.35"/>
    <n v="33357.660000000003"/>
    <n v="27199.25"/>
    <n v="32598.2"/>
    <n v="29157.49"/>
    <n v="26787.57"/>
    <n v="35856.769999999997"/>
    <n v="30017.72"/>
    <n v="36712.769999999997"/>
    <n v="31559.75"/>
    <n v="35900.18"/>
    <n v="27502.45"/>
    <n v="377207.16000000003"/>
    <n v="8397.73"/>
  </r>
  <r>
    <x v="5"/>
    <x v="3"/>
    <x v="0"/>
    <s v="3208101"/>
    <n v="700026"/>
    <s v="Salaries-RN-OT"/>
    <s v="Nursing Float"/>
    <x v="0"/>
    <n v="1000"/>
    <n v="1182.21"/>
    <n v="1168.0899999999999"/>
    <n v="648.79"/>
    <n v="1357.79"/>
    <n v="1529.05"/>
    <n v="2511.6"/>
    <n v="1187.8599999999999"/>
    <n v="1901.06"/>
    <n v="1937.35"/>
    <n v="787.48"/>
    <n v="311.27999999999997"/>
    <n v="1481.85"/>
    <n v="16004.410000000002"/>
    <n v="-1170.57"/>
  </r>
  <r>
    <x v="5"/>
    <x v="3"/>
    <x v="0"/>
    <s v="3208101"/>
    <n v="700026"/>
    <s v="Salaries-RN-Other"/>
    <s v="Nursing Float"/>
    <x v="0"/>
    <n v="2000"/>
    <n v="3326.48"/>
    <n v="3737.99"/>
    <n v="3314.37"/>
    <n v="3469.31"/>
    <n v="3510.17"/>
    <n v="2969.48"/>
    <n v="3515.34"/>
    <n v="3248.29"/>
    <n v="3869.16"/>
    <n v="3092.81"/>
    <n v="3794.68"/>
    <n v="2984.39"/>
    <n v="40832.47"/>
    <n v="810.29"/>
  </r>
  <r>
    <x v="5"/>
    <x v="3"/>
    <x v="0"/>
    <s v="3208101"/>
    <n v="700032"/>
    <s v="Salaries-Other Pat Care Providers-Productive"/>
    <s v="Nursing Float"/>
    <x v="0"/>
    <m/>
    <n v="7036.65"/>
    <n v="13426.03"/>
    <n v="8770.0400000000009"/>
    <n v="5297.24"/>
    <n v="11001.08"/>
    <n v="6815.66"/>
    <n v="7124.19"/>
    <n v="14446.61"/>
    <n v="15100.74"/>
    <n v="9983.9599999999991"/>
    <n v="5879.26"/>
    <n v="21160.81"/>
    <n v="126042.27"/>
    <n v="-15281.550000000001"/>
  </r>
  <r>
    <x v="5"/>
    <x v="3"/>
    <x v="0"/>
    <s v="3208101"/>
    <n v="700032"/>
    <s v="Salaries-Other Pat Care Providers-OT"/>
    <s v="Nursing Float"/>
    <x v="0"/>
    <n v="1000"/>
    <n v="235.83"/>
    <n v="59.48"/>
    <n v="772.52"/>
    <n v="546.04"/>
    <n v="-62.96"/>
    <n v="478.64"/>
    <n v="317.41000000000003"/>
    <n v="572.47"/>
    <n v="655.24"/>
    <n v="244.56"/>
    <n v="422.05"/>
    <n v="909.72"/>
    <n v="5150.9999999999991"/>
    <n v="-487.67"/>
  </r>
  <r>
    <x v="5"/>
    <x v="3"/>
    <x v="0"/>
    <s v="3208101"/>
    <n v="700032"/>
    <s v="Salaries-Other Pat Care Providers-Other"/>
    <s v="Nursing Float"/>
    <x v="0"/>
    <n v="2000"/>
    <n v="1884.82"/>
    <n v="3112.23"/>
    <n v="1743.92"/>
    <n v="1349.81"/>
    <n v="1802.76"/>
    <n v="1580.44"/>
    <n v="1513.34"/>
    <n v="1386.25"/>
    <n v="2255.6"/>
    <n v="1560.74"/>
    <n v="2198.9"/>
    <n v="4247.43"/>
    <n v="24636.240000000005"/>
    <n v="-2048.5300000000002"/>
  </r>
  <r>
    <x v="5"/>
    <x v="3"/>
    <x v="0"/>
    <s v="3208101"/>
    <n v="700054"/>
    <s v="Salaries-Management-NonProd-Other"/>
    <s v="Nursing Float"/>
    <x v="0"/>
    <n v="2000"/>
    <n v="0"/>
    <n v="0"/>
    <n v="0"/>
    <n v="0"/>
    <n v="0"/>
    <n v="1106.57"/>
    <n v="-1106.57"/>
    <n v="0"/>
    <n v="0"/>
    <n v="0"/>
    <n v="0"/>
    <n v="0"/>
    <n v="0"/>
    <n v="0"/>
  </r>
  <r>
    <x v="5"/>
    <x v="3"/>
    <x v="0"/>
    <s v="3208101"/>
    <n v="700066"/>
    <s v="Salaries-RN-Non-productive"/>
    <s v="Nursing Float"/>
    <x v="0"/>
    <m/>
    <n v="7425.41"/>
    <n v="2663.51"/>
    <n v="4584.4399999999996"/>
    <n v="6536.59"/>
    <n v="7754.03"/>
    <n v="13332.18"/>
    <n v="3152.52"/>
    <n v="4459.04"/>
    <n v="-175.2"/>
    <n v="3464.13"/>
    <n v="1676.85"/>
    <n v="4347.68"/>
    <n v="59221.18"/>
    <n v="-2670.8300000000004"/>
  </r>
  <r>
    <x v="5"/>
    <x v="3"/>
    <x v="0"/>
    <s v="3208101"/>
    <n v="700066"/>
    <s v="Salaries-RN-NonProd-Other"/>
    <s v="Nursing Float"/>
    <x v="0"/>
    <n v="2000"/>
    <n v="693.12"/>
    <n v="218.05"/>
    <n v="286.91000000000003"/>
    <n v="682.18"/>
    <n v="506.94"/>
    <n v="1237.0999999999999"/>
    <n v="488.24"/>
    <n v="422.25"/>
    <n v="43.09"/>
    <n v="411.15"/>
    <n v="-13.38"/>
    <n v="1166.23"/>
    <n v="6141.8799999999992"/>
    <n v="-1179.6100000000001"/>
  </r>
  <r>
    <x v="5"/>
    <x v="3"/>
    <x v="0"/>
    <s v="3208101"/>
    <n v="700072"/>
    <s v="Salaries-Other Pat Care Providers-Non-productive"/>
    <s v="Nursing Float"/>
    <x v="0"/>
    <m/>
    <n v="17090.23"/>
    <n v="21558.73"/>
    <n v="15098.98"/>
    <n v="10406.06"/>
    <n v="6882.89"/>
    <n v="24378.67"/>
    <n v="10994.99"/>
    <n v="10579.93"/>
    <n v="11952.61"/>
    <n v="19641.54"/>
    <n v="11284.96"/>
    <n v="10375.64"/>
    <n v="170245.22999999998"/>
    <n v="909.31999999999971"/>
  </r>
  <r>
    <x v="5"/>
    <x v="3"/>
    <x v="0"/>
    <s v="3208101"/>
    <n v="700072"/>
    <s v="Salaries-Other Pat Care Providers-NonProd-Other"/>
    <s v="Nursing Float"/>
    <x v="0"/>
    <n v="2000"/>
    <n v="1006.86"/>
    <n v="1251.07"/>
    <n v="925.54"/>
    <n v="602.86"/>
    <n v="796.78"/>
    <n v="1562.3"/>
    <n v="791.51"/>
    <n v="417.5"/>
    <n v="639.61"/>
    <n v="986.93"/>
    <n v="1188.1400000000001"/>
    <n v="537.58000000000004"/>
    <n v="10706.679999999998"/>
    <n v="650.56000000000006"/>
  </r>
  <r>
    <x v="5"/>
    <x v="3"/>
    <x v="0"/>
    <s v="3208101"/>
    <n v="700084"/>
    <s v="Accrued PTO"/>
    <s v="Nursing Float"/>
    <x v="0"/>
    <m/>
    <n v="-2591.4899999999998"/>
    <n v="-2363.2399999999998"/>
    <n v="-1946.23"/>
    <n v="1002.58"/>
    <n v="6250.49"/>
    <n v="-11346.29"/>
    <n v="2217.14"/>
    <n v="1944.66"/>
    <n v="9327.7999999999993"/>
    <n v="3067.84"/>
    <n v="2013.49"/>
    <n v="3817.98"/>
    <n v="11394.729999999998"/>
    <n v="-1804.49"/>
  </r>
  <r>
    <x v="6"/>
    <x v="3"/>
    <x v="0"/>
    <s v="3208101"/>
    <n v="713010"/>
    <s v="Benefits-FICA/Medicare"/>
    <s v="Nursing Float"/>
    <x v="0"/>
    <m/>
    <n v="5267.19"/>
    <n v="6051.49"/>
    <n v="4762.7299999999996"/>
    <n v="4686.3"/>
    <n v="4919.03"/>
    <n v="6454.31"/>
    <n v="4997.32"/>
    <n v="5156.3500000000004"/>
    <n v="5369.34"/>
    <n v="5264.72"/>
    <n v="4856.04"/>
    <n v="6172.26"/>
    <n v="63957.08"/>
    <n v="-1316.2200000000003"/>
  </r>
  <r>
    <x v="6"/>
    <x v="3"/>
    <x v="0"/>
    <s v="3208101"/>
    <n v="713090"/>
    <s v="Benefits-Allocated Amounts"/>
    <s v="Nursing Float"/>
    <x v="0"/>
    <m/>
    <n v="16647.59"/>
    <n v="19135.939999999999"/>
    <n v="16248.91"/>
    <n v="13572.55"/>
    <n v="14500.72"/>
    <n v="18995"/>
    <n v="15374.66"/>
    <n v="18542.939999999999"/>
    <n v="15481.53"/>
    <n v="19153.79"/>
    <n v="15573.51"/>
    <n v="19917.310000000001"/>
    <n v="203144.45"/>
    <n v="-4343.8000000000011"/>
  </r>
  <r>
    <x v="11"/>
    <x v="3"/>
    <x v="0"/>
    <s v="3208101"/>
    <n v="721810"/>
    <s v="Supplies-Dietary/Cafeteria"/>
    <s v="Nursing Float"/>
    <x v="0"/>
    <m/>
    <n v="0"/>
    <n v="0"/>
    <n v="0"/>
    <n v="0"/>
    <n v="0"/>
    <n v="0"/>
    <n v="0"/>
    <n v="8"/>
    <n v="0"/>
    <n v="0"/>
    <n v="0"/>
    <n v="0"/>
    <n v="8"/>
    <n v="0"/>
  </r>
  <r>
    <x v="0"/>
    <x v="3"/>
    <x v="0"/>
    <s v="3208101"/>
    <n v="740020"/>
    <s v="Education-Registration Fees"/>
    <s v="Nursing Float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3208101"/>
    <n v="749510"/>
    <s v="Miscellaneous Expenses"/>
    <s v="Nursing Float"/>
    <x v="0"/>
    <m/>
    <n v="0"/>
    <n v="-150"/>
    <n v="0"/>
    <n v="0"/>
    <n v="0"/>
    <n v="0"/>
    <n v="0"/>
    <n v="0"/>
    <n v="0"/>
    <n v="0"/>
    <n v="0"/>
    <n v="0"/>
    <n v="-150"/>
    <n v="0"/>
  </r>
  <r>
    <x v="0"/>
    <x v="3"/>
    <x v="0"/>
    <s v="3208101"/>
    <n v="749510"/>
    <s v="Miscellaneous Fees"/>
    <s v="Nursing Float"/>
    <x v="0"/>
    <n v="1001"/>
    <n v="0"/>
    <n v="0"/>
    <n v="0"/>
    <n v="3713.3"/>
    <n v="0"/>
    <n v="0"/>
    <n v="0"/>
    <n v="0"/>
    <n v="0"/>
    <n v="0"/>
    <n v="0"/>
    <n v="0"/>
    <n v="3713.3"/>
    <n v="0"/>
  </r>
  <r>
    <x v="0"/>
    <x v="3"/>
    <x v="0"/>
    <s v="3208101"/>
    <n v="749530"/>
    <s v="Travel"/>
    <s v="Nursing Float"/>
    <x v="0"/>
    <m/>
    <n v="0"/>
    <n v="0"/>
    <n v="0"/>
    <n v="0"/>
    <n v="0"/>
    <n v="0"/>
    <n v="0"/>
    <n v="122.7"/>
    <n v="0"/>
    <n v="0"/>
    <n v="0"/>
    <n v="0"/>
    <n v="122.7"/>
    <n v="0"/>
  </r>
  <r>
    <x v="5"/>
    <x v="0"/>
    <x v="0"/>
    <s v="3208102"/>
    <n v="700026"/>
    <s v="Salaries-RN-Productive"/>
    <s v="Nursing Float"/>
    <x v="0"/>
    <m/>
    <n v="0"/>
    <n v="0"/>
    <n v="231.09"/>
    <n v="-84.03"/>
    <n v="0"/>
    <n v="0"/>
    <n v="0"/>
    <n v="0"/>
    <n v="0"/>
    <n v="0"/>
    <n v="0"/>
    <n v="0"/>
    <n v="147.06"/>
    <n v="0"/>
  </r>
  <r>
    <x v="5"/>
    <x v="0"/>
    <x v="0"/>
    <s v="3208102"/>
    <n v="700026"/>
    <s v="Salaries-RN-Other"/>
    <s v="Nursing Float"/>
    <x v="0"/>
    <n v="2000"/>
    <n v="0"/>
    <n v="0"/>
    <n v="19.45"/>
    <n v="-7.07"/>
    <n v="0"/>
    <n v="0"/>
    <n v="0"/>
    <n v="0"/>
    <n v="0"/>
    <n v="0"/>
    <n v="0"/>
    <n v="0"/>
    <n v="12.379999999999999"/>
    <n v="0"/>
  </r>
  <r>
    <x v="5"/>
    <x v="0"/>
    <x v="0"/>
    <s v="3208102"/>
    <n v="700032"/>
    <s v="Salaries-Other Pat Care Providers-Productive"/>
    <s v="Nursing Float"/>
    <x v="0"/>
    <m/>
    <n v="10.050000000000001"/>
    <n v="1199.3499999999999"/>
    <n v="334.74"/>
    <n v="385.17"/>
    <n v="835.27"/>
    <n v="2151.02"/>
    <n v="2962.01"/>
    <n v="172.7"/>
    <n v="30.68"/>
    <n v="4796.9799999999996"/>
    <n v="-1225.54"/>
    <n v="508.24"/>
    <n v="12160.67"/>
    <n v="-1733.78"/>
  </r>
  <r>
    <x v="5"/>
    <x v="0"/>
    <x v="0"/>
    <s v="3208102"/>
    <n v="700032"/>
    <s v="Salaries-Other Pat Care Providers-OT"/>
    <s v="Nursing Float"/>
    <x v="0"/>
    <n v="1000"/>
    <n v="18.52"/>
    <n v="62.89"/>
    <n v="-19.84"/>
    <n v="0"/>
    <n v="0"/>
    <n v="12.56"/>
    <n v="235.54"/>
    <n v="17.3"/>
    <n v="80.209999999999994"/>
    <n v="-1454.89"/>
    <n v="593.1"/>
    <n v="-173.51"/>
    <n v="-628.12"/>
    <n v="766.61"/>
  </r>
  <r>
    <x v="5"/>
    <x v="0"/>
    <x v="0"/>
    <s v="3208102"/>
    <n v="700032"/>
    <s v="Salaries-Other Pat Care Providers-Other"/>
    <s v="Nursing Float"/>
    <x v="0"/>
    <n v="2000"/>
    <n v="0"/>
    <n v="108.82"/>
    <n v="-14.63"/>
    <n v="15.06"/>
    <n v="239.59"/>
    <n v="245.9"/>
    <n v="183.08"/>
    <n v="211.7"/>
    <n v="79.22"/>
    <n v="162.55000000000001"/>
    <n v="365.48"/>
    <n v="823.26"/>
    <n v="2420.0299999999997"/>
    <n v="-457.78"/>
  </r>
  <r>
    <x v="5"/>
    <x v="0"/>
    <x v="0"/>
    <s v="3208102"/>
    <n v="700038"/>
    <s v="Salaries-Service/Support-Productive"/>
    <s v="Nursing Float"/>
    <x v="0"/>
    <m/>
    <n v="870.83"/>
    <n v="-0.99"/>
    <n v="0"/>
    <n v="0"/>
    <n v="0"/>
    <n v="0"/>
    <n v="0"/>
    <n v="0"/>
    <n v="0"/>
    <n v="0"/>
    <n v="0"/>
    <n v="0"/>
    <n v="869.84"/>
    <n v="0"/>
  </r>
  <r>
    <x v="5"/>
    <x v="0"/>
    <x v="0"/>
    <s v="3208102"/>
    <n v="700038"/>
    <s v="Salaries-Service/Support-OT"/>
    <s v="Nursing Float"/>
    <x v="0"/>
    <n v="1000"/>
    <n v="8.11"/>
    <n v="0"/>
    <n v="0"/>
    <n v="0"/>
    <n v="0"/>
    <n v="0"/>
    <n v="0"/>
    <n v="0"/>
    <n v="0"/>
    <n v="0"/>
    <n v="0"/>
    <n v="0"/>
    <n v="8.11"/>
    <n v="0"/>
  </r>
  <r>
    <x v="5"/>
    <x v="0"/>
    <x v="0"/>
    <s v="3208102"/>
    <n v="700072"/>
    <s v="Salaries-Other Pat Care Providers-Non-productive"/>
    <s v="Nursing Float"/>
    <x v="0"/>
    <m/>
    <n v="5596.5"/>
    <n v="5215.05"/>
    <n v="3328.63"/>
    <n v="3866.48"/>
    <n v="5455.79"/>
    <n v="7197.19"/>
    <n v="3139.18"/>
    <n v="1964.72"/>
    <n v="3375.41"/>
    <n v="2596.0700000000002"/>
    <n v="4178.26"/>
    <n v="4719.6899999999996"/>
    <n v="50632.97"/>
    <n v="-541.42999999999938"/>
  </r>
  <r>
    <x v="5"/>
    <x v="0"/>
    <x v="0"/>
    <s v="3208102"/>
    <n v="700072"/>
    <s v="Salaries-Other Pat Care Providers-NonProd-Other"/>
    <s v="Nursing Float"/>
    <x v="0"/>
    <n v="2000"/>
    <n v="269.89"/>
    <n v="224.92"/>
    <n v="136.37"/>
    <n v="306.73"/>
    <n v="1219.54"/>
    <n v="500.25"/>
    <n v="196.59"/>
    <n v="-621.78"/>
    <n v="310.77"/>
    <n v="147.69"/>
    <n v="607.66999999999996"/>
    <n v="424.73"/>
    <n v="3723.3700000000003"/>
    <n v="182.93999999999994"/>
  </r>
  <r>
    <x v="5"/>
    <x v="0"/>
    <x v="0"/>
    <s v="3208102"/>
    <n v="700084"/>
    <s v="Accrued PTO"/>
    <s v="Nursing Float"/>
    <x v="0"/>
    <m/>
    <n v="-407.35"/>
    <n v="-784.57"/>
    <n v="-925.78"/>
    <n v="854.11"/>
    <n v="-1354.71"/>
    <n v="-2044.05"/>
    <n v="1754.4"/>
    <n v="3537.84"/>
    <n v="2110.83"/>
    <n v="3955.11"/>
    <n v="3462.92"/>
    <n v="749.99"/>
    <n v="10908.74"/>
    <n v="2712.9300000000003"/>
  </r>
  <r>
    <x v="6"/>
    <x v="0"/>
    <x v="0"/>
    <s v="3208102"/>
    <n v="713010"/>
    <s v="Benefits-FICA/Medicare"/>
    <s v="Nursing Float"/>
    <x v="0"/>
    <m/>
    <n v="484.18"/>
    <n v="508.98"/>
    <n v="286.60000000000002"/>
    <n v="327.98"/>
    <n v="678.01"/>
    <n v="706.88"/>
    <n v="578.89"/>
    <n v="174.84"/>
    <n v="289.2"/>
    <n v="622.17999999999995"/>
    <n v="446.04"/>
    <n v="465.2"/>
    <n v="5568.98"/>
    <n v="-19.159999999999968"/>
  </r>
  <r>
    <x v="6"/>
    <x v="0"/>
    <x v="0"/>
    <s v="3208102"/>
    <n v="713090"/>
    <s v="Benefits-Allocated Amounts"/>
    <s v="Nursing Float"/>
    <x v="0"/>
    <m/>
    <n v="2253.3200000000002"/>
    <n v="1989.75"/>
    <n v="1349.77"/>
    <n v="1362.22"/>
    <n v="1994.59"/>
    <n v="2935.74"/>
    <n v="2354.65"/>
    <n v="1122.1099999999999"/>
    <n v="1202.3"/>
    <n v="2162.87"/>
    <n v="1494.25"/>
    <n v="1967.72"/>
    <n v="22189.29"/>
    <n v="-473.47"/>
  </r>
  <r>
    <x v="11"/>
    <x v="0"/>
    <x v="0"/>
    <s v="3208102"/>
    <n v="721810"/>
    <s v="Supplies-Dietary/Cafeteria"/>
    <s v="Nursing Float"/>
    <x v="0"/>
    <m/>
    <n v="7.98"/>
    <n v="0"/>
    <n v="0"/>
    <n v="0"/>
    <n v="0"/>
    <n v="0"/>
    <n v="0"/>
    <n v="15.7"/>
    <n v="23.95"/>
    <n v="0"/>
    <n v="7.98"/>
    <n v="8"/>
    <n v="63.61"/>
    <n v="-1.9999999999999574E-2"/>
  </r>
  <r>
    <x v="0"/>
    <x v="0"/>
    <x v="0"/>
    <s v="3208102"/>
    <n v="740020"/>
    <s v="Education-Registration Fees"/>
    <s v="Nursing Float"/>
    <x v="0"/>
    <m/>
    <n v="0"/>
    <n v="0"/>
    <n v="0"/>
    <n v="0"/>
    <n v="0"/>
    <n v="117.5"/>
    <n v="0"/>
    <n v="0"/>
    <n v="0"/>
    <n v="0"/>
    <n v="0"/>
    <n v="0"/>
    <n v="117.5"/>
    <n v="0"/>
  </r>
  <r>
    <x v="0"/>
    <x v="0"/>
    <x v="0"/>
    <s v="3208102"/>
    <n v="749510"/>
    <s v="Miscellaneous Expenses"/>
    <s v="Nursing Float"/>
    <x v="0"/>
    <m/>
    <n v="0"/>
    <n v="117.5"/>
    <n v="0"/>
    <n v="0"/>
    <n v="0"/>
    <n v="-117.5"/>
    <n v="0"/>
    <n v="0"/>
    <n v="0"/>
    <n v="0"/>
    <n v="0"/>
    <n v="0"/>
    <n v="0"/>
    <n v="0"/>
  </r>
  <r>
    <x v="0"/>
    <x v="0"/>
    <x v="0"/>
    <s v="3208102"/>
    <n v="749530"/>
    <s v="Travel"/>
    <s v="Nursing Float"/>
    <x v="0"/>
    <m/>
    <n v="0"/>
    <n v="0"/>
    <n v="0"/>
    <n v="0"/>
    <n v="0"/>
    <n v="0"/>
    <n v="0"/>
    <n v="0"/>
    <n v="64.760000000000005"/>
    <n v="0"/>
    <n v="0"/>
    <n v="0"/>
    <n v="64.760000000000005"/>
    <n v="0"/>
  </r>
  <r>
    <x v="5"/>
    <x v="4"/>
    <x v="0"/>
    <s v="3208103"/>
    <n v="700032"/>
    <s v="Salaries-Other Pat Care Providers-Productive"/>
    <s v="Nursing Float"/>
    <x v="0"/>
    <m/>
    <n v="0"/>
    <n v="0"/>
    <n v="0"/>
    <n v="0"/>
    <n v="0"/>
    <n v="0"/>
    <n v="0"/>
    <n v="614.92999999999995"/>
    <n v="-161.79"/>
    <n v="420.04"/>
    <n v="-175"/>
    <n v="0"/>
    <n v="698.18000000000006"/>
    <n v="-175"/>
  </r>
  <r>
    <x v="5"/>
    <x v="4"/>
    <x v="0"/>
    <s v="3208103"/>
    <n v="700032"/>
    <s v="Salaries-Other Pat Care Providers-OT"/>
    <s v="Nursing Float"/>
    <x v="0"/>
    <n v="1000"/>
    <n v="0"/>
    <n v="0"/>
    <n v="0"/>
    <n v="0"/>
    <n v="0"/>
    <n v="0"/>
    <n v="0"/>
    <n v="197.33"/>
    <n v="-51.92"/>
    <n v="0"/>
    <n v="0"/>
    <n v="0"/>
    <n v="145.41000000000003"/>
    <n v="0"/>
  </r>
  <r>
    <x v="5"/>
    <x v="4"/>
    <x v="0"/>
    <s v="3208103"/>
    <n v="700032"/>
    <s v="Salaries-Other Pat Care Providers-Other"/>
    <s v="Nursing Float"/>
    <x v="0"/>
    <n v="2000"/>
    <n v="47.35"/>
    <n v="-8.35"/>
    <n v="0"/>
    <n v="0"/>
    <n v="0"/>
    <n v="0"/>
    <n v="0"/>
    <n v="80.73"/>
    <n v="-21.22"/>
    <n v="0"/>
    <n v="0"/>
    <n v="0"/>
    <n v="98.51"/>
    <n v="0"/>
  </r>
  <r>
    <x v="5"/>
    <x v="4"/>
    <x v="0"/>
    <s v="3208103"/>
    <n v="700078"/>
    <s v="Salaries-Service/Support-NonProd-Other"/>
    <s v="Nursing Float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3208103"/>
    <n v="713010"/>
    <s v="Benefits-FICA/Medicare"/>
    <s v="Nursing Float"/>
    <x v="0"/>
    <m/>
    <n v="3.48"/>
    <n v="-0.6"/>
    <n v="0"/>
    <n v="0"/>
    <n v="0"/>
    <n v="0"/>
    <n v="0"/>
    <n v="62.28"/>
    <n v="-16.37"/>
    <n v="32.08"/>
    <n v="-13.36"/>
    <n v="0"/>
    <n v="67.509999999999991"/>
    <n v="-13.36"/>
  </r>
  <r>
    <x v="6"/>
    <x v="4"/>
    <x v="0"/>
    <s v="3208103"/>
    <n v="713090"/>
    <s v="Benefits-Allocated Amounts"/>
    <s v="Nursing Float"/>
    <x v="0"/>
    <m/>
    <n v="1.87"/>
    <n v="1.84"/>
    <n v="-3.71"/>
    <n v="0"/>
    <n v="0"/>
    <n v="0"/>
    <n v="0"/>
    <n v="213.77"/>
    <n v="-85.01"/>
    <n v="141"/>
    <n v="-51.28"/>
    <n v="21.23"/>
    <n v="239.70999999999998"/>
    <n v="-72.510000000000005"/>
  </r>
  <r>
    <x v="5"/>
    <x v="8"/>
    <x v="0"/>
    <s v="3208104"/>
    <n v="700026"/>
    <s v="Salaries-RN-Productive"/>
    <s v="Nursing Float"/>
    <x v="0"/>
    <m/>
    <n v="5093.8599999999997"/>
    <n v="1873.28"/>
    <n v="880.06"/>
    <n v="2769.39"/>
    <n v="2554.38"/>
    <n v="639.54"/>
    <n v="996.55"/>
    <n v="1712.19"/>
    <n v="3179.88"/>
    <n v="315.33"/>
    <n v="3541.67"/>
    <n v="-353.78"/>
    <n v="23202.35"/>
    <n v="3895.45"/>
  </r>
  <r>
    <x v="5"/>
    <x v="8"/>
    <x v="0"/>
    <s v="3208104"/>
    <n v="700026"/>
    <s v="Salaries-RN-OT"/>
    <s v="Nursing Float"/>
    <x v="0"/>
    <n v="1000"/>
    <n v="0"/>
    <n v="0"/>
    <n v="0"/>
    <n v="0"/>
    <n v="266.86"/>
    <n v="12.68"/>
    <n v="0"/>
    <n v="271.63"/>
    <n v="-1.43"/>
    <n v="147.56"/>
    <n v="-0.08"/>
    <n v="0"/>
    <n v="697.22000000000014"/>
    <n v="-0.08"/>
  </r>
  <r>
    <x v="5"/>
    <x v="8"/>
    <x v="0"/>
    <s v="3208104"/>
    <n v="700026"/>
    <s v="Salaries-RN-Other"/>
    <s v="Nursing Float"/>
    <x v="0"/>
    <n v="2000"/>
    <n v="753.48"/>
    <n v="368.19"/>
    <n v="517.87"/>
    <n v="886.33"/>
    <n v="641.14"/>
    <n v="947.23"/>
    <n v="799.22"/>
    <n v="1124.58"/>
    <n v="1119.28"/>
    <n v="1085.9000000000001"/>
    <n v="802.18"/>
    <n v="50.79"/>
    <n v="9096.19"/>
    <n v="751.39"/>
  </r>
  <r>
    <x v="5"/>
    <x v="8"/>
    <x v="0"/>
    <s v="3208104"/>
    <n v="700032"/>
    <s v="Salaries-Other Pat Care Providers-Productive"/>
    <s v="Nursing Float"/>
    <x v="0"/>
    <m/>
    <n v="0"/>
    <n v="0"/>
    <n v="0"/>
    <n v="219.72"/>
    <n v="0"/>
    <n v="0"/>
    <n v="0"/>
    <n v="0"/>
    <n v="0"/>
    <n v="0"/>
    <n v="0"/>
    <n v="0"/>
    <n v="219.72"/>
    <n v="0"/>
  </r>
  <r>
    <x v="5"/>
    <x v="8"/>
    <x v="0"/>
    <s v="3208104"/>
    <n v="700032"/>
    <s v="Salaries-Other Pat Care Providers-OT"/>
    <s v="Nursing Float"/>
    <x v="0"/>
    <n v="1000"/>
    <n v="0"/>
    <n v="0"/>
    <n v="0"/>
    <n v="7.14"/>
    <n v="0"/>
    <n v="0"/>
    <n v="0"/>
    <n v="0"/>
    <n v="0"/>
    <n v="0"/>
    <n v="0"/>
    <n v="0"/>
    <n v="7.14"/>
    <n v="0"/>
  </r>
  <r>
    <x v="5"/>
    <x v="8"/>
    <x v="0"/>
    <s v="3208104"/>
    <n v="700032"/>
    <s v="Salaries-Other Pat Care Providers-Other"/>
    <s v="Nursing Float"/>
    <x v="0"/>
    <n v="2000"/>
    <n v="0"/>
    <n v="0"/>
    <n v="0"/>
    <n v="26.34"/>
    <n v="0"/>
    <n v="0"/>
    <n v="0"/>
    <n v="0"/>
    <n v="0"/>
    <n v="0"/>
    <n v="0"/>
    <n v="0"/>
    <n v="26.34"/>
    <n v="0"/>
  </r>
  <r>
    <x v="5"/>
    <x v="8"/>
    <x v="0"/>
    <s v="3208104"/>
    <n v="700066"/>
    <s v="Salaries-RN-Non-productive"/>
    <s v="Nursing Float"/>
    <x v="0"/>
    <m/>
    <n v="733.35"/>
    <n v="252.25"/>
    <n v="5806.61"/>
    <n v="-101.31"/>
    <n v="2393.58"/>
    <n v="437.51"/>
    <n v="738.12"/>
    <n v="1407"/>
    <n v="759.86"/>
    <n v="2267.25"/>
    <n v="3413.89"/>
    <n v="-49.83"/>
    <n v="18058.28"/>
    <n v="3463.72"/>
  </r>
  <r>
    <x v="5"/>
    <x v="8"/>
    <x v="0"/>
    <s v="3208104"/>
    <n v="700066"/>
    <s v="Salaries-RN-NonProd-Other"/>
    <s v="Nursing Float"/>
    <x v="0"/>
    <n v="2000"/>
    <n v="43.4"/>
    <n v="14.93"/>
    <n v="343.25"/>
    <n v="36.799999999999997"/>
    <n v="205.71"/>
    <n v="57.89"/>
    <n v="44.1"/>
    <n v="117.62"/>
    <n v="49.59"/>
    <n v="180.88"/>
    <n v="416.97"/>
    <n v="1.01"/>
    <n v="1512.15"/>
    <n v="415.96000000000004"/>
  </r>
  <r>
    <x v="5"/>
    <x v="8"/>
    <x v="0"/>
    <s v="3208104"/>
    <n v="700084"/>
    <s v="Accrued PTO"/>
    <s v="Nursing Float"/>
    <x v="0"/>
    <m/>
    <n v="773.83"/>
    <n v="1504.3"/>
    <n v="-2637.96"/>
    <n v="1160.47"/>
    <n v="200.53"/>
    <n v="2759.92"/>
    <n v="2265.2800000000002"/>
    <n v="2086.2600000000002"/>
    <n v="2227.4499999999998"/>
    <n v="1814.2"/>
    <n v="1118.74"/>
    <n v="2793.36"/>
    <n v="16066.380000000003"/>
    <n v="-1674.6200000000001"/>
  </r>
  <r>
    <x v="10"/>
    <x v="8"/>
    <x v="0"/>
    <s v="3208104"/>
    <n v="710060"/>
    <s v="Contract Labor-Other"/>
    <s v="Nursing Float"/>
    <x v="0"/>
    <m/>
    <n v="0"/>
    <n v="0"/>
    <n v="0"/>
    <n v="2448"/>
    <n v="-2448"/>
    <n v="0"/>
    <n v="0"/>
    <n v="0"/>
    <n v="0"/>
    <n v="0"/>
    <n v="0"/>
    <n v="0"/>
    <n v="0"/>
    <n v="0"/>
  </r>
  <r>
    <x v="6"/>
    <x v="8"/>
    <x v="0"/>
    <s v="3208104"/>
    <n v="713010"/>
    <s v="Benefits-FICA/Medicare"/>
    <s v="Nursing Float"/>
    <x v="0"/>
    <m/>
    <n v="506.27"/>
    <n v="191.79"/>
    <n v="574.30999999999995"/>
    <n v="296.02"/>
    <n v="449.74"/>
    <n v="162.04"/>
    <n v="196.75"/>
    <n v="353.83"/>
    <n v="388.77"/>
    <n v="304.39999999999998"/>
    <n v="622.21"/>
    <n v="-26.05"/>
    <n v="4020.08"/>
    <n v="648.26"/>
  </r>
  <r>
    <x v="6"/>
    <x v="8"/>
    <x v="0"/>
    <s v="3208104"/>
    <n v="713090"/>
    <s v="Benefits-Allocated Amounts"/>
    <s v="Nursing Float"/>
    <x v="0"/>
    <m/>
    <n v="1220.1600000000001"/>
    <n v="433.03"/>
    <n v="926.93"/>
    <n v="700.35"/>
    <n v="933.98"/>
    <n v="383.07"/>
    <n v="493.42"/>
    <n v="763.06"/>
    <n v="826.23"/>
    <n v="724.36"/>
    <n v="1370.89"/>
    <n v="147.77000000000001"/>
    <n v="8923.25"/>
    <n v="1223.1200000000001"/>
  </r>
  <r>
    <x v="0"/>
    <x v="8"/>
    <x v="0"/>
    <s v="3208104"/>
    <n v="749510"/>
    <s v="RICE Rewards"/>
    <s v="Nursing Float"/>
    <x v="0"/>
    <n v="5100"/>
    <n v="0"/>
    <n v="0"/>
    <n v="0"/>
    <n v="0"/>
    <n v="0"/>
    <n v="0"/>
    <n v="0"/>
    <n v="0"/>
    <n v="0"/>
    <n v="62"/>
    <n v="0"/>
    <n v="0"/>
    <n v="62"/>
    <n v="0"/>
  </r>
  <r>
    <x v="5"/>
    <x v="5"/>
    <x v="0"/>
    <s v="3208106"/>
    <n v="700014"/>
    <s v="Salaries-Management-Productive"/>
    <s v="Nursing Float"/>
    <x v="0"/>
    <m/>
    <n v="0"/>
    <n v="0"/>
    <n v="0"/>
    <n v="0"/>
    <n v="0"/>
    <n v="0"/>
    <n v="0"/>
    <n v="0"/>
    <n v="6797.21"/>
    <n v="9801.51"/>
    <n v="1292.3399999999999"/>
    <n v="6491.97"/>
    <n v="24383.030000000002"/>
    <n v="-5199.63"/>
  </r>
  <r>
    <x v="5"/>
    <x v="5"/>
    <x v="0"/>
    <s v="3208106"/>
    <n v="700026"/>
    <s v="Salaries-RN-Productive"/>
    <s v="Nursing Float"/>
    <x v="0"/>
    <m/>
    <n v="15737.09"/>
    <n v="17966.84"/>
    <n v="18703.88"/>
    <n v="19402.349999999999"/>
    <n v="17454.53"/>
    <n v="11564.43"/>
    <n v="11918.81"/>
    <n v="12931.29"/>
    <n v="4985.8900000000003"/>
    <n v="10198.58"/>
    <n v="12397.72"/>
    <n v="7239.53"/>
    <n v="160500.94"/>
    <n v="5158.1899999999996"/>
  </r>
  <r>
    <x v="5"/>
    <x v="5"/>
    <x v="0"/>
    <s v="3208106"/>
    <n v="700026"/>
    <s v="Salaries-RN-OT"/>
    <s v="Nursing Float"/>
    <x v="0"/>
    <n v="1000"/>
    <n v="58.39"/>
    <n v="972.79"/>
    <n v="285.04000000000002"/>
    <n v="618.91999999999996"/>
    <n v="-2.74"/>
    <n v="52.47"/>
    <n v="524.41999999999996"/>
    <n v="530.67999999999995"/>
    <n v="-20.14"/>
    <n v="984.99"/>
    <n v="32.32"/>
    <n v="502.74"/>
    <n v="4539.88"/>
    <n v="-470.42"/>
  </r>
  <r>
    <x v="5"/>
    <x v="5"/>
    <x v="0"/>
    <s v="3208106"/>
    <n v="700026"/>
    <s v="Salaries-RN-Other"/>
    <s v="Nursing Float"/>
    <x v="0"/>
    <n v="2000"/>
    <n v="4260.3900000000003"/>
    <n v="5098.82"/>
    <n v="4792.09"/>
    <n v="4337.2299999999996"/>
    <n v="3810.04"/>
    <n v="4112.82"/>
    <n v="2884.44"/>
    <n v="2678.97"/>
    <n v="4763.5200000000004"/>
    <n v="2314.4299999999998"/>
    <n v="2226.73"/>
    <n v="2653.96"/>
    <n v="43933.440000000002"/>
    <n v="-427.23"/>
  </r>
  <r>
    <x v="5"/>
    <x v="5"/>
    <x v="0"/>
    <s v="3208106"/>
    <n v="700032"/>
    <s v="Salaries-Other Pat Care Providers-Productive"/>
    <s v="Nursing Float"/>
    <x v="0"/>
    <m/>
    <n v="940.83"/>
    <n v="855.52"/>
    <n v="583.25"/>
    <n v="608.09"/>
    <n v="1850.06"/>
    <n v="-323.13"/>
    <n v="306.45"/>
    <n v="0"/>
    <n v="1180.73"/>
    <n v="1685.7"/>
    <n v="1144.3499999999999"/>
    <n v="321.79000000000002"/>
    <n v="9153.64"/>
    <n v="822.56"/>
  </r>
  <r>
    <x v="5"/>
    <x v="5"/>
    <x v="0"/>
    <s v="3208106"/>
    <n v="700032"/>
    <s v="Salaries-Other Pat Care Providers-OT"/>
    <s v="Nursing Float"/>
    <x v="0"/>
    <n v="1000"/>
    <n v="0"/>
    <n v="0"/>
    <n v="0"/>
    <n v="0"/>
    <n v="0"/>
    <n v="0"/>
    <n v="0"/>
    <n v="0"/>
    <n v="0"/>
    <n v="-300.12"/>
    <n v="0"/>
    <n v="0"/>
    <n v="-300.12"/>
    <n v="0"/>
  </r>
  <r>
    <x v="5"/>
    <x v="5"/>
    <x v="0"/>
    <s v="3208106"/>
    <n v="700032"/>
    <s v="Salaries-Other Pat Care Providers-Other"/>
    <s v="Nursing Float"/>
    <x v="0"/>
    <n v="2000"/>
    <n v="774.89"/>
    <n v="909.75"/>
    <n v="686.48"/>
    <n v="684.78"/>
    <n v="409.57"/>
    <n v="604.61"/>
    <n v="471.13"/>
    <n v="440.32"/>
    <n v="666.44"/>
    <n v="349.1"/>
    <n v="699.96"/>
    <n v="789.43"/>
    <n v="7486.46"/>
    <n v="-89.469999999999914"/>
  </r>
  <r>
    <x v="5"/>
    <x v="5"/>
    <x v="0"/>
    <s v="3208106"/>
    <n v="700054"/>
    <s v="Salaries-Management-NonProd-Other"/>
    <s v="Nursing Float"/>
    <x v="0"/>
    <n v="2000"/>
    <n v="0"/>
    <n v="0"/>
    <n v="0"/>
    <n v="0"/>
    <n v="0"/>
    <n v="129.32"/>
    <n v="-129.32"/>
    <n v="0"/>
    <n v="0"/>
    <n v="0"/>
    <n v="0"/>
    <n v="0"/>
    <n v="0"/>
    <n v="0"/>
  </r>
  <r>
    <x v="5"/>
    <x v="5"/>
    <x v="0"/>
    <s v="3208106"/>
    <n v="700066"/>
    <s v="Salaries-RN-Non-productive"/>
    <s v="Nursing Float"/>
    <x v="0"/>
    <m/>
    <n v="20603.98"/>
    <n v="26334.67"/>
    <n v="22180.99"/>
    <n v="13690.53"/>
    <n v="5413.57"/>
    <n v="18155.95"/>
    <n v="12403.01"/>
    <n v="2842.84"/>
    <n v="7766.53"/>
    <n v="9644.15"/>
    <n v="5754.48"/>
    <n v="8286.82"/>
    <n v="153077.51999999999"/>
    <n v="-2532.34"/>
  </r>
  <r>
    <x v="5"/>
    <x v="5"/>
    <x v="0"/>
    <s v="3208106"/>
    <n v="700066"/>
    <s v="Salaries-RN-NonProd-Other"/>
    <s v="Nursing Float"/>
    <x v="0"/>
    <n v="2000"/>
    <n v="971.01"/>
    <n v="1185.07"/>
    <n v="927.96"/>
    <n v="415.46"/>
    <n v="598.20000000000005"/>
    <n v="1990.34"/>
    <n v="236.26"/>
    <n v="-1472.3"/>
    <n v="585.27"/>
    <n v="313.73"/>
    <n v="833.95"/>
    <n v="350.02"/>
    <n v="6934.9699999999993"/>
    <n v="483.93000000000006"/>
  </r>
  <r>
    <x v="5"/>
    <x v="5"/>
    <x v="0"/>
    <s v="3208106"/>
    <n v="700072"/>
    <s v="Salaries-Other Pat Care Providers-Non-productive"/>
    <s v="Nursing Float"/>
    <x v="0"/>
    <m/>
    <n v="10431.120000000001"/>
    <n v="19278.599999999999"/>
    <n v="8577.59"/>
    <n v="7980.05"/>
    <n v="5953.87"/>
    <n v="6399.81"/>
    <n v="10299.85"/>
    <n v="8200.82"/>
    <n v="11459.54"/>
    <n v="3528.83"/>
    <n v="12167.34"/>
    <n v="10515.48"/>
    <n v="114792.9"/>
    <n v="1651.8600000000006"/>
  </r>
  <r>
    <x v="5"/>
    <x v="5"/>
    <x v="0"/>
    <s v="3208106"/>
    <n v="700072"/>
    <s v="Salaries-Other Pat Care Providers-NonProd-Other"/>
    <s v="Nursing Float"/>
    <x v="0"/>
    <n v="2000"/>
    <n v="538.63"/>
    <n v="1020.33"/>
    <n v="304.14999999999998"/>
    <n v="387.13"/>
    <n v="132.62"/>
    <n v="424.51"/>
    <n v="679.24"/>
    <n v="462.33"/>
    <n v="662.52"/>
    <n v="179.08"/>
    <n v="692.16"/>
    <n v="416.72"/>
    <n v="5899.4199999999992"/>
    <n v="275.43999999999994"/>
  </r>
  <r>
    <x v="5"/>
    <x v="5"/>
    <x v="0"/>
    <s v="3208106"/>
    <n v="700084"/>
    <s v="Accrued PTO"/>
    <s v="Nursing Float"/>
    <x v="0"/>
    <m/>
    <n v="-3830.49"/>
    <n v="-14784.32"/>
    <n v="-7882.77"/>
    <n v="-5157.3100000000004"/>
    <n v="7874.5"/>
    <n v="-5427.23"/>
    <n v="4461.12"/>
    <n v="6059.7"/>
    <n v="1432.43"/>
    <n v="2925.77"/>
    <n v="4375.3599999999997"/>
    <n v="1572.37"/>
    <n v="-8380.869999999999"/>
    <n v="2802.99"/>
  </r>
  <r>
    <x v="10"/>
    <x v="5"/>
    <x v="0"/>
    <s v="3208106"/>
    <n v="710060"/>
    <s v="Contract Labor-Other"/>
    <s v="Nursing Float"/>
    <x v="0"/>
    <m/>
    <n v="0"/>
    <n v="0"/>
    <n v="0"/>
    <n v="0"/>
    <n v="0"/>
    <n v="1054"/>
    <n v="0"/>
    <n v="0"/>
    <n v="0"/>
    <n v="0"/>
    <n v="0"/>
    <n v="0"/>
    <n v="1054"/>
    <n v="0"/>
  </r>
  <r>
    <x v="10"/>
    <x v="5"/>
    <x v="0"/>
    <s v="3208106"/>
    <n v="710060"/>
    <s v="Contract Labor-Standby Wages"/>
    <s v="Nursing Float"/>
    <x v="0"/>
    <n v="5101"/>
    <n v="0"/>
    <n v="0"/>
    <n v="0"/>
    <n v="0"/>
    <n v="0"/>
    <n v="0"/>
    <n v="112"/>
    <n v="0"/>
    <n v="0"/>
    <n v="0"/>
    <n v="0"/>
    <n v="0"/>
    <n v="112"/>
    <n v="0"/>
  </r>
  <r>
    <x v="6"/>
    <x v="5"/>
    <x v="0"/>
    <s v="3208106"/>
    <n v="713010"/>
    <s v="Benefits-FICA/Medicare"/>
    <s v="Nursing Float"/>
    <x v="0"/>
    <m/>
    <n v="4079.54"/>
    <n v="5561.68"/>
    <n v="4260.05"/>
    <n v="3803.46"/>
    <n v="2590.84"/>
    <n v="2876.34"/>
    <n v="2980.24"/>
    <n v="2111.38"/>
    <n v="3220.71"/>
    <n v="2904.61"/>
    <n v="3365.03"/>
    <n v="2748.34"/>
    <n v="40502.22"/>
    <n v="616.69000000000005"/>
  </r>
  <r>
    <x v="6"/>
    <x v="5"/>
    <x v="0"/>
    <s v="3208106"/>
    <n v="713090"/>
    <s v="Benefits-Allocated Amounts"/>
    <s v="Nursing Float"/>
    <x v="0"/>
    <m/>
    <n v="11110.93"/>
    <n v="15050.47"/>
    <n v="10784.55"/>
    <n v="9160.7099999999991"/>
    <n v="7547.75"/>
    <n v="7712.01"/>
    <n v="8621.92"/>
    <n v="6666.04"/>
    <n v="7791.8"/>
    <n v="7801.23"/>
    <n v="8672.43"/>
    <n v="8164.59"/>
    <n v="109084.43"/>
    <n v="507.84000000000015"/>
  </r>
  <r>
    <x v="11"/>
    <x v="5"/>
    <x v="0"/>
    <s v="3208106"/>
    <n v="721835"/>
    <s v="Supplies-Forms"/>
    <s v="Nursing Float"/>
    <x v="0"/>
    <m/>
    <n v="0"/>
    <n v="0"/>
    <n v="0"/>
    <n v="0"/>
    <n v="0"/>
    <n v="0.5"/>
    <n v="0"/>
    <n v="0"/>
    <n v="0"/>
    <n v="0"/>
    <n v="0"/>
    <n v="0"/>
    <n v="0.5"/>
    <n v="0"/>
  </r>
  <r>
    <x v="15"/>
    <x v="5"/>
    <x v="0"/>
    <s v="3208106"/>
    <n v="731060"/>
    <s v="Pagers"/>
    <s v="Nursing Float"/>
    <x v="0"/>
    <n v="1002"/>
    <n v="7.99"/>
    <n v="0"/>
    <n v="0"/>
    <n v="0"/>
    <n v="0"/>
    <n v="0"/>
    <n v="0"/>
    <n v="0"/>
    <n v="0"/>
    <n v="0"/>
    <n v="0"/>
    <n v="0"/>
    <n v="7.99"/>
    <n v="0"/>
  </r>
  <r>
    <x v="0"/>
    <x v="5"/>
    <x v="0"/>
    <s v="3208106"/>
    <n v="740020"/>
    <s v="Education-Registration Fees"/>
    <s v="Nursing Float"/>
    <x v="0"/>
    <m/>
    <n v="0"/>
    <n v="0"/>
    <n v="375"/>
    <n v="0"/>
    <n v="0"/>
    <n v="0"/>
    <n v="0"/>
    <n v="65"/>
    <n v="0"/>
    <n v="0"/>
    <n v="0"/>
    <n v="0"/>
    <n v="440"/>
    <n v="0"/>
  </r>
  <r>
    <x v="0"/>
    <x v="5"/>
    <x v="0"/>
    <s v="3208106"/>
    <n v="749510"/>
    <s v="Licenses"/>
    <s v="Nursing Float"/>
    <x v="0"/>
    <n v="1002"/>
    <n v="330"/>
    <n v="0"/>
    <n v="110"/>
    <n v="0"/>
    <n v="-20"/>
    <n v="0"/>
    <n v="0"/>
    <n v="0"/>
    <n v="0"/>
    <n v="0"/>
    <n v="0"/>
    <n v="0"/>
    <n v="420"/>
    <n v="0"/>
  </r>
  <r>
    <x v="0"/>
    <x v="5"/>
    <x v="0"/>
    <s v="3208106"/>
    <n v="749530"/>
    <s v="Mileage"/>
    <s v="Nursing Float"/>
    <x v="0"/>
    <n v="1001"/>
    <n v="0"/>
    <n v="31.07"/>
    <n v="0"/>
    <n v="0"/>
    <n v="0"/>
    <n v="0"/>
    <n v="0"/>
    <n v="0"/>
    <n v="0"/>
    <n v="0"/>
    <n v="0"/>
    <n v="0"/>
    <n v="31.07"/>
    <n v="0"/>
  </r>
  <r>
    <x v="5"/>
    <x v="6"/>
    <x v="0"/>
    <s v="3208107"/>
    <n v="700014"/>
    <s v="Salaries-Management-Productive"/>
    <s v="Nursing Float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208107"/>
    <n v="700014"/>
    <s v="Salaries-Management-OT"/>
    <s v="Nursing Float"/>
    <x v="0"/>
    <n v="1000"/>
    <n v="0"/>
    <n v="0"/>
    <n v="0"/>
    <n v="0"/>
    <n v="-22"/>
    <n v="0"/>
    <n v="0"/>
    <n v="0"/>
    <n v="0"/>
    <n v="0"/>
    <n v="0"/>
    <n v="0"/>
    <n v="-22"/>
    <n v="0"/>
  </r>
  <r>
    <x v="5"/>
    <x v="6"/>
    <x v="0"/>
    <s v="3208107"/>
    <n v="700014"/>
    <s v="Salaries-Management-Other"/>
    <s v="Nursing Float"/>
    <x v="0"/>
    <n v="2000"/>
    <n v="0"/>
    <n v="0"/>
    <n v="0"/>
    <n v="0"/>
    <n v="-460.86"/>
    <n v="0"/>
    <n v="0"/>
    <n v="0"/>
    <n v="0"/>
    <n v="0"/>
    <n v="0"/>
    <n v="0"/>
    <n v="-460.86"/>
    <n v="0"/>
  </r>
  <r>
    <x v="5"/>
    <x v="6"/>
    <x v="0"/>
    <s v="3208107"/>
    <n v="700026"/>
    <s v="Salaries-RN-Productive"/>
    <s v="Nursing Float"/>
    <x v="0"/>
    <m/>
    <n v="91975.71"/>
    <n v="71772.5"/>
    <n v="67125.84"/>
    <n v="66302.149999999994"/>
    <n v="65111.41"/>
    <n v="73036.740000000005"/>
    <n v="66143.23"/>
    <n v="66622.02"/>
    <n v="71268.789999999994"/>
    <n v="60455.26"/>
    <n v="57880.58"/>
    <n v="66802.95"/>
    <n v="824497.17999999993"/>
    <n v="-8922.3699999999953"/>
  </r>
  <r>
    <x v="5"/>
    <x v="6"/>
    <x v="0"/>
    <s v="3208107"/>
    <n v="700026"/>
    <s v="Salaries-RN-OT"/>
    <s v="Nursing Float"/>
    <x v="0"/>
    <n v="1000"/>
    <n v="3758.24"/>
    <n v="4671.41"/>
    <n v="4701.3599999999997"/>
    <n v="2696.54"/>
    <n v="3908.06"/>
    <n v="2958.04"/>
    <n v="3576.95"/>
    <n v="4898.32"/>
    <n v="4978.84"/>
    <n v="4851.79"/>
    <n v="2499.3000000000002"/>
    <n v="3235.02"/>
    <n v="46733.87"/>
    <n v="-735.7199999999998"/>
  </r>
  <r>
    <x v="5"/>
    <x v="6"/>
    <x v="0"/>
    <s v="3208107"/>
    <n v="700026"/>
    <s v="Salaries-RN-Other"/>
    <s v="Nursing Float"/>
    <x v="0"/>
    <n v="2000"/>
    <n v="16524.95"/>
    <n v="13012.97"/>
    <n v="11403.03"/>
    <n v="13474.02"/>
    <n v="12534.42"/>
    <n v="12390.13"/>
    <n v="10514.73"/>
    <n v="13037.72"/>
    <n v="12622.93"/>
    <n v="10761.53"/>
    <n v="12707.69"/>
    <n v="11089.87"/>
    <n v="150073.99"/>
    <n v="1617.8199999999997"/>
  </r>
  <r>
    <x v="5"/>
    <x v="6"/>
    <x v="0"/>
    <s v="3208107"/>
    <n v="700030"/>
    <s v="Salaries-LPN-Productive"/>
    <s v="Nursing Float"/>
    <x v="0"/>
    <m/>
    <n v="5326.35"/>
    <n v="4288.2299999999996"/>
    <n v="3008.78"/>
    <n v="1190.6300000000001"/>
    <n v="3119.43"/>
    <n v="1190.73"/>
    <n v="1290.4000000000001"/>
    <n v="1150.51"/>
    <n v="2589.9299999999998"/>
    <n v="5922.8"/>
    <n v="632.73"/>
    <n v="2633.6"/>
    <n v="32344.12"/>
    <n v="-2000.87"/>
  </r>
  <r>
    <x v="5"/>
    <x v="6"/>
    <x v="0"/>
    <s v="3208107"/>
    <n v="700030"/>
    <s v="Salaries-LPN-OT"/>
    <s v="Nursing Float"/>
    <x v="0"/>
    <n v="1000"/>
    <n v="0"/>
    <n v="22.22"/>
    <n v="28.37"/>
    <n v="63.46"/>
    <n v="-27.92"/>
    <n v="44.93"/>
    <n v="59.39"/>
    <n v="36.07"/>
    <n v="260.95"/>
    <n v="221.36"/>
    <n v="200.66"/>
    <n v="63.38"/>
    <n v="972.86999999999989"/>
    <n v="137.28"/>
  </r>
  <r>
    <x v="5"/>
    <x v="6"/>
    <x v="0"/>
    <s v="3208107"/>
    <n v="700030"/>
    <s v="Salaries-LPN-Other"/>
    <s v="Nursing Float"/>
    <x v="0"/>
    <n v="2000"/>
    <n v="330.92"/>
    <n v="229.96"/>
    <n v="184.42"/>
    <n v="104.92"/>
    <n v="376.62"/>
    <n v="87.09"/>
    <n v="41.36"/>
    <n v="31.01"/>
    <n v="95.05"/>
    <n v="220.97"/>
    <n v="101.23"/>
    <n v="32.14"/>
    <n v="1835.6899999999998"/>
    <n v="69.09"/>
  </r>
  <r>
    <x v="5"/>
    <x v="6"/>
    <x v="0"/>
    <s v="3208107"/>
    <n v="700032"/>
    <s v="Salaries-Other Pat Care Providers-Productive"/>
    <s v="Nursing Float"/>
    <x v="0"/>
    <m/>
    <n v="30673.99"/>
    <n v="31009.11"/>
    <n v="32390.55"/>
    <n v="38258.28"/>
    <n v="34870.120000000003"/>
    <n v="41041.440000000002"/>
    <n v="40206.230000000003"/>
    <n v="36601.839999999997"/>
    <n v="39852.25"/>
    <n v="42417.19"/>
    <n v="38429.410000000003"/>
    <n v="46955.519999999997"/>
    <n v="452705.93000000005"/>
    <n v="-8526.1099999999933"/>
  </r>
  <r>
    <x v="5"/>
    <x v="6"/>
    <x v="0"/>
    <s v="3208107"/>
    <n v="700032"/>
    <s v="Salaries-Other Pat Care Providers-OT"/>
    <s v="Nursing Float"/>
    <x v="0"/>
    <n v="1000"/>
    <n v="4423.1000000000004"/>
    <n v="4447.16"/>
    <n v="5115.8599999999997"/>
    <n v="2758.01"/>
    <n v="4134.16"/>
    <n v="2875.77"/>
    <n v="5734.73"/>
    <n v="6006.15"/>
    <n v="4572.6899999999996"/>
    <n v="8648.83"/>
    <n v="4764.59"/>
    <n v="3343.89"/>
    <n v="56824.94"/>
    <n v="1420.7000000000003"/>
  </r>
  <r>
    <x v="5"/>
    <x v="6"/>
    <x v="0"/>
    <s v="3208107"/>
    <n v="700032"/>
    <s v="Salaries-Other Pat Care Providers-Other"/>
    <s v="Nursing Float"/>
    <x v="0"/>
    <n v="2000"/>
    <n v="4018.43"/>
    <n v="3791.18"/>
    <n v="3592.77"/>
    <n v="4213.59"/>
    <n v="4168.12"/>
    <n v="4625.62"/>
    <n v="4328.1400000000003"/>
    <n v="3645.77"/>
    <n v="4615.9799999999996"/>
    <n v="4817.71"/>
    <n v="4195.88"/>
    <n v="5492.17"/>
    <n v="51505.359999999993"/>
    <n v="-1296.29"/>
  </r>
  <r>
    <x v="5"/>
    <x v="6"/>
    <x v="0"/>
    <s v="3208107"/>
    <n v="700038"/>
    <s v="Salaries-Service/Support-Productive"/>
    <s v="Nursing Float"/>
    <x v="0"/>
    <m/>
    <n v="0"/>
    <n v="32.450000000000003"/>
    <n v="0"/>
    <n v="0"/>
    <n v="27.67"/>
    <n v="-13.32"/>
    <n v="0"/>
    <n v="0"/>
    <n v="0"/>
    <n v="0"/>
    <n v="43.1"/>
    <n v="154.49"/>
    <n v="244.39000000000001"/>
    <n v="-111.39000000000001"/>
  </r>
  <r>
    <x v="5"/>
    <x v="6"/>
    <x v="0"/>
    <s v="3208107"/>
    <n v="700038"/>
    <s v="Salaries-Service/Support-Other"/>
    <s v="Nursing Float"/>
    <x v="0"/>
    <n v="2000"/>
    <n v="0"/>
    <n v="0"/>
    <n v="0"/>
    <n v="0"/>
    <n v="0"/>
    <n v="0"/>
    <n v="0"/>
    <n v="0"/>
    <n v="0"/>
    <n v="0"/>
    <n v="3.84"/>
    <n v="8.1999999999999993"/>
    <n v="12.04"/>
    <n v="-4.3599999999999994"/>
  </r>
  <r>
    <x v="5"/>
    <x v="6"/>
    <x v="0"/>
    <s v="3208107"/>
    <n v="700054"/>
    <s v="Salaries-Management-NonProd-Other"/>
    <s v="Nursing Float"/>
    <x v="0"/>
    <n v="2000"/>
    <n v="0"/>
    <n v="0"/>
    <n v="0"/>
    <n v="0"/>
    <n v="0"/>
    <n v="478.59"/>
    <n v="-478.59"/>
    <n v="0"/>
    <n v="0"/>
    <n v="0"/>
    <n v="0"/>
    <n v="0"/>
    <n v="0"/>
    <n v="0"/>
  </r>
  <r>
    <x v="5"/>
    <x v="6"/>
    <x v="0"/>
    <s v="3208107"/>
    <n v="700066"/>
    <s v="Salaries-RN-Non-productive"/>
    <s v="Nursing Float"/>
    <x v="0"/>
    <m/>
    <n v="34947.57"/>
    <n v="44584.01"/>
    <n v="27125.57"/>
    <n v="47345.78"/>
    <n v="39602.68"/>
    <n v="30331.64"/>
    <n v="32385.53"/>
    <n v="28380.66"/>
    <n v="43062.74"/>
    <n v="31419.119999999999"/>
    <n v="22054.49"/>
    <n v="26847.06"/>
    <n v="408086.85"/>
    <n v="-4792.57"/>
  </r>
  <r>
    <x v="5"/>
    <x v="6"/>
    <x v="0"/>
    <s v="3208107"/>
    <n v="700066"/>
    <s v="Salaries-RN-NonProd-Other"/>
    <s v="Nursing Float"/>
    <x v="0"/>
    <n v="2000"/>
    <n v="1687.24"/>
    <n v="2937.21"/>
    <n v="2213.0300000000002"/>
    <n v="3112.99"/>
    <n v="4424.49"/>
    <n v="1796.89"/>
    <n v="2513.89"/>
    <n v="-617.76"/>
    <n v="2456.15"/>
    <n v="1497.23"/>
    <n v="1324.9"/>
    <n v="2098.1999999999998"/>
    <n v="25444.460000000003"/>
    <n v="-773.29999999999973"/>
  </r>
  <r>
    <x v="5"/>
    <x v="6"/>
    <x v="0"/>
    <s v="3208107"/>
    <n v="700070"/>
    <s v="Salaries-LPN-Non-productive"/>
    <s v="Nursing Float"/>
    <x v="0"/>
    <m/>
    <n v="1431.09"/>
    <n v="3405.41"/>
    <n v="275.39999999999998"/>
    <n v="1162.5"/>
    <n v="1773.75"/>
    <n v="2070.08"/>
    <n v="1994.64"/>
    <n v="903.61"/>
    <n v="-4.3499999999999996"/>
    <n v="3199.71"/>
    <n v="668.31"/>
    <n v="1122.83"/>
    <n v="18002.980000000003"/>
    <n v="-454.52"/>
  </r>
  <r>
    <x v="5"/>
    <x v="6"/>
    <x v="0"/>
    <s v="3208107"/>
    <n v="700070"/>
    <s v="Salaries-LPN-NonProd-Other"/>
    <s v="Nursing Float"/>
    <x v="0"/>
    <n v="2000"/>
    <n v="0"/>
    <n v="0"/>
    <n v="0"/>
    <n v="0"/>
    <n v="108"/>
    <n v="132.63999999999999"/>
    <n v="60.47"/>
    <n v="-7.77"/>
    <n v="0"/>
    <n v="53.97"/>
    <n v="52.28"/>
    <n v="60.46"/>
    <n v="460.05"/>
    <n v="-8.18"/>
  </r>
  <r>
    <x v="5"/>
    <x v="6"/>
    <x v="0"/>
    <s v="3208107"/>
    <n v="700072"/>
    <s v="Salaries-Other Pat Care Providers-Non-productive"/>
    <s v="Nursing Float"/>
    <x v="0"/>
    <m/>
    <n v="8174.52"/>
    <n v="7180.71"/>
    <n v="6071.19"/>
    <n v="10344.73"/>
    <n v="1613.98"/>
    <n v="6770.55"/>
    <n v="6602.71"/>
    <n v="5060.53"/>
    <n v="5798.57"/>
    <n v="5406.52"/>
    <n v="12674.04"/>
    <n v="4516.5"/>
    <n v="80214.549999999988"/>
    <n v="8157.5400000000009"/>
  </r>
  <r>
    <x v="5"/>
    <x v="6"/>
    <x v="0"/>
    <s v="3208107"/>
    <n v="700072"/>
    <s v="Salaries-Other Pat Care Providers-NonProd-Other"/>
    <s v="Nursing Float"/>
    <x v="0"/>
    <n v="2000"/>
    <n v="394.13"/>
    <n v="222.81"/>
    <n v="255.18"/>
    <n v="283.61"/>
    <n v="112.52"/>
    <n v="385.12"/>
    <n v="287.23"/>
    <n v="217.9"/>
    <n v="137.93"/>
    <n v="295.86"/>
    <n v="468.62"/>
    <n v="280.14999999999998"/>
    <n v="3341.06"/>
    <n v="188.47000000000003"/>
  </r>
  <r>
    <x v="5"/>
    <x v="6"/>
    <x v="0"/>
    <s v="3208107"/>
    <n v="700084"/>
    <s v="Accrued PTO"/>
    <s v="Nursing Float"/>
    <x v="0"/>
    <m/>
    <n v="-2832.06"/>
    <n v="-9510.93"/>
    <n v="6297.14"/>
    <n v="-1056.3499999999999"/>
    <n v="-3188.64"/>
    <n v="61.8"/>
    <n v="5421.1"/>
    <n v="10422.68"/>
    <n v="65.959999999999994"/>
    <n v="5264.61"/>
    <n v="10360.120000000001"/>
    <n v="8583.58"/>
    <n v="29889.010000000002"/>
    <n v="1776.5400000000009"/>
  </r>
  <r>
    <x v="10"/>
    <x v="6"/>
    <x v="0"/>
    <s v="3208107"/>
    <n v="710060"/>
    <s v="Contract Labor-Other"/>
    <s v="Nursing Float"/>
    <x v="0"/>
    <m/>
    <n v="0"/>
    <n v="0"/>
    <n v="0"/>
    <n v="994"/>
    <n v="428.16"/>
    <n v="1112.5899999999999"/>
    <n v="-1089"/>
    <n v="284"/>
    <n v="0"/>
    <n v="0"/>
    <n v="2625.5"/>
    <n v="14027.37"/>
    <n v="18382.620000000003"/>
    <n v="-11401.87"/>
  </r>
  <r>
    <x v="10"/>
    <x v="6"/>
    <x v="0"/>
    <s v="3208107"/>
    <n v="710060"/>
    <s v="Contract Labor-Standby Wages"/>
    <s v="Nursing Float"/>
    <x v="0"/>
    <n v="5101"/>
    <n v="96"/>
    <n v="0"/>
    <n v="0"/>
    <n v="0"/>
    <n v="0"/>
    <n v="0"/>
    <n v="0"/>
    <n v="0"/>
    <n v="0"/>
    <n v="0"/>
    <n v="0"/>
    <n v="0"/>
    <n v="96"/>
    <n v="0"/>
  </r>
  <r>
    <x v="6"/>
    <x v="6"/>
    <x v="0"/>
    <s v="3208107"/>
    <n v="713010"/>
    <s v="Benefits-FICA/Medicare"/>
    <s v="Nursing Float"/>
    <x v="0"/>
    <m/>
    <n v="15313.89"/>
    <n v="14458.86"/>
    <n v="12593.83"/>
    <n v="14515.91"/>
    <n v="13327.4"/>
    <n v="13293.45"/>
    <n v="13238.33"/>
    <n v="12650.34"/>
    <n v="14512.4"/>
    <n v="13607.02"/>
    <n v="11903.01"/>
    <n v="13095.89"/>
    <n v="162510.33000000002"/>
    <n v="-1192.8799999999992"/>
  </r>
  <r>
    <x v="6"/>
    <x v="6"/>
    <x v="0"/>
    <s v="3208107"/>
    <n v="713090"/>
    <s v="Benefits-Allocated Amounts"/>
    <s v="Nursing Float"/>
    <x v="0"/>
    <m/>
    <n v="34654.129999999997"/>
    <n v="29456.79"/>
    <n v="28735.119999999999"/>
    <n v="33942.230000000003"/>
    <n v="34553.440000000002"/>
    <n v="32947.050000000003"/>
    <n v="33042.839999999997"/>
    <n v="32540.93"/>
    <n v="29562.39"/>
    <n v="36874.07"/>
    <n v="30748.25"/>
    <n v="38705.97"/>
    <n v="395763.20999999996"/>
    <n v="-7957.7200000000012"/>
  </r>
  <r>
    <x v="6"/>
    <x v="6"/>
    <x v="0"/>
    <s v="3208107"/>
    <n v="713096"/>
    <s v="Employee Recognition"/>
    <s v="Nursing Float"/>
    <x v="0"/>
    <n v="1017"/>
    <n v="0"/>
    <n v="0"/>
    <n v="0"/>
    <n v="0"/>
    <n v="0"/>
    <n v="0"/>
    <n v="0"/>
    <n v="0"/>
    <n v="0"/>
    <n v="21.67"/>
    <n v="1855.07"/>
    <n v="0"/>
    <n v="1876.74"/>
    <n v="1855.07"/>
  </r>
  <r>
    <x v="11"/>
    <x v="6"/>
    <x v="0"/>
    <s v="3208107"/>
    <n v="721010"/>
    <s v="Supplies-Medical - Billable"/>
    <s v="Nursing Float"/>
    <x v="0"/>
    <m/>
    <n v="30.76"/>
    <n v="0"/>
    <n v="61.53"/>
    <n v="0"/>
    <n v="36.92"/>
    <n v="0"/>
    <n v="0"/>
    <n v="73.83"/>
    <n v="0"/>
    <n v="0"/>
    <n v="0"/>
    <n v="0"/>
    <n v="203.04000000000002"/>
    <n v="0"/>
  </r>
  <r>
    <x v="11"/>
    <x v="6"/>
    <x v="0"/>
    <s v="3208107"/>
    <n v="721240"/>
    <s v="Supplies-IV Solutions/Supplies - Billable"/>
    <s v="Nursing Float"/>
    <x v="0"/>
    <m/>
    <n v="356"/>
    <n v="0"/>
    <n v="0"/>
    <n v="356"/>
    <n v="356"/>
    <n v="356"/>
    <n v="0"/>
    <n v="0"/>
    <n v="356"/>
    <n v="0"/>
    <n v="356"/>
    <n v="0"/>
    <n v="2136"/>
    <n v="356"/>
  </r>
  <r>
    <x v="11"/>
    <x v="6"/>
    <x v="0"/>
    <s v="3208107"/>
    <n v="721410"/>
    <s v="Supplies-Medical - Nonbillable"/>
    <s v="Nursing Float"/>
    <x v="0"/>
    <m/>
    <n v="0"/>
    <n v="0"/>
    <n v="93.5"/>
    <n v="0"/>
    <n v="0"/>
    <n v="55.74"/>
    <n v="0"/>
    <n v="93.5"/>
    <n v="0"/>
    <n v="0"/>
    <n v="93.5"/>
    <n v="0"/>
    <n v="336.24"/>
    <n v="93.5"/>
  </r>
  <r>
    <x v="11"/>
    <x v="6"/>
    <x v="0"/>
    <s v="3208107"/>
    <n v="721810"/>
    <s v="Supplies-Dietary/Cafeteria"/>
    <s v="Nursing Float"/>
    <x v="0"/>
    <m/>
    <n v="0"/>
    <n v="0"/>
    <n v="0"/>
    <n v="0"/>
    <n v="0"/>
    <n v="0"/>
    <n v="0"/>
    <n v="0"/>
    <n v="0"/>
    <n v="49.67"/>
    <n v="0"/>
    <n v="0"/>
    <n v="49.67"/>
    <n v="0"/>
  </r>
  <r>
    <x v="11"/>
    <x v="6"/>
    <x v="0"/>
    <s v="3208107"/>
    <n v="721830"/>
    <s v="Supplies-Office"/>
    <s v="Nursing Float"/>
    <x v="0"/>
    <m/>
    <n v="0"/>
    <n v="0"/>
    <n v="60.27"/>
    <n v="0"/>
    <n v="0"/>
    <n v="89.12"/>
    <n v="47.27"/>
    <n v="0"/>
    <n v="122.29"/>
    <n v="0"/>
    <n v="0"/>
    <n v="0"/>
    <n v="318.95000000000005"/>
    <n v="0"/>
  </r>
  <r>
    <x v="11"/>
    <x v="6"/>
    <x v="0"/>
    <s v="3208107"/>
    <n v="721835"/>
    <s v="Supplies-Forms"/>
    <s v="Nursing Float"/>
    <x v="0"/>
    <m/>
    <n v="0"/>
    <n v="0"/>
    <n v="0"/>
    <n v="0"/>
    <n v="74.55"/>
    <n v="22.46"/>
    <n v="0"/>
    <n v="0"/>
    <n v="0"/>
    <n v="108.15"/>
    <n v="0"/>
    <n v="0"/>
    <n v="205.16"/>
    <n v="0"/>
  </r>
  <r>
    <x v="11"/>
    <x v="6"/>
    <x v="0"/>
    <s v="3208107"/>
    <n v="721910"/>
    <s v="Supplies-Small Equipment"/>
    <s v="Nursing Float"/>
    <x v="0"/>
    <m/>
    <n v="0"/>
    <n v="0"/>
    <n v="0"/>
    <n v="946"/>
    <n v="0"/>
    <n v="0"/>
    <n v="0"/>
    <n v="0"/>
    <n v="0"/>
    <n v="0"/>
    <n v="0"/>
    <n v="0"/>
    <n v="946"/>
    <n v="0"/>
  </r>
  <r>
    <x v="11"/>
    <x v="6"/>
    <x v="0"/>
    <s v="3208107"/>
    <n v="721980"/>
    <s v="Supplies-Other"/>
    <s v="Nursing Float"/>
    <x v="0"/>
    <m/>
    <n v="0"/>
    <n v="0"/>
    <n v="0"/>
    <n v="0"/>
    <n v="0"/>
    <n v="0"/>
    <n v="0"/>
    <n v="0"/>
    <n v="33"/>
    <n v="0"/>
    <n v="0"/>
    <n v="0"/>
    <n v="33"/>
    <n v="0"/>
  </r>
  <r>
    <x v="13"/>
    <x v="6"/>
    <x v="0"/>
    <s v="3208107"/>
    <n v="735070"/>
    <s v="Depreciation-Movable Equipment"/>
    <s v="Nursing Float"/>
    <x v="0"/>
    <m/>
    <n v="763.09"/>
    <n v="763.09"/>
    <n v="763.09"/>
    <n v="763.08"/>
    <n v="763.11"/>
    <n v="763.08"/>
    <n v="763.11"/>
    <n v="763.08"/>
    <n v="763.12"/>
    <n v="763.08"/>
    <n v="763.12"/>
    <n v="763.08"/>
    <n v="9157.1299999999992"/>
    <n v="3.999999999996362E-2"/>
  </r>
  <r>
    <x v="0"/>
    <x v="6"/>
    <x v="0"/>
    <s v="3208107"/>
    <n v="740020"/>
    <s v="Education-Registration Fees"/>
    <s v="Nursing Float"/>
    <x v="0"/>
    <m/>
    <n v="0"/>
    <n v="210"/>
    <n v="0"/>
    <n v="0"/>
    <n v="143.88"/>
    <n v="0"/>
    <n v="0"/>
    <n v="0"/>
    <n v="275.88"/>
    <n v="215"/>
    <n v="0"/>
    <n v="0"/>
    <n v="844.76"/>
    <n v="0"/>
  </r>
  <r>
    <x v="0"/>
    <x v="6"/>
    <x v="0"/>
    <s v="3208107"/>
    <n v="749510"/>
    <s v="Miscellaneous Expenses"/>
    <s v="Nursing Float"/>
    <x v="0"/>
    <m/>
    <n v="0"/>
    <n v="0"/>
    <n v="0"/>
    <n v="0"/>
    <n v="0"/>
    <n v="0"/>
    <n v="0"/>
    <n v="0"/>
    <n v="0"/>
    <n v="0"/>
    <n v="0"/>
    <n v="60"/>
    <n v="60"/>
    <n v="-60"/>
  </r>
  <r>
    <x v="0"/>
    <x v="6"/>
    <x v="0"/>
    <s v="3208107"/>
    <n v="749530"/>
    <s v="Travel"/>
    <s v="Nursing Float"/>
    <x v="0"/>
    <m/>
    <n v="0"/>
    <n v="0"/>
    <n v="0"/>
    <n v="0"/>
    <n v="0"/>
    <n v="0"/>
    <n v="0"/>
    <n v="0"/>
    <n v="0"/>
    <n v="0"/>
    <n v="0"/>
    <n v="5"/>
    <n v="5"/>
    <n v="-5"/>
  </r>
  <r>
    <x v="0"/>
    <x v="6"/>
    <x v="0"/>
    <s v="3208107"/>
    <n v="749530"/>
    <s v="Mileage"/>
    <s v="Nursing Float"/>
    <x v="0"/>
    <n v="1001"/>
    <n v="0"/>
    <n v="0"/>
    <n v="0"/>
    <n v="0"/>
    <n v="0"/>
    <n v="0"/>
    <n v="0"/>
    <n v="0"/>
    <n v="0"/>
    <n v="0"/>
    <n v="0"/>
    <n v="39.44"/>
    <n v="39.44"/>
    <n v="-39.44"/>
  </r>
  <r>
    <x v="5"/>
    <x v="7"/>
    <x v="0"/>
    <s v="3208150"/>
    <n v="700032"/>
    <s v="Salaries-Other Pat Care Providers-Productive"/>
    <s v="Nursing Float"/>
    <x v="0"/>
    <m/>
    <n v="0"/>
    <n v="0"/>
    <n v="0"/>
    <n v="1321.1"/>
    <n v="-29.47"/>
    <n v="0"/>
    <n v="2033.62"/>
    <n v="1703.15"/>
    <n v="136.96"/>
    <n v="198.53"/>
    <n v="0"/>
    <n v="33.630000000000003"/>
    <n v="5397.5199999999995"/>
    <n v="-33.630000000000003"/>
  </r>
  <r>
    <x v="5"/>
    <x v="7"/>
    <x v="0"/>
    <s v="3208150"/>
    <n v="700032"/>
    <s v="Salaries-Other Pat Care Providers-OT"/>
    <s v="Nursing Float"/>
    <x v="0"/>
    <n v="1000"/>
    <n v="0"/>
    <n v="0"/>
    <n v="0"/>
    <n v="0"/>
    <n v="0"/>
    <n v="0"/>
    <n v="21.84"/>
    <n v="0"/>
    <n v="0"/>
    <n v="0"/>
    <n v="0"/>
    <n v="0"/>
    <n v="21.84"/>
    <n v="0"/>
  </r>
  <r>
    <x v="5"/>
    <x v="7"/>
    <x v="0"/>
    <s v="3208150"/>
    <n v="700032"/>
    <s v="Salaries-Other Pat Care Providers-Other"/>
    <s v="Nursing Float"/>
    <x v="0"/>
    <n v="2000"/>
    <n v="0"/>
    <n v="0"/>
    <n v="70.709999999999994"/>
    <n v="110.38"/>
    <n v="-52.25"/>
    <n v="0"/>
    <n v="60.31"/>
    <n v="116.06"/>
    <n v="168.56"/>
    <n v="3.31"/>
    <n v="0"/>
    <n v="405.15"/>
    <n v="882.23"/>
    <n v="-405.15"/>
  </r>
  <r>
    <x v="5"/>
    <x v="7"/>
    <x v="0"/>
    <s v="3208150"/>
    <n v="700072"/>
    <s v="Salaries-Other Pat Care Providers-Non-productive"/>
    <s v="Nursing Float"/>
    <x v="0"/>
    <m/>
    <n v="0"/>
    <n v="0"/>
    <n v="0"/>
    <n v="0"/>
    <n v="0"/>
    <n v="0"/>
    <n v="0"/>
    <n v="0"/>
    <n v="172.08"/>
    <n v="0"/>
    <n v="0"/>
    <n v="0"/>
    <n v="172.08"/>
    <n v="0"/>
  </r>
  <r>
    <x v="5"/>
    <x v="7"/>
    <x v="0"/>
    <s v="3208150"/>
    <n v="700072"/>
    <s v="Salaries-Other Pat Care Providers-NonProd-Other"/>
    <s v="Nursing Float"/>
    <x v="0"/>
    <n v="2000"/>
    <n v="0"/>
    <n v="0"/>
    <n v="0"/>
    <n v="0"/>
    <n v="0"/>
    <n v="0"/>
    <n v="0"/>
    <n v="0"/>
    <n v="0"/>
    <n v="0"/>
    <n v="93.25"/>
    <n v="0"/>
    <n v="93.25"/>
    <n v="93.25"/>
  </r>
  <r>
    <x v="6"/>
    <x v="7"/>
    <x v="0"/>
    <s v="3208150"/>
    <n v="713010"/>
    <s v="Benefits-FICA/Medicare"/>
    <s v="Nursing Float"/>
    <x v="0"/>
    <m/>
    <n v="0"/>
    <n v="0"/>
    <n v="5.42"/>
    <n v="109.39"/>
    <n v="-6.2"/>
    <n v="0"/>
    <n v="161.61000000000001"/>
    <n v="142.12"/>
    <n v="33.32"/>
    <n v="15.42"/>
    <n v="6.92"/>
    <n v="33.43"/>
    <n v="501.43000000000006"/>
    <n v="-26.509999999999998"/>
  </r>
  <r>
    <x v="6"/>
    <x v="7"/>
    <x v="0"/>
    <s v="3208150"/>
    <n v="713090"/>
    <s v="Benefits-Allocated Amounts"/>
    <s v="Nursing Float"/>
    <x v="0"/>
    <m/>
    <n v="0"/>
    <n v="0"/>
    <n v="3.98"/>
    <n v="506.54"/>
    <n v="-22.11"/>
    <n v="4.66"/>
    <n v="774.47"/>
    <n v="607.70000000000005"/>
    <n v="96.59"/>
    <n v="83.84"/>
    <n v="0.38"/>
    <n v="60.55"/>
    <n v="2116.6000000000004"/>
    <n v="-60.169999999999995"/>
  </r>
  <r>
    <x v="5"/>
    <x v="9"/>
    <x v="0"/>
    <s v="3209501"/>
    <n v="700014"/>
    <s v="Salaries-Management-Productive"/>
    <s v="Virtual Companions"/>
    <x v="0"/>
    <m/>
    <n v="7176.39"/>
    <n v="11428.72"/>
    <n v="7244.39"/>
    <n v="10957.87"/>
    <n v="11714.15"/>
    <n v="6025.03"/>
    <n v="10802.95"/>
    <n v="9397.85"/>
    <n v="10838.15"/>
    <n v="3960.7"/>
    <n v="11018.06"/>
    <n v="11234.33"/>
    <n v="111798.59"/>
    <n v="-216.27000000000044"/>
  </r>
  <r>
    <x v="5"/>
    <x v="9"/>
    <x v="0"/>
    <s v="3209501"/>
    <n v="700014"/>
    <s v="Salaries-Management-Other"/>
    <s v="Virtual Companions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9"/>
    <x v="0"/>
    <s v="3209501"/>
    <n v="700032"/>
    <s v="Salaries-Other Pat Care Providers-Productive"/>
    <s v="Virtual Companions"/>
    <x v="0"/>
    <m/>
    <n v="73290.44"/>
    <n v="70257.56"/>
    <n v="77251.009999999995"/>
    <n v="83390.710000000006"/>
    <n v="72286.48"/>
    <n v="81272.679999999993"/>
    <n v="86797.69"/>
    <n v="71987.259999999995"/>
    <n v="89156.800000000003"/>
    <n v="82553.5"/>
    <n v="93701.53"/>
    <n v="84500.03"/>
    <n v="966445.69000000018"/>
    <n v="9201.5"/>
  </r>
  <r>
    <x v="5"/>
    <x v="9"/>
    <x v="0"/>
    <s v="3209501"/>
    <n v="700032"/>
    <s v="Salaries-Other Pat Care Providers-OT"/>
    <s v="Virtual Companions"/>
    <x v="0"/>
    <n v="1000"/>
    <n v="6145.03"/>
    <n v="6869.19"/>
    <n v="7871.92"/>
    <n v="8159.46"/>
    <n v="3765.09"/>
    <n v="6266.46"/>
    <n v="8702.7900000000009"/>
    <n v="12227.35"/>
    <n v="7137.34"/>
    <n v="2924.24"/>
    <n v="5826.49"/>
    <n v="4564.24"/>
    <n v="80459.60000000002"/>
    <n v="1262.25"/>
  </r>
  <r>
    <x v="5"/>
    <x v="9"/>
    <x v="0"/>
    <s v="3209501"/>
    <n v="700032"/>
    <s v="Salaries-Other Pat Care Providers-Other"/>
    <s v="Virtual Companions"/>
    <x v="0"/>
    <n v="2000"/>
    <n v="8509.4500000000007"/>
    <n v="7610.76"/>
    <n v="11724.53"/>
    <n v="9480.1200000000008"/>
    <n v="8509.52"/>
    <n v="9078.64"/>
    <n v="8857.49"/>
    <n v="8208.32"/>
    <n v="8770.02"/>
    <n v="8763.56"/>
    <n v="9661.0300000000007"/>
    <n v="7858.67"/>
    <n v="107032.11"/>
    <n v="1802.3600000000006"/>
  </r>
  <r>
    <x v="5"/>
    <x v="9"/>
    <x v="0"/>
    <s v="3209501"/>
    <n v="700034"/>
    <s v="Salaries-Tech/Professional-Productive"/>
    <s v="Virtual Companions"/>
    <x v="0"/>
    <m/>
    <n v="3179.26"/>
    <n v="5797.92"/>
    <n v="5111.84"/>
    <n v="5742.28"/>
    <n v="5890.07"/>
    <n v="5055.3599999999997"/>
    <n v="5488.87"/>
    <n v="4613.6000000000004"/>
    <n v="6186.45"/>
    <n v="-1463.62"/>
    <n v="7208.67"/>
    <n v="5338.92"/>
    <n v="58149.619999999988"/>
    <n v="1869.75"/>
  </r>
  <r>
    <x v="5"/>
    <x v="9"/>
    <x v="0"/>
    <s v="3209501"/>
    <n v="700034"/>
    <s v="Salaries-Tech/Professional-OT"/>
    <s v="Virtual Companions"/>
    <x v="0"/>
    <n v="1000"/>
    <n v="163.94"/>
    <n v="174.48"/>
    <n v="45.59"/>
    <n v="170.74"/>
    <n v="96.63"/>
    <n v="74.03"/>
    <n v="289.37"/>
    <n v="-2.7"/>
    <n v="125.69"/>
    <n v="0"/>
    <n v="24.4"/>
    <n v="197.13"/>
    <n v="1359.3000000000002"/>
    <n v="-172.73"/>
  </r>
  <r>
    <x v="5"/>
    <x v="9"/>
    <x v="0"/>
    <s v="3209501"/>
    <n v="700038"/>
    <s v="Salaries-Service/Support-Productive"/>
    <s v="Virtual Companions"/>
    <x v="0"/>
    <m/>
    <n v="3640.03"/>
    <n v="4032.28"/>
    <n v="3849.44"/>
    <n v="4452.09"/>
    <n v="4753.55"/>
    <n v="3975.36"/>
    <n v="5096.2299999999996"/>
    <n v="4198.5600000000004"/>
    <n v="4997.3599999999997"/>
    <n v="5399.22"/>
    <n v="4634.28"/>
    <n v="4630.4399999999996"/>
    <n v="53658.840000000004"/>
    <n v="3.8400000000001455"/>
  </r>
  <r>
    <x v="5"/>
    <x v="9"/>
    <x v="0"/>
    <s v="3209501"/>
    <n v="700038"/>
    <s v="Salaries-Service/Support-OT"/>
    <s v="Virtual Companions"/>
    <x v="0"/>
    <n v="1000"/>
    <n v="39.58"/>
    <n v="4.66"/>
    <n v="124.56"/>
    <n v="100.85"/>
    <n v="363.86"/>
    <n v="-56.63"/>
    <n v="90.49"/>
    <n v="167.11"/>
    <n v="52.49"/>
    <n v="153.22999999999999"/>
    <n v="229.85"/>
    <n v="59.74"/>
    <n v="1329.79"/>
    <n v="170.10999999999999"/>
  </r>
  <r>
    <x v="5"/>
    <x v="9"/>
    <x v="0"/>
    <s v="3209501"/>
    <n v="700038"/>
    <s v="Salaries-Service/Support-Other"/>
    <s v="Virtual Companions"/>
    <x v="0"/>
    <n v="2000"/>
    <n v="54.18"/>
    <n v="134.88"/>
    <n v="109.89"/>
    <n v="129.84"/>
    <n v="116.96"/>
    <n v="103.22"/>
    <n v="86.23"/>
    <n v="75.09"/>
    <n v="133.69"/>
    <n v="34.4"/>
    <n v="82.28"/>
    <n v="73.42"/>
    <n v="1134.0800000000002"/>
    <n v="8.86"/>
  </r>
  <r>
    <x v="5"/>
    <x v="9"/>
    <x v="0"/>
    <s v="3209501"/>
    <n v="700054"/>
    <s v="Salaries-Management-Non-productive"/>
    <s v="Virtual Companions"/>
    <x v="0"/>
    <m/>
    <n v="3454.15"/>
    <n v="-527.27"/>
    <n v="3305.53"/>
    <n v="140.71"/>
    <n v="-928.14"/>
    <n v="5120.8500000000004"/>
    <n v="360.35"/>
    <n v="684.1"/>
    <n v="324.10000000000002"/>
    <n v="6841.1"/>
    <n v="144.18"/>
    <n v="-432"/>
    <n v="18487.660000000003"/>
    <n v="576.18000000000006"/>
  </r>
  <r>
    <x v="5"/>
    <x v="9"/>
    <x v="0"/>
    <s v="3209501"/>
    <n v="700054"/>
    <s v="Salaries-Management-NonProd-Other"/>
    <s v="Virtual Companions"/>
    <x v="0"/>
    <n v="2000"/>
    <n v="0"/>
    <n v="0"/>
    <n v="0"/>
    <n v="0"/>
    <n v="0"/>
    <n v="2832.54"/>
    <n v="-2832.54"/>
    <n v="0"/>
    <n v="0"/>
    <n v="0"/>
    <n v="0"/>
    <n v="0"/>
    <n v="0"/>
    <n v="0"/>
  </r>
  <r>
    <x v="5"/>
    <x v="9"/>
    <x v="0"/>
    <s v="3209501"/>
    <n v="700072"/>
    <s v="Salaries-Other Pat Care Providers-Non-productive"/>
    <s v="Virtual Companions"/>
    <x v="0"/>
    <m/>
    <n v="9359.7000000000007"/>
    <n v="8777.18"/>
    <n v="12185.4"/>
    <n v="9469.14"/>
    <n v="4804.13"/>
    <n v="10556.58"/>
    <n v="7147.63"/>
    <n v="12108.21"/>
    <n v="8180.24"/>
    <n v="11421.93"/>
    <n v="11522.03"/>
    <n v="11451.61"/>
    <n v="116983.78000000001"/>
    <n v="70.420000000000073"/>
  </r>
  <r>
    <x v="5"/>
    <x v="9"/>
    <x v="0"/>
    <s v="3209501"/>
    <n v="700072"/>
    <s v="Salaries-Other Pat Care Providers-NonProd-Other"/>
    <s v="Virtual Companions"/>
    <x v="0"/>
    <n v="2000"/>
    <n v="614.07000000000005"/>
    <n v="650.6"/>
    <n v="1424.27"/>
    <n v="769.19"/>
    <n v="717.42"/>
    <n v="1397.91"/>
    <n v="796.13"/>
    <n v="1033.8399999999999"/>
    <n v="943.5"/>
    <n v="736.32"/>
    <n v="1147.27"/>
    <n v="838.74"/>
    <n v="11069.26"/>
    <n v="308.52999999999997"/>
  </r>
  <r>
    <x v="5"/>
    <x v="9"/>
    <x v="0"/>
    <s v="3209501"/>
    <n v="700074"/>
    <s v="Salaries-Tech/Professional-Non-productive"/>
    <s v="Virtual Companions"/>
    <x v="0"/>
    <m/>
    <n v="261.83999999999997"/>
    <n v="0"/>
    <n v="523.67999999999995"/>
    <n v="240.78"/>
    <n v="163.74"/>
    <n v="1386.91"/>
    <n v="501.64"/>
    <n v="906.65"/>
    <n v="327.96"/>
    <n v="7074.8"/>
    <n v="-1137.96"/>
    <n v="704.13"/>
    <n v="10954.17"/>
    <n v="-1842.0900000000001"/>
  </r>
  <r>
    <x v="5"/>
    <x v="9"/>
    <x v="0"/>
    <s v="3209501"/>
    <n v="700078"/>
    <s v="Salaries-Service/Support-Non-productive"/>
    <s v="Virtual Companions"/>
    <x v="0"/>
    <m/>
    <n v="0"/>
    <n v="769.85"/>
    <n v="539.38"/>
    <n v="321.27999999999997"/>
    <n v="-141.36000000000001"/>
    <n v="1156.5899999999999"/>
    <n v="420.83"/>
    <n v="180.18"/>
    <n v="1015.94"/>
    <n v="-376.43"/>
    <n v="180.18"/>
    <n v="553.4"/>
    <n v="4619.8399999999992"/>
    <n v="-373.21999999999997"/>
  </r>
  <r>
    <x v="5"/>
    <x v="9"/>
    <x v="0"/>
    <s v="3209501"/>
    <n v="700078"/>
    <s v="Salaries-Service/Support-NonProd-Other"/>
    <s v="Virtual Companions"/>
    <x v="0"/>
    <n v="2000"/>
    <n v="0"/>
    <n v="23.28"/>
    <n v="111.75"/>
    <n v="13.78"/>
    <n v="31.73"/>
    <n v="30.13"/>
    <n v="21.72"/>
    <n v="47.48"/>
    <n v="-8.0399999999999991"/>
    <n v="24.94"/>
    <n v="35.799999999999997"/>
    <n v="-10.050000000000001"/>
    <n v="322.52"/>
    <n v="45.849999999999994"/>
  </r>
  <r>
    <x v="5"/>
    <x v="9"/>
    <x v="0"/>
    <s v="3209501"/>
    <n v="700084"/>
    <s v="Accrued PTO"/>
    <s v="Virtual Companions"/>
    <x v="0"/>
    <m/>
    <n v="-1855.29"/>
    <n v="-156"/>
    <n v="-3736.25"/>
    <n v="1876.58"/>
    <n v="2825.17"/>
    <n v="-901.33"/>
    <n v="2732.35"/>
    <n v="5584.38"/>
    <n v="-2921.66"/>
    <n v="-2682.24"/>
    <n v="3721.47"/>
    <n v="2617.58"/>
    <n v="7104.76"/>
    <n v="1103.8899999999999"/>
  </r>
  <r>
    <x v="6"/>
    <x v="9"/>
    <x v="0"/>
    <s v="3209501"/>
    <n v="713010"/>
    <s v="Benefits-FICA/Medicare"/>
    <s v="Virtual Companions"/>
    <x v="0"/>
    <m/>
    <n v="8588.7099999999991"/>
    <n v="8642.77"/>
    <n v="9752.2000000000007"/>
    <n v="9904.85"/>
    <n v="8384.35"/>
    <n v="9987.27"/>
    <n v="10308.950000000001"/>
    <n v="10039.16"/>
    <n v="10241.64"/>
    <n v="9356.4500000000007"/>
    <n v="10653.71"/>
    <n v="9902.1200000000008"/>
    <n v="115762.18"/>
    <n v="751.58999999999833"/>
  </r>
  <r>
    <x v="6"/>
    <x v="9"/>
    <x v="0"/>
    <s v="3209501"/>
    <n v="713090"/>
    <s v="Benefits-Allocated Amounts"/>
    <s v="Virtual Companions"/>
    <x v="0"/>
    <m/>
    <n v="33978.29"/>
    <n v="30869.59"/>
    <n v="36780.15"/>
    <n v="38342.86"/>
    <n v="32130.74"/>
    <n v="39786.57"/>
    <n v="42502.55"/>
    <n v="40856.35"/>
    <n v="44830.05"/>
    <n v="43024.73"/>
    <n v="46896.49"/>
    <n v="43453.26"/>
    <n v="473451.62999999995"/>
    <n v="3443.2299999999959"/>
  </r>
  <r>
    <x v="7"/>
    <x v="9"/>
    <x v="0"/>
    <s v="3209501"/>
    <n v="718050"/>
    <s v="Contract Svcs-Other"/>
    <s v="Virtual Companions"/>
    <x v="0"/>
    <m/>
    <n v="0"/>
    <n v="7020.91"/>
    <n v="0"/>
    <n v="3244.83"/>
    <n v="0"/>
    <n v="3595.5"/>
    <n v="3836.76"/>
    <n v="2000.83"/>
    <n v="4001.66"/>
    <n v="22125.5"/>
    <n v="0"/>
    <n v="0"/>
    <n v="45825.990000000005"/>
    <n v="0"/>
  </r>
  <r>
    <x v="7"/>
    <x v="9"/>
    <x v="0"/>
    <s v="3209501"/>
    <n v="718050"/>
    <s v="Miscellaneous Purchased Svcs"/>
    <s v="Virtual Companions"/>
    <x v="0"/>
    <n v="1020"/>
    <n v="0"/>
    <n v="0"/>
    <n v="1605.46"/>
    <n v="0"/>
    <n v="0"/>
    <n v="0"/>
    <n v="0"/>
    <n v="0"/>
    <n v="0"/>
    <n v="0"/>
    <n v="2925.5"/>
    <n v="0"/>
    <n v="4530.96"/>
    <n v="2925.5"/>
  </r>
  <r>
    <x v="11"/>
    <x v="9"/>
    <x v="0"/>
    <s v="3209501"/>
    <n v="721410"/>
    <s v="Supplies-Medical - Nonbillable"/>
    <s v="Virtual Companions"/>
    <x v="0"/>
    <m/>
    <n v="15.47"/>
    <n v="0"/>
    <n v="0"/>
    <n v="0"/>
    <n v="0"/>
    <n v="0"/>
    <n v="0"/>
    <n v="0"/>
    <n v="0"/>
    <n v="0"/>
    <n v="0"/>
    <n v="0"/>
    <n v="15.47"/>
    <n v="0"/>
  </r>
  <r>
    <x v="11"/>
    <x v="9"/>
    <x v="0"/>
    <s v="3209501"/>
    <n v="721810"/>
    <s v="Supplies-Dietary/Cafeteria"/>
    <s v="Virtual Companions"/>
    <x v="0"/>
    <m/>
    <n v="101.28"/>
    <n v="0"/>
    <n v="0"/>
    <n v="0"/>
    <n v="0"/>
    <n v="0"/>
    <n v="32.979999999999997"/>
    <n v="0"/>
    <n v="32.979999999999997"/>
    <n v="0"/>
    <n v="0"/>
    <n v="0"/>
    <n v="167.23999999999998"/>
    <n v="0"/>
  </r>
  <r>
    <x v="11"/>
    <x v="9"/>
    <x v="0"/>
    <s v="3209501"/>
    <n v="721830"/>
    <s v="Supplies-Office"/>
    <s v="Virtual Companions"/>
    <x v="0"/>
    <m/>
    <n v="124.68"/>
    <n v="4048.63"/>
    <n v="-895.16"/>
    <n v="0"/>
    <n v="58.63"/>
    <n v="1352.55"/>
    <n v="147.19999999999999"/>
    <n v="0"/>
    <n v="0"/>
    <n v="0"/>
    <n v="447.8"/>
    <n v="-33.36"/>
    <n v="5250.9700000000012"/>
    <n v="481.16"/>
  </r>
  <r>
    <x v="11"/>
    <x v="9"/>
    <x v="0"/>
    <s v="3209501"/>
    <n v="721835"/>
    <s v="Supplies-Forms"/>
    <s v="Virtual Companions"/>
    <x v="0"/>
    <m/>
    <n v="0"/>
    <n v="0"/>
    <n v="0"/>
    <n v="0"/>
    <n v="0"/>
    <n v="0"/>
    <n v="50.63"/>
    <n v="0"/>
    <n v="0"/>
    <n v="0"/>
    <n v="0"/>
    <n v="0"/>
    <n v="50.63"/>
    <n v="0"/>
  </r>
  <r>
    <x v="11"/>
    <x v="9"/>
    <x v="0"/>
    <s v="3209501"/>
    <n v="721910"/>
    <s v="Supplies-Small Equipment"/>
    <s v="Virtual Companions"/>
    <x v="0"/>
    <m/>
    <n v="4696.9799999999996"/>
    <n v="777.42"/>
    <n v="-341.46"/>
    <n v="2511.84"/>
    <n v="5737.92"/>
    <n v="14116.3"/>
    <n v="-2181.25"/>
    <n v="8212.4"/>
    <n v="-4001.66"/>
    <n v="9488.98"/>
    <n v="13461.76"/>
    <n v="-1485.9"/>
    <n v="50993.33"/>
    <n v="14947.66"/>
  </r>
  <r>
    <x v="11"/>
    <x v="9"/>
    <x v="0"/>
    <s v="3209501"/>
    <n v="721980"/>
    <s v="Supplies-Other"/>
    <s v="Virtual Companions"/>
    <x v="0"/>
    <m/>
    <n v="83.17"/>
    <n v="0"/>
    <n v="0"/>
    <n v="0"/>
    <n v="0"/>
    <n v="21.85"/>
    <n v="275.25"/>
    <n v="10.92"/>
    <n v="12929.78"/>
    <n v="0"/>
    <n v="0"/>
    <n v="0"/>
    <n v="13320.970000000001"/>
    <n v="0"/>
  </r>
  <r>
    <x v="11"/>
    <x v="9"/>
    <x v="0"/>
    <s v="3209501"/>
    <n v="722000"/>
    <s v="Supplies-Freight Expense"/>
    <s v="Virtual Companions"/>
    <x v="0"/>
    <m/>
    <n v="0"/>
    <n v="14.38"/>
    <n v="0"/>
    <n v="0"/>
    <n v="0"/>
    <n v="0"/>
    <n v="0"/>
    <n v="0"/>
    <n v="0"/>
    <n v="0"/>
    <n v="0"/>
    <n v="41.63"/>
    <n v="56.010000000000005"/>
    <n v="-41.63"/>
  </r>
  <r>
    <x v="15"/>
    <x v="9"/>
    <x v="0"/>
    <s v="3209501"/>
    <n v="731060"/>
    <s v="Cell Phones"/>
    <s v="Virtual Companions"/>
    <x v="0"/>
    <n v="1001"/>
    <n v="0"/>
    <n v="90"/>
    <n v="124.45"/>
    <n v="30"/>
    <n v="86.85"/>
    <n v="117.42"/>
    <n v="114.91"/>
    <n v="60"/>
    <n v="28.05"/>
    <n v="54.82"/>
    <n v="89.44"/>
    <n v="24.85"/>
    <n v="820.79000000000008"/>
    <n v="64.59"/>
  </r>
  <r>
    <x v="0"/>
    <x v="9"/>
    <x v="0"/>
    <s v="3209501"/>
    <n v="743010"/>
    <s v="Dues--Institutional"/>
    <s v="Virtual Companions"/>
    <x v="0"/>
    <m/>
    <n v="0"/>
    <n v="0"/>
    <n v="0"/>
    <n v="0"/>
    <n v="0"/>
    <n v="0"/>
    <n v="0"/>
    <n v="0"/>
    <n v="0"/>
    <n v="400"/>
    <n v="0"/>
    <n v="0"/>
    <n v="400"/>
    <n v="0"/>
  </r>
  <r>
    <x v="0"/>
    <x v="9"/>
    <x v="0"/>
    <s v="3209501"/>
    <n v="743030"/>
    <s v="Subscriptions--Institutional"/>
    <s v="Virtual Companions"/>
    <x v="0"/>
    <m/>
    <n v="517.11"/>
    <n v="0"/>
    <n v="0"/>
    <n v="0"/>
    <n v="0"/>
    <n v="0"/>
    <n v="0"/>
    <n v="0"/>
    <n v="0"/>
    <n v="0"/>
    <n v="0"/>
    <n v="0"/>
    <n v="517.11"/>
    <n v="0"/>
  </r>
  <r>
    <x v="0"/>
    <x v="9"/>
    <x v="0"/>
    <s v="3209501"/>
    <n v="749510"/>
    <s v="Miscellaneous Expenses"/>
    <s v="Virtual Companions"/>
    <x v="0"/>
    <m/>
    <n v="-679.98"/>
    <n v="2047.85"/>
    <n v="-151.58000000000001"/>
    <n v="404.6"/>
    <n v="0"/>
    <n v="0"/>
    <n v="0"/>
    <n v="0"/>
    <n v="0"/>
    <n v="0"/>
    <n v="0"/>
    <n v="949.4"/>
    <n v="2570.29"/>
    <n v="-949.4"/>
  </r>
  <r>
    <x v="0"/>
    <x v="9"/>
    <x v="0"/>
    <s v="3209501"/>
    <n v="749510"/>
    <s v="RICE Rewards"/>
    <s v="Virtual Companions"/>
    <x v="0"/>
    <n v="5100"/>
    <n v="0"/>
    <n v="0"/>
    <n v="0"/>
    <n v="0"/>
    <n v="0"/>
    <n v="0"/>
    <n v="1827.33"/>
    <n v="0"/>
    <n v="0"/>
    <n v="0"/>
    <n v="0"/>
    <n v="0"/>
    <n v="1827.33"/>
    <n v="0"/>
  </r>
  <r>
    <x v="0"/>
    <x v="9"/>
    <x v="0"/>
    <s v="3209501"/>
    <n v="749530"/>
    <s v="Travel"/>
    <s v="Virtual Companions"/>
    <x v="0"/>
    <m/>
    <n v="0"/>
    <n v="0"/>
    <n v="0"/>
    <n v="1218.8"/>
    <n v="0"/>
    <n v="0"/>
    <n v="651.28"/>
    <n v="0"/>
    <n v="0"/>
    <n v="0"/>
    <n v="0"/>
    <n v="451.6"/>
    <n v="2321.6799999999998"/>
    <n v="-451.6"/>
  </r>
  <r>
    <x v="0"/>
    <x v="9"/>
    <x v="0"/>
    <s v="3209501"/>
    <n v="749530"/>
    <s v="Mileage"/>
    <s v="Virtual Companions"/>
    <x v="0"/>
    <n v="1001"/>
    <n v="0"/>
    <n v="450.83"/>
    <n v="370.16"/>
    <n v="184.81"/>
    <n v="209.87"/>
    <n v="319.98"/>
    <n v="227.26"/>
    <n v="18.559999999999999"/>
    <n v="0"/>
    <n v="0"/>
    <n v="58.58"/>
    <n v="0"/>
    <n v="1840.05"/>
    <n v="58.58"/>
  </r>
  <r>
    <x v="0"/>
    <x v="9"/>
    <x v="0"/>
    <s v="3209501"/>
    <n v="749535"/>
    <s v="Employee Functions"/>
    <s v="Virtual Companions"/>
    <x v="0"/>
    <n v="1004"/>
    <n v="0"/>
    <n v="0"/>
    <n v="128"/>
    <n v="0"/>
    <n v="0"/>
    <n v="0"/>
    <n v="0"/>
    <n v="0"/>
    <n v="0"/>
    <n v="0"/>
    <n v="0"/>
    <n v="0"/>
    <n v="128"/>
    <n v="0"/>
  </r>
  <r>
    <x v="18"/>
    <x v="5"/>
    <x v="0"/>
    <s v="3210106"/>
    <n v="400010"/>
    <s v="Acute I/P Svcs Rev--Medicare"/>
    <s v="Outpatient Observation"/>
    <x v="0"/>
    <n v="1100"/>
    <n v="-231186.16"/>
    <n v="-223041.07"/>
    <n v="-176484.65"/>
    <n v="-53748.88"/>
    <n v="-20929.830000000002"/>
    <n v="0"/>
    <n v="0"/>
    <n v="0"/>
    <n v="0"/>
    <n v="0"/>
    <n v="0"/>
    <n v="0"/>
    <n v="-705390.59"/>
    <n v="0"/>
  </r>
  <r>
    <x v="18"/>
    <x v="5"/>
    <x v="0"/>
    <s v="3210106"/>
    <n v="400010"/>
    <s v="Acute I/P Svcs Rev--Medicaid"/>
    <s v="Outpatient Observation"/>
    <x v="0"/>
    <n v="1200"/>
    <n v="-149463.32999999999"/>
    <n v="-94182.99"/>
    <n v="-31345.14"/>
    <n v="17150.04"/>
    <n v="0"/>
    <n v="914.89"/>
    <n v="0"/>
    <n v="0"/>
    <n v="0"/>
    <n v="0"/>
    <n v="0"/>
    <n v="0"/>
    <n v="-256926.53"/>
    <n v="0"/>
  </r>
  <r>
    <x v="18"/>
    <x v="5"/>
    <x v="0"/>
    <s v="3210106"/>
    <n v="400010"/>
    <s v="Acute I/P Svcs Rev--Comm Insurance"/>
    <s v="Outpatient Observation"/>
    <x v="0"/>
    <n v="1300"/>
    <n v="0"/>
    <n v="-6126"/>
    <n v="0"/>
    <n v="0"/>
    <n v="0"/>
    <n v="0"/>
    <n v="0"/>
    <n v="0"/>
    <n v="0"/>
    <n v="0"/>
    <n v="0"/>
    <n v="0"/>
    <n v="-6126"/>
    <n v="0"/>
  </r>
  <r>
    <x v="18"/>
    <x v="5"/>
    <x v="0"/>
    <s v="3210106"/>
    <n v="400010"/>
    <s v="Acute I/P Svcs Rev--BCBS Comm"/>
    <s v="Outpatient Observation"/>
    <x v="0"/>
    <n v="1301"/>
    <n v="-15059.98"/>
    <n v="-18181.54"/>
    <n v="-23800.45"/>
    <n v="-3171"/>
    <n v="-3063"/>
    <n v="0"/>
    <n v="0"/>
    <n v="-25240"/>
    <n v="-97805"/>
    <n v="123045"/>
    <n v="0"/>
    <n v="0"/>
    <n v="-63275.97"/>
    <n v="0"/>
  </r>
  <r>
    <x v="18"/>
    <x v="5"/>
    <x v="0"/>
    <s v="3210106"/>
    <n v="400010"/>
    <s v="Acute I/P Svcs Rev--Managed Care"/>
    <s v="Outpatient Observation"/>
    <x v="0"/>
    <n v="1400"/>
    <n v="-20547.71"/>
    <n v="-46936.68"/>
    <n v="-20888.14"/>
    <n v="0"/>
    <n v="-6409.33"/>
    <n v="2917"/>
    <n v="0"/>
    <n v="0"/>
    <n v="0"/>
    <n v="0"/>
    <n v="0"/>
    <n v="0"/>
    <n v="-91864.86"/>
    <n v="0"/>
  </r>
  <r>
    <x v="18"/>
    <x v="5"/>
    <x v="0"/>
    <s v="3210106"/>
    <n v="400010"/>
    <s v="Acute I/P Svcs Rev--Self Pay"/>
    <s v="Outpatient Observation"/>
    <x v="0"/>
    <n v="1500"/>
    <n v="-9189"/>
    <n v="-12684"/>
    <n v="0"/>
    <n v="0"/>
    <n v="0"/>
    <n v="0"/>
    <n v="0"/>
    <n v="0"/>
    <n v="0"/>
    <n v="0"/>
    <n v="0"/>
    <n v="0"/>
    <n v="-21873"/>
    <n v="0"/>
  </r>
  <r>
    <x v="18"/>
    <x v="5"/>
    <x v="0"/>
    <s v="3210106"/>
    <n v="400010"/>
    <s v="Acute I/P Svcs Rev--Other"/>
    <s v="Outpatient Observation"/>
    <x v="0"/>
    <n v="1700"/>
    <n v="-18365.47"/>
    <n v="-14145.15"/>
    <n v="-9189"/>
    <n v="2659"/>
    <n v="0"/>
    <n v="-2917"/>
    <n v="0"/>
    <n v="0"/>
    <n v="0"/>
    <n v="0"/>
    <n v="0"/>
    <n v="0"/>
    <n v="-41957.62"/>
    <n v="0"/>
  </r>
  <r>
    <x v="19"/>
    <x v="5"/>
    <x v="0"/>
    <s v="3210106"/>
    <n v="400020"/>
    <s v="O/P Care Svcs Rev--Medicare"/>
    <s v="Outpatient Observation"/>
    <x v="0"/>
    <n v="1100"/>
    <n v="-197006"/>
    <n v="-161558.28"/>
    <n v="-228740.38"/>
    <n v="-16235.67"/>
    <n v="-4338.0600000000004"/>
    <n v="-3772.92"/>
    <n v="0"/>
    <n v="0"/>
    <n v="0"/>
    <n v="0"/>
    <n v="0"/>
    <n v="0"/>
    <n v="-611651.31000000017"/>
    <n v="0"/>
  </r>
  <r>
    <x v="19"/>
    <x v="5"/>
    <x v="0"/>
    <s v="3210106"/>
    <n v="400020"/>
    <s v="O/P Care Svcs Rev--Medicaid"/>
    <s v="Outpatient Observation"/>
    <x v="0"/>
    <n v="1200"/>
    <n v="-106225.94"/>
    <n v="-73886.67"/>
    <n v="-75504.89"/>
    <n v="-20834.89"/>
    <n v="-4527.17"/>
    <n v="-192.39"/>
    <n v="67.33"/>
    <n v="0"/>
    <n v="0"/>
    <n v="0"/>
    <n v="0"/>
    <n v="0"/>
    <n v="-281104.62"/>
    <n v="0"/>
  </r>
  <r>
    <x v="19"/>
    <x v="5"/>
    <x v="0"/>
    <s v="3210106"/>
    <n v="400020"/>
    <s v="O/P Care Svcs Rev--Comm Insurance"/>
    <s v="Outpatient Observation"/>
    <x v="0"/>
    <n v="1300"/>
    <n v="2229.14"/>
    <n v="-17247.439999999999"/>
    <n v="2114.08"/>
    <n v="-20717.78"/>
    <n v="-67.33"/>
    <n v="67.33"/>
    <n v="-67.33"/>
    <n v="0"/>
    <n v="0"/>
    <n v="0"/>
    <n v="0"/>
    <n v="0"/>
    <n v="-33689.33"/>
    <n v="0"/>
  </r>
  <r>
    <x v="19"/>
    <x v="5"/>
    <x v="0"/>
    <s v="3210106"/>
    <n v="400020"/>
    <s v="O/P Care Svcs Rev--BCBS Comm"/>
    <s v="Outpatient Observation"/>
    <x v="0"/>
    <n v="1301"/>
    <n v="-35898.949999999997"/>
    <n v="-48777.81"/>
    <n v="2157.3200000000002"/>
    <n v="20334.919999999998"/>
    <n v="0"/>
    <n v="7306.43"/>
    <n v="0"/>
    <n v="0"/>
    <n v="0"/>
    <n v="0"/>
    <n v="0"/>
    <n v="0"/>
    <n v="-54878.089999999989"/>
    <n v="0"/>
  </r>
  <r>
    <x v="19"/>
    <x v="5"/>
    <x v="0"/>
    <s v="3210106"/>
    <n v="400020"/>
    <s v="O/P Care Svcs Rev--Managed Care"/>
    <s v="Outpatient Observation"/>
    <x v="0"/>
    <n v="1400"/>
    <n v="-60803.58"/>
    <n v="-41068.89"/>
    <n v="-34099.93"/>
    <n v="-7878.65"/>
    <n v="-364.62"/>
    <n v="0"/>
    <n v="0"/>
    <n v="0"/>
    <n v="0"/>
    <n v="0"/>
    <n v="0"/>
    <n v="0"/>
    <n v="-144215.66999999998"/>
    <n v="0"/>
  </r>
  <r>
    <x v="19"/>
    <x v="5"/>
    <x v="0"/>
    <s v="3210106"/>
    <n v="400020"/>
    <s v="O/P Care Svcs Rev--Self Pay"/>
    <s v="Outpatient Observation"/>
    <x v="0"/>
    <n v="1500"/>
    <n v="-5296.38"/>
    <n v="0"/>
    <n v="-11643.85"/>
    <n v="-2697.56"/>
    <n v="0"/>
    <n v="-7306.43"/>
    <n v="-6574.39"/>
    <n v="0"/>
    <n v="0"/>
    <n v="0"/>
    <n v="0"/>
    <n v="0"/>
    <n v="-33518.61"/>
    <n v="0"/>
  </r>
  <r>
    <x v="19"/>
    <x v="5"/>
    <x v="0"/>
    <s v="3210106"/>
    <n v="400020"/>
    <s v="O/P Care Svcs Rev--Other"/>
    <s v="Outpatient Observation"/>
    <x v="0"/>
    <n v="1700"/>
    <n v="-7869.23"/>
    <n v="0"/>
    <n v="0"/>
    <n v="0"/>
    <n v="0"/>
    <n v="0"/>
    <n v="6574.39"/>
    <n v="0"/>
    <n v="0"/>
    <n v="0"/>
    <n v="0"/>
    <n v="0"/>
    <n v="-1294.8399999999992"/>
    <n v="0"/>
  </r>
  <r>
    <x v="5"/>
    <x v="5"/>
    <x v="0"/>
    <s v="3210106"/>
    <n v="700014"/>
    <s v="Salaries-Management-Productive"/>
    <s v="Outpatient Observation"/>
    <x v="0"/>
    <m/>
    <n v="9809.7900000000009"/>
    <n v="4873.66"/>
    <n v="8164.65"/>
    <n v="1445.87"/>
    <n v="12972.88"/>
    <n v="-584.92999999999995"/>
    <n v="6642.44"/>
    <n v="-1627.89"/>
    <n v="4325.58"/>
    <n v="0"/>
    <n v="0"/>
    <n v="0"/>
    <n v="46022.05"/>
    <n v="0"/>
  </r>
  <r>
    <x v="5"/>
    <x v="5"/>
    <x v="0"/>
    <s v="3210106"/>
    <n v="700026"/>
    <s v="Salaries-RN-Productive"/>
    <s v="Outpatient Observation"/>
    <x v="0"/>
    <m/>
    <n v="59297.57"/>
    <n v="59748.38"/>
    <n v="64181.46"/>
    <n v="7379.25"/>
    <n v="-184.67"/>
    <n v="3178.31"/>
    <n v="682.35"/>
    <n v="748.23"/>
    <n v="414.38"/>
    <n v="93.43"/>
    <n v="445.42"/>
    <n v="0"/>
    <n v="195984.11000000002"/>
    <n v="445.42"/>
  </r>
  <r>
    <x v="5"/>
    <x v="5"/>
    <x v="0"/>
    <s v="3210106"/>
    <n v="700026"/>
    <s v="Salaries-RN-OT"/>
    <s v="Outpatient Observation"/>
    <x v="0"/>
    <n v="1000"/>
    <n v="1319"/>
    <n v="1375.87"/>
    <n v="3378.14"/>
    <n v="-257.68"/>
    <n v="-264.29000000000002"/>
    <n v="1660.31"/>
    <n v="32.31"/>
    <n v="-8.5"/>
    <n v="0"/>
    <n v="0"/>
    <n v="0"/>
    <n v="0"/>
    <n v="7235.1600000000008"/>
    <n v="0"/>
  </r>
  <r>
    <x v="5"/>
    <x v="5"/>
    <x v="0"/>
    <s v="3210106"/>
    <n v="700026"/>
    <s v="Salaries-RN-Other"/>
    <s v="Outpatient Observation"/>
    <x v="0"/>
    <n v="2000"/>
    <n v="7113.49"/>
    <n v="7412.87"/>
    <n v="7499.33"/>
    <n v="1064.29"/>
    <n v="150.47999999999999"/>
    <n v="533.21"/>
    <n v="185"/>
    <n v="188.41"/>
    <n v="187.95"/>
    <n v="3048.82"/>
    <n v="382.13"/>
    <n v="84.66"/>
    <n v="27850.640000000003"/>
    <n v="297.47000000000003"/>
  </r>
  <r>
    <x v="5"/>
    <x v="5"/>
    <x v="0"/>
    <s v="3210106"/>
    <n v="700032"/>
    <s v="Salaries-Other Pat Care Providers-Productive"/>
    <s v="Outpatient Observation"/>
    <x v="0"/>
    <m/>
    <n v="15406.01"/>
    <n v="12737.81"/>
    <n v="14537.37"/>
    <n v="-173.52"/>
    <n v="1331.95"/>
    <n v="1007.51"/>
    <n v="141.55000000000001"/>
    <n v="608.84"/>
    <n v="-181.74"/>
    <n v="461.13"/>
    <n v="851.5"/>
    <n v="327.26"/>
    <n v="47055.670000000006"/>
    <n v="524.24"/>
  </r>
  <r>
    <x v="5"/>
    <x v="5"/>
    <x v="0"/>
    <s v="3210106"/>
    <n v="700032"/>
    <s v="Salaries-Other Pat Care Providers-OT"/>
    <s v="Outpatient Observation"/>
    <x v="0"/>
    <n v="1000"/>
    <n v="172.79"/>
    <n v="704.28"/>
    <n v="-116.4"/>
    <n v="18.36"/>
    <n v="0"/>
    <n v="6.86"/>
    <n v="-355.01"/>
    <n v="93.41"/>
    <n v="0"/>
    <n v="0"/>
    <n v="0"/>
    <n v="0"/>
    <n v="524.29"/>
    <n v="0"/>
  </r>
  <r>
    <x v="5"/>
    <x v="5"/>
    <x v="0"/>
    <s v="3210106"/>
    <n v="700032"/>
    <s v="Salaries-Other Pat Care Providers-Other"/>
    <s v="Outpatient Observation"/>
    <x v="0"/>
    <n v="2000"/>
    <n v="1127.0999999999999"/>
    <n v="844.75"/>
    <n v="882.99"/>
    <n v="-2.23"/>
    <n v="187.78"/>
    <n v="94.8"/>
    <n v="5.92"/>
    <n v="0"/>
    <n v="406.1"/>
    <n v="2484.8200000000002"/>
    <n v="20.37"/>
    <n v="75.55"/>
    <n v="6127.9500000000007"/>
    <n v="-55.179999999999993"/>
  </r>
  <r>
    <x v="5"/>
    <x v="5"/>
    <x v="0"/>
    <s v="3210106"/>
    <n v="700054"/>
    <s v="Salaries-Management-Non-productive"/>
    <s v="Outpatient Observation"/>
    <x v="0"/>
    <m/>
    <n v="0"/>
    <n v="4936.57"/>
    <n v="1329.25"/>
    <n v="8581.51"/>
    <n v="-3218.85"/>
    <n v="10664.42"/>
    <n v="3452.79"/>
    <n v="9506.48"/>
    <n v="-1301.93"/>
    <n v="0"/>
    <n v="0"/>
    <n v="0"/>
    <n v="33950.239999999998"/>
    <n v="0"/>
  </r>
  <r>
    <x v="5"/>
    <x v="5"/>
    <x v="0"/>
    <s v="3210106"/>
    <n v="700054"/>
    <s v="Salaries-Management-NonProd-Other"/>
    <s v="Outpatient Observation"/>
    <x v="0"/>
    <n v="2000"/>
    <n v="0"/>
    <n v="0"/>
    <n v="0"/>
    <n v="0"/>
    <n v="0"/>
    <n v="0"/>
    <n v="0"/>
    <n v="1236.95"/>
    <n v="2275.5300000000002"/>
    <n v="650.02"/>
    <n v="975.5"/>
    <n v="-4226.53"/>
    <n v="911.47000000000025"/>
    <n v="5202.03"/>
  </r>
  <r>
    <x v="5"/>
    <x v="5"/>
    <x v="0"/>
    <s v="3210106"/>
    <n v="700066"/>
    <s v="Salaries-RN-Non-productive"/>
    <s v="Outpatient Observation"/>
    <x v="0"/>
    <m/>
    <n v="5017.8599999999997"/>
    <n v="3849.62"/>
    <n v="15171.49"/>
    <n v="1325.78"/>
    <n v="11831.31"/>
    <n v="-602.38"/>
    <n v="6590.87"/>
    <n v="963.41"/>
    <n v="3701.47"/>
    <n v="-465.3"/>
    <n v="379.03"/>
    <n v="0"/>
    <n v="47763.16"/>
    <n v="379.03"/>
  </r>
  <r>
    <x v="5"/>
    <x v="5"/>
    <x v="0"/>
    <s v="3210106"/>
    <n v="700066"/>
    <s v="Salaries-RN-NonProd-Other"/>
    <s v="Outpatient Observation"/>
    <x v="0"/>
    <n v="2000"/>
    <n v="429.39"/>
    <n v="224.2"/>
    <n v="1463.15"/>
    <n v="40.659999999999997"/>
    <n v="909.72"/>
    <n v="12.63"/>
    <n v="38.94"/>
    <n v="129.94"/>
    <n v="300.72000000000003"/>
    <n v="0"/>
    <n v="13.72"/>
    <n v="0"/>
    <n v="3563.07"/>
    <n v="13.72"/>
  </r>
  <r>
    <x v="5"/>
    <x v="5"/>
    <x v="0"/>
    <s v="3210106"/>
    <n v="700072"/>
    <s v="Salaries-Other Pat Care Providers-Non-productive"/>
    <s v="Outpatient Observation"/>
    <x v="0"/>
    <m/>
    <n v="3556.95"/>
    <n v="4235.8599999999997"/>
    <n v="4529.8599999999997"/>
    <n v="1216.31"/>
    <n v="2747.5"/>
    <n v="1899.4"/>
    <n v="279.14"/>
    <n v="2124.0700000000002"/>
    <n v="3170.84"/>
    <n v="864.79"/>
    <n v="1417.45"/>
    <n v="2703.22"/>
    <n v="28745.39"/>
    <n v="-1285.7699999999998"/>
  </r>
  <r>
    <x v="5"/>
    <x v="5"/>
    <x v="0"/>
    <s v="3210106"/>
    <n v="700072"/>
    <s v="Salaries-Other Pat Care Providers-NonProd-Other"/>
    <s v="Outpatient Observation"/>
    <x v="0"/>
    <n v="2000"/>
    <n v="94.57"/>
    <n v="202.75"/>
    <n v="226.35"/>
    <n v="62.53"/>
    <n v="92.99"/>
    <n v="90.9"/>
    <n v="3.55"/>
    <n v="119"/>
    <n v="53.74"/>
    <n v="26.8"/>
    <n v="35.08"/>
    <n v="114.31"/>
    <n v="1122.57"/>
    <n v="-79.23"/>
  </r>
  <r>
    <x v="5"/>
    <x v="5"/>
    <x v="0"/>
    <s v="3210106"/>
    <n v="700084"/>
    <s v="Accrued PTO"/>
    <s v="Outpatient Observation"/>
    <x v="0"/>
    <m/>
    <n v="4474.2299999999996"/>
    <n v="-104.64"/>
    <n v="-10579.57"/>
    <n v="-2411.8000000000002"/>
    <n v="-1171.3399999999999"/>
    <n v="233.76"/>
    <n v="756.56"/>
    <n v="2348.5700000000002"/>
    <n v="-3205.02"/>
    <n v="242"/>
    <n v="-126.67"/>
    <n v="-637.48"/>
    <n v="-10181.400000000001"/>
    <n v="510.81"/>
  </r>
  <r>
    <x v="10"/>
    <x v="5"/>
    <x v="0"/>
    <s v="3210106"/>
    <n v="710060"/>
    <s v="Contract Labor-Other"/>
    <s v="Outpatient Observation"/>
    <x v="0"/>
    <m/>
    <n v="0"/>
    <n v="0"/>
    <n v="0"/>
    <n v="0"/>
    <n v="0"/>
    <n v="0"/>
    <n v="0"/>
    <n v="0"/>
    <n v="0"/>
    <n v="0"/>
    <n v="0"/>
    <n v="0"/>
    <n v="0"/>
    <n v="0"/>
  </r>
  <r>
    <x v="6"/>
    <x v="5"/>
    <x v="0"/>
    <s v="3210106"/>
    <n v="713010"/>
    <s v="Benefits-FICA/Medicare"/>
    <s v="Outpatient Observation"/>
    <x v="0"/>
    <m/>
    <n v="7699.39"/>
    <n v="7532.9"/>
    <n v="9064.06"/>
    <n v="1539.32"/>
    <n v="1974.82"/>
    <n v="1313.54"/>
    <n v="1309.96"/>
    <n v="1067.51"/>
    <n v="1924.39"/>
    <n v="1541.35"/>
    <n v="742.5"/>
    <n v="553.07000000000005"/>
    <n v="36262.81"/>
    <n v="189.42999999999995"/>
  </r>
  <r>
    <x v="6"/>
    <x v="5"/>
    <x v="0"/>
    <s v="3210106"/>
    <n v="713090"/>
    <s v="Benefits-Allocated Amounts"/>
    <s v="Outpatient Observation"/>
    <x v="0"/>
    <m/>
    <n v="23666.77"/>
    <n v="22325.64"/>
    <n v="24786.53"/>
    <n v="3102.35"/>
    <n v="5755.52"/>
    <n v="3442.74"/>
    <n v="3633.14"/>
    <n v="3415.77"/>
    <n v="2003.35"/>
    <n v="998.49"/>
    <n v="1102.8"/>
    <n v="821.13"/>
    <n v="95054.23000000004"/>
    <n v="281.66999999999996"/>
  </r>
  <r>
    <x v="6"/>
    <x v="5"/>
    <x v="0"/>
    <s v="3210106"/>
    <n v="713096"/>
    <s v="Employee Recognition"/>
    <s v="Outpatient Observation"/>
    <x v="0"/>
    <n v="1017"/>
    <n v="0"/>
    <n v="0"/>
    <n v="0"/>
    <n v="0"/>
    <n v="121.31"/>
    <n v="0"/>
    <n v="0"/>
    <n v="0"/>
    <n v="0"/>
    <n v="0"/>
    <n v="0"/>
    <n v="0"/>
    <n v="121.31"/>
    <n v="0"/>
  </r>
  <r>
    <x v="11"/>
    <x v="5"/>
    <x v="0"/>
    <s v="3210106"/>
    <n v="721010"/>
    <s v="Supplies-Medical - Billable"/>
    <s v="Outpatient Observation"/>
    <x v="0"/>
    <m/>
    <n v="1556.68"/>
    <n v="2028.55"/>
    <n v="2690.28"/>
    <n v="1394.46"/>
    <n v="1521.65"/>
    <n v="1912.21"/>
    <n v="1678.71"/>
    <n v="1887.96"/>
    <n v="1579.56"/>
    <n v="1763.58"/>
    <n v="1357.37"/>
    <n v="1685.09"/>
    <n v="21056.1"/>
    <n v="-327.72"/>
  </r>
  <r>
    <x v="11"/>
    <x v="5"/>
    <x v="0"/>
    <s v="3210106"/>
    <n v="721010"/>
    <s v="Patient Monitoring"/>
    <s v="Outpatient Observation"/>
    <x v="0"/>
    <n v="1000"/>
    <n v="111.91"/>
    <n v="107.91"/>
    <n v="77.55"/>
    <n v="6.61"/>
    <n v="6.61"/>
    <n v="0"/>
    <n v="0"/>
    <n v="0"/>
    <n v="0"/>
    <n v="0"/>
    <n v="0"/>
    <n v="0"/>
    <n v="310.59000000000003"/>
    <n v="0"/>
  </r>
  <r>
    <x v="11"/>
    <x v="5"/>
    <x v="0"/>
    <s v="3210106"/>
    <n v="721020"/>
    <s v="Supplies-Surgical - Billable"/>
    <s v="Outpatient Observation"/>
    <x v="0"/>
    <m/>
    <n v="498.13"/>
    <n v="23.17"/>
    <n v="0"/>
    <n v="10.49"/>
    <n v="0"/>
    <n v="0"/>
    <n v="0"/>
    <n v="0"/>
    <n v="0"/>
    <n v="0"/>
    <n v="214.2"/>
    <n v="226.8"/>
    <n v="972.79"/>
    <n v="-12.600000000000023"/>
  </r>
  <r>
    <x v="11"/>
    <x v="5"/>
    <x v="0"/>
    <s v="3210106"/>
    <n v="721020"/>
    <s v="Custom Packs"/>
    <s v="Outpatient Observation"/>
    <x v="0"/>
    <n v="1000"/>
    <n v="0"/>
    <n v="0"/>
    <n v="158.88"/>
    <n v="1059.3800000000001"/>
    <n v="966.65"/>
    <n v="1324"/>
    <n v="1244.56"/>
    <n v="1350.48"/>
    <n v="1337.24"/>
    <n v="1522.6"/>
    <n v="1588.8"/>
    <n v="1376.96"/>
    <n v="11929.55"/>
    <n v="211.83999999999992"/>
  </r>
  <r>
    <x v="11"/>
    <x v="5"/>
    <x v="0"/>
    <s v="3210106"/>
    <n v="721020"/>
    <s v="Urological Supplies"/>
    <s v="Outpatient Observation"/>
    <x v="0"/>
    <n v="1006"/>
    <n v="0"/>
    <n v="3.84"/>
    <n v="9.6"/>
    <n v="0"/>
    <n v="0"/>
    <n v="0"/>
    <n v="0"/>
    <n v="0"/>
    <n v="0"/>
    <n v="0"/>
    <n v="0"/>
    <n v="0"/>
    <n v="13.44"/>
    <n v="0"/>
  </r>
  <r>
    <x v="11"/>
    <x v="5"/>
    <x v="0"/>
    <s v="3210106"/>
    <n v="721050"/>
    <s v="Supplies-Cardiac Rhythm - Billable"/>
    <s v="Outpatient Observation"/>
    <x v="0"/>
    <m/>
    <n v="10"/>
    <n v="594.5"/>
    <n v="757.8"/>
    <n v="625.69000000000005"/>
    <n v="104.2"/>
    <n v="573.1"/>
    <n v="429"/>
    <n v="286.55"/>
    <n v="0"/>
    <n v="573.1"/>
    <n v="0"/>
    <n v="1002.1"/>
    <n v="4956.04"/>
    <n v="-1002.1"/>
  </r>
  <r>
    <x v="11"/>
    <x v="5"/>
    <x v="0"/>
    <s v="3210106"/>
    <n v="721240"/>
    <s v="Supplies-IV Solutions/Supplies - Billable"/>
    <s v="Outpatient Observation"/>
    <x v="0"/>
    <m/>
    <n v="15936.74"/>
    <n v="15675.66"/>
    <n v="13197.5"/>
    <n v="11924.73"/>
    <n v="9772.58"/>
    <n v="17933.63"/>
    <n v="10283.299999999999"/>
    <n v="16635.099999999999"/>
    <n v="17046.09"/>
    <n v="17952.240000000002"/>
    <n v="18230.36"/>
    <n v="22773.81"/>
    <n v="187361.74"/>
    <n v="-4543.4500000000007"/>
  </r>
  <r>
    <x v="11"/>
    <x v="5"/>
    <x v="0"/>
    <s v="3210106"/>
    <n v="721350"/>
    <s v="Radiology Imaging - Contrast Media"/>
    <s v="Outpatient Observation"/>
    <x v="0"/>
    <n v="1000"/>
    <n v="3.54"/>
    <n v="0"/>
    <n v="0"/>
    <n v="0"/>
    <n v="0"/>
    <n v="0"/>
    <n v="0"/>
    <n v="0"/>
    <n v="0"/>
    <n v="0"/>
    <n v="0"/>
    <n v="0"/>
    <n v="3.54"/>
    <n v="0"/>
  </r>
  <r>
    <x v="11"/>
    <x v="5"/>
    <x v="0"/>
    <s v="3210106"/>
    <n v="721410"/>
    <s v="Supplies-Medical - Nonbillable"/>
    <s v="Outpatient Observation"/>
    <x v="0"/>
    <m/>
    <n v="3207.91"/>
    <n v="2976.31"/>
    <n v="2551"/>
    <n v="664.05"/>
    <n v="451.78"/>
    <n v="431.55"/>
    <n v="478.45"/>
    <n v="714.52"/>
    <n v="360.49"/>
    <n v="-37822.49"/>
    <n v="509.02"/>
    <n v="392.9"/>
    <n v="-25084.51"/>
    <n v="116.12"/>
  </r>
  <r>
    <x v="11"/>
    <x v="5"/>
    <x v="0"/>
    <s v="3210106"/>
    <n v="721420"/>
    <s v="Supplies-Surgical Nonbillable"/>
    <s v="Outpatient Observation"/>
    <x v="0"/>
    <m/>
    <n v="43.43"/>
    <n v="32.909999999999997"/>
    <n v="49.1"/>
    <n v="48.89"/>
    <n v="11.34"/>
    <n v="96.89"/>
    <n v="4.25"/>
    <n v="18.420000000000002"/>
    <n v="-59.59"/>
    <n v="43.97"/>
    <n v="27.39"/>
    <n v="18.62"/>
    <n v="335.62"/>
    <n v="8.77"/>
  </r>
  <r>
    <x v="11"/>
    <x v="5"/>
    <x v="0"/>
    <s v="3210106"/>
    <n v="721420"/>
    <s v="Tubes Drains &amp; Related Supplies"/>
    <s v="Outpatient Observation"/>
    <x v="0"/>
    <n v="1008"/>
    <n v="0"/>
    <n v="0"/>
    <n v="0"/>
    <n v="1.34"/>
    <n v="0"/>
    <n v="0"/>
    <n v="0"/>
    <n v="0"/>
    <n v="0"/>
    <n v="0"/>
    <n v="0"/>
    <n v="0"/>
    <n v="1.34"/>
    <n v="0"/>
  </r>
  <r>
    <x v="11"/>
    <x v="5"/>
    <x v="0"/>
    <s v="3210106"/>
    <n v="721420"/>
    <s v="Sterilization Process Products"/>
    <s v="Outpatient Observation"/>
    <x v="0"/>
    <n v="1009"/>
    <n v="0"/>
    <n v="0"/>
    <n v="0"/>
    <n v="0"/>
    <n v="0"/>
    <n v="0"/>
    <n v="0"/>
    <n v="0"/>
    <n v="141.74"/>
    <n v="248.07"/>
    <n v="163"/>
    <n v="212.62"/>
    <n v="765.43"/>
    <n v="-49.620000000000005"/>
  </r>
  <r>
    <x v="11"/>
    <x v="5"/>
    <x v="0"/>
    <s v="3210106"/>
    <n v="721610"/>
    <s v="Supplies-Anesthesia - Nonbillable"/>
    <s v="Outpatient Observation"/>
    <x v="0"/>
    <m/>
    <n v="138.02000000000001"/>
    <n v="139.05000000000001"/>
    <n v="67.14"/>
    <n v="11.81"/>
    <n v="0"/>
    <n v="9.4499999999999993"/>
    <n v="0"/>
    <n v="23.62"/>
    <n v="0"/>
    <n v="0"/>
    <n v="6.66"/>
    <n v="0"/>
    <n v="395.75000000000006"/>
    <n v="6.66"/>
  </r>
  <r>
    <x v="11"/>
    <x v="5"/>
    <x v="0"/>
    <s v="3210106"/>
    <n v="721640"/>
    <s v="Supplies-IV Solutions/Supplies - Nonbillable"/>
    <s v="Outpatient Observation"/>
    <x v="0"/>
    <m/>
    <n v="734.26"/>
    <n v="599.72"/>
    <n v="526.54999999999995"/>
    <n v="228.15"/>
    <n v="233.81"/>
    <n v="258.81"/>
    <n v="318.07"/>
    <n v="262.36"/>
    <n v="108.65"/>
    <n v="307.64"/>
    <n v="235"/>
    <n v="209.12"/>
    <n v="4022.14"/>
    <n v="25.879999999999995"/>
  </r>
  <r>
    <x v="11"/>
    <x v="5"/>
    <x v="0"/>
    <s v="3210106"/>
    <n v="721650"/>
    <s v="Supplies-Pharmacy Drugs - Nonbillable"/>
    <s v="Outpatient Observation"/>
    <x v="0"/>
    <m/>
    <n v="0"/>
    <n v="12.96"/>
    <n v="0"/>
    <n v="7.25"/>
    <n v="0"/>
    <n v="0"/>
    <n v="0"/>
    <n v="0"/>
    <n v="0"/>
    <n v="0"/>
    <n v="0"/>
    <n v="0"/>
    <n v="20.21"/>
    <n v="0"/>
  </r>
  <r>
    <x v="11"/>
    <x v="5"/>
    <x v="0"/>
    <s v="3210106"/>
    <n v="721710"/>
    <s v="Supplies-Laboratory - Nonbillable"/>
    <s v="Outpatient Observation"/>
    <x v="0"/>
    <m/>
    <n v="51.36"/>
    <n v="148.91999999999999"/>
    <n v="33.119999999999997"/>
    <n v="18.13"/>
    <n v="35.19"/>
    <n v="11.3"/>
    <n v="0"/>
    <n v="24.44"/>
    <n v="16.25"/>
    <n v="21.93"/>
    <n v="0.53"/>
    <n v="6.48"/>
    <n v="367.65"/>
    <n v="-5.95"/>
  </r>
  <r>
    <x v="11"/>
    <x v="5"/>
    <x v="0"/>
    <s v="3210106"/>
    <n v="721750"/>
    <s v="Supplies-Film/Radiographic - Nonbillable"/>
    <s v="Outpatient Observation"/>
    <x v="0"/>
    <m/>
    <n v="203.13"/>
    <n v="146.24"/>
    <n v="126.1"/>
    <n v="173.85"/>
    <n v="193.23"/>
    <n v="339.48"/>
    <n v="313.72000000000003"/>
    <n v="160.41"/>
    <n v="1.88"/>
    <n v="2.81"/>
    <n v="0.94"/>
    <n v="1.88"/>
    <n v="1663.6700000000005"/>
    <n v="-0.94"/>
  </r>
  <r>
    <x v="11"/>
    <x v="5"/>
    <x v="0"/>
    <s v="3210106"/>
    <n v="721810"/>
    <s v="Supplies-Dietary/Cafeteria"/>
    <s v="Outpatient Observation"/>
    <x v="0"/>
    <m/>
    <n v="1451.85"/>
    <n v="889.61"/>
    <n v="1197.8699999999999"/>
    <n v="542.84"/>
    <n v="257.52"/>
    <n v="385.09"/>
    <n v="505.37"/>
    <n v="65.44"/>
    <n v="35.020000000000003"/>
    <n v="51.27"/>
    <n v="19.89"/>
    <n v="13.4"/>
    <n v="5415.170000000001"/>
    <n v="6.49"/>
  </r>
  <r>
    <x v="11"/>
    <x v="5"/>
    <x v="0"/>
    <s v="3210106"/>
    <n v="721830"/>
    <s v="Supplies-Office"/>
    <s v="Outpatient Observation"/>
    <x v="0"/>
    <m/>
    <n v="78.3"/>
    <n v="92.74"/>
    <n v="275.14"/>
    <n v="0"/>
    <n v="0"/>
    <n v="0"/>
    <n v="0"/>
    <n v="0"/>
    <n v="0"/>
    <n v="0"/>
    <n v="0"/>
    <n v="110"/>
    <n v="556.17999999999995"/>
    <n v="-110"/>
  </r>
  <r>
    <x v="11"/>
    <x v="5"/>
    <x v="0"/>
    <s v="3210106"/>
    <n v="721835"/>
    <s v="Supplies-Forms"/>
    <s v="Outpatient Observation"/>
    <x v="0"/>
    <m/>
    <n v="0"/>
    <n v="0"/>
    <n v="0"/>
    <n v="0"/>
    <n v="23.65"/>
    <n v="47.69"/>
    <n v="0"/>
    <n v="0"/>
    <n v="0"/>
    <n v="0"/>
    <n v="0"/>
    <n v="0"/>
    <n v="71.34"/>
    <n v="0"/>
  </r>
  <r>
    <x v="11"/>
    <x v="5"/>
    <x v="0"/>
    <s v="3210106"/>
    <n v="721870"/>
    <s v="Supplies-Environmental Services"/>
    <s v="Outpatient Observation"/>
    <x v="0"/>
    <m/>
    <n v="143.08000000000001"/>
    <n v="100.15"/>
    <n v="122.33"/>
    <n v="19.14"/>
    <n v="4.72"/>
    <n v="1.18"/>
    <n v="0"/>
    <n v="27.87"/>
    <n v="6.17"/>
    <n v="20.67"/>
    <n v="12.9"/>
    <n v="10.56"/>
    <n v="468.77000000000004"/>
    <n v="2.34"/>
  </r>
  <r>
    <x v="11"/>
    <x v="5"/>
    <x v="0"/>
    <s v="3210106"/>
    <n v="721880"/>
    <s v="Supplies-Linen"/>
    <s v="Outpatient Observation"/>
    <x v="0"/>
    <m/>
    <n v="0"/>
    <n v="0"/>
    <n v="0"/>
    <n v="0"/>
    <n v="45.12"/>
    <n v="0"/>
    <n v="0"/>
    <n v="0"/>
    <n v="0"/>
    <n v="0"/>
    <n v="0"/>
    <n v="0"/>
    <n v="45.12"/>
    <n v="0"/>
  </r>
  <r>
    <x v="11"/>
    <x v="5"/>
    <x v="0"/>
    <s v="3210106"/>
    <n v="721910"/>
    <s v="Supplies-Small Equipment"/>
    <s v="Outpatient Observation"/>
    <x v="0"/>
    <m/>
    <n v="228.75"/>
    <n v="140.97999999999999"/>
    <n v="155.28"/>
    <n v="126.49"/>
    <n v="11.71"/>
    <n v="0"/>
    <n v="3.11"/>
    <n v="14.87"/>
    <n v="8.16"/>
    <n v="9.33"/>
    <n v="-90.73"/>
    <n v="0"/>
    <n v="607.95000000000005"/>
    <n v="-90.73"/>
  </r>
  <r>
    <x v="11"/>
    <x v="5"/>
    <x v="0"/>
    <s v="3210106"/>
    <n v="721910"/>
    <s v="Instruments"/>
    <s v="Outpatient Observation"/>
    <x v="0"/>
    <n v="1000"/>
    <n v="1.87"/>
    <n v="0"/>
    <n v="0"/>
    <n v="0"/>
    <n v="0"/>
    <n v="0"/>
    <n v="0"/>
    <n v="0"/>
    <n v="0"/>
    <n v="0"/>
    <n v="0"/>
    <n v="0"/>
    <n v="1.87"/>
    <n v="0"/>
  </r>
  <r>
    <x v="11"/>
    <x v="5"/>
    <x v="0"/>
    <s v="3210106"/>
    <n v="721980"/>
    <s v="Supplies-Other"/>
    <s v="Outpatient Observation"/>
    <x v="0"/>
    <m/>
    <n v="2800"/>
    <n v="0"/>
    <n v="0"/>
    <n v="87.5"/>
    <n v="0"/>
    <n v="0"/>
    <n v="0"/>
    <n v="2440"/>
    <n v="0"/>
    <n v="122"/>
    <n v="0"/>
    <n v="0"/>
    <n v="5449.5"/>
    <n v="0"/>
  </r>
  <r>
    <x v="11"/>
    <x v="5"/>
    <x v="0"/>
    <s v="3210106"/>
    <n v="722000"/>
    <s v="Supplies-Freight Expense"/>
    <s v="Outpatient Observation"/>
    <x v="0"/>
    <m/>
    <n v="7.93"/>
    <n v="52.91"/>
    <n v="28.99"/>
    <n v="61.63"/>
    <n v="0"/>
    <n v="0"/>
    <n v="0"/>
    <n v="0"/>
    <n v="0"/>
    <n v="0"/>
    <n v="0"/>
    <n v="0"/>
    <n v="151.46"/>
    <n v="0"/>
  </r>
  <r>
    <x v="12"/>
    <x v="5"/>
    <x v="0"/>
    <s v="3210106"/>
    <n v="730020"/>
    <s v="Rental and Leases-Copier Usage Fees (DO NOT USE)"/>
    <s v="Outpatient Observation"/>
    <x v="0"/>
    <n v="5100"/>
    <n v="270.25"/>
    <n v="279.13"/>
    <n v="274.69"/>
    <n v="274.69"/>
    <n v="274.69"/>
    <n v="274.69"/>
    <n v="-840.39"/>
    <n v="122.63"/>
    <n v="122.38"/>
    <n v="209.21"/>
    <n v="122.63"/>
    <n v="128.4"/>
    <n v="1513.0000000000005"/>
    <n v="-5.7700000000000102"/>
  </r>
  <r>
    <x v="15"/>
    <x v="5"/>
    <x v="0"/>
    <s v="3210106"/>
    <n v="731060"/>
    <s v="Cell Phones"/>
    <s v="Outpatient Observation"/>
    <x v="0"/>
    <n v="1001"/>
    <n v="0"/>
    <n v="194.67"/>
    <n v="145.33000000000001"/>
    <n v="0"/>
    <n v="111.92"/>
    <n v="114.24"/>
    <n v="234.97"/>
    <n v="0"/>
    <n v="115.12"/>
    <n v="228.55"/>
    <n v="85.44"/>
    <n v="87.3"/>
    <n v="1317.54"/>
    <n v="-1.8599999999999994"/>
  </r>
  <r>
    <x v="16"/>
    <x v="5"/>
    <x v="0"/>
    <s v="3210106"/>
    <n v="732030"/>
    <s v="Repairs---Other"/>
    <s v="Outpatient Observation"/>
    <x v="0"/>
    <m/>
    <n v="0"/>
    <n v="1006.02"/>
    <n v="299.10000000000002"/>
    <n v="712.8"/>
    <n v="448.09"/>
    <n v="352.56"/>
    <n v="0"/>
    <n v="0"/>
    <n v="0"/>
    <n v="0"/>
    <n v="0"/>
    <n v="218.63"/>
    <n v="3037.2"/>
    <n v="-218.63"/>
  </r>
  <r>
    <x v="13"/>
    <x v="5"/>
    <x v="0"/>
    <s v="3210106"/>
    <n v="735040"/>
    <s v="Depreciation-Building Improvements"/>
    <s v="Outpatient Observation"/>
    <x v="0"/>
    <m/>
    <n v="3038.26"/>
    <n v="3038.25"/>
    <n v="3038.26"/>
    <n v="3038.25"/>
    <n v="3038.27"/>
    <n v="3038.24"/>
    <n v="3038.27"/>
    <n v="3038.24"/>
    <n v="3038.27"/>
    <n v="3038.22"/>
    <n v="3038.28"/>
    <n v="3038.21"/>
    <n v="36459.020000000004"/>
    <n v="7.0000000000163709E-2"/>
  </r>
  <r>
    <x v="13"/>
    <x v="5"/>
    <x v="0"/>
    <s v="3210106"/>
    <n v="735070"/>
    <s v="Depreciation-Movable Equipment"/>
    <s v="Outpatient Observation"/>
    <x v="0"/>
    <m/>
    <n v="948.12"/>
    <n v="948.12"/>
    <n v="948.12"/>
    <n v="948.12"/>
    <n v="948.12"/>
    <n v="948.12"/>
    <n v="1013.87"/>
    <n v="1013.86"/>
    <n v="1013.87"/>
    <n v="1013.86"/>
    <n v="1013.87"/>
    <n v="1013.84"/>
    <n v="11771.890000000001"/>
    <n v="2.9999999999972715E-2"/>
  </r>
  <r>
    <x v="0"/>
    <x v="5"/>
    <x v="0"/>
    <s v="3210106"/>
    <n v="740020"/>
    <s v="Education-Registration Fees"/>
    <s v="Outpatient Observation"/>
    <x v="0"/>
    <m/>
    <n v="0"/>
    <n v="0"/>
    <n v="0"/>
    <n v="0"/>
    <n v="150"/>
    <n v="0"/>
    <n v="0"/>
    <n v="165"/>
    <n v="0"/>
    <n v="0"/>
    <n v="0"/>
    <n v="0"/>
    <n v="315"/>
    <n v="0"/>
  </r>
  <r>
    <x v="0"/>
    <x v="5"/>
    <x v="0"/>
    <s v="3210106"/>
    <n v="749510"/>
    <s v="Miscellaneous Expenses"/>
    <s v="Outpatient Observation"/>
    <x v="0"/>
    <m/>
    <n v="89.01"/>
    <n v="50"/>
    <n v="0"/>
    <n v="412.92"/>
    <n v="-412.92"/>
    <n v="0"/>
    <n v="0"/>
    <n v="0"/>
    <n v="0"/>
    <n v="0"/>
    <n v="0"/>
    <n v="0"/>
    <n v="139.01000000000005"/>
    <n v="0"/>
  </r>
  <r>
    <x v="0"/>
    <x v="5"/>
    <x v="0"/>
    <s v="3210106"/>
    <n v="749510"/>
    <s v="Licenses"/>
    <s v="Outpatient Observation"/>
    <x v="0"/>
    <n v="1002"/>
    <n v="110"/>
    <n v="0"/>
    <n v="220"/>
    <n v="0"/>
    <n v="0"/>
    <n v="0"/>
    <n v="0"/>
    <n v="0"/>
    <n v="0"/>
    <n v="0"/>
    <n v="0"/>
    <n v="0"/>
    <n v="330"/>
    <n v="0"/>
  </r>
  <r>
    <x v="0"/>
    <x v="5"/>
    <x v="0"/>
    <s v="3210106"/>
    <n v="749510"/>
    <s v="RICE Rewards"/>
    <s v="Outpatient Observation"/>
    <x v="0"/>
    <n v="5100"/>
    <n v="0"/>
    <n v="0"/>
    <n v="0"/>
    <n v="180.41"/>
    <n v="110"/>
    <n v="0"/>
    <n v="0"/>
    <n v="0"/>
    <n v="0"/>
    <n v="0"/>
    <n v="0"/>
    <n v="0"/>
    <n v="290.40999999999997"/>
    <n v="0"/>
  </r>
  <r>
    <x v="0"/>
    <x v="5"/>
    <x v="0"/>
    <s v="3210106"/>
    <n v="749530"/>
    <s v="Travel"/>
    <s v="Outpatient Observation"/>
    <x v="0"/>
    <m/>
    <n v="9.1"/>
    <n v="0"/>
    <n v="0"/>
    <n v="0"/>
    <n v="0"/>
    <n v="0"/>
    <n v="0"/>
    <n v="0"/>
    <n v="0"/>
    <n v="0"/>
    <n v="0"/>
    <n v="0"/>
    <n v="9.1"/>
    <n v="0"/>
  </r>
  <r>
    <x v="0"/>
    <x v="5"/>
    <x v="0"/>
    <s v="3210106"/>
    <n v="749530"/>
    <s v="Mileage"/>
    <s v="Outpatient Observation"/>
    <x v="0"/>
    <n v="1001"/>
    <n v="29.43"/>
    <n v="0"/>
    <n v="0"/>
    <n v="0"/>
    <n v="31.61"/>
    <n v="0"/>
    <n v="0"/>
    <n v="0"/>
    <n v="0"/>
    <n v="0"/>
    <n v="0"/>
    <n v="0"/>
    <n v="61.04"/>
    <n v="0"/>
  </r>
  <r>
    <x v="5"/>
    <x v="3"/>
    <x v="0"/>
    <s v="3230101"/>
    <n v="700026"/>
    <s v="Salaries-RN-Productive"/>
    <s v="Patient Transport Services"/>
    <x v="0"/>
    <m/>
    <n v="0"/>
    <n v="0"/>
    <n v="0"/>
    <n v="0"/>
    <n v="0"/>
    <n v="0"/>
    <n v="0"/>
    <n v="0"/>
    <n v="0"/>
    <n v="0"/>
    <n v="0"/>
    <n v="7555.71"/>
    <n v="7555.71"/>
    <n v="-7555.71"/>
  </r>
  <r>
    <x v="5"/>
    <x v="3"/>
    <x v="0"/>
    <s v="3230101"/>
    <n v="700026"/>
    <s v="Salaries-RN-Other"/>
    <s v="Patient Transport Services"/>
    <x v="0"/>
    <n v="2000"/>
    <n v="0"/>
    <n v="0"/>
    <n v="0"/>
    <n v="0"/>
    <n v="0"/>
    <n v="0"/>
    <n v="0"/>
    <n v="0"/>
    <n v="0"/>
    <n v="0"/>
    <n v="0"/>
    <n v="599.71"/>
    <n v="599.71"/>
    <n v="-599.71"/>
  </r>
  <r>
    <x v="5"/>
    <x v="3"/>
    <x v="0"/>
    <s v="3230101"/>
    <n v="700032"/>
    <s v="Salaries-Other Pat Care Providers-Productive"/>
    <s v="Patient Transport Services"/>
    <x v="0"/>
    <m/>
    <n v="30700.99"/>
    <n v="30360.1"/>
    <n v="32905.58"/>
    <n v="34857.22"/>
    <n v="28085.599999999999"/>
    <n v="29233.5"/>
    <n v="30800.83"/>
    <n v="27503.47"/>
    <n v="27679.02"/>
    <n v="30401.01"/>
    <n v="33189.480000000003"/>
    <n v="28443.41"/>
    <n v="364160.20999999996"/>
    <n v="4746.0700000000033"/>
  </r>
  <r>
    <x v="5"/>
    <x v="3"/>
    <x v="0"/>
    <s v="3230101"/>
    <n v="700032"/>
    <s v="Salaries-Other Pat Care Providers-OT"/>
    <s v="Patient Transport Services"/>
    <x v="0"/>
    <n v="1000"/>
    <n v="276.69"/>
    <n v="331.9"/>
    <n v="-40.44"/>
    <n v="200.74"/>
    <n v="-6.05"/>
    <n v="623.35"/>
    <n v="985.49"/>
    <n v="1395.88"/>
    <n v="422.88"/>
    <n v="1513.99"/>
    <n v="-415.68"/>
    <n v="460.53"/>
    <n v="5749.28"/>
    <n v="-876.21"/>
  </r>
  <r>
    <x v="5"/>
    <x v="3"/>
    <x v="0"/>
    <s v="3230101"/>
    <n v="700032"/>
    <s v="Salaries-Other Pat Care Providers-Other"/>
    <s v="Patient Transport Services"/>
    <x v="0"/>
    <n v="2000"/>
    <n v="1793.72"/>
    <n v="1890.04"/>
    <n v="1885.84"/>
    <n v="1801.28"/>
    <n v="1715.94"/>
    <n v="1751.02"/>
    <n v="1893.74"/>
    <n v="1698.85"/>
    <n v="1635.03"/>
    <n v="1709.43"/>
    <n v="1651.67"/>
    <n v="1484.68"/>
    <n v="20911.239999999998"/>
    <n v="166.99"/>
  </r>
  <r>
    <x v="5"/>
    <x v="3"/>
    <x v="0"/>
    <s v="3230101"/>
    <n v="700054"/>
    <s v="Salaries-Management-NonProd-Other"/>
    <s v="Patient Transport Services"/>
    <x v="0"/>
    <n v="2000"/>
    <n v="0"/>
    <n v="0"/>
    <n v="0"/>
    <n v="0"/>
    <n v="0"/>
    <n v="1849.64"/>
    <n v="-1849.64"/>
    <n v="0"/>
    <n v="0"/>
    <n v="0"/>
    <n v="0"/>
    <n v="0"/>
    <n v="0"/>
    <n v="0"/>
  </r>
  <r>
    <x v="5"/>
    <x v="3"/>
    <x v="0"/>
    <s v="3230101"/>
    <n v="700072"/>
    <s v="Salaries-Other Pat Care Providers-Non-productive"/>
    <s v="Patient Transport Services"/>
    <x v="0"/>
    <m/>
    <n v="8028.08"/>
    <n v="3238.79"/>
    <n v="4854.49"/>
    <n v="3543.88"/>
    <n v="4703.08"/>
    <n v="6519.09"/>
    <n v="8129.62"/>
    <n v="4943.51"/>
    <n v="2606.08"/>
    <n v="3131.18"/>
    <n v="4043.97"/>
    <n v="3148.36"/>
    <n v="56890.130000000005"/>
    <n v="895.60999999999967"/>
  </r>
  <r>
    <x v="5"/>
    <x v="3"/>
    <x v="0"/>
    <s v="3230101"/>
    <n v="700072"/>
    <s v="Salaries-Other Pat Care Providers-NonProd-Other"/>
    <s v="Patient Transport Services"/>
    <x v="0"/>
    <n v="2000"/>
    <n v="350.67"/>
    <n v="197.87"/>
    <n v="127.3"/>
    <n v="251.84"/>
    <n v="255.44"/>
    <n v="270.29000000000002"/>
    <n v="345.28"/>
    <n v="207.74"/>
    <n v="164.12"/>
    <n v="285.58999999999997"/>
    <n v="270.16000000000003"/>
    <n v="115.41"/>
    <n v="2841.7099999999996"/>
    <n v="154.75000000000003"/>
  </r>
  <r>
    <x v="5"/>
    <x v="3"/>
    <x v="0"/>
    <s v="3230101"/>
    <n v="700084"/>
    <s v="Accrued PTO"/>
    <s v="Patient Transport Services"/>
    <x v="0"/>
    <m/>
    <n v="-2740.05"/>
    <n v="349"/>
    <n v="-667.75"/>
    <n v="-214.53"/>
    <n v="137.34"/>
    <n v="-1987.95"/>
    <n v="-469.45"/>
    <n v="-431.54"/>
    <n v="1253.93"/>
    <n v="1041.29"/>
    <n v="313.32"/>
    <n v="658.53"/>
    <n v="-2757.8599999999997"/>
    <n v="-345.21"/>
  </r>
  <r>
    <x v="6"/>
    <x v="3"/>
    <x v="0"/>
    <s v="3230101"/>
    <n v="713010"/>
    <s v="Benefits-FICA/Medicare"/>
    <s v="Patient Transport Services"/>
    <x v="0"/>
    <m/>
    <n v="3059.88"/>
    <n v="2660.61"/>
    <n v="2960.33"/>
    <n v="3026.76"/>
    <n v="2588.4299999999998"/>
    <n v="3011.96"/>
    <n v="3312.75"/>
    <n v="2669.62"/>
    <n v="2435.86"/>
    <n v="2757.8"/>
    <n v="2855.97"/>
    <n v="3141.45"/>
    <n v="34481.42"/>
    <n v="-285.48"/>
  </r>
  <r>
    <x v="6"/>
    <x v="3"/>
    <x v="0"/>
    <s v="3230101"/>
    <n v="713090"/>
    <s v="Benefits-Allocated Amounts"/>
    <s v="Patient Transport Services"/>
    <x v="0"/>
    <m/>
    <n v="15315.7"/>
    <n v="12298.82"/>
    <n v="15008.51"/>
    <n v="14930.69"/>
    <n v="13287.33"/>
    <n v="13511.15"/>
    <n v="16088.21"/>
    <n v="14476.56"/>
    <n v="10462.93"/>
    <n v="14092.72"/>
    <n v="15738.55"/>
    <n v="14427.63"/>
    <n v="169638.8"/>
    <n v="1310.92"/>
  </r>
  <r>
    <x v="11"/>
    <x v="3"/>
    <x v="0"/>
    <s v="3230101"/>
    <n v="721810"/>
    <s v="Supplies-Dietary/Cafeteria"/>
    <s v="Patient Transport Services"/>
    <x v="0"/>
    <m/>
    <n v="0"/>
    <n v="0"/>
    <n v="0"/>
    <n v="0"/>
    <n v="0"/>
    <n v="0"/>
    <n v="8"/>
    <n v="0"/>
    <n v="0"/>
    <n v="15.4"/>
    <n v="0"/>
    <n v="0"/>
    <n v="23.4"/>
    <n v="0"/>
  </r>
  <r>
    <x v="15"/>
    <x v="3"/>
    <x v="0"/>
    <s v="3230101"/>
    <n v="731060"/>
    <s v="Pagers"/>
    <s v="Patient Transport Services"/>
    <x v="0"/>
    <n v="1002"/>
    <n v="13.23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102.51000000000002"/>
    <n v="0"/>
  </r>
  <r>
    <x v="5"/>
    <x v="0"/>
    <x v="0"/>
    <s v="3230102"/>
    <n v="700014"/>
    <s v="Salaries-Management-Productive"/>
    <s v="Patient Transport Services"/>
    <x v="0"/>
    <m/>
    <n v="1939.85"/>
    <n v="2142.63"/>
    <n v="2171.61"/>
    <n v="-376.37"/>
    <n v="0"/>
    <n v="0"/>
    <n v="0"/>
    <n v="0"/>
    <n v="0"/>
    <n v="0"/>
    <n v="0"/>
    <n v="0"/>
    <n v="5877.72"/>
    <n v="0"/>
  </r>
  <r>
    <x v="5"/>
    <x v="0"/>
    <x v="0"/>
    <s v="3230102"/>
    <n v="700032"/>
    <s v="Salaries-Other Pat Care Providers-Productive"/>
    <s v="Patient Transport Services"/>
    <x v="0"/>
    <m/>
    <n v="20975.97"/>
    <n v="21090.09"/>
    <n v="21014.86"/>
    <n v="22498.01"/>
    <n v="16802.86"/>
    <n v="20718.98"/>
    <n v="20461.71"/>
    <n v="20902.57"/>
    <n v="22615.02"/>
    <n v="18149.54"/>
    <n v="21861.38"/>
    <n v="18279.86"/>
    <n v="245370.84999999998"/>
    <n v="3581.5200000000004"/>
  </r>
  <r>
    <x v="5"/>
    <x v="0"/>
    <x v="0"/>
    <s v="3230102"/>
    <n v="700032"/>
    <s v="Salaries-Other Pat Care Providers-OT"/>
    <s v="Patient Transport Services"/>
    <x v="0"/>
    <n v="1000"/>
    <n v="834.13"/>
    <n v="1026.73"/>
    <n v="1794.45"/>
    <n v="917.31"/>
    <n v="458.39"/>
    <n v="764.98"/>
    <n v="2387.96"/>
    <n v="348.62"/>
    <n v="53.62"/>
    <n v="815.54"/>
    <n v="1323.52"/>
    <n v="292.88"/>
    <n v="11018.130000000003"/>
    <n v="1030.6399999999999"/>
  </r>
  <r>
    <x v="5"/>
    <x v="0"/>
    <x v="0"/>
    <s v="3230102"/>
    <n v="700032"/>
    <s v="Salaries-Other Pat Care Providers-Other"/>
    <s v="Patient Transport Services"/>
    <x v="0"/>
    <n v="2000"/>
    <n v="1130.21"/>
    <n v="1103.1199999999999"/>
    <n v="1232.18"/>
    <n v="1161.3599999999999"/>
    <n v="860.99"/>
    <n v="1110.01"/>
    <n v="1289.46"/>
    <n v="1380.94"/>
    <n v="1507.95"/>
    <n v="1182.06"/>
    <n v="1092.1400000000001"/>
    <n v="1165.5999999999999"/>
    <n v="14216.02"/>
    <n v="-73.459999999999809"/>
  </r>
  <r>
    <x v="5"/>
    <x v="0"/>
    <x v="0"/>
    <s v="3230102"/>
    <n v="700054"/>
    <s v="Salaries-Management-NonProd-Other"/>
    <s v="Patient Transport Services"/>
    <x v="0"/>
    <n v="2000"/>
    <n v="0"/>
    <n v="0"/>
    <n v="0"/>
    <n v="0"/>
    <n v="0"/>
    <n v="161.6"/>
    <n v="-161.6"/>
    <n v="0"/>
    <n v="0"/>
    <n v="0"/>
    <n v="0"/>
    <n v="0"/>
    <n v="0"/>
    <n v="0"/>
  </r>
  <r>
    <x v="5"/>
    <x v="0"/>
    <x v="0"/>
    <s v="3230102"/>
    <n v="700072"/>
    <s v="Salaries-Other Pat Care Providers-Non-productive"/>
    <s v="Patient Transport Services"/>
    <x v="0"/>
    <m/>
    <n v="3545.66"/>
    <n v="2365.44"/>
    <n v="3442.1"/>
    <n v="841.57"/>
    <n v="7213.86"/>
    <n v="3812.82"/>
    <n v="3661.51"/>
    <n v="2263.48"/>
    <n v="2227.1"/>
    <n v="3541.71"/>
    <n v="482.86"/>
    <n v="5072.75"/>
    <n v="38470.86"/>
    <n v="-4589.8900000000003"/>
  </r>
  <r>
    <x v="5"/>
    <x v="0"/>
    <x v="0"/>
    <s v="3230102"/>
    <n v="700072"/>
    <s v="Salaries-Other Pat Care Providers-NonProd-Other"/>
    <s v="Patient Transport Services"/>
    <x v="0"/>
    <n v="2000"/>
    <n v="98.9"/>
    <n v="137.13"/>
    <n v="42.68"/>
    <n v="151.63"/>
    <n v="978.95"/>
    <n v="168.45"/>
    <n v="309.19"/>
    <n v="-837.49"/>
    <n v="92.52"/>
    <n v="80.05"/>
    <n v="61.57"/>
    <n v="102.89"/>
    <n v="1386.47"/>
    <n v="-41.32"/>
  </r>
  <r>
    <x v="5"/>
    <x v="0"/>
    <x v="0"/>
    <s v="3230102"/>
    <n v="700084"/>
    <s v="Accrued PTO"/>
    <s v="Patient Transport Services"/>
    <x v="0"/>
    <m/>
    <n v="-21.72"/>
    <n v="391.41"/>
    <n v="409.76"/>
    <n v="2182.8000000000002"/>
    <n v="-2003.08"/>
    <n v="-201.76"/>
    <n v="495.35"/>
    <n v="236.09"/>
    <n v="1162.77"/>
    <n v="393.28"/>
    <n v="1383.64"/>
    <n v="851.99"/>
    <n v="5280.53"/>
    <n v="531.65000000000009"/>
  </r>
  <r>
    <x v="6"/>
    <x v="0"/>
    <x v="0"/>
    <s v="3230102"/>
    <n v="713010"/>
    <s v="Benefits-FICA/Medicare"/>
    <s v="Patient Transport Services"/>
    <x v="0"/>
    <m/>
    <n v="2122.5500000000002"/>
    <n v="2090.5"/>
    <n v="2210.1799999999998"/>
    <n v="1956.29"/>
    <n v="2086.34"/>
    <n v="2096.91"/>
    <n v="2265.42"/>
    <n v="1797.86"/>
    <n v="1960.58"/>
    <n v="1754.48"/>
    <n v="1832.67"/>
    <n v="1841.71"/>
    <n v="24015.489999999998"/>
    <n v="-9.0399999999999636"/>
  </r>
  <r>
    <x v="6"/>
    <x v="0"/>
    <x v="0"/>
    <s v="3230102"/>
    <n v="713090"/>
    <s v="Benefits-Allocated Amounts"/>
    <s v="Patient Transport Services"/>
    <x v="0"/>
    <m/>
    <n v="8608.7900000000009"/>
    <n v="7383.91"/>
    <n v="8693.2999999999993"/>
    <n v="7242.76"/>
    <n v="7642.75"/>
    <n v="7549.47"/>
    <n v="8497.9"/>
    <n v="8363.81"/>
    <n v="7840.16"/>
    <n v="7732.73"/>
    <n v="7974.23"/>
    <n v="8231.8700000000008"/>
    <n v="95761.68"/>
    <n v="-257.64000000000124"/>
  </r>
  <r>
    <x v="11"/>
    <x v="0"/>
    <x v="0"/>
    <s v="3230102"/>
    <n v="721810"/>
    <s v="Supplies-Dietary/Cafeteria"/>
    <s v="Patient Transport Services"/>
    <x v="0"/>
    <m/>
    <n v="7.98"/>
    <n v="3"/>
    <n v="63.1"/>
    <n v="8"/>
    <n v="15.7"/>
    <n v="0"/>
    <n v="61.95"/>
    <n v="31.98"/>
    <n v="85.41"/>
    <n v="39.700000000000003"/>
    <n v="0"/>
    <n v="23.7"/>
    <n v="340.52"/>
    <n v="-23.7"/>
  </r>
  <r>
    <x v="11"/>
    <x v="0"/>
    <x v="0"/>
    <s v="3230102"/>
    <n v="721910"/>
    <s v="Supplies-Small Equipment"/>
    <s v="Patient Transport Services"/>
    <x v="0"/>
    <m/>
    <n v="0"/>
    <n v="0"/>
    <n v="0"/>
    <n v="0"/>
    <n v="218"/>
    <n v="0"/>
    <n v="0"/>
    <n v="0"/>
    <n v="0"/>
    <n v="0"/>
    <n v="0"/>
    <n v="0"/>
    <n v="218"/>
    <n v="0"/>
  </r>
  <r>
    <x v="15"/>
    <x v="0"/>
    <x v="0"/>
    <s v="3230102"/>
    <n v="731060"/>
    <s v="Pagers"/>
    <s v="Patient Transport Services"/>
    <x v="0"/>
    <n v="1002"/>
    <n v="0"/>
    <n v="0"/>
    <n v="0"/>
    <n v="0"/>
    <n v="0"/>
    <n v="0"/>
    <n v="0"/>
    <n v="81.73"/>
    <n v="73.08"/>
    <n v="73.08"/>
    <n v="73.08"/>
    <n v="73.08"/>
    <n v="374.04999999999995"/>
    <n v="0"/>
  </r>
  <r>
    <x v="0"/>
    <x v="0"/>
    <x v="0"/>
    <s v="3230102"/>
    <n v="749510"/>
    <s v="Miscellaneous Expenses"/>
    <s v="Patient Transport Services"/>
    <x v="0"/>
    <m/>
    <n v="0"/>
    <n v="0"/>
    <n v="0"/>
    <n v="-2839.03"/>
    <n v="0"/>
    <n v="0"/>
    <n v="0"/>
    <n v="0"/>
    <n v="0"/>
    <n v="0"/>
    <n v="0"/>
    <n v="0"/>
    <n v="-2839.03"/>
    <n v="0"/>
  </r>
  <r>
    <x v="0"/>
    <x v="0"/>
    <x v="0"/>
    <s v="3230102"/>
    <n v="749510"/>
    <s v="Licenses"/>
    <s v="Patient Transport Services"/>
    <x v="0"/>
    <n v="1002"/>
    <n v="65"/>
    <n v="0"/>
    <n v="0"/>
    <n v="0"/>
    <n v="0"/>
    <n v="0"/>
    <n v="0"/>
    <n v="0"/>
    <n v="0"/>
    <n v="0"/>
    <n v="0"/>
    <n v="0"/>
    <n v="65"/>
    <n v="0"/>
  </r>
  <r>
    <x v="5"/>
    <x v="4"/>
    <x v="0"/>
    <s v="3230103"/>
    <n v="700032"/>
    <s v="Salaries-Other Pat Care Providers-Productive"/>
    <s v="Patient Transport Services"/>
    <x v="0"/>
    <m/>
    <n v="2192.73"/>
    <n v="1157.5"/>
    <n v="1870.48"/>
    <n v="406.77"/>
    <n v="1032.57"/>
    <n v="1673.2"/>
    <n v="900.67"/>
    <n v="1406.85"/>
    <n v="1115.0899999999999"/>
    <n v="2493.89"/>
    <n v="3611.61"/>
    <n v="2082.84"/>
    <n v="19944.2"/>
    <n v="1528.77"/>
  </r>
  <r>
    <x v="5"/>
    <x v="4"/>
    <x v="0"/>
    <s v="3230103"/>
    <n v="700032"/>
    <s v="Salaries-Other Pat Care Providers-OT"/>
    <s v="Patient Transport Services"/>
    <x v="0"/>
    <n v="1000"/>
    <n v="0"/>
    <n v="0"/>
    <n v="0"/>
    <n v="0"/>
    <n v="0"/>
    <n v="7.56"/>
    <n v="-0.94"/>
    <n v="119.58"/>
    <n v="0"/>
    <n v="144.31"/>
    <n v="178.84"/>
    <n v="8.06"/>
    <n v="457.41"/>
    <n v="170.78"/>
  </r>
  <r>
    <x v="5"/>
    <x v="4"/>
    <x v="0"/>
    <s v="3230103"/>
    <n v="700032"/>
    <s v="Salaries-Other Pat Care Providers-Other"/>
    <s v="Patient Transport Services"/>
    <x v="0"/>
    <n v="2000"/>
    <n v="8.98"/>
    <n v="12.48"/>
    <n v="29.65"/>
    <n v="-1.17"/>
    <n v="15"/>
    <n v="48.16"/>
    <n v="-3.67"/>
    <n v="1.88"/>
    <n v="23.6"/>
    <n v="1.43"/>
    <n v="103.29"/>
    <n v="14.64"/>
    <n v="254.26999999999998"/>
    <n v="88.65"/>
  </r>
  <r>
    <x v="6"/>
    <x v="4"/>
    <x v="0"/>
    <s v="3230103"/>
    <n v="713010"/>
    <s v="Benefits-FICA/Medicare"/>
    <s v="Patient Transport Services"/>
    <x v="0"/>
    <m/>
    <n v="166.67"/>
    <n v="87.77"/>
    <n v="138.08000000000001"/>
    <n v="29.64"/>
    <n v="80.540000000000006"/>
    <n v="128.55000000000001"/>
    <n v="66.709999999999994"/>
    <n v="117.2"/>
    <n v="85.37"/>
    <n v="197.13"/>
    <n v="292.2"/>
    <n v="150.11000000000001"/>
    <n v="1539.9700000000003"/>
    <n v="142.08999999999997"/>
  </r>
  <r>
    <x v="6"/>
    <x v="4"/>
    <x v="0"/>
    <s v="3230103"/>
    <n v="713090"/>
    <s v="Benefits-Allocated Amounts"/>
    <s v="Patient Transport Services"/>
    <x v="0"/>
    <m/>
    <n v="712.44"/>
    <n v="267.93"/>
    <n v="539.36"/>
    <n v="138.37"/>
    <n v="302.88"/>
    <n v="484.74"/>
    <n v="280.99"/>
    <n v="469.97"/>
    <n v="331.8"/>
    <n v="755.32"/>
    <n v="1110.23"/>
    <n v="611.72"/>
    <n v="6005.7500000000009"/>
    <n v="498.51"/>
  </r>
  <r>
    <x v="5"/>
    <x v="8"/>
    <x v="0"/>
    <s v="3230104"/>
    <n v="700032"/>
    <s v="Salaries-Other Pat Care Providers-Productive"/>
    <s v="Patient Transport Services"/>
    <x v="0"/>
    <m/>
    <n v="12697.41"/>
    <n v="11193.05"/>
    <n v="11042.66"/>
    <n v="13815.49"/>
    <n v="13404.34"/>
    <n v="10227.09"/>
    <n v="13725.79"/>
    <n v="8124.49"/>
    <n v="13558.14"/>
    <n v="11036.24"/>
    <n v="11561.51"/>
    <n v="9389.06"/>
    <n v="139775.26999999999"/>
    <n v="2172.4500000000007"/>
  </r>
  <r>
    <x v="5"/>
    <x v="8"/>
    <x v="0"/>
    <s v="3230104"/>
    <n v="700032"/>
    <s v="Salaries-Other Pat Care Providers-OT"/>
    <s v="Patient Transport Services"/>
    <x v="0"/>
    <n v="1000"/>
    <n v="46.38"/>
    <n v="118.89"/>
    <n v="525.32000000000005"/>
    <n v="-76.08"/>
    <n v="61.76"/>
    <n v="205.68"/>
    <n v="66.75"/>
    <n v="37.450000000000003"/>
    <n v="57.19"/>
    <n v="14.68"/>
    <n v="13.69"/>
    <n v="32.01"/>
    <n v="1103.7200000000003"/>
    <n v="-18.32"/>
  </r>
  <r>
    <x v="5"/>
    <x v="8"/>
    <x v="0"/>
    <s v="3230104"/>
    <n v="700032"/>
    <s v="Salaries-Other Pat Care Providers-Other"/>
    <s v="Patient Transport Services"/>
    <x v="0"/>
    <n v="2000"/>
    <n v="450.98"/>
    <n v="394.51"/>
    <n v="413.55"/>
    <n v="552.25"/>
    <n v="504.06"/>
    <n v="398.25"/>
    <n v="528.20000000000005"/>
    <n v="281.72000000000003"/>
    <n v="529.67999999999995"/>
    <n v="427.77"/>
    <n v="480.88"/>
    <n v="492"/>
    <n v="5453.85"/>
    <n v="-11.120000000000005"/>
  </r>
  <r>
    <x v="5"/>
    <x v="8"/>
    <x v="0"/>
    <s v="3230104"/>
    <n v="700072"/>
    <s v="Salaries-Other Pat Care Providers-Non-productive"/>
    <s v="Patient Transport Services"/>
    <x v="0"/>
    <m/>
    <n v="385.98"/>
    <n v="4007.09"/>
    <n v="1266.8499999999999"/>
    <n v="197.49"/>
    <n v="-79.319999999999993"/>
    <n v="2378.1"/>
    <n v="1070.57"/>
    <n v="1504.06"/>
    <n v="272.7"/>
    <n v="1664.82"/>
    <n v="1648.02"/>
    <n v="-168.37"/>
    <n v="14147.99"/>
    <n v="1816.3899999999999"/>
  </r>
  <r>
    <x v="5"/>
    <x v="8"/>
    <x v="0"/>
    <s v="3230104"/>
    <n v="700072"/>
    <s v="Salaries-Other Pat Care Providers-NonProd-Other"/>
    <s v="Patient Transport Services"/>
    <x v="0"/>
    <n v="2000"/>
    <n v="0"/>
    <n v="183.93"/>
    <n v="-44.73"/>
    <n v="0"/>
    <n v="0"/>
    <n v="0"/>
    <n v="0"/>
    <n v="0"/>
    <n v="8.34"/>
    <n v="39.1"/>
    <n v="21.67"/>
    <n v="-11.44"/>
    <n v="196.87"/>
    <n v="33.11"/>
  </r>
  <r>
    <x v="5"/>
    <x v="8"/>
    <x v="0"/>
    <s v="3230104"/>
    <n v="700084"/>
    <s v="Accrued PTO"/>
    <s v="Patient Transport Services"/>
    <x v="0"/>
    <m/>
    <n v="1203.3800000000001"/>
    <n v="-1768.84"/>
    <n v="-464.27"/>
    <n v="1139.3399999999999"/>
    <n v="1090.8900000000001"/>
    <n v="-199.89"/>
    <n v="159.51"/>
    <n v="-177.18"/>
    <n v="1423.37"/>
    <n v="170.26"/>
    <n v="56.42"/>
    <n v="768.4"/>
    <n v="3401.3900000000008"/>
    <n v="-711.98"/>
  </r>
  <r>
    <x v="6"/>
    <x v="8"/>
    <x v="0"/>
    <s v="3230104"/>
    <n v="713010"/>
    <s v="Benefits-FICA/Medicare"/>
    <s v="Patient Transport Services"/>
    <x v="0"/>
    <m/>
    <n v="1012.86"/>
    <n v="1149.5999999999999"/>
    <n v="992.07"/>
    <n v="1082.3599999999999"/>
    <n v="1037.48"/>
    <n v="990.42"/>
    <n v="1155.77"/>
    <n v="743.1"/>
    <n v="1105.71"/>
    <n v="989.55"/>
    <n v="1030.52"/>
    <n v="819.26"/>
    <n v="12108.700000000003"/>
    <n v="211.26"/>
  </r>
  <r>
    <x v="6"/>
    <x v="8"/>
    <x v="0"/>
    <s v="3230104"/>
    <n v="713090"/>
    <s v="Benefits-Allocated Amounts"/>
    <s v="Patient Transport Services"/>
    <x v="0"/>
    <m/>
    <n v="4292.58"/>
    <n v="4378.2299999999996"/>
    <n v="3809.53"/>
    <n v="4271.78"/>
    <n v="4257.96"/>
    <n v="3748.9"/>
    <n v="4551.76"/>
    <n v="3402.54"/>
    <n v="4454.03"/>
    <n v="4393.12"/>
    <n v="4451.0600000000004"/>
    <n v="3182.41"/>
    <n v="49193.899999999994"/>
    <n v="1268.6500000000005"/>
  </r>
  <r>
    <x v="15"/>
    <x v="8"/>
    <x v="0"/>
    <s v="3230104"/>
    <n v="731060"/>
    <s v="Pagers"/>
    <s v="Patient Transport Services"/>
    <x v="0"/>
    <n v="1002"/>
    <n v="32.4"/>
    <n v="32.4"/>
    <n v="32.4"/>
    <n v="32.479999999999997"/>
    <n v="32.479999999999997"/>
    <n v="0"/>
    <n v="64.959999999999994"/>
    <n v="32.479999999999997"/>
    <n v="32.479999999999997"/>
    <n v="32.479999999999997"/>
    <n v="32.479999999999997"/>
    <n v="32.479999999999997"/>
    <n v="389.52000000000004"/>
    <n v="0"/>
  </r>
  <r>
    <x v="0"/>
    <x v="8"/>
    <x v="0"/>
    <s v="3230104"/>
    <n v="749510"/>
    <s v="RICE Rewards"/>
    <s v="Patient Transport Services"/>
    <x v="0"/>
    <n v="5100"/>
    <n v="0"/>
    <n v="0"/>
    <n v="0"/>
    <n v="0"/>
    <n v="0"/>
    <n v="0"/>
    <n v="0"/>
    <n v="0"/>
    <n v="0"/>
    <n v="0"/>
    <n v="0"/>
    <n v="85.91"/>
    <n v="85.91"/>
    <n v="-85.91"/>
  </r>
  <r>
    <x v="5"/>
    <x v="6"/>
    <x v="0"/>
    <s v="3230107"/>
    <n v="700032"/>
    <s v="Salaries-Other Pat Care Providers-Productive"/>
    <s v="Patient Transport Services"/>
    <x v="0"/>
    <m/>
    <n v="43926.27"/>
    <n v="38680.67"/>
    <n v="37896.99"/>
    <n v="38943.56"/>
    <n v="41704.22"/>
    <n v="42124.04"/>
    <n v="39381.19"/>
    <n v="39808.44"/>
    <n v="39055.65"/>
    <n v="41324.239999999998"/>
    <n v="45837.39"/>
    <n v="40758.47"/>
    <n v="489441.13"/>
    <n v="5078.9199999999983"/>
  </r>
  <r>
    <x v="5"/>
    <x v="6"/>
    <x v="0"/>
    <s v="3230107"/>
    <n v="700032"/>
    <s v="Salaries-Other Pat Care Providers-OT"/>
    <s v="Patient Transport Services"/>
    <x v="0"/>
    <n v="1000"/>
    <n v="1694.83"/>
    <n v="3302.53"/>
    <n v="3977.1"/>
    <n v="1592.3"/>
    <n v="292.88"/>
    <n v="1241.6600000000001"/>
    <n v="1013.92"/>
    <n v="1312.35"/>
    <n v="1261.6600000000001"/>
    <n v="430.14"/>
    <n v="1472.72"/>
    <n v="2076.27"/>
    <n v="19668.36"/>
    <n v="-603.54999999999995"/>
  </r>
  <r>
    <x v="5"/>
    <x v="6"/>
    <x v="0"/>
    <s v="3230107"/>
    <n v="700032"/>
    <s v="Salaries-Other Pat Care Providers-Other"/>
    <s v="Patient Transport Services"/>
    <x v="0"/>
    <n v="2000"/>
    <n v="4297.3999999999996"/>
    <n v="3913.62"/>
    <n v="3480.43"/>
    <n v="5186.5600000000004"/>
    <n v="3280.5"/>
    <n v="3908.45"/>
    <n v="3619.06"/>
    <n v="3442.05"/>
    <n v="3791.4"/>
    <n v="3575.15"/>
    <n v="4453.53"/>
    <n v="4182.96"/>
    <n v="47131.11"/>
    <n v="270.56999999999971"/>
  </r>
  <r>
    <x v="5"/>
    <x v="6"/>
    <x v="0"/>
    <s v="3230107"/>
    <n v="700038"/>
    <s v="Salaries-Service/Support-Productive"/>
    <s v="Patient Transport Services"/>
    <x v="0"/>
    <m/>
    <n v="0"/>
    <n v="338.38"/>
    <n v="47.33"/>
    <n v="0"/>
    <n v="0"/>
    <n v="0"/>
    <n v="0"/>
    <n v="0"/>
    <n v="0"/>
    <n v="0"/>
    <n v="0"/>
    <n v="0"/>
    <n v="385.71"/>
    <n v="0"/>
  </r>
  <r>
    <x v="5"/>
    <x v="6"/>
    <x v="0"/>
    <s v="3230107"/>
    <n v="700038"/>
    <s v="Salaries-Service/Support-OT"/>
    <s v="Patient Transport Services"/>
    <x v="0"/>
    <n v="1000"/>
    <n v="0"/>
    <n v="0"/>
    <n v="6.85"/>
    <n v="178.49"/>
    <n v="-78.53"/>
    <n v="0"/>
    <n v="0"/>
    <n v="0"/>
    <n v="0"/>
    <n v="0"/>
    <n v="0"/>
    <n v="0"/>
    <n v="106.81"/>
    <n v="0"/>
  </r>
  <r>
    <x v="5"/>
    <x v="6"/>
    <x v="0"/>
    <s v="3230107"/>
    <n v="700038"/>
    <s v="Salaries-Service/Support-Other"/>
    <s v="Patient Transport Services"/>
    <x v="0"/>
    <n v="2000"/>
    <n v="0"/>
    <n v="39.770000000000003"/>
    <n v="7.48"/>
    <n v="0"/>
    <n v="0"/>
    <n v="0"/>
    <n v="0"/>
    <n v="0"/>
    <n v="0"/>
    <n v="0"/>
    <n v="0"/>
    <n v="0"/>
    <n v="47.25"/>
    <n v="0"/>
  </r>
  <r>
    <x v="5"/>
    <x v="6"/>
    <x v="0"/>
    <s v="3230107"/>
    <n v="700054"/>
    <s v="Salaries-Management-NonProd-Other"/>
    <s v="Patient Transport Services"/>
    <x v="0"/>
    <n v="2000"/>
    <n v="0"/>
    <n v="0"/>
    <n v="0"/>
    <n v="0"/>
    <n v="0"/>
    <n v="79.33"/>
    <n v="-79.33"/>
    <n v="0"/>
    <n v="0"/>
    <n v="0"/>
    <n v="0"/>
    <n v="0"/>
    <n v="0"/>
    <n v="0"/>
  </r>
  <r>
    <x v="5"/>
    <x v="6"/>
    <x v="0"/>
    <s v="3230107"/>
    <n v="700072"/>
    <s v="Salaries-Other Pat Care Providers-Non-productive"/>
    <s v="Patient Transport Services"/>
    <x v="0"/>
    <m/>
    <n v="6032.34"/>
    <n v="5848.04"/>
    <n v="5620.41"/>
    <n v="6021.15"/>
    <n v="3467.35"/>
    <n v="3384.01"/>
    <n v="2497.15"/>
    <n v="3266.36"/>
    <n v="7751.35"/>
    <n v="1711.72"/>
    <n v="3628.7"/>
    <n v="5858.17"/>
    <n v="55086.75"/>
    <n v="-2229.4700000000003"/>
  </r>
  <r>
    <x v="5"/>
    <x v="6"/>
    <x v="0"/>
    <s v="3230107"/>
    <n v="700072"/>
    <s v="Salaries-Other Pat Care Providers-NonProd-Other"/>
    <s v="Patient Transport Services"/>
    <x v="0"/>
    <n v="2000"/>
    <n v="102.68"/>
    <n v="115.85"/>
    <n v="312.79000000000002"/>
    <n v="8.2799999999999994"/>
    <n v="1133.68"/>
    <n v="520.35"/>
    <n v="34.26"/>
    <n v="-876.75"/>
    <n v="174.02"/>
    <n v="122.03"/>
    <n v="126.3"/>
    <n v="111.99"/>
    <n v="1885.4800000000002"/>
    <n v="14.310000000000002"/>
  </r>
  <r>
    <x v="5"/>
    <x v="6"/>
    <x v="0"/>
    <s v="3230107"/>
    <n v="700084"/>
    <s v="Accrued PTO"/>
    <s v="Patient Transport Services"/>
    <x v="0"/>
    <m/>
    <n v="730.1"/>
    <n v="-1181.1600000000001"/>
    <n v="-3948.05"/>
    <n v="88.81"/>
    <n v="-491.73"/>
    <n v="1088.3499999999999"/>
    <n v="1781.27"/>
    <n v="2180.46"/>
    <n v="522.5"/>
    <n v="1961.16"/>
    <n v="-2061.7199999999998"/>
    <n v="1605.17"/>
    <n v="2275.1599999999994"/>
    <n v="-3666.89"/>
  </r>
  <r>
    <x v="6"/>
    <x v="6"/>
    <x v="0"/>
    <s v="3230107"/>
    <n v="713010"/>
    <s v="Benefits-FICA/Medicare"/>
    <s v="Patient Transport Services"/>
    <x v="0"/>
    <m/>
    <n v="4329.3599999999997"/>
    <n v="4070.17"/>
    <n v="3926.43"/>
    <n v="3973.56"/>
    <n v="4161.22"/>
    <n v="4507.57"/>
    <n v="3562.82"/>
    <n v="3660.1"/>
    <n v="3992.8"/>
    <n v="3581.38"/>
    <n v="4240.93"/>
    <n v="4063.04"/>
    <n v="48069.38"/>
    <n v="177.89000000000033"/>
  </r>
  <r>
    <x v="6"/>
    <x v="6"/>
    <x v="0"/>
    <s v="3230107"/>
    <n v="713090"/>
    <s v="Benefits-Allocated Amounts"/>
    <s v="Patient Transport Services"/>
    <x v="0"/>
    <m/>
    <n v="17526.22"/>
    <n v="14229.78"/>
    <n v="15515.18"/>
    <n v="15661.57"/>
    <n v="18104.09"/>
    <n v="16150.49"/>
    <n v="15508.04"/>
    <n v="16940.740000000002"/>
    <n v="15391.76"/>
    <n v="17018.060000000001"/>
    <n v="17788.5"/>
    <n v="20009.150000000001"/>
    <n v="199843.58"/>
    <n v="-2220.6500000000015"/>
  </r>
  <r>
    <x v="7"/>
    <x v="6"/>
    <x v="0"/>
    <s v="3230107"/>
    <n v="718050"/>
    <s v="Miscellaneous Purchased Svcs"/>
    <s v="Patient Transport Services"/>
    <x v="0"/>
    <n v="1020"/>
    <n v="26611.43"/>
    <n v="27861.43"/>
    <n v="26611.43"/>
    <n v="27861.43"/>
    <n v="26611.43"/>
    <n v="26611.43"/>
    <n v="26611.43"/>
    <n v="27861.43"/>
    <n v="26611.43"/>
    <n v="27223.49"/>
    <n v="27223.49"/>
    <n v="23539.25"/>
    <n v="321239.09999999998"/>
    <n v="3684.2400000000016"/>
  </r>
  <r>
    <x v="11"/>
    <x v="6"/>
    <x v="0"/>
    <s v="3230107"/>
    <n v="721810"/>
    <s v="Supplies-Dietary/Cafeteria"/>
    <s v="Patient Transport Services"/>
    <x v="0"/>
    <m/>
    <n v="0"/>
    <n v="0"/>
    <n v="0"/>
    <n v="0"/>
    <n v="85.01"/>
    <n v="0"/>
    <n v="0"/>
    <n v="0"/>
    <n v="57.93"/>
    <n v="0"/>
    <n v="0"/>
    <n v="37.08"/>
    <n v="180.01999999999998"/>
    <n v="-37.08"/>
  </r>
  <r>
    <x v="11"/>
    <x v="6"/>
    <x v="0"/>
    <s v="3230107"/>
    <n v="721830"/>
    <s v="Supplies-Office"/>
    <s v="Patient Transport Services"/>
    <x v="0"/>
    <m/>
    <n v="0"/>
    <n v="0"/>
    <n v="0"/>
    <n v="0"/>
    <n v="43.61"/>
    <n v="0"/>
    <n v="8.93"/>
    <n v="0"/>
    <n v="0"/>
    <n v="0"/>
    <n v="0"/>
    <n v="43.9"/>
    <n v="96.44"/>
    <n v="-43.9"/>
  </r>
  <r>
    <x v="11"/>
    <x v="6"/>
    <x v="0"/>
    <s v="3230107"/>
    <n v="721835"/>
    <s v="Supplies-Forms"/>
    <s v="Patient Transport Services"/>
    <x v="0"/>
    <m/>
    <n v="0"/>
    <n v="0"/>
    <n v="0"/>
    <n v="0"/>
    <n v="4"/>
    <n v="0"/>
    <n v="0"/>
    <n v="0"/>
    <n v="8"/>
    <n v="0"/>
    <n v="0"/>
    <n v="0"/>
    <n v="12"/>
    <n v="0"/>
  </r>
  <r>
    <x v="11"/>
    <x v="6"/>
    <x v="0"/>
    <s v="3230107"/>
    <n v="721870"/>
    <s v="Supplies-Environmental Services"/>
    <s v="Patient Transport Services"/>
    <x v="0"/>
    <m/>
    <n v="157.91999999999999"/>
    <n v="47.28"/>
    <n v="47.28"/>
    <n v="94.56"/>
    <n v="94.56"/>
    <n v="112.45"/>
    <n v="47.28"/>
    <n v="47.28"/>
    <n v="68.400000000000006"/>
    <n v="0"/>
    <n v="47.28"/>
    <n v="47.28"/>
    <n v="811.56999999999982"/>
    <n v="0"/>
  </r>
  <r>
    <x v="11"/>
    <x v="6"/>
    <x v="0"/>
    <s v="3230107"/>
    <n v="721910"/>
    <s v="Supplies-Small Equipment"/>
    <s v="Patient Transport Services"/>
    <x v="0"/>
    <m/>
    <n v="0"/>
    <n v="8169.87"/>
    <n v="0"/>
    <n v="0"/>
    <n v="3.84"/>
    <n v="0"/>
    <n v="6114.9"/>
    <n v="0"/>
    <n v="24.5"/>
    <n v="0"/>
    <n v="0"/>
    <n v="-12.83"/>
    <n v="14300.28"/>
    <n v="12.83"/>
  </r>
  <r>
    <x v="11"/>
    <x v="6"/>
    <x v="0"/>
    <s v="3230107"/>
    <n v="722000"/>
    <s v="Supplies-Freight Expense"/>
    <s v="Patient Transport Services"/>
    <x v="0"/>
    <m/>
    <n v="0"/>
    <n v="0"/>
    <n v="0"/>
    <n v="0"/>
    <n v="0"/>
    <n v="0"/>
    <n v="0"/>
    <n v="0"/>
    <n v="0"/>
    <n v="0"/>
    <n v="0"/>
    <n v="12.83"/>
    <n v="12.83"/>
    <n v="-12.83"/>
  </r>
  <r>
    <x v="12"/>
    <x v="6"/>
    <x v="0"/>
    <s v="3230107"/>
    <n v="730020"/>
    <s v="Rental and Leases-Equipment (DO NOT USE)"/>
    <s v="Patient Transport Services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3230107"/>
    <n v="730020"/>
    <s v="Rental and Leases-Copier Usage Fees (DO NOT USE)"/>
    <s v="Patient Transport Services"/>
    <x v="0"/>
    <n v="5100"/>
    <n v="67.989999999999995"/>
    <n v="69.38"/>
    <n v="68.680000000000007"/>
    <n v="68.680000000000007"/>
    <n v="68.680000000000007"/>
    <n v="68.680000000000007"/>
    <n v="18.5"/>
    <n v="49.56"/>
    <n v="49.45"/>
    <n v="118.93"/>
    <n v="49.56"/>
    <n v="61.43"/>
    <n v="759.51999999999987"/>
    <n v="-11.869999999999997"/>
  </r>
  <r>
    <x v="15"/>
    <x v="6"/>
    <x v="0"/>
    <s v="3230107"/>
    <n v="731060"/>
    <s v="Telephone"/>
    <s v="Patient Transport Services"/>
    <x v="0"/>
    <m/>
    <n v="0"/>
    <n v="0"/>
    <n v="0"/>
    <n v="0"/>
    <n v="0"/>
    <n v="0"/>
    <n v="0"/>
    <n v="0"/>
    <n v="0"/>
    <n v="0"/>
    <n v="78"/>
    <n v="7.02"/>
    <n v="85.02"/>
    <n v="70.98"/>
  </r>
  <r>
    <x v="15"/>
    <x v="6"/>
    <x v="0"/>
    <s v="3230107"/>
    <n v="731060"/>
    <s v="Pagers"/>
    <s v="Patient Transport Services"/>
    <x v="0"/>
    <n v="1002"/>
    <n v="251.1"/>
    <n v="251.1"/>
    <n v="251.1"/>
    <n v="251.72"/>
    <n v="0"/>
    <n v="251.72"/>
    <n v="569.79"/>
    <n v="235.48"/>
    <n v="235.48"/>
    <n v="254.89"/>
    <n v="227.36"/>
    <n v="227.36"/>
    <n v="3007.1"/>
    <n v="0"/>
  </r>
  <r>
    <x v="13"/>
    <x v="6"/>
    <x v="0"/>
    <s v="3230107"/>
    <n v="735070"/>
    <s v="Depreciation-Movable Equipment"/>
    <s v="Patient Transport Services"/>
    <x v="0"/>
    <m/>
    <n v="195.72"/>
    <n v="535.95000000000005"/>
    <n v="535.96"/>
    <n v="592.77"/>
    <n v="592.78"/>
    <n v="592.76"/>
    <n v="592.78"/>
    <n v="592.76"/>
    <n v="592.78"/>
    <n v="592.76"/>
    <n v="592.78"/>
    <n v="592.76"/>
    <n v="6602.56"/>
    <n v="1.999999999998181E-2"/>
  </r>
  <r>
    <x v="0"/>
    <x v="6"/>
    <x v="0"/>
    <s v="3235107"/>
    <n v="749510"/>
    <s v="Miscellaneous Expenses"/>
    <s v="Telemetry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3235501"/>
    <n v="700014"/>
    <s v="Salaries-Management-Productive"/>
    <s v="Central Monitoring (Telemetry)"/>
    <x v="0"/>
    <m/>
    <n v="2259.77"/>
    <n v="9571.36"/>
    <n v="9903.9500000000007"/>
    <n v="8424.86"/>
    <n v="11102.27"/>
    <n v="8620.1200000000008"/>
    <n v="7942.85"/>
    <n v="9012.5"/>
    <n v="7493.19"/>
    <n v="10358.89"/>
    <n v="6043.09"/>
    <n v="6629.98"/>
    <n v="97362.83"/>
    <n v="-586.88999999999942"/>
  </r>
  <r>
    <x v="5"/>
    <x v="9"/>
    <x v="0"/>
    <s v="3235501"/>
    <n v="700032"/>
    <s v="Salaries-Other Pat Care Providers-Productive"/>
    <s v="Central Monitoring (Telemetry)"/>
    <x v="0"/>
    <m/>
    <n v="141214.91"/>
    <n v="149881.1"/>
    <n v="158454.54999999999"/>
    <n v="169713.86"/>
    <n v="156649.9"/>
    <n v="164929.73000000001"/>
    <n v="172515.21"/>
    <n v="159882.76999999999"/>
    <n v="165700.59"/>
    <n v="161469.99"/>
    <n v="169954.34"/>
    <n v="154540.85999999999"/>
    <n v="1924907.81"/>
    <n v="15413.48000000001"/>
  </r>
  <r>
    <x v="5"/>
    <x v="9"/>
    <x v="0"/>
    <s v="3235501"/>
    <n v="700032"/>
    <s v="Salaries-Other Pat Care Providers-OT"/>
    <s v="Central Monitoring (Telemetry)"/>
    <x v="0"/>
    <n v="1000"/>
    <n v="3233.74"/>
    <n v="3732.32"/>
    <n v="6416.49"/>
    <n v="7133.04"/>
    <n v="6052.1"/>
    <n v="8659.31"/>
    <n v="9784.9"/>
    <n v="9379.0499999999993"/>
    <n v="5925.09"/>
    <n v="6507.8"/>
    <n v="10819.77"/>
    <n v="5737.1"/>
    <n v="83380.710000000006"/>
    <n v="5082.67"/>
  </r>
  <r>
    <x v="5"/>
    <x v="9"/>
    <x v="0"/>
    <s v="3235501"/>
    <n v="700032"/>
    <s v="Salaries-Other Pat Care Providers-Other"/>
    <s v="Central Monitoring (Telemetry)"/>
    <x v="0"/>
    <n v="2000"/>
    <n v="13826.32"/>
    <n v="13455.67"/>
    <n v="20340.7"/>
    <n v="15130.4"/>
    <n v="13818.79"/>
    <n v="14954.35"/>
    <n v="14654.74"/>
    <n v="13671.74"/>
    <n v="14390.73"/>
    <n v="13362.43"/>
    <n v="14608.24"/>
    <n v="13120.6"/>
    <n v="175334.71000000002"/>
    <n v="1487.6399999999994"/>
  </r>
  <r>
    <x v="5"/>
    <x v="9"/>
    <x v="0"/>
    <s v="3235501"/>
    <n v="700034"/>
    <s v="Salaries-Tech/Professional-Productive"/>
    <s v="Central Monitoring (Telemetry)"/>
    <x v="0"/>
    <m/>
    <n v="0"/>
    <n v="0"/>
    <n v="0"/>
    <n v="0"/>
    <n v="0"/>
    <n v="0"/>
    <n v="0"/>
    <n v="0"/>
    <n v="0"/>
    <n v="0"/>
    <n v="0"/>
    <n v="2810.49"/>
    <n v="2810.49"/>
    <n v="-2810.49"/>
  </r>
  <r>
    <x v="5"/>
    <x v="9"/>
    <x v="0"/>
    <s v="3235501"/>
    <n v="700038"/>
    <s v="Salaries-Service/Support-Productive"/>
    <s v="Central Monitoring (Telemetry)"/>
    <x v="0"/>
    <m/>
    <n v="0"/>
    <n v="0"/>
    <n v="0"/>
    <n v="0"/>
    <n v="0"/>
    <n v="0"/>
    <n v="0"/>
    <n v="105.5"/>
    <n v="-27.75"/>
    <n v="0"/>
    <n v="0"/>
    <n v="0"/>
    <n v="77.75"/>
    <n v="0"/>
  </r>
  <r>
    <x v="5"/>
    <x v="9"/>
    <x v="0"/>
    <s v="3235501"/>
    <n v="700038"/>
    <s v="Salaries-Service/Support-Other"/>
    <s v="Central Monitoring (Telemetry)"/>
    <x v="0"/>
    <n v="2000"/>
    <n v="51.93"/>
    <n v="0"/>
    <n v="0"/>
    <n v="0"/>
    <n v="0"/>
    <n v="0"/>
    <n v="0"/>
    <n v="0"/>
    <n v="0"/>
    <n v="0"/>
    <n v="0"/>
    <n v="0"/>
    <n v="51.93"/>
    <n v="0"/>
  </r>
  <r>
    <x v="5"/>
    <x v="9"/>
    <x v="0"/>
    <s v="3235501"/>
    <n v="700054"/>
    <s v="Salaries-Management-Non-productive"/>
    <s v="Central Monitoring (Telemetry)"/>
    <x v="0"/>
    <m/>
    <n v="3389.65"/>
    <n v="731.33"/>
    <n v="66.540000000000006"/>
    <n v="2189.2600000000002"/>
    <n v="-758.54"/>
    <n v="2068.7399999999998"/>
    <n v="2762.71"/>
    <n v="656.05"/>
    <n v="3211.37"/>
    <n v="0"/>
    <n v="4661.4399999999996"/>
    <n v="3729.42"/>
    <n v="22707.97"/>
    <n v="932.01999999999953"/>
  </r>
  <r>
    <x v="5"/>
    <x v="9"/>
    <x v="0"/>
    <s v="3235501"/>
    <n v="700054"/>
    <s v="Salaries-Management-NonProd-Other"/>
    <s v="Central Monitoring (Telemetry)"/>
    <x v="0"/>
    <n v="2000"/>
    <n v="0"/>
    <n v="0"/>
    <n v="0"/>
    <n v="0"/>
    <n v="0"/>
    <n v="1433"/>
    <n v="-1433"/>
    <n v="0"/>
    <n v="0"/>
    <n v="0"/>
    <n v="0"/>
    <n v="0"/>
    <n v="0"/>
    <n v="0"/>
  </r>
  <r>
    <x v="5"/>
    <x v="9"/>
    <x v="0"/>
    <s v="3235501"/>
    <n v="700066"/>
    <s v="Salaries-RN-Non-productive"/>
    <s v="Central Monitoring (Telemetry)"/>
    <x v="0"/>
    <m/>
    <n v="422.64"/>
    <n v="0"/>
    <n v="0"/>
    <n v="0"/>
    <n v="0"/>
    <n v="0"/>
    <n v="0"/>
    <n v="0"/>
    <n v="0"/>
    <n v="0"/>
    <n v="0"/>
    <n v="0"/>
    <n v="422.64"/>
    <n v="0"/>
  </r>
  <r>
    <x v="5"/>
    <x v="9"/>
    <x v="0"/>
    <s v="3235501"/>
    <n v="700066"/>
    <s v="Salaries-RN-NonProd-Other"/>
    <s v="Central Monitoring (Telemetry)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3235501"/>
    <n v="700072"/>
    <s v="Salaries-Other Pat Care Providers-Non-productive"/>
    <s v="Central Monitoring (Telemetry)"/>
    <x v="0"/>
    <m/>
    <n v="18062.689999999999"/>
    <n v="23019.200000000001"/>
    <n v="17654.509999999998"/>
    <n v="15945.19"/>
    <n v="22136.15"/>
    <n v="31395.41"/>
    <n v="23657.34"/>
    <n v="24066.74"/>
    <n v="20896.13"/>
    <n v="22996.18"/>
    <n v="19198.63"/>
    <n v="20172.21"/>
    <n v="259200.37999999998"/>
    <n v="-973.57999999999811"/>
  </r>
  <r>
    <x v="5"/>
    <x v="9"/>
    <x v="0"/>
    <s v="3235501"/>
    <n v="700072"/>
    <s v="Salaries-Other Pat Care Providers-NonProd-Other"/>
    <s v="Central Monitoring (Telemetry)"/>
    <x v="0"/>
    <n v="2000"/>
    <n v="1196.76"/>
    <n v="1886.88"/>
    <n v="1087.31"/>
    <n v="1143.03"/>
    <n v="3803.3"/>
    <n v="5149.8599999999997"/>
    <n v="1508.91"/>
    <n v="-3861.41"/>
    <n v="1283.69"/>
    <n v="1935.46"/>
    <n v="1004.85"/>
    <n v="1478.6"/>
    <n v="17617.240000000002"/>
    <n v="-473.74999999999989"/>
  </r>
  <r>
    <x v="5"/>
    <x v="9"/>
    <x v="0"/>
    <s v="3235501"/>
    <n v="700078"/>
    <s v="Salaries-Service/Support-Non-productive"/>
    <s v="Central Monitoring (Telemetry)"/>
    <x v="0"/>
    <m/>
    <n v="575.85"/>
    <n v="0"/>
    <n v="0"/>
    <n v="0"/>
    <n v="0"/>
    <n v="0"/>
    <n v="0"/>
    <n v="0"/>
    <n v="0"/>
    <n v="0"/>
    <n v="0"/>
    <n v="0"/>
    <n v="575.85"/>
    <n v="0"/>
  </r>
  <r>
    <x v="5"/>
    <x v="9"/>
    <x v="0"/>
    <s v="3235501"/>
    <n v="700078"/>
    <s v="Salaries-Service/Support-NonProd-Other"/>
    <s v="Central Monitoring (Telemetry)"/>
    <x v="0"/>
    <n v="2000"/>
    <n v="10.86"/>
    <n v="0"/>
    <n v="0"/>
    <n v="0"/>
    <n v="0"/>
    <n v="0"/>
    <n v="0"/>
    <n v="0"/>
    <n v="0"/>
    <n v="0"/>
    <n v="0"/>
    <n v="0"/>
    <n v="10.86"/>
    <n v="0"/>
  </r>
  <r>
    <x v="5"/>
    <x v="9"/>
    <x v="0"/>
    <s v="3235501"/>
    <n v="700084"/>
    <s v="Accrued PTO"/>
    <s v="Central Monitoring (Telemetry)"/>
    <x v="0"/>
    <m/>
    <n v="-2440.98"/>
    <n v="-2640.22"/>
    <n v="5263.27"/>
    <n v="6143.1"/>
    <n v="2883.85"/>
    <n v="-7303.58"/>
    <n v="-2676.93"/>
    <n v="-1143.48"/>
    <n v="4290.68"/>
    <n v="2252.91"/>
    <n v="3109.26"/>
    <n v="-4384.1899999999996"/>
    <n v="3353.6900000000014"/>
    <n v="7493.45"/>
  </r>
  <r>
    <x v="10"/>
    <x v="9"/>
    <x v="0"/>
    <s v="3235501"/>
    <n v="710060"/>
    <s v="Contract Labor-Other"/>
    <s v="Central Monitoring (Telemetry)"/>
    <x v="0"/>
    <m/>
    <n v="15070"/>
    <n v="13414.5"/>
    <n v="6368"/>
    <n v="32195.17"/>
    <n v="-5983.36"/>
    <n v="30540.01"/>
    <n v="2897.24"/>
    <n v="3413.69"/>
    <n v="21146.04"/>
    <n v="26369.58"/>
    <n v="22886.76"/>
    <n v="27588.74"/>
    <n v="195906.37"/>
    <n v="-4701.9800000000032"/>
  </r>
  <r>
    <x v="10"/>
    <x v="9"/>
    <x v="0"/>
    <s v="3235501"/>
    <n v="710060"/>
    <s v="Contract Labor-Overtime"/>
    <s v="Central Monitoring (Telemetry)"/>
    <x v="0"/>
    <n v="5100"/>
    <n v="3347.34"/>
    <n v="2889"/>
    <n v="1"/>
    <n v="12531.74"/>
    <n v="-5433.17"/>
    <n v="2393.7199999999998"/>
    <n v="588.76"/>
    <n v="325.13"/>
    <n v="1589.51"/>
    <n v="4017.35"/>
    <n v="5537.96"/>
    <n v="6557.45"/>
    <n v="34345.789999999994"/>
    <n v="-1019.4899999999998"/>
  </r>
  <r>
    <x v="10"/>
    <x v="9"/>
    <x v="0"/>
    <s v="3235501"/>
    <n v="710060"/>
    <s v="Contract Labor-Standby Wages"/>
    <s v="Central Monitoring (Telemetry)"/>
    <x v="0"/>
    <n v="5101"/>
    <n v="112.5"/>
    <n v="0"/>
    <n v="0"/>
    <n v="0"/>
    <n v="270"/>
    <n v="270.7"/>
    <n v="180"/>
    <n v="0"/>
    <n v="0"/>
    <n v="135"/>
    <n v="112.28"/>
    <n v="0"/>
    <n v="1080.48"/>
    <n v="112.28"/>
  </r>
  <r>
    <x v="6"/>
    <x v="9"/>
    <x v="0"/>
    <s v="3235501"/>
    <n v="713010"/>
    <s v="Benefits-FICA/Medicare"/>
    <s v="Central Monitoring (Telemetry)"/>
    <x v="0"/>
    <m/>
    <n v="13548.4"/>
    <n v="15053.27"/>
    <n v="15906.73"/>
    <n v="16287.03"/>
    <n v="16355.58"/>
    <n v="18399.14"/>
    <n v="17369.560000000001"/>
    <n v="16138.95"/>
    <n v="16136.63"/>
    <n v="16025.08"/>
    <n v="17017.509999999998"/>
    <n v="15483.03"/>
    <n v="193720.90999999997"/>
    <n v="1534.4799999999977"/>
  </r>
  <r>
    <x v="6"/>
    <x v="9"/>
    <x v="0"/>
    <s v="3235501"/>
    <n v="713090"/>
    <s v="Benefits-Allocated Amounts"/>
    <s v="Central Monitoring (Telemetry)"/>
    <x v="0"/>
    <m/>
    <n v="52560.77"/>
    <n v="52051.46"/>
    <n v="57745.4"/>
    <n v="58892.18"/>
    <n v="55587.4"/>
    <n v="65279.27"/>
    <n v="68591.960000000006"/>
    <n v="65730.89"/>
    <n v="66220.539999999994"/>
    <n v="64435.19"/>
    <n v="66267.850000000006"/>
    <n v="61139.85"/>
    <n v="734502.76"/>
    <n v="5128.0000000000073"/>
  </r>
  <r>
    <x v="6"/>
    <x v="9"/>
    <x v="0"/>
    <s v="3235501"/>
    <n v="713096"/>
    <s v="Employee Recognition"/>
    <s v="Central Monitoring (Telemetry)"/>
    <x v="0"/>
    <n v="1017"/>
    <n v="0"/>
    <n v="0"/>
    <n v="84.6"/>
    <n v="89.95"/>
    <n v="556.97"/>
    <n v="403.94"/>
    <n v="0"/>
    <n v="178.36"/>
    <n v="45.98"/>
    <n v="415.57"/>
    <n v="271.2"/>
    <n v="0"/>
    <n v="2046.5700000000002"/>
    <n v="271.2"/>
  </r>
  <r>
    <x v="7"/>
    <x v="9"/>
    <x v="0"/>
    <s v="3235501"/>
    <n v="718050"/>
    <s v="Contract Svcs-Other"/>
    <s v="Central Monitoring (Telemetry)"/>
    <x v="0"/>
    <m/>
    <n v="0"/>
    <n v="2352.9"/>
    <n v="0"/>
    <n v="0"/>
    <n v="318.32"/>
    <n v="3435.85"/>
    <n v="495"/>
    <n v="2459.9899999999998"/>
    <n v="0"/>
    <n v="18494.740000000002"/>
    <n v="0"/>
    <n v="126.69"/>
    <n v="27683.49"/>
    <n v="-126.69"/>
  </r>
  <r>
    <x v="7"/>
    <x v="9"/>
    <x v="0"/>
    <s v="3235501"/>
    <n v="718050"/>
    <s v="Document Shredding/Storage"/>
    <s v="Central Monitoring (Telemetry)"/>
    <x v="0"/>
    <n v="1012"/>
    <n v="0"/>
    <n v="0"/>
    <n v="0"/>
    <n v="0"/>
    <n v="0"/>
    <n v="0"/>
    <n v="0"/>
    <n v="203.14"/>
    <n v="90.14"/>
    <n v="-122.55"/>
    <n v="19.82"/>
    <n v="126.18"/>
    <n v="316.72999999999996"/>
    <n v="-106.36000000000001"/>
  </r>
  <r>
    <x v="7"/>
    <x v="9"/>
    <x v="0"/>
    <s v="3235501"/>
    <n v="718050"/>
    <s v="Miscellaneous Purchased Svcs"/>
    <s v="Central Monitoring (Telemetry)"/>
    <x v="0"/>
    <n v="1020"/>
    <n v="0"/>
    <n v="559.86"/>
    <n v="431.48"/>
    <n v="350.12"/>
    <n v="0"/>
    <n v="0"/>
    <n v="0"/>
    <n v="0"/>
    <n v="0"/>
    <n v="0"/>
    <n v="4204"/>
    <n v="0"/>
    <n v="5545.46"/>
    <n v="4204"/>
  </r>
  <r>
    <x v="11"/>
    <x v="9"/>
    <x v="0"/>
    <s v="3235501"/>
    <n v="721410"/>
    <s v="Supplies-Medical - Nonbillable"/>
    <s v="Central Monitoring (Telemetry)"/>
    <x v="0"/>
    <m/>
    <n v="15.47"/>
    <n v="0"/>
    <n v="0"/>
    <n v="0"/>
    <n v="0"/>
    <n v="0"/>
    <n v="0"/>
    <n v="0"/>
    <n v="0"/>
    <n v="0"/>
    <n v="0"/>
    <n v="0"/>
    <n v="15.47"/>
    <n v="0"/>
  </r>
  <r>
    <x v="11"/>
    <x v="9"/>
    <x v="0"/>
    <s v="3235501"/>
    <n v="721810"/>
    <s v="Supplies-Dietary/Cafeteria"/>
    <s v="Central Monitoring (Telemetry)"/>
    <x v="0"/>
    <m/>
    <n v="45.34"/>
    <n v="0"/>
    <n v="131.88"/>
    <n v="0"/>
    <n v="0"/>
    <n v="32.979999999999997"/>
    <n v="65.95"/>
    <n v="32.979999999999997"/>
    <n v="0"/>
    <n v="32.979999999999997"/>
    <n v="0"/>
    <n v="0"/>
    <n v="342.11"/>
    <n v="0"/>
  </r>
  <r>
    <x v="11"/>
    <x v="9"/>
    <x v="0"/>
    <s v="3235501"/>
    <n v="721830"/>
    <s v="Supplies-Office"/>
    <s v="Central Monitoring (Telemetry)"/>
    <x v="0"/>
    <m/>
    <n v="28.79"/>
    <n v="307.63"/>
    <n v="111.43"/>
    <n v="33.36"/>
    <n v="0"/>
    <n v="0"/>
    <n v="1140"/>
    <n v="0"/>
    <n v="0"/>
    <n v="0"/>
    <n v="0"/>
    <n v="-33.36"/>
    <n v="1587.8500000000001"/>
    <n v="33.36"/>
  </r>
  <r>
    <x v="11"/>
    <x v="9"/>
    <x v="0"/>
    <s v="3235501"/>
    <n v="721835"/>
    <s v="Supplies-Forms"/>
    <s v="Central Monitoring (Telemetry)"/>
    <x v="0"/>
    <m/>
    <n v="0"/>
    <n v="0"/>
    <n v="0"/>
    <n v="0"/>
    <n v="1982.5"/>
    <n v="550"/>
    <n v="0"/>
    <n v="0"/>
    <n v="607.5"/>
    <n v="0"/>
    <n v="255"/>
    <n v="0"/>
    <n v="3395"/>
    <n v="255"/>
  </r>
  <r>
    <x v="11"/>
    <x v="9"/>
    <x v="0"/>
    <s v="3235501"/>
    <n v="721910"/>
    <s v="Supplies-Small Equipment"/>
    <s v="Central Monitoring (Telemetry)"/>
    <x v="0"/>
    <m/>
    <n v="10.39"/>
    <n v="395.72"/>
    <n v="-354"/>
    <n v="172"/>
    <n v="292.62"/>
    <n v="0"/>
    <n v="2400"/>
    <n v="0"/>
    <n v="1034.72"/>
    <n v="1700.16"/>
    <n v="-4204"/>
    <n v="100"/>
    <n v="1547.6099999999997"/>
    <n v="-4304"/>
  </r>
  <r>
    <x v="11"/>
    <x v="9"/>
    <x v="0"/>
    <s v="3235501"/>
    <n v="721980"/>
    <s v="Supplies-Other"/>
    <s v="Central Monitoring (Telemetry)"/>
    <x v="0"/>
    <m/>
    <n v="36.75"/>
    <n v="0"/>
    <n v="109.59"/>
    <n v="0"/>
    <n v="5.49"/>
    <n v="184.16"/>
    <n v="385.35"/>
    <n v="0"/>
    <n v="0"/>
    <n v="0"/>
    <n v="0"/>
    <n v="0"/>
    <n v="721.34"/>
    <n v="0"/>
  </r>
  <r>
    <x v="11"/>
    <x v="9"/>
    <x v="0"/>
    <s v="3235501"/>
    <n v="722000"/>
    <s v="Supplies-Freight Expense"/>
    <s v="Central Monitoring (Telemetry)"/>
    <x v="0"/>
    <m/>
    <n v="0"/>
    <n v="0"/>
    <n v="0"/>
    <n v="0"/>
    <n v="68.709999999999994"/>
    <n v="56.82"/>
    <n v="0"/>
    <n v="0"/>
    <n v="0"/>
    <n v="0"/>
    <n v="0"/>
    <n v="33.36"/>
    <n v="158.88999999999999"/>
    <n v="-33.36"/>
  </r>
  <r>
    <x v="12"/>
    <x v="9"/>
    <x v="0"/>
    <s v="3235501"/>
    <n v="730020"/>
    <s v="Rental and Leases-Copier Usage Fees (DO NOT USE)"/>
    <s v="Central Monitoring (Telemetry)"/>
    <x v="0"/>
    <n v="5100"/>
    <n v="0"/>
    <n v="0"/>
    <n v="0"/>
    <n v="0"/>
    <n v="0"/>
    <n v="0"/>
    <n v="2880.05"/>
    <n v="91.36"/>
    <n v="91.16"/>
    <n v="494.73"/>
    <n v="91.36"/>
    <n v="106.1"/>
    <n v="3754.76"/>
    <n v="-14.739999999999995"/>
  </r>
  <r>
    <x v="15"/>
    <x v="9"/>
    <x v="0"/>
    <s v="3235501"/>
    <n v="731060"/>
    <s v="Telephone"/>
    <s v="Central Monitoring (Telemetry)"/>
    <x v="0"/>
    <m/>
    <n v="0"/>
    <n v="0"/>
    <n v="0"/>
    <n v="205"/>
    <n v="20.71"/>
    <n v="0"/>
    <n v="0"/>
    <n v="0"/>
    <n v="0"/>
    <n v="0"/>
    <n v="0"/>
    <n v="40"/>
    <n v="265.71000000000004"/>
    <n v="-40"/>
  </r>
  <r>
    <x v="15"/>
    <x v="9"/>
    <x v="0"/>
    <s v="3235501"/>
    <n v="731060"/>
    <s v="Cell Phones"/>
    <s v="Central Monitoring (Telemetry)"/>
    <x v="0"/>
    <n v="1001"/>
    <n v="0"/>
    <n v="33.020000000000003"/>
    <n v="66.040000000000006"/>
    <n v="0"/>
    <n v="32.5"/>
    <n v="33.11"/>
    <n v="66.17"/>
    <n v="0"/>
    <n v="33.58"/>
    <n v="66.28"/>
    <n v="32.5"/>
    <n v="33.15"/>
    <n v="396.35"/>
    <n v="-0.64999999999999858"/>
  </r>
  <r>
    <x v="16"/>
    <x v="9"/>
    <x v="0"/>
    <s v="3235501"/>
    <n v="733030"/>
    <s v="Maintenance Contracts-Other"/>
    <s v="Central Monitoring (Telemetry)"/>
    <x v="0"/>
    <m/>
    <n v="0"/>
    <n v="0"/>
    <n v="0"/>
    <n v="0"/>
    <n v="0"/>
    <n v="0"/>
    <n v="0"/>
    <n v="253.23"/>
    <n v="0"/>
    <n v="0"/>
    <n v="0"/>
    <n v="2712.2"/>
    <n v="2965.43"/>
    <n v="-2712.2"/>
  </r>
  <r>
    <x v="0"/>
    <x v="9"/>
    <x v="0"/>
    <s v="3235501"/>
    <n v="740010"/>
    <s v="Education-Materials"/>
    <s v="Central Monitoring (Telemetry)"/>
    <x v="0"/>
    <m/>
    <n v="0"/>
    <n v="0"/>
    <n v="0"/>
    <n v="0"/>
    <n v="0"/>
    <n v="0"/>
    <n v="0"/>
    <n v="32.47"/>
    <n v="0"/>
    <n v="0"/>
    <n v="0"/>
    <n v="0"/>
    <n v="32.47"/>
    <n v="0"/>
  </r>
  <r>
    <x v="0"/>
    <x v="9"/>
    <x v="0"/>
    <s v="3235501"/>
    <n v="740020"/>
    <s v="Education-Registration Fees"/>
    <s v="Central Monitoring (Telemetry)"/>
    <x v="0"/>
    <m/>
    <n v="175"/>
    <n v="0"/>
    <n v="0"/>
    <n v="0"/>
    <n v="0"/>
    <n v="0"/>
    <n v="0"/>
    <n v="250"/>
    <n v="85"/>
    <n v="300"/>
    <n v="0"/>
    <n v="0"/>
    <n v="810"/>
    <n v="0"/>
  </r>
  <r>
    <x v="0"/>
    <x v="9"/>
    <x v="0"/>
    <s v="3235501"/>
    <n v="743030"/>
    <s v="Subscriptions--Institutional"/>
    <s v="Central Monitoring (Telemetry)"/>
    <x v="0"/>
    <m/>
    <n v="0"/>
    <n v="0"/>
    <n v="0"/>
    <n v="0"/>
    <n v="0"/>
    <n v="0"/>
    <n v="0"/>
    <n v="0"/>
    <n v="0"/>
    <n v="300"/>
    <n v="0"/>
    <n v="0"/>
    <n v="300"/>
    <n v="0"/>
  </r>
  <r>
    <x v="0"/>
    <x v="9"/>
    <x v="0"/>
    <s v="3235501"/>
    <n v="749510"/>
    <s v="Miscellaneous Expenses"/>
    <s v="Central Monitoring (Telemetry)"/>
    <x v="0"/>
    <m/>
    <n v="0"/>
    <n v="188.33"/>
    <n v="54.96"/>
    <n v="7556.79"/>
    <n v="2845.56"/>
    <n v="-261.14"/>
    <n v="1337.24"/>
    <n v="14425.8"/>
    <n v="69.650000000000006"/>
    <n v="93.17"/>
    <n v="0"/>
    <n v="0"/>
    <n v="26310.36"/>
    <n v="0"/>
  </r>
  <r>
    <x v="0"/>
    <x v="9"/>
    <x v="0"/>
    <s v="3235501"/>
    <n v="749510"/>
    <s v="RICE Rewards"/>
    <s v="Central Monitoring (Telemetry)"/>
    <x v="0"/>
    <n v="5100"/>
    <n v="0"/>
    <n v="0"/>
    <n v="0"/>
    <n v="0"/>
    <n v="0"/>
    <n v="0"/>
    <n v="2532.1799999999998"/>
    <n v="0"/>
    <n v="0"/>
    <n v="0"/>
    <n v="0"/>
    <n v="0"/>
    <n v="2532.1799999999998"/>
    <n v="0"/>
  </r>
  <r>
    <x v="0"/>
    <x v="9"/>
    <x v="0"/>
    <s v="3235501"/>
    <n v="749530"/>
    <s v="Travel"/>
    <s v="Central Monitoring (Telemetry)"/>
    <x v="0"/>
    <m/>
    <n v="0"/>
    <n v="74.25"/>
    <n v="0"/>
    <n v="183.56"/>
    <n v="39.6"/>
    <n v="0"/>
    <n v="467.24"/>
    <n v="226.78"/>
    <n v="0"/>
    <n v="1176.73"/>
    <n v="0"/>
    <n v="570.75"/>
    <n v="2738.91"/>
    <n v="-570.75"/>
  </r>
  <r>
    <x v="0"/>
    <x v="9"/>
    <x v="0"/>
    <s v="3235501"/>
    <n v="749530"/>
    <s v="Mileage"/>
    <s v="Central Monitoring (Telemetry)"/>
    <x v="0"/>
    <n v="1001"/>
    <n v="0"/>
    <n v="0"/>
    <n v="0"/>
    <n v="0"/>
    <n v="0"/>
    <n v="0"/>
    <n v="0"/>
    <n v="0"/>
    <n v="0"/>
    <n v="103.82"/>
    <n v="0"/>
    <n v="0"/>
    <n v="103.82"/>
    <n v="0"/>
  </r>
  <r>
    <x v="0"/>
    <x v="9"/>
    <x v="0"/>
    <s v="3235501"/>
    <n v="749535"/>
    <s v="Meetings"/>
    <s v="Central Monitoring (Telemetry)"/>
    <x v="0"/>
    <m/>
    <n v="0"/>
    <n v="0"/>
    <n v="0"/>
    <n v="0"/>
    <n v="160.12"/>
    <n v="0"/>
    <n v="0"/>
    <n v="183.73"/>
    <n v="0"/>
    <n v="0"/>
    <n v="0"/>
    <n v="0"/>
    <n v="343.85"/>
    <n v="0"/>
  </r>
  <r>
    <x v="5"/>
    <x v="9"/>
    <x v="0"/>
    <s v="3236501"/>
    <n v="700014"/>
    <s v="Salaries-Management-Productive"/>
    <s v="Virtual ICU"/>
    <x v="0"/>
    <m/>
    <n v="0"/>
    <n v="0"/>
    <n v="0"/>
    <n v="0"/>
    <n v="0"/>
    <n v="0"/>
    <n v="0"/>
    <n v="0"/>
    <n v="0"/>
    <n v="0"/>
    <n v="0"/>
    <n v="1594"/>
    <n v="1594"/>
    <n v="-1594"/>
  </r>
  <r>
    <x v="5"/>
    <x v="9"/>
    <x v="0"/>
    <s v="3236501"/>
    <n v="700014"/>
    <s v="Salaries-Management-Other"/>
    <s v="Virtual ICU"/>
    <x v="0"/>
    <n v="2000"/>
    <n v="0"/>
    <n v="-428.66"/>
    <n v="0"/>
    <n v="0"/>
    <n v="0"/>
    <n v="0"/>
    <n v="0"/>
    <n v="0"/>
    <n v="0"/>
    <n v="0"/>
    <n v="0"/>
    <n v="0"/>
    <n v="-428.66"/>
    <n v="0"/>
  </r>
  <r>
    <x v="5"/>
    <x v="9"/>
    <x v="0"/>
    <s v="3236501"/>
    <n v="700026"/>
    <s v="Salaries-RN-Productive"/>
    <s v="Virtual ICU"/>
    <x v="0"/>
    <m/>
    <n v="99311.97"/>
    <n v="99381.93"/>
    <n v="103526.46"/>
    <n v="105231.23"/>
    <n v="101277.3"/>
    <n v="101413.46"/>
    <n v="101955.89"/>
    <n v="91838.6"/>
    <n v="106038.75"/>
    <n v="105404.38"/>
    <n v="98517.72"/>
    <n v="102789.84"/>
    <n v="1216687.53"/>
    <n v="-4272.1199999999953"/>
  </r>
  <r>
    <x v="5"/>
    <x v="9"/>
    <x v="0"/>
    <s v="3236501"/>
    <n v="700026"/>
    <s v="Salaries-RN-OT"/>
    <s v="Virtual ICU"/>
    <x v="0"/>
    <n v="1000"/>
    <n v="1948.43"/>
    <n v="1432.11"/>
    <n v="1907.08"/>
    <n v="3220.83"/>
    <n v="-17.82"/>
    <n v="928.61"/>
    <n v="405.08"/>
    <n v="1555.11"/>
    <n v="2722.35"/>
    <n v="2855.26"/>
    <n v="-811.1"/>
    <n v="3566.57"/>
    <n v="19712.510000000002"/>
    <n v="-4377.67"/>
  </r>
  <r>
    <x v="5"/>
    <x v="9"/>
    <x v="0"/>
    <s v="3236501"/>
    <n v="700026"/>
    <s v="Salaries-RN-Other"/>
    <s v="Virtual ICU"/>
    <x v="0"/>
    <n v="2000"/>
    <n v="8064.29"/>
    <n v="9264.6200000000008"/>
    <n v="10069.48"/>
    <n v="9525.06"/>
    <n v="9499"/>
    <n v="7696.77"/>
    <n v="8184.56"/>
    <n v="8092.06"/>
    <n v="8682.0400000000009"/>
    <n v="9516.5300000000007"/>
    <n v="7414.01"/>
    <n v="8910.69"/>
    <n v="104919.11"/>
    <n v="-1496.6800000000003"/>
  </r>
  <r>
    <x v="5"/>
    <x v="9"/>
    <x v="0"/>
    <s v="3236501"/>
    <n v="700034"/>
    <s v="Salaries-Tech/Professional-Productive"/>
    <s v="Virtual ICU"/>
    <x v="0"/>
    <m/>
    <n v="2904.36"/>
    <n v="4965.59"/>
    <n v="5000.8599999999997"/>
    <n v="5232.3599999999997"/>
    <n v="5317.57"/>
    <n v="4257.57"/>
    <n v="5309.42"/>
    <n v="4715.57"/>
    <n v="4682.33"/>
    <n v="5890.46"/>
    <n v="4258.3999999999996"/>
    <n v="8751.25"/>
    <n v="61285.740000000005"/>
    <n v="-4492.8500000000004"/>
  </r>
  <r>
    <x v="5"/>
    <x v="9"/>
    <x v="0"/>
    <s v="3236501"/>
    <n v="700034"/>
    <s v="Salaries-Tech/Professional-OT"/>
    <s v="Virtual ICU"/>
    <x v="0"/>
    <n v="1000"/>
    <n v="122.53"/>
    <n v="44.07"/>
    <n v="36.869999999999997"/>
    <n v="139.19999999999999"/>
    <n v="280.02"/>
    <n v="26.6"/>
    <n v="130.51"/>
    <n v="31.27"/>
    <n v="504.49"/>
    <n v="-97.01"/>
    <n v="131.41"/>
    <n v="318.39999999999998"/>
    <n v="1668.3600000000001"/>
    <n v="-186.98999999999998"/>
  </r>
  <r>
    <x v="5"/>
    <x v="9"/>
    <x v="0"/>
    <s v="3236501"/>
    <n v="700034"/>
    <s v="Salaries-Tech/Professional-Other"/>
    <s v="Virtual ICU"/>
    <x v="0"/>
    <n v="2000"/>
    <n v="0"/>
    <n v="0"/>
    <n v="0"/>
    <n v="0"/>
    <n v="0"/>
    <n v="0"/>
    <n v="152.35"/>
    <n v="-7.0000000000000007E-2"/>
    <n v="0"/>
    <n v="0"/>
    <n v="0"/>
    <n v="0"/>
    <n v="152.28"/>
    <n v="0"/>
  </r>
  <r>
    <x v="5"/>
    <x v="9"/>
    <x v="0"/>
    <s v="3236501"/>
    <n v="700054"/>
    <s v="Salaries-Management-Non-productive"/>
    <s v="Virtual ICU"/>
    <x v="0"/>
    <m/>
    <n v="527.52"/>
    <n v="0"/>
    <n v="0"/>
    <n v="0"/>
    <n v="0"/>
    <n v="0"/>
    <n v="0"/>
    <n v="0"/>
    <n v="0"/>
    <n v="0"/>
    <n v="0"/>
    <n v="0"/>
    <n v="527.52"/>
    <n v="0"/>
  </r>
  <r>
    <x v="5"/>
    <x v="9"/>
    <x v="0"/>
    <s v="3236501"/>
    <n v="700054"/>
    <s v="Salaries-Management-NonProd-Other"/>
    <s v="Virtual ICU"/>
    <x v="0"/>
    <n v="2000"/>
    <n v="0"/>
    <n v="0"/>
    <n v="0"/>
    <n v="0"/>
    <n v="0"/>
    <n v="2071.3000000000002"/>
    <n v="-2071.3000000000002"/>
    <n v="0"/>
    <n v="0"/>
    <n v="0"/>
    <n v="0"/>
    <n v="0"/>
    <n v="0"/>
    <n v="0"/>
  </r>
  <r>
    <x v="5"/>
    <x v="9"/>
    <x v="0"/>
    <s v="3236501"/>
    <n v="700066"/>
    <s v="Salaries-RN-Non-productive"/>
    <s v="Virtual ICU"/>
    <x v="0"/>
    <m/>
    <n v="12726.62"/>
    <n v="20067.810000000001"/>
    <n v="8926.1200000000008"/>
    <n v="15995.41"/>
    <n v="5592.78"/>
    <n v="19961.189999999999"/>
    <n v="10234.83"/>
    <n v="18169.240000000002"/>
    <n v="6804.71"/>
    <n v="12433.02"/>
    <n v="12993.55"/>
    <n v="14479.06"/>
    <n v="158384.34000000003"/>
    <n v="-1485.5100000000002"/>
  </r>
  <r>
    <x v="5"/>
    <x v="9"/>
    <x v="0"/>
    <s v="3236501"/>
    <n v="700066"/>
    <s v="Salaries-RN-NonProd-Other"/>
    <s v="Virtual ICU"/>
    <x v="0"/>
    <n v="2000"/>
    <n v="754.15"/>
    <n v="1120.93"/>
    <n v="724.97"/>
    <n v="951.5"/>
    <n v="1592.66"/>
    <n v="2775.43"/>
    <n v="678.67"/>
    <n v="243.07"/>
    <n v="297.86"/>
    <n v="876.99"/>
    <n v="908.99"/>
    <n v="794.85"/>
    <n v="11720.07"/>
    <n v="114.13999999999999"/>
  </r>
  <r>
    <x v="5"/>
    <x v="9"/>
    <x v="0"/>
    <s v="3236501"/>
    <n v="700074"/>
    <s v="Salaries-Tech/Professional-Non-productive"/>
    <s v="Virtual ICU"/>
    <x v="0"/>
    <m/>
    <n v="717.6"/>
    <n v="341.69"/>
    <n v="136.71"/>
    <n v="239.2"/>
    <n v="0"/>
    <n v="1311.67"/>
    <n v="426.18"/>
    <n v="620.91999999999996"/>
    <n v="1147.79"/>
    <n v="-188.13"/>
    <n v="1542.89"/>
    <n v="-216.94"/>
    <n v="6079.5800000000008"/>
    <n v="1759.8300000000002"/>
  </r>
  <r>
    <x v="5"/>
    <x v="9"/>
    <x v="0"/>
    <s v="3236501"/>
    <n v="700074"/>
    <s v="Salaries-Tech/Professional-NonProd-Other"/>
    <s v="Virtual ICU"/>
    <x v="0"/>
    <n v="2000"/>
    <n v="0"/>
    <n v="0"/>
    <n v="0"/>
    <n v="0"/>
    <n v="-132.94999999999999"/>
    <n v="0"/>
    <n v="0"/>
    <n v="132.94999999999999"/>
    <n v="0"/>
    <n v="0"/>
    <n v="0"/>
    <n v="0"/>
    <n v="0"/>
    <n v="0"/>
  </r>
  <r>
    <x v="5"/>
    <x v="9"/>
    <x v="0"/>
    <s v="3236501"/>
    <n v="700084"/>
    <s v="Accrued PTO"/>
    <s v="Virtual ICU"/>
    <x v="0"/>
    <m/>
    <n v="-1345.47"/>
    <n v="-959.93"/>
    <n v="3213.04"/>
    <n v="3471.1"/>
    <n v="4641.41"/>
    <n v="-6086.71"/>
    <n v="6656.28"/>
    <n v="-4260.41"/>
    <n v="4726.79"/>
    <n v="1817.64"/>
    <n v="755.84"/>
    <n v="3240.68"/>
    <n v="15870.259999999998"/>
    <n v="-2484.8399999999997"/>
  </r>
  <r>
    <x v="6"/>
    <x v="9"/>
    <x v="0"/>
    <s v="3236501"/>
    <n v="713010"/>
    <s v="Benefits-FICA/Medicare"/>
    <s v="Virtual ICU"/>
    <x v="0"/>
    <m/>
    <n v="9390.91"/>
    <n v="10075.280000000001"/>
    <n v="9646.32"/>
    <n v="10543.97"/>
    <n v="9237.92"/>
    <n v="9962.66"/>
    <n v="9558.41"/>
    <n v="10372.620000000001"/>
    <n v="9681.18"/>
    <n v="10090.48"/>
    <n v="9195.84"/>
    <n v="10655.39"/>
    <n v="118410.97999999998"/>
    <n v="-1459.5499999999993"/>
  </r>
  <r>
    <x v="6"/>
    <x v="9"/>
    <x v="0"/>
    <s v="3236501"/>
    <n v="713090"/>
    <s v="Benefits-Allocated Amounts"/>
    <s v="Virtual ICU"/>
    <x v="0"/>
    <m/>
    <n v="19686.330000000002"/>
    <n v="19731.57"/>
    <n v="20058.59"/>
    <n v="19963.060000000001"/>
    <n v="17268.3"/>
    <n v="20875.169999999998"/>
    <n v="21089.15"/>
    <n v="20703.73"/>
    <n v="23554.65"/>
    <n v="22691.16"/>
    <n v="20582.2"/>
    <n v="23702.560000000001"/>
    <n v="249906.47000000003"/>
    <n v="-3120.3600000000006"/>
  </r>
  <r>
    <x v="6"/>
    <x v="9"/>
    <x v="0"/>
    <s v="3236501"/>
    <n v="713096"/>
    <s v="Employee Recognition"/>
    <s v="Virtual ICU"/>
    <x v="0"/>
    <n v="1017"/>
    <n v="0"/>
    <n v="0"/>
    <n v="107.3"/>
    <n v="0"/>
    <n v="0"/>
    <n v="135.25"/>
    <n v="0"/>
    <n v="0"/>
    <n v="0"/>
    <n v="19.71"/>
    <n v="9.92"/>
    <n v="352.62"/>
    <n v="624.79999999999995"/>
    <n v="-342.7"/>
  </r>
  <r>
    <x v="7"/>
    <x v="9"/>
    <x v="0"/>
    <s v="3236501"/>
    <n v="718040"/>
    <s v="Contract Svcs-Laboratory"/>
    <s v="Virtual ICU"/>
    <x v="0"/>
    <m/>
    <n v="106.2"/>
    <n v="0"/>
    <n v="0"/>
    <n v="0"/>
    <n v="0"/>
    <n v="0"/>
    <n v="0"/>
    <n v="0"/>
    <n v="0"/>
    <n v="0"/>
    <n v="0"/>
    <n v="0"/>
    <n v="106.2"/>
    <n v="0"/>
  </r>
  <r>
    <x v="7"/>
    <x v="9"/>
    <x v="0"/>
    <s v="3236501"/>
    <n v="718050"/>
    <s v="Contract Svcs-Other"/>
    <s v="Virtual ICU"/>
    <x v="0"/>
    <m/>
    <n v="6336.73"/>
    <n v="10220.61"/>
    <n v="0"/>
    <n v="0"/>
    <n v="4844.3999999999996"/>
    <n v="2500"/>
    <n v="6485"/>
    <n v="10670"/>
    <n v="11304.01"/>
    <n v="9900.1299999999992"/>
    <n v="5590.18"/>
    <n v="8545.67"/>
    <n v="76396.73"/>
    <n v="-2955.49"/>
  </r>
  <r>
    <x v="7"/>
    <x v="9"/>
    <x v="0"/>
    <s v="3236501"/>
    <n v="718050"/>
    <s v="Document Shredding/Storage"/>
    <s v="Virtual ICU"/>
    <x v="0"/>
    <n v="1012"/>
    <n v="13.27"/>
    <n v="100.79"/>
    <n v="14.94"/>
    <n v="15.46"/>
    <n v="231.99"/>
    <n v="18.059999999999999"/>
    <n v="17.87"/>
    <n v="-102.33"/>
    <n v="0"/>
    <n v="0"/>
    <n v="0"/>
    <n v="0"/>
    <n v="310.05000000000007"/>
    <n v="0"/>
  </r>
  <r>
    <x v="7"/>
    <x v="9"/>
    <x v="0"/>
    <s v="3236501"/>
    <n v="718050"/>
    <s v="Miscellaneous Purchased Svcs"/>
    <s v="Virtual ICU"/>
    <x v="0"/>
    <n v="1020"/>
    <n v="0"/>
    <n v="0"/>
    <n v="3885.94"/>
    <n v="0"/>
    <n v="0"/>
    <n v="0"/>
    <n v="0"/>
    <n v="0"/>
    <n v="125"/>
    <n v="0"/>
    <n v="8086.28"/>
    <n v="0"/>
    <n v="12097.22"/>
    <n v="8086.28"/>
  </r>
  <r>
    <x v="7"/>
    <x v="9"/>
    <x v="0"/>
    <s v="3236501"/>
    <n v="718050"/>
    <s v="Contract Management--Linen"/>
    <s v="Virtual ICU"/>
    <x v="0"/>
    <n v="1026"/>
    <n v="79"/>
    <n v="118.5"/>
    <n v="79.47"/>
    <n v="79"/>
    <n v="316"/>
    <n v="158"/>
    <n v="197.5"/>
    <n v="197.5"/>
    <n v="197.5"/>
    <n v="158"/>
    <n v="0"/>
    <n v="197.5"/>
    <n v="1777.97"/>
    <n v="-197.5"/>
  </r>
  <r>
    <x v="11"/>
    <x v="9"/>
    <x v="0"/>
    <s v="3236501"/>
    <n v="721410"/>
    <s v="Supplies-Medical - Nonbillable"/>
    <s v="Virtual ICU"/>
    <x v="0"/>
    <m/>
    <n v="0"/>
    <n v="31.27"/>
    <n v="0"/>
    <n v="0"/>
    <n v="0"/>
    <n v="0"/>
    <n v="0"/>
    <n v="0"/>
    <n v="0"/>
    <n v="0"/>
    <n v="0"/>
    <n v="0"/>
    <n v="31.27"/>
    <n v="0"/>
  </r>
  <r>
    <x v="11"/>
    <x v="9"/>
    <x v="0"/>
    <s v="3236501"/>
    <n v="721810"/>
    <s v="Supplies-Dietary/Cafeteria"/>
    <s v="Virtual ICU"/>
    <x v="0"/>
    <m/>
    <n v="61.27"/>
    <n v="66.14"/>
    <n v="153.93"/>
    <n v="49.6"/>
    <n v="64.2"/>
    <n v="23.69"/>
    <n v="71.36"/>
    <n v="29.75"/>
    <n v="0"/>
    <n v="224.65"/>
    <n v="-127.65"/>
    <n v="36.94"/>
    <n v="653.88000000000011"/>
    <n v="-164.59"/>
  </r>
  <r>
    <x v="11"/>
    <x v="9"/>
    <x v="0"/>
    <s v="3236501"/>
    <n v="721830"/>
    <s v="Supplies-Office"/>
    <s v="Virtual ICU"/>
    <x v="0"/>
    <m/>
    <n v="1099.45"/>
    <n v="4652.4799999999996"/>
    <n v="2768.98"/>
    <n v="2348.1799999999998"/>
    <n v="1589.92"/>
    <n v="3262.4"/>
    <n v="1902.39"/>
    <n v="604.33000000000004"/>
    <n v="638.77"/>
    <n v="1519.54"/>
    <n v="1687.66"/>
    <n v="3394.1"/>
    <n v="25468.2"/>
    <n v="-1706.4399999999998"/>
  </r>
  <r>
    <x v="11"/>
    <x v="9"/>
    <x v="0"/>
    <s v="3236501"/>
    <n v="721835"/>
    <s v="Supplies-Forms"/>
    <s v="Virtual ICU"/>
    <x v="0"/>
    <m/>
    <n v="0"/>
    <n v="0"/>
    <n v="0"/>
    <n v="0"/>
    <n v="29.37"/>
    <n v="62.3"/>
    <n v="0"/>
    <n v="0"/>
    <n v="30.72"/>
    <n v="5.81"/>
    <n v="0"/>
    <n v="0"/>
    <n v="128.19999999999999"/>
    <n v="0"/>
  </r>
  <r>
    <x v="11"/>
    <x v="9"/>
    <x v="0"/>
    <s v="3236501"/>
    <n v="721870"/>
    <s v="Supplies-Environmental Services"/>
    <s v="Virtual ICU"/>
    <x v="0"/>
    <m/>
    <n v="0"/>
    <n v="0"/>
    <n v="0"/>
    <n v="0"/>
    <n v="0"/>
    <n v="0"/>
    <n v="0"/>
    <n v="0"/>
    <n v="0"/>
    <n v="0"/>
    <n v="-1866.2"/>
    <n v="0"/>
    <n v="-1866.2"/>
    <n v="-1866.2"/>
  </r>
  <r>
    <x v="11"/>
    <x v="9"/>
    <x v="0"/>
    <s v="3236501"/>
    <n v="721880"/>
    <s v="Supplies-Linen"/>
    <s v="Virtual ICU"/>
    <x v="0"/>
    <m/>
    <n v="0"/>
    <n v="0"/>
    <n v="0"/>
    <n v="39.5"/>
    <n v="-39.5"/>
    <n v="0"/>
    <n v="0"/>
    <n v="0"/>
    <n v="0"/>
    <n v="0"/>
    <n v="0"/>
    <n v="0"/>
    <n v="0"/>
    <n v="0"/>
  </r>
  <r>
    <x v="11"/>
    <x v="9"/>
    <x v="0"/>
    <s v="3236501"/>
    <n v="721910"/>
    <s v="Supplies-Small Equipment"/>
    <s v="Virtual ICU"/>
    <x v="0"/>
    <m/>
    <n v="8115.5"/>
    <n v="9197.73"/>
    <n v="282.95"/>
    <n v="16995.55"/>
    <n v="-5414.76"/>
    <n v="3011.69"/>
    <n v="5439.82"/>
    <n v="19995.11"/>
    <n v="-9089.34"/>
    <n v="1370"/>
    <n v="31662.25"/>
    <n v="4202.3"/>
    <n v="85768.8"/>
    <n v="27459.95"/>
  </r>
  <r>
    <x v="11"/>
    <x v="9"/>
    <x v="0"/>
    <s v="3236501"/>
    <n v="721980"/>
    <s v="Supplies-Other"/>
    <s v="Virtual ICU"/>
    <x v="0"/>
    <m/>
    <n v="79.12"/>
    <n v="531.48"/>
    <n v="-475.54"/>
    <n v="0"/>
    <n v="28.69"/>
    <n v="0"/>
    <n v="197.25"/>
    <n v="0"/>
    <n v="3769.43"/>
    <n v="-2870.92"/>
    <n v="0"/>
    <n v="0"/>
    <n v="1259.5100000000002"/>
    <n v="0"/>
  </r>
  <r>
    <x v="11"/>
    <x v="9"/>
    <x v="0"/>
    <s v="3236501"/>
    <n v="722000"/>
    <s v="Supplies-Freight Expense"/>
    <s v="Virtual ICU"/>
    <x v="0"/>
    <m/>
    <n v="0"/>
    <n v="0"/>
    <n v="0"/>
    <n v="0"/>
    <n v="0"/>
    <n v="184.51"/>
    <n v="0"/>
    <n v="0"/>
    <n v="0"/>
    <n v="0"/>
    <n v="0"/>
    <n v="33.39"/>
    <n v="217.89999999999998"/>
    <n v="-33.39"/>
  </r>
  <r>
    <x v="12"/>
    <x v="9"/>
    <x v="0"/>
    <s v="3236501"/>
    <n v="730010"/>
    <s v="Rental and Leases-Building (DO NOT USE)"/>
    <s v="Virtual ICU"/>
    <x v="0"/>
    <m/>
    <n v="13332.36"/>
    <n v="13332.36"/>
    <n v="13332.36"/>
    <n v="13332.36"/>
    <n v="13332.36"/>
    <n v="11416.66"/>
    <n v="13031.76"/>
    <n v="13031.76"/>
    <n v="13031.76"/>
    <n v="13033.61"/>
    <n v="13044.47"/>
    <n v="0"/>
    <n v="143251.81999999998"/>
    <n v="13044.47"/>
  </r>
  <r>
    <x v="12"/>
    <x v="9"/>
    <x v="0"/>
    <s v="3236501"/>
    <n v="730010"/>
    <s v="Rental-Common Area Maint (DO NOT USE)"/>
    <s v="Virtual ICU"/>
    <x v="0"/>
    <n v="2200"/>
    <n v="0"/>
    <n v="0"/>
    <n v="0"/>
    <n v="0"/>
    <n v="0"/>
    <n v="1920.16"/>
    <n v="305.06"/>
    <n v="305.06"/>
    <n v="440.2"/>
    <n v="305.10000000000002"/>
    <n v="305.10000000000002"/>
    <n v="0"/>
    <n v="3580.68"/>
    <n v="305.10000000000002"/>
  </r>
  <r>
    <x v="12"/>
    <x v="9"/>
    <x v="0"/>
    <s v="3236501"/>
    <n v="730020"/>
    <s v="Rental and Leases-Copier Usage Fees (DO NOT USE)"/>
    <s v="Virtual ICU"/>
    <x v="0"/>
    <n v="5100"/>
    <n v="307.39999999999998"/>
    <n v="306.88"/>
    <n v="307.74"/>
    <n v="307.33999999999997"/>
    <n v="307.33999999999997"/>
    <n v="307.33999999999997"/>
    <n v="-2951.93"/>
    <n v="39.25"/>
    <n v="39.159999999999997"/>
    <n v="39.340000000000003"/>
    <n v="39.25"/>
    <n v="39.25"/>
    <n v="-911.64"/>
    <n v="0"/>
  </r>
  <r>
    <x v="12"/>
    <x v="9"/>
    <x v="0"/>
    <s v="3236501"/>
    <n v="730040"/>
    <s v="LT Lease-Real Estate"/>
    <s v="Virtual ICU"/>
    <x v="0"/>
    <m/>
    <n v="0"/>
    <n v="0"/>
    <n v="0"/>
    <n v="0"/>
    <n v="0"/>
    <n v="0"/>
    <n v="0"/>
    <n v="0"/>
    <n v="0"/>
    <n v="0"/>
    <n v="0"/>
    <n v="13664.55"/>
    <n v="13664.55"/>
    <n v="-13664.55"/>
  </r>
  <r>
    <x v="15"/>
    <x v="9"/>
    <x v="0"/>
    <s v="3236501"/>
    <n v="731060"/>
    <s v="Cell Phones"/>
    <s v="Virtual ICU"/>
    <x v="0"/>
    <n v="1001"/>
    <n v="0"/>
    <n v="305.37"/>
    <n v="295.57"/>
    <n v="60"/>
    <n v="124.57"/>
    <n v="207.87"/>
    <n v="318.24"/>
    <n v="60"/>
    <n v="131.09"/>
    <n v="319.42"/>
    <n v="127.18"/>
    <n v="399.22"/>
    <n v="2348.5299999999997"/>
    <n v="-272.04000000000002"/>
  </r>
  <r>
    <x v="15"/>
    <x v="9"/>
    <x v="0"/>
    <s v="3236501"/>
    <n v="731060"/>
    <s v="Pagers"/>
    <s v="Virtual ICU"/>
    <x v="0"/>
    <n v="1002"/>
    <n v="40.5"/>
    <n v="40.5"/>
    <n v="40.5"/>
    <n v="40.6"/>
    <n v="40.6"/>
    <n v="0"/>
    <n v="81.2"/>
    <n v="40.6"/>
    <n v="40.6"/>
    <n v="40.6"/>
    <n v="49.65"/>
    <n v="41.81"/>
    <n v="497.16"/>
    <n v="7.8399999999999963"/>
  </r>
  <r>
    <x v="15"/>
    <x v="9"/>
    <x v="0"/>
    <s v="3236501"/>
    <n v="731065"/>
    <s v="Data Communications"/>
    <s v="Virtual ICU"/>
    <x v="0"/>
    <m/>
    <n v="1142.82"/>
    <n v="1142.82"/>
    <n v="1131.5"/>
    <n v="1131.5"/>
    <n v="0"/>
    <n v="2285.86"/>
    <n v="2285.75"/>
    <n v="0"/>
    <n v="1550.82"/>
    <n v="2604.11"/>
    <n v="1148.47"/>
    <n v="1148.05"/>
    <n v="15571.699999999999"/>
    <n v="0.42000000000007276"/>
  </r>
  <r>
    <x v="16"/>
    <x v="9"/>
    <x v="0"/>
    <s v="3236501"/>
    <n v="732030"/>
    <s v="Repairs---Other"/>
    <s v="Virtual ICU"/>
    <x v="0"/>
    <m/>
    <n v="0"/>
    <n v="1148.4000000000001"/>
    <n v="0"/>
    <n v="1088.04"/>
    <n v="0"/>
    <n v="916.76"/>
    <n v="1328.37"/>
    <n v="1833.52"/>
    <n v="43.49"/>
    <n v="916.76"/>
    <n v="916.76"/>
    <n v="1833.52"/>
    <n v="10025.620000000001"/>
    <n v="-916.76"/>
  </r>
  <r>
    <x v="16"/>
    <x v="9"/>
    <x v="0"/>
    <s v="3236501"/>
    <n v="732030"/>
    <s v="Repairs&amp;Maintenance-Bldg Routine"/>
    <s v="Virtual ICU"/>
    <x v="0"/>
    <n v="2300"/>
    <n v="22.69"/>
    <n v="22.69"/>
    <n v="22.69"/>
    <n v="22.69"/>
    <n v="22.69"/>
    <n v="22.69"/>
    <n v="22.69"/>
    <n v="22.69"/>
    <n v="22.69"/>
    <n v="22.7"/>
    <n v="22.7"/>
    <n v="22.7"/>
    <n v="272.31"/>
    <n v="0"/>
  </r>
  <r>
    <x v="16"/>
    <x v="9"/>
    <x v="0"/>
    <s v="3236501"/>
    <n v="733030"/>
    <s v="Maintenance Contracts-Other"/>
    <s v="Virtual ICU"/>
    <x v="0"/>
    <m/>
    <n v="0"/>
    <n v="0"/>
    <n v="0"/>
    <n v="32.97"/>
    <n v="270"/>
    <n v="0"/>
    <n v="0"/>
    <n v="0"/>
    <n v="65"/>
    <n v="57"/>
    <n v="420.96"/>
    <n v="2949.74"/>
    <n v="3795.67"/>
    <n v="-2528.7799999999997"/>
  </r>
  <r>
    <x v="0"/>
    <x v="9"/>
    <x v="0"/>
    <s v="3236501"/>
    <n v="740010"/>
    <s v="Education-Materials"/>
    <s v="Virtual ICU"/>
    <x v="0"/>
    <m/>
    <n v="0"/>
    <n v="0"/>
    <n v="111"/>
    <n v="0"/>
    <n v="0"/>
    <n v="0"/>
    <n v="0"/>
    <n v="0"/>
    <n v="0"/>
    <n v="0"/>
    <n v="0"/>
    <n v="0"/>
    <n v="111"/>
    <n v="0"/>
  </r>
  <r>
    <x v="0"/>
    <x v="9"/>
    <x v="0"/>
    <s v="3236501"/>
    <n v="740020"/>
    <s v="Education-Registration Fees"/>
    <s v="Virtual ICU"/>
    <x v="0"/>
    <m/>
    <n v="485"/>
    <n v="150"/>
    <n v="175"/>
    <n v="695"/>
    <n v="175"/>
    <n v="0"/>
    <n v="130"/>
    <n v="0"/>
    <n v="1743.95"/>
    <n v="560"/>
    <n v="210"/>
    <n v="0"/>
    <n v="4323.95"/>
    <n v="210"/>
  </r>
  <r>
    <x v="0"/>
    <x v="9"/>
    <x v="0"/>
    <s v="3236501"/>
    <n v="740030"/>
    <s v="Education-Travel"/>
    <s v="Virtual ICU"/>
    <x v="0"/>
    <m/>
    <n v="190"/>
    <n v="0"/>
    <n v="0"/>
    <n v="0"/>
    <n v="0"/>
    <n v="0"/>
    <n v="0"/>
    <n v="0"/>
    <n v="0"/>
    <n v="0"/>
    <n v="0"/>
    <n v="0"/>
    <n v="190"/>
    <n v="0"/>
  </r>
  <r>
    <x v="0"/>
    <x v="9"/>
    <x v="0"/>
    <s v="3236501"/>
    <n v="742010"/>
    <s v="Postage-Regular"/>
    <s v="Virtual ICU"/>
    <x v="0"/>
    <m/>
    <n v="0"/>
    <n v="0"/>
    <n v="14.32"/>
    <n v="0"/>
    <n v="0"/>
    <n v="0"/>
    <n v="0"/>
    <n v="0"/>
    <n v="60.73"/>
    <n v="-60.73"/>
    <n v="0"/>
    <n v="0"/>
    <n v="14.32"/>
    <n v="0"/>
  </r>
  <r>
    <x v="0"/>
    <x v="9"/>
    <x v="0"/>
    <s v="3236501"/>
    <n v="743010"/>
    <s v="Dues--Institutional"/>
    <s v="Virtual ICU"/>
    <x v="0"/>
    <m/>
    <n v="0"/>
    <n v="0"/>
    <n v="0"/>
    <n v="0"/>
    <n v="0"/>
    <n v="0"/>
    <n v="0"/>
    <n v="0"/>
    <n v="0"/>
    <n v="800"/>
    <n v="0"/>
    <n v="0"/>
    <n v="800"/>
    <n v="0"/>
  </r>
  <r>
    <x v="0"/>
    <x v="9"/>
    <x v="0"/>
    <s v="3236501"/>
    <n v="743020"/>
    <s v="Dues--Individual"/>
    <s v="Virtual ICU"/>
    <x v="0"/>
    <m/>
    <n v="0"/>
    <n v="0"/>
    <n v="0"/>
    <n v="178"/>
    <n v="0"/>
    <n v="0"/>
    <n v="0"/>
    <n v="0"/>
    <n v="0"/>
    <n v="0"/>
    <n v="0"/>
    <n v="345"/>
    <n v="523"/>
    <n v="-345"/>
  </r>
  <r>
    <x v="0"/>
    <x v="9"/>
    <x v="0"/>
    <s v="3236501"/>
    <n v="743030"/>
    <s v="Subscriptions--Institutional"/>
    <s v="Virtual ICU"/>
    <x v="0"/>
    <m/>
    <n v="0"/>
    <n v="0"/>
    <n v="0"/>
    <n v="0"/>
    <n v="0"/>
    <n v="0"/>
    <n v="0"/>
    <n v="502.39"/>
    <n v="0"/>
    <n v="86.42"/>
    <n v="0"/>
    <n v="0"/>
    <n v="588.80999999999995"/>
    <n v="0"/>
  </r>
  <r>
    <x v="0"/>
    <x v="9"/>
    <x v="0"/>
    <s v="3236501"/>
    <n v="743040"/>
    <s v="Subscriptions--Individual"/>
    <s v="Virtual ICU"/>
    <x v="0"/>
    <m/>
    <n v="0"/>
    <n v="0"/>
    <n v="0"/>
    <n v="0"/>
    <n v="0"/>
    <n v="0"/>
    <n v="0"/>
    <n v="80"/>
    <n v="0"/>
    <n v="0"/>
    <n v="0"/>
    <n v="0"/>
    <n v="80"/>
    <n v="0"/>
  </r>
  <r>
    <x v="0"/>
    <x v="9"/>
    <x v="0"/>
    <s v="3236501"/>
    <n v="749510"/>
    <s v="Miscellaneous Expenses"/>
    <s v="Virtual ICU"/>
    <x v="0"/>
    <m/>
    <n v="2131.2199999999998"/>
    <n v="618.51"/>
    <n v="1080.43"/>
    <n v="-1064.68"/>
    <n v="668.39"/>
    <n v="-451.22"/>
    <n v="504.3"/>
    <n v="977"/>
    <n v="-841.35"/>
    <n v="210"/>
    <n v="929.4"/>
    <n v="-1139.4000000000001"/>
    <n v="3622.6"/>
    <n v="2068.8000000000002"/>
  </r>
  <r>
    <x v="0"/>
    <x v="9"/>
    <x v="0"/>
    <s v="3236501"/>
    <n v="749510"/>
    <s v="Licenses"/>
    <s v="Virtual ICU"/>
    <x v="0"/>
    <n v="1002"/>
    <n v="0"/>
    <n v="0"/>
    <n v="0"/>
    <n v="0"/>
    <n v="0"/>
    <n v="0"/>
    <n v="0"/>
    <n v="0"/>
    <n v="0"/>
    <n v="4630.7299999999996"/>
    <n v="0"/>
    <n v="0"/>
    <n v="4630.7299999999996"/>
    <n v="0"/>
  </r>
  <r>
    <x v="0"/>
    <x v="9"/>
    <x v="0"/>
    <s v="3236501"/>
    <n v="749510"/>
    <s v="RICE Rewards"/>
    <s v="Virtual ICU"/>
    <x v="0"/>
    <n v="5100"/>
    <n v="0"/>
    <n v="0"/>
    <n v="0"/>
    <n v="0"/>
    <n v="0"/>
    <n v="0"/>
    <n v="757.57"/>
    <n v="0"/>
    <n v="0"/>
    <n v="0"/>
    <n v="0"/>
    <n v="0"/>
    <n v="757.57"/>
    <n v="0"/>
  </r>
  <r>
    <x v="0"/>
    <x v="9"/>
    <x v="0"/>
    <s v="3236501"/>
    <n v="749530"/>
    <s v="Travel"/>
    <s v="Virtual ICU"/>
    <x v="0"/>
    <m/>
    <n v="0"/>
    <n v="0"/>
    <n v="0"/>
    <n v="10"/>
    <n v="5"/>
    <n v="0"/>
    <n v="5"/>
    <n v="1677.13"/>
    <n v="546.32000000000005"/>
    <n v="2049.61"/>
    <n v="1069.8900000000001"/>
    <n v="1881.53"/>
    <n v="7244.4800000000005"/>
    <n v="-811.63999999999987"/>
  </r>
  <r>
    <x v="0"/>
    <x v="9"/>
    <x v="0"/>
    <s v="3236501"/>
    <n v="749530"/>
    <s v="Mileage"/>
    <s v="Virtual ICU"/>
    <x v="0"/>
    <n v="1001"/>
    <n v="392.44"/>
    <n v="981.6"/>
    <n v="1028.51"/>
    <n v="1067.73"/>
    <n v="520.51"/>
    <n v="1079.69"/>
    <n v="616.1"/>
    <n v="661.78"/>
    <n v="352.06"/>
    <n v="973.82"/>
    <n v="574.20000000000005"/>
    <n v="568.98"/>
    <n v="8817.42"/>
    <n v="5.2200000000000273"/>
  </r>
  <r>
    <x v="0"/>
    <x v="9"/>
    <x v="0"/>
    <s v="3236501"/>
    <n v="749535"/>
    <s v="Meetings"/>
    <s v="Virtual ICU"/>
    <x v="0"/>
    <m/>
    <n v="0"/>
    <n v="0"/>
    <n v="2114.6"/>
    <n v="555.21"/>
    <n v="114.71"/>
    <n v="0"/>
    <n v="322.54000000000002"/>
    <n v="629.74"/>
    <n v="646.42999999999995"/>
    <n v="253.44"/>
    <n v="132.97"/>
    <n v="2078.27"/>
    <n v="6847.91"/>
    <n v="-1945.3"/>
  </r>
  <r>
    <x v="0"/>
    <x v="9"/>
    <x v="0"/>
    <s v="3236501"/>
    <n v="749535"/>
    <s v="Medicare Non-Allowable Beverages"/>
    <s v="Virtual ICU"/>
    <x v="0"/>
    <n v="1005"/>
    <n v="0"/>
    <n v="0"/>
    <n v="0"/>
    <n v="0"/>
    <n v="0"/>
    <n v="0"/>
    <n v="0"/>
    <n v="0"/>
    <n v="0"/>
    <n v="0"/>
    <n v="25"/>
    <n v="0"/>
    <n v="25"/>
    <n v="25"/>
  </r>
  <r>
    <x v="18"/>
    <x v="3"/>
    <x v="0"/>
    <s v="3240101"/>
    <n v="400010"/>
    <s v="Acute I/P Svcs Rev--Medicare"/>
    <s v="IV Therapy"/>
    <x v="0"/>
    <n v="1100"/>
    <n v="-591324.71"/>
    <n v="-505232.02"/>
    <n v="-499336.76"/>
    <n v="-528110.61"/>
    <n v="-532549"/>
    <n v="-519679.37"/>
    <n v="-550909.39"/>
    <n v="-521350.95"/>
    <n v="-609281.68000000005"/>
    <n v="-617363.97"/>
    <n v="-705270.15"/>
    <n v="-602556.5"/>
    <n v="-6782965.1100000003"/>
    <n v="-102713.65000000002"/>
  </r>
  <r>
    <x v="18"/>
    <x v="3"/>
    <x v="0"/>
    <s v="3240101"/>
    <n v="400010"/>
    <s v="Acute I/P Svcs Rev--Medicaid"/>
    <s v="IV Therapy"/>
    <x v="0"/>
    <n v="1200"/>
    <n v="-272253.40000000002"/>
    <n v="-198456.12"/>
    <n v="-241728.07"/>
    <n v="-177618.79"/>
    <n v="-203366.66"/>
    <n v="-242827.36"/>
    <n v="-257674"/>
    <n v="-257277.64"/>
    <n v="-267030.53000000003"/>
    <n v="-236814.87"/>
    <n v="-293636.38"/>
    <n v="-240605.48"/>
    <n v="-2889289.3000000003"/>
    <n v="-53030.899999999994"/>
  </r>
  <r>
    <x v="18"/>
    <x v="3"/>
    <x v="0"/>
    <s v="3240101"/>
    <n v="400010"/>
    <s v="Acute I/P Svcs Rev--Comm Insurance"/>
    <s v="IV Therapy"/>
    <x v="0"/>
    <n v="1300"/>
    <n v="-35210.65"/>
    <n v="10606.52"/>
    <n v="-5203.24"/>
    <n v="-18531.689999999999"/>
    <n v="3385.58"/>
    <n v="-14480.15"/>
    <n v="-13883.52"/>
    <n v="-5808.96"/>
    <n v="-9603.8700000000008"/>
    <n v="-3843.63"/>
    <n v="-17697.060000000001"/>
    <n v="-36335.11"/>
    <n v="-146605.78"/>
    <n v="18638.05"/>
  </r>
  <r>
    <x v="18"/>
    <x v="3"/>
    <x v="0"/>
    <s v="3240101"/>
    <n v="400010"/>
    <s v="Acute I/P Svcs Rev--BCBS Comm"/>
    <s v="IV Therapy"/>
    <x v="0"/>
    <n v="1301"/>
    <n v="-22242.63"/>
    <n v="-44685.53"/>
    <n v="-16378.08"/>
    <n v="-22621.82"/>
    <n v="-18822.04"/>
    <n v="-40516.239999999998"/>
    <n v="-28277.15"/>
    <n v="-27151.81"/>
    <n v="-27881.9"/>
    <n v="-41484.879999999997"/>
    <n v="-33664.47"/>
    <n v="-30342.19"/>
    <n v="-354068.73999999993"/>
    <n v="-3322.2800000000025"/>
  </r>
  <r>
    <x v="18"/>
    <x v="3"/>
    <x v="0"/>
    <s v="3240101"/>
    <n v="400010"/>
    <s v="Acute I/P Svcs Rev--Managed Care"/>
    <s v="IV Therapy"/>
    <x v="0"/>
    <n v="1400"/>
    <n v="-148052.35"/>
    <n v="-194137.34"/>
    <n v="-166170.42000000001"/>
    <n v="-120970.63"/>
    <n v="-99382.07"/>
    <n v="-140511.99"/>
    <n v="-179295.56"/>
    <n v="-143967.59"/>
    <n v="-149981.47"/>
    <n v="-105240.95"/>
    <n v="-127123.54"/>
    <n v="-132210.53"/>
    <n v="-1707044.4400000002"/>
    <n v="5086.9900000000052"/>
  </r>
  <r>
    <x v="18"/>
    <x v="3"/>
    <x v="0"/>
    <s v="3240101"/>
    <n v="400010"/>
    <s v="Acute I/P Svcs Rev--Self Pay"/>
    <s v="IV Therapy"/>
    <x v="0"/>
    <n v="1500"/>
    <n v="-16606.52"/>
    <n v="-15624.07"/>
    <n v="-31899.22"/>
    <n v="17788.36"/>
    <n v="-9228.9"/>
    <n v="-3642.49"/>
    <n v="-13236.99"/>
    <n v="9033.75"/>
    <n v="-27766.71"/>
    <n v="-19142.939999999999"/>
    <n v="5902.4"/>
    <n v="2993.97"/>
    <n v="-101429.36000000002"/>
    <n v="2908.43"/>
  </r>
  <r>
    <x v="18"/>
    <x v="3"/>
    <x v="0"/>
    <s v="3240101"/>
    <n v="400010"/>
    <s v="Acute I/P Svcs Rev--Other"/>
    <s v="IV Therapy"/>
    <x v="0"/>
    <n v="1700"/>
    <n v="-16871.62"/>
    <n v="-39066.85"/>
    <n v="-28417.22"/>
    <n v="-24878.9"/>
    <n v="-21107.5"/>
    <n v="-34134.720000000001"/>
    <n v="-19216.86"/>
    <n v="-32055.81"/>
    <n v="-39423.93"/>
    <n v="-29184.21"/>
    <n v="-33515.67"/>
    <n v="-19091.73"/>
    <n v="-336965.01999999996"/>
    <n v="-14423.939999999999"/>
  </r>
  <r>
    <x v="19"/>
    <x v="3"/>
    <x v="0"/>
    <s v="3240101"/>
    <n v="400020"/>
    <s v="O/P Care Svcs Rev--Medicare"/>
    <s v="IV Therapy"/>
    <x v="0"/>
    <n v="1100"/>
    <n v="-20994.9"/>
    <n v="-46391.33"/>
    <n v="-20837.91"/>
    <n v="-32946.28"/>
    <n v="-19527.73"/>
    <n v="-12789.77"/>
    <n v="-19080.82"/>
    <n v="-2335.36"/>
    <n v="-15657.9"/>
    <n v="-20785.53"/>
    <n v="-22134.63"/>
    <n v="-8116.82"/>
    <n v="-241598.98"/>
    <n v="-14017.810000000001"/>
  </r>
  <r>
    <x v="19"/>
    <x v="3"/>
    <x v="0"/>
    <s v="3240101"/>
    <n v="400020"/>
    <s v="O/P Care Svcs Rev--Medicaid"/>
    <s v="IV Therapy"/>
    <x v="0"/>
    <n v="1200"/>
    <n v="-14613.47"/>
    <n v="-6513.37"/>
    <n v="-25547.06"/>
    <n v="-20480.75"/>
    <n v="-12562.98"/>
    <n v="-9685.0499999999993"/>
    <n v="-17696.75"/>
    <n v="-5622.74"/>
    <n v="-8006.17"/>
    <n v="-11007.57"/>
    <n v="-3982.22"/>
    <n v="-6924.86"/>
    <n v="-142642.99"/>
    <n v="2942.64"/>
  </r>
  <r>
    <x v="19"/>
    <x v="3"/>
    <x v="0"/>
    <s v="3240101"/>
    <n v="400020"/>
    <s v="O/P Care Svcs Rev--Comm Insurance"/>
    <s v="IV Therapy"/>
    <x v="0"/>
    <n v="1300"/>
    <n v="-86.15"/>
    <n v="0"/>
    <n v="-8453.66"/>
    <n v="0"/>
    <n v="0"/>
    <n v="-1157.54"/>
    <n v="0"/>
    <n v="0"/>
    <n v="0"/>
    <n v="0"/>
    <n v="0"/>
    <n v="-657.49"/>
    <n v="-10354.839999999998"/>
    <n v="657.49"/>
  </r>
  <r>
    <x v="19"/>
    <x v="3"/>
    <x v="0"/>
    <s v="3240101"/>
    <n v="400020"/>
    <s v="O/P Care Svcs Rev--BCBS Comm"/>
    <s v="IV Therapy"/>
    <x v="0"/>
    <n v="1301"/>
    <n v="0"/>
    <n v="0"/>
    <n v="0"/>
    <n v="-86.15"/>
    <n v="0"/>
    <n v="-37.18"/>
    <n v="-86.15"/>
    <n v="-86.15"/>
    <n v="0"/>
    <n v="-6672.51"/>
    <n v="5185.2299999999996"/>
    <n v="-1207.6400000000001"/>
    <n v="-2990.5500000000011"/>
    <n v="6392.87"/>
  </r>
  <r>
    <x v="19"/>
    <x v="3"/>
    <x v="0"/>
    <s v="3240101"/>
    <n v="400020"/>
    <s v="O/P Care Svcs Rev--Managed Care"/>
    <s v="IV Therapy"/>
    <x v="0"/>
    <n v="1400"/>
    <n v="-4529.28"/>
    <n v="-10467.36"/>
    <n v="0"/>
    <n v="-1765.4"/>
    <n v="-5574.13"/>
    <n v="-4220.01"/>
    <n v="-8039.86"/>
    <n v="721.98"/>
    <n v="-743.64"/>
    <n v="-6876.21"/>
    <n v="-2124.08"/>
    <n v="-129.19999999999999"/>
    <n v="-43747.189999999995"/>
    <n v="-1994.8799999999999"/>
  </r>
  <r>
    <x v="19"/>
    <x v="3"/>
    <x v="0"/>
    <s v="3240101"/>
    <n v="400020"/>
    <s v="O/P Care Svcs Rev--Self Pay"/>
    <s v="IV Therapy"/>
    <x v="0"/>
    <n v="1500"/>
    <n v="0"/>
    <n v="-4226.83"/>
    <n v="3504.85"/>
    <n v="0"/>
    <n v="0"/>
    <n v="-1443.96"/>
    <n v="0"/>
    <n v="0"/>
    <n v="0"/>
    <n v="-4901.7299999999996"/>
    <n v="0"/>
    <n v="-3671.74"/>
    <n v="-10739.41"/>
    <n v="3671.74"/>
  </r>
  <r>
    <x v="19"/>
    <x v="3"/>
    <x v="0"/>
    <s v="3240101"/>
    <n v="400020"/>
    <s v="O/P Care Svcs Rev--Other"/>
    <s v="IV Therapy"/>
    <x v="0"/>
    <n v="1700"/>
    <n v="-2809.69"/>
    <n v="-721.98"/>
    <n v="-4379.8"/>
    <n v="0"/>
    <n v="-14567.21"/>
    <n v="-8337.69"/>
    <n v="0"/>
    <n v="-8518.94"/>
    <n v="4443.13"/>
    <n v="3898.19"/>
    <n v="0"/>
    <n v="-743.64"/>
    <n v="-31737.630000000008"/>
    <n v="743.64"/>
  </r>
  <r>
    <x v="14"/>
    <x v="3"/>
    <x v="0"/>
    <s v="3240101"/>
    <n v="600050"/>
    <s v="Miscellaneous Revenue"/>
    <s v="IV Therapy"/>
    <x v="0"/>
    <m/>
    <n v="0"/>
    <n v="0"/>
    <n v="0"/>
    <n v="0"/>
    <n v="0"/>
    <n v="0"/>
    <n v="0"/>
    <n v="0"/>
    <n v="0"/>
    <n v="0"/>
    <n v="-3133.34"/>
    <n v="0"/>
    <n v="-3133.34"/>
    <n v="-3133.34"/>
  </r>
  <r>
    <x v="5"/>
    <x v="3"/>
    <x v="0"/>
    <s v="3240101"/>
    <n v="700026"/>
    <s v="Salaries-RN-Productive"/>
    <s v="IV Therapy"/>
    <x v="0"/>
    <m/>
    <n v="109304.65"/>
    <n v="100784.71"/>
    <n v="107544.82"/>
    <n v="102221.63"/>
    <n v="103351.36"/>
    <n v="110974.17"/>
    <n v="109216.7"/>
    <n v="93611.81"/>
    <n v="104502.39"/>
    <n v="108730.52"/>
    <n v="108273.35"/>
    <n v="91207.44"/>
    <n v="1249723.5499999998"/>
    <n v="17065.910000000003"/>
  </r>
  <r>
    <x v="5"/>
    <x v="3"/>
    <x v="0"/>
    <s v="3240101"/>
    <n v="700026"/>
    <s v="Salaries-RN-OT"/>
    <s v="IV Therapy"/>
    <x v="0"/>
    <n v="1000"/>
    <n v="686.3"/>
    <n v="1214.6099999999999"/>
    <n v="612.47"/>
    <n v="-520.85"/>
    <n v="943.18"/>
    <n v="1278.26"/>
    <n v="646.37"/>
    <n v="922.04"/>
    <n v="3557.46"/>
    <n v="-702.48"/>
    <n v="583.16999999999996"/>
    <n v="2025.44"/>
    <n v="11245.970000000001"/>
    <n v="-1442.27"/>
  </r>
  <r>
    <x v="5"/>
    <x v="3"/>
    <x v="0"/>
    <s v="3240101"/>
    <n v="700026"/>
    <s v="Salaries-RN-Other"/>
    <s v="IV Therapy"/>
    <x v="0"/>
    <n v="2000"/>
    <n v="8051.48"/>
    <n v="7280.18"/>
    <n v="7760.93"/>
    <n v="8841.82"/>
    <n v="7499.14"/>
    <n v="7929.43"/>
    <n v="8392.14"/>
    <n v="7192.09"/>
    <n v="9470.5400000000009"/>
    <n v="8425.24"/>
    <n v="7803.03"/>
    <n v="6589.26"/>
    <n v="95235.28"/>
    <n v="1213.7699999999995"/>
  </r>
  <r>
    <x v="5"/>
    <x v="3"/>
    <x v="0"/>
    <s v="3240101"/>
    <n v="700054"/>
    <s v="Salaries-Management-NonProd-Other"/>
    <s v="IV Therapy"/>
    <x v="0"/>
    <n v="2000"/>
    <n v="0"/>
    <n v="0"/>
    <n v="0"/>
    <n v="0"/>
    <n v="0"/>
    <n v="8838.7000000000007"/>
    <n v="-8838.7000000000007"/>
    <n v="0"/>
    <n v="0"/>
    <n v="0"/>
    <n v="0"/>
    <n v="0"/>
    <n v="0"/>
    <n v="0"/>
  </r>
  <r>
    <x v="5"/>
    <x v="3"/>
    <x v="0"/>
    <s v="3240101"/>
    <n v="700066"/>
    <s v="Salaries-RN-Non-productive"/>
    <s v="IV Therapy"/>
    <x v="0"/>
    <m/>
    <n v="11390.96"/>
    <n v="20987.99"/>
    <n v="19994.34"/>
    <n v="17090.02"/>
    <n v="9258.24"/>
    <n v="19984.68"/>
    <n v="17146.61"/>
    <n v="14407"/>
    <n v="9454.3799999999992"/>
    <n v="11860.06"/>
    <n v="4660.08"/>
    <n v="23113.13"/>
    <n v="179347.49"/>
    <n v="-18453.050000000003"/>
  </r>
  <r>
    <x v="5"/>
    <x v="3"/>
    <x v="0"/>
    <s v="3240101"/>
    <n v="700066"/>
    <s v="Salaries-RN-NonProd-Other"/>
    <s v="IV Therapy"/>
    <x v="0"/>
    <n v="2000"/>
    <n v="527.97"/>
    <n v="1281.71"/>
    <n v="1070.7"/>
    <n v="422.62"/>
    <n v="912.02"/>
    <n v="1224.6099999999999"/>
    <n v="844.94"/>
    <n v="2008.29"/>
    <n v="348.79"/>
    <n v="789.18"/>
    <n v="244.42"/>
    <n v="1549.83"/>
    <n v="11225.080000000002"/>
    <n v="-1305.4099999999999"/>
  </r>
  <r>
    <x v="5"/>
    <x v="3"/>
    <x v="0"/>
    <s v="3240101"/>
    <n v="700084"/>
    <s v="Accrued PTO"/>
    <s v="IV Therapy"/>
    <x v="0"/>
    <m/>
    <n v="2363.7399999999998"/>
    <n v="-6349.21"/>
    <n v="-897.43"/>
    <n v="395.21"/>
    <n v="2441.1799999999998"/>
    <n v="2511.98"/>
    <n v="2074.63"/>
    <n v="2221.66"/>
    <n v="3497.28"/>
    <n v="1650.79"/>
    <n v="7844.71"/>
    <n v="-6301.46"/>
    <n v="11453.079999999998"/>
    <n v="14146.17"/>
  </r>
  <r>
    <x v="6"/>
    <x v="3"/>
    <x v="0"/>
    <s v="3240101"/>
    <n v="713010"/>
    <s v="Benefits-FICA/Medicare"/>
    <s v="IV Therapy"/>
    <x v="0"/>
    <m/>
    <n v="9613.5"/>
    <n v="9709.99"/>
    <n v="9237.91"/>
    <n v="8921.56"/>
    <n v="8415.74"/>
    <n v="10709.25"/>
    <n v="10822.77"/>
    <n v="10558.96"/>
    <n v="9450.2800000000007"/>
    <n v="9653.7199999999993"/>
    <n v="8965.58"/>
    <n v="9384.92"/>
    <n v="115444.18"/>
    <n v="-419.34000000000015"/>
  </r>
  <r>
    <x v="6"/>
    <x v="3"/>
    <x v="0"/>
    <s v="3240101"/>
    <n v="713090"/>
    <s v="Benefits-Allocated Amounts"/>
    <s v="IV Therapy"/>
    <x v="0"/>
    <m/>
    <n v="21912.39"/>
    <n v="20169.03"/>
    <n v="23019.29"/>
    <n v="20770.419999999998"/>
    <n v="20316.71"/>
    <n v="23026.41"/>
    <n v="22957.3"/>
    <n v="20961.93"/>
    <n v="17944.09"/>
    <n v="22296.01"/>
    <n v="22685.439999999999"/>
    <n v="21283.35"/>
    <n v="257342.37"/>
    <n v="1402.0900000000001"/>
  </r>
  <r>
    <x v="7"/>
    <x v="3"/>
    <x v="0"/>
    <s v="3240101"/>
    <n v="718050"/>
    <s v="Document Shredding/Storage"/>
    <s v="IV Therapy"/>
    <x v="0"/>
    <n v="1012"/>
    <n v="0.87"/>
    <n v="0.85"/>
    <n v="0.82"/>
    <n v="0.84"/>
    <n v="0.86"/>
    <n v="0.86"/>
    <n v="1.85"/>
    <n v="-0.25"/>
    <n v="1.71"/>
    <n v="0.04"/>
    <n v="0.84"/>
    <n v="0.86"/>
    <n v="10.149999999999999"/>
    <n v="-2.0000000000000018E-2"/>
  </r>
  <r>
    <x v="11"/>
    <x v="3"/>
    <x v="0"/>
    <s v="3240101"/>
    <n v="721010"/>
    <s v="Supplies-Medical - Billable"/>
    <s v="IV Therapy"/>
    <x v="0"/>
    <m/>
    <n v="7179.02"/>
    <n v="7366.94"/>
    <n v="2811.38"/>
    <n v="2811.93"/>
    <n v="2235.7199999999998"/>
    <n v="2827.53"/>
    <n v="3729.49"/>
    <n v="2921.86"/>
    <n v="3634.64"/>
    <n v="3087.17"/>
    <n v="3261.06"/>
    <n v="3213.77"/>
    <n v="45080.509999999995"/>
    <n v="47.289999999999964"/>
  </r>
  <r>
    <x v="11"/>
    <x v="3"/>
    <x v="0"/>
    <s v="3240101"/>
    <n v="721020"/>
    <s v="Supplies-Surgical - Billable"/>
    <s v="IV Therapy"/>
    <x v="0"/>
    <m/>
    <n v="581.89"/>
    <n v="604.79999999999995"/>
    <n v="529.20000000000005"/>
    <n v="831.6"/>
    <n v="302.39999999999998"/>
    <n v="226.8"/>
    <n v="831.6"/>
    <n v="441"/>
    <n v="907.2"/>
    <n v="907.2"/>
    <n v="2003.6"/>
    <n v="831.6"/>
    <n v="8998.8900000000012"/>
    <n v="1172"/>
  </r>
  <r>
    <x v="11"/>
    <x v="3"/>
    <x v="0"/>
    <s v="3240101"/>
    <n v="721020"/>
    <s v="Custom Packs"/>
    <s v="IV Therapy"/>
    <x v="0"/>
    <n v="1000"/>
    <n v="0"/>
    <n v="1390.2"/>
    <n v="4951.76"/>
    <n v="4316.24"/>
    <n v="3680.72"/>
    <n v="3852.84"/>
    <n v="4501.6000000000004"/>
    <n v="3641"/>
    <n v="4157.3599999999997"/>
    <n v="4210.32"/>
    <n v="3627.76"/>
    <n v="3627.76"/>
    <n v="41957.560000000005"/>
    <n v="0"/>
  </r>
  <r>
    <x v="11"/>
    <x v="3"/>
    <x v="0"/>
    <s v="3240101"/>
    <n v="721050"/>
    <s v="Supplies-Cardiac Rhythm - Billable"/>
    <s v="IV Therapy"/>
    <x v="0"/>
    <m/>
    <n v="390"/>
    <n v="458.84"/>
    <n v="1207.56"/>
    <n v="351"/>
    <n v="399.73"/>
    <n v="1051.7"/>
    <n v="727.98"/>
    <n v="117"/>
    <n v="571.15"/>
    <n v="1038.6400000000001"/>
    <n v="156"/>
    <n v="689.55"/>
    <n v="7159.15"/>
    <n v="-533.54999999999995"/>
  </r>
  <r>
    <x v="11"/>
    <x v="3"/>
    <x v="0"/>
    <s v="3240101"/>
    <n v="721240"/>
    <s v="Supplies-IV Solutions/Supplies - Billable"/>
    <s v="IV Therapy"/>
    <x v="0"/>
    <m/>
    <n v="67119.850000000006"/>
    <n v="71485.2"/>
    <n v="63992.27"/>
    <n v="66622.789999999994"/>
    <n v="65329.8"/>
    <n v="82409.37"/>
    <n v="75975.08"/>
    <n v="73620.100000000006"/>
    <n v="78237.05"/>
    <n v="73397.89"/>
    <n v="65877.149999999994"/>
    <n v="79541.570000000007"/>
    <n v="863608.12000000011"/>
    <n v="-13664.420000000013"/>
  </r>
  <r>
    <x v="11"/>
    <x v="3"/>
    <x v="0"/>
    <s v="3240101"/>
    <n v="721410"/>
    <s v="Supplies-Medical - Nonbillable"/>
    <s v="IV Therapy"/>
    <x v="0"/>
    <m/>
    <n v="1720.73"/>
    <n v="2128.98"/>
    <n v="1770.84"/>
    <n v="1734.1"/>
    <n v="1618.68"/>
    <n v="1685.13"/>
    <n v="1789.96"/>
    <n v="1495.47"/>
    <n v="1823.83"/>
    <n v="-4438.26"/>
    <n v="1627.38"/>
    <n v="1794.18"/>
    <n v="14751.019999999997"/>
    <n v="-166.79999999999995"/>
  </r>
  <r>
    <x v="11"/>
    <x v="3"/>
    <x v="0"/>
    <s v="3240101"/>
    <n v="721640"/>
    <s v="Supplies-IV Solutions/Supplies - Nonbillable"/>
    <s v="IV Therapy"/>
    <x v="0"/>
    <m/>
    <n v="693"/>
    <n v="693"/>
    <n v="620.5"/>
    <n v="620.5"/>
    <n v="506.22"/>
    <n v="630"/>
    <n v="715"/>
    <n v="526"/>
    <n v="728.44"/>
    <n v="567"/>
    <n v="630"/>
    <n v="557.5"/>
    <n v="7487.16"/>
    <n v="72.5"/>
  </r>
  <r>
    <x v="11"/>
    <x v="3"/>
    <x v="0"/>
    <s v="3240101"/>
    <n v="721750"/>
    <s v="Supplies-Film/Radiographic - Nonbillable"/>
    <s v="IV Therapy"/>
    <x v="0"/>
    <m/>
    <n v="10.31"/>
    <n v="4.6900000000000004"/>
    <n v="11.26"/>
    <n v="11.24"/>
    <n v="3.74"/>
    <n v="6.57"/>
    <n v="18.739999999999998"/>
    <n v="10.3"/>
    <n v="9.36"/>
    <n v="4.7"/>
    <n v="8.44"/>
    <n v="13.12"/>
    <n v="112.47"/>
    <n v="-4.68"/>
  </r>
  <r>
    <x v="11"/>
    <x v="3"/>
    <x v="0"/>
    <s v="3240101"/>
    <n v="721810"/>
    <s v="Supplies-Dietary/Cafeteria"/>
    <s v="IV Therapy"/>
    <x v="0"/>
    <m/>
    <n v="0"/>
    <n v="0"/>
    <n v="0"/>
    <n v="0"/>
    <n v="0"/>
    <n v="0"/>
    <n v="0"/>
    <n v="23.6"/>
    <n v="0"/>
    <n v="0"/>
    <n v="0"/>
    <n v="0"/>
    <n v="23.6"/>
    <n v="0"/>
  </r>
  <r>
    <x v="11"/>
    <x v="3"/>
    <x v="0"/>
    <s v="3240101"/>
    <n v="721830"/>
    <s v="Supplies-Office"/>
    <s v="IV Therapy"/>
    <x v="0"/>
    <m/>
    <n v="42.97"/>
    <n v="0"/>
    <n v="0"/>
    <n v="0"/>
    <n v="0"/>
    <n v="575.96"/>
    <n v="200"/>
    <n v="-211.28"/>
    <n v="0"/>
    <n v="0"/>
    <n v="0"/>
    <n v="0"/>
    <n v="607.65000000000009"/>
    <n v="0"/>
  </r>
  <r>
    <x v="11"/>
    <x v="3"/>
    <x v="0"/>
    <s v="3240101"/>
    <n v="721835"/>
    <s v="Supplies-Forms"/>
    <s v="IV Therapy"/>
    <x v="0"/>
    <m/>
    <n v="0"/>
    <n v="0"/>
    <n v="0"/>
    <n v="0"/>
    <n v="60.75"/>
    <n v="0"/>
    <n v="51.38"/>
    <n v="0"/>
    <n v="0"/>
    <n v="0"/>
    <n v="0"/>
    <n v="0"/>
    <n v="112.13"/>
    <n v="0"/>
  </r>
  <r>
    <x v="11"/>
    <x v="3"/>
    <x v="0"/>
    <s v="3240101"/>
    <n v="721870"/>
    <s v="Supplies-Environmental Services"/>
    <s v="IV Therapy"/>
    <x v="0"/>
    <m/>
    <n v="38.4"/>
    <n v="38.4"/>
    <n v="28.8"/>
    <n v="53.67"/>
    <n v="38.4"/>
    <n v="43.2"/>
    <n v="38.4"/>
    <n v="33.6"/>
    <n v="94.7"/>
    <n v="43.2"/>
    <n v="52.8"/>
    <n v="52.8"/>
    <n v="556.37"/>
    <n v="0"/>
  </r>
  <r>
    <x v="11"/>
    <x v="3"/>
    <x v="0"/>
    <s v="3240101"/>
    <n v="721910"/>
    <s v="Supplies-Small Equipment"/>
    <s v="IV Therapy"/>
    <x v="0"/>
    <m/>
    <n v="0"/>
    <n v="0"/>
    <n v="0"/>
    <n v="4.08"/>
    <n v="0"/>
    <n v="0"/>
    <n v="0"/>
    <n v="0"/>
    <n v="1.36"/>
    <n v="0"/>
    <n v="0"/>
    <n v="0"/>
    <n v="5.44"/>
    <n v="0"/>
  </r>
  <r>
    <x v="11"/>
    <x v="3"/>
    <x v="0"/>
    <s v="3240101"/>
    <n v="721980"/>
    <s v="Supplies-Other"/>
    <s v="IV Therapy"/>
    <x v="0"/>
    <m/>
    <n v="31.13"/>
    <n v="107.34"/>
    <n v="295.95999999999998"/>
    <n v="49.57"/>
    <n v="185.06"/>
    <n v="0"/>
    <n v="191.67"/>
    <n v="86.75"/>
    <n v="3462.67"/>
    <n v="-182.52"/>
    <n v="80.180000000000007"/>
    <n v="92.61"/>
    <n v="4400.4199999999992"/>
    <n v="-12.429999999999993"/>
  </r>
  <r>
    <x v="11"/>
    <x v="3"/>
    <x v="0"/>
    <s v="3240101"/>
    <n v="722000"/>
    <s v="Supplies-Freight Expense"/>
    <s v="IV Therapy"/>
    <x v="0"/>
    <m/>
    <n v="71.97"/>
    <n v="234.76"/>
    <n v="86.94"/>
    <n v="50.27"/>
    <n v="15.99"/>
    <n v="58.44"/>
    <n v="141.22"/>
    <n v="60.85"/>
    <n v="80.95"/>
    <n v="222.74"/>
    <n v="24.4"/>
    <n v="16.54"/>
    <n v="1065.0700000000002"/>
    <n v="7.8599999999999994"/>
  </r>
  <r>
    <x v="12"/>
    <x v="3"/>
    <x v="0"/>
    <s v="3240101"/>
    <n v="730020"/>
    <s v="Rental and Leases-Copier Usage Fees (DO NOT USE)"/>
    <s v="IV Therapy"/>
    <x v="0"/>
    <n v="5100"/>
    <n v="33.119999999999997"/>
    <n v="33.979999999999997"/>
    <n v="33.549999999999997"/>
    <n v="33.549999999999997"/>
    <n v="33.549999999999997"/>
    <n v="33.549999999999997"/>
    <n v="81.06"/>
    <n v="35.67"/>
    <n v="35.590000000000003"/>
    <n v="35.75"/>
    <n v="35.67"/>
    <n v="43.08"/>
    <n v="468.12"/>
    <n v="-7.4099999999999966"/>
  </r>
  <r>
    <x v="15"/>
    <x v="3"/>
    <x v="0"/>
    <s v="3240101"/>
    <n v="731060"/>
    <s v="Pagers"/>
    <s v="IV Therapy"/>
    <x v="0"/>
    <n v="1002"/>
    <n v="57.91"/>
    <n v="57.91"/>
    <n v="57.91"/>
    <n v="58.05"/>
    <n v="58.05"/>
    <n v="0"/>
    <n v="127.39"/>
    <n v="49.93"/>
    <n v="49.93"/>
    <n v="49.93"/>
    <n v="49.93"/>
    <n v="49.93"/>
    <n v="666.86999999999978"/>
    <n v="0"/>
  </r>
  <r>
    <x v="13"/>
    <x v="3"/>
    <x v="0"/>
    <s v="3240101"/>
    <n v="735070"/>
    <s v="Depreciation-Movable Equipment"/>
    <s v="IV Therapy"/>
    <x v="0"/>
    <m/>
    <n v="1610.76"/>
    <n v="1610.76"/>
    <n v="1610.75"/>
    <n v="1491.22"/>
    <n v="1491.22"/>
    <n v="1491.22"/>
    <n v="1491.22"/>
    <n v="1821.43"/>
    <n v="1821.45"/>
    <n v="4478.8100000000004"/>
    <n v="5714.99"/>
    <n v="4321.6000000000004"/>
    <n v="28955.43"/>
    <n v="1393.3899999999994"/>
  </r>
  <r>
    <x v="0"/>
    <x v="3"/>
    <x v="0"/>
    <s v="3240101"/>
    <n v="743030"/>
    <s v="Subscriptions--Institutional"/>
    <s v="IV Therapy"/>
    <x v="0"/>
    <m/>
    <n v="0"/>
    <n v="405.05"/>
    <n v="0"/>
    <n v="0"/>
    <n v="0"/>
    <n v="0"/>
    <n v="0"/>
    <n v="0"/>
    <n v="0"/>
    <n v="0"/>
    <n v="0"/>
    <n v="0"/>
    <n v="405.05"/>
    <n v="0"/>
  </r>
  <r>
    <x v="0"/>
    <x v="3"/>
    <x v="0"/>
    <s v="3240101"/>
    <n v="749510"/>
    <s v="Miscellaneous Expenses"/>
    <s v="IV Therapy"/>
    <x v="0"/>
    <m/>
    <n v="50"/>
    <n v="-50"/>
    <n v="0"/>
    <n v="2500"/>
    <n v="0"/>
    <n v="0"/>
    <n v="390.51"/>
    <n v="0"/>
    <n v="71.84"/>
    <n v="0"/>
    <n v="0"/>
    <n v="0"/>
    <n v="2962.3500000000004"/>
    <n v="0"/>
  </r>
  <r>
    <x v="18"/>
    <x v="0"/>
    <x v="0"/>
    <s v="3240102"/>
    <n v="400010"/>
    <s v="Acute I/P Svcs Rev--Medicare"/>
    <s v="IV Therapy"/>
    <x v="0"/>
    <n v="1100"/>
    <n v="-165339.57"/>
    <n v="-185298.09"/>
    <n v="-209066.5"/>
    <n v="-255731.19"/>
    <n v="-238954.77"/>
    <n v="-201877.71"/>
    <n v="-194573.87"/>
    <n v="-145902.5"/>
    <n v="-202036.1"/>
    <n v="-179316.56"/>
    <n v="-163387.12"/>
    <n v="-212177.85"/>
    <n v="-2353661.8300000005"/>
    <n v="48790.73000000001"/>
  </r>
  <r>
    <x v="18"/>
    <x v="0"/>
    <x v="0"/>
    <s v="3240102"/>
    <n v="400010"/>
    <s v="Acute I/P Svcs Rev--Medicaid"/>
    <s v="IV Therapy"/>
    <x v="0"/>
    <n v="1200"/>
    <n v="-59471.59"/>
    <n v="-127322.59"/>
    <n v="-99890.47"/>
    <n v="-82464.149999999994"/>
    <n v="-52147.64"/>
    <n v="-89667"/>
    <n v="-113553.1"/>
    <n v="-67983.570000000007"/>
    <n v="-67253.73"/>
    <n v="-67317.39"/>
    <n v="-94359.79"/>
    <n v="-101066.71"/>
    <n v="-1022497.7300000001"/>
    <n v="6706.9200000000128"/>
  </r>
  <r>
    <x v="18"/>
    <x v="0"/>
    <x v="0"/>
    <s v="3240102"/>
    <n v="400010"/>
    <s v="Acute I/P Svcs Rev--Comm Insurance"/>
    <s v="IV Therapy"/>
    <x v="0"/>
    <n v="1300"/>
    <n v="11774.2"/>
    <n v="0"/>
    <n v="0"/>
    <n v="-172.3"/>
    <n v="-13977.6"/>
    <n v="8995.39"/>
    <n v="-10951.28"/>
    <n v="-4033.64"/>
    <n v="-11167.71"/>
    <n v="-447.42"/>
    <n v="-16900.14"/>
    <n v="5876.63"/>
    <n v="-31003.87"/>
    <n v="-22776.77"/>
  </r>
  <r>
    <x v="18"/>
    <x v="0"/>
    <x v="0"/>
    <s v="3240102"/>
    <n v="400010"/>
    <s v="Acute I/P Svcs Rev--BCBS Comm"/>
    <s v="IV Therapy"/>
    <x v="0"/>
    <n v="1301"/>
    <n v="-10402.49"/>
    <n v="-5347.57"/>
    <n v="-21827.16"/>
    <n v="-6947.68"/>
    <n v="-10165.129999999999"/>
    <n v="-21257.33"/>
    <n v="-10095.33"/>
    <n v="-9149.2999999999993"/>
    <n v="-27648.98"/>
    <n v="-12356.36"/>
    <n v="-30091.19"/>
    <n v="-21420.84"/>
    <n v="-186709.36000000002"/>
    <n v="-8670.3499999999985"/>
  </r>
  <r>
    <x v="18"/>
    <x v="0"/>
    <x v="0"/>
    <s v="3240102"/>
    <n v="400010"/>
    <s v="Acute I/P Svcs Rev--Managed Care"/>
    <s v="IV Therapy"/>
    <x v="0"/>
    <n v="1400"/>
    <n v="-36440.25"/>
    <n v="-54889.5"/>
    <n v="-52068.7"/>
    <n v="-20195.54"/>
    <n v="-59571.16"/>
    <n v="-42313.97"/>
    <n v="-49028.81"/>
    <n v="-16287.53"/>
    <n v="-51572.1"/>
    <n v="-43578.98"/>
    <n v="-44394.35"/>
    <n v="-32920.36"/>
    <n v="-503261.24999999994"/>
    <n v="-11473.989999999998"/>
  </r>
  <r>
    <x v="18"/>
    <x v="0"/>
    <x v="0"/>
    <s v="3240102"/>
    <n v="400010"/>
    <s v="Acute I/P Svcs Rev--Self Pay"/>
    <s v="IV Therapy"/>
    <x v="0"/>
    <n v="1500"/>
    <n v="-5862.91"/>
    <n v="-8649.75"/>
    <n v="-5280.37"/>
    <n v="5475.59"/>
    <n v="-721.98"/>
    <n v="-5086.17"/>
    <n v="-9545.68"/>
    <n v="-5251.3"/>
    <n v="-5607.51"/>
    <n v="-11785.68"/>
    <n v="-9992.4599999999991"/>
    <n v="-25025.08"/>
    <n v="-87333.3"/>
    <n v="15032.620000000003"/>
  </r>
  <r>
    <x v="18"/>
    <x v="0"/>
    <x v="0"/>
    <s v="3240102"/>
    <n v="400010"/>
    <s v="Acute I/P Svcs Rev--Other"/>
    <s v="IV Therapy"/>
    <x v="0"/>
    <n v="1700"/>
    <n v="-4922.76"/>
    <n v="-97.61"/>
    <n v="0"/>
    <n v="-5763.08"/>
    <n v="-5278.17"/>
    <n v="-5337.45"/>
    <n v="0"/>
    <n v="-5833.7"/>
    <n v="-3300.83"/>
    <n v="-4578.88"/>
    <n v="-5160.7299999999996"/>
    <n v="-5161.12"/>
    <n v="-45434.329999999994"/>
    <n v="0.39000000000032742"/>
  </r>
  <r>
    <x v="19"/>
    <x v="0"/>
    <x v="0"/>
    <s v="3240102"/>
    <n v="400020"/>
    <s v="O/P Care Svcs Rev--Medicare"/>
    <s v="IV Therapy"/>
    <x v="0"/>
    <n v="1100"/>
    <n v="-4945.71"/>
    <n v="-25558.29"/>
    <n v="-9712.16"/>
    <n v="-23407.040000000001"/>
    <n v="-395.84"/>
    <n v="-20690.310000000001"/>
    <n v="-3085.83"/>
    <n v="-5037.3599999999997"/>
    <n v="-6151.61"/>
    <n v="-12624.7"/>
    <n v="-4441.59"/>
    <n v="-12345.8"/>
    <n v="-128396.24"/>
    <n v="7904.2099999999991"/>
  </r>
  <r>
    <x v="19"/>
    <x v="0"/>
    <x v="0"/>
    <s v="3240102"/>
    <n v="400020"/>
    <s v="O/P Care Svcs Rev--Medicaid"/>
    <s v="IV Therapy"/>
    <x v="0"/>
    <n v="1200"/>
    <n v="-9072.18"/>
    <n v="-8142.16"/>
    <n v="-4945.71"/>
    <n v="-5897.25"/>
    <n v="-5261.42"/>
    <n v="-9611.56"/>
    <n v="-8876.35"/>
    <n v="283.67"/>
    <n v="-4724.87"/>
    <n v="-5666.89"/>
    <n v="-8131.99"/>
    <n v="-2726.68"/>
    <n v="-72773.39"/>
    <n v="-5405.3099999999995"/>
  </r>
  <r>
    <x v="19"/>
    <x v="0"/>
    <x v="0"/>
    <s v="3240102"/>
    <n v="400020"/>
    <s v="O/P Care Svcs Rev--Comm Insurance"/>
    <s v="IV Therapy"/>
    <x v="0"/>
    <n v="1300"/>
    <n v="0"/>
    <n v="-86.15"/>
    <n v="-3807.7"/>
    <n v="0"/>
    <n v="-5175.2700000000004"/>
    <n v="-7812.19"/>
    <n v="0"/>
    <n v="0"/>
    <n v="0"/>
    <n v="0"/>
    <n v="-743.64"/>
    <n v="0"/>
    <n v="-17624.95"/>
    <n v="-743.64"/>
  </r>
  <r>
    <x v="19"/>
    <x v="0"/>
    <x v="0"/>
    <s v="3240102"/>
    <n v="400020"/>
    <s v="O/P Care Svcs Rev--BCBS Comm"/>
    <s v="IV Therapy"/>
    <x v="0"/>
    <n v="1301"/>
    <n v="-3087.49"/>
    <n v="0"/>
    <n v="0"/>
    <n v="-38.72"/>
    <n v="0"/>
    <n v="2810.76"/>
    <n v="0"/>
    <n v="0"/>
    <n v="0"/>
    <n v="0"/>
    <n v="-619.70000000000005"/>
    <n v="-5538.73"/>
    <n v="-6473.8799999999992"/>
    <n v="4919.03"/>
  </r>
  <r>
    <x v="19"/>
    <x v="0"/>
    <x v="0"/>
    <s v="3240102"/>
    <n v="400020"/>
    <s v="O/P Care Svcs Rev--Managed Care"/>
    <s v="IV Therapy"/>
    <x v="0"/>
    <n v="1400"/>
    <n v="-38.72"/>
    <n v="0"/>
    <n v="-721.98"/>
    <n v="-33.119999999999997"/>
    <n v="-727.58"/>
    <n v="-6275.66"/>
    <n v="-5086.17"/>
    <n v="-10790.71"/>
    <n v="0"/>
    <n v="-4724.87"/>
    <n v="-10279.870000000001"/>
    <n v="-4845.08"/>
    <n v="-43523.76"/>
    <n v="-5434.7900000000009"/>
  </r>
  <r>
    <x v="19"/>
    <x v="0"/>
    <x v="0"/>
    <s v="3240102"/>
    <n v="400020"/>
    <s v="O/P Care Svcs Rev--Self Pay"/>
    <s v="IV Therapy"/>
    <x v="0"/>
    <n v="1500"/>
    <n v="0"/>
    <n v="0"/>
    <n v="0"/>
    <n v="-527.1"/>
    <n v="0"/>
    <n v="0"/>
    <n v="0"/>
    <n v="-8008.86"/>
    <n v="743.64"/>
    <n v="0"/>
    <n v="0"/>
    <n v="0"/>
    <n v="-7792.3199999999988"/>
    <n v="0"/>
  </r>
  <r>
    <x v="19"/>
    <x v="0"/>
    <x v="0"/>
    <s v="3240102"/>
    <n v="400020"/>
    <s v="O/P Care Svcs Rev--Other"/>
    <s v="IV Therapy"/>
    <x v="0"/>
    <n v="1700"/>
    <n v="0"/>
    <n v="0"/>
    <n v="0"/>
    <n v="-124.43"/>
    <n v="124.43"/>
    <n v="0"/>
    <n v="0"/>
    <n v="0"/>
    <n v="0"/>
    <n v="0"/>
    <n v="0"/>
    <n v="-619.70000000000005"/>
    <n v="-619.70000000000005"/>
    <n v="619.70000000000005"/>
  </r>
  <r>
    <x v="5"/>
    <x v="0"/>
    <x v="0"/>
    <s v="3240102"/>
    <n v="700026"/>
    <s v="Salaries-RN-Productive"/>
    <s v="IV Therapy"/>
    <x v="0"/>
    <m/>
    <n v="17293"/>
    <n v="15247.16"/>
    <n v="14327.16"/>
    <n v="17365.04"/>
    <n v="14652.84"/>
    <n v="16392"/>
    <n v="16086.4"/>
    <n v="17438.63"/>
    <n v="15001.2"/>
    <n v="21084.74"/>
    <n v="21710.31"/>
    <n v="20694.810000000001"/>
    <n v="207293.28999999998"/>
    <n v="1015.5"/>
  </r>
  <r>
    <x v="5"/>
    <x v="0"/>
    <x v="0"/>
    <s v="3240102"/>
    <n v="700026"/>
    <s v="Salaries-RN-OT"/>
    <s v="IV Therapy"/>
    <x v="0"/>
    <n v="1000"/>
    <n v="892.46"/>
    <n v="-1810.57"/>
    <n v="2795.05"/>
    <n v="629.19000000000005"/>
    <n v="877.82"/>
    <n v="1974.42"/>
    <n v="1827.85"/>
    <n v="772.9"/>
    <n v="3673.98"/>
    <n v="3272.76"/>
    <n v="41.81"/>
    <n v="1149.51"/>
    <n v="16097.18"/>
    <n v="-1107.7"/>
  </r>
  <r>
    <x v="5"/>
    <x v="0"/>
    <x v="0"/>
    <s v="3240102"/>
    <n v="700026"/>
    <s v="Salaries-RN-Other"/>
    <s v="IV Therapy"/>
    <x v="0"/>
    <n v="2000"/>
    <n v="1252.3499999999999"/>
    <n v="1097.6600000000001"/>
    <n v="1162.51"/>
    <n v="1447.09"/>
    <n v="1123.52"/>
    <n v="1159.4100000000001"/>
    <n v="1238.5999999999999"/>
    <n v="1289.99"/>
    <n v="983.99"/>
    <n v="1294.72"/>
    <n v="1507.12"/>
    <n v="1457.63"/>
    <n v="15014.59"/>
    <n v="49.489999999999782"/>
  </r>
  <r>
    <x v="5"/>
    <x v="0"/>
    <x v="0"/>
    <s v="3240102"/>
    <n v="700032"/>
    <s v="Salaries-Other Pat Care Providers-Productive"/>
    <s v="IV Therapy"/>
    <x v="0"/>
    <m/>
    <n v="0"/>
    <n v="233.4"/>
    <n v="0"/>
    <n v="0"/>
    <n v="0"/>
    <n v="0"/>
    <n v="0"/>
    <n v="0"/>
    <n v="0"/>
    <n v="0"/>
    <n v="0"/>
    <n v="0"/>
    <n v="233.4"/>
    <n v="0"/>
  </r>
  <r>
    <x v="5"/>
    <x v="0"/>
    <x v="0"/>
    <s v="3240102"/>
    <n v="700066"/>
    <s v="Salaries-RN-Non-productive"/>
    <s v="IV Therapy"/>
    <x v="0"/>
    <m/>
    <n v="4459.59"/>
    <n v="1144.6500000000001"/>
    <n v="2011.85"/>
    <n v="-543.04999999999995"/>
    <n v="6697.3"/>
    <n v="3943.17"/>
    <n v="5054.42"/>
    <n v="-631.47"/>
    <n v="1395.84"/>
    <n v="5849.56"/>
    <n v="-401.29"/>
    <n v="0"/>
    <n v="28980.57"/>
    <n v="-401.29"/>
  </r>
  <r>
    <x v="5"/>
    <x v="0"/>
    <x v="0"/>
    <s v="3240102"/>
    <n v="700066"/>
    <s v="Salaries-RN-NonProd-Other"/>
    <s v="IV Therapy"/>
    <x v="0"/>
    <n v="2000"/>
    <n v="251.43"/>
    <n v="109.38"/>
    <n v="90.83"/>
    <n v="-16.23"/>
    <n v="342.88"/>
    <n v="210.14"/>
    <n v="217.39"/>
    <n v="-27.27"/>
    <n v="333.1"/>
    <n v="303.11"/>
    <n v="-21.08"/>
    <n v="36.049999999999997"/>
    <n v="1829.7300000000002"/>
    <n v="-57.129999999999995"/>
  </r>
  <r>
    <x v="5"/>
    <x v="0"/>
    <x v="0"/>
    <s v="3240102"/>
    <n v="700084"/>
    <s v="Accrued PTO"/>
    <s v="IV Therapy"/>
    <x v="0"/>
    <m/>
    <n v="-1994.66"/>
    <n v="315.33"/>
    <n v="1204.99"/>
    <n v="1964.43"/>
    <n v="184.41"/>
    <n v="-2999.52"/>
    <n v="-1096.29"/>
    <n v="1361.47"/>
    <n v="-390.5"/>
    <n v="-3730.07"/>
    <n v="1426.79"/>
    <n v="3178.5"/>
    <n v="-575.11999999999989"/>
    <n v="-1751.71"/>
  </r>
  <r>
    <x v="6"/>
    <x v="0"/>
    <x v="0"/>
    <s v="3240102"/>
    <n v="713010"/>
    <s v="Benefits-FICA/Medicare"/>
    <s v="IV Therapy"/>
    <x v="0"/>
    <m/>
    <n v="1795.08"/>
    <n v="1184.03"/>
    <n v="1513.86"/>
    <n v="1403.62"/>
    <n v="1765.35"/>
    <n v="1785.05"/>
    <n v="1809.62"/>
    <n v="1406.55"/>
    <n v="1973.88"/>
    <n v="2381.6999999999998"/>
    <n v="1681.64"/>
    <n v="1777.73"/>
    <n v="20478.109999999997"/>
    <n v="-96.089999999999918"/>
  </r>
  <r>
    <x v="6"/>
    <x v="0"/>
    <x v="0"/>
    <s v="3240102"/>
    <n v="713090"/>
    <s v="Benefits-Allocated Amounts"/>
    <s v="IV Therapy"/>
    <x v="0"/>
    <m/>
    <n v="3826.53"/>
    <n v="2439.5300000000002"/>
    <n v="3273.07"/>
    <n v="2974.04"/>
    <n v="3599.43"/>
    <n v="3435.77"/>
    <n v="3718.27"/>
    <n v="3322.94"/>
    <n v="2849.63"/>
    <n v="4406.9399999999996"/>
    <n v="3647.14"/>
    <n v="3830.36"/>
    <n v="41323.65"/>
    <n v="-183.22000000000025"/>
  </r>
  <r>
    <x v="11"/>
    <x v="0"/>
    <x v="0"/>
    <s v="3240102"/>
    <n v="721010"/>
    <s v="Supplies-Medical - Billable"/>
    <s v="IV Therapy"/>
    <x v="0"/>
    <m/>
    <n v="1811.97"/>
    <n v="2643.09"/>
    <n v="2536.52"/>
    <n v="2766.91"/>
    <n v="2194.4699999999998"/>
    <n v="941.98"/>
    <n v="1129.52"/>
    <n v="667.09"/>
    <n v="1100.67"/>
    <n v="1447.77"/>
    <n v="983.61"/>
    <n v="1045.1300000000001"/>
    <n v="19268.73"/>
    <n v="-61.520000000000095"/>
  </r>
  <r>
    <x v="11"/>
    <x v="0"/>
    <x v="0"/>
    <s v="3240102"/>
    <n v="721020"/>
    <s v="Supplies-Surgical - Billable"/>
    <s v="IV Therapy"/>
    <x v="0"/>
    <m/>
    <n v="226.8"/>
    <n v="302.39999999999998"/>
    <n v="226.8"/>
    <n v="341.84"/>
    <n v="813.3"/>
    <n v="460.5"/>
    <n v="740.69"/>
    <n v="302.39999999999998"/>
    <n v="330.87"/>
    <n v="510.54"/>
    <n v="352.8"/>
    <n v="176.34"/>
    <n v="4785.2800000000007"/>
    <n v="176.46"/>
  </r>
  <r>
    <x v="11"/>
    <x v="0"/>
    <x v="0"/>
    <s v="3240102"/>
    <n v="721050"/>
    <s v="Supplies-Cardiac Rhythm - Billable"/>
    <s v="IV Therapy"/>
    <x v="0"/>
    <m/>
    <n v="975"/>
    <n v="1560"/>
    <n v="1777.28"/>
    <n v="1287"/>
    <n v="1170"/>
    <n v="1365"/>
    <n v="1716"/>
    <n v="1170"/>
    <n v="585"/>
    <n v="1326"/>
    <n v="585"/>
    <n v="741"/>
    <n v="14257.279999999999"/>
    <n v="-156"/>
  </r>
  <r>
    <x v="11"/>
    <x v="0"/>
    <x v="0"/>
    <s v="3240102"/>
    <n v="721240"/>
    <s v="Supplies-IV Solutions/Supplies - Billable"/>
    <s v="IV Therapy"/>
    <x v="0"/>
    <m/>
    <n v="18472.7"/>
    <n v="17313.900000000001"/>
    <n v="18637.5"/>
    <n v="20747.009999999998"/>
    <n v="18359.419999999998"/>
    <n v="21453"/>
    <n v="17756.5"/>
    <n v="16016.7"/>
    <n v="19731.3"/>
    <n v="21004.5"/>
    <n v="18035"/>
    <n v="24447.35"/>
    <n v="231974.88"/>
    <n v="-6412.3499999999985"/>
  </r>
  <r>
    <x v="11"/>
    <x v="0"/>
    <x v="0"/>
    <s v="3240102"/>
    <n v="721410"/>
    <s v="Supplies-Medical - Nonbillable"/>
    <s v="IV Therapy"/>
    <x v="0"/>
    <m/>
    <n v="362.34"/>
    <n v="496.07"/>
    <n v="564.28"/>
    <n v="424.14"/>
    <n v="420.42"/>
    <n v="420.42"/>
    <n v="424.14"/>
    <n v="350.35"/>
    <n v="426.5"/>
    <n v="161.97"/>
    <n v="424.14"/>
    <n v="488.25"/>
    <n v="4963.0199999999995"/>
    <n v="-64.110000000000014"/>
  </r>
  <r>
    <x v="11"/>
    <x v="0"/>
    <x v="0"/>
    <s v="3240102"/>
    <n v="721420"/>
    <s v="Supplies-Surgical Nonbillable"/>
    <s v="IV Therapy"/>
    <x v="0"/>
    <m/>
    <n v="0.73"/>
    <n v="0.12"/>
    <n v="0"/>
    <n v="0"/>
    <n v="0"/>
    <n v="0"/>
    <n v="0"/>
    <n v="0"/>
    <n v="0"/>
    <n v="0"/>
    <n v="0"/>
    <n v="0"/>
    <n v="0.85"/>
    <n v="0"/>
  </r>
  <r>
    <x v="11"/>
    <x v="0"/>
    <x v="0"/>
    <s v="3240102"/>
    <n v="721640"/>
    <s v="Supplies-IV Solutions/Supplies - Nonbillable"/>
    <s v="IV Therapy"/>
    <x v="0"/>
    <m/>
    <n v="63"/>
    <n v="32.76"/>
    <n v="63"/>
    <n v="63"/>
    <n v="126"/>
    <n v="63"/>
    <n v="100.8"/>
    <n v="92.61"/>
    <n v="63"/>
    <n v="126"/>
    <n v="126"/>
    <n v="126"/>
    <n v="1045.17"/>
    <n v="0"/>
  </r>
  <r>
    <x v="11"/>
    <x v="0"/>
    <x v="0"/>
    <s v="3240102"/>
    <n v="721750"/>
    <s v="Supplies-Film/Radiographic - Nonbillable"/>
    <s v="IV Therapy"/>
    <x v="0"/>
    <m/>
    <n v="4.68"/>
    <n v="9.36"/>
    <n v="20.92"/>
    <n v="7.48"/>
    <n v="5.62"/>
    <n v="6.55"/>
    <n v="3.74"/>
    <n v="4.68"/>
    <n v="7.48"/>
    <n v="16.86"/>
    <n v="7.5"/>
    <n v="6.55"/>
    <n v="101.41999999999999"/>
    <n v="0.95000000000000018"/>
  </r>
  <r>
    <x v="11"/>
    <x v="0"/>
    <x v="0"/>
    <s v="3240102"/>
    <n v="721810"/>
    <s v="Supplies-Dietary/Cafeteria"/>
    <s v="IV Therapy"/>
    <x v="0"/>
    <m/>
    <n v="0"/>
    <n v="4.68"/>
    <n v="0"/>
    <n v="0"/>
    <n v="0"/>
    <n v="0"/>
    <n v="0"/>
    <n v="3"/>
    <n v="0"/>
    <n v="0"/>
    <n v="0"/>
    <n v="0"/>
    <n v="7.68"/>
    <n v="0"/>
  </r>
  <r>
    <x v="11"/>
    <x v="0"/>
    <x v="0"/>
    <s v="3240102"/>
    <n v="721830"/>
    <s v="Supplies-Office"/>
    <s v="IV Therapy"/>
    <x v="0"/>
    <m/>
    <n v="0"/>
    <n v="0"/>
    <n v="0"/>
    <n v="23.73"/>
    <n v="0"/>
    <n v="0"/>
    <n v="0"/>
    <n v="0"/>
    <n v="0"/>
    <n v="0"/>
    <n v="0"/>
    <n v="0"/>
    <n v="23.73"/>
    <n v="0"/>
  </r>
  <r>
    <x v="11"/>
    <x v="0"/>
    <x v="0"/>
    <s v="3240102"/>
    <n v="721910"/>
    <s v="Supplies-Small Equipment"/>
    <s v="IV Therapy"/>
    <x v="0"/>
    <m/>
    <n v="0"/>
    <n v="0"/>
    <n v="0"/>
    <n v="98.43"/>
    <n v="0"/>
    <n v="0"/>
    <n v="9.84"/>
    <n v="0"/>
    <n v="0"/>
    <n v="0"/>
    <n v="0"/>
    <n v="0"/>
    <n v="108.27000000000001"/>
    <n v="0"/>
  </r>
  <r>
    <x v="13"/>
    <x v="0"/>
    <x v="0"/>
    <s v="3240102"/>
    <n v="735070"/>
    <s v="Depreciation-Movable Equipment"/>
    <s v="IV Therapy"/>
    <x v="0"/>
    <m/>
    <n v="637.52"/>
    <n v="637.52"/>
    <n v="637.52"/>
    <n v="637.52"/>
    <n v="637.53"/>
    <n v="637.52"/>
    <n v="637.53"/>
    <n v="637.52"/>
    <n v="637.53"/>
    <n v="637.52"/>
    <n v="637.53"/>
    <n v="637.52"/>
    <n v="7650.2799999999988"/>
    <n v="9.9999999999909051E-3"/>
  </r>
  <r>
    <x v="0"/>
    <x v="0"/>
    <x v="0"/>
    <s v="3240102"/>
    <n v="740020"/>
    <s v="Education-Registration Fees"/>
    <s v="IV Therapy"/>
    <x v="0"/>
    <m/>
    <n v="0"/>
    <n v="0"/>
    <n v="0"/>
    <n v="0"/>
    <n v="0"/>
    <n v="0"/>
    <n v="0"/>
    <n v="0"/>
    <n v="175"/>
    <n v="0"/>
    <n v="0"/>
    <n v="350"/>
    <n v="525"/>
    <n v="-350"/>
  </r>
  <r>
    <x v="18"/>
    <x v="4"/>
    <x v="0"/>
    <s v="3240103"/>
    <n v="400010"/>
    <s v="Acute I/P Svcs Rev--Medicare"/>
    <s v="IV Therapy"/>
    <x v="0"/>
    <n v="1100"/>
    <n v="-84951.71"/>
    <n v="-109335.19"/>
    <n v="-118372.17"/>
    <n v="-107887.5"/>
    <n v="-81562.62"/>
    <n v="-107197.98"/>
    <n v="-103094.98"/>
    <n v="-95529.63"/>
    <n v="-96191.43"/>
    <n v="-112960.22"/>
    <n v="-92489.09"/>
    <n v="-140254.85"/>
    <n v="-1249827.3700000001"/>
    <n v="47765.760000000009"/>
  </r>
  <r>
    <x v="18"/>
    <x v="4"/>
    <x v="0"/>
    <s v="3240103"/>
    <n v="400010"/>
    <s v="Acute I/P Svcs Rev--Medicaid"/>
    <s v="IV Therapy"/>
    <x v="0"/>
    <n v="1200"/>
    <n v="-93660.4"/>
    <n v="-33084.89"/>
    <n v="-57044.47"/>
    <n v="-34528.93"/>
    <n v="-62382.69"/>
    <n v="-91899.83"/>
    <n v="-78448.009999999995"/>
    <n v="-65472.18"/>
    <n v="-85335.21"/>
    <n v="-106521.91"/>
    <n v="-71083.960000000006"/>
    <n v="-68483.509999999995"/>
    <n v="-847945.99"/>
    <n v="-2600.4500000000116"/>
  </r>
  <r>
    <x v="18"/>
    <x v="4"/>
    <x v="0"/>
    <s v="3240103"/>
    <n v="400010"/>
    <s v="Acute I/P Svcs Rev--Comm Insurance"/>
    <s v="IV Therapy"/>
    <x v="0"/>
    <n v="1300"/>
    <n v="-1375.2"/>
    <n v="-4579.68"/>
    <n v="5954.88"/>
    <n v="-4923.99"/>
    <n v="-2131.56"/>
    <n v="-9075.18"/>
    <n v="687.6"/>
    <n v="0"/>
    <n v="0"/>
    <n v="10519.14"/>
    <n v="0"/>
    <n v="0"/>
    <n v="-4923.99"/>
    <n v="0"/>
  </r>
  <r>
    <x v="18"/>
    <x v="4"/>
    <x v="0"/>
    <s v="3240103"/>
    <n v="400010"/>
    <s v="Acute I/P Svcs Rev--BCBS Comm"/>
    <s v="IV Therapy"/>
    <x v="0"/>
    <n v="1301"/>
    <n v="-9042.3700000000008"/>
    <n v="0"/>
    <n v="-687.6"/>
    <n v="-632.73"/>
    <n v="-8917.56"/>
    <n v="0"/>
    <n v="-721.98"/>
    <n v="-10855.16"/>
    <n v="-7412.92"/>
    <n v="0"/>
    <n v="-871.8"/>
    <n v="-5202.99"/>
    <n v="-44345.11"/>
    <n v="4331.1899999999996"/>
  </r>
  <r>
    <x v="18"/>
    <x v="4"/>
    <x v="0"/>
    <s v="3240103"/>
    <n v="400010"/>
    <s v="Acute I/P Svcs Rev--Managed Care"/>
    <s v="IV Therapy"/>
    <x v="0"/>
    <n v="1400"/>
    <n v="-19220.52"/>
    <n v="-721.98"/>
    <n v="-28137.21"/>
    <n v="-8960.2199999999993"/>
    <n v="-8799.2900000000009"/>
    <n v="0"/>
    <n v="-13215.08"/>
    <n v="-17347.25"/>
    <n v="0"/>
    <n v="-6745.22"/>
    <n v="-3831.32"/>
    <n v="-21434.28"/>
    <n v="-128412.37000000001"/>
    <n v="17602.96"/>
  </r>
  <r>
    <x v="18"/>
    <x v="4"/>
    <x v="0"/>
    <s v="3240103"/>
    <n v="400010"/>
    <s v="Acute I/P Svcs Rev--Self Pay"/>
    <s v="IV Therapy"/>
    <x v="0"/>
    <n v="1500"/>
    <n v="-5440.13"/>
    <n v="0"/>
    <n v="0"/>
    <n v="-721.98"/>
    <n v="0"/>
    <n v="-721.98"/>
    <n v="0"/>
    <n v="0"/>
    <n v="-743.64"/>
    <n v="-2560.42"/>
    <n v="-5874.12"/>
    <n v="5202.99"/>
    <n v="-10859.28"/>
    <n v="-11077.11"/>
  </r>
  <r>
    <x v="18"/>
    <x v="4"/>
    <x v="0"/>
    <s v="3240103"/>
    <n v="400010"/>
    <s v="Acute I/P Svcs Rev--Other"/>
    <s v="IV Therapy"/>
    <x v="0"/>
    <n v="1700"/>
    <n v="1375.2"/>
    <n v="-14077.33"/>
    <n v="-4564.26"/>
    <n v="3504.85"/>
    <n v="-4239.72"/>
    <n v="-14749.25"/>
    <n v="-15577.84"/>
    <n v="1443.96"/>
    <n v="-2521.4699999999998"/>
    <n v="-7347.3"/>
    <n v="-13286.8"/>
    <n v="-23449.16"/>
    <n v="-93489.12000000001"/>
    <n v="10162.36"/>
  </r>
  <r>
    <x v="19"/>
    <x v="4"/>
    <x v="0"/>
    <s v="3240103"/>
    <n v="400020"/>
    <s v="O/P Care Svcs Rev--Medicare"/>
    <s v="IV Therapy"/>
    <x v="0"/>
    <n v="1100"/>
    <n v="-86.15"/>
    <n v="-4207.5"/>
    <n v="-8917.56"/>
    <n v="-4744.67"/>
    <n v="-4859.5600000000004"/>
    <n v="-808.13"/>
    <n v="-4739.7"/>
    <n v="-1487.28"/>
    <n v="0"/>
    <n v="-4788.8100000000004"/>
    <n v="0"/>
    <n v="0"/>
    <n v="-34639.360000000001"/>
    <n v="0"/>
  </r>
  <r>
    <x v="19"/>
    <x v="4"/>
    <x v="0"/>
    <s v="3240103"/>
    <n v="400020"/>
    <s v="O/P Care Svcs Rev--Medicaid"/>
    <s v="IV Therapy"/>
    <x v="0"/>
    <n v="1200"/>
    <n v="-6367.88"/>
    <n v="0"/>
    <n v="0"/>
    <n v="-1443.96"/>
    <n v="-6091.27"/>
    <n v="0"/>
    <n v="-8784.66"/>
    <n v="-172.3"/>
    <n v="-5093.1499999999996"/>
    <n v="0"/>
    <n v="0"/>
    <n v="-743.64"/>
    <n v="-28696.86"/>
    <n v="743.64"/>
  </r>
  <r>
    <x v="19"/>
    <x v="4"/>
    <x v="0"/>
    <s v="3240103"/>
    <n v="400020"/>
    <s v="O/P Care Svcs Rev--Managed Care"/>
    <s v="IV Therapy"/>
    <x v="0"/>
    <n v="1400"/>
    <n v="0"/>
    <n v="0"/>
    <n v="0"/>
    <n v="0"/>
    <n v="-721.98"/>
    <n v="0"/>
    <n v="0"/>
    <n v="0"/>
    <n v="0"/>
    <n v="0"/>
    <n v="0"/>
    <n v="0"/>
    <n v="-721.98"/>
    <n v="0"/>
  </r>
  <r>
    <x v="19"/>
    <x v="4"/>
    <x v="0"/>
    <s v="3240103"/>
    <n v="400020"/>
    <s v="O/P Care Svcs Rev--Self Pay"/>
    <s v="IV Therapy"/>
    <x v="0"/>
    <n v="1500"/>
    <n v="0"/>
    <n v="0"/>
    <n v="0"/>
    <n v="0"/>
    <n v="0"/>
    <n v="0"/>
    <n v="0"/>
    <n v="0"/>
    <n v="0"/>
    <n v="0"/>
    <n v="0"/>
    <n v="0"/>
    <n v="0"/>
    <n v="0"/>
  </r>
  <r>
    <x v="19"/>
    <x v="4"/>
    <x v="0"/>
    <s v="3240103"/>
    <n v="400020"/>
    <s v="O/P Care Svcs Rev--Other"/>
    <s v="IV Therapy"/>
    <x v="0"/>
    <n v="1700"/>
    <n v="-86.15"/>
    <n v="-721.98"/>
    <n v="0"/>
    <n v="0"/>
    <n v="0"/>
    <n v="0"/>
    <n v="0"/>
    <n v="-86.15"/>
    <n v="0"/>
    <n v="0"/>
    <n v="0"/>
    <n v="0"/>
    <n v="-894.28"/>
    <n v="0"/>
  </r>
  <r>
    <x v="5"/>
    <x v="4"/>
    <x v="0"/>
    <s v="3240103"/>
    <n v="700026"/>
    <s v="Salaries-RN-Productive"/>
    <s v="IV Therapy"/>
    <x v="0"/>
    <m/>
    <n v="17387.38"/>
    <n v="17911.73"/>
    <n v="12248.76"/>
    <n v="15080.83"/>
    <n v="15506.28"/>
    <n v="14906.45"/>
    <n v="15120.58"/>
    <n v="17717.25"/>
    <n v="15169.55"/>
    <n v="10294.17"/>
    <n v="11651.96"/>
    <n v="25431.74"/>
    <n v="188426.68"/>
    <n v="-13779.780000000002"/>
  </r>
  <r>
    <x v="5"/>
    <x v="4"/>
    <x v="0"/>
    <s v="3240103"/>
    <n v="700026"/>
    <s v="Salaries-RN-OT"/>
    <s v="IV Therapy"/>
    <x v="0"/>
    <n v="1000"/>
    <n v="1415.3"/>
    <n v="1530.9"/>
    <n v="924.86"/>
    <n v="1534.56"/>
    <n v="1325.63"/>
    <n v="778.67"/>
    <n v="931.36"/>
    <n v="522.51"/>
    <n v="1473.55"/>
    <n v="1380.57"/>
    <n v="147.88999999999999"/>
    <n v="727.09"/>
    <n v="12692.89"/>
    <n v="-579.20000000000005"/>
  </r>
  <r>
    <x v="5"/>
    <x v="4"/>
    <x v="0"/>
    <s v="3240103"/>
    <n v="700026"/>
    <s v="Salaries-RN-Other"/>
    <s v="IV Therapy"/>
    <x v="0"/>
    <n v="2000"/>
    <n v="1544.38"/>
    <n v="1567.16"/>
    <n v="1183.2"/>
    <n v="1383.55"/>
    <n v="1410.8"/>
    <n v="1554.1"/>
    <n v="1474.19"/>
    <n v="1700.95"/>
    <n v="1285.99"/>
    <n v="1009.76"/>
    <n v="583.91"/>
    <n v="2022.59"/>
    <n v="16720.580000000002"/>
    <n v="-1438.6799999999998"/>
  </r>
  <r>
    <x v="5"/>
    <x v="4"/>
    <x v="0"/>
    <s v="3240103"/>
    <n v="700066"/>
    <s v="Salaries-RN-Non-productive"/>
    <s v="IV Therapy"/>
    <x v="0"/>
    <m/>
    <n v="259.44"/>
    <n v="1494.36"/>
    <n v="6448.63"/>
    <n v="2848.24"/>
    <n v="1620.88"/>
    <n v="4605.6499999999996"/>
    <n v="3924"/>
    <n v="580.22"/>
    <n v="1845.81"/>
    <n v="-0.17"/>
    <n v="12328.35"/>
    <n v="489.37"/>
    <n v="36444.780000000006"/>
    <n v="11838.98"/>
  </r>
  <r>
    <x v="5"/>
    <x v="4"/>
    <x v="0"/>
    <s v="3240103"/>
    <n v="700066"/>
    <s v="Salaries-RN-NonProd-Other"/>
    <s v="IV Therapy"/>
    <x v="0"/>
    <n v="2000"/>
    <n v="31.25"/>
    <n v="201.88"/>
    <n v="532.41"/>
    <n v="226.43"/>
    <n v="177.71"/>
    <n v="464.04"/>
    <n v="434.41"/>
    <n v="164.69"/>
    <n v="100.36"/>
    <n v="-4.63"/>
    <n v="754.47"/>
    <n v="-26.51"/>
    <n v="3056.51"/>
    <n v="780.98"/>
  </r>
  <r>
    <x v="5"/>
    <x v="4"/>
    <x v="0"/>
    <s v="3240103"/>
    <n v="700084"/>
    <s v="Accrued PTO"/>
    <s v="IV Therapy"/>
    <x v="0"/>
    <m/>
    <n v="1399.91"/>
    <n v="666.35"/>
    <n v="-2819.52"/>
    <n v="-1628.67"/>
    <n v="1198.92"/>
    <n v="-2580.58"/>
    <n v="-1679.72"/>
    <n v="3691.01"/>
    <n v="7653.22"/>
    <n v="-2353.86"/>
    <n v="-2122.0700000000002"/>
    <n v="-24.54"/>
    <n v="1400.4500000000007"/>
    <n v="-2097.5300000000002"/>
  </r>
  <r>
    <x v="6"/>
    <x v="4"/>
    <x v="0"/>
    <s v="3240103"/>
    <n v="713010"/>
    <s v="Benefits-FICA/Medicare"/>
    <s v="IV Therapy"/>
    <x v="0"/>
    <m/>
    <n v="1560.63"/>
    <n v="1720.34"/>
    <n v="1616.22"/>
    <n v="1594"/>
    <n v="1529.58"/>
    <n v="1681.58"/>
    <n v="1663.38"/>
    <n v="1747.3"/>
    <n v="1506.11"/>
    <n v="958.81"/>
    <n v="1887.26"/>
    <n v="2100.54"/>
    <n v="19565.75"/>
    <n v="-213.27999999999997"/>
  </r>
  <r>
    <x v="6"/>
    <x v="4"/>
    <x v="0"/>
    <s v="3240103"/>
    <n v="713090"/>
    <s v="Benefits-Allocated Amounts"/>
    <s v="IV Therapy"/>
    <x v="0"/>
    <m/>
    <n v="3296.9"/>
    <n v="3203.93"/>
    <n v="3074.35"/>
    <n v="2972.5"/>
    <n v="3121.37"/>
    <n v="3188.33"/>
    <n v="3346.38"/>
    <n v="3614.83"/>
    <n v="3381.36"/>
    <n v="2001.25"/>
    <n v="3873.22"/>
    <n v="4975.12"/>
    <n v="40049.54"/>
    <n v="-1101.9000000000001"/>
  </r>
  <r>
    <x v="7"/>
    <x v="4"/>
    <x v="0"/>
    <s v="3240103"/>
    <n v="718050"/>
    <s v="Contract Svcs-Other"/>
    <s v="IV Therapy"/>
    <x v="0"/>
    <m/>
    <n v="0"/>
    <n v="0"/>
    <n v="0"/>
    <n v="148.37"/>
    <n v="0"/>
    <n v="0"/>
    <n v="0"/>
    <n v="0"/>
    <n v="0"/>
    <n v="0"/>
    <n v="0"/>
    <n v="0"/>
    <n v="148.37"/>
    <n v="0"/>
  </r>
  <r>
    <x v="11"/>
    <x v="4"/>
    <x v="0"/>
    <s v="3240103"/>
    <n v="721010"/>
    <s v="Supplies-Medical - Billable"/>
    <s v="IV Therapy"/>
    <x v="0"/>
    <m/>
    <n v="133.13999999999999"/>
    <n v="181.46"/>
    <n v="433.41"/>
    <n v="290.95"/>
    <n v="374.36"/>
    <n v="584.21"/>
    <n v="571.96"/>
    <n v="521.78"/>
    <n v="618.91999999999996"/>
    <n v="227.64"/>
    <n v="543.64"/>
    <n v="655.26"/>
    <n v="5136.7300000000005"/>
    <n v="-111.62"/>
  </r>
  <r>
    <x v="11"/>
    <x v="4"/>
    <x v="0"/>
    <s v="3240103"/>
    <n v="721020"/>
    <s v="Supplies-Surgical - Billable"/>
    <s v="IV Therapy"/>
    <x v="0"/>
    <m/>
    <n v="69.81"/>
    <n v="348.45"/>
    <n v="497.75"/>
    <n v="45.78"/>
    <n v="156.87"/>
    <n v="-95.13"/>
    <n v="243.95"/>
    <n v="171.78"/>
    <n v="151.13"/>
    <n v="73.290000000000006"/>
    <n v="58.38"/>
    <n v="21.7"/>
    <n v="1743.76"/>
    <n v="36.680000000000007"/>
  </r>
  <r>
    <x v="11"/>
    <x v="4"/>
    <x v="0"/>
    <s v="3240103"/>
    <n v="721240"/>
    <s v="Supplies-IV Solutions/Supplies - Billable"/>
    <s v="IV Therapy"/>
    <x v="0"/>
    <m/>
    <n v="7900.6"/>
    <n v="7972.86"/>
    <n v="9573"/>
    <n v="5107.09"/>
    <n v="8287.9"/>
    <n v="8672.59"/>
    <n v="9992.06"/>
    <n v="10437.620000000001"/>
    <n v="9273.8700000000008"/>
    <n v="10550.49"/>
    <n v="9072.99"/>
    <n v="12523.71"/>
    <n v="109364.78"/>
    <n v="-3450.7199999999993"/>
  </r>
  <r>
    <x v="11"/>
    <x v="4"/>
    <x v="0"/>
    <s v="3240103"/>
    <n v="721410"/>
    <s v="Supplies-Medical - Nonbillable"/>
    <s v="IV Therapy"/>
    <x v="0"/>
    <m/>
    <n v="197.3"/>
    <n v="105.12"/>
    <n v="160.36000000000001"/>
    <n v="128.62"/>
    <n v="245.64"/>
    <n v="168.46"/>
    <n v="429.81"/>
    <n v="61.83"/>
    <n v="206.51"/>
    <n v="103.96"/>
    <n v="143.88999999999999"/>
    <n v="177.83"/>
    <n v="2129.33"/>
    <n v="-33.940000000000026"/>
  </r>
  <r>
    <x v="11"/>
    <x v="4"/>
    <x v="0"/>
    <s v="3240103"/>
    <n v="721420"/>
    <s v="Supplies-Surgical Nonbillable"/>
    <s v="IV Therapy"/>
    <x v="0"/>
    <m/>
    <n v="23.29"/>
    <n v="47.66"/>
    <n v="73.67"/>
    <n v="104.92"/>
    <n v="74.290000000000006"/>
    <n v="57.14"/>
    <n v="20.51"/>
    <n v="18.98"/>
    <n v="43.35"/>
    <n v="13.47"/>
    <n v="20.149999999999999"/>
    <n v="44.89"/>
    <n v="542.32000000000005"/>
    <n v="-24.740000000000002"/>
  </r>
  <r>
    <x v="11"/>
    <x v="4"/>
    <x v="0"/>
    <s v="3240103"/>
    <n v="721640"/>
    <s v="Supplies-IV Solutions/Supplies - Nonbillable"/>
    <s v="IV Therapy"/>
    <x v="0"/>
    <m/>
    <n v="17.600000000000001"/>
    <n v="55.91"/>
    <n v="48.98"/>
    <n v="46.58"/>
    <n v="57.25"/>
    <n v="40.799999999999997"/>
    <n v="79.180000000000007"/>
    <n v="333.6"/>
    <n v="281.61"/>
    <n v="286.31"/>
    <n v="122.03"/>
    <n v="55.71"/>
    <n v="1425.5600000000002"/>
    <n v="66.319999999999993"/>
  </r>
  <r>
    <x v="11"/>
    <x v="4"/>
    <x v="0"/>
    <s v="3240103"/>
    <n v="721650"/>
    <s v="Supplies-Pharmacy Drugs - Nonbillable"/>
    <s v="IV Therapy"/>
    <x v="0"/>
    <m/>
    <n v="0"/>
    <n v="0"/>
    <n v="0"/>
    <n v="0.19"/>
    <n v="0.1"/>
    <n v="0.48"/>
    <n v="0"/>
    <n v="0"/>
    <n v="0"/>
    <n v="0"/>
    <n v="0"/>
    <n v="0"/>
    <n v="0.77"/>
    <n v="0"/>
  </r>
  <r>
    <x v="11"/>
    <x v="4"/>
    <x v="0"/>
    <s v="3240103"/>
    <n v="721750"/>
    <s v="Supplies-Film/Radiographic - Nonbillable"/>
    <s v="IV Therapy"/>
    <x v="0"/>
    <m/>
    <n v="1.88"/>
    <n v="14.39"/>
    <n v="1.88"/>
    <n v="0"/>
    <n v="12.51"/>
    <n v="2.82"/>
    <n v="2.82"/>
    <n v="16.510000000000002"/>
    <n v="2.82"/>
    <n v="0.94"/>
    <n v="1.88"/>
    <n v="4.7"/>
    <n v="63.150000000000006"/>
    <n v="-2.8200000000000003"/>
  </r>
  <r>
    <x v="11"/>
    <x v="4"/>
    <x v="0"/>
    <s v="3240103"/>
    <n v="721810"/>
    <s v="Supplies-Dietary/Cafeteria"/>
    <s v="IV Therapy"/>
    <x v="0"/>
    <m/>
    <n v="0"/>
    <n v="0"/>
    <n v="0"/>
    <n v="0"/>
    <n v="0"/>
    <n v="0"/>
    <n v="0"/>
    <n v="0"/>
    <n v="0"/>
    <n v="0"/>
    <n v="0"/>
    <n v="2.69"/>
    <n v="2.69"/>
    <n v="-2.69"/>
  </r>
  <r>
    <x v="11"/>
    <x v="4"/>
    <x v="0"/>
    <s v="3240103"/>
    <n v="721830"/>
    <s v="Supplies-Office"/>
    <s v="IV Therapy"/>
    <x v="0"/>
    <m/>
    <n v="0"/>
    <n v="0"/>
    <n v="0"/>
    <n v="0"/>
    <n v="0"/>
    <n v="-62.4"/>
    <n v="0"/>
    <n v="0"/>
    <n v="0"/>
    <n v="0"/>
    <n v="0"/>
    <n v="0"/>
    <n v="-62.4"/>
    <n v="0"/>
  </r>
  <r>
    <x v="11"/>
    <x v="4"/>
    <x v="0"/>
    <s v="3240103"/>
    <n v="721910"/>
    <s v="Supplies-Small Equipment"/>
    <s v="IV Therapy"/>
    <x v="0"/>
    <m/>
    <n v="0"/>
    <n v="0"/>
    <n v="252.84"/>
    <n v="0"/>
    <n v="0"/>
    <n v="0"/>
    <n v="0"/>
    <n v="0"/>
    <n v="0"/>
    <n v="0"/>
    <n v="0"/>
    <n v="0"/>
    <n v="252.84"/>
    <n v="0"/>
  </r>
  <r>
    <x v="11"/>
    <x v="4"/>
    <x v="0"/>
    <s v="3240103"/>
    <n v="721980"/>
    <s v="Supplies-Other"/>
    <s v="IV Therapy"/>
    <x v="0"/>
    <m/>
    <n v="2388.73"/>
    <n v="0"/>
    <n v="0"/>
    <n v="-202.81"/>
    <n v="0"/>
    <n v="0"/>
    <n v="0"/>
    <n v="0"/>
    <n v="0"/>
    <n v="0"/>
    <n v="0"/>
    <n v="0"/>
    <n v="2185.92"/>
    <n v="0"/>
  </r>
  <r>
    <x v="11"/>
    <x v="4"/>
    <x v="0"/>
    <s v="3240103"/>
    <n v="722000"/>
    <s v="Supplies-Freight Expense"/>
    <s v="IV Therapy"/>
    <x v="0"/>
    <m/>
    <n v="0"/>
    <n v="0"/>
    <n v="0"/>
    <n v="202.81"/>
    <n v="0"/>
    <n v="0"/>
    <n v="0"/>
    <n v="0"/>
    <n v="0"/>
    <n v="0"/>
    <n v="0"/>
    <n v="0"/>
    <n v="202.81"/>
    <n v="0"/>
  </r>
  <r>
    <x v="13"/>
    <x v="4"/>
    <x v="0"/>
    <s v="3240103"/>
    <n v="735070"/>
    <s v="Depreciation-Movable Equipment"/>
    <s v="IV Therapy"/>
    <x v="0"/>
    <m/>
    <n v="119.43"/>
    <n v="119.43"/>
    <n v="119.42"/>
    <n v="0"/>
    <n v="0"/>
    <n v="0"/>
    <n v="0"/>
    <n v="0"/>
    <n v="0"/>
    <n v="0"/>
    <n v="0"/>
    <n v="0"/>
    <n v="358.28000000000003"/>
    <n v="0"/>
  </r>
  <r>
    <x v="0"/>
    <x v="4"/>
    <x v="0"/>
    <s v="3240103"/>
    <n v="740020"/>
    <s v="Education-Registration Fees"/>
    <s v="IV Therapy"/>
    <x v="0"/>
    <m/>
    <n v="0"/>
    <n v="0"/>
    <n v="195"/>
    <n v="0"/>
    <n v="0"/>
    <n v="0"/>
    <n v="0"/>
    <n v="0"/>
    <n v="0"/>
    <n v="175"/>
    <n v="0"/>
    <n v="300"/>
    <n v="670"/>
    <n v="-300"/>
  </r>
  <r>
    <x v="0"/>
    <x v="4"/>
    <x v="0"/>
    <s v="3240103"/>
    <n v="749510"/>
    <s v="Miscellaneous Expenses"/>
    <s v="IV Therapy"/>
    <x v="0"/>
    <m/>
    <n v="0"/>
    <n v="0"/>
    <n v="0"/>
    <n v="30.76"/>
    <n v="0"/>
    <n v="0"/>
    <n v="0"/>
    <n v="0"/>
    <n v="0"/>
    <n v="0"/>
    <n v="150"/>
    <n v="-71.209999999999994"/>
    <n v="109.55"/>
    <n v="221.20999999999998"/>
  </r>
  <r>
    <x v="18"/>
    <x v="8"/>
    <x v="0"/>
    <s v="3240104"/>
    <n v="400010"/>
    <s v="Acute I/P Svcs Rev--Medicare"/>
    <s v="IV Therapy"/>
    <x v="0"/>
    <n v="1100"/>
    <n v="-269681.75"/>
    <n v="-226183.7"/>
    <n v="-171908.06"/>
    <n v="-167304.92000000001"/>
    <n v="-204993.62"/>
    <n v="-224706.47"/>
    <n v="-240727.84"/>
    <n v="-197698.77"/>
    <n v="-224129.43"/>
    <n v="-233843.14"/>
    <n v="-201493.71"/>
    <n v="-208482.32"/>
    <n v="-2571153.73"/>
    <n v="6988.6100000000151"/>
  </r>
  <r>
    <x v="18"/>
    <x v="8"/>
    <x v="0"/>
    <s v="3240104"/>
    <n v="400010"/>
    <s v="Acute I/P Svcs Rev--Medicaid"/>
    <s v="IV Therapy"/>
    <x v="0"/>
    <n v="1200"/>
    <n v="-81709.539999999994"/>
    <n v="-84714.67"/>
    <n v="-115667.53"/>
    <n v="-70077.3"/>
    <n v="-52334.080000000002"/>
    <n v="-50738.98"/>
    <n v="-32626.52"/>
    <n v="-84731.54"/>
    <n v="-61573.09"/>
    <n v="-49204.94"/>
    <n v="-77894.19"/>
    <n v="-41866.400000000001"/>
    <n v="-803138.77999999991"/>
    <n v="-36027.79"/>
  </r>
  <r>
    <x v="18"/>
    <x v="8"/>
    <x v="0"/>
    <s v="3240104"/>
    <n v="400010"/>
    <s v="Acute I/P Svcs Rev--Comm Insurance"/>
    <s v="IV Therapy"/>
    <x v="0"/>
    <n v="1300"/>
    <n v="-9920.86"/>
    <n v="1848.18"/>
    <n v="0"/>
    <n v="-7336.62"/>
    <n v="-14685.38"/>
    <n v="3314.26"/>
    <n v="-4432.07"/>
    <n v="-328.66"/>
    <n v="-743.64"/>
    <n v="-4453.7299999999996"/>
    <n v="-5222.8999999999996"/>
    <n v="-4123.05"/>
    <n v="-46084.47"/>
    <n v="-1099.8499999999995"/>
  </r>
  <r>
    <x v="18"/>
    <x v="8"/>
    <x v="0"/>
    <s v="3240104"/>
    <n v="400010"/>
    <s v="Acute I/P Svcs Rev--BCBS Comm"/>
    <s v="IV Therapy"/>
    <x v="0"/>
    <n v="1301"/>
    <n v="-10023.65"/>
    <n v="-16180.25"/>
    <n v="-10525.64"/>
    <n v="-3710.09"/>
    <n v="-18345.45"/>
    <n v="-1733.9"/>
    <n v="-8119.02"/>
    <n v="-10602.16"/>
    <n v="-8156.54"/>
    <n v="-17418.03"/>
    <n v="-11039.42"/>
    <n v="-11897.85"/>
    <n v="-127752"/>
    <n v="858.43000000000029"/>
  </r>
  <r>
    <x v="18"/>
    <x v="8"/>
    <x v="0"/>
    <s v="3240104"/>
    <n v="400010"/>
    <s v="Acute I/P Svcs Rev--Managed Care"/>
    <s v="IV Therapy"/>
    <x v="0"/>
    <n v="1400"/>
    <n v="-19407.66"/>
    <n v="-30240.27"/>
    <n v="-55125.41"/>
    <n v="-48117.760000000002"/>
    <n v="-45873.72"/>
    <n v="-15628.53"/>
    <n v="-51061.69"/>
    <n v="-33497.4"/>
    <n v="-38667.01"/>
    <n v="-44147.78"/>
    <n v="-35860"/>
    <n v="-18217.919999999998"/>
    <n v="-435845.15000000008"/>
    <n v="-17642.080000000002"/>
  </r>
  <r>
    <x v="18"/>
    <x v="8"/>
    <x v="0"/>
    <s v="3240104"/>
    <n v="400010"/>
    <s v="Acute I/P Svcs Rev--Self Pay"/>
    <s v="IV Therapy"/>
    <x v="0"/>
    <n v="1500"/>
    <n v="-289.94"/>
    <n v="-7420.18"/>
    <n v="-4818.66"/>
    <n v="-4964.57"/>
    <n v="-721.98"/>
    <n v="-17826.18"/>
    <n v="-1450.06"/>
    <n v="-2673.84"/>
    <n v="0"/>
    <n v="-4303.96"/>
    <n v="-14030.09"/>
    <n v="-6997.78"/>
    <n v="-65497.239999999991"/>
    <n v="-7032.31"/>
  </r>
  <r>
    <x v="18"/>
    <x v="8"/>
    <x v="0"/>
    <s v="3240104"/>
    <n v="400010"/>
    <s v="Acute I/P Svcs Rev--Other"/>
    <s v="IV Therapy"/>
    <x v="0"/>
    <n v="1700"/>
    <n v="-9531.81"/>
    <n v="-17495.939999999999"/>
    <n v="-15558.41"/>
    <n v="-19391.87"/>
    <n v="-11933.42"/>
    <n v="-12345.66"/>
    <n v="-11706.96"/>
    <n v="-6806.69"/>
    <n v="-24046.1"/>
    <n v="-20770.89"/>
    <n v="-26170.23"/>
    <n v="-18441.02"/>
    <n v="-194199"/>
    <n v="-7729.2099999999991"/>
  </r>
  <r>
    <x v="19"/>
    <x v="8"/>
    <x v="0"/>
    <s v="3240104"/>
    <n v="400020"/>
    <s v="O/P Care Svcs Rev--Medicare"/>
    <s v="IV Therapy"/>
    <x v="0"/>
    <n v="1100"/>
    <n v="-23856.43"/>
    <n v="-10471.82"/>
    <n v="-22309.62"/>
    <n v="-13847.59"/>
    <n v="-16311.37"/>
    <n v="-17820.759999999998"/>
    <n v="-18833.740000000002"/>
    <n v="-20353.240000000002"/>
    <n v="-18620.150000000001"/>
    <n v="-23733.25"/>
    <n v="-11417.72"/>
    <n v="-6485.49"/>
    <n v="-204061.17999999996"/>
    <n v="-4932.2299999999996"/>
  </r>
  <r>
    <x v="19"/>
    <x v="8"/>
    <x v="0"/>
    <s v="3240104"/>
    <n v="400020"/>
    <s v="O/P Care Svcs Rev--Medicaid"/>
    <s v="IV Therapy"/>
    <x v="0"/>
    <n v="1200"/>
    <n v="-17656.38"/>
    <n v="-16786.490000000002"/>
    <n v="-13315.21"/>
    <n v="-5310.45"/>
    <n v="-13079.43"/>
    <n v="-6325.06"/>
    <n v="-11003.26"/>
    <n v="-1488.21"/>
    <n v="-12765.56"/>
    <n v="-10440.5"/>
    <n v="-11767.13"/>
    <n v="-10605.28"/>
    <n v="-130542.95999999999"/>
    <n v="-1161.8499999999985"/>
  </r>
  <r>
    <x v="19"/>
    <x v="8"/>
    <x v="0"/>
    <s v="3240104"/>
    <n v="400020"/>
    <s v="O/P Care Svcs Rev--Comm Insurance"/>
    <s v="IV Therapy"/>
    <x v="0"/>
    <n v="1300"/>
    <n v="687.6"/>
    <n v="0"/>
    <n v="0"/>
    <n v="0"/>
    <n v="0"/>
    <n v="-1443.96"/>
    <n v="0"/>
    <n v="721.98"/>
    <n v="-1487.28"/>
    <n v="743.64"/>
    <n v="0"/>
    <n v="0"/>
    <n v="-778.01999999999987"/>
    <n v="0"/>
  </r>
  <r>
    <x v="19"/>
    <x v="8"/>
    <x v="0"/>
    <s v="3240104"/>
    <n v="400020"/>
    <s v="O/P Care Svcs Rev--BCBS Comm"/>
    <s v="IV Therapy"/>
    <x v="0"/>
    <n v="1301"/>
    <n v="-721.98"/>
    <n v="-2601.5"/>
    <n v="-1443.96"/>
    <n v="-721.98"/>
    <n v="-3710.09"/>
    <n v="-1982.01"/>
    <n v="-3164.65"/>
    <n v="-782.36"/>
    <n v="-2321.17"/>
    <n v="-2197.23"/>
    <n v="-1618.1"/>
    <n v="-1487.28"/>
    <n v="-22752.309999999998"/>
    <n v="-130.81999999999994"/>
  </r>
  <r>
    <x v="19"/>
    <x v="8"/>
    <x v="0"/>
    <s v="3240104"/>
    <n v="400020"/>
    <s v="O/P Care Svcs Rev--Managed Care"/>
    <s v="IV Therapy"/>
    <x v="0"/>
    <n v="1400"/>
    <n v="-1720.69"/>
    <n v="-3575.52"/>
    <n v="-2165.94"/>
    <n v="0"/>
    <n v="-4883.09"/>
    <n v="-7274.94"/>
    <n v="-15585.27"/>
    <n v="-5777.38"/>
    <n v="-3086.47"/>
    <n v="-6648.05"/>
    <n v="-4552.09"/>
    <n v="-1896.25"/>
    <n v="-57165.69"/>
    <n v="-2655.84"/>
  </r>
  <r>
    <x v="19"/>
    <x v="8"/>
    <x v="0"/>
    <s v="3240104"/>
    <n v="400020"/>
    <s v="O/P Care Svcs Rev--Self Pay"/>
    <s v="IV Therapy"/>
    <x v="0"/>
    <n v="1500"/>
    <n v="0"/>
    <n v="0"/>
    <n v="0"/>
    <n v="0"/>
    <n v="-721.98"/>
    <n v="721.98"/>
    <n v="-721.98"/>
    <n v="-721.98"/>
    <n v="0"/>
    <n v="0"/>
    <n v="0"/>
    <n v="0"/>
    <n v="-1443.96"/>
    <n v="0"/>
  </r>
  <r>
    <x v="19"/>
    <x v="8"/>
    <x v="0"/>
    <s v="3240104"/>
    <n v="400020"/>
    <s v="O/P Care Svcs Rev--Other"/>
    <s v="IV Therapy"/>
    <x v="0"/>
    <n v="1700"/>
    <n v="0"/>
    <n v="-1157.54"/>
    <n v="-1443.96"/>
    <n v="-276.73"/>
    <n v="-721.98"/>
    <n v="-721.98"/>
    <n v="0"/>
    <n v="-743.64"/>
    <n v="-3431.98"/>
    <n v="-1487.28"/>
    <n v="0"/>
    <n v="-2800.98"/>
    <n v="-12786.070000000002"/>
    <n v="2800.98"/>
  </r>
  <r>
    <x v="5"/>
    <x v="8"/>
    <x v="0"/>
    <s v="3240104"/>
    <n v="700026"/>
    <s v="Salaries-RN-Productive"/>
    <s v="IV Therapy"/>
    <x v="0"/>
    <m/>
    <n v="25204.33"/>
    <n v="22467.22"/>
    <n v="31214.57"/>
    <n v="25020.78"/>
    <n v="30809.61"/>
    <n v="23084.799999999999"/>
    <n v="22413.759999999998"/>
    <n v="20873.13"/>
    <n v="25029.82"/>
    <n v="27868.400000000001"/>
    <n v="27317.73"/>
    <n v="24257.88"/>
    <n v="305562.03000000003"/>
    <n v="3059.8499999999985"/>
  </r>
  <r>
    <x v="5"/>
    <x v="8"/>
    <x v="0"/>
    <s v="3240104"/>
    <n v="700026"/>
    <s v="Salaries-RN-OT"/>
    <s v="IV Therapy"/>
    <x v="0"/>
    <n v="1000"/>
    <n v="1272.1400000000001"/>
    <n v="2406.87"/>
    <n v="1049.92"/>
    <n v="1398.55"/>
    <n v="1504.45"/>
    <n v="2060.12"/>
    <n v="2886.77"/>
    <n v="2688.62"/>
    <n v="1927.91"/>
    <n v="2340.0300000000002"/>
    <n v="1445.02"/>
    <n v="2786.63"/>
    <n v="23767.03"/>
    <n v="-1341.6100000000001"/>
  </r>
  <r>
    <x v="5"/>
    <x v="8"/>
    <x v="0"/>
    <s v="3240104"/>
    <n v="700026"/>
    <s v="Salaries-RN-Other"/>
    <s v="IV Therapy"/>
    <x v="0"/>
    <n v="2000"/>
    <n v="2339.7399999999998"/>
    <n v="2595.0100000000002"/>
    <n v="2942.89"/>
    <n v="2367.4"/>
    <n v="2856.73"/>
    <n v="1984.17"/>
    <n v="2135.81"/>
    <n v="1926.8"/>
    <n v="2177.1999999999998"/>
    <n v="2627.88"/>
    <n v="2509.9499999999998"/>
    <n v="2223.7199999999998"/>
    <n v="28687.300000000003"/>
    <n v="286.23"/>
  </r>
  <r>
    <x v="5"/>
    <x v="8"/>
    <x v="0"/>
    <s v="3240104"/>
    <n v="700054"/>
    <s v="Salaries-Management-NonProd-Other"/>
    <s v="IV Therapy"/>
    <x v="0"/>
    <n v="2000"/>
    <n v="0"/>
    <n v="0"/>
    <n v="0"/>
    <n v="0"/>
    <n v="0"/>
    <n v="435.66"/>
    <n v="-435.66"/>
    <n v="0"/>
    <n v="0"/>
    <n v="0"/>
    <n v="0"/>
    <n v="0"/>
    <n v="0"/>
    <n v="0"/>
  </r>
  <r>
    <x v="5"/>
    <x v="8"/>
    <x v="0"/>
    <s v="3240104"/>
    <n v="700066"/>
    <s v="Salaries-RN-Non-productive"/>
    <s v="IV Therapy"/>
    <x v="0"/>
    <m/>
    <n v="5584.56"/>
    <n v="4678.88"/>
    <n v="220.06"/>
    <n v="2092.7399999999998"/>
    <n v="1689.22"/>
    <n v="3581.23"/>
    <n v="3357.09"/>
    <n v="3316.81"/>
    <n v="1674.92"/>
    <n v="2085.4699999999998"/>
    <n v="2187.92"/>
    <n v="7761.62"/>
    <n v="38230.520000000004"/>
    <n v="-5573.7"/>
  </r>
  <r>
    <x v="5"/>
    <x v="8"/>
    <x v="0"/>
    <s v="3240104"/>
    <n v="700066"/>
    <s v="Salaries-RN-NonProd-Other"/>
    <s v="IV Therapy"/>
    <x v="0"/>
    <n v="2000"/>
    <n v="244.91"/>
    <n v="535.54"/>
    <n v="63.05"/>
    <n v="61.29"/>
    <n v="229.05"/>
    <n v="269.39"/>
    <n v="214.39"/>
    <n v="498.26"/>
    <n v="-3.74"/>
    <n v="316.25"/>
    <n v="130.21"/>
    <n v="668.15"/>
    <n v="3226.7500000000005"/>
    <n v="-537.93999999999994"/>
  </r>
  <r>
    <x v="5"/>
    <x v="8"/>
    <x v="0"/>
    <s v="3240104"/>
    <n v="700084"/>
    <s v="Accrued PTO"/>
    <s v="IV Therapy"/>
    <x v="0"/>
    <m/>
    <n v="-1807.42"/>
    <n v="-570.86"/>
    <n v="-1999.38"/>
    <n v="1741.86"/>
    <n v="2626.51"/>
    <n v="867.6"/>
    <n v="962.72"/>
    <n v="1101.1500000000001"/>
    <n v="1604.06"/>
    <n v="1619.38"/>
    <n v="1174.6500000000001"/>
    <n v="-2832.88"/>
    <n v="4487.3900000000003"/>
    <n v="4007.53"/>
  </r>
  <r>
    <x v="6"/>
    <x v="8"/>
    <x v="0"/>
    <s v="3240104"/>
    <n v="713010"/>
    <s v="Benefits-FICA/Medicare"/>
    <s v="IV Therapy"/>
    <x v="0"/>
    <m/>
    <n v="2486.14"/>
    <n v="2337.14"/>
    <n v="2578.2600000000002"/>
    <n v="2165.39"/>
    <n v="2686.94"/>
    <n v="2336.2800000000002"/>
    <n v="2261.4699999999998"/>
    <n v="2475.52"/>
    <n v="2109.19"/>
    <n v="2541.56"/>
    <n v="2409.9"/>
    <n v="2858.14"/>
    <n v="29245.930000000004"/>
    <n v="-448.23999999999978"/>
  </r>
  <r>
    <x v="6"/>
    <x v="8"/>
    <x v="0"/>
    <s v="3240104"/>
    <n v="713090"/>
    <s v="Benefits-Allocated Amounts"/>
    <s v="IV Therapy"/>
    <x v="0"/>
    <m/>
    <n v="5403.34"/>
    <n v="4667.9399999999996"/>
    <n v="5200.34"/>
    <n v="4862.4399999999996"/>
    <n v="5953.68"/>
    <n v="4560.18"/>
    <n v="4756.16"/>
    <n v="4826.09"/>
    <n v="4797.8900000000003"/>
    <n v="5914.22"/>
    <n v="5379.46"/>
    <n v="5775.82"/>
    <n v="62097.56"/>
    <n v="-396.35999999999967"/>
  </r>
  <r>
    <x v="11"/>
    <x v="8"/>
    <x v="0"/>
    <s v="3240104"/>
    <n v="721010"/>
    <s v="Supplies-Medical - Billable"/>
    <s v="IV Therapy"/>
    <x v="0"/>
    <m/>
    <n v="430.54"/>
    <n v="1218.74"/>
    <n v="707.28"/>
    <n v="1595.8"/>
    <n v="1019.08"/>
    <n v="1088.32"/>
    <n v="574.48"/>
    <n v="971.6"/>
    <n v="963.75"/>
    <n v="1217.5"/>
    <n v="1403.24"/>
    <n v="1046.73"/>
    <n v="12237.06"/>
    <n v="356.51"/>
  </r>
  <r>
    <x v="11"/>
    <x v="8"/>
    <x v="0"/>
    <s v="3240104"/>
    <n v="721240"/>
    <s v="Supplies-IV Solutions/Supplies - Billable"/>
    <s v="IV Therapy"/>
    <x v="0"/>
    <m/>
    <n v="19199.53"/>
    <n v="13729.44"/>
    <n v="16862.22"/>
    <n v="18030.57"/>
    <n v="17352.669999999998"/>
    <n v="14717.56"/>
    <n v="11540.19"/>
    <n v="10699.83"/>
    <n v="11083.64"/>
    <n v="16074.57"/>
    <n v="16186.94"/>
    <n v="12171"/>
    <n v="177648.16000000003"/>
    <n v="4015.9400000000005"/>
  </r>
  <r>
    <x v="11"/>
    <x v="8"/>
    <x v="0"/>
    <s v="3240104"/>
    <n v="721410"/>
    <s v="Supplies-Medical - Nonbillable"/>
    <s v="IV Therapy"/>
    <x v="0"/>
    <m/>
    <n v="566.76"/>
    <n v="400.35"/>
    <n v="372.96"/>
    <n v="342.75"/>
    <n v="307.25"/>
    <n v="1866.57"/>
    <n v="280"/>
    <n v="210.27"/>
    <n v="135.99"/>
    <n v="-5261.15"/>
    <n v="363.6"/>
    <n v="159.66"/>
    <n v="-254.98999999999998"/>
    <n v="203.94000000000003"/>
  </r>
  <r>
    <x v="11"/>
    <x v="8"/>
    <x v="0"/>
    <s v="3240104"/>
    <n v="721420"/>
    <s v="Supplies-Surgical Nonbillable"/>
    <s v="IV Therapy"/>
    <x v="0"/>
    <m/>
    <n v="1"/>
    <n v="0.92"/>
    <n v="6.83"/>
    <n v="6.92"/>
    <n v="0"/>
    <n v="1.17"/>
    <n v="0.36"/>
    <n v="1.18"/>
    <n v="0.27"/>
    <n v="0.81"/>
    <n v="0.92"/>
    <n v="0.18"/>
    <n v="20.56"/>
    <n v="0.74"/>
  </r>
  <r>
    <x v="11"/>
    <x v="8"/>
    <x v="0"/>
    <s v="3240104"/>
    <n v="721420"/>
    <s v="Sterilization Process Products"/>
    <s v="IV Therapy"/>
    <x v="0"/>
    <n v="1009"/>
    <n v="0"/>
    <n v="0"/>
    <n v="0"/>
    <n v="0"/>
    <n v="0"/>
    <n v="0"/>
    <n v="0"/>
    <n v="0"/>
    <n v="0"/>
    <n v="35.44"/>
    <n v="0"/>
    <n v="0"/>
    <n v="35.44"/>
    <n v="0"/>
  </r>
  <r>
    <x v="11"/>
    <x v="8"/>
    <x v="0"/>
    <s v="3240104"/>
    <n v="721610"/>
    <s v="Supplies-Anesthesia - Nonbillable"/>
    <s v="IV Therapy"/>
    <x v="0"/>
    <m/>
    <n v="-1320"/>
    <n v="0"/>
    <n v="0"/>
    <n v="0"/>
    <n v="0"/>
    <n v="0"/>
    <n v="0"/>
    <n v="0"/>
    <n v="0"/>
    <n v="0"/>
    <n v="0"/>
    <n v="0"/>
    <n v="-1320"/>
    <n v="0"/>
  </r>
  <r>
    <x v="11"/>
    <x v="8"/>
    <x v="0"/>
    <s v="3240104"/>
    <n v="721640"/>
    <s v="Supplies-IV Solutions/Supplies - Nonbillable"/>
    <s v="IV Therapy"/>
    <x v="0"/>
    <m/>
    <n v="155.28"/>
    <n v="123.18"/>
    <n v="187.33"/>
    <n v="196.88"/>
    <n v="148.6"/>
    <n v="179.5"/>
    <n v="143.25"/>
    <n v="129.13"/>
    <n v="121.85"/>
    <n v="249.05"/>
    <n v="148.6"/>
    <n v="196.75"/>
    <n v="1979.3999999999999"/>
    <n v="-48.150000000000006"/>
  </r>
  <r>
    <x v="11"/>
    <x v="8"/>
    <x v="0"/>
    <s v="3240104"/>
    <n v="721750"/>
    <s v="Supplies-Film/Radiographic - Nonbillable"/>
    <s v="IV Therapy"/>
    <x v="0"/>
    <m/>
    <n v="111.37"/>
    <n v="110.62"/>
    <n v="85.8"/>
    <n v="87.32"/>
    <n v="83.77"/>
    <n v="39.74"/>
    <n v="99.34"/>
    <n v="75.180000000000007"/>
    <n v="6.45"/>
    <n v="8.6"/>
    <n v="8.6"/>
    <n v="4.3"/>
    <n v="721.09000000000015"/>
    <n v="4.3"/>
  </r>
  <r>
    <x v="11"/>
    <x v="8"/>
    <x v="0"/>
    <s v="3240104"/>
    <n v="721810"/>
    <s v="Supplies-Dietary/Cafeteria"/>
    <s v="IV Therapy"/>
    <x v="0"/>
    <m/>
    <n v="0"/>
    <n v="0"/>
    <n v="0"/>
    <n v="0"/>
    <n v="0"/>
    <n v="0"/>
    <n v="0"/>
    <n v="0"/>
    <n v="8"/>
    <n v="6.95"/>
    <n v="0"/>
    <n v="0"/>
    <n v="14.95"/>
    <n v="0"/>
  </r>
  <r>
    <x v="11"/>
    <x v="8"/>
    <x v="0"/>
    <s v="3240104"/>
    <n v="721830"/>
    <s v="Supplies-Office"/>
    <s v="IV Therapy"/>
    <x v="0"/>
    <m/>
    <n v="0"/>
    <n v="0"/>
    <n v="0"/>
    <n v="0"/>
    <n v="0"/>
    <n v="100"/>
    <n v="22.04"/>
    <n v="0"/>
    <n v="0"/>
    <n v="0"/>
    <n v="0"/>
    <n v="0"/>
    <n v="122.03999999999999"/>
    <n v="0"/>
  </r>
  <r>
    <x v="11"/>
    <x v="8"/>
    <x v="0"/>
    <s v="3240104"/>
    <n v="721870"/>
    <s v="Supplies-Environmental Services"/>
    <s v="IV Therapy"/>
    <x v="0"/>
    <m/>
    <n v="0"/>
    <n v="9.6"/>
    <n v="0"/>
    <n v="0"/>
    <n v="0"/>
    <n v="0"/>
    <n v="0"/>
    <n v="9.6"/>
    <n v="0"/>
    <n v="0"/>
    <n v="11.59"/>
    <n v="0"/>
    <n v="30.79"/>
    <n v="11.59"/>
  </r>
  <r>
    <x v="11"/>
    <x v="8"/>
    <x v="0"/>
    <s v="3240104"/>
    <n v="722000"/>
    <s v="Supplies-Freight Expense"/>
    <s v="IV Therapy"/>
    <x v="0"/>
    <m/>
    <n v="0"/>
    <n v="0"/>
    <n v="0"/>
    <n v="0"/>
    <n v="0"/>
    <n v="0"/>
    <n v="50.89"/>
    <n v="0"/>
    <n v="0"/>
    <n v="0"/>
    <n v="0"/>
    <n v="0"/>
    <n v="50.89"/>
    <n v="0"/>
  </r>
  <r>
    <x v="15"/>
    <x v="8"/>
    <x v="0"/>
    <s v="3240104"/>
    <n v="731060"/>
    <s v="Pagers"/>
    <s v="IV Therapy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3"/>
    <x v="8"/>
    <x v="0"/>
    <s v="3240104"/>
    <n v="735070"/>
    <s v="Depreciation-Movable Equipment"/>
    <s v="IV Therapy"/>
    <x v="0"/>
    <m/>
    <n v="1037.81"/>
    <n v="1173.5"/>
    <n v="1173.51"/>
    <n v="1283.83"/>
    <n v="1283.8599999999999"/>
    <n v="1311.92"/>
    <n v="1279.18"/>
    <n v="1279.1400000000001"/>
    <n v="1279.19"/>
    <n v="1279.1400000000001"/>
    <n v="1279.19"/>
    <n v="1279.1400000000001"/>
    <n v="14939.409999999998"/>
    <n v="4.9999999999954525E-2"/>
  </r>
  <r>
    <x v="0"/>
    <x v="8"/>
    <x v="0"/>
    <s v="3240104"/>
    <n v="740020"/>
    <s v="Education-Registration Fees"/>
    <s v="IV Therapy"/>
    <x v="0"/>
    <m/>
    <n v="175"/>
    <n v="595"/>
    <n v="0"/>
    <n v="1730"/>
    <n v="0"/>
    <n v="50"/>
    <n v="0"/>
    <n v="145"/>
    <n v="0"/>
    <n v="0"/>
    <n v="0"/>
    <n v="220"/>
    <n v="2915"/>
    <n v="-220"/>
  </r>
  <r>
    <x v="0"/>
    <x v="8"/>
    <x v="0"/>
    <s v="3240104"/>
    <n v="749510"/>
    <s v="Miscellaneous Expenses"/>
    <s v="IV Therapy"/>
    <x v="0"/>
    <m/>
    <n v="0"/>
    <n v="0"/>
    <n v="4619.9799999999996"/>
    <n v="-4619.9799999999996"/>
    <n v="1876.62"/>
    <n v="-1876.62"/>
    <n v="145"/>
    <n v="-145"/>
    <n v="0"/>
    <n v="0"/>
    <n v="0"/>
    <n v="0"/>
    <n v="0"/>
    <n v="0"/>
  </r>
  <r>
    <x v="0"/>
    <x v="8"/>
    <x v="0"/>
    <s v="3240104"/>
    <n v="749510"/>
    <s v="RICE Rewards"/>
    <s v="IV Therapy"/>
    <x v="0"/>
    <n v="5100"/>
    <n v="0"/>
    <n v="0"/>
    <n v="0"/>
    <n v="0"/>
    <n v="0"/>
    <n v="0"/>
    <n v="0"/>
    <n v="0"/>
    <n v="0"/>
    <n v="0"/>
    <n v="131.07"/>
    <n v="0"/>
    <n v="131.07"/>
    <n v="131.07"/>
  </r>
  <r>
    <x v="0"/>
    <x v="8"/>
    <x v="0"/>
    <s v="3240104"/>
    <n v="749530"/>
    <s v="Travel"/>
    <s v="IV Therapy"/>
    <x v="0"/>
    <m/>
    <n v="0"/>
    <n v="0"/>
    <n v="0"/>
    <n v="2284.58"/>
    <n v="0"/>
    <n v="1407.62"/>
    <n v="0"/>
    <n v="0"/>
    <n v="0"/>
    <n v="0"/>
    <n v="0"/>
    <n v="0"/>
    <n v="3692.2"/>
    <n v="0"/>
  </r>
  <r>
    <x v="0"/>
    <x v="8"/>
    <x v="0"/>
    <s v="3240104"/>
    <n v="749535"/>
    <s v="Employee Functions"/>
    <s v="IV Therapy"/>
    <x v="0"/>
    <n v="1004"/>
    <n v="0"/>
    <n v="0"/>
    <n v="0"/>
    <n v="0"/>
    <n v="0"/>
    <n v="169.01"/>
    <n v="0"/>
    <n v="0"/>
    <n v="0"/>
    <n v="0"/>
    <n v="0"/>
    <n v="0"/>
    <n v="169.01"/>
    <n v="0"/>
  </r>
  <r>
    <x v="18"/>
    <x v="5"/>
    <x v="0"/>
    <s v="3240106"/>
    <n v="400010"/>
    <s v="Acute I/P Svcs Rev--Medicare"/>
    <s v="IV Therapy"/>
    <x v="0"/>
    <n v="1100"/>
    <n v="-125154.19"/>
    <n v="-116967.93"/>
    <n v="-144538.85999999999"/>
    <n v="-107128.93"/>
    <n v="-131386.29"/>
    <n v="-129664.56"/>
    <n v="-148070.28"/>
    <n v="-124058.11"/>
    <n v="-130097.62"/>
    <n v="-158466.07"/>
    <n v="-117063.35"/>
    <n v="-157765.25"/>
    <n v="-1590361.4400000002"/>
    <n v="40701.899999999994"/>
  </r>
  <r>
    <x v="18"/>
    <x v="5"/>
    <x v="0"/>
    <s v="3240106"/>
    <n v="400010"/>
    <s v="Acute I/P Svcs Rev--Medicaid"/>
    <s v="IV Therapy"/>
    <x v="0"/>
    <n v="1200"/>
    <n v="-94816.09"/>
    <n v="-45947.17"/>
    <n v="-40106.449999999997"/>
    <n v="-54299.49"/>
    <n v="-92149.38"/>
    <n v="-58349.33"/>
    <n v="-81459.399999999994"/>
    <n v="-48433.15"/>
    <n v="-62338.63"/>
    <n v="-59087.08"/>
    <n v="-52080.56"/>
    <n v="-86036.9"/>
    <n v="-775103.63"/>
    <n v="33956.339999999997"/>
  </r>
  <r>
    <x v="18"/>
    <x v="5"/>
    <x v="0"/>
    <s v="3240106"/>
    <n v="400010"/>
    <s v="Acute I/P Svcs Rev--Comm Insurance"/>
    <s v="IV Therapy"/>
    <x v="0"/>
    <n v="1300"/>
    <n v="9258"/>
    <n v="-6801.12"/>
    <n v="3478.08"/>
    <n v="-721.98"/>
    <n v="-180.96"/>
    <n v="-289.94"/>
    <n v="0"/>
    <n v="-11258.86"/>
    <n v="-303.75"/>
    <n v="-5828.44"/>
    <n v="-7811.12"/>
    <n v="-1503.69"/>
    <n v="-21963.78"/>
    <n v="-6307.43"/>
  </r>
  <r>
    <x v="18"/>
    <x v="5"/>
    <x v="0"/>
    <s v="3240106"/>
    <n v="400010"/>
    <s v="Acute I/P Svcs Rev--BCBS Comm"/>
    <s v="IV Therapy"/>
    <x v="0"/>
    <n v="1301"/>
    <n v="-4218.72"/>
    <n v="-9785.7199999999993"/>
    <n v="-289.94"/>
    <n v="-1443.96"/>
    <n v="-9464.23"/>
    <n v="-15550.4"/>
    <n v="-5964.25"/>
    <n v="-579.88"/>
    <n v="-13414.07"/>
    <n v="-3917.28"/>
    <n v="-5590.02"/>
    <n v="-6228.73"/>
    <n v="-76447.199999999997"/>
    <n v="638.70999999999913"/>
  </r>
  <r>
    <x v="18"/>
    <x v="5"/>
    <x v="0"/>
    <s v="3240106"/>
    <n v="400010"/>
    <s v="Acute I/P Svcs Rev--Managed Care"/>
    <s v="IV Therapy"/>
    <x v="0"/>
    <n v="1400"/>
    <n v="-33783.35"/>
    <n v="-18328.310000000001"/>
    <n v="-24130.29"/>
    <n v="-21425.31"/>
    <n v="-17967.27"/>
    <n v="-33297.660000000003"/>
    <n v="411.69"/>
    <n v="-30295.3"/>
    <n v="-40064.83"/>
    <n v="-8228.4"/>
    <n v="-13910.82"/>
    <n v="-25500.13"/>
    <n v="-266519.98"/>
    <n v="11589.310000000001"/>
  </r>
  <r>
    <x v="18"/>
    <x v="5"/>
    <x v="0"/>
    <s v="3240106"/>
    <n v="400010"/>
    <s v="Acute I/P Svcs Rev--Self Pay"/>
    <s v="IV Therapy"/>
    <x v="0"/>
    <n v="1500"/>
    <n v="4039.91"/>
    <n v="-8071.08"/>
    <n v="0"/>
    <n v="-3953.76"/>
    <n v="-10492.09"/>
    <n v="0"/>
    <n v="-9204.2199999999993"/>
    <n v="-4542.59"/>
    <n v="5965.4"/>
    <n v="-1503.69"/>
    <n v="-11224.97"/>
    <n v="-5181.37"/>
    <n v="-44168.46"/>
    <n v="-6043.5999999999995"/>
  </r>
  <r>
    <x v="18"/>
    <x v="5"/>
    <x v="0"/>
    <s v="3240106"/>
    <n v="400010"/>
    <s v="Acute I/P Svcs Rev--Other"/>
    <s v="IV Therapy"/>
    <x v="0"/>
    <n v="1700"/>
    <n v="-3391.93"/>
    <n v="-668.99"/>
    <n v="-2117.92"/>
    <n v="-4729.41"/>
    <n v="-289.94"/>
    <n v="-8044.47"/>
    <n v="0"/>
    <n v="0"/>
    <n v="-175.46"/>
    <n v="-3161.75"/>
    <n v="-9881.26"/>
    <n v="-9860.0499999999993"/>
    <n v="-42321.179999999993"/>
    <n v="-21.210000000000946"/>
  </r>
  <r>
    <x v="19"/>
    <x v="5"/>
    <x v="0"/>
    <s v="3240106"/>
    <n v="400020"/>
    <s v="O/P Care Svcs Rev--Medicare"/>
    <s v="IV Therapy"/>
    <x v="0"/>
    <n v="1100"/>
    <n v="-9260.75"/>
    <n v="-4984.7"/>
    <n v="-1323.63"/>
    <n v="-4556.2299999999996"/>
    <n v="-5589.92"/>
    <n v="-1203.3"/>
    <n v="-6654.42"/>
    <n v="0"/>
    <n v="-1199.94"/>
    <n v="-8506.0300000000007"/>
    <n v="-3362.79"/>
    <n v="-5261.1"/>
    <n v="-51902.810000000005"/>
    <n v="1898.3100000000004"/>
  </r>
  <r>
    <x v="19"/>
    <x v="5"/>
    <x v="0"/>
    <s v="3240106"/>
    <n v="400020"/>
    <s v="O/P Care Svcs Rev--Medicaid"/>
    <s v="IV Therapy"/>
    <x v="0"/>
    <n v="1200"/>
    <n v="-9441.0400000000009"/>
    <n v="-4823.8900000000003"/>
    <n v="-1243.69"/>
    <n v="-20958.28"/>
    <n v="2748.27"/>
    <n v="-323.06"/>
    <n v="-4983.5200000000004"/>
    <n v="0"/>
    <n v="-760.05"/>
    <n v="-303.75"/>
    <n v="4060.34"/>
    <n v="-4498.2700000000004"/>
    <n v="-40526.940000000017"/>
    <n v="8558.61"/>
  </r>
  <r>
    <x v="19"/>
    <x v="5"/>
    <x v="0"/>
    <s v="3240106"/>
    <n v="400020"/>
    <s v="O/P Care Svcs Rev--Comm Insurance"/>
    <s v="IV Therapy"/>
    <x v="0"/>
    <n v="1300"/>
    <n v="4406.49"/>
    <n v="0"/>
    <n v="0"/>
    <n v="0"/>
    <n v="0"/>
    <n v="0"/>
    <n v="0"/>
    <n v="0"/>
    <n v="0"/>
    <n v="0"/>
    <n v="-6152.81"/>
    <n v="0"/>
    <n v="-1746.3200000000006"/>
    <n v="-6152.81"/>
  </r>
  <r>
    <x v="19"/>
    <x v="5"/>
    <x v="0"/>
    <s v="3240106"/>
    <n v="400020"/>
    <s v="O/P Care Svcs Rev--BCBS Comm"/>
    <s v="IV Therapy"/>
    <x v="0"/>
    <n v="1301"/>
    <n v="0"/>
    <n v="-4312.9799999999996"/>
    <n v="0"/>
    <n v="0"/>
    <n v="0"/>
    <n v="0"/>
    <n v="-1447.48"/>
    <n v="0"/>
    <n v="0"/>
    <n v="0"/>
    <n v="0"/>
    <n v="-1206.95"/>
    <n v="-6967.4099999999989"/>
    <n v="1206.95"/>
  </r>
  <r>
    <x v="19"/>
    <x v="5"/>
    <x v="0"/>
    <s v="3240106"/>
    <n v="400020"/>
    <s v="O/P Care Svcs Rev--Managed Care"/>
    <s v="IV Therapy"/>
    <x v="0"/>
    <n v="1400"/>
    <n v="-4012.24"/>
    <n v="-4539.45"/>
    <n v="-4173.47"/>
    <n v="0"/>
    <n v="0"/>
    <n v="-4106.5"/>
    <n v="0"/>
    <n v="0"/>
    <n v="-4214.7700000000004"/>
    <n v="-1503.69"/>
    <n v="-4658.99"/>
    <n v="-4498.2700000000004"/>
    <n v="-31707.38"/>
    <n v="-160.71999999999935"/>
  </r>
  <r>
    <x v="19"/>
    <x v="5"/>
    <x v="0"/>
    <s v="3240106"/>
    <n v="400020"/>
    <s v="O/P Care Svcs Rev--Self Pay"/>
    <s v="IV Therapy"/>
    <x v="0"/>
    <n v="1500"/>
    <n v="-977.54"/>
    <n v="-1329.84"/>
    <n v="-891.59"/>
    <n v="0"/>
    <n v="0"/>
    <n v="-4442.1899999999996"/>
    <n v="0"/>
    <n v="0"/>
    <n v="0"/>
    <n v="-619.70000000000005"/>
    <n v="0"/>
    <n v="0"/>
    <n v="-8260.86"/>
    <n v="0"/>
  </r>
  <r>
    <x v="19"/>
    <x v="5"/>
    <x v="0"/>
    <s v="3240106"/>
    <n v="400020"/>
    <s v="O/P Care Svcs Rev--Other"/>
    <s v="IV Therapy"/>
    <x v="0"/>
    <n v="1700"/>
    <n v="0"/>
    <n v="0"/>
    <n v="0"/>
    <n v="0"/>
    <n v="0"/>
    <n v="-1447.48"/>
    <n v="0"/>
    <n v="0"/>
    <n v="0"/>
    <n v="0"/>
    <n v="0"/>
    <n v="0"/>
    <n v="-1447.48"/>
    <n v="0"/>
  </r>
  <r>
    <x v="14"/>
    <x v="5"/>
    <x v="0"/>
    <s v="3240106"/>
    <n v="600050"/>
    <s v="Miscellaneous Revenue"/>
    <s v="IV Therapy"/>
    <x v="0"/>
    <m/>
    <n v="-622.70000000000005"/>
    <n v="0"/>
    <n v="-507.69"/>
    <n v="0"/>
    <n v="0"/>
    <n v="-34.5"/>
    <n v="34.5"/>
    <n v="0"/>
    <n v="0"/>
    <n v="0"/>
    <n v="1060.44"/>
    <n v="0"/>
    <n v="-69.950000000000045"/>
    <n v="1060.44"/>
  </r>
  <r>
    <x v="5"/>
    <x v="5"/>
    <x v="0"/>
    <s v="3240106"/>
    <n v="700026"/>
    <s v="Salaries-RN-Productive"/>
    <s v="IV Therapy"/>
    <x v="0"/>
    <m/>
    <n v="14289.36"/>
    <n v="16221.86"/>
    <n v="9799.2099999999991"/>
    <n v="10301.44"/>
    <n v="8562.2900000000009"/>
    <n v="7985.24"/>
    <n v="6640.54"/>
    <n v="6519.45"/>
    <n v="8786.9699999999993"/>
    <n v="8529.3700000000008"/>
    <n v="9328.19"/>
    <n v="8754.89"/>
    <n v="115718.81"/>
    <n v="573.30000000000109"/>
  </r>
  <r>
    <x v="5"/>
    <x v="5"/>
    <x v="0"/>
    <s v="3240106"/>
    <n v="700026"/>
    <s v="Salaries-RN-OT"/>
    <s v="IV Therapy"/>
    <x v="0"/>
    <n v="1000"/>
    <n v="467.55"/>
    <n v="366.11"/>
    <n v="366.88"/>
    <n v="111.53"/>
    <n v="109.85"/>
    <n v="187.3"/>
    <n v="280.79000000000002"/>
    <n v="99.35"/>
    <n v="516.48"/>
    <n v="139.94"/>
    <n v="619.83000000000004"/>
    <n v="-196.01"/>
    <n v="3069.5999999999995"/>
    <n v="815.84"/>
  </r>
  <r>
    <x v="5"/>
    <x v="5"/>
    <x v="0"/>
    <s v="3240106"/>
    <n v="700026"/>
    <s v="Salaries-RN-Other"/>
    <s v="IV Therapy"/>
    <x v="0"/>
    <n v="2000"/>
    <n v="611.25"/>
    <n v="677.09"/>
    <n v="514.22"/>
    <n v="627.21"/>
    <n v="306.87"/>
    <n v="658.41"/>
    <n v="398.61"/>
    <n v="235.57"/>
    <n v="453.14"/>
    <n v="244.4"/>
    <n v="431.52"/>
    <n v="413.25"/>
    <n v="5571.5400000000009"/>
    <n v="18.269999999999982"/>
  </r>
  <r>
    <x v="5"/>
    <x v="5"/>
    <x v="0"/>
    <s v="3240106"/>
    <n v="700066"/>
    <s v="Salaries-RN-Non-productive"/>
    <s v="IV Therapy"/>
    <x v="0"/>
    <m/>
    <n v="402.48"/>
    <n v="0"/>
    <n v="528.26"/>
    <n v="2751.77"/>
    <n v="1340.41"/>
    <n v="79.95"/>
    <n v="553.85"/>
    <n v="-145.72999999999999"/>
    <n v="3498.13"/>
    <n v="-777.33"/>
    <n v="1111.58"/>
    <n v="627.05999999999995"/>
    <n v="9970.43"/>
    <n v="484.52"/>
  </r>
  <r>
    <x v="5"/>
    <x v="5"/>
    <x v="0"/>
    <s v="3240106"/>
    <n v="700066"/>
    <s v="Salaries-RN-NonProd-Other"/>
    <s v="IV Therapy"/>
    <x v="0"/>
    <n v="2000"/>
    <n v="0"/>
    <n v="0"/>
    <n v="14.56"/>
    <n v="278.52999999999997"/>
    <n v="-122.55"/>
    <n v="0"/>
    <n v="0"/>
    <n v="0"/>
    <n v="0"/>
    <n v="0"/>
    <n v="0"/>
    <n v="0"/>
    <n v="170.53999999999996"/>
    <n v="0"/>
  </r>
  <r>
    <x v="5"/>
    <x v="5"/>
    <x v="0"/>
    <s v="3240106"/>
    <n v="700084"/>
    <s v="Accrued PTO"/>
    <s v="IV Therapy"/>
    <x v="0"/>
    <m/>
    <n v="143.94999999999999"/>
    <n v="830.32"/>
    <n v="670.9"/>
    <n v="-1956"/>
    <n v="-704.5"/>
    <n v="392.77"/>
    <n v="386.36"/>
    <n v="40.08"/>
    <n v="178.45"/>
    <n v="302.01"/>
    <n v="302.01"/>
    <n v="-1176.6400000000001"/>
    <n v="-590.29000000000008"/>
    <n v="1478.65"/>
  </r>
  <r>
    <x v="6"/>
    <x v="5"/>
    <x v="0"/>
    <s v="3240106"/>
    <n v="713010"/>
    <s v="Benefits-FICA/Medicare"/>
    <s v="IV Therapy"/>
    <x v="0"/>
    <m/>
    <n v="1177.46"/>
    <n v="1292.3800000000001"/>
    <n v="817.12"/>
    <n v="1036.71"/>
    <n v="733.9"/>
    <n v="659.93"/>
    <n v="598.24"/>
    <n v="510.04"/>
    <n v="1001.53"/>
    <n v="606.85"/>
    <n v="870.63"/>
    <n v="716.39"/>
    <n v="10021.179999999998"/>
    <n v="154.24"/>
  </r>
  <r>
    <x v="6"/>
    <x v="5"/>
    <x v="0"/>
    <s v="3240106"/>
    <n v="713090"/>
    <s v="Benefits-Allocated Amounts"/>
    <s v="IV Therapy"/>
    <x v="0"/>
    <m/>
    <n v="2642.58"/>
    <n v="3448.75"/>
    <n v="2278.88"/>
    <n v="2411.02"/>
    <n v="2229.0300000000002"/>
    <n v="1834.37"/>
    <n v="1797.19"/>
    <n v="1616.45"/>
    <n v="2837.41"/>
    <n v="2027.73"/>
    <n v="2469.39"/>
    <n v="2124.25"/>
    <n v="27717.05"/>
    <n v="345.13999999999987"/>
  </r>
  <r>
    <x v="11"/>
    <x v="5"/>
    <x v="0"/>
    <s v="3240106"/>
    <n v="721240"/>
    <s v="Supplies-IV Solutions/Supplies - Billable"/>
    <s v="IV Therapy"/>
    <x v="0"/>
    <m/>
    <n v="0"/>
    <n v="0"/>
    <n v="0"/>
    <n v="0"/>
    <n v="0"/>
    <n v="-67.23"/>
    <n v="0"/>
    <n v="0"/>
    <n v="0"/>
    <n v="0"/>
    <n v="0"/>
    <n v="0"/>
    <n v="-67.23"/>
    <n v="0"/>
  </r>
  <r>
    <x v="11"/>
    <x v="5"/>
    <x v="0"/>
    <s v="3240106"/>
    <n v="721810"/>
    <s v="Supplies-Dietary/Cafeteria"/>
    <s v="IV Therapy"/>
    <x v="0"/>
    <m/>
    <n v="78.099999999999994"/>
    <n v="94.57"/>
    <n v="87.78"/>
    <n v="120.62"/>
    <n v="132.76"/>
    <n v="158.44999999999999"/>
    <n v="72.66"/>
    <n v="61.09"/>
    <n v="66.569999999999993"/>
    <n v="131.91"/>
    <n v="258.89"/>
    <n v="178.45"/>
    <n v="1441.85"/>
    <n v="80.44"/>
  </r>
  <r>
    <x v="11"/>
    <x v="5"/>
    <x v="0"/>
    <s v="3240106"/>
    <n v="721835"/>
    <s v="Supplies-Forms"/>
    <s v="IV Therapy"/>
    <x v="0"/>
    <m/>
    <n v="0"/>
    <n v="0"/>
    <n v="0"/>
    <n v="0"/>
    <n v="0"/>
    <n v="0.5"/>
    <n v="0"/>
    <n v="0"/>
    <n v="0"/>
    <n v="0"/>
    <n v="0"/>
    <n v="0"/>
    <n v="0.5"/>
    <n v="0"/>
  </r>
  <r>
    <x v="11"/>
    <x v="5"/>
    <x v="0"/>
    <s v="3240106"/>
    <n v="721910"/>
    <s v="Supplies-Small Equipment"/>
    <s v="IV Therapy"/>
    <x v="0"/>
    <m/>
    <n v="0"/>
    <n v="0"/>
    <n v="0"/>
    <n v="0"/>
    <n v="0"/>
    <n v="0"/>
    <n v="1.44"/>
    <n v="0"/>
    <n v="0"/>
    <n v="0"/>
    <n v="0"/>
    <n v="0"/>
    <n v="1.44"/>
    <n v="0"/>
  </r>
  <r>
    <x v="11"/>
    <x v="5"/>
    <x v="0"/>
    <s v="3240106"/>
    <n v="721980"/>
    <s v="Supplies-Other"/>
    <s v="IV Therapy"/>
    <x v="0"/>
    <m/>
    <n v="1457.89"/>
    <n v="0"/>
    <n v="0"/>
    <n v="-136.24"/>
    <n v="0"/>
    <n v="0"/>
    <n v="0"/>
    <n v="0"/>
    <n v="0"/>
    <n v="0"/>
    <n v="0"/>
    <n v="0"/>
    <n v="1321.65"/>
    <n v="0"/>
  </r>
  <r>
    <x v="11"/>
    <x v="5"/>
    <x v="0"/>
    <s v="3240106"/>
    <n v="722000"/>
    <s v="Supplies-Freight Expense"/>
    <s v="IV Therapy"/>
    <x v="0"/>
    <m/>
    <n v="0"/>
    <n v="0"/>
    <n v="0"/>
    <n v="136.24"/>
    <n v="0"/>
    <n v="0"/>
    <n v="0"/>
    <n v="0"/>
    <n v="0"/>
    <n v="34.56"/>
    <n v="0"/>
    <n v="0"/>
    <n v="170.8"/>
    <n v="0"/>
  </r>
  <r>
    <x v="15"/>
    <x v="5"/>
    <x v="0"/>
    <s v="3240106"/>
    <n v="731060"/>
    <s v="Cell Phones"/>
    <s v="IV Therapy"/>
    <x v="0"/>
    <n v="1001"/>
    <n v="0"/>
    <n v="53.75"/>
    <n v="26.42"/>
    <n v="0"/>
    <n v="26.47"/>
    <n v="26.98"/>
    <n v="55.1"/>
    <n v="0"/>
    <n v="28.08"/>
    <n v="54.13"/>
    <n v="26.48"/>
    <n v="26.74"/>
    <n v="324.15000000000003"/>
    <n v="-0.25999999999999801"/>
  </r>
  <r>
    <x v="13"/>
    <x v="5"/>
    <x v="0"/>
    <s v="3240106"/>
    <n v="735070"/>
    <s v="Depreciation-Movable Equipment"/>
    <s v="IV Therapy"/>
    <x v="0"/>
    <m/>
    <n v="1039.44"/>
    <n v="1039.3599999999999"/>
    <n v="1039.45"/>
    <n v="1039.3599999999999"/>
    <n v="1039.45"/>
    <n v="1039.3599999999999"/>
    <n v="1039.45"/>
    <n v="1039.1199999999999"/>
    <n v="1039.45"/>
    <n v="1039.1099999999999"/>
    <n v="1039.79"/>
    <n v="1039.1099999999999"/>
    <n v="12472.45"/>
    <n v="0.68000000000006366"/>
  </r>
  <r>
    <x v="0"/>
    <x v="5"/>
    <x v="0"/>
    <s v="3240106"/>
    <n v="740020"/>
    <s v="Education-Registration Fees"/>
    <s v="IV Therapy"/>
    <x v="0"/>
    <m/>
    <n v="0"/>
    <n v="0"/>
    <n v="0"/>
    <n v="50"/>
    <n v="0"/>
    <n v="0"/>
    <n v="0"/>
    <n v="0"/>
    <n v="0"/>
    <n v="0"/>
    <n v="0"/>
    <n v="0"/>
    <n v="50"/>
    <n v="0"/>
  </r>
  <r>
    <x v="0"/>
    <x v="5"/>
    <x v="0"/>
    <s v="3240106"/>
    <n v="749510"/>
    <s v="Miscellaneous Expenses"/>
    <s v="IV Therapy"/>
    <x v="0"/>
    <m/>
    <n v="-150"/>
    <n v="0"/>
    <n v="0"/>
    <n v="-50"/>
    <n v="0"/>
    <n v="0"/>
    <n v="0"/>
    <n v="0"/>
    <n v="0"/>
    <n v="0"/>
    <n v="0"/>
    <n v="0"/>
    <n v="-200"/>
    <n v="0"/>
  </r>
  <r>
    <x v="18"/>
    <x v="7"/>
    <x v="0"/>
    <s v="3240150"/>
    <n v="400010"/>
    <s v="Acute I/P Svcs Rev--Medicare"/>
    <s v="IV Therapy"/>
    <x v="0"/>
    <n v="1100"/>
    <n v="-7973.15"/>
    <n v="-17392.810000000001"/>
    <n v="0"/>
    <n v="-17236.240000000002"/>
    <n v="-6015.46"/>
    <n v="-26089.01"/>
    <n v="-36742.83"/>
    <n v="2980.63"/>
    <n v="-10391.61"/>
    <n v="-22321.83"/>
    <n v="-42306.79"/>
    <n v="-19315.419999999998"/>
    <n v="-202804.52000000002"/>
    <n v="-22991.370000000003"/>
  </r>
  <r>
    <x v="18"/>
    <x v="7"/>
    <x v="0"/>
    <s v="3240150"/>
    <n v="400010"/>
    <s v="Acute I/P Svcs Rev--Medicaid"/>
    <s v="IV Therapy"/>
    <x v="0"/>
    <n v="1200"/>
    <n v="-4433.0200000000004"/>
    <n v="0"/>
    <n v="-16313.18"/>
    <n v="-6002.68"/>
    <n v="-4433.0200000000004"/>
    <n v="-12162.43"/>
    <n v="-10954.32"/>
    <n v="0"/>
    <n v="-4142.57"/>
    <n v="0"/>
    <n v="-3822.21"/>
    <n v="-25189.35"/>
    <n v="-87452.78"/>
    <n v="21367.14"/>
  </r>
  <r>
    <x v="18"/>
    <x v="7"/>
    <x v="0"/>
    <s v="3240150"/>
    <n v="400010"/>
    <s v="Acute I/P Svcs Rev--Comm Insurance"/>
    <s v="IV Therapy"/>
    <x v="0"/>
    <n v="1300"/>
    <n v="0"/>
    <n v="0"/>
    <n v="0"/>
    <n v="0"/>
    <n v="0"/>
    <n v="0"/>
    <n v="0"/>
    <n v="-4433.0200000000004"/>
    <n v="0"/>
    <n v="-158.21"/>
    <n v="0"/>
    <n v="0"/>
    <n v="-4591.2300000000005"/>
    <n v="0"/>
  </r>
  <r>
    <x v="18"/>
    <x v="7"/>
    <x v="0"/>
    <s v="3240150"/>
    <n v="400010"/>
    <s v="Acute I/P Svcs Rev--BCBS Comm"/>
    <s v="IV Therapy"/>
    <x v="0"/>
    <n v="1301"/>
    <n v="0"/>
    <n v="0"/>
    <n v="0"/>
    <n v="-8941.42"/>
    <n v="-3711.04"/>
    <n v="0"/>
    <n v="-10390.15"/>
    <n v="0"/>
    <n v="0"/>
    <n v="-4591.2299999999996"/>
    <n v="0"/>
    <n v="-4646.1000000000004"/>
    <n v="-32279.940000000002"/>
    <n v="4646.1000000000004"/>
  </r>
  <r>
    <x v="18"/>
    <x v="7"/>
    <x v="0"/>
    <s v="3240150"/>
    <n v="400010"/>
    <s v="Acute I/P Svcs Rev--Managed Care"/>
    <s v="IV Therapy"/>
    <x v="0"/>
    <n v="1400"/>
    <n v="-3786.42"/>
    <n v="-7497.46"/>
    <n v="0"/>
    <n v="-17882.84"/>
    <n v="-8451.39"/>
    <n v="0"/>
    <n v="-8501.01"/>
    <n v="-2174.37"/>
    <n v="-4142.57"/>
    <n v="-8733.7999999999993"/>
    <n v="-7874.5"/>
    <n v="0"/>
    <n v="-69044.36"/>
    <n v="-7874.5"/>
  </r>
  <r>
    <x v="18"/>
    <x v="7"/>
    <x v="0"/>
    <s v="3240150"/>
    <n v="400010"/>
    <s v="Acute I/P Svcs Rev--Self Pay"/>
    <s v="IV Therapy"/>
    <x v="0"/>
    <n v="1500"/>
    <n v="-4508.3999999999996"/>
    <n v="0"/>
    <n v="0"/>
    <n v="0"/>
    <n v="0"/>
    <n v="0"/>
    <n v="0"/>
    <n v="0"/>
    <n v="0"/>
    <n v="0"/>
    <n v="0"/>
    <n v="0"/>
    <n v="-4508.3999999999996"/>
    <n v="0"/>
  </r>
  <r>
    <x v="18"/>
    <x v="7"/>
    <x v="0"/>
    <s v="3240150"/>
    <n v="400010"/>
    <s v="Acute I/P Svcs Rev--Other"/>
    <s v="IV Therapy"/>
    <x v="0"/>
    <n v="1700"/>
    <n v="4186.7299999999996"/>
    <n v="0"/>
    <n v="0"/>
    <n v="0"/>
    <n v="0"/>
    <n v="0"/>
    <n v="0"/>
    <n v="0"/>
    <n v="0"/>
    <n v="0"/>
    <n v="0"/>
    <n v="0"/>
    <n v="4186.7299999999996"/>
    <n v="0"/>
  </r>
  <r>
    <x v="19"/>
    <x v="7"/>
    <x v="0"/>
    <s v="3240150"/>
    <n v="400020"/>
    <s v="O/P Care Svcs Rev--Medicare"/>
    <s v="IV Therapy"/>
    <x v="0"/>
    <n v="1100"/>
    <n v="0"/>
    <n v="0"/>
    <n v="0"/>
    <n v="0"/>
    <n v="0"/>
    <n v="0"/>
    <n v="0"/>
    <n v="-4523.0600000000004"/>
    <n v="-4467.29"/>
    <n v="619.70000000000005"/>
    <n v="0"/>
    <n v="-4567.12"/>
    <n v="-12937.77"/>
    <n v="4567.12"/>
  </r>
  <r>
    <x v="19"/>
    <x v="7"/>
    <x v="0"/>
    <s v="3240150"/>
    <n v="400020"/>
    <s v="O/P Care Svcs Rev--Medicaid"/>
    <s v="IV Therapy"/>
    <x v="0"/>
    <n v="1200"/>
    <n v="0"/>
    <n v="0"/>
    <n v="0"/>
    <n v="-4433.0200000000004"/>
    <n v="0"/>
    <n v="0"/>
    <n v="0"/>
    <n v="0"/>
    <n v="0"/>
    <n v="0"/>
    <n v="0"/>
    <n v="0"/>
    <n v="-4433.0200000000004"/>
    <n v="0"/>
  </r>
  <r>
    <x v="19"/>
    <x v="7"/>
    <x v="0"/>
    <s v="3240150"/>
    <n v="400020"/>
    <s v="O/P Care Svcs Rev--BCBS Comm"/>
    <s v="IV Therapy"/>
    <x v="0"/>
    <n v="1301"/>
    <n v="0"/>
    <n v="-4433.0200000000004"/>
    <n v="0"/>
    <n v="0"/>
    <n v="0"/>
    <n v="0"/>
    <n v="-3711.04"/>
    <n v="0"/>
    <n v="0"/>
    <n v="0"/>
    <n v="0"/>
    <n v="0"/>
    <n v="-8144.06"/>
    <n v="0"/>
  </r>
  <r>
    <x v="19"/>
    <x v="7"/>
    <x v="0"/>
    <s v="3240150"/>
    <n v="400020"/>
    <s v="O/P Care Svcs Rev--Managed Care"/>
    <s v="IV Therapy"/>
    <x v="0"/>
    <n v="1400"/>
    <n v="0"/>
    <n v="0"/>
    <n v="0"/>
    <n v="0"/>
    <n v="-4312.6899999999996"/>
    <n v="0"/>
    <n v="0"/>
    <n v="0"/>
    <n v="0"/>
    <n v="0"/>
    <n v="-4567.12"/>
    <n v="0"/>
    <n v="-8879.81"/>
    <n v="-4567.12"/>
  </r>
  <r>
    <x v="5"/>
    <x v="7"/>
    <x v="0"/>
    <s v="3240150"/>
    <n v="700026"/>
    <s v="Salaries-RN-Productive"/>
    <s v="IV Therapy"/>
    <x v="0"/>
    <m/>
    <n v="639.45000000000005"/>
    <n v="256.02999999999997"/>
    <n v="49.99"/>
    <n v="1168.2"/>
    <n v="102.55"/>
    <n v="1097.42"/>
    <n v="1654.43"/>
    <n v="1029.17"/>
    <n v="677.91"/>
    <n v="1043.52"/>
    <n v="2627.82"/>
    <n v="295.20999999999998"/>
    <n v="10641.699999999999"/>
    <n v="2332.61"/>
  </r>
  <r>
    <x v="5"/>
    <x v="7"/>
    <x v="0"/>
    <s v="3240150"/>
    <n v="700026"/>
    <s v="Salaries-RN-OT"/>
    <s v="IV Therapy"/>
    <x v="0"/>
    <n v="1000"/>
    <n v="0"/>
    <n v="0"/>
    <n v="55.53"/>
    <n v="-20.190000000000001"/>
    <n v="306.35000000000002"/>
    <n v="-147.49"/>
    <n v="0"/>
    <n v="0"/>
    <n v="0"/>
    <n v="0"/>
    <n v="0"/>
    <n v="0"/>
    <n v="194.20000000000005"/>
    <n v="0"/>
  </r>
  <r>
    <x v="5"/>
    <x v="7"/>
    <x v="0"/>
    <s v="3240150"/>
    <n v="700026"/>
    <s v="Salaries-RN-Other"/>
    <s v="IV Therapy"/>
    <x v="0"/>
    <n v="2000"/>
    <n v="33.380000000000003"/>
    <n v="9.82"/>
    <n v="-0.78"/>
    <n v="70.17"/>
    <n v="-27.23"/>
    <n v="74.08"/>
    <n v="84.39"/>
    <n v="31.95"/>
    <n v="42.16"/>
    <n v="52.39"/>
    <n v="117.93"/>
    <n v="-16.61"/>
    <n v="471.64999999999992"/>
    <n v="134.54000000000002"/>
  </r>
  <r>
    <x v="5"/>
    <x v="7"/>
    <x v="0"/>
    <s v="3240150"/>
    <n v="700066"/>
    <s v="Salaries-RN-NonProd-Other"/>
    <s v="IV Therapy"/>
    <x v="0"/>
    <n v="2000"/>
    <n v="936.97"/>
    <n v="664.31"/>
    <n v="2974.19"/>
    <n v="1237.05"/>
    <n v="446.6"/>
    <n v="435.87"/>
    <n v="1041.43"/>
    <n v="369.2"/>
    <n v="447.12"/>
    <n v="817.62"/>
    <n v="1912.37"/>
    <n v="482.98"/>
    <n v="11765.710000000003"/>
    <n v="1429.3899999999999"/>
  </r>
  <r>
    <x v="6"/>
    <x v="7"/>
    <x v="0"/>
    <s v="3240150"/>
    <n v="713010"/>
    <s v="Benefits-FICA/Medicare"/>
    <s v="IV Therapy"/>
    <x v="0"/>
    <m/>
    <n v="118.11"/>
    <n v="67.849999999999994"/>
    <n v="225.48"/>
    <n v="178.82"/>
    <n v="61.21"/>
    <n v="105.07"/>
    <n v="202.82"/>
    <n v="103.35"/>
    <n v="84.57"/>
    <n v="139.58000000000001"/>
    <n v="341.26"/>
    <n v="53.06"/>
    <n v="1681.1799999999996"/>
    <n v="288.2"/>
  </r>
  <r>
    <x v="6"/>
    <x v="7"/>
    <x v="0"/>
    <s v="3240150"/>
    <n v="713090"/>
    <s v="Benefits-Allocated Amounts"/>
    <s v="IV Therapy"/>
    <x v="0"/>
    <m/>
    <n v="131.18"/>
    <n v="58.83"/>
    <n v="163.28"/>
    <n v="206.87"/>
    <n v="69.989999999999995"/>
    <n v="145.13999999999999"/>
    <n v="277.20999999999998"/>
    <n v="186.18"/>
    <n v="98.92"/>
    <n v="194.2"/>
    <n v="506.44"/>
    <n v="45.9"/>
    <n v="2084.1400000000003"/>
    <n v="460.54"/>
  </r>
  <r>
    <x v="11"/>
    <x v="7"/>
    <x v="0"/>
    <s v="3240150"/>
    <n v="721020"/>
    <s v="Supplies-Surgical - Billable"/>
    <s v="IV Therapy"/>
    <x v="0"/>
    <m/>
    <n v="151.19999999999999"/>
    <n v="0"/>
    <n v="0"/>
    <n v="0"/>
    <n v="0"/>
    <n v="0"/>
    <n v="0"/>
    <n v="0"/>
    <n v="0"/>
    <n v="75.599999999999994"/>
    <n v="0"/>
    <n v="151.19999999999999"/>
    <n v="378"/>
    <n v="-151.19999999999999"/>
  </r>
  <r>
    <x v="11"/>
    <x v="7"/>
    <x v="0"/>
    <s v="3240150"/>
    <n v="721050"/>
    <s v="Supplies-Cardiac Rhythm - Billable"/>
    <s v="IV Therapy"/>
    <x v="0"/>
    <m/>
    <n v="0"/>
    <n v="78"/>
    <n v="0"/>
    <n v="0"/>
    <n v="0"/>
    <n v="39"/>
    <n v="117"/>
    <n v="0"/>
    <n v="0"/>
    <n v="78"/>
    <n v="0"/>
    <n v="39"/>
    <n v="351"/>
    <n v="-39"/>
  </r>
  <r>
    <x v="11"/>
    <x v="7"/>
    <x v="0"/>
    <s v="3240150"/>
    <n v="721240"/>
    <s v="Supplies-IV Solutions/Supplies - Billable"/>
    <s v="IV Therapy"/>
    <x v="0"/>
    <m/>
    <n v="2106"/>
    <n v="1457.7"/>
    <n v="1364.4"/>
    <n v="2510.5"/>
    <n v="1588.3"/>
    <n v="3070.7"/>
    <n v="3332.1"/>
    <n v="740.1"/>
    <n v="1848"/>
    <n v="2468"/>
    <n v="2397.9"/>
    <n v="2381.4"/>
    <n v="25265.100000000002"/>
    <n v="16.5"/>
  </r>
  <r>
    <x v="11"/>
    <x v="7"/>
    <x v="0"/>
    <s v="3240150"/>
    <n v="721410"/>
    <s v="Supplies-Medical - Nonbillable"/>
    <s v="IV Therapy"/>
    <x v="0"/>
    <m/>
    <n v="27.88"/>
    <n v="33.46"/>
    <n v="72.510000000000005"/>
    <n v="61.35"/>
    <n v="39.03"/>
    <n v="94.82"/>
    <n v="50.19"/>
    <n v="16.73"/>
    <n v="11.15"/>
    <n v="-4251.6099999999997"/>
    <n v="27.89"/>
    <n v="11.15"/>
    <n v="-3805.45"/>
    <n v="16.740000000000002"/>
  </r>
  <r>
    <x v="11"/>
    <x v="7"/>
    <x v="0"/>
    <s v="3240150"/>
    <n v="721420"/>
    <s v="Supplies-Surgical Nonbillable"/>
    <s v="IV Therapy"/>
    <x v="0"/>
    <m/>
    <n v="6.67"/>
    <n v="6.68"/>
    <n v="7.51"/>
    <n v="9.17"/>
    <n v="5.01"/>
    <n v="5"/>
    <n v="11.67"/>
    <n v="4.17"/>
    <n v="5.84"/>
    <n v="2.5"/>
    <n v="0.83"/>
    <n v="1.67"/>
    <n v="66.72"/>
    <n v="-0.84"/>
  </r>
  <r>
    <x v="11"/>
    <x v="7"/>
    <x v="0"/>
    <s v="3240150"/>
    <n v="721750"/>
    <s v="Supplies-Film/Radiographic - Nonbillable"/>
    <s v="IV Therapy"/>
    <x v="0"/>
    <m/>
    <n v="142.59"/>
    <n v="122.22"/>
    <n v="122.22"/>
    <n v="162.96"/>
    <n v="162.96"/>
    <n v="325.92"/>
    <n v="224.07"/>
    <n v="40.74"/>
    <n v="83.92"/>
    <n v="62.94"/>
    <n v="103.68"/>
    <n v="0"/>
    <n v="1554.2200000000003"/>
    <n v="103.68"/>
  </r>
  <r>
    <x v="11"/>
    <x v="7"/>
    <x v="0"/>
    <s v="3240150"/>
    <n v="722000"/>
    <s v="Supplies-Freight Expense"/>
    <s v="IV Therapy"/>
    <x v="0"/>
    <m/>
    <n v="0"/>
    <n v="20.96"/>
    <n v="0"/>
    <n v="0"/>
    <n v="0"/>
    <n v="0"/>
    <n v="0"/>
    <n v="0"/>
    <n v="0"/>
    <n v="11.1"/>
    <n v="0"/>
    <n v="0"/>
    <n v="32.06"/>
    <n v="0"/>
  </r>
  <r>
    <x v="0"/>
    <x v="7"/>
    <x v="0"/>
    <s v="3240150"/>
    <n v="740020"/>
    <s v="Education-Registration Fees"/>
    <s v="IV Therapy"/>
    <x v="0"/>
    <m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3240306"/>
    <n v="400010"/>
    <s v="Acute I/P Svcs Rev--Medicare"/>
    <s v="IV Therapy"/>
    <x v="0"/>
    <n v="1100"/>
    <n v="-15097.63"/>
    <n v="-11291.88"/>
    <n v="-9762.91"/>
    <n v="-15342.06"/>
    <n v="-17686.61"/>
    <n v="-27874.25"/>
    <n v="-10338.19"/>
    <n v="-14855.64"/>
    <n v="-8676.59"/>
    <n v="-5875.88"/>
    <n v="-9946.07"/>
    <n v="-7083.25"/>
    <n v="-153830.96"/>
    <n v="-2862.8199999999997"/>
  </r>
  <r>
    <x v="18"/>
    <x v="10"/>
    <x v="0"/>
    <s v="3240306"/>
    <n v="400010"/>
    <s v="Acute I/P Svcs Rev--Medicaid"/>
    <s v="IV Therapy"/>
    <x v="0"/>
    <n v="1200"/>
    <n v="-8906.61"/>
    <n v="-1664.65"/>
    <n v="0"/>
    <n v="-258.45"/>
    <n v="374.02"/>
    <n v="-2538.77"/>
    <n v="-5230.1499999999996"/>
    <n v="-1466.94"/>
    <n v="-4177.79"/>
    <n v="-722"/>
    <n v="-1932.88"/>
    <n v="0"/>
    <n v="-26524.22"/>
    <n v="-1932.88"/>
  </r>
  <r>
    <x v="18"/>
    <x v="10"/>
    <x v="0"/>
    <s v="3240306"/>
    <n v="400010"/>
    <s v="Acute I/P Svcs Rev--Comm Insurance"/>
    <s v="IV Therapy"/>
    <x v="0"/>
    <n v="1300"/>
    <n v="0"/>
    <n v="0"/>
    <n v="0"/>
    <n v="0"/>
    <n v="0"/>
    <n v="0"/>
    <n v="0"/>
    <n v="-940.43"/>
    <n v="0"/>
    <n v="0"/>
    <n v="0"/>
    <n v="0"/>
    <n v="-940.43"/>
    <n v="0"/>
  </r>
  <r>
    <x v="18"/>
    <x v="10"/>
    <x v="0"/>
    <s v="3240306"/>
    <n v="400010"/>
    <s v="Acute I/P Svcs Rev--BCBS Comm"/>
    <s v="IV Therapy"/>
    <x v="0"/>
    <n v="1301"/>
    <n v="-4223.82"/>
    <n v="0"/>
    <n v="-1054.45"/>
    <n v="-172.3"/>
    <n v="-258.45"/>
    <n v="0"/>
    <n v="-258.45"/>
    <n v="-1033.8"/>
    <n v="-1932.88"/>
    <n v="-992.75"/>
    <n v="-361"/>
    <n v="0"/>
    <n v="-10287.9"/>
    <n v="-361"/>
  </r>
  <r>
    <x v="18"/>
    <x v="10"/>
    <x v="0"/>
    <s v="3240306"/>
    <n v="400010"/>
    <s v="Acute I/P Svcs Rev--Managed Care"/>
    <s v="IV Therapy"/>
    <x v="0"/>
    <n v="1400"/>
    <n v="2724.28"/>
    <n v="-4420.84"/>
    <n v="-4649.49"/>
    <n v="-8819.11"/>
    <n v="-344.6"/>
    <n v="-3475.96"/>
    <n v="-430.75"/>
    <n v="-516.9"/>
    <n v="-1770.49"/>
    <n v="-7983.77"/>
    <n v="-8196.94"/>
    <n v="-5606.67"/>
    <n v="-43491.240000000005"/>
    <n v="-2590.2700000000004"/>
  </r>
  <r>
    <x v="18"/>
    <x v="10"/>
    <x v="0"/>
    <s v="3240306"/>
    <n v="400010"/>
    <s v="Acute I/P Svcs Rev--Self Pay"/>
    <s v="IV Therapy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3240306"/>
    <n v="400010"/>
    <s v="Acute I/P Svcs Rev--Other"/>
    <s v="IV Therapy"/>
    <x v="0"/>
    <n v="1700"/>
    <n v="-1075.97"/>
    <n v="0"/>
    <n v="0"/>
    <n v="0"/>
    <n v="0"/>
    <n v="0"/>
    <n v="0"/>
    <n v="-344.6"/>
    <n v="-90.25"/>
    <n v="0"/>
    <n v="0"/>
    <n v="0"/>
    <n v="-1510.8200000000002"/>
    <n v="0"/>
  </r>
  <r>
    <x v="7"/>
    <x v="10"/>
    <x v="0"/>
    <s v="3240306"/>
    <n v="718050"/>
    <s v="Miscellaneous Purchased Svcs"/>
    <s v="IV Therapy"/>
    <x v="0"/>
    <n v="1020"/>
    <n v="-1514.91"/>
    <n v="22707.89"/>
    <n v="11292.26"/>
    <n v="12000"/>
    <n v="10720.5"/>
    <n v="12697.99"/>
    <n v="8801.02"/>
    <n v="12000"/>
    <n v="13885.6"/>
    <n v="12994.08"/>
    <n v="12000"/>
    <n v="12660.4"/>
    <n v="140244.83000000002"/>
    <n v="-660.39999999999964"/>
  </r>
  <r>
    <x v="5"/>
    <x v="3"/>
    <x v="0"/>
    <s v="3250101"/>
    <n v="700014"/>
    <s v="Salaries-Management-Productive"/>
    <s v="Clinical Education"/>
    <x v="0"/>
    <m/>
    <n v="0"/>
    <n v="0"/>
    <n v="0"/>
    <n v="0"/>
    <n v="0"/>
    <n v="0"/>
    <n v="0"/>
    <n v="0"/>
    <n v="0"/>
    <n v="0"/>
    <n v="12449.1"/>
    <n v="-3947.06"/>
    <n v="8502.0400000000009"/>
    <n v="16396.16"/>
  </r>
  <r>
    <x v="5"/>
    <x v="3"/>
    <x v="0"/>
    <s v="3250101"/>
    <n v="700014"/>
    <s v="Salaries-Management-Other"/>
    <s v="Clinical Education"/>
    <x v="0"/>
    <n v="2000"/>
    <n v="0"/>
    <n v="0"/>
    <n v="0"/>
    <n v="0"/>
    <n v="0"/>
    <n v="0"/>
    <n v="0"/>
    <n v="0"/>
    <n v="0"/>
    <n v="0"/>
    <n v="0"/>
    <n v="707.46"/>
    <n v="707.46"/>
    <n v="-707.46"/>
  </r>
  <r>
    <x v="5"/>
    <x v="3"/>
    <x v="0"/>
    <s v="3250101"/>
    <n v="700026"/>
    <s v="Salaries-RN-Productive"/>
    <s v="Clinical Education"/>
    <x v="0"/>
    <m/>
    <n v="49564.33"/>
    <n v="42207.6"/>
    <n v="36926.1"/>
    <n v="36255.78"/>
    <n v="43424.15"/>
    <n v="32768.21"/>
    <n v="51643.76"/>
    <n v="41535.39"/>
    <n v="61218.38"/>
    <n v="50861.760000000002"/>
    <n v="52798.86"/>
    <n v="35508.11"/>
    <n v="534712.43000000005"/>
    <n v="17290.75"/>
  </r>
  <r>
    <x v="5"/>
    <x v="3"/>
    <x v="0"/>
    <s v="3250101"/>
    <n v="700026"/>
    <s v="Salaries-RN-OT"/>
    <s v="Clinical Education"/>
    <x v="0"/>
    <n v="1000"/>
    <n v="18.71"/>
    <n v="-3.3"/>
    <n v="0"/>
    <n v="164.62"/>
    <n v="179.87"/>
    <n v="-121.47"/>
    <n v="0"/>
    <n v="11.91"/>
    <n v="58.02"/>
    <n v="-21.09"/>
    <n v="0"/>
    <n v="0"/>
    <n v="287.27"/>
    <n v="0"/>
  </r>
  <r>
    <x v="5"/>
    <x v="3"/>
    <x v="0"/>
    <s v="3250101"/>
    <n v="700026"/>
    <s v="Salaries-RN-Other"/>
    <s v="Clinical Education"/>
    <x v="0"/>
    <n v="2000"/>
    <n v="12.6"/>
    <n v="7.68"/>
    <n v="3.97"/>
    <n v="5.01"/>
    <n v="24.54"/>
    <n v="-12.86"/>
    <n v="0"/>
    <n v="4.75"/>
    <n v="10.63"/>
    <n v="-3.86"/>
    <n v="444.2"/>
    <n v="-213.86"/>
    <n v="282.79999999999995"/>
    <n v="658.06"/>
  </r>
  <r>
    <x v="5"/>
    <x v="3"/>
    <x v="0"/>
    <s v="3250101"/>
    <n v="700032"/>
    <s v="Salaries-Other Pat Care Providers-OT"/>
    <s v="Clinical Education"/>
    <x v="0"/>
    <n v="1000"/>
    <n v="0"/>
    <n v="0"/>
    <n v="0"/>
    <n v="0"/>
    <n v="0"/>
    <n v="0"/>
    <n v="0"/>
    <n v="6.91"/>
    <n v="0"/>
    <n v="0"/>
    <n v="0"/>
    <n v="0"/>
    <n v="6.91"/>
    <n v="0"/>
  </r>
  <r>
    <x v="5"/>
    <x v="3"/>
    <x v="0"/>
    <s v="3250101"/>
    <n v="700032"/>
    <s v="Salaries-Other Pat Care Providers-Other"/>
    <s v="Clinical Education"/>
    <x v="0"/>
    <n v="2000"/>
    <n v="0"/>
    <n v="0"/>
    <n v="0"/>
    <n v="0"/>
    <n v="0"/>
    <n v="0"/>
    <n v="0"/>
    <n v="0.31"/>
    <n v="0"/>
    <n v="0"/>
    <n v="0"/>
    <n v="0"/>
    <n v="0.31"/>
    <n v="0"/>
  </r>
  <r>
    <x v="5"/>
    <x v="3"/>
    <x v="0"/>
    <s v="3250101"/>
    <n v="700054"/>
    <s v="Salaries-Management-Non-productive"/>
    <s v="Clinical Education"/>
    <x v="0"/>
    <m/>
    <n v="0"/>
    <n v="0"/>
    <n v="0"/>
    <n v="0"/>
    <n v="0"/>
    <n v="0"/>
    <n v="0"/>
    <n v="0"/>
    <n v="0"/>
    <n v="0"/>
    <n v="0"/>
    <n v="927.58"/>
    <n v="927.58"/>
    <n v="-927.58"/>
  </r>
  <r>
    <x v="5"/>
    <x v="3"/>
    <x v="0"/>
    <s v="3250101"/>
    <n v="700066"/>
    <s v="Salaries-RN-Non-productive"/>
    <s v="Clinical Education"/>
    <x v="0"/>
    <m/>
    <n v="9119.74"/>
    <n v="9069.99"/>
    <n v="11716.29"/>
    <n v="12724.63"/>
    <n v="7992.47"/>
    <n v="14320.06"/>
    <n v="5240.79"/>
    <n v="7598.05"/>
    <n v="143.69999999999999"/>
    <n v="1525.96"/>
    <n v="6348.02"/>
    <n v="3589.49"/>
    <n v="89389.190000000017"/>
    <n v="2758.5300000000007"/>
  </r>
  <r>
    <x v="5"/>
    <x v="3"/>
    <x v="0"/>
    <s v="3250101"/>
    <n v="700084"/>
    <s v="Accrued PTO"/>
    <s v="Clinical Education"/>
    <x v="0"/>
    <m/>
    <n v="-2110.06"/>
    <n v="706.52"/>
    <n v="2786.83"/>
    <n v="416.86"/>
    <n v="-3384.85"/>
    <n v="-8513.11"/>
    <n v="-1407.6"/>
    <n v="-311.77999999999997"/>
    <n v="4169.03"/>
    <n v="3779.93"/>
    <n v="3001.54"/>
    <n v="-4127.88"/>
    <n v="-4994.5700000000033"/>
    <n v="7129.42"/>
  </r>
  <r>
    <x v="6"/>
    <x v="3"/>
    <x v="0"/>
    <s v="3250101"/>
    <n v="713010"/>
    <s v="Benefits-FICA/Medicare"/>
    <s v="Clinical Education"/>
    <x v="0"/>
    <m/>
    <n v="4400.1000000000004"/>
    <n v="3840.41"/>
    <n v="3596.36"/>
    <n v="3661"/>
    <n v="3869.18"/>
    <n v="3499.41"/>
    <n v="4217.01"/>
    <n v="3647.27"/>
    <n v="4549"/>
    <n v="3886.1"/>
    <n v="5976.48"/>
    <n v="2676.61"/>
    <n v="47818.930000000008"/>
    <n v="3299.8699999999994"/>
  </r>
  <r>
    <x v="6"/>
    <x v="3"/>
    <x v="0"/>
    <s v="3250101"/>
    <n v="713090"/>
    <s v="Benefits-Allocated Amounts"/>
    <s v="Clinical Education"/>
    <x v="0"/>
    <m/>
    <n v="10332.99"/>
    <n v="8402.66"/>
    <n v="9028.8700000000008"/>
    <n v="8378.01"/>
    <n v="8768.73"/>
    <n v="7565.97"/>
    <n v="10337.4"/>
    <n v="9547.2900000000009"/>
    <n v="9341.7199999999993"/>
    <n v="9745.93"/>
    <n v="13633.31"/>
    <n v="7030.01"/>
    <n v="112112.89"/>
    <n v="6603.2999999999993"/>
  </r>
  <r>
    <x v="6"/>
    <x v="3"/>
    <x v="0"/>
    <s v="3250101"/>
    <n v="713096"/>
    <s v="Employee Recognition"/>
    <s v="Clinical Education"/>
    <x v="0"/>
    <n v="1017"/>
    <n v="0"/>
    <n v="0"/>
    <n v="0"/>
    <n v="0"/>
    <n v="0"/>
    <n v="0"/>
    <n v="0"/>
    <n v="0"/>
    <n v="267"/>
    <n v="0"/>
    <n v="0"/>
    <n v="0"/>
    <n v="267"/>
    <n v="0"/>
  </r>
  <r>
    <x v="0"/>
    <x v="3"/>
    <x v="0"/>
    <s v="3250101"/>
    <n v="740020"/>
    <s v="Education-Registration Fees"/>
    <s v="Clinical Education"/>
    <x v="0"/>
    <m/>
    <n v="0"/>
    <n v="0"/>
    <n v="0"/>
    <n v="0"/>
    <n v="0"/>
    <n v="0"/>
    <n v="0"/>
    <n v="424"/>
    <n v="0"/>
    <n v="0"/>
    <n v="0"/>
    <n v="0"/>
    <n v="424"/>
    <n v="0"/>
  </r>
  <r>
    <x v="5"/>
    <x v="0"/>
    <x v="0"/>
    <s v="3250102"/>
    <n v="700026"/>
    <s v="Salaries-RN-Productive"/>
    <s v="Clinical Education"/>
    <x v="0"/>
    <m/>
    <n v="47075.28"/>
    <n v="51105.54"/>
    <n v="48642.34"/>
    <n v="54729.09"/>
    <n v="52471.38"/>
    <n v="40162.980000000003"/>
    <n v="52690.5"/>
    <n v="49966.99"/>
    <n v="57821.95"/>
    <n v="48538.61"/>
    <n v="38224.129999999997"/>
    <n v="37785.31"/>
    <n v="579214.09999999986"/>
    <n v="438.81999999999971"/>
  </r>
  <r>
    <x v="5"/>
    <x v="0"/>
    <x v="0"/>
    <s v="3250102"/>
    <n v="700032"/>
    <s v="Salaries-Other Pat Care Providers-Productive"/>
    <s v="Clinical Education"/>
    <x v="0"/>
    <m/>
    <n v="0"/>
    <n v="0"/>
    <n v="4.5599999999999996"/>
    <n v="0"/>
    <n v="0"/>
    <n v="0"/>
    <n v="0"/>
    <n v="0"/>
    <n v="0"/>
    <n v="0"/>
    <n v="0"/>
    <n v="0"/>
    <n v="4.5599999999999996"/>
    <n v="0"/>
  </r>
  <r>
    <x v="5"/>
    <x v="0"/>
    <x v="0"/>
    <s v="3250102"/>
    <n v="700032"/>
    <s v="Salaries-Other Pat Care Providers-OT"/>
    <s v="Clinical Education"/>
    <x v="0"/>
    <n v="1000"/>
    <n v="0"/>
    <n v="0"/>
    <n v="6.97"/>
    <n v="0"/>
    <n v="0"/>
    <n v="0"/>
    <n v="0"/>
    <n v="0"/>
    <n v="0"/>
    <n v="0"/>
    <n v="0"/>
    <n v="0"/>
    <n v="6.97"/>
    <n v="0"/>
  </r>
  <r>
    <x v="5"/>
    <x v="0"/>
    <x v="0"/>
    <s v="3250102"/>
    <n v="700066"/>
    <s v="Salaries-RN-Non-productive"/>
    <s v="Clinical Education"/>
    <x v="0"/>
    <m/>
    <n v="4314.32"/>
    <n v="6327.71"/>
    <n v="4083"/>
    <n v="3293.24"/>
    <n v="2783.93"/>
    <n v="15113.7"/>
    <n v="5729.01"/>
    <n v="1663.14"/>
    <n v="-619.76"/>
    <n v="3698.11"/>
    <n v="19572.91"/>
    <n v="17425.22"/>
    <n v="83384.53"/>
    <n v="2147.6899999999987"/>
  </r>
  <r>
    <x v="5"/>
    <x v="0"/>
    <x v="0"/>
    <s v="3250102"/>
    <n v="700084"/>
    <s v="Accrued PTO"/>
    <s v="Clinical Education"/>
    <x v="0"/>
    <m/>
    <n v="1408.26"/>
    <n v="-220.06"/>
    <n v="737.03"/>
    <n v="3740.95"/>
    <n v="1842.06"/>
    <n v="-6319.4"/>
    <n v="923.54"/>
    <n v="3363.78"/>
    <n v="5096.24"/>
    <n v="3394.55"/>
    <n v="-7974.33"/>
    <n v="-12102.41"/>
    <n v="-6109.7899999999991"/>
    <n v="4128.08"/>
  </r>
  <r>
    <x v="6"/>
    <x v="0"/>
    <x v="0"/>
    <s v="3250102"/>
    <n v="713010"/>
    <s v="Benefits-FICA/Medicare"/>
    <s v="Clinical Education"/>
    <x v="0"/>
    <m/>
    <n v="3776.96"/>
    <n v="4233.43"/>
    <n v="3880.45"/>
    <n v="4281.5"/>
    <n v="4072.12"/>
    <n v="4071.5"/>
    <n v="4291.43"/>
    <n v="3791.92"/>
    <n v="4200.25"/>
    <n v="3825.04"/>
    <n v="4244.82"/>
    <n v="4056.48"/>
    <n v="48725.9"/>
    <n v="188.33999999999969"/>
  </r>
  <r>
    <x v="6"/>
    <x v="0"/>
    <x v="0"/>
    <s v="3250102"/>
    <n v="713090"/>
    <s v="Benefits-Allocated Amounts"/>
    <s v="Clinical Education"/>
    <x v="0"/>
    <m/>
    <n v="7943.74"/>
    <n v="7932.5"/>
    <n v="7914.04"/>
    <n v="8338.01"/>
    <n v="8049.14"/>
    <n v="7676.99"/>
    <n v="8785.61"/>
    <n v="8504.16"/>
    <n v="8640.27"/>
    <n v="8307.02"/>
    <n v="8428.01"/>
    <n v="8086.42"/>
    <n v="98605.91"/>
    <n v="341.59000000000015"/>
  </r>
  <r>
    <x v="6"/>
    <x v="0"/>
    <x v="0"/>
    <s v="3250102"/>
    <n v="713096"/>
    <s v="Employee Recognition"/>
    <s v="Clinical Education"/>
    <x v="0"/>
    <n v="1017"/>
    <n v="0"/>
    <n v="0"/>
    <n v="0"/>
    <n v="0"/>
    <n v="0"/>
    <n v="0"/>
    <n v="0"/>
    <n v="0"/>
    <n v="18.989999999999998"/>
    <n v="0"/>
    <n v="0"/>
    <n v="68.11"/>
    <n v="87.1"/>
    <n v="-68.11"/>
  </r>
  <r>
    <x v="11"/>
    <x v="0"/>
    <x v="0"/>
    <s v="3250102"/>
    <n v="721830"/>
    <s v="Supplies-Office"/>
    <s v="Clinical Education"/>
    <x v="0"/>
    <m/>
    <n v="32.9"/>
    <n v="0"/>
    <n v="0"/>
    <n v="0"/>
    <n v="0"/>
    <n v="0"/>
    <n v="0"/>
    <n v="0"/>
    <n v="0"/>
    <n v="0"/>
    <n v="0"/>
    <n v="0"/>
    <n v="32.9"/>
    <n v="0"/>
  </r>
  <r>
    <x v="0"/>
    <x v="0"/>
    <x v="0"/>
    <s v="3250102"/>
    <n v="740020"/>
    <s v="Education-Registration Fees"/>
    <s v="Clinical Education"/>
    <x v="0"/>
    <m/>
    <n v="0"/>
    <n v="0"/>
    <n v="0"/>
    <n v="0"/>
    <n v="0"/>
    <n v="0"/>
    <n v="0"/>
    <n v="640"/>
    <n v="0"/>
    <n v="340.95"/>
    <n v="0"/>
    <n v="0"/>
    <n v="980.95"/>
    <n v="0"/>
  </r>
  <r>
    <x v="0"/>
    <x v="0"/>
    <x v="0"/>
    <s v="3250102"/>
    <n v="749510"/>
    <s v="Miscellaneous Expenses"/>
    <s v="Clinical Education"/>
    <x v="0"/>
    <m/>
    <n v="-214.3"/>
    <n v="0"/>
    <n v="65.41"/>
    <n v="-65.41"/>
    <n v="0"/>
    <n v="0"/>
    <n v="0"/>
    <n v="33.64"/>
    <n v="-33.64"/>
    <n v="0"/>
    <n v="0"/>
    <n v="71.709999999999994"/>
    <n v="-142.59000000000003"/>
    <n v="-71.709999999999994"/>
  </r>
  <r>
    <x v="0"/>
    <x v="0"/>
    <x v="0"/>
    <s v="3250102"/>
    <n v="749530"/>
    <s v="Travel"/>
    <s v="Clinical Education"/>
    <x v="0"/>
    <m/>
    <n v="0"/>
    <n v="0"/>
    <n v="0"/>
    <n v="0"/>
    <n v="0"/>
    <n v="0"/>
    <n v="0"/>
    <n v="736.61"/>
    <n v="0"/>
    <n v="0"/>
    <n v="0"/>
    <n v="232.64"/>
    <n v="969.25"/>
    <n v="-232.64"/>
  </r>
  <r>
    <x v="0"/>
    <x v="0"/>
    <x v="0"/>
    <s v="3250102"/>
    <n v="749530"/>
    <s v="Mileage"/>
    <s v="Clinical Education"/>
    <x v="0"/>
    <n v="1001"/>
    <n v="63.78"/>
    <n v="0"/>
    <n v="0"/>
    <n v="65.41"/>
    <n v="52.34"/>
    <n v="0"/>
    <n v="0"/>
    <n v="0"/>
    <n v="33.64"/>
    <n v="0"/>
    <n v="0"/>
    <n v="0"/>
    <n v="215.17000000000002"/>
    <n v="0"/>
  </r>
  <r>
    <x v="5"/>
    <x v="4"/>
    <x v="0"/>
    <s v="3250103"/>
    <n v="700026"/>
    <s v="Salaries-RN-Productive"/>
    <s v="Clinical Education"/>
    <x v="0"/>
    <m/>
    <n v="19878.759999999998"/>
    <n v="18236.77"/>
    <n v="18695.54"/>
    <n v="31107.39"/>
    <n v="30586.21"/>
    <n v="9661.61"/>
    <n v="19179.09"/>
    <n v="24296.04"/>
    <n v="21947.16"/>
    <n v="24490.51"/>
    <n v="20767.68"/>
    <n v="18218.98"/>
    <n v="257065.74000000002"/>
    <n v="2548.7000000000007"/>
  </r>
  <r>
    <x v="5"/>
    <x v="4"/>
    <x v="0"/>
    <s v="3250103"/>
    <n v="700026"/>
    <s v="Salaries-RN-OT"/>
    <s v="Clinical Education"/>
    <x v="0"/>
    <n v="1000"/>
    <n v="0"/>
    <n v="0"/>
    <n v="0"/>
    <n v="1462.89"/>
    <n v="3254.09"/>
    <n v="-979.95"/>
    <n v="0"/>
    <n v="0"/>
    <n v="0"/>
    <n v="0"/>
    <n v="0"/>
    <n v="63.03"/>
    <n v="3800.0600000000009"/>
    <n v="-63.03"/>
  </r>
  <r>
    <x v="5"/>
    <x v="4"/>
    <x v="0"/>
    <s v="3250103"/>
    <n v="700026"/>
    <s v="Salaries-RN-Other"/>
    <s v="Clinical Education"/>
    <x v="0"/>
    <n v="2000"/>
    <n v="0"/>
    <n v="0"/>
    <n v="0"/>
    <n v="835.94"/>
    <n v="557.01"/>
    <n v="-251.62"/>
    <n v="42.92"/>
    <n v="-11.29"/>
    <n v="0"/>
    <n v="0"/>
    <n v="0"/>
    <n v="0"/>
    <n v="1172.96"/>
    <n v="0"/>
  </r>
  <r>
    <x v="5"/>
    <x v="4"/>
    <x v="0"/>
    <s v="3250103"/>
    <n v="700054"/>
    <s v="Salaries-Management-NonProd-Other"/>
    <s v="Clinical Education"/>
    <x v="0"/>
    <n v="2000"/>
    <n v="0"/>
    <n v="0"/>
    <n v="0"/>
    <n v="0"/>
    <n v="0"/>
    <n v="891.58"/>
    <n v="-891.58"/>
    <n v="0"/>
    <n v="0"/>
    <n v="0"/>
    <n v="0"/>
    <n v="0"/>
    <n v="0"/>
    <n v="0"/>
  </r>
  <r>
    <x v="5"/>
    <x v="4"/>
    <x v="0"/>
    <s v="3250103"/>
    <n v="700066"/>
    <s v="Salaries-RN-Non-productive"/>
    <s v="Clinical Education"/>
    <x v="0"/>
    <m/>
    <n v="6404.66"/>
    <n v="136.78"/>
    <n v="1629.25"/>
    <n v="4323.01"/>
    <n v="-1174.96"/>
    <n v="11278.99"/>
    <n v="1623.8"/>
    <n v="2138.71"/>
    <n v="-565.52"/>
    <n v="384.32"/>
    <n v="2527.2199999999998"/>
    <n v="5738.12"/>
    <n v="34444.380000000005"/>
    <n v="-3210.9"/>
  </r>
  <r>
    <x v="5"/>
    <x v="4"/>
    <x v="0"/>
    <s v="3250103"/>
    <n v="700066"/>
    <s v="Salaries-RN-NonProd-Other"/>
    <s v="Clinical Education"/>
    <x v="0"/>
    <n v="2000"/>
    <n v="0"/>
    <n v="0"/>
    <n v="0"/>
    <n v="0"/>
    <n v="398.4"/>
    <n v="425.54"/>
    <n v="0"/>
    <n v="-823.94"/>
    <n v="0"/>
    <n v="0"/>
    <n v="0"/>
    <n v="0"/>
    <n v="0"/>
    <n v="0"/>
  </r>
  <r>
    <x v="5"/>
    <x v="4"/>
    <x v="0"/>
    <s v="3250103"/>
    <n v="700084"/>
    <s v="Accrued PTO"/>
    <s v="Clinical Education"/>
    <x v="0"/>
    <m/>
    <n v="-1041.97"/>
    <n v="1640.51"/>
    <n v="1278.25"/>
    <n v="395.33"/>
    <n v="-21.37"/>
    <n v="-1552.32"/>
    <n v="401.95"/>
    <n v="-5911.99"/>
    <n v="10858.19"/>
    <n v="2348.15"/>
    <n v="208.39"/>
    <n v="-1385.25"/>
    <n v="7217.8700000000008"/>
    <n v="1593.6399999999999"/>
  </r>
  <r>
    <x v="6"/>
    <x v="4"/>
    <x v="0"/>
    <s v="3250103"/>
    <n v="713010"/>
    <s v="Benefits-FICA/Medicare"/>
    <s v="Clinical Education"/>
    <x v="0"/>
    <m/>
    <n v="1989.05"/>
    <n v="1393.85"/>
    <n v="1542.62"/>
    <n v="2828.63"/>
    <n v="2562.15"/>
    <n v="1471.38"/>
    <n v="1643.83"/>
    <n v="1988.5"/>
    <n v="5496.83"/>
    <n v="1780.01"/>
    <n v="1705.06"/>
    <n v="1763.88"/>
    <n v="26165.79"/>
    <n v="-58.820000000000164"/>
  </r>
  <r>
    <x v="6"/>
    <x v="4"/>
    <x v="0"/>
    <s v="3250103"/>
    <n v="713090"/>
    <s v="Benefits-Allocated Amounts"/>
    <s v="Clinical Education"/>
    <x v="0"/>
    <m/>
    <n v="4153.91"/>
    <n v="2369.25"/>
    <n v="3030.73"/>
    <n v="5193.6000000000004"/>
    <n v="5059.3599999999997"/>
    <n v="2883.62"/>
    <n v="3194.91"/>
    <n v="4022.06"/>
    <n v="3901.48"/>
    <n v="4716.42"/>
    <n v="4275.8"/>
    <n v="4352.8599999999997"/>
    <n v="47154"/>
    <n v="-77.059999999999491"/>
  </r>
  <r>
    <x v="6"/>
    <x v="4"/>
    <x v="0"/>
    <s v="3250103"/>
    <n v="713096"/>
    <s v="Employee Recognition"/>
    <s v="Clinical Education"/>
    <x v="0"/>
    <n v="1017"/>
    <n v="0"/>
    <n v="0"/>
    <n v="0"/>
    <n v="0"/>
    <n v="0"/>
    <n v="31"/>
    <n v="0"/>
    <n v="0"/>
    <n v="0"/>
    <n v="0"/>
    <n v="0"/>
    <n v="0"/>
    <n v="31"/>
    <n v="0"/>
  </r>
  <r>
    <x v="0"/>
    <x v="4"/>
    <x v="0"/>
    <s v="3250103"/>
    <n v="740020"/>
    <s v="Education-Registration Fees"/>
    <s v="Clinical Education"/>
    <x v="0"/>
    <m/>
    <n v="0"/>
    <n v="0"/>
    <n v="0"/>
    <n v="0"/>
    <n v="0"/>
    <n v="150"/>
    <n v="0"/>
    <n v="0"/>
    <n v="0"/>
    <n v="309"/>
    <n v="0"/>
    <n v="0"/>
    <n v="459"/>
    <n v="0"/>
  </r>
  <r>
    <x v="0"/>
    <x v="4"/>
    <x v="0"/>
    <s v="3250103"/>
    <n v="749510"/>
    <s v="Miscellaneous Expenses"/>
    <s v="Clinical Education"/>
    <x v="0"/>
    <m/>
    <n v="0"/>
    <n v="4.91"/>
    <n v="0"/>
    <n v="-4.91"/>
    <n v="0"/>
    <n v="0"/>
    <n v="0"/>
    <n v="0"/>
    <n v="0"/>
    <n v="0"/>
    <n v="0"/>
    <n v="0"/>
    <n v="0"/>
    <n v="0"/>
  </r>
  <r>
    <x v="0"/>
    <x v="4"/>
    <x v="0"/>
    <s v="3250103"/>
    <n v="749530"/>
    <s v="Mileage"/>
    <s v="Clinical Education"/>
    <x v="0"/>
    <n v="1001"/>
    <n v="0"/>
    <n v="9.82"/>
    <n v="0"/>
    <n v="32.72"/>
    <n v="28.89"/>
    <n v="0"/>
    <n v="45.69"/>
    <n v="0"/>
    <n v="10.44"/>
    <n v="58.58"/>
    <n v="93.96"/>
    <n v="15.66"/>
    <n v="295.76"/>
    <n v="78.3"/>
  </r>
  <r>
    <x v="5"/>
    <x v="8"/>
    <x v="0"/>
    <s v="3250104"/>
    <n v="700014"/>
    <s v="Salaries-Management-Productive"/>
    <s v="Clinical Education"/>
    <x v="0"/>
    <m/>
    <n v="2577.98"/>
    <n v="4064.45"/>
    <n v="3912.84"/>
    <n v="-1213.19"/>
    <n v="0"/>
    <n v="0"/>
    <n v="0"/>
    <n v="0"/>
    <n v="0"/>
    <n v="0"/>
    <n v="0"/>
    <n v="0"/>
    <n v="9342.08"/>
    <n v="0"/>
  </r>
  <r>
    <x v="5"/>
    <x v="8"/>
    <x v="0"/>
    <s v="3250104"/>
    <n v="700026"/>
    <s v="Salaries-RN-Productive"/>
    <s v="Clinical Education"/>
    <x v="0"/>
    <m/>
    <n v="13239.44"/>
    <n v="12302.08"/>
    <n v="11080.62"/>
    <n v="12880.62"/>
    <n v="15492.51"/>
    <n v="12178.17"/>
    <n v="14246.89"/>
    <n v="14615.46"/>
    <n v="16445.09"/>
    <n v="16953.39"/>
    <n v="18095.060000000001"/>
    <n v="12739.49"/>
    <n v="170268.82"/>
    <n v="5355.5700000000015"/>
  </r>
  <r>
    <x v="5"/>
    <x v="8"/>
    <x v="0"/>
    <s v="3250104"/>
    <n v="700026"/>
    <s v="Salaries-RN-Other"/>
    <s v="Clinical Education"/>
    <x v="0"/>
    <n v="2000"/>
    <n v="117"/>
    <n v="0"/>
    <n v="0"/>
    <n v="0"/>
    <n v="206.83"/>
    <n v="915.43"/>
    <n v="0"/>
    <n v="0"/>
    <n v="0"/>
    <n v="0"/>
    <n v="0"/>
    <n v="0"/>
    <n v="1239.26"/>
    <n v="0"/>
  </r>
  <r>
    <x v="5"/>
    <x v="8"/>
    <x v="0"/>
    <s v="3250104"/>
    <n v="700032"/>
    <s v="Salaries-Other Pat Care Providers-Productive"/>
    <s v="Clinical Education"/>
    <x v="0"/>
    <m/>
    <n v="0"/>
    <n v="0"/>
    <n v="0"/>
    <n v="51.96"/>
    <n v="0"/>
    <n v="0"/>
    <n v="0"/>
    <n v="0"/>
    <n v="0"/>
    <n v="0"/>
    <n v="0"/>
    <n v="0"/>
    <n v="51.96"/>
    <n v="0"/>
  </r>
  <r>
    <x v="5"/>
    <x v="8"/>
    <x v="0"/>
    <s v="3250104"/>
    <n v="700066"/>
    <s v="Salaries-RN-Non-productive"/>
    <s v="Clinical Education"/>
    <x v="0"/>
    <m/>
    <n v="0"/>
    <n v="0"/>
    <n v="0"/>
    <n v="0"/>
    <n v="0"/>
    <n v="1464.61"/>
    <n v="-183.01"/>
    <n v="0"/>
    <n v="0"/>
    <n v="0"/>
    <n v="0"/>
    <n v="0"/>
    <n v="1281.5999999999999"/>
    <n v="0"/>
  </r>
  <r>
    <x v="6"/>
    <x v="8"/>
    <x v="0"/>
    <s v="3250104"/>
    <n v="713010"/>
    <s v="Benefits-FICA/Medicare"/>
    <s v="Clinical Education"/>
    <x v="0"/>
    <m/>
    <n v="1181.29"/>
    <n v="1212.96"/>
    <n v="1112.05"/>
    <n v="869.92"/>
    <n v="1164.6400000000001"/>
    <n v="1085.03"/>
    <n v="1046.3800000000001"/>
    <n v="1086.43"/>
    <n v="1221.81"/>
    <n v="1265.8699999999999"/>
    <n v="1344.62"/>
    <n v="947.9"/>
    <n v="13538.9"/>
    <n v="396.71999999999991"/>
  </r>
  <r>
    <x v="6"/>
    <x v="8"/>
    <x v="0"/>
    <s v="3250104"/>
    <n v="713090"/>
    <s v="Benefits-Allocated Amounts"/>
    <s v="Clinical Education"/>
    <x v="0"/>
    <m/>
    <n v="2547.0300000000002"/>
    <n v="2340.92"/>
    <n v="2290.44"/>
    <n v="1806.41"/>
    <n v="2498.12"/>
    <n v="2133.88"/>
    <n v="2210.8000000000002"/>
    <n v="2474.04"/>
    <n v="2601.6999999999998"/>
    <n v="2933.68"/>
    <n v="2946.18"/>
    <n v="2162.08"/>
    <n v="28945.280000000006"/>
    <n v="784.09999999999991"/>
  </r>
  <r>
    <x v="14"/>
    <x v="5"/>
    <x v="0"/>
    <s v="3250106"/>
    <n v="600050"/>
    <s v="Miscellaneous Revenue"/>
    <s v="Clinical Education"/>
    <x v="0"/>
    <m/>
    <n v="0"/>
    <n v="0"/>
    <n v="0"/>
    <n v="0"/>
    <n v="0"/>
    <n v="0"/>
    <n v="0"/>
    <n v="0"/>
    <n v="0"/>
    <n v="0"/>
    <n v="-9400"/>
    <n v="0"/>
    <n v="-9400"/>
    <n v="-9400"/>
  </r>
  <r>
    <x v="5"/>
    <x v="5"/>
    <x v="0"/>
    <s v="3250106"/>
    <n v="700026"/>
    <s v="Salaries-RN-Productive"/>
    <s v="Clinical Education"/>
    <x v="0"/>
    <m/>
    <n v="47655.39"/>
    <n v="39482.04"/>
    <n v="43448.2"/>
    <n v="36222.449999999997"/>
    <n v="30891.4"/>
    <n v="32399.43"/>
    <n v="41014.54"/>
    <n v="41810.43"/>
    <n v="49755.02"/>
    <n v="44205.34"/>
    <n v="58693.55"/>
    <n v="45257.66"/>
    <n v="510835.44999999995"/>
    <n v="13435.89"/>
  </r>
  <r>
    <x v="5"/>
    <x v="5"/>
    <x v="0"/>
    <s v="3250106"/>
    <n v="700026"/>
    <s v="Salaries-RN-OT"/>
    <s v="Clinical Education"/>
    <x v="0"/>
    <n v="1000"/>
    <n v="44.81"/>
    <n v="-7.9"/>
    <n v="0"/>
    <n v="0"/>
    <n v="0"/>
    <n v="50.18"/>
    <n v="-6.27"/>
    <n v="0"/>
    <n v="0.39"/>
    <n v="88.24"/>
    <n v="-36.82"/>
    <n v="0"/>
    <n v="132.63"/>
    <n v="-36.82"/>
  </r>
  <r>
    <x v="5"/>
    <x v="5"/>
    <x v="0"/>
    <s v="3250106"/>
    <n v="700026"/>
    <s v="Salaries-RN-Other"/>
    <s v="Clinical Education"/>
    <x v="0"/>
    <n v="2000"/>
    <n v="158.86000000000001"/>
    <n v="49.67"/>
    <n v="198.67"/>
    <n v="167.87"/>
    <n v="138.94999999999999"/>
    <n v="1.81"/>
    <n v="-2"/>
    <n v="31.91"/>
    <n v="111.01"/>
    <n v="301.47000000000003"/>
    <n v="144.52000000000001"/>
    <n v="28.58"/>
    <n v="1331.3199999999997"/>
    <n v="115.94000000000001"/>
  </r>
  <r>
    <x v="5"/>
    <x v="5"/>
    <x v="0"/>
    <s v="3250106"/>
    <n v="700032"/>
    <s v="Salaries-Other Pat Care Providers-Productive"/>
    <s v="Clinical Education"/>
    <x v="0"/>
    <m/>
    <n v="0"/>
    <n v="0"/>
    <n v="200"/>
    <n v="0"/>
    <n v="0"/>
    <n v="0"/>
    <n v="0"/>
    <n v="0"/>
    <n v="0"/>
    <n v="234.57"/>
    <n v="92.48"/>
    <n v="6.38"/>
    <n v="533.42999999999995"/>
    <n v="86.100000000000009"/>
  </r>
  <r>
    <x v="5"/>
    <x v="5"/>
    <x v="0"/>
    <s v="3250106"/>
    <n v="700032"/>
    <s v="Salaries-Other Pat Care Providers-Other"/>
    <s v="Clinical Education"/>
    <x v="0"/>
    <n v="2000"/>
    <n v="0"/>
    <n v="0"/>
    <n v="0"/>
    <n v="0"/>
    <n v="0"/>
    <n v="0"/>
    <n v="0"/>
    <n v="0"/>
    <n v="0"/>
    <n v="16.28"/>
    <n v="9.4"/>
    <n v="0"/>
    <n v="25.68"/>
    <n v="9.4"/>
  </r>
  <r>
    <x v="5"/>
    <x v="5"/>
    <x v="0"/>
    <s v="3250106"/>
    <n v="700054"/>
    <s v="Salaries-Management-NonProd-Other"/>
    <s v="Clinical Education"/>
    <x v="0"/>
    <n v="2000"/>
    <n v="0"/>
    <n v="0"/>
    <n v="0"/>
    <n v="0"/>
    <n v="0"/>
    <n v="1143.3699999999999"/>
    <n v="-1143.3699999999999"/>
    <n v="0"/>
    <n v="0"/>
    <n v="0"/>
    <n v="0"/>
    <n v="0"/>
    <n v="0"/>
    <n v="0"/>
  </r>
  <r>
    <x v="5"/>
    <x v="5"/>
    <x v="0"/>
    <s v="3250106"/>
    <n v="700066"/>
    <s v="Salaries-RN-Non-productive"/>
    <s v="Clinical Education"/>
    <x v="0"/>
    <m/>
    <n v="5151.83"/>
    <n v="10924.33"/>
    <n v="2981.21"/>
    <n v="3157.39"/>
    <n v="1115.43"/>
    <n v="9676.6200000000008"/>
    <n v="3016.9"/>
    <n v="1683.97"/>
    <n v="-183.06"/>
    <n v="4677.82"/>
    <n v="1799.31"/>
    <n v="6660.01"/>
    <n v="50661.760000000002"/>
    <n v="-4860.7000000000007"/>
  </r>
  <r>
    <x v="5"/>
    <x v="5"/>
    <x v="0"/>
    <s v="3250106"/>
    <n v="700066"/>
    <s v="Salaries-RN-NonProd-Other"/>
    <s v="Clinical Educ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3250106"/>
    <n v="700084"/>
    <s v="Accrued PTO"/>
    <s v="Clinical Education"/>
    <x v="0"/>
    <m/>
    <n v="3414.7"/>
    <n v="-4571.67"/>
    <n v="1160.93"/>
    <n v="2064.9499999999998"/>
    <n v="-843.78"/>
    <n v="-1136.42"/>
    <n v="1157.8900000000001"/>
    <n v="2227.64"/>
    <n v="-7114.03"/>
    <n v="1104.95"/>
    <n v="1658.22"/>
    <n v="1520.5"/>
    <n v="643.87999999999988"/>
    <n v="137.72000000000003"/>
  </r>
  <r>
    <x v="6"/>
    <x v="5"/>
    <x v="0"/>
    <s v="3250106"/>
    <n v="713010"/>
    <s v="Benefits-FICA/Medicare"/>
    <s v="Clinical Education"/>
    <x v="0"/>
    <m/>
    <n v="3960.12"/>
    <n v="3764.01"/>
    <n v="5833.64"/>
    <n v="2991.56"/>
    <n v="3934.56"/>
    <n v="3274.68"/>
    <n v="3423.48"/>
    <n v="3301.45"/>
    <n v="3820.95"/>
    <n v="3738.5"/>
    <n v="4609.3599999999997"/>
    <n v="3934.96"/>
    <n v="46587.270000000004"/>
    <n v="674.39999999999964"/>
  </r>
  <r>
    <x v="6"/>
    <x v="5"/>
    <x v="0"/>
    <s v="3250106"/>
    <n v="713090"/>
    <s v="Benefits-Allocated Amounts"/>
    <s v="Clinical Education"/>
    <x v="0"/>
    <m/>
    <n v="9506.48"/>
    <n v="8860.8799999999992"/>
    <n v="8102.93"/>
    <n v="6423.51"/>
    <n v="5926.56"/>
    <n v="7923.79"/>
    <n v="8439.24"/>
    <n v="8630.89"/>
    <n v="8648.39"/>
    <n v="9472.65"/>
    <n v="11208.8"/>
    <n v="9851.01"/>
    <n v="102995.12999999999"/>
    <n v="1357.7899999999991"/>
  </r>
  <r>
    <x v="11"/>
    <x v="5"/>
    <x v="0"/>
    <s v="3250106"/>
    <n v="721980"/>
    <s v="Supplies-Other"/>
    <s v="Clinical Education"/>
    <x v="0"/>
    <m/>
    <n v="0"/>
    <n v="0"/>
    <n v="0"/>
    <n v="0"/>
    <n v="0"/>
    <n v="0"/>
    <n v="0"/>
    <n v="0"/>
    <n v="0"/>
    <n v="0"/>
    <n v="11.53"/>
    <n v="0"/>
    <n v="11.53"/>
    <n v="11.53"/>
  </r>
  <r>
    <x v="15"/>
    <x v="5"/>
    <x v="0"/>
    <s v="3250106"/>
    <n v="731060"/>
    <s v="Pagers"/>
    <s v="Clinical Education"/>
    <x v="0"/>
    <n v="1002"/>
    <n v="7.99"/>
    <n v="0"/>
    <n v="0"/>
    <n v="0"/>
    <n v="0"/>
    <n v="0"/>
    <n v="0"/>
    <n v="0"/>
    <n v="0"/>
    <n v="0"/>
    <n v="0"/>
    <n v="0"/>
    <n v="7.99"/>
    <n v="0"/>
  </r>
  <r>
    <x v="13"/>
    <x v="5"/>
    <x v="0"/>
    <s v="3250106"/>
    <n v="735070"/>
    <s v="Depreciation-Movable Equipment"/>
    <s v="Clinical Education"/>
    <x v="0"/>
    <m/>
    <n v="22.22"/>
    <n v="22.22"/>
    <n v="22.22"/>
    <n v="22.22"/>
    <n v="22.22"/>
    <n v="22.22"/>
    <n v="22.22"/>
    <n v="22.22"/>
    <n v="22.22"/>
    <n v="22.22"/>
    <n v="22.24"/>
    <n v="22.22"/>
    <n v="266.65999999999997"/>
    <n v="1.9999999999999574E-2"/>
  </r>
  <r>
    <x v="0"/>
    <x v="5"/>
    <x v="0"/>
    <s v="3250106"/>
    <n v="740020"/>
    <s v="Education-Registration Fees"/>
    <s v="Clinical Education"/>
    <x v="0"/>
    <m/>
    <n v="0"/>
    <n v="0"/>
    <n v="0"/>
    <n v="0"/>
    <n v="0"/>
    <n v="103"/>
    <n v="0"/>
    <n v="508"/>
    <n v="165"/>
    <n v="0"/>
    <n v="0"/>
    <n v="0"/>
    <n v="776"/>
    <n v="0"/>
  </r>
  <r>
    <x v="0"/>
    <x v="5"/>
    <x v="0"/>
    <s v="3250106"/>
    <n v="743030"/>
    <s v="Subscriptions--Institutional"/>
    <s v="Clinical Education"/>
    <x v="0"/>
    <m/>
    <n v="37"/>
    <n v="0"/>
    <n v="0"/>
    <n v="0"/>
    <n v="0"/>
    <n v="125"/>
    <n v="0"/>
    <n v="0"/>
    <n v="0"/>
    <n v="0"/>
    <n v="0"/>
    <n v="128.44"/>
    <n v="290.44"/>
    <n v="-128.44"/>
  </r>
  <r>
    <x v="0"/>
    <x v="5"/>
    <x v="0"/>
    <s v="3250106"/>
    <n v="743040"/>
    <s v="Subscriptions--Individual"/>
    <s v="Clinical Education"/>
    <x v="0"/>
    <m/>
    <n v="0"/>
    <n v="37"/>
    <n v="0"/>
    <n v="0"/>
    <n v="0"/>
    <n v="0"/>
    <n v="0"/>
    <n v="0"/>
    <n v="0"/>
    <n v="0"/>
    <n v="0"/>
    <n v="0"/>
    <n v="37"/>
    <n v="0"/>
  </r>
  <r>
    <x v="0"/>
    <x v="5"/>
    <x v="0"/>
    <s v="3250106"/>
    <n v="749510"/>
    <s v="Miscellaneous Expenses"/>
    <s v="Clinical Education"/>
    <x v="0"/>
    <m/>
    <n v="-147.71"/>
    <n v="-6.48"/>
    <n v="-30.52"/>
    <n v="0"/>
    <n v="0"/>
    <n v="0"/>
    <n v="0"/>
    <n v="33.64"/>
    <n v="0.57999999999999996"/>
    <n v="-34.22"/>
    <n v="128.44"/>
    <n v="-96.54"/>
    <n v="-152.81"/>
    <n v="224.98000000000002"/>
  </r>
  <r>
    <x v="0"/>
    <x v="5"/>
    <x v="0"/>
    <s v="3250106"/>
    <n v="749530"/>
    <s v="Mileage"/>
    <s v="Clinical Education"/>
    <x v="0"/>
    <n v="1001"/>
    <n v="191.87"/>
    <n v="115.54"/>
    <n v="149.88999999999999"/>
    <n v="0"/>
    <n v="46.33"/>
    <n v="183.15"/>
    <n v="192.31"/>
    <n v="78.3"/>
    <n v="66.7"/>
    <n v="82.94"/>
    <n v="49.88"/>
    <n v="129.34"/>
    <n v="1286.25"/>
    <n v="-79.460000000000008"/>
  </r>
  <r>
    <x v="14"/>
    <x v="6"/>
    <x v="0"/>
    <s v="3250107"/>
    <n v="600050"/>
    <s v="Miscellaneous Revenue"/>
    <s v="Clinical Education"/>
    <x v="0"/>
    <m/>
    <n v="-119"/>
    <n v="-68"/>
    <n v="0"/>
    <n v="0"/>
    <n v="0"/>
    <n v="0"/>
    <n v="-38"/>
    <n v="-38"/>
    <n v="0"/>
    <n v="-67"/>
    <n v="0"/>
    <n v="-140"/>
    <n v="-470"/>
    <n v="140"/>
  </r>
  <r>
    <x v="20"/>
    <x v="6"/>
    <x v="0"/>
    <s v="3250107"/>
    <n v="610010"/>
    <s v="Foundation Distributions"/>
    <s v="Clinical Education"/>
    <x v="0"/>
    <n v="1175"/>
    <n v="0"/>
    <n v="0"/>
    <n v="0"/>
    <n v="0"/>
    <n v="0"/>
    <n v="0"/>
    <n v="0"/>
    <n v="0"/>
    <n v="-300"/>
    <n v="0"/>
    <n v="0"/>
    <n v="-2933.79"/>
    <n v="-3233.79"/>
    <n v="2933.79"/>
  </r>
  <r>
    <x v="5"/>
    <x v="6"/>
    <x v="0"/>
    <s v="3250107"/>
    <n v="700018"/>
    <s v="Salaries-Supervisory-Productive"/>
    <s v="Clinical Education"/>
    <x v="0"/>
    <m/>
    <n v="0"/>
    <n v="0"/>
    <n v="0"/>
    <n v="0"/>
    <n v="0"/>
    <n v="0"/>
    <n v="0"/>
    <n v="0"/>
    <n v="0"/>
    <n v="6705.48"/>
    <n v="5308.95"/>
    <n v="-279.25"/>
    <n v="11735.18"/>
    <n v="5588.2"/>
  </r>
  <r>
    <x v="5"/>
    <x v="6"/>
    <x v="0"/>
    <s v="3250107"/>
    <n v="700026"/>
    <s v="Salaries-RN-Productive"/>
    <s v="Clinical Education"/>
    <x v="0"/>
    <m/>
    <n v="47931.95"/>
    <n v="60708.61"/>
    <n v="58944.56"/>
    <n v="64483.48"/>
    <n v="55470"/>
    <n v="49120.13"/>
    <n v="55568.53"/>
    <n v="51780.58"/>
    <n v="67114.31"/>
    <n v="39577.25"/>
    <n v="43682.58"/>
    <n v="51430.12"/>
    <n v="645812.1"/>
    <n v="-7747.5400000000009"/>
  </r>
  <r>
    <x v="5"/>
    <x v="6"/>
    <x v="0"/>
    <s v="3250107"/>
    <n v="700026"/>
    <s v="Salaries-RN-OT"/>
    <s v="Clinical Education"/>
    <x v="0"/>
    <n v="1000"/>
    <n v="0"/>
    <n v="0"/>
    <n v="143.97"/>
    <n v="0"/>
    <n v="0"/>
    <n v="0"/>
    <n v="0"/>
    <n v="0"/>
    <n v="0"/>
    <n v="0"/>
    <n v="0"/>
    <n v="85.72"/>
    <n v="229.69"/>
    <n v="-85.72"/>
  </r>
  <r>
    <x v="5"/>
    <x v="6"/>
    <x v="0"/>
    <s v="3250107"/>
    <n v="700026"/>
    <s v="Salaries-RN-Other"/>
    <s v="Clinical Education"/>
    <x v="0"/>
    <n v="2000"/>
    <n v="0"/>
    <n v="0"/>
    <n v="16.260000000000002"/>
    <n v="0"/>
    <n v="5.5"/>
    <n v="34.01"/>
    <n v="0"/>
    <n v="0"/>
    <n v="11.27"/>
    <n v="9.76"/>
    <n v="12.01"/>
    <n v="46.99"/>
    <n v="135.80000000000001"/>
    <n v="-34.980000000000004"/>
  </r>
  <r>
    <x v="5"/>
    <x v="6"/>
    <x v="0"/>
    <s v="3250107"/>
    <n v="700030"/>
    <s v="Salaries-LPN-Productive"/>
    <s v="Clinical Education"/>
    <x v="0"/>
    <m/>
    <n v="0"/>
    <n v="0"/>
    <n v="0"/>
    <n v="0"/>
    <n v="186.63"/>
    <n v="412.64"/>
    <n v="93.89"/>
    <n v="337.55"/>
    <n v="390.38"/>
    <n v="29.99"/>
    <n v="780.17"/>
    <n v="201.63"/>
    <n v="2432.88"/>
    <n v="578.54"/>
  </r>
  <r>
    <x v="5"/>
    <x v="6"/>
    <x v="0"/>
    <s v="3250107"/>
    <n v="700030"/>
    <s v="Salaries-LPN-Other"/>
    <s v="Clinical Education"/>
    <x v="0"/>
    <n v="2000"/>
    <n v="0"/>
    <n v="0"/>
    <n v="0"/>
    <n v="0"/>
    <n v="0"/>
    <n v="0"/>
    <n v="0"/>
    <n v="0"/>
    <n v="0"/>
    <n v="0"/>
    <n v="13.43"/>
    <n v="0"/>
    <n v="13.43"/>
    <n v="13.43"/>
  </r>
  <r>
    <x v="5"/>
    <x v="6"/>
    <x v="0"/>
    <s v="3250107"/>
    <n v="700032"/>
    <s v="Salaries-Other Pat Care Providers-Productive"/>
    <s v="Clinical Education"/>
    <x v="0"/>
    <m/>
    <n v="640.34"/>
    <n v="-112.95"/>
    <n v="179.62"/>
    <n v="462.2"/>
    <n v="105.1"/>
    <n v="375.58"/>
    <n v="100.77"/>
    <n v="433.92"/>
    <n v="341.49"/>
    <n v="283.67"/>
    <n v="663.06"/>
    <n v="405.04"/>
    <n v="3877.8399999999997"/>
    <n v="258.01999999999992"/>
  </r>
  <r>
    <x v="5"/>
    <x v="6"/>
    <x v="0"/>
    <s v="3250107"/>
    <n v="700032"/>
    <s v="Salaries-Other Pat Care Providers-OT"/>
    <s v="Clinical Education"/>
    <x v="0"/>
    <n v="1000"/>
    <n v="0"/>
    <n v="0"/>
    <n v="0"/>
    <n v="76.39"/>
    <n v="-33.61"/>
    <n v="0"/>
    <n v="0"/>
    <n v="0"/>
    <n v="0"/>
    <n v="0"/>
    <n v="77.23"/>
    <n v="-75.41"/>
    <n v="44.600000000000009"/>
    <n v="152.63999999999999"/>
  </r>
  <r>
    <x v="5"/>
    <x v="6"/>
    <x v="0"/>
    <s v="3250107"/>
    <n v="700032"/>
    <s v="Salaries-Other Pat Care Providers-Other"/>
    <s v="Clinical Education"/>
    <x v="0"/>
    <n v="2000"/>
    <n v="0"/>
    <n v="0"/>
    <n v="0"/>
    <n v="22.91"/>
    <n v="-10.08"/>
    <n v="0"/>
    <n v="0"/>
    <n v="0"/>
    <n v="0"/>
    <n v="0"/>
    <n v="19.940000000000001"/>
    <n v="-8.19"/>
    <n v="24.580000000000005"/>
    <n v="28.130000000000003"/>
  </r>
  <r>
    <x v="5"/>
    <x v="6"/>
    <x v="0"/>
    <s v="3250107"/>
    <n v="700034"/>
    <s v="Salaries-Tech/Professional-Productive"/>
    <s v="Clinical Education"/>
    <x v="0"/>
    <m/>
    <n v="7233.91"/>
    <n v="12126.28"/>
    <n v="6212.87"/>
    <n v="5687.42"/>
    <n v="7185.17"/>
    <n v="5290.88"/>
    <n v="6293.3"/>
    <n v="4811.7299999999996"/>
    <n v="8414.5499999999993"/>
    <n v="7241.51"/>
    <n v="7463.14"/>
    <n v="6182.6"/>
    <n v="84143.360000000001"/>
    <n v="1280.54"/>
  </r>
  <r>
    <x v="5"/>
    <x v="6"/>
    <x v="0"/>
    <s v="3250107"/>
    <n v="700034"/>
    <s v="Salaries-Tech/Professional-OT"/>
    <s v="Clinical Education"/>
    <x v="0"/>
    <n v="1000"/>
    <n v="0"/>
    <n v="0"/>
    <n v="0"/>
    <n v="529.79999999999995"/>
    <n v="50.45"/>
    <n v="413.01"/>
    <n v="0"/>
    <n v="0"/>
    <n v="351.19"/>
    <n v="-104.09"/>
    <n v="32.99"/>
    <n v="831.05"/>
    <n v="2104.4"/>
    <n v="-798.06"/>
  </r>
  <r>
    <x v="5"/>
    <x v="6"/>
    <x v="0"/>
    <s v="3250107"/>
    <n v="700038"/>
    <s v="Salaries-Service/Support-Productive"/>
    <s v="Clinical Education"/>
    <x v="0"/>
    <m/>
    <n v="12183.72"/>
    <n v="11378.49"/>
    <n v="13348.48"/>
    <n v="12702.3"/>
    <n v="13966.28"/>
    <n v="10120.52"/>
    <n v="12070.8"/>
    <n v="9935.6200000000008"/>
    <n v="14679.04"/>
    <n v="13678.69"/>
    <n v="7806.52"/>
    <n v="15181.71"/>
    <n v="147052.16999999998"/>
    <n v="-7375.1899999999987"/>
  </r>
  <r>
    <x v="5"/>
    <x v="6"/>
    <x v="0"/>
    <s v="3250107"/>
    <n v="700038"/>
    <s v="Salaries-Service/Support-OT"/>
    <s v="Clinical Education"/>
    <x v="0"/>
    <n v="1000"/>
    <n v="0"/>
    <n v="0"/>
    <n v="0"/>
    <n v="34.17"/>
    <n v="45.03"/>
    <n v="787.21"/>
    <n v="-9.98"/>
    <n v="23.38"/>
    <n v="359.46"/>
    <n v="-60.11"/>
    <n v="23.38"/>
    <n v="11.69"/>
    <n v="1214.2300000000002"/>
    <n v="11.69"/>
  </r>
  <r>
    <x v="5"/>
    <x v="6"/>
    <x v="0"/>
    <s v="3250107"/>
    <n v="700038"/>
    <s v="Salaries-Service/Support-Other"/>
    <s v="Clinical Education"/>
    <x v="0"/>
    <n v="2000"/>
    <n v="272.01"/>
    <n v="249.87"/>
    <n v="340.05"/>
    <n v="366.05"/>
    <n v="270.36"/>
    <n v="405.9"/>
    <n v="338.25"/>
    <n v="238.39"/>
    <n v="363.53"/>
    <n v="352.85"/>
    <n v="159.25"/>
    <n v="453.72"/>
    <n v="3810.2299999999996"/>
    <n v="-294.47000000000003"/>
  </r>
  <r>
    <x v="5"/>
    <x v="6"/>
    <x v="0"/>
    <s v="3250107"/>
    <n v="700054"/>
    <s v="Salaries-Management-NonProd-Other"/>
    <s v="Clinical Education"/>
    <x v="0"/>
    <n v="2000"/>
    <n v="0"/>
    <n v="0"/>
    <n v="0"/>
    <n v="0"/>
    <n v="0"/>
    <n v="40"/>
    <n v="-40"/>
    <n v="0"/>
    <n v="0"/>
    <n v="0"/>
    <n v="0"/>
    <n v="0"/>
    <n v="0"/>
    <n v="0"/>
  </r>
  <r>
    <x v="5"/>
    <x v="6"/>
    <x v="0"/>
    <s v="3250107"/>
    <n v="700066"/>
    <s v="Salaries-RN-Non-productive"/>
    <s v="Clinical Education"/>
    <x v="0"/>
    <m/>
    <n v="12761.86"/>
    <n v="3293.61"/>
    <n v="4108.38"/>
    <n v="182.71"/>
    <n v="8898.11"/>
    <n v="13075.17"/>
    <n v="9986.23"/>
    <n v="12068.48"/>
    <n v="-506.36"/>
    <n v="7756.13"/>
    <n v="3850.89"/>
    <n v="3022.73"/>
    <n v="78497.94"/>
    <n v="828.15999999999985"/>
  </r>
  <r>
    <x v="5"/>
    <x v="6"/>
    <x v="0"/>
    <s v="3250107"/>
    <n v="700066"/>
    <s v="Salaries-RN-NonProd-Other"/>
    <s v="Clinical Educ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250107"/>
    <n v="700074"/>
    <s v="Salaries-Tech/Professional-Non-productive"/>
    <s v="Clinical Education"/>
    <x v="0"/>
    <m/>
    <n v="9991.7000000000007"/>
    <n v="5351.74"/>
    <n v="3186.19"/>
    <n v="1663.33"/>
    <n v="0"/>
    <n v="3155.87"/>
    <n v="632.71"/>
    <n v="1811.66"/>
    <n v="-310.37"/>
    <n v="0"/>
    <n v="0"/>
    <n v="1670.57"/>
    <n v="27153.399999999998"/>
    <n v="-1670.57"/>
  </r>
  <r>
    <x v="5"/>
    <x v="6"/>
    <x v="0"/>
    <s v="3250107"/>
    <n v="700078"/>
    <s v="Salaries-Service/Support-Non-productive"/>
    <s v="Clinical Education"/>
    <x v="0"/>
    <m/>
    <n v="1141.03"/>
    <n v="1707.62"/>
    <n v="499.85"/>
    <n v="1888.79"/>
    <n v="-279.81"/>
    <n v="4084.97"/>
    <n v="1859.4"/>
    <n v="2252.88"/>
    <n v="458.41"/>
    <n v="160.61000000000001"/>
    <n v="5177.2299999999996"/>
    <n v="-724.71"/>
    <n v="18226.27"/>
    <n v="5901.94"/>
  </r>
  <r>
    <x v="5"/>
    <x v="6"/>
    <x v="0"/>
    <s v="3250107"/>
    <n v="700078"/>
    <s v="Salaries-Service/Support-NonProd-Other"/>
    <s v="Clinical Educ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250107"/>
    <n v="700084"/>
    <s v="Accrued PTO"/>
    <s v="Clinical Education"/>
    <x v="0"/>
    <m/>
    <n v="-6524"/>
    <n v="-1071.24"/>
    <n v="-78.069999999999993"/>
    <n v="8037.65"/>
    <n v="910.35"/>
    <n v="-6345.82"/>
    <n v="-3042.82"/>
    <n v="-771.25"/>
    <n v="5779.99"/>
    <n v="1823.46"/>
    <n v="618.01"/>
    <n v="2896.87"/>
    <n v="2233.130000000001"/>
    <n v="-2278.8599999999997"/>
  </r>
  <r>
    <x v="6"/>
    <x v="6"/>
    <x v="0"/>
    <s v="3250107"/>
    <n v="713010"/>
    <s v="Benefits-FICA/Medicare"/>
    <s v="Clinical Education"/>
    <x v="0"/>
    <m/>
    <n v="6924.7"/>
    <n v="7116.2"/>
    <n v="6829.19"/>
    <n v="6631.32"/>
    <n v="6449.98"/>
    <n v="6698.06"/>
    <n v="6542.4"/>
    <n v="6295.77"/>
    <n v="6898.69"/>
    <n v="6355.58"/>
    <n v="5649.77"/>
    <n v="5905.2"/>
    <n v="78296.86"/>
    <n v="-255.42999999999938"/>
  </r>
  <r>
    <x v="6"/>
    <x v="6"/>
    <x v="0"/>
    <s v="3250107"/>
    <n v="713090"/>
    <s v="Benefits-Allocated Amounts"/>
    <s v="Clinical Education"/>
    <x v="0"/>
    <m/>
    <n v="13547.17"/>
    <n v="12536.51"/>
    <n v="13070.74"/>
    <n v="13097.91"/>
    <n v="14256.54"/>
    <n v="13386.07"/>
    <n v="13060.37"/>
    <n v="13449.18"/>
    <n v="11760.56"/>
    <n v="12825.62"/>
    <n v="11548.96"/>
    <n v="14601.76"/>
    <n v="157141.38999999998"/>
    <n v="-3052.8000000000011"/>
  </r>
  <r>
    <x v="6"/>
    <x v="6"/>
    <x v="0"/>
    <s v="3250107"/>
    <n v="713096"/>
    <s v="Employee Recognition"/>
    <s v="Clinical Education"/>
    <x v="0"/>
    <n v="1017"/>
    <n v="0"/>
    <n v="45.71"/>
    <n v="21.78"/>
    <n v="65.11"/>
    <n v="95.71"/>
    <n v="63.76"/>
    <n v="28.2"/>
    <n v="0"/>
    <n v="315.27"/>
    <n v="35.57"/>
    <n v="32.97"/>
    <n v="32.97"/>
    <n v="737.05000000000007"/>
    <n v="0"/>
  </r>
  <r>
    <x v="7"/>
    <x v="6"/>
    <x v="0"/>
    <s v="3250107"/>
    <n v="718050"/>
    <s v="Contract Svcs-Other"/>
    <s v="Clinical Education"/>
    <x v="0"/>
    <m/>
    <n v="0"/>
    <n v="0"/>
    <n v="0"/>
    <n v="0"/>
    <n v="0"/>
    <n v="0"/>
    <n v="0"/>
    <n v="0"/>
    <n v="0"/>
    <n v="0"/>
    <n v="5180.3599999999997"/>
    <n v="3538.25"/>
    <n v="8718.61"/>
    <n v="1642.1099999999997"/>
  </r>
  <r>
    <x v="7"/>
    <x v="6"/>
    <x v="0"/>
    <s v="3250107"/>
    <n v="718050"/>
    <s v="Miscellaneous Purchased Svcs"/>
    <s v="Clinical Education"/>
    <x v="0"/>
    <n v="1020"/>
    <n v="0"/>
    <n v="0"/>
    <n v="62739.86"/>
    <n v="0"/>
    <n v="0"/>
    <n v="0"/>
    <n v="867.64"/>
    <n v="122.64"/>
    <n v="300"/>
    <n v="0"/>
    <n v="57559.5"/>
    <n v="21146.99"/>
    <n v="142736.63"/>
    <n v="36412.509999999995"/>
  </r>
  <r>
    <x v="11"/>
    <x v="6"/>
    <x v="0"/>
    <s v="3250107"/>
    <n v="721010"/>
    <s v="Supplies-Medical - Billable"/>
    <s v="Clinical Education"/>
    <x v="0"/>
    <m/>
    <n v="0"/>
    <n v="1078.5"/>
    <n v="364.59"/>
    <n v="0"/>
    <n v="0"/>
    <n v="0"/>
    <n v="562.79999999999995"/>
    <n v="511"/>
    <n v="13.3"/>
    <n v="328.53"/>
    <n v="0"/>
    <n v="340.55"/>
    <n v="3199.2700000000004"/>
    <n v="-340.55"/>
  </r>
  <r>
    <x v="11"/>
    <x v="6"/>
    <x v="0"/>
    <s v="3250107"/>
    <n v="721020"/>
    <s v="Supplies-Surgical - Billable"/>
    <s v="Clinical Education"/>
    <x v="0"/>
    <m/>
    <n v="0"/>
    <n v="0"/>
    <n v="0"/>
    <n v="0"/>
    <n v="0"/>
    <n v="65.62"/>
    <n v="0"/>
    <n v="0"/>
    <n v="0"/>
    <n v="0"/>
    <n v="0"/>
    <n v="0"/>
    <n v="65.62"/>
    <n v="0"/>
  </r>
  <r>
    <x v="11"/>
    <x v="6"/>
    <x v="0"/>
    <s v="3250107"/>
    <n v="721020"/>
    <s v="Custom Packs"/>
    <s v="Clinical Education"/>
    <x v="0"/>
    <n v="1000"/>
    <n v="0"/>
    <n v="0"/>
    <n v="0"/>
    <n v="0"/>
    <n v="0"/>
    <n v="0"/>
    <n v="0"/>
    <n v="198.6"/>
    <n v="0"/>
    <n v="39.72"/>
    <n v="0"/>
    <n v="0"/>
    <n v="238.32"/>
    <n v="0"/>
  </r>
  <r>
    <x v="11"/>
    <x v="6"/>
    <x v="0"/>
    <s v="3250107"/>
    <n v="721240"/>
    <s v="Supplies-IV Solutions/Supplies - Billable"/>
    <s v="Clinical Education"/>
    <x v="0"/>
    <m/>
    <n v="0"/>
    <n v="445"/>
    <n v="0"/>
    <n v="0"/>
    <n v="0"/>
    <n v="0"/>
    <n v="0"/>
    <n v="89"/>
    <n v="178"/>
    <n v="89"/>
    <n v="0"/>
    <n v="89"/>
    <n v="890"/>
    <n v="-89"/>
  </r>
  <r>
    <x v="11"/>
    <x v="6"/>
    <x v="0"/>
    <s v="3250107"/>
    <n v="721410"/>
    <s v="Supplies-Medical - Nonbillable"/>
    <s v="Clinical Education"/>
    <x v="0"/>
    <m/>
    <n v="14.55"/>
    <n v="0"/>
    <n v="0"/>
    <n v="163.92"/>
    <n v="0"/>
    <n v="-6.29"/>
    <n v="9.6999999999999993"/>
    <n v="99.49"/>
    <n v="0"/>
    <n v="-277.61"/>
    <n v="1482.45"/>
    <n v="2.1"/>
    <n v="1488.31"/>
    <n v="1480.3500000000001"/>
  </r>
  <r>
    <x v="11"/>
    <x v="6"/>
    <x v="0"/>
    <s v="3250107"/>
    <n v="721420"/>
    <s v="Supplies-Surgical Nonbillable"/>
    <s v="Clinical Education"/>
    <x v="0"/>
    <m/>
    <n v="0"/>
    <n v="0"/>
    <n v="0"/>
    <n v="0"/>
    <n v="0"/>
    <n v="0"/>
    <n v="3.03"/>
    <n v="0"/>
    <n v="8.3800000000000008"/>
    <n v="0"/>
    <n v="0"/>
    <n v="0"/>
    <n v="11.41"/>
    <n v="0"/>
  </r>
  <r>
    <x v="11"/>
    <x v="6"/>
    <x v="0"/>
    <s v="3250107"/>
    <n v="721610"/>
    <s v="Supplies-Anesthesia - Nonbillable"/>
    <s v="Clinical Education"/>
    <x v="0"/>
    <m/>
    <n v="1943.16"/>
    <n v="325.64999999999998"/>
    <n v="341.14"/>
    <n v="411.9"/>
    <n v="848.31"/>
    <n v="628.01"/>
    <n v="650.41999999999996"/>
    <n v="1208.3499999999999"/>
    <n v="165.87"/>
    <n v="356.44"/>
    <n v="712.88"/>
    <n v="1981.11"/>
    <n v="9573.24"/>
    <n v="-1268.23"/>
  </r>
  <r>
    <x v="11"/>
    <x v="6"/>
    <x v="0"/>
    <s v="3250107"/>
    <n v="721710"/>
    <s v="Supplies-Laboratory - Nonbillable"/>
    <s v="Clinical Education"/>
    <x v="0"/>
    <m/>
    <n v="0"/>
    <n v="0"/>
    <n v="0"/>
    <n v="0"/>
    <n v="0"/>
    <n v="0"/>
    <n v="0"/>
    <n v="0"/>
    <n v="0"/>
    <n v="23.9"/>
    <n v="0"/>
    <n v="0"/>
    <n v="23.9"/>
    <n v="0"/>
  </r>
  <r>
    <x v="11"/>
    <x v="6"/>
    <x v="0"/>
    <s v="3250107"/>
    <n v="721810"/>
    <s v="Supplies-Dietary/Cafeteria"/>
    <s v="Clinical Education"/>
    <x v="0"/>
    <m/>
    <n v="69.7"/>
    <n v="823.66"/>
    <n v="613.45000000000005"/>
    <n v="175.73"/>
    <n v="90.3"/>
    <n v="72.930000000000007"/>
    <n v="88.93"/>
    <n v="236.63"/>
    <n v="660.95"/>
    <n v="279.23"/>
    <n v="148.51"/>
    <n v="135.41"/>
    <n v="3395.4299999999994"/>
    <n v="13.099999999999994"/>
  </r>
  <r>
    <x v="11"/>
    <x v="6"/>
    <x v="0"/>
    <s v="3250107"/>
    <n v="721830"/>
    <s v="Supplies-Office"/>
    <s v="Clinical Education"/>
    <x v="0"/>
    <m/>
    <n v="185.07"/>
    <n v="516.51"/>
    <n v="394.44"/>
    <n v="323.57"/>
    <n v="66.5"/>
    <n v="302.93"/>
    <n v="146.83000000000001"/>
    <n v="256.64999999999998"/>
    <n v="315.74"/>
    <n v="97.5"/>
    <n v="0"/>
    <n v="47.04"/>
    <n v="2652.7799999999997"/>
    <n v="-47.04"/>
  </r>
  <r>
    <x v="11"/>
    <x v="6"/>
    <x v="0"/>
    <s v="3250107"/>
    <n v="721835"/>
    <s v="Supplies-Forms"/>
    <s v="Clinical Education"/>
    <x v="0"/>
    <m/>
    <n v="0"/>
    <n v="0"/>
    <n v="0"/>
    <n v="0"/>
    <n v="98"/>
    <n v="0"/>
    <n v="0"/>
    <n v="0"/>
    <n v="0"/>
    <n v="0"/>
    <n v="22.92"/>
    <n v="200.2"/>
    <n v="321.12"/>
    <n v="-177.27999999999997"/>
  </r>
  <r>
    <x v="11"/>
    <x v="6"/>
    <x v="0"/>
    <s v="3250107"/>
    <n v="721910"/>
    <s v="Supplies-Small Equipment"/>
    <s v="Clinical Education"/>
    <x v="0"/>
    <m/>
    <n v="138.31"/>
    <n v="12.45"/>
    <n v="633.78"/>
    <n v="0"/>
    <n v="0"/>
    <n v="0"/>
    <n v="4.08"/>
    <n v="0"/>
    <n v="0"/>
    <n v="0"/>
    <n v="0"/>
    <n v="0"/>
    <n v="788.62"/>
    <n v="0"/>
  </r>
  <r>
    <x v="11"/>
    <x v="6"/>
    <x v="0"/>
    <s v="3250107"/>
    <n v="721980"/>
    <s v="Supplies-Other"/>
    <s v="Clinical Education"/>
    <x v="0"/>
    <m/>
    <n v="7.03"/>
    <n v="281.32"/>
    <n v="1070.3499999999999"/>
    <n v="60.78"/>
    <n v="1013.93"/>
    <n v="358.23"/>
    <n v="46.09"/>
    <n v="111.96"/>
    <n v="-7.77"/>
    <n v="455.98"/>
    <n v="0"/>
    <n v="0"/>
    <n v="3397.9"/>
    <n v="0"/>
  </r>
  <r>
    <x v="11"/>
    <x v="6"/>
    <x v="0"/>
    <s v="3250107"/>
    <n v="722000"/>
    <s v="Supplies-Freight Expense"/>
    <s v="Clinical Education"/>
    <x v="0"/>
    <m/>
    <n v="0"/>
    <n v="7.93"/>
    <n v="64.209999999999994"/>
    <n v="0"/>
    <n v="0"/>
    <n v="0"/>
    <n v="0"/>
    <n v="0"/>
    <n v="0"/>
    <n v="8.26"/>
    <n v="0"/>
    <n v="9.2899999999999991"/>
    <n v="89.69"/>
    <n v="-9.2899999999999991"/>
  </r>
  <r>
    <x v="12"/>
    <x v="6"/>
    <x v="0"/>
    <s v="3250107"/>
    <n v="730010"/>
    <s v="Rental and Leases-Building (DO NOT USE)"/>
    <s v="Clinical Education"/>
    <x v="0"/>
    <m/>
    <n v="3090"/>
    <n v="3090"/>
    <n v="3090"/>
    <n v="3090"/>
    <n v="3090"/>
    <n v="3090"/>
    <n v="3090"/>
    <n v="3090"/>
    <n v="3090"/>
    <n v="3090"/>
    <n v="3090"/>
    <n v="0"/>
    <n v="33990"/>
    <n v="3090"/>
  </r>
  <r>
    <x v="12"/>
    <x v="6"/>
    <x v="0"/>
    <s v="3250107"/>
    <n v="730020"/>
    <s v="Rental and Leases-Copier Usage Fees (DO NOT USE)"/>
    <s v="Clinical Education"/>
    <x v="0"/>
    <n v="5100"/>
    <n v="1.6"/>
    <n v="1.28"/>
    <n v="1.44"/>
    <n v="1.44"/>
    <n v="1.44"/>
    <n v="1.44"/>
    <n v="351.79"/>
    <n v="46.34"/>
    <n v="46.24"/>
    <n v="46.44"/>
    <n v="46.34"/>
    <n v="50.65"/>
    <n v="596.43999999999994"/>
    <n v="-4.3099999999999952"/>
  </r>
  <r>
    <x v="12"/>
    <x v="6"/>
    <x v="0"/>
    <s v="3250107"/>
    <n v="730040"/>
    <s v="LT Lease-Real Estate"/>
    <s v="Clinical Education"/>
    <x v="0"/>
    <m/>
    <n v="0"/>
    <n v="0"/>
    <n v="0"/>
    <n v="0"/>
    <n v="0"/>
    <n v="0"/>
    <n v="0"/>
    <n v="0"/>
    <n v="0"/>
    <n v="0"/>
    <n v="0"/>
    <n v="3090"/>
    <n v="3090"/>
    <n v="-3090"/>
  </r>
  <r>
    <x v="16"/>
    <x v="6"/>
    <x v="0"/>
    <s v="3250107"/>
    <n v="732030"/>
    <s v="Repairs---Other"/>
    <s v="Clinical Education"/>
    <x v="0"/>
    <m/>
    <n v="0"/>
    <n v="0"/>
    <n v="0"/>
    <n v="0"/>
    <n v="0"/>
    <n v="0"/>
    <n v="921.05"/>
    <n v="0"/>
    <n v="286.17"/>
    <n v="0"/>
    <n v="1810.58"/>
    <n v="31.18"/>
    <n v="3048.98"/>
    <n v="1779.3999999999999"/>
  </r>
  <r>
    <x v="13"/>
    <x v="6"/>
    <x v="0"/>
    <s v="3250107"/>
    <n v="735070"/>
    <s v="Depreciation-Movable Equipment"/>
    <s v="Clinical Education"/>
    <x v="0"/>
    <m/>
    <n v="88.77"/>
    <n v="88.77"/>
    <n v="88.77"/>
    <n v="88.77"/>
    <n v="88.77"/>
    <n v="88.77"/>
    <n v="91.85"/>
    <n v="91.85"/>
    <n v="91.85"/>
    <n v="91.85"/>
    <n v="91.86"/>
    <n v="91.85"/>
    <n v="1083.73"/>
    <n v="1.0000000000005116E-2"/>
  </r>
  <r>
    <x v="0"/>
    <x v="6"/>
    <x v="0"/>
    <s v="3250107"/>
    <n v="740010"/>
    <s v="Education-Materials"/>
    <s v="Clinical Education"/>
    <x v="0"/>
    <m/>
    <n v="-2051.38"/>
    <n v="2472.7800000000002"/>
    <n v="4875.0200000000004"/>
    <n v="-275.39999999999998"/>
    <n v="1607.81"/>
    <n v="117.15"/>
    <n v="3518.99"/>
    <n v="0.8"/>
    <n v="-1887.18"/>
    <n v="348.84"/>
    <n v="2175.04"/>
    <n v="1193.9000000000001"/>
    <n v="12096.369999999997"/>
    <n v="981.13999999999987"/>
  </r>
  <r>
    <x v="0"/>
    <x v="6"/>
    <x v="0"/>
    <s v="3250107"/>
    <n v="740020"/>
    <s v="Education-Registration Fees"/>
    <s v="Clinical Education"/>
    <x v="0"/>
    <m/>
    <n v="0"/>
    <n v="0"/>
    <n v="0"/>
    <n v="0"/>
    <n v="60"/>
    <n v="0"/>
    <n v="0"/>
    <n v="0"/>
    <n v="0"/>
    <n v="0"/>
    <n v="0"/>
    <n v="0"/>
    <n v="60"/>
    <n v="0"/>
  </r>
  <r>
    <x v="0"/>
    <x v="6"/>
    <x v="0"/>
    <s v="3250107"/>
    <n v="743030"/>
    <s v="Subscriptions--Institutional"/>
    <s v="Clinical Education"/>
    <x v="0"/>
    <m/>
    <n v="1515.1"/>
    <n v="0"/>
    <n v="0"/>
    <n v="0"/>
    <n v="0"/>
    <n v="0"/>
    <n v="0"/>
    <n v="0"/>
    <n v="0"/>
    <n v="0"/>
    <n v="0"/>
    <n v="349"/>
    <n v="1864.1"/>
    <n v="-349"/>
  </r>
  <r>
    <x v="0"/>
    <x v="6"/>
    <x v="0"/>
    <s v="3250107"/>
    <n v="743040"/>
    <s v="Subscriptions--Individual"/>
    <s v="Clinical Education"/>
    <x v="0"/>
    <m/>
    <n v="0"/>
    <n v="209"/>
    <n v="0"/>
    <n v="0"/>
    <n v="0"/>
    <n v="0"/>
    <n v="0"/>
    <n v="0"/>
    <n v="0"/>
    <n v="0"/>
    <n v="0"/>
    <n v="0"/>
    <n v="209"/>
    <n v="0"/>
  </r>
  <r>
    <x v="0"/>
    <x v="6"/>
    <x v="0"/>
    <s v="3250107"/>
    <n v="749510"/>
    <s v="Miscellaneous Expenses"/>
    <s v="Clinical Education"/>
    <x v="0"/>
    <m/>
    <n v="-49.55"/>
    <n v="74.09"/>
    <n v="-159.72999999999999"/>
    <n v="0"/>
    <n v="62.76"/>
    <n v="117.01"/>
    <n v="203.73"/>
    <n v="-305.57"/>
    <n v="-45.24"/>
    <n v="253.71"/>
    <n v="-172.6"/>
    <n v="-81.11"/>
    <n v="-102.49999999999999"/>
    <n v="-91.49"/>
  </r>
  <r>
    <x v="0"/>
    <x v="6"/>
    <x v="0"/>
    <s v="3250107"/>
    <n v="749510"/>
    <s v="Licenses"/>
    <s v="Clinical Education"/>
    <x v="0"/>
    <n v="1002"/>
    <n v="0"/>
    <n v="0"/>
    <n v="0"/>
    <n v="275"/>
    <n v="0"/>
    <n v="0"/>
    <n v="0"/>
    <n v="0"/>
    <n v="0"/>
    <n v="0"/>
    <n v="0"/>
    <n v="0"/>
    <n v="275"/>
    <n v="0"/>
  </r>
  <r>
    <x v="0"/>
    <x v="6"/>
    <x v="0"/>
    <s v="3250107"/>
    <n v="749530"/>
    <s v="Travel"/>
    <s v="Clinical Education"/>
    <x v="0"/>
    <m/>
    <n v="30"/>
    <n v="6"/>
    <n v="92.49"/>
    <n v="39"/>
    <n v="6"/>
    <n v="6"/>
    <n v="12"/>
    <n v="6"/>
    <n v="18"/>
    <n v="0"/>
    <n v="116.3"/>
    <n v="6"/>
    <n v="337.79"/>
    <n v="110.3"/>
  </r>
  <r>
    <x v="0"/>
    <x v="6"/>
    <x v="0"/>
    <s v="3250107"/>
    <n v="749530"/>
    <s v="Mileage"/>
    <s v="Clinical Education"/>
    <x v="0"/>
    <n v="1001"/>
    <n v="353.83"/>
    <n v="284.73"/>
    <n v="541.4"/>
    <n v="470.44"/>
    <n v="190.31"/>
    <n v="151.65"/>
    <n v="277.88"/>
    <n v="172.26"/>
    <n v="276.08"/>
    <n v="239.54"/>
    <n v="170.52"/>
    <n v="263.89999999999998"/>
    <n v="3392.54"/>
    <n v="-93.379999999999967"/>
  </r>
  <r>
    <x v="0"/>
    <x v="6"/>
    <x v="0"/>
    <s v="3250107"/>
    <n v="749535"/>
    <s v="Meetings"/>
    <s v="Clinical Education"/>
    <x v="0"/>
    <m/>
    <n v="0"/>
    <n v="0"/>
    <n v="113.4"/>
    <n v="0"/>
    <n v="0"/>
    <n v="98.06"/>
    <n v="0"/>
    <n v="0"/>
    <n v="0"/>
    <n v="0"/>
    <n v="70"/>
    <n v="0"/>
    <n v="281.46000000000004"/>
    <n v="70"/>
  </r>
  <r>
    <x v="5"/>
    <x v="6"/>
    <x v="0"/>
    <s v="3251107"/>
    <n v="700032"/>
    <s v="Salaries-Other Pat Care Providers-Productive"/>
    <s v="Organizational Development"/>
    <x v="0"/>
    <m/>
    <n v="165.88"/>
    <n v="-29.26"/>
    <n v="176.88"/>
    <n v="0"/>
    <n v="0"/>
    <n v="0"/>
    <n v="0"/>
    <n v="0"/>
    <n v="0"/>
    <n v="68.41"/>
    <n v="-28.5"/>
    <n v="0"/>
    <n v="353.40999999999997"/>
    <n v="-28.5"/>
  </r>
  <r>
    <x v="5"/>
    <x v="6"/>
    <x v="0"/>
    <s v="3251107"/>
    <n v="700032"/>
    <s v="Salaries-Other Pat Care Providers-OT"/>
    <s v="Organizational Development"/>
    <x v="0"/>
    <n v="1000"/>
    <n v="0"/>
    <n v="0"/>
    <n v="0"/>
    <n v="0"/>
    <n v="0"/>
    <n v="0"/>
    <n v="0"/>
    <n v="0"/>
    <n v="0"/>
    <n v="14.78"/>
    <n v="-6.15"/>
    <n v="0"/>
    <n v="8.629999999999999"/>
    <n v="-6.15"/>
  </r>
  <r>
    <x v="6"/>
    <x v="6"/>
    <x v="0"/>
    <s v="3251107"/>
    <n v="713010"/>
    <s v="Benefits-FICA/Medicare"/>
    <s v="Organizational Development"/>
    <x v="0"/>
    <m/>
    <n v="12.68"/>
    <n v="-2.23"/>
    <n v="13.53"/>
    <n v="0"/>
    <n v="0"/>
    <n v="0"/>
    <n v="0"/>
    <n v="0"/>
    <n v="0"/>
    <n v="6.36"/>
    <n v="-2.64"/>
    <n v="0"/>
    <n v="27.699999999999996"/>
    <n v="-2.64"/>
  </r>
  <r>
    <x v="6"/>
    <x v="6"/>
    <x v="0"/>
    <s v="3251107"/>
    <n v="713090"/>
    <s v="Benefits-Allocated Amounts"/>
    <s v="Organizational Development"/>
    <x v="0"/>
    <m/>
    <n v="65.11"/>
    <n v="-30.86"/>
    <n v="59.87"/>
    <n v="-24.47"/>
    <n v="20"/>
    <n v="18.54"/>
    <n v="-3.96"/>
    <n v="15.12"/>
    <n v="14.17"/>
    <n v="15.8"/>
    <n v="15.26"/>
    <n v="17.850000000000001"/>
    <n v="182.43"/>
    <n v="-2.5900000000000016"/>
  </r>
  <r>
    <x v="11"/>
    <x v="6"/>
    <x v="0"/>
    <s v="3251107"/>
    <n v="721810"/>
    <s v="Supplies-Dietary/Cafeteria"/>
    <s v="Organizational Development"/>
    <x v="0"/>
    <m/>
    <n v="0"/>
    <n v="579.29999999999995"/>
    <n v="0"/>
    <n v="0"/>
    <n v="0"/>
    <n v="0"/>
    <n v="185.49"/>
    <n v="0"/>
    <n v="0"/>
    <n v="72"/>
    <n v="120"/>
    <n v="94.74"/>
    <n v="1051.53"/>
    <n v="25.260000000000005"/>
  </r>
  <r>
    <x v="11"/>
    <x v="6"/>
    <x v="0"/>
    <s v="3251107"/>
    <n v="721835"/>
    <s v="Supplies-Forms"/>
    <s v="Organizational Development"/>
    <x v="0"/>
    <m/>
    <n v="0"/>
    <n v="0"/>
    <n v="0"/>
    <n v="0"/>
    <n v="0"/>
    <n v="0"/>
    <n v="0"/>
    <n v="0"/>
    <n v="50.51"/>
    <n v="0"/>
    <n v="0"/>
    <n v="0"/>
    <n v="50.51"/>
    <n v="0"/>
  </r>
  <r>
    <x v="12"/>
    <x v="6"/>
    <x v="0"/>
    <s v="3251107"/>
    <n v="730020"/>
    <s v="Rental and Leases-Equipment (DO NOT USE)"/>
    <s v="Organizational Development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3251107"/>
    <n v="730020"/>
    <s v="Rental and Leases-Copier Usage Fees (DO NOT USE)"/>
    <s v="Organizational Development"/>
    <x v="0"/>
    <n v="5100"/>
    <n v="540.39"/>
    <n v="550.22"/>
    <n v="545.30999999999995"/>
    <n v="545.30999999999995"/>
    <n v="545.30999999999995"/>
    <n v="545.30999999999995"/>
    <n v="1884.79"/>
    <n v="384.71"/>
    <n v="383.9"/>
    <n v="1242.24"/>
    <n v="384.71"/>
    <n v="432.37"/>
    <n v="7984.5699999999988"/>
    <n v="-47.660000000000025"/>
  </r>
  <r>
    <x v="13"/>
    <x v="6"/>
    <x v="0"/>
    <s v="3251107"/>
    <n v="735070"/>
    <s v="Depreciation-Movable Equipment"/>
    <s v="Organizational Development"/>
    <x v="0"/>
    <m/>
    <n v="239.29"/>
    <n v="239.29"/>
    <n v="239.29"/>
    <n v="239.29"/>
    <n v="239.3"/>
    <n v="239.27"/>
    <n v="239.3"/>
    <n v="239.27"/>
    <n v="239.3"/>
    <n v="239.27"/>
    <n v="239.3"/>
    <n v="239.26"/>
    <n v="2871.4300000000003"/>
    <n v="4.0000000000020464E-2"/>
  </r>
  <r>
    <x v="14"/>
    <x v="9"/>
    <x v="0"/>
    <s v="3251501"/>
    <n v="600050"/>
    <s v="Education Program Income"/>
    <s v="Education Services"/>
    <x v="0"/>
    <n v="1102"/>
    <n v="0"/>
    <n v="0"/>
    <n v="0"/>
    <n v="0"/>
    <n v="0"/>
    <n v="0"/>
    <n v="0"/>
    <n v="0"/>
    <n v="0"/>
    <n v="0"/>
    <n v="-875"/>
    <n v="0"/>
    <n v="-875"/>
    <n v="-875"/>
  </r>
  <r>
    <x v="20"/>
    <x v="9"/>
    <x v="0"/>
    <s v="3251501"/>
    <n v="610010"/>
    <s v="Foundation Distributions"/>
    <s v="Education Services"/>
    <x v="0"/>
    <n v="1175"/>
    <n v="0"/>
    <n v="0"/>
    <n v="0"/>
    <n v="0"/>
    <n v="0"/>
    <n v="0"/>
    <n v="-6318.65"/>
    <n v="0"/>
    <n v="0"/>
    <n v="0"/>
    <n v="0"/>
    <n v="0"/>
    <n v="-6318.65"/>
    <n v="0"/>
  </r>
  <r>
    <x v="5"/>
    <x v="9"/>
    <x v="0"/>
    <s v="3251501"/>
    <n v="700014"/>
    <s v="Salaries-Management-Productive"/>
    <s v="Education Services"/>
    <x v="0"/>
    <m/>
    <n v="13637.43"/>
    <n v="10136.48"/>
    <n v="12808.88"/>
    <n v="14600.26"/>
    <n v="12924.27"/>
    <n v="8190.55"/>
    <n v="11189.9"/>
    <n v="11473.83"/>
    <n v="15171.97"/>
    <n v="13559.54"/>
    <n v="14034.13"/>
    <n v="11521.5"/>
    <n v="149248.74000000002"/>
    <n v="2512.6299999999992"/>
  </r>
  <r>
    <x v="5"/>
    <x v="9"/>
    <x v="0"/>
    <s v="3251501"/>
    <n v="700026"/>
    <s v="Salaries-RN-Productive"/>
    <s v="Education Services"/>
    <x v="0"/>
    <m/>
    <n v="54664.4"/>
    <n v="74857.899999999994"/>
    <n v="66094.05"/>
    <n v="82748.67"/>
    <n v="80158.75"/>
    <n v="44890.76"/>
    <n v="77394.7"/>
    <n v="72077.09"/>
    <n v="86521.84"/>
    <n v="76123.06"/>
    <n v="85979.59"/>
    <n v="71117.59"/>
    <n v="872628.39999999991"/>
    <n v="14862"/>
  </r>
  <r>
    <x v="5"/>
    <x v="9"/>
    <x v="0"/>
    <s v="3251501"/>
    <n v="700026"/>
    <s v="Salaries-RN-Other"/>
    <s v="Education Services"/>
    <x v="0"/>
    <n v="2000"/>
    <n v="0"/>
    <n v="30"/>
    <n v="64"/>
    <n v="0"/>
    <n v="0"/>
    <n v="0"/>
    <n v="0"/>
    <n v="0"/>
    <n v="0"/>
    <n v="0"/>
    <n v="0"/>
    <n v="0"/>
    <n v="94"/>
    <n v="0"/>
  </r>
  <r>
    <x v="5"/>
    <x v="9"/>
    <x v="0"/>
    <s v="3251501"/>
    <n v="700032"/>
    <s v="Salaries-Other Pat Care Providers-Productive"/>
    <s v="Education Services"/>
    <x v="0"/>
    <m/>
    <n v="0"/>
    <n v="0"/>
    <n v="0"/>
    <n v="0"/>
    <n v="405.57"/>
    <n v="0"/>
    <n v="0"/>
    <n v="0"/>
    <n v="0"/>
    <n v="0"/>
    <n v="393.86"/>
    <n v="0"/>
    <n v="799.43000000000006"/>
    <n v="393.86"/>
  </r>
  <r>
    <x v="5"/>
    <x v="9"/>
    <x v="0"/>
    <s v="3251501"/>
    <n v="700034"/>
    <s v="Salaries-Tech/Professional-Productive"/>
    <s v="Education Services"/>
    <x v="0"/>
    <m/>
    <n v="16712.13"/>
    <n v="21790.26"/>
    <n v="19799.82"/>
    <n v="22336.79"/>
    <n v="16813"/>
    <n v="10888.09"/>
    <n v="17512.2"/>
    <n v="16134.65"/>
    <n v="22872.05"/>
    <n v="22100.68"/>
    <n v="19767.32"/>
    <n v="20755.59"/>
    <n v="227482.58"/>
    <n v="-988.27000000000044"/>
  </r>
  <r>
    <x v="5"/>
    <x v="9"/>
    <x v="0"/>
    <s v="3251501"/>
    <n v="700034"/>
    <s v="Salaries-Tech/Professional-OT"/>
    <s v="Education Services"/>
    <x v="0"/>
    <n v="1000"/>
    <n v="0"/>
    <n v="0"/>
    <n v="344.13"/>
    <n v="750.55"/>
    <n v="266.20999999999998"/>
    <n v="-280.97000000000003"/>
    <n v="0"/>
    <n v="120.06"/>
    <n v="0"/>
    <n v="0"/>
    <n v="0"/>
    <n v="0"/>
    <n v="1199.9799999999998"/>
    <n v="0"/>
  </r>
  <r>
    <x v="5"/>
    <x v="9"/>
    <x v="0"/>
    <s v="3251501"/>
    <n v="700034"/>
    <s v="Salaries-Tech/Professional-Other"/>
    <s v="Education Services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9"/>
    <x v="0"/>
    <s v="3251501"/>
    <n v="700038"/>
    <s v="Salaries-Service/Support-Productive"/>
    <s v="Education Services"/>
    <x v="0"/>
    <m/>
    <n v="12507.56"/>
    <n v="11719.66"/>
    <n v="11068.5"/>
    <n v="14450.95"/>
    <n v="12532.07"/>
    <n v="9681.2800000000007"/>
    <n v="15303.23"/>
    <n v="10610.38"/>
    <n v="15390.69"/>
    <n v="12836.76"/>
    <n v="14167.81"/>
    <n v="12783.38"/>
    <n v="153052.27000000002"/>
    <n v="1384.4300000000003"/>
  </r>
  <r>
    <x v="5"/>
    <x v="9"/>
    <x v="0"/>
    <s v="3251501"/>
    <n v="700038"/>
    <s v="Salaries-Service/Support-OT"/>
    <s v="Education Services"/>
    <x v="0"/>
    <n v="1000"/>
    <n v="0"/>
    <n v="0"/>
    <n v="187.52"/>
    <n v="916.85"/>
    <n v="1535.3"/>
    <n v="956.35"/>
    <n v="223.01"/>
    <n v="580.96"/>
    <n v="370.7"/>
    <n v="-104.36"/>
    <n v="0"/>
    <n v="319.12"/>
    <n v="4985.45"/>
    <n v="-319.12"/>
  </r>
  <r>
    <x v="5"/>
    <x v="9"/>
    <x v="0"/>
    <s v="3251501"/>
    <n v="700054"/>
    <s v="Salaries-Management-Non-productive"/>
    <s v="Education Services"/>
    <x v="0"/>
    <m/>
    <n v="645.04"/>
    <n v="4146.63"/>
    <n v="1013.69"/>
    <n v="0"/>
    <n v="1278.2"/>
    <n v="6485.83"/>
    <n v="3509.4"/>
    <n v="1801.6"/>
    <n v="-474.06"/>
    <n v="663.77"/>
    <n v="663.77"/>
    <n v="2702.46"/>
    <n v="22436.329999999998"/>
    <n v="-2038.69"/>
  </r>
  <r>
    <x v="5"/>
    <x v="9"/>
    <x v="0"/>
    <s v="3251501"/>
    <n v="700054"/>
    <s v="Salaries-Management-NonProd-Other"/>
    <s v="Education Services"/>
    <x v="0"/>
    <n v="2000"/>
    <n v="0"/>
    <n v="0"/>
    <n v="0"/>
    <n v="0"/>
    <n v="255.4"/>
    <n v="2064.52"/>
    <n v="-2064.52"/>
    <n v="-255.4"/>
    <n v="0"/>
    <n v="0"/>
    <n v="0"/>
    <n v="0"/>
    <n v="8.5265128291212022E-14"/>
    <n v="0"/>
  </r>
  <r>
    <x v="5"/>
    <x v="9"/>
    <x v="0"/>
    <s v="3251501"/>
    <n v="700066"/>
    <s v="Salaries-RN-Non-productive"/>
    <s v="Education Services"/>
    <x v="0"/>
    <m/>
    <n v="22070.36"/>
    <n v="6165.73"/>
    <n v="16407.560000000001"/>
    <n v="6387.15"/>
    <n v="5848.09"/>
    <n v="43985.919999999998"/>
    <n v="11620.71"/>
    <n v="8315.82"/>
    <n v="2485.29"/>
    <n v="10009.950000000001"/>
    <n v="3027.48"/>
    <n v="15019.43"/>
    <n v="151343.49"/>
    <n v="-11991.95"/>
  </r>
  <r>
    <x v="5"/>
    <x v="9"/>
    <x v="0"/>
    <s v="3251501"/>
    <n v="700066"/>
    <s v="Salaries-RN-NonProd-Other"/>
    <s v="Education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3251501"/>
    <n v="700074"/>
    <s v="Salaries-Tech/Professional-Non-productive"/>
    <s v="Education Services"/>
    <x v="0"/>
    <m/>
    <n v="5784.47"/>
    <n v="686.63"/>
    <n v="2434.17"/>
    <n v="1936.24"/>
    <n v="1886.23"/>
    <n v="7881.18"/>
    <n v="1995.39"/>
    <n v="1527.07"/>
    <n v="809.41"/>
    <n v="318.04000000000002"/>
    <n v="3331.27"/>
    <n v="2289.9299999999998"/>
    <n v="30880.03"/>
    <n v="1041.3400000000001"/>
  </r>
  <r>
    <x v="5"/>
    <x v="9"/>
    <x v="0"/>
    <s v="3251501"/>
    <n v="700074"/>
    <s v="Salaries-Tech/Professional-NonProd-Other"/>
    <s v="Education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3251501"/>
    <n v="700078"/>
    <s v="Salaries-Service/Support-Non-productive"/>
    <s v="Education Services"/>
    <x v="0"/>
    <m/>
    <n v="1319.67"/>
    <n v="2108.21"/>
    <n v="2313.4899999999998"/>
    <n v="-358.64"/>
    <n v="1189.6600000000001"/>
    <n v="4512.1499999999996"/>
    <n v="941.92"/>
    <n v="2020.52"/>
    <n v="-356.6"/>
    <n v="699.88"/>
    <n v="40.520000000000003"/>
    <n v="966.76"/>
    <n v="15397.539999999999"/>
    <n v="-926.24"/>
  </r>
  <r>
    <x v="5"/>
    <x v="9"/>
    <x v="0"/>
    <s v="3251501"/>
    <n v="700078"/>
    <s v="Salaries-Service/Support-NonProd-Other"/>
    <s v="Education Services"/>
    <x v="0"/>
    <n v="2000"/>
    <n v="0"/>
    <n v="0"/>
    <n v="0"/>
    <n v="0"/>
    <n v="563.85"/>
    <n v="1127.7"/>
    <n v="0"/>
    <n v="-1691.55"/>
    <n v="0"/>
    <n v="0"/>
    <n v="0"/>
    <n v="0"/>
    <n v="2.2737367544323206E-13"/>
    <n v="0"/>
  </r>
  <r>
    <x v="5"/>
    <x v="9"/>
    <x v="0"/>
    <s v="3251501"/>
    <n v="700084"/>
    <s v="Accrued PTO"/>
    <s v="Education Services"/>
    <x v="0"/>
    <m/>
    <n v="-11075.28"/>
    <n v="2573.29"/>
    <n v="-4922.71"/>
    <n v="15834.65"/>
    <n v="6882.35"/>
    <n v="-28162.48"/>
    <n v="-2204.2199999999998"/>
    <n v="5758.57"/>
    <n v="13519.07"/>
    <n v="6329.76"/>
    <n v="10349.040000000001"/>
    <n v="4523.9399999999996"/>
    <n v="19405.98"/>
    <n v="5825.1000000000013"/>
  </r>
  <r>
    <x v="6"/>
    <x v="9"/>
    <x v="0"/>
    <s v="3251501"/>
    <n v="713010"/>
    <s v="Benefits-FICA/Medicare"/>
    <s v="Education Services"/>
    <x v="0"/>
    <m/>
    <n v="9341.59"/>
    <n v="9660.9599999999991"/>
    <n v="9743.2900000000009"/>
    <n v="9650.48"/>
    <n v="9252.5499999999993"/>
    <n v="9876.2000000000007"/>
    <n v="10430.65"/>
    <n v="9157.11"/>
    <n v="10505.21"/>
    <n v="10013.1"/>
    <n v="10388.11"/>
    <n v="10159.93"/>
    <n v="118179.18"/>
    <n v="228.18000000000029"/>
  </r>
  <r>
    <x v="6"/>
    <x v="9"/>
    <x v="0"/>
    <s v="3251501"/>
    <n v="713090"/>
    <s v="Benefits-Allocated Amounts"/>
    <s v="Education Services"/>
    <x v="0"/>
    <m/>
    <n v="20868.02"/>
    <n v="20661.330000000002"/>
    <n v="22058.04"/>
    <n v="22964.63"/>
    <n v="20051.62"/>
    <n v="21674.44"/>
    <n v="23836.95"/>
    <n v="22622.3"/>
    <n v="27416.03"/>
    <n v="24690.94"/>
    <n v="25154.880000000001"/>
    <n v="24678.12"/>
    <n v="276677.3"/>
    <n v="476.76000000000204"/>
  </r>
  <r>
    <x v="6"/>
    <x v="9"/>
    <x v="0"/>
    <s v="3251501"/>
    <n v="713096"/>
    <s v="Employee Recognition"/>
    <s v="Education Services"/>
    <x v="0"/>
    <n v="1017"/>
    <n v="0"/>
    <n v="120.22"/>
    <n v="0"/>
    <n v="0"/>
    <n v="50"/>
    <n v="515.73"/>
    <n v="0"/>
    <n v="96.2"/>
    <n v="0"/>
    <n v="0"/>
    <n v="503.42"/>
    <n v="0"/>
    <n v="1285.5700000000002"/>
    <n v="503.42"/>
  </r>
  <r>
    <x v="7"/>
    <x v="9"/>
    <x v="0"/>
    <s v="3251501"/>
    <n v="718050"/>
    <s v="Contract Svcs-Other"/>
    <s v="Education Services"/>
    <x v="0"/>
    <m/>
    <n v="0"/>
    <n v="0"/>
    <n v="0"/>
    <n v="0"/>
    <n v="0"/>
    <n v="0"/>
    <n v="0"/>
    <n v="0"/>
    <n v="0"/>
    <n v="330.3"/>
    <n v="0"/>
    <n v="0"/>
    <n v="330.3"/>
    <n v="0"/>
  </r>
  <r>
    <x v="7"/>
    <x v="9"/>
    <x v="0"/>
    <s v="3251501"/>
    <n v="718050"/>
    <s v="Miscellaneous Purchased Svcs"/>
    <s v="Education Services"/>
    <x v="0"/>
    <n v="1020"/>
    <n v="8433.18"/>
    <n v="11632.62"/>
    <n v="13581.28"/>
    <n v="3971.16"/>
    <n v="22209.73"/>
    <n v="2616.2600000000002"/>
    <n v="12982.05"/>
    <n v="13319.48"/>
    <n v="62812.94"/>
    <n v="32469.91"/>
    <n v="24817.88"/>
    <n v="6490.68"/>
    <n v="215337.17"/>
    <n v="18327.2"/>
  </r>
  <r>
    <x v="11"/>
    <x v="9"/>
    <x v="0"/>
    <s v="3251501"/>
    <n v="721010"/>
    <s v="Supplies-Medical - Billable"/>
    <s v="Education Services"/>
    <x v="0"/>
    <m/>
    <n v="0"/>
    <n v="0"/>
    <n v="0"/>
    <n v="0"/>
    <n v="0"/>
    <n v="0"/>
    <n v="0"/>
    <n v="0"/>
    <n v="0"/>
    <n v="521.94000000000005"/>
    <n v="0"/>
    <n v="-133.68"/>
    <n v="388.26000000000005"/>
    <n v="133.68"/>
  </r>
  <r>
    <x v="11"/>
    <x v="9"/>
    <x v="0"/>
    <s v="3251501"/>
    <n v="721020"/>
    <s v="Supplies-Surgical - Billable"/>
    <s v="Education Services"/>
    <x v="0"/>
    <m/>
    <n v="0"/>
    <n v="0"/>
    <n v="0"/>
    <n v="0"/>
    <n v="0"/>
    <n v="0"/>
    <n v="0"/>
    <n v="0"/>
    <n v="25.43"/>
    <n v="0"/>
    <n v="0"/>
    <n v="0"/>
    <n v="25.43"/>
    <n v="0"/>
  </r>
  <r>
    <x v="11"/>
    <x v="9"/>
    <x v="0"/>
    <s v="3251501"/>
    <n v="721240"/>
    <s v="Supplies-IV Solutions/Supplies - Billable"/>
    <s v="Education Services"/>
    <x v="0"/>
    <m/>
    <n v="404.75"/>
    <n v="0"/>
    <n v="0"/>
    <n v="453.5"/>
    <n v="0"/>
    <n v="0"/>
    <n v="712"/>
    <n v="48.75"/>
    <n v="0"/>
    <n v="0"/>
    <n v="0"/>
    <n v="0"/>
    <n v="1619"/>
    <n v="0"/>
  </r>
  <r>
    <x v="11"/>
    <x v="9"/>
    <x v="0"/>
    <s v="3251501"/>
    <n v="721250"/>
    <s v="Supplies-Pharmacy Drugs - Billable"/>
    <s v="Education Services"/>
    <x v="0"/>
    <m/>
    <n v="0"/>
    <n v="186.57"/>
    <n v="0"/>
    <n v="0"/>
    <n v="145.80000000000001"/>
    <n v="0"/>
    <n v="100.4"/>
    <n v="0"/>
    <n v="54"/>
    <n v="0"/>
    <n v="0"/>
    <n v="0"/>
    <n v="486.77"/>
    <n v="0"/>
  </r>
  <r>
    <x v="11"/>
    <x v="9"/>
    <x v="0"/>
    <s v="3251501"/>
    <n v="721410"/>
    <s v="Supplies-Medical - Nonbillable"/>
    <s v="Education Services"/>
    <x v="0"/>
    <m/>
    <n v="0"/>
    <n v="2.9"/>
    <n v="0"/>
    <n v="0"/>
    <n v="0"/>
    <n v="0"/>
    <n v="10.56"/>
    <n v="0"/>
    <n v="0"/>
    <n v="0"/>
    <n v="0"/>
    <n v="0"/>
    <n v="13.46"/>
    <n v="0"/>
  </r>
  <r>
    <x v="11"/>
    <x v="9"/>
    <x v="0"/>
    <s v="3251501"/>
    <n v="721710"/>
    <s v="Supplies-Laboratory - Nonbillable"/>
    <s v="Education Services"/>
    <x v="0"/>
    <m/>
    <n v="104.11"/>
    <n v="181.24"/>
    <n v="0"/>
    <n v="254.84"/>
    <n v="0"/>
    <n v="30"/>
    <n v="110"/>
    <n v="63.98"/>
    <n v="86.99"/>
    <n v="163.94"/>
    <n v="288.11"/>
    <n v="24.55"/>
    <n v="1307.76"/>
    <n v="263.56"/>
  </r>
  <r>
    <x v="11"/>
    <x v="9"/>
    <x v="0"/>
    <s v="3251501"/>
    <n v="721810"/>
    <s v="Supplies-Dietary/Cafeteria"/>
    <s v="Education Services"/>
    <x v="0"/>
    <m/>
    <n v="88.38"/>
    <n v="59.5"/>
    <n v="313.74"/>
    <n v="86.89"/>
    <n v="0"/>
    <n v="3985.92"/>
    <n v="0"/>
    <n v="0"/>
    <n v="30.58"/>
    <n v="193.17"/>
    <n v="32.92"/>
    <n v="0"/>
    <n v="4791.1000000000004"/>
    <n v="32.92"/>
  </r>
  <r>
    <x v="11"/>
    <x v="9"/>
    <x v="0"/>
    <s v="3251501"/>
    <n v="721830"/>
    <s v="Supplies-Office"/>
    <s v="Education Services"/>
    <x v="0"/>
    <m/>
    <n v="289.14999999999998"/>
    <n v="950.93"/>
    <n v="371.98"/>
    <n v="570.80999999999995"/>
    <n v="445.8"/>
    <n v="575.21"/>
    <n v="468.16"/>
    <n v="132.16"/>
    <n v="292.93"/>
    <n v="341.76"/>
    <n v="121.48"/>
    <n v="192.55"/>
    <n v="4752.92"/>
    <n v="-71.070000000000007"/>
  </r>
  <r>
    <x v="11"/>
    <x v="9"/>
    <x v="0"/>
    <s v="3251501"/>
    <n v="721835"/>
    <s v="Supplies-Forms"/>
    <s v="Education Services"/>
    <x v="0"/>
    <m/>
    <n v="0"/>
    <n v="0"/>
    <n v="0"/>
    <n v="0"/>
    <n v="1886.7"/>
    <n v="340.35"/>
    <n v="368.78"/>
    <n v="0"/>
    <n v="1029.1400000000001"/>
    <n v="527.59"/>
    <n v="475.39"/>
    <n v="598.04"/>
    <n v="5225.9900000000007"/>
    <n v="-122.64999999999998"/>
  </r>
  <r>
    <x v="11"/>
    <x v="9"/>
    <x v="0"/>
    <s v="3251501"/>
    <n v="721870"/>
    <s v="Supplies-Environmental Services"/>
    <s v="Education Services"/>
    <x v="0"/>
    <m/>
    <n v="0"/>
    <n v="0"/>
    <n v="0"/>
    <n v="0"/>
    <n v="96.1"/>
    <n v="0"/>
    <n v="0"/>
    <n v="0"/>
    <n v="0"/>
    <n v="0"/>
    <n v="0"/>
    <n v="0"/>
    <n v="96.1"/>
    <n v="0"/>
  </r>
  <r>
    <x v="11"/>
    <x v="9"/>
    <x v="0"/>
    <s v="3251501"/>
    <n v="721910"/>
    <s v="Supplies-Small Equipment"/>
    <s v="Education Services"/>
    <x v="0"/>
    <m/>
    <n v="653.44000000000005"/>
    <n v="109.32"/>
    <n v="1927.25"/>
    <n v="418.78"/>
    <n v="2069.73"/>
    <n v="-159.38"/>
    <n v="1049.21"/>
    <n v="258.14999999999998"/>
    <n v="182.97"/>
    <n v="221.47"/>
    <n v="13.63"/>
    <n v="798.98"/>
    <n v="7543.5500000000011"/>
    <n v="-785.35"/>
  </r>
  <r>
    <x v="11"/>
    <x v="9"/>
    <x v="0"/>
    <s v="3251501"/>
    <n v="721980"/>
    <s v="Supplies-Other"/>
    <s v="Education Services"/>
    <x v="0"/>
    <m/>
    <n v="88.17"/>
    <n v="0"/>
    <n v="0"/>
    <n v="0"/>
    <n v="0"/>
    <n v="174.15"/>
    <n v="0"/>
    <n v="0"/>
    <n v="0"/>
    <n v="0"/>
    <n v="0"/>
    <n v="258.75"/>
    <n v="521.06999999999994"/>
    <n v="-258.75"/>
  </r>
  <r>
    <x v="11"/>
    <x v="9"/>
    <x v="0"/>
    <s v="3251501"/>
    <n v="722000"/>
    <s v="Supplies-Freight Expense"/>
    <s v="Education Services"/>
    <x v="0"/>
    <m/>
    <n v="5.59"/>
    <n v="0"/>
    <n v="15.69"/>
    <n v="29.38"/>
    <n v="8.58"/>
    <n v="8.5399999999999991"/>
    <n v="724.14"/>
    <n v="11.56"/>
    <n v="9.33"/>
    <n v="0"/>
    <n v="17.28"/>
    <n v="23.9"/>
    <n v="853.9899999999999"/>
    <n v="-6.6199999999999974"/>
  </r>
  <r>
    <x v="12"/>
    <x v="9"/>
    <x v="0"/>
    <s v="3251501"/>
    <n v="730010"/>
    <s v="Rental and Leases-Building (DO NOT USE)"/>
    <s v="Education Services"/>
    <x v="0"/>
    <m/>
    <n v="32130.37"/>
    <n v="32130.37"/>
    <n v="32130.37"/>
    <n v="32130.37"/>
    <n v="32130.37"/>
    <n v="27549.23"/>
    <n v="31405.98"/>
    <n v="31405.98"/>
    <n v="31405.98"/>
    <n v="31404.55"/>
    <n v="31430.73"/>
    <n v="0"/>
    <n v="345254.3"/>
    <n v="31430.73"/>
  </r>
  <r>
    <x v="12"/>
    <x v="9"/>
    <x v="0"/>
    <s v="3251501"/>
    <n v="730010"/>
    <s v="Rental-Common Area Maint (DO NOT USE)"/>
    <s v="Education Services"/>
    <x v="0"/>
    <n v="2200"/>
    <n v="0"/>
    <n v="0"/>
    <n v="0"/>
    <n v="0"/>
    <n v="0"/>
    <n v="4591.92"/>
    <n v="735.17"/>
    <n v="735.17"/>
    <n v="1060.8499999999999"/>
    <n v="735.12"/>
    <n v="735.12"/>
    <n v="0"/>
    <n v="8593.35"/>
    <n v="735.12"/>
  </r>
  <r>
    <x v="12"/>
    <x v="9"/>
    <x v="0"/>
    <s v="3251501"/>
    <n v="730020"/>
    <s v="Rental and Leases-Copier Usage Fees (DO NOT USE)"/>
    <s v="Education Services"/>
    <x v="0"/>
    <n v="5100"/>
    <n v="1645"/>
    <n v="1690.29"/>
    <n v="1667.64"/>
    <n v="1667.64"/>
    <n v="1667.64"/>
    <n v="1667.64"/>
    <n v="258.52"/>
    <n v="1232.32"/>
    <n v="1229.73"/>
    <n v="2482.63"/>
    <n v="1260.98"/>
    <n v="1576.74"/>
    <n v="18046.77"/>
    <n v="-315.76"/>
  </r>
  <r>
    <x v="12"/>
    <x v="9"/>
    <x v="0"/>
    <s v="3251501"/>
    <n v="730040"/>
    <s v="LT Lease-Real Estate"/>
    <s v="Education Services"/>
    <x v="0"/>
    <m/>
    <n v="0"/>
    <n v="0"/>
    <n v="0"/>
    <n v="0"/>
    <n v="0"/>
    <n v="0"/>
    <n v="0"/>
    <n v="0"/>
    <n v="0"/>
    <n v="0"/>
    <n v="0"/>
    <n v="32924.800000000003"/>
    <n v="32924.800000000003"/>
    <n v="-32924.800000000003"/>
  </r>
  <r>
    <x v="16"/>
    <x v="9"/>
    <x v="0"/>
    <s v="3251501"/>
    <n v="732030"/>
    <s v="Repairs&amp;Maintenance-Bldg Routine"/>
    <s v="Education Services"/>
    <x v="0"/>
    <n v="2300"/>
    <n v="54.69"/>
    <n v="54.69"/>
    <n v="54.69"/>
    <n v="54.69"/>
    <n v="54.69"/>
    <n v="54.69"/>
    <n v="54.69"/>
    <n v="54.69"/>
    <n v="54.69"/>
    <n v="54.66"/>
    <n v="54.66"/>
    <n v="54.66"/>
    <n v="656.18999999999994"/>
    <n v="0"/>
  </r>
  <r>
    <x v="16"/>
    <x v="9"/>
    <x v="0"/>
    <s v="3251501"/>
    <n v="733030"/>
    <s v="Maintenance Contracts-Other"/>
    <s v="Education Services"/>
    <x v="0"/>
    <m/>
    <n v="0"/>
    <n v="0"/>
    <n v="0"/>
    <n v="0"/>
    <n v="0"/>
    <n v="0"/>
    <n v="240.53"/>
    <n v="0"/>
    <n v="0"/>
    <n v="0"/>
    <n v="0"/>
    <n v="0"/>
    <n v="240.53"/>
    <n v="0"/>
  </r>
  <r>
    <x v="13"/>
    <x v="9"/>
    <x v="0"/>
    <s v="3251501"/>
    <n v="735070"/>
    <s v="Depreciation-Movable Equipment"/>
    <s v="Education Services"/>
    <x v="0"/>
    <m/>
    <n v="110.83"/>
    <n v="110.83"/>
    <n v="110.84"/>
    <n v="110.83"/>
    <n v="0"/>
    <n v="0"/>
    <n v="1158.3499999999999"/>
    <n v="1158.3499999999999"/>
    <n v="1158.3599999999999"/>
    <n v="1158.3499999999999"/>
    <n v="1158.3599999999999"/>
    <n v="1158.3499999999999"/>
    <n v="7393.4499999999989"/>
    <n v="9.9999999999909051E-3"/>
  </r>
  <r>
    <x v="0"/>
    <x v="9"/>
    <x v="0"/>
    <s v="3251501"/>
    <n v="740010"/>
    <s v="Education-Materials"/>
    <s v="Education Services"/>
    <x v="0"/>
    <m/>
    <n v="0"/>
    <n v="0"/>
    <n v="0"/>
    <n v="0"/>
    <n v="0"/>
    <n v="75"/>
    <n v="0"/>
    <n v="0"/>
    <n v="0"/>
    <n v="0"/>
    <n v="0"/>
    <n v="0"/>
    <n v="75"/>
    <n v="0"/>
  </r>
  <r>
    <x v="0"/>
    <x v="9"/>
    <x v="0"/>
    <s v="3251501"/>
    <n v="740020"/>
    <s v="Education-Registration Fees"/>
    <s v="Education Services"/>
    <x v="0"/>
    <m/>
    <n v="0"/>
    <n v="1899"/>
    <n v="0"/>
    <n v="165"/>
    <n v="520"/>
    <n v="487.72"/>
    <n v="0"/>
    <n v="2795"/>
    <n v="731.1"/>
    <n v="0"/>
    <n v="0"/>
    <n v="230"/>
    <n v="6827.8200000000006"/>
    <n v="-230"/>
  </r>
  <r>
    <x v="0"/>
    <x v="9"/>
    <x v="0"/>
    <s v="3251501"/>
    <n v="743010"/>
    <s v="Dues--Institutional"/>
    <s v="Education Services"/>
    <x v="0"/>
    <m/>
    <n v="750"/>
    <n v="0"/>
    <n v="0"/>
    <n v="0"/>
    <n v="4866.42"/>
    <n v="0"/>
    <n v="0"/>
    <n v="396.36"/>
    <n v="0"/>
    <n v="19233"/>
    <n v="0"/>
    <n v="0"/>
    <n v="25245.78"/>
    <n v="0"/>
  </r>
  <r>
    <x v="0"/>
    <x v="9"/>
    <x v="0"/>
    <s v="3251501"/>
    <n v="743020"/>
    <s v="Dues--Individual"/>
    <s v="Education Services"/>
    <x v="0"/>
    <m/>
    <n v="0"/>
    <n v="85"/>
    <n v="266"/>
    <n v="0"/>
    <n v="0"/>
    <n v="0"/>
    <n v="0"/>
    <n v="350"/>
    <n v="0"/>
    <n v="0"/>
    <n v="216"/>
    <n v="0"/>
    <n v="917"/>
    <n v="216"/>
  </r>
  <r>
    <x v="0"/>
    <x v="9"/>
    <x v="0"/>
    <s v="3251501"/>
    <n v="743030"/>
    <s v="Subscriptions--Institutional"/>
    <s v="Education Services"/>
    <x v="0"/>
    <m/>
    <n v="4193.33"/>
    <n v="4193.3599999999997"/>
    <n v="0"/>
    <n v="0"/>
    <n v="0"/>
    <n v="0"/>
    <n v="1750"/>
    <n v="0"/>
    <n v="0"/>
    <n v="117.85"/>
    <n v="0"/>
    <n v="197.54"/>
    <n v="10452.08"/>
    <n v="-197.54"/>
  </r>
  <r>
    <x v="0"/>
    <x v="9"/>
    <x v="0"/>
    <s v="3251501"/>
    <n v="749510"/>
    <s v="Miscellaneous Expenses"/>
    <s v="Education Services"/>
    <x v="0"/>
    <m/>
    <n v="40585.730000000003"/>
    <n v="117904.18"/>
    <n v="-68121.83"/>
    <n v="59892.52"/>
    <n v="12977.72"/>
    <n v="19324.849999999999"/>
    <n v="12392.52"/>
    <n v="50082.19"/>
    <n v="16230.22"/>
    <n v="21956.03"/>
    <n v="13205.77"/>
    <n v="12283.69"/>
    <n v="308713.59000000003"/>
    <n v="922.07999999999993"/>
  </r>
  <r>
    <x v="0"/>
    <x v="9"/>
    <x v="0"/>
    <s v="3251501"/>
    <n v="749510"/>
    <s v="Shared Group Cost"/>
    <s v="Education Services"/>
    <x v="0"/>
    <n v="1008"/>
    <n v="0"/>
    <n v="0"/>
    <n v="0"/>
    <n v="0"/>
    <n v="0"/>
    <n v="0"/>
    <n v="0"/>
    <n v="0"/>
    <n v="0"/>
    <n v="105"/>
    <n v="0"/>
    <n v="0"/>
    <n v="105"/>
    <n v="0"/>
  </r>
  <r>
    <x v="0"/>
    <x v="9"/>
    <x v="0"/>
    <s v="3251501"/>
    <n v="749530"/>
    <s v="Travel"/>
    <s v="Education Services"/>
    <x v="0"/>
    <m/>
    <n v="0"/>
    <n v="0"/>
    <n v="465.6"/>
    <n v="0"/>
    <n v="11.1"/>
    <n v="2"/>
    <n v="0"/>
    <n v="74.83"/>
    <n v="1205.52"/>
    <n v="3175.24"/>
    <n v="1106.6099999999999"/>
    <n v="13.3"/>
    <n v="6054.2"/>
    <n v="1093.31"/>
  </r>
  <r>
    <x v="0"/>
    <x v="9"/>
    <x v="0"/>
    <s v="3251501"/>
    <n v="749530"/>
    <s v="Mileage"/>
    <s v="Education Services"/>
    <x v="0"/>
    <n v="1001"/>
    <n v="0"/>
    <n v="55.05"/>
    <n v="55.06"/>
    <n v="92.69"/>
    <n v="38.18"/>
    <n v="91.58"/>
    <n v="50.14"/>
    <n v="7.54"/>
    <n v="183.28"/>
    <n v="82.36"/>
    <n v="16.239999999999998"/>
    <n v="47.56"/>
    <n v="719.68000000000006"/>
    <n v="-31.320000000000004"/>
  </r>
  <r>
    <x v="0"/>
    <x v="9"/>
    <x v="0"/>
    <s v="3251501"/>
    <n v="749535"/>
    <s v="Meetings"/>
    <s v="Education Services"/>
    <x v="0"/>
    <m/>
    <n v="0"/>
    <n v="0"/>
    <n v="0"/>
    <n v="0"/>
    <n v="0"/>
    <n v="0"/>
    <n v="0"/>
    <n v="0"/>
    <n v="0"/>
    <n v="0"/>
    <n v="0"/>
    <n v="17.559999999999999"/>
    <n v="17.559999999999999"/>
    <n v="-17.559999999999999"/>
  </r>
  <r>
    <x v="0"/>
    <x v="9"/>
    <x v="0"/>
    <s v="3251501"/>
    <n v="749535"/>
    <s v="Medicare Non-Allowable Beverages"/>
    <s v="Education Services"/>
    <x v="0"/>
    <n v="1005"/>
    <n v="0"/>
    <n v="0"/>
    <n v="0"/>
    <n v="0"/>
    <n v="0"/>
    <n v="0"/>
    <n v="0"/>
    <n v="0"/>
    <n v="0"/>
    <n v="10"/>
    <n v="0"/>
    <n v="0"/>
    <n v="10"/>
    <n v="0"/>
  </r>
  <r>
    <x v="5"/>
    <x v="3"/>
    <x v="0"/>
    <s v="3270101"/>
    <n v="700014"/>
    <s v="Salaries-Management-Productive"/>
    <s v="Nursing Administration"/>
    <x v="0"/>
    <m/>
    <n v="23712.86"/>
    <n v="31442.6"/>
    <n v="28888.61"/>
    <n v="29367.13"/>
    <n v="33104.61"/>
    <n v="22410.86"/>
    <n v="31608.9"/>
    <n v="28290.48"/>
    <n v="34552.67"/>
    <n v="16946.39"/>
    <n v="37427.69"/>
    <n v="29522.6"/>
    <n v="347275.39999999997"/>
    <n v="7905.0900000000038"/>
  </r>
  <r>
    <x v="5"/>
    <x v="3"/>
    <x v="0"/>
    <s v="3270101"/>
    <n v="700026"/>
    <s v="Salaries-RN-Productive"/>
    <s v="Nursing Administration"/>
    <x v="0"/>
    <m/>
    <n v="35770.879999999997"/>
    <n v="36550.51"/>
    <n v="38571.46"/>
    <n v="41287.089999999997"/>
    <n v="35897.56"/>
    <n v="39608.04"/>
    <n v="37929.199999999997"/>
    <n v="35375.06"/>
    <n v="37222.28"/>
    <n v="36932.769999999997"/>
    <n v="39607.79"/>
    <n v="44154.52"/>
    <n v="458907.16"/>
    <n v="-4546.7299999999959"/>
  </r>
  <r>
    <x v="5"/>
    <x v="3"/>
    <x v="0"/>
    <s v="3270101"/>
    <n v="700026"/>
    <s v="Salaries-RN-OT"/>
    <s v="Nursing Administration"/>
    <x v="0"/>
    <n v="1000"/>
    <n v="518.85"/>
    <n v="1592.81"/>
    <n v="4176.5"/>
    <n v="830.6"/>
    <n v="836.34"/>
    <n v="2879.1"/>
    <n v="609.61"/>
    <n v="2249.85"/>
    <n v="-156.91"/>
    <n v="708.07"/>
    <n v="3195.84"/>
    <n v="-54.6"/>
    <n v="17386.060000000005"/>
    <n v="3250.44"/>
  </r>
  <r>
    <x v="5"/>
    <x v="3"/>
    <x v="0"/>
    <s v="3270101"/>
    <n v="700026"/>
    <s v="Salaries-RN-Other"/>
    <s v="Nursing Administration"/>
    <x v="0"/>
    <n v="2000"/>
    <n v="2204.29"/>
    <n v="2234.25"/>
    <n v="2205.85"/>
    <n v="2266.14"/>
    <n v="2176.81"/>
    <n v="2241.12"/>
    <n v="2218.0300000000002"/>
    <n v="1977.44"/>
    <n v="2246.27"/>
    <n v="2294.29"/>
    <n v="2114.89"/>
    <n v="2187.73"/>
    <n v="26367.11"/>
    <n v="-72.840000000000146"/>
  </r>
  <r>
    <x v="5"/>
    <x v="3"/>
    <x v="0"/>
    <s v="3270101"/>
    <n v="700038"/>
    <s v="Salaries-Service/Support-Productive"/>
    <s v="Nursing Administration"/>
    <x v="0"/>
    <m/>
    <n v="5535.61"/>
    <n v="5325.8"/>
    <n v="4849.3999999999996"/>
    <n v="3235.09"/>
    <n v="5842.16"/>
    <n v="3728.3"/>
    <n v="5569.5"/>
    <n v="4068.59"/>
    <n v="5403.3"/>
    <n v="4970.5200000000004"/>
    <n v="3893.78"/>
    <n v="3083.77"/>
    <n v="55505.82"/>
    <n v="810.01000000000022"/>
  </r>
  <r>
    <x v="5"/>
    <x v="3"/>
    <x v="0"/>
    <s v="3270101"/>
    <n v="700038"/>
    <s v="Salaries-Service/Support-OT"/>
    <s v="Nursing Administration"/>
    <x v="0"/>
    <n v="1000"/>
    <n v="927.55"/>
    <n v="915.83"/>
    <n v="-55.71"/>
    <n v="455.37"/>
    <n v="121.5"/>
    <n v="390.35"/>
    <n v="1082.0999999999999"/>
    <n v="197.4"/>
    <n v="478.67"/>
    <n v="117.37"/>
    <n v="842.24"/>
    <n v="-293.38"/>
    <n v="5179.2899999999991"/>
    <n v="1135.6199999999999"/>
  </r>
  <r>
    <x v="5"/>
    <x v="3"/>
    <x v="0"/>
    <s v="3270101"/>
    <n v="700054"/>
    <s v="Salaries-Management-Non-productive"/>
    <s v="Nursing Administration"/>
    <x v="0"/>
    <m/>
    <n v="9756.9699999999993"/>
    <n v="2028.76"/>
    <n v="3503.47"/>
    <n v="5115.6400000000003"/>
    <n v="499.64"/>
    <n v="12314.66"/>
    <n v="3170.85"/>
    <n v="3120.33"/>
    <n v="223.86"/>
    <n v="16707.14"/>
    <n v="-2651.18"/>
    <n v="4132.53"/>
    <n v="57922.67"/>
    <n v="-6783.7099999999991"/>
  </r>
  <r>
    <x v="5"/>
    <x v="3"/>
    <x v="0"/>
    <s v="3270101"/>
    <n v="700054"/>
    <s v="Salaries-Management-NonProd-Other"/>
    <s v="Nursing Administration"/>
    <x v="0"/>
    <n v="2000"/>
    <n v="0"/>
    <n v="0"/>
    <n v="0"/>
    <n v="0"/>
    <n v="360.49"/>
    <n v="3666.79"/>
    <n v="-3666.79"/>
    <n v="-360.49"/>
    <n v="0"/>
    <n v="0"/>
    <n v="0"/>
    <n v="0"/>
    <n v="-2.2737367544323206E-13"/>
    <n v="0"/>
  </r>
  <r>
    <x v="5"/>
    <x v="3"/>
    <x v="0"/>
    <s v="3270101"/>
    <n v="700066"/>
    <s v="Salaries-RN-Non-productive"/>
    <s v="Nursing Administration"/>
    <x v="0"/>
    <m/>
    <n v="11619.94"/>
    <n v="5986.5"/>
    <n v="6976.45"/>
    <n v="4346.6000000000004"/>
    <n v="8235.7800000000007"/>
    <n v="8116.36"/>
    <n v="7519.3"/>
    <n v="4185.42"/>
    <n v="5699.31"/>
    <n v="8241.59"/>
    <n v="11927.62"/>
    <n v="4313.6000000000004"/>
    <n v="87168.47"/>
    <n v="7614.02"/>
  </r>
  <r>
    <x v="5"/>
    <x v="3"/>
    <x v="0"/>
    <s v="3270101"/>
    <n v="700066"/>
    <s v="Salaries-RN-NonProd-Other"/>
    <s v="Nursing Administration"/>
    <x v="0"/>
    <n v="2000"/>
    <n v="335.97"/>
    <n v="87.88"/>
    <n v="11.15"/>
    <n v="215.14"/>
    <n v="203.92"/>
    <n v="236.92"/>
    <n v="216.34"/>
    <n v="262.05"/>
    <n v="260.7"/>
    <n v="427.95"/>
    <n v="235.49"/>
    <n v="143.58000000000001"/>
    <n v="2637.09"/>
    <n v="91.91"/>
  </r>
  <r>
    <x v="5"/>
    <x v="3"/>
    <x v="0"/>
    <s v="3270101"/>
    <n v="700078"/>
    <s v="Salaries-Service/Support-Non-productive"/>
    <s v="Nursing Administration"/>
    <x v="0"/>
    <m/>
    <n v="0"/>
    <n v="0"/>
    <n v="185.86"/>
    <n v="2000.47"/>
    <n v="-909.93"/>
    <n v="1544.16"/>
    <n v="0"/>
    <n v="524.64"/>
    <n v="-138.04"/>
    <n v="0"/>
    <n v="2236.6799999999998"/>
    <n v="-1076.8699999999999"/>
    <n v="4366.97"/>
    <n v="3313.5499999999997"/>
  </r>
  <r>
    <x v="5"/>
    <x v="3"/>
    <x v="0"/>
    <s v="3270101"/>
    <n v="700084"/>
    <s v="Accrued PTO"/>
    <s v="Nursing Administration"/>
    <x v="0"/>
    <m/>
    <n v="-5154.76"/>
    <n v="6277.84"/>
    <n v="1701.62"/>
    <n v="5338.45"/>
    <n v="4472.63"/>
    <n v="-4111.7299999999996"/>
    <n v="1902.4"/>
    <n v="4913.95"/>
    <n v="5328.41"/>
    <n v="-4875.67"/>
    <n v="2738.55"/>
    <n v="-4289.3900000000003"/>
    <n v="14242.3"/>
    <n v="7027.9400000000005"/>
  </r>
  <r>
    <x v="6"/>
    <x v="3"/>
    <x v="0"/>
    <s v="3270101"/>
    <n v="713010"/>
    <s v="Benefits-FICA/Medicare"/>
    <s v="Nursing Administration"/>
    <x v="0"/>
    <m/>
    <n v="6710.75"/>
    <n v="6388.98"/>
    <n v="6636.35"/>
    <n v="6589.83"/>
    <n v="4963.5"/>
    <n v="6792.17"/>
    <n v="6929.39"/>
    <n v="5931.87"/>
    <n v="6333.81"/>
    <n v="6455.98"/>
    <n v="7330.17"/>
    <n v="6372.36"/>
    <n v="77435.16"/>
    <n v="957.8100000000004"/>
  </r>
  <r>
    <x v="6"/>
    <x v="3"/>
    <x v="0"/>
    <s v="3270101"/>
    <n v="713090"/>
    <s v="Benefits-Allocated Amounts"/>
    <s v="Nursing Administration"/>
    <x v="0"/>
    <m/>
    <n v="13732.71"/>
    <n v="12715.32"/>
    <n v="13851.85"/>
    <n v="13460.62"/>
    <n v="13281.25"/>
    <n v="13770.62"/>
    <n v="14129.68"/>
    <n v="13464.22"/>
    <n v="10640.54"/>
    <n v="13459.07"/>
    <n v="16255.64"/>
    <n v="13135.56"/>
    <n v="161897.08000000002"/>
    <n v="3120.08"/>
  </r>
  <r>
    <x v="6"/>
    <x v="3"/>
    <x v="0"/>
    <s v="3270101"/>
    <n v="713096"/>
    <s v="Employee Recognition"/>
    <s v="Nursing Administration"/>
    <x v="0"/>
    <n v="1017"/>
    <n v="0"/>
    <n v="0"/>
    <n v="0"/>
    <n v="0"/>
    <n v="0"/>
    <n v="595.79999999999995"/>
    <n v="0"/>
    <n v="0"/>
    <n v="642.32000000000005"/>
    <n v="0"/>
    <n v="0"/>
    <n v="0"/>
    <n v="1238.1199999999999"/>
    <n v="0"/>
  </r>
  <r>
    <x v="7"/>
    <x v="3"/>
    <x v="0"/>
    <s v="3270101"/>
    <n v="718050"/>
    <s v="Document Shredding/Storage"/>
    <s v="Nursing Administration"/>
    <x v="0"/>
    <n v="1012"/>
    <n v="17.71"/>
    <n v="16.11"/>
    <n v="15.74"/>
    <n v="16.29"/>
    <n v="16.84"/>
    <n v="16.84"/>
    <n v="16.670000000000002"/>
    <n v="14.3"/>
    <n v="14.81"/>
    <n v="19.399999999999999"/>
    <n v="16.29"/>
    <n v="16.84"/>
    <n v="197.84"/>
    <n v="-0.55000000000000071"/>
  </r>
  <r>
    <x v="7"/>
    <x v="3"/>
    <x v="0"/>
    <s v="3270101"/>
    <n v="718050"/>
    <s v="Miscellaneous Purchased Svcs"/>
    <s v="Nursing Administration"/>
    <x v="0"/>
    <n v="1020"/>
    <n v="63.06"/>
    <n v="260.77999999999997"/>
    <n v="57"/>
    <n v="57"/>
    <n v="228.53"/>
    <n v="77.92"/>
    <n v="296.17"/>
    <n v="72.14"/>
    <n v="84.25"/>
    <n v="234.38"/>
    <n v="46.86"/>
    <n v="124.84"/>
    <n v="1602.9299999999998"/>
    <n v="-77.98"/>
  </r>
  <r>
    <x v="11"/>
    <x v="3"/>
    <x v="0"/>
    <s v="3270101"/>
    <n v="721810"/>
    <s v="Supplies-Dietary/Cafeteria"/>
    <s v="Nursing Administration"/>
    <x v="0"/>
    <m/>
    <n v="13.5"/>
    <n v="216.65"/>
    <n v="0"/>
    <n v="129.75"/>
    <n v="166.68"/>
    <n v="7.69"/>
    <n v="0"/>
    <n v="44.68"/>
    <n v="8"/>
    <n v="7.6"/>
    <n v="0"/>
    <n v="0"/>
    <n v="594.54999999999995"/>
    <n v="0"/>
  </r>
  <r>
    <x v="11"/>
    <x v="3"/>
    <x v="0"/>
    <s v="3270101"/>
    <n v="721830"/>
    <s v="Supplies-Office"/>
    <s v="Nursing Administration"/>
    <x v="0"/>
    <m/>
    <n v="240.17"/>
    <n v="118.16"/>
    <n v="0"/>
    <n v="172.68"/>
    <n v="0"/>
    <n v="48.28"/>
    <n v="51.69"/>
    <n v="28.79"/>
    <n v="0"/>
    <n v="114.04"/>
    <n v="0"/>
    <n v="28.5"/>
    <n v="802.31"/>
    <n v="-28.5"/>
  </r>
  <r>
    <x v="11"/>
    <x v="3"/>
    <x v="0"/>
    <s v="3270101"/>
    <n v="721835"/>
    <s v="Supplies-Forms"/>
    <s v="Nursing Administration"/>
    <x v="0"/>
    <m/>
    <n v="0"/>
    <n v="0"/>
    <n v="0"/>
    <n v="0"/>
    <n v="66.900000000000006"/>
    <n v="0"/>
    <n v="0"/>
    <n v="0"/>
    <n v="6.01"/>
    <n v="0"/>
    <n v="0"/>
    <n v="0"/>
    <n v="72.910000000000011"/>
    <n v="0"/>
  </r>
  <r>
    <x v="11"/>
    <x v="3"/>
    <x v="0"/>
    <s v="3270101"/>
    <n v="721910"/>
    <s v="Supplies-Small Equipment"/>
    <s v="Nursing Administration"/>
    <x v="0"/>
    <m/>
    <n v="0"/>
    <n v="0"/>
    <n v="0"/>
    <n v="315.99"/>
    <n v="0"/>
    <n v="0"/>
    <n v="0"/>
    <n v="0"/>
    <n v="0"/>
    <n v="0"/>
    <n v="0"/>
    <n v="0"/>
    <n v="315.99"/>
    <n v="0"/>
  </r>
  <r>
    <x v="11"/>
    <x v="3"/>
    <x v="0"/>
    <s v="3270101"/>
    <n v="722000"/>
    <s v="Supplies-Freight Expense"/>
    <s v="Nursing Administration"/>
    <x v="0"/>
    <m/>
    <n v="15.56"/>
    <n v="0"/>
    <n v="0"/>
    <n v="0"/>
    <n v="8.02"/>
    <n v="0"/>
    <n v="0"/>
    <n v="0"/>
    <n v="0"/>
    <n v="0"/>
    <n v="0"/>
    <n v="0"/>
    <n v="23.58"/>
    <n v="0"/>
  </r>
  <r>
    <x v="12"/>
    <x v="3"/>
    <x v="0"/>
    <s v="3270101"/>
    <n v="730020"/>
    <s v="Rental and Leases-Copier Usage Fees (DO NOT USE)"/>
    <s v="Nursing Administration"/>
    <x v="0"/>
    <n v="5100"/>
    <n v="428.46"/>
    <n v="426.9"/>
    <n v="427.68"/>
    <n v="427.68"/>
    <n v="427.68"/>
    <n v="427.68"/>
    <n v="6852.13"/>
    <n v="284.77"/>
    <n v="855.78"/>
    <n v="1786.05"/>
    <n v="321.16000000000003"/>
    <n v="428.07"/>
    <n v="13094.039999999999"/>
    <n v="-106.90999999999997"/>
  </r>
  <r>
    <x v="15"/>
    <x v="3"/>
    <x v="0"/>
    <s v="3270101"/>
    <n v="731060"/>
    <s v="Cell Phones"/>
    <s v="Nursing Administration"/>
    <x v="0"/>
    <n v="1001"/>
    <n v="0"/>
    <n v="137.51"/>
    <n v="117.79"/>
    <n v="0"/>
    <n v="84.49"/>
    <n v="85.67"/>
    <n v="173.54"/>
    <n v="0"/>
    <n v="53.86"/>
    <n v="168.89"/>
    <n v="59.41"/>
    <n v="60.68"/>
    <n v="941.83999999999992"/>
    <n v="-1.2700000000000031"/>
  </r>
  <r>
    <x v="15"/>
    <x v="3"/>
    <x v="0"/>
    <s v="3270101"/>
    <n v="731060"/>
    <s v="Pagers"/>
    <s v="Nursing Administration"/>
    <x v="0"/>
    <n v="1002"/>
    <n v="170.33"/>
    <n v="7.63"/>
    <n v="76.62"/>
    <n v="64.989999999999995"/>
    <n v="73.08"/>
    <n v="0"/>
    <n v="146.16"/>
    <n v="73.08"/>
    <n v="104.48"/>
    <n v="89.32"/>
    <n v="89.32"/>
    <n v="89.32"/>
    <n v="984.32999999999993"/>
    <n v="0"/>
  </r>
  <r>
    <x v="13"/>
    <x v="3"/>
    <x v="0"/>
    <s v="3270101"/>
    <n v="735070"/>
    <s v="Depreciation-Movable Equipment"/>
    <s v="Nursing Administration"/>
    <x v="0"/>
    <m/>
    <n v="293.58999999999997"/>
    <n v="293.58999999999997"/>
    <n v="293.58999999999997"/>
    <n v="293.58999999999997"/>
    <n v="293.58999999999997"/>
    <n v="293.58999999999997"/>
    <n v="293.58999999999997"/>
    <n v="293.58999999999997"/>
    <n v="293.58999999999997"/>
    <n v="293.58999999999997"/>
    <n v="293.60000000000002"/>
    <n v="293.58999999999997"/>
    <n v="3523.09"/>
    <n v="1.0000000000047748E-2"/>
  </r>
  <r>
    <x v="0"/>
    <x v="3"/>
    <x v="0"/>
    <s v="3270101"/>
    <n v="743030"/>
    <s v="Subscriptions--Institutional"/>
    <s v="Nursing Administration"/>
    <x v="0"/>
    <m/>
    <n v="0"/>
    <n v="0"/>
    <n v="58.35"/>
    <n v="0"/>
    <n v="0"/>
    <n v="0"/>
    <n v="0"/>
    <n v="0"/>
    <n v="0"/>
    <n v="0"/>
    <n v="0"/>
    <n v="0"/>
    <n v="58.35"/>
    <n v="0"/>
  </r>
  <r>
    <x v="0"/>
    <x v="3"/>
    <x v="0"/>
    <s v="3270101"/>
    <n v="749510"/>
    <s v="Miscellaneous Expenses"/>
    <s v="Nursing Administration"/>
    <x v="0"/>
    <m/>
    <n v="-1999.56"/>
    <n v="817.16"/>
    <n v="406"/>
    <n v="-927.96"/>
    <n v="712.05"/>
    <n v="1600.13"/>
    <n v="-1525.07"/>
    <n v="239.79"/>
    <n v="714.73"/>
    <n v="-1296.52"/>
    <n v="5913.01"/>
    <n v="-5456.85"/>
    <n v="-803.09000000000015"/>
    <n v="11369.86"/>
  </r>
  <r>
    <x v="0"/>
    <x v="3"/>
    <x v="0"/>
    <s v="3270101"/>
    <n v="749510"/>
    <s v="RICE Rewards"/>
    <s v="Nursing Administration"/>
    <x v="0"/>
    <n v="5100"/>
    <n v="0"/>
    <n v="0"/>
    <n v="0"/>
    <n v="0"/>
    <n v="0"/>
    <n v="1414.74"/>
    <n v="0"/>
    <n v="0"/>
    <n v="0"/>
    <n v="0"/>
    <n v="0"/>
    <n v="0"/>
    <n v="1414.74"/>
    <n v="0"/>
  </r>
  <r>
    <x v="0"/>
    <x v="3"/>
    <x v="0"/>
    <s v="3270101"/>
    <n v="749530"/>
    <s v="Travel"/>
    <s v="Nursing Administration"/>
    <x v="0"/>
    <m/>
    <n v="0"/>
    <n v="0"/>
    <n v="0"/>
    <n v="0"/>
    <n v="169.71"/>
    <n v="0"/>
    <n v="0"/>
    <n v="0"/>
    <n v="0"/>
    <n v="0"/>
    <n v="0"/>
    <n v="0"/>
    <n v="169.71"/>
    <n v="0"/>
  </r>
  <r>
    <x v="5"/>
    <x v="0"/>
    <x v="0"/>
    <s v="3270102"/>
    <n v="700014"/>
    <s v="Salaries-Management-Productive"/>
    <s v="Nursing Administration"/>
    <x v="0"/>
    <m/>
    <n v="20871.89"/>
    <n v="19512.82"/>
    <n v="23836.95"/>
    <n v="24337.24"/>
    <n v="24597.19"/>
    <n v="21105.14"/>
    <n v="24632.9"/>
    <n v="23948.13"/>
    <n v="26280.61"/>
    <n v="19310.32"/>
    <n v="28831.119999999999"/>
    <n v="14288.84"/>
    <n v="271553.15000000002"/>
    <n v="14542.279999999999"/>
  </r>
  <r>
    <x v="5"/>
    <x v="0"/>
    <x v="0"/>
    <s v="3270102"/>
    <n v="700026"/>
    <s v="Salaries-RN-Productive"/>
    <s v="Nursing Administration"/>
    <x v="0"/>
    <m/>
    <n v="49279.51"/>
    <n v="46350.93"/>
    <n v="46792.39"/>
    <n v="47731.19"/>
    <n v="49733.57"/>
    <n v="49946.78"/>
    <n v="49879.47"/>
    <n v="51644.83"/>
    <n v="44481.03"/>
    <n v="45685.39"/>
    <n v="47172.39"/>
    <n v="43676.94"/>
    <n v="572374.41999999993"/>
    <n v="3495.4499999999971"/>
  </r>
  <r>
    <x v="5"/>
    <x v="0"/>
    <x v="0"/>
    <s v="3270102"/>
    <n v="700026"/>
    <s v="Salaries-RN-OT"/>
    <s v="Nursing Administration"/>
    <x v="0"/>
    <n v="1000"/>
    <n v="818.11"/>
    <n v="4133.84"/>
    <n v="749.86"/>
    <n v="923.47"/>
    <n v="1854.62"/>
    <n v="1697.11"/>
    <n v="915.74"/>
    <n v="2368.7800000000002"/>
    <n v="742.01"/>
    <n v="1467.75"/>
    <n v="2040.3"/>
    <n v="1224.4100000000001"/>
    <n v="18936"/>
    <n v="815.88999999999987"/>
  </r>
  <r>
    <x v="5"/>
    <x v="0"/>
    <x v="0"/>
    <s v="3270102"/>
    <n v="700026"/>
    <s v="Salaries-RN-Other"/>
    <s v="Nursing Administration"/>
    <x v="0"/>
    <n v="2000"/>
    <n v="2680.44"/>
    <n v="2619.42"/>
    <n v="2567.6"/>
    <n v="2636.58"/>
    <n v="2559.42"/>
    <n v="2834.91"/>
    <n v="2650.45"/>
    <n v="2678.38"/>
    <n v="2566.7199999999998"/>
    <n v="2484.69"/>
    <n v="2737.61"/>
    <n v="2457.13"/>
    <n v="31473.350000000002"/>
    <n v="280.48"/>
  </r>
  <r>
    <x v="5"/>
    <x v="0"/>
    <x v="0"/>
    <s v="3270102"/>
    <n v="700038"/>
    <s v="Salaries-Service/Support-Productive"/>
    <s v="Nursing Administration"/>
    <x v="0"/>
    <m/>
    <n v="8293.2099999999991"/>
    <n v="8375.7199999999993"/>
    <n v="7257.47"/>
    <n v="10916.97"/>
    <n v="6118.11"/>
    <n v="9127.2900000000009"/>
    <n v="4465.09"/>
    <n v="4271.71"/>
    <n v="4593.47"/>
    <n v="5956.56"/>
    <n v="9380.42"/>
    <n v="8484.52"/>
    <n v="87240.540000000008"/>
    <n v="895.89999999999964"/>
  </r>
  <r>
    <x v="5"/>
    <x v="0"/>
    <x v="0"/>
    <s v="3270102"/>
    <n v="700038"/>
    <s v="Salaries-Service/Support-OT"/>
    <s v="Nursing Administration"/>
    <x v="0"/>
    <n v="1000"/>
    <n v="9.3000000000000007"/>
    <n v="17.18"/>
    <n v="-14.45"/>
    <n v="94.44"/>
    <n v="-3.1"/>
    <n v="467.88"/>
    <n v="-43.14"/>
    <n v="-4.4000000000000004"/>
    <n v="12.35"/>
    <n v="99.15"/>
    <n v="-0.13"/>
    <n v="11.47"/>
    <n v="646.55000000000007"/>
    <n v="-11.600000000000001"/>
  </r>
  <r>
    <x v="5"/>
    <x v="0"/>
    <x v="0"/>
    <s v="3270102"/>
    <n v="700038"/>
    <s v="Salaries-Service/Support-Other"/>
    <s v="Nursing Administration"/>
    <x v="0"/>
    <n v="2000"/>
    <n v="0"/>
    <n v="0"/>
    <n v="0"/>
    <n v="0"/>
    <n v="0"/>
    <n v="22.98"/>
    <n v="0"/>
    <n v="0"/>
    <n v="0"/>
    <n v="30.03"/>
    <n v="30.02"/>
    <n v="94.04"/>
    <n v="177.07"/>
    <n v="-64.02000000000001"/>
  </r>
  <r>
    <x v="5"/>
    <x v="0"/>
    <x v="0"/>
    <s v="3270102"/>
    <n v="700054"/>
    <s v="Salaries-Management-Non-productive"/>
    <s v="Nursing Administration"/>
    <x v="0"/>
    <m/>
    <n v="4791.5600000000004"/>
    <n v="6151.8"/>
    <n v="1000.12"/>
    <n v="1793.09"/>
    <n v="797.57"/>
    <n v="5136.96"/>
    <n v="1650.17"/>
    <n v="-210.97"/>
    <n v="0"/>
    <n v="6121.65"/>
    <n v="-2550.5"/>
    <n v="11144.34"/>
    <n v="35825.790000000008"/>
    <n v="-13694.84"/>
  </r>
  <r>
    <x v="5"/>
    <x v="0"/>
    <x v="0"/>
    <s v="3270102"/>
    <n v="700066"/>
    <s v="Salaries-RN-Non-productive"/>
    <s v="Nursing Administration"/>
    <x v="0"/>
    <m/>
    <n v="2165.89"/>
    <n v="10701.71"/>
    <n v="9778.31"/>
    <n v="8720.7999999999993"/>
    <n v="3712.11"/>
    <n v="16014.77"/>
    <n v="8978.11"/>
    <n v="8979.92"/>
    <n v="8454.27"/>
    <n v="2774.84"/>
    <n v="6003.1"/>
    <n v="10188.77"/>
    <n v="96472.6"/>
    <n v="-4185.67"/>
  </r>
  <r>
    <x v="5"/>
    <x v="0"/>
    <x v="0"/>
    <s v="3270102"/>
    <n v="700066"/>
    <s v="Salaries-RN-NonProd-Other"/>
    <s v="Nursing Administration"/>
    <x v="0"/>
    <n v="2000"/>
    <n v="150.56"/>
    <n v="564.54"/>
    <n v="600.94000000000005"/>
    <n v="-71.44"/>
    <n v="396.28"/>
    <n v="366.4"/>
    <n v="449.79"/>
    <n v="566.23"/>
    <n v="277.89"/>
    <n v="198.35"/>
    <n v="379.1"/>
    <n v="679.43"/>
    <n v="4558.07"/>
    <n v="-300.32999999999993"/>
  </r>
  <r>
    <x v="5"/>
    <x v="0"/>
    <x v="0"/>
    <s v="3270102"/>
    <n v="700078"/>
    <s v="Salaries-Service/Support-Non-productive"/>
    <s v="Nursing Administration"/>
    <x v="0"/>
    <m/>
    <n v="1815.72"/>
    <n v="1698.57"/>
    <n v="2647.72"/>
    <n v="-677.08"/>
    <n v="3895.55"/>
    <n v="146.26"/>
    <n v="1214.21"/>
    <n v="1039.9000000000001"/>
    <n v="1232.82"/>
    <n v="-172.44"/>
    <n v="1868"/>
    <n v="1957.97"/>
    <n v="16667.2"/>
    <n v="-89.970000000000027"/>
  </r>
  <r>
    <x v="5"/>
    <x v="0"/>
    <x v="0"/>
    <s v="3270102"/>
    <n v="700078"/>
    <s v="Salaries-Service/Support-NonProd-Other"/>
    <s v="Nursing Administration"/>
    <x v="0"/>
    <n v="2000"/>
    <n v="0"/>
    <n v="0"/>
    <n v="0"/>
    <n v="0"/>
    <n v="0"/>
    <n v="0"/>
    <n v="0"/>
    <n v="11.16"/>
    <n v="-2.93"/>
    <n v="0"/>
    <n v="0"/>
    <n v="0"/>
    <n v="8.23"/>
    <n v="0"/>
  </r>
  <r>
    <x v="5"/>
    <x v="0"/>
    <x v="0"/>
    <s v="3270102"/>
    <n v="700084"/>
    <s v="Accrued PTO"/>
    <s v="Nursing Administration"/>
    <x v="0"/>
    <m/>
    <n v="8044.6"/>
    <n v="-4530.82"/>
    <n v="1167.79"/>
    <n v="-12633.43"/>
    <n v="4240.5600000000004"/>
    <n v="-3532.84"/>
    <n v="2053.73"/>
    <n v="2930.63"/>
    <n v="6008.32"/>
    <n v="4019.72"/>
    <n v="5943.4"/>
    <n v="5848.48"/>
    <n v="19560.14"/>
    <n v="94.920000000000073"/>
  </r>
  <r>
    <x v="6"/>
    <x v="0"/>
    <x v="0"/>
    <s v="3270102"/>
    <n v="713010"/>
    <s v="Benefits-FICA/Medicare"/>
    <s v="Nursing Administration"/>
    <x v="0"/>
    <m/>
    <n v="6811.36"/>
    <n v="7556.54"/>
    <n v="7194.78"/>
    <n v="7211.11"/>
    <n v="5029.5600000000004"/>
    <n v="7371.49"/>
    <n v="7653.21"/>
    <n v="7168.65"/>
    <n v="7454.61"/>
    <n v="6303.67"/>
    <n v="7204.97"/>
    <n v="7333.64"/>
    <n v="84293.59"/>
    <n v="-128.67000000000007"/>
  </r>
  <r>
    <x v="6"/>
    <x v="0"/>
    <x v="0"/>
    <s v="3270102"/>
    <n v="713090"/>
    <s v="Benefits-Allocated Amounts"/>
    <s v="Nursing Administration"/>
    <x v="0"/>
    <m/>
    <n v="13909.87"/>
    <n v="13010.09"/>
    <n v="13693.36"/>
    <n v="12588.3"/>
    <n v="13243.99"/>
    <n v="14520.49"/>
    <n v="13347.9"/>
    <n v="14402.89"/>
    <n v="12691.99"/>
    <n v="12648.18"/>
    <n v="14606.36"/>
    <n v="14853.08"/>
    <n v="163516.49999999997"/>
    <n v="-246.71999999999935"/>
  </r>
  <r>
    <x v="6"/>
    <x v="0"/>
    <x v="0"/>
    <s v="3270102"/>
    <n v="713096"/>
    <s v="Employee Recognition"/>
    <s v="Nursing Administration"/>
    <x v="0"/>
    <n v="1017"/>
    <n v="12.1"/>
    <n v="0"/>
    <n v="0"/>
    <n v="0"/>
    <n v="0"/>
    <n v="0"/>
    <n v="185.41"/>
    <n v="120.46"/>
    <n v="157.33000000000001"/>
    <n v="0"/>
    <n v="809.75"/>
    <n v="366.21"/>
    <n v="1651.26"/>
    <n v="443.54"/>
  </r>
  <r>
    <x v="7"/>
    <x v="0"/>
    <x v="0"/>
    <s v="3270102"/>
    <n v="718050"/>
    <s v="Document Shredding/Storage"/>
    <s v="Nursing Administration"/>
    <x v="0"/>
    <n v="1012"/>
    <n v="108.44"/>
    <n v="173.08"/>
    <n v="-42.53"/>
    <n v="50.49"/>
    <n v="-11.82"/>
    <n v="30.38"/>
    <n v="30.07"/>
    <n v="75.19"/>
    <n v="27.8"/>
    <n v="59.63"/>
    <n v="30.57"/>
    <n v="31.6"/>
    <n v="562.9"/>
    <n v="-1.0300000000000011"/>
  </r>
  <r>
    <x v="7"/>
    <x v="0"/>
    <x v="0"/>
    <s v="3270102"/>
    <n v="718050"/>
    <s v="Miscellaneous Purchased Svcs"/>
    <s v="Nursing Administration"/>
    <x v="0"/>
    <n v="1020"/>
    <n v="0"/>
    <n v="0"/>
    <n v="0"/>
    <n v="68.75"/>
    <n v="0"/>
    <n v="0"/>
    <n v="0"/>
    <n v="0"/>
    <n v="712.92"/>
    <n v="0"/>
    <n v="7006.4"/>
    <n v="0"/>
    <n v="7788.07"/>
    <n v="7006.4"/>
  </r>
  <r>
    <x v="11"/>
    <x v="0"/>
    <x v="0"/>
    <s v="3270102"/>
    <n v="721010"/>
    <s v="Supplies-Medical - Billable"/>
    <s v="Nursing Administration"/>
    <x v="0"/>
    <m/>
    <n v="0"/>
    <n v="0"/>
    <n v="0"/>
    <n v="0"/>
    <n v="0"/>
    <n v="0"/>
    <n v="2.0699999999999998"/>
    <n v="0"/>
    <n v="0"/>
    <n v="0"/>
    <n v="0"/>
    <n v="0"/>
    <n v="2.0699999999999998"/>
    <n v="0"/>
  </r>
  <r>
    <x v="11"/>
    <x v="0"/>
    <x v="0"/>
    <s v="3270102"/>
    <n v="721410"/>
    <s v="Supplies-Medical - Nonbillable"/>
    <s v="Nursing Administration"/>
    <x v="0"/>
    <m/>
    <n v="0"/>
    <n v="922.68"/>
    <n v="0"/>
    <n v="18.21"/>
    <n v="0"/>
    <n v="0"/>
    <n v="24.47"/>
    <n v="0"/>
    <n v="384.45"/>
    <n v="0"/>
    <n v="733.95"/>
    <n v="20.85"/>
    <n v="2104.61"/>
    <n v="713.1"/>
  </r>
  <r>
    <x v="11"/>
    <x v="0"/>
    <x v="0"/>
    <s v="3270102"/>
    <n v="721810"/>
    <s v="Supplies-Dietary/Cafeteria"/>
    <s v="Nursing Administration"/>
    <x v="0"/>
    <m/>
    <n v="115.22"/>
    <n v="15.7"/>
    <n v="7.15"/>
    <n v="95.43"/>
    <n v="242.68"/>
    <n v="77.17"/>
    <n v="100.69"/>
    <n v="74"/>
    <n v="91.21"/>
    <n v="272.26"/>
    <n v="41.06"/>
    <n v="46.5"/>
    <n v="1179.07"/>
    <n v="-5.4399999999999977"/>
  </r>
  <r>
    <x v="11"/>
    <x v="0"/>
    <x v="0"/>
    <s v="3270102"/>
    <n v="721830"/>
    <s v="Supplies-Office"/>
    <s v="Nursing Administration"/>
    <x v="0"/>
    <m/>
    <n v="430.57"/>
    <n v="336.67"/>
    <n v="631.07000000000005"/>
    <n v="204.06"/>
    <n v="671.95"/>
    <n v="371.18"/>
    <n v="580.28"/>
    <n v="165.8"/>
    <n v="161.28"/>
    <n v="834.21"/>
    <n v="386.47"/>
    <n v="0"/>
    <n v="4773.54"/>
    <n v="386.47"/>
  </r>
  <r>
    <x v="11"/>
    <x v="0"/>
    <x v="0"/>
    <s v="3270102"/>
    <n v="721835"/>
    <s v="Supplies-Forms"/>
    <s v="Nursing Administration"/>
    <x v="0"/>
    <m/>
    <n v="0"/>
    <n v="0"/>
    <n v="0"/>
    <n v="0"/>
    <n v="63.54"/>
    <n v="0"/>
    <n v="0"/>
    <n v="0"/>
    <n v="0"/>
    <n v="0"/>
    <n v="0"/>
    <n v="1"/>
    <n v="64.539999999999992"/>
    <n v="-1"/>
  </r>
  <r>
    <x v="11"/>
    <x v="0"/>
    <x v="0"/>
    <s v="3270102"/>
    <n v="721910"/>
    <s v="Supplies-Small Equipment"/>
    <s v="Nursing Administration"/>
    <x v="0"/>
    <m/>
    <n v="0"/>
    <n v="0"/>
    <n v="0"/>
    <n v="0"/>
    <n v="0"/>
    <n v="243.25"/>
    <n v="0"/>
    <n v="24.33"/>
    <n v="1107.7"/>
    <n v="326.79000000000002"/>
    <n v="0"/>
    <n v="0"/>
    <n v="1702.07"/>
    <n v="0"/>
  </r>
  <r>
    <x v="11"/>
    <x v="0"/>
    <x v="0"/>
    <s v="3270102"/>
    <n v="721980"/>
    <s v="Supplies-Other"/>
    <s v="Nursing Administration"/>
    <x v="0"/>
    <m/>
    <n v="0"/>
    <n v="586.63"/>
    <n v="0"/>
    <n v="0"/>
    <n v="0"/>
    <n v="0"/>
    <n v="0"/>
    <n v="0"/>
    <n v="543.35"/>
    <n v="157.33000000000001"/>
    <n v="0"/>
    <n v="0"/>
    <n v="1287.31"/>
    <n v="0"/>
  </r>
  <r>
    <x v="11"/>
    <x v="0"/>
    <x v="0"/>
    <s v="3270102"/>
    <n v="722000"/>
    <s v="Supplies-Freight Expense"/>
    <s v="Nursing Administration"/>
    <x v="0"/>
    <m/>
    <n v="10.91"/>
    <n v="0"/>
    <n v="0"/>
    <n v="0"/>
    <n v="0"/>
    <n v="0"/>
    <n v="20.190000000000001"/>
    <n v="0"/>
    <n v="12.8"/>
    <n v="0"/>
    <n v="8.26"/>
    <n v="10.16"/>
    <n v="62.320000000000007"/>
    <n v="-1.9000000000000004"/>
  </r>
  <r>
    <x v="12"/>
    <x v="0"/>
    <x v="0"/>
    <s v="3270102"/>
    <n v="730020"/>
    <s v="Rental and Leases-Copier Usage Fees (DO NOT USE)"/>
    <s v="Nursing Administration"/>
    <x v="0"/>
    <n v="5100"/>
    <n v="1015.85"/>
    <n v="1026.73"/>
    <n v="1021.29"/>
    <n v="1021.29"/>
    <n v="1021.29"/>
    <n v="1021.29"/>
    <n v="1482.22"/>
    <n v="655.23"/>
    <n v="562.98"/>
    <n v="1987.69"/>
    <n v="545.76"/>
    <n v="645.87"/>
    <n v="12007.490000000002"/>
    <n v="-100.11000000000001"/>
  </r>
  <r>
    <x v="15"/>
    <x v="0"/>
    <x v="0"/>
    <s v="3270102"/>
    <n v="731060"/>
    <s v="Cell Phones"/>
    <s v="Nursing Administration"/>
    <x v="0"/>
    <n v="1001"/>
    <n v="0"/>
    <n v="142"/>
    <n v="119.23"/>
    <n v="0"/>
    <n v="85.81"/>
    <n v="87.56"/>
    <n v="177.31"/>
    <n v="0"/>
    <n v="88.7"/>
    <n v="175.17"/>
    <n v="193.2"/>
    <n v="87.66"/>
    <n v="1156.6400000000001"/>
    <n v="105.53999999999999"/>
  </r>
  <r>
    <x v="15"/>
    <x v="0"/>
    <x v="0"/>
    <s v="3270102"/>
    <n v="731060"/>
    <s v="Pagers"/>
    <s v="Nursing Administration"/>
    <x v="0"/>
    <n v="1002"/>
    <n v="25.51"/>
    <n v="25.51"/>
    <n v="25.51"/>
    <n v="25.57"/>
    <n v="25.57"/>
    <n v="0"/>
    <n v="51.14"/>
    <n v="25.57"/>
    <n v="25.57"/>
    <n v="25.57"/>
    <n v="25.57"/>
    <n v="25.57"/>
    <n v="306.65999999999997"/>
    <n v="0"/>
  </r>
  <r>
    <x v="16"/>
    <x v="0"/>
    <x v="0"/>
    <s v="3270102"/>
    <n v="733030"/>
    <s v="Maintenance Contracts-Other"/>
    <s v="Nursing Administration"/>
    <x v="0"/>
    <m/>
    <n v="0"/>
    <n v="0"/>
    <n v="0"/>
    <n v="0"/>
    <n v="0"/>
    <n v="0"/>
    <n v="0"/>
    <n v="0"/>
    <n v="0"/>
    <n v="0"/>
    <n v="0"/>
    <n v="775.5"/>
    <n v="775.5"/>
    <n v="-775.5"/>
  </r>
  <r>
    <x v="13"/>
    <x v="0"/>
    <x v="0"/>
    <s v="3270102"/>
    <n v="735070"/>
    <s v="Depreciation-Movable Equipment"/>
    <s v="Nursing Administration"/>
    <x v="0"/>
    <m/>
    <n v="2744.55"/>
    <n v="2744.55"/>
    <n v="2744.55"/>
    <n v="2744.55"/>
    <n v="2744.56"/>
    <n v="2744.55"/>
    <n v="2744.56"/>
    <n v="2744.54"/>
    <n v="2744.57"/>
    <n v="2744.54"/>
    <n v="2744.57"/>
    <n v="2744.54"/>
    <n v="32934.630000000005"/>
    <n v="3.0000000000200089E-2"/>
  </r>
  <r>
    <x v="0"/>
    <x v="0"/>
    <x v="0"/>
    <s v="3270102"/>
    <n v="740010"/>
    <s v="Education-Materials"/>
    <s v="Nursing Administration"/>
    <x v="0"/>
    <m/>
    <n v="0"/>
    <n v="0"/>
    <n v="0"/>
    <n v="0"/>
    <n v="0"/>
    <n v="0"/>
    <n v="0"/>
    <n v="0"/>
    <n v="0"/>
    <n v="0"/>
    <n v="120.52"/>
    <n v="472.5"/>
    <n v="593.02"/>
    <n v="-351.98"/>
  </r>
  <r>
    <x v="0"/>
    <x v="0"/>
    <x v="0"/>
    <s v="3270102"/>
    <n v="740020"/>
    <s v="Education-Registration Fees"/>
    <s v="Nursing Administration"/>
    <x v="0"/>
    <m/>
    <n v="0"/>
    <n v="0"/>
    <n v="0"/>
    <n v="0"/>
    <n v="0"/>
    <n v="84"/>
    <n v="0"/>
    <n v="198"/>
    <n v="71"/>
    <n v="0"/>
    <n v="490"/>
    <n v="631.38"/>
    <n v="1474.38"/>
    <n v="-141.38"/>
  </r>
  <r>
    <x v="0"/>
    <x v="0"/>
    <x v="0"/>
    <s v="3270102"/>
    <n v="743030"/>
    <s v="Subscriptions--Institutional"/>
    <s v="Nursing Administration"/>
    <x v="0"/>
    <m/>
    <n v="0"/>
    <n v="0"/>
    <n v="0"/>
    <n v="0"/>
    <n v="0"/>
    <n v="0"/>
    <n v="224.88"/>
    <n v="0"/>
    <n v="0"/>
    <n v="0"/>
    <n v="0"/>
    <n v="0"/>
    <n v="224.88"/>
    <n v="0"/>
  </r>
  <r>
    <x v="0"/>
    <x v="0"/>
    <x v="0"/>
    <s v="3270102"/>
    <n v="743040"/>
    <s v="Subscriptions--Individual"/>
    <s v="Nursing Administration"/>
    <x v="0"/>
    <m/>
    <n v="0"/>
    <n v="0"/>
    <n v="0"/>
    <n v="0"/>
    <n v="0"/>
    <n v="38.369999999999997"/>
    <n v="0"/>
    <n v="0"/>
    <n v="0"/>
    <n v="0"/>
    <n v="0"/>
    <n v="0"/>
    <n v="38.369999999999997"/>
    <n v="0"/>
  </r>
  <r>
    <x v="0"/>
    <x v="0"/>
    <x v="0"/>
    <s v="3270102"/>
    <n v="749510"/>
    <s v="Miscellaneous Expenses"/>
    <s v="Nursing Administration"/>
    <x v="0"/>
    <m/>
    <n v="6087.77"/>
    <n v="4469.4799999999996"/>
    <n v="1205.02"/>
    <n v="4263.3999999999996"/>
    <n v="1988.29"/>
    <n v="-576.75"/>
    <n v="8551.6200000000008"/>
    <n v="7967.82"/>
    <n v="1690.37"/>
    <n v="4219.3"/>
    <n v="15905.53"/>
    <n v="-12410.55"/>
    <n v="43361.3"/>
    <n v="28316.080000000002"/>
  </r>
  <r>
    <x v="0"/>
    <x v="0"/>
    <x v="0"/>
    <s v="3270102"/>
    <n v="749510"/>
    <s v="RICE Rewards"/>
    <s v="Nursing Administration"/>
    <x v="0"/>
    <n v="5100"/>
    <n v="0"/>
    <n v="0"/>
    <n v="0"/>
    <n v="0"/>
    <n v="0"/>
    <n v="251.21"/>
    <n v="0"/>
    <n v="0"/>
    <n v="0"/>
    <n v="0"/>
    <n v="0"/>
    <n v="532.34"/>
    <n v="783.55000000000007"/>
    <n v="-532.34"/>
  </r>
  <r>
    <x v="0"/>
    <x v="0"/>
    <x v="0"/>
    <s v="3270102"/>
    <n v="749530"/>
    <s v="Travel"/>
    <s v="Nursing Administration"/>
    <x v="0"/>
    <m/>
    <n v="0"/>
    <n v="0"/>
    <n v="0"/>
    <n v="0"/>
    <n v="0"/>
    <n v="0"/>
    <n v="0"/>
    <n v="678.86"/>
    <n v="20.84"/>
    <n v="20.84"/>
    <n v="1870.2"/>
    <n v="451.08"/>
    <n v="3041.82"/>
    <n v="1419.1200000000001"/>
  </r>
  <r>
    <x v="0"/>
    <x v="0"/>
    <x v="0"/>
    <s v="3270102"/>
    <n v="749530"/>
    <s v="Mileage"/>
    <s v="Nursing Administration"/>
    <x v="0"/>
    <n v="1001"/>
    <n v="3.27"/>
    <n v="0"/>
    <n v="0"/>
    <n v="0"/>
    <n v="0"/>
    <n v="16.920000000000002"/>
    <n v="0"/>
    <n v="0"/>
    <n v="0"/>
    <n v="0"/>
    <n v="265.64"/>
    <n v="361.92"/>
    <n v="647.75"/>
    <n v="-96.28000000000003"/>
  </r>
  <r>
    <x v="0"/>
    <x v="0"/>
    <x v="0"/>
    <s v="3270102"/>
    <n v="749535"/>
    <s v="Meetings"/>
    <s v="Nursing Administration"/>
    <x v="0"/>
    <m/>
    <n v="0"/>
    <n v="0"/>
    <n v="0"/>
    <n v="0"/>
    <n v="0"/>
    <n v="0"/>
    <n v="0"/>
    <n v="0"/>
    <n v="0"/>
    <n v="0"/>
    <n v="973.63"/>
    <n v="61"/>
    <n v="1034.6300000000001"/>
    <n v="912.63"/>
  </r>
  <r>
    <x v="5"/>
    <x v="4"/>
    <x v="0"/>
    <s v="3270103"/>
    <n v="700014"/>
    <s v="Salaries-Management-Productive"/>
    <s v="Nursing Administration"/>
    <x v="0"/>
    <m/>
    <n v="9059.08"/>
    <n v="8689.57"/>
    <n v="9540.33"/>
    <n v="11810.13"/>
    <n v="11509.4"/>
    <n v="11893.45"/>
    <n v="11182.01"/>
    <n v="9490.24"/>
    <n v="12295.05"/>
    <n v="10450.469999999999"/>
    <n v="9259.81"/>
    <n v="10950.44"/>
    <n v="126129.98000000001"/>
    <n v="-1690.630000000001"/>
  </r>
  <r>
    <x v="5"/>
    <x v="4"/>
    <x v="0"/>
    <s v="3270103"/>
    <n v="700026"/>
    <s v="Salaries-RN-Productive"/>
    <s v="Nursing Administration"/>
    <x v="0"/>
    <m/>
    <n v="36073.42"/>
    <n v="35812.46"/>
    <n v="34375.99"/>
    <n v="22730.73"/>
    <n v="28459.16"/>
    <n v="36580.79"/>
    <n v="66242.460000000006"/>
    <n v="36849.81"/>
    <n v="38835.83"/>
    <n v="39140.980000000003"/>
    <n v="37032.699999999997"/>
    <n v="35962.26"/>
    <n v="448096.59"/>
    <n v="1070.4399999999951"/>
  </r>
  <r>
    <x v="5"/>
    <x v="4"/>
    <x v="0"/>
    <s v="3270103"/>
    <n v="700026"/>
    <s v="Salaries-RN-OT"/>
    <s v="Nursing Administration"/>
    <x v="0"/>
    <n v="1000"/>
    <n v="4840.62"/>
    <n v="6753.22"/>
    <n v="4856.43"/>
    <n v="2252.16"/>
    <n v="2545.2199999999998"/>
    <n v="9268.7800000000007"/>
    <n v="4686.54"/>
    <n v="2243.33"/>
    <n v="5863.23"/>
    <n v="4187.3900000000003"/>
    <n v="6340.63"/>
    <n v="10935.14"/>
    <n v="64772.689999999995"/>
    <n v="-4594.5099999999993"/>
  </r>
  <r>
    <x v="5"/>
    <x v="4"/>
    <x v="0"/>
    <s v="3270103"/>
    <n v="700026"/>
    <s v="Salaries-RN-Other"/>
    <s v="Nursing Administration"/>
    <x v="0"/>
    <n v="2000"/>
    <n v="3610.73"/>
    <n v="2953.08"/>
    <n v="3100.25"/>
    <n v="3022.76"/>
    <n v="3293.31"/>
    <n v="3240.23"/>
    <n v="3790.93"/>
    <n v="3100.82"/>
    <n v="3460.57"/>
    <n v="3309.5"/>
    <n v="3406.94"/>
    <n v="3362.7"/>
    <n v="39651.82"/>
    <n v="44.240000000000236"/>
  </r>
  <r>
    <x v="5"/>
    <x v="4"/>
    <x v="0"/>
    <s v="3270103"/>
    <n v="700038"/>
    <s v="Salaries-Service/Support-Productive"/>
    <s v="Nursing Administration"/>
    <x v="0"/>
    <m/>
    <n v="4990.1099999999997"/>
    <n v="5194.62"/>
    <n v="5565.12"/>
    <n v="5230.97"/>
    <n v="6027.91"/>
    <n v="3453.02"/>
    <n v="5520.29"/>
    <n v="4674.49"/>
    <n v="3531.67"/>
    <n v="5677.66"/>
    <n v="4659.9799999999996"/>
    <n v="5198.68"/>
    <n v="59724.52"/>
    <n v="-538.70000000000073"/>
  </r>
  <r>
    <x v="5"/>
    <x v="4"/>
    <x v="0"/>
    <s v="3270103"/>
    <n v="700038"/>
    <s v="Salaries-Service/Support-OT"/>
    <s v="Nursing Administration"/>
    <x v="0"/>
    <n v="1000"/>
    <n v="0"/>
    <n v="0"/>
    <n v="0"/>
    <n v="0"/>
    <n v="74.5"/>
    <n v="-23.62"/>
    <n v="121"/>
    <n v="-31.83"/>
    <n v="120.09"/>
    <n v="20.03"/>
    <n v="173.77"/>
    <n v="-46.4"/>
    <n v="407.53999999999996"/>
    <n v="220.17000000000002"/>
  </r>
  <r>
    <x v="5"/>
    <x v="4"/>
    <x v="0"/>
    <s v="3270103"/>
    <n v="700054"/>
    <s v="Salaries-Management-Non-productive"/>
    <s v="Nursing Administration"/>
    <x v="0"/>
    <m/>
    <n v="2403.38"/>
    <n v="2773.42"/>
    <n v="1553.04"/>
    <n v="1847.16"/>
    <n v="0"/>
    <n v="0"/>
    <n v="729.97"/>
    <n v="1267.9100000000001"/>
    <n v="-384.17"/>
    <n v="1075.81"/>
    <n v="2651.05"/>
    <n v="576.38"/>
    <n v="14493.949999999999"/>
    <n v="2074.67"/>
  </r>
  <r>
    <x v="5"/>
    <x v="4"/>
    <x v="0"/>
    <s v="3270103"/>
    <n v="700054"/>
    <s v="Salaries-Management-NonProd-Other"/>
    <s v="Nursing Administration"/>
    <x v="0"/>
    <n v="2000"/>
    <n v="0"/>
    <n v="0"/>
    <n v="0"/>
    <n v="0"/>
    <n v="267.75"/>
    <n v="2932.33"/>
    <n v="-85.96"/>
    <n v="-431.75"/>
    <n v="0"/>
    <n v="0"/>
    <n v="0"/>
    <n v="0"/>
    <n v="2682.37"/>
    <n v="0"/>
  </r>
  <r>
    <x v="5"/>
    <x v="4"/>
    <x v="0"/>
    <s v="3270103"/>
    <n v="700066"/>
    <s v="Salaries-RN-Non-productive"/>
    <s v="Nursing Administration"/>
    <x v="0"/>
    <m/>
    <n v="6161.59"/>
    <n v="5352.05"/>
    <n v="1791.62"/>
    <n v="5758.16"/>
    <n v="4709.58"/>
    <n v="5337.87"/>
    <n v="5030.62"/>
    <n v="1533.75"/>
    <n v="1592.92"/>
    <n v="2998.64"/>
    <n v="7645.86"/>
    <n v="14100.24"/>
    <n v="62012.899999999994"/>
    <n v="-6454.38"/>
  </r>
  <r>
    <x v="5"/>
    <x v="4"/>
    <x v="0"/>
    <s v="3270103"/>
    <n v="700066"/>
    <s v="Salaries-RN-NonProd-Other"/>
    <s v="Nursing Administration"/>
    <x v="0"/>
    <n v="2000"/>
    <n v="389.5"/>
    <n v="270.13"/>
    <n v="130.11000000000001"/>
    <n v="391.57"/>
    <n v="586.15"/>
    <n v="229.14"/>
    <n v="243.92"/>
    <n v="-268.33"/>
    <n v="94.47"/>
    <n v="151.08000000000001"/>
    <n v="528.53"/>
    <n v="1436.19"/>
    <n v="4182.4599999999991"/>
    <n v="-907.66000000000008"/>
  </r>
  <r>
    <x v="5"/>
    <x v="4"/>
    <x v="0"/>
    <s v="3270103"/>
    <n v="700078"/>
    <s v="Salaries-Service/Support-Non-productive"/>
    <s v="Nursing Administration"/>
    <x v="0"/>
    <m/>
    <n v="2811.67"/>
    <n v="618.16999999999996"/>
    <n v="107.57"/>
    <n v="749.28"/>
    <n v="-213.2"/>
    <n v="2598.42"/>
    <n v="3467.02"/>
    <n v="760.65"/>
    <n v="2604.7600000000002"/>
    <n v="145.58000000000001"/>
    <n v="1390.29"/>
    <n v="609.05999999999995"/>
    <n v="15649.269999999999"/>
    <n v="781.23"/>
  </r>
  <r>
    <x v="5"/>
    <x v="4"/>
    <x v="0"/>
    <s v="3270103"/>
    <n v="700078"/>
    <s v="Salaries-Service/Support-NonProd-Other"/>
    <s v="Nursing Administration"/>
    <x v="0"/>
    <n v="2000"/>
    <n v="0"/>
    <n v="0"/>
    <n v="0"/>
    <n v="0"/>
    <n v="91"/>
    <n v="0"/>
    <n v="0"/>
    <n v="-91"/>
    <n v="0"/>
    <n v="0"/>
    <n v="0"/>
    <n v="0"/>
    <n v="0"/>
    <n v="0"/>
  </r>
  <r>
    <x v="5"/>
    <x v="4"/>
    <x v="0"/>
    <s v="3270103"/>
    <n v="700084"/>
    <s v="Accrued PTO"/>
    <s v="Nursing Administration"/>
    <x v="0"/>
    <m/>
    <n v="-2687"/>
    <n v="99.22"/>
    <n v="1540.61"/>
    <n v="1382.2"/>
    <n v="2050.64"/>
    <n v="1097.6300000000001"/>
    <n v="83.07"/>
    <n v="2343.2800000000002"/>
    <n v="3415.02"/>
    <n v="2933.59"/>
    <n v="407.09"/>
    <n v="-7252.78"/>
    <n v="5412.5700000000006"/>
    <n v="7659.87"/>
  </r>
  <r>
    <x v="6"/>
    <x v="4"/>
    <x v="0"/>
    <s v="3270103"/>
    <n v="713010"/>
    <s v="Benefits-FICA/Medicare"/>
    <s v="Nursing Administration"/>
    <x v="0"/>
    <m/>
    <n v="5166.83"/>
    <n v="5046.09"/>
    <n v="4485.7700000000004"/>
    <n v="3960.15"/>
    <n v="4323.13"/>
    <n v="4378.2299999999996"/>
    <n v="8257.6200000000008"/>
    <n v="4409.51"/>
    <n v="5005.96"/>
    <n v="4946.1000000000004"/>
    <n v="5392.97"/>
    <n v="6988.65"/>
    <n v="62361.01"/>
    <n v="-1595.6799999999994"/>
  </r>
  <r>
    <x v="6"/>
    <x v="4"/>
    <x v="0"/>
    <s v="3270103"/>
    <n v="713090"/>
    <s v="Benefits-Allocated Amounts"/>
    <s v="Nursing Administration"/>
    <x v="0"/>
    <m/>
    <n v="10303.08"/>
    <n v="8707.18"/>
    <n v="8642.1"/>
    <n v="7341.29"/>
    <n v="7966.65"/>
    <n v="9800.8799999999992"/>
    <n v="14933.69"/>
    <n v="9266.66"/>
    <n v="9618.0400000000009"/>
    <n v="10468.98"/>
    <n v="10857.08"/>
    <n v="11826.91"/>
    <n v="119732.54000000001"/>
    <n v="-969.82999999999993"/>
  </r>
  <r>
    <x v="6"/>
    <x v="4"/>
    <x v="0"/>
    <s v="3270103"/>
    <n v="713096"/>
    <s v="Employee Recognition"/>
    <s v="Nursing Administration"/>
    <x v="0"/>
    <n v="1017"/>
    <n v="0"/>
    <n v="0"/>
    <n v="0"/>
    <n v="0"/>
    <n v="60.95"/>
    <n v="0"/>
    <n v="0"/>
    <n v="0"/>
    <n v="0"/>
    <n v="0"/>
    <n v="0"/>
    <n v="30"/>
    <n v="90.95"/>
    <n v="-30"/>
  </r>
  <r>
    <x v="7"/>
    <x v="4"/>
    <x v="0"/>
    <s v="3270103"/>
    <n v="718050"/>
    <s v="Contract Svcs-Other"/>
    <s v="Nursing Administration"/>
    <x v="0"/>
    <m/>
    <n v="0"/>
    <n v="0"/>
    <n v="0"/>
    <n v="326.39999999999998"/>
    <n v="0"/>
    <n v="0"/>
    <n v="0"/>
    <n v="0"/>
    <n v="0"/>
    <n v="0"/>
    <n v="0"/>
    <n v="0"/>
    <n v="326.39999999999998"/>
    <n v="0"/>
  </r>
  <r>
    <x v="7"/>
    <x v="4"/>
    <x v="0"/>
    <s v="3270103"/>
    <n v="718050"/>
    <s v="Document Shredding/Storage"/>
    <s v="Nursing Administration"/>
    <x v="0"/>
    <n v="1012"/>
    <n v="14.13"/>
    <n v="14.47"/>
    <n v="13.32"/>
    <n v="13.78"/>
    <n v="14.24"/>
    <n v="14.24"/>
    <n v="14.09"/>
    <n v="87.97"/>
    <n v="31.26"/>
    <n v="-21.56"/>
    <n v="13.78"/>
    <n v="70.23"/>
    <n v="279.95"/>
    <n v="-56.45"/>
  </r>
  <r>
    <x v="7"/>
    <x v="4"/>
    <x v="0"/>
    <s v="3270103"/>
    <n v="718050"/>
    <s v="Miscellaneous Purchased Svcs"/>
    <s v="Nursing Administration"/>
    <x v="0"/>
    <n v="1020"/>
    <n v="0"/>
    <n v="0"/>
    <n v="0"/>
    <n v="0"/>
    <n v="0"/>
    <n v="0"/>
    <n v="0"/>
    <n v="0"/>
    <n v="0"/>
    <n v="43"/>
    <n v="0"/>
    <n v="0"/>
    <n v="43"/>
    <n v="0"/>
  </r>
  <r>
    <x v="11"/>
    <x v="4"/>
    <x v="0"/>
    <s v="3270103"/>
    <n v="721810"/>
    <s v="Supplies-Dietary/Cafeteria"/>
    <s v="Nursing Administration"/>
    <x v="0"/>
    <m/>
    <n v="19.48"/>
    <n v="140.35"/>
    <n v="52.66"/>
    <n v="71.37"/>
    <n v="110.8"/>
    <n v="97.47"/>
    <n v="71.28"/>
    <n v="504.48"/>
    <n v="0"/>
    <n v="365.2"/>
    <n v="81.38"/>
    <n v="52.12"/>
    <n v="1566.5899999999997"/>
    <n v="29.259999999999998"/>
  </r>
  <r>
    <x v="11"/>
    <x v="4"/>
    <x v="0"/>
    <s v="3270103"/>
    <n v="721830"/>
    <s v="Supplies-Office"/>
    <s v="Nursing Administration"/>
    <x v="0"/>
    <m/>
    <n v="4.03"/>
    <n v="159.12"/>
    <n v="491.67"/>
    <n v="177.7"/>
    <n v="194.4"/>
    <n v="259.43"/>
    <n v="107.14"/>
    <n v="1757.26"/>
    <n v="117.63"/>
    <n v="917.64"/>
    <n v="63.72"/>
    <n v="0"/>
    <n v="4249.7400000000007"/>
    <n v="63.72"/>
  </r>
  <r>
    <x v="11"/>
    <x v="4"/>
    <x v="0"/>
    <s v="3270103"/>
    <n v="721835"/>
    <s v="Supplies-Forms"/>
    <s v="Nursing Administration"/>
    <x v="0"/>
    <m/>
    <n v="0"/>
    <n v="0"/>
    <n v="0"/>
    <n v="0"/>
    <n v="51"/>
    <n v="0"/>
    <n v="0"/>
    <n v="0"/>
    <n v="0"/>
    <n v="13.9"/>
    <n v="9"/>
    <n v="12.84"/>
    <n v="86.740000000000009"/>
    <n v="-3.84"/>
  </r>
  <r>
    <x v="11"/>
    <x v="4"/>
    <x v="0"/>
    <s v="3270103"/>
    <n v="721870"/>
    <s v="Supplies-Environmental Services"/>
    <s v="Nursing Administration"/>
    <x v="0"/>
    <m/>
    <n v="0"/>
    <n v="0"/>
    <n v="0"/>
    <n v="0"/>
    <n v="0"/>
    <n v="0"/>
    <n v="20.7"/>
    <n v="0"/>
    <n v="0"/>
    <n v="0"/>
    <n v="0"/>
    <n v="0"/>
    <n v="20.7"/>
    <n v="0"/>
  </r>
  <r>
    <x v="11"/>
    <x v="4"/>
    <x v="0"/>
    <s v="3270103"/>
    <n v="721980"/>
    <s v="Supplies-Other"/>
    <s v="Nursing Administration"/>
    <x v="0"/>
    <m/>
    <n v="0"/>
    <n v="0"/>
    <n v="347.54"/>
    <n v="45.47"/>
    <n v="0"/>
    <n v="0"/>
    <n v="0"/>
    <n v="0"/>
    <n v="0"/>
    <n v="0"/>
    <n v="4.4000000000000004"/>
    <n v="0"/>
    <n v="397.40999999999997"/>
    <n v="4.4000000000000004"/>
  </r>
  <r>
    <x v="11"/>
    <x v="4"/>
    <x v="0"/>
    <s v="3270103"/>
    <n v="722000"/>
    <s v="Supplies-Freight Expense"/>
    <s v="Nursing Administration"/>
    <x v="0"/>
    <m/>
    <n v="0"/>
    <n v="0"/>
    <n v="124.24"/>
    <n v="0"/>
    <n v="0"/>
    <n v="0"/>
    <n v="0"/>
    <n v="0"/>
    <n v="0"/>
    <n v="0"/>
    <n v="0"/>
    <n v="0"/>
    <n v="124.24"/>
    <n v="0"/>
  </r>
  <r>
    <x v="12"/>
    <x v="4"/>
    <x v="0"/>
    <s v="3270103"/>
    <n v="730010"/>
    <s v="Rental and Leases-Building (DO NOT USE)"/>
    <s v="Nursing Administration"/>
    <x v="0"/>
    <m/>
    <n v="2512.13"/>
    <n v="2512.13"/>
    <n v="2512.13"/>
    <n v="2512.13"/>
    <n v="2512.13"/>
    <n v="-4212.67"/>
    <n v="1391.33"/>
    <n v="1391.33"/>
    <n v="1391.33"/>
    <n v="1414.9"/>
    <n v="1426.12"/>
    <n v="0"/>
    <n v="15362.990000000002"/>
    <n v="1426.12"/>
  </r>
  <r>
    <x v="12"/>
    <x v="4"/>
    <x v="0"/>
    <s v="3270103"/>
    <n v="730010"/>
    <s v="Rental-Common Area Maint (DO NOT USE)"/>
    <s v="Nursing Administration"/>
    <x v="0"/>
    <n v="2200"/>
    <n v="0"/>
    <n v="0"/>
    <n v="0"/>
    <n v="0"/>
    <n v="0"/>
    <n v="6750.94"/>
    <n v="1146.94"/>
    <n v="1146.94"/>
    <n v="-26.4"/>
    <n v="1146.94"/>
    <n v="1146.94"/>
    <n v="0"/>
    <n v="11312.300000000001"/>
    <n v="1146.94"/>
  </r>
  <r>
    <x v="12"/>
    <x v="4"/>
    <x v="0"/>
    <s v="3270103"/>
    <n v="730020"/>
    <s v="Rental and Leases-Copier Usage Fees (DO NOT USE)"/>
    <s v="Nursing Administration"/>
    <x v="0"/>
    <n v="5100"/>
    <n v="49.11"/>
    <n v="49.4"/>
    <n v="49.25"/>
    <n v="49.25"/>
    <n v="49.25"/>
    <n v="49.25"/>
    <n v="-187.11"/>
    <n v="35.6"/>
    <n v="35.53"/>
    <n v="35.67"/>
    <n v="35.6"/>
    <n v="42.15"/>
    <n v="292.95"/>
    <n v="-6.5499999999999972"/>
  </r>
  <r>
    <x v="12"/>
    <x v="4"/>
    <x v="0"/>
    <s v="3270103"/>
    <n v="730040"/>
    <s v="LT Lease-Real Estate"/>
    <s v="Nursing Administration"/>
    <x v="0"/>
    <m/>
    <n v="0"/>
    <n v="0"/>
    <n v="0"/>
    <n v="0"/>
    <n v="0"/>
    <n v="0"/>
    <n v="0"/>
    <n v="0"/>
    <n v="0"/>
    <n v="0"/>
    <n v="0"/>
    <n v="2573.06"/>
    <n v="2573.06"/>
    <n v="-2573.06"/>
  </r>
  <r>
    <x v="15"/>
    <x v="4"/>
    <x v="0"/>
    <s v="3270103"/>
    <n v="731060"/>
    <s v="Cell Phones"/>
    <s v="Nursing Administration"/>
    <x v="0"/>
    <n v="1001"/>
    <n v="0"/>
    <n v="102.6"/>
    <n v="50.78"/>
    <n v="0"/>
    <n v="50.91"/>
    <n v="51.48"/>
    <n v="105.15"/>
    <n v="0"/>
    <n v="51.54"/>
    <n v="244.09"/>
    <n v="77.36"/>
    <n v="78.239999999999995"/>
    <n v="812.15"/>
    <n v="-0.87999999999999545"/>
  </r>
  <r>
    <x v="15"/>
    <x v="4"/>
    <x v="0"/>
    <s v="3270103"/>
    <n v="731060"/>
    <s v="Pagers"/>
    <s v="Nursing Administration"/>
    <x v="0"/>
    <n v="1002"/>
    <n v="23.74"/>
    <n v="15.92"/>
    <n v="15.92"/>
    <n v="15.96"/>
    <n v="15.96"/>
    <n v="0"/>
    <n v="31.92"/>
    <n v="15.96"/>
    <n v="15.96"/>
    <n v="15.96"/>
    <n v="15.96"/>
    <n v="15.96"/>
    <n v="199.22000000000003"/>
    <n v="0"/>
  </r>
  <r>
    <x v="0"/>
    <x v="4"/>
    <x v="0"/>
    <s v="3270103"/>
    <n v="740020"/>
    <s v="Education-Registration Fees"/>
    <s v="Nursing Administration"/>
    <x v="0"/>
    <m/>
    <n v="0"/>
    <n v="139"/>
    <n v="405"/>
    <n v="0"/>
    <n v="0"/>
    <n v="0"/>
    <n v="0"/>
    <n v="0"/>
    <n v="0"/>
    <n v="175"/>
    <n v="0"/>
    <n v="0"/>
    <n v="719"/>
    <n v="0"/>
  </r>
  <r>
    <x v="0"/>
    <x v="4"/>
    <x v="0"/>
    <s v="3270103"/>
    <n v="749510"/>
    <s v="Miscellaneous Expenses"/>
    <s v="Nursing Administration"/>
    <x v="0"/>
    <m/>
    <n v="2394.37"/>
    <n v="2943.55"/>
    <n v="2905.66"/>
    <n v="7708.72"/>
    <n v="160.05000000000001"/>
    <n v="5702.82"/>
    <n v="149.66999999999999"/>
    <n v="5317.96"/>
    <n v="81.52"/>
    <n v="2756.14"/>
    <n v="610.35"/>
    <n v="5499.99"/>
    <n v="36230.799999999996"/>
    <n v="-4889.6399999999994"/>
  </r>
  <r>
    <x v="0"/>
    <x v="4"/>
    <x v="0"/>
    <s v="3270103"/>
    <n v="749510"/>
    <s v="Miscellaneous Fees"/>
    <s v="Nursing Administration"/>
    <x v="0"/>
    <n v="1001"/>
    <n v="0"/>
    <n v="1.1100000000000001"/>
    <n v="0"/>
    <n v="0"/>
    <n v="0"/>
    <n v="0"/>
    <n v="0"/>
    <n v="0"/>
    <n v="0"/>
    <n v="0"/>
    <n v="0"/>
    <n v="0"/>
    <n v="1.1100000000000001"/>
    <n v="0"/>
  </r>
  <r>
    <x v="0"/>
    <x v="4"/>
    <x v="0"/>
    <s v="3270103"/>
    <n v="749510"/>
    <s v="Licenses"/>
    <s v="Nursing Administration"/>
    <x v="0"/>
    <n v="1002"/>
    <n v="0"/>
    <n v="0"/>
    <n v="210"/>
    <n v="0"/>
    <n v="0"/>
    <n v="0"/>
    <n v="0"/>
    <n v="0"/>
    <n v="0"/>
    <n v="0"/>
    <n v="0"/>
    <n v="0"/>
    <n v="210"/>
    <n v="0"/>
  </r>
  <r>
    <x v="0"/>
    <x v="4"/>
    <x v="0"/>
    <s v="3270103"/>
    <n v="749510"/>
    <s v="Miscellaneous Expense"/>
    <s v="Nursing Administration"/>
    <x v="0"/>
    <n v="1009"/>
    <n v="0"/>
    <n v="0"/>
    <n v="0"/>
    <n v="267.82"/>
    <n v="0"/>
    <n v="0"/>
    <n v="0"/>
    <n v="0"/>
    <n v="0"/>
    <n v="0"/>
    <n v="0"/>
    <n v="0"/>
    <n v="267.82"/>
    <n v="0"/>
  </r>
  <r>
    <x v="0"/>
    <x v="4"/>
    <x v="0"/>
    <s v="3270103"/>
    <n v="749510"/>
    <s v="RICE Rewards"/>
    <s v="Nursing Administration"/>
    <x v="0"/>
    <n v="5100"/>
    <n v="0"/>
    <n v="0"/>
    <n v="0"/>
    <n v="0"/>
    <n v="0"/>
    <n v="219.51"/>
    <n v="0"/>
    <n v="0"/>
    <n v="0"/>
    <n v="0"/>
    <n v="0"/>
    <n v="0"/>
    <n v="219.51"/>
    <n v="0"/>
  </r>
  <r>
    <x v="0"/>
    <x v="4"/>
    <x v="0"/>
    <s v="3270103"/>
    <n v="749530"/>
    <s v="Travel"/>
    <s v="Nursing Administration"/>
    <x v="0"/>
    <m/>
    <n v="0"/>
    <n v="0"/>
    <n v="0"/>
    <n v="180.07"/>
    <n v="486.39"/>
    <n v="18"/>
    <n v="168.94"/>
    <n v="6"/>
    <n v="6"/>
    <n v="0"/>
    <n v="0"/>
    <n v="24"/>
    <n v="889.40000000000009"/>
    <n v="-24"/>
  </r>
  <r>
    <x v="0"/>
    <x v="4"/>
    <x v="0"/>
    <s v="3270103"/>
    <n v="749530"/>
    <s v="Mileage"/>
    <s v="Nursing Administration"/>
    <x v="0"/>
    <n v="1001"/>
    <n v="0"/>
    <n v="20.18"/>
    <n v="22.36"/>
    <n v="30"/>
    <n v="50.15"/>
    <n v="176.11"/>
    <n v="0"/>
    <n v="63.22"/>
    <n v="88.16"/>
    <n v="0"/>
    <n v="169.36"/>
    <n v="108.46"/>
    <n v="728"/>
    <n v="60.90000000000002"/>
  </r>
  <r>
    <x v="0"/>
    <x v="4"/>
    <x v="0"/>
    <s v="3270103"/>
    <n v="749535"/>
    <s v="Meetings"/>
    <s v="Nursing Administration"/>
    <x v="0"/>
    <m/>
    <n v="0"/>
    <n v="0"/>
    <n v="0"/>
    <n v="0"/>
    <n v="0"/>
    <n v="0"/>
    <n v="0"/>
    <n v="161.34"/>
    <n v="0"/>
    <n v="0"/>
    <n v="69.62"/>
    <n v="0"/>
    <n v="230.96"/>
    <n v="69.62"/>
  </r>
  <r>
    <x v="5"/>
    <x v="8"/>
    <x v="0"/>
    <s v="3270104"/>
    <n v="700026"/>
    <s v="Salaries-RN-Productive"/>
    <s v="Nursing Administration"/>
    <x v="0"/>
    <m/>
    <n v="42229.440000000002"/>
    <n v="38558.03"/>
    <n v="42773.64"/>
    <n v="46489.69"/>
    <n v="44369.34"/>
    <n v="41670.99"/>
    <n v="43087.5"/>
    <n v="40066.67"/>
    <n v="44664.32"/>
    <n v="39328.839999999997"/>
    <n v="41843.64"/>
    <n v="40586.97"/>
    <n v="505669.06999999995"/>
    <n v="1256.6699999999983"/>
  </r>
  <r>
    <x v="5"/>
    <x v="8"/>
    <x v="0"/>
    <s v="3270104"/>
    <n v="700026"/>
    <s v="Salaries-RN-OT"/>
    <s v="Nursing Administration"/>
    <x v="0"/>
    <n v="1000"/>
    <n v="1674.93"/>
    <n v="2105.8000000000002"/>
    <n v="1024.82"/>
    <n v="1622.6"/>
    <n v="374.67"/>
    <n v="762.22"/>
    <n v="817.64"/>
    <n v="238.86"/>
    <n v="1090.0999999999999"/>
    <n v="465.05"/>
    <n v="2260.61"/>
    <n v="4432.99"/>
    <n v="16870.29"/>
    <n v="-2172.3799999999997"/>
  </r>
  <r>
    <x v="5"/>
    <x v="8"/>
    <x v="0"/>
    <s v="3270104"/>
    <n v="700026"/>
    <s v="Salaries-RN-Other"/>
    <s v="Nursing Administration"/>
    <x v="0"/>
    <n v="2000"/>
    <n v="3663.62"/>
    <n v="2274.65"/>
    <n v="3683.41"/>
    <n v="3582.72"/>
    <n v="3223.39"/>
    <n v="2595.9899999999998"/>
    <n v="3282.65"/>
    <n v="3041.66"/>
    <n v="2804.33"/>
    <n v="3210.83"/>
    <n v="3870.55"/>
    <n v="4336.26"/>
    <n v="39570.060000000005"/>
    <n v="-465.71000000000004"/>
  </r>
  <r>
    <x v="5"/>
    <x v="8"/>
    <x v="0"/>
    <s v="3270104"/>
    <n v="700066"/>
    <s v="Salaries-RN-Non-productive"/>
    <s v="Nursing Administration"/>
    <x v="0"/>
    <m/>
    <n v="7380.09"/>
    <n v="8310.66"/>
    <n v="4957.75"/>
    <n v="6775.77"/>
    <n v="4814.03"/>
    <n v="6639.58"/>
    <n v="4273.8999999999996"/>
    <n v="214.39"/>
    <n v="7450.95"/>
    <n v="855.26"/>
    <n v="3791.77"/>
    <n v="8309.6200000000008"/>
    <n v="63773.77"/>
    <n v="-4517.8500000000004"/>
  </r>
  <r>
    <x v="5"/>
    <x v="8"/>
    <x v="0"/>
    <s v="3270104"/>
    <n v="700066"/>
    <s v="Salaries-RN-NonProd-Other"/>
    <s v="Nursing Administration"/>
    <x v="0"/>
    <n v="2000"/>
    <n v="539.24"/>
    <n v="98.46"/>
    <n v="22.86"/>
    <n v="267.42"/>
    <n v="20.58"/>
    <n v="670.86"/>
    <n v="155.53"/>
    <n v="30.91"/>
    <n v="335.54"/>
    <n v="13.76"/>
    <n v="236.9"/>
    <n v="206.04"/>
    <n v="2598.1000000000004"/>
    <n v="30.860000000000014"/>
  </r>
  <r>
    <x v="5"/>
    <x v="8"/>
    <x v="0"/>
    <s v="3270104"/>
    <n v="700084"/>
    <s v="Accrued PTO"/>
    <s v="Nursing Administration"/>
    <x v="0"/>
    <m/>
    <n v="-1278.92"/>
    <n v="-1422.99"/>
    <n v="-1341.4"/>
    <n v="68.34"/>
    <n v="-704.32"/>
    <n v="1862.89"/>
    <n v="393.48"/>
    <n v="4359.43"/>
    <n v="-1659.8"/>
    <n v="2317.34"/>
    <n v="2775.2"/>
    <n v="-2163.9"/>
    <n v="3205.3500000000008"/>
    <n v="4939.1000000000004"/>
  </r>
  <r>
    <x v="6"/>
    <x v="8"/>
    <x v="0"/>
    <s v="3270104"/>
    <n v="713010"/>
    <s v="Benefits-FICA/Medicare"/>
    <s v="Nursing Administration"/>
    <x v="0"/>
    <m/>
    <n v="4116.93"/>
    <n v="3824.84"/>
    <n v="3868.39"/>
    <n v="4344.21"/>
    <n v="3869.13"/>
    <n v="4321.66"/>
    <n v="3777.1"/>
    <n v="3203.71"/>
    <n v="4127.3999999999996"/>
    <n v="3212.57"/>
    <n v="3887.83"/>
    <n v="4205.3599999999997"/>
    <n v="46759.13"/>
    <n v="-317.52999999999975"/>
  </r>
  <r>
    <x v="6"/>
    <x v="8"/>
    <x v="0"/>
    <s v="3270104"/>
    <n v="713090"/>
    <s v="Benefits-Allocated Amounts"/>
    <s v="Nursing Administration"/>
    <x v="0"/>
    <m/>
    <n v="7557.62"/>
    <n v="6569.49"/>
    <n v="6868.82"/>
    <n v="7781.68"/>
    <n v="7398.67"/>
    <n v="6905.81"/>
    <n v="7087.11"/>
    <n v="6637.9"/>
    <n v="7847.96"/>
    <n v="6825.87"/>
    <n v="7469.12"/>
    <n v="8116.86"/>
    <n v="87066.909999999989"/>
    <n v="-647.73999999999978"/>
  </r>
  <r>
    <x v="6"/>
    <x v="8"/>
    <x v="0"/>
    <s v="3270104"/>
    <n v="713096"/>
    <s v="Employee Recognition"/>
    <s v="Nursing Administration"/>
    <x v="0"/>
    <n v="1017"/>
    <n v="0"/>
    <n v="0"/>
    <n v="0"/>
    <n v="0"/>
    <n v="47.4"/>
    <n v="0"/>
    <n v="0"/>
    <n v="0"/>
    <n v="0"/>
    <n v="0"/>
    <n v="0"/>
    <n v="0"/>
    <n v="47.4"/>
    <n v="0"/>
  </r>
  <r>
    <x v="7"/>
    <x v="8"/>
    <x v="0"/>
    <s v="3270104"/>
    <n v="718050"/>
    <s v="Document Shredding/Storage"/>
    <s v="Nursing Administration"/>
    <x v="0"/>
    <n v="1012"/>
    <n v="5.17"/>
    <n v="8.41"/>
    <n v="5.85"/>
    <n v="6.05"/>
    <n v="32.79"/>
    <n v="6.25"/>
    <n v="6.18"/>
    <n v="-7.95"/>
    <n v="5.5"/>
    <n v="7.2"/>
    <n v="6.05"/>
    <n v="6.25"/>
    <n v="87.749999999999986"/>
    <n v="-0.20000000000000018"/>
  </r>
  <r>
    <x v="11"/>
    <x v="8"/>
    <x v="0"/>
    <s v="3270104"/>
    <n v="721810"/>
    <s v="Supplies-Dietary/Cafeteria"/>
    <s v="Nursing Administration"/>
    <x v="0"/>
    <m/>
    <n v="0"/>
    <n v="0"/>
    <n v="0"/>
    <n v="0"/>
    <n v="0"/>
    <n v="0"/>
    <n v="0"/>
    <n v="0"/>
    <n v="0"/>
    <n v="0"/>
    <n v="135.6"/>
    <n v="0"/>
    <n v="135.6"/>
    <n v="135.6"/>
  </r>
  <r>
    <x v="11"/>
    <x v="8"/>
    <x v="0"/>
    <s v="3270104"/>
    <n v="721830"/>
    <s v="Supplies-Office"/>
    <s v="Nursing Administration"/>
    <x v="0"/>
    <m/>
    <n v="0"/>
    <n v="0"/>
    <n v="122.5"/>
    <n v="0"/>
    <n v="0"/>
    <n v="110.7"/>
    <n v="0"/>
    <n v="121.67"/>
    <n v="0"/>
    <n v="0"/>
    <n v="0"/>
    <n v="0"/>
    <n v="354.87"/>
    <n v="0"/>
  </r>
  <r>
    <x v="11"/>
    <x v="8"/>
    <x v="0"/>
    <s v="3270104"/>
    <n v="721910"/>
    <s v="Supplies-Small Equipment"/>
    <s v="Nursing Administration"/>
    <x v="0"/>
    <m/>
    <n v="0"/>
    <n v="0"/>
    <n v="0"/>
    <n v="311.39999999999998"/>
    <n v="0"/>
    <n v="0"/>
    <n v="0"/>
    <n v="0"/>
    <n v="0"/>
    <n v="0"/>
    <n v="0"/>
    <n v="0"/>
    <n v="311.39999999999998"/>
    <n v="0"/>
  </r>
  <r>
    <x v="11"/>
    <x v="8"/>
    <x v="0"/>
    <s v="3270104"/>
    <n v="722000"/>
    <s v="Supplies-Freight Expense"/>
    <s v="Nursing Administration"/>
    <x v="0"/>
    <m/>
    <n v="5.57"/>
    <n v="44.63"/>
    <n v="320.58"/>
    <n v="11.26"/>
    <n v="11.28"/>
    <n v="8.02"/>
    <n v="5.54"/>
    <n v="5.75"/>
    <n v="20.77"/>
    <n v="0"/>
    <n v="0"/>
    <n v="11.66"/>
    <n v="445.05999999999995"/>
    <n v="-11.66"/>
  </r>
  <r>
    <x v="12"/>
    <x v="8"/>
    <x v="0"/>
    <s v="3270104"/>
    <n v="730020"/>
    <s v="Rental and Leases-Copier Usage Fees (DO NOT USE)"/>
    <s v="Nursing Administration"/>
    <x v="0"/>
    <n v="5100"/>
    <n v="55.15"/>
    <n v="56.38"/>
    <n v="55.76"/>
    <n v="55.76"/>
    <n v="55.76"/>
    <n v="55.76"/>
    <n v="-112.54"/>
    <n v="35.15"/>
    <n v="35.08"/>
    <n v="35.22"/>
    <n v="35.15"/>
    <n v="39.43"/>
    <n v="402.05999999999989"/>
    <n v="-4.2800000000000011"/>
  </r>
  <r>
    <x v="15"/>
    <x v="8"/>
    <x v="0"/>
    <s v="3270104"/>
    <n v="731060"/>
    <s v="Cell Phones"/>
    <s v="Nursing Administration"/>
    <x v="0"/>
    <n v="1001"/>
    <n v="0"/>
    <n v="33.020000000000003"/>
    <n v="66.03"/>
    <n v="0"/>
    <n v="32.5"/>
    <n v="33.11"/>
    <n v="66.16"/>
    <n v="0"/>
    <n v="33.58"/>
    <n v="66.28"/>
    <n v="33.590000000000003"/>
    <n v="33.15"/>
    <n v="397.42000000000007"/>
    <n v="0.44000000000000483"/>
  </r>
  <r>
    <x v="15"/>
    <x v="8"/>
    <x v="0"/>
    <s v="3270104"/>
    <n v="731060"/>
    <s v="Pagers"/>
    <s v="Nursing Administration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3"/>
    <x v="8"/>
    <x v="0"/>
    <s v="3270104"/>
    <n v="735030"/>
    <s v="Depreciation-Buildings"/>
    <s v="Nursing Administration"/>
    <x v="0"/>
    <m/>
    <n v="134.63999999999999"/>
    <n v="134.61000000000001"/>
    <n v="134.66999999999999"/>
    <n v="134.58000000000001"/>
    <n v="134.71"/>
    <n v="134.52000000000001"/>
    <n v="134.71"/>
    <n v="134.5"/>
    <n v="134.72999999999999"/>
    <n v="131.16"/>
    <n v="131.41999999999999"/>
    <n v="131.13999999999999"/>
    <n v="1605.3900000000003"/>
    <n v="0.28000000000000114"/>
  </r>
  <r>
    <x v="0"/>
    <x v="8"/>
    <x v="0"/>
    <s v="3270104"/>
    <n v="740020"/>
    <s v="Education-Registration Fees"/>
    <s v="Nursing Administration"/>
    <x v="0"/>
    <m/>
    <n v="0"/>
    <n v="0"/>
    <n v="0"/>
    <n v="0"/>
    <n v="0"/>
    <n v="0"/>
    <n v="0"/>
    <n v="0"/>
    <n v="175"/>
    <n v="0"/>
    <n v="0"/>
    <n v="0"/>
    <n v="175"/>
    <n v="0"/>
  </r>
  <r>
    <x v="0"/>
    <x v="8"/>
    <x v="0"/>
    <s v="3270104"/>
    <n v="743030"/>
    <s v="Subscriptions--Institutional"/>
    <s v="Nursing Administration"/>
    <x v="0"/>
    <m/>
    <n v="0"/>
    <n v="0"/>
    <n v="0"/>
    <n v="0"/>
    <n v="0"/>
    <n v="0"/>
    <n v="0"/>
    <n v="0"/>
    <n v="115.95"/>
    <n v="0"/>
    <n v="0"/>
    <n v="0"/>
    <n v="115.95"/>
    <n v="0"/>
  </r>
  <r>
    <x v="0"/>
    <x v="8"/>
    <x v="0"/>
    <s v="3270104"/>
    <n v="749510"/>
    <s v="Miscellaneous Expenses"/>
    <s v="Nursing Administration"/>
    <x v="0"/>
    <m/>
    <n v="0"/>
    <n v="0"/>
    <n v="0"/>
    <n v="0"/>
    <n v="0"/>
    <n v="52.08"/>
    <n v="0"/>
    <n v="0"/>
    <n v="0"/>
    <n v="0"/>
    <n v="0"/>
    <n v="0"/>
    <n v="52.08"/>
    <n v="0"/>
  </r>
  <r>
    <x v="0"/>
    <x v="8"/>
    <x v="0"/>
    <s v="3270104"/>
    <n v="749510"/>
    <s v="RICE Rewards"/>
    <s v="Nursing Administration"/>
    <x v="0"/>
    <n v="5100"/>
    <n v="0"/>
    <n v="0"/>
    <n v="0"/>
    <n v="0"/>
    <n v="0"/>
    <n v="0"/>
    <n v="0"/>
    <n v="0"/>
    <n v="0"/>
    <n v="151.88"/>
    <n v="0"/>
    <n v="0"/>
    <n v="151.88"/>
    <n v="0"/>
  </r>
  <r>
    <x v="5"/>
    <x v="5"/>
    <x v="0"/>
    <s v="3270106"/>
    <n v="700014"/>
    <s v="Salaries-Management-Productive"/>
    <s v="Nursing Administration"/>
    <x v="0"/>
    <m/>
    <n v="31856.34"/>
    <n v="27318.29"/>
    <n v="22836.61"/>
    <n v="40899.17"/>
    <n v="36700.17"/>
    <n v="30626.959999999999"/>
    <n v="35613.980000000003"/>
    <n v="32171.599999999999"/>
    <n v="36875.5"/>
    <n v="34335.839999999997"/>
    <n v="36846.79"/>
    <n v="34998.46"/>
    <n v="401079.70999999996"/>
    <n v="1848.3300000000017"/>
  </r>
  <r>
    <x v="5"/>
    <x v="5"/>
    <x v="0"/>
    <s v="3270106"/>
    <n v="700026"/>
    <s v="Salaries-RN-Productive"/>
    <s v="Nursing Administration"/>
    <x v="0"/>
    <m/>
    <n v="47527.3"/>
    <n v="43077.33"/>
    <n v="44555.22"/>
    <n v="48690.73"/>
    <n v="43773.79"/>
    <n v="47631.26"/>
    <n v="50278.43"/>
    <n v="44237.59"/>
    <n v="43427.35"/>
    <n v="45352.2"/>
    <n v="49349.02"/>
    <n v="46883.19"/>
    <n v="554783.41"/>
    <n v="2465.8299999999945"/>
  </r>
  <r>
    <x v="5"/>
    <x v="5"/>
    <x v="0"/>
    <s v="3270106"/>
    <n v="700026"/>
    <s v="Salaries-RN-OT"/>
    <s v="Nursing Administration"/>
    <x v="0"/>
    <n v="1000"/>
    <n v="94.98"/>
    <n v="2059.8200000000002"/>
    <n v="-310.16000000000003"/>
    <n v="1209.69"/>
    <n v="376.54"/>
    <n v="2544.7199999999998"/>
    <n v="58.84"/>
    <n v="288.72000000000003"/>
    <n v="4745.8599999999997"/>
    <n v="1780.01"/>
    <n v="450.79"/>
    <n v="3196.33"/>
    <n v="16496.14"/>
    <n v="-2745.54"/>
  </r>
  <r>
    <x v="5"/>
    <x v="5"/>
    <x v="0"/>
    <s v="3270106"/>
    <n v="700026"/>
    <s v="Salaries-RN-Other"/>
    <s v="Nursing Administration"/>
    <x v="0"/>
    <n v="2000"/>
    <n v="3435.58"/>
    <n v="4160.6099999999997"/>
    <n v="3474.23"/>
    <n v="2893.75"/>
    <n v="3702.28"/>
    <n v="3008.34"/>
    <n v="2183.2800000000002"/>
    <n v="2779.26"/>
    <n v="4357.21"/>
    <n v="3138.49"/>
    <n v="3689.82"/>
    <n v="4728.54"/>
    <n v="41551.39"/>
    <n v="-1038.7199999999998"/>
  </r>
  <r>
    <x v="5"/>
    <x v="5"/>
    <x v="0"/>
    <s v="3270106"/>
    <n v="700032"/>
    <s v="Salaries-Other Pat Care Providers-Productive"/>
    <s v="Nursing Administration"/>
    <x v="0"/>
    <m/>
    <n v="0"/>
    <n v="0"/>
    <n v="0"/>
    <n v="0"/>
    <n v="0"/>
    <n v="0"/>
    <n v="0"/>
    <n v="0"/>
    <n v="0"/>
    <n v="0"/>
    <n v="0"/>
    <n v="122.5"/>
    <n v="122.5"/>
    <n v="-122.5"/>
  </r>
  <r>
    <x v="5"/>
    <x v="5"/>
    <x v="0"/>
    <s v="3270106"/>
    <n v="700032"/>
    <s v="Salaries-Other Pat Care Providers-Other"/>
    <s v="Nursing Administration"/>
    <x v="0"/>
    <n v="2000"/>
    <n v="0"/>
    <n v="0"/>
    <n v="0"/>
    <n v="0"/>
    <n v="0"/>
    <n v="0"/>
    <n v="0"/>
    <n v="0"/>
    <n v="0"/>
    <n v="0"/>
    <n v="0"/>
    <n v="7.2"/>
    <n v="7.2"/>
    <n v="-7.2"/>
  </r>
  <r>
    <x v="5"/>
    <x v="5"/>
    <x v="0"/>
    <s v="3270106"/>
    <n v="700038"/>
    <s v="Salaries-Service/Support-Productive"/>
    <s v="Nursing Administration"/>
    <x v="0"/>
    <m/>
    <n v="6756.05"/>
    <n v="4407.59"/>
    <n v="3814.81"/>
    <n v="3562.74"/>
    <n v="3617.43"/>
    <n v="2872.81"/>
    <n v="3632.04"/>
    <n v="3056.76"/>
    <n v="3312.57"/>
    <n v="3708.59"/>
    <n v="2974.24"/>
    <n v="3747.69"/>
    <n v="45463.32"/>
    <n v="-773.45000000000027"/>
  </r>
  <r>
    <x v="5"/>
    <x v="5"/>
    <x v="0"/>
    <s v="3270106"/>
    <n v="700038"/>
    <s v="Salaries-Service/Support-OT"/>
    <s v="Nursing Administration"/>
    <x v="0"/>
    <n v="1000"/>
    <n v="128.84"/>
    <n v="33.979999999999997"/>
    <n v="-10.25"/>
    <n v="0"/>
    <n v="0"/>
    <n v="0"/>
    <n v="0"/>
    <n v="0"/>
    <n v="0"/>
    <n v="0"/>
    <n v="0"/>
    <n v="0"/>
    <n v="152.57"/>
    <n v="0"/>
  </r>
  <r>
    <x v="5"/>
    <x v="5"/>
    <x v="0"/>
    <s v="3270106"/>
    <n v="700038"/>
    <s v="Salaries-Service/Support-Other"/>
    <s v="Nursing Administration"/>
    <x v="0"/>
    <n v="2000"/>
    <n v="30"/>
    <n v="0"/>
    <n v="63.57"/>
    <n v="13.05"/>
    <n v="-5.74"/>
    <n v="24.5"/>
    <n v="11.84"/>
    <n v="0"/>
    <n v="0"/>
    <n v="11.27"/>
    <n v="0"/>
    <n v="10.71"/>
    <n v="159.20000000000002"/>
    <n v="-10.71"/>
  </r>
  <r>
    <x v="5"/>
    <x v="5"/>
    <x v="0"/>
    <s v="3270106"/>
    <n v="700054"/>
    <s v="Salaries-Management-Non-productive"/>
    <s v="Nursing Administration"/>
    <x v="0"/>
    <m/>
    <n v="5114.18"/>
    <n v="9653.92"/>
    <n v="12943.42"/>
    <n v="-3158.77"/>
    <n v="0"/>
    <n v="7297.78"/>
    <n v="2370.0100000000002"/>
    <n v="2133.0300000000002"/>
    <n v="1104.93"/>
    <n v="2418.17"/>
    <n v="1133.6199999999999"/>
    <n v="1757.27"/>
    <n v="42767.56"/>
    <n v="-623.65000000000009"/>
  </r>
  <r>
    <x v="5"/>
    <x v="5"/>
    <x v="0"/>
    <s v="3270106"/>
    <n v="700066"/>
    <s v="Salaries-RN-Non-productive"/>
    <s v="Nursing Administration"/>
    <x v="0"/>
    <m/>
    <n v="2686.67"/>
    <n v="8946.3700000000008"/>
    <n v="10503.47"/>
    <n v="343.38"/>
    <n v="11739.21"/>
    <n v="10176.959999999999"/>
    <n v="-399.2"/>
    <n v="4946.3999999999996"/>
    <n v="11422.63"/>
    <n v="3266.87"/>
    <n v="1676.96"/>
    <n v="12783.78"/>
    <n v="78093.500000000015"/>
    <n v="-11106.82"/>
  </r>
  <r>
    <x v="5"/>
    <x v="5"/>
    <x v="0"/>
    <s v="3270106"/>
    <n v="700066"/>
    <s v="Salaries-RN-NonProd-Other"/>
    <s v="Nursing Administration"/>
    <x v="0"/>
    <n v="2000"/>
    <n v="137.30000000000001"/>
    <n v="415.21"/>
    <n v="142.63"/>
    <n v="-23.73"/>
    <n v="598.85"/>
    <n v="182.58"/>
    <n v="1.99"/>
    <n v="139.93"/>
    <n v="206.02"/>
    <n v="185.41"/>
    <n v="-102.99"/>
    <n v="448.08"/>
    <n v="2331.2800000000002"/>
    <n v="-551.06999999999994"/>
  </r>
  <r>
    <x v="5"/>
    <x v="5"/>
    <x v="0"/>
    <s v="3270106"/>
    <n v="700078"/>
    <s v="Salaries-Service/Support-Non-productive"/>
    <s v="Nursing Administration"/>
    <x v="0"/>
    <m/>
    <n v="436"/>
    <n v="3150.91"/>
    <n v="-102.95"/>
    <n v="364.2"/>
    <n v="138.19"/>
    <n v="967.34"/>
    <n v="325.93"/>
    <n v="559.74"/>
    <n v="656.07"/>
    <n v="65.680000000000007"/>
    <n v="1078.23"/>
    <n v="49.11"/>
    <n v="7688.45"/>
    <n v="1029.1200000000001"/>
  </r>
  <r>
    <x v="5"/>
    <x v="5"/>
    <x v="0"/>
    <s v="3270106"/>
    <n v="700084"/>
    <s v="Accrued PTO"/>
    <s v="Nursing Administration"/>
    <x v="0"/>
    <m/>
    <n v="2941.3"/>
    <n v="-2182.71"/>
    <n v="-7458.15"/>
    <n v="9627.35"/>
    <n v="3711.95"/>
    <n v="-2605.56"/>
    <n v="6281.33"/>
    <n v="5303.82"/>
    <n v="839.11"/>
    <n v="3796.33"/>
    <n v="6408.73"/>
    <n v="-5152.22"/>
    <n v="21511.279999999995"/>
    <n v="11560.95"/>
  </r>
  <r>
    <x v="6"/>
    <x v="5"/>
    <x v="0"/>
    <s v="3270106"/>
    <n v="713010"/>
    <s v="Benefits-FICA/Medicare"/>
    <s v="Nursing Administration"/>
    <x v="0"/>
    <m/>
    <n v="7318.78"/>
    <n v="7712.62"/>
    <n v="7308.84"/>
    <n v="7073.96"/>
    <n v="5269.7"/>
    <n v="6779.13"/>
    <n v="7004.92"/>
    <n v="6735.83"/>
    <n v="7955.02"/>
    <n v="7052.85"/>
    <n v="7267.38"/>
    <n v="8164.32"/>
    <n v="85643.35"/>
    <n v="-896.9399999999996"/>
  </r>
  <r>
    <x v="6"/>
    <x v="5"/>
    <x v="0"/>
    <s v="3270106"/>
    <n v="713090"/>
    <s v="Benefits-Allocated Amounts"/>
    <s v="Nursing Administration"/>
    <x v="0"/>
    <m/>
    <n v="16933.04"/>
    <n v="17814.939999999999"/>
    <n v="15502.21"/>
    <n v="14980.21"/>
    <n v="16469.82"/>
    <n v="16456.240000000002"/>
    <n v="15564.24"/>
    <n v="15538.99"/>
    <n v="16540.14"/>
    <n v="15577.22"/>
    <n v="15724.5"/>
    <n v="17046.86"/>
    <n v="194148.41000000003"/>
    <n v="-1322.3600000000006"/>
  </r>
  <r>
    <x v="6"/>
    <x v="5"/>
    <x v="0"/>
    <s v="3270106"/>
    <n v="713096"/>
    <s v="Employee Recognition"/>
    <s v="Nursing Administration"/>
    <x v="0"/>
    <n v="1017"/>
    <n v="0"/>
    <n v="0"/>
    <n v="0"/>
    <n v="0"/>
    <n v="0"/>
    <n v="0"/>
    <n v="0"/>
    <n v="0"/>
    <n v="51.17"/>
    <n v="0"/>
    <n v="0"/>
    <n v="0"/>
    <n v="51.17"/>
    <n v="0"/>
  </r>
  <r>
    <x v="11"/>
    <x v="5"/>
    <x v="0"/>
    <s v="3270106"/>
    <n v="721410"/>
    <s v="Supplies-Medical - Nonbillable"/>
    <s v="Nursing Administration"/>
    <x v="0"/>
    <m/>
    <n v="0"/>
    <n v="0"/>
    <n v="0"/>
    <n v="0"/>
    <n v="0"/>
    <n v="0"/>
    <n v="0"/>
    <n v="1.68"/>
    <n v="0"/>
    <n v="0"/>
    <n v="0"/>
    <n v="0"/>
    <n v="1.68"/>
    <n v="0"/>
  </r>
  <r>
    <x v="11"/>
    <x v="5"/>
    <x v="0"/>
    <s v="3270106"/>
    <n v="721810"/>
    <s v="Supplies-Dietary/Cafeteria"/>
    <s v="Nursing Administration"/>
    <x v="0"/>
    <m/>
    <n v="0"/>
    <n v="0"/>
    <n v="0"/>
    <n v="0"/>
    <n v="0"/>
    <n v="0"/>
    <n v="0"/>
    <n v="0"/>
    <n v="0"/>
    <n v="0"/>
    <n v="88.13"/>
    <n v="0"/>
    <n v="88.13"/>
    <n v="88.13"/>
  </r>
  <r>
    <x v="11"/>
    <x v="5"/>
    <x v="0"/>
    <s v="3270106"/>
    <n v="721830"/>
    <s v="Supplies-Office"/>
    <s v="Nursing Administration"/>
    <x v="0"/>
    <m/>
    <n v="0"/>
    <n v="0"/>
    <n v="0"/>
    <n v="382.54"/>
    <n v="0"/>
    <n v="0"/>
    <n v="0"/>
    <n v="0"/>
    <n v="0"/>
    <n v="0"/>
    <n v="0"/>
    <n v="0"/>
    <n v="382.54"/>
    <n v="0"/>
  </r>
  <r>
    <x v="12"/>
    <x v="5"/>
    <x v="0"/>
    <s v="3270106"/>
    <n v="730020"/>
    <s v="Rental and Leases-Copier Usage Fees (DO NOT USE)"/>
    <s v="Nursing Administration"/>
    <x v="0"/>
    <n v="5100"/>
    <n v="383.53"/>
    <n v="370.14"/>
    <n v="376.83"/>
    <n v="376.83"/>
    <n v="376.83"/>
    <n v="376.83"/>
    <n v="-607.1"/>
    <n v="152.79"/>
    <n v="152.46"/>
    <n v="680.92"/>
    <n v="152.79"/>
    <n v="161.43"/>
    <n v="2954.2799999999997"/>
    <n v="-8.6400000000000148"/>
  </r>
  <r>
    <x v="15"/>
    <x v="5"/>
    <x v="0"/>
    <s v="3270106"/>
    <n v="731060"/>
    <s v="Cell Phones"/>
    <s v="Nursing Administration"/>
    <x v="0"/>
    <n v="1001"/>
    <n v="0"/>
    <n v="33.03"/>
    <n v="66.040000000000006"/>
    <n v="0"/>
    <n v="32.5"/>
    <n v="33.11"/>
    <n v="66.16"/>
    <n v="0"/>
    <n v="33.58"/>
    <n v="66.290000000000006"/>
    <n v="32.5"/>
    <n v="33.159999999999997"/>
    <n v="396.37"/>
    <n v="-0.65999999999999659"/>
  </r>
  <r>
    <x v="15"/>
    <x v="5"/>
    <x v="0"/>
    <s v="3270106"/>
    <n v="731060"/>
    <s v="Pagers"/>
    <s v="Nursing Administration"/>
    <x v="0"/>
    <n v="1002"/>
    <n v="23.97"/>
    <n v="23.97"/>
    <n v="23.97"/>
    <n v="24.06"/>
    <n v="24.06"/>
    <n v="0"/>
    <n v="48.12"/>
    <n v="24.06"/>
    <n v="24.06"/>
    <n v="24.03"/>
    <n v="24.03"/>
    <n v="24.03"/>
    <n v="288.36"/>
    <n v="0"/>
  </r>
  <r>
    <x v="13"/>
    <x v="5"/>
    <x v="0"/>
    <s v="3270106"/>
    <n v="735060"/>
    <s v="Depreciation-Fixed Equipment"/>
    <s v="Nursing Administration"/>
    <x v="0"/>
    <m/>
    <n v="1.1299999999999999"/>
    <n v="1.1299999999999999"/>
    <n v="1.1299999999999999"/>
    <n v="1.1299999999999999"/>
    <n v="1.1299999999999999"/>
    <n v="1.1299999999999999"/>
    <n v="1.1399999999999999"/>
    <n v="1.1299999999999999"/>
    <n v="1.1399999999999999"/>
    <n v="1.1299999999999999"/>
    <n v="1.1399999999999999"/>
    <n v="1.1299999999999999"/>
    <n v="13.59"/>
    <n v="1.0000000000000009E-2"/>
  </r>
  <r>
    <x v="13"/>
    <x v="5"/>
    <x v="0"/>
    <s v="3270106"/>
    <n v="735070"/>
    <s v="Depreciation-Movable Equipment"/>
    <s v="Nursing Administration"/>
    <x v="0"/>
    <m/>
    <n v="25906.02"/>
    <n v="25906.01"/>
    <n v="25906.02"/>
    <n v="25906.01"/>
    <n v="25906.02"/>
    <n v="25905.99"/>
    <n v="25906.02"/>
    <n v="25905.99"/>
    <n v="25906.03"/>
    <n v="25905.98"/>
    <n v="25906.04"/>
    <n v="25905.98"/>
    <n v="310872.11"/>
    <n v="6.0000000001309672E-2"/>
  </r>
  <r>
    <x v="0"/>
    <x v="5"/>
    <x v="0"/>
    <s v="3270106"/>
    <n v="740020"/>
    <s v="Education-Registration Fees"/>
    <s v="Nursing Administration"/>
    <x v="0"/>
    <m/>
    <n v="0"/>
    <n v="0"/>
    <n v="215"/>
    <n v="210"/>
    <n v="165"/>
    <n v="0"/>
    <n v="165"/>
    <n v="0"/>
    <n v="0"/>
    <n v="0"/>
    <n v="0"/>
    <n v="0"/>
    <n v="755"/>
    <n v="0"/>
  </r>
  <r>
    <x v="0"/>
    <x v="5"/>
    <x v="0"/>
    <s v="3270106"/>
    <n v="744010"/>
    <s v="Recruitment"/>
    <s v="Nursing Administration"/>
    <x v="0"/>
    <m/>
    <n v="0"/>
    <n v="0"/>
    <n v="0"/>
    <n v="0"/>
    <n v="0"/>
    <n v="0"/>
    <n v="0"/>
    <n v="0"/>
    <n v="0"/>
    <n v="25300"/>
    <n v="0"/>
    <n v="0"/>
    <n v="25300"/>
    <n v="0"/>
  </r>
  <r>
    <x v="0"/>
    <x v="5"/>
    <x v="0"/>
    <s v="3270106"/>
    <n v="749510"/>
    <s v="Miscellaneous Expenses"/>
    <s v="Nursing Administration"/>
    <x v="0"/>
    <m/>
    <n v="-33.869999999999997"/>
    <n v="-49.46"/>
    <n v="-29.98"/>
    <n v="0"/>
    <n v="31.07"/>
    <n v="52.32"/>
    <n v="95.13"/>
    <n v="-178.52"/>
    <n v="224.66"/>
    <n v="-224.66"/>
    <n v="95.41"/>
    <n v="-66.64"/>
    <n v="-84.540000000000035"/>
    <n v="162.05000000000001"/>
  </r>
  <r>
    <x v="0"/>
    <x v="5"/>
    <x v="0"/>
    <s v="3270106"/>
    <n v="749530"/>
    <s v="Travel"/>
    <s v="Nursing Administration"/>
    <x v="0"/>
    <m/>
    <n v="0"/>
    <n v="0"/>
    <n v="0"/>
    <n v="0"/>
    <n v="6"/>
    <n v="12"/>
    <n v="6"/>
    <n v="66"/>
    <n v="0"/>
    <n v="6"/>
    <n v="0"/>
    <n v="0"/>
    <n v="96"/>
    <n v="0"/>
  </r>
  <r>
    <x v="0"/>
    <x v="5"/>
    <x v="0"/>
    <s v="3270106"/>
    <n v="749530"/>
    <s v="Mileage"/>
    <s v="Nursing Administration"/>
    <x v="0"/>
    <n v="1001"/>
    <n v="93.21"/>
    <n v="0"/>
    <n v="29.98"/>
    <n v="0"/>
    <n v="44.15"/>
    <n v="122.1"/>
    <n v="143.51"/>
    <n v="112.52"/>
    <n v="0"/>
    <n v="218.66"/>
    <n v="31.32"/>
    <n v="33.06"/>
    <n v="828.51"/>
    <n v="-1.740000000000002"/>
  </r>
  <r>
    <x v="0"/>
    <x v="5"/>
    <x v="0"/>
    <s v="3270106"/>
    <n v="749535"/>
    <s v="Meetings"/>
    <s v="Nursing Administration"/>
    <x v="0"/>
    <m/>
    <n v="0"/>
    <n v="0"/>
    <n v="0"/>
    <n v="55.5"/>
    <n v="0"/>
    <n v="0"/>
    <n v="0"/>
    <n v="0"/>
    <n v="0"/>
    <n v="0"/>
    <n v="0"/>
    <n v="66.64"/>
    <n v="122.14"/>
    <n v="-66.64"/>
  </r>
  <r>
    <x v="20"/>
    <x v="6"/>
    <x v="0"/>
    <s v="3270107"/>
    <n v="610010"/>
    <s v="Foundation Distributions"/>
    <s v="Nursing Admin-Bremerton"/>
    <x v="0"/>
    <n v="1175"/>
    <n v="0"/>
    <n v="0"/>
    <n v="0"/>
    <n v="-1851.14"/>
    <n v="0"/>
    <n v="0"/>
    <n v="-1000"/>
    <n v="-2025"/>
    <n v="0"/>
    <n v="0"/>
    <n v="0"/>
    <n v="0"/>
    <n v="-4876.1400000000003"/>
    <n v="0"/>
  </r>
  <r>
    <x v="5"/>
    <x v="6"/>
    <x v="0"/>
    <s v="3270107"/>
    <n v="700014"/>
    <s v="Salaries-Management-Productive"/>
    <s v="Nursing Admin-Bremerton"/>
    <x v="0"/>
    <m/>
    <n v="29710.62"/>
    <n v="32110.2"/>
    <n v="28307.61"/>
    <n v="32220.55"/>
    <n v="24269.79"/>
    <n v="28084.62"/>
    <n v="30444.09"/>
    <n v="36545.660000000003"/>
    <n v="40857.160000000003"/>
    <n v="36304.18"/>
    <n v="45029.62"/>
    <n v="34370.65"/>
    <n v="398254.75"/>
    <n v="10658.970000000001"/>
  </r>
  <r>
    <x v="5"/>
    <x v="6"/>
    <x v="0"/>
    <s v="3270107"/>
    <n v="700014"/>
    <s v="Salaries-Management-Other"/>
    <s v="Nursing Admin-Bremerton"/>
    <x v="0"/>
    <n v="2000"/>
    <n v="0"/>
    <n v="0"/>
    <n v="0"/>
    <n v="0"/>
    <n v="0"/>
    <n v="0"/>
    <n v="0"/>
    <n v="9140.5499999999993"/>
    <n v="-4.7699999999999996"/>
    <n v="0"/>
    <n v="0"/>
    <n v="0"/>
    <n v="9135.7799999999988"/>
    <n v="0"/>
  </r>
  <r>
    <x v="5"/>
    <x v="6"/>
    <x v="0"/>
    <s v="3270107"/>
    <n v="700026"/>
    <s v="Salaries-RN-Productive"/>
    <s v="Nursing Admin-Bremerton"/>
    <x v="0"/>
    <m/>
    <n v="82467.72"/>
    <n v="91526"/>
    <n v="79734.06"/>
    <n v="95702.85"/>
    <n v="81102.73"/>
    <n v="84211.27"/>
    <n v="94788.44"/>
    <n v="84539.91"/>
    <n v="94873.13"/>
    <n v="90387.839999999997"/>
    <n v="93997.07"/>
    <n v="86107.72"/>
    <n v="1059438.74"/>
    <n v="7889.3500000000058"/>
  </r>
  <r>
    <x v="5"/>
    <x v="6"/>
    <x v="0"/>
    <s v="3270107"/>
    <n v="700026"/>
    <s v="Salaries-RN-OT"/>
    <s v="Nursing Admin-Bremerton"/>
    <x v="0"/>
    <n v="1000"/>
    <n v="1333.97"/>
    <n v="-51.9"/>
    <n v="-19.59"/>
    <n v="766.84"/>
    <n v="181.33"/>
    <n v="328.21"/>
    <n v="151.63"/>
    <n v="30.01"/>
    <n v="135.31"/>
    <n v="646.32000000000005"/>
    <n v="67.08"/>
    <n v="-39.24"/>
    <n v="3529.9700000000007"/>
    <n v="106.32"/>
  </r>
  <r>
    <x v="5"/>
    <x v="6"/>
    <x v="0"/>
    <s v="3270107"/>
    <n v="700026"/>
    <s v="Salaries-RN-Other"/>
    <s v="Nursing Admin-Bremerton"/>
    <x v="0"/>
    <n v="2000"/>
    <n v="3561.75"/>
    <n v="17031.91"/>
    <n v="3083.01"/>
    <n v="3083.83"/>
    <n v="3131.99"/>
    <n v="3697.86"/>
    <n v="3270.82"/>
    <n v="3187.72"/>
    <n v="3223.29"/>
    <n v="3485.98"/>
    <n v="3042.09"/>
    <n v="3641.24"/>
    <n v="53441.49"/>
    <n v="-599.14999999999964"/>
  </r>
  <r>
    <x v="5"/>
    <x v="6"/>
    <x v="0"/>
    <s v="3270107"/>
    <n v="700030"/>
    <s v="Salaries-LPN-Productive"/>
    <s v="Nursing Admin-Bremerton"/>
    <x v="0"/>
    <m/>
    <n v="0"/>
    <n v="0"/>
    <n v="0"/>
    <n v="0"/>
    <n v="0"/>
    <n v="0"/>
    <n v="0"/>
    <n v="0"/>
    <n v="0"/>
    <n v="149.37"/>
    <n v="-62.23"/>
    <n v="0"/>
    <n v="87.140000000000015"/>
    <n v="-62.23"/>
  </r>
  <r>
    <x v="5"/>
    <x v="6"/>
    <x v="0"/>
    <s v="3270107"/>
    <n v="700030"/>
    <s v="Salaries-LPN-Other"/>
    <s v="Nursing Admin-Bremerton"/>
    <x v="0"/>
    <n v="2000"/>
    <n v="0"/>
    <n v="0"/>
    <n v="0"/>
    <n v="0"/>
    <n v="0"/>
    <n v="0"/>
    <n v="0"/>
    <n v="0"/>
    <n v="0"/>
    <n v="7.94"/>
    <n v="-3.3"/>
    <n v="0"/>
    <n v="4.6400000000000006"/>
    <n v="-3.3"/>
  </r>
  <r>
    <x v="5"/>
    <x v="6"/>
    <x v="0"/>
    <s v="3270107"/>
    <n v="700032"/>
    <s v="Salaries-Other Pat Care Providers-Productive"/>
    <s v="Nursing Admin-Bremerton"/>
    <x v="0"/>
    <m/>
    <n v="0"/>
    <n v="0"/>
    <n v="0"/>
    <n v="0"/>
    <n v="763.68"/>
    <n v="-367.68"/>
    <n v="0"/>
    <n v="0"/>
    <n v="0"/>
    <n v="126.36"/>
    <n v="-52.64"/>
    <n v="0"/>
    <n v="469.71999999999991"/>
    <n v="-52.64"/>
  </r>
  <r>
    <x v="5"/>
    <x v="6"/>
    <x v="0"/>
    <s v="3270107"/>
    <n v="700032"/>
    <s v="Salaries-Other Pat Care Providers-OT"/>
    <s v="Nursing Admin-Bremerton"/>
    <x v="0"/>
    <n v="1000"/>
    <n v="0"/>
    <n v="0"/>
    <n v="0"/>
    <n v="0"/>
    <n v="0"/>
    <n v="0"/>
    <n v="0"/>
    <n v="0"/>
    <n v="0"/>
    <n v="27.61"/>
    <n v="-11.5"/>
    <n v="0"/>
    <n v="16.11"/>
    <n v="-11.5"/>
  </r>
  <r>
    <x v="5"/>
    <x v="6"/>
    <x v="0"/>
    <s v="3270107"/>
    <n v="700034"/>
    <s v="Salaries-Tech/Professional-Productive"/>
    <s v="Nursing Admin-Bremerton"/>
    <x v="0"/>
    <m/>
    <n v="9195.92"/>
    <n v="6462.42"/>
    <n v="8761.44"/>
    <n v="10035.57"/>
    <n v="9507.17"/>
    <n v="6908.9"/>
    <n v="9204.51"/>
    <n v="2856.61"/>
    <n v="0"/>
    <n v="0"/>
    <n v="0"/>
    <n v="0"/>
    <n v="62932.54"/>
    <n v="0"/>
  </r>
  <r>
    <x v="5"/>
    <x v="6"/>
    <x v="0"/>
    <s v="3270107"/>
    <n v="700038"/>
    <s v="Salaries-Service/Support-Productive"/>
    <s v="Nursing Admin-Bremerton"/>
    <x v="0"/>
    <m/>
    <n v="15240.37"/>
    <n v="19447.759999999998"/>
    <n v="18116.93"/>
    <n v="21117.67"/>
    <n v="20016.14"/>
    <n v="16314.64"/>
    <n v="18249.509999999998"/>
    <n v="16033.56"/>
    <n v="19955.71"/>
    <n v="18673.759999999998"/>
    <n v="19638.36"/>
    <n v="18846.52"/>
    <n v="221650.92999999996"/>
    <n v="791.84000000000015"/>
  </r>
  <r>
    <x v="5"/>
    <x v="6"/>
    <x v="0"/>
    <s v="3270107"/>
    <n v="700038"/>
    <s v="Salaries-Service/Support-OT"/>
    <s v="Nursing Admin-Bremerton"/>
    <x v="0"/>
    <n v="1000"/>
    <n v="10.45"/>
    <n v="192.47"/>
    <n v="102.76"/>
    <n v="346.79"/>
    <n v="700.95"/>
    <n v="160.82"/>
    <n v="56.67"/>
    <n v="432.49"/>
    <n v="268.57"/>
    <n v="448.85"/>
    <n v="-43.83"/>
    <n v="188.44"/>
    <n v="2865.4300000000003"/>
    <n v="-232.26999999999998"/>
  </r>
  <r>
    <x v="5"/>
    <x v="6"/>
    <x v="0"/>
    <s v="3270107"/>
    <n v="700038"/>
    <s v="Salaries-Service/Support-Other"/>
    <s v="Nursing Admin-Bremerton"/>
    <x v="0"/>
    <n v="2000"/>
    <n v="705.8"/>
    <n v="786.96"/>
    <n v="674.11"/>
    <n v="800.9"/>
    <n v="721.29"/>
    <n v="611.65"/>
    <n v="717.7"/>
    <n v="585.44000000000005"/>
    <n v="711.76"/>
    <n v="840.19"/>
    <n v="763.7"/>
    <n v="683.65"/>
    <n v="8603.1500000000015"/>
    <n v="80.050000000000068"/>
  </r>
  <r>
    <x v="5"/>
    <x v="6"/>
    <x v="0"/>
    <s v="3270107"/>
    <n v="700054"/>
    <s v="Salaries-Management-Non-productive"/>
    <s v="Nursing Admin-Bremerton"/>
    <x v="0"/>
    <m/>
    <n v="2847.84"/>
    <n v="449.76"/>
    <n v="3698.05"/>
    <n v="749.91"/>
    <n v="7947.63"/>
    <n v="7603.33"/>
    <n v="3408.09"/>
    <n v="645.91999999999996"/>
    <n v="6503.24"/>
    <n v="6209.76"/>
    <n v="-668.01"/>
    <n v="9575.4699999999993"/>
    <n v="48970.99"/>
    <n v="-10243.48"/>
  </r>
  <r>
    <x v="5"/>
    <x v="6"/>
    <x v="0"/>
    <s v="3270107"/>
    <n v="700054"/>
    <s v="Salaries-Management-NonProd-Other"/>
    <s v="Nursing Admin-Bremerton"/>
    <x v="0"/>
    <n v="2000"/>
    <n v="0"/>
    <n v="0"/>
    <n v="0"/>
    <n v="0"/>
    <n v="301.45"/>
    <n v="604.6"/>
    <n v="-604.6"/>
    <n v="-301.45"/>
    <n v="0"/>
    <n v="0"/>
    <n v="0"/>
    <n v="0"/>
    <n v="-5.6843418860808015E-14"/>
    <n v="0"/>
  </r>
  <r>
    <x v="5"/>
    <x v="6"/>
    <x v="0"/>
    <s v="3270107"/>
    <n v="700066"/>
    <s v="Salaries-RN-Non-productive"/>
    <s v="Nursing Admin-Bremerton"/>
    <x v="0"/>
    <m/>
    <n v="16394.02"/>
    <n v="6975.9"/>
    <n v="19563.18"/>
    <n v="2826.01"/>
    <n v="14478.51"/>
    <n v="18763.98"/>
    <n v="6174.31"/>
    <n v="7227.71"/>
    <n v="4421.75"/>
    <n v="8737.7199999999993"/>
    <n v="5396.8"/>
    <n v="12760.51"/>
    <n v="123720.40000000001"/>
    <n v="-7363.71"/>
  </r>
  <r>
    <x v="5"/>
    <x v="6"/>
    <x v="0"/>
    <s v="3270107"/>
    <n v="700066"/>
    <s v="Salaries-RN-NonProd-Other"/>
    <s v="Nursing Admin-Bremerton"/>
    <x v="0"/>
    <n v="2000"/>
    <n v="359.34"/>
    <n v="537.80999999999995"/>
    <n v="553.11"/>
    <n v="348.26"/>
    <n v="776.57"/>
    <n v="1380.91"/>
    <n v="332.37"/>
    <n v="-846.13"/>
    <n v="271.35000000000002"/>
    <n v="395.17"/>
    <n v="311.18"/>
    <n v="456.51"/>
    <n v="4876.45"/>
    <n v="-145.32999999999998"/>
  </r>
  <r>
    <x v="5"/>
    <x v="6"/>
    <x v="0"/>
    <s v="3270107"/>
    <n v="700074"/>
    <s v="Salaries-Tech/Professional-Non-productive"/>
    <s v="Nursing Admin-Bremerton"/>
    <x v="0"/>
    <m/>
    <n v="434.96"/>
    <n v="3168.9"/>
    <n v="559.30999999999995"/>
    <n v="-248.53"/>
    <n v="0"/>
    <n v="2915.51"/>
    <n v="635.24"/>
    <n v="0"/>
    <n v="0"/>
    <n v="0"/>
    <n v="0"/>
    <n v="0"/>
    <n v="7465.3899999999994"/>
    <n v="0"/>
  </r>
  <r>
    <x v="5"/>
    <x v="6"/>
    <x v="0"/>
    <s v="3270107"/>
    <n v="700078"/>
    <s v="Salaries-Service/Support-Non-productive"/>
    <s v="Nursing Admin-Bremerton"/>
    <x v="0"/>
    <m/>
    <n v="5515.7"/>
    <n v="2465.88"/>
    <n v="2379.8000000000002"/>
    <n v="442.16"/>
    <n v="2178.36"/>
    <n v="4384.96"/>
    <n v="3167.29"/>
    <n v="1476.58"/>
    <n v="1155.8599999999999"/>
    <n v="2271.6999999999998"/>
    <n v="2249.6999999999998"/>
    <n v="1451.37"/>
    <n v="29139.360000000004"/>
    <n v="798.32999999999993"/>
  </r>
  <r>
    <x v="5"/>
    <x v="6"/>
    <x v="0"/>
    <s v="3270107"/>
    <n v="700078"/>
    <s v="Salaries-Service/Support-NonProd-Other"/>
    <s v="Nursing Admin-Bremerton"/>
    <x v="0"/>
    <n v="2000"/>
    <n v="0"/>
    <n v="0"/>
    <n v="0"/>
    <n v="0"/>
    <n v="645.13"/>
    <n v="13.78"/>
    <n v="-1.72"/>
    <n v="-620.76"/>
    <n v="0"/>
    <n v="0"/>
    <n v="0"/>
    <n v="0"/>
    <n v="36.42999999999995"/>
    <n v="0"/>
  </r>
  <r>
    <x v="5"/>
    <x v="6"/>
    <x v="0"/>
    <s v="3270107"/>
    <n v="700084"/>
    <s v="Accrued PTO"/>
    <s v="Nursing Admin-Bremerton"/>
    <x v="0"/>
    <m/>
    <n v="4248.74"/>
    <n v="7405.72"/>
    <n v="236.8"/>
    <n v="29668.65"/>
    <n v="4975.55"/>
    <n v="-9613.5499999999993"/>
    <n v="2518.08"/>
    <n v="5062.7299999999996"/>
    <n v="11099.22"/>
    <n v="8590.43"/>
    <n v="10812.54"/>
    <n v="3725.84"/>
    <n v="78730.75"/>
    <n v="7086.7000000000007"/>
  </r>
  <r>
    <x v="6"/>
    <x v="6"/>
    <x v="0"/>
    <s v="3270107"/>
    <n v="713010"/>
    <s v="Benefits-FICA/Medicare"/>
    <s v="Nursing Admin-Bremerton"/>
    <x v="0"/>
    <m/>
    <n v="12503.23"/>
    <n v="13959.72"/>
    <n v="11480.93"/>
    <n v="11042.63"/>
    <n v="11270.85"/>
    <n v="12677.47"/>
    <n v="12737.23"/>
    <n v="12411.11"/>
    <n v="12575.49"/>
    <n v="12583.94"/>
    <n v="12649.57"/>
    <n v="12644.82"/>
    <n v="148536.99"/>
    <n v="4.75"/>
  </r>
  <r>
    <x v="6"/>
    <x v="6"/>
    <x v="0"/>
    <s v="3270107"/>
    <n v="713090"/>
    <s v="Benefits-Allocated Amounts"/>
    <s v="Nursing Admin-Bremerton"/>
    <x v="0"/>
    <m/>
    <n v="23670.38"/>
    <n v="21565.200000000001"/>
    <n v="23044.44"/>
    <n v="23811.62"/>
    <n v="26146.7"/>
    <n v="23827.74"/>
    <n v="24312.15"/>
    <n v="22937.25"/>
    <n v="19752.57"/>
    <n v="26341.46"/>
    <n v="24392.26"/>
    <n v="27862.5"/>
    <n v="287664.27"/>
    <n v="-3470.2400000000016"/>
  </r>
  <r>
    <x v="6"/>
    <x v="6"/>
    <x v="0"/>
    <s v="3270107"/>
    <n v="713096"/>
    <s v="Employee Recognition"/>
    <s v="Nursing Admin-Bremerton"/>
    <x v="0"/>
    <n v="1017"/>
    <n v="1804.52"/>
    <n v="232.64"/>
    <n v="2863.4"/>
    <n v="1109.4000000000001"/>
    <n v="1805.55"/>
    <n v="18.989999999999998"/>
    <n v="197.25"/>
    <n v="1964.38"/>
    <n v="2598.58"/>
    <n v="887.4"/>
    <n v="626.33000000000004"/>
    <n v="3963.03"/>
    <n v="18071.469999999998"/>
    <n v="-3336.7000000000003"/>
  </r>
  <r>
    <x v="7"/>
    <x v="6"/>
    <x v="0"/>
    <s v="3270107"/>
    <n v="718050"/>
    <s v="Contract Svcs-Other"/>
    <s v="Nursing Admin-Bremerton"/>
    <x v="0"/>
    <m/>
    <n v="4918.57"/>
    <n v="5606.99"/>
    <n v="13185.82"/>
    <n v="7264.54"/>
    <n v="6904.36"/>
    <n v="6463.54"/>
    <n v="8357.59"/>
    <n v="13444.18"/>
    <n v="315.18"/>
    <n v="9283.9699999999993"/>
    <n v="12504.39"/>
    <n v="5138.87"/>
    <n v="93387.999999999985"/>
    <n v="7365.5199999999995"/>
  </r>
  <r>
    <x v="7"/>
    <x v="6"/>
    <x v="0"/>
    <s v="3270107"/>
    <n v="718050"/>
    <s v="Miscellaneous Purchased Svcs"/>
    <s v="Nursing Admin-Bremerton"/>
    <x v="0"/>
    <n v="1020"/>
    <n v="71937.240000000005"/>
    <n v="59277.599999999999"/>
    <n v="83736.3"/>
    <n v="63033.29"/>
    <n v="69075.77"/>
    <n v="56497.42"/>
    <n v="75962.5"/>
    <n v="68581"/>
    <n v="70136"/>
    <n v="74922.5"/>
    <n v="80825.289999999994"/>
    <n v="105725.35"/>
    <n v="879710.26"/>
    <n v="-24900.060000000012"/>
  </r>
  <r>
    <x v="11"/>
    <x v="6"/>
    <x v="0"/>
    <s v="3270107"/>
    <n v="721020"/>
    <s v="Tubes Drains &amp; Related Supplies"/>
    <s v="Nursing Admin-Bremerton"/>
    <x v="0"/>
    <n v="1008"/>
    <n v="0"/>
    <n v="0"/>
    <n v="0"/>
    <n v="14.18"/>
    <n v="0"/>
    <n v="0"/>
    <n v="0"/>
    <n v="0"/>
    <n v="0"/>
    <n v="0"/>
    <n v="0"/>
    <n v="0"/>
    <n v="14.18"/>
    <n v="0"/>
  </r>
  <r>
    <x v="11"/>
    <x v="6"/>
    <x v="0"/>
    <s v="3270107"/>
    <n v="721240"/>
    <s v="Supplies-IV Solutions/Supplies - Billable"/>
    <s v="Nursing Admin-Bremerton"/>
    <x v="0"/>
    <m/>
    <n v="0"/>
    <n v="0"/>
    <n v="0"/>
    <n v="0"/>
    <n v="0"/>
    <n v="0"/>
    <n v="0"/>
    <n v="89"/>
    <n v="0"/>
    <n v="0"/>
    <n v="0"/>
    <n v="0"/>
    <n v="89"/>
    <n v="0"/>
  </r>
  <r>
    <x v="11"/>
    <x v="6"/>
    <x v="0"/>
    <s v="3270107"/>
    <n v="721410"/>
    <s v="Supplies-Medical - Nonbillable"/>
    <s v="Nursing Admin-Bremerton"/>
    <x v="0"/>
    <m/>
    <n v="0"/>
    <n v="0"/>
    <n v="57.5"/>
    <n v="13.74"/>
    <n v="0"/>
    <n v="9.6999999999999993"/>
    <n v="0"/>
    <n v="0"/>
    <n v="9.6999999999999993"/>
    <n v="0"/>
    <n v="17.89"/>
    <n v="19.399999999999999"/>
    <n v="127.93"/>
    <n v="-1.509999999999998"/>
  </r>
  <r>
    <x v="11"/>
    <x v="6"/>
    <x v="0"/>
    <s v="3270107"/>
    <n v="721420"/>
    <s v="Supplies-Surgical Nonbillable"/>
    <s v="Nursing Admin-Bremerton"/>
    <x v="0"/>
    <m/>
    <n v="0"/>
    <n v="0"/>
    <n v="0"/>
    <n v="0"/>
    <n v="0"/>
    <n v="97.5"/>
    <n v="0"/>
    <n v="0"/>
    <n v="0"/>
    <n v="0"/>
    <n v="0"/>
    <n v="0"/>
    <n v="97.5"/>
    <n v="0"/>
  </r>
  <r>
    <x v="11"/>
    <x v="6"/>
    <x v="0"/>
    <s v="3270107"/>
    <n v="721810"/>
    <s v="Supplies-Dietary/Cafeteria"/>
    <s v="Nursing Admin-Bremerton"/>
    <x v="0"/>
    <m/>
    <n v="467.81"/>
    <n v="388.08"/>
    <n v="315.60000000000002"/>
    <n v="151.06"/>
    <n v="390.12"/>
    <n v="176.61"/>
    <n v="737.03"/>
    <n v="70.260000000000005"/>
    <n v="512.57000000000005"/>
    <n v="284.5"/>
    <n v="297.25"/>
    <n v="280.77999999999997"/>
    <n v="4071.670000000001"/>
    <n v="16.470000000000027"/>
  </r>
  <r>
    <x v="11"/>
    <x v="6"/>
    <x v="0"/>
    <s v="3270107"/>
    <n v="721830"/>
    <s v="Supplies-Office"/>
    <s v="Nursing Admin-Bremerton"/>
    <x v="0"/>
    <m/>
    <n v="259.66000000000003"/>
    <n v="553.47"/>
    <n v="807.1"/>
    <n v="472.76"/>
    <n v="294.66000000000003"/>
    <n v="852.01"/>
    <n v="374.83"/>
    <n v="1141.77"/>
    <n v="470.37"/>
    <n v="501.65"/>
    <n v="179.86"/>
    <n v="226.4"/>
    <n v="6134.5399999999991"/>
    <n v="-46.539999999999992"/>
  </r>
  <r>
    <x v="11"/>
    <x v="6"/>
    <x v="0"/>
    <s v="3270107"/>
    <n v="721835"/>
    <s v="Supplies-Forms"/>
    <s v="Nursing Admin-Bremerton"/>
    <x v="0"/>
    <m/>
    <n v="0"/>
    <n v="0"/>
    <n v="0"/>
    <n v="0"/>
    <n v="25.8"/>
    <n v="1.5"/>
    <n v="0"/>
    <n v="0"/>
    <n v="10.79"/>
    <n v="31.56"/>
    <n v="7.96"/>
    <n v="2240.8000000000002"/>
    <n v="2318.4100000000003"/>
    <n v="-2232.84"/>
  </r>
  <r>
    <x v="11"/>
    <x v="6"/>
    <x v="0"/>
    <s v="3270107"/>
    <n v="721870"/>
    <s v="Supplies-Environmental Services"/>
    <s v="Nursing Admin-Bremerton"/>
    <x v="0"/>
    <m/>
    <n v="0"/>
    <n v="0"/>
    <n v="19.7"/>
    <n v="0"/>
    <n v="0"/>
    <n v="11.82"/>
    <n v="0"/>
    <n v="0"/>
    <n v="19.7"/>
    <n v="39.4"/>
    <n v="0"/>
    <n v="0"/>
    <n v="90.62"/>
    <n v="0"/>
  </r>
  <r>
    <x v="11"/>
    <x v="6"/>
    <x v="0"/>
    <s v="3270107"/>
    <n v="721910"/>
    <s v="Supplies-Small Equipment"/>
    <s v="Nursing Admin-Bremerton"/>
    <x v="0"/>
    <m/>
    <n v="2512.75"/>
    <n v="753.08"/>
    <n v="283.31"/>
    <n v="1961.01"/>
    <n v="0"/>
    <n v="0"/>
    <n v="0"/>
    <n v="0"/>
    <n v="0"/>
    <n v="4.4400000000000004"/>
    <n v="631.29"/>
    <n v="41.93"/>
    <n v="6187.8099999999995"/>
    <n v="589.36"/>
  </r>
  <r>
    <x v="11"/>
    <x v="6"/>
    <x v="0"/>
    <s v="3270107"/>
    <n v="721980"/>
    <s v="Supplies-Other"/>
    <s v="Nursing Admin-Bremerton"/>
    <x v="0"/>
    <m/>
    <n v="0"/>
    <n v="0"/>
    <n v="285.88"/>
    <n v="0"/>
    <n v="1004.35"/>
    <n v="310.64999999999998"/>
    <n v="-5040"/>
    <n v="0"/>
    <n v="0"/>
    <n v="414.2"/>
    <n v="925"/>
    <n v="638.91"/>
    <n v="-1461.0100000000002"/>
    <n v="286.09000000000003"/>
  </r>
  <r>
    <x v="11"/>
    <x v="6"/>
    <x v="0"/>
    <s v="3270107"/>
    <n v="722000"/>
    <s v="Supplies-Freight Expense"/>
    <s v="Nursing Admin-Bremerton"/>
    <x v="0"/>
    <m/>
    <n v="0"/>
    <n v="0"/>
    <n v="0"/>
    <n v="0"/>
    <n v="0"/>
    <n v="0"/>
    <n v="0"/>
    <n v="0"/>
    <n v="22.5"/>
    <n v="0"/>
    <n v="0"/>
    <n v="0"/>
    <n v="22.5"/>
    <n v="0"/>
  </r>
  <r>
    <x v="12"/>
    <x v="6"/>
    <x v="0"/>
    <s v="3270107"/>
    <n v="730020"/>
    <s v="Rental and Leases-Equipment (DO NOT USE)"/>
    <s v="Nursing Admin-Bremerton"/>
    <x v="0"/>
    <m/>
    <n v="0"/>
    <n v="84.32"/>
    <n v="42"/>
    <n v="-557.67999999999995"/>
    <n v="0"/>
    <n v="0"/>
    <n v="76.040000000000006"/>
    <n v="0"/>
    <n v="38.020000000000003"/>
    <n v="0"/>
    <n v="76.040000000000006"/>
    <n v="38.020000000000003"/>
    <n v="-203.23999999999992"/>
    <n v="38.020000000000003"/>
  </r>
  <r>
    <x v="12"/>
    <x v="6"/>
    <x v="0"/>
    <s v="3270107"/>
    <n v="730020"/>
    <s v="Rental and Leases-Copier Usage Fees (DO NOT USE)"/>
    <s v="Nursing Admin-Bremerton"/>
    <x v="0"/>
    <n v="5100"/>
    <n v="2498.59"/>
    <n v="2505.37"/>
    <n v="2501.98"/>
    <n v="2501.98"/>
    <n v="2501.98"/>
    <n v="2501.98"/>
    <n v="222.87"/>
    <n v="795.69"/>
    <n v="794.02"/>
    <n v="5924.53"/>
    <n v="795.69"/>
    <n v="894.44"/>
    <n v="24439.119999999995"/>
    <n v="-98.75"/>
  </r>
  <r>
    <x v="15"/>
    <x v="6"/>
    <x v="0"/>
    <s v="3270107"/>
    <n v="731060"/>
    <s v="Telephone"/>
    <s v="Nursing Admin-Bremerton"/>
    <x v="0"/>
    <m/>
    <n v="0"/>
    <n v="0"/>
    <n v="0"/>
    <n v="0"/>
    <n v="0"/>
    <n v="0"/>
    <n v="0"/>
    <n v="0"/>
    <n v="0"/>
    <n v="0"/>
    <n v="0"/>
    <n v="39"/>
    <n v="39"/>
    <n v="-39"/>
  </r>
  <r>
    <x v="15"/>
    <x v="6"/>
    <x v="0"/>
    <s v="3270107"/>
    <n v="731060"/>
    <s v="Cell Phones"/>
    <s v="Nursing Admin-Bremerton"/>
    <x v="0"/>
    <n v="1001"/>
    <n v="0"/>
    <n v="53.87"/>
    <n v="26.42"/>
    <n v="0"/>
    <n v="26.47"/>
    <n v="27.05"/>
    <n v="54.14"/>
    <n v="0"/>
    <n v="28.08"/>
    <n v="54.16"/>
    <n v="26.9"/>
    <n v="27.33"/>
    <n v="324.4199999999999"/>
    <n v="-0.42999999999999972"/>
  </r>
  <r>
    <x v="15"/>
    <x v="6"/>
    <x v="0"/>
    <s v="3270107"/>
    <n v="731060"/>
    <s v="Pagers"/>
    <s v="Nursing Admin-Bremerton"/>
    <x v="0"/>
    <n v="1002"/>
    <n v="51.83"/>
    <n v="24.3"/>
    <n v="24.3"/>
    <n v="24.36"/>
    <n v="0"/>
    <n v="24.36"/>
    <n v="48.72"/>
    <n v="24.36"/>
    <n v="24.36"/>
    <n v="24.36"/>
    <n v="24.36"/>
    <n v="24.36"/>
    <n v="319.67"/>
    <n v="0"/>
  </r>
  <r>
    <x v="15"/>
    <x v="6"/>
    <x v="0"/>
    <s v="3270107"/>
    <n v="731065"/>
    <s v="Data Communications"/>
    <s v="Nursing Admin-Bremerton"/>
    <x v="0"/>
    <m/>
    <n v="0"/>
    <n v="39.950000000000003"/>
    <n v="0"/>
    <n v="0"/>
    <n v="0"/>
    <n v="0"/>
    <n v="0"/>
    <n v="0"/>
    <n v="0"/>
    <n v="0"/>
    <n v="0"/>
    <n v="0"/>
    <n v="39.950000000000003"/>
    <n v="0"/>
  </r>
  <r>
    <x v="16"/>
    <x v="6"/>
    <x v="0"/>
    <s v="3270107"/>
    <n v="732030"/>
    <s v="Repairs---Other"/>
    <s v="Nursing Admin-Bremerton"/>
    <x v="0"/>
    <m/>
    <n v="0"/>
    <n v="0"/>
    <n v="0"/>
    <n v="0"/>
    <n v="0"/>
    <n v="0"/>
    <n v="0"/>
    <n v="0"/>
    <n v="0"/>
    <n v="0"/>
    <n v="2723.47"/>
    <n v="3666.66"/>
    <n v="6390.1299999999992"/>
    <n v="-943.19"/>
  </r>
  <r>
    <x v="16"/>
    <x v="6"/>
    <x v="0"/>
    <s v="3270107"/>
    <n v="733030"/>
    <s v="Maintenance Contracts-Software"/>
    <s v="Nursing Admin-Bremerton"/>
    <x v="0"/>
    <n v="1002"/>
    <n v="-26718.080000000002"/>
    <n v="0"/>
    <n v="0"/>
    <n v="0"/>
    <n v="0"/>
    <n v="0"/>
    <n v="0"/>
    <n v="0"/>
    <n v="0"/>
    <n v="0"/>
    <n v="0"/>
    <n v="0"/>
    <n v="-26718.080000000002"/>
    <n v="0"/>
  </r>
  <r>
    <x v="13"/>
    <x v="6"/>
    <x v="0"/>
    <s v="3270107"/>
    <n v="735070"/>
    <s v="Depreciation-Movable Equipment"/>
    <s v="Nursing Admin-Bremerton"/>
    <x v="0"/>
    <m/>
    <n v="20810.07"/>
    <n v="20810.07"/>
    <n v="20810.11"/>
    <n v="20810.02"/>
    <n v="20810.11"/>
    <n v="21009.91"/>
    <n v="21010.080000000002"/>
    <n v="21009.9"/>
    <n v="21010.15"/>
    <n v="21009.87"/>
    <n v="21010.2"/>
    <n v="21009.84"/>
    <n v="251120.33"/>
    <n v="0.36000000000058208"/>
  </r>
  <r>
    <x v="0"/>
    <x v="6"/>
    <x v="0"/>
    <s v="3270107"/>
    <n v="740010"/>
    <s v="Education-Materials"/>
    <s v="Nursing Admin-Bremerton"/>
    <x v="0"/>
    <m/>
    <n v="0"/>
    <n v="574.49"/>
    <n v="0"/>
    <n v="607.5"/>
    <n v="0"/>
    <n v="0"/>
    <n v="0"/>
    <n v="0"/>
    <n v="0"/>
    <n v="0"/>
    <n v="0"/>
    <n v="0"/>
    <n v="1181.99"/>
    <n v="0"/>
  </r>
  <r>
    <x v="0"/>
    <x v="6"/>
    <x v="0"/>
    <s v="3270107"/>
    <n v="740020"/>
    <s v="Education-Registration Fees"/>
    <s v="Nursing Admin-Bremerton"/>
    <x v="0"/>
    <m/>
    <n v="375"/>
    <n v="0"/>
    <n v="1260"/>
    <n v="255"/>
    <n v="255"/>
    <n v="255"/>
    <n v="300"/>
    <n v="3100"/>
    <n v="125"/>
    <n v="0"/>
    <n v="750"/>
    <n v="1167"/>
    <n v="7842"/>
    <n v="-417"/>
  </r>
  <r>
    <x v="0"/>
    <x v="6"/>
    <x v="0"/>
    <s v="3270107"/>
    <n v="743020"/>
    <s v="Dues--Individual"/>
    <s v="Nursing Admin-Bremerton"/>
    <x v="0"/>
    <m/>
    <n v="405"/>
    <n v="0"/>
    <n v="0"/>
    <n v="0"/>
    <n v="0"/>
    <n v="0"/>
    <n v="0"/>
    <n v="1310"/>
    <n v="900"/>
    <n v="0"/>
    <n v="0"/>
    <n v="0"/>
    <n v="2615"/>
    <n v="0"/>
  </r>
  <r>
    <x v="0"/>
    <x v="6"/>
    <x v="0"/>
    <s v="3270107"/>
    <n v="743030"/>
    <s v="Subscriptions--Institutional"/>
    <s v="Nursing Admin-Bremerton"/>
    <x v="0"/>
    <m/>
    <n v="26718.080000000002"/>
    <n v="0"/>
    <n v="0"/>
    <n v="0"/>
    <n v="0"/>
    <n v="0"/>
    <n v="0"/>
    <n v="0"/>
    <n v="377.36"/>
    <n v="0"/>
    <n v="0"/>
    <n v="0"/>
    <n v="27095.440000000002"/>
    <n v="0"/>
  </r>
  <r>
    <x v="0"/>
    <x v="6"/>
    <x v="0"/>
    <s v="3270107"/>
    <n v="743040"/>
    <s v="Subscriptions--Individual"/>
    <s v="Nursing Admin-Bremerton"/>
    <x v="0"/>
    <m/>
    <n v="0"/>
    <n v="0"/>
    <n v="0"/>
    <n v="0"/>
    <n v="0"/>
    <n v="0"/>
    <n v="0"/>
    <n v="285.36"/>
    <n v="0"/>
    <n v="0"/>
    <n v="0"/>
    <n v="0"/>
    <n v="285.36"/>
    <n v="0"/>
  </r>
  <r>
    <x v="0"/>
    <x v="6"/>
    <x v="0"/>
    <s v="3270107"/>
    <n v="749510"/>
    <s v="Miscellaneous Expenses"/>
    <s v="Nursing Admin-Bremerton"/>
    <x v="0"/>
    <m/>
    <n v="-4068.91"/>
    <n v="2084.4699999999998"/>
    <n v="-982.84"/>
    <n v="-2002.65"/>
    <n v="-0.18"/>
    <n v="39357.660000000003"/>
    <n v="4890.8900000000003"/>
    <n v="526.51"/>
    <n v="-822.15"/>
    <n v="1415.24"/>
    <n v="8817.18"/>
    <n v="-2007.8"/>
    <n v="47207.42"/>
    <n v="10824.98"/>
  </r>
  <r>
    <x v="0"/>
    <x v="6"/>
    <x v="0"/>
    <s v="3270107"/>
    <n v="749510"/>
    <s v="Licenses"/>
    <s v="Nursing Admin-Bremerton"/>
    <x v="0"/>
    <n v="1002"/>
    <n v="0"/>
    <n v="0"/>
    <n v="0"/>
    <n v="0"/>
    <n v="0"/>
    <n v="5040"/>
    <n v="5040"/>
    <n v="0"/>
    <n v="0"/>
    <n v="0"/>
    <n v="0"/>
    <n v="0"/>
    <n v="10080"/>
    <n v="0"/>
  </r>
  <r>
    <x v="0"/>
    <x v="6"/>
    <x v="0"/>
    <s v="3270107"/>
    <n v="749530"/>
    <s v="Travel"/>
    <s v="Nursing Admin-Bremerton"/>
    <x v="0"/>
    <m/>
    <n v="1630.7"/>
    <n v="1009.19"/>
    <n v="128.44"/>
    <n v="2073.23"/>
    <n v="2296.2399999999998"/>
    <n v="3285.72"/>
    <n v="57.8"/>
    <n v="988.65"/>
    <n v="339.74"/>
    <n v="210.71"/>
    <n v="147.29"/>
    <n v="75"/>
    <n v="12242.71"/>
    <n v="72.289999999999992"/>
  </r>
  <r>
    <x v="0"/>
    <x v="6"/>
    <x v="0"/>
    <s v="3270107"/>
    <n v="749530"/>
    <s v="Mileage"/>
    <s v="Nursing Admin-Bremerton"/>
    <x v="0"/>
    <n v="1001"/>
    <n v="358.1"/>
    <n v="488.36"/>
    <n v="310.69"/>
    <n v="876.96"/>
    <n v="248.55"/>
    <n v="644.23"/>
    <n v="402.42"/>
    <n v="689.62"/>
    <n v="357.86"/>
    <n v="683.82"/>
    <n v="1168.1199999999999"/>
    <n v="532.44000000000005"/>
    <n v="6761.17"/>
    <n v="635.67999999999984"/>
  </r>
  <r>
    <x v="0"/>
    <x v="6"/>
    <x v="0"/>
    <s v="3270107"/>
    <n v="749535"/>
    <s v="Meetings"/>
    <s v="Nursing Admin-Bremerton"/>
    <x v="0"/>
    <m/>
    <n v="0"/>
    <n v="0"/>
    <n v="0"/>
    <n v="49.92"/>
    <n v="0"/>
    <n v="0"/>
    <n v="0"/>
    <n v="0"/>
    <n v="0"/>
    <n v="0"/>
    <n v="0"/>
    <n v="0"/>
    <n v="49.92"/>
    <n v="0"/>
  </r>
  <r>
    <x v="20"/>
    <x v="7"/>
    <x v="0"/>
    <s v="3270150"/>
    <n v="610010"/>
    <s v="Foundation Distributions"/>
    <s v="Nursing Administration"/>
    <x v="0"/>
    <n v="1175"/>
    <n v="0"/>
    <n v="0"/>
    <n v="0"/>
    <n v="0"/>
    <n v="0"/>
    <n v="0"/>
    <n v="0"/>
    <n v="0"/>
    <n v="0"/>
    <n v="-331.77"/>
    <n v="0"/>
    <n v="0"/>
    <n v="-331.77"/>
    <n v="0"/>
  </r>
  <r>
    <x v="5"/>
    <x v="7"/>
    <x v="0"/>
    <s v="3270150"/>
    <n v="700014"/>
    <s v="Salaries-Management-Productive"/>
    <s v="Nursing Administration"/>
    <x v="0"/>
    <m/>
    <n v="10520.56"/>
    <n v="10819.6"/>
    <n v="10371.969999999999"/>
    <n v="7897.67"/>
    <n v="10043.32"/>
    <n v="8363.2800000000007"/>
    <n v="10137.06"/>
    <n v="9666.9500000000007"/>
    <n v="12523.96"/>
    <n v="9001.26"/>
    <n v="10528.05"/>
    <n v="14702.21"/>
    <n v="124575.88999999998"/>
    <n v="-4174.16"/>
  </r>
  <r>
    <x v="5"/>
    <x v="7"/>
    <x v="0"/>
    <s v="3270150"/>
    <n v="700014"/>
    <s v="Salaries-Management-Other"/>
    <s v="Nursing Administration"/>
    <x v="0"/>
    <n v="2000"/>
    <n v="0"/>
    <n v="0"/>
    <n v="0"/>
    <n v="0"/>
    <n v="0"/>
    <n v="0"/>
    <n v="0"/>
    <n v="0"/>
    <n v="0"/>
    <n v="815.45"/>
    <n v="665.26"/>
    <n v="572.29999999999995"/>
    <n v="2053.0100000000002"/>
    <n v="92.960000000000036"/>
  </r>
  <r>
    <x v="5"/>
    <x v="7"/>
    <x v="0"/>
    <s v="3270150"/>
    <n v="700026"/>
    <s v="Salaries-RN-Productive"/>
    <s v="Nursing Administration"/>
    <x v="0"/>
    <m/>
    <n v="44942.97"/>
    <n v="43484.61"/>
    <n v="46264.89"/>
    <n v="45623.12"/>
    <n v="53771.94"/>
    <n v="56242.78"/>
    <n v="54056.84"/>
    <n v="41647.07"/>
    <n v="46135.18"/>
    <n v="42616.26"/>
    <n v="50601.23"/>
    <n v="39751.94"/>
    <n v="565138.83000000007"/>
    <n v="10849.29"/>
  </r>
  <r>
    <x v="5"/>
    <x v="7"/>
    <x v="0"/>
    <s v="3270150"/>
    <n v="700026"/>
    <s v="Salaries-RN-OT"/>
    <s v="Nursing Administration"/>
    <x v="0"/>
    <n v="1000"/>
    <n v="952.73"/>
    <n v="1025.74"/>
    <n v="1964.53"/>
    <n v="-67.650000000000006"/>
    <n v="918.91"/>
    <n v="682.77"/>
    <n v="865.92"/>
    <n v="1626.33"/>
    <n v="810.28"/>
    <n v="917.03"/>
    <n v="1207.1600000000001"/>
    <n v="5768.81"/>
    <n v="16672.560000000001"/>
    <n v="-4561.6500000000005"/>
  </r>
  <r>
    <x v="5"/>
    <x v="7"/>
    <x v="0"/>
    <s v="3270150"/>
    <n v="700026"/>
    <s v="Salaries-RN-Other"/>
    <s v="Nursing Administration"/>
    <x v="0"/>
    <n v="2000"/>
    <n v="3251.62"/>
    <n v="2950.82"/>
    <n v="2713.74"/>
    <n v="2888.61"/>
    <n v="4501.63"/>
    <n v="5667.97"/>
    <n v="5875.31"/>
    <n v="3900.69"/>
    <n v="5176.92"/>
    <n v="3609.09"/>
    <n v="3734.71"/>
    <n v="5570.99"/>
    <n v="49842.100000000006"/>
    <n v="-1836.2799999999997"/>
  </r>
  <r>
    <x v="5"/>
    <x v="7"/>
    <x v="0"/>
    <s v="3270150"/>
    <n v="700032"/>
    <s v="Salaries-Other Pat Care Providers-Productive"/>
    <s v="Nursing Administration"/>
    <x v="0"/>
    <m/>
    <n v="0"/>
    <n v="0"/>
    <n v="57.92"/>
    <n v="963.44"/>
    <n v="-206.49"/>
    <n v="0"/>
    <n v="629.9"/>
    <n v="-165.74"/>
    <n v="0"/>
    <n v="0"/>
    <n v="0"/>
    <n v="184.05"/>
    <n v="1463.08"/>
    <n v="-184.05"/>
  </r>
  <r>
    <x v="5"/>
    <x v="7"/>
    <x v="0"/>
    <s v="3270150"/>
    <n v="700032"/>
    <s v="Salaries-Other Pat Care Providers-Other"/>
    <s v="Nursing Administration"/>
    <x v="0"/>
    <n v="2000"/>
    <n v="0"/>
    <n v="0"/>
    <n v="0"/>
    <n v="46.87"/>
    <n v="-13.87"/>
    <n v="0"/>
    <n v="18.329999999999998"/>
    <n v="-4.8099999999999996"/>
    <n v="0"/>
    <n v="0"/>
    <n v="0"/>
    <n v="5.64"/>
    <n v="52.16"/>
    <n v="-5.64"/>
  </r>
  <r>
    <x v="5"/>
    <x v="7"/>
    <x v="0"/>
    <s v="3270150"/>
    <n v="700038"/>
    <s v="Salaries-Service/Support-Productive"/>
    <s v="Nursing Administration"/>
    <x v="0"/>
    <m/>
    <n v="7342.98"/>
    <n v="7270.58"/>
    <n v="7610.98"/>
    <n v="7154.54"/>
    <n v="7353.72"/>
    <n v="6151.58"/>
    <n v="7854.97"/>
    <n v="6813.97"/>
    <n v="8795.4500000000007"/>
    <n v="6282.22"/>
    <n v="6898.48"/>
    <n v="7445.2"/>
    <n v="86974.67"/>
    <n v="-546.72000000000025"/>
  </r>
  <r>
    <x v="5"/>
    <x v="7"/>
    <x v="0"/>
    <s v="3270150"/>
    <n v="700038"/>
    <s v="Salaries-Service/Support-OT"/>
    <s v="Nursing Administration"/>
    <x v="0"/>
    <n v="1000"/>
    <n v="0"/>
    <n v="0"/>
    <n v="0"/>
    <n v="41.35"/>
    <n v="-18.190000000000001"/>
    <n v="0"/>
    <n v="0"/>
    <n v="0"/>
    <n v="0"/>
    <n v="0"/>
    <n v="0"/>
    <n v="0"/>
    <n v="23.16"/>
    <n v="0"/>
  </r>
  <r>
    <x v="5"/>
    <x v="7"/>
    <x v="0"/>
    <s v="3270150"/>
    <n v="700054"/>
    <s v="Salaries-Management-Non-productive"/>
    <s v="Nursing Administration"/>
    <x v="0"/>
    <m/>
    <n v="1044.6400000000001"/>
    <n v="746.13"/>
    <n v="820.83"/>
    <n v="4110.91"/>
    <n v="1680.37"/>
    <n v="3751.6"/>
    <n v="1996.7"/>
    <n v="1291.51"/>
    <n v="-391.32"/>
    <n v="2739.61"/>
    <n v="1604.58"/>
    <n v="3169.7"/>
    <n v="22565.260000000006"/>
    <n v="-1565.12"/>
  </r>
  <r>
    <x v="5"/>
    <x v="7"/>
    <x v="0"/>
    <s v="3270150"/>
    <n v="700054"/>
    <s v="Salaries-Management-NonProd-Other"/>
    <s v="Nursing Administration"/>
    <x v="0"/>
    <n v="2000"/>
    <n v="0"/>
    <n v="0"/>
    <n v="0"/>
    <n v="0"/>
    <n v="0"/>
    <n v="2409.71"/>
    <n v="-2409.71"/>
    <n v="0"/>
    <n v="0"/>
    <n v="0"/>
    <n v="0"/>
    <n v="0"/>
    <n v="0"/>
    <n v="0"/>
  </r>
  <r>
    <x v="5"/>
    <x v="7"/>
    <x v="0"/>
    <s v="3270150"/>
    <n v="700066"/>
    <s v="Salaries-RN-Non-productive"/>
    <s v="Nursing Administration"/>
    <x v="0"/>
    <m/>
    <n v="3452.62"/>
    <n v="3172.5"/>
    <n v="7435.9"/>
    <n v="2466.91"/>
    <n v="-908.7"/>
    <n v="6167.02"/>
    <n v="7842.03"/>
    <n v="4762.76"/>
    <n v="8513.7900000000009"/>
    <n v="3857.35"/>
    <n v="-788.47"/>
    <n v="13436.83"/>
    <n v="59410.54"/>
    <n v="-14225.3"/>
  </r>
  <r>
    <x v="5"/>
    <x v="7"/>
    <x v="0"/>
    <s v="3270150"/>
    <n v="700066"/>
    <s v="Salaries-RN-NonProd-Other"/>
    <s v="Nursing Administration"/>
    <x v="0"/>
    <n v="2000"/>
    <n v="2543.33"/>
    <n v="2424.0300000000002"/>
    <n v="2917.9"/>
    <n v="2461.75"/>
    <n v="2624.46"/>
    <n v="3322.99"/>
    <n v="3071.27"/>
    <n v="2323.17"/>
    <n v="2980.91"/>
    <n v="2279.75"/>
    <n v="2578.16"/>
    <n v="2579.77"/>
    <n v="32107.49"/>
    <n v="-1.6100000000001273"/>
  </r>
  <r>
    <x v="5"/>
    <x v="7"/>
    <x v="0"/>
    <s v="3270150"/>
    <n v="700078"/>
    <s v="Salaries-Service/Support-Non-productive"/>
    <s v="Nursing Administration"/>
    <x v="0"/>
    <m/>
    <n v="1235"/>
    <n v="1307.81"/>
    <n v="681.71"/>
    <n v="1608.29"/>
    <n v="1165.03"/>
    <n v="2651.44"/>
    <n v="985.3"/>
    <n v="1148.73"/>
    <n v="132.53"/>
    <n v="2056.92"/>
    <n v="1997.45"/>
    <n v="1389.41"/>
    <n v="16359.619999999999"/>
    <n v="608.04"/>
  </r>
  <r>
    <x v="5"/>
    <x v="7"/>
    <x v="0"/>
    <s v="3270150"/>
    <n v="700084"/>
    <s v="Accrued PTO"/>
    <s v="Nursing Administration"/>
    <x v="0"/>
    <m/>
    <n v="1223.67"/>
    <n v="1960.15"/>
    <n v="-1830.32"/>
    <n v="-1574.18"/>
    <n v="2038.61"/>
    <n v="-4975.3599999999997"/>
    <n v="2603.65"/>
    <n v="-932.35"/>
    <n v="3067.57"/>
    <n v="-2090.1999999999998"/>
    <n v="5011.08"/>
    <n v="-5107.26"/>
    <n v="-604.93999999999869"/>
    <n v="10118.34"/>
  </r>
  <r>
    <x v="6"/>
    <x v="7"/>
    <x v="0"/>
    <s v="3270150"/>
    <n v="713010"/>
    <s v="Benefits-FICA/Medicare"/>
    <s v="Nursing Administration"/>
    <x v="0"/>
    <m/>
    <n v="5653.64"/>
    <n v="5492.51"/>
    <n v="6079.37"/>
    <n v="5645.75"/>
    <n v="5643.33"/>
    <n v="6203.57"/>
    <n v="7428.17"/>
    <n v="5485.32"/>
    <n v="6366.36"/>
    <n v="5581.16"/>
    <n v="5921.64"/>
    <n v="7309.21"/>
    <n v="72810.03"/>
    <n v="-1387.5699999999997"/>
  </r>
  <r>
    <x v="6"/>
    <x v="7"/>
    <x v="0"/>
    <s v="3270150"/>
    <n v="713090"/>
    <s v="Benefits-Allocated Amounts"/>
    <s v="Nursing Administration"/>
    <x v="0"/>
    <m/>
    <n v="12538.81"/>
    <n v="10724.97"/>
    <n v="12807.96"/>
    <n v="11900.21"/>
    <n v="12798.34"/>
    <n v="13667.49"/>
    <n v="14801.66"/>
    <n v="11080.62"/>
    <n v="12229.02"/>
    <n v="12126.26"/>
    <n v="12448"/>
    <n v="14982.93"/>
    <n v="152106.26999999999"/>
    <n v="-2534.9300000000003"/>
  </r>
  <r>
    <x v="6"/>
    <x v="7"/>
    <x v="0"/>
    <s v="3270150"/>
    <n v="713096"/>
    <s v="Employee Recognition"/>
    <s v="Nursing Administration"/>
    <x v="0"/>
    <n v="1017"/>
    <n v="0"/>
    <n v="0"/>
    <n v="138.28"/>
    <n v="0"/>
    <n v="32.72"/>
    <n v="96"/>
    <n v="0"/>
    <n v="113.66"/>
    <n v="0"/>
    <n v="0"/>
    <n v="26.06"/>
    <n v="5"/>
    <n v="411.71999999999997"/>
    <n v="21.06"/>
  </r>
  <r>
    <x v="11"/>
    <x v="7"/>
    <x v="0"/>
    <s v="3270150"/>
    <n v="721410"/>
    <s v="Supplies-Medical - Nonbillable"/>
    <s v="Nursing Administration"/>
    <x v="0"/>
    <m/>
    <n v="0"/>
    <n v="0"/>
    <n v="5.9"/>
    <n v="5.9"/>
    <n v="0"/>
    <n v="0"/>
    <n v="2.95"/>
    <n v="2.1"/>
    <n v="0"/>
    <n v="5.9"/>
    <n v="0"/>
    <n v="8.85"/>
    <n v="31.6"/>
    <n v="-8.85"/>
  </r>
  <r>
    <x v="11"/>
    <x v="7"/>
    <x v="0"/>
    <s v="3270150"/>
    <n v="721810"/>
    <s v="Supplies-Dietary/Cafeteria"/>
    <s v="Nursing Administration"/>
    <x v="0"/>
    <m/>
    <n v="130.31"/>
    <n v="16"/>
    <n v="72.13"/>
    <n v="38.909999999999997"/>
    <n v="76.150000000000006"/>
    <n v="83.07"/>
    <n v="129.1"/>
    <n v="37.99"/>
    <n v="93.96"/>
    <n v="101.04"/>
    <n v="340.97"/>
    <n v="111.73"/>
    <n v="1231.3600000000001"/>
    <n v="229.24"/>
  </r>
  <r>
    <x v="11"/>
    <x v="7"/>
    <x v="0"/>
    <s v="3270150"/>
    <n v="721830"/>
    <s v="Supplies-Office"/>
    <s v="Nursing Administration"/>
    <x v="0"/>
    <m/>
    <n v="0"/>
    <n v="115.44"/>
    <n v="174.72"/>
    <n v="155.13999999999999"/>
    <n v="35.159999999999997"/>
    <n v="100.42"/>
    <n v="189.34"/>
    <n v="163.41"/>
    <n v="120.4"/>
    <n v="152.91999999999999"/>
    <n v="31.51"/>
    <n v="47.93"/>
    <n v="1286.3900000000001"/>
    <n v="-16.419999999999998"/>
  </r>
  <r>
    <x v="11"/>
    <x v="7"/>
    <x v="0"/>
    <s v="3270150"/>
    <n v="721870"/>
    <s v="Supplies-Environmental Services"/>
    <s v="Nursing Administration"/>
    <x v="0"/>
    <m/>
    <n v="0"/>
    <n v="0"/>
    <n v="0.91"/>
    <n v="1.91"/>
    <n v="0"/>
    <n v="4.1900000000000004"/>
    <n v="0.91"/>
    <n v="0.91"/>
    <n v="0.91"/>
    <n v="1.45"/>
    <n v="0"/>
    <n v="0"/>
    <n v="11.19"/>
    <n v="0"/>
  </r>
  <r>
    <x v="11"/>
    <x v="7"/>
    <x v="0"/>
    <s v="3270150"/>
    <n v="721910"/>
    <s v="Supplies-Small Equipment"/>
    <s v="Nursing Administration"/>
    <x v="0"/>
    <m/>
    <n v="0"/>
    <n v="0"/>
    <n v="370.17"/>
    <n v="0"/>
    <n v="0"/>
    <n v="311.97000000000003"/>
    <n v="0"/>
    <n v="0"/>
    <n v="0"/>
    <n v="0"/>
    <n v="0"/>
    <n v="0"/>
    <n v="682.1400000000001"/>
    <n v="0"/>
  </r>
  <r>
    <x v="11"/>
    <x v="7"/>
    <x v="0"/>
    <s v="3270150"/>
    <n v="722000"/>
    <s v="Supplies-Freight Expense"/>
    <s v="Nursing Administration"/>
    <x v="0"/>
    <m/>
    <n v="0"/>
    <n v="0"/>
    <n v="0"/>
    <n v="0"/>
    <n v="0"/>
    <n v="21.49"/>
    <n v="10.67"/>
    <n v="0"/>
    <n v="0"/>
    <n v="0"/>
    <n v="0"/>
    <n v="0"/>
    <n v="32.159999999999997"/>
    <n v="0"/>
  </r>
  <r>
    <x v="12"/>
    <x v="7"/>
    <x v="0"/>
    <s v="3270150"/>
    <n v="730020"/>
    <s v="Rental and Leases-Copier Usage Fees (DO NOT USE)"/>
    <s v="Nursing Administration"/>
    <x v="0"/>
    <n v="5100"/>
    <n v="39.28"/>
    <n v="40.340000000000003"/>
    <n v="39.81"/>
    <n v="39.81"/>
    <n v="39.81"/>
    <n v="39.81"/>
    <n v="3234.95"/>
    <n v="57.56"/>
    <n v="57.44"/>
    <n v="855.43"/>
    <n v="57.56"/>
    <n v="57.56"/>
    <n v="4559.3600000000006"/>
    <n v="0"/>
  </r>
  <r>
    <x v="15"/>
    <x v="7"/>
    <x v="0"/>
    <s v="3270150"/>
    <n v="731060"/>
    <s v="Cell Phones"/>
    <s v="Nursing Administration"/>
    <x v="0"/>
    <n v="1001"/>
    <n v="0"/>
    <n v="96.6"/>
    <n v="42.84"/>
    <n v="0"/>
    <n v="46.77"/>
    <n v="27.8"/>
    <n v="96.91"/>
    <n v="0"/>
    <n v="48.97"/>
    <n v="97.37"/>
    <n v="48.06"/>
    <n v="48.7"/>
    <n v="554.02"/>
    <n v="-0.64000000000000057"/>
  </r>
  <r>
    <x v="15"/>
    <x v="7"/>
    <x v="0"/>
    <s v="3270150"/>
    <n v="731060"/>
    <s v="Pagers"/>
    <s v="Nursing Administration"/>
    <x v="0"/>
    <n v="1002"/>
    <n v="24.3"/>
    <n v="24.3"/>
    <n v="15.41"/>
    <n v="16.239999999999998"/>
    <n v="16.239999999999998"/>
    <n v="0"/>
    <n v="16.239999999999998"/>
    <n v="8.1199999999999992"/>
    <n v="8.1199999999999992"/>
    <n v="8.1199999999999992"/>
    <n v="8.1199999999999992"/>
    <n v="8.1199999999999992"/>
    <n v="153.33000000000001"/>
    <n v="0"/>
  </r>
  <r>
    <x v="0"/>
    <x v="7"/>
    <x v="0"/>
    <s v="3270150"/>
    <n v="740020"/>
    <s v="Education-Registration Fees"/>
    <s v="Nursing Administration"/>
    <x v="0"/>
    <m/>
    <n v="0"/>
    <n v="549"/>
    <n v="100"/>
    <n v="107.19"/>
    <n v="235"/>
    <n v="0"/>
    <n v="165"/>
    <n v="515"/>
    <n v="525"/>
    <n v="0"/>
    <n v="50"/>
    <n v="215"/>
    <n v="2461.19"/>
    <n v="-165"/>
  </r>
  <r>
    <x v="0"/>
    <x v="7"/>
    <x v="0"/>
    <s v="3270150"/>
    <n v="743020"/>
    <s v="Dues--Individual"/>
    <s v="Nursing Administration"/>
    <x v="0"/>
    <m/>
    <n v="0"/>
    <n v="0"/>
    <n v="0"/>
    <n v="0"/>
    <n v="0"/>
    <n v="450"/>
    <n v="0"/>
    <n v="0"/>
    <n v="0"/>
    <n v="0"/>
    <n v="0"/>
    <n v="0"/>
    <n v="450"/>
    <n v="0"/>
  </r>
  <r>
    <x v="0"/>
    <x v="7"/>
    <x v="0"/>
    <s v="3270150"/>
    <n v="743030"/>
    <s v="Subscriptions--Institutional"/>
    <s v="Nursing 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7"/>
    <x v="0"/>
    <s v="3270150"/>
    <n v="749510"/>
    <s v="Miscellaneous Expenses"/>
    <s v="Nursing Administration"/>
    <x v="0"/>
    <m/>
    <n v="437.99"/>
    <n v="-855.65"/>
    <n v="0.8"/>
    <n v="432.29"/>
    <n v="1711.33"/>
    <n v="-134.85"/>
    <n v="201.65"/>
    <n v="-126.85"/>
    <n v="-6"/>
    <n v="29.81"/>
    <n v="289"/>
    <n v="315.79000000000002"/>
    <n v="2295.3100000000004"/>
    <n v="-26.79000000000002"/>
  </r>
  <r>
    <x v="0"/>
    <x v="7"/>
    <x v="0"/>
    <s v="3270150"/>
    <n v="749530"/>
    <s v="Travel"/>
    <s v="Nursing Administration"/>
    <x v="0"/>
    <m/>
    <n v="0"/>
    <n v="548.22"/>
    <n v="0"/>
    <n v="0"/>
    <n v="6"/>
    <n v="12"/>
    <n v="12"/>
    <n v="12"/>
    <n v="18"/>
    <n v="18"/>
    <n v="1.25"/>
    <n v="0"/>
    <n v="627.47"/>
    <n v="1.25"/>
  </r>
  <r>
    <x v="0"/>
    <x v="7"/>
    <x v="0"/>
    <s v="3270150"/>
    <n v="749530"/>
    <s v="Mileage"/>
    <s v="Nursing Administration"/>
    <x v="0"/>
    <n v="1001"/>
    <n v="0"/>
    <n v="31.07"/>
    <n v="15.81"/>
    <n v="31.62"/>
    <n v="0"/>
    <n v="67.05"/>
    <n v="37.61"/>
    <n v="64.38"/>
    <n v="90.48"/>
    <n v="23.78"/>
    <n v="157.18"/>
    <n v="48.14"/>
    <n v="567.12"/>
    <n v="109.04"/>
  </r>
  <r>
    <x v="5"/>
    <x v="6"/>
    <x v="0"/>
    <s v="3271107"/>
    <n v="700014"/>
    <s v="Salaries-Management-Productive"/>
    <s v="Nursing Admin-Silverdale"/>
    <x v="0"/>
    <m/>
    <n v="10195.06"/>
    <n v="10707.12"/>
    <n v="4239.2700000000004"/>
    <n v="13219.07"/>
    <n v="11677.29"/>
    <n v="7059.36"/>
    <n v="10604.75"/>
    <n v="10190.58"/>
    <n v="11318.75"/>
    <n v="11280.79"/>
    <n v="9626.69"/>
    <n v="9626.69"/>
    <n v="119745.42000000001"/>
    <n v="0"/>
  </r>
  <r>
    <x v="5"/>
    <x v="6"/>
    <x v="0"/>
    <s v="3271107"/>
    <n v="700018"/>
    <s v="Salaries-Supervisory-Productive"/>
    <s v="Nursing Admin-Silverdale"/>
    <x v="0"/>
    <m/>
    <n v="0"/>
    <n v="0"/>
    <n v="0"/>
    <n v="862.4"/>
    <n v="0"/>
    <n v="0"/>
    <n v="0"/>
    <n v="0"/>
    <n v="0"/>
    <n v="0"/>
    <n v="0"/>
    <n v="0"/>
    <n v="862.4"/>
    <n v="0"/>
  </r>
  <r>
    <x v="5"/>
    <x v="6"/>
    <x v="0"/>
    <s v="3271107"/>
    <n v="700026"/>
    <s v="Salaries-RN-Productive"/>
    <s v="Nursing Admin-Silverdale"/>
    <x v="0"/>
    <m/>
    <n v="39407.22"/>
    <n v="45200.46"/>
    <n v="37737.51"/>
    <n v="37570.42"/>
    <n v="45197.7"/>
    <n v="39438.53"/>
    <n v="42154.76"/>
    <n v="36313.94"/>
    <n v="39960.39"/>
    <n v="41421.120000000003"/>
    <n v="39491.699999999997"/>
    <n v="40164.99"/>
    <n v="484058.74"/>
    <n v="-673.29000000000087"/>
  </r>
  <r>
    <x v="5"/>
    <x v="6"/>
    <x v="0"/>
    <s v="3271107"/>
    <n v="700026"/>
    <s v="Salaries-RN-OT"/>
    <s v="Nursing Admin-Silverdale"/>
    <x v="0"/>
    <n v="1000"/>
    <n v="328.57"/>
    <n v="949.84"/>
    <n v="-302.3"/>
    <n v="4349.74"/>
    <n v="980.23"/>
    <n v="23.05"/>
    <n v="0"/>
    <n v="959.73"/>
    <n v="103.56"/>
    <n v="0"/>
    <n v="81.459999999999994"/>
    <n v="1198.8699999999999"/>
    <n v="8672.75"/>
    <n v="-1117.4099999999999"/>
  </r>
  <r>
    <x v="5"/>
    <x v="6"/>
    <x v="0"/>
    <s v="3271107"/>
    <n v="700026"/>
    <s v="Salaries-RN-Other"/>
    <s v="Nursing Admin-Silverdale"/>
    <x v="0"/>
    <n v="2000"/>
    <n v="3243.47"/>
    <n v="3558.22"/>
    <n v="2898.16"/>
    <n v="3025.56"/>
    <n v="3361.73"/>
    <n v="2797.8"/>
    <n v="2249.5100000000002"/>
    <n v="2056.69"/>
    <n v="2309.63"/>
    <n v="2655.91"/>
    <n v="2176.71"/>
    <n v="2274.4499999999998"/>
    <n v="32607.839999999997"/>
    <n v="-97.739999999999782"/>
  </r>
  <r>
    <x v="5"/>
    <x v="6"/>
    <x v="0"/>
    <s v="3271107"/>
    <n v="700038"/>
    <s v="Salaries-Service/Support-Productive"/>
    <s v="Nursing Admin-Silverdale"/>
    <x v="0"/>
    <m/>
    <n v="6802.59"/>
    <n v="6576.73"/>
    <n v="6501.67"/>
    <n v="7475.8"/>
    <n v="7697.14"/>
    <n v="5267.48"/>
    <n v="7030.51"/>
    <n v="6178.2"/>
    <n v="8213.81"/>
    <n v="7527.28"/>
    <n v="4100.3100000000004"/>
    <n v="7790.09"/>
    <n v="81161.61"/>
    <n v="-3689.7799999999997"/>
  </r>
  <r>
    <x v="5"/>
    <x v="6"/>
    <x v="0"/>
    <s v="3271107"/>
    <n v="700038"/>
    <s v="Salaries-Service/Support-OT"/>
    <s v="Nursing Admin-Silverdale"/>
    <x v="0"/>
    <n v="1000"/>
    <n v="161.18"/>
    <n v="-9.2100000000000009"/>
    <n v="17.89"/>
    <n v="0"/>
    <n v="121.32"/>
    <n v="-39.979999999999997"/>
    <n v="7.87"/>
    <n v="7.87"/>
    <n v="80.41"/>
    <n v="110.64"/>
    <n v="-44.99"/>
    <n v="8.43"/>
    <n v="421.43"/>
    <n v="-53.42"/>
  </r>
  <r>
    <x v="5"/>
    <x v="6"/>
    <x v="0"/>
    <s v="3271107"/>
    <n v="700038"/>
    <s v="Salaries-Service/Support-Other"/>
    <s v="Nursing Admin-Silverdale"/>
    <x v="0"/>
    <n v="2000"/>
    <n v="0"/>
    <n v="16.989999999999998"/>
    <n v="18.91"/>
    <n v="-8.7200000000000006"/>
    <n v="0"/>
    <n v="25.45"/>
    <n v="-1.42"/>
    <n v="23.09"/>
    <n v="2.44"/>
    <n v="0"/>
    <n v="18.53"/>
    <n v="0.08"/>
    <n v="95.35"/>
    <n v="18.450000000000003"/>
  </r>
  <r>
    <x v="5"/>
    <x v="6"/>
    <x v="0"/>
    <s v="3271107"/>
    <n v="700054"/>
    <s v="Salaries-Management-Non-productive"/>
    <s v="Nursing Admin-Silverdale"/>
    <x v="0"/>
    <m/>
    <n v="1132.78"/>
    <n v="621.24"/>
    <n v="6723.8"/>
    <n v="-1399.92"/>
    <n v="-413.02"/>
    <n v="4580.7700000000004"/>
    <n v="1053.55"/>
    <n v="338.45"/>
    <n v="338.45"/>
    <n v="0"/>
    <n v="2030.5"/>
    <n v="1654.65"/>
    <n v="16661.25"/>
    <n v="375.84999999999991"/>
  </r>
  <r>
    <x v="5"/>
    <x v="6"/>
    <x v="0"/>
    <s v="3271107"/>
    <n v="700066"/>
    <s v="Salaries-RN-Non-productive"/>
    <s v="Nursing Admin-Silverdale"/>
    <x v="0"/>
    <m/>
    <n v="2793"/>
    <n v="160.4"/>
    <n v="718.49"/>
    <n v="8689.4"/>
    <n v="3173.22"/>
    <n v="5338.99"/>
    <n v="1251.78"/>
    <n v="988.77"/>
    <n v="665.23"/>
    <n v="3171.39"/>
    <n v="1280.6600000000001"/>
    <n v="2097.63"/>
    <n v="30328.959999999999"/>
    <n v="-816.97"/>
  </r>
  <r>
    <x v="5"/>
    <x v="6"/>
    <x v="0"/>
    <s v="3271107"/>
    <n v="700066"/>
    <s v="Salaries-RN-NonProd-Other"/>
    <s v="Nursing Admin-Silverdale"/>
    <x v="0"/>
    <n v="2000"/>
    <n v="32.26"/>
    <n v="-3.12"/>
    <n v="0"/>
    <n v="167.57"/>
    <n v="0"/>
    <n v="0"/>
    <n v="0"/>
    <n v="0"/>
    <n v="0"/>
    <n v="0"/>
    <n v="0"/>
    <n v="0"/>
    <n v="196.70999999999998"/>
    <n v="0"/>
  </r>
  <r>
    <x v="5"/>
    <x v="6"/>
    <x v="0"/>
    <s v="3271107"/>
    <n v="700078"/>
    <s v="Salaries-Service/Support-Non-productive"/>
    <s v="Nursing Admin-Silverdale"/>
    <x v="0"/>
    <m/>
    <n v="915.35"/>
    <n v="1243.26"/>
    <n v="1015.93"/>
    <n v="613.45000000000005"/>
    <n v="168.46"/>
    <n v="2759.47"/>
    <n v="1043.94"/>
    <n v="1113.6400000000001"/>
    <n v="-144.44"/>
    <n v="222.33"/>
    <n v="2466.48"/>
    <n v="746.79"/>
    <n v="12164.66"/>
    <n v="1719.69"/>
  </r>
  <r>
    <x v="5"/>
    <x v="6"/>
    <x v="0"/>
    <s v="3271107"/>
    <n v="700078"/>
    <s v="Salaries-Service/Support-NonProd-Other"/>
    <s v="Nursing Admin-Silverdale"/>
    <x v="0"/>
    <n v="2000"/>
    <n v="82.49"/>
    <n v="92.91"/>
    <n v="21.22"/>
    <n v="44.12"/>
    <n v="-8.92"/>
    <n v="188.52"/>
    <n v="65.3"/>
    <n v="73.02"/>
    <n v="-9.65"/>
    <n v="24.45"/>
    <n v="232.62"/>
    <n v="-49.13"/>
    <n v="756.95000000000016"/>
    <n v="281.75"/>
  </r>
  <r>
    <x v="5"/>
    <x v="6"/>
    <x v="0"/>
    <s v="3271107"/>
    <n v="700084"/>
    <s v="Accrued PTO"/>
    <s v="Nursing Admin-Silverdale"/>
    <x v="0"/>
    <m/>
    <n v="3458.39"/>
    <n v="3928.35"/>
    <n v="-897.36"/>
    <n v="2593.92"/>
    <n v="2802.18"/>
    <n v="-4909.2700000000004"/>
    <n v="1894.52"/>
    <n v="3190.83"/>
    <n v="4494.1400000000003"/>
    <n v="3558.91"/>
    <n v="1513.21"/>
    <n v="3974.7"/>
    <n v="25602.52"/>
    <n v="-2461.4899999999998"/>
  </r>
  <r>
    <x v="6"/>
    <x v="6"/>
    <x v="0"/>
    <s v="3271107"/>
    <n v="713010"/>
    <s v="Benefits-FICA/Medicare"/>
    <s v="Nursing Admin-Silverdale"/>
    <x v="0"/>
    <m/>
    <n v="4859.3500000000004"/>
    <n v="5168.1499999999996"/>
    <n v="4448.8999999999996"/>
    <n v="5590.65"/>
    <n v="7390.26"/>
    <n v="4398.2299999999996"/>
    <n v="4913.68"/>
    <n v="4235.29"/>
    <n v="4642.01"/>
    <n v="4922.1400000000003"/>
    <n v="4535.16"/>
    <n v="4851.4799999999996"/>
    <n v="59955.3"/>
    <n v="-316.31999999999971"/>
  </r>
  <r>
    <x v="6"/>
    <x v="6"/>
    <x v="0"/>
    <s v="3271107"/>
    <n v="713090"/>
    <s v="Benefits-Allocated Amounts"/>
    <s v="Nursing Admin-Silverdale"/>
    <x v="0"/>
    <m/>
    <n v="8866.19"/>
    <n v="8484.3700000000008"/>
    <n v="7967.68"/>
    <n v="9588.41"/>
    <n v="10607.93"/>
    <n v="8994.61"/>
    <n v="8868.75"/>
    <n v="8734.86"/>
    <n v="7109.91"/>
    <n v="10203.719999999999"/>
    <n v="8383.7099999999991"/>
    <n v="10945.79"/>
    <n v="108755.93000000002"/>
    <n v="-2562.0800000000017"/>
  </r>
  <r>
    <x v="6"/>
    <x v="6"/>
    <x v="0"/>
    <s v="3271107"/>
    <n v="713096"/>
    <s v="Employee Recognition"/>
    <s v="Nursing Admin-Silverdale"/>
    <x v="0"/>
    <n v="1017"/>
    <n v="109.2"/>
    <n v="125.03"/>
    <n v="27.22"/>
    <n v="0"/>
    <n v="256.19"/>
    <n v="304.43"/>
    <n v="53.34"/>
    <n v="0"/>
    <n v="116.83"/>
    <n v="0"/>
    <n v="371.07"/>
    <n v="155.27000000000001"/>
    <n v="1518.5800000000002"/>
    <n v="215.79999999999998"/>
  </r>
  <r>
    <x v="11"/>
    <x v="6"/>
    <x v="0"/>
    <s v="3271107"/>
    <n v="721410"/>
    <s v="Supplies-Medical - Nonbillable"/>
    <s v="Nursing Admin-Silverdale"/>
    <x v="0"/>
    <m/>
    <n v="0"/>
    <n v="0"/>
    <n v="38.1"/>
    <n v="3.97"/>
    <n v="0"/>
    <n v="0"/>
    <n v="0"/>
    <n v="0"/>
    <n v="0"/>
    <n v="0"/>
    <n v="0"/>
    <n v="0"/>
    <n v="42.07"/>
    <n v="0"/>
  </r>
  <r>
    <x v="11"/>
    <x v="6"/>
    <x v="0"/>
    <s v="3271107"/>
    <n v="721810"/>
    <s v="Supplies-Dietary/Cafeteria"/>
    <s v="Nursing Admin-Silverdale"/>
    <x v="0"/>
    <m/>
    <n v="142.06"/>
    <n v="215.7"/>
    <n v="215.7"/>
    <n v="268.77999999999997"/>
    <n v="204.78"/>
    <n v="103.3"/>
    <n v="0"/>
    <n v="0"/>
    <n v="0"/>
    <n v="0"/>
    <n v="0"/>
    <n v="0"/>
    <n v="1150.32"/>
    <n v="0"/>
  </r>
  <r>
    <x v="11"/>
    <x v="6"/>
    <x v="0"/>
    <s v="3271107"/>
    <n v="721830"/>
    <s v="Supplies-Office"/>
    <s v="Nursing Admin-Silverdale"/>
    <x v="0"/>
    <m/>
    <n v="0"/>
    <n v="0"/>
    <n v="53.1"/>
    <n v="2.2799999999999998"/>
    <n v="0"/>
    <n v="0"/>
    <n v="0"/>
    <n v="85.02"/>
    <n v="0"/>
    <n v="0"/>
    <n v="0"/>
    <n v="0"/>
    <n v="140.4"/>
    <n v="0"/>
  </r>
  <r>
    <x v="11"/>
    <x v="6"/>
    <x v="0"/>
    <s v="3271107"/>
    <n v="721910"/>
    <s v="Supplies-Small Equipment"/>
    <s v="Nursing Admin-Silverdale"/>
    <x v="0"/>
    <m/>
    <n v="0"/>
    <n v="0"/>
    <n v="0"/>
    <n v="0"/>
    <n v="0"/>
    <n v="0"/>
    <n v="0"/>
    <n v="141.05000000000001"/>
    <n v="14.25"/>
    <n v="0"/>
    <n v="0"/>
    <n v="0"/>
    <n v="155.30000000000001"/>
    <n v="0"/>
  </r>
  <r>
    <x v="11"/>
    <x v="6"/>
    <x v="0"/>
    <s v="3271107"/>
    <n v="721980"/>
    <s v="Supplies-Other"/>
    <s v="Nursing Admin-Silverdale"/>
    <x v="0"/>
    <m/>
    <n v="135.16"/>
    <n v="0"/>
    <n v="0"/>
    <n v="35.47"/>
    <n v="0"/>
    <n v="0"/>
    <n v="0"/>
    <n v="0"/>
    <n v="15.97"/>
    <n v="0"/>
    <n v="0"/>
    <n v="0"/>
    <n v="186.6"/>
    <n v="0"/>
  </r>
  <r>
    <x v="12"/>
    <x v="6"/>
    <x v="0"/>
    <s v="3271107"/>
    <n v="730020"/>
    <s v="Rental and Leases-Copier Usage Fees (DO NOT USE)"/>
    <s v="Nursing Admin-Silverdale"/>
    <x v="0"/>
    <n v="5100"/>
    <n v="494.08"/>
    <n v="509"/>
    <n v="501.54"/>
    <n v="501.54"/>
    <n v="501.54"/>
    <n v="501.54"/>
    <n v="-541.04"/>
    <n v="208.71"/>
    <n v="208.27"/>
    <n v="956.92"/>
    <n v="208.71"/>
    <n v="319"/>
    <n v="4369.8099999999995"/>
    <n v="-110.28999999999999"/>
  </r>
  <r>
    <x v="15"/>
    <x v="6"/>
    <x v="0"/>
    <s v="3271107"/>
    <n v="731060"/>
    <s v="Cell Phones"/>
    <s v="Nursing Admin-Silverdale"/>
    <x v="0"/>
    <n v="1001"/>
    <n v="0"/>
    <n v="102.6"/>
    <n v="50.78"/>
    <n v="0"/>
    <n v="50.91"/>
    <n v="51.5"/>
    <n v="103.02"/>
    <n v="0"/>
    <n v="52.52"/>
    <n v="103"/>
    <n v="51.32"/>
    <n v="51.78"/>
    <n v="617.42999999999995"/>
    <n v="-0.46000000000000085"/>
  </r>
  <r>
    <x v="13"/>
    <x v="6"/>
    <x v="0"/>
    <s v="3271107"/>
    <n v="735070"/>
    <s v="Depreciation-Movable Equipment"/>
    <s v="Nursing Admin-Silverdale"/>
    <x v="0"/>
    <m/>
    <n v="2203.5700000000002"/>
    <n v="2203.5700000000002"/>
    <n v="2203.5700000000002"/>
    <n v="2203.5700000000002"/>
    <n v="2203.58"/>
    <n v="2203.5500000000002"/>
    <n v="2203.58"/>
    <n v="2203.5500000000002"/>
    <n v="2203.59"/>
    <n v="2203.5500000000002"/>
    <n v="2203.61"/>
    <n v="2203.5500000000002"/>
    <n v="26442.84"/>
    <n v="5.999999999994543E-2"/>
  </r>
  <r>
    <x v="0"/>
    <x v="6"/>
    <x v="0"/>
    <s v="3271107"/>
    <n v="749510"/>
    <s v="Miscellaneous Expenses"/>
    <s v="Nursing Admin-Silverdale"/>
    <x v="0"/>
    <m/>
    <n v="-263.48"/>
    <n v="0"/>
    <n v="147.53"/>
    <n v="0"/>
    <n v="634.34"/>
    <n v="-634.34"/>
    <n v="678.99"/>
    <n v="-238.74"/>
    <n v="213.62"/>
    <n v="1993.55"/>
    <n v="432.32"/>
    <n v="-146.24"/>
    <n v="2817.55"/>
    <n v="578.55999999999995"/>
  </r>
  <r>
    <x v="0"/>
    <x v="6"/>
    <x v="0"/>
    <s v="3271107"/>
    <n v="749530"/>
    <s v="Travel"/>
    <s v="Nursing Admin-Silverdale"/>
    <x v="0"/>
    <m/>
    <n v="18"/>
    <n v="12"/>
    <n v="0"/>
    <n v="6"/>
    <n v="29"/>
    <n v="488.4"/>
    <n v="6"/>
    <n v="253.47"/>
    <n v="32.799999999999997"/>
    <n v="30"/>
    <n v="894.76"/>
    <n v="12"/>
    <n v="1782.4299999999998"/>
    <n v="882.76"/>
  </r>
  <r>
    <x v="0"/>
    <x v="6"/>
    <x v="0"/>
    <s v="3271107"/>
    <n v="749530"/>
    <s v="Mileage"/>
    <s v="Nursing Admin-Silverdale"/>
    <x v="0"/>
    <n v="1001"/>
    <n v="160.24"/>
    <n v="95.38"/>
    <n v="38.15"/>
    <n v="60.51"/>
    <n v="324.92"/>
    <n v="246.96"/>
    <n v="44.7"/>
    <n v="151.38"/>
    <n v="226.2"/>
    <n v="393.82"/>
    <n v="197.2"/>
    <n v="135.13999999999999"/>
    <n v="2074.6000000000004"/>
    <n v="62.06"/>
  </r>
  <r>
    <x v="17"/>
    <x v="6"/>
    <x v="0"/>
    <s v="3280107"/>
    <n v="714510"/>
    <s v="Medical Director Fees"/>
    <s v="Infection Prevention"/>
    <x v="0"/>
    <m/>
    <n v="0"/>
    <n v="4125"/>
    <n v="0"/>
    <n v="2175"/>
    <n v="0"/>
    <n v="0"/>
    <n v="4575"/>
    <n v="0"/>
    <n v="0"/>
    <n v="0"/>
    <n v="0"/>
    <n v="7875"/>
    <n v="18750"/>
    <n v="-7875"/>
  </r>
  <r>
    <x v="11"/>
    <x v="6"/>
    <x v="0"/>
    <s v="3280107"/>
    <n v="721810"/>
    <s v="Supplies-Dietary/Cafeteria"/>
    <s v="Infection Prevention"/>
    <x v="0"/>
    <m/>
    <n v="0"/>
    <n v="0"/>
    <n v="0"/>
    <n v="0"/>
    <n v="0"/>
    <n v="0"/>
    <n v="0"/>
    <n v="0"/>
    <n v="8"/>
    <n v="0"/>
    <n v="0"/>
    <n v="0"/>
    <n v="8"/>
    <n v="0"/>
  </r>
  <r>
    <x v="12"/>
    <x v="6"/>
    <x v="0"/>
    <s v="3280107"/>
    <n v="730020"/>
    <s v="Rental and Leases-Copier Usage Fees (DO NOT USE)"/>
    <s v="Infection Prevention"/>
    <x v="0"/>
    <n v="5100"/>
    <n v="69.7"/>
    <n v="70.989999999999995"/>
    <n v="70.34"/>
    <n v="70.34"/>
    <n v="70.34"/>
    <n v="70.489999999999995"/>
    <n v="-206.26"/>
    <n v="36.26"/>
    <n v="36.18"/>
    <n v="101.59"/>
    <n v="36.56"/>
    <n v="40.880000000000003"/>
    <n v="467.41"/>
    <n v="-4.32"/>
  </r>
  <r>
    <x v="5"/>
    <x v="9"/>
    <x v="0"/>
    <s v="3280501"/>
    <n v="700014"/>
    <s v="Salaries-Management-Productive"/>
    <s v="Infection Control/Prevention"/>
    <x v="0"/>
    <m/>
    <n v="8817.4500000000007"/>
    <n v="12453.02"/>
    <n v="5956.16"/>
    <n v="14183.95"/>
    <n v="12008.25"/>
    <n v="8086.01"/>
    <n v="11705.99"/>
    <n v="9139.9599999999991"/>
    <n v="12827.96"/>
    <n v="10342.200000000001"/>
    <n v="11304.7"/>
    <n v="11465.2"/>
    <n v="128290.84999999999"/>
    <n v="-160.5"/>
  </r>
  <r>
    <x v="5"/>
    <x v="9"/>
    <x v="0"/>
    <s v="3280501"/>
    <n v="700032"/>
    <s v="Salaries-Other Pat Care Providers-Productive"/>
    <s v="Infection Control/Prevention"/>
    <x v="0"/>
    <m/>
    <n v="72751.3"/>
    <n v="77193.100000000006"/>
    <n v="78125.02"/>
    <n v="86358.399999999994"/>
    <n v="85742.6"/>
    <n v="63816.15"/>
    <n v="88249.93"/>
    <n v="77393.77"/>
    <n v="86293.71"/>
    <n v="86928.16"/>
    <n v="80431.899999999994"/>
    <n v="77942.039999999994"/>
    <n v="961226.08000000007"/>
    <n v="2489.8600000000006"/>
  </r>
  <r>
    <x v="5"/>
    <x v="9"/>
    <x v="0"/>
    <s v="3280501"/>
    <n v="700054"/>
    <s v="Salaries-Management-Non-productive"/>
    <s v="Infection Control/Prevention"/>
    <x v="0"/>
    <m/>
    <n v="3171.1"/>
    <n v="-463.9"/>
    <n v="5646.35"/>
    <n v="-1856.27"/>
    <n v="0"/>
    <n v="4322.92"/>
    <n v="722.32"/>
    <n v="2084.4699999999998"/>
    <n v="-400.81"/>
    <n v="1683.67"/>
    <n v="1122.44"/>
    <n v="561.22"/>
    <n v="16593.509999999998"/>
    <n v="561.22"/>
  </r>
  <r>
    <x v="5"/>
    <x v="9"/>
    <x v="0"/>
    <s v="3280501"/>
    <n v="700054"/>
    <s v="Salaries-Management-NonProd-Other"/>
    <s v="Infection Control/Prevention"/>
    <x v="0"/>
    <n v="2000"/>
    <n v="0"/>
    <n v="0"/>
    <n v="0"/>
    <n v="0"/>
    <n v="0"/>
    <n v="603"/>
    <n v="-603"/>
    <n v="0"/>
    <n v="0"/>
    <n v="0"/>
    <n v="0"/>
    <n v="0"/>
    <n v="0"/>
    <n v="0"/>
  </r>
  <r>
    <x v="5"/>
    <x v="9"/>
    <x v="0"/>
    <s v="3280501"/>
    <n v="700072"/>
    <s v="Salaries-Other Pat Care Providers-Non-productive"/>
    <s v="Infection Control/Prevention"/>
    <x v="0"/>
    <m/>
    <n v="11841.17"/>
    <n v="7403.25"/>
    <n v="12498.65"/>
    <n v="7920.45"/>
    <n v="5989.81"/>
    <n v="30977.13"/>
    <n v="6691.32"/>
    <n v="8350.92"/>
    <n v="8638.6200000000008"/>
    <n v="4938.8"/>
    <n v="14500.42"/>
    <n v="13929.16"/>
    <n v="133679.69999999998"/>
    <n v="571.26000000000022"/>
  </r>
  <r>
    <x v="5"/>
    <x v="9"/>
    <x v="0"/>
    <s v="3280501"/>
    <n v="700072"/>
    <s v="Salaries-Other Pat Care Providers-NonProd-Other"/>
    <s v="Infection Control/Prevention"/>
    <x v="0"/>
    <n v="2000"/>
    <n v="0"/>
    <n v="0"/>
    <n v="0"/>
    <n v="0"/>
    <n v="1366.6"/>
    <n v="1980.8"/>
    <n v="0"/>
    <n v="-3347.4"/>
    <n v="0"/>
    <n v="0"/>
    <n v="0"/>
    <n v="0"/>
    <n v="-4.5474735088646412E-13"/>
    <n v="0"/>
  </r>
  <r>
    <x v="5"/>
    <x v="9"/>
    <x v="0"/>
    <s v="3280501"/>
    <n v="700084"/>
    <s v="Accrued PTO"/>
    <s v="Infection Control/Prevention"/>
    <x v="0"/>
    <m/>
    <n v="-1129.43"/>
    <n v="6331.64"/>
    <n v="-4163.1899999999996"/>
    <n v="8659.14"/>
    <n v="6337.71"/>
    <n v="-15690.23"/>
    <n v="2387.54"/>
    <n v="3625.4"/>
    <n v="7939.02"/>
    <n v="8069.9"/>
    <n v="-9.9"/>
    <n v="-2283.6999999999998"/>
    <n v="20073.899999999998"/>
    <n v="2273.7999999999997"/>
  </r>
  <r>
    <x v="6"/>
    <x v="9"/>
    <x v="0"/>
    <s v="3280501"/>
    <n v="713010"/>
    <s v="Benefits-FICA/Medicare"/>
    <s v="Infection Control/Prevention"/>
    <x v="0"/>
    <m/>
    <n v="7113.56"/>
    <n v="7113.97"/>
    <n v="7513.26"/>
    <n v="7845.19"/>
    <n v="7200.39"/>
    <n v="7654.41"/>
    <n v="7918.13"/>
    <n v="7110.02"/>
    <n v="7871.92"/>
    <n v="7617.72"/>
    <n v="7882.8"/>
    <n v="7612.75"/>
    <n v="90454.12"/>
    <n v="270.05000000000018"/>
  </r>
  <r>
    <x v="6"/>
    <x v="9"/>
    <x v="0"/>
    <s v="3280501"/>
    <n v="713090"/>
    <s v="Benefits-Allocated Amounts"/>
    <s v="Infection Control/Prevention"/>
    <x v="0"/>
    <m/>
    <n v="15112.04"/>
    <n v="14255.92"/>
    <n v="15692.35"/>
    <n v="15595.72"/>
    <n v="14541.38"/>
    <n v="16116.61"/>
    <n v="17407.82"/>
    <n v="16377.72"/>
    <n v="19429.29"/>
    <n v="17594.32"/>
    <n v="17313.990000000002"/>
    <n v="17091.53"/>
    <n v="196528.69"/>
    <n v="222.46000000000276"/>
  </r>
  <r>
    <x v="6"/>
    <x v="9"/>
    <x v="0"/>
    <s v="3280501"/>
    <n v="713096"/>
    <s v="Employee Recognition"/>
    <s v="Infection Control/Prevention"/>
    <x v="0"/>
    <n v="1017"/>
    <n v="0"/>
    <n v="0"/>
    <n v="0"/>
    <n v="0"/>
    <n v="0"/>
    <n v="103.11"/>
    <n v="0"/>
    <n v="0"/>
    <n v="69.790000000000006"/>
    <n v="0"/>
    <n v="0"/>
    <n v="0"/>
    <n v="172.9"/>
    <n v="0"/>
  </r>
  <r>
    <x v="17"/>
    <x v="9"/>
    <x v="0"/>
    <s v="3280501"/>
    <n v="714510"/>
    <s v="Medical Director Fees"/>
    <s v="Infection Control/Prevention"/>
    <x v="0"/>
    <m/>
    <n v="910"/>
    <n v="770"/>
    <n v="770"/>
    <n v="840"/>
    <n v="630"/>
    <n v="0"/>
    <n v="1330"/>
    <n v="840"/>
    <n v="0"/>
    <n v="1190"/>
    <n v="0"/>
    <n v="1260"/>
    <n v="8540"/>
    <n v="-1260"/>
  </r>
  <r>
    <x v="7"/>
    <x v="9"/>
    <x v="0"/>
    <s v="3280501"/>
    <n v="718050"/>
    <s v="Contract Svcs-Other"/>
    <s v="Infection Control/Prevention"/>
    <x v="0"/>
    <m/>
    <n v="0"/>
    <n v="0"/>
    <n v="0"/>
    <n v="0"/>
    <n v="0"/>
    <n v="0"/>
    <n v="0"/>
    <n v="0"/>
    <n v="0"/>
    <n v="0"/>
    <n v="0"/>
    <n v="1728"/>
    <n v="1728"/>
    <n v="-1728"/>
  </r>
  <r>
    <x v="7"/>
    <x v="9"/>
    <x v="0"/>
    <s v="3280501"/>
    <n v="718050"/>
    <s v="Miscellaneous Purchased Svcs"/>
    <s v="Infection Control/Prevention"/>
    <x v="0"/>
    <n v="1020"/>
    <n v="0"/>
    <n v="-10.79"/>
    <n v="0"/>
    <n v="0"/>
    <n v="0"/>
    <n v="46.18"/>
    <n v="0"/>
    <n v="0"/>
    <n v="439.5"/>
    <n v="281.13"/>
    <n v="0"/>
    <n v="0"/>
    <n v="756.02"/>
    <n v="0"/>
  </r>
  <r>
    <x v="11"/>
    <x v="9"/>
    <x v="0"/>
    <s v="3280501"/>
    <n v="721410"/>
    <s v="Supplies-Medical - Nonbillable"/>
    <s v="Infection Control/Prevention"/>
    <x v="0"/>
    <m/>
    <n v="0"/>
    <n v="100.8"/>
    <n v="0"/>
    <n v="0"/>
    <n v="0"/>
    <n v="0"/>
    <n v="0"/>
    <n v="0"/>
    <n v="0"/>
    <n v="0"/>
    <n v="0"/>
    <n v="0"/>
    <n v="100.8"/>
    <n v="0"/>
  </r>
  <r>
    <x v="11"/>
    <x v="9"/>
    <x v="0"/>
    <s v="3280501"/>
    <n v="721830"/>
    <s v="Supplies-Office"/>
    <s v="Infection Control/Prevention"/>
    <x v="0"/>
    <m/>
    <n v="57.38"/>
    <n v="154.71"/>
    <n v="0"/>
    <n v="0"/>
    <n v="0"/>
    <n v="0"/>
    <n v="403.39"/>
    <n v="44"/>
    <n v="0"/>
    <n v="0"/>
    <n v="0"/>
    <n v="0"/>
    <n v="659.48"/>
    <n v="0"/>
  </r>
  <r>
    <x v="11"/>
    <x v="9"/>
    <x v="0"/>
    <s v="3280501"/>
    <n v="721835"/>
    <s v="Supplies-Forms"/>
    <s v="Infection Control/Prevention"/>
    <x v="0"/>
    <m/>
    <n v="0"/>
    <n v="0"/>
    <n v="0"/>
    <n v="0"/>
    <n v="1.35"/>
    <n v="0"/>
    <n v="4.13"/>
    <n v="0"/>
    <n v="0"/>
    <n v="0"/>
    <n v="0"/>
    <n v="93.84"/>
    <n v="99.320000000000007"/>
    <n v="-93.84"/>
  </r>
  <r>
    <x v="11"/>
    <x v="9"/>
    <x v="0"/>
    <s v="3280501"/>
    <n v="721910"/>
    <s v="Supplies-Small Equipment"/>
    <s v="Infection Control/Prevention"/>
    <x v="0"/>
    <m/>
    <n v="0"/>
    <n v="0"/>
    <n v="0"/>
    <n v="0"/>
    <n v="117.67"/>
    <n v="0"/>
    <n v="0"/>
    <n v="0"/>
    <n v="0"/>
    <n v="0"/>
    <n v="0"/>
    <n v="0"/>
    <n v="117.67"/>
    <n v="0"/>
  </r>
  <r>
    <x v="12"/>
    <x v="9"/>
    <x v="0"/>
    <s v="3280501"/>
    <n v="730020"/>
    <s v="Rental and Leases-Copier Usage Fees (DO NOT USE)"/>
    <s v="Infection Control/Prevention"/>
    <x v="0"/>
    <n v="5100"/>
    <n v="648.78"/>
    <n v="665.12"/>
    <n v="656.95"/>
    <n v="656.95"/>
    <n v="656.95"/>
    <n v="656.95"/>
    <n v="480.05"/>
    <n v="573.51"/>
    <n v="572.30999999999995"/>
    <n v="1053.56"/>
    <n v="573.51"/>
    <n v="657.15"/>
    <n v="7851.7899999999991"/>
    <n v="-83.639999999999986"/>
  </r>
  <r>
    <x v="15"/>
    <x v="9"/>
    <x v="0"/>
    <s v="3280501"/>
    <n v="731060"/>
    <s v="Pagers"/>
    <s v="Infection Control/Prevention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3"/>
    <x v="9"/>
    <x v="0"/>
    <s v="3280501"/>
    <n v="735070"/>
    <s v="Depreciation-Movable Equipment"/>
    <s v="Infection Control/Prevention"/>
    <x v="0"/>
    <m/>
    <n v="108.08"/>
    <n v="108.08"/>
    <n v="108.08"/>
    <n v="108.08"/>
    <n v="108.08"/>
    <n v="108.04"/>
    <n v="108.08"/>
    <n v="108.04"/>
    <n v="108.08"/>
    <n v="107.98"/>
    <n v="108.08"/>
    <n v="107.98"/>
    <n v="1296.6799999999998"/>
    <n v="9.9999999999994316E-2"/>
  </r>
  <r>
    <x v="0"/>
    <x v="9"/>
    <x v="0"/>
    <s v="3280501"/>
    <n v="740010"/>
    <s v="Education-Materials"/>
    <s v="Infection Control/Prevention"/>
    <x v="0"/>
    <m/>
    <n v="0"/>
    <n v="0"/>
    <n v="0"/>
    <n v="0"/>
    <n v="0"/>
    <n v="0"/>
    <n v="0"/>
    <n v="0"/>
    <n v="0"/>
    <n v="88.84"/>
    <n v="0"/>
    <n v="0"/>
    <n v="88.84"/>
    <n v="0"/>
  </r>
  <r>
    <x v="0"/>
    <x v="9"/>
    <x v="0"/>
    <s v="3280501"/>
    <n v="740020"/>
    <s v="Education-Registration Fees"/>
    <s v="Infection Control/Prevention"/>
    <x v="0"/>
    <m/>
    <n v="0"/>
    <n v="0"/>
    <n v="2450"/>
    <n v="100"/>
    <n v="150"/>
    <n v="0"/>
    <n v="0"/>
    <n v="0"/>
    <n v="0"/>
    <n v="655"/>
    <n v="0"/>
    <n v="0"/>
    <n v="3355"/>
    <n v="0"/>
  </r>
  <r>
    <x v="0"/>
    <x v="9"/>
    <x v="0"/>
    <s v="3280501"/>
    <n v="740030"/>
    <s v="Education-Travel"/>
    <s v="Infection Control/Prevention"/>
    <x v="0"/>
    <m/>
    <n v="0"/>
    <n v="0"/>
    <n v="75.5"/>
    <n v="0"/>
    <n v="0"/>
    <n v="0"/>
    <n v="0"/>
    <n v="0"/>
    <n v="0"/>
    <n v="0"/>
    <n v="0"/>
    <n v="0"/>
    <n v="75.5"/>
    <n v="0"/>
  </r>
  <r>
    <x v="0"/>
    <x v="9"/>
    <x v="0"/>
    <s v="3280501"/>
    <n v="742010"/>
    <s v="Postage-Regular"/>
    <s v="Infection Control/Prevention"/>
    <x v="0"/>
    <m/>
    <n v="0"/>
    <n v="0"/>
    <n v="0"/>
    <n v="0"/>
    <n v="0"/>
    <n v="0"/>
    <n v="0"/>
    <n v="0"/>
    <n v="0"/>
    <n v="0"/>
    <n v="164.25"/>
    <n v="0"/>
    <n v="164.25"/>
    <n v="164.25"/>
  </r>
  <r>
    <x v="0"/>
    <x v="9"/>
    <x v="0"/>
    <s v="3280501"/>
    <n v="743020"/>
    <s v="Dues--Individual"/>
    <s v="Infection Control/Prevention"/>
    <x v="0"/>
    <m/>
    <n v="0"/>
    <n v="0"/>
    <n v="450"/>
    <n v="0"/>
    <n v="0"/>
    <n v="225"/>
    <n v="675"/>
    <n v="225"/>
    <n v="0"/>
    <n v="0"/>
    <n v="225"/>
    <n v="0"/>
    <n v="1800"/>
    <n v="225"/>
  </r>
  <r>
    <x v="0"/>
    <x v="9"/>
    <x v="0"/>
    <s v="3280501"/>
    <n v="743030"/>
    <s v="Subscriptions--Institutional"/>
    <s v="Infection Control/Prevention"/>
    <x v="0"/>
    <m/>
    <n v="0"/>
    <n v="0"/>
    <n v="0"/>
    <n v="0"/>
    <n v="0"/>
    <n v="0"/>
    <n v="0"/>
    <n v="191.52"/>
    <n v="0"/>
    <n v="0"/>
    <n v="0"/>
    <n v="0"/>
    <n v="191.52"/>
    <n v="0"/>
  </r>
  <r>
    <x v="0"/>
    <x v="9"/>
    <x v="0"/>
    <s v="3280501"/>
    <n v="743040"/>
    <s v="Subscriptions--Individual"/>
    <s v="Infection Control/Prevention"/>
    <x v="0"/>
    <m/>
    <n v="0"/>
    <n v="0"/>
    <n v="0"/>
    <n v="0"/>
    <n v="0"/>
    <n v="0"/>
    <n v="0"/>
    <n v="0"/>
    <n v="0"/>
    <n v="0"/>
    <n v="169"/>
    <n v="0"/>
    <n v="169"/>
    <n v="169"/>
  </r>
  <r>
    <x v="0"/>
    <x v="9"/>
    <x v="0"/>
    <s v="3280501"/>
    <n v="749510"/>
    <s v="Miscellaneous Expenses"/>
    <s v="Infection Control/Prevention"/>
    <x v="0"/>
    <m/>
    <n v="-147.16"/>
    <n v="-229.77"/>
    <n v="-33.69"/>
    <n v="2479.1"/>
    <n v="-1762.89"/>
    <n v="2898.15"/>
    <n v="-338.49"/>
    <n v="509.38"/>
    <n v="-78.69"/>
    <n v="397.18"/>
    <n v="-392.54"/>
    <n v="274.12"/>
    <n v="3574.7"/>
    <n v="-666.66000000000008"/>
  </r>
  <r>
    <x v="0"/>
    <x v="9"/>
    <x v="0"/>
    <s v="3280501"/>
    <n v="749510"/>
    <s v="Licenses"/>
    <s v="Infection Control/Prevention"/>
    <x v="0"/>
    <n v="1002"/>
    <n v="0"/>
    <n v="375"/>
    <n v="0"/>
    <n v="0"/>
    <n v="0"/>
    <n v="0"/>
    <n v="375"/>
    <n v="0"/>
    <n v="0"/>
    <n v="0"/>
    <n v="0"/>
    <n v="0"/>
    <n v="750"/>
    <n v="0"/>
  </r>
  <r>
    <x v="0"/>
    <x v="9"/>
    <x v="0"/>
    <s v="3280501"/>
    <n v="749510"/>
    <s v="RICE Rewards"/>
    <s v="Infection Control/Prevention"/>
    <x v="0"/>
    <n v="5100"/>
    <n v="0"/>
    <n v="0"/>
    <n v="0"/>
    <n v="0"/>
    <n v="0"/>
    <n v="0"/>
    <n v="0"/>
    <n v="0"/>
    <n v="0"/>
    <n v="0"/>
    <n v="93.66"/>
    <n v="0"/>
    <n v="93.66"/>
    <n v="93.66"/>
  </r>
  <r>
    <x v="0"/>
    <x v="9"/>
    <x v="0"/>
    <s v="3280501"/>
    <n v="749530"/>
    <s v="Travel"/>
    <s v="Infection Control/Prevention"/>
    <x v="0"/>
    <m/>
    <n v="0"/>
    <n v="46"/>
    <n v="1936.9"/>
    <n v="39"/>
    <n v="2196.8000000000002"/>
    <n v="16"/>
    <n v="554.52"/>
    <n v="21"/>
    <n v="22"/>
    <n v="15"/>
    <n v="32"/>
    <n v="1396.74"/>
    <n v="6275.9600000000009"/>
    <n v="-1364.74"/>
  </r>
  <r>
    <x v="0"/>
    <x v="9"/>
    <x v="0"/>
    <s v="3280501"/>
    <n v="749530"/>
    <s v="Mileage"/>
    <s v="Infection Control/Prevention"/>
    <x v="0"/>
    <n v="1001"/>
    <n v="0"/>
    <n v="706.44"/>
    <n v="572.88"/>
    <n v="547.80999999999995"/>
    <n v="566.88"/>
    <n v="586.54999999999995"/>
    <n v="137.07"/>
    <n v="502.28"/>
    <n v="320.16000000000003"/>
    <n v="528.37"/>
    <n v="437.32"/>
    <n v="586.96"/>
    <n v="5492.72"/>
    <n v="-149.64000000000004"/>
  </r>
  <r>
    <x v="5"/>
    <x v="3"/>
    <x v="0"/>
    <s v="3286101"/>
    <n v="700032"/>
    <s v="Salaries-Other Pat Care Providers-Productive"/>
    <s v="One to One Monitoring"/>
    <x v="0"/>
    <m/>
    <n v="0"/>
    <n v="0"/>
    <n v="0"/>
    <n v="0"/>
    <n v="0"/>
    <n v="0"/>
    <n v="0"/>
    <n v="0"/>
    <n v="0"/>
    <n v="0"/>
    <n v="0"/>
    <n v="62.07"/>
    <n v="62.07"/>
    <n v="-62.07"/>
  </r>
  <r>
    <x v="6"/>
    <x v="3"/>
    <x v="0"/>
    <s v="3286101"/>
    <n v="713010"/>
    <s v="Benefits-FICA/Medicare"/>
    <s v="One to One Monitoring"/>
    <x v="0"/>
    <m/>
    <n v="0"/>
    <n v="0"/>
    <n v="0"/>
    <n v="0"/>
    <n v="0"/>
    <n v="0"/>
    <n v="0"/>
    <n v="0"/>
    <n v="0"/>
    <n v="0"/>
    <n v="0"/>
    <n v="4.72"/>
    <n v="4.72"/>
    <n v="-4.72"/>
  </r>
  <r>
    <x v="5"/>
    <x v="5"/>
    <x v="0"/>
    <s v="3286106"/>
    <n v="700032"/>
    <s v="Salaries-Other Pat Care Providers-Productive"/>
    <s v="One to One Monitoring"/>
    <x v="0"/>
    <m/>
    <n v="0"/>
    <n v="0"/>
    <n v="0"/>
    <n v="0"/>
    <n v="0"/>
    <n v="0"/>
    <n v="0"/>
    <n v="0"/>
    <n v="0"/>
    <n v="0"/>
    <n v="0"/>
    <n v="294"/>
    <n v="294"/>
    <n v="-294"/>
  </r>
  <r>
    <x v="5"/>
    <x v="5"/>
    <x v="0"/>
    <s v="3286106"/>
    <n v="700032"/>
    <s v="Salaries-Other Pat Care Providers-Other"/>
    <s v="One to One Monitoring"/>
    <x v="0"/>
    <n v="2000"/>
    <n v="0"/>
    <n v="0"/>
    <n v="0"/>
    <n v="0"/>
    <n v="0"/>
    <n v="0"/>
    <n v="0"/>
    <n v="0"/>
    <n v="0"/>
    <n v="0"/>
    <n v="0"/>
    <n v="19.95"/>
    <n v="19.95"/>
    <n v="-19.95"/>
  </r>
  <r>
    <x v="6"/>
    <x v="5"/>
    <x v="0"/>
    <s v="3286106"/>
    <n v="713010"/>
    <s v="Benefits-FICA/Medicare"/>
    <s v="One to One Monitoring"/>
    <x v="0"/>
    <m/>
    <n v="0"/>
    <n v="0"/>
    <n v="0"/>
    <n v="0"/>
    <n v="0"/>
    <n v="0"/>
    <n v="0"/>
    <n v="0"/>
    <n v="0"/>
    <n v="0"/>
    <n v="0"/>
    <n v="23.48"/>
    <n v="23.48"/>
    <n v="-23.48"/>
  </r>
  <r>
    <x v="6"/>
    <x v="5"/>
    <x v="0"/>
    <s v="3286106"/>
    <n v="713090"/>
    <s v="Benefits-Allocated Amounts"/>
    <s v="One to One Monitoring"/>
    <x v="0"/>
    <m/>
    <n v="0"/>
    <n v="0"/>
    <n v="0"/>
    <n v="0"/>
    <n v="0"/>
    <n v="0"/>
    <n v="0"/>
    <n v="0"/>
    <n v="0"/>
    <n v="0"/>
    <n v="0"/>
    <n v="122.61"/>
    <n v="122.61"/>
    <n v="-122.61"/>
  </r>
  <r>
    <x v="18"/>
    <x v="3"/>
    <x v="0"/>
    <s v="3300101"/>
    <n v="400010"/>
    <s v="Acute I/P Svcs Rev--Medicare"/>
    <s v="Progressive Care Unit (PCU)"/>
    <x v="0"/>
    <n v="1100"/>
    <n v="-1332428.79"/>
    <n v="-1465747.74"/>
    <n v="-1284040.8600000001"/>
    <n v="-1414446.2"/>
    <n v="-1304408.52"/>
    <n v="-1399518.68"/>
    <n v="-1277439.68"/>
    <n v="-1161520.44"/>
    <n v="-1426471.04"/>
    <n v="-1435402.33"/>
    <n v="-1577429.15"/>
    <n v="-1396096.05"/>
    <n v="-16474949.48"/>
    <n v="-181333.09999999986"/>
  </r>
  <r>
    <x v="18"/>
    <x v="3"/>
    <x v="0"/>
    <s v="3300101"/>
    <n v="400010"/>
    <s v="Acute I/P Svcs Rev--Medicaid"/>
    <s v="Progressive Care Unit (PCU)"/>
    <x v="0"/>
    <n v="1200"/>
    <n v="-246214.25"/>
    <n v="-265335.92"/>
    <n v="-337756.87"/>
    <n v="-380606.01"/>
    <n v="-380834.12"/>
    <n v="-398285.74"/>
    <n v="-520965.07"/>
    <n v="-343677.21"/>
    <n v="-424505.73"/>
    <n v="-387324.15"/>
    <n v="-371727.45"/>
    <n v="-364989.25"/>
    <n v="-4422221.7699999996"/>
    <n v="-6738.2000000000116"/>
  </r>
  <r>
    <x v="18"/>
    <x v="3"/>
    <x v="0"/>
    <s v="3300101"/>
    <n v="400010"/>
    <s v="Acute I/P Svcs Rev--Comm Insurance"/>
    <s v="Progressive Care Unit (PCU)"/>
    <x v="0"/>
    <n v="1300"/>
    <n v="-42558.19"/>
    <n v="4849.1899999999996"/>
    <n v="-24308.15"/>
    <n v="-21430.03"/>
    <n v="-4643.2299999999996"/>
    <n v="-14560.58"/>
    <n v="-60786.559999999998"/>
    <n v="-104428.8"/>
    <n v="-66571.95"/>
    <n v="11375.72"/>
    <n v="9459.0400000000009"/>
    <n v="-92722.95"/>
    <n v="-406326.49000000005"/>
    <n v="102181.98999999999"/>
  </r>
  <r>
    <x v="18"/>
    <x v="3"/>
    <x v="0"/>
    <s v="3300101"/>
    <n v="400010"/>
    <s v="Acute I/P Svcs Rev--BCBS Comm"/>
    <s v="Progressive Care Unit (PCU)"/>
    <x v="0"/>
    <n v="1301"/>
    <n v="-33363.660000000003"/>
    <n v="-63019.49"/>
    <n v="-28539.56"/>
    <n v="-55629.8"/>
    <n v="0"/>
    <n v="-82187.72"/>
    <n v="-75428.7"/>
    <n v="-22262.11"/>
    <n v="-26740.89"/>
    <n v="-33198.29"/>
    <n v="-13670.47"/>
    <n v="-24791.98"/>
    <n v="-458832.66999999993"/>
    <n v="11121.51"/>
  </r>
  <r>
    <x v="18"/>
    <x v="3"/>
    <x v="0"/>
    <s v="3300101"/>
    <n v="400010"/>
    <s v="Acute I/P Svcs Rev--Managed Care"/>
    <s v="Progressive Care Unit (PCU)"/>
    <x v="0"/>
    <n v="1400"/>
    <n v="-180095.58"/>
    <n v="-320947.44"/>
    <n v="-402551.35"/>
    <n v="-348559.48"/>
    <n v="-263646.31"/>
    <n v="-205374.4"/>
    <n v="-316010.46999999997"/>
    <n v="-439246.41"/>
    <n v="-289814.61"/>
    <n v="-301747.89"/>
    <n v="-206962.1"/>
    <n v="-329989.65000000002"/>
    <n v="-3604945.69"/>
    <n v="123027.55000000002"/>
  </r>
  <r>
    <x v="18"/>
    <x v="3"/>
    <x v="0"/>
    <s v="3300101"/>
    <n v="400010"/>
    <s v="Acute I/P Svcs Rev--Self Pay"/>
    <s v="Progressive Care Unit (PCU)"/>
    <x v="0"/>
    <n v="1500"/>
    <n v="-39638.269999999997"/>
    <n v="-26381"/>
    <n v="-68847.73"/>
    <n v="-15844.72"/>
    <n v="-30678.74"/>
    <n v="-6239.73"/>
    <n v="2999.07"/>
    <n v="-11498.68"/>
    <n v="-13268.3"/>
    <n v="0"/>
    <n v="-13648.44"/>
    <n v="-7908.34"/>
    <n v="-230954.87999999998"/>
    <n v="-5740.1"/>
  </r>
  <r>
    <x v="18"/>
    <x v="3"/>
    <x v="0"/>
    <s v="3300101"/>
    <n v="400010"/>
    <s v="Acute I/P Svcs Rev--Other"/>
    <s v="Progressive Care Unit (PCU)"/>
    <x v="0"/>
    <n v="1700"/>
    <n v="-32684.57"/>
    <n v="-116523.29"/>
    <n v="-10322.879999999999"/>
    <n v="-58407.85"/>
    <n v="-45470.07"/>
    <n v="-112630.18"/>
    <n v="-30974.16"/>
    <n v="-89409.39"/>
    <n v="-95550.07"/>
    <n v="-55187.22"/>
    <n v="-121717.09"/>
    <n v="-57646.48"/>
    <n v="-826523.24999999988"/>
    <n v="-64070.609999999993"/>
  </r>
  <r>
    <x v="19"/>
    <x v="3"/>
    <x v="0"/>
    <s v="3300101"/>
    <n v="400020"/>
    <s v="O/P Care Svcs Rev--Medicare"/>
    <s v="Progressive Care Unit (PCU)"/>
    <x v="0"/>
    <n v="1100"/>
    <n v="-33712.480000000003"/>
    <n v="-21282.73"/>
    <n v="-38092.410000000003"/>
    <n v="-58452.79"/>
    <n v="-41386.370000000003"/>
    <n v="-37211.86"/>
    <n v="-19533.54"/>
    <n v="-21831.58"/>
    <n v="-67288.509999999995"/>
    <n v="-31139.71"/>
    <n v="-38244.160000000003"/>
    <n v="-18776.310000000001"/>
    <n v="-426952.45"/>
    <n v="-19467.850000000002"/>
  </r>
  <r>
    <x v="19"/>
    <x v="3"/>
    <x v="0"/>
    <s v="3300101"/>
    <n v="400020"/>
    <s v="O/P Care Svcs Rev--Medicaid"/>
    <s v="Progressive Care Unit (PCU)"/>
    <x v="0"/>
    <n v="1200"/>
    <n v="-18470.68"/>
    <n v="-14071.78"/>
    <n v="-19969.84"/>
    <n v="-2807.64"/>
    <n v="-16338.61"/>
    <n v="-8289.93"/>
    <n v="-2538.1999999999998"/>
    <n v="-15290.01"/>
    <n v="-2497.36"/>
    <n v="-6503.47"/>
    <n v="-9050.36"/>
    <n v="-6395.76"/>
    <n v="-122223.64"/>
    <n v="-2654.6000000000004"/>
  </r>
  <r>
    <x v="19"/>
    <x v="3"/>
    <x v="0"/>
    <s v="3300101"/>
    <n v="400020"/>
    <s v="O/P Care Svcs Rev--Comm Insurance"/>
    <s v="Progressive Care Unit (PCU)"/>
    <x v="0"/>
    <n v="1300"/>
    <n v="0"/>
    <n v="-199.11"/>
    <n v="-8734.99"/>
    <n v="0"/>
    <n v="-1914.3"/>
    <n v="-7460.46"/>
    <n v="0"/>
    <n v="0"/>
    <n v="0"/>
    <n v="0"/>
    <n v="0"/>
    <n v="-5242.16"/>
    <n v="-23551.02"/>
    <n v="5242.16"/>
  </r>
  <r>
    <x v="19"/>
    <x v="3"/>
    <x v="0"/>
    <s v="3300101"/>
    <n v="400020"/>
    <s v="O/P Care Svcs Rev--BCBS Comm"/>
    <s v="Progressive Care Unit (PCU)"/>
    <x v="0"/>
    <n v="1301"/>
    <n v="-5232.42"/>
    <n v="-2552.4"/>
    <n v="-5320.43"/>
    <n v="-16311.72"/>
    <n v="0"/>
    <n v="-2680.02"/>
    <n v="-2331.31"/>
    <n v="0"/>
    <n v="0"/>
    <n v="-1905.12"/>
    <n v="0"/>
    <n v="-2497.36"/>
    <n v="-38830.780000000006"/>
    <n v="2497.36"/>
  </r>
  <r>
    <x v="19"/>
    <x v="3"/>
    <x v="0"/>
    <s v="3300101"/>
    <n v="400020"/>
    <s v="O/P Care Svcs Rev--Managed Care"/>
    <s v="Progressive Care Unit (PCU)"/>
    <x v="0"/>
    <n v="1400"/>
    <n v="-20373.03"/>
    <n v="-13868.9"/>
    <n v="-6210.11"/>
    <n v="-21943.68"/>
    <n v="-6072.54"/>
    <n v="-19677.599999999999"/>
    <n v="-6307.5"/>
    <n v="1585.56"/>
    <n v="-2721.6"/>
    <n v="-11903.24"/>
    <n v="-15442.76"/>
    <n v="-4856.8"/>
    <n v="-127792.2"/>
    <n v="-10585.96"/>
  </r>
  <r>
    <x v="19"/>
    <x v="3"/>
    <x v="0"/>
    <s v="3300101"/>
    <n v="400020"/>
    <s v="O/P Care Svcs Rev--Self Pay"/>
    <s v="Progressive Care Unit (PCU)"/>
    <x v="0"/>
    <n v="1500"/>
    <n v="0"/>
    <n v="-13273.29"/>
    <n v="0"/>
    <n v="0"/>
    <n v="0"/>
    <n v="0"/>
    <n v="0"/>
    <n v="0"/>
    <n v="0"/>
    <n v="0"/>
    <n v="0"/>
    <n v="0"/>
    <n v="-13273.29"/>
    <n v="0"/>
  </r>
  <r>
    <x v="19"/>
    <x v="3"/>
    <x v="0"/>
    <s v="3300101"/>
    <n v="400020"/>
    <s v="O/P Care Svcs Rev--Other"/>
    <s v="Progressive Care Unit (PCU)"/>
    <x v="0"/>
    <n v="1700"/>
    <n v="2478"/>
    <n v="-2169.54"/>
    <n v="0"/>
    <n v="0"/>
    <n v="-3900.09"/>
    <n v="0"/>
    <n v="0"/>
    <n v="0"/>
    <n v="0"/>
    <n v="-3023.12"/>
    <n v="0"/>
    <n v="-8273.5300000000007"/>
    <n v="-14888.28"/>
    <n v="8273.5300000000007"/>
  </r>
  <r>
    <x v="14"/>
    <x v="3"/>
    <x v="0"/>
    <s v="3300101"/>
    <n v="600050"/>
    <s v="Miscellaneous Revenue"/>
    <s v="Progressive Care Unit (PCU)"/>
    <x v="0"/>
    <m/>
    <n v="0"/>
    <n v="0"/>
    <n v="0"/>
    <n v="0"/>
    <n v="0"/>
    <n v="0"/>
    <n v="0"/>
    <n v="0"/>
    <n v="0"/>
    <n v="0"/>
    <n v="-3133.33"/>
    <n v="0"/>
    <n v="-3133.33"/>
    <n v="-3133.33"/>
  </r>
  <r>
    <x v="5"/>
    <x v="3"/>
    <x v="0"/>
    <s v="3300101"/>
    <n v="700014"/>
    <s v="Salaries-Management-Productive"/>
    <s v="Progressive Care Unit (PCU)"/>
    <x v="0"/>
    <m/>
    <n v="6689.22"/>
    <n v="11290.72"/>
    <n v="6229.68"/>
    <n v="12586.57"/>
    <n v="10349.64"/>
    <n v="6803.67"/>
    <n v="9387.07"/>
    <n v="9821.4699999999993"/>
    <n v="8843.08"/>
    <n v="11741.96"/>
    <n v="6741.09"/>
    <n v="8263.25"/>
    <n v="108747.41999999998"/>
    <n v="-1522.1599999999999"/>
  </r>
  <r>
    <x v="5"/>
    <x v="3"/>
    <x v="0"/>
    <s v="3300101"/>
    <n v="700026"/>
    <s v="Salaries-RN-Productive"/>
    <s v="Progressive Care Unit (PCU)"/>
    <x v="0"/>
    <m/>
    <n v="203890.05"/>
    <n v="206132.34"/>
    <n v="193292.7"/>
    <n v="192527.35999999999"/>
    <n v="180120.66"/>
    <n v="194503.15"/>
    <n v="196289.03"/>
    <n v="178317.85"/>
    <n v="188037.47"/>
    <n v="189569.02"/>
    <n v="197560.49"/>
    <n v="193390.57"/>
    <n v="2313630.69"/>
    <n v="4169.9199999999837"/>
  </r>
  <r>
    <x v="5"/>
    <x v="3"/>
    <x v="0"/>
    <s v="3300101"/>
    <n v="700026"/>
    <s v="Salaries-RN-OT"/>
    <s v="Progressive Care Unit (PCU)"/>
    <x v="0"/>
    <n v="1000"/>
    <n v="8329.61"/>
    <n v="8357.9699999999993"/>
    <n v="8686.6299999999992"/>
    <n v="12255.5"/>
    <n v="10654.56"/>
    <n v="9060.98"/>
    <n v="10066.379999999999"/>
    <n v="6828.93"/>
    <n v="7728.68"/>
    <n v="6398.11"/>
    <n v="6612.88"/>
    <n v="8230.7900000000009"/>
    <n v="103211.01999999999"/>
    <n v="-1617.9100000000008"/>
  </r>
  <r>
    <x v="5"/>
    <x v="3"/>
    <x v="0"/>
    <s v="3300101"/>
    <n v="700026"/>
    <s v="Salaries-RN-Other"/>
    <s v="Progressive Care Unit (PCU)"/>
    <x v="0"/>
    <n v="2000"/>
    <n v="19747.68"/>
    <n v="19336.939999999999"/>
    <n v="18387.59"/>
    <n v="18442.349999999999"/>
    <n v="17625.009999999998"/>
    <n v="18166.939999999999"/>
    <n v="18064.259999999998"/>
    <n v="15195.69"/>
    <n v="17000.28"/>
    <n v="18562.97"/>
    <n v="20821.939999999999"/>
    <n v="17871.689999999999"/>
    <n v="219223.34"/>
    <n v="2950.25"/>
  </r>
  <r>
    <x v="5"/>
    <x v="3"/>
    <x v="0"/>
    <s v="3300101"/>
    <n v="700032"/>
    <s v="Salaries-Other Pat Care Providers-Productive"/>
    <s v="Progressive Care Unit (PCU)"/>
    <x v="0"/>
    <m/>
    <n v="30562.17"/>
    <n v="25407.05"/>
    <n v="21853.38"/>
    <n v="25355.47"/>
    <n v="22406.28"/>
    <n v="28094.47"/>
    <n v="26610.68"/>
    <n v="22013.91"/>
    <n v="24688.14"/>
    <n v="25743.78"/>
    <n v="22461.07"/>
    <n v="20237.14"/>
    <n v="295433.53999999998"/>
    <n v="2223.9300000000003"/>
  </r>
  <r>
    <x v="5"/>
    <x v="3"/>
    <x v="0"/>
    <s v="3300101"/>
    <n v="700032"/>
    <s v="Salaries-Other Pat Care Providers-OT"/>
    <s v="Progressive Care Unit (PCU)"/>
    <x v="0"/>
    <n v="1000"/>
    <n v="2222.23"/>
    <n v="1235.8599999999999"/>
    <n v="927.96"/>
    <n v="930.7"/>
    <n v="661.61"/>
    <n v="1120.68"/>
    <n v="1999.05"/>
    <n v="2522.9"/>
    <n v="2217.4499999999998"/>
    <n v="2110.9699999999998"/>
    <n v="3180.18"/>
    <n v="2418.5500000000002"/>
    <n v="21548.139999999996"/>
    <n v="761.62999999999965"/>
  </r>
  <r>
    <x v="5"/>
    <x v="3"/>
    <x v="0"/>
    <s v="3300101"/>
    <n v="700032"/>
    <s v="Salaries-Other Pat Care Providers-Other"/>
    <s v="Progressive Care Unit (PCU)"/>
    <x v="0"/>
    <n v="2000"/>
    <n v="2001.17"/>
    <n v="1307.83"/>
    <n v="1205.73"/>
    <n v="1625.07"/>
    <n v="1341.75"/>
    <n v="1824.27"/>
    <n v="1708.17"/>
    <n v="1342.5"/>
    <n v="1339.63"/>
    <n v="1728.45"/>
    <n v="1408.97"/>
    <n v="1247.08"/>
    <n v="18080.620000000003"/>
    <n v="161.8900000000001"/>
  </r>
  <r>
    <x v="5"/>
    <x v="3"/>
    <x v="0"/>
    <s v="3300101"/>
    <n v="700054"/>
    <s v="Salaries-Management-Non-productive"/>
    <s v="Progressive Care Unit (PCU)"/>
    <x v="0"/>
    <m/>
    <n v="4282.58"/>
    <n v="-318.42"/>
    <n v="4388.82"/>
    <n v="-1415.7"/>
    <n v="506.64"/>
    <n v="4414.8599999999997"/>
    <n v="1848.96"/>
    <n v="326.2"/>
    <n v="2391.88"/>
    <n v="-869.74"/>
    <n v="4493.8900000000003"/>
    <n v="2609.4699999999998"/>
    <n v="22659.440000000002"/>
    <n v="1884.4200000000005"/>
  </r>
  <r>
    <x v="5"/>
    <x v="3"/>
    <x v="0"/>
    <s v="3300101"/>
    <n v="700054"/>
    <s v="Salaries-Management-NonProd-Other"/>
    <s v="Progressive Care Unit (PCU)"/>
    <x v="0"/>
    <n v="2000"/>
    <n v="0"/>
    <n v="0"/>
    <n v="0"/>
    <n v="0"/>
    <n v="0"/>
    <n v="1853.65"/>
    <n v="-1853.65"/>
    <n v="0"/>
    <n v="0"/>
    <n v="0"/>
    <n v="0"/>
    <n v="0"/>
    <n v="0"/>
    <n v="0"/>
  </r>
  <r>
    <x v="5"/>
    <x v="3"/>
    <x v="0"/>
    <s v="3300101"/>
    <n v="700066"/>
    <s v="Salaries-RN-Non-productive"/>
    <s v="Progressive Care Unit (PCU)"/>
    <x v="0"/>
    <m/>
    <n v="19816.66"/>
    <n v="17839.48"/>
    <n v="20699.580000000002"/>
    <n v="15575.78"/>
    <n v="9323.08"/>
    <n v="32443.599999999999"/>
    <n v="16979.310000000001"/>
    <n v="13922.18"/>
    <n v="21267.9"/>
    <n v="12544.61"/>
    <n v="15862.94"/>
    <n v="17584.8"/>
    <n v="213859.91999999998"/>
    <n v="-1721.8599999999988"/>
  </r>
  <r>
    <x v="5"/>
    <x v="3"/>
    <x v="0"/>
    <s v="3300101"/>
    <n v="700066"/>
    <s v="Salaries-RN-NonProd-Other"/>
    <s v="Progressive Care Unit (PCU)"/>
    <x v="0"/>
    <n v="2000"/>
    <n v="1057.93"/>
    <n v="1277.9000000000001"/>
    <n v="1587.11"/>
    <n v="1540.05"/>
    <n v="1410.6"/>
    <n v="3279.71"/>
    <n v="1871.96"/>
    <n v="1214.23"/>
    <n v="1491.85"/>
    <n v="1141.3599999999999"/>
    <n v="1537.93"/>
    <n v="904.29"/>
    <n v="18314.919999999998"/>
    <n v="633.6400000000001"/>
  </r>
  <r>
    <x v="5"/>
    <x v="3"/>
    <x v="0"/>
    <s v="3300101"/>
    <n v="700072"/>
    <s v="Salaries-Other Pat Care Providers-Non-productive"/>
    <s v="Progressive Care Unit (PCU)"/>
    <x v="0"/>
    <m/>
    <n v="690.19"/>
    <n v="3665.83"/>
    <n v="325.87"/>
    <n v="2136.61"/>
    <n v="2853.53"/>
    <n v="1519.64"/>
    <n v="1556.17"/>
    <n v="1387.66"/>
    <n v="1458.47"/>
    <n v="562.94000000000005"/>
    <n v="762.13"/>
    <n v="1642.58"/>
    <n v="18561.620000000003"/>
    <n v="-880.44999999999993"/>
  </r>
  <r>
    <x v="5"/>
    <x v="3"/>
    <x v="0"/>
    <s v="3300101"/>
    <n v="700072"/>
    <s v="Salaries-Other Pat Care Providers-NonProd-Other"/>
    <s v="Progressive Care Unit (PCU)"/>
    <x v="0"/>
    <n v="2000"/>
    <n v="95.15"/>
    <n v="125.28"/>
    <n v="-10.51"/>
    <n v="166.39"/>
    <n v="110.67"/>
    <n v="88.6"/>
    <n v="160.79"/>
    <n v="11.25"/>
    <n v="180.01"/>
    <n v="21.27"/>
    <n v="41.62"/>
    <n v="85.06"/>
    <n v="1075.58"/>
    <n v="-43.440000000000005"/>
  </r>
  <r>
    <x v="5"/>
    <x v="3"/>
    <x v="0"/>
    <s v="3300101"/>
    <n v="700084"/>
    <s v="Accrued PTO"/>
    <s v="Progressive Care Unit (PCU)"/>
    <x v="0"/>
    <m/>
    <n v="-3228.52"/>
    <n v="2053.36"/>
    <n v="912.86"/>
    <n v="2605.27"/>
    <n v="9238.26"/>
    <n v="-6088.13"/>
    <n v="-1164.32"/>
    <n v="2141.25"/>
    <n v="3078.24"/>
    <n v="6779.27"/>
    <n v="666.65"/>
    <n v="3568.08"/>
    <n v="20562.270000000004"/>
    <n v="-2901.43"/>
  </r>
  <r>
    <x v="10"/>
    <x v="3"/>
    <x v="0"/>
    <s v="3300101"/>
    <n v="710060"/>
    <s v="Contract Labor-Other"/>
    <s v="Progressive Care Unit (PCU)"/>
    <x v="0"/>
    <m/>
    <n v="2840"/>
    <n v="1992"/>
    <n v="0"/>
    <n v="852"/>
    <n v="0"/>
    <n v="0"/>
    <n v="0"/>
    <n v="852"/>
    <n v="10366"/>
    <n v="20341.5"/>
    <n v="30778.5"/>
    <n v="17892.75"/>
    <n v="85914.75"/>
    <n v="12885.75"/>
  </r>
  <r>
    <x v="10"/>
    <x v="3"/>
    <x v="0"/>
    <s v="3300101"/>
    <n v="710060"/>
    <s v="Contract Labor-Overtime"/>
    <s v="Progressive Care Unit (PCU)"/>
    <x v="0"/>
    <n v="5100"/>
    <n v="0"/>
    <n v="0"/>
    <n v="0"/>
    <n v="0"/>
    <n v="0"/>
    <n v="0"/>
    <n v="0"/>
    <n v="0"/>
    <n v="0"/>
    <n v="790.76"/>
    <n v="0"/>
    <n v="814.72"/>
    <n v="1605.48"/>
    <n v="-814.72"/>
  </r>
  <r>
    <x v="6"/>
    <x v="3"/>
    <x v="0"/>
    <s v="3300101"/>
    <n v="713010"/>
    <s v="Benefits-FICA/Medicare"/>
    <s v="Progressive Care Unit (PCU)"/>
    <x v="0"/>
    <m/>
    <n v="22266.23"/>
    <n v="22128.92"/>
    <n v="19972.759999999998"/>
    <n v="20032.98"/>
    <n v="18179.060000000001"/>
    <n v="21796.799999999999"/>
    <n v="21564.34"/>
    <n v="18900.77"/>
    <n v="20694.7"/>
    <n v="20082.79"/>
    <n v="21055.64"/>
    <n v="20532.080000000002"/>
    <n v="247207.07"/>
    <n v="523.55999999999767"/>
  </r>
  <r>
    <x v="6"/>
    <x v="3"/>
    <x v="0"/>
    <s v="3300101"/>
    <n v="713090"/>
    <s v="Benefits-Allocated Amounts"/>
    <s v="Progressive Care Unit (PCU)"/>
    <x v="0"/>
    <m/>
    <n v="64803.54"/>
    <n v="58925.41"/>
    <n v="60557.99"/>
    <n v="58883.95"/>
    <n v="56769.54"/>
    <n v="62518.19"/>
    <n v="64104.33"/>
    <n v="61160.6"/>
    <n v="49739.72"/>
    <n v="61421.93"/>
    <n v="65940.53"/>
    <n v="61728.11"/>
    <n v="726553.84000000008"/>
    <n v="4212.4199999999983"/>
  </r>
  <r>
    <x v="6"/>
    <x v="3"/>
    <x v="0"/>
    <s v="3300101"/>
    <n v="713096"/>
    <s v="Employee Recognition"/>
    <s v="Progressive Care Unit (PCU)"/>
    <x v="0"/>
    <n v="1017"/>
    <n v="0"/>
    <n v="0"/>
    <n v="0"/>
    <n v="239.55"/>
    <n v="0"/>
    <n v="0"/>
    <n v="0"/>
    <n v="0"/>
    <n v="0"/>
    <n v="0"/>
    <n v="0"/>
    <n v="0"/>
    <n v="239.55"/>
    <n v="0"/>
  </r>
  <r>
    <x v="7"/>
    <x v="3"/>
    <x v="0"/>
    <s v="3300101"/>
    <n v="718050"/>
    <s v="Contract Svcs-Other"/>
    <s v="Progressive Care Unit (PCU)"/>
    <x v="0"/>
    <m/>
    <n v="0"/>
    <n v="0"/>
    <n v="77.349999999999994"/>
    <n v="56"/>
    <n v="0"/>
    <n v="581.44000000000005"/>
    <n v="0"/>
    <n v="26.25"/>
    <n v="550.5"/>
    <n v="0"/>
    <n v="0"/>
    <n v="0"/>
    <n v="1291.54"/>
    <n v="0"/>
  </r>
  <r>
    <x v="7"/>
    <x v="3"/>
    <x v="0"/>
    <s v="3300101"/>
    <n v="718050"/>
    <s v="Translation Services"/>
    <s v="Progressive Care Unit (PCU)"/>
    <x v="0"/>
    <n v="1025"/>
    <n v="32"/>
    <n v="133.25"/>
    <n v="54.27"/>
    <n v="0"/>
    <n v="32"/>
    <n v="0"/>
    <n v="87.9"/>
    <n v="0"/>
    <n v="7.9"/>
    <n v="0"/>
    <n v="0"/>
    <n v="101.9"/>
    <n v="449.22"/>
    <n v="-101.9"/>
  </r>
  <r>
    <x v="7"/>
    <x v="3"/>
    <x v="0"/>
    <s v="3300101"/>
    <n v="718050"/>
    <s v="Contract Management--Linen"/>
    <s v="Progressive Care Unit (PCU)"/>
    <x v="0"/>
    <n v="1026"/>
    <n v="3639.29"/>
    <n v="3526.22"/>
    <n v="3491.19"/>
    <n v="3711.51"/>
    <n v="4287.78"/>
    <n v="4171.17"/>
    <n v="3774.74"/>
    <n v="3970.63"/>
    <n v="3397.79"/>
    <n v="4300.13"/>
    <n v="3809.76"/>
    <n v="4826.26"/>
    <n v="46906.47"/>
    <n v="-1016.5"/>
  </r>
  <r>
    <x v="11"/>
    <x v="3"/>
    <x v="0"/>
    <s v="3300101"/>
    <n v="721010"/>
    <s v="Supplies-Medical - Billable"/>
    <s v="Progressive Care Unit (PCU)"/>
    <x v="0"/>
    <m/>
    <n v="10345.16"/>
    <n v="9285.35"/>
    <n v="8493.11"/>
    <n v="9149.5300000000007"/>
    <n v="9494.35"/>
    <n v="9420.0400000000009"/>
    <n v="8669.23"/>
    <n v="8757.41"/>
    <n v="9386.4500000000007"/>
    <n v="9385.76"/>
    <n v="8394.1"/>
    <n v="7714.55"/>
    <n v="108495.04000000001"/>
    <n v="679.55000000000018"/>
  </r>
  <r>
    <x v="11"/>
    <x v="3"/>
    <x v="0"/>
    <s v="3300101"/>
    <n v="721010"/>
    <s v="Patient Monitoring"/>
    <s v="Progressive Care Unit (PCU)"/>
    <x v="0"/>
    <n v="1000"/>
    <n v="6075.16"/>
    <n v="1385.18"/>
    <n v="2457.6"/>
    <n v="1803.91"/>
    <n v="2708.28"/>
    <n v="1188.8900000000001"/>
    <n v="5100.3100000000004"/>
    <n v="2458.71"/>
    <n v="4005.23"/>
    <n v="1442.54"/>
    <n v="2366.13"/>
    <n v="2845.98"/>
    <n v="33837.920000000006"/>
    <n v="-479.84999999999991"/>
  </r>
  <r>
    <x v="11"/>
    <x v="3"/>
    <x v="0"/>
    <s v="3300101"/>
    <n v="721020"/>
    <s v="Supplies-Surgical - Billable"/>
    <s v="Progressive Care Unit (PCU)"/>
    <x v="0"/>
    <m/>
    <n v="1580.43"/>
    <n v="1420.59"/>
    <n v="1094.74"/>
    <n v="1848.74"/>
    <n v="1948.67"/>
    <n v="1522.65"/>
    <n v="2676.45"/>
    <n v="814.67"/>
    <n v="803.3"/>
    <n v="812.54"/>
    <n v="1167.01"/>
    <n v="1233.81"/>
    <n v="16923.599999999999"/>
    <n v="-66.799999999999955"/>
  </r>
  <r>
    <x v="11"/>
    <x v="3"/>
    <x v="0"/>
    <s v="3300101"/>
    <n v="721020"/>
    <s v="Custom Packs"/>
    <s v="Progressive Care Unit (PCU)"/>
    <x v="0"/>
    <n v="1000"/>
    <n v="0"/>
    <n v="52.96"/>
    <n v="0"/>
    <n v="132.4"/>
    <n v="145.63999999999999"/>
    <n v="159.1"/>
    <n v="370.72"/>
    <n v="211.84"/>
    <n v="172.12"/>
    <n v="238.61"/>
    <n v="225.08"/>
    <n v="119.16"/>
    <n v="1827.6300000000003"/>
    <n v="105.92000000000002"/>
  </r>
  <r>
    <x v="11"/>
    <x v="3"/>
    <x v="0"/>
    <s v="3300101"/>
    <n v="721020"/>
    <s v="Suture/Wound Closure"/>
    <s v="Progressive Care Unit (PCU)"/>
    <x v="0"/>
    <n v="1001"/>
    <n v="61.18"/>
    <n v="0"/>
    <n v="-4.8899999999999997"/>
    <n v="0"/>
    <n v="0"/>
    <n v="3.03"/>
    <n v="7.8"/>
    <n v="10"/>
    <n v="3.6"/>
    <n v="8.14"/>
    <n v="1.98"/>
    <n v="0"/>
    <n v="90.84"/>
    <n v="1.98"/>
  </r>
  <r>
    <x v="11"/>
    <x v="3"/>
    <x v="0"/>
    <s v="3300101"/>
    <n v="721020"/>
    <s v="Urological Supplies"/>
    <s v="Progressive Care Unit (PCU)"/>
    <x v="0"/>
    <n v="1006"/>
    <n v="0"/>
    <n v="0"/>
    <n v="0"/>
    <n v="0"/>
    <n v="81.680000000000007"/>
    <n v="0"/>
    <n v="0"/>
    <n v="0"/>
    <n v="0"/>
    <n v="0"/>
    <n v="0"/>
    <n v="10.3"/>
    <n v="91.98"/>
    <n v="-10.3"/>
  </r>
  <r>
    <x v="11"/>
    <x v="3"/>
    <x v="0"/>
    <s v="3300101"/>
    <n v="721020"/>
    <s v="Surgical Cardiovascular"/>
    <s v="Progressive Care Unit (PCU)"/>
    <x v="0"/>
    <n v="1007"/>
    <n v="0"/>
    <n v="0"/>
    <n v="0"/>
    <n v="967.17"/>
    <n v="0"/>
    <n v="0"/>
    <n v="0"/>
    <n v="0"/>
    <n v="0"/>
    <n v="0"/>
    <n v="0"/>
    <n v="0"/>
    <n v="967.17"/>
    <n v="0"/>
  </r>
  <r>
    <x v="11"/>
    <x v="3"/>
    <x v="0"/>
    <s v="3300101"/>
    <n v="721020"/>
    <s v="Tubes Drains &amp; Related Supplies"/>
    <s v="Progressive Care Unit (PCU)"/>
    <x v="0"/>
    <n v="1008"/>
    <n v="157.72999999999999"/>
    <n v="26.86"/>
    <n v="299.83"/>
    <n v="44.31"/>
    <n v="125.18"/>
    <n v="80.13"/>
    <n v="122.51"/>
    <n v="201.22"/>
    <n v="30.06"/>
    <n v="55.34"/>
    <n v="13.43"/>
    <n v="13.43"/>
    <n v="1170.03"/>
    <n v="0"/>
  </r>
  <r>
    <x v="11"/>
    <x v="3"/>
    <x v="0"/>
    <s v="3300101"/>
    <n v="721050"/>
    <s v="Supplies-Cardiac Rhythm - Billable"/>
    <s v="Progressive Care Unit (PCU)"/>
    <x v="0"/>
    <m/>
    <n v="314.89"/>
    <n v="446"/>
    <n v="363.1"/>
    <n v="172"/>
    <n v="0"/>
    <n v="360"/>
    <n v="90"/>
    <n v="325.63"/>
    <n v="45"/>
    <n v="96"/>
    <n v="0"/>
    <n v="450"/>
    <n v="2662.62"/>
    <n v="-450"/>
  </r>
  <r>
    <x v="11"/>
    <x v="3"/>
    <x v="0"/>
    <s v="3300101"/>
    <n v="721050"/>
    <s v="Pacemakers - Internal"/>
    <s v="Progressive Care Unit (PCU)"/>
    <x v="0"/>
    <n v="1000"/>
    <n v="288"/>
    <n v="0"/>
    <n v="0"/>
    <n v="0"/>
    <n v="0"/>
    <n v="205.8"/>
    <n v="0"/>
    <n v="273"/>
    <n v="28"/>
    <n v="0"/>
    <n v="0"/>
    <n v="0"/>
    <n v="794.8"/>
    <n v="0"/>
  </r>
  <r>
    <x v="11"/>
    <x v="3"/>
    <x v="0"/>
    <s v="3300101"/>
    <n v="721240"/>
    <s v="Supplies-IV Solutions/Supplies - Billable"/>
    <s v="Progressive Care Unit (PCU)"/>
    <x v="0"/>
    <m/>
    <n v="1301.94"/>
    <n v="1016.41"/>
    <n v="989.47"/>
    <n v="1061.49"/>
    <n v="844.25"/>
    <n v="997.08"/>
    <n v="1193.26"/>
    <n v="977.37"/>
    <n v="1047.5"/>
    <n v="729.86"/>
    <n v="1153.57"/>
    <n v="1084.08"/>
    <n v="12396.28"/>
    <n v="69.490000000000009"/>
  </r>
  <r>
    <x v="11"/>
    <x v="3"/>
    <x v="0"/>
    <s v="3300101"/>
    <n v="721250"/>
    <s v="Supplies-Pharmacy Drugs - Billable"/>
    <s v="Progressive Care Unit (PCU)"/>
    <x v="0"/>
    <m/>
    <n v="13.5"/>
    <n v="21.64"/>
    <n v="0"/>
    <n v="400.82"/>
    <n v="0"/>
    <n v="0"/>
    <n v="0"/>
    <n v="0"/>
    <n v="0"/>
    <n v="0"/>
    <n v="0"/>
    <n v="5.41"/>
    <n v="441.37"/>
    <n v="-5.41"/>
  </r>
  <r>
    <x v="11"/>
    <x v="3"/>
    <x v="0"/>
    <s v="3300101"/>
    <n v="721410"/>
    <s v="Supplies-Medical - Nonbillable"/>
    <s v="Progressive Care Unit (PCU)"/>
    <x v="0"/>
    <m/>
    <n v="16809.560000000001"/>
    <n v="16244.01"/>
    <n v="15430.87"/>
    <n v="16969.060000000001"/>
    <n v="16764.79"/>
    <n v="18762.310000000001"/>
    <n v="23026.7"/>
    <n v="18060.38"/>
    <n v="21302.6"/>
    <n v="21473.81"/>
    <n v="21997.41"/>
    <n v="21521.26"/>
    <n v="228362.76"/>
    <n v="476.15000000000146"/>
  </r>
  <r>
    <x v="11"/>
    <x v="3"/>
    <x v="0"/>
    <s v="3300101"/>
    <n v="721410"/>
    <s v="Patient Monitoring"/>
    <s v="Progressive Care Unit (PCU)"/>
    <x v="0"/>
    <n v="1000"/>
    <n v="44.55"/>
    <n v="0"/>
    <n v="15"/>
    <n v="22.5"/>
    <n v="36.049999999999997"/>
    <n v="15"/>
    <n v="0"/>
    <n v="11.25"/>
    <n v="0"/>
    <n v="16.68"/>
    <n v="0"/>
    <n v="8.1"/>
    <n v="169.13"/>
    <n v="-8.1"/>
  </r>
  <r>
    <x v="11"/>
    <x v="3"/>
    <x v="0"/>
    <s v="3300101"/>
    <n v="721420"/>
    <s v="Supplies-Surgical Nonbillable"/>
    <s v="Progressive Care Unit (PCU)"/>
    <x v="0"/>
    <m/>
    <n v="44.94"/>
    <n v="33.65"/>
    <n v="66.53"/>
    <n v="62.37"/>
    <n v="88.47"/>
    <n v="30.54"/>
    <n v="28.4"/>
    <n v="14.69"/>
    <n v="37.880000000000003"/>
    <n v="37.82"/>
    <n v="82.65"/>
    <n v="47.46"/>
    <n v="575.40000000000009"/>
    <n v="35.190000000000005"/>
  </r>
  <r>
    <x v="11"/>
    <x v="3"/>
    <x v="0"/>
    <s v="3300101"/>
    <n v="721420"/>
    <s v="Tubes Drains &amp; Related Supplies"/>
    <s v="Progressive Care Unit (PCU)"/>
    <x v="0"/>
    <n v="1008"/>
    <n v="44.27"/>
    <n v="71.319999999999993"/>
    <n v="39.43"/>
    <n v="36.229999999999997"/>
    <n v="76.459999999999994"/>
    <n v="72.62"/>
    <n v="65.77"/>
    <n v="110.09"/>
    <n v="28.51"/>
    <n v="46.64"/>
    <n v="30.73"/>
    <n v="24.51"/>
    <n v="646.57999999999993"/>
    <n v="6.2199999999999989"/>
  </r>
  <r>
    <x v="11"/>
    <x v="3"/>
    <x v="0"/>
    <s v="3300101"/>
    <n v="721420"/>
    <s v="Sterilization Process Products"/>
    <s v="Progressive Care Unit (PCU)"/>
    <x v="0"/>
    <n v="1009"/>
    <n v="33.93"/>
    <n v="10.7"/>
    <n v="0"/>
    <n v="58.85"/>
    <n v="1.83"/>
    <n v="-7.04"/>
    <n v="30.41"/>
    <n v="12.53"/>
    <n v="25.61"/>
    <n v="21.4"/>
    <n v="12.53"/>
    <n v="33.93"/>
    <n v="234.68"/>
    <n v="-21.4"/>
  </r>
  <r>
    <x v="11"/>
    <x v="3"/>
    <x v="0"/>
    <s v="3300101"/>
    <n v="721610"/>
    <s v="Supplies-Anesthesia - Nonbillable"/>
    <s v="Progressive Care Unit (PCU)"/>
    <x v="0"/>
    <m/>
    <n v="789.42"/>
    <n v="590.76"/>
    <n v="812.78"/>
    <n v="714.08"/>
    <n v="1239.05"/>
    <n v="849.23"/>
    <n v="666.81"/>
    <n v="661.53"/>
    <n v="713.53"/>
    <n v="563.21"/>
    <n v="612.02"/>
    <n v="743.16"/>
    <n v="8955.5799999999981"/>
    <n v="-131.13999999999999"/>
  </r>
  <r>
    <x v="11"/>
    <x v="3"/>
    <x v="0"/>
    <s v="3300101"/>
    <n v="721640"/>
    <s v="Supplies-IV Solutions/Supplies - Nonbillable"/>
    <s v="Progressive Care Unit (PCU)"/>
    <x v="0"/>
    <m/>
    <n v="5957.91"/>
    <n v="4583.01"/>
    <n v="3894.9"/>
    <n v="5088.3"/>
    <n v="4472.72"/>
    <n v="5529.08"/>
    <n v="5280.33"/>
    <n v="4442.46"/>
    <n v="5320.78"/>
    <n v="5885.99"/>
    <n v="5195.87"/>
    <n v="4200.41"/>
    <n v="59851.759999999995"/>
    <n v="995.46"/>
  </r>
  <r>
    <x v="11"/>
    <x v="3"/>
    <x v="0"/>
    <s v="3300101"/>
    <n v="721650"/>
    <s v="Supplies-Pharmacy Drugs - Nonbillable"/>
    <s v="Progressive Care Unit (PCU)"/>
    <x v="0"/>
    <m/>
    <n v="194.63"/>
    <n v="190.98"/>
    <n v="204.47"/>
    <n v="196.37"/>
    <n v="206.12"/>
    <n v="147.58000000000001"/>
    <n v="186.76"/>
    <n v="215.92"/>
    <n v="248.22"/>
    <n v="125.4"/>
    <n v="190.47"/>
    <n v="151.66999999999999"/>
    <n v="2258.59"/>
    <n v="38.800000000000011"/>
  </r>
  <r>
    <x v="11"/>
    <x v="3"/>
    <x v="0"/>
    <s v="3300101"/>
    <n v="721710"/>
    <s v="Supplies-Laboratory - Nonbillable"/>
    <s v="Progressive Care Unit (PCU)"/>
    <x v="0"/>
    <m/>
    <n v="691.12"/>
    <n v="686.76"/>
    <n v="439.13"/>
    <n v="749.19"/>
    <n v="549.91999999999996"/>
    <n v="701.77"/>
    <n v="601.42999999999995"/>
    <n v="575.19000000000005"/>
    <n v="503.52"/>
    <n v="705.12"/>
    <n v="695.12"/>
    <n v="462.88"/>
    <n v="7361.1500000000005"/>
    <n v="232.24"/>
  </r>
  <r>
    <x v="11"/>
    <x v="3"/>
    <x v="0"/>
    <s v="3300101"/>
    <n v="721710"/>
    <s v="Reagents"/>
    <s v="Progressive Care Unit (PCU)"/>
    <x v="0"/>
    <n v="1000"/>
    <n v="-4"/>
    <n v="70.88"/>
    <n v="39.99"/>
    <n v="6"/>
    <n v="4"/>
    <n v="14"/>
    <n v="10"/>
    <n v="4"/>
    <n v="64.599999999999994"/>
    <n v="48.02"/>
    <n v="2"/>
    <n v="54"/>
    <n v="313.49"/>
    <n v="-52"/>
  </r>
  <r>
    <x v="11"/>
    <x v="3"/>
    <x v="0"/>
    <s v="3300101"/>
    <n v="721750"/>
    <s v="Supplies-Film/Radiographic - Nonbillable"/>
    <s v="Progressive Care Unit (PCU)"/>
    <x v="0"/>
    <m/>
    <n v="10.83"/>
    <n v="2.8"/>
    <n v="7.28"/>
    <n v="1.87"/>
    <n v="11.22"/>
    <n v="0.94"/>
    <n v="7.48"/>
    <n v="5.61"/>
    <n v="3.74"/>
    <n v="1.87"/>
    <n v="3.74"/>
    <n v="1.87"/>
    <n v="59.25"/>
    <n v="1.87"/>
  </r>
  <r>
    <x v="11"/>
    <x v="3"/>
    <x v="0"/>
    <s v="3300101"/>
    <n v="721810"/>
    <s v="Supplies-Dietary/Cafeteria"/>
    <s v="Progressive Care Unit (PCU)"/>
    <x v="0"/>
    <m/>
    <n v="2544.9"/>
    <n v="2622.28"/>
    <n v="2965.03"/>
    <n v="2592.54"/>
    <n v="2922.04"/>
    <n v="2450.4299999999998"/>
    <n v="2561.04"/>
    <n v="2556.12"/>
    <n v="2753.55"/>
    <n v="2561.42"/>
    <n v="3164.19"/>
    <n v="2404.91"/>
    <n v="32098.449999999997"/>
    <n v="759.2800000000002"/>
  </r>
  <r>
    <x v="11"/>
    <x v="3"/>
    <x v="0"/>
    <s v="3300101"/>
    <n v="721830"/>
    <s v="Supplies-Office"/>
    <s v="Progressive Care Unit (PCU)"/>
    <x v="0"/>
    <m/>
    <n v="652.67999999999995"/>
    <n v="702.92"/>
    <n v="172.56"/>
    <n v="323.5"/>
    <n v="509.14"/>
    <n v="514.1"/>
    <n v="569.45000000000005"/>
    <n v="1148.0899999999999"/>
    <n v="531.05999999999995"/>
    <n v="1494.45"/>
    <n v="246.03"/>
    <n v="197.39"/>
    <n v="7061.37"/>
    <n v="48.640000000000015"/>
  </r>
  <r>
    <x v="11"/>
    <x v="3"/>
    <x v="0"/>
    <s v="3300101"/>
    <n v="721835"/>
    <s v="Supplies-Forms"/>
    <s v="Progressive Care Unit (PCU)"/>
    <x v="0"/>
    <m/>
    <n v="0"/>
    <n v="0"/>
    <n v="0"/>
    <n v="0"/>
    <n v="96.38"/>
    <n v="0"/>
    <n v="0"/>
    <n v="0"/>
    <n v="47.62"/>
    <n v="0"/>
    <n v="105.62"/>
    <n v="0"/>
    <n v="249.62"/>
    <n v="105.62"/>
  </r>
  <r>
    <x v="11"/>
    <x v="3"/>
    <x v="0"/>
    <s v="3300101"/>
    <n v="721870"/>
    <s v="Supplies-Environmental Services"/>
    <s v="Progressive Care Unit (PCU)"/>
    <x v="0"/>
    <m/>
    <n v="1361.57"/>
    <n v="832.92"/>
    <n v="671.26"/>
    <n v="1151.97"/>
    <n v="781.66"/>
    <n v="656.43"/>
    <n v="659.78"/>
    <n v="555.76"/>
    <n v="699.38"/>
    <n v="751.78"/>
    <n v="624.66"/>
    <n v="517.30999999999995"/>
    <n v="9264.48"/>
    <n v="107.35000000000002"/>
  </r>
  <r>
    <x v="11"/>
    <x v="3"/>
    <x v="0"/>
    <s v="3300101"/>
    <n v="721880"/>
    <s v="Supplies-Linen"/>
    <s v="Progressive Care Unit (PCU)"/>
    <x v="0"/>
    <m/>
    <n v="0"/>
    <n v="48.15"/>
    <n v="38.520000000000003"/>
    <n v="0"/>
    <n v="32.1"/>
    <n v="57.78"/>
    <n v="6.42"/>
    <n v="19.260000000000002"/>
    <n v="22.47"/>
    <n v="60.99"/>
    <n v="25.68"/>
    <n v="6.42"/>
    <n v="317.79000000000002"/>
    <n v="19.259999999999998"/>
  </r>
  <r>
    <x v="11"/>
    <x v="3"/>
    <x v="0"/>
    <s v="3300101"/>
    <n v="721910"/>
    <s v="Supplies-Small Equipment"/>
    <s v="Progressive Care Unit (PCU)"/>
    <x v="0"/>
    <m/>
    <n v="10844.88"/>
    <n v="11585.17"/>
    <n v="13185.11"/>
    <n v="9659.68"/>
    <n v="9787.84"/>
    <n v="17205.95"/>
    <n v="11557.11"/>
    <n v="19023.5"/>
    <n v="10228.879999999999"/>
    <n v="15429.01"/>
    <n v="9960.76"/>
    <n v="10050.66"/>
    <n v="148518.55000000002"/>
    <n v="-89.899999999999636"/>
  </r>
  <r>
    <x v="11"/>
    <x v="3"/>
    <x v="0"/>
    <s v="3300101"/>
    <n v="721910"/>
    <s v="Instruments"/>
    <s v="Progressive Care Unit (PCU)"/>
    <x v="0"/>
    <n v="1000"/>
    <n v="1038.3399999999999"/>
    <n v="18.82"/>
    <n v="4.41"/>
    <n v="18.079999999999998"/>
    <n v="119.75"/>
    <n v="48.45"/>
    <n v="15.58"/>
    <n v="9.8000000000000007"/>
    <n v="855.62"/>
    <n v="33.630000000000003"/>
    <n v="933.25"/>
    <n v="29.66"/>
    <n v="3125.39"/>
    <n v="903.59"/>
  </r>
  <r>
    <x v="11"/>
    <x v="3"/>
    <x v="0"/>
    <s v="3300101"/>
    <n v="721980"/>
    <s v="Supplies-Other"/>
    <s v="Progressive Care Unit (PCU)"/>
    <x v="0"/>
    <m/>
    <n v="0"/>
    <n v="0"/>
    <n v="0"/>
    <n v="0"/>
    <n v="0"/>
    <n v="0"/>
    <n v="0"/>
    <n v="240.9"/>
    <n v="0"/>
    <n v="0"/>
    <n v="0"/>
    <n v="0"/>
    <n v="240.9"/>
    <n v="0"/>
  </r>
  <r>
    <x v="11"/>
    <x v="3"/>
    <x v="0"/>
    <s v="3300101"/>
    <n v="722000"/>
    <s v="Supplies-Freight Expense"/>
    <s v="Progressive Care Unit (PCU)"/>
    <x v="0"/>
    <m/>
    <n v="0"/>
    <n v="147.94999999999999"/>
    <n v="200.7"/>
    <n v="18.96"/>
    <n v="8.58"/>
    <n v="6.53"/>
    <n v="0"/>
    <n v="122.98"/>
    <n v="142.88"/>
    <n v="0"/>
    <n v="39.74"/>
    <n v="8.26"/>
    <n v="696.57999999999993"/>
    <n v="31.480000000000004"/>
  </r>
  <r>
    <x v="12"/>
    <x v="3"/>
    <x v="0"/>
    <s v="3300101"/>
    <n v="730020"/>
    <s v="Rental and Leases-Equipment (DO NOT USE)"/>
    <s v="Progressive Care Unit (PCU)"/>
    <x v="0"/>
    <m/>
    <n v="0"/>
    <n v="0"/>
    <n v="0"/>
    <n v="-1741.69"/>
    <n v="-3204.93"/>
    <n v="0"/>
    <n v="220.2"/>
    <n v="0"/>
    <n v="0"/>
    <n v="0"/>
    <n v="0"/>
    <n v="0"/>
    <n v="-4726.42"/>
    <n v="0"/>
  </r>
  <r>
    <x v="12"/>
    <x v="3"/>
    <x v="0"/>
    <s v="3300101"/>
    <n v="730020"/>
    <s v="Rental and Leases-Copier Usage Fees (DO NOT USE)"/>
    <s v="Progressive Care Unit (PCU)"/>
    <x v="0"/>
    <n v="5100"/>
    <n v="251.94"/>
    <n v="260.2"/>
    <n v="256.07"/>
    <n v="256.07"/>
    <n v="256.07"/>
    <n v="256.07"/>
    <n v="4991.0200000000004"/>
    <n v="1075.28"/>
    <n v="413.94"/>
    <n v="-19.3"/>
    <n v="416.28"/>
    <n v="532.91"/>
    <n v="8946.5499999999993"/>
    <n v="-116.63"/>
  </r>
  <r>
    <x v="15"/>
    <x v="3"/>
    <x v="0"/>
    <s v="3300101"/>
    <n v="731060"/>
    <s v="Cell Phones"/>
    <s v="Progressive Care Unit (PCU)"/>
    <x v="0"/>
    <n v="1001"/>
    <n v="0"/>
    <n v="33.03"/>
    <n v="66.040000000000006"/>
    <n v="0"/>
    <n v="32.5"/>
    <n v="33.11"/>
    <n v="66.16"/>
    <n v="0"/>
    <n v="33.58"/>
    <n v="66.290000000000006"/>
    <n v="32.5"/>
    <n v="33.159999999999997"/>
    <n v="396.37"/>
    <n v="-0.65999999999999659"/>
  </r>
  <r>
    <x v="16"/>
    <x v="3"/>
    <x v="0"/>
    <s v="3300101"/>
    <n v="732020"/>
    <s v="Repairs--Clin Equip-Parts-Internal to CHI Programs"/>
    <s v="Progressive Care Unit (PCU)"/>
    <x v="0"/>
    <m/>
    <n v="0"/>
    <n v="0"/>
    <n v="0"/>
    <n v="0"/>
    <n v="0"/>
    <n v="0"/>
    <n v="0"/>
    <n v="0"/>
    <n v="0"/>
    <n v="0"/>
    <n v="265.23"/>
    <n v="0"/>
    <n v="265.23"/>
    <n v="265.23"/>
  </r>
  <r>
    <x v="13"/>
    <x v="3"/>
    <x v="0"/>
    <s v="3300101"/>
    <n v="735040"/>
    <s v="Depreciation-Building Improvements"/>
    <s v="Progressive Care Unit (PCU)"/>
    <x v="0"/>
    <m/>
    <n v="8133.25"/>
    <n v="8133.24"/>
    <n v="8133.26"/>
    <n v="8133.23"/>
    <n v="8133.26"/>
    <n v="8133.21"/>
    <n v="8133.26"/>
    <n v="8133.19"/>
    <n v="8133.27"/>
    <n v="8133.19"/>
    <n v="8133.27"/>
    <n v="8133.19"/>
    <n v="97598.82"/>
    <n v="8.0000000000836735E-2"/>
  </r>
  <r>
    <x v="13"/>
    <x v="3"/>
    <x v="0"/>
    <s v="3300101"/>
    <n v="735060"/>
    <s v="Depreciation-Fixed Equipment"/>
    <s v="Progressive Care Unit (PCU)"/>
    <x v="0"/>
    <m/>
    <n v="1108.82"/>
    <n v="1108.81"/>
    <n v="1108.82"/>
    <n v="1108.81"/>
    <n v="1108.82"/>
    <n v="1108.8"/>
    <n v="1108.8499999999999"/>
    <n v="1108.8"/>
    <n v="1108.8599999999999"/>
    <n v="1108.79"/>
    <n v="1108.8599999999999"/>
    <n v="1108.79"/>
    <n v="13305.830000000002"/>
    <n v="6.9999999999936335E-2"/>
  </r>
  <r>
    <x v="13"/>
    <x v="3"/>
    <x v="0"/>
    <s v="3300101"/>
    <n v="735070"/>
    <s v="Depreciation-Movable Equipment"/>
    <s v="Progressive Care Unit (PCU)"/>
    <x v="0"/>
    <m/>
    <n v="14014.31"/>
    <n v="27404.99"/>
    <n v="27405.040000000001"/>
    <n v="29970.959999999999"/>
    <n v="29971.03"/>
    <n v="29970.91"/>
    <n v="29971.1"/>
    <n v="29157.919999999998"/>
    <n v="29158.16"/>
    <n v="29157.88"/>
    <n v="23842"/>
    <n v="23841.72"/>
    <n v="323866.02"/>
    <n v="0.27999999999883585"/>
  </r>
  <r>
    <x v="0"/>
    <x v="3"/>
    <x v="0"/>
    <s v="3300101"/>
    <n v="740020"/>
    <s v="Education-Registration Fees"/>
    <s v="Progressive Care Unit (PCU)"/>
    <x v="0"/>
    <m/>
    <n v="215"/>
    <n v="1160"/>
    <n v="360"/>
    <n v="345"/>
    <n v="175"/>
    <n v="0"/>
    <n v="45"/>
    <n v="1395"/>
    <n v="1245"/>
    <n v="235"/>
    <n v="175"/>
    <n v="0"/>
    <n v="5350"/>
    <n v="175"/>
  </r>
  <r>
    <x v="0"/>
    <x v="3"/>
    <x v="0"/>
    <s v="3300101"/>
    <n v="742030"/>
    <s v="Freight-Courier"/>
    <s v="Progressive Care Unit (PCU)"/>
    <x v="0"/>
    <m/>
    <n v="0"/>
    <n v="0"/>
    <n v="0"/>
    <n v="0"/>
    <n v="0"/>
    <n v="0"/>
    <n v="0"/>
    <n v="0"/>
    <n v="35"/>
    <n v="0"/>
    <n v="0"/>
    <n v="0"/>
    <n v="35"/>
    <n v="0"/>
  </r>
  <r>
    <x v="0"/>
    <x v="3"/>
    <x v="0"/>
    <s v="3300101"/>
    <n v="749510"/>
    <s v="Miscellaneous Expenses"/>
    <s v="Progressive Care Unit (PCU)"/>
    <x v="0"/>
    <m/>
    <n v="0"/>
    <n v="0"/>
    <n v="0"/>
    <n v="-1"/>
    <n v="0"/>
    <n v="0"/>
    <n v="0"/>
    <n v="-2"/>
    <n v="0"/>
    <n v="1259.3399999999999"/>
    <n v="0"/>
    <n v="-346.5"/>
    <n v="909.83999999999992"/>
    <n v="346.5"/>
  </r>
  <r>
    <x v="0"/>
    <x v="3"/>
    <x v="0"/>
    <s v="3300101"/>
    <n v="749510"/>
    <s v="Casualty Loss/Patient Property"/>
    <s v="Progressive Care Unit (PCU)"/>
    <x v="0"/>
    <n v="4601"/>
    <n v="0"/>
    <n v="0"/>
    <n v="0"/>
    <n v="2800"/>
    <n v="512"/>
    <n v="0"/>
    <n v="0"/>
    <n v="0"/>
    <n v="0"/>
    <n v="0"/>
    <n v="0"/>
    <n v="0"/>
    <n v="3312"/>
    <n v="0"/>
  </r>
  <r>
    <x v="0"/>
    <x v="3"/>
    <x v="0"/>
    <s v="3300101"/>
    <n v="749510"/>
    <s v="RICE Rewards"/>
    <s v="Progressive Care Unit (PCU)"/>
    <x v="0"/>
    <n v="5100"/>
    <n v="0"/>
    <n v="0"/>
    <n v="0"/>
    <n v="0"/>
    <n v="0"/>
    <n v="0"/>
    <n v="0"/>
    <n v="0"/>
    <n v="0"/>
    <n v="0"/>
    <n v="0"/>
    <n v="1908.98"/>
    <n v="1908.98"/>
    <n v="-1908.98"/>
  </r>
  <r>
    <x v="0"/>
    <x v="3"/>
    <x v="0"/>
    <s v="3300101"/>
    <n v="749530"/>
    <s v="Travel"/>
    <s v="Progressive Care Unit (PCU)"/>
    <x v="0"/>
    <m/>
    <n v="0"/>
    <n v="0"/>
    <n v="0"/>
    <n v="0"/>
    <n v="0"/>
    <n v="0"/>
    <n v="0"/>
    <n v="183.97"/>
    <n v="0"/>
    <n v="0"/>
    <n v="0"/>
    <n v="0"/>
    <n v="183.97"/>
    <n v="0"/>
  </r>
  <r>
    <x v="18"/>
    <x v="0"/>
    <x v="0"/>
    <s v="3300102"/>
    <n v="400010"/>
    <s v="Acute I/P Svcs Rev--Medicare"/>
    <s v="Progressive Care Unit (PCU)"/>
    <x v="0"/>
    <n v="1100"/>
    <n v="-1090260.26"/>
    <n v="-1065210.4099999999"/>
    <n v="-1127732.04"/>
    <n v="-1237602.54"/>
    <n v="-1212860.99"/>
    <n v="-1070876.93"/>
    <n v="-936582.84"/>
    <n v="-1062471.3600000001"/>
    <n v="-1356110.05"/>
    <n v="-1334935.3500000001"/>
    <n v="-1027914.92"/>
    <n v="-1035502.83"/>
    <n v="-13558060.52"/>
    <n v="7587.9099999999162"/>
  </r>
  <r>
    <x v="18"/>
    <x v="0"/>
    <x v="0"/>
    <s v="3300102"/>
    <n v="400010"/>
    <s v="Acute I/P Svcs Rev--Medicaid"/>
    <s v="Progressive Care Unit (PCU)"/>
    <x v="0"/>
    <n v="1200"/>
    <n v="-377330.17"/>
    <n v="-286939.57"/>
    <n v="-284086.27"/>
    <n v="-194866.3"/>
    <n v="-181000.6"/>
    <n v="-396334.37"/>
    <n v="-435563.05"/>
    <n v="-244867.3"/>
    <n v="-205743.93"/>
    <n v="-271455.02"/>
    <n v="-337772.35"/>
    <n v="-301542.55"/>
    <n v="-3517501.48"/>
    <n v="-36229.799999999988"/>
  </r>
  <r>
    <x v="18"/>
    <x v="0"/>
    <x v="0"/>
    <s v="3300102"/>
    <n v="400010"/>
    <s v="Acute I/P Svcs Rev--Comm Insurance"/>
    <s v="Progressive Care Unit (PCU)"/>
    <x v="0"/>
    <n v="1300"/>
    <n v="0"/>
    <n v="0"/>
    <n v="-28152.54"/>
    <n v="0"/>
    <n v="-13270"/>
    <n v="-23136.1"/>
    <n v="-72754"/>
    <n v="-18575.41"/>
    <n v="-65306.16"/>
    <n v="-19242.13"/>
    <n v="-31996.42"/>
    <n v="-18316.330000000002"/>
    <n v="-290749.09000000003"/>
    <n v="-13680.089999999997"/>
  </r>
  <r>
    <x v="18"/>
    <x v="0"/>
    <x v="0"/>
    <s v="3300102"/>
    <n v="400010"/>
    <s v="Acute I/P Svcs Rev--BCBS Comm"/>
    <s v="Progressive Care Unit (PCU)"/>
    <x v="0"/>
    <n v="1301"/>
    <n v="-97631.44"/>
    <n v="-148960.76"/>
    <n v="-18756.29"/>
    <n v="-75677.62"/>
    <n v="-49310.81"/>
    <n v="-96730.34"/>
    <n v="-116777.29"/>
    <n v="-230264.86"/>
    <n v="-73250.5"/>
    <n v="-74996.600000000006"/>
    <n v="-198855.33"/>
    <n v="-211027.45"/>
    <n v="-1392239.29"/>
    <n v="12172.120000000024"/>
  </r>
  <r>
    <x v="18"/>
    <x v="0"/>
    <x v="0"/>
    <s v="3300102"/>
    <n v="400010"/>
    <s v="Acute I/P Svcs Rev--Managed Care"/>
    <s v="Progressive Care Unit (PCU)"/>
    <x v="0"/>
    <n v="1400"/>
    <n v="-122546.8"/>
    <n v="-230772.87"/>
    <n v="-235799.97"/>
    <n v="-228405.64"/>
    <n v="-149395.67000000001"/>
    <n v="-239790.3"/>
    <n v="-382767.27"/>
    <n v="-149137.87"/>
    <n v="-217055.15"/>
    <n v="-162584.9"/>
    <n v="-205128.49"/>
    <n v="-169540.37"/>
    <n v="-2492925.2999999998"/>
    <n v="-35588.119999999995"/>
  </r>
  <r>
    <x v="18"/>
    <x v="0"/>
    <x v="0"/>
    <s v="3300102"/>
    <n v="400010"/>
    <s v="Acute I/P Svcs Rev--Self Pay"/>
    <s v="Progressive Care Unit (PCU)"/>
    <x v="0"/>
    <n v="1500"/>
    <n v="-10852.88"/>
    <n v="-85058.05"/>
    <n v="-47543.56"/>
    <n v="-30710.51"/>
    <n v="-27089.32"/>
    <n v="-16334.28"/>
    <n v="24290.58"/>
    <n v="-13201.86"/>
    <n v="-12529.11"/>
    <n v="4003.19"/>
    <n v="-16298"/>
    <n v="-4992.04"/>
    <n v="-236315.84"/>
    <n v="-11305.96"/>
  </r>
  <r>
    <x v="18"/>
    <x v="0"/>
    <x v="0"/>
    <s v="3300102"/>
    <n v="400010"/>
    <s v="Acute I/P Svcs Rev--Other"/>
    <s v="Progressive Care Unit (PCU)"/>
    <x v="0"/>
    <n v="1700"/>
    <n v="-42855.83"/>
    <n v="-24716.15"/>
    <n v="-30950.37"/>
    <n v="-66394.570000000007"/>
    <n v="-46589.56"/>
    <n v="-14261.59"/>
    <n v="-8647.89"/>
    <n v="-23148.74"/>
    <n v="-16292.33"/>
    <n v="-29222.2"/>
    <n v="-13269.07"/>
    <n v="-62089.64"/>
    <n v="-378437.94000000006"/>
    <n v="48820.57"/>
  </r>
  <r>
    <x v="19"/>
    <x v="0"/>
    <x v="0"/>
    <s v="3300102"/>
    <n v="400020"/>
    <s v="O/P Care Svcs Rev--Medicare"/>
    <s v="Progressive Care Unit (PCU)"/>
    <x v="0"/>
    <n v="1100"/>
    <n v="-56509.23"/>
    <n v="-47319.14"/>
    <n v="-61720.15"/>
    <n v="-61885.58"/>
    <n v="-37574.68"/>
    <n v="-23457.63"/>
    <n v="-38849.82"/>
    <n v="-38363.93"/>
    <n v="-36129.67"/>
    <n v="-16408.34"/>
    <n v="-41894.86"/>
    <n v="-23646.94"/>
    <n v="-483759.97"/>
    <n v="-18247.920000000002"/>
  </r>
  <r>
    <x v="19"/>
    <x v="0"/>
    <x v="0"/>
    <s v="3300102"/>
    <n v="400020"/>
    <s v="O/P Care Svcs Rev--Medicaid"/>
    <s v="Progressive Care Unit (PCU)"/>
    <x v="0"/>
    <n v="1200"/>
    <n v="-19302.669999999998"/>
    <n v="-6827.85"/>
    <n v="-5996.8"/>
    <n v="-12348.3"/>
    <n v="-2878.54"/>
    <n v="-10212.15"/>
    <n v="-11230.8"/>
    <n v="-434.24"/>
    <n v="-1769.04"/>
    <n v="-12058.96"/>
    <n v="-20219.810000000001"/>
    <n v="-1610.38"/>
    <n v="-104889.54000000001"/>
    <n v="-18609.43"/>
  </r>
  <r>
    <x v="19"/>
    <x v="0"/>
    <x v="0"/>
    <s v="3300102"/>
    <n v="400020"/>
    <s v="O/P Care Svcs Rev--Comm Insurance"/>
    <s v="Progressive Care Unit (PCU)"/>
    <x v="0"/>
    <n v="1300"/>
    <n v="0"/>
    <n v="0"/>
    <n v="-3145.75"/>
    <n v="0"/>
    <n v="0"/>
    <n v="0"/>
    <n v="0"/>
    <n v="-1224.72"/>
    <n v="0"/>
    <n v="0"/>
    <n v="0"/>
    <n v="0"/>
    <n v="-4370.47"/>
    <n v="0"/>
  </r>
  <r>
    <x v="19"/>
    <x v="0"/>
    <x v="0"/>
    <s v="3300102"/>
    <n v="400020"/>
    <s v="O/P Care Svcs Rev--BCBS Comm"/>
    <s v="Progressive Care Unit (PCU)"/>
    <x v="0"/>
    <n v="1301"/>
    <n v="-2841.33"/>
    <n v="0"/>
    <n v="-4139.7700000000004"/>
    <n v="-3166.25"/>
    <n v="-2240.4499999999998"/>
    <n v="-765.72"/>
    <n v="-2842.51"/>
    <n v="0"/>
    <n v="0"/>
    <n v="0"/>
    <n v="0"/>
    <n v="0"/>
    <n v="-15996.029999999999"/>
    <n v="0"/>
  </r>
  <r>
    <x v="19"/>
    <x v="0"/>
    <x v="0"/>
    <s v="3300102"/>
    <n v="400020"/>
    <s v="O/P Care Svcs Rev--Managed Care"/>
    <s v="Progressive Care Unit (PCU)"/>
    <x v="0"/>
    <n v="1400"/>
    <n v="-7400.12"/>
    <n v="-16522.349999999999"/>
    <n v="-7071.7"/>
    <n v="-34443.58"/>
    <n v="-17248.55"/>
    <n v="-45496.72"/>
    <n v="-13737.34"/>
    <n v="-1025.4000000000001"/>
    <n v="-11122.48"/>
    <n v="-21498.02"/>
    <n v="-16902.04"/>
    <n v="361.2"/>
    <n v="-192107.1"/>
    <n v="-17263.240000000002"/>
  </r>
  <r>
    <x v="19"/>
    <x v="0"/>
    <x v="0"/>
    <s v="3300102"/>
    <n v="400020"/>
    <s v="O/P Care Svcs Rev--Self Pay"/>
    <s v="Progressive Care Unit (PCU)"/>
    <x v="0"/>
    <n v="1500"/>
    <n v="0"/>
    <n v="0"/>
    <n v="0"/>
    <n v="0"/>
    <n v="-4559.75"/>
    <n v="2517.67"/>
    <n v="0"/>
    <n v="0"/>
    <n v="0"/>
    <n v="0"/>
    <n v="0"/>
    <n v="-2721.6"/>
    <n v="-4763.68"/>
    <n v="2721.6"/>
  </r>
  <r>
    <x v="19"/>
    <x v="0"/>
    <x v="0"/>
    <s v="3300102"/>
    <n v="400020"/>
    <s v="O/P Care Svcs Rev--Other"/>
    <s v="Progressive Care Unit (PCU)"/>
    <x v="0"/>
    <n v="1700"/>
    <n v="0"/>
    <n v="0"/>
    <n v="3145.75"/>
    <n v="0"/>
    <n v="-13926.27"/>
    <n v="0"/>
    <n v="0"/>
    <n v="-9983.3700000000008"/>
    <n v="-6044.32"/>
    <n v="0"/>
    <n v="0"/>
    <n v="-3809.51"/>
    <n v="-30617.72"/>
    <n v="3809.51"/>
  </r>
  <r>
    <x v="14"/>
    <x v="0"/>
    <x v="0"/>
    <s v="3300102"/>
    <n v="600050"/>
    <s v="Miscellaneous Revenue"/>
    <s v="Progressive Care Unit (PCU)"/>
    <x v="0"/>
    <m/>
    <n v="0"/>
    <n v="0"/>
    <n v="0"/>
    <n v="0"/>
    <n v="0"/>
    <n v="0"/>
    <n v="0"/>
    <n v="-5000"/>
    <n v="-5000"/>
    <n v="0"/>
    <n v="0"/>
    <n v="0"/>
    <n v="-10000"/>
    <n v="0"/>
  </r>
  <r>
    <x v="5"/>
    <x v="0"/>
    <x v="0"/>
    <s v="3300102"/>
    <n v="700014"/>
    <s v="Salaries-Management-Productive"/>
    <s v="Progressive Care Unit (PCU)"/>
    <x v="0"/>
    <m/>
    <n v="5044.83"/>
    <n v="-488.03"/>
    <n v="0"/>
    <n v="0"/>
    <n v="0"/>
    <n v="0"/>
    <n v="0"/>
    <n v="0"/>
    <n v="0"/>
    <n v="0"/>
    <n v="0"/>
    <n v="0"/>
    <n v="4556.8"/>
    <n v="0"/>
  </r>
  <r>
    <x v="5"/>
    <x v="0"/>
    <x v="0"/>
    <s v="3300102"/>
    <n v="700026"/>
    <s v="Salaries-RN-Productive"/>
    <s v="Progressive Care Unit (PCU)"/>
    <x v="0"/>
    <m/>
    <n v="193405.17"/>
    <n v="182188.66"/>
    <n v="187908.08"/>
    <n v="195401.60000000001"/>
    <n v="194702.57"/>
    <n v="191095.45"/>
    <n v="199510.5"/>
    <n v="172874.44"/>
    <n v="177696.25"/>
    <n v="185209.37"/>
    <n v="180842.77"/>
    <n v="192104.72"/>
    <n v="2252939.58"/>
    <n v="-11261.950000000012"/>
  </r>
  <r>
    <x v="5"/>
    <x v="0"/>
    <x v="0"/>
    <s v="3300102"/>
    <n v="700026"/>
    <s v="Salaries-RN-OT"/>
    <s v="Progressive Care Unit (PCU)"/>
    <x v="0"/>
    <n v="1000"/>
    <n v="7912.93"/>
    <n v="7828.62"/>
    <n v="9093.1200000000008"/>
    <n v="20013.310000000001"/>
    <n v="3746.89"/>
    <n v="10116.08"/>
    <n v="9977.75"/>
    <n v="7358.79"/>
    <n v="13924.52"/>
    <n v="9190.1200000000008"/>
    <n v="8295.75"/>
    <n v="10186.73"/>
    <n v="117644.60999999999"/>
    <n v="-1890.9799999999996"/>
  </r>
  <r>
    <x v="5"/>
    <x v="0"/>
    <x v="0"/>
    <s v="3300102"/>
    <n v="700026"/>
    <s v="Salaries-RN-Other"/>
    <s v="Progressive Care Unit (PCU)"/>
    <x v="0"/>
    <n v="2000"/>
    <n v="20270.25"/>
    <n v="20315.59"/>
    <n v="19022.669999999998"/>
    <n v="20696.28"/>
    <n v="19421.04"/>
    <n v="21735.65"/>
    <n v="19409.32"/>
    <n v="17265.79"/>
    <n v="19159.75"/>
    <n v="18256.22"/>
    <n v="20988.97"/>
    <n v="18627.52"/>
    <n v="235169.05"/>
    <n v="2361.4500000000007"/>
  </r>
  <r>
    <x v="5"/>
    <x v="0"/>
    <x v="0"/>
    <s v="3300102"/>
    <n v="700032"/>
    <s v="Salaries-Other Pat Care Providers-Productive"/>
    <s v="Progressive Care Unit (PCU)"/>
    <x v="0"/>
    <m/>
    <n v="24145.05"/>
    <n v="22147.53"/>
    <n v="23830.38"/>
    <n v="32255.53"/>
    <n v="19078.2"/>
    <n v="31966.62"/>
    <n v="34338.21"/>
    <n v="34781.370000000003"/>
    <n v="29122.11"/>
    <n v="29274.29"/>
    <n v="31682.62"/>
    <n v="31739.23"/>
    <n v="344361.13999999996"/>
    <n v="-56.610000000000582"/>
  </r>
  <r>
    <x v="5"/>
    <x v="0"/>
    <x v="0"/>
    <s v="3300102"/>
    <n v="700032"/>
    <s v="Salaries-Other Pat Care Providers-OT"/>
    <s v="Progressive Care Unit (PCU)"/>
    <x v="0"/>
    <n v="1000"/>
    <n v="345.02"/>
    <n v="376.97"/>
    <n v="1537"/>
    <n v="507.21"/>
    <n v="37.950000000000003"/>
    <n v="680.94"/>
    <n v="824.83"/>
    <n v="523.51"/>
    <n v="2070.62"/>
    <n v="674.51"/>
    <n v="900.18"/>
    <n v="570.89"/>
    <n v="9049.6299999999992"/>
    <n v="329.28999999999996"/>
  </r>
  <r>
    <x v="5"/>
    <x v="0"/>
    <x v="0"/>
    <s v="3300102"/>
    <n v="700032"/>
    <s v="Salaries-Other Pat Care Providers-Other"/>
    <s v="Progressive Care Unit (PCU)"/>
    <x v="0"/>
    <n v="2000"/>
    <n v="1907.08"/>
    <n v="1696.25"/>
    <n v="1880.1"/>
    <n v="2273.09"/>
    <n v="1865.85"/>
    <n v="2302.42"/>
    <n v="2984.78"/>
    <n v="3165.73"/>
    <n v="2973.33"/>
    <n v="2668.11"/>
    <n v="3119.16"/>
    <n v="2800.78"/>
    <n v="29636.680000000004"/>
    <n v="318.37999999999965"/>
  </r>
  <r>
    <x v="5"/>
    <x v="0"/>
    <x v="0"/>
    <s v="3300102"/>
    <n v="700038"/>
    <s v="Salaries-Service/Support-Productive"/>
    <s v="Progressive Care Unit (PCU)"/>
    <x v="0"/>
    <m/>
    <n v="383.49"/>
    <n v="253.51"/>
    <n v="91"/>
    <n v="0"/>
    <n v="0"/>
    <n v="774.54"/>
    <n v="520.54"/>
    <n v="0"/>
    <n v="0"/>
    <n v="0"/>
    <n v="0"/>
    <n v="0"/>
    <n v="2023.08"/>
    <n v="0"/>
  </r>
  <r>
    <x v="5"/>
    <x v="0"/>
    <x v="0"/>
    <s v="3300102"/>
    <n v="700038"/>
    <s v="Salaries-Service/Support-OT"/>
    <s v="Progressive Care Unit (PCU)"/>
    <x v="0"/>
    <n v="1000"/>
    <n v="335.02"/>
    <n v="-59.1"/>
    <n v="275.95999999999998"/>
    <n v="0"/>
    <n v="0"/>
    <n v="0"/>
    <n v="0"/>
    <n v="0"/>
    <n v="0"/>
    <n v="620.08000000000004"/>
    <n v="-258.33999999999997"/>
    <n v="0"/>
    <n v="913.62000000000012"/>
    <n v="-258.33999999999997"/>
  </r>
  <r>
    <x v="5"/>
    <x v="0"/>
    <x v="0"/>
    <s v="3300102"/>
    <n v="700038"/>
    <s v="Salaries-Service/Support-Other"/>
    <s v="Progressive Care Unit (PCU)"/>
    <x v="0"/>
    <n v="2000"/>
    <n v="56.52"/>
    <n v="13.68"/>
    <n v="35.4"/>
    <n v="0"/>
    <n v="0"/>
    <n v="40.450000000000003"/>
    <n v="29.81"/>
    <n v="0"/>
    <n v="0"/>
    <n v="51.91"/>
    <n v="-21.62"/>
    <n v="0"/>
    <n v="206.15"/>
    <n v="-21.62"/>
  </r>
  <r>
    <x v="5"/>
    <x v="0"/>
    <x v="0"/>
    <s v="3300102"/>
    <n v="700054"/>
    <s v="Salaries-Management-NonProd-Other"/>
    <s v="Progressive Care Unit (PCU)"/>
    <x v="0"/>
    <n v="2000"/>
    <n v="0"/>
    <n v="0"/>
    <n v="0"/>
    <n v="0"/>
    <n v="0"/>
    <n v="2190.8000000000002"/>
    <n v="-2190.8000000000002"/>
    <n v="0"/>
    <n v="0"/>
    <n v="0"/>
    <n v="0"/>
    <n v="0"/>
    <n v="0"/>
    <n v="0"/>
  </r>
  <r>
    <x v="5"/>
    <x v="0"/>
    <x v="0"/>
    <s v="3300102"/>
    <n v="700066"/>
    <s v="Salaries-RN-Non-productive"/>
    <s v="Progressive Care Unit (PCU)"/>
    <x v="0"/>
    <m/>
    <n v="36074.730000000003"/>
    <n v="32681.72"/>
    <n v="22164.92"/>
    <n v="50327.16"/>
    <n v="28328.959999999999"/>
    <n v="31871.4"/>
    <n v="19962.29"/>
    <n v="25142.31"/>
    <n v="33629.72"/>
    <n v="13922.53"/>
    <n v="24257.08"/>
    <n v="22218.57"/>
    <n v="340581.39000000007"/>
    <n v="2038.510000000002"/>
  </r>
  <r>
    <x v="5"/>
    <x v="0"/>
    <x v="0"/>
    <s v="3300102"/>
    <n v="700066"/>
    <s v="Salaries-RN-NonProd-Other"/>
    <s v="Progressive Care Unit (PCU)"/>
    <x v="0"/>
    <n v="2000"/>
    <n v="2284.9499999999998"/>
    <n v="1548.87"/>
    <n v="949.19"/>
    <n v="2850.8"/>
    <n v="4373.78"/>
    <n v="2978.8"/>
    <n v="1994.29"/>
    <n v="-1685.26"/>
    <n v="1535.34"/>
    <n v="919.25"/>
    <n v="998.35"/>
    <n v="2003.75"/>
    <n v="20752.109999999997"/>
    <n v="-1005.4"/>
  </r>
  <r>
    <x v="5"/>
    <x v="0"/>
    <x v="0"/>
    <s v="3300102"/>
    <n v="700072"/>
    <s v="Salaries-Other Pat Care Providers-Non-productive"/>
    <s v="Progressive Care Unit (PCU)"/>
    <x v="0"/>
    <m/>
    <n v="976.82"/>
    <n v="4131.24"/>
    <n v="4309.45"/>
    <n v="5938.67"/>
    <n v="2401.9299999999998"/>
    <n v="1915.13"/>
    <n v="5743.71"/>
    <n v="1364.86"/>
    <n v="4781.55"/>
    <n v="1501.7"/>
    <n v="4863.76"/>
    <n v="1353.65"/>
    <n v="39282.47"/>
    <n v="3510.11"/>
  </r>
  <r>
    <x v="5"/>
    <x v="0"/>
    <x v="0"/>
    <s v="3300102"/>
    <n v="700072"/>
    <s v="Salaries-Other Pat Care Providers-NonProd-Other"/>
    <s v="Progressive Care Unit (PCU)"/>
    <x v="0"/>
    <n v="2000"/>
    <n v="30.56"/>
    <n v="348.27"/>
    <n v="422.95"/>
    <n v="447.23"/>
    <n v="78.790000000000006"/>
    <n v="256.63"/>
    <n v="488.03"/>
    <n v="-32.619999999999997"/>
    <n v="333.83"/>
    <n v="-9.2100000000000009"/>
    <n v="-18.440000000000001"/>
    <n v="205.34"/>
    <n v="2551.36"/>
    <n v="-223.78"/>
  </r>
  <r>
    <x v="5"/>
    <x v="0"/>
    <x v="0"/>
    <s v="3300102"/>
    <n v="700084"/>
    <s v="Accrued PTO"/>
    <s v="Progressive Care Unit (PCU)"/>
    <x v="0"/>
    <m/>
    <n v="-7437.8"/>
    <n v="-2541.4"/>
    <n v="2078.8200000000002"/>
    <n v="-3820.52"/>
    <n v="596.44000000000005"/>
    <n v="-4615.33"/>
    <n v="8506.2000000000007"/>
    <n v="1785.51"/>
    <n v="-358.05"/>
    <n v="10465.75"/>
    <n v="1112.53"/>
    <n v="4478.72"/>
    <n v="10250.869999999999"/>
    <n v="-3366.1900000000005"/>
  </r>
  <r>
    <x v="10"/>
    <x v="0"/>
    <x v="0"/>
    <s v="3300102"/>
    <n v="710060"/>
    <s v="Contract Labor-Other"/>
    <s v="Progressive Care Unit (PCU)"/>
    <x v="0"/>
    <m/>
    <n v="0"/>
    <n v="808.5"/>
    <n v="-1.5"/>
    <n v="1341.19"/>
    <n v="0"/>
    <n v="0"/>
    <n v="0"/>
    <n v="0"/>
    <n v="0"/>
    <n v="0"/>
    <n v="0"/>
    <n v="0"/>
    <n v="2148.19"/>
    <n v="0"/>
  </r>
  <r>
    <x v="10"/>
    <x v="0"/>
    <x v="0"/>
    <s v="3300102"/>
    <n v="710060"/>
    <s v="Contract Labor-Overtime"/>
    <s v="Progressive Care Unit (PCU)"/>
    <x v="0"/>
    <n v="5100"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3300102"/>
    <n v="713010"/>
    <s v="Benefits-FICA/Medicare"/>
    <s v="Progressive Care Unit (PCU)"/>
    <x v="0"/>
    <m/>
    <n v="21520.81"/>
    <n v="20959.68"/>
    <n v="19962.53"/>
    <n v="24068.12"/>
    <n v="20691.400000000001"/>
    <n v="22293.759999999998"/>
    <n v="22754.1"/>
    <n v="19521.87"/>
    <n v="21129.040000000001"/>
    <n v="19201.71"/>
    <n v="20338.75"/>
    <n v="21352.01"/>
    <n v="253793.78"/>
    <n v="-1013.2599999999984"/>
  </r>
  <r>
    <x v="6"/>
    <x v="0"/>
    <x v="0"/>
    <s v="3300102"/>
    <n v="713090"/>
    <s v="Benefits-Allocated Amounts"/>
    <s v="Progressive Care Unit (PCU)"/>
    <x v="0"/>
    <m/>
    <n v="54726.89"/>
    <n v="46545.14"/>
    <n v="49985.279999999999"/>
    <n v="58605.47"/>
    <n v="47873.75"/>
    <n v="52332.51"/>
    <n v="56741.88"/>
    <n v="53410.9"/>
    <n v="51873.02"/>
    <n v="51613.3"/>
    <n v="53267.16"/>
    <n v="55210.01"/>
    <n v="632185.31000000006"/>
    <n v="-1942.8499999999985"/>
  </r>
  <r>
    <x v="6"/>
    <x v="0"/>
    <x v="0"/>
    <s v="3300102"/>
    <n v="713096"/>
    <s v="Employee Recognition"/>
    <s v="Progressive Care Unit (PCU)"/>
    <x v="0"/>
    <n v="1017"/>
    <n v="0"/>
    <n v="0"/>
    <n v="150.99"/>
    <n v="0"/>
    <n v="0"/>
    <n v="84.58"/>
    <n v="0"/>
    <n v="0"/>
    <n v="0"/>
    <n v="0"/>
    <n v="0"/>
    <n v="329"/>
    <n v="564.56999999999994"/>
    <n v="-329"/>
  </r>
  <r>
    <x v="7"/>
    <x v="0"/>
    <x v="0"/>
    <s v="3300102"/>
    <n v="718050"/>
    <s v="Contract Svcs-Other"/>
    <s v="Progressive Care Unit (PCU)"/>
    <x v="0"/>
    <m/>
    <n v="1634.44"/>
    <n v="0"/>
    <n v="0"/>
    <n v="0"/>
    <n v="0"/>
    <n v="353.28"/>
    <n v="783.75"/>
    <n v="0"/>
    <n v="0"/>
    <n v="325.68"/>
    <n v="0"/>
    <n v="0"/>
    <n v="3097.15"/>
    <n v="0"/>
  </r>
  <r>
    <x v="7"/>
    <x v="0"/>
    <x v="0"/>
    <s v="3300102"/>
    <n v="718050"/>
    <s v="Miscellaneous Purchased Svcs"/>
    <s v="Progressive Care Unit (PCU)"/>
    <x v="0"/>
    <n v="1020"/>
    <n v="0"/>
    <n v="0"/>
    <n v="0"/>
    <n v="2887.5"/>
    <n v="291.64999999999998"/>
    <n v="2054.12"/>
    <n v="0"/>
    <n v="0"/>
    <n v="0"/>
    <n v="0"/>
    <n v="0"/>
    <n v="0"/>
    <n v="5233.2700000000004"/>
    <n v="0"/>
  </r>
  <r>
    <x v="7"/>
    <x v="0"/>
    <x v="0"/>
    <s v="3300102"/>
    <n v="718050"/>
    <s v="Translation Services"/>
    <s v="Progressive Care Unit (PCU)"/>
    <x v="0"/>
    <n v="1025"/>
    <n v="312.69"/>
    <n v="26.73"/>
    <n v="338.58"/>
    <n v="44.55"/>
    <n v="61.25"/>
    <n v="39.69"/>
    <n v="211.41"/>
    <n v="174.34"/>
    <n v="202.1"/>
    <n v="33.21"/>
    <n v="200"/>
    <n v="0"/>
    <n v="1644.55"/>
    <n v="200"/>
  </r>
  <r>
    <x v="7"/>
    <x v="0"/>
    <x v="0"/>
    <s v="3300102"/>
    <n v="718070"/>
    <s v="Contract Srvcs-CHI Clinical Engineering"/>
    <s v="Progressive Care Unit (PCU)"/>
    <x v="0"/>
    <m/>
    <n v="45.83"/>
    <n v="45.83"/>
    <n v="45.83"/>
    <n v="45.83"/>
    <n v="45.83"/>
    <n v="45.83"/>
    <n v="45.83"/>
    <n v="45.83"/>
    <n v="45.83"/>
    <n v="45.83"/>
    <n v="45.83"/>
    <n v="45.83"/>
    <n v="549.95999999999992"/>
    <n v="0"/>
  </r>
  <r>
    <x v="11"/>
    <x v="0"/>
    <x v="0"/>
    <s v="3300102"/>
    <n v="721010"/>
    <s v="Supplies-Medical - Billable"/>
    <s v="Progressive Care Unit (PCU)"/>
    <x v="0"/>
    <m/>
    <n v="1996.27"/>
    <n v="1609.28"/>
    <n v="1827.91"/>
    <n v="2836.98"/>
    <n v="2310.34"/>
    <n v="2857.08"/>
    <n v="1695.37"/>
    <n v="1688.2"/>
    <n v="1935.82"/>
    <n v="2813.9"/>
    <n v="1628.09"/>
    <n v="2198.77"/>
    <n v="25398.010000000002"/>
    <n v="-570.68000000000006"/>
  </r>
  <r>
    <x v="11"/>
    <x v="0"/>
    <x v="0"/>
    <s v="3300102"/>
    <n v="721010"/>
    <s v="Patient Monitoring"/>
    <s v="Progressive Care Unit (PCU)"/>
    <x v="0"/>
    <n v="1000"/>
    <n v="152.13999999999999"/>
    <n v="100.53"/>
    <n v="144.44999999999999"/>
    <n v="157.02000000000001"/>
    <n v="743.66"/>
    <n v="102.28"/>
    <n v="165.69"/>
    <n v="114.66"/>
    <n v="135.41"/>
    <n v="290.57"/>
    <n v="89.76"/>
    <n v="124.9"/>
    <n v="2321.0700000000006"/>
    <n v="-35.14"/>
  </r>
  <r>
    <x v="11"/>
    <x v="0"/>
    <x v="0"/>
    <s v="3300102"/>
    <n v="721020"/>
    <s v="Supplies-Surgical - Billable"/>
    <s v="Progressive Care Unit (PCU)"/>
    <x v="0"/>
    <m/>
    <n v="548.85"/>
    <n v="543.75"/>
    <n v="365.52"/>
    <n v="519.52"/>
    <n v="413.39"/>
    <n v="419.63"/>
    <n v="505.89"/>
    <n v="446"/>
    <n v="451.07"/>
    <n v="581.95000000000005"/>
    <n v="503.19"/>
    <n v="515.35"/>
    <n v="5814.11"/>
    <n v="-12.160000000000025"/>
  </r>
  <r>
    <x v="11"/>
    <x v="0"/>
    <x v="0"/>
    <s v="3300102"/>
    <n v="721020"/>
    <s v="Custom Packs"/>
    <s v="Progressive Care Unit (PCU)"/>
    <x v="0"/>
    <n v="1000"/>
    <n v="0"/>
    <n v="172.12"/>
    <n v="264.8"/>
    <n v="278.04000000000002"/>
    <n v="370.72"/>
    <n v="304.52"/>
    <n v="105.92"/>
    <n v="66.2"/>
    <n v="238.32"/>
    <n v="304.52"/>
    <n v="317.76"/>
    <n v="417.46"/>
    <n v="2840.38"/>
    <n v="-99.699999999999989"/>
  </r>
  <r>
    <x v="11"/>
    <x v="0"/>
    <x v="0"/>
    <s v="3300102"/>
    <n v="721020"/>
    <s v="Suture/Wound Closure"/>
    <s v="Progressive Care Unit (PCU)"/>
    <x v="0"/>
    <n v="1001"/>
    <n v="0"/>
    <n v="0"/>
    <n v="0"/>
    <n v="0"/>
    <n v="0"/>
    <n v="0"/>
    <n v="0"/>
    <n v="0"/>
    <n v="0"/>
    <n v="0"/>
    <n v="0"/>
    <n v="3.4"/>
    <n v="3.4"/>
    <n v="-3.4"/>
  </r>
  <r>
    <x v="11"/>
    <x v="0"/>
    <x v="0"/>
    <s v="3300102"/>
    <n v="721020"/>
    <s v="Endomechanical Supplies &amp; Instruments"/>
    <s v="Progressive Care Unit (PCU)"/>
    <x v="0"/>
    <n v="1003"/>
    <n v="0"/>
    <n v="0"/>
    <n v="0"/>
    <n v="0"/>
    <n v="0"/>
    <n v="4.84"/>
    <n v="0"/>
    <n v="0"/>
    <n v="0"/>
    <n v="0"/>
    <n v="0"/>
    <n v="0"/>
    <n v="4.84"/>
    <n v="0"/>
  </r>
  <r>
    <x v="11"/>
    <x v="0"/>
    <x v="0"/>
    <s v="3300102"/>
    <n v="721020"/>
    <s v="Tubes Drains &amp; Related Supplies"/>
    <s v="Progressive Care Unit (PCU)"/>
    <x v="0"/>
    <n v="1008"/>
    <n v="0"/>
    <n v="0"/>
    <n v="26.85"/>
    <n v="0"/>
    <n v="0"/>
    <n v="0"/>
    <n v="13.43"/>
    <n v="0"/>
    <n v="-27.55"/>
    <n v="0"/>
    <n v="36.21"/>
    <n v="141.49"/>
    <n v="190.43"/>
    <n v="-105.28"/>
  </r>
  <r>
    <x v="11"/>
    <x v="0"/>
    <x v="0"/>
    <s v="3300102"/>
    <n v="721050"/>
    <s v="Supplies-Cardiac Rhythm - Billable"/>
    <s v="Progressive Care Unit (PCU)"/>
    <x v="0"/>
    <m/>
    <n v="-189.7"/>
    <n v="379.4"/>
    <n v="41.5"/>
    <n v="379.4"/>
    <n v="0"/>
    <n v="300"/>
    <n v="480"/>
    <n v="0"/>
    <n v="0"/>
    <n v="58"/>
    <n v="480"/>
    <n v="433"/>
    <n v="2361.6"/>
    <n v="47"/>
  </r>
  <r>
    <x v="11"/>
    <x v="0"/>
    <x v="0"/>
    <s v="3300102"/>
    <n v="721240"/>
    <s v="Supplies-IV Solutions/Supplies - Billable"/>
    <s v="Progressive Care Unit (PCU)"/>
    <x v="0"/>
    <m/>
    <n v="1239.69"/>
    <n v="987.59"/>
    <n v="946.77"/>
    <n v="1292.8900000000001"/>
    <n v="965.97"/>
    <n v="1422.63"/>
    <n v="1289.6400000000001"/>
    <n v="1447.71"/>
    <n v="1407.85"/>
    <n v="1422.67"/>
    <n v="1287.6400000000001"/>
    <n v="1720.11"/>
    <n v="15431.160000000002"/>
    <n v="-432.4699999999998"/>
  </r>
  <r>
    <x v="11"/>
    <x v="0"/>
    <x v="0"/>
    <s v="3300102"/>
    <n v="721250"/>
    <s v="Supplies-Pharmacy Drugs - Billable"/>
    <s v="Progressive Care Unit (PCU)"/>
    <x v="0"/>
    <m/>
    <n v="0"/>
    <n v="0"/>
    <n v="7.95"/>
    <n v="1.34"/>
    <n v="1.34"/>
    <n v="0"/>
    <n v="1.34"/>
    <n v="0"/>
    <n v="0"/>
    <n v="0"/>
    <n v="27.25"/>
    <n v="0"/>
    <n v="39.22"/>
    <n v="27.25"/>
  </r>
  <r>
    <x v="11"/>
    <x v="0"/>
    <x v="0"/>
    <s v="3300102"/>
    <n v="721410"/>
    <s v="Supplies-Medical - Nonbillable"/>
    <s v="Progressive Care Unit (PCU)"/>
    <x v="0"/>
    <m/>
    <n v="13327.11"/>
    <n v="6273.92"/>
    <n v="6154.1"/>
    <n v="7457.29"/>
    <n v="6258.92"/>
    <n v="7135.83"/>
    <n v="8224.2800000000007"/>
    <n v="6024.9"/>
    <n v="6630.99"/>
    <n v="14734.73"/>
    <n v="7956.56"/>
    <n v="8052.17"/>
    <n v="98230.799999999988"/>
    <n v="-95.609999999999673"/>
  </r>
  <r>
    <x v="11"/>
    <x v="0"/>
    <x v="0"/>
    <s v="3300102"/>
    <n v="721410"/>
    <s v="Patient Monitoring"/>
    <s v="Progressive Care Unit (PCU)"/>
    <x v="0"/>
    <n v="1000"/>
    <n v="9.06"/>
    <n v="13.59"/>
    <n v="-2.27"/>
    <n v="0"/>
    <n v="22.65"/>
    <n v="9.06"/>
    <n v="14.7"/>
    <n v="18.12"/>
    <n v="18.12"/>
    <n v="24.89"/>
    <n v="22.65"/>
    <n v="9.06"/>
    <n v="159.63000000000002"/>
    <n v="13.589999999999998"/>
  </r>
  <r>
    <x v="11"/>
    <x v="0"/>
    <x v="0"/>
    <s v="3300102"/>
    <n v="721420"/>
    <s v="Supplies-Surgical Nonbillable"/>
    <s v="Progressive Care Unit (PCU)"/>
    <x v="0"/>
    <m/>
    <n v="4.38"/>
    <n v="28.1"/>
    <n v="18.55"/>
    <n v="7.59"/>
    <n v="8.6300000000000008"/>
    <n v="24.67"/>
    <n v="9.01"/>
    <n v="13.83"/>
    <n v="4.92"/>
    <n v="20.37"/>
    <n v="6.3"/>
    <n v="7.51"/>
    <n v="153.86000000000001"/>
    <n v="-1.21"/>
  </r>
  <r>
    <x v="11"/>
    <x v="0"/>
    <x v="0"/>
    <s v="3300102"/>
    <n v="721420"/>
    <s v="Tubes Drains &amp; Related Supplies"/>
    <s v="Progressive Care Unit (PCU)"/>
    <x v="0"/>
    <n v="1008"/>
    <n v="0"/>
    <n v="0"/>
    <n v="0"/>
    <n v="0"/>
    <n v="0"/>
    <n v="0"/>
    <n v="11.23"/>
    <n v="0"/>
    <n v="0"/>
    <n v="15.03"/>
    <n v="0"/>
    <n v="20.87"/>
    <n v="47.129999999999995"/>
    <n v="-20.87"/>
  </r>
  <r>
    <x v="11"/>
    <x v="0"/>
    <x v="0"/>
    <s v="3300102"/>
    <n v="721420"/>
    <s v="Sterilization Process Products"/>
    <s v="Progressive Care Unit (PCU)"/>
    <x v="0"/>
    <n v="1009"/>
    <n v="0"/>
    <n v="0"/>
    <n v="15.82"/>
    <n v="0"/>
    <n v="0"/>
    <n v="0"/>
    <n v="0"/>
    <n v="0"/>
    <n v="0"/>
    <n v="14.17"/>
    <n v="-3.54"/>
    <n v="0"/>
    <n v="26.450000000000003"/>
    <n v="-3.54"/>
  </r>
  <r>
    <x v="11"/>
    <x v="0"/>
    <x v="0"/>
    <s v="3300102"/>
    <n v="721610"/>
    <s v="Supplies-Anesthesia - Nonbillable"/>
    <s v="Progressive Care Unit (PCU)"/>
    <x v="0"/>
    <m/>
    <n v="236.15"/>
    <n v="195.35"/>
    <n v="217.32"/>
    <n v="254.67"/>
    <n v="221.37"/>
    <n v="221.6"/>
    <n v="284.83999999999997"/>
    <n v="358.76"/>
    <n v="218.32"/>
    <n v="342.04"/>
    <n v="232.74"/>
    <n v="213.83"/>
    <n v="2996.99"/>
    <n v="18.909999999999997"/>
  </r>
  <r>
    <x v="11"/>
    <x v="0"/>
    <x v="0"/>
    <s v="3300102"/>
    <n v="721640"/>
    <s v="Supplies-IV Solutions/Supplies - Nonbillable"/>
    <s v="Progressive Care Unit (PCU)"/>
    <x v="0"/>
    <m/>
    <n v="2092.54"/>
    <n v="1941.56"/>
    <n v="1337.03"/>
    <n v="1960.97"/>
    <n v="2437.35"/>
    <n v="2080.9899999999998"/>
    <n v="1956.59"/>
    <n v="1465.31"/>
    <n v="1811.03"/>
    <n v="2267.38"/>
    <n v="2013.37"/>
    <n v="2905.46"/>
    <n v="24269.579999999998"/>
    <n v="-892.09000000000015"/>
  </r>
  <r>
    <x v="11"/>
    <x v="0"/>
    <x v="0"/>
    <s v="3300102"/>
    <n v="721650"/>
    <s v="Supplies-Pharmacy Drugs - Nonbillable"/>
    <s v="Progressive Care Unit (PCU)"/>
    <x v="0"/>
    <m/>
    <n v="61.65"/>
    <n v="55.49"/>
    <n v="55.49"/>
    <n v="121.82"/>
    <n v="43.43"/>
    <n v="164.03"/>
    <n v="79.61"/>
    <n v="108.54"/>
    <n v="108.54"/>
    <n v="48.24"/>
    <n v="115.79"/>
    <n v="146.79"/>
    <n v="1109.4199999999998"/>
    <n v="-30.999999999999986"/>
  </r>
  <r>
    <x v="11"/>
    <x v="0"/>
    <x v="0"/>
    <s v="3300102"/>
    <n v="721710"/>
    <s v="Supplies-Laboratory - Nonbillable"/>
    <s v="Progressive Care Unit (PCU)"/>
    <x v="0"/>
    <m/>
    <n v="304.97000000000003"/>
    <n v="171.27"/>
    <n v="230.48"/>
    <n v="217.13"/>
    <n v="285.74"/>
    <n v="229.11"/>
    <n v="257.51"/>
    <n v="123.97"/>
    <n v="186.14"/>
    <n v="156.03"/>
    <n v="360.65"/>
    <n v="320.35000000000002"/>
    <n v="2843.3500000000004"/>
    <n v="40.299999999999955"/>
  </r>
  <r>
    <x v="11"/>
    <x v="0"/>
    <x v="0"/>
    <s v="3300102"/>
    <n v="721710"/>
    <s v="Reagents"/>
    <s v="Progressive Care Unit (PCU)"/>
    <x v="0"/>
    <n v="1000"/>
    <n v="7.44"/>
    <n v="4.6900000000000004"/>
    <n v="17.8"/>
    <n v="0"/>
    <n v="7.8"/>
    <n v="-5.2"/>
    <n v="23.99"/>
    <n v="0"/>
    <n v="2.6"/>
    <n v="0"/>
    <n v="0"/>
    <n v="0"/>
    <n v="59.12"/>
    <n v="0"/>
  </r>
  <r>
    <x v="11"/>
    <x v="0"/>
    <x v="0"/>
    <s v="3300102"/>
    <n v="721750"/>
    <s v="Supplies-Film/Radiographic - Nonbillable"/>
    <s v="Progressive Care Unit (PCU)"/>
    <x v="0"/>
    <m/>
    <n v="0"/>
    <n v="0"/>
    <n v="0"/>
    <n v="0"/>
    <n v="1.87"/>
    <n v="0"/>
    <n v="0"/>
    <n v="1.87"/>
    <n v="0"/>
    <n v="0"/>
    <n v="0"/>
    <n v="0"/>
    <n v="3.74"/>
    <n v="0"/>
  </r>
  <r>
    <x v="11"/>
    <x v="0"/>
    <x v="0"/>
    <s v="3300102"/>
    <n v="721810"/>
    <s v="Supplies-Dietary/Cafeteria"/>
    <s v="Progressive Care Unit (PCU)"/>
    <x v="0"/>
    <m/>
    <n v="2571.9299999999998"/>
    <n v="2455.41"/>
    <n v="2740.71"/>
    <n v="2245.29"/>
    <n v="1881.83"/>
    <n v="2599.09"/>
    <n v="2460"/>
    <n v="2258.56"/>
    <n v="2481.63"/>
    <n v="2396.9"/>
    <n v="2290.5700000000002"/>
    <n v="1930.81"/>
    <n v="28312.730000000007"/>
    <n v="359.76000000000022"/>
  </r>
  <r>
    <x v="11"/>
    <x v="0"/>
    <x v="0"/>
    <s v="3300102"/>
    <n v="721830"/>
    <s v="Supplies-Office"/>
    <s v="Progressive Care Unit (PCU)"/>
    <x v="0"/>
    <m/>
    <n v="308.12"/>
    <n v="148.06"/>
    <n v="297.91000000000003"/>
    <n v="1433.83"/>
    <n v="112.05"/>
    <n v="611.75"/>
    <n v="527.30999999999995"/>
    <n v="472.09"/>
    <n v="185.92"/>
    <n v="854.51"/>
    <n v="114.65"/>
    <n v="188.59"/>
    <n v="5254.79"/>
    <n v="-73.94"/>
  </r>
  <r>
    <x v="11"/>
    <x v="0"/>
    <x v="0"/>
    <s v="3300102"/>
    <n v="721835"/>
    <s v="Supplies-Forms"/>
    <s v="Progressive Care Unit (PCU)"/>
    <x v="0"/>
    <m/>
    <n v="0"/>
    <n v="0"/>
    <n v="0"/>
    <n v="0"/>
    <n v="219.91"/>
    <n v="0"/>
    <n v="18.399999999999999"/>
    <n v="0"/>
    <n v="0"/>
    <n v="0"/>
    <n v="0"/>
    <n v="0"/>
    <n v="238.31"/>
    <n v="0"/>
  </r>
  <r>
    <x v="11"/>
    <x v="0"/>
    <x v="0"/>
    <s v="3300102"/>
    <n v="721870"/>
    <s v="Supplies-Environmental Services"/>
    <s v="Progressive Care Unit (PCU)"/>
    <x v="0"/>
    <m/>
    <n v="436.3"/>
    <n v="441.78"/>
    <n v="354.7"/>
    <n v="570.12"/>
    <n v="458.82"/>
    <n v="352.92"/>
    <n v="569"/>
    <n v="430.87"/>
    <n v="567.16"/>
    <n v="496.6"/>
    <n v="533.13"/>
    <n v="313.89"/>
    <n v="5525.2900000000009"/>
    <n v="219.24"/>
  </r>
  <r>
    <x v="11"/>
    <x v="0"/>
    <x v="0"/>
    <s v="3300102"/>
    <n v="721910"/>
    <s v="Supplies-Small Equipment"/>
    <s v="Progressive Care Unit (PCU)"/>
    <x v="0"/>
    <m/>
    <n v="3097.05"/>
    <n v="3701.99"/>
    <n v="1182.48"/>
    <n v="2757.89"/>
    <n v="1187.43"/>
    <n v="2045.86"/>
    <n v="3174.12"/>
    <n v="1213.72"/>
    <n v="2615.67"/>
    <n v="3644.25"/>
    <n v="1580.05"/>
    <n v="2464.66"/>
    <n v="28665.17"/>
    <n v="-884.6099999999999"/>
  </r>
  <r>
    <x v="11"/>
    <x v="0"/>
    <x v="0"/>
    <s v="3300102"/>
    <n v="721910"/>
    <s v="Instruments"/>
    <s v="Progressive Care Unit (PCU)"/>
    <x v="0"/>
    <n v="1000"/>
    <n v="2158.46"/>
    <n v="3.28"/>
    <n v="0"/>
    <n v="6"/>
    <n v="0"/>
    <n v="1.47"/>
    <n v="10.82"/>
    <n v="0"/>
    <n v="0"/>
    <n v="6"/>
    <n v="10"/>
    <n v="9.61"/>
    <n v="2205.6400000000003"/>
    <n v="0.39000000000000057"/>
  </r>
  <r>
    <x v="11"/>
    <x v="0"/>
    <x v="0"/>
    <s v="3300102"/>
    <n v="722000"/>
    <s v="Supplies-Freight Expense"/>
    <s v="Progressive Care Unit (PCU)"/>
    <x v="0"/>
    <m/>
    <n v="0"/>
    <n v="51.76"/>
    <n v="0"/>
    <n v="0"/>
    <n v="10.97"/>
    <n v="0"/>
    <n v="7.13"/>
    <n v="7.32"/>
    <n v="21.48"/>
    <n v="0"/>
    <n v="13.54"/>
    <n v="8.27"/>
    <n v="120.47000000000001"/>
    <n v="5.27"/>
  </r>
  <r>
    <x v="12"/>
    <x v="0"/>
    <x v="0"/>
    <s v="3300102"/>
    <n v="730020"/>
    <s v="Rental and Leases-Copier Usage Fees (DO NOT USE)"/>
    <s v="Progressive Care Unit (PCU)"/>
    <x v="0"/>
    <n v="5100"/>
    <n v="348.33"/>
    <n v="357.86"/>
    <n v="353.09"/>
    <n v="353.1"/>
    <n v="353.1"/>
    <n v="353.1"/>
    <n v="981.14"/>
    <n v="233.46"/>
    <n v="232.97"/>
    <n v="690.51"/>
    <n v="211.27"/>
    <n v="216.66"/>
    <n v="4684.59"/>
    <n v="-5.3899999999999864"/>
  </r>
  <r>
    <x v="15"/>
    <x v="0"/>
    <x v="0"/>
    <s v="3300102"/>
    <n v="731060"/>
    <s v="Telephone"/>
    <s v="Progressive Care Unit (PCU)"/>
    <x v="0"/>
    <m/>
    <n v="0"/>
    <n v="0"/>
    <n v="0"/>
    <n v="0"/>
    <n v="0"/>
    <n v="0"/>
    <n v="0"/>
    <n v="43"/>
    <n v="0"/>
    <n v="4.3"/>
    <n v="0"/>
    <n v="0"/>
    <n v="47.3"/>
    <n v="0"/>
  </r>
  <r>
    <x v="15"/>
    <x v="0"/>
    <x v="0"/>
    <s v="3300102"/>
    <n v="731060"/>
    <s v="Cell Phones"/>
    <s v="Progressive Care Unit (PCU)"/>
    <x v="0"/>
    <n v="1001"/>
    <n v="0"/>
    <n v="53.87"/>
    <n v="26.42"/>
    <n v="0"/>
    <n v="26.47"/>
    <n v="27.05"/>
    <n v="54.14"/>
    <n v="0"/>
    <n v="28.08"/>
    <n v="54.14"/>
    <n v="26.9"/>
    <n v="27.33"/>
    <n v="324.39999999999992"/>
    <n v="-0.42999999999999972"/>
  </r>
  <r>
    <x v="15"/>
    <x v="0"/>
    <x v="0"/>
    <s v="3300102"/>
    <n v="731060"/>
    <s v="Pagers"/>
    <s v="Progressive Care Unit (PCU)"/>
    <x v="0"/>
    <n v="1002"/>
    <n v="24.3"/>
    <n v="24.3"/>
    <n v="24.3"/>
    <n v="24.36"/>
    <n v="24.36"/>
    <n v="0"/>
    <n v="48.72"/>
    <n v="24.36"/>
    <n v="24.36"/>
    <n v="24.36"/>
    <n v="24.36"/>
    <n v="24.36"/>
    <n v="292.14000000000004"/>
    <n v="0"/>
  </r>
  <r>
    <x v="16"/>
    <x v="0"/>
    <x v="0"/>
    <s v="3300102"/>
    <n v="732015"/>
    <s v="Repairs-Clinical Equip-T&amp;M-Ext to CHI Programs"/>
    <s v="Progressive Care Unit (PCU)"/>
    <x v="0"/>
    <m/>
    <n v="0"/>
    <n v="0"/>
    <n v="0"/>
    <n v="0"/>
    <n v="0"/>
    <n v="0"/>
    <n v="0"/>
    <n v="0"/>
    <n v="0"/>
    <n v="100"/>
    <n v="0"/>
    <n v="0"/>
    <n v="100"/>
    <n v="0"/>
  </r>
  <r>
    <x v="13"/>
    <x v="0"/>
    <x v="0"/>
    <s v="3300102"/>
    <n v="735070"/>
    <s v="Depreciation-Movable Equipment"/>
    <s v="Progressive Care Unit (PCU)"/>
    <x v="0"/>
    <m/>
    <n v="1923.07"/>
    <n v="1923.07"/>
    <n v="1923.08"/>
    <n v="1923.07"/>
    <n v="1923.08"/>
    <n v="1923.07"/>
    <n v="1923.08"/>
    <n v="1923.07"/>
    <n v="1923.08"/>
    <n v="1923.07"/>
    <n v="1923.09"/>
    <n v="1923.06"/>
    <n v="23076.89"/>
    <n v="2.9999999999972715E-2"/>
  </r>
  <r>
    <x v="0"/>
    <x v="0"/>
    <x v="0"/>
    <s v="3300102"/>
    <n v="740020"/>
    <s v="Education-Registration Fees"/>
    <s v="Progressive Care Unit (PCU)"/>
    <x v="0"/>
    <m/>
    <n v="305"/>
    <n v="1290"/>
    <n v="210"/>
    <n v="780"/>
    <n v="0"/>
    <n v="0"/>
    <n v="45"/>
    <n v="0"/>
    <n v="1005"/>
    <n v="-70"/>
    <n v="695"/>
    <n v="0"/>
    <n v="4260"/>
    <n v="695"/>
  </r>
  <r>
    <x v="0"/>
    <x v="0"/>
    <x v="0"/>
    <s v="3300102"/>
    <n v="749510"/>
    <s v="Miscellaneous Expenses"/>
    <s v="Progressive Care Unit (PCU)"/>
    <x v="0"/>
    <m/>
    <n v="210"/>
    <n v="2601.15"/>
    <n v="80.38"/>
    <n v="2168.34"/>
    <n v="0"/>
    <n v="2194.58"/>
    <n v="4359.82"/>
    <n v="0"/>
    <n v="902.06"/>
    <n v="8738"/>
    <n v="2326.63"/>
    <n v="223.3"/>
    <n v="23804.260000000002"/>
    <n v="2103.33"/>
  </r>
  <r>
    <x v="0"/>
    <x v="0"/>
    <x v="0"/>
    <s v="3300102"/>
    <n v="749530"/>
    <s v="Travel"/>
    <s v="Progressive Care Unit (PCU)"/>
    <x v="0"/>
    <m/>
    <n v="0"/>
    <n v="0"/>
    <n v="0"/>
    <n v="0"/>
    <n v="0"/>
    <n v="0"/>
    <n v="0"/>
    <n v="0"/>
    <n v="0"/>
    <n v="0"/>
    <n v="0"/>
    <n v="147.38"/>
    <n v="147.38"/>
    <n v="-147.38"/>
  </r>
  <r>
    <x v="0"/>
    <x v="0"/>
    <x v="0"/>
    <s v="3300102"/>
    <n v="749535"/>
    <s v="Meetings"/>
    <s v="Progressive Care Unit (PCU)"/>
    <x v="0"/>
    <m/>
    <n v="0"/>
    <n v="0"/>
    <n v="0"/>
    <n v="0"/>
    <n v="0"/>
    <n v="0"/>
    <n v="0"/>
    <n v="0"/>
    <n v="0"/>
    <n v="0"/>
    <n v="0"/>
    <n v="98.8"/>
    <n v="98.8"/>
    <n v="-98.8"/>
  </r>
  <r>
    <x v="18"/>
    <x v="4"/>
    <x v="0"/>
    <s v="3300103"/>
    <n v="400010"/>
    <s v="Acute I/P Svcs Rev--Medicare"/>
    <s v="Progressive Care Unit (PCU)"/>
    <x v="0"/>
    <n v="1100"/>
    <n v="-1103741.32"/>
    <n v="-1196090.6599999999"/>
    <n v="-1285719.3799999999"/>
    <n v="-1462750.79"/>
    <n v="-1554224.17"/>
    <n v="-1287328.78"/>
    <n v="-1463579.22"/>
    <n v="-1328242.42"/>
    <n v="-1515579.35"/>
    <n v="-1268806.07"/>
    <n v="-1275719"/>
    <n v="-1341184.57"/>
    <n v="-16082965.73"/>
    <n v="65465.570000000065"/>
  </r>
  <r>
    <x v="18"/>
    <x v="4"/>
    <x v="0"/>
    <s v="3300103"/>
    <n v="400010"/>
    <s v="Acute I/P Svcs Rev--Medicaid"/>
    <s v="Progressive Care Unit (PCU)"/>
    <x v="0"/>
    <n v="1200"/>
    <n v="-708852.54"/>
    <n v="-452162.17"/>
    <n v="-345455.52"/>
    <n v="-459968.12"/>
    <n v="-408857.88"/>
    <n v="-778853.68"/>
    <n v="-512093.12"/>
    <n v="-742077.78"/>
    <n v="-681209.84"/>
    <n v="-594342.94999999995"/>
    <n v="-683902.1"/>
    <n v="-500656.21"/>
    <n v="-6868431.9100000001"/>
    <n v="-183245.88999999996"/>
  </r>
  <r>
    <x v="18"/>
    <x v="4"/>
    <x v="0"/>
    <s v="3300103"/>
    <n v="400010"/>
    <s v="Acute I/P Svcs Rev--Comm Insurance"/>
    <s v="Progressive Care Unit (PCU)"/>
    <x v="0"/>
    <n v="1300"/>
    <n v="0"/>
    <n v="0"/>
    <n v="-8832.2199999999993"/>
    <n v="-7596.21"/>
    <n v="-14576.52"/>
    <n v="-17817.46"/>
    <n v="-36214.14"/>
    <n v="0"/>
    <n v="-2987.58"/>
    <n v="-61674.62"/>
    <n v="-8178.38"/>
    <n v="-38752.32"/>
    <n v="-196629.45"/>
    <n v="30573.94"/>
  </r>
  <r>
    <x v="18"/>
    <x v="4"/>
    <x v="0"/>
    <s v="3300103"/>
    <n v="400010"/>
    <s v="Acute I/P Svcs Rev--BCBS Comm"/>
    <s v="Progressive Care Unit (PCU)"/>
    <x v="0"/>
    <n v="1301"/>
    <n v="-48037.89"/>
    <n v="-14811.73"/>
    <n v="-53739.61"/>
    <n v="-36310.43"/>
    <n v="-32990.019999999997"/>
    <n v="-47544.82"/>
    <n v="-46953.21"/>
    <n v="-15569.03"/>
    <n v="-46978.42"/>
    <n v="-35071.660000000003"/>
    <n v="-10366.379999999999"/>
    <n v="-99047.58"/>
    <n v="-487420.78000000009"/>
    <n v="88681.2"/>
  </r>
  <r>
    <x v="18"/>
    <x v="4"/>
    <x v="0"/>
    <s v="3300103"/>
    <n v="400010"/>
    <s v="Acute I/P Svcs Rev--Managed Care"/>
    <s v="Progressive Care Unit (PCU)"/>
    <x v="0"/>
    <n v="1400"/>
    <n v="-70829.36"/>
    <n v="-192690.3"/>
    <n v="-272998.57"/>
    <n v="-167961.07"/>
    <n v="-85743.45"/>
    <n v="-84653.16"/>
    <n v="-131606.63"/>
    <n v="-149382.79"/>
    <n v="-107936.81"/>
    <n v="-83293.919999999998"/>
    <n v="-93691.95"/>
    <n v="-113589.21"/>
    <n v="-1554377.22"/>
    <n v="19897.260000000009"/>
  </r>
  <r>
    <x v="18"/>
    <x v="4"/>
    <x v="0"/>
    <s v="3300103"/>
    <n v="400010"/>
    <s v="Acute I/P Svcs Rev--Self Pay"/>
    <s v="Progressive Care Unit (PCU)"/>
    <x v="0"/>
    <n v="1500"/>
    <n v="-83997.45"/>
    <n v="-55041.21"/>
    <n v="17387.11"/>
    <n v="-27278.33"/>
    <n v="1216.46"/>
    <n v="-31586.639999999999"/>
    <n v="7653.26"/>
    <n v="-30370.23"/>
    <n v="-49311.4"/>
    <n v="-7064.17"/>
    <n v="9553.5300000000007"/>
    <n v="-11242.91"/>
    <n v="-260081.98"/>
    <n v="20796.440000000002"/>
  </r>
  <r>
    <x v="18"/>
    <x v="4"/>
    <x v="0"/>
    <s v="3300103"/>
    <n v="400010"/>
    <s v="Acute I/P Svcs Rev--Other"/>
    <s v="Progressive Care Unit (PCU)"/>
    <x v="0"/>
    <n v="1700"/>
    <n v="-40354.559999999998"/>
    <n v="-169144.88"/>
    <n v="-141030.93"/>
    <n v="-118858.25"/>
    <n v="-26905.360000000001"/>
    <n v="-148482.41"/>
    <n v="-157144.34"/>
    <n v="-88572.56"/>
    <n v="-82363.649999999994"/>
    <n v="-220831.04"/>
    <n v="-121850.99"/>
    <n v="-142301.17000000001"/>
    <n v="-1457840.14"/>
    <n v="20450.180000000008"/>
  </r>
  <r>
    <x v="19"/>
    <x v="4"/>
    <x v="0"/>
    <s v="3300103"/>
    <n v="400020"/>
    <s v="O/P Care Svcs Rev--Medicare"/>
    <s v="Progressive Care Unit (PCU)"/>
    <x v="0"/>
    <n v="1100"/>
    <n v="-136337.01"/>
    <n v="-124229.92"/>
    <n v="-80326.100000000006"/>
    <n v="-232219.88"/>
    <n v="-80315.570000000007"/>
    <n v="-86921.7"/>
    <n v="-109980.11"/>
    <n v="-151923.54"/>
    <n v="-129531.88"/>
    <n v="-164447.62"/>
    <n v="-148880.13"/>
    <n v="-89538.76"/>
    <n v="-1534652.22"/>
    <n v="-59341.37000000001"/>
  </r>
  <r>
    <x v="19"/>
    <x v="4"/>
    <x v="0"/>
    <s v="3300103"/>
    <n v="400020"/>
    <s v="O/P Care Svcs Rev--Medicaid"/>
    <s v="Progressive Care Unit (PCU)"/>
    <x v="0"/>
    <n v="1200"/>
    <n v="-48310.73"/>
    <n v="-86036.34"/>
    <n v="-103636.16"/>
    <n v="-82462.83"/>
    <n v="-37655.449999999997"/>
    <n v="-45096.66"/>
    <n v="-116158.9"/>
    <n v="-41378.92"/>
    <n v="-6353.04"/>
    <n v="-43184.86"/>
    <n v="-61415.66"/>
    <n v="-55148.639999999999"/>
    <n v="-726838.19000000018"/>
    <n v="-6267.0200000000041"/>
  </r>
  <r>
    <x v="19"/>
    <x v="4"/>
    <x v="0"/>
    <s v="3300103"/>
    <n v="400020"/>
    <s v="O/P Care Svcs Rev--Comm Insurance"/>
    <s v="Progressive Care Unit (PCU)"/>
    <x v="0"/>
    <n v="1300"/>
    <n v="4781.54"/>
    <n v="0"/>
    <n v="0"/>
    <n v="0"/>
    <n v="0"/>
    <n v="0"/>
    <n v="-9198.73"/>
    <n v="-3402"/>
    <n v="0"/>
    <n v="0"/>
    <n v="-3405.12"/>
    <n v="-7212.24"/>
    <n v="-18436.55"/>
    <n v="3807.12"/>
  </r>
  <r>
    <x v="19"/>
    <x v="4"/>
    <x v="0"/>
    <s v="3300103"/>
    <n v="400020"/>
    <s v="O/P Care Svcs Rev--BCBS Comm"/>
    <s v="Progressive Care Unit (PCU)"/>
    <x v="0"/>
    <n v="1301"/>
    <n v="-19100.97"/>
    <n v="-18735.150000000001"/>
    <n v="-23664.23"/>
    <n v="-14095.12"/>
    <n v="0"/>
    <n v="-9855.75"/>
    <n v="-2642.6"/>
    <n v="0"/>
    <n v="-27803.23"/>
    <n v="-2798.32"/>
    <n v="-7958.86"/>
    <n v="0"/>
    <n v="-126654.23000000001"/>
    <n v="-7958.86"/>
  </r>
  <r>
    <x v="19"/>
    <x v="4"/>
    <x v="0"/>
    <s v="3300103"/>
    <n v="400020"/>
    <s v="O/P Care Svcs Rev--Managed Care"/>
    <s v="Progressive Care Unit (PCU)"/>
    <x v="0"/>
    <n v="1400"/>
    <n v="-44821.94"/>
    <n v="-1812.68"/>
    <n v="-14330.98"/>
    <n v="-25647.26"/>
    <n v="-36297.699999999997"/>
    <n v="-13800.32"/>
    <n v="-42519.76"/>
    <n v="-30771.54"/>
    <n v="-19393.34"/>
    <n v="-18747.13"/>
    <n v="-8287.06"/>
    <n v="-5579.28"/>
    <n v="-262008.99000000002"/>
    <n v="-2707.7799999999997"/>
  </r>
  <r>
    <x v="19"/>
    <x v="4"/>
    <x v="0"/>
    <s v="3300103"/>
    <n v="400020"/>
    <s v="O/P Care Svcs Rev--Self Pay"/>
    <s v="Progressive Care Unit (PCU)"/>
    <x v="0"/>
    <n v="1500"/>
    <n v="754.98"/>
    <n v="-396.39"/>
    <n v="-528.52"/>
    <n v="-660.65"/>
    <n v="-10544.93"/>
    <n v="-6077.98"/>
    <n v="-12079.92"/>
    <n v="-8096.71"/>
    <n v="-14414.13"/>
    <n v="-7783.14"/>
    <n v="-8573.0400000000009"/>
    <n v="-1557.79"/>
    <n v="-69958.219999999987"/>
    <n v="-7015.2500000000009"/>
  </r>
  <r>
    <x v="19"/>
    <x v="4"/>
    <x v="0"/>
    <s v="3300103"/>
    <n v="400020"/>
    <s v="O/P Care Svcs Rev--Other"/>
    <s v="Progressive Care Unit (PCU)"/>
    <x v="0"/>
    <n v="1700"/>
    <n v="-58366.2"/>
    <n v="-27181.43"/>
    <n v="-7022.95"/>
    <n v="-3367.6"/>
    <n v="-33787.47"/>
    <n v="-27247.56"/>
    <n v="-17594.98"/>
    <n v="-5433.35"/>
    <n v="-34417.82"/>
    <n v="-24663.58"/>
    <n v="-16255.82"/>
    <n v="-9832.4"/>
    <n v="-265171.16000000009"/>
    <n v="-6423.42"/>
  </r>
  <r>
    <x v="5"/>
    <x v="4"/>
    <x v="0"/>
    <s v="3300103"/>
    <n v="700014"/>
    <s v="Salaries-Management-Productive"/>
    <s v="Progressive Care Unit (PCU)"/>
    <x v="0"/>
    <m/>
    <n v="3765.05"/>
    <n v="8480.25"/>
    <n v="11542.01"/>
    <n v="6970.2"/>
    <n v="11158.98"/>
    <n v="7988.32"/>
    <n v="5874.76"/>
    <n v="8792.6"/>
    <n v="10558.49"/>
    <n v="11098.68"/>
    <n v="10198.17"/>
    <n v="11279.35"/>
    <n v="107706.86"/>
    <n v="-1081.1800000000003"/>
  </r>
  <r>
    <x v="5"/>
    <x v="4"/>
    <x v="0"/>
    <s v="3300103"/>
    <n v="700014"/>
    <s v="Salaries-Management-OT"/>
    <s v="Progressive Care Unit (PCU)"/>
    <x v="0"/>
    <n v="1000"/>
    <n v="0"/>
    <n v="0"/>
    <n v="0"/>
    <n v="0"/>
    <n v="-18.05"/>
    <n v="0"/>
    <n v="0"/>
    <n v="0"/>
    <n v="0"/>
    <n v="0"/>
    <n v="0"/>
    <n v="0"/>
    <n v="-18.05"/>
    <n v="0"/>
  </r>
  <r>
    <x v="5"/>
    <x v="4"/>
    <x v="0"/>
    <s v="3300103"/>
    <n v="700014"/>
    <s v="Salaries-Management-Other"/>
    <s v="Progressive Care Unit (PCU)"/>
    <x v="0"/>
    <n v="2000"/>
    <n v="0"/>
    <n v="0"/>
    <n v="0"/>
    <n v="0"/>
    <n v="-1874.68"/>
    <n v="0"/>
    <n v="0"/>
    <n v="0"/>
    <n v="0"/>
    <n v="0"/>
    <n v="0"/>
    <n v="0"/>
    <n v="-1874.68"/>
    <n v="0"/>
  </r>
  <r>
    <x v="5"/>
    <x v="4"/>
    <x v="0"/>
    <s v="3300103"/>
    <n v="700026"/>
    <s v="Salaries-RN-Productive"/>
    <s v="Progressive Care Unit (PCU)"/>
    <x v="0"/>
    <m/>
    <n v="156302.85"/>
    <n v="167608.73000000001"/>
    <n v="209551.64"/>
    <n v="192858.51"/>
    <n v="173838.41"/>
    <n v="208231.19"/>
    <n v="213306.77"/>
    <n v="183511.37"/>
    <n v="201004.5"/>
    <n v="183745.68"/>
    <n v="172994.58"/>
    <n v="192390"/>
    <n v="2255344.2300000004"/>
    <n v="-19395.420000000013"/>
  </r>
  <r>
    <x v="5"/>
    <x v="4"/>
    <x v="0"/>
    <s v="3300103"/>
    <n v="700026"/>
    <s v="Salaries-RN-OT"/>
    <s v="Progressive Care Unit (PCU)"/>
    <x v="0"/>
    <n v="1000"/>
    <n v="10516.56"/>
    <n v="5758.19"/>
    <n v="6172.72"/>
    <n v="13064.73"/>
    <n v="4730.8599999999997"/>
    <n v="8257.16"/>
    <n v="10583.62"/>
    <n v="5448.44"/>
    <n v="7010.88"/>
    <n v="11676.23"/>
    <n v="-39.94"/>
    <n v="8330.76"/>
    <n v="91510.209999999992"/>
    <n v="-8370.7000000000007"/>
  </r>
  <r>
    <x v="5"/>
    <x v="4"/>
    <x v="0"/>
    <s v="3300103"/>
    <n v="700026"/>
    <s v="Salaries-RN-Other"/>
    <s v="Progressive Care Unit (PCU)"/>
    <x v="0"/>
    <n v="2000"/>
    <n v="17833.939999999999"/>
    <n v="19669.650000000001"/>
    <n v="21299"/>
    <n v="21054.2"/>
    <n v="20647.25"/>
    <n v="22398.44"/>
    <n v="21864.25"/>
    <n v="18358.71"/>
    <n v="20676.39"/>
    <n v="20133.62"/>
    <n v="22084.15"/>
    <n v="20030.53"/>
    <n v="246050.12999999995"/>
    <n v="2053.6200000000026"/>
  </r>
  <r>
    <x v="5"/>
    <x v="4"/>
    <x v="0"/>
    <s v="3300103"/>
    <n v="700032"/>
    <s v="Salaries-Other Pat Care Providers-Productive"/>
    <s v="Progressive Care Unit (PCU)"/>
    <x v="0"/>
    <m/>
    <n v="42625.79"/>
    <n v="40943.99"/>
    <n v="44654.54"/>
    <n v="22716.7"/>
    <n v="29838.79"/>
    <n v="28413.71"/>
    <n v="32670.39"/>
    <n v="25568.71"/>
    <n v="32099.37"/>
    <n v="34102.61"/>
    <n v="42531.91"/>
    <n v="38457.879999999997"/>
    <n v="414624.39"/>
    <n v="4074.0300000000061"/>
  </r>
  <r>
    <x v="5"/>
    <x v="4"/>
    <x v="0"/>
    <s v="3300103"/>
    <n v="700032"/>
    <s v="Salaries-Other Pat Care Providers-OT"/>
    <s v="Progressive Care Unit (PCU)"/>
    <x v="0"/>
    <n v="1000"/>
    <n v="1820.63"/>
    <n v="351.72"/>
    <n v="2392.1"/>
    <n v="944.92"/>
    <n v="1505.2"/>
    <n v="42.51"/>
    <n v="441.4"/>
    <n v="694.1"/>
    <n v="621.14"/>
    <n v="887.73"/>
    <n v="300.22000000000003"/>
    <n v="2045.07"/>
    <n v="12046.739999999998"/>
    <n v="-1744.85"/>
  </r>
  <r>
    <x v="5"/>
    <x v="4"/>
    <x v="0"/>
    <s v="3300103"/>
    <n v="700032"/>
    <s v="Salaries-Other Pat Care Providers-Other"/>
    <s v="Progressive Care Unit (PCU)"/>
    <x v="0"/>
    <n v="2000"/>
    <n v="3377.6"/>
    <n v="3000.27"/>
    <n v="3150.77"/>
    <n v="2284"/>
    <n v="2573.3000000000002"/>
    <n v="2501.6"/>
    <n v="2915.34"/>
    <n v="2465.42"/>
    <n v="2664.94"/>
    <n v="3141.87"/>
    <n v="4064.74"/>
    <n v="3810.55"/>
    <n v="35950.399999999994"/>
    <n v="254.1899999999996"/>
  </r>
  <r>
    <x v="5"/>
    <x v="4"/>
    <x v="0"/>
    <s v="3300103"/>
    <n v="700038"/>
    <s v="Salaries-Service/Support-Productive"/>
    <s v="Progressive Care Unit (PCU)"/>
    <x v="0"/>
    <m/>
    <n v="6740.74"/>
    <n v="6880.97"/>
    <n v="7706.83"/>
    <n v="5668.82"/>
    <n v="6016.51"/>
    <n v="9805.74"/>
    <n v="5754.33"/>
    <n v="7922.75"/>
    <n v="6846.1"/>
    <n v="8538.7000000000007"/>
    <n v="7515.9"/>
    <n v="7635.14"/>
    <n v="87032.53"/>
    <n v="-119.24000000000069"/>
  </r>
  <r>
    <x v="5"/>
    <x v="4"/>
    <x v="0"/>
    <s v="3300103"/>
    <n v="700038"/>
    <s v="Salaries-Service/Support-OT"/>
    <s v="Progressive Care Unit (PCU)"/>
    <x v="0"/>
    <n v="1000"/>
    <n v="1357.77"/>
    <n v="904.72"/>
    <n v="220.79"/>
    <n v="599.29"/>
    <n v="908.61"/>
    <n v="307.5"/>
    <n v="952.69"/>
    <n v="-239.65"/>
    <n v="25.93"/>
    <n v="262.95"/>
    <n v="896.3"/>
    <n v="-386.38"/>
    <n v="5810.5200000000013"/>
    <n v="1282.6799999999998"/>
  </r>
  <r>
    <x v="5"/>
    <x v="4"/>
    <x v="0"/>
    <s v="3300103"/>
    <n v="700038"/>
    <s v="Salaries-Service/Support-Other"/>
    <s v="Progressive Care Unit (PCU)"/>
    <x v="0"/>
    <n v="2000"/>
    <n v="163.91"/>
    <n v="199.93"/>
    <n v="256.89"/>
    <n v="179.9"/>
    <n v="46.58"/>
    <n v="214.55"/>
    <n v="218.63"/>
    <n v="140.75"/>
    <n v="171.27"/>
    <n v="223.08"/>
    <n v="204.87"/>
    <n v="145.97"/>
    <n v="2166.3299999999995"/>
    <n v="58.900000000000006"/>
  </r>
  <r>
    <x v="5"/>
    <x v="4"/>
    <x v="0"/>
    <s v="3300103"/>
    <n v="700054"/>
    <s v="Salaries-Management-Non-productive"/>
    <s v="Progressive Care Unit (PCU)"/>
    <x v="0"/>
    <m/>
    <n v="1688.96"/>
    <n v="492.69"/>
    <n v="2885.44"/>
    <n v="2729.43"/>
    <n v="-395.8"/>
    <n v="3166.43"/>
    <n v="5297.41"/>
    <n v="840.18"/>
    <n v="612.62"/>
    <n v="-288.26"/>
    <n v="972.94"/>
    <n v="-468.43"/>
    <n v="17533.609999999997"/>
    <n v="1441.3700000000001"/>
  </r>
  <r>
    <x v="5"/>
    <x v="4"/>
    <x v="0"/>
    <s v="3300103"/>
    <n v="700054"/>
    <s v="Salaries-Management-NonProd-Other"/>
    <s v="Progressive Care Unit (PCU)"/>
    <x v="0"/>
    <n v="2000"/>
    <n v="0"/>
    <n v="0"/>
    <n v="0"/>
    <n v="0"/>
    <n v="0"/>
    <n v="3420.66"/>
    <n v="-3420.66"/>
    <n v="0"/>
    <n v="0"/>
    <n v="0"/>
    <n v="0"/>
    <n v="0"/>
    <n v="0"/>
    <n v="0"/>
  </r>
  <r>
    <x v="5"/>
    <x v="4"/>
    <x v="0"/>
    <s v="3300103"/>
    <n v="700066"/>
    <s v="Salaries-RN-Non-productive"/>
    <s v="Progressive Care Unit (PCU)"/>
    <x v="0"/>
    <m/>
    <n v="26178.28"/>
    <n v="30207.71"/>
    <n v="16922.439999999999"/>
    <n v="19107.34"/>
    <n v="36013.589999999997"/>
    <n v="17341.88"/>
    <n v="19536"/>
    <n v="14980.42"/>
    <n v="31487.360000000001"/>
    <n v="27687.24"/>
    <n v="19636.419999999998"/>
    <n v="45430.89"/>
    <n v="304529.57"/>
    <n v="-25794.47"/>
  </r>
  <r>
    <x v="5"/>
    <x v="4"/>
    <x v="0"/>
    <s v="3300103"/>
    <n v="700066"/>
    <s v="Salaries-RN-NonProd-Other"/>
    <s v="Progressive Care Unit (PCU)"/>
    <x v="0"/>
    <n v="2000"/>
    <n v="1600.22"/>
    <n v="2460.31"/>
    <n v="1241.31"/>
    <n v="1754.83"/>
    <n v="5011.1099999999997"/>
    <n v="1996.57"/>
    <n v="844.7"/>
    <n v="-1726.62"/>
    <n v="2463.08"/>
    <n v="2169.52"/>
    <n v="534.49"/>
    <n v="3383.78"/>
    <n v="21733.3"/>
    <n v="-2849.29"/>
  </r>
  <r>
    <x v="5"/>
    <x v="4"/>
    <x v="0"/>
    <s v="3300103"/>
    <n v="700072"/>
    <s v="Salaries-Other Pat Care Providers-Non-productive"/>
    <s v="Progressive Care Unit (PCU)"/>
    <x v="0"/>
    <m/>
    <n v="9437.85"/>
    <n v="7165.14"/>
    <n v="6422.6"/>
    <n v="6561.58"/>
    <n v="16070.54"/>
    <n v="6828.85"/>
    <n v="4353.0600000000004"/>
    <n v="10827.56"/>
    <n v="7662.5"/>
    <n v="7318.68"/>
    <n v="6996.79"/>
    <n v="4936.63"/>
    <n v="94581.780000000013"/>
    <n v="2060.16"/>
  </r>
  <r>
    <x v="5"/>
    <x v="4"/>
    <x v="0"/>
    <s v="3300103"/>
    <n v="700072"/>
    <s v="Salaries-Other Pat Care Providers-NonProd-Other"/>
    <s v="Progressive Care Unit (PCU)"/>
    <x v="0"/>
    <n v="2000"/>
    <n v="437.11"/>
    <n v="307.93"/>
    <n v="395.76"/>
    <n v="341.21"/>
    <n v="1161.6400000000001"/>
    <n v="245.19"/>
    <n v="122.05"/>
    <n v="-38.93"/>
    <n v="273.33999999999997"/>
    <n v="330.08"/>
    <n v="385.42"/>
    <n v="25.78"/>
    <n v="3986.5800000000008"/>
    <n v="359.64"/>
  </r>
  <r>
    <x v="5"/>
    <x v="4"/>
    <x v="0"/>
    <s v="3300103"/>
    <n v="700078"/>
    <s v="Salaries-Service/Support-Non-productive"/>
    <s v="Progressive Care Unit (PCU)"/>
    <x v="0"/>
    <m/>
    <n v="320.83999999999997"/>
    <n v="608.98"/>
    <n v="1633.07"/>
    <n v="648.1"/>
    <n v="250.8"/>
    <n v="1978.68"/>
    <n v="3181.97"/>
    <n v="1412.6"/>
    <n v="3189.58"/>
    <n v="-780.95"/>
    <n v="1591.9"/>
    <n v="1257.31"/>
    <n v="15292.88"/>
    <n v="334.59000000000015"/>
  </r>
  <r>
    <x v="5"/>
    <x v="4"/>
    <x v="0"/>
    <s v="3300103"/>
    <n v="700078"/>
    <s v="Salaries-Service/Support-NonProd-Other"/>
    <s v="Progressive Care Unit (PCU)"/>
    <x v="0"/>
    <n v="2000"/>
    <n v="0"/>
    <n v="5.51"/>
    <n v="0"/>
    <n v="0"/>
    <n v="0"/>
    <n v="0"/>
    <n v="5.52"/>
    <n v="0"/>
    <n v="0"/>
    <n v="0"/>
    <n v="0"/>
    <n v="0"/>
    <n v="11.03"/>
    <n v="0"/>
  </r>
  <r>
    <x v="5"/>
    <x v="4"/>
    <x v="0"/>
    <s v="3300103"/>
    <n v="700084"/>
    <s v="Accrued PTO"/>
    <s v="Progressive Care Unit (PCU)"/>
    <x v="0"/>
    <m/>
    <n v="-4669.8100000000004"/>
    <n v="-4066.62"/>
    <n v="4816.5200000000004"/>
    <n v="5991.01"/>
    <n v="342.23"/>
    <n v="9512.5300000000007"/>
    <n v="9218.32"/>
    <n v="12667.01"/>
    <n v="7051.15"/>
    <n v="2816.36"/>
    <n v="86.17"/>
    <n v="-10590.01"/>
    <n v="33174.86"/>
    <n v="10676.18"/>
  </r>
  <r>
    <x v="10"/>
    <x v="4"/>
    <x v="0"/>
    <s v="3300103"/>
    <n v="710060"/>
    <s v="Contract Labor-Other"/>
    <s v="Progressive Care Unit (PCU)"/>
    <x v="0"/>
    <m/>
    <n v="72224.75"/>
    <n v="65330"/>
    <n v="51071"/>
    <n v="38497.5"/>
    <n v="37290.5"/>
    <n v="35052.5"/>
    <n v="15599.75"/>
    <n v="27385.19"/>
    <n v="26443.87"/>
    <n v="39339.25"/>
    <n v="14093.75"/>
    <n v="35415"/>
    <n v="457743.06"/>
    <n v="-21321.25"/>
  </r>
  <r>
    <x v="10"/>
    <x v="4"/>
    <x v="0"/>
    <s v="3300103"/>
    <n v="710060"/>
    <s v="Contract Labor-Overtime"/>
    <s v="Progressive Care Unit (PCU)"/>
    <x v="0"/>
    <n v="5100"/>
    <n v="1533.6"/>
    <n v="5056.09"/>
    <n v="0"/>
    <n v="0"/>
    <n v="1102.28"/>
    <n v="1653.41"/>
    <n v="1299.71"/>
    <n v="881.76"/>
    <n v="982.46"/>
    <n v="1222.0899999999999"/>
    <n v="872.1"/>
    <n v="0"/>
    <n v="14603.500000000002"/>
    <n v="872.1"/>
  </r>
  <r>
    <x v="10"/>
    <x v="4"/>
    <x v="0"/>
    <s v="3300103"/>
    <n v="710060"/>
    <s v="Contract Labor-Standby Wages"/>
    <s v="Progressive Care Unit (PCU)"/>
    <x v="0"/>
    <n v="5101"/>
    <n v="384"/>
    <n v="256"/>
    <n v="0"/>
    <n v="96"/>
    <n v="0"/>
    <n v="0"/>
    <n v="0"/>
    <n v="0"/>
    <n v="0"/>
    <n v="0"/>
    <n v="22"/>
    <n v="0"/>
    <n v="758"/>
    <n v="22"/>
  </r>
  <r>
    <x v="6"/>
    <x v="4"/>
    <x v="0"/>
    <s v="3300103"/>
    <n v="713010"/>
    <s v="Benefits-FICA/Medicare"/>
    <s v="Progressive Care Unit (PCU)"/>
    <x v="0"/>
    <m/>
    <n v="21086.62"/>
    <n v="21896.17"/>
    <n v="25311.41"/>
    <n v="22188.63"/>
    <n v="22796.34"/>
    <n v="21465.69"/>
    <n v="24571.42"/>
    <n v="20890.18"/>
    <n v="24234.87"/>
    <n v="23100.11"/>
    <n v="22182.639999999999"/>
    <n v="24939.23"/>
    <n v="274663.30999999994"/>
    <n v="-2756.59"/>
  </r>
  <r>
    <x v="6"/>
    <x v="4"/>
    <x v="0"/>
    <s v="3300103"/>
    <n v="713090"/>
    <s v="Benefits-Allocated Amounts"/>
    <s v="Progressive Care Unit (PCU)"/>
    <x v="0"/>
    <m/>
    <n v="56749.38"/>
    <n v="50429.72"/>
    <n v="62764.47"/>
    <n v="51540.59"/>
    <n v="58066.06"/>
    <n v="57676.09"/>
    <n v="63026.61"/>
    <n v="58927.11"/>
    <n v="60495.71"/>
    <n v="64133.51"/>
    <n v="60770.25"/>
    <n v="67577.95"/>
    <n v="712157.44999999984"/>
    <n v="-6807.6999999999971"/>
  </r>
  <r>
    <x v="6"/>
    <x v="4"/>
    <x v="0"/>
    <s v="3300103"/>
    <n v="713096"/>
    <s v="Employee Recognition"/>
    <s v="Progressive Care Unit (PCU)"/>
    <x v="0"/>
    <n v="1017"/>
    <n v="0"/>
    <n v="0"/>
    <n v="48.8"/>
    <n v="0"/>
    <n v="0"/>
    <n v="210.17"/>
    <n v="0"/>
    <n v="0"/>
    <n v="0"/>
    <n v="0"/>
    <n v="394.87"/>
    <n v="700.24"/>
    <n v="1354.08"/>
    <n v="-305.37"/>
  </r>
  <r>
    <x v="7"/>
    <x v="4"/>
    <x v="0"/>
    <s v="3300103"/>
    <n v="718050"/>
    <s v="Contract Svcs-Other"/>
    <s v="Progressive Care Unit (PCU)"/>
    <x v="0"/>
    <m/>
    <n v="22.64"/>
    <n v="0"/>
    <n v="22.64"/>
    <n v="1209.56"/>
    <n v="7230.98"/>
    <n v="22.64"/>
    <n v="45.36"/>
    <n v="0"/>
    <n v="772.68"/>
    <n v="22.68"/>
    <n v="419.43"/>
    <n v="443.28"/>
    <n v="10211.890000000001"/>
    <n v="-23.849999999999966"/>
  </r>
  <r>
    <x v="7"/>
    <x v="4"/>
    <x v="0"/>
    <s v="3300103"/>
    <n v="718050"/>
    <s v="Miscellaneous Purchased Svcs"/>
    <s v="Progressive Care Unit (PCU)"/>
    <x v="0"/>
    <n v="1020"/>
    <n v="0"/>
    <n v="0"/>
    <n v="0"/>
    <n v="0"/>
    <n v="0"/>
    <n v="0"/>
    <n v="0"/>
    <n v="0"/>
    <n v="0"/>
    <n v="0"/>
    <n v="252.75"/>
    <n v="115.25"/>
    <n v="368"/>
    <n v="137.5"/>
  </r>
  <r>
    <x v="7"/>
    <x v="4"/>
    <x v="0"/>
    <s v="3300103"/>
    <n v="718050"/>
    <s v="Translation Services"/>
    <s v="Progressive Care Unit (PCU)"/>
    <x v="0"/>
    <n v="1025"/>
    <n v="142.5"/>
    <n v="38.880000000000003"/>
    <n v="29.79"/>
    <n v="0"/>
    <n v="48"/>
    <n v="0"/>
    <n v="0"/>
    <n v="0"/>
    <n v="0"/>
    <n v="0"/>
    <n v="0"/>
    <n v="0"/>
    <n v="259.16999999999996"/>
    <n v="0"/>
  </r>
  <r>
    <x v="11"/>
    <x v="4"/>
    <x v="0"/>
    <s v="3300103"/>
    <n v="721010"/>
    <s v="Supplies-Medical - Billable"/>
    <s v="Progressive Care Unit (PCU)"/>
    <x v="0"/>
    <m/>
    <n v="2124.0100000000002"/>
    <n v="2721.88"/>
    <n v="2513.89"/>
    <n v="3232.45"/>
    <n v="3088.21"/>
    <n v="3443.59"/>
    <n v="3757.78"/>
    <n v="2899.95"/>
    <n v="3750.73"/>
    <n v="2895.34"/>
    <n v="2114.85"/>
    <n v="3749.99"/>
    <n v="36292.67"/>
    <n v="-1635.1399999999999"/>
  </r>
  <r>
    <x v="11"/>
    <x v="4"/>
    <x v="0"/>
    <s v="3300103"/>
    <n v="721010"/>
    <s v="Patient Monitoring"/>
    <s v="Progressive Care Unit (PCU)"/>
    <x v="0"/>
    <n v="1000"/>
    <n v="450.33"/>
    <n v="371.75"/>
    <n v="410.31"/>
    <n v="404.59"/>
    <n v="311.44"/>
    <n v="381.61"/>
    <n v="234.25"/>
    <n v="299.36"/>
    <n v="310.95999999999998"/>
    <n v="2536.0700000000002"/>
    <n v="567.52"/>
    <n v="256.08"/>
    <n v="6534.27"/>
    <n v="311.44"/>
  </r>
  <r>
    <x v="11"/>
    <x v="4"/>
    <x v="0"/>
    <s v="3300103"/>
    <n v="721020"/>
    <s v="Supplies-Surgical - Billable"/>
    <s v="Progressive Care Unit (PCU)"/>
    <x v="0"/>
    <m/>
    <n v="562.83000000000004"/>
    <n v="551.12"/>
    <n v="872.12"/>
    <n v="912.59"/>
    <n v="612.85"/>
    <n v="998.13"/>
    <n v="905.64"/>
    <n v="911.82"/>
    <n v="572.44000000000005"/>
    <n v="937.08"/>
    <n v="368.08"/>
    <n v="1006.63"/>
    <n v="9211.33"/>
    <n v="-638.54999999999995"/>
  </r>
  <r>
    <x v="11"/>
    <x v="4"/>
    <x v="0"/>
    <s v="3300103"/>
    <n v="721020"/>
    <s v="Custom Packs"/>
    <s v="Progressive Care Unit (PCU)"/>
    <x v="0"/>
    <n v="1000"/>
    <n v="0"/>
    <n v="52.96"/>
    <n v="52.96"/>
    <n v="145.63999999999999"/>
    <n v="0"/>
    <n v="0"/>
    <n v="0"/>
    <n v="0"/>
    <n v="0"/>
    <n v="0"/>
    <n v="0"/>
    <n v="0"/>
    <n v="251.56"/>
    <n v="0"/>
  </r>
  <r>
    <x v="11"/>
    <x v="4"/>
    <x v="0"/>
    <s v="3300103"/>
    <n v="721020"/>
    <s v="Suture/Wound Closure"/>
    <s v="Progressive Care Unit (PCU)"/>
    <x v="0"/>
    <n v="1001"/>
    <n v="5.94"/>
    <n v="5.94"/>
    <n v="0"/>
    <n v="0"/>
    <n v="5.95"/>
    <n v="0"/>
    <n v="0"/>
    <n v="0"/>
    <n v="0"/>
    <n v="3.96"/>
    <n v="3.96"/>
    <n v="5.94"/>
    <n v="31.690000000000005"/>
    <n v="-1.9800000000000004"/>
  </r>
  <r>
    <x v="11"/>
    <x v="4"/>
    <x v="0"/>
    <s v="3300103"/>
    <n v="721020"/>
    <s v="Tubes Drains &amp; Related Supplies"/>
    <s v="Progressive Care Unit (PCU)"/>
    <x v="0"/>
    <n v="1008"/>
    <n v="0"/>
    <n v="0"/>
    <n v="0"/>
    <n v="29.26"/>
    <n v="0"/>
    <n v="0"/>
    <n v="13.43"/>
    <n v="0"/>
    <n v="0"/>
    <n v="0"/>
    <n v="0"/>
    <n v="0"/>
    <n v="42.69"/>
    <n v="0"/>
  </r>
  <r>
    <x v="11"/>
    <x v="4"/>
    <x v="0"/>
    <s v="3300103"/>
    <n v="721240"/>
    <s v="Supplies-IV Solutions/Supplies - Billable"/>
    <s v="Progressive Care Unit (PCU)"/>
    <x v="0"/>
    <m/>
    <n v="1866.43"/>
    <n v="1748.52"/>
    <n v="1730.96"/>
    <n v="2752.68"/>
    <n v="1833.98"/>
    <n v="2691.4"/>
    <n v="2533.69"/>
    <n v="2174.4699999999998"/>
    <n v="2985.36"/>
    <n v="1838.27"/>
    <n v="2419.02"/>
    <n v="2180.88"/>
    <n v="26755.660000000003"/>
    <n v="238.13999999999987"/>
  </r>
  <r>
    <x v="11"/>
    <x v="4"/>
    <x v="0"/>
    <s v="3300103"/>
    <n v="721410"/>
    <s v="Supplies-Medical - Nonbillable"/>
    <s v="Progressive Care Unit (PCU)"/>
    <x v="0"/>
    <m/>
    <n v="9852.81"/>
    <n v="10159.56"/>
    <n v="8769.9599999999991"/>
    <n v="10048.950000000001"/>
    <n v="18735.95"/>
    <n v="13696.98"/>
    <n v="12531.03"/>
    <n v="11503.64"/>
    <n v="11358.44"/>
    <n v="11751.63"/>
    <n v="11237.55"/>
    <n v="13468.55"/>
    <n v="143115.04999999999"/>
    <n v="-2231"/>
  </r>
  <r>
    <x v="11"/>
    <x v="4"/>
    <x v="0"/>
    <s v="3300103"/>
    <n v="721410"/>
    <s v="Patient Monitoring"/>
    <s v="Progressive Care Unit (PCU)"/>
    <x v="0"/>
    <n v="1000"/>
    <n v="0"/>
    <n v="0"/>
    <n v="0"/>
    <n v="0"/>
    <n v="0"/>
    <n v="0.45"/>
    <n v="0.45"/>
    <n v="0"/>
    <n v="0"/>
    <n v="2.7"/>
    <n v="10.8"/>
    <n v="5.4"/>
    <n v="19.8"/>
    <n v="5.4"/>
  </r>
  <r>
    <x v="11"/>
    <x v="4"/>
    <x v="0"/>
    <s v="3300103"/>
    <n v="721420"/>
    <s v="Supplies-Surgical Nonbillable"/>
    <s v="Progressive Care Unit (PCU)"/>
    <x v="0"/>
    <m/>
    <n v="36.1"/>
    <n v="11.51"/>
    <n v="43.44"/>
    <n v="26.66"/>
    <n v="38.47"/>
    <n v="41.56"/>
    <n v="59.6"/>
    <n v="21.26"/>
    <n v="30.16"/>
    <n v="43.81"/>
    <n v="19.5"/>
    <n v="23.72"/>
    <n v="395.79000000000008"/>
    <n v="-4.2199999999999989"/>
  </r>
  <r>
    <x v="11"/>
    <x v="4"/>
    <x v="0"/>
    <s v="3300103"/>
    <n v="721420"/>
    <s v="Tubes Drains &amp; Related Supplies"/>
    <s v="Progressive Care Unit (PCU)"/>
    <x v="0"/>
    <n v="1008"/>
    <n v="15.01"/>
    <n v="10.5"/>
    <n v="16.27"/>
    <n v="6.03"/>
    <n v="0"/>
    <n v="18.09"/>
    <n v="9.0399999999999991"/>
    <n v="12.64"/>
    <n v="13.56"/>
    <n v="29.95"/>
    <n v="6.03"/>
    <n v="25.75"/>
    <n v="162.87"/>
    <n v="-19.72"/>
  </r>
  <r>
    <x v="11"/>
    <x v="4"/>
    <x v="0"/>
    <s v="3300103"/>
    <n v="721420"/>
    <s v="Sterilization Process Products"/>
    <s v="Progressive Care Unit (PCU)"/>
    <x v="0"/>
    <n v="1009"/>
    <n v="0"/>
    <n v="0"/>
    <n v="0"/>
    <n v="10.7"/>
    <n v="14.27"/>
    <n v="0"/>
    <n v="0"/>
    <n v="0"/>
    <n v="0"/>
    <n v="0"/>
    <n v="0"/>
    <n v="-14.17"/>
    <n v="10.799999999999999"/>
    <n v="14.17"/>
  </r>
  <r>
    <x v="11"/>
    <x v="4"/>
    <x v="0"/>
    <s v="3300103"/>
    <n v="721610"/>
    <s v="Supplies-Anesthesia - Nonbillable"/>
    <s v="Progressive Care Unit (PCU)"/>
    <x v="0"/>
    <m/>
    <n v="432.26"/>
    <n v="530.66"/>
    <n v="372.82"/>
    <n v="664.52"/>
    <n v="598.69000000000005"/>
    <n v="679.94"/>
    <n v="807.78"/>
    <n v="715.08"/>
    <n v="614.47"/>
    <n v="589.99"/>
    <n v="494.16"/>
    <n v="426.91"/>
    <n v="6927.28"/>
    <n v="67.25"/>
  </r>
  <r>
    <x v="11"/>
    <x v="4"/>
    <x v="0"/>
    <s v="3300103"/>
    <n v="721640"/>
    <s v="Supplies-IV Solutions/Supplies - Nonbillable"/>
    <s v="Progressive Care Unit (PCU)"/>
    <x v="0"/>
    <m/>
    <n v="2659.77"/>
    <n v="2888.2"/>
    <n v="3288.76"/>
    <n v="4489.6400000000003"/>
    <n v="3788.39"/>
    <n v="3967.35"/>
    <n v="3670.54"/>
    <n v="3756.72"/>
    <n v="4117.8599999999997"/>
    <n v="3618.88"/>
    <n v="3714.63"/>
    <n v="3767.89"/>
    <n v="43728.63"/>
    <n v="-53.259999999999764"/>
  </r>
  <r>
    <x v="11"/>
    <x v="4"/>
    <x v="0"/>
    <s v="3300103"/>
    <n v="721650"/>
    <s v="Supplies-Pharmacy Drugs - Nonbillable"/>
    <s v="Progressive Care Unit (PCU)"/>
    <x v="0"/>
    <m/>
    <n v="50.99"/>
    <n v="94.52"/>
    <n v="183.2"/>
    <n v="120.52"/>
    <n v="96.94"/>
    <n v="209.44"/>
    <n v="99.13"/>
    <n v="141.31"/>
    <n v="114.2"/>
    <n v="124.69"/>
    <n v="85.04"/>
    <n v="132.9"/>
    <n v="1452.88"/>
    <n v="-47.86"/>
  </r>
  <r>
    <x v="11"/>
    <x v="4"/>
    <x v="0"/>
    <s v="3300103"/>
    <n v="721710"/>
    <s v="Supplies-Laboratory - Nonbillable"/>
    <s v="Progressive Care Unit (PCU)"/>
    <x v="0"/>
    <m/>
    <n v="181.4"/>
    <n v="255.74"/>
    <n v="186.24"/>
    <n v="384.28"/>
    <n v="234.42"/>
    <n v="266.38"/>
    <n v="289.73"/>
    <n v="266.68"/>
    <n v="298.27"/>
    <n v="256.49"/>
    <n v="273.24"/>
    <n v="256.56"/>
    <n v="3149.43"/>
    <n v="16.680000000000007"/>
  </r>
  <r>
    <x v="11"/>
    <x v="4"/>
    <x v="0"/>
    <s v="3300103"/>
    <n v="721710"/>
    <s v="Reagents"/>
    <s v="Progressive Care Unit (PCU)"/>
    <x v="0"/>
    <n v="1000"/>
    <n v="83.04"/>
    <n v="0"/>
    <n v="7.8"/>
    <n v="13"/>
    <n v="0"/>
    <n v="7.8"/>
    <n v="20.190000000000001"/>
    <n v="15.6"/>
    <n v="0"/>
    <n v="7.8"/>
    <n v="38.65"/>
    <n v="15.6"/>
    <n v="209.48000000000002"/>
    <n v="23.049999999999997"/>
  </r>
  <r>
    <x v="11"/>
    <x v="4"/>
    <x v="0"/>
    <s v="3300103"/>
    <n v="721750"/>
    <s v="Supplies-Film/Radiographic - Nonbillable"/>
    <s v="Progressive Care Unit (PCU)"/>
    <x v="0"/>
    <m/>
    <n v="3.74"/>
    <n v="2.81"/>
    <n v="0"/>
    <n v="5.61"/>
    <n v="1.87"/>
    <n v="1.87"/>
    <n v="3.74"/>
    <n v="3.75"/>
    <n v="5.62"/>
    <n v="1.87"/>
    <n v="3.74"/>
    <n v="3.74"/>
    <n v="38.360000000000007"/>
    <n v="0"/>
  </r>
  <r>
    <x v="11"/>
    <x v="4"/>
    <x v="0"/>
    <s v="3300103"/>
    <n v="721810"/>
    <s v="Supplies-Dietary/Cafeteria"/>
    <s v="Progressive Care Unit (PCU)"/>
    <x v="0"/>
    <m/>
    <n v="2241.9"/>
    <n v="2640.05"/>
    <n v="2039.57"/>
    <n v="2351.87"/>
    <n v="2358.5300000000002"/>
    <n v="2390.9499999999998"/>
    <n v="2829.64"/>
    <n v="3080.49"/>
    <n v="495.59"/>
    <n v="5665.83"/>
    <n v="3761.8"/>
    <n v="3078.4"/>
    <n v="32934.619999999995"/>
    <n v="683.40000000000009"/>
  </r>
  <r>
    <x v="11"/>
    <x v="4"/>
    <x v="0"/>
    <s v="3300103"/>
    <n v="721830"/>
    <s v="Supplies-Office"/>
    <s v="Progressive Care Unit (PCU)"/>
    <x v="0"/>
    <m/>
    <n v="463.54"/>
    <n v="571.20000000000005"/>
    <n v="854.34"/>
    <n v="281.89999999999998"/>
    <n v="491.91"/>
    <n v="569.4"/>
    <n v="650.03"/>
    <n v="245.05"/>
    <n v="589.19000000000005"/>
    <n v="892.82"/>
    <n v="359.88"/>
    <n v="350.7"/>
    <n v="6319.9599999999991"/>
    <n v="9.1800000000000068"/>
  </r>
  <r>
    <x v="11"/>
    <x v="4"/>
    <x v="0"/>
    <s v="3300103"/>
    <n v="721835"/>
    <s v="Supplies-Forms"/>
    <s v="Progressive Care Unit (PCU)"/>
    <x v="0"/>
    <m/>
    <n v="0"/>
    <n v="0"/>
    <n v="0"/>
    <n v="0"/>
    <n v="497.95"/>
    <n v="62.5"/>
    <n v="11.03"/>
    <n v="0"/>
    <n v="24.76"/>
    <n v="86.4"/>
    <n v="145.66999999999999"/>
    <n v="122.09"/>
    <n v="950.4"/>
    <n v="23.579999999999984"/>
  </r>
  <r>
    <x v="11"/>
    <x v="4"/>
    <x v="0"/>
    <s v="3300103"/>
    <n v="721870"/>
    <s v="Supplies-Environmental Services"/>
    <s v="Progressive Care Unit (PCU)"/>
    <x v="0"/>
    <m/>
    <n v="314.87"/>
    <n v="280.95"/>
    <n v="416.62"/>
    <n v="502.39"/>
    <n v="494.5"/>
    <n v="448.77"/>
    <n v="475.84"/>
    <n v="375.1"/>
    <n v="512.11"/>
    <n v="433.6"/>
    <n v="335.48"/>
    <n v="282.63"/>
    <n v="4872.8599999999997"/>
    <n v="52.850000000000023"/>
  </r>
  <r>
    <x v="11"/>
    <x v="4"/>
    <x v="0"/>
    <s v="3300103"/>
    <n v="721910"/>
    <s v="Supplies-Small Equipment"/>
    <s v="Progressive Care Unit (PCU)"/>
    <x v="0"/>
    <m/>
    <n v="2977.24"/>
    <n v="2966.46"/>
    <n v="4454.3500000000004"/>
    <n v="5293.08"/>
    <n v="6458.72"/>
    <n v="9629.7800000000007"/>
    <n v="6244.54"/>
    <n v="2724.38"/>
    <n v="2625.13"/>
    <n v="5753.38"/>
    <n v="4223.74"/>
    <n v="3296.75"/>
    <n v="56647.549999999988"/>
    <n v="926.98999999999978"/>
  </r>
  <r>
    <x v="11"/>
    <x v="4"/>
    <x v="0"/>
    <s v="3300103"/>
    <n v="721910"/>
    <s v="Instruments"/>
    <s v="Progressive Care Unit (PCU)"/>
    <x v="0"/>
    <n v="1000"/>
    <n v="0"/>
    <n v="0"/>
    <n v="0"/>
    <n v="0"/>
    <n v="0"/>
    <n v="0"/>
    <n v="0"/>
    <n v="0"/>
    <n v="0.73"/>
    <n v="0"/>
    <n v="2.1800000000000002"/>
    <n v="0"/>
    <n v="2.91"/>
    <n v="2.1800000000000002"/>
  </r>
  <r>
    <x v="11"/>
    <x v="4"/>
    <x v="0"/>
    <s v="3300103"/>
    <n v="721980"/>
    <s v="Supplies-Other"/>
    <s v="Progressive Care Unit (PCU)"/>
    <x v="0"/>
    <m/>
    <n v="1327.45"/>
    <n v="350.59"/>
    <n v="0"/>
    <n v="35.42"/>
    <n v="0"/>
    <n v="57.6"/>
    <n v="165.16"/>
    <n v="313.13"/>
    <n v="830.61"/>
    <n v="38.409999999999997"/>
    <n v="70.760000000000005"/>
    <n v="0"/>
    <n v="3189.13"/>
    <n v="70.760000000000005"/>
  </r>
  <r>
    <x v="11"/>
    <x v="4"/>
    <x v="0"/>
    <s v="3300103"/>
    <n v="722000"/>
    <s v="Supplies-Freight Expense"/>
    <s v="Progressive Care Unit (PCU)"/>
    <x v="0"/>
    <m/>
    <n v="0"/>
    <n v="7.93"/>
    <n v="52.88"/>
    <n v="27.2"/>
    <n v="46.79"/>
    <n v="9.56"/>
    <n v="620.62"/>
    <n v="0"/>
    <n v="29.2"/>
    <n v="15.26"/>
    <n v="68.73"/>
    <n v="11.68"/>
    <n v="889.85"/>
    <n v="57.050000000000004"/>
  </r>
  <r>
    <x v="12"/>
    <x v="4"/>
    <x v="0"/>
    <s v="3300103"/>
    <n v="730020"/>
    <s v="Rental and Leases-Equipment (DO NOT USE)"/>
    <s v="Progressive Care Unit (PCU)"/>
    <x v="0"/>
    <m/>
    <n v="0"/>
    <n v="0"/>
    <n v="0"/>
    <n v="-1550.81"/>
    <n v="-599.87"/>
    <n v="0"/>
    <n v="0"/>
    <n v="0"/>
    <n v="0"/>
    <n v="0"/>
    <n v="0"/>
    <n v="0"/>
    <n v="-2150.6799999999998"/>
    <n v="0"/>
  </r>
  <r>
    <x v="12"/>
    <x v="4"/>
    <x v="0"/>
    <s v="3300103"/>
    <n v="730020"/>
    <s v="Rental and Leases-Copier Usage Fees (DO NOT USE)"/>
    <s v="Progressive Care Unit (PCU)"/>
    <x v="0"/>
    <n v="5100"/>
    <n v="82.38"/>
    <n v="84.43"/>
    <n v="83.4"/>
    <n v="83.41"/>
    <n v="83.4"/>
    <n v="83.41"/>
    <n v="98.25"/>
    <n v="87.45"/>
    <n v="87.27"/>
    <n v="87.63"/>
    <n v="57.68"/>
    <n v="71.92"/>
    <n v="990.62999999999988"/>
    <n v="-14.240000000000002"/>
  </r>
  <r>
    <x v="15"/>
    <x v="4"/>
    <x v="0"/>
    <s v="3300103"/>
    <n v="731060"/>
    <s v="Telephone"/>
    <s v="Progressive Care Unit (PCU)"/>
    <x v="0"/>
    <m/>
    <n v="175"/>
    <n v="134.68"/>
    <n v="11.82"/>
    <n v="0"/>
    <n v="0"/>
    <n v="0"/>
    <n v="0"/>
    <n v="0"/>
    <n v="0"/>
    <n v="0"/>
    <n v="93"/>
    <n v="0"/>
    <n v="414.5"/>
    <n v="93"/>
  </r>
  <r>
    <x v="15"/>
    <x v="4"/>
    <x v="0"/>
    <s v="3300103"/>
    <n v="731060"/>
    <s v="Cell Phones"/>
    <s v="Progressive Care Unit (PCU)"/>
    <x v="0"/>
    <n v="1001"/>
    <n v="0"/>
    <n v="27.38"/>
    <n v="54.74"/>
    <n v="0"/>
    <n v="26.83"/>
    <n v="27.45"/>
    <n v="54.82"/>
    <n v="0"/>
    <n v="68.34"/>
    <n v="100.26"/>
    <n v="49.48"/>
    <n v="50.15"/>
    <n v="459.45"/>
    <n v="-0.67000000000000171"/>
  </r>
  <r>
    <x v="15"/>
    <x v="4"/>
    <x v="0"/>
    <s v="3300103"/>
    <n v="731060"/>
    <s v="Pagers"/>
    <s v="Progressive Care Unit (PCU)"/>
    <x v="0"/>
    <n v="1002"/>
    <n v="24.3"/>
    <n v="24.3"/>
    <n v="24.3"/>
    <n v="24.36"/>
    <n v="24.36"/>
    <n v="0"/>
    <n v="48.72"/>
    <n v="24.36"/>
    <n v="24.36"/>
    <n v="24.36"/>
    <n v="24.36"/>
    <n v="24.36"/>
    <n v="292.14000000000004"/>
    <n v="0"/>
  </r>
  <r>
    <x v="16"/>
    <x v="4"/>
    <x v="0"/>
    <s v="3300103"/>
    <n v="732030"/>
    <s v="Repairs---Other"/>
    <s v="Progressive Care Unit (PCU)"/>
    <x v="0"/>
    <m/>
    <n v="0"/>
    <n v="0"/>
    <n v="0"/>
    <n v="0"/>
    <n v="0"/>
    <n v="0"/>
    <n v="0"/>
    <n v="2126.5700000000002"/>
    <n v="0"/>
    <n v="0"/>
    <n v="0"/>
    <n v="0"/>
    <n v="2126.5700000000002"/>
    <n v="0"/>
  </r>
  <r>
    <x v="13"/>
    <x v="4"/>
    <x v="0"/>
    <s v="3300103"/>
    <n v="735070"/>
    <s v="Depreciation-Movable Equipment"/>
    <s v="Progressive Care Unit (PCU)"/>
    <x v="0"/>
    <m/>
    <n v="693.28"/>
    <n v="693.27"/>
    <n v="693.29"/>
    <n v="693.27"/>
    <n v="693.3"/>
    <n v="693.26"/>
    <n v="693.3"/>
    <n v="693.26"/>
    <n v="693.3"/>
    <n v="693.26"/>
    <n v="693.3"/>
    <n v="693.26"/>
    <n v="8319.35"/>
    <n v="3.999999999996362E-2"/>
  </r>
  <r>
    <x v="0"/>
    <x v="4"/>
    <x v="0"/>
    <s v="3300103"/>
    <n v="740020"/>
    <s v="Education-Registration Fees"/>
    <s v="Progressive Care Unit (PCU)"/>
    <x v="0"/>
    <m/>
    <n v="350"/>
    <n v="805"/>
    <n v="775"/>
    <n v="0"/>
    <n v="875"/>
    <n v="0"/>
    <n v="0"/>
    <n v="345"/>
    <n v="2200"/>
    <n v="620"/>
    <n v="580"/>
    <n v="2257.41"/>
    <n v="8807.41"/>
    <n v="-1677.4099999999999"/>
  </r>
  <r>
    <x v="0"/>
    <x v="4"/>
    <x v="0"/>
    <s v="3300103"/>
    <n v="740030"/>
    <s v="Education-Travel"/>
    <s v="Progressive Care Unit (PCU)"/>
    <x v="0"/>
    <m/>
    <n v="0"/>
    <n v="0"/>
    <n v="0"/>
    <n v="0"/>
    <n v="0"/>
    <n v="0"/>
    <n v="0"/>
    <n v="0"/>
    <n v="0"/>
    <n v="0"/>
    <n v="0"/>
    <n v="603.41999999999996"/>
    <n v="603.41999999999996"/>
    <n v="-603.41999999999996"/>
  </r>
  <r>
    <x v="0"/>
    <x v="4"/>
    <x v="0"/>
    <s v="3300103"/>
    <n v="743030"/>
    <s v="Subscriptions--Institutional"/>
    <s v="Progressive Care Unit (PCU)"/>
    <x v="0"/>
    <m/>
    <n v="0"/>
    <n v="0"/>
    <n v="162.58000000000001"/>
    <n v="0"/>
    <n v="58.35"/>
    <n v="0"/>
    <n v="0"/>
    <n v="0"/>
    <n v="0"/>
    <n v="0"/>
    <n v="0"/>
    <n v="0"/>
    <n v="220.93"/>
    <n v="0"/>
  </r>
  <r>
    <x v="0"/>
    <x v="4"/>
    <x v="0"/>
    <s v="3300103"/>
    <n v="749510"/>
    <s v="Miscellaneous Expenses"/>
    <s v="Progressive Care Unit (PCU)"/>
    <x v="0"/>
    <m/>
    <n v="0"/>
    <n v="818.65"/>
    <n v="535.9"/>
    <n v="170.8"/>
    <n v="87.35"/>
    <n v="84.63"/>
    <n v="149.16999999999999"/>
    <n v="2826.72"/>
    <n v="1542.66"/>
    <n v="4044.69"/>
    <n v="3377.74"/>
    <n v="-312.39999999999998"/>
    <n v="13325.91"/>
    <n v="3690.14"/>
  </r>
  <r>
    <x v="0"/>
    <x v="4"/>
    <x v="0"/>
    <s v="3300103"/>
    <n v="749510"/>
    <s v="RICE Rewards"/>
    <s v="Progressive Care Unit (PCU)"/>
    <x v="0"/>
    <n v="5100"/>
    <n v="0"/>
    <n v="0"/>
    <n v="0"/>
    <n v="0"/>
    <n v="0"/>
    <n v="36.43"/>
    <n v="0"/>
    <n v="0"/>
    <n v="0"/>
    <n v="0"/>
    <n v="0"/>
    <n v="2529.2800000000002"/>
    <n v="2565.71"/>
    <n v="-2529.2800000000002"/>
  </r>
  <r>
    <x v="0"/>
    <x v="4"/>
    <x v="0"/>
    <s v="3300103"/>
    <n v="749530"/>
    <s v="Travel"/>
    <s v="Progressive Care Unit (PCU)"/>
    <x v="0"/>
    <m/>
    <n v="0"/>
    <n v="0"/>
    <n v="0"/>
    <n v="0"/>
    <n v="0"/>
    <n v="0"/>
    <n v="0"/>
    <n v="0"/>
    <n v="0"/>
    <n v="0"/>
    <n v="308.3"/>
    <n v="1290.03"/>
    <n v="1598.33"/>
    <n v="-981.73"/>
  </r>
  <r>
    <x v="18"/>
    <x v="8"/>
    <x v="0"/>
    <s v="3300104"/>
    <n v="400010"/>
    <s v="Acute I/P Svcs Rev--Medicare"/>
    <s v="PCU-3 North"/>
    <x v="0"/>
    <n v="1100"/>
    <n v="-27682.91"/>
    <n v="391.89"/>
    <n v="-122431.14"/>
    <n v="-387427.86"/>
    <n v="-232166.17"/>
    <n v="-608671.69999999995"/>
    <n v="-731816.51"/>
    <n v="-797851.47"/>
    <n v="-872973.09"/>
    <n v="-817109.18"/>
    <n v="-490315.6"/>
    <n v="-726640.39"/>
    <n v="-5814694.129999999"/>
    <n v="236324.79000000004"/>
  </r>
  <r>
    <x v="18"/>
    <x v="8"/>
    <x v="0"/>
    <s v="3300104"/>
    <n v="400010"/>
    <s v="Acute I/P Svcs Rev--Medicaid"/>
    <s v="PCU-3 North"/>
    <x v="0"/>
    <n v="1200"/>
    <n v="-10709.41"/>
    <n v="0"/>
    <n v="-31227.3"/>
    <n v="-67380.740000000005"/>
    <n v="-37024.94"/>
    <n v="-159541.14000000001"/>
    <n v="-140839.26"/>
    <n v="-224751.08"/>
    <n v="-111311.11"/>
    <n v="-231818.62"/>
    <n v="-200021.18"/>
    <n v="-132001.79"/>
    <n v="-1346626.57"/>
    <n v="-68019.389999999985"/>
  </r>
  <r>
    <x v="18"/>
    <x v="8"/>
    <x v="0"/>
    <s v="3300104"/>
    <n v="400010"/>
    <s v="Acute I/P Svcs Rev--Comm Insurance"/>
    <s v="PCU-3 North"/>
    <x v="0"/>
    <n v="1300"/>
    <n v="0"/>
    <n v="0"/>
    <n v="-1652.31"/>
    <n v="0"/>
    <n v="0"/>
    <n v="0"/>
    <n v="-10245.200000000001"/>
    <n v="-20970.400000000001"/>
    <n v="-13116.87"/>
    <n v="-6490.35"/>
    <n v="-5028.04"/>
    <n v="-3266"/>
    <n v="-60769.170000000006"/>
    <n v="-1762.04"/>
  </r>
  <r>
    <x v="18"/>
    <x v="8"/>
    <x v="0"/>
    <s v="3300104"/>
    <n v="400010"/>
    <s v="Acute I/P Svcs Rev--BCBS Comm"/>
    <s v="PCU-3 North"/>
    <x v="0"/>
    <n v="1301"/>
    <n v="0"/>
    <n v="0"/>
    <n v="-13857.62"/>
    <n v="-33956.519999999997"/>
    <n v="0"/>
    <n v="-6342"/>
    <n v="-32082.38"/>
    <n v="-36698.620000000003"/>
    <n v="-52910.49"/>
    <n v="-69504.960000000006"/>
    <n v="-32668.240000000002"/>
    <n v="-42658.1"/>
    <n v="-320678.93"/>
    <n v="9989.8599999999969"/>
  </r>
  <r>
    <x v="18"/>
    <x v="8"/>
    <x v="0"/>
    <s v="3300104"/>
    <n v="400010"/>
    <s v="Acute I/P Svcs Rev--Managed Care"/>
    <s v="PCU-3 North"/>
    <x v="0"/>
    <n v="1400"/>
    <n v="-25693.4"/>
    <n v="0"/>
    <n v="-10973.67"/>
    <n v="-30864.560000000001"/>
    <n v="-26925.96"/>
    <n v="-170405.33"/>
    <n v="-233976.33"/>
    <n v="-173063.03"/>
    <n v="-87713.85"/>
    <n v="-58777.4"/>
    <n v="-60772.86"/>
    <n v="-78504.53"/>
    <n v="-957670.92"/>
    <n v="17731.669999999998"/>
  </r>
  <r>
    <x v="18"/>
    <x v="8"/>
    <x v="0"/>
    <s v="3300104"/>
    <n v="400010"/>
    <s v="Acute I/P Svcs Rev--Self Pay"/>
    <s v="PCU-3 North"/>
    <x v="0"/>
    <n v="1500"/>
    <n v="0"/>
    <n v="0"/>
    <n v="-23243.34"/>
    <n v="0"/>
    <n v="-4421.8500000000004"/>
    <n v="-3370.11"/>
    <n v="-2593.33"/>
    <n v="0"/>
    <n v="-33038.339999999997"/>
    <n v="-20363.02"/>
    <n v="-18199.849999999999"/>
    <n v="0"/>
    <n v="-105229.84"/>
    <n v="-18199.849999999999"/>
  </r>
  <r>
    <x v="18"/>
    <x v="8"/>
    <x v="0"/>
    <s v="3300104"/>
    <n v="400010"/>
    <s v="Acute I/P Svcs Rev--Other"/>
    <s v="PCU-3 North"/>
    <x v="0"/>
    <n v="1700"/>
    <n v="-3341.78"/>
    <n v="0"/>
    <n v="-10444.540000000001"/>
    <n v="-13269.23"/>
    <n v="-39597.21"/>
    <n v="-35495.360000000001"/>
    <n v="-28893.02"/>
    <n v="-44441.63"/>
    <n v="-38372.61"/>
    <n v="0"/>
    <n v="-45004.47"/>
    <n v="-267449.37"/>
    <n v="-526309.22"/>
    <n v="222444.9"/>
  </r>
  <r>
    <x v="19"/>
    <x v="8"/>
    <x v="0"/>
    <s v="3300104"/>
    <n v="400020"/>
    <s v="O/P Care Svcs Rev--Medicare"/>
    <s v="PCU-3 North"/>
    <x v="0"/>
    <n v="1100"/>
    <n v="-13649.65"/>
    <n v="0"/>
    <n v="-38398.69"/>
    <n v="-138276.91"/>
    <n v="-45669.85"/>
    <n v="-103521.84"/>
    <n v="-140131.9"/>
    <n v="-147921.84"/>
    <n v="-227574.08"/>
    <n v="-185474.55"/>
    <n v="-164673.97"/>
    <n v="-136210.29"/>
    <n v="-1341503.5699999998"/>
    <n v="-28463.679999999993"/>
  </r>
  <r>
    <x v="19"/>
    <x v="8"/>
    <x v="0"/>
    <s v="3300104"/>
    <n v="400020"/>
    <s v="O/P Care Svcs Rev--Medicaid"/>
    <s v="PCU-3 North"/>
    <x v="0"/>
    <n v="1200"/>
    <n v="-20262.37"/>
    <n v="0"/>
    <n v="-6360.9"/>
    <n v="-20571.09"/>
    <n v="-32407.56"/>
    <n v="-42797.95"/>
    <n v="-25168.54"/>
    <n v="-36392.74"/>
    <n v="-51799.16"/>
    <n v="-47442.77"/>
    <n v="-60173.57"/>
    <n v="-47074.89"/>
    <n v="-390451.54000000004"/>
    <n v="-13098.68"/>
  </r>
  <r>
    <x v="19"/>
    <x v="8"/>
    <x v="0"/>
    <s v="3300104"/>
    <n v="400020"/>
    <s v="O/P Care Svcs Rev--Comm Insurance"/>
    <s v="PCU-3 North"/>
    <x v="0"/>
    <n v="1300"/>
    <n v="-2081.8200000000002"/>
    <n v="0"/>
    <n v="0"/>
    <n v="-5130.8599999999997"/>
    <n v="0"/>
    <n v="0"/>
    <n v="-1914.45"/>
    <n v="-6243.6"/>
    <n v="0"/>
    <n v="-61.36"/>
    <n v="0"/>
    <n v="0"/>
    <n v="-15432.090000000002"/>
    <n v="0"/>
  </r>
  <r>
    <x v="19"/>
    <x v="8"/>
    <x v="0"/>
    <s v="3300104"/>
    <n v="400020"/>
    <s v="O/P Care Svcs Rev--BCBS Comm"/>
    <s v="PCU-3 North"/>
    <x v="0"/>
    <n v="1301"/>
    <n v="0"/>
    <n v="0"/>
    <n v="-5817.51"/>
    <n v="-15904.55"/>
    <n v="-5672.59"/>
    <n v="-2016.91"/>
    <n v="-10885.91"/>
    <n v="-24759.84"/>
    <n v="-24545.01"/>
    <n v="-6140.82"/>
    <n v="-10178.68"/>
    <n v="-43111.72"/>
    <n v="-149033.53999999998"/>
    <n v="32933.040000000001"/>
  </r>
  <r>
    <x v="19"/>
    <x v="8"/>
    <x v="0"/>
    <s v="3300104"/>
    <n v="400020"/>
    <s v="O/P Care Svcs Rev--Managed Care"/>
    <s v="PCU-3 North"/>
    <x v="0"/>
    <n v="1400"/>
    <n v="-314.85000000000002"/>
    <n v="0"/>
    <n v="-13790.4"/>
    <n v="-60553.79"/>
    <n v="-13090.05"/>
    <n v="-53955.87"/>
    <n v="-25685.4"/>
    <n v="-31407.97"/>
    <n v="-38107.040000000001"/>
    <n v="-64083.6"/>
    <n v="-23470.32"/>
    <n v="-28077.78"/>
    <n v="-352537.07000000007"/>
    <n v="4607.4599999999991"/>
  </r>
  <r>
    <x v="19"/>
    <x v="8"/>
    <x v="0"/>
    <s v="3300104"/>
    <n v="400020"/>
    <s v="O/P Care Svcs Rev--Self Pay"/>
    <s v="PCU-3 North"/>
    <x v="0"/>
    <n v="1500"/>
    <n v="1336.94"/>
    <n v="0"/>
    <n v="0"/>
    <n v="-3502.71"/>
    <n v="0"/>
    <n v="-6994.69"/>
    <n v="0"/>
    <n v="-3545.72"/>
    <n v="-4082.4"/>
    <n v="0"/>
    <n v="-11294.28"/>
    <n v="0"/>
    <n v="-28082.86"/>
    <n v="-11294.28"/>
  </r>
  <r>
    <x v="19"/>
    <x v="8"/>
    <x v="0"/>
    <s v="3300104"/>
    <n v="400020"/>
    <s v="O/P Care Svcs Rev--Other"/>
    <s v="PCU-3 North"/>
    <x v="0"/>
    <n v="1700"/>
    <n v="-1730.67"/>
    <n v="0"/>
    <n v="0"/>
    <n v="0"/>
    <n v="-5235.93"/>
    <n v="-3441.97"/>
    <n v="-11535.54"/>
    <n v="-8888.76"/>
    <n v="-10155.459999999999"/>
    <n v="-28212.77"/>
    <n v="-7606.02"/>
    <n v="0"/>
    <n v="-76807.12000000001"/>
    <n v="-7606.02"/>
  </r>
  <r>
    <x v="5"/>
    <x v="8"/>
    <x v="0"/>
    <s v="3300104"/>
    <n v="700026"/>
    <s v="Salaries-RN-Productive"/>
    <s v="PCU-3 North"/>
    <x v="0"/>
    <m/>
    <n v="11854.67"/>
    <n v="9785.86"/>
    <n v="29706.98"/>
    <n v="64989.07"/>
    <n v="17548.66"/>
    <n v="61883.5"/>
    <n v="89513.98"/>
    <n v="88404.19"/>
    <n v="89882.63"/>
    <n v="87599.8"/>
    <n v="43895.839999999997"/>
    <n v="107833.7"/>
    <n v="702898.87999999989"/>
    <n v="-63937.86"/>
  </r>
  <r>
    <x v="5"/>
    <x v="8"/>
    <x v="0"/>
    <s v="3300104"/>
    <n v="700026"/>
    <s v="Salaries-RN-OT"/>
    <s v="PCU-3 North"/>
    <x v="0"/>
    <n v="1000"/>
    <n v="174.82"/>
    <n v="86.63"/>
    <n v="3987.97"/>
    <n v="153.79"/>
    <n v="966.92"/>
    <n v="1624.44"/>
    <n v="4875.59"/>
    <n v="3776.4"/>
    <n v="4680.72"/>
    <n v="2732.46"/>
    <n v="579.96"/>
    <n v="2166.6799999999998"/>
    <n v="25806.379999999997"/>
    <n v="-1586.7199999999998"/>
  </r>
  <r>
    <x v="5"/>
    <x v="8"/>
    <x v="0"/>
    <s v="3300104"/>
    <n v="700026"/>
    <s v="Salaries-RN-Other"/>
    <s v="PCU-3 North"/>
    <x v="0"/>
    <n v="2000"/>
    <n v="786.78"/>
    <n v="980.95"/>
    <n v="3150.07"/>
    <n v="5845.88"/>
    <n v="2234.1"/>
    <n v="5015.71"/>
    <n v="8245.68"/>
    <n v="7223.5"/>
    <n v="8115.17"/>
    <n v="7970.86"/>
    <n v="4676.54"/>
    <n v="9831.5"/>
    <n v="64076.74"/>
    <n v="-5154.96"/>
  </r>
  <r>
    <x v="5"/>
    <x v="8"/>
    <x v="0"/>
    <s v="3300104"/>
    <n v="700032"/>
    <s v="Salaries-Other Pat Care Providers-Productive"/>
    <s v="PCU-3 North"/>
    <x v="0"/>
    <m/>
    <n v="2458.02"/>
    <n v="478.97"/>
    <n v="5585.93"/>
    <n v="13864.87"/>
    <n v="389.84"/>
    <n v="17949.009999999998"/>
    <n v="30593.08"/>
    <n v="28142.560000000001"/>
    <n v="17531.53"/>
    <n v="23078.01"/>
    <n v="7820.83"/>
    <n v="26538.06"/>
    <n v="174430.71"/>
    <n v="-18717.230000000003"/>
  </r>
  <r>
    <x v="5"/>
    <x v="8"/>
    <x v="0"/>
    <s v="3300104"/>
    <n v="700032"/>
    <s v="Salaries-Other Pat Care Providers-OT"/>
    <s v="PCU-3 North"/>
    <x v="0"/>
    <n v="1000"/>
    <n v="208.88"/>
    <n v="0"/>
    <n v="87.59"/>
    <n v="633.34"/>
    <n v="717.96"/>
    <n v="663.82"/>
    <n v="3911.21"/>
    <n v="2773.87"/>
    <n v="2908.39"/>
    <n v="721.79"/>
    <n v="798.19"/>
    <n v="2385.31"/>
    <n v="15810.349999999999"/>
    <n v="-1587.12"/>
  </r>
  <r>
    <x v="5"/>
    <x v="8"/>
    <x v="0"/>
    <s v="3300104"/>
    <n v="700032"/>
    <s v="Salaries-Other Pat Care Providers-Other"/>
    <s v="PCU-3 North"/>
    <x v="0"/>
    <n v="2000"/>
    <n v="187.14"/>
    <n v="93.26"/>
    <n v="788.94"/>
    <n v="1087.8499999999999"/>
    <n v="214.61"/>
    <n v="1815.21"/>
    <n v="2638.45"/>
    <n v="2066.92"/>
    <n v="1404.67"/>
    <n v="2052.39"/>
    <n v="1133.68"/>
    <n v="2310.98"/>
    <n v="15794.1"/>
    <n v="-1177.3"/>
  </r>
  <r>
    <x v="5"/>
    <x v="8"/>
    <x v="0"/>
    <s v="3300104"/>
    <n v="700038"/>
    <s v="Salaries-Service/Support-Productive"/>
    <s v="PCU-3 North"/>
    <x v="0"/>
    <m/>
    <n v="0"/>
    <n v="0"/>
    <n v="432.57"/>
    <n v="260.01"/>
    <n v="0"/>
    <n v="241.8"/>
    <n v="0"/>
    <n v="0"/>
    <n v="0"/>
    <n v="2169.71"/>
    <n v="-749.29"/>
    <n v="0"/>
    <n v="2354.8000000000002"/>
    <n v="-749.29"/>
  </r>
  <r>
    <x v="5"/>
    <x v="8"/>
    <x v="0"/>
    <s v="3300104"/>
    <n v="700038"/>
    <s v="Salaries-Service/Support-OT"/>
    <s v="PCU-3 North"/>
    <x v="0"/>
    <n v="1000"/>
    <n v="0"/>
    <n v="0"/>
    <n v="0"/>
    <n v="0"/>
    <n v="0"/>
    <n v="0"/>
    <n v="0"/>
    <n v="0"/>
    <n v="0"/>
    <n v="279.64999999999998"/>
    <n v="0"/>
    <n v="0"/>
    <n v="279.64999999999998"/>
    <n v="0"/>
  </r>
  <r>
    <x v="5"/>
    <x v="8"/>
    <x v="0"/>
    <s v="3300104"/>
    <n v="700038"/>
    <s v="Salaries-Service/Support-Other"/>
    <s v="PCU-3 North"/>
    <x v="0"/>
    <n v="2000"/>
    <n v="0"/>
    <n v="0"/>
    <n v="0"/>
    <n v="0"/>
    <n v="0"/>
    <n v="0"/>
    <n v="0"/>
    <n v="0"/>
    <n v="0"/>
    <n v="32.19"/>
    <n v="-13.41"/>
    <n v="0"/>
    <n v="18.779999999999998"/>
    <n v="-13.41"/>
  </r>
  <r>
    <x v="5"/>
    <x v="8"/>
    <x v="0"/>
    <s v="3300104"/>
    <n v="700054"/>
    <s v="Salaries-Management-NonProd-Other"/>
    <s v="PCU-3 North"/>
    <x v="0"/>
    <n v="2000"/>
    <n v="0"/>
    <n v="0"/>
    <n v="0"/>
    <n v="0"/>
    <n v="0"/>
    <n v="1262.51"/>
    <n v="-1262.51"/>
    <n v="0"/>
    <n v="0"/>
    <n v="0"/>
    <n v="0"/>
    <n v="0"/>
    <n v="0"/>
    <n v="0"/>
  </r>
  <r>
    <x v="5"/>
    <x v="8"/>
    <x v="0"/>
    <s v="3300104"/>
    <n v="700066"/>
    <s v="Salaries-RN-Non-productive"/>
    <s v="PCU-3 North"/>
    <x v="0"/>
    <m/>
    <n v="3887.57"/>
    <n v="7302.69"/>
    <n v="4951.8"/>
    <n v="7336.57"/>
    <n v="4867.4399999999996"/>
    <n v="10607.19"/>
    <n v="13392.38"/>
    <n v="7398.63"/>
    <n v="7140.52"/>
    <n v="7599.34"/>
    <n v="4690.63"/>
    <n v="4568.87"/>
    <n v="83743.62999999999"/>
    <n v="121.76000000000022"/>
  </r>
  <r>
    <x v="5"/>
    <x v="8"/>
    <x v="0"/>
    <s v="3300104"/>
    <n v="700066"/>
    <s v="Salaries-RN-NonProd-Other"/>
    <s v="PCU-3 North"/>
    <x v="0"/>
    <n v="2000"/>
    <n v="191.61"/>
    <n v="847.02"/>
    <n v="286.58"/>
    <n v="607.75"/>
    <n v="312.93"/>
    <n v="1101.68"/>
    <n v="1006.57"/>
    <n v="125.82"/>
    <n v="582.38"/>
    <n v="334.56"/>
    <n v="319.35000000000002"/>
    <n v="803.14"/>
    <n v="6519.39"/>
    <n v="-483.78999999999996"/>
  </r>
  <r>
    <x v="5"/>
    <x v="8"/>
    <x v="0"/>
    <s v="3300104"/>
    <n v="700072"/>
    <s v="Salaries-Other Pat Care Providers-Non-productive"/>
    <s v="PCU-3 North"/>
    <x v="0"/>
    <m/>
    <n v="2011.51"/>
    <n v="811.65"/>
    <n v="2476.3200000000002"/>
    <n v="3122.19"/>
    <n v="4300.93"/>
    <n v="3999.5"/>
    <n v="4558.09"/>
    <n v="2819.56"/>
    <n v="3010.05"/>
    <n v="4888.57"/>
    <n v="2671"/>
    <n v="4267.3999999999996"/>
    <n v="38936.769999999997"/>
    <n v="-1596.3999999999996"/>
  </r>
  <r>
    <x v="5"/>
    <x v="8"/>
    <x v="0"/>
    <s v="3300104"/>
    <n v="700072"/>
    <s v="Salaries-Other Pat Care Providers-NonProd-Other"/>
    <s v="PCU-3 North"/>
    <x v="0"/>
    <n v="2000"/>
    <n v="40.479999999999997"/>
    <n v="14.09"/>
    <n v="99.28"/>
    <n v="171.52"/>
    <n v="163.28"/>
    <n v="192.66"/>
    <n v="93.73"/>
    <n v="211.84"/>
    <n v="179.4"/>
    <n v="319.99"/>
    <n v="265.5"/>
    <n v="214.85"/>
    <n v="1966.62"/>
    <n v="50.650000000000006"/>
  </r>
  <r>
    <x v="5"/>
    <x v="8"/>
    <x v="0"/>
    <s v="3300104"/>
    <n v="700084"/>
    <s v="Accrued PTO"/>
    <s v="PCU-3 North"/>
    <x v="0"/>
    <m/>
    <n v="1118.02"/>
    <n v="107.66"/>
    <n v="3368.32"/>
    <n v="-266.66000000000003"/>
    <n v="1308.3499999999999"/>
    <n v="-5446.34"/>
    <n v="-1469.84"/>
    <n v="-8.9700000000000006"/>
    <n v="1241.83"/>
    <n v="-624.63"/>
    <n v="3002.16"/>
    <n v="5704.63"/>
    <n v="8034.5300000000007"/>
    <n v="-2702.4700000000003"/>
  </r>
  <r>
    <x v="10"/>
    <x v="8"/>
    <x v="0"/>
    <s v="3300104"/>
    <n v="710060"/>
    <s v="Contract Labor-Other"/>
    <s v="PCU-3 North"/>
    <x v="0"/>
    <m/>
    <n v="12999.25"/>
    <n v="3837"/>
    <n v="459"/>
    <n v="4964"/>
    <n v="19024.25"/>
    <n v="13736"/>
    <n v="34991.75"/>
    <n v="25042"/>
    <n v="27603.75"/>
    <n v="36378"/>
    <n v="18242.5"/>
    <n v="23211"/>
    <n v="220488.5"/>
    <n v="-4968.5"/>
  </r>
  <r>
    <x v="10"/>
    <x v="8"/>
    <x v="0"/>
    <s v="3300104"/>
    <n v="710060"/>
    <s v="Contract Labor-Overtime"/>
    <s v="PCU-3 North"/>
    <x v="0"/>
    <n v="5100"/>
    <n v="646.99"/>
    <n v="0"/>
    <n v="0"/>
    <n v="68.849999999999994"/>
    <n v="766.8"/>
    <n v="1468.8"/>
    <n v="757.35"/>
    <n v="0"/>
    <n v="5140.8"/>
    <n v="1399.95"/>
    <n v="0"/>
    <n v="1881.9"/>
    <n v="12131.44"/>
    <n v="-1881.9"/>
  </r>
  <r>
    <x v="10"/>
    <x v="8"/>
    <x v="0"/>
    <s v="3300104"/>
    <n v="710060"/>
    <s v="Contract Labor-Standby Wages"/>
    <s v="PCU-3 North"/>
    <x v="0"/>
    <n v="5101"/>
    <n v="100"/>
    <n v="0"/>
    <n v="0"/>
    <n v="0"/>
    <n v="0"/>
    <n v="96"/>
    <n v="112"/>
    <n v="96"/>
    <n v="92"/>
    <n v="0"/>
    <n v="0"/>
    <n v="0"/>
    <n v="496"/>
    <n v="0"/>
  </r>
  <r>
    <x v="6"/>
    <x v="8"/>
    <x v="0"/>
    <s v="3300104"/>
    <n v="713010"/>
    <s v="Benefits-FICA/Medicare"/>
    <s v="PCU-3 North"/>
    <x v="0"/>
    <m/>
    <n v="1654.39"/>
    <n v="1535.14"/>
    <n v="4087.84"/>
    <n v="7305.1"/>
    <n v="2384.56"/>
    <n v="8123.68"/>
    <n v="11880.06"/>
    <n v="10666.67"/>
    <n v="10060.14"/>
    <n v="10286.23"/>
    <n v="4875.71"/>
    <n v="11945.3"/>
    <n v="84804.82"/>
    <n v="-7069.5899999999992"/>
  </r>
  <r>
    <x v="6"/>
    <x v="8"/>
    <x v="0"/>
    <s v="3300104"/>
    <n v="713090"/>
    <s v="Benefits-Allocated Amounts"/>
    <s v="PCU-3 North"/>
    <x v="0"/>
    <m/>
    <n v="4316.55"/>
    <n v="3330.51"/>
    <n v="9492.31"/>
    <n v="18768.14"/>
    <n v="6230.31"/>
    <n v="20600.32"/>
    <n v="31466.47"/>
    <n v="29466.47"/>
    <n v="27281.15"/>
    <n v="30107"/>
    <n v="13879.52"/>
    <n v="34182.5"/>
    <n v="229121.24999999997"/>
    <n v="-20302.98"/>
  </r>
  <r>
    <x v="7"/>
    <x v="8"/>
    <x v="0"/>
    <s v="3300104"/>
    <n v="718050"/>
    <s v="Contract Management--Linen"/>
    <s v="PCU-3 North"/>
    <x v="0"/>
    <n v="1026"/>
    <n v="0"/>
    <n v="0"/>
    <n v="0"/>
    <n v="0"/>
    <n v="0"/>
    <n v="0"/>
    <n v="0"/>
    <n v="0"/>
    <n v="0"/>
    <n v="2700.73"/>
    <n v="596.02"/>
    <n v="3931.83"/>
    <n v="7228.58"/>
    <n v="-3335.81"/>
  </r>
  <r>
    <x v="11"/>
    <x v="8"/>
    <x v="0"/>
    <s v="3300104"/>
    <n v="721010"/>
    <s v="Supplies-Medical - Billable"/>
    <s v="PCU-3 North"/>
    <x v="0"/>
    <m/>
    <n v="0"/>
    <n v="348.05"/>
    <n v="362.88"/>
    <n v="447.16"/>
    <n v="290.17"/>
    <n v="1001.12"/>
    <n v="1663.51"/>
    <n v="1562.4"/>
    <n v="1829.56"/>
    <n v="1768.27"/>
    <n v="1376.12"/>
    <n v="2216.35"/>
    <n v="12865.590000000002"/>
    <n v="-840.23"/>
  </r>
  <r>
    <x v="11"/>
    <x v="8"/>
    <x v="0"/>
    <s v="3300104"/>
    <n v="721010"/>
    <s v="Patient Monitoring"/>
    <s v="PCU-3 North"/>
    <x v="0"/>
    <n v="1000"/>
    <n v="0"/>
    <n v="0"/>
    <n v="0"/>
    <n v="0"/>
    <n v="5.98"/>
    <n v="0"/>
    <n v="74.290000000000006"/>
    <n v="57.32"/>
    <n v="116.95"/>
    <n v="52.86"/>
    <n v="66.09"/>
    <n v="79.31"/>
    <n v="452.8"/>
    <n v="-13.219999999999999"/>
  </r>
  <r>
    <x v="11"/>
    <x v="8"/>
    <x v="0"/>
    <s v="3300104"/>
    <n v="721020"/>
    <s v="Supplies-Surgical - Billable"/>
    <s v="PCU-3 North"/>
    <x v="0"/>
    <m/>
    <n v="0"/>
    <n v="56.26"/>
    <n v="173.97"/>
    <n v="63.7"/>
    <n v="93.97"/>
    <n v="258.49"/>
    <n v="181.11"/>
    <n v="317.51"/>
    <n v="549.79"/>
    <n v="156.93"/>
    <n v="292.48"/>
    <n v="340.6"/>
    <n v="2484.81"/>
    <n v="-48.120000000000005"/>
  </r>
  <r>
    <x v="11"/>
    <x v="8"/>
    <x v="0"/>
    <s v="3300104"/>
    <n v="721020"/>
    <s v="Custom Packs"/>
    <s v="PCU-3 North"/>
    <x v="0"/>
    <n v="1000"/>
    <n v="0"/>
    <n v="0"/>
    <n v="0"/>
    <n v="0"/>
    <n v="0"/>
    <n v="0"/>
    <n v="0"/>
    <n v="0"/>
    <n v="10.130000000000001"/>
    <n v="0"/>
    <n v="0"/>
    <n v="10.130000000000001"/>
    <n v="20.260000000000002"/>
    <n v="-10.130000000000001"/>
  </r>
  <r>
    <x v="11"/>
    <x v="8"/>
    <x v="0"/>
    <s v="3300104"/>
    <n v="721240"/>
    <s v="Supplies-IV Solutions/Supplies - Billable"/>
    <s v="PCU-3 North"/>
    <x v="0"/>
    <m/>
    <n v="0"/>
    <n v="33.840000000000003"/>
    <n v="12.3"/>
    <n v="29.88"/>
    <n v="0"/>
    <n v="120.42"/>
    <n v="92.88"/>
    <n v="582.82000000000005"/>
    <n v="573.64"/>
    <n v="549.95000000000005"/>
    <n v="376.21"/>
    <n v="408.48"/>
    <n v="2780.42"/>
    <n v="-32.270000000000039"/>
  </r>
  <r>
    <x v="11"/>
    <x v="8"/>
    <x v="0"/>
    <s v="3300104"/>
    <n v="721410"/>
    <s v="Supplies-Medical - Nonbillable"/>
    <s v="PCU-3 North"/>
    <x v="0"/>
    <m/>
    <n v="0"/>
    <n v="144.16999999999999"/>
    <n v="385.19"/>
    <n v="1078.9000000000001"/>
    <n v="479.97"/>
    <n v="1540.86"/>
    <n v="2835.3"/>
    <n v="4826.6400000000003"/>
    <n v="5270.98"/>
    <n v="3897.58"/>
    <n v="3738.42"/>
    <n v="4206"/>
    <n v="28404.010000000002"/>
    <n v="-467.57999999999993"/>
  </r>
  <r>
    <x v="11"/>
    <x v="8"/>
    <x v="0"/>
    <s v="3300104"/>
    <n v="721410"/>
    <s v="Patient Monitoring"/>
    <s v="PCU-3 North"/>
    <x v="0"/>
    <n v="1000"/>
    <n v="0"/>
    <n v="5.43"/>
    <n v="0"/>
    <n v="0"/>
    <n v="0"/>
    <n v="0"/>
    <n v="0"/>
    <n v="32.1"/>
    <n v="10.86"/>
    <n v="0"/>
    <n v="0"/>
    <n v="0"/>
    <n v="48.39"/>
    <n v="0"/>
  </r>
  <r>
    <x v="11"/>
    <x v="8"/>
    <x v="0"/>
    <s v="3300104"/>
    <n v="721420"/>
    <s v="Supplies-Surgical Nonbillable"/>
    <s v="PCU-3 North"/>
    <x v="0"/>
    <m/>
    <n v="0"/>
    <n v="45.66"/>
    <n v="0"/>
    <n v="28.28"/>
    <n v="8.58"/>
    <n v="3.03"/>
    <n v="12.87"/>
    <n v="26.38"/>
    <n v="37.04"/>
    <n v="0"/>
    <n v="26.69"/>
    <n v="0"/>
    <n v="188.53"/>
    <n v="26.69"/>
  </r>
  <r>
    <x v="11"/>
    <x v="8"/>
    <x v="0"/>
    <s v="3300104"/>
    <n v="721420"/>
    <s v="Tubes Drains &amp; Related Supplies"/>
    <s v="PCU-3 North"/>
    <x v="0"/>
    <n v="1008"/>
    <n v="0"/>
    <n v="0"/>
    <n v="0"/>
    <n v="0"/>
    <n v="0"/>
    <n v="0"/>
    <n v="0"/>
    <n v="0"/>
    <n v="6.4"/>
    <n v="0"/>
    <n v="0"/>
    <n v="0"/>
    <n v="6.4"/>
    <n v="0"/>
  </r>
  <r>
    <x v="11"/>
    <x v="8"/>
    <x v="0"/>
    <s v="3300104"/>
    <n v="721420"/>
    <s v="Sterilization Process Products"/>
    <s v="PCU-3 North"/>
    <x v="0"/>
    <n v="1009"/>
    <n v="0"/>
    <n v="0"/>
    <n v="0"/>
    <n v="0"/>
    <n v="0"/>
    <n v="0"/>
    <n v="0"/>
    <n v="0"/>
    <n v="0"/>
    <n v="0"/>
    <n v="0"/>
    <n v="5.48"/>
    <n v="5.48"/>
    <n v="-5.48"/>
  </r>
  <r>
    <x v="11"/>
    <x v="8"/>
    <x v="0"/>
    <s v="3300104"/>
    <n v="721610"/>
    <s v="Supplies-Anesthesia - Nonbillable"/>
    <s v="PCU-3 North"/>
    <x v="0"/>
    <m/>
    <n v="0"/>
    <n v="2.14"/>
    <n v="3.14"/>
    <n v="140.84"/>
    <n v="97.61"/>
    <n v="133.52000000000001"/>
    <n v="270.10000000000002"/>
    <n v="280.83999999999997"/>
    <n v="179.48"/>
    <n v="490.72"/>
    <n v="576.01"/>
    <n v="472.51"/>
    <n v="2646.91"/>
    <n v="103.5"/>
  </r>
  <r>
    <x v="11"/>
    <x v="8"/>
    <x v="0"/>
    <s v="3300104"/>
    <n v="721640"/>
    <s v="Supplies-IV Solutions/Supplies - Nonbillable"/>
    <s v="PCU-3 North"/>
    <x v="0"/>
    <m/>
    <n v="0"/>
    <n v="4.4400000000000004"/>
    <n v="242.92"/>
    <n v="857.1"/>
    <n v="862.64"/>
    <n v="1049.5999999999999"/>
    <n v="1510.49"/>
    <n v="1307.3"/>
    <n v="1505.18"/>
    <n v="1324.7"/>
    <n v="1139.94"/>
    <n v="2387.12"/>
    <n v="12191.43"/>
    <n v="-1247.1799999999998"/>
  </r>
  <r>
    <x v="11"/>
    <x v="8"/>
    <x v="0"/>
    <s v="3300104"/>
    <n v="721650"/>
    <s v="Supplies-Pharmacy Drugs - Nonbillable"/>
    <s v="PCU-3 North"/>
    <x v="0"/>
    <m/>
    <n v="0"/>
    <n v="0"/>
    <n v="5.07"/>
    <n v="17.440000000000001"/>
    <n v="0"/>
    <n v="26.62"/>
    <n v="34.880000000000003"/>
    <n v="41"/>
    <n v="17.440000000000001"/>
    <n v="0"/>
    <n v="19.03"/>
    <n v="1.53"/>
    <n v="163.01000000000002"/>
    <n v="17.5"/>
  </r>
  <r>
    <x v="11"/>
    <x v="8"/>
    <x v="0"/>
    <s v="3300104"/>
    <n v="721710"/>
    <s v="Supplies-Laboratory - Nonbillable"/>
    <s v="PCU-3 North"/>
    <x v="0"/>
    <m/>
    <n v="0"/>
    <n v="87.3"/>
    <n v="17.190000000000001"/>
    <n v="89.91"/>
    <n v="66.069999999999993"/>
    <n v="178.59"/>
    <n v="115.9"/>
    <n v="206.27"/>
    <n v="127.57"/>
    <n v="149.27000000000001"/>
    <n v="171.66"/>
    <n v="114.86"/>
    <n v="1324.59"/>
    <n v="56.8"/>
  </r>
  <r>
    <x v="11"/>
    <x v="8"/>
    <x v="0"/>
    <s v="3300104"/>
    <n v="721710"/>
    <s v="Reagents"/>
    <s v="PCU-3 North"/>
    <x v="0"/>
    <n v="1000"/>
    <n v="0"/>
    <n v="23.19"/>
    <n v="0"/>
    <n v="0"/>
    <n v="23.19"/>
    <n v="0"/>
    <n v="19.989999999999998"/>
    <n v="0"/>
    <n v="0"/>
    <n v="0"/>
    <n v="0"/>
    <n v="19.989999999999998"/>
    <n v="86.36"/>
    <n v="-19.989999999999998"/>
  </r>
  <r>
    <x v="11"/>
    <x v="8"/>
    <x v="0"/>
    <s v="3300104"/>
    <n v="721750"/>
    <s v="Supplies-Film/Radiographic - Nonbillable"/>
    <s v="PCU-3 North"/>
    <x v="0"/>
    <m/>
    <n v="0"/>
    <n v="0"/>
    <n v="10.75"/>
    <n v="0"/>
    <n v="0"/>
    <n v="0"/>
    <n v="0"/>
    <n v="0"/>
    <n v="4.3"/>
    <n v="0"/>
    <n v="10.75"/>
    <n v="0"/>
    <n v="25.8"/>
    <n v="10.75"/>
  </r>
  <r>
    <x v="11"/>
    <x v="8"/>
    <x v="0"/>
    <s v="3300104"/>
    <n v="721810"/>
    <s v="Supplies-Dietary/Cafeteria"/>
    <s v="PCU-3 North"/>
    <x v="0"/>
    <m/>
    <n v="733.76"/>
    <n v="790.79"/>
    <n v="1000.84"/>
    <n v="843.38"/>
    <n v="725.75"/>
    <n v="943.62"/>
    <n v="1087.68"/>
    <n v="712.94"/>
    <n v="1261.05"/>
    <n v="1131.52"/>
    <n v="806.11"/>
    <n v="895.53"/>
    <n v="10932.970000000001"/>
    <n v="-89.419999999999959"/>
  </r>
  <r>
    <x v="11"/>
    <x v="8"/>
    <x v="0"/>
    <s v="3300104"/>
    <n v="721830"/>
    <s v="Supplies-Office"/>
    <s v="PCU-3 North"/>
    <x v="0"/>
    <m/>
    <n v="0"/>
    <n v="54.39"/>
    <n v="0"/>
    <n v="0"/>
    <n v="0"/>
    <n v="0"/>
    <n v="0"/>
    <n v="0"/>
    <n v="17.21"/>
    <n v="0"/>
    <n v="0"/>
    <n v="20"/>
    <n v="91.6"/>
    <n v="-20"/>
  </r>
  <r>
    <x v="11"/>
    <x v="8"/>
    <x v="0"/>
    <s v="3300104"/>
    <n v="721835"/>
    <s v="Supplies-Forms"/>
    <s v="PCU-3 North"/>
    <x v="0"/>
    <m/>
    <n v="0"/>
    <n v="0"/>
    <n v="0"/>
    <n v="0"/>
    <n v="32.21"/>
    <n v="0"/>
    <n v="0"/>
    <n v="0"/>
    <n v="0"/>
    <n v="0"/>
    <n v="0"/>
    <n v="94.4"/>
    <n v="126.61000000000001"/>
    <n v="-94.4"/>
  </r>
  <r>
    <x v="11"/>
    <x v="8"/>
    <x v="0"/>
    <s v="3300104"/>
    <n v="721870"/>
    <s v="Supplies-Environmental Services"/>
    <s v="PCU-3 North"/>
    <x v="0"/>
    <m/>
    <n v="0"/>
    <n v="0"/>
    <n v="0"/>
    <n v="177.98"/>
    <n v="136.19"/>
    <n v="178.9"/>
    <n v="147.49"/>
    <n v="184.84"/>
    <n v="237.58"/>
    <n v="198.16"/>
    <n v="229.1"/>
    <n v="176.67"/>
    <n v="1666.91"/>
    <n v="52.430000000000007"/>
  </r>
  <r>
    <x v="11"/>
    <x v="8"/>
    <x v="0"/>
    <s v="3300104"/>
    <n v="721910"/>
    <s v="Supplies-Small Equipment"/>
    <s v="PCU-3 North"/>
    <x v="0"/>
    <m/>
    <n v="0"/>
    <n v="31"/>
    <n v="159.94"/>
    <n v="260.36"/>
    <n v="0"/>
    <n v="204.24"/>
    <n v="311.63"/>
    <n v="519.36"/>
    <n v="449.73"/>
    <n v="476.61"/>
    <n v="370.56"/>
    <n v="245.94"/>
    <n v="3029.37"/>
    <n v="124.62"/>
  </r>
  <r>
    <x v="11"/>
    <x v="8"/>
    <x v="0"/>
    <s v="3300104"/>
    <n v="721910"/>
    <s v="Instruments"/>
    <s v="PCU-3 North"/>
    <x v="0"/>
    <n v="1000"/>
    <n v="0"/>
    <n v="0"/>
    <n v="0"/>
    <n v="0"/>
    <n v="0"/>
    <n v="12"/>
    <n v="0"/>
    <n v="0"/>
    <n v="415.83"/>
    <n v="0"/>
    <n v="0"/>
    <n v="0"/>
    <n v="427.83"/>
    <n v="0"/>
  </r>
  <r>
    <x v="11"/>
    <x v="8"/>
    <x v="0"/>
    <s v="3300104"/>
    <n v="721980"/>
    <s v="Supplies-Other"/>
    <s v="PCU-3 North"/>
    <x v="0"/>
    <m/>
    <n v="0"/>
    <n v="0"/>
    <n v="0"/>
    <n v="0"/>
    <n v="0"/>
    <n v="0"/>
    <n v="0"/>
    <n v="0"/>
    <n v="0"/>
    <n v="227.94"/>
    <n v="0"/>
    <n v="0"/>
    <n v="227.94"/>
    <n v="0"/>
  </r>
  <r>
    <x v="11"/>
    <x v="8"/>
    <x v="0"/>
    <s v="3300104"/>
    <n v="722000"/>
    <s v="Supplies-Freight Expense"/>
    <s v="PCU-3 North"/>
    <x v="0"/>
    <m/>
    <n v="0"/>
    <n v="0"/>
    <n v="0"/>
    <n v="0"/>
    <n v="0"/>
    <n v="0"/>
    <n v="0"/>
    <n v="0"/>
    <n v="8.92"/>
    <n v="0"/>
    <n v="0"/>
    <n v="0"/>
    <n v="8.92"/>
    <n v="0"/>
  </r>
  <r>
    <x v="15"/>
    <x v="8"/>
    <x v="0"/>
    <s v="3300104"/>
    <n v="731060"/>
    <s v="Cell Phones"/>
    <s v="PCU-3 North"/>
    <x v="0"/>
    <n v="1001"/>
    <n v="0"/>
    <n v="0"/>
    <n v="0"/>
    <n v="0"/>
    <n v="0"/>
    <n v="0"/>
    <n v="233.82"/>
    <n v="0"/>
    <n v="52.53"/>
    <n v="103"/>
    <n v="50.89"/>
    <n v="51.17"/>
    <n v="491.41"/>
    <n v="-0.28000000000000114"/>
  </r>
  <r>
    <x v="0"/>
    <x v="8"/>
    <x v="0"/>
    <s v="3300104"/>
    <n v="740020"/>
    <s v="Education-Registration Fees"/>
    <s v="PCU-3 North"/>
    <x v="0"/>
    <m/>
    <n v="0"/>
    <n v="0"/>
    <n v="0"/>
    <n v="0"/>
    <n v="0"/>
    <n v="0"/>
    <n v="0"/>
    <n v="390"/>
    <n v="0"/>
    <n v="175"/>
    <n v="600"/>
    <n v="0"/>
    <n v="1165"/>
    <n v="600"/>
  </r>
  <r>
    <x v="0"/>
    <x v="8"/>
    <x v="0"/>
    <s v="3300104"/>
    <n v="743030"/>
    <s v="Subscriptions--Institutional"/>
    <s v="PCU-3 North"/>
    <x v="0"/>
    <m/>
    <n v="0"/>
    <n v="42.66"/>
    <n v="0"/>
    <n v="0"/>
    <n v="0"/>
    <n v="0"/>
    <n v="0"/>
    <n v="0"/>
    <n v="0"/>
    <n v="0"/>
    <n v="0"/>
    <n v="0"/>
    <n v="42.66"/>
    <n v="0"/>
  </r>
  <r>
    <x v="0"/>
    <x v="8"/>
    <x v="0"/>
    <s v="3300104"/>
    <n v="749510"/>
    <s v="Miscellaneous Expenses"/>
    <s v="PCU-3 North"/>
    <x v="0"/>
    <m/>
    <n v="588"/>
    <n v="0"/>
    <n v="82.48"/>
    <n v="0"/>
    <n v="0"/>
    <n v="0"/>
    <n v="0"/>
    <n v="-1500"/>
    <n v="0"/>
    <n v="0"/>
    <n v="28.82"/>
    <n v="0"/>
    <n v="-800.69999999999993"/>
    <n v="28.82"/>
  </r>
  <r>
    <x v="0"/>
    <x v="8"/>
    <x v="0"/>
    <s v="3300104"/>
    <n v="749510"/>
    <s v="Licenses"/>
    <s v="PCU-3 North"/>
    <x v="0"/>
    <n v="1002"/>
    <n v="0"/>
    <n v="0"/>
    <n v="0"/>
    <n v="0"/>
    <n v="-805"/>
    <n v="575"/>
    <n v="0"/>
    <n v="0"/>
    <n v="0"/>
    <n v="225"/>
    <n v="0"/>
    <n v="0"/>
    <n v="-5"/>
    <n v="0"/>
  </r>
  <r>
    <x v="0"/>
    <x v="8"/>
    <x v="0"/>
    <s v="3300104"/>
    <n v="749510"/>
    <s v="RICE Rewards"/>
    <s v="PCU-3 North"/>
    <x v="0"/>
    <n v="5100"/>
    <n v="0"/>
    <n v="0"/>
    <n v="0"/>
    <n v="0"/>
    <n v="0"/>
    <n v="0"/>
    <n v="0"/>
    <n v="0"/>
    <n v="0"/>
    <n v="1933.52"/>
    <n v="0"/>
    <n v="0"/>
    <n v="1933.52"/>
    <n v="0"/>
  </r>
  <r>
    <x v="0"/>
    <x v="8"/>
    <x v="0"/>
    <s v="3300104"/>
    <n v="749530"/>
    <s v="Travel"/>
    <s v="PCU-3 North"/>
    <x v="0"/>
    <m/>
    <n v="0"/>
    <n v="0"/>
    <n v="0"/>
    <n v="0"/>
    <n v="0"/>
    <n v="0"/>
    <n v="0"/>
    <n v="0"/>
    <n v="0"/>
    <n v="0"/>
    <n v="258.08"/>
    <n v="352.6"/>
    <n v="610.68000000000006"/>
    <n v="-94.520000000000039"/>
  </r>
  <r>
    <x v="18"/>
    <x v="5"/>
    <x v="0"/>
    <s v="3300106"/>
    <n v="400010"/>
    <s v="Acute I/P Svcs Rev--Medicare"/>
    <s v="Intermediate Care"/>
    <x v="0"/>
    <n v="1100"/>
    <n v="-965055.04"/>
    <n v="-916507.21"/>
    <n v="-1019540.73"/>
    <n v="-934663.29"/>
    <n v="-1010000.17"/>
    <n v="-1118204.3600000001"/>
    <n v="-1329855.77"/>
    <n v="-1126178.42"/>
    <n v="-1236845.55"/>
    <n v="-1194793.6599999999"/>
    <n v="-1190155.45"/>
    <n v="-904342.07"/>
    <n v="-12946141.720000001"/>
    <n v="-285813.38"/>
  </r>
  <r>
    <x v="18"/>
    <x v="5"/>
    <x v="0"/>
    <s v="3300106"/>
    <n v="400010"/>
    <s v="Acute I/P Svcs Rev--Medicaid"/>
    <s v="Intermediate Care"/>
    <x v="0"/>
    <n v="1200"/>
    <n v="-470076.11"/>
    <n v="-349856.63"/>
    <n v="-386959.46"/>
    <n v="-229757.78"/>
    <n v="-188957.38"/>
    <n v="-349880.3"/>
    <n v="-340516.91"/>
    <n v="-315730.38"/>
    <n v="-302865.34999999998"/>
    <n v="-301829.94"/>
    <n v="-490425.38"/>
    <n v="-371214.52"/>
    <n v="-4098070.1399999997"/>
    <n v="-119210.85999999999"/>
  </r>
  <r>
    <x v="18"/>
    <x v="5"/>
    <x v="0"/>
    <s v="3300106"/>
    <n v="400010"/>
    <s v="Acute I/P Svcs Rev--Comm Insurance"/>
    <s v="Intermediate Care"/>
    <x v="0"/>
    <n v="1300"/>
    <n v="24744.92"/>
    <n v="-46709.279999999999"/>
    <n v="4845.97"/>
    <n v="16220.22"/>
    <n v="-83280.44"/>
    <n v="-29653.66"/>
    <n v="0"/>
    <n v="-4875.6499999999996"/>
    <n v="-9647"/>
    <n v="-23368"/>
    <n v="12524"/>
    <n v="-16245.4"/>
    <n v="-155444.31999999998"/>
    <n v="28769.4"/>
  </r>
  <r>
    <x v="18"/>
    <x v="5"/>
    <x v="0"/>
    <s v="3300106"/>
    <n v="400010"/>
    <s v="Acute I/P Svcs Rev--BCBS Comm"/>
    <s v="Intermediate Care"/>
    <x v="0"/>
    <n v="1301"/>
    <n v="-83281.429999999993"/>
    <n v="-16868"/>
    <n v="-36846.07"/>
    <n v="-12718.33"/>
    <n v="-18272.82"/>
    <n v="-85006.32"/>
    <n v="-99147.07"/>
    <n v="-109012"/>
    <n v="-69955.039999999994"/>
    <n v="-34784"/>
    <n v="-58566.48"/>
    <n v="-20642"/>
    <n v="-645099.56000000006"/>
    <n v="-37924.480000000003"/>
  </r>
  <r>
    <x v="18"/>
    <x v="5"/>
    <x v="0"/>
    <s v="3300106"/>
    <n v="400010"/>
    <s v="Acute I/P Svcs Rev--Managed Care"/>
    <s v="Intermediate Care"/>
    <x v="0"/>
    <n v="1400"/>
    <n v="-272945.07"/>
    <n v="-74229.81"/>
    <n v="-88409.17"/>
    <n v="-263584.83"/>
    <n v="-132450.95000000001"/>
    <n v="-158052.42000000001"/>
    <n v="-132914.99"/>
    <n v="-188708.91"/>
    <n v="-183902.2"/>
    <n v="-155054.99"/>
    <n v="-17925.830000000002"/>
    <n v="-125242.61"/>
    <n v="-1793421.7800000003"/>
    <n v="107316.78"/>
  </r>
  <r>
    <x v="18"/>
    <x v="5"/>
    <x v="0"/>
    <s v="3300106"/>
    <n v="400010"/>
    <s v="Acute I/P Svcs Rev--Self Pay"/>
    <s v="Intermediate Care"/>
    <x v="0"/>
    <n v="1500"/>
    <n v="-16969.330000000002"/>
    <n v="-38907.519999999997"/>
    <n v="-46769.41"/>
    <n v="-5151.87"/>
    <n v="-99168.14"/>
    <n v="-19356.3"/>
    <n v="-93166.77"/>
    <n v="-5242.16"/>
    <n v="-19276.62"/>
    <n v="-41284"/>
    <n v="-29447"/>
    <n v="-53572"/>
    <n v="-468311.12"/>
    <n v="24125"/>
  </r>
  <r>
    <x v="18"/>
    <x v="5"/>
    <x v="0"/>
    <s v="3300106"/>
    <n v="400010"/>
    <s v="Acute I/P Svcs Rev--Other"/>
    <s v="Intermediate Care"/>
    <x v="0"/>
    <n v="1700"/>
    <n v="25538.11"/>
    <n v="-15915.09"/>
    <n v="-39995.61"/>
    <n v="-5857.52"/>
    <n v="0"/>
    <n v="-8203.33"/>
    <n v="-4217"/>
    <n v="-48436.84"/>
    <n v="-32840.51"/>
    <n v="-20048.669999999998"/>
    <n v="-38018"/>
    <n v="-100378.85"/>
    <n v="-288373.31000000006"/>
    <n v="62360.850000000006"/>
  </r>
  <r>
    <x v="19"/>
    <x v="5"/>
    <x v="0"/>
    <s v="3300106"/>
    <n v="400020"/>
    <s v="O/P Care Svcs Rev--Medicare"/>
    <s v="Intermediate Care"/>
    <x v="0"/>
    <n v="1100"/>
    <n v="-4521.37"/>
    <n v="2781.88"/>
    <n v="-2259.08"/>
    <n v="-33791.19"/>
    <n v="-20157.349999999999"/>
    <n v="-13720"/>
    <n v="-3931.92"/>
    <n v="-7818.4"/>
    <n v="-21097.9"/>
    <n v="-8860.64"/>
    <n v="-17755.419999999998"/>
    <n v="-4394.66"/>
    <n v="-135526.04999999999"/>
    <n v="-13360.759999999998"/>
  </r>
  <r>
    <x v="19"/>
    <x v="5"/>
    <x v="0"/>
    <s v="3300106"/>
    <n v="400020"/>
    <s v="O/P Care Svcs Rev--Medicaid"/>
    <s v="Intermediate Care"/>
    <x v="0"/>
    <n v="1200"/>
    <n v="-8614.3700000000008"/>
    <n v="-41010.870000000003"/>
    <n v="-6176.71"/>
    <n v="-23808.080000000002"/>
    <n v="-6850.18"/>
    <n v="-9716.1299999999992"/>
    <n v="-10407.56"/>
    <n v="-20113.509999999998"/>
    <n v="-9295.36"/>
    <n v="2922.9"/>
    <n v="-17183.12"/>
    <n v="-8464.14"/>
    <n v="-158717.13"/>
    <n v="-8718.98"/>
  </r>
  <r>
    <x v="19"/>
    <x v="5"/>
    <x v="0"/>
    <s v="3300106"/>
    <n v="400020"/>
    <s v="O/P Care Svcs Rev--Comm Insurance"/>
    <s v="Intermediate Care"/>
    <x v="0"/>
    <n v="1300"/>
    <n v="0"/>
    <n v="-363.3"/>
    <n v="0"/>
    <n v="0"/>
    <n v="-1453.43"/>
    <n v="0"/>
    <n v="1453.43"/>
    <n v="0"/>
    <n v="0"/>
    <n v="0"/>
    <n v="-952.56"/>
    <n v="0"/>
    <n v="-1315.86"/>
    <n v="-952.56"/>
  </r>
  <r>
    <x v="19"/>
    <x v="5"/>
    <x v="0"/>
    <s v="3300106"/>
    <n v="400020"/>
    <s v="O/P Care Svcs Rev--BCBS Comm"/>
    <s v="Intermediate Care"/>
    <x v="0"/>
    <n v="1301"/>
    <n v="0"/>
    <n v="0"/>
    <n v="-12120.29"/>
    <n v="-3062.88"/>
    <n v="-6890.39"/>
    <n v="-2807.64"/>
    <n v="0"/>
    <n v="0"/>
    <n v="0"/>
    <n v="0"/>
    <n v="-3129.84"/>
    <n v="0"/>
    <n v="-28011.040000000001"/>
    <n v="-3129.84"/>
  </r>
  <r>
    <x v="19"/>
    <x v="5"/>
    <x v="0"/>
    <s v="3300106"/>
    <n v="400020"/>
    <s v="O/P Care Svcs Rev--Managed Care"/>
    <s v="Intermediate Care"/>
    <x v="0"/>
    <n v="1400"/>
    <n v="-12070.8"/>
    <n v="-12295.24"/>
    <n v="-3312.41"/>
    <n v="0"/>
    <n v="-10569.73"/>
    <n v="-10683.27"/>
    <n v="-4756.68"/>
    <n v="-9466.25"/>
    <n v="0"/>
    <n v="-18775.400000000001"/>
    <n v="-4857.3999999999996"/>
    <n v="-680.4"/>
    <n v="-87467.579999999987"/>
    <n v="-4177"/>
  </r>
  <r>
    <x v="19"/>
    <x v="5"/>
    <x v="0"/>
    <s v="3300106"/>
    <n v="400020"/>
    <s v="O/P Care Svcs Rev--Self Pay"/>
    <s v="Intermediate Care"/>
    <x v="0"/>
    <n v="1500"/>
    <n v="3019.92"/>
    <n v="-9884.5400000000009"/>
    <n v="0"/>
    <n v="0"/>
    <n v="-2301.84"/>
    <n v="0"/>
    <n v="0"/>
    <n v="0"/>
    <n v="0"/>
    <n v="0"/>
    <n v="0"/>
    <n v="0"/>
    <n v="-9166.4600000000009"/>
    <n v="0"/>
  </r>
  <r>
    <x v="19"/>
    <x v="5"/>
    <x v="0"/>
    <s v="3300106"/>
    <n v="400020"/>
    <s v="O/P Care Svcs Rev--Other"/>
    <s v="Intermediate Care"/>
    <x v="0"/>
    <n v="1700"/>
    <n v="-3019.92"/>
    <n v="3019.92"/>
    <n v="0"/>
    <n v="0"/>
    <n v="0"/>
    <n v="0"/>
    <n v="0"/>
    <n v="-952.56"/>
    <n v="0"/>
    <n v="680.4"/>
    <n v="0"/>
    <n v="-2177.2800000000002"/>
    <n v="-2449.44"/>
    <n v="2177.2800000000002"/>
  </r>
  <r>
    <x v="14"/>
    <x v="5"/>
    <x v="0"/>
    <s v="3300106"/>
    <n v="600050"/>
    <s v="Miscellaneous Revenue"/>
    <s v="Intermediate Care"/>
    <x v="0"/>
    <m/>
    <n v="-367.11"/>
    <n v="-30.65"/>
    <n v="0"/>
    <n v="0"/>
    <n v="0"/>
    <n v="-1293.29"/>
    <n v="1293.29"/>
    <n v="0"/>
    <n v="0"/>
    <n v="0"/>
    <n v="0"/>
    <n v="0"/>
    <n v="-397.76"/>
    <n v="0"/>
  </r>
  <r>
    <x v="5"/>
    <x v="5"/>
    <x v="0"/>
    <s v="3300106"/>
    <n v="700026"/>
    <s v="Salaries-RN-Productive"/>
    <s v="Intermediate Care"/>
    <x v="0"/>
    <m/>
    <n v="157472.92000000001"/>
    <n v="153053.5"/>
    <n v="157606.93"/>
    <n v="157725.65"/>
    <n v="119814.19"/>
    <n v="155602.01"/>
    <n v="162664.16"/>
    <n v="152436.71"/>
    <n v="133554.35"/>
    <n v="151457.70000000001"/>
    <n v="134492.97"/>
    <n v="145402.84"/>
    <n v="1781283.93"/>
    <n v="-10909.869999999995"/>
  </r>
  <r>
    <x v="5"/>
    <x v="5"/>
    <x v="0"/>
    <s v="3300106"/>
    <n v="700026"/>
    <s v="Salaries-RN-OT"/>
    <s v="Intermediate Care"/>
    <x v="0"/>
    <n v="1000"/>
    <n v="6352.37"/>
    <n v="4768.34"/>
    <n v="2936.3"/>
    <n v="7920.35"/>
    <n v="2223.2199999999998"/>
    <n v="7926.37"/>
    <n v="5742.43"/>
    <n v="12619.97"/>
    <n v="7625.86"/>
    <n v="10415.31"/>
    <n v="5244.45"/>
    <n v="8412.64"/>
    <n v="82187.61"/>
    <n v="-3168.1899999999996"/>
  </r>
  <r>
    <x v="5"/>
    <x v="5"/>
    <x v="0"/>
    <s v="3300106"/>
    <n v="700026"/>
    <s v="Salaries-RN-Other"/>
    <s v="Intermediate Care"/>
    <x v="0"/>
    <n v="2000"/>
    <n v="15842.71"/>
    <n v="15617.62"/>
    <n v="16255.83"/>
    <n v="15638.29"/>
    <n v="13451.06"/>
    <n v="17710.3"/>
    <n v="17187.71"/>
    <n v="18041.669999999998"/>
    <n v="16255.42"/>
    <n v="15591.13"/>
    <n v="17919.45"/>
    <n v="15222.98"/>
    <n v="194734.17000000004"/>
    <n v="2696.4700000000012"/>
  </r>
  <r>
    <x v="5"/>
    <x v="5"/>
    <x v="0"/>
    <s v="3300106"/>
    <n v="700032"/>
    <s v="Salaries-Other Pat Care Providers-Productive"/>
    <s v="Intermediate Care"/>
    <x v="0"/>
    <m/>
    <n v="49463.8"/>
    <n v="43899.07"/>
    <n v="50496.81"/>
    <n v="51267.49"/>
    <n v="44041.9"/>
    <n v="44675.74"/>
    <n v="55257.87"/>
    <n v="52015.62"/>
    <n v="44925.22"/>
    <n v="57288.73"/>
    <n v="50556.18"/>
    <n v="40432.480000000003"/>
    <n v="584320.91"/>
    <n v="10123.699999999997"/>
  </r>
  <r>
    <x v="5"/>
    <x v="5"/>
    <x v="0"/>
    <s v="3300106"/>
    <n v="700032"/>
    <s v="Salaries-Other Pat Care Providers-OT"/>
    <s v="Intermediate Care"/>
    <x v="0"/>
    <n v="1000"/>
    <n v="3099.5"/>
    <n v="1531.09"/>
    <n v="-26.34"/>
    <n v="819.8"/>
    <n v="1414.45"/>
    <n v="4246.42"/>
    <n v="2282.4299999999998"/>
    <n v="1888.1"/>
    <n v="614.98"/>
    <n v="678.73"/>
    <n v="51.87"/>
    <n v="3778.61"/>
    <n v="20379.64"/>
    <n v="-3726.7400000000002"/>
  </r>
  <r>
    <x v="5"/>
    <x v="5"/>
    <x v="0"/>
    <s v="3300106"/>
    <n v="700032"/>
    <s v="Salaries-Other Pat Care Providers-Other"/>
    <s v="Intermediate Care"/>
    <x v="0"/>
    <n v="2000"/>
    <n v="3490.5"/>
    <n v="3082.01"/>
    <n v="3649.6"/>
    <n v="3202.83"/>
    <n v="2630.94"/>
    <n v="2881.64"/>
    <n v="3383.5"/>
    <n v="2941.62"/>
    <n v="2693.86"/>
    <n v="3506.84"/>
    <n v="3529.76"/>
    <n v="2737.92"/>
    <n v="37731.019999999997"/>
    <n v="791.84000000000015"/>
  </r>
  <r>
    <x v="5"/>
    <x v="5"/>
    <x v="0"/>
    <s v="3300106"/>
    <n v="700034"/>
    <s v="Salaries-Tech/Professional-Productive"/>
    <s v="Intermediate Care"/>
    <x v="0"/>
    <m/>
    <n v="183"/>
    <n v="549.09"/>
    <n v="-125.16"/>
    <n v="0"/>
    <n v="0"/>
    <n v="0"/>
    <n v="0"/>
    <n v="0"/>
    <n v="0"/>
    <n v="0"/>
    <n v="0"/>
    <n v="0"/>
    <n v="606.93000000000006"/>
    <n v="0"/>
  </r>
  <r>
    <x v="5"/>
    <x v="5"/>
    <x v="0"/>
    <s v="3300106"/>
    <n v="700034"/>
    <s v="Salaries-Tech/Professional-Other"/>
    <s v="Intermediate Care"/>
    <x v="0"/>
    <n v="2000"/>
    <n v="0"/>
    <n v="18.57"/>
    <n v="-5.57"/>
    <n v="0"/>
    <n v="0"/>
    <n v="0"/>
    <n v="0"/>
    <n v="0"/>
    <n v="0"/>
    <n v="0"/>
    <n v="0"/>
    <n v="0"/>
    <n v="13"/>
    <n v="0"/>
  </r>
  <r>
    <x v="5"/>
    <x v="5"/>
    <x v="0"/>
    <s v="3300106"/>
    <n v="700054"/>
    <s v="Salaries-Management-NonProd-Other"/>
    <s v="Intermediate Care"/>
    <x v="0"/>
    <n v="2000"/>
    <n v="0"/>
    <n v="0"/>
    <n v="0"/>
    <n v="0"/>
    <n v="-637.5"/>
    <n v="896.5"/>
    <n v="-259"/>
    <n v="0"/>
    <n v="0"/>
    <n v="0"/>
    <n v="0"/>
    <n v="0"/>
    <n v="0"/>
    <n v="0"/>
  </r>
  <r>
    <x v="5"/>
    <x v="5"/>
    <x v="0"/>
    <s v="3300106"/>
    <n v="700066"/>
    <s v="Salaries-RN-Non-productive"/>
    <s v="Intermediate Care"/>
    <x v="0"/>
    <m/>
    <n v="16353.28"/>
    <n v="22034.99"/>
    <n v="23013.46"/>
    <n v="24064.81"/>
    <n v="31891.200000000001"/>
    <n v="21722.639999999999"/>
    <n v="23678.77"/>
    <n v="18622.689999999999"/>
    <n v="23999.35"/>
    <n v="17390.830000000002"/>
    <n v="24840.85"/>
    <n v="29893.51"/>
    <n v="277506.38"/>
    <n v="-5052.66"/>
  </r>
  <r>
    <x v="5"/>
    <x v="5"/>
    <x v="0"/>
    <s v="3300106"/>
    <n v="700066"/>
    <s v="Salaries-RN-NonProd-Other"/>
    <s v="Intermediate Care"/>
    <x v="0"/>
    <n v="2000"/>
    <n v="1141.4100000000001"/>
    <n v="1368.92"/>
    <n v="1669.84"/>
    <n v="1714.71"/>
    <n v="3270.23"/>
    <n v="3526.83"/>
    <n v="1840.29"/>
    <n v="-1558.73"/>
    <n v="2090.91"/>
    <n v="1441.23"/>
    <n v="2266.44"/>
    <n v="1294.78"/>
    <n v="20066.859999999997"/>
    <n v="971.66000000000008"/>
  </r>
  <r>
    <x v="5"/>
    <x v="5"/>
    <x v="0"/>
    <s v="3300106"/>
    <n v="700072"/>
    <s v="Salaries-Other Pat Care Providers-Non-productive"/>
    <s v="Intermediate Care"/>
    <x v="0"/>
    <m/>
    <n v="10851.08"/>
    <n v="7135.46"/>
    <n v="11129.38"/>
    <n v="2716.88"/>
    <n v="5347.2"/>
    <n v="5273.05"/>
    <n v="6878.6"/>
    <n v="5518.87"/>
    <n v="6124.35"/>
    <n v="6294.74"/>
    <n v="4056.25"/>
    <n v="5026.53"/>
    <n v="76352.39"/>
    <n v="-970.27999999999975"/>
  </r>
  <r>
    <x v="5"/>
    <x v="5"/>
    <x v="0"/>
    <s v="3300106"/>
    <n v="700072"/>
    <s v="Salaries-Other Pat Care Providers-NonProd-Other"/>
    <s v="Intermediate Care"/>
    <x v="0"/>
    <n v="2000"/>
    <n v="522.11"/>
    <n v="456.33"/>
    <n v="368.42"/>
    <n v="192.51"/>
    <n v="84.5"/>
    <n v="304.18"/>
    <n v="346.69"/>
    <n v="281.54000000000002"/>
    <n v="35.270000000000003"/>
    <n v="816.48"/>
    <n v="99.71"/>
    <n v="82.85"/>
    <n v="3590.59"/>
    <n v="16.86"/>
  </r>
  <r>
    <x v="5"/>
    <x v="5"/>
    <x v="0"/>
    <s v="3300106"/>
    <n v="700084"/>
    <s v="Accrued PTO"/>
    <s v="Intermediate Care"/>
    <x v="0"/>
    <m/>
    <n v="3227.66"/>
    <n v="5687.32"/>
    <n v="-4099.1400000000003"/>
    <n v="2607.86"/>
    <n v="-11341.69"/>
    <n v="9377.2900000000009"/>
    <n v="2152.52"/>
    <n v="5489.53"/>
    <n v="-2326.9499999999998"/>
    <n v="5906.3"/>
    <n v="409.32"/>
    <n v="7727.09"/>
    <n v="24817.109999999997"/>
    <n v="-7317.77"/>
  </r>
  <r>
    <x v="10"/>
    <x v="5"/>
    <x v="0"/>
    <s v="3300106"/>
    <n v="710060"/>
    <s v="Contract Labor-Other"/>
    <s v="Intermediate Care"/>
    <x v="0"/>
    <m/>
    <n v="35485.14"/>
    <n v="34120.239999999998"/>
    <n v="7184.25"/>
    <n v="918.75"/>
    <n v="27020.55"/>
    <n v="31991.200000000001"/>
    <n v="36807.51"/>
    <n v="60391.18"/>
    <n v="37213"/>
    <n v="39362.75"/>
    <n v="77011.27"/>
    <n v="38908.5"/>
    <n v="426414.34"/>
    <n v="38102.770000000004"/>
  </r>
  <r>
    <x v="10"/>
    <x v="5"/>
    <x v="0"/>
    <s v="3300106"/>
    <n v="710060"/>
    <s v="Contract Labor-Overtime"/>
    <s v="Intermediate Care"/>
    <x v="0"/>
    <n v="5100"/>
    <n v="2418.1799999999998"/>
    <n v="106.1"/>
    <n v="0"/>
    <n v="0"/>
    <n v="0"/>
    <n v="623.02"/>
    <n v="1198.1199999999999"/>
    <n v="3258.9"/>
    <n v="1979.44"/>
    <n v="1150.2"/>
    <n v="-287.89"/>
    <n v="3219.75"/>
    <n v="13665.820000000002"/>
    <n v="-3507.64"/>
  </r>
  <r>
    <x v="10"/>
    <x v="5"/>
    <x v="0"/>
    <s v="3300106"/>
    <n v="710060"/>
    <s v="Contract Labor-Standby Wages"/>
    <s v="Intermediate Care"/>
    <x v="0"/>
    <n v="5101"/>
    <n v="224"/>
    <n v="192"/>
    <n v="0"/>
    <n v="0"/>
    <n v="0"/>
    <n v="0"/>
    <n v="256"/>
    <n v="0"/>
    <n v="24"/>
    <n v="0"/>
    <n v="288"/>
    <n v="34"/>
    <n v="1018"/>
    <n v="254"/>
  </r>
  <r>
    <x v="6"/>
    <x v="5"/>
    <x v="0"/>
    <s v="3300106"/>
    <n v="713010"/>
    <s v="Benefits-FICA/Medicare"/>
    <s v="Intermediate Care"/>
    <x v="0"/>
    <m/>
    <n v="19885.09"/>
    <n v="18826.86"/>
    <n v="19933.03"/>
    <n v="19766.599999999999"/>
    <n v="16763.560000000001"/>
    <n v="19631.79"/>
    <n v="21182.76"/>
    <n v="19826.88"/>
    <n v="17842.93"/>
    <n v="20230.7"/>
    <n v="18109.37"/>
    <n v="18740.05"/>
    <n v="230739.62"/>
    <n v="-630.68000000000029"/>
  </r>
  <r>
    <x v="6"/>
    <x v="5"/>
    <x v="0"/>
    <s v="3300106"/>
    <n v="713090"/>
    <s v="Benefits-Allocated Amounts"/>
    <s v="Intermediate Care"/>
    <x v="0"/>
    <m/>
    <n v="60776.88"/>
    <n v="58304.34"/>
    <n v="61235.32"/>
    <n v="57538.32"/>
    <n v="50648.95"/>
    <n v="57980.44"/>
    <n v="62106.67"/>
    <n v="59849.84"/>
    <n v="49558.94"/>
    <n v="59583.360000000001"/>
    <n v="52557.64"/>
    <n v="55453.38"/>
    <n v="685594.08000000007"/>
    <n v="-2895.739999999998"/>
  </r>
  <r>
    <x v="6"/>
    <x v="5"/>
    <x v="0"/>
    <s v="3300106"/>
    <n v="713096"/>
    <s v="Employee Recognition"/>
    <s v="Intermediate Care"/>
    <x v="0"/>
    <n v="1017"/>
    <n v="0"/>
    <n v="0"/>
    <n v="0"/>
    <n v="0"/>
    <n v="0"/>
    <n v="0"/>
    <n v="0"/>
    <n v="0"/>
    <n v="0"/>
    <n v="0"/>
    <n v="8.3800000000000008"/>
    <n v="0"/>
    <n v="8.3800000000000008"/>
    <n v="8.3800000000000008"/>
  </r>
  <r>
    <x v="17"/>
    <x v="5"/>
    <x v="0"/>
    <s v="3300106"/>
    <n v="714530"/>
    <s v="Medical Prof Fees-Intracompany"/>
    <s v="Intermediate Care"/>
    <x v="0"/>
    <m/>
    <n v="1437.12"/>
    <n v="39.04"/>
    <n v="2254.5500000000002"/>
    <n v="5887.76"/>
    <n v="6891.9"/>
    <n v="6936.93"/>
    <n v="8487.5400000000009"/>
    <n v="-24364.91"/>
    <n v="9851.1"/>
    <n v="1772.92"/>
    <n v="747.15"/>
    <n v="1374.11"/>
    <n v="21315.210000000006"/>
    <n v="-626.95999999999992"/>
  </r>
  <r>
    <x v="7"/>
    <x v="5"/>
    <x v="0"/>
    <s v="3300106"/>
    <n v="718050"/>
    <s v="Contract Svcs-Other"/>
    <s v="Intermediate Care"/>
    <x v="0"/>
    <m/>
    <n v="0"/>
    <n v="0"/>
    <n v="0"/>
    <n v="0"/>
    <n v="0"/>
    <n v="931.04"/>
    <n v="0"/>
    <n v="0"/>
    <n v="0"/>
    <n v="0"/>
    <n v="0"/>
    <n v="0"/>
    <n v="931.04"/>
    <n v="0"/>
  </r>
  <r>
    <x v="7"/>
    <x v="5"/>
    <x v="0"/>
    <s v="3300106"/>
    <n v="718050"/>
    <s v="Translation Services"/>
    <s v="Intermediate Care"/>
    <x v="0"/>
    <n v="1025"/>
    <n v="17.010000000000002"/>
    <n v="0"/>
    <n v="88.29"/>
    <n v="160.37"/>
    <n v="15.01"/>
    <n v="0"/>
    <n v="5.53"/>
    <n v="227.71"/>
    <n v="690.46"/>
    <n v="24.49"/>
    <n v="100.33"/>
    <n v="0"/>
    <n v="1329.2"/>
    <n v="100.33"/>
  </r>
  <r>
    <x v="7"/>
    <x v="5"/>
    <x v="0"/>
    <s v="3300106"/>
    <n v="718050"/>
    <s v="Contract Management--Linen"/>
    <s v="Intermediate Care"/>
    <x v="0"/>
    <n v="1026"/>
    <n v="4375.78"/>
    <n v="2111.04"/>
    <n v="2963.11"/>
    <n v="3092.22"/>
    <n v="3662.19"/>
    <n v="3645.05"/>
    <n v="3904.11"/>
    <n v="4571.17"/>
    <n v="4203.21"/>
    <n v="4803.37"/>
    <n v="6644.02"/>
    <n v="3296.11"/>
    <n v="47271.380000000005"/>
    <n v="3347.9100000000003"/>
  </r>
  <r>
    <x v="11"/>
    <x v="5"/>
    <x v="0"/>
    <s v="3300106"/>
    <n v="721010"/>
    <s v="Supplies-Medical - Billable"/>
    <s v="Intermediate Care"/>
    <x v="0"/>
    <m/>
    <n v="932.97"/>
    <n v="662"/>
    <n v="938.2"/>
    <n v="781.92"/>
    <n v="899.2"/>
    <n v="1028.6099999999999"/>
    <n v="1125.51"/>
    <n v="1348.97"/>
    <n v="978.21"/>
    <n v="910.91"/>
    <n v="1206.3800000000001"/>
    <n v="811.58"/>
    <n v="11624.460000000001"/>
    <n v="394.80000000000007"/>
  </r>
  <r>
    <x v="11"/>
    <x v="5"/>
    <x v="0"/>
    <s v="3300106"/>
    <n v="721010"/>
    <s v="Patient Monitoring"/>
    <s v="Intermediate Care"/>
    <x v="0"/>
    <n v="1000"/>
    <n v="0"/>
    <n v="0"/>
    <n v="746.79"/>
    <n v="0"/>
    <n v="746.79"/>
    <n v="0"/>
    <n v="0"/>
    <n v="55.5"/>
    <n v="0.44"/>
    <n v="0"/>
    <n v="0"/>
    <n v="0"/>
    <n v="1549.52"/>
    <n v="0"/>
  </r>
  <r>
    <x v="11"/>
    <x v="5"/>
    <x v="0"/>
    <s v="3300106"/>
    <n v="721020"/>
    <s v="Supplies-Surgical - Billable"/>
    <s v="Intermediate Care"/>
    <x v="0"/>
    <m/>
    <n v="15.05"/>
    <n v="0"/>
    <n v="0"/>
    <n v="0"/>
    <n v="0"/>
    <n v="90.7"/>
    <n v="0"/>
    <n v="0"/>
    <n v="0"/>
    <n v="0"/>
    <n v="15.05"/>
    <n v="15.05"/>
    <n v="135.85"/>
    <n v="0"/>
  </r>
  <r>
    <x v="11"/>
    <x v="5"/>
    <x v="0"/>
    <s v="3300106"/>
    <n v="721020"/>
    <s v="Urological Supplies"/>
    <s v="Intermediate Care"/>
    <x v="0"/>
    <n v="1006"/>
    <n v="0"/>
    <n v="0"/>
    <n v="0"/>
    <n v="0"/>
    <n v="0"/>
    <n v="0"/>
    <n v="4.8"/>
    <n v="0"/>
    <n v="0"/>
    <n v="0"/>
    <n v="0"/>
    <n v="0"/>
    <n v="4.8"/>
    <n v="0"/>
  </r>
  <r>
    <x v="11"/>
    <x v="5"/>
    <x v="0"/>
    <s v="3300106"/>
    <n v="721020"/>
    <s v="Tubes Drains &amp; Related Supplies"/>
    <s v="Intermediate Care"/>
    <x v="0"/>
    <n v="1008"/>
    <n v="0"/>
    <n v="0"/>
    <n v="0"/>
    <n v="0"/>
    <n v="0"/>
    <n v="0"/>
    <n v="176.16"/>
    <n v="0"/>
    <n v="0"/>
    <n v="11.88"/>
    <n v="176.16"/>
    <n v="4.75"/>
    <n v="368.95"/>
    <n v="171.41"/>
  </r>
  <r>
    <x v="11"/>
    <x v="5"/>
    <x v="0"/>
    <s v="3300106"/>
    <n v="721150"/>
    <s v="Supplies-Other Implants - Billable"/>
    <s v="Intermediate Care"/>
    <x v="0"/>
    <m/>
    <n v="0"/>
    <n v="0"/>
    <n v="0"/>
    <n v="0"/>
    <n v="0"/>
    <n v="0"/>
    <n v="0"/>
    <n v="0"/>
    <n v="0"/>
    <n v="0"/>
    <n v="0"/>
    <n v="106.88"/>
    <n v="106.88"/>
    <n v="-106.88"/>
  </r>
  <r>
    <x v="11"/>
    <x v="5"/>
    <x v="0"/>
    <s v="3300106"/>
    <n v="721240"/>
    <s v="Supplies-IV Solutions/Supplies - Billable"/>
    <s v="Intermediate Care"/>
    <x v="0"/>
    <m/>
    <n v="233.63"/>
    <n v="388.25"/>
    <n v="157.38"/>
    <n v="370.16"/>
    <n v="218.75"/>
    <n v="409.75"/>
    <n v="481.58"/>
    <n v="438.25"/>
    <n v="359.8"/>
    <n v="233.3"/>
    <n v="132"/>
    <n v="274.54000000000002"/>
    <n v="3697.3900000000003"/>
    <n v="-142.54000000000002"/>
  </r>
  <r>
    <x v="11"/>
    <x v="5"/>
    <x v="0"/>
    <s v="3300106"/>
    <n v="721410"/>
    <s v="Supplies-Medical - Nonbillable"/>
    <s v="Intermediate Care"/>
    <x v="0"/>
    <m/>
    <n v="1895.1"/>
    <n v="1771.9"/>
    <n v="1568.46"/>
    <n v="1848.19"/>
    <n v="1633.5"/>
    <n v="2604.29"/>
    <n v="2819.21"/>
    <n v="1547.85"/>
    <n v="2691.08"/>
    <n v="2376.6999999999998"/>
    <n v="1457.41"/>
    <n v="910.07"/>
    <n v="23123.759999999998"/>
    <n v="547.34"/>
  </r>
  <r>
    <x v="11"/>
    <x v="5"/>
    <x v="0"/>
    <s v="3300106"/>
    <n v="721420"/>
    <s v="Supplies-Surgical Nonbillable"/>
    <s v="Intermediate Care"/>
    <x v="0"/>
    <m/>
    <n v="0"/>
    <n v="0"/>
    <n v="0"/>
    <n v="0"/>
    <n v="0"/>
    <n v="0"/>
    <n v="1.42"/>
    <n v="0"/>
    <n v="0"/>
    <n v="0"/>
    <n v="5.72"/>
    <n v="0"/>
    <n v="7.14"/>
    <n v="5.72"/>
  </r>
  <r>
    <x v="11"/>
    <x v="5"/>
    <x v="0"/>
    <s v="3300106"/>
    <n v="721420"/>
    <s v="Tubes Drains &amp; Related Supplies"/>
    <s v="Intermediate Care"/>
    <x v="0"/>
    <n v="1008"/>
    <n v="0"/>
    <n v="0"/>
    <n v="0"/>
    <n v="0"/>
    <n v="0"/>
    <n v="12.61"/>
    <n v="22.01"/>
    <n v="0"/>
    <n v="12.22"/>
    <n v="10.02"/>
    <n v="0"/>
    <n v="25.98"/>
    <n v="82.84"/>
    <n v="-25.98"/>
  </r>
  <r>
    <x v="11"/>
    <x v="5"/>
    <x v="0"/>
    <s v="3300106"/>
    <n v="721420"/>
    <s v="Sterilization Process Products"/>
    <s v="Intermediate Care"/>
    <x v="0"/>
    <n v="1009"/>
    <n v="0"/>
    <n v="0"/>
    <n v="0"/>
    <n v="0"/>
    <n v="0"/>
    <n v="0"/>
    <n v="0"/>
    <n v="0"/>
    <n v="0"/>
    <n v="0"/>
    <n v="0"/>
    <n v="11.22"/>
    <n v="11.22"/>
    <n v="-11.22"/>
  </r>
  <r>
    <x v="11"/>
    <x v="5"/>
    <x v="0"/>
    <s v="3300106"/>
    <n v="721610"/>
    <s v="Supplies-Anesthesia - Nonbillable"/>
    <s v="Intermediate Care"/>
    <x v="0"/>
    <m/>
    <n v="0"/>
    <n v="0"/>
    <n v="0"/>
    <n v="0"/>
    <n v="0"/>
    <n v="0"/>
    <n v="9.6"/>
    <n v="0"/>
    <n v="0"/>
    <n v="0"/>
    <n v="38.65"/>
    <n v="0"/>
    <n v="48.25"/>
    <n v="38.65"/>
  </r>
  <r>
    <x v="11"/>
    <x v="5"/>
    <x v="0"/>
    <s v="3300106"/>
    <n v="721640"/>
    <s v="Supplies-IV Solutions/Supplies - Nonbillable"/>
    <s v="Intermediate Care"/>
    <x v="0"/>
    <m/>
    <n v="864.23"/>
    <n v="609.4"/>
    <n v="688.13"/>
    <n v="991.5"/>
    <n v="849.2"/>
    <n v="1127.68"/>
    <n v="1101.18"/>
    <n v="814.43"/>
    <n v="1043.8399999999999"/>
    <n v="817.98"/>
    <n v="687.9"/>
    <n v="767.69"/>
    <n v="10363.160000000002"/>
    <n v="-79.790000000000077"/>
  </r>
  <r>
    <x v="11"/>
    <x v="5"/>
    <x v="0"/>
    <s v="3300106"/>
    <n v="721710"/>
    <s v="Supplies-Laboratory - Nonbillable"/>
    <s v="Intermediate Care"/>
    <x v="0"/>
    <m/>
    <n v="21.88"/>
    <n v="5.85"/>
    <n v="0"/>
    <n v="29.36"/>
    <n v="0"/>
    <n v="21.91"/>
    <n v="11.02"/>
    <n v="34.630000000000003"/>
    <n v="6.25"/>
    <n v="0"/>
    <n v="24.09"/>
    <n v="13.18"/>
    <n v="168.17000000000002"/>
    <n v="10.91"/>
  </r>
  <r>
    <x v="11"/>
    <x v="5"/>
    <x v="0"/>
    <s v="3300106"/>
    <n v="721750"/>
    <s v="Supplies-Film/Radiographic - Nonbillable"/>
    <s v="Intermediate Care"/>
    <x v="0"/>
    <m/>
    <n v="0"/>
    <n v="0"/>
    <n v="0"/>
    <n v="1.87"/>
    <n v="0"/>
    <n v="0"/>
    <n v="0"/>
    <n v="0"/>
    <n v="0"/>
    <n v="0"/>
    <n v="0"/>
    <n v="0"/>
    <n v="1.87"/>
    <n v="0"/>
  </r>
  <r>
    <x v="11"/>
    <x v="5"/>
    <x v="0"/>
    <s v="3300106"/>
    <n v="721810"/>
    <s v="Supplies-Dietary/Cafeteria"/>
    <s v="Intermediate Care"/>
    <x v="0"/>
    <m/>
    <n v="7.71"/>
    <n v="122.18"/>
    <n v="0"/>
    <n v="83.93"/>
    <n v="0"/>
    <n v="8"/>
    <n v="22.84"/>
    <n v="46.41"/>
    <n v="0"/>
    <n v="0"/>
    <n v="0"/>
    <n v="90.8"/>
    <n v="381.87000000000006"/>
    <n v="-90.8"/>
  </r>
  <r>
    <x v="11"/>
    <x v="5"/>
    <x v="0"/>
    <s v="3300106"/>
    <n v="721830"/>
    <s v="Supplies-Office"/>
    <s v="Intermediate Care"/>
    <x v="0"/>
    <m/>
    <n v="126.79"/>
    <n v="534.26"/>
    <n v="455.14"/>
    <n v="361.3"/>
    <n v="108.78"/>
    <n v="82.89"/>
    <n v="100.8"/>
    <n v="0"/>
    <n v="81.180000000000007"/>
    <n v="910.22"/>
    <n v="0"/>
    <n v="6.88"/>
    <n v="2768.2400000000002"/>
    <n v="-6.88"/>
  </r>
  <r>
    <x v="11"/>
    <x v="5"/>
    <x v="0"/>
    <s v="3300106"/>
    <n v="721835"/>
    <s v="Supplies-Forms"/>
    <s v="Intermediate Care"/>
    <x v="0"/>
    <m/>
    <n v="0"/>
    <n v="0"/>
    <n v="0"/>
    <n v="0"/>
    <n v="273.64"/>
    <n v="47.19"/>
    <n v="166.67"/>
    <n v="0"/>
    <n v="166.67"/>
    <n v="0"/>
    <n v="109"/>
    <n v="26.66"/>
    <n v="789.82999999999993"/>
    <n v="82.34"/>
  </r>
  <r>
    <x v="11"/>
    <x v="5"/>
    <x v="0"/>
    <s v="3300106"/>
    <n v="721870"/>
    <s v="Supplies-Environmental Services"/>
    <s v="Intermediate Care"/>
    <x v="0"/>
    <m/>
    <n v="201.85"/>
    <n v="196.98"/>
    <n v="239.3"/>
    <n v="232.1"/>
    <n v="306.27999999999997"/>
    <n v="241.64"/>
    <n v="306.27999999999997"/>
    <n v="282.33"/>
    <n v="306.27999999999997"/>
    <n v="288.8"/>
    <n v="215.35"/>
    <n v="197.83"/>
    <n v="3015.02"/>
    <n v="17.519999999999982"/>
  </r>
  <r>
    <x v="11"/>
    <x v="5"/>
    <x v="0"/>
    <s v="3300106"/>
    <n v="721880"/>
    <s v="Supplies-Linen"/>
    <s v="Intermediate Care"/>
    <x v="0"/>
    <m/>
    <n v="0"/>
    <n v="0"/>
    <n v="0"/>
    <n v="0"/>
    <n v="6.55"/>
    <n v="0"/>
    <n v="0"/>
    <n v="0"/>
    <n v="0"/>
    <n v="0"/>
    <n v="90.24"/>
    <n v="0"/>
    <n v="96.789999999999992"/>
    <n v="90.24"/>
  </r>
  <r>
    <x v="11"/>
    <x v="5"/>
    <x v="0"/>
    <s v="3300106"/>
    <n v="721910"/>
    <s v="Supplies-Small Equipment"/>
    <s v="Intermediate Care"/>
    <x v="0"/>
    <m/>
    <n v="22.55"/>
    <n v="-13.75"/>
    <n v="1281.49"/>
    <n v="71.81"/>
    <n v="631.4"/>
    <n v="34.81"/>
    <n v="57.46"/>
    <n v="-59.29"/>
    <n v="52"/>
    <n v="2289.8200000000002"/>
    <n v="0"/>
    <n v="0"/>
    <n v="4368.3"/>
    <n v="0"/>
  </r>
  <r>
    <x v="11"/>
    <x v="5"/>
    <x v="0"/>
    <s v="3300106"/>
    <n v="721910"/>
    <s v="Instruments"/>
    <s v="Intermediate Care"/>
    <x v="0"/>
    <n v="1000"/>
    <n v="0"/>
    <n v="0"/>
    <n v="0"/>
    <n v="-306.95"/>
    <n v="0"/>
    <n v="0"/>
    <n v="0"/>
    <n v="616.70000000000005"/>
    <n v="1547.66"/>
    <n v="0"/>
    <n v="0"/>
    <n v="8.59"/>
    <n v="1866"/>
    <n v="-8.59"/>
  </r>
  <r>
    <x v="11"/>
    <x v="5"/>
    <x v="0"/>
    <s v="3300106"/>
    <n v="721980"/>
    <s v="Supplies-Other"/>
    <s v="Intermediate Care"/>
    <x v="0"/>
    <m/>
    <n v="0"/>
    <n v="0"/>
    <n v="0"/>
    <n v="0"/>
    <n v="0"/>
    <n v="0"/>
    <n v="0"/>
    <n v="0"/>
    <n v="2500"/>
    <n v="0"/>
    <n v="250"/>
    <n v="0"/>
    <n v="2750"/>
    <n v="250"/>
  </r>
  <r>
    <x v="11"/>
    <x v="5"/>
    <x v="0"/>
    <s v="3300106"/>
    <n v="722000"/>
    <s v="Supplies-Freight Expense"/>
    <s v="Intermediate Care"/>
    <x v="0"/>
    <m/>
    <n v="9.3800000000000008"/>
    <n v="13.75"/>
    <n v="0"/>
    <n v="0"/>
    <n v="0"/>
    <n v="0"/>
    <n v="0"/>
    <n v="0"/>
    <n v="0"/>
    <n v="0"/>
    <n v="8.26"/>
    <n v="8.48"/>
    <n v="39.870000000000005"/>
    <n v="-0.22000000000000064"/>
  </r>
  <r>
    <x v="12"/>
    <x v="5"/>
    <x v="0"/>
    <s v="3300106"/>
    <n v="730020"/>
    <s v="Rental and Leases-Equipment (DO NOT USE)"/>
    <s v="Intermediate Care"/>
    <x v="0"/>
    <m/>
    <n v="0"/>
    <n v="0"/>
    <n v="0"/>
    <n v="-1624"/>
    <n v="0"/>
    <n v="0"/>
    <n v="0"/>
    <n v="0"/>
    <n v="0"/>
    <n v="0"/>
    <n v="0"/>
    <n v="0"/>
    <n v="-1624"/>
    <n v="0"/>
  </r>
  <r>
    <x v="12"/>
    <x v="5"/>
    <x v="0"/>
    <s v="3300106"/>
    <n v="730020"/>
    <s v="Rental and Leases-Copier Usage Fees (DO NOT USE)"/>
    <s v="Intermediate Care"/>
    <x v="0"/>
    <n v="5100"/>
    <n v="791.87"/>
    <n v="799.69"/>
    <n v="795.78"/>
    <n v="795.78"/>
    <n v="795.78"/>
    <n v="795.78"/>
    <n v="-52.25"/>
    <n v="969.7"/>
    <n v="974.28"/>
    <n v="703.55"/>
    <n v="411.08"/>
    <n v="558.33000000000004"/>
    <n v="8339.369999999999"/>
    <n v="-147.25000000000006"/>
  </r>
  <r>
    <x v="15"/>
    <x v="5"/>
    <x v="0"/>
    <s v="3300106"/>
    <n v="731060"/>
    <s v="Cell Phones"/>
    <s v="Intermediate Care"/>
    <x v="0"/>
    <n v="1001"/>
    <n v="0"/>
    <n v="365.36"/>
    <n v="25.86"/>
    <n v="0"/>
    <n v="29.78"/>
    <n v="10.82"/>
    <n v="62.94"/>
    <n v="0"/>
    <n v="31.96"/>
    <n v="63.41"/>
    <n v="31.08"/>
    <n v="31.7"/>
    <n v="652.91000000000008"/>
    <n v="-0.62000000000000099"/>
  </r>
  <r>
    <x v="16"/>
    <x v="5"/>
    <x v="0"/>
    <s v="3300106"/>
    <n v="732030"/>
    <s v="Repairs---Other"/>
    <s v="Intermediate Care"/>
    <x v="0"/>
    <m/>
    <n v="0"/>
    <n v="129.94999999999999"/>
    <n v="299.07"/>
    <n v="396"/>
    <n v="448.09"/>
    <n v="352.54"/>
    <n v="0"/>
    <n v="0"/>
    <n v="0"/>
    <n v="0"/>
    <n v="0"/>
    <n v="218.62"/>
    <n v="1844.27"/>
    <n v="-218.62"/>
  </r>
  <r>
    <x v="13"/>
    <x v="5"/>
    <x v="0"/>
    <s v="3300106"/>
    <n v="735060"/>
    <s v="Depreciation-Fixed Equipment"/>
    <s v="Intermediate Care"/>
    <x v="0"/>
    <m/>
    <n v="53.75"/>
    <n v="53.75"/>
    <n v="53.75"/>
    <n v="53.75"/>
    <n v="53.75"/>
    <n v="53.74"/>
    <n v="53.75"/>
    <n v="53.74"/>
    <n v="53.75"/>
    <n v="53.74"/>
    <n v="53.75"/>
    <n v="53.74"/>
    <n v="644.96"/>
    <n v="9.9999999999980105E-3"/>
  </r>
  <r>
    <x v="13"/>
    <x v="5"/>
    <x v="0"/>
    <s v="3300106"/>
    <n v="735070"/>
    <s v="Depreciation-Movable Equipment"/>
    <s v="Intermediate Care"/>
    <x v="0"/>
    <m/>
    <n v="4409.76"/>
    <n v="4409.57"/>
    <n v="4409.87"/>
    <n v="4409.5600000000004"/>
    <n v="4409.87"/>
    <n v="4409.54"/>
    <n v="4409.92"/>
    <n v="4409.45"/>
    <n v="4409.9399999999996"/>
    <n v="4409.42"/>
    <n v="4409.97"/>
    <n v="4409.3900000000003"/>
    <n v="52916.26"/>
    <n v="0.57999999999992724"/>
  </r>
  <r>
    <x v="0"/>
    <x v="5"/>
    <x v="0"/>
    <s v="3300106"/>
    <n v="740020"/>
    <s v="Education-Registration Fees"/>
    <s v="Intermediate Care"/>
    <x v="0"/>
    <m/>
    <n v="260"/>
    <n v="0"/>
    <n v="430"/>
    <n v="430"/>
    <n v="480"/>
    <n v="0"/>
    <n v="380"/>
    <n v="380"/>
    <n v="865"/>
    <n v="280"/>
    <n v="0"/>
    <n v="0"/>
    <n v="3505"/>
    <n v="0"/>
  </r>
  <r>
    <x v="0"/>
    <x v="5"/>
    <x v="0"/>
    <s v="3300106"/>
    <n v="749510"/>
    <s v="Miscellaneous Expenses"/>
    <s v="Intermediate Care"/>
    <x v="0"/>
    <m/>
    <n v="0"/>
    <n v="0"/>
    <n v="0"/>
    <n v="-115"/>
    <n v="0"/>
    <n v="0"/>
    <n v="0"/>
    <n v="0"/>
    <n v="1800"/>
    <n v="76.95"/>
    <n v="-76.95"/>
    <n v="0"/>
    <n v="1685"/>
    <n v="-76.95"/>
  </r>
  <r>
    <x v="0"/>
    <x v="5"/>
    <x v="0"/>
    <s v="3300106"/>
    <n v="749510"/>
    <s v="Licenses"/>
    <s v="Intermediate Care"/>
    <x v="0"/>
    <n v="1002"/>
    <n v="220"/>
    <n v="285"/>
    <n v="390"/>
    <n v="910"/>
    <n v="-110"/>
    <n v="110"/>
    <n v="110"/>
    <n v="0"/>
    <n v="220"/>
    <n v="115"/>
    <n v="0"/>
    <n v="0"/>
    <n v="2250"/>
    <n v="0"/>
  </r>
  <r>
    <x v="0"/>
    <x v="5"/>
    <x v="0"/>
    <s v="3300106"/>
    <n v="749530"/>
    <s v="Travel"/>
    <s v="Intermediate Care"/>
    <x v="0"/>
    <m/>
    <n v="0"/>
    <n v="0"/>
    <n v="0"/>
    <n v="0"/>
    <n v="0"/>
    <n v="0"/>
    <n v="0"/>
    <n v="0"/>
    <n v="0"/>
    <n v="22.02"/>
    <n v="0"/>
    <n v="0"/>
    <n v="22.02"/>
    <n v="0"/>
  </r>
  <r>
    <x v="0"/>
    <x v="5"/>
    <x v="0"/>
    <s v="3300106"/>
    <n v="749530"/>
    <s v="Mileage"/>
    <s v="Intermediate Care"/>
    <x v="0"/>
    <n v="1001"/>
    <n v="0"/>
    <n v="0"/>
    <n v="0"/>
    <n v="0"/>
    <n v="0"/>
    <n v="0"/>
    <n v="0"/>
    <n v="0"/>
    <n v="0"/>
    <n v="0"/>
    <n v="13.92"/>
    <n v="0"/>
    <n v="13.92"/>
    <n v="13.92"/>
  </r>
  <r>
    <x v="0"/>
    <x v="5"/>
    <x v="0"/>
    <s v="3300106"/>
    <n v="749535"/>
    <s v="Meetings"/>
    <s v="Intermediate Care"/>
    <x v="0"/>
    <m/>
    <n v="0"/>
    <n v="0"/>
    <n v="0"/>
    <n v="0"/>
    <n v="0"/>
    <n v="0"/>
    <n v="0"/>
    <n v="0"/>
    <n v="0"/>
    <n v="0"/>
    <n v="54.65"/>
    <n v="95.42"/>
    <n v="150.07"/>
    <n v="-40.770000000000003"/>
  </r>
  <r>
    <x v="18"/>
    <x v="6"/>
    <x v="0"/>
    <s v="3300107"/>
    <n v="400010"/>
    <s v="Acute I/P Svcs Rev--Medicare"/>
    <s v="PCU"/>
    <x v="0"/>
    <n v="1100"/>
    <n v="-2346126.85"/>
    <n v="-1972865.87"/>
    <n v="-1727452.28"/>
    <n v="-1986436.17"/>
    <n v="-2520748.83"/>
    <n v="-1961500.63"/>
    <n v="-2404156.92"/>
    <n v="-2318334.58"/>
    <n v="-2364086.06"/>
    <n v="-2496553.5299999998"/>
    <n v="-2194301.02"/>
    <n v="-2123568.04"/>
    <n v="-26416130.779999997"/>
    <n v="-70732.979999999981"/>
  </r>
  <r>
    <x v="18"/>
    <x v="6"/>
    <x v="0"/>
    <s v="3300107"/>
    <n v="400010"/>
    <s v="Acute I/P Svcs Rev--Medicaid"/>
    <s v="PCU"/>
    <x v="0"/>
    <n v="1200"/>
    <n v="-277355.08"/>
    <n v="-423338.06"/>
    <n v="-429869.45"/>
    <n v="-458247.96"/>
    <n v="-266697.26"/>
    <n v="-458522.91"/>
    <n v="-328207.5"/>
    <n v="-526269.69999999995"/>
    <n v="-354525.23"/>
    <n v="-220616.68"/>
    <n v="-370667.82"/>
    <n v="-531192.93999999994"/>
    <n v="-4645510.59"/>
    <n v="160525.11999999994"/>
  </r>
  <r>
    <x v="18"/>
    <x v="6"/>
    <x v="0"/>
    <s v="3300107"/>
    <n v="400010"/>
    <s v="Acute I/P Svcs Rev--Comm Insurance"/>
    <s v="PCU"/>
    <x v="0"/>
    <n v="1300"/>
    <n v="-5046.3599999999997"/>
    <n v="15694.81"/>
    <n v="-22471.08"/>
    <n v="-10440.26"/>
    <n v="5088.22"/>
    <n v="-19580.77"/>
    <n v="-32947.51"/>
    <n v="-53734.97"/>
    <n v="-51704.15"/>
    <n v="-24144.080000000002"/>
    <n v="23177.27"/>
    <n v="43.01"/>
    <n v="-176065.87000000002"/>
    <n v="23134.260000000002"/>
  </r>
  <r>
    <x v="18"/>
    <x v="6"/>
    <x v="0"/>
    <s v="3300107"/>
    <n v="400010"/>
    <s v="Acute I/P Svcs Rev--BCBS Comm"/>
    <s v="PCU"/>
    <x v="0"/>
    <n v="1301"/>
    <n v="-58722.44"/>
    <n v="-191682.66"/>
    <n v="-138940.62"/>
    <n v="-86319.94"/>
    <n v="-158737.66"/>
    <n v="-68240.31"/>
    <n v="-151489.07"/>
    <n v="-210032.48"/>
    <n v="-113178.5"/>
    <n v="-96240.43"/>
    <n v="-289702.12"/>
    <n v="-81332.7"/>
    <n v="-1644618.93"/>
    <n v="-208369.41999999998"/>
  </r>
  <r>
    <x v="18"/>
    <x v="6"/>
    <x v="0"/>
    <s v="3300107"/>
    <n v="400010"/>
    <s v="Acute I/P Svcs Rev--Managed Care"/>
    <s v="PCU"/>
    <x v="0"/>
    <n v="1400"/>
    <n v="-247864.02"/>
    <n v="-250710.41"/>
    <n v="-197676.91"/>
    <n v="-205907.54"/>
    <n v="-267322.68"/>
    <n v="-178461.56"/>
    <n v="-286644.82"/>
    <n v="-140789.6"/>
    <n v="-281264.08"/>
    <n v="-322083.38"/>
    <n v="-281609.84000000003"/>
    <n v="-268111.48"/>
    <n v="-2928446.3200000003"/>
    <n v="-13498.360000000044"/>
  </r>
  <r>
    <x v="18"/>
    <x v="6"/>
    <x v="0"/>
    <s v="3300107"/>
    <n v="400010"/>
    <s v="Acute I/P Svcs Rev--Self Pay"/>
    <s v="PCU"/>
    <x v="0"/>
    <n v="1500"/>
    <n v="-19427"/>
    <n v="8020.63"/>
    <n v="-14759.11"/>
    <n v="-9542.56"/>
    <n v="-4217"/>
    <n v="-29744.560000000001"/>
    <n v="-9458.92"/>
    <n v="-84945.23"/>
    <n v="2359.81"/>
    <n v="-19716.009999999998"/>
    <n v="2543.4299999999998"/>
    <n v="-64377.41"/>
    <n v="-243263.93000000002"/>
    <n v="66920.84"/>
  </r>
  <r>
    <x v="18"/>
    <x v="6"/>
    <x v="0"/>
    <s v="3300107"/>
    <n v="400010"/>
    <s v="Acute I/P Svcs Rev--Other"/>
    <s v="PCU"/>
    <x v="0"/>
    <n v="1700"/>
    <n v="-90580.39"/>
    <n v="-221694.86"/>
    <n v="-337879.44"/>
    <n v="-49768.01"/>
    <n v="-48741.36"/>
    <n v="-82313.2"/>
    <n v="-126965.41"/>
    <n v="-171021.1"/>
    <n v="-154649.70000000001"/>
    <n v="-111675.19"/>
    <n v="-159947.35"/>
    <n v="-112741.68"/>
    <n v="-1667977.69"/>
    <n v="-47205.670000000013"/>
  </r>
  <r>
    <x v="19"/>
    <x v="6"/>
    <x v="0"/>
    <s v="3300107"/>
    <n v="400020"/>
    <s v="O/P Care Svcs Rev--Medicare"/>
    <s v="PCU"/>
    <x v="0"/>
    <n v="1100"/>
    <n v="-122101.19"/>
    <n v="-93174.91"/>
    <n v="-130866.61"/>
    <n v="-225954.53"/>
    <n v="-184727.45"/>
    <n v="-161733.32"/>
    <n v="-169142.3"/>
    <n v="-128514.93"/>
    <n v="-141747.5"/>
    <n v="-166519.01999999999"/>
    <n v="-217404.39"/>
    <n v="-148799.38"/>
    <n v="-1890685.5299999998"/>
    <n v="-68605.010000000009"/>
  </r>
  <r>
    <x v="19"/>
    <x v="6"/>
    <x v="0"/>
    <s v="3300107"/>
    <n v="400020"/>
    <s v="O/P Care Svcs Rev--Medicaid"/>
    <s v="PCU"/>
    <x v="0"/>
    <n v="1200"/>
    <n v="-20356.939999999999"/>
    <n v="-14115.66"/>
    <n v="-18163.560000000001"/>
    <n v="-41184.85"/>
    <n v="-11096.08"/>
    <n v="-54587.64"/>
    <n v="-16493.82"/>
    <n v="-14295.75"/>
    <n v="-19844.62"/>
    <n v="-30868.74"/>
    <n v="-20122.72"/>
    <n v="-16040.26"/>
    <n v="-277170.64"/>
    <n v="-4082.4600000000009"/>
  </r>
  <r>
    <x v="19"/>
    <x v="6"/>
    <x v="0"/>
    <s v="3300107"/>
    <n v="400020"/>
    <s v="O/P Care Svcs Rev--Comm Insurance"/>
    <s v="PCU"/>
    <x v="0"/>
    <n v="1300"/>
    <n v="0"/>
    <n v="0"/>
    <n v="0"/>
    <n v="-3076.41"/>
    <n v="-6590.69"/>
    <n v="1051.1300000000001"/>
    <n v="-2552.4"/>
    <n v="0"/>
    <n v="0"/>
    <n v="-6651.84"/>
    <n v="-9594.6"/>
    <n v="-10398.44"/>
    <n v="-37813.25"/>
    <n v="803.84000000000015"/>
  </r>
  <r>
    <x v="19"/>
    <x v="6"/>
    <x v="0"/>
    <s v="3300107"/>
    <n v="400020"/>
    <s v="O/P Care Svcs Rev--BCBS Comm"/>
    <s v="PCU"/>
    <x v="0"/>
    <n v="1301"/>
    <n v="-20358.43"/>
    <n v="-3816.09"/>
    <n v="-14327.84"/>
    <n v="-14571.85"/>
    <n v="-56283"/>
    <n v="-14522.29"/>
    <n v="-11371.96"/>
    <n v="-11160.47"/>
    <n v="-7855.26"/>
    <n v="-9567.36"/>
    <n v="-23204.86"/>
    <n v="-25440.1"/>
    <n v="-212479.50999999998"/>
    <n v="2235.239999999998"/>
  </r>
  <r>
    <x v="19"/>
    <x v="6"/>
    <x v="0"/>
    <s v="3300107"/>
    <n v="400020"/>
    <s v="O/P Care Svcs Rev--Managed Care"/>
    <s v="PCU"/>
    <x v="0"/>
    <n v="1400"/>
    <n v="-28215.67"/>
    <n v="-45755.21"/>
    <n v="-43133.46"/>
    <n v="-37206.160000000003"/>
    <n v="-48843.86"/>
    <n v="-12930.29"/>
    <n v="-9611.2099999999991"/>
    <n v="-12589.78"/>
    <n v="-30870.48"/>
    <n v="-28474.36"/>
    <n v="-43521.9"/>
    <n v="-34565.699999999997"/>
    <n v="-375718.08"/>
    <n v="-8956.2000000000044"/>
  </r>
  <r>
    <x v="19"/>
    <x v="6"/>
    <x v="0"/>
    <s v="3300107"/>
    <n v="400020"/>
    <s v="O/P Care Svcs Rev--Self Pay"/>
    <s v="PCU"/>
    <x v="0"/>
    <n v="1500"/>
    <n v="-4597.22"/>
    <n v="-824.54"/>
    <n v="0"/>
    <n v="-6072.87"/>
    <n v="0"/>
    <n v="0"/>
    <n v="0"/>
    <n v="0"/>
    <n v="-3390.92"/>
    <n v="-11270.14"/>
    <n v="-3565.26"/>
    <n v="12190.22"/>
    <n v="-17530.730000000003"/>
    <n v="-15755.48"/>
  </r>
  <r>
    <x v="19"/>
    <x v="6"/>
    <x v="0"/>
    <s v="3300107"/>
    <n v="400020"/>
    <s v="O/P Care Svcs Rev--Other"/>
    <s v="PCU"/>
    <x v="0"/>
    <n v="1700"/>
    <n v="-4565.96"/>
    <n v="-12203.25"/>
    <n v="-20907.8"/>
    <n v="-4274.6000000000004"/>
    <n v="-7732.01"/>
    <n v="-9008.73"/>
    <n v="-1580.49"/>
    <n v="-9607.52"/>
    <n v="-32131.22"/>
    <n v="-12634.12"/>
    <n v="-3708.98"/>
    <n v="-13107.44"/>
    <n v="-131462.11999999997"/>
    <n v="9398.4600000000009"/>
  </r>
  <r>
    <x v="5"/>
    <x v="6"/>
    <x v="0"/>
    <s v="3300107"/>
    <n v="700014"/>
    <s v="Salaries-Management-Productive"/>
    <s v="PCU"/>
    <x v="0"/>
    <m/>
    <n v="3106.74"/>
    <n v="5002"/>
    <n v="3790.46"/>
    <n v="4922.8"/>
    <n v="4788.7299999999996"/>
    <n v="3224.59"/>
    <n v="4668.1899999999996"/>
    <n v="4172.43"/>
    <n v="5035.7"/>
    <n v="2621.64"/>
    <n v="5115.63"/>
    <n v="3405.19"/>
    <n v="49854.1"/>
    <n v="1710.44"/>
  </r>
  <r>
    <x v="5"/>
    <x v="6"/>
    <x v="0"/>
    <s v="3300107"/>
    <n v="700018"/>
    <s v="Salaries-Supervisory-Productive"/>
    <s v="PCU"/>
    <x v="0"/>
    <m/>
    <n v="16968.88"/>
    <n v="10343.629999999999"/>
    <n v="16983.189999999999"/>
    <n v="18236.22"/>
    <n v="14107.34"/>
    <n v="14995.45"/>
    <n v="15279.58"/>
    <n v="16291.08"/>
    <n v="18036.68"/>
    <n v="15537.85"/>
    <n v="17461.740000000002"/>
    <n v="4945.9799999999996"/>
    <n v="179187.62"/>
    <n v="12515.760000000002"/>
  </r>
  <r>
    <x v="5"/>
    <x v="6"/>
    <x v="0"/>
    <s v="3300107"/>
    <n v="700026"/>
    <s v="Salaries-RN-Productive"/>
    <s v="PCU"/>
    <x v="0"/>
    <m/>
    <n v="236112.52"/>
    <n v="223908.53"/>
    <n v="249217.77"/>
    <n v="258640.19"/>
    <n v="249461"/>
    <n v="258604.44"/>
    <n v="284478.17"/>
    <n v="273618.78999999998"/>
    <n v="282335.07"/>
    <n v="250822.46"/>
    <n v="254278.7"/>
    <n v="233250.53"/>
    <n v="3054728.17"/>
    <n v="21028.170000000013"/>
  </r>
  <r>
    <x v="5"/>
    <x v="6"/>
    <x v="0"/>
    <s v="3300107"/>
    <n v="700026"/>
    <s v="Salaries-RN-OT"/>
    <s v="PCU"/>
    <x v="0"/>
    <n v="1000"/>
    <n v="13051.47"/>
    <n v="13143.34"/>
    <n v="20217.990000000002"/>
    <n v="11504.85"/>
    <n v="8496.5"/>
    <n v="9114.24"/>
    <n v="10372.17"/>
    <n v="10051.66"/>
    <n v="12483.19"/>
    <n v="13562.61"/>
    <n v="18390.89"/>
    <n v="16667.900000000001"/>
    <n v="157056.81"/>
    <n v="1722.989999999998"/>
  </r>
  <r>
    <x v="5"/>
    <x v="6"/>
    <x v="0"/>
    <s v="3300107"/>
    <n v="700026"/>
    <s v="Salaries-RN-Other"/>
    <s v="PCU"/>
    <x v="0"/>
    <n v="2000"/>
    <n v="22986.59"/>
    <n v="23599.200000000001"/>
    <n v="24747.48"/>
    <n v="26539.71"/>
    <n v="24076.01"/>
    <n v="24179.83"/>
    <n v="26030.01"/>
    <n v="23220.11"/>
    <n v="25292.42"/>
    <n v="23087.03"/>
    <n v="22539"/>
    <n v="22842.25"/>
    <n v="289139.64"/>
    <n v="-303.25"/>
  </r>
  <r>
    <x v="5"/>
    <x v="6"/>
    <x v="0"/>
    <s v="3300107"/>
    <n v="700030"/>
    <s v="Salaries-LPN-Productive"/>
    <s v="PCU"/>
    <x v="0"/>
    <m/>
    <n v="1916.07"/>
    <n v="1473.85"/>
    <n v="1716.27"/>
    <n v="2556.38"/>
    <n v="1760.97"/>
    <n v="2141.65"/>
    <n v="1960.06"/>
    <n v="1689.85"/>
    <n v="3791.33"/>
    <n v="1387.1"/>
    <n v="3063.76"/>
    <n v="2596"/>
    <n v="26053.29"/>
    <n v="467.76000000000022"/>
  </r>
  <r>
    <x v="5"/>
    <x v="6"/>
    <x v="0"/>
    <s v="3300107"/>
    <n v="700030"/>
    <s v="Salaries-LPN-OT"/>
    <s v="PCU"/>
    <x v="0"/>
    <n v="1000"/>
    <n v="26.51"/>
    <n v="7.27"/>
    <n v="30.77"/>
    <n v="9.7899999999999991"/>
    <n v="0"/>
    <n v="21.9"/>
    <n v="14.85"/>
    <n v="-3.9"/>
    <n v="0"/>
    <n v="29.89"/>
    <n v="114.71"/>
    <n v="43.05"/>
    <n v="294.83999999999997"/>
    <n v="71.66"/>
  </r>
  <r>
    <x v="5"/>
    <x v="6"/>
    <x v="0"/>
    <s v="3300107"/>
    <n v="700030"/>
    <s v="Salaries-LPN-Other"/>
    <s v="PCU"/>
    <x v="0"/>
    <n v="2000"/>
    <n v="28.25"/>
    <n v="8.1"/>
    <n v="40.83"/>
    <n v="136.09"/>
    <n v="22.09"/>
    <n v="43.79"/>
    <n v="50.24"/>
    <n v="40.56"/>
    <n v="408.38"/>
    <n v="789.27"/>
    <n v="452.94"/>
    <n v="524.51"/>
    <n v="2545.0500000000002"/>
    <n v="-71.569999999999993"/>
  </r>
  <r>
    <x v="5"/>
    <x v="6"/>
    <x v="0"/>
    <s v="3300107"/>
    <n v="700032"/>
    <s v="Salaries-Other Pat Care Providers-Productive"/>
    <s v="PCU"/>
    <x v="0"/>
    <m/>
    <n v="59135.61"/>
    <n v="55330.62"/>
    <n v="49685.99"/>
    <n v="59853.86"/>
    <n v="54983.91"/>
    <n v="58742.879999999997"/>
    <n v="59839.43"/>
    <n v="61748.05"/>
    <n v="68217.070000000007"/>
    <n v="60830.39"/>
    <n v="65831.16"/>
    <n v="60320.56"/>
    <n v="714519.53"/>
    <n v="5510.6000000000058"/>
  </r>
  <r>
    <x v="5"/>
    <x v="6"/>
    <x v="0"/>
    <s v="3300107"/>
    <n v="700032"/>
    <s v="Salaries-Other Pat Care Providers-OT"/>
    <s v="PCU"/>
    <x v="0"/>
    <n v="1000"/>
    <n v="5866.18"/>
    <n v="6279.15"/>
    <n v="6381.78"/>
    <n v="3867.86"/>
    <n v="2282.3200000000002"/>
    <n v="909.98"/>
    <n v="4616.33"/>
    <n v="4049.54"/>
    <n v="3288.11"/>
    <n v="3929.71"/>
    <n v="5598.43"/>
    <n v="4613.1000000000004"/>
    <n v="51682.49"/>
    <n v="985.32999999999993"/>
  </r>
  <r>
    <x v="5"/>
    <x v="6"/>
    <x v="0"/>
    <s v="3300107"/>
    <n v="700032"/>
    <s v="Salaries-Other Pat Care Providers-Other"/>
    <s v="PCU"/>
    <x v="0"/>
    <n v="2000"/>
    <n v="5526.27"/>
    <n v="5665.96"/>
    <n v="4418.4799999999996"/>
    <n v="5423.62"/>
    <n v="4178.84"/>
    <n v="4882.1400000000003"/>
    <n v="4571.34"/>
    <n v="4462.91"/>
    <n v="5047.4799999999996"/>
    <n v="4496.87"/>
    <n v="6487"/>
    <n v="4879.63"/>
    <n v="60040.539999999994"/>
    <n v="1607.37"/>
  </r>
  <r>
    <x v="5"/>
    <x v="6"/>
    <x v="0"/>
    <s v="3300107"/>
    <n v="700054"/>
    <s v="Salaries-Management-Non-productive"/>
    <s v="PCU"/>
    <x v="0"/>
    <m/>
    <n v="1708.69"/>
    <n v="-186.33"/>
    <n v="869.92"/>
    <n v="0"/>
    <n v="0"/>
    <n v="1723.92"/>
    <n v="288.06"/>
    <n v="303.72000000000003"/>
    <n v="-79.91"/>
    <n v="2174.1"/>
    <n v="-159.83000000000001"/>
    <n v="1390.77"/>
    <n v="8033.1100000000024"/>
    <n v="-1550.6"/>
  </r>
  <r>
    <x v="5"/>
    <x v="6"/>
    <x v="0"/>
    <s v="3300107"/>
    <n v="700054"/>
    <s v="Salaries-Management-NonProd-Other"/>
    <s v="PCU"/>
    <x v="0"/>
    <n v="2000"/>
    <n v="0"/>
    <n v="0"/>
    <n v="0"/>
    <n v="0"/>
    <n v="0"/>
    <n v="31.24"/>
    <n v="-31.24"/>
    <n v="0"/>
    <n v="0"/>
    <n v="0"/>
    <n v="0"/>
    <n v="0"/>
    <n v="0"/>
    <n v="0"/>
  </r>
  <r>
    <x v="5"/>
    <x v="6"/>
    <x v="0"/>
    <s v="3300107"/>
    <n v="700058"/>
    <s v="Salaries-Supervisory-Non-productive"/>
    <s v="PCU"/>
    <x v="0"/>
    <m/>
    <n v="558.72"/>
    <n v="7184.76"/>
    <n v="-19.989999999999998"/>
    <n v="-319.25"/>
    <n v="3321.33"/>
    <n v="3014.78"/>
    <n v="2758.79"/>
    <n v="0"/>
    <n v="0"/>
    <n v="1916.41"/>
    <n v="574.91999999999996"/>
    <n v="0"/>
    <n v="18990.469999999998"/>
    <n v="574.91999999999996"/>
  </r>
  <r>
    <x v="5"/>
    <x v="6"/>
    <x v="0"/>
    <s v="3300107"/>
    <n v="700066"/>
    <s v="Salaries-RN-Non-productive"/>
    <s v="PCU"/>
    <x v="0"/>
    <m/>
    <n v="36603.57"/>
    <n v="47680.02"/>
    <n v="34448.85"/>
    <n v="34738.99"/>
    <n v="19095.79"/>
    <n v="43018.32"/>
    <n v="29177.439999999999"/>
    <n v="23053.14"/>
    <n v="28874.74"/>
    <n v="36089.870000000003"/>
    <n v="31996.62"/>
    <n v="29494.97"/>
    <n v="394272.31999999995"/>
    <n v="2501.6499999999978"/>
  </r>
  <r>
    <x v="5"/>
    <x v="6"/>
    <x v="0"/>
    <s v="3300107"/>
    <n v="700066"/>
    <s v="Salaries-RN-NonProd-Other"/>
    <s v="PCU"/>
    <x v="0"/>
    <n v="2000"/>
    <n v="2124.62"/>
    <n v="3661.47"/>
    <n v="1642.62"/>
    <n v="1403.43"/>
    <n v="3279.89"/>
    <n v="3659.07"/>
    <n v="1572.63"/>
    <n v="-3895.09"/>
    <n v="1241.52"/>
    <n v="2086.64"/>
    <n v="2083.2600000000002"/>
    <n v="1693.72"/>
    <n v="20553.78"/>
    <n v="389.54000000000019"/>
  </r>
  <r>
    <x v="5"/>
    <x v="6"/>
    <x v="0"/>
    <s v="3300107"/>
    <n v="700070"/>
    <s v="Salaries-LPN-NonProd-Other"/>
    <s v="PCU"/>
    <x v="0"/>
    <n v="2000"/>
    <n v="0"/>
    <n v="0"/>
    <n v="0"/>
    <n v="0"/>
    <n v="0"/>
    <n v="0"/>
    <n v="0"/>
    <n v="0"/>
    <n v="0"/>
    <n v="0"/>
    <n v="0"/>
    <n v="5.36"/>
    <n v="5.36"/>
    <n v="-5.36"/>
  </r>
  <r>
    <x v="5"/>
    <x v="6"/>
    <x v="0"/>
    <s v="3300107"/>
    <n v="700072"/>
    <s v="Salaries-Other Pat Care Providers-Non-productive"/>
    <s v="PCU"/>
    <x v="0"/>
    <m/>
    <n v="9961.17"/>
    <n v="8558.59"/>
    <n v="3575.86"/>
    <n v="5783.93"/>
    <n v="6326.24"/>
    <n v="8910.44"/>
    <n v="7041.48"/>
    <n v="5664.03"/>
    <n v="6222.26"/>
    <n v="5646.63"/>
    <n v="8509.7800000000007"/>
    <n v="3983.39"/>
    <n v="80183.8"/>
    <n v="4526.3900000000012"/>
  </r>
  <r>
    <x v="5"/>
    <x v="6"/>
    <x v="0"/>
    <s v="3300107"/>
    <n v="700072"/>
    <s v="Salaries-Other Pat Care Providers-NonProd-Other"/>
    <s v="PCU"/>
    <x v="0"/>
    <n v="2000"/>
    <n v="660.62"/>
    <n v="334.98"/>
    <n v="138"/>
    <n v="482.47"/>
    <n v="208.73"/>
    <n v="582.67999999999995"/>
    <n v="271.39"/>
    <n v="135.29"/>
    <n v="393.84"/>
    <n v="208.78"/>
    <n v="396.69"/>
    <n v="181.52"/>
    <n v="3994.9900000000002"/>
    <n v="215.17"/>
  </r>
  <r>
    <x v="5"/>
    <x v="6"/>
    <x v="0"/>
    <s v="3300107"/>
    <n v="700084"/>
    <s v="Accrued PTO"/>
    <s v="PCU"/>
    <x v="0"/>
    <m/>
    <n v="-5435.48"/>
    <n v="-16661.07"/>
    <n v="4672.33"/>
    <n v="13522.94"/>
    <n v="3950.57"/>
    <n v="2025.11"/>
    <n v="6141.25"/>
    <n v="8897.5400000000009"/>
    <n v="859.55"/>
    <n v="6145.31"/>
    <n v="-1382.13"/>
    <n v="2307.75"/>
    <n v="25043.670000000002"/>
    <n v="-3689.88"/>
  </r>
  <r>
    <x v="10"/>
    <x v="6"/>
    <x v="0"/>
    <s v="3300107"/>
    <n v="710060"/>
    <s v="Contract Labor-Other"/>
    <s v="PCU"/>
    <x v="0"/>
    <m/>
    <n v="44205.2"/>
    <n v="64847.59"/>
    <n v="22133.56"/>
    <n v="32232.97"/>
    <n v="44713.440000000002"/>
    <n v="42548.5"/>
    <n v="35719.18"/>
    <n v="28747.05"/>
    <n v="39227.360000000001"/>
    <n v="58136.88"/>
    <n v="85034.35"/>
    <n v="41796.129999999997"/>
    <n v="539342.21"/>
    <n v="43238.220000000008"/>
  </r>
  <r>
    <x v="10"/>
    <x v="6"/>
    <x v="0"/>
    <s v="3300107"/>
    <n v="710060"/>
    <s v="Contract Labor-Overtime"/>
    <s v="PCU"/>
    <x v="0"/>
    <n v="5100"/>
    <n v="13798.71"/>
    <n v="7789.12"/>
    <n v="6299.43"/>
    <n v="722"/>
    <n v="1373"/>
    <n v="2988.65"/>
    <n v="3968.6"/>
    <n v="1919.56"/>
    <n v="1404"/>
    <n v="9309.85"/>
    <n v="12017.99"/>
    <n v="3942"/>
    <n v="65532.909999999989"/>
    <n v="8075.99"/>
  </r>
  <r>
    <x v="10"/>
    <x v="6"/>
    <x v="0"/>
    <s v="3300107"/>
    <n v="710060"/>
    <s v="Contract Labor-Standby Wages"/>
    <s v="PCU"/>
    <x v="0"/>
    <n v="5101"/>
    <n v="0"/>
    <n v="156"/>
    <n v="0"/>
    <n v="0"/>
    <n v="0"/>
    <n v="0"/>
    <n v="0"/>
    <n v="32"/>
    <n v="0"/>
    <n v="0"/>
    <n v="64"/>
    <n v="32"/>
    <n v="284"/>
    <n v="32"/>
  </r>
  <r>
    <x v="6"/>
    <x v="6"/>
    <x v="0"/>
    <s v="3300107"/>
    <n v="713010"/>
    <s v="Benefits-FICA/Medicare"/>
    <s v="PCU"/>
    <x v="0"/>
    <m/>
    <n v="31138.2"/>
    <n v="31004.45"/>
    <n v="31314.560000000001"/>
    <n v="32448.06"/>
    <n v="30106.58"/>
    <n v="33270.730000000003"/>
    <n v="33866.379999999997"/>
    <n v="32212.79"/>
    <n v="34492.61"/>
    <n v="32934.03"/>
    <n v="33107.440000000002"/>
    <n v="29578.67"/>
    <n v="385474.5"/>
    <n v="3528.7700000000041"/>
  </r>
  <r>
    <x v="6"/>
    <x v="6"/>
    <x v="0"/>
    <s v="3300107"/>
    <n v="713090"/>
    <s v="Benefits-Allocated Amounts"/>
    <s v="PCU"/>
    <x v="0"/>
    <m/>
    <n v="70269.59"/>
    <n v="61679.360000000001"/>
    <n v="68330.67"/>
    <n v="69499.34"/>
    <n v="71821.259999999995"/>
    <n v="71261.100000000006"/>
    <n v="75732"/>
    <n v="75794.09"/>
    <n v="66197.81"/>
    <n v="78983.58"/>
    <n v="76442.95"/>
    <n v="79422.41"/>
    <n v="865434.15999999992"/>
    <n v="-2979.4600000000064"/>
  </r>
  <r>
    <x v="6"/>
    <x v="6"/>
    <x v="0"/>
    <s v="3300107"/>
    <n v="713096"/>
    <s v="Employee Recognition"/>
    <s v="PCU"/>
    <x v="0"/>
    <n v="1017"/>
    <n v="0"/>
    <n v="82.5"/>
    <n v="0"/>
    <n v="0"/>
    <n v="0"/>
    <n v="0"/>
    <n v="93.65"/>
    <n v="1089.8800000000001"/>
    <n v="-50.04"/>
    <n v="0"/>
    <n v="161.68"/>
    <n v="142.46"/>
    <n v="1520.1300000000003"/>
    <n v="19.22"/>
  </r>
  <r>
    <x v="17"/>
    <x v="6"/>
    <x v="0"/>
    <s v="3300107"/>
    <n v="714530"/>
    <s v="Medical Prof Fees-Intracompany"/>
    <s v="PCU"/>
    <x v="0"/>
    <m/>
    <n v="4156.13"/>
    <n v="-4156.13"/>
    <n v="0"/>
    <n v="0"/>
    <n v="0"/>
    <n v="0"/>
    <n v="0"/>
    <n v="0"/>
    <n v="0"/>
    <n v="0"/>
    <n v="0"/>
    <n v="0"/>
    <n v="0"/>
    <n v="0"/>
  </r>
  <r>
    <x v="7"/>
    <x v="6"/>
    <x v="0"/>
    <s v="3300107"/>
    <n v="718050"/>
    <s v="Contract Svcs-Other"/>
    <s v="PCU"/>
    <x v="0"/>
    <m/>
    <n v="0"/>
    <n v="616.4"/>
    <n v="0"/>
    <n v="0"/>
    <n v="0"/>
    <n v="901.6"/>
    <n v="0"/>
    <n v="0"/>
    <n v="0"/>
    <n v="0"/>
    <n v="0"/>
    <n v="0"/>
    <n v="1518"/>
    <n v="0"/>
  </r>
  <r>
    <x v="7"/>
    <x v="6"/>
    <x v="0"/>
    <s v="3300107"/>
    <n v="718050"/>
    <s v="Miscellaneous Purchased Svcs"/>
    <s v="PCU"/>
    <x v="0"/>
    <n v="1020"/>
    <n v="0"/>
    <n v="0"/>
    <n v="0"/>
    <n v="0"/>
    <n v="0"/>
    <n v="0"/>
    <n v="0"/>
    <n v="0"/>
    <n v="0"/>
    <n v="1962"/>
    <n v="0"/>
    <n v="0"/>
    <n v="1962"/>
    <n v="0"/>
  </r>
  <r>
    <x v="7"/>
    <x v="6"/>
    <x v="0"/>
    <s v="3300107"/>
    <n v="718050"/>
    <s v="Contract Management--Linen"/>
    <s v="PCU"/>
    <x v="0"/>
    <n v="1026"/>
    <n v="5102.18"/>
    <n v="5173.43"/>
    <n v="5632.91"/>
    <n v="4986.0600000000004"/>
    <n v="5588.51"/>
    <n v="4696.54"/>
    <n v="5372.68"/>
    <n v="6171.18"/>
    <n v="5413.01"/>
    <n v="6170.1"/>
    <n v="5375.93"/>
    <n v="7376.1"/>
    <n v="67058.63"/>
    <n v="-2000.17"/>
  </r>
  <r>
    <x v="7"/>
    <x v="6"/>
    <x v="0"/>
    <s v="3300107"/>
    <n v="718070"/>
    <s v="Contract Srvcs-CHI Clinical Engineering"/>
    <s v="PCU"/>
    <x v="0"/>
    <m/>
    <n v="1036.18"/>
    <n v="1036.18"/>
    <n v="1036.18"/>
    <n v="1036.18"/>
    <n v="1036.18"/>
    <n v="953.95"/>
    <n v="971.38"/>
    <n v="971.38"/>
    <n v="964.15"/>
    <n v="964.15"/>
    <n v="974.4"/>
    <n v="956.97"/>
    <n v="11937.279999999999"/>
    <n v="17.42999999999995"/>
  </r>
  <r>
    <x v="11"/>
    <x v="6"/>
    <x v="0"/>
    <s v="3300107"/>
    <n v="721010"/>
    <s v="Supplies-Medical - Billable"/>
    <s v="PCU"/>
    <x v="0"/>
    <m/>
    <n v="3953.58"/>
    <n v="4275.3999999999996"/>
    <n v="4934.75"/>
    <n v="4882.71"/>
    <n v="4789.7700000000004"/>
    <n v="5300.71"/>
    <n v="6344.88"/>
    <n v="5650.54"/>
    <n v="8872.74"/>
    <n v="7432.32"/>
    <n v="5469.14"/>
    <n v="6251.68"/>
    <n v="68158.22"/>
    <n v="-782.54"/>
  </r>
  <r>
    <x v="11"/>
    <x v="6"/>
    <x v="0"/>
    <s v="3300107"/>
    <n v="721010"/>
    <s v="Patient Monitoring"/>
    <s v="PCU"/>
    <x v="0"/>
    <n v="1000"/>
    <n v="2580.66"/>
    <n v="376.76"/>
    <n v="820.54"/>
    <n v="425.93"/>
    <n v="530.21"/>
    <n v="588.16999999999996"/>
    <n v="818.94"/>
    <n v="1531.37"/>
    <n v="616.54999999999995"/>
    <n v="489.8"/>
    <n v="589.42999999999995"/>
    <n v="449.88"/>
    <n v="9818.24"/>
    <n v="139.54999999999995"/>
  </r>
  <r>
    <x v="11"/>
    <x v="6"/>
    <x v="0"/>
    <s v="3300107"/>
    <n v="721020"/>
    <s v="Supplies-Surgical - Billable"/>
    <s v="PCU"/>
    <x v="0"/>
    <m/>
    <n v="189.39"/>
    <n v="112.14"/>
    <n v="78.12"/>
    <n v="151.05000000000001"/>
    <n v="129.28"/>
    <n v="110.2"/>
    <n v="491.04"/>
    <n v="96.55"/>
    <n v="66.73"/>
    <n v="193.65"/>
    <n v="226.26"/>
    <n v="163.89"/>
    <n v="2008.3000000000002"/>
    <n v="62.370000000000005"/>
  </r>
  <r>
    <x v="11"/>
    <x v="6"/>
    <x v="0"/>
    <s v="3300107"/>
    <n v="721020"/>
    <s v="Custom Packs"/>
    <s v="PCU"/>
    <x v="0"/>
    <n v="1000"/>
    <n v="0"/>
    <n v="100.58"/>
    <n v="238.32"/>
    <n v="132.43"/>
    <n v="79.599999999999994"/>
    <n v="304.52"/>
    <n v="225.08"/>
    <n v="291.27999999999997"/>
    <n v="185.36"/>
    <n v="317.76"/>
    <n v="92.68"/>
    <n v="344.24"/>
    <n v="2311.8500000000004"/>
    <n v="-251.56"/>
  </r>
  <r>
    <x v="11"/>
    <x v="6"/>
    <x v="0"/>
    <s v="3300107"/>
    <n v="721020"/>
    <s v="Suture/Wound Closure"/>
    <s v="PCU"/>
    <x v="0"/>
    <n v="1001"/>
    <n v="7.92"/>
    <n v="0"/>
    <n v="0"/>
    <n v="0"/>
    <n v="3.96"/>
    <n v="0"/>
    <n v="0"/>
    <n v="0"/>
    <n v="0"/>
    <n v="0"/>
    <n v="0"/>
    <n v="0"/>
    <n v="11.879999999999999"/>
    <n v="0"/>
  </r>
  <r>
    <x v="11"/>
    <x v="6"/>
    <x v="0"/>
    <s v="3300107"/>
    <n v="721020"/>
    <s v="Surgical Cardiovascular"/>
    <s v="PCU"/>
    <x v="0"/>
    <n v="1007"/>
    <n v="0"/>
    <n v="0"/>
    <n v="657.48"/>
    <n v="0"/>
    <n v="0"/>
    <n v="0"/>
    <n v="0"/>
    <n v="201.34"/>
    <n v="102.19"/>
    <n v="0"/>
    <n v="189.72"/>
    <n v="0"/>
    <n v="1150.73"/>
    <n v="189.72"/>
  </r>
  <r>
    <x v="11"/>
    <x v="6"/>
    <x v="0"/>
    <s v="3300107"/>
    <n v="721050"/>
    <s v="Supplies-Cardiac Rhythm - Billable"/>
    <s v="PCU"/>
    <x v="0"/>
    <m/>
    <n v="180"/>
    <n v="41.5"/>
    <n v="90"/>
    <n v="90"/>
    <n v="0"/>
    <n v="0"/>
    <n v="0"/>
    <n v="360"/>
    <n v="0"/>
    <n v="0"/>
    <n v="90"/>
    <n v="0"/>
    <n v="851.5"/>
    <n v="90"/>
  </r>
  <r>
    <x v="11"/>
    <x v="6"/>
    <x v="0"/>
    <s v="3300107"/>
    <n v="721240"/>
    <s v="Supplies-IV Solutions/Supplies - Billable"/>
    <s v="PCU"/>
    <x v="0"/>
    <m/>
    <n v="2305.4299999999998"/>
    <n v="2276.79"/>
    <n v="1158.48"/>
    <n v="1495.65"/>
    <n v="1430.98"/>
    <n v="1542.64"/>
    <n v="1546.78"/>
    <n v="1277.6600000000001"/>
    <n v="1366.05"/>
    <n v="1402.75"/>
    <n v="1258.52"/>
    <n v="1398.54"/>
    <n v="18460.269999999997"/>
    <n v="-140.01999999999998"/>
  </r>
  <r>
    <x v="11"/>
    <x v="6"/>
    <x v="0"/>
    <s v="3300107"/>
    <n v="721320"/>
    <s v="Supplies-Purchased Blood - Billable"/>
    <s v="PCU"/>
    <x v="0"/>
    <m/>
    <n v="628.65"/>
    <n v="171.45"/>
    <n v="400.05"/>
    <n v="228.6"/>
    <n v="342.9"/>
    <n v="285.75"/>
    <n v="171.45"/>
    <n v="342.9"/>
    <n v="552.96"/>
    <n v="375.3"/>
    <n v="208.5"/>
    <n v="333.6"/>
    <n v="4042.1099999999997"/>
    <n v="-125.10000000000002"/>
  </r>
  <r>
    <x v="11"/>
    <x v="6"/>
    <x v="0"/>
    <s v="3300107"/>
    <n v="721410"/>
    <s v="Supplies-Medical - Nonbillable"/>
    <s v="PCU"/>
    <x v="0"/>
    <m/>
    <n v="8927.3700000000008"/>
    <n v="8165.05"/>
    <n v="6925.22"/>
    <n v="7187.23"/>
    <n v="6935.49"/>
    <n v="8349.34"/>
    <n v="10220.51"/>
    <n v="7214.65"/>
    <n v="8735.94"/>
    <n v="8607.23"/>
    <n v="8306.1299999999992"/>
    <n v="7640.63"/>
    <n v="97214.790000000008"/>
    <n v="665.49999999999909"/>
  </r>
  <r>
    <x v="11"/>
    <x v="6"/>
    <x v="0"/>
    <s v="3300107"/>
    <n v="721410"/>
    <s v="Patient Monitoring"/>
    <s v="PCU"/>
    <x v="0"/>
    <n v="1000"/>
    <n v="0"/>
    <n v="0"/>
    <n v="6.86"/>
    <n v="0"/>
    <n v="0"/>
    <n v="0"/>
    <n v="0"/>
    <n v="0"/>
    <n v="0"/>
    <n v="0"/>
    <n v="0"/>
    <n v="0"/>
    <n v="6.86"/>
    <n v="0"/>
  </r>
  <r>
    <x v="11"/>
    <x v="6"/>
    <x v="0"/>
    <s v="3300107"/>
    <n v="721420"/>
    <s v="Supplies-Surgical Nonbillable"/>
    <s v="PCU"/>
    <x v="0"/>
    <m/>
    <n v="12.2"/>
    <n v="18.7"/>
    <n v="0"/>
    <n v="0"/>
    <n v="20.56"/>
    <n v="12.81"/>
    <n v="65.05"/>
    <n v="10.18"/>
    <n v="43.62"/>
    <n v="3.49"/>
    <n v="29.08"/>
    <n v="11.4"/>
    <n v="227.09"/>
    <n v="17.68"/>
  </r>
  <r>
    <x v="11"/>
    <x v="6"/>
    <x v="0"/>
    <s v="3300107"/>
    <n v="721420"/>
    <s v="Sterilization Process Products"/>
    <s v="PCU"/>
    <x v="0"/>
    <n v="1009"/>
    <n v="5.4"/>
    <n v="7.2"/>
    <n v="14.04"/>
    <n v="9"/>
    <n v="7.35"/>
    <n v="4.0199999999999996"/>
    <n v="9.84"/>
    <n v="9.91"/>
    <n v="209.39"/>
    <n v="15.7"/>
    <n v="9.42"/>
    <n v="6.38"/>
    <n v="307.64999999999998"/>
    <n v="3.04"/>
  </r>
  <r>
    <x v="11"/>
    <x v="6"/>
    <x v="0"/>
    <s v="3300107"/>
    <n v="721610"/>
    <s v="Supplies-Anesthesia - Nonbillable"/>
    <s v="PCU"/>
    <x v="0"/>
    <m/>
    <n v="0"/>
    <n v="0"/>
    <n v="0"/>
    <n v="16.13"/>
    <n v="52.6"/>
    <n v="15.1"/>
    <n v="8.07"/>
    <n v="3.67"/>
    <n v="80.3"/>
    <n v="0"/>
    <n v="10.52"/>
    <n v="81.08"/>
    <n v="267.47000000000003"/>
    <n v="-70.56"/>
  </r>
  <r>
    <x v="11"/>
    <x v="6"/>
    <x v="0"/>
    <s v="3300107"/>
    <n v="721640"/>
    <s v="Supplies-IV Solutions/Supplies - Nonbillable"/>
    <s v="PCU"/>
    <x v="0"/>
    <m/>
    <n v="2400.16"/>
    <n v="2307.54"/>
    <n v="1909.46"/>
    <n v="2725.21"/>
    <n v="2375.48"/>
    <n v="2216.39"/>
    <n v="2008.41"/>
    <n v="2163.38"/>
    <n v="2329.23"/>
    <n v="2535.64"/>
    <n v="2013.48"/>
    <n v="2466.9699999999998"/>
    <n v="27451.35"/>
    <n v="-453.48999999999978"/>
  </r>
  <r>
    <x v="11"/>
    <x v="6"/>
    <x v="0"/>
    <s v="3300107"/>
    <n v="721650"/>
    <s v="Supplies-Pharmacy Drugs - Nonbillable"/>
    <s v="PCU"/>
    <x v="0"/>
    <m/>
    <n v="274.94"/>
    <n v="229.02"/>
    <n v="479.25"/>
    <n v="404.45"/>
    <n v="94.05"/>
    <n v="331.62"/>
    <n v="212.49"/>
    <n v="431.48"/>
    <n v="141.30000000000001"/>
    <n v="188.89"/>
    <n v="148.26"/>
    <n v="71.28"/>
    <n v="3007.03"/>
    <n v="76.97999999999999"/>
  </r>
  <r>
    <x v="11"/>
    <x v="6"/>
    <x v="0"/>
    <s v="3300107"/>
    <n v="721710"/>
    <s v="Supplies-Laboratory - Nonbillable"/>
    <s v="PCU"/>
    <x v="0"/>
    <m/>
    <n v="110.02"/>
    <n v="359.28"/>
    <n v="409.92"/>
    <n v="353.19"/>
    <n v="335.05"/>
    <n v="363.44"/>
    <n v="278.39999999999998"/>
    <n v="297.22000000000003"/>
    <n v="385.54"/>
    <n v="447.56"/>
    <n v="333.09"/>
    <n v="293.87"/>
    <n v="3966.5800000000004"/>
    <n v="39.21999999999997"/>
  </r>
  <r>
    <x v="11"/>
    <x v="6"/>
    <x v="0"/>
    <s v="3300107"/>
    <n v="721710"/>
    <s v="Reagents"/>
    <s v="PCU"/>
    <x v="0"/>
    <n v="1000"/>
    <n v="0"/>
    <n v="0"/>
    <n v="0"/>
    <n v="0"/>
    <n v="0"/>
    <n v="0"/>
    <n v="0"/>
    <n v="0"/>
    <n v="3.15"/>
    <n v="0"/>
    <n v="10.91"/>
    <n v="6.3"/>
    <n v="20.36"/>
    <n v="4.6100000000000003"/>
  </r>
  <r>
    <x v="11"/>
    <x v="6"/>
    <x v="0"/>
    <s v="3300107"/>
    <n v="721750"/>
    <s v="Supplies-Film/Radiographic - Nonbillable"/>
    <s v="PCU"/>
    <x v="0"/>
    <m/>
    <n v="0"/>
    <n v="4.68"/>
    <n v="0"/>
    <n v="0"/>
    <n v="2.81"/>
    <n v="0"/>
    <n v="0"/>
    <n v="2.81"/>
    <n v="3.75"/>
    <n v="0"/>
    <n v="0"/>
    <n v="2.81"/>
    <n v="16.86"/>
    <n v="-2.81"/>
  </r>
  <r>
    <x v="11"/>
    <x v="6"/>
    <x v="0"/>
    <s v="3300107"/>
    <n v="721810"/>
    <s v="Supplies-Dietary/Cafeteria"/>
    <s v="PCU"/>
    <x v="0"/>
    <m/>
    <n v="824.62"/>
    <n v="727.64"/>
    <n v="943.88"/>
    <n v="1220.4100000000001"/>
    <n v="1471.6"/>
    <n v="1601.75"/>
    <n v="1639.64"/>
    <n v="1376.05"/>
    <n v="1861.68"/>
    <n v="1198.72"/>
    <n v="2038.8"/>
    <n v="2198.6799999999998"/>
    <n v="17103.469999999998"/>
    <n v="-159.87999999999988"/>
  </r>
  <r>
    <x v="11"/>
    <x v="6"/>
    <x v="0"/>
    <s v="3300107"/>
    <n v="721830"/>
    <s v="Supplies-Office"/>
    <s v="PCU"/>
    <x v="0"/>
    <m/>
    <n v="697.83"/>
    <n v="790.3"/>
    <n v="721.15"/>
    <n v="351.82"/>
    <n v="823.67"/>
    <n v="584"/>
    <n v="1165.54"/>
    <n v="468.16"/>
    <n v="588.89"/>
    <n v="1169.25"/>
    <n v="602.52"/>
    <n v="184.98"/>
    <n v="8148.1100000000006"/>
    <n v="417.53999999999996"/>
  </r>
  <r>
    <x v="11"/>
    <x v="6"/>
    <x v="0"/>
    <s v="3300107"/>
    <n v="721835"/>
    <s v="Supplies-Forms"/>
    <s v="PCU"/>
    <x v="0"/>
    <m/>
    <n v="0"/>
    <n v="0"/>
    <n v="0"/>
    <n v="0"/>
    <n v="77.900000000000006"/>
    <n v="3.5"/>
    <n v="70.209999999999994"/>
    <n v="0"/>
    <n v="6"/>
    <n v="5.03"/>
    <n v="16.350000000000001"/>
    <n v="21.4"/>
    <n v="200.39000000000001"/>
    <n v="-5.0499999999999972"/>
  </r>
  <r>
    <x v="11"/>
    <x v="6"/>
    <x v="0"/>
    <s v="3300107"/>
    <n v="721870"/>
    <s v="Supplies-Environmental Services"/>
    <s v="PCU"/>
    <x v="0"/>
    <m/>
    <n v="993.74"/>
    <n v="681.91"/>
    <n v="864.93"/>
    <n v="959.56"/>
    <n v="527.63"/>
    <n v="888.96"/>
    <n v="645.49"/>
    <n v="896.58"/>
    <n v="1033.56"/>
    <n v="831.49"/>
    <n v="1069.01"/>
    <n v="647.94000000000005"/>
    <n v="10040.799999999999"/>
    <n v="421.06999999999994"/>
  </r>
  <r>
    <x v="11"/>
    <x v="6"/>
    <x v="0"/>
    <s v="3300107"/>
    <n v="721910"/>
    <s v="Supplies-Small Equipment"/>
    <s v="PCU"/>
    <x v="0"/>
    <m/>
    <n v="2767.01"/>
    <n v="1275.94"/>
    <n v="1044.43"/>
    <n v="4577.03"/>
    <n v="-2301.61"/>
    <n v="2916.03"/>
    <n v="2189.7600000000002"/>
    <n v="940.98"/>
    <n v="1866.71"/>
    <n v="1347.97"/>
    <n v="1716.71"/>
    <n v="1325.01"/>
    <n v="19665.969999999998"/>
    <n v="391.70000000000005"/>
  </r>
  <r>
    <x v="11"/>
    <x v="6"/>
    <x v="0"/>
    <s v="3300107"/>
    <n v="721910"/>
    <s v="Instruments"/>
    <s v="PCU"/>
    <x v="0"/>
    <n v="1000"/>
    <n v="74.790000000000006"/>
    <n v="96.7"/>
    <n v="74.790000000000006"/>
    <n v="62.01"/>
    <n v="36.479999999999997"/>
    <n v="56.56"/>
    <n v="71.14"/>
    <n v="69.319999999999993"/>
    <n v="76.62"/>
    <n v="72.97"/>
    <n v="77.040000000000006"/>
    <n v="61.21"/>
    <n v="829.63"/>
    <n v="15.830000000000005"/>
  </r>
  <r>
    <x v="11"/>
    <x v="6"/>
    <x v="0"/>
    <s v="3300107"/>
    <n v="721980"/>
    <s v="Supplies-Other"/>
    <s v="PCU"/>
    <x v="0"/>
    <m/>
    <n v="0"/>
    <n v="59.7"/>
    <n v="2141.9899999999998"/>
    <n v="786.68"/>
    <n v="0"/>
    <n v="1362.37"/>
    <n v="182.53"/>
    <n v="0"/>
    <n v="40.049999999999997"/>
    <n v="-1042.8"/>
    <n v="0"/>
    <n v="0"/>
    <n v="3530.5199999999995"/>
    <n v="0"/>
  </r>
  <r>
    <x v="11"/>
    <x v="6"/>
    <x v="0"/>
    <s v="3300107"/>
    <n v="722000"/>
    <s v="Supplies-Freight Expense"/>
    <s v="PCU"/>
    <x v="0"/>
    <m/>
    <n v="0"/>
    <n v="0"/>
    <n v="41.78"/>
    <n v="4.33"/>
    <n v="0"/>
    <n v="13.85"/>
    <n v="0"/>
    <n v="25.49"/>
    <n v="0"/>
    <n v="8.7200000000000006"/>
    <n v="0"/>
    <n v="2.1800000000000002"/>
    <n v="96.350000000000009"/>
    <n v="-2.1800000000000002"/>
  </r>
  <r>
    <x v="12"/>
    <x v="6"/>
    <x v="0"/>
    <s v="3300107"/>
    <n v="730020"/>
    <s v="Rental and Leases-Equipment (DO NOT USE)"/>
    <s v="PCU"/>
    <x v="0"/>
    <m/>
    <n v="0"/>
    <n v="0"/>
    <n v="0"/>
    <n v="-1001.38"/>
    <n v="0"/>
    <n v="0"/>
    <n v="0"/>
    <n v="0"/>
    <n v="0"/>
    <n v="0"/>
    <n v="0"/>
    <n v="0"/>
    <n v="-1001.38"/>
    <n v="0"/>
  </r>
  <r>
    <x v="12"/>
    <x v="6"/>
    <x v="0"/>
    <s v="3300107"/>
    <n v="730020"/>
    <s v="Rental and Leases-Copier Usage Fees (DO NOT USE)"/>
    <s v="PCU"/>
    <x v="0"/>
    <n v="5100"/>
    <n v="382.24"/>
    <n v="382.16"/>
    <n v="382.2"/>
    <n v="382.2"/>
    <n v="382.2"/>
    <n v="382.2"/>
    <n v="-447.31"/>
    <n v="685.57"/>
    <n v="152.19"/>
    <n v="-237.71"/>
    <n v="244.08"/>
    <n v="160.46"/>
    <n v="2850.4800000000005"/>
    <n v="83.62"/>
  </r>
  <r>
    <x v="15"/>
    <x v="6"/>
    <x v="0"/>
    <s v="3300107"/>
    <n v="731060"/>
    <s v="Telephone"/>
    <s v="PCU"/>
    <x v="0"/>
    <m/>
    <n v="0"/>
    <n v="0"/>
    <n v="0"/>
    <n v="0"/>
    <n v="169"/>
    <n v="0"/>
    <n v="0"/>
    <n v="-24"/>
    <n v="0"/>
    <n v="0"/>
    <n v="0"/>
    <n v="0"/>
    <n v="145"/>
    <n v="0"/>
  </r>
  <r>
    <x v="15"/>
    <x v="6"/>
    <x v="0"/>
    <s v="3300107"/>
    <n v="731060"/>
    <s v="Cell Phones"/>
    <s v="PCU"/>
    <x v="0"/>
    <n v="1001"/>
    <n v="0"/>
    <n v="0"/>
    <n v="0"/>
    <n v="0"/>
    <n v="0"/>
    <n v="0"/>
    <n v="0"/>
    <n v="0"/>
    <n v="0"/>
    <n v="118.65"/>
    <n v="53.96"/>
    <n v="53.33"/>
    <n v="225.94"/>
    <n v="0.63000000000000256"/>
  </r>
  <r>
    <x v="16"/>
    <x v="6"/>
    <x v="0"/>
    <s v="3300107"/>
    <n v="732030"/>
    <s v="Repairs---Other"/>
    <s v="PCU"/>
    <x v="0"/>
    <m/>
    <n v="0"/>
    <n v="0"/>
    <n v="0"/>
    <n v="0"/>
    <n v="0"/>
    <n v="3399.99"/>
    <n v="335"/>
    <n v="0"/>
    <n v="11700"/>
    <n v="0"/>
    <n v="0"/>
    <n v="1139.81"/>
    <n v="16574.8"/>
    <n v="-1139.81"/>
  </r>
  <r>
    <x v="13"/>
    <x v="6"/>
    <x v="0"/>
    <s v="3300107"/>
    <n v="735060"/>
    <s v="Depreciation-Fixed Equipment"/>
    <s v="PCU"/>
    <x v="0"/>
    <m/>
    <n v="172.82"/>
    <n v="172.82"/>
    <n v="172.82"/>
    <n v="172.82"/>
    <n v="172.82"/>
    <n v="172.82"/>
    <n v="172.82"/>
    <n v="172.82"/>
    <n v="172.82"/>
    <n v="172.82"/>
    <n v="172.82"/>
    <n v="172.81"/>
    <n v="2073.8299999999995"/>
    <n v="9.9999999999909051E-3"/>
  </r>
  <r>
    <x v="13"/>
    <x v="6"/>
    <x v="0"/>
    <s v="3300107"/>
    <n v="735070"/>
    <s v="Depreciation-Movable Equipment"/>
    <s v="PCU"/>
    <x v="0"/>
    <m/>
    <n v="3867.49"/>
    <n v="3867.49"/>
    <n v="3867.53"/>
    <n v="3867.49"/>
    <n v="3867.55"/>
    <n v="3867.45"/>
    <n v="3867.56"/>
    <n v="3867.45"/>
    <n v="3867.6"/>
    <n v="3867.43"/>
    <n v="3867.61"/>
    <n v="3867.43"/>
    <n v="46410.080000000002"/>
    <n v="0.18000000000029104"/>
  </r>
  <r>
    <x v="0"/>
    <x v="6"/>
    <x v="0"/>
    <s v="3300107"/>
    <n v="740020"/>
    <s v="Education-Registration Fees"/>
    <s v="PCU"/>
    <x v="0"/>
    <m/>
    <n v="100"/>
    <n v="0"/>
    <n v="0"/>
    <n v="0"/>
    <n v="0"/>
    <n v="0"/>
    <n v="0"/>
    <n v="0"/>
    <n v="0"/>
    <n v="85"/>
    <n v="0"/>
    <n v="0"/>
    <n v="185"/>
    <n v="0"/>
  </r>
  <r>
    <x v="0"/>
    <x v="6"/>
    <x v="0"/>
    <s v="3300107"/>
    <n v="749510"/>
    <s v="Miscellaneous Expenses"/>
    <s v="PCU"/>
    <x v="0"/>
    <m/>
    <n v="174.61"/>
    <n v="210.15"/>
    <n v="151.56"/>
    <n v="0"/>
    <n v="425.12"/>
    <n v="-106.84"/>
    <n v="0"/>
    <n v="63.54"/>
    <n v="-84.85"/>
    <n v="120"/>
    <n v="0"/>
    <n v="108.98"/>
    <n v="1062.2699999999998"/>
    <n v="-108.98"/>
  </r>
  <r>
    <x v="0"/>
    <x v="6"/>
    <x v="0"/>
    <s v="3300107"/>
    <n v="749510"/>
    <s v="Casualty Loss/Patient Property"/>
    <s v="PCU"/>
    <x v="0"/>
    <n v="4601"/>
    <n v="651"/>
    <n v="600"/>
    <n v="0"/>
    <n v="0"/>
    <n v="0"/>
    <n v="0"/>
    <n v="0"/>
    <n v="0"/>
    <n v="0"/>
    <n v="0"/>
    <n v="2533"/>
    <n v="0"/>
    <n v="3784"/>
    <n v="2533"/>
  </r>
  <r>
    <x v="0"/>
    <x v="6"/>
    <x v="0"/>
    <s v="3300107"/>
    <n v="749510"/>
    <s v="RICE Rewards"/>
    <s v="PCU"/>
    <x v="0"/>
    <n v="5100"/>
    <n v="0"/>
    <n v="0"/>
    <n v="0"/>
    <n v="0"/>
    <n v="169.45"/>
    <n v="0"/>
    <n v="0"/>
    <n v="91.9"/>
    <n v="457.17"/>
    <n v="0"/>
    <n v="304.95999999999998"/>
    <n v="382.9"/>
    <n v="1406.38"/>
    <n v="-77.94"/>
  </r>
  <r>
    <x v="0"/>
    <x v="6"/>
    <x v="0"/>
    <s v="3300107"/>
    <n v="749530"/>
    <s v="Travel"/>
    <s v="PCU"/>
    <x v="0"/>
    <m/>
    <n v="12"/>
    <n v="0"/>
    <n v="12"/>
    <n v="0"/>
    <n v="24"/>
    <n v="18"/>
    <n v="0"/>
    <n v="30"/>
    <n v="6"/>
    <n v="24"/>
    <n v="12"/>
    <n v="0"/>
    <n v="138"/>
    <n v="12"/>
  </r>
  <r>
    <x v="0"/>
    <x v="6"/>
    <x v="0"/>
    <s v="3300107"/>
    <n v="749530"/>
    <s v="Mileage"/>
    <s v="PCU"/>
    <x v="0"/>
    <n v="1001"/>
    <n v="74.12"/>
    <n v="0"/>
    <n v="94.84"/>
    <n v="0"/>
    <n v="189.68"/>
    <n v="142.26"/>
    <n v="0"/>
    <n v="230.84"/>
    <n v="24.36"/>
    <n v="195.46"/>
    <n v="76.56"/>
    <n v="0"/>
    <n v="1028.1200000000001"/>
    <n v="76.56"/>
  </r>
  <r>
    <x v="18"/>
    <x v="3"/>
    <x v="0"/>
    <s v="3400101"/>
    <n v="400010"/>
    <s v="Acute I/P Svcs Rev--Medicare"/>
    <s v="6 Fl Neuro/Trauma ICU"/>
    <x v="0"/>
    <n v="1100"/>
    <n v="-2399731.1800000002"/>
    <n v="-2032925.4"/>
    <n v="-2389092.41"/>
    <n v="-2451587.1"/>
    <n v="-2906203.85"/>
    <n v="-2950420.03"/>
    <n v="-2454086.94"/>
    <n v="-2964144.61"/>
    <n v="-2464737.48"/>
    <n v="-2874244.63"/>
    <n v="-2135487.7999999998"/>
    <n v="-2997370.79"/>
    <n v="-31020032.219999999"/>
    <n v="861882.99000000022"/>
  </r>
  <r>
    <x v="18"/>
    <x v="3"/>
    <x v="0"/>
    <s v="3400101"/>
    <n v="400010"/>
    <s v="Acute I/P Svcs Rev--Medicaid"/>
    <s v="6 Fl Neuro/Trauma ICU"/>
    <x v="0"/>
    <n v="1200"/>
    <n v="-1238634.78"/>
    <n v="-1096932.1299999999"/>
    <n v="-797682.6"/>
    <n v="-731099.46"/>
    <n v="-1073060.56"/>
    <n v="-829930.09"/>
    <n v="-1281910.54"/>
    <n v="-904639.28"/>
    <n v="-1653330.29"/>
    <n v="-1223937.8500000001"/>
    <n v="-1301816.3500000001"/>
    <n v="-1105837.25"/>
    <n v="-13238811.18"/>
    <n v="-195979.10000000009"/>
  </r>
  <r>
    <x v="18"/>
    <x v="3"/>
    <x v="0"/>
    <s v="3400101"/>
    <n v="400010"/>
    <s v="Acute I/P Svcs Rev--Comm Insurance"/>
    <s v="6 Fl Neuro/Trauma ICU"/>
    <x v="0"/>
    <n v="1300"/>
    <n v="-415240.82"/>
    <n v="290607.33"/>
    <n v="-69735.23"/>
    <n v="-102904.69"/>
    <n v="-41573.15"/>
    <n v="-152714.15"/>
    <n v="-122263.78"/>
    <n v="-34871.730000000003"/>
    <n v="-164571.29"/>
    <n v="-91756.65"/>
    <n v="-37850.1"/>
    <n v="23209.98"/>
    <n v="-919664.28"/>
    <n v="-61060.08"/>
  </r>
  <r>
    <x v="18"/>
    <x v="3"/>
    <x v="0"/>
    <s v="3400101"/>
    <n v="400010"/>
    <s v="Acute I/P Svcs Rev--BCBS Comm"/>
    <s v="6 Fl Neuro/Trauma ICU"/>
    <x v="0"/>
    <n v="1301"/>
    <n v="165339.76"/>
    <n v="-256013.29"/>
    <n v="-113813.11"/>
    <n v="-178751.35999999999"/>
    <n v="-60362.63"/>
    <n v="-473330.01"/>
    <n v="-277060.42"/>
    <n v="-205994.97"/>
    <n v="-306767.28000000003"/>
    <n v="-210837.67"/>
    <n v="-175336.37"/>
    <n v="-104319.55"/>
    <n v="-2197246.9"/>
    <n v="-71016.819999999992"/>
  </r>
  <r>
    <x v="18"/>
    <x v="3"/>
    <x v="0"/>
    <s v="3400101"/>
    <n v="400010"/>
    <s v="Acute I/P Svcs Rev--Managed Care"/>
    <s v="6 Fl Neuro/Trauma ICU"/>
    <x v="0"/>
    <n v="1400"/>
    <n v="-837089.1"/>
    <n v="-1083123.44"/>
    <n v="-603516.05000000005"/>
    <n v="-831974.56"/>
    <n v="-437898.74"/>
    <n v="-643970.52"/>
    <n v="-800081"/>
    <n v="-724726.84"/>
    <n v="-753704.84"/>
    <n v="-360988.69"/>
    <n v="-937749.07"/>
    <n v="-422314.59"/>
    <n v="-8437137.4400000013"/>
    <n v="-515434.47999999992"/>
  </r>
  <r>
    <x v="18"/>
    <x v="3"/>
    <x v="0"/>
    <s v="3400101"/>
    <n v="400010"/>
    <s v="Acute I/P Svcs Rev--Self Pay"/>
    <s v="6 Fl Neuro/Trauma ICU"/>
    <x v="0"/>
    <n v="1500"/>
    <n v="-21446.799999999999"/>
    <n v="-154594.04999999999"/>
    <n v="-109525.73"/>
    <n v="-88721.93"/>
    <n v="-36059.660000000003"/>
    <n v="36345.01"/>
    <n v="-125758.1"/>
    <n v="-8040.52"/>
    <n v="-97962.64"/>
    <n v="-24829.1"/>
    <n v="-159774.45000000001"/>
    <n v="147900.45000000001"/>
    <n v="-642467.52"/>
    <n v="-307674.90000000002"/>
  </r>
  <r>
    <x v="18"/>
    <x v="3"/>
    <x v="0"/>
    <s v="3400101"/>
    <n v="400010"/>
    <s v="Acute I/P Svcs Rev--Other"/>
    <s v="6 Fl Neuro/Trauma ICU"/>
    <x v="0"/>
    <n v="1700"/>
    <n v="-88796.77"/>
    <n v="-304766.45"/>
    <n v="-449286.24"/>
    <n v="-474779.08"/>
    <n v="-53566.39"/>
    <n v="-227417.45"/>
    <n v="-276299"/>
    <n v="-132122.54999999999"/>
    <n v="-220045.52"/>
    <n v="-268493.36"/>
    <n v="-108349.11"/>
    <n v="-158490.06"/>
    <n v="-2762411.9799999995"/>
    <n v="50140.95"/>
  </r>
  <r>
    <x v="19"/>
    <x v="3"/>
    <x v="0"/>
    <s v="3400101"/>
    <n v="400020"/>
    <s v="O/P Care Svcs Rev--Medicare"/>
    <s v="6 Fl Neuro/Trauma ICU"/>
    <x v="0"/>
    <n v="1100"/>
    <n v="-5788.67"/>
    <n v="-3701.27"/>
    <n v="1587.19"/>
    <n v="-16484.189999999999"/>
    <n v="-12404.1"/>
    <n v="-7587.17"/>
    <n v="-1531.56"/>
    <n v="-4400.16"/>
    <n v="-2645.36"/>
    <n v="-205.08"/>
    <n v="0"/>
    <n v="0"/>
    <n v="-53160.369999999995"/>
    <n v="0"/>
  </r>
  <r>
    <x v="19"/>
    <x v="3"/>
    <x v="0"/>
    <s v="3400101"/>
    <n v="400020"/>
    <s v="O/P Care Svcs Rev--Medicaid"/>
    <s v="6 Fl Neuro/Trauma ICU"/>
    <x v="0"/>
    <n v="1200"/>
    <n v="-5800.77"/>
    <n v="0"/>
    <n v="0"/>
    <n v="0"/>
    <n v="-3446.01"/>
    <n v="-266.44"/>
    <n v="33.18"/>
    <n v="0"/>
    <n v="-2497.36"/>
    <n v="-20702.96"/>
    <n v="6962.85"/>
    <n v="0"/>
    <n v="-25717.510000000002"/>
    <n v="6962.85"/>
  </r>
  <r>
    <x v="19"/>
    <x v="3"/>
    <x v="0"/>
    <s v="3400101"/>
    <n v="400020"/>
    <s v="O/P Care Svcs Rev--Comm Insurance"/>
    <s v="6 Fl Neuro/Trauma ICU"/>
    <x v="0"/>
    <n v="1300"/>
    <n v="0"/>
    <n v="0"/>
    <n v="-6214.66"/>
    <n v="672.8"/>
    <n v="0"/>
    <n v="-11185.71"/>
    <n v="0"/>
    <n v="-5227.6000000000004"/>
    <n v="0"/>
    <n v="-22460.44"/>
    <n v="0"/>
    <n v="0"/>
    <n v="-44415.61"/>
    <n v="0"/>
  </r>
  <r>
    <x v="19"/>
    <x v="3"/>
    <x v="0"/>
    <s v="3400101"/>
    <n v="400020"/>
    <s v="O/P Care Svcs Rev--BCBS Comm"/>
    <s v="6 Fl Neuro/Trauma ICU"/>
    <x v="0"/>
    <n v="1301"/>
    <n v="-9359.2800000000007"/>
    <n v="0"/>
    <n v="-463.72"/>
    <n v="-273.42"/>
    <n v="0"/>
    <n v="0"/>
    <n v="0"/>
    <n v="0"/>
    <n v="0"/>
    <n v="0"/>
    <n v="0"/>
    <n v="0"/>
    <n v="-10096.42"/>
    <n v="0"/>
  </r>
  <r>
    <x v="19"/>
    <x v="3"/>
    <x v="0"/>
    <s v="3400101"/>
    <n v="400020"/>
    <s v="O/P Care Svcs Rev--Managed Care"/>
    <s v="6 Fl Neuro/Trauma ICU"/>
    <x v="0"/>
    <n v="1400"/>
    <n v="-1786.68"/>
    <n v="-4866.6000000000004"/>
    <n v="-2153.9699999999998"/>
    <n v="-3203.59"/>
    <n v="0"/>
    <n v="-7892.95"/>
    <n v="-7349.79"/>
    <n v="-5969.72"/>
    <n v="-1659.06"/>
    <n v="-6377.84"/>
    <n v="-8162.04"/>
    <n v="0"/>
    <n v="-49422.239999999998"/>
    <n v="-8162.04"/>
  </r>
  <r>
    <x v="19"/>
    <x v="3"/>
    <x v="0"/>
    <s v="3400101"/>
    <n v="400020"/>
    <s v="O/P Care Svcs Rev--Self Pay"/>
    <s v="6 Fl Neuro/Trauma ICU"/>
    <x v="0"/>
    <n v="1500"/>
    <n v="6148"/>
    <n v="-20046.189999999999"/>
    <n v="-6455"/>
    <n v="6455"/>
    <n v="0"/>
    <n v="-9393.8799999999992"/>
    <n v="-14725.62"/>
    <n v="-6649"/>
    <n v="8308.06"/>
    <n v="14829.86"/>
    <n v="0"/>
    <n v="-286.26"/>
    <n v="-21815.030000000002"/>
    <n v="286.26"/>
  </r>
  <r>
    <x v="19"/>
    <x v="3"/>
    <x v="0"/>
    <s v="3400101"/>
    <n v="400020"/>
    <s v="O/P Care Svcs Rev--Other"/>
    <s v="6 Fl Neuro/Trauma ICU"/>
    <x v="0"/>
    <n v="1700"/>
    <n v="0"/>
    <n v="0"/>
    <n v="0"/>
    <n v="0"/>
    <n v="0"/>
    <n v="0"/>
    <n v="0"/>
    <n v="0"/>
    <n v="0"/>
    <n v="7419.62"/>
    <n v="0"/>
    <n v="0"/>
    <n v="7419.62"/>
    <n v="0"/>
  </r>
  <r>
    <x v="14"/>
    <x v="3"/>
    <x v="0"/>
    <s v="3400101"/>
    <n v="600050"/>
    <s v="Miscellaneous Revenue"/>
    <s v="6 Fl Neuro/Trauma ICU"/>
    <x v="0"/>
    <m/>
    <n v="0"/>
    <n v="0"/>
    <n v="0"/>
    <n v="0"/>
    <n v="0"/>
    <n v="0"/>
    <n v="0"/>
    <n v="0"/>
    <n v="0"/>
    <n v="0"/>
    <n v="0"/>
    <n v="-10000"/>
    <n v="-10000"/>
    <n v="10000"/>
  </r>
  <r>
    <x v="5"/>
    <x v="3"/>
    <x v="0"/>
    <s v="3400101"/>
    <n v="700014"/>
    <s v="Salaries-Management-Productive"/>
    <s v="6 Fl Neuro/Trauma ICU"/>
    <x v="0"/>
    <m/>
    <n v="18094.43"/>
    <n v="15291.22"/>
    <n v="14005"/>
    <n v="14202.83"/>
    <n v="14794.09"/>
    <n v="10433.290000000001"/>
    <n v="17492.61"/>
    <n v="11774.74"/>
    <n v="11739.95"/>
    <n v="9533.15"/>
    <n v="9851.24"/>
    <n v="11410.85"/>
    <n v="158623.40000000002"/>
    <n v="-1559.6100000000006"/>
  </r>
  <r>
    <x v="5"/>
    <x v="3"/>
    <x v="0"/>
    <s v="3400101"/>
    <n v="700014"/>
    <s v="Salaries-Management-OT"/>
    <s v="6 Fl Neuro/Trauma ICU"/>
    <x v="0"/>
    <n v="1000"/>
    <n v="0"/>
    <n v="0"/>
    <n v="0"/>
    <n v="0"/>
    <n v="0"/>
    <n v="0"/>
    <n v="0"/>
    <n v="0"/>
    <n v="0"/>
    <n v="0"/>
    <n v="0"/>
    <n v="131.85"/>
    <n v="131.85"/>
    <n v="-131.85"/>
  </r>
  <r>
    <x v="5"/>
    <x v="3"/>
    <x v="0"/>
    <s v="3400101"/>
    <n v="700014"/>
    <s v="Salaries-Management-Other"/>
    <s v="6 Fl Neuro/Trauma ICU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3"/>
    <x v="0"/>
    <s v="3400101"/>
    <n v="700026"/>
    <s v="Salaries-RN-Productive"/>
    <s v="6 Fl Neuro/Trauma ICU"/>
    <x v="0"/>
    <m/>
    <n v="420430.05"/>
    <n v="425684.35"/>
    <n v="429592.79"/>
    <n v="444715.15"/>
    <n v="455692.94"/>
    <n v="464710.18"/>
    <n v="465766.47"/>
    <n v="429891.45"/>
    <n v="464199.46"/>
    <n v="430057.48"/>
    <n v="443279.48"/>
    <n v="440518.72"/>
    <n v="5314538.5200000005"/>
    <n v="2760.7600000000093"/>
  </r>
  <r>
    <x v="5"/>
    <x v="3"/>
    <x v="0"/>
    <s v="3400101"/>
    <n v="700026"/>
    <s v="Salaries-RN-OT"/>
    <s v="6 Fl Neuro/Trauma ICU"/>
    <x v="0"/>
    <n v="1000"/>
    <n v="14685.92"/>
    <n v="15474.76"/>
    <n v="14384.55"/>
    <n v="19204.740000000002"/>
    <n v="15010.03"/>
    <n v="19478.38"/>
    <n v="16210.72"/>
    <n v="14042.74"/>
    <n v="17514.759999999998"/>
    <n v="11389.82"/>
    <n v="17728.45"/>
    <n v="15953.17"/>
    <n v="191078.04000000004"/>
    <n v="1775.2800000000007"/>
  </r>
  <r>
    <x v="5"/>
    <x v="3"/>
    <x v="0"/>
    <s v="3400101"/>
    <n v="700026"/>
    <s v="Salaries-RN-Other"/>
    <s v="6 Fl Neuro/Trauma ICU"/>
    <x v="0"/>
    <n v="2000"/>
    <n v="41739.56"/>
    <n v="41758.33"/>
    <n v="41693.08"/>
    <n v="41047.550000000003"/>
    <n v="43864.05"/>
    <n v="42987.94"/>
    <n v="44486.96"/>
    <n v="38646.97"/>
    <n v="44096.08"/>
    <n v="43532.83"/>
    <n v="44608.56"/>
    <n v="44448.53"/>
    <n v="512910.44000000006"/>
    <n v="160.02999999999884"/>
  </r>
  <r>
    <x v="5"/>
    <x v="3"/>
    <x v="0"/>
    <s v="3400101"/>
    <n v="700032"/>
    <s v="Salaries-Other Pat Care Providers-Productive"/>
    <s v="6 Fl Neuro/Trauma ICU"/>
    <x v="0"/>
    <m/>
    <n v="48933.35"/>
    <n v="44651.92"/>
    <n v="55237.79"/>
    <n v="39808.86"/>
    <n v="37142.42"/>
    <n v="49154.13"/>
    <n v="42361.45"/>
    <n v="33089.67"/>
    <n v="34700.29"/>
    <n v="36320.47"/>
    <n v="58578.01"/>
    <n v="41376.1"/>
    <n v="521354.45999999996"/>
    <n v="17201.910000000003"/>
  </r>
  <r>
    <x v="5"/>
    <x v="3"/>
    <x v="0"/>
    <s v="3400101"/>
    <n v="700032"/>
    <s v="Salaries-Other Pat Care Providers-OT"/>
    <s v="6 Fl Neuro/Trauma ICU"/>
    <x v="0"/>
    <n v="1000"/>
    <n v="3800.49"/>
    <n v="4638.83"/>
    <n v="3404.4"/>
    <n v="3621.84"/>
    <n v="1168.1400000000001"/>
    <n v="3605.58"/>
    <n v="1671.36"/>
    <n v="4108.87"/>
    <n v="5447.51"/>
    <n v="4692.26"/>
    <n v="5083.75"/>
    <n v="1452.54"/>
    <n v="42695.57"/>
    <n v="3631.21"/>
  </r>
  <r>
    <x v="5"/>
    <x v="3"/>
    <x v="0"/>
    <s v="3400101"/>
    <n v="700032"/>
    <s v="Salaries-Other Pat Care Providers-Other"/>
    <s v="6 Fl Neuro/Trauma ICU"/>
    <x v="0"/>
    <n v="2000"/>
    <n v="4745.26"/>
    <n v="4294.3999999999996"/>
    <n v="5277.83"/>
    <n v="2811.43"/>
    <n v="3738.23"/>
    <n v="4403.3500000000004"/>
    <n v="3455.26"/>
    <n v="2901.53"/>
    <n v="2878.35"/>
    <n v="3428.46"/>
    <n v="4593.79"/>
    <n v="3255.63"/>
    <n v="45783.519999999997"/>
    <n v="1338.1599999999999"/>
  </r>
  <r>
    <x v="5"/>
    <x v="3"/>
    <x v="0"/>
    <s v="3400101"/>
    <n v="700034"/>
    <s v="Salaries-Tech/Professional-Productive"/>
    <s v="6 Fl Neuro/Trauma ICU"/>
    <x v="0"/>
    <m/>
    <n v="0"/>
    <n v="588.88"/>
    <n v="-176.64"/>
    <n v="0"/>
    <n v="0"/>
    <n v="0"/>
    <n v="0"/>
    <n v="0"/>
    <n v="0"/>
    <n v="0"/>
    <n v="0"/>
    <n v="0"/>
    <n v="412.24"/>
    <n v="0"/>
  </r>
  <r>
    <x v="5"/>
    <x v="3"/>
    <x v="0"/>
    <s v="3400101"/>
    <n v="700034"/>
    <s v="Salaries-Tech/Professional-OT"/>
    <s v="6 Fl Neuro/Trauma ICU"/>
    <x v="0"/>
    <n v="1000"/>
    <n v="0"/>
    <n v="140.15"/>
    <n v="-42.03"/>
    <n v="0"/>
    <n v="0"/>
    <n v="0"/>
    <n v="0"/>
    <n v="0"/>
    <n v="0"/>
    <n v="0"/>
    <n v="0"/>
    <n v="0"/>
    <n v="98.12"/>
    <n v="0"/>
  </r>
  <r>
    <x v="5"/>
    <x v="3"/>
    <x v="0"/>
    <s v="3400101"/>
    <n v="700038"/>
    <s v="Salaries-Service/Support-Productive"/>
    <s v="6 Fl Neuro/Trauma ICU"/>
    <x v="0"/>
    <m/>
    <n v="4584.16"/>
    <n v="5307.96"/>
    <n v="3423.04"/>
    <n v="5129.43"/>
    <n v="5252.08"/>
    <n v="4533.18"/>
    <n v="5514.15"/>
    <n v="4265.9399999999996"/>
    <n v="4171.6499999999996"/>
    <n v="5317.62"/>
    <n v="5212.1499999999996"/>
    <n v="4435.32"/>
    <n v="57146.680000000008"/>
    <n v="776.82999999999993"/>
  </r>
  <r>
    <x v="5"/>
    <x v="3"/>
    <x v="0"/>
    <s v="3400101"/>
    <n v="700038"/>
    <s v="Salaries-Service/Support-OT"/>
    <s v="6 Fl Neuro/Trauma ICU"/>
    <x v="0"/>
    <n v="1000"/>
    <n v="13.95"/>
    <n v="-2.46"/>
    <n v="361.23"/>
    <n v="-73.88"/>
    <n v="0"/>
    <n v="247.44"/>
    <n v="798.17"/>
    <n v="523.53"/>
    <n v="11.81"/>
    <n v="11.81"/>
    <n v="136.53"/>
    <n v="-2.52"/>
    <n v="2025.6099999999997"/>
    <n v="139.05000000000001"/>
  </r>
  <r>
    <x v="5"/>
    <x v="3"/>
    <x v="0"/>
    <s v="3400101"/>
    <n v="700038"/>
    <s v="Salaries-Service/Support-Other"/>
    <s v="6 Fl Neuro/Trauma ICU"/>
    <x v="0"/>
    <n v="2000"/>
    <n v="0"/>
    <n v="0"/>
    <n v="0"/>
    <n v="0"/>
    <n v="0"/>
    <n v="2.9"/>
    <n v="0"/>
    <n v="5.39"/>
    <n v="4.55"/>
    <n v="-1.65"/>
    <n v="0"/>
    <n v="6.67"/>
    <n v="17.86"/>
    <n v="-6.67"/>
  </r>
  <r>
    <x v="5"/>
    <x v="3"/>
    <x v="0"/>
    <s v="3400101"/>
    <n v="700054"/>
    <s v="Salaries-Management-Non-productive"/>
    <s v="6 Fl Neuro/Trauma ICU"/>
    <x v="0"/>
    <m/>
    <n v="0"/>
    <n v="2804.04"/>
    <n v="3506.77"/>
    <n v="4362.43"/>
    <n v="3280.86"/>
    <n v="8244.7900000000009"/>
    <n v="1214.6099999999999"/>
    <n v="5120.3999999999996"/>
    <n v="-1317.26"/>
    <n v="0"/>
    <n v="0"/>
    <n v="0"/>
    <n v="27216.640000000003"/>
    <n v="0"/>
  </r>
  <r>
    <x v="5"/>
    <x v="3"/>
    <x v="0"/>
    <s v="3400101"/>
    <n v="700054"/>
    <s v="Salaries-Management-NonProd-Other"/>
    <s v="6 Fl Neuro/Trauma ICU"/>
    <x v="0"/>
    <n v="2000"/>
    <n v="0"/>
    <n v="0"/>
    <n v="0"/>
    <n v="0"/>
    <n v="0"/>
    <n v="10021.89"/>
    <n v="-10021.89"/>
    <n v="0"/>
    <n v="0"/>
    <n v="0"/>
    <n v="0"/>
    <n v="0"/>
    <n v="0"/>
    <n v="0"/>
  </r>
  <r>
    <x v="5"/>
    <x v="3"/>
    <x v="0"/>
    <s v="3400101"/>
    <n v="700066"/>
    <s v="Salaries-RN-Non-productive"/>
    <s v="6 Fl Neuro/Trauma ICU"/>
    <x v="0"/>
    <m/>
    <n v="84056.82"/>
    <n v="84864.21"/>
    <n v="93259.82"/>
    <n v="84844.93"/>
    <n v="51380.78"/>
    <n v="79191.45"/>
    <n v="74250.880000000005"/>
    <n v="74660.509999999995"/>
    <n v="76165.11"/>
    <n v="67335.67"/>
    <n v="75970.94"/>
    <n v="56666.32"/>
    <n v="902647.44000000006"/>
    <n v="19304.620000000003"/>
  </r>
  <r>
    <x v="5"/>
    <x v="3"/>
    <x v="0"/>
    <s v="3400101"/>
    <n v="700066"/>
    <s v="Salaries-RN-NonProd-Other"/>
    <s v="6 Fl Neuro/Trauma ICU"/>
    <x v="0"/>
    <n v="2000"/>
    <n v="8559.27"/>
    <n v="5853.69"/>
    <n v="7140.19"/>
    <n v="6297.66"/>
    <n v="8377.27"/>
    <n v="12780.46"/>
    <n v="6224.5"/>
    <n v="964.77"/>
    <n v="7528.83"/>
    <n v="4830.16"/>
    <n v="5657.7"/>
    <n v="5543.63"/>
    <n v="79758.13"/>
    <n v="114.06999999999971"/>
  </r>
  <r>
    <x v="5"/>
    <x v="3"/>
    <x v="0"/>
    <s v="3400101"/>
    <n v="700072"/>
    <s v="Salaries-Other Pat Care Providers-Non-productive"/>
    <s v="6 Fl Neuro/Trauma ICU"/>
    <x v="0"/>
    <m/>
    <n v="6066.2"/>
    <n v="6127.51"/>
    <n v="9292.11"/>
    <n v="8055.8"/>
    <n v="2564.87"/>
    <n v="5336.14"/>
    <n v="5393.08"/>
    <n v="3425.23"/>
    <n v="6122.26"/>
    <n v="4232.1000000000004"/>
    <n v="3839.75"/>
    <n v="4064.85"/>
    <n v="64519.9"/>
    <n v="-225.09999999999991"/>
  </r>
  <r>
    <x v="5"/>
    <x v="3"/>
    <x v="0"/>
    <s v="3400101"/>
    <n v="700072"/>
    <s v="Salaries-Other Pat Care Providers-NonProd-Other"/>
    <s v="6 Fl Neuro/Trauma ICU"/>
    <x v="0"/>
    <n v="2000"/>
    <n v="365.6"/>
    <n v="333.17"/>
    <n v="527.85"/>
    <n v="287.14"/>
    <n v="1336.4"/>
    <n v="724.39"/>
    <n v="181.71"/>
    <n v="-1195.31"/>
    <n v="246.57"/>
    <n v="247.95"/>
    <n v="240.95"/>
    <n v="104.74"/>
    <n v="3401.1599999999994"/>
    <n v="136.20999999999998"/>
  </r>
  <r>
    <x v="5"/>
    <x v="3"/>
    <x v="0"/>
    <s v="3400101"/>
    <n v="700078"/>
    <s v="Salaries-Service/Support-Non-productive"/>
    <s v="6 Fl Neuro/Trauma ICU"/>
    <x v="0"/>
    <m/>
    <n v="843.41"/>
    <n v="123.15"/>
    <n v="1793.03"/>
    <n v="811.04"/>
    <n v="374.22"/>
    <n v="1234.33"/>
    <n v="111.52"/>
    <n v="832.71"/>
    <n v="1435.1"/>
    <n v="58.43"/>
    <n v="361.87"/>
    <n v="1406.98"/>
    <n v="9385.7900000000009"/>
    <n v="-1045.1100000000001"/>
  </r>
  <r>
    <x v="5"/>
    <x v="3"/>
    <x v="0"/>
    <s v="3400101"/>
    <n v="700084"/>
    <s v="Accrued PTO"/>
    <s v="6 Fl Neuro/Trauma ICU"/>
    <x v="0"/>
    <m/>
    <n v="-1304.4000000000001"/>
    <n v="-25045.200000000001"/>
    <n v="-21164.880000000001"/>
    <n v="-5296.61"/>
    <n v="12587.76"/>
    <n v="7973.4"/>
    <n v="6041.34"/>
    <n v="12478.5"/>
    <n v="1528.25"/>
    <n v="11473.67"/>
    <n v="6651.4"/>
    <n v="14229.64"/>
    <n v="20152.87"/>
    <n v="-7578.24"/>
  </r>
  <r>
    <x v="10"/>
    <x v="3"/>
    <x v="0"/>
    <s v="3400101"/>
    <n v="710060"/>
    <s v="Contract Labor-Other"/>
    <s v="6 Fl Neuro/Trauma ICU"/>
    <x v="0"/>
    <m/>
    <n v="11697.25"/>
    <n v="4011.5"/>
    <n v="284"/>
    <n v="852"/>
    <n v="0"/>
    <n v="1952.5"/>
    <n v="0"/>
    <n v="6123.75"/>
    <n v="35997"/>
    <n v="45496.25"/>
    <n v="34486.61"/>
    <n v="39294.639999999999"/>
    <n v="180195.5"/>
    <n v="-4808.0299999999988"/>
  </r>
  <r>
    <x v="10"/>
    <x v="3"/>
    <x v="0"/>
    <s v="3400101"/>
    <n v="710060"/>
    <s v="Contract Labor-Overtime"/>
    <s v="6 Fl Neuro/Trauma ICU"/>
    <x v="0"/>
    <n v="5100"/>
    <n v="0"/>
    <n v="0"/>
    <n v="0"/>
    <n v="0"/>
    <n v="0"/>
    <n v="0"/>
    <n v="0"/>
    <n v="0"/>
    <n v="886.61"/>
    <n v="3334.74"/>
    <n v="-1845.11"/>
    <n v="2611.91"/>
    <n v="4988.1499999999996"/>
    <n v="-4457.0199999999995"/>
  </r>
  <r>
    <x v="10"/>
    <x v="3"/>
    <x v="0"/>
    <s v="3400101"/>
    <n v="710060"/>
    <s v="Contract Labor-Standby Wages"/>
    <s v="6 Fl Neuro/Trauma ICU"/>
    <x v="0"/>
    <n v="5101"/>
    <n v="0"/>
    <n v="0"/>
    <n v="0"/>
    <n v="0"/>
    <n v="0"/>
    <n v="0"/>
    <n v="0"/>
    <n v="0"/>
    <n v="96"/>
    <n v="0"/>
    <n v="96"/>
    <n v="0"/>
    <n v="192"/>
    <n v="96"/>
  </r>
  <r>
    <x v="6"/>
    <x v="3"/>
    <x v="0"/>
    <s v="3400101"/>
    <n v="713010"/>
    <s v="Benefits-FICA/Medicare"/>
    <s v="6 Fl Neuro/Trauma ICU"/>
    <x v="0"/>
    <m/>
    <n v="48871.72"/>
    <n v="49235.31"/>
    <n v="51256.4"/>
    <n v="50088.41"/>
    <n v="48450.45"/>
    <n v="53254.55"/>
    <n v="51704.3"/>
    <n v="47287.45"/>
    <n v="51619.14"/>
    <n v="45750.6"/>
    <n v="50372.47"/>
    <n v="47317.2"/>
    <n v="595207.99999999988"/>
    <n v="3055.2700000000041"/>
  </r>
  <r>
    <x v="6"/>
    <x v="3"/>
    <x v="0"/>
    <s v="3400101"/>
    <n v="713090"/>
    <s v="Benefits-Allocated Amounts"/>
    <s v="6 Fl Neuro/Trauma ICU"/>
    <x v="0"/>
    <m/>
    <n v="137746.23000000001"/>
    <n v="126165.13"/>
    <n v="143833.51999999999"/>
    <n v="137753.48000000001"/>
    <n v="132674.59"/>
    <n v="141310.73000000001"/>
    <n v="147005.48000000001"/>
    <n v="142106.32"/>
    <n v="114370.21"/>
    <n v="137038.03"/>
    <n v="155781.1"/>
    <n v="140150.59"/>
    <n v="1655935.4100000001"/>
    <n v="15630.510000000009"/>
  </r>
  <r>
    <x v="6"/>
    <x v="3"/>
    <x v="0"/>
    <s v="3400101"/>
    <n v="713096"/>
    <s v="Employee Recognition"/>
    <s v="6 Fl Neuro/Trauma ICU"/>
    <x v="0"/>
    <n v="1017"/>
    <n v="601.38"/>
    <n v="0"/>
    <n v="108.41"/>
    <n v="173.16"/>
    <n v="156.5"/>
    <n v="0"/>
    <n v="0"/>
    <n v="367.91"/>
    <n v="120.98"/>
    <n v="82.82"/>
    <n v="0"/>
    <n v="0"/>
    <n v="1611.1599999999999"/>
    <n v="0"/>
  </r>
  <r>
    <x v="17"/>
    <x v="3"/>
    <x v="0"/>
    <s v="3400101"/>
    <n v="714520"/>
    <s v="Other Contracted Professionals"/>
    <s v="6 Fl Neuro/Trauma ICU"/>
    <x v="0"/>
    <m/>
    <n v="253376.12"/>
    <n v="267081.67"/>
    <n v="256854.94"/>
    <n v="254450.81"/>
    <n v="267966.65999999997"/>
    <n v="256365.33"/>
    <n v="266504.59000000003"/>
    <n v="266396.5"/>
    <n v="241454.39"/>
    <n v="265100.08"/>
    <n v="258086.81"/>
    <n v="293611.99"/>
    <n v="3147249.8900000006"/>
    <n v="-35525.179999999993"/>
  </r>
  <r>
    <x v="17"/>
    <x v="3"/>
    <x v="0"/>
    <s v="3400101"/>
    <n v="714530"/>
    <s v="Medical Prof Fees-Intracompany"/>
    <s v="6 Fl Neuro/Trauma ICU"/>
    <x v="0"/>
    <m/>
    <n v="35712.06"/>
    <n v="36352.720000000001"/>
    <n v="37954.14"/>
    <n v="32170.98"/>
    <n v="30833.06"/>
    <n v="35707.769999999997"/>
    <n v="59150.36"/>
    <n v="44278.84"/>
    <n v="35144.800000000003"/>
    <n v="49788.87"/>
    <n v="40105.51"/>
    <n v="56423.44"/>
    <n v="493622.54999999993"/>
    <n v="-16317.93"/>
  </r>
  <r>
    <x v="7"/>
    <x v="3"/>
    <x v="0"/>
    <s v="3400101"/>
    <n v="718050"/>
    <s v="Contract Svcs-Other"/>
    <s v="6 Fl Neuro/Trauma ICU"/>
    <x v="0"/>
    <m/>
    <n v="0"/>
    <n v="0"/>
    <n v="0"/>
    <n v="56"/>
    <n v="0"/>
    <n v="334.88"/>
    <n v="530.44000000000005"/>
    <n v="0"/>
    <n v="1945.75"/>
    <n v="991.13"/>
    <n v="0"/>
    <n v="0"/>
    <n v="3858.2000000000003"/>
    <n v="0"/>
  </r>
  <r>
    <x v="7"/>
    <x v="3"/>
    <x v="0"/>
    <s v="3400101"/>
    <n v="718050"/>
    <s v="Document Shredding/Storage"/>
    <s v="6 Fl Neuro/Trauma ICU"/>
    <x v="0"/>
    <n v="1012"/>
    <n v="28.26"/>
    <n v="28.89"/>
    <n v="26.63"/>
    <n v="27.55"/>
    <n v="28.47"/>
    <n v="28.47"/>
    <n v="28.18"/>
    <n v="24.2"/>
    <n v="25.06"/>
    <n v="32.78"/>
    <n v="27.55"/>
    <n v="28.47"/>
    <n v="334.51"/>
    <n v="-0.91999999999999815"/>
  </r>
  <r>
    <x v="7"/>
    <x v="3"/>
    <x v="0"/>
    <s v="3400101"/>
    <n v="718050"/>
    <s v="Miscellaneous Purchased Svcs"/>
    <s v="6 Fl Neuro/Trauma ICU"/>
    <x v="0"/>
    <n v="1020"/>
    <n v="0"/>
    <n v="0"/>
    <n v="73.5"/>
    <n v="0"/>
    <n v="0"/>
    <n v="0"/>
    <n v="-36.75"/>
    <n v="36.75"/>
    <n v="0"/>
    <n v="0"/>
    <n v="247.95"/>
    <n v="0"/>
    <n v="321.45"/>
    <n v="247.95"/>
  </r>
  <r>
    <x v="7"/>
    <x v="3"/>
    <x v="0"/>
    <s v="3400101"/>
    <n v="718050"/>
    <s v="Translation Services"/>
    <s v="6 Fl Neuro/Trauma ICU"/>
    <x v="0"/>
    <n v="1025"/>
    <n v="32"/>
    <n v="565.70000000000005"/>
    <n v="809.4"/>
    <n v="200.66"/>
    <n v="38.450000000000003"/>
    <n v="113.76"/>
    <n v="44.24"/>
    <n v="0"/>
    <n v="33.18"/>
    <n v="0"/>
    <n v="41.12"/>
    <n v="73.47"/>
    <n v="1951.98"/>
    <n v="-32.35"/>
  </r>
  <r>
    <x v="7"/>
    <x v="3"/>
    <x v="0"/>
    <s v="3400101"/>
    <n v="718050"/>
    <s v="Contract Management--Linen"/>
    <s v="6 Fl Neuro/Trauma ICU"/>
    <x v="0"/>
    <n v="1026"/>
    <n v="5781.57"/>
    <n v="5630.3"/>
    <n v="5572.81"/>
    <n v="6480.44"/>
    <n v="7131.2"/>
    <n v="6437.19"/>
    <n v="5685.8"/>
    <n v="6357.75"/>
    <n v="5787.1"/>
    <n v="6913.37"/>
    <n v="8318.08"/>
    <n v="8893.24"/>
    <n v="78988.850000000006"/>
    <n v="-575.15999999999985"/>
  </r>
  <r>
    <x v="7"/>
    <x v="3"/>
    <x v="0"/>
    <s v="3400101"/>
    <n v="718070"/>
    <s v="Contract Srvcs-CHI Clinical Engineering"/>
    <s v="6 Fl Neuro/Trauma ICU"/>
    <x v="0"/>
    <m/>
    <n v="104.67"/>
    <n v="104.67"/>
    <n v="104.67"/>
    <n v="127.41"/>
    <n v="129.75"/>
    <n v="136.5"/>
    <n v="136.5"/>
    <n v="136.5"/>
    <n v="136.5"/>
    <n v="136.5"/>
    <n v="136.5"/>
    <n v="136.5"/>
    <n v="1526.67"/>
    <n v="0"/>
  </r>
  <r>
    <x v="11"/>
    <x v="3"/>
    <x v="0"/>
    <s v="3400101"/>
    <n v="721010"/>
    <s v="Supplies-Medical - Billable"/>
    <s v="6 Fl Neuro/Trauma ICU"/>
    <x v="0"/>
    <m/>
    <n v="21814.639999999999"/>
    <n v="22035.22"/>
    <n v="23248.37"/>
    <n v="22805.06"/>
    <n v="25266.45"/>
    <n v="26445.94"/>
    <n v="23171.72"/>
    <n v="24121.31"/>
    <n v="28064.77"/>
    <n v="21975.4"/>
    <n v="22984.09"/>
    <n v="21625.09"/>
    <n v="283558.06"/>
    <n v="1359"/>
  </r>
  <r>
    <x v="11"/>
    <x v="3"/>
    <x v="0"/>
    <s v="3400101"/>
    <n v="721010"/>
    <s v="Patient Monitoring"/>
    <s v="6 Fl Neuro/Trauma ICU"/>
    <x v="0"/>
    <n v="1000"/>
    <n v="3106.6"/>
    <n v="3775.44"/>
    <n v="3066.16"/>
    <n v="10542.29"/>
    <n v="6808.33"/>
    <n v="2714.72"/>
    <n v="5981.92"/>
    <n v="4564.93"/>
    <n v="2680.92"/>
    <n v="4912.3599999999997"/>
    <n v="1738.1"/>
    <n v="2512.89"/>
    <n v="52404.659999999996"/>
    <n v="-774.79"/>
  </r>
  <r>
    <x v="11"/>
    <x v="3"/>
    <x v="0"/>
    <s v="3400101"/>
    <n v="721020"/>
    <s v="Supplies-Surgical - Billable"/>
    <s v="6 Fl Neuro/Trauma ICU"/>
    <x v="0"/>
    <m/>
    <n v="5567.66"/>
    <n v="10677.55"/>
    <n v="5079.6099999999997"/>
    <n v="11644.14"/>
    <n v="12025.93"/>
    <n v="4231.2700000000004"/>
    <n v="7231.66"/>
    <n v="6260.59"/>
    <n v="7764.78"/>
    <n v="10676.7"/>
    <n v="3331.24"/>
    <n v="7549.22"/>
    <n v="92040.35"/>
    <n v="-4217.9800000000005"/>
  </r>
  <r>
    <x v="11"/>
    <x v="3"/>
    <x v="0"/>
    <s v="3400101"/>
    <n v="721020"/>
    <s v="Custom Packs"/>
    <s v="6 Fl Neuro/Trauma ICU"/>
    <x v="0"/>
    <n v="1000"/>
    <n v="16.420000000000002"/>
    <n v="344.24"/>
    <n v="688.48"/>
    <n v="569.32000000000005"/>
    <n v="595.79999999999995"/>
    <n v="651.87"/>
    <n v="714.96"/>
    <n v="582.55999999999995"/>
    <n v="900.32"/>
    <n v="582.55999999999995"/>
    <n v="873.84"/>
    <n v="460.29"/>
    <n v="6980.6599999999989"/>
    <n v="413.55"/>
  </r>
  <r>
    <x v="11"/>
    <x v="3"/>
    <x v="0"/>
    <s v="3400101"/>
    <n v="721020"/>
    <s v="Suture/Wound Closure"/>
    <s v="6 Fl Neuro/Trauma ICU"/>
    <x v="0"/>
    <n v="1001"/>
    <n v="35.119999999999997"/>
    <n v="35.450000000000003"/>
    <n v="340.9"/>
    <n v="47.47"/>
    <n v="84.46"/>
    <n v="15.83"/>
    <n v="59.32"/>
    <n v="51.77"/>
    <n v="-786.63"/>
    <n v="70.28"/>
    <n v="27.69"/>
    <n v="30.43"/>
    <n v="12.090000000000057"/>
    <n v="-2.7399999999999984"/>
  </r>
  <r>
    <x v="11"/>
    <x v="3"/>
    <x v="0"/>
    <s v="3400101"/>
    <n v="721020"/>
    <s v="Endomechanical Supplies &amp; Instruments"/>
    <s v="6 Fl Neuro/Trauma ICU"/>
    <x v="0"/>
    <n v="1003"/>
    <n v="0"/>
    <n v="0"/>
    <n v="0"/>
    <n v="0"/>
    <n v="0"/>
    <n v="0"/>
    <n v="0"/>
    <n v="0"/>
    <n v="0"/>
    <n v="-13.27"/>
    <n v="0"/>
    <n v="0"/>
    <n v="-13.27"/>
    <n v="0"/>
  </r>
  <r>
    <x v="11"/>
    <x v="3"/>
    <x v="0"/>
    <s v="3400101"/>
    <n v="721020"/>
    <s v="Heart/Lung Machine Supplies"/>
    <s v="6 Fl Neuro/Trauma ICU"/>
    <x v="0"/>
    <n v="1005"/>
    <n v="0"/>
    <n v="0"/>
    <n v="0"/>
    <n v="0"/>
    <n v="0"/>
    <n v="0"/>
    <n v="0"/>
    <n v="0"/>
    <n v="0"/>
    <n v="1101"/>
    <n v="-101"/>
    <n v="0"/>
    <n v="1000"/>
    <n v="-101"/>
  </r>
  <r>
    <x v="11"/>
    <x v="3"/>
    <x v="0"/>
    <s v="3400101"/>
    <n v="721020"/>
    <s v="Urological Supplies"/>
    <s v="6 Fl Neuro/Trauma ICU"/>
    <x v="0"/>
    <n v="1006"/>
    <n v="433.81"/>
    <n v="111.24"/>
    <n v="0"/>
    <n v="0"/>
    <n v="0"/>
    <n v="102.02"/>
    <n v="0"/>
    <n v="0"/>
    <n v="0"/>
    <n v="64.180000000000007"/>
    <n v="0"/>
    <n v="0"/>
    <n v="711.25"/>
    <n v="0"/>
  </r>
  <r>
    <x v="11"/>
    <x v="3"/>
    <x v="0"/>
    <s v="3400101"/>
    <n v="721020"/>
    <s v="Tubes Drains &amp; Related Supplies"/>
    <s v="6 Fl Neuro/Trauma ICU"/>
    <x v="0"/>
    <n v="1008"/>
    <n v="496.1"/>
    <n v="274.95999999999998"/>
    <n v="797.45"/>
    <n v="-160.08000000000001"/>
    <n v="2007.22"/>
    <n v="745.76"/>
    <n v="4968.88"/>
    <n v="2634.8"/>
    <n v="3470.85"/>
    <n v="3149.36"/>
    <n v="2017.33"/>
    <n v="1135.55"/>
    <n v="21538.179999999997"/>
    <n v="881.78"/>
  </r>
  <r>
    <x v="11"/>
    <x v="3"/>
    <x v="0"/>
    <s v="3400101"/>
    <n v="721050"/>
    <s v="Supplies-Cardiac Rhythm - Billable"/>
    <s v="6 Fl Neuro/Trauma ICU"/>
    <x v="0"/>
    <m/>
    <n v="753.86"/>
    <n v="654"/>
    <n v="327.14999999999998"/>
    <n v="606.17999999999995"/>
    <n v="681.41"/>
    <n v="189.73"/>
    <n v="788.81"/>
    <n v="288.32"/>
    <n v="815.74"/>
    <n v="676.88"/>
    <n v="270"/>
    <n v="553.59"/>
    <n v="6605.67"/>
    <n v="-283.59000000000003"/>
  </r>
  <r>
    <x v="11"/>
    <x v="3"/>
    <x v="0"/>
    <s v="3400101"/>
    <n v="721050"/>
    <s v="Pacemakers - Internal"/>
    <s v="6 Fl Neuro/Trauma ICU"/>
    <x v="0"/>
    <n v="1000"/>
    <n v="0"/>
    <n v="0"/>
    <n v="0"/>
    <n v="0"/>
    <n v="0"/>
    <n v="520"/>
    <n v="0"/>
    <n v="56"/>
    <n v="0"/>
    <n v="28"/>
    <n v="-28"/>
    <n v="0"/>
    <n v="576"/>
    <n v="-28"/>
  </r>
  <r>
    <x v="11"/>
    <x v="3"/>
    <x v="0"/>
    <s v="3400101"/>
    <n v="721240"/>
    <s v="Supplies-IV Solutions/Supplies - Billable"/>
    <s v="6 Fl Neuro/Trauma ICU"/>
    <x v="0"/>
    <m/>
    <n v="3222.73"/>
    <n v="2699.81"/>
    <n v="2674.24"/>
    <n v="2957.59"/>
    <n v="3464.94"/>
    <n v="3146.56"/>
    <n v="2790.25"/>
    <n v="3184.92"/>
    <n v="2909.08"/>
    <n v="3421.63"/>
    <n v="2244.9"/>
    <n v="3180.9"/>
    <n v="35897.550000000003"/>
    <n v="-936"/>
  </r>
  <r>
    <x v="11"/>
    <x v="3"/>
    <x v="0"/>
    <s v="3400101"/>
    <n v="721250"/>
    <s v="Supplies-Pharmacy Drugs - Billable"/>
    <s v="6 Fl Neuro/Trauma ICU"/>
    <x v="0"/>
    <m/>
    <n v="5.41"/>
    <n v="5.41"/>
    <n v="0"/>
    <n v="0"/>
    <n v="10.82"/>
    <n v="0"/>
    <n v="5.41"/>
    <n v="0"/>
    <n v="0"/>
    <n v="0"/>
    <n v="0"/>
    <n v="10.82"/>
    <n v="37.870000000000005"/>
    <n v="-10.82"/>
  </r>
  <r>
    <x v="11"/>
    <x v="3"/>
    <x v="0"/>
    <s v="3400101"/>
    <n v="721410"/>
    <s v="Supplies-Medical - Nonbillable"/>
    <s v="6 Fl Neuro/Trauma ICU"/>
    <x v="0"/>
    <m/>
    <n v="34069.01"/>
    <n v="38223.26"/>
    <n v="35066.720000000001"/>
    <n v="32988.04"/>
    <n v="40920.19"/>
    <n v="38556.85"/>
    <n v="37914.11"/>
    <n v="36441.14"/>
    <n v="44547.45"/>
    <n v="31346.58"/>
    <n v="37682.370000000003"/>
    <n v="32512.9"/>
    <n v="440268.62000000005"/>
    <n v="5169.4700000000012"/>
  </r>
  <r>
    <x v="11"/>
    <x v="3"/>
    <x v="0"/>
    <s v="3400101"/>
    <n v="721410"/>
    <s v="Patient Monitoring"/>
    <s v="6 Fl Neuro/Trauma ICU"/>
    <x v="0"/>
    <n v="1000"/>
    <n v="44.52"/>
    <n v="18.75"/>
    <n v="-19.11"/>
    <n v="52.5"/>
    <n v="14.84"/>
    <n v="26.25"/>
    <n v="56.09"/>
    <n v="11.25"/>
    <n v="26.09"/>
    <n v="7.5"/>
    <n v="-4.28"/>
    <n v="13.5"/>
    <n v="247.9"/>
    <n v="-17.78"/>
  </r>
  <r>
    <x v="11"/>
    <x v="3"/>
    <x v="0"/>
    <s v="3400101"/>
    <n v="721420"/>
    <s v="Supplies-Surgical Nonbillable"/>
    <s v="6 Fl Neuro/Trauma ICU"/>
    <x v="0"/>
    <m/>
    <n v="516.67999999999995"/>
    <n v="505.43"/>
    <n v="1183.46"/>
    <n v="315.45999999999998"/>
    <n v="631.39"/>
    <n v="400.53"/>
    <n v="397.49"/>
    <n v="385.94"/>
    <n v="402.74"/>
    <n v="300.49"/>
    <n v="1591.41"/>
    <n v="457.31"/>
    <n v="7088.329999999999"/>
    <n v="1134.1000000000001"/>
  </r>
  <r>
    <x v="11"/>
    <x v="3"/>
    <x v="0"/>
    <s v="3400101"/>
    <n v="721420"/>
    <s v="Tubes Drains &amp; Related Supplies"/>
    <s v="6 Fl Neuro/Trauma ICU"/>
    <x v="0"/>
    <n v="1008"/>
    <n v="298.5"/>
    <n v="209.56"/>
    <n v="181.73"/>
    <n v="271.87"/>
    <n v="403.93"/>
    <n v="352.06"/>
    <n v="387.98"/>
    <n v="247.27"/>
    <n v="394.46"/>
    <n v="355.35"/>
    <n v="352.55"/>
    <n v="379.17"/>
    <n v="3834.4300000000003"/>
    <n v="-26.620000000000005"/>
  </r>
  <r>
    <x v="11"/>
    <x v="3"/>
    <x v="0"/>
    <s v="3400101"/>
    <n v="721420"/>
    <s v="Sterilization Process Products"/>
    <s v="6 Fl Neuro/Trauma ICU"/>
    <x v="0"/>
    <n v="1009"/>
    <n v="36.31"/>
    <n v="17.88"/>
    <n v="15.46"/>
    <n v="21.05"/>
    <n v="39.51"/>
    <n v="9.6999999999999993"/>
    <n v="44.87"/>
    <n v="1.83"/>
    <n v="205.83"/>
    <n v="179.68"/>
    <n v="31.04"/>
    <n v="101.31"/>
    <n v="704.47"/>
    <n v="-70.27000000000001"/>
  </r>
  <r>
    <x v="11"/>
    <x v="3"/>
    <x v="0"/>
    <s v="3400101"/>
    <n v="721610"/>
    <s v="Supplies-Anesthesia - Nonbillable"/>
    <s v="6 Fl Neuro/Trauma ICU"/>
    <x v="0"/>
    <m/>
    <n v="1261.2"/>
    <n v="1143.99"/>
    <n v="1148.25"/>
    <n v="1739.3"/>
    <n v="945.84"/>
    <n v="964.3"/>
    <n v="996.47"/>
    <n v="977.31"/>
    <n v="1014.02"/>
    <n v="1778.91"/>
    <n v="1000.61"/>
    <n v="793.87"/>
    <n v="13764.070000000002"/>
    <n v="206.74"/>
  </r>
  <r>
    <x v="11"/>
    <x v="3"/>
    <x v="0"/>
    <s v="3400101"/>
    <n v="721640"/>
    <s v="Supplies-IV Solutions/Supplies - Nonbillable"/>
    <s v="6 Fl Neuro/Trauma ICU"/>
    <x v="0"/>
    <m/>
    <n v="11189.56"/>
    <n v="12482.61"/>
    <n v="9884.77"/>
    <n v="12204.01"/>
    <n v="11886.66"/>
    <n v="13782.17"/>
    <n v="12663.6"/>
    <n v="11175.94"/>
    <n v="13696.53"/>
    <n v="11421.73"/>
    <n v="10946.77"/>
    <n v="12263.72"/>
    <n v="143598.07"/>
    <n v="-1316.9499999999989"/>
  </r>
  <r>
    <x v="11"/>
    <x v="3"/>
    <x v="0"/>
    <s v="3400101"/>
    <n v="721650"/>
    <s v="Supplies-Pharmacy Drugs - Nonbillable"/>
    <s v="6 Fl Neuro/Trauma ICU"/>
    <x v="0"/>
    <m/>
    <n v="320.75"/>
    <n v="306.08"/>
    <n v="302.07"/>
    <n v="299.85000000000002"/>
    <n v="373.21"/>
    <n v="339.85"/>
    <n v="287.17"/>
    <n v="386.14"/>
    <n v="337.85"/>
    <n v="450.09"/>
    <n v="304.27999999999997"/>
    <n v="296.47000000000003"/>
    <n v="4003.8100000000004"/>
    <n v="7.8099999999999454"/>
  </r>
  <r>
    <x v="11"/>
    <x v="3"/>
    <x v="0"/>
    <s v="3400101"/>
    <n v="721710"/>
    <s v="Supplies-Laboratory - Nonbillable"/>
    <s v="6 Fl Neuro/Trauma ICU"/>
    <x v="0"/>
    <m/>
    <n v="2243.13"/>
    <n v="1813.78"/>
    <n v="1449.65"/>
    <n v="1702.51"/>
    <n v="1678.69"/>
    <n v="1904.81"/>
    <n v="1786.97"/>
    <n v="1902.95"/>
    <n v="1954.56"/>
    <n v="1789.36"/>
    <n v="1696.07"/>
    <n v="1632.31"/>
    <n v="21554.79"/>
    <n v="63.759999999999991"/>
  </r>
  <r>
    <x v="11"/>
    <x v="3"/>
    <x v="0"/>
    <s v="3400101"/>
    <n v="721710"/>
    <s v="Reagents"/>
    <s v="6 Fl Neuro/Trauma ICU"/>
    <x v="0"/>
    <n v="1000"/>
    <n v="41.05"/>
    <n v="2"/>
    <n v="64.31"/>
    <n v="53.37"/>
    <n v="76.34"/>
    <n v="34.68"/>
    <n v="37.36"/>
    <n v="31.27"/>
    <n v="28.07"/>
    <n v="35.96"/>
    <n v="16.41"/>
    <n v="26.67"/>
    <n v="447.49"/>
    <n v="-10.260000000000002"/>
  </r>
  <r>
    <x v="11"/>
    <x v="3"/>
    <x v="0"/>
    <s v="3400101"/>
    <n v="721750"/>
    <s v="Supplies-Film/Radiographic - Nonbillable"/>
    <s v="6 Fl Neuro/Trauma ICU"/>
    <x v="0"/>
    <m/>
    <n v="70.14"/>
    <n v="51.69"/>
    <n v="38.24"/>
    <n v="104.31"/>
    <n v="115.13"/>
    <n v="59.84"/>
    <n v="89.14"/>
    <n v="118.45"/>
    <n v="25"/>
    <n v="9.3699999999999992"/>
    <n v="5.62"/>
    <n v="6.56"/>
    <n v="693.49"/>
    <n v="-0.9399999999999995"/>
  </r>
  <r>
    <x v="11"/>
    <x v="3"/>
    <x v="0"/>
    <s v="3400101"/>
    <n v="721810"/>
    <s v="Supplies-Dietary/Cafeteria"/>
    <s v="6 Fl Neuro/Trauma ICU"/>
    <x v="0"/>
    <m/>
    <n v="2950.53"/>
    <n v="2750.38"/>
    <n v="3609.09"/>
    <n v="2894.74"/>
    <n v="3809.69"/>
    <n v="2994.03"/>
    <n v="3083.8"/>
    <n v="4085.51"/>
    <n v="4502.45"/>
    <n v="5490.3"/>
    <n v="4501.46"/>
    <n v="3771.51"/>
    <n v="44443.49"/>
    <n v="729.94999999999982"/>
  </r>
  <r>
    <x v="11"/>
    <x v="3"/>
    <x v="0"/>
    <s v="3400101"/>
    <n v="721830"/>
    <s v="Supplies-Office"/>
    <s v="6 Fl Neuro/Trauma ICU"/>
    <x v="0"/>
    <m/>
    <n v="860.26"/>
    <n v="1560.84"/>
    <n v="126.58"/>
    <n v="1867.89"/>
    <n v="997.11"/>
    <n v="798.07"/>
    <n v="1459.4"/>
    <n v="914.13"/>
    <n v="46.33"/>
    <n v="1124.19"/>
    <n v="2329.77"/>
    <n v="33.020000000000003"/>
    <n v="12117.59"/>
    <n v="2296.75"/>
  </r>
  <r>
    <x v="11"/>
    <x v="3"/>
    <x v="0"/>
    <s v="3400101"/>
    <n v="721835"/>
    <s v="Supplies-Forms"/>
    <s v="6 Fl Neuro/Trauma ICU"/>
    <x v="0"/>
    <m/>
    <n v="0"/>
    <n v="0"/>
    <n v="0"/>
    <n v="0"/>
    <n v="145.19"/>
    <n v="375.53"/>
    <n v="0"/>
    <n v="0"/>
    <n v="47.62"/>
    <n v="39"/>
    <n v="142.43"/>
    <n v="54.5"/>
    <n v="804.27"/>
    <n v="87.93"/>
  </r>
  <r>
    <x v="11"/>
    <x v="3"/>
    <x v="0"/>
    <s v="3400101"/>
    <n v="721870"/>
    <s v="Supplies-Environmental Services"/>
    <s v="6 Fl Neuro/Trauma ICU"/>
    <x v="0"/>
    <m/>
    <n v="2226.04"/>
    <n v="1282.48"/>
    <n v="937.64"/>
    <n v="1354.4"/>
    <n v="892.61"/>
    <n v="1095.1099999999999"/>
    <n v="1052.1500000000001"/>
    <n v="889.39"/>
    <n v="945.88"/>
    <n v="1232.56"/>
    <n v="804.6"/>
    <n v="1021.92"/>
    <n v="13734.779999999997"/>
    <n v="-217.31999999999994"/>
  </r>
  <r>
    <x v="11"/>
    <x v="3"/>
    <x v="0"/>
    <s v="3400101"/>
    <n v="721880"/>
    <s v="Supplies-Linen"/>
    <s v="6 Fl Neuro/Trauma ICU"/>
    <x v="0"/>
    <m/>
    <n v="481.5"/>
    <n v="330.63"/>
    <n v="333.84"/>
    <n v="372.36"/>
    <n v="417.3"/>
    <n v="138.03"/>
    <n v="446.19"/>
    <n v="404.46"/>
    <n v="420.51"/>
    <n v="276.06"/>
    <n v="333.84"/>
    <n v="423.72"/>
    <n v="4378.4399999999996"/>
    <n v="-89.880000000000052"/>
  </r>
  <r>
    <x v="11"/>
    <x v="3"/>
    <x v="0"/>
    <s v="3400101"/>
    <n v="721910"/>
    <s v="Supplies-Small Equipment"/>
    <s v="6 Fl Neuro/Trauma ICU"/>
    <x v="0"/>
    <m/>
    <n v="45995.39"/>
    <n v="27011.14"/>
    <n v="37057.160000000003"/>
    <n v="34878.39"/>
    <n v="34786.129999999997"/>
    <n v="52269.3"/>
    <n v="48376.67"/>
    <n v="58776.85"/>
    <n v="34515.769999999997"/>
    <n v="23538.02"/>
    <n v="45099.29"/>
    <n v="44753.760000000002"/>
    <n v="487057.87"/>
    <n v="345.52999999999884"/>
  </r>
  <r>
    <x v="11"/>
    <x v="3"/>
    <x v="0"/>
    <s v="3400101"/>
    <n v="721910"/>
    <s v="Instruments"/>
    <s v="6 Fl Neuro/Trauma ICU"/>
    <x v="0"/>
    <n v="1000"/>
    <n v="2398.77"/>
    <n v="856.82"/>
    <n v="51.12"/>
    <n v="2077.88"/>
    <n v="1414.13"/>
    <n v="575.58000000000004"/>
    <n v="480.89"/>
    <n v="4687.3599999999997"/>
    <n v="1737.85"/>
    <n v="1550.95"/>
    <n v="306.57"/>
    <n v="11.44"/>
    <n v="16149.36"/>
    <n v="295.13"/>
  </r>
  <r>
    <x v="11"/>
    <x v="3"/>
    <x v="0"/>
    <s v="3400101"/>
    <n v="721980"/>
    <s v="Supplies-Other"/>
    <s v="6 Fl Neuro/Trauma ICU"/>
    <x v="0"/>
    <m/>
    <n v="1339.31"/>
    <n v="0"/>
    <n v="959.6"/>
    <n v="96.92"/>
    <n v="1376.25"/>
    <n v="1677.85"/>
    <n v="740.58"/>
    <n v="240.9"/>
    <n v="0"/>
    <n v="1425.8"/>
    <n v="0"/>
    <n v="136.78"/>
    <n v="7993.99"/>
    <n v="-136.78"/>
  </r>
  <r>
    <x v="11"/>
    <x v="3"/>
    <x v="0"/>
    <s v="3400101"/>
    <n v="722000"/>
    <s v="Supplies-Freight Expense"/>
    <s v="6 Fl Neuro/Trauma ICU"/>
    <x v="0"/>
    <m/>
    <n v="880.36"/>
    <n v="89.89"/>
    <n v="65.98"/>
    <n v="8.56"/>
    <n v="79.78"/>
    <n v="8"/>
    <n v="56.75"/>
    <n v="174.28"/>
    <n v="505.79"/>
    <n v="72.41"/>
    <n v="109.17"/>
    <n v="452.32"/>
    <n v="2503.29"/>
    <n v="-343.15"/>
  </r>
  <r>
    <x v="12"/>
    <x v="3"/>
    <x v="0"/>
    <s v="3400101"/>
    <n v="730020"/>
    <s v="Rental and Leases-Equipment (DO NOT USE)"/>
    <s v="6 Fl Neuro/Trauma ICU"/>
    <x v="0"/>
    <m/>
    <n v="0"/>
    <n v="0"/>
    <n v="0"/>
    <n v="-16377.19"/>
    <n v="-497.2"/>
    <n v="0"/>
    <n v="0"/>
    <n v="0"/>
    <n v="0"/>
    <n v="0"/>
    <n v="0"/>
    <n v="0"/>
    <n v="-16874.39"/>
    <n v="0"/>
  </r>
  <r>
    <x v="12"/>
    <x v="3"/>
    <x v="0"/>
    <s v="3400101"/>
    <n v="730020"/>
    <s v="Rental and Leases-Copier Usage Fees (DO NOT USE)"/>
    <s v="6 Fl Neuro/Trauma ICU"/>
    <x v="0"/>
    <n v="5100"/>
    <n v="1951.18"/>
    <n v="1986.73"/>
    <n v="1968.95"/>
    <n v="1968.95"/>
    <n v="1968.95"/>
    <n v="1968.95"/>
    <n v="2503.81"/>
    <n v="2067.9899999999998"/>
    <n v="1635.41"/>
    <n v="1991.11"/>
    <n v="1617.51"/>
    <n v="1883.94"/>
    <n v="23513.48"/>
    <n v="-266.43000000000006"/>
  </r>
  <r>
    <x v="15"/>
    <x v="3"/>
    <x v="0"/>
    <s v="3400101"/>
    <n v="731060"/>
    <s v="Cell Phones"/>
    <s v="6 Fl Neuro/Trauma ICU"/>
    <x v="0"/>
    <n v="1001"/>
    <n v="0"/>
    <n v="143.87"/>
    <n v="118.7"/>
    <n v="0"/>
    <n v="85.45"/>
    <n v="89.76"/>
    <n v="174.62"/>
    <n v="0"/>
    <n v="87.7"/>
    <n v="174.71"/>
    <n v="85.44"/>
    <n v="87.47"/>
    <n v="1047.72"/>
    <n v="-2.0300000000000011"/>
  </r>
  <r>
    <x v="15"/>
    <x v="3"/>
    <x v="0"/>
    <s v="3400101"/>
    <n v="731060"/>
    <s v="Pagers"/>
    <s v="6 Fl Neuro/Trauma ICU"/>
    <x v="0"/>
    <n v="1002"/>
    <n v="132.02000000000001"/>
    <n v="132.02000000000001"/>
    <n v="132.02000000000001"/>
    <n v="132.34"/>
    <n v="132.34"/>
    <n v="0"/>
    <n v="277.66000000000003"/>
    <n v="140.46"/>
    <n v="140.46"/>
    <n v="140.46"/>
    <n v="116.1"/>
    <n v="116.1"/>
    <n v="1591.98"/>
    <n v="0"/>
  </r>
  <r>
    <x v="16"/>
    <x v="3"/>
    <x v="0"/>
    <s v="3400101"/>
    <n v="732020"/>
    <s v="Repairs--Clin Equip-Parts-Internal to CHI Programs"/>
    <s v="6 Fl Neuro/Trauma ICU"/>
    <x v="0"/>
    <m/>
    <n v="0"/>
    <n v="0"/>
    <n v="0"/>
    <n v="0"/>
    <n v="0"/>
    <n v="0"/>
    <n v="0"/>
    <n v="0"/>
    <n v="0"/>
    <n v="663.08"/>
    <n v="0"/>
    <n v="120.59"/>
    <n v="783.67000000000007"/>
    <n v="-120.59"/>
  </r>
  <r>
    <x v="16"/>
    <x v="3"/>
    <x v="0"/>
    <s v="3400101"/>
    <n v="732030"/>
    <s v="Repairs---Other"/>
    <s v="6 Fl Neuro/Trauma ICU"/>
    <x v="0"/>
    <m/>
    <n v="0"/>
    <n v="0"/>
    <n v="0"/>
    <n v="0"/>
    <n v="0"/>
    <n v="0"/>
    <n v="0"/>
    <n v="-1.1000000000000001"/>
    <n v="0"/>
    <n v="-1.1000000000000001"/>
    <n v="0"/>
    <n v="0"/>
    <n v="-2.2000000000000002"/>
    <n v="0"/>
  </r>
  <r>
    <x v="13"/>
    <x v="3"/>
    <x v="0"/>
    <s v="3400101"/>
    <n v="735060"/>
    <s v="Depreciation-Fixed Equipment"/>
    <s v="6 Fl Neuro/Trauma ICU"/>
    <x v="0"/>
    <m/>
    <n v="842.09"/>
    <n v="842.09"/>
    <n v="842.09"/>
    <n v="842.09"/>
    <n v="842.09"/>
    <n v="842.09"/>
    <n v="842.09"/>
    <n v="842.09"/>
    <n v="842.09"/>
    <n v="842.09"/>
    <n v="842.09"/>
    <n v="842.08"/>
    <n v="10105.07"/>
    <n v="9.9999999999909051E-3"/>
  </r>
  <r>
    <x v="13"/>
    <x v="3"/>
    <x v="0"/>
    <s v="3400101"/>
    <n v="735070"/>
    <s v="Depreciation-Movable Equipment"/>
    <s v="6 Fl Neuro/Trauma ICU"/>
    <x v="0"/>
    <m/>
    <n v="24780.76"/>
    <n v="24822.51"/>
    <n v="22855.21"/>
    <n v="22855.16"/>
    <n v="22855.21"/>
    <n v="21129.69"/>
    <n v="21129.8"/>
    <n v="21129.65"/>
    <n v="21129.82"/>
    <n v="21129.64"/>
    <n v="21129.83"/>
    <n v="21129.63"/>
    <n v="266076.91000000003"/>
    <n v="0.2000000000007276"/>
  </r>
  <r>
    <x v="0"/>
    <x v="3"/>
    <x v="0"/>
    <s v="3400101"/>
    <n v="740010"/>
    <s v="Education-Materials"/>
    <s v="6 Fl Neuro/Trauma ICU"/>
    <x v="0"/>
    <m/>
    <n v="0"/>
    <n v="0"/>
    <n v="0"/>
    <n v="0"/>
    <n v="0"/>
    <n v="0"/>
    <n v="0"/>
    <n v="0"/>
    <n v="16.149999999999999"/>
    <n v="0"/>
    <n v="66.11"/>
    <n v="0"/>
    <n v="82.259999999999991"/>
    <n v="66.11"/>
  </r>
  <r>
    <x v="0"/>
    <x v="3"/>
    <x v="0"/>
    <s v="3400101"/>
    <n v="740020"/>
    <s v="Education-Registration Fees"/>
    <s v="6 Fl Neuro/Trauma ICU"/>
    <x v="0"/>
    <m/>
    <n v="848"/>
    <n v="1910"/>
    <n v="450"/>
    <n v="2616"/>
    <n v="1538"/>
    <n v="725"/>
    <n v="2858.5"/>
    <n v="1300"/>
    <n v="3414.99"/>
    <n v="1526"/>
    <n v="535"/>
    <n v="1158"/>
    <n v="18879.489999999998"/>
    <n v="-623"/>
  </r>
  <r>
    <x v="0"/>
    <x v="3"/>
    <x v="0"/>
    <s v="3400101"/>
    <n v="743030"/>
    <s v="Subscriptions--Institutional"/>
    <s v="6 Fl Neuro/Trauma ICU"/>
    <x v="0"/>
    <m/>
    <n v="0"/>
    <n v="0"/>
    <n v="0"/>
    <n v="0"/>
    <n v="0"/>
    <n v="0"/>
    <n v="137.97999999999999"/>
    <n v="0"/>
    <n v="0"/>
    <n v="0"/>
    <n v="0"/>
    <n v="0"/>
    <n v="137.97999999999999"/>
    <n v="0"/>
  </r>
  <r>
    <x v="0"/>
    <x v="3"/>
    <x v="0"/>
    <s v="3400101"/>
    <n v="749510"/>
    <s v="Miscellaneous Expenses"/>
    <s v="6 Fl Neuro/Trauma ICU"/>
    <x v="0"/>
    <m/>
    <n v="-756.93"/>
    <n v="-697.91"/>
    <n v="0"/>
    <n v="6811.6"/>
    <n v="1159.49"/>
    <n v="47.33"/>
    <n v="349.2"/>
    <n v="392.01"/>
    <n v="0"/>
    <n v="2607.13"/>
    <n v="-110.67"/>
    <n v="1763.84"/>
    <n v="11565.09"/>
    <n v="-1874.51"/>
  </r>
  <r>
    <x v="0"/>
    <x v="3"/>
    <x v="0"/>
    <s v="3400101"/>
    <n v="749510"/>
    <s v="RICE Rewards"/>
    <s v="6 Fl Neuro/Trauma ICU"/>
    <x v="0"/>
    <n v="5100"/>
    <n v="0"/>
    <n v="0"/>
    <n v="0"/>
    <n v="0"/>
    <n v="0"/>
    <n v="60"/>
    <n v="0"/>
    <n v="117.8"/>
    <n v="0"/>
    <n v="900.3"/>
    <n v="1397.3"/>
    <n v="2691.44"/>
    <n v="5166.84"/>
    <n v="-1294.1400000000001"/>
  </r>
  <r>
    <x v="0"/>
    <x v="3"/>
    <x v="0"/>
    <s v="3400101"/>
    <n v="749530"/>
    <s v="Travel"/>
    <s v="6 Fl Neuro/Trauma ICU"/>
    <x v="0"/>
    <m/>
    <n v="2690.46"/>
    <n v="0"/>
    <n v="1490.16"/>
    <n v="0"/>
    <n v="0"/>
    <n v="0"/>
    <n v="282.89999999999998"/>
    <n v="233.95"/>
    <n v="306.42"/>
    <n v="0"/>
    <n v="0"/>
    <n v="0"/>
    <n v="5003.8899999999994"/>
    <n v="0"/>
  </r>
  <r>
    <x v="18"/>
    <x v="0"/>
    <x v="0"/>
    <s v="3400102"/>
    <n v="400010"/>
    <s v="Acute I/P Svcs Rev--Medicare"/>
    <s v="Critical Care"/>
    <x v="0"/>
    <n v="1100"/>
    <n v="-818499.2"/>
    <n v="-903669.18"/>
    <n v="-1036134.23"/>
    <n v="-1503328.37"/>
    <n v="-1132027.95"/>
    <n v="-1135554.27"/>
    <n v="-1279585.47"/>
    <n v="-1161821.29"/>
    <n v="-1498979.59"/>
    <n v="-1449786.87"/>
    <n v="-689853.76"/>
    <n v="-1162131.5"/>
    <n v="-13771371.680000002"/>
    <n v="472277.74"/>
  </r>
  <r>
    <x v="18"/>
    <x v="0"/>
    <x v="0"/>
    <s v="3400102"/>
    <n v="400010"/>
    <s v="Acute I/P Svcs Rev--Medicaid"/>
    <s v="Critical Care"/>
    <x v="0"/>
    <n v="1200"/>
    <n v="-515386.67"/>
    <n v="-762864.28"/>
    <n v="-497054.45"/>
    <n v="-507723.61"/>
    <n v="-272921.5"/>
    <n v="-569580.96"/>
    <n v="-562483.37"/>
    <n v="-479372.64"/>
    <n v="-370674.72"/>
    <n v="-462393.79"/>
    <n v="-896966.16"/>
    <n v="-564276.77"/>
    <n v="-6461698.9199999999"/>
    <n v="-332689.39"/>
  </r>
  <r>
    <x v="18"/>
    <x v="0"/>
    <x v="0"/>
    <s v="3400102"/>
    <n v="400010"/>
    <s v="Acute I/P Svcs Rev--Comm Insurance"/>
    <s v="Critical Care"/>
    <x v="0"/>
    <n v="1300"/>
    <n v="-4287.9399999999996"/>
    <n v="0"/>
    <n v="-199.11"/>
    <n v="-38290.28"/>
    <n v="-56001.53"/>
    <n v="74698.820000000007"/>
    <n v="6682.99"/>
    <n v="-59727.18"/>
    <n v="-41873.68"/>
    <n v="-50986.98"/>
    <n v="-36543.58"/>
    <n v="17093.25"/>
    <n v="-189435.22000000003"/>
    <n v="-53636.83"/>
  </r>
  <r>
    <x v="18"/>
    <x v="0"/>
    <x v="0"/>
    <s v="3400102"/>
    <n v="400010"/>
    <s v="Acute I/P Svcs Rev--BCBS Comm"/>
    <s v="Critical Care"/>
    <x v="0"/>
    <n v="1301"/>
    <n v="-63069.41"/>
    <n v="-35386.910000000003"/>
    <n v="-149546.45000000001"/>
    <n v="-14535.1"/>
    <n v="-78185.14"/>
    <n v="-112598.72"/>
    <n v="-139300.31"/>
    <n v="-69124.53"/>
    <n v="-94322.6"/>
    <n v="-73650.67"/>
    <n v="-111567.47"/>
    <n v="-200385.91"/>
    <n v="-1141673.22"/>
    <n v="88818.44"/>
  </r>
  <r>
    <x v="18"/>
    <x v="0"/>
    <x v="0"/>
    <s v="3400102"/>
    <n v="400010"/>
    <s v="Acute I/P Svcs Rev--Managed Care"/>
    <s v="Critical Care"/>
    <x v="0"/>
    <n v="1400"/>
    <n v="-442124.64"/>
    <n v="-337750.91"/>
    <n v="-221227.86"/>
    <n v="-226340.53"/>
    <n v="-545389.49"/>
    <n v="-254246.33"/>
    <n v="-219379.74"/>
    <n v="-212312.31"/>
    <n v="-291303.89"/>
    <n v="-115607.49"/>
    <n v="-237485.79"/>
    <n v="-111323.8"/>
    <n v="-3214492.7800000003"/>
    <n v="-126161.99"/>
  </r>
  <r>
    <x v="18"/>
    <x v="0"/>
    <x v="0"/>
    <s v="3400102"/>
    <n v="400010"/>
    <s v="Acute I/P Svcs Rev--Self Pay"/>
    <s v="Critical Care"/>
    <x v="0"/>
    <n v="1500"/>
    <n v="-138893.5"/>
    <n v="-88824.07"/>
    <n v="-61261.87"/>
    <n v="118048.51"/>
    <n v="-53226.14"/>
    <n v="9995.82"/>
    <n v="-50522.75"/>
    <n v="-20591.48"/>
    <n v="-54764.93"/>
    <n v="-117464.9"/>
    <n v="-131133.74"/>
    <n v="70234.33"/>
    <n v="-518404.71999999991"/>
    <n v="-201368.07"/>
  </r>
  <r>
    <x v="18"/>
    <x v="0"/>
    <x v="0"/>
    <s v="3400102"/>
    <n v="400010"/>
    <s v="Acute I/P Svcs Rev--Other"/>
    <s v="Critical Care"/>
    <x v="0"/>
    <n v="1700"/>
    <n v="-12459.6"/>
    <n v="-6682.99"/>
    <n v="-18222.05"/>
    <n v="-22484.09"/>
    <n v="-30036.93"/>
    <n v="-92928.19"/>
    <n v="-39200.26"/>
    <n v="-53210.82"/>
    <n v="-24062.87"/>
    <n v="13692.2"/>
    <n v="-10993"/>
    <n v="-41737.379999999997"/>
    <n v="-338325.98"/>
    <n v="30744.379999999997"/>
  </r>
  <r>
    <x v="19"/>
    <x v="0"/>
    <x v="0"/>
    <s v="3400102"/>
    <n v="400020"/>
    <s v="O/P Care Svcs Rev--Medicare"/>
    <s v="Critical Care"/>
    <x v="0"/>
    <n v="1100"/>
    <n v="440.32"/>
    <n v="-203.07"/>
    <n v="-4599.8500000000004"/>
    <n v="-7303.97"/>
    <n v="0"/>
    <n v="-6295.48"/>
    <n v="-1801.66"/>
    <n v="0"/>
    <n v="-4561.9399999999996"/>
    <n v="-825.94"/>
    <n v="0"/>
    <n v="-3201.71"/>
    <n v="-28353.299999999996"/>
    <n v="3201.71"/>
  </r>
  <r>
    <x v="19"/>
    <x v="0"/>
    <x v="0"/>
    <s v="3400102"/>
    <n v="400020"/>
    <s v="O/P Care Svcs Rev--Medicaid"/>
    <s v="Critical Care"/>
    <x v="0"/>
    <n v="1200"/>
    <n v="0"/>
    <n v="0"/>
    <n v="0"/>
    <n v="-5886.43"/>
    <n v="0"/>
    <n v="-10744.76"/>
    <n v="3116.71"/>
    <n v="-4397.5"/>
    <n v="0"/>
    <n v="0"/>
    <n v="0"/>
    <n v="0"/>
    <n v="-17911.980000000003"/>
    <n v="0"/>
  </r>
  <r>
    <x v="19"/>
    <x v="0"/>
    <x v="0"/>
    <s v="3400102"/>
    <n v="400020"/>
    <s v="O/P Care Svcs Rev--BCBS Comm"/>
    <s v="Critical Care"/>
    <x v="0"/>
    <n v="1301"/>
    <n v="-1786.68"/>
    <n v="-5060.51"/>
    <n v="0"/>
    <n v="0"/>
    <n v="0"/>
    <n v="0"/>
    <n v="0"/>
    <n v="0"/>
    <n v="0"/>
    <n v="0"/>
    <n v="0"/>
    <n v="0"/>
    <n v="-6847.1900000000005"/>
    <n v="0"/>
  </r>
  <r>
    <x v="19"/>
    <x v="0"/>
    <x v="0"/>
    <s v="3400102"/>
    <n v="400020"/>
    <s v="O/P Care Svcs Rev--Managed Care"/>
    <s v="Critical Care"/>
    <x v="0"/>
    <n v="1400"/>
    <n v="0"/>
    <n v="-2680.02"/>
    <n v="0"/>
    <n v="-12240.84"/>
    <n v="-213.89"/>
    <n v="0"/>
    <n v="0"/>
    <n v="0"/>
    <n v="0"/>
    <n v="0"/>
    <n v="0"/>
    <n v="-1900.62"/>
    <n v="-17035.37"/>
    <n v="1900.62"/>
  </r>
  <r>
    <x v="19"/>
    <x v="0"/>
    <x v="0"/>
    <s v="3400102"/>
    <n v="400020"/>
    <s v="O/P Care Svcs Rev--Self Pay"/>
    <s v="Critical Care"/>
    <x v="0"/>
    <n v="1500"/>
    <n v="0"/>
    <n v="0"/>
    <n v="0"/>
    <n v="-1497.19"/>
    <n v="0"/>
    <n v="0"/>
    <n v="0"/>
    <n v="-920.08"/>
    <n v="-6912.54"/>
    <n v="0"/>
    <n v="0"/>
    <n v="0"/>
    <n v="-9329.81"/>
    <n v="0"/>
  </r>
  <r>
    <x v="19"/>
    <x v="0"/>
    <x v="0"/>
    <s v="3400102"/>
    <n v="400020"/>
    <s v="O/P Care Svcs Rev--Other"/>
    <s v="Critical Care"/>
    <x v="0"/>
    <n v="1700"/>
    <n v="0"/>
    <n v="0"/>
    <n v="0"/>
    <n v="-5838.52"/>
    <n v="0"/>
    <n v="0"/>
    <n v="0"/>
    <n v="0"/>
    <n v="0"/>
    <n v="0"/>
    <n v="-1088.6400000000001"/>
    <n v="0"/>
    <n v="-6927.1600000000008"/>
    <n v="-1088.6400000000001"/>
  </r>
  <r>
    <x v="5"/>
    <x v="0"/>
    <x v="0"/>
    <s v="3400102"/>
    <n v="700014"/>
    <s v="Salaries-Management-Productive"/>
    <s v="Critical Care"/>
    <x v="0"/>
    <m/>
    <n v="2278.4"/>
    <n v="11066.18"/>
    <n v="9764.77"/>
    <n v="8707.2800000000007"/>
    <n v="9050.52"/>
    <n v="7159.71"/>
    <n v="9470.17"/>
    <n v="8827.2999999999993"/>
    <n v="10653.66"/>
    <n v="9334.36"/>
    <n v="9909.61"/>
    <n v="9098.0400000000009"/>
    <n v="105320"/>
    <n v="811.56999999999971"/>
  </r>
  <r>
    <x v="5"/>
    <x v="0"/>
    <x v="0"/>
    <s v="3400102"/>
    <n v="700026"/>
    <s v="Salaries-RN-Productive"/>
    <s v="Critical Care"/>
    <x v="0"/>
    <m/>
    <n v="233836.09"/>
    <n v="230097.72"/>
    <n v="249246.95"/>
    <n v="249000.95999999999"/>
    <n v="228120.12"/>
    <n v="264068.3"/>
    <n v="272241.84000000003"/>
    <n v="222042.44"/>
    <n v="255156.18"/>
    <n v="244732.96"/>
    <n v="226731.3"/>
    <n v="242588.63"/>
    <n v="2917863.4899999998"/>
    <n v="-15857.330000000016"/>
  </r>
  <r>
    <x v="5"/>
    <x v="0"/>
    <x v="0"/>
    <s v="3400102"/>
    <n v="700026"/>
    <s v="Salaries-RN-OT"/>
    <s v="Critical Care"/>
    <x v="0"/>
    <n v="1000"/>
    <n v="10250.49"/>
    <n v="9363.93"/>
    <n v="9944.39"/>
    <n v="21086.74"/>
    <n v="4639.91"/>
    <n v="7638.35"/>
    <n v="11242.14"/>
    <n v="7353.04"/>
    <n v="14781.22"/>
    <n v="5356.28"/>
    <n v="10028.959999999999"/>
    <n v="5224.57"/>
    <n v="116910.02000000002"/>
    <n v="4804.3899999999994"/>
  </r>
  <r>
    <x v="5"/>
    <x v="0"/>
    <x v="0"/>
    <s v="3400102"/>
    <n v="700026"/>
    <s v="Salaries-RN-Other"/>
    <s v="Critical Care"/>
    <x v="0"/>
    <n v="2000"/>
    <n v="25129.3"/>
    <n v="25040.07"/>
    <n v="26635.22"/>
    <n v="26251.200000000001"/>
    <n v="26852.86"/>
    <n v="26254.93"/>
    <n v="26649.200000000001"/>
    <n v="22840.77"/>
    <n v="25968.66"/>
    <n v="24339.02"/>
    <n v="24725.5"/>
    <n v="25383.11"/>
    <n v="306069.83999999997"/>
    <n v="-657.61000000000058"/>
  </r>
  <r>
    <x v="5"/>
    <x v="0"/>
    <x v="0"/>
    <s v="3400102"/>
    <n v="700030"/>
    <s v="Salaries-LPN-Productive"/>
    <s v="Critical Care"/>
    <x v="0"/>
    <m/>
    <n v="0"/>
    <n v="0"/>
    <n v="0"/>
    <n v="0"/>
    <n v="0"/>
    <n v="0"/>
    <n v="0"/>
    <n v="0"/>
    <n v="232.26"/>
    <n v="0"/>
    <n v="0"/>
    <n v="0"/>
    <n v="232.26"/>
    <n v="0"/>
  </r>
  <r>
    <x v="5"/>
    <x v="0"/>
    <x v="0"/>
    <s v="3400102"/>
    <n v="700032"/>
    <s v="Salaries-Other Pat Care Providers-Productive"/>
    <s v="Critical Care"/>
    <x v="0"/>
    <m/>
    <n v="18271.07"/>
    <n v="15692.63"/>
    <n v="21113.38"/>
    <n v="21236.63"/>
    <n v="16377.93"/>
    <n v="16598.38"/>
    <n v="25131.55"/>
    <n v="18863.310000000001"/>
    <n v="23393.119999999999"/>
    <n v="25500.35"/>
    <n v="21336.53"/>
    <n v="18861.38"/>
    <n v="242376.26"/>
    <n v="2475.1499999999978"/>
  </r>
  <r>
    <x v="5"/>
    <x v="0"/>
    <x v="0"/>
    <s v="3400102"/>
    <n v="700032"/>
    <s v="Salaries-Other Pat Care Providers-OT"/>
    <s v="Critical Care"/>
    <x v="0"/>
    <n v="1000"/>
    <n v="865"/>
    <n v="840.98"/>
    <n v="1790.25"/>
    <n v="248.62"/>
    <n v="-186.65"/>
    <n v="303.05"/>
    <n v="491.84"/>
    <n v="-29.07"/>
    <n v="37.26"/>
    <n v="1829.22"/>
    <n v="-82.6"/>
    <n v="120.8"/>
    <n v="6228.7000000000007"/>
    <n v="-203.39999999999998"/>
  </r>
  <r>
    <x v="5"/>
    <x v="0"/>
    <x v="0"/>
    <s v="3400102"/>
    <n v="700032"/>
    <s v="Salaries-Other Pat Care Providers-Other"/>
    <s v="Critical Care"/>
    <x v="0"/>
    <n v="2000"/>
    <n v="1951.26"/>
    <n v="1435.84"/>
    <n v="1699.64"/>
    <n v="1559.96"/>
    <n v="1814.42"/>
    <n v="1116.19"/>
    <n v="1846.32"/>
    <n v="1396.03"/>
    <n v="1625.13"/>
    <n v="2309"/>
    <n v="1625.49"/>
    <n v="1450.91"/>
    <n v="19830.190000000002"/>
    <n v="174.57999999999993"/>
  </r>
  <r>
    <x v="5"/>
    <x v="0"/>
    <x v="0"/>
    <s v="3400102"/>
    <n v="700054"/>
    <s v="Salaries-Management-Non-productive"/>
    <s v="Critical Care"/>
    <x v="0"/>
    <m/>
    <n v="2766.43"/>
    <n v="-488.03"/>
    <n v="0"/>
    <n v="1688.55"/>
    <n v="1080.6300000000001"/>
    <n v="3309.51"/>
    <n v="1015.39"/>
    <n v="642.57000000000005"/>
    <n v="-169.07"/>
    <n v="811.66"/>
    <n v="574.97"/>
    <n v="1048.46"/>
    <n v="12281.07"/>
    <n v="-473.49"/>
  </r>
  <r>
    <x v="5"/>
    <x v="0"/>
    <x v="0"/>
    <s v="3400102"/>
    <n v="700054"/>
    <s v="Salaries-Management-NonProd-Other"/>
    <s v="Critical Care"/>
    <x v="0"/>
    <n v="2000"/>
    <n v="0"/>
    <n v="0"/>
    <n v="0"/>
    <n v="0"/>
    <n v="0"/>
    <n v="784.89"/>
    <n v="-784.89"/>
    <n v="0"/>
    <n v="0"/>
    <n v="0"/>
    <n v="0"/>
    <n v="0"/>
    <n v="0"/>
    <n v="0"/>
  </r>
  <r>
    <x v="5"/>
    <x v="0"/>
    <x v="0"/>
    <s v="3400102"/>
    <n v="700066"/>
    <s v="Salaries-RN-Non-productive"/>
    <s v="Critical Care"/>
    <x v="0"/>
    <m/>
    <n v="55827.43"/>
    <n v="48967.62"/>
    <n v="44998.09"/>
    <n v="32621.66"/>
    <n v="44253.59"/>
    <n v="46728.14"/>
    <n v="42556.34"/>
    <n v="36388.699999999997"/>
    <n v="30115.27"/>
    <n v="35864.720000000001"/>
    <n v="25127.59"/>
    <n v="30337.52"/>
    <n v="473786.6700000001"/>
    <n v="-5209.93"/>
  </r>
  <r>
    <x v="5"/>
    <x v="0"/>
    <x v="0"/>
    <s v="3400102"/>
    <n v="700066"/>
    <s v="Salaries-RN-NonProd-Other"/>
    <s v="Critical Care"/>
    <x v="0"/>
    <n v="2000"/>
    <n v="3474.54"/>
    <n v="3155.87"/>
    <n v="2647.34"/>
    <n v="2199.64"/>
    <n v="5737.26"/>
    <n v="7499.02"/>
    <n v="2848.29"/>
    <n v="-4274.49"/>
    <n v="2202.5"/>
    <n v="2094.19"/>
    <n v="2506.52"/>
    <n v="2578.86"/>
    <n v="32669.54"/>
    <n v="-72.340000000000146"/>
  </r>
  <r>
    <x v="5"/>
    <x v="0"/>
    <x v="0"/>
    <s v="3400102"/>
    <n v="700072"/>
    <s v="Salaries-Other Pat Care Providers-Non-productive"/>
    <s v="Critical Care"/>
    <x v="0"/>
    <m/>
    <n v="2831.47"/>
    <n v="3880.87"/>
    <n v="177.48"/>
    <n v="3233.63"/>
    <n v="5162.7700000000004"/>
    <n v="316.93"/>
    <n v="1892.5"/>
    <n v="1588.5"/>
    <n v="262.39999999999998"/>
    <n v="2448.4299999999998"/>
    <n v="1902.01"/>
    <n v="3732.92"/>
    <n v="27429.910000000003"/>
    <n v="-1830.91"/>
  </r>
  <r>
    <x v="5"/>
    <x v="0"/>
    <x v="0"/>
    <s v="3400102"/>
    <n v="700072"/>
    <s v="Salaries-Other Pat Care Providers-NonProd-Other"/>
    <s v="Critical Care"/>
    <x v="0"/>
    <n v="2000"/>
    <n v="108.72"/>
    <n v="363.85"/>
    <n v="1.76"/>
    <n v="176.56"/>
    <n v="816.81"/>
    <n v="1736.68"/>
    <n v="97.82"/>
    <n v="-2077.77"/>
    <n v="24.01"/>
    <n v="0"/>
    <n v="51.68"/>
    <n v="264.97000000000003"/>
    <n v="1565.0900000000004"/>
    <n v="-213.29000000000002"/>
  </r>
  <r>
    <x v="5"/>
    <x v="0"/>
    <x v="0"/>
    <s v="3400102"/>
    <n v="700084"/>
    <s v="Accrued PTO"/>
    <s v="Critical Care"/>
    <x v="0"/>
    <m/>
    <n v="-4951.71"/>
    <n v="-1169.3900000000001"/>
    <n v="841.76"/>
    <n v="6016.78"/>
    <n v="9715.66"/>
    <n v="2150.14"/>
    <n v="728.76"/>
    <n v="10946.07"/>
    <n v="30451.33"/>
    <n v="13610.04"/>
    <n v="-3036.26"/>
    <n v="13075.74"/>
    <n v="78378.92"/>
    <n v="-16112"/>
  </r>
  <r>
    <x v="10"/>
    <x v="0"/>
    <x v="0"/>
    <s v="3400102"/>
    <n v="710060"/>
    <s v="Contract Labor-Other"/>
    <s v="Critical Care"/>
    <x v="0"/>
    <m/>
    <n v="0"/>
    <n v="0"/>
    <n v="0"/>
    <n v="623.44000000000005"/>
    <n v="0"/>
    <n v="0"/>
    <n v="0"/>
    <n v="0"/>
    <n v="0"/>
    <n v="0"/>
    <n v="6514.25"/>
    <n v="12868.75"/>
    <n v="20006.440000000002"/>
    <n v="-6354.5"/>
  </r>
  <r>
    <x v="10"/>
    <x v="0"/>
    <x v="0"/>
    <s v="3400102"/>
    <n v="710060"/>
    <s v="Contract Labor-Overtime"/>
    <s v="Critical Care"/>
    <x v="0"/>
    <n v="5100"/>
    <n v="0"/>
    <n v="0"/>
    <n v="0"/>
    <n v="0"/>
    <n v="0"/>
    <n v="0"/>
    <n v="0"/>
    <n v="0"/>
    <n v="0"/>
    <n v="0"/>
    <n v="0"/>
    <n v="958.5"/>
    <n v="958.5"/>
    <n v="-958.5"/>
  </r>
  <r>
    <x v="6"/>
    <x v="0"/>
    <x v="0"/>
    <s v="3400102"/>
    <n v="713010"/>
    <s v="Benefits-FICA/Medicare"/>
    <s v="Critical Care"/>
    <x v="0"/>
    <m/>
    <n v="26452.81"/>
    <n v="25809.9"/>
    <n v="26544.29"/>
    <n v="26286.25"/>
    <n v="25475.55"/>
    <n v="27864.97"/>
    <n v="29580.25"/>
    <n v="24070.63"/>
    <n v="27034.240000000002"/>
    <n v="26509.02"/>
    <n v="24109.1"/>
    <n v="27065.62"/>
    <n v="316802.63"/>
    <n v="-2956.5200000000004"/>
  </r>
  <r>
    <x v="6"/>
    <x v="0"/>
    <x v="0"/>
    <s v="3400102"/>
    <n v="713090"/>
    <s v="Benefits-Allocated Amounts"/>
    <s v="Critical Care"/>
    <x v="0"/>
    <m/>
    <n v="64761.35"/>
    <n v="55429.5"/>
    <n v="63359.19"/>
    <n v="61217.279999999999"/>
    <n v="58345.42"/>
    <n v="61577.25"/>
    <n v="69955.350000000006"/>
    <n v="60317.86"/>
    <n v="63053.47"/>
    <n v="66401.539999999994"/>
    <n v="57335.64"/>
    <n v="62722.62"/>
    <n v="744476.47"/>
    <n v="-5386.9800000000032"/>
  </r>
  <r>
    <x v="6"/>
    <x v="0"/>
    <x v="0"/>
    <s v="3400102"/>
    <n v="713096"/>
    <s v="Employee Recognition"/>
    <s v="Critical Care"/>
    <x v="0"/>
    <n v="1017"/>
    <n v="0"/>
    <n v="457.48"/>
    <n v="172.98"/>
    <n v="0"/>
    <n v="444.57"/>
    <n v="749.58"/>
    <n v="0"/>
    <n v="0"/>
    <n v="0"/>
    <n v="0"/>
    <n v="0"/>
    <n v="329"/>
    <n v="2153.61"/>
    <n v="-329"/>
  </r>
  <r>
    <x v="17"/>
    <x v="0"/>
    <x v="0"/>
    <s v="3400102"/>
    <n v="714520"/>
    <s v="Other Contracted Professionals"/>
    <s v="Critical Care"/>
    <x v="0"/>
    <m/>
    <n v="107192.72"/>
    <n v="112991.15"/>
    <n v="108668.54"/>
    <n v="107647.58"/>
    <n v="113365.53"/>
    <n v="108457.57"/>
    <n v="112747.02"/>
    <n v="112701.27"/>
    <n v="102149.39"/>
    <n v="112152.78"/>
    <n v="109185.81"/>
    <n v="141510.98000000001"/>
    <n v="1348770.34"/>
    <n v="-32325.170000000013"/>
  </r>
  <r>
    <x v="17"/>
    <x v="0"/>
    <x v="0"/>
    <s v="3400102"/>
    <n v="714530"/>
    <s v="Medical Prof Fees-Intracompany"/>
    <s v="Critical Care"/>
    <x v="0"/>
    <m/>
    <n v="6632.24"/>
    <n v="6751.22"/>
    <n v="7048.62"/>
    <n v="5974.62"/>
    <n v="5726.13"/>
    <n v="6631.45"/>
    <n v="3532.73"/>
    <n v="6991.4"/>
    <n v="5549.18"/>
    <n v="7861.4"/>
    <n v="6332.45"/>
    <n v="8908.9599999999991"/>
    <n v="77940.399999999994"/>
    <n v="-2576.5099999999993"/>
  </r>
  <r>
    <x v="7"/>
    <x v="0"/>
    <x v="0"/>
    <s v="3400102"/>
    <n v="718050"/>
    <s v="Contract Svcs-Other"/>
    <s v="Critical Care"/>
    <x v="0"/>
    <m/>
    <n v="2451.64"/>
    <n v="1939.55"/>
    <n v="0"/>
    <n v="0"/>
    <n v="0"/>
    <n v="504.16"/>
    <n v="508.75"/>
    <n v="0"/>
    <n v="536.25"/>
    <n v="774.4"/>
    <n v="0"/>
    <n v="0"/>
    <n v="6714.7499999999991"/>
    <n v="0"/>
  </r>
  <r>
    <x v="7"/>
    <x v="0"/>
    <x v="0"/>
    <s v="3400102"/>
    <n v="718050"/>
    <s v="Miscellaneous Purchased Svcs"/>
    <s v="Critical Care"/>
    <x v="0"/>
    <n v="1020"/>
    <n v="147"/>
    <n v="0"/>
    <n v="633.6"/>
    <n v="0"/>
    <n v="0"/>
    <n v="2054.11"/>
    <n v="0"/>
    <n v="0"/>
    <n v="0"/>
    <n v="0"/>
    <n v="0"/>
    <n v="0"/>
    <n v="2834.71"/>
    <n v="0"/>
  </r>
  <r>
    <x v="7"/>
    <x v="0"/>
    <x v="0"/>
    <s v="3400102"/>
    <n v="718050"/>
    <s v="Translation Services"/>
    <s v="Critical Care"/>
    <x v="0"/>
    <n v="1025"/>
    <n v="0"/>
    <n v="297.11"/>
    <n v="134.69999999999999"/>
    <n v="9.7200000000000006"/>
    <n v="0"/>
    <n v="32"/>
    <n v="48"/>
    <n v="42.43"/>
    <n v="0"/>
    <n v="3.24"/>
    <n v="32"/>
    <n v="226"/>
    <n v="825.19999999999993"/>
    <n v="-194"/>
  </r>
  <r>
    <x v="7"/>
    <x v="0"/>
    <x v="0"/>
    <s v="3400102"/>
    <n v="718070"/>
    <s v="Contract Srvcs-CHI Clinical Engineering"/>
    <s v="Critical Care"/>
    <x v="0"/>
    <m/>
    <n v="45.83"/>
    <n v="45.83"/>
    <n v="45.83"/>
    <n v="45.83"/>
    <n v="45.83"/>
    <n v="45.83"/>
    <n v="45.83"/>
    <n v="45.83"/>
    <n v="45.83"/>
    <n v="45.83"/>
    <n v="45.83"/>
    <n v="45.83"/>
    <n v="549.95999999999992"/>
    <n v="0"/>
  </r>
  <r>
    <x v="11"/>
    <x v="0"/>
    <x v="0"/>
    <s v="3400102"/>
    <n v="721010"/>
    <s v="Supplies-Medical - Billable"/>
    <s v="Critical Care"/>
    <x v="0"/>
    <m/>
    <n v="8342.94"/>
    <n v="10197.74"/>
    <n v="7074.02"/>
    <n v="9660.1"/>
    <n v="10229.799999999999"/>
    <n v="10047.459999999999"/>
    <n v="9328.65"/>
    <n v="7111.52"/>
    <n v="8404.08"/>
    <n v="12275.88"/>
    <n v="10860.09"/>
    <n v="7257.67"/>
    <n v="110789.95000000001"/>
    <n v="3602.42"/>
  </r>
  <r>
    <x v="11"/>
    <x v="0"/>
    <x v="0"/>
    <s v="3400102"/>
    <n v="721010"/>
    <s v="Patient Monitoring"/>
    <s v="Critical Care"/>
    <x v="0"/>
    <n v="1000"/>
    <n v="2107.66"/>
    <n v="1773.9"/>
    <n v="1166.3800000000001"/>
    <n v="1438.8"/>
    <n v="1802.85"/>
    <n v="1323.47"/>
    <n v="1909.58"/>
    <n v="1847.33"/>
    <n v="1885.19"/>
    <n v="2326.92"/>
    <n v="1392.26"/>
    <n v="1364.41"/>
    <n v="20338.75"/>
    <n v="27.849999999999909"/>
  </r>
  <r>
    <x v="11"/>
    <x v="0"/>
    <x v="0"/>
    <s v="3400102"/>
    <n v="721020"/>
    <s v="Supplies-Surgical - Billable"/>
    <s v="Critical Care"/>
    <x v="0"/>
    <m/>
    <n v="1076.08"/>
    <n v="1814.2"/>
    <n v="2481.87"/>
    <n v="1729.25"/>
    <n v="1455.73"/>
    <n v="1886.92"/>
    <n v="1195.4000000000001"/>
    <n v="1362.07"/>
    <n v="733.35"/>
    <n v="1210.02"/>
    <n v="1902.86"/>
    <n v="2665.23"/>
    <n v="19512.98"/>
    <n v="-762.37000000000012"/>
  </r>
  <r>
    <x v="11"/>
    <x v="0"/>
    <x v="0"/>
    <s v="3400102"/>
    <n v="721020"/>
    <s v="Custom Packs"/>
    <s v="Critical Care"/>
    <x v="0"/>
    <n v="1000"/>
    <n v="6.29"/>
    <n v="344.24"/>
    <n v="840.41"/>
    <n v="781.16"/>
    <n v="675.24"/>
    <n v="817.67"/>
    <n v="794.4"/>
    <n v="754.68"/>
    <n v="595.79999999999995"/>
    <n v="860.6"/>
    <n v="609.04"/>
    <n v="556.08000000000004"/>
    <n v="7635.6100000000006"/>
    <n v="52.959999999999923"/>
  </r>
  <r>
    <x v="11"/>
    <x v="0"/>
    <x v="0"/>
    <s v="3400102"/>
    <n v="721020"/>
    <s v="Endomechanical Supplies &amp; Instruments"/>
    <s v="Critical Care"/>
    <x v="0"/>
    <n v="1003"/>
    <n v="0"/>
    <n v="3.64"/>
    <n v="0"/>
    <n v="0"/>
    <n v="2.42"/>
    <n v="0"/>
    <n v="0"/>
    <n v="0"/>
    <n v="0"/>
    <n v="0"/>
    <n v="0"/>
    <n v="0"/>
    <n v="6.0600000000000005"/>
    <n v="0"/>
  </r>
  <r>
    <x v="11"/>
    <x v="0"/>
    <x v="0"/>
    <s v="3400102"/>
    <n v="721020"/>
    <s v="Heart/Lung Machine Supplies"/>
    <s v="Critical Care"/>
    <x v="0"/>
    <n v="1005"/>
    <n v="41.5"/>
    <n v="5.4"/>
    <n v="10.79"/>
    <n v="0"/>
    <n v="20.75"/>
    <n v="0"/>
    <n v="20.75"/>
    <n v="62.25"/>
    <n v="85.08"/>
    <n v="0"/>
    <n v="0"/>
    <n v="0"/>
    <n v="246.51999999999998"/>
    <n v="0"/>
  </r>
  <r>
    <x v="11"/>
    <x v="0"/>
    <x v="0"/>
    <s v="3400102"/>
    <n v="721020"/>
    <s v="Urological Supplies"/>
    <s v="Critical Care"/>
    <x v="0"/>
    <n v="1006"/>
    <n v="3.44"/>
    <n v="9.6"/>
    <n v="0"/>
    <n v="0.86"/>
    <n v="6.88"/>
    <n v="-1.72"/>
    <n v="2.58"/>
    <n v="18.059999999999999"/>
    <n v="0.86"/>
    <n v="301.35000000000002"/>
    <n v="23.22"/>
    <n v="-44.41"/>
    <n v="320.72000000000003"/>
    <n v="67.63"/>
  </r>
  <r>
    <x v="11"/>
    <x v="0"/>
    <x v="0"/>
    <s v="3400102"/>
    <n v="721020"/>
    <s v="Tubes Drains &amp; Related Supplies"/>
    <s v="Critical Care"/>
    <x v="0"/>
    <n v="1008"/>
    <n v="36.35"/>
    <n v="111.81"/>
    <n v="334.52"/>
    <n v="294.87"/>
    <n v="91.56"/>
    <n v="137.69999999999999"/>
    <n v="113.55"/>
    <n v="44.13"/>
    <n v="26.85"/>
    <n v="0"/>
    <n v="83.03"/>
    <n v="53.86"/>
    <n v="1328.2299999999998"/>
    <n v="29.17"/>
  </r>
  <r>
    <x v="11"/>
    <x v="0"/>
    <x v="0"/>
    <s v="3400102"/>
    <n v="721050"/>
    <s v="Supplies-Cardiac Rhythm - Billable"/>
    <s v="Critical Care"/>
    <x v="0"/>
    <m/>
    <n v="596.38"/>
    <n v="940.18"/>
    <n v="1133.18"/>
    <n v="469.41"/>
    <n v="1205.45"/>
    <n v="273.5"/>
    <n v="897.55"/>
    <n v="1414.1"/>
    <n v="1178.46"/>
    <n v="1313.14"/>
    <n v="779.68"/>
    <n v="1449"/>
    <n v="11650.03"/>
    <n v="-669.32"/>
  </r>
  <r>
    <x v="11"/>
    <x v="0"/>
    <x v="0"/>
    <s v="3400102"/>
    <n v="721050"/>
    <s v="Pacemakers - Internal"/>
    <s v="Critical Care"/>
    <x v="0"/>
    <n v="1000"/>
    <n v="0"/>
    <n v="70"/>
    <n v="0"/>
    <n v="0"/>
    <n v="70"/>
    <n v="0"/>
    <n v="0"/>
    <n v="0"/>
    <n v="70"/>
    <n v="0"/>
    <n v="0"/>
    <n v="0"/>
    <n v="210"/>
    <n v="0"/>
  </r>
  <r>
    <x v="11"/>
    <x v="0"/>
    <x v="0"/>
    <s v="3400102"/>
    <n v="721240"/>
    <s v="Supplies-IV Solutions/Supplies - Billable"/>
    <s v="Critical Care"/>
    <x v="0"/>
    <m/>
    <n v="2595.9899999999998"/>
    <n v="1346.12"/>
    <n v="2136.17"/>
    <n v="1468.79"/>
    <n v="2501.87"/>
    <n v="1780.38"/>
    <n v="2115.08"/>
    <n v="3028.89"/>
    <n v="3954.13"/>
    <n v="2233.13"/>
    <n v="4328.22"/>
    <n v="2504.4299999999998"/>
    <n v="29993.200000000004"/>
    <n v="1823.7900000000004"/>
  </r>
  <r>
    <x v="11"/>
    <x v="0"/>
    <x v="0"/>
    <s v="3400102"/>
    <n v="721250"/>
    <s v="Supplies-Pharmacy Drugs - Billable"/>
    <s v="Critical Care"/>
    <x v="0"/>
    <m/>
    <n v="1.34"/>
    <n v="0"/>
    <n v="1.34"/>
    <n v="0"/>
    <n v="1.34"/>
    <n v="1.34"/>
    <n v="0"/>
    <n v="0"/>
    <n v="38.69"/>
    <n v="1.34"/>
    <n v="0"/>
    <n v="1.34"/>
    <n v="46.730000000000004"/>
    <n v="-1.34"/>
  </r>
  <r>
    <x v="11"/>
    <x v="0"/>
    <x v="0"/>
    <s v="3400102"/>
    <n v="721410"/>
    <s v="Supplies-Medical - Nonbillable"/>
    <s v="Critical Care"/>
    <x v="0"/>
    <m/>
    <n v="11531.46"/>
    <n v="10636.03"/>
    <n v="10159.5"/>
    <n v="11843.94"/>
    <n v="9625.19"/>
    <n v="10296.459999999999"/>
    <n v="11263.87"/>
    <n v="10777.19"/>
    <n v="12066.84"/>
    <n v="14299"/>
    <n v="12346.37"/>
    <n v="10286.23"/>
    <n v="135132.07999999999"/>
    <n v="2060.1400000000012"/>
  </r>
  <r>
    <x v="11"/>
    <x v="0"/>
    <x v="0"/>
    <s v="3400102"/>
    <n v="721410"/>
    <s v="Patient Monitoring"/>
    <s v="Critical Care"/>
    <x v="0"/>
    <n v="1000"/>
    <n v="20.149999999999999"/>
    <n v="21.35"/>
    <n v="21.64"/>
    <n v="14.79"/>
    <n v="8.0500000000000007"/>
    <n v="10.42"/>
    <n v="18.12"/>
    <n v="15.63"/>
    <n v="27.09"/>
    <n v="14.61"/>
    <n v="2.41"/>
    <n v="21.86"/>
    <n v="196.12"/>
    <n v="-19.45"/>
  </r>
  <r>
    <x v="11"/>
    <x v="0"/>
    <x v="0"/>
    <s v="3400102"/>
    <n v="721420"/>
    <s v="Supplies-Surgical Nonbillable"/>
    <s v="Critical Care"/>
    <x v="0"/>
    <m/>
    <n v="1046.1400000000001"/>
    <n v="4750.68"/>
    <n v="1005.1"/>
    <n v="945.8"/>
    <n v="4961.8999999999996"/>
    <n v="3101.9"/>
    <n v="68.7"/>
    <n v="54.77"/>
    <n v="1831.32"/>
    <n v="359.56"/>
    <n v="143.12"/>
    <n v="4267.1899999999996"/>
    <n v="22536.18"/>
    <n v="-4124.07"/>
  </r>
  <r>
    <x v="11"/>
    <x v="0"/>
    <x v="0"/>
    <s v="3400102"/>
    <n v="721420"/>
    <s v="Tubes Drains &amp; Related Supplies"/>
    <s v="Critical Care"/>
    <x v="0"/>
    <n v="1008"/>
    <n v="5.26"/>
    <n v="23.23"/>
    <n v="157.28"/>
    <n v="0"/>
    <n v="177.84"/>
    <n v="7.95"/>
    <n v="31.24"/>
    <n v="0"/>
    <n v="3.28"/>
    <n v="4.7699999999999996"/>
    <n v="1.34"/>
    <n v="1.34"/>
    <n v="413.52999999999992"/>
    <n v="0"/>
  </r>
  <r>
    <x v="11"/>
    <x v="0"/>
    <x v="0"/>
    <s v="3400102"/>
    <n v="721420"/>
    <s v="Sterilization Process Products"/>
    <s v="Critical Care"/>
    <x v="0"/>
    <n v="1009"/>
    <n v="49.79"/>
    <n v="3.94"/>
    <n v="15.82"/>
    <n v="0"/>
    <n v="0"/>
    <n v="0"/>
    <n v="0"/>
    <n v="0"/>
    <n v="24.78"/>
    <n v="24.78"/>
    <n v="21.24"/>
    <n v="30.15"/>
    <n v="170.5"/>
    <n v="-8.91"/>
  </r>
  <r>
    <x v="11"/>
    <x v="0"/>
    <x v="0"/>
    <s v="3400102"/>
    <n v="721610"/>
    <s v="Supplies-Anesthesia - Nonbillable"/>
    <s v="Critical Care"/>
    <x v="0"/>
    <m/>
    <n v="303.38"/>
    <n v="844.45"/>
    <n v="313.95999999999998"/>
    <n v="545.79"/>
    <n v="295.45999999999998"/>
    <n v="522.59"/>
    <n v="488.5"/>
    <n v="287.44"/>
    <n v="528.46"/>
    <n v="238.36"/>
    <n v="796.87"/>
    <n v="267.85000000000002"/>
    <n v="5433.1100000000006"/>
    <n v="529.02"/>
  </r>
  <r>
    <x v="11"/>
    <x v="0"/>
    <x v="0"/>
    <s v="3400102"/>
    <n v="721640"/>
    <s v="Supplies-IV Solutions/Supplies - Nonbillable"/>
    <s v="Critical Care"/>
    <x v="0"/>
    <m/>
    <n v="5578.26"/>
    <n v="4776.16"/>
    <n v="4053.49"/>
    <n v="4593.32"/>
    <n v="4605"/>
    <n v="3643.36"/>
    <n v="4304.26"/>
    <n v="5426.41"/>
    <n v="5558.31"/>
    <n v="5761.87"/>
    <n v="4953.12"/>
    <n v="3797.81"/>
    <n v="57051.369999999995"/>
    <n v="1155.31"/>
  </r>
  <r>
    <x v="11"/>
    <x v="0"/>
    <x v="0"/>
    <s v="3400102"/>
    <n v="721650"/>
    <s v="Supplies-Pharmacy Drugs - Nonbillable"/>
    <s v="Critical Care"/>
    <x v="0"/>
    <m/>
    <n v="226.72"/>
    <n v="136.13"/>
    <n v="150.75"/>
    <n v="246.56"/>
    <n v="271.45"/>
    <n v="192.96"/>
    <n v="211.72"/>
    <n v="279.08"/>
    <n v="217.08"/>
    <n v="211.05"/>
    <n v="235.17"/>
    <n v="182.05"/>
    <n v="2560.7200000000003"/>
    <n v="53.119999999999976"/>
  </r>
  <r>
    <x v="11"/>
    <x v="0"/>
    <x v="0"/>
    <s v="3400102"/>
    <n v="721710"/>
    <s v="Supplies-Laboratory - Nonbillable"/>
    <s v="Critical Care"/>
    <x v="0"/>
    <m/>
    <n v="1133.46"/>
    <n v="1235.92"/>
    <n v="1167.1099999999999"/>
    <n v="1224.3599999999999"/>
    <n v="1147.3800000000001"/>
    <n v="1017.35"/>
    <n v="936.85"/>
    <n v="1052.53"/>
    <n v="1097.53"/>
    <n v="1286.69"/>
    <n v="1101.08"/>
    <n v="796.38"/>
    <n v="13196.640000000001"/>
    <n v="304.69999999999993"/>
  </r>
  <r>
    <x v="11"/>
    <x v="0"/>
    <x v="0"/>
    <s v="3400102"/>
    <n v="721710"/>
    <s v="Reagents"/>
    <s v="Critical Care"/>
    <x v="0"/>
    <n v="1000"/>
    <n v="8"/>
    <n v="7.8"/>
    <n v="19.98"/>
    <n v="25.19"/>
    <n v="35.79"/>
    <n v="29.99"/>
    <n v="48.5"/>
    <n v="11.99"/>
    <n v="43.98"/>
    <n v="41.17"/>
    <n v="31.98"/>
    <n v="19.989999999999998"/>
    <n v="324.36"/>
    <n v="11.990000000000002"/>
  </r>
  <r>
    <x v="11"/>
    <x v="0"/>
    <x v="0"/>
    <s v="3400102"/>
    <n v="721750"/>
    <s v="Supplies-Film/Radiographic - Nonbillable"/>
    <s v="Critical Care"/>
    <x v="0"/>
    <m/>
    <n v="38.950000000000003"/>
    <n v="28.34"/>
    <n v="55"/>
    <n v="34.68"/>
    <n v="28.32"/>
    <n v="23.12"/>
    <n v="24.79"/>
    <n v="95.03"/>
    <n v="13.43"/>
    <n v="1.87"/>
    <n v="0"/>
    <n v="7.49"/>
    <n v="351.02000000000004"/>
    <n v="-7.49"/>
  </r>
  <r>
    <x v="11"/>
    <x v="0"/>
    <x v="0"/>
    <s v="3400102"/>
    <n v="721810"/>
    <s v="Supplies-Dietary/Cafeteria"/>
    <s v="Critical Care"/>
    <x v="0"/>
    <m/>
    <n v="1825.73"/>
    <n v="1661.36"/>
    <n v="1769.48"/>
    <n v="2034.8"/>
    <n v="1839.6"/>
    <n v="2363.5700000000002"/>
    <n v="2216.6"/>
    <n v="1441.64"/>
    <n v="1956"/>
    <n v="1992.16"/>
    <n v="1613.08"/>
    <n v="1222.3800000000001"/>
    <n v="21936.399999999998"/>
    <n v="390.69999999999982"/>
  </r>
  <r>
    <x v="11"/>
    <x v="0"/>
    <x v="0"/>
    <s v="3400102"/>
    <n v="721830"/>
    <s v="Supplies-Office"/>
    <s v="Critical Care"/>
    <x v="0"/>
    <m/>
    <n v="1264.67"/>
    <n v="958.64"/>
    <n v="983.8"/>
    <n v="475.68"/>
    <n v="206.06"/>
    <n v="523.91999999999996"/>
    <n v="447.39"/>
    <n v="586.14"/>
    <n v="75.64"/>
    <n v="752.16"/>
    <n v="306.27999999999997"/>
    <n v="487.01"/>
    <n v="7067.39"/>
    <n v="-180.73000000000002"/>
  </r>
  <r>
    <x v="11"/>
    <x v="0"/>
    <x v="0"/>
    <s v="3400102"/>
    <n v="721835"/>
    <s v="Supplies-Forms"/>
    <s v="Critical Care"/>
    <x v="0"/>
    <m/>
    <n v="0"/>
    <n v="0"/>
    <n v="0"/>
    <n v="0"/>
    <n v="0.61"/>
    <n v="0"/>
    <n v="10.199999999999999"/>
    <n v="0"/>
    <n v="0"/>
    <n v="0"/>
    <n v="162.1"/>
    <n v="0"/>
    <n v="172.91"/>
    <n v="162.1"/>
  </r>
  <r>
    <x v="11"/>
    <x v="0"/>
    <x v="0"/>
    <s v="3400102"/>
    <n v="721870"/>
    <s v="Supplies-Environmental Services"/>
    <s v="Critical Care"/>
    <x v="0"/>
    <m/>
    <n v="475.37"/>
    <n v="390.34"/>
    <n v="372.87"/>
    <n v="587.59"/>
    <n v="531.74"/>
    <n v="571.4"/>
    <n v="504.07"/>
    <n v="387.57"/>
    <n v="683.24"/>
    <n v="464.01"/>
    <n v="588.71"/>
    <n v="387.05"/>
    <n v="5943.9600000000009"/>
    <n v="201.66000000000003"/>
  </r>
  <r>
    <x v="11"/>
    <x v="0"/>
    <x v="0"/>
    <s v="3400102"/>
    <n v="721910"/>
    <s v="Supplies-Small Equipment"/>
    <s v="Critical Care"/>
    <x v="0"/>
    <m/>
    <n v="7631.43"/>
    <n v="9464.1299999999992"/>
    <n v="9327.14"/>
    <n v="8349.7000000000007"/>
    <n v="4794.09"/>
    <n v="6568.15"/>
    <n v="8397.75"/>
    <n v="6789.17"/>
    <n v="8275.64"/>
    <n v="8746.57"/>
    <n v="6910.75"/>
    <n v="4977.13"/>
    <n v="90231.65"/>
    <n v="1933.62"/>
  </r>
  <r>
    <x v="11"/>
    <x v="0"/>
    <x v="0"/>
    <s v="3400102"/>
    <n v="721910"/>
    <s v="Instruments"/>
    <s v="Critical Care"/>
    <x v="0"/>
    <n v="1000"/>
    <n v="4.67"/>
    <n v="1.47"/>
    <n v="0"/>
    <n v="53.12"/>
    <n v="57.9"/>
    <n v="1.47"/>
    <n v="10.82"/>
    <n v="23.99"/>
    <n v="2.2000000000000002"/>
    <n v="2.19"/>
    <n v="1795.68"/>
    <n v="1976.03"/>
    <n v="3929.54"/>
    <n v="-180.34999999999991"/>
  </r>
  <r>
    <x v="11"/>
    <x v="0"/>
    <x v="0"/>
    <s v="3400102"/>
    <n v="721980"/>
    <s v="Supplies-Other"/>
    <s v="Critical Care"/>
    <x v="0"/>
    <m/>
    <n v="0"/>
    <n v="0"/>
    <n v="0"/>
    <n v="1340.56"/>
    <n v="0"/>
    <n v="52"/>
    <n v="0"/>
    <n v="0"/>
    <n v="0"/>
    <n v="0"/>
    <n v="0"/>
    <n v="0"/>
    <n v="1392.56"/>
    <n v="0"/>
  </r>
  <r>
    <x v="11"/>
    <x v="0"/>
    <x v="0"/>
    <s v="3400102"/>
    <n v="722000"/>
    <s v="Supplies-Freight Expense"/>
    <s v="Critical Care"/>
    <x v="0"/>
    <m/>
    <n v="0"/>
    <n v="5.82"/>
    <n v="25.27"/>
    <n v="9.82"/>
    <n v="0"/>
    <n v="0"/>
    <n v="0"/>
    <n v="0"/>
    <n v="0"/>
    <n v="0"/>
    <n v="22.31"/>
    <n v="13.27"/>
    <n v="76.489999999999995"/>
    <n v="9.0399999999999991"/>
  </r>
  <r>
    <x v="12"/>
    <x v="0"/>
    <x v="0"/>
    <s v="3400102"/>
    <n v="730020"/>
    <s v="Rental and Leases-Equipment (DO NOT USE)"/>
    <s v="Critical Care"/>
    <x v="0"/>
    <m/>
    <n v="0"/>
    <n v="0"/>
    <n v="0"/>
    <n v="-1273.58"/>
    <n v="-95.47"/>
    <n v="0"/>
    <n v="0"/>
    <n v="0"/>
    <n v="0"/>
    <n v="0"/>
    <n v="0"/>
    <n v="0"/>
    <n v="-1369.05"/>
    <n v="0"/>
  </r>
  <r>
    <x v="12"/>
    <x v="0"/>
    <x v="0"/>
    <s v="3400102"/>
    <n v="730020"/>
    <s v="Rental and Leases-Copier Usage Fees (DO NOT USE)"/>
    <s v="Critical Care"/>
    <x v="0"/>
    <n v="5100"/>
    <n v="282.92"/>
    <n v="288.81"/>
    <n v="285.86"/>
    <n v="285.86"/>
    <n v="285.86"/>
    <n v="285.86"/>
    <n v="262.45"/>
    <n v="553.59"/>
    <n v="278.62"/>
    <n v="7.18"/>
    <n v="224.77"/>
    <n v="224.77"/>
    <n v="3266.5499999999997"/>
    <n v="0"/>
  </r>
  <r>
    <x v="15"/>
    <x v="0"/>
    <x v="0"/>
    <s v="3400102"/>
    <n v="731060"/>
    <s v="Pagers"/>
    <s v="Critical Care"/>
    <x v="0"/>
    <n v="1002"/>
    <n v="41.71"/>
    <n v="41.71"/>
    <n v="41.71"/>
    <n v="41.81"/>
    <n v="41.81"/>
    <n v="0"/>
    <n v="83.62"/>
    <n v="41.81"/>
    <n v="41.81"/>
    <n v="41.81"/>
    <n v="41.81"/>
    <n v="41.81"/>
    <n v="501.42"/>
    <n v="0"/>
  </r>
  <r>
    <x v="16"/>
    <x v="0"/>
    <x v="0"/>
    <s v="3400102"/>
    <n v="732030"/>
    <s v="Repairs---Other"/>
    <s v="Critical Care"/>
    <x v="0"/>
    <m/>
    <n v="0"/>
    <n v="0"/>
    <n v="1986.68"/>
    <n v="0"/>
    <n v="1795.73"/>
    <n v="0"/>
    <n v="0"/>
    <n v="0"/>
    <n v="0"/>
    <n v="0"/>
    <n v="836.66"/>
    <n v="0"/>
    <n v="4619.07"/>
    <n v="836.66"/>
  </r>
  <r>
    <x v="13"/>
    <x v="0"/>
    <x v="0"/>
    <s v="3400102"/>
    <n v="735060"/>
    <s v="Depreciation-Fixed Equipment"/>
    <s v="Critical Care"/>
    <x v="0"/>
    <m/>
    <n v="366.78"/>
    <n v="366.78"/>
    <n v="366.78"/>
    <n v="366.77"/>
    <n v="366.78"/>
    <n v="366.77"/>
    <n v="366.78"/>
    <n v="366.76"/>
    <n v="366.78"/>
    <n v="366.76"/>
    <n v="366.78"/>
    <n v="366.75"/>
    <n v="4401.2699999999995"/>
    <n v="2.9999999999972715E-2"/>
  </r>
  <r>
    <x v="13"/>
    <x v="0"/>
    <x v="0"/>
    <s v="3400102"/>
    <n v="735070"/>
    <s v="Depreciation-Movable Equipment"/>
    <s v="Critical Care"/>
    <x v="0"/>
    <m/>
    <n v="17289.7"/>
    <n v="17127.05"/>
    <n v="14729.49"/>
    <n v="14729.42"/>
    <n v="14659.39"/>
    <n v="14659.29"/>
    <n v="14659.39"/>
    <n v="14659.25"/>
    <n v="14659.41"/>
    <n v="14659.25"/>
    <n v="14659.41"/>
    <n v="14659.25"/>
    <n v="181150.3"/>
    <n v="0.15999999999985448"/>
  </r>
  <r>
    <x v="0"/>
    <x v="0"/>
    <x v="0"/>
    <s v="3400102"/>
    <n v="740020"/>
    <s v="Education-Registration Fees"/>
    <s v="Critical Care"/>
    <x v="0"/>
    <m/>
    <n v="375"/>
    <n v="1219"/>
    <n v="2030"/>
    <n v="2280"/>
    <n v="0"/>
    <n v="1278"/>
    <n v="630"/>
    <n v="585"/>
    <n v="1950"/>
    <n v="1710"/>
    <n v="620.79999999999995"/>
    <n v="680"/>
    <n v="13357.8"/>
    <n v="-59.200000000000045"/>
  </r>
  <r>
    <x v="0"/>
    <x v="0"/>
    <x v="0"/>
    <s v="3400102"/>
    <n v="743040"/>
    <s v="Subscriptions--Individual"/>
    <s v="Critical Care"/>
    <x v="0"/>
    <m/>
    <n v="0"/>
    <n v="0"/>
    <n v="0"/>
    <n v="0"/>
    <n v="0"/>
    <n v="0"/>
    <n v="0"/>
    <n v="30.26"/>
    <n v="0"/>
    <n v="0"/>
    <n v="0"/>
    <n v="0"/>
    <n v="30.26"/>
    <n v="0"/>
  </r>
  <r>
    <x v="0"/>
    <x v="0"/>
    <x v="0"/>
    <s v="3400102"/>
    <n v="749510"/>
    <s v="Miscellaneous Expenses"/>
    <s v="Critical Care"/>
    <x v="0"/>
    <m/>
    <n v="29250.84"/>
    <n v="8020.18"/>
    <n v="-926"/>
    <n v="998.79"/>
    <n v="-815.81"/>
    <n v="2037.01"/>
    <n v="5076.2700000000004"/>
    <n v="-632.27"/>
    <n v="3811.52"/>
    <n v="917.29"/>
    <n v="2328.92"/>
    <n v="1175.02"/>
    <n v="51241.760000000009"/>
    <n v="1153.9000000000001"/>
  </r>
  <r>
    <x v="0"/>
    <x v="0"/>
    <x v="0"/>
    <s v="3400102"/>
    <n v="749510"/>
    <s v="RICE Rewards"/>
    <s v="Critical Care"/>
    <x v="0"/>
    <n v="5100"/>
    <n v="0"/>
    <n v="0"/>
    <n v="0"/>
    <n v="0"/>
    <n v="0"/>
    <n v="589.70000000000005"/>
    <n v="0"/>
    <n v="0"/>
    <n v="0"/>
    <n v="243.56"/>
    <n v="0"/>
    <n v="0"/>
    <n v="833.26"/>
    <n v="0"/>
  </r>
  <r>
    <x v="0"/>
    <x v="0"/>
    <x v="0"/>
    <s v="3400102"/>
    <n v="749530"/>
    <s v="Travel"/>
    <s v="Critical Care"/>
    <x v="0"/>
    <m/>
    <n v="289.49"/>
    <n v="0"/>
    <n v="0"/>
    <n v="0"/>
    <n v="0"/>
    <n v="0"/>
    <n v="0"/>
    <n v="0"/>
    <n v="0"/>
    <n v="0"/>
    <n v="0"/>
    <n v="0"/>
    <n v="289.49"/>
    <n v="0"/>
  </r>
  <r>
    <x v="0"/>
    <x v="0"/>
    <x v="0"/>
    <s v="3400102"/>
    <n v="749530"/>
    <s v="Mileage"/>
    <s v="Critical Care"/>
    <x v="0"/>
    <n v="1001"/>
    <n v="0"/>
    <n v="6.55"/>
    <n v="2.73"/>
    <n v="207.1"/>
    <n v="130.82"/>
    <n v="124.26"/>
    <n v="0"/>
    <n v="0"/>
    <n v="0"/>
    <n v="0"/>
    <n v="0"/>
    <n v="0"/>
    <n v="471.46"/>
    <n v="0"/>
  </r>
  <r>
    <x v="0"/>
    <x v="0"/>
    <x v="0"/>
    <s v="3400102"/>
    <n v="749535"/>
    <s v="Meetings"/>
    <s v="Critical Care"/>
    <x v="0"/>
    <m/>
    <n v="0"/>
    <n v="0"/>
    <n v="0"/>
    <n v="0"/>
    <n v="0"/>
    <n v="0"/>
    <n v="0"/>
    <n v="0"/>
    <n v="0"/>
    <n v="203.63"/>
    <n v="0"/>
    <n v="98.8"/>
    <n v="302.43"/>
    <n v="-98.8"/>
  </r>
  <r>
    <x v="18"/>
    <x v="4"/>
    <x v="0"/>
    <s v="3400103"/>
    <n v="400010"/>
    <s v="Acute I/P Svcs Rev--Medicare"/>
    <s v="Critical Care"/>
    <x v="0"/>
    <n v="1100"/>
    <n v="-561685.36"/>
    <n v="-877938.93"/>
    <n v="-711252.64"/>
    <n v="-819118.46"/>
    <n v="-984374.58"/>
    <n v="-1086163.6000000001"/>
    <n v="-988982.24"/>
    <n v="-759348.65"/>
    <n v="-983689.32"/>
    <n v="-1152838.82"/>
    <n v="-1073695.44"/>
    <n v="-888788.47999999998"/>
    <n v="-10887876.520000001"/>
    <n v="-184906.95999999996"/>
  </r>
  <r>
    <x v="18"/>
    <x v="4"/>
    <x v="0"/>
    <s v="3400103"/>
    <n v="400010"/>
    <s v="Acute I/P Svcs Rev--Medicaid"/>
    <s v="Critical Care"/>
    <x v="0"/>
    <n v="1200"/>
    <n v="-518632.84"/>
    <n v="-289141.11"/>
    <n v="-626328.86"/>
    <n v="-448218.38"/>
    <n v="-250622.89"/>
    <n v="-330352.46999999997"/>
    <n v="-314251.15999999997"/>
    <n v="-481082.01"/>
    <n v="-470845.38"/>
    <n v="-612526.82999999996"/>
    <n v="-355953.41"/>
    <n v="-387553.01"/>
    <n v="-5085508.3499999996"/>
    <n v="31599.600000000035"/>
  </r>
  <r>
    <x v="18"/>
    <x v="4"/>
    <x v="0"/>
    <s v="3400103"/>
    <n v="400010"/>
    <s v="Acute I/P Svcs Rev--Comm Insurance"/>
    <s v="Critical Care"/>
    <x v="0"/>
    <n v="1300"/>
    <n v="-988.23"/>
    <n v="-69071.08"/>
    <n v="35573.85"/>
    <n v="-30094.19"/>
    <n v="-24059.71"/>
    <n v="-38215.550000000003"/>
    <n v="-6320.29"/>
    <n v="0"/>
    <n v="0"/>
    <n v="9873.6"/>
    <n v="-28709.32"/>
    <n v="-18603"/>
    <n v="-170613.91999999998"/>
    <n v="-10106.32"/>
  </r>
  <r>
    <x v="18"/>
    <x v="4"/>
    <x v="0"/>
    <s v="3400103"/>
    <n v="400010"/>
    <s v="Acute I/P Svcs Rev--BCBS Comm"/>
    <s v="Critical Care"/>
    <x v="0"/>
    <n v="1301"/>
    <n v="-10629.94"/>
    <n v="-7424.38"/>
    <n v="-33418.160000000003"/>
    <n v="-53462.43"/>
    <n v="0"/>
    <n v="0"/>
    <n v="-48735.48"/>
    <n v="-40589"/>
    <n v="-37663.32"/>
    <n v="-34170.25"/>
    <n v="-20541.939999999999"/>
    <n v="-39063.919999999998"/>
    <n v="-325698.82"/>
    <n v="18521.98"/>
  </r>
  <r>
    <x v="18"/>
    <x v="4"/>
    <x v="0"/>
    <s v="3400103"/>
    <n v="400010"/>
    <s v="Acute I/P Svcs Rev--Managed Care"/>
    <s v="Critical Care"/>
    <x v="0"/>
    <n v="1400"/>
    <n v="-151737.04"/>
    <n v="-53448.77"/>
    <n v="-72961.62"/>
    <n v="-127809.81"/>
    <n v="-45558"/>
    <n v="-54755.99"/>
    <n v="-218840.42"/>
    <n v="-184010.41"/>
    <n v="-22584.04"/>
    <n v="-6649"/>
    <n v="146092.01"/>
    <n v="-180964.94"/>
    <n v="-973228.03"/>
    <n v="327056.95"/>
  </r>
  <r>
    <x v="18"/>
    <x v="4"/>
    <x v="0"/>
    <s v="3400103"/>
    <n v="400010"/>
    <s v="Acute I/P Svcs Rev--Self Pay"/>
    <s v="Critical Care"/>
    <x v="0"/>
    <n v="1500"/>
    <n v="-5269.08"/>
    <n v="-32464.080000000002"/>
    <n v="8693"/>
    <n v="0"/>
    <n v="-6320.29"/>
    <n v="-4217"/>
    <n v="-16215.71"/>
    <n v="-122"/>
    <n v="-35550"/>
    <n v="8954"/>
    <n v="-36218.5"/>
    <n v="24909.18"/>
    <n v="-93820.48000000001"/>
    <n v="-61127.68"/>
  </r>
  <r>
    <x v="18"/>
    <x v="4"/>
    <x v="0"/>
    <s v="3400103"/>
    <n v="400010"/>
    <s v="Acute I/P Svcs Rev--Other"/>
    <s v="Critical Care"/>
    <x v="0"/>
    <n v="1700"/>
    <n v="-59895.97"/>
    <n v="-17496.060000000001"/>
    <n v="-13082.22"/>
    <n v="-4615.22"/>
    <n v="-53526.5"/>
    <n v="-68656.7"/>
    <n v="-63806"/>
    <n v="-103570.37"/>
    <n v="-40794.080000000002"/>
    <n v="-51519.040000000001"/>
    <n v="-212364.1"/>
    <n v="-67747.05"/>
    <n v="-757073.31"/>
    <n v="-144617.04999999999"/>
  </r>
  <r>
    <x v="19"/>
    <x v="4"/>
    <x v="0"/>
    <s v="3400103"/>
    <n v="400020"/>
    <s v="O/P Care Svcs Rev--Medicare"/>
    <s v="Critical Care"/>
    <x v="0"/>
    <n v="1100"/>
    <n v="-17067.240000000002"/>
    <n v="-21111.07"/>
    <n v="-12859.36"/>
    <n v="-4168.42"/>
    <n v="-70.94"/>
    <n v="-6531.06"/>
    <n v="-8568.14"/>
    <n v="0"/>
    <n v="0"/>
    <n v="0"/>
    <n v="-2537.1999999999998"/>
    <n v="87.76"/>
    <n v="-72825.67"/>
    <n v="-2624.96"/>
  </r>
  <r>
    <x v="19"/>
    <x v="4"/>
    <x v="0"/>
    <s v="3400103"/>
    <n v="400020"/>
    <s v="O/P Care Svcs Rev--Medicaid"/>
    <s v="Critical Care"/>
    <x v="0"/>
    <n v="1200"/>
    <n v="-5384.61"/>
    <n v="1330.99"/>
    <n v="0"/>
    <n v="-5105.08"/>
    <n v="-13419.59"/>
    <n v="0"/>
    <n v="0"/>
    <n v="-657.2"/>
    <n v="-7369.33"/>
    <n v="-205.08"/>
    <n v="0"/>
    <n v="-2449.44"/>
    <n v="-33259.340000000004"/>
    <n v="2449.44"/>
  </r>
  <r>
    <x v="19"/>
    <x v="4"/>
    <x v="0"/>
    <s v="3400103"/>
    <n v="400020"/>
    <s v="O/P Care Svcs Rev--BCBS Comm"/>
    <s v="Critical Care"/>
    <x v="0"/>
    <n v="1301"/>
    <n v="0"/>
    <n v="0"/>
    <n v="-199.11"/>
    <n v="0"/>
    <n v="0"/>
    <n v="0"/>
    <n v="0"/>
    <n v="0"/>
    <n v="0"/>
    <n v="0"/>
    <n v="0"/>
    <n v="0"/>
    <n v="-199.11"/>
    <n v="0"/>
  </r>
  <r>
    <x v="19"/>
    <x v="4"/>
    <x v="0"/>
    <s v="3400103"/>
    <n v="400020"/>
    <s v="O/P Care Svcs Rev--Managed Care"/>
    <s v="Critical Care"/>
    <x v="0"/>
    <n v="1400"/>
    <n v="0"/>
    <n v="0"/>
    <n v="0"/>
    <n v="-2562.4699999999998"/>
    <n v="0"/>
    <n v="0"/>
    <n v="-398.22"/>
    <n v="0"/>
    <n v="0"/>
    <n v="0"/>
    <n v="0"/>
    <n v="0"/>
    <n v="-2960.6899999999996"/>
    <n v="0"/>
  </r>
  <r>
    <x v="19"/>
    <x v="4"/>
    <x v="0"/>
    <s v="3400103"/>
    <n v="400020"/>
    <s v="O/P Care Svcs Rev--Self Pay"/>
    <s v="Critical Care"/>
    <x v="0"/>
    <n v="1500"/>
    <n v="0"/>
    <n v="0"/>
    <n v="0"/>
    <n v="0"/>
    <n v="0"/>
    <n v="-1321.3"/>
    <n v="45"/>
    <n v="0"/>
    <n v="0"/>
    <n v="-6108.1"/>
    <n v="0"/>
    <n v="0"/>
    <n v="-7384.4000000000005"/>
    <n v="0"/>
  </r>
  <r>
    <x v="19"/>
    <x v="4"/>
    <x v="0"/>
    <s v="3400103"/>
    <n v="400020"/>
    <s v="O/P Care Svcs Rev--Other"/>
    <s v="Critical Care"/>
    <x v="0"/>
    <n v="1700"/>
    <n v="0"/>
    <n v="0"/>
    <n v="-6808.33"/>
    <n v="0"/>
    <n v="0"/>
    <n v="-70.94"/>
    <n v="-199.11"/>
    <n v="0"/>
    <n v="0"/>
    <n v="-1567.8"/>
    <n v="0"/>
    <n v="-4344"/>
    <n v="-12990.179999999998"/>
    <n v="4344"/>
  </r>
  <r>
    <x v="14"/>
    <x v="4"/>
    <x v="0"/>
    <s v="3400103"/>
    <n v="600050"/>
    <s v="Miscellaneous Revenue"/>
    <s v="Critical Care"/>
    <x v="0"/>
    <m/>
    <n v="0"/>
    <n v="0"/>
    <n v="0"/>
    <n v="0"/>
    <n v="0"/>
    <n v="0"/>
    <n v="-10000"/>
    <n v="0"/>
    <n v="0"/>
    <n v="0"/>
    <n v="-2350"/>
    <n v="0"/>
    <n v="-12350"/>
    <n v="-2350"/>
  </r>
  <r>
    <x v="5"/>
    <x v="4"/>
    <x v="0"/>
    <s v="3400103"/>
    <n v="700014"/>
    <s v="Salaries-Management-Productive"/>
    <s v="Critical Care"/>
    <x v="0"/>
    <m/>
    <n v="5454.01"/>
    <n v="10110.799999999999"/>
    <n v="4631.88"/>
    <n v="5701.88"/>
    <n v="9753.7199999999993"/>
    <n v="6865.81"/>
    <n v="8251.59"/>
    <n v="7700.88"/>
    <n v="8526.0300000000007"/>
    <n v="8250.7199999999993"/>
    <n v="8526.0300000000007"/>
    <n v="7095.98"/>
    <n v="90869.33"/>
    <n v="1430.0500000000011"/>
  </r>
  <r>
    <x v="5"/>
    <x v="4"/>
    <x v="0"/>
    <s v="3400103"/>
    <n v="700014"/>
    <s v="Salaries-Management-Other"/>
    <s v="Critical Care"/>
    <x v="0"/>
    <n v="2000"/>
    <n v="0"/>
    <n v="30"/>
    <n v="0"/>
    <n v="0"/>
    <n v="0"/>
    <n v="0"/>
    <n v="0"/>
    <n v="0"/>
    <n v="0"/>
    <n v="0"/>
    <n v="0"/>
    <n v="0"/>
    <n v="30"/>
    <n v="0"/>
  </r>
  <r>
    <x v="5"/>
    <x v="4"/>
    <x v="0"/>
    <s v="3400103"/>
    <n v="700026"/>
    <s v="Salaries-RN-Productive"/>
    <s v="Critical Care"/>
    <x v="0"/>
    <m/>
    <n v="141325.31"/>
    <n v="141897.28"/>
    <n v="155021.93"/>
    <n v="139948.79"/>
    <n v="131163.46"/>
    <n v="158827.35999999999"/>
    <n v="154718.07999999999"/>
    <n v="158178.35999999999"/>
    <n v="151647.01"/>
    <n v="161768.35"/>
    <n v="138457.20000000001"/>
    <n v="141134.59"/>
    <n v="1774087.72"/>
    <n v="-2677.3899999999849"/>
  </r>
  <r>
    <x v="5"/>
    <x v="4"/>
    <x v="0"/>
    <s v="3400103"/>
    <n v="700026"/>
    <s v="Salaries-RN-OT"/>
    <s v="Critical Care"/>
    <x v="0"/>
    <n v="1000"/>
    <n v="9111.75"/>
    <n v="5167.55"/>
    <n v="7140.3"/>
    <n v="8169.47"/>
    <n v="4542.5200000000004"/>
    <n v="6519.63"/>
    <n v="6631.69"/>
    <n v="6978.73"/>
    <n v="5771.18"/>
    <n v="9069.42"/>
    <n v="2049.77"/>
    <n v="2889.62"/>
    <n v="74041.63"/>
    <n v="-839.84999999999991"/>
  </r>
  <r>
    <x v="5"/>
    <x v="4"/>
    <x v="0"/>
    <s v="3400103"/>
    <n v="700026"/>
    <s v="Salaries-RN-Other"/>
    <s v="Critical Care"/>
    <x v="0"/>
    <n v="2000"/>
    <n v="14188.09"/>
    <n v="14457.85"/>
    <n v="13611.32"/>
    <n v="15182.24"/>
    <n v="13593.83"/>
    <n v="16200.14"/>
    <n v="15805.69"/>
    <n v="16678.990000000002"/>
    <n v="14634.29"/>
    <n v="16539.96"/>
    <n v="19366.5"/>
    <n v="14332.71"/>
    <n v="184591.61"/>
    <n v="5033.7900000000009"/>
  </r>
  <r>
    <x v="5"/>
    <x v="4"/>
    <x v="0"/>
    <s v="3400103"/>
    <n v="700032"/>
    <s v="Salaries-Other Pat Care Providers-Productive"/>
    <s v="Critical Care"/>
    <x v="0"/>
    <m/>
    <n v="7574.79"/>
    <n v="6232.97"/>
    <n v="5284.98"/>
    <n v="5527.59"/>
    <n v="2891.76"/>
    <n v="7083.5"/>
    <n v="6909.37"/>
    <n v="2663.65"/>
    <n v="8890.86"/>
    <n v="2876.22"/>
    <n v="5592"/>
    <n v="4129.42"/>
    <n v="65657.11"/>
    <n v="1462.58"/>
  </r>
  <r>
    <x v="5"/>
    <x v="4"/>
    <x v="0"/>
    <s v="3400103"/>
    <n v="700032"/>
    <s v="Salaries-Other Pat Care Providers-OT"/>
    <s v="Critical Care"/>
    <x v="0"/>
    <n v="1000"/>
    <n v="193.03"/>
    <n v="-15.37"/>
    <n v="299.39999999999998"/>
    <n v="737.38"/>
    <n v="-245.26"/>
    <n v="0"/>
    <n v="423.06"/>
    <n v="-104.23"/>
    <n v="355.47"/>
    <n v="982.83"/>
    <n v="-425.6"/>
    <n v="8.18"/>
    <n v="2208.89"/>
    <n v="-433.78000000000003"/>
  </r>
  <r>
    <x v="5"/>
    <x v="4"/>
    <x v="0"/>
    <s v="3400103"/>
    <n v="700032"/>
    <s v="Salaries-Other Pat Care Providers-Other"/>
    <s v="Critical Care"/>
    <x v="0"/>
    <n v="2000"/>
    <n v="362.49"/>
    <n v="229.02"/>
    <n v="194.39"/>
    <n v="321.14999999999998"/>
    <n v="185.09"/>
    <n v="409.29"/>
    <n v="314.37"/>
    <n v="118.68"/>
    <n v="478.04"/>
    <n v="141.91"/>
    <n v="195.94"/>
    <n v="333.1"/>
    <n v="3283.4699999999993"/>
    <n v="-137.16000000000003"/>
  </r>
  <r>
    <x v="5"/>
    <x v="4"/>
    <x v="0"/>
    <s v="3400103"/>
    <n v="700034"/>
    <s v="Salaries-Tech/Professional-Productive"/>
    <s v="Critical Care"/>
    <x v="0"/>
    <m/>
    <n v="0"/>
    <n v="0"/>
    <n v="0"/>
    <n v="0"/>
    <n v="0"/>
    <n v="0"/>
    <n v="0"/>
    <n v="0"/>
    <n v="470.22"/>
    <n v="294.94"/>
    <n v="0"/>
    <n v="0"/>
    <n v="765.16000000000008"/>
    <n v="0"/>
  </r>
  <r>
    <x v="5"/>
    <x v="4"/>
    <x v="0"/>
    <s v="3400103"/>
    <n v="700034"/>
    <s v="Salaries-Tech/Professional-OT"/>
    <s v="Critical Care"/>
    <x v="0"/>
    <n v="1000"/>
    <n v="0"/>
    <n v="0"/>
    <n v="0"/>
    <n v="0"/>
    <n v="0"/>
    <n v="0"/>
    <n v="0"/>
    <n v="0"/>
    <n v="447.93"/>
    <n v="-133.75"/>
    <n v="0"/>
    <n v="0"/>
    <n v="314.18"/>
    <n v="0"/>
  </r>
  <r>
    <x v="5"/>
    <x v="4"/>
    <x v="0"/>
    <s v="3400103"/>
    <n v="700034"/>
    <s v="Salaries-Tech/Professional-Other"/>
    <s v="Critical Care"/>
    <x v="0"/>
    <n v="2000"/>
    <n v="0"/>
    <n v="0"/>
    <n v="0"/>
    <n v="0"/>
    <n v="0"/>
    <n v="0"/>
    <n v="0"/>
    <n v="0"/>
    <n v="53.07"/>
    <n v="-19.28"/>
    <n v="0"/>
    <n v="0"/>
    <n v="33.79"/>
    <n v="0"/>
  </r>
  <r>
    <x v="5"/>
    <x v="4"/>
    <x v="0"/>
    <s v="3400103"/>
    <n v="700038"/>
    <s v="Salaries-Service/Support-Productive"/>
    <s v="Critical Care"/>
    <x v="0"/>
    <m/>
    <n v="947.95"/>
    <n v="785.29"/>
    <n v="732.34"/>
    <n v="1070.72"/>
    <n v="600.11"/>
    <n v="786.75"/>
    <n v="868.44"/>
    <n v="928.97"/>
    <n v="790.98"/>
    <n v="1307.8900000000001"/>
    <n v="-246.45"/>
    <n v="1130.17"/>
    <n v="9703.16"/>
    <n v="-1376.6200000000001"/>
  </r>
  <r>
    <x v="5"/>
    <x v="4"/>
    <x v="0"/>
    <s v="3400103"/>
    <n v="700038"/>
    <s v="Salaries-Service/Support-OT"/>
    <s v="Critical Care"/>
    <x v="0"/>
    <n v="1000"/>
    <n v="112.48"/>
    <n v="41.93"/>
    <n v="0"/>
    <n v="0"/>
    <n v="0"/>
    <n v="0"/>
    <n v="0"/>
    <n v="0"/>
    <n v="0"/>
    <n v="0"/>
    <n v="0"/>
    <n v="0"/>
    <n v="154.41"/>
    <n v="0"/>
  </r>
  <r>
    <x v="5"/>
    <x v="4"/>
    <x v="0"/>
    <s v="3400103"/>
    <n v="700054"/>
    <s v="Salaries-Management-Non-productive"/>
    <s v="Critical Care"/>
    <x v="0"/>
    <m/>
    <n v="0"/>
    <n v="1090"/>
    <n v="-326.95999999999998"/>
    <n v="2726.04"/>
    <n v="-863.71"/>
    <n v="1647.72"/>
    <n v="275.25"/>
    <n v="0"/>
    <n v="0"/>
    <n v="0"/>
    <n v="0"/>
    <n v="1155.1300000000001"/>
    <n v="5703.47"/>
    <n v="-1155.1300000000001"/>
  </r>
  <r>
    <x v="5"/>
    <x v="4"/>
    <x v="0"/>
    <s v="3400103"/>
    <n v="700054"/>
    <s v="Salaries-Management-NonProd-Other"/>
    <s v="Critical Care"/>
    <x v="0"/>
    <n v="2000"/>
    <n v="0"/>
    <n v="0"/>
    <n v="0"/>
    <n v="0"/>
    <n v="462.37"/>
    <n v="4971"/>
    <n v="-4971"/>
    <n v="-462.37"/>
    <n v="0"/>
    <n v="0"/>
    <n v="0"/>
    <n v="0"/>
    <n v="-1.1368683772161603E-13"/>
    <n v="0"/>
  </r>
  <r>
    <x v="5"/>
    <x v="4"/>
    <x v="0"/>
    <s v="3400103"/>
    <n v="700066"/>
    <s v="Salaries-RN-Non-productive"/>
    <s v="Critical Care"/>
    <x v="0"/>
    <m/>
    <n v="20379.32"/>
    <n v="23102.82"/>
    <n v="12215.82"/>
    <n v="8517.68"/>
    <n v="8727.93"/>
    <n v="14252.5"/>
    <n v="15806.87"/>
    <n v="13002.54"/>
    <n v="21236.26"/>
    <n v="13031.48"/>
    <n v="22872.99"/>
    <n v="18452.97"/>
    <n v="191599.18000000002"/>
    <n v="4420.0200000000004"/>
  </r>
  <r>
    <x v="5"/>
    <x v="4"/>
    <x v="0"/>
    <s v="3400103"/>
    <n v="700066"/>
    <s v="Salaries-RN-NonProd-Other"/>
    <s v="Critical Care"/>
    <x v="0"/>
    <n v="2000"/>
    <n v="1373.8"/>
    <n v="1507.3"/>
    <n v="1704.18"/>
    <n v="671.54"/>
    <n v="1307.5999999999999"/>
    <n v="1182.3399999999999"/>
    <n v="1668.54"/>
    <n v="-21.63"/>
    <n v="2054.59"/>
    <n v="5604.02"/>
    <n v="1175.46"/>
    <n v="1161.52"/>
    <n v="19389.259999999998"/>
    <n v="13.940000000000055"/>
  </r>
  <r>
    <x v="5"/>
    <x v="4"/>
    <x v="0"/>
    <s v="3400103"/>
    <n v="700072"/>
    <s v="Salaries-Other Pat Care Providers-Non-productive"/>
    <s v="Critical Care"/>
    <x v="0"/>
    <m/>
    <n v="0"/>
    <n v="0"/>
    <n v="0"/>
    <n v="0"/>
    <n v="0"/>
    <n v="0"/>
    <n v="0"/>
    <n v="0"/>
    <n v="45.85"/>
    <n v="-0.03"/>
    <n v="0"/>
    <n v="0"/>
    <n v="45.82"/>
    <n v="0"/>
  </r>
  <r>
    <x v="5"/>
    <x v="4"/>
    <x v="0"/>
    <s v="3400103"/>
    <n v="700072"/>
    <s v="Salaries-Other Pat Care Providers-NonProd-Other"/>
    <s v="Critical Care"/>
    <x v="0"/>
    <n v="2000"/>
    <n v="0"/>
    <n v="0"/>
    <n v="0"/>
    <n v="0"/>
    <n v="0"/>
    <n v="0"/>
    <n v="13.1"/>
    <n v="0"/>
    <n v="0"/>
    <n v="0"/>
    <n v="0"/>
    <n v="0"/>
    <n v="13.1"/>
    <n v="0"/>
  </r>
  <r>
    <x v="5"/>
    <x v="4"/>
    <x v="0"/>
    <s v="3400103"/>
    <n v="700084"/>
    <s v="Accrued PTO"/>
    <s v="Critical Care"/>
    <x v="0"/>
    <m/>
    <n v="-16636.47"/>
    <n v="11335.22"/>
    <n v="2924.92"/>
    <n v="5059.8599999999997"/>
    <n v="4776.54"/>
    <n v="4035.62"/>
    <n v="1409.5"/>
    <n v="-3506.11"/>
    <n v="-865.49"/>
    <n v="8208.4599999999991"/>
    <n v="-1700.48"/>
    <n v="-1095.04"/>
    <n v="13946.529999999995"/>
    <n v="-605.44000000000005"/>
  </r>
  <r>
    <x v="10"/>
    <x v="4"/>
    <x v="0"/>
    <s v="3400103"/>
    <n v="710060"/>
    <s v="Contract Labor-Other"/>
    <s v="Critical Care"/>
    <x v="0"/>
    <m/>
    <n v="48986.65"/>
    <n v="72352.62"/>
    <n v="54786.81"/>
    <n v="65856.25"/>
    <n v="60331.75"/>
    <n v="62353"/>
    <n v="84576.75"/>
    <n v="24804.25"/>
    <n v="52854.01"/>
    <n v="80865.240000000005"/>
    <n v="49927.06"/>
    <n v="57959"/>
    <n v="715653.3899999999"/>
    <n v="-8031.9400000000023"/>
  </r>
  <r>
    <x v="10"/>
    <x v="4"/>
    <x v="0"/>
    <s v="3400103"/>
    <n v="710060"/>
    <s v="Contract Labor-Overtime"/>
    <s v="Critical Care"/>
    <x v="0"/>
    <n v="5100"/>
    <n v="958.5"/>
    <n v="1150.2"/>
    <n v="383.4"/>
    <n v="2611.91"/>
    <n v="1845.11"/>
    <n v="3258.9"/>
    <n v="2803.61"/>
    <n v="4169.4799999999996"/>
    <n v="2252.46"/>
    <n v="1150.2"/>
    <n v="95.85"/>
    <n v="2108.6999999999998"/>
    <n v="22788.32"/>
    <n v="-2012.85"/>
  </r>
  <r>
    <x v="10"/>
    <x v="4"/>
    <x v="0"/>
    <s v="3400103"/>
    <n v="710060"/>
    <s v="Contract Labor-Standby Wages"/>
    <s v="Critical Care"/>
    <x v="0"/>
    <n v="5101"/>
    <n v="532"/>
    <n v="384"/>
    <n v="0"/>
    <n v="82"/>
    <n v="96"/>
    <n v="0"/>
    <n v="0"/>
    <n v="24"/>
    <n v="0"/>
    <n v="0"/>
    <n v="96"/>
    <n v="308"/>
    <n v="1522"/>
    <n v="-212"/>
  </r>
  <r>
    <x v="6"/>
    <x v="4"/>
    <x v="0"/>
    <s v="3400103"/>
    <n v="713010"/>
    <s v="Benefits-FICA/Medicare"/>
    <s v="Critical Care"/>
    <x v="0"/>
    <m/>
    <n v="14977.58"/>
    <n v="15187.97"/>
    <n v="15292.59"/>
    <n v="14464.38"/>
    <n v="12130.94"/>
    <n v="15570.81"/>
    <n v="16676.45"/>
    <n v="15559.4"/>
    <n v="15980.22"/>
    <n v="16555.169999999998"/>
    <n v="14646.93"/>
    <n v="14181.54"/>
    <n v="181223.97999999995"/>
    <n v="465.38999999999942"/>
  </r>
  <r>
    <x v="6"/>
    <x v="4"/>
    <x v="0"/>
    <s v="3400103"/>
    <n v="713090"/>
    <s v="Benefits-Allocated Amounts"/>
    <s v="Critical Care"/>
    <x v="0"/>
    <m/>
    <n v="34724.839999999997"/>
    <n v="32262.52"/>
    <n v="32742.59"/>
    <n v="30618.6"/>
    <n v="29121.08"/>
    <n v="35489.370000000003"/>
    <n v="36726.239999999998"/>
    <n v="36356.239999999998"/>
    <n v="35877.99"/>
    <n v="39200.14"/>
    <n v="34847.410000000003"/>
    <n v="35880.22"/>
    <n v="413847.24"/>
    <n v="-1032.8099999999977"/>
  </r>
  <r>
    <x v="6"/>
    <x v="4"/>
    <x v="0"/>
    <s v="3400103"/>
    <n v="713096"/>
    <s v="Employee Recognition"/>
    <s v="Critical Care"/>
    <x v="0"/>
    <n v="1017"/>
    <n v="0"/>
    <n v="0"/>
    <n v="0"/>
    <n v="0"/>
    <n v="0"/>
    <n v="0"/>
    <n v="68.040000000000006"/>
    <n v="0"/>
    <n v="0"/>
    <n v="16"/>
    <n v="301.93"/>
    <n v="0"/>
    <n v="385.97"/>
    <n v="301.93"/>
  </r>
  <r>
    <x v="17"/>
    <x v="4"/>
    <x v="0"/>
    <s v="3400103"/>
    <n v="714520"/>
    <s v="Other Contracted Professionals"/>
    <s v="Critical Care"/>
    <x v="0"/>
    <m/>
    <n v="63395.59"/>
    <n v="66822.52"/>
    <n v="64222.53"/>
    <n v="63662.07"/>
    <n v="67044.039999999994"/>
    <n v="64140.76"/>
    <n v="66678.16"/>
    <n v="66651.16"/>
    <n v="60410.01"/>
    <n v="66327.179999999993"/>
    <n v="64571.96"/>
    <n v="95939.01"/>
    <n v="809864.99"/>
    <n v="-31367.049999999996"/>
  </r>
  <r>
    <x v="17"/>
    <x v="4"/>
    <x v="0"/>
    <s v="3400103"/>
    <n v="714530"/>
    <s v="Medical Prof Fees-Intracompany"/>
    <s v="Critical Care"/>
    <x v="0"/>
    <m/>
    <n v="5101.72"/>
    <n v="5193.25"/>
    <n v="5422.02"/>
    <n v="4595.8500000000004"/>
    <n v="4404.7299999999996"/>
    <n v="5101.1099999999997"/>
    <n v="1904.08"/>
    <n v="5243.55"/>
    <n v="4161.88"/>
    <n v="5896.05"/>
    <n v="4749.34"/>
    <n v="6681.72"/>
    <n v="58455.3"/>
    <n v="-1932.38"/>
  </r>
  <r>
    <x v="7"/>
    <x v="4"/>
    <x v="0"/>
    <s v="3400103"/>
    <n v="718050"/>
    <s v="Contract Svcs-Other"/>
    <s v="Critical Care"/>
    <x v="0"/>
    <m/>
    <n v="22.64"/>
    <n v="45.28"/>
    <n v="38.33"/>
    <n v="586.42999999999995"/>
    <n v="269.13"/>
    <n v="994.16"/>
    <n v="101.49"/>
    <n v="42.36"/>
    <n v="772.68"/>
    <n v="399.2"/>
    <n v="32.340000000000003"/>
    <n v="54"/>
    <n v="3358.0399999999995"/>
    <n v="-21.659999999999997"/>
  </r>
  <r>
    <x v="7"/>
    <x v="4"/>
    <x v="0"/>
    <s v="3400103"/>
    <n v="718050"/>
    <s v="Miscellaneous Purchased Svcs"/>
    <s v="Critical Care"/>
    <x v="0"/>
    <n v="1020"/>
    <n v="0"/>
    <n v="0"/>
    <n v="0"/>
    <n v="0"/>
    <n v="0"/>
    <n v="0"/>
    <n v="0"/>
    <n v="0"/>
    <n v="0"/>
    <n v="0"/>
    <n v="0"/>
    <n v="28"/>
    <n v="28"/>
    <n v="-28"/>
  </r>
  <r>
    <x v="7"/>
    <x v="4"/>
    <x v="0"/>
    <s v="3400103"/>
    <n v="718050"/>
    <s v="Translation Services"/>
    <s v="Critical Care"/>
    <x v="0"/>
    <n v="1025"/>
    <n v="8.1"/>
    <n v="115"/>
    <n v="9.7200000000000006"/>
    <n v="26.07"/>
    <n v="0"/>
    <n v="0"/>
    <n v="105.86"/>
    <n v="0"/>
    <n v="0"/>
    <n v="0"/>
    <n v="0"/>
    <n v="206.19"/>
    <n v="470.94"/>
    <n v="-206.19"/>
  </r>
  <r>
    <x v="7"/>
    <x v="4"/>
    <x v="0"/>
    <s v="3400103"/>
    <n v="718050"/>
    <s v="Contract Management--Linen"/>
    <s v="Critical Care"/>
    <x v="0"/>
    <n v="1026"/>
    <n v="8037.73"/>
    <n v="5958.59"/>
    <n v="5657.54"/>
    <n v="4715.6899999999996"/>
    <n v="6401.31"/>
    <n v="6717.73"/>
    <n v="6766.98"/>
    <n v="7747.75"/>
    <n v="4991.6499999999996"/>
    <n v="10896"/>
    <n v="6300.03"/>
    <n v="6027.33"/>
    <n v="80218.33"/>
    <n v="272.69999999999982"/>
  </r>
  <r>
    <x v="11"/>
    <x v="4"/>
    <x v="0"/>
    <s v="3400103"/>
    <n v="721010"/>
    <s v="Supplies-Medical - Billable"/>
    <s v="Critical Care"/>
    <x v="0"/>
    <m/>
    <n v="6071.79"/>
    <n v="5018.29"/>
    <n v="5596.29"/>
    <n v="6330.62"/>
    <n v="4880.5600000000004"/>
    <n v="10174.75"/>
    <n v="9642.3799999999992"/>
    <n v="8251.81"/>
    <n v="7120.84"/>
    <n v="10251.799999999999"/>
    <n v="7508.07"/>
    <n v="8837.67"/>
    <n v="89684.87000000001"/>
    <n v="-1329.6000000000004"/>
  </r>
  <r>
    <x v="11"/>
    <x v="4"/>
    <x v="0"/>
    <s v="3400103"/>
    <n v="721010"/>
    <s v="Patient Monitoring"/>
    <s v="Critical Care"/>
    <x v="0"/>
    <n v="1000"/>
    <n v="1619.23"/>
    <n v="1475.6"/>
    <n v="1224.3900000000001"/>
    <n v="829.96"/>
    <n v="1562.92"/>
    <n v="1488.94"/>
    <n v="1770.79"/>
    <n v="1425.33"/>
    <n v="1497.25"/>
    <n v="2238.7399999999998"/>
    <n v="1778.75"/>
    <n v="1297.1300000000001"/>
    <n v="18209.030000000002"/>
    <n v="481.61999999999989"/>
  </r>
  <r>
    <x v="11"/>
    <x v="4"/>
    <x v="0"/>
    <s v="3400103"/>
    <n v="721020"/>
    <s v="Supplies-Surgical - Billable"/>
    <s v="Critical Care"/>
    <x v="0"/>
    <m/>
    <n v="1383.13"/>
    <n v="1073.3900000000001"/>
    <n v="631.34"/>
    <n v="1667.53"/>
    <n v="1366.54"/>
    <n v="1443.84"/>
    <n v="1246.32"/>
    <n v="1094"/>
    <n v="1220.68"/>
    <n v="752.01"/>
    <n v="710.01"/>
    <n v="1443.1"/>
    <n v="14031.890000000001"/>
    <n v="-733.08999999999992"/>
  </r>
  <r>
    <x v="11"/>
    <x v="4"/>
    <x v="0"/>
    <s v="3400103"/>
    <n v="721020"/>
    <s v="Custom Packs"/>
    <s v="Critical Care"/>
    <x v="0"/>
    <n v="1000"/>
    <n v="0"/>
    <n v="235.21"/>
    <n v="662"/>
    <n v="794.4"/>
    <n v="225.15"/>
    <n v="0"/>
    <n v="0"/>
    <n v="0"/>
    <n v="0"/>
    <n v="52.96"/>
    <n v="26.48"/>
    <n v="0"/>
    <n v="1996.2000000000003"/>
    <n v="26.48"/>
  </r>
  <r>
    <x v="11"/>
    <x v="4"/>
    <x v="0"/>
    <s v="3400103"/>
    <n v="721020"/>
    <s v="Suture/Wound Closure"/>
    <s v="Critical Care"/>
    <x v="0"/>
    <n v="1001"/>
    <n v="0"/>
    <n v="2.74"/>
    <n v="0"/>
    <n v="20.37"/>
    <n v="3.28"/>
    <n v="6.76"/>
    <n v="14.5"/>
    <n v="8.82"/>
    <n v="11.75"/>
    <n v="4.22"/>
    <n v="23.53"/>
    <n v="3.59"/>
    <n v="99.56"/>
    <n v="19.940000000000001"/>
  </r>
  <r>
    <x v="11"/>
    <x v="4"/>
    <x v="0"/>
    <s v="3400103"/>
    <n v="721020"/>
    <s v="Tubes Drains &amp; Related Supplies"/>
    <s v="Critical Care"/>
    <x v="0"/>
    <n v="1008"/>
    <n v="227.24"/>
    <n v="584.21"/>
    <n v="-115.8"/>
    <n v="13.43"/>
    <n v="-156.09"/>
    <n v="309.10000000000002"/>
    <n v="234.9"/>
    <n v="204.01"/>
    <n v="90.22"/>
    <n v="199.73"/>
    <n v="94.72"/>
    <n v="29.49"/>
    <n v="1715.16"/>
    <n v="65.23"/>
  </r>
  <r>
    <x v="11"/>
    <x v="4"/>
    <x v="0"/>
    <s v="3400103"/>
    <n v="721050"/>
    <s v="Supplies-Cardiac Rhythm - Billable"/>
    <s v="Critical Care"/>
    <x v="0"/>
    <m/>
    <n v="181.14"/>
    <n v="383"/>
    <n v="161.46"/>
    <n v="457.25"/>
    <n v="259.35000000000002"/>
    <n v="235.03"/>
    <n v="598.51"/>
    <n v="0"/>
    <n v="261.69"/>
    <n v="408.99"/>
    <n v="705.63"/>
    <n v="114.32"/>
    <n v="3766.3700000000003"/>
    <n v="591.30999999999995"/>
  </r>
  <r>
    <x v="11"/>
    <x v="4"/>
    <x v="0"/>
    <s v="3400103"/>
    <n v="721050"/>
    <s v="Pacemakers - Internal"/>
    <s v="Critical Care"/>
    <x v="0"/>
    <n v="1000"/>
    <n v="0"/>
    <n v="0"/>
    <n v="260"/>
    <n v="1365"/>
    <n v="533"/>
    <n v="0"/>
    <n v="0"/>
    <n v="0"/>
    <n v="0"/>
    <n v="0"/>
    <n v="0"/>
    <n v="0"/>
    <n v="2158"/>
    <n v="0"/>
  </r>
  <r>
    <x v="11"/>
    <x v="4"/>
    <x v="0"/>
    <s v="3400103"/>
    <n v="721220"/>
    <s v="Supplies-Medical Gases - Billable"/>
    <s v="Critical Care"/>
    <x v="0"/>
    <m/>
    <n v="30"/>
    <n v="30"/>
    <n v="0"/>
    <n v="60"/>
    <n v="30"/>
    <n v="30"/>
    <n v="0"/>
    <n v="60"/>
    <n v="30"/>
    <n v="30"/>
    <n v="0"/>
    <n v="60"/>
    <n v="360"/>
    <n v="-60"/>
  </r>
  <r>
    <x v="11"/>
    <x v="4"/>
    <x v="0"/>
    <s v="3400103"/>
    <n v="721240"/>
    <s v="Supplies-IV Solutions/Supplies - Billable"/>
    <s v="Critical Care"/>
    <x v="0"/>
    <m/>
    <n v="4273.3900000000003"/>
    <n v="3174.59"/>
    <n v="2225.0700000000002"/>
    <n v="3128.67"/>
    <n v="2506.42"/>
    <n v="6447.76"/>
    <n v="1201.79"/>
    <n v="2802.26"/>
    <n v="4532.8999999999996"/>
    <n v="3562.82"/>
    <n v="3911.48"/>
    <n v="2716.41"/>
    <n v="40483.560000000012"/>
    <n v="1195.0700000000002"/>
  </r>
  <r>
    <x v="11"/>
    <x v="4"/>
    <x v="0"/>
    <s v="3400103"/>
    <n v="721250"/>
    <s v="Supplies-Pharmacy Drugs - Billable"/>
    <s v="Critical Care"/>
    <x v="0"/>
    <m/>
    <n v="0"/>
    <n v="56.01"/>
    <n v="5.4"/>
    <n v="2.85"/>
    <n v="0"/>
    <n v="0"/>
    <n v="0"/>
    <n v="3.52"/>
    <n v="0"/>
    <n v="57.64"/>
    <n v="0"/>
    <n v="2.68"/>
    <n v="128.1"/>
    <n v="-2.68"/>
  </r>
  <r>
    <x v="11"/>
    <x v="4"/>
    <x v="0"/>
    <s v="3400103"/>
    <n v="721410"/>
    <s v="Supplies-Medical - Nonbillable"/>
    <s v="Critical Care"/>
    <x v="0"/>
    <m/>
    <n v="15420.36"/>
    <n v="13307.8"/>
    <n v="15105.47"/>
    <n v="16891.37"/>
    <n v="16441.97"/>
    <n v="18529.919999999998"/>
    <n v="18018.79"/>
    <n v="16956.52"/>
    <n v="19268.41"/>
    <n v="20658.62"/>
    <n v="22524.87"/>
    <n v="17278.22"/>
    <n v="210402.31999999998"/>
    <n v="5246.6499999999978"/>
  </r>
  <r>
    <x v="11"/>
    <x v="4"/>
    <x v="0"/>
    <s v="3400103"/>
    <n v="721410"/>
    <s v="Patient Monitoring"/>
    <s v="Critical Care"/>
    <x v="0"/>
    <n v="1000"/>
    <n v="0"/>
    <n v="0"/>
    <n v="0"/>
    <n v="0"/>
    <n v="0"/>
    <n v="0"/>
    <n v="0"/>
    <n v="0"/>
    <n v="0"/>
    <n v="8.1"/>
    <n v="21.6"/>
    <n v="10.8"/>
    <n v="40.5"/>
    <n v="10.8"/>
  </r>
  <r>
    <x v="11"/>
    <x v="4"/>
    <x v="0"/>
    <s v="3400103"/>
    <n v="721420"/>
    <s v="Supplies-Surgical Nonbillable"/>
    <s v="Critical Care"/>
    <x v="0"/>
    <m/>
    <n v="1094.78"/>
    <n v="4126.58"/>
    <n v="141.09"/>
    <n v="1398.26"/>
    <n v="1332.54"/>
    <n v="4696.9799999999996"/>
    <n v="1548.19"/>
    <n v="408.89"/>
    <n v="2995.5"/>
    <n v="252.95"/>
    <n v="2965.01"/>
    <n v="3356.34"/>
    <n v="24317.109999999997"/>
    <n v="-391.32999999999993"/>
  </r>
  <r>
    <x v="11"/>
    <x v="4"/>
    <x v="0"/>
    <s v="3400103"/>
    <n v="721420"/>
    <s v="Tubes Drains &amp; Related Supplies"/>
    <s v="Critical Care"/>
    <x v="0"/>
    <n v="1008"/>
    <n v="56.36"/>
    <n v="32.79"/>
    <n v="78.39"/>
    <n v="48.9"/>
    <n v="46.96"/>
    <n v="63.93"/>
    <n v="35.96"/>
    <n v="66.69"/>
    <n v="100.05"/>
    <n v="140.02000000000001"/>
    <n v="52.32"/>
    <n v="38.65"/>
    <n v="761.02"/>
    <n v="13.670000000000002"/>
  </r>
  <r>
    <x v="11"/>
    <x v="4"/>
    <x v="0"/>
    <s v="3400103"/>
    <n v="721420"/>
    <s v="Sterilization Process Products"/>
    <s v="Critical Care"/>
    <x v="0"/>
    <n v="1009"/>
    <n v="21.93"/>
    <n v="18.27"/>
    <n v="18.27"/>
    <n v="0"/>
    <n v="0"/>
    <n v="0"/>
    <n v="14.62"/>
    <n v="16.440000000000001"/>
    <n v="44.49"/>
    <n v="107.09"/>
    <n v="37.26"/>
    <n v="131.46"/>
    <n v="409.83000000000004"/>
    <n v="-94.200000000000017"/>
  </r>
  <r>
    <x v="11"/>
    <x v="4"/>
    <x v="0"/>
    <s v="3400103"/>
    <n v="721610"/>
    <s v="Supplies-Anesthesia - Nonbillable"/>
    <s v="Critical Care"/>
    <x v="0"/>
    <m/>
    <n v="640.14"/>
    <n v="610.63"/>
    <n v="692.69"/>
    <n v="468.15"/>
    <n v="814.36"/>
    <n v="347.2"/>
    <n v="1292.28"/>
    <n v="520.64"/>
    <n v="821.03"/>
    <n v="336.1"/>
    <n v="333.46"/>
    <n v="362.85"/>
    <n v="7239.5300000000007"/>
    <n v="-29.390000000000043"/>
  </r>
  <r>
    <x v="11"/>
    <x v="4"/>
    <x v="0"/>
    <s v="3400103"/>
    <n v="721640"/>
    <s v="Supplies-IV Solutions/Supplies - Nonbillable"/>
    <s v="Critical Care"/>
    <x v="0"/>
    <m/>
    <n v="3834.56"/>
    <n v="3958.88"/>
    <n v="4148.53"/>
    <n v="4583.92"/>
    <n v="3617.81"/>
    <n v="5518.97"/>
    <n v="4833.3"/>
    <n v="5449.67"/>
    <n v="3857.26"/>
    <n v="5052.5"/>
    <n v="4264.96"/>
    <n v="3749.15"/>
    <n v="52869.51"/>
    <n v="515.80999999999995"/>
  </r>
  <r>
    <x v="11"/>
    <x v="4"/>
    <x v="0"/>
    <s v="3400103"/>
    <n v="721650"/>
    <s v="Supplies-Pharmacy Drugs - Nonbillable"/>
    <s v="Critical Care"/>
    <x v="0"/>
    <m/>
    <n v="123.62"/>
    <n v="96.25"/>
    <n v="105.15"/>
    <n v="295.02"/>
    <n v="100.33"/>
    <n v="168.55"/>
    <n v="134.30000000000001"/>
    <n v="148.06"/>
    <n v="227.22"/>
    <n v="183.74"/>
    <n v="167.51"/>
    <n v="127.85"/>
    <n v="1877.6"/>
    <n v="39.659999999999997"/>
  </r>
  <r>
    <x v="11"/>
    <x v="4"/>
    <x v="0"/>
    <s v="3400103"/>
    <n v="721710"/>
    <s v="Supplies-Laboratory - Nonbillable"/>
    <s v="Critical Care"/>
    <x v="0"/>
    <m/>
    <n v="542.98"/>
    <n v="668.37"/>
    <n v="633.29"/>
    <n v="833.1"/>
    <n v="546.14"/>
    <n v="968.41"/>
    <n v="915.27"/>
    <n v="1008.32"/>
    <n v="951.16"/>
    <n v="1097.29"/>
    <n v="871.37"/>
    <n v="709.68"/>
    <n v="9745.3799999999992"/>
    <n v="161.69000000000005"/>
  </r>
  <r>
    <x v="11"/>
    <x v="4"/>
    <x v="0"/>
    <s v="3400103"/>
    <n v="721710"/>
    <s v="Reagents"/>
    <s v="Critical Care"/>
    <x v="0"/>
    <n v="1000"/>
    <n v="37.26"/>
    <n v="0"/>
    <n v="0"/>
    <n v="0"/>
    <n v="0"/>
    <n v="7.8"/>
    <n v="0"/>
    <n v="20.16"/>
    <n v="0"/>
    <n v="20.56"/>
    <n v="0"/>
    <n v="10.4"/>
    <n v="96.18"/>
    <n v="-10.4"/>
  </r>
  <r>
    <x v="11"/>
    <x v="4"/>
    <x v="0"/>
    <s v="3400103"/>
    <n v="721750"/>
    <s v="Supplies-Film/Radiographic - Nonbillable"/>
    <s v="Critical Care"/>
    <x v="0"/>
    <m/>
    <n v="70.849999999999994"/>
    <n v="14.38"/>
    <n v="42.52"/>
    <n v="31.89"/>
    <n v="43.66"/>
    <n v="117.44"/>
    <n v="131.5"/>
    <n v="41.18"/>
    <n v="3.75"/>
    <n v="0"/>
    <n v="0"/>
    <n v="3.75"/>
    <n v="500.92"/>
    <n v="-3.75"/>
  </r>
  <r>
    <x v="11"/>
    <x v="4"/>
    <x v="0"/>
    <s v="3400103"/>
    <n v="721810"/>
    <s v="Supplies-Dietary/Cafeteria"/>
    <s v="Critical Care"/>
    <x v="0"/>
    <m/>
    <n v="868.43"/>
    <n v="873.18"/>
    <n v="988.71"/>
    <n v="874.47"/>
    <n v="920.89"/>
    <n v="906.38"/>
    <n v="1084.8599999999999"/>
    <n v="943.55"/>
    <n v="157.96"/>
    <n v="2090.77"/>
    <n v="1536.06"/>
    <n v="1168.53"/>
    <n v="12413.79"/>
    <n v="367.53"/>
  </r>
  <r>
    <x v="11"/>
    <x v="4"/>
    <x v="0"/>
    <s v="3400103"/>
    <n v="721830"/>
    <s v="Supplies-Office"/>
    <s v="Critical Care"/>
    <x v="0"/>
    <m/>
    <n v="219.66"/>
    <n v="265.75"/>
    <n v="688.41"/>
    <n v="2334.69"/>
    <n v="457.58"/>
    <n v="286.52"/>
    <n v="872.26"/>
    <n v="109.65"/>
    <n v="83.42"/>
    <n v="345.22"/>
    <n v="346.98"/>
    <n v="34.4"/>
    <n v="6044.5400000000009"/>
    <n v="312.58000000000004"/>
  </r>
  <r>
    <x v="11"/>
    <x v="4"/>
    <x v="0"/>
    <s v="3400103"/>
    <n v="721835"/>
    <s v="Supplies-Forms"/>
    <s v="Critical Care"/>
    <x v="0"/>
    <m/>
    <n v="0"/>
    <n v="0"/>
    <n v="0"/>
    <n v="0"/>
    <n v="525.14"/>
    <n v="97.23"/>
    <n v="7.23"/>
    <n v="0"/>
    <n v="21.34"/>
    <n v="86.4"/>
    <n v="101.67"/>
    <n v="113.95"/>
    <n v="952.96"/>
    <n v="-12.280000000000001"/>
  </r>
  <r>
    <x v="11"/>
    <x v="4"/>
    <x v="0"/>
    <s v="3400103"/>
    <n v="721870"/>
    <s v="Supplies-Environmental Services"/>
    <s v="Critical Care"/>
    <x v="0"/>
    <m/>
    <n v="243.11"/>
    <n v="258.58999999999997"/>
    <n v="230.14"/>
    <n v="318.5"/>
    <n v="244.63"/>
    <n v="351.58"/>
    <n v="230.05"/>
    <n v="288.54000000000002"/>
    <n v="266.5"/>
    <n v="300.75"/>
    <n v="210.89"/>
    <n v="174.94"/>
    <n v="3118.22"/>
    <n v="35.949999999999989"/>
  </r>
  <r>
    <x v="11"/>
    <x v="4"/>
    <x v="0"/>
    <s v="3400103"/>
    <n v="721910"/>
    <s v="Supplies-Small Equipment"/>
    <s v="Critical Care"/>
    <x v="0"/>
    <m/>
    <n v="1562.81"/>
    <n v="1589.45"/>
    <n v="1758.57"/>
    <n v="9052.7199999999993"/>
    <n v="2344.61"/>
    <n v="2245.29"/>
    <n v="3468.19"/>
    <n v="3332.35"/>
    <n v="1911.07"/>
    <n v="1311.86"/>
    <n v="3514.89"/>
    <n v="3439.66"/>
    <n v="35531.47"/>
    <n v="75.230000000000018"/>
  </r>
  <r>
    <x v="11"/>
    <x v="4"/>
    <x v="0"/>
    <s v="3400103"/>
    <n v="721910"/>
    <s v="Instruments"/>
    <s v="Critical Care"/>
    <x v="0"/>
    <n v="1000"/>
    <n v="117.6"/>
    <n v="0"/>
    <n v="39.200000000000003"/>
    <n v="0"/>
    <n v="0"/>
    <n v="274.39999999999998"/>
    <n v="78.400000000000006"/>
    <n v="159"/>
    <n v="158.26"/>
    <n v="235.2"/>
    <n v="78.400000000000006"/>
    <n v="0"/>
    <n v="1140.46"/>
    <n v="78.400000000000006"/>
  </r>
  <r>
    <x v="11"/>
    <x v="4"/>
    <x v="0"/>
    <s v="3400103"/>
    <n v="721980"/>
    <s v="Supplies-Other"/>
    <s v="Critical Care"/>
    <x v="0"/>
    <m/>
    <n v="830.18"/>
    <n v="3425.91"/>
    <n v="194.44"/>
    <n v="195.02"/>
    <n v="0"/>
    <n v="57.6"/>
    <n v="0"/>
    <n v="273.89999999999998"/>
    <n v="550"/>
    <n v="0"/>
    <n v="102.95"/>
    <n v="0"/>
    <n v="5630"/>
    <n v="102.95"/>
  </r>
  <r>
    <x v="11"/>
    <x v="4"/>
    <x v="0"/>
    <s v="3400103"/>
    <n v="722000"/>
    <s v="Supplies-Freight Expense"/>
    <s v="Critical Care"/>
    <x v="0"/>
    <m/>
    <n v="-24.67"/>
    <n v="67.95"/>
    <n v="169.22"/>
    <n v="0"/>
    <n v="15.15"/>
    <n v="0"/>
    <n v="0"/>
    <n v="77.37"/>
    <n v="61.22"/>
    <n v="17.649999999999999"/>
    <n v="45.42"/>
    <n v="9.4600000000000009"/>
    <n v="438.77"/>
    <n v="35.96"/>
  </r>
  <r>
    <x v="12"/>
    <x v="4"/>
    <x v="0"/>
    <s v="3400103"/>
    <n v="730020"/>
    <s v="Rental and Leases-Equipment (DO NOT USE)"/>
    <s v="Critical Care"/>
    <x v="0"/>
    <m/>
    <n v="0"/>
    <n v="0"/>
    <n v="0"/>
    <n v="-1607.83"/>
    <n v="-1252.8399999999999"/>
    <n v="0"/>
    <n v="0"/>
    <n v="0"/>
    <n v="0"/>
    <n v="0"/>
    <n v="0"/>
    <n v="0"/>
    <n v="-2860.67"/>
    <n v="0"/>
  </r>
  <r>
    <x v="12"/>
    <x v="4"/>
    <x v="0"/>
    <s v="3400103"/>
    <n v="730020"/>
    <s v="Rental and Leases-Copier Usage Fees (DO NOT USE)"/>
    <s v="Critical Care"/>
    <x v="0"/>
    <n v="5100"/>
    <n v="464.91"/>
    <n v="479.23"/>
    <n v="472.07"/>
    <n v="472.07"/>
    <n v="472.07"/>
    <n v="472.07"/>
    <n v="678.1"/>
    <n v="1170.5"/>
    <n v="490.33"/>
    <n v="206.4"/>
    <n v="433.94"/>
    <n v="520.72"/>
    <n v="6332.41"/>
    <n v="-86.78000000000003"/>
  </r>
  <r>
    <x v="15"/>
    <x v="4"/>
    <x v="0"/>
    <s v="3400103"/>
    <n v="731060"/>
    <s v="Telephone"/>
    <s v="Critical Care"/>
    <x v="0"/>
    <m/>
    <n v="0"/>
    <n v="78"/>
    <n v="7.88"/>
    <n v="0"/>
    <n v="0"/>
    <n v="0"/>
    <n v="78"/>
    <n v="0"/>
    <n v="0"/>
    <n v="0"/>
    <n v="0"/>
    <n v="88"/>
    <n v="251.88"/>
    <n v="-88"/>
  </r>
  <r>
    <x v="15"/>
    <x v="4"/>
    <x v="0"/>
    <s v="3400103"/>
    <n v="731060"/>
    <s v="Cell Phones"/>
    <s v="Critical Care"/>
    <x v="0"/>
    <n v="1001"/>
    <n v="0"/>
    <n v="27.36"/>
    <n v="54.7"/>
    <n v="0"/>
    <n v="26.82"/>
    <n v="27.44"/>
    <n v="54.81"/>
    <n v="0"/>
    <n v="27.9"/>
    <n v="54.92"/>
    <n v="26.82"/>
    <n v="27.48"/>
    <n v="328.25"/>
    <n v="-0.66000000000000014"/>
  </r>
  <r>
    <x v="15"/>
    <x v="4"/>
    <x v="0"/>
    <s v="3400103"/>
    <n v="731060"/>
    <s v="Pagers"/>
    <s v="Critical Care"/>
    <x v="0"/>
    <n v="1002"/>
    <n v="16.2"/>
    <n v="16.2"/>
    <n v="16.45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5.01000000000002"/>
    <n v="0"/>
  </r>
  <r>
    <x v="16"/>
    <x v="4"/>
    <x v="0"/>
    <s v="3400103"/>
    <n v="732020"/>
    <s v="Repairs--Clin Equip-Parts-Internal to CHI Programs"/>
    <s v="Critical Care"/>
    <x v="0"/>
    <m/>
    <n v="0"/>
    <n v="0"/>
    <n v="0"/>
    <n v="0"/>
    <n v="0"/>
    <n v="0"/>
    <n v="0"/>
    <n v="0"/>
    <n v="0"/>
    <n v="0"/>
    <n v="4.3600000000000003"/>
    <n v="0"/>
    <n v="4.3600000000000003"/>
    <n v="4.3600000000000003"/>
  </r>
  <r>
    <x v="16"/>
    <x v="4"/>
    <x v="0"/>
    <s v="3400103"/>
    <n v="732030"/>
    <s v="Repairs---Other"/>
    <s v="Critical Care"/>
    <x v="0"/>
    <m/>
    <n v="0"/>
    <n v="0"/>
    <n v="0"/>
    <n v="0"/>
    <n v="0"/>
    <n v="4797.4799999999996"/>
    <n v="0"/>
    <n v="0"/>
    <n v="0"/>
    <n v="0"/>
    <n v="0"/>
    <n v="0"/>
    <n v="4797.4799999999996"/>
    <n v="0"/>
  </r>
  <r>
    <x v="13"/>
    <x v="4"/>
    <x v="0"/>
    <s v="3400103"/>
    <n v="735040"/>
    <s v="Depreciation-Building Improvements"/>
    <s v="Critical Care"/>
    <x v="0"/>
    <m/>
    <n v="115.44"/>
    <n v="115.44"/>
    <n v="115.44"/>
    <n v="115.44"/>
    <n v="115.44"/>
    <n v="115.44"/>
    <n v="115.44"/>
    <n v="115.44"/>
    <n v="115.44"/>
    <n v="115.44"/>
    <n v="115.44"/>
    <n v="115.44"/>
    <n v="1385.2800000000004"/>
    <n v="0"/>
  </r>
  <r>
    <x v="13"/>
    <x v="4"/>
    <x v="0"/>
    <s v="3400103"/>
    <n v="735060"/>
    <s v="Depreciation-Fixed Equipment"/>
    <s v="Critical Care"/>
    <x v="0"/>
    <m/>
    <n v="92.24"/>
    <n v="92.24"/>
    <n v="92.24"/>
    <n v="92.24"/>
    <n v="92.24"/>
    <n v="92.24"/>
    <n v="92.26"/>
    <n v="92.24"/>
    <n v="92.26"/>
    <n v="92.24"/>
    <n v="92.26"/>
    <n v="92.24"/>
    <n v="1106.9399999999998"/>
    <n v="2.0000000000010232E-2"/>
  </r>
  <r>
    <x v="13"/>
    <x v="4"/>
    <x v="0"/>
    <s v="3400103"/>
    <n v="735070"/>
    <s v="Depreciation-Movable Equipment"/>
    <s v="Critical Care"/>
    <x v="0"/>
    <m/>
    <n v="1975.1"/>
    <n v="1975.1"/>
    <n v="1975.12"/>
    <n v="1975.08"/>
    <n v="1975.14"/>
    <n v="1975.07"/>
    <n v="2509.44"/>
    <n v="4187.3999999999996"/>
    <n v="4157.9399999999996"/>
    <n v="5048.1899999999996"/>
    <n v="5019.0600000000004"/>
    <n v="5018.91"/>
    <n v="37791.549999999988"/>
    <n v="0.1500000000005457"/>
  </r>
  <r>
    <x v="0"/>
    <x v="4"/>
    <x v="0"/>
    <s v="3400103"/>
    <n v="740020"/>
    <s v="Education-Registration Fees"/>
    <s v="Critical Care"/>
    <x v="0"/>
    <m/>
    <n v="0"/>
    <n v="650"/>
    <n v="0"/>
    <n v="210"/>
    <n v="390"/>
    <n v="0"/>
    <n v="0"/>
    <n v="210"/>
    <n v="1835"/>
    <n v="1560"/>
    <n v="300"/>
    <n v="255"/>
    <n v="5410"/>
    <n v="45"/>
  </r>
  <r>
    <x v="0"/>
    <x v="4"/>
    <x v="0"/>
    <s v="3400103"/>
    <n v="743030"/>
    <s v="Subscriptions--Institutional"/>
    <s v="Critical Care"/>
    <x v="0"/>
    <m/>
    <n v="0"/>
    <n v="0"/>
    <n v="172.34"/>
    <n v="0"/>
    <n v="0"/>
    <n v="0"/>
    <n v="0"/>
    <n v="0"/>
    <n v="0"/>
    <n v="0"/>
    <n v="0"/>
    <n v="0"/>
    <n v="172.34"/>
    <n v="0"/>
  </r>
  <r>
    <x v="0"/>
    <x v="4"/>
    <x v="0"/>
    <s v="3400103"/>
    <n v="749510"/>
    <s v="Miscellaneous Expenses"/>
    <s v="Critical Care"/>
    <x v="0"/>
    <m/>
    <n v="-707.59"/>
    <n v="2251.2199999999998"/>
    <n v="490.58"/>
    <n v="453.36"/>
    <n v="5129.07"/>
    <n v="1851"/>
    <n v="86.64"/>
    <n v="583.88"/>
    <n v="-192.67"/>
    <n v="584.99"/>
    <n v="43.78"/>
    <n v="1654.52"/>
    <n v="12228.779999999999"/>
    <n v="-1610.74"/>
  </r>
  <r>
    <x v="0"/>
    <x v="4"/>
    <x v="0"/>
    <s v="3400103"/>
    <n v="749510"/>
    <s v="Casualty Loss/Patient Property"/>
    <s v="Critical Care"/>
    <x v="0"/>
    <n v="4601"/>
    <n v="0"/>
    <n v="0"/>
    <n v="0"/>
    <n v="0"/>
    <n v="0"/>
    <n v="850"/>
    <n v="0"/>
    <n v="0"/>
    <n v="0"/>
    <n v="0"/>
    <n v="0"/>
    <n v="0"/>
    <n v="850"/>
    <n v="0"/>
  </r>
  <r>
    <x v="0"/>
    <x v="4"/>
    <x v="0"/>
    <s v="3400103"/>
    <n v="749510"/>
    <s v="RICE Rewards"/>
    <s v="Critical Care"/>
    <x v="0"/>
    <n v="5100"/>
    <n v="0"/>
    <n v="0"/>
    <n v="0"/>
    <n v="0"/>
    <n v="0"/>
    <n v="36.43"/>
    <n v="0"/>
    <n v="52.42"/>
    <n v="0"/>
    <n v="0"/>
    <n v="0"/>
    <n v="1339.09"/>
    <n v="1427.9399999999998"/>
    <n v="-1339.09"/>
  </r>
  <r>
    <x v="0"/>
    <x v="4"/>
    <x v="0"/>
    <s v="3400103"/>
    <n v="749530"/>
    <s v="Travel"/>
    <s v="Critical Care"/>
    <x v="0"/>
    <m/>
    <n v="707.59"/>
    <n v="0"/>
    <n v="0"/>
    <n v="0"/>
    <n v="0"/>
    <n v="0"/>
    <n v="0"/>
    <n v="0"/>
    <n v="1206.8399999999999"/>
    <n v="630.82000000000005"/>
    <n v="319.3"/>
    <n v="533.33000000000004"/>
    <n v="3397.88"/>
    <n v="-214.03000000000003"/>
  </r>
  <r>
    <x v="0"/>
    <x v="4"/>
    <x v="0"/>
    <s v="3400103"/>
    <n v="749530"/>
    <s v="Mileage"/>
    <s v="Critical Care"/>
    <x v="0"/>
    <n v="1001"/>
    <n v="0"/>
    <n v="0"/>
    <n v="0"/>
    <n v="0"/>
    <n v="0"/>
    <n v="0"/>
    <n v="0"/>
    <n v="34.22"/>
    <n v="0"/>
    <n v="0"/>
    <n v="0"/>
    <n v="27.26"/>
    <n v="61.480000000000004"/>
    <n v="-27.26"/>
  </r>
  <r>
    <x v="0"/>
    <x v="4"/>
    <x v="0"/>
    <s v="3400103"/>
    <n v="749535"/>
    <s v="Meetings"/>
    <s v="Critical Care"/>
    <x v="0"/>
    <m/>
    <n v="0"/>
    <n v="0"/>
    <n v="0"/>
    <n v="0"/>
    <n v="0"/>
    <n v="0"/>
    <n v="51.48"/>
    <n v="0"/>
    <n v="0"/>
    <n v="0"/>
    <n v="0"/>
    <n v="0"/>
    <n v="51.48"/>
    <n v="0"/>
  </r>
  <r>
    <x v="18"/>
    <x v="8"/>
    <x v="0"/>
    <s v="3400104"/>
    <n v="400010"/>
    <s v="Acute I/P Svcs Rev--Medicare"/>
    <s v="Critical Care"/>
    <x v="0"/>
    <n v="1100"/>
    <n v="-1382220.6"/>
    <n v="-943894.07"/>
    <n v="-1090195.2"/>
    <n v="-894869.83"/>
    <n v="-1342843.76"/>
    <n v="-1421254.25"/>
    <n v="-1515552.29"/>
    <n v="-1134261.6399999999"/>
    <n v="-1652357.07"/>
    <n v="-1333155.2"/>
    <n v="-1271498.1000000001"/>
    <n v="-1232422.8400000001"/>
    <n v="-15214524.85"/>
    <n v="-39075.260000000009"/>
  </r>
  <r>
    <x v="18"/>
    <x v="8"/>
    <x v="0"/>
    <s v="3400104"/>
    <n v="400010"/>
    <s v="Acute I/P Svcs Rev--Medicaid"/>
    <s v="Critical Care"/>
    <x v="0"/>
    <n v="1200"/>
    <n v="-383240.25"/>
    <n v="-384335.87"/>
    <n v="-504293.37"/>
    <n v="-454896.74"/>
    <n v="-197670.42"/>
    <n v="-312428"/>
    <n v="-345233.56"/>
    <n v="-345981.67"/>
    <n v="-320103.65999999997"/>
    <n v="-341086.61"/>
    <n v="-415300.37"/>
    <n v="-399121.07"/>
    <n v="-4403691.59"/>
    <n v="-16179.299999999988"/>
  </r>
  <r>
    <x v="18"/>
    <x v="8"/>
    <x v="0"/>
    <s v="3400104"/>
    <n v="400010"/>
    <s v="Acute I/P Svcs Rev--Comm Insurance"/>
    <s v="Critical Care"/>
    <x v="0"/>
    <n v="1300"/>
    <n v="-19952.22"/>
    <n v="-73371.649999999994"/>
    <n v="4217"/>
    <n v="17523.14"/>
    <n v="-196707.28"/>
    <n v="1413.55"/>
    <n v="-30547.78"/>
    <n v="0"/>
    <n v="-7538.67"/>
    <n v="-67452.03"/>
    <n v="0"/>
    <n v="-6760.29"/>
    <n v="-379176.22999999992"/>
    <n v="6760.29"/>
  </r>
  <r>
    <x v="18"/>
    <x v="8"/>
    <x v="0"/>
    <s v="3400104"/>
    <n v="400010"/>
    <s v="Acute I/P Svcs Rev--BCBS Comm"/>
    <s v="Critical Care"/>
    <x v="0"/>
    <n v="1301"/>
    <n v="-120168.7"/>
    <n v="-68644.41"/>
    <n v="-95313.27"/>
    <n v="-37483.39"/>
    <n v="-52488.71"/>
    <n v="-124708.43"/>
    <n v="-119847.63"/>
    <n v="-107402.16"/>
    <n v="-72892.19"/>
    <n v="-106957.89"/>
    <n v="-92945.42"/>
    <n v="-108153.49"/>
    <n v="-1107005.6900000002"/>
    <n v="15208.070000000007"/>
  </r>
  <r>
    <x v="18"/>
    <x v="8"/>
    <x v="0"/>
    <s v="3400104"/>
    <n v="400010"/>
    <s v="Acute I/P Svcs Rev--Managed Care"/>
    <s v="Critical Care"/>
    <x v="0"/>
    <n v="1400"/>
    <n v="-142489.56"/>
    <n v="-246645.34"/>
    <n v="-288967"/>
    <n v="-272181.36"/>
    <n v="-173430.56"/>
    <n v="-189310.52"/>
    <n v="-175140.14"/>
    <n v="-435631.96"/>
    <n v="-202244.63"/>
    <n v="-79700.94"/>
    <n v="-231457.68"/>
    <n v="-122081.8"/>
    <n v="-2559281.4899999998"/>
    <n v="-109375.87999999999"/>
  </r>
  <r>
    <x v="18"/>
    <x v="8"/>
    <x v="0"/>
    <s v="3400104"/>
    <n v="400010"/>
    <s v="Acute I/P Svcs Rev--Self Pay"/>
    <s v="Critical Care"/>
    <x v="0"/>
    <n v="1500"/>
    <n v="23871.1"/>
    <n v="-37446.71"/>
    <n v="0"/>
    <n v="-73438.350000000006"/>
    <n v="-12832.07"/>
    <n v="-47256.53"/>
    <n v="-21211.279999999999"/>
    <n v="10722.46"/>
    <n v="-16325.06"/>
    <n v="-3684.64"/>
    <n v="-80155.22"/>
    <n v="-36895.480000000003"/>
    <n v="-294651.78000000003"/>
    <n v="-43259.74"/>
  </r>
  <r>
    <x v="18"/>
    <x v="8"/>
    <x v="0"/>
    <s v="3400104"/>
    <n v="400010"/>
    <s v="Acute I/P Svcs Rev--Other"/>
    <s v="Critical Care"/>
    <x v="0"/>
    <n v="1700"/>
    <n v="-50603.15"/>
    <n v="-143878.63"/>
    <n v="-137381.41"/>
    <n v="-263998.43"/>
    <n v="-70865.34"/>
    <n v="-93345"/>
    <n v="-135597.28"/>
    <n v="-87032.59"/>
    <n v="-126500.83"/>
    <n v="-305089.21999999997"/>
    <n v="-250649.1"/>
    <n v="-155506.60999999999"/>
    <n v="-1820447.5899999999"/>
    <n v="-95142.49000000002"/>
  </r>
  <r>
    <x v="19"/>
    <x v="8"/>
    <x v="0"/>
    <s v="3400104"/>
    <n v="400020"/>
    <s v="O/P Care Svcs Rev--Medicare"/>
    <s v="Critical Care"/>
    <x v="0"/>
    <n v="1100"/>
    <n v="-4373.51"/>
    <n v="-11508.24"/>
    <n v="-4083.34"/>
    <n v="-10527.37"/>
    <n v="-10237.799999999999"/>
    <n v="-11068.82"/>
    <n v="-14866.95"/>
    <n v="-9643.34"/>
    <n v="-4543.2"/>
    <n v="-7907.7"/>
    <n v="-22167.24"/>
    <n v="-7048.92"/>
    <n v="-117976.43"/>
    <n v="-15118.320000000002"/>
  </r>
  <r>
    <x v="19"/>
    <x v="8"/>
    <x v="0"/>
    <s v="3400104"/>
    <n v="400020"/>
    <s v="O/P Care Svcs Rev--Medicaid"/>
    <s v="Critical Care"/>
    <x v="0"/>
    <n v="1200"/>
    <n v="-3316.6"/>
    <n v="-4123.7299999999996"/>
    <n v="-19571.669999999998"/>
    <n v="-3730.79"/>
    <n v="-1021.04"/>
    <n v="0"/>
    <n v="-5743.76"/>
    <n v="0"/>
    <n v="-9456.4699999999993"/>
    <n v="0"/>
    <n v="-4337.5200000000004"/>
    <n v="0"/>
    <n v="-51301.58"/>
    <n v="-4337.5200000000004"/>
  </r>
  <r>
    <x v="19"/>
    <x v="8"/>
    <x v="0"/>
    <s v="3400104"/>
    <n v="400020"/>
    <s v="O/P Care Svcs Rev--Comm Insurance"/>
    <s v="Critical Care"/>
    <x v="0"/>
    <n v="1300"/>
    <n v="-2916.02"/>
    <n v="0"/>
    <n v="0"/>
    <n v="0"/>
    <n v="0"/>
    <n v="0"/>
    <n v="-127.63"/>
    <n v="0"/>
    <n v="0"/>
    <n v="0"/>
    <n v="0"/>
    <n v="0"/>
    <n v="-3043.65"/>
    <n v="0"/>
  </r>
  <r>
    <x v="19"/>
    <x v="8"/>
    <x v="0"/>
    <s v="3400104"/>
    <n v="400020"/>
    <s v="O/P Care Svcs Rev--BCBS Comm"/>
    <s v="Critical Care"/>
    <x v="0"/>
    <n v="1301"/>
    <n v="-5395.08"/>
    <n v="-350.32"/>
    <n v="0"/>
    <n v="0"/>
    <n v="0"/>
    <n v="0"/>
    <n v="0"/>
    <n v="-3674.16"/>
    <n v="-6205.1"/>
    <n v="0"/>
    <n v="-3468.05"/>
    <n v="-2748.64"/>
    <n v="-21841.35"/>
    <n v="-719.41000000000031"/>
  </r>
  <r>
    <x v="19"/>
    <x v="8"/>
    <x v="0"/>
    <s v="3400104"/>
    <n v="400020"/>
    <s v="O/P Care Svcs Rev--Managed Care"/>
    <s v="Critical Care"/>
    <x v="0"/>
    <n v="1400"/>
    <n v="0"/>
    <n v="-2561.6"/>
    <n v="0"/>
    <n v="-4200.1499999999996"/>
    <n v="-3405.62"/>
    <n v="-2946.98"/>
    <n v="-7002.36"/>
    <n v="-7332.46"/>
    <n v="-7062.57"/>
    <n v="-6654.3"/>
    <n v="-3154.56"/>
    <n v="-3488.75"/>
    <n v="-47809.35"/>
    <n v="334.19000000000005"/>
  </r>
  <r>
    <x v="19"/>
    <x v="8"/>
    <x v="0"/>
    <s v="3400104"/>
    <n v="400020"/>
    <s v="O/P Care Svcs Rev--Self Pay"/>
    <s v="Critical Care"/>
    <x v="0"/>
    <n v="1500"/>
    <n v="0"/>
    <n v="0"/>
    <n v="0"/>
    <n v="0"/>
    <n v="0"/>
    <n v="0"/>
    <n v="0"/>
    <n v="-1182.96"/>
    <n v="-12684.53"/>
    <n v="0"/>
    <n v="0"/>
    <n v="0"/>
    <n v="-13867.490000000002"/>
    <n v="0"/>
  </r>
  <r>
    <x v="19"/>
    <x v="8"/>
    <x v="0"/>
    <s v="3400104"/>
    <n v="400020"/>
    <s v="O/P Care Svcs Rev--Other"/>
    <s v="Critical Care"/>
    <x v="0"/>
    <n v="1700"/>
    <n v="0"/>
    <n v="0"/>
    <n v="-4697.3599999999997"/>
    <n v="4349.13"/>
    <n v="0"/>
    <n v="0"/>
    <n v="0"/>
    <n v="0"/>
    <n v="0"/>
    <n v="0"/>
    <n v="0"/>
    <n v="0"/>
    <n v="-348.22999999999956"/>
    <n v="0"/>
  </r>
  <r>
    <x v="5"/>
    <x v="8"/>
    <x v="0"/>
    <s v="3400104"/>
    <n v="700014"/>
    <s v="Salaries-Management-Productive"/>
    <s v="Critical Care"/>
    <x v="0"/>
    <m/>
    <n v="10069.11"/>
    <n v="4078.73"/>
    <n v="12487.48"/>
    <n v="10468.709999999999"/>
    <n v="11476.49"/>
    <n v="7528.37"/>
    <n v="10718.13"/>
    <n v="6837.16"/>
    <n v="11863.16"/>
    <n v="11086.8"/>
    <n v="11456.74"/>
    <n v="10569.93"/>
    <n v="118640.81000000003"/>
    <n v="886.80999999999949"/>
  </r>
  <r>
    <x v="5"/>
    <x v="8"/>
    <x v="0"/>
    <s v="3400104"/>
    <n v="700014"/>
    <s v="Salaries-Management-OT"/>
    <s v="Critical Care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3400104"/>
    <n v="700026"/>
    <s v="Salaries-RN-Productive"/>
    <s v="Critical Care"/>
    <x v="0"/>
    <m/>
    <n v="197717.91"/>
    <n v="180339.54"/>
    <n v="188415.61"/>
    <n v="187907.92"/>
    <n v="166934.41"/>
    <n v="210296.1"/>
    <n v="207282.41"/>
    <n v="201934.15"/>
    <n v="211740.75"/>
    <n v="204966.34"/>
    <n v="199915.73"/>
    <n v="204700.79"/>
    <n v="2362151.66"/>
    <n v="-4785.0599999999977"/>
  </r>
  <r>
    <x v="5"/>
    <x v="8"/>
    <x v="0"/>
    <s v="3400104"/>
    <n v="700026"/>
    <s v="Salaries-RN-OT"/>
    <s v="Critical Care"/>
    <x v="0"/>
    <n v="1000"/>
    <n v="4051.7"/>
    <n v="3697.57"/>
    <n v="5971.17"/>
    <n v="4907.51"/>
    <n v="4131.95"/>
    <n v="3348.06"/>
    <n v="5396.14"/>
    <n v="4688.2"/>
    <n v="7780.3"/>
    <n v="4089.85"/>
    <n v="4745.1899999999996"/>
    <n v="7107.34"/>
    <n v="59914.98000000001"/>
    <n v="-2362.1500000000005"/>
  </r>
  <r>
    <x v="5"/>
    <x v="8"/>
    <x v="0"/>
    <s v="3400104"/>
    <n v="700026"/>
    <s v="Salaries-RN-Other"/>
    <s v="Critical Care"/>
    <x v="0"/>
    <n v="2000"/>
    <n v="21838.26"/>
    <n v="18182.349999999999"/>
    <n v="18028.439999999999"/>
    <n v="18338.400000000001"/>
    <n v="17335.939999999999"/>
    <n v="20148.689999999999"/>
    <n v="21928.33"/>
    <n v="20555.650000000001"/>
    <n v="21122.080000000002"/>
    <n v="20700.96"/>
    <n v="20630.37"/>
    <n v="21552.87"/>
    <n v="240362.34"/>
    <n v="-922.5"/>
  </r>
  <r>
    <x v="5"/>
    <x v="8"/>
    <x v="0"/>
    <s v="3400104"/>
    <n v="700032"/>
    <s v="Salaries-Other Pat Care Providers-Productive"/>
    <s v="Critical Care"/>
    <x v="0"/>
    <m/>
    <n v="27714.58"/>
    <n v="35126.239999999998"/>
    <n v="39020.04"/>
    <n v="30945.99"/>
    <n v="30743.14"/>
    <n v="36247.760000000002"/>
    <n v="35116.480000000003"/>
    <n v="29863.49"/>
    <n v="29430.9"/>
    <n v="31919.08"/>
    <n v="28172.560000000001"/>
    <n v="31223.86"/>
    <n v="385524.12000000005"/>
    <n v="-3051.2999999999993"/>
  </r>
  <r>
    <x v="5"/>
    <x v="8"/>
    <x v="0"/>
    <s v="3400104"/>
    <n v="700032"/>
    <s v="Salaries-Other Pat Care Providers-OT"/>
    <s v="Critical Care"/>
    <x v="0"/>
    <n v="1000"/>
    <n v="1120.68"/>
    <n v="734.08"/>
    <n v="85.22"/>
    <n v="481.84"/>
    <n v="668.24"/>
    <n v="-69.87"/>
    <n v="507.1"/>
    <n v="939.51"/>
    <n v="424.28"/>
    <n v="-64.41"/>
    <n v="2817.16"/>
    <n v="-1000.98"/>
    <n v="6642.85"/>
    <n v="3818.14"/>
  </r>
  <r>
    <x v="5"/>
    <x v="8"/>
    <x v="0"/>
    <s v="3400104"/>
    <n v="700032"/>
    <s v="Salaries-Other Pat Care Providers-Other"/>
    <s v="Critical Care"/>
    <x v="0"/>
    <n v="2000"/>
    <n v="3413.23"/>
    <n v="3916.66"/>
    <n v="3742.82"/>
    <n v="3728.11"/>
    <n v="2352.16"/>
    <n v="3730.03"/>
    <n v="3004.74"/>
    <n v="2365.38"/>
    <n v="3725.95"/>
    <n v="2357.61"/>
    <n v="2960.82"/>
    <n v="1790.96"/>
    <n v="37088.47"/>
    <n v="1169.8600000000001"/>
  </r>
  <r>
    <x v="5"/>
    <x v="8"/>
    <x v="0"/>
    <s v="3400104"/>
    <n v="700054"/>
    <s v="Salaries-Management-Non-productive"/>
    <s v="Critical Care"/>
    <x v="0"/>
    <m/>
    <n v="1118.79"/>
    <n v="7109.69"/>
    <n v="-1659.84"/>
    <n v="922.56"/>
    <n v="-405.92"/>
    <n v="3911.58"/>
    <n v="739.7"/>
    <n v="3510.8"/>
    <n v="-406.41"/>
    <n v="0"/>
    <n v="0"/>
    <n v="517.4"/>
    <n v="15358.35"/>
    <n v="-517.4"/>
  </r>
  <r>
    <x v="5"/>
    <x v="8"/>
    <x v="0"/>
    <s v="3400104"/>
    <n v="700054"/>
    <s v="Salaries-Management-NonProd-Other"/>
    <s v="Critical Care"/>
    <x v="0"/>
    <n v="2000"/>
    <n v="0"/>
    <n v="0"/>
    <n v="0"/>
    <n v="0"/>
    <n v="0"/>
    <n v="1468.26"/>
    <n v="-1468.26"/>
    <n v="0"/>
    <n v="0"/>
    <n v="0"/>
    <n v="0"/>
    <n v="0"/>
    <n v="0"/>
    <n v="0"/>
  </r>
  <r>
    <x v="5"/>
    <x v="8"/>
    <x v="0"/>
    <s v="3400104"/>
    <n v="700066"/>
    <s v="Salaries-RN-Non-productive"/>
    <s v="Critical Care"/>
    <x v="0"/>
    <m/>
    <n v="28160.05"/>
    <n v="34981.56"/>
    <n v="37881.839999999997"/>
    <n v="24236.94"/>
    <n v="28982.06"/>
    <n v="33833.730000000003"/>
    <n v="35036.449999999997"/>
    <n v="28240.400000000001"/>
    <n v="25162.5"/>
    <n v="36636.910000000003"/>
    <n v="32917.26"/>
    <n v="37462.79"/>
    <n v="383532.49000000005"/>
    <n v="-4545.5299999999988"/>
  </r>
  <r>
    <x v="5"/>
    <x v="8"/>
    <x v="0"/>
    <s v="3400104"/>
    <n v="700066"/>
    <s v="Salaries-RN-NonProd-Other"/>
    <s v="Critical Care"/>
    <x v="0"/>
    <n v="2000"/>
    <n v="1854.63"/>
    <n v="2608.9299999999998"/>
    <n v="3562.95"/>
    <n v="1265.45"/>
    <n v="3711.71"/>
    <n v="2806.48"/>
    <n v="1872"/>
    <n v="-2135.17"/>
    <n v="1173.27"/>
    <n v="1725.93"/>
    <n v="1788.7"/>
    <n v="2223.25"/>
    <n v="22458.129999999997"/>
    <n v="-434.54999999999995"/>
  </r>
  <r>
    <x v="5"/>
    <x v="8"/>
    <x v="0"/>
    <s v="3400104"/>
    <n v="700072"/>
    <s v="Salaries-Other Pat Care Providers-Non-productive"/>
    <s v="Critical Care"/>
    <x v="0"/>
    <m/>
    <n v="8360.14"/>
    <n v="4679.03"/>
    <n v="3432.46"/>
    <n v="5033.54"/>
    <n v="5071.6400000000003"/>
    <n v="878.16"/>
    <n v="3305.38"/>
    <n v="3971.54"/>
    <n v="4742.58"/>
    <n v="1927.02"/>
    <n v="4529.7299999999996"/>
    <n v="5423.08"/>
    <n v="51354.3"/>
    <n v="-893.35000000000036"/>
  </r>
  <r>
    <x v="5"/>
    <x v="8"/>
    <x v="0"/>
    <s v="3400104"/>
    <n v="700072"/>
    <s v="Salaries-Other Pat Care Providers-NonProd-Other"/>
    <s v="Critical Care"/>
    <x v="0"/>
    <n v="2000"/>
    <n v="373.5"/>
    <n v="287.56"/>
    <n v="157.19999999999999"/>
    <n v="239.4"/>
    <n v="508.27"/>
    <n v="78.459999999999994"/>
    <n v="132.54"/>
    <n v="-177.18"/>
    <n v="201.56"/>
    <n v="135.99"/>
    <n v="260.27"/>
    <n v="334.61"/>
    <n v="2532.1799999999998"/>
    <n v="-74.340000000000032"/>
  </r>
  <r>
    <x v="5"/>
    <x v="8"/>
    <x v="0"/>
    <s v="3400104"/>
    <n v="700084"/>
    <s v="Accrued PTO"/>
    <s v="Critical Care"/>
    <x v="0"/>
    <m/>
    <n v="-1330.01"/>
    <n v="-7654.63"/>
    <n v="-1634.04"/>
    <n v="5960.53"/>
    <n v="9452.39"/>
    <n v="8308.17"/>
    <n v="4126.84"/>
    <n v="5566.82"/>
    <n v="9779.65"/>
    <n v="2345.9899999999998"/>
    <n v="-1254.67"/>
    <n v="-14169.33"/>
    <n v="19497.71"/>
    <n v="12914.66"/>
  </r>
  <r>
    <x v="10"/>
    <x v="8"/>
    <x v="0"/>
    <s v="3400104"/>
    <n v="710060"/>
    <s v="Contract Labor-Other"/>
    <s v="Critical Care"/>
    <x v="0"/>
    <m/>
    <n v="19651"/>
    <n v="19823.25"/>
    <n v="30606"/>
    <n v="22010.25"/>
    <n v="33528.5"/>
    <n v="16472"/>
    <n v="29783.5"/>
    <n v="5147.49"/>
    <n v="4080"/>
    <n v="2618"/>
    <n v="8160.75"/>
    <n v="2809"/>
    <n v="194689.74"/>
    <n v="5351.75"/>
  </r>
  <r>
    <x v="10"/>
    <x v="8"/>
    <x v="0"/>
    <s v="3400104"/>
    <n v="710060"/>
    <s v="Contract Labor-Overtime"/>
    <s v="Critical Care"/>
    <x v="0"/>
    <n v="5100"/>
    <n v="838.69"/>
    <n v="0"/>
    <n v="766.8"/>
    <n v="1533.6"/>
    <n v="1150.2"/>
    <n v="958.5"/>
    <n v="4624.76"/>
    <n v="0.01"/>
    <n v="0"/>
    <n v="0"/>
    <n v="0"/>
    <n v="0"/>
    <n v="9872.56"/>
    <n v="0"/>
  </r>
  <r>
    <x v="10"/>
    <x v="8"/>
    <x v="0"/>
    <s v="3400104"/>
    <n v="710060"/>
    <s v="Contract Labor-Standby Wages"/>
    <s v="Critical Care"/>
    <x v="0"/>
    <n v="5101"/>
    <n v="-3693.25"/>
    <n v="0"/>
    <n v="0"/>
    <n v="192"/>
    <n v="96"/>
    <n v="16"/>
    <n v="0"/>
    <n v="0"/>
    <n v="0"/>
    <n v="0"/>
    <n v="0"/>
    <n v="0"/>
    <n v="-3389.25"/>
    <n v="0"/>
  </r>
  <r>
    <x v="6"/>
    <x v="8"/>
    <x v="0"/>
    <s v="3400104"/>
    <n v="713010"/>
    <s v="Benefits-FICA/Medicare"/>
    <s v="Critical Care"/>
    <x v="0"/>
    <m/>
    <n v="22723.08"/>
    <n v="22042.17"/>
    <n v="23200.65"/>
    <n v="21500.03"/>
    <n v="20623.259999999998"/>
    <n v="24148.54"/>
    <n v="24302.97"/>
    <n v="22648.65"/>
    <n v="23692.48"/>
    <n v="25265.47"/>
    <n v="23921.81"/>
    <n v="23619.09"/>
    <n v="277688.2"/>
    <n v="302.72000000000116"/>
  </r>
  <r>
    <x v="6"/>
    <x v="8"/>
    <x v="0"/>
    <s v="3400104"/>
    <n v="713090"/>
    <s v="Benefits-Allocated Amounts"/>
    <s v="Critical Care"/>
    <x v="0"/>
    <m/>
    <n v="54654.65"/>
    <n v="47687.57"/>
    <n v="53589.54"/>
    <n v="50616.21"/>
    <n v="48582"/>
    <n v="54256.959999999999"/>
    <n v="57126.19"/>
    <n v="57378.2"/>
    <n v="56540.5"/>
    <n v="60600.77"/>
    <n v="56761.61"/>
    <n v="58430.49"/>
    <n v="656224.68999999994"/>
    <n v="-1668.8799999999974"/>
  </r>
  <r>
    <x v="6"/>
    <x v="8"/>
    <x v="0"/>
    <s v="3400104"/>
    <n v="713096"/>
    <s v="Employee Recognition"/>
    <s v="Critical Care"/>
    <x v="0"/>
    <n v="1017"/>
    <n v="0"/>
    <n v="0"/>
    <n v="0"/>
    <n v="0"/>
    <n v="0"/>
    <n v="0"/>
    <n v="0"/>
    <n v="0"/>
    <n v="0"/>
    <n v="0"/>
    <n v="0"/>
    <n v="0"/>
    <n v="0"/>
    <n v="0"/>
  </r>
  <r>
    <x v="17"/>
    <x v="8"/>
    <x v="0"/>
    <s v="3400104"/>
    <n v="714520"/>
    <s v="Other Contracted Professionals"/>
    <s v="Critical Care"/>
    <x v="0"/>
    <m/>
    <n v="63388.61"/>
    <n v="66815.47"/>
    <n v="64221.35"/>
    <n v="63655.39"/>
    <n v="67036.97"/>
    <n v="64134.07"/>
    <n v="66671.13"/>
    <n v="66644.12"/>
    <n v="60403.74"/>
    <n v="66320.12"/>
    <n v="64565.17"/>
    <n v="95931.99"/>
    <n v="809788.13000000012"/>
    <n v="-31366.820000000007"/>
  </r>
  <r>
    <x v="17"/>
    <x v="8"/>
    <x v="0"/>
    <s v="3400104"/>
    <n v="714530"/>
    <s v="Medical Prof Fees-Intracompany"/>
    <s v="Critical Care"/>
    <x v="0"/>
    <m/>
    <n v="3571.21"/>
    <n v="3635.27"/>
    <n v="3795.41"/>
    <n v="3217.1"/>
    <n v="3083.31"/>
    <n v="3570.77"/>
    <n v="-10298.82"/>
    <n v="1747.85"/>
    <n v="1387.3"/>
    <n v="1965.35"/>
    <n v="1583.11"/>
    <n v="2227.2399999999998"/>
    <n v="19485.099999999999"/>
    <n v="-644.12999999999988"/>
  </r>
  <r>
    <x v="7"/>
    <x v="8"/>
    <x v="0"/>
    <s v="3400104"/>
    <n v="718050"/>
    <s v="Contract Svcs-Other"/>
    <s v="Critical Care"/>
    <x v="0"/>
    <m/>
    <n v="0"/>
    <n v="0"/>
    <n v="0"/>
    <n v="0"/>
    <n v="0"/>
    <n v="386.4"/>
    <n v="0"/>
    <n v="0"/>
    <n v="0"/>
    <n v="0"/>
    <n v="0"/>
    <n v="0"/>
    <n v="386.4"/>
    <n v="0"/>
  </r>
  <r>
    <x v="7"/>
    <x v="8"/>
    <x v="0"/>
    <s v="3400104"/>
    <n v="718050"/>
    <s v="Miscellaneous Purchased Svcs"/>
    <s v="Critical Care"/>
    <x v="0"/>
    <n v="1020"/>
    <n v="44.7"/>
    <n v="22.35"/>
    <n v="58.57"/>
    <n v="293.60000000000002"/>
    <n v="22.35"/>
    <n v="22.35"/>
    <n v="22.35"/>
    <n v="22.35"/>
    <n v="22.35"/>
    <n v="22.35"/>
    <n v="0"/>
    <n v="22.35"/>
    <n v="575.67000000000019"/>
    <n v="-22.35"/>
  </r>
  <r>
    <x v="7"/>
    <x v="8"/>
    <x v="0"/>
    <s v="3400104"/>
    <n v="718050"/>
    <s v="Translation Services"/>
    <s v="Critical Care"/>
    <x v="0"/>
    <n v="1025"/>
    <n v="0"/>
    <n v="0"/>
    <n v="0"/>
    <n v="0"/>
    <n v="0"/>
    <n v="0"/>
    <n v="0"/>
    <n v="0"/>
    <n v="0"/>
    <n v="32"/>
    <n v="64"/>
    <n v="0"/>
    <n v="96"/>
    <n v="64"/>
  </r>
  <r>
    <x v="7"/>
    <x v="8"/>
    <x v="0"/>
    <s v="3400104"/>
    <n v="718050"/>
    <s v="Contract Management--Linen"/>
    <s v="Critical Care"/>
    <x v="0"/>
    <n v="1026"/>
    <n v="4374.07"/>
    <n v="3654.14"/>
    <n v="3042.91"/>
    <n v="7346.01"/>
    <n v="3867.9"/>
    <n v="3540.31"/>
    <n v="3979.49"/>
    <n v="5068.99"/>
    <n v="3624.53"/>
    <n v="4907.5600000000004"/>
    <n v="5081.07"/>
    <n v="5507.8"/>
    <n v="53994.78"/>
    <n v="-426.73000000000047"/>
  </r>
  <r>
    <x v="7"/>
    <x v="8"/>
    <x v="0"/>
    <s v="3400104"/>
    <n v="718070"/>
    <s v="Contract Srvcs-CHI Clinical Engineering"/>
    <s v="Critical Care"/>
    <x v="0"/>
    <m/>
    <n v="45.83"/>
    <n v="45.83"/>
    <n v="45.83"/>
    <n v="45.83"/>
    <n v="45.83"/>
    <n v="45.83"/>
    <n v="45.83"/>
    <n v="45.83"/>
    <n v="45.83"/>
    <n v="45.83"/>
    <n v="45.83"/>
    <n v="45.83"/>
    <n v="549.95999999999992"/>
    <n v="0"/>
  </r>
  <r>
    <x v="11"/>
    <x v="8"/>
    <x v="0"/>
    <s v="3400104"/>
    <n v="721010"/>
    <s v="Supplies-Medical - Billable"/>
    <s v="Critical Care"/>
    <x v="0"/>
    <m/>
    <n v="7004.38"/>
    <n v="6925.29"/>
    <n v="6204.84"/>
    <n v="5546.04"/>
    <n v="6505"/>
    <n v="8683.24"/>
    <n v="7268.27"/>
    <n v="6616.99"/>
    <n v="9638.2800000000007"/>
    <n v="7378.64"/>
    <n v="6229.05"/>
    <n v="5324.55"/>
    <n v="83324.570000000007"/>
    <n v="904.5"/>
  </r>
  <r>
    <x v="11"/>
    <x v="8"/>
    <x v="0"/>
    <s v="3400104"/>
    <n v="721010"/>
    <s v="Patient Monitoring"/>
    <s v="Critical Care"/>
    <x v="0"/>
    <n v="1000"/>
    <n v="269.8"/>
    <n v="2520.2199999999998"/>
    <n v="488.16"/>
    <n v="419.4"/>
    <n v="348.38"/>
    <n v="420.88"/>
    <n v="369.63"/>
    <n v="708.19"/>
    <n v="2782.92"/>
    <n v="1672.61"/>
    <n v="732"/>
    <n v="411"/>
    <n v="11143.19"/>
    <n v="321"/>
  </r>
  <r>
    <x v="11"/>
    <x v="8"/>
    <x v="0"/>
    <s v="3400104"/>
    <n v="721020"/>
    <s v="Supplies-Surgical - Billable"/>
    <s v="Critical Care"/>
    <x v="0"/>
    <m/>
    <n v="1395.15"/>
    <n v="1019.87"/>
    <n v="1439.08"/>
    <n v="1236.7"/>
    <n v="1185.92"/>
    <n v="1640.82"/>
    <n v="1242.95"/>
    <n v="1227.1199999999999"/>
    <n v="1057.4100000000001"/>
    <n v="1835.56"/>
    <n v="2227.9499999999998"/>
    <n v="1399.19"/>
    <n v="16907.719999999998"/>
    <n v="828.75999999999976"/>
  </r>
  <r>
    <x v="11"/>
    <x v="8"/>
    <x v="0"/>
    <s v="3400104"/>
    <n v="721020"/>
    <s v="Custom Packs"/>
    <s v="Critical Care"/>
    <x v="0"/>
    <n v="1000"/>
    <n v="0"/>
    <n v="0"/>
    <n v="0"/>
    <n v="0"/>
    <n v="10.130000000000001"/>
    <n v="0"/>
    <n v="0"/>
    <n v="556.08000000000004"/>
    <n v="648.76"/>
    <n v="529.6"/>
    <n v="556.08000000000004"/>
    <n v="145.63999999999999"/>
    <n v="2446.29"/>
    <n v="410.44000000000005"/>
  </r>
  <r>
    <x v="11"/>
    <x v="8"/>
    <x v="0"/>
    <s v="3400104"/>
    <n v="721020"/>
    <s v="Suture/Wound Closure"/>
    <s v="Critical Care"/>
    <x v="0"/>
    <n v="1001"/>
    <n v="0"/>
    <n v="0.9"/>
    <n v="0"/>
    <n v="0"/>
    <n v="0"/>
    <n v="0"/>
    <n v="0"/>
    <n v="3.6"/>
    <n v="0"/>
    <n v="0.9"/>
    <n v="0.9"/>
    <n v="32.880000000000003"/>
    <n v="39.180000000000007"/>
    <n v="-31.980000000000004"/>
  </r>
  <r>
    <x v="11"/>
    <x v="8"/>
    <x v="0"/>
    <s v="3400104"/>
    <n v="721020"/>
    <s v="Urological Supplies"/>
    <s v="Critical Care"/>
    <x v="0"/>
    <n v="1006"/>
    <n v="0"/>
    <n v="4.3"/>
    <n v="0"/>
    <n v="0"/>
    <n v="0"/>
    <n v="0"/>
    <n v="42.11"/>
    <n v="0"/>
    <n v="0"/>
    <n v="0"/>
    <n v="0"/>
    <n v="0"/>
    <n v="46.41"/>
    <n v="0"/>
  </r>
  <r>
    <x v="11"/>
    <x v="8"/>
    <x v="0"/>
    <s v="3400104"/>
    <n v="721020"/>
    <s v="Surgical Cardiovascular"/>
    <s v="Critical Care"/>
    <x v="0"/>
    <n v="1007"/>
    <n v="0"/>
    <n v="-32.82"/>
    <n v="0"/>
    <n v="5.47"/>
    <n v="0"/>
    <n v="21.88"/>
    <n v="0"/>
    <n v="0"/>
    <n v="0"/>
    <n v="5.47"/>
    <n v="10.94"/>
    <n v="0"/>
    <n v="10.939999999999998"/>
    <n v="10.94"/>
  </r>
  <r>
    <x v="11"/>
    <x v="8"/>
    <x v="0"/>
    <s v="3400104"/>
    <n v="721020"/>
    <s v="Tubes Drains &amp; Related Supplies"/>
    <s v="Critical Care"/>
    <x v="0"/>
    <n v="1008"/>
    <n v="204.88"/>
    <n v="188"/>
    <n v="161.13999999999999"/>
    <n v="120.87"/>
    <n v="53.71"/>
    <n v="228.25"/>
    <n v="317.24"/>
    <n v="214.87"/>
    <n v="40.31"/>
    <n v="120.86"/>
    <n v="214.85"/>
    <n v="40.28"/>
    <n v="1905.2599999999998"/>
    <n v="174.57"/>
  </r>
  <r>
    <x v="11"/>
    <x v="8"/>
    <x v="0"/>
    <s v="3400104"/>
    <n v="721050"/>
    <s v="Supplies-Cardiac Rhythm - Billable"/>
    <s v="Critical Care"/>
    <x v="0"/>
    <m/>
    <n v="0"/>
    <n v="127.46"/>
    <n v="382.13"/>
    <n v="143.1"/>
    <n v="86"/>
    <n v="564.55999999999995"/>
    <n v="0"/>
    <n v="765.7"/>
    <n v="124.44"/>
    <n v="64.900000000000006"/>
    <n v="177.93"/>
    <n v="774.63"/>
    <n v="3210.85"/>
    <n v="-596.70000000000005"/>
  </r>
  <r>
    <x v="11"/>
    <x v="8"/>
    <x v="0"/>
    <s v="3400104"/>
    <n v="721240"/>
    <s v="Supplies-IV Solutions/Supplies - Billable"/>
    <s v="Critical Care"/>
    <x v="0"/>
    <m/>
    <n v="1023.26"/>
    <n v="1730.37"/>
    <n v="1502.55"/>
    <n v="1852.54"/>
    <n v="1166.1099999999999"/>
    <n v="1298.3699999999999"/>
    <n v="1833.55"/>
    <n v="1523.26"/>
    <n v="2223.94"/>
    <n v="1797.33"/>
    <n v="1321.09"/>
    <n v="2818.39"/>
    <n v="20090.759999999998"/>
    <n v="-1497.3"/>
  </r>
  <r>
    <x v="11"/>
    <x v="8"/>
    <x v="0"/>
    <s v="3400104"/>
    <n v="721250"/>
    <s v="Supplies-Pharmacy Drugs - Billable"/>
    <s v="Critical Care"/>
    <x v="0"/>
    <m/>
    <n v="1.36"/>
    <n v="1.36"/>
    <n v="12.18"/>
    <n v="2.15"/>
    <n v="1.36"/>
    <n v="12.56"/>
    <n v="0"/>
    <n v="2.74"/>
    <n v="16.77"/>
    <n v="2.74"/>
    <n v="0"/>
    <n v="19.04"/>
    <n v="72.260000000000005"/>
    <n v="-19.04"/>
  </r>
  <r>
    <x v="11"/>
    <x v="8"/>
    <x v="0"/>
    <s v="3400104"/>
    <n v="721410"/>
    <s v="Supplies-Medical - Nonbillable"/>
    <s v="Critical Care"/>
    <x v="0"/>
    <m/>
    <n v="10288.950000000001"/>
    <n v="9843.5300000000007"/>
    <n v="9094.66"/>
    <n v="11148.83"/>
    <n v="10830.78"/>
    <n v="11479.06"/>
    <n v="12378.58"/>
    <n v="11843.11"/>
    <n v="12958.83"/>
    <n v="15700.34"/>
    <n v="12639.16"/>
    <n v="9751.94"/>
    <n v="137957.76999999999"/>
    <n v="2887.2199999999993"/>
  </r>
  <r>
    <x v="11"/>
    <x v="8"/>
    <x v="0"/>
    <s v="3400104"/>
    <n v="721410"/>
    <s v="Patient Monitoring"/>
    <s v="Critical Care"/>
    <x v="0"/>
    <n v="1000"/>
    <n v="0"/>
    <n v="10.86"/>
    <n v="5.43"/>
    <n v="0"/>
    <n v="54.71"/>
    <n v="337.41"/>
    <n v="168.71"/>
    <n v="10.86"/>
    <n v="0"/>
    <n v="516.98"/>
    <n v="26.91"/>
    <n v="0"/>
    <n v="1131.8700000000001"/>
    <n v="26.91"/>
  </r>
  <r>
    <x v="11"/>
    <x v="8"/>
    <x v="0"/>
    <s v="3400104"/>
    <n v="721420"/>
    <s v="Supplies-Surgical Nonbillable"/>
    <s v="Critical Care"/>
    <x v="0"/>
    <m/>
    <n v="10.43"/>
    <n v="72.73"/>
    <n v="71.569999999999993"/>
    <n v="60.63"/>
    <n v="111.28"/>
    <n v="158.5"/>
    <n v="56.19"/>
    <n v="93.07"/>
    <n v="211.43"/>
    <n v="190.41"/>
    <n v="223.17"/>
    <n v="42.3"/>
    <n v="1301.71"/>
    <n v="180.87"/>
  </r>
  <r>
    <x v="11"/>
    <x v="8"/>
    <x v="0"/>
    <s v="3400104"/>
    <n v="721420"/>
    <s v="Tubes Drains &amp; Related Supplies"/>
    <s v="Critical Care"/>
    <x v="0"/>
    <n v="1008"/>
    <n v="28.04"/>
    <n v="47.04"/>
    <n v="75.66"/>
    <n v="48.57"/>
    <n v="23.67"/>
    <n v="71.27"/>
    <n v="75.010000000000005"/>
    <n v="78.569999999999993"/>
    <n v="21.93"/>
    <n v="62.34"/>
    <n v="131.41"/>
    <n v="25.55"/>
    <n v="689.06"/>
    <n v="105.86"/>
  </r>
  <r>
    <x v="11"/>
    <x v="8"/>
    <x v="0"/>
    <s v="3400104"/>
    <n v="721420"/>
    <s v="Sterilization Process Products"/>
    <s v="Critical Care"/>
    <x v="0"/>
    <n v="1009"/>
    <n v="0"/>
    <n v="30.56"/>
    <n v="2.38"/>
    <n v="16.66"/>
    <n v="14.28"/>
    <n v="42.84"/>
    <n v="14.28"/>
    <n v="30.94"/>
    <n v="66.42"/>
    <n v="50.81"/>
    <n v="66.98"/>
    <n v="23.64"/>
    <n v="359.79"/>
    <n v="43.34"/>
  </r>
  <r>
    <x v="11"/>
    <x v="8"/>
    <x v="0"/>
    <s v="3400104"/>
    <n v="721610"/>
    <s v="Supplies-Anesthesia - Nonbillable"/>
    <s v="Critical Care"/>
    <x v="0"/>
    <m/>
    <n v="1245.8900000000001"/>
    <n v="703.07"/>
    <n v="885.24"/>
    <n v="832.33"/>
    <n v="640"/>
    <n v="1228.2"/>
    <n v="938.19"/>
    <n v="893.48"/>
    <n v="743.5"/>
    <n v="903.08"/>
    <n v="620.89"/>
    <n v="764.47"/>
    <n v="10398.339999999998"/>
    <n v="-143.58000000000004"/>
  </r>
  <r>
    <x v="11"/>
    <x v="8"/>
    <x v="0"/>
    <s v="3400104"/>
    <n v="721640"/>
    <s v="Supplies-IV Solutions/Supplies - Nonbillable"/>
    <s v="Critical Care"/>
    <x v="0"/>
    <m/>
    <n v="3449.58"/>
    <n v="4143.6099999999997"/>
    <n v="4138.76"/>
    <n v="4958.54"/>
    <n v="5276.96"/>
    <n v="4908.8"/>
    <n v="5334.33"/>
    <n v="5544.26"/>
    <n v="6177.59"/>
    <n v="4759.46"/>
    <n v="6466.31"/>
    <n v="4017.16"/>
    <n v="59175.360000000001"/>
    <n v="2449.1500000000005"/>
  </r>
  <r>
    <x v="11"/>
    <x v="8"/>
    <x v="0"/>
    <s v="3400104"/>
    <n v="721650"/>
    <s v="Supplies-Pharmacy Drugs - Nonbillable"/>
    <s v="Critical Care"/>
    <x v="0"/>
    <m/>
    <n v="59.82"/>
    <n v="43.42"/>
    <n v="52.05"/>
    <n v="73.56"/>
    <n v="22.57"/>
    <n v="95.67"/>
    <n v="46.77"/>
    <n v="71"/>
    <n v="77.81"/>
    <n v="54.96"/>
    <n v="95.22"/>
    <n v="31.59"/>
    <n v="724.44000000000017"/>
    <n v="63.629999999999995"/>
  </r>
  <r>
    <x v="11"/>
    <x v="8"/>
    <x v="0"/>
    <s v="3400104"/>
    <n v="721710"/>
    <s v="Supplies-Laboratory - Nonbillable"/>
    <s v="Critical Care"/>
    <x v="0"/>
    <m/>
    <n v="629.73"/>
    <n v="801.72"/>
    <n v="621.27"/>
    <n v="738.04"/>
    <n v="721.21"/>
    <n v="807.43"/>
    <n v="600.72"/>
    <n v="1028.78"/>
    <n v="873.98"/>
    <n v="813.04"/>
    <n v="957.83"/>
    <n v="1012.63"/>
    <n v="9606.380000000001"/>
    <n v="-54.799999999999955"/>
  </r>
  <r>
    <x v="11"/>
    <x v="8"/>
    <x v="0"/>
    <s v="3400104"/>
    <n v="721710"/>
    <s v="Reagents"/>
    <s v="Critical Care"/>
    <x v="0"/>
    <n v="1000"/>
    <n v="0"/>
    <n v="0"/>
    <n v="4462.26"/>
    <n v="-4452.26"/>
    <n v="29.99"/>
    <n v="10"/>
    <n v="27.99"/>
    <n v="39.99"/>
    <n v="60.06"/>
    <n v="19.989999999999998"/>
    <n v="19.989999999999998"/>
    <n v="0"/>
    <n v="218.01000000000002"/>
    <n v="19.989999999999998"/>
  </r>
  <r>
    <x v="11"/>
    <x v="8"/>
    <x v="0"/>
    <s v="3400104"/>
    <n v="721750"/>
    <s v="Supplies-Film/Radiographic - Nonbillable"/>
    <s v="Critical Care"/>
    <x v="0"/>
    <m/>
    <n v="3.54"/>
    <n v="65.400000000000006"/>
    <n v="33.39"/>
    <n v="37.700000000000003"/>
    <n v="17.829999999999998"/>
    <n v="31.36"/>
    <n v="17.84"/>
    <n v="72.5"/>
    <n v="51.99"/>
    <n v="0"/>
    <n v="6.45"/>
    <n v="0"/>
    <n v="338.00000000000006"/>
    <n v="6.45"/>
  </r>
  <r>
    <x v="11"/>
    <x v="8"/>
    <x v="0"/>
    <s v="3400104"/>
    <n v="721810"/>
    <s v="Supplies-Dietary/Cafeteria"/>
    <s v="Critical Care"/>
    <x v="0"/>
    <m/>
    <n v="791.47"/>
    <n v="1462.12"/>
    <n v="1084.72"/>
    <n v="895.39"/>
    <n v="909.36"/>
    <n v="1020.29"/>
    <n v="916.22"/>
    <n v="706.28"/>
    <n v="978.18"/>
    <n v="789.27"/>
    <n v="1037.31"/>
    <n v="862.5"/>
    <n v="11453.11"/>
    <n v="174.80999999999995"/>
  </r>
  <r>
    <x v="11"/>
    <x v="8"/>
    <x v="0"/>
    <s v="3400104"/>
    <n v="721830"/>
    <s v="Supplies-Office"/>
    <s v="Critical Care"/>
    <x v="0"/>
    <m/>
    <n v="529.30999999999995"/>
    <n v="1010.85"/>
    <n v="162.94"/>
    <n v="248.48"/>
    <n v="503.17"/>
    <n v="1358.17"/>
    <n v="500.04"/>
    <n v="197.8"/>
    <n v="693.64"/>
    <n v="662.39"/>
    <n v="377.7"/>
    <n v="264.14"/>
    <n v="6508.630000000001"/>
    <n v="113.56"/>
  </r>
  <r>
    <x v="11"/>
    <x v="8"/>
    <x v="0"/>
    <s v="3400104"/>
    <n v="721835"/>
    <s v="Supplies-Forms"/>
    <s v="Critical Care"/>
    <x v="0"/>
    <m/>
    <n v="0"/>
    <n v="0"/>
    <n v="0"/>
    <n v="0"/>
    <n v="368.33"/>
    <n v="206.48"/>
    <n v="150"/>
    <n v="0"/>
    <n v="53.24"/>
    <n v="143.54"/>
    <n v="0"/>
    <n v="96.4"/>
    <n v="1017.9899999999999"/>
    <n v="-96.4"/>
  </r>
  <r>
    <x v="11"/>
    <x v="8"/>
    <x v="0"/>
    <s v="3400104"/>
    <n v="721870"/>
    <s v="Supplies-Environmental Services"/>
    <s v="Critical Care"/>
    <x v="0"/>
    <m/>
    <n v="556.29"/>
    <n v="439.3"/>
    <n v="439.01"/>
    <n v="473.13"/>
    <n v="405.65"/>
    <n v="467.58"/>
    <n v="402.39"/>
    <n v="390.88"/>
    <n v="435.23"/>
    <n v="374.27"/>
    <n v="477.02"/>
    <n v="348.76"/>
    <n v="5209.51"/>
    <n v="128.26"/>
  </r>
  <r>
    <x v="11"/>
    <x v="8"/>
    <x v="0"/>
    <s v="3400104"/>
    <n v="721880"/>
    <s v="Supplies-Linen"/>
    <s v="Critical Care"/>
    <x v="0"/>
    <m/>
    <n v="0"/>
    <n v="950.4"/>
    <n v="0"/>
    <n v="0"/>
    <n v="0"/>
    <n v="1031.18"/>
    <n v="2062.37"/>
    <n v="950.4"/>
    <n v="950.4"/>
    <n v="0"/>
    <n v="712.8"/>
    <n v="1346.4"/>
    <n v="8003.9499999999989"/>
    <n v="-633.60000000000014"/>
  </r>
  <r>
    <x v="11"/>
    <x v="8"/>
    <x v="0"/>
    <s v="3400104"/>
    <n v="721910"/>
    <s v="Supplies-Small Equipment"/>
    <s v="Critical Care"/>
    <x v="0"/>
    <m/>
    <n v="1776.79"/>
    <n v="529.35"/>
    <n v="3822.56"/>
    <n v="3399.38"/>
    <n v="3138.5"/>
    <n v="5596.65"/>
    <n v="534.85"/>
    <n v="212.72"/>
    <n v="529.53"/>
    <n v="173.3"/>
    <n v="589.41"/>
    <n v="902.03"/>
    <n v="21205.069999999996"/>
    <n v="-312.62"/>
  </r>
  <r>
    <x v="11"/>
    <x v="8"/>
    <x v="0"/>
    <s v="3400104"/>
    <n v="721910"/>
    <s v="Instruments"/>
    <s v="Critical Care"/>
    <x v="0"/>
    <n v="1000"/>
    <n v="3.67"/>
    <n v="14.26"/>
    <n v="128.37"/>
    <n v="0"/>
    <n v="-89.61"/>
    <n v="6.6"/>
    <n v="17.93"/>
    <n v="7.25"/>
    <n v="1934.84"/>
    <n v="4029.73"/>
    <n v="10.45"/>
    <n v="7.52"/>
    <n v="6071.01"/>
    <n v="2.9299999999999997"/>
  </r>
  <r>
    <x v="11"/>
    <x v="8"/>
    <x v="0"/>
    <s v="3400104"/>
    <n v="721980"/>
    <s v="Supplies-Other"/>
    <s v="Critical Care"/>
    <x v="0"/>
    <m/>
    <n v="0"/>
    <n v="0"/>
    <n v="0"/>
    <n v="1144.8"/>
    <n v="110.87"/>
    <n v="0"/>
    <n v="0"/>
    <n v="0"/>
    <n v="0"/>
    <n v="467.85"/>
    <n v="33.92"/>
    <n v="0"/>
    <n v="1757.44"/>
    <n v="33.92"/>
  </r>
  <r>
    <x v="11"/>
    <x v="8"/>
    <x v="0"/>
    <s v="3400104"/>
    <n v="722000"/>
    <s v="Supplies-Freight Expense"/>
    <s v="Critical Care"/>
    <x v="0"/>
    <m/>
    <n v="0"/>
    <n v="0"/>
    <n v="237.92"/>
    <n v="65.31"/>
    <n v="0"/>
    <n v="49.15"/>
    <n v="34.92"/>
    <n v="11.47"/>
    <n v="0"/>
    <n v="0"/>
    <n v="56.11"/>
    <n v="22.64"/>
    <n v="477.52000000000004"/>
    <n v="33.47"/>
  </r>
  <r>
    <x v="12"/>
    <x v="8"/>
    <x v="0"/>
    <s v="3400104"/>
    <n v="730020"/>
    <s v="Rental and Leases-Copier Usage Fees (DO NOT USE)"/>
    <s v="Critical Care"/>
    <x v="0"/>
    <n v="5100"/>
    <n v="739.06"/>
    <n v="749.88"/>
    <n v="744.47"/>
    <n v="744.47"/>
    <n v="744.47"/>
    <n v="744.47"/>
    <n v="2032.29"/>
    <n v="1104.92"/>
    <n v="650.51"/>
    <n v="478.31"/>
    <n v="652.83000000000004"/>
    <n v="734.51"/>
    <n v="10120.19"/>
    <n v="-81.67999999999995"/>
  </r>
  <r>
    <x v="15"/>
    <x v="8"/>
    <x v="0"/>
    <s v="3400104"/>
    <n v="731060"/>
    <s v="Cell Phones"/>
    <s v="Critical Care"/>
    <x v="0"/>
    <n v="1001"/>
    <n v="0"/>
    <n v="62.64"/>
    <n v="25.86"/>
    <n v="0"/>
    <n v="29.78"/>
    <n v="10.82"/>
    <n v="62.94"/>
    <n v="0"/>
    <n v="31.96"/>
    <n v="63.43"/>
    <n v="31.09"/>
    <n v="31.7"/>
    <n v="350.21999999999997"/>
    <n v="-0.60999999999999943"/>
  </r>
  <r>
    <x v="15"/>
    <x v="8"/>
    <x v="0"/>
    <s v="3400104"/>
    <n v="731060"/>
    <s v="Pagers"/>
    <s v="Critical Care"/>
    <x v="0"/>
    <n v="1002"/>
    <n v="8.1"/>
    <n v="8.1"/>
    <n v="8.1"/>
    <n v="-8.1"/>
    <n v="0"/>
    <n v="0"/>
    <n v="0"/>
    <n v="0"/>
    <n v="0"/>
    <n v="0"/>
    <n v="0"/>
    <n v="0"/>
    <n v="16.199999999999996"/>
    <n v="0"/>
  </r>
  <r>
    <x v="16"/>
    <x v="8"/>
    <x v="0"/>
    <s v="3400104"/>
    <n v="732030"/>
    <s v="Repairs---Other"/>
    <s v="Critical Care"/>
    <x v="0"/>
    <m/>
    <n v="0"/>
    <n v="0"/>
    <n v="0"/>
    <n v="0"/>
    <n v="0"/>
    <n v="699.34"/>
    <n v="49.29"/>
    <n v="59.44"/>
    <n v="0"/>
    <n v="0"/>
    <n v="0"/>
    <n v="0"/>
    <n v="808.06999999999994"/>
    <n v="0"/>
  </r>
  <r>
    <x v="13"/>
    <x v="8"/>
    <x v="0"/>
    <s v="3400104"/>
    <n v="735030"/>
    <s v="Depreciation-Buildings"/>
    <s v="Critical Care"/>
    <x v="0"/>
    <m/>
    <n v="14889.21"/>
    <n v="14889.18"/>
    <n v="14889.22"/>
    <n v="14889.14"/>
    <n v="14889.28"/>
    <n v="14889.12"/>
    <n v="14889.3"/>
    <n v="14889.1"/>
    <n v="14889.33"/>
    <n v="14520.55"/>
    <n v="14520.81"/>
    <n v="14520.52"/>
    <n v="177564.75999999998"/>
    <n v="0.28999999999905413"/>
  </r>
  <r>
    <x v="13"/>
    <x v="8"/>
    <x v="0"/>
    <s v="3400104"/>
    <n v="735070"/>
    <s v="Depreciation-Movable Equipment"/>
    <s v="Critical Care"/>
    <x v="0"/>
    <m/>
    <n v="15472.79"/>
    <n v="15472.84"/>
    <n v="15472.8"/>
    <n v="15601.81"/>
    <n v="15601.69"/>
    <n v="15877.15"/>
    <n v="15877"/>
    <n v="15877.23"/>
    <n v="15876.99"/>
    <n v="4658.53"/>
    <n v="4569.72"/>
    <n v="4569.63"/>
    <n v="154928.18"/>
    <n v="9.0000000000145519E-2"/>
  </r>
  <r>
    <x v="0"/>
    <x v="8"/>
    <x v="0"/>
    <s v="3400104"/>
    <n v="740020"/>
    <s v="Education-Registration Fees"/>
    <s v="Critical Care"/>
    <x v="0"/>
    <m/>
    <n v="700"/>
    <n v="432.83"/>
    <n v="375"/>
    <n v="0"/>
    <n v="700"/>
    <n v="1005"/>
    <n v="0"/>
    <n v="650"/>
    <n v="350"/>
    <n v="1070"/>
    <n v="210"/>
    <n v="230"/>
    <n v="5722.83"/>
    <n v="-20"/>
  </r>
  <r>
    <x v="0"/>
    <x v="8"/>
    <x v="0"/>
    <s v="3400104"/>
    <n v="743030"/>
    <s v="Subscriptions--Institutional"/>
    <s v="Critical Care"/>
    <x v="0"/>
    <m/>
    <n v="0"/>
    <n v="81.13"/>
    <n v="0"/>
    <n v="0"/>
    <n v="0"/>
    <n v="0"/>
    <n v="0"/>
    <n v="0"/>
    <n v="0"/>
    <n v="0"/>
    <n v="80.91"/>
    <n v="0"/>
    <n v="162.04"/>
    <n v="80.91"/>
  </r>
  <r>
    <x v="0"/>
    <x v="8"/>
    <x v="0"/>
    <s v="3400104"/>
    <n v="749510"/>
    <s v="Miscellaneous Expenses"/>
    <s v="Critical Care"/>
    <x v="0"/>
    <m/>
    <n v="2300.0700000000002"/>
    <n v="395.2"/>
    <n v="784.32"/>
    <n v="-514.94000000000005"/>
    <n v="65"/>
    <n v="85"/>
    <n v="901.17"/>
    <n v="-108"/>
    <n v="0"/>
    <n v="412.75"/>
    <n v="0"/>
    <n v="17.309999999999999"/>
    <n v="4337.88"/>
    <n v="-17.309999999999999"/>
  </r>
  <r>
    <x v="0"/>
    <x v="8"/>
    <x v="0"/>
    <s v="3400104"/>
    <n v="749510"/>
    <s v="Licenses"/>
    <s v="Critical Care"/>
    <x v="0"/>
    <n v="1002"/>
    <n v="0"/>
    <n v="0"/>
    <n v="110"/>
    <n v="115"/>
    <n v="0"/>
    <n v="0"/>
    <n v="115"/>
    <n v="0"/>
    <n v="0"/>
    <n v="0"/>
    <n v="0"/>
    <n v="0"/>
    <n v="340"/>
    <n v="0"/>
  </r>
  <r>
    <x v="0"/>
    <x v="8"/>
    <x v="0"/>
    <s v="3400104"/>
    <n v="749510"/>
    <s v="Promotional Items"/>
    <s v="Critical Care"/>
    <x v="0"/>
    <n v="1004"/>
    <n v="0"/>
    <n v="0"/>
    <n v="0"/>
    <n v="0"/>
    <n v="0"/>
    <n v="38.049999999999997"/>
    <n v="0"/>
    <n v="0"/>
    <n v="3.23"/>
    <n v="0"/>
    <n v="0"/>
    <n v="0"/>
    <n v="41.279999999999994"/>
    <n v="0"/>
  </r>
  <r>
    <x v="0"/>
    <x v="8"/>
    <x v="0"/>
    <s v="3400104"/>
    <n v="749510"/>
    <s v="RICE Rewards"/>
    <s v="Critical Care"/>
    <x v="0"/>
    <n v="5100"/>
    <n v="0"/>
    <n v="0"/>
    <n v="0"/>
    <n v="593.44000000000005"/>
    <n v="0"/>
    <n v="0"/>
    <n v="909.49"/>
    <n v="358"/>
    <n v="0"/>
    <n v="758.42"/>
    <n v="0"/>
    <n v="76.28"/>
    <n v="2695.63"/>
    <n v="-76.28"/>
  </r>
  <r>
    <x v="0"/>
    <x v="8"/>
    <x v="0"/>
    <s v="3400104"/>
    <n v="749530"/>
    <s v="Travel"/>
    <s v="Critical Care"/>
    <x v="0"/>
    <m/>
    <n v="0"/>
    <n v="0"/>
    <n v="0"/>
    <n v="0"/>
    <n v="0"/>
    <n v="872.82"/>
    <n v="0"/>
    <n v="0"/>
    <n v="0"/>
    <n v="0"/>
    <n v="0"/>
    <n v="0"/>
    <n v="872.82"/>
    <n v="0"/>
  </r>
  <r>
    <x v="18"/>
    <x v="5"/>
    <x v="0"/>
    <s v="3400106"/>
    <n v="400010"/>
    <s v="Acute I/P Svcs Rev--Medicare"/>
    <s v="ICU"/>
    <x v="0"/>
    <n v="1100"/>
    <n v="-511467.64"/>
    <n v="-710079.84"/>
    <n v="-947874.47"/>
    <n v="-921221.92"/>
    <n v="-557855.30000000005"/>
    <n v="-1090584.97"/>
    <n v="-862666.25"/>
    <n v="-613334.36"/>
    <n v="-763634.01"/>
    <n v="-1026711.68"/>
    <n v="-637423.39"/>
    <n v="-913534.46"/>
    <n v="-9556388.2899999991"/>
    <n v="276111.06999999995"/>
  </r>
  <r>
    <x v="18"/>
    <x v="5"/>
    <x v="0"/>
    <s v="3400106"/>
    <n v="400010"/>
    <s v="Acute I/P Svcs Rev--Medicaid"/>
    <s v="ICU"/>
    <x v="0"/>
    <n v="1200"/>
    <n v="-389015.34"/>
    <n v="-229038.57"/>
    <n v="-171057.18"/>
    <n v="-394685.19"/>
    <n v="-507340.33"/>
    <n v="-155656.97"/>
    <n v="-294839.40999999997"/>
    <n v="-506029.21"/>
    <n v="-549653.14"/>
    <n v="-275936.48"/>
    <n v="-337901.41"/>
    <n v="-307421.34000000003"/>
    <n v="-4118574.5700000003"/>
    <n v="-30480.069999999949"/>
  </r>
  <r>
    <x v="18"/>
    <x v="5"/>
    <x v="0"/>
    <s v="3400106"/>
    <n v="400010"/>
    <s v="Acute I/P Svcs Rev--Comm Insurance"/>
    <s v="ICU"/>
    <x v="0"/>
    <n v="1300"/>
    <n v="0"/>
    <n v="-33270.550000000003"/>
    <n v="33270.550000000003"/>
    <n v="0"/>
    <n v="-6455"/>
    <n v="-12910"/>
    <n v="0"/>
    <n v="-166762.44"/>
    <n v="-26596"/>
    <n v="-63855.27"/>
    <n v="-15073.47"/>
    <n v="0"/>
    <n v="-291652.18"/>
    <n v="-15073.47"/>
  </r>
  <r>
    <x v="18"/>
    <x v="5"/>
    <x v="0"/>
    <s v="3400106"/>
    <n v="400010"/>
    <s v="Acute I/P Svcs Rev--BCBS Comm"/>
    <s v="ICU"/>
    <x v="0"/>
    <n v="1301"/>
    <n v="-36691.11"/>
    <n v="0"/>
    <n v="-14995.45"/>
    <n v="0"/>
    <n v="-47954.16"/>
    <n v="-144999.25"/>
    <n v="13714.89"/>
    <n v="-27226.880000000001"/>
    <n v="-16346.74"/>
    <n v="-87302.84"/>
    <n v="-20394.68"/>
    <n v="0"/>
    <n v="-382196.22000000003"/>
    <n v="-20394.68"/>
  </r>
  <r>
    <x v="18"/>
    <x v="5"/>
    <x v="0"/>
    <s v="3400106"/>
    <n v="400010"/>
    <s v="Acute I/P Svcs Rev--Managed Care"/>
    <s v="ICU"/>
    <x v="0"/>
    <n v="1400"/>
    <n v="-168901.05"/>
    <n v="-188461.57"/>
    <n v="-84462.23"/>
    <n v="-101016.03"/>
    <n v="-80077.47"/>
    <n v="-181961.27"/>
    <n v="-61944.29"/>
    <n v="-228711.78"/>
    <n v="-481565.66"/>
    <n v="-100808.33"/>
    <n v="-143538.51"/>
    <n v="-87313.84"/>
    <n v="-1908762.03"/>
    <n v="-56224.670000000013"/>
  </r>
  <r>
    <x v="18"/>
    <x v="5"/>
    <x v="0"/>
    <s v="3400106"/>
    <n v="400010"/>
    <s v="Acute I/P Svcs Rev--Self Pay"/>
    <s v="ICU"/>
    <x v="0"/>
    <n v="1500"/>
    <n v="28493.17"/>
    <n v="-12910"/>
    <n v="-29480.33"/>
    <n v="-13273.3"/>
    <n v="-47682.73"/>
    <n v="0"/>
    <n v="-122962.96"/>
    <n v="-123260.98"/>
    <n v="203393.66"/>
    <n v="0"/>
    <n v="-37589"/>
    <n v="-30070.560000000001"/>
    <n v="-185343.03"/>
    <n v="-7518.4399999999987"/>
  </r>
  <r>
    <x v="18"/>
    <x v="5"/>
    <x v="0"/>
    <s v="3400106"/>
    <n v="400010"/>
    <s v="Acute I/P Svcs Rev--Other"/>
    <s v="ICU"/>
    <x v="0"/>
    <n v="1700"/>
    <n v="-19425.650000000001"/>
    <n v="12970.65"/>
    <n v="0"/>
    <n v="-19645.060000000001"/>
    <n v="-132.13"/>
    <n v="-23582"/>
    <n v="-17490.3"/>
    <n v="0"/>
    <n v="-18850.400000000001"/>
    <n v="3853.7"/>
    <n v="-25248.92"/>
    <n v="-24032.34"/>
    <n v="-131582.45000000001"/>
    <n v="-1216.5799999999981"/>
  </r>
  <r>
    <x v="19"/>
    <x v="5"/>
    <x v="0"/>
    <s v="3400106"/>
    <n v="400020"/>
    <s v="O/P Care Svcs Rev--Medicare"/>
    <s v="ICU"/>
    <x v="0"/>
    <n v="1100"/>
    <n v="0"/>
    <n v="0"/>
    <n v="0"/>
    <n v="0"/>
    <n v="0"/>
    <n v="0"/>
    <n v="-598.55999999999995"/>
    <n v="0"/>
    <n v="0"/>
    <n v="0"/>
    <n v="0"/>
    <n v="0"/>
    <n v="-598.55999999999995"/>
    <n v="0"/>
  </r>
  <r>
    <x v="19"/>
    <x v="5"/>
    <x v="0"/>
    <s v="3400106"/>
    <n v="400020"/>
    <s v="O/P Care Svcs Rev--Medicaid"/>
    <s v="ICU"/>
    <x v="0"/>
    <n v="1200"/>
    <n v="0"/>
    <n v="0"/>
    <n v="0"/>
    <n v="0"/>
    <n v="0"/>
    <n v="-1845.26"/>
    <n v="-199.11"/>
    <n v="0"/>
    <n v="0"/>
    <n v="0"/>
    <n v="0"/>
    <n v="0"/>
    <n v="-2044.37"/>
    <n v="0"/>
  </r>
  <r>
    <x v="19"/>
    <x v="5"/>
    <x v="0"/>
    <s v="3400106"/>
    <n v="400020"/>
    <s v="O/P Care Svcs Rev--Managed Care"/>
    <s v="ICU"/>
    <x v="0"/>
    <n v="1400"/>
    <n v="0"/>
    <n v="0"/>
    <n v="0"/>
    <n v="0"/>
    <n v="-227.12"/>
    <n v="0"/>
    <n v="0"/>
    <n v="0"/>
    <n v="0"/>
    <n v="0"/>
    <n v="0"/>
    <n v="-820.32"/>
    <n v="-1047.44"/>
    <n v="820.32"/>
  </r>
  <r>
    <x v="19"/>
    <x v="5"/>
    <x v="0"/>
    <s v="3400106"/>
    <n v="400020"/>
    <s v="O/P Care Svcs Rev--Self Pay"/>
    <s v="ICU"/>
    <x v="0"/>
    <n v="1500"/>
    <n v="0"/>
    <n v="-13905.55"/>
    <n v="-7450.55"/>
    <n v="7450.55"/>
    <n v="0"/>
    <n v="0"/>
    <n v="0"/>
    <n v="0"/>
    <n v="0"/>
    <n v="0"/>
    <n v="0"/>
    <n v="0"/>
    <n v="-13905.55"/>
    <n v="0"/>
  </r>
  <r>
    <x v="14"/>
    <x v="5"/>
    <x v="0"/>
    <s v="3400106"/>
    <n v="600050"/>
    <s v="Miscellaneous Revenue"/>
    <s v="ICU"/>
    <x v="0"/>
    <m/>
    <n v="-16825.939999999999"/>
    <n v="-10513.26"/>
    <n v="-7050.75"/>
    <n v="0"/>
    <n v="0"/>
    <n v="-30091.99"/>
    <n v="30091.99"/>
    <n v="0"/>
    <n v="0"/>
    <n v="0"/>
    <n v="10752.4"/>
    <n v="0"/>
    <n v="-23637.549999999996"/>
    <n v="10752.4"/>
  </r>
  <r>
    <x v="5"/>
    <x v="5"/>
    <x v="0"/>
    <s v="3400106"/>
    <n v="700014"/>
    <s v="Salaries-Management-Productive"/>
    <s v="ICU"/>
    <x v="0"/>
    <m/>
    <n v="9129.9599999999991"/>
    <n v="9130.39"/>
    <n v="9253.9"/>
    <n v="8363.85"/>
    <n v="4310.2700000000004"/>
    <n v="-1624.05"/>
    <n v="0"/>
    <n v="0"/>
    <n v="0"/>
    <n v="0"/>
    <n v="0"/>
    <n v="0"/>
    <n v="38564.319999999992"/>
    <n v="0"/>
  </r>
  <r>
    <x v="5"/>
    <x v="5"/>
    <x v="0"/>
    <s v="3400106"/>
    <n v="700026"/>
    <s v="Salaries-RN-Productive"/>
    <s v="ICU"/>
    <x v="0"/>
    <m/>
    <n v="99682.96"/>
    <n v="124968.37"/>
    <n v="136743.39000000001"/>
    <n v="165384.01"/>
    <n v="82483.22"/>
    <n v="129054.99"/>
    <n v="126666.91"/>
    <n v="135657.9"/>
    <n v="131214.32"/>
    <n v="126739.15"/>
    <n v="111968.29"/>
    <n v="100913.69"/>
    <n v="1471477.2"/>
    <n v="11054.599999999991"/>
  </r>
  <r>
    <x v="5"/>
    <x v="5"/>
    <x v="0"/>
    <s v="3400106"/>
    <n v="700026"/>
    <s v="Salaries-RN-OT"/>
    <s v="ICU"/>
    <x v="0"/>
    <n v="1000"/>
    <n v="4727.3"/>
    <n v="2928.38"/>
    <n v="4587.71"/>
    <n v="9543.18"/>
    <n v="1207.92"/>
    <n v="4593.26"/>
    <n v="8289.2800000000007"/>
    <n v="5599.9"/>
    <n v="5506.2"/>
    <n v="7944.3"/>
    <n v="7457.47"/>
    <n v="3649.2"/>
    <n v="66034.100000000006"/>
    <n v="3808.2700000000004"/>
  </r>
  <r>
    <x v="5"/>
    <x v="5"/>
    <x v="0"/>
    <s v="3400106"/>
    <n v="700026"/>
    <s v="Salaries-RN-Other"/>
    <s v="ICU"/>
    <x v="0"/>
    <n v="2000"/>
    <n v="10453.06"/>
    <n v="13898.1"/>
    <n v="14684.08"/>
    <n v="16024.26"/>
    <n v="9878.24"/>
    <n v="13855.3"/>
    <n v="14050.51"/>
    <n v="14768.8"/>
    <n v="15413.45"/>
    <n v="15450.92"/>
    <n v="13220.47"/>
    <n v="11110.98"/>
    <n v="162808.17000000001"/>
    <n v="2109.4899999999998"/>
  </r>
  <r>
    <x v="5"/>
    <x v="5"/>
    <x v="0"/>
    <s v="3400106"/>
    <n v="700032"/>
    <s v="Salaries-Other Pat Care Providers-Productive"/>
    <s v="ICU"/>
    <x v="0"/>
    <m/>
    <n v="8144.67"/>
    <n v="4422.18"/>
    <n v="3623.47"/>
    <n v="8321.74"/>
    <n v="4951.93"/>
    <n v="10138.540000000001"/>
    <n v="13059.03"/>
    <n v="13389.34"/>
    <n v="7875.59"/>
    <n v="11860.03"/>
    <n v="13384.66"/>
    <n v="14805.45"/>
    <n v="113976.62999999999"/>
    <n v="-1420.7900000000009"/>
  </r>
  <r>
    <x v="5"/>
    <x v="5"/>
    <x v="0"/>
    <s v="3400106"/>
    <n v="700032"/>
    <s v="Salaries-Other Pat Care Providers-OT"/>
    <s v="ICU"/>
    <x v="0"/>
    <n v="1000"/>
    <n v="371.3"/>
    <n v="374.84"/>
    <n v="84.07"/>
    <n v="120.4"/>
    <n v="284.69"/>
    <n v="469.87"/>
    <n v="58.16"/>
    <n v="1099.28"/>
    <n v="398.86"/>
    <n v="-206.26"/>
    <n v="-2.97"/>
    <n v="885.48"/>
    <n v="3937.7200000000003"/>
    <n v="-888.45"/>
  </r>
  <r>
    <x v="5"/>
    <x v="5"/>
    <x v="0"/>
    <s v="3400106"/>
    <n v="700032"/>
    <s v="Salaries-Other Pat Care Providers-Other"/>
    <s v="ICU"/>
    <x v="0"/>
    <n v="2000"/>
    <n v="467.2"/>
    <n v="244.01"/>
    <n v="130.12"/>
    <n v="487.82"/>
    <n v="239.84"/>
    <n v="692.4"/>
    <n v="765.42"/>
    <n v="961.06"/>
    <n v="523.91999999999996"/>
    <n v="701.25"/>
    <n v="880.62"/>
    <n v="1068.71"/>
    <n v="7162.37"/>
    <n v="-188.09000000000003"/>
  </r>
  <r>
    <x v="5"/>
    <x v="5"/>
    <x v="0"/>
    <s v="3400106"/>
    <n v="700054"/>
    <s v="Salaries-Management-Non-productive"/>
    <s v="ICU"/>
    <x v="0"/>
    <m/>
    <n v="431.84"/>
    <n v="431.84"/>
    <n v="0"/>
    <n v="1295.52"/>
    <n v="0"/>
    <n v="0"/>
    <n v="0"/>
    <n v="0"/>
    <n v="0"/>
    <n v="0"/>
    <n v="0"/>
    <n v="0"/>
    <n v="2159.1999999999998"/>
    <n v="0"/>
  </r>
  <r>
    <x v="5"/>
    <x v="5"/>
    <x v="0"/>
    <s v="3400106"/>
    <n v="700054"/>
    <s v="Salaries-Management-NonProd-Other"/>
    <s v="ICU"/>
    <x v="0"/>
    <n v="2000"/>
    <n v="0"/>
    <n v="0"/>
    <n v="0"/>
    <n v="0"/>
    <n v="0"/>
    <n v="2945.6"/>
    <n v="-2945.6"/>
    <n v="0"/>
    <n v="0"/>
    <n v="0"/>
    <n v="0"/>
    <n v="0"/>
    <n v="0"/>
    <n v="0"/>
  </r>
  <r>
    <x v="5"/>
    <x v="5"/>
    <x v="0"/>
    <s v="3400106"/>
    <n v="700066"/>
    <s v="Salaries-RN-Non-productive"/>
    <s v="ICU"/>
    <x v="0"/>
    <m/>
    <n v="35131.99"/>
    <n v="20803.77"/>
    <n v="25054.22"/>
    <n v="32065.05"/>
    <n v="32764.42"/>
    <n v="17220.77"/>
    <n v="13919.78"/>
    <n v="19305.099999999999"/>
    <n v="22473.05"/>
    <n v="7446.68"/>
    <n v="42152.93"/>
    <n v="25415.4"/>
    <n v="293753.16000000003"/>
    <n v="16737.53"/>
  </r>
  <r>
    <x v="5"/>
    <x v="5"/>
    <x v="0"/>
    <s v="3400106"/>
    <n v="700066"/>
    <s v="Salaries-RN-NonProd-Other"/>
    <s v="ICU"/>
    <x v="0"/>
    <n v="2000"/>
    <n v="2202.17"/>
    <n v="972.3"/>
    <n v="2654.54"/>
    <n v="2054.4"/>
    <n v="2946.91"/>
    <n v="1195.6600000000001"/>
    <n v="1261.17"/>
    <n v="-34.15"/>
    <n v="1641.16"/>
    <n v="792.93"/>
    <n v="2286.5500000000002"/>
    <n v="1324.6"/>
    <n v="19298.239999999998"/>
    <n v="961.95000000000027"/>
  </r>
  <r>
    <x v="5"/>
    <x v="5"/>
    <x v="0"/>
    <s v="3400106"/>
    <n v="700072"/>
    <s v="Salaries-Other Pat Care Providers-Non-productive"/>
    <s v="ICU"/>
    <x v="0"/>
    <m/>
    <n v="926.46"/>
    <n v="226.5"/>
    <n v="566.16999999999996"/>
    <n v="308.85000000000002"/>
    <n v="1173.5"/>
    <n v="190.12"/>
    <n v="-33.24"/>
    <n v="1671.63"/>
    <n v="1149.49"/>
    <n v="-335.98"/>
    <n v="482.99"/>
    <n v="497.01"/>
    <n v="6823.5"/>
    <n v="-14.019999999999982"/>
  </r>
  <r>
    <x v="5"/>
    <x v="5"/>
    <x v="0"/>
    <s v="3400106"/>
    <n v="700072"/>
    <s v="Salaries-Other Pat Care Providers-NonProd-Other"/>
    <s v="ICU"/>
    <x v="0"/>
    <n v="2000"/>
    <n v="27.92"/>
    <n v="3.89"/>
    <n v="0"/>
    <n v="30.27"/>
    <n v="1.18"/>
    <n v="6.72"/>
    <n v="10.86"/>
    <n v="46.64"/>
    <n v="6.51"/>
    <n v="89.73"/>
    <n v="1.75"/>
    <n v="29.16"/>
    <n v="254.63000000000002"/>
    <n v="-27.41"/>
  </r>
  <r>
    <x v="5"/>
    <x v="5"/>
    <x v="0"/>
    <s v="3400106"/>
    <n v="700084"/>
    <s v="Accrued PTO"/>
    <s v="ICU"/>
    <x v="0"/>
    <m/>
    <n v="-9083.9599999999991"/>
    <n v="1663.1"/>
    <n v="5005.6499999999996"/>
    <n v="1644.74"/>
    <n v="-1535.99"/>
    <n v="4172.17"/>
    <n v="13114.11"/>
    <n v="9711.66"/>
    <n v="2343.9699999999998"/>
    <n v="12300.53"/>
    <n v="-3926.71"/>
    <n v="4543.84"/>
    <n v="39953.11"/>
    <n v="-8470.5499999999993"/>
  </r>
  <r>
    <x v="10"/>
    <x v="5"/>
    <x v="0"/>
    <s v="3400106"/>
    <n v="710060"/>
    <s v="Contract Labor-Other"/>
    <s v="ICU"/>
    <x v="0"/>
    <m/>
    <n v="56842.5"/>
    <n v="54126.69"/>
    <n v="31458.75"/>
    <n v="47958.5"/>
    <n v="37877.25"/>
    <n v="51622.07"/>
    <n v="68175.13"/>
    <n v="44768.49"/>
    <n v="63423.82"/>
    <n v="34202.75"/>
    <n v="56081.59"/>
    <n v="29591.31"/>
    <n v="576128.85000000009"/>
    <n v="26490.279999999995"/>
  </r>
  <r>
    <x v="10"/>
    <x v="5"/>
    <x v="0"/>
    <s v="3400106"/>
    <n v="710060"/>
    <s v="Contract Labor-Overtime"/>
    <s v="ICU"/>
    <x v="0"/>
    <n v="5100"/>
    <n v="982.46"/>
    <n v="1629.45"/>
    <n v="2029.72"/>
    <n v="1557.57"/>
    <n v="766.8"/>
    <n v="5822.89"/>
    <n v="2324.36"/>
    <n v="7596.11"/>
    <n v="1442.81"/>
    <n v="431.32"/>
    <n v="1441.13"/>
    <n v="3760.88"/>
    <n v="29785.500000000004"/>
    <n v="-2319.75"/>
  </r>
  <r>
    <x v="10"/>
    <x v="5"/>
    <x v="0"/>
    <s v="3400106"/>
    <n v="710060"/>
    <s v="Contract Labor-Standby Wages"/>
    <s v="ICU"/>
    <x v="0"/>
    <n v="5101"/>
    <n v="52"/>
    <n v="0"/>
    <n v="0"/>
    <n v="0"/>
    <n v="0"/>
    <n v="0"/>
    <n v="0"/>
    <n v="0"/>
    <n v="0"/>
    <n v="0"/>
    <n v="102"/>
    <n v="0"/>
    <n v="154"/>
    <n v="102"/>
  </r>
  <r>
    <x v="6"/>
    <x v="5"/>
    <x v="0"/>
    <s v="3400106"/>
    <n v="713010"/>
    <s v="Benefits-FICA/Medicare"/>
    <s v="ICU"/>
    <x v="0"/>
    <m/>
    <n v="12779.23"/>
    <n v="13293.97"/>
    <n v="15762.41"/>
    <n v="18236.21"/>
    <n v="11805.07"/>
    <n v="13136.66"/>
    <n v="13503.05"/>
    <n v="14518.99"/>
    <n v="13951.87"/>
    <n v="12686.49"/>
    <n v="14310.9"/>
    <n v="11897.38"/>
    <n v="165882.23000000001"/>
    <n v="2413.5200000000004"/>
  </r>
  <r>
    <x v="6"/>
    <x v="5"/>
    <x v="0"/>
    <s v="3400106"/>
    <n v="713090"/>
    <s v="Benefits-Allocated Amounts"/>
    <s v="ICU"/>
    <x v="0"/>
    <m/>
    <n v="31449.94"/>
    <n v="33108.800000000003"/>
    <n v="36316.800000000003"/>
    <n v="43559.3"/>
    <n v="26096.78"/>
    <n v="32114.400000000001"/>
    <n v="33350.43"/>
    <n v="38109.26"/>
    <n v="33718.11"/>
    <n v="32679.78"/>
    <n v="36043.25"/>
    <n v="31132.28"/>
    <n v="407679.13"/>
    <n v="4910.9700000000012"/>
  </r>
  <r>
    <x v="17"/>
    <x v="5"/>
    <x v="0"/>
    <s v="3400106"/>
    <n v="714510"/>
    <s v="Medical Director Fees"/>
    <s v="ICU"/>
    <x v="0"/>
    <m/>
    <n v="700"/>
    <n v="700"/>
    <n v="700"/>
    <n v="700"/>
    <n v="700"/>
    <n v="700"/>
    <n v="700"/>
    <n v="700"/>
    <n v="0"/>
    <n v="-21700"/>
    <n v="0"/>
    <n v="0"/>
    <n v="-16100"/>
    <n v="0"/>
  </r>
  <r>
    <x v="17"/>
    <x v="5"/>
    <x v="0"/>
    <s v="3400106"/>
    <n v="714520"/>
    <s v="Other Contracted Professionals"/>
    <s v="ICU"/>
    <x v="0"/>
    <m/>
    <n v="0"/>
    <n v="0"/>
    <n v="0"/>
    <n v="0"/>
    <n v="0"/>
    <n v="0"/>
    <n v="0"/>
    <n v="0"/>
    <n v="0"/>
    <n v="0"/>
    <n v="0"/>
    <n v="16200"/>
    <n v="16200"/>
    <n v="-16200"/>
  </r>
  <r>
    <x v="17"/>
    <x v="5"/>
    <x v="0"/>
    <s v="3400106"/>
    <n v="714530"/>
    <s v="Medical Prof Fees-Intracompany"/>
    <s v="ICU"/>
    <x v="0"/>
    <m/>
    <n v="106283.12"/>
    <n v="81659.78"/>
    <n v="57512.5"/>
    <n v="41914.720000000001"/>
    <n v="75414.759999999995"/>
    <n v="72995.97"/>
    <n v="76772.210000000006"/>
    <n v="58769.81"/>
    <n v="63557.83"/>
    <n v="62866.82"/>
    <n v="61269.01"/>
    <n v="151289.43"/>
    <n v="910305.96"/>
    <n v="-90020.419999999984"/>
  </r>
  <r>
    <x v="7"/>
    <x v="5"/>
    <x v="0"/>
    <s v="3400106"/>
    <n v="718050"/>
    <s v="Translation Services"/>
    <s v="ICU"/>
    <x v="0"/>
    <n v="1025"/>
    <n v="522.45000000000005"/>
    <n v="0"/>
    <n v="779.22"/>
    <n v="201.45"/>
    <n v="321.58999999999997"/>
    <n v="164"/>
    <n v="259.12"/>
    <n v="0"/>
    <n v="245.67"/>
    <n v="187.23"/>
    <n v="0"/>
    <n v="80.58"/>
    <n v="2761.31"/>
    <n v="-80.58"/>
  </r>
  <r>
    <x v="7"/>
    <x v="5"/>
    <x v="0"/>
    <s v="3400106"/>
    <n v="718050"/>
    <s v="Contract Management--Linen"/>
    <s v="ICU"/>
    <x v="0"/>
    <n v="1026"/>
    <n v="2105.9699999999998"/>
    <n v="1575.55"/>
    <n v="2026.05"/>
    <n v="2948.72"/>
    <n v="3877.99"/>
    <n v="3341.96"/>
    <n v="2578.44"/>
    <n v="3571.74"/>
    <n v="2473.1"/>
    <n v="2845.98"/>
    <n v="1485.02"/>
    <n v="3157.45"/>
    <n v="31987.969999999998"/>
    <n v="-1672.4299999999998"/>
  </r>
  <r>
    <x v="7"/>
    <x v="5"/>
    <x v="0"/>
    <s v="3400106"/>
    <n v="718050"/>
    <s v="Purchased Srvcs--Medical Waste"/>
    <s v="ICU"/>
    <x v="0"/>
    <n v="1027"/>
    <n v="0"/>
    <n v="0"/>
    <n v="548.84"/>
    <n v="50.11"/>
    <n v="0"/>
    <n v="0"/>
    <n v="41.86"/>
    <n v="55.12"/>
    <n v="191.83"/>
    <n v="203.24"/>
    <n v="55.66"/>
    <n v="0"/>
    <n v="1146.6600000000001"/>
    <n v="55.66"/>
  </r>
  <r>
    <x v="11"/>
    <x v="5"/>
    <x v="0"/>
    <s v="3400106"/>
    <n v="721010"/>
    <s v="Supplies-Medical - Billable"/>
    <s v="ICU"/>
    <x v="0"/>
    <m/>
    <n v="5459.39"/>
    <n v="4799.1099999999997"/>
    <n v="6779.88"/>
    <n v="8155.57"/>
    <n v="6986.53"/>
    <n v="7209.52"/>
    <n v="8140.33"/>
    <n v="6880.12"/>
    <n v="8703.1299999999992"/>
    <n v="7890.94"/>
    <n v="7107.07"/>
    <n v="5272.97"/>
    <n v="83384.56"/>
    <n v="1834.0999999999995"/>
  </r>
  <r>
    <x v="11"/>
    <x v="5"/>
    <x v="0"/>
    <s v="3400106"/>
    <n v="721010"/>
    <s v="Patient Monitoring"/>
    <s v="ICU"/>
    <x v="0"/>
    <n v="1000"/>
    <n v="418.04"/>
    <n v="415.56"/>
    <n v="452.28"/>
    <n v="593.08000000000004"/>
    <n v="381.54"/>
    <n v="417.12"/>
    <n v="479.96"/>
    <n v="315.10000000000002"/>
    <n v="341.17"/>
    <n v="300.48"/>
    <n v="469.94"/>
    <n v="647.85"/>
    <n v="5232.12"/>
    <n v="-177.91000000000003"/>
  </r>
  <r>
    <x v="11"/>
    <x v="5"/>
    <x v="0"/>
    <s v="3400106"/>
    <n v="721020"/>
    <s v="Supplies-Surgical - Billable"/>
    <s v="ICU"/>
    <x v="0"/>
    <m/>
    <n v="749.55"/>
    <n v="354.26"/>
    <n v="1156.0899999999999"/>
    <n v="1214.6099999999999"/>
    <n v="1179.81"/>
    <n v="1373.03"/>
    <n v="1064.96"/>
    <n v="1669.5"/>
    <n v="638.16999999999996"/>
    <n v="1238.8800000000001"/>
    <n v="1044.28"/>
    <n v="840.9"/>
    <n v="12524.04"/>
    <n v="203.38"/>
  </r>
  <r>
    <x v="11"/>
    <x v="5"/>
    <x v="0"/>
    <s v="3400106"/>
    <n v="721020"/>
    <s v="Custom Packs"/>
    <s v="ICU"/>
    <x v="0"/>
    <n v="1000"/>
    <n v="0"/>
    <n v="0"/>
    <n v="145.63999999999999"/>
    <n v="701.72"/>
    <n v="662.11"/>
    <n v="577.27"/>
    <n v="648.76"/>
    <n v="781.16"/>
    <n v="370.72"/>
    <n v="781.16"/>
    <n v="291.27999999999997"/>
    <n v="357.48"/>
    <n v="5317.2999999999993"/>
    <n v="-66.200000000000045"/>
  </r>
  <r>
    <x v="11"/>
    <x v="5"/>
    <x v="0"/>
    <s v="3400106"/>
    <n v="721020"/>
    <s v="Suture/Wound Closure"/>
    <s v="ICU"/>
    <x v="0"/>
    <n v="1001"/>
    <n v="0"/>
    <n v="42.48"/>
    <n v="0"/>
    <n v="0"/>
    <n v="0"/>
    <n v="0"/>
    <n v="0"/>
    <n v="0"/>
    <n v="0"/>
    <n v="0"/>
    <n v="0"/>
    <n v="0"/>
    <n v="42.48"/>
    <n v="0"/>
  </r>
  <r>
    <x v="11"/>
    <x v="5"/>
    <x v="0"/>
    <s v="3400106"/>
    <n v="721020"/>
    <s v="Urological Supplies"/>
    <s v="ICU"/>
    <x v="0"/>
    <n v="1006"/>
    <n v="103.68"/>
    <n v="132.47999999999999"/>
    <n v="119.04"/>
    <n v="148.32"/>
    <n v="118.56"/>
    <n v="131.04"/>
    <n v="120.96"/>
    <n v="152.63999999999999"/>
    <n v="174.24"/>
    <n v="121.92"/>
    <n v="173.56"/>
    <n v="85.44"/>
    <n v="1581.8799999999999"/>
    <n v="88.12"/>
  </r>
  <r>
    <x v="11"/>
    <x v="5"/>
    <x v="0"/>
    <s v="3400106"/>
    <n v="721020"/>
    <s v="Tubes Drains &amp; Related Supplies"/>
    <s v="ICU"/>
    <x v="0"/>
    <n v="1008"/>
    <n v="33.270000000000003"/>
    <n v="2.52"/>
    <n v="227.44"/>
    <n v="32.43"/>
    <n v="8.4"/>
    <n v="99.15"/>
    <n v="14.28"/>
    <n v="22.25"/>
    <n v="10.92"/>
    <n v="39.159999999999997"/>
    <n v="61.52"/>
    <n v="90.72"/>
    <n v="642.06000000000006"/>
    <n v="-29.199999999999996"/>
  </r>
  <r>
    <x v="11"/>
    <x v="5"/>
    <x v="0"/>
    <s v="3400106"/>
    <n v="721050"/>
    <s v="Supplies-Cardiac Rhythm - Billable"/>
    <s v="ICU"/>
    <x v="0"/>
    <m/>
    <n v="1459.03"/>
    <n v="903.65"/>
    <n v="250"/>
    <n v="836.53"/>
    <n v="313.45999999999998"/>
    <n v="451.92"/>
    <n v="476.92"/>
    <n v="641.34"/>
    <n v="100"/>
    <n v="312.5"/>
    <n v="527.88"/>
    <n v="250"/>
    <n v="6523.2300000000005"/>
    <n v="277.88"/>
  </r>
  <r>
    <x v="11"/>
    <x v="5"/>
    <x v="0"/>
    <s v="3400106"/>
    <n v="721050"/>
    <s v="Pacemakers - Internal"/>
    <s v="ICU"/>
    <x v="0"/>
    <n v="1000"/>
    <n v="0"/>
    <n v="0"/>
    <n v="0"/>
    <n v="99"/>
    <n v="117.42"/>
    <n v="0"/>
    <n v="0"/>
    <n v="0"/>
    <n v="0"/>
    <n v="0"/>
    <n v="0"/>
    <n v="0"/>
    <n v="216.42000000000002"/>
    <n v="0"/>
  </r>
  <r>
    <x v="11"/>
    <x v="5"/>
    <x v="0"/>
    <s v="3400106"/>
    <n v="721150"/>
    <s v="Supplies-Other Implants - Billable"/>
    <s v="ICU"/>
    <x v="0"/>
    <m/>
    <n v="101.33"/>
    <n v="0"/>
    <n v="0"/>
    <n v="101.33"/>
    <n v="0"/>
    <n v="0"/>
    <n v="0"/>
    <n v="0"/>
    <n v="0"/>
    <n v="0"/>
    <n v="0"/>
    <n v="0"/>
    <n v="202.66"/>
    <n v="0"/>
  </r>
  <r>
    <x v="11"/>
    <x v="5"/>
    <x v="0"/>
    <s v="3400106"/>
    <n v="721240"/>
    <s v="Supplies-IV Solutions/Supplies - Billable"/>
    <s v="ICU"/>
    <x v="0"/>
    <m/>
    <n v="3157.79"/>
    <n v="3352.89"/>
    <n v="3773.21"/>
    <n v="3561.41"/>
    <n v="3393.64"/>
    <n v="3894.5"/>
    <n v="3433.89"/>
    <n v="3181.13"/>
    <n v="3981.46"/>
    <n v="3219.21"/>
    <n v="3481.36"/>
    <n v="3082.99"/>
    <n v="41513.479999999996"/>
    <n v="398.37000000000035"/>
  </r>
  <r>
    <x v="11"/>
    <x v="5"/>
    <x v="0"/>
    <s v="3400106"/>
    <n v="721350"/>
    <s v="Radiology Imaging - Contrast Media"/>
    <s v="ICU"/>
    <x v="0"/>
    <n v="1000"/>
    <n v="0"/>
    <n v="8.01"/>
    <n v="2.36"/>
    <n v="2.36"/>
    <n v="2.36"/>
    <n v="3.54"/>
    <n v="2.36"/>
    <n v="1.1299999999999999"/>
    <n v="0"/>
    <n v="2.2599999999999998"/>
    <n v="0"/>
    <n v="2.2599999999999998"/>
    <n v="26.639999999999993"/>
    <n v="-2.2599999999999998"/>
  </r>
  <r>
    <x v="11"/>
    <x v="5"/>
    <x v="0"/>
    <s v="3400106"/>
    <n v="721410"/>
    <s v="Supplies-Medical - Nonbillable"/>
    <s v="ICU"/>
    <x v="0"/>
    <m/>
    <n v="14697.3"/>
    <n v="14094.02"/>
    <n v="14321.28"/>
    <n v="15852.63"/>
    <n v="15419"/>
    <n v="23658.61"/>
    <n v="16441.25"/>
    <n v="16178.02"/>
    <n v="16278.97"/>
    <n v="16901.349999999999"/>
    <n v="21464.63"/>
    <n v="16780.98"/>
    <n v="202088.04"/>
    <n v="4683.6500000000015"/>
  </r>
  <r>
    <x v="11"/>
    <x v="5"/>
    <x v="0"/>
    <s v="3400106"/>
    <n v="721420"/>
    <s v="Supplies-Surgical Nonbillable"/>
    <s v="ICU"/>
    <x v="0"/>
    <m/>
    <n v="242.08"/>
    <n v="181.08"/>
    <n v="203.73"/>
    <n v="264.92"/>
    <n v="2476.92"/>
    <n v="2140.21"/>
    <n v="775.69"/>
    <n v="204.06"/>
    <n v="236.65"/>
    <n v="240.88"/>
    <n v="556.97"/>
    <n v="227.47"/>
    <n v="7750.6600000000017"/>
    <n v="329.5"/>
  </r>
  <r>
    <x v="11"/>
    <x v="5"/>
    <x v="0"/>
    <s v="3400106"/>
    <n v="721420"/>
    <s v="Tubes Drains &amp; Related Supplies"/>
    <s v="ICU"/>
    <x v="0"/>
    <n v="1008"/>
    <n v="103.35"/>
    <n v="91.19"/>
    <n v="78.55"/>
    <n v="102.92"/>
    <n v="82.56"/>
    <n v="106.06"/>
    <n v="88.45"/>
    <n v="76.599999999999994"/>
    <n v="70.099999999999994"/>
    <n v="151.66999999999999"/>
    <n v="289.77999999999997"/>
    <n v="356.41"/>
    <n v="1597.64"/>
    <n v="-66.630000000000052"/>
  </r>
  <r>
    <x v="11"/>
    <x v="5"/>
    <x v="0"/>
    <s v="3400106"/>
    <n v="721420"/>
    <s v="Sterilization Process Products"/>
    <s v="ICU"/>
    <x v="0"/>
    <n v="1009"/>
    <n v="0"/>
    <n v="0"/>
    <n v="0"/>
    <n v="0"/>
    <n v="0"/>
    <n v="0"/>
    <n v="0"/>
    <n v="0"/>
    <n v="0"/>
    <n v="0"/>
    <n v="28.35"/>
    <n v="0"/>
    <n v="28.35"/>
    <n v="28.35"/>
  </r>
  <r>
    <x v="11"/>
    <x v="5"/>
    <x v="0"/>
    <s v="3400106"/>
    <n v="721610"/>
    <s v="Supplies-Anesthesia - Nonbillable"/>
    <s v="ICU"/>
    <x v="0"/>
    <m/>
    <n v="254.65"/>
    <n v="197.71"/>
    <n v="258.56"/>
    <n v="257.89999999999998"/>
    <n v="270.42"/>
    <n v="236.3"/>
    <n v="243.33"/>
    <n v="347.31"/>
    <n v="172.97"/>
    <n v="1565.36"/>
    <n v="908.13"/>
    <n v="275.48"/>
    <n v="4988.119999999999"/>
    <n v="632.65"/>
  </r>
  <r>
    <x v="11"/>
    <x v="5"/>
    <x v="0"/>
    <s v="3400106"/>
    <n v="721640"/>
    <s v="Supplies-IV Solutions/Supplies - Nonbillable"/>
    <s v="ICU"/>
    <x v="0"/>
    <m/>
    <n v="3593.85"/>
    <n v="3365.88"/>
    <n v="3486.99"/>
    <n v="4494.38"/>
    <n v="4161.74"/>
    <n v="4040.64"/>
    <n v="4310.5600000000004"/>
    <n v="3828.7"/>
    <n v="4251.28"/>
    <n v="3711.82"/>
    <n v="3575.19"/>
    <n v="3492.65"/>
    <n v="46313.68"/>
    <n v="82.539999999999964"/>
  </r>
  <r>
    <x v="11"/>
    <x v="5"/>
    <x v="0"/>
    <s v="3400106"/>
    <n v="721650"/>
    <s v="Supplies-Pharmacy Drugs - Nonbillable"/>
    <s v="ICU"/>
    <x v="0"/>
    <m/>
    <n v="204.82"/>
    <n v="216.05"/>
    <n v="205.97"/>
    <n v="235.49"/>
    <n v="345.65"/>
    <n v="254.55"/>
    <n v="301.45"/>
    <n v="281.52999999999997"/>
    <n v="283.5"/>
    <n v="302.56"/>
    <n v="183.65"/>
    <n v="267.14"/>
    <n v="3082.36"/>
    <n v="-83.489999999999981"/>
  </r>
  <r>
    <x v="11"/>
    <x v="5"/>
    <x v="0"/>
    <s v="3400106"/>
    <n v="721710"/>
    <s v="Supplies-Laboratory - Nonbillable"/>
    <s v="ICU"/>
    <x v="0"/>
    <m/>
    <n v="588.76"/>
    <n v="560.36"/>
    <n v="570.85"/>
    <n v="567.69000000000005"/>
    <n v="645.79999999999995"/>
    <n v="804.06"/>
    <n v="652.66"/>
    <n v="706.17"/>
    <n v="590.29"/>
    <n v="627.05999999999995"/>
    <n v="615.42999999999995"/>
    <n v="633.59"/>
    <n v="7562.7200000000012"/>
    <n v="-18.160000000000082"/>
  </r>
  <r>
    <x v="11"/>
    <x v="5"/>
    <x v="0"/>
    <s v="3400106"/>
    <n v="721750"/>
    <s v="Supplies-Film/Radiographic - Nonbillable"/>
    <s v="ICU"/>
    <x v="0"/>
    <m/>
    <n v="1.88"/>
    <n v="21.26"/>
    <n v="3.74"/>
    <n v="21.46"/>
    <n v="0.94"/>
    <n v="4.68"/>
    <n v="4.68"/>
    <n v="2.81"/>
    <n v="0"/>
    <n v="5.62"/>
    <n v="2.81"/>
    <n v="0"/>
    <n v="69.88000000000001"/>
    <n v="2.81"/>
  </r>
  <r>
    <x v="11"/>
    <x v="5"/>
    <x v="0"/>
    <s v="3400106"/>
    <n v="721810"/>
    <s v="Supplies-Dietary/Cafeteria"/>
    <s v="ICU"/>
    <x v="0"/>
    <m/>
    <n v="1696.83"/>
    <n v="1466.43"/>
    <n v="1862.03"/>
    <n v="2142.79"/>
    <n v="1813.75"/>
    <n v="1669.18"/>
    <n v="2986.62"/>
    <n v="1958.52"/>
    <n v="2102.1"/>
    <n v="2321.41"/>
    <n v="2200.5300000000002"/>
    <n v="1834.25"/>
    <n v="24054.44"/>
    <n v="366.2800000000002"/>
  </r>
  <r>
    <x v="11"/>
    <x v="5"/>
    <x v="0"/>
    <s v="3400106"/>
    <n v="721830"/>
    <s v="Supplies-Office"/>
    <s v="ICU"/>
    <x v="0"/>
    <m/>
    <n v="193.36"/>
    <n v="4.76"/>
    <n v="191.57"/>
    <n v="521.04"/>
    <n v="3.44"/>
    <n v="204.31"/>
    <n v="318.61"/>
    <n v="164.35"/>
    <n v="52.63"/>
    <n v="545.5"/>
    <n v="520.44000000000005"/>
    <n v="248.32"/>
    <n v="2968.3300000000004"/>
    <n v="272.12000000000006"/>
  </r>
  <r>
    <x v="11"/>
    <x v="5"/>
    <x v="0"/>
    <s v="3400106"/>
    <n v="721835"/>
    <s v="Supplies-Forms"/>
    <s v="ICU"/>
    <x v="0"/>
    <m/>
    <n v="0"/>
    <n v="0"/>
    <n v="0"/>
    <n v="0"/>
    <n v="273.64"/>
    <n v="47.19"/>
    <n v="181.47"/>
    <n v="0"/>
    <n v="166.67"/>
    <n v="0"/>
    <n v="109"/>
    <n v="26.66"/>
    <n v="804.62999999999988"/>
    <n v="82.34"/>
  </r>
  <r>
    <x v="11"/>
    <x v="5"/>
    <x v="0"/>
    <s v="3400106"/>
    <n v="721870"/>
    <s v="Supplies-Environmental Services"/>
    <s v="ICU"/>
    <x v="0"/>
    <m/>
    <n v="375.26"/>
    <n v="266.97000000000003"/>
    <n v="308.88"/>
    <n v="460.02"/>
    <n v="323.72000000000003"/>
    <n v="422.28"/>
    <n v="395.42"/>
    <n v="351.75"/>
    <n v="378.47"/>
    <n v="704.69"/>
    <n v="428"/>
    <n v="570.62"/>
    <n v="4986.0800000000008"/>
    <n v="-142.62"/>
  </r>
  <r>
    <x v="11"/>
    <x v="5"/>
    <x v="0"/>
    <s v="3400106"/>
    <n v="721880"/>
    <s v="Supplies-Linen"/>
    <s v="ICU"/>
    <x v="0"/>
    <m/>
    <n v="3.76"/>
    <n v="225.6"/>
    <n v="135.36000000000001"/>
    <n v="0"/>
    <n v="45.12"/>
    <n v="144.38"/>
    <n v="45.12"/>
    <n v="90.24"/>
    <n v="86.48"/>
    <n v="90.24"/>
    <n v="45.12"/>
    <n v="90.24"/>
    <n v="1001.6600000000001"/>
    <n v="-45.12"/>
  </r>
  <r>
    <x v="11"/>
    <x v="5"/>
    <x v="0"/>
    <s v="3400106"/>
    <n v="721910"/>
    <s v="Supplies-Small Equipment"/>
    <s v="ICU"/>
    <x v="0"/>
    <m/>
    <n v="640.79"/>
    <n v="1534.23"/>
    <n v="1731.81"/>
    <n v="1089.4100000000001"/>
    <n v="1776.08"/>
    <n v="1522.24"/>
    <n v="562.14"/>
    <n v="1007.3"/>
    <n v="1744.49"/>
    <n v="3404.77"/>
    <n v="820.78"/>
    <n v="684.39"/>
    <n v="16518.43"/>
    <n v="136.38999999999999"/>
  </r>
  <r>
    <x v="11"/>
    <x v="5"/>
    <x v="0"/>
    <s v="3400106"/>
    <n v="721910"/>
    <s v="Instruments"/>
    <s v="ICU"/>
    <x v="0"/>
    <n v="1000"/>
    <n v="261.60000000000002"/>
    <n v="16.23"/>
    <n v="18.399999999999999"/>
    <n v="264.14999999999998"/>
    <n v="0"/>
    <n v="14.96"/>
    <n v="472.2"/>
    <n v="1214.97"/>
    <n v="1092.76"/>
    <n v="636.03"/>
    <n v="7.36"/>
    <n v="16.75"/>
    <n v="4015.4100000000003"/>
    <n v="-9.39"/>
  </r>
  <r>
    <x v="11"/>
    <x v="5"/>
    <x v="0"/>
    <s v="3400106"/>
    <n v="721980"/>
    <s v="Supplies-Other"/>
    <s v="ICU"/>
    <x v="0"/>
    <m/>
    <n v="7"/>
    <n v="0"/>
    <n v="0"/>
    <n v="87.5"/>
    <n v="0"/>
    <n v="0"/>
    <n v="0"/>
    <n v="0"/>
    <n v="5000"/>
    <n v="0"/>
    <n v="470"/>
    <n v="575.85"/>
    <n v="6140.35"/>
    <n v="-105.85000000000002"/>
  </r>
  <r>
    <x v="11"/>
    <x v="5"/>
    <x v="0"/>
    <s v="3400106"/>
    <n v="722000"/>
    <s v="Supplies-Freight Expense"/>
    <s v="ICU"/>
    <x v="0"/>
    <m/>
    <n v="0"/>
    <n v="0"/>
    <n v="0"/>
    <n v="7.99"/>
    <n v="0"/>
    <n v="0"/>
    <n v="28.88"/>
    <n v="0"/>
    <n v="39.69"/>
    <n v="10.19"/>
    <n v="10.25"/>
    <n v="0"/>
    <n v="97"/>
    <n v="10.25"/>
  </r>
  <r>
    <x v="11"/>
    <x v="5"/>
    <x v="0"/>
    <s v="3400106"/>
    <n v="722000"/>
    <s v="Rush Order Fees"/>
    <s v="ICU"/>
    <x v="0"/>
    <n v="1005"/>
    <n v="0"/>
    <n v="0"/>
    <n v="0"/>
    <n v="0"/>
    <n v="0"/>
    <n v="0"/>
    <n v="0"/>
    <n v="0"/>
    <n v="0"/>
    <n v="0"/>
    <n v="0"/>
    <n v="24.74"/>
    <n v="24.74"/>
    <n v="-24.74"/>
  </r>
  <r>
    <x v="12"/>
    <x v="5"/>
    <x v="0"/>
    <s v="3400106"/>
    <n v="730020"/>
    <s v="Rental and Leases-Equipment (DO NOT USE)"/>
    <s v="ICU"/>
    <x v="0"/>
    <m/>
    <n v="0"/>
    <n v="0"/>
    <n v="0"/>
    <n v="-2311.14"/>
    <n v="-2204.9499999999998"/>
    <n v="0"/>
    <n v="0"/>
    <n v="0"/>
    <n v="0"/>
    <n v="0"/>
    <n v="0"/>
    <n v="0"/>
    <n v="-4516.09"/>
    <n v="0"/>
  </r>
  <r>
    <x v="12"/>
    <x v="5"/>
    <x v="0"/>
    <s v="3400106"/>
    <n v="730020"/>
    <s v="Rental and Leases-Copier Usage Fees (DO NOT USE)"/>
    <s v="ICU"/>
    <x v="0"/>
    <n v="5100"/>
    <n v="34.409999999999997"/>
    <n v="35.61"/>
    <n v="35.01"/>
    <n v="35.01"/>
    <n v="35.01"/>
    <n v="35.01"/>
    <n v="2.2999999999999998"/>
    <n v="35.64"/>
    <n v="35.56"/>
    <n v="35.72"/>
    <n v="35.64"/>
    <n v="44.99"/>
    <n v="399.90999999999997"/>
    <n v="-9.3500000000000014"/>
  </r>
  <r>
    <x v="15"/>
    <x v="5"/>
    <x v="0"/>
    <s v="3400106"/>
    <n v="731060"/>
    <s v="Telephone"/>
    <s v="ICU"/>
    <x v="0"/>
    <m/>
    <n v="4.3"/>
    <n v="0"/>
    <n v="0"/>
    <n v="0"/>
    <n v="0"/>
    <n v="0"/>
    <n v="0"/>
    <n v="0"/>
    <n v="0"/>
    <n v="0"/>
    <n v="0"/>
    <n v="0"/>
    <n v="4.3"/>
    <n v="0"/>
  </r>
  <r>
    <x v="15"/>
    <x v="5"/>
    <x v="0"/>
    <s v="3400106"/>
    <n v="731060"/>
    <s v="Pagers"/>
    <s v="ICU"/>
    <x v="0"/>
    <n v="1002"/>
    <n v="31.96"/>
    <n v="31.96"/>
    <n v="31.96"/>
    <n v="32.08"/>
    <n v="24.06"/>
    <n v="0"/>
    <n v="48.12"/>
    <n v="24.06"/>
    <n v="24.06"/>
    <n v="24.03"/>
    <n v="24.03"/>
    <n v="24.03"/>
    <n v="320.34999999999991"/>
    <n v="0"/>
  </r>
  <r>
    <x v="16"/>
    <x v="5"/>
    <x v="0"/>
    <s v="3400106"/>
    <n v="732030"/>
    <s v="Repairs---Other"/>
    <s v="ICU"/>
    <x v="0"/>
    <m/>
    <n v="0"/>
    <n v="0"/>
    <n v="0"/>
    <n v="316.8"/>
    <n v="0"/>
    <n v="1570.8"/>
    <n v="4656.3"/>
    <n v="379.5"/>
    <n v="0"/>
    <n v="3758.84"/>
    <n v="1409.16"/>
    <n v="822.07"/>
    <n v="12913.47"/>
    <n v="587.09"/>
  </r>
  <r>
    <x v="13"/>
    <x v="5"/>
    <x v="0"/>
    <s v="3400106"/>
    <n v="735040"/>
    <s v="Depreciation-Building Improvements"/>
    <s v="ICU"/>
    <x v="0"/>
    <m/>
    <n v="1360.03"/>
    <n v="1360.03"/>
    <n v="1360.03"/>
    <n v="1360.03"/>
    <n v="1360.03"/>
    <n v="1360.03"/>
    <n v="1360.03"/>
    <n v="1360.03"/>
    <n v="1360.04"/>
    <n v="1360.03"/>
    <n v="1360.04"/>
    <n v="1360.03"/>
    <n v="16320.38"/>
    <n v="9.9999999999909051E-3"/>
  </r>
  <r>
    <x v="13"/>
    <x v="5"/>
    <x v="0"/>
    <s v="3400106"/>
    <n v="735060"/>
    <s v="Depreciation-Fixed Equipment"/>
    <s v="ICU"/>
    <x v="0"/>
    <m/>
    <n v="130.37"/>
    <n v="130.37"/>
    <n v="130.38"/>
    <n v="130.37"/>
    <n v="130.38"/>
    <n v="130.37"/>
    <n v="130.38999999999999"/>
    <n v="130.37"/>
    <n v="130.4"/>
    <n v="130.37"/>
    <n v="130.43"/>
    <n v="130.36000000000001"/>
    <n v="1564.56"/>
    <n v="6.9999999999993179E-2"/>
  </r>
  <r>
    <x v="13"/>
    <x v="5"/>
    <x v="0"/>
    <s v="3400106"/>
    <n v="735070"/>
    <s v="Depreciation-Movable Equipment"/>
    <s v="ICU"/>
    <x v="0"/>
    <m/>
    <n v="12343.66"/>
    <n v="12343.53"/>
    <n v="12343.71"/>
    <n v="12337.17"/>
    <n v="12337.44"/>
    <n v="12337.13"/>
    <n v="12337.76"/>
    <n v="12336.97"/>
    <n v="12338.05"/>
    <n v="12336.81"/>
    <n v="12338.36"/>
    <n v="12336.43"/>
    <n v="148067.01999999999"/>
    <n v="1.930000000000291"/>
  </r>
  <r>
    <x v="0"/>
    <x v="5"/>
    <x v="0"/>
    <s v="3400106"/>
    <n v="740020"/>
    <s v="Education-Registration Fees"/>
    <s v="ICU"/>
    <x v="0"/>
    <m/>
    <n v="0"/>
    <n v="0"/>
    <n v="0"/>
    <n v="235"/>
    <n v="1143"/>
    <n v="0"/>
    <n v="430"/>
    <n v="0"/>
    <n v="0"/>
    <n v="45"/>
    <n v="0"/>
    <n v="464.99"/>
    <n v="2317.9899999999998"/>
    <n v="-464.99"/>
  </r>
  <r>
    <x v="0"/>
    <x v="5"/>
    <x v="0"/>
    <s v="3400106"/>
    <n v="749510"/>
    <s v="Miscellaneous Expenses"/>
    <s v="ICU"/>
    <x v="0"/>
    <m/>
    <n v="0"/>
    <n v="0"/>
    <n v="0"/>
    <n v="235"/>
    <n v="-235"/>
    <n v="0"/>
    <n v="0"/>
    <n v="0"/>
    <n v="0"/>
    <n v="0"/>
    <n v="0"/>
    <n v="0"/>
    <n v="0"/>
    <n v="0"/>
  </r>
  <r>
    <x v="0"/>
    <x v="5"/>
    <x v="0"/>
    <s v="3400106"/>
    <n v="749530"/>
    <s v="Mileage"/>
    <s v="ICU"/>
    <x v="0"/>
    <n v="1001"/>
    <n v="0"/>
    <n v="0"/>
    <n v="0"/>
    <n v="0"/>
    <n v="0"/>
    <n v="0"/>
    <n v="0"/>
    <n v="0"/>
    <n v="0"/>
    <n v="166.46"/>
    <n v="0"/>
    <n v="0"/>
    <n v="166.46"/>
    <n v="0"/>
  </r>
  <r>
    <x v="18"/>
    <x v="6"/>
    <x v="0"/>
    <s v="3400107"/>
    <n v="400010"/>
    <s v="Acute I/P Svcs Rev--Medicare"/>
    <s v="Intensive Care Unit"/>
    <x v="0"/>
    <n v="1100"/>
    <n v="-2222175.2200000002"/>
    <n v="-2100517.9300000002"/>
    <n v="-2266442.46"/>
    <n v="-1503308.13"/>
    <n v="-1875480.68"/>
    <n v="-1980128.21"/>
    <n v="-2472128.2400000002"/>
    <n v="-2422598.2200000002"/>
    <n v="-2307143.44"/>
    <n v="-1835117.77"/>
    <n v="-1929250.13"/>
    <n v="-1944375.6"/>
    <n v="-24858666.030000001"/>
    <n v="15125.470000000205"/>
  </r>
  <r>
    <x v="18"/>
    <x v="6"/>
    <x v="0"/>
    <s v="3400107"/>
    <n v="400010"/>
    <s v="Acute I/P Svcs Rev--Medicaid"/>
    <s v="Intensive Care Unit"/>
    <x v="0"/>
    <n v="1200"/>
    <n v="-307385.23"/>
    <n v="-506122.96"/>
    <n v="-252776.66"/>
    <n v="-590485.09"/>
    <n v="-376809.41"/>
    <n v="-491971.68"/>
    <n v="-303375.68"/>
    <n v="-375090.24"/>
    <n v="-661048.53"/>
    <n v="-563270.04"/>
    <n v="-542908.36"/>
    <n v="-625171.79"/>
    <n v="-5596415.6700000009"/>
    <n v="82263.430000000051"/>
  </r>
  <r>
    <x v="18"/>
    <x v="6"/>
    <x v="0"/>
    <s v="3400107"/>
    <n v="400010"/>
    <s v="Acute I/P Svcs Rev--Comm Insurance"/>
    <s v="Intensive Care Unit"/>
    <x v="0"/>
    <n v="1300"/>
    <n v="13757.51"/>
    <n v="-41989.48"/>
    <n v="0"/>
    <n v="-43132.2"/>
    <n v="-50338.52"/>
    <n v="-216151.42"/>
    <n v="144125.56"/>
    <n v="-92758.5"/>
    <n v="-35170.33"/>
    <n v="-8037.7"/>
    <n v="39315.82"/>
    <n v="864.3"/>
    <n v="-289514.96000000002"/>
    <n v="38451.519999999997"/>
  </r>
  <r>
    <x v="18"/>
    <x v="6"/>
    <x v="0"/>
    <s v="3400107"/>
    <n v="400010"/>
    <s v="Acute I/P Svcs Rev--BCBS Comm"/>
    <s v="Intensive Care Unit"/>
    <x v="0"/>
    <n v="1301"/>
    <n v="-41933.1"/>
    <n v="-105757.57"/>
    <n v="-142831.01"/>
    <n v="-107136.58"/>
    <n v="-89549.58"/>
    <n v="-73290.28"/>
    <n v="-236867.48"/>
    <n v="-109840.32000000001"/>
    <n v="-103296.38"/>
    <n v="-97963.79"/>
    <n v="-196485.16"/>
    <n v="-48286.28"/>
    <n v="-1353237.53"/>
    <n v="-148198.88"/>
  </r>
  <r>
    <x v="18"/>
    <x v="6"/>
    <x v="0"/>
    <s v="3400107"/>
    <n v="400010"/>
    <s v="Acute I/P Svcs Rev--Managed Care"/>
    <s v="Intensive Care Unit"/>
    <x v="0"/>
    <n v="1400"/>
    <n v="-273947.8"/>
    <n v="-210720.7"/>
    <n v="-340226.16"/>
    <n v="-195942.57"/>
    <n v="-193162.61"/>
    <n v="-198533.99"/>
    <n v="-124270.5"/>
    <n v="-182911.01"/>
    <n v="-245100.08"/>
    <n v="-147361.16"/>
    <n v="-309737.82"/>
    <n v="-526221.72"/>
    <n v="-2948136.12"/>
    <n v="216483.89999999997"/>
  </r>
  <r>
    <x v="18"/>
    <x v="6"/>
    <x v="0"/>
    <s v="3400107"/>
    <n v="400010"/>
    <s v="Acute I/P Svcs Rev--Self Pay"/>
    <s v="Intensive Care Unit"/>
    <x v="0"/>
    <n v="1500"/>
    <n v="-12943.83"/>
    <n v="-1401.12"/>
    <n v="-175318.7"/>
    <n v="172452.2"/>
    <n v="-8479.0400000000009"/>
    <n v="-30956.94"/>
    <n v="-43319.65"/>
    <n v="-8658.0499999999993"/>
    <n v="-7785.76"/>
    <n v="0"/>
    <n v="-42001.23"/>
    <n v="13353.25"/>
    <n v="-145058.87000000002"/>
    <n v="-55354.48"/>
  </r>
  <r>
    <x v="18"/>
    <x v="6"/>
    <x v="0"/>
    <s v="3400107"/>
    <n v="400010"/>
    <s v="Acute I/P Svcs Rev--Other"/>
    <s v="Intensive Care Unit"/>
    <x v="0"/>
    <n v="1700"/>
    <n v="-7320.74"/>
    <n v="-288794.96000000002"/>
    <n v="-107342.71"/>
    <n v="-109776.57"/>
    <n v="-163821.07"/>
    <n v="-55089.39"/>
    <n v="-35374.949999999997"/>
    <n v="-126115.42"/>
    <n v="-447235.42"/>
    <n v="-66944.759999999995"/>
    <n v="-219616.16"/>
    <n v="-177410.28"/>
    <n v="-1804842.43"/>
    <n v="-42205.880000000005"/>
  </r>
  <r>
    <x v="19"/>
    <x v="6"/>
    <x v="0"/>
    <s v="3400107"/>
    <n v="400020"/>
    <s v="O/P Care Svcs Rev--Medicare"/>
    <s v="Intensive Care Unit"/>
    <x v="0"/>
    <n v="1100"/>
    <n v="346"/>
    <n v="-3695.58"/>
    <n v="-16078.13"/>
    <n v="0"/>
    <n v="0"/>
    <n v="0"/>
    <n v="-5654.62"/>
    <n v="-4888.34"/>
    <n v="0"/>
    <n v="-5673.6"/>
    <n v="0"/>
    <n v="0"/>
    <n v="-35644.269999999997"/>
    <n v="0"/>
  </r>
  <r>
    <x v="19"/>
    <x v="6"/>
    <x v="0"/>
    <s v="3400107"/>
    <n v="400020"/>
    <s v="O/P Care Svcs Rev--Medicaid"/>
    <s v="Intensive Care Unit"/>
    <x v="0"/>
    <n v="1200"/>
    <n v="-363.3"/>
    <n v="0"/>
    <n v="0"/>
    <n v="0"/>
    <n v="0"/>
    <n v="0"/>
    <n v="0"/>
    <n v="0"/>
    <n v="0"/>
    <n v="0"/>
    <n v="0"/>
    <n v="0"/>
    <n v="-363.3"/>
    <n v="0"/>
  </r>
  <r>
    <x v="19"/>
    <x v="6"/>
    <x v="0"/>
    <s v="3400107"/>
    <n v="400020"/>
    <s v="O/P Care Svcs Rev--Comm Insurance"/>
    <s v="Intensive Care Unit"/>
    <x v="0"/>
    <n v="1300"/>
    <n v="0"/>
    <n v="0"/>
    <n v="0"/>
    <n v="0"/>
    <n v="0"/>
    <n v="0"/>
    <n v="0"/>
    <n v="0"/>
    <n v="0"/>
    <n v="0"/>
    <n v="-2993.76"/>
    <n v="0"/>
    <n v="-2993.76"/>
    <n v="-2993.76"/>
  </r>
  <r>
    <x v="19"/>
    <x v="6"/>
    <x v="0"/>
    <s v="3400107"/>
    <n v="400020"/>
    <s v="O/P Care Svcs Rev--Managed Care"/>
    <s v="Intensive Care Unit"/>
    <x v="0"/>
    <n v="1400"/>
    <n v="0"/>
    <n v="-5982.37"/>
    <n v="0"/>
    <n v="0"/>
    <n v="0"/>
    <n v="0"/>
    <n v="0"/>
    <n v="0"/>
    <n v="0"/>
    <n v="-679.22"/>
    <n v="0"/>
    <n v="0"/>
    <n v="-6661.59"/>
    <n v="0"/>
  </r>
  <r>
    <x v="19"/>
    <x v="6"/>
    <x v="0"/>
    <s v="3400107"/>
    <n v="400020"/>
    <s v="O/P Care Svcs Rev--Self Pay"/>
    <s v="Intensive Care Unit"/>
    <x v="0"/>
    <n v="1500"/>
    <n v="0"/>
    <n v="0"/>
    <n v="-7246.78"/>
    <n v="-8671.7000000000007"/>
    <n v="0"/>
    <n v="0"/>
    <n v="0"/>
    <n v="-11810.14"/>
    <n v="0"/>
    <n v="-1246.1199999999999"/>
    <n v="-21453.14"/>
    <n v="0"/>
    <n v="-50427.88"/>
    <n v="-21453.14"/>
  </r>
  <r>
    <x v="19"/>
    <x v="6"/>
    <x v="0"/>
    <s v="3400107"/>
    <n v="400020"/>
    <s v="O/P Care Svcs Rev--Other"/>
    <s v="Intensive Care Unit"/>
    <x v="0"/>
    <n v="17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400107"/>
    <n v="700014"/>
    <s v="Salaries-Management-Productive"/>
    <s v="Intensive Care Unit"/>
    <x v="0"/>
    <m/>
    <n v="9581.14"/>
    <n v="10532.98"/>
    <n v="10193.35"/>
    <n v="8543.23"/>
    <n v="10962.91"/>
    <n v="7825.94"/>
    <n v="9250.2900000000009"/>
    <n v="10237.870000000001"/>
    <n v="9461.32"/>
    <n v="8119.44"/>
    <n v="9990.8799999999992"/>
    <n v="7590.36"/>
    <n v="112289.71"/>
    <n v="2400.5199999999995"/>
  </r>
  <r>
    <x v="5"/>
    <x v="6"/>
    <x v="0"/>
    <s v="3400107"/>
    <n v="700018"/>
    <s v="Salaries-Supervisory-Productive"/>
    <s v="Intensive Care Unit"/>
    <x v="0"/>
    <m/>
    <n v="7847.26"/>
    <n v="8417.8799999999992"/>
    <n v="6245.65"/>
    <n v="6861.11"/>
    <n v="3418"/>
    <n v="8398.7199999999993"/>
    <n v="7992.59"/>
    <n v="7824.26"/>
    <n v="8662.6299999999992"/>
    <n v="7712.3"/>
    <n v="7433.14"/>
    <n v="-2905.93"/>
    <n v="77907.610000000015"/>
    <n v="10339.07"/>
  </r>
  <r>
    <x v="5"/>
    <x v="6"/>
    <x v="0"/>
    <s v="3400107"/>
    <n v="700026"/>
    <s v="Salaries-RN-Productive"/>
    <s v="Intensive Care Unit"/>
    <x v="0"/>
    <m/>
    <n v="270581.13"/>
    <n v="325753.2"/>
    <n v="312063.53999999998"/>
    <n v="245640.06"/>
    <n v="249012.68"/>
    <n v="269485.82"/>
    <n v="316900.83"/>
    <n v="313486.21999999997"/>
    <n v="321357.53000000003"/>
    <n v="258652.09"/>
    <n v="323579.07"/>
    <n v="309163.25"/>
    <n v="3515675.4200000004"/>
    <n v="14415.820000000007"/>
  </r>
  <r>
    <x v="5"/>
    <x v="6"/>
    <x v="0"/>
    <s v="3400107"/>
    <n v="700026"/>
    <s v="Salaries-RN-OT"/>
    <s v="Intensive Care Unit"/>
    <x v="0"/>
    <n v="1000"/>
    <n v="17961.32"/>
    <n v="32853.4"/>
    <n v="18927.72"/>
    <n v="10152.08"/>
    <n v="15630.84"/>
    <n v="15758.33"/>
    <n v="19082.79"/>
    <n v="19809.12"/>
    <n v="22484.51"/>
    <n v="15264.67"/>
    <n v="26174.52"/>
    <n v="21809.53"/>
    <n v="235908.83000000002"/>
    <n v="4364.9900000000016"/>
  </r>
  <r>
    <x v="5"/>
    <x v="6"/>
    <x v="0"/>
    <s v="3400107"/>
    <n v="700026"/>
    <s v="Salaries-RN-Other"/>
    <s v="Intensive Care Unit"/>
    <x v="0"/>
    <n v="2000"/>
    <n v="27250.82"/>
    <n v="32924.54"/>
    <n v="32241.06"/>
    <n v="25918.799999999999"/>
    <n v="28122.39"/>
    <n v="29743.16"/>
    <n v="32408.07"/>
    <n v="30000.48"/>
    <n v="29437.07"/>
    <n v="25798.09"/>
    <n v="32541.599999999999"/>
    <n v="29249.5"/>
    <n v="355635.58"/>
    <n v="3292.0999999999985"/>
  </r>
  <r>
    <x v="5"/>
    <x v="6"/>
    <x v="0"/>
    <s v="3400107"/>
    <n v="700030"/>
    <s v="Salaries-LPN-Productive"/>
    <s v="Intensive Care Unit"/>
    <x v="0"/>
    <m/>
    <n v="257.85000000000002"/>
    <n v="443.5"/>
    <n v="328.69"/>
    <n v="377.21"/>
    <n v="664.85"/>
    <n v="727.93"/>
    <n v="467.49"/>
    <n v="972.9"/>
    <n v="369.25"/>
    <n v="330.08"/>
    <n v="1064.6300000000001"/>
    <n v="298.76"/>
    <n v="6303.1399999999994"/>
    <n v="765.87000000000012"/>
  </r>
  <r>
    <x v="5"/>
    <x v="6"/>
    <x v="0"/>
    <s v="3400107"/>
    <n v="700030"/>
    <s v="Salaries-LPN-OT"/>
    <s v="Intensive Care Unit"/>
    <x v="0"/>
    <n v="1000"/>
    <n v="0"/>
    <n v="0"/>
    <n v="11"/>
    <n v="0"/>
    <n v="0"/>
    <n v="10.95"/>
    <n v="0"/>
    <n v="0"/>
    <n v="8.06"/>
    <n v="0"/>
    <n v="0"/>
    <n v="0"/>
    <n v="30.009999999999998"/>
    <n v="0"/>
  </r>
  <r>
    <x v="5"/>
    <x v="6"/>
    <x v="0"/>
    <s v="3400107"/>
    <n v="700030"/>
    <s v="Salaries-LPN-Other"/>
    <s v="Intensive Care Unit"/>
    <x v="0"/>
    <n v="2000"/>
    <n v="5.43"/>
    <n v="5.26"/>
    <n v="1.1399999999999999"/>
    <n v="15.42"/>
    <n v="6.71"/>
    <n v="17.66"/>
    <n v="24.23"/>
    <n v="14.54"/>
    <n v="42.75"/>
    <n v="2.2400000000000002"/>
    <n v="37.549999999999997"/>
    <n v="2.71"/>
    <n v="175.64000000000001"/>
    <n v="34.839999999999996"/>
  </r>
  <r>
    <x v="5"/>
    <x v="6"/>
    <x v="0"/>
    <s v="3400107"/>
    <n v="700032"/>
    <s v="Salaries-Other Pat Care Providers-Productive"/>
    <s v="Intensive Care Unit"/>
    <x v="0"/>
    <m/>
    <n v="19262.25"/>
    <n v="29339.47"/>
    <n v="24907.46"/>
    <n v="12658.06"/>
    <n v="19239.150000000001"/>
    <n v="22809.119999999999"/>
    <n v="23838.74"/>
    <n v="23173.41"/>
    <n v="24858.25"/>
    <n v="20201.09"/>
    <n v="21367.53"/>
    <n v="20029.34"/>
    <n v="261683.86999999997"/>
    <n v="1338.1899999999987"/>
  </r>
  <r>
    <x v="5"/>
    <x v="6"/>
    <x v="0"/>
    <s v="3400107"/>
    <n v="700032"/>
    <s v="Salaries-Other Pat Care Providers-OT"/>
    <s v="Intensive Care Unit"/>
    <x v="0"/>
    <n v="1000"/>
    <n v="1417.78"/>
    <n v="4491.37"/>
    <n v="2484.46"/>
    <n v="428.28"/>
    <n v="786.71"/>
    <n v="1489.09"/>
    <n v="1450.68"/>
    <n v="4400.26"/>
    <n v="2150.87"/>
    <n v="4048.73"/>
    <n v="3997.55"/>
    <n v="5002.6000000000004"/>
    <n v="32148.380000000005"/>
    <n v="-1005.0500000000002"/>
  </r>
  <r>
    <x v="5"/>
    <x v="6"/>
    <x v="0"/>
    <s v="3400107"/>
    <n v="700032"/>
    <s v="Salaries-Other Pat Care Providers-Other"/>
    <s v="Intensive Care Unit"/>
    <x v="0"/>
    <n v="2000"/>
    <n v="2029.9"/>
    <n v="2565.17"/>
    <n v="1991.66"/>
    <n v="1695.91"/>
    <n v="2171.09"/>
    <n v="2318.2399999999998"/>
    <n v="1863.05"/>
    <n v="1964.86"/>
    <n v="2022.24"/>
    <n v="1820.29"/>
    <n v="1685.7"/>
    <n v="1781.72"/>
    <n v="23909.83"/>
    <n v="-96.019999999999982"/>
  </r>
  <r>
    <x v="5"/>
    <x v="6"/>
    <x v="0"/>
    <s v="3400107"/>
    <n v="700034"/>
    <s v="Salaries-Tech/Professional-Productive"/>
    <s v="Intensive Care Unit"/>
    <x v="0"/>
    <m/>
    <n v="0"/>
    <n v="49.31"/>
    <n v="0"/>
    <n v="0"/>
    <n v="0"/>
    <n v="0"/>
    <n v="0"/>
    <n v="0"/>
    <n v="0"/>
    <n v="0"/>
    <n v="0"/>
    <n v="0"/>
    <n v="49.31"/>
    <n v="0"/>
  </r>
  <r>
    <x v="5"/>
    <x v="6"/>
    <x v="0"/>
    <s v="3400107"/>
    <n v="700034"/>
    <s v="Salaries-Tech/Professional-OT"/>
    <s v="Intensive Care Unit"/>
    <x v="0"/>
    <n v="1000"/>
    <n v="0"/>
    <n v="0"/>
    <n v="0"/>
    <n v="0"/>
    <n v="0"/>
    <n v="0"/>
    <n v="0"/>
    <n v="0"/>
    <n v="0"/>
    <n v="0"/>
    <n v="0"/>
    <n v="273.38"/>
    <n v="273.38"/>
    <n v="-273.38"/>
  </r>
  <r>
    <x v="5"/>
    <x v="6"/>
    <x v="0"/>
    <s v="3400107"/>
    <n v="700054"/>
    <s v="Salaries-Management-Non-productive"/>
    <s v="Intensive Care Unit"/>
    <x v="0"/>
    <m/>
    <n v="951.36"/>
    <n v="0"/>
    <n v="0"/>
    <n v="2308.31"/>
    <n v="-387.75"/>
    <n v="3102.06"/>
    <n v="1694.78"/>
    <n v="-352.98"/>
    <n v="1482.73"/>
    <n v="2471.2199999999998"/>
    <n v="953.15"/>
    <n v="3000.81"/>
    <n v="15223.689999999997"/>
    <n v="-2047.6599999999999"/>
  </r>
  <r>
    <x v="5"/>
    <x v="6"/>
    <x v="0"/>
    <s v="3400107"/>
    <n v="700054"/>
    <s v="Salaries-Management-NonProd-Other"/>
    <s v="Intensive Care Unit"/>
    <x v="0"/>
    <n v="2000"/>
    <n v="0"/>
    <n v="0"/>
    <n v="0"/>
    <n v="0"/>
    <n v="0"/>
    <n v="1476.56"/>
    <n v="-1476.56"/>
    <n v="0"/>
    <n v="0"/>
    <n v="0"/>
    <n v="0"/>
    <n v="0"/>
    <n v="0"/>
    <n v="0"/>
  </r>
  <r>
    <x v="5"/>
    <x v="6"/>
    <x v="0"/>
    <s v="3400107"/>
    <n v="700058"/>
    <s v="Salaries-Supervisory-Non-productive"/>
    <s v="Intensive Care Unit"/>
    <x v="0"/>
    <m/>
    <n v="7251.52"/>
    <n v="7936.06"/>
    <n v="9580.9500000000007"/>
    <n v="3280.02"/>
    <n v="4952.63"/>
    <n v="251.22"/>
    <n v="670.86"/>
    <n v="0"/>
    <n v="0"/>
    <n v="670.6"/>
    <n v="1229.51"/>
    <n v="-726.47"/>
    <n v="35096.9"/>
    <n v="1955.98"/>
  </r>
  <r>
    <x v="5"/>
    <x v="6"/>
    <x v="0"/>
    <s v="3400107"/>
    <n v="700066"/>
    <s v="Salaries-RN-Non-productive"/>
    <s v="Intensive Care Unit"/>
    <x v="0"/>
    <m/>
    <n v="56193.13"/>
    <n v="50760"/>
    <n v="36574.54"/>
    <n v="76706.210000000006"/>
    <n v="39143.769999999997"/>
    <n v="63271.34"/>
    <n v="29827.15"/>
    <n v="36071.97"/>
    <n v="35917.629999999997"/>
    <n v="48807.360000000001"/>
    <n v="41615.910000000003"/>
    <n v="46998.62"/>
    <n v="561887.63"/>
    <n v="-5382.7099999999991"/>
  </r>
  <r>
    <x v="5"/>
    <x v="6"/>
    <x v="0"/>
    <s v="3400107"/>
    <n v="700066"/>
    <s v="Salaries-RN-NonProd-Other"/>
    <s v="Intensive Care Unit"/>
    <x v="0"/>
    <n v="2000"/>
    <n v="4704.7700000000004"/>
    <n v="4180.7299999999996"/>
    <n v="2859.61"/>
    <n v="4971.8500000000004"/>
    <n v="4733.6000000000004"/>
    <n v="9489.58"/>
    <n v="2677.51"/>
    <n v="-616.21"/>
    <n v="2947.45"/>
    <n v="3512.42"/>
    <n v="2247.54"/>
    <n v="3502.15"/>
    <n v="45211"/>
    <n v="-1254.6100000000001"/>
  </r>
  <r>
    <x v="5"/>
    <x v="6"/>
    <x v="0"/>
    <s v="3400107"/>
    <n v="700072"/>
    <s v="Salaries-Other Pat Care Providers-Non-productive"/>
    <s v="Intensive Care Unit"/>
    <x v="0"/>
    <m/>
    <n v="5897.76"/>
    <n v="3007.5"/>
    <n v="4029.97"/>
    <n v="5830.88"/>
    <n v="4016.61"/>
    <n v="3054.9"/>
    <n v="3615.29"/>
    <n v="3038.01"/>
    <n v="849.6"/>
    <n v="5021.5600000000004"/>
    <n v="2082.0500000000002"/>
    <n v="3420.78"/>
    <n v="43864.91"/>
    <n v="-1338.73"/>
  </r>
  <r>
    <x v="5"/>
    <x v="6"/>
    <x v="0"/>
    <s v="3400107"/>
    <n v="700072"/>
    <s v="Salaries-Other Pat Care Providers-NonProd-Other"/>
    <s v="Intensive Care Unit"/>
    <x v="0"/>
    <n v="2000"/>
    <n v="1021.8"/>
    <n v="94.69"/>
    <n v="493.77"/>
    <n v="360.7"/>
    <n v="189.29"/>
    <n v="80.36"/>
    <n v="155.32"/>
    <n v="277.43"/>
    <n v="13.89"/>
    <n v="105.7"/>
    <n v="505.45"/>
    <n v="-50.1"/>
    <n v="3248.2999999999997"/>
    <n v="555.54999999999995"/>
  </r>
  <r>
    <x v="5"/>
    <x v="6"/>
    <x v="0"/>
    <s v="3400107"/>
    <n v="700084"/>
    <s v="Accrued PTO"/>
    <s v="Intensive Care Unit"/>
    <x v="0"/>
    <m/>
    <n v="-8916.91"/>
    <n v="144.63"/>
    <n v="1913.2"/>
    <n v="2732.52"/>
    <n v="-3100.81"/>
    <n v="12104.33"/>
    <n v="-5960.71"/>
    <n v="34417.879999999997"/>
    <n v="12830.8"/>
    <n v="6236.95"/>
    <n v="9521.07"/>
    <n v="5487.84"/>
    <n v="67410.789999999994"/>
    <n v="4033.2299999999996"/>
  </r>
  <r>
    <x v="10"/>
    <x v="6"/>
    <x v="0"/>
    <s v="3400107"/>
    <n v="710060"/>
    <s v="Contract Labor-Other"/>
    <s v="Intensive Care Unit"/>
    <x v="0"/>
    <m/>
    <n v="35747.730000000003"/>
    <n v="15856.24"/>
    <n v="49865.91"/>
    <n v="-446.25"/>
    <n v="49646.57"/>
    <n v="86979.57"/>
    <n v="2521.46"/>
    <n v="48350.98"/>
    <n v="23943.66"/>
    <n v="16783.669999999998"/>
    <n v="38321.22"/>
    <n v="22033.77"/>
    <n v="389604.53"/>
    <n v="16287.45"/>
  </r>
  <r>
    <x v="10"/>
    <x v="6"/>
    <x v="0"/>
    <s v="3400107"/>
    <n v="710060"/>
    <s v="Contract Labor-Overtime"/>
    <s v="Intensive Care Unit"/>
    <x v="0"/>
    <n v="5100"/>
    <n v="1082.25"/>
    <n v="0"/>
    <n v="3489.44"/>
    <n v="1443"/>
    <n v="481"/>
    <n v="2707.76"/>
    <n v="481"/>
    <n v="7883.66"/>
    <n v="3109.07"/>
    <n v="461.34"/>
    <n v="356.12"/>
    <n v="2300.4"/>
    <n v="23795.040000000001"/>
    <n v="-1944.2800000000002"/>
  </r>
  <r>
    <x v="10"/>
    <x v="6"/>
    <x v="0"/>
    <s v="3400107"/>
    <n v="710060"/>
    <s v="Contract Labor-Standby Wages"/>
    <s v="Intensive Care Unit"/>
    <x v="0"/>
    <n v="5101"/>
    <n v="333.38"/>
    <n v="135"/>
    <n v="235"/>
    <n v="135"/>
    <n v="459"/>
    <n v="96"/>
    <n v="0"/>
    <n v="0"/>
    <n v="0"/>
    <n v="96"/>
    <n v="100"/>
    <n v="0"/>
    <n v="1589.38"/>
    <n v="100"/>
  </r>
  <r>
    <x v="6"/>
    <x v="6"/>
    <x v="0"/>
    <s v="3400107"/>
    <n v="713010"/>
    <s v="Benefits-FICA/Medicare"/>
    <s v="Intensive Care Unit"/>
    <x v="0"/>
    <m/>
    <n v="32535.72"/>
    <n v="40488.83"/>
    <n v="34217.58"/>
    <n v="30008.43"/>
    <n v="27757.96"/>
    <n v="33063.58"/>
    <n v="35041.300000000003"/>
    <n v="35972.89"/>
    <n v="34378.519999999997"/>
    <n v="29533.03"/>
    <n v="35793.69"/>
    <n v="33757.93"/>
    <n v="402549.45999999996"/>
    <n v="2035.760000000002"/>
  </r>
  <r>
    <x v="6"/>
    <x v="6"/>
    <x v="0"/>
    <s v="3400107"/>
    <n v="713090"/>
    <s v="Benefits-Allocated Amounts"/>
    <s v="Intensive Care Unit"/>
    <x v="0"/>
    <m/>
    <n v="61206.87"/>
    <n v="66711.91"/>
    <n v="64987.61"/>
    <n v="55499.08"/>
    <n v="59783.85"/>
    <n v="62423.49"/>
    <n v="64148.89"/>
    <n v="69652.22"/>
    <n v="55482.84"/>
    <n v="65284.39"/>
    <n v="69117.279999999999"/>
    <n v="76714.77"/>
    <n v="771013.20000000007"/>
    <n v="-7597.4900000000052"/>
  </r>
  <r>
    <x v="6"/>
    <x v="6"/>
    <x v="0"/>
    <s v="3400107"/>
    <n v="713096"/>
    <s v="Employee Recognition"/>
    <s v="Intensive Care Unit"/>
    <x v="0"/>
    <n v="1017"/>
    <n v="0"/>
    <n v="0"/>
    <n v="0"/>
    <n v="42"/>
    <n v="56.53"/>
    <n v="0"/>
    <n v="0"/>
    <n v="40.53"/>
    <n v="43.98"/>
    <n v="283.67"/>
    <n v="98.88"/>
    <n v="0"/>
    <n v="565.59"/>
    <n v="98.88"/>
  </r>
  <r>
    <x v="17"/>
    <x v="6"/>
    <x v="0"/>
    <s v="3400107"/>
    <n v="714510"/>
    <s v="Medical Director Fees"/>
    <s v="Intensive Care Unit"/>
    <x v="0"/>
    <m/>
    <n v="11200"/>
    <n v="11200"/>
    <n v="11200"/>
    <n v="11200"/>
    <n v="11200"/>
    <n v="16800"/>
    <n v="11200"/>
    <n v="11200"/>
    <n v="11200"/>
    <n v="11200"/>
    <n v="11200"/>
    <n v="16800"/>
    <n v="145600"/>
    <n v="-5600"/>
  </r>
  <r>
    <x v="17"/>
    <x v="6"/>
    <x v="0"/>
    <s v="3400107"/>
    <n v="714520"/>
    <s v="Other Contracted Professionals"/>
    <s v="Intensive Care Unit"/>
    <x v="0"/>
    <m/>
    <n v="0"/>
    <n v="0"/>
    <n v="0"/>
    <n v="0"/>
    <n v="9100"/>
    <n v="0"/>
    <n v="9100"/>
    <n v="0"/>
    <n v="7800"/>
    <n v="7800"/>
    <n v="0"/>
    <n v="9100"/>
    <n v="42900"/>
    <n v="-9100"/>
  </r>
  <r>
    <x v="17"/>
    <x v="6"/>
    <x v="0"/>
    <s v="3400107"/>
    <n v="714530"/>
    <s v="Medical Prof Fees-Intracompany"/>
    <s v="Intensive Care Unit"/>
    <x v="0"/>
    <m/>
    <n v="46126.04"/>
    <n v="44180.12"/>
    <n v="28305.07"/>
    <n v="66788.710000000006"/>
    <n v="49405.61"/>
    <n v="37242.629999999997"/>
    <n v="110495.89"/>
    <n v="52427.74"/>
    <n v="55273.120000000003"/>
    <n v="55273.120000000003"/>
    <n v="62144.72"/>
    <n v="98287.49"/>
    <n v="705950.26"/>
    <n v="-36142.770000000004"/>
  </r>
  <r>
    <x v="7"/>
    <x v="6"/>
    <x v="0"/>
    <s v="3400107"/>
    <n v="718050"/>
    <s v="Miscellaneous Purchased Svcs"/>
    <s v="Intensive Care Unit"/>
    <x v="0"/>
    <n v="1020"/>
    <n v="0"/>
    <n v="4500"/>
    <n v="0"/>
    <n v="3000"/>
    <n v="0"/>
    <n v="3000"/>
    <n v="3000"/>
    <n v="0"/>
    <n v="0"/>
    <n v="3000"/>
    <n v="4500"/>
    <n v="1500"/>
    <n v="22500"/>
    <n v="3000"/>
  </r>
  <r>
    <x v="7"/>
    <x v="6"/>
    <x v="0"/>
    <s v="3400107"/>
    <n v="718050"/>
    <s v="Contract Management--Linen"/>
    <s v="Intensive Care Unit"/>
    <x v="0"/>
    <n v="1026"/>
    <n v="2459.14"/>
    <n v="3157.68"/>
    <n v="3193.57"/>
    <n v="2133.5500000000002"/>
    <n v="3145.25"/>
    <n v="2911.56"/>
    <n v="3055.77"/>
    <n v="6441.36"/>
    <n v="3442.91"/>
    <n v="3279.33"/>
    <n v="3315.96"/>
    <n v="5439.98"/>
    <n v="41976.06"/>
    <n v="-2124.0199999999995"/>
  </r>
  <r>
    <x v="7"/>
    <x v="6"/>
    <x v="0"/>
    <s v="3400107"/>
    <n v="718070"/>
    <s v="Contract Srvcs-CHI Clinical Engineering"/>
    <s v="Intensive Care Unit"/>
    <x v="0"/>
    <m/>
    <n v="266.45999999999998"/>
    <n v="266.45999999999998"/>
    <n v="266.45999999999998"/>
    <n v="266.45999999999998"/>
    <n v="266.45999999999998"/>
    <n v="252.52"/>
    <n v="255.46"/>
    <n v="255.46"/>
    <n v="254.28"/>
    <n v="254.28"/>
    <n v="255.98"/>
    <n v="253.04"/>
    <n v="3113.32"/>
    <n v="2.9399999999999977"/>
  </r>
  <r>
    <x v="11"/>
    <x v="6"/>
    <x v="0"/>
    <s v="3400107"/>
    <n v="721010"/>
    <s v="Supplies-Medical - Billable"/>
    <s v="Intensive Care Unit"/>
    <x v="0"/>
    <m/>
    <n v="18594"/>
    <n v="21814.11"/>
    <n v="18523.310000000001"/>
    <n v="8630.9699999999993"/>
    <n v="12598.23"/>
    <n v="17472.650000000001"/>
    <n v="11476.74"/>
    <n v="22413.4"/>
    <n v="14069.21"/>
    <n v="14860.23"/>
    <n v="11715.07"/>
    <n v="18730.009999999998"/>
    <n v="190897.93000000002"/>
    <n v="-7014.9399999999987"/>
  </r>
  <r>
    <x v="11"/>
    <x v="6"/>
    <x v="0"/>
    <s v="3400107"/>
    <n v="721010"/>
    <s v="Patient Monitoring"/>
    <s v="Intensive Care Unit"/>
    <x v="0"/>
    <n v="1000"/>
    <n v="3347.48"/>
    <n v="1823.17"/>
    <n v="1496.58"/>
    <n v="1402.18"/>
    <n v="1111.5899999999999"/>
    <n v="1872.5"/>
    <n v="1940.73"/>
    <n v="4456.2"/>
    <n v="-1019.64"/>
    <n v="1074.98"/>
    <n v="1779.34"/>
    <n v="1023.4"/>
    <n v="20308.510000000002"/>
    <n v="755.93999999999994"/>
  </r>
  <r>
    <x v="11"/>
    <x v="6"/>
    <x v="0"/>
    <s v="3400107"/>
    <n v="721020"/>
    <s v="Supplies-Surgical - Billable"/>
    <s v="Intensive Care Unit"/>
    <x v="0"/>
    <m/>
    <n v="12304.05"/>
    <n v="941.44"/>
    <n v="935.58"/>
    <n v="121.67"/>
    <n v="1517.42"/>
    <n v="1295.97"/>
    <n v="2561.4"/>
    <n v="2172.5500000000002"/>
    <n v="2039.69"/>
    <n v="3283.99"/>
    <n v="1016.43"/>
    <n v="2033.29"/>
    <n v="30223.480000000003"/>
    <n v="-1016.86"/>
  </r>
  <r>
    <x v="11"/>
    <x v="6"/>
    <x v="0"/>
    <s v="3400107"/>
    <n v="721020"/>
    <s v="Custom Packs"/>
    <s v="Intensive Care Unit"/>
    <x v="0"/>
    <n v="1000"/>
    <n v="0"/>
    <n v="689.91"/>
    <n v="1106.74"/>
    <n v="940.79"/>
    <n v="1351.12"/>
    <n v="1059.2"/>
    <n v="1602.04"/>
    <n v="1271.04"/>
    <n v="1575.56"/>
    <n v="873.84"/>
    <n v="1469.64"/>
    <n v="1390.2"/>
    <n v="13330.08"/>
    <n v="79.440000000000055"/>
  </r>
  <r>
    <x v="11"/>
    <x v="6"/>
    <x v="0"/>
    <s v="3400107"/>
    <n v="721020"/>
    <s v="Suture/Wound Closure"/>
    <s v="Intensive Care Unit"/>
    <x v="0"/>
    <n v="1001"/>
    <n v="0"/>
    <n v="0"/>
    <n v="0"/>
    <n v="65.760000000000005"/>
    <n v="0"/>
    <n v="21.12"/>
    <n v="9.3699999999999992"/>
    <n v="147.84"/>
    <n v="90.48"/>
    <n v="0"/>
    <n v="0"/>
    <n v="0"/>
    <n v="334.57000000000005"/>
    <n v="0"/>
  </r>
  <r>
    <x v="11"/>
    <x v="6"/>
    <x v="0"/>
    <s v="3400107"/>
    <n v="721020"/>
    <s v="Endomechanical Supplies &amp; Instruments"/>
    <s v="Intensive Care Unit"/>
    <x v="0"/>
    <n v="1003"/>
    <n v="0"/>
    <n v="16.399999999999999"/>
    <n v="0"/>
    <n v="0"/>
    <n v="0"/>
    <n v="0"/>
    <n v="0"/>
    <n v="0"/>
    <n v="0"/>
    <n v="0"/>
    <n v="0"/>
    <n v="0"/>
    <n v="16.399999999999999"/>
    <n v="0"/>
  </r>
  <r>
    <x v="11"/>
    <x v="6"/>
    <x v="0"/>
    <s v="3400107"/>
    <n v="721020"/>
    <s v="Surgical Cardiovascular"/>
    <s v="Intensive Care Unit"/>
    <x v="0"/>
    <n v="1007"/>
    <n v="817.5"/>
    <n v="-58.62"/>
    <n v="483.87"/>
    <n v="408.75"/>
    <n v="666.91"/>
    <n v="348.11"/>
    <n v="1138.32"/>
    <n v="348.11"/>
    <n v="104.52"/>
    <n v="758.88"/>
    <n v="758.88"/>
    <n v="698.13"/>
    <n v="6473.3600000000006"/>
    <n v="60.75"/>
  </r>
  <r>
    <x v="11"/>
    <x v="6"/>
    <x v="0"/>
    <s v="3400107"/>
    <n v="721020"/>
    <s v="Tubes Drains &amp; Related Supplies"/>
    <s v="Intensive Care Unit"/>
    <x v="0"/>
    <n v="1008"/>
    <n v="0"/>
    <n v="0"/>
    <n v="0"/>
    <n v="-14.18"/>
    <n v="0"/>
    <n v="0"/>
    <n v="0"/>
    <n v="0"/>
    <n v="0"/>
    <n v="0"/>
    <n v="0"/>
    <n v="0"/>
    <n v="-14.18"/>
    <n v="0"/>
  </r>
  <r>
    <x v="11"/>
    <x v="6"/>
    <x v="0"/>
    <s v="3400107"/>
    <n v="721050"/>
    <s v="Supplies-Cardiac Rhythm - Billable"/>
    <s v="Intensive Care Unit"/>
    <x v="0"/>
    <m/>
    <n v="677.88"/>
    <n v="1027.46"/>
    <n v="927.42"/>
    <n v="487.34"/>
    <n v="1009.5"/>
    <n v="1491.25"/>
    <n v="661.5"/>
    <n v="630"/>
    <n v="810"/>
    <n v="540"/>
    <n v="757.46"/>
    <n v="522.04"/>
    <n v="9541.8500000000022"/>
    <n v="235.42000000000007"/>
  </r>
  <r>
    <x v="11"/>
    <x v="6"/>
    <x v="0"/>
    <s v="3400107"/>
    <n v="721050"/>
    <s v="Pacemakers - Internal"/>
    <s v="Intensive Care Unit"/>
    <x v="0"/>
    <n v="1000"/>
    <n v="0"/>
    <n v="546"/>
    <n v="0"/>
    <n v="546"/>
    <n v="0"/>
    <n v="0"/>
    <n v="0"/>
    <n v="0"/>
    <n v="0"/>
    <n v="0"/>
    <n v="0"/>
    <n v="0"/>
    <n v="1092"/>
    <n v="0"/>
  </r>
  <r>
    <x v="11"/>
    <x v="6"/>
    <x v="0"/>
    <s v="3400107"/>
    <n v="721240"/>
    <s v="Supplies-IV Solutions/Supplies - Billable"/>
    <s v="Intensive Care Unit"/>
    <x v="0"/>
    <m/>
    <n v="4867.99"/>
    <n v="6904.9"/>
    <n v="4186.99"/>
    <n v="2928.47"/>
    <n v="7225.57"/>
    <n v="6766.21"/>
    <n v="3106.16"/>
    <n v="5027.0600000000004"/>
    <n v="5941.08"/>
    <n v="3774.97"/>
    <n v="3778.63"/>
    <n v="4141.46"/>
    <n v="58649.489999999991"/>
    <n v="-362.82999999999993"/>
  </r>
  <r>
    <x v="11"/>
    <x v="6"/>
    <x v="0"/>
    <s v="3400107"/>
    <n v="721320"/>
    <s v="Supplies-Purchased Blood - Billable"/>
    <s v="Intensive Care Unit"/>
    <x v="0"/>
    <m/>
    <n v="685.8"/>
    <n v="800.1"/>
    <n v="171.45"/>
    <n v="342.9"/>
    <n v="857.25"/>
    <n v="0"/>
    <n v="342.9"/>
    <n v="1028.7"/>
    <n v="0"/>
    <n v="500.4"/>
    <n v="417"/>
    <n v="166.8"/>
    <n v="5313.3"/>
    <n v="250.2"/>
  </r>
  <r>
    <x v="11"/>
    <x v="6"/>
    <x v="0"/>
    <s v="3400107"/>
    <n v="721410"/>
    <s v="Supplies-Medical - Nonbillable"/>
    <s v="Intensive Care Unit"/>
    <x v="0"/>
    <m/>
    <n v="15021.01"/>
    <n v="14438.98"/>
    <n v="14454.23"/>
    <n v="10914.28"/>
    <n v="9285.58"/>
    <n v="13501"/>
    <n v="14239.94"/>
    <n v="14671.93"/>
    <n v="16460.05"/>
    <n v="12610.45"/>
    <n v="17566.150000000001"/>
    <n v="23137.96"/>
    <n v="176301.56"/>
    <n v="-5571.8099999999977"/>
  </r>
  <r>
    <x v="11"/>
    <x v="6"/>
    <x v="0"/>
    <s v="3400107"/>
    <n v="721420"/>
    <s v="Supplies-Surgical Nonbillable"/>
    <s v="Intensive Care Unit"/>
    <x v="0"/>
    <m/>
    <n v="7646.05"/>
    <n v="5228.34"/>
    <n v="6833.53"/>
    <n v="5646.45"/>
    <n v="-1306.26"/>
    <n v="2635.02"/>
    <n v="293.22000000000003"/>
    <n v="2419.27"/>
    <n v="12013.64"/>
    <n v="1555.93"/>
    <n v="4290.12"/>
    <n v="3717.43"/>
    <n v="50972.740000000005"/>
    <n v="572.69000000000005"/>
  </r>
  <r>
    <x v="11"/>
    <x v="6"/>
    <x v="0"/>
    <s v="3400107"/>
    <n v="721420"/>
    <s v="Sterilization Process Products"/>
    <s v="Intensive Care Unit"/>
    <x v="0"/>
    <n v="1009"/>
    <n v="257.58999999999997"/>
    <n v="0"/>
    <n v="0.6"/>
    <n v="0.6"/>
    <n v="71.37"/>
    <n v="0"/>
    <n v="229.27"/>
    <n v="0"/>
    <n v="49.79"/>
    <n v="58.43"/>
    <n v="49.79"/>
    <n v="407.65"/>
    <n v="1125.0899999999999"/>
    <n v="-357.85999999999996"/>
  </r>
  <r>
    <x v="11"/>
    <x v="6"/>
    <x v="0"/>
    <s v="3400107"/>
    <n v="721610"/>
    <s v="Supplies-Anesthesia - Nonbillable"/>
    <s v="Intensive Care Unit"/>
    <x v="0"/>
    <m/>
    <n v="24.2"/>
    <n v="56.46"/>
    <n v="56.46"/>
    <n v="48.39"/>
    <n v="48.39"/>
    <n v="121.9"/>
    <n v="25.77"/>
    <n v="251.55"/>
    <n v="52.6"/>
    <n v="0"/>
    <n v="0"/>
    <n v="957.38"/>
    <n v="1643.1"/>
    <n v="-957.38"/>
  </r>
  <r>
    <x v="11"/>
    <x v="6"/>
    <x v="0"/>
    <s v="3400107"/>
    <n v="721640"/>
    <s v="Supplies-IV Solutions/Supplies - Nonbillable"/>
    <s v="Intensive Care Unit"/>
    <x v="0"/>
    <m/>
    <n v="5463.43"/>
    <n v="6194.72"/>
    <n v="6556.7"/>
    <n v="3917.38"/>
    <n v="5606.1"/>
    <n v="5993.45"/>
    <n v="4848.72"/>
    <n v="6793.35"/>
    <n v="5799.81"/>
    <n v="3325.87"/>
    <n v="5212.1400000000003"/>
    <n v="4471.71"/>
    <n v="64183.38"/>
    <n v="740.43000000000029"/>
  </r>
  <r>
    <x v="11"/>
    <x v="6"/>
    <x v="0"/>
    <s v="3400107"/>
    <n v="721650"/>
    <s v="Supplies-Pharmacy Drugs - Nonbillable"/>
    <s v="Intensive Care Unit"/>
    <x v="0"/>
    <m/>
    <n v="589.26"/>
    <n v="282.58999999999997"/>
    <n v="1057.3800000000001"/>
    <n v="717.05"/>
    <n v="588.88"/>
    <n v="392.01"/>
    <n v="401.24"/>
    <n v="186.59"/>
    <n v="424.86"/>
    <n v="427.47"/>
    <n v="256.12"/>
    <n v="384.91"/>
    <n v="5708.36"/>
    <n v="-128.79000000000002"/>
  </r>
  <r>
    <x v="11"/>
    <x v="6"/>
    <x v="0"/>
    <s v="3400107"/>
    <n v="721710"/>
    <s v="Supplies-Laboratory - Nonbillable"/>
    <s v="Intensive Care Unit"/>
    <x v="0"/>
    <m/>
    <n v="506.47"/>
    <n v="789.42"/>
    <n v="945.6"/>
    <n v="479.8"/>
    <n v="564.57000000000005"/>
    <n v="579.29999999999995"/>
    <n v="1037.1500000000001"/>
    <n v="380.32"/>
    <n v="674.26"/>
    <n v="690.06"/>
    <n v="578.21"/>
    <n v="692.34"/>
    <n v="7917.4999999999991"/>
    <n v="-114.13"/>
  </r>
  <r>
    <x v="11"/>
    <x v="6"/>
    <x v="0"/>
    <s v="3400107"/>
    <n v="721710"/>
    <s v="Reagents"/>
    <s v="Intensive Care Unit"/>
    <x v="0"/>
    <n v="1000"/>
    <n v="0"/>
    <n v="0"/>
    <n v="0"/>
    <n v="6.3"/>
    <n v="3.15"/>
    <n v="0"/>
    <n v="0"/>
    <n v="0"/>
    <n v="0"/>
    <n v="0"/>
    <n v="0"/>
    <n v="0"/>
    <n v="9.4499999999999993"/>
    <n v="0"/>
  </r>
  <r>
    <x v="11"/>
    <x v="6"/>
    <x v="0"/>
    <s v="3400107"/>
    <n v="721750"/>
    <s v="Supplies-Film/Radiographic - Nonbillable"/>
    <s v="Intensive Care Unit"/>
    <x v="0"/>
    <m/>
    <n v="7.49"/>
    <n v="6.56"/>
    <n v="14.98"/>
    <n v="1.87"/>
    <n v="6.55"/>
    <n v="11.22"/>
    <n v="7.49"/>
    <n v="11.23"/>
    <n v="13.11"/>
    <n v="14.99"/>
    <n v="3.75"/>
    <n v="16.850000000000001"/>
    <n v="116.09"/>
    <n v="-13.100000000000001"/>
  </r>
  <r>
    <x v="11"/>
    <x v="6"/>
    <x v="0"/>
    <s v="3400107"/>
    <n v="721810"/>
    <s v="Supplies-Dietary/Cafeteria"/>
    <s v="Intensive Care Unit"/>
    <x v="0"/>
    <m/>
    <n v="1323.14"/>
    <n v="1920.16"/>
    <n v="2216.15"/>
    <n v="1983.61"/>
    <n v="1561.67"/>
    <n v="2371.84"/>
    <n v="2171.19"/>
    <n v="2481.63"/>
    <n v="2030.71"/>
    <n v="2259.89"/>
    <n v="2111.13"/>
    <n v="1830.66"/>
    <n v="24261.78"/>
    <n v="280.47000000000003"/>
  </r>
  <r>
    <x v="11"/>
    <x v="6"/>
    <x v="0"/>
    <s v="3400107"/>
    <n v="721830"/>
    <s v="Supplies-Office"/>
    <s v="Intensive Care Unit"/>
    <x v="0"/>
    <m/>
    <n v="1317.74"/>
    <n v="1019.82"/>
    <n v="858.87"/>
    <n v="506.55"/>
    <n v="853.58"/>
    <n v="429.25"/>
    <n v="1566.56"/>
    <n v="345.73"/>
    <n v="613.42999999999995"/>
    <n v="583.85"/>
    <n v="585.59"/>
    <n v="251.37"/>
    <n v="8932.340000000002"/>
    <n v="334.22"/>
  </r>
  <r>
    <x v="11"/>
    <x v="6"/>
    <x v="0"/>
    <s v="3400107"/>
    <n v="721835"/>
    <s v="Supplies-Forms"/>
    <s v="Intensive Care Unit"/>
    <x v="0"/>
    <m/>
    <n v="0"/>
    <n v="0"/>
    <n v="0"/>
    <n v="0"/>
    <n v="17.190000000000001"/>
    <n v="3"/>
    <n v="0"/>
    <n v="0"/>
    <n v="9.32"/>
    <n v="123"/>
    <n v="0"/>
    <n v="0"/>
    <n v="152.51"/>
    <n v="0"/>
  </r>
  <r>
    <x v="11"/>
    <x v="6"/>
    <x v="0"/>
    <s v="3400107"/>
    <n v="721870"/>
    <s v="Supplies-Environmental Services"/>
    <s v="Intensive Care Unit"/>
    <x v="0"/>
    <m/>
    <n v="887.85"/>
    <n v="991.27"/>
    <n v="828.42"/>
    <n v="669.1"/>
    <n v="874.89"/>
    <n v="834.99"/>
    <n v="1030.3599999999999"/>
    <n v="873.47"/>
    <n v="888.49"/>
    <n v="815.24"/>
    <n v="672.36"/>
    <n v="1049.8800000000001"/>
    <n v="10416.32"/>
    <n v="-377.5200000000001"/>
  </r>
  <r>
    <x v="11"/>
    <x v="6"/>
    <x v="0"/>
    <s v="3400107"/>
    <n v="721910"/>
    <s v="Supplies-Small Equipment"/>
    <s v="Intensive Care Unit"/>
    <x v="0"/>
    <m/>
    <n v="1073.6099999999999"/>
    <n v="1413.29"/>
    <n v="2925.5"/>
    <n v="-1016.74"/>
    <n v="-2172.2399999999998"/>
    <n v="329.32"/>
    <n v="1308.27"/>
    <n v="1796.71"/>
    <n v="422.09"/>
    <n v="6242.64"/>
    <n v="144.91999999999999"/>
    <n v="904.52"/>
    <n v="13371.890000000001"/>
    <n v="-759.6"/>
  </r>
  <r>
    <x v="11"/>
    <x v="6"/>
    <x v="0"/>
    <s v="3400107"/>
    <n v="721910"/>
    <s v="Instruments"/>
    <s v="Intensive Care Unit"/>
    <x v="0"/>
    <n v="1000"/>
    <n v="182.44"/>
    <n v="273.66000000000003"/>
    <n v="182.44"/>
    <n v="91.25"/>
    <n v="219.02"/>
    <n v="164.19"/>
    <n v="206.5"/>
    <n v="131.36000000000001"/>
    <n v="273.66000000000003"/>
    <n v="187.53"/>
    <n v="0"/>
    <n v="320.33"/>
    <n v="2232.38"/>
    <n v="-320.33"/>
  </r>
  <r>
    <x v="11"/>
    <x v="6"/>
    <x v="0"/>
    <s v="3400107"/>
    <n v="721980"/>
    <s v="Supplies-Other"/>
    <s v="Intensive Care Unit"/>
    <x v="0"/>
    <m/>
    <n v="2610"/>
    <n v="320.5"/>
    <n v="439.88"/>
    <n v="260.97000000000003"/>
    <n v="233.09"/>
    <n v="0"/>
    <n v="0"/>
    <n v="0"/>
    <n v="0"/>
    <n v="58.99"/>
    <n v="-3.45"/>
    <n v="0"/>
    <n v="3919.9800000000005"/>
    <n v="-3.45"/>
  </r>
  <r>
    <x v="11"/>
    <x v="6"/>
    <x v="0"/>
    <s v="3400107"/>
    <n v="722000"/>
    <s v="Supplies-Freight Expense"/>
    <s v="Intensive Care Unit"/>
    <x v="0"/>
    <m/>
    <n v="20.55"/>
    <n v="53.57"/>
    <n v="33.36"/>
    <n v="65.09"/>
    <n v="24.66"/>
    <n v="89.34"/>
    <n v="109.66"/>
    <n v="60.74"/>
    <n v="187.47"/>
    <n v="26.34"/>
    <n v="37.049999999999997"/>
    <n v="40.17"/>
    <n v="748"/>
    <n v="-3.1200000000000045"/>
  </r>
  <r>
    <x v="11"/>
    <x v="6"/>
    <x v="0"/>
    <s v="3400107"/>
    <n v="722000"/>
    <s v="Minimum Order Fees"/>
    <s v="Intensive Care Unit"/>
    <x v="0"/>
    <n v="1000"/>
    <n v="0"/>
    <n v="0"/>
    <n v="0"/>
    <n v="54.5"/>
    <n v="0"/>
    <n v="0"/>
    <n v="0"/>
    <n v="0"/>
    <n v="0"/>
    <n v="0"/>
    <n v="0"/>
    <n v="0"/>
    <n v="54.5"/>
    <n v="0"/>
  </r>
  <r>
    <x v="12"/>
    <x v="6"/>
    <x v="0"/>
    <s v="3400107"/>
    <n v="730020"/>
    <s v="Rental and Leases-Equipment (DO NOT USE)"/>
    <s v="Intensive Care Unit"/>
    <x v="0"/>
    <m/>
    <n v="1240.5899999999999"/>
    <n v="3806.07"/>
    <n v="42"/>
    <n v="-227.54"/>
    <n v="0"/>
    <n v="0"/>
    <n v="76.040000000000006"/>
    <n v="0"/>
    <n v="38.020000000000003"/>
    <n v="0"/>
    <n v="76.040000000000006"/>
    <n v="38.020000000000003"/>
    <n v="5089.2400000000007"/>
    <n v="38.020000000000003"/>
  </r>
  <r>
    <x v="12"/>
    <x v="6"/>
    <x v="0"/>
    <s v="3400107"/>
    <n v="730020"/>
    <s v="Rental and Leases-Copier Usage Fees (DO NOT USE)"/>
    <s v="Intensive Care Unit"/>
    <x v="0"/>
    <n v="5100"/>
    <n v="699.21"/>
    <n v="713.81"/>
    <n v="706.51"/>
    <n v="706.51"/>
    <n v="706.51"/>
    <n v="706.51"/>
    <n v="1304.6099999999999"/>
    <n v="576.09"/>
    <n v="1095.97"/>
    <n v="1163.5899999999999"/>
    <n v="576.09"/>
    <n v="1173.9100000000001"/>
    <n v="10129.32"/>
    <n v="-597.82000000000005"/>
  </r>
  <r>
    <x v="15"/>
    <x v="6"/>
    <x v="0"/>
    <s v="3400107"/>
    <n v="731060"/>
    <s v="Telephone"/>
    <s v="Intensive Care Unit"/>
    <x v="0"/>
    <m/>
    <n v="0"/>
    <n v="82.84"/>
    <n v="0"/>
    <n v="0"/>
    <n v="0"/>
    <n v="0"/>
    <n v="39"/>
    <n v="0"/>
    <n v="116"/>
    <n v="3.51"/>
    <n v="116"/>
    <n v="0"/>
    <n v="357.35"/>
    <n v="116"/>
  </r>
  <r>
    <x v="15"/>
    <x v="6"/>
    <x v="0"/>
    <s v="3400107"/>
    <n v="731060"/>
    <s v="Cell Phones"/>
    <s v="Intensive Care Unit"/>
    <x v="0"/>
    <n v="1001"/>
    <n v="0"/>
    <n v="0"/>
    <n v="0"/>
    <n v="0"/>
    <n v="0"/>
    <n v="0"/>
    <n v="0"/>
    <n v="0"/>
    <n v="0"/>
    <n v="118.65"/>
    <n v="53.96"/>
    <n v="53.33"/>
    <n v="225.94"/>
    <n v="0.63000000000000256"/>
  </r>
  <r>
    <x v="15"/>
    <x v="6"/>
    <x v="0"/>
    <s v="3400107"/>
    <n v="731060"/>
    <s v="Pagers"/>
    <s v="Intensive Care Unit"/>
    <x v="0"/>
    <n v="1002"/>
    <n v="40.5"/>
    <n v="40.5"/>
    <n v="40.5"/>
    <n v="40.6"/>
    <n v="0"/>
    <n v="40.6"/>
    <n v="100.61"/>
    <n v="32.479999999999997"/>
    <n v="32.479999999999997"/>
    <n v="32.479999999999997"/>
    <n v="32.479999999999997"/>
    <n v="32.479999999999997"/>
    <n v="465.71000000000009"/>
    <n v="0"/>
  </r>
  <r>
    <x v="16"/>
    <x v="6"/>
    <x v="0"/>
    <s v="3400107"/>
    <n v="732020"/>
    <s v="Repairs--Clin Equip-Parts-Internal to CHI Programs"/>
    <s v="Intensive Care Unit"/>
    <x v="0"/>
    <m/>
    <n v="0"/>
    <n v="0"/>
    <n v="0"/>
    <n v="0"/>
    <n v="0"/>
    <n v="64.67"/>
    <n v="0"/>
    <n v="64.67"/>
    <n v="0"/>
    <n v="0"/>
    <n v="0"/>
    <n v="190.12"/>
    <n v="319.46000000000004"/>
    <n v="-190.12"/>
  </r>
  <r>
    <x v="16"/>
    <x v="6"/>
    <x v="0"/>
    <s v="3400107"/>
    <n v="732030"/>
    <s v="Repairs---Other"/>
    <s v="Intensive Care Unit"/>
    <x v="0"/>
    <m/>
    <n v="0"/>
    <n v="0"/>
    <n v="0"/>
    <n v="0"/>
    <n v="0"/>
    <n v="0"/>
    <n v="0"/>
    <n v="0"/>
    <n v="0"/>
    <n v="558.13"/>
    <n v="1000"/>
    <n v="178.54"/>
    <n v="1736.67"/>
    <n v="821.46"/>
  </r>
  <r>
    <x v="13"/>
    <x v="6"/>
    <x v="0"/>
    <s v="3400107"/>
    <n v="735070"/>
    <s v="Depreciation-Movable Equipment"/>
    <s v="Intensive Care Unit"/>
    <x v="0"/>
    <m/>
    <n v="12394.24"/>
    <n v="12394.24"/>
    <n v="10896.22"/>
    <n v="12243.44"/>
    <n v="12239.16"/>
    <n v="12239"/>
    <n v="12692.84"/>
    <n v="12777.25"/>
    <n v="12777.45"/>
    <n v="12777.21"/>
    <n v="12777.5"/>
    <n v="14206.16"/>
    <n v="150414.71"/>
    <n v="-1428.6599999999999"/>
  </r>
  <r>
    <x v="0"/>
    <x v="6"/>
    <x v="0"/>
    <s v="3400107"/>
    <n v="740010"/>
    <s v="Education-Materials"/>
    <s v="Intensive Care Unit"/>
    <x v="0"/>
    <m/>
    <n v="0"/>
    <n v="0"/>
    <n v="0"/>
    <n v="0"/>
    <n v="0"/>
    <n v="0"/>
    <n v="0"/>
    <n v="0"/>
    <n v="175"/>
    <n v="157.47999999999999"/>
    <n v="0"/>
    <n v="0"/>
    <n v="332.48"/>
    <n v="0"/>
  </r>
  <r>
    <x v="0"/>
    <x v="6"/>
    <x v="0"/>
    <s v="3400107"/>
    <n v="740020"/>
    <s v="Education-Registration Fees"/>
    <s v="Intensive Care Unit"/>
    <x v="0"/>
    <m/>
    <n v="900"/>
    <n v="0"/>
    <n v="0"/>
    <n v="0"/>
    <n v="0"/>
    <n v="0"/>
    <n v="0"/>
    <n v="0"/>
    <n v="0"/>
    <n v="0"/>
    <n v="0"/>
    <n v="0"/>
    <n v="900"/>
    <n v="0"/>
  </r>
  <r>
    <x v="0"/>
    <x v="6"/>
    <x v="0"/>
    <s v="3400107"/>
    <n v="742010"/>
    <s v="Postage-Regular"/>
    <s v="Intensive Care Unit"/>
    <x v="0"/>
    <m/>
    <n v="0"/>
    <n v="0"/>
    <n v="0"/>
    <n v="0"/>
    <n v="0"/>
    <n v="0"/>
    <n v="0"/>
    <n v="0"/>
    <n v="0"/>
    <n v="7.85"/>
    <n v="0"/>
    <n v="0"/>
    <n v="7.85"/>
    <n v="0"/>
  </r>
  <r>
    <x v="0"/>
    <x v="6"/>
    <x v="0"/>
    <s v="3400107"/>
    <n v="749510"/>
    <s v="Miscellaneous Expenses"/>
    <s v="Intensive Care Unit"/>
    <x v="0"/>
    <m/>
    <n v="746.09"/>
    <n v="-930.27"/>
    <n v="673.53"/>
    <n v="-613.59"/>
    <n v="308.18"/>
    <n v="-223.06"/>
    <n v="40.53"/>
    <n v="-125.65"/>
    <n v="87.72"/>
    <n v="137.28"/>
    <n v="105.15"/>
    <n v="38.07"/>
    <n v="243.98"/>
    <n v="67.080000000000013"/>
  </r>
  <r>
    <x v="0"/>
    <x v="6"/>
    <x v="0"/>
    <s v="3400107"/>
    <n v="749530"/>
    <s v="Travel"/>
    <s v="Intensive Care Unit"/>
    <x v="0"/>
    <m/>
    <n v="412.8"/>
    <n v="741.14"/>
    <n v="0"/>
    <n v="307.85000000000002"/>
    <n v="0"/>
    <n v="113.5"/>
    <n v="0"/>
    <n v="11"/>
    <n v="0"/>
    <n v="16"/>
    <n v="0"/>
    <n v="0"/>
    <n v="1602.29"/>
    <n v="0"/>
  </r>
  <r>
    <x v="0"/>
    <x v="6"/>
    <x v="0"/>
    <s v="3400107"/>
    <n v="749530"/>
    <s v="Mileage"/>
    <s v="Intensive Care Unit"/>
    <x v="0"/>
    <n v="1001"/>
    <n v="0"/>
    <n v="115.55"/>
    <n v="0"/>
    <n v="0"/>
    <n v="0"/>
    <n v="109.56"/>
    <n v="0"/>
    <n v="74.12"/>
    <n v="0"/>
    <n v="117.16"/>
    <n v="0"/>
    <n v="105.15"/>
    <n v="521.54"/>
    <n v="-105.15"/>
  </r>
  <r>
    <x v="0"/>
    <x v="6"/>
    <x v="0"/>
    <s v="3400107"/>
    <n v="749535"/>
    <s v="Meetings"/>
    <s v="Intensive Care Unit"/>
    <x v="0"/>
    <m/>
    <n v="0"/>
    <n v="0"/>
    <n v="0"/>
    <n v="0"/>
    <n v="128.07"/>
    <n v="0"/>
    <n v="0"/>
    <n v="0"/>
    <n v="0"/>
    <n v="0"/>
    <n v="0"/>
    <n v="0"/>
    <n v="128.07"/>
    <n v="0"/>
  </r>
  <r>
    <x v="18"/>
    <x v="3"/>
    <x v="0"/>
    <s v="3405101"/>
    <n v="400010"/>
    <s v="Acute I/P Svcs Rev--Medicare"/>
    <s v="5 Floor Cardiac ICU"/>
    <x v="0"/>
    <n v="1100"/>
    <n v="-2085384"/>
    <n v="-1977421.5"/>
    <n v="-1729684.55"/>
    <n v="-2406941.61"/>
    <n v="-2156369.84"/>
    <n v="-1934112.33"/>
    <n v="-2319814.63"/>
    <n v="-2267756.0299999998"/>
    <n v="-2511266.89"/>
    <n v="-1933510.92"/>
    <n v="-2179006.92"/>
    <n v="-2442870.2200000002"/>
    <n v="-25944139.440000005"/>
    <n v="263863.30000000028"/>
  </r>
  <r>
    <x v="18"/>
    <x v="3"/>
    <x v="0"/>
    <s v="3405101"/>
    <n v="400010"/>
    <s v="Acute I/P Svcs Rev--Medicaid"/>
    <s v="5 Floor Cardiac ICU"/>
    <x v="0"/>
    <n v="1200"/>
    <n v="-573733.59"/>
    <n v="-568805.92000000004"/>
    <n v="-508738.99"/>
    <n v="-390229.22"/>
    <n v="-430318.02"/>
    <n v="-529849.93000000005"/>
    <n v="-482364.3"/>
    <n v="-535713.22"/>
    <n v="-648122.39"/>
    <n v="-555000.05000000005"/>
    <n v="-828850.74"/>
    <n v="-605366.19999999995"/>
    <n v="-6657092.5700000003"/>
    <n v="-223484.54000000004"/>
  </r>
  <r>
    <x v="18"/>
    <x v="3"/>
    <x v="0"/>
    <s v="3405101"/>
    <n v="400010"/>
    <s v="Acute I/P Svcs Rev--Comm Insurance"/>
    <s v="5 Floor Cardiac ICU"/>
    <x v="0"/>
    <n v="1300"/>
    <n v="-82663.929999999993"/>
    <n v="11538.55"/>
    <n v="-31140.22"/>
    <n v="-15799.56"/>
    <n v="-23732.74"/>
    <n v="-177676.89"/>
    <n v="-73162.399999999994"/>
    <n v="-3497.15"/>
    <n v="-145943.13"/>
    <n v="-39413.94"/>
    <n v="-21885.45"/>
    <n v="-6079.25"/>
    <n v="-609456.1100000001"/>
    <n v="-15806.2"/>
  </r>
  <r>
    <x v="18"/>
    <x v="3"/>
    <x v="0"/>
    <s v="3405101"/>
    <n v="400010"/>
    <s v="Acute I/P Svcs Rev--BCBS Comm"/>
    <s v="5 Floor Cardiac ICU"/>
    <x v="0"/>
    <n v="1301"/>
    <n v="-16631.07"/>
    <n v="-180726.97"/>
    <n v="-75115.039999999994"/>
    <n v="-70523.820000000007"/>
    <n v="-107159.54"/>
    <n v="-81371.839999999997"/>
    <n v="-156468.07999999999"/>
    <n v="-122332.48"/>
    <n v="-100986.72"/>
    <n v="-185734.01"/>
    <n v="-68492.800000000003"/>
    <n v="-301499.78000000003"/>
    <n v="-1467042.15"/>
    <n v="233006.98000000004"/>
  </r>
  <r>
    <x v="18"/>
    <x v="3"/>
    <x v="0"/>
    <s v="3405101"/>
    <n v="400010"/>
    <s v="Acute I/P Svcs Rev--Managed Care"/>
    <s v="5 Floor Cardiac ICU"/>
    <x v="0"/>
    <n v="1400"/>
    <n v="-291173.81"/>
    <n v="-536707.54"/>
    <n v="-662393.68999999994"/>
    <n v="-675895.49"/>
    <n v="-598292.28"/>
    <n v="-589196.4"/>
    <n v="-521307.87"/>
    <n v="-633260.31000000006"/>
    <n v="-831965.77"/>
    <n v="-578772.01"/>
    <n v="-493808.42"/>
    <n v="-631881.35"/>
    <n v="-7044654.9399999995"/>
    <n v="138072.93"/>
  </r>
  <r>
    <x v="18"/>
    <x v="3"/>
    <x v="0"/>
    <s v="3405101"/>
    <n v="400010"/>
    <s v="Acute I/P Svcs Rev--Self Pay"/>
    <s v="5 Floor Cardiac ICU"/>
    <x v="0"/>
    <n v="1500"/>
    <n v="-173504"/>
    <n v="-4709.16"/>
    <n v="-63320.84"/>
    <n v="26563.26"/>
    <n v="-16602.75"/>
    <n v="12261.66"/>
    <n v="-29464.49"/>
    <n v="16945.64"/>
    <n v="-66857.149999999994"/>
    <n v="-178926.75"/>
    <n v="173290.46"/>
    <n v="-89623.38"/>
    <n v="-393947.5"/>
    <n v="262913.83999999997"/>
  </r>
  <r>
    <x v="18"/>
    <x v="3"/>
    <x v="0"/>
    <s v="3405101"/>
    <n v="400010"/>
    <s v="Acute I/P Svcs Rev--Other"/>
    <s v="5 Floor Cardiac ICU"/>
    <x v="0"/>
    <n v="1700"/>
    <n v="-342611.44"/>
    <n v="-73629.42"/>
    <n v="-139414.75"/>
    <n v="-2319.9899999999998"/>
    <n v="-94572.61"/>
    <n v="-359329"/>
    <n v="-231281.82"/>
    <n v="-139398.82"/>
    <n v="18174.900000000001"/>
    <n v="-73187.210000000006"/>
    <n v="-190684.71"/>
    <n v="-145883.63"/>
    <n v="-1774138.5"/>
    <n v="-44801.079999999987"/>
  </r>
  <r>
    <x v="19"/>
    <x v="3"/>
    <x v="0"/>
    <s v="3405101"/>
    <n v="400020"/>
    <s v="O/P Care Svcs Rev--Medicare"/>
    <s v="5 Floor Cardiac ICU"/>
    <x v="0"/>
    <n v="1100"/>
    <n v="-6916.25"/>
    <n v="-7691.48"/>
    <n v="-34.15"/>
    <n v="-5554.99"/>
    <n v="-28677.75"/>
    <n v="-2807.64"/>
    <n v="-9888.5300000000007"/>
    <n v="-14409.66"/>
    <n v="-4500.1000000000004"/>
    <n v="-54954.69"/>
    <n v="43021.440000000002"/>
    <n v="-11418.84"/>
    <n v="-103832.63999999998"/>
    <n v="54440.28"/>
  </r>
  <r>
    <x v="19"/>
    <x v="3"/>
    <x v="0"/>
    <s v="3405101"/>
    <n v="400020"/>
    <s v="O/P Care Svcs Rev--Medicaid"/>
    <s v="5 Floor Cardiac ICU"/>
    <x v="0"/>
    <n v="1200"/>
    <n v="0"/>
    <n v="-13828.69"/>
    <n v="-34.15"/>
    <n v="0"/>
    <n v="-2892.52"/>
    <n v="0"/>
    <n v="0"/>
    <n v="-2041.2"/>
    <n v="-2041.2"/>
    <n v="-2268.9899999999998"/>
    <n v="1999.28"/>
    <n v="-16167.12"/>
    <n v="-37274.590000000004"/>
    <n v="18166.400000000001"/>
  </r>
  <r>
    <x v="19"/>
    <x v="3"/>
    <x v="0"/>
    <s v="3405101"/>
    <n v="400020"/>
    <s v="O/P Care Svcs Rev--Comm Insurance"/>
    <s v="5 Floor Cardiac ICU"/>
    <x v="0"/>
    <n v="1300"/>
    <n v="-3573.36"/>
    <n v="-3190.75"/>
    <n v="383.11"/>
    <n v="-2807.64"/>
    <n v="0"/>
    <n v="0"/>
    <n v="0"/>
    <n v="0"/>
    <n v="0"/>
    <n v="-8760.57"/>
    <n v="0"/>
    <n v="-2628.8"/>
    <n v="-20578.009999999998"/>
    <n v="2628.8"/>
  </r>
  <r>
    <x v="19"/>
    <x v="3"/>
    <x v="0"/>
    <s v="3405101"/>
    <n v="400020"/>
    <s v="O/P Care Svcs Rev--BCBS Comm"/>
    <s v="5 Floor Cardiac ICU"/>
    <x v="0"/>
    <n v="1301"/>
    <n v="-2552.4"/>
    <n v="0"/>
    <n v="-3062.88"/>
    <n v="0"/>
    <n v="0"/>
    <n v="0"/>
    <n v="0"/>
    <n v="0"/>
    <n v="0"/>
    <n v="919.44"/>
    <n v="0"/>
    <n v="0"/>
    <n v="-4695.84"/>
    <n v="0"/>
  </r>
  <r>
    <x v="19"/>
    <x v="3"/>
    <x v="0"/>
    <s v="3405101"/>
    <n v="400020"/>
    <s v="O/P Care Svcs Rev--Managed Care"/>
    <s v="5 Floor Cardiac ICU"/>
    <x v="0"/>
    <n v="1400"/>
    <n v="0"/>
    <n v="-2458.9299999999998"/>
    <n v="-7621.59"/>
    <n v="0"/>
    <n v="-2457.3000000000002"/>
    <n v="-2477.6999999999998"/>
    <n v="-2552.4"/>
    <n v="0"/>
    <n v="-12770.6"/>
    <n v="-2747.28"/>
    <n v="0"/>
    <n v="0"/>
    <n v="-33085.800000000003"/>
    <n v="0"/>
  </r>
  <r>
    <x v="19"/>
    <x v="3"/>
    <x v="0"/>
    <s v="3405101"/>
    <n v="400020"/>
    <s v="O/P Care Svcs Rev--Self Pay"/>
    <s v="5 Floor Cardiac ICU"/>
    <x v="0"/>
    <n v="1500"/>
    <n v="0"/>
    <n v="0"/>
    <n v="-1421.93"/>
    <n v="-13283.71"/>
    <n v="0"/>
    <n v="-6633.03"/>
    <n v="-2127.54"/>
    <n v="0"/>
    <n v="-10051.68"/>
    <n v="8573.73"/>
    <n v="-2628.8"/>
    <n v="2163.0500000000002"/>
    <n v="-25409.91"/>
    <n v="-4791.8500000000004"/>
  </r>
  <r>
    <x v="19"/>
    <x v="3"/>
    <x v="0"/>
    <s v="3405101"/>
    <n v="400020"/>
    <s v="O/P Care Svcs Rev--Other"/>
    <s v="5 Floor Cardiac ICU"/>
    <x v="0"/>
    <n v="1700"/>
    <n v="0"/>
    <n v="0"/>
    <n v="0"/>
    <n v="0"/>
    <n v="0"/>
    <n v="0"/>
    <n v="0"/>
    <n v="0"/>
    <n v="0"/>
    <n v="0"/>
    <n v="0"/>
    <n v="-4762.8"/>
    <n v="-4762.8"/>
    <n v="4762.8"/>
  </r>
  <r>
    <x v="14"/>
    <x v="3"/>
    <x v="0"/>
    <s v="3405101"/>
    <n v="600050"/>
    <s v="Miscellaneous Revenue"/>
    <s v="5 Floor Cardiac ICU"/>
    <x v="0"/>
    <m/>
    <n v="-5000"/>
    <n v="0"/>
    <n v="0"/>
    <n v="0"/>
    <n v="0"/>
    <n v="0"/>
    <n v="0"/>
    <n v="0"/>
    <n v="0"/>
    <n v="0"/>
    <n v="0"/>
    <n v="0"/>
    <n v="-5000"/>
    <n v="0"/>
  </r>
  <r>
    <x v="5"/>
    <x v="3"/>
    <x v="0"/>
    <s v="3405101"/>
    <n v="700014"/>
    <s v="Salaries-Management-Productive"/>
    <s v="5 Floor Cardiac ICU"/>
    <x v="0"/>
    <m/>
    <n v="10669.82"/>
    <n v="10670.29"/>
    <n v="10633.99"/>
    <n v="11539.39"/>
    <n v="10701"/>
    <n v="6959.84"/>
    <n v="15507.55"/>
    <n v="17203.66"/>
    <n v="20371.11"/>
    <n v="16207.61"/>
    <n v="20389"/>
    <n v="15612.3"/>
    <n v="166465.56"/>
    <n v="4776.7000000000007"/>
  </r>
  <r>
    <x v="5"/>
    <x v="3"/>
    <x v="0"/>
    <s v="3405101"/>
    <n v="700026"/>
    <s v="Salaries-RN-Productive"/>
    <s v="5 Floor Cardiac ICU"/>
    <x v="0"/>
    <m/>
    <n v="365994.91"/>
    <n v="345008.54"/>
    <n v="345075.88"/>
    <n v="359726.91"/>
    <n v="329907.06"/>
    <n v="349054.03"/>
    <n v="353380.11"/>
    <n v="343985.02"/>
    <n v="419944.42"/>
    <n v="338669.57"/>
    <n v="348354.84"/>
    <n v="405285.44"/>
    <n v="4304386.7299999995"/>
    <n v="-56930.599999999977"/>
  </r>
  <r>
    <x v="5"/>
    <x v="3"/>
    <x v="0"/>
    <s v="3405101"/>
    <n v="700026"/>
    <s v="Salaries-RN-OT"/>
    <s v="5 Floor Cardiac ICU"/>
    <x v="0"/>
    <n v="1000"/>
    <n v="10838.8"/>
    <n v="12329.02"/>
    <n v="11568.09"/>
    <n v="17869.21"/>
    <n v="15697.78"/>
    <n v="20026.560000000001"/>
    <n v="16380.7"/>
    <n v="14658.05"/>
    <n v="27130.85"/>
    <n v="8497.4500000000007"/>
    <n v="11788.91"/>
    <n v="21944.03"/>
    <n v="188729.45"/>
    <n v="-10155.119999999999"/>
  </r>
  <r>
    <x v="5"/>
    <x v="3"/>
    <x v="0"/>
    <s v="3405101"/>
    <n v="700026"/>
    <s v="Salaries-RN-Other"/>
    <s v="5 Floor Cardiac ICU"/>
    <x v="0"/>
    <n v="2000"/>
    <n v="31661.13"/>
    <n v="29137.46"/>
    <n v="28583.14"/>
    <n v="31306.91"/>
    <n v="30153.99"/>
    <n v="28611.61"/>
    <n v="30231.63"/>
    <n v="28573.55"/>
    <n v="33944.15"/>
    <n v="30266.65"/>
    <n v="34489.629999999997"/>
    <n v="35212.089999999997"/>
    <n v="372171.94000000006"/>
    <n v="-722.45999999999913"/>
  </r>
  <r>
    <x v="5"/>
    <x v="3"/>
    <x v="0"/>
    <s v="3405101"/>
    <n v="700032"/>
    <s v="Salaries-Other Pat Care Providers-Productive"/>
    <s v="5 Floor Cardiac ICU"/>
    <x v="0"/>
    <m/>
    <n v="45797.71"/>
    <n v="33471.49"/>
    <n v="30197.62"/>
    <n v="31017.38"/>
    <n v="32945.35"/>
    <n v="37414.42"/>
    <n v="34932.19"/>
    <n v="36348.33"/>
    <n v="34276.129999999997"/>
    <n v="26531.42"/>
    <n v="32424.53"/>
    <n v="48165.59"/>
    <n v="423522.15999999992"/>
    <n v="-15741.059999999998"/>
  </r>
  <r>
    <x v="5"/>
    <x v="3"/>
    <x v="0"/>
    <s v="3405101"/>
    <n v="700032"/>
    <s v="Salaries-Other Pat Care Providers-OT"/>
    <s v="5 Floor Cardiac ICU"/>
    <x v="0"/>
    <n v="1000"/>
    <n v="3138.52"/>
    <n v="1221.19"/>
    <n v="844.81"/>
    <n v="980.83"/>
    <n v="2372.61"/>
    <n v="1803.87"/>
    <n v="858.87"/>
    <n v="1704.61"/>
    <n v="1996.69"/>
    <n v="1197.57"/>
    <n v="3904.23"/>
    <n v="3340.19"/>
    <n v="23363.99"/>
    <n v="564.04"/>
  </r>
  <r>
    <x v="5"/>
    <x v="3"/>
    <x v="0"/>
    <s v="3405101"/>
    <n v="700032"/>
    <s v="Salaries-Other Pat Care Providers-Other"/>
    <s v="5 Floor Cardiac ICU"/>
    <x v="0"/>
    <n v="2000"/>
    <n v="3949.54"/>
    <n v="2759.07"/>
    <n v="2530.48"/>
    <n v="3259.17"/>
    <n v="3214.82"/>
    <n v="3011.8"/>
    <n v="2932.71"/>
    <n v="3080.24"/>
    <n v="3228.01"/>
    <n v="2751.17"/>
    <n v="2612.39"/>
    <n v="4566.12"/>
    <n v="37895.520000000004"/>
    <n v="-1953.73"/>
  </r>
  <r>
    <x v="5"/>
    <x v="3"/>
    <x v="0"/>
    <s v="3405101"/>
    <n v="700038"/>
    <s v="Salaries-Service/Support-Productive"/>
    <s v="5 Floor Cardiac ICU"/>
    <x v="0"/>
    <m/>
    <n v="4887.84"/>
    <n v="4131.59"/>
    <n v="4687.82"/>
    <n v="4105.04"/>
    <n v="5773.12"/>
    <n v="3247.55"/>
    <n v="4096.29"/>
    <n v="2153.52"/>
    <n v="5362.87"/>
    <n v="4518.5"/>
    <n v="4298.3599999999997"/>
    <n v="4687.96"/>
    <n v="51950.46"/>
    <n v="-389.60000000000036"/>
  </r>
  <r>
    <x v="5"/>
    <x v="3"/>
    <x v="0"/>
    <s v="3405101"/>
    <n v="700038"/>
    <s v="Salaries-Service/Support-OT"/>
    <s v="5 Floor Cardiac ICU"/>
    <x v="0"/>
    <n v="1000"/>
    <n v="0"/>
    <n v="44.63"/>
    <n v="307.60000000000002"/>
    <n v="261.39"/>
    <n v="1830.58"/>
    <n v="-59.64"/>
    <n v="309.24"/>
    <n v="-81.36"/>
    <n v="779.68"/>
    <n v="794.31"/>
    <n v="112.34"/>
    <n v="566.46"/>
    <n v="4865.2300000000005"/>
    <n v="-454.12"/>
  </r>
  <r>
    <x v="5"/>
    <x v="3"/>
    <x v="0"/>
    <s v="3405101"/>
    <n v="700054"/>
    <s v="Salaries-Management-Non-productive"/>
    <s v="5 Floor Cardiac ICU"/>
    <x v="0"/>
    <m/>
    <n v="619.04"/>
    <n v="619.1"/>
    <n v="291.38"/>
    <n v="0"/>
    <n v="523.84"/>
    <n v="4639.54"/>
    <n v="1682.23"/>
    <n v="1500.55"/>
    <n v="337.29"/>
    <n v="3832.06"/>
    <n v="319.41000000000003"/>
    <n v="4428.3"/>
    <n v="18792.739999999998"/>
    <n v="-4108.8900000000003"/>
  </r>
  <r>
    <x v="5"/>
    <x v="3"/>
    <x v="0"/>
    <s v="3405101"/>
    <n v="700054"/>
    <s v="Salaries-Management-NonProd-Other"/>
    <s v="5 Floor Cardiac ICU"/>
    <x v="0"/>
    <n v="2000"/>
    <n v="0"/>
    <n v="0"/>
    <n v="0"/>
    <n v="0"/>
    <n v="0"/>
    <n v="7204.92"/>
    <n v="-6915.88"/>
    <n v="-289.04000000000002"/>
    <n v="0"/>
    <n v="0"/>
    <n v="0"/>
    <n v="0"/>
    <n v="-5.6843418860808015E-14"/>
    <n v="0"/>
  </r>
  <r>
    <x v="5"/>
    <x v="3"/>
    <x v="0"/>
    <s v="3405101"/>
    <n v="700066"/>
    <s v="Salaries-RN-Non-productive"/>
    <s v="5 Floor Cardiac ICU"/>
    <x v="0"/>
    <m/>
    <n v="64100.25"/>
    <n v="71819.509999999995"/>
    <n v="64905.49"/>
    <n v="58108.9"/>
    <n v="58161.18"/>
    <n v="88153.75"/>
    <n v="87062.39"/>
    <n v="42087.56"/>
    <n v="47177.56"/>
    <n v="57304.36"/>
    <n v="57825.01"/>
    <n v="62651.28"/>
    <n v="759357.24000000011"/>
    <n v="-4826.2699999999968"/>
  </r>
  <r>
    <x v="5"/>
    <x v="3"/>
    <x v="0"/>
    <s v="3405101"/>
    <n v="700066"/>
    <s v="Salaries-RN-NonProd-Other"/>
    <s v="5 Floor Cardiac ICU"/>
    <x v="0"/>
    <n v="2000"/>
    <n v="4119.2"/>
    <n v="5558.16"/>
    <n v="4286.04"/>
    <n v="3172.43"/>
    <n v="9521.11"/>
    <n v="13430.96"/>
    <n v="4293.49"/>
    <n v="-10518.88"/>
    <n v="3980.85"/>
    <n v="2330.0300000000002"/>
    <n v="3762.56"/>
    <n v="4280.76"/>
    <n v="48216.71"/>
    <n v="-518.20000000000027"/>
  </r>
  <r>
    <x v="5"/>
    <x v="3"/>
    <x v="0"/>
    <s v="3405101"/>
    <n v="700072"/>
    <s v="Salaries-Other Pat Care Providers-Non-productive"/>
    <s v="5 Floor Cardiac ICU"/>
    <x v="0"/>
    <m/>
    <n v="4897.6400000000003"/>
    <n v="4874.5200000000004"/>
    <n v="4499.01"/>
    <n v="2945.37"/>
    <n v="4668.46"/>
    <n v="7283.13"/>
    <n v="3186.38"/>
    <n v="3856.54"/>
    <n v="3217.22"/>
    <n v="4413.63"/>
    <n v="4847.6000000000004"/>
    <n v="4364.82"/>
    <n v="53054.32"/>
    <n v="482.78000000000065"/>
  </r>
  <r>
    <x v="5"/>
    <x v="3"/>
    <x v="0"/>
    <s v="3405101"/>
    <n v="700072"/>
    <s v="Salaries-Other Pat Care Providers-NonProd-Other"/>
    <s v="5 Floor Cardiac ICU"/>
    <x v="0"/>
    <n v="2000"/>
    <n v="261.10000000000002"/>
    <n v="430.96"/>
    <n v="172.56"/>
    <n v="277.23"/>
    <n v="568.71"/>
    <n v="889.61"/>
    <n v="132.59"/>
    <n v="-571.52"/>
    <n v="345.65"/>
    <n v="72.239999999999995"/>
    <n v="379.17"/>
    <n v="272.06"/>
    <n v="3230.36"/>
    <n v="107.11000000000001"/>
  </r>
  <r>
    <x v="5"/>
    <x v="3"/>
    <x v="0"/>
    <s v="3405101"/>
    <n v="700078"/>
    <s v="Salaries-Service/Support-Non-productive"/>
    <s v="5 Floor Cardiac ICU"/>
    <x v="0"/>
    <m/>
    <n v="367.08"/>
    <n v="1138.44"/>
    <n v="412.28"/>
    <n v="1249.28"/>
    <n v="-572.11"/>
    <n v="2149.75"/>
    <n v="1296.97"/>
    <n v="2705.29"/>
    <n v="7.65"/>
    <n v="694.46"/>
    <n v="1076.5"/>
    <n v="520.91999999999996"/>
    <n v="11046.51"/>
    <n v="555.58000000000004"/>
  </r>
  <r>
    <x v="5"/>
    <x v="3"/>
    <x v="0"/>
    <s v="3405101"/>
    <n v="700084"/>
    <s v="Accrued PTO"/>
    <s v="5 Floor Cardiac ICU"/>
    <x v="0"/>
    <m/>
    <n v="-2887.99"/>
    <n v="-2664.47"/>
    <n v="-3089.1"/>
    <n v="9266.36"/>
    <n v="8699.49"/>
    <n v="-1778.12"/>
    <n v="-22511.47"/>
    <n v="7980.14"/>
    <n v="25104.37"/>
    <n v="7764.17"/>
    <n v="8159.33"/>
    <n v="4737.1499999999996"/>
    <n v="38779.86"/>
    <n v="3422.1800000000003"/>
  </r>
  <r>
    <x v="10"/>
    <x v="3"/>
    <x v="0"/>
    <s v="3405101"/>
    <n v="710060"/>
    <s v="Contract Labor-Other"/>
    <s v="5 Floor Cardiac ICU"/>
    <x v="0"/>
    <m/>
    <n v="1739.5"/>
    <n v="852"/>
    <n v="0"/>
    <n v="0"/>
    <n v="0"/>
    <n v="0"/>
    <n v="0"/>
    <n v="9159"/>
    <n v="15555.25"/>
    <n v="15928.25"/>
    <n v="5050.75"/>
    <n v="48365"/>
    <n v="96649.75"/>
    <n v="-43314.25"/>
  </r>
  <r>
    <x v="10"/>
    <x v="3"/>
    <x v="0"/>
    <s v="3405101"/>
    <n v="710060"/>
    <s v="Contract Labor-Overtime"/>
    <s v="5 Floor Cardiac ICU"/>
    <x v="0"/>
    <n v="5100"/>
    <n v="0"/>
    <n v="0"/>
    <n v="0"/>
    <n v="0"/>
    <n v="0"/>
    <n v="0"/>
    <n v="0"/>
    <n v="0"/>
    <n v="0"/>
    <n v="1150.2"/>
    <n v="0"/>
    <n v="0"/>
    <n v="1150.2"/>
    <n v="0"/>
  </r>
  <r>
    <x v="10"/>
    <x v="3"/>
    <x v="0"/>
    <s v="3405101"/>
    <n v="710060"/>
    <s v="Contract Labor-Standby Wages"/>
    <s v="5 Floor Cardiac ICU"/>
    <x v="0"/>
    <n v="5101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3405101"/>
    <n v="713010"/>
    <s v="Benefits-FICA/Medicare"/>
    <s v="5 Floor Cardiac ICU"/>
    <x v="0"/>
    <m/>
    <n v="40881.1"/>
    <n v="38903.089999999997"/>
    <n v="37882.78"/>
    <n v="39076.449999999997"/>
    <n v="38991.61"/>
    <n v="41198.33"/>
    <n v="41905.46"/>
    <n v="38089.019999999997"/>
    <n v="44839.05"/>
    <n v="36696.6"/>
    <n v="39046.04"/>
    <n v="46968.86"/>
    <n v="484478.38999999996"/>
    <n v="-7922.82"/>
  </r>
  <r>
    <x v="6"/>
    <x v="3"/>
    <x v="0"/>
    <s v="3405101"/>
    <n v="713090"/>
    <s v="Benefits-Allocated Amounts"/>
    <s v="5 Floor Cardiac ICU"/>
    <x v="0"/>
    <m/>
    <n v="111654.6"/>
    <n v="96167.59"/>
    <n v="101181.33"/>
    <n v="100701.94"/>
    <n v="101362.61"/>
    <n v="108761.53"/>
    <n v="113252.1"/>
    <n v="110327.83"/>
    <n v="100371.18"/>
    <n v="104055.14"/>
    <n v="115879.93"/>
    <n v="131128.69"/>
    <n v="1294844.47"/>
    <n v="-15248.760000000009"/>
  </r>
  <r>
    <x v="6"/>
    <x v="3"/>
    <x v="0"/>
    <s v="3405101"/>
    <n v="713096"/>
    <s v="Employee Recognition"/>
    <s v="5 Floor Cardiac ICU"/>
    <x v="0"/>
    <n v="1017"/>
    <n v="0"/>
    <n v="0"/>
    <n v="0"/>
    <n v="0"/>
    <n v="0"/>
    <n v="0"/>
    <n v="0"/>
    <n v="202.13"/>
    <n v="0"/>
    <n v="0"/>
    <n v="0"/>
    <n v="0"/>
    <n v="202.13"/>
    <n v="0"/>
  </r>
  <r>
    <x v="7"/>
    <x v="3"/>
    <x v="0"/>
    <s v="3405101"/>
    <n v="718050"/>
    <s v="Contract Svcs-Other"/>
    <s v="5 Floor Cardiac ICU"/>
    <x v="0"/>
    <m/>
    <n v="0"/>
    <n v="0"/>
    <n v="0"/>
    <n v="0"/>
    <n v="112"/>
    <n v="699.2"/>
    <n v="0"/>
    <n v="0"/>
    <n v="550.5"/>
    <n v="2664.43"/>
    <n v="0"/>
    <n v="0"/>
    <n v="4026.13"/>
    <n v="0"/>
  </r>
  <r>
    <x v="7"/>
    <x v="3"/>
    <x v="0"/>
    <s v="3405101"/>
    <n v="718050"/>
    <s v="Miscellaneous Purchased Svcs"/>
    <s v="5 Floor Cardiac ICU"/>
    <x v="0"/>
    <n v="1020"/>
    <n v="0"/>
    <n v="0"/>
    <n v="73.5"/>
    <n v="0"/>
    <n v="0"/>
    <n v="0"/>
    <n v="0"/>
    <n v="0"/>
    <n v="0"/>
    <n v="0"/>
    <n v="2961.97"/>
    <n v="0"/>
    <n v="3035.47"/>
    <n v="2961.97"/>
  </r>
  <r>
    <x v="7"/>
    <x v="3"/>
    <x v="0"/>
    <s v="3405101"/>
    <n v="718050"/>
    <s v="Translation Services"/>
    <s v="5 Floor Cardiac ICU"/>
    <x v="0"/>
    <n v="1025"/>
    <n v="275.5"/>
    <n v="32"/>
    <n v="56"/>
    <n v="0"/>
    <n v="0"/>
    <n v="40"/>
    <n v="0"/>
    <n v="0"/>
    <n v="80"/>
    <n v="0"/>
    <n v="0"/>
    <n v="32"/>
    <n v="515.5"/>
    <n v="-32"/>
  </r>
  <r>
    <x v="7"/>
    <x v="3"/>
    <x v="0"/>
    <s v="3405101"/>
    <n v="718050"/>
    <s v="Contract Management--Linen"/>
    <s v="5 Floor Cardiac ICU"/>
    <x v="0"/>
    <n v="1026"/>
    <n v="5156.8599999999997"/>
    <n v="5250.68"/>
    <n v="5182.97"/>
    <n v="5271.28"/>
    <n v="6290.87"/>
    <n v="5896.73"/>
    <n v="4983.7700000000004"/>
    <n v="6463.87"/>
    <n v="6013.17"/>
    <n v="5927.37"/>
    <n v="5985.57"/>
    <n v="7815.51"/>
    <n v="70238.650000000009"/>
    <n v="-1829.9400000000005"/>
  </r>
  <r>
    <x v="11"/>
    <x v="3"/>
    <x v="0"/>
    <s v="3405101"/>
    <n v="721010"/>
    <s v="Supplies-Medical - Billable"/>
    <s v="5 Floor Cardiac ICU"/>
    <x v="0"/>
    <m/>
    <n v="14659.23"/>
    <n v="12523.51"/>
    <n v="9624.4500000000007"/>
    <n v="10203.77"/>
    <n v="11194.8"/>
    <n v="10750.2"/>
    <n v="12754.67"/>
    <n v="10048.73"/>
    <n v="16146.83"/>
    <n v="10719.31"/>
    <n v="10728.99"/>
    <n v="12321.27"/>
    <n v="141675.76"/>
    <n v="-1592.2800000000007"/>
  </r>
  <r>
    <x v="11"/>
    <x v="3"/>
    <x v="0"/>
    <s v="3405101"/>
    <n v="721010"/>
    <s v="Patient Monitoring"/>
    <s v="5 Floor Cardiac ICU"/>
    <x v="0"/>
    <n v="1000"/>
    <n v="391.86"/>
    <n v="2661.27"/>
    <n v="1137.53"/>
    <n v="4397.22"/>
    <n v="3017.29"/>
    <n v="2207.5"/>
    <n v="7803.6"/>
    <n v="1069.53"/>
    <n v="2274.9699999999998"/>
    <n v="2736.39"/>
    <n v="2164.29"/>
    <n v="1872.89"/>
    <n v="31734.340000000004"/>
    <n v="291.39999999999986"/>
  </r>
  <r>
    <x v="11"/>
    <x v="3"/>
    <x v="0"/>
    <s v="3405101"/>
    <n v="721020"/>
    <s v="Supplies-Surgical - Billable"/>
    <s v="5 Floor Cardiac ICU"/>
    <x v="0"/>
    <m/>
    <n v="3146.22"/>
    <n v="3520.58"/>
    <n v="3261.44"/>
    <n v="3230.63"/>
    <n v="3903.67"/>
    <n v="5238.7"/>
    <n v="3396.06"/>
    <n v="3409.39"/>
    <n v="3430.04"/>
    <n v="7432.29"/>
    <n v="1696.06"/>
    <n v="3646.43"/>
    <n v="45311.51"/>
    <n v="-1950.37"/>
  </r>
  <r>
    <x v="11"/>
    <x v="3"/>
    <x v="0"/>
    <s v="3405101"/>
    <n v="721020"/>
    <s v="Custom Packs"/>
    <s v="5 Floor Cardiac ICU"/>
    <x v="0"/>
    <n v="1000"/>
    <n v="1.08"/>
    <n v="211.84"/>
    <n v="542.84"/>
    <n v="701.72"/>
    <n v="767.92"/>
    <n v="794.4"/>
    <n v="820.88"/>
    <n v="675.24"/>
    <n v="1006.24"/>
    <n v="688.48"/>
    <n v="807.64"/>
    <n v="820.88"/>
    <n v="7839.16"/>
    <n v="-13.240000000000009"/>
  </r>
  <r>
    <x v="11"/>
    <x v="3"/>
    <x v="0"/>
    <s v="3405101"/>
    <n v="721020"/>
    <s v="Suture/Wound Closure"/>
    <s v="5 Floor Cardiac ICU"/>
    <x v="0"/>
    <n v="1001"/>
    <n v="3.59"/>
    <n v="12.63"/>
    <n v="355.7"/>
    <n v="17.47"/>
    <n v="16.82"/>
    <n v="28.66"/>
    <n v="56"/>
    <n v="41.4"/>
    <n v="9.52"/>
    <n v="122.87"/>
    <n v="15.71"/>
    <n v="10.76"/>
    <n v="691.13"/>
    <n v="4.9500000000000011"/>
  </r>
  <r>
    <x v="11"/>
    <x v="3"/>
    <x v="0"/>
    <s v="3405101"/>
    <n v="721020"/>
    <s v="Endoscopy - Trocars &amp; Accessories"/>
    <s v="5 Floor Cardiac ICU"/>
    <x v="0"/>
    <n v="1002"/>
    <n v="22"/>
    <n v="0"/>
    <n v="0"/>
    <n v="0"/>
    <n v="0"/>
    <n v="0"/>
    <n v="0"/>
    <n v="0"/>
    <n v="0"/>
    <n v="0"/>
    <n v="0"/>
    <n v="0"/>
    <n v="22"/>
    <n v="0"/>
  </r>
  <r>
    <x v="11"/>
    <x v="3"/>
    <x v="0"/>
    <s v="3405101"/>
    <n v="721020"/>
    <s v="Urological Supplies"/>
    <s v="5 Floor Cardiac ICU"/>
    <x v="0"/>
    <n v="1006"/>
    <n v="0"/>
    <n v="0"/>
    <n v="0"/>
    <n v="0"/>
    <n v="0"/>
    <n v="0"/>
    <n v="0"/>
    <n v="0"/>
    <n v="0"/>
    <n v="0"/>
    <n v="0"/>
    <n v="-97.95"/>
    <n v="-97.95"/>
    <n v="97.95"/>
  </r>
  <r>
    <x v="11"/>
    <x v="3"/>
    <x v="0"/>
    <s v="3405101"/>
    <n v="721020"/>
    <s v="Surgical Cardiovascular"/>
    <s v="5 Floor Cardiac ICU"/>
    <x v="0"/>
    <n v="1007"/>
    <n v="0"/>
    <n v="0"/>
    <n v="0"/>
    <n v="0"/>
    <n v="0"/>
    <n v="0"/>
    <n v="878.45"/>
    <n v="0"/>
    <n v="0"/>
    <n v="0"/>
    <n v="878.45"/>
    <n v="0"/>
    <n v="1756.9"/>
    <n v="878.45"/>
  </r>
  <r>
    <x v="11"/>
    <x v="3"/>
    <x v="0"/>
    <s v="3405101"/>
    <n v="721020"/>
    <s v="Tubes Drains &amp; Related Supplies"/>
    <s v="5 Floor Cardiac ICU"/>
    <x v="0"/>
    <n v="1008"/>
    <n v="220.57"/>
    <n v="596.49"/>
    <n v="444.58"/>
    <n v="280.54000000000002"/>
    <n v="1793.35"/>
    <n v="593.11"/>
    <n v="370.57"/>
    <n v="221.23"/>
    <n v="258.91000000000003"/>
    <n v="439.25"/>
    <n v="-94.62"/>
    <n v="129.79"/>
    <n v="5253.7699999999995"/>
    <n v="-224.41"/>
  </r>
  <r>
    <x v="11"/>
    <x v="3"/>
    <x v="0"/>
    <s v="3405101"/>
    <n v="721050"/>
    <s v="Supplies-Cardiac Rhythm - Billable"/>
    <s v="5 Floor Cardiac ICU"/>
    <x v="0"/>
    <m/>
    <n v="292"/>
    <n v="1403.07"/>
    <n v="621.1"/>
    <n v="777.42"/>
    <n v="304"/>
    <n v="668.66"/>
    <n v="541.03"/>
    <n v="609.32000000000005"/>
    <n v="688"/>
    <n v="745.46"/>
    <n v="337.3"/>
    <n v="1672.6"/>
    <n v="8659.9599999999991"/>
    <n v="-1335.3"/>
  </r>
  <r>
    <x v="11"/>
    <x v="3"/>
    <x v="0"/>
    <s v="3405101"/>
    <n v="721050"/>
    <s v="Pacemakers - Internal"/>
    <s v="5 Floor Cardiac ICU"/>
    <x v="0"/>
    <n v="1000"/>
    <n v="0"/>
    <n v="0"/>
    <n v="0"/>
    <n v="0"/>
    <n v="260"/>
    <n v="0"/>
    <n v="0"/>
    <n v="28"/>
    <n v="0"/>
    <n v="28"/>
    <n v="0"/>
    <n v="0"/>
    <n v="316"/>
    <n v="0"/>
  </r>
  <r>
    <x v="11"/>
    <x v="3"/>
    <x v="0"/>
    <s v="3405101"/>
    <n v="721240"/>
    <s v="Supplies-IV Solutions/Supplies - Billable"/>
    <s v="5 Floor Cardiac ICU"/>
    <x v="0"/>
    <m/>
    <n v="1815.4"/>
    <n v="1629.11"/>
    <n v="1711.5"/>
    <n v="1874.64"/>
    <n v="1736.36"/>
    <n v="2000.79"/>
    <n v="2452.35"/>
    <n v="1412.09"/>
    <n v="2122.08"/>
    <n v="1854.16"/>
    <n v="2079.96"/>
    <n v="2044.69"/>
    <n v="22733.129999999997"/>
    <n v="35.269999999999982"/>
  </r>
  <r>
    <x v="11"/>
    <x v="3"/>
    <x v="0"/>
    <s v="3405101"/>
    <n v="721250"/>
    <s v="Supplies-Pharmacy Drugs - Billable"/>
    <s v="5 Floor Cardiac ICU"/>
    <x v="0"/>
    <m/>
    <n v="5.41"/>
    <n v="0"/>
    <n v="0"/>
    <n v="0"/>
    <n v="5.41"/>
    <n v="0"/>
    <n v="0"/>
    <n v="0"/>
    <n v="0"/>
    <n v="0"/>
    <n v="0"/>
    <n v="5.41"/>
    <n v="16.23"/>
    <n v="-5.41"/>
  </r>
  <r>
    <x v="11"/>
    <x v="3"/>
    <x v="0"/>
    <s v="3405101"/>
    <n v="721410"/>
    <s v="Supplies-Medical - Nonbillable"/>
    <s v="5 Floor Cardiac ICU"/>
    <x v="0"/>
    <m/>
    <n v="20133.97"/>
    <n v="17657.05"/>
    <n v="16915.650000000001"/>
    <n v="18362.95"/>
    <n v="20121.919999999998"/>
    <n v="33703.46"/>
    <n v="24273.79"/>
    <n v="22034.400000000001"/>
    <n v="24161.14"/>
    <n v="14151.48"/>
    <n v="19681.78"/>
    <n v="23977.5"/>
    <n v="255175.09000000003"/>
    <n v="-4295.7200000000012"/>
  </r>
  <r>
    <x v="11"/>
    <x v="3"/>
    <x v="0"/>
    <s v="3405101"/>
    <n v="721410"/>
    <s v="Patient Monitoring"/>
    <s v="5 Floor Cardiac ICU"/>
    <x v="0"/>
    <n v="1000"/>
    <n v="29.1"/>
    <n v="73.2"/>
    <n v="117.42"/>
    <n v="29.1"/>
    <n v="14.55"/>
    <n v="58.65"/>
    <n v="188.23"/>
    <n v="139.34"/>
    <n v="116.38"/>
    <n v="40.19"/>
    <n v="145.57"/>
    <n v="4.49"/>
    <n v="956.22"/>
    <n v="141.07999999999998"/>
  </r>
  <r>
    <x v="11"/>
    <x v="3"/>
    <x v="0"/>
    <s v="3405101"/>
    <n v="721420"/>
    <s v="Supplies-Surgical Nonbillable"/>
    <s v="5 Floor Cardiac ICU"/>
    <x v="0"/>
    <m/>
    <n v="169.21"/>
    <n v="256.38"/>
    <n v="174.07"/>
    <n v="553.66"/>
    <n v="229.33"/>
    <n v="262.79000000000002"/>
    <n v="272.24"/>
    <n v="203.97"/>
    <n v="245.19"/>
    <n v="143.41"/>
    <n v="155.62"/>
    <n v="261.27"/>
    <n v="2927.14"/>
    <n v="-105.64999999999998"/>
  </r>
  <r>
    <x v="11"/>
    <x v="3"/>
    <x v="0"/>
    <s v="3405101"/>
    <n v="721420"/>
    <s v="Tubes Drains &amp; Related Supplies"/>
    <s v="5 Floor Cardiac ICU"/>
    <x v="0"/>
    <n v="1008"/>
    <n v="95.85"/>
    <n v="50.58"/>
    <n v="53.35"/>
    <n v="166.14"/>
    <n v="85.72"/>
    <n v="46.77"/>
    <n v="172.55"/>
    <n v="105.79"/>
    <n v="165.52"/>
    <n v="99.99"/>
    <n v="48.53"/>
    <n v="136.83000000000001"/>
    <n v="1227.6199999999999"/>
    <n v="-88.300000000000011"/>
  </r>
  <r>
    <x v="11"/>
    <x v="3"/>
    <x v="0"/>
    <s v="3405101"/>
    <n v="721420"/>
    <s v="Sterilization Process Products"/>
    <s v="5 Floor Cardiac ICU"/>
    <x v="0"/>
    <n v="1009"/>
    <n v="7.73"/>
    <n v="13.68"/>
    <n v="28.58"/>
    <n v="4.21"/>
    <n v="0"/>
    <n v="1.83"/>
    <n v="30.51"/>
    <n v="1.83"/>
    <n v="44.74"/>
    <n v="116.59"/>
    <n v="32.549999999999997"/>
    <n v="28.46"/>
    <n v="310.70999999999998"/>
    <n v="4.0899999999999963"/>
  </r>
  <r>
    <x v="11"/>
    <x v="3"/>
    <x v="0"/>
    <s v="3405101"/>
    <n v="721610"/>
    <s v="Supplies-Anesthesia - Nonbillable"/>
    <s v="5 Floor Cardiac ICU"/>
    <x v="0"/>
    <m/>
    <n v="999.75"/>
    <n v="978.29"/>
    <n v="772.99"/>
    <n v="991.56"/>
    <n v="858.89"/>
    <n v="1115.46"/>
    <n v="1678.49"/>
    <n v="877.11"/>
    <n v="1053.1199999999999"/>
    <n v="767.05"/>
    <n v="777.04"/>
    <n v="1061.6300000000001"/>
    <n v="11931.380000000001"/>
    <n v="-284.59000000000015"/>
  </r>
  <r>
    <x v="11"/>
    <x v="3"/>
    <x v="0"/>
    <s v="3405101"/>
    <n v="721640"/>
    <s v="Supplies-IV Solutions/Supplies - Nonbillable"/>
    <s v="5 Floor Cardiac ICU"/>
    <x v="0"/>
    <m/>
    <n v="5978.56"/>
    <n v="6241.53"/>
    <n v="5645.84"/>
    <n v="6637.04"/>
    <n v="6664.45"/>
    <n v="8379.5"/>
    <n v="8692.74"/>
    <n v="6793.59"/>
    <n v="7982.85"/>
    <n v="7778.75"/>
    <n v="6464.75"/>
    <n v="7441.33"/>
    <n v="84700.930000000008"/>
    <n v="-976.57999999999993"/>
  </r>
  <r>
    <x v="11"/>
    <x v="3"/>
    <x v="0"/>
    <s v="3405101"/>
    <n v="721650"/>
    <s v="Supplies-Pharmacy Drugs - Nonbillable"/>
    <s v="5 Floor Cardiac ICU"/>
    <x v="0"/>
    <m/>
    <n v="22.38"/>
    <n v="45"/>
    <n v="39.6"/>
    <n v="29.97"/>
    <n v="24.26"/>
    <n v="24.77"/>
    <n v="61.42"/>
    <n v="24.93"/>
    <n v="39.08"/>
    <n v="7.25"/>
    <n v="68.34"/>
    <n v="77.98"/>
    <n v="464.98"/>
    <n v="-9.64"/>
  </r>
  <r>
    <x v="11"/>
    <x v="3"/>
    <x v="0"/>
    <s v="3405101"/>
    <n v="721710"/>
    <s v="Supplies-Laboratory - Nonbillable"/>
    <s v="5 Floor Cardiac ICU"/>
    <x v="0"/>
    <m/>
    <n v="1536.2"/>
    <n v="1685.69"/>
    <n v="1371.25"/>
    <n v="1477.25"/>
    <n v="1469.46"/>
    <n v="1647.7"/>
    <n v="1697.99"/>
    <n v="1713.43"/>
    <n v="1961.01"/>
    <n v="2000.82"/>
    <n v="1512.73"/>
    <n v="2058.96"/>
    <n v="20132.490000000002"/>
    <n v="-546.23"/>
  </r>
  <r>
    <x v="11"/>
    <x v="3"/>
    <x v="0"/>
    <s v="3405101"/>
    <n v="721710"/>
    <s v="Reagents"/>
    <s v="5 Floor Cardiac ICU"/>
    <x v="0"/>
    <n v="1000"/>
    <n v="41.6"/>
    <n v="0"/>
    <n v="0"/>
    <n v="36.19"/>
    <n v="6"/>
    <n v="10"/>
    <n v="6"/>
    <n v="137.26"/>
    <n v="23.99"/>
    <n v="62.08"/>
    <n v="-2"/>
    <n v="49.6"/>
    <n v="370.71999999999997"/>
    <n v="-51.6"/>
  </r>
  <r>
    <x v="11"/>
    <x v="3"/>
    <x v="0"/>
    <s v="3405101"/>
    <n v="721750"/>
    <s v="Supplies-Film/Radiographic - Nonbillable"/>
    <s v="5 Floor Cardiac ICU"/>
    <x v="0"/>
    <m/>
    <n v="58.98"/>
    <n v="12.71"/>
    <n v="33.020000000000003"/>
    <n v="36.770000000000003"/>
    <n v="45.33"/>
    <n v="49.33"/>
    <n v="37.67"/>
    <n v="102.08"/>
    <n v="3.75"/>
    <n v="3.75"/>
    <n v="2.81"/>
    <n v="1.87"/>
    <n v="388.07"/>
    <n v="0.94"/>
  </r>
  <r>
    <x v="11"/>
    <x v="3"/>
    <x v="0"/>
    <s v="3405101"/>
    <n v="721810"/>
    <s v="Supplies-Dietary/Cafeteria"/>
    <s v="5 Floor Cardiac ICU"/>
    <x v="0"/>
    <m/>
    <n v="629.61"/>
    <n v="845.21"/>
    <n v="635.01"/>
    <n v="638.78"/>
    <n v="626.34"/>
    <n v="645.64"/>
    <n v="756.54"/>
    <n v="710.7"/>
    <n v="699.04"/>
    <n v="655.76"/>
    <n v="732.62"/>
    <n v="794.15"/>
    <n v="8369.4"/>
    <n v="-61.529999999999973"/>
  </r>
  <r>
    <x v="11"/>
    <x v="3"/>
    <x v="0"/>
    <s v="3405101"/>
    <n v="721830"/>
    <s v="Supplies-Office"/>
    <s v="5 Floor Cardiac ICU"/>
    <x v="0"/>
    <m/>
    <n v="1917.5"/>
    <n v="1713.38"/>
    <n v="1922.97"/>
    <n v="1398.61"/>
    <n v="1397.87"/>
    <n v="704.8"/>
    <n v="2377.38"/>
    <n v="2106.6"/>
    <n v="588.79"/>
    <n v="1988.98"/>
    <n v="3020.57"/>
    <n v="582.96"/>
    <n v="19720.409999999996"/>
    <n v="2437.61"/>
  </r>
  <r>
    <x v="11"/>
    <x v="3"/>
    <x v="0"/>
    <s v="3405101"/>
    <n v="721835"/>
    <s v="Supplies-Forms"/>
    <s v="5 Floor Cardiac ICU"/>
    <x v="0"/>
    <m/>
    <n v="0"/>
    <n v="0"/>
    <n v="0"/>
    <n v="-1"/>
    <n v="96.38"/>
    <n v="0"/>
    <n v="0"/>
    <n v="0"/>
    <n v="47.62"/>
    <n v="0"/>
    <n v="106.12"/>
    <n v="0"/>
    <n v="249.12"/>
    <n v="106.12"/>
  </r>
  <r>
    <x v="11"/>
    <x v="3"/>
    <x v="0"/>
    <s v="3405101"/>
    <n v="721870"/>
    <s v="Supplies-Environmental Services"/>
    <s v="5 Floor Cardiac ICU"/>
    <x v="0"/>
    <m/>
    <n v="1271.55"/>
    <n v="914.45"/>
    <n v="733.04"/>
    <n v="887.32"/>
    <n v="663.87"/>
    <n v="913.61"/>
    <n v="1021.35"/>
    <n v="1043.1400000000001"/>
    <n v="1005.7"/>
    <n v="747.34"/>
    <n v="613.79999999999995"/>
    <n v="1002.49"/>
    <n v="10817.66"/>
    <n v="-388.69000000000005"/>
  </r>
  <r>
    <x v="11"/>
    <x v="3"/>
    <x v="0"/>
    <s v="3405101"/>
    <n v="721880"/>
    <s v="Supplies-Linen"/>
    <s v="5 Floor Cardiac ICU"/>
    <x v="0"/>
    <m/>
    <n v="211.86"/>
    <n v="112.35"/>
    <n v="144.44999999999999"/>
    <n v="131.61000000000001"/>
    <n v="64.2"/>
    <n v="410.88"/>
    <n v="330.63"/>
    <n v="243.96"/>
    <n v="118.77"/>
    <n v="57.78"/>
    <n v="83.46"/>
    <n v="134.82"/>
    <n v="2044.77"/>
    <n v="-51.36"/>
  </r>
  <r>
    <x v="11"/>
    <x v="3"/>
    <x v="0"/>
    <s v="3405101"/>
    <n v="721910"/>
    <s v="Supplies-Small Equipment"/>
    <s v="5 Floor Cardiac ICU"/>
    <x v="0"/>
    <m/>
    <n v="35345.32"/>
    <n v="459.9"/>
    <n v="20502.36"/>
    <n v="13354.39"/>
    <n v="14075.71"/>
    <n v="22820.5"/>
    <n v="23580.02"/>
    <n v="22387.73"/>
    <n v="20151.88"/>
    <n v="19762.89"/>
    <n v="36590.58"/>
    <n v="26320.18"/>
    <n v="255351.46000000002"/>
    <n v="10270.400000000001"/>
  </r>
  <r>
    <x v="11"/>
    <x v="3"/>
    <x v="0"/>
    <s v="3405101"/>
    <n v="721910"/>
    <s v="Instruments"/>
    <s v="5 Floor Cardiac ICU"/>
    <x v="0"/>
    <n v="1000"/>
    <n v="2028.52"/>
    <n v="7.13"/>
    <n v="7.87"/>
    <n v="932.8"/>
    <n v="10.47"/>
    <n v="8.59"/>
    <n v="15.95"/>
    <n v="198.06"/>
    <n v="900.2"/>
    <n v="9.2100000000000009"/>
    <n v="19.61"/>
    <n v="6.01"/>
    <n v="4144.4199999999992"/>
    <n v="13.6"/>
  </r>
  <r>
    <x v="11"/>
    <x v="3"/>
    <x v="0"/>
    <s v="3405101"/>
    <n v="721980"/>
    <s v="Supplies-Other"/>
    <s v="5 Floor Cardiac ICU"/>
    <x v="0"/>
    <m/>
    <n v="0"/>
    <n v="0"/>
    <n v="0"/>
    <n v="-8.2799999999999994"/>
    <n v="0"/>
    <n v="0"/>
    <n v="0"/>
    <n v="240.9"/>
    <n v="0"/>
    <n v="0"/>
    <n v="0"/>
    <n v="0"/>
    <n v="232.62"/>
    <n v="0"/>
  </r>
  <r>
    <x v="11"/>
    <x v="3"/>
    <x v="0"/>
    <s v="3405101"/>
    <n v="722000"/>
    <s v="Supplies-Freight Expense"/>
    <s v="5 Floor Cardiac ICU"/>
    <x v="0"/>
    <m/>
    <n v="-6.62"/>
    <n v="226.26"/>
    <n v="13.52"/>
    <n v="306.79000000000002"/>
    <n v="0"/>
    <n v="0"/>
    <n v="100.04"/>
    <n v="24.67"/>
    <n v="96.76"/>
    <n v="21.91"/>
    <n v="6.9"/>
    <n v="71.489999999999995"/>
    <n v="861.71999999999991"/>
    <n v="-64.589999999999989"/>
  </r>
  <r>
    <x v="12"/>
    <x v="3"/>
    <x v="0"/>
    <s v="3405101"/>
    <n v="730020"/>
    <s v="Rental and Leases-Copier Usage Fees (DO NOT USE)"/>
    <s v="5 Floor Cardiac ICU"/>
    <x v="0"/>
    <n v="5100"/>
    <n v="453.54"/>
    <n v="467.57"/>
    <n v="460.56"/>
    <n v="460.55"/>
    <n v="460.55"/>
    <n v="460.56"/>
    <n v="856.32"/>
    <n v="814.78"/>
    <n v="604.33000000000004"/>
    <n v="627.4"/>
    <n v="877.38"/>
    <n v="1208.01"/>
    <n v="7751.55"/>
    <n v="-330.63"/>
  </r>
  <r>
    <x v="15"/>
    <x v="3"/>
    <x v="0"/>
    <s v="3405101"/>
    <n v="731060"/>
    <s v="Cell Phones"/>
    <s v="5 Floor Cardiac ICU"/>
    <x v="0"/>
    <n v="1001"/>
    <n v="0"/>
    <n v="33.03"/>
    <n v="66.069999999999993"/>
    <n v="0"/>
    <n v="32.51"/>
    <n v="33.119999999999997"/>
    <n v="66.19"/>
    <n v="0"/>
    <n v="33.590000000000003"/>
    <n v="66.290000000000006"/>
    <n v="32.5"/>
    <n v="33.159999999999997"/>
    <n v="396.46000000000004"/>
    <n v="-0.65999999999999659"/>
  </r>
  <r>
    <x v="13"/>
    <x v="3"/>
    <x v="0"/>
    <s v="3405101"/>
    <n v="735030"/>
    <s v="Depreciation-Buildings"/>
    <s v="5 Floor Cardiac ICU"/>
    <x v="0"/>
    <m/>
    <n v="208.77"/>
    <n v="208.77"/>
    <n v="208.77"/>
    <n v="208.77"/>
    <n v="208.77"/>
    <n v="208.77"/>
    <n v="208.78"/>
    <n v="208.77"/>
    <n v="208.78"/>
    <n v="208.77"/>
    <n v="208.78"/>
    <n v="208.77"/>
    <n v="2505.2700000000004"/>
    <n v="9.9999999999909051E-3"/>
  </r>
  <r>
    <x v="13"/>
    <x v="3"/>
    <x v="0"/>
    <s v="3405101"/>
    <n v="735040"/>
    <s v="Depreciation-Building Improvements"/>
    <s v="5 Floor Cardiac ICU"/>
    <x v="0"/>
    <m/>
    <n v="8970.35"/>
    <n v="33083.14"/>
    <n v="33729.269999999997"/>
    <n v="33614.160000000003"/>
    <n v="33614.18"/>
    <n v="33614.160000000003"/>
    <n v="33614.19"/>
    <n v="36983.32"/>
    <n v="36983.35"/>
    <n v="39370.07"/>
    <n v="40388.47"/>
    <n v="33087.68"/>
    <n v="397052.34"/>
    <n v="7300.7900000000009"/>
  </r>
  <r>
    <x v="13"/>
    <x v="3"/>
    <x v="0"/>
    <s v="3405101"/>
    <n v="735060"/>
    <s v="Depreciation-Fixed Equipment"/>
    <s v="5 Floor Cardiac ICU"/>
    <x v="0"/>
    <m/>
    <n v="59.02"/>
    <n v="59.02"/>
    <n v="59.02"/>
    <n v="59.02"/>
    <n v="59.02"/>
    <n v="59.02"/>
    <n v="59.02"/>
    <n v="59.02"/>
    <n v="59.02"/>
    <n v="59.02"/>
    <n v="3893.36"/>
    <n v="606.78"/>
    <n v="5090.34"/>
    <n v="3286.58"/>
  </r>
  <r>
    <x v="13"/>
    <x v="3"/>
    <x v="0"/>
    <s v="3405101"/>
    <n v="735070"/>
    <s v="Depreciation-Movable Equipment"/>
    <s v="5 Floor Cardiac ICU"/>
    <x v="0"/>
    <m/>
    <n v="18660.04"/>
    <n v="26306.93"/>
    <n v="27054.78"/>
    <n v="27863.52"/>
    <n v="27863.69"/>
    <n v="27863.48"/>
    <n v="23140.04"/>
    <n v="23233.53"/>
    <n v="23233.7"/>
    <n v="28619.47"/>
    <n v="31713.81"/>
    <n v="33282.800000000003"/>
    <n v="318835.79000000004"/>
    <n v="-1568.9900000000016"/>
  </r>
  <r>
    <x v="0"/>
    <x v="3"/>
    <x v="0"/>
    <s v="3405101"/>
    <n v="740010"/>
    <s v="Education-Materials"/>
    <s v="5 Floor Cardiac ICU"/>
    <x v="0"/>
    <m/>
    <n v="0"/>
    <n v="0"/>
    <n v="0"/>
    <n v="0"/>
    <n v="146.84"/>
    <n v="0"/>
    <n v="0"/>
    <n v="121.1"/>
    <n v="0"/>
    <n v="0"/>
    <n v="0"/>
    <n v="0"/>
    <n v="267.94"/>
    <n v="0"/>
  </r>
  <r>
    <x v="0"/>
    <x v="3"/>
    <x v="0"/>
    <s v="3405101"/>
    <n v="740020"/>
    <s v="Education-Registration Fees"/>
    <s v="5 Floor Cardiac ICU"/>
    <x v="0"/>
    <m/>
    <n v="45"/>
    <n v="1785"/>
    <n v="715"/>
    <n v="950"/>
    <n v="695"/>
    <n v="335"/>
    <n v="305"/>
    <n v="2126"/>
    <n v="1435"/>
    <n v="1318"/>
    <n v="498"/>
    <n v="1465"/>
    <n v="11672"/>
    <n v="-967"/>
  </r>
  <r>
    <x v="0"/>
    <x v="3"/>
    <x v="0"/>
    <s v="3405101"/>
    <n v="749510"/>
    <s v="Miscellaneous Expenses"/>
    <s v="5 Floor Cardiac ICU"/>
    <x v="0"/>
    <m/>
    <n v="78.739999999999995"/>
    <n v="76.52"/>
    <n v="65.94"/>
    <n v="-2"/>
    <n v="335.74"/>
    <n v="96.31"/>
    <n v="348.5"/>
    <n v="58.42"/>
    <n v="2984.5"/>
    <n v="3137.17"/>
    <n v="1876.69"/>
    <n v="202.52"/>
    <n v="9259.0500000000011"/>
    <n v="1674.17"/>
  </r>
  <r>
    <x v="0"/>
    <x v="3"/>
    <x v="0"/>
    <s v="3405101"/>
    <n v="749510"/>
    <s v="Casualty Loss/Patient Property"/>
    <s v="5 Floor Cardiac ICU"/>
    <x v="0"/>
    <n v="4601"/>
    <n v="0"/>
    <n v="0"/>
    <n v="3390"/>
    <n v="0"/>
    <n v="0"/>
    <n v="0"/>
    <n v="0"/>
    <n v="0"/>
    <n v="0"/>
    <n v="0"/>
    <n v="0"/>
    <n v="0"/>
    <n v="3390"/>
    <n v="0"/>
  </r>
  <r>
    <x v="0"/>
    <x v="3"/>
    <x v="0"/>
    <s v="3405101"/>
    <n v="749510"/>
    <s v="RICE Rewards"/>
    <s v="5 Floor Cardiac ICU"/>
    <x v="0"/>
    <n v="5100"/>
    <n v="0"/>
    <n v="0"/>
    <n v="0"/>
    <n v="0"/>
    <n v="0"/>
    <n v="118.9"/>
    <n v="0"/>
    <n v="0"/>
    <n v="0"/>
    <n v="163.22"/>
    <n v="2389.7600000000002"/>
    <n v="1039.03"/>
    <n v="3710.91"/>
    <n v="1350.7300000000002"/>
  </r>
  <r>
    <x v="18"/>
    <x v="3"/>
    <x v="0"/>
    <s v="3485101"/>
    <n v="400010"/>
    <s v="Acute I/P Svcs Rev--Medicare"/>
    <s v="NICU"/>
    <x v="0"/>
    <n v="1100"/>
    <n v="0"/>
    <n v="-227.12"/>
    <n v="0"/>
    <n v="-227.12"/>
    <n v="-6802.02"/>
    <n v="6802.02"/>
    <n v="0"/>
    <n v="0"/>
    <n v="0"/>
    <n v="0"/>
    <n v="0"/>
    <n v="0"/>
    <n v="-454.23999999999978"/>
    <n v="0"/>
  </r>
  <r>
    <x v="18"/>
    <x v="3"/>
    <x v="0"/>
    <s v="3485101"/>
    <n v="400010"/>
    <s v="Acute I/P Svcs Rev--Medicaid"/>
    <s v="NICU"/>
    <x v="0"/>
    <n v="1200"/>
    <n v="-1796365.78"/>
    <n v="-2310214.66"/>
    <n v="-1753341.24"/>
    <n v="-1300208.05"/>
    <n v="-2314817.17"/>
    <n v="-1989470.67"/>
    <n v="-2266530.2599999998"/>
    <n v="-1941941.57"/>
    <n v="-2020903.34"/>
    <n v="-2752015.41"/>
    <n v="-2709862.58"/>
    <n v="-2091849.54"/>
    <n v="-25247520.270000003"/>
    <n v="-618013.04"/>
  </r>
  <r>
    <x v="18"/>
    <x v="3"/>
    <x v="0"/>
    <s v="3485101"/>
    <n v="400010"/>
    <s v="Acute I/P Svcs Rev--Comm Insurance"/>
    <s v="NICU"/>
    <x v="0"/>
    <n v="1300"/>
    <n v="-14124.51"/>
    <n v="0"/>
    <n v="0"/>
    <n v="-448052.71"/>
    <n v="-62694.75"/>
    <n v="-22098.12"/>
    <n v="-69842.8"/>
    <n v="-121139.36"/>
    <n v="-128351.67999999999"/>
    <n v="-123985.17"/>
    <n v="252460.85"/>
    <n v="-20667.88"/>
    <n v="-758496.13"/>
    <n v="273128.73"/>
  </r>
  <r>
    <x v="18"/>
    <x v="3"/>
    <x v="0"/>
    <s v="3485101"/>
    <n v="400010"/>
    <s v="Acute I/P Svcs Rev--BCBS Comm"/>
    <s v="NICU"/>
    <x v="0"/>
    <n v="1301"/>
    <n v="-651041.74"/>
    <n v="-238794.75"/>
    <n v="-211974.65"/>
    <n v="-30581.61"/>
    <n v="-486871.54"/>
    <n v="-487262.45"/>
    <n v="-281820.40000000002"/>
    <n v="-290979.34999999998"/>
    <n v="-259945.29"/>
    <n v="-278591.24"/>
    <n v="-469338.93"/>
    <n v="-1339228.29"/>
    <n v="-5026430.24"/>
    <n v="869889.3600000001"/>
  </r>
  <r>
    <x v="18"/>
    <x v="3"/>
    <x v="0"/>
    <s v="3485101"/>
    <n v="400010"/>
    <s v="Acute I/P Svcs Rev--Managed Care"/>
    <s v="NICU"/>
    <x v="0"/>
    <n v="1400"/>
    <n v="-1756316.58"/>
    <n v="-1580985.21"/>
    <n v="-1588578.97"/>
    <n v="-1303452.48"/>
    <n v="-677312.5"/>
    <n v="-775010.49"/>
    <n v="-962290.99"/>
    <n v="-931347.12"/>
    <n v="-1377007.6"/>
    <n v="-999577.93"/>
    <n v="-1107208.8999999999"/>
    <n v="-657992.76"/>
    <n v="-13717081.529999999"/>
    <n v="-449216.1399999999"/>
  </r>
  <r>
    <x v="18"/>
    <x v="3"/>
    <x v="0"/>
    <s v="3485101"/>
    <n v="400010"/>
    <s v="Acute I/P Svcs Rev--Self Pay"/>
    <s v="NICU"/>
    <x v="0"/>
    <n v="1500"/>
    <n v="-12264.41"/>
    <n v="-60723.85"/>
    <n v="25844.83"/>
    <n v="-47459.360000000001"/>
    <n v="36059.94"/>
    <n v="-7993"/>
    <n v="0"/>
    <n v="0"/>
    <n v="0"/>
    <n v="0"/>
    <n v="-46330.22"/>
    <n v="0"/>
    <n v="-112866.06999999999"/>
    <n v="-46330.22"/>
  </r>
  <r>
    <x v="18"/>
    <x v="3"/>
    <x v="0"/>
    <s v="3485101"/>
    <n v="400010"/>
    <s v="Acute I/P Svcs Rev--Other"/>
    <s v="NICU"/>
    <x v="0"/>
    <n v="1700"/>
    <n v="-559407.80000000005"/>
    <n v="-251011.39"/>
    <n v="-255153.01"/>
    <n v="-516147.59"/>
    <n v="-365396.02"/>
    <n v="-229356.09"/>
    <n v="-120177.04"/>
    <n v="-178865.36"/>
    <n v="-215312.71"/>
    <n v="-171714.07"/>
    <n v="-220529.76"/>
    <n v="-197241.91"/>
    <n v="-3280312.75"/>
    <n v="-23287.850000000006"/>
  </r>
  <r>
    <x v="19"/>
    <x v="3"/>
    <x v="0"/>
    <s v="3485101"/>
    <n v="400020"/>
    <s v="O/P Care Svcs Rev--Medicaid"/>
    <s v="NICU"/>
    <x v="0"/>
    <n v="1200"/>
    <n v="0"/>
    <n v="0"/>
    <n v="-62"/>
    <n v="0"/>
    <n v="0"/>
    <n v="0"/>
    <n v="0"/>
    <n v="0"/>
    <n v="0"/>
    <n v="0"/>
    <n v="0"/>
    <n v="0"/>
    <n v="-62"/>
    <n v="0"/>
  </r>
  <r>
    <x v="19"/>
    <x v="3"/>
    <x v="0"/>
    <s v="3485101"/>
    <n v="400020"/>
    <s v="O/P Care Svcs Rev--BCBS Comm"/>
    <s v="NICU"/>
    <x v="0"/>
    <n v="1301"/>
    <n v="0"/>
    <n v="0"/>
    <n v="0"/>
    <n v="0"/>
    <n v="0"/>
    <n v="0"/>
    <n v="-350.32"/>
    <n v="0"/>
    <n v="0"/>
    <n v="0"/>
    <n v="0"/>
    <n v="0"/>
    <n v="-350.32"/>
    <n v="0"/>
  </r>
  <r>
    <x v="19"/>
    <x v="3"/>
    <x v="0"/>
    <s v="3485101"/>
    <n v="400020"/>
    <s v="O/P Care Svcs Rev--Managed Care"/>
    <s v="NICU"/>
    <x v="0"/>
    <n v="1400"/>
    <n v="0"/>
    <n v="-216.54"/>
    <n v="0"/>
    <n v="0"/>
    <n v="0"/>
    <n v="0"/>
    <n v="0"/>
    <n v="0"/>
    <n v="0"/>
    <n v="0"/>
    <n v="0"/>
    <n v="0"/>
    <n v="-216.54"/>
    <n v="0"/>
  </r>
  <r>
    <x v="14"/>
    <x v="3"/>
    <x v="0"/>
    <s v="3485101"/>
    <n v="600050"/>
    <s v="Miscellaneous Revenue"/>
    <s v="NICU"/>
    <x v="0"/>
    <m/>
    <n v="0"/>
    <n v="0"/>
    <n v="0"/>
    <n v="0"/>
    <n v="0"/>
    <n v="0"/>
    <n v="0"/>
    <n v="0"/>
    <n v="0"/>
    <n v="-3000"/>
    <n v="0"/>
    <n v="0"/>
    <n v="-3000"/>
    <n v="0"/>
  </r>
  <r>
    <x v="20"/>
    <x v="3"/>
    <x v="0"/>
    <s v="3485101"/>
    <n v="610010"/>
    <s v="Foundation Distributions"/>
    <s v="NICU"/>
    <x v="0"/>
    <n v="1175"/>
    <n v="0"/>
    <n v="0"/>
    <n v="0"/>
    <n v="-3261.13"/>
    <n v="0"/>
    <n v="0"/>
    <n v="-35600"/>
    <n v="0"/>
    <n v="-517"/>
    <n v="0"/>
    <n v="0"/>
    <n v="-842.64"/>
    <n v="-40220.769999999997"/>
    <n v="842.64"/>
  </r>
  <r>
    <x v="5"/>
    <x v="3"/>
    <x v="0"/>
    <s v="3485101"/>
    <n v="700014"/>
    <s v="Salaries-Management-Productive"/>
    <s v="NICU"/>
    <x v="0"/>
    <m/>
    <n v="20112"/>
    <n v="23544.27"/>
    <n v="18712.939999999999"/>
    <n v="23707.759999999998"/>
    <n v="19180.63"/>
    <n v="14912.09"/>
    <n v="23145.33"/>
    <n v="20793.97"/>
    <n v="23661.33"/>
    <n v="22210.9"/>
    <n v="23151.29"/>
    <n v="21941.72"/>
    <n v="255074.23"/>
    <n v="1209.5699999999997"/>
  </r>
  <r>
    <x v="5"/>
    <x v="3"/>
    <x v="0"/>
    <s v="3485101"/>
    <n v="700014"/>
    <s v="Salaries-Management-OT"/>
    <s v="NICU"/>
    <x v="0"/>
    <n v="1000"/>
    <n v="0"/>
    <n v="0"/>
    <n v="0"/>
    <n v="0"/>
    <n v="0"/>
    <n v="0"/>
    <n v="0"/>
    <n v="0"/>
    <n v="-12388.35"/>
    <n v="0"/>
    <n v="0"/>
    <n v="0"/>
    <n v="-12388.35"/>
    <n v="0"/>
  </r>
  <r>
    <x v="5"/>
    <x v="3"/>
    <x v="0"/>
    <s v="3485101"/>
    <n v="700014"/>
    <s v="Salaries-Management-Other"/>
    <s v="NICU"/>
    <x v="0"/>
    <n v="2000"/>
    <n v="0"/>
    <n v="0"/>
    <n v="0"/>
    <n v="0"/>
    <n v="0"/>
    <n v="0"/>
    <n v="0"/>
    <n v="0"/>
    <n v="-143.25"/>
    <n v="0"/>
    <n v="0"/>
    <n v="0"/>
    <n v="-143.25"/>
    <n v="0"/>
  </r>
  <r>
    <x v="5"/>
    <x v="3"/>
    <x v="0"/>
    <s v="3485101"/>
    <n v="700018"/>
    <s v="Salaries-Supervisory-Productive"/>
    <s v="NICU"/>
    <x v="0"/>
    <m/>
    <n v="7073.04"/>
    <n v="3878.96"/>
    <n v="6845.28"/>
    <n v="7287.64"/>
    <n v="7102.1"/>
    <n v="6581.53"/>
    <n v="7445.19"/>
    <n v="6638.52"/>
    <n v="7349.83"/>
    <n v="7112.52"/>
    <n v="4789.37"/>
    <n v="8013.68"/>
    <n v="80117.66"/>
    <n v="-3224.3100000000004"/>
  </r>
  <r>
    <x v="5"/>
    <x v="3"/>
    <x v="0"/>
    <s v="3485101"/>
    <n v="700026"/>
    <s v="Salaries-RN-Productive"/>
    <s v="NICU"/>
    <x v="0"/>
    <m/>
    <n v="263528.99"/>
    <n v="261604.92"/>
    <n v="205972.62"/>
    <n v="257267.69"/>
    <n v="227846.65"/>
    <n v="215036.75"/>
    <n v="204321.74"/>
    <n v="201202.34"/>
    <n v="224216.42"/>
    <n v="260953.96"/>
    <n v="247892.2"/>
    <n v="237540.75"/>
    <n v="2807385.0300000003"/>
    <n v="10351.450000000012"/>
  </r>
  <r>
    <x v="5"/>
    <x v="3"/>
    <x v="0"/>
    <s v="3485101"/>
    <n v="700026"/>
    <s v="Salaries-RN-OT"/>
    <s v="NICU"/>
    <x v="0"/>
    <n v="1000"/>
    <n v="9673.0300000000007"/>
    <n v="10749.33"/>
    <n v="4353.03"/>
    <n v="8432.27"/>
    <n v="7073.52"/>
    <n v="18489.2"/>
    <n v="1503.61"/>
    <n v="2417.62"/>
    <n v="7427.43"/>
    <n v="7683.04"/>
    <n v="1902.71"/>
    <n v="8675.49"/>
    <n v="88380.280000000013"/>
    <n v="-6772.78"/>
  </r>
  <r>
    <x v="5"/>
    <x v="3"/>
    <x v="0"/>
    <s v="3485101"/>
    <n v="700026"/>
    <s v="Salaries-RN-Other"/>
    <s v="NICU"/>
    <x v="0"/>
    <n v="2000"/>
    <n v="23329.46"/>
    <n v="23832.7"/>
    <n v="19597.099999999999"/>
    <n v="23212.76"/>
    <n v="21281.96"/>
    <n v="21747.37"/>
    <n v="20516.77"/>
    <n v="19458.87"/>
    <n v="21769.58"/>
    <n v="23623.98"/>
    <n v="22834.87"/>
    <n v="21438.82"/>
    <n v="262644.24"/>
    <n v="1396.0499999999993"/>
  </r>
  <r>
    <x v="5"/>
    <x v="3"/>
    <x v="0"/>
    <s v="3485101"/>
    <n v="700032"/>
    <s v="Salaries-Other Pat Care Providers-Productive"/>
    <s v="NICU"/>
    <x v="0"/>
    <m/>
    <n v="31975.040000000001"/>
    <n v="27062.87"/>
    <n v="18589.490000000002"/>
    <n v="18943.580000000002"/>
    <n v="20814.259999999998"/>
    <n v="19034.43"/>
    <n v="20806.68"/>
    <n v="18563.86"/>
    <n v="15010.59"/>
    <n v="18840.560000000001"/>
    <n v="18684.32"/>
    <n v="27232.71"/>
    <n v="255558.39"/>
    <n v="-8548.39"/>
  </r>
  <r>
    <x v="5"/>
    <x v="3"/>
    <x v="0"/>
    <s v="3485101"/>
    <n v="700032"/>
    <s v="Salaries-Other Pat Care Providers-OT"/>
    <s v="NICU"/>
    <x v="0"/>
    <n v="1000"/>
    <n v="942.03"/>
    <n v="415.9"/>
    <n v="-32.619999999999997"/>
    <n v="223.67"/>
    <n v="-6.02"/>
    <n v="2.82"/>
    <n v="428.69"/>
    <n v="-27.03"/>
    <n v="135.22"/>
    <n v="492.45"/>
    <n v="210.85"/>
    <n v="-45.49"/>
    <n v="2740.47"/>
    <n v="256.33999999999997"/>
  </r>
  <r>
    <x v="5"/>
    <x v="3"/>
    <x v="0"/>
    <s v="3485101"/>
    <n v="700032"/>
    <s v="Salaries-Other Pat Care Providers-Other"/>
    <s v="NICU"/>
    <x v="0"/>
    <n v="2000"/>
    <n v="2268.0700000000002"/>
    <n v="1689.09"/>
    <n v="1031.44"/>
    <n v="1121.31"/>
    <n v="1220.48"/>
    <n v="998.29"/>
    <n v="1268.1400000000001"/>
    <n v="884.06"/>
    <n v="874.52"/>
    <n v="1144.5899999999999"/>
    <n v="1163.83"/>
    <n v="1403.94"/>
    <n v="15067.76"/>
    <n v="-240.11000000000013"/>
  </r>
  <r>
    <x v="5"/>
    <x v="3"/>
    <x v="0"/>
    <s v="3485101"/>
    <n v="700034"/>
    <s v="Salaries-Tech/Professional-Productive"/>
    <s v="NICU"/>
    <x v="0"/>
    <m/>
    <n v="34992.42"/>
    <n v="32381.040000000001"/>
    <n v="26939.64"/>
    <n v="25755.91"/>
    <n v="40598.5"/>
    <n v="18911.080000000002"/>
    <n v="30708.94"/>
    <n v="29231.78"/>
    <n v="29948.21"/>
    <n v="22595.46"/>
    <n v="26663.17"/>
    <n v="19714.650000000001"/>
    <n v="338440.80000000005"/>
    <n v="6948.5199999999968"/>
  </r>
  <r>
    <x v="5"/>
    <x v="3"/>
    <x v="0"/>
    <s v="3485101"/>
    <n v="700034"/>
    <s v="Salaries-Tech/Professional-OT"/>
    <s v="NICU"/>
    <x v="0"/>
    <n v="1000"/>
    <n v="1659.5"/>
    <n v="3288.92"/>
    <n v="1740.27"/>
    <n v="4003.91"/>
    <n v="1816.71"/>
    <n v="1263.31"/>
    <n v="1469.84"/>
    <n v="1549.46"/>
    <n v="1666.75"/>
    <n v="1299.81"/>
    <n v="2351.29"/>
    <n v="1192.8800000000001"/>
    <n v="23302.650000000005"/>
    <n v="1158.4099999999999"/>
  </r>
  <r>
    <x v="5"/>
    <x v="3"/>
    <x v="0"/>
    <s v="3485101"/>
    <n v="700034"/>
    <s v="Salaries-Tech/Professional-Other"/>
    <s v="NICU"/>
    <x v="0"/>
    <n v="2000"/>
    <n v="3400.46"/>
    <n v="2693.47"/>
    <n v="2559.65"/>
    <n v="2566.4"/>
    <n v="3008.3"/>
    <n v="1908.13"/>
    <n v="2353.06"/>
    <n v="2351.73"/>
    <n v="2437.5700000000002"/>
    <n v="2269.3000000000002"/>
    <n v="1883.61"/>
    <n v="2193.2399999999998"/>
    <n v="29624.92"/>
    <n v="-309.62999999999988"/>
  </r>
  <r>
    <x v="5"/>
    <x v="3"/>
    <x v="0"/>
    <s v="3485101"/>
    <n v="700038"/>
    <s v="Salaries-Service/Support-Productive"/>
    <s v="NICU"/>
    <x v="0"/>
    <m/>
    <n v="3363.41"/>
    <n v="4904.6400000000003"/>
    <n v="4108.03"/>
    <n v="2605.8200000000002"/>
    <n v="4101.3100000000004"/>
    <n v="4192.97"/>
    <n v="4347.8500000000004"/>
    <n v="3962.42"/>
    <n v="3697.78"/>
    <n v="4070.43"/>
    <n v="4310.18"/>
    <n v="4270.04"/>
    <n v="47934.879999999997"/>
    <n v="40.140000000000327"/>
  </r>
  <r>
    <x v="5"/>
    <x v="3"/>
    <x v="0"/>
    <s v="3485101"/>
    <n v="700038"/>
    <s v="Salaries-Service/Support-OT"/>
    <s v="NICU"/>
    <x v="0"/>
    <n v="1000"/>
    <n v="0"/>
    <n v="0"/>
    <n v="105.07"/>
    <n v="51.97"/>
    <n v="-39.67"/>
    <n v="0"/>
    <n v="0"/>
    <n v="0"/>
    <n v="0"/>
    <n v="0"/>
    <n v="0"/>
    <n v="0"/>
    <n v="117.36999999999999"/>
    <n v="0"/>
  </r>
  <r>
    <x v="5"/>
    <x v="3"/>
    <x v="0"/>
    <s v="3485101"/>
    <n v="700038"/>
    <s v="Salaries-Service/Support-Other"/>
    <s v="NICU"/>
    <x v="0"/>
    <n v="2000"/>
    <n v="0"/>
    <n v="0"/>
    <n v="0"/>
    <n v="0"/>
    <n v="0"/>
    <n v="0"/>
    <n v="0"/>
    <n v="0"/>
    <n v="0"/>
    <n v="10.89"/>
    <n v="0"/>
    <n v="0"/>
    <n v="10.89"/>
    <n v="0"/>
  </r>
  <r>
    <x v="5"/>
    <x v="3"/>
    <x v="0"/>
    <s v="3485101"/>
    <n v="700054"/>
    <s v="Salaries-Management-Non-productive"/>
    <s v="NICU"/>
    <x v="0"/>
    <m/>
    <n v="3080.4"/>
    <n v="-350.8"/>
    <n v="3732.64"/>
    <n v="0"/>
    <n v="3881.04"/>
    <n v="8919.08"/>
    <n v="723.04"/>
    <n v="762.38"/>
    <n v="315.44"/>
    <n v="884.59"/>
    <n v="714.84"/>
    <n v="1154.83"/>
    <n v="23817.480000000003"/>
    <n v="-439.9899999999999"/>
  </r>
  <r>
    <x v="5"/>
    <x v="3"/>
    <x v="0"/>
    <s v="3485101"/>
    <n v="700054"/>
    <s v="Salaries-Management-NonProd-Other"/>
    <s v="NICU"/>
    <x v="0"/>
    <n v="2000"/>
    <n v="0"/>
    <n v="0"/>
    <n v="0"/>
    <n v="0"/>
    <n v="0"/>
    <n v="1297.48"/>
    <n v="-1297.48"/>
    <n v="0"/>
    <n v="-222"/>
    <n v="0"/>
    <n v="0"/>
    <n v="0"/>
    <n v="-222"/>
    <n v="0"/>
  </r>
  <r>
    <x v="5"/>
    <x v="3"/>
    <x v="0"/>
    <s v="3485101"/>
    <n v="700058"/>
    <s v="Salaries-Supervisory-Non-productive"/>
    <s v="NICU"/>
    <x v="0"/>
    <m/>
    <n v="0"/>
    <n v="3194.4"/>
    <n v="0"/>
    <n v="0"/>
    <n v="0"/>
    <n v="757.53"/>
    <n v="-94.65"/>
    <n v="0"/>
    <n v="0"/>
    <n v="0"/>
    <n v="2560.46"/>
    <n v="-900.84"/>
    <n v="5516.9"/>
    <n v="3461.3"/>
  </r>
  <r>
    <x v="5"/>
    <x v="3"/>
    <x v="0"/>
    <s v="3485101"/>
    <n v="700066"/>
    <s v="Salaries-RN-Non-productive"/>
    <s v="NICU"/>
    <x v="0"/>
    <m/>
    <n v="31734.09"/>
    <n v="38555.01"/>
    <n v="34188.21"/>
    <n v="37745"/>
    <n v="28309.7"/>
    <n v="56334.52"/>
    <n v="46283.82"/>
    <n v="41511.06"/>
    <n v="45794.080000000002"/>
    <n v="29790.93"/>
    <n v="35420.050000000003"/>
    <n v="44518.62"/>
    <n v="470185.08999999997"/>
    <n v="-9098.57"/>
  </r>
  <r>
    <x v="5"/>
    <x v="3"/>
    <x v="0"/>
    <s v="3485101"/>
    <n v="700066"/>
    <s v="Salaries-RN-NonProd-Other"/>
    <s v="NICU"/>
    <x v="0"/>
    <n v="2000"/>
    <n v="1973.69"/>
    <n v="2735.63"/>
    <n v="2711.24"/>
    <n v="2081.87"/>
    <n v="6534.32"/>
    <n v="7446.53"/>
    <n v="2261.1999999999998"/>
    <n v="-3852.86"/>
    <n v="2480.2199999999998"/>
    <n v="1365.42"/>
    <n v="2107.38"/>
    <n v="1514.19"/>
    <n v="29358.83"/>
    <n v="593.19000000000005"/>
  </r>
  <r>
    <x v="5"/>
    <x v="3"/>
    <x v="0"/>
    <s v="3485101"/>
    <n v="700072"/>
    <s v="Salaries-Other Pat Care Providers-Non-productive"/>
    <s v="NICU"/>
    <x v="0"/>
    <m/>
    <n v="3401.42"/>
    <n v="767.71"/>
    <n v="4433.29"/>
    <n v="2292.71"/>
    <n v="86.58"/>
    <n v="5489.7"/>
    <n v="4000.64"/>
    <n v="2266.73"/>
    <n v="6177.58"/>
    <n v="5823"/>
    <n v="5377.57"/>
    <n v="2657.77"/>
    <n v="42774.7"/>
    <n v="2719.7999999999997"/>
  </r>
  <r>
    <x v="5"/>
    <x v="3"/>
    <x v="0"/>
    <s v="3485101"/>
    <n v="700072"/>
    <s v="Salaries-Other Pat Care Providers-NonProd-Other"/>
    <s v="NICU"/>
    <x v="0"/>
    <n v="2000"/>
    <n v="96.88"/>
    <n v="-7.48"/>
    <n v="242.43"/>
    <n v="57.75"/>
    <n v="51.89"/>
    <n v="662.57"/>
    <n v="226.58"/>
    <n v="102.49"/>
    <n v="93.52"/>
    <n v="118.98"/>
    <n v="99.42"/>
    <n v="252.19"/>
    <n v="1997.22"/>
    <n v="-152.76999999999998"/>
  </r>
  <r>
    <x v="5"/>
    <x v="3"/>
    <x v="0"/>
    <s v="3485101"/>
    <n v="700074"/>
    <s v="Salaries-Tech/Professional-Non-productive"/>
    <s v="NICU"/>
    <x v="0"/>
    <m/>
    <n v="3743.12"/>
    <n v="2796.35"/>
    <n v="4543.04"/>
    <n v="675.82"/>
    <n v="4177.41"/>
    <n v="9194.75"/>
    <n v="3552.74"/>
    <n v="5965.93"/>
    <n v="2033.12"/>
    <n v="10300.49"/>
    <n v="6490.31"/>
    <n v="9127.9"/>
    <n v="62600.979999999996"/>
    <n v="-2637.5899999999992"/>
  </r>
  <r>
    <x v="5"/>
    <x v="3"/>
    <x v="0"/>
    <s v="3485101"/>
    <n v="700074"/>
    <s v="Salaries-Tech/Professional-NonProd-Other"/>
    <s v="NICU"/>
    <x v="0"/>
    <n v="2000"/>
    <n v="41.13"/>
    <n v="206.92"/>
    <n v="207.85"/>
    <n v="31.97"/>
    <n v="190.21"/>
    <n v="402.97"/>
    <n v="209.03"/>
    <n v="285.56"/>
    <n v="22.58"/>
    <n v="180.27"/>
    <n v="480.9"/>
    <n v="538.76"/>
    <n v="2798.1499999999996"/>
    <n v="-57.860000000000014"/>
  </r>
  <r>
    <x v="5"/>
    <x v="3"/>
    <x v="0"/>
    <s v="3485101"/>
    <n v="700084"/>
    <s v="Accrued PTO"/>
    <s v="NICU"/>
    <x v="0"/>
    <m/>
    <n v="6695.48"/>
    <n v="5623.14"/>
    <n v="1176.6600000000001"/>
    <n v="15215.18"/>
    <n v="5781.61"/>
    <n v="-11855.94"/>
    <n v="49.78"/>
    <n v="-1618.09"/>
    <n v="7051.54"/>
    <n v="10936.94"/>
    <n v="7428.12"/>
    <n v="1661.62"/>
    <n v="48146.04"/>
    <n v="5766.5"/>
  </r>
  <r>
    <x v="6"/>
    <x v="3"/>
    <x v="0"/>
    <s v="3485101"/>
    <n v="713010"/>
    <s v="Benefits-FICA/Medicare"/>
    <s v="NICU"/>
    <x v="0"/>
    <m/>
    <n v="33016.75"/>
    <n v="33029.800000000003"/>
    <n v="26606.79"/>
    <n v="31043.17"/>
    <n v="29501.88"/>
    <n v="29757.69"/>
    <n v="27902.97"/>
    <n v="26626.57"/>
    <n v="28289.25"/>
    <n v="30919.48"/>
    <n v="30236.87"/>
    <n v="30408.46"/>
    <n v="357339.68"/>
    <n v="-171.59000000000015"/>
  </r>
  <r>
    <x v="6"/>
    <x v="3"/>
    <x v="0"/>
    <s v="3485101"/>
    <n v="713090"/>
    <s v="Benefits-Allocated Amounts"/>
    <s v="NICU"/>
    <x v="0"/>
    <m/>
    <n v="87211.4"/>
    <n v="78977.77"/>
    <n v="70542.03"/>
    <n v="78419.12"/>
    <n v="75879.33"/>
    <n v="74477.289999999994"/>
    <n v="75882.070000000007"/>
    <n v="77394.84"/>
    <n v="61476.78"/>
    <n v="84897.37"/>
    <n v="85845.94"/>
    <n v="85459.86"/>
    <n v="936463.79999999993"/>
    <n v="386.08000000000175"/>
  </r>
  <r>
    <x v="6"/>
    <x v="3"/>
    <x v="0"/>
    <s v="3485101"/>
    <n v="713096"/>
    <s v="Employee Recognition"/>
    <s v="NICU"/>
    <x v="0"/>
    <n v="1017"/>
    <n v="110.98"/>
    <n v="4804"/>
    <n v="129.84"/>
    <n v="111.01"/>
    <n v="0"/>
    <n v="0"/>
    <n v="111.09"/>
    <n v="0"/>
    <n v="60.86"/>
    <n v="97.54"/>
    <n v="0"/>
    <n v="21.48"/>
    <n v="5446.7999999999993"/>
    <n v="-21.48"/>
  </r>
  <r>
    <x v="17"/>
    <x v="3"/>
    <x v="0"/>
    <s v="3485101"/>
    <n v="714520"/>
    <s v="Other Contracted Professionals"/>
    <s v="NICU"/>
    <x v="0"/>
    <m/>
    <n v="78722.97"/>
    <n v="75347.83"/>
    <n v="55833.33"/>
    <n v="80318.75"/>
    <n v="88819.04"/>
    <n v="86107.45"/>
    <n v="79329.009999999995"/>
    <n v="59508"/>
    <n v="79923.75"/>
    <n v="51400.62"/>
    <n v="83630.31"/>
    <n v="99347.25"/>
    <n v="918288.31"/>
    <n v="-15716.940000000002"/>
  </r>
  <r>
    <x v="7"/>
    <x v="3"/>
    <x v="0"/>
    <s v="3485101"/>
    <n v="718050"/>
    <s v="Contract Svcs-Other"/>
    <s v="NICU"/>
    <x v="0"/>
    <m/>
    <n v="56589.68"/>
    <n v="50559.44"/>
    <n v="31800"/>
    <n v="31800"/>
    <n v="31800"/>
    <n v="31800"/>
    <n v="31800"/>
    <n v="31800"/>
    <n v="-103800"/>
    <n v="6698.94"/>
    <n v="23433.5"/>
    <n v="17100"/>
    <n v="241381.56"/>
    <n v="6333.5"/>
  </r>
  <r>
    <x v="7"/>
    <x v="3"/>
    <x v="0"/>
    <s v="3485101"/>
    <n v="718050"/>
    <s v="Document Shredding/Storage"/>
    <s v="NICU"/>
    <x v="0"/>
    <n v="1012"/>
    <n v="2.23"/>
    <n v="2.33"/>
    <n v="2.12"/>
    <n v="2.19"/>
    <n v="2.2599999999999998"/>
    <n v="2.78"/>
    <n v="2.75"/>
    <n v="2.84"/>
    <n v="2.4300000000000002"/>
    <n v="3.23"/>
    <n v="2.69"/>
    <n v="2.78"/>
    <n v="30.630000000000003"/>
    <n v="-8.9999999999999858E-2"/>
  </r>
  <r>
    <x v="7"/>
    <x v="3"/>
    <x v="0"/>
    <s v="3485101"/>
    <n v="718050"/>
    <s v="Translation Services"/>
    <s v="NICU"/>
    <x v="0"/>
    <n v="1025"/>
    <n v="320"/>
    <n v="19.53"/>
    <n v="0"/>
    <n v="0"/>
    <n v="0"/>
    <n v="21.33"/>
    <n v="0"/>
    <n v="40"/>
    <n v="17.89"/>
    <n v="0"/>
    <n v="32"/>
    <n v="0"/>
    <n v="450.74999999999994"/>
    <n v="32"/>
  </r>
  <r>
    <x v="7"/>
    <x v="3"/>
    <x v="0"/>
    <s v="3485101"/>
    <n v="718050"/>
    <s v="Contract Management--Linen"/>
    <s v="NICU"/>
    <x v="0"/>
    <n v="1026"/>
    <n v="1629.19"/>
    <n v="1856.98"/>
    <n v="2488.83"/>
    <n v="1582.3"/>
    <n v="1340.14"/>
    <n v="717.83"/>
    <n v="3399.39"/>
    <n v="1390.37"/>
    <n v="2081.5500000000002"/>
    <n v="1217.6400000000001"/>
    <n v="1340.78"/>
    <n v="1713.31"/>
    <n v="20758.309999999998"/>
    <n v="-372.53"/>
  </r>
  <r>
    <x v="7"/>
    <x v="3"/>
    <x v="0"/>
    <s v="3485101"/>
    <n v="718070"/>
    <s v="Contract Srvcs-CHI Clinical Engineering"/>
    <s v="NICU"/>
    <x v="0"/>
    <m/>
    <n v="104.67"/>
    <n v="104.67"/>
    <n v="104.67"/>
    <n v="127.41"/>
    <n v="129.75"/>
    <n v="136.5"/>
    <n v="136.5"/>
    <n v="136.5"/>
    <n v="136.5"/>
    <n v="136.5"/>
    <n v="136.5"/>
    <n v="136.5"/>
    <n v="1526.67"/>
    <n v="0"/>
  </r>
  <r>
    <x v="7"/>
    <x v="3"/>
    <x v="0"/>
    <s v="3485101"/>
    <n v="718091"/>
    <s v="Contract Services-Intracompany Allocation"/>
    <s v="NICU"/>
    <x v="0"/>
    <m/>
    <n v="12212.83"/>
    <n v="14189.57"/>
    <n v="13970.91"/>
    <n v="14071.05"/>
    <n v="11243.81"/>
    <n v="13150.41"/>
    <n v="15485.64"/>
    <n v="12836.92"/>
    <n v="11326.53"/>
    <n v="10498.74"/>
    <n v="11935.77"/>
    <n v="15613.99"/>
    <n v="156536.16999999998"/>
    <n v="-3678.2199999999993"/>
  </r>
  <r>
    <x v="11"/>
    <x v="3"/>
    <x v="0"/>
    <s v="3485101"/>
    <n v="721010"/>
    <s v="Supplies-Medical - Billable"/>
    <s v="NICU"/>
    <x v="0"/>
    <m/>
    <n v="12689.51"/>
    <n v="10544.7"/>
    <n v="8009.33"/>
    <n v="10042.01"/>
    <n v="8070.1"/>
    <n v="7465.59"/>
    <n v="9106.06"/>
    <n v="9657.67"/>
    <n v="10982.19"/>
    <n v="10636.66"/>
    <n v="10261.27"/>
    <n v="10206.129999999999"/>
    <n v="117671.22000000002"/>
    <n v="55.140000000001237"/>
  </r>
  <r>
    <x v="11"/>
    <x v="3"/>
    <x v="0"/>
    <s v="3485101"/>
    <n v="721010"/>
    <s v="Patient Monitoring"/>
    <s v="NICU"/>
    <x v="0"/>
    <n v="1000"/>
    <n v="1341.84"/>
    <n v="107.34"/>
    <n v="307.17"/>
    <n v="774.96"/>
    <n v="365.99"/>
    <n v="465.56"/>
    <n v="751.7"/>
    <n v="229.82"/>
    <n v="386.21"/>
    <n v="1577.2"/>
    <n v="646.33000000000004"/>
    <n v="400.25"/>
    <n v="7354.37"/>
    <n v="246.08000000000004"/>
  </r>
  <r>
    <x v="11"/>
    <x v="3"/>
    <x v="0"/>
    <s v="3485101"/>
    <n v="721020"/>
    <s v="Supplies-Surgical - Billable"/>
    <s v="NICU"/>
    <x v="0"/>
    <m/>
    <n v="151.22999999999999"/>
    <n v="1.5"/>
    <n v="3"/>
    <n v="1.5"/>
    <n v="1.5"/>
    <n v="339.76"/>
    <n v="-136.24"/>
    <n v="19.46"/>
    <n v="0"/>
    <n v="54.5"/>
    <n v="61.39"/>
    <n v="61.55"/>
    <n v="559.15"/>
    <n v="-0.15999999999999659"/>
  </r>
  <r>
    <x v="11"/>
    <x v="3"/>
    <x v="0"/>
    <s v="3485101"/>
    <n v="721020"/>
    <s v="Suture/Wound Closure"/>
    <s v="NICU"/>
    <x v="0"/>
    <n v="1001"/>
    <n v="3.51"/>
    <n v="0"/>
    <n v="0"/>
    <n v="112.86"/>
    <n v="0"/>
    <n v="0"/>
    <n v="15.14"/>
    <n v="11.08"/>
    <n v="0"/>
    <n v="22.71"/>
    <n v="4.72"/>
    <n v="3.51"/>
    <n v="173.53"/>
    <n v="1.21"/>
  </r>
  <r>
    <x v="11"/>
    <x v="3"/>
    <x v="0"/>
    <s v="3485101"/>
    <n v="721020"/>
    <s v="Tubes Drains &amp; Related Supplies"/>
    <s v="NICU"/>
    <x v="0"/>
    <n v="1008"/>
    <n v="0"/>
    <n v="0"/>
    <n v="0"/>
    <n v="0"/>
    <n v="0"/>
    <n v="0"/>
    <n v="0"/>
    <n v="0"/>
    <n v="0"/>
    <n v="30.06"/>
    <n v="0"/>
    <n v="0"/>
    <n v="30.06"/>
    <n v="0"/>
  </r>
  <r>
    <x v="11"/>
    <x v="3"/>
    <x v="0"/>
    <s v="3485101"/>
    <n v="721220"/>
    <s v="Supplies-Medical Gases - Billable"/>
    <s v="NICU"/>
    <x v="0"/>
    <m/>
    <n v="0"/>
    <n v="0"/>
    <n v="0"/>
    <n v="0"/>
    <n v="0"/>
    <n v="3000"/>
    <n v="3000"/>
    <n v="0"/>
    <n v="0"/>
    <n v="27886.44"/>
    <n v="-13943.22"/>
    <n v="21951.86"/>
    <n v="41895.08"/>
    <n v="-35895.08"/>
  </r>
  <r>
    <x v="11"/>
    <x v="3"/>
    <x v="0"/>
    <s v="3485101"/>
    <n v="721240"/>
    <s v="Supplies-IV Solutions/Supplies - Billable"/>
    <s v="NICU"/>
    <x v="0"/>
    <m/>
    <n v="2192.2199999999998"/>
    <n v="1743.68"/>
    <n v="523.55999999999995"/>
    <n v="1526.39"/>
    <n v="1538.03"/>
    <n v="1838.3"/>
    <n v="1765.77"/>
    <n v="1815.88"/>
    <n v="2135.4299999999998"/>
    <n v="1199.97"/>
    <n v="981.42"/>
    <n v="977.09"/>
    <n v="18237.739999999998"/>
    <n v="4.3299999999999272"/>
  </r>
  <r>
    <x v="11"/>
    <x v="3"/>
    <x v="0"/>
    <s v="3485101"/>
    <n v="721250"/>
    <s v="Supplies-Pharmacy Drugs - Billable"/>
    <s v="NICU"/>
    <x v="0"/>
    <m/>
    <n v="0"/>
    <n v="21.64"/>
    <n v="0"/>
    <n v="0"/>
    <n v="43.28"/>
    <n v="0"/>
    <n v="0"/>
    <n v="0"/>
    <n v="21.64"/>
    <n v="0"/>
    <n v="0"/>
    <n v="1.34"/>
    <n v="87.9"/>
    <n v="-1.34"/>
  </r>
  <r>
    <x v="11"/>
    <x v="3"/>
    <x v="0"/>
    <s v="3485101"/>
    <n v="721410"/>
    <s v="Supplies-Medical - Nonbillable"/>
    <s v="NICU"/>
    <x v="0"/>
    <m/>
    <n v="14112.67"/>
    <n v="16469.669999999998"/>
    <n v="12431.31"/>
    <n v="13837.07"/>
    <n v="11210.16"/>
    <n v="11362.1"/>
    <n v="11182.89"/>
    <n v="12476.91"/>
    <n v="13382.29"/>
    <n v="18152.599999999999"/>
    <n v="13085.41"/>
    <n v="17348.14"/>
    <n v="165051.22000000003"/>
    <n v="-4262.7299999999996"/>
  </r>
  <r>
    <x v="11"/>
    <x v="3"/>
    <x v="0"/>
    <s v="3485101"/>
    <n v="721410"/>
    <s v="Patient Monitoring"/>
    <s v="NICU"/>
    <x v="0"/>
    <n v="1000"/>
    <n v="149.94"/>
    <n v="0"/>
    <n v="8.8699999999999992"/>
    <n v="0.45"/>
    <n v="0"/>
    <n v="0"/>
    <n v="0"/>
    <n v="0"/>
    <n v="0"/>
    <n v="0"/>
    <n v="0"/>
    <n v="149.63"/>
    <n v="308.89"/>
    <n v="-149.63"/>
  </r>
  <r>
    <x v="11"/>
    <x v="3"/>
    <x v="0"/>
    <s v="3485101"/>
    <n v="721420"/>
    <s v="Supplies-Surgical Nonbillable"/>
    <s v="NICU"/>
    <x v="0"/>
    <m/>
    <n v="289.81"/>
    <n v="257.48"/>
    <n v="228.44"/>
    <n v="224.18"/>
    <n v="212.51"/>
    <n v="200"/>
    <n v="26.01"/>
    <n v="24.27"/>
    <n v="30.87"/>
    <n v="42.39"/>
    <n v="37.08"/>
    <n v="21.43"/>
    <n v="1594.47"/>
    <n v="15.649999999999999"/>
  </r>
  <r>
    <x v="11"/>
    <x v="3"/>
    <x v="0"/>
    <s v="3485101"/>
    <n v="721420"/>
    <s v="Tubes Drains &amp; Related Supplies"/>
    <s v="NICU"/>
    <x v="0"/>
    <n v="1008"/>
    <n v="799.86"/>
    <n v="708.57"/>
    <n v="452.42"/>
    <n v="781.28"/>
    <n v="915.09"/>
    <n v="992.01"/>
    <n v="495.4"/>
    <n v="434.34"/>
    <n v="543.79999999999995"/>
    <n v="1412.25"/>
    <n v="1223.1300000000001"/>
    <n v="557.1"/>
    <n v="9315.2500000000018"/>
    <n v="666.03000000000009"/>
  </r>
  <r>
    <x v="11"/>
    <x v="3"/>
    <x v="0"/>
    <s v="3485101"/>
    <n v="721420"/>
    <s v="Sterilization Process Products"/>
    <s v="NICU"/>
    <x v="0"/>
    <n v="1009"/>
    <n v="0"/>
    <n v="0"/>
    <n v="252.79"/>
    <n v="206.44"/>
    <n v="40"/>
    <n v="0"/>
    <n v="126.14"/>
    <n v="-3.16"/>
    <n v="44.41"/>
    <n v="173.71"/>
    <n v="151.08000000000001"/>
    <n v="-14.99"/>
    <n v="976.42000000000007"/>
    <n v="166.07000000000002"/>
  </r>
  <r>
    <x v="11"/>
    <x v="3"/>
    <x v="0"/>
    <s v="3485101"/>
    <n v="721610"/>
    <s v="Supplies-Anesthesia - Nonbillable"/>
    <s v="NICU"/>
    <x v="0"/>
    <m/>
    <n v="6980.98"/>
    <n v="5631.3"/>
    <n v="3473.51"/>
    <n v="4442.1099999999997"/>
    <n v="3239.18"/>
    <n v="3287.43"/>
    <n v="869.49"/>
    <n v="5046.6499999999996"/>
    <n v="5508.5"/>
    <n v="6244.09"/>
    <n v="4382"/>
    <n v="4935.1400000000003"/>
    <n v="54040.380000000005"/>
    <n v="-553.14000000000033"/>
  </r>
  <r>
    <x v="11"/>
    <x v="3"/>
    <x v="0"/>
    <s v="3485101"/>
    <n v="721640"/>
    <s v="Supplies-IV Solutions/Supplies - Nonbillable"/>
    <s v="NICU"/>
    <x v="0"/>
    <m/>
    <n v="983.55"/>
    <n v="1477"/>
    <n v="599.55999999999995"/>
    <n v="610.30999999999995"/>
    <n v="526.64"/>
    <n v="852.61"/>
    <n v="479.49"/>
    <n v="589.39"/>
    <n v="1202.04"/>
    <n v="831.47"/>
    <n v="490.56"/>
    <n v="539.04"/>
    <n v="9181.66"/>
    <n v="-48.479999999999961"/>
  </r>
  <r>
    <x v="11"/>
    <x v="3"/>
    <x v="0"/>
    <s v="3485101"/>
    <n v="721650"/>
    <s v="Supplies-Pharmacy Drugs - Nonbillable"/>
    <s v="NICU"/>
    <x v="0"/>
    <m/>
    <n v="4.08"/>
    <n v="9.41"/>
    <n v="1.44"/>
    <n v="2.88"/>
    <n v="1.44"/>
    <n v="1.68"/>
    <n v="1.92"/>
    <n v="1.44"/>
    <n v="2.64"/>
    <n v="2.88"/>
    <n v="1.68"/>
    <n v="3.12"/>
    <n v="34.61"/>
    <n v="-1.4400000000000002"/>
  </r>
  <r>
    <x v="11"/>
    <x v="3"/>
    <x v="0"/>
    <s v="3485101"/>
    <n v="721710"/>
    <s v="Supplies-Laboratory - Nonbillable"/>
    <s v="NICU"/>
    <x v="0"/>
    <m/>
    <n v="820.15"/>
    <n v="463.03"/>
    <n v="771.69"/>
    <n v="1021.57"/>
    <n v="1179.54"/>
    <n v="593.71"/>
    <n v="1004.85"/>
    <n v="920.9"/>
    <n v="669.3"/>
    <n v="604.24"/>
    <n v="1381.71"/>
    <n v="754.43"/>
    <n v="10185.119999999999"/>
    <n v="627.28000000000009"/>
  </r>
  <r>
    <x v="11"/>
    <x v="3"/>
    <x v="0"/>
    <s v="3485101"/>
    <n v="721710"/>
    <s v="Reagents"/>
    <s v="NICU"/>
    <x v="0"/>
    <n v="1000"/>
    <n v="0"/>
    <n v="0"/>
    <n v="0"/>
    <n v="4"/>
    <n v="0"/>
    <n v="2"/>
    <n v="16"/>
    <n v="2"/>
    <n v="0"/>
    <n v="0"/>
    <n v="6"/>
    <n v="0"/>
    <n v="30"/>
    <n v="6"/>
  </r>
  <r>
    <x v="11"/>
    <x v="3"/>
    <x v="0"/>
    <s v="3485101"/>
    <n v="721810"/>
    <s v="Supplies-Dietary/Cafeteria"/>
    <s v="NICU"/>
    <x v="0"/>
    <m/>
    <n v="26737.26"/>
    <n v="39964.29"/>
    <n v="17554.43"/>
    <n v="12299.9"/>
    <n v="11875.9"/>
    <n v="16153.42"/>
    <n v="11690.55"/>
    <n v="19168.12"/>
    <n v="51479.17"/>
    <n v="38000.74"/>
    <n v="50252.959999999999"/>
    <n v="19166.68"/>
    <n v="314343.42"/>
    <n v="31086.28"/>
  </r>
  <r>
    <x v="11"/>
    <x v="3"/>
    <x v="0"/>
    <s v="3485101"/>
    <n v="721830"/>
    <s v="Supplies-Office"/>
    <s v="NICU"/>
    <x v="0"/>
    <m/>
    <n v="221.39"/>
    <n v="315.82"/>
    <n v="744.27"/>
    <n v="294.81"/>
    <n v="828.58"/>
    <n v="324.64"/>
    <n v="89.2"/>
    <n v="470.26"/>
    <n v="248.14"/>
    <n v="586.32000000000005"/>
    <n v="175.91"/>
    <n v="109.83"/>
    <n v="4409.1699999999992"/>
    <n v="66.08"/>
  </r>
  <r>
    <x v="11"/>
    <x v="3"/>
    <x v="0"/>
    <s v="3485101"/>
    <n v="721835"/>
    <s v="Supplies-Forms"/>
    <s v="NICU"/>
    <x v="0"/>
    <m/>
    <n v="0"/>
    <n v="0"/>
    <n v="0"/>
    <n v="0"/>
    <n v="420.63"/>
    <n v="119.63"/>
    <n v="76.209999999999994"/>
    <n v="0"/>
    <n v="182.08"/>
    <n v="35.619999999999997"/>
    <n v="59.62"/>
    <n v="26.4"/>
    <n v="920.19"/>
    <n v="33.22"/>
  </r>
  <r>
    <x v="11"/>
    <x v="3"/>
    <x v="0"/>
    <s v="3485101"/>
    <n v="721870"/>
    <s v="Supplies-Environmental Services"/>
    <s v="NICU"/>
    <x v="0"/>
    <m/>
    <n v="1289.5899999999999"/>
    <n v="1126.8699999999999"/>
    <n v="678.62"/>
    <n v="955.57"/>
    <n v="993.83"/>
    <n v="778.7"/>
    <n v="621.4"/>
    <n v="739.25"/>
    <n v="925.16"/>
    <n v="753.13"/>
    <n v="921.06"/>
    <n v="1342.58"/>
    <n v="11125.759999999998"/>
    <n v="-421.52"/>
  </r>
  <r>
    <x v="11"/>
    <x v="3"/>
    <x v="0"/>
    <s v="3485101"/>
    <n v="721880"/>
    <s v="Supplies-Linen"/>
    <s v="NICU"/>
    <x v="0"/>
    <m/>
    <n v="0"/>
    <n v="0"/>
    <n v="636.07000000000005"/>
    <n v="0"/>
    <n v="-58.35"/>
    <n v="0"/>
    <n v="413.98"/>
    <n v="916.59"/>
    <n v="0"/>
    <n v="-87.57"/>
    <n v="0"/>
    <n v="0"/>
    <n v="1820.72"/>
    <n v="0"/>
  </r>
  <r>
    <x v="11"/>
    <x v="3"/>
    <x v="0"/>
    <s v="3485101"/>
    <n v="721910"/>
    <s v="Supplies-Small Equipment"/>
    <s v="NICU"/>
    <x v="0"/>
    <m/>
    <n v="1339.79"/>
    <n v="2203.64"/>
    <n v="2711.49"/>
    <n v="1662.9"/>
    <n v="4453.4799999999996"/>
    <n v="5924.04"/>
    <n v="404.84"/>
    <n v="1112.79"/>
    <n v="359.19"/>
    <n v="1167.07"/>
    <n v="1980.5"/>
    <n v="512.32000000000005"/>
    <n v="23832.05"/>
    <n v="1468.1799999999998"/>
  </r>
  <r>
    <x v="11"/>
    <x v="3"/>
    <x v="0"/>
    <s v="3485101"/>
    <n v="721910"/>
    <s v="Instruments"/>
    <s v="NICU"/>
    <x v="0"/>
    <n v="1000"/>
    <n v="375.56"/>
    <n v="629.47"/>
    <n v="3.54"/>
    <n v="20.309999999999999"/>
    <n v="47.52"/>
    <n v="18.86"/>
    <n v="10.02"/>
    <n v="337.2"/>
    <n v="22.98"/>
    <n v="362.04"/>
    <n v="12.75"/>
    <n v="12.97"/>
    <n v="1853.2199999999998"/>
    <n v="-0.22000000000000064"/>
  </r>
  <r>
    <x v="11"/>
    <x v="3"/>
    <x v="0"/>
    <s v="3485101"/>
    <n v="721980"/>
    <s v="Supplies-Other"/>
    <s v="NICU"/>
    <x v="0"/>
    <m/>
    <n v="0"/>
    <n v="311.07"/>
    <n v="106.92"/>
    <n v="866.09"/>
    <n v="-20607.07"/>
    <n v="110.78"/>
    <n v="323.83"/>
    <n v="1066.0999999999999"/>
    <n v="1484.35"/>
    <n v="970.26"/>
    <n v="0"/>
    <n v="294.08999999999997"/>
    <n v="-15073.579999999998"/>
    <n v="-294.08999999999997"/>
  </r>
  <r>
    <x v="11"/>
    <x v="3"/>
    <x v="0"/>
    <s v="3485101"/>
    <n v="722000"/>
    <s v="Supplies-Freight Expense"/>
    <s v="NICU"/>
    <x v="0"/>
    <m/>
    <n v="115.56"/>
    <n v="370.95"/>
    <n v="891.78"/>
    <n v="236.05"/>
    <n v="198.25"/>
    <n v="431.02"/>
    <n v="588.77"/>
    <n v="96.2"/>
    <n v="655.08000000000004"/>
    <n v="780.42"/>
    <n v="763.32"/>
    <n v="368.4"/>
    <n v="5495.7999999999984"/>
    <n v="394.92000000000007"/>
  </r>
  <r>
    <x v="12"/>
    <x v="3"/>
    <x v="0"/>
    <s v="3485101"/>
    <n v="730020"/>
    <s v="Rental and Leases-Equipment (DO NOT USE)"/>
    <s v="NICU"/>
    <x v="0"/>
    <m/>
    <n v="0"/>
    <n v="79.38"/>
    <n v="68.040000000000006"/>
    <n v="68.040000000000006"/>
    <n v="56.7"/>
    <n v="68.040000000000006"/>
    <n v="79.38"/>
    <n v="56.7"/>
    <n v="68.040000000000006"/>
    <n v="68.040000000000006"/>
    <n v="11.35"/>
    <n v="11.35"/>
    <n v="635.06000000000006"/>
    <n v="0"/>
  </r>
  <r>
    <x v="12"/>
    <x v="3"/>
    <x v="0"/>
    <s v="3485101"/>
    <n v="730020"/>
    <s v="Rental and Leases-Copier Usage Fees (DO NOT USE)"/>
    <s v="NICU"/>
    <x v="0"/>
    <n v="5100"/>
    <n v="98.77"/>
    <n v="99.76"/>
    <n v="99.26"/>
    <n v="99.26"/>
    <n v="99.26"/>
    <n v="99.26"/>
    <n v="-403.6"/>
    <n v="41.32"/>
    <n v="41.23"/>
    <n v="41.41"/>
    <n v="41.32"/>
    <n v="50.26"/>
    <n v="407.51000000000005"/>
    <n v="-8.9399999999999977"/>
  </r>
  <r>
    <x v="15"/>
    <x v="3"/>
    <x v="0"/>
    <s v="3485101"/>
    <n v="731060"/>
    <s v="Cell Phones"/>
    <s v="NICU"/>
    <x v="0"/>
    <n v="1001"/>
    <n v="0"/>
    <n v="99.05"/>
    <n v="198.11"/>
    <n v="0"/>
    <n v="97.5"/>
    <n v="99.33"/>
    <n v="198.49"/>
    <n v="0"/>
    <n v="100.74"/>
    <n v="198.85"/>
    <n v="97.49"/>
    <n v="99.46"/>
    <n v="1189.02"/>
    <n v="-1.9699999999999989"/>
  </r>
  <r>
    <x v="15"/>
    <x v="3"/>
    <x v="0"/>
    <s v="3485101"/>
    <n v="731060"/>
    <s v="Pagers"/>
    <s v="NICU"/>
    <x v="0"/>
    <n v="1002"/>
    <n v="33.61"/>
    <n v="33.61"/>
    <n v="33.61"/>
    <n v="33.69"/>
    <n v="33.69"/>
    <n v="0"/>
    <n v="67.38"/>
    <n v="33.69"/>
    <n v="33.69"/>
    <n v="33.69"/>
    <n v="33.69"/>
    <n v="33.69"/>
    <n v="404.03999999999996"/>
    <n v="0"/>
  </r>
  <r>
    <x v="16"/>
    <x v="3"/>
    <x v="0"/>
    <s v="3485101"/>
    <n v="732020"/>
    <s v="Repairs--Clin Equip-Parts-Internal to CHI Programs"/>
    <s v="NICU"/>
    <x v="0"/>
    <m/>
    <n v="0"/>
    <n v="0"/>
    <n v="0"/>
    <n v="0"/>
    <n v="0"/>
    <n v="0"/>
    <n v="0"/>
    <n v="0"/>
    <n v="217.56"/>
    <n v="0"/>
    <n v="0"/>
    <n v="-0.66"/>
    <n v="216.9"/>
    <n v="0.66"/>
  </r>
  <r>
    <x v="16"/>
    <x v="3"/>
    <x v="0"/>
    <s v="3485101"/>
    <n v="732030"/>
    <s v="Repairs---Other"/>
    <s v="NICU"/>
    <x v="0"/>
    <m/>
    <n v="1675.02"/>
    <n v="0"/>
    <n v="0"/>
    <n v="0"/>
    <n v="0"/>
    <n v="0"/>
    <n v="0"/>
    <n v="0"/>
    <n v="0"/>
    <n v="0"/>
    <n v="0"/>
    <n v="0"/>
    <n v="1675.02"/>
    <n v="0"/>
  </r>
  <r>
    <x v="13"/>
    <x v="3"/>
    <x v="0"/>
    <s v="3485101"/>
    <n v="735060"/>
    <s v="Depreciation-Fixed Equipment"/>
    <s v="NICU"/>
    <x v="0"/>
    <m/>
    <n v="8.0500000000000007"/>
    <n v="8.0500000000000007"/>
    <n v="8.0500000000000007"/>
    <n v="8.0500000000000007"/>
    <n v="8.0500000000000007"/>
    <n v="8.0500000000000007"/>
    <n v="8.0500000000000007"/>
    <n v="8.0500000000000007"/>
    <n v="8.0500000000000007"/>
    <n v="8.0500000000000007"/>
    <n v="8.06"/>
    <n v="8.0500000000000007"/>
    <n v="96.609999999999985"/>
    <n v="9.9999999999997868E-3"/>
  </r>
  <r>
    <x v="13"/>
    <x v="3"/>
    <x v="0"/>
    <s v="3485101"/>
    <n v="735070"/>
    <s v="Depreciation-Movable Equipment"/>
    <s v="NICU"/>
    <x v="0"/>
    <m/>
    <n v="14383.01"/>
    <n v="14279.45"/>
    <n v="14279.45"/>
    <n v="14253.93"/>
    <n v="14253.98"/>
    <n v="14253.91"/>
    <n v="14765.68"/>
    <n v="14477.73"/>
    <n v="14477.89"/>
    <n v="14424.54"/>
    <n v="14371.62"/>
    <n v="14371.36"/>
    <n v="172592.55"/>
    <n v="0.26000000000021828"/>
  </r>
  <r>
    <x v="0"/>
    <x v="3"/>
    <x v="0"/>
    <s v="3485101"/>
    <n v="740010"/>
    <s v="Education-Materials"/>
    <s v="NICU"/>
    <x v="0"/>
    <m/>
    <n v="0"/>
    <n v="0"/>
    <n v="0"/>
    <n v="0"/>
    <n v="0"/>
    <n v="0"/>
    <n v="0"/>
    <n v="0"/>
    <n v="0"/>
    <n v="0"/>
    <n v="0"/>
    <n v="842.64"/>
    <n v="842.64"/>
    <n v="-842.64"/>
  </r>
  <r>
    <x v="0"/>
    <x v="3"/>
    <x v="0"/>
    <s v="3485101"/>
    <n v="740020"/>
    <s v="Education-Registration Fees"/>
    <s v="NICU"/>
    <x v="0"/>
    <m/>
    <n v="0"/>
    <n v="1225"/>
    <n v="350"/>
    <n v="700"/>
    <n v="700"/>
    <n v="25447.34"/>
    <n v="-24650"/>
    <n v="875"/>
    <n v="525"/>
    <n v="525"/>
    <n v="0"/>
    <n v="1225"/>
    <n v="6922.34"/>
    <n v="-1225"/>
  </r>
  <r>
    <x v="0"/>
    <x v="3"/>
    <x v="0"/>
    <s v="3485101"/>
    <n v="743030"/>
    <s v="Subscriptions--Institutional"/>
    <s v="NICU"/>
    <x v="0"/>
    <m/>
    <n v="0"/>
    <n v="0"/>
    <n v="0"/>
    <n v="0"/>
    <n v="383.79"/>
    <n v="0"/>
    <n v="593"/>
    <n v="0"/>
    <n v="0"/>
    <n v="0"/>
    <n v="0"/>
    <n v="0"/>
    <n v="976.79"/>
    <n v="0"/>
  </r>
  <r>
    <x v="0"/>
    <x v="3"/>
    <x v="0"/>
    <s v="3485101"/>
    <n v="749510"/>
    <s v="Miscellaneous Expenses"/>
    <s v="NICU"/>
    <x v="0"/>
    <m/>
    <n v="-614.66999999999996"/>
    <n v="39.049999999999997"/>
    <n v="-39.049999999999997"/>
    <n v="3261.13"/>
    <n v="116.31"/>
    <n v="2680.8"/>
    <n v="24877.25"/>
    <n v="1934.96"/>
    <n v="-60.86"/>
    <n v="394.44"/>
    <n v="2600.0500000000002"/>
    <n v="-2577.06"/>
    <n v="32612.349999999995"/>
    <n v="5177.1100000000006"/>
  </r>
  <r>
    <x v="0"/>
    <x v="3"/>
    <x v="0"/>
    <s v="3485101"/>
    <n v="749510"/>
    <s v="RICE Rewards"/>
    <s v="NICU"/>
    <x v="0"/>
    <n v="5100"/>
    <n v="0"/>
    <n v="0"/>
    <n v="0"/>
    <n v="0"/>
    <n v="0"/>
    <n v="0"/>
    <n v="10600"/>
    <n v="0"/>
    <n v="0"/>
    <n v="0"/>
    <n v="1767.04"/>
    <n v="959.27"/>
    <n v="13326.310000000001"/>
    <n v="807.77"/>
  </r>
  <r>
    <x v="0"/>
    <x v="3"/>
    <x v="0"/>
    <s v="3485101"/>
    <n v="749530"/>
    <s v="Travel"/>
    <s v="NICU"/>
    <x v="0"/>
    <m/>
    <n v="0"/>
    <n v="0"/>
    <n v="0"/>
    <n v="0"/>
    <n v="0"/>
    <n v="0"/>
    <n v="0"/>
    <n v="60"/>
    <n v="0"/>
    <n v="0"/>
    <n v="0"/>
    <n v="2405.1"/>
    <n v="2465.1"/>
    <n v="-2405.1"/>
  </r>
  <r>
    <x v="0"/>
    <x v="3"/>
    <x v="0"/>
    <s v="3485101"/>
    <n v="749530"/>
    <s v="Mileage"/>
    <s v="NICU"/>
    <x v="0"/>
    <n v="1001"/>
    <n v="0"/>
    <n v="0"/>
    <n v="0"/>
    <n v="44.69"/>
    <n v="0"/>
    <n v="0"/>
    <n v="0"/>
    <n v="60.9"/>
    <n v="0"/>
    <n v="0"/>
    <n v="0"/>
    <n v="0"/>
    <n v="105.59"/>
    <n v="0"/>
  </r>
  <r>
    <x v="0"/>
    <x v="3"/>
    <x v="0"/>
    <s v="3485101"/>
    <n v="749535"/>
    <s v="Meetings"/>
    <s v="NICU"/>
    <x v="0"/>
    <m/>
    <n v="0"/>
    <n v="0"/>
    <n v="0"/>
    <n v="0"/>
    <n v="0"/>
    <n v="459.08"/>
    <n v="1074.9100000000001"/>
    <n v="593.77"/>
    <n v="1084.68"/>
    <n v="0"/>
    <n v="2246.52"/>
    <n v="171.96"/>
    <n v="5630.920000000001"/>
    <n v="2074.56"/>
  </r>
  <r>
    <x v="18"/>
    <x v="3"/>
    <x v="0"/>
    <s v="3500101"/>
    <n v="400010"/>
    <s v="Acute I/P Svcs Rev--Medicare"/>
    <s v="Family Birthing Unit"/>
    <x v="0"/>
    <n v="1100"/>
    <n v="-66774.33"/>
    <n v="-78294.06"/>
    <n v="-45434.720000000001"/>
    <n v="-74750.149999999994"/>
    <n v="-32672.32"/>
    <n v="-24058.65"/>
    <n v="-229874.17"/>
    <n v="-23545.49"/>
    <n v="-152181.68"/>
    <n v="-99746.23"/>
    <n v="-16480.18"/>
    <n v="-25240"/>
    <n v="-869051.9800000001"/>
    <n v="8759.82"/>
  </r>
  <r>
    <x v="18"/>
    <x v="3"/>
    <x v="0"/>
    <s v="3500101"/>
    <n v="400010"/>
    <s v="Acute I/P Svcs Rev--Medicaid"/>
    <s v="Family Birthing Unit"/>
    <x v="0"/>
    <n v="1200"/>
    <n v="-4685383.6799999997"/>
    <n v="-4889320.6100000003"/>
    <n v="-4933952.9400000004"/>
    <n v="-4782568.16"/>
    <n v="-4797772.08"/>
    <n v="-3744503.03"/>
    <n v="-4128501.22"/>
    <n v="-3220963.32"/>
    <n v="-5582394"/>
    <n v="-4833495.7699999996"/>
    <n v="-4702071.62"/>
    <n v="-5497823.5300000003"/>
    <n v="-55798749.960000001"/>
    <n v="795751.91000000015"/>
  </r>
  <r>
    <x v="18"/>
    <x v="3"/>
    <x v="0"/>
    <s v="3500101"/>
    <n v="400010"/>
    <s v="Acute I/P Svcs Rev--Comm Insurance"/>
    <s v="Family Birthing Unit"/>
    <x v="0"/>
    <n v="1300"/>
    <n v="-220181.43"/>
    <n v="-219904.28"/>
    <n v="-281781.31"/>
    <n v="-539867.38"/>
    <n v="-250411.39"/>
    <n v="-194986.97"/>
    <n v="-235375.17"/>
    <n v="-187686.32"/>
    <n v="-118087.39"/>
    <n v="-134859.67000000001"/>
    <n v="-445481.04"/>
    <n v="-418046.05"/>
    <n v="-3246668.4"/>
    <n v="-27434.989999999991"/>
  </r>
  <r>
    <x v="18"/>
    <x v="3"/>
    <x v="0"/>
    <s v="3500101"/>
    <n v="400010"/>
    <s v="Acute I/P Svcs Rev--BCBS Comm"/>
    <s v="Family Birthing Unit"/>
    <x v="0"/>
    <n v="1301"/>
    <n v="-755172.18"/>
    <n v="-1213244.29"/>
    <n v="-844295.49"/>
    <n v="-880329.99"/>
    <n v="-810702.33"/>
    <n v="-631627.06000000006"/>
    <n v="-601933.01"/>
    <n v="-910037.7"/>
    <n v="-1307249.45"/>
    <n v="-776047.96"/>
    <n v="-1114516.71"/>
    <n v="-1283183.3899999999"/>
    <n v="-11128339.560000002"/>
    <n v="168666.67999999993"/>
  </r>
  <r>
    <x v="18"/>
    <x v="3"/>
    <x v="0"/>
    <s v="3500101"/>
    <n v="400010"/>
    <s v="Acute I/P Svcs Rev--Managed Care"/>
    <s v="Family Birthing Unit"/>
    <x v="0"/>
    <n v="1400"/>
    <n v="-4519796.91"/>
    <n v="-5095144.1900000004"/>
    <n v="-4647850.45"/>
    <n v="-4071031.45"/>
    <n v="-3945314.08"/>
    <n v="-4343920.4800000004"/>
    <n v="-3402461.6"/>
    <n v="-4000255.45"/>
    <n v="-5095004.6900000004"/>
    <n v="-4643052.5999999996"/>
    <n v="-4512809.88"/>
    <n v="-4350267.2699999996"/>
    <n v="-52626909.049999997"/>
    <n v="-162542.61000000034"/>
  </r>
  <r>
    <x v="18"/>
    <x v="3"/>
    <x v="0"/>
    <s v="3500101"/>
    <n v="400010"/>
    <s v="Acute I/P Svcs Rev--Self Pay"/>
    <s v="Family Birthing Unit"/>
    <x v="0"/>
    <n v="1500"/>
    <n v="-37392.019999999997"/>
    <n v="-30037.68"/>
    <n v="-37302.300000000003"/>
    <n v="-29298.19"/>
    <n v="-109227.71"/>
    <n v="-191514.44"/>
    <n v="-146867.12"/>
    <n v="-133430.07999999999"/>
    <n v="30007.74"/>
    <n v="12794.58"/>
    <n v="-40072.99"/>
    <n v="-72280.13"/>
    <n v="-784620.34"/>
    <n v="32207.140000000007"/>
  </r>
  <r>
    <x v="18"/>
    <x v="3"/>
    <x v="0"/>
    <s v="3500101"/>
    <n v="400010"/>
    <s v="Acute I/P Svcs Rev--Other"/>
    <s v="Family Birthing Unit"/>
    <x v="0"/>
    <n v="1700"/>
    <n v="-713544.94"/>
    <n v="-760654.76"/>
    <n v="-533233.79"/>
    <n v="-559296.87"/>
    <n v="-955474.88"/>
    <n v="-962182.15"/>
    <n v="-645749.80000000005"/>
    <n v="-555603.15"/>
    <n v="-574337.93999999994"/>
    <n v="-569560.81999999995"/>
    <n v="-573317.98"/>
    <n v="-520521.7"/>
    <n v="-7923478.7800000003"/>
    <n v="-52796.27999999997"/>
  </r>
  <r>
    <x v="19"/>
    <x v="3"/>
    <x v="0"/>
    <s v="3500101"/>
    <n v="400020"/>
    <s v="O/P Care Svcs Rev--Medicare"/>
    <s v="Family Birthing Unit"/>
    <x v="0"/>
    <n v="1100"/>
    <n v="-3023.21"/>
    <n v="-9545.06"/>
    <n v="-1005.75"/>
    <n v="-21322.73"/>
    <n v="-7731.91"/>
    <n v="-1923"/>
    <n v="-4570.43"/>
    <n v="-10459.9"/>
    <n v="-2891.68"/>
    <n v="-1314.4"/>
    <n v="-4866.75"/>
    <n v="-4402.16"/>
    <n v="-73056.98000000001"/>
    <n v="-464.59000000000015"/>
  </r>
  <r>
    <x v="19"/>
    <x v="3"/>
    <x v="0"/>
    <s v="3500101"/>
    <n v="400020"/>
    <s v="O/P Care Svcs Rev--Medicaid"/>
    <s v="Family Birthing Unit"/>
    <x v="0"/>
    <n v="1200"/>
    <n v="-325536.28000000003"/>
    <n v="-284904.23"/>
    <n v="-267686.96000000002"/>
    <n v="-225027.36"/>
    <n v="-297124.03999999998"/>
    <n v="-293845.18"/>
    <n v="-317479.8"/>
    <n v="-248723.49"/>
    <n v="-276608.88"/>
    <n v="-322879.46000000002"/>
    <n v="-407084.2"/>
    <n v="-331122.92"/>
    <n v="-3598022.8"/>
    <n v="-75961.280000000028"/>
  </r>
  <r>
    <x v="19"/>
    <x v="3"/>
    <x v="0"/>
    <s v="3500101"/>
    <n v="400020"/>
    <s v="O/P Care Svcs Rev--Comm Insurance"/>
    <s v="Family Birthing Unit"/>
    <x v="0"/>
    <n v="1300"/>
    <n v="-20830.09"/>
    <n v="-5015.25"/>
    <n v="-29655.03"/>
    <n v="-6378"/>
    <n v="-3300.09"/>
    <n v="0"/>
    <n v="-10025.65"/>
    <n v="-14072.52"/>
    <n v="-10433.25"/>
    <n v="-44674.89"/>
    <n v="-7617.39"/>
    <n v="-7981.11"/>
    <n v="-159983.26999999999"/>
    <n v="363.71999999999935"/>
  </r>
  <r>
    <x v="19"/>
    <x v="3"/>
    <x v="0"/>
    <s v="3500101"/>
    <n v="400020"/>
    <s v="O/P Care Svcs Rev--BCBS Comm"/>
    <s v="Family Birthing Unit"/>
    <x v="0"/>
    <n v="1301"/>
    <n v="-49644.72"/>
    <n v="-44776.639999999999"/>
    <n v="-23302.47"/>
    <n v="-29322.82"/>
    <n v="-59727.6"/>
    <n v="-34390.93"/>
    <n v="-33543.14"/>
    <n v="-39323.32"/>
    <n v="-52904.42"/>
    <n v="-26478.21"/>
    <n v="-38364.400000000001"/>
    <n v="-34221.199999999997"/>
    <n v="-465999.87000000005"/>
    <n v="-4143.2000000000044"/>
  </r>
  <r>
    <x v="19"/>
    <x v="3"/>
    <x v="0"/>
    <s v="3500101"/>
    <n v="400020"/>
    <s v="O/P Care Svcs Rev--Managed Care"/>
    <s v="Family Birthing Unit"/>
    <x v="0"/>
    <n v="1400"/>
    <n v="-187786.64"/>
    <n v="-211704.74"/>
    <n v="-160704.41"/>
    <n v="-128643.32"/>
    <n v="-174354.99"/>
    <n v="-174385.54"/>
    <n v="-229761.39"/>
    <n v="-188551.02"/>
    <n v="-169791.42"/>
    <n v="-214936.72"/>
    <n v="-176214.53"/>
    <n v="-164446.01"/>
    <n v="-2181280.7300000004"/>
    <n v="-11768.51999999999"/>
  </r>
  <r>
    <x v="19"/>
    <x v="3"/>
    <x v="0"/>
    <s v="3500101"/>
    <n v="400020"/>
    <s v="O/P Care Svcs Rev--Self Pay"/>
    <s v="Family Birthing Unit"/>
    <x v="0"/>
    <n v="1500"/>
    <n v="-7699.92"/>
    <n v="-10125.5"/>
    <n v="-5389.15"/>
    <n v="-7951.96"/>
    <n v="-9107.5"/>
    <n v="0"/>
    <n v="-6414.05"/>
    <n v="2554.5500000000002"/>
    <n v="-8106.08"/>
    <n v="1281"/>
    <n v="-907.32"/>
    <n v="-3585.75"/>
    <n v="-55451.68"/>
    <n v="2678.43"/>
  </r>
  <r>
    <x v="19"/>
    <x v="3"/>
    <x v="0"/>
    <s v="3500101"/>
    <n v="400020"/>
    <s v="O/P Care Svcs Rev--Other"/>
    <s v="Family Birthing Unit"/>
    <x v="0"/>
    <n v="1700"/>
    <n v="-55588.86"/>
    <n v="-70534.22"/>
    <n v="-36466.21"/>
    <n v="-39777.54"/>
    <n v="-74815.199999999997"/>
    <n v="-36074.910000000003"/>
    <n v="-45311.16"/>
    <n v="-34550.07"/>
    <n v="-59400.160000000003"/>
    <n v="-33363.86"/>
    <n v="-61021.38"/>
    <n v="-36179.01"/>
    <n v="-583082.58000000007"/>
    <n v="-24842.369999999995"/>
  </r>
  <r>
    <x v="14"/>
    <x v="3"/>
    <x v="0"/>
    <s v="3500101"/>
    <n v="600050"/>
    <s v="Miscellaneous Revenue"/>
    <s v="Family Birthing Unit"/>
    <x v="0"/>
    <m/>
    <n v="-3000"/>
    <n v="-1285.5999999999999"/>
    <n v="-845.12"/>
    <n v="-866.55"/>
    <n v="-794.38"/>
    <n v="0"/>
    <n v="-671.34"/>
    <n v="0"/>
    <n v="-745.96"/>
    <n v="-855.12"/>
    <n v="-804.19"/>
    <n v="-639.87"/>
    <n v="-10508.130000000003"/>
    <n v="-164.32000000000005"/>
  </r>
  <r>
    <x v="20"/>
    <x v="3"/>
    <x v="0"/>
    <s v="3500101"/>
    <n v="610010"/>
    <s v="Foundation Distributions"/>
    <s v="Family Birthing Unit"/>
    <x v="0"/>
    <n v="1175"/>
    <n v="0"/>
    <n v="0"/>
    <n v="0"/>
    <n v="0"/>
    <n v="0"/>
    <n v="-889.5"/>
    <n v="0"/>
    <n v="0"/>
    <n v="0"/>
    <n v="0"/>
    <n v="0"/>
    <n v="0"/>
    <n v="-889.5"/>
    <n v="0"/>
  </r>
  <r>
    <x v="5"/>
    <x v="3"/>
    <x v="0"/>
    <s v="3500101"/>
    <n v="700014"/>
    <s v="Salaries-Management-Productive"/>
    <s v="Family Birthing Unit"/>
    <x v="0"/>
    <m/>
    <n v="43033.08"/>
    <n v="36613.279999999999"/>
    <n v="38104.61"/>
    <n v="46358.01"/>
    <n v="26787.87"/>
    <n v="41610.68"/>
    <n v="44423.199999999997"/>
    <n v="38975.980000000003"/>
    <n v="40957.71"/>
    <n v="41943.45"/>
    <n v="39571.480000000003"/>
    <n v="37907.61"/>
    <n v="476286.95999999996"/>
    <n v="1663.8700000000026"/>
  </r>
  <r>
    <x v="5"/>
    <x v="3"/>
    <x v="0"/>
    <s v="3500101"/>
    <n v="700014"/>
    <s v="Salaries-Management-Other"/>
    <s v="Family Birthing Unit"/>
    <x v="0"/>
    <n v="2000"/>
    <n v="0"/>
    <n v="0"/>
    <n v="0"/>
    <n v="0"/>
    <n v="0"/>
    <n v="30"/>
    <n v="0"/>
    <n v="0"/>
    <n v="0"/>
    <n v="0"/>
    <n v="0"/>
    <n v="0"/>
    <n v="30"/>
    <n v="0"/>
  </r>
  <r>
    <x v="5"/>
    <x v="3"/>
    <x v="0"/>
    <s v="3500101"/>
    <n v="700026"/>
    <s v="Salaries-RN-Productive"/>
    <s v="Family Birthing Unit"/>
    <x v="0"/>
    <m/>
    <n v="581709.93000000005"/>
    <n v="598653.67000000004"/>
    <n v="583707.37"/>
    <n v="574043.06000000006"/>
    <n v="618302.74"/>
    <n v="550490.79"/>
    <n v="553302.23"/>
    <n v="504150.58"/>
    <n v="654405.06000000006"/>
    <n v="600913.34"/>
    <n v="643637.46"/>
    <n v="639744.71"/>
    <n v="7103060.9399999995"/>
    <n v="3892.75"/>
  </r>
  <r>
    <x v="5"/>
    <x v="3"/>
    <x v="0"/>
    <s v="3500101"/>
    <n v="700026"/>
    <s v="Salaries-RN-OT"/>
    <s v="Family Birthing Unit"/>
    <x v="0"/>
    <n v="1000"/>
    <n v="14196.59"/>
    <n v="16336.15"/>
    <n v="21785.77"/>
    <n v="15139.92"/>
    <n v="14876.1"/>
    <n v="7699.49"/>
    <n v="8722.83"/>
    <n v="9380.06"/>
    <n v="15290.8"/>
    <n v="15624.75"/>
    <n v="14367.2"/>
    <n v="15711.03"/>
    <n v="169130.69000000003"/>
    <n v="-1343.83"/>
  </r>
  <r>
    <x v="5"/>
    <x v="3"/>
    <x v="0"/>
    <s v="3500101"/>
    <n v="700026"/>
    <s v="Salaries-RN-Other"/>
    <s v="Family Birthing Unit"/>
    <x v="0"/>
    <n v="2000"/>
    <n v="59975.94"/>
    <n v="59575.31"/>
    <n v="58362.99"/>
    <n v="58207.360000000001"/>
    <n v="62813.09"/>
    <n v="56692.41"/>
    <n v="58450.27"/>
    <n v="53586.37"/>
    <n v="63003.35"/>
    <n v="58216.15"/>
    <n v="62217.79"/>
    <n v="61408.43"/>
    <n v="712509.46000000008"/>
    <n v="809.36000000000058"/>
  </r>
  <r>
    <x v="5"/>
    <x v="3"/>
    <x v="0"/>
    <s v="3500101"/>
    <n v="700032"/>
    <s v="Salaries-Other Pat Care Providers-Productive"/>
    <s v="Family Birthing Unit"/>
    <x v="0"/>
    <m/>
    <n v="80297.759999999995"/>
    <n v="78448.27"/>
    <n v="75224.88"/>
    <n v="85234.880000000005"/>
    <n v="74317.240000000005"/>
    <n v="74259.05"/>
    <n v="71848.17"/>
    <n v="64698.82"/>
    <n v="81130.69"/>
    <n v="73637.16"/>
    <n v="79310.559999999998"/>
    <n v="91671.6"/>
    <n v="930079.08"/>
    <n v="-12361.040000000008"/>
  </r>
  <r>
    <x v="5"/>
    <x v="3"/>
    <x v="0"/>
    <s v="3500101"/>
    <n v="700032"/>
    <s v="Salaries-Other Pat Care Providers-OT"/>
    <s v="Family Birthing Unit"/>
    <x v="0"/>
    <n v="1000"/>
    <n v="29.42"/>
    <n v="406.62"/>
    <n v="1445.85"/>
    <n v="2931.01"/>
    <n v="-190"/>
    <n v="152.38"/>
    <n v="440.58"/>
    <n v="32.58"/>
    <n v="1544.07"/>
    <n v="248.94"/>
    <n v="-215.19"/>
    <n v="728.6"/>
    <n v="7554.86"/>
    <n v="-943.79"/>
  </r>
  <r>
    <x v="5"/>
    <x v="3"/>
    <x v="0"/>
    <s v="3500101"/>
    <n v="700032"/>
    <s v="Salaries-Other Pat Care Providers-Other"/>
    <s v="Family Birthing Unit"/>
    <x v="0"/>
    <n v="2000"/>
    <n v="4807.2700000000004"/>
    <n v="4633.4399999999996"/>
    <n v="4488.05"/>
    <n v="4249.62"/>
    <n v="4232.38"/>
    <n v="4104.75"/>
    <n v="4334.6400000000003"/>
    <n v="4264.6400000000003"/>
    <n v="4515.2700000000004"/>
    <n v="3722.13"/>
    <n v="4401.75"/>
    <n v="5254.84"/>
    <n v="53008.78"/>
    <n v="-853.09000000000015"/>
  </r>
  <r>
    <x v="5"/>
    <x v="3"/>
    <x v="0"/>
    <s v="3500101"/>
    <n v="700034"/>
    <s v="Salaries-Tech/Professional-Productive"/>
    <s v="Family Birthing Unit"/>
    <x v="0"/>
    <m/>
    <n v="26877.57"/>
    <n v="26948.44"/>
    <n v="29001.62"/>
    <n v="31724.37"/>
    <n v="25794.55"/>
    <n v="30011.57"/>
    <n v="27899.88"/>
    <n v="24934.77"/>
    <n v="29702.65"/>
    <n v="28436.92"/>
    <n v="27455.4"/>
    <n v="30883.5"/>
    <n v="339671.24"/>
    <n v="-3428.0999999999985"/>
  </r>
  <r>
    <x v="5"/>
    <x v="3"/>
    <x v="0"/>
    <s v="3500101"/>
    <n v="700034"/>
    <s v="Salaries-Tech/Professional-OT"/>
    <s v="Family Birthing Unit"/>
    <x v="0"/>
    <n v="1000"/>
    <n v="652.79"/>
    <n v="690.98"/>
    <n v="1229.6600000000001"/>
    <n v="1233.54"/>
    <n v="-422.44"/>
    <n v="95.47"/>
    <n v="498.3"/>
    <n v="104.76"/>
    <n v="2334.6"/>
    <n v="215.17"/>
    <n v="1774.31"/>
    <n v="-126.71"/>
    <n v="8280.43"/>
    <n v="1901.02"/>
  </r>
  <r>
    <x v="5"/>
    <x v="3"/>
    <x v="0"/>
    <s v="3500101"/>
    <n v="700034"/>
    <s v="Salaries-Tech/Professional-Other"/>
    <s v="Family Birthing Unit"/>
    <x v="0"/>
    <n v="2000"/>
    <n v="1982.85"/>
    <n v="1903.22"/>
    <n v="1808.7"/>
    <n v="2237.96"/>
    <n v="1679.44"/>
    <n v="1915.6"/>
    <n v="1921.83"/>
    <n v="1461.7"/>
    <n v="2469.2199999999998"/>
    <n v="2323.98"/>
    <n v="1978.04"/>
    <n v="1884.55"/>
    <n v="23567.09"/>
    <n v="93.490000000000009"/>
  </r>
  <r>
    <x v="5"/>
    <x v="3"/>
    <x v="0"/>
    <s v="3500101"/>
    <n v="700038"/>
    <s v="Salaries-Service/Support-Productive"/>
    <s v="Family Birthing Unit"/>
    <x v="0"/>
    <m/>
    <n v="18021.36"/>
    <n v="14960.09"/>
    <n v="16728.400000000001"/>
    <n v="19469.87"/>
    <n v="15816.94"/>
    <n v="17264.14"/>
    <n v="17325.169999999998"/>
    <n v="16527.59"/>
    <n v="19753.23"/>
    <n v="18702.09"/>
    <n v="17339.36"/>
    <n v="16808.599999999999"/>
    <n v="208716.84"/>
    <n v="530.76000000000204"/>
  </r>
  <r>
    <x v="5"/>
    <x v="3"/>
    <x v="0"/>
    <s v="3500101"/>
    <n v="700038"/>
    <s v="Salaries-Service/Support-OT"/>
    <s v="Family Birthing Unit"/>
    <x v="0"/>
    <n v="1000"/>
    <n v="0"/>
    <n v="264.73"/>
    <n v="101.37"/>
    <n v="104.36"/>
    <n v="168.1"/>
    <n v="54.59"/>
    <n v="0"/>
    <n v="0"/>
    <n v="0"/>
    <n v="0"/>
    <n v="33.07"/>
    <n v="94.5"/>
    <n v="820.72000000000014"/>
    <n v="-61.43"/>
  </r>
  <r>
    <x v="5"/>
    <x v="3"/>
    <x v="0"/>
    <s v="3500101"/>
    <n v="700038"/>
    <s v="Salaries-Service/Support-Other"/>
    <s v="Family Birthing Unit"/>
    <x v="0"/>
    <n v="2000"/>
    <n v="1082.25"/>
    <n v="894.77"/>
    <n v="902.49"/>
    <n v="1032.24"/>
    <n v="780.35"/>
    <n v="930.96"/>
    <n v="1045.67"/>
    <n v="941.57"/>
    <n v="1174.31"/>
    <n v="1103.9000000000001"/>
    <n v="1089.49"/>
    <n v="1212.55"/>
    <n v="12190.55"/>
    <n v="-123.05999999999995"/>
  </r>
  <r>
    <x v="5"/>
    <x v="3"/>
    <x v="0"/>
    <s v="3500101"/>
    <n v="700054"/>
    <s v="Salaries-Management-Non-productive"/>
    <s v="Family Birthing Unit"/>
    <x v="0"/>
    <m/>
    <n v="2788.43"/>
    <n v="9210.32"/>
    <n v="6241.42"/>
    <n v="482.74"/>
    <n v="18776.64"/>
    <n v="6476.3"/>
    <n v="2735.17"/>
    <n v="3614.43"/>
    <n v="6196.26"/>
    <n v="3687.91"/>
    <n v="7582.45"/>
    <n v="7725.91"/>
    <n v="75517.98000000001"/>
    <n v="-143.46000000000004"/>
  </r>
  <r>
    <x v="5"/>
    <x v="3"/>
    <x v="0"/>
    <s v="3500101"/>
    <n v="700054"/>
    <s v="Salaries-Management-NonProd-Other"/>
    <s v="Family Birthing Unit"/>
    <x v="0"/>
    <n v="2000"/>
    <n v="0"/>
    <n v="0"/>
    <n v="0"/>
    <n v="0"/>
    <n v="0"/>
    <n v="8456.52"/>
    <n v="-7825.35"/>
    <n v="-451.04"/>
    <n v="0"/>
    <n v="0"/>
    <n v="0"/>
    <n v="0"/>
    <n v="180.13000000000005"/>
    <n v="0"/>
  </r>
  <r>
    <x v="5"/>
    <x v="3"/>
    <x v="0"/>
    <s v="3500101"/>
    <n v="700066"/>
    <s v="Salaries-RN-Non-productive"/>
    <s v="Family Birthing Unit"/>
    <x v="0"/>
    <m/>
    <n v="116433.02"/>
    <n v="82331.19"/>
    <n v="96295.07"/>
    <n v="112736.37"/>
    <n v="80829.179999999993"/>
    <n v="120692.18"/>
    <n v="112223.34"/>
    <n v="109124.59"/>
    <n v="62907.14"/>
    <n v="83456.429999999993"/>
    <n v="86863.88"/>
    <n v="79320.070000000007"/>
    <n v="1143212.4600000002"/>
    <n v="7543.8099999999977"/>
  </r>
  <r>
    <x v="5"/>
    <x v="3"/>
    <x v="0"/>
    <s v="3500101"/>
    <n v="700066"/>
    <s v="Salaries-RN-NonProd-Other"/>
    <s v="Family Birthing Unit"/>
    <x v="0"/>
    <n v="2000"/>
    <n v="8356.07"/>
    <n v="5869.52"/>
    <n v="6607.75"/>
    <n v="8978.44"/>
    <n v="13392.81"/>
    <n v="18815.650000000001"/>
    <n v="7954.01"/>
    <n v="-9367.23"/>
    <n v="5336.31"/>
    <n v="6207.58"/>
    <n v="7064.55"/>
    <n v="5358.11"/>
    <n v="84573.57"/>
    <n v="1706.4400000000005"/>
  </r>
  <r>
    <x v="5"/>
    <x v="3"/>
    <x v="0"/>
    <s v="3500101"/>
    <n v="700072"/>
    <s v="Salaries-Other Pat Care Providers-Non-productive"/>
    <s v="Family Birthing Unit"/>
    <x v="0"/>
    <m/>
    <n v="7811.56"/>
    <n v="12637.09"/>
    <n v="8131.27"/>
    <n v="8719.89"/>
    <n v="9528.2000000000007"/>
    <n v="16328.02"/>
    <n v="17287.240000000002"/>
    <n v="12314.01"/>
    <n v="10805.89"/>
    <n v="9268.49"/>
    <n v="9711.64"/>
    <n v="14521.17"/>
    <n v="137064.47"/>
    <n v="-4809.5300000000007"/>
  </r>
  <r>
    <x v="5"/>
    <x v="3"/>
    <x v="0"/>
    <s v="3500101"/>
    <n v="700072"/>
    <s v="Salaries-Other Pat Care Providers-NonProd-Other"/>
    <s v="Family Birthing Unit"/>
    <x v="0"/>
    <n v="2000"/>
    <n v="408.62"/>
    <n v="580.73"/>
    <n v="226.78"/>
    <n v="410.62"/>
    <n v="1369.61"/>
    <n v="630.08000000000004"/>
    <n v="527.94000000000005"/>
    <n v="-657"/>
    <n v="293.64"/>
    <n v="324.41000000000003"/>
    <n v="259.36"/>
    <n v="493.3"/>
    <n v="4868.0899999999992"/>
    <n v="-233.94"/>
  </r>
  <r>
    <x v="5"/>
    <x v="3"/>
    <x v="0"/>
    <s v="3500101"/>
    <n v="700074"/>
    <s v="Salaries-Tech/Professional-Non-productive"/>
    <s v="Family Birthing Unit"/>
    <x v="0"/>
    <m/>
    <n v="2990.4"/>
    <n v="3744.4"/>
    <n v="1833.29"/>
    <n v="1325.21"/>
    <n v="4544.8"/>
    <n v="1449.73"/>
    <n v="4728.9399999999996"/>
    <n v="4086.96"/>
    <n v="6634.42"/>
    <n v="6592.5"/>
    <n v="583.58000000000004"/>
    <n v="3599.57"/>
    <n v="42113.799999999996"/>
    <n v="-3015.9900000000002"/>
  </r>
  <r>
    <x v="5"/>
    <x v="3"/>
    <x v="0"/>
    <s v="3500101"/>
    <n v="700074"/>
    <s v="Salaries-Tech/Professional-NonProd-Other"/>
    <s v="Family Birthing Unit"/>
    <x v="0"/>
    <n v="2000"/>
    <n v="161.53"/>
    <n v="67.83"/>
    <n v="188.66"/>
    <n v="103.18"/>
    <n v="246.12"/>
    <n v="21.98"/>
    <n v="245.46"/>
    <n v="297.75"/>
    <n v="304.67"/>
    <n v="119.83"/>
    <n v="123.63"/>
    <n v="205.04"/>
    <n v="2085.6799999999998"/>
    <n v="-81.41"/>
  </r>
  <r>
    <x v="5"/>
    <x v="3"/>
    <x v="0"/>
    <s v="3500101"/>
    <n v="700078"/>
    <s v="Salaries-Service/Support-Non-productive"/>
    <s v="Family Birthing Unit"/>
    <x v="0"/>
    <m/>
    <n v="3114.15"/>
    <n v="3041.45"/>
    <n v="2446.42"/>
    <n v="3808.89"/>
    <n v="2016.05"/>
    <n v="3625.86"/>
    <n v="2513.1"/>
    <n v="1902.6"/>
    <n v="1698.84"/>
    <n v="694.1"/>
    <n v="2613.58"/>
    <n v="2437.73"/>
    <n v="29912.769999999993"/>
    <n v="175.84999999999991"/>
  </r>
  <r>
    <x v="5"/>
    <x v="3"/>
    <x v="0"/>
    <s v="3500101"/>
    <n v="700078"/>
    <s v="Salaries-Service/Support-NonProd-Other"/>
    <s v="Family Birthing Unit"/>
    <x v="0"/>
    <n v="2000"/>
    <n v="72.599999999999994"/>
    <n v="142.99"/>
    <n v="193.84"/>
    <n v="137.32"/>
    <n v="563.62"/>
    <n v="324.81"/>
    <n v="54.67"/>
    <n v="-492.68"/>
    <n v="49.09"/>
    <n v="15.34"/>
    <n v="129.81"/>
    <n v="26.63"/>
    <n v="1218.0399999999997"/>
    <n v="103.18"/>
  </r>
  <r>
    <x v="5"/>
    <x v="3"/>
    <x v="0"/>
    <s v="3500101"/>
    <n v="700084"/>
    <s v="Accrued PTO"/>
    <s v="Family Birthing Unit"/>
    <x v="0"/>
    <m/>
    <n v="-6024.08"/>
    <n v="9133.86"/>
    <n v="19428.490000000002"/>
    <n v="9184.3799999999992"/>
    <n v="1580.96"/>
    <n v="-22928.19"/>
    <n v="-647.13"/>
    <n v="-16193.25"/>
    <n v="21246.61"/>
    <n v="22289.35"/>
    <n v="20178.330000000002"/>
    <n v="19379.34"/>
    <n v="76628.67"/>
    <n v="798.9900000000016"/>
  </r>
  <r>
    <x v="10"/>
    <x v="3"/>
    <x v="0"/>
    <s v="3500101"/>
    <n v="710060"/>
    <s v="Contract Labor-Other"/>
    <s v="Family Birthing Unit"/>
    <x v="0"/>
    <m/>
    <n v="0"/>
    <n v="0"/>
    <n v="0"/>
    <n v="0"/>
    <n v="0"/>
    <n v="0"/>
    <n v="0"/>
    <n v="0"/>
    <n v="0"/>
    <n v="6745"/>
    <n v="11218"/>
    <n v="10011.01"/>
    <n v="27974.010000000002"/>
    <n v="1206.9899999999998"/>
  </r>
  <r>
    <x v="10"/>
    <x v="3"/>
    <x v="0"/>
    <s v="3500101"/>
    <n v="710060"/>
    <s v="Contract Labor-Standby Wages"/>
    <s v="Family Birthing Unit"/>
    <x v="0"/>
    <n v="5101"/>
    <n v="0"/>
    <n v="0"/>
    <n v="0"/>
    <n v="0"/>
    <n v="0"/>
    <n v="0"/>
    <n v="0"/>
    <n v="0"/>
    <n v="0"/>
    <n v="0"/>
    <n v="96"/>
    <n v="48"/>
    <n v="144"/>
    <n v="48"/>
  </r>
  <r>
    <x v="6"/>
    <x v="3"/>
    <x v="0"/>
    <s v="3500101"/>
    <n v="713010"/>
    <s v="Benefits-FICA/Medicare"/>
    <s v="Family Birthing Unit"/>
    <x v="0"/>
    <m/>
    <n v="72286.28"/>
    <n v="71085.72"/>
    <n v="70799.839999999997"/>
    <n v="72591.679999999993"/>
    <n v="72849.64"/>
    <n v="69076.81"/>
    <n v="70850.600000000006"/>
    <n v="63384.25"/>
    <n v="75265.820000000007"/>
    <n v="70307.490000000005"/>
    <n v="74734.600000000006"/>
    <n v="75554.789999999994"/>
    <n v="858787.52000000014"/>
    <n v="-820.18999999998778"/>
  </r>
  <r>
    <x v="6"/>
    <x v="3"/>
    <x v="0"/>
    <s v="3500101"/>
    <n v="713090"/>
    <s v="Benefits-Allocated Amounts"/>
    <s v="Family Birthing Unit"/>
    <x v="0"/>
    <m/>
    <n v="191077.71"/>
    <n v="173971.18"/>
    <n v="186715.7"/>
    <n v="186479.54"/>
    <n v="190432.96"/>
    <n v="180216.07"/>
    <n v="192668"/>
    <n v="187430.48"/>
    <n v="168190.17"/>
    <n v="196997.51"/>
    <n v="216328.5"/>
    <n v="214083.3"/>
    <n v="2284591.12"/>
    <n v="2245.2000000000116"/>
  </r>
  <r>
    <x v="6"/>
    <x v="3"/>
    <x v="0"/>
    <s v="3500101"/>
    <n v="713096"/>
    <s v="Employee Recognition"/>
    <s v="Family Birthing Unit"/>
    <x v="0"/>
    <n v="1017"/>
    <n v="33.020000000000003"/>
    <n v="0"/>
    <n v="262.14"/>
    <n v="516.03"/>
    <n v="147.88"/>
    <n v="0"/>
    <n v="111.1"/>
    <n v="156.91999999999999"/>
    <n v="0"/>
    <n v="0"/>
    <n v="0"/>
    <n v="0"/>
    <n v="1227.0899999999999"/>
    <n v="0"/>
  </r>
  <r>
    <x v="17"/>
    <x v="3"/>
    <x v="0"/>
    <s v="3500101"/>
    <n v="714520"/>
    <s v="Other Contracted Professionals"/>
    <s v="Family Birthing Unit"/>
    <x v="0"/>
    <m/>
    <n v="73471.7"/>
    <n v="229061.82"/>
    <n v="0"/>
    <n v="187376.31"/>
    <n v="133829.91"/>
    <n v="157628.51"/>
    <n v="146542.34"/>
    <n v="137415.18"/>
    <n v="137000"/>
    <n v="137000"/>
    <n v="137000"/>
    <n v="137000"/>
    <n v="1613325.77"/>
    <n v="0"/>
  </r>
  <r>
    <x v="7"/>
    <x v="3"/>
    <x v="0"/>
    <s v="3500101"/>
    <n v="718050"/>
    <s v="Contract Svcs-Other"/>
    <s v="Family Birthing Unit"/>
    <x v="0"/>
    <m/>
    <n v="0"/>
    <n v="0"/>
    <n v="0"/>
    <n v="314.94"/>
    <n v="0"/>
    <n v="0"/>
    <n v="524.4"/>
    <n v="495"/>
    <n v="0"/>
    <n v="230"/>
    <n v="2487.02"/>
    <n v="0"/>
    <n v="4051.3599999999997"/>
    <n v="2487.02"/>
  </r>
  <r>
    <x v="7"/>
    <x v="3"/>
    <x v="0"/>
    <s v="3500101"/>
    <n v="718050"/>
    <s v="Document Shredding/Storage"/>
    <s v="Family Birthing Unit"/>
    <x v="0"/>
    <n v="1012"/>
    <n v="12.4"/>
    <n v="12.73"/>
    <n v="11.71"/>
    <n v="12.11"/>
    <n v="12.51"/>
    <n v="84.51"/>
    <n v="80.69"/>
    <n v="-52.84"/>
    <n v="12.52"/>
    <n v="16.440000000000001"/>
    <n v="13.79"/>
    <n v="14.21"/>
    <n v="230.78"/>
    <n v="-0.42000000000000171"/>
  </r>
  <r>
    <x v="7"/>
    <x v="3"/>
    <x v="0"/>
    <s v="3500101"/>
    <n v="718050"/>
    <s v="Miscellaneous Purchased Svcs"/>
    <s v="Family Birthing Unit"/>
    <x v="0"/>
    <n v="1020"/>
    <n v="0"/>
    <n v="0"/>
    <n v="55.49"/>
    <n v="350.12"/>
    <n v="0"/>
    <n v="0"/>
    <n v="0"/>
    <n v="0"/>
    <n v="0"/>
    <n v="275.25"/>
    <n v="0"/>
    <n v="0"/>
    <n v="680.86"/>
    <n v="0"/>
  </r>
  <r>
    <x v="7"/>
    <x v="3"/>
    <x v="0"/>
    <s v="3500101"/>
    <n v="718050"/>
    <s v="Translation Services"/>
    <s v="Family Birthing Unit"/>
    <x v="0"/>
    <n v="1025"/>
    <n v="1679.5"/>
    <n v="1885.26"/>
    <n v="1232.25"/>
    <n v="1903.35"/>
    <n v="1084.45"/>
    <n v="179.33"/>
    <n v="1330.24"/>
    <n v="621"/>
    <n v="1689.37"/>
    <n v="1720"/>
    <n v="886.43"/>
    <n v="522.16"/>
    <n v="14733.34"/>
    <n v="364.27"/>
  </r>
  <r>
    <x v="7"/>
    <x v="3"/>
    <x v="0"/>
    <s v="3500101"/>
    <n v="718050"/>
    <s v="Contract Management--Linen"/>
    <s v="Family Birthing Unit"/>
    <x v="0"/>
    <n v="1026"/>
    <n v="16761.63"/>
    <n v="14968.41"/>
    <n v="17250.48"/>
    <n v="12035.24"/>
    <n v="14552.93"/>
    <n v="11796.83"/>
    <n v="12475.56"/>
    <n v="15040.14"/>
    <n v="13392.58"/>
    <n v="15378.79"/>
    <n v="14854.59"/>
    <n v="15100.71"/>
    <n v="173607.88999999998"/>
    <n v="-246.11999999999898"/>
  </r>
  <r>
    <x v="7"/>
    <x v="3"/>
    <x v="0"/>
    <s v="3500101"/>
    <n v="718077"/>
    <s v="PACS"/>
    <s v="Family Birthing Unit"/>
    <x v="0"/>
    <n v="1000"/>
    <n v="0"/>
    <n v="0"/>
    <n v="0"/>
    <n v="11.25"/>
    <n v="2.25"/>
    <n v="4.5"/>
    <n v="4.5"/>
    <n v="9"/>
    <n v="9"/>
    <n v="9"/>
    <n v="4.5"/>
    <n v="9"/>
    <n v="63"/>
    <n v="-4.5"/>
  </r>
  <r>
    <x v="7"/>
    <x v="3"/>
    <x v="0"/>
    <s v="3500101"/>
    <n v="718091"/>
    <s v="Contract Services-Intracompany Allocation"/>
    <s v="Family Birthing Unit"/>
    <x v="0"/>
    <m/>
    <n v="25239.86"/>
    <n v="29325.09"/>
    <n v="28873.21"/>
    <n v="29080.18"/>
    <n v="23237.21"/>
    <n v="27177.51"/>
    <n v="32003.67"/>
    <n v="26529.62"/>
    <n v="23408.17"/>
    <n v="21697.4"/>
    <n v="24667.25"/>
    <n v="32268.92"/>
    <n v="323508.08999999997"/>
    <n v="-7601.6699999999983"/>
  </r>
  <r>
    <x v="11"/>
    <x v="3"/>
    <x v="0"/>
    <s v="3500101"/>
    <n v="721010"/>
    <s v="Supplies-Medical - Billable"/>
    <s v="Family Birthing Unit"/>
    <x v="0"/>
    <m/>
    <n v="12393.65"/>
    <n v="14142.57"/>
    <n v="10359.39"/>
    <n v="10730.65"/>
    <n v="10563.13"/>
    <n v="9595.2800000000007"/>
    <n v="9358.64"/>
    <n v="8567.7099999999991"/>
    <n v="13236.63"/>
    <n v="11472.28"/>
    <n v="12248.47"/>
    <n v="10150.59"/>
    <n v="132818.99"/>
    <n v="2097.8799999999992"/>
  </r>
  <r>
    <x v="11"/>
    <x v="3"/>
    <x v="0"/>
    <s v="3500101"/>
    <n v="721010"/>
    <s v="Patient Monitoring"/>
    <s v="Family Birthing Unit"/>
    <x v="0"/>
    <n v="1000"/>
    <n v="420.02"/>
    <n v="30.52"/>
    <n v="443.5"/>
    <n v="160.02000000000001"/>
    <n v="150.44999999999999"/>
    <n v="145.47999999999999"/>
    <n v="165.94"/>
    <n v="44.41"/>
    <n v="99.13"/>
    <n v="92.18"/>
    <n v="271.76"/>
    <n v="117.36"/>
    <n v="2140.7700000000004"/>
    <n v="154.39999999999998"/>
  </r>
  <r>
    <x v="11"/>
    <x v="3"/>
    <x v="0"/>
    <s v="3500101"/>
    <n v="721020"/>
    <s v="Supplies-Surgical - Billable"/>
    <s v="Family Birthing Unit"/>
    <x v="0"/>
    <m/>
    <n v="17536.07"/>
    <n v="13770.15"/>
    <n v="13353.89"/>
    <n v="8277.84"/>
    <n v="8120.84"/>
    <n v="7761.38"/>
    <n v="6908.05"/>
    <n v="7025.41"/>
    <n v="8435.85"/>
    <n v="7196.86"/>
    <n v="8522.0400000000009"/>
    <n v="8196.35"/>
    <n v="115104.73000000001"/>
    <n v="325.69000000000051"/>
  </r>
  <r>
    <x v="11"/>
    <x v="3"/>
    <x v="0"/>
    <s v="3500101"/>
    <n v="721020"/>
    <s v="Custom Packs"/>
    <s v="Family Birthing Unit"/>
    <x v="0"/>
    <n v="1000"/>
    <n v="5278.83"/>
    <n v="6611.63"/>
    <n v="6319.51"/>
    <n v="6097.16"/>
    <n v="5911.1"/>
    <n v="5441.04"/>
    <n v="4905.96"/>
    <n v="4934.6899999999996"/>
    <n v="6715.84"/>
    <n v="5419.65"/>
    <n v="6019.42"/>
    <n v="5832.1"/>
    <n v="69486.930000000008"/>
    <n v="187.31999999999971"/>
  </r>
  <r>
    <x v="11"/>
    <x v="3"/>
    <x v="0"/>
    <s v="3500101"/>
    <n v="721020"/>
    <s v="Suture/Wound Closure"/>
    <s v="Family Birthing Unit"/>
    <x v="0"/>
    <n v="1001"/>
    <n v="2322.2600000000002"/>
    <n v="1849.6"/>
    <n v="2085.75"/>
    <n v="1962.16"/>
    <n v="1036.31"/>
    <n v="1520.18"/>
    <n v="1465.09"/>
    <n v="2764.5"/>
    <n v="2343.89"/>
    <n v="1828.31"/>
    <n v="1153.31"/>
    <n v="1258.44"/>
    <n v="21589.800000000003"/>
    <n v="-105.13000000000011"/>
  </r>
  <r>
    <x v="11"/>
    <x v="3"/>
    <x v="0"/>
    <s v="3500101"/>
    <n v="721020"/>
    <s v="Endomechanical Supplies &amp; Instruments"/>
    <s v="Family Birthing Unit"/>
    <x v="0"/>
    <n v="1003"/>
    <n v="1274"/>
    <n v="2548"/>
    <n v="2548"/>
    <n v="0"/>
    <n v="3185"/>
    <n v="1911"/>
    <n v="1274"/>
    <n v="2452.4499999999998"/>
    <n v="1210.3"/>
    <n v="1210.3"/>
    <n v="2420.6"/>
    <n v="3028.2"/>
    <n v="23061.85"/>
    <n v="-607.59999999999991"/>
  </r>
  <r>
    <x v="11"/>
    <x v="3"/>
    <x v="0"/>
    <s v="3500101"/>
    <n v="721020"/>
    <s v="Urological Supplies"/>
    <s v="Family Birthing Unit"/>
    <x v="0"/>
    <n v="1006"/>
    <n v="957.88"/>
    <n v="3768.74"/>
    <n v="1436.81"/>
    <n v="3012.34"/>
    <n v="-142.71"/>
    <n v="548.29999999999995"/>
    <n v="340.77"/>
    <n v="2829.67"/>
    <n v="1985.11"/>
    <n v="1872.36"/>
    <n v="852.92"/>
    <n v="3084.49"/>
    <n v="20546.68"/>
    <n v="-2231.5699999999997"/>
  </r>
  <r>
    <x v="11"/>
    <x v="3"/>
    <x v="0"/>
    <s v="3500101"/>
    <n v="721020"/>
    <s v="Tubes Drains &amp; Related Supplies"/>
    <s v="Family Birthing Unit"/>
    <x v="0"/>
    <n v="1008"/>
    <n v="13.43"/>
    <n v="0"/>
    <n v="0"/>
    <n v="13.43"/>
    <n v="0"/>
    <n v="15.48"/>
    <n v="0"/>
    <n v="0"/>
    <n v="0"/>
    <n v="40.520000000000003"/>
    <n v="-48.23"/>
    <n v="68.39"/>
    <n v="103.02000000000001"/>
    <n v="-116.62"/>
  </r>
  <r>
    <x v="11"/>
    <x v="3"/>
    <x v="0"/>
    <s v="3500101"/>
    <n v="721050"/>
    <s v="Supplies-Cardiac Rhythm - Billable"/>
    <s v="Family Birthing Unit"/>
    <x v="0"/>
    <m/>
    <n v="0"/>
    <n v="0"/>
    <n v="0"/>
    <n v="177.94"/>
    <n v="0"/>
    <n v="0"/>
    <n v="58.32"/>
    <n v="0"/>
    <n v="0"/>
    <n v="0"/>
    <n v="0"/>
    <n v="0"/>
    <n v="236.26"/>
    <n v="0"/>
  </r>
  <r>
    <x v="11"/>
    <x v="3"/>
    <x v="0"/>
    <s v="3500101"/>
    <n v="721150"/>
    <s v="Supplies-Other Implants - Billable"/>
    <s v="Family Birthing Unit"/>
    <x v="0"/>
    <m/>
    <n v="232.05"/>
    <n v="232.05"/>
    <n v="0"/>
    <n v="696.15"/>
    <n v="464.1"/>
    <n v="696.15"/>
    <n v="0"/>
    <n v="0"/>
    <n v="696.15"/>
    <n v="0"/>
    <n v="0"/>
    <n v="232.05"/>
    <n v="3248.7000000000003"/>
    <n v="-232.05"/>
  </r>
  <r>
    <x v="11"/>
    <x v="3"/>
    <x v="0"/>
    <s v="3500101"/>
    <n v="721150"/>
    <s v="Urological Implants"/>
    <s v="Family Birthing Unit"/>
    <x v="0"/>
    <n v="1004"/>
    <n v="0"/>
    <n v="8120.14"/>
    <n v="0"/>
    <n v="0"/>
    <n v="0"/>
    <n v="0"/>
    <n v="0"/>
    <n v="0"/>
    <n v="0"/>
    <n v="0"/>
    <n v="0"/>
    <n v="0"/>
    <n v="8120.14"/>
    <n v="0"/>
  </r>
  <r>
    <x v="11"/>
    <x v="3"/>
    <x v="0"/>
    <s v="3500101"/>
    <n v="721240"/>
    <s v="Supplies-IV Solutions/Supplies - Billable"/>
    <s v="Family Birthing Unit"/>
    <x v="0"/>
    <m/>
    <n v="3326.25"/>
    <n v="3872.14"/>
    <n v="3468.47"/>
    <n v="3065.04"/>
    <n v="3656.78"/>
    <n v="3339.18"/>
    <n v="2752.7"/>
    <n v="2976.06"/>
    <n v="3674.54"/>
    <n v="3242.86"/>
    <n v="3900.13"/>
    <n v="3812.31"/>
    <n v="41086.459999999992"/>
    <n v="87.820000000000164"/>
  </r>
  <r>
    <x v="11"/>
    <x v="3"/>
    <x v="0"/>
    <s v="3500101"/>
    <n v="721250"/>
    <s v="Supplies-Pharmacy Drugs - Billable"/>
    <s v="Family Birthing Unit"/>
    <x v="0"/>
    <m/>
    <n v="0"/>
    <n v="45.96"/>
    <n v="16.23"/>
    <n v="0"/>
    <n v="97.38"/>
    <n v="0"/>
    <n v="2.63"/>
    <n v="0"/>
    <n v="44.89"/>
    <n v="0"/>
    <n v="0"/>
    <n v="0"/>
    <n v="207.08999999999997"/>
    <n v="0"/>
  </r>
  <r>
    <x v="11"/>
    <x v="3"/>
    <x v="0"/>
    <s v="3500101"/>
    <n v="721410"/>
    <s v="Supplies-Medical - Nonbillable"/>
    <s v="Family Birthing Unit"/>
    <x v="0"/>
    <m/>
    <n v="37177.050000000003"/>
    <n v="38142.21"/>
    <n v="38348.99"/>
    <n v="33883.58"/>
    <n v="35669.99"/>
    <n v="35250.559999999998"/>
    <n v="31388.33"/>
    <n v="34973.47"/>
    <n v="44601.83"/>
    <n v="31806.26"/>
    <n v="44054.91"/>
    <n v="44442.04"/>
    <n v="449739.22000000003"/>
    <n v="-387.12999999999738"/>
  </r>
  <r>
    <x v="11"/>
    <x v="3"/>
    <x v="0"/>
    <s v="3500101"/>
    <n v="721410"/>
    <s v="Patient Monitoring"/>
    <s v="Family Birthing Unit"/>
    <x v="0"/>
    <n v="1000"/>
    <n v="0"/>
    <n v="0"/>
    <n v="11.09"/>
    <n v="0"/>
    <n v="0"/>
    <n v="11.09"/>
    <n v="0"/>
    <n v="0"/>
    <n v="0"/>
    <n v="0"/>
    <n v="13.31"/>
    <n v="0"/>
    <n v="35.49"/>
    <n v="13.31"/>
  </r>
  <r>
    <x v="11"/>
    <x v="3"/>
    <x v="0"/>
    <s v="3500101"/>
    <n v="721420"/>
    <s v="Supplies-Surgical Nonbillable"/>
    <s v="Family Birthing Unit"/>
    <x v="0"/>
    <m/>
    <n v="4877.58"/>
    <n v="5541.22"/>
    <n v="5556.32"/>
    <n v="5448.12"/>
    <n v="4225.8100000000004"/>
    <n v="4304.8599999999997"/>
    <n v="3911.12"/>
    <n v="3632.66"/>
    <n v="5012.6499999999996"/>
    <n v="4120.34"/>
    <n v="3800.15"/>
    <n v="3477.33"/>
    <n v="53908.160000000011"/>
    <n v="322.82000000000016"/>
  </r>
  <r>
    <x v="11"/>
    <x v="3"/>
    <x v="0"/>
    <s v="3500101"/>
    <n v="721420"/>
    <s v="Tubes Drains &amp; Related Supplies"/>
    <s v="Family Birthing Unit"/>
    <x v="0"/>
    <n v="1008"/>
    <n v="1073.4100000000001"/>
    <n v="1019.31"/>
    <n v="806.59"/>
    <n v="958.45"/>
    <n v="566.53"/>
    <n v="838.38"/>
    <n v="630.65"/>
    <n v="478.27"/>
    <n v="645.37"/>
    <n v="650.33000000000004"/>
    <n v="734.64"/>
    <n v="125.53"/>
    <n v="8527.4600000000009"/>
    <n v="609.11"/>
  </r>
  <r>
    <x v="11"/>
    <x v="3"/>
    <x v="0"/>
    <s v="3500101"/>
    <n v="721420"/>
    <s v="Sterilization Process Products"/>
    <s v="Family Birthing Unit"/>
    <x v="0"/>
    <n v="1009"/>
    <n v="60.5"/>
    <n v="276.39"/>
    <n v="104.23"/>
    <n v="274.69"/>
    <n v="89.34"/>
    <n v="54.86"/>
    <n v="292.77999999999997"/>
    <n v="239.9"/>
    <n v="139.63999999999999"/>
    <n v="79.08"/>
    <n v="123.8"/>
    <n v="74.45"/>
    <n v="1809.6599999999999"/>
    <n v="49.349999999999994"/>
  </r>
  <r>
    <x v="11"/>
    <x v="3"/>
    <x v="0"/>
    <s v="3500101"/>
    <n v="721610"/>
    <s v="Supplies-Anesthesia - Nonbillable"/>
    <s v="Family Birthing Unit"/>
    <x v="0"/>
    <m/>
    <n v="7492.65"/>
    <n v="8402.83"/>
    <n v="7624.87"/>
    <n v="7495.27"/>
    <n v="8268.56"/>
    <n v="6887.6"/>
    <n v="5031.3599999999997"/>
    <n v="4161.5600000000004"/>
    <n v="7461.85"/>
    <n v="2947.37"/>
    <n v="3038.15"/>
    <n v="5986.17"/>
    <n v="74798.239999999991"/>
    <n v="-2948.02"/>
  </r>
  <r>
    <x v="11"/>
    <x v="3"/>
    <x v="0"/>
    <s v="3500101"/>
    <n v="721640"/>
    <s v="Supplies-IV Solutions/Supplies - Nonbillable"/>
    <s v="Family Birthing Unit"/>
    <x v="0"/>
    <m/>
    <n v="6284.52"/>
    <n v="6033.4"/>
    <n v="5772.02"/>
    <n v="6805.1"/>
    <n v="6235.85"/>
    <n v="5726.57"/>
    <n v="4907.99"/>
    <n v="5163.55"/>
    <n v="6843.29"/>
    <n v="6873.93"/>
    <n v="6102.03"/>
    <n v="7159.44"/>
    <n v="73907.69"/>
    <n v="-1057.4099999999999"/>
  </r>
  <r>
    <x v="11"/>
    <x v="3"/>
    <x v="0"/>
    <s v="3500101"/>
    <n v="721650"/>
    <s v="Supplies-Pharmacy Drugs - Nonbillable"/>
    <s v="Family Birthing Unit"/>
    <x v="0"/>
    <m/>
    <n v="137.74"/>
    <n v="125.63"/>
    <n v="123.24"/>
    <n v="116.07"/>
    <n v="137.69999999999999"/>
    <n v="123.2"/>
    <n v="102.13"/>
    <n v="106.34"/>
    <n v="144.93"/>
    <n v="131.26"/>
    <n v="116.05"/>
    <n v="137.91"/>
    <n v="1502.2"/>
    <n v="-21.86"/>
  </r>
  <r>
    <x v="11"/>
    <x v="3"/>
    <x v="0"/>
    <s v="3500101"/>
    <n v="721710"/>
    <s v="Supplies-Laboratory - Nonbillable"/>
    <s v="Family Birthing Unit"/>
    <x v="0"/>
    <m/>
    <n v="900.98"/>
    <n v="780.29"/>
    <n v="818.92"/>
    <n v="457.54"/>
    <n v="611.12"/>
    <n v="662.11"/>
    <n v="667.52"/>
    <n v="590.26"/>
    <n v="700.7"/>
    <n v="793.87"/>
    <n v="827.22"/>
    <n v="771.52"/>
    <n v="8582.0499999999993"/>
    <n v="55.700000000000045"/>
  </r>
  <r>
    <x v="11"/>
    <x v="3"/>
    <x v="0"/>
    <s v="3500101"/>
    <n v="721710"/>
    <s v="Reagents"/>
    <s v="Family Birthing Unit"/>
    <x v="0"/>
    <n v="1000"/>
    <n v="0"/>
    <n v="0"/>
    <n v="11.99"/>
    <n v="0"/>
    <n v="19.989999999999998"/>
    <n v="12"/>
    <n v="0"/>
    <n v="17.989999999999998"/>
    <n v="19.989999999999998"/>
    <n v="19.989999999999998"/>
    <n v="0"/>
    <n v="0"/>
    <n v="101.94999999999999"/>
    <n v="0"/>
  </r>
  <r>
    <x v="11"/>
    <x v="3"/>
    <x v="0"/>
    <s v="3500101"/>
    <n v="721750"/>
    <s v="Supplies-Film/Radiographic - Nonbillable"/>
    <s v="Family Birthing Unit"/>
    <x v="0"/>
    <m/>
    <n v="32.770000000000003"/>
    <n v="27.16"/>
    <n v="47.76"/>
    <n v="50.58"/>
    <n v="44.02"/>
    <n v="47.77"/>
    <n v="41.55"/>
    <n v="29.02"/>
    <n v="44.97"/>
    <n v="35.57"/>
    <n v="47.77"/>
    <n v="48.68"/>
    <n v="497.62"/>
    <n v="-0.90999999999999659"/>
  </r>
  <r>
    <x v="11"/>
    <x v="3"/>
    <x v="0"/>
    <s v="3500101"/>
    <n v="721810"/>
    <s v="Supplies-Dietary/Cafeteria"/>
    <s v="Family Birthing Unit"/>
    <x v="0"/>
    <m/>
    <n v="1729.51"/>
    <n v="3029.89"/>
    <n v="1740.5"/>
    <n v="3632.44"/>
    <n v="1772.34"/>
    <n v="4215.3"/>
    <n v="2484.5"/>
    <n v="2571.54"/>
    <n v="5416.24"/>
    <n v="4178.45"/>
    <n v="3417.67"/>
    <n v="4278.13"/>
    <n v="38466.51"/>
    <n v="-860.46"/>
  </r>
  <r>
    <x v="11"/>
    <x v="3"/>
    <x v="0"/>
    <s v="3500101"/>
    <n v="721830"/>
    <s v="Supplies-Office"/>
    <s v="Family Birthing Unit"/>
    <x v="0"/>
    <m/>
    <n v="2541.94"/>
    <n v="4493.2700000000004"/>
    <n v="1192.1600000000001"/>
    <n v="3734.4"/>
    <n v="2632.69"/>
    <n v="1548.83"/>
    <n v="2786.5"/>
    <n v="3155.46"/>
    <n v="1223.0899999999999"/>
    <n v="2616.64"/>
    <n v="2876.26"/>
    <n v="1997.6"/>
    <n v="30798.839999999997"/>
    <n v="878.66000000000031"/>
  </r>
  <r>
    <x v="11"/>
    <x v="3"/>
    <x v="0"/>
    <s v="3500101"/>
    <n v="721835"/>
    <s v="Supplies-Forms"/>
    <s v="Family Birthing Unit"/>
    <x v="0"/>
    <m/>
    <n v="96.98"/>
    <n v="793.09"/>
    <n v="241.84"/>
    <n v="68.33"/>
    <n v="2028.55"/>
    <n v="162.63999999999999"/>
    <n v="1947.58"/>
    <n v="532.29"/>
    <n v="793.88"/>
    <n v="465.51"/>
    <n v="1613.05"/>
    <n v="721.47"/>
    <n v="9465.2099999999991"/>
    <n v="891.57999999999993"/>
  </r>
  <r>
    <x v="11"/>
    <x v="3"/>
    <x v="0"/>
    <s v="3500101"/>
    <n v="721870"/>
    <s v="Supplies-Environmental Services"/>
    <s v="Family Birthing Unit"/>
    <x v="0"/>
    <m/>
    <n v="2176.31"/>
    <n v="1957.41"/>
    <n v="1308.05"/>
    <n v="1282.58"/>
    <n v="1487.71"/>
    <n v="1046.06"/>
    <n v="809.21"/>
    <n v="693.2"/>
    <n v="1164.5899999999999"/>
    <n v="1064.03"/>
    <n v="1716.14"/>
    <n v="921.46"/>
    <n v="15626.750000000004"/>
    <n v="794.68000000000006"/>
  </r>
  <r>
    <x v="11"/>
    <x v="3"/>
    <x v="0"/>
    <s v="3500101"/>
    <n v="721880"/>
    <s v="Supplies-Linen"/>
    <s v="Family Birthing Unit"/>
    <x v="0"/>
    <m/>
    <n v="185.03"/>
    <n v="207.73"/>
    <n v="244.94"/>
    <n v="271.20999999999998"/>
    <n v="96.56"/>
    <n v="202.62"/>
    <n v="170.98"/>
    <n v="100.49"/>
    <n v="305.93"/>
    <n v="26.2"/>
    <n v="163.38"/>
    <n v="83.85"/>
    <n v="2058.92"/>
    <n v="79.53"/>
  </r>
  <r>
    <x v="11"/>
    <x v="3"/>
    <x v="0"/>
    <s v="3500101"/>
    <n v="721910"/>
    <s v="Supplies-Small Equipment"/>
    <s v="Family Birthing Unit"/>
    <x v="0"/>
    <m/>
    <n v="1804.9"/>
    <n v="6277.49"/>
    <n v="8066.41"/>
    <n v="5428.78"/>
    <n v="-16181.98"/>
    <n v="39126.6"/>
    <n v="38348.620000000003"/>
    <n v="29026.52"/>
    <n v="6085.25"/>
    <n v="6428.57"/>
    <n v="2997.18"/>
    <n v="1982.81"/>
    <n v="129391.15"/>
    <n v="1014.3699999999999"/>
  </r>
  <r>
    <x v="11"/>
    <x v="3"/>
    <x v="0"/>
    <s v="3500101"/>
    <n v="721910"/>
    <s v="Instruments"/>
    <s v="Family Birthing Unit"/>
    <x v="0"/>
    <n v="1000"/>
    <n v="1727.25"/>
    <n v="1449.69"/>
    <n v="6613.64"/>
    <n v="5734.32"/>
    <n v="5939.26"/>
    <n v="1343.23"/>
    <n v="5004.6400000000003"/>
    <n v="1429.93"/>
    <n v="2107.8200000000002"/>
    <n v="9781.81"/>
    <n v="10158.24"/>
    <n v="5165.3999999999996"/>
    <n v="56455.229999999996"/>
    <n v="4992.84"/>
  </r>
  <r>
    <x v="11"/>
    <x v="3"/>
    <x v="0"/>
    <s v="3500101"/>
    <n v="721980"/>
    <s v="Supplies-Other"/>
    <s v="Family Birthing Unit"/>
    <x v="0"/>
    <m/>
    <n v="-280.33999999999997"/>
    <n v="3234.33"/>
    <n v="1843.13"/>
    <n v="1426.83"/>
    <n v="2061.1799999999998"/>
    <n v="3526.99"/>
    <n v="41.75"/>
    <n v="2643.59"/>
    <n v="15082.42"/>
    <n v="5277.19"/>
    <n v="-111.28"/>
    <n v="0"/>
    <n v="34745.79"/>
    <n v="-111.28"/>
  </r>
  <r>
    <x v="11"/>
    <x v="3"/>
    <x v="0"/>
    <s v="3500101"/>
    <n v="722000"/>
    <s v="Supplies-Freight Expense"/>
    <s v="Family Birthing Unit"/>
    <x v="0"/>
    <m/>
    <n v="210.47"/>
    <n v="719.35"/>
    <n v="503.78"/>
    <n v="345.83"/>
    <n v="269.49"/>
    <n v="273.08999999999997"/>
    <n v="320.36"/>
    <n v="89.85"/>
    <n v="232.53"/>
    <n v="222.75"/>
    <n v="497.85"/>
    <n v="195.37"/>
    <n v="3880.7200000000003"/>
    <n v="302.48"/>
  </r>
  <r>
    <x v="12"/>
    <x v="3"/>
    <x v="0"/>
    <s v="3500101"/>
    <n v="730020"/>
    <s v="Rental and Leases-Equipment (DO NOT USE)"/>
    <s v="Family Birthing Unit"/>
    <x v="0"/>
    <m/>
    <n v="11.34"/>
    <n v="11.34"/>
    <n v="11.34"/>
    <n v="11.34"/>
    <n v="11.34"/>
    <n v="11.34"/>
    <n v="0"/>
    <n v="22.68"/>
    <n v="11.34"/>
    <n v="11.34"/>
    <n v="11.35"/>
    <n v="11.35"/>
    <n v="136.1"/>
    <n v="0"/>
  </r>
  <r>
    <x v="12"/>
    <x v="3"/>
    <x v="0"/>
    <s v="3500101"/>
    <n v="730020"/>
    <s v="Rental and Leases-Copier Usage Fees (DO NOT USE)"/>
    <s v="Family Birthing Unit"/>
    <x v="0"/>
    <n v="5100"/>
    <n v="1332.02"/>
    <n v="1352.03"/>
    <n v="1342.02"/>
    <n v="1342.02"/>
    <n v="1342.02"/>
    <n v="1342.02"/>
    <n v="-811.03"/>
    <n v="641.69000000000005"/>
    <n v="742.33"/>
    <n v="2634.73"/>
    <n v="993.38"/>
    <n v="649.9"/>
    <n v="12903.13"/>
    <n v="343.48"/>
  </r>
  <r>
    <x v="15"/>
    <x v="3"/>
    <x v="0"/>
    <s v="3500101"/>
    <n v="731060"/>
    <s v="Cell Phones"/>
    <s v="Family Birthing Unit"/>
    <x v="0"/>
    <n v="1001"/>
    <n v="0"/>
    <n v="66.02"/>
    <n v="189.04"/>
    <n v="0"/>
    <n v="207.55"/>
    <n v="138.6"/>
    <n v="188.55"/>
    <n v="0"/>
    <n v="196.98"/>
    <n v="233.21"/>
    <n v="143.22"/>
    <n v="145.94999999999999"/>
    <n v="1509.1200000000001"/>
    <n v="-2.7299999999999898"/>
  </r>
  <r>
    <x v="15"/>
    <x v="3"/>
    <x v="0"/>
    <s v="3500101"/>
    <n v="731060"/>
    <s v="Pagers"/>
    <s v="Family Birthing Unit"/>
    <x v="0"/>
    <n v="1002"/>
    <n v="98.41"/>
    <n v="98.41"/>
    <n v="98.41"/>
    <n v="98.65"/>
    <n v="98.65"/>
    <n v="0"/>
    <n v="164.82"/>
    <n v="82.41"/>
    <n v="82.41"/>
    <n v="82.41"/>
    <n v="82.41"/>
    <n v="82.41"/>
    <n v="1069.3999999999999"/>
    <n v="0"/>
  </r>
  <r>
    <x v="16"/>
    <x v="3"/>
    <x v="0"/>
    <s v="3500101"/>
    <n v="732015"/>
    <s v="Repairs-Clinical Equip-T&amp;M-Ext to CHI Programs"/>
    <s v="Family Birthing Unit"/>
    <x v="0"/>
    <m/>
    <n v="0"/>
    <n v="0"/>
    <n v="0"/>
    <n v="304.22000000000003"/>
    <n v="0"/>
    <n v="0"/>
    <n v="0"/>
    <n v="0"/>
    <n v="0"/>
    <n v="1466.53"/>
    <n v="0"/>
    <n v="0"/>
    <n v="1770.75"/>
    <n v="0"/>
  </r>
  <r>
    <x v="16"/>
    <x v="3"/>
    <x v="0"/>
    <s v="3500101"/>
    <n v="732020"/>
    <s v="Repairs--Clin Equip-Parts-Internal to CHI Programs"/>
    <s v="Family Birthing Unit"/>
    <x v="0"/>
    <m/>
    <n v="0"/>
    <n v="0"/>
    <n v="0"/>
    <n v="0"/>
    <n v="0"/>
    <n v="0"/>
    <n v="0"/>
    <n v="0"/>
    <n v="360.75"/>
    <n v="0"/>
    <n v="0"/>
    <n v="0"/>
    <n v="360.75"/>
    <n v="0"/>
  </r>
  <r>
    <x v="16"/>
    <x v="3"/>
    <x v="0"/>
    <s v="3500101"/>
    <n v="732030"/>
    <s v="Repairs---Other"/>
    <s v="Family Birthing Unit"/>
    <x v="0"/>
    <m/>
    <n v="0"/>
    <n v="0"/>
    <n v="0"/>
    <n v="0"/>
    <n v="0"/>
    <n v="0"/>
    <n v="0"/>
    <n v="0"/>
    <n v="2004"/>
    <n v="0"/>
    <n v="0"/>
    <n v="0"/>
    <n v="2004"/>
    <n v="0"/>
  </r>
  <r>
    <x v="13"/>
    <x v="3"/>
    <x v="0"/>
    <s v="3500101"/>
    <n v="735050"/>
    <s v="Amortization-Leasehold Improvements"/>
    <s v="Family Birthing Unit"/>
    <x v="0"/>
    <m/>
    <n v="12521.38"/>
    <n v="13566.71"/>
    <n v="14925.2"/>
    <n v="16989.400000000001"/>
    <n v="16989.41"/>
    <n v="17098.78"/>
    <n v="16329.39"/>
    <n v="20373.62"/>
    <n v="20373.62"/>
    <n v="20373.61"/>
    <n v="20670.21"/>
    <n v="20670.2"/>
    <n v="210881.53"/>
    <n v="9.9999999983992893E-3"/>
  </r>
  <r>
    <x v="13"/>
    <x v="3"/>
    <x v="0"/>
    <s v="3500101"/>
    <n v="735060"/>
    <s v="Depreciation-Fixed Equipment"/>
    <s v="Family Birthing Unit"/>
    <x v="0"/>
    <m/>
    <n v="1141.5899999999999"/>
    <n v="1141.5899999999999"/>
    <n v="1141.5899999999999"/>
    <n v="1141.5899999999999"/>
    <n v="1141.5899999999999"/>
    <n v="1141.5899999999999"/>
    <n v="1141.5899999999999"/>
    <n v="1141.5899999999999"/>
    <n v="1141.5899999999999"/>
    <n v="1608.81"/>
    <n v="1745.62"/>
    <n v="1539.99"/>
    <n v="15168.729999999998"/>
    <n v="205.62999999999988"/>
  </r>
  <r>
    <x v="13"/>
    <x v="3"/>
    <x v="0"/>
    <s v="3500101"/>
    <n v="735070"/>
    <s v="Depreciation-Movable Equipment"/>
    <s v="Family Birthing Unit"/>
    <x v="0"/>
    <m/>
    <n v="19310.490000000002"/>
    <n v="19310.490000000002"/>
    <n v="19368.32"/>
    <n v="19350.13"/>
    <n v="18975.490000000002"/>
    <n v="18817.73"/>
    <n v="18865.52"/>
    <n v="19158.93"/>
    <n v="19159.150000000001"/>
    <n v="19158.89"/>
    <n v="19536.04"/>
    <n v="19347.29"/>
    <n v="230358.47000000003"/>
    <n v="188.75"/>
  </r>
  <r>
    <x v="0"/>
    <x v="3"/>
    <x v="0"/>
    <s v="3500101"/>
    <n v="740020"/>
    <s v="Education-Registration Fees"/>
    <s v="Family Birthing Unit"/>
    <x v="0"/>
    <m/>
    <n v="675"/>
    <n v="3950"/>
    <n v="375"/>
    <n v="1600"/>
    <n v="2193.98"/>
    <n v="2124"/>
    <n v="2342.1999999999998"/>
    <n v="2100"/>
    <n v="2075"/>
    <n v="525"/>
    <n v="0"/>
    <n v="1400"/>
    <n v="19360.18"/>
    <n v="-1400"/>
  </r>
  <r>
    <x v="0"/>
    <x v="3"/>
    <x v="0"/>
    <s v="3500101"/>
    <n v="743010"/>
    <s v="Dues--Institutional"/>
    <s v="Family Birthing Unit"/>
    <x v="0"/>
    <m/>
    <n v="0"/>
    <n v="0"/>
    <n v="0"/>
    <n v="14000"/>
    <n v="3128.47"/>
    <n v="0"/>
    <n v="0"/>
    <n v="0"/>
    <n v="1500"/>
    <n v="0"/>
    <n v="0"/>
    <n v="0"/>
    <n v="18628.47"/>
    <n v="0"/>
  </r>
  <r>
    <x v="0"/>
    <x v="3"/>
    <x v="0"/>
    <s v="3500101"/>
    <n v="743020"/>
    <s v="Dues--Individual"/>
    <s v="Family Birthing Unit"/>
    <x v="0"/>
    <m/>
    <n v="0"/>
    <n v="0"/>
    <n v="0"/>
    <n v="0"/>
    <n v="0"/>
    <n v="0"/>
    <n v="216"/>
    <n v="0"/>
    <n v="0"/>
    <n v="0"/>
    <n v="0"/>
    <n v="0"/>
    <n v="216"/>
    <n v="0"/>
  </r>
  <r>
    <x v="0"/>
    <x v="3"/>
    <x v="0"/>
    <s v="3500101"/>
    <n v="743040"/>
    <s v="Subscriptions--Individual"/>
    <s v="Family Birthing Unit"/>
    <x v="0"/>
    <m/>
    <n v="0"/>
    <n v="0"/>
    <n v="0"/>
    <n v="0"/>
    <n v="0"/>
    <n v="0"/>
    <n v="0"/>
    <n v="216"/>
    <n v="0"/>
    <n v="0"/>
    <n v="0"/>
    <n v="0"/>
    <n v="216"/>
    <n v="0"/>
  </r>
  <r>
    <x v="0"/>
    <x v="3"/>
    <x v="0"/>
    <s v="3500101"/>
    <n v="749510"/>
    <s v="Miscellaneous Expenses"/>
    <s v="Family Birthing Unit"/>
    <x v="0"/>
    <m/>
    <n v="-10.98"/>
    <n v="31.2"/>
    <n v="179.4"/>
    <n v="24755.99"/>
    <n v="310.55"/>
    <n v="2973.21"/>
    <n v="606.33000000000004"/>
    <n v="525"/>
    <n v="9355.9599999999991"/>
    <n v="145.18"/>
    <n v="6489.56"/>
    <n v="-3224.18"/>
    <n v="42137.22"/>
    <n v="9713.74"/>
  </r>
  <r>
    <x v="0"/>
    <x v="3"/>
    <x v="0"/>
    <s v="3500101"/>
    <n v="749510"/>
    <s v="Licenses"/>
    <s v="Family Birthing Unit"/>
    <x v="0"/>
    <n v="1002"/>
    <n v="0"/>
    <n v="0"/>
    <n v="30"/>
    <n v="0"/>
    <n v="30"/>
    <n v="0"/>
    <n v="0"/>
    <n v="0"/>
    <n v="0"/>
    <n v="0"/>
    <n v="0"/>
    <n v="0"/>
    <n v="60"/>
    <n v="0"/>
  </r>
  <r>
    <x v="0"/>
    <x v="3"/>
    <x v="0"/>
    <s v="3500101"/>
    <n v="749510"/>
    <s v="RICE Rewards"/>
    <s v="Family Birthing Unit"/>
    <x v="0"/>
    <n v="5100"/>
    <n v="0"/>
    <n v="0"/>
    <n v="0"/>
    <n v="0"/>
    <n v="0"/>
    <n v="0"/>
    <n v="0"/>
    <n v="0"/>
    <n v="0"/>
    <n v="0"/>
    <n v="0"/>
    <n v="6368.53"/>
    <n v="6368.53"/>
    <n v="-6368.53"/>
  </r>
  <r>
    <x v="0"/>
    <x v="3"/>
    <x v="0"/>
    <s v="3500101"/>
    <n v="749530"/>
    <s v="Travel"/>
    <s v="Family Birthing Unit"/>
    <x v="0"/>
    <m/>
    <n v="0"/>
    <n v="0"/>
    <n v="0"/>
    <n v="0"/>
    <n v="419.4"/>
    <n v="0"/>
    <n v="0"/>
    <n v="71.69"/>
    <n v="0"/>
    <n v="12"/>
    <n v="0"/>
    <n v="115.57"/>
    <n v="618.66"/>
    <n v="-115.57"/>
  </r>
  <r>
    <x v="0"/>
    <x v="3"/>
    <x v="0"/>
    <s v="3500101"/>
    <n v="749535"/>
    <s v="Meetings"/>
    <s v="Family Birthing Unit"/>
    <x v="0"/>
    <m/>
    <n v="0"/>
    <n v="0"/>
    <n v="0"/>
    <n v="0"/>
    <n v="0"/>
    <n v="0"/>
    <n v="0"/>
    <n v="0"/>
    <n v="76.040000000000006"/>
    <n v="0"/>
    <n v="182.54"/>
    <n v="0"/>
    <n v="258.58"/>
    <n v="182.54"/>
  </r>
  <r>
    <x v="18"/>
    <x v="0"/>
    <x v="0"/>
    <s v="3500102"/>
    <n v="400010"/>
    <s v="Acute I/P Svcs Rev--Medicare"/>
    <s v="Family Birthing Unit"/>
    <x v="0"/>
    <n v="1100"/>
    <n v="-48446.97"/>
    <n v="-67175.59"/>
    <n v="-92371.4"/>
    <n v="-73723.83"/>
    <n v="-57451.95"/>
    <n v="-161540.54"/>
    <n v="-76249.53"/>
    <n v="-71213.399999999994"/>
    <n v="-63442.720000000001"/>
    <n v="-133506.12"/>
    <n v="-82228.28"/>
    <n v="-80307.47"/>
    <n v="-1007657.8"/>
    <n v="-1920.8099999999977"/>
  </r>
  <r>
    <x v="18"/>
    <x v="0"/>
    <x v="0"/>
    <s v="3500102"/>
    <n v="400010"/>
    <s v="Acute I/P Svcs Rev--Medicaid"/>
    <s v="Family Birthing Unit"/>
    <x v="0"/>
    <n v="1200"/>
    <n v="-1843907.5"/>
    <n v="-2561773.56"/>
    <n v="-1965582.26"/>
    <n v="-1559502.43"/>
    <n v="-2673581.67"/>
    <n v="-2571708.7200000002"/>
    <n v="-1748364.12"/>
    <n v="-1783047.25"/>
    <n v="-2220606.94"/>
    <n v="-1911331.25"/>
    <n v="-2209720.65"/>
    <n v="-1887614.33"/>
    <n v="-24936740.68"/>
    <n v="-322106.31999999983"/>
  </r>
  <r>
    <x v="18"/>
    <x v="0"/>
    <x v="0"/>
    <s v="3500102"/>
    <n v="400010"/>
    <s v="Acute I/P Svcs Rev--Comm Insurance"/>
    <s v="Family Birthing Unit"/>
    <x v="0"/>
    <n v="1300"/>
    <n v="-100096.5"/>
    <n v="-115564.04"/>
    <n v="-34380.79"/>
    <n v="-8412.8799999999992"/>
    <n v="-13841.67"/>
    <n v="-67544.66"/>
    <n v="-6604.84"/>
    <n v="-47351.839999999997"/>
    <n v="-49540.04"/>
    <n v="-143382.23000000001"/>
    <n v="-44630.38"/>
    <n v="-95400.88"/>
    <n v="-726750.75000000012"/>
    <n v="50770.500000000007"/>
  </r>
  <r>
    <x v="18"/>
    <x v="0"/>
    <x v="0"/>
    <s v="3500102"/>
    <n v="400010"/>
    <s v="Acute I/P Svcs Rev--BCBS Comm"/>
    <s v="Family Birthing Unit"/>
    <x v="0"/>
    <n v="1301"/>
    <n v="-333354.44"/>
    <n v="-218304.85"/>
    <n v="-213701.18"/>
    <n v="-511005.27"/>
    <n v="-347749.9"/>
    <n v="-353743.59"/>
    <n v="-245348.22"/>
    <n v="-327703.48"/>
    <n v="-230029.91"/>
    <n v="-278783.99"/>
    <n v="-285665.48"/>
    <n v="-378091.69"/>
    <n v="-3723482"/>
    <n v="92426.210000000021"/>
  </r>
  <r>
    <x v="18"/>
    <x v="0"/>
    <x v="0"/>
    <s v="3500102"/>
    <n v="400010"/>
    <s v="Acute I/P Svcs Rev--Managed Care"/>
    <s v="Family Birthing Unit"/>
    <x v="0"/>
    <n v="1400"/>
    <n v="-962287.19"/>
    <n v="-872997.36"/>
    <n v="-671702.53"/>
    <n v="-773921.04"/>
    <n v="-840626.01"/>
    <n v="-741956.13"/>
    <n v="-1187782.6100000001"/>
    <n v="-683153.36"/>
    <n v="-867304.64"/>
    <n v="-780998.56"/>
    <n v="-975990.02"/>
    <n v="-696847.33"/>
    <n v="-10055566.779999999"/>
    <n v="-279142.69000000006"/>
  </r>
  <r>
    <x v="18"/>
    <x v="0"/>
    <x v="0"/>
    <s v="3500102"/>
    <n v="400010"/>
    <s v="Acute I/P Svcs Rev--Self Pay"/>
    <s v="Family Birthing Unit"/>
    <x v="0"/>
    <n v="1500"/>
    <n v="-28957.73"/>
    <n v="-137612.15"/>
    <n v="-87084.19"/>
    <n v="-36028.379999999997"/>
    <n v="-111043.38"/>
    <n v="-47991.19"/>
    <n v="3526.52"/>
    <n v="-36823.85"/>
    <n v="-61574.2"/>
    <n v="-94943.38"/>
    <n v="-74081.83"/>
    <n v="-30327.49"/>
    <n v="-742941.24999999988"/>
    <n v="-43754.34"/>
  </r>
  <r>
    <x v="18"/>
    <x v="0"/>
    <x v="0"/>
    <s v="3500102"/>
    <n v="400010"/>
    <s v="Acute I/P Svcs Rev--Other"/>
    <s v="Family Birthing Unit"/>
    <x v="0"/>
    <n v="1700"/>
    <n v="-138040.5"/>
    <n v="-4826.8"/>
    <n v="-130960.41"/>
    <n v="-123925.05"/>
    <n v="-15961.78"/>
    <n v="-38445.33"/>
    <n v="-58517.61"/>
    <n v="-39769.089999999997"/>
    <n v="-26468.01"/>
    <n v="-9252.26"/>
    <n v="-21188.28"/>
    <n v="-74417.240000000005"/>
    <n v="-681772.36"/>
    <n v="53228.960000000006"/>
  </r>
  <r>
    <x v="19"/>
    <x v="0"/>
    <x v="0"/>
    <s v="3500102"/>
    <n v="400020"/>
    <s v="O/P Care Svcs Rev--Medicare"/>
    <s v="Family Birthing Unit"/>
    <x v="0"/>
    <n v="1100"/>
    <n v="-12552.32"/>
    <n v="-2609.04"/>
    <n v="-9054.0300000000007"/>
    <n v="-18474.32"/>
    <n v="-3431.4"/>
    <n v="-5038.57"/>
    <n v="-19707.53"/>
    <n v="-10863.09"/>
    <n v="-37192.559999999998"/>
    <n v="-4444.53"/>
    <n v="-9760.44"/>
    <n v="-7056.43"/>
    <n v="-140184.25999999998"/>
    <n v="-2704.01"/>
  </r>
  <r>
    <x v="19"/>
    <x v="0"/>
    <x v="0"/>
    <s v="3500102"/>
    <n v="400020"/>
    <s v="O/P Care Svcs Rev--Medicaid"/>
    <s v="Family Birthing Unit"/>
    <x v="0"/>
    <n v="1200"/>
    <n v="-168058.8"/>
    <n v="-216406.14"/>
    <n v="-117588.49"/>
    <n v="-174684.57"/>
    <n v="-92854.39"/>
    <n v="-124656.17"/>
    <n v="-134666.71"/>
    <n v="-109805.01"/>
    <n v="-140261.04"/>
    <n v="-95390.44"/>
    <n v="-102280.97"/>
    <n v="-76646.89"/>
    <n v="-1553299.6199999999"/>
    <n v="-25634.080000000002"/>
  </r>
  <r>
    <x v="19"/>
    <x v="0"/>
    <x v="0"/>
    <s v="3500102"/>
    <n v="400020"/>
    <s v="O/P Care Svcs Rev--Comm Insurance"/>
    <s v="Family Birthing Unit"/>
    <x v="0"/>
    <n v="1300"/>
    <n v="-7066.65"/>
    <n v="-10910.27"/>
    <n v="-5307.6"/>
    <n v="0"/>
    <n v="0"/>
    <n v="0"/>
    <n v="-2752.1"/>
    <n v="-3585.75"/>
    <n v="-10532.1"/>
    <n v="-3866.29"/>
    <n v="-3683.33"/>
    <n v="-8313"/>
    <n v="-56017.09"/>
    <n v="4629.67"/>
  </r>
  <r>
    <x v="19"/>
    <x v="0"/>
    <x v="0"/>
    <s v="3500102"/>
    <n v="400020"/>
    <s v="O/P Care Svcs Rev--BCBS Comm"/>
    <s v="Family Birthing Unit"/>
    <x v="0"/>
    <n v="1301"/>
    <n v="-17962.03"/>
    <n v="-14516.5"/>
    <n v="-16104.84"/>
    <n v="-14883.1"/>
    <n v="-11419.07"/>
    <n v="-3543.02"/>
    <n v="-17213.55"/>
    <n v="-10302.33"/>
    <n v="-8213.59"/>
    <n v="-8045.16"/>
    <n v="-27871.96"/>
    <n v="-33791.120000000003"/>
    <n v="-183866.27"/>
    <n v="5919.1600000000035"/>
  </r>
  <r>
    <x v="19"/>
    <x v="0"/>
    <x v="0"/>
    <s v="3500102"/>
    <n v="400020"/>
    <s v="O/P Care Svcs Rev--Managed Care"/>
    <s v="Family Birthing Unit"/>
    <x v="0"/>
    <n v="1400"/>
    <n v="-91609.89"/>
    <n v="-33078.230000000003"/>
    <n v="-56505.33"/>
    <n v="-34451.14"/>
    <n v="-38886.33"/>
    <n v="-62561.07"/>
    <n v="-44084.76"/>
    <n v="-43031.42"/>
    <n v="-15886.1"/>
    <n v="-32465.19"/>
    <n v="-37869.9"/>
    <n v="-36828.15"/>
    <n v="-527257.51"/>
    <n v="-1041.75"/>
  </r>
  <r>
    <x v="19"/>
    <x v="0"/>
    <x v="0"/>
    <s v="3500102"/>
    <n v="400020"/>
    <s v="O/P Care Svcs Rev--Self Pay"/>
    <s v="Family Birthing Unit"/>
    <x v="0"/>
    <n v="1500"/>
    <n v="-269.43"/>
    <n v="1161.05"/>
    <n v="-605.25"/>
    <n v="-12497.77"/>
    <n v="-5399.39"/>
    <n v="-1557.15"/>
    <n v="-847.1"/>
    <n v="-3776.95"/>
    <n v="0"/>
    <n v="2524.5"/>
    <n v="-7710.49"/>
    <n v="1810.24"/>
    <n v="-27167.74"/>
    <n v="-9520.73"/>
  </r>
  <r>
    <x v="19"/>
    <x v="0"/>
    <x v="0"/>
    <s v="3500102"/>
    <n v="400020"/>
    <s v="O/P Care Svcs Rev--Other"/>
    <s v="Family Birthing Unit"/>
    <x v="0"/>
    <n v="1700"/>
    <n v="-1155.5899999999999"/>
    <n v="0"/>
    <n v="-11438.5"/>
    <n v="0"/>
    <n v="0"/>
    <n v="-1243.5"/>
    <n v="-3190.5"/>
    <n v="-7965.92"/>
    <n v="-8345.36"/>
    <n v="-6110.88"/>
    <n v="0"/>
    <n v="-6755.85"/>
    <n v="-46206.1"/>
    <n v="6755.85"/>
  </r>
  <r>
    <x v="14"/>
    <x v="0"/>
    <x v="0"/>
    <s v="3500102"/>
    <n v="600050"/>
    <s v="Miscellaneous Revenue"/>
    <s v="Family Birthing Unit"/>
    <x v="0"/>
    <m/>
    <n v="-560"/>
    <n v="-280"/>
    <n v="-520"/>
    <n v="-980.93"/>
    <n v="-277.66000000000003"/>
    <n v="-540"/>
    <n v="-631.38"/>
    <n v="0"/>
    <n v="0"/>
    <n v="-571.86"/>
    <n v="0"/>
    <n v="0"/>
    <n v="-4361.83"/>
    <n v="0"/>
  </r>
  <r>
    <x v="5"/>
    <x v="0"/>
    <x v="0"/>
    <s v="3500102"/>
    <n v="700014"/>
    <s v="Salaries-Management-Productive"/>
    <s v="Family Birthing Unit"/>
    <x v="0"/>
    <m/>
    <n v="17900.54"/>
    <n v="17111.63"/>
    <n v="15804.41"/>
    <n v="19408.86"/>
    <n v="22135.78"/>
    <n v="7801.82"/>
    <n v="20066.13"/>
    <n v="15997.05"/>
    <n v="23424.79"/>
    <n v="17689.98"/>
    <n v="20578.990000000002"/>
    <n v="21482.93"/>
    <n v="219402.91"/>
    <n v="-903.93999999999869"/>
  </r>
  <r>
    <x v="5"/>
    <x v="0"/>
    <x v="0"/>
    <s v="3500102"/>
    <n v="700026"/>
    <s v="Salaries-RN-Productive"/>
    <s v="Family Birthing Unit"/>
    <x v="0"/>
    <m/>
    <n v="317346.56"/>
    <n v="307628.28999999998"/>
    <n v="286081.26"/>
    <n v="283637.78999999998"/>
    <n v="328430.49"/>
    <n v="301717.81"/>
    <n v="309617.14"/>
    <n v="259365.51"/>
    <n v="294286.19"/>
    <n v="282199.53000000003"/>
    <n v="307439.09000000003"/>
    <n v="293602.09000000003"/>
    <n v="3571351.7499999991"/>
    <n v="13837"/>
  </r>
  <r>
    <x v="5"/>
    <x v="0"/>
    <x v="0"/>
    <s v="3500102"/>
    <n v="700026"/>
    <s v="Salaries-RN-OT"/>
    <s v="Family Birthing Unit"/>
    <x v="0"/>
    <n v="1000"/>
    <n v="9078.89"/>
    <n v="7272.39"/>
    <n v="6427.28"/>
    <n v="8946.3700000000008"/>
    <n v="15641.23"/>
    <n v="10153.950000000001"/>
    <n v="8253.6299999999992"/>
    <n v="5345.73"/>
    <n v="8944.39"/>
    <n v="12691.9"/>
    <n v="7940.32"/>
    <n v="7660.45"/>
    <n v="108356.52999999998"/>
    <n v="279.86999999999989"/>
  </r>
  <r>
    <x v="5"/>
    <x v="0"/>
    <x v="0"/>
    <s v="3500102"/>
    <n v="700026"/>
    <s v="Salaries-RN-Other"/>
    <s v="Family Birthing Unit"/>
    <x v="0"/>
    <n v="2000"/>
    <n v="34221.15"/>
    <n v="31700.37"/>
    <n v="31189.89"/>
    <n v="29095.919999999998"/>
    <n v="33730.75"/>
    <n v="31804.97"/>
    <n v="33530.11"/>
    <n v="28707.49"/>
    <n v="29411.22"/>
    <n v="30152.18"/>
    <n v="31083.9"/>
    <n v="31205.52"/>
    <n v="375833.47000000003"/>
    <n v="-121.61999999999898"/>
  </r>
  <r>
    <x v="5"/>
    <x v="0"/>
    <x v="0"/>
    <s v="3500102"/>
    <n v="700032"/>
    <s v="Salaries-Other Pat Care Providers-Productive"/>
    <s v="Family Birthing Unit"/>
    <x v="0"/>
    <m/>
    <n v="14246.4"/>
    <n v="14377.06"/>
    <n v="14130.39"/>
    <n v="16682.150000000001"/>
    <n v="14107.97"/>
    <n v="20435.189999999999"/>
    <n v="17604.68"/>
    <n v="16448.59"/>
    <n v="21451.1"/>
    <n v="15885.17"/>
    <n v="17192.75"/>
    <n v="14861"/>
    <n v="197422.45"/>
    <n v="2331.75"/>
  </r>
  <r>
    <x v="5"/>
    <x v="0"/>
    <x v="0"/>
    <s v="3500102"/>
    <n v="700032"/>
    <s v="Salaries-Other Pat Care Providers-OT"/>
    <s v="Family Birthing Unit"/>
    <x v="0"/>
    <n v="1000"/>
    <n v="695.11"/>
    <n v="256.63"/>
    <n v="1328.16"/>
    <n v="589.16999999999996"/>
    <n v="804.91"/>
    <n v="836.01"/>
    <n v="106.1"/>
    <n v="670.49"/>
    <n v="518.04"/>
    <n v="796.49"/>
    <n v="705.92"/>
    <n v="390.91"/>
    <n v="7697.94"/>
    <n v="315.00999999999993"/>
  </r>
  <r>
    <x v="5"/>
    <x v="0"/>
    <x v="0"/>
    <s v="3500102"/>
    <n v="700032"/>
    <s v="Salaries-Other Pat Care Providers-Other"/>
    <s v="Family Birthing Unit"/>
    <x v="0"/>
    <n v="2000"/>
    <n v="1353.65"/>
    <n v="1301.47"/>
    <n v="1348.1"/>
    <n v="1489.24"/>
    <n v="1078.99"/>
    <n v="1994.27"/>
    <n v="1265.24"/>
    <n v="1374.04"/>
    <n v="1490.11"/>
    <n v="835.83"/>
    <n v="948.44"/>
    <n v="928.42"/>
    <n v="15407.800000000001"/>
    <n v="20.020000000000095"/>
  </r>
  <r>
    <x v="5"/>
    <x v="0"/>
    <x v="0"/>
    <s v="3500102"/>
    <n v="700034"/>
    <s v="Salaries-Tech/Professional-Productive"/>
    <s v="Family Birthing Unit"/>
    <x v="0"/>
    <m/>
    <n v="23484.73"/>
    <n v="22821.21"/>
    <n v="22419.74"/>
    <n v="22088.080000000002"/>
    <n v="22668.71"/>
    <n v="26796.31"/>
    <n v="23977.39"/>
    <n v="21326.639999999999"/>
    <n v="21859.52"/>
    <n v="19379.93"/>
    <n v="23973.06"/>
    <n v="21056.62"/>
    <n v="271851.94"/>
    <n v="2916.4400000000023"/>
  </r>
  <r>
    <x v="5"/>
    <x v="0"/>
    <x v="0"/>
    <s v="3500102"/>
    <n v="700034"/>
    <s v="Salaries-Tech/Professional-OT"/>
    <s v="Family Birthing Unit"/>
    <x v="0"/>
    <n v="1000"/>
    <n v="54.25"/>
    <n v="-7.5"/>
    <n v="178.74"/>
    <n v="132.69999999999999"/>
    <n v="213.38"/>
    <n v="-9.24"/>
    <n v="448"/>
    <n v="-52.25"/>
    <n v="40.85"/>
    <n v="130.66999999999999"/>
    <n v="92.7"/>
    <n v="814.04"/>
    <n v="2036.34"/>
    <n v="-721.33999999999992"/>
  </r>
  <r>
    <x v="5"/>
    <x v="0"/>
    <x v="0"/>
    <s v="3500102"/>
    <n v="700034"/>
    <s v="Salaries-Tech/Professional-Other"/>
    <s v="Family Birthing Unit"/>
    <x v="0"/>
    <n v="2000"/>
    <n v="2166.94"/>
    <n v="2278.64"/>
    <n v="1811.8"/>
    <n v="2247.83"/>
    <n v="2268.42"/>
    <n v="2513.69"/>
    <n v="2019.2"/>
    <n v="2564.2199999999998"/>
    <n v="2193.79"/>
    <n v="2679.93"/>
    <n v="2398.4699999999998"/>
    <n v="1735.87"/>
    <n v="26878.800000000003"/>
    <n v="662.59999999999991"/>
  </r>
  <r>
    <x v="5"/>
    <x v="0"/>
    <x v="0"/>
    <s v="3500102"/>
    <n v="700038"/>
    <s v="Salaries-Service/Support-Productive"/>
    <s v="Family Birthing Unit"/>
    <x v="0"/>
    <m/>
    <n v="9587.76"/>
    <n v="8998"/>
    <n v="7292.93"/>
    <n v="8357.98"/>
    <n v="9933.1299999999992"/>
    <n v="8475.6200000000008"/>
    <n v="9334.74"/>
    <n v="6926.36"/>
    <n v="10542.79"/>
    <n v="9860.93"/>
    <n v="9500.7800000000007"/>
    <n v="6970.15"/>
    <n v="105781.16999999998"/>
    <n v="2530.630000000001"/>
  </r>
  <r>
    <x v="5"/>
    <x v="0"/>
    <x v="0"/>
    <s v="3500102"/>
    <n v="700038"/>
    <s v="Salaries-Service/Support-OT"/>
    <s v="Family Birthing Unit"/>
    <x v="0"/>
    <n v="1000"/>
    <n v="10.74"/>
    <n v="-1.89"/>
    <n v="41.42"/>
    <n v="11.02"/>
    <n v="-7.11"/>
    <n v="59.09"/>
    <n v="-3.89"/>
    <n v="49.21"/>
    <n v="20.52"/>
    <n v="3.76"/>
    <n v="70.92"/>
    <n v="4.2300000000000004"/>
    <n v="258.02000000000004"/>
    <n v="66.69"/>
  </r>
  <r>
    <x v="5"/>
    <x v="0"/>
    <x v="0"/>
    <s v="3500102"/>
    <n v="700038"/>
    <s v="Salaries-Service/Support-Other"/>
    <s v="Family Birthing Unit"/>
    <x v="0"/>
    <n v="2000"/>
    <n v="319.14999999999998"/>
    <n v="147.44"/>
    <n v="202.91"/>
    <n v="49.47"/>
    <n v="315.48"/>
    <n v="166.94"/>
    <n v="359.5"/>
    <n v="64.349999999999994"/>
    <n v="298.3"/>
    <n v="300.92"/>
    <n v="67.53"/>
    <n v="210.14"/>
    <n v="2502.13"/>
    <n v="-142.60999999999999"/>
  </r>
  <r>
    <x v="5"/>
    <x v="0"/>
    <x v="0"/>
    <s v="3500102"/>
    <n v="700054"/>
    <s v="Salaries-Management-Non-productive"/>
    <s v="Family Birthing Unit"/>
    <x v="0"/>
    <m/>
    <n v="4207.79"/>
    <n v="4997.7"/>
    <n v="5592.02"/>
    <n v="3283.35"/>
    <n v="-40.950000000000003"/>
    <n v="15030.27"/>
    <n v="3150.82"/>
    <n v="4655.54"/>
    <n v="-559.22"/>
    <n v="4437.22"/>
    <n v="2286.54"/>
    <n v="645.36"/>
    <n v="47686.44"/>
    <n v="1641.1799999999998"/>
  </r>
  <r>
    <x v="5"/>
    <x v="0"/>
    <x v="0"/>
    <s v="3500102"/>
    <n v="700054"/>
    <s v="Salaries-Management-NonProd-Other"/>
    <s v="Family Birthing Unit"/>
    <x v="0"/>
    <n v="2000"/>
    <n v="0"/>
    <n v="0"/>
    <n v="0"/>
    <n v="0"/>
    <n v="1223.71"/>
    <n v="9403.81"/>
    <n v="-6903.71"/>
    <n v="-3671.13"/>
    <n v="0"/>
    <n v="0"/>
    <n v="0"/>
    <n v="0"/>
    <n v="52.680000000000291"/>
    <n v="0"/>
  </r>
  <r>
    <x v="5"/>
    <x v="0"/>
    <x v="0"/>
    <s v="3500102"/>
    <n v="700066"/>
    <s v="Salaries-RN-Non-productive"/>
    <s v="Family Birthing Unit"/>
    <x v="0"/>
    <m/>
    <n v="61967.94"/>
    <n v="60446.91"/>
    <n v="68790.600000000006"/>
    <n v="59774.43"/>
    <n v="53491.08"/>
    <n v="71857.429999999993"/>
    <n v="46373.71"/>
    <n v="63582.73"/>
    <n v="38481.1"/>
    <n v="42815.35"/>
    <n v="47488.3"/>
    <n v="48209.16"/>
    <n v="663278.74000000011"/>
    <n v="-720.86000000000058"/>
  </r>
  <r>
    <x v="5"/>
    <x v="0"/>
    <x v="0"/>
    <s v="3500102"/>
    <n v="700066"/>
    <s v="Salaries-RN-NonProd-Other"/>
    <s v="Family Birthing Unit"/>
    <x v="0"/>
    <n v="2000"/>
    <n v="4223.75"/>
    <n v="4340.49"/>
    <n v="5075.99"/>
    <n v="4224.46"/>
    <n v="5973.73"/>
    <n v="7162.82"/>
    <n v="3387.22"/>
    <n v="37.14"/>
    <n v="14670.15"/>
    <n v="3984.06"/>
    <n v="-6493.29"/>
    <n v="3452.43"/>
    <n v="50038.95"/>
    <n v="-9945.7199999999993"/>
  </r>
  <r>
    <x v="5"/>
    <x v="0"/>
    <x v="0"/>
    <s v="3500102"/>
    <n v="700072"/>
    <s v="Salaries-Other Pat Care Providers-Non-productive"/>
    <s v="Family Birthing Unit"/>
    <x v="0"/>
    <m/>
    <n v="2652.24"/>
    <n v="975.61"/>
    <n v="631.26"/>
    <n v="1624.27"/>
    <n v="1272.33"/>
    <n v="2148.96"/>
    <n v="2350.48"/>
    <n v="2012.79"/>
    <n v="1969.08"/>
    <n v="1219.96"/>
    <n v="2843.03"/>
    <n v="711.67"/>
    <n v="20411.679999999997"/>
    <n v="2131.36"/>
  </r>
  <r>
    <x v="5"/>
    <x v="0"/>
    <x v="0"/>
    <s v="3500102"/>
    <n v="700072"/>
    <s v="Salaries-Other Pat Care Providers-NonProd-Other"/>
    <s v="Family Birthing Unit"/>
    <x v="0"/>
    <n v="2000"/>
    <n v="151.5"/>
    <n v="-0.45"/>
    <n v="41.39"/>
    <n v="92.15"/>
    <n v="342.43"/>
    <n v="447.6"/>
    <n v="82.36"/>
    <n v="-707.75"/>
    <n v="56.14"/>
    <n v="36.92"/>
    <n v="111"/>
    <n v="-47.97"/>
    <n v="605.31999999999971"/>
    <n v="158.97"/>
  </r>
  <r>
    <x v="5"/>
    <x v="0"/>
    <x v="0"/>
    <s v="3500102"/>
    <n v="700074"/>
    <s v="Salaries-Tech/Professional-Non-productive"/>
    <s v="Family Birthing Unit"/>
    <x v="0"/>
    <m/>
    <n v="4302.5"/>
    <n v="7224.69"/>
    <n v="489.76"/>
    <n v="3098.25"/>
    <n v="4737.51"/>
    <n v="1328.11"/>
    <n v="2407.88"/>
    <n v="6204.16"/>
    <n v="3796.33"/>
    <n v="3811.01"/>
    <n v="1745.36"/>
    <n v="894.91"/>
    <n v="40040.470000000008"/>
    <n v="850.44999999999993"/>
  </r>
  <r>
    <x v="5"/>
    <x v="0"/>
    <x v="0"/>
    <s v="3500102"/>
    <n v="700074"/>
    <s v="Salaries-Tech/Professional-NonProd-Other"/>
    <s v="Family Birthing Unit"/>
    <x v="0"/>
    <n v="2000"/>
    <n v="300.76"/>
    <n v="658.32"/>
    <n v="-54.36"/>
    <n v="262.33"/>
    <n v="-7.7"/>
    <n v="147.78"/>
    <n v="256.01"/>
    <n v="523.38"/>
    <n v="-44"/>
    <n v="432.73"/>
    <n v="450.6"/>
    <n v="-11.91"/>
    <n v="2913.94"/>
    <n v="462.51000000000005"/>
  </r>
  <r>
    <x v="5"/>
    <x v="0"/>
    <x v="0"/>
    <s v="3500102"/>
    <n v="700078"/>
    <s v="Salaries-Service/Support-Non-productive"/>
    <s v="Family Birthing Unit"/>
    <x v="0"/>
    <m/>
    <n v="1684.59"/>
    <n v="332.43"/>
    <n v="2688.11"/>
    <n v="139.22"/>
    <n v="-203.29"/>
    <n v="2341.1"/>
    <n v="528"/>
    <n v="2191.36"/>
    <n v="558.25"/>
    <n v="1589.13"/>
    <n v="579.89"/>
    <n v="3798.63"/>
    <n v="16227.420000000002"/>
    <n v="-3218.7400000000002"/>
  </r>
  <r>
    <x v="5"/>
    <x v="0"/>
    <x v="0"/>
    <s v="3500102"/>
    <n v="700078"/>
    <s v="Salaries-Service/Support-NonProd-Other"/>
    <s v="Family Birthing Unit"/>
    <x v="0"/>
    <n v="2000"/>
    <n v="7.16"/>
    <n v="-1.26"/>
    <n v="0"/>
    <n v="0"/>
    <n v="23.25"/>
    <n v="-11.19"/>
    <n v="0"/>
    <n v="0"/>
    <n v="0"/>
    <n v="0"/>
    <n v="92.92"/>
    <n v="-44.73"/>
    <n v="66.150000000000006"/>
    <n v="137.65"/>
  </r>
  <r>
    <x v="5"/>
    <x v="0"/>
    <x v="0"/>
    <s v="3500102"/>
    <n v="700084"/>
    <s v="Accrued PTO"/>
    <s v="Family Birthing Unit"/>
    <x v="0"/>
    <m/>
    <n v="-10279.98"/>
    <n v="-11252.38"/>
    <n v="-18139.689999999999"/>
    <n v="-1976.73"/>
    <n v="19752.96"/>
    <n v="-14396.29"/>
    <n v="11772.21"/>
    <n v="-9221.8700000000008"/>
    <n v="9083.39"/>
    <n v="2846.36"/>
    <n v="6560.15"/>
    <n v="9070.59"/>
    <n v="-6181.2800000000116"/>
    <n v="-2510.4400000000005"/>
  </r>
  <r>
    <x v="10"/>
    <x v="0"/>
    <x v="0"/>
    <s v="3500102"/>
    <n v="710060"/>
    <s v="Contract Labor-Other"/>
    <s v="Family Birthing Unit"/>
    <x v="0"/>
    <m/>
    <n v="0"/>
    <n v="0"/>
    <n v="0"/>
    <n v="0"/>
    <n v="19880.84"/>
    <n v="13086.25"/>
    <n v="11103.75"/>
    <n v="17420.689999999999"/>
    <n v="11390"/>
    <n v="8245"/>
    <n v="13281.25"/>
    <n v="7182.5"/>
    <n v="101590.28"/>
    <n v="6098.75"/>
  </r>
  <r>
    <x v="10"/>
    <x v="0"/>
    <x v="0"/>
    <s v="3500102"/>
    <n v="710060"/>
    <s v="Contract Labor-Overtime"/>
    <s v="Family Birthing Unit"/>
    <x v="0"/>
    <n v="5100"/>
    <n v="0"/>
    <n v="0"/>
    <n v="0"/>
    <n v="0"/>
    <n v="2637.38"/>
    <n v="0"/>
    <n v="1690.63"/>
    <n v="0"/>
    <n v="344.25"/>
    <n v="0"/>
    <n v="602.44000000000005"/>
    <n v="0"/>
    <n v="5274.7000000000007"/>
    <n v="602.44000000000005"/>
  </r>
  <r>
    <x v="10"/>
    <x v="0"/>
    <x v="0"/>
    <s v="3500102"/>
    <n v="710060"/>
    <s v="Contract Labor-Standby Wages"/>
    <s v="Family Birthing Unit"/>
    <x v="0"/>
    <n v="5101"/>
    <n v="0"/>
    <n v="0"/>
    <n v="0"/>
    <n v="0"/>
    <n v="0"/>
    <n v="0"/>
    <n v="366"/>
    <n v="-120"/>
    <n v="268"/>
    <n v="96"/>
    <n v="202"/>
    <n v="152"/>
    <n v="964"/>
    <n v="50"/>
  </r>
  <r>
    <x v="6"/>
    <x v="0"/>
    <x v="0"/>
    <s v="3500102"/>
    <n v="713010"/>
    <s v="Benefits-FICA/Medicare"/>
    <s v="Family Birthing Unit"/>
    <x v="0"/>
    <m/>
    <n v="37577.72"/>
    <n v="36319.800000000003"/>
    <n v="34731.839999999997"/>
    <n v="34610.959999999999"/>
    <n v="38451.629999999997"/>
    <n v="36553.129999999997"/>
    <n v="36403.35"/>
    <n v="32499.99"/>
    <n v="34665.01"/>
    <n v="33274.71"/>
    <n v="34574.22"/>
    <n v="33798.79"/>
    <n v="423461.15000000008"/>
    <n v="775.43000000000029"/>
  </r>
  <r>
    <x v="6"/>
    <x v="0"/>
    <x v="0"/>
    <s v="3500102"/>
    <n v="713090"/>
    <s v="Benefits-Allocated Amounts"/>
    <s v="Family Birthing Unit"/>
    <x v="0"/>
    <m/>
    <n v="85659.45"/>
    <n v="73154.039999999994"/>
    <n v="76277.289999999994"/>
    <n v="73042.89"/>
    <n v="80774.42"/>
    <n v="80787.8"/>
    <n v="81818.48"/>
    <n v="77570.67"/>
    <n v="77515.64"/>
    <n v="77117.649999999994"/>
    <n v="81557.38"/>
    <n v="80845.48"/>
    <n v="946121.19000000006"/>
    <n v="711.90000000000873"/>
  </r>
  <r>
    <x v="6"/>
    <x v="0"/>
    <x v="0"/>
    <s v="3500102"/>
    <n v="713096"/>
    <s v="Employee Recognition"/>
    <s v="Family Birthing Unit"/>
    <x v="0"/>
    <n v="1017"/>
    <n v="0"/>
    <n v="49.48"/>
    <n v="314.77999999999997"/>
    <n v="0"/>
    <n v="0"/>
    <n v="300"/>
    <n v="71.92"/>
    <n v="0"/>
    <n v="109.24"/>
    <n v="72.48"/>
    <n v="159.91999999999999"/>
    <n v="0"/>
    <n v="1077.82"/>
    <n v="159.91999999999999"/>
  </r>
  <r>
    <x v="17"/>
    <x v="0"/>
    <x v="0"/>
    <s v="3500102"/>
    <n v="714520"/>
    <s v="Other Contracted Professionals"/>
    <s v="Family Birthing Unit"/>
    <x v="0"/>
    <m/>
    <n v="37200"/>
    <n v="37200"/>
    <n v="36000"/>
    <n v="37200"/>
    <n v="36000"/>
    <n v="37200"/>
    <n v="37497.14"/>
    <n v="33600"/>
    <n v="37200"/>
    <n v="32400"/>
    <n v="3600"/>
    <n v="69831.11"/>
    <n v="434928.25"/>
    <n v="-66231.11"/>
  </r>
  <r>
    <x v="7"/>
    <x v="0"/>
    <x v="0"/>
    <s v="3500102"/>
    <n v="718050"/>
    <s v="Contract Svcs-Other"/>
    <s v="Family Birthing Unit"/>
    <x v="0"/>
    <m/>
    <n v="1528.34"/>
    <n v="135.96"/>
    <n v="172.68"/>
    <n v="135.96"/>
    <n v="135.96"/>
    <n v="0"/>
    <n v="700.09"/>
    <n v="135.96"/>
    <n v="664.2"/>
    <n v="135.96"/>
    <n v="0"/>
    <n v="135.96"/>
    <n v="3881.0700000000006"/>
    <n v="-135.96"/>
  </r>
  <r>
    <x v="7"/>
    <x v="0"/>
    <x v="0"/>
    <s v="3500102"/>
    <n v="718050"/>
    <s v="Document Shredding/Storage"/>
    <s v="Family Birthing Unit"/>
    <x v="0"/>
    <n v="1012"/>
    <n v="2.92"/>
    <n v="3.01"/>
    <n v="62.55"/>
    <n v="32.75"/>
    <n v="-55.31"/>
    <n v="3.47"/>
    <n v="3.43"/>
    <n v="2.96"/>
    <n v="3.05"/>
    <n v="4"/>
    <n v="3.36"/>
    <n v="3.47"/>
    <n v="69.659999999999982"/>
    <n v="-0.11000000000000032"/>
  </r>
  <r>
    <x v="7"/>
    <x v="0"/>
    <x v="0"/>
    <s v="3500102"/>
    <n v="718050"/>
    <s v="Miscellaneous Purchased Svcs"/>
    <s v="Family Birthing Unit"/>
    <x v="0"/>
    <n v="1020"/>
    <n v="0"/>
    <n v="0"/>
    <n v="2423.3000000000002"/>
    <n v="825"/>
    <n v="0"/>
    <n v="0"/>
    <n v="0"/>
    <n v="0"/>
    <n v="0"/>
    <n v="0"/>
    <n v="0"/>
    <n v="0"/>
    <n v="3248.3"/>
    <n v="0"/>
  </r>
  <r>
    <x v="7"/>
    <x v="0"/>
    <x v="0"/>
    <s v="3500102"/>
    <n v="718050"/>
    <s v="Translation Services"/>
    <s v="Family Birthing Unit"/>
    <x v="0"/>
    <n v="1025"/>
    <n v="453.6"/>
    <n v="795.73"/>
    <n v="1001.77"/>
    <n v="992.47"/>
    <n v="474.3"/>
    <n v="463.96"/>
    <n v="1644.64"/>
    <n v="987.35"/>
    <n v="641.52"/>
    <n v="174.96"/>
    <n v="64"/>
    <n v="0"/>
    <n v="7694.3"/>
    <n v="64"/>
  </r>
  <r>
    <x v="7"/>
    <x v="0"/>
    <x v="0"/>
    <s v="3500102"/>
    <n v="718050"/>
    <s v="Contract Management--Linen"/>
    <s v="Family Birthing Unit"/>
    <x v="0"/>
    <n v="1026"/>
    <n v="5940.23"/>
    <n v="6063.16"/>
    <n v="6752"/>
    <n v="4475.4399999999996"/>
    <n v="7298.88"/>
    <n v="6290.87"/>
    <n v="6816.41"/>
    <n v="6645.5"/>
    <n v="6872.33"/>
    <n v="6388.76"/>
    <n v="7257.74"/>
    <n v="4467.82"/>
    <n v="75269.140000000014"/>
    <n v="2789.92"/>
  </r>
  <r>
    <x v="7"/>
    <x v="0"/>
    <x v="0"/>
    <s v="3500102"/>
    <n v="718070"/>
    <s v="Contract Srvcs-CHI Clinical Engineering"/>
    <s v="Family Birthing Unit"/>
    <x v="0"/>
    <m/>
    <n v="0"/>
    <n v="0"/>
    <n v="0"/>
    <n v="0"/>
    <n v="0"/>
    <n v="0"/>
    <n v="0"/>
    <n v="0"/>
    <n v="0"/>
    <n v="192.16"/>
    <n v="174.69"/>
    <n v="192.16"/>
    <n v="559.01"/>
    <n v="-17.47"/>
  </r>
  <r>
    <x v="7"/>
    <x v="0"/>
    <x v="0"/>
    <s v="3500102"/>
    <n v="718091"/>
    <s v="Contract Services-Intracompany Allocation"/>
    <s v="Family Birthing Unit"/>
    <x v="0"/>
    <m/>
    <n v="11805.74"/>
    <n v="13716.58"/>
    <n v="13505.21"/>
    <n v="13602.02"/>
    <n v="10869.02"/>
    <n v="12712.05"/>
    <n v="14969.46"/>
    <n v="12409.02"/>
    <n v="10948.98"/>
    <n v="10148.780000000001"/>
    <n v="11537.91"/>
    <n v="15093.53"/>
    <n v="151318.30000000002"/>
    <n v="-3555.6200000000008"/>
  </r>
  <r>
    <x v="11"/>
    <x v="0"/>
    <x v="0"/>
    <s v="3500102"/>
    <n v="721010"/>
    <s v="Supplies-Medical - Billable"/>
    <s v="Family Birthing Unit"/>
    <x v="0"/>
    <m/>
    <n v="2580"/>
    <n v="3365.06"/>
    <n v="4154.58"/>
    <n v="3667.17"/>
    <n v="5455.61"/>
    <n v="3173.75"/>
    <n v="3925.07"/>
    <n v="2470.81"/>
    <n v="7016.84"/>
    <n v="1741.57"/>
    <n v="5097.33"/>
    <n v="568.53"/>
    <n v="43216.32"/>
    <n v="4528.8"/>
  </r>
  <r>
    <x v="11"/>
    <x v="0"/>
    <x v="0"/>
    <s v="3500102"/>
    <n v="721010"/>
    <s v="Patient Monitoring"/>
    <s v="Family Birthing Unit"/>
    <x v="0"/>
    <n v="1000"/>
    <n v="183.9"/>
    <n v="177.13"/>
    <n v="118.64"/>
    <n v="329.66"/>
    <n v="-1010.79"/>
    <n v="626.24"/>
    <n v="89.02"/>
    <n v="123.98"/>
    <n v="500.38"/>
    <n v="136.97"/>
    <n v="940.11"/>
    <n v="44.27"/>
    <n v="2259.5099999999998"/>
    <n v="895.84"/>
  </r>
  <r>
    <x v="11"/>
    <x v="0"/>
    <x v="0"/>
    <s v="3500102"/>
    <n v="721020"/>
    <s v="Supplies-Surgical - Billable"/>
    <s v="Family Birthing Unit"/>
    <x v="0"/>
    <m/>
    <n v="1358.31"/>
    <n v="1583.13"/>
    <n v="927.94"/>
    <n v="845.72"/>
    <n v="1453.21"/>
    <n v="2082.12"/>
    <n v="1128.8599999999999"/>
    <n v="717.23"/>
    <n v="2240.92"/>
    <n v="830.71"/>
    <n v="1225.98"/>
    <n v="3521.8"/>
    <n v="17915.93"/>
    <n v="-2295.8200000000002"/>
  </r>
  <r>
    <x v="11"/>
    <x v="0"/>
    <x v="0"/>
    <s v="3500102"/>
    <n v="721020"/>
    <s v="Custom Packs"/>
    <s v="Family Birthing Unit"/>
    <x v="0"/>
    <n v="1000"/>
    <n v="1526.22"/>
    <n v="2219.87"/>
    <n v="1678.34"/>
    <n v="1492.28"/>
    <n v="1934.29"/>
    <n v="1960.65"/>
    <n v="1628.91"/>
    <n v="1507.65"/>
    <n v="1756.47"/>
    <n v="1695.93"/>
    <n v="1773.51"/>
    <n v="1493.39"/>
    <n v="20667.509999999995"/>
    <n v="280.11999999999989"/>
  </r>
  <r>
    <x v="11"/>
    <x v="0"/>
    <x v="0"/>
    <s v="3500102"/>
    <n v="721020"/>
    <s v="Suture/Wound Closure"/>
    <s v="Family Birthing Unit"/>
    <x v="0"/>
    <n v="1001"/>
    <n v="350.84"/>
    <n v="110.59"/>
    <n v="579.78"/>
    <n v="639.41999999999996"/>
    <n v="541.51"/>
    <n v="862.8"/>
    <n v="345.4"/>
    <n v="186.99"/>
    <n v="897.99"/>
    <n v="56.37"/>
    <n v="44.76"/>
    <n v="604.33000000000004"/>
    <n v="5220.7800000000007"/>
    <n v="-559.57000000000005"/>
  </r>
  <r>
    <x v="11"/>
    <x v="0"/>
    <x v="0"/>
    <s v="3500102"/>
    <n v="721020"/>
    <s v="Urological Supplies"/>
    <s v="Family Birthing Unit"/>
    <x v="0"/>
    <n v="1006"/>
    <n v="957"/>
    <n v="913.5"/>
    <n v="0"/>
    <n v="0"/>
    <n v="0"/>
    <n v="0"/>
    <n v="0"/>
    <n v="1435.5"/>
    <n v="478.5"/>
    <n v="-174"/>
    <n v="1495.72"/>
    <n v="0"/>
    <n v="5106.22"/>
    <n v="1495.72"/>
  </r>
  <r>
    <x v="11"/>
    <x v="0"/>
    <x v="0"/>
    <s v="3500102"/>
    <n v="721020"/>
    <s v="Tubes Drains &amp; Related Supplies"/>
    <s v="Family Birthing Unit"/>
    <x v="0"/>
    <n v="1008"/>
    <n v="13.43"/>
    <n v="0"/>
    <n v="0"/>
    <n v="0"/>
    <n v="0"/>
    <n v="0"/>
    <n v="0"/>
    <n v="0"/>
    <n v="13.43"/>
    <n v="0"/>
    <n v="16.03"/>
    <n v="0"/>
    <n v="42.89"/>
    <n v="16.03"/>
  </r>
  <r>
    <x v="11"/>
    <x v="0"/>
    <x v="0"/>
    <s v="3500102"/>
    <n v="721150"/>
    <s v="Supplies-Other Implants - Billable"/>
    <s v="Family Birthing Unit"/>
    <x v="0"/>
    <m/>
    <n v="0"/>
    <n v="0"/>
    <n v="0"/>
    <n v="0"/>
    <n v="0"/>
    <n v="0"/>
    <n v="0"/>
    <n v="0"/>
    <n v="0"/>
    <n v="0"/>
    <n v="0"/>
    <n v="696.12"/>
    <n v="696.12"/>
    <n v="-696.12"/>
  </r>
  <r>
    <x v="11"/>
    <x v="0"/>
    <x v="0"/>
    <s v="3500102"/>
    <n v="721240"/>
    <s v="Supplies-IV Solutions/Supplies - Billable"/>
    <s v="Family Birthing Unit"/>
    <x v="0"/>
    <m/>
    <n v="1665.5"/>
    <n v="1706.06"/>
    <n v="1269.47"/>
    <n v="1287.8"/>
    <n v="1583.8"/>
    <n v="1463.38"/>
    <n v="1622.44"/>
    <n v="1149.97"/>
    <n v="1676.26"/>
    <n v="1166.55"/>
    <n v="1903.27"/>
    <n v="1480.96"/>
    <n v="17975.46"/>
    <n v="422.30999999999995"/>
  </r>
  <r>
    <x v="11"/>
    <x v="0"/>
    <x v="0"/>
    <s v="3500102"/>
    <n v="721250"/>
    <s v="Supplies-Pharmacy Drugs - Billable"/>
    <s v="Family Birthing Unit"/>
    <x v="0"/>
    <m/>
    <n v="0"/>
    <n v="0"/>
    <n v="0"/>
    <n v="25.93"/>
    <n v="2.2400000000000002"/>
    <n v="0"/>
    <n v="0"/>
    <n v="2.33"/>
    <n v="0"/>
    <n v="0"/>
    <n v="0"/>
    <n v="0"/>
    <n v="30.5"/>
    <n v="0"/>
  </r>
  <r>
    <x v="11"/>
    <x v="0"/>
    <x v="0"/>
    <s v="3500102"/>
    <n v="721410"/>
    <s v="Supplies-Medical - Nonbillable"/>
    <s v="Family Birthing Unit"/>
    <x v="0"/>
    <m/>
    <n v="13588.4"/>
    <n v="20423.7"/>
    <n v="13283.83"/>
    <n v="12822.35"/>
    <n v="15088.18"/>
    <n v="17560.78"/>
    <n v="17517.89"/>
    <n v="11679.69"/>
    <n v="14248.2"/>
    <n v="17131.490000000002"/>
    <n v="16289.4"/>
    <n v="16649.740000000002"/>
    <n v="186283.64999999997"/>
    <n v="-360.34000000000196"/>
  </r>
  <r>
    <x v="11"/>
    <x v="0"/>
    <x v="0"/>
    <s v="3500102"/>
    <n v="721410"/>
    <s v="Patient Monitoring"/>
    <s v="Family Birthing Unit"/>
    <x v="0"/>
    <n v="1000"/>
    <n v="0"/>
    <n v="0"/>
    <n v="0"/>
    <n v="0"/>
    <n v="9.06"/>
    <n v="0"/>
    <n v="0"/>
    <n v="0"/>
    <n v="0"/>
    <n v="0"/>
    <n v="0"/>
    <n v="0"/>
    <n v="9.06"/>
    <n v="0"/>
  </r>
  <r>
    <x v="11"/>
    <x v="0"/>
    <x v="0"/>
    <s v="3500102"/>
    <n v="721420"/>
    <s v="Supplies-Surgical Nonbillable"/>
    <s v="Family Birthing Unit"/>
    <x v="0"/>
    <m/>
    <n v="1136.02"/>
    <n v="1809.11"/>
    <n v="1443.69"/>
    <n v="1157.25"/>
    <n v="1554.31"/>
    <n v="1586.18"/>
    <n v="1475.16"/>
    <n v="1101.18"/>
    <n v="1605.49"/>
    <n v="1139.53"/>
    <n v="1551.59"/>
    <n v="1146.71"/>
    <n v="16706.22"/>
    <n v="404.87999999999988"/>
  </r>
  <r>
    <x v="11"/>
    <x v="0"/>
    <x v="0"/>
    <s v="3500102"/>
    <n v="721420"/>
    <s v="Tubes Drains &amp; Related Supplies"/>
    <s v="Family Birthing Unit"/>
    <x v="0"/>
    <n v="1008"/>
    <n v="490.89"/>
    <n v="392.54"/>
    <n v="1496.44"/>
    <n v="127.52"/>
    <n v="146.31"/>
    <n v="200.53"/>
    <n v="709.12"/>
    <n v="271.47000000000003"/>
    <n v="352.24"/>
    <n v="166.46"/>
    <n v="372.1"/>
    <n v="206.01"/>
    <n v="4931.63"/>
    <n v="166.09000000000003"/>
  </r>
  <r>
    <x v="11"/>
    <x v="0"/>
    <x v="0"/>
    <s v="3500102"/>
    <n v="721420"/>
    <s v="Sterilization Process Products"/>
    <s v="Family Birthing Unit"/>
    <x v="0"/>
    <n v="1009"/>
    <n v="178.38"/>
    <n v="420.09"/>
    <n v="356.76"/>
    <n v="168.6"/>
    <n v="374.35"/>
    <n v="226.92"/>
    <n v="242"/>
    <n v="89.19"/>
    <n v="0"/>
    <n v="4201.82"/>
    <n v="0"/>
    <n v="0"/>
    <n v="6258.11"/>
    <n v="0"/>
  </r>
  <r>
    <x v="11"/>
    <x v="0"/>
    <x v="0"/>
    <s v="3500102"/>
    <n v="721610"/>
    <s v="Supplies-Anesthesia - Nonbillable"/>
    <s v="Family Birthing Unit"/>
    <x v="0"/>
    <m/>
    <n v="2318.88"/>
    <n v="4920.55"/>
    <n v="2269.44"/>
    <n v="2776.28"/>
    <n v="2567.2399999999998"/>
    <n v="2793.07"/>
    <n v="2287.59"/>
    <n v="2134.5300000000002"/>
    <n v="1598.2"/>
    <n v="1918.32"/>
    <n v="2402.25"/>
    <n v="1266.8499999999999"/>
    <n v="29253.200000000001"/>
    <n v="1135.4000000000001"/>
  </r>
  <r>
    <x v="11"/>
    <x v="0"/>
    <x v="0"/>
    <s v="3500102"/>
    <n v="721640"/>
    <s v="Supplies-IV Solutions/Supplies - Nonbillable"/>
    <s v="Family Birthing Unit"/>
    <x v="0"/>
    <m/>
    <n v="2431.1999999999998"/>
    <n v="3224.79"/>
    <n v="2287.87"/>
    <n v="2338.2800000000002"/>
    <n v="2535.29"/>
    <n v="3164.59"/>
    <n v="2490.59"/>
    <n v="2161.83"/>
    <n v="2595.91"/>
    <n v="2404.11"/>
    <n v="3012.69"/>
    <n v="2222.81"/>
    <n v="30869.960000000003"/>
    <n v="789.88000000000011"/>
  </r>
  <r>
    <x v="11"/>
    <x v="0"/>
    <x v="0"/>
    <s v="3500102"/>
    <n v="721650"/>
    <s v="Supplies-Pharmacy Drugs - Nonbillable"/>
    <s v="Family Birthing Unit"/>
    <x v="0"/>
    <m/>
    <n v="374.32"/>
    <n v="444.69"/>
    <n v="371.04"/>
    <n v="471.85"/>
    <n v="404.63"/>
    <n v="393.81"/>
    <n v="404"/>
    <n v="287.27999999999997"/>
    <n v="464.37"/>
    <n v="419.34"/>
    <n v="427.23"/>
    <n v="390.71"/>
    <n v="4853.2699999999995"/>
    <n v="36.520000000000039"/>
  </r>
  <r>
    <x v="11"/>
    <x v="0"/>
    <x v="0"/>
    <s v="3500102"/>
    <n v="721710"/>
    <s v="Supplies-Laboratory - Nonbillable"/>
    <s v="Family Birthing Unit"/>
    <x v="0"/>
    <m/>
    <n v="582.83000000000004"/>
    <n v="524.53"/>
    <n v="340.85"/>
    <n v="511.48"/>
    <n v="314.54000000000002"/>
    <n v="539.36"/>
    <n v="458.15"/>
    <n v="433.72"/>
    <n v="358.61"/>
    <n v="379.25"/>
    <n v="434.27"/>
    <n v="383.76"/>
    <n v="5261.35"/>
    <n v="50.509999999999991"/>
  </r>
  <r>
    <x v="11"/>
    <x v="0"/>
    <x v="0"/>
    <s v="3500102"/>
    <n v="721710"/>
    <s v="Reagents"/>
    <s v="Family Birthing Unit"/>
    <x v="0"/>
    <n v="1000"/>
    <n v="0"/>
    <n v="0"/>
    <n v="0"/>
    <n v="0"/>
    <n v="0"/>
    <n v="0"/>
    <n v="0"/>
    <n v="10"/>
    <n v="0"/>
    <n v="0"/>
    <n v="0"/>
    <n v="0"/>
    <n v="10"/>
    <n v="0"/>
  </r>
  <r>
    <x v="11"/>
    <x v="0"/>
    <x v="0"/>
    <s v="3500102"/>
    <n v="721750"/>
    <s v="Supplies-Film/Radiographic - Nonbillable"/>
    <s v="Family Birthing Unit"/>
    <x v="0"/>
    <m/>
    <n v="14.99"/>
    <n v="12.18"/>
    <n v="11.25"/>
    <n v="78.69"/>
    <n v="7.5"/>
    <n v="25.3"/>
    <n v="17.79"/>
    <n v="4.68"/>
    <n v="7.49"/>
    <n v="13.11"/>
    <n v="25.29"/>
    <n v="27.16"/>
    <n v="245.43"/>
    <n v="-1.870000000000001"/>
  </r>
  <r>
    <x v="11"/>
    <x v="0"/>
    <x v="0"/>
    <s v="3500102"/>
    <n v="721810"/>
    <s v="Supplies-Dietary/Cafeteria"/>
    <s v="Family Birthing Unit"/>
    <x v="0"/>
    <m/>
    <n v="2362.48"/>
    <n v="2128.2600000000002"/>
    <n v="1827.13"/>
    <n v="2023.36"/>
    <n v="3333.59"/>
    <n v="2301.7600000000002"/>
    <n v="2257"/>
    <n v="1790.65"/>
    <n v="2520.13"/>
    <n v="2475.9"/>
    <n v="2292.39"/>
    <n v="2404.41"/>
    <n v="27717.06"/>
    <n v="-112.01999999999998"/>
  </r>
  <r>
    <x v="11"/>
    <x v="0"/>
    <x v="0"/>
    <s v="3500102"/>
    <n v="721830"/>
    <s v="Supplies-Office"/>
    <s v="Family Birthing Unit"/>
    <x v="0"/>
    <m/>
    <n v="3520.58"/>
    <n v="2117.52"/>
    <n v="816.22"/>
    <n v="604.6"/>
    <n v="1925.23"/>
    <n v="762.5"/>
    <n v="1625.41"/>
    <n v="538.54"/>
    <n v="1428.87"/>
    <n v="2235.42"/>
    <n v="2901.5"/>
    <n v="1410.1"/>
    <n v="19886.489999999998"/>
    <n v="1491.4"/>
  </r>
  <r>
    <x v="11"/>
    <x v="0"/>
    <x v="0"/>
    <s v="3500102"/>
    <n v="721835"/>
    <s v="Supplies-Forms"/>
    <s v="Family Birthing Unit"/>
    <x v="0"/>
    <m/>
    <n v="0"/>
    <n v="0"/>
    <n v="0"/>
    <n v="0"/>
    <n v="414.61"/>
    <n v="113.1"/>
    <n v="93.85"/>
    <n v="0"/>
    <n v="223.09"/>
    <n v="160.61000000000001"/>
    <n v="147.71"/>
    <n v="343.8"/>
    <n v="1496.77"/>
    <n v="-196.09"/>
  </r>
  <r>
    <x v="11"/>
    <x v="0"/>
    <x v="0"/>
    <s v="3500102"/>
    <n v="721870"/>
    <s v="Supplies-Environmental Services"/>
    <s v="Family Birthing Unit"/>
    <x v="0"/>
    <m/>
    <n v="353.24"/>
    <n v="246.78"/>
    <n v="621.71"/>
    <n v="531.89"/>
    <n v="429.91"/>
    <n v="404.14"/>
    <n v="362.5"/>
    <n v="283.86"/>
    <n v="332.4"/>
    <n v="317.11"/>
    <n v="268"/>
    <n v="179.32"/>
    <n v="4330.8599999999997"/>
    <n v="88.68"/>
  </r>
  <r>
    <x v="11"/>
    <x v="0"/>
    <x v="0"/>
    <s v="3500102"/>
    <n v="721880"/>
    <s v="Supplies-Linen"/>
    <s v="Family Birthing Unit"/>
    <x v="0"/>
    <m/>
    <n v="10.49"/>
    <n v="11.79"/>
    <n v="14.41"/>
    <n v="7.86"/>
    <n v="6.55"/>
    <n v="9.17"/>
    <n v="5.24"/>
    <n v="9.17"/>
    <n v="18.34"/>
    <n v="10.48"/>
    <n v="23.58"/>
    <n v="79.92"/>
    <n v="207"/>
    <n v="-56.34"/>
  </r>
  <r>
    <x v="11"/>
    <x v="0"/>
    <x v="0"/>
    <s v="3500102"/>
    <n v="721910"/>
    <s v="Supplies-Small Equipment"/>
    <s v="Family Birthing Unit"/>
    <x v="0"/>
    <m/>
    <n v="3184.6"/>
    <n v="2005.48"/>
    <n v="1469.77"/>
    <n v="288.27999999999997"/>
    <n v="736.61"/>
    <n v="440.67"/>
    <n v="4758.42"/>
    <n v="191.08"/>
    <n v="79.66"/>
    <n v="3634.68"/>
    <n v="2657.01"/>
    <n v="171.62"/>
    <n v="19617.88"/>
    <n v="2485.3900000000003"/>
  </r>
  <r>
    <x v="11"/>
    <x v="0"/>
    <x v="0"/>
    <s v="3500102"/>
    <n v="721910"/>
    <s v="Instruments"/>
    <s v="Family Birthing Unit"/>
    <x v="0"/>
    <n v="1000"/>
    <n v="332.68"/>
    <n v="3084.83"/>
    <n v="432.51"/>
    <n v="1487.08"/>
    <n v="542.91999999999996"/>
    <n v="460.24"/>
    <n v="4354.78"/>
    <n v="79.03"/>
    <n v="1090.81"/>
    <n v="1091.5"/>
    <n v="757.71"/>
    <n v="319"/>
    <n v="14033.09"/>
    <n v="438.71000000000004"/>
  </r>
  <r>
    <x v="11"/>
    <x v="0"/>
    <x v="0"/>
    <s v="3500102"/>
    <n v="721980"/>
    <s v="Supplies-Other"/>
    <s v="Family Birthing Unit"/>
    <x v="0"/>
    <m/>
    <n v="4664.8599999999997"/>
    <n v="408.41"/>
    <n v="1201.56"/>
    <n v="345.44"/>
    <n v="127"/>
    <n v="2145.8200000000002"/>
    <n v="329.84"/>
    <n v="0"/>
    <n v="28.8"/>
    <n v="0"/>
    <n v="10"/>
    <n v="158.22"/>
    <n v="9419.9499999999989"/>
    <n v="-148.22"/>
  </r>
  <r>
    <x v="11"/>
    <x v="0"/>
    <x v="0"/>
    <s v="3500102"/>
    <n v="722000"/>
    <s v="Supplies-Freight Expense"/>
    <s v="Family Birthing Unit"/>
    <x v="0"/>
    <m/>
    <n v="72.87"/>
    <n v="161.08000000000001"/>
    <n v="7.93"/>
    <n v="97.57"/>
    <n v="66.62"/>
    <n v="75.95"/>
    <n v="136.43"/>
    <n v="62.9"/>
    <n v="118.53"/>
    <n v="58.08"/>
    <n v="59.68"/>
    <n v="59.29"/>
    <n v="976.93"/>
    <n v="0.39000000000000057"/>
  </r>
  <r>
    <x v="11"/>
    <x v="0"/>
    <x v="0"/>
    <s v="3500102"/>
    <n v="722000"/>
    <s v="Minimum Order Fees"/>
    <s v="Family Birthing Unit"/>
    <x v="0"/>
    <n v="1000"/>
    <n v="0"/>
    <n v="0"/>
    <n v="0"/>
    <n v="0"/>
    <n v="0"/>
    <n v="0"/>
    <n v="0"/>
    <n v="0"/>
    <n v="0"/>
    <n v="0"/>
    <n v="0"/>
    <n v="6.27"/>
    <n v="6.27"/>
    <n v="-6.27"/>
  </r>
  <r>
    <x v="12"/>
    <x v="0"/>
    <x v="0"/>
    <s v="3500102"/>
    <n v="730020"/>
    <s v="Rental and Leases-Copier Usage Fees (DO NOT USE)"/>
    <s v="Family Birthing Unit"/>
    <x v="0"/>
    <n v="5100"/>
    <n v="539.4"/>
    <n v="550.17999999999995"/>
    <n v="544.79"/>
    <n v="544.79"/>
    <n v="544.79"/>
    <n v="544.79"/>
    <n v="396.02"/>
    <n v="399.54"/>
    <n v="398.7"/>
    <n v="687.95"/>
    <n v="435.18"/>
    <n v="495.35"/>
    <n v="6081.4800000000005"/>
    <n v="-60.170000000000016"/>
  </r>
  <r>
    <x v="15"/>
    <x v="0"/>
    <x v="0"/>
    <s v="3500102"/>
    <n v="731060"/>
    <s v="Telephone"/>
    <s v="Family Birthing Unit"/>
    <x v="0"/>
    <m/>
    <n v="0"/>
    <n v="0"/>
    <n v="0"/>
    <n v="0"/>
    <n v="0"/>
    <n v="0"/>
    <n v="0"/>
    <n v="0"/>
    <n v="0"/>
    <n v="43"/>
    <n v="4.3"/>
    <n v="0"/>
    <n v="47.3"/>
    <n v="4.3"/>
  </r>
  <r>
    <x v="15"/>
    <x v="0"/>
    <x v="0"/>
    <s v="3500102"/>
    <n v="731060"/>
    <s v="Cell Phones"/>
    <s v="Family Birthing Unit"/>
    <x v="0"/>
    <n v="1001"/>
    <n v="0"/>
    <n v="274.55"/>
    <n v="134.02000000000001"/>
    <n v="0"/>
    <n v="134.34"/>
    <n v="136.04"/>
    <n v="272.17"/>
    <n v="0"/>
    <n v="137.72"/>
    <n v="160.32"/>
    <n v="196.82"/>
    <n v="139.33000000000001"/>
    <n v="1585.31"/>
    <n v="57.489999999999981"/>
  </r>
  <r>
    <x v="15"/>
    <x v="0"/>
    <x v="0"/>
    <s v="3500102"/>
    <n v="731060"/>
    <s v="Pagers"/>
    <s v="Family Birthing Unit"/>
    <x v="0"/>
    <n v="1002"/>
    <n v="17.399999999999999"/>
    <n v="17.399999999999999"/>
    <n v="17.399999999999999"/>
    <n v="17.440000000000001"/>
    <n v="17.440000000000001"/>
    <n v="0"/>
    <n v="34.880000000000003"/>
    <n v="17.440000000000001"/>
    <n v="17.440000000000001"/>
    <n v="17.440000000000001"/>
    <n v="17.440000000000001"/>
    <n v="17.440000000000001"/>
    <n v="209.16"/>
    <n v="0"/>
  </r>
  <r>
    <x v="16"/>
    <x v="0"/>
    <x v="0"/>
    <s v="3500102"/>
    <n v="732020"/>
    <s v="Repairs--Clin Equip-Parts-Internal to CHI Programs"/>
    <s v="Family Birthing Unit"/>
    <x v="0"/>
    <m/>
    <n v="53.22"/>
    <n v="91.76"/>
    <n v="52.98"/>
    <n v="61"/>
    <n v="77.81"/>
    <n v="17.399999999999999"/>
    <n v="17.399999999999999"/>
    <n v="34.020000000000003"/>
    <n v="45.06"/>
    <n v="19.260000000000002"/>
    <n v="58"/>
    <n v="34.799999999999997"/>
    <n v="562.70999999999992"/>
    <n v="23.200000000000003"/>
  </r>
  <r>
    <x v="16"/>
    <x v="0"/>
    <x v="0"/>
    <s v="3500102"/>
    <n v="732030"/>
    <s v="Repairs---Other"/>
    <s v="Family Birthing Unit"/>
    <x v="0"/>
    <m/>
    <n v="0"/>
    <n v="0"/>
    <n v="0"/>
    <n v="0"/>
    <n v="0"/>
    <n v="0"/>
    <n v="0"/>
    <n v="0"/>
    <n v="0"/>
    <n v="0"/>
    <n v="820.05"/>
    <n v="9347.34"/>
    <n v="10167.39"/>
    <n v="-8527.2900000000009"/>
  </r>
  <r>
    <x v="16"/>
    <x v="0"/>
    <x v="0"/>
    <s v="3500102"/>
    <n v="733030"/>
    <s v="Maintenance Contracts-Other"/>
    <s v="Family Birthing Unit"/>
    <x v="0"/>
    <m/>
    <n v="0"/>
    <n v="3214.17"/>
    <n v="0"/>
    <n v="1534.51"/>
    <n v="324.5"/>
    <n v="0"/>
    <n v="24.88"/>
    <n v="0"/>
    <n v="0"/>
    <n v="0"/>
    <n v="0"/>
    <n v="0"/>
    <n v="5098.0600000000004"/>
    <n v="0"/>
  </r>
  <r>
    <x v="13"/>
    <x v="0"/>
    <x v="0"/>
    <s v="3500102"/>
    <n v="735060"/>
    <s v="Depreciation-Fixed Equipment"/>
    <s v="Family Birthing Unit"/>
    <x v="0"/>
    <m/>
    <n v="2106.4899999999998"/>
    <n v="2106.4899999999998"/>
    <n v="2106.4899999999998"/>
    <n v="2106.48"/>
    <n v="2106.4899999999998"/>
    <n v="2106.48"/>
    <n v="2106.4899999999998"/>
    <n v="2106.48"/>
    <n v="2106.4899999999998"/>
    <n v="2106.48"/>
    <n v="2106.5"/>
    <n v="2106.48"/>
    <n v="25277.839999999997"/>
    <n v="1.999999999998181E-2"/>
  </r>
  <r>
    <x v="13"/>
    <x v="0"/>
    <x v="0"/>
    <s v="3500102"/>
    <n v="735070"/>
    <s v="Depreciation-Movable Equipment"/>
    <s v="Family Birthing Unit"/>
    <x v="0"/>
    <m/>
    <n v="9429.41"/>
    <n v="12272.82"/>
    <n v="11316.54"/>
    <n v="11971.82"/>
    <n v="11972"/>
    <n v="12707.45"/>
    <n v="12761.6"/>
    <n v="12995.65"/>
    <n v="12995.9"/>
    <n v="12995.64"/>
    <n v="13060.41"/>
    <n v="13060.12"/>
    <n v="147539.35999999999"/>
    <n v="0.28999999999905413"/>
  </r>
  <r>
    <x v="0"/>
    <x v="0"/>
    <x v="0"/>
    <s v="3500102"/>
    <n v="740010"/>
    <s v="Education-Materials"/>
    <s v="Family Birthing Unit"/>
    <x v="0"/>
    <m/>
    <n v="0"/>
    <n v="0"/>
    <n v="562.95000000000005"/>
    <n v="716.5"/>
    <n v="2750"/>
    <n v="-23.17"/>
    <n v="0"/>
    <n v="149"/>
    <n v="0"/>
    <n v="0"/>
    <n v="0"/>
    <n v="0"/>
    <n v="4155.28"/>
    <n v="0"/>
  </r>
  <r>
    <x v="0"/>
    <x v="0"/>
    <x v="0"/>
    <s v="3500102"/>
    <n v="740020"/>
    <s v="Education-Registration Fees"/>
    <s v="Family Birthing Unit"/>
    <x v="0"/>
    <m/>
    <n v="1005"/>
    <n v="875"/>
    <n v="0"/>
    <n v="1440"/>
    <n v="1225"/>
    <n v="219"/>
    <n v="574"/>
    <n v="2562.86"/>
    <n v="1787.18"/>
    <n v="325"/>
    <n v="407.7"/>
    <n v="2258.44"/>
    <n v="12679.180000000002"/>
    <n v="-1850.74"/>
  </r>
  <r>
    <x v="0"/>
    <x v="0"/>
    <x v="0"/>
    <s v="3500102"/>
    <n v="742040"/>
    <s v="Freight-Other"/>
    <s v="Family Birthing Unit"/>
    <x v="0"/>
    <m/>
    <n v="0"/>
    <n v="0"/>
    <n v="0"/>
    <n v="210.8"/>
    <n v="0"/>
    <n v="0"/>
    <n v="0"/>
    <n v="0"/>
    <n v="0"/>
    <n v="0"/>
    <n v="0"/>
    <n v="15.75"/>
    <n v="226.55"/>
    <n v="-15.75"/>
  </r>
  <r>
    <x v="0"/>
    <x v="0"/>
    <x v="0"/>
    <s v="3500102"/>
    <n v="743010"/>
    <s v="Dues--Institutional"/>
    <s v="Family Birthing Unit"/>
    <x v="0"/>
    <m/>
    <n v="0"/>
    <n v="0"/>
    <n v="0"/>
    <n v="12000"/>
    <n v="0"/>
    <n v="0"/>
    <n v="0"/>
    <n v="0"/>
    <n v="0"/>
    <n v="0"/>
    <n v="0"/>
    <n v="0"/>
    <n v="12000"/>
    <n v="0"/>
  </r>
  <r>
    <x v="0"/>
    <x v="0"/>
    <x v="0"/>
    <s v="3500102"/>
    <n v="743030"/>
    <s v="Subscriptions--Institutional"/>
    <s v="Family Birthing Unit"/>
    <x v="0"/>
    <m/>
    <n v="0"/>
    <n v="0"/>
    <n v="0"/>
    <n v="56.34"/>
    <n v="0"/>
    <n v="0"/>
    <n v="80.489999999999995"/>
    <n v="0"/>
    <n v="0"/>
    <n v="0"/>
    <n v="0"/>
    <n v="34.950000000000003"/>
    <n v="171.77999999999997"/>
    <n v="-34.950000000000003"/>
  </r>
  <r>
    <x v="0"/>
    <x v="0"/>
    <x v="0"/>
    <s v="3500102"/>
    <n v="743040"/>
    <s v="Subscriptions--Individual"/>
    <s v="Family Birthing Unit"/>
    <x v="0"/>
    <m/>
    <n v="0"/>
    <n v="0"/>
    <n v="216"/>
    <n v="0"/>
    <n v="0"/>
    <n v="0"/>
    <n v="0"/>
    <n v="0"/>
    <n v="0"/>
    <n v="0"/>
    <n v="0"/>
    <n v="0"/>
    <n v="216"/>
    <n v="0"/>
  </r>
  <r>
    <x v="0"/>
    <x v="0"/>
    <x v="0"/>
    <s v="3500102"/>
    <n v="749510"/>
    <s v="Miscellaneous Expenses"/>
    <s v="Family Birthing Unit"/>
    <x v="0"/>
    <m/>
    <n v="10706.35"/>
    <n v="6357.72"/>
    <n v="4833.5200000000004"/>
    <n v="6810.9"/>
    <n v="8514.09"/>
    <n v="7474.85"/>
    <n v="4878.2"/>
    <n v="4192.74"/>
    <n v="11380.3"/>
    <n v="14719.8"/>
    <n v="12276.28"/>
    <n v="546.29999999999995"/>
    <n v="92691.05"/>
    <n v="11729.980000000001"/>
  </r>
  <r>
    <x v="0"/>
    <x v="0"/>
    <x v="0"/>
    <s v="3500102"/>
    <n v="749510"/>
    <s v="Licenses"/>
    <s v="Family Birthing Unit"/>
    <x v="0"/>
    <n v="1002"/>
    <n v="0"/>
    <n v="0"/>
    <n v="0"/>
    <n v="0"/>
    <n v="0"/>
    <n v="0"/>
    <n v="0"/>
    <n v="0"/>
    <n v="325"/>
    <n v="0"/>
    <n v="0"/>
    <n v="0"/>
    <n v="325"/>
    <n v="0"/>
  </r>
  <r>
    <x v="0"/>
    <x v="0"/>
    <x v="0"/>
    <s v="3500102"/>
    <n v="749510"/>
    <s v="RICE Rewards"/>
    <s v="Family Birthing Unit"/>
    <x v="0"/>
    <n v="5100"/>
    <n v="0"/>
    <n v="0"/>
    <n v="0"/>
    <n v="445.31"/>
    <n v="0"/>
    <n v="143.65"/>
    <n v="0"/>
    <n v="0"/>
    <n v="78.47"/>
    <n v="1121.24"/>
    <n v="0"/>
    <n v="320.83"/>
    <n v="2109.5"/>
    <n v="-320.83"/>
  </r>
  <r>
    <x v="0"/>
    <x v="0"/>
    <x v="0"/>
    <s v="3500102"/>
    <n v="749530"/>
    <s v="Travel"/>
    <s v="Family Birthing Unit"/>
    <x v="0"/>
    <m/>
    <n v="0"/>
    <n v="0"/>
    <n v="0"/>
    <n v="304.11"/>
    <n v="8"/>
    <n v="2125.4699999999998"/>
    <n v="579.74"/>
    <n v="0"/>
    <n v="11.5"/>
    <n v="0"/>
    <n v="0"/>
    <n v="2556.5700000000002"/>
    <n v="5585.3899999999994"/>
    <n v="-2556.5700000000002"/>
  </r>
  <r>
    <x v="0"/>
    <x v="0"/>
    <x v="0"/>
    <s v="3500102"/>
    <n v="749530"/>
    <s v="Mileage"/>
    <s v="Family Birthing Unit"/>
    <x v="0"/>
    <n v="1001"/>
    <n v="88.85"/>
    <n v="76.319999999999993"/>
    <n v="70.319999999999993"/>
    <n v="67.05"/>
    <n v="200.56"/>
    <n v="0"/>
    <n v="38.700000000000003"/>
    <n v="0"/>
    <n v="55.68"/>
    <n v="195.46"/>
    <n v="254.04"/>
    <n v="265.06"/>
    <n v="1312.04"/>
    <n v="-11.02000000000001"/>
  </r>
  <r>
    <x v="0"/>
    <x v="0"/>
    <x v="0"/>
    <s v="3500102"/>
    <n v="749535"/>
    <s v="Meetings"/>
    <s v="Family Birthing Unit"/>
    <x v="0"/>
    <m/>
    <n v="43.74"/>
    <n v="0"/>
    <n v="10"/>
    <n v="56.91"/>
    <n v="0"/>
    <n v="0"/>
    <n v="33.85"/>
    <n v="0"/>
    <n v="49.05"/>
    <n v="47.6"/>
    <n v="83.2"/>
    <n v="0"/>
    <n v="324.35000000000002"/>
    <n v="83.2"/>
  </r>
  <r>
    <x v="18"/>
    <x v="5"/>
    <x v="0"/>
    <s v="3500106"/>
    <n v="400010"/>
    <s v="Acute I/P Svcs Rev--Medicare"/>
    <s v="Family Birthing Unit"/>
    <x v="0"/>
    <n v="1100"/>
    <n v="0"/>
    <n v="0"/>
    <n v="0"/>
    <n v="-41742.44"/>
    <n v="0"/>
    <n v="0"/>
    <n v="0"/>
    <n v="0"/>
    <n v="0"/>
    <n v="0"/>
    <n v="0"/>
    <n v="0"/>
    <n v="-41742.44"/>
    <n v="0"/>
  </r>
  <r>
    <x v="18"/>
    <x v="5"/>
    <x v="0"/>
    <s v="3500106"/>
    <n v="400010"/>
    <s v="Acute I/P Svcs Rev--Medicaid"/>
    <s v="Family Birthing Unit"/>
    <x v="0"/>
    <n v="1200"/>
    <n v="-1443761.67"/>
    <n v="-1156555.33"/>
    <n v="-1267107.44"/>
    <n v="-1234418.03"/>
    <n v="-853213.68"/>
    <n v="-1446127.45"/>
    <n v="-1412650.11"/>
    <n v="-1627687.33"/>
    <n v="-1851807.32"/>
    <n v="-1295045.49"/>
    <n v="-1329833.95"/>
    <n v="-1112153.8799999999"/>
    <n v="-16030361.68"/>
    <n v="-217680.07000000007"/>
  </r>
  <r>
    <x v="18"/>
    <x v="5"/>
    <x v="0"/>
    <s v="3500106"/>
    <n v="400010"/>
    <s v="Acute I/P Svcs Rev--Comm Insurance"/>
    <s v="Family Birthing Unit"/>
    <x v="0"/>
    <n v="1300"/>
    <n v="-21276.52"/>
    <n v="-44017.8"/>
    <n v="-30653.74"/>
    <n v="0"/>
    <n v="-8591.02"/>
    <n v="-23787.55"/>
    <n v="-27992.240000000002"/>
    <n v="-80577.210000000006"/>
    <n v="-132985.89000000001"/>
    <n v="18767.03"/>
    <n v="5656.59"/>
    <n v="-84829.85"/>
    <n v="-430288.20000000007"/>
    <n v="90486.44"/>
  </r>
  <r>
    <x v="18"/>
    <x v="5"/>
    <x v="0"/>
    <s v="3500106"/>
    <n v="400010"/>
    <s v="Acute I/P Svcs Rev--BCBS Comm"/>
    <s v="Family Birthing Unit"/>
    <x v="0"/>
    <n v="1301"/>
    <n v="-148537.60000000001"/>
    <n v="-134111.17000000001"/>
    <n v="-214070.49"/>
    <n v="-45879.06"/>
    <n v="-172252.67"/>
    <n v="-267064.69"/>
    <n v="-66013.94"/>
    <n v="-165354.87"/>
    <n v="-240246.39999999999"/>
    <n v="-358666.58"/>
    <n v="-166353.14000000001"/>
    <n v="-131540.93"/>
    <n v="-2110091.5400000005"/>
    <n v="-34812.210000000021"/>
  </r>
  <r>
    <x v="18"/>
    <x v="5"/>
    <x v="0"/>
    <s v="3500106"/>
    <n v="400010"/>
    <s v="Acute I/P Svcs Rev--Managed Care"/>
    <s v="Family Birthing Unit"/>
    <x v="0"/>
    <n v="1400"/>
    <n v="-544674.06999999995"/>
    <n v="-546125.93999999994"/>
    <n v="-491538.09"/>
    <n v="-642482.74"/>
    <n v="-615367.24"/>
    <n v="-855674.75"/>
    <n v="-443939.29"/>
    <n v="-583257.75"/>
    <n v="-254906.98"/>
    <n v="-687463.25"/>
    <n v="-729894.22"/>
    <n v="-660635.04"/>
    <n v="-7055959.3600000003"/>
    <n v="-69259.179999999935"/>
  </r>
  <r>
    <x v="18"/>
    <x v="5"/>
    <x v="0"/>
    <s v="3500106"/>
    <n v="400010"/>
    <s v="Acute I/P Svcs Rev--Self Pay"/>
    <s v="Family Birthing Unit"/>
    <x v="0"/>
    <n v="1500"/>
    <n v="-5021.45"/>
    <n v="7583.74"/>
    <n v="-30992.03"/>
    <n v="-2817.5"/>
    <n v="-2248.89"/>
    <n v="-24745.09"/>
    <n v="-17421.330000000002"/>
    <n v="-38508.6"/>
    <n v="-3817.27"/>
    <n v="-14227.72"/>
    <n v="-50908"/>
    <n v="3373.89"/>
    <n v="-179750.24999999997"/>
    <n v="-54281.89"/>
  </r>
  <r>
    <x v="18"/>
    <x v="5"/>
    <x v="0"/>
    <s v="3500106"/>
    <n v="400010"/>
    <s v="Acute I/P Svcs Rev--Other"/>
    <s v="Family Birthing Unit"/>
    <x v="0"/>
    <n v="1700"/>
    <n v="0"/>
    <n v="0"/>
    <n v="0"/>
    <n v="-54929.32"/>
    <n v="-51552.36"/>
    <n v="-45103.86"/>
    <n v="-91931.94"/>
    <n v="-22344.880000000001"/>
    <n v="-56618.1"/>
    <n v="-52354.47"/>
    <n v="-93697.86"/>
    <n v="0"/>
    <n v="-468532.78999999992"/>
    <n v="-93697.86"/>
  </r>
  <r>
    <x v="19"/>
    <x v="5"/>
    <x v="0"/>
    <s v="3500106"/>
    <n v="400020"/>
    <s v="O/P Care Svcs Rev--Medicare"/>
    <s v="Family Birthing Unit"/>
    <x v="0"/>
    <n v="1100"/>
    <n v="0"/>
    <n v="0"/>
    <n v="-3646.39"/>
    <n v="-1020.96"/>
    <n v="-2424.9699999999998"/>
    <n v="0.19"/>
    <n v="0"/>
    <n v="0"/>
    <n v="0"/>
    <n v="0"/>
    <n v="0"/>
    <n v="-2941.43"/>
    <n v="-10033.56"/>
    <n v="2941.43"/>
  </r>
  <r>
    <x v="19"/>
    <x v="5"/>
    <x v="0"/>
    <s v="3500106"/>
    <n v="400020"/>
    <s v="O/P Care Svcs Rev--Medicaid"/>
    <s v="Family Birthing Unit"/>
    <x v="0"/>
    <n v="1200"/>
    <n v="-80499.3"/>
    <n v="-81718.679999999993"/>
    <n v="-108385.29"/>
    <n v="-70839.53"/>
    <n v="-74672.53"/>
    <n v="-72475.23"/>
    <n v="-115382.79"/>
    <n v="-91683.42"/>
    <n v="-77357.919999999998"/>
    <n v="-64740.01"/>
    <n v="-84742.96"/>
    <n v="-82218.73"/>
    <n v="-1004716.39"/>
    <n v="-2524.2300000000105"/>
  </r>
  <r>
    <x v="19"/>
    <x v="5"/>
    <x v="0"/>
    <s v="3500106"/>
    <n v="400020"/>
    <s v="O/P Care Svcs Rev--Comm Insurance"/>
    <s v="Family Birthing Unit"/>
    <x v="0"/>
    <n v="1300"/>
    <n v="-5541.11"/>
    <n v="-3502.15"/>
    <n v="-1769.52"/>
    <n v="0"/>
    <n v="-1276.3499999999999"/>
    <n v="-2386.69"/>
    <n v="-6457.87"/>
    <n v="-2689.76"/>
    <n v="-3075.11"/>
    <n v="559.66"/>
    <n v="-1281"/>
    <n v="-20536.57"/>
    <n v="-47956.47"/>
    <n v="19255.57"/>
  </r>
  <r>
    <x v="19"/>
    <x v="5"/>
    <x v="0"/>
    <s v="3500106"/>
    <n v="400020"/>
    <s v="O/P Care Svcs Rev--BCBS Comm"/>
    <s v="Family Birthing Unit"/>
    <x v="0"/>
    <n v="1301"/>
    <n v="-7983.13"/>
    <n v="-9957.9599999999991"/>
    <n v="-9334.39"/>
    <n v="-10121.76"/>
    <n v="-3112.19"/>
    <n v="-4631.07"/>
    <n v="-12878.54"/>
    <n v="-5678.23"/>
    <n v="-12854.26"/>
    <n v="-6182.25"/>
    <n v="-10632.04"/>
    <n v="-14576.96"/>
    <n v="-107942.78"/>
    <n v="3944.9199999999983"/>
  </r>
  <r>
    <x v="19"/>
    <x v="5"/>
    <x v="0"/>
    <s v="3500106"/>
    <n v="400020"/>
    <s v="O/P Care Svcs Rev--Managed Care"/>
    <s v="Family Birthing Unit"/>
    <x v="0"/>
    <n v="1400"/>
    <n v="-47882.62"/>
    <n v="-39039.379999999997"/>
    <n v="-32725.360000000001"/>
    <n v="-40590.21"/>
    <n v="-42368.17"/>
    <n v="-21531.22"/>
    <n v="-50802.04"/>
    <n v="-20303.64"/>
    <n v="-31261.08"/>
    <n v="-18332.82"/>
    <n v="-9761.6"/>
    <n v="-17378.66"/>
    <n v="-371976.8"/>
    <n v="7617.0599999999995"/>
  </r>
  <r>
    <x v="19"/>
    <x v="5"/>
    <x v="0"/>
    <s v="3500106"/>
    <n v="400020"/>
    <s v="O/P Care Svcs Rev--Self Pay"/>
    <s v="Family Birthing Unit"/>
    <x v="0"/>
    <n v="1500"/>
    <n v="-11451.36"/>
    <n v="476.85"/>
    <n v="-12719.16"/>
    <n v="6678.61"/>
    <n v="-2561.25"/>
    <n v="-4477.33"/>
    <n v="-4733.54"/>
    <n v="1034.55"/>
    <n v="1592.05"/>
    <n v="1666.71"/>
    <n v="-18631.3"/>
    <n v="-6380.32"/>
    <n v="-49505.49"/>
    <n v="-12250.98"/>
  </r>
  <r>
    <x v="19"/>
    <x v="5"/>
    <x v="0"/>
    <s v="3500106"/>
    <n v="400020"/>
    <s v="O/P Care Svcs Rev--Other"/>
    <s v="Family Birthing Unit"/>
    <x v="0"/>
    <n v="1700"/>
    <n v="0"/>
    <n v="-1286.4000000000001"/>
    <n v="-5638.02"/>
    <n v="-1983.64"/>
    <n v="679.5"/>
    <n v="0"/>
    <n v="-399.38"/>
    <n v="-1281"/>
    <n v="-1784.21"/>
    <n v="-2307.65"/>
    <n v="-4341.95"/>
    <n v="0"/>
    <n v="-18342.749999999996"/>
    <n v="-4341.95"/>
  </r>
  <r>
    <x v="14"/>
    <x v="5"/>
    <x v="0"/>
    <s v="3500106"/>
    <n v="600050"/>
    <s v="Miscellaneous Revenue"/>
    <s v="Family Birthing Unit"/>
    <x v="0"/>
    <m/>
    <n v="-560"/>
    <n v="-1875"/>
    <n v="-720"/>
    <n v="-440"/>
    <n v="-380"/>
    <n v="0"/>
    <n v="-460"/>
    <n v="-260"/>
    <n v="0"/>
    <n v="0"/>
    <n v="0"/>
    <n v="-220"/>
    <n v="-4915"/>
    <n v="220"/>
  </r>
  <r>
    <x v="5"/>
    <x v="5"/>
    <x v="0"/>
    <s v="3500106"/>
    <n v="700014"/>
    <s v="Salaries-Management-Productive"/>
    <s v="Family Birthing Unit"/>
    <x v="0"/>
    <m/>
    <n v="0"/>
    <n v="5370.01"/>
    <n v="7679.67"/>
    <n v="8177.47"/>
    <n v="8104.92"/>
    <n v="2161.65"/>
    <n v="0"/>
    <n v="0"/>
    <n v="7846.35"/>
    <n v="8153.78"/>
    <n v="8417.82"/>
    <n v="7358.92"/>
    <n v="63270.59"/>
    <n v="1058.8999999999996"/>
  </r>
  <r>
    <x v="5"/>
    <x v="5"/>
    <x v="0"/>
    <s v="3500106"/>
    <n v="700014"/>
    <s v="Salaries-Management-OT"/>
    <s v="Family Birthing Unit"/>
    <x v="0"/>
    <n v="1000"/>
    <n v="0"/>
    <n v="0"/>
    <n v="0"/>
    <n v="0"/>
    <n v="-18.13"/>
    <n v="0"/>
    <n v="0"/>
    <n v="0"/>
    <n v="0"/>
    <n v="0"/>
    <n v="0"/>
    <n v="0"/>
    <n v="-18.13"/>
    <n v="0"/>
  </r>
  <r>
    <x v="5"/>
    <x v="5"/>
    <x v="0"/>
    <s v="3500106"/>
    <n v="700014"/>
    <s v="Salaries-Management-Other"/>
    <s v="Family Birthing Unit"/>
    <x v="0"/>
    <n v="2000"/>
    <n v="0"/>
    <n v="30"/>
    <n v="0"/>
    <n v="0"/>
    <n v="-2029.93"/>
    <n v="0"/>
    <n v="0"/>
    <n v="0"/>
    <n v="0"/>
    <n v="0"/>
    <n v="0"/>
    <n v="0"/>
    <n v="-1999.93"/>
    <n v="0"/>
  </r>
  <r>
    <x v="5"/>
    <x v="5"/>
    <x v="0"/>
    <s v="3500106"/>
    <n v="700026"/>
    <s v="Salaries-RN-Productive"/>
    <s v="Family Birthing Unit"/>
    <x v="0"/>
    <m/>
    <n v="185964.84"/>
    <n v="157319.57999999999"/>
    <n v="171029"/>
    <n v="177999.33"/>
    <n v="171997.26"/>
    <n v="204224.65"/>
    <n v="177416.71"/>
    <n v="192495.38"/>
    <n v="203394.6"/>
    <n v="179146.99"/>
    <n v="175250.54"/>
    <n v="176161.6"/>
    <n v="2172400.48"/>
    <n v="-911.05999999999767"/>
  </r>
  <r>
    <x v="5"/>
    <x v="5"/>
    <x v="0"/>
    <s v="3500106"/>
    <n v="700026"/>
    <s v="Salaries-RN-OT"/>
    <s v="Family Birthing Unit"/>
    <x v="0"/>
    <n v="1000"/>
    <n v="3575.18"/>
    <n v="2012.23"/>
    <n v="5250.17"/>
    <n v="1972.76"/>
    <n v="2168.48"/>
    <n v="6872.8"/>
    <n v="4968.92"/>
    <n v="4691.8"/>
    <n v="3960.73"/>
    <n v="2441.3000000000002"/>
    <n v="2834.73"/>
    <n v="4749.6000000000004"/>
    <n v="45498.700000000004"/>
    <n v="-1914.8700000000003"/>
  </r>
  <r>
    <x v="5"/>
    <x v="5"/>
    <x v="0"/>
    <s v="3500106"/>
    <n v="700026"/>
    <s v="Salaries-RN-Other"/>
    <s v="Family Birthing Unit"/>
    <x v="0"/>
    <n v="2000"/>
    <n v="23521.55"/>
    <n v="23156.18"/>
    <n v="21060.94"/>
    <n v="22230.59"/>
    <n v="22838.6"/>
    <n v="24203.13"/>
    <n v="22102.75"/>
    <n v="22860.01"/>
    <n v="23795.29"/>
    <n v="23483.94"/>
    <n v="22046.69"/>
    <n v="23753.98"/>
    <n v="275053.65000000002"/>
    <n v="-1707.2900000000009"/>
  </r>
  <r>
    <x v="5"/>
    <x v="5"/>
    <x v="0"/>
    <s v="3500106"/>
    <n v="700032"/>
    <s v="Salaries-Other Pat Care Providers-Productive"/>
    <s v="Family Birthing Unit"/>
    <x v="0"/>
    <m/>
    <n v="4197.08"/>
    <n v="2232.66"/>
    <n v="3769.66"/>
    <n v="2786.61"/>
    <n v="3806.96"/>
    <n v="2970.16"/>
    <n v="3754.5"/>
    <n v="3112.1"/>
    <n v="2720.41"/>
    <n v="3893.2"/>
    <n v="2273.67"/>
    <n v="3437.53"/>
    <n v="38954.539999999994"/>
    <n v="-1163.8600000000001"/>
  </r>
  <r>
    <x v="5"/>
    <x v="5"/>
    <x v="0"/>
    <s v="3500106"/>
    <n v="700032"/>
    <s v="Salaries-Other Pat Care Providers-OT"/>
    <s v="Family Birthing Unit"/>
    <x v="0"/>
    <n v="1000"/>
    <n v="167.53"/>
    <n v="149.28"/>
    <n v="-29.5"/>
    <n v="-5.38"/>
    <n v="55.38"/>
    <n v="1.5"/>
    <n v="206.94"/>
    <n v="160.52000000000001"/>
    <n v="-51.26"/>
    <n v="0"/>
    <n v="0"/>
    <n v="0"/>
    <n v="655.01"/>
    <n v="0"/>
  </r>
  <r>
    <x v="5"/>
    <x v="5"/>
    <x v="0"/>
    <s v="3500106"/>
    <n v="700032"/>
    <s v="Salaries-Other Pat Care Providers-Other"/>
    <s v="Family Birthing Unit"/>
    <x v="0"/>
    <n v="2000"/>
    <n v="21.1"/>
    <n v="49.9"/>
    <n v="15"/>
    <n v="6.98"/>
    <n v="50.27"/>
    <n v="37.090000000000003"/>
    <n v="50.78"/>
    <n v="17.25"/>
    <n v="3.35"/>
    <n v="31.07"/>
    <n v="1.43"/>
    <n v="0"/>
    <n v="284.22000000000003"/>
    <n v="1.43"/>
  </r>
  <r>
    <x v="5"/>
    <x v="5"/>
    <x v="0"/>
    <s v="3500106"/>
    <n v="700034"/>
    <s v="Salaries-Tech/Professional-Productive"/>
    <s v="Family Birthing Unit"/>
    <x v="0"/>
    <m/>
    <n v="27585.7"/>
    <n v="28803.66"/>
    <n v="23320.63"/>
    <n v="23885.8"/>
    <n v="19570.900000000001"/>
    <n v="23212.22"/>
    <n v="27706.42"/>
    <n v="21942.55"/>
    <n v="24848.84"/>
    <n v="22606.81"/>
    <n v="26141.85"/>
    <n v="27609.82"/>
    <n v="297235.20000000001"/>
    <n v="-1467.9700000000012"/>
  </r>
  <r>
    <x v="5"/>
    <x v="5"/>
    <x v="0"/>
    <s v="3500106"/>
    <n v="700034"/>
    <s v="Salaries-Tech/Professional-OT"/>
    <s v="Family Birthing Unit"/>
    <x v="0"/>
    <n v="1000"/>
    <n v="968.32"/>
    <n v="1656.49"/>
    <n v="535.28"/>
    <n v="1675.46"/>
    <n v="145.51"/>
    <n v="607.41999999999996"/>
    <n v="594.17999999999995"/>
    <n v="-25.1"/>
    <n v="507.44"/>
    <n v="38.07"/>
    <n v="-7.36"/>
    <n v="469.29"/>
    <n v="7165"/>
    <n v="-476.65000000000003"/>
  </r>
  <r>
    <x v="5"/>
    <x v="5"/>
    <x v="0"/>
    <s v="3500106"/>
    <n v="700034"/>
    <s v="Salaries-Tech/Professional-Other"/>
    <s v="Family Birthing Unit"/>
    <x v="0"/>
    <n v="2000"/>
    <n v="2219.96"/>
    <n v="2292.83"/>
    <n v="1959.1"/>
    <n v="1944.76"/>
    <n v="1725.33"/>
    <n v="2569.75"/>
    <n v="2684.49"/>
    <n v="1572.85"/>
    <n v="2832.71"/>
    <n v="2131.12"/>
    <n v="2094.85"/>
    <n v="2288.14"/>
    <n v="26315.889999999996"/>
    <n v="-193.28999999999996"/>
  </r>
  <r>
    <x v="5"/>
    <x v="5"/>
    <x v="0"/>
    <s v="3500106"/>
    <n v="700038"/>
    <s v="Salaries-Service/Support-Productive"/>
    <s v="Family Birthing Unit"/>
    <x v="0"/>
    <m/>
    <n v="3845.08"/>
    <n v="3667.97"/>
    <n v="2901.57"/>
    <n v="3505.28"/>
    <n v="3326.65"/>
    <n v="3789.21"/>
    <n v="3165.69"/>
    <n v="3196.65"/>
    <n v="3952.75"/>
    <n v="3636.86"/>
    <n v="3844.36"/>
    <n v="3461.6"/>
    <n v="42293.67"/>
    <n v="382.76000000000022"/>
  </r>
  <r>
    <x v="5"/>
    <x v="5"/>
    <x v="0"/>
    <s v="3500106"/>
    <n v="700038"/>
    <s v="Salaries-Service/Support-Other"/>
    <s v="Family Birthing Unit"/>
    <x v="0"/>
    <n v="2000"/>
    <n v="392.87"/>
    <n v="446.6"/>
    <n v="337.33"/>
    <n v="294.10000000000002"/>
    <n v="281.81"/>
    <n v="335.87"/>
    <n v="329.13"/>
    <n v="394.68"/>
    <n v="362.35"/>
    <n v="366.19"/>
    <n v="373.81"/>
    <n v="395.64"/>
    <n v="4310.38"/>
    <n v="-21.829999999999984"/>
  </r>
  <r>
    <x v="5"/>
    <x v="5"/>
    <x v="0"/>
    <s v="3500106"/>
    <n v="700054"/>
    <s v="Salaries-Management-Non-productive"/>
    <s v="Family Birthing Unit"/>
    <x v="0"/>
    <m/>
    <n v="0"/>
    <n v="0"/>
    <n v="375.92"/>
    <n v="187.96"/>
    <n v="0"/>
    <n v="6213.72"/>
    <n v="8388.44"/>
    <n v="7575.91"/>
    <n v="-145.26"/>
    <n v="0"/>
    <n v="0"/>
    <n v="787.45"/>
    <n v="23384.140000000003"/>
    <n v="-787.45"/>
  </r>
  <r>
    <x v="5"/>
    <x v="5"/>
    <x v="0"/>
    <s v="3500106"/>
    <n v="700054"/>
    <s v="Salaries-Management-NonProd-Other"/>
    <s v="Family Birthing Unit"/>
    <x v="0"/>
    <n v="2000"/>
    <n v="0"/>
    <n v="0"/>
    <n v="0"/>
    <n v="0"/>
    <n v="0"/>
    <n v="821.84"/>
    <n v="-821.84"/>
    <n v="0"/>
    <n v="0"/>
    <n v="0"/>
    <n v="0"/>
    <n v="0"/>
    <n v="0"/>
    <n v="0"/>
  </r>
  <r>
    <x v="5"/>
    <x v="5"/>
    <x v="0"/>
    <s v="3500106"/>
    <n v="700066"/>
    <s v="Salaries-RN-Non-productive"/>
    <s v="Family Birthing Unit"/>
    <x v="0"/>
    <m/>
    <n v="35567.07"/>
    <n v="37616.75"/>
    <n v="30223.89"/>
    <n v="31800.03"/>
    <n v="37413.199999999997"/>
    <n v="31105.47"/>
    <n v="37743.61"/>
    <n v="22530.2"/>
    <n v="18321.2"/>
    <n v="41286.32"/>
    <n v="34286.410000000003"/>
    <n v="33216.410000000003"/>
    <n v="391110.56000000006"/>
    <n v="1070"/>
  </r>
  <r>
    <x v="5"/>
    <x v="5"/>
    <x v="0"/>
    <s v="3500106"/>
    <n v="700066"/>
    <s v="Salaries-RN-NonProd-Other"/>
    <s v="Family Birthing Unit"/>
    <x v="0"/>
    <n v="2000"/>
    <n v="1898.58"/>
    <n v="1748.42"/>
    <n v="1632.23"/>
    <n v="2456.02"/>
    <n v="2814.72"/>
    <n v="2895.67"/>
    <n v="2471.6799999999998"/>
    <n v="-706.11"/>
    <n v="1014.29"/>
    <n v="2491.1999999999998"/>
    <n v="2227.04"/>
    <n v="2025.48"/>
    <n v="22969.22"/>
    <n v="201.55999999999995"/>
  </r>
  <r>
    <x v="5"/>
    <x v="5"/>
    <x v="0"/>
    <s v="3500106"/>
    <n v="700072"/>
    <s v="Salaries-Other Pat Care Providers-Non-productive"/>
    <s v="Family Birthing Unit"/>
    <x v="0"/>
    <m/>
    <n v="0"/>
    <n v="857.1"/>
    <n v="248.25"/>
    <n v="1416.51"/>
    <n v="233.93"/>
    <n v="1097.73"/>
    <n v="-58.69"/>
    <n v="754.06"/>
    <n v="1234.9100000000001"/>
    <n v="51.93"/>
    <n v="971.26"/>
    <n v="388.44"/>
    <n v="7195.4299999999994"/>
    <n v="582.81999999999994"/>
  </r>
  <r>
    <x v="5"/>
    <x v="5"/>
    <x v="0"/>
    <s v="3500106"/>
    <n v="700072"/>
    <s v="Salaries-Other Pat Care Providers-NonProd-Other"/>
    <s v="Family Birthing Unit"/>
    <x v="0"/>
    <n v="2000"/>
    <n v="0"/>
    <n v="14.14"/>
    <n v="2.91"/>
    <n v="0"/>
    <n v="19.23"/>
    <n v="-7.4"/>
    <n v="0"/>
    <n v="0"/>
    <n v="0"/>
    <n v="0"/>
    <n v="9.5399999999999991"/>
    <n v="-4.59"/>
    <n v="33.83"/>
    <n v="14.129999999999999"/>
  </r>
  <r>
    <x v="5"/>
    <x v="5"/>
    <x v="0"/>
    <s v="3500106"/>
    <n v="700074"/>
    <s v="Salaries-Tech/Professional-Non-productive"/>
    <s v="Family Birthing Unit"/>
    <x v="0"/>
    <m/>
    <n v="3743.83"/>
    <n v="2600.8000000000002"/>
    <n v="7835.76"/>
    <n v="-38.58"/>
    <n v="4428.6099999999997"/>
    <n v="6828.15"/>
    <n v="2635.37"/>
    <n v="2538.4899999999998"/>
    <n v="8502.08"/>
    <n v="6700.91"/>
    <n v="2153.04"/>
    <n v="4264.17"/>
    <n v="52192.63"/>
    <n v="-2111.13"/>
  </r>
  <r>
    <x v="5"/>
    <x v="5"/>
    <x v="0"/>
    <s v="3500106"/>
    <n v="700074"/>
    <s v="Salaries-Tech/Professional-NonProd-Other"/>
    <s v="Family Birthing Unit"/>
    <x v="0"/>
    <n v="2000"/>
    <n v="72.63"/>
    <n v="160.07"/>
    <n v="562.5"/>
    <n v="-86.39"/>
    <n v="223.04"/>
    <n v="338.15"/>
    <n v="54.08"/>
    <n v="121.02"/>
    <n v="395.26"/>
    <n v="484.09"/>
    <n v="74.59"/>
    <n v="202.73"/>
    <n v="2601.77"/>
    <n v="-128.13999999999999"/>
  </r>
  <r>
    <x v="5"/>
    <x v="5"/>
    <x v="0"/>
    <s v="3500106"/>
    <n v="700078"/>
    <s v="Salaries-Service/Support-Non-productive"/>
    <s v="Family Birthing Unit"/>
    <x v="0"/>
    <m/>
    <n v="740.13"/>
    <n v="1178.57"/>
    <n v="1565.43"/>
    <n v="610.55999999999995"/>
    <n v="470.22"/>
    <n v="572.62"/>
    <n v="1360.91"/>
    <n v="1501.61"/>
    <n v="251.79"/>
    <n v="617.88"/>
    <n v="769.33"/>
    <n v="925.98"/>
    <n v="10565.029999999999"/>
    <n v="-156.64999999999998"/>
  </r>
  <r>
    <x v="5"/>
    <x v="5"/>
    <x v="0"/>
    <s v="3500106"/>
    <n v="700078"/>
    <s v="Salaries-Service/Support-NonProd-Other"/>
    <s v="Family Birthing Unit"/>
    <x v="0"/>
    <n v="2000"/>
    <n v="61.49"/>
    <n v="97.93"/>
    <n v="130.07"/>
    <n v="49.75"/>
    <n v="38.22"/>
    <n v="46.53"/>
    <n v="110.6"/>
    <n v="122.05"/>
    <n v="20.47"/>
    <n v="50.24"/>
    <n v="62.54"/>
    <n v="75.25"/>
    <n v="865.14"/>
    <n v="-12.71"/>
  </r>
  <r>
    <x v="5"/>
    <x v="5"/>
    <x v="0"/>
    <s v="3500106"/>
    <n v="700084"/>
    <s v="Accrued PTO"/>
    <s v="Family Birthing Unit"/>
    <x v="0"/>
    <m/>
    <n v="-911.48"/>
    <n v="1806.5"/>
    <n v="5617.9"/>
    <n v="1499.55"/>
    <n v="-2316.52"/>
    <n v="-2645.28"/>
    <n v="-4580.3599999999997"/>
    <n v="-4134.7"/>
    <n v="6615.77"/>
    <n v="-6048.75"/>
    <n v="-78.489999999999995"/>
    <n v="-1188.05"/>
    <n v="-6363.9099999999989"/>
    <n v="1109.56"/>
  </r>
  <r>
    <x v="10"/>
    <x v="5"/>
    <x v="0"/>
    <s v="3500106"/>
    <n v="710060"/>
    <s v="Contract Labor-Other"/>
    <s v="Family Birthing Unit"/>
    <x v="0"/>
    <m/>
    <n v="0"/>
    <n v="0"/>
    <n v="0"/>
    <n v="0"/>
    <n v="1952.5"/>
    <n v="-1952.5"/>
    <n v="1873.18"/>
    <n v="-1873.18"/>
    <n v="0"/>
    <n v="0"/>
    <n v="0"/>
    <n v="0"/>
    <n v="0"/>
    <n v="0"/>
  </r>
  <r>
    <x v="6"/>
    <x v="5"/>
    <x v="0"/>
    <s v="3500106"/>
    <n v="713010"/>
    <s v="Benefits-FICA/Medicare"/>
    <s v="Family Birthing Unit"/>
    <x v="0"/>
    <m/>
    <n v="22002.47"/>
    <n v="20127.22"/>
    <n v="19879.009999999998"/>
    <n v="18864.759999999998"/>
    <n v="18591.86"/>
    <n v="22528.74"/>
    <n v="22042"/>
    <n v="21424.66"/>
    <n v="22634.37"/>
    <n v="22115.4"/>
    <n v="21174.83"/>
    <n v="21839.26"/>
    <n v="253224.58000000002"/>
    <n v="-664.42999999999665"/>
  </r>
  <r>
    <x v="6"/>
    <x v="5"/>
    <x v="0"/>
    <s v="3500106"/>
    <n v="713090"/>
    <s v="Benefits-Allocated Amounts"/>
    <s v="Family Birthing Unit"/>
    <x v="0"/>
    <m/>
    <n v="57667.35"/>
    <n v="53998.1"/>
    <n v="54894.9"/>
    <n v="52496.800000000003"/>
    <n v="54565.06"/>
    <n v="61042.080000000002"/>
    <n v="58224.63"/>
    <n v="57795.23"/>
    <n v="58714.85"/>
    <n v="59121.31"/>
    <n v="55090.44"/>
    <n v="56905.120000000003"/>
    <n v="680515.87"/>
    <n v="-1814.6800000000003"/>
  </r>
  <r>
    <x v="6"/>
    <x v="5"/>
    <x v="0"/>
    <s v="3500106"/>
    <n v="713096"/>
    <s v="Employee Recognition"/>
    <s v="Family Birthing Unit"/>
    <x v="0"/>
    <n v="1017"/>
    <n v="0"/>
    <n v="0"/>
    <n v="0"/>
    <n v="0"/>
    <n v="0"/>
    <n v="0"/>
    <n v="0"/>
    <n v="0"/>
    <n v="0"/>
    <n v="2089.46"/>
    <n v="0"/>
    <n v="0"/>
    <n v="2089.46"/>
    <n v="0"/>
  </r>
  <r>
    <x v="17"/>
    <x v="5"/>
    <x v="0"/>
    <s v="3500106"/>
    <n v="714520"/>
    <s v="Other Contracted Professionals"/>
    <s v="Family Birthing Unit"/>
    <x v="0"/>
    <m/>
    <n v="4850.9799999999996"/>
    <n v="4850.9799999999996"/>
    <n v="4850.9799999999996"/>
    <n v="4850.9799999999996"/>
    <n v="4850.9799999999996"/>
    <n v="4850.9799999999996"/>
    <n v="4850.9799999999996"/>
    <n v="22947.06"/>
    <n v="9375"/>
    <n v="9375"/>
    <n v="9375"/>
    <n v="9375"/>
    <n v="94403.92"/>
    <n v="0"/>
  </r>
  <r>
    <x v="7"/>
    <x v="5"/>
    <x v="0"/>
    <s v="3500106"/>
    <n v="718050"/>
    <s v="Miscellaneous Purchased Svcs"/>
    <s v="Family Birthing Unit"/>
    <x v="0"/>
    <n v="1020"/>
    <n v="2453.8000000000002"/>
    <n v="785.6"/>
    <n v="236.5"/>
    <n v="0"/>
    <n v="249.3"/>
    <n v="845.7"/>
    <n v="249.6"/>
    <n v="516.89"/>
    <n v="236.5"/>
    <n v="249.5"/>
    <n v="47"/>
    <n v="0"/>
    <n v="5870.3900000000012"/>
    <n v="47"/>
  </r>
  <r>
    <x v="7"/>
    <x v="5"/>
    <x v="0"/>
    <s v="3500106"/>
    <n v="718050"/>
    <s v="Translation Services"/>
    <s v="Family Birthing Unit"/>
    <x v="0"/>
    <n v="1025"/>
    <n v="191.16"/>
    <n v="0"/>
    <n v="183.47"/>
    <n v="406.04"/>
    <n v="2313.17"/>
    <n v="0"/>
    <n v="199.08"/>
    <n v="0"/>
    <n v="990.66"/>
    <n v="92.43"/>
    <n v="289.14"/>
    <n v="289.14"/>
    <n v="4954.2900000000009"/>
    <n v="0"/>
  </r>
  <r>
    <x v="7"/>
    <x v="5"/>
    <x v="0"/>
    <s v="3500106"/>
    <n v="718050"/>
    <s v="Contract Management--Linen"/>
    <s v="Family Birthing Unit"/>
    <x v="0"/>
    <n v="1026"/>
    <n v="5197.83"/>
    <n v="2525.0700000000002"/>
    <n v="3557.99"/>
    <n v="2224.1"/>
    <n v="3053.43"/>
    <n v="3921.63"/>
    <n v="2861.49"/>
    <n v="4732.75"/>
    <n v="3329.87"/>
    <n v="3949.46"/>
    <n v="4216.13"/>
    <n v="4050.43"/>
    <n v="43620.18"/>
    <n v="165.70000000000027"/>
  </r>
  <r>
    <x v="7"/>
    <x v="5"/>
    <x v="0"/>
    <s v="3500106"/>
    <n v="718050"/>
    <s v="Purchased Srvcs--Medical Waste"/>
    <s v="Family Birthing Unit"/>
    <x v="0"/>
    <n v="1027"/>
    <n v="0"/>
    <n v="0"/>
    <n v="348.53"/>
    <n v="94.15"/>
    <n v="0"/>
    <n v="0"/>
    <n v="0"/>
    <n v="0"/>
    <n v="424.19"/>
    <n v="143.81"/>
    <n v="0"/>
    <n v="0"/>
    <n v="1010.6799999999998"/>
    <n v="0"/>
  </r>
  <r>
    <x v="7"/>
    <x v="5"/>
    <x v="0"/>
    <s v="3500106"/>
    <n v="718070"/>
    <s v="Contract Srvcs-CHI Clinical Engineering"/>
    <s v="Family Birthing Unit"/>
    <x v="0"/>
    <m/>
    <n v="53.16"/>
    <n v="53.16"/>
    <n v="53.16"/>
    <n v="53.16"/>
    <n v="53.16"/>
    <n v="53.16"/>
    <n v="53.16"/>
    <n v="53.16"/>
    <n v="53.16"/>
    <n v="53.16"/>
    <n v="53.16"/>
    <n v="53.16"/>
    <n v="637.91999999999973"/>
    <n v="0"/>
  </r>
  <r>
    <x v="7"/>
    <x v="5"/>
    <x v="0"/>
    <s v="3500106"/>
    <n v="718091"/>
    <s v="Contract Services-Intracompany Allocation"/>
    <s v="Family Birthing Unit"/>
    <x v="0"/>
    <m/>
    <n v="8141.89"/>
    <n v="9459.7099999999991"/>
    <n v="9313.94"/>
    <n v="9380.7000000000007"/>
    <n v="7495.87"/>
    <n v="8766.94"/>
    <n v="10323.77"/>
    <n v="8557.94"/>
    <n v="7551.02"/>
    <n v="6999.16"/>
    <n v="7957.18"/>
    <n v="10409.33"/>
    <n v="104357.45000000003"/>
    <n v="-2452.1499999999996"/>
  </r>
  <r>
    <x v="11"/>
    <x v="5"/>
    <x v="0"/>
    <s v="3500106"/>
    <n v="721010"/>
    <s v="Supplies-Medical - Billable"/>
    <s v="Family Birthing Unit"/>
    <x v="0"/>
    <m/>
    <n v="1724.46"/>
    <n v="1502.88"/>
    <n v="1976.39"/>
    <n v="2416.4899999999998"/>
    <n v="1727.13"/>
    <n v="3078.68"/>
    <n v="1784.75"/>
    <n v="3697.57"/>
    <n v="2394.4499999999998"/>
    <n v="2286.42"/>
    <n v="2576.31"/>
    <n v="1686.54"/>
    <n v="26852.070000000003"/>
    <n v="889.77"/>
  </r>
  <r>
    <x v="11"/>
    <x v="5"/>
    <x v="0"/>
    <s v="3500106"/>
    <n v="721010"/>
    <s v="Patient Monitoring"/>
    <s v="Family Birthing Unit"/>
    <x v="0"/>
    <n v="1000"/>
    <n v="47.63"/>
    <n v="0"/>
    <n v="6.17"/>
    <n v="63.22"/>
    <n v="0"/>
    <n v="37.880000000000003"/>
    <n v="0"/>
    <n v="78.989999999999995"/>
    <n v="21"/>
    <n v="48.61"/>
    <n v="45"/>
    <n v="28.54"/>
    <n v="377.04"/>
    <n v="16.46"/>
  </r>
  <r>
    <x v="11"/>
    <x v="5"/>
    <x v="0"/>
    <s v="3500106"/>
    <n v="721020"/>
    <s v="Supplies-Surgical - Billable"/>
    <s v="Family Birthing Unit"/>
    <x v="0"/>
    <m/>
    <n v="882.28"/>
    <n v="81.900000000000006"/>
    <n v="834.71"/>
    <n v="1138.8"/>
    <n v="141.44"/>
    <n v="648.20000000000005"/>
    <n v="1142.8"/>
    <n v="608.33000000000004"/>
    <n v="137.21"/>
    <n v="767.68"/>
    <n v="920.99"/>
    <n v="611.76"/>
    <n v="7916.1"/>
    <n v="309.23"/>
  </r>
  <r>
    <x v="11"/>
    <x v="5"/>
    <x v="0"/>
    <s v="3500106"/>
    <n v="721020"/>
    <s v="Custom Packs"/>
    <s v="Family Birthing Unit"/>
    <x v="0"/>
    <n v="1000"/>
    <n v="649.07000000000005"/>
    <n v="539.23"/>
    <n v="655.61"/>
    <n v="343.21"/>
    <n v="719.97"/>
    <n v="944.16"/>
    <n v="855.1"/>
    <n v="777.64"/>
    <n v="727.25"/>
    <n v="835.64"/>
    <n v="763.95"/>
    <n v="646.19000000000005"/>
    <n v="8457.02"/>
    <n v="117.75999999999999"/>
  </r>
  <r>
    <x v="11"/>
    <x v="5"/>
    <x v="0"/>
    <s v="3500106"/>
    <n v="721020"/>
    <s v="Suture/Wound Closure"/>
    <s v="Family Birthing Unit"/>
    <x v="0"/>
    <n v="1001"/>
    <n v="424.61"/>
    <n v="124.2"/>
    <n v="0"/>
    <n v="1165.73"/>
    <n v="411.93"/>
    <n v="329.87"/>
    <n v="655.6"/>
    <n v="323.37"/>
    <n v="176.66"/>
    <n v="272.22000000000003"/>
    <n v="899.06"/>
    <n v="542.70000000000005"/>
    <n v="5325.95"/>
    <n v="356.3599999999999"/>
  </r>
  <r>
    <x v="11"/>
    <x v="5"/>
    <x v="0"/>
    <s v="3500106"/>
    <n v="721020"/>
    <s v="Endomechanical Supplies &amp; Instruments"/>
    <s v="Family Birthing Unit"/>
    <x v="0"/>
    <n v="1003"/>
    <n v="5.78"/>
    <n v="79.31"/>
    <n v="0"/>
    <n v="5.78"/>
    <n v="0"/>
    <n v="67.98"/>
    <n v="0"/>
    <n v="-6.18"/>
    <n v="0"/>
    <n v="0"/>
    <n v="67.98"/>
    <n v="25.12"/>
    <n v="245.77000000000004"/>
    <n v="42.86"/>
  </r>
  <r>
    <x v="11"/>
    <x v="5"/>
    <x v="0"/>
    <s v="3500106"/>
    <n v="721020"/>
    <s v="Urological Supplies"/>
    <s v="Family Birthing Unit"/>
    <x v="0"/>
    <n v="1006"/>
    <n v="0"/>
    <n v="0"/>
    <n v="0"/>
    <n v="0"/>
    <n v="907.2"/>
    <n v="273.89999999999998"/>
    <n v="-87"/>
    <n v="932.1"/>
    <n v="0"/>
    <n v="391.5"/>
    <n v="391.5"/>
    <n v="0"/>
    <n v="2809.2"/>
    <n v="391.5"/>
  </r>
  <r>
    <x v="11"/>
    <x v="5"/>
    <x v="0"/>
    <s v="3500106"/>
    <n v="721150"/>
    <s v="Supplies-Other Implants - Billable"/>
    <s v="Family Birthing Unit"/>
    <x v="0"/>
    <m/>
    <n v="0"/>
    <n v="0"/>
    <n v="0"/>
    <n v="0"/>
    <n v="2320.5"/>
    <n v="0"/>
    <n v="0"/>
    <n v="0"/>
    <n v="2320.5"/>
    <n v="0"/>
    <n v="0"/>
    <n v="0"/>
    <n v="4641"/>
    <n v="0"/>
  </r>
  <r>
    <x v="11"/>
    <x v="5"/>
    <x v="0"/>
    <s v="3500106"/>
    <n v="721240"/>
    <s v="Supplies-IV Solutions/Supplies - Billable"/>
    <s v="Family Birthing Unit"/>
    <x v="0"/>
    <m/>
    <n v="1985.89"/>
    <n v="1805.71"/>
    <n v="1967.68"/>
    <n v="1681.86"/>
    <n v="1948.04"/>
    <n v="2171.79"/>
    <n v="1353.12"/>
    <n v="2012.24"/>
    <n v="2017.29"/>
    <n v="1832.08"/>
    <n v="1833.35"/>
    <n v="1646.86"/>
    <n v="22255.909999999996"/>
    <n v="186.49"/>
  </r>
  <r>
    <x v="11"/>
    <x v="5"/>
    <x v="0"/>
    <s v="3500106"/>
    <n v="721250"/>
    <s v="Supplies-Pharmacy Drugs - Billable"/>
    <s v="Family Birthing Unit"/>
    <x v="0"/>
    <m/>
    <n v="0"/>
    <n v="0"/>
    <n v="0"/>
    <n v="0"/>
    <n v="0"/>
    <n v="0"/>
    <n v="0"/>
    <n v="0"/>
    <n v="0"/>
    <n v="95.11"/>
    <n v="0"/>
    <n v="0"/>
    <n v="95.11"/>
    <n v="0"/>
  </r>
  <r>
    <x v="11"/>
    <x v="5"/>
    <x v="0"/>
    <s v="3500106"/>
    <n v="721410"/>
    <s v="Supplies-Medical - Nonbillable"/>
    <s v="Family Birthing Unit"/>
    <x v="0"/>
    <m/>
    <n v="11277.74"/>
    <n v="9088.2199999999993"/>
    <n v="10338.75"/>
    <n v="11783.76"/>
    <n v="7571.82"/>
    <n v="11763.53"/>
    <n v="12754.71"/>
    <n v="14320.34"/>
    <n v="12461.78"/>
    <n v="21982.34"/>
    <n v="13846.54"/>
    <n v="8324.85"/>
    <n v="145514.38"/>
    <n v="5521.6900000000005"/>
  </r>
  <r>
    <x v="11"/>
    <x v="5"/>
    <x v="0"/>
    <s v="3500106"/>
    <n v="721420"/>
    <s v="Supplies-Surgical Nonbillable"/>
    <s v="Family Birthing Unit"/>
    <x v="0"/>
    <m/>
    <n v="988.99"/>
    <n v="1050.96"/>
    <n v="842.42"/>
    <n v="1143.19"/>
    <n v="797"/>
    <n v="1510.15"/>
    <n v="1153.1400000000001"/>
    <n v="1360.02"/>
    <n v="1439.66"/>
    <n v="1210.05"/>
    <n v="1600.78"/>
    <n v="1231.27"/>
    <n v="14327.63"/>
    <n v="369.51"/>
  </r>
  <r>
    <x v="11"/>
    <x v="5"/>
    <x v="0"/>
    <s v="3500106"/>
    <n v="721420"/>
    <s v="Tubes Drains &amp; Related Supplies"/>
    <s v="Family Birthing Unit"/>
    <x v="0"/>
    <n v="1008"/>
    <n v="59.15"/>
    <n v="20.309999999999999"/>
    <n v="50.09"/>
    <n v="85.38"/>
    <n v="40.590000000000003"/>
    <n v="121.98"/>
    <n v="67.599999999999994"/>
    <n v="549.27"/>
    <n v="224.52"/>
    <n v="226.09"/>
    <n v="247.91"/>
    <n v="110.82"/>
    <n v="1803.71"/>
    <n v="137.09"/>
  </r>
  <r>
    <x v="11"/>
    <x v="5"/>
    <x v="0"/>
    <s v="3500106"/>
    <n v="721420"/>
    <s v="Sterilization Process Products"/>
    <s v="Family Birthing Unit"/>
    <x v="0"/>
    <n v="1009"/>
    <n v="461.5"/>
    <n v="333.08"/>
    <n v="333.08"/>
    <n v="149.47"/>
    <n v="575.44000000000005"/>
    <n v="331.33"/>
    <n v="254.41"/>
    <n v="280.35000000000002"/>
    <n v="371.11"/>
    <n v="407.6"/>
    <n v="379.83"/>
    <n v="283.54000000000002"/>
    <n v="4160.74"/>
    <n v="96.289999999999964"/>
  </r>
  <r>
    <x v="11"/>
    <x v="5"/>
    <x v="0"/>
    <s v="3500106"/>
    <n v="721610"/>
    <s v="Supplies-Anesthesia - Nonbillable"/>
    <s v="Family Birthing Unit"/>
    <x v="0"/>
    <m/>
    <n v="973.22"/>
    <n v="2088.23"/>
    <n v="750.9"/>
    <n v="529.55999999999995"/>
    <n v="1013.8"/>
    <n v="2199.1"/>
    <n v="1442.1"/>
    <n v="774.22"/>
    <n v="954.67"/>
    <n v="2777.6"/>
    <n v="1705.73"/>
    <n v="1073.8599999999999"/>
    <n v="16282.99"/>
    <n v="631.87000000000012"/>
  </r>
  <r>
    <x v="11"/>
    <x v="5"/>
    <x v="0"/>
    <s v="3500106"/>
    <n v="721640"/>
    <s v="Supplies-IV Solutions/Supplies - Nonbillable"/>
    <s v="Family Birthing Unit"/>
    <x v="0"/>
    <m/>
    <n v="1327.67"/>
    <n v="1187.97"/>
    <n v="1264.3900000000001"/>
    <n v="1238.53"/>
    <n v="1465.34"/>
    <n v="1494.47"/>
    <n v="1484.15"/>
    <n v="1352.9"/>
    <n v="1669.14"/>
    <n v="1590.29"/>
    <n v="1614.54"/>
    <n v="1328.77"/>
    <n v="17018.16"/>
    <n v="285.77"/>
  </r>
  <r>
    <x v="11"/>
    <x v="5"/>
    <x v="0"/>
    <s v="3500106"/>
    <n v="721650"/>
    <s v="Supplies-Pharmacy Drugs - Nonbillable"/>
    <s v="Family Birthing Unit"/>
    <x v="0"/>
    <m/>
    <n v="35.04"/>
    <n v="40.28"/>
    <n v="29"/>
    <n v="28.7"/>
    <n v="31.39"/>
    <n v="37.369999999999997"/>
    <n v="29"/>
    <n v="29"/>
    <n v="41.51"/>
    <n v="37.369999999999997"/>
    <n v="40.950000000000003"/>
    <n v="24.77"/>
    <n v="404.37999999999994"/>
    <n v="16.180000000000003"/>
  </r>
  <r>
    <x v="11"/>
    <x v="5"/>
    <x v="0"/>
    <s v="3500106"/>
    <n v="721710"/>
    <s v="Supplies-Laboratory - Nonbillable"/>
    <s v="Family Birthing Unit"/>
    <x v="0"/>
    <m/>
    <n v="136.58000000000001"/>
    <n v="214.76"/>
    <n v="173.18"/>
    <n v="286.45999999999998"/>
    <n v="346.27"/>
    <n v="135.07"/>
    <n v="165.88"/>
    <n v="296.69"/>
    <n v="160.35"/>
    <n v="201.14"/>
    <n v="139.57"/>
    <n v="165.54"/>
    <n v="2421.4899999999998"/>
    <n v="-25.97"/>
  </r>
  <r>
    <x v="11"/>
    <x v="5"/>
    <x v="0"/>
    <s v="3500106"/>
    <n v="721710"/>
    <s v="Reagents"/>
    <s v="Family Birthing Unit"/>
    <x v="0"/>
    <n v="1000"/>
    <n v="0"/>
    <n v="0"/>
    <n v="0"/>
    <n v="0"/>
    <n v="0"/>
    <n v="166.94"/>
    <n v="0"/>
    <n v="0"/>
    <n v="0"/>
    <n v="0"/>
    <n v="0"/>
    <n v="0"/>
    <n v="166.94"/>
    <n v="0"/>
  </r>
  <r>
    <x v="11"/>
    <x v="5"/>
    <x v="0"/>
    <s v="3500106"/>
    <n v="721750"/>
    <s v="Supplies-Film/Radiographic - Nonbillable"/>
    <s v="Family Birthing Unit"/>
    <x v="0"/>
    <m/>
    <n v="11.23"/>
    <n v="11.25"/>
    <n v="10.3"/>
    <n v="10.3"/>
    <n v="9.3699999999999992"/>
    <n v="14.05"/>
    <n v="5.62"/>
    <n v="11.24"/>
    <n v="12.17"/>
    <n v="8.43"/>
    <n v="12.18"/>
    <n v="8.43"/>
    <n v="124.57000000000002"/>
    <n v="3.75"/>
  </r>
  <r>
    <x v="11"/>
    <x v="5"/>
    <x v="0"/>
    <s v="3500106"/>
    <n v="721810"/>
    <s v="Supplies-Dietary/Cafeteria"/>
    <s v="Family Birthing Unit"/>
    <x v="0"/>
    <m/>
    <n v="2154.73"/>
    <n v="1386.3"/>
    <n v="2422.9299999999998"/>
    <n v="2385.63"/>
    <n v="2331.8000000000002"/>
    <n v="1715.07"/>
    <n v="4764.09"/>
    <n v="2412.36"/>
    <n v="3493.09"/>
    <n v="2796.68"/>
    <n v="3746.74"/>
    <n v="2771.28"/>
    <n v="32380.699999999997"/>
    <n v="975.45999999999958"/>
  </r>
  <r>
    <x v="11"/>
    <x v="5"/>
    <x v="0"/>
    <s v="3500106"/>
    <n v="721830"/>
    <s v="Supplies-Office"/>
    <s v="Family Birthing Unit"/>
    <x v="0"/>
    <m/>
    <n v="308.76"/>
    <n v="771.14"/>
    <n v="372.44"/>
    <n v="1345.11"/>
    <n v="61.83"/>
    <n v="1266.23"/>
    <n v="1148.3499999999999"/>
    <n v="457.63"/>
    <n v="572.51"/>
    <n v="567.55999999999995"/>
    <n v="1344.41"/>
    <n v="165.46"/>
    <n v="8381.43"/>
    <n v="1178.95"/>
  </r>
  <r>
    <x v="11"/>
    <x v="5"/>
    <x v="0"/>
    <s v="3500106"/>
    <n v="721835"/>
    <s v="Supplies-Forms"/>
    <s v="Family Birthing Unit"/>
    <x v="0"/>
    <m/>
    <n v="0"/>
    <n v="0"/>
    <n v="0"/>
    <n v="0"/>
    <n v="162.93"/>
    <n v="69.510000000000005"/>
    <n v="157.4"/>
    <n v="0"/>
    <n v="99.4"/>
    <n v="24.8"/>
    <n v="122.94"/>
    <n v="87.53"/>
    <n v="724.51"/>
    <n v="35.409999999999997"/>
  </r>
  <r>
    <x v="11"/>
    <x v="5"/>
    <x v="0"/>
    <s v="3500106"/>
    <n v="721870"/>
    <s v="Supplies-Environmental Services"/>
    <s v="Family Birthing Unit"/>
    <x v="0"/>
    <m/>
    <n v="306"/>
    <n v="699.38"/>
    <n v="295.86"/>
    <n v="249.41"/>
    <n v="208.29"/>
    <n v="298.08999999999997"/>
    <n v="331.21"/>
    <n v="275.06"/>
    <n v="264.70999999999998"/>
    <n v="264.74"/>
    <n v="394.1"/>
    <n v="386.8"/>
    <n v="3973.65"/>
    <n v="7.3000000000000114"/>
  </r>
  <r>
    <x v="11"/>
    <x v="5"/>
    <x v="0"/>
    <s v="3500106"/>
    <n v="721880"/>
    <s v="Supplies-Linen"/>
    <s v="Family Birthing Unit"/>
    <x v="0"/>
    <m/>
    <n v="346.23"/>
    <n v="243.15"/>
    <n v="148.35"/>
    <n v="1038.9000000000001"/>
    <n v="110.51"/>
    <n v="366.24"/>
    <n v="138.1"/>
    <n v="154.08000000000001"/>
    <n v="234.39"/>
    <n v="197.41"/>
    <n v="178.32"/>
    <n v="284.13"/>
    <n v="3439.81"/>
    <n v="-105.81"/>
  </r>
  <r>
    <x v="11"/>
    <x v="5"/>
    <x v="0"/>
    <s v="3500106"/>
    <n v="721910"/>
    <s v="Supplies-Small Equipment"/>
    <s v="Family Birthing Unit"/>
    <x v="0"/>
    <m/>
    <n v="510.1"/>
    <n v="1262.42"/>
    <n v="1351.17"/>
    <n v="169.3"/>
    <n v="26.88"/>
    <n v="2308.65"/>
    <n v="1350.5"/>
    <n v="87.94"/>
    <n v="873.52"/>
    <n v="82.01"/>
    <n v="1481.24"/>
    <n v="21.12"/>
    <n v="9524.85"/>
    <n v="1460.1200000000001"/>
  </r>
  <r>
    <x v="11"/>
    <x v="5"/>
    <x v="0"/>
    <s v="3500106"/>
    <n v="721910"/>
    <s v="Instruments"/>
    <s v="Family Birthing Unit"/>
    <x v="0"/>
    <n v="1000"/>
    <n v="482.91"/>
    <n v="1153.02"/>
    <n v="392.42"/>
    <n v="1580.63"/>
    <n v="244.75"/>
    <n v="4731.95"/>
    <n v="234.9"/>
    <n v="902.44"/>
    <n v="4258.55"/>
    <n v="792.95"/>
    <n v="279.56"/>
    <n v="206.42"/>
    <n v="15260.5"/>
    <n v="73.140000000000015"/>
  </r>
  <r>
    <x v="11"/>
    <x v="5"/>
    <x v="0"/>
    <s v="3500106"/>
    <n v="721980"/>
    <s v="Supplies-Other"/>
    <s v="Family Birthing Unit"/>
    <x v="0"/>
    <m/>
    <n v="889.99"/>
    <n v="274.52"/>
    <n v="214"/>
    <n v="-147"/>
    <n v="126.36"/>
    <n v="0"/>
    <n v="11289.8"/>
    <n v="1042"/>
    <n v="1511.78"/>
    <n v="201.32"/>
    <n v="321.38"/>
    <n v="1056"/>
    <n v="16780.149999999998"/>
    <n v="-734.62"/>
  </r>
  <r>
    <x v="11"/>
    <x v="5"/>
    <x v="0"/>
    <s v="3500106"/>
    <n v="722000"/>
    <s v="Supplies-Freight Expense"/>
    <s v="Family Birthing Unit"/>
    <x v="0"/>
    <m/>
    <n v="87.46"/>
    <n v="200.7"/>
    <n v="528.25"/>
    <n v="194.33"/>
    <n v="51.08"/>
    <n v="159.91999999999999"/>
    <n v="270.52"/>
    <n v="39.270000000000003"/>
    <n v="187.28"/>
    <n v="40.18"/>
    <n v="192.69"/>
    <n v="299.48"/>
    <n v="2251.16"/>
    <n v="-106.79000000000002"/>
  </r>
  <r>
    <x v="12"/>
    <x v="5"/>
    <x v="0"/>
    <s v="3500106"/>
    <n v="730020"/>
    <s v="Rental and Leases-Copier Usage Fees (DO NOT USE)"/>
    <s v="Family Birthing Unit"/>
    <x v="0"/>
    <n v="5100"/>
    <n v="359.88"/>
    <n v="356.82"/>
    <n v="358.35"/>
    <n v="358.35"/>
    <n v="358.35"/>
    <n v="358.35"/>
    <n v="-14.56"/>
    <n v="149.57"/>
    <n v="149.26"/>
    <n v="775.53"/>
    <n v="149.57"/>
    <n v="163.36000000000001"/>
    <n v="3522.83"/>
    <n v="-13.79000000000002"/>
  </r>
  <r>
    <x v="15"/>
    <x v="5"/>
    <x v="0"/>
    <s v="3500106"/>
    <n v="731060"/>
    <s v="Telephone"/>
    <s v="Family Birthing Unit"/>
    <x v="0"/>
    <m/>
    <n v="0"/>
    <n v="0"/>
    <n v="0"/>
    <n v="0"/>
    <n v="0"/>
    <n v="0"/>
    <n v="43"/>
    <n v="0"/>
    <n v="4.3"/>
    <n v="0"/>
    <n v="0"/>
    <n v="0"/>
    <n v="47.3"/>
    <n v="0"/>
  </r>
  <r>
    <x v="15"/>
    <x v="5"/>
    <x v="0"/>
    <s v="3500106"/>
    <n v="731060"/>
    <s v="Cell Phones"/>
    <s v="Family Birthing Unit"/>
    <x v="0"/>
    <n v="1001"/>
    <n v="0"/>
    <n v="215"/>
    <n v="105.68"/>
    <n v="0"/>
    <n v="105.88"/>
    <n v="157.57"/>
    <n v="238.88"/>
    <n v="0"/>
    <n v="105.06"/>
    <n v="206"/>
    <n v="101.78"/>
    <n v="102.34"/>
    <n v="1338.1899999999998"/>
    <n v="-0.56000000000000227"/>
  </r>
  <r>
    <x v="15"/>
    <x v="5"/>
    <x v="0"/>
    <s v="3500106"/>
    <n v="731060"/>
    <s v="Pagers"/>
    <s v="Family Birthing Unit"/>
    <x v="0"/>
    <n v="1002"/>
    <n v="7.99"/>
    <n v="7.99"/>
    <n v="7.99"/>
    <n v="8.02"/>
    <n v="8.02"/>
    <n v="0"/>
    <n v="35.53"/>
    <n v="0"/>
    <n v="-27.51"/>
    <n v="0"/>
    <n v="0"/>
    <n v="0"/>
    <n v="48.029999999999987"/>
    <n v="0"/>
  </r>
  <r>
    <x v="16"/>
    <x v="5"/>
    <x v="0"/>
    <s v="3500106"/>
    <n v="732030"/>
    <s v="Repairs---Other"/>
    <s v="Family Birthing Unit"/>
    <x v="0"/>
    <m/>
    <n v="546.34"/>
    <n v="717.6"/>
    <n v="363"/>
    <n v="316.8"/>
    <n v="664.2"/>
    <n v="1009.27"/>
    <n v="1389.3"/>
    <n v="0"/>
    <n v="0"/>
    <n v="697.39"/>
    <n v="2529.58"/>
    <n v="518.65"/>
    <n v="8752.1299999999992"/>
    <n v="2010.9299999999998"/>
  </r>
  <r>
    <x v="13"/>
    <x v="5"/>
    <x v="0"/>
    <s v="3500106"/>
    <n v="735060"/>
    <s v="Depreciation-Fixed Equipment"/>
    <s v="Family Birthing Unit"/>
    <x v="0"/>
    <m/>
    <n v="37.020000000000003"/>
    <n v="37.01"/>
    <n v="37.03"/>
    <n v="37"/>
    <n v="37.03"/>
    <n v="37"/>
    <n v="37.03"/>
    <n v="37"/>
    <n v="37.03"/>
    <n v="37"/>
    <n v="37.04"/>
    <n v="37"/>
    <n v="444.19"/>
    <n v="3.9999999999999147E-2"/>
  </r>
  <r>
    <x v="13"/>
    <x v="5"/>
    <x v="0"/>
    <s v="3500106"/>
    <n v="735070"/>
    <s v="Depreciation-Movable Equipment"/>
    <s v="Family Birthing Unit"/>
    <x v="0"/>
    <m/>
    <n v="18451.05"/>
    <n v="18450.580000000002"/>
    <n v="18451.13"/>
    <n v="18450.22"/>
    <n v="18451.25"/>
    <n v="18840.349999999999"/>
    <n v="18061.2"/>
    <n v="18590.759999999998"/>
    <n v="18764.02"/>
    <n v="19055.68"/>
    <n v="19057.740000000002"/>
    <n v="19658.95"/>
    <n v="224282.93"/>
    <n v="-601.20999999999913"/>
  </r>
  <r>
    <x v="0"/>
    <x v="5"/>
    <x v="0"/>
    <s v="3500106"/>
    <n v="740020"/>
    <s v="Education-Registration Fees"/>
    <s v="Family Birthing Unit"/>
    <x v="0"/>
    <m/>
    <n v="252"/>
    <n v="700"/>
    <n v="800"/>
    <n v="204"/>
    <n v="2036"/>
    <n v="899.98"/>
    <n v="1050"/>
    <n v="1106.5899999999999"/>
    <n v="645"/>
    <n v="9550"/>
    <n v="-9195"/>
    <n v="175"/>
    <n v="8223.57"/>
    <n v="-9370"/>
  </r>
  <r>
    <x v="0"/>
    <x v="5"/>
    <x v="0"/>
    <s v="3500106"/>
    <n v="743010"/>
    <s v="Dues--Institutional"/>
    <s v="Family Birthing Unit"/>
    <x v="0"/>
    <m/>
    <n v="0"/>
    <n v="0"/>
    <n v="0"/>
    <n v="10000"/>
    <n v="0"/>
    <n v="0"/>
    <n v="0"/>
    <n v="0"/>
    <n v="0"/>
    <n v="0"/>
    <n v="0"/>
    <n v="0"/>
    <n v="10000"/>
    <n v="0"/>
  </r>
  <r>
    <x v="0"/>
    <x v="5"/>
    <x v="0"/>
    <s v="3500106"/>
    <n v="743040"/>
    <s v="Subscriptions--Individual"/>
    <s v="Family Birthing Unit"/>
    <x v="0"/>
    <m/>
    <n v="0"/>
    <n v="0"/>
    <n v="0"/>
    <n v="0"/>
    <n v="0"/>
    <n v="40.29"/>
    <n v="0"/>
    <n v="0"/>
    <n v="0"/>
    <n v="0"/>
    <n v="0"/>
    <n v="0"/>
    <n v="40.29"/>
    <n v="0"/>
  </r>
  <r>
    <x v="0"/>
    <x v="5"/>
    <x v="0"/>
    <s v="3500106"/>
    <n v="749510"/>
    <s v="Miscellaneous Expenses"/>
    <s v="Family Birthing Unit"/>
    <x v="0"/>
    <m/>
    <n v="0"/>
    <n v="-110.51"/>
    <n v="-64.489999999999995"/>
    <n v="164.3"/>
    <n v="145.97"/>
    <n v="-240.27"/>
    <n v="0"/>
    <n v="0"/>
    <n v="2266"/>
    <n v="0"/>
    <n v="0"/>
    <n v="960.83"/>
    <n v="3121.83"/>
    <n v="-960.83"/>
  </r>
  <r>
    <x v="0"/>
    <x v="5"/>
    <x v="0"/>
    <s v="3500106"/>
    <n v="749530"/>
    <s v="Travel"/>
    <s v="Family Birthing Unit"/>
    <x v="0"/>
    <m/>
    <n v="0"/>
    <n v="0"/>
    <n v="16.52"/>
    <n v="0"/>
    <n v="0"/>
    <n v="0"/>
    <n v="0"/>
    <n v="0"/>
    <n v="0"/>
    <n v="0"/>
    <n v="33.270000000000003"/>
    <n v="0"/>
    <n v="49.790000000000006"/>
    <n v="33.270000000000003"/>
  </r>
  <r>
    <x v="0"/>
    <x v="5"/>
    <x v="0"/>
    <s v="3500106"/>
    <n v="749530"/>
    <s v="Mileage"/>
    <s v="Family Birthing Unit"/>
    <x v="0"/>
    <n v="1001"/>
    <n v="0"/>
    <n v="0"/>
    <n v="225.12"/>
    <n v="62.14"/>
    <n v="179.87"/>
    <n v="57.78"/>
    <n v="0"/>
    <n v="0"/>
    <n v="24.36"/>
    <n v="33.06"/>
    <n v="0"/>
    <n v="0"/>
    <n v="582.32999999999993"/>
    <n v="0"/>
  </r>
  <r>
    <x v="18"/>
    <x v="6"/>
    <x v="0"/>
    <s v="3500107"/>
    <n v="400010"/>
    <s v="Acute I/P Svcs Rev--Medicare"/>
    <s v="LDRP &amp; Nursery"/>
    <x v="0"/>
    <n v="1100"/>
    <n v="-24912.39"/>
    <n v="0"/>
    <n v="-33750.959999999999"/>
    <n v="-55381.74"/>
    <n v="-3063"/>
    <n v="0"/>
    <n v="-12291.45"/>
    <n v="-11481.28"/>
    <n v="-3155"/>
    <n v="0"/>
    <n v="-36153.040000000001"/>
    <n v="-45902.96"/>
    <n v="-226091.82"/>
    <n v="9749.9199999999983"/>
  </r>
  <r>
    <x v="18"/>
    <x v="6"/>
    <x v="0"/>
    <s v="3500107"/>
    <n v="400010"/>
    <s v="Acute I/P Svcs Rev--Medicaid"/>
    <s v="LDRP &amp; Nursery"/>
    <x v="0"/>
    <n v="1200"/>
    <n v="-2375686.91"/>
    <n v="-2009045.87"/>
    <n v="-1838736.1"/>
    <n v="-1483675.5"/>
    <n v="-1623849.48"/>
    <n v="-2285937.88"/>
    <n v="-2001874.44"/>
    <n v="-1764763.46"/>
    <n v="-1907337.34"/>
    <n v="-2286102.2200000002"/>
    <n v="-1685601.52"/>
    <n v="-2533393.19"/>
    <n v="-23796003.91"/>
    <n v="847791.66999999993"/>
  </r>
  <r>
    <x v="18"/>
    <x v="6"/>
    <x v="0"/>
    <s v="3500107"/>
    <n v="400010"/>
    <s v="Acute I/P Svcs Rev--Comm Insurance"/>
    <s v="LDRP &amp; Nursery"/>
    <x v="0"/>
    <n v="1300"/>
    <n v="-190061.5"/>
    <n v="-294721.81"/>
    <n v="-204379.34"/>
    <n v="-270967.39"/>
    <n v="-361618.82"/>
    <n v="-127855.42"/>
    <n v="-50422.02"/>
    <n v="-156104.07"/>
    <n v="-207540.24"/>
    <n v="-284352.78999999998"/>
    <n v="-618510.38"/>
    <n v="-398372.05"/>
    <n v="-3164905.8299999996"/>
    <n v="-220138.33000000002"/>
  </r>
  <r>
    <x v="18"/>
    <x v="6"/>
    <x v="0"/>
    <s v="3500107"/>
    <n v="400010"/>
    <s v="Acute I/P Svcs Rev--BCBS Comm"/>
    <s v="LDRP &amp; Nursery"/>
    <x v="0"/>
    <n v="1301"/>
    <n v="-999319.57"/>
    <n v="-839919.3"/>
    <n v="-829024.59"/>
    <n v="-900089.13"/>
    <n v="-1195061.3700000001"/>
    <n v="-628193.6"/>
    <n v="-1036292.6"/>
    <n v="-935501.84"/>
    <n v="-1008722.88"/>
    <n v="-645379.46"/>
    <n v="-877892.5"/>
    <n v="-910508.88"/>
    <n v="-10805905.720000001"/>
    <n v="32616.380000000005"/>
  </r>
  <r>
    <x v="18"/>
    <x v="6"/>
    <x v="0"/>
    <s v="3500107"/>
    <n v="400010"/>
    <s v="Acute I/P Svcs Rev--Managed Care"/>
    <s v="LDRP &amp; Nursery"/>
    <x v="0"/>
    <n v="1400"/>
    <n v="-1358518.74"/>
    <n v="-1240511.1499999999"/>
    <n v="-905303.43"/>
    <n v="-1256727.42"/>
    <n v="-1031467.22"/>
    <n v="-1386322.95"/>
    <n v="-1397442.93"/>
    <n v="-1025232.93"/>
    <n v="-989168.55"/>
    <n v="-967713.4"/>
    <n v="-1359214.92"/>
    <n v="-1432548.75"/>
    <n v="-14350172.390000001"/>
    <n v="73333.830000000075"/>
  </r>
  <r>
    <x v="18"/>
    <x v="6"/>
    <x v="0"/>
    <s v="3500107"/>
    <n v="400010"/>
    <s v="Acute I/P Svcs Rev--Self Pay"/>
    <s v="LDRP &amp; Nursery"/>
    <x v="0"/>
    <n v="1500"/>
    <n v="-17971.54"/>
    <n v="-16833.12"/>
    <n v="-10139.1"/>
    <n v="1610.2"/>
    <n v="-45125.5"/>
    <n v="-21413.21"/>
    <n v="-4553.8500000000004"/>
    <n v="-138396.41"/>
    <n v="-141589.35"/>
    <n v="-6612.44"/>
    <n v="-19611.37"/>
    <n v="-4622.59"/>
    <n v="-425258.28"/>
    <n v="-14988.779999999999"/>
  </r>
  <r>
    <x v="18"/>
    <x v="6"/>
    <x v="0"/>
    <s v="3500107"/>
    <n v="400010"/>
    <s v="Acute I/P Svcs Rev--Other"/>
    <s v="LDRP &amp; Nursery"/>
    <x v="0"/>
    <n v="1700"/>
    <n v="-605520.97"/>
    <n v="-623712.79"/>
    <n v="-850677.6"/>
    <n v="-826069.57"/>
    <n v="-711976.8"/>
    <n v="-437809"/>
    <n v="-787290.71"/>
    <n v="-536347.94999999995"/>
    <n v="-592165.67000000004"/>
    <n v="-751701.94"/>
    <n v="-528320.43999999994"/>
    <n v="-551563.48"/>
    <n v="-7803156.9199999999"/>
    <n v="23243.040000000037"/>
  </r>
  <r>
    <x v="19"/>
    <x v="6"/>
    <x v="0"/>
    <s v="3500107"/>
    <n v="400020"/>
    <s v="O/P Care Svcs Rev--Medicare"/>
    <s v="LDRP &amp; Nursery"/>
    <x v="0"/>
    <n v="1100"/>
    <n v="-1895.3"/>
    <n v="0"/>
    <n v="-5741.84"/>
    <n v="-2217.9"/>
    <n v="0"/>
    <n v="-1276.3"/>
    <n v="0"/>
    <n v="-7583.36"/>
    <n v="0"/>
    <n v="-3417.44"/>
    <n v="-2641"/>
    <n v="-7372.12"/>
    <n v="-32145.26"/>
    <n v="4731.12"/>
  </r>
  <r>
    <x v="19"/>
    <x v="6"/>
    <x v="0"/>
    <s v="3500107"/>
    <n v="400020"/>
    <s v="O/P Care Svcs Rev--Medicaid"/>
    <s v="LDRP &amp; Nursery"/>
    <x v="0"/>
    <n v="1200"/>
    <n v="-173901.35"/>
    <n v="-181121.45"/>
    <n v="-170525.75"/>
    <n v="-135646.62"/>
    <n v="-168402.58"/>
    <n v="-217774.33"/>
    <n v="-152817.29999999999"/>
    <n v="-159898.39000000001"/>
    <n v="-147671.70000000001"/>
    <n v="-150832.82999999999"/>
    <n v="-126928.13"/>
    <n v="-138180.16"/>
    <n v="-1923700.59"/>
    <n v="11252.029999999999"/>
  </r>
  <r>
    <x v="19"/>
    <x v="6"/>
    <x v="0"/>
    <s v="3500107"/>
    <n v="400020"/>
    <s v="O/P Care Svcs Rev--Comm Insurance"/>
    <s v="LDRP &amp; Nursery"/>
    <x v="0"/>
    <n v="1300"/>
    <n v="-24996.76"/>
    <n v="-930.35"/>
    <n v="-4549.13"/>
    <n v="-7820.76"/>
    <n v="-15410.96"/>
    <n v="-14633"/>
    <n v="-27685.73"/>
    <n v="-16054.36"/>
    <n v="-17128.7"/>
    <n v="-11256.5"/>
    <n v="-6828.12"/>
    <n v="-3843"/>
    <n v="-151137.37"/>
    <n v="-2985.12"/>
  </r>
  <r>
    <x v="19"/>
    <x v="6"/>
    <x v="0"/>
    <s v="3500107"/>
    <n v="400020"/>
    <s v="O/P Care Svcs Rev--BCBS Comm"/>
    <s v="LDRP &amp; Nursery"/>
    <x v="0"/>
    <n v="1301"/>
    <n v="-43256.58"/>
    <n v="-20906.2"/>
    <n v="-44275.65"/>
    <n v="-73005.22"/>
    <n v="-31246.55"/>
    <n v="-35514.58"/>
    <n v="-37673.33"/>
    <n v="-14694.88"/>
    <n v="-45254.52"/>
    <n v="-19681.64"/>
    <n v="-27433.16"/>
    <n v="-46356.62"/>
    <n v="-439298.93"/>
    <n v="18923.460000000003"/>
  </r>
  <r>
    <x v="19"/>
    <x v="6"/>
    <x v="0"/>
    <s v="3500107"/>
    <n v="400020"/>
    <s v="O/P Care Svcs Rev--Managed Care"/>
    <s v="LDRP &amp; Nursery"/>
    <x v="0"/>
    <n v="1400"/>
    <n v="-83333.06"/>
    <n v="-63258.01"/>
    <n v="-72949.490000000005"/>
    <n v="-67695.899999999994"/>
    <n v="-86257.87"/>
    <n v="-95900.38"/>
    <n v="-61139.97"/>
    <n v="-73230.34"/>
    <n v="-66936.539999999994"/>
    <n v="-96029.6"/>
    <n v="-42821.440000000002"/>
    <n v="-78293.58"/>
    <n v="-887846.17999999982"/>
    <n v="35472.14"/>
  </r>
  <r>
    <x v="19"/>
    <x v="6"/>
    <x v="0"/>
    <s v="3500107"/>
    <n v="400020"/>
    <s v="O/P Care Svcs Rev--Self Pay"/>
    <s v="LDRP &amp; Nursery"/>
    <x v="0"/>
    <n v="1500"/>
    <n v="-5149.3"/>
    <n v="0"/>
    <n v="-2766.42"/>
    <n v="-2433.62"/>
    <n v="-7065.14"/>
    <n v="-8969.4500000000007"/>
    <n v="-2281.9"/>
    <n v="-7299.86"/>
    <n v="2676.86"/>
    <n v="1407.7"/>
    <n v="6053.02"/>
    <n v="0"/>
    <n v="-25828.11"/>
    <n v="6053.02"/>
  </r>
  <r>
    <x v="19"/>
    <x v="6"/>
    <x v="0"/>
    <s v="3500107"/>
    <n v="400020"/>
    <s v="O/P Care Svcs Rev--Other"/>
    <s v="LDRP &amp; Nursery"/>
    <x v="0"/>
    <n v="1700"/>
    <n v="-83982.51"/>
    <n v="-95524.54"/>
    <n v="-67652.649999999994"/>
    <n v="-32583.02"/>
    <n v="-28681.48"/>
    <n v="-59127.26"/>
    <n v="-65617.61"/>
    <n v="-118124.16"/>
    <n v="-104541.61"/>
    <n v="-58624.25"/>
    <n v="-61435.1"/>
    <n v="-62457.81"/>
    <n v="-838352"/>
    <n v="1022.7099999999991"/>
  </r>
  <r>
    <x v="14"/>
    <x v="6"/>
    <x v="0"/>
    <s v="3500107"/>
    <n v="600050"/>
    <s v="Miscellaneous Revenue"/>
    <s v="LDRP &amp; Nursery"/>
    <x v="0"/>
    <m/>
    <n v="-2083.33"/>
    <n v="0"/>
    <n v="-672.8"/>
    <n v="-519.08000000000004"/>
    <n v="-565.21"/>
    <n v="0"/>
    <n v="-593.5"/>
    <n v="0"/>
    <n v="-694.62"/>
    <n v="0"/>
    <n v="-2083.33"/>
    <n v="0"/>
    <n v="-7211.87"/>
    <n v="-2083.33"/>
  </r>
  <r>
    <x v="20"/>
    <x v="6"/>
    <x v="0"/>
    <s v="3500107"/>
    <n v="610010"/>
    <s v="Foundation Distributions"/>
    <s v="LDRP &amp; Nursery"/>
    <x v="0"/>
    <n v="1175"/>
    <n v="-46.7"/>
    <n v="0"/>
    <n v="0"/>
    <n v="0"/>
    <n v="0"/>
    <n v="0"/>
    <n v="0"/>
    <n v="0"/>
    <n v="0"/>
    <n v="0"/>
    <n v="0"/>
    <n v="-325"/>
    <n v="-371.7"/>
    <n v="325"/>
  </r>
  <r>
    <x v="5"/>
    <x v="6"/>
    <x v="0"/>
    <s v="3500107"/>
    <n v="700014"/>
    <s v="Salaries-Management-Productive"/>
    <s v="LDRP &amp; Nursery"/>
    <x v="0"/>
    <m/>
    <n v="8683.61"/>
    <n v="6467.02"/>
    <n v="8437.66"/>
    <n v="8541.5"/>
    <n v="9137.0400000000009"/>
    <n v="6070.39"/>
    <n v="9279.2000000000007"/>
    <n v="8350.84"/>
    <n v="8670.84"/>
    <n v="10110.27"/>
    <n v="9470.7199999999993"/>
    <n v="6367.32"/>
    <n v="99586.41"/>
    <n v="3103.3999999999996"/>
  </r>
  <r>
    <x v="5"/>
    <x v="6"/>
    <x v="0"/>
    <s v="3500107"/>
    <n v="700018"/>
    <s v="Salaries-Supervisory-Productive"/>
    <s v="LDRP &amp; Nursery"/>
    <x v="0"/>
    <m/>
    <n v="6311.53"/>
    <n v="6176.1"/>
    <n v="6741.7"/>
    <n v="4446.2700000000004"/>
    <n v="7685.44"/>
    <n v="5446.97"/>
    <n v="4877.59"/>
    <n v="6587.44"/>
    <n v="5639.85"/>
    <n v="6933.98"/>
    <n v="6749.27"/>
    <n v="5616.82"/>
    <n v="73212.960000000021"/>
    <n v="1132.4500000000007"/>
  </r>
  <r>
    <x v="5"/>
    <x v="6"/>
    <x v="0"/>
    <s v="3500107"/>
    <n v="700026"/>
    <s v="Salaries-RN-Productive"/>
    <s v="LDRP &amp; Nursery"/>
    <x v="0"/>
    <m/>
    <n v="371598.77"/>
    <n v="375733.46"/>
    <n v="349725.81"/>
    <n v="373558.4"/>
    <n v="377649.14"/>
    <n v="384264.17"/>
    <n v="421899.46"/>
    <n v="369873.48"/>
    <n v="440891.79"/>
    <n v="394636.13"/>
    <n v="418716.8"/>
    <n v="416070.41"/>
    <n v="4694617.82"/>
    <n v="2646.390000000014"/>
  </r>
  <r>
    <x v="5"/>
    <x v="6"/>
    <x v="0"/>
    <s v="3500107"/>
    <n v="700026"/>
    <s v="Salaries-RN-OT"/>
    <s v="LDRP &amp; Nursery"/>
    <x v="0"/>
    <n v="1000"/>
    <n v="21842.54"/>
    <n v="26273.16"/>
    <n v="17072.439999999999"/>
    <n v="20057.560000000001"/>
    <n v="25081.57"/>
    <n v="21166.880000000001"/>
    <n v="25453.46"/>
    <n v="21276.81"/>
    <n v="20166.439999999999"/>
    <n v="17170.39"/>
    <n v="16382.16"/>
    <n v="23167.39"/>
    <n v="255110.8"/>
    <n v="-6785.23"/>
  </r>
  <r>
    <x v="5"/>
    <x v="6"/>
    <x v="0"/>
    <s v="3500107"/>
    <n v="700026"/>
    <s v="Salaries-RN-Other"/>
    <s v="LDRP &amp; Nursery"/>
    <x v="0"/>
    <n v="2000"/>
    <n v="39380.75"/>
    <n v="37500.69"/>
    <n v="37222.03"/>
    <n v="35973.919999999998"/>
    <n v="38809.949999999997"/>
    <n v="40563.440000000002"/>
    <n v="43611.78"/>
    <n v="39388.080000000002"/>
    <n v="44620.35"/>
    <n v="41951.23"/>
    <n v="47923.9"/>
    <n v="42024.92"/>
    <n v="488971.04000000004"/>
    <n v="5898.9800000000032"/>
  </r>
  <r>
    <x v="5"/>
    <x v="6"/>
    <x v="0"/>
    <s v="3500107"/>
    <n v="700030"/>
    <s v="Salaries-LPN-Productive"/>
    <s v="LDRP &amp; Nursery"/>
    <x v="0"/>
    <m/>
    <n v="0"/>
    <n v="14.48"/>
    <n v="0"/>
    <n v="0"/>
    <n v="0"/>
    <n v="0"/>
    <n v="0"/>
    <n v="0"/>
    <n v="0"/>
    <n v="0"/>
    <n v="0"/>
    <n v="296.89999999999998"/>
    <n v="311.38"/>
    <n v="-296.89999999999998"/>
  </r>
  <r>
    <x v="5"/>
    <x v="6"/>
    <x v="0"/>
    <s v="3500107"/>
    <n v="700030"/>
    <s v="Salaries-LPN-OT"/>
    <s v="LDRP &amp; Nursery"/>
    <x v="0"/>
    <n v="1000"/>
    <n v="0"/>
    <n v="32.58"/>
    <n v="0"/>
    <n v="0"/>
    <n v="0"/>
    <n v="0"/>
    <n v="0"/>
    <n v="0"/>
    <n v="0"/>
    <n v="0"/>
    <n v="0"/>
    <n v="9.68"/>
    <n v="42.26"/>
    <n v="-9.68"/>
  </r>
  <r>
    <x v="5"/>
    <x v="6"/>
    <x v="0"/>
    <s v="3500107"/>
    <n v="700030"/>
    <s v="Salaries-LPN-Other"/>
    <s v="LDRP &amp; Nursery"/>
    <x v="0"/>
    <n v="2000"/>
    <n v="0"/>
    <n v="0"/>
    <n v="0"/>
    <n v="0"/>
    <n v="0"/>
    <n v="0"/>
    <n v="0"/>
    <n v="0"/>
    <n v="0"/>
    <n v="0"/>
    <n v="0"/>
    <n v="39.42"/>
    <n v="39.42"/>
    <n v="-39.42"/>
  </r>
  <r>
    <x v="5"/>
    <x v="6"/>
    <x v="0"/>
    <s v="3500107"/>
    <n v="700032"/>
    <s v="Salaries-Other Pat Care Providers-Productive"/>
    <s v="LDRP &amp; Nursery"/>
    <x v="0"/>
    <m/>
    <n v="14594.97"/>
    <n v="12108.21"/>
    <n v="12712.15"/>
    <n v="14291.69"/>
    <n v="15972.27"/>
    <n v="20001.41"/>
    <n v="18499.759999999998"/>
    <n v="17102.939999999999"/>
    <n v="19501.23"/>
    <n v="15595.05"/>
    <n v="17061.169999999998"/>
    <n v="17248.64"/>
    <n v="194689.49"/>
    <n v="-187.47000000000116"/>
  </r>
  <r>
    <x v="5"/>
    <x v="6"/>
    <x v="0"/>
    <s v="3500107"/>
    <n v="700032"/>
    <s v="Salaries-Other Pat Care Providers-OT"/>
    <s v="LDRP &amp; Nursery"/>
    <x v="0"/>
    <n v="1000"/>
    <n v="161.02000000000001"/>
    <n v="470.13"/>
    <n v="1006.3"/>
    <n v="548.04999999999995"/>
    <n v="217.65"/>
    <n v="792.88"/>
    <n v="1437.2"/>
    <n v="-166.24"/>
    <n v="1227.52"/>
    <n v="165.5"/>
    <n v="70.37"/>
    <n v="928.94"/>
    <n v="6859.32"/>
    <n v="-858.57"/>
  </r>
  <r>
    <x v="5"/>
    <x v="6"/>
    <x v="0"/>
    <s v="3500107"/>
    <n v="700032"/>
    <s v="Salaries-Other Pat Care Providers-Other"/>
    <s v="LDRP &amp; Nursery"/>
    <x v="0"/>
    <n v="2000"/>
    <n v="892.14"/>
    <n v="841.5"/>
    <n v="668.17"/>
    <n v="925.58"/>
    <n v="977.92"/>
    <n v="1082.79"/>
    <n v="1273.79"/>
    <n v="1251.46"/>
    <n v="1461.17"/>
    <n v="964.1"/>
    <n v="999"/>
    <n v="962.74"/>
    <n v="12300.36"/>
    <n v="36.259999999999991"/>
  </r>
  <r>
    <x v="5"/>
    <x v="6"/>
    <x v="0"/>
    <s v="3500107"/>
    <n v="700034"/>
    <s v="Salaries-Tech/Professional-Productive"/>
    <s v="LDRP &amp; Nursery"/>
    <x v="0"/>
    <m/>
    <n v="22764.52"/>
    <n v="22374.34"/>
    <n v="22103.14"/>
    <n v="22126.9"/>
    <n v="19162.82"/>
    <n v="27229.18"/>
    <n v="28452.76"/>
    <n v="20073.009999999998"/>
    <n v="24125.17"/>
    <n v="22642.560000000001"/>
    <n v="21892.29"/>
    <n v="23496.63"/>
    <n v="276443.32"/>
    <n v="-1604.3400000000001"/>
  </r>
  <r>
    <x v="5"/>
    <x v="6"/>
    <x v="0"/>
    <s v="3500107"/>
    <n v="700034"/>
    <s v="Salaries-Tech/Professional-OT"/>
    <s v="LDRP &amp; Nursery"/>
    <x v="0"/>
    <n v="1000"/>
    <n v="465.42"/>
    <n v="197.18"/>
    <n v="284.41000000000003"/>
    <n v="159.53"/>
    <n v="232.6"/>
    <n v="89.7"/>
    <n v="65.430000000000007"/>
    <n v="651.97"/>
    <n v="616.6"/>
    <n v="-100.33"/>
    <n v="894.92"/>
    <n v="-38.450000000000003"/>
    <n v="3518.98"/>
    <n v="933.37"/>
  </r>
  <r>
    <x v="5"/>
    <x v="6"/>
    <x v="0"/>
    <s v="3500107"/>
    <n v="700034"/>
    <s v="Salaries-Tech/Professional-Other"/>
    <s v="LDRP &amp; Nursery"/>
    <x v="0"/>
    <n v="2000"/>
    <n v="1555.24"/>
    <n v="1489.61"/>
    <n v="1449.41"/>
    <n v="1522.04"/>
    <n v="1315.88"/>
    <n v="1548.27"/>
    <n v="1735.5"/>
    <n v="1258.8800000000001"/>
    <n v="1736.17"/>
    <n v="1621.35"/>
    <n v="1526.64"/>
    <n v="1550.72"/>
    <n v="18309.710000000003"/>
    <n v="-24.079999999999927"/>
  </r>
  <r>
    <x v="5"/>
    <x v="6"/>
    <x v="0"/>
    <s v="3500107"/>
    <n v="700038"/>
    <s v="Salaries-Service/Support-Productive"/>
    <s v="LDRP &amp; Nursery"/>
    <x v="0"/>
    <m/>
    <n v="0"/>
    <n v="0"/>
    <n v="0"/>
    <n v="0"/>
    <n v="0"/>
    <n v="85.15"/>
    <n v="71.37"/>
    <n v="25.23"/>
    <n v="150.29"/>
    <n v="26.82"/>
    <n v="14.9"/>
    <n v="26.07"/>
    <n v="399.82999999999993"/>
    <n v="-11.17"/>
  </r>
  <r>
    <x v="5"/>
    <x v="6"/>
    <x v="0"/>
    <s v="3500107"/>
    <n v="700038"/>
    <s v="Salaries-Service/Support-OT"/>
    <s v="LDRP &amp; Nursery"/>
    <x v="0"/>
    <n v="1000"/>
    <n v="0"/>
    <n v="0"/>
    <n v="0"/>
    <n v="0"/>
    <n v="0"/>
    <n v="0"/>
    <n v="0"/>
    <n v="0"/>
    <n v="0"/>
    <n v="239.48"/>
    <n v="265.3"/>
    <n v="-83.2"/>
    <n v="421.58"/>
    <n v="348.5"/>
  </r>
  <r>
    <x v="5"/>
    <x v="6"/>
    <x v="0"/>
    <s v="3500107"/>
    <n v="700038"/>
    <s v="Salaries-Service/Support-Other"/>
    <s v="LDRP &amp; Nursery"/>
    <x v="0"/>
    <n v="2000"/>
    <n v="0"/>
    <n v="0"/>
    <n v="0"/>
    <n v="0"/>
    <n v="0"/>
    <n v="0"/>
    <n v="0"/>
    <n v="0"/>
    <n v="9.02"/>
    <n v="0"/>
    <n v="0"/>
    <n v="4.5"/>
    <n v="13.52"/>
    <n v="-4.5"/>
  </r>
  <r>
    <x v="5"/>
    <x v="6"/>
    <x v="0"/>
    <s v="3500107"/>
    <n v="700054"/>
    <s v="Salaries-Management-Non-productive"/>
    <s v="LDRP &amp; Nursery"/>
    <x v="0"/>
    <m/>
    <n v="862.24"/>
    <n v="3079.27"/>
    <n v="800.81"/>
    <n v="1293.3599999999999"/>
    <n v="447.28"/>
    <n v="3833.72"/>
    <n v="640.39"/>
    <n v="607.88"/>
    <n v="1247.8"/>
    <n v="-511.89"/>
    <n v="447.93"/>
    <n v="3231.49"/>
    <n v="15980.279999999997"/>
    <n v="-2783.56"/>
  </r>
  <r>
    <x v="5"/>
    <x v="6"/>
    <x v="0"/>
    <s v="3500107"/>
    <n v="700054"/>
    <s v="Salaries-Management-NonProd-Other"/>
    <s v="LDRP &amp; Nursery"/>
    <x v="0"/>
    <n v="2000"/>
    <n v="0"/>
    <n v="0"/>
    <n v="0"/>
    <n v="0"/>
    <n v="0"/>
    <n v="1679.11"/>
    <n v="-1679.11"/>
    <n v="0"/>
    <n v="0"/>
    <n v="0"/>
    <n v="0"/>
    <n v="0"/>
    <n v="0"/>
    <n v="0"/>
  </r>
  <r>
    <x v="5"/>
    <x v="6"/>
    <x v="0"/>
    <s v="3500107"/>
    <n v="700058"/>
    <s v="Salaries-Supervisory-Non-productive"/>
    <s v="LDRP &amp; Nursery"/>
    <x v="0"/>
    <m/>
    <n v="701.28"/>
    <n v="837.02"/>
    <n v="45.3"/>
    <n v="2681.14"/>
    <n v="-761.62"/>
    <n v="1707.88"/>
    <n v="2288.41"/>
    <n v="-115.54"/>
    <n v="1525.48"/>
    <n v="-0.01"/>
    <n v="416.08"/>
    <n v="1317.47"/>
    <n v="10642.89"/>
    <n v="-901.3900000000001"/>
  </r>
  <r>
    <x v="5"/>
    <x v="6"/>
    <x v="0"/>
    <s v="3500107"/>
    <n v="700066"/>
    <s v="Salaries-RN-Non-productive"/>
    <s v="LDRP &amp; Nursery"/>
    <x v="0"/>
    <m/>
    <n v="65335.85"/>
    <n v="76584.12"/>
    <n v="51763"/>
    <n v="59193.45"/>
    <n v="53128.89"/>
    <n v="74675.89"/>
    <n v="53492.34"/>
    <n v="57853.81"/>
    <n v="44650.91"/>
    <n v="55785.26"/>
    <n v="50388.08"/>
    <n v="49754.559999999998"/>
    <n v="692606.15999999992"/>
    <n v="633.52000000000407"/>
  </r>
  <r>
    <x v="5"/>
    <x v="6"/>
    <x v="0"/>
    <s v="3500107"/>
    <n v="700066"/>
    <s v="Salaries-RN-NonProd-Other"/>
    <s v="LDRP &amp; Nursery"/>
    <x v="0"/>
    <n v="2000"/>
    <n v="3860.09"/>
    <n v="3952.19"/>
    <n v="4970.74"/>
    <n v="2734.01"/>
    <n v="3243.94"/>
    <n v="3425.48"/>
    <n v="3063.19"/>
    <n v="1471.33"/>
    <n v="2152.59"/>
    <n v="4203.21"/>
    <n v="2098.9299999999998"/>
    <n v="2578.63"/>
    <n v="37754.33"/>
    <n v="-479.70000000000027"/>
  </r>
  <r>
    <x v="5"/>
    <x v="6"/>
    <x v="0"/>
    <s v="3500107"/>
    <n v="700072"/>
    <s v="Salaries-Other Pat Care Providers-Non-productive"/>
    <s v="LDRP &amp; Nursery"/>
    <x v="0"/>
    <m/>
    <n v="2652.49"/>
    <n v="1790.57"/>
    <n v="2245.9299999999998"/>
    <n v="289.3"/>
    <n v="1032.6500000000001"/>
    <n v="625.20000000000005"/>
    <n v="867.53"/>
    <n v="2431.25"/>
    <n v="1559.25"/>
    <n v="3363.15"/>
    <n v="2698.28"/>
    <n v="356.35"/>
    <n v="19911.95"/>
    <n v="2341.9300000000003"/>
  </r>
  <r>
    <x v="5"/>
    <x v="6"/>
    <x v="0"/>
    <s v="3500107"/>
    <n v="700072"/>
    <s v="Salaries-Other Pat Care Providers-NonProd-Other"/>
    <s v="LDRP &amp; Nursery"/>
    <x v="0"/>
    <n v="2000"/>
    <n v="18.72"/>
    <n v="119.5"/>
    <n v="153.91"/>
    <n v="-16.5"/>
    <n v="18.059999999999999"/>
    <n v="54.59"/>
    <n v="9.68"/>
    <n v="62.43"/>
    <n v="134.91999999999999"/>
    <n v="136.88999999999999"/>
    <n v="51.97"/>
    <n v="16.97"/>
    <n v="761.14"/>
    <n v="35"/>
  </r>
  <r>
    <x v="5"/>
    <x v="6"/>
    <x v="0"/>
    <s v="3500107"/>
    <n v="700074"/>
    <s v="Salaries-Tech/Professional-Non-productive"/>
    <s v="LDRP &amp; Nursery"/>
    <x v="0"/>
    <m/>
    <n v="2521.21"/>
    <n v="2509.71"/>
    <n v="1037.47"/>
    <n v="3172.73"/>
    <n v="5483.47"/>
    <n v="2769.75"/>
    <n v="2551.13"/>
    <n v="2865.14"/>
    <n v="1539.51"/>
    <n v="-137.13"/>
    <n v="3462.01"/>
    <n v="2372.96"/>
    <n v="30147.96"/>
    <n v="1089.0500000000002"/>
  </r>
  <r>
    <x v="5"/>
    <x v="6"/>
    <x v="0"/>
    <s v="3500107"/>
    <n v="700074"/>
    <s v="Salaries-Tech/Professional-NonProd-Other"/>
    <s v="LDRP &amp; Nursery"/>
    <x v="0"/>
    <n v="2000"/>
    <n v="305.52999999999997"/>
    <n v="162.6"/>
    <n v="77.02"/>
    <n v="194.59"/>
    <n v="360.51"/>
    <n v="521.78"/>
    <n v="90.38"/>
    <n v="202.52"/>
    <n v="11.15"/>
    <n v="-12.77"/>
    <n v="104.56"/>
    <n v="122.9"/>
    <n v="2140.77"/>
    <n v="-18.340000000000003"/>
  </r>
  <r>
    <x v="5"/>
    <x v="6"/>
    <x v="0"/>
    <s v="3500107"/>
    <n v="700084"/>
    <s v="Accrued PTO"/>
    <s v="LDRP &amp; Nursery"/>
    <x v="0"/>
    <m/>
    <n v="-1060.8499999999999"/>
    <n v="-1875.22"/>
    <n v="-611"/>
    <n v="13457.85"/>
    <n v="11475.75"/>
    <n v="-4480.82"/>
    <n v="4084.07"/>
    <n v="2806.28"/>
    <n v="12513.7"/>
    <n v="4711.45"/>
    <n v="15848.25"/>
    <n v="13193.06"/>
    <n v="70062.51999999999"/>
    <n v="2655.1900000000005"/>
  </r>
  <r>
    <x v="10"/>
    <x v="6"/>
    <x v="0"/>
    <s v="3500107"/>
    <n v="710060"/>
    <s v="Contract Labor-Other"/>
    <s v="LDRP &amp; Nursery"/>
    <x v="0"/>
    <m/>
    <n v="43324.25"/>
    <n v="47511"/>
    <n v="39396.480000000003"/>
    <n v="49087.5"/>
    <n v="44035"/>
    <n v="72613.75"/>
    <n v="17121.8"/>
    <n v="24947.5"/>
    <n v="41745.629999999997"/>
    <n v="25879.33"/>
    <n v="34802.5"/>
    <n v="17390"/>
    <n v="457854.74"/>
    <n v="17412.5"/>
  </r>
  <r>
    <x v="10"/>
    <x v="6"/>
    <x v="0"/>
    <s v="3500107"/>
    <n v="710060"/>
    <s v="Contract Labor-Overtime"/>
    <s v="LDRP &amp; Nursery"/>
    <x v="0"/>
    <n v="5100"/>
    <n v="2782.69"/>
    <n v="3557.25"/>
    <n v="2381.0700000000002"/>
    <n v="2104.12"/>
    <n v="3327.75"/>
    <n v="6186.56"/>
    <n v="1520.44"/>
    <n v="2008.12"/>
    <n v="4905.55"/>
    <n v="3150.38"/>
    <n v="864"/>
    <n v="0"/>
    <n v="32787.93"/>
    <n v="864"/>
  </r>
  <r>
    <x v="10"/>
    <x v="6"/>
    <x v="0"/>
    <s v="3500107"/>
    <n v="710060"/>
    <s v="Contract Labor-Standby Wages"/>
    <s v="LDRP &amp; Nursery"/>
    <x v="0"/>
    <n v="5101"/>
    <n v="318"/>
    <n v="96"/>
    <n v="494"/>
    <n v="96"/>
    <n v="718"/>
    <n v="316"/>
    <n v="0"/>
    <n v="442"/>
    <n v="220"/>
    <n v="258"/>
    <n v="294"/>
    <n v="96"/>
    <n v="3348"/>
    <n v="198"/>
  </r>
  <r>
    <x v="6"/>
    <x v="6"/>
    <x v="0"/>
    <s v="3500107"/>
    <n v="713010"/>
    <s v="Benefits-FICA/Medicare"/>
    <s v="LDRP &amp; Nursery"/>
    <x v="0"/>
    <m/>
    <n v="43002.75"/>
    <n v="43191.199999999997"/>
    <n v="40109.39"/>
    <n v="40810.07"/>
    <n v="41733.24"/>
    <n v="43377.42"/>
    <n v="46172.639999999999"/>
    <n v="41134.07"/>
    <n v="45930.04"/>
    <n v="43225.03"/>
    <n v="44409.21"/>
    <n v="43915.46"/>
    <n v="517010.52"/>
    <n v="493.75"/>
  </r>
  <r>
    <x v="6"/>
    <x v="6"/>
    <x v="0"/>
    <s v="3500107"/>
    <n v="713090"/>
    <s v="Benefits-Allocated Amounts"/>
    <s v="LDRP &amp; Nursery"/>
    <x v="0"/>
    <m/>
    <n v="83494.740000000005"/>
    <n v="76960.36"/>
    <n v="75525.42"/>
    <n v="79140.41"/>
    <n v="91324.62"/>
    <n v="88646.32"/>
    <n v="92584.37"/>
    <n v="87614.87"/>
    <n v="79786.899999999994"/>
    <n v="94370.52"/>
    <n v="90573.92"/>
    <n v="103616.4"/>
    <n v="1043638.8500000001"/>
    <n v="-13042.479999999996"/>
  </r>
  <r>
    <x v="6"/>
    <x v="6"/>
    <x v="0"/>
    <s v="3500107"/>
    <n v="713096"/>
    <s v="Employee Recognition"/>
    <s v="LDRP &amp; Nursery"/>
    <x v="0"/>
    <n v="1017"/>
    <n v="0"/>
    <n v="524.34"/>
    <n v="199.31"/>
    <n v="124.2"/>
    <n v="570.4"/>
    <n v="0"/>
    <n v="0"/>
    <n v="120"/>
    <n v="225.78"/>
    <n v="120.42"/>
    <n v="43.38"/>
    <n v="579.49"/>
    <n v="2507.3200000000002"/>
    <n v="-536.11"/>
  </r>
  <r>
    <x v="17"/>
    <x v="6"/>
    <x v="0"/>
    <s v="3500107"/>
    <n v="714520"/>
    <s v="Other Contracted Professionals"/>
    <s v="LDRP &amp; Nursery"/>
    <x v="0"/>
    <m/>
    <n v="122621.15"/>
    <n v="124190.11"/>
    <n v="108633.55"/>
    <n v="133202.29"/>
    <n v="100000"/>
    <n v="152857.76999999999"/>
    <n v="126173.07"/>
    <n v="131243.92000000001"/>
    <n v="133195.25"/>
    <n v="130425.18"/>
    <n v="126537"/>
    <n v="130000"/>
    <n v="1519079.2899999998"/>
    <n v="-3463"/>
  </r>
  <r>
    <x v="7"/>
    <x v="6"/>
    <x v="0"/>
    <s v="3500107"/>
    <n v="718040"/>
    <s v="Contract Svcs-Laboratory"/>
    <s v="LDRP &amp; Nursery"/>
    <x v="0"/>
    <m/>
    <n v="0"/>
    <n v="1572"/>
    <n v="1303"/>
    <n v="985"/>
    <n v="776"/>
    <n v="0"/>
    <n v="0"/>
    <n v="0"/>
    <n v="0"/>
    <n v="0"/>
    <n v="0"/>
    <n v="0"/>
    <n v="4636"/>
    <n v="0"/>
  </r>
  <r>
    <x v="7"/>
    <x v="6"/>
    <x v="0"/>
    <s v="3500107"/>
    <n v="718050"/>
    <s v="Miscellaneous Purchased Svcs"/>
    <s v="LDRP &amp; Nursery"/>
    <x v="0"/>
    <n v="1020"/>
    <n v="63750"/>
    <n v="63750"/>
    <n v="74205.66"/>
    <n v="66000"/>
    <n v="69489"/>
    <n v="65663"/>
    <n v="72805.67"/>
    <n v="65326"/>
    <n v="86080.01"/>
    <n v="35943.61"/>
    <n v="66000"/>
    <n v="68409"/>
    <n v="797421.95000000007"/>
    <n v="-2409"/>
  </r>
  <r>
    <x v="7"/>
    <x v="6"/>
    <x v="0"/>
    <s v="3500107"/>
    <n v="718050"/>
    <s v="Translation Services"/>
    <s v="LDRP &amp; Nursery"/>
    <x v="0"/>
    <n v="1025"/>
    <n v="0"/>
    <n v="0"/>
    <n v="0"/>
    <n v="0"/>
    <n v="0"/>
    <n v="0"/>
    <n v="0"/>
    <n v="0"/>
    <n v="128"/>
    <n v="0"/>
    <n v="0"/>
    <n v="0"/>
    <n v="128"/>
    <n v="0"/>
  </r>
  <r>
    <x v="7"/>
    <x v="6"/>
    <x v="0"/>
    <s v="3500107"/>
    <n v="718050"/>
    <s v="Contract Management--Linen"/>
    <s v="LDRP &amp; Nursery"/>
    <x v="0"/>
    <n v="1026"/>
    <n v="6043.57"/>
    <n v="6538.73"/>
    <n v="6810.6"/>
    <n v="5866.57"/>
    <n v="5895.35"/>
    <n v="5298.62"/>
    <n v="5751.73"/>
    <n v="5673.32"/>
    <n v="5979.29"/>
    <n v="6324.82"/>
    <n v="4325.75"/>
    <n v="8591.16"/>
    <n v="73099.509999999995"/>
    <n v="-4265.41"/>
  </r>
  <r>
    <x v="7"/>
    <x v="6"/>
    <x v="0"/>
    <s v="3500107"/>
    <n v="718070"/>
    <s v="Contract Srvcs-CHI Clinical Engineering"/>
    <s v="LDRP &amp; Nursery"/>
    <x v="0"/>
    <m/>
    <n v="146.31"/>
    <n v="163.79"/>
    <n v="105.22"/>
    <n v="155.05000000000001"/>
    <n v="155.05000000000001"/>
    <n v="197.69"/>
    <n v="199.42"/>
    <n v="199.42"/>
    <n v="199.42"/>
    <n v="199.42"/>
    <n v="184.4"/>
    <n v="188.14"/>
    <n v="2093.3300000000004"/>
    <n v="-3.7399999999999807"/>
  </r>
  <r>
    <x v="7"/>
    <x v="6"/>
    <x v="0"/>
    <s v="3500107"/>
    <n v="718091"/>
    <s v="Contract Services-Intracompany Allocation"/>
    <s v="LDRP &amp; Nursery"/>
    <x v="0"/>
    <m/>
    <n v="17423.64"/>
    <n v="20243.78"/>
    <n v="19931.830000000002"/>
    <n v="20074.7"/>
    <n v="16041.17"/>
    <n v="18761.25"/>
    <n v="22092.85"/>
    <n v="18314"/>
    <n v="16159.19"/>
    <n v="14978.2"/>
    <n v="17028.37"/>
    <n v="22275.96"/>
    <n v="223324.94"/>
    <n v="-5247.59"/>
  </r>
  <r>
    <x v="11"/>
    <x v="6"/>
    <x v="0"/>
    <s v="3500107"/>
    <n v="721010"/>
    <s v="Supplies-Medical - Billable"/>
    <s v="LDRP &amp; Nursery"/>
    <x v="0"/>
    <m/>
    <n v="5062.22"/>
    <n v="5894.67"/>
    <n v="3821.89"/>
    <n v="4677.75"/>
    <n v="8082.45"/>
    <n v="5128.63"/>
    <n v="6939.24"/>
    <n v="5253.19"/>
    <n v="5844.85"/>
    <n v="4797.18"/>
    <n v="6054.02"/>
    <n v="5356.13"/>
    <n v="66912.22"/>
    <n v="697.89000000000033"/>
  </r>
  <r>
    <x v="11"/>
    <x v="6"/>
    <x v="0"/>
    <s v="3500107"/>
    <n v="721010"/>
    <s v="Patient Monitoring"/>
    <s v="LDRP &amp; Nursery"/>
    <x v="0"/>
    <n v="1000"/>
    <n v="83.51"/>
    <n v="154.68"/>
    <n v="77.34"/>
    <n v="154.68"/>
    <n v="262.68"/>
    <n v="224.28"/>
    <n v="311.82"/>
    <n v="315.76"/>
    <n v="283.06"/>
    <n v="256.76"/>
    <n v="232.02"/>
    <n v="320.72000000000003"/>
    <n v="2677.3099999999995"/>
    <n v="-88.700000000000017"/>
  </r>
  <r>
    <x v="11"/>
    <x v="6"/>
    <x v="0"/>
    <s v="3500107"/>
    <n v="721020"/>
    <s v="Supplies-Surgical - Billable"/>
    <s v="LDRP &amp; Nursery"/>
    <x v="0"/>
    <m/>
    <n v="3759.25"/>
    <n v="2704.24"/>
    <n v="2002.72"/>
    <n v="2347.61"/>
    <n v="3594.19"/>
    <n v="2180.34"/>
    <n v="3055.53"/>
    <n v="1887.64"/>
    <n v="3208.48"/>
    <n v="2337.09"/>
    <n v="3531.77"/>
    <n v="3433.36"/>
    <n v="34042.219999999994"/>
    <n v="98.409999999999854"/>
  </r>
  <r>
    <x v="11"/>
    <x v="6"/>
    <x v="0"/>
    <s v="3500107"/>
    <n v="721020"/>
    <s v="Custom Packs"/>
    <s v="LDRP &amp; Nursery"/>
    <x v="0"/>
    <n v="1000"/>
    <n v="2705.79"/>
    <n v="2935.21"/>
    <n v="2594.21"/>
    <n v="2861.26"/>
    <n v="3322.44"/>
    <n v="2298.64"/>
    <n v="3121.62"/>
    <n v="2252.36"/>
    <n v="2912.92"/>
    <n v="2563.94"/>
    <n v="2777.58"/>
    <n v="2866.64"/>
    <n v="33212.609999999993"/>
    <n v="-89.059999999999945"/>
  </r>
  <r>
    <x v="11"/>
    <x v="6"/>
    <x v="0"/>
    <s v="3500107"/>
    <n v="721020"/>
    <s v="Suture/Wound Closure"/>
    <s v="LDRP &amp; Nursery"/>
    <x v="0"/>
    <n v="1001"/>
    <n v="2333.27"/>
    <n v="2008.31"/>
    <n v="1199.3699999999999"/>
    <n v="2038.39"/>
    <n v="1960.12"/>
    <n v="2924.24"/>
    <n v="1721.57"/>
    <n v="1656.26"/>
    <n v="1812.07"/>
    <n v="2717.87"/>
    <n v="844.91"/>
    <n v="2026.37"/>
    <n v="23242.749999999996"/>
    <n v="-1181.46"/>
  </r>
  <r>
    <x v="11"/>
    <x v="6"/>
    <x v="0"/>
    <s v="3500107"/>
    <n v="721020"/>
    <s v="Endomechanical Supplies &amp; Instruments"/>
    <s v="LDRP &amp; Nursery"/>
    <x v="0"/>
    <n v="1003"/>
    <n v="2410.8000000000002"/>
    <n v="2410.8000000000002"/>
    <n v="2410.8000000000002"/>
    <n v="2410.8000000000002"/>
    <n v="2410.8000000000002"/>
    <n v="2410.8000000000002"/>
    <n v="2410.8000000000002"/>
    <n v="2398.75"/>
    <n v="2338.48"/>
    <n v="0"/>
    <n v="2338.48"/>
    <n v="2338.48"/>
    <n v="26289.789999999997"/>
    <n v="0"/>
  </r>
  <r>
    <x v="11"/>
    <x v="6"/>
    <x v="0"/>
    <s v="3500107"/>
    <n v="721020"/>
    <s v="Urological Supplies"/>
    <s v="LDRP &amp; Nursery"/>
    <x v="0"/>
    <n v="1006"/>
    <n v="1847.82"/>
    <n v="271.41000000000003"/>
    <n v="0"/>
    <n v="0"/>
    <n v="412.59"/>
    <n v="542.82000000000005"/>
    <n v="390.18"/>
    <n v="934.32"/>
    <n v="-44.82"/>
    <n v="706.41"/>
    <n v="910.59"/>
    <n v="977.82"/>
    <n v="6949.14"/>
    <n v="-67.230000000000018"/>
  </r>
  <r>
    <x v="11"/>
    <x v="6"/>
    <x v="0"/>
    <s v="3500107"/>
    <n v="721020"/>
    <s v="Tubes Drains &amp; Related Supplies"/>
    <s v="LDRP &amp; Nursery"/>
    <x v="0"/>
    <n v="1008"/>
    <n v="0"/>
    <n v="156.88"/>
    <n v="0"/>
    <n v="156.88"/>
    <n v="0"/>
    <n v="0"/>
    <n v="0"/>
    <n v="0"/>
    <n v="0"/>
    <n v="0"/>
    <n v="0"/>
    <n v="0"/>
    <n v="313.76"/>
    <n v="0"/>
  </r>
  <r>
    <x v="11"/>
    <x v="6"/>
    <x v="0"/>
    <s v="3500107"/>
    <n v="721150"/>
    <s v="Supplies-Other Implants - Billable"/>
    <s v="LDRP &amp; Nursery"/>
    <x v="0"/>
    <m/>
    <n v="0"/>
    <n v="0"/>
    <n v="0"/>
    <n v="696.15"/>
    <n v="464.1"/>
    <n v="0"/>
    <n v="0"/>
    <n v="232.05"/>
    <n v="464.1"/>
    <n v="0"/>
    <n v="464.1"/>
    <n v="0"/>
    <n v="2320.5"/>
    <n v="464.1"/>
  </r>
  <r>
    <x v="11"/>
    <x v="6"/>
    <x v="0"/>
    <s v="3500107"/>
    <n v="721240"/>
    <s v="Supplies-IV Solutions/Supplies - Billable"/>
    <s v="LDRP &amp; Nursery"/>
    <x v="0"/>
    <m/>
    <n v="4304.83"/>
    <n v="5003.3999999999996"/>
    <n v="2990.7"/>
    <n v="4396.59"/>
    <n v="4096.24"/>
    <n v="3762.37"/>
    <n v="4135.37"/>
    <n v="3355.15"/>
    <n v="3902.95"/>
    <n v="4162.6499999999996"/>
    <n v="3995.45"/>
    <n v="3947.67"/>
    <n v="48053.369999999995"/>
    <n v="47.779999999999745"/>
  </r>
  <r>
    <x v="11"/>
    <x v="6"/>
    <x v="0"/>
    <s v="3500107"/>
    <n v="721320"/>
    <s v="Supplies-Purchased Blood - Billable"/>
    <s v="LDRP &amp; Nursery"/>
    <x v="0"/>
    <m/>
    <n v="80.010000000000005"/>
    <n v="0"/>
    <n v="57.15"/>
    <n v="114.3"/>
    <n v="0"/>
    <n v="114.3"/>
    <n v="0"/>
    <n v="114.3"/>
    <n v="0"/>
    <n v="114.3"/>
    <n v="0"/>
    <n v="0"/>
    <n v="594.36"/>
    <n v="0"/>
  </r>
  <r>
    <x v="11"/>
    <x v="6"/>
    <x v="0"/>
    <s v="3500107"/>
    <n v="721410"/>
    <s v="Supplies-Medical - Nonbillable"/>
    <s v="LDRP &amp; Nursery"/>
    <x v="0"/>
    <m/>
    <n v="19783.36"/>
    <n v="22580.49"/>
    <n v="15651.67"/>
    <n v="23422.62"/>
    <n v="27524.52"/>
    <n v="21192.22"/>
    <n v="27047.03"/>
    <n v="20149.580000000002"/>
    <n v="25391.69"/>
    <n v="27311.98"/>
    <n v="20206.28"/>
    <n v="23337.65"/>
    <n v="273599.09000000003"/>
    <n v="-3131.3700000000026"/>
  </r>
  <r>
    <x v="11"/>
    <x v="6"/>
    <x v="0"/>
    <s v="3500107"/>
    <n v="721420"/>
    <s v="Supplies-Surgical Nonbillable"/>
    <s v="LDRP &amp; Nursery"/>
    <x v="0"/>
    <m/>
    <n v="3323.46"/>
    <n v="2749.63"/>
    <n v="2759.85"/>
    <n v="3397.43"/>
    <n v="3914.57"/>
    <n v="2732.77"/>
    <n v="3260.32"/>
    <n v="2587.0700000000002"/>
    <n v="3559.7"/>
    <n v="3516.65"/>
    <n v="2392.33"/>
    <n v="2744.32"/>
    <n v="36938.1"/>
    <n v="-351.99000000000024"/>
  </r>
  <r>
    <x v="11"/>
    <x v="6"/>
    <x v="0"/>
    <s v="3500107"/>
    <n v="721420"/>
    <s v="Tubes Drains &amp; Related Supplies"/>
    <s v="LDRP &amp; Nursery"/>
    <x v="0"/>
    <n v="1008"/>
    <n v="1034.92"/>
    <n v="844.13"/>
    <n v="473.99"/>
    <n v="1809.16"/>
    <n v="1100.6199999999999"/>
    <n v="463.43"/>
    <n v="1091.1300000000001"/>
    <n v="763.99"/>
    <n v="1271.5"/>
    <n v="1351.38"/>
    <n v="993.98"/>
    <n v="927.14"/>
    <n v="12125.369999999999"/>
    <n v="66.840000000000032"/>
  </r>
  <r>
    <x v="11"/>
    <x v="6"/>
    <x v="0"/>
    <s v="3500107"/>
    <n v="721420"/>
    <s v="Sterilization Process Products"/>
    <s v="LDRP &amp; Nursery"/>
    <x v="0"/>
    <n v="1009"/>
    <n v="0"/>
    <n v="0"/>
    <n v="10.08"/>
    <n v="49.79"/>
    <n v="403.22"/>
    <n v="285.14999999999998"/>
    <n v="456.77"/>
    <n v="385.07"/>
    <n v="392.37"/>
    <n v="726.99"/>
    <n v="1308.5999999999999"/>
    <n v="1284.6600000000001"/>
    <n v="5302.7"/>
    <n v="23.939999999999827"/>
  </r>
  <r>
    <x v="11"/>
    <x v="6"/>
    <x v="0"/>
    <s v="3500107"/>
    <n v="721610"/>
    <s v="Supplies-Anesthesia - Nonbillable"/>
    <s v="LDRP &amp; Nursery"/>
    <x v="0"/>
    <m/>
    <n v="3484.36"/>
    <n v="3311.84"/>
    <n v="2912.35"/>
    <n v="1617.6"/>
    <n v="3247.84"/>
    <n v="2909.94"/>
    <n v="2295.64"/>
    <n v="4985.13"/>
    <n v="1516.27"/>
    <n v="1821.69"/>
    <n v="2297.69"/>
    <n v="1901.94"/>
    <n v="32302.289999999997"/>
    <n v="395.75"/>
  </r>
  <r>
    <x v="11"/>
    <x v="6"/>
    <x v="0"/>
    <s v="3500107"/>
    <n v="721640"/>
    <s v="Supplies-IV Solutions/Supplies - Nonbillable"/>
    <s v="LDRP &amp; Nursery"/>
    <x v="0"/>
    <m/>
    <n v="2348.96"/>
    <n v="2396.56"/>
    <n v="1967.8"/>
    <n v="2462.4699999999998"/>
    <n v="2588.8200000000002"/>
    <n v="2061.14"/>
    <n v="2518.17"/>
    <n v="2161.25"/>
    <n v="2129.9"/>
    <n v="2476.0100000000002"/>
    <n v="2508.0700000000002"/>
    <n v="2685.63"/>
    <n v="28304.780000000002"/>
    <n v="-177.55999999999995"/>
  </r>
  <r>
    <x v="11"/>
    <x v="6"/>
    <x v="0"/>
    <s v="3500107"/>
    <n v="721650"/>
    <s v="Supplies-Pharmacy Drugs - Nonbillable"/>
    <s v="LDRP &amp; Nursery"/>
    <x v="0"/>
    <m/>
    <n v="981.98"/>
    <n v="355.55"/>
    <n v="162.72"/>
    <n v="247.33"/>
    <n v="379.29"/>
    <n v="163.04"/>
    <n v="122.66"/>
    <n v="237.08"/>
    <n v="115.36"/>
    <n v="338.99"/>
    <n v="223.67"/>
    <n v="325.2"/>
    <n v="3652.87"/>
    <n v="-101.53"/>
  </r>
  <r>
    <x v="11"/>
    <x v="6"/>
    <x v="0"/>
    <s v="3500107"/>
    <n v="721710"/>
    <s v="Supplies-Laboratory - Nonbillable"/>
    <s v="LDRP &amp; Nursery"/>
    <x v="0"/>
    <m/>
    <n v="957"/>
    <n v="1323.17"/>
    <n v="992.12"/>
    <n v="1251.68"/>
    <n v="1051.5999999999999"/>
    <n v="562.20000000000005"/>
    <n v="915.6"/>
    <n v="948.99"/>
    <n v="1191.28"/>
    <n v="1087.27"/>
    <n v="987.5"/>
    <n v="7182.94"/>
    <n v="18451.349999999999"/>
    <n v="-6195.44"/>
  </r>
  <r>
    <x v="11"/>
    <x v="6"/>
    <x v="0"/>
    <s v="3500107"/>
    <n v="721710"/>
    <s v="Reagents"/>
    <s v="LDRP &amp; Nursery"/>
    <x v="0"/>
    <n v="1000"/>
    <n v="0"/>
    <n v="31.1"/>
    <n v="362.12"/>
    <n v="0"/>
    <n v="749.26"/>
    <n v="46.66"/>
    <n v="0"/>
    <n v="0"/>
    <n v="0"/>
    <n v="-402.69"/>
    <n v="0"/>
    <n v="0"/>
    <n v="786.45"/>
    <n v="0"/>
  </r>
  <r>
    <x v="11"/>
    <x v="6"/>
    <x v="0"/>
    <s v="3500107"/>
    <n v="721750"/>
    <s v="Supplies-Film/Radiographic - Nonbillable"/>
    <s v="LDRP &amp; Nursery"/>
    <x v="0"/>
    <m/>
    <n v="26.23"/>
    <n v="20.61"/>
    <n v="22.48"/>
    <n v="14.99"/>
    <n v="22.48"/>
    <n v="16.86"/>
    <n v="22.48"/>
    <n v="16.86"/>
    <n v="21.55"/>
    <n v="23.42"/>
    <n v="28.1"/>
    <n v="38.4"/>
    <n v="274.46000000000004"/>
    <n v="-10.299999999999997"/>
  </r>
  <r>
    <x v="11"/>
    <x v="6"/>
    <x v="0"/>
    <s v="3500107"/>
    <n v="721810"/>
    <s v="Supplies-Dietary/Cafeteria"/>
    <s v="LDRP &amp; Nursery"/>
    <x v="0"/>
    <m/>
    <n v="1455.32"/>
    <n v="1567.21"/>
    <n v="824.14"/>
    <n v="990.58"/>
    <n v="1761.89"/>
    <n v="1830.11"/>
    <n v="1956.14"/>
    <n v="1092.76"/>
    <n v="2178.4699999999998"/>
    <n v="2390.17"/>
    <n v="1996.66"/>
    <n v="2842.58"/>
    <n v="20886.03"/>
    <n v="-845.91999999999985"/>
  </r>
  <r>
    <x v="11"/>
    <x v="6"/>
    <x v="0"/>
    <s v="3500107"/>
    <n v="721830"/>
    <s v="Supplies-Office"/>
    <s v="LDRP &amp; Nursery"/>
    <x v="0"/>
    <m/>
    <n v="1143.45"/>
    <n v="1070.06"/>
    <n v="2371.5100000000002"/>
    <n v="2384.13"/>
    <n v="4084.43"/>
    <n v="1491.41"/>
    <n v="2268.5500000000002"/>
    <n v="1562.31"/>
    <n v="2332.7399999999998"/>
    <n v="3045.51"/>
    <n v="948.23"/>
    <n v="2044.66"/>
    <n v="24746.989999999998"/>
    <n v="-1096.43"/>
  </r>
  <r>
    <x v="11"/>
    <x v="6"/>
    <x v="0"/>
    <s v="3500107"/>
    <n v="721835"/>
    <s v="Supplies-Forms"/>
    <s v="LDRP &amp; Nursery"/>
    <x v="0"/>
    <m/>
    <n v="0"/>
    <n v="0"/>
    <n v="0"/>
    <n v="0"/>
    <n v="2165.38"/>
    <n v="917.07"/>
    <n v="868.85"/>
    <n v="0"/>
    <n v="574.24"/>
    <n v="97.14"/>
    <n v="1100.17"/>
    <n v="314.14"/>
    <n v="6036.9900000000007"/>
    <n v="786.03000000000009"/>
  </r>
  <r>
    <x v="11"/>
    <x v="6"/>
    <x v="0"/>
    <s v="3500107"/>
    <n v="721870"/>
    <s v="Supplies-Environmental Services"/>
    <s v="LDRP &amp; Nursery"/>
    <x v="0"/>
    <m/>
    <n v="956.11"/>
    <n v="966.83"/>
    <n v="840"/>
    <n v="1007.89"/>
    <n v="982.58"/>
    <n v="699.07"/>
    <n v="1020.08"/>
    <n v="896.93"/>
    <n v="855.92"/>
    <n v="892.34"/>
    <n v="850.83"/>
    <n v="1123.82"/>
    <n v="11092.4"/>
    <n v="-272.9899999999999"/>
  </r>
  <r>
    <x v="11"/>
    <x v="6"/>
    <x v="0"/>
    <s v="3500107"/>
    <n v="721880"/>
    <s v="Supplies-Linen"/>
    <s v="LDRP &amp; Nursery"/>
    <x v="0"/>
    <m/>
    <n v="0"/>
    <n v="0"/>
    <n v="302.49"/>
    <n v="0"/>
    <n v="302.49"/>
    <n v="577.72"/>
    <n v="0"/>
    <n v="0"/>
    <n v="0"/>
    <n v="288.86"/>
    <n v="577.86"/>
    <n v="0"/>
    <n v="2049.42"/>
    <n v="577.86"/>
  </r>
  <r>
    <x v="11"/>
    <x v="6"/>
    <x v="0"/>
    <s v="3500107"/>
    <n v="721910"/>
    <s v="Supplies-Small Equipment"/>
    <s v="LDRP &amp; Nursery"/>
    <x v="0"/>
    <m/>
    <n v="6510.36"/>
    <n v="2069.8000000000002"/>
    <n v="-630.70000000000005"/>
    <n v="12909.08"/>
    <n v="1037.1500000000001"/>
    <n v="7968.33"/>
    <n v="1701.39"/>
    <n v="788.05"/>
    <n v="740.57"/>
    <n v="838.14"/>
    <n v="875.81"/>
    <n v="1796.13"/>
    <n v="36604.11"/>
    <n v="-920.32000000000016"/>
  </r>
  <r>
    <x v="11"/>
    <x v="6"/>
    <x v="0"/>
    <s v="3500107"/>
    <n v="721910"/>
    <s v="Instruments"/>
    <s v="LDRP &amp; Nursery"/>
    <x v="0"/>
    <n v="1000"/>
    <n v="1446.53"/>
    <n v="1582.33"/>
    <n v="871.14"/>
    <n v="5264.53"/>
    <n v="4848.78"/>
    <n v="1025.8599999999999"/>
    <n v="938.4"/>
    <n v="1075.1099999999999"/>
    <n v="1402.75"/>
    <n v="1604.47"/>
    <n v="5796.23"/>
    <n v="1046.3699999999999"/>
    <n v="26902.499999999996"/>
    <n v="4749.8599999999997"/>
  </r>
  <r>
    <x v="11"/>
    <x v="6"/>
    <x v="0"/>
    <s v="3500107"/>
    <n v="721980"/>
    <s v="Supplies-Other"/>
    <s v="LDRP &amp; Nursery"/>
    <x v="0"/>
    <m/>
    <n v="669.6"/>
    <n v="938.56"/>
    <n v="83.92"/>
    <n v="-850.27"/>
    <n v="640.86"/>
    <n v="714.67"/>
    <n v="294.49"/>
    <n v="30.14"/>
    <n v="687.68"/>
    <n v="2820.42"/>
    <n v="323.19"/>
    <n v="283.14"/>
    <n v="6636.4"/>
    <n v="40.050000000000011"/>
  </r>
  <r>
    <x v="11"/>
    <x v="6"/>
    <x v="0"/>
    <s v="3500107"/>
    <n v="722000"/>
    <s v="Supplies-Freight Expense"/>
    <s v="LDRP &amp; Nursery"/>
    <x v="0"/>
    <m/>
    <n v="153.13999999999999"/>
    <n v="239.33"/>
    <n v="181.6"/>
    <n v="234.49"/>
    <n v="61.95"/>
    <n v="227.82"/>
    <n v="251.1"/>
    <n v="104.2"/>
    <n v="217.76"/>
    <n v="204.49"/>
    <n v="483.91"/>
    <n v="197.71"/>
    <n v="2557.5"/>
    <n v="286.20000000000005"/>
  </r>
  <r>
    <x v="12"/>
    <x v="6"/>
    <x v="0"/>
    <s v="3500107"/>
    <n v="730020"/>
    <s v="Rental and Leases-Equipment (DO NOT USE)"/>
    <s v="LDRP &amp; Nursery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3500107"/>
    <n v="730020"/>
    <s v="Rental and Leases-Copier Usage Fees (DO NOT USE)"/>
    <s v="LDRP &amp; Nursery"/>
    <x v="0"/>
    <n v="5100"/>
    <n v="960.07"/>
    <n v="987.33"/>
    <n v="973.7"/>
    <n v="973.7"/>
    <n v="973.7"/>
    <n v="973.7"/>
    <n v="418.94"/>
    <n v="809.3"/>
    <n v="807.6"/>
    <n v="1138.0999999999999"/>
    <n v="809.3"/>
    <n v="853.7"/>
    <n v="10679.14"/>
    <n v="-44.400000000000091"/>
  </r>
  <r>
    <x v="15"/>
    <x v="6"/>
    <x v="0"/>
    <s v="3500107"/>
    <n v="731060"/>
    <s v="Telephone"/>
    <s v="LDRP &amp; Nursery"/>
    <x v="0"/>
    <m/>
    <n v="0"/>
    <n v="0"/>
    <n v="0"/>
    <n v="39"/>
    <n v="3.51"/>
    <n v="0"/>
    <n v="0"/>
    <n v="0"/>
    <n v="0"/>
    <n v="0"/>
    <n v="0"/>
    <n v="116"/>
    <n v="158.51"/>
    <n v="-116"/>
  </r>
  <r>
    <x v="15"/>
    <x v="6"/>
    <x v="0"/>
    <s v="3500107"/>
    <n v="731060"/>
    <s v="Cell Phones"/>
    <s v="LDRP &amp; Nursery"/>
    <x v="0"/>
    <n v="1001"/>
    <n v="0"/>
    <n v="262.12"/>
    <n v="124.12"/>
    <n v="0"/>
    <n v="128.19"/>
    <n v="110.37"/>
    <n v="262.45"/>
    <n v="0"/>
    <n v="132.80000000000001"/>
    <n v="262.5"/>
    <n v="129.47999999999999"/>
    <n v="131.31"/>
    <n v="1543.34"/>
    <n v="-1.8300000000000125"/>
  </r>
  <r>
    <x v="15"/>
    <x v="6"/>
    <x v="0"/>
    <s v="3500107"/>
    <n v="731060"/>
    <s v="Pagers"/>
    <s v="LDRP &amp; Nursery"/>
    <x v="0"/>
    <n v="1002"/>
    <n v="34.82"/>
    <n v="34.82"/>
    <n v="34.82"/>
    <n v="34.9"/>
    <n v="0"/>
    <n v="34.9"/>
    <n v="69.8"/>
    <n v="73.72"/>
    <n v="18.66"/>
    <n v="18.66"/>
    <n v="18.66"/>
    <n v="18.66"/>
    <n v="392.42000000000007"/>
    <n v="0"/>
  </r>
  <r>
    <x v="16"/>
    <x v="6"/>
    <x v="0"/>
    <s v="3500107"/>
    <n v="732020"/>
    <s v="Repairs--Clin Equip-Parts-Internal to CHI Programs"/>
    <s v="LDRP &amp; Nursery"/>
    <x v="0"/>
    <m/>
    <n v="0"/>
    <n v="0"/>
    <n v="0"/>
    <n v="0"/>
    <n v="0"/>
    <n v="0"/>
    <n v="0"/>
    <n v="15.17"/>
    <n v="106.28"/>
    <n v="5.49"/>
    <n v="0"/>
    <n v="0"/>
    <n v="126.94"/>
    <n v="0"/>
  </r>
  <r>
    <x v="16"/>
    <x v="6"/>
    <x v="0"/>
    <s v="3500107"/>
    <n v="732030"/>
    <s v="Repairs---Other"/>
    <s v="LDRP &amp; Nursery"/>
    <x v="0"/>
    <m/>
    <n v="0"/>
    <n v="0"/>
    <n v="1288.3900000000001"/>
    <n v="145.08000000000001"/>
    <n v="0"/>
    <n v="0"/>
    <n v="0"/>
    <n v="0"/>
    <n v="2310.5300000000002"/>
    <n v="484.94"/>
    <n v="0"/>
    <n v="0"/>
    <n v="4228.9399999999996"/>
    <n v="0"/>
  </r>
  <r>
    <x v="13"/>
    <x v="6"/>
    <x v="0"/>
    <s v="3500107"/>
    <n v="735070"/>
    <s v="Depreciation-Movable Equipment"/>
    <s v="LDRP &amp; Nursery"/>
    <x v="0"/>
    <m/>
    <n v="19349.009999999998"/>
    <n v="18684.330000000002"/>
    <n v="18684.37"/>
    <n v="18735.169999999998"/>
    <n v="18735.28"/>
    <n v="18735.02"/>
    <n v="19005.36"/>
    <n v="19295.669999999998"/>
    <n v="19565.759999999998"/>
    <n v="19565.29"/>
    <n v="19566.009999999998"/>
    <n v="19915.13"/>
    <n v="229836.4"/>
    <n v="-349.12000000000262"/>
  </r>
  <r>
    <x v="0"/>
    <x v="6"/>
    <x v="0"/>
    <s v="3500107"/>
    <n v="740010"/>
    <s v="Education-Materials"/>
    <s v="LDRP &amp; Nursery"/>
    <x v="0"/>
    <m/>
    <n v="0"/>
    <n v="0"/>
    <n v="0"/>
    <n v="0"/>
    <n v="0"/>
    <n v="0"/>
    <n v="665"/>
    <n v="0"/>
    <n v="50"/>
    <n v="0"/>
    <n v="0"/>
    <n v="0"/>
    <n v="715"/>
    <n v="0"/>
  </r>
  <r>
    <x v="0"/>
    <x v="6"/>
    <x v="0"/>
    <s v="3500107"/>
    <n v="740020"/>
    <s v="Education-Registration Fees"/>
    <s v="LDRP &amp; Nursery"/>
    <x v="0"/>
    <m/>
    <n v="175"/>
    <n v="0"/>
    <n v="274"/>
    <n v="0"/>
    <n v="215"/>
    <n v="0"/>
    <n v="175"/>
    <n v="741.6"/>
    <n v="215"/>
    <n v="274"/>
    <n v="0"/>
    <n v="370"/>
    <n v="2439.6"/>
    <n v="-370"/>
  </r>
  <r>
    <x v="0"/>
    <x v="6"/>
    <x v="0"/>
    <s v="3500107"/>
    <n v="743010"/>
    <s v="Dues--Institutional"/>
    <s v="LDRP &amp; Nursery"/>
    <x v="0"/>
    <m/>
    <n v="0"/>
    <n v="0"/>
    <n v="0"/>
    <n v="12000"/>
    <n v="0"/>
    <n v="0"/>
    <n v="0"/>
    <n v="0"/>
    <n v="0"/>
    <n v="0"/>
    <n v="0"/>
    <n v="0"/>
    <n v="12000"/>
    <n v="0"/>
  </r>
  <r>
    <x v="0"/>
    <x v="6"/>
    <x v="0"/>
    <s v="3500107"/>
    <n v="743020"/>
    <s v="Dues--Individual"/>
    <s v="LDRP &amp; Nursery"/>
    <x v="0"/>
    <m/>
    <n v="0"/>
    <n v="216"/>
    <n v="0"/>
    <n v="0"/>
    <n v="0"/>
    <n v="160"/>
    <n v="0"/>
    <n v="0"/>
    <n v="0"/>
    <n v="0"/>
    <n v="0"/>
    <n v="0"/>
    <n v="376"/>
    <n v="0"/>
  </r>
  <r>
    <x v="0"/>
    <x v="6"/>
    <x v="0"/>
    <s v="3500107"/>
    <n v="749510"/>
    <s v="Miscellaneous Expenses"/>
    <s v="LDRP &amp; Nursery"/>
    <x v="0"/>
    <m/>
    <n v="31.61"/>
    <n v="-219.4"/>
    <n v="1325.81"/>
    <n v="-570.04999999999995"/>
    <n v="454.99"/>
    <n v="228.92"/>
    <n v="2875.86"/>
    <n v="-29.02"/>
    <n v="752.45"/>
    <n v="497.54"/>
    <n v="1020.74"/>
    <n v="-369.91"/>
    <n v="5999.5399999999991"/>
    <n v="1390.65"/>
  </r>
  <r>
    <x v="0"/>
    <x v="6"/>
    <x v="0"/>
    <s v="3500107"/>
    <n v="749510"/>
    <s v="Licenses"/>
    <s v="LDRP &amp; Nursery"/>
    <x v="0"/>
    <n v="1002"/>
    <n v="0"/>
    <n v="0"/>
    <n v="30"/>
    <n v="0"/>
    <n v="0"/>
    <n v="0"/>
    <n v="30"/>
    <n v="30"/>
    <n v="0"/>
    <n v="0"/>
    <n v="0"/>
    <n v="0"/>
    <n v="90"/>
    <n v="0"/>
  </r>
  <r>
    <x v="0"/>
    <x v="6"/>
    <x v="0"/>
    <s v="3500107"/>
    <n v="749510"/>
    <s v="RICE Rewards"/>
    <s v="LDRP &amp; Nursery"/>
    <x v="0"/>
    <n v="5100"/>
    <n v="0"/>
    <n v="0"/>
    <n v="0"/>
    <n v="0"/>
    <n v="0"/>
    <n v="391.09"/>
    <n v="481.09"/>
    <n v="0"/>
    <n v="0"/>
    <n v="0"/>
    <n v="0"/>
    <n v="1253.8"/>
    <n v="2125.98"/>
    <n v="-1253.8"/>
  </r>
  <r>
    <x v="0"/>
    <x v="6"/>
    <x v="0"/>
    <s v="3500107"/>
    <n v="749530"/>
    <s v="Travel"/>
    <s v="LDRP &amp; Nursery"/>
    <x v="0"/>
    <m/>
    <n v="0"/>
    <n v="35"/>
    <n v="22"/>
    <n v="812.51"/>
    <n v="76"/>
    <n v="79"/>
    <n v="6"/>
    <n v="29"/>
    <n v="18"/>
    <n v="168"/>
    <n v="30"/>
    <n v="96"/>
    <n v="1371.51"/>
    <n v="-66"/>
  </r>
  <r>
    <x v="0"/>
    <x v="6"/>
    <x v="0"/>
    <s v="3500107"/>
    <n v="749530"/>
    <s v="Mileage"/>
    <s v="LDRP &amp; Nursery"/>
    <x v="0"/>
    <n v="1001"/>
    <n v="0"/>
    <n v="291.58"/>
    <n v="255.07"/>
    <n v="564.14"/>
    <n v="616.99"/>
    <n v="468.78"/>
    <n v="78.37"/>
    <n v="356.77"/>
    <n v="378.16"/>
    <n v="1985.34"/>
    <n v="301.60000000000002"/>
    <n v="831.14"/>
    <n v="6127.9400000000005"/>
    <n v="-529.54"/>
  </r>
  <r>
    <x v="18"/>
    <x v="7"/>
    <x v="0"/>
    <s v="3500150"/>
    <n v="400010"/>
    <s v="Acute I/P Svcs Rev--Medicare"/>
    <s v="Family Birthing Unit"/>
    <x v="0"/>
    <n v="1100"/>
    <n v="0"/>
    <n v="0"/>
    <n v="0"/>
    <n v="0"/>
    <n v="0"/>
    <n v="0"/>
    <n v="0"/>
    <n v="0"/>
    <n v="0"/>
    <n v="0"/>
    <n v="-410.16"/>
    <n v="0"/>
    <n v="-410.16"/>
    <n v="-410.16"/>
  </r>
  <r>
    <x v="18"/>
    <x v="7"/>
    <x v="0"/>
    <s v="3500150"/>
    <n v="400010"/>
    <s v="Acute I/P Svcs Rev--Medicaid"/>
    <s v="Family Birthing Unit"/>
    <x v="0"/>
    <n v="1200"/>
    <n v="-330430.86"/>
    <n v="-220861.38"/>
    <n v="-162217.49"/>
    <n v="-171445.98"/>
    <n v="-76346.39"/>
    <n v="-66456.03"/>
    <n v="-190219.28"/>
    <n v="-168525.66"/>
    <n v="-431519.07"/>
    <n v="-230681.69"/>
    <n v="-297208.17"/>
    <n v="-199059.6"/>
    <n v="-2544971.6"/>
    <n v="-98148.569999999978"/>
  </r>
  <r>
    <x v="18"/>
    <x v="7"/>
    <x v="0"/>
    <s v="3500150"/>
    <n v="400010"/>
    <s v="Acute I/P Svcs Rev--Comm Insurance"/>
    <s v="Family Birthing Unit"/>
    <x v="0"/>
    <n v="1300"/>
    <n v="-30482.98"/>
    <n v="0"/>
    <n v="3585.75"/>
    <n v="0"/>
    <n v="-31530.85"/>
    <n v="-32648.14"/>
    <n v="-23026.76"/>
    <n v="-9961.5"/>
    <n v="-24389.75"/>
    <n v="-22645.57"/>
    <n v="-50927.57"/>
    <n v="0"/>
    <n v="-222027.37"/>
    <n v="-50927.57"/>
  </r>
  <r>
    <x v="18"/>
    <x v="7"/>
    <x v="0"/>
    <s v="3500150"/>
    <n v="400010"/>
    <s v="Acute I/P Svcs Rev--BCBS Comm"/>
    <s v="Family Birthing Unit"/>
    <x v="0"/>
    <n v="1301"/>
    <n v="-179343.97"/>
    <n v="-171693.17"/>
    <n v="-57694.69"/>
    <n v="-113703.41"/>
    <n v="-42837.599999999999"/>
    <n v="-92062.04"/>
    <n v="-99331.19"/>
    <n v="-103956.75"/>
    <n v="-108025.18"/>
    <n v="-181492.92"/>
    <n v="-98874.12"/>
    <n v="-127976.44"/>
    <n v="-1376991.48"/>
    <n v="29102.320000000007"/>
  </r>
  <r>
    <x v="18"/>
    <x v="7"/>
    <x v="0"/>
    <s v="3500150"/>
    <n v="400010"/>
    <s v="Acute I/P Svcs Rev--Managed Care"/>
    <s v="Family Birthing Unit"/>
    <x v="0"/>
    <n v="1400"/>
    <n v="-321415.07"/>
    <n v="-263714.90999999997"/>
    <n v="-354948.89"/>
    <n v="-249206.04"/>
    <n v="-294211.48"/>
    <n v="-184774.67"/>
    <n v="-122701.79"/>
    <n v="-219554.85"/>
    <n v="-214980.7"/>
    <n v="-112950.24"/>
    <n v="-222147.51"/>
    <n v="-360809.75"/>
    <n v="-2921415.9000000004"/>
    <n v="138662.24"/>
  </r>
  <r>
    <x v="18"/>
    <x v="7"/>
    <x v="0"/>
    <s v="3500150"/>
    <n v="400010"/>
    <s v="Acute I/P Svcs Rev--Self Pay"/>
    <s v="Family Birthing Unit"/>
    <x v="0"/>
    <n v="1500"/>
    <n v="-40537.4"/>
    <n v="-5176.88"/>
    <n v="-8166.63"/>
    <n v="3135.6"/>
    <n v="-153.65"/>
    <n v="-5540.63"/>
    <n v="-5435.63"/>
    <n v="2669"/>
    <n v="-2933.63"/>
    <n v="-18157.990000000002"/>
    <n v="-26569.93"/>
    <n v="-13530.97"/>
    <n v="-120398.73999999999"/>
    <n v="-13038.960000000001"/>
  </r>
  <r>
    <x v="18"/>
    <x v="7"/>
    <x v="0"/>
    <s v="3500150"/>
    <n v="400010"/>
    <s v="Acute I/P Svcs Rev--Other"/>
    <s v="Family Birthing Unit"/>
    <x v="0"/>
    <n v="1700"/>
    <n v="0"/>
    <n v="0"/>
    <n v="0"/>
    <n v="0"/>
    <n v="0"/>
    <n v="-24400.3"/>
    <n v="0"/>
    <n v="-14879.19"/>
    <n v="-5728.87"/>
    <n v="-22737.1"/>
    <n v="-15105.67"/>
    <n v="-43285.85"/>
    <n v="-126136.97999999998"/>
    <n v="28180.18"/>
  </r>
  <r>
    <x v="19"/>
    <x v="7"/>
    <x v="0"/>
    <s v="3500150"/>
    <n v="400020"/>
    <s v="O/P Care Svcs Rev--Medicare"/>
    <s v="Family Birthing Unit"/>
    <x v="0"/>
    <n v="1100"/>
    <n v="0"/>
    <n v="0"/>
    <n v="0"/>
    <n v="0"/>
    <n v="0"/>
    <n v="-510.48"/>
    <n v="0"/>
    <n v="-2760.24"/>
    <n v="0"/>
    <n v="0"/>
    <n v="0"/>
    <n v="0"/>
    <n v="-3270.72"/>
    <n v="0"/>
  </r>
  <r>
    <x v="19"/>
    <x v="7"/>
    <x v="0"/>
    <s v="3500150"/>
    <n v="400020"/>
    <s v="O/P Care Svcs Rev--Medicaid"/>
    <s v="Family Birthing Unit"/>
    <x v="0"/>
    <n v="1200"/>
    <n v="-26491.14"/>
    <n v="-22014.48"/>
    <n v="-2516.6"/>
    <n v="679.5"/>
    <n v="-7012.24"/>
    <n v="-18279.68"/>
    <n v="-19263.18"/>
    <n v="-13607.28"/>
    <n v="-31588.79"/>
    <n v="-5625.81"/>
    <n v="-16273.78"/>
    <n v="-24994.94"/>
    <n v="-186988.41999999998"/>
    <n v="8721.159999999998"/>
  </r>
  <r>
    <x v="19"/>
    <x v="7"/>
    <x v="0"/>
    <s v="3500150"/>
    <n v="400020"/>
    <s v="O/P Care Svcs Rev--Comm Insurance"/>
    <s v="Family Birthing Unit"/>
    <x v="0"/>
    <n v="1300"/>
    <n v="0"/>
    <n v="-2872.12"/>
    <n v="0"/>
    <n v="0"/>
    <n v="-3605.8"/>
    <n v="-7280.44"/>
    <n v="6.47"/>
    <n v="0"/>
    <n v="-442.88"/>
    <n v="-1281"/>
    <n v="0"/>
    <n v="0"/>
    <n v="-15475.77"/>
    <n v="0"/>
  </r>
  <r>
    <x v="19"/>
    <x v="7"/>
    <x v="0"/>
    <s v="3500150"/>
    <n v="400020"/>
    <s v="O/P Care Svcs Rev--BCBS Comm"/>
    <s v="Family Birthing Unit"/>
    <x v="0"/>
    <n v="1301"/>
    <n v="-12674.81"/>
    <n v="1489.85"/>
    <n v="-1243.5"/>
    <n v="-4227.1899999999996"/>
    <n v="-4373.71"/>
    <n v="-2561.25"/>
    <n v="-1881.75"/>
    <n v="-2562"/>
    <n v="-11261.56"/>
    <n v="-1604.25"/>
    <n v="-7901.53"/>
    <n v="-4866.75"/>
    <n v="-53668.45"/>
    <n v="-3034.7799999999997"/>
  </r>
  <r>
    <x v="19"/>
    <x v="7"/>
    <x v="0"/>
    <s v="3500150"/>
    <n v="400020"/>
    <s v="O/P Care Svcs Rev--Managed Care"/>
    <s v="Family Birthing Unit"/>
    <x v="0"/>
    <n v="1400"/>
    <n v="-21471.39"/>
    <n v="-8297.4500000000007"/>
    <n v="-18582.849999999999"/>
    <n v="-11867.04"/>
    <n v="-16007.1"/>
    <n v="-32356.42"/>
    <n v="-12507.12"/>
    <n v="-1388.81"/>
    <n v="-18996.7"/>
    <n v="-11042.44"/>
    <n v="-15491.24"/>
    <n v="-9814.0499999999993"/>
    <n v="-177822.61"/>
    <n v="-5677.1900000000005"/>
  </r>
  <r>
    <x v="19"/>
    <x v="7"/>
    <x v="0"/>
    <s v="3500150"/>
    <n v="400020"/>
    <s v="O/P Care Svcs Rev--Self Pay"/>
    <s v="Family Birthing Unit"/>
    <x v="0"/>
    <n v="1500"/>
    <n v="-559.9"/>
    <n v="-1243.5"/>
    <n v="0"/>
    <n v="1744.31"/>
    <n v="0"/>
    <n v="0"/>
    <n v="0"/>
    <n v="0"/>
    <n v="0"/>
    <n v="0"/>
    <n v="0"/>
    <n v="0"/>
    <n v="-59.090000000000146"/>
    <n v="0"/>
  </r>
  <r>
    <x v="19"/>
    <x v="7"/>
    <x v="0"/>
    <s v="3500150"/>
    <n v="400020"/>
    <s v="O/P Care Svcs Rev--Other"/>
    <s v="Family Birthing Unit"/>
    <x v="0"/>
    <n v="1700"/>
    <n v="0"/>
    <n v="-2680.02"/>
    <n v="0"/>
    <n v="-1923"/>
    <n v="533.24"/>
    <n v="0"/>
    <n v="-1923"/>
    <n v="1265.25"/>
    <n v="0"/>
    <n v="-657.75"/>
    <n v="0"/>
    <n v="-1283.45"/>
    <n v="-6668.7300000000005"/>
    <n v="1283.45"/>
  </r>
  <r>
    <x v="14"/>
    <x v="7"/>
    <x v="0"/>
    <s v="3500150"/>
    <n v="600050"/>
    <s v="Miscellaneous Revenue"/>
    <s v="Family Birthing Unit"/>
    <x v="0"/>
    <m/>
    <n v="0"/>
    <n v="-120"/>
    <n v="-140"/>
    <n v="0"/>
    <n v="-360"/>
    <n v="0"/>
    <n v="-220"/>
    <n v="0"/>
    <n v="-20"/>
    <n v="0"/>
    <n v="-60"/>
    <n v="0"/>
    <n v="-920"/>
    <n v="-60"/>
  </r>
  <r>
    <x v="5"/>
    <x v="7"/>
    <x v="0"/>
    <s v="3500150"/>
    <n v="700014"/>
    <s v="Salaries-Management-Productive"/>
    <s v="Family Birthing Unit"/>
    <x v="0"/>
    <m/>
    <n v="0"/>
    <n v="2415.42"/>
    <n v="9299.84"/>
    <n v="8522.14"/>
    <n v="8147.44"/>
    <n v="6340.7"/>
    <n v="9715.7199999999993"/>
    <n v="8286.6200000000008"/>
    <n v="9302.65"/>
    <n v="9778.5499999999993"/>
    <n v="8985.19"/>
    <n v="8572.52"/>
    <n v="89366.790000000008"/>
    <n v="412.67000000000007"/>
  </r>
  <r>
    <x v="5"/>
    <x v="7"/>
    <x v="0"/>
    <s v="3500150"/>
    <n v="700026"/>
    <s v="Salaries-RN-Productive"/>
    <s v="Family Birthing Unit"/>
    <x v="0"/>
    <m/>
    <n v="89663.2"/>
    <n v="70025.179999999993"/>
    <n v="74966.55"/>
    <n v="77505.94"/>
    <n v="70691.58"/>
    <n v="84632.76"/>
    <n v="73235.7"/>
    <n v="73277.22"/>
    <n v="106716.2"/>
    <n v="72400.95"/>
    <n v="80075.45"/>
    <n v="91861.37"/>
    <n v="965052.09999999986"/>
    <n v="-11785.919999999998"/>
  </r>
  <r>
    <x v="5"/>
    <x v="7"/>
    <x v="0"/>
    <s v="3500150"/>
    <n v="700026"/>
    <s v="Salaries-RN-OT"/>
    <s v="Family Birthing Unit"/>
    <x v="0"/>
    <n v="1000"/>
    <n v="2894.85"/>
    <n v="1286.43"/>
    <n v="739.38"/>
    <n v="849.23"/>
    <n v="970.05"/>
    <n v="1545.71"/>
    <n v="1042.56"/>
    <n v="1706.83"/>
    <n v="3221.09"/>
    <n v="2186.15"/>
    <n v="581.29999999999995"/>
    <n v="1955.35"/>
    <n v="18978.929999999997"/>
    <n v="-1374.05"/>
  </r>
  <r>
    <x v="5"/>
    <x v="7"/>
    <x v="0"/>
    <s v="3500150"/>
    <n v="700026"/>
    <s v="Salaries-RN-Other"/>
    <s v="Family Birthing Unit"/>
    <x v="0"/>
    <n v="2000"/>
    <n v="12487.17"/>
    <n v="9931.43"/>
    <n v="9660.59"/>
    <n v="11550.1"/>
    <n v="8925.5300000000007"/>
    <n v="12967.4"/>
    <n v="11383.19"/>
    <n v="10345.73"/>
    <n v="13720.61"/>
    <n v="10426.209999999999"/>
    <n v="10567.86"/>
    <n v="11865.9"/>
    <n v="133831.72"/>
    <n v="-1298.0399999999991"/>
  </r>
  <r>
    <x v="5"/>
    <x v="7"/>
    <x v="0"/>
    <s v="3500150"/>
    <n v="700032"/>
    <s v="Salaries-Other Pat Care Providers-Productive"/>
    <s v="Family Birthing Unit"/>
    <x v="0"/>
    <m/>
    <n v="982.89"/>
    <n v="-19.7"/>
    <n v="171.75"/>
    <n v="400.79"/>
    <n v="0"/>
    <n v="75.510000000000005"/>
    <n v="0"/>
    <n v="248.1"/>
    <n v="563.38"/>
    <n v="-218.26"/>
    <n v="154.26"/>
    <n v="227.85"/>
    <n v="2586.5700000000002"/>
    <n v="-73.59"/>
  </r>
  <r>
    <x v="5"/>
    <x v="7"/>
    <x v="0"/>
    <s v="3500150"/>
    <n v="700032"/>
    <s v="Salaries-Other Pat Care Providers-OT"/>
    <s v="Family Birthing Unit"/>
    <x v="0"/>
    <n v="1000"/>
    <n v="0"/>
    <n v="0"/>
    <n v="0"/>
    <n v="0"/>
    <n v="0"/>
    <n v="0"/>
    <n v="0"/>
    <n v="0"/>
    <n v="0"/>
    <n v="0"/>
    <n v="109.43"/>
    <n v="0"/>
    <n v="109.43"/>
    <n v="109.43"/>
  </r>
  <r>
    <x v="5"/>
    <x v="7"/>
    <x v="0"/>
    <s v="3500150"/>
    <n v="700032"/>
    <s v="Salaries-Other Pat Care Providers-Other"/>
    <s v="Family Birthing Unit"/>
    <x v="0"/>
    <n v="2000"/>
    <n v="60.45"/>
    <n v="9.86"/>
    <n v="0"/>
    <n v="36.630000000000003"/>
    <n v="0"/>
    <n v="0"/>
    <n v="0"/>
    <n v="19.25"/>
    <n v="7.49"/>
    <n v="-4.55"/>
    <n v="33.96"/>
    <n v="12.68"/>
    <n v="175.77"/>
    <n v="21.28"/>
  </r>
  <r>
    <x v="5"/>
    <x v="7"/>
    <x v="0"/>
    <s v="3500150"/>
    <n v="700034"/>
    <s v="Salaries-Tech/Professional-Productive"/>
    <s v="Family Birthing Unit"/>
    <x v="0"/>
    <m/>
    <n v="32.549999999999997"/>
    <n v="0"/>
    <n v="0"/>
    <n v="0"/>
    <n v="0"/>
    <n v="0"/>
    <n v="0"/>
    <n v="0"/>
    <n v="0"/>
    <n v="0"/>
    <n v="0"/>
    <n v="0"/>
    <n v="32.549999999999997"/>
    <n v="0"/>
  </r>
  <r>
    <x v="5"/>
    <x v="7"/>
    <x v="0"/>
    <s v="3500150"/>
    <n v="700034"/>
    <s v="Salaries-Tech/Professional-Other"/>
    <s v="Family Birthing Unit"/>
    <x v="0"/>
    <n v="2000"/>
    <n v="0.8"/>
    <n v="0"/>
    <n v="0"/>
    <n v="0"/>
    <n v="0"/>
    <n v="0"/>
    <n v="0"/>
    <n v="0"/>
    <n v="0"/>
    <n v="0"/>
    <n v="0"/>
    <n v="0"/>
    <n v="0.8"/>
    <n v="0"/>
  </r>
  <r>
    <x v="5"/>
    <x v="7"/>
    <x v="0"/>
    <s v="3500150"/>
    <n v="700054"/>
    <s v="Salaries-Management-Non-productive"/>
    <s v="Family Birthing Unit"/>
    <x v="0"/>
    <m/>
    <n v="9359.86"/>
    <n v="6944.87"/>
    <n v="-241.37"/>
    <n v="1215.28"/>
    <n v="1363.17"/>
    <n v="3487.25"/>
    <n v="127.59"/>
    <n v="603.21"/>
    <n v="539.75"/>
    <n v="-253.98"/>
    <n v="857.19"/>
    <n v="952.5"/>
    <n v="24955.319999999996"/>
    <n v="-95.309999999999945"/>
  </r>
  <r>
    <x v="5"/>
    <x v="7"/>
    <x v="0"/>
    <s v="3500150"/>
    <n v="700054"/>
    <s v="Salaries-Management-NonProd-Other"/>
    <s v="Family Birthing Unit"/>
    <x v="0"/>
    <n v="2000"/>
    <n v="0"/>
    <n v="0"/>
    <n v="0"/>
    <n v="0"/>
    <n v="0"/>
    <n v="6076.71"/>
    <n v="-6076.71"/>
    <n v="0"/>
    <n v="0"/>
    <n v="0"/>
    <n v="0"/>
    <n v="0"/>
    <n v="0"/>
    <n v="0"/>
  </r>
  <r>
    <x v="5"/>
    <x v="7"/>
    <x v="0"/>
    <s v="3500150"/>
    <n v="700066"/>
    <s v="Salaries-RN-Non-productive"/>
    <s v="Family Birthing Unit"/>
    <x v="0"/>
    <m/>
    <n v="13346.2"/>
    <n v="10251.709999999999"/>
    <n v="11631.22"/>
    <n v="13700.74"/>
    <n v="8674.39"/>
    <n v="6635.81"/>
    <n v="7241.18"/>
    <n v="10955.77"/>
    <n v="7017.2"/>
    <n v="14859.49"/>
    <n v="6647.78"/>
    <n v="9215.93"/>
    <n v="120177.42000000001"/>
    <n v="-2568.1500000000005"/>
  </r>
  <r>
    <x v="5"/>
    <x v="7"/>
    <x v="0"/>
    <s v="3500150"/>
    <n v="700066"/>
    <s v="Salaries-RN-NonProd-Other"/>
    <s v="Family Birthing Unit"/>
    <x v="0"/>
    <n v="2000"/>
    <n v="1068.92"/>
    <n v="1000.3"/>
    <n v="809.07"/>
    <n v="918.41"/>
    <n v="2591.48"/>
    <n v="2561.02"/>
    <n v="359.24"/>
    <n v="-3329.28"/>
    <n v="1084.1600000000001"/>
    <n v="900.23"/>
    <n v="275.83999999999997"/>
    <n v="914.27"/>
    <n v="9153.66"/>
    <n v="-638.43000000000006"/>
  </r>
  <r>
    <x v="5"/>
    <x v="7"/>
    <x v="0"/>
    <s v="3500150"/>
    <n v="700084"/>
    <s v="Accrued PTO"/>
    <s v="Family Birthing Unit"/>
    <x v="0"/>
    <m/>
    <n v="-9156.77"/>
    <n v="-6894.15"/>
    <n v="639.86"/>
    <n v="-1268.79"/>
    <n v="-113.35"/>
    <n v="-166.65"/>
    <n v="3399.13"/>
    <n v="1997.46"/>
    <n v="4646.99"/>
    <n v="1710.29"/>
    <n v="1994.5"/>
    <n v="1750.19"/>
    <n v="-1461.2899999999986"/>
    <n v="244.30999999999995"/>
  </r>
  <r>
    <x v="10"/>
    <x v="7"/>
    <x v="0"/>
    <s v="3500150"/>
    <n v="710060"/>
    <s v="Contract Labor-Other"/>
    <s v="Family Birthing Unit"/>
    <x v="0"/>
    <m/>
    <n v="4654.13"/>
    <n v="34735.300000000003"/>
    <n v="14427.81"/>
    <n v="0"/>
    <n v="0"/>
    <n v="0"/>
    <n v="0"/>
    <n v="0"/>
    <n v="0"/>
    <n v="0"/>
    <n v="0"/>
    <n v="0"/>
    <n v="53817.24"/>
    <n v="0"/>
  </r>
  <r>
    <x v="10"/>
    <x v="7"/>
    <x v="0"/>
    <s v="3500150"/>
    <n v="710060"/>
    <s v="Contract Labor-Overtime"/>
    <s v="Family Birthing Unit"/>
    <x v="0"/>
    <n v="5100"/>
    <n v="1721.98"/>
    <n v="5770.96"/>
    <n v="1442.74"/>
    <n v="0"/>
    <n v="0"/>
    <n v="0"/>
    <n v="0"/>
    <n v="0"/>
    <n v="0"/>
    <n v="0"/>
    <n v="0"/>
    <n v="0"/>
    <n v="8935.68"/>
    <n v="0"/>
  </r>
  <r>
    <x v="10"/>
    <x v="7"/>
    <x v="0"/>
    <s v="3500150"/>
    <n v="710060"/>
    <s v="Contract Labor-Standby Wages"/>
    <s v="Family Birthing Unit"/>
    <x v="0"/>
    <n v="5101"/>
    <n v="48"/>
    <n v="320"/>
    <n v="182"/>
    <n v="0"/>
    <n v="0"/>
    <n v="0"/>
    <n v="0"/>
    <n v="0"/>
    <n v="0"/>
    <n v="0"/>
    <n v="0"/>
    <n v="0"/>
    <n v="550"/>
    <n v="0"/>
  </r>
  <r>
    <x v="6"/>
    <x v="7"/>
    <x v="0"/>
    <s v="3500150"/>
    <n v="713010"/>
    <s v="Benefits-FICA/Medicare"/>
    <s v="Family Birthing Unit"/>
    <x v="0"/>
    <m/>
    <n v="9775.24"/>
    <n v="7644.92"/>
    <n v="7856.34"/>
    <n v="8495.42"/>
    <n v="7830.65"/>
    <n v="9159.5"/>
    <n v="8046.7"/>
    <n v="7899.29"/>
    <n v="10557.73"/>
    <n v="8077.53"/>
    <n v="7909.77"/>
    <n v="9266.2099999999991"/>
    <n v="102519.29999999999"/>
    <n v="-1356.4399999999987"/>
  </r>
  <r>
    <x v="6"/>
    <x v="7"/>
    <x v="0"/>
    <s v="3500150"/>
    <n v="713090"/>
    <s v="Benefits-Allocated Amounts"/>
    <s v="Family Birthing Unit"/>
    <x v="0"/>
    <m/>
    <n v="21139.75"/>
    <n v="14555.46"/>
    <n v="17923.5"/>
    <n v="18745.54"/>
    <n v="16808.830000000002"/>
    <n v="18039.05"/>
    <n v="17087.61"/>
    <n v="16286.34"/>
    <n v="21241.37"/>
    <n v="18740.400000000001"/>
    <n v="17522.36"/>
    <n v="21706.54"/>
    <n v="219796.75000000003"/>
    <n v="-4184.18"/>
  </r>
  <r>
    <x v="6"/>
    <x v="7"/>
    <x v="0"/>
    <s v="3500150"/>
    <n v="713096"/>
    <s v="Employee Recognition"/>
    <s v="Family Birthing Unit"/>
    <x v="0"/>
    <n v="1017"/>
    <n v="0"/>
    <n v="0"/>
    <n v="143.66"/>
    <n v="0"/>
    <n v="54.63"/>
    <n v="715.68"/>
    <n v="814.83"/>
    <n v="0"/>
    <n v="0"/>
    <n v="0"/>
    <n v="0"/>
    <n v="0"/>
    <n v="1728.8"/>
    <n v="0"/>
  </r>
  <r>
    <x v="7"/>
    <x v="7"/>
    <x v="0"/>
    <s v="3500150"/>
    <n v="718050"/>
    <s v="Contract Svcs-Other"/>
    <s v="Family Birthing Unit"/>
    <x v="0"/>
    <m/>
    <n v="0"/>
    <n v="75.180000000000007"/>
    <n v="0"/>
    <n v="0"/>
    <n v="0"/>
    <n v="0"/>
    <n v="276"/>
    <n v="0"/>
    <n v="0"/>
    <n v="0"/>
    <n v="0"/>
    <n v="247.5"/>
    <n v="598.68000000000006"/>
    <n v="-247.5"/>
  </r>
  <r>
    <x v="7"/>
    <x v="7"/>
    <x v="0"/>
    <s v="3500150"/>
    <n v="718050"/>
    <s v="Miscellaneous Purchased Svcs"/>
    <s v="Family Birthing Unit"/>
    <x v="0"/>
    <n v="1020"/>
    <n v="475.18"/>
    <n v="0"/>
    <n v="37.590000000000003"/>
    <n v="830.53"/>
    <n v="124.94"/>
    <n v="795.16"/>
    <n v="7803.58"/>
    <n v="1056.82"/>
    <n v="1245.6099999999999"/>
    <n v="1035.47"/>
    <n v="2332.64"/>
    <n v="8202.93"/>
    <n v="23940.449999999997"/>
    <n v="-5870.2900000000009"/>
  </r>
  <r>
    <x v="7"/>
    <x v="7"/>
    <x v="0"/>
    <s v="3500150"/>
    <n v="718050"/>
    <s v="Contract Management--Linen"/>
    <s v="Family Birthing Unit"/>
    <x v="0"/>
    <n v="1026"/>
    <n v="1265.03"/>
    <n v="1096.19"/>
    <n v="1277.28"/>
    <n v="-209.94"/>
    <n v="797.13"/>
    <n v="0"/>
    <n v="0"/>
    <n v="0"/>
    <n v="0"/>
    <n v="0"/>
    <n v="0"/>
    <n v="0"/>
    <n v="4225.6899999999996"/>
    <n v="0"/>
  </r>
  <r>
    <x v="7"/>
    <x v="7"/>
    <x v="0"/>
    <s v="3500150"/>
    <n v="718091"/>
    <s v="Contract Services-Intracompany Allocation"/>
    <s v="Family Birthing Unit"/>
    <x v="0"/>
    <m/>
    <n v="2442.5700000000002"/>
    <n v="2837.91"/>
    <n v="2794.18"/>
    <n v="2814.21"/>
    <n v="2248.7600000000002"/>
    <n v="2630.09"/>
    <n v="3097.12"/>
    <n v="2567.39"/>
    <n v="2265.3000000000002"/>
    <n v="2099.75"/>
    <n v="2387.16"/>
    <n v="3122.79"/>
    <n v="31307.23"/>
    <n v="-735.63000000000011"/>
  </r>
  <r>
    <x v="11"/>
    <x v="7"/>
    <x v="0"/>
    <s v="3500150"/>
    <n v="721010"/>
    <s v="Supplies-Medical - Billable"/>
    <s v="Family Birthing Unit"/>
    <x v="0"/>
    <m/>
    <n v="416.8"/>
    <n v="401.74"/>
    <n v="286.33999999999997"/>
    <n v="148.66999999999999"/>
    <n v="226.93"/>
    <n v="177.79"/>
    <n v="138.62"/>
    <n v="146.46"/>
    <n v="280.74"/>
    <n v="221.58"/>
    <n v="315.70999999999998"/>
    <n v="385.65"/>
    <n v="3147.03"/>
    <n v="-69.94"/>
  </r>
  <r>
    <x v="11"/>
    <x v="7"/>
    <x v="0"/>
    <s v="3500150"/>
    <n v="721010"/>
    <s v="Patient Monitoring"/>
    <s v="Family Birthing Unit"/>
    <x v="0"/>
    <n v="1000"/>
    <n v="72.41"/>
    <n v="62.9"/>
    <n v="372.3"/>
    <n v="55.55"/>
    <n v="23.93"/>
    <n v="6.15"/>
    <n v="45.12"/>
    <n v="11.19"/>
    <n v="34.53"/>
    <n v="7.47"/>
    <n v="15.03"/>
    <n v="39.82"/>
    <n v="746.4"/>
    <n v="-24.79"/>
  </r>
  <r>
    <x v="11"/>
    <x v="7"/>
    <x v="0"/>
    <s v="3500150"/>
    <n v="721020"/>
    <s v="Supplies-Surgical - Billable"/>
    <s v="Family Birthing Unit"/>
    <x v="0"/>
    <m/>
    <n v="0"/>
    <n v="0"/>
    <n v="111.9"/>
    <n v="-50.85"/>
    <n v="0"/>
    <n v="0"/>
    <n v="0"/>
    <n v="0"/>
    <n v="0"/>
    <n v="0"/>
    <n v="0"/>
    <n v="0"/>
    <n v="61.050000000000004"/>
    <n v="0"/>
  </r>
  <r>
    <x v="11"/>
    <x v="7"/>
    <x v="0"/>
    <s v="3500150"/>
    <n v="721020"/>
    <s v="Custom Packs"/>
    <s v="Family Birthing Unit"/>
    <x v="0"/>
    <n v="1000"/>
    <n v="366.16"/>
    <n v="274.42"/>
    <n v="230.12"/>
    <n v="261.5"/>
    <n v="188.28"/>
    <n v="135.97999999999999"/>
    <n v="230.12"/>
    <n v="156.9"/>
    <n v="282.42"/>
    <n v="271.95999999999998"/>
    <n v="303.33999999999997"/>
    <n v="251.04"/>
    <n v="2952.2400000000002"/>
    <n v="52.299999999999983"/>
  </r>
  <r>
    <x v="11"/>
    <x v="7"/>
    <x v="0"/>
    <s v="3500150"/>
    <n v="721020"/>
    <s v="Suture/Wound Closure"/>
    <s v="Family Birthing Unit"/>
    <x v="0"/>
    <n v="1001"/>
    <n v="83.05"/>
    <n v="92.73"/>
    <n v="46.35"/>
    <n v="176.32"/>
    <n v="0"/>
    <n v="36.130000000000003"/>
    <n v="0"/>
    <n v="0"/>
    <n v="44.24"/>
    <n v="46.35"/>
    <n v="46.35"/>
    <n v="0"/>
    <n v="571.52"/>
    <n v="46.35"/>
  </r>
  <r>
    <x v="11"/>
    <x v="7"/>
    <x v="0"/>
    <s v="3500150"/>
    <n v="721020"/>
    <s v="Urological Supplies"/>
    <s v="Family Birthing Unit"/>
    <x v="0"/>
    <n v="1006"/>
    <n v="2165.3000000000002"/>
    <n v="0"/>
    <n v="472.85"/>
    <n v="-210.86"/>
    <n v="0"/>
    <n v="0"/>
    <n v="249"/>
    <n v="0"/>
    <n v="87"/>
    <n v="0"/>
    <n v="87"/>
    <n v="130.5"/>
    <n v="2980.79"/>
    <n v="-43.5"/>
  </r>
  <r>
    <x v="11"/>
    <x v="7"/>
    <x v="0"/>
    <s v="3500150"/>
    <n v="721020"/>
    <s v="Tubes Drains &amp; Related Supplies"/>
    <s v="Family Birthing Unit"/>
    <x v="0"/>
    <n v="1008"/>
    <n v="0"/>
    <n v="0"/>
    <n v="0"/>
    <n v="0"/>
    <n v="0"/>
    <n v="0"/>
    <n v="0"/>
    <n v="0"/>
    <n v="0"/>
    <n v="13.43"/>
    <n v="0"/>
    <n v="0"/>
    <n v="13.43"/>
    <n v="0"/>
  </r>
  <r>
    <x v="11"/>
    <x v="7"/>
    <x v="0"/>
    <s v="3500150"/>
    <n v="721240"/>
    <s v="Supplies-IV Solutions/Supplies - Billable"/>
    <s v="Family Birthing Unit"/>
    <x v="0"/>
    <m/>
    <n v="610.79"/>
    <n v="311.25"/>
    <n v="290.3"/>
    <n v="222.79"/>
    <n v="187.19"/>
    <n v="257.41000000000003"/>
    <n v="205.75"/>
    <n v="241.95"/>
    <n v="551.71"/>
    <n v="297.18"/>
    <n v="487.43"/>
    <n v="530.91999999999996"/>
    <n v="4194.6699999999992"/>
    <n v="-43.489999999999952"/>
  </r>
  <r>
    <x v="11"/>
    <x v="7"/>
    <x v="0"/>
    <s v="3500150"/>
    <n v="721410"/>
    <s v="Supplies-Medical - Nonbillable"/>
    <s v="Family Birthing Unit"/>
    <x v="0"/>
    <m/>
    <n v="5230.2"/>
    <n v="2567.59"/>
    <n v="3121.42"/>
    <n v="2407.9299999999998"/>
    <n v="2573.66"/>
    <n v="2098.5500000000002"/>
    <n v="1708.15"/>
    <n v="2580.4"/>
    <n v="3693.1"/>
    <n v="-1021.19"/>
    <n v="3838.51"/>
    <n v="2773.88"/>
    <n v="31572.2"/>
    <n v="1064.6300000000001"/>
  </r>
  <r>
    <x v="11"/>
    <x v="7"/>
    <x v="0"/>
    <s v="3500150"/>
    <n v="721410"/>
    <s v="Patient Monitoring"/>
    <s v="Family Birthing Unit"/>
    <x v="0"/>
    <n v="1000"/>
    <n v="2.33"/>
    <n v="0"/>
    <n v="0"/>
    <n v="0"/>
    <n v="0"/>
    <n v="7.27"/>
    <n v="0"/>
    <n v="7.27"/>
    <n v="0"/>
    <n v="6.59"/>
    <n v="0"/>
    <n v="2.33"/>
    <n v="25.79"/>
    <n v="-2.33"/>
  </r>
  <r>
    <x v="11"/>
    <x v="7"/>
    <x v="0"/>
    <s v="3500150"/>
    <n v="721420"/>
    <s v="Supplies-Surgical Nonbillable"/>
    <s v="Family Birthing Unit"/>
    <x v="0"/>
    <m/>
    <n v="142.72"/>
    <n v="98.15"/>
    <n v="75.83"/>
    <n v="93.92"/>
    <n v="77.22"/>
    <n v="74.3"/>
    <n v="94.9"/>
    <n v="85.54"/>
    <n v="102.47"/>
    <n v="109.8"/>
    <n v="127.55"/>
    <n v="103.14"/>
    <n v="1185.54"/>
    <n v="24.409999999999997"/>
  </r>
  <r>
    <x v="11"/>
    <x v="7"/>
    <x v="0"/>
    <s v="3500150"/>
    <n v="721420"/>
    <s v="Heart/Lung Machine Supplies"/>
    <s v="Family Birthing Unit"/>
    <x v="0"/>
    <n v="1005"/>
    <n v="0"/>
    <n v="0"/>
    <n v="0"/>
    <n v="0"/>
    <n v="0"/>
    <n v="0"/>
    <n v="0"/>
    <n v="0"/>
    <n v="0"/>
    <n v="1.6"/>
    <n v="0"/>
    <n v="1.6"/>
    <n v="3.2"/>
    <n v="-1.6"/>
  </r>
  <r>
    <x v="11"/>
    <x v="7"/>
    <x v="0"/>
    <s v="3500150"/>
    <n v="721420"/>
    <s v="Tubes Drains &amp; Related Supplies"/>
    <s v="Family Birthing Unit"/>
    <x v="0"/>
    <n v="1008"/>
    <n v="23.87"/>
    <n v="14.4"/>
    <n v="0"/>
    <n v="61.2"/>
    <n v="0"/>
    <n v="0"/>
    <n v="0"/>
    <n v="24.13"/>
    <n v="138.72999999999999"/>
    <n v="32.270000000000003"/>
    <n v="29.69"/>
    <n v="112.66"/>
    <n v="436.94999999999993"/>
    <n v="-82.97"/>
  </r>
  <r>
    <x v="11"/>
    <x v="7"/>
    <x v="0"/>
    <s v="3500150"/>
    <n v="721420"/>
    <s v="Sterilization Process Products"/>
    <s v="Family Birthing Unit"/>
    <x v="0"/>
    <n v="1009"/>
    <n v="0"/>
    <n v="11.9"/>
    <n v="324.8"/>
    <n v="-193.67"/>
    <n v="31.66"/>
    <n v="0"/>
    <n v="0"/>
    <n v="0"/>
    <n v="0"/>
    <n v="0"/>
    <n v="75.81"/>
    <n v="33.99"/>
    <n v="284.49"/>
    <n v="41.82"/>
  </r>
  <r>
    <x v="11"/>
    <x v="7"/>
    <x v="0"/>
    <s v="3500150"/>
    <n v="721610"/>
    <s v="Supplies-Anesthesia - Nonbillable"/>
    <s v="Family Birthing Unit"/>
    <x v="0"/>
    <m/>
    <n v="433.03"/>
    <n v="481.73"/>
    <n v="341.08"/>
    <n v="627.77"/>
    <n v="265.48"/>
    <n v="194.01"/>
    <n v="556.45000000000005"/>
    <n v="534.35"/>
    <n v="634.89"/>
    <n v="555.97"/>
    <n v="530.69000000000005"/>
    <n v="696.31"/>
    <n v="5851.76"/>
    <n v="-165.61999999999989"/>
  </r>
  <r>
    <x v="11"/>
    <x v="7"/>
    <x v="0"/>
    <s v="3500150"/>
    <n v="721640"/>
    <s v="Supplies-IV Solutions/Supplies - Nonbillable"/>
    <s v="Family Birthing Unit"/>
    <x v="0"/>
    <m/>
    <n v="812.05"/>
    <n v="506.41"/>
    <n v="331.19"/>
    <n v="467.96"/>
    <n v="417.96"/>
    <n v="175.47"/>
    <n v="386.61"/>
    <n v="395.54"/>
    <n v="738.58"/>
    <n v="388.37"/>
    <n v="576.86"/>
    <n v="552.16"/>
    <n v="5749.16"/>
    <n v="24.700000000000045"/>
  </r>
  <r>
    <x v="11"/>
    <x v="7"/>
    <x v="0"/>
    <s v="3500150"/>
    <n v="721650"/>
    <s v="Supplies-Pharmacy Drugs - Nonbillable"/>
    <s v="Family Birthing Unit"/>
    <x v="0"/>
    <m/>
    <n v="22.23"/>
    <n v="18.62"/>
    <n v="17.41"/>
    <n v="11.12"/>
    <n v="9.68"/>
    <n v="10.4"/>
    <n v="10.89"/>
    <n v="13.6"/>
    <n v="15.72"/>
    <n v="16.12"/>
    <n v="18.14"/>
    <n v="21.76"/>
    <n v="185.69"/>
    <n v="-3.620000000000001"/>
  </r>
  <r>
    <x v="11"/>
    <x v="7"/>
    <x v="0"/>
    <s v="3500150"/>
    <n v="721710"/>
    <s v="Supplies-Laboratory - Nonbillable"/>
    <s v="Family Birthing Unit"/>
    <x v="0"/>
    <m/>
    <n v="104.07"/>
    <n v="71.42"/>
    <n v="69.98"/>
    <n v="30.68"/>
    <n v="49.86"/>
    <n v="58.39"/>
    <n v="26.02"/>
    <n v="70.91"/>
    <n v="78.89"/>
    <n v="73.88"/>
    <n v="86.73"/>
    <n v="66.849999999999994"/>
    <n v="787.68000000000006"/>
    <n v="19.88000000000001"/>
  </r>
  <r>
    <x v="11"/>
    <x v="7"/>
    <x v="0"/>
    <s v="3500150"/>
    <n v="721750"/>
    <s v="Supplies-Film/Radiographic - Nonbillable"/>
    <s v="Family Birthing Unit"/>
    <x v="0"/>
    <m/>
    <n v="6.56"/>
    <n v="5.62"/>
    <n v="0.94"/>
    <n v="1.87"/>
    <n v="2.82"/>
    <n v="3.75"/>
    <n v="3.76"/>
    <n v="5.38"/>
    <n v="22.02"/>
    <n v="16.16"/>
    <n v="8.67"/>
    <n v="15.53"/>
    <n v="93.08"/>
    <n v="-6.8599999999999994"/>
  </r>
  <r>
    <x v="11"/>
    <x v="7"/>
    <x v="0"/>
    <s v="3500150"/>
    <n v="721810"/>
    <s v="Supplies-Dietary/Cafeteria"/>
    <s v="Family Birthing Unit"/>
    <x v="0"/>
    <m/>
    <n v="402.68"/>
    <n v="630.61"/>
    <n v="244.63"/>
    <n v="772.5"/>
    <n v="321.94"/>
    <n v="406.15"/>
    <n v="393.24"/>
    <n v="509.09"/>
    <n v="674.69"/>
    <n v="475.52"/>
    <n v="515.91"/>
    <n v="517.4"/>
    <n v="5864.3600000000006"/>
    <n v="-1.4900000000000091"/>
  </r>
  <r>
    <x v="11"/>
    <x v="7"/>
    <x v="0"/>
    <s v="3500150"/>
    <n v="721830"/>
    <s v="Supplies-Office"/>
    <s v="Family Birthing Unit"/>
    <x v="0"/>
    <m/>
    <n v="44.1"/>
    <n v="273.26"/>
    <n v="98.89"/>
    <n v="414.64"/>
    <n v="0"/>
    <n v="614.39"/>
    <n v="0"/>
    <n v="-121.28"/>
    <n v="359.13"/>
    <n v="553.96"/>
    <n v="404.19"/>
    <n v="717.42"/>
    <n v="3358.7000000000003"/>
    <n v="-313.22999999999996"/>
  </r>
  <r>
    <x v="11"/>
    <x v="7"/>
    <x v="0"/>
    <s v="3500150"/>
    <n v="721835"/>
    <s v="Supplies-Forms"/>
    <s v="Family Birthing Unit"/>
    <x v="0"/>
    <m/>
    <n v="0"/>
    <n v="0"/>
    <n v="0"/>
    <n v="0"/>
    <n v="184.81"/>
    <n v="4.32"/>
    <n v="4.2"/>
    <n v="0"/>
    <n v="117.86"/>
    <n v="1.84"/>
    <n v="53.29"/>
    <n v="106.35"/>
    <n v="472.66999999999996"/>
    <n v="-53.059999999999995"/>
  </r>
  <r>
    <x v="11"/>
    <x v="7"/>
    <x v="0"/>
    <s v="3500150"/>
    <n v="721870"/>
    <s v="Supplies-Environmental Services"/>
    <s v="Family Birthing Unit"/>
    <x v="0"/>
    <m/>
    <n v="51.32"/>
    <n v="76.84"/>
    <n v="29.91"/>
    <n v="8.5500000000000007"/>
    <n v="19.22"/>
    <n v="21.55"/>
    <n v="10.68"/>
    <n v="71.239999999999995"/>
    <n v="54.22"/>
    <n v="33.4"/>
    <n v="47.38"/>
    <n v="76.34"/>
    <n v="500.65"/>
    <n v="-28.96"/>
  </r>
  <r>
    <x v="11"/>
    <x v="7"/>
    <x v="0"/>
    <s v="3500150"/>
    <n v="721880"/>
    <s v="Supplies-Linen"/>
    <s v="Family Birthing Unit"/>
    <x v="0"/>
    <m/>
    <n v="0"/>
    <n v="25.68"/>
    <n v="0"/>
    <n v="0"/>
    <n v="0"/>
    <n v="0"/>
    <n v="0"/>
    <n v="0"/>
    <n v="32.1"/>
    <n v="0"/>
    <n v="0"/>
    <n v="0"/>
    <n v="57.78"/>
    <n v="0"/>
  </r>
  <r>
    <x v="11"/>
    <x v="7"/>
    <x v="0"/>
    <s v="3500150"/>
    <n v="721910"/>
    <s v="Supplies-Small Equipment"/>
    <s v="Family Birthing Unit"/>
    <x v="0"/>
    <m/>
    <n v="38.39"/>
    <n v="19.23"/>
    <n v="189.58"/>
    <n v="-503.96"/>
    <n v="33.17"/>
    <n v="4.28"/>
    <n v="7.33"/>
    <n v="0"/>
    <n v="3.51"/>
    <n v="-46.82"/>
    <n v="2336.98"/>
    <n v="7.0000000000000007E-2"/>
    <n v="2081.7600000000002"/>
    <n v="2336.91"/>
  </r>
  <r>
    <x v="11"/>
    <x v="7"/>
    <x v="0"/>
    <s v="3500150"/>
    <n v="721910"/>
    <s v="Instruments"/>
    <s v="Family Birthing Unit"/>
    <x v="0"/>
    <n v="1000"/>
    <n v="209.55"/>
    <n v="107.47"/>
    <n v="123.13"/>
    <n v="68.16"/>
    <n v="19.82"/>
    <n v="44.23"/>
    <n v="19.8"/>
    <n v="89.54"/>
    <n v="394.49"/>
    <n v="193.74"/>
    <n v="84.22"/>
    <n v="87.77"/>
    <n v="1441.92"/>
    <n v="-3.5499999999999972"/>
  </r>
  <r>
    <x v="11"/>
    <x v="7"/>
    <x v="0"/>
    <s v="3500150"/>
    <n v="721980"/>
    <s v="Supplies-Other"/>
    <s v="Family Birthing Unit"/>
    <x v="0"/>
    <m/>
    <n v="0"/>
    <n v="0"/>
    <n v="0"/>
    <n v="28.82"/>
    <n v="0"/>
    <n v="205.85"/>
    <n v="0"/>
    <n v="0"/>
    <n v="0"/>
    <n v="74.989999999999995"/>
    <n v="0"/>
    <n v="99.45"/>
    <n v="409.10999999999996"/>
    <n v="-99.45"/>
  </r>
  <r>
    <x v="11"/>
    <x v="7"/>
    <x v="0"/>
    <s v="3500150"/>
    <n v="722000"/>
    <s v="Supplies-Freight Expense"/>
    <s v="Family Birthing Unit"/>
    <x v="0"/>
    <m/>
    <n v="0"/>
    <n v="74.81"/>
    <n v="27.52"/>
    <n v="131.02000000000001"/>
    <n v="10.71"/>
    <n v="10.69"/>
    <n v="21.34"/>
    <n v="0"/>
    <n v="11.06"/>
    <n v="99.52"/>
    <n v="31.7"/>
    <n v="72.069999999999993"/>
    <n v="490.44"/>
    <n v="-40.36999999999999"/>
  </r>
  <r>
    <x v="12"/>
    <x v="7"/>
    <x v="0"/>
    <s v="3500150"/>
    <n v="730020"/>
    <s v="Rental and Leases-Copier Usage Fees (DO NOT USE)"/>
    <s v="Family Birthing Unit"/>
    <x v="0"/>
    <n v="5100"/>
    <n v="114.17"/>
    <n v="116.5"/>
    <n v="115.33"/>
    <n v="115.33"/>
    <n v="115.33"/>
    <n v="115.33"/>
    <n v="270.86"/>
    <n v="89.25"/>
    <n v="89.06"/>
    <n v="134.33000000000001"/>
    <n v="89.25"/>
    <n v="105.7"/>
    <n v="1470.4399999999998"/>
    <n v="-16.450000000000003"/>
  </r>
  <r>
    <x v="16"/>
    <x v="7"/>
    <x v="0"/>
    <s v="3500150"/>
    <n v="732030"/>
    <s v="Repairs---Other"/>
    <s v="Family Birthing Unit"/>
    <x v="0"/>
    <m/>
    <n v="0"/>
    <n v="90.68"/>
    <n v="994.6"/>
    <n v="576.97"/>
    <n v="50.2"/>
    <n v="0"/>
    <n v="0"/>
    <n v="0"/>
    <n v="0"/>
    <n v="0"/>
    <n v="90.49"/>
    <n v="14.94"/>
    <n v="1817.88"/>
    <n v="75.55"/>
  </r>
  <r>
    <x v="16"/>
    <x v="7"/>
    <x v="0"/>
    <s v="3500150"/>
    <n v="732030"/>
    <s v="Repairs&amp;Maintenance-Bldg Routine"/>
    <s v="Family Birthing Unit"/>
    <x v="0"/>
    <n v="2300"/>
    <n v="140.80000000000001"/>
    <n v="1304.4000000000001"/>
    <n v="0"/>
    <n v="-21.74"/>
    <n v="0"/>
    <n v="0"/>
    <n v="0"/>
    <n v="0"/>
    <n v="0"/>
    <n v="786.39"/>
    <n v="0"/>
    <n v="0"/>
    <n v="2209.85"/>
    <n v="0"/>
  </r>
  <r>
    <x v="13"/>
    <x v="7"/>
    <x v="0"/>
    <s v="3500150"/>
    <n v="735060"/>
    <s v="Depreciation-Fixed Equipment"/>
    <s v="Family Birthing Unit"/>
    <x v="0"/>
    <m/>
    <n v="148.33000000000001"/>
    <n v="148.33000000000001"/>
    <n v="148.33000000000001"/>
    <n v="148.33000000000001"/>
    <n v="148.33000000000001"/>
    <n v="148.33000000000001"/>
    <n v="148.33000000000001"/>
    <n v="148.32"/>
    <n v="148.33000000000001"/>
    <n v="148.32"/>
    <n v="148.33000000000001"/>
    <n v="148.32"/>
    <n v="1779.9299999999998"/>
    <n v="1.0000000000019327E-2"/>
  </r>
  <r>
    <x v="13"/>
    <x v="7"/>
    <x v="0"/>
    <s v="3500150"/>
    <n v="735070"/>
    <s v="Depreciation-Movable Equipment"/>
    <s v="Family Birthing Unit"/>
    <x v="0"/>
    <m/>
    <n v="3377.27"/>
    <n v="3358.73"/>
    <n v="3358.77"/>
    <n v="3358.7"/>
    <n v="3358.77"/>
    <n v="3358.68"/>
    <n v="3358.77"/>
    <n v="2431.12"/>
    <n v="2431.2600000000002"/>
    <n v="2431.1"/>
    <n v="2431.2600000000002"/>
    <n v="2431.09"/>
    <n v="35685.520000000004"/>
    <n v="0.17000000000007276"/>
  </r>
  <r>
    <x v="0"/>
    <x v="7"/>
    <x v="0"/>
    <s v="3500150"/>
    <n v="740010"/>
    <s v="Education-Materials"/>
    <s v="Family Birthing Unit"/>
    <x v="0"/>
    <m/>
    <n v="0"/>
    <n v="0"/>
    <n v="86"/>
    <n v="0"/>
    <n v="0"/>
    <n v="129.41"/>
    <n v="0"/>
    <n v="0"/>
    <n v="0"/>
    <n v="0"/>
    <n v="0"/>
    <n v="0"/>
    <n v="215.41"/>
    <n v="0"/>
  </r>
  <r>
    <x v="0"/>
    <x v="7"/>
    <x v="0"/>
    <s v="3500150"/>
    <n v="740020"/>
    <s v="Education-Registration Fees"/>
    <s v="Family Birthing Unit"/>
    <x v="0"/>
    <m/>
    <n v="175"/>
    <n v="350"/>
    <n v="190"/>
    <n v="700"/>
    <n v="175"/>
    <n v="175"/>
    <n v="175"/>
    <n v="175"/>
    <n v="875"/>
    <n v="175"/>
    <n v="0"/>
    <n v="770"/>
    <n v="3935"/>
    <n v="-770"/>
  </r>
  <r>
    <x v="0"/>
    <x v="7"/>
    <x v="0"/>
    <s v="3500150"/>
    <n v="742040"/>
    <s v="Freight-Other"/>
    <s v="Family Birthing Unit"/>
    <x v="0"/>
    <m/>
    <n v="0"/>
    <n v="0"/>
    <n v="0"/>
    <n v="21.74"/>
    <n v="0"/>
    <n v="0"/>
    <n v="0"/>
    <n v="0"/>
    <n v="0"/>
    <n v="0"/>
    <n v="0"/>
    <n v="0"/>
    <n v="21.74"/>
    <n v="0"/>
  </r>
  <r>
    <x v="0"/>
    <x v="7"/>
    <x v="0"/>
    <s v="3500150"/>
    <n v="743010"/>
    <s v="Dues--Institutional"/>
    <s v="Family Birthing Unit"/>
    <x v="0"/>
    <m/>
    <n v="0"/>
    <n v="0"/>
    <n v="0"/>
    <n v="3200"/>
    <n v="0"/>
    <n v="0"/>
    <n v="0"/>
    <n v="0"/>
    <n v="0"/>
    <n v="0"/>
    <n v="0"/>
    <n v="0"/>
    <n v="3200"/>
    <n v="0"/>
  </r>
  <r>
    <x v="0"/>
    <x v="7"/>
    <x v="0"/>
    <s v="3500150"/>
    <n v="743030"/>
    <s v="Subscriptions--Institutional"/>
    <s v="Family Birthing Unit"/>
    <x v="0"/>
    <m/>
    <n v="0"/>
    <n v="0"/>
    <n v="0"/>
    <n v="0"/>
    <n v="0"/>
    <n v="0"/>
    <n v="0"/>
    <n v="184.18"/>
    <n v="0"/>
    <n v="0"/>
    <n v="0"/>
    <n v="0"/>
    <n v="184.18"/>
    <n v="0"/>
  </r>
  <r>
    <x v="0"/>
    <x v="7"/>
    <x v="0"/>
    <s v="3500150"/>
    <n v="743040"/>
    <s v="Subscriptions--Individual"/>
    <s v="Family Birthing Unit"/>
    <x v="0"/>
    <m/>
    <n v="0"/>
    <n v="0"/>
    <n v="0"/>
    <n v="0"/>
    <n v="0"/>
    <n v="0"/>
    <n v="0"/>
    <n v="0"/>
    <n v="0"/>
    <n v="128.69"/>
    <n v="0"/>
    <n v="0"/>
    <n v="128.69"/>
    <n v="0"/>
  </r>
  <r>
    <x v="0"/>
    <x v="7"/>
    <x v="0"/>
    <s v="3500150"/>
    <n v="749510"/>
    <s v="Miscellaneous Expenses"/>
    <s v="Family Birthing Unit"/>
    <x v="0"/>
    <m/>
    <n v="-73.72"/>
    <n v="602.20000000000005"/>
    <n v="0"/>
    <n v="0"/>
    <n v="423.87"/>
    <n v="-423.87"/>
    <n v="0"/>
    <n v="1262.6300000000001"/>
    <n v="67"/>
    <n v="0"/>
    <n v="868.19"/>
    <n v="-801.19"/>
    <n v="1925.1100000000001"/>
    <n v="1669.38"/>
  </r>
  <r>
    <x v="0"/>
    <x v="7"/>
    <x v="0"/>
    <s v="3500150"/>
    <n v="749510"/>
    <s v="RICE Rewards"/>
    <s v="Family Birthing Unit"/>
    <x v="0"/>
    <n v="5100"/>
    <n v="0"/>
    <n v="0"/>
    <n v="0"/>
    <n v="0"/>
    <n v="0"/>
    <n v="0"/>
    <n v="0"/>
    <n v="0"/>
    <n v="0"/>
    <n v="0"/>
    <n v="0"/>
    <n v="98.19"/>
    <n v="98.19"/>
    <n v="-98.19"/>
  </r>
  <r>
    <x v="0"/>
    <x v="7"/>
    <x v="0"/>
    <s v="3500150"/>
    <n v="749535"/>
    <s v="Meetings"/>
    <s v="Family Birthing Unit"/>
    <x v="0"/>
    <m/>
    <n v="0"/>
    <n v="0"/>
    <n v="0"/>
    <n v="0"/>
    <n v="0"/>
    <n v="65.650000000000006"/>
    <n v="0"/>
    <n v="0"/>
    <n v="0"/>
    <n v="0"/>
    <n v="0"/>
    <n v="0"/>
    <n v="65.650000000000006"/>
    <n v="0"/>
  </r>
  <r>
    <x v="18"/>
    <x v="3"/>
    <x v="0"/>
    <s v="3502101"/>
    <n v="400010"/>
    <s v="Acute I/P Svcs Rev--Medicaid"/>
    <s v="Midwifery"/>
    <x v="0"/>
    <n v="1200"/>
    <n v="-27320.59"/>
    <n v="-10169.700000000001"/>
    <n v="-3155.56"/>
    <n v="-3889.04"/>
    <n v="-12856.18"/>
    <n v="-3853.3"/>
    <n v="-3685.04"/>
    <n v="-12332.96"/>
    <n v="-1400.36"/>
    <n v="-3669.33"/>
    <n v="-1136.32"/>
    <n v="-7782.03"/>
    <n v="-91250.41"/>
    <n v="6645.71"/>
  </r>
  <r>
    <x v="18"/>
    <x v="3"/>
    <x v="0"/>
    <s v="3502101"/>
    <n v="400010"/>
    <s v="Acute I/P Svcs Rev--Comm Insurance"/>
    <s v="Midwifery"/>
    <x v="0"/>
    <n v="1300"/>
    <n v="1180.2"/>
    <n v="-10209.25"/>
    <n v="0"/>
    <n v="-11859.5"/>
    <n v="0"/>
    <n v="1237.05"/>
    <n v="0"/>
    <n v="0"/>
    <n v="9628.81"/>
    <n v="0"/>
    <n v="-516"/>
    <n v="0"/>
    <n v="-10538.69"/>
    <n v="-516"/>
  </r>
  <r>
    <x v="18"/>
    <x v="3"/>
    <x v="0"/>
    <s v="3502101"/>
    <n v="400010"/>
    <s v="Acute I/P Svcs Rev--BCBS Comm"/>
    <s v="Midwifery"/>
    <x v="0"/>
    <n v="1301"/>
    <n v="-1549.99"/>
    <n v="-11745.17"/>
    <n v="-13204.14"/>
    <n v="0"/>
    <n v="0"/>
    <n v="0"/>
    <n v="557"/>
    <n v="-5585.31"/>
    <n v="0"/>
    <n v="-2144.33"/>
    <n v="-1829.3"/>
    <n v="0"/>
    <n v="-35501.240000000005"/>
    <n v="-1829.3"/>
  </r>
  <r>
    <x v="18"/>
    <x v="3"/>
    <x v="0"/>
    <s v="3502101"/>
    <n v="400010"/>
    <s v="Acute I/P Svcs Rev--Managed Care"/>
    <s v="Midwifery"/>
    <x v="0"/>
    <n v="1400"/>
    <n v="-15968.76"/>
    <n v="-10724.19"/>
    <n v="-715"/>
    <n v="-2184.79"/>
    <n v="-2942.98"/>
    <n v="-8790.59"/>
    <n v="-2514.63"/>
    <n v="-20739.2"/>
    <n v="-2378.46"/>
    <n v="-6479.96"/>
    <n v="-36445.61"/>
    <n v="-948.56"/>
    <n v="-110832.73000000001"/>
    <n v="-35497.050000000003"/>
  </r>
  <r>
    <x v="18"/>
    <x v="3"/>
    <x v="0"/>
    <s v="3502101"/>
    <n v="400010"/>
    <s v="Acute I/P Svcs Rev--Self Pay"/>
    <s v="Midwifery"/>
    <x v="0"/>
    <n v="1500"/>
    <n v="0"/>
    <n v="0"/>
    <n v="0"/>
    <n v="0"/>
    <n v="0"/>
    <n v="0"/>
    <n v="-557"/>
    <n v="0"/>
    <n v="-9628.81"/>
    <n v="0"/>
    <n v="0"/>
    <n v="0"/>
    <n v="-10185.81"/>
    <n v="0"/>
  </r>
  <r>
    <x v="18"/>
    <x v="3"/>
    <x v="0"/>
    <s v="3502101"/>
    <n v="400010"/>
    <s v="Acute I/P Svcs Rev--Other"/>
    <s v="Midwifery"/>
    <x v="0"/>
    <n v="1700"/>
    <n v="-1293.06"/>
    <n v="0"/>
    <n v="-10658.53"/>
    <n v="0"/>
    <n v="0"/>
    <n v="0"/>
    <n v="-2661.13"/>
    <n v="0"/>
    <n v="-737.44"/>
    <n v="-14449"/>
    <n v="-780.3"/>
    <n v="0"/>
    <n v="-30579.460000000003"/>
    <n v="-780.3"/>
  </r>
  <r>
    <x v="19"/>
    <x v="3"/>
    <x v="0"/>
    <s v="3502101"/>
    <n v="400020"/>
    <s v="O/P Care Svcs Rev--Medicaid"/>
    <s v="Midwifery"/>
    <x v="0"/>
    <n v="1200"/>
    <n v="-54979.83"/>
    <n v="-53899.03"/>
    <n v="-32546.11"/>
    <n v="-54946.3"/>
    <n v="-53841.21"/>
    <n v="-11125.48"/>
    <n v="-23436.28"/>
    <n v="-45713.55"/>
    <n v="-49323.79"/>
    <n v="-43910.23"/>
    <n v="-24153.07"/>
    <n v="-59741.63"/>
    <n v="-507616.50999999995"/>
    <n v="35588.559999999998"/>
  </r>
  <r>
    <x v="19"/>
    <x v="3"/>
    <x v="0"/>
    <s v="3502101"/>
    <n v="400020"/>
    <s v="O/P Care Svcs Rev--Comm Insurance"/>
    <s v="Midwifery"/>
    <x v="0"/>
    <n v="1300"/>
    <n v="530"/>
    <n v="-34050.269999999997"/>
    <n v="-9612.7000000000007"/>
    <n v="0"/>
    <n v="-21008.6"/>
    <n v="-21859.08"/>
    <n v="0"/>
    <n v="0"/>
    <n v="0"/>
    <n v="-45401.8"/>
    <n v="-2957.29"/>
    <n v="-20738.310000000001"/>
    <n v="-155098.05000000002"/>
    <n v="17781.02"/>
  </r>
  <r>
    <x v="19"/>
    <x v="3"/>
    <x v="0"/>
    <s v="3502101"/>
    <n v="400020"/>
    <s v="O/P Care Svcs Rev--BCBS Comm"/>
    <s v="Midwifery"/>
    <x v="0"/>
    <n v="1301"/>
    <n v="-106627.45"/>
    <n v="-52199.88"/>
    <n v="-63227.8"/>
    <n v="-20594.21"/>
    <n v="-31938.87"/>
    <n v="-64390.33"/>
    <n v="-12094.27"/>
    <n v="-1479.68"/>
    <n v="-9539.4500000000007"/>
    <n v="-35895.96"/>
    <n v="-42607.79"/>
    <n v="-55608.29"/>
    <n v="-496203.98000000004"/>
    <n v="13000.5"/>
  </r>
  <r>
    <x v="19"/>
    <x v="3"/>
    <x v="0"/>
    <s v="3502101"/>
    <n v="400020"/>
    <s v="O/P Care Svcs Rev--Managed Care"/>
    <s v="Midwifery"/>
    <x v="0"/>
    <n v="1400"/>
    <n v="-68802.850000000006"/>
    <n v="-111055.47"/>
    <n v="-98021.22"/>
    <n v="-88200.45"/>
    <n v="-44650.18"/>
    <n v="-157828.23000000001"/>
    <n v="-177567.57"/>
    <n v="-55115.8"/>
    <n v="-87847.96"/>
    <n v="-169508.1"/>
    <n v="-86948.55"/>
    <n v="-140339.37"/>
    <n v="-1285885.75"/>
    <n v="53390.819999999992"/>
  </r>
  <r>
    <x v="19"/>
    <x v="3"/>
    <x v="0"/>
    <s v="3502101"/>
    <n v="400020"/>
    <s v="O/P Care Svcs Rev--Self Pay"/>
    <s v="Midwifery"/>
    <x v="0"/>
    <n v="1500"/>
    <n v="-11736.84"/>
    <n v="-18767.650000000001"/>
    <n v="-1098.79"/>
    <n v="839.44"/>
    <n v="-580.44000000000005"/>
    <n v="-11497.24"/>
    <n v="1304.0999999999999"/>
    <n v="-557"/>
    <n v="-715.9"/>
    <n v="-249.95"/>
    <n v="-462.29"/>
    <n v="-322.14999999999998"/>
    <n v="-43844.710000000006"/>
    <n v="-140.14000000000004"/>
  </r>
  <r>
    <x v="19"/>
    <x v="3"/>
    <x v="0"/>
    <s v="3502101"/>
    <n v="400020"/>
    <s v="O/P Care Svcs Rev--Other"/>
    <s v="Midwifery"/>
    <x v="0"/>
    <n v="1700"/>
    <n v="-23195.06"/>
    <n v="-17566.560000000001"/>
    <n v="-62455.64"/>
    <n v="-42187"/>
    <n v="0"/>
    <n v="-20689.29"/>
    <n v="-11951.78"/>
    <n v="-13310.66"/>
    <n v="1457.06"/>
    <n v="-11297.62"/>
    <n v="-22511.7"/>
    <n v="-32936.629999999997"/>
    <n v="-256644.88000000003"/>
    <n v="10424.929999999997"/>
  </r>
  <r>
    <x v="5"/>
    <x v="3"/>
    <x v="0"/>
    <s v="3502101"/>
    <n v="700026"/>
    <s v="Salaries-RN-Productive"/>
    <s v="Midwifery"/>
    <x v="0"/>
    <m/>
    <n v="26240.84"/>
    <n v="24895.29"/>
    <n v="21110.720000000001"/>
    <n v="25939.33"/>
    <n v="17312.14"/>
    <n v="22413"/>
    <n v="21971.87"/>
    <n v="16942.419999999998"/>
    <n v="14761.86"/>
    <n v="20771.88"/>
    <n v="17356.62"/>
    <n v="32817.4"/>
    <n v="262533.37"/>
    <n v="-15460.780000000002"/>
  </r>
  <r>
    <x v="5"/>
    <x v="3"/>
    <x v="0"/>
    <s v="3502101"/>
    <n v="700026"/>
    <s v="Salaries-RN-OT"/>
    <s v="Midwifery"/>
    <x v="0"/>
    <n v="1000"/>
    <n v="701.82"/>
    <n v="439.28"/>
    <n v="945.69"/>
    <n v="1177.6099999999999"/>
    <n v="315.48"/>
    <n v="517.55999999999995"/>
    <n v="424.72"/>
    <n v="382.55"/>
    <n v="677.66"/>
    <n v="489.24"/>
    <n v="754.79"/>
    <n v="745.41"/>
    <n v="7571.8099999999995"/>
    <n v="9.3799999999999955"/>
  </r>
  <r>
    <x v="5"/>
    <x v="3"/>
    <x v="0"/>
    <s v="3502101"/>
    <n v="700026"/>
    <s v="Salaries-RN-Other"/>
    <s v="Midwifery"/>
    <x v="0"/>
    <n v="2000"/>
    <n v="3508.15"/>
    <n v="3367.69"/>
    <n v="3534.6"/>
    <n v="3913.3"/>
    <n v="2948.73"/>
    <n v="3511.16"/>
    <n v="3495.09"/>
    <n v="3035.42"/>
    <n v="3108.72"/>
    <n v="2466.16"/>
    <n v="3956.81"/>
    <n v="3892.59"/>
    <n v="40738.42"/>
    <n v="64.2199999999998"/>
  </r>
  <r>
    <x v="5"/>
    <x v="3"/>
    <x v="0"/>
    <s v="3502101"/>
    <n v="700032"/>
    <s v="Salaries-Other Pat Care Providers-Productive"/>
    <s v="Midwifery"/>
    <x v="0"/>
    <m/>
    <n v="6932.2"/>
    <n v="5619.42"/>
    <n v="5367.27"/>
    <n v="6466.97"/>
    <n v="2462.14"/>
    <n v="6294.07"/>
    <n v="5739.19"/>
    <n v="3240.87"/>
    <n v="3253.15"/>
    <n v="8152.52"/>
    <n v="4125.4799999999996"/>
    <n v="7864.62"/>
    <n v="65517.9"/>
    <n v="-3739.1400000000003"/>
  </r>
  <r>
    <x v="5"/>
    <x v="3"/>
    <x v="0"/>
    <s v="3502101"/>
    <n v="700032"/>
    <s v="Salaries-Other Pat Care Providers-OT"/>
    <s v="Midwifery"/>
    <x v="0"/>
    <n v="1000"/>
    <n v="35.51"/>
    <n v="19.61"/>
    <n v="636.84"/>
    <n v="-101.93"/>
    <n v="-37.25"/>
    <n v="13.27"/>
    <n v="60.63"/>
    <n v="-16.38"/>
    <n v="238.62"/>
    <n v="200.45"/>
    <n v="-61.04"/>
    <n v="0.72"/>
    <n v="989.05"/>
    <n v="-61.76"/>
  </r>
  <r>
    <x v="5"/>
    <x v="3"/>
    <x v="0"/>
    <s v="3502101"/>
    <n v="700032"/>
    <s v="Salaries-Other Pat Care Providers-Other"/>
    <s v="Midwifery"/>
    <x v="0"/>
    <n v="2000"/>
    <n v="5562.14"/>
    <n v="5394.42"/>
    <n v="5553.81"/>
    <n v="6138.89"/>
    <n v="4818.21"/>
    <n v="5790.77"/>
    <n v="5728.12"/>
    <n v="4259.9399999999996"/>
    <n v="2785.96"/>
    <n v="3420.29"/>
    <n v="2962.47"/>
    <n v="3905.41"/>
    <n v="56320.430000000008"/>
    <n v="-942.94"/>
  </r>
  <r>
    <x v="5"/>
    <x v="3"/>
    <x v="0"/>
    <s v="3502101"/>
    <n v="700034"/>
    <s v="Salaries-Tech/Professional-Productive"/>
    <s v="Midwifery"/>
    <x v="0"/>
    <m/>
    <n v="279.36"/>
    <n v="65.2"/>
    <n v="0"/>
    <n v="281.89"/>
    <n v="-124.03"/>
    <n v="115.68"/>
    <n v="38.06"/>
    <n v="-10.01"/>
    <n v="426.97"/>
    <n v="29.46"/>
    <n v="1202.3399999999999"/>
    <n v="-496.19"/>
    <n v="1808.73"/>
    <n v="1698.53"/>
  </r>
  <r>
    <x v="5"/>
    <x v="3"/>
    <x v="0"/>
    <s v="3502101"/>
    <n v="700034"/>
    <s v="Salaries-Tech/Professional-Other"/>
    <s v="Midwifery"/>
    <x v="0"/>
    <n v="2000"/>
    <n v="9.1"/>
    <n v="9.65"/>
    <n v="0"/>
    <n v="0"/>
    <n v="0"/>
    <n v="0"/>
    <n v="4.07"/>
    <n v="-1.07"/>
    <n v="1.96"/>
    <n v="22.46"/>
    <n v="-9.65"/>
    <n v="15.02"/>
    <n v="51.540000000000006"/>
    <n v="-24.67"/>
  </r>
  <r>
    <x v="5"/>
    <x v="3"/>
    <x v="0"/>
    <s v="3502101"/>
    <n v="700038"/>
    <s v="Salaries-Service/Support-Productive"/>
    <s v="Midwifery"/>
    <x v="0"/>
    <m/>
    <n v="0"/>
    <n v="877.52"/>
    <n v="566.32000000000005"/>
    <n v="69"/>
    <n v="671.07"/>
    <n v="585.11"/>
    <n v="602.79999999999995"/>
    <n v="687.58"/>
    <n v="312.25"/>
    <n v="688.67"/>
    <n v="651.07000000000005"/>
    <n v="343.93"/>
    <n v="6055.3200000000006"/>
    <n v="307.14000000000004"/>
  </r>
  <r>
    <x v="5"/>
    <x v="3"/>
    <x v="0"/>
    <s v="3502101"/>
    <n v="700038"/>
    <s v="Salaries-Service/Support-OT"/>
    <s v="Midwifery"/>
    <x v="0"/>
    <n v="1000"/>
    <n v="0"/>
    <n v="0"/>
    <n v="0"/>
    <n v="0"/>
    <n v="0"/>
    <n v="0"/>
    <n v="0"/>
    <n v="71.430000000000007"/>
    <n v="0"/>
    <n v="0"/>
    <n v="0"/>
    <n v="0"/>
    <n v="71.430000000000007"/>
    <n v="0"/>
  </r>
  <r>
    <x v="5"/>
    <x v="3"/>
    <x v="0"/>
    <s v="3502101"/>
    <n v="700038"/>
    <s v="Salaries-Service/Support-Other"/>
    <s v="Midwifery"/>
    <x v="0"/>
    <n v="2000"/>
    <n v="0"/>
    <n v="0"/>
    <n v="0"/>
    <n v="0"/>
    <n v="0"/>
    <n v="0"/>
    <n v="0"/>
    <n v="0"/>
    <n v="-2.67"/>
    <n v="3.42"/>
    <n v="0"/>
    <n v="0"/>
    <n v="0.75"/>
    <n v="0"/>
  </r>
  <r>
    <x v="5"/>
    <x v="3"/>
    <x v="0"/>
    <s v="3502101"/>
    <n v="700066"/>
    <s v="Salaries-RN-Non-productive"/>
    <s v="Midwifery"/>
    <x v="0"/>
    <m/>
    <n v="1992.53"/>
    <n v="7447.46"/>
    <n v="10558.18"/>
    <n v="4412.47"/>
    <n v="575.95000000000005"/>
    <n v="8401.4500000000007"/>
    <n v="4897.63"/>
    <n v="6363.9"/>
    <n v="10144.48"/>
    <n v="1941.56"/>
    <n v="4253.01"/>
    <n v="5007.6000000000004"/>
    <n v="65996.22"/>
    <n v="-754.59000000000015"/>
  </r>
  <r>
    <x v="5"/>
    <x v="3"/>
    <x v="0"/>
    <s v="3502101"/>
    <n v="700066"/>
    <s v="Salaries-RN-NonProd-Other"/>
    <s v="Midwifery"/>
    <x v="0"/>
    <n v="2000"/>
    <n v="161.26"/>
    <n v="734.5"/>
    <n v="804.42"/>
    <n v="303.81"/>
    <n v="830.63"/>
    <n v="1999.61"/>
    <n v="74.16"/>
    <n v="-2157.54"/>
    <n v="427.66"/>
    <n v="85.02"/>
    <n v="20.87"/>
    <n v="439.16"/>
    <n v="3723.559999999999"/>
    <n v="-418.29"/>
  </r>
  <r>
    <x v="5"/>
    <x v="3"/>
    <x v="0"/>
    <s v="3502101"/>
    <n v="700072"/>
    <s v="Salaries-Other Pat Care Providers-Non-productive"/>
    <s v="Midwifery"/>
    <x v="0"/>
    <m/>
    <n v="0"/>
    <n v="0"/>
    <n v="0"/>
    <n v="0"/>
    <n v="0"/>
    <n v="0"/>
    <n v="0"/>
    <n v="128.07"/>
    <n v="-0.06"/>
    <n v="0"/>
    <n v="471.81"/>
    <n v="278.8"/>
    <n v="878.61999999999989"/>
    <n v="193.01"/>
  </r>
  <r>
    <x v="5"/>
    <x v="3"/>
    <x v="0"/>
    <s v="3502101"/>
    <n v="700072"/>
    <s v="Salaries-Other Pat Care Providers-NonProd-Other"/>
    <s v="Midwifery"/>
    <x v="0"/>
    <n v="2000"/>
    <n v="68.62"/>
    <n v="216.31"/>
    <n v="46.19"/>
    <n v="105.23"/>
    <n v="444.71"/>
    <n v="368.16"/>
    <n v="16.89"/>
    <n v="158.97"/>
    <n v="-33.619999999999997"/>
    <n v="43.64"/>
    <n v="30.81"/>
    <n v="67.510000000000005"/>
    <n v="1533.4200000000003"/>
    <n v="-36.700000000000003"/>
  </r>
  <r>
    <x v="5"/>
    <x v="3"/>
    <x v="0"/>
    <s v="3502101"/>
    <n v="700084"/>
    <s v="Accrued PTO"/>
    <s v="Midwifery"/>
    <x v="0"/>
    <m/>
    <n v="1526.32"/>
    <n v="-1082.4000000000001"/>
    <n v="-4467.8900000000003"/>
    <n v="-1649.44"/>
    <n v="1126.47"/>
    <n v="-2002.26"/>
    <n v="322.45999999999998"/>
    <n v="-1148.1099999999999"/>
    <n v="6906.6"/>
    <n v="927.9"/>
    <n v="-3200.2"/>
    <n v="392.99"/>
    <n v="-2347.5599999999986"/>
    <n v="-3593.1899999999996"/>
  </r>
  <r>
    <x v="6"/>
    <x v="3"/>
    <x v="0"/>
    <s v="3502101"/>
    <n v="713010"/>
    <s v="Benefits-FICA/Medicare"/>
    <s v="Midwifery"/>
    <x v="0"/>
    <m/>
    <n v="3387.1"/>
    <n v="3657.53"/>
    <n v="3658.04"/>
    <n v="3620.23"/>
    <n v="2352.1999999999998"/>
    <n v="3674.79"/>
    <n v="3184.81"/>
    <n v="2615.41"/>
    <n v="2675.78"/>
    <n v="2893.57"/>
    <n v="2698.83"/>
    <n v="4199.72"/>
    <n v="38618.01"/>
    <n v="-1500.8900000000003"/>
  </r>
  <r>
    <x v="6"/>
    <x v="3"/>
    <x v="0"/>
    <s v="3502101"/>
    <n v="713090"/>
    <s v="Benefits-Allocated Amounts"/>
    <s v="Midwifery"/>
    <x v="0"/>
    <m/>
    <n v="8587.23"/>
    <n v="8319.26"/>
    <n v="8684.16"/>
    <n v="8499.6"/>
    <n v="5376.09"/>
    <n v="8621.81"/>
    <n v="8278.5499999999993"/>
    <n v="6942.74"/>
    <n v="5287.6"/>
    <n v="8305.24"/>
    <n v="6856.41"/>
    <n v="11608.19"/>
    <n v="95366.88"/>
    <n v="-4751.7800000000007"/>
  </r>
  <r>
    <x v="6"/>
    <x v="3"/>
    <x v="0"/>
    <s v="3502101"/>
    <n v="713096"/>
    <s v="Employee Recognition"/>
    <s v="Midwifery"/>
    <x v="0"/>
    <n v="1017"/>
    <n v="0"/>
    <n v="0"/>
    <n v="0"/>
    <n v="0"/>
    <n v="0"/>
    <n v="0"/>
    <n v="0"/>
    <n v="0"/>
    <n v="47.8"/>
    <n v="0"/>
    <n v="0"/>
    <n v="0"/>
    <n v="47.8"/>
    <n v="0"/>
  </r>
  <r>
    <x v="7"/>
    <x v="3"/>
    <x v="0"/>
    <s v="3502101"/>
    <n v="718050"/>
    <s v="Contract Svcs-Other"/>
    <s v="Midwifery"/>
    <x v="0"/>
    <m/>
    <n v="22.68"/>
    <n v="11.34"/>
    <n v="11.34"/>
    <n v="12.68"/>
    <n v="11.34"/>
    <n v="11.34"/>
    <n v="166.34"/>
    <n v="11.34"/>
    <n v="11.34"/>
    <n v="50.09"/>
    <n v="0"/>
    <n v="11.34"/>
    <n v="331.1699999999999"/>
    <n v="-11.34"/>
  </r>
  <r>
    <x v="7"/>
    <x v="3"/>
    <x v="0"/>
    <s v="3502101"/>
    <n v="718050"/>
    <s v="Miscellaneous Purchased Svcs"/>
    <s v="Midwifery"/>
    <x v="0"/>
    <n v="1020"/>
    <n v="0"/>
    <n v="30.85"/>
    <n v="32"/>
    <n v="0"/>
    <n v="0"/>
    <n v="0"/>
    <n v="0"/>
    <n v="41.58"/>
    <n v="32.97"/>
    <n v="32.979999999999997"/>
    <n v="0"/>
    <n v="0"/>
    <n v="170.38"/>
    <n v="0"/>
  </r>
  <r>
    <x v="7"/>
    <x v="3"/>
    <x v="0"/>
    <s v="3502101"/>
    <n v="718050"/>
    <s v="Translation Services"/>
    <s v="Midwifery"/>
    <x v="0"/>
    <n v="1025"/>
    <n v="0"/>
    <n v="0"/>
    <n v="0"/>
    <n v="0"/>
    <n v="0"/>
    <n v="0"/>
    <n v="0"/>
    <n v="89.28"/>
    <n v="0"/>
    <n v="0"/>
    <n v="0"/>
    <n v="0"/>
    <n v="89.28"/>
    <n v="0"/>
  </r>
  <r>
    <x v="7"/>
    <x v="3"/>
    <x v="0"/>
    <s v="3502101"/>
    <n v="718050"/>
    <s v="Contract Management--Linen"/>
    <s v="Midwifery"/>
    <x v="0"/>
    <n v="1026"/>
    <n v="96"/>
    <n v="1025.49"/>
    <n v="2161.9299999999998"/>
    <n v="964.31"/>
    <n v="1161"/>
    <n v="848.36"/>
    <n v="1109.2"/>
    <n v="1116.9100000000001"/>
    <n v="0"/>
    <n v="0"/>
    <n v="889.03"/>
    <n v="2146.4499999999998"/>
    <n v="11518.68"/>
    <n v="-1257.4199999999998"/>
  </r>
  <r>
    <x v="7"/>
    <x v="3"/>
    <x v="0"/>
    <s v="3502101"/>
    <n v="718050"/>
    <s v="Purchased Srvcs--Medical Waste"/>
    <s v="Midwifery"/>
    <x v="0"/>
    <n v="1027"/>
    <n v="89.28"/>
    <n v="89.28"/>
    <n v="89.28"/>
    <n v="0"/>
    <n v="0"/>
    <n v="0"/>
    <n v="89.28"/>
    <n v="89.28"/>
    <n v="0"/>
    <n v="89.28"/>
    <n v="0"/>
    <n v="0"/>
    <n v="535.67999999999995"/>
    <n v="0"/>
  </r>
  <r>
    <x v="7"/>
    <x v="3"/>
    <x v="0"/>
    <s v="3502101"/>
    <n v="718091"/>
    <s v="Contract Services-Intracompany Allocation"/>
    <s v="Midwifery"/>
    <x v="0"/>
    <m/>
    <n v="1628.38"/>
    <n v="1891.94"/>
    <n v="1862.79"/>
    <n v="1876.14"/>
    <n v="1499.17"/>
    <n v="1753.39"/>
    <n v="2064.75"/>
    <n v="1711.59"/>
    <n v="1510.21"/>
    <n v="1399.83"/>
    <n v="1591.43"/>
    <n v="2081.87"/>
    <n v="20871.490000000002"/>
    <n v="-490.43999999999983"/>
  </r>
  <r>
    <x v="11"/>
    <x v="3"/>
    <x v="0"/>
    <s v="3502101"/>
    <n v="721010"/>
    <s v="Supplies-Medical - Billable"/>
    <s v="Midwifery"/>
    <x v="0"/>
    <m/>
    <n v="133.87"/>
    <n v="143.16"/>
    <n v="159.55000000000001"/>
    <n v="65.510000000000005"/>
    <n v="65.67"/>
    <n v="120.74"/>
    <n v="79.67"/>
    <n v="36.03"/>
    <n v="55.52"/>
    <n v="177.53"/>
    <n v="51.63"/>
    <n v="110.59"/>
    <n v="1199.47"/>
    <n v="-58.96"/>
  </r>
  <r>
    <x v="11"/>
    <x v="3"/>
    <x v="0"/>
    <s v="3502101"/>
    <n v="721010"/>
    <s v="Patient Monitoring"/>
    <s v="Midwifery"/>
    <x v="0"/>
    <n v="1000"/>
    <n v="0"/>
    <n v="0"/>
    <n v="10.39"/>
    <n v="0"/>
    <n v="0"/>
    <n v="0"/>
    <n v="0"/>
    <n v="0"/>
    <n v="0"/>
    <n v="0"/>
    <n v="0"/>
    <n v="0"/>
    <n v="10.39"/>
    <n v="0"/>
  </r>
  <r>
    <x v="11"/>
    <x v="3"/>
    <x v="0"/>
    <s v="3502101"/>
    <n v="721020"/>
    <s v="Custom Packs"/>
    <s v="Midwifery"/>
    <x v="0"/>
    <n v="1000"/>
    <n v="258.48"/>
    <n v="231.36"/>
    <n v="219.66"/>
    <n v="125.52"/>
    <n v="125.52"/>
    <n v="282.42"/>
    <n v="212.64"/>
    <n v="125.52"/>
    <n v="146.44"/>
    <n v="292.88"/>
    <n v="219.66"/>
    <n v="251.04"/>
    <n v="2491.14"/>
    <n v="-31.379999999999995"/>
  </r>
  <r>
    <x v="11"/>
    <x v="3"/>
    <x v="0"/>
    <s v="3502101"/>
    <n v="721020"/>
    <s v="Suture/Wound Closure"/>
    <s v="Midwifery"/>
    <x v="0"/>
    <n v="1001"/>
    <n v="53.83"/>
    <n v="6.05"/>
    <n v="65.900000000000006"/>
    <n v="12.1"/>
    <n v="36.770000000000003"/>
    <n v="164.12"/>
    <n v="29.21"/>
    <n v="9.68"/>
    <n v="17.07"/>
    <n v="18.489999999999998"/>
    <n v="8.5399999999999991"/>
    <n v="28"/>
    <n v="449.76"/>
    <n v="-19.46"/>
  </r>
  <r>
    <x v="11"/>
    <x v="3"/>
    <x v="0"/>
    <s v="3502101"/>
    <n v="721240"/>
    <s v="Supplies-IV Solutions/Supplies - Billable"/>
    <s v="Midwifery"/>
    <x v="0"/>
    <m/>
    <n v="207.25"/>
    <n v="98.75"/>
    <n v="108.5"/>
    <n v="34.25"/>
    <n v="9.75"/>
    <n v="326.13"/>
    <n v="64.010000000000005"/>
    <n v="50.25"/>
    <n v="118.93"/>
    <n v="189.88"/>
    <n v="256.22000000000003"/>
    <n v="197.5"/>
    <n v="1661.4199999999998"/>
    <n v="58.720000000000027"/>
  </r>
  <r>
    <x v="11"/>
    <x v="3"/>
    <x v="0"/>
    <s v="3502101"/>
    <n v="721250"/>
    <s v="Supplies-Pharmacy Drugs - Billable"/>
    <s v="Midwifery"/>
    <x v="0"/>
    <m/>
    <n v="0"/>
    <n v="5.41"/>
    <n v="0"/>
    <n v="0"/>
    <n v="10.82"/>
    <n v="0"/>
    <n v="0"/>
    <n v="0"/>
    <n v="5.41"/>
    <n v="0"/>
    <n v="0"/>
    <n v="0"/>
    <n v="21.64"/>
    <n v="0"/>
  </r>
  <r>
    <x v="11"/>
    <x v="3"/>
    <x v="0"/>
    <s v="3502101"/>
    <n v="721410"/>
    <s v="Supplies-Medical - Nonbillable"/>
    <s v="Midwifery"/>
    <x v="0"/>
    <m/>
    <n v="1910.93"/>
    <n v="1393"/>
    <n v="1307.75"/>
    <n v="1029.32"/>
    <n v="613.66"/>
    <n v="1256.31"/>
    <n v="1294.19"/>
    <n v="828.44"/>
    <n v="647.72"/>
    <n v="1900.06"/>
    <n v="822.11"/>
    <n v="1418.23"/>
    <n v="14421.72"/>
    <n v="-596.12"/>
  </r>
  <r>
    <x v="11"/>
    <x v="3"/>
    <x v="0"/>
    <s v="3502101"/>
    <n v="721410"/>
    <s v="Patient Monitoring"/>
    <s v="Midwifery"/>
    <x v="0"/>
    <n v="1000"/>
    <n v="0"/>
    <n v="0"/>
    <n v="0"/>
    <n v="0.45"/>
    <n v="0"/>
    <n v="0"/>
    <n v="0"/>
    <n v="0"/>
    <n v="0"/>
    <n v="0"/>
    <n v="0"/>
    <n v="0"/>
    <n v="0.45"/>
    <n v="0"/>
  </r>
  <r>
    <x v="11"/>
    <x v="3"/>
    <x v="0"/>
    <s v="3502101"/>
    <n v="721420"/>
    <s v="Supplies-Surgical Nonbillable"/>
    <s v="Midwifery"/>
    <x v="0"/>
    <m/>
    <n v="87.05"/>
    <n v="0"/>
    <n v="0.24"/>
    <n v="0.42"/>
    <n v="1.1000000000000001"/>
    <n v="1.27"/>
    <n v="42.71"/>
    <n v="0"/>
    <n v="0"/>
    <n v="0"/>
    <n v="0.42"/>
    <n v="0"/>
    <n v="133.20999999999998"/>
    <n v="0.42"/>
  </r>
  <r>
    <x v="11"/>
    <x v="3"/>
    <x v="0"/>
    <s v="3502101"/>
    <n v="721420"/>
    <s v="Tubes Drains &amp; Related Supplies"/>
    <s v="Midwifery"/>
    <x v="0"/>
    <n v="1008"/>
    <n v="15.46"/>
    <n v="15.46"/>
    <n v="7.73"/>
    <n v="0"/>
    <n v="0"/>
    <n v="21.46"/>
    <n v="0"/>
    <n v="0"/>
    <n v="14.86"/>
    <n v="14.85"/>
    <n v="14.86"/>
    <n v="7.43"/>
    <n v="112.10999999999999"/>
    <n v="7.43"/>
  </r>
  <r>
    <x v="11"/>
    <x v="3"/>
    <x v="0"/>
    <s v="3502101"/>
    <n v="721420"/>
    <s v="Sterilization Process Products"/>
    <s v="Midwifery"/>
    <x v="0"/>
    <n v="1009"/>
    <n v="0"/>
    <n v="31.63"/>
    <n v="0"/>
    <n v="14.89"/>
    <n v="0"/>
    <n v="0"/>
    <n v="0"/>
    <n v="0"/>
    <n v="0"/>
    <n v="0"/>
    <n v="44.67"/>
    <n v="0"/>
    <n v="91.19"/>
    <n v="44.67"/>
  </r>
  <r>
    <x v="11"/>
    <x v="3"/>
    <x v="0"/>
    <s v="3502101"/>
    <n v="721610"/>
    <s v="Supplies-Anesthesia - Nonbillable"/>
    <s v="Midwifery"/>
    <x v="0"/>
    <m/>
    <n v="392.97"/>
    <n v="374.99"/>
    <n v="52.93"/>
    <n v="558.09"/>
    <n v="49.2"/>
    <n v="196.14"/>
    <n v="14.76"/>
    <n v="176.16"/>
    <n v="12.3"/>
    <n v="194.37"/>
    <n v="187.17"/>
    <n v="228.63"/>
    <n v="2437.7100000000005"/>
    <n v="-41.460000000000008"/>
  </r>
  <r>
    <x v="11"/>
    <x v="3"/>
    <x v="0"/>
    <s v="3502101"/>
    <n v="721640"/>
    <s v="Supplies-IV Solutions/Supplies - Nonbillable"/>
    <s v="Midwifery"/>
    <x v="0"/>
    <m/>
    <n v="48"/>
    <n v="57.85"/>
    <n v="101.83"/>
    <n v="84.88"/>
    <n v="10.78"/>
    <n v="106"/>
    <n v="135.13999999999999"/>
    <n v="8.14"/>
    <n v="45.25"/>
    <n v="167.67"/>
    <n v="47.89"/>
    <n v="79.23"/>
    <n v="892.66"/>
    <n v="-31.340000000000003"/>
  </r>
  <r>
    <x v="11"/>
    <x v="3"/>
    <x v="0"/>
    <s v="3502101"/>
    <n v="721650"/>
    <s v="Supplies-Pharmacy Drugs - Nonbillable"/>
    <s v="Midwifery"/>
    <x v="0"/>
    <m/>
    <n v="7.25"/>
    <n v="12.56"/>
    <n v="1.45"/>
    <n v="7.49"/>
    <n v="1.93"/>
    <n v="4.59"/>
    <n v="6.52"/>
    <n v="3.87"/>
    <n v="6.47"/>
    <n v="11.6"/>
    <n v="1.93"/>
    <n v="6.53"/>
    <n v="72.19"/>
    <n v="-4.6000000000000005"/>
  </r>
  <r>
    <x v="11"/>
    <x v="3"/>
    <x v="0"/>
    <s v="3502101"/>
    <n v="721710"/>
    <s v="Supplies-Laboratory - Nonbillable"/>
    <s v="Midwifery"/>
    <x v="0"/>
    <m/>
    <n v="33.26"/>
    <n v="32.29"/>
    <n v="28.54"/>
    <n v="30.27"/>
    <n v="8.52"/>
    <n v="24.4"/>
    <n v="31.98"/>
    <n v="1.74"/>
    <n v="40.04"/>
    <n v="28.86"/>
    <n v="11.68"/>
    <n v="26.55"/>
    <n v="298.13"/>
    <n v="-14.870000000000001"/>
  </r>
  <r>
    <x v="11"/>
    <x v="3"/>
    <x v="0"/>
    <s v="3502101"/>
    <n v="721750"/>
    <s v="Supplies-Film/Radiographic - Nonbillable"/>
    <s v="Midwifery"/>
    <x v="0"/>
    <m/>
    <n v="1.87"/>
    <n v="0.94"/>
    <n v="5.62"/>
    <n v="0"/>
    <n v="0"/>
    <n v="2.81"/>
    <n v="0"/>
    <n v="1.87"/>
    <n v="0"/>
    <n v="2.81"/>
    <n v="1.87"/>
    <n v="4.68"/>
    <n v="22.47"/>
    <n v="-2.8099999999999996"/>
  </r>
  <r>
    <x v="11"/>
    <x v="3"/>
    <x v="0"/>
    <s v="3502101"/>
    <n v="721810"/>
    <s v="Supplies-Dietary/Cafeteria"/>
    <s v="Midwifery"/>
    <x v="0"/>
    <m/>
    <n v="188.03"/>
    <n v="191.29"/>
    <n v="212.03"/>
    <n v="287.8"/>
    <n v="632.33000000000004"/>
    <n v="285.58999999999997"/>
    <n v="64.48"/>
    <n v="362.51"/>
    <n v="142.59"/>
    <n v="431.22"/>
    <n v="224.67"/>
    <n v="285.26"/>
    <n v="3307.8"/>
    <n v="-60.59"/>
  </r>
  <r>
    <x v="11"/>
    <x v="3"/>
    <x v="0"/>
    <s v="3502101"/>
    <n v="721830"/>
    <s v="Supplies-Office"/>
    <s v="Midwifery"/>
    <x v="0"/>
    <m/>
    <n v="83.6"/>
    <n v="0"/>
    <n v="1038.29"/>
    <n v="34.76"/>
    <n v="52.68"/>
    <n v="0"/>
    <n v="1104.25"/>
    <n v="79.930000000000007"/>
    <n v="0"/>
    <n v="54.39"/>
    <n v="414.64"/>
    <n v="18.7"/>
    <n v="2881.2399999999993"/>
    <n v="395.94"/>
  </r>
  <r>
    <x v="11"/>
    <x v="3"/>
    <x v="0"/>
    <s v="3502101"/>
    <n v="721835"/>
    <s v="Supplies-Forms"/>
    <s v="Midwifery"/>
    <x v="0"/>
    <m/>
    <n v="0"/>
    <n v="0"/>
    <n v="0"/>
    <n v="0"/>
    <n v="334.66"/>
    <n v="24.32"/>
    <n v="41.5"/>
    <n v="0"/>
    <n v="53.56"/>
    <n v="62.12"/>
    <n v="28.05"/>
    <n v="271.38"/>
    <n v="815.58999999999992"/>
    <n v="-243.32999999999998"/>
  </r>
  <r>
    <x v="11"/>
    <x v="3"/>
    <x v="0"/>
    <s v="3502101"/>
    <n v="721870"/>
    <s v="Supplies-Environmental Services"/>
    <s v="Midwifery"/>
    <x v="0"/>
    <m/>
    <n v="213.43"/>
    <n v="115.03"/>
    <n v="87.59"/>
    <n v="103.45"/>
    <n v="77.08"/>
    <n v="63.69"/>
    <n v="101.24"/>
    <n v="39.549999999999997"/>
    <n v="66.83"/>
    <n v="75.83"/>
    <n v="37.42"/>
    <n v="57.96"/>
    <n v="1039.1000000000001"/>
    <n v="-20.54"/>
  </r>
  <r>
    <x v="11"/>
    <x v="3"/>
    <x v="0"/>
    <s v="3502101"/>
    <n v="721880"/>
    <s v="Supplies-Linen"/>
    <s v="Midwifery"/>
    <x v="0"/>
    <m/>
    <n v="51.36"/>
    <n v="0"/>
    <n v="0"/>
    <n v="0"/>
    <n v="19.260000000000002"/>
    <n v="0"/>
    <n v="0"/>
    <n v="0"/>
    <n v="0"/>
    <n v="64.2"/>
    <n v="0"/>
    <n v="0"/>
    <n v="134.82"/>
    <n v="0"/>
  </r>
  <r>
    <x v="11"/>
    <x v="3"/>
    <x v="0"/>
    <s v="3502101"/>
    <n v="721910"/>
    <s v="Supplies-Small Equipment"/>
    <s v="Midwifery"/>
    <x v="0"/>
    <m/>
    <n v="75.650000000000006"/>
    <n v="84.85"/>
    <n v="12.69"/>
    <n v="41.12"/>
    <n v="264.24"/>
    <n v="2667.41"/>
    <n v="911.53"/>
    <n v="97.92"/>
    <n v="335.73"/>
    <n v="-41.12"/>
    <n v="0"/>
    <n v="65.31"/>
    <n v="4515.33"/>
    <n v="-65.31"/>
  </r>
  <r>
    <x v="11"/>
    <x v="3"/>
    <x v="0"/>
    <s v="3502101"/>
    <n v="721910"/>
    <s v="Instruments"/>
    <s v="Midwifery"/>
    <x v="0"/>
    <n v="1000"/>
    <n v="15.6"/>
    <n v="15.6"/>
    <n v="28.13"/>
    <n v="0"/>
    <n v="0"/>
    <n v="57.37"/>
    <n v="1.46"/>
    <n v="15.6"/>
    <n v="0"/>
    <n v="39.01"/>
    <n v="0"/>
    <n v="27.31"/>
    <n v="200.07999999999998"/>
    <n v="-27.31"/>
  </r>
  <r>
    <x v="11"/>
    <x v="3"/>
    <x v="0"/>
    <s v="3502101"/>
    <n v="721980"/>
    <s v="Supplies-Other"/>
    <s v="Midwifery"/>
    <x v="0"/>
    <m/>
    <n v="0"/>
    <n v="0"/>
    <n v="0"/>
    <n v="-336"/>
    <n v="2229.36"/>
    <n v="0"/>
    <n v="99.22"/>
    <n v="0"/>
    <n v="439.79"/>
    <n v="0"/>
    <n v="0"/>
    <n v="0"/>
    <n v="2432.3700000000003"/>
    <n v="0"/>
  </r>
  <r>
    <x v="11"/>
    <x v="3"/>
    <x v="0"/>
    <s v="3502101"/>
    <n v="722000"/>
    <s v="Supplies-Freight Expense"/>
    <s v="Midwifery"/>
    <x v="0"/>
    <m/>
    <n v="-17.170000000000002"/>
    <n v="30.32"/>
    <n v="56.22"/>
    <n v="0"/>
    <n v="33.43"/>
    <n v="0"/>
    <n v="0"/>
    <n v="16.579999999999998"/>
    <n v="45.95"/>
    <n v="0"/>
    <n v="37.869999999999997"/>
    <n v="23.15"/>
    <n v="226.35000000000002"/>
    <n v="14.719999999999999"/>
  </r>
  <r>
    <x v="12"/>
    <x v="3"/>
    <x v="0"/>
    <s v="3502101"/>
    <n v="730010"/>
    <s v="Rental and Leases-Building (DO NOT USE)"/>
    <s v="Midwifery"/>
    <x v="0"/>
    <m/>
    <n v="13682.13"/>
    <n v="13682.13"/>
    <n v="13682.13"/>
    <n v="13682.13"/>
    <n v="13682.13"/>
    <n v="-23865.75"/>
    <n v="7424.15"/>
    <n v="7424.15"/>
    <n v="7424.15"/>
    <n v="7424.15"/>
    <n v="7430.34"/>
    <n v="0"/>
    <n v="81671.839999999982"/>
    <n v="7430.34"/>
  </r>
  <r>
    <x v="12"/>
    <x v="3"/>
    <x v="0"/>
    <s v="3502101"/>
    <n v="730010"/>
    <s v="Rental-Common Area Maint (DO NOT USE)"/>
    <s v="Midwifery"/>
    <x v="0"/>
    <n v="2200"/>
    <n v="0"/>
    <n v="0"/>
    <n v="0"/>
    <n v="0"/>
    <n v="0"/>
    <n v="37420.129999999997"/>
    <n v="6130.23"/>
    <n v="6130.23"/>
    <n v="4066.89"/>
    <n v="6130.23"/>
    <n v="6130.23"/>
    <n v="0"/>
    <n v="66007.939999999988"/>
    <n v="6130.23"/>
  </r>
  <r>
    <x v="12"/>
    <x v="3"/>
    <x v="0"/>
    <s v="3502101"/>
    <n v="730020"/>
    <s v="Rental and Leases-Copier Usage Fees (DO NOT USE)"/>
    <s v="Midwifery"/>
    <x v="0"/>
    <n v="5100"/>
    <n v="102.1"/>
    <n v="105.56"/>
    <n v="103.83"/>
    <n v="103.83"/>
    <n v="103.83"/>
    <n v="103.83"/>
    <n v="442.56"/>
    <n v="101.09"/>
    <n v="100.88"/>
    <n v="101.3"/>
    <n v="101.09"/>
    <n v="144.76"/>
    <n v="1614.6599999999996"/>
    <n v="-43.669999999999987"/>
  </r>
  <r>
    <x v="12"/>
    <x v="3"/>
    <x v="0"/>
    <s v="3502101"/>
    <n v="730040"/>
    <s v="LT Lease-Real Estate"/>
    <s v="Midwifery"/>
    <x v="0"/>
    <m/>
    <n v="0"/>
    <n v="0"/>
    <n v="0"/>
    <n v="0"/>
    <n v="0"/>
    <n v="0"/>
    <n v="0"/>
    <n v="0"/>
    <n v="0"/>
    <n v="0"/>
    <n v="0"/>
    <n v="13739.97"/>
    <n v="13739.97"/>
    <n v="-13739.97"/>
  </r>
  <r>
    <x v="15"/>
    <x v="3"/>
    <x v="0"/>
    <s v="3502101"/>
    <n v="731060"/>
    <s v="Cell Phones"/>
    <s v="Midwifery"/>
    <x v="0"/>
    <n v="1001"/>
    <n v="0"/>
    <n v="54.67"/>
    <n v="26.81"/>
    <n v="0"/>
    <n v="26.93"/>
    <n v="27.5"/>
    <n v="174.87"/>
    <n v="0"/>
    <n v="85.35"/>
    <n v="160.38999999999999"/>
    <n v="77.8"/>
    <n v="79.03"/>
    <n v="713.34999999999991"/>
    <n v="-1.230000000000004"/>
  </r>
  <r>
    <x v="13"/>
    <x v="3"/>
    <x v="0"/>
    <s v="3502101"/>
    <n v="735070"/>
    <s v="Depreciation-Movable Equipment"/>
    <s v="Midwifery"/>
    <x v="0"/>
    <m/>
    <n v="2661.72"/>
    <n v="2661.72"/>
    <n v="2661.72"/>
    <n v="2661.72"/>
    <n v="2661.72"/>
    <n v="2661.71"/>
    <n v="2661.72"/>
    <n v="2661.71"/>
    <n v="2661.72"/>
    <n v="2661.7"/>
    <n v="2661.73"/>
    <n v="2661.7"/>
    <n v="31940.59"/>
    <n v="3.0000000000200089E-2"/>
  </r>
  <r>
    <x v="0"/>
    <x v="3"/>
    <x v="0"/>
    <s v="3502101"/>
    <n v="740020"/>
    <s v="Education-Registration Fees"/>
    <s v="Midwifery"/>
    <x v="0"/>
    <m/>
    <n v="0"/>
    <n v="0"/>
    <n v="0"/>
    <n v="175"/>
    <n v="175"/>
    <n v="0"/>
    <n v="0"/>
    <n v="741.6"/>
    <n v="350"/>
    <n v="175"/>
    <n v="0"/>
    <n v="0"/>
    <n v="1616.6"/>
    <n v="0"/>
  </r>
  <r>
    <x v="0"/>
    <x v="3"/>
    <x v="0"/>
    <s v="3502101"/>
    <n v="742040"/>
    <s v="Freight-Other"/>
    <s v="Midwifery"/>
    <x v="0"/>
    <m/>
    <n v="0"/>
    <n v="0"/>
    <n v="0"/>
    <n v="0"/>
    <n v="0"/>
    <n v="0"/>
    <n v="0"/>
    <n v="0"/>
    <n v="0"/>
    <n v="0"/>
    <n v="0"/>
    <n v="44.33"/>
    <n v="44.33"/>
    <n v="-44.33"/>
  </r>
  <r>
    <x v="0"/>
    <x v="3"/>
    <x v="0"/>
    <s v="3502101"/>
    <n v="743030"/>
    <s v="Subscriptions--Institutional"/>
    <s v="Midwifery"/>
    <x v="0"/>
    <m/>
    <n v="0"/>
    <n v="0"/>
    <n v="0"/>
    <n v="0"/>
    <n v="0"/>
    <n v="0"/>
    <n v="0"/>
    <n v="0"/>
    <n v="6534.5"/>
    <n v="-6534.5"/>
    <n v="0"/>
    <n v="0"/>
    <n v="0"/>
    <n v="0"/>
  </r>
  <r>
    <x v="0"/>
    <x v="3"/>
    <x v="0"/>
    <s v="3502101"/>
    <n v="749510"/>
    <s v="Miscellaneous Expenses"/>
    <s v="Midwifery"/>
    <x v="0"/>
    <m/>
    <n v="0"/>
    <n v="3227.05"/>
    <n v="0"/>
    <n v="0"/>
    <n v="0"/>
    <n v="0"/>
    <n v="213.41"/>
    <n v="-175"/>
    <n v="326.75"/>
    <n v="27.17"/>
    <n v="0"/>
    <n v="-44.33"/>
    <n v="3575.05"/>
    <n v="44.33"/>
  </r>
  <r>
    <x v="0"/>
    <x v="3"/>
    <x v="0"/>
    <s v="3502101"/>
    <n v="749510"/>
    <s v="Licenses"/>
    <s v="Midwifery"/>
    <x v="0"/>
    <n v="1002"/>
    <n v="330"/>
    <n v="0"/>
    <n v="0"/>
    <n v="0"/>
    <n v="0"/>
    <n v="0"/>
    <n v="0"/>
    <n v="0"/>
    <n v="0"/>
    <n v="0"/>
    <n v="0"/>
    <n v="0"/>
    <n v="330"/>
    <n v="0"/>
  </r>
  <r>
    <x v="18"/>
    <x v="3"/>
    <x v="0"/>
    <s v="3800101"/>
    <n v="400010"/>
    <s v="Acute I/P Svcs Rev--Medicare"/>
    <s v="Emergency Services"/>
    <x v="0"/>
    <n v="1100"/>
    <n v="-2587492.7200000002"/>
    <n v="-2800137.86"/>
    <n v="-2657999.41"/>
    <n v="-2922009.99"/>
    <n v="-2848769.61"/>
    <n v="-2603274.4500000002"/>
    <n v="-2970094.82"/>
    <n v="-2722320.94"/>
    <n v="-3287055.24"/>
    <n v="-2879039.54"/>
    <n v="-2905522.56"/>
    <n v="-2444658.1800000002"/>
    <n v="-33628375.32"/>
    <n v="-460864.37999999989"/>
  </r>
  <r>
    <x v="18"/>
    <x v="3"/>
    <x v="0"/>
    <s v="3800101"/>
    <n v="400010"/>
    <s v="Acute I/P Svcs Rev--Medicaid"/>
    <s v="Emergency Services"/>
    <x v="0"/>
    <n v="1200"/>
    <n v="-1108274.3600000001"/>
    <n v="-1163429.73"/>
    <n v="-1009648.63"/>
    <n v="-1085091.6100000001"/>
    <n v="-1082812.1100000001"/>
    <n v="-1182087.08"/>
    <n v="-1115088.6100000001"/>
    <n v="-1126615.6599999999"/>
    <n v="-1225563.04"/>
    <n v="-1084948.27"/>
    <n v="-1230720.78"/>
    <n v="-1261517.99"/>
    <n v="-13675797.870000001"/>
    <n v="30797.209999999963"/>
  </r>
  <r>
    <x v="18"/>
    <x v="3"/>
    <x v="0"/>
    <s v="3800101"/>
    <n v="400010"/>
    <s v="Acute I/P Svcs Rev--Comm Insurance"/>
    <s v="Emergency Services"/>
    <x v="0"/>
    <n v="1300"/>
    <n v="-119106.83"/>
    <n v="306.05"/>
    <n v="-127860.43"/>
    <n v="-106504.92"/>
    <n v="-60595.68"/>
    <n v="-92414.92"/>
    <n v="-57216.9"/>
    <n v="-56985.21"/>
    <n v="-84887.01"/>
    <n v="-71438.61"/>
    <n v="-81269.81"/>
    <n v="-74926.31"/>
    <n v="-932900.58000000007"/>
    <n v="-6343.5"/>
  </r>
  <r>
    <x v="18"/>
    <x v="3"/>
    <x v="0"/>
    <s v="3800101"/>
    <n v="400010"/>
    <s v="Acute I/P Svcs Rev--BCBS Comm"/>
    <s v="Emergency Services"/>
    <x v="0"/>
    <n v="1301"/>
    <n v="-105049.96"/>
    <n v="-161960.49"/>
    <n v="-161788.47"/>
    <n v="-134427.04"/>
    <n v="-96588.35"/>
    <n v="-133790.04999999999"/>
    <n v="-203859.96"/>
    <n v="-122892.66"/>
    <n v="-96114.09"/>
    <n v="-134488.01"/>
    <n v="-164897.57"/>
    <n v="-170847.67"/>
    <n v="-1686704.32"/>
    <n v="5950.1000000000058"/>
  </r>
  <r>
    <x v="18"/>
    <x v="3"/>
    <x v="0"/>
    <s v="3800101"/>
    <n v="400010"/>
    <s v="Acute I/P Svcs Rev--Managed Care"/>
    <s v="Emergency Services"/>
    <x v="0"/>
    <n v="1400"/>
    <n v="-592533.72"/>
    <n v="-619918.25"/>
    <n v="-621878.67000000004"/>
    <n v="-574583.31999999995"/>
    <n v="-546748.01"/>
    <n v="-723598.48"/>
    <n v="-760805.64"/>
    <n v="-663885.19999999995"/>
    <n v="-645581.05000000005"/>
    <n v="-582970.84"/>
    <n v="-695954.37"/>
    <n v="-515673.54"/>
    <n v="-7544131.0899999999"/>
    <n v="-180280.83000000002"/>
  </r>
  <r>
    <x v="18"/>
    <x v="3"/>
    <x v="0"/>
    <s v="3800101"/>
    <n v="400010"/>
    <s v="Acute I/P Svcs Rev--Self Pay"/>
    <s v="Emergency Services"/>
    <x v="0"/>
    <n v="1500"/>
    <n v="-93983.679999999993"/>
    <n v="-111774.39"/>
    <n v="-149660.15"/>
    <n v="-41648.07"/>
    <n v="-123015.13"/>
    <n v="-21060.39"/>
    <n v="-99473.62"/>
    <n v="-41322.550000000003"/>
    <n v="-96770.09"/>
    <n v="4438.46"/>
    <n v="-85909.69"/>
    <n v="-61259.01"/>
    <n v="-921438.31"/>
    <n v="-24650.68"/>
  </r>
  <r>
    <x v="18"/>
    <x v="3"/>
    <x v="0"/>
    <s v="3800101"/>
    <n v="400010"/>
    <s v="Acute I/P Svcs Rev--Other"/>
    <s v="Emergency Services"/>
    <x v="0"/>
    <n v="1700"/>
    <n v="-88030.94"/>
    <n v="-251619.01"/>
    <n v="-223642.35"/>
    <n v="-103765.96"/>
    <n v="-221608.07"/>
    <n v="-220775.52"/>
    <n v="-181365.1"/>
    <n v="-211468.51"/>
    <n v="-215299.27"/>
    <n v="-123356.52"/>
    <n v="-193376.8"/>
    <n v="-219279.68"/>
    <n v="-2253587.7300000004"/>
    <n v="25902.880000000005"/>
  </r>
  <r>
    <x v="19"/>
    <x v="3"/>
    <x v="0"/>
    <s v="3800101"/>
    <n v="400020"/>
    <s v="O/P Care Svcs Rev--Medicare"/>
    <s v="Emergency Services"/>
    <x v="0"/>
    <n v="1100"/>
    <n v="-3027875.9"/>
    <n v="-3298809.03"/>
    <n v="-2641865.34"/>
    <n v="-3140067.09"/>
    <n v="-2839336.32"/>
    <n v="-3085665.48"/>
    <n v="-3185213.39"/>
    <n v="-2457670.27"/>
    <n v="-3330572.05"/>
    <n v="-3076080.09"/>
    <n v="-3000173.6"/>
    <n v="-2895503.1"/>
    <n v="-35978831.660000004"/>
    <n v="-104670.5"/>
  </r>
  <r>
    <x v="19"/>
    <x v="3"/>
    <x v="0"/>
    <s v="3800101"/>
    <n v="400020"/>
    <s v="O/P Care Svcs Rev--Medicaid"/>
    <s v="Emergency Services"/>
    <x v="0"/>
    <n v="1200"/>
    <n v="-3343846.39"/>
    <n v="-3679937.84"/>
    <n v="-3179773.71"/>
    <n v="-3624275.91"/>
    <n v="-3231399.3"/>
    <n v="-3472819.99"/>
    <n v="-3513388.76"/>
    <n v="-2998375.14"/>
    <n v="-3358711.15"/>
    <n v="-3169663.97"/>
    <n v="-3409690.24"/>
    <n v="-3248844.7999999998"/>
    <n v="-40230727.199999996"/>
    <n v="-160845.44000000041"/>
  </r>
  <r>
    <x v="19"/>
    <x v="3"/>
    <x v="0"/>
    <s v="3800101"/>
    <n v="400020"/>
    <s v="O/P Care Svcs Rev--Comm Insurance"/>
    <s v="Emergency Services"/>
    <x v="0"/>
    <n v="1300"/>
    <n v="-287522.98"/>
    <n v="-148214.54"/>
    <n v="-280331.38"/>
    <n v="-223529.14"/>
    <n v="-349530.58"/>
    <n v="-372009.21"/>
    <n v="-146162.41"/>
    <n v="-209864.87"/>
    <n v="-227209.68"/>
    <n v="-266962.33"/>
    <n v="-296429.17"/>
    <n v="-298836.31"/>
    <n v="-3106602.6"/>
    <n v="2407.140000000014"/>
  </r>
  <r>
    <x v="19"/>
    <x v="3"/>
    <x v="0"/>
    <s v="3800101"/>
    <n v="400020"/>
    <s v="O/P Care Svcs Rev--BCBS Comm"/>
    <s v="Emergency Services"/>
    <x v="0"/>
    <n v="1301"/>
    <n v="-375078.46"/>
    <n v="-463348.12"/>
    <n v="-368429.74"/>
    <n v="-427661.15"/>
    <n v="-429682.82"/>
    <n v="-336409.19"/>
    <n v="-503595.31"/>
    <n v="-394578.54"/>
    <n v="-437529.77"/>
    <n v="-513608.7"/>
    <n v="-483382.26"/>
    <n v="-344127.24"/>
    <n v="-5077431.3000000007"/>
    <n v="-139255.02000000002"/>
  </r>
  <r>
    <x v="19"/>
    <x v="3"/>
    <x v="0"/>
    <s v="3800101"/>
    <n v="400020"/>
    <s v="O/P Care Svcs Rev--Managed Care"/>
    <s v="Emergency Services"/>
    <x v="0"/>
    <n v="1400"/>
    <n v="-1444385.17"/>
    <n v="-1759297.1"/>
    <n v="-1487714.1"/>
    <n v="-1668111.17"/>
    <n v="-1412149.74"/>
    <n v="-1622627.7"/>
    <n v="-1747879.9"/>
    <n v="-1314712.44"/>
    <n v="-1567660.19"/>
    <n v="-1599155.55"/>
    <n v="-1577022.53"/>
    <n v="-1397506.28"/>
    <n v="-18598221.870000001"/>
    <n v="-179516.25"/>
  </r>
  <r>
    <x v="19"/>
    <x v="3"/>
    <x v="0"/>
    <s v="3800101"/>
    <n v="400020"/>
    <s v="O/P Care Svcs Rev--Self Pay"/>
    <s v="Emergency Services"/>
    <x v="0"/>
    <n v="1500"/>
    <n v="-559595.82999999996"/>
    <n v="-676385.63"/>
    <n v="-656860.77"/>
    <n v="-559465.9"/>
    <n v="-493086.94"/>
    <n v="-442003.39"/>
    <n v="-433071.57"/>
    <n v="-463532.64"/>
    <n v="-481085.14"/>
    <n v="-472892.93"/>
    <n v="-392582.56"/>
    <n v="-567555.77"/>
    <n v="-6198119.0699999984"/>
    <n v="174973.21000000002"/>
  </r>
  <r>
    <x v="19"/>
    <x v="3"/>
    <x v="0"/>
    <s v="3800101"/>
    <n v="400020"/>
    <s v="O/P Care Svcs Rev--Other"/>
    <s v="Emergency Services"/>
    <x v="0"/>
    <n v="1700"/>
    <n v="-563596.27"/>
    <n v="-442006.15"/>
    <n v="-665338.93000000005"/>
    <n v="-529934.41"/>
    <n v="-645227.86"/>
    <n v="-518341.92"/>
    <n v="-498231.35"/>
    <n v="-502976.96"/>
    <n v="-524604.38"/>
    <n v="-397942.82"/>
    <n v="-479294.88"/>
    <n v="-421246.21"/>
    <n v="-6188742.1400000006"/>
    <n v="-58048.669999999984"/>
  </r>
  <r>
    <x v="14"/>
    <x v="3"/>
    <x v="0"/>
    <s v="3800101"/>
    <n v="600050"/>
    <s v="Miscellaneous Revenue"/>
    <s v="Emergency Services"/>
    <x v="0"/>
    <m/>
    <n v="0"/>
    <n v="0"/>
    <n v="0"/>
    <n v="0"/>
    <n v="0"/>
    <n v="0"/>
    <n v="0"/>
    <n v="0"/>
    <n v="0"/>
    <n v="0"/>
    <n v="-3133.33"/>
    <n v="0"/>
    <n v="-3133.33"/>
    <n v="-3133.33"/>
  </r>
  <r>
    <x v="5"/>
    <x v="3"/>
    <x v="0"/>
    <s v="3800101"/>
    <n v="700014"/>
    <s v="Salaries-Management-Productive"/>
    <s v="Emergency Services"/>
    <x v="0"/>
    <m/>
    <n v="25070.04"/>
    <n v="28453.279999999999"/>
    <n v="29664.09"/>
    <n v="27386.61"/>
    <n v="34105.1"/>
    <n v="22285.09"/>
    <n v="29523.41"/>
    <n v="27963.06"/>
    <n v="24188.93"/>
    <n v="29902.28"/>
    <n v="34117.410000000003"/>
    <n v="28749.24"/>
    <n v="341408.54000000004"/>
    <n v="5368.1700000000019"/>
  </r>
  <r>
    <x v="5"/>
    <x v="3"/>
    <x v="0"/>
    <s v="3800101"/>
    <n v="700014"/>
    <s v="Salaries-Management-Other"/>
    <s v="Emergency Services"/>
    <x v="0"/>
    <n v="2000"/>
    <n v="2690.3"/>
    <n v="1107.1500000000001"/>
    <n v="1071.45"/>
    <n v="1107.1500000000001"/>
    <n v="1071.4000000000001"/>
    <n v="1107.1500000000001"/>
    <n v="1108.8699999999999"/>
    <n v="1001.46"/>
    <n v="1108.76"/>
    <n v="1072.97"/>
    <n v="1108.76"/>
    <n v="1073.02"/>
    <n v="14628.44"/>
    <n v="35.740000000000009"/>
  </r>
  <r>
    <x v="5"/>
    <x v="3"/>
    <x v="0"/>
    <s v="3800101"/>
    <n v="700026"/>
    <s v="Salaries-RN-Productive"/>
    <s v="Emergency Services"/>
    <x v="0"/>
    <m/>
    <n v="294713.96999999997"/>
    <n v="305804.71999999997"/>
    <n v="289770.61"/>
    <n v="314408.76"/>
    <n v="320068.74"/>
    <n v="323730.13"/>
    <n v="319429.82"/>
    <n v="287186.87"/>
    <n v="322075.5"/>
    <n v="310861.38"/>
    <n v="319315.26"/>
    <n v="292411.53999999998"/>
    <n v="3699777.3"/>
    <n v="26903.72000000003"/>
  </r>
  <r>
    <x v="5"/>
    <x v="3"/>
    <x v="0"/>
    <s v="3800101"/>
    <n v="700026"/>
    <s v="Salaries-RN-OT"/>
    <s v="Emergency Services"/>
    <x v="0"/>
    <n v="1000"/>
    <n v="3243.43"/>
    <n v="1835.66"/>
    <n v="1838.3"/>
    <n v="4536.93"/>
    <n v="7744.7"/>
    <n v="4274.2"/>
    <n v="3582.22"/>
    <n v="5742.17"/>
    <n v="4828.1400000000003"/>
    <n v="4360.9399999999996"/>
    <n v="6042.66"/>
    <n v="1992.72"/>
    <n v="50022.070000000007"/>
    <n v="4049.9399999999996"/>
  </r>
  <r>
    <x v="5"/>
    <x v="3"/>
    <x v="0"/>
    <s v="3800101"/>
    <n v="700026"/>
    <s v="Salaries-RN-Other"/>
    <s v="Emergency Services"/>
    <x v="0"/>
    <n v="2000"/>
    <n v="28142.240000000002"/>
    <n v="30008.95"/>
    <n v="25873.61"/>
    <n v="28686.59"/>
    <n v="30225.66"/>
    <n v="29502.01"/>
    <n v="29242.21"/>
    <n v="27257.45"/>
    <n v="30613.919999999998"/>
    <n v="30243.52"/>
    <n v="31943.65"/>
    <n v="26417.57"/>
    <n v="348157.38000000006"/>
    <n v="5526.0800000000017"/>
  </r>
  <r>
    <x v="5"/>
    <x v="3"/>
    <x v="0"/>
    <s v="3800101"/>
    <n v="700032"/>
    <s v="Salaries-Other Pat Care Providers-Productive"/>
    <s v="Emergency Services"/>
    <x v="0"/>
    <m/>
    <n v="53744.32"/>
    <n v="60864.71"/>
    <n v="58251.42"/>
    <n v="58741.72"/>
    <n v="61946.39"/>
    <n v="64183.83"/>
    <n v="67004.19"/>
    <n v="57194.18"/>
    <n v="70252.89"/>
    <n v="62262.06"/>
    <n v="67857.48"/>
    <n v="60990.67"/>
    <n v="743293.86"/>
    <n v="6866.8099999999977"/>
  </r>
  <r>
    <x v="5"/>
    <x v="3"/>
    <x v="0"/>
    <s v="3800101"/>
    <n v="700032"/>
    <s v="Salaries-Other Pat Care Providers-OT"/>
    <s v="Emergency Services"/>
    <x v="0"/>
    <n v="1000"/>
    <n v="4132.93"/>
    <n v="805.27"/>
    <n v="1908.21"/>
    <n v="2794.44"/>
    <n v="3602.57"/>
    <n v="794.75"/>
    <n v="2424.7600000000002"/>
    <n v="6607.3"/>
    <n v="1855.34"/>
    <n v="2136.39"/>
    <n v="1143.1500000000001"/>
    <n v="3200.99"/>
    <n v="31406.1"/>
    <n v="-2057.8399999999997"/>
  </r>
  <r>
    <x v="5"/>
    <x v="3"/>
    <x v="0"/>
    <s v="3800101"/>
    <n v="700032"/>
    <s v="Salaries-Other Pat Care Providers-Other"/>
    <s v="Emergency Services"/>
    <x v="0"/>
    <n v="2000"/>
    <n v="5243.08"/>
    <n v="4969.04"/>
    <n v="4443.76"/>
    <n v="4542.53"/>
    <n v="4573.33"/>
    <n v="4766.2299999999996"/>
    <n v="4963.67"/>
    <n v="4518.1400000000003"/>
    <n v="5214.17"/>
    <n v="4581.4799999999996"/>
    <n v="5771.2"/>
    <n v="5218.3599999999997"/>
    <n v="58804.989999999991"/>
    <n v="552.84000000000015"/>
  </r>
  <r>
    <x v="5"/>
    <x v="3"/>
    <x v="0"/>
    <s v="3800101"/>
    <n v="700034"/>
    <s v="Salaries-Tech/Professional-Productive"/>
    <s v="Emergency Services"/>
    <x v="0"/>
    <m/>
    <n v="243.71"/>
    <n v="202.19"/>
    <n v="46.99"/>
    <n v="-35.159999999999997"/>
    <n v="0"/>
    <n v="29.72"/>
    <n v="930.14"/>
    <n v="-244.73"/>
    <n v="71.540000000000006"/>
    <n v="0"/>
    <n v="468.31"/>
    <n v="366.1"/>
    <n v="2078.81"/>
    <n v="102.20999999999998"/>
  </r>
  <r>
    <x v="5"/>
    <x v="3"/>
    <x v="0"/>
    <s v="3800101"/>
    <n v="700034"/>
    <s v="Salaries-Tech/Professional-OT"/>
    <s v="Emergency Services"/>
    <x v="0"/>
    <n v="1000"/>
    <n v="45.7"/>
    <n v="-8.06"/>
    <n v="0"/>
    <n v="0"/>
    <n v="0"/>
    <n v="0"/>
    <n v="52.16"/>
    <n v="-13.71"/>
    <n v="0"/>
    <n v="0"/>
    <n v="46.16"/>
    <n v="10.24"/>
    <n v="132.49"/>
    <n v="35.919999999999995"/>
  </r>
  <r>
    <x v="5"/>
    <x v="3"/>
    <x v="0"/>
    <s v="3800101"/>
    <n v="700034"/>
    <s v="Salaries-Tech/Professional-Other"/>
    <s v="Emergency Services"/>
    <x v="0"/>
    <n v="2000"/>
    <n v="0"/>
    <n v="16.71"/>
    <n v="5.42"/>
    <n v="-3.13"/>
    <n v="0"/>
    <n v="5.5"/>
    <n v="72.87"/>
    <n v="-19.16"/>
    <n v="5.25"/>
    <n v="0"/>
    <n v="90.28"/>
    <n v="-7.5"/>
    <n v="166.24"/>
    <n v="97.78"/>
  </r>
  <r>
    <x v="5"/>
    <x v="3"/>
    <x v="0"/>
    <s v="3800101"/>
    <n v="700038"/>
    <s v="Salaries-Service/Support-Productive"/>
    <s v="Emergency Services"/>
    <x v="0"/>
    <m/>
    <n v="19383.259999999998"/>
    <n v="20832.18"/>
    <n v="21482"/>
    <n v="23158.76"/>
    <n v="23184.1"/>
    <n v="21062.21"/>
    <n v="21979.45"/>
    <n v="19245.439999999999"/>
    <n v="23523.26"/>
    <n v="19030.48"/>
    <n v="25036.95"/>
    <n v="22125.78"/>
    <n v="260043.87000000002"/>
    <n v="2911.1700000000019"/>
  </r>
  <r>
    <x v="5"/>
    <x v="3"/>
    <x v="0"/>
    <s v="3800101"/>
    <n v="700038"/>
    <s v="Salaries-Service/Support-OT"/>
    <s v="Emergency Services"/>
    <x v="0"/>
    <n v="1000"/>
    <n v="89.98"/>
    <n v="495.48"/>
    <n v="10.34"/>
    <n v="291.88"/>
    <n v="416.83"/>
    <n v="203.17"/>
    <n v="507"/>
    <n v="-97.63"/>
    <n v="73.400000000000006"/>
    <n v="-3.97"/>
    <n v="856.58"/>
    <n v="-264.48"/>
    <n v="2578.5800000000004"/>
    <n v="1121.06"/>
  </r>
  <r>
    <x v="5"/>
    <x v="3"/>
    <x v="0"/>
    <s v="3800101"/>
    <n v="700038"/>
    <s v="Salaries-Service/Support-Other"/>
    <s v="Emergency Services"/>
    <x v="0"/>
    <n v="2000"/>
    <n v="891.8"/>
    <n v="903.74"/>
    <n v="702.21"/>
    <n v="886.67"/>
    <n v="875.22"/>
    <n v="877.82"/>
    <n v="841.84"/>
    <n v="654.29999999999995"/>
    <n v="796.09"/>
    <n v="679.54"/>
    <n v="760.55"/>
    <n v="723.86"/>
    <n v="9593.6400000000012"/>
    <n v="36.689999999999941"/>
  </r>
  <r>
    <x v="5"/>
    <x v="3"/>
    <x v="0"/>
    <s v="3800101"/>
    <n v="700054"/>
    <s v="Salaries-Management-Non-productive"/>
    <s v="Emergency Services"/>
    <x v="0"/>
    <m/>
    <n v="8192.5400000000009"/>
    <n v="4934.8"/>
    <n v="2647.43"/>
    <n v="6812.9"/>
    <n v="-821.41"/>
    <n v="12109.19"/>
    <n v="4924.5600000000004"/>
    <n v="3148.12"/>
    <n v="10255.799999999999"/>
    <n v="3430.27"/>
    <n v="327.33999999999997"/>
    <n v="4584.83"/>
    <n v="60546.369999999988"/>
    <n v="-4257.49"/>
  </r>
  <r>
    <x v="5"/>
    <x v="3"/>
    <x v="0"/>
    <s v="3800101"/>
    <n v="700054"/>
    <s v="Salaries-Management-NonProd-Other"/>
    <s v="Emergency Services"/>
    <x v="0"/>
    <n v="2000"/>
    <n v="0"/>
    <n v="0"/>
    <n v="0"/>
    <n v="0"/>
    <n v="0"/>
    <n v="10642.88"/>
    <n v="-10642.88"/>
    <n v="0"/>
    <n v="0"/>
    <n v="0"/>
    <n v="0"/>
    <n v="0"/>
    <n v="0"/>
    <n v="0"/>
  </r>
  <r>
    <x v="5"/>
    <x v="3"/>
    <x v="0"/>
    <s v="3800101"/>
    <n v="700066"/>
    <s v="Salaries-RN-Non-productive"/>
    <s v="Emergency Services"/>
    <x v="0"/>
    <m/>
    <n v="73276.710000000006"/>
    <n v="66889.63"/>
    <n v="59242.84"/>
    <n v="37819.699999999997"/>
    <n v="50314.51"/>
    <n v="60738.33"/>
    <n v="47477.34"/>
    <n v="53794.38"/>
    <n v="39924.199999999997"/>
    <n v="39903.58"/>
    <n v="52302.400000000001"/>
    <n v="53487.86"/>
    <n v="635171.4800000001"/>
    <n v="-1185.4599999999991"/>
  </r>
  <r>
    <x v="5"/>
    <x v="3"/>
    <x v="0"/>
    <s v="3800101"/>
    <n v="700066"/>
    <s v="Salaries-RN-NonProd-Other"/>
    <s v="Emergency Services"/>
    <x v="0"/>
    <n v="2000"/>
    <n v="5199.4799999999996"/>
    <n v="3480.64"/>
    <n v="4318.67"/>
    <n v="2300.64"/>
    <n v="5468.9"/>
    <n v="5097.99"/>
    <n v="2741.51"/>
    <n v="28757.17"/>
    <n v="2159.58"/>
    <n v="1816.09"/>
    <n v="3175.82"/>
    <n v="3755.72"/>
    <n v="68272.209999999992"/>
    <n v="-579.89999999999964"/>
  </r>
  <r>
    <x v="5"/>
    <x v="3"/>
    <x v="0"/>
    <s v="3800101"/>
    <n v="700072"/>
    <s v="Salaries-Other Pat Care Providers-Non-productive"/>
    <s v="Emergency Services"/>
    <x v="0"/>
    <m/>
    <n v="14644.94"/>
    <n v="3191.48"/>
    <n v="8876.26"/>
    <n v="6694.09"/>
    <n v="8525.59"/>
    <n v="6078.85"/>
    <n v="7665.78"/>
    <n v="6295.44"/>
    <n v="5223.9799999999996"/>
    <n v="6180.6"/>
    <n v="7995.35"/>
    <n v="10929.82"/>
    <n v="92302.180000000022"/>
    <n v="-2934.4699999999993"/>
  </r>
  <r>
    <x v="5"/>
    <x v="3"/>
    <x v="0"/>
    <s v="3800101"/>
    <n v="700072"/>
    <s v="Salaries-Other Pat Care Providers-NonProd-Other"/>
    <s v="Emergency Services"/>
    <x v="0"/>
    <n v="2000"/>
    <n v="815.14"/>
    <n v="250.64"/>
    <n v="615.63"/>
    <n v="317.86"/>
    <n v="1951.03"/>
    <n v="2263.06"/>
    <n v="478.87"/>
    <n v="-2973.26"/>
    <n v="176.14"/>
    <n v="419.84"/>
    <n v="443.55"/>
    <n v="636.01"/>
    <n v="5394.51"/>
    <n v="-192.45999999999998"/>
  </r>
  <r>
    <x v="5"/>
    <x v="3"/>
    <x v="0"/>
    <s v="3800101"/>
    <n v="700078"/>
    <s v="Salaries-Service/Support-Non-productive"/>
    <s v="Emergency Services"/>
    <x v="0"/>
    <m/>
    <n v="3049.55"/>
    <n v="4387.18"/>
    <n v="2477.15"/>
    <n v="2540.2600000000002"/>
    <n v="1841.35"/>
    <n v="5777.81"/>
    <n v="4294.1899999999996"/>
    <n v="4206.42"/>
    <n v="1736.59"/>
    <n v="5376.08"/>
    <n v="722.82"/>
    <n v="3092.65"/>
    <n v="39502.050000000003"/>
    <n v="-2369.83"/>
  </r>
  <r>
    <x v="5"/>
    <x v="3"/>
    <x v="0"/>
    <s v="3800101"/>
    <n v="700078"/>
    <s v="Salaries-Service/Support-NonProd-Other"/>
    <s v="Emergency Services"/>
    <x v="0"/>
    <n v="2000"/>
    <n v="14.96"/>
    <n v="76.61"/>
    <n v="96.16"/>
    <n v="87.05"/>
    <n v="447.52"/>
    <n v="162.55000000000001"/>
    <n v="36.57"/>
    <n v="-313.24"/>
    <n v="4.7"/>
    <n v="63.52"/>
    <n v="39.54"/>
    <n v="33.479999999999997"/>
    <n v="749.42"/>
    <n v="6.0600000000000023"/>
  </r>
  <r>
    <x v="5"/>
    <x v="3"/>
    <x v="0"/>
    <s v="3800101"/>
    <n v="700084"/>
    <s v="Accrued PTO"/>
    <s v="Emergency Services"/>
    <x v="0"/>
    <m/>
    <n v="-29304.59"/>
    <n v="-6397.18"/>
    <n v="-8477.2900000000009"/>
    <n v="8967.5400000000009"/>
    <n v="6364.34"/>
    <n v="-6314.33"/>
    <n v="822.51"/>
    <n v="5203.71"/>
    <n v="34795.82"/>
    <n v="14296.2"/>
    <n v="11162.42"/>
    <n v="2649.27"/>
    <n v="33768.42"/>
    <n v="8513.15"/>
  </r>
  <r>
    <x v="10"/>
    <x v="3"/>
    <x v="0"/>
    <s v="3800101"/>
    <n v="710060"/>
    <s v="Contract Labor-Other"/>
    <s v="Emergency Services"/>
    <x v="0"/>
    <m/>
    <n v="18069.5"/>
    <n v="26136.75"/>
    <n v="7748"/>
    <n v="12797.75"/>
    <n v="2556"/>
    <n v="0"/>
    <n v="0"/>
    <n v="0"/>
    <n v="0"/>
    <n v="4029.25"/>
    <n v="20448"/>
    <n v="17057.75"/>
    <n v="108843"/>
    <n v="3390.25"/>
  </r>
  <r>
    <x v="10"/>
    <x v="3"/>
    <x v="0"/>
    <s v="3800101"/>
    <n v="710060"/>
    <s v="Contract Labor-Overtime"/>
    <s v="Emergency Services"/>
    <x v="0"/>
    <n v="5100"/>
    <n v="2779.66"/>
    <n v="167.73"/>
    <n v="0"/>
    <n v="0"/>
    <n v="0"/>
    <n v="0"/>
    <n v="0"/>
    <n v="0"/>
    <n v="0"/>
    <n v="0"/>
    <n v="0"/>
    <n v="4049.66"/>
    <n v="6997.0499999999993"/>
    <n v="-4049.66"/>
  </r>
  <r>
    <x v="6"/>
    <x v="3"/>
    <x v="0"/>
    <s v="3800101"/>
    <n v="713010"/>
    <s v="Benefits-FICA/Medicare"/>
    <s v="Emergency Services"/>
    <x v="0"/>
    <m/>
    <n v="40789.629999999997"/>
    <n v="40043.760000000002"/>
    <n v="38437.5"/>
    <n v="37928.54"/>
    <n v="41372.300000000003"/>
    <n v="42524.43"/>
    <n v="41791.800000000003"/>
    <n v="39934.1"/>
    <n v="40524.480000000003"/>
    <n v="38867.07"/>
    <n v="41586.519999999997"/>
    <n v="39202.660000000003"/>
    <n v="483002.78999999992"/>
    <n v="2383.8599999999933"/>
  </r>
  <r>
    <x v="6"/>
    <x v="3"/>
    <x v="0"/>
    <s v="3800101"/>
    <n v="713090"/>
    <s v="Benefits-Allocated Amounts"/>
    <s v="Emergency Services"/>
    <x v="0"/>
    <m/>
    <n v="117421.43"/>
    <n v="108905.65"/>
    <n v="113520.59"/>
    <n v="112784.48"/>
    <n v="121065.1"/>
    <n v="118948.32"/>
    <n v="124903.92"/>
    <n v="122731.12"/>
    <n v="100949.79"/>
    <n v="120239.06"/>
    <n v="132857.03"/>
    <n v="120099.68"/>
    <n v="1414426.1700000002"/>
    <n v="12757.350000000006"/>
  </r>
  <r>
    <x v="6"/>
    <x v="3"/>
    <x v="0"/>
    <s v="3800101"/>
    <n v="713096"/>
    <s v="Employee Recognition"/>
    <s v="Emergency Services"/>
    <x v="0"/>
    <n v="1017"/>
    <n v="0"/>
    <n v="0"/>
    <n v="0"/>
    <n v="525.30999999999995"/>
    <n v="207.96"/>
    <n v="0"/>
    <n v="0"/>
    <n v="48"/>
    <n v="0"/>
    <n v="60.63"/>
    <n v="224.25"/>
    <n v="102.14"/>
    <n v="1168.2900000000002"/>
    <n v="122.11"/>
  </r>
  <r>
    <x v="17"/>
    <x v="3"/>
    <x v="0"/>
    <s v="3800101"/>
    <n v="714520"/>
    <s v="Other Contracted Professionals"/>
    <s v="Emergency Services"/>
    <x v="0"/>
    <m/>
    <n v="261599.06"/>
    <n v="347623.05"/>
    <n v="294556.55"/>
    <n v="298388"/>
    <n v="401366.8"/>
    <n v="315007.35999999999"/>
    <n v="290895.14"/>
    <n v="278148.95"/>
    <n v="314493.26"/>
    <n v="293583.45"/>
    <n v="353483.81"/>
    <n v="500931.16"/>
    <n v="3950076.5900000003"/>
    <n v="-147447.34999999998"/>
  </r>
  <r>
    <x v="17"/>
    <x v="3"/>
    <x v="0"/>
    <s v="3800101"/>
    <n v="714530"/>
    <s v="Medical Prof Fees-Intracompany"/>
    <s v="Emergency Services"/>
    <x v="0"/>
    <m/>
    <n v="286994.03000000003"/>
    <n v="305473.69"/>
    <n v="183485.32"/>
    <n v="267173.3"/>
    <n v="186160.2"/>
    <n v="174127.12"/>
    <n v="22118.85"/>
    <n v="183510.9"/>
    <n v="163565.26"/>
    <n v="143335.93"/>
    <n v="176300.35"/>
    <n v="1044498.03"/>
    <n v="3136742.9800000004"/>
    <n v="-868197.68"/>
  </r>
  <r>
    <x v="7"/>
    <x v="3"/>
    <x v="0"/>
    <s v="3800101"/>
    <n v="718050"/>
    <s v="Contract Svcs-Other"/>
    <s v="Emergency Services"/>
    <x v="0"/>
    <m/>
    <n v="0"/>
    <n v="244.72"/>
    <n v="40.65"/>
    <n v="0"/>
    <n v="1084.1400000000001"/>
    <n v="257.56"/>
    <n v="0"/>
    <n v="572.79"/>
    <n v="825.75"/>
    <n v="1131.94"/>
    <n v="0"/>
    <n v="0"/>
    <n v="4157.55"/>
    <n v="0"/>
  </r>
  <r>
    <x v="7"/>
    <x v="3"/>
    <x v="0"/>
    <s v="3800101"/>
    <n v="718050"/>
    <s v="Document Shredding/Storage"/>
    <s v="Emergency Services"/>
    <x v="0"/>
    <n v="1012"/>
    <n v="18.260000000000002"/>
    <n v="22.89"/>
    <n v="101.24"/>
    <n v="60.52"/>
    <n v="-23.17"/>
    <n v="19.79"/>
    <n v="19.59"/>
    <n v="-3.08"/>
    <n v="17.41"/>
    <n v="104.5"/>
    <n v="60"/>
    <n v="-59.35"/>
    <n v="338.59999999999997"/>
    <n v="119.35"/>
  </r>
  <r>
    <x v="7"/>
    <x v="3"/>
    <x v="0"/>
    <s v="3800101"/>
    <n v="718050"/>
    <s v="Miscellaneous Purchased Svcs"/>
    <s v="Emergency Services"/>
    <x v="0"/>
    <n v="1020"/>
    <n v="0"/>
    <n v="0"/>
    <n v="1688.25"/>
    <n v="350.12"/>
    <n v="350.12"/>
    <n v="1500"/>
    <n v="1500"/>
    <n v="0"/>
    <n v="0"/>
    <n v="1500"/>
    <n v="718.25"/>
    <n v="0"/>
    <n v="7606.74"/>
    <n v="718.25"/>
  </r>
  <r>
    <x v="7"/>
    <x v="3"/>
    <x v="0"/>
    <s v="3800101"/>
    <n v="718050"/>
    <s v="Translation Services"/>
    <s v="Emergency Services"/>
    <x v="0"/>
    <n v="1025"/>
    <n v="153"/>
    <n v="696.01"/>
    <n v="136.71"/>
    <n v="153.19"/>
    <n v="96"/>
    <n v="340.11"/>
    <n v="541.27"/>
    <n v="264"/>
    <n v="61.62"/>
    <n v="0"/>
    <n v="88.5"/>
    <n v="41.87"/>
    <n v="2572.2799999999997"/>
    <n v="46.63"/>
  </r>
  <r>
    <x v="7"/>
    <x v="3"/>
    <x v="0"/>
    <s v="3800101"/>
    <n v="718050"/>
    <s v="Contract Management--Linen"/>
    <s v="Emergency Services"/>
    <x v="0"/>
    <n v="1026"/>
    <n v="15863.18"/>
    <n v="13570.76"/>
    <n v="13537.8"/>
    <n v="15910.39"/>
    <n v="16628.689999999999"/>
    <n v="14850.32"/>
    <n v="14212.28"/>
    <n v="16096.16"/>
    <n v="14188.86"/>
    <n v="15433.28"/>
    <n v="12245.79"/>
    <n v="15780.29"/>
    <n v="178317.80000000002"/>
    <n v="-3534.5"/>
  </r>
  <r>
    <x v="7"/>
    <x v="3"/>
    <x v="0"/>
    <s v="3800101"/>
    <n v="718070"/>
    <s v="Contract Srvcs-CHI Clinical Engineering"/>
    <s v="Emergency Services"/>
    <x v="0"/>
    <m/>
    <n v="279.12"/>
    <n v="279.12"/>
    <n v="279.12"/>
    <n v="339.76"/>
    <n v="346"/>
    <n v="364"/>
    <n v="364"/>
    <n v="364"/>
    <n v="364"/>
    <n v="364"/>
    <n v="364"/>
    <n v="364"/>
    <n v="4071.12"/>
    <n v="0"/>
  </r>
  <r>
    <x v="7"/>
    <x v="3"/>
    <x v="0"/>
    <s v="3800101"/>
    <n v="718077"/>
    <s v="PACS"/>
    <s v="Emergency Services"/>
    <x v="0"/>
    <n v="1000"/>
    <n v="155.25"/>
    <n v="76.5"/>
    <n v="130.5"/>
    <n v="101.25"/>
    <n v="87.75"/>
    <n v="99"/>
    <n v="67.5"/>
    <n v="40.5"/>
    <n v="85.5"/>
    <n v="74.25"/>
    <n v="94.5"/>
    <n v="105.75"/>
    <n v="1118.25"/>
    <n v="-11.25"/>
  </r>
  <r>
    <x v="7"/>
    <x v="3"/>
    <x v="0"/>
    <s v="3800101"/>
    <n v="718091"/>
    <s v="Contract Services-Intracompany Allocation"/>
    <s v="Emergency Services"/>
    <x v="0"/>
    <m/>
    <n v="42141.760000000002"/>
    <n v="26183.55"/>
    <n v="-22883.41"/>
    <n v="34283.01"/>
    <n v="32954.35"/>
    <n v="27182.99"/>
    <n v="41795.879999999997"/>
    <n v="34490.76"/>
    <n v="42068.75"/>
    <n v="18046.87"/>
    <n v="40461.17"/>
    <n v="33157.440000000002"/>
    <n v="349883.12"/>
    <n v="7303.7299999999959"/>
  </r>
  <r>
    <x v="11"/>
    <x v="3"/>
    <x v="0"/>
    <s v="3800101"/>
    <n v="721010"/>
    <s v="Supplies-Medical - Billable"/>
    <s v="Emergency Services"/>
    <x v="0"/>
    <m/>
    <n v="9706.7900000000009"/>
    <n v="8042.04"/>
    <n v="7987.75"/>
    <n v="9886"/>
    <n v="6973.11"/>
    <n v="10090.969999999999"/>
    <n v="7478.49"/>
    <n v="9641.92"/>
    <n v="8296.06"/>
    <n v="8010.27"/>
    <n v="8109.22"/>
    <n v="10509.86"/>
    <n v="104732.48000000001"/>
    <n v="-2400.6400000000003"/>
  </r>
  <r>
    <x v="11"/>
    <x v="3"/>
    <x v="0"/>
    <s v="3800101"/>
    <n v="721010"/>
    <s v="Patient Monitoring"/>
    <s v="Emergency Services"/>
    <x v="0"/>
    <n v="1000"/>
    <n v="10733.99"/>
    <n v="8405.73"/>
    <n v="8782.27"/>
    <n v="8634.0400000000009"/>
    <n v="12485.2"/>
    <n v="10816.75"/>
    <n v="7450.42"/>
    <n v="10776.72"/>
    <n v="9711.59"/>
    <n v="8274.2099999999991"/>
    <n v="8841.52"/>
    <n v="5660.49"/>
    <n v="110572.93"/>
    <n v="3181.0300000000007"/>
  </r>
  <r>
    <x v="11"/>
    <x v="3"/>
    <x v="0"/>
    <s v="3800101"/>
    <n v="721020"/>
    <s v="Supplies-Surgical - Billable"/>
    <s v="Emergency Services"/>
    <x v="0"/>
    <m/>
    <n v="6245.07"/>
    <n v="-6905.72"/>
    <n v="9136.0300000000007"/>
    <n v="8356.48"/>
    <n v="8845.4"/>
    <n v="6077.73"/>
    <n v="5730.56"/>
    <n v="3987.27"/>
    <n v="3138.88"/>
    <n v="2276.3200000000002"/>
    <n v="1840.82"/>
    <n v="2346.15"/>
    <n v="51074.99"/>
    <n v="-505.33000000000015"/>
  </r>
  <r>
    <x v="11"/>
    <x v="3"/>
    <x v="0"/>
    <s v="3800101"/>
    <n v="721020"/>
    <s v="Custom Packs"/>
    <s v="Emergency Services"/>
    <x v="0"/>
    <n v="1000"/>
    <n v="1130.05"/>
    <n v="1169.51"/>
    <n v="981.19"/>
    <n v="999.87"/>
    <n v="990.95"/>
    <n v="1064.4100000000001"/>
    <n v="782.33"/>
    <n v="869.71"/>
    <n v="1075.19"/>
    <n v="940.57"/>
    <n v="1050.74"/>
    <n v="996.21"/>
    <n v="12050.73"/>
    <n v="54.529999999999973"/>
  </r>
  <r>
    <x v="11"/>
    <x v="3"/>
    <x v="0"/>
    <s v="3800101"/>
    <n v="721020"/>
    <s v="Suture/Wound Closure"/>
    <s v="Emergency Services"/>
    <x v="0"/>
    <n v="1001"/>
    <n v="1053.67"/>
    <n v="959.23"/>
    <n v="1207.54"/>
    <n v="1919.45"/>
    <n v="384.72"/>
    <n v="1094.3399999999999"/>
    <n v="743.53"/>
    <n v="517.22"/>
    <n v="805.49"/>
    <n v="840.3"/>
    <n v="767.52"/>
    <n v="1818.25"/>
    <n v="12111.26"/>
    <n v="-1050.73"/>
  </r>
  <r>
    <x v="11"/>
    <x v="3"/>
    <x v="0"/>
    <s v="3800101"/>
    <n v="721020"/>
    <s v="Endomechanical Supplies &amp; Instruments"/>
    <s v="Emergency Services"/>
    <x v="0"/>
    <n v="1003"/>
    <n v="13.19"/>
    <n v="58"/>
    <n v="0"/>
    <n v="0"/>
    <n v="0"/>
    <n v="0"/>
    <n v="-625.5"/>
    <n v="0"/>
    <n v="0"/>
    <n v="0"/>
    <n v="0"/>
    <n v="24.6"/>
    <n v="-529.70999999999992"/>
    <n v="-24.6"/>
  </r>
  <r>
    <x v="11"/>
    <x v="3"/>
    <x v="0"/>
    <s v="3800101"/>
    <n v="721020"/>
    <s v="Urological Supplies"/>
    <s v="Emergency Services"/>
    <x v="0"/>
    <n v="1006"/>
    <n v="0"/>
    <n v="0"/>
    <n v="18.399999999999999"/>
    <n v="0"/>
    <n v="0"/>
    <n v="0"/>
    <n v="0"/>
    <n v="0"/>
    <n v="0"/>
    <n v="0"/>
    <n v="0"/>
    <n v="0"/>
    <n v="18.399999999999999"/>
    <n v="0"/>
  </r>
  <r>
    <x v="11"/>
    <x v="3"/>
    <x v="0"/>
    <s v="3800101"/>
    <n v="721020"/>
    <s v="Surgical Cardiovascular"/>
    <s v="Emergency Services"/>
    <x v="0"/>
    <n v="1007"/>
    <n v="0"/>
    <n v="0"/>
    <n v="14.84"/>
    <n v="10.199999999999999"/>
    <n v="0"/>
    <n v="0"/>
    <n v="0"/>
    <n v="0"/>
    <n v="0"/>
    <n v="0"/>
    <n v="0"/>
    <n v="0"/>
    <n v="25.04"/>
    <n v="0"/>
  </r>
  <r>
    <x v="11"/>
    <x v="3"/>
    <x v="0"/>
    <s v="3800101"/>
    <n v="721020"/>
    <s v="Tubes Drains &amp; Related Supplies"/>
    <s v="Emergency Services"/>
    <x v="0"/>
    <n v="1008"/>
    <n v="166.47"/>
    <n v="281.32"/>
    <n v="509.72"/>
    <n v="1167.21"/>
    <n v="246.81"/>
    <n v="874.24"/>
    <n v="437.12"/>
    <n v="1122.5999999999999"/>
    <n v="1351.25"/>
    <n v="1260.8599999999999"/>
    <n v="83.72"/>
    <n v="685.66"/>
    <n v="8186.98"/>
    <n v="-601.93999999999994"/>
  </r>
  <r>
    <x v="11"/>
    <x v="3"/>
    <x v="0"/>
    <s v="3800101"/>
    <n v="721050"/>
    <s v="Supplies-Cardiac Rhythm - Billable"/>
    <s v="Emergency Services"/>
    <x v="0"/>
    <m/>
    <n v="302.42"/>
    <n v="159.01"/>
    <n v="891.31"/>
    <n v="324.68"/>
    <n v="709.09"/>
    <n v="236.8"/>
    <n v="163.63999999999999"/>
    <n v="116.64"/>
    <n v="513.79999999999995"/>
    <n v="807.63"/>
    <n v="91.08"/>
    <n v="91.3"/>
    <n v="4407.4000000000005"/>
    <n v="-0.21999999999999886"/>
  </r>
  <r>
    <x v="11"/>
    <x v="3"/>
    <x v="0"/>
    <s v="3800101"/>
    <n v="721240"/>
    <s v="Supplies-IV Solutions/Supplies - Billable"/>
    <s v="Emergency Services"/>
    <x v="0"/>
    <m/>
    <n v="19620.169999999998"/>
    <n v="21706.71"/>
    <n v="19288.099999999999"/>
    <n v="23764.69"/>
    <n v="19063.02"/>
    <n v="21066.880000000001"/>
    <n v="20278.75"/>
    <n v="19776.23"/>
    <n v="22395.83"/>
    <n v="20254.560000000001"/>
    <n v="21632.57"/>
    <n v="21794.62"/>
    <n v="250642.13"/>
    <n v="-162.04999999999927"/>
  </r>
  <r>
    <x v="11"/>
    <x v="3"/>
    <x v="0"/>
    <s v="3800101"/>
    <n v="721250"/>
    <s v="Supplies-Pharmacy Drugs - Billable"/>
    <s v="Emergency Services"/>
    <x v="0"/>
    <m/>
    <n v="1.69"/>
    <n v="0"/>
    <n v="0"/>
    <n v="0"/>
    <n v="33.659999999999997"/>
    <n v="0"/>
    <n v="5.07"/>
    <n v="0"/>
    <n v="8.0399999999999991"/>
    <n v="0"/>
    <n v="0"/>
    <n v="4.0199999999999996"/>
    <n v="52.47999999999999"/>
    <n v="-4.0199999999999996"/>
  </r>
  <r>
    <x v="11"/>
    <x v="3"/>
    <x v="0"/>
    <s v="3800101"/>
    <n v="721410"/>
    <s v="Supplies-Medical - Nonbillable"/>
    <s v="Emergency Services"/>
    <x v="0"/>
    <m/>
    <n v="37012.26"/>
    <n v="35619.49"/>
    <n v="35996.61"/>
    <n v="35755.24"/>
    <n v="36634.75"/>
    <n v="37486.65"/>
    <n v="37072.720000000001"/>
    <n v="35570.71"/>
    <n v="39372.019999999997"/>
    <n v="36963.300000000003"/>
    <n v="38313.089999999997"/>
    <n v="38245.51"/>
    <n v="444042.35"/>
    <n v="67.57999999999447"/>
  </r>
  <r>
    <x v="11"/>
    <x v="3"/>
    <x v="0"/>
    <s v="3800101"/>
    <n v="721410"/>
    <s v="Patient Monitoring"/>
    <s v="Emergency Services"/>
    <x v="0"/>
    <n v="1000"/>
    <n v="15"/>
    <n v="41.25"/>
    <n v="11.94"/>
    <n v="380.43"/>
    <n v="-152.9"/>
    <n v="399.45"/>
    <n v="26.25"/>
    <n v="209.59"/>
    <n v="161.34"/>
    <n v="599.89"/>
    <n v="154.41"/>
    <n v="19.420000000000002"/>
    <n v="1866.0700000000004"/>
    <n v="134.99"/>
  </r>
  <r>
    <x v="11"/>
    <x v="3"/>
    <x v="0"/>
    <s v="3800101"/>
    <n v="721420"/>
    <s v="Supplies-Surgical Nonbillable"/>
    <s v="Emergency Services"/>
    <x v="0"/>
    <m/>
    <n v="1867.9"/>
    <n v="1955.06"/>
    <n v="900.73"/>
    <n v="678.52"/>
    <n v="1119.56"/>
    <n v="456.54"/>
    <n v="749.04"/>
    <n v="736.27"/>
    <n v="805.6"/>
    <n v="1860.4"/>
    <n v="1687.61"/>
    <n v="865.66"/>
    <n v="13682.890000000001"/>
    <n v="821.94999999999993"/>
  </r>
  <r>
    <x v="11"/>
    <x v="3"/>
    <x v="0"/>
    <s v="3800101"/>
    <n v="721420"/>
    <s v="Tubes Drains &amp; Related Supplies"/>
    <s v="Emergency Services"/>
    <x v="0"/>
    <n v="1008"/>
    <n v="579.46"/>
    <n v="256"/>
    <n v="177.84"/>
    <n v="617.08000000000004"/>
    <n v="372.84"/>
    <n v="1370.19"/>
    <n v="338.39"/>
    <n v="1079.07"/>
    <n v="370.89"/>
    <n v="1085.5"/>
    <n v="427.65"/>
    <n v="549.98"/>
    <n v="7224.8899999999994"/>
    <n v="-122.33000000000004"/>
  </r>
  <r>
    <x v="11"/>
    <x v="3"/>
    <x v="0"/>
    <s v="3800101"/>
    <n v="721420"/>
    <s v="Sterilization Process Products"/>
    <s v="Emergency Services"/>
    <x v="0"/>
    <n v="1009"/>
    <n v="45.69"/>
    <n v="36.28"/>
    <n v="27.36"/>
    <n v="188.93"/>
    <n v="23.79"/>
    <n v="194.8"/>
    <n v="73.72"/>
    <n v="158.6"/>
    <n v="136.09"/>
    <n v="101.52"/>
    <n v="125.17"/>
    <n v="257.43"/>
    <n v="1369.38"/>
    <n v="-132.26"/>
  </r>
  <r>
    <x v="11"/>
    <x v="3"/>
    <x v="0"/>
    <s v="3800101"/>
    <n v="721610"/>
    <s v="Supplies-Anesthesia - Nonbillable"/>
    <s v="Emergency Services"/>
    <x v="0"/>
    <m/>
    <n v="2565.5500000000002"/>
    <n v="2634.46"/>
    <n v="2929.48"/>
    <n v="3013.52"/>
    <n v="2757.65"/>
    <n v="2858.27"/>
    <n v="2991.37"/>
    <n v="3496.9"/>
    <n v="3518.13"/>
    <n v="4096.97"/>
    <n v="2639.56"/>
    <n v="2846.53"/>
    <n v="36348.39"/>
    <n v="-206.97000000000025"/>
  </r>
  <r>
    <x v="11"/>
    <x v="3"/>
    <x v="0"/>
    <s v="3800101"/>
    <n v="721640"/>
    <s v="Supplies-IV Solutions/Supplies - Nonbillable"/>
    <s v="Emergency Services"/>
    <x v="0"/>
    <m/>
    <n v="8984.43"/>
    <n v="10464.57"/>
    <n v="8619.61"/>
    <n v="11256.61"/>
    <n v="8651.17"/>
    <n v="11536.32"/>
    <n v="12737.48"/>
    <n v="11624.46"/>
    <n v="13535.79"/>
    <n v="10468.59"/>
    <n v="10634.1"/>
    <n v="10945.84"/>
    <n v="129458.97"/>
    <n v="-311.73999999999978"/>
  </r>
  <r>
    <x v="11"/>
    <x v="3"/>
    <x v="0"/>
    <s v="3800101"/>
    <n v="721650"/>
    <s v="Supplies-Pharmacy Drugs - Nonbillable"/>
    <s v="Emergency Services"/>
    <x v="0"/>
    <m/>
    <n v="268.01"/>
    <n v="22.72"/>
    <n v="21.9"/>
    <n v="278.93"/>
    <n v="174.61"/>
    <n v="53.17"/>
    <n v="59.43"/>
    <n v="21.75"/>
    <n v="13.16"/>
    <n v="301.49"/>
    <n v="186.5"/>
    <n v="297.85000000000002"/>
    <n v="1699.52"/>
    <n v="-111.35000000000002"/>
  </r>
  <r>
    <x v="11"/>
    <x v="3"/>
    <x v="0"/>
    <s v="3800101"/>
    <n v="721710"/>
    <s v="Supplies-Laboratory - Nonbillable"/>
    <s v="Emergency Services"/>
    <x v="0"/>
    <m/>
    <n v="8317.73"/>
    <n v="7279.48"/>
    <n v="9944.4"/>
    <n v="9944.9"/>
    <n v="8389.7999999999993"/>
    <n v="9379.58"/>
    <n v="8635.83"/>
    <n v="7949.09"/>
    <n v="10230.040000000001"/>
    <n v="8509.19"/>
    <n v="9584.56"/>
    <n v="9943.9699999999993"/>
    <n v="108108.57"/>
    <n v="-359.40999999999985"/>
  </r>
  <r>
    <x v="11"/>
    <x v="3"/>
    <x v="0"/>
    <s v="3800101"/>
    <n v="721710"/>
    <s v="Reagents"/>
    <s v="Emergency Services"/>
    <x v="0"/>
    <n v="1000"/>
    <n v="145.32"/>
    <n v="0"/>
    <n v="153"/>
    <n v="510.99"/>
    <n v="399.8"/>
    <n v="654.78"/>
    <n v="684.86"/>
    <n v="1053.5"/>
    <n v="1303.95"/>
    <n v="703.7"/>
    <n v="205.1"/>
    <n v="184.17"/>
    <n v="5999.17"/>
    <n v="20.930000000000007"/>
  </r>
  <r>
    <x v="11"/>
    <x v="3"/>
    <x v="0"/>
    <s v="3800101"/>
    <n v="721750"/>
    <s v="Supplies-Film/Radiographic - Nonbillable"/>
    <s v="Emergency Services"/>
    <x v="0"/>
    <m/>
    <n v="105.23"/>
    <n v="76.16"/>
    <n v="-5.22"/>
    <n v="135.43"/>
    <n v="82.83"/>
    <n v="96.54"/>
    <n v="72.41"/>
    <n v="105.66"/>
    <n v="45.72"/>
    <n v="10.3"/>
    <n v="0.93"/>
    <n v="13.11"/>
    <n v="739.09999999999991"/>
    <n v="-12.18"/>
  </r>
  <r>
    <x v="11"/>
    <x v="3"/>
    <x v="0"/>
    <s v="3800101"/>
    <n v="721810"/>
    <s v="Supplies-Dietary/Cafeteria"/>
    <s v="Emergency Services"/>
    <x v="0"/>
    <m/>
    <n v="8158.36"/>
    <n v="7753.3"/>
    <n v="9108.4"/>
    <n v="8388.2099999999991"/>
    <n v="10616.91"/>
    <n v="7662.14"/>
    <n v="9342.1299999999992"/>
    <n v="8551.35"/>
    <n v="11046.18"/>
    <n v="9813.69"/>
    <n v="11856.65"/>
    <n v="9265.64"/>
    <n v="111562.95999999998"/>
    <n v="2591.0100000000002"/>
  </r>
  <r>
    <x v="11"/>
    <x v="3"/>
    <x v="0"/>
    <s v="3800101"/>
    <n v="721830"/>
    <s v="Supplies-Office"/>
    <s v="Emergency Services"/>
    <x v="0"/>
    <m/>
    <n v="2195.29"/>
    <n v="2087.65"/>
    <n v="1516.34"/>
    <n v="2288.31"/>
    <n v="1804.7"/>
    <n v="2871.73"/>
    <n v="4343.5200000000004"/>
    <n v="1511.76"/>
    <n v="4960.8599999999997"/>
    <n v="1803.07"/>
    <n v="1011.04"/>
    <n v="1409.16"/>
    <n v="27803.43"/>
    <n v="-398.12000000000012"/>
  </r>
  <r>
    <x v="11"/>
    <x v="3"/>
    <x v="0"/>
    <s v="3800101"/>
    <n v="721835"/>
    <s v="Supplies-Forms"/>
    <s v="Emergency Services"/>
    <x v="0"/>
    <m/>
    <n v="0"/>
    <n v="0"/>
    <n v="0"/>
    <n v="0"/>
    <n v="829.51"/>
    <n v="70.95"/>
    <n v="110"/>
    <n v="0"/>
    <n v="254"/>
    <n v="153.5"/>
    <n v="49"/>
    <n v="116"/>
    <n v="1582.96"/>
    <n v="-67"/>
  </r>
  <r>
    <x v="11"/>
    <x v="3"/>
    <x v="0"/>
    <s v="3800101"/>
    <n v="721870"/>
    <s v="Supplies-Environmental Services"/>
    <s v="Emergency Services"/>
    <x v="0"/>
    <m/>
    <n v="2491.38"/>
    <n v="2993.09"/>
    <n v="2019.5"/>
    <n v="3448.06"/>
    <n v="2230.83"/>
    <n v="2124.02"/>
    <n v="2281.83"/>
    <n v="2296.12"/>
    <n v="2193.85"/>
    <n v="1928.06"/>
    <n v="1893.18"/>
    <n v="2053.8200000000002"/>
    <n v="27953.739999999998"/>
    <n v="-160.6400000000001"/>
  </r>
  <r>
    <x v="11"/>
    <x v="3"/>
    <x v="0"/>
    <s v="3800101"/>
    <n v="721880"/>
    <s v="Supplies-Linen"/>
    <s v="Emergency Services"/>
    <x v="0"/>
    <m/>
    <n v="0"/>
    <n v="121.98"/>
    <n v="144.44999999999999"/>
    <n v="163.71"/>
    <n v="144.44999999999999"/>
    <n v="105.93"/>
    <n v="157.29"/>
    <n v="327.42"/>
    <n v="192.6"/>
    <n v="205.44"/>
    <n v="278.89999999999998"/>
    <n v="0"/>
    <n v="1842.17"/>
    <n v="278.89999999999998"/>
  </r>
  <r>
    <x v="11"/>
    <x v="3"/>
    <x v="0"/>
    <s v="3800101"/>
    <n v="721910"/>
    <s v="Supplies-Small Equipment"/>
    <s v="Emergency Services"/>
    <x v="0"/>
    <m/>
    <n v="5090.05"/>
    <n v="6099.33"/>
    <n v="2189.09"/>
    <n v="4399.88"/>
    <n v="8395.2199999999993"/>
    <n v="6192.79"/>
    <n v="12612.97"/>
    <n v="12354.24"/>
    <n v="7454.68"/>
    <n v="5784.24"/>
    <n v="4725.87"/>
    <n v="3687.08"/>
    <n v="78985.440000000002"/>
    <n v="1038.79"/>
  </r>
  <r>
    <x v="11"/>
    <x v="3"/>
    <x v="0"/>
    <s v="3800101"/>
    <n v="721910"/>
    <s v="Instruments"/>
    <s v="Emergency Services"/>
    <x v="0"/>
    <n v="1000"/>
    <n v="3192.55"/>
    <n v="2880.32"/>
    <n v="2575.73"/>
    <n v="2408.54"/>
    <n v="1262.06"/>
    <n v="4001.86"/>
    <n v="1258.42"/>
    <n v="2785.15"/>
    <n v="5940.51"/>
    <n v="2071.0500000000002"/>
    <n v="1933.57"/>
    <n v="1973.79"/>
    <n v="32283.55"/>
    <n v="-40.220000000000027"/>
  </r>
  <r>
    <x v="11"/>
    <x v="3"/>
    <x v="0"/>
    <s v="3800101"/>
    <n v="721980"/>
    <s v="Supplies-Other"/>
    <s v="Emergency Services"/>
    <x v="0"/>
    <m/>
    <n v="3054.32"/>
    <n v="1880.24"/>
    <n v="3259"/>
    <n v="1687.88"/>
    <n v="824.37"/>
    <n v="2538.36"/>
    <n v="-14.8"/>
    <n v="326.86"/>
    <n v="2065.79"/>
    <n v="902.91"/>
    <n v="229.81"/>
    <n v="-304.52"/>
    <n v="16450.220000000005"/>
    <n v="534.32999999999993"/>
  </r>
  <r>
    <x v="11"/>
    <x v="3"/>
    <x v="0"/>
    <s v="3800101"/>
    <n v="722000"/>
    <s v="Supplies-Freight Expense"/>
    <s v="Emergency Services"/>
    <x v="0"/>
    <m/>
    <n v="15.86"/>
    <n v="157.88"/>
    <n v="135.19999999999999"/>
    <n v="105.22"/>
    <n v="25.11"/>
    <n v="124.44"/>
    <n v="119.92"/>
    <n v="79.17"/>
    <n v="63.12"/>
    <n v="52.86"/>
    <n v="207.61"/>
    <n v="121.61"/>
    <n v="1207.9999999999998"/>
    <n v="86.000000000000014"/>
  </r>
  <r>
    <x v="12"/>
    <x v="3"/>
    <x v="0"/>
    <s v="3800101"/>
    <n v="730020"/>
    <s v="Rental and Leases-Copier Usage Fees (DO NOT USE)"/>
    <s v="Emergency Services"/>
    <x v="0"/>
    <n v="5100"/>
    <n v="2507.9299999999998"/>
    <n v="2531.3000000000002"/>
    <n v="2519.61"/>
    <n v="2519.61"/>
    <n v="2519.61"/>
    <n v="2519.61"/>
    <n v="3585.98"/>
    <n v="2016"/>
    <n v="2007.71"/>
    <n v="3925.22"/>
    <n v="1647.41"/>
    <n v="2489.9"/>
    <n v="30789.890000000003"/>
    <n v="-842.49"/>
  </r>
  <r>
    <x v="15"/>
    <x v="3"/>
    <x v="0"/>
    <s v="3800101"/>
    <n v="731060"/>
    <s v="Cell Phones"/>
    <s v="Emergency Services"/>
    <x v="0"/>
    <n v="1001"/>
    <n v="0"/>
    <n v="33.020000000000003"/>
    <n v="66.040000000000006"/>
    <n v="0"/>
    <n v="32.5"/>
    <n v="33.11"/>
    <n v="66.16"/>
    <n v="0"/>
    <n v="33.58"/>
    <n v="66.290000000000006"/>
    <n v="32.5"/>
    <n v="76.11"/>
    <n v="439.31000000000006"/>
    <n v="-43.61"/>
  </r>
  <r>
    <x v="15"/>
    <x v="3"/>
    <x v="0"/>
    <s v="3800101"/>
    <n v="731060"/>
    <s v="Pagers"/>
    <s v="Emergency Services"/>
    <x v="0"/>
    <n v="1002"/>
    <n v="271.06"/>
    <n v="-36.99"/>
    <n v="83.86"/>
    <n v="1.33"/>
    <n v="28.86"/>
    <n v="0"/>
    <n v="57.72"/>
    <n v="28.86"/>
    <n v="28.86"/>
    <n v="28.86"/>
    <n v="28.86"/>
    <n v="28.86"/>
    <n v="550.1400000000001"/>
    <n v="0"/>
  </r>
  <r>
    <x v="16"/>
    <x v="3"/>
    <x v="0"/>
    <s v="3800101"/>
    <n v="732020"/>
    <s v="Repairs--Clin Equip-Parts-Internal to CHI Programs"/>
    <s v="Emergency Services"/>
    <x v="0"/>
    <m/>
    <n v="0"/>
    <n v="0"/>
    <n v="0"/>
    <n v="0"/>
    <n v="0"/>
    <n v="0"/>
    <n v="237.07"/>
    <n v="349.86"/>
    <n v="265.23"/>
    <n v="46.9"/>
    <n v="241.18"/>
    <n v="244.86"/>
    <n v="1385.1"/>
    <n v="-3.6800000000000068"/>
  </r>
  <r>
    <x v="13"/>
    <x v="3"/>
    <x v="0"/>
    <s v="3800101"/>
    <n v="735050"/>
    <s v="Amortization-Leasehold Improvements"/>
    <s v="Emergency Services"/>
    <x v="0"/>
    <m/>
    <n v="35267.78"/>
    <n v="48729.33"/>
    <n v="47428.6"/>
    <n v="50149.55"/>
    <n v="50149.55"/>
    <n v="50158.79"/>
    <n v="50158.8"/>
    <n v="50504.46"/>
    <n v="50504.480000000003"/>
    <n v="50692.83"/>
    <n v="51262.32"/>
    <n v="44947.4"/>
    <n v="579953.89"/>
    <n v="6314.9199999999983"/>
  </r>
  <r>
    <x v="13"/>
    <x v="3"/>
    <x v="0"/>
    <s v="3800101"/>
    <n v="735060"/>
    <s v="Depreciation-Fixed Equipment"/>
    <s v="Emergency Services"/>
    <x v="0"/>
    <m/>
    <n v="527.97"/>
    <n v="527.97"/>
    <n v="527.97"/>
    <n v="527.97"/>
    <n v="527.97"/>
    <n v="527.97"/>
    <n v="715.28"/>
    <n v="715.28"/>
    <n v="715.3"/>
    <n v="715.28"/>
    <n v="2494.65"/>
    <n v="980.61"/>
    <n v="9504.2200000000012"/>
    <n v="1514.04"/>
  </r>
  <r>
    <x v="13"/>
    <x v="3"/>
    <x v="0"/>
    <s v="3800101"/>
    <n v="735070"/>
    <s v="Depreciation-Movable Equipment"/>
    <s v="Emergency Services"/>
    <x v="0"/>
    <m/>
    <n v="13222.63"/>
    <n v="13480.02"/>
    <n v="13329.37"/>
    <n v="13804.3"/>
    <n v="13336.36"/>
    <n v="13483.42"/>
    <n v="13483.59"/>
    <n v="13483.42"/>
    <n v="13483.63"/>
    <n v="13285.7"/>
    <n v="12123.36"/>
    <n v="14198.51"/>
    <n v="160714.31"/>
    <n v="-2075.1499999999996"/>
  </r>
  <r>
    <x v="0"/>
    <x v="3"/>
    <x v="0"/>
    <s v="3800101"/>
    <n v="740020"/>
    <s v="Education-Registration Fees"/>
    <s v="Emergency Services"/>
    <x v="0"/>
    <m/>
    <n v="9525"/>
    <n v="10155"/>
    <n v="370"/>
    <n v="2720"/>
    <n v="3389"/>
    <n v="0"/>
    <n v="574.99"/>
    <n v="1485"/>
    <n v="4265"/>
    <n v="1790"/>
    <n v="740"/>
    <n v="865"/>
    <n v="35878.990000000005"/>
    <n v="-125"/>
  </r>
  <r>
    <x v="0"/>
    <x v="3"/>
    <x v="0"/>
    <s v="3800101"/>
    <n v="742030"/>
    <s v="Freight-Courier"/>
    <s v="Emergency Services"/>
    <x v="0"/>
    <m/>
    <n v="0"/>
    <n v="0"/>
    <n v="0"/>
    <n v="0"/>
    <n v="0"/>
    <n v="0"/>
    <n v="31"/>
    <n v="0"/>
    <n v="0"/>
    <n v="0"/>
    <n v="0"/>
    <n v="0"/>
    <n v="31"/>
    <n v="0"/>
  </r>
  <r>
    <x v="0"/>
    <x v="3"/>
    <x v="0"/>
    <s v="3800101"/>
    <n v="743030"/>
    <s v="Subscriptions--Institutional"/>
    <s v="Emergency Services"/>
    <x v="0"/>
    <m/>
    <n v="0"/>
    <n v="0"/>
    <n v="0"/>
    <n v="0"/>
    <n v="0"/>
    <n v="0"/>
    <n v="68.989999999999995"/>
    <n v="0"/>
    <n v="0"/>
    <n v="0"/>
    <n v="204.59"/>
    <n v="0"/>
    <n v="273.58"/>
    <n v="204.59"/>
  </r>
  <r>
    <x v="0"/>
    <x v="3"/>
    <x v="0"/>
    <s v="3800101"/>
    <n v="749510"/>
    <s v="Miscellaneous Expenses"/>
    <s v="Emergency Services"/>
    <x v="0"/>
    <m/>
    <n v="716.8"/>
    <n v="9669.61"/>
    <n v="219.03"/>
    <n v="-2695.32"/>
    <n v="257.19"/>
    <n v="1975.89"/>
    <n v="5899.46"/>
    <n v="5297.22"/>
    <n v="5415.44"/>
    <n v="-323.39999999999998"/>
    <n v="1100.93"/>
    <n v="1925.54"/>
    <n v="29458.39"/>
    <n v="-824.6099999999999"/>
  </r>
  <r>
    <x v="0"/>
    <x v="3"/>
    <x v="0"/>
    <s v="3800101"/>
    <n v="749510"/>
    <s v="RICE Rewards"/>
    <s v="Emergency Services"/>
    <x v="0"/>
    <n v="5100"/>
    <n v="0"/>
    <n v="0"/>
    <n v="0"/>
    <n v="0"/>
    <n v="0"/>
    <n v="1273.3399999999999"/>
    <n v="56.12"/>
    <n v="0"/>
    <n v="0"/>
    <n v="496.34"/>
    <n v="1165.4100000000001"/>
    <n v="741.92"/>
    <n v="3733.13"/>
    <n v="423.49000000000012"/>
  </r>
  <r>
    <x v="0"/>
    <x v="3"/>
    <x v="0"/>
    <s v="3800101"/>
    <n v="749530"/>
    <s v="Travel"/>
    <s v="Emergency Services"/>
    <x v="0"/>
    <m/>
    <n v="0"/>
    <n v="0"/>
    <n v="0"/>
    <n v="700.84"/>
    <n v="5503.45"/>
    <n v="0"/>
    <n v="0"/>
    <n v="0"/>
    <n v="57.55"/>
    <n v="531.04"/>
    <n v="0"/>
    <n v="0"/>
    <n v="6792.88"/>
    <n v="0"/>
  </r>
  <r>
    <x v="18"/>
    <x v="0"/>
    <x v="0"/>
    <s v="3800102"/>
    <n v="400010"/>
    <s v="Acute I/P Svcs Rev--Medicare"/>
    <s v="Emergency Services"/>
    <x v="0"/>
    <n v="1100"/>
    <n v="-1614993.15"/>
    <n v="-1658287.01"/>
    <n v="-1481088.45"/>
    <n v="-1707688.47"/>
    <n v="-1547588.04"/>
    <n v="-1654976.3"/>
    <n v="-1565090.3"/>
    <n v="-1509299.24"/>
    <n v="-1813618.41"/>
    <n v="-1524646.24"/>
    <n v="-1471928.77"/>
    <n v="-1361289.21"/>
    <n v="-18910493.590000004"/>
    <n v="-110639.56000000006"/>
  </r>
  <r>
    <x v="18"/>
    <x v="0"/>
    <x v="0"/>
    <s v="3800102"/>
    <n v="400010"/>
    <s v="Acute I/P Svcs Rev--Medicaid"/>
    <s v="Emergency Services"/>
    <x v="0"/>
    <n v="1200"/>
    <n v="-535234.67000000004"/>
    <n v="-756569.96"/>
    <n v="-457136.56"/>
    <n v="-492934.61"/>
    <n v="-393509.64"/>
    <n v="-521017.57"/>
    <n v="-484936.36"/>
    <n v="-508560.86"/>
    <n v="-501090.46"/>
    <n v="-412545.34"/>
    <n v="-378209.8"/>
    <n v="-496847.28"/>
    <n v="-5938593.1099999994"/>
    <n v="118637.48000000004"/>
  </r>
  <r>
    <x v="18"/>
    <x v="0"/>
    <x v="0"/>
    <s v="3800102"/>
    <n v="400010"/>
    <s v="Acute I/P Svcs Rev--Comm Insurance"/>
    <s v="Emergency Services"/>
    <x v="0"/>
    <n v="1300"/>
    <n v="-21716.18"/>
    <n v="-12836.33"/>
    <n v="-24288.81"/>
    <n v="9863.06"/>
    <n v="-26019.27"/>
    <n v="-47532.5"/>
    <n v="-32717.03"/>
    <n v="-36361.69"/>
    <n v="-51003.4"/>
    <n v="-30389.35"/>
    <n v="-54580.14"/>
    <n v="-21960.27"/>
    <n v="-349541.91000000003"/>
    <n v="-32619.87"/>
  </r>
  <r>
    <x v="18"/>
    <x v="0"/>
    <x v="0"/>
    <s v="3800102"/>
    <n v="400010"/>
    <s v="Acute I/P Svcs Rev--BCBS Comm"/>
    <s v="Emergency Services"/>
    <x v="0"/>
    <n v="1301"/>
    <n v="-109469.3"/>
    <n v="-128039.44"/>
    <n v="-113194.77"/>
    <n v="-96627.51"/>
    <n v="-109459.3"/>
    <n v="-112027.13"/>
    <n v="-143099.92000000001"/>
    <n v="-147394.65"/>
    <n v="-113360.92"/>
    <n v="-98505.21"/>
    <n v="-118735.36"/>
    <n v="-166140.49"/>
    <n v="-1456054.0000000002"/>
    <n v="47405.12999999999"/>
  </r>
  <r>
    <x v="18"/>
    <x v="0"/>
    <x v="0"/>
    <s v="3800102"/>
    <n v="400010"/>
    <s v="Acute I/P Svcs Rev--Managed Care"/>
    <s v="Emergency Services"/>
    <x v="0"/>
    <n v="1400"/>
    <n v="-306164.87"/>
    <n v="-346096.26"/>
    <n v="-291729.32"/>
    <n v="-232458.05"/>
    <n v="-244166.53"/>
    <n v="-278417.11"/>
    <n v="-478015.23"/>
    <n v="-253932.39"/>
    <n v="-297492.01"/>
    <n v="-226779.43"/>
    <n v="-308715.71999999997"/>
    <n v="-173842.87"/>
    <n v="-3437809.790000001"/>
    <n v="-134872.84999999998"/>
  </r>
  <r>
    <x v="18"/>
    <x v="0"/>
    <x v="0"/>
    <s v="3800102"/>
    <n v="400010"/>
    <s v="Acute I/P Svcs Rev--Self Pay"/>
    <s v="Emergency Services"/>
    <x v="0"/>
    <n v="1500"/>
    <n v="-79979.460000000006"/>
    <n v="-68025.36"/>
    <n v="-88710.25"/>
    <n v="13223.57"/>
    <n v="-51462.41"/>
    <n v="-35927.65"/>
    <n v="-53782.27"/>
    <n v="-67005.759999999995"/>
    <n v="-49052.86"/>
    <n v="-59067.38"/>
    <n v="-71269.960000000006"/>
    <n v="-59799.49"/>
    <n v="-670859.28"/>
    <n v="-11470.470000000008"/>
  </r>
  <r>
    <x v="18"/>
    <x v="0"/>
    <x v="0"/>
    <s v="3800102"/>
    <n v="400010"/>
    <s v="Acute I/P Svcs Rev--Other"/>
    <s v="Emergency Services"/>
    <x v="0"/>
    <n v="1700"/>
    <n v="-47499.9"/>
    <n v="-81468.460000000006"/>
    <n v="-37742.76"/>
    <n v="-46679.41"/>
    <n v="-19990.64"/>
    <n v="-13771.28"/>
    <n v="-32229.63"/>
    <n v="-46995.95"/>
    <n v="-34097.089999999997"/>
    <n v="-51949.84"/>
    <n v="-31705.22"/>
    <n v="-50904.95"/>
    <n v="-495035.12999999995"/>
    <n v="19199.729999999996"/>
  </r>
  <r>
    <x v="19"/>
    <x v="0"/>
    <x v="0"/>
    <s v="3800102"/>
    <n v="400020"/>
    <s v="O/P Care Svcs Rev--Medicare"/>
    <s v="Emergency Services"/>
    <x v="0"/>
    <n v="1100"/>
    <n v="-2980556.01"/>
    <n v="-3190960.97"/>
    <n v="-2918613.97"/>
    <n v="-3132586.27"/>
    <n v="-3133304.69"/>
    <n v="-2982069.69"/>
    <n v="-3289251.95"/>
    <n v="-2904765.77"/>
    <n v="-3207693.49"/>
    <n v="-2900426.86"/>
    <n v="-3255399.6"/>
    <n v="-3065382.81"/>
    <n v="-36961012.080000006"/>
    <n v="-190016.79000000004"/>
  </r>
  <r>
    <x v="19"/>
    <x v="0"/>
    <x v="0"/>
    <s v="3800102"/>
    <n v="400020"/>
    <s v="O/P Care Svcs Rev--Medicaid"/>
    <s v="Emergency Services"/>
    <x v="0"/>
    <n v="1200"/>
    <n v="-4342218.92"/>
    <n v="-4271622.7699999996"/>
    <n v="-3710623.78"/>
    <n v="-4580563.84"/>
    <n v="-4042569.39"/>
    <n v="-4113879.25"/>
    <n v="-4204596.34"/>
    <n v="-3739463.59"/>
    <n v="-4170900.82"/>
    <n v="-3791182.17"/>
    <n v="-4105189.86"/>
    <n v="-3744824.3"/>
    <n v="-48817635.029999994"/>
    <n v="-360365.56000000006"/>
  </r>
  <r>
    <x v="19"/>
    <x v="0"/>
    <x v="0"/>
    <s v="3800102"/>
    <n v="400020"/>
    <s v="O/P Care Svcs Rev--Comm Insurance"/>
    <s v="Emergency Services"/>
    <x v="0"/>
    <n v="1300"/>
    <n v="-437957.63"/>
    <n v="-302433.40000000002"/>
    <n v="-116608.69"/>
    <n v="-240364.95"/>
    <n v="-250239.39"/>
    <n v="-294249.32"/>
    <n v="-284986.03999999998"/>
    <n v="-262776.94"/>
    <n v="-316077.18"/>
    <n v="-259687.6"/>
    <n v="-248960.09"/>
    <n v="-276473.86"/>
    <n v="-3290815.0900000003"/>
    <n v="27513.76999999999"/>
  </r>
  <r>
    <x v="19"/>
    <x v="0"/>
    <x v="0"/>
    <s v="3800102"/>
    <n v="400020"/>
    <s v="O/P Care Svcs Rev--BCBS Comm"/>
    <s v="Emergency Services"/>
    <x v="0"/>
    <n v="1301"/>
    <n v="-649797.4"/>
    <n v="-913015.68"/>
    <n v="-752872.39"/>
    <n v="-841223.05"/>
    <n v="-883128.64"/>
    <n v="-781159.87"/>
    <n v="-903608.34"/>
    <n v="-697870.31"/>
    <n v="-807012.96"/>
    <n v="-753348.94"/>
    <n v="-903415.99"/>
    <n v="-698072.11"/>
    <n v="-9584525.6799999997"/>
    <n v="-205343.88"/>
  </r>
  <r>
    <x v="19"/>
    <x v="0"/>
    <x v="0"/>
    <s v="3800102"/>
    <n v="400020"/>
    <s v="O/P Care Svcs Rev--Managed Care"/>
    <s v="Emergency Services"/>
    <x v="0"/>
    <n v="1400"/>
    <n v="-2245783.06"/>
    <n v="-2258704.91"/>
    <n v="-1864244.58"/>
    <n v="-2155851.71"/>
    <n v="-2200811.91"/>
    <n v="-1985618.76"/>
    <n v="-2114336.25"/>
    <n v="-1979605.18"/>
    <n v="-2190202.9700000002"/>
    <n v="-2156550.96"/>
    <n v="-2310479.4500000002"/>
    <n v="-1964041.29"/>
    <n v="-25426231.030000001"/>
    <n v="-346438.16000000015"/>
  </r>
  <r>
    <x v="19"/>
    <x v="0"/>
    <x v="0"/>
    <s v="3800102"/>
    <n v="400020"/>
    <s v="O/P Care Svcs Rev--Self Pay"/>
    <s v="Emergency Services"/>
    <x v="0"/>
    <n v="1500"/>
    <n v="-856995.05"/>
    <n v="-935671.68"/>
    <n v="-829504.51"/>
    <n v="-960551.25"/>
    <n v="-883449.47"/>
    <n v="-847762.26"/>
    <n v="-810977.05"/>
    <n v="-830002.03"/>
    <n v="-1031384.48"/>
    <n v="-743420.8"/>
    <n v="-900604.3"/>
    <n v="-733816.3"/>
    <n v="-10364139.180000002"/>
    <n v="-166788"/>
  </r>
  <r>
    <x v="19"/>
    <x v="0"/>
    <x v="0"/>
    <s v="3800102"/>
    <n v="400020"/>
    <s v="O/P Care Svcs Rev--Other"/>
    <s v="Emergency Services"/>
    <x v="0"/>
    <n v="1700"/>
    <n v="-458597.36"/>
    <n v="-445279.24"/>
    <n v="-407693.74"/>
    <n v="-393680.75"/>
    <n v="-301464.34999999998"/>
    <n v="-359286.91"/>
    <n v="-319869.84000000003"/>
    <n v="-253431.63"/>
    <n v="-351105.35"/>
    <n v="-373352.02"/>
    <n v="-313112.26"/>
    <n v="-309453.08"/>
    <n v="-4286326.53"/>
    <n v="-3659.179999999993"/>
  </r>
  <r>
    <x v="20"/>
    <x v="0"/>
    <x v="0"/>
    <s v="3800102"/>
    <n v="610010"/>
    <s v="Foundation Distributions"/>
    <s v="Emergency Services"/>
    <x v="0"/>
    <n v="1175"/>
    <n v="0"/>
    <n v="0"/>
    <n v="0"/>
    <n v="0"/>
    <n v="0"/>
    <n v="0"/>
    <n v="-986.3"/>
    <n v="0"/>
    <n v="0"/>
    <n v="0"/>
    <n v="0"/>
    <n v="0"/>
    <n v="-986.3"/>
    <n v="0"/>
  </r>
  <r>
    <x v="5"/>
    <x v="0"/>
    <x v="0"/>
    <s v="3800102"/>
    <n v="700014"/>
    <s v="Salaries-Management-Productive"/>
    <s v="Emergency Services"/>
    <x v="0"/>
    <m/>
    <n v="23291.599999999999"/>
    <n v="21997.87"/>
    <n v="20518.009999999998"/>
    <n v="24644.69"/>
    <n v="21724.38"/>
    <n v="17458.919999999998"/>
    <n v="20647.07"/>
    <n v="21955.78"/>
    <n v="24201.41"/>
    <n v="22555.96"/>
    <n v="23972.45"/>
    <n v="19762.05"/>
    <n v="262730.19"/>
    <n v="4210.4000000000015"/>
  </r>
  <r>
    <x v="5"/>
    <x v="0"/>
    <x v="0"/>
    <s v="3800102"/>
    <n v="700026"/>
    <s v="Salaries-RN-Productive"/>
    <s v="Emergency Services"/>
    <x v="0"/>
    <m/>
    <n v="245287.2"/>
    <n v="252859.07"/>
    <n v="248752.79"/>
    <n v="261864.72"/>
    <n v="263906.32"/>
    <n v="287579.78999999998"/>
    <n v="254606.57"/>
    <n v="245722.14"/>
    <n v="269520.98"/>
    <n v="231522.91"/>
    <n v="239142.21"/>
    <n v="207235.24"/>
    <n v="3007999.9400000004"/>
    <n v="31906.97"/>
  </r>
  <r>
    <x v="5"/>
    <x v="0"/>
    <x v="0"/>
    <s v="3800102"/>
    <n v="700026"/>
    <s v="Salaries-RN-OT"/>
    <s v="Emergency Services"/>
    <x v="0"/>
    <n v="1000"/>
    <n v="7828.75"/>
    <n v="6048.34"/>
    <n v="10026.290000000001"/>
    <n v="3161.45"/>
    <n v="6727.28"/>
    <n v="7211.66"/>
    <n v="10126.459999999999"/>
    <n v="7762.24"/>
    <n v="10548.43"/>
    <n v="8067.54"/>
    <n v="3745.44"/>
    <n v="6086.47"/>
    <n v="87340.349999999991"/>
    <n v="-2341.0300000000002"/>
  </r>
  <r>
    <x v="5"/>
    <x v="0"/>
    <x v="0"/>
    <s v="3800102"/>
    <n v="700026"/>
    <s v="Salaries-RN-Other"/>
    <s v="Emergency Services"/>
    <x v="0"/>
    <n v="2000"/>
    <n v="26126.26"/>
    <n v="26456"/>
    <n v="25277.759999999998"/>
    <n v="27138.400000000001"/>
    <n v="28882.41"/>
    <n v="29622.45"/>
    <n v="27742.39"/>
    <n v="26799.82"/>
    <n v="29359.9"/>
    <n v="26987.25"/>
    <n v="28785.34"/>
    <n v="23985.279999999999"/>
    <n v="327163.26"/>
    <n v="4800.0600000000013"/>
  </r>
  <r>
    <x v="5"/>
    <x v="0"/>
    <x v="0"/>
    <s v="3800102"/>
    <n v="700032"/>
    <s v="Salaries-Other Pat Care Providers-Productive"/>
    <s v="Emergency Services"/>
    <x v="0"/>
    <m/>
    <n v="68125.279999999999"/>
    <n v="64053.73"/>
    <n v="60526.23"/>
    <n v="65571.820000000007"/>
    <n v="69718.47"/>
    <n v="75184.27"/>
    <n v="71424.53"/>
    <n v="67279.06"/>
    <n v="79973.259999999995"/>
    <n v="79138.850000000006"/>
    <n v="77235.360000000001"/>
    <n v="65261.21"/>
    <n v="843492.07000000007"/>
    <n v="11974.150000000001"/>
  </r>
  <r>
    <x v="5"/>
    <x v="0"/>
    <x v="0"/>
    <s v="3800102"/>
    <n v="700032"/>
    <s v="Salaries-Other Pat Care Providers-OT"/>
    <s v="Emergency Services"/>
    <x v="0"/>
    <n v="1000"/>
    <n v="3454.35"/>
    <n v="831.4"/>
    <n v="4688.2700000000004"/>
    <n v="455.81"/>
    <n v="1938.24"/>
    <n v="536.01"/>
    <n v="1906.71"/>
    <n v="1498.12"/>
    <n v="1392.51"/>
    <n v="1338.48"/>
    <n v="1369.81"/>
    <n v="1209.95"/>
    <n v="20619.66"/>
    <n v="159.8599999999999"/>
  </r>
  <r>
    <x v="5"/>
    <x v="0"/>
    <x v="0"/>
    <s v="3800102"/>
    <n v="700032"/>
    <s v="Salaries-Other Pat Care Providers-Other"/>
    <s v="Emergency Services"/>
    <x v="0"/>
    <n v="2000"/>
    <n v="6757.37"/>
    <n v="5251.77"/>
    <n v="5602.55"/>
    <n v="5559.32"/>
    <n v="5274.91"/>
    <n v="6198.52"/>
    <n v="5860.92"/>
    <n v="5137.5"/>
    <n v="6611.46"/>
    <n v="5545.3"/>
    <n v="6784.66"/>
    <n v="5731.01"/>
    <n v="70315.289999999994"/>
    <n v="1053.6499999999996"/>
  </r>
  <r>
    <x v="5"/>
    <x v="0"/>
    <x v="0"/>
    <s v="3800102"/>
    <n v="700038"/>
    <s v="Salaries-Service/Support-Productive"/>
    <s v="Emergency Services"/>
    <x v="0"/>
    <m/>
    <n v="27472.45"/>
    <n v="30136.37"/>
    <n v="28273.77"/>
    <n v="30588.78"/>
    <n v="28763.43"/>
    <n v="26753.51"/>
    <n v="28182.11"/>
    <n v="23794.55"/>
    <n v="31135.7"/>
    <n v="27711.63"/>
    <n v="32879.67"/>
    <n v="24651.39"/>
    <n v="340343.36"/>
    <n v="8228.2799999999988"/>
  </r>
  <r>
    <x v="5"/>
    <x v="0"/>
    <x v="0"/>
    <s v="3800102"/>
    <n v="700038"/>
    <s v="Salaries-Service/Support-OT"/>
    <s v="Emergency Services"/>
    <x v="0"/>
    <n v="1000"/>
    <n v="1698.72"/>
    <n v="879.01"/>
    <n v="942.02"/>
    <n v="1572.22"/>
    <n v="1333.8"/>
    <n v="1124.68"/>
    <n v="1732.29"/>
    <n v="863.57"/>
    <n v="1665.44"/>
    <n v="1675.08"/>
    <n v="204.52"/>
    <n v="1192.02"/>
    <n v="14883.370000000003"/>
    <n v="-987.5"/>
  </r>
  <r>
    <x v="5"/>
    <x v="0"/>
    <x v="0"/>
    <s v="3800102"/>
    <n v="700038"/>
    <s v="Salaries-Service/Support-Other"/>
    <s v="Emergency Services"/>
    <x v="0"/>
    <n v="2000"/>
    <n v="1612.84"/>
    <n v="1777.37"/>
    <n v="1826.01"/>
    <n v="1585.2"/>
    <n v="1382.44"/>
    <n v="1388.12"/>
    <n v="1481.79"/>
    <n v="1230.22"/>
    <n v="2249.89"/>
    <n v="1504.26"/>
    <n v="1914.15"/>
    <n v="1500.62"/>
    <n v="19452.91"/>
    <n v="413.5300000000002"/>
  </r>
  <r>
    <x v="5"/>
    <x v="0"/>
    <x v="0"/>
    <s v="3800102"/>
    <n v="700054"/>
    <s v="Salaries-Management-Non-productive"/>
    <s v="Emergency Services"/>
    <x v="0"/>
    <m/>
    <n v="0"/>
    <n v="809.67"/>
    <n v="1538.46"/>
    <n v="-647.73"/>
    <n v="1176.1600000000001"/>
    <n v="5628.63"/>
    <n v="2944.74"/>
    <n v="-420.87"/>
    <n v="0"/>
    <n v="0"/>
    <n v="588.94000000000005"/>
    <n v="3154.95"/>
    <n v="14772.95"/>
    <n v="-2566.0099999999998"/>
  </r>
  <r>
    <x v="5"/>
    <x v="0"/>
    <x v="0"/>
    <s v="3800102"/>
    <n v="700054"/>
    <s v="Salaries-Management-NonProd-Other"/>
    <s v="Emergency Services"/>
    <x v="0"/>
    <n v="2000"/>
    <n v="0"/>
    <n v="0"/>
    <n v="0"/>
    <n v="0"/>
    <n v="1191.98"/>
    <n v="11286.27"/>
    <n v="-8902.31"/>
    <n v="-3575.94"/>
    <n v="0"/>
    <n v="0"/>
    <n v="0"/>
    <n v="0"/>
    <n v="4.5474735088646412E-13"/>
    <n v="0"/>
  </r>
  <r>
    <x v="5"/>
    <x v="0"/>
    <x v="0"/>
    <s v="3800102"/>
    <n v="700066"/>
    <s v="Salaries-RN-Non-productive"/>
    <s v="Emergency Services"/>
    <x v="0"/>
    <m/>
    <n v="53710.6"/>
    <n v="46942.78"/>
    <n v="34851.78"/>
    <n v="27401.73"/>
    <n v="50284.72"/>
    <n v="31639.41"/>
    <n v="46022.44"/>
    <n v="38320.47"/>
    <n v="37593.99"/>
    <n v="37807.49"/>
    <n v="43125.21"/>
    <n v="39316.199999999997"/>
    <n v="487016.82000000007"/>
    <n v="3809.010000000002"/>
  </r>
  <r>
    <x v="5"/>
    <x v="0"/>
    <x v="0"/>
    <s v="3800102"/>
    <n v="700066"/>
    <s v="Salaries-RN-NonProd-Other"/>
    <s v="Emergency Services"/>
    <x v="0"/>
    <n v="2000"/>
    <n v="3616.55"/>
    <n v="2540.66"/>
    <n v="2401.4"/>
    <n v="1667.53"/>
    <n v="6070.47"/>
    <n v="4268.41"/>
    <n v="3044.37"/>
    <n v="-3169.05"/>
    <n v="2892.62"/>
    <n v="2859.28"/>
    <n v="2955.01"/>
    <n v="3128.48"/>
    <n v="32275.73"/>
    <n v="-173.4699999999998"/>
  </r>
  <r>
    <x v="5"/>
    <x v="0"/>
    <x v="0"/>
    <s v="3800102"/>
    <n v="700072"/>
    <s v="Salaries-Other Pat Care Providers-Non-productive"/>
    <s v="Emergency Services"/>
    <x v="0"/>
    <m/>
    <n v="10142.18"/>
    <n v="8863.7800000000007"/>
    <n v="7251.14"/>
    <n v="14516.6"/>
    <n v="5110.97"/>
    <n v="8399.7800000000007"/>
    <n v="8991.75"/>
    <n v="7260.26"/>
    <n v="5181.7299999999996"/>
    <n v="10251.629999999999"/>
    <n v="6788.8"/>
    <n v="9785.3799999999992"/>
    <n v="102544"/>
    <n v="-2996.579999999999"/>
  </r>
  <r>
    <x v="5"/>
    <x v="0"/>
    <x v="0"/>
    <s v="3800102"/>
    <n v="700072"/>
    <s v="Salaries-Other Pat Care Providers-NonProd-Other"/>
    <s v="Emergency Services"/>
    <x v="0"/>
    <n v="2000"/>
    <n v="369.69"/>
    <n v="446.65"/>
    <n v="567.49"/>
    <n v="807.32"/>
    <n v="1929.61"/>
    <n v="3646.6"/>
    <n v="448.39"/>
    <n v="-4454.6499999999996"/>
    <n v="522.13"/>
    <n v="359.06"/>
    <n v="441.94"/>
    <n v="643.04"/>
    <n v="5727.27"/>
    <n v="-201.09999999999997"/>
  </r>
  <r>
    <x v="5"/>
    <x v="0"/>
    <x v="0"/>
    <s v="3800102"/>
    <n v="700078"/>
    <s v="Salaries-Service/Support-Non-productive"/>
    <s v="Emergency Services"/>
    <x v="0"/>
    <m/>
    <n v="7252.55"/>
    <n v="3024.64"/>
    <n v="3541.81"/>
    <n v="3061.4"/>
    <n v="7094.02"/>
    <n v="3143.4"/>
    <n v="6755.73"/>
    <n v="5698.83"/>
    <n v="2341.66"/>
    <n v="4599.05"/>
    <n v="628.98"/>
    <n v="5535.88"/>
    <n v="52677.950000000012"/>
    <n v="-4906.8999999999996"/>
  </r>
  <r>
    <x v="5"/>
    <x v="0"/>
    <x v="0"/>
    <s v="3800102"/>
    <n v="700078"/>
    <s v="Salaries-Service/Support-NonProd-Other"/>
    <s v="Emergency Services"/>
    <x v="0"/>
    <n v="2000"/>
    <n v="301.07"/>
    <n v="86.98"/>
    <n v="37.25"/>
    <n v="202.27"/>
    <n v="1172.95"/>
    <n v="1008.45"/>
    <n v="251.59"/>
    <n v="-1527.23"/>
    <n v="155.12"/>
    <n v="159.47"/>
    <n v="65.36"/>
    <n v="217.2"/>
    <n v="2130.48"/>
    <n v="-151.83999999999997"/>
  </r>
  <r>
    <x v="5"/>
    <x v="0"/>
    <x v="0"/>
    <s v="3800102"/>
    <n v="700084"/>
    <s v="Accrued PTO"/>
    <s v="Emergency Services"/>
    <x v="0"/>
    <m/>
    <n v="-6044.92"/>
    <n v="-1343.91"/>
    <n v="12900.3"/>
    <n v="21931.79"/>
    <n v="16658.82"/>
    <n v="12340.32"/>
    <n v="-5544.18"/>
    <n v="351.07"/>
    <n v="-4324.3900000000003"/>
    <n v="4287.42"/>
    <n v="12762.6"/>
    <n v="-15645.32"/>
    <n v="48329.599999999999"/>
    <n v="28407.919999999998"/>
  </r>
  <r>
    <x v="10"/>
    <x v="0"/>
    <x v="0"/>
    <s v="3800102"/>
    <n v="710060"/>
    <s v="Contract Labor-Other"/>
    <s v="Emergency Services"/>
    <x v="0"/>
    <m/>
    <n v="52531.76"/>
    <n v="107876.39"/>
    <n v="53915.68"/>
    <n v="64139.94"/>
    <n v="70332.14"/>
    <n v="40762.85"/>
    <n v="33183.879999999997"/>
    <n v="20978.5"/>
    <n v="9286.75"/>
    <n v="31240"/>
    <n v="75688.66"/>
    <n v="41621.089999999997"/>
    <n v="601557.64"/>
    <n v="34067.570000000007"/>
  </r>
  <r>
    <x v="10"/>
    <x v="0"/>
    <x v="0"/>
    <s v="3800102"/>
    <n v="710060"/>
    <s v="Contract Labor-Overtime"/>
    <s v="Emergency Services"/>
    <x v="0"/>
    <n v="5100"/>
    <n v="3163.05"/>
    <n v="1629.45"/>
    <n v="4853.25"/>
    <n v="766.8"/>
    <n v="4259.33"/>
    <n v="3377.4"/>
    <n v="5465.55"/>
    <n v="0"/>
    <n v="0"/>
    <n v="0"/>
    <n v="119.81"/>
    <n v="5990.62"/>
    <n v="29625.26"/>
    <n v="-5870.8099999999995"/>
  </r>
  <r>
    <x v="6"/>
    <x v="0"/>
    <x v="0"/>
    <s v="3800102"/>
    <n v="713010"/>
    <s v="Benefits-FICA/Medicare"/>
    <s v="Emergency Services"/>
    <x v="0"/>
    <m/>
    <n v="36025.129999999997"/>
    <n v="35010.36"/>
    <n v="34120.01"/>
    <n v="34296.129999999997"/>
    <n v="35860.44"/>
    <n v="38154.67"/>
    <n v="37308.43"/>
    <n v="33714.870000000003"/>
    <n v="37407.910000000003"/>
    <n v="34875.75"/>
    <n v="34846.199999999997"/>
    <n v="31944.36"/>
    <n v="423564.25999999995"/>
    <n v="2901.8399999999965"/>
  </r>
  <r>
    <x v="6"/>
    <x v="0"/>
    <x v="0"/>
    <s v="3800102"/>
    <n v="713090"/>
    <s v="Benefits-Allocated Amounts"/>
    <s v="Emergency Services"/>
    <x v="0"/>
    <m/>
    <n v="100255.87"/>
    <n v="85037.23"/>
    <n v="90400.22"/>
    <n v="90629.62"/>
    <n v="97264.44"/>
    <n v="97869.09"/>
    <n v="99994.86"/>
    <n v="97190.56"/>
    <n v="98156.04"/>
    <n v="99521.14"/>
    <n v="100414.62"/>
    <n v="91162.16"/>
    <n v="1147895.8499999999"/>
    <n v="9252.4599999999919"/>
  </r>
  <r>
    <x v="6"/>
    <x v="0"/>
    <x v="0"/>
    <s v="3800102"/>
    <n v="713096"/>
    <s v="Employee Recognition"/>
    <s v="Emergency Services"/>
    <x v="0"/>
    <n v="1017"/>
    <n v="275.95"/>
    <n v="0"/>
    <n v="0"/>
    <n v="0"/>
    <n v="0"/>
    <n v="0"/>
    <n v="43.25"/>
    <n v="402.76"/>
    <n v="562.84"/>
    <n v="0"/>
    <n v="199.9"/>
    <n v="0"/>
    <n v="1484.7000000000003"/>
    <n v="199.9"/>
  </r>
  <r>
    <x v="17"/>
    <x v="0"/>
    <x v="0"/>
    <s v="3800102"/>
    <n v="714520"/>
    <s v="Other Contracted Professionals"/>
    <s v="Emergency Services"/>
    <x v="0"/>
    <m/>
    <n v="61537.5"/>
    <n v="34220"/>
    <n v="46760"/>
    <n v="42750"/>
    <n v="37080"/>
    <n v="107867.5"/>
    <n v="50519.24"/>
    <n v="55639.24"/>
    <n v="45117.99"/>
    <n v="62904.24"/>
    <n v="172257.89"/>
    <n v="80441.289999999994"/>
    <n v="797094.89"/>
    <n v="91816.60000000002"/>
  </r>
  <r>
    <x v="17"/>
    <x v="0"/>
    <x v="0"/>
    <s v="3800102"/>
    <n v="714530"/>
    <s v="Medical Prof Fees-Intracompany"/>
    <s v="Emergency Services"/>
    <x v="0"/>
    <m/>
    <n v="31367.17"/>
    <n v="40408.5"/>
    <n v="43302.21"/>
    <n v="30382.58"/>
    <n v="30579.52"/>
    <n v="26959.58"/>
    <n v="-7286.92"/>
    <n v="26252.639999999999"/>
    <n v="22325.48"/>
    <n v="18705.96"/>
    <n v="25854.58"/>
    <n v="34097.89"/>
    <n v="322949.19"/>
    <n v="-8243.3099999999977"/>
  </r>
  <r>
    <x v="7"/>
    <x v="0"/>
    <x v="0"/>
    <s v="3800102"/>
    <n v="718050"/>
    <s v="Contract Svcs-Other"/>
    <s v="Emergency Services"/>
    <x v="0"/>
    <m/>
    <n v="290.7"/>
    <n v="2256.5700000000002"/>
    <n v="78.27"/>
    <n v="381.87"/>
    <n v="595.32000000000005"/>
    <n v="945.92"/>
    <n v="437.31"/>
    <n v="987.32"/>
    <n v="1994.88"/>
    <n v="647.37"/>
    <n v="35.340000000000003"/>
    <n v="353.27"/>
    <n v="9004.1400000000012"/>
    <n v="-317.92999999999995"/>
  </r>
  <r>
    <x v="7"/>
    <x v="0"/>
    <x v="0"/>
    <s v="3800102"/>
    <n v="718050"/>
    <s v="Document Shredding/Storage"/>
    <s v="Emergency Services"/>
    <x v="0"/>
    <n v="1012"/>
    <n v="15.07"/>
    <n v="15.82"/>
    <n v="14.76"/>
    <n v="15.04"/>
    <n v="15.54"/>
    <n v="42.1"/>
    <n v="41.67"/>
    <n v="-13.09"/>
    <n v="13.67"/>
    <n v="17.91"/>
    <n v="15.04"/>
    <n v="44.03"/>
    <n v="237.55999999999997"/>
    <n v="-28.990000000000002"/>
  </r>
  <r>
    <x v="7"/>
    <x v="0"/>
    <x v="0"/>
    <s v="3800102"/>
    <n v="718050"/>
    <s v="Miscellaneous Purchased Svcs"/>
    <s v="Emergency Services"/>
    <x v="0"/>
    <n v="1020"/>
    <n v="1250"/>
    <n v="1500"/>
    <n v="1651.5"/>
    <n v="0"/>
    <n v="274.75"/>
    <n v="1500"/>
    <n v="1781.25"/>
    <n v="0"/>
    <n v="0"/>
    <n v="1500"/>
    <n v="0"/>
    <n v="0"/>
    <n v="9457.5"/>
    <n v="0"/>
  </r>
  <r>
    <x v="7"/>
    <x v="0"/>
    <x v="0"/>
    <s v="3800102"/>
    <n v="718050"/>
    <s v="Translation Services"/>
    <s v="Emergency Services"/>
    <x v="0"/>
    <n v="1025"/>
    <n v="1084.3499999999999"/>
    <n v="371.45"/>
    <n v="1305.69"/>
    <n v="206.33"/>
    <n v="88"/>
    <n v="238.95"/>
    <n v="332.91"/>
    <n v="317.52"/>
    <n v="643.14"/>
    <n v="332.59"/>
    <n v="0"/>
    <n v="0"/>
    <n v="4920.9299999999994"/>
    <n v="0"/>
  </r>
  <r>
    <x v="7"/>
    <x v="0"/>
    <x v="0"/>
    <s v="3800102"/>
    <n v="718050"/>
    <s v="Contract Management--Linen"/>
    <s v="Emergency Services"/>
    <x v="0"/>
    <n v="1026"/>
    <n v="11871.52"/>
    <n v="11971.66"/>
    <n v="13331.84"/>
    <n v="11941.12"/>
    <n v="13862.01"/>
    <n v="14094.13"/>
    <n v="11679.98"/>
    <n v="20859.599999999999"/>
    <n v="15964.82"/>
    <n v="13073.54"/>
    <n v="15436.29"/>
    <n v="10304.66"/>
    <n v="164391.17000000004"/>
    <n v="5131.630000000001"/>
  </r>
  <r>
    <x v="7"/>
    <x v="0"/>
    <x v="0"/>
    <s v="3800102"/>
    <n v="718070"/>
    <s v="Contract Srvcs-CHI Clinical Engineering"/>
    <s v="Emergency Services"/>
    <x v="0"/>
    <m/>
    <n v="366.64"/>
    <n v="366.64"/>
    <n v="366.64"/>
    <n v="366.64"/>
    <n v="366.64"/>
    <n v="366.64"/>
    <n v="366.64"/>
    <n v="366.64"/>
    <n v="366.64"/>
    <n v="366.64"/>
    <n v="366.64"/>
    <n v="366.64"/>
    <n v="4399.6799999999994"/>
    <n v="0"/>
  </r>
  <r>
    <x v="7"/>
    <x v="0"/>
    <x v="0"/>
    <s v="3800102"/>
    <n v="718077"/>
    <s v="PACS"/>
    <s v="Emergency Services"/>
    <x v="0"/>
    <n v="1000"/>
    <n v="40.5"/>
    <n v="38.25"/>
    <n v="58.5"/>
    <n v="29.25"/>
    <n v="42.75"/>
    <n v="51.75"/>
    <n v="42.75"/>
    <n v="27"/>
    <n v="27"/>
    <n v="31.5"/>
    <n v="31.5"/>
    <n v="22.5"/>
    <n v="443.25"/>
    <n v="9"/>
  </r>
  <r>
    <x v="7"/>
    <x v="0"/>
    <x v="0"/>
    <s v="3800102"/>
    <n v="718091"/>
    <s v="Contract Services-Intracompany Allocation"/>
    <s v="Emergency Services"/>
    <x v="0"/>
    <m/>
    <n v="25544.83"/>
    <n v="15871.54"/>
    <n v="-13871.11"/>
    <n v="20781.14"/>
    <n v="19975.75"/>
    <n v="16477.36"/>
    <n v="25335.18"/>
    <n v="20907.07"/>
    <n v="25500.58"/>
    <n v="10939.36"/>
    <n v="24526.13"/>
    <n v="20098.849999999999"/>
    <n v="212086.68000000002"/>
    <n v="4427.2800000000025"/>
  </r>
  <r>
    <x v="11"/>
    <x v="0"/>
    <x v="0"/>
    <s v="3800102"/>
    <n v="721010"/>
    <s v="Supplies-Medical - Billable"/>
    <s v="Emergency Services"/>
    <x v="0"/>
    <m/>
    <n v="10461.14"/>
    <n v="10902.35"/>
    <n v="8229.0400000000009"/>
    <n v="11577.17"/>
    <n v="8781.7900000000009"/>
    <n v="7349.06"/>
    <n v="10477.93"/>
    <n v="7550.03"/>
    <n v="9375.82"/>
    <n v="8226.4500000000007"/>
    <n v="7406.76"/>
    <n v="8491.0400000000009"/>
    <n v="108828.57999999999"/>
    <n v="-1084.2800000000007"/>
  </r>
  <r>
    <x v="11"/>
    <x v="0"/>
    <x v="0"/>
    <s v="3800102"/>
    <n v="721010"/>
    <s v="Patient Monitoring"/>
    <s v="Emergency Services"/>
    <x v="0"/>
    <n v="1000"/>
    <n v="1414.02"/>
    <n v="1399.96"/>
    <n v="1198.54"/>
    <n v="1518.73"/>
    <n v="1138.58"/>
    <n v="1523.08"/>
    <n v="1499.9"/>
    <n v="1240.03"/>
    <n v="1532.64"/>
    <n v="1317.73"/>
    <n v="1482.1"/>
    <n v="1324.34"/>
    <n v="16589.649999999998"/>
    <n v="157.76"/>
  </r>
  <r>
    <x v="11"/>
    <x v="0"/>
    <x v="0"/>
    <s v="3800102"/>
    <n v="721020"/>
    <s v="Supplies-Surgical - Billable"/>
    <s v="Emergency Services"/>
    <x v="0"/>
    <m/>
    <n v="1758.4"/>
    <n v="761.62"/>
    <n v="812.52"/>
    <n v="-8171.83"/>
    <n v="1640.11"/>
    <n v="868.14"/>
    <n v="1657.18"/>
    <n v="905.49"/>
    <n v="2530.89"/>
    <n v="1405.44"/>
    <n v="1480.7"/>
    <n v="776.79"/>
    <n v="6425.4499999999989"/>
    <n v="703.91000000000008"/>
  </r>
  <r>
    <x v="11"/>
    <x v="0"/>
    <x v="0"/>
    <s v="3800102"/>
    <n v="721020"/>
    <s v="Custom Packs"/>
    <s v="Emergency Services"/>
    <x v="0"/>
    <n v="1000"/>
    <n v="1949.1"/>
    <n v="1514.04"/>
    <n v="1551.1"/>
    <n v="1497.99"/>
    <n v="1190.21"/>
    <n v="1328.28"/>
    <n v="1321.65"/>
    <n v="1175.48"/>
    <n v="1228.4000000000001"/>
    <n v="1246.55"/>
    <n v="1396.76"/>
    <n v="1658.05"/>
    <n v="17057.609999999997"/>
    <n v="-261.28999999999996"/>
  </r>
  <r>
    <x v="11"/>
    <x v="0"/>
    <x v="0"/>
    <s v="3800102"/>
    <n v="721020"/>
    <s v="Suture/Wound Closure"/>
    <s v="Emergency Services"/>
    <x v="0"/>
    <n v="1001"/>
    <n v="92.59"/>
    <n v="68.89"/>
    <n v="84.7"/>
    <n v="94.5"/>
    <n v="276.49"/>
    <n v="373.21"/>
    <n v="285.93"/>
    <n v="293.92"/>
    <n v="866.14"/>
    <n v="390.54"/>
    <n v="683.77"/>
    <n v="548.87"/>
    <n v="4059.55"/>
    <n v="134.89999999999998"/>
  </r>
  <r>
    <x v="11"/>
    <x v="0"/>
    <x v="0"/>
    <s v="3800102"/>
    <n v="721020"/>
    <s v="Endoscopy - Trocars &amp; Accessories"/>
    <s v="Emergency Services"/>
    <x v="0"/>
    <n v="1002"/>
    <n v="0"/>
    <n v="2.16"/>
    <n v="0"/>
    <n v="0"/>
    <n v="81.099999999999994"/>
    <n v="105.99"/>
    <n v="-6.1"/>
    <n v="-8.7799999999999994"/>
    <n v="0"/>
    <n v="0"/>
    <n v="0"/>
    <n v="37.92"/>
    <n v="212.29000000000002"/>
    <n v="-37.92"/>
  </r>
  <r>
    <x v="11"/>
    <x v="0"/>
    <x v="0"/>
    <s v="3800102"/>
    <n v="721020"/>
    <s v="Endomechanical Supplies &amp; Instruments"/>
    <s v="Emergency Services"/>
    <x v="0"/>
    <n v="1003"/>
    <n v="2.75"/>
    <n v="0"/>
    <n v="0"/>
    <n v="0"/>
    <n v="0"/>
    <n v="0"/>
    <n v="0"/>
    <n v="0"/>
    <n v="113.61"/>
    <n v="0"/>
    <n v="0"/>
    <n v="0"/>
    <n v="116.36"/>
    <n v="0"/>
  </r>
  <r>
    <x v="11"/>
    <x v="0"/>
    <x v="0"/>
    <s v="3800102"/>
    <n v="721020"/>
    <s v="Urological Supplies"/>
    <s v="Emergency Services"/>
    <x v="0"/>
    <n v="1006"/>
    <n v="205.29"/>
    <n v="-29.98"/>
    <n v="30.37"/>
    <n v="73.64"/>
    <n v="40.69"/>
    <n v="67.069999999999993"/>
    <n v="-34.14"/>
    <n v="28.65"/>
    <n v="2.58"/>
    <n v="-335.52"/>
    <n v="31.23"/>
    <n v="343.77"/>
    <n v="423.65"/>
    <n v="-312.53999999999996"/>
  </r>
  <r>
    <x v="11"/>
    <x v="0"/>
    <x v="0"/>
    <s v="3800102"/>
    <n v="721020"/>
    <s v="Surgical Cardiovascular"/>
    <s v="Emergency Services"/>
    <x v="0"/>
    <n v="1007"/>
    <n v="12.81"/>
    <n v="0"/>
    <n v="0"/>
    <n v="0"/>
    <n v="6.4"/>
    <n v="0"/>
    <n v="0"/>
    <n v="0"/>
    <n v="0"/>
    <n v="0"/>
    <n v="0"/>
    <n v="0"/>
    <n v="19.21"/>
    <n v="0"/>
  </r>
  <r>
    <x v="11"/>
    <x v="0"/>
    <x v="0"/>
    <s v="3800102"/>
    <n v="721020"/>
    <s v="Tubes Drains &amp; Related Supplies"/>
    <s v="Emergency Services"/>
    <x v="0"/>
    <n v="1008"/>
    <n v="420.95"/>
    <n v="204.21"/>
    <n v="-134.86000000000001"/>
    <n v="291.37"/>
    <n v="369.14"/>
    <n v="1699.35"/>
    <n v="120.43"/>
    <n v="389.7"/>
    <n v="267.16000000000003"/>
    <n v="145.74"/>
    <n v="175.08"/>
    <n v="222.67"/>
    <n v="4170.9399999999996"/>
    <n v="-47.589999999999975"/>
  </r>
  <r>
    <x v="11"/>
    <x v="0"/>
    <x v="0"/>
    <s v="3800102"/>
    <n v="721050"/>
    <s v="Supplies-Cardiac Rhythm - Billable"/>
    <s v="Emergency Services"/>
    <x v="0"/>
    <m/>
    <n v="64.98"/>
    <n v="286.95"/>
    <n v="111.61"/>
    <n v="0"/>
    <n v="56.91"/>
    <n v="942.21"/>
    <n v="569.28"/>
    <n v="370.98"/>
    <n v="51.33"/>
    <n v="426.48"/>
    <n v="0"/>
    <n v="0"/>
    <n v="2880.73"/>
    <n v="0"/>
  </r>
  <r>
    <x v="11"/>
    <x v="0"/>
    <x v="0"/>
    <s v="3800102"/>
    <n v="721050"/>
    <s v="Pacemakers - Internal"/>
    <s v="Emergency Services"/>
    <x v="0"/>
    <n v="1000"/>
    <n v="0"/>
    <n v="0"/>
    <n v="0"/>
    <n v="0"/>
    <n v="0"/>
    <n v="0"/>
    <n v="-70"/>
    <n v="0"/>
    <n v="0"/>
    <n v="0"/>
    <n v="140"/>
    <n v="0"/>
    <n v="70"/>
    <n v="140"/>
  </r>
  <r>
    <x v="11"/>
    <x v="0"/>
    <x v="0"/>
    <s v="3800102"/>
    <n v="721240"/>
    <s v="Supplies-IV Solutions/Supplies - Billable"/>
    <s v="Emergency Services"/>
    <x v="0"/>
    <m/>
    <n v="15756.43"/>
    <n v="17367.53"/>
    <n v="14999.39"/>
    <n v="16306.94"/>
    <n v="14801.52"/>
    <n v="16109.28"/>
    <n v="16435.7"/>
    <n v="15287.73"/>
    <n v="15135.82"/>
    <n v="13787.65"/>
    <n v="14709.48"/>
    <n v="13819.29"/>
    <n v="184516.76"/>
    <n v="890.18999999999869"/>
  </r>
  <r>
    <x v="11"/>
    <x v="0"/>
    <x v="0"/>
    <s v="3800102"/>
    <n v="721250"/>
    <s v="Supplies-Pharmacy Drugs - Billable"/>
    <s v="Emergency Services"/>
    <x v="0"/>
    <m/>
    <n v="5.9"/>
    <n v="232.48"/>
    <n v="4.84"/>
    <n v="59.92"/>
    <n v="5.36"/>
    <n v="7.16"/>
    <n v="0"/>
    <n v="56.66"/>
    <n v="6.3"/>
    <n v="50.75"/>
    <n v="22.92"/>
    <n v="7.34"/>
    <n v="459.63000000000005"/>
    <n v="15.580000000000002"/>
  </r>
  <r>
    <x v="11"/>
    <x v="0"/>
    <x v="0"/>
    <s v="3800102"/>
    <n v="721410"/>
    <s v="Supplies-Medical - Nonbillable"/>
    <s v="Emergency Services"/>
    <x v="0"/>
    <m/>
    <n v="43178.35"/>
    <n v="44249.39"/>
    <n v="41667.589999999997"/>
    <n v="40954.01"/>
    <n v="43981.18"/>
    <n v="47598.57"/>
    <n v="46503.95"/>
    <n v="36611.599999999999"/>
    <n v="43966.38"/>
    <n v="28350.35"/>
    <n v="47183.47"/>
    <n v="36480.99"/>
    <n v="500725.82999999996"/>
    <n v="10702.480000000003"/>
  </r>
  <r>
    <x v="11"/>
    <x v="0"/>
    <x v="0"/>
    <s v="3800102"/>
    <n v="721410"/>
    <s v="Patient Monitoring"/>
    <s v="Emergency Services"/>
    <x v="0"/>
    <n v="1000"/>
    <n v="15.62"/>
    <n v="854.52"/>
    <n v="4.4400000000000004"/>
    <n v="11.09"/>
    <n v="8.8800000000000008"/>
    <n v="96.9"/>
    <n v="2.2200000000000002"/>
    <n v="7.77"/>
    <n v="988.78"/>
    <n v="12.45"/>
    <n v="2.2200000000000002"/>
    <n v="5.55"/>
    <n v="2010.44"/>
    <n v="-3.3299999999999996"/>
  </r>
  <r>
    <x v="11"/>
    <x v="0"/>
    <x v="0"/>
    <s v="3800102"/>
    <n v="721420"/>
    <s v="Supplies-Surgical Nonbillable"/>
    <s v="Emergency Services"/>
    <x v="0"/>
    <m/>
    <n v="5342.19"/>
    <n v="1283.8900000000001"/>
    <n v="547.66999999999996"/>
    <n v="2273.3000000000002"/>
    <n v="899.16"/>
    <n v="3237.23"/>
    <n v="7447.82"/>
    <n v="1981.48"/>
    <n v="4060.45"/>
    <n v="11505.43"/>
    <n v="622.39"/>
    <n v="4781.91"/>
    <n v="43982.92"/>
    <n v="-4159.5199999999995"/>
  </r>
  <r>
    <x v="11"/>
    <x v="0"/>
    <x v="0"/>
    <s v="3800102"/>
    <n v="721420"/>
    <s v="Tubes Drains &amp; Related Supplies"/>
    <s v="Emergency Services"/>
    <x v="0"/>
    <n v="1008"/>
    <n v="87.83"/>
    <n v="1016.19"/>
    <n v="136.15"/>
    <n v="132.93"/>
    <n v="874.16"/>
    <n v="610.77"/>
    <n v="276.12"/>
    <n v="656.7"/>
    <n v="-334.68"/>
    <n v="531.6"/>
    <n v="492.19"/>
    <n v="123.2"/>
    <n v="4603.16"/>
    <n v="368.99"/>
  </r>
  <r>
    <x v="11"/>
    <x v="0"/>
    <x v="0"/>
    <s v="3800102"/>
    <n v="721420"/>
    <s v="Sterilization Process Products"/>
    <s v="Emergency Services"/>
    <x v="0"/>
    <n v="1009"/>
    <n v="-15.84"/>
    <n v="0"/>
    <n v="0"/>
    <n v="0"/>
    <n v="33.42"/>
    <n v="31.66"/>
    <n v="47.45"/>
    <n v="0"/>
    <n v="35.42"/>
    <n v="113.38"/>
    <n v="70.86"/>
    <n v="159.56"/>
    <n v="475.91"/>
    <n v="-88.7"/>
  </r>
  <r>
    <x v="11"/>
    <x v="0"/>
    <x v="0"/>
    <s v="3800102"/>
    <n v="721610"/>
    <s v="Supplies-Anesthesia - Nonbillable"/>
    <s v="Emergency Services"/>
    <x v="0"/>
    <m/>
    <n v="2174.7199999999998"/>
    <n v="2022.48"/>
    <n v="3038.91"/>
    <n v="2417.89"/>
    <n v="2603.7800000000002"/>
    <n v="3595.77"/>
    <n v="2913.46"/>
    <n v="3882.68"/>
    <n v="2868.88"/>
    <n v="3022.06"/>
    <n v="2470.4499999999998"/>
    <n v="2708.83"/>
    <n v="33719.910000000003"/>
    <n v="-238.38000000000011"/>
  </r>
  <r>
    <x v="11"/>
    <x v="0"/>
    <x v="0"/>
    <s v="3800102"/>
    <n v="721640"/>
    <s v="Supplies-IV Solutions/Supplies - Nonbillable"/>
    <s v="Emergency Services"/>
    <x v="0"/>
    <m/>
    <n v="9507.56"/>
    <n v="9944.08"/>
    <n v="8300.27"/>
    <n v="9574.7900000000009"/>
    <n v="8830.58"/>
    <n v="9627.14"/>
    <n v="11628.45"/>
    <n v="9772.15"/>
    <n v="11514.14"/>
    <n v="9369.06"/>
    <n v="8687.17"/>
    <n v="8438.73"/>
    <n v="115194.11999999998"/>
    <n v="248.44000000000051"/>
  </r>
  <r>
    <x v="11"/>
    <x v="0"/>
    <x v="0"/>
    <s v="3800102"/>
    <n v="721650"/>
    <s v="Supplies-Pharmacy Drugs - Nonbillable"/>
    <s v="Emergency Services"/>
    <x v="0"/>
    <m/>
    <n v="163.54"/>
    <n v="326.64"/>
    <n v="-73.86"/>
    <n v="99.02"/>
    <n v="477.18"/>
    <n v="113.66"/>
    <n v="297.87"/>
    <n v="139.32"/>
    <n v="58.02"/>
    <n v="423.24"/>
    <n v="203.64"/>
    <n v="151.13999999999999"/>
    <n v="2379.41"/>
    <n v="52.5"/>
  </r>
  <r>
    <x v="11"/>
    <x v="0"/>
    <x v="0"/>
    <s v="3800102"/>
    <n v="721710"/>
    <s v="Supplies-Laboratory - Nonbillable"/>
    <s v="Emergency Services"/>
    <x v="0"/>
    <m/>
    <n v="7108.39"/>
    <n v="6443.08"/>
    <n v="6285.76"/>
    <n v="7069.07"/>
    <n v="7314.19"/>
    <n v="6248.8"/>
    <n v="7728.2"/>
    <n v="6119.18"/>
    <n v="7967.75"/>
    <n v="5602.95"/>
    <n v="5557.99"/>
    <n v="5754.65"/>
    <n v="79200.010000000009"/>
    <n v="-196.65999999999985"/>
  </r>
  <r>
    <x v="11"/>
    <x v="0"/>
    <x v="0"/>
    <s v="3800102"/>
    <n v="721710"/>
    <s v="Reagents"/>
    <s v="Emergency Services"/>
    <x v="0"/>
    <n v="1000"/>
    <n v="424.69"/>
    <n v="338.15"/>
    <n v="580.74"/>
    <n v="728.21"/>
    <n v="967.37"/>
    <n v="979.61"/>
    <n v="1372.86"/>
    <n v="1260.99"/>
    <n v="1459.7"/>
    <n v="828.02"/>
    <n v="434.2"/>
    <n v="536.54999999999995"/>
    <n v="9911.09"/>
    <n v="-102.34999999999997"/>
  </r>
  <r>
    <x v="11"/>
    <x v="0"/>
    <x v="0"/>
    <s v="3800102"/>
    <n v="721750"/>
    <s v="Supplies-Film/Radiographic - Nonbillable"/>
    <s v="Emergency Services"/>
    <x v="0"/>
    <m/>
    <n v="63.95"/>
    <n v="91.4"/>
    <n v="36.78"/>
    <n v="85.46"/>
    <n v="40.82"/>
    <n v="53.14"/>
    <n v="88.04"/>
    <n v="110.24"/>
    <n v="1.88"/>
    <n v="5.62"/>
    <n v="2.81"/>
    <n v="9.36"/>
    <n v="589.5"/>
    <n v="-6.5499999999999989"/>
  </r>
  <r>
    <x v="11"/>
    <x v="0"/>
    <x v="0"/>
    <s v="3800102"/>
    <n v="721810"/>
    <s v="Supplies-Dietary/Cafeteria"/>
    <s v="Emergency Services"/>
    <x v="0"/>
    <m/>
    <n v="7484.26"/>
    <n v="7795"/>
    <n v="7126.01"/>
    <n v="7477.56"/>
    <n v="6753.97"/>
    <n v="7310.59"/>
    <n v="7002.48"/>
    <n v="7655.03"/>
    <n v="7420.47"/>
    <n v="7409.9"/>
    <n v="7220.82"/>
    <n v="7111.89"/>
    <n v="87767.98"/>
    <n v="108.92999999999938"/>
  </r>
  <r>
    <x v="11"/>
    <x v="0"/>
    <x v="0"/>
    <s v="3800102"/>
    <n v="721830"/>
    <s v="Supplies-Office"/>
    <s v="Emergency Services"/>
    <x v="0"/>
    <m/>
    <n v="1209.9100000000001"/>
    <n v="1627.28"/>
    <n v="1601.09"/>
    <n v="2076.2199999999998"/>
    <n v="2468.1999999999998"/>
    <n v="2265.73"/>
    <n v="1568.96"/>
    <n v="1004.14"/>
    <n v="1876.76"/>
    <n v="1254.95"/>
    <n v="1486.01"/>
    <n v="1450.45"/>
    <n v="19889.699999999997"/>
    <n v="35.559999999999945"/>
  </r>
  <r>
    <x v="11"/>
    <x v="0"/>
    <x v="0"/>
    <s v="3800102"/>
    <n v="721835"/>
    <s v="Supplies-Forms"/>
    <s v="Emergency Services"/>
    <x v="0"/>
    <m/>
    <n v="0"/>
    <n v="0"/>
    <n v="0"/>
    <n v="0"/>
    <n v="2"/>
    <n v="33.28"/>
    <n v="92.2"/>
    <n v="0"/>
    <n v="21.9"/>
    <n v="60.33"/>
    <n v="92.62"/>
    <n v="0"/>
    <n v="302.33"/>
    <n v="92.62"/>
  </r>
  <r>
    <x v="11"/>
    <x v="0"/>
    <x v="0"/>
    <s v="3800102"/>
    <n v="721870"/>
    <s v="Supplies-Environmental Services"/>
    <s v="Emergency Services"/>
    <x v="0"/>
    <m/>
    <n v="1682.88"/>
    <n v="1790.82"/>
    <n v="1926.1"/>
    <n v="1540.13"/>
    <n v="1661.1"/>
    <n v="2313.4899999999998"/>
    <n v="2567.92"/>
    <n v="1645.77"/>
    <n v="1663.75"/>
    <n v="1410.39"/>
    <n v="2008.07"/>
    <n v="1330.23"/>
    <n v="21540.649999999998"/>
    <n v="677.83999999999992"/>
  </r>
  <r>
    <x v="11"/>
    <x v="0"/>
    <x v="0"/>
    <s v="3800102"/>
    <n v="721880"/>
    <s v="Supplies-Linen"/>
    <s v="Emergency Services"/>
    <x v="0"/>
    <m/>
    <n v="796.08"/>
    <n v="847.44"/>
    <n v="449.4"/>
    <n v="709.41"/>
    <n v="581.01"/>
    <n v="693.36"/>
    <n v="963"/>
    <n v="747.93"/>
    <n v="706.2"/>
    <n v="520.02"/>
    <n v="577.79999999999995"/>
    <n v="747.93"/>
    <n v="8339.58"/>
    <n v="-170.13"/>
  </r>
  <r>
    <x v="11"/>
    <x v="0"/>
    <x v="0"/>
    <s v="3800102"/>
    <n v="721910"/>
    <s v="Supplies-Small Equipment"/>
    <s v="Emergency Services"/>
    <x v="0"/>
    <m/>
    <n v="741.85"/>
    <n v="1004.07"/>
    <n v="5220.46"/>
    <n v="4086.62"/>
    <n v="1414.65"/>
    <n v="1800.57"/>
    <n v="7129.43"/>
    <n v="7226.73"/>
    <n v="5065.3900000000003"/>
    <n v="1520.06"/>
    <n v="1962.67"/>
    <n v="2704.11"/>
    <n v="39876.61"/>
    <n v="-741.44"/>
  </r>
  <r>
    <x v="11"/>
    <x v="0"/>
    <x v="0"/>
    <s v="3800102"/>
    <n v="721910"/>
    <s v="Instruments"/>
    <s v="Emergency Services"/>
    <x v="0"/>
    <n v="1000"/>
    <n v="1489.55"/>
    <n v="2651.76"/>
    <n v="1197.4000000000001"/>
    <n v="2992.87"/>
    <n v="1006.05"/>
    <n v="1865.06"/>
    <n v="269.49"/>
    <n v="1444.37"/>
    <n v="1424.47"/>
    <n v="3386.12"/>
    <n v="1526.81"/>
    <n v="1330.65"/>
    <n v="20584.600000000002"/>
    <n v="196.15999999999985"/>
  </r>
  <r>
    <x v="11"/>
    <x v="0"/>
    <x v="0"/>
    <s v="3800102"/>
    <n v="721980"/>
    <s v="Supplies-Other"/>
    <s v="Emergency Services"/>
    <x v="0"/>
    <m/>
    <n v="613.92999999999995"/>
    <n v="495.49"/>
    <n v="441.31"/>
    <n v="679.37"/>
    <n v="849.74"/>
    <n v="1055.23"/>
    <n v="1906.87"/>
    <n v="8522.19"/>
    <n v="2542.94"/>
    <n v="1144.46"/>
    <n v="1086.4000000000001"/>
    <n v="-6475.01"/>
    <n v="12862.92"/>
    <n v="7561.41"/>
  </r>
  <r>
    <x v="11"/>
    <x v="0"/>
    <x v="0"/>
    <s v="3800102"/>
    <n v="722000"/>
    <s v="Supplies-Freight Expense"/>
    <s v="Emergency Services"/>
    <x v="0"/>
    <m/>
    <n v="191.59"/>
    <n v="30.63"/>
    <n v="26.08"/>
    <n v="117.03"/>
    <n v="51.86"/>
    <n v="114.06"/>
    <n v="59.98"/>
    <n v="34.71"/>
    <n v="89.17"/>
    <n v="138.86000000000001"/>
    <n v="89.41"/>
    <n v="42.09"/>
    <n v="985.47"/>
    <n v="47.319999999999993"/>
  </r>
  <r>
    <x v="12"/>
    <x v="0"/>
    <x v="0"/>
    <s v="3800102"/>
    <n v="730020"/>
    <s v="Rental and Leases-Copier Usage Fees (DO NOT USE)"/>
    <s v="Emergency Services"/>
    <x v="0"/>
    <n v="5100"/>
    <n v="1928.71"/>
    <n v="1955.11"/>
    <n v="1941.91"/>
    <n v="1941.91"/>
    <n v="1941.91"/>
    <n v="1941.91"/>
    <n v="3082.17"/>
    <n v="1742.27"/>
    <n v="1373.67"/>
    <n v="2867.72"/>
    <n v="1403.63"/>
    <n v="1557.16"/>
    <n v="23678.080000000002"/>
    <n v="-153.52999999999997"/>
  </r>
  <r>
    <x v="15"/>
    <x v="0"/>
    <x v="0"/>
    <s v="3800102"/>
    <n v="731060"/>
    <s v="Telephone"/>
    <s v="Emergency Services"/>
    <x v="0"/>
    <m/>
    <n v="0"/>
    <n v="0"/>
    <n v="0"/>
    <n v="0"/>
    <n v="0"/>
    <n v="39"/>
    <n v="43"/>
    <n v="8.1999999999999993"/>
    <n v="0"/>
    <n v="0"/>
    <n v="0"/>
    <n v="99"/>
    <n v="189.2"/>
    <n v="-99"/>
  </r>
  <r>
    <x v="15"/>
    <x v="0"/>
    <x v="0"/>
    <s v="3800102"/>
    <n v="731060"/>
    <s v="Cell Phones"/>
    <s v="Emergency Services"/>
    <x v="0"/>
    <n v="1001"/>
    <n v="0"/>
    <n v="33.020000000000003"/>
    <n v="66.040000000000006"/>
    <n v="0"/>
    <n v="32.5"/>
    <n v="33.11"/>
    <n v="66.16"/>
    <n v="0"/>
    <n v="33.58"/>
    <n v="66.28"/>
    <n v="32.5"/>
    <n v="33.159999999999997"/>
    <n v="396.35"/>
    <n v="-0.65999999999999659"/>
  </r>
  <r>
    <x v="15"/>
    <x v="0"/>
    <x v="0"/>
    <s v="3800102"/>
    <n v="731060"/>
    <s v="Pagers"/>
    <s v="Emergency Services"/>
    <x v="0"/>
    <n v="1002"/>
    <n v="24.3"/>
    <n v="24.3"/>
    <n v="24.3"/>
    <n v="24.36"/>
    <n v="24.36"/>
    <n v="0"/>
    <n v="48.72"/>
    <n v="-3.17"/>
    <n v="24.36"/>
    <n v="24.36"/>
    <n v="24.36"/>
    <n v="24.36"/>
    <n v="264.61000000000007"/>
    <n v="0"/>
  </r>
  <r>
    <x v="15"/>
    <x v="0"/>
    <x v="0"/>
    <s v="3800102"/>
    <n v="731065"/>
    <s v="Data Communications"/>
    <s v="Emergency Services"/>
    <x v="0"/>
    <m/>
    <n v="0"/>
    <n v="0"/>
    <n v="0"/>
    <n v="0"/>
    <n v="0"/>
    <n v="0"/>
    <n v="0"/>
    <n v="0"/>
    <n v="0"/>
    <n v="1335.4"/>
    <n v="0"/>
    <n v="0"/>
    <n v="1335.4"/>
    <n v="0"/>
  </r>
  <r>
    <x v="16"/>
    <x v="0"/>
    <x v="0"/>
    <s v="3800102"/>
    <n v="732020"/>
    <s v="Repairs--Clin Equip-Parts-Internal to CHI Programs"/>
    <s v="Emergency Services"/>
    <x v="0"/>
    <m/>
    <n v="135.75"/>
    <n v="154.37"/>
    <n v="236.25"/>
    <n v="345.07"/>
    <n v="204.75"/>
    <n v="838.55"/>
    <n v="572.11"/>
    <n v="227.75"/>
    <n v="350.67"/>
    <n v="94.5"/>
    <n v="509.13"/>
    <n v="289.56"/>
    <n v="3958.46"/>
    <n v="219.57"/>
  </r>
  <r>
    <x v="16"/>
    <x v="0"/>
    <x v="0"/>
    <s v="3800102"/>
    <n v="732030"/>
    <s v="Repairs---Other"/>
    <s v="Emergency Services"/>
    <x v="0"/>
    <m/>
    <n v="0"/>
    <n v="0"/>
    <n v="0"/>
    <n v="0"/>
    <n v="0"/>
    <n v="0"/>
    <n v="0"/>
    <n v="0"/>
    <n v="1880.25"/>
    <n v="919.72"/>
    <n v="2150.0700000000002"/>
    <n v="7181.35"/>
    <n v="12131.390000000001"/>
    <n v="-5031.2800000000007"/>
  </r>
  <r>
    <x v="16"/>
    <x v="0"/>
    <x v="0"/>
    <s v="3800102"/>
    <n v="733030"/>
    <s v="Maintenance Contracts-Other"/>
    <s v="Emergency Services"/>
    <x v="0"/>
    <m/>
    <n v="853.6"/>
    <n v="0"/>
    <n v="0"/>
    <n v="218.91"/>
    <n v="0"/>
    <n v="0"/>
    <n v="0"/>
    <n v="0"/>
    <n v="0"/>
    <n v="0"/>
    <n v="0"/>
    <n v="0"/>
    <n v="1072.51"/>
    <n v="0"/>
  </r>
  <r>
    <x v="13"/>
    <x v="0"/>
    <x v="0"/>
    <s v="3800102"/>
    <n v="735060"/>
    <s v="Depreciation-Fixed Equipment"/>
    <s v="Emergency Services"/>
    <x v="0"/>
    <m/>
    <n v="1001.62"/>
    <n v="1001.62"/>
    <n v="1001.64"/>
    <n v="1001.62"/>
    <n v="1001.64"/>
    <n v="1001.62"/>
    <n v="1001.64"/>
    <n v="1001.62"/>
    <n v="1001.64"/>
    <n v="1001.62"/>
    <n v="1001.64"/>
    <n v="1001.62"/>
    <n v="12019.54"/>
    <n v="1.999999999998181E-2"/>
  </r>
  <r>
    <x v="13"/>
    <x v="0"/>
    <x v="0"/>
    <s v="3800102"/>
    <n v="735070"/>
    <s v="Depreciation-Movable Equipment"/>
    <s v="Emergency Services"/>
    <x v="0"/>
    <m/>
    <n v="8259.11"/>
    <n v="8953.1"/>
    <n v="8721.57"/>
    <n v="8630.02"/>
    <n v="8630.11"/>
    <n v="8629.99"/>
    <n v="8630.1299999999992"/>
    <n v="8433.2099999999991"/>
    <n v="8433.3799999999992"/>
    <n v="4469.49"/>
    <n v="4469.7"/>
    <n v="4469.46"/>
    <n v="90729.27"/>
    <n v="0.23999999999978172"/>
  </r>
  <r>
    <x v="0"/>
    <x v="0"/>
    <x v="0"/>
    <s v="3800102"/>
    <n v="740010"/>
    <s v="Education-Materials"/>
    <s v="Emergency Services"/>
    <x v="0"/>
    <m/>
    <n v="0"/>
    <n v="0"/>
    <n v="0"/>
    <n v="392.15"/>
    <n v="0"/>
    <n v="0"/>
    <n v="0"/>
    <n v="0"/>
    <n v="0"/>
    <n v="0"/>
    <n v="0"/>
    <n v="0"/>
    <n v="392.15"/>
    <n v="0"/>
  </r>
  <r>
    <x v="0"/>
    <x v="0"/>
    <x v="0"/>
    <s v="3800102"/>
    <n v="740020"/>
    <s v="Education-Registration Fees"/>
    <s v="Emergency Services"/>
    <x v="0"/>
    <m/>
    <n v="1692.97"/>
    <n v="2385"/>
    <n v="825"/>
    <n v="2105"/>
    <n v="1370"/>
    <n v="165"/>
    <n v="890"/>
    <n v="1655"/>
    <n v="3600"/>
    <n v="1120"/>
    <n v="-215"/>
    <n v="0"/>
    <n v="15592.970000000001"/>
    <n v="-215"/>
  </r>
  <r>
    <x v="0"/>
    <x v="0"/>
    <x v="0"/>
    <s v="3800102"/>
    <n v="742030"/>
    <s v="Freight-Courier"/>
    <s v="Emergency Services"/>
    <x v="0"/>
    <m/>
    <n v="0"/>
    <n v="0"/>
    <n v="0"/>
    <n v="0"/>
    <n v="0"/>
    <n v="0"/>
    <n v="0"/>
    <n v="0"/>
    <n v="0"/>
    <n v="0"/>
    <n v="0"/>
    <n v="30"/>
    <n v="30"/>
    <n v="-30"/>
  </r>
  <r>
    <x v="0"/>
    <x v="0"/>
    <x v="0"/>
    <s v="3800102"/>
    <n v="742040"/>
    <s v="Freight-Other"/>
    <s v="Emergency Services"/>
    <x v="0"/>
    <m/>
    <n v="0"/>
    <n v="0"/>
    <n v="0"/>
    <n v="330.34"/>
    <n v="0"/>
    <n v="0"/>
    <n v="0"/>
    <n v="0"/>
    <n v="0"/>
    <n v="0"/>
    <n v="0"/>
    <n v="28.11"/>
    <n v="358.45"/>
    <n v="-28.11"/>
  </r>
  <r>
    <x v="0"/>
    <x v="0"/>
    <x v="0"/>
    <s v="3800102"/>
    <n v="743030"/>
    <s v="Subscriptions--Institutional"/>
    <s v="Emergency Services"/>
    <x v="0"/>
    <m/>
    <n v="0"/>
    <n v="0"/>
    <n v="0"/>
    <n v="0"/>
    <n v="0"/>
    <n v="0"/>
    <n v="818.12"/>
    <n v="0"/>
    <n v="0"/>
    <n v="0"/>
    <n v="0"/>
    <n v="0"/>
    <n v="818.12"/>
    <n v="0"/>
  </r>
  <r>
    <x v="0"/>
    <x v="0"/>
    <x v="0"/>
    <s v="3800102"/>
    <n v="749510"/>
    <s v="Miscellaneous Expenses"/>
    <s v="Emergency Services"/>
    <x v="0"/>
    <m/>
    <n v="1525.31"/>
    <n v="4082.38"/>
    <n v="6514.32"/>
    <n v="9643.17"/>
    <n v="11482.49"/>
    <n v="38561.75"/>
    <n v="21896.5"/>
    <n v="6053.88"/>
    <n v="5652.25"/>
    <n v="18640.77"/>
    <n v="9011.07"/>
    <n v="5706.46"/>
    <n v="138770.35"/>
    <n v="3304.6099999999997"/>
  </r>
  <r>
    <x v="0"/>
    <x v="0"/>
    <x v="0"/>
    <s v="3800102"/>
    <n v="749510"/>
    <s v="Licenses"/>
    <s v="Emergency Services"/>
    <x v="0"/>
    <n v="1002"/>
    <n v="376"/>
    <n v="0"/>
    <n v="480.02"/>
    <n v="0"/>
    <n v="195"/>
    <n v="0"/>
    <n v="0"/>
    <n v="0"/>
    <n v="0"/>
    <n v="0"/>
    <n v="0"/>
    <n v="0"/>
    <n v="1051.02"/>
    <n v="0"/>
  </r>
  <r>
    <x v="0"/>
    <x v="0"/>
    <x v="0"/>
    <s v="3800102"/>
    <n v="749510"/>
    <s v="Casualty Loss/Patient Property"/>
    <s v="Emergency Services"/>
    <x v="0"/>
    <n v="4601"/>
    <n v="0"/>
    <n v="0"/>
    <n v="650"/>
    <n v="0"/>
    <n v="0"/>
    <n v="0"/>
    <n v="0"/>
    <n v="0"/>
    <n v="262.5"/>
    <n v="0"/>
    <n v="0"/>
    <n v="0"/>
    <n v="912.5"/>
    <n v="0"/>
  </r>
  <r>
    <x v="0"/>
    <x v="0"/>
    <x v="0"/>
    <s v="3800102"/>
    <n v="749510"/>
    <s v="RICE Rewards"/>
    <s v="Emergency Services"/>
    <x v="0"/>
    <n v="5100"/>
    <n v="0"/>
    <n v="17.66"/>
    <n v="0"/>
    <n v="0"/>
    <n v="0"/>
    <n v="515.5"/>
    <n v="0"/>
    <n v="426.22"/>
    <n v="0"/>
    <n v="470.5"/>
    <n v="384.92"/>
    <n v="504.24"/>
    <n v="2319.04"/>
    <n v="-119.32"/>
  </r>
  <r>
    <x v="0"/>
    <x v="0"/>
    <x v="0"/>
    <s v="3800102"/>
    <n v="749530"/>
    <s v="Travel"/>
    <s v="Emergency Services"/>
    <x v="0"/>
    <m/>
    <n v="0"/>
    <n v="0"/>
    <n v="0"/>
    <n v="0"/>
    <n v="275.89999999999998"/>
    <n v="24"/>
    <n v="311.94"/>
    <n v="293"/>
    <n v="344.59"/>
    <n v="0"/>
    <n v="0"/>
    <n v="0"/>
    <n v="1249.4299999999998"/>
    <n v="0"/>
  </r>
  <r>
    <x v="18"/>
    <x v="4"/>
    <x v="0"/>
    <s v="3800103"/>
    <n v="400010"/>
    <s v="Acute I/P Svcs Rev--Medicare"/>
    <s v="Emergency Services"/>
    <x v="0"/>
    <n v="1100"/>
    <n v="-1304859.71"/>
    <n v="-1532073.58"/>
    <n v="-1276492.19"/>
    <n v="-1395431.56"/>
    <n v="-1382856.17"/>
    <n v="-1416978.68"/>
    <n v="-1567274.07"/>
    <n v="-1354131.59"/>
    <n v="-1628191.92"/>
    <n v="-1333497.97"/>
    <n v="-1398490.63"/>
    <n v="-1147085.3799999999"/>
    <n v="-16737363.449999999"/>
    <n v="-251405.25"/>
  </r>
  <r>
    <x v="18"/>
    <x v="4"/>
    <x v="0"/>
    <s v="3800103"/>
    <n v="400010"/>
    <s v="Acute I/P Svcs Rev--Medicaid"/>
    <s v="Emergency Services"/>
    <x v="0"/>
    <n v="1200"/>
    <n v="-957098.36"/>
    <n v="-701584.58"/>
    <n v="-650552.68999999994"/>
    <n v="-722341.19"/>
    <n v="-606020.37"/>
    <n v="-836319.68"/>
    <n v="-702391.55"/>
    <n v="-853668.26"/>
    <n v="-732130.6"/>
    <n v="-740170.57"/>
    <n v="-776978.36"/>
    <n v="-660626.81000000006"/>
    <n v="-8939883.0199999996"/>
    <n v="-116351.54999999993"/>
  </r>
  <r>
    <x v="18"/>
    <x v="4"/>
    <x v="0"/>
    <s v="3800103"/>
    <n v="400010"/>
    <s v="Acute I/P Svcs Rev--Comm Insurance"/>
    <s v="Emergency Services"/>
    <x v="0"/>
    <n v="1300"/>
    <n v="-51134.42"/>
    <n v="-17148.84"/>
    <n v="-7551.58"/>
    <n v="-23882.91"/>
    <n v="-23849.95"/>
    <n v="-26094.07"/>
    <n v="-28341.32"/>
    <n v="-9123"/>
    <n v="3807.42"/>
    <n v="-14685.75"/>
    <n v="-44464.46"/>
    <n v="-55868.36"/>
    <n v="-298337.24"/>
    <n v="11403.900000000001"/>
  </r>
  <r>
    <x v="18"/>
    <x v="4"/>
    <x v="0"/>
    <s v="3800103"/>
    <n v="400010"/>
    <s v="Acute I/P Svcs Rev--BCBS Comm"/>
    <s v="Emergency Services"/>
    <x v="0"/>
    <n v="1301"/>
    <n v="-78867.56"/>
    <n v="-66587.539999999994"/>
    <n v="-102360.78"/>
    <n v="-77528.31"/>
    <n v="-39480.03"/>
    <n v="-42128.11"/>
    <n v="-43086.57"/>
    <n v="-61701.32"/>
    <n v="-69634.600000000006"/>
    <n v="-82088.53"/>
    <n v="-50180.72"/>
    <n v="-65673.69"/>
    <n v="-779317.76000000001"/>
    <n v="15492.970000000001"/>
  </r>
  <r>
    <x v="18"/>
    <x v="4"/>
    <x v="0"/>
    <s v="3800103"/>
    <n v="400010"/>
    <s v="Acute I/P Svcs Rev--Managed Care"/>
    <s v="Emergency Services"/>
    <x v="0"/>
    <n v="1400"/>
    <n v="-191953.72"/>
    <n v="-190195.79"/>
    <n v="-187234.69"/>
    <n v="-174446.88"/>
    <n v="-121636.59"/>
    <n v="-172151.85"/>
    <n v="-174286.05"/>
    <n v="-202003.48"/>
    <n v="-206483.81"/>
    <n v="-87152.36"/>
    <n v="-179629.98"/>
    <n v="-148998.53"/>
    <n v="-2036173.73"/>
    <n v="-30631.450000000012"/>
  </r>
  <r>
    <x v="18"/>
    <x v="4"/>
    <x v="0"/>
    <s v="3800103"/>
    <n v="400010"/>
    <s v="Acute I/P Svcs Rev--Self Pay"/>
    <s v="Emergency Services"/>
    <x v="0"/>
    <n v="1500"/>
    <n v="-37064.949999999997"/>
    <n v="-74269.899999999994"/>
    <n v="-17532.740000000002"/>
    <n v="-31013.279999999999"/>
    <n v="-50032.68"/>
    <n v="-50321.89"/>
    <n v="-51350.59"/>
    <n v="-28835.72"/>
    <n v="-75559.63"/>
    <n v="-40107.089999999997"/>
    <n v="-44502.04"/>
    <n v="14190.12"/>
    <n v="-486400.38999999996"/>
    <n v="-58692.160000000003"/>
  </r>
  <r>
    <x v="18"/>
    <x v="4"/>
    <x v="0"/>
    <s v="3800103"/>
    <n v="400010"/>
    <s v="Acute I/P Svcs Rev--Other"/>
    <s v="Emergency Services"/>
    <x v="0"/>
    <n v="1700"/>
    <n v="-92795.18"/>
    <n v="-131700.37"/>
    <n v="-115880.06"/>
    <n v="-139670.49"/>
    <n v="-115239.09"/>
    <n v="-113992.31"/>
    <n v="-180443.01"/>
    <n v="-142683.14000000001"/>
    <n v="-120344.61"/>
    <n v="-145820.13"/>
    <n v="-151550.54999999999"/>
    <n v="-133587.85"/>
    <n v="-1583706.7900000003"/>
    <n v="-17962.699999999983"/>
  </r>
  <r>
    <x v="19"/>
    <x v="4"/>
    <x v="0"/>
    <s v="3800103"/>
    <n v="400020"/>
    <s v="O/P Care Svcs Rev--Medicare"/>
    <s v="Emergency Services"/>
    <x v="0"/>
    <n v="1100"/>
    <n v="-2418951.0699999998"/>
    <n v="-2581661.04"/>
    <n v="-2428844.2999999998"/>
    <n v="-2567504.39"/>
    <n v="-2252847.4900000002"/>
    <n v="-2214458.7999999998"/>
    <n v="-2471679.04"/>
    <n v="-2503988.71"/>
    <n v="-2362117.2799999998"/>
    <n v="-2592539.1"/>
    <n v="-2552473.0299999998"/>
    <n v="-2278228.56"/>
    <n v="-29225292.810000002"/>
    <n v="-274244.46999999974"/>
  </r>
  <r>
    <x v="19"/>
    <x v="4"/>
    <x v="0"/>
    <s v="3800103"/>
    <n v="400020"/>
    <s v="O/P Care Svcs Rev--Medicaid"/>
    <s v="Emergency Services"/>
    <x v="0"/>
    <n v="1200"/>
    <n v="-4159273.72"/>
    <n v="-4524104.5"/>
    <n v="-3947994.68"/>
    <n v="-4627764.4400000004"/>
    <n v="-4134274.9"/>
    <n v="-4228309.99"/>
    <n v="-4323133.74"/>
    <n v="-3607305.68"/>
    <n v="-4480841.3600000003"/>
    <n v="-4268820.04"/>
    <n v="-4023880.81"/>
    <n v="-3944079.49"/>
    <n v="-50269783.350000001"/>
    <n v="-79801.319999999832"/>
  </r>
  <r>
    <x v="19"/>
    <x v="4"/>
    <x v="0"/>
    <s v="3800103"/>
    <n v="400020"/>
    <s v="O/P Care Svcs Rev--Comm Insurance"/>
    <s v="Emergency Services"/>
    <x v="0"/>
    <n v="1300"/>
    <n v="-310216.78000000003"/>
    <n v="-251168.23"/>
    <n v="-55285.41"/>
    <n v="-178468.05"/>
    <n v="-208331.15"/>
    <n v="-229656.95999999999"/>
    <n v="-192033.38"/>
    <n v="-152860.42000000001"/>
    <n v="-301910.76"/>
    <n v="-177274.79"/>
    <n v="-205380.93"/>
    <n v="-254050.8"/>
    <n v="-2516637.6599999997"/>
    <n v="48669.869999999995"/>
  </r>
  <r>
    <x v="19"/>
    <x v="4"/>
    <x v="0"/>
    <s v="3800103"/>
    <n v="400020"/>
    <s v="O/P Care Svcs Rev--BCBS Comm"/>
    <s v="Emergency Services"/>
    <x v="0"/>
    <n v="1301"/>
    <n v="-443604.01"/>
    <n v="-460083.4"/>
    <n v="-399431.24"/>
    <n v="-459144.78"/>
    <n v="-384851.20000000001"/>
    <n v="-474027.43"/>
    <n v="-495760.71"/>
    <n v="-341825.89"/>
    <n v="-443947.39"/>
    <n v="-400165.08"/>
    <n v="-472206.13"/>
    <n v="-326803.08"/>
    <n v="-5101850.34"/>
    <n v="-145403.04999999999"/>
  </r>
  <r>
    <x v="19"/>
    <x v="4"/>
    <x v="0"/>
    <s v="3800103"/>
    <n v="400020"/>
    <s v="O/P Care Svcs Rev--Managed Care"/>
    <s v="Emergency Services"/>
    <x v="0"/>
    <n v="1400"/>
    <n v="-1146715.1100000001"/>
    <n v="-1185615.67"/>
    <n v="-1191159.01"/>
    <n v="-1235627.4099999999"/>
    <n v="-1092870.96"/>
    <n v="-1153002.8600000001"/>
    <n v="-1196343.25"/>
    <n v="-1254908.31"/>
    <n v="-1308348.99"/>
    <n v="-1279066.1599999999"/>
    <n v="-1074243.17"/>
    <n v="-1025202.66"/>
    <n v="-14143103.560000001"/>
    <n v="-49040.509999999893"/>
  </r>
  <r>
    <x v="19"/>
    <x v="4"/>
    <x v="0"/>
    <s v="3800103"/>
    <n v="400020"/>
    <s v="O/P Care Svcs Rev--Self Pay"/>
    <s v="Emergency Services"/>
    <x v="0"/>
    <n v="1500"/>
    <n v="-577872.65"/>
    <n v="-854810.29"/>
    <n v="-580418.62"/>
    <n v="-531148.02"/>
    <n v="-489002.88"/>
    <n v="-537491.72"/>
    <n v="-502174.99"/>
    <n v="-472317.6"/>
    <n v="-618044.43999999994"/>
    <n v="-451980.41"/>
    <n v="-427056.83"/>
    <n v="-383247.49"/>
    <n v="-6425565.9399999995"/>
    <n v="-43809.340000000026"/>
  </r>
  <r>
    <x v="19"/>
    <x v="4"/>
    <x v="0"/>
    <s v="3800103"/>
    <n v="400020"/>
    <s v="O/P Care Svcs Rev--Other"/>
    <s v="Emergency Services"/>
    <x v="0"/>
    <n v="1700"/>
    <n v="-812024.55"/>
    <n v="-980437.27"/>
    <n v="-865593.84"/>
    <n v="-862861.31"/>
    <n v="-755300.07"/>
    <n v="-882707.33"/>
    <n v="-834903.22"/>
    <n v="-783382.99"/>
    <n v="-921216.75"/>
    <n v="-826688.17"/>
    <n v="-821750.13"/>
    <n v="-766590.27"/>
    <n v="-10113455.9"/>
    <n v="-55159.859999999986"/>
  </r>
  <r>
    <x v="14"/>
    <x v="4"/>
    <x v="0"/>
    <s v="3800103"/>
    <n v="600050"/>
    <s v="Miscellaneous Revenue"/>
    <s v="Emergency Services"/>
    <x v="0"/>
    <m/>
    <n v="0"/>
    <n v="0"/>
    <n v="0"/>
    <n v="0"/>
    <n v="0"/>
    <n v="0"/>
    <n v="-3000"/>
    <n v="0"/>
    <n v="0"/>
    <n v="0"/>
    <n v="-2350"/>
    <n v="0"/>
    <n v="-5350"/>
    <n v="-2350"/>
  </r>
  <r>
    <x v="5"/>
    <x v="4"/>
    <x v="0"/>
    <s v="3800103"/>
    <n v="700014"/>
    <s v="Salaries-Management-Productive"/>
    <s v="Emergency Services"/>
    <x v="0"/>
    <m/>
    <n v="16029.41"/>
    <n v="13672"/>
    <n v="13624.25"/>
    <n v="18779.599999999999"/>
    <n v="18282.37"/>
    <n v="10618.67"/>
    <n v="17295.93"/>
    <n v="15586.97"/>
    <n v="18632.37"/>
    <n v="14057.59"/>
    <n v="19703.87"/>
    <n v="13933.19"/>
    <n v="190216.22"/>
    <n v="5770.6799999999985"/>
  </r>
  <r>
    <x v="5"/>
    <x v="4"/>
    <x v="0"/>
    <s v="3800103"/>
    <n v="700026"/>
    <s v="Salaries-RN-Productive"/>
    <s v="Emergency Services"/>
    <x v="0"/>
    <m/>
    <n v="199571.09"/>
    <n v="203589.17"/>
    <n v="160649.51999999999"/>
    <n v="163142.48000000001"/>
    <n v="218000.37"/>
    <n v="169825.91"/>
    <n v="158309.20000000001"/>
    <n v="132818.46"/>
    <n v="180266.66"/>
    <n v="204541.96"/>
    <n v="226538.12"/>
    <n v="193127.49"/>
    <n v="2210380.4299999997"/>
    <n v="33410.630000000005"/>
  </r>
  <r>
    <x v="5"/>
    <x v="4"/>
    <x v="0"/>
    <s v="3800103"/>
    <n v="700026"/>
    <s v="Salaries-RN-OT"/>
    <s v="Emergency Services"/>
    <x v="0"/>
    <n v="1000"/>
    <n v="9976.2199999999993"/>
    <n v="10336.07"/>
    <n v="7689.44"/>
    <n v="10002.32"/>
    <n v="9946.74"/>
    <n v="7249.39"/>
    <n v="10312.18"/>
    <n v="6060.82"/>
    <n v="8215.7800000000007"/>
    <n v="14616.72"/>
    <n v="9368.56"/>
    <n v="5151.01"/>
    <n v="108925.24999999999"/>
    <n v="4217.5499999999993"/>
  </r>
  <r>
    <x v="5"/>
    <x v="4"/>
    <x v="0"/>
    <s v="3800103"/>
    <n v="700026"/>
    <s v="Salaries-RN-Other"/>
    <s v="Emergency Services"/>
    <x v="0"/>
    <n v="2000"/>
    <n v="19835.53"/>
    <n v="20250.919999999998"/>
    <n v="17153.34"/>
    <n v="17263.39"/>
    <n v="21655.1"/>
    <n v="15421.35"/>
    <n v="14786.33"/>
    <n v="15580.01"/>
    <n v="16702.11"/>
    <n v="20523.939999999999"/>
    <n v="23476.97"/>
    <n v="19302.38"/>
    <n v="221951.37000000002"/>
    <n v="4174.59"/>
  </r>
  <r>
    <x v="5"/>
    <x v="4"/>
    <x v="0"/>
    <s v="3800103"/>
    <n v="700032"/>
    <s v="Salaries-Other Pat Care Providers-Productive"/>
    <s v="Emergency Services"/>
    <x v="0"/>
    <m/>
    <n v="77747.73"/>
    <n v="73927.27"/>
    <n v="65957.97"/>
    <n v="78010.13"/>
    <n v="68727.97"/>
    <n v="73922.5"/>
    <n v="75850.14"/>
    <n v="69690.259999999995"/>
    <n v="68082.36"/>
    <n v="73901.41"/>
    <n v="71586.7"/>
    <n v="69001.759999999995"/>
    <n v="866406.2"/>
    <n v="2584.9400000000023"/>
  </r>
  <r>
    <x v="5"/>
    <x v="4"/>
    <x v="0"/>
    <s v="3800103"/>
    <n v="700032"/>
    <s v="Salaries-Other Pat Care Providers-OT"/>
    <s v="Emergency Services"/>
    <x v="0"/>
    <n v="1000"/>
    <n v="3172.11"/>
    <n v="2413.73"/>
    <n v="2973.59"/>
    <n v="2885.93"/>
    <n v="2577.73"/>
    <n v="1437.76"/>
    <n v="4214.93"/>
    <n v="872.61"/>
    <n v="3992.84"/>
    <n v="5973.56"/>
    <n v="-1047.26"/>
    <n v="5514.29"/>
    <n v="34981.82"/>
    <n v="-6561.55"/>
  </r>
  <r>
    <x v="5"/>
    <x v="4"/>
    <x v="0"/>
    <s v="3800103"/>
    <n v="700032"/>
    <s v="Salaries-Other Pat Care Providers-Other"/>
    <s v="Emergency Services"/>
    <x v="0"/>
    <n v="2000"/>
    <n v="6305.33"/>
    <n v="6174.66"/>
    <n v="5269.41"/>
    <n v="6068.33"/>
    <n v="5299.33"/>
    <n v="6076.77"/>
    <n v="6199.58"/>
    <n v="4987.22"/>
    <n v="5558.82"/>
    <n v="5903.86"/>
    <n v="5889.5"/>
    <n v="6871.57"/>
    <n v="70604.38"/>
    <n v="-982.06999999999971"/>
  </r>
  <r>
    <x v="5"/>
    <x v="4"/>
    <x v="0"/>
    <s v="3800103"/>
    <n v="700038"/>
    <s v="Salaries-Service/Support-Productive"/>
    <s v="Emergency Services"/>
    <x v="0"/>
    <m/>
    <n v="4071.72"/>
    <n v="4958.9399999999996"/>
    <n v="4886.4799999999996"/>
    <n v="6385.49"/>
    <n v="3180.8"/>
    <n v="3827.22"/>
    <n v="5956.78"/>
    <n v="5104.7299999999996"/>
    <n v="5664.03"/>
    <n v="3414.01"/>
    <n v="7850.64"/>
    <n v="3687.29"/>
    <n v="58988.130000000005"/>
    <n v="4163.3500000000004"/>
  </r>
  <r>
    <x v="5"/>
    <x v="4"/>
    <x v="0"/>
    <s v="3800103"/>
    <n v="700038"/>
    <s v="Salaries-Service/Support-OT"/>
    <s v="Emergency Services"/>
    <x v="0"/>
    <n v="1000"/>
    <n v="371.21"/>
    <n v="-32.74"/>
    <n v="77.55"/>
    <n v="270.37"/>
    <n v="-15.98"/>
    <n v="1.1299999999999999"/>
    <n v="248.73"/>
    <n v="-41.37"/>
    <n v="40.020000000000003"/>
    <n v="277.16000000000003"/>
    <n v="52.56"/>
    <n v="-66.150000000000006"/>
    <n v="1182.4899999999998"/>
    <n v="118.71000000000001"/>
  </r>
  <r>
    <x v="5"/>
    <x v="4"/>
    <x v="0"/>
    <s v="3800103"/>
    <n v="700038"/>
    <s v="Salaries-Service/Support-Other"/>
    <s v="Emergency Services"/>
    <x v="0"/>
    <n v="2000"/>
    <n v="226.68"/>
    <n v="296.74"/>
    <n v="198.8"/>
    <n v="306"/>
    <n v="200.37"/>
    <n v="107.65"/>
    <n v="248.02"/>
    <n v="252.68"/>
    <n v="303.16000000000003"/>
    <n v="267.17"/>
    <n v="296.02999999999997"/>
    <n v="82.46"/>
    <n v="2785.76"/>
    <n v="213.57"/>
  </r>
  <r>
    <x v="5"/>
    <x v="4"/>
    <x v="0"/>
    <s v="3800103"/>
    <n v="700054"/>
    <s v="Salaries-Management-Non-productive"/>
    <s v="Emergency Services"/>
    <x v="0"/>
    <m/>
    <n v="2279.36"/>
    <n v="4637.6000000000004"/>
    <n v="4094.96"/>
    <n v="0"/>
    <n v="0"/>
    <n v="8273.73"/>
    <n v="1625.96"/>
    <n v="1502.03"/>
    <n v="287.74"/>
    <n v="4251.6000000000004"/>
    <n v="-783.76"/>
    <n v="4376.83"/>
    <n v="30546.050000000003"/>
    <n v="-5160.59"/>
  </r>
  <r>
    <x v="5"/>
    <x v="4"/>
    <x v="0"/>
    <s v="3800103"/>
    <n v="700054"/>
    <s v="Salaries-Management-NonProd-Other"/>
    <s v="Emergency Services"/>
    <x v="0"/>
    <n v="2000"/>
    <n v="0"/>
    <n v="0"/>
    <n v="0"/>
    <n v="0"/>
    <n v="0"/>
    <n v="8700.9699999999993"/>
    <n v="-8700.9699999999993"/>
    <n v="0"/>
    <n v="0"/>
    <n v="0"/>
    <n v="0"/>
    <n v="0"/>
    <n v="0"/>
    <n v="0"/>
  </r>
  <r>
    <x v="5"/>
    <x v="4"/>
    <x v="0"/>
    <s v="3800103"/>
    <n v="700066"/>
    <s v="Salaries-RN-Non-productive"/>
    <s v="Emergency Services"/>
    <x v="0"/>
    <m/>
    <n v="36119.75"/>
    <n v="39903.760000000002"/>
    <n v="39958.730000000003"/>
    <n v="26381.91"/>
    <n v="34184.22"/>
    <n v="41779.97"/>
    <n v="29292.93"/>
    <n v="26226.28"/>
    <n v="30611.77"/>
    <n v="20452.68"/>
    <n v="38800.120000000003"/>
    <n v="34930.9"/>
    <n v="398643.02000000008"/>
    <n v="3869.2200000000012"/>
  </r>
  <r>
    <x v="5"/>
    <x v="4"/>
    <x v="0"/>
    <s v="3800103"/>
    <n v="700066"/>
    <s v="Salaries-RN-NonProd-Other"/>
    <s v="Emergency Services"/>
    <x v="0"/>
    <n v="2000"/>
    <n v="2509.4299999999998"/>
    <n v="2512.1799999999998"/>
    <n v="2712.23"/>
    <n v="2146.41"/>
    <n v="4329.24"/>
    <n v="3716.43"/>
    <n v="2861.97"/>
    <n v="-712.47"/>
    <n v="2286.5700000000002"/>
    <n v="2587.36"/>
    <n v="3256.15"/>
    <n v="2107.23"/>
    <n v="30312.73"/>
    <n v="1148.92"/>
  </r>
  <r>
    <x v="5"/>
    <x v="4"/>
    <x v="0"/>
    <s v="3800103"/>
    <n v="700072"/>
    <s v="Salaries-Other Pat Care Providers-Non-productive"/>
    <s v="Emergency Services"/>
    <x v="0"/>
    <m/>
    <n v="13632.63"/>
    <n v="9655.39"/>
    <n v="9711.16"/>
    <n v="5725.33"/>
    <n v="6435.01"/>
    <n v="14492.54"/>
    <n v="10572.62"/>
    <n v="6493.02"/>
    <n v="8319.75"/>
    <n v="6901.04"/>
    <n v="16349.24"/>
    <n v="13670.28"/>
    <n v="121958.01"/>
    <n v="2678.9599999999991"/>
  </r>
  <r>
    <x v="5"/>
    <x v="4"/>
    <x v="0"/>
    <s v="3800103"/>
    <n v="700072"/>
    <s v="Salaries-Other Pat Care Providers-NonProd-Other"/>
    <s v="Emergency Services"/>
    <x v="0"/>
    <n v="2000"/>
    <n v="722.97"/>
    <n v="729.19"/>
    <n v="356.93"/>
    <n v="138.25"/>
    <n v="1434.12"/>
    <n v="934.46"/>
    <n v="390.81"/>
    <n v="-738.52"/>
    <n v="333.54"/>
    <n v="160.94"/>
    <n v="670.12"/>
    <n v="502.34"/>
    <n v="5635.1500000000005"/>
    <n v="167.78000000000003"/>
  </r>
  <r>
    <x v="5"/>
    <x v="4"/>
    <x v="0"/>
    <s v="3800103"/>
    <n v="700078"/>
    <s v="Salaries-Service/Support-Non-productive"/>
    <s v="Emergency Services"/>
    <x v="0"/>
    <m/>
    <n v="1611.52"/>
    <n v="1853.34"/>
    <n v="1101.03"/>
    <n v="1487.6"/>
    <n v="2810.99"/>
    <n v="1704.88"/>
    <n v="1005.65"/>
    <n v="1307.54"/>
    <n v="1347.96"/>
    <n v="1927.08"/>
    <n v="952.65"/>
    <n v="4141.3500000000004"/>
    <n v="21251.589999999997"/>
    <n v="-3188.7000000000003"/>
  </r>
  <r>
    <x v="5"/>
    <x v="4"/>
    <x v="0"/>
    <s v="3800103"/>
    <n v="700078"/>
    <s v="Salaries-Service/Support-NonProd-Other"/>
    <s v="Emergency Services"/>
    <x v="0"/>
    <n v="2000"/>
    <n v="59.46"/>
    <n v="3.44"/>
    <n v="87.21"/>
    <n v="6.61"/>
    <n v="816.43"/>
    <n v="1695.46"/>
    <n v="34.700000000000003"/>
    <n v="-2297"/>
    <n v="10.87"/>
    <n v="26.2"/>
    <n v="-13.56"/>
    <n v="261.23"/>
    <n v="691.05"/>
    <n v="-274.79000000000002"/>
  </r>
  <r>
    <x v="5"/>
    <x v="4"/>
    <x v="0"/>
    <s v="3800103"/>
    <n v="700084"/>
    <s v="Accrued PTO"/>
    <s v="Emergency Services"/>
    <x v="0"/>
    <m/>
    <n v="-3501.79"/>
    <n v="-3265.41"/>
    <n v="-6286.96"/>
    <n v="16662.310000000001"/>
    <n v="10888.85"/>
    <n v="-15126.8"/>
    <n v="7296.79"/>
    <n v="12966.7"/>
    <n v="-3074.13"/>
    <n v="9383.06"/>
    <n v="2485.81"/>
    <n v="-4883.66"/>
    <n v="23544.770000000004"/>
    <n v="7369.4699999999993"/>
  </r>
  <r>
    <x v="10"/>
    <x v="4"/>
    <x v="0"/>
    <s v="3800103"/>
    <n v="710060"/>
    <s v="Contract Labor-Other"/>
    <s v="Emergency Services"/>
    <x v="0"/>
    <m/>
    <n v="61243.25"/>
    <n v="76999.5"/>
    <n v="62837"/>
    <n v="27309.25"/>
    <n v="29127.75"/>
    <n v="26925.8"/>
    <n v="47949.01"/>
    <n v="46715.360000000001"/>
    <n v="64829.18"/>
    <n v="70396.009999999995"/>
    <n v="53960"/>
    <n v="51936.5"/>
    <n v="620228.61"/>
    <n v="2023.5"/>
  </r>
  <r>
    <x v="10"/>
    <x v="4"/>
    <x v="0"/>
    <s v="3800103"/>
    <n v="710060"/>
    <s v="Contract Labor-Overtime"/>
    <s v="Emergency Services"/>
    <x v="0"/>
    <n v="5100"/>
    <n v="7835.73"/>
    <n v="623.02"/>
    <n v="575.1"/>
    <n v="2228.5100000000002"/>
    <n v="1246.05"/>
    <n v="2659.84"/>
    <n v="2899.46"/>
    <n v="407.36"/>
    <n v="23.96"/>
    <n v="335.48"/>
    <n v="910.57"/>
    <n v="3738.15"/>
    <n v="23483.23"/>
    <n v="-2827.58"/>
  </r>
  <r>
    <x v="10"/>
    <x v="4"/>
    <x v="0"/>
    <s v="3800103"/>
    <n v="710060"/>
    <s v="Contract Labor-Standby Wages"/>
    <s v="Emergency Services"/>
    <x v="0"/>
    <n v="5101"/>
    <n v="0"/>
    <n v="20"/>
    <n v="0"/>
    <n v="0"/>
    <n v="0"/>
    <n v="0"/>
    <n v="0"/>
    <n v="0"/>
    <n v="0"/>
    <n v="0"/>
    <n v="0"/>
    <n v="0"/>
    <n v="20"/>
    <n v="0"/>
  </r>
  <r>
    <x v="6"/>
    <x v="4"/>
    <x v="0"/>
    <s v="3800103"/>
    <n v="713010"/>
    <s v="Benefits-FICA/Medicare"/>
    <s v="Emergency Services"/>
    <x v="0"/>
    <m/>
    <n v="29271.62"/>
    <n v="29274.73"/>
    <n v="24863.93"/>
    <n v="25124.07"/>
    <n v="30263.05"/>
    <n v="27418.639999999999"/>
    <n v="25853.58"/>
    <n v="21403.94"/>
    <n v="26175.119999999999"/>
    <n v="29469.200000000001"/>
    <n v="31500.26"/>
    <n v="28359.22"/>
    <n v="328977.36"/>
    <n v="3141.0399999999972"/>
  </r>
  <r>
    <x v="6"/>
    <x v="4"/>
    <x v="0"/>
    <s v="3800103"/>
    <n v="713090"/>
    <s v="Benefits-Allocated Amounts"/>
    <s v="Emergency Services"/>
    <x v="0"/>
    <m/>
    <n v="80217.850000000006"/>
    <n v="69365.63"/>
    <n v="65550.929999999993"/>
    <n v="64232.49"/>
    <n v="77692.210000000006"/>
    <n v="68169.259999999995"/>
    <n v="70922.7"/>
    <n v="64985.74"/>
    <n v="66185.509999999995"/>
    <n v="81054.55"/>
    <n v="86677.97"/>
    <n v="80479.19"/>
    <n v="875534.03"/>
    <n v="6198.7799999999988"/>
  </r>
  <r>
    <x v="6"/>
    <x v="4"/>
    <x v="0"/>
    <s v="3800103"/>
    <n v="713096"/>
    <s v="Employee Recognition"/>
    <s v="Emergency Services"/>
    <x v="0"/>
    <n v="1017"/>
    <n v="0"/>
    <n v="0"/>
    <n v="0"/>
    <n v="462.07"/>
    <n v="101.1"/>
    <n v="106.42"/>
    <n v="0"/>
    <n v="0"/>
    <n v="72.94"/>
    <n v="0"/>
    <n v="593.12"/>
    <n v="0"/>
    <n v="1335.65"/>
    <n v="593.12"/>
  </r>
  <r>
    <x v="17"/>
    <x v="4"/>
    <x v="0"/>
    <s v="3800103"/>
    <n v="714520"/>
    <s v="Other Contracted Professionals"/>
    <s v="Emergency Services"/>
    <x v="0"/>
    <m/>
    <n v="39375.410000000003"/>
    <n v="40771.4"/>
    <n v="67351.399999999994"/>
    <n v="41242"/>
    <n v="54983.4"/>
    <n v="83493.36"/>
    <n v="71030.240000000005"/>
    <n v="56285.64"/>
    <n v="55375.839999999997"/>
    <n v="62575.64"/>
    <n v="131045.82"/>
    <n v="209672.18"/>
    <n v="913202.32999999984"/>
    <n v="-78626.359999999986"/>
  </r>
  <r>
    <x v="17"/>
    <x v="4"/>
    <x v="0"/>
    <s v="3800103"/>
    <n v="714530"/>
    <s v="Medical Prof Fees-Intracompany"/>
    <s v="Emergency Services"/>
    <x v="0"/>
    <m/>
    <n v="23053.040000000001"/>
    <n v="22100.94"/>
    <n v="18550.71"/>
    <n v="21676.28"/>
    <n v="23859.11"/>
    <n v="16598.71"/>
    <n v="-5973.94"/>
    <n v="136407.60999999999"/>
    <n v="-84778.03"/>
    <n v="35402.269999999997"/>
    <n v="12973.6"/>
    <n v="201300.78"/>
    <n v="421171.07999999996"/>
    <n v="-188327.18"/>
  </r>
  <r>
    <x v="7"/>
    <x v="4"/>
    <x v="0"/>
    <s v="3800103"/>
    <n v="718050"/>
    <s v="Contract Svcs-Other"/>
    <s v="Emergency Services"/>
    <x v="0"/>
    <m/>
    <n v="33.96"/>
    <n v="33.96"/>
    <n v="65.34"/>
    <n v="2339.66"/>
    <n v="1571.57"/>
    <n v="33.96"/>
    <n v="47.54"/>
    <n v="89.25"/>
    <n v="327.52"/>
    <n v="347.6"/>
    <n v="76.42"/>
    <n v="65.88"/>
    <n v="5032.6600000000008"/>
    <n v="10.540000000000006"/>
  </r>
  <r>
    <x v="7"/>
    <x v="4"/>
    <x v="0"/>
    <s v="3800103"/>
    <n v="718050"/>
    <s v="Document Shredding/Storage"/>
    <s v="Emergency Services"/>
    <x v="0"/>
    <n v="1012"/>
    <n v="13.26"/>
    <n v="13.63"/>
    <n v="12.5"/>
    <n v="12.94"/>
    <n v="13.38"/>
    <n v="13.38"/>
    <n v="13.24"/>
    <n v="11.34"/>
    <n v="11.75"/>
    <n v="15.44"/>
    <n v="12.94"/>
    <n v="13.38"/>
    <n v="157.17999999999998"/>
    <n v="-0.44000000000000128"/>
  </r>
  <r>
    <x v="7"/>
    <x v="4"/>
    <x v="0"/>
    <s v="3800103"/>
    <n v="718050"/>
    <s v="Miscellaneous Purchased Svcs"/>
    <s v="Emergency Services"/>
    <x v="0"/>
    <n v="1020"/>
    <n v="0"/>
    <n v="0"/>
    <n v="1651.5"/>
    <n v="0"/>
    <n v="0"/>
    <n v="1500"/>
    <n v="1500"/>
    <n v="0"/>
    <n v="0"/>
    <n v="1500"/>
    <n v="361"/>
    <n v="28"/>
    <n v="6540.5"/>
    <n v="333"/>
  </r>
  <r>
    <x v="7"/>
    <x v="4"/>
    <x v="0"/>
    <s v="3800103"/>
    <n v="718050"/>
    <s v="Translation Services"/>
    <s v="Emergency Services"/>
    <x v="0"/>
    <n v="1025"/>
    <n v="77.36"/>
    <n v="191.22"/>
    <n v="73.709999999999994"/>
    <n v="68.73"/>
    <n v="220.42"/>
    <n v="0"/>
    <n v="328.46"/>
    <n v="294.68"/>
    <n v="431.99"/>
    <n v="225.94"/>
    <n v="48"/>
    <n v="59.25"/>
    <n v="2019.76"/>
    <n v="-11.25"/>
  </r>
  <r>
    <x v="7"/>
    <x v="4"/>
    <x v="0"/>
    <s v="3800103"/>
    <n v="718050"/>
    <s v="Contract Management--Linen"/>
    <s v="Emergency Services"/>
    <x v="0"/>
    <n v="1026"/>
    <n v="4146.2700000000004"/>
    <n v="10032.91"/>
    <n v="9446.02"/>
    <n v="10240.9"/>
    <n v="10799.83"/>
    <n v="10144.280000000001"/>
    <n v="8938.1299999999992"/>
    <n v="10411.120000000001"/>
    <n v="10110.040000000001"/>
    <n v="19684.47"/>
    <n v="9693.1200000000008"/>
    <n v="8205.48"/>
    <n v="121852.56999999999"/>
    <n v="1487.6400000000012"/>
  </r>
  <r>
    <x v="7"/>
    <x v="4"/>
    <x v="0"/>
    <s v="3800103"/>
    <n v="718091"/>
    <s v="Contract Services-Intracompany Allocation"/>
    <s v="Emergency Services"/>
    <x v="0"/>
    <m/>
    <n v="20782.240000000002"/>
    <n v="12912.43"/>
    <n v="-11284.97"/>
    <n v="16906.7"/>
    <n v="16251.45"/>
    <n v="13405.31"/>
    <n v="20611.669999999998"/>
    <n v="17009.150000000001"/>
    <n v="20746.23"/>
    <n v="8899.82"/>
    <n v="19953.46"/>
    <n v="16351.61"/>
    <n v="172545.09999999998"/>
    <n v="3601.8499999999985"/>
  </r>
  <r>
    <x v="11"/>
    <x v="4"/>
    <x v="0"/>
    <s v="3800103"/>
    <n v="721010"/>
    <s v="Supplies-Medical - Billable"/>
    <s v="Emergency Services"/>
    <x v="0"/>
    <m/>
    <n v="7031.14"/>
    <n v="8681"/>
    <n v="6963.46"/>
    <n v="7588.87"/>
    <n v="6736.5"/>
    <n v="6117.54"/>
    <n v="8273.2199999999993"/>
    <n v="6383.35"/>
    <n v="8234.76"/>
    <n v="7130.52"/>
    <n v="7315.82"/>
    <n v="7751.7"/>
    <n v="88207.87999999999"/>
    <n v="-435.88000000000011"/>
  </r>
  <r>
    <x v="11"/>
    <x v="4"/>
    <x v="0"/>
    <s v="3800103"/>
    <n v="721010"/>
    <s v="Patient Monitoring"/>
    <s v="Emergency Services"/>
    <x v="0"/>
    <n v="1000"/>
    <n v="1221.21"/>
    <n v="4475.75"/>
    <n v="2921.05"/>
    <n v="2342.64"/>
    <n v="1481.18"/>
    <n v="2139.12"/>
    <n v="2753.09"/>
    <n v="2474.14"/>
    <n v="3424.44"/>
    <n v="3029.38"/>
    <n v="2479.4299999999998"/>
    <n v="3174.2"/>
    <n v="31915.63"/>
    <n v="-694.77"/>
  </r>
  <r>
    <x v="11"/>
    <x v="4"/>
    <x v="0"/>
    <s v="3800103"/>
    <n v="721020"/>
    <s v="Supplies-Surgical - Billable"/>
    <s v="Emergency Services"/>
    <x v="0"/>
    <m/>
    <n v="328.78"/>
    <n v="747.55"/>
    <n v="390.24"/>
    <n v="1034.43"/>
    <n v="681.21"/>
    <n v="709.36"/>
    <n v="2019.65"/>
    <n v="907.08"/>
    <n v="516.78"/>
    <n v="942.38"/>
    <n v="633.71"/>
    <n v="1017.75"/>
    <n v="9928.9199999999983"/>
    <n v="-384.03999999999996"/>
  </r>
  <r>
    <x v="11"/>
    <x v="4"/>
    <x v="0"/>
    <s v="3800103"/>
    <n v="721020"/>
    <s v="Custom Packs"/>
    <s v="Emergency Services"/>
    <x v="0"/>
    <n v="1000"/>
    <n v="1506.36"/>
    <n v="1533.61"/>
    <n v="1315.01"/>
    <n v="1141.28"/>
    <n v="1245.76"/>
    <n v="924.65"/>
    <n v="1207.75"/>
    <n v="742.62"/>
    <n v="780.19"/>
    <n v="1031.17"/>
    <n v="1013.35"/>
    <n v="1015.09"/>
    <n v="13456.84"/>
    <n v="-1.7400000000000091"/>
  </r>
  <r>
    <x v="11"/>
    <x v="4"/>
    <x v="0"/>
    <s v="3800103"/>
    <n v="721020"/>
    <s v="Suture/Wound Closure"/>
    <s v="Emergency Services"/>
    <x v="0"/>
    <n v="1001"/>
    <n v="77.81"/>
    <n v="1187.03"/>
    <n v="119.93"/>
    <n v="152.62"/>
    <n v="811.48"/>
    <n v="467.07"/>
    <n v="1320.23"/>
    <n v="369.6"/>
    <n v="72.98"/>
    <n v="88.13"/>
    <n v="215.82"/>
    <n v="385.1"/>
    <n v="5267.8"/>
    <n v="-169.28000000000003"/>
  </r>
  <r>
    <x v="11"/>
    <x v="4"/>
    <x v="0"/>
    <s v="3800103"/>
    <n v="721020"/>
    <s v="Tubes Drains &amp; Related Supplies"/>
    <s v="Emergency Services"/>
    <x v="0"/>
    <n v="1008"/>
    <n v="164.59"/>
    <n v="0"/>
    <n v="0"/>
    <n v="0"/>
    <n v="27.4"/>
    <n v="416.62"/>
    <n v="13.43"/>
    <n v="139.97"/>
    <n v="0.77"/>
    <n v="13.43"/>
    <n v="0"/>
    <n v="0"/>
    <n v="776.20999999999992"/>
    <n v="0"/>
  </r>
  <r>
    <x v="11"/>
    <x v="4"/>
    <x v="0"/>
    <s v="3800103"/>
    <n v="721050"/>
    <s v="Supplies-Cardiac Rhythm - Billable"/>
    <s v="Emergency Services"/>
    <x v="0"/>
    <m/>
    <n v="172.92"/>
    <n v="16"/>
    <n v="410.71"/>
    <n v="1005"/>
    <n v="571.24"/>
    <n v="1085.1400000000001"/>
    <n v="114.21"/>
    <n v="943.01"/>
    <n v="455.52"/>
    <n v="670.17"/>
    <n v="507.47"/>
    <n v="228.42"/>
    <n v="6179.81"/>
    <n v="279.05000000000007"/>
  </r>
  <r>
    <x v="11"/>
    <x v="4"/>
    <x v="0"/>
    <s v="3800103"/>
    <n v="721050"/>
    <s v="Pacemakers - Internal"/>
    <s v="Emergency Services"/>
    <x v="0"/>
    <n v="1000"/>
    <n v="0"/>
    <n v="0"/>
    <n v="520"/>
    <n v="0"/>
    <n v="0"/>
    <n v="0"/>
    <n v="0"/>
    <n v="0"/>
    <n v="0"/>
    <n v="0"/>
    <n v="0"/>
    <n v="0"/>
    <n v="520"/>
    <n v="0"/>
  </r>
  <r>
    <x v="11"/>
    <x v="4"/>
    <x v="0"/>
    <s v="3800103"/>
    <n v="721220"/>
    <s v="Supplies-Medical Gases - Billable"/>
    <s v="Emergency Services"/>
    <x v="0"/>
    <m/>
    <n v="42"/>
    <n v="42"/>
    <n v="0"/>
    <n v="84"/>
    <n v="42"/>
    <n v="42"/>
    <n v="72"/>
    <n v="84"/>
    <n v="42"/>
    <n v="42"/>
    <n v="0"/>
    <n v="84"/>
    <n v="576"/>
    <n v="-84"/>
  </r>
  <r>
    <x v="11"/>
    <x v="4"/>
    <x v="0"/>
    <s v="3800103"/>
    <n v="721240"/>
    <s v="Supplies-IV Solutions/Supplies - Billable"/>
    <s v="Emergency Services"/>
    <x v="0"/>
    <m/>
    <n v="30407.48"/>
    <n v="22525.81"/>
    <n v="22799.16"/>
    <n v="23348"/>
    <n v="21653.87"/>
    <n v="27265.94"/>
    <n v="27403.84"/>
    <n v="20872.86"/>
    <n v="23455.8"/>
    <n v="25126.39"/>
    <n v="24311.01"/>
    <n v="19903.66"/>
    <n v="289073.81999999995"/>
    <n v="4407.3499999999985"/>
  </r>
  <r>
    <x v="11"/>
    <x v="4"/>
    <x v="0"/>
    <s v="3800103"/>
    <n v="721250"/>
    <s v="Supplies-Pharmacy Drugs - Billable"/>
    <s v="Emergency Services"/>
    <x v="0"/>
    <m/>
    <n v="1.9"/>
    <n v="72.95"/>
    <n v="17.170000000000002"/>
    <n v="9.56"/>
    <n v="0"/>
    <n v="27.41"/>
    <n v="0"/>
    <n v="26.46"/>
    <n v="26.46"/>
    <n v="0.88"/>
    <n v="0"/>
    <n v="23.67"/>
    <n v="206.46000000000004"/>
    <n v="-23.67"/>
  </r>
  <r>
    <x v="11"/>
    <x v="4"/>
    <x v="0"/>
    <s v="3800103"/>
    <n v="721410"/>
    <s v="Supplies-Medical - Nonbillable"/>
    <s v="Emergency Services"/>
    <x v="0"/>
    <m/>
    <n v="39154.67"/>
    <n v="39694.089999999997"/>
    <n v="37265.019999999997"/>
    <n v="39091.47"/>
    <n v="38510.97"/>
    <n v="34016.9"/>
    <n v="41339.769999999997"/>
    <n v="34920.33"/>
    <n v="36799.129999999997"/>
    <n v="25416.11"/>
    <n v="34683.199999999997"/>
    <n v="36581.57"/>
    <n v="437473.23000000004"/>
    <n v="-1898.3700000000026"/>
  </r>
  <r>
    <x v="11"/>
    <x v="4"/>
    <x v="0"/>
    <s v="3800103"/>
    <n v="721410"/>
    <s v="Patient Monitoring"/>
    <s v="Emergency Services"/>
    <x v="0"/>
    <n v="1000"/>
    <n v="14.8"/>
    <n v="66.680000000000007"/>
    <n v="126.79"/>
    <n v="141.62"/>
    <n v="90.53"/>
    <n v="107.22"/>
    <n v="148.24"/>
    <n v="92.05"/>
    <n v="178.28"/>
    <n v="101.7"/>
    <n v="104.55"/>
    <n v="96.45"/>
    <n v="1268.9099999999999"/>
    <n v="8.0999999999999943"/>
  </r>
  <r>
    <x v="11"/>
    <x v="4"/>
    <x v="0"/>
    <s v="3800103"/>
    <n v="721420"/>
    <s v="Supplies-Surgical Nonbillable"/>
    <s v="Emergency Services"/>
    <x v="0"/>
    <m/>
    <n v="642.44000000000005"/>
    <n v="2559.36"/>
    <n v="1024.52"/>
    <n v="1863.67"/>
    <n v="1144.07"/>
    <n v="2084.04"/>
    <n v="1592.93"/>
    <n v="4678.12"/>
    <n v="1373.57"/>
    <n v="811.61"/>
    <n v="3587.35"/>
    <n v="2878.13"/>
    <n v="24239.809999999998"/>
    <n v="709.2199999999998"/>
  </r>
  <r>
    <x v="11"/>
    <x v="4"/>
    <x v="0"/>
    <s v="3800103"/>
    <n v="721420"/>
    <s v="Tubes Drains &amp; Related Supplies"/>
    <s v="Emergency Services"/>
    <x v="0"/>
    <n v="1008"/>
    <n v="422.6"/>
    <n v="134.30000000000001"/>
    <n v="196.46"/>
    <n v="580.54"/>
    <n v="224.72"/>
    <n v="166.82"/>
    <n v="1313.34"/>
    <n v="355.8"/>
    <n v="314.18"/>
    <n v="452.93"/>
    <n v="121.1"/>
    <n v="22.72"/>
    <n v="4305.51"/>
    <n v="98.38"/>
  </r>
  <r>
    <x v="11"/>
    <x v="4"/>
    <x v="0"/>
    <s v="3800103"/>
    <n v="721420"/>
    <s v="Sterilization Process Products"/>
    <s v="Emergency Services"/>
    <x v="0"/>
    <n v="1009"/>
    <n v="120.63"/>
    <n v="0"/>
    <n v="18.27"/>
    <n v="213.88"/>
    <n v="94.57"/>
    <n v="18.690000000000001"/>
    <n v="104.26"/>
    <n v="120.67"/>
    <n v="178.59"/>
    <n v="161.88999999999999"/>
    <n v="169.72"/>
    <n v="71.41"/>
    <n v="1272.58"/>
    <n v="98.31"/>
  </r>
  <r>
    <x v="11"/>
    <x v="4"/>
    <x v="0"/>
    <s v="3800103"/>
    <n v="721610"/>
    <s v="Supplies-Anesthesia - Nonbillable"/>
    <s v="Emergency Services"/>
    <x v="0"/>
    <m/>
    <n v="1940.49"/>
    <n v="2003.1"/>
    <n v="1987.68"/>
    <n v="2218.3200000000002"/>
    <n v="2084.7600000000002"/>
    <n v="2032.02"/>
    <n v="2935.62"/>
    <n v="2857.86"/>
    <n v="3008.57"/>
    <n v="2335.44"/>
    <n v="2199.33"/>
    <n v="1614.07"/>
    <n v="27217.260000000002"/>
    <n v="585.26"/>
  </r>
  <r>
    <x v="11"/>
    <x v="4"/>
    <x v="0"/>
    <s v="3800103"/>
    <n v="721640"/>
    <s v="Supplies-IV Solutions/Supplies - Nonbillable"/>
    <s v="Emergency Services"/>
    <x v="0"/>
    <m/>
    <n v="8663.67"/>
    <n v="9270.31"/>
    <n v="8586.2999999999993"/>
    <n v="10016.780000000001"/>
    <n v="8242.08"/>
    <n v="9221.33"/>
    <n v="11400.76"/>
    <n v="10895.59"/>
    <n v="10902.74"/>
    <n v="9382.1200000000008"/>
    <n v="8811.43"/>
    <n v="10379.16"/>
    <n v="115772.27000000002"/>
    <n v="-1567.7299999999996"/>
  </r>
  <r>
    <x v="11"/>
    <x v="4"/>
    <x v="0"/>
    <s v="3800103"/>
    <n v="721650"/>
    <s v="Supplies-Pharmacy Drugs - Nonbillable"/>
    <s v="Emergency Services"/>
    <x v="0"/>
    <m/>
    <n v="107.58"/>
    <n v="140.69"/>
    <n v="57.9"/>
    <n v="76.05"/>
    <n v="58.37"/>
    <n v="79.349999999999994"/>
    <n v="82.47"/>
    <n v="31.27"/>
    <n v="37.99"/>
    <n v="37.28"/>
    <n v="117.64"/>
    <n v="118.36"/>
    <n v="944.94999999999993"/>
    <n v="-0.71999999999999886"/>
  </r>
  <r>
    <x v="11"/>
    <x v="4"/>
    <x v="0"/>
    <s v="3800103"/>
    <n v="721710"/>
    <s v="Supplies-Laboratory - Nonbillable"/>
    <s v="Emergency Services"/>
    <x v="0"/>
    <m/>
    <n v="6804.86"/>
    <n v="7127.1"/>
    <n v="7048.98"/>
    <n v="7414.87"/>
    <n v="6945.17"/>
    <n v="6878.03"/>
    <n v="6949.92"/>
    <n v="6516.18"/>
    <n v="7397.64"/>
    <n v="6860.5"/>
    <n v="7028.05"/>
    <n v="6627.16"/>
    <n v="83598.460000000006"/>
    <n v="400.89000000000033"/>
  </r>
  <r>
    <x v="11"/>
    <x v="4"/>
    <x v="0"/>
    <s v="3800103"/>
    <n v="721710"/>
    <s v="Reagents"/>
    <s v="Emergency Services"/>
    <x v="0"/>
    <n v="1000"/>
    <n v="300.89999999999998"/>
    <n v="363.45"/>
    <n v="402.03"/>
    <n v="361.78"/>
    <n v="280.79000000000002"/>
    <n v="301.57"/>
    <n v="328.52"/>
    <n v="283.69"/>
    <n v="448.27"/>
    <n v="100.77"/>
    <n v="193.32"/>
    <n v="286.29000000000002"/>
    <n v="3651.38"/>
    <n v="-92.970000000000027"/>
  </r>
  <r>
    <x v="11"/>
    <x v="4"/>
    <x v="0"/>
    <s v="3800103"/>
    <n v="721750"/>
    <s v="Supplies-Film/Radiographic - Nonbillable"/>
    <s v="Emergency Services"/>
    <x v="0"/>
    <m/>
    <n v="40.299999999999997"/>
    <n v="120.13"/>
    <n v="20.72"/>
    <n v="157.44"/>
    <n v="87.32"/>
    <n v="238.18"/>
    <n v="165.94"/>
    <n v="222.31"/>
    <n v="39.85"/>
    <n v="5.62"/>
    <n v="9.36"/>
    <n v="7.49"/>
    <n v="1114.6599999999996"/>
    <n v="1.8699999999999992"/>
  </r>
  <r>
    <x v="11"/>
    <x v="4"/>
    <x v="0"/>
    <s v="3800103"/>
    <n v="721810"/>
    <s v="Supplies-Dietary/Cafeteria"/>
    <s v="Emergency Services"/>
    <x v="0"/>
    <m/>
    <n v="3162.28"/>
    <n v="3286.42"/>
    <n v="2930.45"/>
    <n v="4896.1000000000004"/>
    <n v="4949.99"/>
    <n v="4766.16"/>
    <n v="5294.08"/>
    <n v="5988.14"/>
    <n v="538.82000000000005"/>
    <n v="12046.73"/>
    <n v="7641.13"/>
    <n v="5638.73"/>
    <n v="61139.03"/>
    <n v="2002.4000000000005"/>
  </r>
  <r>
    <x v="11"/>
    <x v="4"/>
    <x v="0"/>
    <s v="3800103"/>
    <n v="721830"/>
    <s v="Supplies-Office"/>
    <s v="Emergency Services"/>
    <x v="0"/>
    <m/>
    <n v="1092.6400000000001"/>
    <n v="960.74"/>
    <n v="2392.16"/>
    <n v="900.78"/>
    <n v="1893.19"/>
    <n v="1218.5899999999999"/>
    <n v="669.05"/>
    <n v="696.98"/>
    <n v="859.4"/>
    <n v="662.6"/>
    <n v="368.18"/>
    <n v="1167.4100000000001"/>
    <n v="12881.72"/>
    <n v="-799.23"/>
  </r>
  <r>
    <x v="11"/>
    <x v="4"/>
    <x v="0"/>
    <s v="3800103"/>
    <n v="721835"/>
    <s v="Supplies-Forms"/>
    <s v="Emergency Services"/>
    <x v="0"/>
    <m/>
    <n v="0"/>
    <n v="0"/>
    <n v="0"/>
    <n v="0"/>
    <n v="267.07"/>
    <n v="34.729999999999997"/>
    <n v="2.5299999999999998"/>
    <n v="0"/>
    <n v="44.11"/>
    <n v="29.2"/>
    <n v="18.079999999999998"/>
    <n v="98.66"/>
    <n v="494.38"/>
    <n v="-80.58"/>
  </r>
  <r>
    <x v="11"/>
    <x v="4"/>
    <x v="0"/>
    <s v="3800103"/>
    <n v="721870"/>
    <s v="Supplies-Environmental Services"/>
    <s v="Emergency Services"/>
    <x v="0"/>
    <m/>
    <n v="2189.33"/>
    <n v="1996.15"/>
    <n v="1921.96"/>
    <n v="2102.4299999999998"/>
    <n v="2120.0100000000002"/>
    <n v="2078.59"/>
    <n v="2360.2800000000002"/>
    <n v="1955.03"/>
    <n v="1943.3"/>
    <n v="2175.16"/>
    <n v="1718.2"/>
    <n v="1699.36"/>
    <n v="24259.8"/>
    <n v="18.840000000000146"/>
  </r>
  <r>
    <x v="11"/>
    <x v="4"/>
    <x v="0"/>
    <s v="3800103"/>
    <n v="721910"/>
    <s v="Supplies-Small Equipment"/>
    <s v="Emergency Services"/>
    <x v="0"/>
    <m/>
    <n v="2925.74"/>
    <n v="576.96"/>
    <n v="2063.98"/>
    <n v="829.99"/>
    <n v="9985.81"/>
    <n v="376.86"/>
    <n v="2977.58"/>
    <n v="1685.63"/>
    <n v="1093.29"/>
    <n v="3186.37"/>
    <n v="2649.6"/>
    <n v="4271.26"/>
    <n v="32623.07"/>
    <n v="-1621.6600000000003"/>
  </r>
  <r>
    <x v="11"/>
    <x v="4"/>
    <x v="0"/>
    <s v="3800103"/>
    <n v="721910"/>
    <s v="Instruments"/>
    <s v="Emergency Services"/>
    <x v="0"/>
    <n v="1000"/>
    <n v="1611.78"/>
    <n v="623.88"/>
    <n v="1423.09"/>
    <n v="812.93"/>
    <n v="899.79"/>
    <n v="1140.06"/>
    <n v="1402.8"/>
    <n v="653.53"/>
    <n v="2053.88"/>
    <n v="644.25"/>
    <n v="1071.1500000000001"/>
    <n v="540.41"/>
    <n v="12877.550000000001"/>
    <n v="530.74000000000012"/>
  </r>
  <r>
    <x v="11"/>
    <x v="4"/>
    <x v="0"/>
    <s v="3800103"/>
    <n v="721980"/>
    <s v="Supplies-Other"/>
    <s v="Emergency Services"/>
    <x v="0"/>
    <m/>
    <n v="2056.9"/>
    <n v="3001.1"/>
    <n v="1322.85"/>
    <n v="9836.36"/>
    <n v="450.92"/>
    <n v="4628.84"/>
    <n v="1264.72"/>
    <n v="1951.74"/>
    <n v="700.47"/>
    <n v="618.13"/>
    <n v="801.06"/>
    <n v="816.55"/>
    <n v="27449.640000000007"/>
    <n v="-15.490000000000009"/>
  </r>
  <r>
    <x v="11"/>
    <x v="4"/>
    <x v="0"/>
    <s v="3800103"/>
    <n v="722000"/>
    <s v="Supplies-Freight Expense"/>
    <s v="Emergency Services"/>
    <x v="0"/>
    <m/>
    <n v="16.170000000000002"/>
    <n v="73.849999999999994"/>
    <n v="139.83000000000001"/>
    <n v="16.989999999999998"/>
    <n v="68.38"/>
    <n v="108.86"/>
    <n v="191.09"/>
    <n v="123.74"/>
    <n v="84.6"/>
    <n v="45.25"/>
    <n v="41.04"/>
    <n v="29.64"/>
    <n v="939.44"/>
    <n v="11.399999999999999"/>
  </r>
  <r>
    <x v="12"/>
    <x v="4"/>
    <x v="0"/>
    <s v="3800103"/>
    <n v="730020"/>
    <s v="Rental and Leases-Copier Usage Fees (DO NOT USE)"/>
    <s v="Emergency Services"/>
    <x v="0"/>
    <n v="5100"/>
    <n v="1033.3499999999999"/>
    <n v="1053.06"/>
    <n v="1043.2"/>
    <n v="1043.2"/>
    <n v="1043.2"/>
    <n v="1043.2"/>
    <n v="-2989.02"/>
    <n v="627.97"/>
    <n v="440.54"/>
    <n v="854.84"/>
    <n v="441.85"/>
    <n v="474.65"/>
    <n v="6110.0399999999991"/>
    <n v="-32.799999999999955"/>
  </r>
  <r>
    <x v="15"/>
    <x v="4"/>
    <x v="0"/>
    <s v="3800103"/>
    <n v="731060"/>
    <s v="Telephone"/>
    <s v="Emergency Services"/>
    <x v="0"/>
    <m/>
    <n v="0"/>
    <n v="156"/>
    <n v="15.76"/>
    <n v="0"/>
    <n v="0"/>
    <n v="92.24"/>
    <n v="78"/>
    <n v="0"/>
    <n v="0"/>
    <n v="0"/>
    <n v="93"/>
    <n v="9.2100000000000009"/>
    <n v="444.21"/>
    <n v="83.789999999999992"/>
  </r>
  <r>
    <x v="15"/>
    <x v="4"/>
    <x v="0"/>
    <s v="3800103"/>
    <n v="731060"/>
    <s v="Cell Phones"/>
    <s v="Emergency Services"/>
    <x v="0"/>
    <n v="1001"/>
    <n v="0"/>
    <n v="27.39"/>
    <n v="54.77"/>
    <n v="0"/>
    <n v="26.84"/>
    <n v="27.45"/>
    <n v="54.84"/>
    <n v="0"/>
    <n v="27.92"/>
    <n v="54.91"/>
    <n v="26.82"/>
    <n v="27.5"/>
    <n v="328.44"/>
    <n v="-0.67999999999999972"/>
  </r>
  <r>
    <x v="15"/>
    <x v="4"/>
    <x v="0"/>
    <s v="3800103"/>
    <n v="731060"/>
    <s v="Pagers"/>
    <s v="Emergency Services"/>
    <x v="0"/>
    <n v="1002"/>
    <n v="40.5"/>
    <n v="40.5"/>
    <n v="56.43"/>
    <n v="48.72"/>
    <n v="48.72"/>
    <n v="0"/>
    <n v="103.78"/>
    <n v="24.36"/>
    <n v="24.36"/>
    <n v="24.36"/>
    <n v="24.36"/>
    <n v="24.36"/>
    <n v="460.45000000000005"/>
    <n v="0"/>
  </r>
  <r>
    <x v="16"/>
    <x v="4"/>
    <x v="0"/>
    <s v="3800103"/>
    <n v="732020"/>
    <s v="Repairs--Clin Equip-Parts-Internal to CHI Programs"/>
    <s v="Emergency Services"/>
    <x v="0"/>
    <m/>
    <n v="822.73"/>
    <n v="0"/>
    <n v="0"/>
    <n v="0"/>
    <n v="0"/>
    <n v="0"/>
    <n v="0"/>
    <n v="0"/>
    <n v="0"/>
    <n v="0"/>
    <n v="822.73"/>
    <n v="0"/>
    <n v="1645.46"/>
    <n v="822.73"/>
  </r>
  <r>
    <x v="16"/>
    <x v="4"/>
    <x v="0"/>
    <s v="3800103"/>
    <n v="732030"/>
    <s v="Repairs---Other"/>
    <s v="Emergency Services"/>
    <x v="0"/>
    <m/>
    <n v="0"/>
    <n v="0"/>
    <n v="0"/>
    <n v="0"/>
    <n v="0"/>
    <n v="0"/>
    <n v="0"/>
    <n v="0"/>
    <n v="0"/>
    <n v="0"/>
    <n v="0"/>
    <n v="771.9"/>
    <n v="771.9"/>
    <n v="-771.9"/>
  </r>
  <r>
    <x v="13"/>
    <x v="4"/>
    <x v="0"/>
    <s v="3800103"/>
    <n v="735040"/>
    <s v="Depreciation-Building Improvements"/>
    <s v="Emergency Services"/>
    <x v="0"/>
    <m/>
    <n v="4119.83"/>
    <n v="4119.8"/>
    <n v="4119.84"/>
    <n v="4119.8"/>
    <n v="4119.8500000000004"/>
    <n v="4119.79"/>
    <n v="4119.88"/>
    <n v="4119.74"/>
    <n v="4119.8999999999996"/>
    <n v="4119.7299999999996"/>
    <n v="4119.8999999999996"/>
    <n v="4119.7299999999996"/>
    <n v="49437.790000000008"/>
    <n v="0.17000000000007276"/>
  </r>
  <r>
    <x v="13"/>
    <x v="4"/>
    <x v="0"/>
    <s v="3800103"/>
    <n v="735060"/>
    <s v="Depreciation-Fixed Equipment"/>
    <s v="Emergency Services"/>
    <x v="0"/>
    <m/>
    <n v="164.05"/>
    <n v="164.05"/>
    <n v="164.05"/>
    <n v="164.05"/>
    <n v="164.05"/>
    <n v="164.05"/>
    <n v="164.05"/>
    <n v="164.04"/>
    <n v="164.06"/>
    <n v="164.04"/>
    <n v="164.06"/>
    <n v="164.04"/>
    <n v="1968.5899999999997"/>
    <n v="2.0000000000010232E-2"/>
  </r>
  <r>
    <x v="13"/>
    <x v="4"/>
    <x v="0"/>
    <s v="3800103"/>
    <n v="735070"/>
    <s v="Depreciation-Movable Equipment"/>
    <s v="Emergency Services"/>
    <x v="0"/>
    <m/>
    <n v="4492.8500000000004"/>
    <n v="4492.83"/>
    <n v="4492.8599999999997"/>
    <n v="4492.8100000000004"/>
    <n v="4468.7700000000004"/>
    <n v="4468.7"/>
    <n v="4468.7700000000004"/>
    <n v="4720.22"/>
    <n v="4720.34"/>
    <n v="4720.22"/>
    <n v="4720.3500000000004"/>
    <n v="4720.2"/>
    <n v="54978.920000000006"/>
    <n v="0.1500000000005457"/>
  </r>
  <r>
    <x v="0"/>
    <x v="4"/>
    <x v="0"/>
    <s v="3800103"/>
    <n v="740010"/>
    <s v="Education-Materials"/>
    <s v="Emergency Services"/>
    <x v="0"/>
    <m/>
    <n v="0"/>
    <n v="0"/>
    <n v="0"/>
    <n v="0"/>
    <n v="45"/>
    <n v="0"/>
    <n v="0"/>
    <n v="0"/>
    <n v="0"/>
    <n v="0"/>
    <n v="0"/>
    <n v="0"/>
    <n v="45"/>
    <n v="0"/>
  </r>
  <r>
    <x v="0"/>
    <x v="4"/>
    <x v="0"/>
    <s v="3800103"/>
    <n v="740020"/>
    <s v="Education-Registration Fees"/>
    <s v="Emergency Services"/>
    <x v="0"/>
    <m/>
    <n v="375"/>
    <n v="5950"/>
    <n v="4093.54"/>
    <n v="2761.01"/>
    <n v="1570"/>
    <n v="0"/>
    <n v="2565"/>
    <n v="3175"/>
    <n v="1890"/>
    <n v="1285"/>
    <n v="1035"/>
    <n v="1615"/>
    <n v="26314.550000000003"/>
    <n v="-580"/>
  </r>
  <r>
    <x v="0"/>
    <x v="4"/>
    <x v="0"/>
    <s v="3800103"/>
    <n v="742030"/>
    <s v="Freight-Courier"/>
    <s v="Emergency Services"/>
    <x v="0"/>
    <m/>
    <n v="0"/>
    <n v="0"/>
    <n v="0"/>
    <n v="0"/>
    <n v="49"/>
    <n v="0"/>
    <n v="0"/>
    <n v="0"/>
    <n v="0"/>
    <n v="0"/>
    <n v="0"/>
    <n v="57"/>
    <n v="106"/>
    <n v="-57"/>
  </r>
  <r>
    <x v="0"/>
    <x v="4"/>
    <x v="0"/>
    <s v="3800103"/>
    <n v="749510"/>
    <s v="Miscellaneous Expenses"/>
    <s v="Emergency Services"/>
    <x v="0"/>
    <m/>
    <n v="10.89"/>
    <n v="114.74"/>
    <n v="545.16999999999996"/>
    <n v="-570"/>
    <n v="174.73"/>
    <n v="16.91"/>
    <n v="2799.18"/>
    <n v="-2860.67"/>
    <n v="5572.44"/>
    <n v="-991.56"/>
    <n v="413.3"/>
    <n v="5176.38"/>
    <n v="10401.51"/>
    <n v="-4763.08"/>
  </r>
  <r>
    <x v="0"/>
    <x v="4"/>
    <x v="0"/>
    <s v="3800103"/>
    <n v="749510"/>
    <s v="Casualty Loss/Patient Property"/>
    <s v="Emergency Services"/>
    <x v="0"/>
    <n v="4601"/>
    <n v="0"/>
    <n v="0"/>
    <n v="0"/>
    <n v="0"/>
    <n v="0"/>
    <n v="0"/>
    <n v="850"/>
    <n v="0"/>
    <n v="0"/>
    <n v="444.95"/>
    <n v="0"/>
    <n v="0"/>
    <n v="1294.95"/>
    <n v="0"/>
  </r>
  <r>
    <x v="0"/>
    <x v="4"/>
    <x v="0"/>
    <s v="3800103"/>
    <n v="749510"/>
    <s v="RICE Rewards"/>
    <s v="Emergency Services"/>
    <x v="0"/>
    <n v="5100"/>
    <n v="0"/>
    <n v="0"/>
    <n v="0"/>
    <n v="0"/>
    <n v="0"/>
    <n v="872.04"/>
    <n v="0"/>
    <n v="0"/>
    <n v="0"/>
    <n v="0"/>
    <n v="0"/>
    <n v="0"/>
    <n v="872.04"/>
    <n v="0"/>
  </r>
  <r>
    <x v="0"/>
    <x v="4"/>
    <x v="0"/>
    <s v="3800103"/>
    <n v="749530"/>
    <s v="Travel"/>
    <s v="Emergency Services"/>
    <x v="0"/>
    <m/>
    <n v="0"/>
    <n v="526.91"/>
    <n v="0"/>
    <n v="0"/>
    <n v="125"/>
    <n v="0"/>
    <n v="0"/>
    <n v="1927.84"/>
    <n v="0"/>
    <n v="0"/>
    <n v="2038.55"/>
    <n v="0"/>
    <n v="4618.3"/>
    <n v="2038.55"/>
  </r>
  <r>
    <x v="0"/>
    <x v="4"/>
    <x v="0"/>
    <s v="3800103"/>
    <n v="749535"/>
    <s v="Meetings"/>
    <s v="Emergency Services"/>
    <x v="0"/>
    <m/>
    <n v="0"/>
    <n v="0"/>
    <n v="0"/>
    <n v="0"/>
    <n v="0"/>
    <n v="0"/>
    <n v="0"/>
    <n v="120.18"/>
    <n v="0"/>
    <n v="0"/>
    <n v="65.010000000000005"/>
    <n v="0"/>
    <n v="185.19"/>
    <n v="65.010000000000005"/>
  </r>
  <r>
    <x v="18"/>
    <x v="8"/>
    <x v="0"/>
    <s v="3800104"/>
    <n v="400010"/>
    <s v="Acute I/P Svcs Rev--Medicare"/>
    <s v="Emergency Services"/>
    <x v="0"/>
    <n v="1100"/>
    <n v="-1311294.93"/>
    <n v="-1428165.85"/>
    <n v="-1440641.22"/>
    <n v="-1206367.2"/>
    <n v="-1110358.17"/>
    <n v="-1508420.12"/>
    <n v="-1496932.4"/>
    <n v="-1238102.6200000001"/>
    <n v="-1404934.17"/>
    <n v="-1315120.55"/>
    <n v="-1391091.58"/>
    <n v="-1241261.48"/>
    <n v="-16092690.290000003"/>
    <n v="-149830.10000000009"/>
  </r>
  <r>
    <x v="18"/>
    <x v="8"/>
    <x v="0"/>
    <s v="3800104"/>
    <n v="400010"/>
    <s v="Acute I/P Svcs Rev--Medicaid"/>
    <s v="Emergency Services"/>
    <x v="0"/>
    <n v="1200"/>
    <n v="-421977.11"/>
    <n v="-264665.40000000002"/>
    <n v="-349891.28"/>
    <n v="-379190.25"/>
    <n v="-336473.82"/>
    <n v="-284445.68"/>
    <n v="-271261.76"/>
    <n v="-311753.63"/>
    <n v="-249174.3"/>
    <n v="-283683.82"/>
    <n v="-327042.09999999998"/>
    <n v="-314055.65000000002"/>
    <n v="-3793614.7999999993"/>
    <n v="-12986.449999999953"/>
  </r>
  <r>
    <x v="18"/>
    <x v="8"/>
    <x v="0"/>
    <s v="3800104"/>
    <n v="400010"/>
    <s v="Acute I/P Svcs Rev--Comm Insurance"/>
    <s v="Emergency Services"/>
    <x v="0"/>
    <n v="1300"/>
    <n v="-73008.95"/>
    <n v="36624.42"/>
    <n v="-29765.88"/>
    <n v="-31956.73"/>
    <n v="-28631.58"/>
    <n v="-9017.82"/>
    <n v="-45804.08"/>
    <n v="-18375.52"/>
    <n v="-15695.21"/>
    <n v="-29926.639999999999"/>
    <n v="-50459.49"/>
    <n v="-46143.6"/>
    <n v="-342161.07999999996"/>
    <n v="-4315.8899999999994"/>
  </r>
  <r>
    <x v="18"/>
    <x v="8"/>
    <x v="0"/>
    <s v="3800104"/>
    <n v="400010"/>
    <s v="Acute I/P Svcs Rev--BCBS Comm"/>
    <s v="Emergency Services"/>
    <x v="0"/>
    <n v="1301"/>
    <n v="-127705.63"/>
    <n v="-119524.47"/>
    <n v="-137301.70000000001"/>
    <n v="-71402.789999999994"/>
    <n v="-89473.47"/>
    <n v="-82631.289999999994"/>
    <n v="-154281.79"/>
    <n v="-96082.21"/>
    <n v="-114768.03"/>
    <n v="-122533.52"/>
    <n v="-104022.7"/>
    <n v="-61009.04"/>
    <n v="-1280736.6400000001"/>
    <n v="-43013.659999999996"/>
  </r>
  <r>
    <x v="18"/>
    <x v="8"/>
    <x v="0"/>
    <s v="3800104"/>
    <n v="400010"/>
    <s v="Acute I/P Svcs Rev--Managed Care"/>
    <s v="Emergency Services"/>
    <x v="0"/>
    <n v="1400"/>
    <n v="-213492.25"/>
    <n v="-185581.19"/>
    <n v="-292797.83"/>
    <n v="-166960.71"/>
    <n v="-209566.16"/>
    <n v="-315742"/>
    <n v="-227213.33"/>
    <n v="-157736.10999999999"/>
    <n v="-237114.71"/>
    <n v="-117666.41"/>
    <n v="-228618.99"/>
    <n v="-161477.98000000001"/>
    <n v="-2513967.6700000004"/>
    <n v="-67141.00999999998"/>
  </r>
  <r>
    <x v="18"/>
    <x v="8"/>
    <x v="0"/>
    <s v="3800104"/>
    <n v="400010"/>
    <s v="Acute I/P Svcs Rev--Self Pay"/>
    <s v="Emergency Services"/>
    <x v="0"/>
    <n v="1500"/>
    <n v="9131.4699999999993"/>
    <n v="-62755.83"/>
    <n v="-55928.46"/>
    <n v="-27496.35"/>
    <n v="-14969.2"/>
    <n v="-21380"/>
    <n v="-35038.589999999997"/>
    <n v="-6302.51"/>
    <n v="-30820.97"/>
    <n v="-9289.18"/>
    <n v="-71374.25"/>
    <n v="-15799.42"/>
    <n v="-342023.29"/>
    <n v="-55574.83"/>
  </r>
  <r>
    <x v="18"/>
    <x v="8"/>
    <x v="0"/>
    <s v="3800104"/>
    <n v="400010"/>
    <s v="Acute I/P Svcs Rev--Other"/>
    <s v="Emergency Services"/>
    <x v="0"/>
    <n v="1700"/>
    <n v="-136441.57"/>
    <n v="-79029.31"/>
    <n v="-52171.27"/>
    <n v="-122938.07"/>
    <n v="-71055.72"/>
    <n v="-59156.959999999999"/>
    <n v="-81672.34"/>
    <n v="-93521.36"/>
    <n v="-103867.18"/>
    <n v="-100471.34"/>
    <n v="-116400.91"/>
    <n v="-92554.89"/>
    <n v="-1109280.92"/>
    <n v="-23846.020000000004"/>
  </r>
  <r>
    <x v="19"/>
    <x v="8"/>
    <x v="0"/>
    <s v="3800104"/>
    <n v="400020"/>
    <s v="O/P Care Svcs Rev--Medicare"/>
    <s v="Emergency Services"/>
    <x v="0"/>
    <n v="1100"/>
    <n v="-2171004.88"/>
    <n v="-2437591.7400000002"/>
    <n v="-2080949.18"/>
    <n v="-2303376.89"/>
    <n v="-2221507.33"/>
    <n v="-2339467.69"/>
    <n v="-2250906.65"/>
    <n v="-2065086.47"/>
    <n v="-2469995.0099999998"/>
    <n v="-2281784.1"/>
    <n v="-2555593.66"/>
    <n v="-2273125"/>
    <n v="-27450388.599999998"/>
    <n v="-282468.66000000015"/>
  </r>
  <r>
    <x v="19"/>
    <x v="8"/>
    <x v="0"/>
    <s v="3800104"/>
    <n v="400020"/>
    <s v="O/P Care Svcs Rev--Medicaid"/>
    <s v="Emergency Services"/>
    <x v="0"/>
    <n v="1200"/>
    <n v="-1598796.46"/>
    <n v="-1644249.99"/>
    <n v="-1438940.86"/>
    <n v="-1630513.28"/>
    <n v="-1699256.57"/>
    <n v="-1637158.73"/>
    <n v="-1788608.81"/>
    <n v="-1485831.65"/>
    <n v="-2009261.13"/>
    <n v="-1891125.62"/>
    <n v="-1696795.79"/>
    <n v="-1691209.42"/>
    <n v="-20211748.310000002"/>
    <n v="-5586.3700000001118"/>
  </r>
  <r>
    <x v="19"/>
    <x v="8"/>
    <x v="0"/>
    <s v="3800104"/>
    <n v="400020"/>
    <s v="O/P Care Svcs Rev--Comm Insurance"/>
    <s v="Emergency Services"/>
    <x v="0"/>
    <n v="1300"/>
    <n v="-341651.71"/>
    <n v="-187531.47"/>
    <n v="-171506.2"/>
    <n v="-220438.38"/>
    <n v="-189441.84"/>
    <n v="-348617.5"/>
    <n v="-166185.10999999999"/>
    <n v="-169157.02"/>
    <n v="-262572.2"/>
    <n v="-275882.57"/>
    <n v="-209800.47"/>
    <n v="-271792.09000000003"/>
    <n v="-2814576.56"/>
    <n v="61991.620000000024"/>
  </r>
  <r>
    <x v="19"/>
    <x v="8"/>
    <x v="0"/>
    <s v="3800104"/>
    <n v="400020"/>
    <s v="O/P Care Svcs Rev--BCBS Comm"/>
    <s v="Emergency Services"/>
    <x v="0"/>
    <n v="1301"/>
    <n v="-682117.53"/>
    <n v="-657332.4"/>
    <n v="-694682.66"/>
    <n v="-790253.91"/>
    <n v="-678123.01"/>
    <n v="-719918.4"/>
    <n v="-749326.58"/>
    <n v="-679892.58"/>
    <n v="-731583.24"/>
    <n v="-757121.54"/>
    <n v="-820112.98"/>
    <n v="-749642"/>
    <n v="-8710106.8300000019"/>
    <n v="-70470.979999999981"/>
  </r>
  <r>
    <x v="19"/>
    <x v="8"/>
    <x v="0"/>
    <s v="3800104"/>
    <n v="400020"/>
    <s v="O/P Care Svcs Rev--Managed Care"/>
    <s v="Emergency Services"/>
    <x v="0"/>
    <n v="1400"/>
    <n v="-1272740.44"/>
    <n v="-1175323.3500000001"/>
    <n v="-1192025.0900000001"/>
    <n v="-1518989.55"/>
    <n v="-1361839.28"/>
    <n v="-1258670.32"/>
    <n v="-1455109.73"/>
    <n v="-1388170.8"/>
    <n v="-1496384.37"/>
    <n v="-1365918.33"/>
    <n v="-1371185.02"/>
    <n v="-1415791.46"/>
    <n v="-16272147.739999998"/>
    <n v="44606.439999999944"/>
  </r>
  <r>
    <x v="19"/>
    <x v="8"/>
    <x v="0"/>
    <s v="3800104"/>
    <n v="400020"/>
    <s v="O/P Care Svcs Rev--Self Pay"/>
    <s v="Emergency Services"/>
    <x v="0"/>
    <n v="1500"/>
    <n v="-231637.58"/>
    <n v="-223909.48"/>
    <n v="-241573.75"/>
    <n v="-175586.88"/>
    <n v="-232211.7"/>
    <n v="-269163.07"/>
    <n v="-272110.73"/>
    <n v="-202253.67"/>
    <n v="-280234.59999999998"/>
    <n v="-199835.86"/>
    <n v="-254542.09"/>
    <n v="-259098.22"/>
    <n v="-2842157.63"/>
    <n v="4556.1300000000047"/>
  </r>
  <r>
    <x v="19"/>
    <x v="8"/>
    <x v="0"/>
    <s v="3800104"/>
    <n v="400020"/>
    <s v="O/P Care Svcs Rev--Other"/>
    <s v="Emergency Services"/>
    <x v="0"/>
    <n v="1700"/>
    <n v="-393424.11"/>
    <n v="-503906.27"/>
    <n v="-429967.63"/>
    <n v="-427226.51"/>
    <n v="-408605.49"/>
    <n v="-457158.73"/>
    <n v="-515593.67"/>
    <n v="-459086.07"/>
    <n v="-546794.89"/>
    <n v="-449037.71"/>
    <n v="-567946.07999999996"/>
    <n v="-446784.9"/>
    <n v="-5605532.0600000005"/>
    <n v="-121161.17999999993"/>
  </r>
  <r>
    <x v="14"/>
    <x v="8"/>
    <x v="0"/>
    <s v="3800104"/>
    <n v="600050"/>
    <s v="Miscellaneous Revenue"/>
    <s v="Emergency Services"/>
    <x v="0"/>
    <m/>
    <n v="0"/>
    <n v="0"/>
    <n v="0"/>
    <n v="0"/>
    <n v="0"/>
    <n v="0"/>
    <n v="0"/>
    <n v="0"/>
    <n v="0"/>
    <n v="0"/>
    <n v="-1059"/>
    <n v="0"/>
    <n v="-1059"/>
    <n v="-1059"/>
  </r>
  <r>
    <x v="5"/>
    <x v="8"/>
    <x v="0"/>
    <s v="3800104"/>
    <n v="700014"/>
    <s v="Salaries-Management-Productive"/>
    <s v="Emergency Services"/>
    <x v="0"/>
    <m/>
    <n v="10503.34"/>
    <n v="11000.64"/>
    <n v="10645.93"/>
    <n v="9299.91"/>
    <n v="10268.56"/>
    <n v="9579.5499999999993"/>
    <n v="9376.32"/>
    <n v="8794.08"/>
    <n v="11628.48"/>
    <n v="2253.04"/>
    <n v="13808.56"/>
    <n v="10393.16"/>
    <n v="117551.56999999999"/>
    <n v="3415.3999999999996"/>
  </r>
  <r>
    <x v="5"/>
    <x v="8"/>
    <x v="0"/>
    <s v="3800104"/>
    <n v="700026"/>
    <s v="Salaries-RN-Productive"/>
    <s v="Emergency Services"/>
    <x v="0"/>
    <m/>
    <n v="170334.14"/>
    <n v="147088.73000000001"/>
    <n v="146255.95000000001"/>
    <n v="160178.78"/>
    <n v="161264.65"/>
    <n v="166502.73000000001"/>
    <n v="163780.87"/>
    <n v="152130.09"/>
    <n v="168769.83"/>
    <n v="159962.81"/>
    <n v="180366.58"/>
    <n v="171088.21"/>
    <n v="1947723.3700000003"/>
    <n v="9278.3699999999953"/>
  </r>
  <r>
    <x v="5"/>
    <x v="8"/>
    <x v="0"/>
    <s v="3800104"/>
    <n v="700026"/>
    <s v="Salaries-RN-OT"/>
    <s v="Emergency Services"/>
    <x v="0"/>
    <n v="1000"/>
    <n v="2257.7199999999998"/>
    <n v="3369.98"/>
    <n v="2448.2600000000002"/>
    <n v="1404.89"/>
    <n v="4601.8"/>
    <n v="901.66"/>
    <n v="6001.1"/>
    <n v="1544.26"/>
    <n v="4626.43"/>
    <n v="2958.59"/>
    <n v="3936.23"/>
    <n v="7317.7"/>
    <n v="41368.620000000003"/>
    <n v="-3381.47"/>
  </r>
  <r>
    <x v="5"/>
    <x v="8"/>
    <x v="0"/>
    <s v="3800104"/>
    <n v="700026"/>
    <s v="Salaries-RN-Other"/>
    <s v="Emergency Services"/>
    <x v="0"/>
    <n v="2000"/>
    <n v="18463.02"/>
    <n v="15034.17"/>
    <n v="15054.85"/>
    <n v="16400.14"/>
    <n v="14914.51"/>
    <n v="18441.939999999999"/>
    <n v="19160.59"/>
    <n v="15256.17"/>
    <n v="16905.349999999999"/>
    <n v="18341.59"/>
    <n v="17187.71"/>
    <n v="18309.919999999998"/>
    <n v="203469.96000000002"/>
    <n v="-1122.2099999999991"/>
  </r>
  <r>
    <x v="5"/>
    <x v="8"/>
    <x v="0"/>
    <s v="3800104"/>
    <n v="700032"/>
    <s v="Salaries-Other Pat Care Providers-Productive"/>
    <s v="Emergency Services"/>
    <x v="0"/>
    <m/>
    <n v="37003.25"/>
    <n v="40321.15"/>
    <n v="33638.14"/>
    <n v="33575.61"/>
    <n v="34231.31"/>
    <n v="38644.79"/>
    <n v="37617.660000000003"/>
    <n v="31005.14"/>
    <n v="36635.089999999997"/>
    <n v="29551.68"/>
    <n v="35764.26"/>
    <n v="31602.83"/>
    <n v="419590.91000000003"/>
    <n v="4161.43"/>
  </r>
  <r>
    <x v="5"/>
    <x v="8"/>
    <x v="0"/>
    <s v="3800104"/>
    <n v="700032"/>
    <s v="Salaries-Other Pat Care Providers-OT"/>
    <s v="Emergency Services"/>
    <x v="0"/>
    <n v="1000"/>
    <n v="1428.76"/>
    <n v="1290.93"/>
    <n v="2351.69"/>
    <n v="970.08"/>
    <n v="422.93"/>
    <n v="840.79"/>
    <n v="797.08"/>
    <n v="2189.8200000000002"/>
    <n v="3017.44"/>
    <n v="158.41"/>
    <n v="497.95"/>
    <n v="1479.54"/>
    <n v="15445.420000000002"/>
    <n v="-981.58999999999992"/>
  </r>
  <r>
    <x v="5"/>
    <x v="8"/>
    <x v="0"/>
    <s v="3800104"/>
    <n v="700032"/>
    <s v="Salaries-Other Pat Care Providers-Other"/>
    <s v="Emergency Services"/>
    <x v="0"/>
    <n v="2000"/>
    <n v="3620.98"/>
    <n v="3208.32"/>
    <n v="2835.7"/>
    <n v="2293.31"/>
    <n v="2383.67"/>
    <n v="2621.16"/>
    <n v="2743.95"/>
    <n v="2266.5100000000002"/>
    <n v="2917.72"/>
    <n v="2839.21"/>
    <n v="2581.0300000000002"/>
    <n v="2996.61"/>
    <n v="33308.17"/>
    <n v="-415.57999999999993"/>
  </r>
  <r>
    <x v="5"/>
    <x v="8"/>
    <x v="0"/>
    <s v="3800104"/>
    <n v="700038"/>
    <s v="Salaries-Service/Support-Productive"/>
    <s v="Emergency Services"/>
    <x v="0"/>
    <m/>
    <n v="12219.76"/>
    <n v="10138.41"/>
    <n v="11980.59"/>
    <n v="12194.21"/>
    <n v="14057.56"/>
    <n v="11750.68"/>
    <n v="12550.23"/>
    <n v="11444.68"/>
    <n v="9468.9599999999991"/>
    <n v="13664.91"/>
    <n v="12042.54"/>
    <n v="13642.13"/>
    <n v="145154.66"/>
    <n v="-1599.5899999999983"/>
  </r>
  <r>
    <x v="5"/>
    <x v="8"/>
    <x v="0"/>
    <s v="3800104"/>
    <n v="700038"/>
    <s v="Salaries-Service/Support-OT"/>
    <s v="Emergency Services"/>
    <x v="0"/>
    <n v="1000"/>
    <n v="177.48"/>
    <n v="361.29"/>
    <n v="141.78"/>
    <n v="195.88"/>
    <n v="400.11"/>
    <n v="828.12"/>
    <n v="104.38"/>
    <n v="78.709999999999994"/>
    <n v="82.86"/>
    <n v="338.4"/>
    <n v="23.77"/>
    <n v="62.49"/>
    <n v="2795.27"/>
    <n v="-38.72"/>
  </r>
  <r>
    <x v="5"/>
    <x v="8"/>
    <x v="0"/>
    <s v="3800104"/>
    <n v="700038"/>
    <s v="Salaries-Service/Support-Other"/>
    <s v="Emergency Services"/>
    <x v="0"/>
    <n v="2000"/>
    <n v="909.41"/>
    <n v="739.96"/>
    <n v="795.13"/>
    <n v="823.64"/>
    <n v="984.7"/>
    <n v="952.57"/>
    <n v="830.25"/>
    <n v="702.61"/>
    <n v="549.34"/>
    <n v="942.47"/>
    <n v="783.05"/>
    <n v="914.19"/>
    <n v="9927.32"/>
    <n v="-131.1400000000001"/>
  </r>
  <r>
    <x v="5"/>
    <x v="8"/>
    <x v="0"/>
    <s v="3800104"/>
    <n v="700054"/>
    <s v="Salaries-Management-Non-productive"/>
    <s v="Emergency Services"/>
    <x v="0"/>
    <m/>
    <n v="496.8"/>
    <n v="0"/>
    <n v="0"/>
    <n v="1900.73"/>
    <n v="616.87"/>
    <n v="1669.08"/>
    <n v="1889.89"/>
    <n v="1380.81"/>
    <n v="-363.33"/>
    <n v="8648.34"/>
    <n v="-2543.41"/>
    <n v="508.74"/>
    <n v="14204.52"/>
    <n v="-3052.1499999999996"/>
  </r>
  <r>
    <x v="5"/>
    <x v="8"/>
    <x v="0"/>
    <s v="3800104"/>
    <n v="700054"/>
    <s v="Salaries-Management-NonProd-Other"/>
    <s v="Emergency Services"/>
    <x v="0"/>
    <n v="2000"/>
    <n v="0"/>
    <n v="0"/>
    <n v="0"/>
    <n v="0"/>
    <n v="0"/>
    <n v="12987.96"/>
    <n v="-12987.96"/>
    <n v="0"/>
    <n v="0"/>
    <n v="0"/>
    <n v="0"/>
    <n v="0"/>
    <n v="0"/>
    <n v="0"/>
  </r>
  <r>
    <x v="5"/>
    <x v="8"/>
    <x v="0"/>
    <s v="3800104"/>
    <n v="700066"/>
    <s v="Salaries-RN-Non-productive"/>
    <s v="Emergency Services"/>
    <x v="0"/>
    <m/>
    <n v="21193.81"/>
    <n v="30614.09"/>
    <n v="15954.1"/>
    <n v="15644.29"/>
    <n v="21141.55"/>
    <n v="22211.41"/>
    <n v="19359.150000000001"/>
    <n v="28615.85"/>
    <n v="17988.82"/>
    <n v="39652.58"/>
    <n v="17624.560000000001"/>
    <n v="28053.74"/>
    <n v="278053.95"/>
    <n v="-10429.18"/>
  </r>
  <r>
    <x v="5"/>
    <x v="8"/>
    <x v="0"/>
    <s v="3800104"/>
    <n v="700066"/>
    <s v="Salaries-RN-NonProd-Other"/>
    <s v="Emergency Services"/>
    <x v="0"/>
    <n v="2000"/>
    <n v="2682.87"/>
    <n v="2457.5500000000002"/>
    <n v="1652.84"/>
    <n v="1358.56"/>
    <n v="3752.83"/>
    <n v="4572.54"/>
    <n v="1183.99"/>
    <n v="-889.98"/>
    <n v="2171.77"/>
    <n v="5807.05"/>
    <n v="1318.25"/>
    <n v="3152.32"/>
    <n v="29220.59"/>
    <n v="-1834.0700000000002"/>
  </r>
  <r>
    <x v="5"/>
    <x v="8"/>
    <x v="0"/>
    <s v="3800104"/>
    <n v="700072"/>
    <s v="Salaries-Other Pat Care Providers-Non-productive"/>
    <s v="Emergency Services"/>
    <x v="0"/>
    <m/>
    <n v="7853.88"/>
    <n v="8254.09"/>
    <n v="9459.19"/>
    <n v="7883.61"/>
    <n v="7286.53"/>
    <n v="3862.3"/>
    <n v="3206.4"/>
    <n v="4050.53"/>
    <n v="7495.95"/>
    <n v="6368.4"/>
    <n v="3542.95"/>
    <n v="2915.84"/>
    <n v="72179.67"/>
    <n v="627.10999999999967"/>
  </r>
  <r>
    <x v="5"/>
    <x v="8"/>
    <x v="0"/>
    <s v="3800104"/>
    <n v="700072"/>
    <s v="Salaries-Other Pat Care Providers-NonProd-Other"/>
    <s v="Emergency Services"/>
    <x v="0"/>
    <n v="2000"/>
    <n v="257.68"/>
    <n v="262.05"/>
    <n v="262.89999999999998"/>
    <n v="196.34"/>
    <n v="354.44"/>
    <n v="359.35"/>
    <n v="240.91"/>
    <n v="262.16000000000003"/>
    <n v="457.91"/>
    <n v="373.13"/>
    <n v="121.7"/>
    <n v="264.11"/>
    <n v="3412.6800000000003"/>
    <n v="-142.41000000000003"/>
  </r>
  <r>
    <x v="5"/>
    <x v="8"/>
    <x v="0"/>
    <s v="3800104"/>
    <n v="700078"/>
    <s v="Salaries-Service/Support-Non-productive"/>
    <s v="Emergency Services"/>
    <x v="0"/>
    <m/>
    <n v="1889.48"/>
    <n v="4749.0600000000004"/>
    <n v="1815.14"/>
    <n v="2170.84"/>
    <n v="9.11"/>
    <n v="2495.35"/>
    <n v="1899.33"/>
    <n v="429.08"/>
    <n v="1570.64"/>
    <n v="1754.3"/>
    <n v="3916.37"/>
    <n v="361.13"/>
    <n v="23059.83"/>
    <n v="3555.24"/>
  </r>
  <r>
    <x v="5"/>
    <x v="8"/>
    <x v="0"/>
    <s v="3800104"/>
    <n v="700078"/>
    <s v="Salaries-Service/Support-NonProd-Other"/>
    <s v="Emergency Services"/>
    <x v="0"/>
    <n v="2000"/>
    <n v="69.38"/>
    <n v="254.92"/>
    <n v="104.77"/>
    <n v="61.56"/>
    <n v="308.16000000000003"/>
    <n v="95.3"/>
    <n v="72.08"/>
    <n v="-265.22000000000003"/>
    <n v="93.2"/>
    <n v="78.33"/>
    <n v="75.58"/>
    <n v="146.32"/>
    <n v="1094.3800000000001"/>
    <n v="-70.739999999999995"/>
  </r>
  <r>
    <x v="5"/>
    <x v="8"/>
    <x v="0"/>
    <s v="3800104"/>
    <n v="700084"/>
    <s v="Accrued PTO"/>
    <s v="Emergency Services"/>
    <x v="0"/>
    <m/>
    <n v="-4363.03"/>
    <n v="-12190.71"/>
    <n v="6613.42"/>
    <n v="6730.77"/>
    <n v="6833.87"/>
    <n v="1382.52"/>
    <n v="9467.86"/>
    <n v="-4449.76"/>
    <n v="11822.8"/>
    <n v="-9058.5499999999993"/>
    <n v="3778.98"/>
    <n v="7773.84"/>
    <n v="24342.010000000002"/>
    <n v="-3994.86"/>
  </r>
  <r>
    <x v="10"/>
    <x v="8"/>
    <x v="0"/>
    <s v="3800104"/>
    <n v="710060"/>
    <s v="Contract Labor-Other"/>
    <s v="Emergency Services"/>
    <x v="0"/>
    <m/>
    <n v="21314.25"/>
    <n v="46882.5"/>
    <n v="41875.379999999997"/>
    <n v="76343.25"/>
    <n v="87262.87"/>
    <n v="61939"/>
    <n v="24345.5"/>
    <n v="62483"/>
    <n v="77291.5"/>
    <n v="32872.25"/>
    <n v="28547"/>
    <n v="34263.75"/>
    <n v="595420.25"/>
    <n v="-5716.75"/>
  </r>
  <r>
    <x v="10"/>
    <x v="8"/>
    <x v="0"/>
    <s v="3800104"/>
    <n v="710060"/>
    <s v="Contract Labor-Overtime"/>
    <s v="Emergency Services"/>
    <x v="0"/>
    <n v="5100"/>
    <n v="519.08000000000004"/>
    <n v="958.5"/>
    <n v="1102.28"/>
    <n v="1150.2"/>
    <n v="0"/>
    <n v="5367.6"/>
    <n v="4220.1000000000004"/>
    <n v="2029.73"/>
    <n v="7042.27"/>
    <n v="883.58"/>
    <n v="6481.02"/>
    <n v="1429.31"/>
    <n v="31183.670000000006"/>
    <n v="5051.7100000000009"/>
  </r>
  <r>
    <x v="6"/>
    <x v="8"/>
    <x v="0"/>
    <s v="3800104"/>
    <n v="713010"/>
    <s v="Benefits-FICA/Medicare"/>
    <s v="Emergency Services"/>
    <x v="0"/>
    <m/>
    <n v="21922.57"/>
    <n v="20895.89"/>
    <n v="19223.439999999999"/>
    <n v="19841.740000000002"/>
    <n v="20864.650000000001"/>
    <n v="21862.43"/>
    <n v="21959.34"/>
    <n v="19494.310000000001"/>
    <n v="21110.880000000001"/>
    <n v="22310.799999999999"/>
    <n v="21817.79"/>
    <n v="22401.200000000001"/>
    <n v="253705.04"/>
    <n v="-583.40999999999985"/>
  </r>
  <r>
    <x v="6"/>
    <x v="8"/>
    <x v="0"/>
    <s v="3800104"/>
    <n v="713090"/>
    <s v="Benefits-Allocated Amounts"/>
    <s v="Emergency Services"/>
    <x v="0"/>
    <m/>
    <n v="55051.38"/>
    <n v="47565.67"/>
    <n v="47566.2"/>
    <n v="49159.03"/>
    <n v="52085.79"/>
    <n v="49929.61"/>
    <n v="51308.29"/>
    <n v="50605.85"/>
    <n v="52704.43"/>
    <n v="55832.29"/>
    <n v="55022.16"/>
    <n v="55529.59"/>
    <n v="622360.28999999992"/>
    <n v="-507.42999999999302"/>
  </r>
  <r>
    <x v="17"/>
    <x v="8"/>
    <x v="0"/>
    <s v="3800104"/>
    <n v="714520"/>
    <s v="Other Contracted Professionals"/>
    <s v="Emergency Services"/>
    <x v="0"/>
    <m/>
    <n v="52589.3"/>
    <n v="36270.300000000003"/>
    <n v="52534.3"/>
    <n v="61367"/>
    <n v="70106.3"/>
    <n v="96432.36"/>
    <n v="60097.24"/>
    <n v="85422.54"/>
    <n v="58063.94"/>
    <n v="55488.54"/>
    <n v="202606.41"/>
    <n v="40275.81"/>
    <n v="871254.04"/>
    <n v="162330.6"/>
  </r>
  <r>
    <x v="17"/>
    <x v="8"/>
    <x v="0"/>
    <s v="3800104"/>
    <n v="714530"/>
    <s v="Medical Prof Fees-Intracompany"/>
    <s v="Emergency Services"/>
    <x v="0"/>
    <m/>
    <n v="64093.13"/>
    <n v="77664.179999999993"/>
    <n v="77847.75"/>
    <n v="59835.25"/>
    <n v="57500.35"/>
    <n v="48782.25"/>
    <n v="-282468.78999999998"/>
    <n v="33491.35"/>
    <n v="-9468.1200000000008"/>
    <n v="15816.28"/>
    <n v="9901.41"/>
    <n v="75347.649999999994"/>
    <n v="228342.69"/>
    <n v="-65446.239999999991"/>
  </r>
  <r>
    <x v="7"/>
    <x v="8"/>
    <x v="0"/>
    <s v="3800104"/>
    <n v="718050"/>
    <s v="Contract Svcs-Other"/>
    <s v="Emergency Services"/>
    <x v="0"/>
    <m/>
    <n v="506"/>
    <n v="271.25"/>
    <n v="69.34"/>
    <n v="0"/>
    <n v="272.32"/>
    <n v="496.8"/>
    <n v="601.67999999999995"/>
    <n v="0"/>
    <n v="0"/>
    <n v="846.4"/>
    <n v="0"/>
    <n v="0"/>
    <n v="3063.79"/>
    <n v="0"/>
  </r>
  <r>
    <x v="7"/>
    <x v="8"/>
    <x v="0"/>
    <s v="3800104"/>
    <n v="718050"/>
    <s v="Miscellaneous Purchased Svcs"/>
    <s v="Emergency Services"/>
    <x v="0"/>
    <n v="1020"/>
    <n v="182.5"/>
    <n v="91.25"/>
    <n v="1742.75"/>
    <n v="11836.28"/>
    <n v="91.25"/>
    <n v="1591.25"/>
    <n v="6197.08"/>
    <n v="91.25"/>
    <n v="91.25"/>
    <n v="1591.25"/>
    <n v="219.17"/>
    <n v="11491.25"/>
    <n v="35216.53"/>
    <n v="-11272.08"/>
  </r>
  <r>
    <x v="7"/>
    <x v="8"/>
    <x v="0"/>
    <s v="3800104"/>
    <n v="718050"/>
    <s v="Translation Services"/>
    <s v="Emergency Services"/>
    <x v="0"/>
    <n v="1025"/>
    <n v="0"/>
    <n v="0"/>
    <n v="51.03"/>
    <n v="0"/>
    <n v="51.35"/>
    <n v="56.88"/>
    <n v="519.59"/>
    <n v="0"/>
    <n v="15.01"/>
    <n v="122.5"/>
    <n v="0"/>
    <n v="0"/>
    <n v="816.36"/>
    <n v="0"/>
  </r>
  <r>
    <x v="7"/>
    <x v="8"/>
    <x v="0"/>
    <s v="3800104"/>
    <n v="718050"/>
    <s v="Contract Management--Linen"/>
    <s v="Emergency Services"/>
    <x v="0"/>
    <n v="1026"/>
    <n v="7428.56"/>
    <n v="8150.25"/>
    <n v="10898.12"/>
    <n v="6569.53"/>
    <n v="8180.2"/>
    <n v="8385.32"/>
    <n v="7817.34"/>
    <n v="8853.17"/>
    <n v="8177.19"/>
    <n v="7721.14"/>
    <n v="8118.09"/>
    <n v="8107.08"/>
    <n v="98405.989999999991"/>
    <n v="11.010000000000218"/>
  </r>
  <r>
    <x v="7"/>
    <x v="8"/>
    <x v="0"/>
    <s v="3800104"/>
    <n v="718070"/>
    <s v="Contract Srvcs-CHI Clinical Engineering"/>
    <s v="Emergency Services"/>
    <x v="0"/>
    <m/>
    <n v="229.15"/>
    <n v="229.15"/>
    <n v="229.15"/>
    <n v="229.15"/>
    <n v="229.15"/>
    <n v="229.15"/>
    <n v="229.15"/>
    <n v="229.15"/>
    <n v="229.15"/>
    <n v="229.15"/>
    <n v="229.15"/>
    <n v="229.15"/>
    <n v="2749.8000000000006"/>
    <n v="0"/>
  </r>
  <r>
    <x v="7"/>
    <x v="8"/>
    <x v="0"/>
    <s v="3800104"/>
    <n v="718077"/>
    <s v="PACS"/>
    <s v="Emergency Services"/>
    <x v="0"/>
    <n v="1000"/>
    <n v="164.25"/>
    <n v="123.75"/>
    <n v="166.5"/>
    <n v="225"/>
    <n v="234"/>
    <n v="238.5"/>
    <n v="168.75"/>
    <n v="168.75"/>
    <n v="146.25"/>
    <n v="186.75"/>
    <n v="173.25"/>
    <n v="155.25"/>
    <n v="2151"/>
    <n v="18"/>
  </r>
  <r>
    <x v="7"/>
    <x v="8"/>
    <x v="0"/>
    <s v="3800104"/>
    <n v="718091"/>
    <s v="Contract Services-Intracompany Allocation"/>
    <s v="Emergency Services"/>
    <x v="0"/>
    <m/>
    <n v="15875.32"/>
    <n v="9863.67"/>
    <n v="-8620.4699999999993"/>
    <n v="12914.84"/>
    <n v="12414.31"/>
    <n v="10240.16"/>
    <n v="15745.03"/>
    <n v="12993.09"/>
    <n v="15847.82"/>
    <n v="6798.48"/>
    <n v="15242.22"/>
    <n v="12490.81"/>
    <n v="131805.28"/>
    <n v="2751.41"/>
  </r>
  <r>
    <x v="11"/>
    <x v="8"/>
    <x v="0"/>
    <s v="3800104"/>
    <n v="721010"/>
    <s v="Supplies-Medical - Billable"/>
    <s v="Emergency Services"/>
    <x v="0"/>
    <m/>
    <n v="4949.54"/>
    <n v="5129.54"/>
    <n v="4530.6499999999996"/>
    <n v="5283.49"/>
    <n v="5032.38"/>
    <n v="6498.06"/>
    <n v="4560.1400000000003"/>
    <n v="5518.45"/>
    <n v="5860.81"/>
    <n v="5138.74"/>
    <n v="6569.85"/>
    <n v="5577.64"/>
    <n v="64649.289999999994"/>
    <n v="992.21"/>
  </r>
  <r>
    <x v="11"/>
    <x v="8"/>
    <x v="0"/>
    <s v="3800104"/>
    <n v="721010"/>
    <s v="Patient Monitoring"/>
    <s v="Emergency Services"/>
    <x v="0"/>
    <n v="1000"/>
    <n v="1901.14"/>
    <n v="1960.79"/>
    <n v="1136.46"/>
    <n v="263.2"/>
    <n v="1128.04"/>
    <n v="4878.66"/>
    <n v="1187.17"/>
    <n v="896.21"/>
    <n v="1168.5"/>
    <n v="3123.8"/>
    <n v="1685.54"/>
    <n v="994.73"/>
    <n v="20324.240000000002"/>
    <n v="690.81"/>
  </r>
  <r>
    <x v="11"/>
    <x v="8"/>
    <x v="0"/>
    <s v="3800104"/>
    <n v="721020"/>
    <s v="Supplies-Surgical - Billable"/>
    <s v="Emergency Services"/>
    <x v="0"/>
    <m/>
    <n v="140.16999999999999"/>
    <n v="952.32"/>
    <n v="105.55"/>
    <n v="288.99"/>
    <n v="441.22"/>
    <n v="-80.430000000000007"/>
    <n v="587.32000000000005"/>
    <n v="582.66999999999996"/>
    <n v="545.34"/>
    <n v="6450.12"/>
    <n v="1339.79"/>
    <n v="501.66"/>
    <n v="11854.720000000001"/>
    <n v="838.12999999999988"/>
  </r>
  <r>
    <x v="11"/>
    <x v="8"/>
    <x v="0"/>
    <s v="3800104"/>
    <n v="721020"/>
    <s v="Custom Packs"/>
    <s v="Emergency Services"/>
    <x v="0"/>
    <n v="1000"/>
    <n v="796.34"/>
    <n v="951.85"/>
    <n v="530.45000000000005"/>
    <n v="1124.81"/>
    <n v="818.72"/>
    <n v="768.41"/>
    <n v="425.62"/>
    <n v="790.12"/>
    <n v="955.97"/>
    <n v="875.76"/>
    <n v="1265.8499999999999"/>
    <n v="1014.19"/>
    <n v="10318.09"/>
    <n v="251.65999999999985"/>
  </r>
  <r>
    <x v="11"/>
    <x v="8"/>
    <x v="0"/>
    <s v="3800104"/>
    <n v="721020"/>
    <s v="Suture/Wound Closure"/>
    <s v="Emergency Services"/>
    <x v="0"/>
    <n v="1001"/>
    <n v="713.73"/>
    <n v="804.63"/>
    <n v="388.45"/>
    <n v="873.13"/>
    <n v="412.18"/>
    <n v="277.02"/>
    <n v="388.36"/>
    <n v="791.88"/>
    <n v="557.95000000000005"/>
    <n v="160.22"/>
    <n v="866.24"/>
    <n v="589.84"/>
    <n v="6823.63"/>
    <n v="276.39999999999998"/>
  </r>
  <r>
    <x v="11"/>
    <x v="8"/>
    <x v="0"/>
    <s v="3800104"/>
    <n v="721020"/>
    <s v="Urological Supplies"/>
    <s v="Emergency Services"/>
    <x v="0"/>
    <n v="1006"/>
    <n v="62.83"/>
    <n v="183.98"/>
    <n v="0"/>
    <n v="0"/>
    <n v="0"/>
    <n v="0"/>
    <n v="225.61"/>
    <n v="0"/>
    <n v="0"/>
    <n v="0"/>
    <n v="0"/>
    <n v="0"/>
    <n v="472.42"/>
    <n v="0"/>
  </r>
  <r>
    <x v="11"/>
    <x v="8"/>
    <x v="0"/>
    <s v="3800104"/>
    <n v="721020"/>
    <s v="Surgical Cardiovascular"/>
    <s v="Emergency Services"/>
    <x v="0"/>
    <n v="1007"/>
    <n v="0"/>
    <n v="32.82"/>
    <n v="5.0999999999999996"/>
    <n v="18.760000000000002"/>
    <n v="0"/>
    <n v="0"/>
    <n v="5.47"/>
    <n v="0"/>
    <n v="10.94"/>
    <n v="0"/>
    <n v="0"/>
    <n v="6.03"/>
    <n v="79.12"/>
    <n v="-6.03"/>
  </r>
  <r>
    <x v="11"/>
    <x v="8"/>
    <x v="0"/>
    <s v="3800104"/>
    <n v="721020"/>
    <s v="Tubes Drains &amp; Related Supplies"/>
    <s v="Emergency Services"/>
    <x v="0"/>
    <n v="1008"/>
    <n v="285.45999999999998"/>
    <n v="191.45"/>
    <n v="339.16"/>
    <n v="78.25"/>
    <n v="26.86"/>
    <n v="436.62"/>
    <n v="906.79"/>
    <n v="94.07"/>
    <n v="201.52"/>
    <n v="174.58"/>
    <n v="591.22"/>
    <n v="107.44"/>
    <n v="3433.4200000000005"/>
    <n v="483.78000000000003"/>
  </r>
  <r>
    <x v="11"/>
    <x v="8"/>
    <x v="0"/>
    <s v="3800104"/>
    <n v="721050"/>
    <s v="Supplies-Cardiac Rhythm - Billable"/>
    <s v="Emergency Services"/>
    <x v="0"/>
    <m/>
    <n v="57.1"/>
    <n v="0"/>
    <n v="149.13"/>
    <n v="0"/>
    <n v="0"/>
    <n v="102.61"/>
    <n v="0"/>
    <n v="0"/>
    <n v="171.3"/>
    <n v="302.39999999999998"/>
    <n v="114.2"/>
    <n v="0"/>
    <n v="896.74"/>
    <n v="114.2"/>
  </r>
  <r>
    <x v="11"/>
    <x v="8"/>
    <x v="0"/>
    <s v="3800104"/>
    <n v="721240"/>
    <s v="Supplies-IV Solutions/Supplies - Billable"/>
    <s v="Emergency Services"/>
    <x v="0"/>
    <m/>
    <n v="12291.36"/>
    <n v="12150.69"/>
    <n v="11058.21"/>
    <n v="10622.03"/>
    <n v="9613.82"/>
    <n v="14056.65"/>
    <n v="12482.91"/>
    <n v="10814.25"/>
    <n v="13448.71"/>
    <n v="12927.53"/>
    <n v="13785.25"/>
    <n v="10288.16"/>
    <n v="143539.57"/>
    <n v="3497.09"/>
  </r>
  <r>
    <x v="11"/>
    <x v="8"/>
    <x v="0"/>
    <s v="3800104"/>
    <n v="721250"/>
    <s v="Supplies-Pharmacy Drugs - Billable"/>
    <s v="Emergency Services"/>
    <x v="0"/>
    <m/>
    <n v="28.01"/>
    <n v="58.49"/>
    <n v="2.15"/>
    <n v="29.66"/>
    <n v="29.91"/>
    <n v="26.65"/>
    <n v="11.34"/>
    <n v="36.17"/>
    <n v="9.9700000000000006"/>
    <n v="2.74"/>
    <n v="43.67"/>
    <n v="3.64"/>
    <n v="282.39999999999998"/>
    <n v="40.03"/>
  </r>
  <r>
    <x v="11"/>
    <x v="8"/>
    <x v="0"/>
    <s v="3800104"/>
    <n v="721410"/>
    <s v="Supplies-Medical - Nonbillable"/>
    <s v="Emergency Services"/>
    <x v="0"/>
    <m/>
    <n v="11179.85"/>
    <n v="11726.24"/>
    <n v="10892.92"/>
    <n v="10238.92"/>
    <n v="11378.29"/>
    <n v="14305.84"/>
    <n v="14813.79"/>
    <n v="11693.77"/>
    <n v="13042.65"/>
    <n v="15261.65"/>
    <n v="12956.89"/>
    <n v="10520.91"/>
    <n v="148011.72"/>
    <n v="2435.9799999999996"/>
  </r>
  <r>
    <x v="11"/>
    <x v="8"/>
    <x v="0"/>
    <s v="3800104"/>
    <n v="721410"/>
    <s v="Patient Monitoring"/>
    <s v="Emergency Services"/>
    <x v="0"/>
    <n v="1000"/>
    <n v="106.47"/>
    <n v="120.19"/>
    <n v="332.94"/>
    <n v="61.68"/>
    <n v="115.02"/>
    <n v="94"/>
    <n v="123.21"/>
    <n v="112.35"/>
    <n v="128.4"/>
    <n v="128.4"/>
    <n v="118.02"/>
    <n v="96.3"/>
    <n v="1536.98"/>
    <n v="21.72"/>
  </r>
  <r>
    <x v="11"/>
    <x v="8"/>
    <x v="0"/>
    <s v="3800104"/>
    <n v="721420"/>
    <s v="Supplies-Surgical Nonbillable"/>
    <s v="Emergency Services"/>
    <x v="0"/>
    <m/>
    <n v="811.76"/>
    <n v="679.12"/>
    <n v="179.12"/>
    <n v="314.33999999999997"/>
    <n v="1110.8399999999999"/>
    <n v="924.49"/>
    <n v="195.1"/>
    <n v="235.89"/>
    <n v="285.92"/>
    <n v="124.75"/>
    <n v="257.45999999999998"/>
    <n v="665.94"/>
    <n v="5784.7300000000014"/>
    <n v="-408.48000000000008"/>
  </r>
  <r>
    <x v="11"/>
    <x v="8"/>
    <x v="0"/>
    <s v="3800104"/>
    <n v="721420"/>
    <s v="Tubes Drains &amp; Related Supplies"/>
    <s v="Emergency Services"/>
    <x v="0"/>
    <n v="1008"/>
    <n v="204.26"/>
    <n v="72.819999999999993"/>
    <n v="144.96"/>
    <n v="50.94"/>
    <n v="1235.08"/>
    <n v="456.57"/>
    <n v="1027.32"/>
    <n v="503.15"/>
    <n v="206.37"/>
    <n v="151.88999999999999"/>
    <n v="524.1"/>
    <n v="85.33"/>
    <n v="4662.79"/>
    <n v="438.77000000000004"/>
  </r>
  <r>
    <x v="11"/>
    <x v="8"/>
    <x v="0"/>
    <s v="3800104"/>
    <n v="721420"/>
    <s v="Sterilization Process Products"/>
    <s v="Emergency Services"/>
    <x v="0"/>
    <n v="1009"/>
    <n v="44.35"/>
    <n v="27.41"/>
    <n v="22.51"/>
    <n v="0"/>
    <n v="21.75"/>
    <n v="42.07"/>
    <n v="4.76"/>
    <n v="2.38"/>
    <n v="44.66"/>
    <n v="21.3"/>
    <n v="109.18"/>
    <n v="11.3"/>
    <n v="351.67"/>
    <n v="97.88000000000001"/>
  </r>
  <r>
    <x v="11"/>
    <x v="8"/>
    <x v="0"/>
    <s v="3800104"/>
    <n v="721610"/>
    <s v="Supplies-Anesthesia - Nonbillable"/>
    <s v="Emergency Services"/>
    <x v="0"/>
    <m/>
    <n v="1137.67"/>
    <n v="1164.9100000000001"/>
    <n v="1193.28"/>
    <n v="1064.6199999999999"/>
    <n v="1446"/>
    <n v="1694.85"/>
    <n v="1702.52"/>
    <n v="1228.92"/>
    <n v="1430.64"/>
    <n v="1419.84"/>
    <n v="2112.33"/>
    <n v="1483.93"/>
    <n v="17079.509999999998"/>
    <n v="628.39999999999986"/>
  </r>
  <r>
    <x v="11"/>
    <x v="8"/>
    <x v="0"/>
    <s v="3800104"/>
    <n v="721640"/>
    <s v="Supplies-IV Solutions/Supplies - Nonbillable"/>
    <s v="Emergency Services"/>
    <x v="0"/>
    <m/>
    <n v="4502.42"/>
    <n v="5045.2299999999996"/>
    <n v="4060.03"/>
    <n v="4404.57"/>
    <n v="4493.82"/>
    <n v="5334.42"/>
    <n v="5038.03"/>
    <n v="5103.45"/>
    <n v="5726.69"/>
    <n v="5574.18"/>
    <n v="5583.27"/>
    <n v="4598.16"/>
    <n v="59464.270000000004"/>
    <n v="985.11000000000058"/>
  </r>
  <r>
    <x v="11"/>
    <x v="8"/>
    <x v="0"/>
    <s v="3800104"/>
    <n v="721650"/>
    <s v="Supplies-Pharmacy Drugs - Nonbillable"/>
    <s v="Emergency Services"/>
    <x v="0"/>
    <m/>
    <n v="25.88"/>
    <n v="151.05000000000001"/>
    <n v="9.2200000000000006"/>
    <n v="79.63"/>
    <n v="39.76"/>
    <n v="100.08"/>
    <n v="25.06"/>
    <n v="20.83"/>
    <n v="100.15"/>
    <n v="106.1"/>
    <n v="27.53"/>
    <n v="28.97"/>
    <n v="714.26"/>
    <n v="-1.4399999999999977"/>
  </r>
  <r>
    <x v="11"/>
    <x v="8"/>
    <x v="0"/>
    <s v="3800104"/>
    <n v="721710"/>
    <s v="Supplies-Laboratory - Nonbillable"/>
    <s v="Emergency Services"/>
    <x v="0"/>
    <m/>
    <n v="5045.88"/>
    <n v="4979.12"/>
    <n v="4025.9"/>
    <n v="5099.99"/>
    <n v="4969.3900000000003"/>
    <n v="5113.37"/>
    <n v="5120.1000000000004"/>
    <n v="4517.71"/>
    <n v="5522.41"/>
    <n v="4960.93"/>
    <n v="4806.82"/>
    <n v="4749.75"/>
    <n v="58911.369999999995"/>
    <n v="57.069999999999709"/>
  </r>
  <r>
    <x v="11"/>
    <x v="8"/>
    <x v="0"/>
    <s v="3800104"/>
    <n v="721710"/>
    <s v="Reagents"/>
    <s v="Emergency Services"/>
    <x v="0"/>
    <n v="1000"/>
    <n v="218.88"/>
    <n v="240.15"/>
    <n v="211.41"/>
    <n v="354.72"/>
    <n v="487.74"/>
    <n v="624.55999999999995"/>
    <n v="675.84"/>
    <n v="626.96"/>
    <n v="1168.8800000000001"/>
    <n v="590.45000000000005"/>
    <n v="219.05"/>
    <n v="315.44"/>
    <n v="5734.08"/>
    <n v="-96.389999999999986"/>
  </r>
  <r>
    <x v="11"/>
    <x v="8"/>
    <x v="0"/>
    <s v="3800104"/>
    <n v="721750"/>
    <s v="Supplies-Film/Radiographic - Nonbillable"/>
    <s v="Emergency Services"/>
    <x v="0"/>
    <m/>
    <n v="41.23"/>
    <n v="84.52"/>
    <n v="44.03"/>
    <n v="31.37"/>
    <n v="46.43"/>
    <n v="29.86"/>
    <n v="31.25"/>
    <n v="17.71"/>
    <n v="39.22"/>
    <n v="12.9"/>
    <n v="17.2"/>
    <n v="19.350000000000001"/>
    <n v="415.07"/>
    <n v="-2.1500000000000021"/>
  </r>
  <r>
    <x v="11"/>
    <x v="8"/>
    <x v="0"/>
    <s v="3800104"/>
    <n v="721810"/>
    <s v="Supplies-Dietary/Cafeteria"/>
    <s v="Emergency Services"/>
    <x v="0"/>
    <m/>
    <n v="4125.12"/>
    <n v="4197.03"/>
    <n v="4921.3900000000003"/>
    <n v="4004.45"/>
    <n v="4279.2700000000004"/>
    <n v="5432.18"/>
    <n v="4015.15"/>
    <n v="4240.07"/>
    <n v="5556.03"/>
    <n v="3984.43"/>
    <n v="4287.8599999999997"/>
    <n v="5200.63"/>
    <n v="54243.61"/>
    <n v="-912.77000000000044"/>
  </r>
  <r>
    <x v="11"/>
    <x v="8"/>
    <x v="0"/>
    <s v="3800104"/>
    <n v="721830"/>
    <s v="Supplies-Office"/>
    <s v="Emergency Services"/>
    <x v="0"/>
    <m/>
    <n v="758.7"/>
    <n v="457.91"/>
    <n v="416.06"/>
    <n v="645.66999999999996"/>
    <n v="623.55999999999995"/>
    <n v="473.68"/>
    <n v="412.91"/>
    <n v="659.4"/>
    <n v="541.95000000000005"/>
    <n v="1282.32"/>
    <n v="324.25"/>
    <n v="514.41"/>
    <n v="7110.8199999999988"/>
    <n v="-190.15999999999997"/>
  </r>
  <r>
    <x v="11"/>
    <x v="8"/>
    <x v="0"/>
    <s v="3800104"/>
    <n v="721835"/>
    <s v="Supplies-Forms"/>
    <s v="Emergency Services"/>
    <x v="0"/>
    <m/>
    <n v="0"/>
    <n v="0"/>
    <n v="0"/>
    <n v="0"/>
    <n v="612.37"/>
    <n v="217.85"/>
    <n v="0"/>
    <n v="0"/>
    <n v="230.1"/>
    <n v="58.65"/>
    <n v="30"/>
    <n v="359.2"/>
    <n v="1508.17"/>
    <n v="-329.2"/>
  </r>
  <r>
    <x v="11"/>
    <x v="8"/>
    <x v="0"/>
    <s v="3800104"/>
    <n v="721870"/>
    <s v="Supplies-Environmental Services"/>
    <s v="Emergency Services"/>
    <x v="0"/>
    <m/>
    <n v="964.82"/>
    <n v="962.55"/>
    <n v="1137.4000000000001"/>
    <n v="1054.26"/>
    <n v="1013.12"/>
    <n v="1180.75"/>
    <n v="1248.4100000000001"/>
    <n v="1092.49"/>
    <n v="1039.5999999999999"/>
    <n v="1144.97"/>
    <n v="1287.5899999999999"/>
    <n v="1378.03"/>
    <n v="13503.99"/>
    <n v="-90.440000000000055"/>
  </r>
  <r>
    <x v="11"/>
    <x v="8"/>
    <x v="0"/>
    <s v="3800104"/>
    <n v="721880"/>
    <s v="Supplies-Linen"/>
    <s v="Emergency Services"/>
    <x v="0"/>
    <m/>
    <n v="950.4"/>
    <n v="950.4"/>
    <n v="0"/>
    <n v="0"/>
    <n v="0"/>
    <n v="3093.55"/>
    <n v="0"/>
    <n v="950.4"/>
    <n v="0"/>
    <n v="0"/>
    <n v="0"/>
    <n v="0"/>
    <n v="5944.75"/>
    <n v="0"/>
  </r>
  <r>
    <x v="11"/>
    <x v="8"/>
    <x v="0"/>
    <s v="3800104"/>
    <n v="721910"/>
    <s v="Supplies-Small Equipment"/>
    <s v="Emergency Services"/>
    <x v="0"/>
    <m/>
    <n v="229.23"/>
    <n v="2274.62"/>
    <n v="2259.87"/>
    <n v="965.57"/>
    <n v="560.41"/>
    <n v="419.8"/>
    <n v="4717.45"/>
    <n v="620.35"/>
    <n v="1161.23"/>
    <n v="109.62"/>
    <n v="1444.75"/>
    <n v="630.12"/>
    <n v="15393.02"/>
    <n v="814.63"/>
  </r>
  <r>
    <x v="11"/>
    <x v="8"/>
    <x v="0"/>
    <s v="3800104"/>
    <n v="721910"/>
    <s v="Instruments"/>
    <s v="Emergency Services"/>
    <x v="0"/>
    <n v="1000"/>
    <n v="1620.26"/>
    <n v="999.18"/>
    <n v="936.69"/>
    <n v="588.91"/>
    <n v="787.86"/>
    <n v="276.14999999999998"/>
    <n v="2089.9299999999998"/>
    <n v="131.08000000000001"/>
    <n v="1822.57"/>
    <n v="2288.02"/>
    <n v="3293.29"/>
    <n v="1113.78"/>
    <n v="15947.72"/>
    <n v="2179.5100000000002"/>
  </r>
  <r>
    <x v="11"/>
    <x v="8"/>
    <x v="0"/>
    <s v="3800104"/>
    <n v="721980"/>
    <s v="Supplies-Other"/>
    <s v="Emergency Services"/>
    <x v="0"/>
    <m/>
    <n v="0"/>
    <n v="0"/>
    <n v="0"/>
    <n v="45.49"/>
    <n v="111.36"/>
    <n v="27"/>
    <n v="0"/>
    <n v="0"/>
    <n v="0"/>
    <n v="0"/>
    <n v="0"/>
    <n v="0"/>
    <n v="183.85"/>
    <n v="0"/>
  </r>
  <r>
    <x v="11"/>
    <x v="8"/>
    <x v="0"/>
    <s v="3800104"/>
    <n v="722000"/>
    <s v="Supplies-Freight Expense"/>
    <s v="Emergency Services"/>
    <x v="0"/>
    <m/>
    <n v="23.09"/>
    <n v="49.73"/>
    <n v="38.43"/>
    <n v="17.07"/>
    <n v="0"/>
    <n v="66.13"/>
    <n v="134.85"/>
    <n v="53.36"/>
    <n v="53.18"/>
    <n v="58.56"/>
    <n v="79.12"/>
    <n v="94.58"/>
    <n v="668.1"/>
    <n v="-15.459999999999994"/>
  </r>
  <r>
    <x v="12"/>
    <x v="8"/>
    <x v="0"/>
    <s v="3800104"/>
    <n v="730020"/>
    <s v="Rental and Leases-Equipment (DO NOT USE)"/>
    <s v="Emergency Services"/>
    <x v="0"/>
    <m/>
    <n v="0"/>
    <n v="0"/>
    <n v="0"/>
    <n v="-296.86"/>
    <n v="0"/>
    <n v="0"/>
    <n v="0"/>
    <n v="0"/>
    <n v="0"/>
    <n v="0"/>
    <n v="0"/>
    <n v="0"/>
    <n v="-296.86"/>
    <n v="0"/>
  </r>
  <r>
    <x v="12"/>
    <x v="8"/>
    <x v="0"/>
    <s v="3800104"/>
    <n v="730020"/>
    <s v="Rental and Leases-Copier Usage Fees (DO NOT USE)"/>
    <s v="Emergency Services"/>
    <x v="0"/>
    <n v="5100"/>
    <n v="3027.8"/>
    <n v="3105.12"/>
    <n v="3066.46"/>
    <n v="3066.46"/>
    <n v="3066.46"/>
    <n v="3066.46"/>
    <n v="2996.16"/>
    <n v="2936.82"/>
    <n v="2852.03"/>
    <n v="4263.91"/>
    <n v="2545.69"/>
    <n v="3200.86"/>
    <n v="37194.229999999996"/>
    <n v="-655.17000000000007"/>
  </r>
  <r>
    <x v="15"/>
    <x v="8"/>
    <x v="0"/>
    <s v="3800104"/>
    <n v="731060"/>
    <s v="Cell Phones"/>
    <s v="Emergency Services"/>
    <x v="0"/>
    <n v="1001"/>
    <n v="0"/>
    <n v="62.64"/>
    <n v="25.86"/>
    <n v="0"/>
    <n v="29.78"/>
    <n v="10.82"/>
    <n v="62.94"/>
    <n v="0"/>
    <n v="31.96"/>
    <n v="63.43"/>
    <n v="31.09"/>
    <n v="31.7"/>
    <n v="350.21999999999997"/>
    <n v="-0.60999999999999943"/>
  </r>
  <r>
    <x v="15"/>
    <x v="8"/>
    <x v="0"/>
    <s v="3800104"/>
    <n v="731060"/>
    <s v="Pagers"/>
    <s v="Emergency Services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8"/>
    <x v="0"/>
    <s v="3800104"/>
    <n v="732020"/>
    <s v="Repairs--Clin Equip-Parts-Internal to CHI Programs"/>
    <s v="Emergency Services"/>
    <x v="0"/>
    <m/>
    <n v="0"/>
    <n v="0"/>
    <n v="0"/>
    <n v="73.37"/>
    <n v="0"/>
    <n v="0"/>
    <n v="0"/>
    <n v="132.43"/>
    <n v="0"/>
    <n v="31.73"/>
    <n v="6.46"/>
    <n v="270.75"/>
    <n v="514.74"/>
    <n v="-264.29000000000002"/>
  </r>
  <r>
    <x v="16"/>
    <x v="8"/>
    <x v="0"/>
    <s v="3800104"/>
    <n v="732030"/>
    <s v="Repairs---Other"/>
    <s v="Emergency Services"/>
    <x v="0"/>
    <m/>
    <n v="0"/>
    <n v="0"/>
    <n v="92.23"/>
    <n v="0"/>
    <n v="429.02"/>
    <n v="0"/>
    <n v="0"/>
    <n v="0"/>
    <n v="0"/>
    <n v="4160.1899999999996"/>
    <n v="334.17"/>
    <n v="0"/>
    <n v="5015.6099999999997"/>
    <n v="334.17"/>
  </r>
  <r>
    <x v="13"/>
    <x v="8"/>
    <x v="0"/>
    <s v="3800104"/>
    <n v="735030"/>
    <s v="Depreciation-Buildings"/>
    <s v="Emergency Services"/>
    <x v="0"/>
    <m/>
    <n v="16340.44"/>
    <n v="16340.43"/>
    <n v="16340.44"/>
    <n v="16340.41"/>
    <n v="16340.47"/>
    <n v="16340.38"/>
    <n v="16340.49"/>
    <n v="16340.36"/>
    <n v="16340.52"/>
    <n v="15935.84"/>
    <n v="15936.08"/>
    <n v="15935.8"/>
    <n v="194871.65999999997"/>
    <n v="0.28000000000065484"/>
  </r>
  <r>
    <x v="13"/>
    <x v="8"/>
    <x v="0"/>
    <s v="3800104"/>
    <n v="735070"/>
    <s v="Depreciation-Movable Equipment"/>
    <s v="Emergency Services"/>
    <x v="0"/>
    <m/>
    <n v="8149.23"/>
    <n v="8260.91"/>
    <n v="8054.68"/>
    <n v="8558.73"/>
    <n v="8558.6"/>
    <n v="8690.1"/>
    <n v="8689.84"/>
    <n v="8961.0400000000009"/>
    <n v="8960.73"/>
    <n v="5541.89"/>
    <n v="4931.93"/>
    <n v="4935.57"/>
    <n v="92293.25"/>
    <n v="-3.6399999999994179"/>
  </r>
  <r>
    <x v="0"/>
    <x v="8"/>
    <x v="0"/>
    <s v="3800104"/>
    <n v="740020"/>
    <s v="Education-Registration Fees"/>
    <s v="Emergency Services"/>
    <x v="0"/>
    <m/>
    <n v="210"/>
    <n v="1380"/>
    <n v="1625"/>
    <n v="990"/>
    <n v="475"/>
    <n v="340"/>
    <n v="1115"/>
    <n v="965"/>
    <n v="1720"/>
    <n v="805"/>
    <n v="210"/>
    <n v="555"/>
    <n v="10390"/>
    <n v="-345"/>
  </r>
  <r>
    <x v="0"/>
    <x v="8"/>
    <x v="0"/>
    <s v="3800104"/>
    <n v="743030"/>
    <s v="Subscriptions--Institutional"/>
    <s v="Emergency Services"/>
    <x v="0"/>
    <m/>
    <n v="0"/>
    <n v="128.88"/>
    <n v="0"/>
    <n v="0"/>
    <n v="0"/>
    <n v="0"/>
    <n v="0"/>
    <n v="0"/>
    <n v="0"/>
    <n v="0"/>
    <n v="0"/>
    <n v="0"/>
    <n v="128.88"/>
    <n v="0"/>
  </r>
  <r>
    <x v="0"/>
    <x v="8"/>
    <x v="0"/>
    <s v="3800104"/>
    <n v="749510"/>
    <s v="Miscellaneous Expenses"/>
    <s v="Emergency Services"/>
    <x v="0"/>
    <m/>
    <n v="3.23"/>
    <n v="0"/>
    <n v="5262.25"/>
    <n v="144.52000000000001"/>
    <n v="5735.26"/>
    <n v="39.049999999999997"/>
    <n v="259.79000000000002"/>
    <n v="-1790.96"/>
    <n v="0"/>
    <n v="395.41"/>
    <n v="33.61"/>
    <n v="45"/>
    <n v="10127.16"/>
    <n v="-11.39"/>
  </r>
  <r>
    <x v="0"/>
    <x v="8"/>
    <x v="0"/>
    <s v="3800104"/>
    <n v="749510"/>
    <s v="Promotional Items"/>
    <s v="Emergency Services"/>
    <x v="0"/>
    <n v="1004"/>
    <n v="0"/>
    <n v="0"/>
    <n v="0"/>
    <n v="0"/>
    <n v="0"/>
    <n v="38.049999999999997"/>
    <n v="0"/>
    <n v="0"/>
    <n v="3.23"/>
    <n v="0"/>
    <n v="0"/>
    <n v="0"/>
    <n v="41.279999999999994"/>
    <n v="0"/>
  </r>
  <r>
    <x v="0"/>
    <x v="8"/>
    <x v="0"/>
    <s v="3800104"/>
    <n v="749510"/>
    <s v="RICE Rewards"/>
    <s v="Emergency Services"/>
    <x v="0"/>
    <n v="5100"/>
    <n v="0"/>
    <n v="0"/>
    <n v="0"/>
    <n v="0"/>
    <n v="0"/>
    <n v="1222.83"/>
    <n v="0"/>
    <n v="0"/>
    <n v="0"/>
    <n v="0"/>
    <n v="1685.32"/>
    <n v="0"/>
    <n v="2908.1499999999996"/>
    <n v="1685.32"/>
  </r>
  <r>
    <x v="0"/>
    <x v="8"/>
    <x v="0"/>
    <s v="3800104"/>
    <n v="749530"/>
    <s v="Travel"/>
    <s v="Emergency Services"/>
    <x v="0"/>
    <m/>
    <n v="0"/>
    <n v="0"/>
    <n v="0"/>
    <n v="605.4"/>
    <n v="0"/>
    <n v="0"/>
    <n v="0"/>
    <n v="0"/>
    <n v="0"/>
    <n v="0"/>
    <n v="0"/>
    <n v="0"/>
    <n v="605.4"/>
    <n v="0"/>
  </r>
  <r>
    <x v="0"/>
    <x v="8"/>
    <x v="0"/>
    <s v="3800104"/>
    <n v="749535"/>
    <s v="Meetings"/>
    <s v="Emergency Services"/>
    <x v="0"/>
    <m/>
    <n v="0"/>
    <n v="0"/>
    <n v="0"/>
    <n v="0"/>
    <n v="0"/>
    <n v="110.56"/>
    <n v="0"/>
    <n v="0"/>
    <n v="0"/>
    <n v="0"/>
    <n v="0"/>
    <n v="0"/>
    <n v="110.56"/>
    <n v="0"/>
  </r>
  <r>
    <x v="18"/>
    <x v="5"/>
    <x v="0"/>
    <s v="3800106"/>
    <n v="400010"/>
    <s v="Acute I/P Svcs Rev--Medicare"/>
    <s v="Emergency Services"/>
    <x v="0"/>
    <n v="1100"/>
    <n v="-1324812.22"/>
    <n v="-1437378.2"/>
    <n v="-1424721.88"/>
    <n v="-1374871.85"/>
    <n v="-1301933.8700000001"/>
    <n v="-1375720.65"/>
    <n v="-1708159.7"/>
    <n v="-1436367.82"/>
    <n v="-1703558.79"/>
    <n v="-1368162.66"/>
    <n v="-1478132.54"/>
    <n v="-1317376.92"/>
    <n v="-17251197.100000001"/>
    <n v="-160755.62000000011"/>
  </r>
  <r>
    <x v="18"/>
    <x v="5"/>
    <x v="0"/>
    <s v="3800106"/>
    <n v="400010"/>
    <s v="Acute I/P Svcs Rev--Medicaid"/>
    <s v="Emergency Services"/>
    <x v="0"/>
    <n v="1200"/>
    <n v="-703073.37"/>
    <n v="-513568.52"/>
    <n v="-555719.52"/>
    <n v="-553534.44999999995"/>
    <n v="-431274.42"/>
    <n v="-548358.89"/>
    <n v="-639267.46"/>
    <n v="-587612.29"/>
    <n v="-623250.01"/>
    <n v="-534868.1"/>
    <n v="-536293.01"/>
    <n v="-557850.86"/>
    <n v="-6784670.8999999994"/>
    <n v="21557.849999999977"/>
  </r>
  <r>
    <x v="18"/>
    <x v="5"/>
    <x v="0"/>
    <s v="3800106"/>
    <n v="400010"/>
    <s v="Acute I/P Svcs Rev--Comm Insurance"/>
    <s v="Emergency Services"/>
    <x v="0"/>
    <n v="1300"/>
    <n v="-14267.81"/>
    <n v="-68644.759999999995"/>
    <n v="46241.93"/>
    <n v="8332.42"/>
    <n v="-45965.03"/>
    <n v="-47269.43"/>
    <n v="-9955.68"/>
    <n v="-50615.199999999997"/>
    <n v="-67118.460000000006"/>
    <n v="-69360.67"/>
    <n v="-19150.009999999998"/>
    <n v="-51620.92"/>
    <n v="-389393.62"/>
    <n v="32470.91"/>
  </r>
  <r>
    <x v="18"/>
    <x v="5"/>
    <x v="0"/>
    <s v="3800106"/>
    <n v="400010"/>
    <s v="Acute I/P Svcs Rev--BCBS Comm"/>
    <s v="Emergency Services"/>
    <x v="0"/>
    <n v="1301"/>
    <n v="-131032.33"/>
    <n v="-112914.92"/>
    <n v="-84105.72"/>
    <n v="-98694.74"/>
    <n v="-87480.71"/>
    <n v="-114767.7"/>
    <n v="-171298.65"/>
    <n v="-104968.02"/>
    <n v="-60288.4"/>
    <n v="-90513.02"/>
    <n v="-111720.79"/>
    <n v="-72509.2"/>
    <n v="-1240294.2"/>
    <n v="-39211.589999999997"/>
  </r>
  <r>
    <x v="18"/>
    <x v="5"/>
    <x v="0"/>
    <s v="3800106"/>
    <n v="400010"/>
    <s v="Acute I/P Svcs Rev--Managed Care"/>
    <s v="Emergency Services"/>
    <x v="0"/>
    <n v="1400"/>
    <n v="-317965.25"/>
    <n v="-223653.69"/>
    <n v="-205401.49"/>
    <n v="-225466"/>
    <n v="-282597.99"/>
    <n v="-295507.5"/>
    <n v="-301716.62"/>
    <n v="-349219.74"/>
    <n v="-319816.96000000002"/>
    <n v="-210250.77"/>
    <n v="-153419.13"/>
    <n v="-228108.12"/>
    <n v="-3113123.2600000002"/>
    <n v="74688.989999999991"/>
  </r>
  <r>
    <x v="18"/>
    <x v="5"/>
    <x v="0"/>
    <s v="3800106"/>
    <n v="400010"/>
    <s v="Acute I/P Svcs Rev--Self Pay"/>
    <s v="Emergency Services"/>
    <x v="0"/>
    <n v="1500"/>
    <n v="-56686"/>
    <n v="-81891.460000000006"/>
    <n v="-86992.8"/>
    <n v="-18531.650000000001"/>
    <n v="-145166.28"/>
    <n v="-22095.95"/>
    <n v="-94554.35"/>
    <n v="-52438.33"/>
    <n v="-61376.79"/>
    <n v="-71649.37"/>
    <n v="-84272.26"/>
    <n v="-55423.76"/>
    <n v="-831079"/>
    <n v="-28848.499999999993"/>
  </r>
  <r>
    <x v="18"/>
    <x v="5"/>
    <x v="0"/>
    <s v="3800106"/>
    <n v="400010"/>
    <s v="Acute I/P Svcs Rev--Other"/>
    <s v="Emergency Services"/>
    <x v="0"/>
    <n v="1700"/>
    <n v="-47535.08"/>
    <n v="-24615.88"/>
    <n v="-53937.11"/>
    <n v="-6319.04"/>
    <n v="-37699.269999999997"/>
    <n v="-53282.44"/>
    <n v="-53468.1"/>
    <n v="-52730.6"/>
    <n v="-58035.16"/>
    <n v="-18928.64"/>
    <n v="-57830.52"/>
    <n v="-41170.86"/>
    <n v="-505552.69999999995"/>
    <n v="-16659.659999999996"/>
  </r>
  <r>
    <x v="19"/>
    <x v="5"/>
    <x v="0"/>
    <s v="3800106"/>
    <n v="400020"/>
    <s v="O/P Care Svcs Rev--Medicare"/>
    <s v="Emergency Services"/>
    <x v="0"/>
    <n v="1100"/>
    <n v="-2794713.19"/>
    <n v="-2779225.69"/>
    <n v="-2503350.21"/>
    <n v="-2701117.11"/>
    <n v="-2362319.63"/>
    <n v="-2549277.96"/>
    <n v="-2856552.07"/>
    <n v="-2458787.75"/>
    <n v="-2733795.44"/>
    <n v="-2745850.21"/>
    <n v="-2762833.82"/>
    <n v="-2809623.13"/>
    <n v="-32057446.210000001"/>
    <n v="46789.310000000056"/>
  </r>
  <r>
    <x v="19"/>
    <x v="5"/>
    <x v="0"/>
    <s v="3800106"/>
    <n v="400020"/>
    <s v="O/P Care Svcs Rev--Medicaid"/>
    <s v="Emergency Services"/>
    <x v="0"/>
    <n v="1200"/>
    <n v="-4375260.5199999996"/>
    <n v="-4798924.74"/>
    <n v="-4538779.8499999996"/>
    <n v="-4540132.21"/>
    <n v="-3889860.91"/>
    <n v="-4637506.18"/>
    <n v="-4152957.09"/>
    <n v="-3633569.17"/>
    <n v="-4496499.3899999997"/>
    <n v="-4041067.7"/>
    <n v="-4070998.41"/>
    <n v="-4001521.16"/>
    <n v="-51177077.329999998"/>
    <n v="-69477.25"/>
  </r>
  <r>
    <x v="19"/>
    <x v="5"/>
    <x v="0"/>
    <s v="3800106"/>
    <n v="400020"/>
    <s v="O/P Care Svcs Rev--Comm Insurance"/>
    <s v="Emergency Services"/>
    <x v="0"/>
    <n v="1300"/>
    <n v="-470100.16"/>
    <n v="-375751.79"/>
    <n v="-338911.84"/>
    <n v="-436438.34"/>
    <n v="-243885.78"/>
    <n v="-335140.62"/>
    <n v="-251444.27"/>
    <n v="-310339.71000000002"/>
    <n v="-298138.05"/>
    <n v="-366391.55"/>
    <n v="-388705.27"/>
    <n v="-326208.62"/>
    <n v="-4141456"/>
    <n v="-62496.650000000023"/>
  </r>
  <r>
    <x v="19"/>
    <x v="5"/>
    <x v="0"/>
    <s v="3800106"/>
    <n v="400020"/>
    <s v="O/P Care Svcs Rev--BCBS Comm"/>
    <s v="Emergency Services"/>
    <x v="0"/>
    <n v="1301"/>
    <n v="-737848.01"/>
    <n v="-801982.52"/>
    <n v="-695524.4"/>
    <n v="-732930.12"/>
    <n v="-679131.63"/>
    <n v="-828149.87"/>
    <n v="-830426.5"/>
    <n v="-687164.67"/>
    <n v="-740213.31"/>
    <n v="-647790.55000000005"/>
    <n v="-811656.91"/>
    <n v="-710323.41"/>
    <n v="-8903141.8999999985"/>
    <n v="-101333.5"/>
  </r>
  <r>
    <x v="19"/>
    <x v="5"/>
    <x v="0"/>
    <s v="3800106"/>
    <n v="400020"/>
    <s v="O/P Care Svcs Rev--Managed Care"/>
    <s v="Emergency Services"/>
    <x v="0"/>
    <n v="1400"/>
    <n v="-2002568.75"/>
    <n v="-1938515.82"/>
    <n v="-1759225.63"/>
    <n v="-2010825.94"/>
    <n v="-1629501.6"/>
    <n v="-1650729"/>
    <n v="-1551385.86"/>
    <n v="-1485219.25"/>
    <n v="-1912506.38"/>
    <n v="-1700461.61"/>
    <n v="-1880654.14"/>
    <n v="-1754237.03"/>
    <n v="-21275831.010000002"/>
    <n v="-126417.10999999987"/>
  </r>
  <r>
    <x v="19"/>
    <x v="5"/>
    <x v="0"/>
    <s v="3800106"/>
    <n v="400020"/>
    <s v="O/P Care Svcs Rev--Self Pay"/>
    <s v="Emergency Services"/>
    <x v="0"/>
    <n v="1500"/>
    <n v="-891928.85"/>
    <n v="-1037988.45"/>
    <n v="-960404.42"/>
    <n v="-1093137.3700000001"/>
    <n v="-957877.6"/>
    <n v="-1149945.8799999999"/>
    <n v="-1157592.6599999999"/>
    <n v="-634363.99"/>
    <n v="-790914.31"/>
    <n v="-822289.49"/>
    <n v="-901304.84"/>
    <n v="-733020.2"/>
    <n v="-11130768.059999999"/>
    <n v="-168284.64"/>
  </r>
  <r>
    <x v="19"/>
    <x v="5"/>
    <x v="0"/>
    <s v="3800106"/>
    <n v="400020"/>
    <s v="O/P Care Svcs Rev--Other"/>
    <s v="Emergency Services"/>
    <x v="0"/>
    <n v="1700"/>
    <n v="-452353.54"/>
    <n v="-430045.34"/>
    <n v="-374933.08"/>
    <n v="-391168.39"/>
    <n v="-300203.11"/>
    <n v="-399359.51"/>
    <n v="-271352.82"/>
    <n v="-319637.78000000003"/>
    <n v="-385386.16"/>
    <n v="-294666.73"/>
    <n v="-349822.31"/>
    <n v="-333169.53000000003"/>
    <n v="-4302098.3"/>
    <n v="-16652.77999999997"/>
  </r>
  <r>
    <x v="14"/>
    <x v="5"/>
    <x v="0"/>
    <s v="3800106"/>
    <n v="600050"/>
    <s v="Miscellaneous Revenue"/>
    <s v="Emergency Services"/>
    <x v="0"/>
    <m/>
    <n v="0"/>
    <n v="-286.12"/>
    <n v="0"/>
    <n v="0"/>
    <n v="0"/>
    <n v="0"/>
    <n v="-51.38"/>
    <n v="0"/>
    <n v="0"/>
    <n v="0"/>
    <n v="0"/>
    <n v="0"/>
    <n v="-337.5"/>
    <n v="0"/>
  </r>
  <r>
    <x v="5"/>
    <x v="5"/>
    <x v="0"/>
    <s v="3800106"/>
    <n v="700014"/>
    <s v="Salaries-Management-Productive"/>
    <s v="Emergency Services"/>
    <x v="0"/>
    <m/>
    <n v="22393.45"/>
    <n v="13353.12"/>
    <n v="23484.55"/>
    <n v="24614.19"/>
    <n v="22974.22"/>
    <n v="15285.85"/>
    <n v="23623.58"/>
    <n v="19545.22"/>
    <n v="24704.7"/>
    <n v="16711.95"/>
    <n v="25531.15"/>
    <n v="19658.599999999999"/>
    <n v="251880.58000000005"/>
    <n v="5872.5500000000029"/>
  </r>
  <r>
    <x v="5"/>
    <x v="5"/>
    <x v="0"/>
    <s v="3800106"/>
    <n v="700026"/>
    <s v="Salaries-RN-Productive"/>
    <s v="Emergency Services"/>
    <x v="0"/>
    <m/>
    <n v="256582.3"/>
    <n v="264088.14"/>
    <n v="299036.81"/>
    <n v="286875.43"/>
    <n v="259348.57"/>
    <n v="256447.61"/>
    <n v="240971.08"/>
    <n v="227551.08"/>
    <n v="258283.04"/>
    <n v="237339.57"/>
    <n v="252600.15"/>
    <n v="219669.52"/>
    <n v="3058793.3"/>
    <n v="32930.630000000005"/>
  </r>
  <r>
    <x v="5"/>
    <x v="5"/>
    <x v="0"/>
    <s v="3800106"/>
    <n v="700026"/>
    <s v="Salaries-RN-OT"/>
    <s v="Emergency Services"/>
    <x v="0"/>
    <n v="1000"/>
    <n v="7027.9"/>
    <n v="7120.89"/>
    <n v="13183.82"/>
    <n v="7980.86"/>
    <n v="7711.62"/>
    <n v="3880.59"/>
    <n v="5607.85"/>
    <n v="13954.29"/>
    <n v="11442.86"/>
    <n v="6531.58"/>
    <n v="10300.33"/>
    <n v="4732.9799999999996"/>
    <n v="99475.57"/>
    <n v="5567.35"/>
  </r>
  <r>
    <x v="5"/>
    <x v="5"/>
    <x v="0"/>
    <s v="3800106"/>
    <n v="700026"/>
    <s v="Salaries-RN-Other"/>
    <s v="Emergency Services"/>
    <x v="0"/>
    <n v="2000"/>
    <n v="26931.57"/>
    <n v="29034.65"/>
    <n v="33167.769999999997"/>
    <n v="29549.38"/>
    <n v="30411.46"/>
    <n v="29717.15"/>
    <n v="27826.28"/>
    <n v="29856.12"/>
    <n v="29718.18"/>
    <n v="29420.14"/>
    <n v="28567.46"/>
    <n v="25915"/>
    <n v="350115.16000000003"/>
    <n v="2652.4599999999991"/>
  </r>
  <r>
    <x v="5"/>
    <x v="5"/>
    <x v="0"/>
    <s v="3800106"/>
    <n v="700032"/>
    <s v="Salaries-Other Pat Care Providers-Productive"/>
    <s v="Emergency Services"/>
    <x v="0"/>
    <m/>
    <n v="88192.44"/>
    <n v="94407.71"/>
    <n v="82706.850000000006"/>
    <n v="86204.19"/>
    <n v="93462.39"/>
    <n v="103799.67999999999"/>
    <n v="105426.66"/>
    <n v="100175.74"/>
    <n v="103854.12"/>
    <n v="113851.71"/>
    <n v="117623.63"/>
    <n v="121613.22"/>
    <n v="1211318.3400000001"/>
    <n v="-3989.5899999999965"/>
  </r>
  <r>
    <x v="5"/>
    <x v="5"/>
    <x v="0"/>
    <s v="3800106"/>
    <n v="700032"/>
    <s v="Salaries-Other Pat Care Providers-OT"/>
    <s v="Emergency Services"/>
    <x v="0"/>
    <n v="1000"/>
    <n v="1619.36"/>
    <n v="4055.87"/>
    <n v="3202.51"/>
    <n v="2387.9699999999998"/>
    <n v="1649.66"/>
    <n v="4870.8599999999997"/>
    <n v="4062.37"/>
    <n v="2672.73"/>
    <n v="2558.29"/>
    <n v="2316.33"/>
    <n v="1451.24"/>
    <n v="2877.75"/>
    <n v="33724.94"/>
    <n v="-1426.51"/>
  </r>
  <r>
    <x v="5"/>
    <x v="5"/>
    <x v="0"/>
    <s v="3800106"/>
    <n v="700032"/>
    <s v="Salaries-Other Pat Care Providers-Other"/>
    <s v="Emergency Services"/>
    <x v="0"/>
    <n v="2000"/>
    <n v="11524.12"/>
    <n v="12570.71"/>
    <n v="11519.88"/>
    <n v="10070.82"/>
    <n v="11188.11"/>
    <n v="14261.29"/>
    <n v="12933.58"/>
    <n v="11343.6"/>
    <n v="16911.810000000001"/>
    <n v="14767.49"/>
    <n v="13592.97"/>
    <n v="13557.66"/>
    <n v="154242.04"/>
    <n v="35.309999999999491"/>
  </r>
  <r>
    <x v="5"/>
    <x v="5"/>
    <x v="0"/>
    <s v="3800106"/>
    <n v="700034"/>
    <s v="Salaries-Tech/Professional-Productive"/>
    <s v="Emergency Services"/>
    <x v="0"/>
    <m/>
    <n v="0"/>
    <n v="0"/>
    <n v="201.3"/>
    <n v="39.229999999999997"/>
    <n v="300.70999999999998"/>
    <n v="245.66"/>
    <n v="-31.14"/>
    <n v="0"/>
    <n v="0"/>
    <n v="0"/>
    <n v="0"/>
    <n v="133.03"/>
    <n v="888.79"/>
    <n v="-133.03"/>
  </r>
  <r>
    <x v="5"/>
    <x v="5"/>
    <x v="0"/>
    <s v="3800106"/>
    <n v="700038"/>
    <s v="Salaries-Service/Support-Productive"/>
    <s v="Emergency Services"/>
    <x v="0"/>
    <m/>
    <n v="4115.3999999999996"/>
    <n v="5063.38"/>
    <n v="4507.24"/>
    <n v="5017.5600000000004"/>
    <n v="3700.33"/>
    <n v="5042.96"/>
    <n v="5053.4399999999996"/>
    <n v="4414.46"/>
    <n v="5022.6899999999996"/>
    <n v="5126.1499999999996"/>
    <n v="2762.97"/>
    <n v="-959.21"/>
    <n v="48867.37"/>
    <n v="3722.18"/>
  </r>
  <r>
    <x v="5"/>
    <x v="5"/>
    <x v="0"/>
    <s v="3800106"/>
    <n v="700038"/>
    <s v="Salaries-Service/Support-OT"/>
    <s v="Emergency Services"/>
    <x v="0"/>
    <n v="1000"/>
    <n v="135.82"/>
    <n v="413.22"/>
    <n v="459.92"/>
    <n v="345.89"/>
    <n v="39.840000000000003"/>
    <n v="239.15"/>
    <n v="347.27"/>
    <n v="40.78"/>
    <n v="600.21"/>
    <n v="582.4"/>
    <n v="301.66000000000003"/>
    <n v="0"/>
    <n v="3506.16"/>
    <n v="301.66000000000003"/>
  </r>
  <r>
    <x v="5"/>
    <x v="5"/>
    <x v="0"/>
    <s v="3800106"/>
    <n v="700038"/>
    <s v="Salaries-Service/Support-Other"/>
    <s v="Emergency Services"/>
    <x v="0"/>
    <n v="2000"/>
    <n v="20.04"/>
    <n v="11.37"/>
    <n v="16.63"/>
    <n v="14.63"/>
    <n v="10.68"/>
    <n v="11.1"/>
    <n v="18.14"/>
    <n v="8.89"/>
    <n v="19.71"/>
    <n v="26.7"/>
    <n v="159.21"/>
    <n v="-72.98"/>
    <n v="244.12"/>
    <n v="232.19"/>
  </r>
  <r>
    <x v="5"/>
    <x v="5"/>
    <x v="0"/>
    <s v="3800106"/>
    <n v="700054"/>
    <s v="Salaries-Management-Non-productive"/>
    <s v="Emergency Services"/>
    <x v="0"/>
    <m/>
    <n v="1240.52"/>
    <n v="10281.9"/>
    <n v="-611.62"/>
    <n v="-510.96"/>
    <n v="459.44"/>
    <n v="8929.7199999999993"/>
    <n v="629.82000000000005"/>
    <n v="2358.84"/>
    <n v="-453.57"/>
    <n v="6756.05"/>
    <n v="-1280.03"/>
    <n v="3810.54"/>
    <n v="31610.65"/>
    <n v="-5090.57"/>
  </r>
  <r>
    <x v="5"/>
    <x v="5"/>
    <x v="0"/>
    <s v="3800106"/>
    <n v="700054"/>
    <s v="Salaries-Management-NonProd-Other"/>
    <s v="Emergency Services"/>
    <x v="0"/>
    <n v="2000"/>
    <n v="0"/>
    <n v="0"/>
    <n v="0"/>
    <n v="0"/>
    <n v="0"/>
    <n v="2476.6"/>
    <n v="-2476.6"/>
    <n v="0"/>
    <n v="0"/>
    <n v="0"/>
    <n v="0"/>
    <n v="0"/>
    <n v="0"/>
    <n v="0"/>
  </r>
  <r>
    <x v="5"/>
    <x v="5"/>
    <x v="0"/>
    <s v="3800106"/>
    <n v="700066"/>
    <s v="Salaries-RN-Non-productive"/>
    <s v="Emergency Services"/>
    <x v="0"/>
    <m/>
    <n v="42210.03"/>
    <n v="47850.89"/>
    <n v="43312.57"/>
    <n v="34050.559999999998"/>
    <n v="33150.9"/>
    <n v="48931.35"/>
    <n v="33462.449999999997"/>
    <n v="51184.57"/>
    <n v="33876.370000000003"/>
    <n v="47161.82"/>
    <n v="28410.49"/>
    <n v="47223.67"/>
    <n v="490825.67"/>
    <n v="-18813.179999999997"/>
  </r>
  <r>
    <x v="5"/>
    <x v="5"/>
    <x v="0"/>
    <s v="3800106"/>
    <n v="700066"/>
    <s v="Salaries-RN-NonProd-Other"/>
    <s v="Emergency Services"/>
    <x v="0"/>
    <n v="2000"/>
    <n v="2960.32"/>
    <n v="2673.14"/>
    <n v="2979.89"/>
    <n v="2682.72"/>
    <n v="4073.11"/>
    <n v="4101.84"/>
    <n v="4561.1400000000003"/>
    <n v="5916.21"/>
    <n v="5416.3"/>
    <n v="3461.32"/>
    <n v="2533.8000000000002"/>
    <n v="3557.04"/>
    <n v="44916.83"/>
    <n v="-1023.2399999999998"/>
  </r>
  <r>
    <x v="5"/>
    <x v="5"/>
    <x v="0"/>
    <s v="3800106"/>
    <n v="700072"/>
    <s v="Salaries-Other Pat Care Providers-Non-productive"/>
    <s v="Emergency Services"/>
    <x v="0"/>
    <m/>
    <n v="13321.09"/>
    <n v="18654.849999999999"/>
    <n v="8640.52"/>
    <n v="7511.6"/>
    <n v="8127.03"/>
    <n v="15541.45"/>
    <n v="9838.6200000000008"/>
    <n v="5164.96"/>
    <n v="12957.13"/>
    <n v="10326.200000000001"/>
    <n v="2864.92"/>
    <n v="11402.86"/>
    <n v="124351.23"/>
    <n v="-8537.94"/>
  </r>
  <r>
    <x v="5"/>
    <x v="5"/>
    <x v="0"/>
    <s v="3800106"/>
    <n v="700072"/>
    <s v="Salaries-Other Pat Care Providers-NonProd-Other"/>
    <s v="Emergency Services"/>
    <x v="0"/>
    <n v="2000"/>
    <n v="1095.76"/>
    <n v="1811.87"/>
    <n v="630.75"/>
    <n v="594.4"/>
    <n v="969.35"/>
    <n v="1673.96"/>
    <n v="651.41"/>
    <n v="-160.47999999999999"/>
    <n v="1131.55"/>
    <n v="908.37"/>
    <n v="242.97"/>
    <n v="875.29"/>
    <n v="10425.200000000001"/>
    <n v="-632.31999999999994"/>
  </r>
  <r>
    <x v="5"/>
    <x v="5"/>
    <x v="0"/>
    <s v="3800106"/>
    <n v="700078"/>
    <s v="Salaries-Service/Support-Non-productive"/>
    <s v="Emergency Services"/>
    <x v="0"/>
    <m/>
    <n v="1370.61"/>
    <n v="224.2"/>
    <n v="658.74"/>
    <n v="530.13"/>
    <n v="1681.64"/>
    <n v="431.29"/>
    <n v="514.57000000000005"/>
    <n v="674.43"/>
    <n v="448.73"/>
    <n v="136.71"/>
    <n v="2586.9699999999998"/>
    <n v="-1297.76"/>
    <n v="7960.26"/>
    <n v="3884.7299999999996"/>
  </r>
  <r>
    <x v="5"/>
    <x v="5"/>
    <x v="0"/>
    <s v="3800106"/>
    <n v="700078"/>
    <s v="Salaries-Service/Support-NonProd-Other"/>
    <s v="Emergency Services"/>
    <x v="0"/>
    <n v="2000"/>
    <n v="0"/>
    <n v="0"/>
    <n v="0"/>
    <n v="0"/>
    <n v="0"/>
    <n v="0"/>
    <n v="0"/>
    <n v="0"/>
    <n v="0"/>
    <n v="0"/>
    <n v="0"/>
    <n v="173.3"/>
    <n v="173.3"/>
    <n v="-173.3"/>
  </r>
  <r>
    <x v="5"/>
    <x v="5"/>
    <x v="0"/>
    <s v="3800106"/>
    <n v="700084"/>
    <s v="Accrued PTO"/>
    <s v="Emergency Services"/>
    <x v="0"/>
    <m/>
    <n v="-3419.57"/>
    <n v="-19729.18"/>
    <n v="1621.66"/>
    <n v="14998.16"/>
    <n v="8986.5499999999993"/>
    <n v="-14491.14"/>
    <n v="20795.849999999999"/>
    <n v="242.57"/>
    <n v="22741.81"/>
    <n v="4648.7299999999996"/>
    <n v="5426.21"/>
    <n v="-2460.7800000000002"/>
    <n v="39360.870000000003"/>
    <n v="7886.99"/>
  </r>
  <r>
    <x v="10"/>
    <x v="5"/>
    <x v="0"/>
    <s v="3800106"/>
    <n v="710060"/>
    <s v="Contract Labor-Other"/>
    <s v="Emergency Services"/>
    <x v="0"/>
    <m/>
    <n v="79458.5"/>
    <n v="75104.5"/>
    <n v="54143.93"/>
    <n v="67236.05"/>
    <n v="73057.61"/>
    <n v="107261.27"/>
    <n v="82883.5"/>
    <n v="72114.880000000005"/>
    <n v="99518.38"/>
    <n v="102370.63"/>
    <n v="137197.07999999999"/>
    <n v="77336.31"/>
    <n v="1027682.6399999999"/>
    <n v="59860.76999999999"/>
  </r>
  <r>
    <x v="10"/>
    <x v="5"/>
    <x v="0"/>
    <s v="3800106"/>
    <n v="710060"/>
    <s v="Contract Labor-Overtime"/>
    <s v="Emergency Services"/>
    <x v="0"/>
    <n v="5100"/>
    <n v="2421.31"/>
    <n v="4801.5200000000004"/>
    <n v="3304.54"/>
    <n v="600"/>
    <n v="5876.39"/>
    <n v="4220.78"/>
    <n v="8951.18"/>
    <n v="3665.36"/>
    <n v="6992.33"/>
    <n v="26147.3"/>
    <n v="-11058.55"/>
    <n v="10906.02"/>
    <n v="66828.179999999993"/>
    <n v="-21964.57"/>
  </r>
  <r>
    <x v="6"/>
    <x v="5"/>
    <x v="0"/>
    <s v="3800106"/>
    <n v="713010"/>
    <s v="Benefits-FICA/Medicare"/>
    <s v="Emergency Services"/>
    <x v="0"/>
    <m/>
    <n v="35769.93"/>
    <n v="39418.46"/>
    <n v="39182.74"/>
    <n v="36159.26"/>
    <n v="35375.64"/>
    <n v="37518.239999999998"/>
    <n v="35754.629999999997"/>
    <n v="35424.449999999997"/>
    <n v="38774.21"/>
    <n v="36957.22"/>
    <n v="38915.85"/>
    <n v="35770.959999999999"/>
    <n v="445021.59"/>
    <n v="3144.8899999999994"/>
  </r>
  <r>
    <x v="6"/>
    <x v="5"/>
    <x v="0"/>
    <s v="3800106"/>
    <n v="713090"/>
    <s v="Benefits-Allocated Amounts"/>
    <s v="Emergency Services"/>
    <x v="0"/>
    <m/>
    <n v="106329.66"/>
    <n v="113073.97"/>
    <n v="111533.57"/>
    <n v="104025.92"/>
    <n v="106624.16"/>
    <n v="110694.65"/>
    <n v="107278.32"/>
    <n v="106432.99"/>
    <n v="108291.4"/>
    <n v="112649.60000000001"/>
    <n v="108459.23"/>
    <n v="109249.71"/>
    <n v="1304643.18"/>
    <n v="-790.48000000001048"/>
  </r>
  <r>
    <x v="17"/>
    <x v="5"/>
    <x v="0"/>
    <s v="3800106"/>
    <n v="714510"/>
    <s v="Medical Director Fees"/>
    <s v="Emergency Services"/>
    <x v="0"/>
    <m/>
    <n v="9000"/>
    <n v="7875"/>
    <n v="0"/>
    <n v="9000"/>
    <n v="9000"/>
    <n v="9000"/>
    <n v="9000"/>
    <n v="9000"/>
    <n v="9000"/>
    <n v="9000"/>
    <n v="9000"/>
    <n v="9000"/>
    <n v="97875"/>
    <n v="0"/>
  </r>
  <r>
    <x v="17"/>
    <x v="5"/>
    <x v="0"/>
    <s v="3800106"/>
    <n v="714520"/>
    <s v="Other Contracted Professionals"/>
    <s v="Emergency Services"/>
    <x v="0"/>
    <m/>
    <n v="16500"/>
    <n v="6750"/>
    <n v="12840"/>
    <n v="9900"/>
    <n v="10556"/>
    <n v="67652"/>
    <n v="22003.24"/>
    <n v="25563.24"/>
    <n v="15841.24"/>
    <n v="40711.24"/>
    <n v="102039.46"/>
    <n v="1108467.07"/>
    <n v="1438823.49"/>
    <n v="-1006427.6100000001"/>
  </r>
  <r>
    <x v="17"/>
    <x v="5"/>
    <x v="0"/>
    <s v="3800106"/>
    <n v="714530"/>
    <s v="Medical Prof Fees-Intracompany"/>
    <s v="Emergency Services"/>
    <x v="0"/>
    <m/>
    <n v="8735.68"/>
    <n v="8738.6"/>
    <n v="9742.56"/>
    <n v="9715.25"/>
    <n v="10557.05"/>
    <n v="8968.41"/>
    <n v="-6880.47"/>
    <n v="9991.0400000000009"/>
    <n v="9610.58"/>
    <n v="4434.21"/>
    <n v="6564.29"/>
    <n v="24070.46"/>
    <n v="104247.66"/>
    <n v="-17506.169999999998"/>
  </r>
  <r>
    <x v="7"/>
    <x v="5"/>
    <x v="0"/>
    <s v="3800106"/>
    <n v="718050"/>
    <s v="Contract Svcs-Other"/>
    <s v="Emergency Services"/>
    <x v="0"/>
    <m/>
    <n v="1883.6"/>
    <n v="4591.68"/>
    <n v="3023.67"/>
    <n v="2005.82"/>
    <n v="2448.73"/>
    <n v="1623.49"/>
    <n v="4115.34"/>
    <n v="2101.8000000000002"/>
    <n v="3152.99"/>
    <n v="1571.78"/>
    <n v="593.80999999999995"/>
    <n v="-230.98"/>
    <n v="26881.730000000003"/>
    <n v="824.79"/>
  </r>
  <r>
    <x v="7"/>
    <x v="5"/>
    <x v="0"/>
    <s v="3800106"/>
    <n v="718050"/>
    <s v="Document Shredding/Storage"/>
    <s v="Emergency Services"/>
    <x v="0"/>
    <n v="1012"/>
    <n v="8.1"/>
    <n v="7.24"/>
    <n v="7.99"/>
    <n v="7.9"/>
    <n v="56.08"/>
    <n v="89.86"/>
    <n v="88.96"/>
    <n v="-72.319999999999993"/>
    <n v="15.8"/>
    <n v="-4.34"/>
    <n v="9.24"/>
    <n v="34.950000000000003"/>
    <n v="249.46000000000004"/>
    <n v="-25.71"/>
  </r>
  <r>
    <x v="7"/>
    <x v="5"/>
    <x v="0"/>
    <s v="3800106"/>
    <n v="718050"/>
    <s v="Miscellaneous Purchased Svcs"/>
    <s v="Emergency Services"/>
    <x v="0"/>
    <n v="1020"/>
    <n v="-4908.1499999999996"/>
    <n v="4172.1099999999997"/>
    <n v="4723.8"/>
    <n v="0"/>
    <n v="4633.7"/>
    <n v="6120.85"/>
    <n v="4432.87"/>
    <n v="0"/>
    <n v="0"/>
    <n v="3819"/>
    <n v="4751.2"/>
    <n v="0"/>
    <n v="27745.38"/>
    <n v="4751.2"/>
  </r>
  <r>
    <x v="7"/>
    <x v="5"/>
    <x v="0"/>
    <s v="3800106"/>
    <n v="718050"/>
    <s v="Translation Services"/>
    <s v="Emergency Services"/>
    <x v="0"/>
    <n v="1025"/>
    <n v="49.41"/>
    <n v="0"/>
    <n v="1022.22"/>
    <n v="200.66"/>
    <n v="276.25"/>
    <n v="0"/>
    <n v="529.29999999999995"/>
    <n v="0"/>
    <n v="702.97"/>
    <n v="555.37"/>
    <n v="430.18"/>
    <n v="584.32000000000005"/>
    <n v="4350.68"/>
    <n v="-154.14000000000004"/>
  </r>
  <r>
    <x v="7"/>
    <x v="5"/>
    <x v="0"/>
    <s v="3800106"/>
    <n v="718050"/>
    <s v="Contract Management--Linen"/>
    <s v="Emergency Services"/>
    <x v="0"/>
    <n v="1026"/>
    <n v="17297.28"/>
    <n v="8331.48"/>
    <n v="12283.42"/>
    <n v="12847.01"/>
    <n v="15515.8"/>
    <n v="11783.1"/>
    <n v="11951.23"/>
    <n v="14938.53"/>
    <n v="12215.58"/>
    <n v="14740.22"/>
    <n v="13327.71"/>
    <n v="13156.94"/>
    <n v="158388.29999999999"/>
    <n v="170.76999999999862"/>
  </r>
  <r>
    <x v="7"/>
    <x v="5"/>
    <x v="0"/>
    <s v="3800106"/>
    <n v="718050"/>
    <s v="Purchased Srvcs--Medical Waste"/>
    <s v="Emergency Services"/>
    <x v="0"/>
    <n v="1027"/>
    <n v="0"/>
    <n v="0"/>
    <n v="396.25"/>
    <n v="44.04"/>
    <n v="0"/>
    <n v="0"/>
    <n v="0"/>
    <n v="95.61"/>
    <n v="164.08"/>
    <n v="175.49"/>
    <n v="55.66"/>
    <n v="0"/>
    <n v="931.13"/>
    <n v="55.66"/>
  </r>
  <r>
    <x v="7"/>
    <x v="5"/>
    <x v="0"/>
    <s v="3800106"/>
    <n v="718070"/>
    <s v="Contract Srvcs-CHI Clinical Engineering"/>
    <s v="Emergency Services"/>
    <x v="0"/>
    <m/>
    <n v="77.66"/>
    <n v="77.66"/>
    <n v="77.66"/>
    <n v="77.66"/>
    <n v="77.66"/>
    <n v="78.19"/>
    <n v="91.76"/>
    <n v="91.76"/>
    <n v="91.76"/>
    <n v="91.76"/>
    <n v="91.5"/>
    <n v="91.5"/>
    <n v="1016.53"/>
    <n v="0"/>
  </r>
  <r>
    <x v="7"/>
    <x v="5"/>
    <x v="0"/>
    <s v="3800106"/>
    <n v="718077"/>
    <s v="PACS"/>
    <s v="Emergency Services"/>
    <x v="0"/>
    <n v="1000"/>
    <n v="4.5"/>
    <n v="4.5"/>
    <n v="2.25"/>
    <n v="0"/>
    <n v="0"/>
    <n v="0"/>
    <n v="0"/>
    <n v="0"/>
    <n v="0"/>
    <n v="0"/>
    <n v="0"/>
    <n v="0"/>
    <n v="11.25"/>
    <n v="0"/>
  </r>
  <r>
    <x v="7"/>
    <x v="5"/>
    <x v="0"/>
    <s v="3800106"/>
    <n v="718091"/>
    <s v="Contract Services-Intracompany Allocation"/>
    <s v="Emergency Services"/>
    <x v="0"/>
    <m/>
    <n v="30018.79"/>
    <n v="18651.29"/>
    <n v="-16300.51"/>
    <n v="24420.78"/>
    <n v="23474.33"/>
    <n v="19363.22"/>
    <n v="29772.42"/>
    <n v="24568.76"/>
    <n v="29966.77"/>
    <n v="12855.3"/>
    <n v="28821.66"/>
    <n v="23619"/>
    <n v="249231.80999999997"/>
    <n v="5202.66"/>
  </r>
  <r>
    <x v="11"/>
    <x v="5"/>
    <x v="0"/>
    <s v="3800106"/>
    <n v="721010"/>
    <s v="Supplies-Medical - Billable"/>
    <s v="Emergency Services"/>
    <x v="0"/>
    <m/>
    <n v="13258.77"/>
    <n v="11499.04"/>
    <n v="13015.15"/>
    <n v="10182.200000000001"/>
    <n v="9001.0400000000009"/>
    <n v="12992.11"/>
    <n v="13841.71"/>
    <n v="15095.15"/>
    <n v="13710.77"/>
    <n v="14390.86"/>
    <n v="12297.17"/>
    <n v="15348.05"/>
    <n v="154632.01999999999"/>
    <n v="-3050.8799999999992"/>
  </r>
  <r>
    <x v="11"/>
    <x v="5"/>
    <x v="0"/>
    <s v="3800106"/>
    <n v="721010"/>
    <s v="Patient Monitoring"/>
    <s v="Emergency Services"/>
    <x v="0"/>
    <n v="1000"/>
    <n v="2288.39"/>
    <n v="1607.23"/>
    <n v="1679.73"/>
    <n v="1472.13"/>
    <n v="1385.52"/>
    <n v="1733.08"/>
    <n v="2241.0100000000002"/>
    <n v="2509.36"/>
    <n v="2384.86"/>
    <n v="1363.47"/>
    <n v="1253.75"/>
    <n v="1843.35"/>
    <n v="21761.88"/>
    <n v="-589.59999999999991"/>
  </r>
  <r>
    <x v="11"/>
    <x v="5"/>
    <x v="0"/>
    <s v="3800106"/>
    <n v="721020"/>
    <s v="Supplies-Surgical - Billable"/>
    <s v="Emergency Services"/>
    <x v="0"/>
    <m/>
    <n v="3306.93"/>
    <n v="979.7"/>
    <n v="1083.3900000000001"/>
    <n v="1696.42"/>
    <n v="1652.67"/>
    <n v="1382.65"/>
    <n v="2859.37"/>
    <n v="984.86"/>
    <n v="173.65"/>
    <n v="-375.59"/>
    <n v="-438.49"/>
    <n v="713.32"/>
    <n v="14018.880000000001"/>
    <n v="-1151.81"/>
  </r>
  <r>
    <x v="11"/>
    <x v="5"/>
    <x v="0"/>
    <s v="3800106"/>
    <n v="721020"/>
    <s v="Custom Packs"/>
    <s v="Emergency Services"/>
    <x v="0"/>
    <n v="1000"/>
    <n v="0"/>
    <n v="0"/>
    <n v="0"/>
    <n v="981.31"/>
    <n v="986.77"/>
    <n v="1007.3"/>
    <n v="589.59"/>
    <n v="772"/>
    <n v="1109.72"/>
    <n v="1112.52"/>
    <n v="1411.13"/>
    <n v="1555.28"/>
    <n v="9525.6200000000008"/>
    <n v="-144.14999999999986"/>
  </r>
  <r>
    <x v="11"/>
    <x v="5"/>
    <x v="0"/>
    <s v="3800106"/>
    <n v="721020"/>
    <s v="Suture/Wound Closure"/>
    <s v="Emergency Services"/>
    <x v="0"/>
    <n v="1001"/>
    <n v="1330.97"/>
    <n v="910.22"/>
    <n v="540.29"/>
    <n v="951.22"/>
    <n v="1047.27"/>
    <n v="984.23"/>
    <n v="90.22"/>
    <n v="135.72"/>
    <n v="338.68"/>
    <n v="899.83"/>
    <n v="874.42"/>
    <n v="1151.96"/>
    <n v="9255.0299999999988"/>
    <n v="-277.54000000000008"/>
  </r>
  <r>
    <x v="11"/>
    <x v="5"/>
    <x v="0"/>
    <s v="3800106"/>
    <n v="721020"/>
    <s v="Urological Supplies"/>
    <s v="Emergency Services"/>
    <x v="0"/>
    <n v="1006"/>
    <n v="79.5"/>
    <n v="4.8"/>
    <n v="35.520000000000003"/>
    <n v="28.8"/>
    <n v="46.08"/>
    <n v="109.17"/>
    <n v="38.4"/>
    <n v="134.94"/>
    <n v="68.64"/>
    <n v="67.680000000000007"/>
    <n v="36.96"/>
    <n v="113.94"/>
    <n v="764.43000000000006"/>
    <n v="-76.97999999999999"/>
  </r>
  <r>
    <x v="11"/>
    <x v="5"/>
    <x v="0"/>
    <s v="3800106"/>
    <n v="721020"/>
    <s v="Tubes Drains &amp; Related Supplies"/>
    <s v="Emergency Services"/>
    <x v="0"/>
    <n v="1008"/>
    <n v="62.48"/>
    <n v="173.42"/>
    <n v="44.68"/>
    <n v="575.58000000000004"/>
    <n v="52.26"/>
    <n v="10.9"/>
    <n v="46.97"/>
    <n v="66.209999999999994"/>
    <n v="97.78"/>
    <n v="1308.5999999999999"/>
    <n v="812.81"/>
    <n v="26.88"/>
    <n v="3278.57"/>
    <n v="785.93"/>
  </r>
  <r>
    <x v="11"/>
    <x v="5"/>
    <x v="0"/>
    <s v="3800106"/>
    <n v="721050"/>
    <s v="Supplies-Cardiac Rhythm - Billable"/>
    <s v="Emergency Services"/>
    <x v="0"/>
    <m/>
    <n v="0"/>
    <n v="0"/>
    <n v="0"/>
    <n v="0"/>
    <n v="166.5"/>
    <n v="0"/>
    <n v="0"/>
    <n v="0"/>
    <n v="0"/>
    <n v="490"/>
    <n v="0"/>
    <n v="62.5"/>
    <n v="719"/>
    <n v="-62.5"/>
  </r>
  <r>
    <x v="11"/>
    <x v="5"/>
    <x v="0"/>
    <s v="3800106"/>
    <n v="721050"/>
    <s v="Pacemakers - Internal"/>
    <s v="Emergency Services"/>
    <x v="0"/>
    <n v="1000"/>
    <n v="148.5"/>
    <n v="0"/>
    <n v="0"/>
    <n v="0"/>
    <n v="148.5"/>
    <n v="49.5"/>
    <n v="49.5"/>
    <n v="99"/>
    <n v="0"/>
    <n v="0"/>
    <n v="0"/>
    <n v="129.16"/>
    <n v="624.16"/>
    <n v="-129.16"/>
  </r>
  <r>
    <x v="11"/>
    <x v="5"/>
    <x v="0"/>
    <s v="3800106"/>
    <n v="721070"/>
    <s v="Peripheral Stents"/>
    <s v="Emergency Services"/>
    <x v="0"/>
    <n v="1001"/>
    <n v="167.53"/>
    <n v="167.53"/>
    <n v="0"/>
    <n v="335.06"/>
    <n v="-3.3"/>
    <n v="0"/>
    <n v="-3.3"/>
    <n v="0"/>
    <n v="335.06"/>
    <n v="335.06"/>
    <n v="20.079999999999998"/>
    <n v="0"/>
    <n v="1353.72"/>
    <n v="20.079999999999998"/>
  </r>
  <r>
    <x v="11"/>
    <x v="5"/>
    <x v="0"/>
    <s v="3800106"/>
    <n v="721240"/>
    <s v="Supplies-IV Solutions/Supplies - Billable"/>
    <s v="Emergency Services"/>
    <x v="0"/>
    <m/>
    <n v="21803.96"/>
    <n v="19379.12"/>
    <n v="22238.11"/>
    <n v="20032.95"/>
    <n v="18823.8"/>
    <n v="19314.53"/>
    <n v="23536.080000000002"/>
    <n v="45451.64"/>
    <n v="28924.71"/>
    <n v="30594.98"/>
    <n v="19251.169999999998"/>
    <n v="22843.25"/>
    <n v="292194.3"/>
    <n v="-3592.0800000000017"/>
  </r>
  <r>
    <x v="11"/>
    <x v="5"/>
    <x v="0"/>
    <s v="3800106"/>
    <n v="721350"/>
    <s v="Radiology Imaging - Contrast Media"/>
    <s v="Emergency Services"/>
    <x v="0"/>
    <n v="1000"/>
    <n v="5.8"/>
    <n v="4.5199999999999996"/>
    <n v="5.9"/>
    <n v="4.72"/>
    <n v="11.8"/>
    <n v="10.62"/>
    <n v="5.9"/>
    <n v="7.08"/>
    <n v="2.2599999999999998"/>
    <n v="5.65"/>
    <n v="13.56"/>
    <n v="12.43"/>
    <n v="90.239999999999981"/>
    <n v="1.1300000000000008"/>
  </r>
  <r>
    <x v="11"/>
    <x v="5"/>
    <x v="0"/>
    <s v="3800106"/>
    <n v="721410"/>
    <s v="Supplies-Medical - Nonbillable"/>
    <s v="Emergency Services"/>
    <x v="0"/>
    <m/>
    <n v="32180.23"/>
    <n v="28512.5"/>
    <n v="26027.95"/>
    <n v="29283.84"/>
    <n v="21713.25"/>
    <n v="27476.87"/>
    <n v="29240.69"/>
    <n v="29983.47"/>
    <n v="32996.080000000002"/>
    <n v="32150.32"/>
    <n v="27079.7"/>
    <n v="32603.84"/>
    <n v="349248.74000000005"/>
    <n v="-5524.1399999999994"/>
  </r>
  <r>
    <x v="11"/>
    <x v="5"/>
    <x v="0"/>
    <s v="3800106"/>
    <n v="721410"/>
    <s v="Patient Monitoring"/>
    <s v="Emergency Services"/>
    <x v="0"/>
    <n v="1000"/>
    <n v="33.89"/>
    <n v="0"/>
    <n v="0"/>
    <n v="497.74"/>
    <n v="-64.55"/>
    <n v="0"/>
    <n v="0"/>
    <n v="943"/>
    <n v="314"/>
    <n v="346.76"/>
    <n v="251.2"/>
    <n v="282.48"/>
    <n v="2604.52"/>
    <n v="-31.28000000000003"/>
  </r>
  <r>
    <x v="11"/>
    <x v="5"/>
    <x v="0"/>
    <s v="3800106"/>
    <n v="721420"/>
    <s v="Supplies-Surgical Nonbillable"/>
    <s v="Emergency Services"/>
    <x v="0"/>
    <m/>
    <n v="7364.3"/>
    <n v="4987.0200000000004"/>
    <n v="3749.85"/>
    <n v="3350.41"/>
    <n v="4081.71"/>
    <n v="2646.29"/>
    <n v="4466.21"/>
    <n v="13060.8"/>
    <n v="5041.95"/>
    <n v="6204.48"/>
    <n v="4799.41"/>
    <n v="6479.53"/>
    <n v="66231.959999999992"/>
    <n v="-1680.12"/>
  </r>
  <r>
    <x v="11"/>
    <x v="5"/>
    <x v="0"/>
    <s v="3800106"/>
    <n v="721420"/>
    <s v="Tubes Drains &amp; Related Supplies"/>
    <s v="Emergency Services"/>
    <x v="0"/>
    <n v="1008"/>
    <n v="513.25"/>
    <n v="1176.1199999999999"/>
    <n v="238.62"/>
    <n v="844.6"/>
    <n v="676.17"/>
    <n v="367.26"/>
    <n v="1808.6"/>
    <n v="984.1"/>
    <n v="945.09"/>
    <n v="870.06"/>
    <n v="1272.28"/>
    <n v="454.47"/>
    <n v="10150.619999999999"/>
    <n v="817.81"/>
  </r>
  <r>
    <x v="11"/>
    <x v="5"/>
    <x v="0"/>
    <s v="3800106"/>
    <n v="721420"/>
    <s v="Sterilization Process Products"/>
    <s v="Emergency Services"/>
    <x v="0"/>
    <n v="1009"/>
    <n v="204.58"/>
    <n v="91.36"/>
    <n v="91.36"/>
    <n v="182.72"/>
    <n v="91.36"/>
    <n v="184.86"/>
    <n v="182.72"/>
    <n v="91.36"/>
    <n v="190.19"/>
    <n v="378.21"/>
    <n v="334.71"/>
    <n v="461.69"/>
    <n v="2485.12"/>
    <n v="-126.98000000000002"/>
  </r>
  <r>
    <x v="11"/>
    <x v="5"/>
    <x v="0"/>
    <s v="3800106"/>
    <n v="721610"/>
    <s v="Supplies-Anesthesia - Nonbillable"/>
    <s v="Emergency Services"/>
    <x v="0"/>
    <m/>
    <n v="1730.58"/>
    <n v="2115.91"/>
    <n v="2941.47"/>
    <n v="1638.72"/>
    <n v="1492.27"/>
    <n v="2841.9"/>
    <n v="2573.9"/>
    <n v="3209.88"/>
    <n v="3502.63"/>
    <n v="2926.85"/>
    <n v="2053.21"/>
    <n v="2319.77"/>
    <n v="29347.089999999997"/>
    <n v="-266.55999999999995"/>
  </r>
  <r>
    <x v="11"/>
    <x v="5"/>
    <x v="0"/>
    <s v="3800106"/>
    <n v="721640"/>
    <s v="Supplies-IV Solutions/Supplies - Nonbillable"/>
    <s v="Emergency Services"/>
    <x v="0"/>
    <m/>
    <n v="8703.15"/>
    <n v="7693.16"/>
    <n v="7559.06"/>
    <n v="7711.67"/>
    <n v="8001.69"/>
    <n v="8145.35"/>
    <n v="10179.14"/>
    <n v="8589.41"/>
    <n v="8929.91"/>
    <n v="8432.91"/>
    <n v="8420.9699999999993"/>
    <n v="8841.33"/>
    <n v="101207.75000000001"/>
    <n v="-420.36000000000058"/>
  </r>
  <r>
    <x v="11"/>
    <x v="5"/>
    <x v="0"/>
    <s v="3800106"/>
    <n v="721650"/>
    <s v="Supplies-Pharmacy Drugs - Nonbillable"/>
    <s v="Emergency Services"/>
    <x v="0"/>
    <m/>
    <n v="51.62"/>
    <n v="118.06"/>
    <n v="27.46"/>
    <n v="256.61"/>
    <n v="143.62"/>
    <n v="90.33"/>
    <n v="24.5"/>
    <n v="47.02"/>
    <n v="104"/>
    <n v="35.81"/>
    <n v="74.5"/>
    <n v="35.590000000000003"/>
    <n v="1009.12"/>
    <n v="38.909999999999997"/>
  </r>
  <r>
    <x v="11"/>
    <x v="5"/>
    <x v="0"/>
    <s v="3800106"/>
    <n v="721710"/>
    <s v="Supplies-Laboratory - Nonbillable"/>
    <s v="Emergency Services"/>
    <x v="0"/>
    <m/>
    <n v="6535.29"/>
    <n v="5654.45"/>
    <n v="7638.24"/>
    <n v="5157.07"/>
    <n v="5344.55"/>
    <n v="5750.38"/>
    <n v="5559.56"/>
    <n v="5669.55"/>
    <n v="6171.67"/>
    <n v="5289.95"/>
    <n v="5733.57"/>
    <n v="5478.37"/>
    <n v="69982.649999999994"/>
    <n v="255.19999999999982"/>
  </r>
  <r>
    <x v="11"/>
    <x v="5"/>
    <x v="0"/>
    <s v="3800106"/>
    <n v="721710"/>
    <s v="Reagents"/>
    <s v="Emergency Services"/>
    <x v="0"/>
    <n v="1000"/>
    <n v="19.7"/>
    <n v="17.239999999999998"/>
    <n v="4.92"/>
    <n v="0"/>
    <n v="0"/>
    <n v="48.03"/>
    <n v="15.27"/>
    <n v="25.45"/>
    <n v="30.54"/>
    <n v="30.54"/>
    <n v="25.45"/>
    <n v="0"/>
    <n v="217.13999999999996"/>
    <n v="25.45"/>
  </r>
  <r>
    <x v="11"/>
    <x v="5"/>
    <x v="0"/>
    <s v="3800106"/>
    <n v="721750"/>
    <s v="Supplies-Film/Radiographic - Nonbillable"/>
    <s v="Emergency Services"/>
    <x v="0"/>
    <m/>
    <n v="74.61"/>
    <n v="114.74"/>
    <n v="125.56"/>
    <n v="108.18"/>
    <n v="172.16"/>
    <n v="41.05"/>
    <n v="148.29"/>
    <n v="154.86000000000001"/>
    <n v="79.290000000000006"/>
    <n v="5.61"/>
    <n v="3.74"/>
    <n v="5.62"/>
    <n v="1033.7099999999998"/>
    <n v="-1.88"/>
  </r>
  <r>
    <x v="11"/>
    <x v="5"/>
    <x v="0"/>
    <s v="3800106"/>
    <n v="721810"/>
    <s v="Supplies-Dietary/Cafeteria"/>
    <s v="Emergency Services"/>
    <x v="0"/>
    <m/>
    <n v="2760.34"/>
    <n v="2508.36"/>
    <n v="3022.12"/>
    <n v="2973.16"/>
    <n v="3287.33"/>
    <n v="2708.66"/>
    <n v="3826.52"/>
    <n v="2876.8"/>
    <n v="-11233.31"/>
    <n v="3249.61"/>
    <n v="3276.67"/>
    <n v="2787.43"/>
    <n v="22043.690000000002"/>
    <n v="489.24000000000024"/>
  </r>
  <r>
    <x v="11"/>
    <x v="5"/>
    <x v="0"/>
    <s v="3800106"/>
    <n v="721830"/>
    <s v="Supplies-Office"/>
    <s v="Emergency Services"/>
    <x v="0"/>
    <m/>
    <n v="1428.76"/>
    <n v="1760.14"/>
    <n v="3166.5"/>
    <n v="2366.15"/>
    <n v="504.57"/>
    <n v="1884.75"/>
    <n v="1841.81"/>
    <n v="1120.1500000000001"/>
    <n v="578.92999999999995"/>
    <n v="3652.43"/>
    <n v="1496.28"/>
    <n v="1518.87"/>
    <n v="21319.339999999997"/>
    <n v="-22.589999999999918"/>
  </r>
  <r>
    <x v="11"/>
    <x v="5"/>
    <x v="0"/>
    <s v="3800106"/>
    <n v="721835"/>
    <s v="Supplies-Forms"/>
    <s v="Emergency Services"/>
    <x v="0"/>
    <m/>
    <n v="0"/>
    <n v="0"/>
    <n v="0"/>
    <n v="0"/>
    <n v="487.15"/>
    <n v="0"/>
    <n v="163"/>
    <n v="0"/>
    <n v="82.41"/>
    <n v="0"/>
    <n v="160"/>
    <n v="0"/>
    <n v="892.56"/>
    <n v="160"/>
  </r>
  <r>
    <x v="11"/>
    <x v="5"/>
    <x v="0"/>
    <s v="3800106"/>
    <n v="721870"/>
    <s v="Supplies-Environmental Services"/>
    <s v="Emergency Services"/>
    <x v="0"/>
    <m/>
    <n v="2440.48"/>
    <n v="1886.73"/>
    <n v="2150.9699999999998"/>
    <n v="2253.38"/>
    <n v="1492.35"/>
    <n v="2009.02"/>
    <n v="2010.17"/>
    <n v="2179.0700000000002"/>
    <n v="2302.8200000000002"/>
    <n v="2250.9499999999998"/>
    <n v="1984.99"/>
    <n v="2084.58"/>
    <n v="25045.510000000002"/>
    <n v="-99.589999999999918"/>
  </r>
  <r>
    <x v="11"/>
    <x v="5"/>
    <x v="0"/>
    <s v="3800106"/>
    <n v="721880"/>
    <s v="Supplies-Linen"/>
    <s v="Emergency Services"/>
    <x v="0"/>
    <m/>
    <n v="406.08"/>
    <n v="315.83999999999997"/>
    <n v="270.72000000000003"/>
    <n v="451.2"/>
    <n v="315.83999999999997"/>
    <n v="541.44000000000005"/>
    <n v="586.55999999999995"/>
    <n v="541.44000000000005"/>
    <n v="631.67999999999995"/>
    <n v="496.32"/>
    <n v="360.96"/>
    <n v="721.92"/>
    <n v="5640"/>
    <n v="-360.96"/>
  </r>
  <r>
    <x v="11"/>
    <x v="5"/>
    <x v="0"/>
    <s v="3800106"/>
    <n v="721910"/>
    <s v="Supplies-Small Equipment"/>
    <s v="Emergency Services"/>
    <x v="0"/>
    <m/>
    <n v="2209.3200000000002"/>
    <n v="97.62"/>
    <n v="4043.01"/>
    <n v="3061.63"/>
    <n v="4005.26"/>
    <n v="1168.18"/>
    <n v="2738.67"/>
    <n v="962.87"/>
    <n v="2458.3200000000002"/>
    <n v="2478.9899999999998"/>
    <n v="2033.75"/>
    <n v="1385.58"/>
    <n v="26643.200000000004"/>
    <n v="648.17000000000007"/>
  </r>
  <r>
    <x v="11"/>
    <x v="5"/>
    <x v="0"/>
    <s v="3800106"/>
    <n v="721910"/>
    <s v="Instruments"/>
    <s v="Emergency Services"/>
    <x v="0"/>
    <n v="1000"/>
    <n v="950.61"/>
    <n v="673.07"/>
    <n v="1316.3"/>
    <n v="1372.44"/>
    <n v="948.41"/>
    <n v="1384.89"/>
    <n v="1132.71"/>
    <n v="3210.36"/>
    <n v="722.81"/>
    <n v="5854.27"/>
    <n v="860.5"/>
    <n v="657.15"/>
    <n v="19083.520000000004"/>
    <n v="203.35000000000002"/>
  </r>
  <r>
    <x v="11"/>
    <x v="5"/>
    <x v="0"/>
    <s v="3800106"/>
    <n v="721980"/>
    <s v="Supplies-Other"/>
    <s v="Emergency Services"/>
    <x v="0"/>
    <m/>
    <n v="2787.24"/>
    <n v="5217"/>
    <n v="9.5299999999999994"/>
    <n v="0"/>
    <n v="46.12"/>
    <n v="1563.74"/>
    <n v="1279.3699999999999"/>
    <n v="115.51"/>
    <n v="2130.19"/>
    <n v="1940.51"/>
    <n v="327.8"/>
    <n v="-86.23"/>
    <n v="15330.78"/>
    <n v="414.03000000000003"/>
  </r>
  <r>
    <x v="11"/>
    <x v="5"/>
    <x v="0"/>
    <s v="3800106"/>
    <n v="722000"/>
    <s v="Supplies-Freight Expense"/>
    <s v="Emergency Services"/>
    <x v="0"/>
    <m/>
    <n v="157.24"/>
    <n v="190.4"/>
    <n v="32.909999999999997"/>
    <n v="77.900000000000006"/>
    <n v="391.27"/>
    <n v="668.77"/>
    <n v="169.57"/>
    <n v="0"/>
    <n v="144.4"/>
    <n v="58.13"/>
    <n v="234.29"/>
    <n v="359.57"/>
    <n v="2484.4500000000003"/>
    <n v="-125.28"/>
  </r>
  <r>
    <x v="12"/>
    <x v="5"/>
    <x v="0"/>
    <s v="3800106"/>
    <n v="730020"/>
    <s v="Rental and Leases-Copier Usage Fees (DO NOT USE)"/>
    <s v="Emergency Services"/>
    <x v="0"/>
    <n v="5100"/>
    <n v="1695.4"/>
    <n v="1705.69"/>
    <n v="1700.54"/>
    <n v="1700.54"/>
    <n v="1700.54"/>
    <n v="1700.54"/>
    <n v="745.22"/>
    <n v="1436.35"/>
    <n v="687.03"/>
    <n v="1892.59"/>
    <n v="690.05"/>
    <n v="1365.13"/>
    <n v="17019.62"/>
    <n v="-675.08000000000015"/>
  </r>
  <r>
    <x v="15"/>
    <x v="5"/>
    <x v="0"/>
    <s v="3800106"/>
    <n v="731060"/>
    <s v="Cell Phones"/>
    <s v="Emergency Services"/>
    <x v="0"/>
    <n v="1001"/>
    <n v="0"/>
    <n v="62.65"/>
    <n v="25.86"/>
    <n v="0"/>
    <n v="29.78"/>
    <n v="10.82"/>
    <n v="62.94"/>
    <n v="0"/>
    <n v="31.96"/>
    <n v="63.43"/>
    <n v="31.09"/>
    <n v="31.7"/>
    <n v="350.22999999999996"/>
    <n v="-0.60999999999999943"/>
  </r>
  <r>
    <x v="15"/>
    <x v="5"/>
    <x v="0"/>
    <s v="3800106"/>
    <n v="731060"/>
    <s v="Pagers"/>
    <s v="Emergency Services"/>
    <x v="0"/>
    <n v="1002"/>
    <n v="39.950000000000003"/>
    <n v="7.99"/>
    <n v="7.99"/>
    <n v="8.02"/>
    <n v="0"/>
    <n v="0"/>
    <n v="0"/>
    <n v="0"/>
    <n v="0"/>
    <n v="0"/>
    <n v="0"/>
    <n v="0"/>
    <n v="63.95"/>
    <n v="0"/>
  </r>
  <r>
    <x v="16"/>
    <x v="5"/>
    <x v="0"/>
    <s v="3800106"/>
    <n v="732020"/>
    <s v="Repairs--Clin Equip-Parts-Internal to CHI Programs"/>
    <s v="Emergency Services"/>
    <x v="0"/>
    <m/>
    <n v="674.47"/>
    <n v="30.36"/>
    <n v="74.38"/>
    <n v="0"/>
    <n v="0"/>
    <n v="0"/>
    <n v="0"/>
    <n v="0"/>
    <n v="0"/>
    <n v="0"/>
    <n v="0"/>
    <n v="0"/>
    <n v="779.21"/>
    <n v="0"/>
  </r>
  <r>
    <x v="16"/>
    <x v="5"/>
    <x v="0"/>
    <s v="3800106"/>
    <n v="732030"/>
    <s v="Repairs---Other"/>
    <s v="Emergency Services"/>
    <x v="0"/>
    <m/>
    <n v="0"/>
    <n v="0"/>
    <n v="913.44"/>
    <n v="1013.63"/>
    <n v="0"/>
    <n v="7221.25"/>
    <n v="13153.24"/>
    <n v="396"/>
    <n v="759"/>
    <n v="0"/>
    <n v="8375.9"/>
    <n v="462.92"/>
    <n v="32295.379999999997"/>
    <n v="7912.98"/>
  </r>
  <r>
    <x v="13"/>
    <x v="5"/>
    <x v="0"/>
    <s v="3800106"/>
    <n v="735040"/>
    <s v="Depreciation-Building Improvements"/>
    <s v="Emergency Services"/>
    <x v="0"/>
    <m/>
    <n v="347.72"/>
    <n v="347.72"/>
    <n v="347.73"/>
    <n v="347.71"/>
    <n v="347.73"/>
    <n v="347.7"/>
    <n v="347.74"/>
    <n v="347.67"/>
    <n v="347.78"/>
    <n v="347.63"/>
    <n v="281.10000000000002"/>
    <n v="280.94"/>
    <n v="4039.17"/>
    <n v="0.16000000000002501"/>
  </r>
  <r>
    <x v="13"/>
    <x v="5"/>
    <x v="0"/>
    <s v="3800106"/>
    <n v="735060"/>
    <s v="Depreciation-Fixed Equipment"/>
    <s v="Emergency Services"/>
    <x v="0"/>
    <m/>
    <n v="152.53"/>
    <n v="152.5"/>
    <n v="152.55000000000001"/>
    <n v="152.47"/>
    <n v="152.55000000000001"/>
    <n v="152.47"/>
    <n v="152.57"/>
    <n v="152.44999999999999"/>
    <n v="152.58000000000001"/>
    <n v="152.44"/>
    <n v="152.6"/>
    <n v="152.41999999999999"/>
    <n v="1830.1299999999999"/>
    <n v="0.18000000000000682"/>
  </r>
  <r>
    <x v="13"/>
    <x v="5"/>
    <x v="0"/>
    <s v="3800106"/>
    <n v="735070"/>
    <s v="Depreciation-Movable Equipment"/>
    <s v="Emergency Services"/>
    <x v="0"/>
    <m/>
    <n v="34175.300000000003"/>
    <n v="34439.910000000003"/>
    <n v="34441.660000000003"/>
    <n v="34303.72"/>
    <n v="34306.67"/>
    <n v="34303.629999999997"/>
    <n v="34279.449999999997"/>
    <n v="34274.97"/>
    <n v="34406.629999999997"/>
    <n v="34399.19"/>
    <n v="34407.93"/>
    <n v="34554.620000000003"/>
    <n v="412293.68000000005"/>
    <n v="-146.69000000000233"/>
  </r>
  <r>
    <x v="0"/>
    <x v="5"/>
    <x v="0"/>
    <s v="3800106"/>
    <n v="740010"/>
    <s v="Education-Materials"/>
    <s v="Emergency Services"/>
    <x v="0"/>
    <m/>
    <n v="0"/>
    <n v="0"/>
    <n v="158.72"/>
    <n v="0"/>
    <n v="0"/>
    <n v="0"/>
    <n v="0"/>
    <n v="0"/>
    <n v="0"/>
    <n v="0"/>
    <n v="0"/>
    <n v="0"/>
    <n v="158.72"/>
    <n v="0"/>
  </r>
  <r>
    <x v="0"/>
    <x v="5"/>
    <x v="0"/>
    <s v="3800106"/>
    <n v="740020"/>
    <s v="Education-Registration Fees"/>
    <s v="Emergency Services"/>
    <x v="0"/>
    <m/>
    <n v="0"/>
    <n v="59"/>
    <n v="1200"/>
    <n v="0"/>
    <n v="230"/>
    <n v="0"/>
    <n v="0"/>
    <n v="0"/>
    <n v="0"/>
    <n v="120"/>
    <n v="0"/>
    <n v="0"/>
    <n v="1609"/>
    <n v="0"/>
  </r>
  <r>
    <x v="0"/>
    <x v="5"/>
    <x v="0"/>
    <s v="3800106"/>
    <n v="742030"/>
    <s v="Freight-Courier"/>
    <s v="Emergency Services"/>
    <x v="0"/>
    <m/>
    <n v="0"/>
    <n v="0"/>
    <n v="0"/>
    <n v="0"/>
    <n v="0"/>
    <n v="0"/>
    <n v="0"/>
    <n v="0"/>
    <n v="0"/>
    <n v="0"/>
    <n v="0"/>
    <n v="230.98"/>
    <n v="230.98"/>
    <n v="-230.98"/>
  </r>
  <r>
    <x v="0"/>
    <x v="5"/>
    <x v="0"/>
    <s v="3800106"/>
    <n v="743030"/>
    <s v="Subscriptions--Institutional"/>
    <s v="Emergency Services"/>
    <x v="0"/>
    <m/>
    <n v="0"/>
    <n v="0"/>
    <n v="0"/>
    <n v="0"/>
    <n v="0"/>
    <n v="0"/>
    <n v="0"/>
    <n v="0"/>
    <n v="0"/>
    <n v="0"/>
    <n v="250.5"/>
    <n v="0"/>
    <n v="250.5"/>
    <n v="250.5"/>
  </r>
  <r>
    <x v="0"/>
    <x v="5"/>
    <x v="0"/>
    <s v="3800106"/>
    <n v="749510"/>
    <s v="Miscellaneous Expenses"/>
    <s v="Emergency Services"/>
    <x v="0"/>
    <m/>
    <n v="16"/>
    <n v="504"/>
    <n v="-520"/>
    <n v="0"/>
    <n v="0"/>
    <n v="651"/>
    <n v="1.86"/>
    <n v="0"/>
    <n v="0"/>
    <n v="-501"/>
    <n v="0"/>
    <n v="69.31"/>
    <n v="221.17000000000002"/>
    <n v="-69.31"/>
  </r>
  <r>
    <x v="0"/>
    <x v="5"/>
    <x v="0"/>
    <s v="3800106"/>
    <n v="749530"/>
    <s v="Travel"/>
    <s v="Emergency Services"/>
    <x v="0"/>
    <m/>
    <n v="0"/>
    <n v="16"/>
    <n v="0"/>
    <n v="517.04"/>
    <n v="0"/>
    <n v="0"/>
    <n v="0"/>
    <n v="0"/>
    <n v="0"/>
    <n v="36"/>
    <n v="0"/>
    <n v="0"/>
    <n v="569.04"/>
    <n v="0"/>
  </r>
  <r>
    <x v="0"/>
    <x v="5"/>
    <x v="0"/>
    <s v="3800106"/>
    <n v="749530"/>
    <s v="Mileage"/>
    <s v="Emergency Services"/>
    <x v="0"/>
    <n v="1001"/>
    <n v="0"/>
    <n v="0"/>
    <n v="0"/>
    <n v="27.25"/>
    <n v="0"/>
    <n v="0"/>
    <n v="0"/>
    <n v="0"/>
    <n v="0"/>
    <n v="479.08"/>
    <n v="0"/>
    <n v="0"/>
    <n v="506.33"/>
    <n v="0"/>
  </r>
  <r>
    <x v="18"/>
    <x v="6"/>
    <x v="0"/>
    <s v="3800107"/>
    <n v="400010"/>
    <s v="Acute I/P Svcs Rev--Medicare"/>
    <s v="Emergency-Bremerton"/>
    <x v="0"/>
    <n v="1100"/>
    <n v="-2700426.25"/>
    <n v="-2373027.4700000002"/>
    <n v="-2262974.5499999998"/>
    <n v="-2312657.6800000002"/>
    <n v="-2373879.4300000002"/>
    <n v="-2376533.7200000002"/>
    <n v="-2826567.51"/>
    <n v="-2537101.65"/>
    <n v="-2765495.21"/>
    <n v="-2319504.75"/>
    <n v="-2658505"/>
    <n v="-2273062.56"/>
    <n v="-29779735.779999997"/>
    <n v="-385442.43999999994"/>
  </r>
  <r>
    <x v="18"/>
    <x v="6"/>
    <x v="0"/>
    <s v="3800107"/>
    <n v="400010"/>
    <s v="Acute I/P Svcs Rev--Medicaid"/>
    <s v="Emergency-Bremerton"/>
    <x v="0"/>
    <n v="1200"/>
    <n v="-538850.41"/>
    <n v="-681399"/>
    <n v="-495877.37"/>
    <n v="-471056.55"/>
    <n v="-529043.55000000005"/>
    <n v="-560867.07999999996"/>
    <n v="-595118.81000000006"/>
    <n v="-659475.55000000005"/>
    <n v="-629955.55000000005"/>
    <n v="-531146.6"/>
    <n v="-530709.93000000005"/>
    <n v="-618858.23"/>
    <n v="-6842358.629999999"/>
    <n v="88148.29999999993"/>
  </r>
  <r>
    <x v="18"/>
    <x v="6"/>
    <x v="0"/>
    <s v="3800107"/>
    <n v="400010"/>
    <s v="Acute I/P Svcs Rev--Comm Insurance"/>
    <s v="Emergency-Bremerton"/>
    <x v="0"/>
    <n v="1300"/>
    <n v="11667.61"/>
    <n v="-1971.37"/>
    <n v="-15804.14"/>
    <n v="-8640.99"/>
    <n v="-41102.26"/>
    <n v="-30290.63"/>
    <n v="-31178.07"/>
    <n v="-39958.620000000003"/>
    <n v="-33853.94"/>
    <n v="-71174.84"/>
    <n v="-55070.3"/>
    <n v="8246.15"/>
    <n v="-309131.39999999997"/>
    <n v="-63316.450000000004"/>
  </r>
  <r>
    <x v="18"/>
    <x v="6"/>
    <x v="0"/>
    <s v="3800107"/>
    <n v="400010"/>
    <s v="Acute I/P Svcs Rev--BCBS Comm"/>
    <s v="Emergency-Bremerton"/>
    <x v="0"/>
    <n v="1301"/>
    <n v="-127349.68"/>
    <n v="-137828.65"/>
    <n v="-121910.13"/>
    <n v="-116624.52"/>
    <n v="-151229.57999999999"/>
    <n v="-90587.01"/>
    <n v="-177625.24"/>
    <n v="-111103.57"/>
    <n v="-107931.09"/>
    <n v="-189177.41"/>
    <n v="-179660.62"/>
    <n v="-129779.39"/>
    <n v="-1640806.89"/>
    <n v="-49881.229999999996"/>
  </r>
  <r>
    <x v="18"/>
    <x v="6"/>
    <x v="0"/>
    <s v="3800107"/>
    <n v="400010"/>
    <s v="Acute I/P Svcs Rev--Managed Care"/>
    <s v="Emergency-Bremerton"/>
    <x v="0"/>
    <n v="1400"/>
    <n v="-234460.31"/>
    <n v="-229849.05"/>
    <n v="-188926.29"/>
    <n v="-251542.63"/>
    <n v="-223558.14"/>
    <n v="-218818.27"/>
    <n v="-224582.83"/>
    <n v="-285148.78000000003"/>
    <n v="-298987.71999999997"/>
    <n v="-214105.99"/>
    <n v="-304281.53000000003"/>
    <n v="-255058.83"/>
    <n v="-2929320.37"/>
    <n v="-49222.700000000041"/>
  </r>
  <r>
    <x v="18"/>
    <x v="6"/>
    <x v="0"/>
    <s v="3800107"/>
    <n v="400010"/>
    <s v="Acute I/P Svcs Rev--Self Pay"/>
    <s v="Emergency-Bremerton"/>
    <x v="0"/>
    <n v="1500"/>
    <n v="-11875.77"/>
    <n v="-21785.360000000001"/>
    <n v="-39696.089999999997"/>
    <n v="-26155.94"/>
    <n v="-19385.650000000001"/>
    <n v="-53842.57"/>
    <n v="-41481.730000000003"/>
    <n v="-46656.61"/>
    <n v="-6293.88"/>
    <n v="-17941.91"/>
    <n v="-60641.13"/>
    <n v="-74342.45"/>
    <n v="-420099.09"/>
    <n v="13701.32"/>
  </r>
  <r>
    <x v="18"/>
    <x v="6"/>
    <x v="0"/>
    <s v="3800107"/>
    <n v="400010"/>
    <s v="Acute I/P Svcs Rev--Other"/>
    <s v="Emergency-Bremerton"/>
    <x v="0"/>
    <n v="1700"/>
    <n v="-212340.51"/>
    <n v="-193772.91"/>
    <n v="-169811.71"/>
    <n v="-138337.12"/>
    <n v="-152878.47"/>
    <n v="-128554.76"/>
    <n v="-174020"/>
    <n v="-142339.67000000001"/>
    <n v="-164493.31"/>
    <n v="-121452.46"/>
    <n v="-195173.65"/>
    <n v="-112853.12"/>
    <n v="-1906027.69"/>
    <n v="-82320.53"/>
  </r>
  <r>
    <x v="19"/>
    <x v="6"/>
    <x v="0"/>
    <s v="3800107"/>
    <n v="400020"/>
    <s v="O/P Care Svcs Rev--Medicare"/>
    <s v="Emergency-Bremerton"/>
    <x v="0"/>
    <n v="1100"/>
    <n v="-3567513.21"/>
    <n v="-3721914.02"/>
    <n v="-3592018.54"/>
    <n v="-3793754.1"/>
    <n v="-3782919.6"/>
    <n v="-3807779.15"/>
    <n v="-3877676.7"/>
    <n v="-3286516.96"/>
    <n v="-4006567.88"/>
    <n v="-3598837.64"/>
    <n v="-3725727.43"/>
    <n v="-3731828.78"/>
    <n v="-44493054.009999998"/>
    <n v="6101.3499999996275"/>
  </r>
  <r>
    <x v="19"/>
    <x v="6"/>
    <x v="0"/>
    <s v="3800107"/>
    <n v="400020"/>
    <s v="O/P Care Svcs Rev--Medicaid"/>
    <s v="Emergency-Bremerton"/>
    <x v="0"/>
    <n v="1200"/>
    <n v="-3626184.54"/>
    <n v="-3663373.4"/>
    <n v="-3310459.56"/>
    <n v="-3483361.62"/>
    <n v="-3206213.25"/>
    <n v="-3406677.06"/>
    <n v="-3386116.37"/>
    <n v="-2937297.15"/>
    <n v="-3517041.7"/>
    <n v="-3422380.7"/>
    <n v="-3056860.18"/>
    <n v="-3176900.09"/>
    <n v="-40192865.620000005"/>
    <n v="120039.90999999968"/>
  </r>
  <r>
    <x v="19"/>
    <x v="6"/>
    <x v="0"/>
    <s v="3800107"/>
    <n v="400020"/>
    <s v="O/P Care Svcs Rev--Comm Insurance"/>
    <s v="Emergency-Bremerton"/>
    <x v="0"/>
    <n v="1300"/>
    <n v="-284820.52"/>
    <n v="-155505.25"/>
    <n v="-179995.99"/>
    <n v="-252618.87"/>
    <n v="-242610.94"/>
    <n v="-283413.88"/>
    <n v="-232208.88"/>
    <n v="-163370.04999999999"/>
    <n v="-177207.59"/>
    <n v="-310228.13"/>
    <n v="-302059.03000000003"/>
    <n v="-200889.71"/>
    <n v="-2784928.84"/>
    <n v="-101169.32000000004"/>
  </r>
  <r>
    <x v="19"/>
    <x v="6"/>
    <x v="0"/>
    <s v="3800107"/>
    <n v="400020"/>
    <s v="O/P Care Svcs Rev--BCBS Comm"/>
    <s v="Emergency-Bremerton"/>
    <x v="0"/>
    <n v="1301"/>
    <n v="-503925.41"/>
    <n v="-608417.74"/>
    <n v="-552379.66"/>
    <n v="-603436.92000000004"/>
    <n v="-551171.18000000005"/>
    <n v="-576919.81999999995"/>
    <n v="-744667.86"/>
    <n v="-716556.48"/>
    <n v="-618204.47"/>
    <n v="-656649.5"/>
    <n v="-623537.75"/>
    <n v="-530153.23"/>
    <n v="-7286020.0199999996"/>
    <n v="-93384.520000000019"/>
  </r>
  <r>
    <x v="19"/>
    <x v="6"/>
    <x v="0"/>
    <s v="3800107"/>
    <n v="400020"/>
    <s v="O/P Care Svcs Rev--Managed Care"/>
    <s v="Emergency-Bremerton"/>
    <x v="0"/>
    <n v="1400"/>
    <n v="-1362193.49"/>
    <n v="-1382424.69"/>
    <n v="-1344723"/>
    <n v="-1253588.7"/>
    <n v="-1350814.43"/>
    <n v="-1350067.49"/>
    <n v="-1253768.82"/>
    <n v="-1100502.4099999999"/>
    <n v="-1288424.5900000001"/>
    <n v="-1297190.26"/>
    <n v="-1358250.35"/>
    <n v="-1218192.6100000001"/>
    <n v="-15560140.839999998"/>
    <n v="-140057.74"/>
  </r>
  <r>
    <x v="19"/>
    <x v="6"/>
    <x v="0"/>
    <s v="3800107"/>
    <n v="400020"/>
    <s v="O/P Care Svcs Rev--Self Pay"/>
    <s v="Emergency-Bremerton"/>
    <x v="0"/>
    <n v="1500"/>
    <n v="-341705.16"/>
    <n v="-380105.53"/>
    <n v="-329631.94"/>
    <n v="-342031.84"/>
    <n v="-348738.39"/>
    <n v="-335297.49"/>
    <n v="-367413"/>
    <n v="-243124.64"/>
    <n v="-310880.24"/>
    <n v="-334534.65999999997"/>
    <n v="-367112"/>
    <n v="-364179.25"/>
    <n v="-4064754.1399999997"/>
    <n v="-2932.75"/>
  </r>
  <r>
    <x v="19"/>
    <x v="6"/>
    <x v="0"/>
    <s v="3800107"/>
    <n v="400020"/>
    <s v="O/P Care Svcs Rev--Other"/>
    <s v="Emergency-Bremerton"/>
    <x v="0"/>
    <n v="1700"/>
    <n v="-834803.25"/>
    <n v="-923076.89"/>
    <n v="-944285.73"/>
    <n v="-907705.29"/>
    <n v="-767060.16"/>
    <n v="-970407.61"/>
    <n v="-843476.58"/>
    <n v="-1044169.71"/>
    <n v="-1109242.5900000001"/>
    <n v="-975511.2"/>
    <n v="-1024498.98"/>
    <n v="-1069894.04"/>
    <n v="-11414132.030000001"/>
    <n v="45395.060000000056"/>
  </r>
  <r>
    <x v="20"/>
    <x v="6"/>
    <x v="0"/>
    <s v="3800107"/>
    <n v="610010"/>
    <s v="Foundation Distributions"/>
    <s v="Emergency-Bremerton"/>
    <x v="0"/>
    <n v="1175"/>
    <n v="0"/>
    <n v="0"/>
    <n v="-1399.44"/>
    <n v="0"/>
    <n v="0"/>
    <n v="0"/>
    <n v="0"/>
    <n v="0"/>
    <n v="0"/>
    <n v="-4440.08"/>
    <n v="0"/>
    <n v="0"/>
    <n v="-5839.52"/>
    <n v="0"/>
  </r>
  <r>
    <x v="5"/>
    <x v="6"/>
    <x v="0"/>
    <s v="3800107"/>
    <n v="700014"/>
    <s v="Salaries-Management-Productive"/>
    <s v="Emergency-Bremerton"/>
    <x v="0"/>
    <m/>
    <n v="18831.669999999998"/>
    <n v="20074.669999999998"/>
    <n v="14792.91"/>
    <n v="14238.55"/>
    <n v="10391.99"/>
    <n v="7711.42"/>
    <n v="19751.66"/>
    <n v="18690.439999999999"/>
    <n v="18564.400000000001"/>
    <n v="18117.009999999998"/>
    <n v="20693.12"/>
    <n v="11022.18"/>
    <n v="192880.02000000002"/>
    <n v="9670.9399999999987"/>
  </r>
  <r>
    <x v="5"/>
    <x v="6"/>
    <x v="0"/>
    <s v="3800107"/>
    <n v="700018"/>
    <s v="Salaries-Supervisory-Productive"/>
    <s v="Emergency-Bremerton"/>
    <x v="0"/>
    <m/>
    <n v="17125.169999999998"/>
    <n v="12763.38"/>
    <n v="19817.310000000001"/>
    <n v="19083.71"/>
    <n v="18567.7"/>
    <n v="12941.01"/>
    <n v="8070.86"/>
    <n v="5935.43"/>
    <n v="8330.4"/>
    <n v="7809.52"/>
    <n v="7015.83"/>
    <n v="5766.3"/>
    <n v="143226.62"/>
    <n v="1249.5299999999997"/>
  </r>
  <r>
    <x v="5"/>
    <x v="6"/>
    <x v="0"/>
    <s v="3800107"/>
    <n v="700026"/>
    <s v="Salaries-RN-Productive"/>
    <s v="Emergency-Bremerton"/>
    <x v="0"/>
    <m/>
    <n v="239823"/>
    <n v="235161.09"/>
    <n v="218704.16"/>
    <n v="209837.42"/>
    <n v="197426.47"/>
    <n v="207808.85"/>
    <n v="240744.3"/>
    <n v="208006.33"/>
    <n v="247870.96"/>
    <n v="236612.33"/>
    <n v="275287.74"/>
    <n v="236992.48"/>
    <n v="2754275.1300000004"/>
    <n v="38295.25999999998"/>
  </r>
  <r>
    <x v="5"/>
    <x v="6"/>
    <x v="0"/>
    <s v="3800107"/>
    <n v="700026"/>
    <s v="Salaries-RN-OT"/>
    <s v="Emergency-Bremerton"/>
    <x v="0"/>
    <n v="1000"/>
    <n v="16929.689999999999"/>
    <n v="19608.919999999998"/>
    <n v="22681.09"/>
    <n v="16727.82"/>
    <n v="18802.29"/>
    <n v="12325.26"/>
    <n v="22313.200000000001"/>
    <n v="21332.27"/>
    <n v="24319.66"/>
    <n v="23705.05"/>
    <n v="21841.82"/>
    <n v="22286.16"/>
    <n v="242873.22999999998"/>
    <n v="-444.34000000000015"/>
  </r>
  <r>
    <x v="5"/>
    <x v="6"/>
    <x v="0"/>
    <s v="3800107"/>
    <n v="700026"/>
    <s v="Salaries-RN-Other"/>
    <s v="Emergency-Bremerton"/>
    <x v="0"/>
    <n v="2000"/>
    <n v="28803.759999999998"/>
    <n v="27816.05"/>
    <n v="26963.53"/>
    <n v="24862.33"/>
    <n v="26737.599999999999"/>
    <n v="20490.78"/>
    <n v="27093.919999999998"/>
    <n v="22290.53"/>
    <n v="27333.17"/>
    <n v="27048.880000000001"/>
    <n v="29547.31"/>
    <n v="25961.06"/>
    <n v="314948.92"/>
    <n v="3586.25"/>
  </r>
  <r>
    <x v="5"/>
    <x v="6"/>
    <x v="0"/>
    <s v="3800107"/>
    <n v="700030"/>
    <s v="Salaries-LPN-Productive"/>
    <s v="Emergency-Bremerton"/>
    <x v="0"/>
    <m/>
    <n v="253.21"/>
    <n v="233.7"/>
    <n v="500"/>
    <n v="37.24"/>
    <n v="329"/>
    <n v="492.81"/>
    <n v="198.99"/>
    <n v="658.09"/>
    <n v="636.94000000000005"/>
    <n v="1318.2"/>
    <n v="2411.14"/>
    <n v="1584.17"/>
    <n v="8653.49"/>
    <n v="826.9699999999998"/>
  </r>
  <r>
    <x v="5"/>
    <x v="6"/>
    <x v="0"/>
    <s v="3800107"/>
    <n v="700030"/>
    <s v="Salaries-LPN-OT"/>
    <s v="Emergency-Bremerton"/>
    <x v="0"/>
    <n v="1000"/>
    <n v="26.59"/>
    <n v="-4.6900000000000004"/>
    <n v="0"/>
    <n v="0"/>
    <n v="0"/>
    <n v="0"/>
    <n v="29.7"/>
    <n v="55.88"/>
    <n v="-14.56"/>
    <n v="89.62"/>
    <n v="-37.33"/>
    <n v="160.81"/>
    <n v="306.02"/>
    <n v="-198.14"/>
  </r>
  <r>
    <x v="5"/>
    <x v="6"/>
    <x v="0"/>
    <s v="3800107"/>
    <n v="700030"/>
    <s v="Salaries-LPN-Other"/>
    <s v="Emergency-Bremerton"/>
    <x v="0"/>
    <n v="2000"/>
    <n v="11.05"/>
    <n v="-0.36"/>
    <n v="28.36"/>
    <n v="-5.86"/>
    <n v="24"/>
    <n v="15.27"/>
    <n v="1.24"/>
    <n v="6.28"/>
    <n v="25.29"/>
    <n v="50.46"/>
    <n v="14.72"/>
    <n v="82.39"/>
    <n v="252.83999999999997"/>
    <n v="-67.67"/>
  </r>
  <r>
    <x v="5"/>
    <x v="6"/>
    <x v="0"/>
    <s v="3800107"/>
    <n v="700032"/>
    <s v="Salaries-Other Pat Care Providers-Productive"/>
    <s v="Emergency-Bremerton"/>
    <x v="0"/>
    <m/>
    <n v="79126.100000000006"/>
    <n v="67398.23"/>
    <n v="67286.789999999994"/>
    <n v="70771.89"/>
    <n v="69735.89"/>
    <n v="71238.91"/>
    <n v="69203.839999999997"/>
    <n v="47279.05"/>
    <n v="59871.21"/>
    <n v="71204.27"/>
    <n v="75957.09"/>
    <n v="71867.28"/>
    <n v="820940.55"/>
    <n v="4089.8099999999977"/>
  </r>
  <r>
    <x v="5"/>
    <x v="6"/>
    <x v="0"/>
    <s v="3800107"/>
    <n v="700032"/>
    <s v="Salaries-Other Pat Care Providers-OT"/>
    <s v="Emergency-Bremerton"/>
    <x v="0"/>
    <n v="1000"/>
    <n v="10542.01"/>
    <n v="4177.33"/>
    <n v="4143.6499999999996"/>
    <n v="7083.6"/>
    <n v="7469.13"/>
    <n v="4445.04"/>
    <n v="6629.15"/>
    <n v="6405.19"/>
    <n v="5735.25"/>
    <n v="4983.68"/>
    <n v="5212.97"/>
    <n v="7160.35"/>
    <n v="73987.350000000006"/>
    <n v="-1947.38"/>
  </r>
  <r>
    <x v="5"/>
    <x v="6"/>
    <x v="0"/>
    <s v="3800107"/>
    <n v="700032"/>
    <s v="Salaries-Other Pat Care Providers-Other"/>
    <s v="Emergency-Bremerton"/>
    <x v="0"/>
    <n v="2000"/>
    <n v="9655.2900000000009"/>
    <n v="7788.38"/>
    <n v="7521.2"/>
    <n v="7829.67"/>
    <n v="7871.91"/>
    <n v="6958.43"/>
    <n v="8106.5"/>
    <n v="5500.36"/>
    <n v="7365.13"/>
    <n v="7106.95"/>
    <n v="8116.96"/>
    <n v="7397.41"/>
    <n v="91218.19"/>
    <n v="719.55000000000018"/>
  </r>
  <r>
    <x v="5"/>
    <x v="6"/>
    <x v="0"/>
    <s v="3800107"/>
    <n v="700038"/>
    <s v="Salaries-Service/Support-Productive"/>
    <s v="Emergency-Bremerton"/>
    <x v="0"/>
    <m/>
    <n v="4873.67"/>
    <n v="3667.33"/>
    <n v="5549.34"/>
    <n v="5444.73"/>
    <n v="4422.55"/>
    <n v="4243.1499999999996"/>
    <n v="2806.26"/>
    <n v="1783.94"/>
    <n v="8706.7199999999993"/>
    <n v="8658.0400000000009"/>
    <n v="8985.7999999999993"/>
    <n v="7774.72"/>
    <n v="66916.25"/>
    <n v="1211.079999999999"/>
  </r>
  <r>
    <x v="5"/>
    <x v="6"/>
    <x v="0"/>
    <s v="3800107"/>
    <n v="700038"/>
    <s v="Salaries-Service/Support-OT"/>
    <s v="Emergency-Bremerton"/>
    <x v="0"/>
    <n v="1000"/>
    <n v="30.16"/>
    <n v="-5.32"/>
    <n v="0"/>
    <n v="0"/>
    <n v="0"/>
    <n v="0"/>
    <n v="0"/>
    <n v="0"/>
    <n v="32.78"/>
    <n v="156.63"/>
    <n v="13.67"/>
    <n v="277.25"/>
    <n v="505.16999999999996"/>
    <n v="-263.58"/>
  </r>
  <r>
    <x v="5"/>
    <x v="6"/>
    <x v="0"/>
    <s v="3800107"/>
    <n v="700038"/>
    <s v="Salaries-Service/Support-Other"/>
    <s v="Emergency-Bremerton"/>
    <x v="0"/>
    <n v="2000"/>
    <n v="0"/>
    <n v="16.149999999999999"/>
    <n v="27.68"/>
    <n v="0"/>
    <n v="0"/>
    <n v="0"/>
    <n v="0"/>
    <n v="9.93"/>
    <n v="51.47"/>
    <n v="0"/>
    <n v="0"/>
    <n v="12.02"/>
    <n v="117.24999999999999"/>
    <n v="-12.02"/>
  </r>
  <r>
    <x v="5"/>
    <x v="6"/>
    <x v="0"/>
    <s v="3800107"/>
    <n v="700054"/>
    <s v="Salaries-Management-Non-productive"/>
    <s v="Emergency-Bremerton"/>
    <x v="0"/>
    <m/>
    <n v="1242.08"/>
    <n v="621.04"/>
    <n v="4634.4399999999996"/>
    <n v="6310.4"/>
    <n v="9603.59"/>
    <n v="13677.09"/>
    <n v="1488.7"/>
    <n v="863.07"/>
    <n v="1901.62"/>
    <n v="1907.92"/>
    <n v="0"/>
    <n v="2916.67"/>
    <n v="45166.619999999995"/>
    <n v="-2916.67"/>
  </r>
  <r>
    <x v="5"/>
    <x v="6"/>
    <x v="0"/>
    <s v="3800107"/>
    <n v="700054"/>
    <s v="Salaries-Management-NonProd-Other"/>
    <s v="Emergency-Bremerton"/>
    <x v="0"/>
    <n v="2000"/>
    <n v="0"/>
    <n v="0"/>
    <n v="0"/>
    <n v="0"/>
    <n v="296.49"/>
    <n v="3224.37"/>
    <n v="-3224.37"/>
    <n v="-296.49"/>
    <n v="0"/>
    <n v="0"/>
    <n v="0"/>
    <n v="0"/>
    <n v="-2.2737367544323206E-13"/>
    <n v="0"/>
  </r>
  <r>
    <x v="5"/>
    <x v="6"/>
    <x v="0"/>
    <s v="3800107"/>
    <n v="700058"/>
    <s v="Salaries-Supervisory-Non-productive"/>
    <s v="Emergency-Bremerton"/>
    <x v="0"/>
    <m/>
    <n v="350.8"/>
    <n v="5011.17"/>
    <n v="-1503.17"/>
    <n v="0"/>
    <n v="0"/>
    <n v="0"/>
    <n v="0"/>
    <n v="1353.65"/>
    <n v="-260.29000000000002"/>
    <n v="0"/>
    <n v="1054.26"/>
    <n v="2043.6"/>
    <n v="8050.02"/>
    <n v="-989.33999999999992"/>
  </r>
  <r>
    <x v="5"/>
    <x v="6"/>
    <x v="0"/>
    <s v="3800107"/>
    <n v="700058"/>
    <s v="Salaries-Supervisory-NonProd-Other"/>
    <s v="Emergency-Bremert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800107"/>
    <n v="700066"/>
    <s v="Salaries-RN-Non-productive"/>
    <s v="Emergency-Bremerton"/>
    <x v="0"/>
    <m/>
    <n v="39213.120000000003"/>
    <n v="43350.54"/>
    <n v="25252.79"/>
    <n v="32041.97"/>
    <n v="47269.919999999998"/>
    <n v="33215.660000000003"/>
    <n v="31955.55"/>
    <n v="12000.77"/>
    <n v="33544.699999999997"/>
    <n v="37994.120000000003"/>
    <n v="29496.62"/>
    <n v="36591.480000000003"/>
    <n v="401927.24"/>
    <n v="-7094.8600000000042"/>
  </r>
  <r>
    <x v="5"/>
    <x v="6"/>
    <x v="0"/>
    <s v="3800107"/>
    <n v="700066"/>
    <s v="Salaries-RN-NonProd-Other"/>
    <s v="Emergency-Bremerton"/>
    <x v="0"/>
    <n v="2000"/>
    <n v="1793"/>
    <n v="3063.65"/>
    <n v="1876.94"/>
    <n v="1871.91"/>
    <n v="5639.18"/>
    <n v="3959.5"/>
    <n v="1638.81"/>
    <n v="-2997.5"/>
    <n v="1557.54"/>
    <n v="2694.71"/>
    <n v="1226.4000000000001"/>
    <n v="1855.87"/>
    <n v="24180.010000000002"/>
    <n v="-629.4699999999998"/>
  </r>
  <r>
    <x v="5"/>
    <x v="6"/>
    <x v="0"/>
    <s v="3800107"/>
    <n v="700072"/>
    <s v="Salaries-Other Pat Care Providers-Non-productive"/>
    <s v="Emergency-Bremerton"/>
    <x v="0"/>
    <m/>
    <n v="12519.56"/>
    <n v="14682.7"/>
    <n v="7565.63"/>
    <n v="5227.8900000000003"/>
    <n v="6189.27"/>
    <n v="15717.91"/>
    <n v="10724.89"/>
    <n v="6495.69"/>
    <n v="11188.74"/>
    <n v="10458.459999999999"/>
    <n v="9270.81"/>
    <n v="10876.12"/>
    <n v="120917.67000000001"/>
    <n v="-1605.3100000000013"/>
  </r>
  <r>
    <x v="5"/>
    <x v="6"/>
    <x v="0"/>
    <s v="3800107"/>
    <n v="700072"/>
    <s v="Salaries-Other Pat Care Providers-NonProd-Other"/>
    <s v="Emergency-Bremerton"/>
    <x v="0"/>
    <n v="2000"/>
    <n v="1130.28"/>
    <n v="1172.02"/>
    <n v="412.54"/>
    <n v="434.3"/>
    <n v="614.48"/>
    <n v="944.14"/>
    <n v="725.61"/>
    <n v="89.04"/>
    <n v="752.81"/>
    <n v="446.43"/>
    <n v="617.32000000000005"/>
    <n v="685.91"/>
    <n v="8024.8799999999992"/>
    <n v="-68.589999999999918"/>
  </r>
  <r>
    <x v="5"/>
    <x v="6"/>
    <x v="0"/>
    <s v="3800107"/>
    <n v="700078"/>
    <s v="Salaries-Service/Support-Non-productive"/>
    <s v="Emergency-Bremerton"/>
    <x v="0"/>
    <m/>
    <n v="965.64"/>
    <n v="2654.15"/>
    <n v="655.21"/>
    <n v="1364.1"/>
    <n v="1409.99"/>
    <n v="3049.69"/>
    <n v="5094.0200000000004"/>
    <n v="6433.02"/>
    <n v="542.19000000000005"/>
    <n v="733.95"/>
    <n v="1048.25"/>
    <n v="925"/>
    <n v="24875.21"/>
    <n v="123.25"/>
  </r>
  <r>
    <x v="5"/>
    <x v="6"/>
    <x v="0"/>
    <s v="3800107"/>
    <n v="700084"/>
    <s v="Accrued PTO"/>
    <s v="Emergency-Bremerton"/>
    <x v="0"/>
    <m/>
    <n v="-1580.36"/>
    <n v="-15503.1"/>
    <n v="-2697.76"/>
    <n v="16131.48"/>
    <n v="6196.83"/>
    <n v="-13324.18"/>
    <n v="17331.63"/>
    <n v="19772.900000000001"/>
    <n v="10234.18"/>
    <n v="8056.4"/>
    <n v="18421.03"/>
    <n v="10845.18"/>
    <n v="73884.23000000001"/>
    <n v="7575.8499999999985"/>
  </r>
  <r>
    <x v="10"/>
    <x v="6"/>
    <x v="0"/>
    <s v="3800107"/>
    <n v="710060"/>
    <s v="Contract Labor-Other"/>
    <s v="Emergency-Bremerton"/>
    <x v="0"/>
    <m/>
    <n v="137599.51999999999"/>
    <n v="97074.51"/>
    <n v="54197.7"/>
    <n v="162826.32"/>
    <n v="165453.88"/>
    <n v="168794.53"/>
    <n v="128915"/>
    <n v="154624.32999999999"/>
    <n v="116416"/>
    <n v="98709.1"/>
    <n v="127090.21"/>
    <n v="68801.13"/>
    <n v="1480502.23"/>
    <n v="58289.08"/>
  </r>
  <r>
    <x v="10"/>
    <x v="6"/>
    <x v="0"/>
    <s v="3800107"/>
    <n v="710060"/>
    <s v="Contract Labor-Overtime"/>
    <s v="Emergency-Bremerton"/>
    <x v="0"/>
    <n v="5100"/>
    <n v="17852.060000000001"/>
    <n v="9640.98"/>
    <n v="3427.8"/>
    <n v="13094.89"/>
    <n v="5727.03"/>
    <n v="5663.07"/>
    <n v="22600.09"/>
    <n v="4670.43"/>
    <n v="4073.63"/>
    <n v="3666.27"/>
    <n v="2859.52"/>
    <n v="5655.14"/>
    <n v="98930.910000000018"/>
    <n v="-2795.6200000000003"/>
  </r>
  <r>
    <x v="10"/>
    <x v="6"/>
    <x v="0"/>
    <s v="3800107"/>
    <n v="710060"/>
    <s v="Contract Labor-Standby Wages"/>
    <s v="Emergency-Bremerton"/>
    <x v="0"/>
    <n v="5101"/>
    <n v="0"/>
    <n v="0"/>
    <n v="0"/>
    <n v="0"/>
    <n v="0"/>
    <n v="0"/>
    <n v="575.1"/>
    <n v="-575.1"/>
    <n v="0"/>
    <n v="0"/>
    <n v="0"/>
    <n v="0"/>
    <n v="0"/>
    <n v="0"/>
  </r>
  <r>
    <x v="6"/>
    <x v="6"/>
    <x v="0"/>
    <s v="3800107"/>
    <n v="713010"/>
    <s v="Benefits-FICA/Medicare"/>
    <s v="Emergency-Bremerton"/>
    <x v="0"/>
    <m/>
    <n v="36366.910000000003"/>
    <n v="35467.4"/>
    <n v="31475.87"/>
    <n v="30308.55"/>
    <n v="32178.02"/>
    <n v="30782.85"/>
    <n v="34224.620000000003"/>
    <n v="27425.5"/>
    <n v="34096.120000000003"/>
    <n v="36108.28"/>
    <n v="36932.6"/>
    <n v="35458.720000000001"/>
    <n v="400825.43999999994"/>
    <n v="1473.8799999999974"/>
  </r>
  <r>
    <x v="6"/>
    <x v="6"/>
    <x v="0"/>
    <s v="3800107"/>
    <n v="713090"/>
    <s v="Benefits-Allocated Amounts"/>
    <s v="Emergency-Bremerton"/>
    <x v="0"/>
    <m/>
    <n v="79966.720000000001"/>
    <n v="68234.429999999993"/>
    <n v="68462.039999999994"/>
    <n v="68894.27"/>
    <n v="79790.75"/>
    <n v="70980.58"/>
    <n v="77705.960000000006"/>
    <n v="65460.5"/>
    <n v="64006.34"/>
    <n v="85313.64"/>
    <n v="84610.9"/>
    <n v="90863.57"/>
    <n v="904289.7"/>
    <n v="-6252.6700000000128"/>
  </r>
  <r>
    <x v="6"/>
    <x v="6"/>
    <x v="0"/>
    <s v="3800107"/>
    <n v="713096"/>
    <s v="Employee Recognition"/>
    <s v="Emergency-Bremerton"/>
    <x v="0"/>
    <n v="1017"/>
    <n v="89.14"/>
    <n v="0"/>
    <n v="0"/>
    <n v="0"/>
    <n v="0"/>
    <n v="0"/>
    <n v="0"/>
    <n v="0"/>
    <n v="6629.81"/>
    <n v="517.74"/>
    <n v="0"/>
    <n v="0"/>
    <n v="7236.6900000000005"/>
    <n v="0"/>
  </r>
  <r>
    <x v="17"/>
    <x v="6"/>
    <x v="0"/>
    <s v="3800107"/>
    <n v="714510"/>
    <s v="Medical Director Fees"/>
    <s v="Emergency-Bremerton"/>
    <x v="0"/>
    <m/>
    <n v="0"/>
    <n v="19840"/>
    <n v="0"/>
    <n v="27315.200000000001"/>
    <n v="12321.6"/>
    <n v="10096"/>
    <n v="10508.8"/>
    <n v="0"/>
    <n v="23107.200000000001"/>
    <n v="12249.6"/>
    <n v="11200"/>
    <n v="13440"/>
    <n v="140078.39999999999"/>
    <n v="-2240"/>
  </r>
  <r>
    <x v="17"/>
    <x v="6"/>
    <x v="0"/>
    <s v="3800107"/>
    <n v="714520"/>
    <s v="Other Contracted Professionals"/>
    <s v="Emergency-Bremerton"/>
    <x v="0"/>
    <m/>
    <n v="136192.48000000001"/>
    <n v="247676.96"/>
    <n v="234972.69"/>
    <n v="254739.38"/>
    <n v="185537.01"/>
    <n v="155437.51999999999"/>
    <n v="410390.3"/>
    <n v="176835.66"/>
    <n v="282744.82"/>
    <n v="251675.86"/>
    <n v="414526.57"/>
    <n v="682080.94"/>
    <n v="3432810.19"/>
    <n v="-267554.36999999994"/>
  </r>
  <r>
    <x v="17"/>
    <x v="6"/>
    <x v="0"/>
    <s v="3800107"/>
    <n v="714530"/>
    <s v="Medical Prof Fees-Intracompany"/>
    <s v="Emergency-Bremerton"/>
    <x v="0"/>
    <m/>
    <n v="36466.19"/>
    <n v="15602.14"/>
    <n v="39635.160000000003"/>
    <n v="31137.64"/>
    <n v="11120.99"/>
    <n v="35528.959999999999"/>
    <n v="60826.14"/>
    <n v="35975.449999999997"/>
    <n v="35243.51"/>
    <n v="32011.040000000001"/>
    <n v="43066.5"/>
    <n v="55545.98"/>
    <n v="432159.69999999995"/>
    <n v="-12479.480000000003"/>
  </r>
  <r>
    <x v="7"/>
    <x v="6"/>
    <x v="0"/>
    <s v="3800107"/>
    <n v="718050"/>
    <s v="Contract Svcs-Other"/>
    <s v="Emergency-Bremerton"/>
    <x v="0"/>
    <m/>
    <n v="0"/>
    <n v="0"/>
    <n v="0"/>
    <n v="0"/>
    <n v="1019.36"/>
    <n v="515.20000000000005"/>
    <n v="0"/>
    <n v="0"/>
    <n v="0"/>
    <n v="250"/>
    <n v="0"/>
    <n v="50431.72"/>
    <n v="52216.28"/>
    <n v="-50431.72"/>
  </r>
  <r>
    <x v="7"/>
    <x v="6"/>
    <x v="0"/>
    <s v="3800107"/>
    <n v="718050"/>
    <s v="Miscellaneous Purchased Svcs"/>
    <s v="Emergency-Bremerton"/>
    <x v="0"/>
    <n v="1020"/>
    <n v="0"/>
    <n v="0"/>
    <n v="5253"/>
    <n v="693.24"/>
    <n v="0"/>
    <n v="3000"/>
    <n v="3000"/>
    <n v="0"/>
    <n v="0"/>
    <n v="3000"/>
    <n v="0"/>
    <n v="0"/>
    <n v="14946.24"/>
    <n v="0"/>
  </r>
  <r>
    <x v="7"/>
    <x v="6"/>
    <x v="0"/>
    <s v="3800107"/>
    <n v="718050"/>
    <s v="Contract Management--Linen"/>
    <s v="Emergency-Bremerton"/>
    <x v="0"/>
    <n v="1026"/>
    <n v="16600.02"/>
    <n v="16910.97"/>
    <n v="21957"/>
    <n v="17961.54"/>
    <n v="19883.310000000001"/>
    <n v="25031.63"/>
    <n v="19172.71"/>
    <n v="21793.17"/>
    <n v="18329.169999999998"/>
    <n v="19854.98"/>
    <n v="17315.22"/>
    <n v="24047.33"/>
    <n v="238857.05"/>
    <n v="-6732.1100000000006"/>
  </r>
  <r>
    <x v="7"/>
    <x v="6"/>
    <x v="0"/>
    <s v="3800107"/>
    <n v="718070"/>
    <s v="Contract Srvcs-CHI Clinical Engineering"/>
    <s v="Emergency-Bremerton"/>
    <x v="0"/>
    <m/>
    <n v="557.73"/>
    <n v="557.73"/>
    <n v="523.52"/>
    <n v="557.98"/>
    <n v="727.05"/>
    <n v="683.3"/>
    <n v="716.05"/>
    <n v="656.43"/>
    <n v="714.87"/>
    <n v="714.87"/>
    <n v="712.18"/>
    <n v="714.1"/>
    <n v="7835.8100000000013"/>
    <n v="-1.9200000000000728"/>
  </r>
  <r>
    <x v="11"/>
    <x v="6"/>
    <x v="0"/>
    <s v="3800107"/>
    <n v="721010"/>
    <s v="Supplies-Medical - Billable"/>
    <s v="Emergency-Bremerton"/>
    <x v="0"/>
    <m/>
    <n v="9193.7099999999991"/>
    <n v="11413.41"/>
    <n v="8225.32"/>
    <n v="9570.7800000000007"/>
    <n v="8859.57"/>
    <n v="11267.65"/>
    <n v="12125.84"/>
    <n v="9053.0499999999993"/>
    <n v="9858.27"/>
    <n v="9886.85"/>
    <n v="11547.2"/>
    <n v="12750.06"/>
    <n v="123751.71"/>
    <n v="-1202.8599999999988"/>
  </r>
  <r>
    <x v="11"/>
    <x v="6"/>
    <x v="0"/>
    <s v="3800107"/>
    <n v="721010"/>
    <s v="Patient Monitoring"/>
    <s v="Emergency-Bremerton"/>
    <x v="0"/>
    <n v="1000"/>
    <n v="6511.03"/>
    <n v="3789.95"/>
    <n v="2337.83"/>
    <n v="3509.12"/>
    <n v="3169.7"/>
    <n v="3317.83"/>
    <n v="3741.04"/>
    <n v="3878.82"/>
    <n v="3427.83"/>
    <n v="3240.89"/>
    <n v="3833.76"/>
    <n v="3367.78"/>
    <n v="44125.58"/>
    <n v="465.98"/>
  </r>
  <r>
    <x v="11"/>
    <x v="6"/>
    <x v="0"/>
    <s v="3800107"/>
    <n v="721020"/>
    <s v="Supplies-Surgical - Billable"/>
    <s v="Emergency-Bremerton"/>
    <x v="0"/>
    <m/>
    <n v="198.04"/>
    <n v="69.87"/>
    <n v="75.489999999999995"/>
    <n v="34.94"/>
    <n v="35.4"/>
    <n v="89.64"/>
    <n v="36.229999999999997"/>
    <n v="36.44"/>
    <n v="100"/>
    <n v="408.61"/>
    <n v="973.69"/>
    <n v="84.19"/>
    <n v="2142.54"/>
    <n v="889.5"/>
  </r>
  <r>
    <x v="11"/>
    <x v="6"/>
    <x v="0"/>
    <s v="3800107"/>
    <n v="721020"/>
    <s v="Custom Packs"/>
    <s v="Emergency-Bremerton"/>
    <x v="0"/>
    <n v="1000"/>
    <n v="61.05"/>
    <n v="261.24"/>
    <n v="173.42"/>
    <n v="68.45"/>
    <n v="72.150000000000006"/>
    <n v="68.45"/>
    <n v="37"/>
    <n v="77.7"/>
    <n v="75.849999999999994"/>
    <n v="66.599999999999994"/>
    <n v="88.8"/>
    <n v="83.25"/>
    <n v="1133.9600000000003"/>
    <n v="5.5499999999999972"/>
  </r>
  <r>
    <x v="11"/>
    <x v="6"/>
    <x v="0"/>
    <s v="3800107"/>
    <n v="721020"/>
    <s v="Suture/Wound Closure"/>
    <s v="Emergency-Bremerton"/>
    <x v="0"/>
    <n v="1001"/>
    <n v="507.56"/>
    <n v="1670.09"/>
    <n v="1326.12"/>
    <n v="947.74"/>
    <n v="302.63"/>
    <n v="591.71"/>
    <n v="297.8"/>
    <n v="280.7"/>
    <n v="1465.84"/>
    <n v="502.71"/>
    <n v="319"/>
    <n v="580.77"/>
    <n v="8792.6700000000019"/>
    <n v="-261.77"/>
  </r>
  <r>
    <x v="11"/>
    <x v="6"/>
    <x v="0"/>
    <s v="3800107"/>
    <n v="721020"/>
    <s v="Endomechanical Supplies &amp; Instruments"/>
    <s v="Emergency-Bremerton"/>
    <x v="0"/>
    <n v="1003"/>
    <n v="0"/>
    <n v="0"/>
    <n v="0"/>
    <n v="0"/>
    <n v="0"/>
    <n v="0"/>
    <n v="12.3"/>
    <n v="0"/>
    <n v="0"/>
    <n v="0"/>
    <n v="0"/>
    <n v="0"/>
    <n v="12.3"/>
    <n v="0"/>
  </r>
  <r>
    <x v="11"/>
    <x v="6"/>
    <x v="0"/>
    <s v="3800107"/>
    <n v="721020"/>
    <s v="Urological Supplies"/>
    <s v="Emergency-Bremerton"/>
    <x v="0"/>
    <n v="1006"/>
    <n v="480.91"/>
    <n v="0"/>
    <n v="122.94"/>
    <n v="0"/>
    <n v="0"/>
    <n v="0"/>
    <n v="0"/>
    <n v="0"/>
    <n v="0"/>
    <n v="0"/>
    <n v="0"/>
    <n v="0"/>
    <n v="603.85"/>
    <n v="0"/>
  </r>
  <r>
    <x v="11"/>
    <x v="6"/>
    <x v="0"/>
    <s v="3800107"/>
    <n v="721020"/>
    <s v="Tubes Drains &amp; Related Supplies"/>
    <s v="Emergency-Bremerton"/>
    <x v="0"/>
    <n v="1008"/>
    <n v="0"/>
    <n v="0"/>
    <n v="140.4"/>
    <n v="0"/>
    <n v="234.96"/>
    <n v="0"/>
    <n v="20.58"/>
    <n v="93.6"/>
    <n v="46.8"/>
    <n v="0"/>
    <n v="0"/>
    <n v="0"/>
    <n v="536.33999999999992"/>
    <n v="0"/>
  </r>
  <r>
    <x v="11"/>
    <x v="6"/>
    <x v="0"/>
    <s v="3800107"/>
    <n v="721050"/>
    <s v="Supplies-Cardiac Rhythm - Billable"/>
    <s v="Emergency-Bremerton"/>
    <x v="0"/>
    <m/>
    <n v="395.91"/>
    <n v="0"/>
    <n v="0"/>
    <n v="217.46"/>
    <n v="-17.96"/>
    <n v="246.78"/>
    <n v="0"/>
    <n v="0"/>
    <n v="0"/>
    <n v="0"/>
    <n v="0"/>
    <n v="0"/>
    <n v="842.18999999999994"/>
    <n v="0"/>
  </r>
  <r>
    <x v="11"/>
    <x v="6"/>
    <x v="0"/>
    <s v="3800107"/>
    <n v="721050"/>
    <s v="Pacemakers - Internal"/>
    <s v="Emergency-Bremerton"/>
    <x v="0"/>
    <n v="1000"/>
    <n v="0"/>
    <n v="0"/>
    <n v="0"/>
    <n v="819"/>
    <n v="0"/>
    <n v="0"/>
    <n v="0"/>
    <n v="0"/>
    <n v="0"/>
    <n v="0"/>
    <n v="0"/>
    <n v="0"/>
    <n v="819"/>
    <n v="0"/>
  </r>
  <r>
    <x v="11"/>
    <x v="6"/>
    <x v="0"/>
    <s v="3800107"/>
    <n v="721240"/>
    <s v="Supplies-IV Solutions/Supplies - Billable"/>
    <s v="Emergency-Bremerton"/>
    <x v="0"/>
    <m/>
    <n v="19210.89"/>
    <n v="22577.88"/>
    <n v="16459.849999999999"/>
    <n v="17058.62"/>
    <n v="20310.47"/>
    <n v="18481.43"/>
    <n v="20420.63"/>
    <n v="20363.45"/>
    <n v="18839.8"/>
    <n v="18772.68"/>
    <n v="21976.02"/>
    <n v="18422.39"/>
    <n v="232894.11"/>
    <n v="3553.630000000001"/>
  </r>
  <r>
    <x v="11"/>
    <x v="6"/>
    <x v="0"/>
    <s v="3800107"/>
    <n v="721250"/>
    <s v="Supplies-Pharmacy Drugs - Billable"/>
    <s v="Emergency-Bremerton"/>
    <x v="0"/>
    <m/>
    <n v="0"/>
    <n v="0"/>
    <n v="0"/>
    <n v="0"/>
    <n v="0"/>
    <n v="0"/>
    <n v="0"/>
    <n v="0"/>
    <n v="0"/>
    <n v="0"/>
    <n v="141.28"/>
    <n v="0"/>
    <n v="141.28"/>
    <n v="141.28"/>
  </r>
  <r>
    <x v="11"/>
    <x v="6"/>
    <x v="0"/>
    <s v="3800107"/>
    <n v="721320"/>
    <s v="Supplies-Purchased Blood - Billable"/>
    <s v="Emergency-Bremerton"/>
    <x v="0"/>
    <m/>
    <n v="434.34"/>
    <n v="491.49"/>
    <n v="571.5"/>
    <n v="285.75"/>
    <n v="685.8"/>
    <n v="571.5"/>
    <n v="662.94"/>
    <n v="628.65"/>
    <n v="548.64"/>
    <n v="375.3"/>
    <n v="417"/>
    <n v="496.71"/>
    <n v="6169.6200000000008"/>
    <n v="-79.70999999999998"/>
  </r>
  <r>
    <x v="11"/>
    <x v="6"/>
    <x v="0"/>
    <s v="3800107"/>
    <n v="721350"/>
    <s v="Radiology Imaging - Contrast Media"/>
    <s v="Emergency-Bremerton"/>
    <x v="0"/>
    <n v="1000"/>
    <n v="0"/>
    <n v="0"/>
    <n v="0"/>
    <n v="0"/>
    <n v="70"/>
    <n v="0"/>
    <n v="0"/>
    <n v="0"/>
    <n v="0"/>
    <n v="0"/>
    <n v="0"/>
    <n v="0"/>
    <n v="70"/>
    <n v="0"/>
  </r>
  <r>
    <x v="11"/>
    <x v="6"/>
    <x v="0"/>
    <s v="3800107"/>
    <n v="721410"/>
    <s v="Supplies-Medical - Nonbillable"/>
    <s v="Emergency-Bremerton"/>
    <x v="0"/>
    <m/>
    <n v="29238.9"/>
    <n v="27850.91"/>
    <n v="25036.32"/>
    <n v="22267.040000000001"/>
    <n v="24255.22"/>
    <n v="28490.38"/>
    <n v="38374.25"/>
    <n v="28041.03"/>
    <n v="38287.64"/>
    <n v="24249.31"/>
    <n v="28518.06"/>
    <n v="26576.23"/>
    <n v="341185.29"/>
    <n v="1941.8300000000017"/>
  </r>
  <r>
    <x v="11"/>
    <x v="6"/>
    <x v="0"/>
    <s v="3800107"/>
    <n v="721410"/>
    <s v="Patient Monitoring"/>
    <s v="Emergency-Bremerton"/>
    <x v="0"/>
    <n v="1000"/>
    <n v="54.1"/>
    <n v="54.89"/>
    <n v="41.16"/>
    <n v="54.88"/>
    <n v="30.75"/>
    <n v="66.47"/>
    <n v="34.299999999999997"/>
    <n v="45.18"/>
    <n v="2085.9299999999998"/>
    <n v="56.74"/>
    <n v="47.03"/>
    <n v="44.46"/>
    <n v="2615.89"/>
    <n v="2.5700000000000003"/>
  </r>
  <r>
    <x v="11"/>
    <x v="6"/>
    <x v="0"/>
    <s v="3800107"/>
    <n v="721420"/>
    <s v="Supplies-Surgical Nonbillable"/>
    <s v="Emergency-Bremerton"/>
    <x v="0"/>
    <m/>
    <n v="269.48"/>
    <n v="1068.3499999999999"/>
    <n v="935.02"/>
    <n v="1225.96"/>
    <n v="1617.49"/>
    <n v="327.33"/>
    <n v="1313.62"/>
    <n v="900.29"/>
    <n v="957.58"/>
    <n v="955.58"/>
    <n v="114.23"/>
    <n v="722.39"/>
    <n v="10407.32"/>
    <n v="-608.16"/>
  </r>
  <r>
    <x v="11"/>
    <x v="6"/>
    <x v="0"/>
    <s v="3800107"/>
    <n v="721420"/>
    <s v="Tubes Drains &amp; Related Supplies"/>
    <s v="Emergency-Bremerton"/>
    <x v="0"/>
    <n v="1008"/>
    <n v="0"/>
    <n v="367"/>
    <n v="179.78"/>
    <n v="40.880000000000003"/>
    <n v="734"/>
    <n v="0"/>
    <n v="419"/>
    <n v="40.880000000000003"/>
    <n v="742"/>
    <n v="48"/>
    <n v="0"/>
    <n v="0"/>
    <n v="2571.54"/>
    <n v="0"/>
  </r>
  <r>
    <x v="11"/>
    <x v="6"/>
    <x v="0"/>
    <s v="3800107"/>
    <n v="721420"/>
    <s v="Sterilization Process Products"/>
    <s v="Emergency-Bremerton"/>
    <x v="0"/>
    <n v="1009"/>
    <n v="99.58"/>
    <n v="137.84"/>
    <n v="99.58"/>
    <n v="100.18"/>
    <n v="0"/>
    <n v="49.79"/>
    <n v="47.96"/>
    <n v="40.090000000000003"/>
    <n v="0"/>
    <n v="309.56"/>
    <n v="0"/>
    <n v="0"/>
    <n v="884.58000000000015"/>
    <n v="0"/>
  </r>
  <r>
    <x v="11"/>
    <x v="6"/>
    <x v="0"/>
    <s v="3800107"/>
    <n v="721610"/>
    <s v="Supplies-Anesthesia - Nonbillable"/>
    <s v="Emergency-Bremerton"/>
    <x v="0"/>
    <m/>
    <n v="1189.5"/>
    <n v="2159.13"/>
    <n v="469.61"/>
    <n v="705.48"/>
    <n v="552.98"/>
    <n v="1267.8699999999999"/>
    <n v="793.48"/>
    <n v="1677.07"/>
    <n v="641.32000000000005"/>
    <n v="1829.72"/>
    <n v="971.61"/>
    <n v="853.43"/>
    <n v="13111.2"/>
    <n v="118.18000000000006"/>
  </r>
  <r>
    <x v="11"/>
    <x v="6"/>
    <x v="0"/>
    <s v="3800107"/>
    <n v="721640"/>
    <s v="Supplies-IV Solutions/Supplies - Nonbillable"/>
    <s v="Emergency-Bremerton"/>
    <x v="0"/>
    <m/>
    <n v="7651.73"/>
    <n v="7811.62"/>
    <n v="7301.2"/>
    <n v="6514.53"/>
    <n v="7624.61"/>
    <n v="7280.74"/>
    <n v="9136.39"/>
    <n v="8988.89"/>
    <n v="10404.39"/>
    <n v="8329.86"/>
    <n v="8663.74"/>
    <n v="7905.31"/>
    <n v="97613.01"/>
    <n v="758.42999999999938"/>
  </r>
  <r>
    <x v="11"/>
    <x v="6"/>
    <x v="0"/>
    <s v="3800107"/>
    <n v="721650"/>
    <s v="Supplies-Pharmacy Drugs - Nonbillable"/>
    <s v="Emergency-Bremerton"/>
    <x v="0"/>
    <m/>
    <n v="16.850000000000001"/>
    <n v="32.46"/>
    <n v="341.88"/>
    <n v="27.73"/>
    <n v="7.29"/>
    <n v="82.86"/>
    <n v="123.83"/>
    <n v="19.309999999999999"/>
    <n v="400.86"/>
    <n v="76.98"/>
    <n v="37.31"/>
    <n v="409.06"/>
    <n v="1576.42"/>
    <n v="-371.75"/>
  </r>
  <r>
    <x v="11"/>
    <x v="6"/>
    <x v="0"/>
    <s v="3800107"/>
    <n v="721710"/>
    <s v="Supplies-Laboratory - Nonbillable"/>
    <s v="Emergency-Bremerton"/>
    <x v="0"/>
    <m/>
    <n v="7016.41"/>
    <n v="6910.12"/>
    <n v="7471.48"/>
    <n v="7111.31"/>
    <n v="6977.58"/>
    <n v="10403.69"/>
    <n v="8876.44"/>
    <n v="5870.56"/>
    <n v="7135.45"/>
    <n v="7154.36"/>
    <n v="8087.78"/>
    <n v="8704.74"/>
    <n v="91719.920000000013"/>
    <n v="-616.96"/>
  </r>
  <r>
    <x v="11"/>
    <x v="6"/>
    <x v="0"/>
    <s v="3800107"/>
    <n v="721710"/>
    <s v="Reagents"/>
    <s v="Emergency-Bremerton"/>
    <x v="0"/>
    <n v="1000"/>
    <n v="779.42"/>
    <n v="86.35"/>
    <n v="151.72999999999999"/>
    <n v="177.73"/>
    <n v="172.71"/>
    <n v="151.5"/>
    <n v="512.33000000000004"/>
    <n v="342.27"/>
    <n v="150.15"/>
    <n v="603.11"/>
    <n v="187.63"/>
    <n v="111.59"/>
    <n v="3426.5200000000004"/>
    <n v="76.039999999999992"/>
  </r>
  <r>
    <x v="11"/>
    <x v="6"/>
    <x v="0"/>
    <s v="3800107"/>
    <n v="721750"/>
    <s v="Supplies-Film/Radiographic - Nonbillable"/>
    <s v="Emergency-Bremerton"/>
    <x v="0"/>
    <m/>
    <n v="2.81"/>
    <n v="1.87"/>
    <n v="10.3"/>
    <n v="5.61"/>
    <n v="8.42"/>
    <n v="5.62"/>
    <n v="18.73"/>
    <n v="7.5"/>
    <n v="11.24"/>
    <n v="6.56"/>
    <n v="14.99"/>
    <n v="6.55"/>
    <n v="100.19999999999999"/>
    <n v="8.4400000000000013"/>
  </r>
  <r>
    <x v="11"/>
    <x v="6"/>
    <x v="0"/>
    <s v="3800107"/>
    <n v="721810"/>
    <s v="Supplies-Dietary/Cafeteria"/>
    <s v="Emergency-Bremerton"/>
    <x v="0"/>
    <m/>
    <n v="1616.17"/>
    <n v="1478.25"/>
    <n v="1511.4"/>
    <n v="1878.79"/>
    <n v="2217.52"/>
    <n v="2197.12"/>
    <n v="2172"/>
    <n v="2120.62"/>
    <n v="2027.04"/>
    <n v="2698.2"/>
    <n v="2204.54"/>
    <n v="2192.89"/>
    <n v="24314.54"/>
    <n v="11.650000000000091"/>
  </r>
  <r>
    <x v="11"/>
    <x v="6"/>
    <x v="0"/>
    <s v="3800107"/>
    <n v="721830"/>
    <s v="Supplies-Office"/>
    <s v="Emergency-Bremerton"/>
    <x v="0"/>
    <m/>
    <n v="1424.62"/>
    <n v="2236.62"/>
    <n v="1617.63"/>
    <n v="2399.13"/>
    <n v="1172.3499999999999"/>
    <n v="1266.27"/>
    <n v="989.77"/>
    <n v="437.41"/>
    <n v="872.7"/>
    <n v="930.46"/>
    <n v="977.77"/>
    <n v="1026.95"/>
    <n v="15351.680000000004"/>
    <n v="-49.180000000000064"/>
  </r>
  <r>
    <x v="11"/>
    <x v="6"/>
    <x v="0"/>
    <s v="3800107"/>
    <n v="721835"/>
    <s v="Supplies-Forms"/>
    <s v="Emergency-Bremerton"/>
    <x v="0"/>
    <m/>
    <n v="0"/>
    <n v="0"/>
    <n v="0"/>
    <n v="0"/>
    <n v="458.68"/>
    <n v="173.4"/>
    <n v="240"/>
    <n v="0"/>
    <n v="0"/>
    <n v="12.73"/>
    <n v="73.12"/>
    <n v="153.9"/>
    <n v="1111.8300000000002"/>
    <n v="-80.78"/>
  </r>
  <r>
    <x v="11"/>
    <x v="6"/>
    <x v="0"/>
    <s v="3800107"/>
    <n v="721870"/>
    <s v="Supplies-Environmental Services"/>
    <s v="Emergency-Bremerton"/>
    <x v="0"/>
    <m/>
    <n v="1439.07"/>
    <n v="1992.73"/>
    <n v="2013.71"/>
    <n v="1656.06"/>
    <n v="1769.72"/>
    <n v="2037.53"/>
    <n v="1613.13"/>
    <n v="1644.93"/>
    <n v="1768.66"/>
    <n v="1840.52"/>
    <n v="1728.77"/>
    <n v="1681.8"/>
    <n v="21186.63"/>
    <n v="46.970000000000027"/>
  </r>
  <r>
    <x v="11"/>
    <x v="6"/>
    <x v="0"/>
    <s v="3800107"/>
    <n v="721880"/>
    <s v="Supplies-Linen"/>
    <s v="Emergency-Bremerton"/>
    <x v="0"/>
    <m/>
    <n v="30.01"/>
    <n v="0"/>
    <n v="0"/>
    <n v="0"/>
    <n v="0"/>
    <n v="0"/>
    <n v="0"/>
    <n v="0"/>
    <n v="0"/>
    <n v="0"/>
    <n v="0"/>
    <n v="0"/>
    <n v="30.01"/>
    <n v="0"/>
  </r>
  <r>
    <x v="11"/>
    <x v="6"/>
    <x v="0"/>
    <s v="3800107"/>
    <n v="721910"/>
    <s v="Supplies-Small Equipment"/>
    <s v="Emergency-Bremerton"/>
    <x v="0"/>
    <m/>
    <n v="3250.42"/>
    <n v="2254.61"/>
    <n v="2159.08"/>
    <n v="4037.59"/>
    <n v="6521.55"/>
    <n v="7279.41"/>
    <n v="5816.88"/>
    <n v="3952.02"/>
    <n v="10744.1"/>
    <n v="3003.81"/>
    <n v="3318"/>
    <n v="1720.28"/>
    <n v="54057.749999999993"/>
    <n v="1597.72"/>
  </r>
  <r>
    <x v="11"/>
    <x v="6"/>
    <x v="0"/>
    <s v="3800107"/>
    <n v="721910"/>
    <s v="Instruments"/>
    <s v="Emergency-Bremerton"/>
    <x v="0"/>
    <n v="1000"/>
    <n v="1491.12"/>
    <n v="407.11"/>
    <n v="400.32"/>
    <n v="24.01"/>
    <n v="0"/>
    <n v="1575.33"/>
    <n v="-26.82"/>
    <n v="-36.020000000000003"/>
    <n v="1184.5999999999999"/>
    <n v="495.94"/>
    <n v="792.63"/>
    <n v="-39.58"/>
    <n v="6268.6399999999994"/>
    <n v="832.21"/>
  </r>
  <r>
    <x v="11"/>
    <x v="6"/>
    <x v="0"/>
    <s v="3800107"/>
    <n v="721980"/>
    <s v="Supplies-Other"/>
    <s v="Emergency-Bremerton"/>
    <x v="0"/>
    <m/>
    <n v="373.48"/>
    <n v="171.15"/>
    <n v="508.68"/>
    <n v="351.19"/>
    <n v="823.9"/>
    <n v="927.99"/>
    <n v="133.44"/>
    <n v="1183.03"/>
    <n v="508.61"/>
    <n v="857.41"/>
    <n v="234.78"/>
    <n v="331.37"/>
    <n v="6405.03"/>
    <n v="-96.59"/>
  </r>
  <r>
    <x v="11"/>
    <x v="6"/>
    <x v="0"/>
    <s v="3800107"/>
    <n v="722000"/>
    <s v="Supplies-Freight Expense"/>
    <s v="Emergency-Bremerton"/>
    <x v="0"/>
    <m/>
    <n v="22.67"/>
    <n v="212.61"/>
    <n v="155.97999999999999"/>
    <n v="28.25"/>
    <n v="43.86"/>
    <n v="170.07"/>
    <n v="230"/>
    <n v="53.12"/>
    <n v="122.2"/>
    <n v="236.04"/>
    <n v="112.15"/>
    <n v="130.62"/>
    <n v="1517.5700000000002"/>
    <n v="-18.47"/>
  </r>
  <r>
    <x v="11"/>
    <x v="6"/>
    <x v="0"/>
    <s v="3800107"/>
    <n v="722000"/>
    <s v="Minimum Order Fees"/>
    <s v="Emergency-Bremerton"/>
    <x v="0"/>
    <n v="1000"/>
    <n v="0"/>
    <n v="95.05"/>
    <n v="0"/>
    <n v="0"/>
    <n v="0"/>
    <n v="0"/>
    <n v="0"/>
    <n v="0"/>
    <n v="0"/>
    <n v="0"/>
    <n v="0"/>
    <n v="0"/>
    <n v="95.05"/>
    <n v="0"/>
  </r>
  <r>
    <x v="12"/>
    <x v="6"/>
    <x v="0"/>
    <s v="3800107"/>
    <n v="730020"/>
    <s v="Rental and Leases-Equipment (DO NOT USE)"/>
    <s v="Emergency-Bremerton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3800107"/>
    <n v="730020"/>
    <s v="Rental and Leases-Copier Usage Fees (DO NOT USE)"/>
    <s v="Emergency-Bremerton"/>
    <x v="0"/>
    <n v="5100"/>
    <n v="1535.04"/>
    <n v="1557.46"/>
    <n v="1546.25"/>
    <n v="1546.25"/>
    <n v="1546.25"/>
    <n v="1546.25"/>
    <n v="998.29"/>
    <n v="1423.87"/>
    <n v="812.95"/>
    <n v="1405.23"/>
    <n v="815.94"/>
    <n v="1606.59"/>
    <n v="16340.37"/>
    <n v="-790.64999999999986"/>
  </r>
  <r>
    <x v="15"/>
    <x v="6"/>
    <x v="0"/>
    <s v="3800107"/>
    <n v="731060"/>
    <s v="Telephone"/>
    <s v="Emergency-Bremerton"/>
    <x v="0"/>
    <m/>
    <n v="236.51"/>
    <n v="113.19"/>
    <n v="8.76"/>
    <n v="35"/>
    <n v="73.13"/>
    <n v="149.43"/>
    <n v="190.74"/>
    <n v="6.66"/>
    <n v="63.11"/>
    <n v="68.48"/>
    <n v="62.92"/>
    <n v="101.92"/>
    <n v="1109.8499999999999"/>
    <n v="-39"/>
  </r>
  <r>
    <x v="15"/>
    <x v="6"/>
    <x v="0"/>
    <s v="3800107"/>
    <n v="731060"/>
    <s v="Cell Phones"/>
    <s v="Emergency-Bremerton"/>
    <x v="0"/>
    <n v="1001"/>
    <n v="0"/>
    <n v="0"/>
    <n v="0"/>
    <n v="0"/>
    <n v="0"/>
    <n v="0"/>
    <n v="0"/>
    <n v="0"/>
    <n v="0"/>
    <n v="118.65"/>
    <n v="53.96"/>
    <n v="53.33"/>
    <n v="225.94"/>
    <n v="0.63000000000000256"/>
  </r>
  <r>
    <x v="16"/>
    <x v="6"/>
    <x v="0"/>
    <s v="3800107"/>
    <n v="732020"/>
    <s v="Repairs--Clin Equip-Parts-Internal to CHI Programs"/>
    <s v="Emergency-Bremerton"/>
    <x v="0"/>
    <m/>
    <n v="263.57"/>
    <n v="28.53"/>
    <n v="0"/>
    <n v="338.77"/>
    <n v="-167.55"/>
    <n v="0"/>
    <n v="59.33"/>
    <n v="0"/>
    <n v="544"/>
    <n v="0"/>
    <n v="0"/>
    <n v="0"/>
    <n v="1066.6500000000001"/>
    <n v="0"/>
  </r>
  <r>
    <x v="16"/>
    <x v="6"/>
    <x v="0"/>
    <s v="3800107"/>
    <n v="732030"/>
    <s v="Repairs---Other"/>
    <s v="Emergency-Bremerton"/>
    <x v="0"/>
    <m/>
    <n v="0"/>
    <n v="217"/>
    <n v="19.53"/>
    <n v="-16"/>
    <n v="0"/>
    <n v="0"/>
    <n v="0"/>
    <n v="0"/>
    <n v="0"/>
    <n v="0"/>
    <n v="23498.22"/>
    <n v="188.74"/>
    <n v="23907.49"/>
    <n v="23309.48"/>
  </r>
  <r>
    <x v="13"/>
    <x v="6"/>
    <x v="0"/>
    <s v="3800107"/>
    <n v="735070"/>
    <s v="Depreciation-Movable Equipment"/>
    <s v="Emergency-Bremerton"/>
    <x v="0"/>
    <m/>
    <n v="9190.9500000000007"/>
    <n v="9356.9699999999993"/>
    <n v="9357.08"/>
    <n v="9356.9599999999991"/>
    <n v="9357.14"/>
    <n v="9356.94"/>
    <n v="9357.15"/>
    <n v="10403.870000000001"/>
    <n v="10404.14"/>
    <n v="10403.780000000001"/>
    <n v="10404.15"/>
    <n v="10403.780000000001"/>
    <n v="117352.90999999999"/>
    <n v="0.36999999999898137"/>
  </r>
  <r>
    <x v="0"/>
    <x v="6"/>
    <x v="0"/>
    <s v="3800107"/>
    <n v="740010"/>
    <s v="Education-Materials"/>
    <s v="Emergency-Bremerton"/>
    <x v="0"/>
    <m/>
    <n v="0"/>
    <n v="0"/>
    <n v="0"/>
    <n v="0"/>
    <n v="0"/>
    <n v="0"/>
    <n v="0"/>
    <n v="0"/>
    <n v="0"/>
    <n v="1270.2"/>
    <n v="0"/>
    <n v="0"/>
    <n v="1270.2"/>
    <n v="0"/>
  </r>
  <r>
    <x v="0"/>
    <x v="6"/>
    <x v="0"/>
    <s v="3800107"/>
    <n v="740020"/>
    <s v="Education-Registration Fees"/>
    <s v="Emergency-Bremerton"/>
    <x v="0"/>
    <m/>
    <n v="520"/>
    <n v="3114.44"/>
    <n v="380"/>
    <n v="1020"/>
    <n v="3120"/>
    <n v="175"/>
    <n v="2260"/>
    <n v="860"/>
    <n v="1535"/>
    <n v="1525"/>
    <n v="682.16"/>
    <n v="0"/>
    <n v="15191.6"/>
    <n v="682.16"/>
  </r>
  <r>
    <x v="0"/>
    <x v="6"/>
    <x v="0"/>
    <s v="3800107"/>
    <n v="743030"/>
    <s v="Subscriptions--Institutional"/>
    <s v="Emergency-Bremerton"/>
    <x v="0"/>
    <m/>
    <n v="29.95"/>
    <n v="0"/>
    <n v="0"/>
    <n v="0"/>
    <n v="0"/>
    <n v="0"/>
    <n v="0"/>
    <n v="0"/>
    <n v="0"/>
    <n v="0"/>
    <n v="0"/>
    <n v="0"/>
    <n v="29.95"/>
    <n v="0"/>
  </r>
  <r>
    <x v="0"/>
    <x v="6"/>
    <x v="0"/>
    <s v="3800107"/>
    <n v="749510"/>
    <s v="Miscellaneous Expenses"/>
    <s v="Emergency-Bremerton"/>
    <x v="0"/>
    <m/>
    <n v="58.04"/>
    <n v="655.91"/>
    <n v="1555.75"/>
    <n v="-143.75"/>
    <n v="389.29"/>
    <n v="908.24"/>
    <n v="-331.07"/>
    <n v="4375.6499999999996"/>
    <n v="-4974.1400000000003"/>
    <n v="-1627.18"/>
    <n v="-244.49"/>
    <n v="100.5"/>
    <n v="722.74999999999909"/>
    <n v="-344.99"/>
  </r>
  <r>
    <x v="0"/>
    <x v="6"/>
    <x v="0"/>
    <s v="3800107"/>
    <n v="749510"/>
    <s v="Licenses"/>
    <s v="Emergency-Bremerton"/>
    <x v="0"/>
    <n v="1002"/>
    <n v="1375"/>
    <n v="635"/>
    <n v="692.5"/>
    <n v="804.93"/>
    <n v="780"/>
    <n v="687.5"/>
    <n v="220"/>
    <n v="52.5"/>
    <n v="210"/>
    <n v="340"/>
    <n v="330"/>
    <n v="110"/>
    <n v="6237.43"/>
    <n v="220"/>
  </r>
  <r>
    <x v="0"/>
    <x v="6"/>
    <x v="0"/>
    <s v="3800107"/>
    <n v="749530"/>
    <s v="Travel"/>
    <s v="Emergency-Bremerton"/>
    <x v="0"/>
    <m/>
    <n v="0"/>
    <n v="36"/>
    <n v="48"/>
    <n v="108"/>
    <n v="60"/>
    <n v="6"/>
    <n v="242.7"/>
    <n v="236.31"/>
    <n v="322.14"/>
    <n v="213.21"/>
    <n v="602.25"/>
    <n v="40"/>
    <n v="1914.6100000000001"/>
    <n v="562.25"/>
  </r>
  <r>
    <x v="0"/>
    <x v="6"/>
    <x v="0"/>
    <s v="3800107"/>
    <n v="749530"/>
    <s v="Mileage"/>
    <s v="Emergency-Bremerton"/>
    <x v="0"/>
    <n v="1001"/>
    <n v="114.46"/>
    <n v="221.28"/>
    <n v="296.49"/>
    <n v="667.63"/>
    <n v="406.6"/>
    <n v="37.06"/>
    <n v="240.12"/>
    <n v="672.16"/>
    <n v="426.88"/>
    <n v="579.41999999999996"/>
    <n v="117.74"/>
    <n v="302.76"/>
    <n v="4082.5999999999995"/>
    <n v="-185.01999999999998"/>
  </r>
  <r>
    <x v="0"/>
    <x v="6"/>
    <x v="0"/>
    <s v="3800107"/>
    <n v="749535"/>
    <s v="Meetings"/>
    <s v="Emergency-Bremerton"/>
    <x v="0"/>
    <m/>
    <n v="0"/>
    <n v="0"/>
    <n v="0"/>
    <n v="0"/>
    <n v="62.84"/>
    <n v="0"/>
    <n v="60.72"/>
    <n v="0"/>
    <n v="0"/>
    <n v="0"/>
    <n v="0"/>
    <n v="0"/>
    <n v="123.56"/>
    <n v="0"/>
  </r>
  <r>
    <x v="18"/>
    <x v="7"/>
    <x v="0"/>
    <s v="3800150"/>
    <n v="400010"/>
    <s v="Acute I/P Svcs Rev--Medicare"/>
    <s v="Emergency Services"/>
    <x v="0"/>
    <n v="1100"/>
    <n v="-56116"/>
    <n v="23783.200000000001"/>
    <n v="30954.16"/>
    <n v="-22356.55"/>
    <n v="-49574.9"/>
    <n v="-11222.38"/>
    <n v="-59731.33"/>
    <n v="59907.57"/>
    <n v="-76446.16"/>
    <n v="54549.41"/>
    <n v="52530.559999999998"/>
    <n v="2693.92"/>
    <n v="-51028.499999999985"/>
    <n v="49836.639999999999"/>
  </r>
  <r>
    <x v="18"/>
    <x v="7"/>
    <x v="0"/>
    <s v="3800150"/>
    <n v="400010"/>
    <s v="Acute I/P Svcs Rev--Medicaid"/>
    <s v="Emergency Services"/>
    <x v="0"/>
    <n v="1200"/>
    <n v="-50576.17"/>
    <n v="-72924.509999999995"/>
    <n v="-62816.94"/>
    <n v="-104927.33"/>
    <n v="-64416.57"/>
    <n v="-86384.48"/>
    <n v="-64240.71"/>
    <n v="-18692.62"/>
    <n v="-53602.61"/>
    <n v="-55600.69"/>
    <n v="-46635.23"/>
    <n v="-59227.64"/>
    <n v="-740045.50000000012"/>
    <n v="12592.409999999996"/>
  </r>
  <r>
    <x v="18"/>
    <x v="7"/>
    <x v="0"/>
    <s v="3800150"/>
    <n v="400010"/>
    <s v="Acute I/P Svcs Rev--Comm Insurance"/>
    <s v="Emergency Services"/>
    <x v="0"/>
    <n v="1300"/>
    <n v="4553"/>
    <n v="-19910.05"/>
    <n v="-16010.83"/>
    <n v="-33780.129999999997"/>
    <n v="15965.88"/>
    <n v="-18778.62"/>
    <n v="0"/>
    <n v="-5960.68"/>
    <n v="-321"/>
    <n v="-9773.8799999999992"/>
    <n v="-6357.6"/>
    <n v="0"/>
    <n v="-90373.91"/>
    <n v="-6357.6"/>
  </r>
  <r>
    <x v="18"/>
    <x v="7"/>
    <x v="0"/>
    <s v="3800150"/>
    <n v="400010"/>
    <s v="Acute I/P Svcs Rev--BCBS Comm"/>
    <s v="Emergency Services"/>
    <x v="0"/>
    <n v="1301"/>
    <n v="-6523.69"/>
    <n v="-27628.45"/>
    <n v="-4781"/>
    <n v="-35309.08"/>
    <n v="-11122.53"/>
    <n v="-33246.85"/>
    <n v="-6687.85"/>
    <n v="-31864.38"/>
    <n v="-32458.52"/>
    <n v="-24390.18"/>
    <n v="-5794.98"/>
    <n v="-12653.1"/>
    <n v="-232460.61000000002"/>
    <n v="6858.1200000000008"/>
  </r>
  <r>
    <x v="18"/>
    <x v="7"/>
    <x v="0"/>
    <s v="3800150"/>
    <n v="400010"/>
    <s v="Acute I/P Svcs Rev--Managed Care"/>
    <s v="Emergency Services"/>
    <x v="0"/>
    <n v="1400"/>
    <n v="-89593.58"/>
    <n v="-50763.96"/>
    <n v="-38191"/>
    <n v="-31336.959999999999"/>
    <n v="-81575.320000000007"/>
    <n v="-85040.49"/>
    <n v="-58281.58"/>
    <n v="-80005.91"/>
    <n v="-39741"/>
    <n v="-69176.679999999993"/>
    <n v="-37743.17"/>
    <n v="-41902.230000000003"/>
    <n v="-703351.88"/>
    <n v="4159.0600000000049"/>
  </r>
  <r>
    <x v="18"/>
    <x v="7"/>
    <x v="0"/>
    <s v="3800150"/>
    <n v="400010"/>
    <s v="Acute I/P Svcs Rev--Self Pay"/>
    <s v="Emergency Services"/>
    <x v="0"/>
    <n v="1500"/>
    <n v="-5585.6"/>
    <n v="820.26"/>
    <n v="0"/>
    <n v="-5388.48"/>
    <n v="-18139.55"/>
    <n v="-13133.73"/>
    <n v="-4781"/>
    <n v="-23993.49"/>
    <n v="0"/>
    <n v="-5755.6"/>
    <n v="0"/>
    <n v="-12309.06"/>
    <n v="-88266.25"/>
    <n v="12309.06"/>
  </r>
  <r>
    <x v="18"/>
    <x v="7"/>
    <x v="0"/>
    <s v="3800150"/>
    <n v="400010"/>
    <s v="Acute I/P Svcs Rev--Other"/>
    <s v="Emergency Services"/>
    <x v="0"/>
    <n v="1700"/>
    <n v="3652.15"/>
    <n v="-7639.75"/>
    <n v="3326.68"/>
    <n v="4812.28"/>
    <n v="-5951.41"/>
    <n v="-18279.3"/>
    <n v="-5543.68"/>
    <n v="-13271.86"/>
    <n v="-12986.18"/>
    <n v="-6358.22"/>
    <n v="-18176.16"/>
    <n v="5543.68"/>
    <n v="-70871.76999999999"/>
    <n v="-23719.84"/>
  </r>
  <r>
    <x v="19"/>
    <x v="7"/>
    <x v="0"/>
    <s v="3800150"/>
    <n v="400020"/>
    <s v="O/P Care Svcs Rev--Medicare"/>
    <s v="Emergency Services"/>
    <x v="0"/>
    <n v="1100"/>
    <n v="-1224413.21"/>
    <n v="-1430985.12"/>
    <n v="-1233368.98"/>
    <n v="-1240848.8400000001"/>
    <n v="-1058720.3899999999"/>
    <n v="-1262091.51"/>
    <n v="-1411637.28"/>
    <n v="-1356971.77"/>
    <n v="-1220791.2"/>
    <n v="-1463756.16"/>
    <n v="-1383822.49"/>
    <n v="-1197972.58"/>
    <n v="-15485379.529999999"/>
    <n v="-185849.90999999992"/>
  </r>
  <r>
    <x v="19"/>
    <x v="7"/>
    <x v="0"/>
    <s v="3800150"/>
    <n v="400020"/>
    <s v="O/P Care Svcs Rev--Medicaid"/>
    <s v="Emergency Services"/>
    <x v="0"/>
    <n v="1200"/>
    <n v="-885288.32"/>
    <n v="-963696.77"/>
    <n v="-685166.4"/>
    <n v="-994441.72"/>
    <n v="-768819.99"/>
    <n v="-979723"/>
    <n v="-1111111.57"/>
    <n v="-906478.48"/>
    <n v="-987779.17"/>
    <n v="-914228"/>
    <n v="-903982.07999999996"/>
    <n v="-820068.25"/>
    <n v="-10920783.75"/>
    <n v="-83913.829999999958"/>
  </r>
  <r>
    <x v="19"/>
    <x v="7"/>
    <x v="0"/>
    <s v="3800150"/>
    <n v="400020"/>
    <s v="O/P Care Svcs Rev--Comm Insurance"/>
    <s v="Emergency Services"/>
    <x v="0"/>
    <n v="1300"/>
    <n v="-117017.68"/>
    <n v="-82295.97"/>
    <n v="-68948.08"/>
    <n v="-62358.63"/>
    <n v="-166492.67000000001"/>
    <n v="-111449.8"/>
    <n v="-101834.57"/>
    <n v="-113294.6"/>
    <n v="-109385.49"/>
    <n v="-92671.3"/>
    <n v="-164633.34"/>
    <n v="-114186.78"/>
    <n v="-1304568.9100000001"/>
    <n v="-50446.559999999998"/>
  </r>
  <r>
    <x v="19"/>
    <x v="7"/>
    <x v="0"/>
    <s v="3800150"/>
    <n v="400020"/>
    <s v="O/P Care Svcs Rev--BCBS Comm"/>
    <s v="Emergency Services"/>
    <x v="0"/>
    <n v="1301"/>
    <n v="-376282.44"/>
    <n v="-313647.68"/>
    <n v="-327924.52"/>
    <n v="-364456.4"/>
    <n v="-335398.15999999997"/>
    <n v="-320454.78000000003"/>
    <n v="-460639.11"/>
    <n v="-293085.94"/>
    <n v="-406005.94"/>
    <n v="-409057.18"/>
    <n v="-401577.18"/>
    <n v="-380016.83"/>
    <n v="-4388546.16"/>
    <n v="-21560.349999999977"/>
  </r>
  <r>
    <x v="19"/>
    <x v="7"/>
    <x v="0"/>
    <s v="3800150"/>
    <n v="400020"/>
    <s v="O/P Care Svcs Rev--Managed Care"/>
    <s v="Emergency Services"/>
    <x v="0"/>
    <n v="1400"/>
    <n v="-774049.61"/>
    <n v="-792133.9"/>
    <n v="-688052.01"/>
    <n v="-720414.92"/>
    <n v="-824105.61"/>
    <n v="-750582.28"/>
    <n v="-812201.45"/>
    <n v="-728445.79"/>
    <n v="-890245.63"/>
    <n v="-852010.94"/>
    <n v="-889994.93"/>
    <n v="-769672.82"/>
    <n v="-9491909.8900000006"/>
    <n v="-120322.1100000001"/>
  </r>
  <r>
    <x v="19"/>
    <x v="7"/>
    <x v="0"/>
    <s v="3800150"/>
    <n v="400020"/>
    <s v="O/P Care Svcs Rev--Self Pay"/>
    <s v="Emergency Services"/>
    <x v="0"/>
    <n v="1500"/>
    <n v="-142465.60000000001"/>
    <n v="-127696.08"/>
    <n v="-151889.60000000001"/>
    <n v="-160911.79999999999"/>
    <n v="-152405.57999999999"/>
    <n v="-140639.1"/>
    <n v="-178461.63"/>
    <n v="-134524.64000000001"/>
    <n v="-164200.85999999999"/>
    <n v="-170301.45"/>
    <n v="-103379.6"/>
    <n v="-161946.66"/>
    <n v="-1788822.6"/>
    <n v="58567.06"/>
  </r>
  <r>
    <x v="19"/>
    <x v="7"/>
    <x v="0"/>
    <s v="3800150"/>
    <n v="400020"/>
    <s v="O/P Care Svcs Rev--Other"/>
    <s v="Emergency Services"/>
    <x v="0"/>
    <n v="1700"/>
    <n v="-162665.96"/>
    <n v="-180370.49"/>
    <n v="-162228.97"/>
    <n v="-120509.67"/>
    <n v="-67766.149999999994"/>
    <n v="-115217.46"/>
    <n v="-180107.27"/>
    <n v="-155971.95000000001"/>
    <n v="-109999.73"/>
    <n v="-124217.46"/>
    <n v="-124881.49"/>
    <n v="-191603.54"/>
    <n v="-1695540.14"/>
    <n v="66722.05"/>
  </r>
  <r>
    <x v="5"/>
    <x v="7"/>
    <x v="0"/>
    <s v="3800150"/>
    <n v="700014"/>
    <s v="Salaries-Management-Productive"/>
    <s v="Emergency Services"/>
    <x v="0"/>
    <m/>
    <n v="7444.9"/>
    <n v="7508.96"/>
    <n v="9163.41"/>
    <n v="10416.48"/>
    <n v="7229.33"/>
    <n v="6107.22"/>
    <n v="10116.73"/>
    <n v="8000.51"/>
    <n v="10579.19"/>
    <n v="9917.69"/>
    <n v="10248.620000000001"/>
    <n v="8066.81"/>
    <n v="104799.84999999999"/>
    <n v="2181.8100000000004"/>
  </r>
  <r>
    <x v="5"/>
    <x v="7"/>
    <x v="0"/>
    <s v="3800150"/>
    <n v="700026"/>
    <s v="Salaries-RN-Productive"/>
    <s v="Emergency Services"/>
    <x v="0"/>
    <m/>
    <n v="112522.51"/>
    <n v="114517.68"/>
    <n v="107322.62"/>
    <n v="112413.88"/>
    <n v="112750.04"/>
    <n v="128127.92"/>
    <n v="123580.29"/>
    <n v="105719.11"/>
    <n v="130710.39"/>
    <n v="126205.01"/>
    <n v="131458.54"/>
    <n v="122462.41"/>
    <n v="1427790.4"/>
    <n v="8996.1300000000047"/>
  </r>
  <r>
    <x v="5"/>
    <x v="7"/>
    <x v="0"/>
    <s v="3800150"/>
    <n v="700026"/>
    <s v="Salaries-RN-OT"/>
    <s v="Emergency Services"/>
    <x v="0"/>
    <n v="1000"/>
    <n v="973.08"/>
    <n v="3556.73"/>
    <n v="2494.3000000000002"/>
    <n v="204.97"/>
    <n v="1024.05"/>
    <n v="2975.69"/>
    <n v="1220.4000000000001"/>
    <n v="1138.52"/>
    <n v="1527.34"/>
    <n v="2274.9299999999998"/>
    <n v="2929.43"/>
    <n v="1293.67"/>
    <n v="21613.11"/>
    <n v="1635.7599999999998"/>
  </r>
  <r>
    <x v="5"/>
    <x v="7"/>
    <x v="0"/>
    <s v="3800150"/>
    <n v="700026"/>
    <s v="Salaries-RN-Other"/>
    <s v="Emergency Services"/>
    <x v="0"/>
    <n v="2000"/>
    <n v="9594.2000000000007"/>
    <n v="8948.9699999999993"/>
    <n v="7949.98"/>
    <n v="7875.62"/>
    <n v="7601.23"/>
    <n v="20211.54"/>
    <n v="10189.76"/>
    <n v="8731.52"/>
    <n v="10713.87"/>
    <n v="10810.24"/>
    <n v="10995.44"/>
    <n v="12258.17"/>
    <n v="125880.54000000001"/>
    <n v="-1262.7299999999996"/>
  </r>
  <r>
    <x v="5"/>
    <x v="7"/>
    <x v="0"/>
    <s v="3800150"/>
    <n v="700032"/>
    <s v="Salaries-Other Pat Care Providers-Productive"/>
    <s v="Emergency Services"/>
    <x v="0"/>
    <m/>
    <n v="3491.83"/>
    <n v="9606.83"/>
    <n v="8391.94"/>
    <n v="3390.03"/>
    <n v="4957.51"/>
    <n v="7179.28"/>
    <n v="5542.74"/>
    <n v="5147.5600000000004"/>
    <n v="6209.29"/>
    <n v="4287.79"/>
    <n v="5356.75"/>
    <n v="7203.44"/>
    <n v="70764.989999999991"/>
    <n v="-1846.6899999999996"/>
  </r>
  <r>
    <x v="5"/>
    <x v="7"/>
    <x v="0"/>
    <s v="3800150"/>
    <n v="700032"/>
    <s v="Salaries-Other Pat Care Providers-OT"/>
    <s v="Emergency Services"/>
    <x v="0"/>
    <n v="1000"/>
    <n v="447.27"/>
    <n v="1532.33"/>
    <n v="1359.56"/>
    <n v="267.29000000000002"/>
    <n v="220.12"/>
    <n v="962.18"/>
    <n v="-4.1900000000000004"/>
    <n v="79.319999999999993"/>
    <n v="63.08"/>
    <n v="-54.74"/>
    <n v="0"/>
    <n v="191.1"/>
    <n v="5063.3200000000006"/>
    <n v="-191.1"/>
  </r>
  <r>
    <x v="5"/>
    <x v="7"/>
    <x v="0"/>
    <s v="3800150"/>
    <n v="700032"/>
    <s v="Salaries-Other Pat Care Providers-Other"/>
    <s v="Emergency Services"/>
    <x v="0"/>
    <n v="2000"/>
    <n v="536.38"/>
    <n v="1053.77"/>
    <n v="1466.62"/>
    <n v="712.87"/>
    <n v="918.67"/>
    <n v="1078.08"/>
    <n v="882.66"/>
    <n v="634.37"/>
    <n v="900.77"/>
    <n v="840.23"/>
    <n v="941.49"/>
    <n v="1159.21"/>
    <n v="11125.119999999999"/>
    <n v="-217.72000000000003"/>
  </r>
  <r>
    <x v="5"/>
    <x v="7"/>
    <x v="0"/>
    <s v="3800150"/>
    <n v="700038"/>
    <s v="Salaries-Service/Support-Productive"/>
    <s v="Emergency Services"/>
    <x v="0"/>
    <m/>
    <n v="10561.08"/>
    <n v="7363.64"/>
    <n v="6644.83"/>
    <n v="10997.38"/>
    <n v="9587.68"/>
    <n v="8014.7"/>
    <n v="8007.43"/>
    <n v="6952.87"/>
    <n v="9686.0300000000007"/>
    <n v="9983.5499999999993"/>
    <n v="9877.77"/>
    <n v="8713.98"/>
    <n v="106390.94"/>
    <n v="1163.7900000000009"/>
  </r>
  <r>
    <x v="5"/>
    <x v="7"/>
    <x v="0"/>
    <s v="3800150"/>
    <n v="700038"/>
    <s v="Salaries-Service/Support-OT"/>
    <s v="Emergency Services"/>
    <x v="0"/>
    <n v="1000"/>
    <n v="1322.13"/>
    <n v="-188.9"/>
    <n v="0"/>
    <n v="254.76"/>
    <n v="402.14"/>
    <n v="451.84"/>
    <n v="135.49"/>
    <n v="530.15"/>
    <n v="148.30000000000001"/>
    <n v="212.28"/>
    <n v="158.32"/>
    <n v="-109.29"/>
    <n v="3317.2200000000007"/>
    <n v="267.61"/>
  </r>
  <r>
    <x v="5"/>
    <x v="7"/>
    <x v="0"/>
    <s v="3800150"/>
    <n v="700038"/>
    <s v="Salaries-Service/Support-Other"/>
    <s v="Emergency Services"/>
    <x v="0"/>
    <n v="2000"/>
    <n v="737.78"/>
    <n v="377.65"/>
    <n v="335.97"/>
    <n v="659.2"/>
    <n v="530.82000000000005"/>
    <n v="478.38"/>
    <n v="479.96"/>
    <n v="413.21"/>
    <n v="575.82000000000005"/>
    <n v="638.89"/>
    <n v="609.23"/>
    <n v="449.09"/>
    <n v="6286"/>
    <n v="160.14000000000004"/>
  </r>
  <r>
    <x v="5"/>
    <x v="7"/>
    <x v="0"/>
    <s v="3800150"/>
    <n v="700054"/>
    <s v="Salaries-Management-Non-productive"/>
    <s v="Emergency Services"/>
    <x v="0"/>
    <m/>
    <n v="2418.02"/>
    <n v="2354.42"/>
    <n v="381.92"/>
    <n v="-254.52"/>
    <n v="2673.82"/>
    <n v="4126.3999999999996"/>
    <n v="132.86000000000001"/>
    <n v="1256.23"/>
    <n v="-330.55"/>
    <n v="0"/>
    <n v="0"/>
    <n v="1851.35"/>
    <n v="14609.95"/>
    <n v="-1851.35"/>
  </r>
  <r>
    <x v="5"/>
    <x v="7"/>
    <x v="0"/>
    <s v="3800150"/>
    <n v="700054"/>
    <s v="Salaries-Management-NonProd-Other"/>
    <s v="Emergency Services"/>
    <x v="0"/>
    <n v="2000"/>
    <n v="0"/>
    <n v="0"/>
    <n v="0"/>
    <n v="0"/>
    <n v="0"/>
    <n v="4366.51"/>
    <n v="-4366.51"/>
    <n v="0"/>
    <n v="0"/>
    <n v="0"/>
    <n v="0"/>
    <n v="0"/>
    <n v="0"/>
    <n v="0"/>
  </r>
  <r>
    <x v="5"/>
    <x v="7"/>
    <x v="0"/>
    <s v="3800150"/>
    <n v="700066"/>
    <s v="Salaries-RN-Non-productive"/>
    <s v="Emergency Services"/>
    <x v="0"/>
    <m/>
    <n v="20445.18"/>
    <n v="19208.62"/>
    <n v="28763.14"/>
    <n v="6336.76"/>
    <n v="4445.8599999999997"/>
    <n v="13103.11"/>
    <n v="8857.07"/>
    <n v="14142.53"/>
    <n v="20996.13"/>
    <n v="11278.61"/>
    <n v="18990.47"/>
    <n v="31246.14"/>
    <n v="197813.62"/>
    <n v="-12255.669999999998"/>
  </r>
  <r>
    <x v="5"/>
    <x v="7"/>
    <x v="0"/>
    <s v="3800150"/>
    <n v="700066"/>
    <s v="Salaries-RN-NonProd-Other"/>
    <s v="Emergency Services"/>
    <x v="0"/>
    <n v="2000"/>
    <n v="653.54"/>
    <n v="865.88"/>
    <n v="1384.79"/>
    <n v="309.97000000000003"/>
    <n v="1602.96"/>
    <n v="1993.59"/>
    <n v="330.95"/>
    <n v="-1560.99"/>
    <n v="595.98"/>
    <n v="414.98"/>
    <n v="769.89"/>
    <n v="642.97"/>
    <n v="8004.51"/>
    <n v="126.91999999999996"/>
  </r>
  <r>
    <x v="5"/>
    <x v="7"/>
    <x v="0"/>
    <s v="3800150"/>
    <n v="700072"/>
    <s v="Salaries-Other Pat Care Providers-Non-productive"/>
    <s v="Emergency Services"/>
    <x v="0"/>
    <m/>
    <n v="742.18"/>
    <n v="45.13"/>
    <n v="545.05999999999995"/>
    <n v="92.79"/>
    <n v="766.78"/>
    <n v="-95.42"/>
    <n v="146.58000000000001"/>
    <n v="696.13"/>
    <n v="232.41"/>
    <n v="613.66999999999996"/>
    <n v="412.7"/>
    <n v="-109.47"/>
    <n v="4088.5399999999995"/>
    <n v="522.16999999999996"/>
  </r>
  <r>
    <x v="5"/>
    <x v="7"/>
    <x v="0"/>
    <s v="3800150"/>
    <n v="700072"/>
    <s v="Salaries-Other Pat Care Providers-NonProd-Other"/>
    <s v="Emergency Services"/>
    <x v="0"/>
    <n v="2000"/>
    <n v="75.75"/>
    <n v="14.79"/>
    <n v="53.23"/>
    <n v="8.4700000000000006"/>
    <n v="82.7"/>
    <n v="6.94"/>
    <n v="16.149999999999999"/>
    <n v="16.79"/>
    <n v="51.04"/>
    <n v="61.3"/>
    <n v="41.7"/>
    <n v="-10.84"/>
    <n v="418.02000000000004"/>
    <n v="52.540000000000006"/>
  </r>
  <r>
    <x v="5"/>
    <x v="7"/>
    <x v="0"/>
    <s v="3800150"/>
    <n v="700078"/>
    <s v="Salaries-Service/Support-Non-productive"/>
    <s v="Emergency Services"/>
    <x v="0"/>
    <m/>
    <n v="1211.5"/>
    <n v="3858.6"/>
    <n v="5003.6099999999997"/>
    <n v="1195.1199999999999"/>
    <n v="3215.01"/>
    <n v="1827.76"/>
    <n v="2420.12"/>
    <n v="1998.61"/>
    <n v="108.2"/>
    <n v="1714.98"/>
    <n v="602.63"/>
    <n v="1968.06"/>
    <n v="25124.2"/>
    <n v="-1365.4299999999998"/>
  </r>
  <r>
    <x v="5"/>
    <x v="7"/>
    <x v="0"/>
    <s v="3800150"/>
    <n v="700078"/>
    <s v="Salaries-Service/Support-NonProd-Other"/>
    <s v="Emergency Services"/>
    <x v="0"/>
    <n v="2000"/>
    <n v="121.68"/>
    <n v="10.08"/>
    <n v="40.96"/>
    <n v="998.33"/>
    <n v="124.6"/>
    <n v="34.24"/>
    <n v="94.37"/>
    <n v="-349.77"/>
    <n v="35.65"/>
    <n v="73.89"/>
    <n v="37.89"/>
    <n v="155.09"/>
    <n v="1377.0100000000004"/>
    <n v="-117.2"/>
  </r>
  <r>
    <x v="5"/>
    <x v="7"/>
    <x v="0"/>
    <s v="3800150"/>
    <n v="700084"/>
    <s v="Accrued PTO"/>
    <s v="Emergency Services"/>
    <x v="0"/>
    <m/>
    <n v="290.68"/>
    <n v="-1056.55"/>
    <n v="-14307.67"/>
    <n v="8735.31"/>
    <n v="8364.36"/>
    <n v="5098.22"/>
    <n v="8276.36"/>
    <n v="3723.58"/>
    <n v="8349.9699999999993"/>
    <n v="5857.99"/>
    <n v="3576.36"/>
    <n v="-5635.9"/>
    <n v="31272.71"/>
    <n v="9212.26"/>
  </r>
  <r>
    <x v="10"/>
    <x v="7"/>
    <x v="0"/>
    <s v="3800150"/>
    <n v="710060"/>
    <s v="Contract Labor-Other"/>
    <s v="Emergency Services"/>
    <x v="0"/>
    <m/>
    <n v="6097.94"/>
    <n v="3174.62"/>
    <n v="8740.3799999999992"/>
    <n v="16807.38"/>
    <n v="8439.31"/>
    <n v="2449.5"/>
    <n v="0"/>
    <n v="759"/>
    <n v="1328.25"/>
    <n v="-759"/>
    <n v="0"/>
    <n v="0"/>
    <n v="47037.38"/>
    <n v="0"/>
  </r>
  <r>
    <x v="10"/>
    <x v="7"/>
    <x v="0"/>
    <s v="3800150"/>
    <n v="710060"/>
    <s v="Contract Labor-Overtime"/>
    <s v="Emergency Services"/>
    <x v="0"/>
    <n v="5100"/>
    <n v="0"/>
    <n v="0"/>
    <n v="828"/>
    <n v="2"/>
    <n v="0"/>
    <n v="0"/>
    <n v="0"/>
    <n v="0"/>
    <n v="0"/>
    <n v="0"/>
    <n v="0"/>
    <n v="0"/>
    <n v="830"/>
    <n v="0"/>
  </r>
  <r>
    <x v="6"/>
    <x v="7"/>
    <x v="0"/>
    <s v="3800150"/>
    <n v="713010"/>
    <s v="Benefits-FICA/Medicare"/>
    <s v="Emergency Services"/>
    <x v="0"/>
    <m/>
    <n v="13033.47"/>
    <n v="13308.64"/>
    <n v="13364.18"/>
    <n v="11548.63"/>
    <n v="11901.86"/>
    <n v="14227.24"/>
    <n v="13334.9"/>
    <n v="12846.33"/>
    <n v="14044.7"/>
    <n v="13184.26"/>
    <n v="14227.62"/>
    <n v="14618.16"/>
    <n v="159639.99"/>
    <n v="-390.53999999999905"/>
  </r>
  <r>
    <x v="6"/>
    <x v="7"/>
    <x v="0"/>
    <s v="3800150"/>
    <n v="713090"/>
    <s v="Benefits-Allocated Amounts"/>
    <s v="Emergency Services"/>
    <x v="0"/>
    <m/>
    <n v="31114.52"/>
    <n v="28999.62"/>
    <n v="31535.47"/>
    <n v="27673.39"/>
    <n v="28458.97"/>
    <n v="31648.400000000001"/>
    <n v="30799.47"/>
    <n v="26332.17"/>
    <n v="31244.45"/>
    <n v="33479.07"/>
    <n v="33876.06"/>
    <n v="37154.61"/>
    <n v="372316.2"/>
    <n v="-3278.5500000000029"/>
  </r>
  <r>
    <x v="6"/>
    <x v="7"/>
    <x v="0"/>
    <s v="3800150"/>
    <n v="713096"/>
    <s v="Employee Recognition"/>
    <s v="Emergency Services"/>
    <x v="0"/>
    <n v="1017"/>
    <n v="0"/>
    <n v="0"/>
    <n v="0"/>
    <n v="0"/>
    <n v="177.21"/>
    <n v="775.37"/>
    <n v="42.86"/>
    <n v="54.98"/>
    <n v="0"/>
    <n v="0"/>
    <n v="0"/>
    <n v="0"/>
    <n v="1050.42"/>
    <n v="0"/>
  </r>
  <r>
    <x v="17"/>
    <x v="7"/>
    <x v="0"/>
    <s v="3800150"/>
    <n v="714520"/>
    <s v="Other Contracted Professionals"/>
    <s v="Emergency Services"/>
    <x v="0"/>
    <m/>
    <n v="0"/>
    <n v="33145"/>
    <n v="8160"/>
    <n v="15875"/>
    <n v="31620"/>
    <n v="16355"/>
    <n v="29659.65"/>
    <n v="20539.3"/>
    <n v="20264.3"/>
    <n v="30329.3"/>
    <n v="25738.3"/>
    <n v="39348.800000000003"/>
    <n v="271034.64999999997"/>
    <n v="-13610.500000000004"/>
  </r>
  <r>
    <x v="17"/>
    <x v="7"/>
    <x v="0"/>
    <s v="3800150"/>
    <n v="714530"/>
    <s v="Medical Prof Fees-Intracompany"/>
    <s v="Emergency Services"/>
    <x v="0"/>
    <m/>
    <n v="0"/>
    <n v="0"/>
    <n v="0"/>
    <n v="0"/>
    <n v="0"/>
    <n v="0"/>
    <n v="6119.03"/>
    <n v="1282.96"/>
    <n v="1219.82"/>
    <n v="509.47"/>
    <n v="798.96"/>
    <n v="41.65"/>
    <n v="9971.8899999999976"/>
    <n v="757.31000000000006"/>
  </r>
  <r>
    <x v="7"/>
    <x v="7"/>
    <x v="0"/>
    <s v="3800150"/>
    <n v="718050"/>
    <s v="Contract Svcs-Other"/>
    <s v="Emergency Services"/>
    <x v="0"/>
    <m/>
    <n v="0"/>
    <n v="97.58"/>
    <n v="1700.29"/>
    <n v="48.79"/>
    <n v="48.79"/>
    <n v="1548.79"/>
    <n v="48.78"/>
    <n v="48.78"/>
    <n v="48.78"/>
    <n v="48.78"/>
    <n v="48.78"/>
    <n v="48.78"/>
    <n v="3736.920000000001"/>
    <n v="0"/>
  </r>
  <r>
    <x v="7"/>
    <x v="7"/>
    <x v="0"/>
    <s v="3800150"/>
    <n v="718050"/>
    <s v="Miscellaneous Purchased Svcs"/>
    <s v="Emergency Services"/>
    <x v="0"/>
    <n v="1020"/>
    <n v="14458.72"/>
    <n v="5822.79"/>
    <n v="6245.23"/>
    <n v="6245.24"/>
    <n v="5857.99"/>
    <n v="6670.5"/>
    <n v="6918.27"/>
    <n v="6229.42"/>
    <n v="6229.43"/>
    <n v="7442.58"/>
    <n v="6560.13"/>
    <n v="5885.89"/>
    <n v="84566.189999999988"/>
    <n v="674.23999999999978"/>
  </r>
  <r>
    <x v="7"/>
    <x v="7"/>
    <x v="0"/>
    <s v="3800150"/>
    <n v="718050"/>
    <s v="Contract Management--Linen"/>
    <s v="Emergency Services"/>
    <x v="0"/>
    <n v="1026"/>
    <n v="2340.0500000000002"/>
    <n v="3161.08"/>
    <n v="3907.31"/>
    <n v="2591.9699999999998"/>
    <n v="3392.14"/>
    <n v="3092.59"/>
    <n v="3893.14"/>
    <n v="3937.55"/>
    <n v="3079.97"/>
    <n v="3594.21"/>
    <n v="3722.11"/>
    <n v="4120.12"/>
    <n v="40832.240000000005"/>
    <n v="-398.00999999999976"/>
  </r>
  <r>
    <x v="11"/>
    <x v="7"/>
    <x v="0"/>
    <s v="3800150"/>
    <n v="721010"/>
    <s v="Supplies-Medical - Billable"/>
    <s v="Emergency Services"/>
    <x v="0"/>
    <m/>
    <n v="1380.69"/>
    <n v="1309.29"/>
    <n v="1071.3900000000001"/>
    <n v="1369.59"/>
    <n v="1163.71"/>
    <n v="1168.7"/>
    <n v="1920.82"/>
    <n v="1715.28"/>
    <n v="1294.99"/>
    <n v="1341.92"/>
    <n v="1675.13"/>
    <n v="1092.26"/>
    <n v="16503.77"/>
    <n v="582.87000000000012"/>
  </r>
  <r>
    <x v="11"/>
    <x v="7"/>
    <x v="0"/>
    <s v="3800150"/>
    <n v="721010"/>
    <s v="Patient Monitoring"/>
    <s v="Emergency Services"/>
    <x v="0"/>
    <n v="1000"/>
    <n v="410.04"/>
    <n v="808.13"/>
    <n v="1072.82"/>
    <n v="511.11"/>
    <n v="1066.78"/>
    <n v="486.56"/>
    <n v="923.72"/>
    <n v="711.11"/>
    <n v="750.19"/>
    <n v="684.65"/>
    <n v="830.48"/>
    <n v="745.01"/>
    <n v="9000.6"/>
    <n v="85.470000000000027"/>
  </r>
  <r>
    <x v="11"/>
    <x v="7"/>
    <x v="0"/>
    <s v="3800150"/>
    <n v="721020"/>
    <s v="Supplies-Surgical - Billable"/>
    <s v="Emergency Services"/>
    <x v="0"/>
    <m/>
    <n v="169.89"/>
    <n v="173.42"/>
    <n v="-0.26"/>
    <n v="100.38"/>
    <n v="9.81"/>
    <n v="11.92"/>
    <n v="207.5"/>
    <n v="474.36"/>
    <n v="137.5"/>
    <n v="169.06"/>
    <n v="876.31"/>
    <n v="109.39"/>
    <n v="2439.2799999999997"/>
    <n v="766.92"/>
  </r>
  <r>
    <x v="11"/>
    <x v="7"/>
    <x v="0"/>
    <s v="3800150"/>
    <n v="721020"/>
    <s v="Custom Packs"/>
    <s v="Emergency Services"/>
    <x v="0"/>
    <n v="1000"/>
    <n v="551.69000000000005"/>
    <n v="799.89"/>
    <n v="545.6"/>
    <n v="476.43"/>
    <n v="524.30999999999995"/>
    <n v="508.65"/>
    <n v="416.32"/>
    <n v="293.38"/>
    <n v="287.01"/>
    <n v="336.44"/>
    <n v="711.94"/>
    <n v="491.58"/>
    <n v="5943.24"/>
    <n v="220.36000000000007"/>
  </r>
  <r>
    <x v="11"/>
    <x v="7"/>
    <x v="0"/>
    <s v="3800150"/>
    <n v="721020"/>
    <s v="Suture/Wound Closure"/>
    <s v="Emergency Services"/>
    <x v="0"/>
    <n v="1001"/>
    <n v="334.36"/>
    <n v="367.48"/>
    <n v="143.41"/>
    <n v="638.04"/>
    <n v="362.93"/>
    <n v="95.32"/>
    <n v="365.88"/>
    <n v="78.38"/>
    <n v="69.08"/>
    <n v="211.53"/>
    <n v="639.66999999999996"/>
    <n v="289.19"/>
    <n v="3595.2700000000004"/>
    <n v="350.47999999999996"/>
  </r>
  <r>
    <x v="11"/>
    <x v="7"/>
    <x v="0"/>
    <s v="3800150"/>
    <n v="721020"/>
    <s v="Endomechanical Supplies &amp; Instruments"/>
    <s v="Emergency Services"/>
    <x v="0"/>
    <n v="1003"/>
    <n v="0"/>
    <n v="0"/>
    <n v="0"/>
    <n v="40.200000000000003"/>
    <n v="0"/>
    <n v="40.200000000000003"/>
    <n v="0"/>
    <n v="0"/>
    <n v="0"/>
    <n v="0"/>
    <n v="-120.6"/>
    <n v="0"/>
    <n v="-40.199999999999989"/>
    <n v="-120.6"/>
  </r>
  <r>
    <x v="11"/>
    <x v="7"/>
    <x v="0"/>
    <s v="3800150"/>
    <n v="721020"/>
    <s v="Urological Supplies"/>
    <s v="Emergency Services"/>
    <x v="0"/>
    <n v="1006"/>
    <n v="0"/>
    <n v="0"/>
    <n v="64.180000000000007"/>
    <n v="0"/>
    <n v="0"/>
    <n v="0"/>
    <n v="0"/>
    <n v="0"/>
    <n v="0"/>
    <n v="0"/>
    <n v="0"/>
    <n v="0"/>
    <n v="64.180000000000007"/>
    <n v="0"/>
  </r>
  <r>
    <x v="11"/>
    <x v="7"/>
    <x v="0"/>
    <s v="3800150"/>
    <n v="721020"/>
    <s v="Surgical Cardiovascular"/>
    <s v="Emergency Services"/>
    <x v="0"/>
    <n v="1007"/>
    <n v="1.49"/>
    <n v="0"/>
    <n v="2.97"/>
    <n v="0"/>
    <n v="3.5"/>
    <n v="4.0199999999999996"/>
    <n v="0"/>
    <n v="2.97"/>
    <n v="0"/>
    <n v="0"/>
    <n v="0"/>
    <n v="2.97"/>
    <n v="17.920000000000002"/>
    <n v="-2.97"/>
  </r>
  <r>
    <x v="11"/>
    <x v="7"/>
    <x v="0"/>
    <s v="3800150"/>
    <n v="721020"/>
    <s v="Tubes Drains &amp; Related Supplies"/>
    <s v="Emergency Services"/>
    <x v="0"/>
    <n v="1008"/>
    <n v="101.2"/>
    <n v="14.48"/>
    <n v="-14.49"/>
    <n v="207.95"/>
    <n v="14.44"/>
    <n v="28.88"/>
    <n v="233.2"/>
    <n v="54.72"/>
    <n v="41.34"/>
    <n v="14.44"/>
    <n v="112.81"/>
    <n v="28.87"/>
    <n v="837.84"/>
    <n v="83.94"/>
  </r>
  <r>
    <x v="11"/>
    <x v="7"/>
    <x v="0"/>
    <s v="3800150"/>
    <n v="721050"/>
    <s v="Supplies-Cardiac Rhythm - Billable"/>
    <s v="Emergency Services"/>
    <x v="0"/>
    <m/>
    <n v="0"/>
    <n v="0"/>
    <n v="0"/>
    <n v="332.27"/>
    <n v="0"/>
    <n v="217.26"/>
    <n v="0"/>
    <n v="64.75"/>
    <n v="0"/>
    <n v="0"/>
    <n v="0"/>
    <n v="0"/>
    <n v="614.28"/>
    <n v="0"/>
  </r>
  <r>
    <x v="11"/>
    <x v="7"/>
    <x v="0"/>
    <s v="3800150"/>
    <n v="721240"/>
    <s v="Supplies-IV Solutions/Supplies - Billable"/>
    <s v="Emergency Services"/>
    <x v="0"/>
    <m/>
    <n v="4584.72"/>
    <n v="4187.66"/>
    <n v="3651.13"/>
    <n v="4345.63"/>
    <n v="3716.13"/>
    <n v="5043.1400000000003"/>
    <n v="4660.92"/>
    <n v="4549.72"/>
    <n v="4594.82"/>
    <n v="4571.53"/>
    <n v="5127.5600000000004"/>
    <n v="4152.1899999999996"/>
    <n v="53185.15"/>
    <n v="975.3700000000008"/>
  </r>
  <r>
    <x v="11"/>
    <x v="7"/>
    <x v="0"/>
    <s v="3800150"/>
    <n v="721250"/>
    <s v="Supplies-Pharmacy Drugs - Billable"/>
    <s v="Emergency Services"/>
    <x v="0"/>
    <m/>
    <n v="28.45"/>
    <n v="17.43"/>
    <n v="11.04"/>
    <n v="11.04"/>
    <n v="11.04"/>
    <n v="11.04"/>
    <n v="11.04"/>
    <n v="11.05"/>
    <n v="11.05"/>
    <n v="0"/>
    <n v="28.52"/>
    <n v="17.47"/>
    <n v="169.17"/>
    <n v="11.05"/>
  </r>
  <r>
    <x v="11"/>
    <x v="7"/>
    <x v="0"/>
    <s v="3800150"/>
    <n v="721410"/>
    <s v="Supplies-Medical - Nonbillable"/>
    <s v="Emergency Services"/>
    <x v="0"/>
    <m/>
    <n v="7484.98"/>
    <n v="3007.26"/>
    <n v="4727.41"/>
    <n v="6273.36"/>
    <n v="4873.3999999999996"/>
    <n v="5725.74"/>
    <n v="6738.73"/>
    <n v="5568.23"/>
    <n v="5579"/>
    <n v="4627.53"/>
    <n v="6141.55"/>
    <n v="5641.82"/>
    <n v="66389.00999999998"/>
    <n v="499.73000000000047"/>
  </r>
  <r>
    <x v="11"/>
    <x v="7"/>
    <x v="0"/>
    <s v="3800150"/>
    <n v="721410"/>
    <s v="Patient Monitoring"/>
    <s v="Emergency Services"/>
    <x v="0"/>
    <n v="1000"/>
    <n v="-256.25"/>
    <n v="11.95"/>
    <n v="32.020000000000003"/>
    <n v="19.64"/>
    <n v="27.52"/>
    <n v="23.84"/>
    <n v="40.81"/>
    <n v="26.01"/>
    <n v="15.67"/>
    <n v="12.6"/>
    <n v="12.14"/>
    <n v="29.01"/>
    <n v="-5.0399999999999601"/>
    <n v="-16.87"/>
  </r>
  <r>
    <x v="11"/>
    <x v="7"/>
    <x v="0"/>
    <s v="3800150"/>
    <n v="721420"/>
    <s v="Supplies-Surgical Nonbillable"/>
    <s v="Emergency Services"/>
    <x v="0"/>
    <m/>
    <n v="158.72"/>
    <n v="195.17"/>
    <n v="225.77"/>
    <n v="1309.94"/>
    <n v="51.54"/>
    <n v="183.06"/>
    <n v="160.05000000000001"/>
    <n v="315.04000000000002"/>
    <n v="60.9"/>
    <n v="322.70999999999998"/>
    <n v="375.68"/>
    <n v="29.89"/>
    <n v="3388.47"/>
    <n v="345.79"/>
  </r>
  <r>
    <x v="11"/>
    <x v="7"/>
    <x v="0"/>
    <s v="3800150"/>
    <n v="721420"/>
    <s v="Heart/Lung Machine Supplies"/>
    <s v="Emergency Services"/>
    <x v="0"/>
    <n v="1005"/>
    <n v="8.4"/>
    <n v="0"/>
    <n v="14.28"/>
    <n v="4.2"/>
    <n v="5.04"/>
    <n v="15.12"/>
    <n v="4.2"/>
    <n v="10.08"/>
    <n v="5.04"/>
    <n v="7.98"/>
    <n v="10.38"/>
    <n v="7.98"/>
    <n v="92.7"/>
    <n v="2.4000000000000004"/>
  </r>
  <r>
    <x v="11"/>
    <x v="7"/>
    <x v="0"/>
    <s v="3800150"/>
    <n v="721420"/>
    <s v="Tubes Drains &amp; Related Supplies"/>
    <s v="Emergency Services"/>
    <x v="0"/>
    <n v="1008"/>
    <n v="73.040000000000006"/>
    <n v="101.44"/>
    <n v="501.72"/>
    <n v="287.12"/>
    <n v="332.77"/>
    <n v="14.55"/>
    <n v="82.63"/>
    <n v="70.98"/>
    <n v="211.99"/>
    <n v="387.92"/>
    <n v="-10.48"/>
    <n v="-9.9499999999999993"/>
    <n v="2043.7299999999998"/>
    <n v="-0.53000000000000114"/>
  </r>
  <r>
    <x v="11"/>
    <x v="7"/>
    <x v="0"/>
    <s v="3800150"/>
    <n v="721420"/>
    <s v="Sterilization Process Products"/>
    <s v="Emergency Services"/>
    <x v="0"/>
    <n v="1009"/>
    <n v="2.38"/>
    <n v="83.29"/>
    <n v="2.38"/>
    <n v="17.84"/>
    <n v="11.9"/>
    <n v="38.08"/>
    <n v="23.8"/>
    <n v="16.66"/>
    <n v="45.22"/>
    <n v="14.28"/>
    <n v="88.12"/>
    <n v="-92.03"/>
    <n v="251.92000000000004"/>
    <n v="180.15"/>
  </r>
  <r>
    <x v="11"/>
    <x v="7"/>
    <x v="0"/>
    <s v="3800150"/>
    <n v="721610"/>
    <s v="Supplies-Anesthesia - Nonbillable"/>
    <s v="Emergency Services"/>
    <x v="0"/>
    <m/>
    <n v="189.83"/>
    <n v="245.55"/>
    <n v="167.73"/>
    <n v="168.88"/>
    <n v="167.59"/>
    <n v="275.26"/>
    <n v="202.83"/>
    <n v="409.37"/>
    <n v="342.51"/>
    <n v="521.88"/>
    <n v="485.85"/>
    <n v="368.52"/>
    <n v="3545.8"/>
    <n v="117.33000000000004"/>
  </r>
  <r>
    <x v="11"/>
    <x v="7"/>
    <x v="0"/>
    <s v="3800150"/>
    <n v="721640"/>
    <s v="Supplies-IV Solutions/Supplies - Nonbillable"/>
    <s v="Emergency Services"/>
    <x v="0"/>
    <m/>
    <n v="1457.15"/>
    <n v="1550.61"/>
    <n v="1175.8"/>
    <n v="1377.35"/>
    <n v="1359.59"/>
    <n v="1847.1"/>
    <n v="2137.5"/>
    <n v="1541.24"/>
    <n v="2249.77"/>
    <n v="1690.27"/>
    <n v="1641.82"/>
    <n v="1093.48"/>
    <n v="19121.68"/>
    <n v="548.33999999999992"/>
  </r>
  <r>
    <x v="11"/>
    <x v="7"/>
    <x v="0"/>
    <s v="3800150"/>
    <n v="721650"/>
    <s v="Supplies-Pharmacy Drugs - Nonbillable"/>
    <s v="Emergency Services"/>
    <x v="0"/>
    <m/>
    <n v="14.97"/>
    <n v="3.39"/>
    <n v="64.06"/>
    <n v="12.26"/>
    <n v="21.86"/>
    <n v="26.92"/>
    <n v="17.399999999999999"/>
    <n v="40.69"/>
    <n v="9.15"/>
    <n v="22.26"/>
    <n v="15.26"/>
    <n v="20.97"/>
    <n v="269.19"/>
    <n v="-5.7099999999999991"/>
  </r>
  <r>
    <x v="11"/>
    <x v="7"/>
    <x v="0"/>
    <s v="3800150"/>
    <n v="721710"/>
    <s v="Supplies-Laboratory - Nonbillable"/>
    <s v="Emergency Services"/>
    <x v="0"/>
    <m/>
    <n v="280.52999999999997"/>
    <n v="395.6"/>
    <n v="326.95"/>
    <n v="320.89999999999998"/>
    <n v="358.15"/>
    <n v="429.96"/>
    <n v="383.65"/>
    <n v="344.66"/>
    <n v="339.49"/>
    <n v="402.02"/>
    <n v="717.97"/>
    <n v="358.24"/>
    <n v="4658.12"/>
    <n v="359.73"/>
  </r>
  <r>
    <x v="11"/>
    <x v="7"/>
    <x v="0"/>
    <s v="3800150"/>
    <n v="721710"/>
    <s v="Reagents"/>
    <s v="Emergency Services"/>
    <x v="0"/>
    <n v="1000"/>
    <n v="52.38"/>
    <n v="139.13999999999999"/>
    <n v="43.23"/>
    <n v="46.38"/>
    <n v="22.42"/>
    <n v="103.65"/>
    <n v="77.41"/>
    <n v="99.04"/>
    <n v="25.79"/>
    <n v="165.39"/>
    <n v="46.38"/>
    <n v="23.19"/>
    <n v="844.4"/>
    <n v="23.19"/>
  </r>
  <r>
    <x v="11"/>
    <x v="7"/>
    <x v="0"/>
    <s v="3800150"/>
    <n v="721750"/>
    <s v="Supplies-Film/Radiographic - Nonbillable"/>
    <s v="Emergency Services"/>
    <x v="0"/>
    <m/>
    <n v="0"/>
    <n v="3.74"/>
    <n v="1.87"/>
    <n v="280.74"/>
    <n v="5.61"/>
    <n v="0"/>
    <n v="3.74"/>
    <n v="0"/>
    <n v="241.43"/>
    <n v="14.05"/>
    <n v="47.24"/>
    <n v="36.909999999999997"/>
    <n v="635.33000000000004"/>
    <n v="10.330000000000005"/>
  </r>
  <r>
    <x v="11"/>
    <x v="7"/>
    <x v="0"/>
    <s v="3800150"/>
    <n v="721810"/>
    <s v="Supplies-Dietary/Cafeteria"/>
    <s v="Emergency Services"/>
    <x v="0"/>
    <m/>
    <n v="1143.53"/>
    <n v="1517.56"/>
    <n v="1047.1099999999999"/>
    <n v="861.92"/>
    <n v="1122.6600000000001"/>
    <n v="1033.6300000000001"/>
    <n v="1061.74"/>
    <n v="915.83"/>
    <n v="1358.15"/>
    <n v="962.92"/>
    <n v="1162.3"/>
    <n v="980.11"/>
    <n v="13167.46"/>
    <n v="182.18999999999994"/>
  </r>
  <r>
    <x v="11"/>
    <x v="7"/>
    <x v="0"/>
    <s v="3800150"/>
    <n v="721830"/>
    <s v="Supplies-Office"/>
    <s v="Emergency Services"/>
    <x v="0"/>
    <m/>
    <n v="137.38"/>
    <n v="362.23"/>
    <n v="82.93"/>
    <n v="326.23"/>
    <n v="275.86"/>
    <n v="160.22999999999999"/>
    <n v="559.53"/>
    <n v="153.62"/>
    <n v="231.72"/>
    <n v="235.51"/>
    <n v="200.01"/>
    <n v="154.57"/>
    <n v="2879.82"/>
    <n v="45.44"/>
  </r>
  <r>
    <x v="11"/>
    <x v="7"/>
    <x v="0"/>
    <s v="3800150"/>
    <n v="721835"/>
    <s v="Supplies-Forms"/>
    <s v="Emergency Services"/>
    <x v="0"/>
    <m/>
    <n v="0"/>
    <n v="0"/>
    <n v="0"/>
    <n v="0"/>
    <n v="57.3"/>
    <n v="83.65"/>
    <n v="47.35"/>
    <n v="0"/>
    <n v="61.3"/>
    <n v="9.8000000000000007"/>
    <n v="52.26"/>
    <n v="3"/>
    <n v="314.65999999999997"/>
    <n v="49.26"/>
  </r>
  <r>
    <x v="11"/>
    <x v="7"/>
    <x v="0"/>
    <s v="3800150"/>
    <n v="721870"/>
    <s v="Supplies-Environmental Services"/>
    <s v="Emergency Services"/>
    <x v="0"/>
    <m/>
    <n v="257.85000000000002"/>
    <n v="275.82"/>
    <n v="226.18"/>
    <n v="239.7"/>
    <n v="232.55"/>
    <n v="284.33"/>
    <n v="291.89999999999998"/>
    <n v="236.39"/>
    <n v="377.48"/>
    <n v="360.88"/>
    <n v="419.04"/>
    <n v="366.46"/>
    <n v="3568.58"/>
    <n v="52.580000000000041"/>
  </r>
  <r>
    <x v="11"/>
    <x v="7"/>
    <x v="0"/>
    <s v="3800150"/>
    <n v="721880"/>
    <s v="Supplies-Linen"/>
    <s v="Emergency Services"/>
    <x v="0"/>
    <m/>
    <n v="176.55"/>
    <n v="192.6"/>
    <n v="176.55"/>
    <n v="186.18"/>
    <n v="144.44999999999999"/>
    <n v="170.13"/>
    <n v="166.92"/>
    <n v="208.65"/>
    <n v="202.23"/>
    <n v="182.97"/>
    <n v="240.75"/>
    <n v="138.03"/>
    <n v="2186.0100000000002"/>
    <n v="102.72"/>
  </r>
  <r>
    <x v="11"/>
    <x v="7"/>
    <x v="0"/>
    <s v="3800150"/>
    <n v="721910"/>
    <s v="Supplies-Small Equipment"/>
    <s v="Emergency Services"/>
    <x v="0"/>
    <m/>
    <n v="4237.7700000000004"/>
    <n v="1337.39"/>
    <n v="37.86"/>
    <n v="267.45"/>
    <n v="27.21"/>
    <n v="705.24"/>
    <n v="54.07"/>
    <n v="33.85"/>
    <n v="33.44"/>
    <n v="982.2"/>
    <n v="1.43"/>
    <n v="38.96"/>
    <n v="7756.87"/>
    <n v="-37.53"/>
  </r>
  <r>
    <x v="11"/>
    <x v="7"/>
    <x v="0"/>
    <s v="3800150"/>
    <n v="721910"/>
    <s v="Instruments"/>
    <s v="Emergency Services"/>
    <x v="0"/>
    <n v="1000"/>
    <n v="7.47"/>
    <n v="268"/>
    <n v="28.27"/>
    <n v="6.77"/>
    <n v="1.58"/>
    <n v="183.37"/>
    <n v="391.25"/>
    <n v="3.95"/>
    <n v="7.22"/>
    <n v="5.98"/>
    <n v="273.99"/>
    <n v="3.16"/>
    <n v="1181.0100000000002"/>
    <n v="270.83"/>
  </r>
  <r>
    <x v="11"/>
    <x v="7"/>
    <x v="0"/>
    <s v="3800150"/>
    <n v="721980"/>
    <s v="Supplies-Other"/>
    <s v="Emergency Services"/>
    <x v="0"/>
    <m/>
    <n v="671.17"/>
    <n v="386.73"/>
    <n v="0"/>
    <n v="-24.46"/>
    <n v="29.42"/>
    <n v="0"/>
    <n v="0"/>
    <n v="57.26"/>
    <n v="0"/>
    <n v="78.58"/>
    <n v="33.96"/>
    <n v="0"/>
    <n v="1232.6600000000001"/>
    <n v="33.96"/>
  </r>
  <r>
    <x v="11"/>
    <x v="7"/>
    <x v="0"/>
    <s v="3800150"/>
    <n v="722000"/>
    <s v="Supplies-Freight Expense"/>
    <s v="Emergency Services"/>
    <x v="0"/>
    <m/>
    <n v="24.37"/>
    <n v="97.17"/>
    <n v="52.45"/>
    <n v="52.86"/>
    <n v="62.22"/>
    <n v="26.06"/>
    <n v="148.72"/>
    <n v="20.66"/>
    <n v="0"/>
    <n v="0"/>
    <n v="43.27"/>
    <n v="28.21"/>
    <n v="555.99000000000012"/>
    <n v="15.060000000000002"/>
  </r>
  <r>
    <x v="12"/>
    <x v="7"/>
    <x v="0"/>
    <s v="3800150"/>
    <n v="730020"/>
    <s v="Rental and Leases-Copier Usage Fees (DO NOT USE)"/>
    <s v="Emergency Services"/>
    <x v="0"/>
    <n v="5100"/>
    <n v="21.21"/>
    <n v="21.94"/>
    <n v="21.57"/>
    <n v="21.58"/>
    <n v="21.58"/>
    <n v="21.58"/>
    <n v="530.12"/>
    <n v="81.650000000000006"/>
    <n v="81.48"/>
    <n v="185.16"/>
    <n v="81.650000000000006"/>
    <n v="81.650000000000006"/>
    <n v="1171.17"/>
    <n v="0"/>
  </r>
  <r>
    <x v="15"/>
    <x v="7"/>
    <x v="0"/>
    <s v="3800150"/>
    <n v="731060"/>
    <s v="Cell Phones"/>
    <s v="Emergency Services"/>
    <x v="0"/>
    <n v="1001"/>
    <n v="0"/>
    <n v="102.47"/>
    <n v="50.78"/>
    <n v="0"/>
    <n v="50.91"/>
    <n v="51.42"/>
    <n v="104"/>
    <n v="0"/>
    <n v="52.53"/>
    <n v="47.16"/>
    <n v="26.47"/>
    <n v="26.74"/>
    <n v="512.48"/>
    <n v="-0.26999999999999957"/>
  </r>
  <r>
    <x v="15"/>
    <x v="7"/>
    <x v="0"/>
    <s v="3800150"/>
    <n v="731060"/>
    <s v="Pagers"/>
    <s v="Emergency Services"/>
    <x v="0"/>
    <n v="1002"/>
    <n v="16.2"/>
    <n v="16.2"/>
    <n v="16.2"/>
    <n v="16.239999999999998"/>
    <n v="16.239999999999998"/>
    <n v="0"/>
    <n v="15.7"/>
    <n v="8.1199999999999992"/>
    <n v="8.1199999999999992"/>
    <n v="8.1199999999999992"/>
    <n v="8.1199999999999992"/>
    <n v="8.1199999999999992"/>
    <n v="137.38"/>
    <n v="0"/>
  </r>
  <r>
    <x v="16"/>
    <x v="7"/>
    <x v="0"/>
    <s v="3800150"/>
    <n v="732020"/>
    <s v="Repairs--Clin Equip-Parts-Internal to CHI Programs"/>
    <s v="Emergency Services"/>
    <x v="0"/>
    <m/>
    <n v="0"/>
    <n v="0.03"/>
    <n v="0"/>
    <n v="193.15"/>
    <n v="0.44"/>
    <n v="115.14"/>
    <n v="0"/>
    <n v="0"/>
    <n v="0"/>
    <n v="0"/>
    <n v="0"/>
    <n v="168.92"/>
    <n v="477.67999999999995"/>
    <n v="-168.92"/>
  </r>
  <r>
    <x v="16"/>
    <x v="7"/>
    <x v="0"/>
    <s v="3800150"/>
    <n v="732030"/>
    <s v="Repairs---Other"/>
    <s v="Emergency Services"/>
    <x v="0"/>
    <m/>
    <n v="827.34"/>
    <n v="9.2200000000000006"/>
    <n v="165.05"/>
    <n v="78.33"/>
    <n v="116.56"/>
    <n v="233.36"/>
    <n v="28.08"/>
    <n v="4.07"/>
    <n v="0"/>
    <n v="93.91"/>
    <n v="629.75"/>
    <n v="0"/>
    <n v="2185.67"/>
    <n v="629.75"/>
  </r>
  <r>
    <x v="13"/>
    <x v="7"/>
    <x v="0"/>
    <s v="3800150"/>
    <n v="735070"/>
    <s v="Depreciation-Movable Equipment"/>
    <s v="Emergency Services"/>
    <x v="0"/>
    <m/>
    <n v="4749.24"/>
    <n v="4749.22"/>
    <n v="4749.2700000000004"/>
    <n v="4749.2"/>
    <n v="4749.29"/>
    <n v="4573.3599999999997"/>
    <n v="4573.5"/>
    <n v="2304.7600000000002"/>
    <n v="2304.96"/>
    <n v="2304.6999999999998"/>
    <n v="2304.96"/>
    <n v="2304.69"/>
    <n v="44417.15"/>
    <n v="0.26999999999998181"/>
  </r>
  <r>
    <x v="0"/>
    <x v="7"/>
    <x v="0"/>
    <s v="3800150"/>
    <n v="740020"/>
    <s v="Education-Registration Fees"/>
    <s v="Emergency Services"/>
    <x v="0"/>
    <m/>
    <n v="0"/>
    <n v="0"/>
    <n v="700"/>
    <n v="430"/>
    <n v="165"/>
    <n v="0"/>
    <n v="0"/>
    <n v="0"/>
    <n v="700"/>
    <n v="520"/>
    <n v="565"/>
    <n v="525"/>
    <n v="3605"/>
    <n v="40"/>
  </r>
  <r>
    <x v="0"/>
    <x v="7"/>
    <x v="0"/>
    <s v="3800150"/>
    <n v="742010"/>
    <s v="Postage-Regular"/>
    <s v="Emergency Services"/>
    <x v="0"/>
    <m/>
    <n v="0"/>
    <n v="0"/>
    <n v="739.5"/>
    <n v="0"/>
    <n v="0"/>
    <n v="0"/>
    <n v="0"/>
    <n v="0"/>
    <n v="0"/>
    <n v="0"/>
    <n v="0"/>
    <n v="0"/>
    <n v="739.5"/>
    <n v="0"/>
  </r>
  <r>
    <x v="0"/>
    <x v="7"/>
    <x v="0"/>
    <s v="3800150"/>
    <n v="743020"/>
    <s v="Dues--Individual"/>
    <s v="Emergency Services"/>
    <x v="0"/>
    <m/>
    <n v="0"/>
    <n v="0"/>
    <n v="0"/>
    <n v="0"/>
    <n v="113"/>
    <n v="0"/>
    <n v="0"/>
    <n v="0"/>
    <n v="0"/>
    <n v="0"/>
    <n v="0"/>
    <n v="554"/>
    <n v="667"/>
    <n v="-554"/>
  </r>
  <r>
    <x v="0"/>
    <x v="7"/>
    <x v="0"/>
    <s v="3800150"/>
    <n v="749510"/>
    <s v="Miscellaneous Expenses"/>
    <s v="Emergency Services"/>
    <x v="0"/>
    <m/>
    <n v="62.69"/>
    <n v="-72.760000000000005"/>
    <n v="82.51"/>
    <n v="186.91"/>
    <n v="620.62"/>
    <n v="-807.53"/>
    <n v="0"/>
    <n v="0"/>
    <n v="0"/>
    <n v="0"/>
    <n v="85.84"/>
    <n v="735.95"/>
    <n v="894.23000000000013"/>
    <n v="-650.11"/>
  </r>
  <r>
    <x v="0"/>
    <x v="7"/>
    <x v="0"/>
    <s v="3800150"/>
    <n v="749510"/>
    <s v="RICE Rewards"/>
    <s v="Emergency Services"/>
    <x v="0"/>
    <n v="5100"/>
    <n v="0"/>
    <n v="0"/>
    <n v="0"/>
    <n v="0"/>
    <n v="0"/>
    <n v="0"/>
    <n v="0"/>
    <n v="0"/>
    <n v="0"/>
    <n v="39.28"/>
    <n v="0"/>
    <n v="175"/>
    <n v="214.28"/>
    <n v="-175"/>
  </r>
  <r>
    <x v="0"/>
    <x v="7"/>
    <x v="0"/>
    <s v="3800150"/>
    <n v="749530"/>
    <s v="Travel"/>
    <s v="Emergency Services"/>
    <x v="0"/>
    <m/>
    <n v="0"/>
    <n v="0"/>
    <n v="0"/>
    <n v="0"/>
    <n v="12"/>
    <n v="42.23"/>
    <n v="0"/>
    <n v="43.49"/>
    <n v="0"/>
    <n v="0"/>
    <n v="0"/>
    <n v="0"/>
    <n v="97.72"/>
    <n v="0"/>
  </r>
  <r>
    <x v="0"/>
    <x v="7"/>
    <x v="0"/>
    <s v="3800150"/>
    <n v="749530"/>
    <s v="Mileage"/>
    <s v="Emergency Services"/>
    <x v="0"/>
    <n v="1001"/>
    <n v="19.079999999999998"/>
    <n v="132.46"/>
    <n v="0"/>
    <n v="0"/>
    <n v="166.24"/>
    <n v="32.159999999999997"/>
    <n v="15.81"/>
    <n v="50.46"/>
    <n v="173.42"/>
    <n v="118.32"/>
    <n v="85.26"/>
    <n v="386.28"/>
    <n v="1179.49"/>
    <n v="-301.02"/>
  </r>
  <r>
    <x v="0"/>
    <x v="7"/>
    <x v="0"/>
    <s v="3800150"/>
    <n v="749535"/>
    <s v="Meetings"/>
    <s v="Emergency Services"/>
    <x v="0"/>
    <m/>
    <n v="0"/>
    <n v="0"/>
    <n v="0"/>
    <n v="0"/>
    <n v="0"/>
    <n v="0"/>
    <n v="0"/>
    <n v="122.66"/>
    <n v="0"/>
    <n v="0"/>
    <n v="0"/>
    <n v="0"/>
    <n v="122.66"/>
    <n v="0"/>
  </r>
  <r>
    <x v="19"/>
    <x v="6"/>
    <x v="0"/>
    <s v="3801107"/>
    <n v="400020"/>
    <s v="O/P Care Svcs Rev--Medicare"/>
    <s v="Obstetrical Emergency"/>
    <x v="0"/>
    <n v="1100"/>
    <n v="0"/>
    <n v="0"/>
    <n v="0"/>
    <n v="0"/>
    <n v="0"/>
    <n v="0"/>
    <n v="0"/>
    <n v="-221.44"/>
    <n v="0"/>
    <n v="0"/>
    <n v="0"/>
    <n v="0"/>
    <n v="-221.44"/>
    <n v="0"/>
  </r>
  <r>
    <x v="19"/>
    <x v="6"/>
    <x v="0"/>
    <s v="3801107"/>
    <n v="400020"/>
    <s v="O/P Care Svcs Rev--Medicaid"/>
    <s v="Obstetrical Emergency"/>
    <x v="0"/>
    <n v="1200"/>
    <n v="-810"/>
    <n v="0"/>
    <n v="0"/>
    <n v="0"/>
    <n v="0"/>
    <n v="0"/>
    <n v="0"/>
    <n v="0"/>
    <n v="0"/>
    <n v="0"/>
    <n v="0"/>
    <n v="0"/>
    <n v="-810"/>
    <n v="0"/>
  </r>
  <r>
    <x v="5"/>
    <x v="6"/>
    <x v="0"/>
    <s v="3801107"/>
    <n v="700026"/>
    <s v="Salaries-RN-Productive"/>
    <s v="Obstetrical Emergency"/>
    <x v="0"/>
    <m/>
    <n v="0"/>
    <n v="1422.64"/>
    <n v="325.01"/>
    <n v="-88.14"/>
    <n v="140.80000000000001"/>
    <n v="-45.75"/>
    <n v="3004.34"/>
    <n v="-790.54"/>
    <n v="355.77"/>
    <n v="-129.36000000000001"/>
    <n v="0"/>
    <n v="3083.65"/>
    <n v="7278.42"/>
    <n v="-3083.65"/>
  </r>
  <r>
    <x v="5"/>
    <x v="6"/>
    <x v="0"/>
    <s v="3801107"/>
    <n v="700026"/>
    <s v="Salaries-RN-OT"/>
    <s v="Obstetrical Emergency"/>
    <x v="0"/>
    <n v="1000"/>
    <n v="148.38999999999999"/>
    <n v="233.64"/>
    <n v="191.09"/>
    <n v="191.67"/>
    <n v="98.22"/>
    <n v="-11.32"/>
    <n v="77.98"/>
    <n v="31.47"/>
    <n v="-13.67"/>
    <n v="65.17"/>
    <n v="-27.15"/>
    <n v="585.36"/>
    <n v="1570.85"/>
    <n v="-612.51"/>
  </r>
  <r>
    <x v="5"/>
    <x v="6"/>
    <x v="0"/>
    <s v="3801107"/>
    <n v="700026"/>
    <s v="Salaries-RN-Other"/>
    <s v="Obstetrical Emergency"/>
    <x v="0"/>
    <n v="2000"/>
    <n v="2.0099999999999998"/>
    <n v="307.51"/>
    <n v="58.04"/>
    <n v="-46.18"/>
    <n v="4.09"/>
    <n v="-1.08"/>
    <n v="140.82"/>
    <n v="-36.369999999999997"/>
    <n v="6.91"/>
    <n v="-1.72"/>
    <n v="-0.35"/>
    <n v="554.58000000000004"/>
    <n v="988.26"/>
    <n v="-554.93000000000006"/>
  </r>
  <r>
    <x v="5"/>
    <x v="6"/>
    <x v="0"/>
    <s v="3801107"/>
    <n v="700066"/>
    <s v="Salaries-RN-Non-productive"/>
    <s v="Obstetrical Emergency"/>
    <x v="0"/>
    <m/>
    <n v="4727.8900000000003"/>
    <n v="2810.25"/>
    <n v="-401.38"/>
    <n v="881.77"/>
    <n v="2657.04"/>
    <n v="5569.13"/>
    <n v="3379.15"/>
    <n v="576.79"/>
    <n v="433.09"/>
    <n v="3104.9"/>
    <n v="9315.1200000000008"/>
    <n v="-2659.17"/>
    <n v="30394.580000000009"/>
    <n v="11974.29"/>
  </r>
  <r>
    <x v="5"/>
    <x v="6"/>
    <x v="0"/>
    <s v="3801107"/>
    <n v="700066"/>
    <s v="Salaries-RN-NonProd-Other"/>
    <s v="Obstetrical Emergency"/>
    <x v="0"/>
    <n v="2000"/>
    <n v="569.97"/>
    <n v="378.01"/>
    <n v="-12.52"/>
    <n v="101.06"/>
    <n v="216.63"/>
    <n v="591.04999999999995"/>
    <n v="67.27"/>
    <n v="11.49"/>
    <n v="8.6300000000000008"/>
    <n v="61.81"/>
    <n v="185.43"/>
    <n v="-52.92"/>
    <n v="2125.91"/>
    <n v="238.35000000000002"/>
  </r>
  <r>
    <x v="5"/>
    <x v="6"/>
    <x v="0"/>
    <s v="3801107"/>
    <n v="700084"/>
    <s v="Accrued PTO"/>
    <s v="Obstetrical Emergency"/>
    <x v="0"/>
    <m/>
    <n v="-3304.38"/>
    <n v="-4777.6400000000003"/>
    <n v="883.95"/>
    <n v="-490.78"/>
    <n v="-2065.88"/>
    <n v="-196.41"/>
    <n v="250.18"/>
    <n v="574.20000000000005"/>
    <n v="457.31"/>
    <n v="-1690.15"/>
    <n v="-5048.99"/>
    <n v="-502.26"/>
    <n v="-15910.849999999999"/>
    <n v="-4546.7299999999996"/>
  </r>
  <r>
    <x v="6"/>
    <x v="6"/>
    <x v="0"/>
    <s v="3801107"/>
    <n v="713010"/>
    <s v="Benefits-FICA/Medicare"/>
    <s v="Obstetrical Emergency"/>
    <x v="0"/>
    <m/>
    <n v="400.05"/>
    <n v="378.91"/>
    <n v="12.48"/>
    <n v="76.61"/>
    <n v="229.66"/>
    <n v="800.97"/>
    <n v="495.79"/>
    <n v="-15.39"/>
    <n v="58.82"/>
    <n v="230.58"/>
    <n v="703.76"/>
    <n v="99.05"/>
    <n v="3471.2900000000009"/>
    <n v="604.71"/>
  </r>
  <r>
    <x v="6"/>
    <x v="6"/>
    <x v="0"/>
    <s v="3801107"/>
    <n v="713090"/>
    <s v="Benefits-Allocated Amounts"/>
    <s v="Obstetrical Emergency"/>
    <x v="0"/>
    <m/>
    <n v="696.88"/>
    <n v="506.72"/>
    <n v="13.32"/>
    <n v="121.3"/>
    <n v="465.78"/>
    <n v="705.59"/>
    <n v="911.33"/>
    <n v="82.4"/>
    <n v="88.8"/>
    <n v="432.54"/>
    <n v="1149.01"/>
    <n v="160.24"/>
    <n v="5333.91"/>
    <n v="988.77"/>
  </r>
  <r>
    <x v="1"/>
    <x v="3"/>
    <x v="0"/>
    <s v="3802101"/>
    <n v="400040"/>
    <s v="Physician Svcs Rev--Medicare"/>
    <s v="Forensic Nurse Examiner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3"/>
    <x v="0"/>
    <s v="3802101"/>
    <n v="400040"/>
    <s v="Physician Svcs Rev--Medicaid"/>
    <s v="Forensic Nurse Examiner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3"/>
    <x v="0"/>
    <s v="3802101"/>
    <n v="400040"/>
    <s v="Physician Svcs Rev--Comm Insurance"/>
    <s v="Forensic Nurse Examiner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3"/>
    <x v="0"/>
    <s v="3802101"/>
    <n v="400040"/>
    <s v="Physician Svcs Rev--BCBS Comm"/>
    <s v="Forensic Nurse Examiner"/>
    <x v="0"/>
    <n v="1301"/>
    <n v="0"/>
    <n v="0"/>
    <n v="0"/>
    <n v="0"/>
    <n v="0"/>
    <n v="0"/>
    <n v="0"/>
    <n v="0"/>
    <n v="0"/>
    <n v="0"/>
    <n v="0"/>
    <n v="0"/>
    <n v="0"/>
    <n v="0"/>
  </r>
  <r>
    <x v="1"/>
    <x v="3"/>
    <x v="0"/>
    <s v="3802101"/>
    <n v="400040"/>
    <s v="Physician Svcs Rev--Managed Care"/>
    <s v="Forensic Nurse Examiner"/>
    <x v="0"/>
    <n v="1400"/>
    <n v="0"/>
    <n v="0"/>
    <n v="0"/>
    <n v="0"/>
    <n v="0"/>
    <n v="0"/>
    <n v="0"/>
    <n v="0"/>
    <n v="0"/>
    <n v="0"/>
    <n v="0"/>
    <n v="0"/>
    <n v="0"/>
    <n v="0"/>
  </r>
  <r>
    <x v="1"/>
    <x v="3"/>
    <x v="0"/>
    <s v="3802101"/>
    <n v="400040"/>
    <s v="Physician Svcs Rev--Self Pay"/>
    <s v="Forensic Nurse Examiner"/>
    <x v="0"/>
    <n v="1500"/>
    <n v="0"/>
    <n v="0"/>
    <n v="0"/>
    <n v="0"/>
    <n v="0"/>
    <n v="0"/>
    <n v="0"/>
    <n v="0"/>
    <n v="0"/>
    <n v="0"/>
    <n v="0"/>
    <n v="0"/>
    <n v="0"/>
    <n v="0"/>
  </r>
  <r>
    <x v="1"/>
    <x v="3"/>
    <x v="0"/>
    <s v="3802101"/>
    <n v="400040"/>
    <s v="Physician Svcs Rev--Other"/>
    <s v="Forensic Nurse Examiner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3"/>
    <x v="0"/>
    <s v="3802101"/>
    <n v="450040"/>
    <s v="Contr Allow--Phys Svcs--Mcare"/>
    <s v="Forensic Nurse Examiner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3"/>
    <x v="0"/>
    <s v="3802101"/>
    <n v="450040"/>
    <s v="Contr Allow--Phys Svcs--Mcaid"/>
    <s v="Forensic Nurse Examiner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3"/>
    <x v="0"/>
    <s v="3802101"/>
    <n v="450040"/>
    <s v="Contr Allow--Phys Svcs--Managed Care"/>
    <s v="Forensic Nurse Examiner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3"/>
    <x v="0"/>
    <s v="3802101"/>
    <n v="450040"/>
    <s v="Admin Adjust-Phys Svcs-Self Pay"/>
    <s v="Forensic Nurse Examiner"/>
    <x v="0"/>
    <n v="1600"/>
    <n v="0"/>
    <n v="0"/>
    <n v="0"/>
    <n v="0"/>
    <n v="0"/>
    <n v="0"/>
    <n v="0"/>
    <n v="0"/>
    <n v="0"/>
    <n v="0"/>
    <n v="0"/>
    <n v="0"/>
    <n v="0"/>
    <n v="0"/>
  </r>
  <r>
    <x v="2"/>
    <x v="3"/>
    <x v="0"/>
    <s v="3802101"/>
    <n v="450040"/>
    <s v="Contr Allow--Phys Svcs--Other"/>
    <s v="Forensic Nurse Examiner"/>
    <x v="0"/>
    <n v="1700"/>
    <n v="0"/>
    <n v="0"/>
    <n v="0"/>
    <n v="0"/>
    <n v="0"/>
    <n v="0"/>
    <n v="0"/>
    <n v="0"/>
    <n v="0"/>
    <n v="0"/>
    <n v="0"/>
    <n v="0"/>
    <n v="0"/>
    <n v="0"/>
  </r>
  <r>
    <x v="4"/>
    <x v="3"/>
    <x v="0"/>
    <s v="3802101"/>
    <n v="490010"/>
    <s v="Provision for Bad Debts"/>
    <s v="Forensic Nurse Examiner"/>
    <x v="0"/>
    <m/>
    <n v="0"/>
    <n v="0"/>
    <n v="0"/>
    <n v="0"/>
    <n v="0"/>
    <n v="0"/>
    <n v="0"/>
    <n v="0"/>
    <n v="0"/>
    <n v="0"/>
    <n v="0"/>
    <n v="0"/>
    <n v="0"/>
    <n v="0"/>
  </r>
  <r>
    <x v="18"/>
    <x v="6"/>
    <x v="0"/>
    <s v="3802107"/>
    <n v="400010"/>
    <s v="Acute I/P Svcs Rev--Medicare"/>
    <s v="Emergency-Silverdale"/>
    <x v="0"/>
    <n v="1100"/>
    <n v="-375321.05"/>
    <n v="-384515.97"/>
    <n v="-472690.38"/>
    <n v="-275773.24"/>
    <n v="-375733.21"/>
    <n v="-253752"/>
    <n v="-436172.38"/>
    <n v="-416860.78"/>
    <n v="-432488.2"/>
    <n v="-388305.61"/>
    <n v="-445766.24"/>
    <n v="-371238.26"/>
    <n v="-4628617.3199999994"/>
    <n v="-74527.979999999981"/>
  </r>
  <r>
    <x v="18"/>
    <x v="6"/>
    <x v="0"/>
    <s v="3802107"/>
    <n v="400010"/>
    <s v="Acute I/P Svcs Rev--Medicaid"/>
    <s v="Emergency-Silverdale"/>
    <x v="0"/>
    <n v="1200"/>
    <n v="-177847.25"/>
    <n v="-109312.95"/>
    <n v="-173467.68"/>
    <n v="-134900"/>
    <n v="-77700.69"/>
    <n v="-139980.73000000001"/>
    <n v="-138111.07"/>
    <n v="-93684.14"/>
    <n v="-187072.33"/>
    <n v="-174910.93"/>
    <n v="-183447.26"/>
    <n v="-84563.839999999997"/>
    <n v="-1674998.87"/>
    <n v="-98883.420000000013"/>
  </r>
  <r>
    <x v="18"/>
    <x v="6"/>
    <x v="0"/>
    <s v="3802107"/>
    <n v="400010"/>
    <s v="Acute I/P Svcs Rev--Comm Insurance"/>
    <s v="Emergency-Silverdale"/>
    <x v="0"/>
    <n v="1300"/>
    <n v="-2558.36"/>
    <n v="889.16"/>
    <n v="-7229.75"/>
    <n v="-33030.519999999997"/>
    <n v="-4103.2"/>
    <n v="-6688.38"/>
    <n v="-14070.92"/>
    <n v="0"/>
    <n v="-38210.11"/>
    <n v="3578.03"/>
    <n v="-3470.74"/>
    <n v="3470.74"/>
    <n v="-101424.05"/>
    <n v="-6941.48"/>
  </r>
  <r>
    <x v="18"/>
    <x v="6"/>
    <x v="0"/>
    <s v="3802107"/>
    <n v="400010"/>
    <s v="Acute I/P Svcs Rev--BCBS Comm"/>
    <s v="Emergency-Silverdale"/>
    <x v="0"/>
    <n v="1301"/>
    <n v="-29469.58"/>
    <n v="-59905.29"/>
    <n v="-59228.28"/>
    <n v="-46240.91"/>
    <n v="-53490.82"/>
    <n v="-49808.57"/>
    <n v="-59295.23"/>
    <n v="-67220.39"/>
    <n v="-75132.350000000006"/>
    <n v="-69900.69"/>
    <n v="-66122.16"/>
    <n v="-29770.39"/>
    <n v="-665584.66000000015"/>
    <n v="-36351.770000000004"/>
  </r>
  <r>
    <x v="18"/>
    <x v="6"/>
    <x v="0"/>
    <s v="3802107"/>
    <n v="400010"/>
    <s v="Acute I/P Svcs Rev--Managed Care"/>
    <s v="Emergency-Silverdale"/>
    <x v="0"/>
    <n v="1400"/>
    <n v="-122294.27"/>
    <n v="-81940.86"/>
    <n v="-151384.89000000001"/>
    <n v="-79597.490000000005"/>
    <n v="-120904.84"/>
    <n v="-143457.24"/>
    <n v="-124742.49"/>
    <n v="-147457.1"/>
    <n v="-92505.46"/>
    <n v="-48431.56"/>
    <n v="-53794.09"/>
    <n v="-120833.79"/>
    <n v="-1287344.08"/>
    <n v="67039.7"/>
  </r>
  <r>
    <x v="18"/>
    <x v="6"/>
    <x v="0"/>
    <s v="3802107"/>
    <n v="400010"/>
    <s v="Acute I/P Svcs Rev--Self Pay"/>
    <s v="Emergency-Silverdale"/>
    <x v="0"/>
    <n v="1500"/>
    <n v="-20547.810000000001"/>
    <n v="-32380.71"/>
    <n v="-26955.4"/>
    <n v="11373.96"/>
    <n v="0"/>
    <n v="-21724.86"/>
    <n v="-5975.59"/>
    <n v="-16739.93"/>
    <n v="-14100.44"/>
    <n v="-30488.52"/>
    <n v="-7234.09"/>
    <n v="-12277.66"/>
    <n v="-177051.05000000002"/>
    <n v="5043.57"/>
  </r>
  <r>
    <x v="18"/>
    <x v="6"/>
    <x v="0"/>
    <s v="3802107"/>
    <n v="400010"/>
    <s v="Acute I/P Svcs Rev--Other"/>
    <s v="Emergency-Silverdale"/>
    <x v="0"/>
    <n v="1700"/>
    <n v="-58584.639999999999"/>
    <n v="-48979.95"/>
    <n v="-28889.59"/>
    <n v="-46892.09"/>
    <n v="-41640.39"/>
    <n v="-51252.54"/>
    <n v="-40579.61"/>
    <n v="-35171.440000000002"/>
    <n v="-62988.83"/>
    <n v="-27959.040000000001"/>
    <n v="-30751.63"/>
    <n v="-48063.72"/>
    <n v="-521753.47"/>
    <n v="17312.09"/>
  </r>
  <r>
    <x v="19"/>
    <x v="6"/>
    <x v="0"/>
    <s v="3802107"/>
    <n v="400020"/>
    <s v="O/P Care Svcs Rev--Medicare"/>
    <s v="Emergency-Silverdale"/>
    <x v="0"/>
    <n v="1100"/>
    <n v="-1309556.48"/>
    <n v="-1396698.74"/>
    <n v="-1191785.97"/>
    <n v="-1272324.03"/>
    <n v="-1188997.03"/>
    <n v="-1329539.2"/>
    <n v="-1217547.28"/>
    <n v="-1223186.1100000001"/>
    <n v="-1433608.78"/>
    <n v="-1385060.37"/>
    <n v="-1335791.8799999999"/>
    <n v="-1348870.15"/>
    <n v="-15632966.019999998"/>
    <n v="13078.270000000019"/>
  </r>
  <r>
    <x v="19"/>
    <x v="6"/>
    <x v="0"/>
    <s v="3802107"/>
    <n v="400020"/>
    <s v="O/P Care Svcs Rev--Medicaid"/>
    <s v="Emergency-Silverdale"/>
    <x v="0"/>
    <n v="1200"/>
    <n v="-1921036.31"/>
    <n v="-2044350.2"/>
    <n v="-1814004.26"/>
    <n v="-1844957.07"/>
    <n v="-2051612.48"/>
    <n v="-1957547.58"/>
    <n v="-2109808.5699999998"/>
    <n v="-1999480.88"/>
    <n v="-2462940.58"/>
    <n v="-2029809.94"/>
    <n v="-2211414.87"/>
    <n v="-1918820.8"/>
    <n v="-24365783.540000003"/>
    <n v="-292594.07000000007"/>
  </r>
  <r>
    <x v="19"/>
    <x v="6"/>
    <x v="0"/>
    <s v="3802107"/>
    <n v="400020"/>
    <s v="O/P Care Svcs Rev--Comm Insurance"/>
    <s v="Emergency-Silverdale"/>
    <x v="0"/>
    <n v="1300"/>
    <n v="-259171.77"/>
    <n v="-71458.58"/>
    <n v="-147042.22"/>
    <n v="-173365.35"/>
    <n v="-137847.19"/>
    <n v="-152490.22"/>
    <n v="-161314.93"/>
    <n v="-224824.82"/>
    <n v="-167897.35"/>
    <n v="-128019.5"/>
    <n v="-175895.91"/>
    <n v="-201644.32"/>
    <n v="-2000972.16"/>
    <n v="25748.410000000003"/>
  </r>
  <r>
    <x v="19"/>
    <x v="6"/>
    <x v="0"/>
    <s v="3802107"/>
    <n v="400020"/>
    <s v="O/P Care Svcs Rev--BCBS Comm"/>
    <s v="Emergency-Silverdale"/>
    <x v="0"/>
    <n v="1301"/>
    <n v="-579029.54"/>
    <n v="-563716.21"/>
    <n v="-498078.12"/>
    <n v="-597298.11"/>
    <n v="-525911.66"/>
    <n v="-727386.61"/>
    <n v="-636417.54"/>
    <n v="-652410.31999999995"/>
    <n v="-634006.6"/>
    <n v="-646034.06999999995"/>
    <n v="-665495.98"/>
    <n v="-665893.61"/>
    <n v="-7391678.3700000001"/>
    <n v="397.63000000000466"/>
  </r>
  <r>
    <x v="19"/>
    <x v="6"/>
    <x v="0"/>
    <s v="3802107"/>
    <n v="400020"/>
    <s v="O/P Care Svcs Rev--Managed Care"/>
    <s v="Emergency-Silverdale"/>
    <x v="0"/>
    <n v="1400"/>
    <n v="-1092236.48"/>
    <n v="-1301764.43"/>
    <n v="-1125892.46"/>
    <n v="-1251872.29"/>
    <n v="-973731.49"/>
    <n v="-1158822.79"/>
    <n v="-1231857.07"/>
    <n v="-1171927.55"/>
    <n v="-1211764.47"/>
    <n v="-1272151.82"/>
    <n v="-1211012.22"/>
    <n v="-1140366.67"/>
    <n v="-14143399.740000002"/>
    <n v="-70645.550000000047"/>
  </r>
  <r>
    <x v="19"/>
    <x v="6"/>
    <x v="0"/>
    <s v="3802107"/>
    <n v="400020"/>
    <s v="O/P Care Svcs Rev--Self Pay"/>
    <s v="Emergency-Silverdale"/>
    <x v="0"/>
    <n v="1500"/>
    <n v="-247665.58"/>
    <n v="-297326.15000000002"/>
    <n v="-205938.12"/>
    <n v="-279293.7"/>
    <n v="-282129.46999999997"/>
    <n v="-241035.68"/>
    <n v="-174013.49"/>
    <n v="-253478.33"/>
    <n v="-252677.81"/>
    <n v="-299222.45"/>
    <n v="-264135.93"/>
    <n v="-314946.86"/>
    <n v="-3111863.5700000003"/>
    <n v="50810.929999999993"/>
  </r>
  <r>
    <x v="19"/>
    <x v="6"/>
    <x v="0"/>
    <s v="3802107"/>
    <n v="400020"/>
    <s v="O/P Care Svcs Rev--Other"/>
    <s v="Emergency-Silverdale"/>
    <x v="0"/>
    <n v="1700"/>
    <n v="-1195729.27"/>
    <n v="-1030367.45"/>
    <n v="-988337.69"/>
    <n v="-988979.75"/>
    <n v="-855133.98"/>
    <n v="-1059491.02"/>
    <n v="-1028996.01"/>
    <n v="-1183697.58"/>
    <n v="-1377574.78"/>
    <n v="-1107495.7"/>
    <n v="-1058972.01"/>
    <n v="-1141549.83"/>
    <n v="-13016325.069999998"/>
    <n v="82577.820000000065"/>
  </r>
  <r>
    <x v="5"/>
    <x v="6"/>
    <x v="0"/>
    <s v="3802107"/>
    <n v="700014"/>
    <s v="Salaries-Management-Productive"/>
    <s v="Emergency-Silverdale"/>
    <x v="0"/>
    <m/>
    <n v="10780.31"/>
    <n v="9411.4699999999993"/>
    <n v="11814.69"/>
    <n v="10833.37"/>
    <n v="10285.84"/>
    <n v="10765.4"/>
    <n v="11374.89"/>
    <n v="9902.44"/>
    <n v="12146.16"/>
    <n v="10444.01"/>
    <n v="9994.92"/>
    <n v="10681.09"/>
    <n v="128434.59"/>
    <n v="-686.17000000000007"/>
  </r>
  <r>
    <x v="5"/>
    <x v="6"/>
    <x v="0"/>
    <s v="3802107"/>
    <n v="700018"/>
    <s v="Salaries-Supervisory-Productive"/>
    <s v="Emergency-Silverdale"/>
    <x v="0"/>
    <m/>
    <n v="6929.81"/>
    <n v="10009.879999999999"/>
    <n v="9240.18"/>
    <n v="9598.06"/>
    <n v="9299.76"/>
    <n v="7378.08"/>
    <n v="9687.0300000000007"/>
    <n v="8692.7199999999993"/>
    <n v="6209.2"/>
    <n v="3849.65"/>
    <n v="4315.2"/>
    <n v="9593.07"/>
    <n v="94802.639999999985"/>
    <n v="-5277.87"/>
  </r>
  <r>
    <x v="5"/>
    <x v="6"/>
    <x v="0"/>
    <s v="3802107"/>
    <n v="700026"/>
    <s v="Salaries-RN-Productive"/>
    <s v="Emergency-Silverdale"/>
    <x v="0"/>
    <m/>
    <n v="160118.03"/>
    <n v="144483.01"/>
    <n v="140288.14000000001"/>
    <n v="143010.98000000001"/>
    <n v="133964.73000000001"/>
    <n v="145717.92000000001"/>
    <n v="150067.71"/>
    <n v="134073.79"/>
    <n v="140120.69"/>
    <n v="154119.63"/>
    <n v="155317.51"/>
    <n v="153116.12"/>
    <n v="1754398.2599999998"/>
    <n v="2201.390000000014"/>
  </r>
  <r>
    <x v="5"/>
    <x v="6"/>
    <x v="0"/>
    <s v="3802107"/>
    <n v="700026"/>
    <s v="Salaries-RN-OT"/>
    <s v="Emergency-Silverdale"/>
    <x v="0"/>
    <n v="1000"/>
    <n v="10306.58"/>
    <n v="6053.48"/>
    <n v="8709.0400000000009"/>
    <n v="5780.94"/>
    <n v="8130.69"/>
    <n v="7952.09"/>
    <n v="8924.98"/>
    <n v="12432.13"/>
    <n v="8080.46"/>
    <n v="9022.73"/>
    <n v="14457.81"/>
    <n v="5427.59"/>
    <n v="105278.51999999999"/>
    <n v="9030.2199999999993"/>
  </r>
  <r>
    <x v="5"/>
    <x v="6"/>
    <x v="0"/>
    <s v="3802107"/>
    <n v="700026"/>
    <s v="Salaries-RN-Other"/>
    <s v="Emergency-Silverdale"/>
    <x v="0"/>
    <n v="2000"/>
    <n v="16738.16"/>
    <n v="15582.78"/>
    <n v="14713.55"/>
    <n v="15652.06"/>
    <n v="14095.19"/>
    <n v="14714.07"/>
    <n v="16369.41"/>
    <n v="13512.17"/>
    <n v="13987.4"/>
    <n v="16518.45"/>
    <n v="15912.07"/>
    <n v="15042.14"/>
    <n v="182837.45"/>
    <n v="869.93000000000029"/>
  </r>
  <r>
    <x v="5"/>
    <x v="6"/>
    <x v="0"/>
    <s v="3802107"/>
    <n v="700030"/>
    <s v="Salaries-LPN-Productive"/>
    <s v="Emergency-Silverdale"/>
    <x v="0"/>
    <m/>
    <n v="0"/>
    <n v="0"/>
    <n v="0"/>
    <n v="0"/>
    <n v="0"/>
    <n v="0"/>
    <n v="0"/>
    <n v="0"/>
    <n v="0"/>
    <n v="0"/>
    <n v="0"/>
    <n v="178.98"/>
    <n v="178.98"/>
    <n v="-178.98"/>
  </r>
  <r>
    <x v="5"/>
    <x v="6"/>
    <x v="0"/>
    <s v="3802107"/>
    <n v="700030"/>
    <s v="Salaries-LPN-Other"/>
    <s v="Emergency-Silverdale"/>
    <x v="0"/>
    <n v="2000"/>
    <n v="0"/>
    <n v="0"/>
    <n v="0"/>
    <n v="0"/>
    <n v="0"/>
    <n v="0"/>
    <n v="0"/>
    <n v="0"/>
    <n v="0"/>
    <n v="0"/>
    <n v="0"/>
    <n v="40.75"/>
    <n v="40.75"/>
    <n v="-40.75"/>
  </r>
  <r>
    <x v="5"/>
    <x v="6"/>
    <x v="0"/>
    <s v="3802107"/>
    <n v="700032"/>
    <s v="Salaries-Other Pat Care Providers-Productive"/>
    <s v="Emergency-Silverdale"/>
    <x v="0"/>
    <m/>
    <n v="34433.89"/>
    <n v="35353.360000000001"/>
    <n v="38853.03"/>
    <n v="43356.24"/>
    <n v="32538.560000000001"/>
    <n v="39071.33"/>
    <n v="37278.42"/>
    <n v="37626.21"/>
    <n v="38459.15"/>
    <n v="40576.199999999997"/>
    <n v="38992.160000000003"/>
    <n v="35522.85"/>
    <n v="452061.4"/>
    <n v="3469.3100000000049"/>
  </r>
  <r>
    <x v="5"/>
    <x v="6"/>
    <x v="0"/>
    <s v="3802107"/>
    <n v="700032"/>
    <s v="Salaries-Other Pat Care Providers-OT"/>
    <s v="Emergency-Silverdale"/>
    <x v="0"/>
    <n v="1000"/>
    <n v="3433.98"/>
    <n v="2503.0300000000002"/>
    <n v="2709.03"/>
    <n v="2299.37"/>
    <n v="1292.24"/>
    <n v="1058.7"/>
    <n v="1519.28"/>
    <n v="2431.6"/>
    <n v="2566.3200000000002"/>
    <n v="2252.7399999999998"/>
    <n v="3785.89"/>
    <n v="4447.0200000000004"/>
    <n v="30299.200000000001"/>
    <n v="-661.13000000000056"/>
  </r>
  <r>
    <x v="5"/>
    <x v="6"/>
    <x v="0"/>
    <s v="3802107"/>
    <n v="700032"/>
    <s v="Salaries-Other Pat Care Providers-Other"/>
    <s v="Emergency-Silverdale"/>
    <x v="0"/>
    <n v="2000"/>
    <n v="3556.78"/>
    <n v="4007.02"/>
    <n v="4038.41"/>
    <n v="4781.72"/>
    <n v="3932.37"/>
    <n v="4536.67"/>
    <n v="3585.03"/>
    <n v="4448.75"/>
    <n v="3979.03"/>
    <n v="4317.33"/>
    <n v="3208.4"/>
    <n v="4240.8999999999996"/>
    <n v="48632.41"/>
    <n v="-1032.4999999999995"/>
  </r>
  <r>
    <x v="5"/>
    <x v="6"/>
    <x v="0"/>
    <s v="3802107"/>
    <n v="700038"/>
    <s v="Salaries-Service/Support-Productive"/>
    <s v="Emergency-Silverdale"/>
    <x v="0"/>
    <m/>
    <n v="2933.37"/>
    <n v="2602.3000000000002"/>
    <n v="2446.21"/>
    <n v="2083.73"/>
    <n v="2837.17"/>
    <n v="873.06"/>
    <n v="1263.03"/>
    <n v="0"/>
    <n v="0"/>
    <n v="0"/>
    <n v="0"/>
    <n v="1457.09"/>
    <n v="16495.96"/>
    <n v="-1457.09"/>
  </r>
  <r>
    <x v="5"/>
    <x v="6"/>
    <x v="0"/>
    <s v="3802107"/>
    <n v="700038"/>
    <s v="Salaries-Service/Support-OT"/>
    <s v="Emergency-Silverdale"/>
    <x v="0"/>
    <n v="1000"/>
    <n v="0"/>
    <n v="0"/>
    <n v="0"/>
    <n v="0"/>
    <n v="24.54"/>
    <n v="-11.81"/>
    <n v="0"/>
    <n v="0"/>
    <n v="0"/>
    <n v="0"/>
    <n v="0"/>
    <n v="13.65"/>
    <n v="26.38"/>
    <n v="-13.65"/>
  </r>
  <r>
    <x v="5"/>
    <x v="6"/>
    <x v="0"/>
    <s v="3802107"/>
    <n v="700054"/>
    <s v="Salaries-Management-Non-productive"/>
    <s v="Emergency-Silverdale"/>
    <x v="0"/>
    <m/>
    <n v="892.23"/>
    <n v="1640.57"/>
    <n v="-518"/>
    <n v="1024"/>
    <n v="1231.44"/>
    <n v="410.48"/>
    <n v="0"/>
    <n v="0"/>
    <n v="0"/>
    <n v="1090.17"/>
    <n v="1924.13"/>
    <n v="-1145.07"/>
    <n v="6549.95"/>
    <n v="3069.2"/>
  </r>
  <r>
    <x v="5"/>
    <x v="6"/>
    <x v="0"/>
    <s v="3802107"/>
    <n v="700054"/>
    <s v="Salaries-Management-NonProd-Other"/>
    <s v="Emergency-Silverdale"/>
    <x v="0"/>
    <n v="2000"/>
    <n v="0"/>
    <n v="0"/>
    <n v="0"/>
    <n v="0"/>
    <n v="0"/>
    <n v="201.49"/>
    <n v="-201.49"/>
    <n v="0"/>
    <n v="0"/>
    <n v="0"/>
    <n v="0"/>
    <n v="0"/>
    <n v="0"/>
    <n v="0"/>
  </r>
  <r>
    <x v="5"/>
    <x v="6"/>
    <x v="0"/>
    <s v="3802107"/>
    <n v="700058"/>
    <s v="Salaries-Supervisory-Non-productive"/>
    <s v="Emergency-Silverdale"/>
    <x v="0"/>
    <m/>
    <n v="2617.81"/>
    <n v="-461.81"/>
    <n v="0"/>
    <n v="0"/>
    <n v="0"/>
    <n v="1736"/>
    <n v="0"/>
    <n v="0"/>
    <n v="3414.92"/>
    <n v="-1241.74"/>
    <n v="0"/>
    <n v="0"/>
    <n v="6065.18"/>
    <n v="0"/>
  </r>
  <r>
    <x v="5"/>
    <x v="6"/>
    <x v="0"/>
    <s v="3802107"/>
    <n v="700066"/>
    <s v="Salaries-RN-Non-productive"/>
    <s v="Emergency-Silverdale"/>
    <x v="0"/>
    <m/>
    <n v="23336.89"/>
    <n v="23691.439999999999"/>
    <n v="34361.75"/>
    <n v="29492.87"/>
    <n v="18546.41"/>
    <n v="20000.36"/>
    <n v="17102.849999999999"/>
    <n v="24949.78"/>
    <n v="17645.61"/>
    <n v="16212.88"/>
    <n v="18309.39"/>
    <n v="20073.8"/>
    <n v="263724.03000000003"/>
    <n v="-1764.4099999999999"/>
  </r>
  <r>
    <x v="5"/>
    <x v="6"/>
    <x v="0"/>
    <s v="3802107"/>
    <n v="700066"/>
    <s v="Salaries-RN-NonProd-Other"/>
    <s v="Emergency-Silverdale"/>
    <x v="0"/>
    <n v="2000"/>
    <n v="1587.66"/>
    <n v="1753.7"/>
    <n v="2846.59"/>
    <n v="2366.52"/>
    <n v="1803.55"/>
    <n v="2053.25"/>
    <n v="644.82000000000005"/>
    <n v="943.37"/>
    <n v="1392.43"/>
    <n v="714.6"/>
    <n v="1414.38"/>
    <n v="3107.97"/>
    <n v="20628.840000000004"/>
    <n v="-1693.5899999999997"/>
  </r>
  <r>
    <x v="5"/>
    <x v="6"/>
    <x v="0"/>
    <s v="3802107"/>
    <n v="700072"/>
    <s v="Salaries-Other Pat Care Providers-Non-productive"/>
    <s v="Emergency-Silverdale"/>
    <x v="0"/>
    <m/>
    <n v="7559.41"/>
    <n v="5796.29"/>
    <n v="10729.51"/>
    <n v="4578.1099999999997"/>
    <n v="7227.67"/>
    <n v="4925.3"/>
    <n v="4068.88"/>
    <n v="3226.38"/>
    <n v="4597.16"/>
    <n v="1904.45"/>
    <n v="5426.3"/>
    <n v="11742.29"/>
    <n v="71781.75"/>
    <n v="-6315.9900000000007"/>
  </r>
  <r>
    <x v="5"/>
    <x v="6"/>
    <x v="0"/>
    <s v="3802107"/>
    <n v="700072"/>
    <s v="Salaries-Other Pat Care Providers-NonProd-Other"/>
    <s v="Emergency-Silverdale"/>
    <x v="0"/>
    <n v="2000"/>
    <n v="486.5"/>
    <n v="366.76"/>
    <n v="188.87"/>
    <n v="138.6"/>
    <n v="1151.6600000000001"/>
    <n v="1391.69"/>
    <n v="225"/>
    <n v="-1881.79"/>
    <n v="368.05"/>
    <n v="24.85"/>
    <n v="437.46"/>
    <n v="604.91"/>
    <n v="3502.5600000000004"/>
    <n v="-167.45"/>
  </r>
  <r>
    <x v="5"/>
    <x v="6"/>
    <x v="0"/>
    <s v="3802107"/>
    <n v="700078"/>
    <s v="Salaries-Service/Support-Non-productive"/>
    <s v="Emergency-Silverdale"/>
    <x v="0"/>
    <m/>
    <n v="0"/>
    <n v="0"/>
    <n v="0"/>
    <n v="331.2"/>
    <n v="0"/>
    <n v="775.96"/>
    <n v="-96.96"/>
    <n v="0"/>
    <n v="0"/>
    <n v="0"/>
    <n v="0"/>
    <n v="0"/>
    <n v="1010.2"/>
    <n v="0"/>
  </r>
  <r>
    <x v="5"/>
    <x v="6"/>
    <x v="0"/>
    <s v="3802107"/>
    <n v="700084"/>
    <s v="Accrued PTO"/>
    <s v="Emergency-Silverdale"/>
    <x v="0"/>
    <m/>
    <n v="10611.99"/>
    <n v="-1830.68"/>
    <n v="-6503.27"/>
    <n v="5211.2299999999996"/>
    <n v="-510.22"/>
    <n v="1949.27"/>
    <n v="9529.39"/>
    <n v="-5146.2299999999996"/>
    <n v="3717"/>
    <n v="6513.53"/>
    <n v="12587.04"/>
    <n v="-1963.4"/>
    <n v="34165.65"/>
    <n v="14550.44"/>
  </r>
  <r>
    <x v="10"/>
    <x v="6"/>
    <x v="0"/>
    <s v="3802107"/>
    <n v="710060"/>
    <s v="Contract Labor-Other"/>
    <s v="Emergency-Silverdale"/>
    <x v="0"/>
    <m/>
    <n v="5680"/>
    <n v="21442"/>
    <n v="20980.5"/>
    <n v="28826"/>
    <n v="48830.25"/>
    <n v="42546.75"/>
    <n v="19805.439999999999"/>
    <n v="32837.51"/>
    <n v="64331.33"/>
    <n v="29637.18"/>
    <n v="27388.25"/>
    <n v="43992.49"/>
    <n v="386297.7"/>
    <n v="-16604.239999999998"/>
  </r>
  <r>
    <x v="10"/>
    <x v="6"/>
    <x v="0"/>
    <s v="3802107"/>
    <n v="710060"/>
    <s v="Contract Labor-Overtime"/>
    <s v="Emergency-Silverdale"/>
    <x v="0"/>
    <n v="5100"/>
    <n v="0"/>
    <n v="1389.82"/>
    <n v="766.8"/>
    <n v="1581.52"/>
    <n v="383.4"/>
    <n v="2108.6999999999998"/>
    <n v="4600.8"/>
    <n v="5535.34"/>
    <n v="2372.29"/>
    <n v="1605.48"/>
    <n v="0"/>
    <n v="2156.63"/>
    <n v="22500.780000000002"/>
    <n v="-2156.63"/>
  </r>
  <r>
    <x v="6"/>
    <x v="6"/>
    <x v="0"/>
    <s v="3802107"/>
    <n v="713010"/>
    <s v="Benefits-FICA/Medicare"/>
    <s v="Emergency-Silverdale"/>
    <x v="0"/>
    <m/>
    <n v="21470.91"/>
    <n v="19690.310000000001"/>
    <n v="21037.95"/>
    <n v="20062.419999999998"/>
    <n v="18064.7"/>
    <n v="19853.07"/>
    <n v="19681.060000000001"/>
    <n v="19042.34"/>
    <n v="19126.82"/>
    <n v="19412.349999999999"/>
    <n v="20580.77"/>
    <n v="21944.240000000002"/>
    <n v="239966.93999999997"/>
    <n v="-1363.4700000000012"/>
  </r>
  <r>
    <x v="6"/>
    <x v="6"/>
    <x v="0"/>
    <s v="3802107"/>
    <n v="713090"/>
    <s v="Benefits-Allocated Amounts"/>
    <s v="Emergency-Silverdale"/>
    <x v="0"/>
    <m/>
    <n v="44456.4"/>
    <n v="36711.33"/>
    <n v="43809.48"/>
    <n v="42702.37"/>
    <n v="43329.35"/>
    <n v="41824.839999999997"/>
    <n v="42359"/>
    <n v="42931.65"/>
    <n v="34048.19"/>
    <n v="45701.16"/>
    <n v="44076.89"/>
    <n v="52150.94"/>
    <n v="514101.60000000003"/>
    <n v="-8074.0500000000029"/>
  </r>
  <r>
    <x v="6"/>
    <x v="6"/>
    <x v="0"/>
    <s v="3802107"/>
    <n v="713096"/>
    <s v="Employee Recognition"/>
    <s v="Emergency-Silverdale"/>
    <x v="0"/>
    <n v="1017"/>
    <n v="0"/>
    <n v="0"/>
    <n v="0"/>
    <n v="184.51"/>
    <n v="251.68"/>
    <n v="372.38"/>
    <n v="119"/>
    <n v="296.95"/>
    <n v="0"/>
    <n v="512.05999999999995"/>
    <n v="0"/>
    <n v="364.17"/>
    <n v="2100.75"/>
    <n v="-364.17"/>
  </r>
  <r>
    <x v="7"/>
    <x v="6"/>
    <x v="0"/>
    <s v="3802107"/>
    <n v="718050"/>
    <s v="Contract Svcs-Other"/>
    <s v="Emergency-Silverdale"/>
    <x v="0"/>
    <m/>
    <n v="1315.6"/>
    <n v="0"/>
    <n v="0"/>
    <n v="0"/>
    <n v="0"/>
    <n v="0"/>
    <n v="0"/>
    <n v="0"/>
    <n v="0"/>
    <n v="0"/>
    <n v="0"/>
    <n v="0"/>
    <n v="1315.6"/>
    <n v="0"/>
  </r>
  <r>
    <x v="7"/>
    <x v="6"/>
    <x v="0"/>
    <s v="3802107"/>
    <n v="718050"/>
    <s v="Miscellaneous Purchased Svcs"/>
    <s v="Emergency-Silverdale"/>
    <x v="0"/>
    <n v="1020"/>
    <n v="182.25"/>
    <n v="0"/>
    <n v="0"/>
    <n v="0"/>
    <n v="0"/>
    <n v="0"/>
    <n v="0"/>
    <n v="0"/>
    <n v="0"/>
    <n v="0"/>
    <n v="0"/>
    <n v="0"/>
    <n v="182.25"/>
    <n v="0"/>
  </r>
  <r>
    <x v="7"/>
    <x v="6"/>
    <x v="0"/>
    <s v="3802107"/>
    <n v="718050"/>
    <s v="Contract Management--Linen"/>
    <s v="Emergency-Silverdale"/>
    <x v="0"/>
    <n v="1026"/>
    <n v="8391.44"/>
    <n v="7435.87"/>
    <n v="8121.73"/>
    <n v="6407.99"/>
    <n v="8854.76"/>
    <n v="6073.65"/>
    <n v="7200.58"/>
    <n v="8760.49"/>
    <n v="7073.08"/>
    <n v="8850.44"/>
    <n v="7000.02"/>
    <n v="11359.14"/>
    <n v="95529.19"/>
    <n v="-4359.119999999999"/>
  </r>
  <r>
    <x v="7"/>
    <x v="6"/>
    <x v="0"/>
    <s v="3802107"/>
    <n v="718070"/>
    <s v="Contract Srvcs-CHI Clinical Engineering"/>
    <s v="Emergency-Silverdale"/>
    <x v="0"/>
    <m/>
    <n v="208.66"/>
    <n v="208.66"/>
    <n v="208.66"/>
    <n v="208.66"/>
    <n v="208.66"/>
    <n v="208.66"/>
    <n v="208.66"/>
    <n v="208.66"/>
    <n v="173.63"/>
    <n v="99.66"/>
    <n v="99.66"/>
    <n v="99.66"/>
    <n v="2141.8900000000003"/>
    <n v="0"/>
  </r>
  <r>
    <x v="11"/>
    <x v="6"/>
    <x v="0"/>
    <s v="3802107"/>
    <n v="721010"/>
    <s v="Supplies-Medical - Billable"/>
    <s v="Emergency-Silverdale"/>
    <x v="0"/>
    <m/>
    <n v="3447.53"/>
    <n v="5207.08"/>
    <n v="4047.56"/>
    <n v="3898.88"/>
    <n v="4010.09"/>
    <n v="3482.73"/>
    <n v="4275.26"/>
    <n v="3696.32"/>
    <n v="5383.24"/>
    <n v="3495.8"/>
    <n v="4046.86"/>
    <n v="4269.3999999999996"/>
    <n v="49260.75"/>
    <n v="-222.53999999999951"/>
  </r>
  <r>
    <x v="11"/>
    <x v="6"/>
    <x v="0"/>
    <s v="3802107"/>
    <n v="721010"/>
    <s v="Patient Monitoring"/>
    <s v="Emergency-Silverdale"/>
    <x v="0"/>
    <n v="1000"/>
    <n v="588.04999999999995"/>
    <n v="537.49"/>
    <n v="461.43"/>
    <n v="462.07"/>
    <n v="715.76"/>
    <n v="596.98"/>
    <n v="448.1"/>
    <n v="509.45"/>
    <n v="682.81"/>
    <n v="529.14"/>
    <n v="660.43"/>
    <n v="557.88"/>
    <n v="6749.59"/>
    <n v="102.54999999999995"/>
  </r>
  <r>
    <x v="11"/>
    <x v="6"/>
    <x v="0"/>
    <s v="3802107"/>
    <n v="721020"/>
    <s v="Supplies-Surgical - Billable"/>
    <s v="Emergency-Silverdale"/>
    <x v="0"/>
    <m/>
    <n v="39.340000000000003"/>
    <n v="16.95"/>
    <n v="0"/>
    <n v="32.92"/>
    <n v="111.79"/>
    <n v="52.21"/>
    <n v="43.19"/>
    <n v="15.77"/>
    <n v="38.159999999999997"/>
    <n v="39.08"/>
    <n v="203.44"/>
    <n v="10.8"/>
    <n v="603.64999999999986"/>
    <n v="192.64"/>
  </r>
  <r>
    <x v="11"/>
    <x v="6"/>
    <x v="0"/>
    <s v="3802107"/>
    <n v="721020"/>
    <s v="Custom Packs"/>
    <s v="Emergency-Silverdale"/>
    <x v="0"/>
    <n v="1000"/>
    <n v="48.1"/>
    <n v="110.6"/>
    <n v="201.72"/>
    <n v="282.70999999999998"/>
    <n v="265.2"/>
    <n v="162"/>
    <n v="176.8"/>
    <n v="162"/>
    <n v="176.8"/>
    <n v="191.6"/>
    <n v="140.19999999999999"/>
    <n v="257.8"/>
    <n v="2175.5299999999997"/>
    <n v="-117.60000000000002"/>
  </r>
  <r>
    <x v="11"/>
    <x v="6"/>
    <x v="0"/>
    <s v="3802107"/>
    <n v="721020"/>
    <s v="Suture/Wound Closure"/>
    <s v="Emergency-Silverdale"/>
    <x v="0"/>
    <n v="1001"/>
    <n v="456.48"/>
    <n v="485.01"/>
    <n v="407.93"/>
    <n v="424.65"/>
    <n v="327.43"/>
    <n v="223.08"/>
    <n v="152.91"/>
    <n v="41.29"/>
    <n v="202.2"/>
    <n v="648.15"/>
    <n v="367.11"/>
    <n v="723.23"/>
    <n v="4459.4699999999993"/>
    <n v="-356.12"/>
  </r>
  <r>
    <x v="11"/>
    <x v="6"/>
    <x v="0"/>
    <s v="3802107"/>
    <n v="721020"/>
    <s v="Urological Supplies"/>
    <s v="Emergency-Silverdale"/>
    <x v="0"/>
    <n v="1006"/>
    <n v="0"/>
    <n v="0"/>
    <n v="0"/>
    <n v="0"/>
    <n v="0"/>
    <n v="0"/>
    <n v="0"/>
    <n v="0"/>
    <n v="0"/>
    <n v="0"/>
    <n v="195.04"/>
    <n v="0"/>
    <n v="195.04"/>
    <n v="195.04"/>
  </r>
  <r>
    <x v="11"/>
    <x v="6"/>
    <x v="0"/>
    <s v="3802107"/>
    <n v="721020"/>
    <s v="Tubes Drains &amp; Related Supplies"/>
    <s v="Emergency-Silverdale"/>
    <x v="0"/>
    <n v="1008"/>
    <n v="7.8"/>
    <n v="166.35"/>
    <n v="0"/>
    <n v="0"/>
    <n v="0"/>
    <n v="0"/>
    <n v="0"/>
    <n v="29.93"/>
    <n v="0"/>
    <n v="5.2"/>
    <n v="0"/>
    <n v="0"/>
    <n v="209.28"/>
    <n v="0"/>
  </r>
  <r>
    <x v="11"/>
    <x v="6"/>
    <x v="0"/>
    <s v="3802107"/>
    <n v="721050"/>
    <s v="Supplies-Cardiac Rhythm - Billable"/>
    <s v="Emergency-Silverdale"/>
    <x v="0"/>
    <m/>
    <n v="0"/>
    <n v="0"/>
    <n v="0"/>
    <n v="63.16"/>
    <n v="0"/>
    <n v="0"/>
    <n v="0"/>
    <n v="0"/>
    <n v="0"/>
    <n v="528.25"/>
    <n v="37.590000000000003"/>
    <n v="0"/>
    <n v="629"/>
    <n v="37.590000000000003"/>
  </r>
  <r>
    <x v="11"/>
    <x v="6"/>
    <x v="0"/>
    <s v="3802107"/>
    <n v="721240"/>
    <s v="Supplies-IV Solutions/Supplies - Billable"/>
    <s v="Emergency-Silverdale"/>
    <x v="0"/>
    <m/>
    <n v="11679.49"/>
    <n v="11789.83"/>
    <n v="11649.54"/>
    <n v="10238.18"/>
    <n v="11121.21"/>
    <n v="11632.05"/>
    <n v="11697.38"/>
    <n v="10860.76"/>
    <n v="12994.67"/>
    <n v="12977.79"/>
    <n v="13820.05"/>
    <n v="11768.85"/>
    <n v="142229.79999999999"/>
    <n v="2051.1999999999989"/>
  </r>
  <r>
    <x v="11"/>
    <x v="6"/>
    <x v="0"/>
    <s v="3802107"/>
    <n v="721320"/>
    <s v="Supplies-Purchased Blood - Billable"/>
    <s v="Emergency-Silverdale"/>
    <x v="0"/>
    <m/>
    <n v="114.3"/>
    <n v="0"/>
    <n v="114.3"/>
    <n v="114.3"/>
    <n v="114.3"/>
    <n v="114.3"/>
    <n v="114.3"/>
    <n v="228.6"/>
    <n v="114.3"/>
    <n v="83.4"/>
    <n v="83.4"/>
    <n v="0"/>
    <n v="1195.5000000000002"/>
    <n v="83.4"/>
  </r>
  <r>
    <x v="11"/>
    <x v="6"/>
    <x v="0"/>
    <s v="3802107"/>
    <n v="721410"/>
    <s v="Supplies-Medical - Nonbillable"/>
    <s v="Emergency-Silverdale"/>
    <x v="0"/>
    <m/>
    <n v="14168.81"/>
    <n v="13301.75"/>
    <n v="12323.67"/>
    <n v="14156.31"/>
    <n v="12068.36"/>
    <n v="16895.39"/>
    <n v="16641.28"/>
    <n v="13819.01"/>
    <n v="16652.62"/>
    <n v="20889.8"/>
    <n v="13446.43"/>
    <n v="13585.58"/>
    <n v="177949.00999999995"/>
    <n v="-139.14999999999964"/>
  </r>
  <r>
    <x v="11"/>
    <x v="6"/>
    <x v="0"/>
    <s v="3802107"/>
    <n v="721410"/>
    <s v="Patient Monitoring"/>
    <s v="Emergency-Silverdale"/>
    <x v="0"/>
    <n v="1000"/>
    <n v="13.73"/>
    <n v="13.72"/>
    <n v="18.45"/>
    <n v="13.72"/>
    <n v="20.58"/>
    <n v="0"/>
    <n v="13.72"/>
    <n v="18.45"/>
    <n v="15.66"/>
    <n v="29.63"/>
    <n v="15.66"/>
    <n v="15.65"/>
    <n v="188.97"/>
    <n v="9.9999999999997868E-3"/>
  </r>
  <r>
    <x v="11"/>
    <x v="6"/>
    <x v="0"/>
    <s v="3802107"/>
    <n v="721420"/>
    <s v="Supplies-Surgical Nonbillable"/>
    <s v="Emergency-Silverdale"/>
    <x v="0"/>
    <m/>
    <n v="256.10000000000002"/>
    <n v="586.48"/>
    <n v="100.78"/>
    <n v="1517.48"/>
    <n v="179.4"/>
    <n v="611.45000000000005"/>
    <n v="103.55"/>
    <n v="525.82000000000005"/>
    <n v="120.61"/>
    <n v="1221.98"/>
    <n v="147.78"/>
    <n v="510.54"/>
    <n v="5881.9700000000012"/>
    <n v="-362.76"/>
  </r>
  <r>
    <x v="11"/>
    <x v="6"/>
    <x v="0"/>
    <s v="3802107"/>
    <n v="721420"/>
    <s v="Tubes Drains &amp; Related Supplies"/>
    <s v="Emergency-Silverdale"/>
    <x v="0"/>
    <n v="1008"/>
    <n v="48"/>
    <n v="734"/>
    <n v="46.11"/>
    <n v="734"/>
    <n v="0"/>
    <n v="1492"/>
    <n v="48"/>
    <n v="0"/>
    <n v="0"/>
    <n v="371"/>
    <n v="0"/>
    <n v="0"/>
    <n v="3473.11"/>
    <n v="0"/>
  </r>
  <r>
    <x v="11"/>
    <x v="6"/>
    <x v="0"/>
    <s v="3802107"/>
    <n v="721420"/>
    <s v="Sterilization Process Products"/>
    <s v="Emergency-Silverdale"/>
    <x v="0"/>
    <n v="1009"/>
    <n v="0"/>
    <n v="0"/>
    <n v="0"/>
    <n v="145.43"/>
    <n v="57.1"/>
    <n v="0"/>
    <n v="229.26"/>
    <n v="0"/>
    <n v="189.21"/>
    <n v="99.59"/>
    <n v="0"/>
    <n v="0"/>
    <n v="720.59"/>
    <n v="0"/>
  </r>
  <r>
    <x v="11"/>
    <x v="6"/>
    <x v="0"/>
    <s v="3802107"/>
    <n v="721610"/>
    <s v="Supplies-Anesthesia - Nonbillable"/>
    <s v="Emergency-Silverdale"/>
    <x v="0"/>
    <m/>
    <n v="64.78"/>
    <n v="6410.12"/>
    <n v="783.19"/>
    <n v="-4310.5600000000004"/>
    <n v="74.989999999999995"/>
    <n v="258.45"/>
    <n v="313.24"/>
    <n v="383.59"/>
    <n v="53.2"/>
    <n v="695.88"/>
    <n v="92.94"/>
    <n v="26.6"/>
    <n v="4846.4199999999992"/>
    <n v="66.34"/>
  </r>
  <r>
    <x v="11"/>
    <x v="6"/>
    <x v="0"/>
    <s v="3802107"/>
    <n v="721640"/>
    <s v="Supplies-IV Solutions/Supplies - Nonbillable"/>
    <s v="Emergency-Silverdale"/>
    <x v="0"/>
    <m/>
    <n v="2862.61"/>
    <n v="2454.65"/>
    <n v="2718.75"/>
    <n v="2359.1999999999998"/>
    <n v="2903.14"/>
    <n v="2563"/>
    <n v="2467.1999999999998"/>
    <n v="2710.07"/>
    <n v="2772.05"/>
    <n v="2717.9"/>
    <n v="2974.35"/>
    <n v="2422.36"/>
    <n v="31925.279999999999"/>
    <n v="551.98999999999978"/>
  </r>
  <r>
    <x v="11"/>
    <x v="6"/>
    <x v="0"/>
    <s v="3802107"/>
    <n v="721650"/>
    <s v="Supplies-Pharmacy Drugs - Nonbillable"/>
    <s v="Emergency-Silverdale"/>
    <x v="0"/>
    <m/>
    <n v="52.07"/>
    <n v="22.46"/>
    <n v="18.29"/>
    <n v="25.37"/>
    <n v="54.04"/>
    <n v="16.36"/>
    <n v="12.52"/>
    <n v="22.78"/>
    <n v="344.52"/>
    <n v="145.34"/>
    <n v="73.47"/>
    <n v="26.61"/>
    <n v="813.83"/>
    <n v="46.86"/>
  </r>
  <r>
    <x v="11"/>
    <x v="6"/>
    <x v="0"/>
    <s v="3802107"/>
    <n v="721710"/>
    <s v="Supplies-Laboratory - Nonbillable"/>
    <s v="Emergency-Silverdale"/>
    <x v="0"/>
    <m/>
    <n v="4032"/>
    <n v="3522.71"/>
    <n v="3033.82"/>
    <n v="2783.93"/>
    <n v="3920.61"/>
    <n v="3028.8"/>
    <n v="3500.89"/>
    <n v="2879.47"/>
    <n v="3291.92"/>
    <n v="3554.24"/>
    <n v="4134.5200000000004"/>
    <n v="2995.41"/>
    <n v="40678.320000000007"/>
    <n v="1139.1100000000006"/>
  </r>
  <r>
    <x v="11"/>
    <x v="6"/>
    <x v="0"/>
    <s v="3802107"/>
    <n v="721710"/>
    <s v="Reagents"/>
    <s v="Emergency-Silverdale"/>
    <x v="0"/>
    <n v="1000"/>
    <n v="185.34"/>
    <n v="102.38"/>
    <n v="199.02"/>
    <n v="-75.41"/>
    <n v="984.92"/>
    <n v="252.78"/>
    <n v="68.7"/>
    <n v="355.7"/>
    <n v="135.25"/>
    <n v="691.67"/>
    <n v="246"/>
    <n v="111.83"/>
    <n v="3258.18"/>
    <n v="134.17000000000002"/>
  </r>
  <r>
    <x v="11"/>
    <x v="6"/>
    <x v="0"/>
    <s v="3802107"/>
    <n v="721750"/>
    <s v="Supplies-Film/Radiographic - Nonbillable"/>
    <s v="Emergency-Silverdale"/>
    <x v="0"/>
    <m/>
    <n v="0.94"/>
    <n v="1.87"/>
    <n v="1.88"/>
    <n v="1.88"/>
    <n v="3.74"/>
    <n v="0.94"/>
    <n v="5.62"/>
    <n v="0.94"/>
    <n v="1.87"/>
    <n v="2.81"/>
    <n v="2.81"/>
    <n v="1.87"/>
    <n v="27.169999999999998"/>
    <n v="0.94"/>
  </r>
  <r>
    <x v="11"/>
    <x v="6"/>
    <x v="0"/>
    <s v="3802107"/>
    <n v="721810"/>
    <s v="Supplies-Dietary/Cafeteria"/>
    <s v="Emergency-Silverdale"/>
    <x v="0"/>
    <m/>
    <n v="1226.1400000000001"/>
    <n v="1122.58"/>
    <n v="961.23"/>
    <n v="1026.8399999999999"/>
    <n v="957.84"/>
    <n v="1021.65"/>
    <n v="1225.4100000000001"/>
    <n v="946.61"/>
    <n v="1377.75"/>
    <n v="1394.29"/>
    <n v="1643.18"/>
    <n v="824.63"/>
    <n v="13728.15"/>
    <n v="818.55000000000007"/>
  </r>
  <r>
    <x v="11"/>
    <x v="6"/>
    <x v="0"/>
    <s v="3802107"/>
    <n v="721830"/>
    <s v="Supplies-Office"/>
    <s v="Emergency-Silverdale"/>
    <x v="0"/>
    <m/>
    <n v="1409.94"/>
    <n v="2163.7199999999998"/>
    <n v="716.06"/>
    <n v="853.25"/>
    <n v="1076.93"/>
    <n v="672.19"/>
    <n v="1743.32"/>
    <n v="1539.16"/>
    <n v="589.16999999999996"/>
    <n v="921.72"/>
    <n v="442.69"/>
    <n v="1269.8800000000001"/>
    <n v="13398.029999999999"/>
    <n v="-827.19"/>
  </r>
  <r>
    <x v="11"/>
    <x v="6"/>
    <x v="0"/>
    <s v="3802107"/>
    <n v="721835"/>
    <s v="Supplies-Forms"/>
    <s v="Emergency-Silverdale"/>
    <x v="0"/>
    <m/>
    <n v="0"/>
    <n v="0"/>
    <n v="0"/>
    <n v="0"/>
    <n v="0"/>
    <n v="0"/>
    <n v="0"/>
    <n v="0"/>
    <n v="0"/>
    <n v="0"/>
    <n v="0"/>
    <n v="135"/>
    <n v="135"/>
    <n v="-135"/>
  </r>
  <r>
    <x v="11"/>
    <x v="6"/>
    <x v="0"/>
    <s v="3802107"/>
    <n v="721870"/>
    <s v="Supplies-Environmental Services"/>
    <s v="Emergency-Silverdale"/>
    <x v="0"/>
    <m/>
    <n v="996.68"/>
    <n v="726.88"/>
    <n v="855.2"/>
    <n v="670.6"/>
    <n v="1019.92"/>
    <n v="701.57"/>
    <n v="956.9"/>
    <n v="1013"/>
    <n v="751.57"/>
    <n v="804.8"/>
    <n v="1002.09"/>
    <n v="634.1"/>
    <n v="10133.31"/>
    <n v="367.99"/>
  </r>
  <r>
    <x v="11"/>
    <x v="6"/>
    <x v="0"/>
    <s v="3802107"/>
    <n v="721880"/>
    <s v="Supplies-Linen"/>
    <s v="Emergency-Silverdale"/>
    <x v="0"/>
    <m/>
    <n v="0"/>
    <n v="0"/>
    <n v="61.21"/>
    <n v="0"/>
    <n v="0"/>
    <n v="0"/>
    <n v="0"/>
    <n v="0"/>
    <n v="0"/>
    <n v="0"/>
    <n v="0"/>
    <n v="0"/>
    <n v="61.21"/>
    <n v="0"/>
  </r>
  <r>
    <x v="11"/>
    <x v="6"/>
    <x v="0"/>
    <s v="3802107"/>
    <n v="721910"/>
    <s v="Supplies-Small Equipment"/>
    <s v="Emergency-Silverdale"/>
    <x v="0"/>
    <m/>
    <n v="3929.48"/>
    <n v="999.43"/>
    <n v="6805.25"/>
    <n v="3029.75"/>
    <n v="3221.07"/>
    <n v="118.05"/>
    <n v="6910.24"/>
    <n v="179.65"/>
    <n v="2887.73"/>
    <n v="3700.65"/>
    <n v="335.9"/>
    <n v="348.18"/>
    <n v="32465.38"/>
    <n v="-12.28000000000003"/>
  </r>
  <r>
    <x v="11"/>
    <x v="6"/>
    <x v="0"/>
    <s v="3802107"/>
    <n v="721910"/>
    <s v="Instruments"/>
    <s v="Emergency-Silverdale"/>
    <x v="0"/>
    <n v="1000"/>
    <n v="43.78"/>
    <n v="973.85"/>
    <n v="164.72"/>
    <n v="679.63"/>
    <n v="-22.18"/>
    <n v="108.71"/>
    <n v="1369.92"/>
    <n v="-7.52"/>
    <n v="94.38"/>
    <n v="65.16"/>
    <n v="65.62"/>
    <n v="105.42"/>
    <n v="3641.4900000000002"/>
    <n v="-39.799999999999997"/>
  </r>
  <r>
    <x v="11"/>
    <x v="6"/>
    <x v="0"/>
    <s v="3802107"/>
    <n v="721980"/>
    <s v="Supplies-Other"/>
    <s v="Emergency-Silverdale"/>
    <x v="0"/>
    <m/>
    <n v="459.6"/>
    <n v="262.33"/>
    <n v="97.33"/>
    <n v="80.849999999999994"/>
    <n v="22.14"/>
    <n v="83.16"/>
    <n v="40.44"/>
    <n v="161.74"/>
    <n v="69.3"/>
    <n v="293.45"/>
    <n v="166.79"/>
    <n v="56.92"/>
    <n v="1794.0500000000002"/>
    <n v="109.86999999999999"/>
  </r>
  <r>
    <x v="11"/>
    <x v="6"/>
    <x v="0"/>
    <s v="3802107"/>
    <n v="722000"/>
    <s v="Supplies-Freight Expense"/>
    <s v="Emergency-Silverdale"/>
    <x v="0"/>
    <m/>
    <n v="15.87"/>
    <n v="64.069999999999993"/>
    <n v="83.59"/>
    <n v="19.97"/>
    <n v="18.399999999999999"/>
    <n v="159.65"/>
    <n v="150.21"/>
    <n v="26.95"/>
    <n v="231.76"/>
    <n v="57.07"/>
    <n v="105.13"/>
    <n v="52.82"/>
    <n v="985.49000000000012"/>
    <n v="52.309999999999995"/>
  </r>
  <r>
    <x v="12"/>
    <x v="6"/>
    <x v="0"/>
    <s v="3802107"/>
    <n v="730020"/>
    <s v="Rental and Leases-Equipment (DO NOT USE)"/>
    <s v="Emergency-Silverdale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3802107"/>
    <n v="730020"/>
    <s v="Rental and Leases-Copier Usage Fees (DO NOT USE)"/>
    <s v="Emergency-Silverdale"/>
    <x v="0"/>
    <n v="5100"/>
    <n v="612.17999999999995"/>
    <n v="611.04999999999995"/>
    <n v="611.62"/>
    <n v="611.61"/>
    <n v="611.62"/>
    <n v="611.61"/>
    <n v="975.6"/>
    <n v="253.05"/>
    <n v="252.52"/>
    <n v="1229.26"/>
    <n v="253.05"/>
    <n v="290.38"/>
    <n v="6923.5500000000011"/>
    <n v="-37.329999999999984"/>
  </r>
  <r>
    <x v="15"/>
    <x v="6"/>
    <x v="0"/>
    <s v="3802107"/>
    <n v="731060"/>
    <s v="Cell Phones"/>
    <s v="Emergency-Silverdale"/>
    <x v="0"/>
    <n v="1001"/>
    <n v="0"/>
    <n v="0"/>
    <n v="0"/>
    <n v="0"/>
    <n v="0"/>
    <n v="0"/>
    <n v="0"/>
    <n v="0"/>
    <n v="0"/>
    <n v="118.65"/>
    <n v="53.96"/>
    <n v="53.33"/>
    <n v="225.94"/>
    <n v="0.63000000000000256"/>
  </r>
  <r>
    <x v="16"/>
    <x v="6"/>
    <x v="0"/>
    <s v="3802107"/>
    <n v="732020"/>
    <s v="Repairs--Clin Equip-Parts-Internal to CHI Programs"/>
    <s v="Emergency-Silverdale"/>
    <x v="0"/>
    <m/>
    <n v="0"/>
    <n v="0"/>
    <n v="0"/>
    <n v="0"/>
    <n v="0"/>
    <n v="0"/>
    <n v="0"/>
    <n v="0"/>
    <n v="338.77"/>
    <n v="-167.55"/>
    <n v="0"/>
    <n v="0"/>
    <n v="171.21999999999997"/>
    <n v="0"/>
  </r>
  <r>
    <x v="13"/>
    <x v="6"/>
    <x v="0"/>
    <s v="3802107"/>
    <n v="735070"/>
    <s v="Depreciation-Movable Equipment"/>
    <s v="Emergency-Silverdale"/>
    <x v="0"/>
    <m/>
    <n v="1624.42"/>
    <n v="1624.42"/>
    <n v="1624.44"/>
    <n v="1624.42"/>
    <n v="1624.46"/>
    <n v="1624.4"/>
    <n v="2671.4"/>
    <n v="2671.34"/>
    <n v="2671.41"/>
    <n v="2671.32"/>
    <n v="2671.44"/>
    <n v="2671.31"/>
    <n v="25774.78"/>
    <n v="0.13000000000010914"/>
  </r>
  <r>
    <x v="0"/>
    <x v="6"/>
    <x v="0"/>
    <s v="3802107"/>
    <n v="740020"/>
    <s v="Education-Registration Fees"/>
    <s v="Emergency-Silverdale"/>
    <x v="0"/>
    <m/>
    <n v="175"/>
    <n v="895"/>
    <n v="165"/>
    <n v="0"/>
    <n v="1295"/>
    <n v="165"/>
    <n v="350"/>
    <n v="165"/>
    <n v="810"/>
    <n v="165"/>
    <n v="0"/>
    <n v="0"/>
    <n v="4185"/>
    <n v="0"/>
  </r>
  <r>
    <x v="0"/>
    <x v="6"/>
    <x v="0"/>
    <s v="3802107"/>
    <n v="749510"/>
    <s v="Miscellaneous Expenses"/>
    <s v="Emergency-Silverdale"/>
    <x v="0"/>
    <m/>
    <n v="-212.48"/>
    <n v="49.6"/>
    <n v="60.4"/>
    <n v="50.15"/>
    <n v="-160.15"/>
    <n v="0"/>
    <n v="143.88"/>
    <n v="-143.88"/>
    <n v="0"/>
    <n v="0"/>
    <n v="0"/>
    <n v="0"/>
    <n v="-212.48"/>
    <n v="0"/>
  </r>
  <r>
    <x v="0"/>
    <x v="6"/>
    <x v="0"/>
    <s v="3802107"/>
    <n v="749510"/>
    <s v="Licenses"/>
    <s v="Emergency-Silverdale"/>
    <x v="0"/>
    <n v="1002"/>
    <n v="220"/>
    <n v="0"/>
    <n v="110"/>
    <n v="740"/>
    <n v="110"/>
    <n v="170"/>
    <n v="520"/>
    <n v="663.88"/>
    <n v="0"/>
    <n v="0"/>
    <n v="-260"/>
    <n v="0"/>
    <n v="2273.88"/>
    <n v="-260"/>
  </r>
  <r>
    <x v="0"/>
    <x v="6"/>
    <x v="0"/>
    <s v="3802107"/>
    <n v="749530"/>
    <s v="Travel"/>
    <s v="Emergency-Silverdale"/>
    <x v="0"/>
    <m/>
    <n v="0"/>
    <n v="0"/>
    <n v="42"/>
    <n v="30"/>
    <n v="12"/>
    <n v="10"/>
    <n v="0"/>
    <n v="0"/>
    <n v="0"/>
    <n v="0"/>
    <n v="0"/>
    <n v="0"/>
    <n v="94"/>
    <n v="0"/>
  </r>
  <r>
    <x v="0"/>
    <x v="6"/>
    <x v="0"/>
    <s v="3802107"/>
    <n v="749530"/>
    <s v="Mileage"/>
    <s v="Emergency-Silverdale"/>
    <x v="0"/>
    <n v="1001"/>
    <n v="0"/>
    <n v="43.6"/>
    <n v="305.75"/>
    <n v="219.11"/>
    <n v="87.75"/>
    <n v="83.94"/>
    <n v="0"/>
    <n v="0"/>
    <n v="125.28"/>
    <n v="0"/>
    <n v="0"/>
    <n v="0"/>
    <n v="865.43000000000006"/>
    <n v="0"/>
  </r>
  <r>
    <x v="0"/>
    <x v="6"/>
    <x v="0"/>
    <s v="3802107"/>
    <n v="749535"/>
    <s v="Meetings"/>
    <s v="Emergency-Silverdale"/>
    <x v="0"/>
    <m/>
    <n v="0"/>
    <n v="6"/>
    <n v="0"/>
    <n v="0"/>
    <n v="0"/>
    <n v="0"/>
    <n v="0"/>
    <n v="0"/>
    <n v="0"/>
    <n v="0"/>
    <n v="0"/>
    <n v="0"/>
    <n v="6"/>
    <n v="0"/>
  </r>
  <r>
    <x v="1"/>
    <x v="9"/>
    <x v="0"/>
    <s v="3802501"/>
    <n v="400040"/>
    <s v="Physician Svcs Rev--Medicare"/>
    <s v="Forensic Nurse Examiner"/>
    <x v="0"/>
    <n v="1100"/>
    <n v="0"/>
    <n v="-566"/>
    <n v="0"/>
    <n v="0"/>
    <n v="0"/>
    <n v="0"/>
    <n v="0"/>
    <n v="0"/>
    <n v="-26"/>
    <n v="0"/>
    <n v="0"/>
    <n v="0"/>
    <n v="-592"/>
    <n v="0"/>
  </r>
  <r>
    <x v="1"/>
    <x v="9"/>
    <x v="0"/>
    <s v="3802501"/>
    <n v="400040"/>
    <s v="Physician Svcs Rev--Medicaid"/>
    <s v="Forensic Nurse Examiner"/>
    <x v="0"/>
    <n v="1200"/>
    <n v="0"/>
    <n v="-26"/>
    <n v="0"/>
    <n v="0"/>
    <n v="0"/>
    <n v="0"/>
    <n v="630"/>
    <n v="0"/>
    <n v="-7255"/>
    <n v="0"/>
    <n v="0"/>
    <n v="0"/>
    <n v="-6651"/>
    <n v="0"/>
  </r>
  <r>
    <x v="1"/>
    <x v="9"/>
    <x v="0"/>
    <s v="3802501"/>
    <n v="400040"/>
    <s v="Physician Svcs Rev--Managed Care"/>
    <s v="Forensic Nurse Examiner"/>
    <x v="0"/>
    <n v="1400"/>
    <n v="0"/>
    <n v="0"/>
    <n v="0"/>
    <n v="0"/>
    <n v="0"/>
    <n v="0"/>
    <n v="0"/>
    <n v="0"/>
    <n v="1687.32"/>
    <n v="-630"/>
    <n v="0"/>
    <n v="0"/>
    <n v="1057.32"/>
    <n v="0"/>
  </r>
  <r>
    <x v="1"/>
    <x v="9"/>
    <x v="0"/>
    <s v="3802501"/>
    <n v="400040"/>
    <s v="Physician Svcs Rev--Self Pay"/>
    <s v="Forensic Nurse Examiner"/>
    <x v="0"/>
    <n v="1500"/>
    <n v="0"/>
    <n v="-1260"/>
    <n v="0"/>
    <n v="0"/>
    <n v="0"/>
    <n v="0"/>
    <n v="-566"/>
    <n v="0"/>
    <n v="0"/>
    <n v="0"/>
    <n v="0"/>
    <n v="-26"/>
    <n v="-1852"/>
    <n v="26"/>
  </r>
  <r>
    <x v="1"/>
    <x v="9"/>
    <x v="0"/>
    <s v="3802501"/>
    <n v="400040"/>
    <s v="Physician Svcs Rev--Other"/>
    <s v="Forensic Nurse Examiner"/>
    <x v="0"/>
    <n v="1700"/>
    <n v="-7040"/>
    <n v="-23268"/>
    <n v="-6320"/>
    <n v="-10068"/>
    <n v="-9621"/>
    <n v="-11087"/>
    <n v="-8355"/>
    <n v="-5397"/>
    <n v="0"/>
    <n v="-9679"/>
    <n v="-10413"/>
    <n v="-5722"/>
    <n v="-106970"/>
    <n v="-4691"/>
  </r>
  <r>
    <x v="2"/>
    <x v="9"/>
    <x v="0"/>
    <s v="3802501"/>
    <n v="450040"/>
    <s v="Contr Allow--Phys Svcs--Mcare"/>
    <s v="Forensic Nurse Examiner"/>
    <x v="0"/>
    <n v="1100"/>
    <n v="0"/>
    <n v="0"/>
    <n v="0"/>
    <n v="73.11"/>
    <n v="0"/>
    <n v="0"/>
    <n v="0"/>
    <n v="0"/>
    <n v="0"/>
    <n v="0"/>
    <n v="0"/>
    <n v="0"/>
    <n v="73.11"/>
    <n v="0"/>
  </r>
  <r>
    <x v="2"/>
    <x v="9"/>
    <x v="0"/>
    <s v="3802501"/>
    <n v="450040"/>
    <s v="Contr Allow--Phys Svcs--Mcaid"/>
    <s v="Forensic Nurse Examiner"/>
    <x v="0"/>
    <n v="1200"/>
    <n v="0"/>
    <n v="0"/>
    <n v="0"/>
    <n v="0"/>
    <n v="0"/>
    <n v="-94.04"/>
    <n v="0"/>
    <n v="0"/>
    <n v="0"/>
    <n v="0"/>
    <n v="0"/>
    <n v="0"/>
    <n v="-94.04"/>
    <n v="0"/>
  </r>
  <r>
    <x v="2"/>
    <x v="9"/>
    <x v="0"/>
    <s v="3802501"/>
    <n v="450040"/>
    <s v="Contr Allow--Phys Svcs--Managed Care"/>
    <s v="Forensic Nurse Examiner"/>
    <x v="0"/>
    <n v="1400"/>
    <n v="0"/>
    <n v="0"/>
    <n v="0"/>
    <n v="0"/>
    <n v="0"/>
    <n v="0"/>
    <n v="0"/>
    <n v="0"/>
    <n v="0"/>
    <n v="0"/>
    <n v="0"/>
    <n v="216.54"/>
    <n v="216.54"/>
    <n v="-216.54"/>
  </r>
  <r>
    <x v="2"/>
    <x v="9"/>
    <x v="0"/>
    <s v="3802501"/>
    <n v="450040"/>
    <s v="Contr Allow--Phys Svcs--BCBS Mgnd Care"/>
    <s v="Forensic Nurse Examiner"/>
    <x v="0"/>
    <n v="1401"/>
    <n v="-6999.62"/>
    <n v="3711.74"/>
    <n v="-5188.51"/>
    <n v="-2486.48"/>
    <n v="3932.32"/>
    <n v="4657.33"/>
    <n v="-9349.4"/>
    <n v="-615.42999999999995"/>
    <n v="904.81"/>
    <n v="2067.9499999999998"/>
    <n v="1099.53"/>
    <n v="-2251.7800000000002"/>
    <n v="-10517.54"/>
    <n v="3351.3100000000004"/>
  </r>
  <r>
    <x v="2"/>
    <x v="9"/>
    <x v="0"/>
    <s v="3802501"/>
    <n v="450040"/>
    <s v="Admin Adjust-Phys Svcs-Self Pay"/>
    <s v="Forensic Nurse Examiner"/>
    <x v="0"/>
    <n v="1600"/>
    <n v="0"/>
    <n v="0"/>
    <n v="0"/>
    <n v="0"/>
    <n v="0"/>
    <n v="0"/>
    <n v="0"/>
    <n v="0"/>
    <n v="0"/>
    <n v="0"/>
    <n v="0"/>
    <n v="-1186.3800000000001"/>
    <n v="-1186.3800000000001"/>
    <n v="1186.3800000000001"/>
  </r>
  <r>
    <x v="2"/>
    <x v="9"/>
    <x v="0"/>
    <s v="3802501"/>
    <n v="450040"/>
    <s v="Contr Allow--Phys Svcs--Other"/>
    <s v="Forensic Nurse Examiner"/>
    <x v="0"/>
    <n v="1700"/>
    <n v="4185.62"/>
    <n v="2840.32"/>
    <n v="2218.81"/>
    <n v="1652.81"/>
    <n v="118.05"/>
    <n v="255.82"/>
    <n v="2335.66"/>
    <n v="738.26"/>
    <n v="0"/>
    <n v="2724.31"/>
    <n v="3208.54"/>
    <n v="3632.96"/>
    <n v="23911.16"/>
    <n v="-424.42000000000007"/>
  </r>
  <r>
    <x v="3"/>
    <x v="9"/>
    <x v="0"/>
    <s v="3802501"/>
    <n v="470040"/>
    <s v="Charity Care-Physician Svcs"/>
    <s v="Forensic Nurse Examiner"/>
    <x v="0"/>
    <m/>
    <n v="-271.60000000000002"/>
    <n v="243.47"/>
    <n v="-234.29"/>
    <n v="-90.29"/>
    <n v="156.4"/>
    <n v="88.9"/>
    <n v="-310.67"/>
    <n v="-41.81"/>
    <n v="75.39"/>
    <n v="46.94"/>
    <n v="-20.79"/>
    <n v="5.61"/>
    <n v="-352.74000000000007"/>
    <n v="-26.4"/>
  </r>
  <r>
    <x v="4"/>
    <x v="9"/>
    <x v="0"/>
    <s v="3802501"/>
    <n v="490010"/>
    <s v="Provision for Bad Debts"/>
    <s v="Forensic Nurse Examiner"/>
    <x v="0"/>
    <m/>
    <n v="-1024.8399999999999"/>
    <n v="489.69"/>
    <n v="-811.19"/>
    <n v="-460.88"/>
    <n v="588.32000000000005"/>
    <n v="420.46"/>
    <n v="-1278.68"/>
    <n v="-148.69"/>
    <n v="155.22999999999999"/>
    <n v="189.72"/>
    <n v="72.33"/>
    <n v="-171.11"/>
    <n v="-1979.6399999999999"/>
    <n v="243.44"/>
  </r>
  <r>
    <x v="7"/>
    <x v="9"/>
    <x v="0"/>
    <s v="3802501"/>
    <n v="718050"/>
    <s v="Contract Svcs-Other"/>
    <s v="Forensic Nurse Examiner"/>
    <x v="0"/>
    <m/>
    <n v="28300"/>
    <n v="17750"/>
    <n v="35865"/>
    <n v="22800"/>
    <n v="34500"/>
    <n v="21400"/>
    <n v="12800"/>
    <n v="19500"/>
    <n v="11400"/>
    <n v="18850"/>
    <n v="24300"/>
    <n v="12600"/>
    <n v="260065"/>
    <n v="11700"/>
  </r>
  <r>
    <x v="14"/>
    <x v="6"/>
    <x v="0"/>
    <s v="3803107"/>
    <n v="600055"/>
    <s v="Grants"/>
    <s v="SANE"/>
    <x v="0"/>
    <m/>
    <n v="-4378.5"/>
    <n v="0"/>
    <n v="0"/>
    <n v="-4338.75"/>
    <n v="0"/>
    <n v="0"/>
    <n v="0"/>
    <n v="0"/>
    <n v="-4338.75"/>
    <n v="-4353.7700000000004"/>
    <n v="0"/>
    <n v="0"/>
    <n v="-17409.77"/>
    <n v="0"/>
  </r>
  <r>
    <x v="5"/>
    <x v="6"/>
    <x v="0"/>
    <s v="3803107"/>
    <n v="700024"/>
    <s v="Salaries-Advanced Practice Clinician-Productive"/>
    <s v="SANE"/>
    <x v="0"/>
    <m/>
    <n v="0"/>
    <n v="1008.78"/>
    <n v="-197.41"/>
    <n v="1051.77"/>
    <n v="193.1"/>
    <n v="711.99"/>
    <n v="396.49"/>
    <n v="654.67999999999995"/>
    <n v="1079.26"/>
    <n v="505.59"/>
    <n v="2914.66"/>
    <n v="-1314.66"/>
    <n v="7004.25"/>
    <n v="4229.32"/>
  </r>
  <r>
    <x v="5"/>
    <x v="6"/>
    <x v="0"/>
    <s v="3803107"/>
    <n v="700024"/>
    <s v="Salaries-Advanced Practice Clinician-Other"/>
    <s v="SANE"/>
    <x v="0"/>
    <n v="2000"/>
    <n v="0"/>
    <n v="181.3"/>
    <n v="-29.61"/>
    <n v="157.76"/>
    <n v="28.96"/>
    <n v="906.79"/>
    <n v="59.45"/>
    <n v="1042.4100000000001"/>
    <n v="18.82"/>
    <n v="1449.2"/>
    <n v="-135.03"/>
    <n v="-197.19"/>
    <n v="3482.8599999999997"/>
    <n v="62.16"/>
  </r>
  <r>
    <x v="5"/>
    <x v="6"/>
    <x v="0"/>
    <s v="3803107"/>
    <n v="700026"/>
    <s v="Salaries-RN-Productive"/>
    <s v="SANE"/>
    <x v="0"/>
    <m/>
    <n v="4903.16"/>
    <n v="6488.81"/>
    <n v="4913.45"/>
    <n v="5607.76"/>
    <n v="5565.55"/>
    <n v="4847.29"/>
    <n v="4503.5"/>
    <n v="4528.74"/>
    <n v="4933.04"/>
    <n v="5555.01"/>
    <n v="5215.68"/>
    <n v="4535.13"/>
    <n v="61597.120000000003"/>
    <n v="680.55000000000018"/>
  </r>
  <r>
    <x v="5"/>
    <x v="6"/>
    <x v="0"/>
    <s v="3803107"/>
    <n v="700026"/>
    <s v="Salaries-RN-Other"/>
    <s v="SANE"/>
    <x v="0"/>
    <n v="2000"/>
    <n v="3912.01"/>
    <n v="6529.14"/>
    <n v="5543.14"/>
    <n v="6066.73"/>
    <n v="8810.51"/>
    <n v="3900.3"/>
    <n v="4631.7700000000004"/>
    <n v="3129.27"/>
    <n v="5417.67"/>
    <n v="6894.82"/>
    <n v="2187.27"/>
    <n v="6782.92"/>
    <n v="63805.549999999996"/>
    <n v="-4595.6499999999996"/>
  </r>
  <r>
    <x v="5"/>
    <x v="6"/>
    <x v="0"/>
    <s v="3803107"/>
    <n v="700066"/>
    <s v="Salaries-RN-Non-productive"/>
    <s v="SANE"/>
    <x v="0"/>
    <m/>
    <n v="643.22"/>
    <n v="357.77"/>
    <n v="689.93"/>
    <n v="0"/>
    <n v="105.04"/>
    <n v="877.79"/>
    <n v="1315.12"/>
    <n v="533.47"/>
    <n v="841.52"/>
    <n v="120.24"/>
    <n v="308.10000000000002"/>
    <n v="1221.01"/>
    <n v="7013.2100000000009"/>
    <n v="-912.91"/>
  </r>
  <r>
    <x v="5"/>
    <x v="6"/>
    <x v="0"/>
    <s v="3803107"/>
    <n v="700084"/>
    <s v="Accrued PTO"/>
    <s v="SANE"/>
    <x v="0"/>
    <m/>
    <n v="215.72"/>
    <n v="523.66999999999996"/>
    <n v="64.02"/>
    <n v="1553.18"/>
    <n v="733.17"/>
    <n v="749.46"/>
    <n v="-526.77"/>
    <n v="418.05"/>
    <n v="208.51"/>
    <n v="470.58"/>
    <n v="418.58"/>
    <n v="364.49"/>
    <n v="5192.66"/>
    <n v="54.089999999999975"/>
  </r>
  <r>
    <x v="6"/>
    <x v="6"/>
    <x v="0"/>
    <s v="3803107"/>
    <n v="713010"/>
    <s v="Benefits-FICA/Medicare"/>
    <s v="SANE"/>
    <x v="0"/>
    <m/>
    <n v="709.15"/>
    <n v="1102.1400000000001"/>
    <n v="820.03"/>
    <n v="972.07"/>
    <n v="1111.74"/>
    <n v="974.56"/>
    <n v="818.87"/>
    <n v="743.25"/>
    <n v="926.5"/>
    <n v="1097.25"/>
    <n v="790.91"/>
    <n v="827.82"/>
    <n v="10894.29"/>
    <n v="-36.910000000000082"/>
  </r>
  <r>
    <x v="6"/>
    <x v="6"/>
    <x v="0"/>
    <s v="3803107"/>
    <n v="713090"/>
    <s v="Benefits-Allocated Amounts"/>
    <s v="SANE"/>
    <x v="0"/>
    <m/>
    <n v="765.5"/>
    <n v="980.02"/>
    <n v="764.64"/>
    <n v="890.12"/>
    <n v="889.27"/>
    <n v="888.71"/>
    <n v="856.68"/>
    <n v="863.49"/>
    <n v="707.91"/>
    <n v="926.79"/>
    <n v="1107.18"/>
    <n v="832.68"/>
    <n v="10472.99"/>
    <n v="274.50000000000011"/>
  </r>
  <r>
    <x v="17"/>
    <x v="6"/>
    <x v="0"/>
    <s v="3803107"/>
    <n v="714530"/>
    <s v="Medical Prof Fees-Intracompany"/>
    <s v="SANE"/>
    <x v="0"/>
    <m/>
    <n v="-1184.81"/>
    <n v="-1035.25"/>
    <n v="-2784.33"/>
    <n v="-7164.46"/>
    <n v="-123.75"/>
    <n v="-4528.76"/>
    <n v="-13451.59"/>
    <n v="-2834.76"/>
    <n v="-2088.83"/>
    <n v="-3107.46"/>
    <n v="-2569.5"/>
    <n v="-3910.51"/>
    <n v="-44784.01"/>
    <n v="1341.0100000000002"/>
  </r>
  <r>
    <x v="11"/>
    <x v="6"/>
    <x v="0"/>
    <s v="3803107"/>
    <n v="721250"/>
    <s v="Supplies-Pharmacy Drugs - Billable"/>
    <s v="SANE"/>
    <x v="0"/>
    <m/>
    <n v="10.96"/>
    <n v="0"/>
    <n v="0"/>
    <n v="104.45"/>
    <n v="96.18"/>
    <n v="112.47"/>
    <n v="0"/>
    <n v="2"/>
    <n v="0"/>
    <n v="4.42"/>
    <n v="10.54"/>
    <n v="0"/>
    <n v="341.02000000000004"/>
    <n v="10.54"/>
  </r>
  <r>
    <x v="11"/>
    <x v="6"/>
    <x v="0"/>
    <s v="3803107"/>
    <n v="721710"/>
    <s v="Supplies-Laboratory - Nonbillable"/>
    <s v="SANE"/>
    <x v="0"/>
    <m/>
    <n v="0"/>
    <n v="0"/>
    <n v="0"/>
    <n v="0"/>
    <n v="647.46"/>
    <n v="0"/>
    <n v="-53.46"/>
    <n v="0"/>
    <n v="646.15"/>
    <n v="-52.15"/>
    <n v="0"/>
    <n v="0"/>
    <n v="1188"/>
    <n v="0"/>
  </r>
  <r>
    <x v="11"/>
    <x v="6"/>
    <x v="0"/>
    <s v="3803107"/>
    <n v="721830"/>
    <s v="Supplies-Office"/>
    <s v="SANE"/>
    <x v="0"/>
    <m/>
    <n v="0"/>
    <n v="0"/>
    <n v="0"/>
    <n v="0"/>
    <n v="0"/>
    <n v="0"/>
    <n v="0"/>
    <n v="0"/>
    <n v="0"/>
    <n v="261.8"/>
    <n v="23.56"/>
    <n v="0"/>
    <n v="285.36"/>
    <n v="23.56"/>
  </r>
  <r>
    <x v="11"/>
    <x v="6"/>
    <x v="0"/>
    <s v="3803107"/>
    <n v="721870"/>
    <s v="Supplies-Environmental Services"/>
    <s v="SANE"/>
    <x v="0"/>
    <m/>
    <n v="0"/>
    <n v="0"/>
    <n v="2.04"/>
    <n v="0"/>
    <n v="0"/>
    <n v="0"/>
    <n v="0"/>
    <n v="0"/>
    <n v="0"/>
    <n v="0"/>
    <n v="0"/>
    <n v="0"/>
    <n v="2.04"/>
    <n v="0"/>
  </r>
  <r>
    <x v="11"/>
    <x v="6"/>
    <x v="0"/>
    <s v="3803107"/>
    <n v="721980"/>
    <s v="Supplies-Other"/>
    <s v="SANE"/>
    <x v="0"/>
    <m/>
    <n v="0"/>
    <n v="0"/>
    <n v="10.33"/>
    <n v="0"/>
    <n v="0"/>
    <n v="0"/>
    <n v="0"/>
    <n v="0"/>
    <n v="0"/>
    <n v="-27.15"/>
    <n v="0"/>
    <n v="0"/>
    <n v="-16.82"/>
    <n v="0"/>
  </r>
  <r>
    <x v="11"/>
    <x v="6"/>
    <x v="0"/>
    <s v="3803107"/>
    <n v="722000"/>
    <s v="Supplies-Freight Expense"/>
    <s v="SANE"/>
    <x v="0"/>
    <m/>
    <n v="49.3"/>
    <n v="0"/>
    <n v="0"/>
    <n v="0"/>
    <n v="0"/>
    <n v="0"/>
    <n v="58.42"/>
    <n v="0"/>
    <n v="0"/>
    <n v="44.64"/>
    <n v="0"/>
    <n v="0"/>
    <n v="152.36000000000001"/>
    <n v="0"/>
  </r>
  <r>
    <x v="15"/>
    <x v="6"/>
    <x v="0"/>
    <s v="3803107"/>
    <n v="731060"/>
    <s v="Pagers"/>
    <s v="SANE"/>
    <x v="0"/>
    <n v="1002"/>
    <n v="5.69"/>
    <n v="21.62"/>
    <n v="13.79"/>
    <n v="13.82"/>
    <n v="0"/>
    <n v="13.82"/>
    <n v="27.64"/>
    <n v="13.82"/>
    <n v="13.82"/>
    <n v="13.82"/>
    <n v="13.82"/>
    <n v="13.82"/>
    <n v="165.48"/>
    <n v="0"/>
  </r>
  <r>
    <x v="0"/>
    <x v="6"/>
    <x v="0"/>
    <s v="3803107"/>
    <n v="740020"/>
    <s v="Education-Registration Fees"/>
    <s v="SANE"/>
    <x v="0"/>
    <m/>
    <n v="0"/>
    <n v="0"/>
    <n v="0"/>
    <n v="0"/>
    <n v="0"/>
    <n v="0"/>
    <n v="0"/>
    <n v="0"/>
    <n v="300"/>
    <n v="0"/>
    <n v="0"/>
    <n v="0"/>
    <n v="300"/>
    <n v="0"/>
  </r>
  <r>
    <x v="0"/>
    <x v="6"/>
    <x v="0"/>
    <s v="3803107"/>
    <n v="749510"/>
    <s v="Miscellaneous Expenses"/>
    <s v="SANE"/>
    <x v="0"/>
    <m/>
    <n v="0"/>
    <n v="0"/>
    <n v="0"/>
    <n v="0"/>
    <n v="0"/>
    <n v="0"/>
    <n v="0"/>
    <n v="300"/>
    <n v="-300"/>
    <n v="0"/>
    <n v="0"/>
    <n v="0"/>
    <n v="0"/>
    <n v="0"/>
  </r>
  <r>
    <x v="18"/>
    <x v="6"/>
    <x v="0"/>
    <s v="3810107"/>
    <n v="400010"/>
    <s v="Acute I/P Svcs Rev--Medicare"/>
    <s v="Urgent Care-PO"/>
    <x v="0"/>
    <n v="1100"/>
    <n v="-2069.38"/>
    <n v="-1593"/>
    <n v="0"/>
    <n v="-1603"/>
    <n v="-2635.27"/>
    <n v="-1529.28"/>
    <n v="-1591.12"/>
    <n v="-1418.93"/>
    <n v="-525"/>
    <n v="-596"/>
    <n v="-1121.44"/>
    <n v="-949"/>
    <n v="-15631.42"/>
    <n v="-172.44000000000005"/>
  </r>
  <r>
    <x v="18"/>
    <x v="6"/>
    <x v="0"/>
    <s v="3810107"/>
    <n v="400010"/>
    <s v="Acute I/P Svcs Rev--Medicaid"/>
    <s v="Urgent Care-PO"/>
    <x v="0"/>
    <n v="1200"/>
    <n v="-719.64"/>
    <n v="-1915.48"/>
    <n v="1042.48"/>
    <n v="-977.38"/>
    <n v="-295"/>
    <n v="0"/>
    <n v="-364"/>
    <n v="-483"/>
    <n v="-221"/>
    <n v="-375"/>
    <n v="-221"/>
    <n v="-830.37"/>
    <n v="-5359.39"/>
    <n v="609.37"/>
  </r>
  <r>
    <x v="18"/>
    <x v="6"/>
    <x v="0"/>
    <s v="3810107"/>
    <n v="400010"/>
    <s v="Acute I/P Svcs Rev--Comm Insurance"/>
    <s v="Urgent Care-PO"/>
    <x v="0"/>
    <n v="1300"/>
    <n v="0"/>
    <n v="0"/>
    <n v="0"/>
    <n v="0"/>
    <n v="-364"/>
    <n v="0"/>
    <n v="0"/>
    <n v="0"/>
    <n v="-457.31"/>
    <n v="0"/>
    <n v="0"/>
    <n v="0"/>
    <n v="-821.31"/>
    <n v="0"/>
  </r>
  <r>
    <x v="18"/>
    <x v="6"/>
    <x v="0"/>
    <s v="3810107"/>
    <n v="400010"/>
    <s v="Acute I/P Svcs Rev--BCBS Comm"/>
    <s v="Urgent Care-PO"/>
    <x v="0"/>
    <n v="1301"/>
    <n v="0"/>
    <n v="-214"/>
    <n v="-991"/>
    <n v="0"/>
    <n v="0"/>
    <n v="0"/>
    <n v="0"/>
    <n v="0"/>
    <n v="-657"/>
    <n v="-262"/>
    <n v="-304"/>
    <n v="-304"/>
    <n v="-2732"/>
    <n v="0"/>
  </r>
  <r>
    <x v="18"/>
    <x v="6"/>
    <x v="0"/>
    <s v="3810107"/>
    <n v="400010"/>
    <s v="Acute I/P Svcs Rev--Managed Care"/>
    <s v="Urgent Care-PO"/>
    <x v="0"/>
    <n v="1400"/>
    <n v="0"/>
    <n v="0"/>
    <n v="-1337.48"/>
    <n v="0"/>
    <n v="0"/>
    <n v="0"/>
    <n v="-435"/>
    <n v="-1095.3599999999999"/>
    <n v="0"/>
    <n v="0"/>
    <n v="0"/>
    <n v="0"/>
    <n v="-2867.84"/>
    <n v="0"/>
  </r>
  <r>
    <x v="18"/>
    <x v="6"/>
    <x v="0"/>
    <s v="3810107"/>
    <n v="400010"/>
    <s v="Acute I/P Svcs Rev--Other"/>
    <s v="Urgent Care-PO"/>
    <x v="0"/>
    <n v="1700"/>
    <n v="0"/>
    <n v="0"/>
    <n v="-1050.5"/>
    <n v="0"/>
    <n v="0"/>
    <n v="0"/>
    <n v="-214"/>
    <n v="0"/>
    <n v="0"/>
    <n v="0"/>
    <n v="0"/>
    <n v="0"/>
    <n v="-1264.5"/>
    <n v="0"/>
  </r>
  <r>
    <x v="19"/>
    <x v="6"/>
    <x v="0"/>
    <s v="3810107"/>
    <n v="400020"/>
    <s v="O/P Care Svcs Rev--Medicare"/>
    <s v="Urgent Care-PO"/>
    <x v="0"/>
    <n v="1100"/>
    <n v="-131462.07"/>
    <n v="-99507.45"/>
    <n v="-121929.47"/>
    <n v="-115041.67"/>
    <n v="-90382.39"/>
    <n v="-96154.91"/>
    <n v="-120383.59"/>
    <n v="-77703.789999999994"/>
    <n v="-91387.54"/>
    <n v="-136820.4"/>
    <n v="-99734.21"/>
    <n v="-92278.2"/>
    <n v="-1272785.69"/>
    <n v="-7456.0100000000093"/>
  </r>
  <r>
    <x v="19"/>
    <x v="6"/>
    <x v="0"/>
    <s v="3810107"/>
    <n v="400020"/>
    <s v="O/P Care Svcs Rev--Medicaid"/>
    <s v="Urgent Care-PO"/>
    <x v="0"/>
    <n v="1200"/>
    <n v="-257561.11"/>
    <n v="-230228.27"/>
    <n v="-269166.34999999998"/>
    <n v="-306686.26"/>
    <n v="-264104.38"/>
    <n v="-257066.25"/>
    <n v="-336383.55"/>
    <n v="-264247.67999999999"/>
    <n v="-256492.57"/>
    <n v="-302491.49"/>
    <n v="-249834.01"/>
    <n v="-220408.9"/>
    <n v="-3214670.82"/>
    <n v="-29425.110000000015"/>
  </r>
  <r>
    <x v="19"/>
    <x v="6"/>
    <x v="0"/>
    <s v="3810107"/>
    <n v="400020"/>
    <s v="O/P Care Svcs Rev--Comm Insurance"/>
    <s v="Urgent Care-PO"/>
    <x v="0"/>
    <n v="1300"/>
    <n v="-41127.410000000003"/>
    <n v="-20281.04"/>
    <n v="-16019.38"/>
    <n v="-33082.5"/>
    <n v="-29728.28"/>
    <n v="-20395.57"/>
    <n v="-46047.31"/>
    <n v="-30997.15"/>
    <n v="-31377.31"/>
    <n v="-28519.53"/>
    <n v="-32369.99"/>
    <n v="-19641.43"/>
    <n v="-349586.89999999997"/>
    <n v="-12728.560000000001"/>
  </r>
  <r>
    <x v="19"/>
    <x v="6"/>
    <x v="0"/>
    <s v="3810107"/>
    <n v="400020"/>
    <s v="O/P Care Svcs Rev--BCBS Comm"/>
    <s v="Urgent Care-PO"/>
    <x v="0"/>
    <n v="1301"/>
    <n v="-131133.76000000001"/>
    <n v="-117241.68"/>
    <n v="-124919.61"/>
    <n v="-136277.76999999999"/>
    <n v="-115549.71"/>
    <n v="-134342.57"/>
    <n v="-177491.34"/>
    <n v="-159676.79999999999"/>
    <n v="-157203.18"/>
    <n v="-166819.4"/>
    <n v="-146901.76000000001"/>
    <n v="-121195.76"/>
    <n v="-1688753.3399999996"/>
    <n v="-25706.000000000015"/>
  </r>
  <r>
    <x v="19"/>
    <x v="6"/>
    <x v="0"/>
    <s v="3810107"/>
    <n v="400020"/>
    <s v="O/P Care Svcs Rev--Managed Care"/>
    <s v="Urgent Care-PO"/>
    <x v="0"/>
    <n v="1400"/>
    <n v="-148859.12"/>
    <n v="-134295.07"/>
    <n v="-145771.89000000001"/>
    <n v="-147078.67000000001"/>
    <n v="-145116.81"/>
    <n v="-134946.19"/>
    <n v="-204470.66"/>
    <n v="-140935.10999999999"/>
    <n v="-155935.16"/>
    <n v="-196583.52"/>
    <n v="-162779.31"/>
    <n v="-129027.54"/>
    <n v="-1845799.05"/>
    <n v="-33751.770000000004"/>
  </r>
  <r>
    <x v="19"/>
    <x v="6"/>
    <x v="0"/>
    <s v="3810107"/>
    <n v="400020"/>
    <s v="O/P Care Svcs Rev--Self Pay"/>
    <s v="Urgent Care-PO"/>
    <x v="0"/>
    <n v="1500"/>
    <n v="-33296.720000000001"/>
    <n v="-32110.7"/>
    <n v="-30426.799999999999"/>
    <n v="-35480.769999999997"/>
    <n v="-31863.1"/>
    <n v="-34749.300000000003"/>
    <n v="-44724.33"/>
    <n v="-24748.69"/>
    <n v="-19970.36"/>
    <n v="-38328.239999999998"/>
    <n v="-30650.55"/>
    <n v="-32171.68"/>
    <n v="-388521.24"/>
    <n v="1521.130000000001"/>
  </r>
  <r>
    <x v="19"/>
    <x v="6"/>
    <x v="0"/>
    <s v="3810107"/>
    <n v="400020"/>
    <s v="O/P Care Svcs Rev--Other"/>
    <s v="Urgent Care-PO"/>
    <x v="0"/>
    <n v="1700"/>
    <n v="-82654.929999999993"/>
    <n v="-72357.67"/>
    <n v="-81986.070000000007"/>
    <n v="-88049.49"/>
    <n v="-65381.18"/>
    <n v="-79149.710000000006"/>
    <n v="-89156.39"/>
    <n v="-81714.880000000005"/>
    <n v="-89114.83"/>
    <n v="-101287.98"/>
    <n v="-91817.69"/>
    <n v="-65480.83"/>
    <n v="-988151.64999999979"/>
    <n v="-26336.86"/>
  </r>
  <r>
    <x v="14"/>
    <x v="6"/>
    <x v="0"/>
    <s v="3810107"/>
    <n v="600050"/>
    <s v="Miscellaneous Revenue"/>
    <s v="Urgent Care-PO"/>
    <x v="0"/>
    <m/>
    <n v="-3400"/>
    <n v="-5000"/>
    <n v="0"/>
    <n v="-6500"/>
    <n v="0"/>
    <n v="-6950"/>
    <n v="0"/>
    <n v="-6450"/>
    <n v="-4650"/>
    <n v="0"/>
    <n v="0"/>
    <n v="-3100"/>
    <n v="-36050"/>
    <n v="3100"/>
  </r>
  <r>
    <x v="5"/>
    <x v="6"/>
    <x v="0"/>
    <s v="3810107"/>
    <n v="700014"/>
    <s v="Salaries-Management-Productive"/>
    <s v="Urgent Care-PO"/>
    <x v="0"/>
    <m/>
    <n v="0"/>
    <n v="0"/>
    <n v="0"/>
    <n v="0"/>
    <n v="0"/>
    <n v="0"/>
    <n v="0"/>
    <n v="0"/>
    <n v="35786.97"/>
    <n v="5252.78"/>
    <n v="5189.6499999999996"/>
    <n v="2487.04"/>
    <n v="48716.44"/>
    <n v="2702.6099999999997"/>
  </r>
  <r>
    <x v="5"/>
    <x v="6"/>
    <x v="0"/>
    <s v="3810107"/>
    <n v="700018"/>
    <s v="Salaries-Supervisory-Productive"/>
    <s v="Urgent Care-PO"/>
    <x v="0"/>
    <m/>
    <n v="6376.05"/>
    <n v="5551.53"/>
    <n v="3426.24"/>
    <n v="6777.71"/>
    <n v="4355.5"/>
    <n v="5354.1"/>
    <n v="4835.1400000000003"/>
    <n v="4812.55"/>
    <n v="-9807.44"/>
    <n v="457.14"/>
    <n v="4671.95"/>
    <n v="5191.37"/>
    <n v="42001.84"/>
    <n v="-519.42000000000007"/>
  </r>
  <r>
    <x v="5"/>
    <x v="6"/>
    <x v="0"/>
    <s v="3810107"/>
    <n v="700026"/>
    <s v="Salaries-RN-Productive"/>
    <s v="Urgent Care-PO"/>
    <x v="0"/>
    <m/>
    <n v="10534.19"/>
    <n v="11130.39"/>
    <n v="9914.76"/>
    <n v="6909.77"/>
    <n v="9939.5300000000007"/>
    <n v="12840.65"/>
    <n v="14054.45"/>
    <n v="11425.54"/>
    <n v="-20508.7"/>
    <n v="8269.2900000000009"/>
    <n v="11411.08"/>
    <n v="8399.75"/>
    <n v="94320.7"/>
    <n v="3011.33"/>
  </r>
  <r>
    <x v="5"/>
    <x v="6"/>
    <x v="0"/>
    <s v="3810107"/>
    <n v="700026"/>
    <s v="Salaries-RN-OT"/>
    <s v="Urgent Care-PO"/>
    <x v="0"/>
    <n v="1000"/>
    <n v="0"/>
    <n v="0"/>
    <n v="0"/>
    <n v="0"/>
    <n v="0"/>
    <n v="0"/>
    <n v="263.47000000000003"/>
    <n v="-39.96"/>
    <n v="-78.23"/>
    <n v="204.52"/>
    <n v="0"/>
    <n v="0"/>
    <n v="349.80000000000007"/>
    <n v="0"/>
  </r>
  <r>
    <x v="5"/>
    <x v="6"/>
    <x v="0"/>
    <s v="3810107"/>
    <n v="700026"/>
    <s v="Salaries-RN-Other"/>
    <s v="Urgent Care-PO"/>
    <x v="0"/>
    <n v="2000"/>
    <n v="842.01"/>
    <n v="825.4"/>
    <n v="944.7"/>
    <n v="721.59"/>
    <n v="1059.93"/>
    <n v="1446.25"/>
    <n v="1319.99"/>
    <n v="440.7"/>
    <n v="-1952.69"/>
    <n v="482.09"/>
    <n v="918.66"/>
    <n v="393.55"/>
    <n v="7442.1799999999994"/>
    <n v="525.1099999999999"/>
  </r>
  <r>
    <x v="5"/>
    <x v="6"/>
    <x v="0"/>
    <s v="3810107"/>
    <n v="700030"/>
    <s v="Salaries-LPN-Productive"/>
    <s v="Urgent Care-PO"/>
    <x v="0"/>
    <m/>
    <n v="17845.310000000001"/>
    <n v="14333.52"/>
    <n v="17334.400000000001"/>
    <n v="21587.29"/>
    <n v="20410.39"/>
    <n v="19275.13"/>
    <n v="20711.84"/>
    <n v="18081.87"/>
    <n v="-40176.86"/>
    <n v="12659.78"/>
    <n v="9782.09"/>
    <n v="11832.68"/>
    <n v="143677.44"/>
    <n v="-2050.59"/>
  </r>
  <r>
    <x v="5"/>
    <x v="6"/>
    <x v="0"/>
    <s v="3810107"/>
    <n v="700030"/>
    <s v="Salaries-LPN-OT"/>
    <s v="Urgent Care-PO"/>
    <x v="0"/>
    <n v="1000"/>
    <n v="133.65"/>
    <n v="16.78"/>
    <n v="352.31"/>
    <n v="304.19"/>
    <n v="104.15"/>
    <n v="1130.7"/>
    <n v="381.43"/>
    <n v="305.60000000000002"/>
    <n v="-874.26"/>
    <n v="117.12"/>
    <n v="64.010000000000005"/>
    <n v="191.8"/>
    <n v="2227.48"/>
    <n v="-127.79"/>
  </r>
  <r>
    <x v="5"/>
    <x v="6"/>
    <x v="0"/>
    <s v="3810107"/>
    <n v="700030"/>
    <s v="Salaries-LPN-Other"/>
    <s v="Urgent Care-PO"/>
    <x v="0"/>
    <n v="2000"/>
    <n v="562.84"/>
    <n v="581.54999999999995"/>
    <n v="502.05"/>
    <n v="776.37"/>
    <n v="557.05999999999995"/>
    <n v="610.72"/>
    <n v="454.18"/>
    <n v="445.06"/>
    <n v="-1245.3900000000001"/>
    <n v="494.32"/>
    <n v="308.2"/>
    <n v="384.38"/>
    <n v="4431.3399999999992"/>
    <n v="-76.180000000000007"/>
  </r>
  <r>
    <x v="5"/>
    <x v="6"/>
    <x v="0"/>
    <s v="3810107"/>
    <n v="700032"/>
    <s v="Salaries-Other Pat Care Providers-Productive"/>
    <s v="Urgent Care-PO"/>
    <x v="0"/>
    <m/>
    <n v="1840.45"/>
    <n v="2048.25"/>
    <n v="2422.83"/>
    <n v="2384.36"/>
    <n v="2161.36"/>
    <n v="1950.66"/>
    <n v="2139.4"/>
    <n v="2156.7600000000002"/>
    <n v="-4434.32"/>
    <n v="122.53"/>
    <n v="2048.71"/>
    <n v="1517.87"/>
    <n v="16358.86"/>
    <n v="530.84000000000015"/>
  </r>
  <r>
    <x v="5"/>
    <x v="6"/>
    <x v="0"/>
    <s v="3810107"/>
    <n v="700032"/>
    <s v="Salaries-Other Pat Care Providers-Other"/>
    <s v="Urgent Care-PO"/>
    <x v="0"/>
    <n v="2000"/>
    <n v="47.12"/>
    <n v="48.1"/>
    <n v="57.6"/>
    <n v="56.69"/>
    <n v="51.38"/>
    <n v="50.35"/>
    <n v="50.38"/>
    <n v="51.28"/>
    <n v="-107.61"/>
    <n v="7.15"/>
    <n v="47.79"/>
    <n v="35.42"/>
    <n v="395.65"/>
    <n v="12.369999999999997"/>
  </r>
  <r>
    <x v="5"/>
    <x v="6"/>
    <x v="0"/>
    <s v="3810107"/>
    <n v="700034"/>
    <s v="Salaries-Tech/Professional-Productive"/>
    <s v="Urgent Care-PO"/>
    <x v="0"/>
    <m/>
    <n v="10327.799999999999"/>
    <n v="9205.0400000000009"/>
    <n v="9780.34"/>
    <n v="10267.129999999999"/>
    <n v="9973.9699999999993"/>
    <n v="9731.56"/>
    <n v="11486.19"/>
    <n v="8265.15"/>
    <n v="-21192.78"/>
    <n v="6255.55"/>
    <n v="5842.17"/>
    <n v="5331.96"/>
    <n v="75274.080000000002"/>
    <n v="510.21000000000004"/>
  </r>
  <r>
    <x v="5"/>
    <x v="6"/>
    <x v="0"/>
    <s v="3810107"/>
    <n v="700034"/>
    <s v="Salaries-Tech/Professional-OT"/>
    <s v="Urgent Care-PO"/>
    <x v="0"/>
    <n v="1000"/>
    <n v="380.16"/>
    <n v="474.92"/>
    <n v="109.41"/>
    <n v="-109.77"/>
    <n v="169"/>
    <n v="281.87"/>
    <n v="334.24"/>
    <n v="326.41000000000003"/>
    <n v="-428.26"/>
    <n v="189.1"/>
    <n v="343.75"/>
    <n v="1662.59"/>
    <n v="3733.42"/>
    <n v="-1318.84"/>
  </r>
  <r>
    <x v="5"/>
    <x v="6"/>
    <x v="0"/>
    <s v="3810107"/>
    <n v="700034"/>
    <s v="Salaries-Tech/Professional-Other"/>
    <s v="Urgent Care-PO"/>
    <x v="0"/>
    <n v="2000"/>
    <n v="739.06"/>
    <n v="454.88"/>
    <n v="585.15"/>
    <n v="602.35"/>
    <n v="640.34"/>
    <n v="496.13"/>
    <n v="574.41"/>
    <n v="388.7"/>
    <n v="-1199.56"/>
    <n v="384.84"/>
    <n v="259.79000000000002"/>
    <n v="321.58999999999997"/>
    <n v="4247.68"/>
    <n v="-61.799999999999955"/>
  </r>
  <r>
    <x v="5"/>
    <x v="6"/>
    <x v="0"/>
    <s v="3810107"/>
    <n v="700038"/>
    <s v="Salaries-Service/Support-Productive"/>
    <s v="Urgent Care-PO"/>
    <x v="0"/>
    <m/>
    <n v="12462.92"/>
    <n v="12622.53"/>
    <n v="11603.84"/>
    <n v="11990.9"/>
    <n v="12854.43"/>
    <n v="11958.06"/>
    <n v="13315.46"/>
    <n v="10196.459999999999"/>
    <n v="-25893.14"/>
    <n v="7781.47"/>
    <n v="7273.73"/>
    <n v="8836.24"/>
    <n v="95002.900000000009"/>
    <n v="-1562.5100000000002"/>
  </r>
  <r>
    <x v="5"/>
    <x v="6"/>
    <x v="0"/>
    <s v="3810107"/>
    <n v="700038"/>
    <s v="Salaries-Service/Support-OT"/>
    <s v="Urgent Care-PO"/>
    <x v="0"/>
    <n v="1000"/>
    <n v="207.55"/>
    <n v="-117.1"/>
    <n v="0"/>
    <n v="0"/>
    <n v="0"/>
    <n v="107.36"/>
    <n v="0"/>
    <n v="25.64"/>
    <n v="-78.209999999999994"/>
    <n v="49.89"/>
    <n v="250.85"/>
    <n v="-51.27"/>
    <n v="394.71000000000004"/>
    <n v="302.12"/>
  </r>
  <r>
    <x v="5"/>
    <x v="6"/>
    <x v="0"/>
    <s v="3810107"/>
    <n v="700038"/>
    <s v="Salaries-Service/Support-Other"/>
    <s v="Urgent Care-PO"/>
    <x v="0"/>
    <n v="2000"/>
    <n v="859.26"/>
    <n v="751.72"/>
    <n v="832.11"/>
    <n v="689.32"/>
    <n v="742.12"/>
    <n v="756.73"/>
    <n v="817.57"/>
    <n v="560.77"/>
    <n v="-1562.4"/>
    <n v="479.83"/>
    <n v="284.47000000000003"/>
    <n v="662.8"/>
    <n v="5874.3000000000011"/>
    <n v="-378.32999999999993"/>
  </r>
  <r>
    <x v="5"/>
    <x v="6"/>
    <x v="0"/>
    <s v="3810107"/>
    <n v="700054"/>
    <s v="Salaries-Management-Non-productive"/>
    <s v="Urgent Care-PO"/>
    <x v="0"/>
    <m/>
    <n v="0"/>
    <n v="0"/>
    <n v="0"/>
    <n v="0"/>
    <n v="0"/>
    <n v="0"/>
    <n v="0"/>
    <n v="0"/>
    <n v="6594.07"/>
    <n v="0"/>
    <n v="0"/>
    <n v="0"/>
    <n v="6594.07"/>
    <n v="0"/>
  </r>
  <r>
    <x v="5"/>
    <x v="6"/>
    <x v="0"/>
    <s v="3810107"/>
    <n v="700054"/>
    <s v="Salaries-Management-NonProd-Other"/>
    <s v="Urgent Care-PO"/>
    <x v="0"/>
    <n v="2000"/>
    <n v="0"/>
    <n v="0"/>
    <n v="0"/>
    <n v="0"/>
    <n v="0"/>
    <n v="686.69"/>
    <n v="-686.69"/>
    <n v="0"/>
    <n v="261.18"/>
    <n v="0"/>
    <n v="0"/>
    <n v="0"/>
    <n v="261.18"/>
    <n v="0"/>
  </r>
  <r>
    <x v="5"/>
    <x v="6"/>
    <x v="0"/>
    <s v="3810107"/>
    <n v="700058"/>
    <s v="Salaries-Supervisory-Non-productive"/>
    <s v="Urgent Care-PO"/>
    <x v="0"/>
    <m/>
    <n v="179.75"/>
    <n v="1004.57"/>
    <n v="2918.46"/>
    <n v="-23.05"/>
    <n v="2227.1799999999998"/>
    <n v="1448.23"/>
    <n v="1977.81"/>
    <n v="1340.47"/>
    <n v="-4161.33"/>
    <n v="399.95"/>
    <n v="0"/>
    <n v="0"/>
    <n v="7312.0399999999981"/>
    <n v="0"/>
  </r>
  <r>
    <x v="5"/>
    <x v="6"/>
    <x v="0"/>
    <s v="3810107"/>
    <n v="700058"/>
    <s v="Salaries-Supervisory-NonProd-Other"/>
    <s v="Urgent Care-PO"/>
    <x v="0"/>
    <n v="2000"/>
    <n v="0"/>
    <n v="0"/>
    <n v="0"/>
    <n v="0"/>
    <n v="500"/>
    <n v="0"/>
    <n v="0"/>
    <n v="-500"/>
    <n v="0"/>
    <n v="0"/>
    <n v="0"/>
    <n v="0"/>
    <n v="0"/>
    <n v="0"/>
  </r>
  <r>
    <x v="5"/>
    <x v="6"/>
    <x v="0"/>
    <s v="3810107"/>
    <n v="700066"/>
    <s v="Salaries-RN-Non-productive"/>
    <s v="Urgent Care-PO"/>
    <x v="0"/>
    <m/>
    <n v="0"/>
    <n v="0"/>
    <n v="302.35000000000002"/>
    <n v="430.65"/>
    <n v="0"/>
    <n v="0"/>
    <n v="0"/>
    <n v="0"/>
    <n v="-147.19"/>
    <n v="247.02"/>
    <n v="671.77"/>
    <n v="557.54"/>
    <n v="2062.14"/>
    <n v="114.23000000000002"/>
  </r>
  <r>
    <x v="5"/>
    <x v="6"/>
    <x v="0"/>
    <s v="3810107"/>
    <n v="700066"/>
    <s v="Salaries-RN-NonProd-Other"/>
    <s v="Urgent Care-P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810107"/>
    <n v="700070"/>
    <s v="Salaries-LPN-Non-productive"/>
    <s v="Urgent Care-PO"/>
    <x v="0"/>
    <m/>
    <n v="2807.2"/>
    <n v="3727.39"/>
    <n v="4781.95"/>
    <n v="3887.05"/>
    <n v="3473.14"/>
    <n v="1163.74"/>
    <n v="3206.78"/>
    <n v="5127.62"/>
    <n v="-7125.97"/>
    <n v="1665.74"/>
    <n v="974.55"/>
    <n v="1264.8800000000001"/>
    <n v="24954.07"/>
    <n v="-290.33000000000015"/>
  </r>
  <r>
    <x v="5"/>
    <x v="6"/>
    <x v="0"/>
    <s v="3810107"/>
    <n v="700070"/>
    <s v="Salaries-LPN-NonProd-Other"/>
    <s v="Urgent Care-PO"/>
    <x v="0"/>
    <n v="2000"/>
    <n v="95.74"/>
    <n v="234.07"/>
    <n v="74.349999999999994"/>
    <n v="45.82"/>
    <n v="63.97"/>
    <n v="36.799999999999997"/>
    <n v="95.05"/>
    <n v="220.94"/>
    <n v="-310.41000000000003"/>
    <n v="85.71"/>
    <n v="4.67"/>
    <n v="60.57"/>
    <n v="707.27999999999975"/>
    <n v="-55.9"/>
  </r>
  <r>
    <x v="5"/>
    <x v="6"/>
    <x v="0"/>
    <s v="3810107"/>
    <n v="700074"/>
    <s v="Salaries-Tech/Professional-Non-productive"/>
    <s v="Urgent Care-PO"/>
    <x v="0"/>
    <m/>
    <n v="91.68"/>
    <n v="1667.05"/>
    <n v="1220.8900000000001"/>
    <n v="180.32"/>
    <n v="2446.38"/>
    <n v="1859.97"/>
    <n v="72.02"/>
    <n v="2759.03"/>
    <n v="-3143.05"/>
    <n v="-239.11"/>
    <n v="1455.66"/>
    <n v="1324.41"/>
    <n v="9695.25"/>
    <n v="131.25"/>
  </r>
  <r>
    <x v="5"/>
    <x v="6"/>
    <x v="0"/>
    <s v="3810107"/>
    <n v="700074"/>
    <s v="Salaries-Tech/Professional-NonProd-Other"/>
    <s v="Urgent Care-PO"/>
    <x v="0"/>
    <n v="2000"/>
    <n v="0"/>
    <n v="21.14"/>
    <n v="-6.34"/>
    <n v="0"/>
    <n v="0"/>
    <n v="104.85"/>
    <n v="8.48"/>
    <n v="22.23"/>
    <n v="-37.49"/>
    <n v="-5.5"/>
    <n v="27.85"/>
    <n v="62.97"/>
    <n v="198.18999999999997"/>
    <n v="-35.119999999999997"/>
  </r>
  <r>
    <x v="5"/>
    <x v="6"/>
    <x v="0"/>
    <s v="3810107"/>
    <n v="700078"/>
    <s v="Salaries-Service/Support-Non-productive"/>
    <s v="Urgent Care-PO"/>
    <x v="0"/>
    <m/>
    <n v="1444.3"/>
    <n v="240.94"/>
    <n v="2515.56"/>
    <n v="2003.25"/>
    <n v="222.72"/>
    <n v="2702.81"/>
    <n v="445.66"/>
    <n v="1934.41"/>
    <n v="-3552.73"/>
    <n v="568.20000000000005"/>
    <n v="1434.18"/>
    <n v="955.68"/>
    <n v="10914.980000000001"/>
    <n v="478.50000000000011"/>
  </r>
  <r>
    <x v="5"/>
    <x v="6"/>
    <x v="0"/>
    <s v="3810107"/>
    <n v="700078"/>
    <s v="Salaries-Service/Support-NonProd-Other"/>
    <s v="Urgent Care-PO"/>
    <x v="0"/>
    <n v="2000"/>
    <n v="0"/>
    <n v="0"/>
    <n v="0"/>
    <n v="9.68"/>
    <n v="0"/>
    <n v="0"/>
    <n v="0"/>
    <n v="0"/>
    <n v="-3.39"/>
    <n v="0"/>
    <n v="0"/>
    <n v="0"/>
    <n v="6.2899999999999991"/>
    <n v="0"/>
  </r>
  <r>
    <x v="5"/>
    <x v="6"/>
    <x v="0"/>
    <s v="3810107"/>
    <n v="700084"/>
    <s v="Accrued PTO"/>
    <s v="Urgent Care-PO"/>
    <x v="0"/>
    <m/>
    <n v="1088.8"/>
    <n v="361.22"/>
    <n v="-1816.55"/>
    <n v="173.72"/>
    <n v="2867.17"/>
    <n v="-1055.93"/>
    <n v="2710.27"/>
    <n v="-3676.76"/>
    <n v="3128.05"/>
    <n v="4734.25"/>
    <n v="-2213.66"/>
    <n v="2054.33"/>
    <n v="8354.91"/>
    <n v="-4267.99"/>
  </r>
  <r>
    <x v="6"/>
    <x v="6"/>
    <x v="0"/>
    <s v="3810107"/>
    <n v="713010"/>
    <s v="Benefits-FICA/Medicare"/>
    <s v="Urgent Care-PO"/>
    <x v="0"/>
    <m/>
    <n v="5174.54"/>
    <n v="4989.97"/>
    <n v="5316.63"/>
    <n v="5307.08"/>
    <n v="5613.59"/>
    <n v="5616.64"/>
    <n v="5888.22"/>
    <n v="5249.44"/>
    <n v="5707.59"/>
    <n v="3293.83"/>
    <n v="4035.15"/>
    <n v="3935.91"/>
    <n v="60128.59"/>
    <n v="99.240000000000236"/>
  </r>
  <r>
    <x v="6"/>
    <x v="6"/>
    <x v="0"/>
    <s v="3810107"/>
    <n v="713090"/>
    <s v="Benefits-Allocated Amounts"/>
    <s v="Urgent Care-PO"/>
    <x v="0"/>
    <m/>
    <n v="14938.98"/>
    <n v="12530.63"/>
    <n v="15177.39"/>
    <n v="15301.13"/>
    <n v="17626.89"/>
    <n v="16141.2"/>
    <n v="16879.64"/>
    <n v="16178.44"/>
    <n v="-27060.27"/>
    <n v="10761.72"/>
    <n v="10545.13"/>
    <n v="13040.91"/>
    <n v="132061.78999999998"/>
    <n v="-2495.7800000000007"/>
  </r>
  <r>
    <x v="7"/>
    <x v="6"/>
    <x v="0"/>
    <s v="3810107"/>
    <n v="718050"/>
    <s v="Contract Svcs-Other"/>
    <s v="Urgent Care-PO"/>
    <x v="0"/>
    <m/>
    <n v="518.28"/>
    <n v="2310.16"/>
    <n v="860.84"/>
    <n v="754.3"/>
    <n v="589.99"/>
    <n v="309.12"/>
    <n v="1111.18"/>
    <n v="973.99"/>
    <n v="439.83"/>
    <n v="400.06"/>
    <n v="531.38"/>
    <n v="905.39"/>
    <n v="9704.5199999999986"/>
    <n v="-374.01"/>
  </r>
  <r>
    <x v="7"/>
    <x v="6"/>
    <x v="0"/>
    <s v="3810107"/>
    <n v="718050"/>
    <s v="Miscellaneous Purchased Svcs"/>
    <s v="Urgent Care-PO"/>
    <x v="0"/>
    <n v="1020"/>
    <n v="2741.3"/>
    <n v="2510.44"/>
    <n v="7362.94"/>
    <n v="2468.2800000000002"/>
    <n v="2390.9699999999998"/>
    <n v="372.63"/>
    <n v="5451.85"/>
    <n v="2483.94"/>
    <n v="4952.2299999999996"/>
    <n v="2513.65"/>
    <n v="2488.02"/>
    <n v="2468.2800000000002"/>
    <n v="38204.53"/>
    <n v="19.739999999999782"/>
  </r>
  <r>
    <x v="7"/>
    <x v="6"/>
    <x v="0"/>
    <s v="3810107"/>
    <n v="718050"/>
    <s v="Contract Management--Linen"/>
    <s v="Urgent Care-PO"/>
    <x v="0"/>
    <n v="1026"/>
    <n v="308.31"/>
    <n v="1234.57"/>
    <n v="719.39"/>
    <n v="718.36"/>
    <n v="1157.3499999999999"/>
    <n v="743.31"/>
    <n v="1187.73"/>
    <n v="420"/>
    <n v="940.54"/>
    <n v="977.84"/>
    <n v="315"/>
    <n v="1152.77"/>
    <n v="9875.1699999999983"/>
    <n v="-837.77"/>
  </r>
  <r>
    <x v="11"/>
    <x v="6"/>
    <x v="0"/>
    <s v="3810107"/>
    <n v="721010"/>
    <s v="Supplies-Medical - Billable"/>
    <s v="Urgent Care-PO"/>
    <x v="0"/>
    <m/>
    <n v="1660.23"/>
    <n v="1677.26"/>
    <n v="1527.97"/>
    <n v="1522.23"/>
    <n v="1201.08"/>
    <n v="1050.54"/>
    <n v="1019.18"/>
    <n v="1014.75"/>
    <n v="1037.99"/>
    <n v="1355.36"/>
    <n v="2437.4299999999998"/>
    <n v="1581.62"/>
    <n v="17085.640000000003"/>
    <n v="855.81"/>
  </r>
  <r>
    <x v="11"/>
    <x v="6"/>
    <x v="0"/>
    <s v="3810107"/>
    <n v="721010"/>
    <s v="Patient Monitoring"/>
    <s v="Urgent Care-PO"/>
    <x v="0"/>
    <n v="1000"/>
    <n v="0"/>
    <n v="0"/>
    <n v="0"/>
    <n v="54.3"/>
    <n v="53.72"/>
    <n v="18.100000000000001"/>
    <n v="0"/>
    <n v="18.100000000000001"/>
    <n v="0"/>
    <n v="108.6"/>
    <n v="0"/>
    <n v="53.72"/>
    <n v="306.53999999999996"/>
    <n v="-53.72"/>
  </r>
  <r>
    <x v="11"/>
    <x v="6"/>
    <x v="0"/>
    <s v="3810107"/>
    <n v="721020"/>
    <s v="Supplies-Surgical - Billable"/>
    <s v="Urgent Care-PO"/>
    <x v="0"/>
    <m/>
    <n v="139.54"/>
    <n v="57.25"/>
    <n v="0"/>
    <n v="0"/>
    <n v="0"/>
    <n v="1.92"/>
    <n v="0.48"/>
    <n v="25.06"/>
    <n v="-2.0699999999999998"/>
    <n v="0"/>
    <n v="0"/>
    <n v="61.94"/>
    <n v="284.12"/>
    <n v="-61.94"/>
  </r>
  <r>
    <x v="11"/>
    <x v="6"/>
    <x v="0"/>
    <s v="3810107"/>
    <n v="721020"/>
    <s v="Custom Packs"/>
    <s v="Urgent Care-PO"/>
    <x v="0"/>
    <n v="1000"/>
    <n v="38.85"/>
    <n v="18.5"/>
    <n v="55.5"/>
    <n v="85.1"/>
    <n v="74"/>
    <n v="83.26"/>
    <n v="55.5"/>
    <n v="55.5"/>
    <n v="55.5"/>
    <n v="18.5"/>
    <n v="46.25"/>
    <n v="55.5"/>
    <n v="641.96"/>
    <n v="-9.25"/>
  </r>
  <r>
    <x v="11"/>
    <x v="6"/>
    <x v="0"/>
    <s v="3810107"/>
    <n v="721020"/>
    <s v="Suture/Wound Closure"/>
    <s v="Urgent Care-PO"/>
    <x v="0"/>
    <n v="1001"/>
    <n v="237.61"/>
    <n v="277.49"/>
    <n v="172.49"/>
    <n v="200.28"/>
    <n v="79.28"/>
    <n v="184.92"/>
    <n v="274.5"/>
    <n v="0"/>
    <n v="0"/>
    <n v="102.13"/>
    <n v="66.599999999999994"/>
    <n v="148.94999999999999"/>
    <n v="1744.2499999999998"/>
    <n v="-82.35"/>
  </r>
  <r>
    <x v="11"/>
    <x v="6"/>
    <x v="0"/>
    <s v="3810107"/>
    <n v="721240"/>
    <s v="Supplies-IV Solutions/Supplies - Billable"/>
    <s v="Urgent Care-PO"/>
    <x v="0"/>
    <m/>
    <n v="1519.88"/>
    <n v="1003.95"/>
    <n v="746"/>
    <n v="694.51"/>
    <n v="660.51"/>
    <n v="828.6"/>
    <n v="774.53"/>
    <n v="426"/>
    <n v="679.5"/>
    <n v="544.01"/>
    <n v="684.38"/>
    <n v="896.75"/>
    <n v="9458.6200000000008"/>
    <n v="-212.37"/>
  </r>
  <r>
    <x v="11"/>
    <x v="6"/>
    <x v="0"/>
    <s v="3810107"/>
    <n v="721250"/>
    <s v="Supplies-Pharmacy Drugs - Billable"/>
    <s v="Urgent Care-PO"/>
    <x v="0"/>
    <m/>
    <n v="6383.33"/>
    <n v="6783.03"/>
    <n v="3719.49"/>
    <n v="3902.65"/>
    <n v="8043.17"/>
    <n v="5104.68"/>
    <n v="7958.42"/>
    <n v="4312.12"/>
    <n v="3589.39"/>
    <n v="3680.28"/>
    <n v="4620.79"/>
    <n v="3168.78"/>
    <n v="61266.13"/>
    <n v="1452.0099999999998"/>
  </r>
  <r>
    <x v="11"/>
    <x v="6"/>
    <x v="0"/>
    <s v="3810107"/>
    <n v="721410"/>
    <s v="Supplies-Medical - Nonbillable"/>
    <s v="Urgent Care-PO"/>
    <x v="0"/>
    <m/>
    <n v="4128.74"/>
    <n v="2691.71"/>
    <n v="2330.0100000000002"/>
    <n v="1727.7"/>
    <n v="3291.45"/>
    <n v="3730.9"/>
    <n v="1759.43"/>
    <n v="1400.42"/>
    <n v="2180.33"/>
    <n v="2090.2600000000002"/>
    <n v="1902.81"/>
    <n v="1887.23"/>
    <n v="29120.990000000005"/>
    <n v="15.579999999999927"/>
  </r>
  <r>
    <x v="11"/>
    <x v="6"/>
    <x v="0"/>
    <s v="3810107"/>
    <n v="721420"/>
    <s v="Supplies-Surgical Nonbillable"/>
    <s v="Urgent Care-PO"/>
    <x v="0"/>
    <m/>
    <n v="41.61"/>
    <n v="35.1"/>
    <n v="7.54"/>
    <n v="96.88"/>
    <n v="109.08"/>
    <n v="30.61"/>
    <n v="40.46"/>
    <n v="0"/>
    <n v="26.48"/>
    <n v="30.5"/>
    <n v="85.24"/>
    <n v="8.6300000000000008"/>
    <n v="512.13"/>
    <n v="76.61"/>
  </r>
  <r>
    <x v="11"/>
    <x v="6"/>
    <x v="0"/>
    <s v="3810107"/>
    <n v="721420"/>
    <s v="Tubes Drains &amp; Related Supplies"/>
    <s v="Urgent Care-PO"/>
    <x v="0"/>
    <n v="1008"/>
    <n v="0"/>
    <n v="0"/>
    <n v="0"/>
    <n v="0"/>
    <n v="0"/>
    <n v="807.84"/>
    <n v="0"/>
    <n v="0"/>
    <n v="0"/>
    <n v="0"/>
    <n v="0"/>
    <n v="371"/>
    <n v="1178.8400000000001"/>
    <n v="-371"/>
  </r>
  <r>
    <x v="11"/>
    <x v="6"/>
    <x v="0"/>
    <s v="3810107"/>
    <n v="721420"/>
    <s v="Sterilization Process Products"/>
    <s v="Urgent Care-PO"/>
    <x v="0"/>
    <n v="1009"/>
    <n v="0"/>
    <n v="0"/>
    <n v="0"/>
    <n v="0"/>
    <n v="149.37"/>
    <n v="0"/>
    <n v="0"/>
    <n v="0"/>
    <n v="0"/>
    <n v="0"/>
    <n v="0"/>
    <n v="0"/>
    <n v="149.37"/>
    <n v="0"/>
  </r>
  <r>
    <x v="11"/>
    <x v="6"/>
    <x v="0"/>
    <s v="3810107"/>
    <n v="721610"/>
    <s v="Supplies-Anesthesia - Nonbillable"/>
    <s v="Urgent Care-PO"/>
    <x v="0"/>
    <m/>
    <n v="29.45"/>
    <n v="19.64"/>
    <n v="45"/>
    <n v="39.82"/>
    <n v="58.9"/>
    <n v="80.33"/>
    <n v="100.02"/>
    <n v="49.94"/>
    <n v="68.72"/>
    <n v="26"/>
    <n v="31.9"/>
    <n v="38.21"/>
    <n v="587.92999999999995"/>
    <n v="-6.3100000000000023"/>
  </r>
  <r>
    <x v="11"/>
    <x v="6"/>
    <x v="0"/>
    <s v="3810107"/>
    <n v="721640"/>
    <s v="Supplies-IV Solutions/Supplies - Nonbillable"/>
    <s v="Urgent Care-PO"/>
    <x v="0"/>
    <m/>
    <n v="184.8"/>
    <n v="242.88"/>
    <n v="79.2"/>
    <n v="163.68"/>
    <n v="137.28"/>
    <n v="84.48"/>
    <n v="237.6"/>
    <n v="105.6"/>
    <n v="132"/>
    <n v="211.2"/>
    <n v="184.8"/>
    <n v="70.63"/>
    <n v="1834.1499999999996"/>
    <n v="114.17000000000002"/>
  </r>
  <r>
    <x v="11"/>
    <x v="6"/>
    <x v="0"/>
    <s v="3810107"/>
    <n v="721650"/>
    <s v="Supplies-Pharmacy Drugs - Nonbillable"/>
    <s v="Urgent Care-PO"/>
    <x v="0"/>
    <m/>
    <n v="0.97"/>
    <n v="11.22"/>
    <n v="8.0500000000000007"/>
    <n v="5.84"/>
    <n v="16.809999999999999"/>
    <n v="0"/>
    <n v="1.1299999999999999"/>
    <n v="3.38"/>
    <n v="13.17"/>
    <n v="1.69"/>
    <n v="1.69"/>
    <n v="0.97"/>
    <n v="64.92"/>
    <n v="0.72"/>
  </r>
  <r>
    <x v="11"/>
    <x v="6"/>
    <x v="0"/>
    <s v="3810107"/>
    <n v="721710"/>
    <s v="Supplies-Laboratory - Nonbillable"/>
    <s v="Urgent Care-PO"/>
    <x v="0"/>
    <m/>
    <n v="1468.94"/>
    <n v="1687.44"/>
    <n v="1691.87"/>
    <n v="1623.56"/>
    <n v="2750.27"/>
    <n v="3054.83"/>
    <n v="5425.72"/>
    <n v="4542.84"/>
    <n v="6007.98"/>
    <n v="1998.71"/>
    <n v="2716.61"/>
    <n v="908.11"/>
    <n v="33876.879999999997"/>
    <n v="1808.5"/>
  </r>
  <r>
    <x v="11"/>
    <x v="6"/>
    <x v="0"/>
    <s v="3810107"/>
    <n v="721710"/>
    <s v="Reagents"/>
    <s v="Urgent Care-PO"/>
    <x v="0"/>
    <n v="1000"/>
    <n v="276.89"/>
    <n v="243.88"/>
    <n v="0"/>
    <n v="47.14"/>
    <n v="465.22"/>
    <n v="0"/>
    <n v="0"/>
    <n v="47.14"/>
    <n v="0"/>
    <n v="94.28"/>
    <n v="82.38"/>
    <n v="109.84"/>
    <n v="1366.7700000000002"/>
    <n v="-27.460000000000008"/>
  </r>
  <r>
    <x v="11"/>
    <x v="6"/>
    <x v="0"/>
    <s v="3810107"/>
    <n v="721750"/>
    <s v="Supplies-Film/Radiographic - Nonbillable"/>
    <s v="Urgent Care-PO"/>
    <x v="0"/>
    <m/>
    <n v="1.87"/>
    <n v="0"/>
    <n v="0.94"/>
    <n v="0.94"/>
    <n v="0"/>
    <n v="0"/>
    <n v="0"/>
    <n v="0"/>
    <n v="0"/>
    <n v="0"/>
    <n v="0"/>
    <n v="0"/>
    <n v="3.75"/>
    <n v="0"/>
  </r>
  <r>
    <x v="11"/>
    <x v="6"/>
    <x v="0"/>
    <s v="3810107"/>
    <n v="721810"/>
    <s v="Supplies-Dietary/Cafeteria"/>
    <s v="Urgent Care-PO"/>
    <x v="0"/>
    <m/>
    <n v="385.57"/>
    <n v="134.22"/>
    <n v="178.66"/>
    <n v="182.84"/>
    <n v="100.42"/>
    <n v="167.99"/>
    <n v="8.36"/>
    <n v="275.67"/>
    <n v="188.59"/>
    <n v="21.23"/>
    <n v="79.69"/>
    <n v="85.34"/>
    <n v="1808.5799999999997"/>
    <n v="-5.6500000000000057"/>
  </r>
  <r>
    <x v="11"/>
    <x v="6"/>
    <x v="0"/>
    <s v="3810107"/>
    <n v="721830"/>
    <s v="Supplies-Office"/>
    <s v="Urgent Care-PO"/>
    <x v="0"/>
    <m/>
    <n v="340.45"/>
    <n v="203.98"/>
    <n v="101.24"/>
    <n v="136"/>
    <n v="184.85"/>
    <n v="235.63"/>
    <n v="941.74"/>
    <n v="607.14"/>
    <n v="135.99"/>
    <n v="262.79000000000002"/>
    <n v="474.11"/>
    <n v="151.19999999999999"/>
    <n v="3775.1200000000003"/>
    <n v="322.91000000000003"/>
  </r>
  <r>
    <x v="11"/>
    <x v="6"/>
    <x v="0"/>
    <s v="3810107"/>
    <n v="721870"/>
    <s v="Supplies-Environmental Services"/>
    <s v="Urgent Care-PO"/>
    <x v="0"/>
    <m/>
    <n v="307.02"/>
    <n v="235.3"/>
    <n v="196.45"/>
    <n v="342.63"/>
    <n v="242.95"/>
    <n v="259.12"/>
    <n v="572.97"/>
    <n v="112.29"/>
    <n v="176.04"/>
    <n v="295.06"/>
    <n v="136.82"/>
    <n v="228.07"/>
    <n v="3104.7200000000007"/>
    <n v="-91.25"/>
  </r>
  <r>
    <x v="11"/>
    <x v="6"/>
    <x v="0"/>
    <s v="3810107"/>
    <n v="721880"/>
    <s v="Supplies-Linen"/>
    <s v="Urgent Care-PO"/>
    <x v="0"/>
    <m/>
    <n v="99"/>
    <n v="79.2"/>
    <n v="99"/>
    <n v="79.2"/>
    <n v="120.24"/>
    <n v="181.08"/>
    <n v="107.52"/>
    <n v="107.52"/>
    <n v="113.16"/>
    <n v="100.44"/>
    <n v="127.32"/>
    <n v="93.36"/>
    <n v="1307.0399999999997"/>
    <n v="33.959999999999994"/>
  </r>
  <r>
    <x v="11"/>
    <x v="6"/>
    <x v="0"/>
    <s v="3810107"/>
    <n v="721910"/>
    <s v="Supplies-Small Equipment"/>
    <s v="Urgent Care-PO"/>
    <x v="0"/>
    <m/>
    <n v="75.14"/>
    <n v="15.64"/>
    <n v="0"/>
    <n v="3.84"/>
    <n v="150.13999999999999"/>
    <n v="35.53"/>
    <n v="8.16"/>
    <n v="92.34"/>
    <n v="0"/>
    <n v="4.08"/>
    <n v="12.24"/>
    <n v="9.1199999999999992"/>
    <n v="406.22999999999996"/>
    <n v="3.120000000000001"/>
  </r>
  <r>
    <x v="11"/>
    <x v="6"/>
    <x v="0"/>
    <s v="3810107"/>
    <n v="721910"/>
    <s v="Instruments"/>
    <s v="Urgent Care-PO"/>
    <x v="0"/>
    <n v="1000"/>
    <n v="40.08"/>
    <n v="21.89"/>
    <n v="39.85"/>
    <n v="36.380000000000003"/>
    <n v="61.97"/>
    <n v="40.08"/>
    <n v="559.14"/>
    <n v="18.190000000000001"/>
    <n v="54.57"/>
    <n v="83.86"/>
    <n v="18.190000000000001"/>
    <n v="41.18"/>
    <n v="1015.3800000000001"/>
    <n v="-22.99"/>
  </r>
  <r>
    <x v="11"/>
    <x v="6"/>
    <x v="0"/>
    <s v="3810107"/>
    <n v="721980"/>
    <s v="Supplies-Other"/>
    <s v="Urgent Care-PO"/>
    <x v="0"/>
    <m/>
    <n v="27.86"/>
    <n v="981.45"/>
    <n v="54.83"/>
    <n v="442.54"/>
    <n v="126.69"/>
    <n v="58.43"/>
    <n v="444.8"/>
    <n v="313.5"/>
    <n v="1214.75"/>
    <n v="839.57"/>
    <n v="715.8"/>
    <n v="1777.53"/>
    <n v="6997.75"/>
    <n v="-1061.73"/>
  </r>
  <r>
    <x v="11"/>
    <x v="6"/>
    <x v="0"/>
    <s v="3810107"/>
    <n v="722000"/>
    <s v="Supplies-Freight Expense"/>
    <s v="Urgent Care-PO"/>
    <x v="0"/>
    <m/>
    <n v="58.5"/>
    <n v="52.45"/>
    <n v="18.559999999999999"/>
    <n v="138.63"/>
    <n v="0"/>
    <n v="38.380000000000003"/>
    <n v="37.93"/>
    <n v="0"/>
    <n v="0"/>
    <n v="8.23"/>
    <n v="0"/>
    <n v="19.93"/>
    <n v="372.61"/>
    <n v="-19.93"/>
  </r>
  <r>
    <x v="12"/>
    <x v="6"/>
    <x v="0"/>
    <s v="3810107"/>
    <n v="730010"/>
    <s v="Rental and Leases-Building (DO NOT USE)"/>
    <s v="Urgent Care-PO"/>
    <x v="0"/>
    <m/>
    <n v="19946.47"/>
    <n v="19946.47"/>
    <n v="19946.47"/>
    <n v="19946.47"/>
    <n v="19946.47"/>
    <n v="-14145.17"/>
    <n v="14501.48"/>
    <n v="14501.48"/>
    <n v="14501.48"/>
    <n v="14501.48"/>
    <n v="14501.48"/>
    <n v="0"/>
    <n v="158094.58000000002"/>
    <n v="14501.48"/>
  </r>
  <r>
    <x v="12"/>
    <x v="6"/>
    <x v="0"/>
    <s v="3810107"/>
    <n v="730010"/>
    <s v="Rental-Common Area Maint (DO NOT USE)"/>
    <s v="Urgent Care-PO"/>
    <x v="0"/>
    <n v="2200"/>
    <n v="0"/>
    <n v="0"/>
    <n v="0"/>
    <n v="0"/>
    <n v="0"/>
    <n v="34375.980000000003"/>
    <n v="5729.33"/>
    <n v="5729.33"/>
    <n v="6388.44"/>
    <n v="6388.44"/>
    <n v="6388.44"/>
    <n v="0"/>
    <n v="64999.960000000014"/>
    <n v="6388.44"/>
  </r>
  <r>
    <x v="12"/>
    <x v="6"/>
    <x v="0"/>
    <s v="3810107"/>
    <n v="730020"/>
    <s v="Rental and Leases-Equipment (DO NOT USE)"/>
    <s v="Urgent Care-PO"/>
    <x v="0"/>
    <m/>
    <n v="0"/>
    <n v="168.65"/>
    <n v="84"/>
    <n v="84.65"/>
    <n v="0"/>
    <n v="0"/>
    <n v="146.04"/>
    <n v="0"/>
    <n v="73.02"/>
    <n v="0"/>
    <n v="146.04"/>
    <n v="73.02"/>
    <n v="775.42"/>
    <n v="73.02"/>
  </r>
  <r>
    <x v="12"/>
    <x v="6"/>
    <x v="0"/>
    <s v="3810107"/>
    <n v="730020"/>
    <s v="Rental and Leases-Copier Usage Fees (DO NOT USE)"/>
    <s v="Urgent Care-PO"/>
    <x v="0"/>
    <n v="5100"/>
    <n v="654.46"/>
    <n v="662.29"/>
    <n v="658.37"/>
    <n v="658.37"/>
    <n v="658.37"/>
    <n v="658.37"/>
    <n v="161.74"/>
    <n v="799.39"/>
    <n v="432.96"/>
    <n v="694.93"/>
    <n v="434.63"/>
    <n v="492.57"/>
    <n v="6966.45"/>
    <n v="-57.94"/>
  </r>
  <r>
    <x v="12"/>
    <x v="6"/>
    <x v="0"/>
    <s v="3810107"/>
    <n v="730040"/>
    <s v="LT Lease-Real Estate"/>
    <s v="Urgent Care-PO"/>
    <x v="0"/>
    <m/>
    <n v="0"/>
    <n v="0"/>
    <n v="0"/>
    <n v="0"/>
    <n v="0"/>
    <n v="0"/>
    <n v="0"/>
    <n v="0"/>
    <n v="0"/>
    <n v="0"/>
    <n v="0"/>
    <n v="20889.919999999998"/>
    <n v="20889.919999999998"/>
    <n v="-20889.919999999998"/>
  </r>
  <r>
    <x v="15"/>
    <x v="6"/>
    <x v="0"/>
    <s v="3810107"/>
    <n v="731020"/>
    <s v="Electricity"/>
    <s v="Urgent Care-PO"/>
    <x v="0"/>
    <m/>
    <n v="3.88"/>
    <n v="3.88"/>
    <n v="0"/>
    <n v="7.76"/>
    <n v="3.88"/>
    <n v="3.88"/>
    <n v="3.88"/>
    <n v="3.88"/>
    <n v="3.88"/>
    <n v="3.88"/>
    <n v="3.88"/>
    <n v="0"/>
    <n v="42.68"/>
    <n v="3.88"/>
  </r>
  <r>
    <x v="15"/>
    <x v="6"/>
    <x v="0"/>
    <s v="3810107"/>
    <n v="731030"/>
    <s v="Water"/>
    <s v="Urgent Care-PO"/>
    <x v="0"/>
    <m/>
    <n v="0"/>
    <n v="11.7"/>
    <n v="0"/>
    <n v="0"/>
    <n v="0"/>
    <n v="0"/>
    <n v="0"/>
    <n v="0"/>
    <n v="0"/>
    <n v="0"/>
    <n v="0"/>
    <n v="0"/>
    <n v="11.7"/>
    <n v="0"/>
  </r>
  <r>
    <x v="15"/>
    <x v="6"/>
    <x v="0"/>
    <s v="3810107"/>
    <n v="731060"/>
    <s v="Telephone"/>
    <s v="Urgent Care-PO"/>
    <x v="0"/>
    <m/>
    <n v="590.15"/>
    <n v="539.71"/>
    <n v="498.89"/>
    <n v="496.07"/>
    <n v="543.59"/>
    <n v="557.37"/>
    <n v="639.55999999999995"/>
    <n v="496.04"/>
    <n v="541.85"/>
    <n v="545.26"/>
    <n v="598.37"/>
    <n v="503.38"/>
    <n v="6550.2400000000007"/>
    <n v="94.990000000000009"/>
  </r>
  <r>
    <x v="15"/>
    <x v="6"/>
    <x v="0"/>
    <s v="3810107"/>
    <n v="731070"/>
    <s v="Cable TV"/>
    <s v="Urgent Care-PO"/>
    <x v="0"/>
    <m/>
    <n v="24.39"/>
    <n v="24.39"/>
    <n v="24.39"/>
    <n v="24.37"/>
    <n v="24.37"/>
    <n v="24.37"/>
    <n v="24.45"/>
    <n v="24.45"/>
    <n v="24.37"/>
    <n v="24.37"/>
    <n v="24.37"/>
    <n v="24.37"/>
    <n v="292.65999999999997"/>
    <n v="0"/>
  </r>
  <r>
    <x v="16"/>
    <x v="6"/>
    <x v="0"/>
    <s v="3810107"/>
    <n v="732020"/>
    <s v="Repairs--Clin Equip-Parts-Internal to CHI Programs"/>
    <s v="Urgent Care-PO"/>
    <x v="0"/>
    <m/>
    <n v="73.709999999999994"/>
    <n v="159.32"/>
    <n v="0"/>
    <n v="0"/>
    <n v="73.709999999999994"/>
    <n v="0"/>
    <n v="0"/>
    <n v="73.709999999999994"/>
    <n v="0"/>
    <n v="0"/>
    <n v="0"/>
    <n v="0"/>
    <n v="380.44999999999993"/>
    <n v="0"/>
  </r>
  <r>
    <x v="16"/>
    <x v="6"/>
    <x v="0"/>
    <s v="3810107"/>
    <n v="732030"/>
    <s v="Repairs---Other"/>
    <s v="Urgent Care-PO"/>
    <x v="0"/>
    <m/>
    <n v="0"/>
    <n v="0"/>
    <n v="0"/>
    <n v="123.2"/>
    <n v="0"/>
    <n v="12.32"/>
    <n v="1419.6"/>
    <n v="92.65"/>
    <n v="528.48"/>
    <n v="0"/>
    <n v="21224.58"/>
    <n v="3488"/>
    <n v="26888.83"/>
    <n v="17736.580000000002"/>
  </r>
  <r>
    <x v="16"/>
    <x v="6"/>
    <x v="0"/>
    <s v="3810107"/>
    <n v="732030"/>
    <s v="Repairs&amp;Maintenance-Bldg Routine"/>
    <s v="Urgent Care-PO"/>
    <x v="0"/>
    <n v="2300"/>
    <n v="0"/>
    <n v="0"/>
    <n v="0"/>
    <n v="0"/>
    <n v="0"/>
    <n v="878.3"/>
    <n v="0"/>
    <n v="0"/>
    <n v="0"/>
    <n v="0"/>
    <n v="0"/>
    <n v="0"/>
    <n v="878.3"/>
    <n v="0"/>
  </r>
  <r>
    <x v="13"/>
    <x v="6"/>
    <x v="0"/>
    <s v="3810107"/>
    <n v="735050"/>
    <s v="Amortization-Leasehold Improvements"/>
    <s v="Urgent Care-PO"/>
    <x v="0"/>
    <m/>
    <n v="20828.830000000002"/>
    <n v="20828.830000000002"/>
    <n v="20828.84"/>
    <n v="20828.8"/>
    <n v="20828.84"/>
    <n v="20828.8"/>
    <n v="20828.87"/>
    <n v="20828.740000000002"/>
    <n v="20828.88"/>
    <n v="20828.740000000002"/>
    <n v="20828.919999999998"/>
    <n v="20828.72"/>
    <n v="249945.80999999997"/>
    <n v="0.19999999999708962"/>
  </r>
  <r>
    <x v="13"/>
    <x v="6"/>
    <x v="0"/>
    <s v="3810107"/>
    <n v="735070"/>
    <s v="Depreciation-Movable Equipment"/>
    <s v="Urgent Care-PO"/>
    <x v="0"/>
    <m/>
    <n v="986.59"/>
    <n v="1091.3499999999999"/>
    <n v="1091.3599999999999"/>
    <n v="1105.45"/>
    <n v="1105.47"/>
    <n v="1107.71"/>
    <n v="1107.74"/>
    <n v="1107.7"/>
    <n v="1107.74"/>
    <n v="1107.7"/>
    <n v="1107.75"/>
    <n v="1107.7"/>
    <n v="13134.260000000002"/>
    <n v="4.9999999999954525E-2"/>
  </r>
  <r>
    <x v="0"/>
    <x v="6"/>
    <x v="0"/>
    <s v="3810107"/>
    <n v="749510"/>
    <s v="Miscellaneous Expenses"/>
    <s v="Urgent Care-PO"/>
    <x v="0"/>
    <m/>
    <n v="6"/>
    <n v="138.96"/>
    <n v="-144.96"/>
    <n v="0"/>
    <n v="488.32"/>
    <n v="0"/>
    <n v="0"/>
    <n v="0"/>
    <n v="0"/>
    <n v="0"/>
    <n v="0"/>
    <n v="0"/>
    <n v="488.32"/>
    <n v="0"/>
  </r>
  <r>
    <x v="0"/>
    <x v="6"/>
    <x v="0"/>
    <s v="3810107"/>
    <n v="749510"/>
    <s v="Licenses"/>
    <s v="Urgent Care-PO"/>
    <x v="0"/>
    <n v="1002"/>
    <n v="110"/>
    <n v="0"/>
    <n v="0"/>
    <n v="0"/>
    <n v="0"/>
    <n v="0"/>
    <n v="0"/>
    <n v="0"/>
    <n v="0"/>
    <n v="0"/>
    <n v="0"/>
    <n v="0"/>
    <n v="110"/>
    <n v="0"/>
  </r>
  <r>
    <x v="0"/>
    <x v="6"/>
    <x v="0"/>
    <s v="3810107"/>
    <n v="749530"/>
    <s v="Travel"/>
    <s v="Urgent Care-PO"/>
    <x v="0"/>
    <m/>
    <n v="6"/>
    <n v="6"/>
    <n v="0"/>
    <n v="0"/>
    <n v="0"/>
    <n v="0"/>
    <n v="0"/>
    <n v="0"/>
    <n v="0"/>
    <n v="0"/>
    <n v="0"/>
    <n v="0"/>
    <n v="12"/>
    <n v="0"/>
  </r>
  <r>
    <x v="0"/>
    <x v="6"/>
    <x v="0"/>
    <s v="3810107"/>
    <n v="749530"/>
    <s v="Mileage"/>
    <s v="Urgent Care-PO"/>
    <x v="0"/>
    <n v="1001"/>
    <n v="27.8"/>
    <n v="33.799999999999997"/>
    <n v="36.520000000000003"/>
    <n v="0"/>
    <n v="0"/>
    <n v="0"/>
    <n v="0"/>
    <n v="0"/>
    <n v="0"/>
    <n v="0"/>
    <n v="0"/>
    <n v="0"/>
    <n v="98.12"/>
    <n v="0"/>
  </r>
  <r>
    <x v="0"/>
    <x v="6"/>
    <x v="0"/>
    <s v="3810107"/>
    <n v="749535"/>
    <s v="Meetings"/>
    <s v="Urgent Care-PO"/>
    <x v="0"/>
    <m/>
    <n v="0"/>
    <n v="0"/>
    <n v="108.44"/>
    <n v="0"/>
    <n v="0"/>
    <n v="0"/>
    <n v="0"/>
    <n v="0"/>
    <n v="0"/>
    <n v="0"/>
    <n v="0"/>
    <n v="0"/>
    <n v="108.44"/>
    <n v="0"/>
  </r>
  <r>
    <x v="18"/>
    <x v="6"/>
    <x v="0"/>
    <s v="3811107"/>
    <n v="400010"/>
    <s v="Acute I/P Svcs Rev--Medicare"/>
    <s v="Urgent Care-Belfair"/>
    <x v="0"/>
    <n v="1100"/>
    <n v="-1477.64"/>
    <n v="-1989.23"/>
    <n v="-214"/>
    <n v="-1574"/>
    <n v="-2659.36"/>
    <n v="-428"/>
    <n v="-2206.12"/>
    <n v="-670"/>
    <n v="-1508"/>
    <n v="-442"/>
    <n v="-1099"/>
    <n v="-525"/>
    <n v="-14792.349999999999"/>
    <n v="-574"/>
  </r>
  <r>
    <x v="18"/>
    <x v="6"/>
    <x v="0"/>
    <s v="3811107"/>
    <n v="400010"/>
    <s v="Acute I/P Svcs Rev--Medicaid"/>
    <s v="Urgent Care-Belfair"/>
    <x v="0"/>
    <n v="1200"/>
    <n v="-807.89"/>
    <n v="-295"/>
    <n v="-1285.3900000000001"/>
    <n v="0"/>
    <n v="0"/>
    <n v="-214"/>
    <n v="-1105.96"/>
    <n v="-749.75"/>
    <n v="0"/>
    <n v="-304"/>
    <n v="-262"/>
    <n v="-304"/>
    <n v="-5327.99"/>
    <n v="42"/>
  </r>
  <r>
    <x v="18"/>
    <x v="6"/>
    <x v="0"/>
    <s v="3811107"/>
    <n v="400010"/>
    <s v="Acute I/P Svcs Rev--BCBS Comm"/>
    <s v="Urgent Care-Belfair"/>
    <x v="0"/>
    <n v="1301"/>
    <n v="-214"/>
    <n v="0"/>
    <n v="0"/>
    <n v="0"/>
    <n v="-295"/>
    <n v="0"/>
    <n v="0"/>
    <n v="0"/>
    <n v="0"/>
    <n v="0"/>
    <n v="0"/>
    <n v="0"/>
    <n v="-509"/>
    <n v="0"/>
  </r>
  <r>
    <x v="18"/>
    <x v="6"/>
    <x v="0"/>
    <s v="3811107"/>
    <n v="400010"/>
    <s v="Acute I/P Svcs Rev--Managed Care"/>
    <s v="Urgent Care-Belfair"/>
    <x v="0"/>
    <n v="1400"/>
    <n v="0"/>
    <n v="0"/>
    <n v="0"/>
    <n v="0"/>
    <n v="0"/>
    <n v="-342"/>
    <n v="0"/>
    <n v="0"/>
    <n v="-304"/>
    <n v="-375"/>
    <n v="0"/>
    <n v="0"/>
    <n v="-1021"/>
    <n v="0"/>
  </r>
  <r>
    <x v="19"/>
    <x v="6"/>
    <x v="0"/>
    <s v="3811107"/>
    <n v="400020"/>
    <s v="O/P Care Svcs Rev--Medicare"/>
    <s v="Urgent Care-Belfair"/>
    <x v="0"/>
    <n v="1100"/>
    <n v="-72099.25"/>
    <n v="-59479.51"/>
    <n v="-65645.100000000006"/>
    <n v="-57893.82"/>
    <n v="-45004.29"/>
    <n v="-44550.61"/>
    <n v="-58932.67"/>
    <n v="-38204.47"/>
    <n v="-54795.81"/>
    <n v="-60710.92"/>
    <n v="-60556.42"/>
    <n v="-55548.43"/>
    <n v="-673421.3"/>
    <n v="-5007.989999999998"/>
  </r>
  <r>
    <x v="19"/>
    <x v="6"/>
    <x v="0"/>
    <s v="3811107"/>
    <n v="400020"/>
    <s v="O/P Care Svcs Rev--Medicaid"/>
    <s v="Urgent Care-Belfair"/>
    <x v="0"/>
    <n v="1200"/>
    <n v="-103929.26"/>
    <n v="-102431.08"/>
    <n v="-100198.19"/>
    <n v="-129239.85"/>
    <n v="-98065.44"/>
    <n v="-92759.79"/>
    <n v="-124897.14"/>
    <n v="-114346.59"/>
    <n v="-118001.58"/>
    <n v="-120649.56"/>
    <n v="-122842.4"/>
    <n v="-108381.12"/>
    <n v="-1335742"/>
    <n v="-14461.279999999999"/>
  </r>
  <r>
    <x v="19"/>
    <x v="6"/>
    <x v="0"/>
    <s v="3811107"/>
    <n v="400020"/>
    <s v="O/P Care Svcs Rev--Comm Insurance"/>
    <s v="Urgent Care-Belfair"/>
    <x v="0"/>
    <n v="1300"/>
    <n v="-22052.06"/>
    <n v="-8592"/>
    <n v="-10542.06"/>
    <n v="-16295.68"/>
    <n v="-7343.32"/>
    <n v="-9258.3700000000008"/>
    <n v="-15298.73"/>
    <n v="-12969.9"/>
    <n v="-17675.04"/>
    <n v="-20646.66"/>
    <n v="-14760.99"/>
    <n v="-17535.59"/>
    <n v="-172970.4"/>
    <n v="2774.6000000000004"/>
  </r>
  <r>
    <x v="19"/>
    <x v="6"/>
    <x v="0"/>
    <s v="3811107"/>
    <n v="400020"/>
    <s v="O/P Care Svcs Rev--BCBS Comm"/>
    <s v="Urgent Care-Belfair"/>
    <x v="0"/>
    <n v="1301"/>
    <n v="-47193.06"/>
    <n v="-40700.9"/>
    <n v="-33506.32"/>
    <n v="-45277.37"/>
    <n v="-40292.04"/>
    <n v="-49837.05"/>
    <n v="-78816.37"/>
    <n v="-48822.44"/>
    <n v="-55026.14"/>
    <n v="-58509.95"/>
    <n v="-49609.9"/>
    <n v="-50961.13"/>
    <n v="-598552.67000000004"/>
    <n v="1351.2299999999959"/>
  </r>
  <r>
    <x v="19"/>
    <x v="6"/>
    <x v="0"/>
    <s v="3811107"/>
    <n v="400020"/>
    <s v="O/P Care Svcs Rev--Managed Care"/>
    <s v="Urgent Care-Belfair"/>
    <x v="0"/>
    <n v="1400"/>
    <n v="-83289.5"/>
    <n v="-58554.7"/>
    <n v="-62891.17"/>
    <n v="-57577.54"/>
    <n v="-41472.97"/>
    <n v="-48478.239999999998"/>
    <n v="-65143.86"/>
    <n v="-57278.76"/>
    <n v="-56081.67"/>
    <n v="-67547.66"/>
    <n v="-68557.95"/>
    <n v="-53592.44"/>
    <n v="-720466.46"/>
    <n v="-14965.509999999995"/>
  </r>
  <r>
    <x v="19"/>
    <x v="6"/>
    <x v="0"/>
    <s v="3811107"/>
    <n v="400020"/>
    <s v="O/P Care Svcs Rev--Self Pay"/>
    <s v="Urgent Care-Belfair"/>
    <x v="0"/>
    <n v="1500"/>
    <n v="-18461.2"/>
    <n v="-11367.75"/>
    <n v="-10991.71"/>
    <n v="-10477.98"/>
    <n v="-10357.06"/>
    <n v="-9642.92"/>
    <n v="-16313.33"/>
    <n v="-15084.26"/>
    <n v="-11351.68"/>
    <n v="-14806.64"/>
    <n v="-12262.07"/>
    <n v="-19217.53"/>
    <n v="-160334.12999999998"/>
    <n v="6955.4599999999991"/>
  </r>
  <r>
    <x v="19"/>
    <x v="6"/>
    <x v="0"/>
    <s v="3811107"/>
    <n v="400020"/>
    <s v="O/P Care Svcs Rev--Other"/>
    <s v="Urgent Care-Belfair"/>
    <x v="0"/>
    <n v="1700"/>
    <n v="-22151.74"/>
    <n v="-22830.92"/>
    <n v="-19708.97"/>
    <n v="-23877.759999999998"/>
    <n v="-22556.37"/>
    <n v="-20182.03"/>
    <n v="-30103.51"/>
    <n v="-24656.43"/>
    <n v="-23985.599999999999"/>
    <n v="-16382.05"/>
    <n v="-32521.19"/>
    <n v="-19861.349999999999"/>
    <n v="-278817.91999999998"/>
    <n v="-12659.84"/>
  </r>
  <r>
    <x v="14"/>
    <x v="6"/>
    <x v="0"/>
    <s v="3811107"/>
    <n v="600055"/>
    <s v="Grants"/>
    <s v="Urgent Care-Belfair"/>
    <x v="0"/>
    <m/>
    <n v="-29166.67"/>
    <n v="-29166.67"/>
    <n v="-29166.67"/>
    <n v="-29166.67"/>
    <n v="-29166.66"/>
    <n v="-29166.66"/>
    <n v="-29166.66"/>
    <n v="-29166.66"/>
    <n v="-29166.67"/>
    <n v="-29166.67"/>
    <n v="-29166.67"/>
    <n v="-29166.67"/>
    <n v="-349999.99999999994"/>
    <n v="0"/>
  </r>
  <r>
    <x v="5"/>
    <x v="6"/>
    <x v="0"/>
    <s v="3811107"/>
    <n v="700014"/>
    <s v="Salaries-Management-Productive"/>
    <s v="Urgent Care-Belfair"/>
    <x v="0"/>
    <m/>
    <n v="0"/>
    <n v="0"/>
    <n v="0"/>
    <n v="0"/>
    <n v="0"/>
    <n v="0"/>
    <n v="0"/>
    <n v="0"/>
    <n v="29225.439999999999"/>
    <n v="4461.4799999999996"/>
    <n v="1632.64"/>
    <n v="3306.6"/>
    <n v="38626.159999999996"/>
    <n v="-1673.9599999999998"/>
  </r>
  <r>
    <x v="5"/>
    <x v="6"/>
    <x v="0"/>
    <s v="3811107"/>
    <n v="700022"/>
    <s v="Salaries-Physician-Other"/>
    <s v="Urgent Care-Belfair"/>
    <x v="0"/>
    <n v="2000"/>
    <n v="0"/>
    <n v="0"/>
    <n v="2836.8"/>
    <n v="0"/>
    <n v="0"/>
    <n v="0"/>
    <n v="0"/>
    <n v="0"/>
    <n v="0"/>
    <n v="-1702.08"/>
    <n v="0"/>
    <n v="0"/>
    <n v="1134.7200000000003"/>
    <n v="0"/>
  </r>
  <r>
    <x v="5"/>
    <x v="6"/>
    <x v="0"/>
    <s v="3811107"/>
    <n v="700026"/>
    <s v="Salaries-RN-Productive"/>
    <s v="Urgent Care-Belfair"/>
    <x v="0"/>
    <m/>
    <n v="353.32"/>
    <n v="861.26"/>
    <n v="837.69"/>
    <n v="873.52"/>
    <n v="259.44"/>
    <n v="3300.49"/>
    <n v="1991.12"/>
    <n v="73.8"/>
    <n v="250.09"/>
    <n v="-4781.16"/>
    <n v="-128"/>
    <n v="155.91"/>
    <n v="4047.4799999999996"/>
    <n v="-283.90999999999997"/>
  </r>
  <r>
    <x v="5"/>
    <x v="6"/>
    <x v="0"/>
    <s v="3811107"/>
    <n v="700026"/>
    <s v="Salaries-RN-Other"/>
    <s v="Urgent Care-Belfair"/>
    <x v="0"/>
    <n v="2000"/>
    <n v="38.19"/>
    <n v="0"/>
    <n v="127.78"/>
    <n v="-14.54"/>
    <n v="-14.04"/>
    <n v="151.22"/>
    <n v="64.09"/>
    <n v="38.25"/>
    <n v="36.06"/>
    <n v="-205.44"/>
    <n v="-13.01"/>
    <n v="0"/>
    <n v="208.56000000000006"/>
    <n v="-13.01"/>
  </r>
  <r>
    <x v="5"/>
    <x v="6"/>
    <x v="0"/>
    <s v="3811107"/>
    <n v="700030"/>
    <s v="Salaries-LPN-Productive"/>
    <s v="Urgent Care-Belfair"/>
    <x v="0"/>
    <m/>
    <n v="18995.87"/>
    <n v="17201.14"/>
    <n v="18033.22"/>
    <n v="17807.34"/>
    <n v="17273.3"/>
    <n v="14490.16"/>
    <n v="16718.18"/>
    <n v="13444.37"/>
    <n v="18714.79"/>
    <n v="-84412.03"/>
    <n v="6391.92"/>
    <n v="7162.16"/>
    <n v="81820.42"/>
    <n v="-770.23999999999978"/>
  </r>
  <r>
    <x v="5"/>
    <x v="6"/>
    <x v="0"/>
    <s v="3811107"/>
    <n v="700030"/>
    <s v="Salaries-LPN-OT"/>
    <s v="Urgent Care-Belfair"/>
    <x v="0"/>
    <n v="1000"/>
    <n v="194.89"/>
    <n v="998.76"/>
    <n v="-246.16"/>
    <n v="443.74"/>
    <n v="680.86"/>
    <n v="1194.75"/>
    <n v="637.87"/>
    <n v="369.38"/>
    <n v="2246.6"/>
    <n v="-3174.3"/>
    <n v="29.9"/>
    <n v="401.62"/>
    <n v="3777.9100000000003"/>
    <n v="-371.72"/>
  </r>
  <r>
    <x v="5"/>
    <x v="6"/>
    <x v="0"/>
    <s v="3811107"/>
    <n v="700030"/>
    <s v="Salaries-LPN-Other"/>
    <s v="Urgent Care-Belfair"/>
    <x v="0"/>
    <n v="2000"/>
    <n v="434.98"/>
    <n v="771.06"/>
    <n v="833.75"/>
    <n v="831.66"/>
    <n v="730.24"/>
    <n v="825.35"/>
    <n v="838.02"/>
    <n v="866.25"/>
    <n v="902.46"/>
    <n v="-3900.67"/>
    <n v="198.02"/>
    <n v="169.32"/>
    <n v="3500.4399999999996"/>
    <n v="28.700000000000017"/>
  </r>
  <r>
    <x v="5"/>
    <x v="6"/>
    <x v="0"/>
    <s v="3811107"/>
    <n v="700032"/>
    <s v="Salaries-Other Pat Care Providers-Productive"/>
    <s v="Urgent Care-Belfair"/>
    <x v="0"/>
    <m/>
    <n v="1788.18"/>
    <n v="1788.27"/>
    <n v="1730.61"/>
    <n v="1788.27"/>
    <n v="1579.1"/>
    <n v="1788.27"/>
    <n v="1791.05"/>
    <n v="1617.56"/>
    <n v="1790.89"/>
    <n v="-9258.66"/>
    <n v="965.43"/>
    <n v="706.44"/>
    <n v="8075.41"/>
    <n v="258.9899999999999"/>
  </r>
  <r>
    <x v="5"/>
    <x v="6"/>
    <x v="0"/>
    <s v="3811107"/>
    <n v="700032"/>
    <s v="Salaries-Other Pat Care Providers-Other"/>
    <s v="Urgent Care-Belfair"/>
    <x v="0"/>
    <n v="2000"/>
    <n v="42.51"/>
    <n v="53.08"/>
    <n v="37.979999999999997"/>
    <n v="42.51"/>
    <n v="37.54"/>
    <n v="42.52"/>
    <n v="42.58"/>
    <n v="38.46"/>
    <n v="42.58"/>
    <n v="-224.56"/>
    <n v="22.52"/>
    <n v="16.48"/>
    <n v="194.19999999999993"/>
    <n v="6.0399999999999991"/>
  </r>
  <r>
    <x v="5"/>
    <x v="6"/>
    <x v="0"/>
    <s v="3811107"/>
    <n v="700034"/>
    <s v="Salaries-Tech/Professional-Productive"/>
    <s v="Urgent Care-Belfair"/>
    <x v="0"/>
    <m/>
    <n v="15234.53"/>
    <n v="12557.55"/>
    <n v="14641.96"/>
    <n v="12839.12"/>
    <n v="14765.86"/>
    <n v="14273.27"/>
    <n v="15005.28"/>
    <n v="11509.72"/>
    <n v="15706.16"/>
    <n v="-70746.77"/>
    <n v="5986.08"/>
    <n v="6269.46"/>
    <n v="68042.220000000016"/>
    <n v="-283.38000000000011"/>
  </r>
  <r>
    <x v="5"/>
    <x v="6"/>
    <x v="0"/>
    <s v="3811107"/>
    <n v="700034"/>
    <s v="Salaries-Tech/Professional-OT"/>
    <s v="Urgent Care-Belfair"/>
    <x v="0"/>
    <n v="1000"/>
    <n v="108.01"/>
    <n v="270.02"/>
    <n v="10.41"/>
    <n v="2629.36"/>
    <n v="-746.78"/>
    <n v="126.31"/>
    <n v="129.76"/>
    <n v="49.11"/>
    <n v="425.27"/>
    <n v="-1382.97"/>
    <n v="94.73"/>
    <n v="75.650000000000006"/>
    <n v="1788.8800000000003"/>
    <n v="19.079999999999998"/>
  </r>
  <r>
    <x v="5"/>
    <x v="6"/>
    <x v="0"/>
    <s v="3811107"/>
    <n v="700034"/>
    <s v="Salaries-Tech/Professional-Other"/>
    <s v="Urgent Care-Belfair"/>
    <x v="0"/>
    <n v="2000"/>
    <n v="247.95"/>
    <n v="228.72"/>
    <n v="222.8"/>
    <n v="245.86"/>
    <n v="236.11"/>
    <n v="253.26"/>
    <n v="265.16000000000003"/>
    <n v="204.41"/>
    <n v="232.84"/>
    <n v="-1187.3499999999999"/>
    <n v="101.26"/>
    <n v="86.2"/>
    <n v="1137.2200000000003"/>
    <n v="15.060000000000002"/>
  </r>
  <r>
    <x v="5"/>
    <x v="6"/>
    <x v="0"/>
    <s v="3811107"/>
    <n v="700038"/>
    <s v="Salaries-Service/Support-Productive"/>
    <s v="Urgent Care-Belfair"/>
    <x v="0"/>
    <m/>
    <n v="6239.43"/>
    <n v="7782.15"/>
    <n v="7323.66"/>
    <n v="9576.2099999999991"/>
    <n v="9863.31"/>
    <n v="7844.51"/>
    <n v="9055.1299999999992"/>
    <n v="5591.95"/>
    <n v="8287.77"/>
    <n v="-40136.6"/>
    <n v="3377.04"/>
    <n v="2987.7"/>
    <n v="37792.259999999995"/>
    <n v="389.34000000000015"/>
  </r>
  <r>
    <x v="5"/>
    <x v="6"/>
    <x v="0"/>
    <s v="3811107"/>
    <n v="700038"/>
    <s v="Salaries-Service/Support-OT"/>
    <s v="Urgent Care-Belfair"/>
    <x v="0"/>
    <n v="1000"/>
    <n v="325.66000000000003"/>
    <n v="904.47"/>
    <n v="493.77"/>
    <n v="-105.7"/>
    <n v="42.43"/>
    <n v="10.43"/>
    <n v="28.48"/>
    <n v="34.99"/>
    <n v="25.43"/>
    <n v="-1046.1400000000001"/>
    <n v="103.65"/>
    <n v="157.32"/>
    <n v="974.79000000000019"/>
    <n v="-53.669999999999987"/>
  </r>
  <r>
    <x v="5"/>
    <x v="6"/>
    <x v="0"/>
    <s v="3811107"/>
    <n v="700038"/>
    <s v="Salaries-Service/Support-Other"/>
    <s v="Urgent Care-Belfair"/>
    <x v="0"/>
    <n v="2000"/>
    <n v="239.12"/>
    <n v="240.26"/>
    <n v="231.44"/>
    <n v="282.89"/>
    <n v="212.33"/>
    <n v="240.44"/>
    <n v="242.81"/>
    <n v="173.57"/>
    <n v="245.12"/>
    <n v="-1171.3499999999999"/>
    <n v="130.18"/>
    <n v="65.69"/>
    <n v="1132.5000000000002"/>
    <n v="64.490000000000009"/>
  </r>
  <r>
    <x v="5"/>
    <x v="6"/>
    <x v="0"/>
    <s v="3811107"/>
    <n v="700054"/>
    <s v="Salaries-Management-Non-productive"/>
    <s v="Urgent Care-Belfair"/>
    <x v="0"/>
    <m/>
    <n v="0"/>
    <n v="0"/>
    <n v="0"/>
    <n v="0"/>
    <n v="0"/>
    <n v="0"/>
    <n v="0"/>
    <n v="0"/>
    <n v="3346.72"/>
    <n v="-2008.03"/>
    <n v="516.65"/>
    <n v="0"/>
    <n v="1855.3399999999997"/>
    <n v="516.65"/>
  </r>
  <r>
    <x v="5"/>
    <x v="6"/>
    <x v="0"/>
    <s v="3811107"/>
    <n v="700070"/>
    <s v="Salaries-LPN-Non-productive"/>
    <s v="Urgent Care-Belfair"/>
    <x v="0"/>
    <m/>
    <n v="2180.5300000000002"/>
    <n v="5406.5"/>
    <n v="3920.06"/>
    <n v="2817.22"/>
    <n v="-366.77"/>
    <n v="3645.46"/>
    <n v="1446.9"/>
    <n v="1886.93"/>
    <n v="842.41"/>
    <n v="-12239.14"/>
    <n v="1945.46"/>
    <n v="505.47"/>
    <n v="11991.03"/>
    <n v="1439.99"/>
  </r>
  <r>
    <x v="5"/>
    <x v="6"/>
    <x v="0"/>
    <s v="3811107"/>
    <n v="700070"/>
    <s v="Salaries-LPN-NonProd-Other"/>
    <s v="Urgent Care-Belfair"/>
    <x v="0"/>
    <n v="2000"/>
    <n v="0"/>
    <n v="0"/>
    <n v="9.34"/>
    <n v="-3.39"/>
    <n v="0"/>
    <n v="0"/>
    <n v="0"/>
    <n v="0"/>
    <n v="0"/>
    <n v="-3.57"/>
    <n v="0"/>
    <n v="0"/>
    <n v="2.3799999999999994"/>
    <n v="0"/>
  </r>
  <r>
    <x v="5"/>
    <x v="6"/>
    <x v="0"/>
    <s v="3811107"/>
    <n v="700074"/>
    <s v="Salaries-Tech/Professional-Non-productive"/>
    <s v="Urgent Care-Belfair"/>
    <x v="0"/>
    <m/>
    <n v="1676.27"/>
    <n v="3272.77"/>
    <n v="1759.16"/>
    <n v="3106.8"/>
    <n v="221.93"/>
    <n v="2616.19"/>
    <n v="2516.69"/>
    <n v="2956.51"/>
    <n v="-361.85"/>
    <n v="-9516.27"/>
    <n v="237.1"/>
    <n v="105.87"/>
    <n v="8591.1700000000019"/>
    <n v="131.22999999999999"/>
  </r>
  <r>
    <x v="5"/>
    <x v="6"/>
    <x v="0"/>
    <s v="3811107"/>
    <n v="700074"/>
    <s v="Salaries-Tech/Professional-NonProd-Other"/>
    <s v="Urgent Care-Belfair"/>
    <x v="0"/>
    <n v="2000"/>
    <n v="0"/>
    <n v="0"/>
    <n v="0"/>
    <n v="0"/>
    <n v="0"/>
    <n v="0"/>
    <n v="0"/>
    <n v="0"/>
    <n v="0"/>
    <n v="44.8"/>
    <n v="0"/>
    <n v="0"/>
    <n v="44.8"/>
    <n v="0"/>
  </r>
  <r>
    <x v="5"/>
    <x v="6"/>
    <x v="0"/>
    <s v="3811107"/>
    <n v="700078"/>
    <s v="Salaries-Service/Support-Non-productive"/>
    <s v="Urgent Care-Belfair"/>
    <x v="0"/>
    <m/>
    <n v="1393.2"/>
    <n v="0"/>
    <n v="0"/>
    <n v="652.29"/>
    <n v="665.4"/>
    <n v="762.64"/>
    <n v="370.81"/>
    <n v="2341.5100000000002"/>
    <n v="-430.93"/>
    <n v="-3272.26"/>
    <n v="539.76"/>
    <n v="444.25"/>
    <n v="3466.67"/>
    <n v="95.509999999999991"/>
  </r>
  <r>
    <x v="5"/>
    <x v="6"/>
    <x v="0"/>
    <s v="3811107"/>
    <n v="700078"/>
    <s v="Salaries-Service/Support-NonProd-Other"/>
    <s v="Urgent Care-Belfai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811107"/>
    <n v="700084"/>
    <s v="Accrued PTO"/>
    <s v="Urgent Care-Belfair"/>
    <x v="0"/>
    <m/>
    <n v="-738.15"/>
    <n v="-2130.73"/>
    <n v="-2712.97"/>
    <n v="-2157.0700000000002"/>
    <n v="345.61"/>
    <n v="-1253.8499999999999"/>
    <n v="1146.49"/>
    <n v="-2413.6799999999998"/>
    <n v="2534.5300000000002"/>
    <n v="4487"/>
    <n v="-364.23"/>
    <n v="522.96"/>
    <n v="-2734.0899999999997"/>
    <n v="-887.19"/>
  </r>
  <r>
    <x v="6"/>
    <x v="6"/>
    <x v="0"/>
    <s v="3811107"/>
    <n v="713010"/>
    <s v="Benefits-FICA/Medicare"/>
    <s v="Urgent Care-Belfair"/>
    <x v="0"/>
    <m/>
    <n v="3770.74"/>
    <n v="3998.13"/>
    <n v="3838.27"/>
    <n v="4102.8900000000003"/>
    <n v="3601.92"/>
    <n v="3936.24"/>
    <n v="3904.57"/>
    <n v="3145.37"/>
    <n v="3737.95"/>
    <n v="-18696.14"/>
    <n v="1670.59"/>
    <n v="1716.38"/>
    <n v="18726.909999999996"/>
    <n v="-45.790000000000191"/>
  </r>
  <r>
    <x v="6"/>
    <x v="6"/>
    <x v="0"/>
    <s v="3811107"/>
    <n v="713090"/>
    <s v="Benefits-Allocated Amounts"/>
    <s v="Urgent Care-Belfair"/>
    <x v="0"/>
    <m/>
    <n v="10376.17"/>
    <n v="9866.07"/>
    <n v="10274.68"/>
    <n v="10954.46"/>
    <n v="11352.38"/>
    <n v="10868.74"/>
    <n v="11277.96"/>
    <n v="9550.0300000000007"/>
    <n v="13694.11"/>
    <n v="-51254.35"/>
    <n v="4526.58"/>
    <n v="5700.87"/>
    <n v="57187.7"/>
    <n v="-1174.29"/>
  </r>
  <r>
    <x v="7"/>
    <x v="6"/>
    <x v="0"/>
    <s v="3811107"/>
    <n v="718050"/>
    <s v="Contract Svcs-Other"/>
    <s v="Urgent Care-Belfair"/>
    <x v="0"/>
    <m/>
    <n v="53.14"/>
    <n v="0"/>
    <n v="18.010000000000002"/>
    <n v="0"/>
    <n v="0"/>
    <n v="16"/>
    <n v="0"/>
    <n v="8"/>
    <n v="0"/>
    <n v="0"/>
    <n v="0"/>
    <n v="0"/>
    <n v="95.15"/>
    <n v="0"/>
  </r>
  <r>
    <x v="7"/>
    <x v="6"/>
    <x v="0"/>
    <s v="3811107"/>
    <n v="718050"/>
    <s v="Miscellaneous Purchased Svcs"/>
    <s v="Urgent Care-Belfair"/>
    <x v="0"/>
    <n v="1020"/>
    <n v="0"/>
    <n v="6750"/>
    <n v="3719.28"/>
    <n v="3421.34"/>
    <n v="0"/>
    <n v="1856.44"/>
    <n v="6750"/>
    <n v="3375"/>
    <n v="6750"/>
    <n v="3375"/>
    <n v="3672.54"/>
    <n v="3375"/>
    <n v="43044.6"/>
    <n v="297.53999999999996"/>
  </r>
  <r>
    <x v="7"/>
    <x v="6"/>
    <x v="0"/>
    <s v="3811107"/>
    <n v="718070"/>
    <s v="Contract Srvcs-CHI Clinical Engineering"/>
    <s v="Urgent Care-Belfair"/>
    <x v="0"/>
    <m/>
    <n v="1460.26"/>
    <n v="1460.26"/>
    <n v="1480.31"/>
    <n v="1464.26"/>
    <n v="1460.26"/>
    <n v="1468.27"/>
    <n v="1464.26"/>
    <n v="1464.26"/>
    <n v="1464.26"/>
    <n v="1464.26"/>
    <n v="1464.26"/>
    <n v="1464.26"/>
    <n v="17579.18"/>
    <n v="0"/>
  </r>
  <r>
    <x v="11"/>
    <x v="6"/>
    <x v="0"/>
    <s v="3811107"/>
    <n v="721010"/>
    <s v="Supplies-Medical - Billable"/>
    <s v="Urgent Care-Belfair"/>
    <x v="0"/>
    <m/>
    <n v="344.31"/>
    <n v="162.19"/>
    <n v="328.89"/>
    <n v="1148.5999999999999"/>
    <n v="745.87"/>
    <n v="207.89"/>
    <n v="403.34"/>
    <n v="636.84"/>
    <n v="594.99"/>
    <n v="463"/>
    <n v="614.72"/>
    <n v="925.86"/>
    <n v="6576.5"/>
    <n v="-311.14"/>
  </r>
  <r>
    <x v="11"/>
    <x v="6"/>
    <x v="0"/>
    <s v="3811107"/>
    <n v="721010"/>
    <s v="Patient Monitoring"/>
    <s v="Urgent Care-Belfair"/>
    <x v="0"/>
    <n v="1000"/>
    <n v="36.200000000000003"/>
    <n v="0"/>
    <n v="0"/>
    <n v="0"/>
    <n v="36.21"/>
    <n v="0"/>
    <n v="0"/>
    <n v="0"/>
    <n v="36.200000000000003"/>
    <n v="0"/>
    <n v="67.150000000000006"/>
    <n v="0"/>
    <n v="175.76"/>
    <n v="67.150000000000006"/>
  </r>
  <r>
    <x v="11"/>
    <x v="6"/>
    <x v="0"/>
    <s v="3811107"/>
    <n v="721020"/>
    <s v="Supplies-Surgical - Billable"/>
    <s v="Urgent Care-Belfair"/>
    <x v="0"/>
    <m/>
    <n v="0"/>
    <n v="0"/>
    <n v="0"/>
    <n v="58.87"/>
    <n v="0"/>
    <n v="0"/>
    <n v="0"/>
    <n v="0"/>
    <n v="0"/>
    <n v="0"/>
    <n v="0"/>
    <n v="0"/>
    <n v="58.87"/>
    <n v="0"/>
  </r>
  <r>
    <x v="11"/>
    <x v="6"/>
    <x v="0"/>
    <s v="3811107"/>
    <n v="721020"/>
    <s v="Custom Packs"/>
    <s v="Urgent Care-Belfair"/>
    <x v="0"/>
    <n v="1000"/>
    <n v="0"/>
    <n v="37"/>
    <n v="0"/>
    <n v="55.5"/>
    <n v="18.5"/>
    <n v="18.5"/>
    <n v="18.5"/>
    <n v="18.5"/>
    <n v="37"/>
    <n v="27.75"/>
    <n v="18.5"/>
    <n v="18.5"/>
    <n v="268.25"/>
    <n v="0"/>
  </r>
  <r>
    <x v="11"/>
    <x v="6"/>
    <x v="0"/>
    <s v="3811107"/>
    <n v="721020"/>
    <s v="Suture/Wound Closure"/>
    <s v="Urgent Care-Belfair"/>
    <x v="0"/>
    <n v="1001"/>
    <n v="185"/>
    <n v="0"/>
    <n v="0"/>
    <n v="-89.25"/>
    <n v="26.82"/>
    <n v="26.82"/>
    <n v="71.88"/>
    <n v="0"/>
    <n v="0"/>
    <n v="0"/>
    <n v="0"/>
    <n v="127.19"/>
    <n v="348.46"/>
    <n v="-127.19"/>
  </r>
  <r>
    <x v="11"/>
    <x v="6"/>
    <x v="0"/>
    <s v="3811107"/>
    <n v="721240"/>
    <s v="Supplies-IV Solutions/Supplies - Billable"/>
    <s v="Urgent Care-Belfair"/>
    <x v="0"/>
    <m/>
    <n v="675.75"/>
    <n v="180"/>
    <n v="158.63"/>
    <n v="433"/>
    <n v="331.75"/>
    <n v="86.63"/>
    <n v="309.63"/>
    <n v="72"/>
    <n v="370.63"/>
    <n v="1051"/>
    <n v="144"/>
    <n v="272.75"/>
    <n v="4085.7700000000004"/>
    <n v="-128.75"/>
  </r>
  <r>
    <x v="11"/>
    <x v="6"/>
    <x v="0"/>
    <s v="3811107"/>
    <n v="721250"/>
    <s v="Supplies-Pharmacy Drugs - Billable"/>
    <s v="Urgent Care-Belfair"/>
    <x v="0"/>
    <m/>
    <n v="2940.8"/>
    <n v="3405.12"/>
    <n v="877.35"/>
    <n v="1250.51"/>
    <n v="2527.09"/>
    <n v="1013.23"/>
    <n v="2474.41"/>
    <n v="2324.36"/>
    <n v="742.56"/>
    <n v="1017.36"/>
    <n v="1989.29"/>
    <n v="2221.59"/>
    <n v="22783.670000000002"/>
    <n v="-232.30000000000018"/>
  </r>
  <r>
    <x v="11"/>
    <x v="6"/>
    <x v="0"/>
    <s v="3811107"/>
    <n v="721410"/>
    <s v="Supplies-Medical - Nonbillable"/>
    <s v="Urgent Care-Belfair"/>
    <x v="0"/>
    <m/>
    <n v="1854.98"/>
    <n v="761.19"/>
    <n v="399.3"/>
    <n v="1590.6"/>
    <n v="1265.67"/>
    <n v="497"/>
    <n v="1473.48"/>
    <n v="483.7"/>
    <n v="-1770.27"/>
    <n v="1293.3800000000001"/>
    <n v="469.57"/>
    <n v="5879.66"/>
    <n v="14198.26"/>
    <n v="-5410.09"/>
  </r>
  <r>
    <x v="11"/>
    <x v="6"/>
    <x v="0"/>
    <s v="3811107"/>
    <n v="721420"/>
    <s v="Supplies-Surgical Nonbillable"/>
    <s v="Urgent Care-Belfair"/>
    <x v="0"/>
    <m/>
    <n v="132.85"/>
    <n v="16.89"/>
    <n v="10.130000000000001"/>
    <n v="0.52"/>
    <n v="174.4"/>
    <n v="-3.3"/>
    <n v="0"/>
    <n v="0.36"/>
    <n v="0"/>
    <n v="117.83"/>
    <n v="0"/>
    <n v="179.85"/>
    <n v="629.53"/>
    <n v="-179.85"/>
  </r>
  <r>
    <x v="11"/>
    <x v="6"/>
    <x v="0"/>
    <s v="3811107"/>
    <n v="721420"/>
    <s v="Tubes Drains &amp; Related Supplies"/>
    <s v="Urgent Care-Belfair"/>
    <x v="0"/>
    <n v="1008"/>
    <n v="0"/>
    <n v="0"/>
    <n v="1.92"/>
    <n v="0"/>
    <n v="0"/>
    <n v="0"/>
    <n v="0"/>
    <n v="0"/>
    <n v="0"/>
    <n v="0"/>
    <n v="0"/>
    <n v="371"/>
    <n v="372.92"/>
    <n v="-371"/>
  </r>
  <r>
    <x v="11"/>
    <x v="6"/>
    <x v="0"/>
    <s v="3811107"/>
    <n v="721420"/>
    <s v="Sterilization Process Products"/>
    <s v="Urgent Care-Belfair"/>
    <x v="0"/>
    <n v="1009"/>
    <n v="0"/>
    <n v="0"/>
    <n v="0"/>
    <n v="0"/>
    <n v="0"/>
    <n v="0"/>
    <n v="0"/>
    <n v="0"/>
    <n v="0"/>
    <n v="49.79"/>
    <n v="0"/>
    <n v="149.38"/>
    <n v="199.17"/>
    <n v="-149.38"/>
  </r>
  <r>
    <x v="11"/>
    <x v="6"/>
    <x v="0"/>
    <s v="3811107"/>
    <n v="721610"/>
    <s v="Supplies-Anesthesia - Nonbillable"/>
    <s v="Urgent Care-Belfair"/>
    <x v="0"/>
    <m/>
    <n v="24.23"/>
    <n v="9.82"/>
    <n v="18.52"/>
    <n v="49.08"/>
    <n v="2538.42"/>
    <n v="-1862.93"/>
    <n v="38.869999999999997"/>
    <n v="32.29"/>
    <n v="34.36"/>
    <n v="28.8"/>
    <n v="24.54"/>
    <n v="0"/>
    <n v="936"/>
    <n v="24.54"/>
  </r>
  <r>
    <x v="11"/>
    <x v="6"/>
    <x v="0"/>
    <s v="3811107"/>
    <n v="721640"/>
    <s v="Supplies-IV Solutions/Supplies - Nonbillable"/>
    <s v="Urgent Care-Belfair"/>
    <x v="0"/>
    <m/>
    <n v="112.85"/>
    <n v="0"/>
    <n v="41.7"/>
    <n v="52.8"/>
    <n v="52.8"/>
    <n v="52.8"/>
    <n v="0"/>
    <n v="0"/>
    <n v="52.8"/>
    <n v="0"/>
    <n v="0"/>
    <n v="105.6"/>
    <n v="471.35"/>
    <n v="-105.6"/>
  </r>
  <r>
    <x v="11"/>
    <x v="6"/>
    <x v="0"/>
    <s v="3811107"/>
    <n v="721650"/>
    <s v="Supplies-Pharmacy Drugs - Nonbillable"/>
    <s v="Urgent Care-Belfair"/>
    <x v="0"/>
    <m/>
    <n v="2.92"/>
    <n v="5.84"/>
    <n v="0"/>
    <n v="0"/>
    <n v="0"/>
    <n v="5.84"/>
    <n v="0"/>
    <n v="0"/>
    <n v="6.07"/>
    <n v="6.75"/>
    <n v="0"/>
    <n v="0"/>
    <n v="27.42"/>
    <n v="0"/>
  </r>
  <r>
    <x v="11"/>
    <x v="6"/>
    <x v="0"/>
    <s v="3811107"/>
    <n v="721710"/>
    <s v="Supplies-Laboratory - Nonbillable"/>
    <s v="Urgent Care-Belfair"/>
    <x v="0"/>
    <m/>
    <n v="767.59"/>
    <n v="581.08000000000004"/>
    <n v="1378.44"/>
    <n v="2045.09"/>
    <n v="92.98"/>
    <n v="1705.79"/>
    <n v="2038.58"/>
    <n v="3242.47"/>
    <n v="1353.41"/>
    <n v="942.73"/>
    <n v="772.97"/>
    <n v="580.97"/>
    <n v="15502.099999999997"/>
    <n v="192"/>
  </r>
  <r>
    <x v="11"/>
    <x v="6"/>
    <x v="0"/>
    <s v="3811107"/>
    <n v="721710"/>
    <s v="Reagents"/>
    <s v="Urgent Care-Belfair"/>
    <x v="0"/>
    <n v="1000"/>
    <n v="54.92"/>
    <n v="0"/>
    <n v="27.46"/>
    <n v="368.88"/>
    <n v="0"/>
    <n v="0"/>
    <n v="0"/>
    <n v="9.2200000000000006"/>
    <n v="94.28"/>
    <n v="0"/>
    <n v="95.72"/>
    <n v="112.13"/>
    <n v="762.61"/>
    <n v="-16.409999999999997"/>
  </r>
  <r>
    <x v="11"/>
    <x v="6"/>
    <x v="0"/>
    <s v="3811107"/>
    <n v="721810"/>
    <s v="Supplies-Dietary/Cafeteria"/>
    <s v="Urgent Care-Belfair"/>
    <x v="0"/>
    <m/>
    <n v="150.74"/>
    <n v="113.6"/>
    <n v="135.66"/>
    <n v="134.87"/>
    <n v="14.89"/>
    <n v="116.95"/>
    <n v="83.58"/>
    <n v="106"/>
    <n v="95.22"/>
    <n v="53.18"/>
    <n v="49.72"/>
    <n v="70.239999999999995"/>
    <n v="1124.6500000000001"/>
    <n v="-20.519999999999996"/>
  </r>
  <r>
    <x v="11"/>
    <x v="6"/>
    <x v="0"/>
    <s v="3811107"/>
    <n v="721830"/>
    <s v="Supplies-Office"/>
    <s v="Urgent Care-Belfair"/>
    <x v="0"/>
    <m/>
    <n v="140.41999999999999"/>
    <n v="503.61"/>
    <n v="-130.68"/>
    <n v="266.97000000000003"/>
    <n v="140.11000000000001"/>
    <n v="77.819999999999993"/>
    <n v="0"/>
    <n v="261.20999999999998"/>
    <n v="108.78"/>
    <n v="207.38"/>
    <n v="54.39"/>
    <n v="0.65"/>
    <n v="1630.66"/>
    <n v="53.74"/>
  </r>
  <r>
    <x v="11"/>
    <x v="6"/>
    <x v="0"/>
    <s v="3811107"/>
    <n v="721870"/>
    <s v="Supplies-Environmental Services"/>
    <s v="Urgent Care-Belfair"/>
    <x v="0"/>
    <m/>
    <n v="76.08"/>
    <n v="102.6"/>
    <n v="94.56"/>
    <n v="146.54"/>
    <n v="169.21"/>
    <n v="133.41"/>
    <n v="110.64"/>
    <n v="222.35"/>
    <n v="294.63"/>
    <n v="144.16"/>
    <n v="124.98"/>
    <n v="61.88"/>
    <n v="1681.0400000000002"/>
    <n v="63.1"/>
  </r>
  <r>
    <x v="11"/>
    <x v="6"/>
    <x v="0"/>
    <s v="3811107"/>
    <n v="721880"/>
    <s v="Supplies-Linen"/>
    <s v="Urgent Care-Belfair"/>
    <x v="0"/>
    <m/>
    <n v="59.4"/>
    <n v="19.8"/>
    <n v="39.6"/>
    <n v="19.8"/>
    <n v="59.4"/>
    <n v="53.76"/>
    <n v="53.76"/>
    <n v="26.88"/>
    <n v="73.56"/>
    <n v="66.48"/>
    <n v="53.76"/>
    <n v="0"/>
    <n v="526.20000000000005"/>
    <n v="53.76"/>
  </r>
  <r>
    <x v="11"/>
    <x v="6"/>
    <x v="0"/>
    <s v="3811107"/>
    <n v="721910"/>
    <s v="Supplies-Small Equipment"/>
    <s v="Urgent Care-Belfair"/>
    <x v="0"/>
    <m/>
    <n v="10.56"/>
    <n v="0"/>
    <n v="0"/>
    <n v="0"/>
    <n v="0"/>
    <n v="4.08"/>
    <n v="0"/>
    <n v="0"/>
    <n v="0"/>
    <n v="0"/>
    <n v="7.2"/>
    <n v="0"/>
    <n v="21.84"/>
    <n v="7.2"/>
  </r>
  <r>
    <x v="11"/>
    <x v="6"/>
    <x v="0"/>
    <s v="3811107"/>
    <n v="721910"/>
    <s v="Instruments"/>
    <s v="Urgent Care-Belfair"/>
    <x v="0"/>
    <n v="1000"/>
    <n v="18.190000000000001"/>
    <n v="0"/>
    <n v="0"/>
    <n v="0"/>
    <n v="18.57"/>
    <n v="0"/>
    <n v="36.380000000000003"/>
    <n v="18.190000000000001"/>
    <n v="0"/>
    <n v="0"/>
    <n v="0"/>
    <n v="328.11"/>
    <n v="419.44000000000005"/>
    <n v="-328.11"/>
  </r>
  <r>
    <x v="11"/>
    <x v="6"/>
    <x v="0"/>
    <s v="3811107"/>
    <n v="721980"/>
    <s v="Supplies-Other"/>
    <s v="Urgent Care-Belfair"/>
    <x v="0"/>
    <m/>
    <n v="40.86"/>
    <n v="819.87"/>
    <n v="27"/>
    <n v="589.78"/>
    <n v="0"/>
    <n v="27"/>
    <n v="774.79"/>
    <n v="407.59"/>
    <n v="658.02"/>
    <n v="326.83999999999997"/>
    <n v="535.5"/>
    <n v="241.67"/>
    <n v="4448.92"/>
    <n v="293.83000000000004"/>
  </r>
  <r>
    <x v="11"/>
    <x v="6"/>
    <x v="0"/>
    <s v="3811107"/>
    <n v="722000"/>
    <s v="Supplies-Freight Expense"/>
    <s v="Urgent Care-Belfair"/>
    <x v="0"/>
    <m/>
    <n v="0"/>
    <n v="14.75"/>
    <n v="0"/>
    <n v="9.69"/>
    <n v="19.32"/>
    <n v="44.66"/>
    <n v="12.63"/>
    <n v="0"/>
    <n v="0"/>
    <n v="0"/>
    <n v="8.9600000000000009"/>
    <n v="14.16"/>
    <n v="124.16999999999999"/>
    <n v="-5.1999999999999993"/>
  </r>
  <r>
    <x v="12"/>
    <x v="6"/>
    <x v="0"/>
    <s v="3811107"/>
    <n v="730010"/>
    <s v="Rental and Leases-Building (DO NOT USE)"/>
    <s v="Urgent Care-Belfair"/>
    <x v="0"/>
    <m/>
    <n v="12615.79"/>
    <n v="12615.79"/>
    <n v="12615.79"/>
    <n v="12615.79"/>
    <n v="12615.79"/>
    <n v="-1969.94"/>
    <n v="11198.54"/>
    <n v="11198.54"/>
    <n v="11198.54"/>
    <n v="11362.3"/>
    <n v="11362.3"/>
    <n v="0"/>
    <n v="117429.23000000001"/>
    <n v="11362.3"/>
  </r>
  <r>
    <x v="12"/>
    <x v="6"/>
    <x v="0"/>
    <s v="3811107"/>
    <n v="730010"/>
    <s v="Rental-Common Area Maint (DO NOT USE)"/>
    <s v="Urgent Care-Belfair"/>
    <x v="0"/>
    <n v="2200"/>
    <n v="0"/>
    <n v="0"/>
    <n v="0"/>
    <n v="0"/>
    <n v="0"/>
    <n v="14585.73"/>
    <n v="1417.25"/>
    <n v="1417.25"/>
    <n v="1417.25"/>
    <n v="4046.91"/>
    <n v="1789.43"/>
    <n v="0"/>
    <n v="24673.82"/>
    <n v="1789.43"/>
  </r>
  <r>
    <x v="12"/>
    <x v="6"/>
    <x v="0"/>
    <s v="3811107"/>
    <n v="730020"/>
    <s v="Rental and Leases-Equipment (DO NOT USE)"/>
    <s v="Urgent Care-Belfair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3811107"/>
    <n v="730020"/>
    <s v="Rental and Leases-Copier Usage Fees (DO NOT USE)"/>
    <s v="Urgent Care-Belfair"/>
    <x v="0"/>
    <n v="5100"/>
    <n v="397.33"/>
    <n v="400.3"/>
    <n v="398.81"/>
    <n v="398.81"/>
    <n v="398.81"/>
    <n v="398.81"/>
    <n v="-810.36"/>
    <n v="211.93"/>
    <n v="211.48"/>
    <n v="475.86"/>
    <n v="308.14999999999998"/>
    <n v="334.33"/>
    <n v="3124.2599999999998"/>
    <n v="-26.180000000000007"/>
  </r>
  <r>
    <x v="12"/>
    <x v="6"/>
    <x v="0"/>
    <s v="3811107"/>
    <n v="730040"/>
    <s v="LT Lease-Real Estate"/>
    <s v="Urgent Care-Belfair"/>
    <x v="0"/>
    <m/>
    <n v="0"/>
    <n v="0"/>
    <n v="0"/>
    <n v="0"/>
    <n v="0"/>
    <n v="0"/>
    <n v="0"/>
    <n v="0"/>
    <n v="0"/>
    <n v="0"/>
    <n v="0"/>
    <n v="13151.73"/>
    <n v="13151.73"/>
    <n v="-13151.73"/>
  </r>
  <r>
    <x v="15"/>
    <x v="6"/>
    <x v="0"/>
    <s v="3811107"/>
    <n v="731010"/>
    <s v="Natural Gas"/>
    <s v="Urgent Care-Belfair"/>
    <x v="0"/>
    <m/>
    <n v="5.4"/>
    <n v="5"/>
    <n v="6.5"/>
    <n v="6.88"/>
    <n v="13.66"/>
    <n v="32.15"/>
    <n v="52.29"/>
    <n v="56.3"/>
    <n v="98.41"/>
    <n v="56.63"/>
    <n v="24.89"/>
    <n v="10.96"/>
    <n v="369.07"/>
    <n v="13.93"/>
  </r>
  <r>
    <x v="16"/>
    <x v="6"/>
    <x v="0"/>
    <s v="3811107"/>
    <n v="732030"/>
    <s v="Repairs---Other"/>
    <s v="Urgent Care-Belfair"/>
    <x v="0"/>
    <m/>
    <n v="0"/>
    <n v="0"/>
    <n v="0"/>
    <n v="40.69"/>
    <n v="40.69"/>
    <n v="0"/>
    <n v="81.38"/>
    <n v="0"/>
    <n v="0"/>
    <n v="0"/>
    <n v="0"/>
    <n v="0"/>
    <n v="162.76"/>
    <n v="0"/>
  </r>
  <r>
    <x v="13"/>
    <x v="6"/>
    <x v="0"/>
    <s v="3811107"/>
    <n v="735070"/>
    <s v="Depreciation-Movable Equipment"/>
    <s v="Urgent Care-Belfair"/>
    <x v="0"/>
    <m/>
    <n v="954.76"/>
    <n v="954.81"/>
    <n v="995.39"/>
    <n v="954.78"/>
    <n v="954.79"/>
    <n v="954.72"/>
    <n v="954.72"/>
    <n v="954.79"/>
    <n v="954.74"/>
    <n v="954.78"/>
    <n v="954.83"/>
    <n v="954.76"/>
    <n v="11497.87"/>
    <n v="7.0000000000050022E-2"/>
  </r>
  <r>
    <x v="0"/>
    <x v="6"/>
    <x v="0"/>
    <s v="3811107"/>
    <n v="749510"/>
    <s v="Miscellaneous Expenses"/>
    <s v="Urgent Care-Belfair"/>
    <x v="0"/>
    <m/>
    <n v="0"/>
    <n v="0"/>
    <n v="0"/>
    <n v="0"/>
    <n v="0"/>
    <n v="0"/>
    <n v="0"/>
    <n v="0"/>
    <n v="0"/>
    <n v="0"/>
    <n v="0"/>
    <n v="589.16"/>
    <n v="589.16"/>
    <n v="-589.16"/>
  </r>
  <r>
    <x v="18"/>
    <x v="6"/>
    <x v="0"/>
    <s v="3812107"/>
    <n v="400010"/>
    <s v="Acute I/P Svcs Rev--Medicaid"/>
    <s v="Urgent Care-Bainbridge"/>
    <x v="0"/>
    <n v="1200"/>
    <n v="0"/>
    <n v="0"/>
    <n v="0"/>
    <n v="0"/>
    <n v="0"/>
    <n v="0"/>
    <n v="0"/>
    <n v="0"/>
    <n v="255"/>
    <n v="0"/>
    <n v="0"/>
    <n v="0"/>
    <n v="255"/>
    <n v="0"/>
  </r>
  <r>
    <x v="19"/>
    <x v="6"/>
    <x v="0"/>
    <s v="3812107"/>
    <n v="400020"/>
    <s v="O/P Care Svcs Rev--Medicaid"/>
    <s v="Urgent Care-Bainbridge"/>
    <x v="0"/>
    <n v="1200"/>
    <n v="0"/>
    <n v="0"/>
    <n v="0"/>
    <n v="0"/>
    <n v="0"/>
    <n v="-714.54"/>
    <n v="0"/>
    <n v="0"/>
    <n v="-440"/>
    <n v="0"/>
    <n v="0"/>
    <n v="0"/>
    <n v="-1154.54"/>
    <n v="0"/>
  </r>
  <r>
    <x v="19"/>
    <x v="6"/>
    <x v="0"/>
    <s v="3812107"/>
    <n v="400020"/>
    <s v="O/P Care Svcs Rev--Managed Care"/>
    <s v="Urgent Care-Bainbridge"/>
    <x v="0"/>
    <n v="1400"/>
    <n v="0"/>
    <n v="0"/>
    <n v="0"/>
    <n v="0"/>
    <n v="0"/>
    <n v="714.54"/>
    <n v="-295"/>
    <n v="0"/>
    <n v="0"/>
    <n v="0"/>
    <n v="0"/>
    <n v="0"/>
    <n v="419.53999999999996"/>
    <n v="0"/>
  </r>
  <r>
    <x v="19"/>
    <x v="6"/>
    <x v="0"/>
    <s v="3812107"/>
    <n v="400020"/>
    <s v="O/P Care Svcs Rev--Self Pay"/>
    <s v="Urgent Care-Bainbridge"/>
    <x v="0"/>
    <n v="1500"/>
    <n v="0"/>
    <n v="0"/>
    <n v="0"/>
    <n v="0"/>
    <n v="0"/>
    <n v="0"/>
    <n v="295"/>
    <n v="0"/>
    <n v="0"/>
    <n v="0"/>
    <n v="0"/>
    <n v="0"/>
    <n v="295"/>
    <n v="0"/>
  </r>
  <r>
    <x v="19"/>
    <x v="6"/>
    <x v="0"/>
    <s v="3812107"/>
    <n v="400020"/>
    <s v="O/P Care Svcs Rev--Other"/>
    <s v="Urgent Care-Bainbridge"/>
    <x v="0"/>
    <n v="1700"/>
    <n v="0"/>
    <n v="0"/>
    <n v="0"/>
    <n v="0"/>
    <n v="0"/>
    <n v="0"/>
    <n v="0"/>
    <n v="0"/>
    <n v="185"/>
    <n v="0"/>
    <n v="0"/>
    <n v="0"/>
    <n v="185"/>
    <n v="0"/>
  </r>
  <r>
    <x v="5"/>
    <x v="6"/>
    <x v="0"/>
    <s v="3812107"/>
    <n v="700026"/>
    <s v="Salaries-RN-Productive"/>
    <s v="Urgent Care-Bainbridge"/>
    <x v="0"/>
    <m/>
    <n v="11615.73"/>
    <n v="7377.96"/>
    <n v="8871.48"/>
    <n v="8297.82"/>
    <n v="7781.96"/>
    <n v="8832.6299999999992"/>
    <n v="3342.03"/>
    <n v="2830.76"/>
    <n v="3092.41"/>
    <n v="2955.71"/>
    <n v="3388.23"/>
    <n v="2105.46"/>
    <n v="70492.180000000008"/>
    <n v="1282.77"/>
  </r>
  <r>
    <x v="5"/>
    <x v="6"/>
    <x v="0"/>
    <s v="3812107"/>
    <n v="700026"/>
    <s v="Salaries-RN-OT"/>
    <s v="Urgent Care-Bainbridge"/>
    <x v="0"/>
    <n v="1000"/>
    <n v="72.84"/>
    <n v="0"/>
    <n v="0"/>
    <n v="26.64"/>
    <n v="-11.72"/>
    <n v="1258.77"/>
    <n v="-153.6"/>
    <n v="0"/>
    <n v="0"/>
    <n v="0"/>
    <n v="0"/>
    <n v="0"/>
    <n v="1192.93"/>
    <n v="0"/>
  </r>
  <r>
    <x v="5"/>
    <x v="6"/>
    <x v="0"/>
    <s v="3812107"/>
    <n v="700026"/>
    <s v="Salaries-RN-Other"/>
    <s v="Urgent Care-Bainbridge"/>
    <x v="0"/>
    <n v="2000"/>
    <n v="429.67"/>
    <n v="346.58"/>
    <n v="382"/>
    <n v="328.48"/>
    <n v="20.6"/>
    <n v="52.98"/>
    <n v="10.83"/>
    <n v="0"/>
    <n v="0"/>
    <n v="0"/>
    <n v="0"/>
    <n v="0"/>
    <n v="1571.1399999999999"/>
    <n v="0"/>
  </r>
  <r>
    <x v="5"/>
    <x v="6"/>
    <x v="0"/>
    <s v="3812107"/>
    <n v="700030"/>
    <s v="Salaries-LPN-Productive"/>
    <s v="Urgent Care-Bainbridge"/>
    <x v="0"/>
    <m/>
    <n v="9597.32"/>
    <n v="11154.6"/>
    <n v="10630.65"/>
    <n v="11322.41"/>
    <n v="5221.72"/>
    <n v="5854.11"/>
    <n v="5730.3"/>
    <n v="5618.61"/>
    <n v="7563.34"/>
    <n v="7173.19"/>
    <n v="6059.65"/>
    <n v="7824.58"/>
    <n v="93750.48"/>
    <n v="-1764.9300000000003"/>
  </r>
  <r>
    <x v="5"/>
    <x v="6"/>
    <x v="0"/>
    <s v="3812107"/>
    <n v="700030"/>
    <s v="Salaries-LPN-OT"/>
    <s v="Urgent Care-Bainbridge"/>
    <x v="0"/>
    <n v="1000"/>
    <n v="1072.92"/>
    <n v="-26.02"/>
    <n v="-26.04"/>
    <n v="292.92"/>
    <n v="68.78"/>
    <n v="318.8"/>
    <n v="49.94"/>
    <n v="413.23"/>
    <n v="-86.1"/>
    <n v="39.950000000000003"/>
    <n v="5.83"/>
    <n v="270.62"/>
    <n v="2394.83"/>
    <n v="-264.79000000000002"/>
  </r>
  <r>
    <x v="5"/>
    <x v="6"/>
    <x v="0"/>
    <s v="3812107"/>
    <n v="700030"/>
    <s v="Salaries-LPN-Other"/>
    <s v="Urgent Care-Bainbridge"/>
    <x v="0"/>
    <n v="2000"/>
    <n v="188.88"/>
    <n v="142.25"/>
    <n v="218.03"/>
    <n v="247.27"/>
    <n v="9.16"/>
    <n v="48.7"/>
    <n v="-6.01"/>
    <n v="0"/>
    <n v="0"/>
    <n v="15.28"/>
    <n v="0"/>
    <n v="0"/>
    <n v="863.56"/>
    <n v="0"/>
  </r>
  <r>
    <x v="5"/>
    <x v="6"/>
    <x v="0"/>
    <s v="3812107"/>
    <n v="700032"/>
    <s v="Salaries-Other Pat Care Providers-Productive"/>
    <s v="Urgent Care-Bainbridge"/>
    <x v="0"/>
    <m/>
    <n v="1518.98"/>
    <n v="1788.27"/>
    <n v="1730.61"/>
    <n v="1788.27"/>
    <n v="1730.52"/>
    <n v="1227.73"/>
    <n v="541.94000000000005"/>
    <n v="365.85"/>
    <n v="-96.26"/>
    <n v="0"/>
    <n v="0"/>
    <n v="0"/>
    <n v="10595.91"/>
    <n v="0"/>
  </r>
  <r>
    <x v="5"/>
    <x v="6"/>
    <x v="0"/>
    <s v="3812107"/>
    <n v="700032"/>
    <s v="Salaries-Other Pat Care Providers-Other"/>
    <s v="Urgent Care-Bainbridge"/>
    <x v="0"/>
    <n v="2000"/>
    <n v="36.11"/>
    <n v="42.51"/>
    <n v="41.15"/>
    <n v="42.51"/>
    <n v="41.14"/>
    <n v="36.51"/>
    <n v="15.7"/>
    <n v="8.69"/>
    <n v="-2.2799999999999998"/>
    <n v="0"/>
    <n v="0"/>
    <n v="0"/>
    <n v="262.04000000000002"/>
    <n v="0"/>
  </r>
  <r>
    <x v="5"/>
    <x v="6"/>
    <x v="0"/>
    <s v="3812107"/>
    <n v="700034"/>
    <s v="Salaries-Tech/Professional-Productive"/>
    <s v="Urgent Care-Bainbridge"/>
    <x v="0"/>
    <m/>
    <n v="15018.92"/>
    <n v="14309.97"/>
    <n v="14899.04"/>
    <n v="14394.1"/>
    <n v="13257.02"/>
    <n v="9288.4699999999993"/>
    <n v="11474.08"/>
    <n v="11427.99"/>
    <n v="12264.11"/>
    <n v="11575.43"/>
    <n v="14381.99"/>
    <n v="10266.540000000001"/>
    <n v="152557.66"/>
    <n v="4115.4499999999989"/>
  </r>
  <r>
    <x v="5"/>
    <x v="6"/>
    <x v="0"/>
    <s v="3812107"/>
    <n v="700034"/>
    <s v="Salaries-Tech/Professional-OT"/>
    <s v="Urgent Care-Bainbridge"/>
    <x v="0"/>
    <n v="1000"/>
    <n v="621.13"/>
    <n v="1023.45"/>
    <n v="187.19"/>
    <n v="886.21"/>
    <n v="51.93"/>
    <n v="248.35"/>
    <n v="93.79"/>
    <n v="8.77"/>
    <n v="88.91"/>
    <n v="70.67"/>
    <n v="89.6"/>
    <n v="128.61000000000001"/>
    <n v="3498.6099999999997"/>
    <n v="-39.010000000000019"/>
  </r>
  <r>
    <x v="5"/>
    <x v="6"/>
    <x v="0"/>
    <s v="3812107"/>
    <n v="700034"/>
    <s v="Salaries-Tech/Professional-Other"/>
    <s v="Urgent Care-Bainbridge"/>
    <x v="0"/>
    <n v="2000"/>
    <n v="238.01"/>
    <n v="231.42"/>
    <n v="226.32"/>
    <n v="232.82"/>
    <n v="24.86"/>
    <n v="0"/>
    <n v="0"/>
    <n v="0"/>
    <n v="0"/>
    <n v="0"/>
    <n v="75.63"/>
    <n v="-25.3"/>
    <n v="1003.76"/>
    <n v="100.92999999999999"/>
  </r>
  <r>
    <x v="5"/>
    <x v="6"/>
    <x v="0"/>
    <s v="3812107"/>
    <n v="700038"/>
    <s v="Salaries-Service/Support-Productive"/>
    <s v="Urgent Care-Bainbridge"/>
    <x v="0"/>
    <m/>
    <n v="7207.76"/>
    <n v="6679.86"/>
    <n v="7619.92"/>
    <n v="9089.9599999999991"/>
    <n v="6011.17"/>
    <n v="2809.03"/>
    <n v="4705.05"/>
    <n v="3111.45"/>
    <n v="4642.1499999999996"/>
    <n v="3578.8"/>
    <n v="3079.57"/>
    <n v="2698.91"/>
    <n v="61233.630000000005"/>
    <n v="380.66000000000031"/>
  </r>
  <r>
    <x v="5"/>
    <x v="6"/>
    <x v="0"/>
    <s v="3812107"/>
    <n v="700038"/>
    <s v="Salaries-Service/Support-OT"/>
    <s v="Urgent Care-Bainbridge"/>
    <x v="0"/>
    <n v="1000"/>
    <n v="0"/>
    <n v="0"/>
    <n v="209.18"/>
    <n v="0"/>
    <n v="48.95"/>
    <n v="0"/>
    <n v="84.78"/>
    <n v="0"/>
    <n v="0"/>
    <n v="0"/>
    <n v="0"/>
    <n v="0"/>
    <n v="342.90999999999997"/>
    <n v="0"/>
  </r>
  <r>
    <x v="5"/>
    <x v="6"/>
    <x v="0"/>
    <s v="3812107"/>
    <n v="700038"/>
    <s v="Salaries-Service/Support-Other"/>
    <s v="Urgent Care-Bainbridge"/>
    <x v="0"/>
    <n v="2000"/>
    <n v="147.12"/>
    <n v="161.16"/>
    <n v="186.58"/>
    <n v="246"/>
    <n v="34.04"/>
    <n v="-13.81"/>
    <n v="0"/>
    <n v="0"/>
    <n v="8.11"/>
    <n v="0"/>
    <n v="0"/>
    <n v="0"/>
    <n v="769.2"/>
    <n v="0"/>
  </r>
  <r>
    <x v="5"/>
    <x v="6"/>
    <x v="0"/>
    <s v="3812107"/>
    <n v="700066"/>
    <s v="Salaries-RN-Non-productive"/>
    <s v="Urgent Care-Bainbridge"/>
    <x v="0"/>
    <m/>
    <n v="591.37"/>
    <n v="2075.2600000000002"/>
    <n v="1227.79"/>
    <n v="2163.67"/>
    <n v="1874.59"/>
    <n v="419.23"/>
    <n v="321.69"/>
    <n v="342.1"/>
    <n v="322.47000000000003"/>
    <n v="251.24"/>
    <n v="0"/>
    <n v="1219.1300000000001"/>
    <n v="10808.54"/>
    <n v="-1219.1300000000001"/>
  </r>
  <r>
    <x v="5"/>
    <x v="6"/>
    <x v="0"/>
    <s v="3812107"/>
    <n v="700066"/>
    <s v="Salaries-RN-NonProd-Other"/>
    <s v="Urgent Care-Bainbridge"/>
    <x v="0"/>
    <n v="2000"/>
    <n v="0"/>
    <n v="0"/>
    <n v="0"/>
    <n v="0"/>
    <n v="500"/>
    <n v="0"/>
    <n v="0"/>
    <n v="-500"/>
    <n v="0"/>
    <n v="0"/>
    <n v="0"/>
    <n v="0"/>
    <n v="0"/>
    <n v="0"/>
  </r>
  <r>
    <x v="5"/>
    <x v="6"/>
    <x v="0"/>
    <s v="3812107"/>
    <n v="700070"/>
    <s v="Salaries-LPN-Non-productive"/>
    <s v="Urgent Care-Bainbridge"/>
    <x v="0"/>
    <m/>
    <n v="3056.17"/>
    <n v="2044.08"/>
    <n v="3746.26"/>
    <n v="2712.96"/>
    <n v="4084.28"/>
    <n v="3022.84"/>
    <n v="592.04999999999995"/>
    <n v="607.67999999999995"/>
    <n v="-41.93"/>
    <n v="770.72"/>
    <n v="2058.3200000000002"/>
    <n v="-325.20999999999998"/>
    <n v="22328.220000000005"/>
    <n v="2383.5300000000002"/>
  </r>
  <r>
    <x v="5"/>
    <x v="6"/>
    <x v="0"/>
    <s v="3812107"/>
    <n v="700070"/>
    <s v="Salaries-LPN-NonProd-Other"/>
    <s v="Urgent Care-Bainbridg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812107"/>
    <n v="700074"/>
    <s v="Salaries-Tech/Professional-Non-productive"/>
    <s v="Urgent Care-Bainbridge"/>
    <x v="0"/>
    <m/>
    <n v="2570.08"/>
    <n v="1142.3399999999999"/>
    <n v="74.05"/>
    <n v="4338.9399999999996"/>
    <n v="-805.88"/>
    <n v="3442.3"/>
    <n v="1534.21"/>
    <n v="1436.62"/>
    <n v="1027.55"/>
    <n v="3602.23"/>
    <n v="684.92"/>
    <n v="1447.41"/>
    <n v="20494.769999999997"/>
    <n v="-762.49000000000012"/>
  </r>
  <r>
    <x v="5"/>
    <x v="6"/>
    <x v="0"/>
    <s v="3812107"/>
    <n v="700074"/>
    <s v="Salaries-Tech/Professional-NonProd-Other"/>
    <s v="Urgent Care-Bainbridg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812107"/>
    <n v="700078"/>
    <s v="Salaries-Service/Support-Non-productive"/>
    <s v="Urgent Care-Bainbridge"/>
    <x v="0"/>
    <m/>
    <n v="673.81"/>
    <n v="1660.95"/>
    <n v="1327.65"/>
    <n v="-2.81"/>
    <n v="1480.1"/>
    <n v="-91.7"/>
    <n v="-32.229999999999997"/>
    <n v="429.2"/>
    <n v="58.54"/>
    <n v="637.79999999999995"/>
    <n v="293.3"/>
    <n v="203.17"/>
    <n v="6637.7800000000016"/>
    <n v="90.130000000000024"/>
  </r>
  <r>
    <x v="5"/>
    <x v="6"/>
    <x v="0"/>
    <s v="3812107"/>
    <n v="700078"/>
    <s v="Salaries-Service/Support-NonProd-Other"/>
    <s v="Urgent Care-Bainbridg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3812107"/>
    <n v="700084"/>
    <s v="Accrued PTO"/>
    <s v="Urgent Care-Bainbridge"/>
    <x v="0"/>
    <m/>
    <n v="2496.2800000000002"/>
    <n v="-796.97"/>
    <n v="-801.55"/>
    <n v="-2023.5"/>
    <n v="466.26"/>
    <n v="-2121.11"/>
    <n v="-8803.43"/>
    <n v="569.04999999999995"/>
    <n v="1001.84"/>
    <n v="-1548.53"/>
    <n v="34.380000000000003"/>
    <n v="-161.65"/>
    <n v="-11688.930000000002"/>
    <n v="196.03"/>
  </r>
  <r>
    <x v="6"/>
    <x v="6"/>
    <x v="0"/>
    <s v="3812107"/>
    <n v="713010"/>
    <s v="Benefits-FICA/Medicare"/>
    <s v="Urgent Care-Bainbridge"/>
    <x v="0"/>
    <m/>
    <n v="4129.75"/>
    <n v="3788.33"/>
    <n v="3940.54"/>
    <n v="4221.22"/>
    <n v="3210.26"/>
    <n v="3160.14"/>
    <n v="2094.4299999999998"/>
    <n v="2005.11"/>
    <n v="2173.5500000000002"/>
    <n v="2314.13"/>
    <n v="2271.56"/>
    <n v="1942.87"/>
    <n v="35251.89"/>
    <n v="328.69000000000005"/>
  </r>
  <r>
    <x v="6"/>
    <x v="6"/>
    <x v="0"/>
    <s v="3812107"/>
    <n v="713090"/>
    <s v="Benefits-Allocated Amounts"/>
    <s v="Urgent Care-Bainbridge"/>
    <x v="0"/>
    <m/>
    <n v="10994.11"/>
    <n v="9093.48"/>
    <n v="10440.379999999999"/>
    <n v="11094.29"/>
    <n v="9807.26"/>
    <n v="7287.79"/>
    <n v="5857.45"/>
    <n v="5959.09"/>
    <n v="4876.88"/>
    <n v="6948.4"/>
    <n v="5968.77"/>
    <n v="6504.25"/>
    <n v="94832.150000000009"/>
    <n v="-535.47999999999956"/>
  </r>
  <r>
    <x v="7"/>
    <x v="6"/>
    <x v="0"/>
    <s v="3812107"/>
    <n v="718050"/>
    <s v="Contract Svcs-Other"/>
    <s v="Urgent Care-Bainbridge"/>
    <x v="0"/>
    <m/>
    <n v="77.5"/>
    <n v="253.77"/>
    <n v="65.290000000000006"/>
    <n v="107.52"/>
    <n v="211.15"/>
    <n v="0"/>
    <n v="115.97"/>
    <n v="0"/>
    <n v="45.65"/>
    <n v="89"/>
    <n v="65.3"/>
    <n v="475.98"/>
    <n v="1507.13"/>
    <n v="-410.68"/>
  </r>
  <r>
    <x v="7"/>
    <x v="6"/>
    <x v="0"/>
    <s v="3812107"/>
    <n v="718050"/>
    <s v="Contract Management--Linen"/>
    <s v="Urgent Care-Bainbridge"/>
    <x v="0"/>
    <n v="1026"/>
    <n v="404.9"/>
    <n v="1293.99"/>
    <n v="414.9"/>
    <n v="809.8"/>
    <n v="1214.7"/>
    <n v="607.35"/>
    <n v="1426.41"/>
    <n v="616.61"/>
    <n v="828.32"/>
    <n v="414.16"/>
    <n v="1035.4000000000001"/>
    <n v="1030.77"/>
    <n v="10097.31"/>
    <n v="4.6300000000001091"/>
  </r>
  <r>
    <x v="7"/>
    <x v="6"/>
    <x v="0"/>
    <s v="3812107"/>
    <n v="718050"/>
    <s v="Purchased Srvcs--Medical Waste"/>
    <s v="Urgent Care-Bainbridge"/>
    <x v="0"/>
    <n v="1027"/>
    <n v="633.41999999999996"/>
    <n v="690.79"/>
    <n v="500.24"/>
    <n v="346.93"/>
    <n v="97.24"/>
    <n v="505.37"/>
    <n v="694.02"/>
    <n v="496.28"/>
    <n v="341.88"/>
    <n v="346.93"/>
    <n v="47.03"/>
    <n v="347.01"/>
    <n v="5047.1400000000003"/>
    <n v="-299.98"/>
  </r>
  <r>
    <x v="7"/>
    <x v="6"/>
    <x v="0"/>
    <s v="3812107"/>
    <n v="718070"/>
    <s v="Contract Srvcs-CHI Clinical Engineering"/>
    <s v="Urgent Care-Bainbridge"/>
    <x v="0"/>
    <m/>
    <n v="2219.29"/>
    <n v="2219.29"/>
    <n v="2237.67"/>
    <n v="2225.41"/>
    <n v="2225.42"/>
    <n v="2658.61"/>
    <n v="1997.27"/>
    <n v="1997.27"/>
    <n v="1997.28"/>
    <n v="1997.27"/>
    <n v="1991"/>
    <n v="1986"/>
    <n v="25751.78"/>
    <n v="5"/>
  </r>
  <r>
    <x v="11"/>
    <x v="6"/>
    <x v="0"/>
    <s v="3812107"/>
    <n v="721010"/>
    <s v="Supplies-Medical - Billable"/>
    <s v="Urgent Care-Bainbridge"/>
    <x v="0"/>
    <m/>
    <n v="562.29999999999995"/>
    <n v="671.6"/>
    <n v="438.2"/>
    <n v="991.59"/>
    <n v="931.6"/>
    <n v="258.70999999999998"/>
    <n v="314.19"/>
    <n v="225.85"/>
    <n v="286.18"/>
    <n v="167.27"/>
    <n v="198.36"/>
    <n v="132.16999999999999"/>
    <n v="5178.0200000000004"/>
    <n v="66.190000000000026"/>
  </r>
  <r>
    <x v="11"/>
    <x v="6"/>
    <x v="0"/>
    <s v="3812107"/>
    <n v="721010"/>
    <s v="Patient Monitoring"/>
    <s v="Urgent Care-Bainbridge"/>
    <x v="0"/>
    <n v="1000"/>
    <n v="0"/>
    <n v="0"/>
    <n v="0"/>
    <n v="0"/>
    <n v="14.48"/>
    <n v="0"/>
    <n v="0"/>
    <n v="0"/>
    <n v="-87.29"/>
    <n v="0"/>
    <n v="0"/>
    <n v="0"/>
    <n v="-72.81"/>
    <n v="0"/>
  </r>
  <r>
    <x v="11"/>
    <x v="6"/>
    <x v="0"/>
    <s v="3812107"/>
    <n v="721020"/>
    <s v="Supplies-Surgical - Billable"/>
    <s v="Urgent Care-Bainbridge"/>
    <x v="0"/>
    <m/>
    <n v="0"/>
    <n v="146.88"/>
    <n v="0"/>
    <n v="0"/>
    <n v="0"/>
    <n v="0"/>
    <n v="0"/>
    <n v="0"/>
    <n v="0"/>
    <n v="0"/>
    <n v="0"/>
    <n v="0"/>
    <n v="146.88"/>
    <n v="0"/>
  </r>
  <r>
    <x v="11"/>
    <x v="6"/>
    <x v="0"/>
    <s v="3812107"/>
    <n v="721020"/>
    <s v="Suture/Wound Closure"/>
    <s v="Urgent Care-Bainbridge"/>
    <x v="0"/>
    <n v="1001"/>
    <n v="66.37"/>
    <n v="26.77"/>
    <n v="89.82"/>
    <n v="26.77"/>
    <n v="0"/>
    <n v="0"/>
    <n v="53.54"/>
    <n v="0"/>
    <n v="0"/>
    <n v="0"/>
    <n v="24.45"/>
    <n v="95.94"/>
    <n v="383.65999999999997"/>
    <n v="-71.489999999999995"/>
  </r>
  <r>
    <x v="11"/>
    <x v="6"/>
    <x v="0"/>
    <s v="3812107"/>
    <n v="721240"/>
    <s v="Supplies-IV Solutions/Supplies - Billable"/>
    <s v="Urgent Care-Bainbridge"/>
    <x v="0"/>
    <m/>
    <n v="449"/>
    <n v="849.5"/>
    <n v="383.5"/>
    <n v="396"/>
    <n v="492.02"/>
    <n v="79.98"/>
    <n v="355.9"/>
    <n v="72"/>
    <n v="72"/>
    <n v="36"/>
    <n v="197"/>
    <n v="0"/>
    <n v="3382.9"/>
    <n v="197"/>
  </r>
  <r>
    <x v="11"/>
    <x v="6"/>
    <x v="0"/>
    <s v="3812107"/>
    <n v="721250"/>
    <s v="Supplies-Pharmacy Drugs - Billable"/>
    <s v="Urgent Care-Bainbridge"/>
    <x v="0"/>
    <m/>
    <n v="1201.71"/>
    <n v="2384.94"/>
    <n v="436.99"/>
    <n v="873.51"/>
    <n v="951.71"/>
    <n v="259.85000000000002"/>
    <n v="753.17"/>
    <n v="0"/>
    <n v="1585.88"/>
    <n v="0"/>
    <n v="439.57"/>
    <n v="124.92"/>
    <n v="9012.2500000000018"/>
    <n v="314.64999999999998"/>
  </r>
  <r>
    <x v="11"/>
    <x v="6"/>
    <x v="0"/>
    <s v="3812107"/>
    <n v="721410"/>
    <s v="Supplies-Medical - Nonbillable"/>
    <s v="Urgent Care-Bainbridge"/>
    <x v="0"/>
    <m/>
    <n v="874.32"/>
    <n v="1213.71"/>
    <n v="495.78"/>
    <n v="913.91"/>
    <n v="833.15"/>
    <n v="824.84"/>
    <n v="379.84"/>
    <n v="223.02"/>
    <n v="201.51"/>
    <n v="458.08"/>
    <n v="220.88"/>
    <n v="231.71"/>
    <n v="6870.7500000000009"/>
    <n v="-10.830000000000013"/>
  </r>
  <r>
    <x v="11"/>
    <x v="6"/>
    <x v="0"/>
    <s v="3812107"/>
    <n v="721420"/>
    <s v="Supplies-Surgical Nonbillable"/>
    <s v="Urgent Care-Bainbridge"/>
    <x v="0"/>
    <m/>
    <n v="62.37"/>
    <n v="0"/>
    <n v="6.97"/>
    <n v="26.3"/>
    <n v="11.1"/>
    <n v="0"/>
    <n v="334.4"/>
    <n v="0"/>
    <n v="210.69"/>
    <n v="28.6"/>
    <n v="0"/>
    <n v="0"/>
    <n v="680.43"/>
    <n v="0"/>
  </r>
  <r>
    <x v="11"/>
    <x v="6"/>
    <x v="0"/>
    <s v="3812107"/>
    <n v="721420"/>
    <s v="Sterilization Process Products"/>
    <s v="Urgent Care-Bainbridge"/>
    <x v="0"/>
    <n v="1009"/>
    <n v="99.58"/>
    <n v="0"/>
    <n v="0"/>
    <n v="0"/>
    <n v="114.64"/>
    <n v="0"/>
    <n v="0"/>
    <n v="0"/>
    <n v="0"/>
    <n v="0"/>
    <n v="0"/>
    <n v="0"/>
    <n v="214.22"/>
    <n v="0"/>
  </r>
  <r>
    <x v="11"/>
    <x v="6"/>
    <x v="0"/>
    <s v="3812107"/>
    <n v="721610"/>
    <s v="Supplies-Anesthesia - Nonbillable"/>
    <s v="Urgent Care-Bainbridge"/>
    <x v="0"/>
    <m/>
    <n v="0"/>
    <n v="49.08"/>
    <n v="24.54"/>
    <n v="0"/>
    <n v="24.54"/>
    <n v="0"/>
    <n v="24.54"/>
    <n v="0"/>
    <n v="0"/>
    <n v="0"/>
    <n v="0"/>
    <n v="24.54"/>
    <n v="147.23999999999998"/>
    <n v="-24.54"/>
  </r>
  <r>
    <x v="11"/>
    <x v="6"/>
    <x v="0"/>
    <s v="3812107"/>
    <n v="721640"/>
    <s v="Supplies-IV Solutions/Supplies - Nonbillable"/>
    <s v="Urgent Care-Bainbridge"/>
    <x v="0"/>
    <m/>
    <n v="316.8"/>
    <n v="105.6"/>
    <n v="105.6"/>
    <n v="211.2"/>
    <n v="105.6"/>
    <n v="0"/>
    <n v="211.2"/>
    <n v="0"/>
    <n v="0"/>
    <n v="0"/>
    <n v="0"/>
    <n v="0"/>
    <n v="1056"/>
    <n v="0"/>
  </r>
  <r>
    <x v="11"/>
    <x v="6"/>
    <x v="0"/>
    <s v="3812107"/>
    <n v="721650"/>
    <s v="Supplies-Pharmacy Drugs - Nonbillable"/>
    <s v="Urgent Care-Bainbridge"/>
    <x v="0"/>
    <m/>
    <n v="5.84"/>
    <n v="0"/>
    <n v="0"/>
    <n v="0"/>
    <n v="0"/>
    <n v="3.89"/>
    <n v="0"/>
    <n v="0"/>
    <n v="0"/>
    <n v="5.13"/>
    <n v="0"/>
    <n v="0"/>
    <n v="14.86"/>
    <n v="0"/>
  </r>
  <r>
    <x v="11"/>
    <x v="6"/>
    <x v="0"/>
    <s v="3812107"/>
    <n v="721710"/>
    <s v="Supplies-Laboratory - Nonbillable"/>
    <s v="Urgent Care-Bainbridge"/>
    <x v="0"/>
    <m/>
    <n v="141.47999999999999"/>
    <n v="276.95"/>
    <n v="220.13"/>
    <n v="967.54"/>
    <n v="2334.52"/>
    <n v="131.4"/>
    <n v="203.35"/>
    <n v="516.26"/>
    <n v="177.03"/>
    <n v="312.12"/>
    <n v="73.19"/>
    <n v="257.38"/>
    <n v="5611.3499999999995"/>
    <n v="-184.19"/>
  </r>
  <r>
    <x v="11"/>
    <x v="6"/>
    <x v="0"/>
    <s v="3812107"/>
    <n v="721710"/>
    <s v="Reagents"/>
    <s v="Urgent Care-Bainbridge"/>
    <x v="0"/>
    <n v="1000"/>
    <n v="4.95"/>
    <n v="27.46"/>
    <n v="27.46"/>
    <n v="590.22"/>
    <n v="393.48"/>
    <n v="0"/>
    <n v="0"/>
    <n v="47.14"/>
    <n v="47.14"/>
    <n v="0"/>
    <n v="0"/>
    <n v="40.020000000000003"/>
    <n v="1177.8700000000003"/>
    <n v="-40.020000000000003"/>
  </r>
  <r>
    <x v="11"/>
    <x v="6"/>
    <x v="0"/>
    <s v="3812107"/>
    <n v="721750"/>
    <s v="Supplies-Film/Radiographic - Nonbillable"/>
    <s v="Urgent Care-Bainbridge"/>
    <x v="0"/>
    <m/>
    <n v="0"/>
    <n v="0"/>
    <n v="1.87"/>
    <n v="0"/>
    <n v="0"/>
    <n v="0"/>
    <n v="0"/>
    <n v="0"/>
    <n v="0"/>
    <n v="0"/>
    <n v="0"/>
    <n v="0"/>
    <n v="1.87"/>
    <n v="0"/>
  </r>
  <r>
    <x v="11"/>
    <x v="6"/>
    <x v="0"/>
    <s v="3812107"/>
    <n v="721810"/>
    <s v="Supplies-Dietary/Cafeteria"/>
    <s v="Urgent Care-Bainbridge"/>
    <x v="0"/>
    <m/>
    <n v="185"/>
    <n v="28.32"/>
    <n v="88"/>
    <n v="95"/>
    <n v="0"/>
    <n v="0"/>
    <n v="32.65"/>
    <n v="216.5"/>
    <n v="13.41"/>
    <n v="0"/>
    <n v="64.5"/>
    <n v="0"/>
    <n v="723.38"/>
    <n v="64.5"/>
  </r>
  <r>
    <x v="11"/>
    <x v="6"/>
    <x v="0"/>
    <s v="3812107"/>
    <n v="721830"/>
    <s v="Supplies-Office"/>
    <s v="Urgent Care-Bainbridge"/>
    <x v="0"/>
    <m/>
    <n v="82.62"/>
    <n v="15.2"/>
    <n v="54.33"/>
    <n v="76.2"/>
    <n v="105.62"/>
    <n v="0"/>
    <n v="9.5"/>
    <n v="0"/>
    <n v="157.83000000000001"/>
    <n v="-20.420000000000002"/>
    <n v="0"/>
    <n v="0"/>
    <n v="480.88000000000005"/>
    <n v="0"/>
  </r>
  <r>
    <x v="11"/>
    <x v="6"/>
    <x v="0"/>
    <s v="3812107"/>
    <n v="721870"/>
    <s v="Supplies-Environmental Services"/>
    <s v="Urgent Care-Bainbridge"/>
    <x v="0"/>
    <m/>
    <n v="116.41"/>
    <n v="87.99"/>
    <n v="122.4"/>
    <n v="23.64"/>
    <n v="51.93"/>
    <n v="549.17999999999995"/>
    <n v="35.54"/>
    <n v="30.26"/>
    <n v="154.66"/>
    <n v="39.24"/>
    <n v="11.82"/>
    <n v="106.92"/>
    <n v="1329.99"/>
    <n v="-95.1"/>
  </r>
  <r>
    <x v="11"/>
    <x v="6"/>
    <x v="0"/>
    <s v="3812107"/>
    <n v="721880"/>
    <s v="Supplies-Linen"/>
    <s v="Urgent Care-Bainbridge"/>
    <x v="0"/>
    <m/>
    <n v="19.8"/>
    <n v="19.8"/>
    <n v="19.8"/>
    <n v="39.6"/>
    <n v="0"/>
    <n v="26.88"/>
    <n v="26.88"/>
    <n v="0"/>
    <n v="26.88"/>
    <n v="0"/>
    <n v="19.8"/>
    <n v="0"/>
    <n v="199.44"/>
    <n v="19.8"/>
  </r>
  <r>
    <x v="11"/>
    <x v="6"/>
    <x v="0"/>
    <s v="3812107"/>
    <n v="721910"/>
    <s v="Supplies-Small Equipment"/>
    <s v="Urgent Care-Bainbridge"/>
    <x v="0"/>
    <m/>
    <n v="7.68"/>
    <n v="0"/>
    <n v="0"/>
    <n v="0"/>
    <n v="0"/>
    <n v="9.1199999999999992"/>
    <n v="0"/>
    <n v="0"/>
    <n v="0"/>
    <n v="62.72"/>
    <n v="4.08"/>
    <n v="0"/>
    <n v="83.6"/>
    <n v="4.08"/>
  </r>
  <r>
    <x v="11"/>
    <x v="6"/>
    <x v="0"/>
    <s v="3812107"/>
    <n v="721910"/>
    <s v="Instruments"/>
    <s v="Urgent Care-Bainbridge"/>
    <x v="0"/>
    <n v="1000"/>
    <n v="0"/>
    <n v="18.190000000000001"/>
    <n v="0"/>
    <n v="36.380000000000003"/>
    <n v="0"/>
    <n v="310.64999999999998"/>
    <n v="-25.65"/>
    <n v="0"/>
    <n v="0"/>
    <n v="0"/>
    <n v="0"/>
    <n v="0"/>
    <n v="339.57"/>
    <n v="0"/>
  </r>
  <r>
    <x v="11"/>
    <x v="6"/>
    <x v="0"/>
    <s v="3812107"/>
    <n v="721980"/>
    <s v="Supplies-Other"/>
    <s v="Urgent Care-Bainbridge"/>
    <x v="0"/>
    <m/>
    <n v="142.29"/>
    <n v="96.34"/>
    <n v="28"/>
    <n v="80.72"/>
    <n v="13.86"/>
    <n v="14"/>
    <n v="0"/>
    <n v="53.58"/>
    <n v="27.72"/>
    <n v="0"/>
    <n v="0"/>
    <n v="29.43"/>
    <n v="485.94"/>
    <n v="-29.43"/>
  </r>
  <r>
    <x v="11"/>
    <x v="6"/>
    <x v="0"/>
    <s v="3812107"/>
    <n v="722000"/>
    <s v="Supplies-Freight Expense"/>
    <s v="Urgent Care-Bainbridge"/>
    <x v="0"/>
    <m/>
    <n v="8.8699999999999992"/>
    <n v="8.49"/>
    <n v="0"/>
    <n v="6.77"/>
    <n v="0"/>
    <n v="49.36"/>
    <n v="16.53"/>
    <n v="0"/>
    <n v="0"/>
    <n v="8.26"/>
    <n v="9.94"/>
    <n v="10.52"/>
    <n v="118.74"/>
    <n v="-0.58000000000000007"/>
  </r>
  <r>
    <x v="12"/>
    <x v="6"/>
    <x v="0"/>
    <s v="3812107"/>
    <n v="730020"/>
    <s v="Rental and Leases-Copier Usage Fees (DO NOT USE)"/>
    <s v="Urgent Care-Bainbridge"/>
    <x v="0"/>
    <n v="5100"/>
    <n v="105.82"/>
    <n v="107.16"/>
    <n v="106.49"/>
    <n v="106.49"/>
    <n v="106.49"/>
    <n v="106.49"/>
    <n v="146.04"/>
    <n v="104.69"/>
    <n v="104.47"/>
    <n v="109.51"/>
    <n v="104.69"/>
    <n v="116.78"/>
    <n v="1325.12"/>
    <n v="-12.090000000000003"/>
  </r>
  <r>
    <x v="15"/>
    <x v="6"/>
    <x v="0"/>
    <s v="3812107"/>
    <n v="731060"/>
    <s v="Telephone"/>
    <s v="Urgent Care-Bainbridge"/>
    <x v="0"/>
    <m/>
    <n v="163.46"/>
    <n v="155.49"/>
    <n v="155.49"/>
    <n v="156.16999999999999"/>
    <n v="156.19"/>
    <n v="156.19"/>
    <n v="156.16999999999999"/>
    <n v="156.16999999999999"/>
    <n v="156.16999999999999"/>
    <n v="155.76"/>
    <n v="162.91999999999999"/>
    <n v="162.91999999999999"/>
    <n v="1893.1000000000004"/>
    <n v="0"/>
  </r>
  <r>
    <x v="16"/>
    <x v="6"/>
    <x v="0"/>
    <s v="3812107"/>
    <n v="732020"/>
    <s v="Repairs--Clin Equip-Parts-Internal to CHI Programs"/>
    <s v="Urgent Care-Bainbridge"/>
    <x v="0"/>
    <m/>
    <n v="0"/>
    <n v="0"/>
    <n v="0"/>
    <n v="0"/>
    <n v="73.709999999999994"/>
    <n v="0"/>
    <n v="0"/>
    <n v="0"/>
    <n v="0"/>
    <n v="0"/>
    <n v="0"/>
    <n v="0"/>
    <n v="73.709999999999994"/>
    <n v="0"/>
  </r>
  <r>
    <x v="13"/>
    <x v="6"/>
    <x v="0"/>
    <s v="3812107"/>
    <n v="735070"/>
    <s v="Depreciation-Movable Equipment"/>
    <s v="Urgent Care-Bainbridge"/>
    <x v="0"/>
    <m/>
    <n v="1794.45"/>
    <n v="1794.45"/>
    <n v="1794.45"/>
    <n v="1794.45"/>
    <n v="1794.46"/>
    <n v="1794.45"/>
    <n v="1794.47"/>
    <n v="1794.44"/>
    <n v="1794.47"/>
    <n v="1794.44"/>
    <n v="1794.48"/>
    <n v="1794.44"/>
    <n v="21533.449999999997"/>
    <n v="3.999999999996362E-2"/>
  </r>
  <r>
    <x v="0"/>
    <x v="6"/>
    <x v="0"/>
    <s v="3812107"/>
    <n v="749510"/>
    <s v="Miscellaneous Expenses"/>
    <s v="Urgent Care-Bainbridge"/>
    <x v="0"/>
    <m/>
    <n v="0"/>
    <n v="-110"/>
    <n v="0"/>
    <n v="0"/>
    <n v="0"/>
    <n v="0"/>
    <n v="535"/>
    <n v="34.65"/>
    <n v="0"/>
    <n v="0"/>
    <n v="0"/>
    <n v="0"/>
    <n v="459.65"/>
    <n v="0"/>
  </r>
  <r>
    <x v="0"/>
    <x v="6"/>
    <x v="0"/>
    <s v="3812107"/>
    <n v="749510"/>
    <s v="Licenses"/>
    <s v="Urgent Care-Bainbridge"/>
    <x v="0"/>
    <n v="1002"/>
    <n v="0"/>
    <n v="0"/>
    <n v="112.5"/>
    <n v="0"/>
    <n v="0"/>
    <n v="0"/>
    <n v="0"/>
    <n v="0"/>
    <n v="0"/>
    <n v="0"/>
    <n v="0"/>
    <n v="0"/>
    <n v="112.5"/>
    <n v="0"/>
  </r>
  <r>
    <x v="18"/>
    <x v="10"/>
    <x v="0"/>
    <s v="3950306"/>
    <n v="400010"/>
    <s v="Acute I/P Svcs Rev--Medicare"/>
    <s v="NRH Nursing-LTACH"/>
    <x v="0"/>
    <n v="1100"/>
    <n v="-1132198.04"/>
    <n v="-707225.24"/>
    <n v="-516464.44"/>
    <n v="-760029.15"/>
    <n v="-856836.95"/>
    <n v="-571182.98"/>
    <n v="-629277.81999999995"/>
    <n v="-700940.56"/>
    <n v="-694591.42"/>
    <n v="-642484.81999999995"/>
    <n v="-781883.23"/>
    <n v="-660478.03"/>
    <n v="-8653592.6800000016"/>
    <n v="-121405.19999999995"/>
  </r>
  <r>
    <x v="18"/>
    <x v="10"/>
    <x v="0"/>
    <s v="3950306"/>
    <n v="400010"/>
    <s v="Acute I/P Svcs Rev--Medicaid"/>
    <s v="NRH Nursing-LTACH"/>
    <x v="0"/>
    <n v="1200"/>
    <n v="-136462.38"/>
    <n v="-150442.49"/>
    <n v="0"/>
    <n v="-54836.28"/>
    <n v="41130.720000000001"/>
    <n v="-95282.09"/>
    <n v="-175416.24"/>
    <n v="-97687.98"/>
    <n v="-107182.44"/>
    <n v="-142412.07999999999"/>
    <n v="-102283.97"/>
    <n v="0"/>
    <n v="-1020875.2299999999"/>
    <n v="-102283.97"/>
  </r>
  <r>
    <x v="18"/>
    <x v="10"/>
    <x v="0"/>
    <s v="3950306"/>
    <n v="400010"/>
    <s v="Acute I/P Svcs Rev--Comm Insurance"/>
    <s v="NRH Nursing-LTACH"/>
    <x v="0"/>
    <n v="1300"/>
    <n v="0"/>
    <n v="0"/>
    <n v="0"/>
    <n v="0"/>
    <n v="0"/>
    <n v="0"/>
    <n v="0"/>
    <n v="-59456"/>
    <n v="0"/>
    <n v="0"/>
    <n v="0"/>
    <n v="0"/>
    <n v="-59456"/>
    <n v="0"/>
  </r>
  <r>
    <x v="18"/>
    <x v="10"/>
    <x v="0"/>
    <s v="3950306"/>
    <n v="400010"/>
    <s v="Acute I/P Svcs Rev--BCBS Comm"/>
    <s v="NRH Nursing-LTACH"/>
    <x v="0"/>
    <n v="1301"/>
    <n v="-28794.28"/>
    <n v="-4006.14"/>
    <n v="-58701.47"/>
    <n v="-21461"/>
    <n v="-59482.62"/>
    <n v="0"/>
    <n v="-44977.14"/>
    <n v="-132654.91"/>
    <n v="-107300.23"/>
    <n v="-127668.98"/>
    <n v="-32307.279999999999"/>
    <n v="-36917.83"/>
    <n v="-654271.88"/>
    <n v="4610.5500000000029"/>
  </r>
  <r>
    <x v="18"/>
    <x v="10"/>
    <x v="0"/>
    <s v="3950306"/>
    <n v="400010"/>
    <s v="Acute I/P Svcs Rev--Managed Care"/>
    <s v="NRH Nursing-LTACH"/>
    <x v="0"/>
    <n v="1400"/>
    <n v="480663.95"/>
    <n v="-98324.06"/>
    <n v="-160443.03"/>
    <n v="-164510.03"/>
    <n v="-61362.53"/>
    <n v="-63961.36"/>
    <n v="-62011.96"/>
    <n v="-152760"/>
    <n v="-245799.79"/>
    <n v="-202577.85"/>
    <n v="-174899.87"/>
    <n v="-208372.86"/>
    <n v="-1114359.3900000001"/>
    <n v="33472.989999999991"/>
  </r>
  <r>
    <x v="18"/>
    <x v="10"/>
    <x v="0"/>
    <s v="3950306"/>
    <n v="400010"/>
    <s v="Acute I/P Svcs Rev--Self Pay"/>
    <s v="NRH Nursing-LTACH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3950306"/>
    <n v="400010"/>
    <s v="Acute I/P Svcs Rev--Other"/>
    <s v="NRH Nursing-LTACH"/>
    <x v="0"/>
    <n v="1700"/>
    <n v="-56579"/>
    <n v="0"/>
    <n v="0"/>
    <n v="0"/>
    <n v="0"/>
    <n v="0"/>
    <n v="-23412"/>
    <n v="-47065.37"/>
    <n v="-4020"/>
    <n v="0"/>
    <n v="0"/>
    <n v="0"/>
    <n v="-131076.37"/>
    <n v="0"/>
  </r>
  <r>
    <x v="5"/>
    <x v="10"/>
    <x v="0"/>
    <s v="3950306"/>
    <n v="700014"/>
    <s v="Salaries-Management-Productive"/>
    <s v="NRH Nursing-LTACH"/>
    <x v="0"/>
    <m/>
    <n v="10975.34"/>
    <n v="10975.84"/>
    <n v="10126.25"/>
    <n v="10183.049999999999"/>
    <n v="10859.71"/>
    <n v="6805.82"/>
    <n v="10586.37"/>
    <n v="9462.1"/>
    <n v="11419.79"/>
    <n v="10875.65"/>
    <n v="7287.06"/>
    <n v="10223.51"/>
    <n v="119780.48999999998"/>
    <n v="-2936.45"/>
  </r>
  <r>
    <x v="5"/>
    <x v="10"/>
    <x v="0"/>
    <s v="3950306"/>
    <n v="700014"/>
    <s v="Salaries-Management-Other"/>
    <s v="NRH Nursing-LTAC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0"/>
    <x v="0"/>
    <s v="3950306"/>
    <n v="700026"/>
    <s v="Salaries-RN-Productive"/>
    <s v="NRH Nursing-LTACH"/>
    <x v="0"/>
    <m/>
    <n v="174599.32"/>
    <n v="202282.89"/>
    <n v="170175.03"/>
    <n v="228373.6"/>
    <n v="176388.68"/>
    <n v="139083.46"/>
    <n v="176168.01"/>
    <n v="248215.83"/>
    <n v="228877.49"/>
    <n v="207847.75"/>
    <n v="216173.25"/>
    <n v="155095.56"/>
    <n v="2323280.87"/>
    <n v="61077.69"/>
  </r>
  <r>
    <x v="5"/>
    <x v="10"/>
    <x v="0"/>
    <s v="3950306"/>
    <n v="700026"/>
    <s v="Salaries-RN-OT"/>
    <s v="NRH Nursing-LTACH"/>
    <x v="0"/>
    <n v="1000"/>
    <n v="8424.06"/>
    <n v="13886.38"/>
    <n v="10805.06"/>
    <n v="8734.15"/>
    <n v="13782.57"/>
    <n v="2638.06"/>
    <n v="9255.83"/>
    <n v="11474.33"/>
    <n v="12104"/>
    <n v="6250.72"/>
    <n v="3242.01"/>
    <n v="4319.09"/>
    <n v="104916.26"/>
    <n v="-1077.08"/>
  </r>
  <r>
    <x v="5"/>
    <x v="10"/>
    <x v="0"/>
    <s v="3950306"/>
    <n v="700026"/>
    <s v="Salaries-RN-Other"/>
    <s v="NRH Nursing-LTACH"/>
    <x v="0"/>
    <n v="2000"/>
    <n v="14893.24"/>
    <n v="16306.58"/>
    <n v="15884.45"/>
    <n v="17810.62"/>
    <n v="17697.169999999998"/>
    <n v="13817.28"/>
    <n v="17941.91"/>
    <n v="22294.55"/>
    <n v="20412.349999999999"/>
    <n v="20726.75"/>
    <n v="18549.04"/>
    <n v="25530.92"/>
    <n v="221864.86"/>
    <n v="-6981.8799999999974"/>
  </r>
  <r>
    <x v="5"/>
    <x v="10"/>
    <x v="0"/>
    <s v="3950306"/>
    <n v="700032"/>
    <s v="Salaries-Other Pat Care Providers-Productive"/>
    <s v="NRH Nursing-LTACH"/>
    <x v="0"/>
    <m/>
    <n v="62754.53"/>
    <n v="64714.51"/>
    <n v="55098.9"/>
    <n v="82486.710000000006"/>
    <n v="71862.98"/>
    <n v="58611.64"/>
    <n v="67562.83"/>
    <n v="78331.25"/>
    <n v="76264.34"/>
    <n v="74326.86"/>
    <n v="75941.97"/>
    <n v="56391.360000000001"/>
    <n v="824347.88"/>
    <n v="19550.61"/>
  </r>
  <r>
    <x v="5"/>
    <x v="10"/>
    <x v="0"/>
    <s v="3950306"/>
    <n v="700032"/>
    <s v="Salaries-Other Pat Care Providers-OT"/>
    <s v="NRH Nursing-LTACH"/>
    <x v="0"/>
    <n v="1000"/>
    <n v="4656.53"/>
    <n v="4617.7700000000004"/>
    <n v="-703.77"/>
    <n v="472.81"/>
    <n v="2415.0700000000002"/>
    <n v="262.47000000000003"/>
    <n v="1494.03"/>
    <n v="3824.7"/>
    <n v="4930.9399999999996"/>
    <n v="1987.49"/>
    <n v="2652.53"/>
    <n v="179.38"/>
    <n v="26789.949999999997"/>
    <n v="2473.15"/>
  </r>
  <r>
    <x v="5"/>
    <x v="10"/>
    <x v="0"/>
    <s v="3950306"/>
    <n v="700032"/>
    <s v="Salaries-Other Pat Care Providers-Other"/>
    <s v="NRH Nursing-LTACH"/>
    <x v="0"/>
    <n v="2000"/>
    <n v="4317.6400000000003"/>
    <n v="3931.95"/>
    <n v="3026.24"/>
    <n v="5116.58"/>
    <n v="5294.28"/>
    <n v="3301.66"/>
    <n v="4309.8900000000003"/>
    <n v="4595.96"/>
    <n v="4876.6000000000004"/>
    <n v="4529.63"/>
    <n v="4843.45"/>
    <n v="11639.87"/>
    <n v="59783.749999999993"/>
    <n v="-6796.420000000001"/>
  </r>
  <r>
    <x v="5"/>
    <x v="10"/>
    <x v="0"/>
    <s v="3950306"/>
    <n v="700034"/>
    <s v="Salaries-Tech/Professional-Productive"/>
    <s v="NRH Nursing-LTACH"/>
    <x v="0"/>
    <m/>
    <n v="0"/>
    <n v="0"/>
    <n v="0"/>
    <n v="1713.73"/>
    <n v="1135.04"/>
    <n v="-677.61"/>
    <n v="0"/>
    <n v="0"/>
    <n v="0"/>
    <n v="0"/>
    <n v="0"/>
    <n v="0"/>
    <n v="2171.16"/>
    <n v="0"/>
  </r>
  <r>
    <x v="5"/>
    <x v="10"/>
    <x v="0"/>
    <s v="3950306"/>
    <n v="700034"/>
    <s v="Salaries-Tech/Professional-OT"/>
    <s v="NRH Nursing-LTACH"/>
    <x v="0"/>
    <n v="1000"/>
    <n v="0"/>
    <n v="0"/>
    <n v="0"/>
    <n v="0"/>
    <n v="270.33"/>
    <n v="-130.15"/>
    <n v="0"/>
    <n v="0"/>
    <n v="0"/>
    <n v="0"/>
    <n v="0"/>
    <n v="0"/>
    <n v="140.17999999999998"/>
    <n v="0"/>
  </r>
  <r>
    <x v="5"/>
    <x v="10"/>
    <x v="0"/>
    <s v="3950306"/>
    <n v="700034"/>
    <s v="Salaries-Tech/Professional-Other"/>
    <s v="NRH Nursing-LTACH"/>
    <x v="0"/>
    <n v="2000"/>
    <n v="0"/>
    <n v="0"/>
    <n v="0"/>
    <n v="0"/>
    <n v="15.42"/>
    <n v="-7.42"/>
    <n v="0"/>
    <n v="0"/>
    <n v="0"/>
    <n v="0"/>
    <n v="0"/>
    <n v="0"/>
    <n v="8"/>
    <n v="0"/>
  </r>
  <r>
    <x v="5"/>
    <x v="10"/>
    <x v="0"/>
    <s v="3950306"/>
    <n v="700054"/>
    <s v="Salaries-Management-Non-productive"/>
    <s v="NRH Nursing-LTACH"/>
    <x v="0"/>
    <m/>
    <n v="0"/>
    <n v="0"/>
    <n v="495.68"/>
    <n v="991.36"/>
    <n v="0"/>
    <n v="4416.25"/>
    <n v="653.24"/>
    <n v="688.77"/>
    <n v="-181.23"/>
    <n v="0"/>
    <n v="3951.48"/>
    <n v="652.64"/>
    <n v="11668.189999999999"/>
    <n v="3298.84"/>
  </r>
  <r>
    <x v="5"/>
    <x v="10"/>
    <x v="0"/>
    <s v="3950306"/>
    <n v="700054"/>
    <s v="Salaries-Management-NonProd-Other"/>
    <s v="NRH Nursing-LTACH"/>
    <x v="0"/>
    <n v="2000"/>
    <n v="0"/>
    <n v="0"/>
    <n v="0"/>
    <n v="0"/>
    <n v="0"/>
    <n v="19.68"/>
    <n v="-19.68"/>
    <n v="0"/>
    <n v="0"/>
    <n v="0"/>
    <n v="0"/>
    <n v="0"/>
    <n v="0"/>
    <n v="0"/>
  </r>
  <r>
    <x v="5"/>
    <x v="10"/>
    <x v="0"/>
    <s v="3950306"/>
    <n v="700066"/>
    <s v="Salaries-RN-Non-productive"/>
    <s v="NRH Nursing-LTACH"/>
    <x v="0"/>
    <m/>
    <n v="27337.03"/>
    <n v="21879.37"/>
    <n v="36385.32"/>
    <n v="16795.68"/>
    <n v="8378.32"/>
    <n v="43215.86"/>
    <n v="34891.800000000003"/>
    <n v="14043.99"/>
    <n v="15075.95"/>
    <n v="15193.95"/>
    <n v="14566.48"/>
    <n v="37750.089999999997"/>
    <n v="285513.84000000003"/>
    <n v="-23183.609999999997"/>
  </r>
  <r>
    <x v="5"/>
    <x v="10"/>
    <x v="0"/>
    <s v="3950306"/>
    <n v="700066"/>
    <s v="Salaries-RN-NonProd-Other"/>
    <s v="NRH Nursing-LTACH"/>
    <x v="0"/>
    <n v="2000"/>
    <n v="1458.05"/>
    <n v="1619.16"/>
    <n v="1527.41"/>
    <n v="943.11"/>
    <n v="525.16"/>
    <n v="1816.26"/>
    <n v="1032.0999999999999"/>
    <n v="666.68"/>
    <n v="622.27"/>
    <n v="1182.7"/>
    <n v="827.21"/>
    <n v="1493.64"/>
    <n v="13713.75"/>
    <n v="-666.43000000000006"/>
  </r>
  <r>
    <x v="5"/>
    <x v="10"/>
    <x v="0"/>
    <s v="3950306"/>
    <n v="700072"/>
    <s v="Salaries-Other Pat Care Providers-Non-productive"/>
    <s v="NRH Nursing-LTACH"/>
    <x v="0"/>
    <m/>
    <n v="17743.2"/>
    <n v="17587.7"/>
    <n v="14180.7"/>
    <n v="7595.75"/>
    <n v="6299.12"/>
    <n v="11179.11"/>
    <n v="12164.8"/>
    <n v="10309.959999999999"/>
    <n v="14790.4"/>
    <n v="7350.69"/>
    <n v="8675.0400000000009"/>
    <n v="22109.68"/>
    <n v="149986.15000000002"/>
    <n v="-13434.64"/>
  </r>
  <r>
    <x v="5"/>
    <x v="10"/>
    <x v="0"/>
    <s v="3950306"/>
    <n v="700072"/>
    <s v="Salaries-Other Pat Care Providers-NonProd-Other"/>
    <s v="NRH Nursing-LTACH"/>
    <x v="0"/>
    <n v="2000"/>
    <n v="866.1"/>
    <n v="610.72"/>
    <n v="451.37"/>
    <n v="71.16"/>
    <n v="248.14"/>
    <n v="479.34"/>
    <n v="352.84"/>
    <n v="290.58"/>
    <n v="605.95000000000005"/>
    <n v="41.69"/>
    <n v="205.38"/>
    <n v="747.57"/>
    <n v="4970.84"/>
    <n v="-542.19000000000005"/>
  </r>
  <r>
    <x v="5"/>
    <x v="10"/>
    <x v="0"/>
    <s v="3950306"/>
    <n v="700084"/>
    <s v="Accrued PTO"/>
    <s v="NRH Nursing-LTACH"/>
    <x v="0"/>
    <m/>
    <n v="-7845.25"/>
    <n v="-43.36"/>
    <n v="-6320.63"/>
    <n v="13527.15"/>
    <n v="13986"/>
    <n v="-8639.77"/>
    <n v="4347.9399999999996"/>
    <n v="13957.95"/>
    <n v="18963.09"/>
    <n v="18450.580000000002"/>
    <n v="12297.91"/>
    <n v="-15545.51"/>
    <n v="57136.1"/>
    <n v="27843.42"/>
  </r>
  <r>
    <x v="10"/>
    <x v="10"/>
    <x v="0"/>
    <s v="3950306"/>
    <n v="710060"/>
    <s v="Contract Labor-Other"/>
    <s v="NRH Nursing-LTACH"/>
    <x v="0"/>
    <m/>
    <n v="14335.24"/>
    <n v="9600.74"/>
    <n v="4240.8999999999996"/>
    <n v="13068.45"/>
    <n v="9541.85"/>
    <n v="-4942.1499999999996"/>
    <n v="0"/>
    <n v="0"/>
    <n v="4781.3999999999996"/>
    <n v="4985.26"/>
    <n v="-3933.6"/>
    <n v="0"/>
    <n v="51678.090000000004"/>
    <n v="-3933.6"/>
  </r>
  <r>
    <x v="10"/>
    <x v="10"/>
    <x v="0"/>
    <s v="3950306"/>
    <n v="710060"/>
    <s v="Contract Labor-Overtime"/>
    <s v="NRH Nursing-LTACH"/>
    <x v="0"/>
    <n v="5100"/>
    <n v="3521.87"/>
    <n v="191.94"/>
    <n v="0"/>
    <n v="0"/>
    <n v="0"/>
    <n v="982.46"/>
    <n v="0"/>
    <n v="0"/>
    <n v="0"/>
    <n v="0"/>
    <n v="0"/>
    <n v="0"/>
    <n v="4696.2700000000004"/>
    <n v="0"/>
  </r>
  <r>
    <x v="6"/>
    <x v="10"/>
    <x v="0"/>
    <s v="3950306"/>
    <n v="713010"/>
    <s v="Benefits-FICA/Medicare"/>
    <s v="NRH Nursing-LTACH"/>
    <x v="0"/>
    <m/>
    <n v="24240.85"/>
    <n v="25624.799999999999"/>
    <n v="22040.6"/>
    <n v="25264.46"/>
    <n v="19602.21"/>
    <n v="19567.79"/>
    <n v="25178.93"/>
    <n v="30372.26"/>
    <n v="29363.82"/>
    <n v="26308.66"/>
    <n v="26927.81"/>
    <n v="24393.79"/>
    <n v="298885.98"/>
    <n v="2534.0200000000004"/>
  </r>
  <r>
    <x v="6"/>
    <x v="10"/>
    <x v="0"/>
    <s v="3950306"/>
    <n v="713090"/>
    <s v="Benefits-Allocated Amounts"/>
    <s v="NRH Nursing-LTACH"/>
    <x v="0"/>
    <m/>
    <n v="59351.15"/>
    <n v="73454.45"/>
    <n v="68007.259999999995"/>
    <n v="69052.820000000007"/>
    <n v="66259.64"/>
    <n v="68049.440000000002"/>
    <n v="66390.69"/>
    <n v="73168.77"/>
    <n v="81734.559999999998"/>
    <n v="72614.14"/>
    <n v="70480.83"/>
    <n v="70119.34"/>
    <n v="838683.09"/>
    <n v="361.49000000000524"/>
  </r>
  <r>
    <x v="17"/>
    <x v="10"/>
    <x v="0"/>
    <s v="3950306"/>
    <n v="714520"/>
    <s v="Other Contracted Professionals"/>
    <s v="NRH Nursing-LTACH"/>
    <x v="0"/>
    <m/>
    <n v="0"/>
    <n v="0"/>
    <n v="350"/>
    <n v="350"/>
    <n v="0"/>
    <n v="0"/>
    <n v="350"/>
    <n v="700"/>
    <n v="0"/>
    <n v="0"/>
    <n v="0"/>
    <n v="700"/>
    <n v="2450"/>
    <n v="-700"/>
  </r>
  <r>
    <x v="7"/>
    <x v="10"/>
    <x v="0"/>
    <s v="3950306"/>
    <n v="718050"/>
    <s v="Contract Svcs-Other"/>
    <s v="NRH Nursing-LTACH"/>
    <x v="0"/>
    <m/>
    <n v="5624.51"/>
    <n v="0"/>
    <n v="0"/>
    <n v="0"/>
    <n v="0"/>
    <n v="0"/>
    <n v="1008.56"/>
    <n v="0"/>
    <n v="280.64999999999998"/>
    <n v="0"/>
    <n v="370.58"/>
    <n v="0"/>
    <n v="7284.2999999999993"/>
    <n v="370.58"/>
  </r>
  <r>
    <x v="7"/>
    <x v="10"/>
    <x v="0"/>
    <s v="3950306"/>
    <n v="718050"/>
    <s v="Miscellaneous Purchased Svcs"/>
    <s v="NRH Nursing-LTACH"/>
    <x v="0"/>
    <n v="1020"/>
    <n v="41409.769999999997"/>
    <n v="13159.04"/>
    <n v="10702.55"/>
    <n v="4820.6400000000003"/>
    <n v="5358.24"/>
    <n v="46318.95"/>
    <n v="-31682.71"/>
    <n v="8726.5"/>
    <n v="731.22"/>
    <n v="317.89999999999998"/>
    <n v="5047.79"/>
    <n v="4348.3999999999996"/>
    <n v="109258.29"/>
    <n v="699.39000000000033"/>
  </r>
  <r>
    <x v="7"/>
    <x v="10"/>
    <x v="0"/>
    <s v="3950306"/>
    <n v="718050"/>
    <s v="Translation Services"/>
    <s v="NRH Nursing-LTACH"/>
    <x v="0"/>
    <n v="1025"/>
    <n v="0"/>
    <n v="0"/>
    <n v="6455.7"/>
    <n v="14.4"/>
    <n v="3.2"/>
    <n v="15.2"/>
    <n v="12.8"/>
    <n v="16.2"/>
    <n v="0"/>
    <n v="12"/>
    <n v="129.85"/>
    <n v="7.2"/>
    <n v="6666.5499999999993"/>
    <n v="122.64999999999999"/>
  </r>
  <r>
    <x v="7"/>
    <x v="10"/>
    <x v="0"/>
    <s v="3950306"/>
    <n v="718050"/>
    <s v="Contract Management--Linen"/>
    <s v="NRH Nursing-LTACH"/>
    <x v="0"/>
    <n v="1026"/>
    <n v="7206.24"/>
    <n v="4849.8599999999997"/>
    <n v="5841.93"/>
    <n v="5555.7"/>
    <n v="6914.6"/>
    <n v="6206.84"/>
    <n v="6781.89"/>
    <n v="7679.57"/>
    <n v="8754.6200000000008"/>
    <n v="8181.93"/>
    <n v="9757.6299999999992"/>
    <n v="5171.88"/>
    <n v="82902.69"/>
    <n v="4585.7499999999991"/>
  </r>
  <r>
    <x v="7"/>
    <x v="10"/>
    <x v="0"/>
    <s v="3950306"/>
    <n v="718050"/>
    <s v="Purchased Srvcs--Medical Waste"/>
    <s v="NRH Nursing-LTACH"/>
    <x v="0"/>
    <n v="1027"/>
    <n v="0"/>
    <n v="0"/>
    <n v="627.17999999999995"/>
    <n v="0"/>
    <n v="0"/>
    <n v="0"/>
    <n v="0"/>
    <n v="40.479999999999997"/>
    <n v="0"/>
    <n v="0"/>
    <n v="0"/>
    <n v="0"/>
    <n v="667.66"/>
    <n v="0"/>
  </r>
  <r>
    <x v="11"/>
    <x v="10"/>
    <x v="0"/>
    <s v="3950306"/>
    <n v="721010"/>
    <s v="Supplies-Medical - Billable"/>
    <s v="NRH Nursing-LTACH"/>
    <x v="0"/>
    <m/>
    <n v="15619.02"/>
    <n v="7361.86"/>
    <n v="6931.27"/>
    <n v="6891.6"/>
    <n v="7745.4"/>
    <n v="9526.0499999999993"/>
    <n v="8004.71"/>
    <n v="7326.79"/>
    <n v="10270.280000000001"/>
    <n v="10758.9"/>
    <n v="8893.19"/>
    <n v="5151.6899999999996"/>
    <n v="104480.76"/>
    <n v="3741.5000000000009"/>
  </r>
  <r>
    <x v="11"/>
    <x v="10"/>
    <x v="0"/>
    <s v="3950306"/>
    <n v="721010"/>
    <s v="Patient Monitoring"/>
    <s v="NRH Nursing-LTACH"/>
    <x v="0"/>
    <n v="1000"/>
    <n v="120.48"/>
    <n v="150.16999999999999"/>
    <n v="89.99"/>
    <n v="111.98"/>
    <n v="371.78"/>
    <n v="55.99"/>
    <n v="181.36"/>
    <n v="112.76"/>
    <n v="294.11"/>
    <n v="132.76"/>
    <n v="163.1"/>
    <n v="13.12"/>
    <n v="1797.5999999999997"/>
    <n v="149.97999999999999"/>
  </r>
  <r>
    <x v="11"/>
    <x v="10"/>
    <x v="0"/>
    <s v="3950306"/>
    <n v="721020"/>
    <s v="Supplies-Surgical - Billable"/>
    <s v="NRH Nursing-LTACH"/>
    <x v="0"/>
    <m/>
    <n v="712.28"/>
    <n v="115.98"/>
    <n v="322.38"/>
    <n v="166.17"/>
    <n v="1571.55"/>
    <n v="263.51"/>
    <n v="319.24"/>
    <n v="132.24"/>
    <n v="125.93"/>
    <n v="270.22000000000003"/>
    <n v="241.25"/>
    <n v="244.88"/>
    <n v="4485.6299999999992"/>
    <n v="-3.6299999999999955"/>
  </r>
  <r>
    <x v="11"/>
    <x v="10"/>
    <x v="0"/>
    <s v="3950306"/>
    <n v="721020"/>
    <s v="Custom Packs"/>
    <s v="NRH Nursing-LTACH"/>
    <x v="0"/>
    <n v="1000"/>
    <n v="0"/>
    <n v="0"/>
    <n v="132.4"/>
    <n v="807.75"/>
    <n v="662.28"/>
    <n v="595.79999999999995"/>
    <n v="767.92"/>
    <n v="1098.92"/>
    <n v="781.16"/>
    <n v="1032.72"/>
    <n v="1204.8399999999999"/>
    <n v="370.72"/>
    <n v="7454.51"/>
    <n v="834.11999999999989"/>
  </r>
  <r>
    <x v="11"/>
    <x v="10"/>
    <x v="0"/>
    <s v="3950306"/>
    <n v="721020"/>
    <s v="Suture/Wound Closure"/>
    <s v="NRH Nursing-LTACH"/>
    <x v="0"/>
    <n v="1001"/>
    <n v="0"/>
    <n v="0"/>
    <n v="0"/>
    <n v="0"/>
    <n v="0"/>
    <n v="0"/>
    <n v="0"/>
    <n v="0"/>
    <n v="0"/>
    <n v="0"/>
    <n v="0"/>
    <n v="43.56"/>
    <n v="43.56"/>
    <n v="-43.56"/>
  </r>
  <r>
    <x v="11"/>
    <x v="10"/>
    <x v="0"/>
    <s v="3950306"/>
    <n v="721020"/>
    <s v="Urological Supplies"/>
    <s v="NRH Nursing-LTACH"/>
    <x v="0"/>
    <n v="1006"/>
    <n v="159.36000000000001"/>
    <n v="169.44"/>
    <n v="160.80000000000001"/>
    <n v="225.6"/>
    <n v="223.68"/>
    <n v="82.56"/>
    <n v="179.04"/>
    <n v="278.39999999999998"/>
    <n v="243.36"/>
    <n v="314.88"/>
    <n v="233.28"/>
    <n v="115.2"/>
    <n v="2385.6000000000004"/>
    <n v="118.08"/>
  </r>
  <r>
    <x v="11"/>
    <x v="10"/>
    <x v="0"/>
    <s v="3950306"/>
    <n v="721020"/>
    <s v="Tubes Drains &amp; Related Supplies"/>
    <s v="NRH Nursing-LTACH"/>
    <x v="0"/>
    <n v="1008"/>
    <n v="122.04"/>
    <n v="121.38"/>
    <n v="86.45"/>
    <n v="80.52"/>
    <n v="327.52999999999997"/>
    <n v="0"/>
    <n v="198.03"/>
    <n v="1097.6500000000001"/>
    <n v="0"/>
    <n v="0.84"/>
    <n v="0"/>
    <n v="169.54"/>
    <n v="2203.98"/>
    <n v="-169.54"/>
  </r>
  <r>
    <x v="11"/>
    <x v="10"/>
    <x v="0"/>
    <s v="3950306"/>
    <n v="721050"/>
    <s v="Supplies-Cardiac Rhythm - Billable"/>
    <s v="NRH Nursing-LTACH"/>
    <x v="0"/>
    <m/>
    <n v="0"/>
    <n v="0"/>
    <n v="0"/>
    <n v="0"/>
    <n v="0"/>
    <n v="0"/>
    <n v="0"/>
    <n v="0"/>
    <n v="0"/>
    <n v="-165"/>
    <n v="25"/>
    <n v="0"/>
    <n v="-140"/>
    <n v="25"/>
  </r>
  <r>
    <x v="11"/>
    <x v="10"/>
    <x v="0"/>
    <s v="3950306"/>
    <n v="721150"/>
    <s v="Supplies-Other Implants - Billable"/>
    <s v="NRH Nursing-LTACH"/>
    <x v="0"/>
    <m/>
    <n v="0"/>
    <n v="0"/>
    <n v="0"/>
    <n v="0"/>
    <n v="0"/>
    <n v="0"/>
    <n v="0"/>
    <n v="0"/>
    <n v="0"/>
    <n v="904.52"/>
    <n v="42.36"/>
    <n v="0"/>
    <n v="946.88"/>
    <n v="42.36"/>
  </r>
  <r>
    <x v="11"/>
    <x v="10"/>
    <x v="0"/>
    <s v="3950306"/>
    <n v="721240"/>
    <s v="Supplies-IV Solutions/Supplies - Billable"/>
    <s v="NRH Nursing-LTACH"/>
    <x v="0"/>
    <m/>
    <n v="1641.88"/>
    <n v="915.34"/>
    <n v="673.08"/>
    <n v="965.2"/>
    <n v="1901.33"/>
    <n v="930.03"/>
    <n v="1546.48"/>
    <n v="1386.95"/>
    <n v="1120.04"/>
    <n v="2782.15"/>
    <n v="979.97"/>
    <n v="1220.3399999999999"/>
    <n v="16062.79"/>
    <n v="-240.36999999999989"/>
  </r>
  <r>
    <x v="11"/>
    <x v="10"/>
    <x v="0"/>
    <s v="3950306"/>
    <n v="721350"/>
    <s v="Radiology Imaging - Contrast Media"/>
    <s v="NRH Nursing-LTACH"/>
    <x v="0"/>
    <n v="1000"/>
    <n v="4.72"/>
    <n v="2.2599999999999998"/>
    <n v="0"/>
    <n v="2.36"/>
    <n v="2.36"/>
    <n v="2.36"/>
    <n v="0"/>
    <n v="0"/>
    <n v="1.1299999999999999"/>
    <n v="2.2599999999999998"/>
    <n v="2.2599999999999998"/>
    <n v="0"/>
    <n v="19.709999999999994"/>
    <n v="2.2599999999999998"/>
  </r>
  <r>
    <x v="11"/>
    <x v="10"/>
    <x v="0"/>
    <s v="3950306"/>
    <n v="721410"/>
    <s v="Supplies-Medical - Nonbillable"/>
    <s v="NRH Nursing-LTACH"/>
    <x v="0"/>
    <m/>
    <n v="7533.65"/>
    <n v="7769.44"/>
    <n v="9049.3700000000008"/>
    <n v="8225.98"/>
    <n v="8543.73"/>
    <n v="6579.64"/>
    <n v="8721.4500000000007"/>
    <n v="9384.24"/>
    <n v="9528.17"/>
    <n v="4344.32"/>
    <n v="9176.09"/>
    <n v="5160.3500000000004"/>
    <n v="94016.43"/>
    <n v="4015.74"/>
  </r>
  <r>
    <x v="11"/>
    <x v="10"/>
    <x v="0"/>
    <s v="3950306"/>
    <n v="721410"/>
    <s v="Patient Monitoring"/>
    <s v="NRH Nursing-LTACH"/>
    <x v="0"/>
    <n v="1000"/>
    <n v="0"/>
    <n v="0"/>
    <n v="0"/>
    <n v="0"/>
    <n v="0"/>
    <n v="0"/>
    <n v="0"/>
    <n v="6921.2"/>
    <n v="0"/>
    <n v="0"/>
    <n v="0"/>
    <n v="0"/>
    <n v="6921.2"/>
    <n v="0"/>
  </r>
  <r>
    <x v="11"/>
    <x v="10"/>
    <x v="0"/>
    <s v="3950306"/>
    <n v="721420"/>
    <s v="Supplies-Surgical Nonbillable"/>
    <s v="NRH Nursing-LTACH"/>
    <x v="0"/>
    <m/>
    <n v="70.459999999999994"/>
    <n v="44.97"/>
    <n v="21.06"/>
    <n v="57.67"/>
    <n v="58.2"/>
    <n v="47.75"/>
    <n v="65.8"/>
    <n v="123.88"/>
    <n v="28.51"/>
    <n v="40.86"/>
    <n v="51.32"/>
    <n v="990.16"/>
    <n v="1600.6399999999999"/>
    <n v="-938.83999999999992"/>
  </r>
  <r>
    <x v="11"/>
    <x v="10"/>
    <x v="0"/>
    <s v="3950306"/>
    <n v="721420"/>
    <s v="Tubes Drains &amp; Related Supplies"/>
    <s v="NRH Nursing-LTACH"/>
    <x v="0"/>
    <n v="1008"/>
    <n v="6.44"/>
    <n v="0"/>
    <n v="0"/>
    <n v="0"/>
    <n v="105.58"/>
    <n v="0"/>
    <n v="0"/>
    <n v="0"/>
    <n v="33.380000000000003"/>
    <n v="0"/>
    <n v="2.68"/>
    <n v="0"/>
    <n v="148.08000000000001"/>
    <n v="2.68"/>
  </r>
  <r>
    <x v="11"/>
    <x v="10"/>
    <x v="0"/>
    <s v="3950306"/>
    <n v="721420"/>
    <s v="Sterilization Process Products"/>
    <s v="NRH Nursing-LTACH"/>
    <x v="0"/>
    <n v="1009"/>
    <n v="0"/>
    <n v="0"/>
    <n v="0"/>
    <n v="0"/>
    <n v="9.14"/>
    <n v="0"/>
    <n v="0"/>
    <n v="0"/>
    <n v="0"/>
    <n v="0"/>
    <n v="0"/>
    <n v="0"/>
    <n v="9.14"/>
    <n v="0"/>
  </r>
  <r>
    <x v="11"/>
    <x v="10"/>
    <x v="0"/>
    <s v="3950306"/>
    <n v="721610"/>
    <s v="Supplies-Anesthesia - Nonbillable"/>
    <s v="NRH Nursing-LTACH"/>
    <x v="0"/>
    <m/>
    <n v="601.61"/>
    <n v="0"/>
    <n v="0"/>
    <n v="438.69"/>
    <n v="372.76"/>
    <n v="237.36"/>
    <n v="22.7"/>
    <n v="153.80000000000001"/>
    <n v="752.11"/>
    <n v="-83.85"/>
    <n v="216.92"/>
    <n v="736.94"/>
    <n v="3449.0400000000004"/>
    <n v="-520.0200000000001"/>
  </r>
  <r>
    <x v="11"/>
    <x v="10"/>
    <x v="0"/>
    <s v="3950306"/>
    <n v="721640"/>
    <s v="Supplies-IV Solutions/Supplies - Nonbillable"/>
    <s v="NRH Nursing-LTACH"/>
    <x v="0"/>
    <m/>
    <n v="1545.12"/>
    <n v="1391.53"/>
    <n v="1424.94"/>
    <n v="1409.8"/>
    <n v="1580.11"/>
    <n v="1448.72"/>
    <n v="2036.21"/>
    <n v="2005.63"/>
    <n v="1646.22"/>
    <n v="1563.56"/>
    <n v="2089.6799999999998"/>
    <n v="799.66"/>
    <n v="18941.18"/>
    <n v="1290.02"/>
  </r>
  <r>
    <x v="11"/>
    <x v="10"/>
    <x v="0"/>
    <s v="3950306"/>
    <n v="721650"/>
    <s v="Supplies-Pharmacy Drugs - Nonbillable"/>
    <s v="NRH Nursing-LTACH"/>
    <x v="0"/>
    <m/>
    <n v="29.58"/>
    <n v="31.59"/>
    <n v="23.01"/>
    <n v="17.09"/>
    <n v="26.27"/>
    <n v="41.39"/>
    <n v="32.82"/>
    <n v="49.28"/>
    <n v="62.97"/>
    <n v="26.96"/>
    <n v="12.51"/>
    <n v="20.67"/>
    <n v="374.14"/>
    <n v="-8.1600000000000019"/>
  </r>
  <r>
    <x v="11"/>
    <x v="10"/>
    <x v="0"/>
    <s v="3950306"/>
    <n v="721710"/>
    <s v="Supplies-Laboratory - Nonbillable"/>
    <s v="NRH Nursing-LTACH"/>
    <x v="0"/>
    <m/>
    <n v="311.48"/>
    <n v="281.27"/>
    <n v="340.73"/>
    <n v="210.61"/>
    <n v="338.18"/>
    <n v="223.34"/>
    <n v="298.20999999999998"/>
    <n v="348.46"/>
    <n v="466.95"/>
    <n v="337.85"/>
    <n v="325.43"/>
    <n v="211.09"/>
    <n v="3693.6"/>
    <n v="114.34"/>
  </r>
  <r>
    <x v="11"/>
    <x v="10"/>
    <x v="0"/>
    <s v="3950306"/>
    <n v="721750"/>
    <s v="Supplies-Film/Radiographic - Nonbillable"/>
    <s v="NRH Nursing-LTACH"/>
    <x v="0"/>
    <m/>
    <n v="3.74"/>
    <n v="1.87"/>
    <n v="0"/>
    <n v="0"/>
    <n v="0"/>
    <n v="0"/>
    <n v="0"/>
    <n v="0.94"/>
    <n v="0"/>
    <n v="0.94"/>
    <n v="1.87"/>
    <n v="0"/>
    <n v="9.36"/>
    <n v="1.87"/>
  </r>
  <r>
    <x v="11"/>
    <x v="10"/>
    <x v="0"/>
    <s v="3950306"/>
    <n v="721810"/>
    <s v="Supplies-Dietary/Cafeteria"/>
    <s v="NRH Nursing-LTACH"/>
    <x v="0"/>
    <m/>
    <n v="5304.27"/>
    <n v="4208.4399999999996"/>
    <n v="5419.71"/>
    <n v="5897.23"/>
    <n v="3159.21"/>
    <n v="4553.25"/>
    <n v="6295.25"/>
    <n v="8349.32"/>
    <n v="22330.47"/>
    <n v="8535.14"/>
    <n v="7755.06"/>
    <n v="7202.62"/>
    <n v="89009.97"/>
    <n v="552.44000000000051"/>
  </r>
  <r>
    <x v="11"/>
    <x v="10"/>
    <x v="0"/>
    <s v="3950306"/>
    <n v="721830"/>
    <s v="Supplies-Office"/>
    <s v="NRH Nursing-LTACH"/>
    <x v="0"/>
    <m/>
    <n v="3.3"/>
    <n v="0"/>
    <n v="1144.1199999999999"/>
    <n v="155.5"/>
    <n v="134.81"/>
    <n v="8.4600000000000009"/>
    <n v="6.88"/>
    <n v="97.79"/>
    <n v="43.86"/>
    <n v="93.63"/>
    <n v="109.48"/>
    <n v="31.64"/>
    <n v="1829.47"/>
    <n v="77.84"/>
  </r>
  <r>
    <x v="11"/>
    <x v="10"/>
    <x v="0"/>
    <s v="3950306"/>
    <n v="721835"/>
    <s v="Supplies-Forms"/>
    <s v="NRH Nursing-LTACH"/>
    <x v="0"/>
    <m/>
    <n v="0"/>
    <n v="0"/>
    <n v="0"/>
    <n v="0"/>
    <n v="0"/>
    <n v="0"/>
    <n v="0"/>
    <n v="0"/>
    <n v="9"/>
    <n v="13.38"/>
    <n v="0"/>
    <n v="0"/>
    <n v="22.380000000000003"/>
    <n v="0"/>
  </r>
  <r>
    <x v="11"/>
    <x v="10"/>
    <x v="0"/>
    <s v="3950306"/>
    <n v="721870"/>
    <s v="Supplies-Environmental Services"/>
    <s v="NRH Nursing-LTACH"/>
    <x v="0"/>
    <m/>
    <n v="560.6"/>
    <n v="625.52"/>
    <n v="569.45000000000005"/>
    <n v="741.18"/>
    <n v="521.48"/>
    <n v="441.88"/>
    <n v="524.6"/>
    <n v="831.54"/>
    <n v="656.41"/>
    <n v="687.48"/>
    <n v="621.44000000000005"/>
    <n v="369.56"/>
    <n v="7151.14"/>
    <n v="251.88000000000005"/>
  </r>
  <r>
    <x v="11"/>
    <x v="10"/>
    <x v="0"/>
    <s v="3950306"/>
    <n v="721880"/>
    <s v="Supplies-Linen"/>
    <s v="NRH Nursing-LTACH"/>
    <x v="0"/>
    <m/>
    <n v="5090.24"/>
    <n v="-4909.76"/>
    <n v="45.12"/>
    <n v="45.12"/>
    <n v="135.36000000000001"/>
    <n v="90.24"/>
    <n v="270.72000000000003"/>
    <n v="180.48"/>
    <n v="135.36000000000001"/>
    <n v="180.48"/>
    <n v="180.48"/>
    <n v="180.48"/>
    <n v="1624.3199999999997"/>
    <n v="0"/>
  </r>
  <r>
    <x v="11"/>
    <x v="10"/>
    <x v="0"/>
    <s v="3950306"/>
    <n v="721910"/>
    <s v="Supplies-Small Equipment"/>
    <s v="NRH Nursing-LTACH"/>
    <x v="0"/>
    <m/>
    <n v="738.32"/>
    <n v="857.96"/>
    <n v="4391.6400000000003"/>
    <n v="1218.82"/>
    <n v="3514.88"/>
    <n v="1885.58"/>
    <n v="1204.4000000000001"/>
    <n v="3446.95"/>
    <n v="13088.84"/>
    <n v="2388.21"/>
    <n v="3004.18"/>
    <n v="712.8"/>
    <n v="36452.58"/>
    <n v="2291.38"/>
  </r>
  <r>
    <x v="11"/>
    <x v="10"/>
    <x v="0"/>
    <s v="3950306"/>
    <n v="721910"/>
    <s v="Instruments"/>
    <s v="NRH Nursing-LTACH"/>
    <x v="0"/>
    <n v="1000"/>
    <n v="134.79"/>
    <n v="12.98"/>
    <n v="112.04"/>
    <n v="-8.06"/>
    <n v="8.1300000000000008"/>
    <n v="39.51"/>
    <n v="112.16"/>
    <n v="6.44"/>
    <n v="27.06"/>
    <n v="38.299999999999997"/>
    <n v="418.18"/>
    <n v="-244.57"/>
    <n v="656.96"/>
    <n v="662.75"/>
  </r>
  <r>
    <x v="11"/>
    <x v="10"/>
    <x v="0"/>
    <s v="3950306"/>
    <n v="721980"/>
    <s v="Supplies-Other"/>
    <s v="NRH Nursing-LTACH"/>
    <x v="0"/>
    <m/>
    <n v="424.36"/>
    <n v="108.82"/>
    <n v="1209.95"/>
    <n v="38.22"/>
    <n v="2948.47"/>
    <n v="1084.76"/>
    <n v="101.97"/>
    <n v="53.26"/>
    <n v="2298.94"/>
    <n v="-113.47"/>
    <n v="316"/>
    <n v="0"/>
    <n v="8471.2799999999988"/>
    <n v="316"/>
  </r>
  <r>
    <x v="11"/>
    <x v="10"/>
    <x v="0"/>
    <s v="3950306"/>
    <n v="722000"/>
    <s v="Supplies-Freight Expense"/>
    <s v="NRH Nursing-LTACH"/>
    <x v="0"/>
    <m/>
    <n v="126.27"/>
    <n v="118.15"/>
    <n v="0"/>
    <n v="69.72"/>
    <n v="0"/>
    <n v="0"/>
    <n v="127.02"/>
    <n v="21.07"/>
    <n v="77.77"/>
    <n v="160.72"/>
    <n v="8.27"/>
    <n v="77.66"/>
    <n v="786.65"/>
    <n v="-69.39"/>
  </r>
  <r>
    <x v="12"/>
    <x v="10"/>
    <x v="0"/>
    <s v="3950306"/>
    <n v="730020"/>
    <s v="Rental and Leases-Equipment (DO NOT USE)"/>
    <s v="NRH Nursing-LTACH"/>
    <x v="0"/>
    <m/>
    <n v="0"/>
    <n v="313.5"/>
    <n v="0"/>
    <n v="0"/>
    <n v="560.96"/>
    <n v="898.9"/>
    <n v="0"/>
    <n v="0"/>
    <n v="0"/>
    <n v="1478.88"/>
    <n v="0"/>
    <n v="0"/>
    <n v="3252.2400000000002"/>
    <n v="0"/>
  </r>
  <r>
    <x v="12"/>
    <x v="10"/>
    <x v="0"/>
    <s v="3950306"/>
    <n v="730020"/>
    <s v="Rental and Leases-Copier Usage Fees (DO NOT USE)"/>
    <s v="NRH Nursing-LTACH"/>
    <x v="0"/>
    <n v="5100"/>
    <n v="576.19000000000005"/>
    <n v="577.76"/>
    <n v="576.97"/>
    <n v="576.97"/>
    <n v="576.97"/>
    <n v="576.97"/>
    <n v="314.64999999999998"/>
    <n v="335.19"/>
    <n v="334.48"/>
    <n v="1475.56"/>
    <n v="335.19"/>
    <n v="385.33"/>
    <n v="6642.2300000000005"/>
    <n v="-50.139999999999986"/>
  </r>
  <r>
    <x v="15"/>
    <x v="10"/>
    <x v="0"/>
    <s v="3950306"/>
    <n v="731060"/>
    <s v="Telephone"/>
    <s v="NRH Nursing-LTACH"/>
    <x v="0"/>
    <m/>
    <n v="0"/>
    <n v="0"/>
    <n v="0"/>
    <n v="0"/>
    <n v="0"/>
    <n v="0"/>
    <n v="0"/>
    <n v="0"/>
    <n v="90"/>
    <n v="9"/>
    <n v="0"/>
    <n v="0"/>
    <n v="99"/>
    <n v="0"/>
  </r>
  <r>
    <x v="15"/>
    <x v="10"/>
    <x v="0"/>
    <s v="3950306"/>
    <n v="731060"/>
    <s v="Cell Phones"/>
    <s v="NRH Nursing-LTACH"/>
    <x v="0"/>
    <n v="1001"/>
    <n v="0"/>
    <n v="53.2"/>
    <n v="26.08"/>
    <n v="0"/>
    <n v="26.14"/>
    <n v="26.71"/>
    <n v="55.61"/>
    <n v="0"/>
    <n v="26.75"/>
    <n v="53.39"/>
    <n v="26.11"/>
    <n v="26.72"/>
    <n v="320.71000000000004"/>
    <n v="-0.60999999999999943"/>
  </r>
  <r>
    <x v="16"/>
    <x v="10"/>
    <x v="0"/>
    <s v="3950306"/>
    <n v="732020"/>
    <s v="Repairs--Clin Equip-Parts-Internal to CHI Programs"/>
    <s v="NRH Nursing-LTACH"/>
    <x v="0"/>
    <m/>
    <n v="0"/>
    <n v="1207.6400000000001"/>
    <n v="120.76"/>
    <n v="0"/>
    <n v="0"/>
    <n v="0"/>
    <n v="0"/>
    <n v="0"/>
    <n v="0"/>
    <n v="0"/>
    <n v="0"/>
    <n v="0"/>
    <n v="1328.4"/>
    <n v="0"/>
  </r>
  <r>
    <x v="16"/>
    <x v="10"/>
    <x v="0"/>
    <s v="3950306"/>
    <n v="732030"/>
    <s v="Repairs---Other"/>
    <s v="NRH Nursing-LTACH"/>
    <x v="0"/>
    <m/>
    <n v="837.9"/>
    <n v="1000.2"/>
    <n v="191.1"/>
    <n v="2532.3000000000002"/>
    <n v="985.05"/>
    <n v="4396.6000000000004"/>
    <n v="3554.85"/>
    <n v="850.7"/>
    <n v="1206.1300000000001"/>
    <n v="604.16999999999996"/>
    <n v="676.38"/>
    <n v="783.51"/>
    <n v="17618.89"/>
    <n v="-107.13"/>
  </r>
  <r>
    <x v="16"/>
    <x v="10"/>
    <x v="0"/>
    <s v="3950306"/>
    <n v="733030"/>
    <s v="Maintenance Contracts-Other"/>
    <s v="NRH Nursing-LTACH"/>
    <x v="0"/>
    <m/>
    <n v="898.9"/>
    <n v="1797.8"/>
    <n v="1828.84"/>
    <n v="898.9"/>
    <n v="1000"/>
    <n v="898.9"/>
    <n v="0"/>
    <n v="797.8"/>
    <n v="898.9"/>
    <n v="0"/>
    <n v="898.9"/>
    <n v="1000"/>
    <n v="10918.939999999999"/>
    <n v="-101.10000000000002"/>
  </r>
  <r>
    <x v="13"/>
    <x v="10"/>
    <x v="0"/>
    <s v="3950306"/>
    <n v="735070"/>
    <s v="Depreciation-Movable Equipment"/>
    <s v="NRH Nursing-LTACH"/>
    <x v="0"/>
    <m/>
    <n v="9500.2900000000009"/>
    <n v="10378.36"/>
    <n v="10384.41"/>
    <n v="10383.92"/>
    <n v="10384.6"/>
    <n v="10383.77"/>
    <n v="10038.15"/>
    <n v="10036.959999999999"/>
    <n v="10038.19"/>
    <n v="10036.91"/>
    <n v="10038.200000000001"/>
    <n v="10036.83"/>
    <n v="121640.59"/>
    <n v="1.3700000000008004"/>
  </r>
  <r>
    <x v="0"/>
    <x v="10"/>
    <x v="0"/>
    <s v="3950306"/>
    <n v="740010"/>
    <s v="Education-Materials"/>
    <s v="NRH Nursing-LTACH"/>
    <x v="0"/>
    <m/>
    <n v="0"/>
    <n v="0"/>
    <n v="0"/>
    <n v="0"/>
    <n v="0"/>
    <n v="0"/>
    <n v="0"/>
    <n v="331"/>
    <n v="0"/>
    <n v="0"/>
    <n v="0"/>
    <n v="0"/>
    <n v="331"/>
    <n v="0"/>
  </r>
  <r>
    <x v="0"/>
    <x v="10"/>
    <x v="0"/>
    <s v="3950306"/>
    <n v="740020"/>
    <s v="Education-Registration Fees"/>
    <s v="NRH Nursing-LTACH"/>
    <x v="0"/>
    <m/>
    <n v="0"/>
    <n v="0"/>
    <n v="1033.74"/>
    <n v="1214.32"/>
    <n v="0"/>
    <n v="2254"/>
    <n v="130"/>
    <n v="3853.41"/>
    <n v="4177.75"/>
    <n v="616.05999999999995"/>
    <n v="65"/>
    <n v="7972"/>
    <n v="21316.28"/>
    <n v="-7907"/>
  </r>
  <r>
    <x v="0"/>
    <x v="10"/>
    <x v="0"/>
    <s v="3950306"/>
    <n v="742010"/>
    <s v="Postage-Regular"/>
    <s v="NRH Nursing-LTACH"/>
    <x v="0"/>
    <m/>
    <n v="0"/>
    <n v="0"/>
    <n v="0"/>
    <n v="0"/>
    <n v="0"/>
    <n v="0"/>
    <n v="350"/>
    <n v="0"/>
    <n v="0"/>
    <n v="0"/>
    <n v="0"/>
    <n v="0"/>
    <n v="350"/>
    <n v="0"/>
  </r>
  <r>
    <x v="0"/>
    <x v="10"/>
    <x v="0"/>
    <s v="3950306"/>
    <n v="749510"/>
    <s v="Miscellaneous Expenses"/>
    <s v="NRH Nursing-LTACH"/>
    <x v="0"/>
    <m/>
    <n v="0"/>
    <n v="-40"/>
    <n v="1250"/>
    <n v="699"/>
    <n v="2254"/>
    <n v="3157.49"/>
    <n v="1037.58"/>
    <n v="-2704.25"/>
    <n v="-307.25"/>
    <n v="1511.38"/>
    <n v="0"/>
    <n v="162.37"/>
    <n v="7020.32"/>
    <n v="-162.37"/>
  </r>
  <r>
    <x v="0"/>
    <x v="10"/>
    <x v="0"/>
    <s v="3950306"/>
    <n v="749510"/>
    <s v="Licenses"/>
    <s v="NRH Nursing-LTACH"/>
    <x v="0"/>
    <n v="1002"/>
    <n v="0"/>
    <n v="0"/>
    <n v="0"/>
    <n v="0"/>
    <n v="0"/>
    <n v="0"/>
    <n v="253.86"/>
    <n v="0"/>
    <n v="268"/>
    <n v="135"/>
    <n v="135"/>
    <n v="150"/>
    <n v="941.86"/>
    <n v="-15"/>
  </r>
  <r>
    <x v="0"/>
    <x v="10"/>
    <x v="0"/>
    <s v="3950306"/>
    <n v="749530"/>
    <s v="Travel"/>
    <s v="NRH Nursing-LTACH"/>
    <x v="0"/>
    <m/>
    <n v="0"/>
    <n v="0"/>
    <n v="0"/>
    <n v="0"/>
    <n v="0"/>
    <n v="0"/>
    <n v="0"/>
    <n v="418.47"/>
    <n v="0"/>
    <n v="162.96"/>
    <n v="0"/>
    <n v="161.38"/>
    <n v="742.81000000000006"/>
    <n v="-161.38"/>
  </r>
  <r>
    <x v="18"/>
    <x v="10"/>
    <x v="0"/>
    <s v="3951306"/>
    <n v="400010"/>
    <s v="Acute I/P Svcs Rev--Medicare"/>
    <s v="LTAC-Medical Procedures"/>
    <x v="0"/>
    <n v="1100"/>
    <n v="-70893.62"/>
    <n v="-10382.65"/>
    <n v="15445.58"/>
    <n v="-7848.87"/>
    <n v="-81061.740000000005"/>
    <n v="-48272.62"/>
    <n v="-2318.9"/>
    <n v="-37257.980000000003"/>
    <n v="-6819.56"/>
    <n v="-15966.64"/>
    <n v="-257448.74"/>
    <n v="-5817.24"/>
    <n v="-528642.98"/>
    <n v="-251631.5"/>
  </r>
  <r>
    <x v="18"/>
    <x v="10"/>
    <x v="0"/>
    <s v="3951306"/>
    <n v="400010"/>
    <s v="Acute I/P Svcs Rev--Medicaid"/>
    <s v="LTAC-Medical Procedures"/>
    <x v="0"/>
    <n v="1200"/>
    <n v="0"/>
    <n v="0"/>
    <n v="0"/>
    <n v="0"/>
    <n v="0"/>
    <n v="0"/>
    <n v="-7255.48"/>
    <n v="0"/>
    <n v="-8768.2199999999993"/>
    <n v="-8355.25"/>
    <n v="-15133.36"/>
    <n v="0"/>
    <n v="-39512.31"/>
    <n v="-15133.36"/>
  </r>
  <r>
    <x v="18"/>
    <x v="10"/>
    <x v="0"/>
    <s v="3951306"/>
    <n v="400010"/>
    <s v="Acute I/P Svcs Rev--BCBS Comm"/>
    <s v="LTAC-Medical Procedures"/>
    <x v="0"/>
    <n v="1301"/>
    <n v="-4002.03"/>
    <n v="909.72"/>
    <n v="-1327.34"/>
    <n v="1327.34"/>
    <n v="0"/>
    <n v="0"/>
    <n v="0"/>
    <n v="0"/>
    <n v="-2410.89"/>
    <n v="-3424"/>
    <n v="0"/>
    <n v="0"/>
    <n v="-8927.2000000000007"/>
    <n v="0"/>
  </r>
  <r>
    <x v="18"/>
    <x v="10"/>
    <x v="0"/>
    <s v="3951306"/>
    <n v="400010"/>
    <s v="Acute I/P Svcs Rev--Managed Care"/>
    <s v="LTAC-Medical Procedures"/>
    <x v="0"/>
    <n v="1400"/>
    <n v="0"/>
    <n v="0"/>
    <n v="0"/>
    <n v="-5808.83"/>
    <n v="0"/>
    <n v="0"/>
    <n v="-1839.6"/>
    <n v="-2166.0500000000002"/>
    <n v="0"/>
    <n v="0"/>
    <n v="-619.66"/>
    <n v="-497.41"/>
    <n v="-10931.55"/>
    <n v="-122.24999999999994"/>
  </r>
  <r>
    <x v="18"/>
    <x v="3"/>
    <x v="0"/>
    <s v="4150101"/>
    <n v="400010"/>
    <s v="Acute I/P Svcs Rev--Medicare"/>
    <s v="Psychiatric Acute"/>
    <x v="0"/>
    <n v="1100"/>
    <n v="-364816"/>
    <n v="-437598"/>
    <n v="-361628.66"/>
    <n v="-542510.31999999995"/>
    <n v="-542442.99"/>
    <n v="-629435.32999999996"/>
    <n v="-386862"/>
    <n v="-538330.79"/>
    <n v="-480931.35"/>
    <n v="-362526"/>
    <n v="-117210.76"/>
    <n v="-55522"/>
    <n v="-4819814.1999999993"/>
    <n v="-61688.759999999995"/>
  </r>
  <r>
    <x v="18"/>
    <x v="3"/>
    <x v="0"/>
    <s v="4150101"/>
    <n v="400010"/>
    <s v="Acute I/P Svcs Rev--Medicaid"/>
    <s v="Psychiatric Acute"/>
    <x v="0"/>
    <n v="1200"/>
    <n v="-548583"/>
    <n v="-605661"/>
    <n v="-566000.66"/>
    <n v="-586569.64"/>
    <n v="-542644.98"/>
    <n v="-570914.66"/>
    <n v="-662806.32999999996"/>
    <n v="-709844.78"/>
    <n v="-839156.8"/>
    <n v="-725314.88"/>
    <n v="-584504"/>
    <n v="-52422"/>
    <n v="-6994422.7300000004"/>
    <n v="-532082"/>
  </r>
  <r>
    <x v="18"/>
    <x v="3"/>
    <x v="0"/>
    <s v="4150101"/>
    <n v="400010"/>
    <s v="Acute I/P Svcs Rev--Comm Insurance"/>
    <s v="Psychiatric Acute"/>
    <x v="0"/>
    <n v="1300"/>
    <n v="-38052"/>
    <n v="-73015"/>
    <n v="-15855"/>
    <n v="-34881"/>
    <n v="44408.67"/>
    <n v="-42884"/>
    <n v="-12684"/>
    <n v="0"/>
    <n v="0"/>
    <n v="0"/>
    <n v="0"/>
    <n v="-16045"/>
    <n v="-189007.33000000002"/>
    <n v="16045"/>
  </r>
  <r>
    <x v="18"/>
    <x v="3"/>
    <x v="0"/>
    <s v="4150101"/>
    <n v="400010"/>
    <s v="Acute I/P Svcs Rev--BCBS Comm"/>
    <s v="Psychiatric Acute"/>
    <x v="0"/>
    <n v="1301"/>
    <n v="-155379"/>
    <n v="-66591"/>
    <n v="-215763.38"/>
    <n v="-133383.99"/>
    <n v="-126907.33"/>
    <n v="-79342.33"/>
    <n v="-177710.66"/>
    <n v="-84943.67"/>
    <n v="-169832"/>
    <n v="-75947.350000000006"/>
    <n v="-163300"/>
    <n v="0"/>
    <n v="-1449100.71"/>
    <n v="-163300"/>
  </r>
  <r>
    <x v="18"/>
    <x v="3"/>
    <x v="0"/>
    <s v="4150101"/>
    <n v="400010"/>
    <s v="Acute I/P Svcs Rev--Managed Care"/>
    <s v="Psychiatric Acute"/>
    <x v="0"/>
    <n v="1400"/>
    <n v="-657756"/>
    <n v="-435955"/>
    <n v="-623326.32999999996"/>
    <n v="-403926.97"/>
    <n v="-485312.33"/>
    <n v="-396711.65"/>
    <n v="-700992.99"/>
    <n v="-545560.69999999995"/>
    <n v="-421452.7"/>
    <n v="-394495.35"/>
    <n v="-330962"/>
    <n v="-232005"/>
    <n v="-5628457.0199999996"/>
    <n v="-98957"/>
  </r>
  <r>
    <x v="18"/>
    <x v="3"/>
    <x v="0"/>
    <s v="4150101"/>
    <n v="400010"/>
    <s v="Acute I/P Svcs Rev--Self Pay"/>
    <s v="Psychiatric Acute"/>
    <x v="0"/>
    <n v="1500"/>
    <n v="-1661"/>
    <n v="-3073"/>
    <n v="-15922.33"/>
    <n v="-12684"/>
    <n v="-12684"/>
    <n v="-22197"/>
    <n v="0"/>
    <n v="0"/>
    <n v="-9798"/>
    <n v="-22862"/>
    <n v="-16330"/>
    <n v="0"/>
    <n v="-117211.33"/>
    <n v="-16330"/>
  </r>
  <r>
    <x v="18"/>
    <x v="3"/>
    <x v="0"/>
    <s v="4150101"/>
    <n v="400010"/>
    <s v="Acute I/P Svcs Rev--Other"/>
    <s v="Psychiatric Acute"/>
    <x v="0"/>
    <n v="1700"/>
    <n v="-120498"/>
    <n v="-157038"/>
    <n v="-38052"/>
    <n v="9445.67"/>
    <n v="-79342.33"/>
    <n v="-38052"/>
    <n v="-95130"/>
    <n v="-45724"/>
    <n v="-75118"/>
    <n v="-26128"/>
    <n v="-26128"/>
    <n v="-29394"/>
    <n v="-721158.66"/>
    <n v="3266"/>
  </r>
  <r>
    <x v="19"/>
    <x v="3"/>
    <x v="0"/>
    <s v="4150101"/>
    <n v="400020"/>
    <s v="O/P Care Svcs Rev--Self Pay"/>
    <s v="Psychiatric Acute"/>
    <x v="0"/>
    <n v="1500"/>
    <n v="0"/>
    <n v="0"/>
    <n v="0"/>
    <n v="0"/>
    <n v="0"/>
    <n v="0"/>
    <n v="0"/>
    <n v="0"/>
    <n v="-9798"/>
    <n v="9798"/>
    <n v="0"/>
    <n v="0"/>
    <n v="0"/>
    <n v="0"/>
  </r>
  <r>
    <x v="20"/>
    <x v="3"/>
    <x v="0"/>
    <s v="4150101"/>
    <n v="610010"/>
    <s v="Foundation Distributions"/>
    <s v="Psychiatric Acute"/>
    <x v="0"/>
    <n v="1175"/>
    <n v="-8456.98"/>
    <n v="0"/>
    <n v="0"/>
    <n v="0"/>
    <n v="0"/>
    <n v="0"/>
    <n v="0"/>
    <n v="0"/>
    <n v="0"/>
    <n v="0"/>
    <n v="0"/>
    <n v="0"/>
    <n v="-8456.98"/>
    <n v="0"/>
  </r>
  <r>
    <x v="5"/>
    <x v="3"/>
    <x v="0"/>
    <s v="4150101"/>
    <n v="700014"/>
    <s v="Salaries-Management-Productive"/>
    <s v="Psychiatric Acute"/>
    <x v="0"/>
    <m/>
    <n v="8824.7000000000007"/>
    <n v="11399.21"/>
    <n v="10002.049999999999"/>
    <n v="2810.85"/>
    <n v="13412.58"/>
    <n v="8387.93"/>
    <n v="10822.65"/>
    <n v="9875.81"/>
    <n v="6470.47"/>
    <n v="12561.95"/>
    <n v="11729.94"/>
    <n v="10871.84"/>
    <n v="117169.98"/>
    <n v="858.10000000000036"/>
  </r>
  <r>
    <x v="5"/>
    <x v="3"/>
    <x v="0"/>
    <s v="4150101"/>
    <n v="700026"/>
    <s v="Salaries-RN-Productive"/>
    <s v="Psychiatric Acute"/>
    <x v="0"/>
    <m/>
    <n v="138192.70000000001"/>
    <n v="121932.99"/>
    <n v="145421.37"/>
    <n v="133648.42000000001"/>
    <n v="123139.27"/>
    <n v="134344.49"/>
    <n v="139429.99"/>
    <n v="138235.17000000001"/>
    <n v="146734.01"/>
    <n v="120695.1"/>
    <n v="101038.74"/>
    <n v="46729.11"/>
    <n v="1489541.36"/>
    <n v="54309.630000000005"/>
  </r>
  <r>
    <x v="5"/>
    <x v="3"/>
    <x v="0"/>
    <s v="4150101"/>
    <n v="700026"/>
    <s v="Salaries-RN-OT"/>
    <s v="Psychiatric Acute"/>
    <x v="0"/>
    <n v="1000"/>
    <n v="11644.45"/>
    <n v="5955.85"/>
    <n v="18917.97"/>
    <n v="8520.98"/>
    <n v="9181.58"/>
    <n v="9294.27"/>
    <n v="8630.6299999999992"/>
    <n v="23463.71"/>
    <n v="25529.11"/>
    <n v="10551.12"/>
    <n v="1805.89"/>
    <n v="3989.63"/>
    <n v="137485.19000000003"/>
    <n v="-2183.7399999999998"/>
  </r>
  <r>
    <x v="5"/>
    <x v="3"/>
    <x v="0"/>
    <s v="4150101"/>
    <n v="700026"/>
    <s v="Salaries-RN-Other"/>
    <s v="Psychiatric Acute"/>
    <x v="0"/>
    <n v="2000"/>
    <n v="12908.9"/>
    <n v="12817.8"/>
    <n v="15021.77"/>
    <n v="14434.76"/>
    <n v="11242.98"/>
    <n v="12460.09"/>
    <n v="12812.74"/>
    <n v="12903.08"/>
    <n v="13641.92"/>
    <n v="11582.89"/>
    <n v="10369.41"/>
    <n v="4981.3999999999996"/>
    <n v="145177.74"/>
    <n v="5388.01"/>
  </r>
  <r>
    <x v="5"/>
    <x v="3"/>
    <x v="0"/>
    <s v="4150101"/>
    <n v="700030"/>
    <s v="Salaries-LPN-Productive"/>
    <s v="Psychiatric Acute"/>
    <x v="0"/>
    <m/>
    <n v="10011.48"/>
    <n v="8670.58"/>
    <n v="10438.120000000001"/>
    <n v="8302.52"/>
    <n v="6721.72"/>
    <n v="7880.33"/>
    <n v="9575.94"/>
    <n v="5985.08"/>
    <n v="12130.87"/>
    <n v="8188.24"/>
    <n v="7693.11"/>
    <n v="3188.57"/>
    <n v="98786.560000000012"/>
    <n v="4504.5399999999991"/>
  </r>
  <r>
    <x v="5"/>
    <x v="3"/>
    <x v="0"/>
    <s v="4150101"/>
    <n v="700030"/>
    <s v="Salaries-LPN-OT"/>
    <s v="Psychiatric Acute"/>
    <x v="0"/>
    <n v="1000"/>
    <n v="81.349999999999994"/>
    <n v="96.67"/>
    <n v="163.11000000000001"/>
    <n v="135.78"/>
    <n v="75.03"/>
    <n v="68.11"/>
    <n v="43.57"/>
    <n v="131.68"/>
    <n v="78.099999999999994"/>
    <n v="173.09"/>
    <n v="-47.82"/>
    <n v="37.14"/>
    <n v="1035.81"/>
    <n v="-84.960000000000008"/>
  </r>
  <r>
    <x v="5"/>
    <x v="3"/>
    <x v="0"/>
    <s v="4150101"/>
    <n v="700030"/>
    <s v="Salaries-LPN-Other"/>
    <s v="Psychiatric Acute"/>
    <x v="0"/>
    <n v="2000"/>
    <n v="848.64"/>
    <n v="870.1"/>
    <n v="935.07"/>
    <n v="868.1"/>
    <n v="530.35"/>
    <n v="581.91"/>
    <n v="926.49"/>
    <n v="472.53"/>
    <n v="1056.73"/>
    <n v="717.84"/>
    <n v="272.89999999999998"/>
    <n v="245.89"/>
    <n v="8326.5499999999993"/>
    <n v="27.009999999999991"/>
  </r>
  <r>
    <x v="5"/>
    <x v="3"/>
    <x v="0"/>
    <s v="4150101"/>
    <n v="700032"/>
    <s v="Salaries-Other Pat Care Providers-Productive"/>
    <s v="Psychiatric Acute"/>
    <x v="0"/>
    <m/>
    <n v="89139.28"/>
    <n v="65754.539999999994"/>
    <n v="83219.94"/>
    <n v="72040.05"/>
    <n v="86650.8"/>
    <n v="67941.259999999995"/>
    <n v="77949.539999999994"/>
    <n v="83019.59"/>
    <n v="74129.41"/>
    <n v="70136.81"/>
    <n v="47320.53"/>
    <n v="22336.799999999999"/>
    <n v="839638.55"/>
    <n v="24983.73"/>
  </r>
  <r>
    <x v="5"/>
    <x v="3"/>
    <x v="0"/>
    <s v="4150101"/>
    <n v="700032"/>
    <s v="Salaries-Other Pat Care Providers-OT"/>
    <s v="Psychiatric Acute"/>
    <x v="0"/>
    <n v="1000"/>
    <n v="3476.21"/>
    <n v="881.36"/>
    <n v="5620.32"/>
    <n v="4918.7"/>
    <n v="3071.13"/>
    <n v="3251.61"/>
    <n v="3411.15"/>
    <n v="10704.71"/>
    <n v="6107.2"/>
    <n v="6677.05"/>
    <n v="1331.04"/>
    <n v="527.63"/>
    <n v="49978.11"/>
    <n v="803.41"/>
  </r>
  <r>
    <x v="5"/>
    <x v="3"/>
    <x v="0"/>
    <s v="4150101"/>
    <n v="700032"/>
    <s v="Salaries-Other Pat Care Providers-Other"/>
    <s v="Psychiatric Acute"/>
    <x v="0"/>
    <n v="2000"/>
    <n v="4341.84"/>
    <n v="3252.78"/>
    <n v="4179.04"/>
    <n v="3571.23"/>
    <n v="4364.05"/>
    <n v="2686.8"/>
    <n v="3292.73"/>
    <n v="4219.8599999999997"/>
    <n v="3732.92"/>
    <n v="3168.06"/>
    <n v="1937.74"/>
    <n v="938.05"/>
    <n v="39685.1"/>
    <n v="999.69"/>
  </r>
  <r>
    <x v="5"/>
    <x v="3"/>
    <x v="0"/>
    <s v="4150101"/>
    <n v="700038"/>
    <s v="Salaries-Service/Support-Productive"/>
    <s v="Psychiatric Acute"/>
    <x v="0"/>
    <m/>
    <n v="7908.56"/>
    <n v="7174.56"/>
    <n v="8260.51"/>
    <n v="9139.23"/>
    <n v="7916.54"/>
    <n v="8368.07"/>
    <n v="7556.49"/>
    <n v="5343.81"/>
    <n v="8827.7999999999993"/>
    <n v="8223.2800000000007"/>
    <n v="7713.1"/>
    <n v="1613.99"/>
    <n v="88045.94"/>
    <n v="6099.1100000000006"/>
  </r>
  <r>
    <x v="5"/>
    <x v="3"/>
    <x v="0"/>
    <s v="4150101"/>
    <n v="700038"/>
    <s v="Salaries-Service/Support-OT"/>
    <s v="Psychiatric Acute"/>
    <x v="0"/>
    <n v="1000"/>
    <n v="395.6"/>
    <n v="367.74"/>
    <n v="694.95"/>
    <n v="208.79"/>
    <n v="406.15"/>
    <n v="164.32"/>
    <n v="276.91000000000003"/>
    <n v="107.59"/>
    <n v="304.10000000000002"/>
    <n v="410.65"/>
    <n v="-9.6300000000000008"/>
    <n v="101.12"/>
    <n v="3428.29"/>
    <n v="-110.75"/>
  </r>
  <r>
    <x v="5"/>
    <x v="3"/>
    <x v="0"/>
    <s v="4150101"/>
    <n v="700038"/>
    <s v="Salaries-Service/Support-Other"/>
    <s v="Psychiatric Acute"/>
    <x v="0"/>
    <n v="2000"/>
    <n v="178.89"/>
    <n v="99.8"/>
    <n v="238.56"/>
    <n v="206.28"/>
    <n v="190.61"/>
    <n v="168.76"/>
    <n v="197.8"/>
    <n v="91.4"/>
    <n v="172.34"/>
    <n v="117.08"/>
    <n v="128.33000000000001"/>
    <n v="1.76"/>
    <n v="1791.61"/>
    <n v="126.57000000000001"/>
  </r>
  <r>
    <x v="5"/>
    <x v="3"/>
    <x v="0"/>
    <s v="4150101"/>
    <n v="700054"/>
    <s v="Salaries-Management-Non-productive"/>
    <s v="Psychiatric Acute"/>
    <x v="0"/>
    <m/>
    <n v="2574"/>
    <n v="0"/>
    <n v="1029.5999999999999"/>
    <n v="8841.2099999999991"/>
    <n v="-2078.0100000000002"/>
    <n v="3324.83"/>
    <n v="908.4"/>
    <n v="718.9"/>
    <n v="5259.48"/>
    <n v="-1210.76"/>
    <n v="0"/>
    <n v="529.74"/>
    <n v="19897.39"/>
    <n v="-529.74"/>
  </r>
  <r>
    <x v="5"/>
    <x v="3"/>
    <x v="0"/>
    <s v="4150101"/>
    <n v="700054"/>
    <s v="Salaries-Management-NonProd-Other"/>
    <s v="Psychiatric Acute"/>
    <x v="0"/>
    <n v="2000"/>
    <n v="0"/>
    <n v="0"/>
    <n v="0"/>
    <n v="0"/>
    <n v="0"/>
    <n v="623.38"/>
    <n v="-623.38"/>
    <n v="0"/>
    <n v="0.08"/>
    <n v="0"/>
    <n v="0"/>
    <n v="0"/>
    <n v="0.08"/>
    <n v="0"/>
  </r>
  <r>
    <x v="5"/>
    <x v="3"/>
    <x v="0"/>
    <s v="4150101"/>
    <n v="700066"/>
    <s v="Salaries-RN-Non-productive"/>
    <s v="Psychiatric Acute"/>
    <x v="0"/>
    <m/>
    <n v="26682.74"/>
    <n v="21975.26"/>
    <n v="21547.41"/>
    <n v="22096.53"/>
    <n v="18680.689999999999"/>
    <n v="20415.95"/>
    <n v="19393.09"/>
    <n v="19687.419999999998"/>
    <n v="23353.35"/>
    <n v="22971.31"/>
    <n v="44243.91"/>
    <n v="9964.61"/>
    <n v="271012.27"/>
    <n v="34279.300000000003"/>
  </r>
  <r>
    <x v="5"/>
    <x v="3"/>
    <x v="0"/>
    <s v="4150101"/>
    <n v="700066"/>
    <s v="Salaries-RN-NonProd-Other"/>
    <s v="Psychiatric Acute"/>
    <x v="0"/>
    <n v="2000"/>
    <n v="1721.32"/>
    <n v="1398.01"/>
    <n v="2199.7199999999998"/>
    <n v="1633.05"/>
    <n v="2349.87"/>
    <n v="2170.98"/>
    <n v="1513.76"/>
    <n v="720.39"/>
    <n v="2641.33"/>
    <n v="1750.05"/>
    <n v="2412.14"/>
    <n v="15611.67"/>
    <n v="36122.29"/>
    <n v="-13199.53"/>
  </r>
  <r>
    <x v="5"/>
    <x v="3"/>
    <x v="0"/>
    <s v="4150101"/>
    <n v="700070"/>
    <s v="Salaries-LPN-Non-productive"/>
    <s v="Psychiatric Acute"/>
    <x v="0"/>
    <m/>
    <n v="1210.31"/>
    <n v="2095.85"/>
    <n v="1152.23"/>
    <n v="2546.9699999999998"/>
    <n v="4195.6400000000003"/>
    <n v="3948.67"/>
    <n v="2190.48"/>
    <n v="4241.2700000000004"/>
    <n v="-605.24"/>
    <n v="2911.87"/>
    <n v="4583.9399999999996"/>
    <n v="-573.76"/>
    <n v="27898.23"/>
    <n v="5157.7"/>
  </r>
  <r>
    <x v="5"/>
    <x v="3"/>
    <x v="0"/>
    <s v="4150101"/>
    <n v="700070"/>
    <s v="Salaries-LPN-NonProd-Other"/>
    <s v="Psychiatric Acute"/>
    <x v="0"/>
    <n v="2000"/>
    <n v="116.56"/>
    <n v="151.79"/>
    <n v="63.5"/>
    <n v="201.68"/>
    <n v="306.47000000000003"/>
    <n v="327.25"/>
    <n v="18.920000000000002"/>
    <n v="283.24"/>
    <n v="-31.41"/>
    <n v="261.63"/>
    <n v="247.76"/>
    <n v="464.53"/>
    <n v="2411.92"/>
    <n v="-216.76999999999998"/>
  </r>
  <r>
    <x v="5"/>
    <x v="3"/>
    <x v="0"/>
    <s v="4150101"/>
    <n v="700072"/>
    <s v="Salaries-Other Pat Care Providers-Non-productive"/>
    <s v="Psychiatric Acute"/>
    <x v="0"/>
    <m/>
    <n v="14176.1"/>
    <n v="14603.7"/>
    <n v="14179.91"/>
    <n v="18924.21"/>
    <n v="7268.14"/>
    <n v="17843.849999999999"/>
    <n v="11283.58"/>
    <n v="9306.7800000000007"/>
    <n v="16360.77"/>
    <n v="13013.79"/>
    <n v="28936.78"/>
    <n v="5628.17"/>
    <n v="171525.78000000003"/>
    <n v="23308.61"/>
  </r>
  <r>
    <x v="5"/>
    <x v="3"/>
    <x v="0"/>
    <s v="4150101"/>
    <n v="700072"/>
    <s v="Salaries-Other Pat Care Providers-NonProd-Other"/>
    <s v="Psychiatric Acute"/>
    <x v="0"/>
    <n v="2000"/>
    <n v="679.73"/>
    <n v="580.66"/>
    <n v="378.84"/>
    <n v="888.96"/>
    <n v="1083.19"/>
    <n v="856.54"/>
    <n v="366.08"/>
    <n v="-346.03"/>
    <n v="518.16"/>
    <n v="527.34"/>
    <n v="10306.81"/>
    <n v="3898.05"/>
    <n v="19738.329999999998"/>
    <n v="6408.7599999999993"/>
  </r>
  <r>
    <x v="5"/>
    <x v="3"/>
    <x v="0"/>
    <s v="4150101"/>
    <n v="700078"/>
    <s v="Salaries-Service/Support-Non-productive"/>
    <s v="Psychiatric Acute"/>
    <x v="0"/>
    <m/>
    <n v="1180.24"/>
    <n v="1304.31"/>
    <n v="1404.69"/>
    <n v="122.18"/>
    <n v="1496.7"/>
    <n v="1562.2"/>
    <n v="2150.65"/>
    <n v="2943.19"/>
    <n v="894.86"/>
    <n v="499.11"/>
    <n v="2270.56"/>
    <n v="68.680000000000007"/>
    <n v="15897.37"/>
    <n v="2201.88"/>
  </r>
  <r>
    <x v="5"/>
    <x v="3"/>
    <x v="0"/>
    <s v="4150101"/>
    <n v="700078"/>
    <s v="Salaries-Service/Support-NonProd-Other"/>
    <s v="Psychiatric Acute"/>
    <x v="0"/>
    <n v="2000"/>
    <n v="0"/>
    <n v="0"/>
    <n v="10.18"/>
    <n v="-3.7"/>
    <n v="0"/>
    <n v="0"/>
    <n v="0"/>
    <n v="0"/>
    <n v="0"/>
    <n v="0"/>
    <n v="0"/>
    <n v="4.9800000000000004"/>
    <n v="11.46"/>
    <n v="-4.9800000000000004"/>
  </r>
  <r>
    <x v="5"/>
    <x v="3"/>
    <x v="0"/>
    <s v="4150101"/>
    <n v="700084"/>
    <s v="Accrued PTO"/>
    <s v="Psychiatric Acute"/>
    <x v="0"/>
    <m/>
    <n v="-1542.16"/>
    <n v="-2732.16"/>
    <n v="122.61"/>
    <n v="-10262.92"/>
    <n v="8477.77"/>
    <n v="-2197.92"/>
    <n v="5155.54"/>
    <n v="11503.54"/>
    <n v="5291.9"/>
    <n v="2456.2600000000002"/>
    <n v="-17880.29"/>
    <n v="-38575.410000000003"/>
    <n v="-40183.240000000005"/>
    <n v="20695.120000000003"/>
  </r>
  <r>
    <x v="6"/>
    <x v="3"/>
    <x v="0"/>
    <s v="4150101"/>
    <n v="713010"/>
    <s v="Benefits-FICA/Medicare"/>
    <s v="Psychiatric Acute"/>
    <x v="0"/>
    <m/>
    <n v="24957.94"/>
    <n v="20768.8"/>
    <n v="25630.82"/>
    <n v="22137.78"/>
    <n v="22280.1"/>
    <n v="22972.48"/>
    <n v="23145.119999999999"/>
    <n v="24698.23"/>
    <n v="25676.04"/>
    <n v="21616.7"/>
    <n v="21711.98"/>
    <n v="70797.289999999994"/>
    <n v="326393.28000000003"/>
    <n v="-49085.31"/>
  </r>
  <r>
    <x v="6"/>
    <x v="3"/>
    <x v="0"/>
    <s v="4150101"/>
    <n v="713090"/>
    <s v="Benefits-Allocated Amounts"/>
    <s v="Psychiatric Acute"/>
    <x v="0"/>
    <m/>
    <n v="70047.66"/>
    <n v="52255.96"/>
    <n v="71447.23"/>
    <n v="62658.32"/>
    <n v="63335"/>
    <n v="58711.01"/>
    <n v="65761.47"/>
    <n v="73285.820000000007"/>
    <n v="57363.79"/>
    <n v="62621.58"/>
    <n v="60231.22"/>
    <n v="22300.61"/>
    <n v="720019.66999999993"/>
    <n v="37930.61"/>
  </r>
  <r>
    <x v="6"/>
    <x v="3"/>
    <x v="0"/>
    <s v="4150101"/>
    <n v="713096"/>
    <s v="Employee Recognition"/>
    <s v="Psychiatric Acute"/>
    <x v="0"/>
    <n v="1017"/>
    <n v="0"/>
    <n v="0"/>
    <n v="0"/>
    <n v="0"/>
    <n v="0"/>
    <n v="50.65"/>
    <n v="65.430000000000007"/>
    <n v="0"/>
    <n v="177.18"/>
    <n v="0"/>
    <n v="0"/>
    <n v="0"/>
    <n v="293.26"/>
    <n v="0"/>
  </r>
  <r>
    <x v="7"/>
    <x v="3"/>
    <x v="0"/>
    <s v="4150101"/>
    <n v="718050"/>
    <s v="Contract Svcs-Other"/>
    <s v="Psychiatric Acute"/>
    <x v="0"/>
    <m/>
    <n v="0"/>
    <n v="0"/>
    <n v="56.36"/>
    <n v="0"/>
    <n v="0"/>
    <n v="0"/>
    <n v="275.25"/>
    <n v="0"/>
    <n v="0"/>
    <n v="0"/>
    <n v="0"/>
    <n v="0"/>
    <n v="331.61"/>
    <n v="0"/>
  </r>
  <r>
    <x v="7"/>
    <x v="3"/>
    <x v="0"/>
    <s v="4150101"/>
    <n v="718050"/>
    <s v="Document Shredding/Storage"/>
    <s v="Psychiatric Acute"/>
    <x v="0"/>
    <n v="1012"/>
    <n v="6.21"/>
    <n v="7.93"/>
    <n v="6.32"/>
    <n v="6.55"/>
    <n v="6.78"/>
    <n v="6.78"/>
    <n v="6.71"/>
    <n v="31.36"/>
    <n v="18.43"/>
    <n v="-15.95"/>
    <n v="7.05"/>
    <n v="7.3"/>
    <n v="95.469999999999985"/>
    <n v="-0.25"/>
  </r>
  <r>
    <x v="7"/>
    <x v="3"/>
    <x v="0"/>
    <s v="4150101"/>
    <n v="718050"/>
    <s v="Translation Services"/>
    <s v="Psychiatric Acute"/>
    <x v="0"/>
    <n v="1025"/>
    <n v="496"/>
    <n v="153.09"/>
    <n v="0"/>
    <n v="70.03"/>
    <n v="144"/>
    <n v="468.53"/>
    <n v="51.35"/>
    <n v="31.59"/>
    <n v="0"/>
    <n v="0"/>
    <n v="0"/>
    <n v="0"/>
    <n v="1414.59"/>
    <n v="0"/>
  </r>
  <r>
    <x v="7"/>
    <x v="3"/>
    <x v="0"/>
    <s v="4150101"/>
    <n v="718050"/>
    <s v="Contract Management--Linen"/>
    <s v="Psychiatric Acute"/>
    <x v="0"/>
    <n v="1026"/>
    <n v="1502.62"/>
    <n v="1438.3"/>
    <n v="1425.71"/>
    <n v="1477.68"/>
    <n v="1358.01"/>
    <n v="1000.96"/>
    <n v="1264.5899999999999"/>
    <n v="1412.2"/>
    <n v="1165.8800000000001"/>
    <n v="1115"/>
    <n v="829.66"/>
    <n v="710.81"/>
    <n v="14701.42"/>
    <n v="118.85000000000002"/>
  </r>
  <r>
    <x v="7"/>
    <x v="3"/>
    <x v="0"/>
    <s v="4150101"/>
    <n v="718091"/>
    <s v="Contract Services-Intracompany Allocation"/>
    <s v="Psychiatric Acute"/>
    <x v="0"/>
    <m/>
    <n v="9958.16"/>
    <n v="6187.2"/>
    <n v="-5407.38"/>
    <n v="8101.13"/>
    <n v="7787.15"/>
    <n v="6423.38"/>
    <n v="9876.43"/>
    <n v="8150.21"/>
    <n v="9940.9"/>
    <n v="4264.5"/>
    <n v="9561.0300000000007"/>
    <n v="7835.15"/>
    <n v="82677.86"/>
    <n v="1725.880000000001"/>
  </r>
  <r>
    <x v="11"/>
    <x v="3"/>
    <x v="0"/>
    <s v="4150101"/>
    <n v="721010"/>
    <s v="Supplies-Medical - Billable"/>
    <s v="Psychiatric Acute"/>
    <x v="0"/>
    <m/>
    <n v="14.36"/>
    <n v="2.31"/>
    <n v="61.34"/>
    <n v="115.53"/>
    <n v="69.19"/>
    <n v="75.95"/>
    <n v="110.18"/>
    <n v="33.92"/>
    <n v="24.81"/>
    <n v="297.72000000000003"/>
    <n v="214.33"/>
    <n v="3.78"/>
    <n v="1023.4200000000001"/>
    <n v="210.55"/>
  </r>
  <r>
    <x v="11"/>
    <x v="3"/>
    <x v="0"/>
    <s v="4150101"/>
    <n v="721010"/>
    <s v="Patient Monitoring"/>
    <s v="Psychiatric Acute"/>
    <x v="0"/>
    <n v="1000"/>
    <n v="0.44"/>
    <n v="0.88"/>
    <n v="0"/>
    <n v="0"/>
    <n v="0"/>
    <n v="0"/>
    <n v="-0.44"/>
    <n v="0"/>
    <n v="0"/>
    <n v="0"/>
    <n v="145.88"/>
    <n v="0"/>
    <n v="146.76"/>
    <n v="145.88"/>
  </r>
  <r>
    <x v="11"/>
    <x v="3"/>
    <x v="0"/>
    <s v="4150101"/>
    <n v="721020"/>
    <s v="Supplies-Surgical - Billable"/>
    <s v="Psychiatric Acute"/>
    <x v="0"/>
    <m/>
    <n v="0"/>
    <n v="0"/>
    <n v="0"/>
    <n v="5.7"/>
    <n v="0"/>
    <n v="0"/>
    <n v="0"/>
    <n v="78.2"/>
    <n v="0"/>
    <n v="0"/>
    <n v="0"/>
    <n v="0"/>
    <n v="83.9"/>
    <n v="0"/>
  </r>
  <r>
    <x v="11"/>
    <x v="3"/>
    <x v="0"/>
    <s v="4150101"/>
    <n v="721020"/>
    <s v="Tubes Drains &amp; Related Supplies"/>
    <s v="Psychiatric Acute"/>
    <x v="0"/>
    <n v="1008"/>
    <n v="0"/>
    <n v="26.86"/>
    <n v="0"/>
    <n v="0"/>
    <n v="0"/>
    <n v="0"/>
    <n v="0"/>
    <n v="0"/>
    <n v="13.43"/>
    <n v="0"/>
    <n v="0"/>
    <n v="0"/>
    <n v="40.29"/>
    <n v="0"/>
  </r>
  <r>
    <x v="11"/>
    <x v="3"/>
    <x v="0"/>
    <s v="4150101"/>
    <n v="721240"/>
    <s v="Supplies-IV Solutions/Supplies - Billable"/>
    <s v="Psychiatric Acute"/>
    <x v="0"/>
    <m/>
    <n v="56.45"/>
    <n v="0"/>
    <n v="5.32"/>
    <n v="0"/>
    <n v="-5.49"/>
    <n v="1.95"/>
    <n v="12.99"/>
    <n v="0.93"/>
    <n v="25.56"/>
    <n v="0"/>
    <n v="0"/>
    <n v="0"/>
    <n v="97.710000000000008"/>
    <n v="0"/>
  </r>
  <r>
    <x v="11"/>
    <x v="3"/>
    <x v="0"/>
    <s v="4150101"/>
    <n v="721250"/>
    <s v="Supplies-Pharmacy Drugs - Billable"/>
    <s v="Psychiatric Acute"/>
    <x v="0"/>
    <m/>
    <n v="0"/>
    <n v="1.69"/>
    <n v="0.94"/>
    <n v="0"/>
    <n v="3.38"/>
    <n v="0"/>
    <n v="5.26"/>
    <n v="0"/>
    <n v="5.41"/>
    <n v="0"/>
    <n v="0"/>
    <n v="0"/>
    <n v="16.68"/>
    <n v="0"/>
  </r>
  <r>
    <x v="11"/>
    <x v="3"/>
    <x v="0"/>
    <s v="4150101"/>
    <n v="721410"/>
    <s v="Supplies-Medical - Nonbillable"/>
    <s v="Psychiatric Acute"/>
    <x v="0"/>
    <m/>
    <n v="1285.07"/>
    <n v="1199.9000000000001"/>
    <n v="1115.1400000000001"/>
    <n v="1187.28"/>
    <n v="1011.01"/>
    <n v="976.62"/>
    <n v="1133.76"/>
    <n v="994.76"/>
    <n v="1457.7"/>
    <n v="1071.02"/>
    <n v="770.79"/>
    <n v="191.34"/>
    <n v="12394.390000000003"/>
    <n v="579.44999999999993"/>
  </r>
  <r>
    <x v="11"/>
    <x v="3"/>
    <x v="0"/>
    <s v="4150101"/>
    <n v="721410"/>
    <s v="Patient Monitoring"/>
    <s v="Psychiatric Acute"/>
    <x v="0"/>
    <n v="1000"/>
    <n v="6.52"/>
    <n v="0"/>
    <n v="0"/>
    <n v="0"/>
    <n v="0"/>
    <n v="0"/>
    <n v="0"/>
    <n v="0"/>
    <n v="0"/>
    <n v="0"/>
    <n v="0"/>
    <n v="0"/>
    <n v="6.52"/>
    <n v="0"/>
  </r>
  <r>
    <x v="11"/>
    <x v="3"/>
    <x v="0"/>
    <s v="4150101"/>
    <n v="721420"/>
    <s v="Supplies-Surgical Nonbillable"/>
    <s v="Psychiatric Acute"/>
    <x v="0"/>
    <m/>
    <n v="4.55"/>
    <n v="33.39"/>
    <n v="14.84"/>
    <n v="9.42"/>
    <n v="14.84"/>
    <n v="-3.71"/>
    <n v="0.36"/>
    <n v="0.61"/>
    <n v="0"/>
    <n v="0"/>
    <n v="0"/>
    <n v="0"/>
    <n v="74.300000000000011"/>
    <n v="0"/>
  </r>
  <r>
    <x v="11"/>
    <x v="3"/>
    <x v="0"/>
    <s v="4150101"/>
    <n v="721420"/>
    <s v="Tubes Drains &amp; Related Supplies"/>
    <s v="Psychiatric Acute"/>
    <x v="0"/>
    <n v="1008"/>
    <n v="0"/>
    <n v="13.48"/>
    <n v="0"/>
    <n v="0"/>
    <n v="0"/>
    <n v="0"/>
    <n v="0"/>
    <n v="0"/>
    <n v="0"/>
    <n v="0"/>
    <n v="0"/>
    <n v="0"/>
    <n v="13.48"/>
    <n v="0"/>
  </r>
  <r>
    <x v="11"/>
    <x v="3"/>
    <x v="0"/>
    <s v="4150101"/>
    <n v="721610"/>
    <s v="Supplies-Anesthesia - Nonbillable"/>
    <s v="Psychiatric Acute"/>
    <x v="0"/>
    <m/>
    <n v="29.51"/>
    <n v="12.56"/>
    <n v="58.3"/>
    <n v="21.2"/>
    <n v="43.61"/>
    <n v="43.31"/>
    <n v="54.85"/>
    <n v="15.9"/>
    <n v="28.95"/>
    <n v="15.9"/>
    <n v="31.8"/>
    <n v="0"/>
    <n v="355.89"/>
    <n v="31.8"/>
  </r>
  <r>
    <x v="11"/>
    <x v="3"/>
    <x v="0"/>
    <s v="4150101"/>
    <n v="721640"/>
    <s v="Supplies-IV Solutions/Supplies - Nonbillable"/>
    <s v="Psychiatric Acute"/>
    <x v="0"/>
    <m/>
    <n v="-2.59"/>
    <n v="13.72"/>
    <n v="8.5"/>
    <n v="-2.8"/>
    <n v="0"/>
    <n v="4.28"/>
    <n v="6.93"/>
    <n v="0"/>
    <n v="8.5"/>
    <n v="0"/>
    <n v="0"/>
    <n v="0"/>
    <n v="36.540000000000006"/>
    <n v="0"/>
  </r>
  <r>
    <x v="11"/>
    <x v="3"/>
    <x v="0"/>
    <s v="4150101"/>
    <n v="721650"/>
    <s v="Supplies-Pharmacy Drugs - Nonbillable"/>
    <s v="Psychiatric Acute"/>
    <x v="0"/>
    <m/>
    <n v="0"/>
    <n v="0.53"/>
    <n v="15.78"/>
    <n v="1.43"/>
    <n v="0"/>
    <n v="0"/>
    <n v="0.57999999999999996"/>
    <n v="36.450000000000003"/>
    <n v="0.98"/>
    <n v="60.75"/>
    <n v="24.3"/>
    <n v="0.48"/>
    <n v="141.28"/>
    <n v="23.82"/>
  </r>
  <r>
    <x v="11"/>
    <x v="3"/>
    <x v="0"/>
    <s v="4150101"/>
    <n v="721710"/>
    <s v="Supplies-Laboratory - Nonbillable"/>
    <s v="Psychiatric Acute"/>
    <x v="0"/>
    <m/>
    <n v="31.52"/>
    <n v="17.920000000000002"/>
    <n v="39.1"/>
    <n v="17.059999999999999"/>
    <n v="17.5"/>
    <n v="16.649999999999999"/>
    <n v="20.69"/>
    <n v="27.49"/>
    <n v="34.79"/>
    <n v="33.659999999999997"/>
    <n v="9.01"/>
    <n v="0.39"/>
    <n v="265.77999999999997"/>
    <n v="8.6199999999999992"/>
  </r>
  <r>
    <x v="11"/>
    <x v="3"/>
    <x v="0"/>
    <s v="4150101"/>
    <n v="721810"/>
    <s v="Supplies-Dietary/Cafeteria"/>
    <s v="Psychiatric Acute"/>
    <x v="0"/>
    <m/>
    <n v="934.11"/>
    <n v="813.89"/>
    <n v="876.8"/>
    <n v="726.09"/>
    <n v="551.80999999999995"/>
    <n v="778.03"/>
    <n v="703.38"/>
    <n v="698.75"/>
    <n v="698.54"/>
    <n v="645.11"/>
    <n v="521.78"/>
    <n v="160.63"/>
    <n v="8108.92"/>
    <n v="361.15"/>
  </r>
  <r>
    <x v="11"/>
    <x v="3"/>
    <x v="0"/>
    <s v="4150101"/>
    <n v="721830"/>
    <s v="Supplies-Office"/>
    <s v="Psychiatric Acute"/>
    <x v="0"/>
    <m/>
    <n v="437.7"/>
    <n v="323.77"/>
    <n v="534.09"/>
    <n v="315.97000000000003"/>
    <n v="320.60000000000002"/>
    <n v="623.15"/>
    <n v="205.46"/>
    <n v="159.72"/>
    <n v="637.13"/>
    <n v="115.24"/>
    <n v="98.46"/>
    <n v="59.03"/>
    <n v="3830.32"/>
    <n v="39.429999999999993"/>
  </r>
  <r>
    <x v="11"/>
    <x v="3"/>
    <x v="0"/>
    <s v="4150101"/>
    <n v="721835"/>
    <s v="Supplies-Forms"/>
    <s v="Psychiatric Acute"/>
    <x v="0"/>
    <m/>
    <n v="0"/>
    <n v="0"/>
    <n v="0"/>
    <n v="0"/>
    <n v="533.6"/>
    <n v="256.14999999999998"/>
    <n v="53"/>
    <n v="0"/>
    <n v="49.8"/>
    <n v="9.6"/>
    <n v="80.599999999999994"/>
    <n v="0"/>
    <n v="982.75"/>
    <n v="80.599999999999994"/>
  </r>
  <r>
    <x v="11"/>
    <x v="3"/>
    <x v="0"/>
    <s v="4150101"/>
    <n v="721870"/>
    <s v="Supplies-Environmental Services"/>
    <s v="Psychiatric Acute"/>
    <x v="0"/>
    <m/>
    <n v="253.01"/>
    <n v="657.17"/>
    <n v="294.18"/>
    <n v="240.67"/>
    <n v="302.42"/>
    <n v="268.39"/>
    <n v="272.04000000000002"/>
    <n v="376.95"/>
    <n v="377.46"/>
    <n v="1068.02"/>
    <n v="244.32"/>
    <n v="25.53"/>
    <n v="4380.1599999999989"/>
    <n v="218.79"/>
  </r>
  <r>
    <x v="11"/>
    <x v="3"/>
    <x v="0"/>
    <s v="4150101"/>
    <n v="721880"/>
    <s v="Supplies-Linen"/>
    <s v="Psychiatric Acute"/>
    <x v="0"/>
    <m/>
    <n v="0"/>
    <n v="30.81"/>
    <n v="27.67"/>
    <n v="32.1"/>
    <n v="28.74"/>
    <n v="9.6300000000000008"/>
    <n v="24"/>
    <n v="6.42"/>
    <n v="38.520000000000003"/>
    <n v="1.99"/>
    <n v="6.42"/>
    <n v="0"/>
    <n v="206.3"/>
    <n v="6.42"/>
  </r>
  <r>
    <x v="11"/>
    <x v="3"/>
    <x v="0"/>
    <s v="4150101"/>
    <n v="721910"/>
    <s v="Supplies-Small Equipment"/>
    <s v="Psychiatric Acute"/>
    <x v="0"/>
    <m/>
    <n v="55.92"/>
    <n v="62.57"/>
    <n v="48.18"/>
    <n v="312.77"/>
    <n v="20.13"/>
    <n v="50.1"/>
    <n v="753.67"/>
    <n v="82.76"/>
    <n v="201.99"/>
    <n v="127.85"/>
    <n v="71.69"/>
    <n v="0"/>
    <n v="1787.6299999999999"/>
    <n v="71.69"/>
  </r>
  <r>
    <x v="11"/>
    <x v="3"/>
    <x v="0"/>
    <s v="4150101"/>
    <n v="721910"/>
    <s v="Instruments"/>
    <s v="Psychiatric Acute"/>
    <x v="0"/>
    <n v="1000"/>
    <n v="0"/>
    <n v="1.46"/>
    <n v="4.7300000000000004"/>
    <n v="0"/>
    <n v="-2"/>
    <n v="4.37"/>
    <n v="7.82"/>
    <n v="5.52"/>
    <n v="0"/>
    <n v="0"/>
    <n v="6"/>
    <n v="0"/>
    <n v="27.900000000000002"/>
    <n v="6"/>
  </r>
  <r>
    <x v="11"/>
    <x v="3"/>
    <x v="0"/>
    <s v="4150101"/>
    <n v="721980"/>
    <s v="Supplies-Other"/>
    <s v="Psychiatric Acute"/>
    <x v="0"/>
    <m/>
    <n v="0"/>
    <n v="87.72"/>
    <n v="0"/>
    <n v="447.94"/>
    <n v="15.96"/>
    <n v="0"/>
    <n v="0"/>
    <n v="0"/>
    <n v="0"/>
    <n v="0"/>
    <n v="0"/>
    <n v="0"/>
    <n v="551.62"/>
    <n v="0"/>
  </r>
  <r>
    <x v="12"/>
    <x v="3"/>
    <x v="0"/>
    <s v="4150101"/>
    <n v="730020"/>
    <s v="Rental and Leases-Equipment (DO NOT USE)"/>
    <s v="Psychiatric Acute"/>
    <x v="0"/>
    <m/>
    <n v="0"/>
    <n v="0"/>
    <n v="0"/>
    <n v="0"/>
    <n v="-526.71"/>
    <n v="0"/>
    <n v="0"/>
    <n v="0"/>
    <n v="0"/>
    <n v="0"/>
    <n v="0"/>
    <n v="0"/>
    <n v="-526.71"/>
    <n v="0"/>
  </r>
  <r>
    <x v="12"/>
    <x v="3"/>
    <x v="0"/>
    <s v="4150101"/>
    <n v="730020"/>
    <s v="Rental and Leases-Copier Usage Fees (DO NOT USE)"/>
    <s v="Psychiatric Acute"/>
    <x v="0"/>
    <n v="5100"/>
    <n v="185.48"/>
    <n v="188.39"/>
    <n v="186.93"/>
    <n v="186.93"/>
    <n v="186.93"/>
    <n v="186.93"/>
    <n v="-192.75"/>
    <n v="88.2"/>
    <n v="192.83"/>
    <n v="227.49"/>
    <n v="88.71"/>
    <n v="393.93"/>
    <n v="1920.0000000000002"/>
    <n v="-305.22000000000003"/>
  </r>
  <r>
    <x v="15"/>
    <x v="3"/>
    <x v="0"/>
    <s v="4150101"/>
    <n v="731060"/>
    <s v="Cell Phones"/>
    <s v="Psychiatric Acute"/>
    <x v="0"/>
    <n v="1001"/>
    <n v="0"/>
    <n v="53.88"/>
    <n v="26.42"/>
    <n v="0"/>
    <n v="26.47"/>
    <n v="27.04"/>
    <n v="56.26"/>
    <n v="0"/>
    <n v="27.08"/>
    <n v="54.08"/>
    <n v="26.47"/>
    <n v="27.07"/>
    <n v="324.76999999999992"/>
    <n v="-0.60000000000000142"/>
  </r>
  <r>
    <x v="15"/>
    <x v="3"/>
    <x v="0"/>
    <s v="4150101"/>
    <n v="731060"/>
    <s v="Pagers"/>
    <s v="Psychiatric Acute"/>
    <x v="0"/>
    <n v="1002"/>
    <n v="32.4"/>
    <n v="32.4"/>
    <n v="32.4"/>
    <n v="32.479999999999997"/>
    <n v="32.479999999999997"/>
    <n v="0"/>
    <n v="64.959999999999994"/>
    <n v="32.479999999999997"/>
    <n v="60.01"/>
    <n v="32.479999999999997"/>
    <n v="32.479999999999997"/>
    <n v="32.479999999999997"/>
    <n v="417.05"/>
    <n v="0"/>
  </r>
  <r>
    <x v="13"/>
    <x v="3"/>
    <x v="0"/>
    <s v="4150101"/>
    <n v="735040"/>
    <s v="Depreciation-Building Improvements"/>
    <s v="Psychiatric Acute"/>
    <x v="0"/>
    <m/>
    <n v="9496.25"/>
    <n v="9496.25"/>
    <n v="9496.25"/>
    <n v="9496.24"/>
    <n v="9496.25"/>
    <n v="9496.23"/>
    <n v="9496.26"/>
    <n v="9496.2199999999993"/>
    <n v="9496.27"/>
    <n v="9496.2000000000007"/>
    <n v="9496.2800000000007"/>
    <n v="9496.19"/>
    <n v="113954.89"/>
    <n v="9.0000000000145519E-2"/>
  </r>
  <r>
    <x v="13"/>
    <x v="3"/>
    <x v="0"/>
    <s v="4150101"/>
    <n v="735060"/>
    <s v="Depreciation-Fixed Equipment"/>
    <s v="Psychiatric Acute"/>
    <x v="0"/>
    <m/>
    <n v="622.63"/>
    <n v="622.63"/>
    <n v="622.64"/>
    <n v="622.63"/>
    <n v="622.64"/>
    <n v="622.63"/>
    <n v="622.66"/>
    <n v="622.63"/>
    <n v="622.66"/>
    <n v="622.61"/>
    <n v="622.66999999999996"/>
    <n v="622.6"/>
    <n v="7471.63"/>
    <n v="6.9999999999936335E-2"/>
  </r>
  <r>
    <x v="13"/>
    <x v="3"/>
    <x v="0"/>
    <s v="4150101"/>
    <n v="735070"/>
    <s v="Depreciation-Movable Equipment"/>
    <s v="Psychiatric Acute"/>
    <x v="0"/>
    <m/>
    <n v="2878.31"/>
    <n v="2878.31"/>
    <n v="2878.34"/>
    <n v="2878.3"/>
    <n v="2878.35"/>
    <n v="2878.29"/>
    <n v="2878.36"/>
    <n v="2878.26"/>
    <n v="2878.36"/>
    <n v="2878.24"/>
    <n v="2878.38"/>
    <n v="2878.23"/>
    <n v="34539.729999999996"/>
    <n v="0.15000000000009095"/>
  </r>
  <r>
    <x v="0"/>
    <x v="3"/>
    <x v="0"/>
    <s v="4150101"/>
    <n v="740010"/>
    <s v="Education-Materials"/>
    <s v="Psychiatric Acute"/>
    <x v="0"/>
    <m/>
    <n v="0"/>
    <n v="0"/>
    <n v="0"/>
    <n v="132.9"/>
    <n v="0"/>
    <n v="0"/>
    <n v="0"/>
    <n v="0"/>
    <n v="0"/>
    <n v="0"/>
    <n v="0"/>
    <n v="0"/>
    <n v="132.9"/>
    <n v="0"/>
  </r>
  <r>
    <x v="0"/>
    <x v="3"/>
    <x v="0"/>
    <s v="4150101"/>
    <n v="740020"/>
    <s v="Education-Registration Fees"/>
    <s v="Psychiatric Acute"/>
    <x v="0"/>
    <m/>
    <n v="0"/>
    <n v="0"/>
    <n v="0"/>
    <n v="199.99"/>
    <n v="709.99"/>
    <n v="1001.64"/>
    <n v="0"/>
    <n v="0"/>
    <n v="0"/>
    <n v="1334.99"/>
    <n v="0"/>
    <n v="395"/>
    <n v="3641.6099999999997"/>
    <n v="-395"/>
  </r>
  <r>
    <x v="0"/>
    <x v="3"/>
    <x v="0"/>
    <s v="4150101"/>
    <n v="740030"/>
    <s v="Education-Travel"/>
    <s v="Psychiatric Acute"/>
    <x v="0"/>
    <m/>
    <n v="8250"/>
    <n v="0"/>
    <n v="0"/>
    <n v="0"/>
    <n v="0"/>
    <n v="0"/>
    <n v="0"/>
    <n v="0"/>
    <n v="0"/>
    <n v="0"/>
    <n v="0"/>
    <n v="0"/>
    <n v="8250"/>
    <n v="0"/>
  </r>
  <r>
    <x v="0"/>
    <x v="3"/>
    <x v="0"/>
    <s v="4150101"/>
    <n v="743030"/>
    <s v="Subscriptions--Institutional"/>
    <s v="Psychiatric Acute"/>
    <x v="0"/>
    <m/>
    <n v="0"/>
    <n v="0"/>
    <n v="0"/>
    <n v="0"/>
    <n v="0"/>
    <n v="0"/>
    <n v="44.12"/>
    <n v="0"/>
    <n v="0"/>
    <n v="0"/>
    <n v="0"/>
    <n v="0"/>
    <n v="44.12"/>
    <n v="0"/>
  </r>
  <r>
    <x v="0"/>
    <x v="3"/>
    <x v="0"/>
    <s v="4150101"/>
    <n v="749510"/>
    <s v="Miscellaneous Expenses"/>
    <s v="Psychiatric Acute"/>
    <x v="0"/>
    <m/>
    <n v="-453.38"/>
    <n v="157.85"/>
    <n v="32.97"/>
    <n v="-173.87"/>
    <n v="500.65"/>
    <n v="-252.41"/>
    <n v="-67.48"/>
    <n v="88.22"/>
    <n v="32.979999999999997"/>
    <n v="131.27000000000001"/>
    <n v="22.75"/>
    <n v="-22.75"/>
    <n v="-3.1999999999999602"/>
    <n v="45.5"/>
  </r>
  <r>
    <x v="0"/>
    <x v="3"/>
    <x v="0"/>
    <s v="4150101"/>
    <n v="749510"/>
    <s v="Licenses"/>
    <s v="Psychiatric Acute"/>
    <x v="0"/>
    <n v="1002"/>
    <n v="0"/>
    <n v="0"/>
    <n v="0"/>
    <n v="0"/>
    <n v="0"/>
    <n v="0"/>
    <n v="0"/>
    <n v="0"/>
    <n v="0"/>
    <n v="270"/>
    <n v="0"/>
    <n v="0"/>
    <n v="270"/>
    <n v="0"/>
  </r>
  <r>
    <x v="0"/>
    <x v="3"/>
    <x v="0"/>
    <s v="4150101"/>
    <n v="749510"/>
    <s v="Patient Discharge Assistance"/>
    <s v="Psychiatric Acute"/>
    <x v="0"/>
    <n v="1024"/>
    <n v="200"/>
    <n v="0"/>
    <n v="0"/>
    <n v="0"/>
    <n v="0"/>
    <n v="0"/>
    <n v="0"/>
    <n v="0"/>
    <n v="0"/>
    <n v="0"/>
    <n v="0"/>
    <n v="0"/>
    <n v="200"/>
    <n v="0"/>
  </r>
  <r>
    <x v="0"/>
    <x v="3"/>
    <x v="0"/>
    <s v="4150101"/>
    <n v="749510"/>
    <s v="RICE Rewards"/>
    <s v="Psychiatric Acute"/>
    <x v="0"/>
    <n v="5100"/>
    <n v="0"/>
    <n v="0"/>
    <n v="0"/>
    <n v="0"/>
    <n v="0"/>
    <n v="369.85"/>
    <n v="101.44"/>
    <n v="0"/>
    <n v="0"/>
    <n v="0"/>
    <n v="0"/>
    <n v="1184.6500000000001"/>
    <n v="1655.94"/>
    <n v="-1184.6500000000001"/>
  </r>
  <r>
    <x v="1"/>
    <x v="3"/>
    <x v="0"/>
    <s v="4155101"/>
    <n v="400040"/>
    <s v="Physician Svcs Rev--Medicare"/>
    <s v="FHS-Psychology Services"/>
    <x v="0"/>
    <n v="1100"/>
    <n v="-11085"/>
    <n v="-10938"/>
    <n v="-11853"/>
    <n v="-16297"/>
    <n v="-13410"/>
    <n v="-8966"/>
    <n v="-22497"/>
    <n v="-14363"/>
    <n v="-6419"/>
    <n v="-3424"/>
    <n v="-13877"/>
    <n v="-882.71"/>
    <n v="-134011.71"/>
    <n v="-12994.29"/>
  </r>
  <r>
    <x v="1"/>
    <x v="3"/>
    <x v="0"/>
    <s v="4155101"/>
    <n v="400040"/>
    <s v="Physician Svcs Rev--Medicaid"/>
    <s v="FHS-Psychology Services"/>
    <x v="0"/>
    <n v="1200"/>
    <n v="-3075"/>
    <n v="-11345"/>
    <n v="-6916"/>
    <n v="-8207"/>
    <n v="-6533"/>
    <n v="-3990"/>
    <n v="-4756"/>
    <n v="-2517"/>
    <n v="-2718"/>
    <n v="-1531"/>
    <n v="-2837"/>
    <n v="-1068"/>
    <n v="-55493"/>
    <n v="-1769"/>
  </r>
  <r>
    <x v="1"/>
    <x v="3"/>
    <x v="0"/>
    <s v="4155101"/>
    <n v="400040"/>
    <s v="Physician Svcs Rev--Comm Insurance"/>
    <s v="FHS-Psychology Services"/>
    <x v="0"/>
    <n v="1300"/>
    <n v="0"/>
    <n v="0"/>
    <n v="-1325"/>
    <n v="-1064"/>
    <n v="0"/>
    <n v="-1064"/>
    <n v="-1396"/>
    <n v="0"/>
    <n v="0"/>
    <n v="0"/>
    <n v="0"/>
    <n v="0"/>
    <n v="-4849"/>
    <n v="0"/>
  </r>
  <r>
    <x v="1"/>
    <x v="3"/>
    <x v="0"/>
    <s v="4155101"/>
    <n v="400040"/>
    <s v="Physician Svcs Rev--BCBS Comm"/>
    <s v="FHS-Psychology Services"/>
    <x v="0"/>
    <n v="1301"/>
    <n v="0"/>
    <n v="0"/>
    <n v="0"/>
    <n v="-2132"/>
    <n v="0"/>
    <n v="-454"/>
    <n v="-2480"/>
    <n v="-2599"/>
    <n v="0"/>
    <n v="-2242"/>
    <n v="-1240"/>
    <n v="-1121.32"/>
    <n v="-12268.32"/>
    <n v="-118.68000000000006"/>
  </r>
  <r>
    <x v="1"/>
    <x v="3"/>
    <x v="0"/>
    <s v="4155101"/>
    <n v="400040"/>
    <s v="Physician Svcs Rev--Managed Care"/>
    <s v="FHS-Psychology Services"/>
    <x v="0"/>
    <n v="1400"/>
    <n v="-4528"/>
    <n v="-1330"/>
    <n v="-2128"/>
    <n v="-1518"/>
    <n v="-5586"/>
    <n v="-3990"/>
    <n v="1068"/>
    <n v="-1648"/>
    <n v="-2924"/>
    <n v="-3482"/>
    <n v="-5637"/>
    <n v="-3720.64"/>
    <n v="-35423.64"/>
    <n v="-1916.3600000000001"/>
  </r>
  <r>
    <x v="1"/>
    <x v="3"/>
    <x v="0"/>
    <s v="4155101"/>
    <n v="400040"/>
    <s v="Physician Svcs Rev--Self Pay"/>
    <s v="FHS-Psychology Services"/>
    <x v="0"/>
    <n v="1500"/>
    <n v="0"/>
    <n v="1325"/>
    <n v="-1064"/>
    <n v="-801"/>
    <n v="-1518"/>
    <n v="-1064"/>
    <n v="-883"/>
    <n v="0"/>
    <n v="0"/>
    <n v="-3548"/>
    <n v="0"/>
    <n v="1068"/>
    <n v="-6485"/>
    <n v="-1068"/>
  </r>
  <r>
    <x v="1"/>
    <x v="3"/>
    <x v="0"/>
    <s v="4155101"/>
    <n v="400040"/>
    <s v="Physician Svcs Rev--Other"/>
    <s v="FHS-Psychology Services"/>
    <x v="0"/>
    <n v="1700"/>
    <n v="0"/>
    <n v="-2128"/>
    <n v="0"/>
    <n v="-1122"/>
    <n v="-2394"/>
    <n v="-227"/>
    <n v="-2308"/>
    <n v="-1596"/>
    <n v="0"/>
    <n v="-1359"/>
    <n v="0"/>
    <n v="-798"/>
    <n v="-11932"/>
    <n v="798"/>
  </r>
  <r>
    <x v="2"/>
    <x v="3"/>
    <x v="0"/>
    <s v="4155101"/>
    <n v="450040"/>
    <s v="Contr Allow--Phys Svcs--Mcare"/>
    <s v="FHS-Psychology Services"/>
    <x v="0"/>
    <n v="1100"/>
    <n v="4949.8500000000004"/>
    <n v="3703.55"/>
    <n v="3932.03"/>
    <n v="17077.57"/>
    <n v="4303.25"/>
    <n v="2890.64"/>
    <n v="2922.71"/>
    <n v="2230.7800000000002"/>
    <n v="26818.6"/>
    <n v="5287.92"/>
    <n v="7157.14"/>
    <n v="3948.44"/>
    <n v="85222.48"/>
    <n v="3208.7000000000003"/>
  </r>
  <r>
    <x v="2"/>
    <x v="3"/>
    <x v="0"/>
    <s v="4155101"/>
    <n v="450040"/>
    <s v="Contr Allow--Phys Svcs--Mcaid"/>
    <s v="FHS-Psychology Services"/>
    <x v="0"/>
    <n v="1200"/>
    <n v="6725.23"/>
    <n v="3549.07"/>
    <n v="5956.16"/>
    <n v="8434.18"/>
    <n v="6901.42"/>
    <n v="3004.8"/>
    <n v="2619.4499999999998"/>
    <n v="2901.04"/>
    <n v="1161.18"/>
    <n v="1906.18"/>
    <n v="982.65"/>
    <n v="2170.04"/>
    <n v="46311.4"/>
    <n v="-1187.3899999999999"/>
  </r>
  <r>
    <x v="2"/>
    <x v="3"/>
    <x v="0"/>
    <s v="4155101"/>
    <n v="450040"/>
    <s v="Contr Allow--Phys Svcs--Comm Insurance"/>
    <s v="FHS-Psychology Services"/>
    <x v="0"/>
    <n v="1300"/>
    <n v="0"/>
    <n v="0"/>
    <n v="0"/>
    <n v="781.5"/>
    <n v="353.27"/>
    <n v="0"/>
    <n v="0"/>
    <n v="0"/>
    <n v="0"/>
    <n v="0"/>
    <n v="0"/>
    <n v="0"/>
    <n v="1134.77"/>
    <n v="0"/>
  </r>
  <r>
    <x v="2"/>
    <x v="3"/>
    <x v="0"/>
    <s v="4155101"/>
    <n v="450040"/>
    <s v="Contr Allow--Phys Svcs--BCBS Comm Ins"/>
    <s v="FHS-Psychology Services"/>
    <x v="0"/>
    <n v="1301"/>
    <n v="281.39999999999998"/>
    <n v="0"/>
    <n v="0"/>
    <n v="258.24"/>
    <n v="281.39999999999998"/>
    <n v="111.4"/>
    <n v="271.11"/>
    <n v="328.25"/>
    <n v="1040.98"/>
    <n v="213.97"/>
    <n v="627.92999999999995"/>
    <n v="52.92"/>
    <n v="3467.5999999999995"/>
    <n v="575.01"/>
  </r>
  <r>
    <x v="2"/>
    <x v="3"/>
    <x v="0"/>
    <s v="4155101"/>
    <n v="450040"/>
    <s v="Contr Allow--Phys Svcs--Managed Care"/>
    <s v="FHS-Psychology Services"/>
    <x v="0"/>
    <n v="1400"/>
    <n v="1170.2"/>
    <n v="2427.84"/>
    <n v="2799.24"/>
    <n v="1344.72"/>
    <n v="0"/>
    <n v="3083.01"/>
    <n v="2885.75"/>
    <n v="-328.22"/>
    <n v="3123.88"/>
    <n v="711.3"/>
    <n v="1808.98"/>
    <n v="3834.49"/>
    <n v="22861.190000000002"/>
    <n v="-2025.5099999999998"/>
  </r>
  <r>
    <x v="2"/>
    <x v="3"/>
    <x v="0"/>
    <s v="4155101"/>
    <n v="450040"/>
    <s v="Contr Allow--Phys Svcs--BCBS Mgnd Care"/>
    <s v="FHS-Psychology Services"/>
    <x v="0"/>
    <n v="1401"/>
    <n v="-1462.15"/>
    <n v="2675.45"/>
    <n v="2291.52"/>
    <n v="-5691.96"/>
    <n v="4505.26"/>
    <n v="2921.64"/>
    <n v="10760.65"/>
    <n v="8784.76"/>
    <n v="-19115.96"/>
    <n v="-1974.15"/>
    <n v="4516.47"/>
    <n v="-7378.14"/>
    <n v="833.38999999999851"/>
    <n v="11894.61"/>
  </r>
  <r>
    <x v="2"/>
    <x v="3"/>
    <x v="0"/>
    <s v="4155101"/>
    <n v="450040"/>
    <s v="Admin Adjust-Phys Svcs-Self Pay"/>
    <s v="FHS-Psychology Services"/>
    <x v="0"/>
    <n v="1600"/>
    <n v="15.32"/>
    <n v="-229.05"/>
    <n v="-184.71"/>
    <n v="370.61"/>
    <n v="845.7"/>
    <n v="393.68"/>
    <n v="334.71"/>
    <n v="11.19"/>
    <n v="0"/>
    <n v="1312.76"/>
    <n v="71.12"/>
    <n v="-390.87"/>
    <n v="2550.46"/>
    <n v="461.99"/>
  </r>
  <r>
    <x v="2"/>
    <x v="3"/>
    <x v="0"/>
    <s v="4155101"/>
    <n v="450040"/>
    <s v="Contr Allow--Phys Svcs--Other"/>
    <s v="FHS-Psychology Services"/>
    <x v="0"/>
    <n v="1700"/>
    <n v="270.42"/>
    <n v="1338.32"/>
    <n v="0"/>
    <n v="0"/>
    <n v="167.29"/>
    <n v="0"/>
    <n v="143.21"/>
    <n v="0"/>
    <n v="0"/>
    <n v="-67.2"/>
    <n v="0"/>
    <n v="1405.78"/>
    <n v="3257.8199999999997"/>
    <n v="-1405.78"/>
  </r>
  <r>
    <x v="3"/>
    <x v="3"/>
    <x v="0"/>
    <s v="4155101"/>
    <n v="470040"/>
    <s v="Charity Care-Physician Svcs"/>
    <s v="FHS-Psychology Services"/>
    <x v="0"/>
    <m/>
    <n v="-110.04"/>
    <n v="264.88"/>
    <n v="2.96"/>
    <n v="-83.7"/>
    <n v="194"/>
    <n v="-15.85"/>
    <n v="288.49"/>
    <n v="210.64"/>
    <n v="-229.72"/>
    <n v="668.04"/>
    <n v="6.81"/>
    <n v="-49"/>
    <n v="1147.5099999999998"/>
    <n v="55.81"/>
  </r>
  <r>
    <x v="4"/>
    <x v="3"/>
    <x v="0"/>
    <s v="4155101"/>
    <n v="490010"/>
    <s v="Provision for Bad Debts"/>
    <s v="FHS-Psychology Services"/>
    <x v="0"/>
    <m/>
    <n v="203.85"/>
    <n v="314.85000000000002"/>
    <n v="959.15"/>
    <n v="-879.5"/>
    <n v="1534.48"/>
    <n v="91.56"/>
    <n v="1210.94"/>
    <n v="592.16"/>
    <n v="-2432.2399999999998"/>
    <n v="-212"/>
    <n v="57.78"/>
    <n v="-711"/>
    <n v="730.03"/>
    <n v="768.78"/>
  </r>
  <r>
    <x v="5"/>
    <x v="3"/>
    <x v="0"/>
    <s v="4155101"/>
    <n v="700032"/>
    <s v="Salaries-Other Pat Care Providers-Productive"/>
    <s v="FHS-Psychology Services"/>
    <x v="0"/>
    <m/>
    <n v="7166.73"/>
    <n v="10475.08"/>
    <n v="9997.4500000000007"/>
    <n v="10167.5"/>
    <n v="11716.4"/>
    <n v="8891.26"/>
    <n v="10791.54"/>
    <n v="9319.2099999999991"/>
    <n v="4791.79"/>
    <n v="13129.48"/>
    <n v="11696.22"/>
    <n v="5131.6000000000004"/>
    <n v="113274.25999999998"/>
    <n v="6564.619999999999"/>
  </r>
  <r>
    <x v="5"/>
    <x v="3"/>
    <x v="0"/>
    <s v="4155101"/>
    <n v="700038"/>
    <s v="Salaries-Service/Support-Productive"/>
    <s v="FHS-Psychology Services"/>
    <x v="0"/>
    <m/>
    <n v="3127.34"/>
    <n v="3331.69"/>
    <n v="3061.61"/>
    <n v="3773.39"/>
    <n v="2492.66"/>
    <n v="1782.42"/>
    <n v="3389.6"/>
    <n v="2976.67"/>
    <n v="3028.32"/>
    <n v="3485.41"/>
    <n v="4896.04"/>
    <n v="1703.42"/>
    <n v="37048.569999999992"/>
    <n v="3192.62"/>
  </r>
  <r>
    <x v="5"/>
    <x v="3"/>
    <x v="0"/>
    <s v="4155101"/>
    <n v="700072"/>
    <s v="Salaries-Other Pat Care Providers-Non-productive"/>
    <s v="FHS-Psychology Services"/>
    <x v="0"/>
    <m/>
    <n v="4226.71"/>
    <n v="918.92"/>
    <n v="1029.1199999999999"/>
    <n v="1456.4"/>
    <n v="-414.4"/>
    <n v="2787.83"/>
    <n v="905.79"/>
    <n v="1245.03"/>
    <n v="6904.44"/>
    <n v="-1810.92"/>
    <n v="0"/>
    <n v="528.21"/>
    <n v="17777.129999999997"/>
    <n v="-528.21"/>
  </r>
  <r>
    <x v="5"/>
    <x v="3"/>
    <x v="0"/>
    <s v="4155101"/>
    <n v="700072"/>
    <s v="Salaries-Other Pat Care Providers-NonProd-Other"/>
    <s v="FHS-Psychology Services"/>
    <x v="0"/>
    <n v="2000"/>
    <n v="0"/>
    <n v="0"/>
    <n v="0"/>
    <n v="0"/>
    <n v="0"/>
    <n v="0"/>
    <n v="0"/>
    <n v="0"/>
    <n v="0"/>
    <n v="0"/>
    <n v="0"/>
    <n v="-5805.18"/>
    <n v="-5805.18"/>
    <n v="5805.18"/>
  </r>
  <r>
    <x v="5"/>
    <x v="3"/>
    <x v="0"/>
    <s v="4155101"/>
    <n v="700078"/>
    <s v="Salaries-Service/Support-Non-productive"/>
    <s v="FHS-Psychology Services"/>
    <x v="0"/>
    <m/>
    <n v="295.25"/>
    <n v="215.67"/>
    <n v="389.1"/>
    <n v="-86.46"/>
    <n v="901.84"/>
    <n v="1717.48"/>
    <n v="199.87"/>
    <n v="644.84"/>
    <n v="379.11"/>
    <n v="66.900000000000006"/>
    <n v="-37.14"/>
    <n v="364.25"/>
    <n v="5050.7099999999991"/>
    <n v="-401.39"/>
  </r>
  <r>
    <x v="5"/>
    <x v="3"/>
    <x v="0"/>
    <s v="4155101"/>
    <n v="700084"/>
    <s v="Accrued PTO"/>
    <s v="FHS-Psychology Services"/>
    <x v="0"/>
    <m/>
    <n v="-2335.25"/>
    <n v="768.68"/>
    <n v="686.07"/>
    <n v="2022.96"/>
    <n v="1590.32"/>
    <n v="-1675.5"/>
    <n v="762.77"/>
    <n v="466.08"/>
    <n v="-3537.81"/>
    <n v="1854.91"/>
    <n v="2174.88"/>
    <n v="-26068.06"/>
    <n v="-23289.95"/>
    <n v="28242.940000000002"/>
  </r>
  <r>
    <x v="6"/>
    <x v="3"/>
    <x v="0"/>
    <s v="4155101"/>
    <n v="713010"/>
    <s v="Benefits-FICA/Medicare"/>
    <s v="FHS-Psychology Services"/>
    <x v="0"/>
    <m/>
    <n v="1130.42"/>
    <n v="1140.04"/>
    <n v="1104.6099999999999"/>
    <n v="1168.29"/>
    <n v="1137.07"/>
    <n v="744.4"/>
    <n v="1156.1300000000001"/>
    <n v="1072.3900000000001"/>
    <n v="1142.49"/>
    <n v="1124.83"/>
    <n v="1253.1300000000001"/>
    <n v="1017.03"/>
    <n v="13190.83"/>
    <n v="236.10000000000014"/>
  </r>
  <r>
    <x v="6"/>
    <x v="3"/>
    <x v="0"/>
    <s v="4155101"/>
    <n v="713090"/>
    <s v="Benefits-Allocated Amounts"/>
    <s v="FHS-Psychology Services"/>
    <x v="0"/>
    <m/>
    <n v="2579.36"/>
    <n v="2581.89"/>
    <n v="2702.82"/>
    <n v="2787.37"/>
    <n v="2744.22"/>
    <n v="2564.39"/>
    <n v="2907.79"/>
    <n v="2952.4"/>
    <n v="1896.45"/>
    <n v="2887.03"/>
    <n v="3413.38"/>
    <n v="-113.78"/>
    <n v="29903.32"/>
    <n v="3527.1600000000003"/>
  </r>
  <r>
    <x v="11"/>
    <x v="3"/>
    <x v="0"/>
    <s v="4155101"/>
    <n v="721810"/>
    <s v="Supplies-Dietary/Cafeteria"/>
    <s v="FHS-Psychology Services"/>
    <x v="0"/>
    <m/>
    <n v="0"/>
    <n v="41.42"/>
    <n v="60.44"/>
    <n v="33.42"/>
    <n v="66.84"/>
    <n v="0"/>
    <n v="33.42"/>
    <n v="0"/>
    <n v="0"/>
    <n v="33.42"/>
    <n v="0"/>
    <n v="0"/>
    <n v="268.96000000000004"/>
    <n v="0"/>
  </r>
  <r>
    <x v="11"/>
    <x v="3"/>
    <x v="0"/>
    <s v="4155101"/>
    <n v="721830"/>
    <s v="Supplies-Office"/>
    <s v="FHS-Psychology Services"/>
    <x v="0"/>
    <m/>
    <n v="220.2"/>
    <n v="1615.7"/>
    <n v="165.15"/>
    <n v="1028.68"/>
    <n v="533.24"/>
    <n v="153.35"/>
    <n v="2123.7199999999998"/>
    <n v="269.75"/>
    <n v="430.06"/>
    <n v="168.67"/>
    <n v="278.26"/>
    <n v="-307.97000000000003"/>
    <n v="6678.81"/>
    <n v="586.23"/>
  </r>
  <r>
    <x v="11"/>
    <x v="3"/>
    <x v="0"/>
    <s v="4155101"/>
    <n v="722000"/>
    <s v="Supplies-Freight Expense"/>
    <s v="FHS-Psychology Services"/>
    <x v="0"/>
    <m/>
    <n v="0"/>
    <n v="17.91"/>
    <n v="18.63"/>
    <n v="0"/>
    <n v="17.77"/>
    <n v="0"/>
    <n v="9.91"/>
    <n v="0"/>
    <n v="22.85"/>
    <n v="0"/>
    <n v="8.26"/>
    <n v="71.31"/>
    <n v="166.64"/>
    <n v="-63.050000000000004"/>
  </r>
  <r>
    <x v="12"/>
    <x v="3"/>
    <x v="0"/>
    <s v="4155101"/>
    <n v="730010"/>
    <s v="Rental and Leases-Building (DO NOT USE)"/>
    <s v="FHS-Psychology Services"/>
    <x v="0"/>
    <m/>
    <n v="3284.45"/>
    <n v="3284.45"/>
    <n v="3284.45"/>
    <n v="3284.45"/>
    <n v="3284.45"/>
    <n v="-501.32"/>
    <n v="2706.52"/>
    <n v="2706.52"/>
    <n v="2706.52"/>
    <n v="2699.37"/>
    <n v="2699.37"/>
    <n v="0"/>
    <n v="29439.23"/>
    <n v="2699.37"/>
  </r>
  <r>
    <x v="12"/>
    <x v="3"/>
    <x v="0"/>
    <s v="4155101"/>
    <n v="730010"/>
    <s v="Rental-Common Area Maint (DO NOT USE)"/>
    <s v="FHS-Psychology Services"/>
    <x v="0"/>
    <n v="2200"/>
    <n v="0"/>
    <n v="0"/>
    <n v="0"/>
    <n v="0"/>
    <n v="0"/>
    <n v="3785.77"/>
    <n v="631"/>
    <n v="631"/>
    <n v="631"/>
    <n v="20.12"/>
    <n v="631"/>
    <n v="631"/>
    <n v="6960.89"/>
    <n v="0"/>
  </r>
  <r>
    <x v="12"/>
    <x v="3"/>
    <x v="0"/>
    <s v="4155101"/>
    <n v="730020"/>
    <s v="Rental and Leases-Copier Usage Fees (DO NOT USE)"/>
    <s v="FHS-Psychology Services"/>
    <x v="0"/>
    <n v="5100"/>
    <n v="90.73"/>
    <n v="93.11"/>
    <n v="91.92"/>
    <n v="91.92"/>
    <n v="91.92"/>
    <n v="91.92"/>
    <n v="191.96"/>
    <n v="90.4"/>
    <n v="178.93"/>
    <n v="21.16"/>
    <n v="88.71"/>
    <n v="106.87"/>
    <n v="1229.5500000000002"/>
    <n v="-18.160000000000011"/>
  </r>
  <r>
    <x v="12"/>
    <x v="3"/>
    <x v="0"/>
    <s v="4155101"/>
    <n v="730040"/>
    <s v="LT Lease-Real Estate"/>
    <s v="FHS-Psychology Services"/>
    <x v="0"/>
    <m/>
    <n v="0"/>
    <n v="0"/>
    <n v="0"/>
    <n v="0"/>
    <n v="0"/>
    <n v="0"/>
    <n v="0"/>
    <n v="0"/>
    <n v="0"/>
    <n v="0"/>
    <n v="0"/>
    <n v="2699.37"/>
    <n v="2699.37"/>
    <n v="-2699.37"/>
  </r>
  <r>
    <x v="15"/>
    <x v="3"/>
    <x v="0"/>
    <s v="4155101"/>
    <n v="731060"/>
    <s v="Telephone"/>
    <s v="FHS-Psychology Services"/>
    <x v="0"/>
    <m/>
    <n v="12.22"/>
    <n v="8.3800000000000008"/>
    <n v="11.39"/>
    <n v="11.42"/>
    <n v="11.41"/>
    <n v="11.98"/>
    <n v="11.59"/>
    <n v="11.39"/>
    <n v="11.62"/>
    <n v="8.3800000000000008"/>
    <n v="11.61"/>
    <n v="11.61"/>
    <n v="133"/>
    <n v="0"/>
  </r>
  <r>
    <x v="16"/>
    <x v="3"/>
    <x v="0"/>
    <s v="4155101"/>
    <n v="732030"/>
    <s v="Repairs---Other"/>
    <s v="FHS-Psychology Services"/>
    <x v="0"/>
    <m/>
    <n v="0"/>
    <n v="0"/>
    <n v="0"/>
    <n v="0"/>
    <n v="0"/>
    <n v="0"/>
    <n v="0"/>
    <n v="0"/>
    <n v="648.49"/>
    <n v="0"/>
    <n v="0"/>
    <n v="0"/>
    <n v="648.49"/>
    <n v="0"/>
  </r>
  <r>
    <x v="13"/>
    <x v="3"/>
    <x v="0"/>
    <s v="4155101"/>
    <n v="735050"/>
    <s v="Amortization-Leasehold Improvements"/>
    <s v="FHS-Psychology Services"/>
    <x v="0"/>
    <m/>
    <n v="908.89"/>
    <n v="908.88"/>
    <n v="908.89"/>
    <n v="908.88"/>
    <n v="908.91"/>
    <n v="908.88"/>
    <n v="908.91"/>
    <n v="908.88"/>
    <n v="908.91"/>
    <n v="908.87"/>
    <n v="908.92"/>
    <n v="908.87"/>
    <n v="10906.69"/>
    <n v="4.9999999999954525E-2"/>
  </r>
  <r>
    <x v="13"/>
    <x v="3"/>
    <x v="0"/>
    <s v="4155101"/>
    <n v="735070"/>
    <s v="Depreciation-Movable Equipment"/>
    <s v="FHS-Psychology Services"/>
    <x v="0"/>
    <m/>
    <n v="234.33"/>
    <n v="234.31"/>
    <n v="234.33"/>
    <n v="234.31"/>
    <n v="234.33"/>
    <n v="234.29"/>
    <n v="234.34"/>
    <n v="234.29"/>
    <n v="234.34"/>
    <n v="234.29"/>
    <n v="234.34"/>
    <n v="234.28"/>
    <n v="2811.78"/>
    <n v="6.0000000000002274E-2"/>
  </r>
  <r>
    <x v="0"/>
    <x v="3"/>
    <x v="0"/>
    <s v="4155101"/>
    <n v="740020"/>
    <s v="Education-Registration Fees"/>
    <s v="FHS-Psychology Services"/>
    <x v="0"/>
    <m/>
    <n v="0"/>
    <n v="0"/>
    <n v="0"/>
    <n v="0"/>
    <n v="0"/>
    <n v="0"/>
    <n v="0"/>
    <n v="0"/>
    <n v="385"/>
    <n v="0"/>
    <n v="0"/>
    <n v="0"/>
    <n v="385"/>
    <n v="0"/>
  </r>
  <r>
    <x v="1"/>
    <x v="4"/>
    <x v="0"/>
    <s v="4155103"/>
    <n v="400040"/>
    <s v="Physician Svcs Rev--Other"/>
    <s v="FHS-Psychology Services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4"/>
    <x v="0"/>
    <s v="4155103"/>
    <n v="450040"/>
    <s v="Contr Allow--Phys Svcs--BCBS Mgnd Care"/>
    <s v="FHS-Psychology Services"/>
    <x v="0"/>
    <n v="1401"/>
    <n v="-1.43"/>
    <n v="0.21"/>
    <n v="129.25"/>
    <n v="-3.95"/>
    <n v="-476.94"/>
    <n v="0"/>
    <n v="0"/>
    <n v="0"/>
    <n v="0"/>
    <n v="0"/>
    <n v="0"/>
    <n v="0"/>
    <n v="-352.86"/>
    <n v="0"/>
  </r>
  <r>
    <x v="3"/>
    <x v="4"/>
    <x v="0"/>
    <s v="4155103"/>
    <n v="470040"/>
    <s v="Charity Care-Physician Svcs"/>
    <s v="FHS-Psychology Services"/>
    <x v="0"/>
    <m/>
    <n v="-0.96"/>
    <n v="2.4500000000000002"/>
    <n v="3.46"/>
    <n v="-0.31"/>
    <n v="-16.37"/>
    <n v="0"/>
    <n v="0"/>
    <n v="0"/>
    <n v="0"/>
    <n v="0"/>
    <n v="0"/>
    <n v="0"/>
    <n v="-11.73"/>
    <n v="0"/>
  </r>
  <r>
    <x v="4"/>
    <x v="4"/>
    <x v="0"/>
    <s v="4155103"/>
    <n v="490010"/>
    <s v="Provision for Bad Debts"/>
    <s v="FHS-Psychology Services"/>
    <x v="0"/>
    <m/>
    <n v="-33.340000000000003"/>
    <n v="-0.74"/>
    <n v="-206.27"/>
    <n v="-5.96"/>
    <n v="-108.95"/>
    <n v="0"/>
    <n v="0"/>
    <n v="0"/>
    <n v="0"/>
    <n v="0"/>
    <n v="0"/>
    <n v="0"/>
    <n v="-355.26000000000005"/>
    <n v="0"/>
  </r>
  <r>
    <x v="2"/>
    <x v="9"/>
    <x v="0"/>
    <s v="4190501"/>
    <n v="450040"/>
    <s v="Contr Allow--Phys Svcs--BCBS Mgnd Care"/>
    <s v="Regional Mental Health Admin"/>
    <x v="0"/>
    <n v="1401"/>
    <n v="0"/>
    <n v="0"/>
    <n v="0"/>
    <n v="0"/>
    <n v="0"/>
    <n v="49.22"/>
    <n v="-49.22"/>
    <n v="0"/>
    <n v="0"/>
    <n v="0"/>
    <n v="0"/>
    <n v="0"/>
    <n v="0"/>
    <n v="0"/>
  </r>
  <r>
    <x v="3"/>
    <x v="9"/>
    <x v="0"/>
    <s v="4190501"/>
    <n v="470040"/>
    <s v="Charity Care-Physician Svcs"/>
    <s v="Regional Mental Health Admin"/>
    <x v="0"/>
    <m/>
    <n v="0"/>
    <n v="0"/>
    <n v="0"/>
    <n v="0"/>
    <n v="1.73"/>
    <n v="-0.16"/>
    <n v="-1.57"/>
    <n v="0"/>
    <n v="0"/>
    <n v="0"/>
    <n v="0"/>
    <n v="0"/>
    <n v="0"/>
    <n v="0"/>
  </r>
  <r>
    <x v="4"/>
    <x v="9"/>
    <x v="0"/>
    <s v="4190501"/>
    <n v="490010"/>
    <s v="Provision for Bad Debts"/>
    <s v="Regional Mental Health Admin"/>
    <x v="0"/>
    <m/>
    <n v="0"/>
    <n v="0"/>
    <n v="0"/>
    <n v="0"/>
    <n v="6.32"/>
    <n v="-0.37"/>
    <n v="-5.95"/>
    <n v="0"/>
    <n v="0"/>
    <n v="0"/>
    <n v="0"/>
    <n v="0"/>
    <n v="0"/>
    <n v="0"/>
  </r>
  <r>
    <x v="14"/>
    <x v="9"/>
    <x v="0"/>
    <s v="4190501"/>
    <n v="600055"/>
    <s v="Grants"/>
    <s v="Regional Mental Health Admin"/>
    <x v="0"/>
    <m/>
    <n v="0"/>
    <n v="0"/>
    <n v="-200000"/>
    <n v="0"/>
    <n v="0"/>
    <n v="0"/>
    <n v="0"/>
    <n v="0"/>
    <n v="0"/>
    <n v="0"/>
    <n v="10778.98"/>
    <n v="0"/>
    <n v="-189221.02"/>
    <n v="10778.98"/>
  </r>
  <r>
    <x v="20"/>
    <x v="9"/>
    <x v="0"/>
    <s v="4190501"/>
    <n v="610010"/>
    <s v="Foundation Distributions"/>
    <s v="Regional Mental Health Admin"/>
    <x v="0"/>
    <n v="1175"/>
    <n v="0"/>
    <n v="-31763.83"/>
    <n v="0"/>
    <n v="-20419.46"/>
    <n v="-12830.66"/>
    <n v="-28169.8"/>
    <n v="0"/>
    <n v="-11642.07"/>
    <n v="0"/>
    <n v="-57023.86"/>
    <n v="0"/>
    <n v="0"/>
    <n v="-161849.68"/>
    <n v="0"/>
  </r>
  <r>
    <x v="5"/>
    <x v="9"/>
    <x v="0"/>
    <s v="4190501"/>
    <n v="700014"/>
    <s v="Salaries-Management-Productive"/>
    <s v="Regional Mental Health Admin"/>
    <x v="0"/>
    <m/>
    <n v="19375.7"/>
    <n v="16046.57"/>
    <n v="20092.98"/>
    <n v="21348.05"/>
    <n v="23997.14"/>
    <n v="16914.349999999999"/>
    <n v="27388.31"/>
    <n v="18918.38"/>
    <n v="30210.67"/>
    <n v="30205.42"/>
    <n v="27969.35"/>
    <n v="29290.560000000001"/>
    <n v="281757.48000000004"/>
    <n v="-1321.2100000000028"/>
  </r>
  <r>
    <x v="5"/>
    <x v="9"/>
    <x v="0"/>
    <s v="4190501"/>
    <n v="700014"/>
    <s v="Salaries-Management-Other"/>
    <s v="Regional Mental Health Admin"/>
    <x v="0"/>
    <n v="2000"/>
    <n v="819.25"/>
    <n v="819.29"/>
    <n v="792.87"/>
    <n v="819.29"/>
    <n v="792.84"/>
    <n v="819.29"/>
    <n v="850.6"/>
    <n v="741.09"/>
    <n v="820.47"/>
    <n v="794"/>
    <n v="820.49"/>
    <n v="794.02"/>
    <n v="9683.5000000000018"/>
    <n v="26.470000000000027"/>
  </r>
  <r>
    <x v="5"/>
    <x v="9"/>
    <x v="0"/>
    <s v="4190501"/>
    <n v="700026"/>
    <s v="Salaries-RN-Productive"/>
    <s v="Regional Mental Health Admin"/>
    <x v="0"/>
    <m/>
    <n v="27494.25"/>
    <n v="30319.97"/>
    <n v="24728.75"/>
    <n v="27013.96"/>
    <n v="22159.82"/>
    <n v="23207.69"/>
    <n v="27198.23"/>
    <n v="24700.959999999999"/>
    <n v="33966.54"/>
    <n v="13379.51"/>
    <n v="6566.05"/>
    <n v="23187.35"/>
    <n v="283923.08"/>
    <n v="-16621.3"/>
  </r>
  <r>
    <x v="5"/>
    <x v="9"/>
    <x v="0"/>
    <s v="4190501"/>
    <n v="700026"/>
    <s v="Salaries-RN-OT"/>
    <s v="Regional Mental Health Admin"/>
    <x v="0"/>
    <n v="1000"/>
    <n v="928.89"/>
    <n v="1355.8"/>
    <n v="293.70999999999998"/>
    <n v="1170.0999999999999"/>
    <n v="809.91"/>
    <n v="983.14"/>
    <n v="3846.13"/>
    <n v="2430.5"/>
    <n v="1680.22"/>
    <n v="196.48"/>
    <n v="248.32"/>
    <n v="1210.3499999999999"/>
    <n v="15153.55"/>
    <n v="-962.03"/>
  </r>
  <r>
    <x v="5"/>
    <x v="9"/>
    <x v="0"/>
    <s v="4190501"/>
    <n v="700026"/>
    <s v="Salaries-RN-Other"/>
    <s v="Regional Mental Health Admin"/>
    <x v="0"/>
    <n v="2000"/>
    <n v="796.1"/>
    <n v="1240.0999999999999"/>
    <n v="531.03"/>
    <n v="-129.07"/>
    <n v="44.2"/>
    <n v="71.58"/>
    <n v="52.45"/>
    <n v="899.24"/>
    <n v="854.63"/>
    <n v="98.28"/>
    <n v="-8.58"/>
    <n v="75.599999999999994"/>
    <n v="4525.5599999999995"/>
    <n v="-84.179999999999993"/>
  </r>
  <r>
    <x v="5"/>
    <x v="9"/>
    <x v="0"/>
    <s v="4190501"/>
    <n v="700032"/>
    <s v="Salaries-Other Pat Care Providers-Productive"/>
    <s v="Regional Mental Health Admin"/>
    <x v="0"/>
    <m/>
    <n v="27366.26"/>
    <n v="25204.22"/>
    <n v="27322.59"/>
    <n v="32380.94"/>
    <n v="28821.78"/>
    <n v="21489.55"/>
    <n v="27497"/>
    <n v="25332.31"/>
    <n v="26023.64"/>
    <n v="24985.64"/>
    <n v="20290.45"/>
    <n v="27043.88"/>
    <n v="313758.26"/>
    <n v="-6753.43"/>
  </r>
  <r>
    <x v="5"/>
    <x v="9"/>
    <x v="0"/>
    <s v="4190501"/>
    <n v="700032"/>
    <s v="Salaries-Other Pat Care Providers-OT"/>
    <s v="Regional Mental Health Admin"/>
    <x v="0"/>
    <n v="1000"/>
    <n v="1921.35"/>
    <n v="886.52"/>
    <n v="1266.05"/>
    <n v="378.07"/>
    <n v="1425.53"/>
    <n v="1522.1"/>
    <n v="1517.43"/>
    <n v="576.72"/>
    <n v="1422.97"/>
    <n v="1659.65"/>
    <n v="3281.88"/>
    <n v="1113.03"/>
    <n v="16971.299999999996"/>
    <n v="2168.8500000000004"/>
  </r>
  <r>
    <x v="5"/>
    <x v="9"/>
    <x v="0"/>
    <s v="4190501"/>
    <n v="700032"/>
    <s v="Salaries-Other Pat Care Providers-Other"/>
    <s v="Regional Mental Health Admin"/>
    <x v="0"/>
    <n v="2000"/>
    <n v="708.18"/>
    <n v="338.8"/>
    <n v="208.14"/>
    <n v="930.89"/>
    <n v="452.87"/>
    <n v="580.62"/>
    <n v="861.16"/>
    <n v="453.06"/>
    <n v="654.87"/>
    <n v="1313.99"/>
    <n v="1296.5"/>
    <n v="799.64"/>
    <n v="8598.7199999999993"/>
    <n v="496.86"/>
  </r>
  <r>
    <x v="5"/>
    <x v="9"/>
    <x v="0"/>
    <s v="4190501"/>
    <n v="700034"/>
    <s v="Salaries-Tech/Professional-Productive"/>
    <s v="Regional Mental Health Admin"/>
    <x v="0"/>
    <m/>
    <n v="0"/>
    <n v="0"/>
    <n v="0"/>
    <n v="0"/>
    <n v="0"/>
    <n v="0"/>
    <n v="0"/>
    <n v="0"/>
    <n v="0"/>
    <n v="0"/>
    <n v="0"/>
    <n v="1609.45"/>
    <n v="1609.45"/>
    <n v="-1609.45"/>
  </r>
  <r>
    <x v="5"/>
    <x v="9"/>
    <x v="0"/>
    <s v="4190501"/>
    <n v="700034"/>
    <s v="Salaries-Tech/Professional-Other"/>
    <s v="Regional Mental Health Admin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9"/>
    <x v="0"/>
    <s v="4190501"/>
    <n v="700038"/>
    <s v="Salaries-Service/Support-Productive"/>
    <s v="Regional Mental Health Admin"/>
    <x v="0"/>
    <m/>
    <n v="5573.96"/>
    <n v="3689.2"/>
    <n v="5170.4399999999996"/>
    <n v="6259.45"/>
    <n v="5767.76"/>
    <n v="5994.34"/>
    <n v="2384.35"/>
    <n v="0"/>
    <n v="0"/>
    <n v="0"/>
    <n v="390.72"/>
    <n v="3099.86"/>
    <n v="38330.080000000002"/>
    <n v="-2709.1400000000003"/>
  </r>
  <r>
    <x v="5"/>
    <x v="9"/>
    <x v="0"/>
    <s v="4190501"/>
    <n v="700038"/>
    <s v="Salaries-Service/Support-OT"/>
    <s v="Regional Mental Health Admin"/>
    <x v="0"/>
    <n v="1000"/>
    <n v="0"/>
    <n v="0"/>
    <n v="0"/>
    <n v="0"/>
    <n v="0"/>
    <n v="0"/>
    <n v="25.88"/>
    <n v="0"/>
    <n v="0"/>
    <n v="0"/>
    <n v="0"/>
    <n v="0"/>
    <n v="25.88"/>
    <n v="0"/>
  </r>
  <r>
    <x v="5"/>
    <x v="9"/>
    <x v="0"/>
    <s v="4190501"/>
    <n v="700038"/>
    <s v="Salaries-Service/Support-Other"/>
    <s v="Regional Mental Health Admin"/>
    <x v="0"/>
    <n v="2000"/>
    <n v="0"/>
    <n v="0"/>
    <n v="0"/>
    <n v="0"/>
    <n v="0"/>
    <n v="0"/>
    <n v="0"/>
    <n v="0"/>
    <n v="0"/>
    <n v="0"/>
    <n v="0"/>
    <n v="32.950000000000003"/>
    <n v="32.950000000000003"/>
    <n v="-32.950000000000003"/>
  </r>
  <r>
    <x v="5"/>
    <x v="9"/>
    <x v="0"/>
    <s v="4190501"/>
    <n v="700054"/>
    <s v="Salaries-Management-Non-productive"/>
    <s v="Regional Mental Health Admin"/>
    <x v="0"/>
    <m/>
    <n v="3703.33"/>
    <n v="6841.18"/>
    <n v="2073.1799999999998"/>
    <n v="2082.38"/>
    <n v="-1201.17"/>
    <n v="6642.25"/>
    <n v="4642.71"/>
    <n v="3959.03"/>
    <n v="3112.16"/>
    <n v="2041.39"/>
    <n v="5353.45"/>
    <n v="3019.62"/>
    <n v="42269.51"/>
    <n v="2333.83"/>
  </r>
  <r>
    <x v="5"/>
    <x v="9"/>
    <x v="0"/>
    <s v="4190501"/>
    <n v="700066"/>
    <s v="Salaries-RN-Non-productive"/>
    <s v="Regional Mental Health Admin"/>
    <x v="0"/>
    <m/>
    <n v="3853.07"/>
    <n v="3458.65"/>
    <n v="4131.3500000000004"/>
    <n v="-483.08"/>
    <n v="4158.24"/>
    <n v="3280.61"/>
    <n v="797.98"/>
    <n v="5252.38"/>
    <n v="2162.13"/>
    <n v="6233.78"/>
    <n v="11575.33"/>
    <n v="-3249.83"/>
    <n v="41170.61"/>
    <n v="14825.16"/>
  </r>
  <r>
    <x v="5"/>
    <x v="9"/>
    <x v="0"/>
    <s v="4190501"/>
    <n v="700066"/>
    <s v="Salaries-RN-NonProd-Other"/>
    <s v="Regional Mental Health Admin"/>
    <x v="0"/>
    <n v="2000"/>
    <n v="0"/>
    <n v="27.74"/>
    <n v="0"/>
    <n v="0"/>
    <n v="0"/>
    <n v="0"/>
    <n v="0"/>
    <n v="111.38"/>
    <n v="985.16"/>
    <n v="1383.34"/>
    <n v="700.85"/>
    <n v="-3006.89"/>
    <n v="201.57999999999993"/>
    <n v="3707.74"/>
  </r>
  <r>
    <x v="5"/>
    <x v="9"/>
    <x v="0"/>
    <s v="4190501"/>
    <n v="700072"/>
    <s v="Salaries-Other Pat Care Providers-Non-productive"/>
    <s v="Regional Mental Health Admin"/>
    <x v="0"/>
    <m/>
    <n v="4937.46"/>
    <n v="4340.66"/>
    <n v="1047.1199999999999"/>
    <n v="2346.96"/>
    <n v="1040.79"/>
    <n v="9440.32"/>
    <n v="2102.29"/>
    <n v="4398.46"/>
    <n v="1574.47"/>
    <n v="4026.92"/>
    <n v="540.30999999999995"/>
    <n v="2914.64"/>
    <n v="38710.399999999994"/>
    <n v="-2374.33"/>
  </r>
  <r>
    <x v="5"/>
    <x v="9"/>
    <x v="0"/>
    <s v="4190501"/>
    <n v="700072"/>
    <s v="Salaries-Other Pat Care Providers-NonProd-Other"/>
    <s v="Regional Mental Health Admin"/>
    <x v="0"/>
    <n v="2000"/>
    <n v="0"/>
    <n v="0"/>
    <n v="0"/>
    <n v="0"/>
    <n v="381.47"/>
    <n v="381.47"/>
    <n v="0"/>
    <n v="-736.39"/>
    <n v="-6.98"/>
    <n v="0"/>
    <n v="0"/>
    <n v="0"/>
    <n v="19.570000000000068"/>
    <n v="0"/>
  </r>
  <r>
    <x v="5"/>
    <x v="9"/>
    <x v="0"/>
    <s v="4190501"/>
    <n v="700078"/>
    <s v="Salaries-Service/Support-Non-productive"/>
    <s v="Regional Mental Health Admin"/>
    <x v="0"/>
    <m/>
    <n v="359.59"/>
    <n v="2236.2600000000002"/>
    <n v="563.97"/>
    <n v="-191.13"/>
    <n v="137.80000000000001"/>
    <n v="118.1"/>
    <n v="-14.75"/>
    <n v="0"/>
    <n v="0"/>
    <n v="0"/>
    <n v="0"/>
    <n v="0"/>
    <n v="3209.8400000000006"/>
    <n v="0"/>
  </r>
  <r>
    <x v="5"/>
    <x v="9"/>
    <x v="0"/>
    <s v="4190501"/>
    <n v="700084"/>
    <s v="Accrued PTO"/>
    <s v="Regional Mental Health Admin"/>
    <x v="0"/>
    <m/>
    <n v="11803.44"/>
    <n v="-16760.080000000002"/>
    <n v="1107.8699999999999"/>
    <n v="10533.12"/>
    <n v="6529.94"/>
    <n v="-1010.95"/>
    <n v="-9899.84"/>
    <n v="-2389.92"/>
    <n v="524.59"/>
    <n v="-427.07"/>
    <n v="955.53"/>
    <n v="-23251.89"/>
    <n v="-22285.260000000002"/>
    <n v="24207.42"/>
  </r>
  <r>
    <x v="6"/>
    <x v="9"/>
    <x v="0"/>
    <s v="4190501"/>
    <n v="713010"/>
    <s v="Benefits-FICA/Medicare"/>
    <s v="Regional Mental Health Admin"/>
    <x v="0"/>
    <m/>
    <n v="7308.33"/>
    <n v="7229.47"/>
    <n v="6042.45"/>
    <n v="6041.86"/>
    <n v="5843.51"/>
    <n v="6539.13"/>
    <n v="9833.39"/>
    <n v="6582.17"/>
    <n v="8023.41"/>
    <n v="8212.91"/>
    <n v="6435.63"/>
    <n v="9778"/>
    <n v="87870.260000000009"/>
    <n v="-3342.37"/>
  </r>
  <r>
    <x v="6"/>
    <x v="9"/>
    <x v="0"/>
    <s v="4190501"/>
    <n v="713090"/>
    <s v="Benefits-Allocated Amounts"/>
    <s v="Regional Mental Health Admin"/>
    <x v="0"/>
    <m/>
    <n v="16253.08"/>
    <n v="13337.63"/>
    <n v="14130"/>
    <n v="14429.63"/>
    <n v="12792.28"/>
    <n v="14700.02"/>
    <n v="15557.6"/>
    <n v="14766.52"/>
    <n v="17081.11"/>
    <n v="14181.72"/>
    <n v="12518.76"/>
    <n v="14136.63"/>
    <n v="173884.98"/>
    <n v="-1617.869999999999"/>
  </r>
  <r>
    <x v="6"/>
    <x v="9"/>
    <x v="0"/>
    <s v="4190501"/>
    <n v="713096"/>
    <s v="Employee Recognition"/>
    <s v="Regional Mental Health Admin"/>
    <x v="0"/>
    <n v="1017"/>
    <n v="0"/>
    <n v="0"/>
    <n v="0"/>
    <n v="0"/>
    <n v="0"/>
    <n v="0"/>
    <n v="0"/>
    <n v="0"/>
    <n v="0"/>
    <n v="0"/>
    <n v="0"/>
    <n v="790.27"/>
    <n v="790.27"/>
    <n v="-790.27"/>
  </r>
  <r>
    <x v="7"/>
    <x v="9"/>
    <x v="0"/>
    <s v="4190501"/>
    <n v="718050"/>
    <s v="Contract Svcs-Other"/>
    <s v="Regional Mental Health Admin"/>
    <x v="0"/>
    <m/>
    <n v="0"/>
    <n v="0"/>
    <n v="0"/>
    <n v="0"/>
    <n v="275"/>
    <n v="53.12"/>
    <n v="181.33"/>
    <n v="0"/>
    <n v="0"/>
    <n v="0"/>
    <n v="275"/>
    <n v="0"/>
    <n v="784.45"/>
    <n v="275"/>
  </r>
  <r>
    <x v="7"/>
    <x v="9"/>
    <x v="0"/>
    <s v="4190501"/>
    <n v="718050"/>
    <s v="Miscellaneous Purchased Svcs"/>
    <s v="Regional Mental Health Admin"/>
    <x v="0"/>
    <n v="1020"/>
    <n v="9962.17"/>
    <n v="19880.689999999999"/>
    <n v="8348.9599999999991"/>
    <n v="11186.58"/>
    <n v="7907.79"/>
    <n v="7971"/>
    <n v="22884.43"/>
    <n v="20322.43"/>
    <n v="11824"/>
    <n v="1866.26"/>
    <n v="20156"/>
    <n v="12671.26"/>
    <n v="154981.57"/>
    <n v="7484.74"/>
  </r>
  <r>
    <x v="7"/>
    <x v="9"/>
    <x v="0"/>
    <s v="4190501"/>
    <n v="718050"/>
    <s v="Translation Services"/>
    <s v="Regional Mental Health Admin"/>
    <x v="0"/>
    <n v="1025"/>
    <n v="0"/>
    <n v="0"/>
    <n v="0"/>
    <n v="0"/>
    <n v="0"/>
    <n v="4.8600000000000003"/>
    <n v="0"/>
    <n v="1959.5"/>
    <n v="1970.6"/>
    <n v="3333"/>
    <n v="5243.16"/>
    <n v="252.01"/>
    <n v="12763.13"/>
    <n v="4991.1499999999996"/>
  </r>
  <r>
    <x v="7"/>
    <x v="9"/>
    <x v="0"/>
    <s v="4190501"/>
    <n v="718050"/>
    <s v="Contract Services-Food&amp;Catering"/>
    <s v="Regional Mental Health Admin"/>
    <x v="0"/>
    <n v="1030"/>
    <n v="366.51"/>
    <n v="0"/>
    <n v="1392.14"/>
    <n v="0"/>
    <n v="1640.16"/>
    <n v="0"/>
    <n v="1367.51"/>
    <n v="690.85"/>
    <n v="410.33"/>
    <n v="1438.19"/>
    <n v="711.12"/>
    <n v="902.35"/>
    <n v="8919.16"/>
    <n v="-191.23000000000002"/>
  </r>
  <r>
    <x v="11"/>
    <x v="9"/>
    <x v="0"/>
    <s v="4190501"/>
    <n v="721810"/>
    <s v="Supplies-Dietary/Cafeteria"/>
    <s v="Regional Mental Health Admin"/>
    <x v="0"/>
    <m/>
    <n v="0"/>
    <n v="16.59"/>
    <n v="186.58"/>
    <n v="0"/>
    <n v="121.84"/>
    <n v="0"/>
    <n v="0"/>
    <n v="0"/>
    <n v="0"/>
    <n v="0"/>
    <n v="0"/>
    <n v="7.99"/>
    <n v="333"/>
    <n v="-7.99"/>
  </r>
  <r>
    <x v="11"/>
    <x v="9"/>
    <x v="0"/>
    <s v="4190501"/>
    <n v="721830"/>
    <s v="Supplies-Office"/>
    <s v="Regional Mental Health Admin"/>
    <x v="0"/>
    <m/>
    <n v="0"/>
    <n v="0"/>
    <n v="0"/>
    <n v="0"/>
    <n v="0"/>
    <n v="0"/>
    <n v="0"/>
    <n v="65.12"/>
    <n v="0"/>
    <n v="0"/>
    <n v="63.78"/>
    <n v="70.16"/>
    <n v="199.06"/>
    <n v="-6.3799999999999955"/>
  </r>
  <r>
    <x v="11"/>
    <x v="9"/>
    <x v="0"/>
    <s v="4190501"/>
    <n v="721910"/>
    <s v="Supplies-Small Equipment"/>
    <s v="Regional Mental Health Admin"/>
    <x v="0"/>
    <m/>
    <n v="0"/>
    <n v="0"/>
    <n v="0"/>
    <n v="0"/>
    <n v="0"/>
    <n v="0"/>
    <n v="0"/>
    <n v="0"/>
    <n v="0"/>
    <n v="0"/>
    <n v="250.36"/>
    <n v="263.45999999999998"/>
    <n v="513.81999999999994"/>
    <n v="-13.099999999999966"/>
  </r>
  <r>
    <x v="11"/>
    <x v="9"/>
    <x v="0"/>
    <s v="4190501"/>
    <n v="721980"/>
    <s v="Supplies-Other"/>
    <s v="Regional Mental Health Admin"/>
    <x v="0"/>
    <m/>
    <n v="22.01"/>
    <n v="0"/>
    <n v="0"/>
    <n v="0"/>
    <n v="0"/>
    <n v="391.25"/>
    <n v="0"/>
    <n v="30.9"/>
    <n v="0"/>
    <n v="0"/>
    <n v="0"/>
    <n v="0"/>
    <n v="444.15999999999997"/>
    <n v="0"/>
  </r>
  <r>
    <x v="11"/>
    <x v="9"/>
    <x v="0"/>
    <s v="4190501"/>
    <n v="722000"/>
    <s v="Supplies-Freight Expense"/>
    <s v="Regional Mental Health Admin"/>
    <x v="0"/>
    <m/>
    <n v="0"/>
    <n v="0"/>
    <n v="8.43"/>
    <n v="0"/>
    <n v="0"/>
    <n v="0"/>
    <n v="0"/>
    <n v="0"/>
    <n v="0"/>
    <n v="0"/>
    <n v="0"/>
    <n v="0"/>
    <n v="8.43"/>
    <n v="0"/>
  </r>
  <r>
    <x v="12"/>
    <x v="9"/>
    <x v="0"/>
    <s v="4190501"/>
    <n v="730010"/>
    <s v="Rental and Leases-Building (DO NOT USE)"/>
    <s v="Regional Mental Health Admin"/>
    <x v="0"/>
    <m/>
    <n v="129.68"/>
    <n v="129.68"/>
    <n v="179.68"/>
    <n v="129.68"/>
    <n v="129.68"/>
    <n v="95.48"/>
    <n v="395.48"/>
    <n v="95.48"/>
    <n v="101.2"/>
    <n v="227.34"/>
    <n v="98.34"/>
    <n v="98.34"/>
    <n v="1810.06"/>
    <n v="0"/>
  </r>
  <r>
    <x v="12"/>
    <x v="9"/>
    <x v="0"/>
    <s v="4190501"/>
    <n v="730010"/>
    <s v="Rental-Common Area Maint (DO NOT USE)"/>
    <s v="Regional Mental Health Admin"/>
    <x v="0"/>
    <n v="2200"/>
    <n v="0"/>
    <n v="0"/>
    <n v="0"/>
    <n v="0"/>
    <n v="0"/>
    <n v="34.200000000000003"/>
    <n v="34.200000000000003"/>
    <n v="34.200000000000003"/>
    <n v="34.200000000000003"/>
    <n v="205.2"/>
    <n v="34.200000000000003"/>
    <n v="34.200000000000003"/>
    <n v="410.4"/>
    <n v="0"/>
  </r>
  <r>
    <x v="12"/>
    <x v="9"/>
    <x v="0"/>
    <s v="4190501"/>
    <n v="730020"/>
    <s v="Rental and Leases-Copier Usage Fees (DO NOT USE)"/>
    <s v="Regional Mental Health Admin"/>
    <x v="0"/>
    <n v="5100"/>
    <n v="691.27"/>
    <n v="694.81"/>
    <n v="693.04"/>
    <n v="693.04"/>
    <n v="693.04"/>
    <n v="693.04"/>
    <n v="-648.39"/>
    <n v="464.57"/>
    <n v="463.6"/>
    <n v="589.4"/>
    <n v="446.92"/>
    <n v="529.95000000000005"/>
    <n v="6004.29"/>
    <n v="-83.03000000000003"/>
  </r>
  <r>
    <x v="15"/>
    <x v="9"/>
    <x v="0"/>
    <s v="4190501"/>
    <n v="731020"/>
    <s v="Electricity"/>
    <s v="Regional Mental Health Admin"/>
    <x v="0"/>
    <m/>
    <n v="3"/>
    <n v="4.57"/>
    <n v="3.24"/>
    <n v="3.76"/>
    <n v="3.7"/>
    <n v="5.05"/>
    <n v="6.01"/>
    <n v="5.63"/>
    <n v="5.97"/>
    <n v="3.95"/>
    <n v="4.03"/>
    <n v="2.98"/>
    <n v="51.89"/>
    <n v="1.0500000000000003"/>
  </r>
  <r>
    <x v="15"/>
    <x v="9"/>
    <x v="0"/>
    <s v="4190501"/>
    <n v="731060"/>
    <s v="Telephone"/>
    <s v="Regional Mental Health Admin"/>
    <x v="0"/>
    <m/>
    <n v="0"/>
    <n v="0"/>
    <n v="0"/>
    <n v="0"/>
    <n v="0"/>
    <n v="0"/>
    <n v="0"/>
    <n v="0"/>
    <n v="0"/>
    <n v="0"/>
    <n v="375"/>
    <n v="0"/>
    <n v="375"/>
    <n v="375"/>
  </r>
  <r>
    <x v="15"/>
    <x v="9"/>
    <x v="0"/>
    <s v="4190501"/>
    <n v="731060"/>
    <s v="Pagers"/>
    <s v="Regional Mental Health Admin"/>
    <x v="0"/>
    <n v="1002"/>
    <n v="9.3000000000000007"/>
    <n v="9.3000000000000007"/>
    <n v="9.3000000000000007"/>
    <n v="9.32"/>
    <n v="9.32"/>
    <n v="0"/>
    <n v="18.64"/>
    <n v="9.32"/>
    <n v="9.32"/>
    <n v="9.32"/>
    <n v="9.32"/>
    <n v="9.32"/>
    <n v="111.77999999999997"/>
    <n v="0"/>
  </r>
  <r>
    <x v="0"/>
    <x v="9"/>
    <x v="0"/>
    <s v="4190501"/>
    <n v="740010"/>
    <s v="Education-Materials"/>
    <s v="Regional Mental Health Admin"/>
    <x v="0"/>
    <m/>
    <n v="6225.2"/>
    <n v="145.58000000000001"/>
    <n v="0"/>
    <n v="1036.95"/>
    <n v="0"/>
    <n v="0"/>
    <n v="4248"/>
    <n v="0"/>
    <n v="0"/>
    <n v="2179.25"/>
    <n v="0"/>
    <n v="9683.4500000000007"/>
    <n v="23518.43"/>
    <n v="-9683.4500000000007"/>
  </r>
  <r>
    <x v="0"/>
    <x v="9"/>
    <x v="0"/>
    <s v="4190501"/>
    <n v="740020"/>
    <s v="Education-Registration Fees"/>
    <s v="Regional Mental Health Admin"/>
    <x v="0"/>
    <m/>
    <n v="0"/>
    <n v="0"/>
    <n v="0"/>
    <n v="0"/>
    <n v="406.99"/>
    <n v="175"/>
    <n v="0"/>
    <n v="0"/>
    <n v="0"/>
    <n v="0"/>
    <n v="0"/>
    <n v="0"/>
    <n v="581.99"/>
    <n v="0"/>
  </r>
  <r>
    <x v="0"/>
    <x v="9"/>
    <x v="0"/>
    <s v="4190501"/>
    <n v="743040"/>
    <s v="Subscriptions--Individual"/>
    <s v="Regional Mental Health Admin"/>
    <x v="0"/>
    <m/>
    <n v="0"/>
    <n v="0"/>
    <n v="0"/>
    <n v="0"/>
    <n v="0"/>
    <n v="0"/>
    <n v="0"/>
    <n v="0"/>
    <n v="0"/>
    <n v="0"/>
    <n v="0"/>
    <n v="186.71"/>
    <n v="186.71"/>
    <n v="-186.71"/>
  </r>
  <r>
    <x v="0"/>
    <x v="9"/>
    <x v="0"/>
    <s v="4190501"/>
    <n v="749510"/>
    <s v="Miscellaneous Expenses"/>
    <s v="Regional Mental Health Admin"/>
    <x v="0"/>
    <m/>
    <n v="-6343.78"/>
    <n v="-117.78"/>
    <n v="1060.3900000000001"/>
    <n v="-486.45"/>
    <n v="480.49"/>
    <n v="-974.35"/>
    <n v="65.2"/>
    <n v="-65.2"/>
    <n v="161.76"/>
    <n v="374.87"/>
    <n v="670.53"/>
    <n v="-1207.1600000000001"/>
    <n v="-6381.48"/>
    <n v="1877.69"/>
  </r>
  <r>
    <x v="0"/>
    <x v="9"/>
    <x v="0"/>
    <s v="4190501"/>
    <n v="749510"/>
    <s v="RICE Rewards"/>
    <s v="Regional Mental Health Admin"/>
    <x v="0"/>
    <n v="5100"/>
    <n v="0"/>
    <n v="0"/>
    <n v="0"/>
    <n v="0"/>
    <n v="0"/>
    <n v="184.05"/>
    <n v="0"/>
    <n v="0"/>
    <n v="0"/>
    <n v="89.26"/>
    <n v="0"/>
    <n v="0"/>
    <n v="273.31"/>
    <n v="0"/>
  </r>
  <r>
    <x v="0"/>
    <x v="9"/>
    <x v="0"/>
    <s v="4190501"/>
    <n v="749530"/>
    <s v="Travel"/>
    <s v="Regional Mental Health Admin"/>
    <x v="0"/>
    <m/>
    <n v="0"/>
    <n v="0"/>
    <n v="247.9"/>
    <n v="271.5"/>
    <n v="12"/>
    <n v="853.27"/>
    <n v="0"/>
    <n v="0"/>
    <n v="0"/>
    <n v="0"/>
    <n v="275.5"/>
    <n v="39.75"/>
    <n v="1699.92"/>
    <n v="235.75"/>
  </r>
  <r>
    <x v="0"/>
    <x v="9"/>
    <x v="0"/>
    <s v="4190501"/>
    <n v="749530"/>
    <s v="Mileage"/>
    <s v="Regional Mental Health Admin"/>
    <x v="0"/>
    <n v="1001"/>
    <n v="53.5"/>
    <n v="58.1"/>
    <n v="0"/>
    <n v="51.24"/>
    <n v="45.24"/>
    <n v="53.96"/>
    <n v="0"/>
    <n v="152.41999999999999"/>
    <n v="0"/>
    <n v="226.2"/>
    <n v="238.38"/>
    <n v="333.5"/>
    <n v="1212.54"/>
    <n v="-95.12"/>
  </r>
  <r>
    <x v="0"/>
    <x v="9"/>
    <x v="0"/>
    <s v="4190501"/>
    <n v="749535"/>
    <s v="Meetings"/>
    <s v="Regional Mental Health Admin"/>
    <x v="0"/>
    <m/>
    <n v="0"/>
    <n v="0"/>
    <n v="0"/>
    <n v="0"/>
    <n v="0"/>
    <n v="0"/>
    <n v="0"/>
    <n v="0"/>
    <n v="0"/>
    <n v="0"/>
    <n v="0"/>
    <n v="257.32"/>
    <n v="257.32"/>
    <n v="-257.32"/>
  </r>
  <r>
    <x v="11"/>
    <x v="6"/>
    <x v="0"/>
    <s v="4302107"/>
    <n v="721830"/>
    <s v="Supplies-Office"/>
    <s v="Integrative Health"/>
    <x v="0"/>
    <m/>
    <n v="0"/>
    <n v="11.41"/>
    <n v="0"/>
    <n v="0"/>
    <n v="0"/>
    <n v="0"/>
    <n v="0"/>
    <n v="0"/>
    <n v="0"/>
    <n v="0"/>
    <n v="0"/>
    <n v="0"/>
    <n v="11.41"/>
    <n v="0"/>
  </r>
  <r>
    <x v="11"/>
    <x v="6"/>
    <x v="0"/>
    <s v="4302107"/>
    <n v="721980"/>
    <s v="Supplies-Other"/>
    <s v="Integrative Health"/>
    <x v="0"/>
    <m/>
    <n v="-56.19"/>
    <n v="0"/>
    <n v="0"/>
    <n v="0"/>
    <n v="0"/>
    <n v="0"/>
    <n v="0"/>
    <n v="0"/>
    <n v="0"/>
    <n v="0"/>
    <n v="0"/>
    <n v="0"/>
    <n v="-56.19"/>
    <n v="0"/>
  </r>
  <r>
    <x v="12"/>
    <x v="6"/>
    <x v="0"/>
    <s v="4302107"/>
    <n v="730020"/>
    <s v="Rental and Leases-Copier Usage Fees (DO NOT USE)"/>
    <s v="Integrative Health"/>
    <x v="0"/>
    <n v="5100"/>
    <n v="95.89"/>
    <n v="97.44"/>
    <n v="-4.28"/>
    <n v="-189.05"/>
    <n v="0"/>
    <n v="0"/>
    <n v="0"/>
    <n v="0"/>
    <n v="0"/>
    <n v="0"/>
    <n v="0"/>
    <n v="0"/>
    <n v="-2.8421709430404007E-14"/>
    <n v="0"/>
  </r>
  <r>
    <x v="18"/>
    <x v="3"/>
    <x v="0"/>
    <s v="4305101"/>
    <n v="400010"/>
    <s v="Acute I/P Svcs Rev--Medicare"/>
    <s v="Inpatient PT Services"/>
    <x v="0"/>
    <n v="1100"/>
    <n v="-392612.96"/>
    <n v="-399883.8"/>
    <n v="-383740.65"/>
    <n v="-487196.49"/>
    <n v="-458247.07"/>
    <n v="-420774.56"/>
    <n v="-447290.26"/>
    <n v="-447643.58"/>
    <n v="-512177.44"/>
    <n v="-523077.51"/>
    <n v="-554763.68000000005"/>
    <n v="-464078.98"/>
    <n v="-5491486.9800000004"/>
    <n v="-90684.70000000007"/>
  </r>
  <r>
    <x v="18"/>
    <x v="3"/>
    <x v="0"/>
    <s v="4305101"/>
    <n v="400010"/>
    <s v="Acute I/P Svcs Rev--Medicaid"/>
    <s v="Inpatient PT Services"/>
    <x v="0"/>
    <n v="1200"/>
    <n v="-95425.38"/>
    <n v="-80936.850000000006"/>
    <n v="-101063.86"/>
    <n v="-83422.97"/>
    <n v="-85751.17"/>
    <n v="-76228.83"/>
    <n v="-95031.23"/>
    <n v="-108101.54"/>
    <n v="-97220.800000000003"/>
    <n v="-118945.98"/>
    <n v="-128060.62"/>
    <n v="-132215.14000000001"/>
    <n v="-1202404.3700000001"/>
    <n v="4154.5200000000186"/>
  </r>
  <r>
    <x v="18"/>
    <x v="3"/>
    <x v="0"/>
    <s v="4305101"/>
    <n v="400010"/>
    <s v="Acute I/P Svcs Rev--Comm Insurance"/>
    <s v="Inpatient PT Services"/>
    <x v="0"/>
    <n v="1300"/>
    <n v="-16841.3"/>
    <n v="2203.79"/>
    <n v="-5490.54"/>
    <n v="-17022.23"/>
    <n v="-10620.74"/>
    <n v="-14167.63"/>
    <n v="1981.37"/>
    <n v="-3876.98"/>
    <n v="-14211.77"/>
    <n v="-115.06"/>
    <n v="-10742.64"/>
    <n v="-29194.79"/>
    <n v="-118098.51999999999"/>
    <n v="18452.150000000001"/>
  </r>
  <r>
    <x v="18"/>
    <x v="3"/>
    <x v="0"/>
    <s v="4305101"/>
    <n v="400010"/>
    <s v="Acute I/P Svcs Rev--BCBS Comm"/>
    <s v="Inpatient PT Services"/>
    <x v="0"/>
    <n v="1301"/>
    <n v="-5997.27"/>
    <n v="-21604.21"/>
    <n v="-10594.96"/>
    <n v="-7616.37"/>
    <n v="-7928.81"/>
    <n v="-9115.8700000000008"/>
    <n v="-18999.41"/>
    <n v="-17582.189999999999"/>
    <n v="-16211.35"/>
    <n v="-27425.97"/>
    <n v="-15419.69"/>
    <n v="-24186.880000000001"/>
    <n v="-182682.98000000004"/>
    <n v="8767.19"/>
  </r>
  <r>
    <x v="18"/>
    <x v="3"/>
    <x v="0"/>
    <s v="4305101"/>
    <n v="400010"/>
    <s v="Acute I/P Svcs Rev--Managed Care"/>
    <s v="Inpatient PT Services"/>
    <x v="0"/>
    <n v="1400"/>
    <n v="-60488.23"/>
    <n v="-68526.929999999993"/>
    <n v="-76600.13"/>
    <n v="-58662.07"/>
    <n v="-54881.46"/>
    <n v="-77126.33"/>
    <n v="-86425"/>
    <n v="-64918.11"/>
    <n v="-96383.95"/>
    <n v="-80966.850000000006"/>
    <n v="-70362.33"/>
    <n v="-61888.86"/>
    <n v="-857230.24999999988"/>
    <n v="-8473.4700000000012"/>
  </r>
  <r>
    <x v="18"/>
    <x v="3"/>
    <x v="0"/>
    <s v="4305101"/>
    <n v="400010"/>
    <s v="Acute I/P Svcs Rev--Self Pay"/>
    <s v="Inpatient PT Services"/>
    <x v="0"/>
    <n v="1500"/>
    <n v="-10739.9"/>
    <n v="-2376.79"/>
    <n v="-5211.82"/>
    <n v="-4182.93"/>
    <n v="-369.57"/>
    <n v="-321.22000000000003"/>
    <n v="-5163.2299999999996"/>
    <n v="-3794.27"/>
    <n v="-3850.22"/>
    <n v="-7281.5"/>
    <n v="3112.8"/>
    <n v="-2059.73"/>
    <n v="-42238.38"/>
    <n v="5172.5300000000007"/>
  </r>
  <r>
    <x v="18"/>
    <x v="3"/>
    <x v="0"/>
    <s v="4305101"/>
    <n v="400010"/>
    <s v="Acute I/P Svcs Rev--Other"/>
    <s v="Inpatient PT Services"/>
    <x v="0"/>
    <n v="1700"/>
    <n v="-7942.7"/>
    <n v="-27052.41"/>
    <n v="-26178.44"/>
    <n v="-30692.07"/>
    <n v="-7080.09"/>
    <n v="-27405.53"/>
    <n v="-33258.92"/>
    <n v="-18936.57"/>
    <n v="-17808.78"/>
    <n v="-27960.16"/>
    <n v="-36572.94"/>
    <n v="-32123.07"/>
    <n v="-293011.68"/>
    <n v="-4449.8700000000026"/>
  </r>
  <r>
    <x v="19"/>
    <x v="3"/>
    <x v="0"/>
    <s v="4305101"/>
    <n v="400020"/>
    <s v="O/P Care Svcs Rev--Medicare"/>
    <s v="Inpatient PT Services"/>
    <x v="0"/>
    <n v="1100"/>
    <n v="-45604.87"/>
    <n v="-57311.17"/>
    <n v="-49980.82"/>
    <n v="-60352.35"/>
    <n v="-47386.46"/>
    <n v="-44984.85"/>
    <n v="-44748.43"/>
    <n v="-41799.06"/>
    <n v="-50214.94"/>
    <n v="-51622.18"/>
    <n v="-37149.26"/>
    <n v="-39330.75"/>
    <n v="-570485.14"/>
    <n v="2181.489999999998"/>
  </r>
  <r>
    <x v="19"/>
    <x v="3"/>
    <x v="0"/>
    <s v="4305101"/>
    <n v="400020"/>
    <s v="O/P Care Svcs Rev--Medicaid"/>
    <s v="Inpatient PT Services"/>
    <x v="0"/>
    <n v="1200"/>
    <n v="-5649.18"/>
    <n v="-7717.57"/>
    <n v="-3535.54"/>
    <n v="-7723.56"/>
    <n v="-1479.57"/>
    <n v="-7878.47"/>
    <n v="-12298.27"/>
    <n v="-5644.72"/>
    <n v="-7006.39"/>
    <n v="-3034.48"/>
    <n v="-6643.12"/>
    <n v="-7759.1"/>
    <n v="-76369.970000000016"/>
    <n v="1115.9800000000005"/>
  </r>
  <r>
    <x v="19"/>
    <x v="3"/>
    <x v="0"/>
    <s v="4305101"/>
    <n v="400020"/>
    <s v="O/P Care Svcs Rev--Comm Insurance"/>
    <s v="Inpatient PT Services"/>
    <x v="0"/>
    <n v="1300"/>
    <n v="900.29"/>
    <n v="1024.42"/>
    <n v="-3574.72"/>
    <n v="2251.8000000000002"/>
    <n v="-1123.53"/>
    <n v="-1315"/>
    <n v="-191.45"/>
    <n v="1218.1099999999999"/>
    <n v="-1503.89"/>
    <n v="0"/>
    <n v="0"/>
    <n v="-2696.64"/>
    <n v="-5010.6099999999997"/>
    <n v="2696.64"/>
  </r>
  <r>
    <x v="19"/>
    <x v="3"/>
    <x v="0"/>
    <s v="4305101"/>
    <n v="400020"/>
    <s v="O/P Care Svcs Rev--BCBS Comm"/>
    <s v="Inpatient PT Services"/>
    <x v="0"/>
    <n v="1301"/>
    <n v="0"/>
    <n v="-787.25"/>
    <n v="-657.48"/>
    <n v="-1747.72"/>
    <n v="-1651.22"/>
    <n v="-1123.53"/>
    <n v="0"/>
    <n v="-736.7"/>
    <n v="-2744.69"/>
    <n v="-980.39"/>
    <n v="-3336.15"/>
    <n v="-543.54"/>
    <n v="-14308.669999999998"/>
    <n v="-2792.61"/>
  </r>
  <r>
    <x v="19"/>
    <x v="3"/>
    <x v="0"/>
    <s v="4305101"/>
    <n v="400020"/>
    <s v="O/P Care Svcs Rev--Managed Care"/>
    <s v="Inpatient PT Services"/>
    <x v="0"/>
    <n v="1400"/>
    <n v="-10254.450000000001"/>
    <n v="-7262.72"/>
    <n v="-7262.44"/>
    <n v="-15311.31"/>
    <n v="-14136.97"/>
    <n v="-12785.91"/>
    <n v="-13088.32"/>
    <n v="-9320.65"/>
    <n v="-17370.07"/>
    <n v="-13778.38"/>
    <n v="-14338.46"/>
    <n v="-19353.060000000001"/>
    <n v="-154262.74"/>
    <n v="5014.6000000000022"/>
  </r>
  <r>
    <x v="19"/>
    <x v="3"/>
    <x v="0"/>
    <s v="4305101"/>
    <n v="400020"/>
    <s v="O/P Care Svcs Rev--Self Pay"/>
    <s v="Inpatient PT Services"/>
    <x v="0"/>
    <n v="1500"/>
    <n v="-802.29"/>
    <n v="336.26"/>
    <n v="-993.74"/>
    <n v="-1123.51"/>
    <n v="0"/>
    <n v="0"/>
    <n v="-336.26"/>
    <n v="-1736.75"/>
    <n v="336.26"/>
    <n v="-346.35"/>
    <n v="0"/>
    <n v="-1976.28"/>
    <n v="-6642.66"/>
    <n v="1976.28"/>
  </r>
  <r>
    <x v="19"/>
    <x v="3"/>
    <x v="0"/>
    <s v="4305101"/>
    <n v="400020"/>
    <s v="O/P Care Svcs Rev--Other"/>
    <s v="Inpatient PT Services"/>
    <x v="0"/>
    <n v="1700"/>
    <n v="-1817.57"/>
    <n v="-1455.1"/>
    <n v="-6534.47"/>
    <n v="-1624.36"/>
    <n v="-5234.8500000000004"/>
    <n v="-6509.28"/>
    <n v="-1692.45"/>
    <n v="-1983.57"/>
    <n v="-3881.51"/>
    <n v="18.82"/>
    <n v="-2677.8"/>
    <n v="-1587.46"/>
    <n v="-34979.599999999999"/>
    <n v="-1090.3400000000001"/>
  </r>
  <r>
    <x v="5"/>
    <x v="3"/>
    <x v="0"/>
    <s v="4305101"/>
    <n v="700032"/>
    <s v="Salaries-Other Pat Care Providers-Productive"/>
    <s v="Inpatient PT Services"/>
    <x v="0"/>
    <m/>
    <n v="59437.95"/>
    <n v="59814.33"/>
    <n v="65064.86"/>
    <n v="72570.600000000006"/>
    <n v="67018.509999999995"/>
    <n v="59328.83"/>
    <n v="67478.820000000007"/>
    <n v="65792.09"/>
    <n v="78124.95"/>
    <n v="82666.240000000005"/>
    <n v="80040.84"/>
    <n v="74555.070000000007"/>
    <n v="831893.08999999985"/>
    <n v="5485.7699999999895"/>
  </r>
  <r>
    <x v="5"/>
    <x v="3"/>
    <x v="0"/>
    <s v="4305101"/>
    <n v="700032"/>
    <s v="Salaries-Other Pat Care Providers-OT"/>
    <s v="Inpatient PT Services"/>
    <x v="0"/>
    <n v="1000"/>
    <n v="136.11000000000001"/>
    <n v="96.52"/>
    <n v="163.77000000000001"/>
    <n v="456.53"/>
    <n v="85.25"/>
    <n v="265.86"/>
    <n v="332.23"/>
    <n v="161.34"/>
    <n v="628.41"/>
    <n v="251.72"/>
    <n v="200.06"/>
    <n v="469.15"/>
    <n v="3246.95"/>
    <n v="-269.08999999999997"/>
  </r>
  <r>
    <x v="5"/>
    <x v="3"/>
    <x v="0"/>
    <s v="4305101"/>
    <n v="700032"/>
    <s v="Salaries-Other Pat Care Providers-Other"/>
    <s v="Inpatient PT Services"/>
    <x v="0"/>
    <n v="2000"/>
    <n v="2040.35"/>
    <n v="2895.87"/>
    <n v="2761.83"/>
    <n v="3345.87"/>
    <n v="2839.81"/>
    <n v="2302.08"/>
    <n v="2559.44"/>
    <n v="2622.47"/>
    <n v="3652.09"/>
    <n v="3651.87"/>
    <n v="3333.06"/>
    <n v="3669.57"/>
    <n v="35674.31"/>
    <n v="-336.51000000000022"/>
  </r>
  <r>
    <x v="5"/>
    <x v="3"/>
    <x v="0"/>
    <s v="4305101"/>
    <n v="700034"/>
    <s v="Salaries-Tech/Professional-Productive"/>
    <s v="Inpatient PT Services"/>
    <x v="0"/>
    <m/>
    <n v="18416.490000000002"/>
    <n v="18202.41"/>
    <n v="18220.080000000002"/>
    <n v="15582.84"/>
    <n v="18870.27"/>
    <n v="19855.28"/>
    <n v="18866.62"/>
    <n v="16202.99"/>
    <n v="17173.45"/>
    <n v="16307.66"/>
    <n v="13783.55"/>
    <n v="18527.64"/>
    <n v="210009.28000000003"/>
    <n v="-4744.09"/>
  </r>
  <r>
    <x v="5"/>
    <x v="3"/>
    <x v="0"/>
    <s v="4305101"/>
    <n v="700034"/>
    <s v="Salaries-Tech/Professional-OT"/>
    <s v="Inpatient PT Services"/>
    <x v="0"/>
    <n v="1000"/>
    <n v="70.63"/>
    <n v="33.75"/>
    <n v="121.69"/>
    <n v="65.37"/>
    <n v="196.61"/>
    <n v="-44.42"/>
    <n v="66.5"/>
    <n v="-3.16"/>
    <n v="36.33"/>
    <n v="7.04"/>
    <n v="3.38"/>
    <n v="62.81"/>
    <n v="616.53"/>
    <n v="-59.43"/>
  </r>
  <r>
    <x v="5"/>
    <x v="3"/>
    <x v="0"/>
    <s v="4305101"/>
    <n v="700034"/>
    <s v="Salaries-Tech/Professional-Other"/>
    <s v="Inpatient PT Services"/>
    <x v="0"/>
    <n v="2000"/>
    <n v="491.34"/>
    <n v="521.62"/>
    <n v="498.99"/>
    <n v="703.03"/>
    <n v="598.67999999999995"/>
    <n v="503.8"/>
    <n v="382.68"/>
    <n v="428.95"/>
    <n v="675.8"/>
    <n v="616.21"/>
    <n v="632.35"/>
    <n v="553.34"/>
    <n v="6606.7900000000009"/>
    <n v="79.009999999999991"/>
  </r>
  <r>
    <x v="5"/>
    <x v="3"/>
    <x v="0"/>
    <s v="4305101"/>
    <n v="700054"/>
    <s v="Salaries-Management-NonProd-Other"/>
    <s v="Inpatient PT Services"/>
    <x v="0"/>
    <n v="2000"/>
    <n v="0"/>
    <n v="0"/>
    <n v="0"/>
    <n v="0"/>
    <n v="0"/>
    <n v="404.35"/>
    <n v="-404.35"/>
    <n v="0"/>
    <n v="0"/>
    <n v="0"/>
    <n v="0"/>
    <n v="0"/>
    <n v="0"/>
    <n v="0"/>
  </r>
  <r>
    <x v="5"/>
    <x v="3"/>
    <x v="0"/>
    <s v="4305101"/>
    <n v="700072"/>
    <s v="Salaries-Other Pat Care Providers-Non-productive"/>
    <s v="Inpatient PT Services"/>
    <x v="0"/>
    <m/>
    <n v="5653.13"/>
    <n v="7663.4"/>
    <n v="5968.59"/>
    <n v="5351.16"/>
    <n v="2766.58"/>
    <n v="13837.21"/>
    <n v="8027.76"/>
    <n v="6050.32"/>
    <n v="5283.78"/>
    <n v="2998.82"/>
    <n v="4329.5200000000004"/>
    <n v="13318.24"/>
    <n v="81248.510000000009"/>
    <n v="-8988.7199999999993"/>
  </r>
  <r>
    <x v="5"/>
    <x v="3"/>
    <x v="0"/>
    <s v="4305101"/>
    <n v="700072"/>
    <s v="Salaries-Other Pat Care Providers-NonProd-Other"/>
    <s v="Inpatient PT Services"/>
    <x v="0"/>
    <n v="2000"/>
    <n v="20.66"/>
    <n v="38.51"/>
    <n v="15.31"/>
    <n v="0"/>
    <n v="358.45"/>
    <n v="379.73"/>
    <n v="0"/>
    <n v="-716.9"/>
    <n v="0"/>
    <n v="36.520000000000003"/>
    <n v="6.1"/>
    <n v="21.31"/>
    <n v="159.69000000000011"/>
    <n v="-15.209999999999999"/>
  </r>
  <r>
    <x v="5"/>
    <x v="3"/>
    <x v="0"/>
    <s v="4305101"/>
    <n v="700074"/>
    <s v="Salaries-Tech/Professional-Non-productive"/>
    <s v="Inpatient PT Services"/>
    <x v="0"/>
    <m/>
    <n v="2450.23"/>
    <n v="3331.63"/>
    <n v="3495.47"/>
    <n v="6508.27"/>
    <n v="2034.78"/>
    <n v="2514.85"/>
    <n v="2432.81"/>
    <n v="3746.75"/>
    <n v="5111.37"/>
    <n v="4735.74"/>
    <n v="9086.32"/>
    <n v="3325.21"/>
    <n v="48773.43"/>
    <n v="5761.11"/>
  </r>
  <r>
    <x v="5"/>
    <x v="3"/>
    <x v="0"/>
    <s v="4305101"/>
    <n v="700074"/>
    <s v="Salaries-Tech/Professional-NonProd-Other"/>
    <s v="Inpatient PT Services"/>
    <x v="0"/>
    <n v="2000"/>
    <n v="0"/>
    <n v="0"/>
    <n v="26.88"/>
    <n v="-9.77"/>
    <n v="0"/>
    <n v="0"/>
    <n v="0"/>
    <n v="0"/>
    <n v="0"/>
    <n v="0"/>
    <n v="0"/>
    <n v="0"/>
    <n v="17.11"/>
    <n v="0"/>
  </r>
  <r>
    <x v="5"/>
    <x v="3"/>
    <x v="0"/>
    <s v="4305101"/>
    <n v="700084"/>
    <s v="Accrued PTO"/>
    <s v="Inpatient PT Services"/>
    <x v="0"/>
    <m/>
    <n v="1959.54"/>
    <n v="-73.540000000000006"/>
    <n v="354.99"/>
    <n v="2345.96"/>
    <n v="3339.71"/>
    <n v="-381.92"/>
    <n v="287.77999999999997"/>
    <n v="3052.89"/>
    <n v="4287.38"/>
    <n v="6043.84"/>
    <n v="894.45"/>
    <n v="-1197.72"/>
    <n v="20913.36"/>
    <n v="2092.17"/>
  </r>
  <r>
    <x v="6"/>
    <x v="3"/>
    <x v="0"/>
    <s v="4305101"/>
    <n v="713010"/>
    <s v="Benefits-FICA/Medicare"/>
    <s v="Inpatient PT Services"/>
    <x v="0"/>
    <m/>
    <n v="6639.5"/>
    <n v="6866.16"/>
    <n v="7190.76"/>
    <n v="7813.28"/>
    <n v="7121.21"/>
    <n v="7411.9"/>
    <n v="7537.71"/>
    <n v="7087.95"/>
    <n v="8274.2000000000007"/>
    <n v="8303.8700000000008"/>
    <n v="8357.94"/>
    <n v="8549.14"/>
    <n v="91153.62"/>
    <n v="-191.19999999999891"/>
  </r>
  <r>
    <x v="6"/>
    <x v="3"/>
    <x v="0"/>
    <s v="4305101"/>
    <n v="713090"/>
    <s v="Benefits-Allocated Amounts"/>
    <s v="Inpatient PT Services"/>
    <x v="0"/>
    <m/>
    <n v="16279.39"/>
    <n v="15750.04"/>
    <n v="18160.919999999998"/>
    <n v="18931.48"/>
    <n v="17665.009999999998"/>
    <n v="18014.5"/>
    <n v="19129.36"/>
    <n v="19552.400000000001"/>
    <n v="17131.900000000001"/>
    <n v="21496.82"/>
    <n v="22207.62"/>
    <n v="22091.71"/>
    <n v="226411.15"/>
    <n v="115.90999999999985"/>
  </r>
  <r>
    <x v="7"/>
    <x v="3"/>
    <x v="0"/>
    <s v="4305101"/>
    <n v="718050"/>
    <s v="Miscellaneous Purchased Svcs"/>
    <s v="Inpatient PT Services"/>
    <x v="0"/>
    <n v="1020"/>
    <n v="0"/>
    <n v="0"/>
    <n v="0"/>
    <n v="0"/>
    <n v="0"/>
    <n v="0"/>
    <n v="0"/>
    <n v="50"/>
    <n v="0"/>
    <n v="50"/>
    <n v="50"/>
    <n v="0"/>
    <n v="150"/>
    <n v="50"/>
  </r>
  <r>
    <x v="11"/>
    <x v="3"/>
    <x v="0"/>
    <s v="4305101"/>
    <n v="721010"/>
    <s v="Supplies-Medical - Billable"/>
    <s v="Inpatient PT Services"/>
    <x v="0"/>
    <m/>
    <n v="0"/>
    <n v="0"/>
    <n v="0"/>
    <n v="0"/>
    <n v="0"/>
    <n v="0"/>
    <n v="0"/>
    <n v="4.05"/>
    <n v="0"/>
    <n v="0"/>
    <n v="0"/>
    <n v="0"/>
    <n v="4.05"/>
    <n v="0"/>
  </r>
  <r>
    <x v="11"/>
    <x v="3"/>
    <x v="0"/>
    <s v="4305101"/>
    <n v="721010"/>
    <s v="Patient Monitoring"/>
    <s v="Inpatient PT Services"/>
    <x v="0"/>
    <n v="1000"/>
    <n v="0"/>
    <n v="0"/>
    <n v="0"/>
    <n v="-138.24"/>
    <n v="0"/>
    <n v="0"/>
    <n v="0"/>
    <n v="0"/>
    <n v="0"/>
    <n v="0"/>
    <n v="0"/>
    <n v="0"/>
    <n v="-138.24"/>
    <n v="0"/>
  </r>
  <r>
    <x v="11"/>
    <x v="3"/>
    <x v="0"/>
    <s v="4305101"/>
    <n v="721410"/>
    <s v="Supplies-Medical - Nonbillable"/>
    <s v="Inpatient PT Services"/>
    <x v="0"/>
    <m/>
    <n v="0"/>
    <n v="687.94"/>
    <n v="322.24"/>
    <n v="10.06"/>
    <n v="0"/>
    <n v="0"/>
    <n v="67.14"/>
    <n v="-375.62"/>
    <n v="911.28"/>
    <n v="1166.5899999999999"/>
    <n v="75.39"/>
    <n v="0"/>
    <n v="2865.02"/>
    <n v="75.39"/>
  </r>
  <r>
    <x v="11"/>
    <x v="3"/>
    <x v="0"/>
    <s v="4305101"/>
    <n v="721650"/>
    <s v="Supplies-Pharmacy Drugs - Nonbillable"/>
    <s v="Inpatient PT Services"/>
    <x v="0"/>
    <m/>
    <n v="0"/>
    <n v="0"/>
    <n v="0"/>
    <n v="0"/>
    <n v="0"/>
    <n v="0"/>
    <n v="0"/>
    <n v="0"/>
    <n v="0"/>
    <n v="0"/>
    <n v="72.760000000000005"/>
    <n v="0"/>
    <n v="72.760000000000005"/>
    <n v="72.760000000000005"/>
  </r>
  <r>
    <x v="11"/>
    <x v="3"/>
    <x v="0"/>
    <s v="4305101"/>
    <n v="721810"/>
    <s v="Supplies-Dietary/Cafeteria"/>
    <s v="Inpatient PT Services"/>
    <x v="0"/>
    <m/>
    <n v="0"/>
    <n v="0"/>
    <n v="0"/>
    <n v="0"/>
    <n v="0"/>
    <n v="0"/>
    <n v="0"/>
    <n v="9.11"/>
    <n v="0"/>
    <n v="0"/>
    <n v="0"/>
    <n v="0"/>
    <n v="9.11"/>
    <n v="0"/>
  </r>
  <r>
    <x v="11"/>
    <x v="3"/>
    <x v="0"/>
    <s v="4305101"/>
    <n v="721830"/>
    <s v="Supplies-Office"/>
    <s v="Inpatient PT Services"/>
    <x v="0"/>
    <m/>
    <n v="29.54"/>
    <n v="0"/>
    <n v="29.54"/>
    <n v="226.87"/>
    <n v="0"/>
    <n v="30.48"/>
    <n v="0"/>
    <n v="0"/>
    <n v="259.3"/>
    <n v="35.85"/>
    <n v="97.81"/>
    <n v="250.61"/>
    <n v="960.00000000000011"/>
    <n v="-152.80000000000001"/>
  </r>
  <r>
    <x v="11"/>
    <x v="3"/>
    <x v="0"/>
    <s v="4305101"/>
    <n v="721835"/>
    <s v="Supplies-Forms"/>
    <s v="Inpatient PT Services"/>
    <x v="0"/>
    <m/>
    <n v="0"/>
    <n v="0"/>
    <n v="0"/>
    <n v="0"/>
    <n v="0"/>
    <n v="0"/>
    <n v="0"/>
    <n v="0"/>
    <n v="160"/>
    <n v="0"/>
    <n v="0"/>
    <n v="0"/>
    <n v="160"/>
    <n v="0"/>
  </r>
  <r>
    <x v="11"/>
    <x v="3"/>
    <x v="0"/>
    <s v="4305101"/>
    <n v="721910"/>
    <s v="Supplies-Small Equipment"/>
    <s v="Inpatient PT Services"/>
    <x v="0"/>
    <m/>
    <n v="0"/>
    <n v="1534.79"/>
    <n v="0"/>
    <n v="171.13"/>
    <n v="0"/>
    <n v="122.88"/>
    <n v="0"/>
    <n v="0"/>
    <n v="0"/>
    <n v="0"/>
    <n v="0"/>
    <n v="0"/>
    <n v="1828.8000000000002"/>
    <n v="0"/>
  </r>
  <r>
    <x v="11"/>
    <x v="3"/>
    <x v="0"/>
    <s v="4305101"/>
    <n v="722000"/>
    <s v="Supplies-Freight Expense"/>
    <s v="Inpatient PT Services"/>
    <x v="0"/>
    <m/>
    <n v="0"/>
    <n v="0"/>
    <n v="7.93"/>
    <n v="0"/>
    <n v="0"/>
    <n v="0"/>
    <n v="0"/>
    <n v="0"/>
    <n v="0"/>
    <n v="0"/>
    <n v="0"/>
    <n v="0"/>
    <n v="7.93"/>
    <n v="0"/>
  </r>
  <r>
    <x v="12"/>
    <x v="3"/>
    <x v="0"/>
    <s v="4305101"/>
    <n v="730020"/>
    <s v="Rental and Leases-Copier Usage Fees (DO NOT USE)"/>
    <s v="Inpatient PT Services"/>
    <x v="0"/>
    <n v="5100"/>
    <n v="40.130000000000003"/>
    <n v="40.83"/>
    <n v="40.49"/>
    <n v="40.479999999999997"/>
    <n v="40.479999999999997"/>
    <n v="40.479999999999997"/>
    <n v="17.559999999999999"/>
    <n v="35.67"/>
    <n v="35.590000000000003"/>
    <n v="35.75"/>
    <n v="35.67"/>
    <n v="41.02"/>
    <n v="444.15000000000003"/>
    <n v="-5.3500000000000014"/>
  </r>
  <r>
    <x v="15"/>
    <x v="3"/>
    <x v="0"/>
    <s v="4305101"/>
    <n v="731060"/>
    <s v="Pagers"/>
    <s v="Inpatient PT Services"/>
    <x v="0"/>
    <n v="1002"/>
    <n v="84.23"/>
    <n v="48.6"/>
    <n v="48.6"/>
    <n v="48.72"/>
    <n v="40.6"/>
    <n v="0"/>
    <n v="100.61"/>
    <n v="32.479999999999997"/>
    <n v="32.479999999999997"/>
    <n v="32.479999999999997"/>
    <n v="32.479999999999997"/>
    <n v="32.479999999999997"/>
    <n v="533.7600000000001"/>
    <n v="0"/>
  </r>
  <r>
    <x v="0"/>
    <x v="3"/>
    <x v="0"/>
    <s v="4305101"/>
    <n v="740020"/>
    <s v="Education-Registration Fees"/>
    <s v="Inpatient PT Services"/>
    <x v="0"/>
    <m/>
    <n v="0"/>
    <n v="0"/>
    <n v="425"/>
    <n v="0"/>
    <n v="450"/>
    <n v="0"/>
    <n v="0"/>
    <n v="0"/>
    <n v="325"/>
    <n v="900"/>
    <n v="2140.02"/>
    <n v="300"/>
    <n v="4540.0200000000004"/>
    <n v="1840.02"/>
  </r>
  <r>
    <x v="0"/>
    <x v="3"/>
    <x v="0"/>
    <s v="4305101"/>
    <n v="749510"/>
    <s v="Miscellaneous Expenses"/>
    <s v="Inpatient PT Services"/>
    <x v="0"/>
    <m/>
    <n v="0"/>
    <n v="0"/>
    <n v="0"/>
    <n v="0"/>
    <n v="0"/>
    <n v="0"/>
    <n v="143.12"/>
    <n v="0"/>
    <n v="0"/>
    <n v="0"/>
    <n v="0"/>
    <n v="0"/>
    <n v="143.12"/>
    <n v="0"/>
  </r>
  <r>
    <x v="0"/>
    <x v="3"/>
    <x v="0"/>
    <s v="4305101"/>
    <n v="749510"/>
    <s v="RICE Rewards"/>
    <s v="Inpatient PT Services"/>
    <x v="0"/>
    <n v="5100"/>
    <n v="0"/>
    <n v="0"/>
    <n v="0"/>
    <n v="0"/>
    <n v="0"/>
    <n v="0"/>
    <n v="0"/>
    <n v="0"/>
    <n v="0"/>
    <n v="342.11"/>
    <n v="0"/>
    <n v="140"/>
    <n v="482.11"/>
    <n v="-140"/>
  </r>
  <r>
    <x v="18"/>
    <x v="3"/>
    <x v="0"/>
    <s v="4306101"/>
    <n v="400010"/>
    <s v="Acute I/P Svcs Rev--Medicare"/>
    <s v="Inpatient Rehab PT"/>
    <x v="0"/>
    <n v="1100"/>
    <n v="-10313.94"/>
    <n v="0"/>
    <n v="0"/>
    <n v="0"/>
    <n v="0"/>
    <n v="0"/>
    <n v="0"/>
    <n v="0"/>
    <n v="0"/>
    <n v="10313.94"/>
    <n v="0"/>
    <n v="0"/>
    <n v="0"/>
    <n v="0"/>
  </r>
  <r>
    <x v="18"/>
    <x v="3"/>
    <x v="0"/>
    <s v="4306101"/>
    <n v="400010"/>
    <s v="Acute I/P Svcs Rev--Medicaid"/>
    <s v="Inpatient Rehab PT"/>
    <x v="0"/>
    <n v="1200"/>
    <n v="0"/>
    <n v="0"/>
    <n v="-6290.57"/>
    <n v="0"/>
    <n v="0"/>
    <n v="0"/>
    <n v="0"/>
    <n v="0"/>
    <n v="0"/>
    <n v="6290.57"/>
    <n v="0"/>
    <n v="0"/>
    <n v="0"/>
    <n v="0"/>
  </r>
  <r>
    <x v="18"/>
    <x v="3"/>
    <x v="0"/>
    <s v="4306101"/>
    <n v="400010"/>
    <s v="Acute I/P Svcs Rev--Comm Insurance"/>
    <s v="Inpatient Rehab PT"/>
    <x v="0"/>
    <n v="1300"/>
    <n v="10313.94"/>
    <n v="0"/>
    <n v="0"/>
    <n v="0"/>
    <n v="0"/>
    <n v="0"/>
    <n v="0"/>
    <n v="0"/>
    <n v="0"/>
    <n v="-10313.94"/>
    <n v="0"/>
    <n v="0"/>
    <n v="0"/>
    <n v="0"/>
  </r>
  <r>
    <x v="18"/>
    <x v="3"/>
    <x v="0"/>
    <s v="4306101"/>
    <n v="400010"/>
    <s v="Acute I/P Svcs Rev--Managed Care"/>
    <s v="Inpatient Rehab PT"/>
    <x v="0"/>
    <n v="1400"/>
    <n v="0"/>
    <n v="0"/>
    <n v="6290.57"/>
    <n v="0"/>
    <n v="0"/>
    <n v="0"/>
    <n v="0"/>
    <n v="0"/>
    <n v="0"/>
    <n v="0"/>
    <n v="4488.01"/>
    <n v="0"/>
    <n v="10778.58"/>
    <n v="4488.01"/>
  </r>
  <r>
    <x v="18"/>
    <x v="3"/>
    <x v="0"/>
    <s v="4306101"/>
    <n v="400010"/>
    <s v="Acute I/P Svcs Rev--Self Pay"/>
    <s v="Inpatient Rehab PT"/>
    <x v="0"/>
    <n v="1500"/>
    <n v="0"/>
    <n v="0"/>
    <n v="0"/>
    <n v="0"/>
    <n v="0"/>
    <n v="0"/>
    <n v="0"/>
    <n v="0"/>
    <n v="0"/>
    <n v="-6290.57"/>
    <n v="0"/>
    <n v="0"/>
    <n v="-6290.57"/>
    <n v="0"/>
  </r>
  <r>
    <x v="18"/>
    <x v="3"/>
    <x v="0"/>
    <s v="4306101"/>
    <n v="400010"/>
    <s v="Acute I/P Svcs Rev--Other"/>
    <s v="Inpatient Rehab PT"/>
    <x v="0"/>
    <n v="1700"/>
    <n v="0"/>
    <n v="0"/>
    <n v="0"/>
    <n v="0"/>
    <n v="0"/>
    <n v="0"/>
    <n v="0"/>
    <n v="0"/>
    <n v="0"/>
    <n v="0"/>
    <n v="-4488.01"/>
    <n v="0"/>
    <n v="-4488.01"/>
    <n v="-4488.01"/>
  </r>
  <r>
    <x v="5"/>
    <x v="3"/>
    <x v="0"/>
    <s v="4306101"/>
    <n v="700054"/>
    <s v="Salaries-Management-NonProd-Other"/>
    <s v="Inpatient Rehab PT"/>
    <x v="0"/>
    <n v="2000"/>
    <n v="0"/>
    <n v="0"/>
    <n v="0"/>
    <n v="0"/>
    <n v="0"/>
    <n v="3569.98"/>
    <n v="-3569.98"/>
    <n v="0"/>
    <n v="0"/>
    <n v="0"/>
    <n v="0"/>
    <n v="0"/>
    <n v="0"/>
    <n v="0"/>
  </r>
  <r>
    <x v="5"/>
    <x v="3"/>
    <x v="0"/>
    <s v="4306101"/>
    <n v="700072"/>
    <s v="Salaries-Other Pat Care Providers-NonProd-Other"/>
    <s v="Inpatient Rehab PT"/>
    <x v="0"/>
    <n v="2000"/>
    <n v="3424.91"/>
    <n v="-2764.55"/>
    <n v="-660.36"/>
    <n v="0"/>
    <n v="0"/>
    <n v="0"/>
    <n v="0"/>
    <n v="0"/>
    <n v="0"/>
    <n v="0"/>
    <n v="0"/>
    <n v="0"/>
    <n v="-3.4106051316484809E-13"/>
    <n v="0"/>
  </r>
  <r>
    <x v="6"/>
    <x v="3"/>
    <x v="0"/>
    <s v="4306101"/>
    <n v="713010"/>
    <s v="Benefits-FICA/Medicare"/>
    <s v="Inpatient Rehab PT"/>
    <x v="0"/>
    <m/>
    <n v="261.99"/>
    <n v="-211.46"/>
    <n v="-50.51"/>
    <n v="0"/>
    <n v="0"/>
    <n v="273.11"/>
    <n v="273.11"/>
    <n v="0"/>
    <n v="0"/>
    <n v="0"/>
    <n v="0"/>
    <n v="0"/>
    <n v="546.24"/>
    <n v="0"/>
  </r>
  <r>
    <x v="6"/>
    <x v="3"/>
    <x v="0"/>
    <s v="4306101"/>
    <n v="713090"/>
    <s v="Benefits-Allocated Amounts"/>
    <s v="Inpatient Rehab PT"/>
    <x v="0"/>
    <m/>
    <n v="188.66"/>
    <n v="-154.61000000000001"/>
    <n v="-34.049999999999997"/>
    <n v="0"/>
    <n v="0"/>
    <n v="205.96"/>
    <n v="-24.94"/>
    <n v="-181.02"/>
    <n v="0"/>
    <n v="0"/>
    <n v="0"/>
    <n v="0"/>
    <n v="-2.8421709430404007E-14"/>
    <n v="0"/>
  </r>
  <r>
    <x v="7"/>
    <x v="3"/>
    <x v="0"/>
    <s v="4306101"/>
    <n v="718050"/>
    <s v="Contract Management--Linen"/>
    <s v="Inpatient Rehab PT"/>
    <x v="0"/>
    <n v="1026"/>
    <n v="0"/>
    <n v="0"/>
    <n v="0"/>
    <n v="0"/>
    <n v="0"/>
    <n v="0"/>
    <n v="0"/>
    <n v="0"/>
    <n v="74.78"/>
    <n v="2.83"/>
    <n v="104.06"/>
    <n v="-49.76"/>
    <n v="131.91000000000003"/>
    <n v="153.82"/>
  </r>
  <r>
    <x v="11"/>
    <x v="3"/>
    <x v="0"/>
    <s v="4306101"/>
    <n v="721410"/>
    <s v="Supplies-Medical - Nonbillable"/>
    <s v="Inpatient Rehab PT"/>
    <x v="0"/>
    <m/>
    <n v="17.5"/>
    <n v="-32.21"/>
    <n v="0"/>
    <n v="-17.5"/>
    <n v="0"/>
    <n v="0"/>
    <n v="0"/>
    <n v="0"/>
    <n v="0"/>
    <n v="0"/>
    <n v="0"/>
    <n v="0"/>
    <n v="-32.21"/>
    <n v="0"/>
  </r>
  <r>
    <x v="11"/>
    <x v="3"/>
    <x v="0"/>
    <s v="4306101"/>
    <n v="722000"/>
    <s v="Supplies-Freight Expense"/>
    <s v="Inpatient Rehab PT"/>
    <x v="0"/>
    <m/>
    <n v="0"/>
    <n v="0"/>
    <n v="0"/>
    <n v="17.5"/>
    <n v="0"/>
    <n v="0"/>
    <n v="0"/>
    <n v="0"/>
    <n v="0"/>
    <n v="0"/>
    <n v="0"/>
    <n v="0"/>
    <n v="17.5"/>
    <n v="0"/>
  </r>
  <r>
    <x v="12"/>
    <x v="3"/>
    <x v="0"/>
    <s v="4306101"/>
    <n v="730020"/>
    <s v="Rental and Leases-Copier Usage Fees (DO NOT USE)"/>
    <s v="Inpatient Rehab PT"/>
    <x v="0"/>
    <n v="5100"/>
    <n v="174.43"/>
    <n v="177.04"/>
    <n v="175.73"/>
    <n v="175.73"/>
    <n v="175.73"/>
    <n v="175.73"/>
    <n v="-970.33"/>
    <n v="0"/>
    <n v="0"/>
    <n v="0"/>
    <n v="0"/>
    <n v="0"/>
    <n v="84.060000000000059"/>
    <n v="0"/>
  </r>
  <r>
    <x v="0"/>
    <x v="3"/>
    <x v="0"/>
    <s v="4306101"/>
    <n v="740020"/>
    <s v="Education-Registration Fees"/>
    <s v="Inpatient Rehab PT"/>
    <x v="0"/>
    <m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310101"/>
    <n v="400020"/>
    <s v="O/P Care Svcs Rev--Medicare"/>
    <s v="Physical Therapy @ Port Clinic"/>
    <x v="0"/>
    <n v="1100"/>
    <n v="0"/>
    <n v="0"/>
    <n v="0"/>
    <n v="0"/>
    <n v="-1839.62"/>
    <n v="-0.02"/>
    <n v="0"/>
    <n v="0"/>
    <n v="0"/>
    <n v="0"/>
    <n v="0"/>
    <n v="0"/>
    <n v="-1839.6399999999999"/>
    <n v="0"/>
  </r>
  <r>
    <x v="19"/>
    <x v="3"/>
    <x v="0"/>
    <s v="4310101"/>
    <n v="400020"/>
    <s v="O/P Care Svcs Rev--Medicaid"/>
    <s v="Physical Therapy @ Port Clinic"/>
    <x v="0"/>
    <n v="1200"/>
    <n v="0"/>
    <n v="0"/>
    <n v="0"/>
    <n v="0"/>
    <n v="-4590.43"/>
    <n v="0"/>
    <n v="0"/>
    <n v="0"/>
    <n v="0"/>
    <n v="0"/>
    <n v="0"/>
    <n v="0"/>
    <n v="-4590.43"/>
    <n v="0"/>
  </r>
  <r>
    <x v="19"/>
    <x v="3"/>
    <x v="0"/>
    <s v="4310101"/>
    <n v="400020"/>
    <s v="O/P Care Svcs Rev--Comm Insurance"/>
    <s v="Physical Therapy @ Port Clinic"/>
    <x v="0"/>
    <n v="1300"/>
    <n v="0"/>
    <n v="0"/>
    <n v="-988.48"/>
    <n v="0"/>
    <n v="0"/>
    <n v="0"/>
    <n v="0"/>
    <n v="0"/>
    <n v="0"/>
    <n v="0"/>
    <n v="0"/>
    <n v="0"/>
    <n v="-988.48"/>
    <n v="0"/>
  </r>
  <r>
    <x v="19"/>
    <x v="3"/>
    <x v="0"/>
    <s v="4310101"/>
    <n v="400020"/>
    <s v="O/P Care Svcs Rev--BCBS Comm"/>
    <s v="Physical Therapy @ Port Clinic"/>
    <x v="0"/>
    <n v="1301"/>
    <n v="0"/>
    <n v="-1177.52"/>
    <n v="0"/>
    <n v="0"/>
    <n v="0"/>
    <n v="0"/>
    <n v="0"/>
    <n v="0"/>
    <n v="0"/>
    <n v="-1942.16"/>
    <n v="-3458"/>
    <n v="-1118.5"/>
    <n v="-7696.18"/>
    <n v="-2339.5"/>
  </r>
  <r>
    <x v="19"/>
    <x v="3"/>
    <x v="0"/>
    <s v="4310101"/>
    <n v="400020"/>
    <s v="O/P Care Svcs Rev--Managed Care"/>
    <s v="Physical Therapy @ Port Clinic"/>
    <x v="0"/>
    <n v="1400"/>
    <n v="0"/>
    <n v="0"/>
    <n v="-2358.59"/>
    <n v="-5077.57"/>
    <n v="-8499.3799999999992"/>
    <n v="-1037.94"/>
    <n v="0"/>
    <n v="0"/>
    <n v="0"/>
    <n v="0"/>
    <n v="-8099.82"/>
    <n v="0"/>
    <n v="-25073.3"/>
    <n v="-8099.82"/>
  </r>
  <r>
    <x v="19"/>
    <x v="3"/>
    <x v="0"/>
    <s v="4310101"/>
    <n v="400020"/>
    <s v="O/P Care Svcs Rev--Self Pay"/>
    <s v="Physical Therapy @ Port Clinic"/>
    <x v="0"/>
    <n v="1500"/>
    <n v="0"/>
    <n v="0"/>
    <n v="988.48"/>
    <n v="-4590.43"/>
    <n v="4590.43"/>
    <n v="0"/>
    <n v="0"/>
    <n v="0"/>
    <n v="0"/>
    <n v="0"/>
    <n v="-541.87"/>
    <n v="0"/>
    <n v="446.61"/>
    <n v="-541.87"/>
  </r>
  <r>
    <x v="19"/>
    <x v="3"/>
    <x v="0"/>
    <s v="4310101"/>
    <n v="400020"/>
    <s v="O/P Care Svcs Rev--Other"/>
    <s v="Physical Therapy @ Port Clinic"/>
    <x v="0"/>
    <n v="1700"/>
    <n v="-71090.36"/>
    <n v="-76305.440000000002"/>
    <n v="-53175.77"/>
    <n v="-72984.740000000005"/>
    <n v="-65738.73"/>
    <n v="-63220.800000000003"/>
    <n v="-84372.77"/>
    <n v="-68415.22"/>
    <n v="-74296.28"/>
    <n v="-68063.360000000001"/>
    <n v="-68311.259999999995"/>
    <n v="-64255.64"/>
    <n v="-830230.37"/>
    <n v="-4055.6199999999953"/>
  </r>
  <r>
    <x v="14"/>
    <x v="3"/>
    <x v="0"/>
    <s v="4310101"/>
    <n v="600050"/>
    <s v="Miscellaneous Revenue"/>
    <s v="Physical Therapy @ Port Clinic"/>
    <x v="0"/>
    <m/>
    <n v="-2375"/>
    <n v="-2495"/>
    <n v="-2005"/>
    <n v="-2530"/>
    <n v="-2800"/>
    <n v="-1925"/>
    <n v="-3075"/>
    <n v="-2000"/>
    <n v="-2400"/>
    <n v="-925"/>
    <n v="-880"/>
    <n v="-300"/>
    <n v="-23710"/>
    <n v="-580"/>
  </r>
  <r>
    <x v="5"/>
    <x v="3"/>
    <x v="0"/>
    <s v="4310101"/>
    <n v="700032"/>
    <s v="Salaries-Other Pat Care Providers-Productive"/>
    <s v="Physical Therapy @ Port Clinic"/>
    <x v="0"/>
    <m/>
    <n v="7490.85"/>
    <n v="10083.15"/>
    <n v="6381.93"/>
    <n v="9630.98"/>
    <n v="8743.15"/>
    <n v="6975.38"/>
    <n v="8217.51"/>
    <n v="7458.24"/>
    <n v="9059.31"/>
    <n v="7789.67"/>
    <n v="8639"/>
    <n v="7993.95"/>
    <n v="98463.12"/>
    <n v="645.05000000000018"/>
  </r>
  <r>
    <x v="5"/>
    <x v="3"/>
    <x v="0"/>
    <s v="4310101"/>
    <n v="700032"/>
    <s v="Salaries-Other Pat Care Providers-OT"/>
    <s v="Physical Therapy @ Port Clinic"/>
    <x v="0"/>
    <n v="1000"/>
    <n v="0"/>
    <n v="0"/>
    <n v="0"/>
    <n v="0"/>
    <n v="0"/>
    <n v="0"/>
    <n v="0"/>
    <n v="0"/>
    <n v="174.4"/>
    <n v="-34.299999999999997"/>
    <n v="0"/>
    <n v="0"/>
    <n v="140.10000000000002"/>
    <n v="0"/>
  </r>
  <r>
    <x v="5"/>
    <x v="3"/>
    <x v="0"/>
    <s v="4310101"/>
    <n v="700072"/>
    <s v="Salaries-Other Pat Care Providers-Non-productive"/>
    <s v="Physical Therapy @ Port Clinic"/>
    <x v="0"/>
    <m/>
    <n v="2252.17"/>
    <n v="1032.45"/>
    <n v="3530.83"/>
    <n v="-235.55"/>
    <n v="392.07"/>
    <n v="2464.6"/>
    <n v="1237.23"/>
    <n v="1080.6600000000001"/>
    <n v="394.54"/>
    <n v="1358.93"/>
    <n v="814.85"/>
    <n v="1155.05"/>
    <n v="15477.83"/>
    <n v="-340.19999999999993"/>
  </r>
  <r>
    <x v="5"/>
    <x v="3"/>
    <x v="0"/>
    <s v="4310101"/>
    <n v="700084"/>
    <s v="Accrued PTO"/>
    <s v="Physical Therapy @ Port Clinic"/>
    <x v="0"/>
    <m/>
    <n v="-872.55"/>
    <n v="-27.55"/>
    <n v="-1132.8699999999999"/>
    <n v="684.75"/>
    <n v="610.71"/>
    <n v="-975.74"/>
    <n v="-321.33999999999997"/>
    <n v="104.45"/>
    <n v="501.46"/>
    <n v="-55.43"/>
    <n v="117.78"/>
    <n v="-107.12"/>
    <n v="-1473.4499999999998"/>
    <n v="224.9"/>
  </r>
  <r>
    <x v="6"/>
    <x v="3"/>
    <x v="0"/>
    <s v="4310101"/>
    <n v="713010"/>
    <s v="Benefits-FICA/Medicare"/>
    <s v="Physical Therapy @ Port Clinic"/>
    <x v="0"/>
    <m/>
    <n v="735.92"/>
    <n v="842.34"/>
    <n v="750.4"/>
    <n v="710.54"/>
    <n v="690.87"/>
    <n v="713.94"/>
    <n v="713.94"/>
    <n v="644.84"/>
    <n v="727.25"/>
    <n v="688.26"/>
    <n v="713.95"/>
    <n v="690.9"/>
    <n v="8623.1500000000015"/>
    <n v="23.050000000000068"/>
  </r>
  <r>
    <x v="6"/>
    <x v="3"/>
    <x v="0"/>
    <s v="4310101"/>
    <n v="713090"/>
    <s v="Benefits-Allocated Amounts"/>
    <s v="Physical Therapy @ Port Clinic"/>
    <x v="0"/>
    <m/>
    <n v="1632.01"/>
    <n v="1552.29"/>
    <n v="1527.75"/>
    <n v="1573.39"/>
    <n v="1568.73"/>
    <n v="1545.29"/>
    <n v="1614.57"/>
    <n v="1598.72"/>
    <n v="1349.57"/>
    <n v="1652.9"/>
    <n v="1724.2"/>
    <n v="1662.02"/>
    <n v="19001.439999999999"/>
    <n v="62.180000000000064"/>
  </r>
  <r>
    <x v="7"/>
    <x v="3"/>
    <x v="0"/>
    <s v="4310101"/>
    <n v="718050"/>
    <s v="Miscellaneous Purchased Svcs"/>
    <s v="Physical Therapy @ Port Clinic"/>
    <x v="0"/>
    <n v="1020"/>
    <n v="158"/>
    <n v="241.92"/>
    <n v="79"/>
    <n v="119.07"/>
    <n v="197.5"/>
    <n v="158"/>
    <n v="316"/>
    <n v="39.5"/>
    <n v="237"/>
    <n v="39.5"/>
    <n v="158"/>
    <n v="118.5"/>
    <n v="1861.99"/>
    <n v="39.5"/>
  </r>
  <r>
    <x v="11"/>
    <x v="3"/>
    <x v="0"/>
    <s v="4310101"/>
    <n v="721020"/>
    <s v="Supplies-Surgical - Billable"/>
    <s v="Physical Therapy @ Port Clinic"/>
    <x v="0"/>
    <m/>
    <n v="103.59"/>
    <n v="0"/>
    <n v="0"/>
    <n v="83.7"/>
    <n v="0"/>
    <n v="0"/>
    <n v="139.5"/>
    <n v="15.41"/>
    <n v="0"/>
    <n v="0"/>
    <n v="55.8"/>
    <n v="0"/>
    <n v="398.00000000000006"/>
    <n v="55.8"/>
  </r>
  <r>
    <x v="11"/>
    <x v="3"/>
    <x v="0"/>
    <s v="4310101"/>
    <n v="721410"/>
    <s v="Supplies-Medical - Nonbillable"/>
    <s v="Physical Therapy @ Port Clinic"/>
    <x v="0"/>
    <m/>
    <n v="0"/>
    <n v="0"/>
    <n v="0"/>
    <n v="59.75"/>
    <n v="59.75"/>
    <n v="0"/>
    <n v="0"/>
    <n v="70.7"/>
    <n v="-67.84"/>
    <n v="27.64"/>
    <n v="0"/>
    <n v="5.28"/>
    <n v="155.28"/>
    <n v="-5.28"/>
  </r>
  <r>
    <x v="11"/>
    <x v="3"/>
    <x v="0"/>
    <s v="4310101"/>
    <n v="721750"/>
    <s v="Supplies-Film/Radiographic - Nonbillable"/>
    <s v="Physical Therapy @ Port Clinic"/>
    <x v="0"/>
    <m/>
    <n v="34.18"/>
    <n v="0"/>
    <n v="0"/>
    <n v="0"/>
    <n v="0"/>
    <n v="0"/>
    <n v="0"/>
    <n v="10.95"/>
    <n v="0"/>
    <n v="0"/>
    <n v="0"/>
    <n v="0"/>
    <n v="45.129999999999995"/>
    <n v="0"/>
  </r>
  <r>
    <x v="11"/>
    <x v="3"/>
    <x v="0"/>
    <s v="4310101"/>
    <n v="721830"/>
    <s v="Supplies-Office"/>
    <s v="Physical Therapy @ Port Clinic"/>
    <x v="0"/>
    <m/>
    <n v="0"/>
    <n v="0"/>
    <n v="0"/>
    <n v="0"/>
    <n v="0"/>
    <n v="0"/>
    <n v="0"/>
    <n v="0"/>
    <n v="30.27"/>
    <n v="0"/>
    <n v="0"/>
    <n v="0"/>
    <n v="30.27"/>
    <n v="0"/>
  </r>
  <r>
    <x v="11"/>
    <x v="3"/>
    <x v="0"/>
    <s v="4310101"/>
    <n v="721870"/>
    <s v="Supplies-Environmental Services"/>
    <s v="Physical Therapy @ Port Clinic"/>
    <x v="0"/>
    <m/>
    <n v="31.17"/>
    <n v="0"/>
    <n v="0"/>
    <n v="0"/>
    <n v="0"/>
    <n v="0"/>
    <n v="57.62"/>
    <n v="0"/>
    <n v="28.81"/>
    <n v="0"/>
    <n v="28.81"/>
    <n v="32.64"/>
    <n v="179.05"/>
    <n v="-3.8300000000000018"/>
  </r>
  <r>
    <x v="11"/>
    <x v="3"/>
    <x v="0"/>
    <s v="4310101"/>
    <n v="721880"/>
    <s v="Supplies-Linen"/>
    <s v="Physical Therapy @ Port Clinic"/>
    <x v="0"/>
    <m/>
    <n v="0"/>
    <n v="0"/>
    <n v="0"/>
    <n v="6.42"/>
    <n v="0"/>
    <n v="0"/>
    <n v="0"/>
    <n v="0"/>
    <n v="0"/>
    <n v="0"/>
    <n v="0"/>
    <n v="0"/>
    <n v="6.42"/>
    <n v="0"/>
  </r>
  <r>
    <x v="11"/>
    <x v="3"/>
    <x v="0"/>
    <s v="4310101"/>
    <n v="721910"/>
    <s v="Supplies-Small Equipment"/>
    <s v="Physical Therapy @ Port Clinic"/>
    <x v="0"/>
    <m/>
    <n v="3.84"/>
    <n v="0"/>
    <n v="0"/>
    <n v="0"/>
    <n v="0"/>
    <n v="0"/>
    <n v="0"/>
    <n v="0"/>
    <n v="0"/>
    <n v="0"/>
    <n v="0"/>
    <n v="0"/>
    <n v="3.84"/>
    <n v="0"/>
  </r>
  <r>
    <x v="11"/>
    <x v="3"/>
    <x v="0"/>
    <s v="4310101"/>
    <n v="721980"/>
    <s v="Supplies-Other"/>
    <s v="Physical Therapy @ Port Clinic"/>
    <x v="0"/>
    <m/>
    <n v="0"/>
    <n v="0"/>
    <n v="0"/>
    <n v="1040.45"/>
    <n v="0"/>
    <n v="216"/>
    <n v="0"/>
    <n v="0"/>
    <n v="0"/>
    <n v="0"/>
    <n v="0"/>
    <n v="0"/>
    <n v="1256.45"/>
    <n v="0"/>
  </r>
  <r>
    <x v="11"/>
    <x v="3"/>
    <x v="0"/>
    <s v="4310101"/>
    <n v="722000"/>
    <s v="Supplies-Freight Expense"/>
    <s v="Physical Therapy @ Port Clinic"/>
    <x v="0"/>
    <m/>
    <n v="0"/>
    <n v="0"/>
    <n v="0"/>
    <n v="7.95"/>
    <n v="0"/>
    <n v="0"/>
    <n v="39.729999999999997"/>
    <n v="0"/>
    <n v="0"/>
    <n v="10.33"/>
    <n v="0"/>
    <n v="0"/>
    <n v="58.01"/>
    <n v="0"/>
  </r>
  <r>
    <x v="12"/>
    <x v="3"/>
    <x v="0"/>
    <s v="4310101"/>
    <n v="730010"/>
    <s v="Rental and Leases-Building (DO NOT USE)"/>
    <s v="Physical Therapy @ Port Clinic"/>
    <x v="0"/>
    <m/>
    <n v="2069.5500000000002"/>
    <n v="2069.5500000000002"/>
    <n v="2069.5500000000002"/>
    <n v="2069.5500000000002"/>
    <n v="2069.5500000000002"/>
    <n v="935.27"/>
    <n v="935.27"/>
    <n v="935.27"/>
    <n v="935.27"/>
    <n v="-4872.33"/>
    <n v="935.27"/>
    <n v="935.27"/>
    <n v="11087.040000000003"/>
    <n v="0"/>
  </r>
  <r>
    <x v="12"/>
    <x v="3"/>
    <x v="0"/>
    <s v="4310101"/>
    <n v="730010"/>
    <s v="Rental-Common Area Maint (DO NOT USE)"/>
    <s v="Physical Therapy @ Port Clinic"/>
    <x v="0"/>
    <n v="2200"/>
    <n v="0"/>
    <n v="0"/>
    <n v="0"/>
    <n v="0"/>
    <n v="0"/>
    <n v="1161.52"/>
    <n v="1161.52"/>
    <n v="1161.52"/>
    <n v="1161.52"/>
    <n v="7057.07"/>
    <n v="1161.52"/>
    <n v="1161.52"/>
    <n v="14026.19"/>
    <n v="0"/>
  </r>
  <r>
    <x v="12"/>
    <x v="3"/>
    <x v="0"/>
    <s v="4310101"/>
    <n v="730020"/>
    <s v="Rental and Leases-Copier Usage Fees (DO NOT USE)"/>
    <s v="Physical Therapy @ Port Clinic"/>
    <x v="0"/>
    <n v="5100"/>
    <n v="51.04"/>
    <n v="52.43"/>
    <n v="51.73"/>
    <n v="51.73"/>
    <n v="51.73"/>
    <n v="51.73"/>
    <n v="-33.72"/>
    <n v="46.89"/>
    <n v="47.52"/>
    <n v="46.99"/>
    <n v="46.89"/>
    <n v="51.09"/>
    <n v="516.04999999999995"/>
    <n v="-4.2000000000000028"/>
  </r>
  <r>
    <x v="13"/>
    <x v="3"/>
    <x v="0"/>
    <s v="4310101"/>
    <n v="735060"/>
    <s v="Depreciation-Fixed Equipment"/>
    <s v="Physical Therapy @ Port Clinic"/>
    <x v="0"/>
    <m/>
    <n v="44.15"/>
    <n v="44.15"/>
    <n v="44.15"/>
    <n v="44.15"/>
    <n v="44.15"/>
    <n v="44.15"/>
    <n v="44.15"/>
    <n v="44.15"/>
    <n v="44.15"/>
    <n v="44.14"/>
    <n v="44.15"/>
    <n v="44.14"/>
    <n v="529.77999999999986"/>
    <n v="9.9999999999980105E-3"/>
  </r>
  <r>
    <x v="13"/>
    <x v="3"/>
    <x v="0"/>
    <s v="4310101"/>
    <n v="735070"/>
    <s v="Depreciation-Movable Equipment"/>
    <s v="Physical Therapy @ Port Clinic"/>
    <x v="0"/>
    <m/>
    <n v="37.44"/>
    <n v="37.44"/>
    <n v="37.44"/>
    <n v="37.44"/>
    <n v="37.450000000000003"/>
    <n v="37.44"/>
    <n v="37.450000000000003"/>
    <n v="37.44"/>
    <n v="37.450000000000003"/>
    <n v="37.44"/>
    <n v="37.450000000000003"/>
    <n v="37.44"/>
    <n v="449.31999999999994"/>
    <n v="1.0000000000005116E-2"/>
  </r>
  <r>
    <x v="0"/>
    <x v="3"/>
    <x v="0"/>
    <s v="4310101"/>
    <n v="743030"/>
    <s v="Subscriptions--Institutional"/>
    <s v="Physical Therapy @ Port Clinic"/>
    <x v="0"/>
    <m/>
    <n v="0"/>
    <n v="0"/>
    <n v="0"/>
    <n v="0"/>
    <n v="0"/>
    <n v="0"/>
    <n v="68.989999999999995"/>
    <n v="0"/>
    <n v="0"/>
    <n v="0"/>
    <n v="0"/>
    <n v="0"/>
    <n v="68.989999999999995"/>
    <n v="0"/>
  </r>
  <r>
    <x v="0"/>
    <x v="3"/>
    <x v="0"/>
    <s v="4310101"/>
    <n v="749510"/>
    <s v="Miscellaneous Expenses"/>
    <s v="Physical Therapy @ Port Clinic"/>
    <x v="0"/>
    <m/>
    <n v="0"/>
    <n v="0"/>
    <n v="0"/>
    <n v="-1"/>
    <n v="0"/>
    <n v="0"/>
    <n v="0"/>
    <n v="0"/>
    <n v="0"/>
    <n v="0"/>
    <n v="0"/>
    <n v="0"/>
    <n v="-1"/>
    <n v="0"/>
  </r>
  <r>
    <x v="0"/>
    <x v="3"/>
    <x v="0"/>
    <s v="4310101"/>
    <n v="749510"/>
    <s v="RICE Rewards"/>
    <s v="Physical Therapy @ Port Clinic"/>
    <x v="0"/>
    <n v="5100"/>
    <n v="0"/>
    <n v="0"/>
    <n v="0"/>
    <n v="0"/>
    <n v="0"/>
    <n v="0"/>
    <n v="0"/>
    <n v="0"/>
    <n v="0"/>
    <n v="0"/>
    <n v="0"/>
    <n v="47.71"/>
    <n v="47.71"/>
    <n v="-47.71"/>
  </r>
  <r>
    <x v="19"/>
    <x v="3"/>
    <x v="0"/>
    <s v="4311101"/>
    <n v="400020"/>
    <s v="O/P Care Svcs Rev--Medicare"/>
    <s v="Outpatient PT"/>
    <x v="0"/>
    <n v="1100"/>
    <n v="-298126.15000000002"/>
    <n v="-335364.67"/>
    <n v="-272658.8"/>
    <n v="-281232.84000000003"/>
    <n v="-268537.34999999998"/>
    <n v="-236862.44"/>
    <n v="-284168.7"/>
    <n v="-205213.73"/>
    <n v="-287867.49"/>
    <n v="-299811.19"/>
    <n v="-275757.25"/>
    <n v="-247298.95"/>
    <n v="-3292899.56"/>
    <n v="-28458.299999999988"/>
  </r>
  <r>
    <x v="19"/>
    <x v="3"/>
    <x v="0"/>
    <s v="4311101"/>
    <n v="400020"/>
    <s v="O/P Care Svcs Rev--Medicaid"/>
    <s v="Outpatient PT"/>
    <x v="0"/>
    <n v="1200"/>
    <n v="-165766.35999999999"/>
    <n v="-191024.13"/>
    <n v="-155893.60999999999"/>
    <n v="-174565.01"/>
    <n v="-158282.49"/>
    <n v="-167294.84"/>
    <n v="-200555.51999999999"/>
    <n v="-149545.85"/>
    <n v="-168878.74"/>
    <n v="-179485.06"/>
    <n v="-185261.45"/>
    <n v="-172764.86"/>
    <n v="-2069317.92"/>
    <n v="-12496.590000000026"/>
  </r>
  <r>
    <x v="19"/>
    <x v="3"/>
    <x v="0"/>
    <s v="4311101"/>
    <n v="400020"/>
    <s v="O/P Care Svcs Rev--Comm Insurance"/>
    <s v="Outpatient PT"/>
    <x v="0"/>
    <n v="1300"/>
    <n v="-32016.53"/>
    <n v="-63818.84"/>
    <n v="-15774.56"/>
    <n v="-29894.91"/>
    <n v="-42517.49"/>
    <n v="-17800.13"/>
    <n v="-33872.910000000003"/>
    <n v="-23913.75"/>
    <n v="-25624.78"/>
    <n v="-33543"/>
    <n v="-42133.72"/>
    <n v="-41148.06"/>
    <n v="-402058.68"/>
    <n v="-985.66000000000349"/>
  </r>
  <r>
    <x v="19"/>
    <x v="3"/>
    <x v="0"/>
    <s v="4311101"/>
    <n v="400020"/>
    <s v="O/P Care Svcs Rev--BCBS Comm"/>
    <s v="Outpatient PT"/>
    <x v="0"/>
    <n v="1301"/>
    <n v="-22536.33"/>
    <n v="-30528.94"/>
    <n v="-41639.21"/>
    <n v="-57379.93"/>
    <n v="-48983.51"/>
    <n v="-42636.38"/>
    <n v="-61055.01"/>
    <n v="-45035.73"/>
    <n v="-38748.980000000003"/>
    <n v="-47309.63"/>
    <n v="-45199.27"/>
    <n v="-29532.54"/>
    <n v="-510585.45999999996"/>
    <n v="-15666.729999999996"/>
  </r>
  <r>
    <x v="19"/>
    <x v="3"/>
    <x v="0"/>
    <s v="4311101"/>
    <n v="400020"/>
    <s v="O/P Care Svcs Rev--Managed Care"/>
    <s v="Outpatient PT"/>
    <x v="0"/>
    <n v="1400"/>
    <n v="-104423.95"/>
    <n v="-150670.73000000001"/>
    <n v="-135162.76999999999"/>
    <n v="-156164.39000000001"/>
    <n v="-201422.98"/>
    <n v="-180096.79"/>
    <n v="-185754.85"/>
    <n v="-121305.18"/>
    <n v="-166373.04999999999"/>
    <n v="-192179.94"/>
    <n v="-228159.5"/>
    <n v="-188683.12"/>
    <n v="-2010397.25"/>
    <n v="-39476.380000000005"/>
  </r>
  <r>
    <x v="19"/>
    <x v="3"/>
    <x v="0"/>
    <s v="4311101"/>
    <n v="400020"/>
    <s v="O/P Care Svcs Rev--Self Pay"/>
    <s v="Outpatient PT"/>
    <x v="0"/>
    <n v="1500"/>
    <n v="-8557.2999999999993"/>
    <n v="-10079.31"/>
    <n v="-16063.37"/>
    <n v="-19092.330000000002"/>
    <n v="-9153.31"/>
    <n v="-9886.5"/>
    <n v="-12165.73"/>
    <n v="-14243.4"/>
    <n v="-22251.62"/>
    <n v="-14872.71"/>
    <n v="-3400.93"/>
    <n v="-7243.47"/>
    <n v="-147009.97999999998"/>
    <n v="3842.5400000000004"/>
  </r>
  <r>
    <x v="19"/>
    <x v="3"/>
    <x v="0"/>
    <s v="4311101"/>
    <n v="400020"/>
    <s v="O/P Care Svcs Rev--Other"/>
    <s v="Outpatient PT"/>
    <x v="0"/>
    <n v="1700"/>
    <n v="-68243.06"/>
    <n v="-76923.94"/>
    <n v="-48796.08"/>
    <n v="-48652.51"/>
    <n v="-49108.82"/>
    <n v="-36294.25"/>
    <n v="-33111.870000000003"/>
    <n v="-40809.06"/>
    <n v="-48327.35"/>
    <n v="-38759.279999999999"/>
    <n v="-49145.2"/>
    <n v="-37951.980000000003"/>
    <n v="-576123.39999999991"/>
    <n v="-11193.219999999994"/>
  </r>
  <r>
    <x v="14"/>
    <x v="3"/>
    <x v="0"/>
    <s v="4311101"/>
    <n v="600050"/>
    <s v="Miscellaneous Revenue"/>
    <s v="Outpatient PT"/>
    <x v="0"/>
    <m/>
    <n v="0"/>
    <n v="0"/>
    <n v="0"/>
    <n v="-320"/>
    <n v="0"/>
    <n v="0"/>
    <n v="0"/>
    <n v="0"/>
    <n v="0"/>
    <n v="0"/>
    <n v="0"/>
    <n v="0"/>
    <n v="-320"/>
    <n v="0"/>
  </r>
  <r>
    <x v="5"/>
    <x v="3"/>
    <x v="0"/>
    <s v="4311101"/>
    <n v="700032"/>
    <s v="Salaries-Other Pat Care Providers-Productive"/>
    <s v="Outpatient PT"/>
    <x v="0"/>
    <m/>
    <n v="74308.800000000003"/>
    <n v="77776.84"/>
    <n v="66964.86"/>
    <n v="81832.899999999994"/>
    <n v="76297.11"/>
    <n v="74678.740000000005"/>
    <n v="76247.600000000006"/>
    <n v="62134.96"/>
    <n v="85036.69"/>
    <n v="77492.13"/>
    <n v="76769.3"/>
    <n v="69654.44"/>
    <n v="899194.37000000011"/>
    <n v="7114.8600000000006"/>
  </r>
  <r>
    <x v="5"/>
    <x v="3"/>
    <x v="0"/>
    <s v="4311101"/>
    <n v="700032"/>
    <s v="Salaries-Other Pat Care Providers-OT"/>
    <s v="Outpatient PT"/>
    <x v="0"/>
    <n v="1000"/>
    <n v="571.15"/>
    <n v="243.59"/>
    <n v="465.56"/>
    <n v="399.36"/>
    <n v="249.85"/>
    <n v="178.71"/>
    <n v="209.73"/>
    <n v="127.92"/>
    <n v="249.87"/>
    <n v="438.16"/>
    <n v="116.92"/>
    <n v="417.76"/>
    <n v="3668.58"/>
    <n v="-300.83999999999997"/>
  </r>
  <r>
    <x v="5"/>
    <x v="3"/>
    <x v="0"/>
    <s v="4311101"/>
    <n v="700032"/>
    <s v="Salaries-Other Pat Care Providers-Other"/>
    <s v="Outpatient PT"/>
    <x v="0"/>
    <n v="2000"/>
    <n v="3.94"/>
    <n v="0"/>
    <n v="199.39"/>
    <n v="247.55"/>
    <n v="519.58000000000004"/>
    <n v="198.49"/>
    <n v="467.84"/>
    <n v="405.96"/>
    <n v="175.84"/>
    <n v="420.95"/>
    <n v="496.43"/>
    <n v="516.29"/>
    <n v="3652.2599999999998"/>
    <n v="-19.859999999999957"/>
  </r>
  <r>
    <x v="5"/>
    <x v="3"/>
    <x v="0"/>
    <s v="4311101"/>
    <n v="700034"/>
    <s v="Salaries-Tech/Professional-Productive"/>
    <s v="Outpatient PT"/>
    <x v="0"/>
    <m/>
    <n v="10269.09"/>
    <n v="16712.91"/>
    <n v="15573.1"/>
    <n v="16919.560000000001"/>
    <n v="13833.37"/>
    <n v="16069.16"/>
    <n v="15436.86"/>
    <n v="9898.91"/>
    <n v="16609.63"/>
    <n v="17273.919999999998"/>
    <n v="16651.91"/>
    <n v="15696.11"/>
    <n v="180944.53000000003"/>
    <n v="955.79999999999927"/>
  </r>
  <r>
    <x v="5"/>
    <x v="3"/>
    <x v="0"/>
    <s v="4311101"/>
    <n v="700034"/>
    <s v="Salaries-Tech/Professional-OT"/>
    <s v="Outpatient PT"/>
    <x v="0"/>
    <n v="1000"/>
    <n v="0"/>
    <n v="0"/>
    <n v="0"/>
    <n v="12.48"/>
    <n v="12.48"/>
    <n v="0"/>
    <n v="0"/>
    <n v="0"/>
    <n v="0"/>
    <n v="0"/>
    <n v="12.75"/>
    <n v="101.17"/>
    <n v="138.88"/>
    <n v="-88.42"/>
  </r>
  <r>
    <x v="5"/>
    <x v="3"/>
    <x v="0"/>
    <s v="4311101"/>
    <n v="700034"/>
    <s v="Salaries-Tech/Professional-Other"/>
    <s v="Outpatient PT"/>
    <x v="0"/>
    <n v="2000"/>
    <n v="334.08"/>
    <n v="354.43"/>
    <n v="325.55"/>
    <n v="427.87"/>
    <n v="316.8"/>
    <n v="467.48"/>
    <n v="408.75"/>
    <n v="175.34"/>
    <n v="525.49"/>
    <n v="545.16"/>
    <n v="607.19000000000005"/>
    <n v="389.8"/>
    <n v="4877.9399999999996"/>
    <n v="217.39000000000004"/>
  </r>
  <r>
    <x v="5"/>
    <x v="3"/>
    <x v="0"/>
    <s v="4311101"/>
    <n v="700054"/>
    <s v="Salaries-Management-NonProd-Other"/>
    <s v="Outpatient PT"/>
    <x v="0"/>
    <n v="2000"/>
    <n v="0"/>
    <n v="0"/>
    <n v="0"/>
    <n v="0"/>
    <n v="0"/>
    <n v="35.06"/>
    <n v="-35.06"/>
    <n v="0"/>
    <n v="0"/>
    <n v="0"/>
    <n v="0"/>
    <n v="0"/>
    <n v="0"/>
    <n v="0"/>
  </r>
  <r>
    <x v="5"/>
    <x v="3"/>
    <x v="0"/>
    <s v="4311101"/>
    <n v="700072"/>
    <s v="Salaries-Other Pat Care Providers-Non-productive"/>
    <s v="Outpatient PT"/>
    <x v="0"/>
    <m/>
    <n v="12463.87"/>
    <n v="12430.97"/>
    <n v="18719.419999999998"/>
    <n v="10159.549999999999"/>
    <n v="12800.81"/>
    <n v="14727.8"/>
    <n v="14620.91"/>
    <n v="10532.68"/>
    <n v="3814.51"/>
    <n v="9621.2800000000007"/>
    <n v="13959.04"/>
    <n v="18416.009999999998"/>
    <n v="152266.85"/>
    <n v="-4456.9699999999975"/>
  </r>
  <r>
    <x v="5"/>
    <x v="3"/>
    <x v="0"/>
    <s v="4311101"/>
    <n v="700072"/>
    <s v="Salaries-Other Pat Care Providers-NonProd-Other"/>
    <s v="Outpatient P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311101"/>
    <n v="700074"/>
    <s v="Salaries-Tech/Professional-Non-productive"/>
    <s v="Outpatient PT"/>
    <x v="0"/>
    <m/>
    <n v="3326.78"/>
    <n v="161.84"/>
    <n v="1234.53"/>
    <n v="811.3"/>
    <n v="3005.49"/>
    <n v="1621.44"/>
    <n v="1675.84"/>
    <n v="3220.92"/>
    <n v="795.83"/>
    <n v="501.47"/>
    <n v="2800.83"/>
    <n v="1670.68"/>
    <n v="20826.95"/>
    <n v="1130.1499999999999"/>
  </r>
  <r>
    <x v="5"/>
    <x v="3"/>
    <x v="0"/>
    <s v="4311101"/>
    <n v="700074"/>
    <s v="Salaries-Tech/Professional-NonProd-Other"/>
    <s v="Outpatient PT"/>
    <x v="0"/>
    <n v="2000"/>
    <n v="0"/>
    <n v="0"/>
    <n v="0"/>
    <n v="0"/>
    <n v="335.7"/>
    <n v="335.7"/>
    <n v="0"/>
    <n v="-671.4"/>
    <n v="0"/>
    <n v="0"/>
    <n v="0"/>
    <n v="0"/>
    <n v="0"/>
    <n v="0"/>
  </r>
  <r>
    <x v="5"/>
    <x v="3"/>
    <x v="0"/>
    <s v="4311101"/>
    <n v="700084"/>
    <s v="Accrued PTO"/>
    <s v="Outpatient PT"/>
    <x v="0"/>
    <m/>
    <n v="-574.08000000000004"/>
    <n v="580.87"/>
    <n v="-2290.2800000000002"/>
    <n v="3620.48"/>
    <n v="-1874.92"/>
    <n v="-3020.79"/>
    <n v="553.33000000000004"/>
    <n v="-448.01"/>
    <n v="7033.03"/>
    <n v="5455.61"/>
    <n v="-49.91"/>
    <n v="-6140.07"/>
    <n v="2845.2599999999984"/>
    <n v="6090.16"/>
  </r>
  <r>
    <x v="6"/>
    <x v="3"/>
    <x v="0"/>
    <s v="4311101"/>
    <n v="713010"/>
    <s v="Benefits-FICA/Medicare"/>
    <s v="Outpatient PT"/>
    <x v="0"/>
    <m/>
    <n v="7590.61"/>
    <n v="8079.82"/>
    <n v="7764.08"/>
    <n v="8315.16"/>
    <n v="8145.94"/>
    <n v="8104.15"/>
    <n v="8185.88"/>
    <n v="6474.85"/>
    <n v="8043.23"/>
    <n v="7982.61"/>
    <n v="8362.93"/>
    <n v="8022.45"/>
    <n v="95071.71"/>
    <n v="340.48000000000047"/>
  </r>
  <r>
    <x v="6"/>
    <x v="3"/>
    <x v="0"/>
    <s v="4311101"/>
    <n v="713090"/>
    <s v="Benefits-Allocated Amounts"/>
    <s v="Outpatient PT"/>
    <x v="0"/>
    <m/>
    <n v="18901.169999999998"/>
    <n v="18779.18"/>
    <n v="19877.86"/>
    <n v="20460.849999999999"/>
    <n v="19971.57"/>
    <n v="19723.830000000002"/>
    <n v="21141.48"/>
    <n v="18223.439999999999"/>
    <n v="16687.73"/>
    <n v="20939.849999999999"/>
    <n v="22553.19"/>
    <n v="20913.68"/>
    <n v="238173.83000000002"/>
    <n v="1639.5099999999984"/>
  </r>
  <r>
    <x v="7"/>
    <x v="3"/>
    <x v="0"/>
    <s v="4311101"/>
    <n v="718050"/>
    <s v="Document Shredding/Storage"/>
    <s v="Outpatient PT"/>
    <x v="0"/>
    <n v="1012"/>
    <n v="49.09"/>
    <n v="50.29"/>
    <n v="46.27"/>
    <n v="47.88"/>
    <n v="49.49"/>
    <n v="49.49"/>
    <n v="48.99"/>
    <n v="42.02"/>
    <n v="43.54"/>
    <n v="57.01"/>
    <n v="47.88"/>
    <n v="49.49"/>
    <n v="581.44000000000005"/>
    <n v="-1.6099999999999994"/>
  </r>
  <r>
    <x v="7"/>
    <x v="3"/>
    <x v="0"/>
    <s v="4311101"/>
    <n v="718050"/>
    <s v="Miscellaneous Purchased Svcs"/>
    <s v="Outpatient PT"/>
    <x v="0"/>
    <n v="1020"/>
    <n v="0"/>
    <n v="0"/>
    <n v="18.97"/>
    <n v="0"/>
    <n v="0"/>
    <n v="50"/>
    <n v="100"/>
    <n v="0"/>
    <n v="0"/>
    <n v="0"/>
    <n v="0"/>
    <n v="0"/>
    <n v="168.97"/>
    <n v="0"/>
  </r>
  <r>
    <x v="7"/>
    <x v="3"/>
    <x v="0"/>
    <s v="4311101"/>
    <n v="718050"/>
    <s v="Translation Services"/>
    <s v="Outpatient PT"/>
    <x v="0"/>
    <n v="1025"/>
    <n v="0"/>
    <n v="1667.1"/>
    <n v="4038.6"/>
    <n v="3868.51"/>
    <n v="0"/>
    <n v="4373.62"/>
    <n v="3134.93"/>
    <n v="1335"/>
    <n v="2513.85"/>
    <n v="0"/>
    <n v="2499.8000000000002"/>
    <n v="178.54"/>
    <n v="23609.949999999997"/>
    <n v="2321.2600000000002"/>
  </r>
  <r>
    <x v="7"/>
    <x v="3"/>
    <x v="0"/>
    <s v="4311101"/>
    <n v="718050"/>
    <s v="Contract Management--Linen"/>
    <s v="Outpatient PT"/>
    <x v="0"/>
    <n v="1026"/>
    <n v="1054.6400000000001"/>
    <n v="1230.92"/>
    <n v="1206.6199999999999"/>
    <n v="563.47"/>
    <n v="1213.6500000000001"/>
    <n v="873.58"/>
    <n v="1228.3499999999999"/>
    <n v="991.48"/>
    <n v="1005.76"/>
    <n v="1350.83"/>
    <n v="759.39"/>
    <n v="1602.77"/>
    <n v="13081.460000000001"/>
    <n v="-843.38"/>
  </r>
  <r>
    <x v="11"/>
    <x v="3"/>
    <x v="0"/>
    <s v="4311101"/>
    <n v="721010"/>
    <s v="Supplies-Medical - Billable"/>
    <s v="Outpatient PT"/>
    <x v="0"/>
    <m/>
    <n v="292.39999999999998"/>
    <n v="1158.04"/>
    <n v="-340.1"/>
    <n v="144.96"/>
    <n v="135.18"/>
    <n v="783.8"/>
    <n v="139.30000000000001"/>
    <n v="868.04"/>
    <n v="318.77999999999997"/>
    <n v="479.35"/>
    <n v="700.97"/>
    <n v="186.09"/>
    <n v="4866.8100000000004"/>
    <n v="514.88"/>
  </r>
  <r>
    <x v="11"/>
    <x v="3"/>
    <x v="0"/>
    <s v="4311101"/>
    <n v="721010"/>
    <s v="Patient Monitoring"/>
    <s v="Outpatient PT"/>
    <x v="0"/>
    <n v="1000"/>
    <n v="102.06"/>
    <n v="10.210000000000001"/>
    <n v="125.87"/>
    <n v="-30.91"/>
    <n v="96.12"/>
    <n v="64.08"/>
    <n v="65.400000000000006"/>
    <n v="99.42"/>
    <n v="128.82"/>
    <n v="-2.64"/>
    <n v="61.08"/>
    <n v="32.729999999999997"/>
    <n v="752.24"/>
    <n v="28.35"/>
  </r>
  <r>
    <x v="11"/>
    <x v="3"/>
    <x v="0"/>
    <s v="4311101"/>
    <n v="721020"/>
    <s v="Supplies-Surgical - Billable"/>
    <s v="Outpatient PT"/>
    <x v="0"/>
    <m/>
    <n v="132.51"/>
    <n v="312.24"/>
    <n v="160.41"/>
    <n v="216.21"/>
    <n v="224.28"/>
    <n v="269.42"/>
    <n v="144.13999999999999"/>
    <n v="83.9"/>
    <n v="398.27"/>
    <n v="304.08"/>
    <n v="138.09"/>
    <n v="208.16"/>
    <n v="2591.71"/>
    <n v="-70.069999999999993"/>
  </r>
  <r>
    <x v="11"/>
    <x v="3"/>
    <x v="0"/>
    <s v="4311101"/>
    <n v="721250"/>
    <s v="Supplies-Pharmacy Drugs - Billable"/>
    <s v="Outpatient PT"/>
    <x v="0"/>
    <m/>
    <n v="0"/>
    <n v="19.28"/>
    <n v="0"/>
    <n v="0"/>
    <n v="0"/>
    <n v="19.28"/>
    <n v="0"/>
    <n v="0"/>
    <n v="0"/>
    <n v="0"/>
    <n v="19.28"/>
    <n v="19.28"/>
    <n v="77.12"/>
    <n v="0"/>
  </r>
  <r>
    <x v="11"/>
    <x v="3"/>
    <x v="0"/>
    <s v="4311101"/>
    <n v="721410"/>
    <s v="Supplies-Medical - Nonbillable"/>
    <s v="Outpatient PT"/>
    <x v="0"/>
    <m/>
    <n v="1055.23"/>
    <n v="1354.97"/>
    <n v="748.15"/>
    <n v="653.41999999999996"/>
    <n v="502.84"/>
    <n v="1018.1"/>
    <n v="717.33"/>
    <n v="516.87"/>
    <n v="68.22"/>
    <n v="1939.17"/>
    <n v="265.92"/>
    <n v="1106.0899999999999"/>
    <n v="9946.31"/>
    <n v="-840.16999999999985"/>
  </r>
  <r>
    <x v="11"/>
    <x v="3"/>
    <x v="0"/>
    <s v="4311101"/>
    <n v="721650"/>
    <s v="Supplies-Pharmacy Drugs - Nonbillable"/>
    <s v="Outpatient PT"/>
    <x v="0"/>
    <m/>
    <n v="0"/>
    <n v="0"/>
    <n v="0"/>
    <n v="0.49"/>
    <n v="0"/>
    <n v="0"/>
    <n v="1.05"/>
    <n v="0"/>
    <n v="0"/>
    <n v="0.56000000000000005"/>
    <n v="1.1299999999999999"/>
    <n v="0"/>
    <n v="3.23"/>
    <n v="1.1299999999999999"/>
  </r>
  <r>
    <x v="11"/>
    <x v="3"/>
    <x v="0"/>
    <s v="4311101"/>
    <n v="721750"/>
    <s v="Supplies-Film/Radiographic - Nonbillable"/>
    <s v="Outpatient PT"/>
    <x v="0"/>
    <m/>
    <n v="0"/>
    <n v="0"/>
    <n v="0"/>
    <n v="34.18"/>
    <n v="0"/>
    <n v="0"/>
    <n v="34.18"/>
    <n v="0"/>
    <n v="0"/>
    <n v="34.18"/>
    <n v="0"/>
    <n v="0"/>
    <n v="102.53999999999999"/>
    <n v="0"/>
  </r>
  <r>
    <x v="11"/>
    <x v="3"/>
    <x v="0"/>
    <s v="4311101"/>
    <n v="721810"/>
    <s v="Supplies-Dietary/Cafeteria"/>
    <s v="Outpatient PT"/>
    <x v="0"/>
    <m/>
    <n v="131.46"/>
    <n v="43.82"/>
    <n v="45.91"/>
    <n v="0"/>
    <n v="45.91"/>
    <n v="0"/>
    <n v="82.72"/>
    <n v="49.65"/>
    <n v="152.57"/>
    <n v="93.88"/>
    <n v="40.68"/>
    <n v="39.299999999999997"/>
    <n v="725.89999999999986"/>
    <n v="1.3800000000000026"/>
  </r>
  <r>
    <x v="11"/>
    <x v="3"/>
    <x v="0"/>
    <s v="4311101"/>
    <n v="721830"/>
    <s v="Supplies-Office"/>
    <s v="Outpatient PT"/>
    <x v="0"/>
    <m/>
    <n v="271.5"/>
    <n v="384.76"/>
    <n v="319.07"/>
    <n v="97.5"/>
    <n v="5.47"/>
    <n v="1177.31"/>
    <n v="551.42999999999995"/>
    <n v="287.17"/>
    <n v="3.66"/>
    <n v="9.43"/>
    <n v="5.7"/>
    <n v="7.6"/>
    <n v="3120.599999999999"/>
    <n v="-1.8999999999999995"/>
  </r>
  <r>
    <x v="11"/>
    <x v="3"/>
    <x v="0"/>
    <s v="4311101"/>
    <n v="721835"/>
    <s v="Supplies-Forms"/>
    <s v="Outpatient PT"/>
    <x v="0"/>
    <m/>
    <n v="0"/>
    <n v="0"/>
    <n v="0"/>
    <n v="0"/>
    <n v="340.2"/>
    <n v="0"/>
    <n v="0"/>
    <n v="0"/>
    <n v="0"/>
    <n v="0"/>
    <n v="0"/>
    <n v="0"/>
    <n v="340.2"/>
    <n v="0"/>
  </r>
  <r>
    <x v="11"/>
    <x v="3"/>
    <x v="0"/>
    <s v="4311101"/>
    <n v="721870"/>
    <s v="Supplies-Environmental Services"/>
    <s v="Outpatient PT"/>
    <x v="0"/>
    <m/>
    <n v="82.77"/>
    <n v="150.22999999999999"/>
    <n v="113.62"/>
    <n v="285.47000000000003"/>
    <n v="84.49"/>
    <n v="192.91"/>
    <n v="72.42"/>
    <n v="62.45"/>
    <n v="130.80000000000001"/>
    <n v="97.53"/>
    <n v="116.55"/>
    <n v="114.31"/>
    <n v="1503.5499999999997"/>
    <n v="2.2399999999999949"/>
  </r>
  <r>
    <x v="11"/>
    <x v="3"/>
    <x v="0"/>
    <s v="4311101"/>
    <n v="721910"/>
    <s v="Supplies-Small Equipment"/>
    <s v="Outpatient PT"/>
    <x v="0"/>
    <m/>
    <n v="0"/>
    <n v="0"/>
    <n v="0"/>
    <n v="1235.3399999999999"/>
    <n v="3.3"/>
    <n v="2498.02"/>
    <n v="355.96"/>
    <n v="-2.99"/>
    <n v="0"/>
    <n v="4.2"/>
    <n v="136.86000000000001"/>
    <n v="0"/>
    <n v="4230.6899999999996"/>
    <n v="136.86000000000001"/>
  </r>
  <r>
    <x v="11"/>
    <x v="3"/>
    <x v="0"/>
    <s v="4311101"/>
    <n v="721980"/>
    <s v="Supplies-Other"/>
    <s v="Outpatient PT"/>
    <x v="0"/>
    <m/>
    <n v="0"/>
    <n v="0"/>
    <n v="1216.6500000000001"/>
    <n v="0"/>
    <n v="357.83"/>
    <n v="430.4"/>
    <n v="67.12"/>
    <n v="207.91"/>
    <n v="0"/>
    <n v="29.73"/>
    <n v="14.74"/>
    <n v="73.75"/>
    <n v="2398.1299999999997"/>
    <n v="-59.01"/>
  </r>
  <r>
    <x v="11"/>
    <x v="3"/>
    <x v="0"/>
    <s v="4311101"/>
    <n v="722000"/>
    <s v="Supplies-Freight Expense"/>
    <s v="Outpatient PT"/>
    <x v="0"/>
    <m/>
    <n v="10.91"/>
    <n v="35.6"/>
    <n v="0"/>
    <n v="60.46"/>
    <n v="31.01"/>
    <n v="8"/>
    <n v="8.86"/>
    <n v="0"/>
    <n v="0"/>
    <n v="8.26"/>
    <n v="0"/>
    <n v="74.709999999999994"/>
    <n v="237.80999999999995"/>
    <n v="-74.709999999999994"/>
  </r>
  <r>
    <x v="12"/>
    <x v="3"/>
    <x v="0"/>
    <s v="4311101"/>
    <n v="730020"/>
    <s v="Rental and Leases-Copier Usage Fees (DO NOT USE)"/>
    <s v="Outpatient PT"/>
    <x v="0"/>
    <n v="5100"/>
    <n v="79.459999999999994"/>
    <n v="81.87"/>
    <n v="80.67"/>
    <n v="80.67"/>
    <n v="80.67"/>
    <n v="80.66"/>
    <n v="62.77"/>
    <n v="63.81"/>
    <n v="63.67"/>
    <n v="63.95"/>
    <n v="63.81"/>
    <n v="68.260000000000005"/>
    <n v="870.27"/>
    <n v="-4.4500000000000028"/>
  </r>
  <r>
    <x v="15"/>
    <x v="3"/>
    <x v="0"/>
    <s v="4311101"/>
    <n v="731060"/>
    <s v="Pagers"/>
    <s v="Outpatient PT"/>
    <x v="0"/>
    <n v="1002"/>
    <n v="67.790000000000006"/>
    <n v="67.790000000000006"/>
    <n v="67.790000000000006"/>
    <n v="67.819999999999993"/>
    <n v="74.260000000000005"/>
    <n v="0"/>
    <n v="144.63999999999999"/>
    <n v="72.319999999999993"/>
    <n v="72.319999999999993"/>
    <n v="72.319999999999993"/>
    <n v="83.35"/>
    <n v="72.319999999999993"/>
    <n v="862.72"/>
    <n v="11.030000000000001"/>
  </r>
  <r>
    <x v="13"/>
    <x v="3"/>
    <x v="0"/>
    <s v="4311101"/>
    <n v="735040"/>
    <s v="Depreciation-Building Improvements"/>
    <s v="Outpatient PT"/>
    <x v="0"/>
    <m/>
    <n v="1103.68"/>
    <n v="1103.67"/>
    <n v="1103.68"/>
    <n v="1103.67"/>
    <n v="1103.69"/>
    <n v="1103.67"/>
    <n v="1103.69"/>
    <n v="1103.67"/>
    <n v="1103.69"/>
    <n v="1103.6600000000001"/>
    <n v="1103.69"/>
    <n v="1103.6500000000001"/>
    <n v="13244.110000000002"/>
    <n v="3.999999999996362E-2"/>
  </r>
  <r>
    <x v="13"/>
    <x v="3"/>
    <x v="0"/>
    <s v="4311101"/>
    <n v="735060"/>
    <s v="Depreciation-Fixed Equipment"/>
    <s v="Outpatient PT"/>
    <x v="0"/>
    <m/>
    <n v="116.69"/>
    <n v="116.69"/>
    <n v="116.69"/>
    <n v="116.69"/>
    <n v="116.7"/>
    <n v="116.68"/>
    <n v="116.7"/>
    <n v="116.68"/>
    <n v="116.7"/>
    <n v="116.68"/>
    <n v="116.7"/>
    <n v="116.68"/>
    <n v="1400.2800000000004"/>
    <n v="1.9999999999996021E-2"/>
  </r>
  <r>
    <x v="13"/>
    <x v="3"/>
    <x v="0"/>
    <s v="4311101"/>
    <n v="735070"/>
    <s v="Depreciation-Movable Equipment"/>
    <s v="Outpatient PT"/>
    <x v="0"/>
    <m/>
    <n v="185.98"/>
    <n v="185.98"/>
    <n v="185.98"/>
    <n v="185.98"/>
    <n v="185.98"/>
    <n v="185.97"/>
    <n v="185.98"/>
    <n v="185.97"/>
    <n v="185.99"/>
    <n v="185.97"/>
    <n v="186"/>
    <n v="185.97"/>
    <n v="2231.75"/>
    <n v="3.0000000000001137E-2"/>
  </r>
  <r>
    <x v="0"/>
    <x v="3"/>
    <x v="0"/>
    <s v="4311101"/>
    <n v="740020"/>
    <s v="Education-Registration Fees"/>
    <s v="Outpatient PT"/>
    <x v="0"/>
    <m/>
    <n v="0"/>
    <n v="525"/>
    <n v="0"/>
    <n v="751"/>
    <n v="774.99"/>
    <n v="0"/>
    <n v="0"/>
    <n v="166"/>
    <n v="599"/>
    <n v="0"/>
    <n v="1664.46"/>
    <n v="0"/>
    <n v="4480.45"/>
    <n v="1664.46"/>
  </r>
  <r>
    <x v="0"/>
    <x v="3"/>
    <x v="0"/>
    <s v="4311101"/>
    <n v="743030"/>
    <s v="Subscriptions--Institutional"/>
    <s v="Outpatient PT"/>
    <x v="0"/>
    <m/>
    <n v="0"/>
    <n v="0"/>
    <n v="91.13"/>
    <n v="0"/>
    <n v="0"/>
    <n v="81.569999999999993"/>
    <n v="98.22"/>
    <n v="0"/>
    <n v="0"/>
    <n v="0"/>
    <n v="0"/>
    <n v="0"/>
    <n v="270.91999999999996"/>
    <n v="0"/>
  </r>
  <r>
    <x v="0"/>
    <x v="3"/>
    <x v="0"/>
    <s v="4311101"/>
    <n v="749510"/>
    <s v="Miscellaneous Expenses"/>
    <s v="Outpatient PT"/>
    <x v="0"/>
    <m/>
    <n v="-386.57"/>
    <n v="495.45"/>
    <n v="0"/>
    <n v="0"/>
    <n v="35"/>
    <n v="0"/>
    <n v="128.69999999999999"/>
    <n v="0"/>
    <n v="3.63"/>
    <n v="0"/>
    <n v="0"/>
    <n v="0"/>
    <n v="276.20999999999998"/>
    <n v="0"/>
  </r>
  <r>
    <x v="0"/>
    <x v="3"/>
    <x v="0"/>
    <s v="4311101"/>
    <n v="749550"/>
    <s v="Cash Over/Short"/>
    <s v="Outpatient PT"/>
    <x v="0"/>
    <m/>
    <n v="0"/>
    <n v="0"/>
    <n v="0"/>
    <n v="0"/>
    <n v="0"/>
    <n v="0"/>
    <n v="0"/>
    <n v="0"/>
    <n v="0"/>
    <n v="0"/>
    <n v="0"/>
    <n v="30"/>
    <n v="30"/>
    <n v="-30"/>
  </r>
  <r>
    <x v="19"/>
    <x v="0"/>
    <x v="0"/>
    <s v="4311102"/>
    <n v="400020"/>
    <s v="O/P Care Svcs Rev--Medicare"/>
    <s v="OP Therapies-Bonney Lake"/>
    <x v="0"/>
    <n v="1100"/>
    <n v="-89432.47"/>
    <n v="-107904.66"/>
    <n v="-81361.509999999995"/>
    <n v="-100828.78"/>
    <n v="-85027.69"/>
    <n v="-84881.99"/>
    <n v="-92542.9"/>
    <n v="-64901.24"/>
    <n v="-88926.87"/>
    <n v="-134556.38"/>
    <n v="-129745.64"/>
    <n v="-104429.02"/>
    <n v="-1164539.1500000001"/>
    <n v="-25316.619999999995"/>
  </r>
  <r>
    <x v="19"/>
    <x v="0"/>
    <x v="0"/>
    <s v="4311102"/>
    <n v="400020"/>
    <s v="O/P Care Svcs Rev--Medicaid"/>
    <s v="OP Therapies-Bonney Lake"/>
    <x v="0"/>
    <n v="1200"/>
    <n v="-33591.129999999997"/>
    <n v="-47995.61"/>
    <n v="-43595.86"/>
    <n v="-53632.68"/>
    <n v="-38019.96"/>
    <n v="-22787.83"/>
    <n v="-44405.96"/>
    <n v="-36190.370000000003"/>
    <n v="-43103.12"/>
    <n v="-42837.52"/>
    <n v="-37845.629999999997"/>
    <n v="-41134.33"/>
    <n v="-485140.00000000006"/>
    <n v="3288.7000000000044"/>
  </r>
  <r>
    <x v="19"/>
    <x v="0"/>
    <x v="0"/>
    <s v="4311102"/>
    <n v="400020"/>
    <s v="O/P Care Svcs Rev--Comm Insurance"/>
    <s v="OP Therapies-Bonney Lake"/>
    <x v="0"/>
    <n v="1300"/>
    <n v="-25472.09"/>
    <n v="-17929.169999999998"/>
    <n v="-19803.03"/>
    <n v="-7796.99"/>
    <n v="-19882"/>
    <n v="-6799.72"/>
    <n v="-3106.8"/>
    <n v="-2978.12"/>
    <n v="-12357.06"/>
    <n v="-12016.95"/>
    <n v="-12298.19"/>
    <n v="-11124.7"/>
    <n v="-151564.82"/>
    <n v="-1173.4899999999998"/>
  </r>
  <r>
    <x v="19"/>
    <x v="0"/>
    <x v="0"/>
    <s v="4311102"/>
    <n v="400020"/>
    <s v="O/P Care Svcs Rev--BCBS Comm"/>
    <s v="OP Therapies-Bonney Lake"/>
    <x v="0"/>
    <n v="1301"/>
    <n v="-22278.18"/>
    <n v="-21118.240000000002"/>
    <n v="-14070.34"/>
    <n v="-13260.16"/>
    <n v="-14706.07"/>
    <n v="-20764.57"/>
    <n v="-15595.75"/>
    <n v="-19204.34"/>
    <n v="-20730.73"/>
    <n v="-17156.490000000002"/>
    <n v="-29548.71"/>
    <n v="-29890.94"/>
    <n v="-238324.52"/>
    <n v="342.22999999999956"/>
  </r>
  <r>
    <x v="19"/>
    <x v="0"/>
    <x v="0"/>
    <s v="4311102"/>
    <n v="400020"/>
    <s v="O/P Care Svcs Rev--Managed Care"/>
    <s v="OP Therapies-Bonney Lake"/>
    <x v="0"/>
    <n v="1400"/>
    <n v="-62180.73"/>
    <n v="-77012.97"/>
    <n v="-56762.26"/>
    <n v="-59693.67"/>
    <n v="-74053.820000000007"/>
    <n v="-72333.919999999998"/>
    <n v="-65043.74"/>
    <n v="-63073.47"/>
    <n v="-96538.71"/>
    <n v="-96765.87"/>
    <n v="-94457.79"/>
    <n v="-66182.759999999995"/>
    <n v="-884099.71"/>
    <n v="-28275.03"/>
  </r>
  <r>
    <x v="19"/>
    <x v="0"/>
    <x v="0"/>
    <s v="4311102"/>
    <n v="400020"/>
    <s v="O/P Care Svcs Rev--Self Pay"/>
    <s v="OP Therapies-Bonney Lake"/>
    <x v="0"/>
    <n v="1500"/>
    <n v="-5676.84"/>
    <n v="-2268.9"/>
    <n v="-4419.7700000000004"/>
    <n v="-9256.11"/>
    <n v="4734.25"/>
    <n v="-6441.18"/>
    <n v="-3357.55"/>
    <n v="2286.7600000000002"/>
    <n v="-3822.79"/>
    <n v="2471.59"/>
    <n v="1839.12"/>
    <n v="-2797.86"/>
    <n v="-26709.280000000006"/>
    <n v="4636.9799999999996"/>
  </r>
  <r>
    <x v="19"/>
    <x v="0"/>
    <x v="0"/>
    <s v="4311102"/>
    <n v="400020"/>
    <s v="O/P Care Svcs Rev--Other"/>
    <s v="OP Therapies-Bonney Lake"/>
    <x v="0"/>
    <n v="1700"/>
    <n v="-33521.949999999997"/>
    <n v="-26198.65"/>
    <n v="-33104.620000000003"/>
    <n v="-29787.759999999998"/>
    <n v="-21364.16"/>
    <n v="-5438.12"/>
    <n v="-21583.98"/>
    <n v="-5546.47"/>
    <n v="-20986.04"/>
    <n v="-26517.83"/>
    <n v="-35795.19"/>
    <n v="-42431.08"/>
    <n v="-302275.85000000003"/>
    <n v="6635.8899999999994"/>
  </r>
  <r>
    <x v="5"/>
    <x v="0"/>
    <x v="0"/>
    <s v="4311102"/>
    <n v="700032"/>
    <s v="Salaries-Other Pat Care Providers-Productive"/>
    <s v="OP Therapies-Bonney Lake"/>
    <x v="0"/>
    <m/>
    <n v="25954.799999999999"/>
    <n v="29412.85"/>
    <n v="29593.71"/>
    <n v="29594.39"/>
    <n v="22047.86"/>
    <n v="24388.65"/>
    <n v="26982.240000000002"/>
    <n v="22329.62"/>
    <n v="31459.07"/>
    <n v="27543.57"/>
    <n v="33074.97"/>
    <n v="28657.39"/>
    <n v="331039.12"/>
    <n v="4417.5800000000017"/>
  </r>
  <r>
    <x v="5"/>
    <x v="0"/>
    <x v="0"/>
    <s v="4311102"/>
    <n v="700032"/>
    <s v="Salaries-Other Pat Care Providers-OT"/>
    <s v="OP Therapies-Bonney Lake"/>
    <x v="0"/>
    <n v="1000"/>
    <n v="40.97"/>
    <n v="649.88"/>
    <n v="93.86"/>
    <n v="90.41"/>
    <n v="-54.62"/>
    <n v="87.09"/>
    <n v="-8.42"/>
    <n v="0"/>
    <n v="0"/>
    <n v="942.78"/>
    <n v="630.54"/>
    <n v="596.82000000000005"/>
    <n v="3069.31"/>
    <n v="33.719999999999914"/>
  </r>
  <r>
    <x v="5"/>
    <x v="0"/>
    <x v="0"/>
    <s v="4311102"/>
    <n v="700034"/>
    <s v="Salaries-Tech/Professional-Productive"/>
    <s v="OP Therapies-Bonney Lake"/>
    <x v="0"/>
    <m/>
    <n v="4467.1400000000003"/>
    <n v="4034.22"/>
    <n v="3899.5"/>
    <n v="4350.4399999999996"/>
    <n v="4245.6899999999996"/>
    <n v="4267.13"/>
    <n v="3114.8"/>
    <n v="3966.59"/>
    <n v="4491.76"/>
    <n v="3410.91"/>
    <n v="4701.9799999999996"/>
    <n v="2719.82"/>
    <n v="47669.979999999989"/>
    <n v="1982.1599999999994"/>
  </r>
  <r>
    <x v="5"/>
    <x v="0"/>
    <x v="0"/>
    <s v="4311102"/>
    <n v="700034"/>
    <s v="Salaries-Tech/Professional-Other"/>
    <s v="OP Therapies-Bonney Lake"/>
    <x v="0"/>
    <n v="2000"/>
    <n v="0"/>
    <n v="0"/>
    <n v="0"/>
    <n v="0"/>
    <n v="0"/>
    <n v="0"/>
    <n v="8.09"/>
    <n v="0"/>
    <n v="0"/>
    <n v="0"/>
    <n v="0"/>
    <n v="0"/>
    <n v="8.09"/>
    <n v="0"/>
  </r>
  <r>
    <x v="5"/>
    <x v="0"/>
    <x v="0"/>
    <s v="4311102"/>
    <n v="700072"/>
    <s v="Salaries-Other Pat Care Providers-Non-productive"/>
    <s v="OP Therapies-Bonney Lake"/>
    <x v="0"/>
    <m/>
    <n v="5587.34"/>
    <n v="2506.5500000000002"/>
    <n v="3216.04"/>
    <n v="2391.4299999999998"/>
    <n v="8997.27"/>
    <n v="7759.87"/>
    <n v="5200.01"/>
    <n v="5566.71"/>
    <n v="999.9"/>
    <n v="3758.87"/>
    <n v="-545.1"/>
    <n v="4570.4399999999996"/>
    <n v="50009.330000000009"/>
    <n v="-5115.54"/>
  </r>
  <r>
    <x v="5"/>
    <x v="0"/>
    <x v="0"/>
    <s v="4311102"/>
    <n v="700072"/>
    <s v="Salaries-Other Pat Care Providers-NonProd-Other"/>
    <s v="OP Therapies-Bonney Lak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4311102"/>
    <n v="700074"/>
    <s v="Salaries-Tech/Professional-Non-productive"/>
    <s v="OP Therapies-Bonney Lake"/>
    <x v="0"/>
    <m/>
    <n v="274.39999999999998"/>
    <n v="666.38"/>
    <n v="431.22"/>
    <n v="0"/>
    <n v="260.14999999999998"/>
    <n v="158.75"/>
    <n v="1056.3800000000001"/>
    <n v="182.84"/>
    <n v="-101.55"/>
    <n v="1462.63"/>
    <n v="227.08"/>
    <n v="2036.15"/>
    <n v="6654.43"/>
    <n v="-1809.0700000000002"/>
  </r>
  <r>
    <x v="5"/>
    <x v="0"/>
    <x v="0"/>
    <s v="4311102"/>
    <n v="700084"/>
    <s v="Accrued PTO"/>
    <s v="OP Therapies-Bonney Lake"/>
    <x v="0"/>
    <m/>
    <n v="-922.29"/>
    <n v="1074.74"/>
    <n v="219.3"/>
    <n v="2700.34"/>
    <n v="-1471.78"/>
    <n v="-679"/>
    <n v="-1345.7"/>
    <n v="-580.57000000000005"/>
    <n v="2559.38"/>
    <n v="1362.69"/>
    <n v="3548.37"/>
    <n v="-644.17999999999995"/>
    <n v="5821.2999999999993"/>
    <n v="4192.55"/>
  </r>
  <r>
    <x v="6"/>
    <x v="0"/>
    <x v="0"/>
    <s v="4311102"/>
    <n v="713010"/>
    <s v="Benefits-FICA/Medicare"/>
    <s v="OP Therapies-Bonney Lake"/>
    <x v="0"/>
    <m/>
    <n v="2643.46"/>
    <n v="2715.79"/>
    <n v="2717.4"/>
    <n v="2653.13"/>
    <n v="2584.29"/>
    <n v="2990.52"/>
    <n v="2643.82"/>
    <n v="2330.44"/>
    <n v="2686.96"/>
    <n v="2716.75"/>
    <n v="2773.01"/>
    <n v="2832.42"/>
    <n v="32287.989999999998"/>
    <n v="-59.409999999999854"/>
  </r>
  <r>
    <x v="6"/>
    <x v="0"/>
    <x v="0"/>
    <s v="4311102"/>
    <n v="713090"/>
    <s v="Benefits-Allocated Amounts"/>
    <s v="OP Therapies-Bonney Lake"/>
    <x v="0"/>
    <m/>
    <n v="6828.6"/>
    <n v="6215.54"/>
    <n v="6511.04"/>
    <n v="6346.4"/>
    <n v="6154.72"/>
    <n v="6370.92"/>
    <n v="6587.39"/>
    <n v="6280.78"/>
    <n v="6615.94"/>
    <n v="7051.25"/>
    <n v="7183.69"/>
    <n v="7000.8"/>
    <n v="79147.070000000007"/>
    <n v="182.88999999999942"/>
  </r>
  <r>
    <x v="7"/>
    <x v="0"/>
    <x v="0"/>
    <s v="4311102"/>
    <n v="718050"/>
    <s v="Contract Svcs-Other"/>
    <s v="OP Therapies-Bonney Lake"/>
    <x v="0"/>
    <m/>
    <n v="0"/>
    <n v="0"/>
    <n v="0"/>
    <n v="0"/>
    <n v="273.25"/>
    <n v="0"/>
    <n v="0"/>
    <n v="0"/>
    <n v="0"/>
    <n v="0"/>
    <n v="0"/>
    <n v="0"/>
    <n v="273.25"/>
    <n v="0"/>
  </r>
  <r>
    <x v="7"/>
    <x v="0"/>
    <x v="0"/>
    <s v="4311102"/>
    <n v="718050"/>
    <s v="Miscellaneous Purchased Svcs"/>
    <s v="OP Therapies-Bonney Lake"/>
    <x v="0"/>
    <n v="1020"/>
    <n v="213.52"/>
    <n v="276.69"/>
    <n v="218.41"/>
    <n v="270.94"/>
    <n v="214.37"/>
    <n v="325"/>
    <n v="222.36"/>
    <n v="54.66"/>
    <n v="490.84"/>
    <n v="108.04"/>
    <n v="56.7"/>
    <n v="2349.77"/>
    <n v="4801.2999999999993"/>
    <n v="-2293.0700000000002"/>
  </r>
  <r>
    <x v="7"/>
    <x v="0"/>
    <x v="0"/>
    <s v="4311102"/>
    <n v="718050"/>
    <s v="Translation Services"/>
    <s v="OP Therapies-Bonney Lake"/>
    <x v="0"/>
    <n v="1025"/>
    <n v="771.8"/>
    <n v="0"/>
    <n v="62"/>
    <n v="158"/>
    <n v="878"/>
    <n v="387"/>
    <n v="126.5"/>
    <n v="340"/>
    <n v="316"/>
    <n v="0"/>
    <n v="149"/>
    <n v="0"/>
    <n v="3188.3"/>
    <n v="149"/>
  </r>
  <r>
    <x v="7"/>
    <x v="0"/>
    <x v="0"/>
    <s v="4311102"/>
    <n v="718050"/>
    <s v="Contract Management--Linen"/>
    <s v="OP Therapies-Bonney Lake"/>
    <x v="0"/>
    <n v="1026"/>
    <n v="0"/>
    <n v="0"/>
    <n v="0"/>
    <n v="200"/>
    <n v="0"/>
    <n v="0"/>
    <n v="0"/>
    <n v="0"/>
    <n v="0"/>
    <n v="0"/>
    <n v="0"/>
    <n v="0"/>
    <n v="200"/>
    <n v="0"/>
  </r>
  <r>
    <x v="11"/>
    <x v="0"/>
    <x v="0"/>
    <s v="4311102"/>
    <n v="721410"/>
    <s v="Supplies-Medical - Nonbillable"/>
    <s v="OP Therapies-Bonney Lake"/>
    <x v="0"/>
    <m/>
    <n v="308.04000000000002"/>
    <n v="-17.39"/>
    <n v="400.78"/>
    <n v="266.66000000000003"/>
    <n v="153.61000000000001"/>
    <n v="50.72"/>
    <n v="135.33000000000001"/>
    <n v="166.82"/>
    <n v="1.62"/>
    <n v="290.38"/>
    <n v="0"/>
    <n v="0"/>
    <n v="1756.5700000000002"/>
    <n v="0"/>
  </r>
  <r>
    <x v="11"/>
    <x v="0"/>
    <x v="0"/>
    <s v="4311102"/>
    <n v="721810"/>
    <s v="Supplies-Dietary/Cafeteria"/>
    <s v="OP Therapies-Bonney Lake"/>
    <x v="0"/>
    <m/>
    <n v="0"/>
    <n v="0"/>
    <n v="22.94"/>
    <n v="0"/>
    <n v="0"/>
    <n v="0"/>
    <n v="0"/>
    <n v="0"/>
    <n v="0"/>
    <n v="0"/>
    <n v="0"/>
    <n v="0"/>
    <n v="22.94"/>
    <n v="0"/>
  </r>
  <r>
    <x v="11"/>
    <x v="0"/>
    <x v="0"/>
    <s v="4311102"/>
    <n v="721830"/>
    <s v="Supplies-Office"/>
    <s v="OP Therapies-Bonney Lake"/>
    <x v="0"/>
    <m/>
    <n v="0"/>
    <n v="72.09"/>
    <n v="0"/>
    <n v="0"/>
    <n v="13.61"/>
    <n v="220.03"/>
    <n v="8.58"/>
    <n v="0"/>
    <n v="48.14"/>
    <n v="132.12"/>
    <n v="55.69"/>
    <n v="0"/>
    <n v="550.26"/>
    <n v="55.69"/>
  </r>
  <r>
    <x v="11"/>
    <x v="0"/>
    <x v="0"/>
    <s v="4311102"/>
    <n v="721870"/>
    <s v="Supplies-Environmental Services"/>
    <s v="OP Therapies-Bonney Lake"/>
    <x v="0"/>
    <m/>
    <n v="0"/>
    <n v="0"/>
    <n v="9.5500000000000007"/>
    <n v="0"/>
    <n v="41.76"/>
    <n v="0"/>
    <n v="42.9"/>
    <n v="0"/>
    <n v="3.54"/>
    <n v="9.7100000000000009"/>
    <n v="0"/>
    <n v="14.31"/>
    <n v="121.77000000000001"/>
    <n v="-14.31"/>
  </r>
  <r>
    <x v="11"/>
    <x v="0"/>
    <x v="0"/>
    <s v="4311102"/>
    <n v="721910"/>
    <s v="Supplies-Small Equipment"/>
    <s v="OP Therapies-Bonney Lake"/>
    <x v="0"/>
    <m/>
    <n v="0"/>
    <n v="0"/>
    <n v="0"/>
    <n v="79.52"/>
    <n v="7.95"/>
    <n v="0"/>
    <n v="0"/>
    <n v="0"/>
    <n v="0"/>
    <n v="0"/>
    <n v="0"/>
    <n v="0"/>
    <n v="87.47"/>
    <n v="0"/>
  </r>
  <r>
    <x v="11"/>
    <x v="0"/>
    <x v="0"/>
    <s v="4311102"/>
    <n v="721980"/>
    <s v="Supplies-Other"/>
    <s v="OP Therapies-Bonney Lake"/>
    <x v="0"/>
    <m/>
    <n v="0"/>
    <n v="0"/>
    <n v="0"/>
    <n v="0"/>
    <n v="0"/>
    <n v="0"/>
    <n v="0"/>
    <n v="199.92"/>
    <n v="0"/>
    <n v="0"/>
    <n v="0"/>
    <n v="0"/>
    <n v="199.92"/>
    <n v="0"/>
  </r>
  <r>
    <x v="11"/>
    <x v="0"/>
    <x v="0"/>
    <s v="4311102"/>
    <n v="722000"/>
    <s v="Supplies-Freight Expense"/>
    <s v="OP Therapies-Bonney Lake"/>
    <x v="0"/>
    <m/>
    <n v="0"/>
    <n v="17.39"/>
    <n v="0"/>
    <n v="16.690000000000001"/>
    <n v="0"/>
    <n v="0"/>
    <n v="0"/>
    <n v="0"/>
    <n v="0"/>
    <n v="0"/>
    <n v="0"/>
    <n v="0"/>
    <n v="34.08"/>
    <n v="0"/>
  </r>
  <r>
    <x v="12"/>
    <x v="0"/>
    <x v="0"/>
    <s v="4311102"/>
    <n v="730010"/>
    <s v="Rental and Leases-Building (DO NOT USE)"/>
    <s v="OP Therapies-Bonney Lake"/>
    <x v="0"/>
    <m/>
    <n v="12135.52"/>
    <n v="12135.52"/>
    <n v="12135.52"/>
    <n v="12135.52"/>
    <n v="12135.52"/>
    <n v="-4861.3900000000003"/>
    <n v="9332.66"/>
    <n v="9332.66"/>
    <n v="9332.66"/>
    <n v="9294.89"/>
    <n v="9294.89"/>
    <n v="0"/>
    <n v="102403.97000000002"/>
    <n v="9294.89"/>
  </r>
  <r>
    <x v="12"/>
    <x v="0"/>
    <x v="0"/>
    <s v="4311102"/>
    <n v="730010"/>
    <s v="Rental-Common Area Maint (DO NOT USE)"/>
    <s v="OP Therapies-Bonney Lake"/>
    <x v="0"/>
    <n v="2200"/>
    <n v="0"/>
    <n v="0"/>
    <n v="0"/>
    <n v="0"/>
    <n v="0"/>
    <n v="16996.91"/>
    <n v="2802.86"/>
    <n v="2802.86"/>
    <n v="2802.86"/>
    <n v="3851.86"/>
    <n v="2838.81"/>
    <n v="2802.86"/>
    <n v="34899.020000000004"/>
    <n v="35.949999999999818"/>
  </r>
  <r>
    <x v="12"/>
    <x v="0"/>
    <x v="0"/>
    <s v="4311102"/>
    <n v="730020"/>
    <s v="Rental and Leases-Copier Usage Fees (DO NOT USE)"/>
    <s v="OP Therapies-Bonney Lake"/>
    <x v="0"/>
    <n v="5100"/>
    <n v="70.239999999999995"/>
    <n v="71.78"/>
    <n v="71.010000000000005"/>
    <n v="71.010000000000005"/>
    <n v="71.010000000000005"/>
    <n v="71.010000000000005"/>
    <n v="228.92"/>
    <n v="72.790000000000006"/>
    <n v="72.64"/>
    <n v="72.94"/>
    <n v="72.790000000000006"/>
    <n v="72.790000000000006"/>
    <n v="1018.9299999999998"/>
    <n v="0"/>
  </r>
  <r>
    <x v="12"/>
    <x v="0"/>
    <x v="0"/>
    <s v="4311102"/>
    <n v="730040"/>
    <s v="LT Lease-Real Estate"/>
    <s v="OP Therapies-Bonney Lake"/>
    <x v="0"/>
    <m/>
    <n v="0"/>
    <n v="0"/>
    <n v="0"/>
    <n v="0"/>
    <n v="0"/>
    <n v="0"/>
    <n v="0"/>
    <n v="0"/>
    <n v="0"/>
    <n v="0"/>
    <n v="0"/>
    <n v="9330.84"/>
    <n v="9330.84"/>
    <n v="-9330.84"/>
  </r>
  <r>
    <x v="15"/>
    <x v="0"/>
    <x v="0"/>
    <s v="4311102"/>
    <n v="731010"/>
    <s v="Natural Gas"/>
    <s v="OP Therapies-Bonney Lake"/>
    <x v="0"/>
    <m/>
    <n v="10.59"/>
    <n v="2.98"/>
    <n v="3.8"/>
    <n v="13.59"/>
    <n v="22.86"/>
    <n v="33.1"/>
    <n v="38.770000000000003"/>
    <n v="35.549999999999997"/>
    <n v="46.39"/>
    <n v="17.78"/>
    <n v="14.72"/>
    <n v="6.01"/>
    <n v="246.14"/>
    <n v="8.7100000000000009"/>
  </r>
  <r>
    <x v="15"/>
    <x v="0"/>
    <x v="0"/>
    <s v="4311102"/>
    <n v="731020"/>
    <s v="Electricity"/>
    <s v="OP Therapies-Bonney Lake"/>
    <x v="0"/>
    <m/>
    <n v="202.97"/>
    <n v="245.91"/>
    <n v="228.36"/>
    <n v="190.78"/>
    <n v="198.3"/>
    <n v="238.34"/>
    <n v="194.08"/>
    <n v="217.97"/>
    <n v="236.81"/>
    <n v="203.99"/>
    <n v="198.8"/>
    <n v="204.31"/>
    <n v="2560.62"/>
    <n v="-5.5099999999999909"/>
  </r>
  <r>
    <x v="16"/>
    <x v="0"/>
    <x v="0"/>
    <s v="4311102"/>
    <n v="732030"/>
    <s v="Repairs---Other"/>
    <s v="OP Therapies-Bonney Lake"/>
    <x v="0"/>
    <m/>
    <n v="0"/>
    <n v="0"/>
    <n v="0"/>
    <n v="0"/>
    <n v="0"/>
    <n v="0"/>
    <n v="0"/>
    <n v="259.58999999999997"/>
    <n v="0"/>
    <n v="0"/>
    <n v="0"/>
    <n v="0"/>
    <n v="259.58999999999997"/>
    <n v="0"/>
  </r>
  <r>
    <x v="13"/>
    <x v="0"/>
    <x v="0"/>
    <s v="4311102"/>
    <n v="735050"/>
    <s v="Amortization-Leasehold Improvements"/>
    <s v="OP Therapies-Bonney Lake"/>
    <x v="0"/>
    <m/>
    <n v="4435.28"/>
    <n v="4435.2700000000004"/>
    <n v="4435.3100000000004"/>
    <n v="4435.26"/>
    <n v="4435.32"/>
    <n v="4435.25"/>
    <n v="4435.33"/>
    <n v="4435.2299999999996"/>
    <n v="4435.34"/>
    <n v="4435.22"/>
    <n v="4435.3500000000004"/>
    <n v="4435.21"/>
    <n v="53223.369999999995"/>
    <n v="0.14000000000032742"/>
  </r>
  <r>
    <x v="13"/>
    <x v="0"/>
    <x v="0"/>
    <s v="4311102"/>
    <n v="735060"/>
    <s v="Depreciation-Fixed Equipment"/>
    <s v="OP Therapies-Bonney Lake"/>
    <x v="0"/>
    <m/>
    <n v="45.7"/>
    <n v="45.7"/>
    <n v="45.7"/>
    <n v="45.7"/>
    <n v="45.7"/>
    <n v="45.7"/>
    <n v="45.7"/>
    <n v="45.7"/>
    <n v="45.7"/>
    <n v="45.7"/>
    <n v="45.7"/>
    <n v="45.69"/>
    <n v="548.38999999999987"/>
    <n v="1.0000000000005116E-2"/>
  </r>
  <r>
    <x v="13"/>
    <x v="0"/>
    <x v="0"/>
    <s v="4311102"/>
    <n v="735070"/>
    <s v="Depreciation-Movable Equipment"/>
    <s v="OP Therapies-Bonney Lake"/>
    <x v="0"/>
    <m/>
    <n v="510.44"/>
    <n v="510.43"/>
    <n v="510.44"/>
    <n v="510.43"/>
    <n v="510.45"/>
    <n v="510.4"/>
    <n v="510.46"/>
    <n v="466.43"/>
    <n v="466.51"/>
    <n v="466.43"/>
    <n v="466.51"/>
    <n v="466.43"/>
    <n v="5905.3600000000006"/>
    <n v="7.9999999999984084E-2"/>
  </r>
  <r>
    <x v="0"/>
    <x v="0"/>
    <x v="0"/>
    <s v="4311102"/>
    <n v="740020"/>
    <s v="Education-Registration Fees"/>
    <s v="OP Therapies-Bonney Lake"/>
    <x v="0"/>
    <m/>
    <n v="0"/>
    <n v="0"/>
    <n v="0"/>
    <n v="1290"/>
    <n v="150"/>
    <n v="0"/>
    <n v="0"/>
    <n v="0"/>
    <n v="0"/>
    <n v="0"/>
    <n v="713.34"/>
    <n v="0"/>
    <n v="2153.34"/>
    <n v="713.34"/>
  </r>
  <r>
    <x v="0"/>
    <x v="0"/>
    <x v="0"/>
    <s v="4311102"/>
    <n v="749510"/>
    <s v="Miscellaneous Expenses"/>
    <s v="OP Therapies-Bonney Lake"/>
    <x v="0"/>
    <m/>
    <n v="0"/>
    <n v="-23.5"/>
    <n v="0"/>
    <n v="149"/>
    <n v="-150"/>
    <n v="0"/>
    <n v="0"/>
    <n v="0"/>
    <n v="0"/>
    <n v="0"/>
    <n v="0"/>
    <n v="0"/>
    <n v="-24.5"/>
    <n v="0"/>
  </r>
  <r>
    <x v="19"/>
    <x v="6"/>
    <x v="0"/>
    <s v="4311107"/>
    <n v="400020"/>
    <s v="O/P Care Svcs Rev--Medicare"/>
    <s v="Physical Therapy-PO"/>
    <x v="0"/>
    <n v="1100"/>
    <n v="-109855.89"/>
    <n v="-126512.36"/>
    <n v="-115618.94"/>
    <n v="-122518.43"/>
    <n v="-122024.36"/>
    <n v="-109097.04"/>
    <n v="-130097.35"/>
    <n v="-76885.98"/>
    <n v="-115298.78"/>
    <n v="-140646.98000000001"/>
    <n v="-132979.59"/>
    <n v="-110178.38"/>
    <n v="-1411714.08"/>
    <n v="-22801.209999999992"/>
  </r>
  <r>
    <x v="19"/>
    <x v="6"/>
    <x v="0"/>
    <s v="4311107"/>
    <n v="400020"/>
    <s v="O/P Care Svcs Rev--Medicaid"/>
    <s v="Physical Therapy-PO"/>
    <x v="0"/>
    <n v="1200"/>
    <n v="-68396.27"/>
    <n v="-77969.509999999995"/>
    <n v="-71093.350000000006"/>
    <n v="-91969.66"/>
    <n v="-85283.94"/>
    <n v="-73728.95"/>
    <n v="-86836.28"/>
    <n v="-73077.73"/>
    <n v="-95573.8"/>
    <n v="-100961.79"/>
    <n v="-98065.3"/>
    <n v="-93697.24"/>
    <n v="-1016653.8200000002"/>
    <n v="-4368.0599999999977"/>
  </r>
  <r>
    <x v="19"/>
    <x v="6"/>
    <x v="0"/>
    <s v="4311107"/>
    <n v="400020"/>
    <s v="O/P Care Svcs Rev--Comm Insurance"/>
    <s v="Physical Therapy-PO"/>
    <x v="0"/>
    <n v="1300"/>
    <n v="-4883.88"/>
    <n v="-6885.59"/>
    <n v="-6324.79"/>
    <n v="-13281.07"/>
    <n v="-14959.02"/>
    <n v="-8629.7000000000007"/>
    <n v="-10486.36"/>
    <n v="-6945.66"/>
    <n v="-7857.51"/>
    <n v="-4028.13"/>
    <n v="-615.39"/>
    <n v="-682.47"/>
    <n v="-85579.57"/>
    <n v="67.080000000000041"/>
  </r>
  <r>
    <x v="19"/>
    <x v="6"/>
    <x v="0"/>
    <s v="4311107"/>
    <n v="400020"/>
    <s v="O/P Care Svcs Rev--BCBS Comm"/>
    <s v="Physical Therapy-PO"/>
    <x v="0"/>
    <n v="1301"/>
    <n v="-30276.35"/>
    <n v="-25332.880000000001"/>
    <n v="-21019.51"/>
    <n v="-23736.03"/>
    <n v="-25017.79"/>
    <n v="-23625.83"/>
    <n v="-27466.97"/>
    <n v="-20362.2"/>
    <n v="-25336.45"/>
    <n v="-38386.5"/>
    <n v="-36372.730000000003"/>
    <n v="-29357.42"/>
    <n v="-326290.66000000003"/>
    <n v="-7015.3100000000049"/>
  </r>
  <r>
    <x v="19"/>
    <x v="6"/>
    <x v="0"/>
    <s v="4311107"/>
    <n v="400020"/>
    <s v="O/P Care Svcs Rev--Managed Care"/>
    <s v="Physical Therapy-PO"/>
    <x v="0"/>
    <n v="1400"/>
    <n v="-30045.15"/>
    <n v="-26890.959999999999"/>
    <n v="-27321.58"/>
    <n v="-23091.56"/>
    <n v="-26683.48"/>
    <n v="-26496.75"/>
    <n v="-36611.4"/>
    <n v="-21839.43"/>
    <n v="-24708.03"/>
    <n v="-27793.86"/>
    <n v="-32061.49"/>
    <n v="-33894.42"/>
    <n v="-337438.11"/>
    <n v="1832.9299999999967"/>
  </r>
  <r>
    <x v="19"/>
    <x v="6"/>
    <x v="0"/>
    <s v="4311107"/>
    <n v="400020"/>
    <s v="O/P Care Svcs Rev--Self Pay"/>
    <s v="Physical Therapy-PO"/>
    <x v="0"/>
    <n v="1500"/>
    <n v="0"/>
    <n v="0"/>
    <n v="0"/>
    <n v="-429.39"/>
    <n v="-1647.93"/>
    <n v="-2295.21"/>
    <n v="2295.21"/>
    <n v="1647.93"/>
    <n v="0"/>
    <n v="-682.61"/>
    <n v="0"/>
    <n v="0"/>
    <n v="-1112.0000000000005"/>
    <n v="0"/>
  </r>
  <r>
    <x v="19"/>
    <x v="6"/>
    <x v="0"/>
    <s v="4311107"/>
    <n v="400020"/>
    <s v="O/P Care Svcs Rev--Other"/>
    <s v="Physical Therapy-PO"/>
    <x v="0"/>
    <n v="1700"/>
    <n v="-25877.69"/>
    <n v="-38498.5"/>
    <n v="-26550.65"/>
    <n v="-29641.71"/>
    <n v="-21976.63"/>
    <n v="-20070.02"/>
    <n v="-19334.62"/>
    <n v="-16615.09"/>
    <n v="-19369.560000000001"/>
    <n v="-17916.04"/>
    <n v="-14740.86"/>
    <n v="-26486.86"/>
    <n v="-277078.23"/>
    <n v="11746"/>
  </r>
  <r>
    <x v="5"/>
    <x v="6"/>
    <x v="0"/>
    <s v="4311107"/>
    <n v="700032"/>
    <s v="Salaries-Other Pat Care Providers-Productive"/>
    <s v="Physical Therapy-PO"/>
    <x v="0"/>
    <m/>
    <n v="26254.06"/>
    <n v="30064.91"/>
    <n v="27515.96"/>
    <n v="31063.43"/>
    <n v="32440.45"/>
    <n v="26308.6"/>
    <n v="31284.82"/>
    <n v="23143.200000000001"/>
    <n v="33580.83"/>
    <n v="31339.13"/>
    <n v="30399.57"/>
    <n v="31884.93"/>
    <n v="355279.89"/>
    <n v="-1485.3600000000006"/>
  </r>
  <r>
    <x v="5"/>
    <x v="6"/>
    <x v="0"/>
    <s v="4311107"/>
    <n v="700032"/>
    <s v="Salaries-Other Pat Care Providers-OT"/>
    <s v="Physical Therapy-PO"/>
    <x v="0"/>
    <n v="1000"/>
    <n v="185.7"/>
    <n v="341.37"/>
    <n v="166.92"/>
    <n v="146.33000000000001"/>
    <n v="268.52999999999997"/>
    <n v="250.82"/>
    <n v="180.55"/>
    <n v="111.48"/>
    <n v="201.76"/>
    <n v="83.38"/>
    <n v="195.91"/>
    <n v="235.97"/>
    <n v="2368.7199999999993"/>
    <n v="-40.06"/>
  </r>
  <r>
    <x v="5"/>
    <x v="6"/>
    <x v="0"/>
    <s v="4311107"/>
    <n v="700032"/>
    <s v="Salaries-Other Pat Care Providers-Other"/>
    <s v="Physical Therapy-PO"/>
    <x v="0"/>
    <n v="2000"/>
    <n v="0"/>
    <n v="0"/>
    <n v="0"/>
    <n v="4.63"/>
    <n v="0"/>
    <n v="0"/>
    <n v="0"/>
    <n v="0"/>
    <n v="0"/>
    <n v="0"/>
    <n v="0"/>
    <n v="0"/>
    <n v="4.63"/>
    <n v="0"/>
  </r>
  <r>
    <x v="5"/>
    <x v="6"/>
    <x v="0"/>
    <s v="4311107"/>
    <n v="700034"/>
    <s v="Salaries-Tech/Professional-Productive"/>
    <s v="Physical Therapy-PO"/>
    <x v="0"/>
    <m/>
    <n v="2766.46"/>
    <n v="2446.6"/>
    <n v="3044.2"/>
    <n v="2165.2199999999998"/>
    <n v="3573.83"/>
    <n v="2831.15"/>
    <n v="3183.28"/>
    <n v="974.64"/>
    <n v="3433.22"/>
    <n v="3084.12"/>
    <n v="3222.4"/>
    <n v="2258.5300000000002"/>
    <n v="32983.65"/>
    <n v="963.86999999999989"/>
  </r>
  <r>
    <x v="5"/>
    <x v="6"/>
    <x v="0"/>
    <s v="4311107"/>
    <n v="700034"/>
    <s v="Salaries-Tech/Professional-OT"/>
    <s v="Physical Therapy-PO"/>
    <x v="0"/>
    <n v="1000"/>
    <n v="0"/>
    <n v="54.76"/>
    <n v="24.16"/>
    <n v="0"/>
    <n v="65.22"/>
    <n v="13.7"/>
    <n v="37.9"/>
    <n v="-4.0199999999999996"/>
    <n v="0"/>
    <n v="22.58"/>
    <n v="133.22999999999999"/>
    <n v="-64.14"/>
    <n v="283.39"/>
    <n v="197.37"/>
  </r>
  <r>
    <x v="5"/>
    <x v="6"/>
    <x v="0"/>
    <s v="4311107"/>
    <n v="700034"/>
    <s v="Salaries-Tech/Professional-Other"/>
    <s v="Physical Therapy-PO"/>
    <x v="0"/>
    <n v="2000"/>
    <n v="50.31"/>
    <n v="29.05"/>
    <n v="28.9"/>
    <n v="-5.5"/>
    <n v="0"/>
    <n v="36.229999999999997"/>
    <n v="-3.05"/>
    <n v="0"/>
    <n v="3.4"/>
    <n v="4.22"/>
    <n v="0"/>
    <n v="25.57"/>
    <n v="169.12999999999997"/>
    <n v="-25.57"/>
  </r>
  <r>
    <x v="5"/>
    <x v="6"/>
    <x v="0"/>
    <s v="4311107"/>
    <n v="700072"/>
    <s v="Salaries-Other Pat Care Providers-Non-productive"/>
    <s v="Physical Therapy-PO"/>
    <x v="0"/>
    <m/>
    <n v="6278.19"/>
    <n v="2556.17"/>
    <n v="1808.71"/>
    <n v="2417.38"/>
    <n v="-332.67"/>
    <n v="6095.18"/>
    <n v="1873.79"/>
    <n v="6830.67"/>
    <n v="-1128.06"/>
    <n v="1860.85"/>
    <n v="3435.74"/>
    <n v="480"/>
    <n v="32175.949999999997"/>
    <n v="2955.74"/>
  </r>
  <r>
    <x v="5"/>
    <x v="6"/>
    <x v="0"/>
    <s v="4311107"/>
    <n v="700072"/>
    <s v="Salaries-Other Pat Care Providers-NonProd-Other"/>
    <s v="Physical Therapy-PO"/>
    <x v="0"/>
    <n v="2000"/>
    <n v="20.98"/>
    <n v="18.89"/>
    <n v="0"/>
    <n v="0"/>
    <n v="295.88"/>
    <n v="19.36"/>
    <n v="0"/>
    <n v="-295.88"/>
    <n v="0"/>
    <n v="0"/>
    <n v="0"/>
    <n v="0"/>
    <n v="59.230000000000018"/>
    <n v="0"/>
  </r>
  <r>
    <x v="5"/>
    <x v="6"/>
    <x v="0"/>
    <s v="4311107"/>
    <n v="700074"/>
    <s v="Salaries-Tech/Professional-Non-productive"/>
    <s v="Physical Therapy-PO"/>
    <x v="0"/>
    <m/>
    <n v="690.83"/>
    <n v="924.9"/>
    <n v="217.94"/>
    <n v="858.85"/>
    <n v="-377.89"/>
    <n v="582.94000000000005"/>
    <n v="-3.7"/>
    <n v="1282.0999999999999"/>
    <n v="-63.41"/>
    <n v="0"/>
    <n v="74.02"/>
    <n v="1062.08"/>
    <n v="5248.6600000000008"/>
    <n v="-988.06"/>
  </r>
  <r>
    <x v="5"/>
    <x v="6"/>
    <x v="0"/>
    <s v="4311107"/>
    <n v="700074"/>
    <s v="Salaries-Tech/Professional-NonProd-Other"/>
    <s v="Physical Therapy-P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11107"/>
    <n v="700084"/>
    <s v="Accrued PTO"/>
    <s v="Physical Therapy-PO"/>
    <x v="0"/>
    <m/>
    <n v="-3773.35"/>
    <n v="-584.45000000000005"/>
    <n v="1265.95"/>
    <n v="1715.05"/>
    <n v="2300.06"/>
    <n v="-1175.02"/>
    <n v="554.74"/>
    <n v="-3207.91"/>
    <n v="2115.4699999999998"/>
    <n v="2868.52"/>
    <n v="1672.88"/>
    <n v="1899.53"/>
    <n v="5651.4699999999993"/>
    <n v="-226.64999999999986"/>
  </r>
  <r>
    <x v="6"/>
    <x v="6"/>
    <x v="0"/>
    <s v="4311107"/>
    <n v="713010"/>
    <s v="Benefits-FICA/Medicare"/>
    <s v="Physical Therapy-PO"/>
    <x v="0"/>
    <m/>
    <n v="2771.23"/>
    <n v="2787.38"/>
    <n v="2509.69"/>
    <n v="2803.75"/>
    <n v="2792.6"/>
    <n v="2743.47"/>
    <n v="2792.02"/>
    <n v="2470.2199999999998"/>
    <n v="2752.09"/>
    <n v="2780.15"/>
    <n v="2861.56"/>
    <n v="2740.99"/>
    <n v="32805.150000000009"/>
    <n v="120.57000000000016"/>
  </r>
  <r>
    <x v="6"/>
    <x v="6"/>
    <x v="0"/>
    <s v="4311107"/>
    <n v="713090"/>
    <s v="Benefits-Allocated Amounts"/>
    <s v="Physical Therapy-PO"/>
    <x v="0"/>
    <m/>
    <n v="5797.82"/>
    <n v="5291.13"/>
    <n v="5394.55"/>
    <n v="5813.32"/>
    <n v="6476.83"/>
    <n v="5915.08"/>
    <n v="6076.04"/>
    <n v="5548.94"/>
    <n v="4975.26"/>
    <n v="6482.59"/>
    <n v="6162.03"/>
    <n v="7016.59"/>
    <n v="70950.180000000008"/>
    <n v="-854.5600000000004"/>
  </r>
  <r>
    <x v="7"/>
    <x v="6"/>
    <x v="0"/>
    <s v="4311107"/>
    <n v="718050"/>
    <s v="Miscellaneous Purchased Svcs"/>
    <s v="Physical Therapy-PO"/>
    <x v="0"/>
    <n v="1020"/>
    <n v="77.569999999999993"/>
    <n v="317.24"/>
    <n v="927.21"/>
    <n v="384.57"/>
    <n v="2051.5"/>
    <n v="200.45"/>
    <n v="270.14999999999998"/>
    <n v="196.16"/>
    <n v="278.75"/>
    <n v="202.97"/>
    <n v="349.09"/>
    <n v="348.82"/>
    <n v="5604.48"/>
    <n v="0.26999999999998181"/>
  </r>
  <r>
    <x v="7"/>
    <x v="6"/>
    <x v="0"/>
    <s v="4311107"/>
    <n v="718050"/>
    <s v="Contract Management--Linen"/>
    <s v="Physical Therapy-PO"/>
    <x v="0"/>
    <n v="1026"/>
    <n v="170"/>
    <n v="120"/>
    <n v="202"/>
    <n v="190"/>
    <n v="293.02"/>
    <n v="125"/>
    <n v="264"/>
    <n v="305"/>
    <n v="220"/>
    <n v="55"/>
    <n v="168"/>
    <n v="388"/>
    <n v="2500.02"/>
    <n v="-220"/>
  </r>
  <r>
    <x v="7"/>
    <x v="6"/>
    <x v="0"/>
    <s v="4311107"/>
    <n v="718060"/>
    <s v="Contract Services-CHI RRC Fees"/>
    <s v="Physical Therapy-PO"/>
    <x v="0"/>
    <m/>
    <n v="9809"/>
    <n v="9809"/>
    <n v="9809"/>
    <n v="9809"/>
    <n v="9809"/>
    <n v="9809"/>
    <n v="9809"/>
    <n v="9809"/>
    <n v="9809"/>
    <n v="9809"/>
    <n v="9809"/>
    <n v="9809"/>
    <n v="117708"/>
    <n v="0"/>
  </r>
  <r>
    <x v="7"/>
    <x v="6"/>
    <x v="0"/>
    <s v="4311107"/>
    <n v="718070"/>
    <s v="Contract Srvcs-CHI Clinical Engineering"/>
    <s v="Physical Therapy-PO"/>
    <x v="0"/>
    <m/>
    <n v="0"/>
    <n v="0"/>
    <n v="0"/>
    <n v="0"/>
    <n v="0"/>
    <n v="0"/>
    <n v="0"/>
    <n v="0"/>
    <n v="0"/>
    <n v="0"/>
    <n v="29.52"/>
    <n v="0"/>
    <n v="29.52"/>
    <n v="29.52"/>
  </r>
  <r>
    <x v="11"/>
    <x v="6"/>
    <x v="0"/>
    <s v="4311107"/>
    <n v="721010"/>
    <s v="Supplies-Medical - Billable"/>
    <s v="Physical Therapy-PO"/>
    <x v="0"/>
    <m/>
    <n v="18"/>
    <n v="0"/>
    <n v="0"/>
    <n v="9"/>
    <n v="0"/>
    <n v="0"/>
    <n v="22.5"/>
    <n v="0"/>
    <n v="0"/>
    <n v="0"/>
    <n v="0"/>
    <n v="0"/>
    <n v="49.5"/>
    <n v="0"/>
  </r>
  <r>
    <x v="11"/>
    <x v="6"/>
    <x v="0"/>
    <s v="4311107"/>
    <n v="721010"/>
    <s v="Patient Monitoring"/>
    <s v="Physical Therapy-PO"/>
    <x v="0"/>
    <n v="1000"/>
    <n v="14.12"/>
    <n v="0"/>
    <n v="0"/>
    <n v="-14.12"/>
    <n v="0"/>
    <n v="37.76"/>
    <n v="-1.31"/>
    <n v="145.80000000000001"/>
    <n v="0"/>
    <n v="0"/>
    <n v="0"/>
    <n v="0"/>
    <n v="182.25"/>
    <n v="0"/>
  </r>
  <r>
    <x v="11"/>
    <x v="6"/>
    <x v="0"/>
    <s v="4311107"/>
    <n v="721410"/>
    <s v="Supplies-Medical - Nonbillable"/>
    <s v="Physical Therapy-PO"/>
    <x v="0"/>
    <m/>
    <n v="426.82"/>
    <n v="68.98"/>
    <n v="0"/>
    <n v="373.2"/>
    <n v="50.55"/>
    <n v="486.15"/>
    <n v="493.36"/>
    <n v="15.16"/>
    <n v="11.65"/>
    <n v="478.42"/>
    <n v="0"/>
    <n v="19.82"/>
    <n v="2424.11"/>
    <n v="-19.82"/>
  </r>
  <r>
    <x v="11"/>
    <x v="6"/>
    <x v="0"/>
    <s v="4311107"/>
    <n v="721750"/>
    <s v="Supplies-Film/Radiographic - Nonbillable"/>
    <s v="Physical Therapy-PO"/>
    <x v="0"/>
    <m/>
    <n v="0"/>
    <n v="5.62"/>
    <n v="0"/>
    <n v="0"/>
    <n v="0"/>
    <n v="11.24"/>
    <n v="0"/>
    <n v="0"/>
    <n v="0"/>
    <n v="11.24"/>
    <n v="0"/>
    <n v="0"/>
    <n v="28.1"/>
    <n v="0"/>
  </r>
  <r>
    <x v="11"/>
    <x v="6"/>
    <x v="0"/>
    <s v="4311107"/>
    <n v="721810"/>
    <s v="Supplies-Dietary/Cafeteria"/>
    <s v="Physical Therapy-PO"/>
    <x v="0"/>
    <m/>
    <n v="0"/>
    <n v="0"/>
    <n v="0"/>
    <n v="0"/>
    <n v="0"/>
    <n v="0"/>
    <n v="0"/>
    <n v="0"/>
    <n v="0"/>
    <n v="11.45"/>
    <n v="0"/>
    <n v="0"/>
    <n v="11.45"/>
    <n v="0"/>
  </r>
  <r>
    <x v="11"/>
    <x v="6"/>
    <x v="0"/>
    <s v="4311107"/>
    <n v="721830"/>
    <s v="Supplies-Office"/>
    <s v="Physical Therapy-PO"/>
    <x v="0"/>
    <m/>
    <n v="105.66"/>
    <n v="186.33"/>
    <n v="114"/>
    <n v="101.05"/>
    <n v="28.79"/>
    <n v="40.76"/>
    <n v="91.46"/>
    <n v="65.77"/>
    <n v="176.87"/>
    <n v="72.040000000000006"/>
    <n v="77.53"/>
    <n v="39"/>
    <n v="1099.26"/>
    <n v="38.53"/>
  </r>
  <r>
    <x v="11"/>
    <x v="6"/>
    <x v="0"/>
    <s v="4311107"/>
    <n v="721835"/>
    <s v="Supplies-Forms"/>
    <s v="Physical Therapy-PO"/>
    <x v="0"/>
    <m/>
    <n v="0"/>
    <n v="0"/>
    <n v="0"/>
    <n v="0"/>
    <n v="8"/>
    <n v="18.93"/>
    <n v="0"/>
    <n v="0"/>
    <n v="0"/>
    <n v="0"/>
    <n v="0"/>
    <n v="0"/>
    <n v="26.93"/>
    <n v="0"/>
  </r>
  <r>
    <x v="11"/>
    <x v="6"/>
    <x v="0"/>
    <s v="4311107"/>
    <n v="721870"/>
    <s v="Supplies-Environmental Services"/>
    <s v="Physical Therapy-PO"/>
    <x v="0"/>
    <m/>
    <n v="0"/>
    <n v="66.98"/>
    <n v="0"/>
    <n v="0"/>
    <n v="7.88"/>
    <n v="0"/>
    <n v="0"/>
    <n v="23.64"/>
    <n v="0"/>
    <n v="47.28"/>
    <n v="0"/>
    <n v="53.46"/>
    <n v="199.24"/>
    <n v="-53.46"/>
  </r>
  <r>
    <x v="11"/>
    <x v="6"/>
    <x v="0"/>
    <s v="4311107"/>
    <n v="721910"/>
    <s v="Supplies-Small Equipment"/>
    <s v="Physical Therapy-PO"/>
    <x v="0"/>
    <m/>
    <n v="0"/>
    <n v="114.99"/>
    <n v="0"/>
    <n v="0"/>
    <n v="0"/>
    <n v="1709.12"/>
    <n v="188.76"/>
    <n v="553.78"/>
    <n v="0"/>
    <n v="4.76"/>
    <n v="0"/>
    <n v="0"/>
    <n v="2571.41"/>
    <n v="0"/>
  </r>
  <r>
    <x v="11"/>
    <x v="6"/>
    <x v="0"/>
    <s v="4311107"/>
    <n v="721980"/>
    <s v="Supplies-Other"/>
    <s v="Physical Therapy-PO"/>
    <x v="0"/>
    <m/>
    <n v="85.09"/>
    <n v="129.47999999999999"/>
    <n v="0"/>
    <n v="-8.66"/>
    <n v="-10.88"/>
    <n v="0"/>
    <n v="6.71"/>
    <n v="0"/>
    <n v="0"/>
    <n v="0"/>
    <n v="0"/>
    <n v="0"/>
    <n v="201.74"/>
    <n v="0"/>
  </r>
  <r>
    <x v="11"/>
    <x v="6"/>
    <x v="0"/>
    <s v="4311107"/>
    <n v="722000"/>
    <s v="Supplies-Freight Expense"/>
    <s v="Physical Therapy-PO"/>
    <x v="0"/>
    <m/>
    <n v="0"/>
    <n v="13.81"/>
    <n v="0"/>
    <n v="76.23"/>
    <n v="0"/>
    <n v="11.71"/>
    <n v="11.69"/>
    <n v="0"/>
    <n v="12.21"/>
    <n v="0"/>
    <n v="12.25"/>
    <n v="0"/>
    <n v="137.9"/>
    <n v="12.25"/>
  </r>
  <r>
    <x v="12"/>
    <x v="6"/>
    <x v="0"/>
    <s v="4311107"/>
    <n v="730010"/>
    <s v="Rental and Leases-Building (DO NOT USE)"/>
    <s v="Physical Therapy-PO"/>
    <x v="0"/>
    <m/>
    <n v="7131.14"/>
    <n v="7131.14"/>
    <n v="7131.14"/>
    <n v="7131.14"/>
    <n v="7131.14"/>
    <n v="-5052.68"/>
    <n v="5185.22"/>
    <n v="5185.22"/>
    <n v="5185.22"/>
    <n v="5185.22"/>
    <n v="5185.22"/>
    <n v="0"/>
    <n v="56529.12000000001"/>
    <n v="5185.22"/>
  </r>
  <r>
    <x v="12"/>
    <x v="6"/>
    <x v="0"/>
    <s v="4311107"/>
    <n v="730010"/>
    <s v="Rental-Common Area Maint (DO NOT USE)"/>
    <s v="Physical Therapy-PO"/>
    <x v="0"/>
    <n v="2200"/>
    <n v="0"/>
    <n v="0"/>
    <n v="0"/>
    <n v="0"/>
    <n v="0"/>
    <n v="12285.49"/>
    <n v="2047.59"/>
    <n v="2047.59"/>
    <n v="2284.3000000000002"/>
    <n v="2284.3000000000002"/>
    <n v="2284.3000000000002"/>
    <n v="0"/>
    <n v="23233.57"/>
    <n v="2284.3000000000002"/>
  </r>
  <r>
    <x v="12"/>
    <x v="6"/>
    <x v="0"/>
    <s v="4311107"/>
    <n v="730020"/>
    <s v="Rental and Leases-Equipment (DO NOT USE)"/>
    <s v="Physical Therapy-PO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4311107"/>
    <n v="730020"/>
    <s v="Rental and Leases-Copier Usage Fees (DO NOT USE)"/>
    <s v="Physical Therapy-PO"/>
    <x v="0"/>
    <n v="5100"/>
    <n v="237.74"/>
    <n v="246.13"/>
    <n v="241.93"/>
    <n v="241.93"/>
    <n v="241.93"/>
    <n v="241.93"/>
    <n v="162.72"/>
    <n v="233.15"/>
    <n v="232.66"/>
    <n v="233.64"/>
    <n v="233.15"/>
    <n v="258.57"/>
    <n v="2805.4800000000005"/>
    <n v="-25.419999999999987"/>
  </r>
  <r>
    <x v="12"/>
    <x v="6"/>
    <x v="0"/>
    <s v="4311107"/>
    <n v="730040"/>
    <s v="LT Lease-Real Estate"/>
    <s v="Physical Therapy-PO"/>
    <x v="0"/>
    <m/>
    <n v="0"/>
    <n v="0"/>
    <n v="0"/>
    <n v="0"/>
    <n v="0"/>
    <n v="0"/>
    <n v="0"/>
    <n v="0"/>
    <n v="0"/>
    <n v="0"/>
    <n v="0"/>
    <n v="7469.52"/>
    <n v="7469.52"/>
    <n v="-7469.52"/>
  </r>
  <r>
    <x v="15"/>
    <x v="6"/>
    <x v="0"/>
    <s v="4311107"/>
    <n v="731020"/>
    <s v="Electricity"/>
    <s v="Physical Therapy-PO"/>
    <x v="0"/>
    <m/>
    <n v="0.88"/>
    <n v="0.88"/>
    <n v="0"/>
    <n v="1.77"/>
    <n v="0.88"/>
    <n v="0.88"/>
    <n v="0.88"/>
    <n v="0.88"/>
    <n v="0.88"/>
    <n v="0.88"/>
    <n v="0.88"/>
    <n v="0"/>
    <n v="9.6900000000000013"/>
    <n v="0.88"/>
  </r>
  <r>
    <x v="15"/>
    <x v="6"/>
    <x v="0"/>
    <s v="4311107"/>
    <n v="731030"/>
    <s v="Water"/>
    <s v="Physical Therapy-PO"/>
    <x v="0"/>
    <m/>
    <n v="0"/>
    <n v="2.68"/>
    <n v="0"/>
    <n v="0"/>
    <n v="0"/>
    <n v="0"/>
    <n v="0"/>
    <n v="0"/>
    <n v="0"/>
    <n v="0"/>
    <n v="0"/>
    <n v="0"/>
    <n v="2.68"/>
    <n v="0"/>
  </r>
  <r>
    <x v="15"/>
    <x v="6"/>
    <x v="0"/>
    <s v="4311107"/>
    <n v="731060"/>
    <s v="Telephone"/>
    <s v="Physical Therapy-PO"/>
    <x v="0"/>
    <m/>
    <n v="135.33000000000001"/>
    <n v="123.76"/>
    <n v="114.4"/>
    <n v="113.75"/>
    <n v="124.65"/>
    <n v="127.81"/>
    <n v="146.66"/>
    <n v="113.75"/>
    <n v="124.25"/>
    <n v="125.04"/>
    <n v="137.22"/>
    <n v="115.43"/>
    <n v="1502.0500000000002"/>
    <n v="21.789999999999992"/>
  </r>
  <r>
    <x v="15"/>
    <x v="6"/>
    <x v="0"/>
    <s v="4311107"/>
    <n v="731070"/>
    <s v="Cable TV"/>
    <s v="Physical Therapy-PO"/>
    <x v="0"/>
    <m/>
    <n v="5.58"/>
    <n v="5.58"/>
    <n v="5.58"/>
    <n v="5.58"/>
    <n v="5.58"/>
    <n v="5.58"/>
    <n v="5.59"/>
    <n v="5.59"/>
    <n v="5.58"/>
    <n v="5.58"/>
    <n v="5.58"/>
    <n v="5.58"/>
    <n v="66.97999999999999"/>
    <n v="0"/>
  </r>
  <r>
    <x v="16"/>
    <x v="6"/>
    <x v="0"/>
    <s v="4311107"/>
    <n v="732030"/>
    <s v="Repairs---Other"/>
    <s v="Physical Therapy-PO"/>
    <x v="0"/>
    <m/>
    <n v="0"/>
    <n v="0"/>
    <n v="0"/>
    <n v="207.9"/>
    <n v="208.06"/>
    <n v="34.229999999999997"/>
    <n v="0"/>
    <n v="0"/>
    <n v="0"/>
    <n v="0"/>
    <n v="942.85"/>
    <n v="0"/>
    <n v="1393.04"/>
    <n v="942.85"/>
  </r>
  <r>
    <x v="13"/>
    <x v="6"/>
    <x v="0"/>
    <s v="4311107"/>
    <n v="735050"/>
    <s v="Amortization-Leasehold Improvements"/>
    <s v="Physical Therapy-PO"/>
    <x v="0"/>
    <m/>
    <n v="605.11"/>
    <n v="605.11"/>
    <n v="605.12"/>
    <n v="605.11"/>
    <n v="605.13"/>
    <n v="605.11"/>
    <n v="605.13"/>
    <n v="605.11"/>
    <n v="605.13"/>
    <n v="605.11"/>
    <n v="605.14"/>
    <n v="605.08000000000004"/>
    <n v="7261.39"/>
    <n v="5.999999999994543E-2"/>
  </r>
  <r>
    <x v="13"/>
    <x v="6"/>
    <x v="0"/>
    <s v="4311107"/>
    <n v="735070"/>
    <s v="Depreciation-Movable Equipment"/>
    <s v="Physical Therapy-PO"/>
    <x v="0"/>
    <m/>
    <n v="264.04000000000002"/>
    <n v="122.83"/>
    <n v="122.83"/>
    <n v="122.83"/>
    <n v="122.84"/>
    <n v="122.83"/>
    <n v="122.84"/>
    <n v="122.83"/>
    <n v="122.85"/>
    <n v="122.83"/>
    <n v="122.85"/>
    <n v="122.83"/>
    <n v="1615.2299999999998"/>
    <n v="1.9999999999996021E-2"/>
  </r>
  <r>
    <x v="0"/>
    <x v="6"/>
    <x v="0"/>
    <s v="4311107"/>
    <n v="740020"/>
    <s v="Education-Registration Fees"/>
    <s v="Physical Therapy-PO"/>
    <x v="0"/>
    <m/>
    <n v="425"/>
    <n v="0"/>
    <n v="0"/>
    <n v="0"/>
    <n v="0"/>
    <n v="595"/>
    <n v="645"/>
    <n v="0"/>
    <n v="0"/>
    <n v="0"/>
    <n v="1387.9"/>
    <n v="351"/>
    <n v="3403.9"/>
    <n v="1036.9000000000001"/>
  </r>
  <r>
    <x v="0"/>
    <x v="6"/>
    <x v="0"/>
    <s v="4311107"/>
    <n v="749510"/>
    <s v="Miscellaneous Expenses"/>
    <s v="Physical Therapy-PO"/>
    <x v="0"/>
    <m/>
    <n v="0"/>
    <n v="0"/>
    <n v="478.71"/>
    <n v="-1"/>
    <n v="51.53"/>
    <n v="0"/>
    <n v="0"/>
    <n v="0"/>
    <n v="-88.45"/>
    <n v="548"/>
    <n v="1500.93"/>
    <n v="-1960.48"/>
    <n v="529.24000000000024"/>
    <n v="3461.41"/>
  </r>
  <r>
    <x v="0"/>
    <x v="6"/>
    <x v="0"/>
    <s v="4311107"/>
    <n v="749510"/>
    <s v="RICE Rewards"/>
    <s v="Physical Therapy-PO"/>
    <x v="0"/>
    <n v="5100"/>
    <n v="0"/>
    <n v="0"/>
    <n v="0"/>
    <n v="0"/>
    <n v="0"/>
    <n v="0"/>
    <n v="0"/>
    <n v="0"/>
    <n v="0"/>
    <n v="0"/>
    <n v="0"/>
    <n v="194.6"/>
    <n v="194.6"/>
    <n v="-194.6"/>
  </r>
  <r>
    <x v="0"/>
    <x v="6"/>
    <x v="0"/>
    <s v="4311107"/>
    <n v="749530"/>
    <s v="Travel"/>
    <s v="Physical Therapy-PO"/>
    <x v="0"/>
    <m/>
    <n v="0"/>
    <n v="0"/>
    <n v="0"/>
    <n v="0"/>
    <n v="0"/>
    <n v="0"/>
    <n v="0"/>
    <n v="0"/>
    <n v="0"/>
    <n v="0"/>
    <n v="100"/>
    <n v="-100"/>
    <n v="0"/>
    <n v="200"/>
  </r>
  <r>
    <x v="0"/>
    <x v="6"/>
    <x v="0"/>
    <s v="4311107"/>
    <n v="749530"/>
    <s v="Mileage"/>
    <s v="Physical Therapy-PO"/>
    <x v="0"/>
    <n v="1001"/>
    <n v="10.36"/>
    <n v="0"/>
    <n v="182.03"/>
    <n v="0"/>
    <n v="0"/>
    <n v="3.82"/>
    <n v="0"/>
    <n v="0"/>
    <n v="0"/>
    <n v="0"/>
    <n v="0"/>
    <n v="0"/>
    <n v="196.20999999999998"/>
    <n v="0"/>
  </r>
  <r>
    <x v="19"/>
    <x v="3"/>
    <x v="0"/>
    <s v="4312101"/>
    <n v="400020"/>
    <s v="O/P Care Svcs Rev--Medicare"/>
    <s v="Physical Therapy @ University"/>
    <x v="0"/>
    <n v="1100"/>
    <n v="-43608.45"/>
    <n v="-45003.63"/>
    <n v="-43187.95"/>
    <n v="-60318.73"/>
    <n v="-82716.52"/>
    <n v="-69327.06"/>
    <n v="-67001.2"/>
    <n v="-41060.19"/>
    <n v="-71994.98"/>
    <n v="-86816.95"/>
    <n v="-86420.28"/>
    <n v="-95192.79"/>
    <n v="-792648.73"/>
    <n v="8772.5099999999948"/>
  </r>
  <r>
    <x v="19"/>
    <x v="3"/>
    <x v="0"/>
    <s v="4312101"/>
    <n v="400020"/>
    <s v="O/P Care Svcs Rev--Medicaid"/>
    <s v="Physical Therapy @ University"/>
    <x v="0"/>
    <n v="1200"/>
    <n v="-22032.44"/>
    <n v="-26176.34"/>
    <n v="-18230.169999999998"/>
    <n v="-35260.89"/>
    <n v="-24664.69"/>
    <n v="-23665.79"/>
    <n v="-42003.040000000001"/>
    <n v="-22017.24"/>
    <n v="-47469.120000000003"/>
    <n v="-48446.86"/>
    <n v="-31828.02"/>
    <n v="-22327.79"/>
    <n v="-364122.39"/>
    <n v="-9500.23"/>
  </r>
  <r>
    <x v="19"/>
    <x v="3"/>
    <x v="0"/>
    <s v="4312101"/>
    <n v="400020"/>
    <s v="O/P Care Svcs Rev--Comm Insurance"/>
    <s v="Physical Therapy @ University"/>
    <x v="0"/>
    <n v="1300"/>
    <n v="-6828.28"/>
    <n v="-4200.3500000000004"/>
    <n v="-4240.3500000000004"/>
    <n v="-10504.76"/>
    <n v="-7218.41"/>
    <n v="-10451.08"/>
    <n v="-14791.3"/>
    <n v="-5763.35"/>
    <n v="-3878.96"/>
    <n v="-864.55"/>
    <n v="-9991.0499999999993"/>
    <n v="-9706.39"/>
    <n v="-88438.83"/>
    <n v="-284.65999999999985"/>
  </r>
  <r>
    <x v="19"/>
    <x v="3"/>
    <x v="0"/>
    <s v="4312101"/>
    <n v="400020"/>
    <s v="O/P Care Svcs Rev--BCBS Comm"/>
    <s v="Physical Therapy @ University"/>
    <x v="0"/>
    <n v="1301"/>
    <n v="-9031.6200000000008"/>
    <n v="-11161.74"/>
    <n v="-3238.87"/>
    <n v="-5988.24"/>
    <n v="-14081.1"/>
    <n v="-4941.6000000000004"/>
    <n v="-12400.49"/>
    <n v="-3954.47"/>
    <n v="-4046.12"/>
    <n v="-8097.42"/>
    <n v="-8739.7900000000009"/>
    <n v="-12117.35"/>
    <n v="-97798.81"/>
    <n v="3377.5599999999995"/>
  </r>
  <r>
    <x v="19"/>
    <x v="3"/>
    <x v="0"/>
    <s v="4312101"/>
    <n v="400020"/>
    <s v="O/P Care Svcs Rev--Managed Care"/>
    <s v="Physical Therapy @ University"/>
    <x v="0"/>
    <n v="1400"/>
    <n v="-34252.57"/>
    <n v="-38228.43"/>
    <n v="-38269.29"/>
    <n v="-45978.28"/>
    <n v="-39481.870000000003"/>
    <n v="-32970.44"/>
    <n v="-43356.97"/>
    <n v="-34373.019999999997"/>
    <n v="-42606.89"/>
    <n v="-44460.3"/>
    <n v="-42270.22"/>
    <n v="-45185.86"/>
    <n v="-481434.14"/>
    <n v="2915.6399999999994"/>
  </r>
  <r>
    <x v="19"/>
    <x v="3"/>
    <x v="0"/>
    <s v="4312101"/>
    <n v="400020"/>
    <s v="O/P Care Svcs Rev--Self Pay"/>
    <s v="Physical Therapy @ University"/>
    <x v="0"/>
    <n v="1500"/>
    <n v="0"/>
    <n v="-336.28"/>
    <n v="-715.65"/>
    <n v="-880.14"/>
    <n v="-1446.48"/>
    <n v="-4770.3999999999996"/>
    <n v="3488.26"/>
    <n v="-1808.86"/>
    <n v="1808.86"/>
    <n v="-491.72"/>
    <n v="491.72"/>
    <n v="-2115.39"/>
    <n v="-6776.0799999999981"/>
    <n v="2607.1099999999997"/>
  </r>
  <r>
    <x v="19"/>
    <x v="3"/>
    <x v="0"/>
    <s v="4312101"/>
    <n v="400020"/>
    <s v="O/P Care Svcs Rev--Other"/>
    <s v="Physical Therapy @ University"/>
    <x v="0"/>
    <n v="1700"/>
    <n v="-19313.82"/>
    <n v="-9130.2099999999991"/>
    <n v="-6975.17"/>
    <n v="-14209.92"/>
    <n v="-16745.86"/>
    <n v="-14687.99"/>
    <n v="-16672.349999999999"/>
    <n v="-11406.74"/>
    <n v="-12688.28"/>
    <n v="-8931.0300000000007"/>
    <n v="-11899.54"/>
    <n v="-8875.17"/>
    <n v="-151536.08000000002"/>
    <n v="-3024.3700000000008"/>
  </r>
  <r>
    <x v="5"/>
    <x v="3"/>
    <x v="0"/>
    <s v="4312101"/>
    <n v="700014"/>
    <s v="Salaries-Management-Productive"/>
    <s v="Physical Therapy @ University"/>
    <x v="0"/>
    <m/>
    <n v="0"/>
    <n v="0"/>
    <n v="0"/>
    <n v="0"/>
    <n v="0"/>
    <n v="0"/>
    <n v="177.69"/>
    <n v="0"/>
    <n v="0"/>
    <n v="0"/>
    <n v="0"/>
    <n v="0"/>
    <n v="177.69"/>
    <n v="0"/>
  </r>
  <r>
    <x v="5"/>
    <x v="3"/>
    <x v="0"/>
    <s v="4312101"/>
    <n v="700032"/>
    <s v="Salaries-Other Pat Care Providers-Productive"/>
    <s v="Physical Therapy @ University"/>
    <x v="0"/>
    <m/>
    <n v="17001.32"/>
    <n v="16706.830000000002"/>
    <n v="16010.12"/>
    <n v="17470.79"/>
    <n v="21550.65"/>
    <n v="18866.810000000001"/>
    <n v="20125.919999999998"/>
    <n v="13991.74"/>
    <n v="22840.75"/>
    <n v="22077.66"/>
    <n v="25601.17"/>
    <n v="22726.12"/>
    <n v="234969.88"/>
    <n v="2875.0499999999993"/>
  </r>
  <r>
    <x v="5"/>
    <x v="3"/>
    <x v="0"/>
    <s v="4312101"/>
    <n v="700032"/>
    <s v="Salaries-Other Pat Care Providers-OT"/>
    <s v="Physical Therapy @ University"/>
    <x v="0"/>
    <n v="1000"/>
    <n v="256.5"/>
    <n v="176.74"/>
    <n v="-23.5"/>
    <n v="18"/>
    <n v="142.36000000000001"/>
    <n v="-31.63"/>
    <n v="0"/>
    <n v="0"/>
    <n v="686.06"/>
    <n v="103.72"/>
    <n v="137.87"/>
    <n v="1.47"/>
    <n v="1467.59"/>
    <n v="136.4"/>
  </r>
  <r>
    <x v="5"/>
    <x v="3"/>
    <x v="0"/>
    <s v="4312101"/>
    <n v="700032"/>
    <s v="Salaries-Other Pat Care Providers-Other"/>
    <s v="Physical Therapy @ University"/>
    <x v="0"/>
    <n v="2000"/>
    <n v="0"/>
    <n v="0"/>
    <n v="0"/>
    <n v="0"/>
    <n v="0"/>
    <n v="0"/>
    <n v="0"/>
    <n v="0"/>
    <n v="4.71"/>
    <n v="-1.71"/>
    <n v="0"/>
    <n v="0"/>
    <n v="3"/>
    <n v="0"/>
  </r>
  <r>
    <x v="5"/>
    <x v="3"/>
    <x v="0"/>
    <s v="4312101"/>
    <n v="700034"/>
    <s v="Salaries-Tech/Professional-Productive"/>
    <s v="Physical Therapy @ University"/>
    <x v="0"/>
    <m/>
    <n v="385.96"/>
    <n v="1669.36"/>
    <n v="549.63"/>
    <n v="818.56"/>
    <n v="2359.34"/>
    <n v="1275.75"/>
    <n v="1383.66"/>
    <n v="934.22"/>
    <n v="1464.85"/>
    <n v="950.04"/>
    <n v="0"/>
    <n v="902.12"/>
    <n v="12693.49"/>
    <n v="-902.12"/>
  </r>
  <r>
    <x v="5"/>
    <x v="3"/>
    <x v="0"/>
    <s v="4312101"/>
    <n v="700034"/>
    <s v="Salaries-Tech/Professional-Other"/>
    <s v="Physical Therapy @ University"/>
    <x v="0"/>
    <n v="2000"/>
    <n v="388.39"/>
    <n v="366.97"/>
    <n v="443.45"/>
    <n v="345.85"/>
    <n v="605.09"/>
    <n v="269.69"/>
    <n v="311.55"/>
    <n v="134.06"/>
    <n v="239.55"/>
    <n v="174.28"/>
    <n v="0"/>
    <n v="161.26"/>
    <n v="3440.1400000000003"/>
    <n v="-161.26"/>
  </r>
  <r>
    <x v="5"/>
    <x v="3"/>
    <x v="0"/>
    <s v="4312101"/>
    <n v="700072"/>
    <s v="Salaries-Other Pat Care Providers-Non-productive"/>
    <s v="Physical Therapy @ University"/>
    <x v="0"/>
    <m/>
    <n v="2622.77"/>
    <n v="8871.98"/>
    <n v="1163.01"/>
    <n v="3340.62"/>
    <n v="203.49"/>
    <n v="5329.51"/>
    <n v="4733.7"/>
    <n v="4294.18"/>
    <n v="280.12"/>
    <n v="2839.94"/>
    <n v="878.16"/>
    <n v="2969.9"/>
    <n v="37527.380000000005"/>
    <n v="-2091.7400000000002"/>
  </r>
  <r>
    <x v="5"/>
    <x v="3"/>
    <x v="0"/>
    <s v="4312101"/>
    <n v="700072"/>
    <s v="Salaries-Other Pat Care Providers-NonProd-Other"/>
    <s v="Physical Therapy @ University"/>
    <x v="0"/>
    <n v="2000"/>
    <n v="0"/>
    <n v="0"/>
    <n v="0"/>
    <n v="0"/>
    <n v="378.92"/>
    <n v="757.84"/>
    <n v="0"/>
    <n v="-1136.76"/>
    <n v="0"/>
    <n v="0"/>
    <n v="0"/>
    <n v="0"/>
    <n v="0"/>
    <n v="0"/>
  </r>
  <r>
    <x v="5"/>
    <x v="3"/>
    <x v="0"/>
    <s v="4312101"/>
    <n v="700074"/>
    <s v="Salaries-Tech/Professional-Non-productive"/>
    <s v="Physical Therapy @ University"/>
    <x v="0"/>
    <m/>
    <n v="0"/>
    <n v="0"/>
    <n v="0"/>
    <n v="0"/>
    <n v="0"/>
    <n v="0"/>
    <n v="0"/>
    <n v="0"/>
    <n v="0"/>
    <n v="1056.27"/>
    <n v="-0.84"/>
    <n v="0"/>
    <n v="1055.43"/>
    <n v="-0.84"/>
  </r>
  <r>
    <x v="5"/>
    <x v="3"/>
    <x v="0"/>
    <s v="4312101"/>
    <n v="700084"/>
    <s v="Accrued PTO"/>
    <s v="Physical Therapy @ University"/>
    <x v="0"/>
    <m/>
    <n v="105.19"/>
    <n v="-5009.0200000000004"/>
    <n v="37.9"/>
    <n v="443.93"/>
    <n v="1024.1300000000001"/>
    <n v="-1617.83"/>
    <n v="-2088.9299999999998"/>
    <n v="-1673.71"/>
    <n v="1570.22"/>
    <n v="-336.1"/>
    <n v="1374.84"/>
    <n v="576.54"/>
    <n v="-5592.84"/>
    <n v="798.3"/>
  </r>
  <r>
    <x v="6"/>
    <x v="3"/>
    <x v="0"/>
    <s v="4312101"/>
    <n v="713010"/>
    <s v="Benefits-FICA/Medicare"/>
    <s v="Physical Therapy @ University"/>
    <x v="0"/>
    <m/>
    <n v="1514.36"/>
    <n v="2060.61"/>
    <n v="1360.2"/>
    <n v="1654.02"/>
    <n v="1959.1"/>
    <n v="1970.33"/>
    <n v="2014.14"/>
    <n v="1453.56"/>
    <n v="1868.38"/>
    <n v="2058.8000000000002"/>
    <n v="1960.92"/>
    <n v="2017.44"/>
    <n v="21891.859999999997"/>
    <n v="-56.519999999999982"/>
  </r>
  <r>
    <x v="6"/>
    <x v="3"/>
    <x v="0"/>
    <s v="4312101"/>
    <n v="713090"/>
    <s v="Benefits-Allocated Amounts"/>
    <s v="Physical Therapy @ University"/>
    <x v="0"/>
    <m/>
    <n v="3546.31"/>
    <n v="4403.24"/>
    <n v="3372.85"/>
    <n v="3764.23"/>
    <n v="4423.28"/>
    <n v="4405.59"/>
    <n v="4789.04"/>
    <n v="3813.27"/>
    <n v="3793.17"/>
    <n v="4912.59"/>
    <n v="5061.84"/>
    <n v="5029.8999999999996"/>
    <n v="51315.310000000005"/>
    <n v="31.940000000000509"/>
  </r>
  <r>
    <x v="7"/>
    <x v="3"/>
    <x v="0"/>
    <s v="4312101"/>
    <n v="718050"/>
    <s v="Miscellaneous Purchased Svcs"/>
    <s v="Physical Therapy @ University"/>
    <x v="0"/>
    <n v="1020"/>
    <n v="124.02"/>
    <n v="695.87"/>
    <n v="733.85"/>
    <n v="205.76"/>
    <n v="429.11"/>
    <n v="347.06"/>
    <n v="465.67"/>
    <n v="339.01"/>
    <n v="674.6"/>
    <n v="473.33"/>
    <n v="39.5"/>
    <n v="359.81"/>
    <n v="4887.5900000000011"/>
    <n v="-320.31"/>
  </r>
  <r>
    <x v="7"/>
    <x v="3"/>
    <x v="0"/>
    <s v="4312101"/>
    <n v="718050"/>
    <s v="Translation Services"/>
    <s v="Physical Therapy @ University"/>
    <x v="0"/>
    <n v="1025"/>
    <n v="0"/>
    <n v="464"/>
    <n v="352"/>
    <n v="0"/>
    <n v="97"/>
    <n v="186"/>
    <n v="304"/>
    <n v="0"/>
    <n v="64"/>
    <n v="0"/>
    <n v="682"/>
    <n v="0"/>
    <n v="2149"/>
    <n v="682"/>
  </r>
  <r>
    <x v="11"/>
    <x v="3"/>
    <x v="0"/>
    <s v="4312101"/>
    <n v="721010"/>
    <s v="Supplies-Medical - Billable"/>
    <s v="Physical Therapy @ University"/>
    <x v="0"/>
    <m/>
    <n v="0.83"/>
    <n v="-0.83"/>
    <n v="0"/>
    <n v="0"/>
    <n v="0"/>
    <n v="0"/>
    <n v="0"/>
    <n v="0"/>
    <n v="0"/>
    <n v="0"/>
    <n v="0"/>
    <n v="0"/>
    <n v="0"/>
    <n v="0"/>
  </r>
  <r>
    <x v="11"/>
    <x v="3"/>
    <x v="0"/>
    <s v="4312101"/>
    <n v="721410"/>
    <s v="Supplies-Medical - Nonbillable"/>
    <s v="Physical Therapy @ University"/>
    <x v="0"/>
    <m/>
    <n v="158.84"/>
    <n v="206.51"/>
    <n v="0"/>
    <n v="1.84"/>
    <n v="153.91999999999999"/>
    <n v="59.75"/>
    <n v="263.60000000000002"/>
    <n v="-248.19"/>
    <n v="-44.06"/>
    <n v="250.28"/>
    <n v="10.95"/>
    <n v="0"/>
    <n v="813.44"/>
    <n v="10.95"/>
  </r>
  <r>
    <x v="11"/>
    <x v="3"/>
    <x v="0"/>
    <s v="4312101"/>
    <n v="721810"/>
    <s v="Supplies-Dietary/Cafeteria"/>
    <s v="Physical Therapy @ University"/>
    <x v="0"/>
    <m/>
    <n v="0"/>
    <n v="0"/>
    <n v="0"/>
    <n v="0"/>
    <n v="9.19"/>
    <n v="0"/>
    <n v="0"/>
    <n v="0"/>
    <n v="0"/>
    <n v="4.97"/>
    <n v="11.75"/>
    <n v="-1.81"/>
    <n v="24.1"/>
    <n v="13.56"/>
  </r>
  <r>
    <x v="11"/>
    <x v="3"/>
    <x v="0"/>
    <s v="4312101"/>
    <n v="721830"/>
    <s v="Supplies-Office"/>
    <s v="Physical Therapy @ University"/>
    <x v="0"/>
    <m/>
    <n v="0"/>
    <n v="0"/>
    <n v="6.53"/>
    <n v="80.400000000000006"/>
    <n v="0"/>
    <n v="0"/>
    <n v="195.17"/>
    <n v="0"/>
    <n v="55.71"/>
    <n v="0"/>
    <n v="60.42"/>
    <n v="0"/>
    <n v="398.23"/>
    <n v="60.42"/>
  </r>
  <r>
    <x v="11"/>
    <x v="3"/>
    <x v="0"/>
    <s v="4312101"/>
    <n v="721870"/>
    <s v="Supplies-Environmental Services"/>
    <s v="Physical Therapy @ University"/>
    <x v="0"/>
    <m/>
    <n v="0"/>
    <n v="17.12"/>
    <n v="0"/>
    <n v="67.349999999999994"/>
    <n v="4.88"/>
    <n v="34.24"/>
    <n v="58.8"/>
    <n v="0"/>
    <n v="2.36"/>
    <n v="0"/>
    <n v="112.6"/>
    <n v="0"/>
    <n v="297.35000000000002"/>
    <n v="112.6"/>
  </r>
  <r>
    <x v="11"/>
    <x v="3"/>
    <x v="0"/>
    <s v="4312101"/>
    <n v="721980"/>
    <s v="Supplies-Other"/>
    <s v="Physical Therapy @ University"/>
    <x v="0"/>
    <m/>
    <n v="0"/>
    <n v="0"/>
    <n v="0"/>
    <n v="979.89"/>
    <n v="0"/>
    <n v="43.23"/>
    <n v="0"/>
    <n v="21.88"/>
    <n v="0"/>
    <n v="0"/>
    <n v="0"/>
    <n v="0"/>
    <n v="1045"/>
    <n v="0"/>
  </r>
  <r>
    <x v="11"/>
    <x v="3"/>
    <x v="0"/>
    <s v="4312101"/>
    <n v="722000"/>
    <s v="Supplies-Freight Expense"/>
    <s v="Physical Therapy @ University"/>
    <x v="0"/>
    <m/>
    <n v="0"/>
    <n v="35.97"/>
    <n v="0"/>
    <n v="10.96"/>
    <n v="0"/>
    <n v="0"/>
    <n v="0"/>
    <n v="0"/>
    <n v="0"/>
    <n v="0"/>
    <n v="0"/>
    <n v="0"/>
    <n v="46.93"/>
    <n v="0"/>
  </r>
  <r>
    <x v="12"/>
    <x v="3"/>
    <x v="0"/>
    <s v="4312101"/>
    <n v="730010"/>
    <s v="Rental and Leases-Building (DO NOT USE)"/>
    <s v="Physical Therapy @ University"/>
    <x v="0"/>
    <m/>
    <n v="5654.96"/>
    <n v="5654.96"/>
    <n v="5654.96"/>
    <n v="5654.96"/>
    <n v="5654.96"/>
    <n v="-6160.36"/>
    <n v="3685.74"/>
    <n v="3685.3"/>
    <n v="3685.74"/>
    <n v="3796.32"/>
    <n v="3796.32"/>
    <n v="0"/>
    <n v="40763.86"/>
    <n v="3796.32"/>
  </r>
  <r>
    <x v="12"/>
    <x v="3"/>
    <x v="0"/>
    <s v="4312101"/>
    <n v="730010"/>
    <s v="Rental-Common Area Maint (DO NOT USE)"/>
    <s v="Physical Therapy @ University"/>
    <x v="0"/>
    <n v="2200"/>
    <n v="0"/>
    <n v="0"/>
    <n v="0"/>
    <n v="0"/>
    <n v="0"/>
    <n v="11815.32"/>
    <n v="1969.22"/>
    <n v="1969.22"/>
    <n v="1969.22"/>
    <n v="2735.9"/>
    <n v="1988.17"/>
    <n v="0"/>
    <n v="22447.050000000003"/>
    <n v="1988.17"/>
  </r>
  <r>
    <x v="12"/>
    <x v="3"/>
    <x v="0"/>
    <s v="4312101"/>
    <n v="730020"/>
    <s v="Rental and Leases-Copier Usage Fees (DO NOT USE)"/>
    <s v="Physical Therapy @ University"/>
    <x v="0"/>
    <n v="5100"/>
    <n v="59.93"/>
    <n v="61.12"/>
    <n v="60.52"/>
    <n v="60.52"/>
    <n v="60.52"/>
    <n v="60.52"/>
    <n v="-56.77"/>
    <n v="36.28"/>
    <n v="88.92"/>
    <n v="105.48"/>
    <n v="52.7"/>
    <n v="52.7"/>
    <n v="642.44000000000005"/>
    <n v="0"/>
  </r>
  <r>
    <x v="12"/>
    <x v="3"/>
    <x v="0"/>
    <s v="4312101"/>
    <n v="730040"/>
    <s v="LT Lease-Real Estate"/>
    <s v="Physical Therapy @ University"/>
    <x v="0"/>
    <m/>
    <n v="0"/>
    <n v="0"/>
    <n v="0"/>
    <n v="0"/>
    <n v="0"/>
    <n v="0"/>
    <n v="0"/>
    <n v="0"/>
    <n v="0"/>
    <n v="0"/>
    <n v="0"/>
    <n v="5784.49"/>
    <n v="5784.49"/>
    <n v="-5784.49"/>
  </r>
  <r>
    <x v="16"/>
    <x v="3"/>
    <x v="0"/>
    <s v="4312101"/>
    <n v="732030"/>
    <s v="Repairs&amp;Maintenance-Bldg Routine"/>
    <s v="Physical Therapy @ University"/>
    <x v="0"/>
    <n v="2300"/>
    <n v="0"/>
    <n v="0"/>
    <n v="0"/>
    <n v="0"/>
    <n v="0"/>
    <n v="0"/>
    <n v="22.74"/>
    <n v="0"/>
    <n v="0"/>
    <n v="0"/>
    <n v="0"/>
    <n v="0"/>
    <n v="22.74"/>
    <n v="0"/>
  </r>
  <r>
    <x v="13"/>
    <x v="3"/>
    <x v="0"/>
    <s v="4312101"/>
    <n v="735070"/>
    <s v="Depreciation-Movable Equipment"/>
    <s v="Physical Therapy @ University"/>
    <x v="0"/>
    <m/>
    <n v="28.56"/>
    <n v="28.56"/>
    <n v="28.56"/>
    <n v="28.56"/>
    <n v="28.56"/>
    <n v="28.56"/>
    <n v="28.56"/>
    <n v="28.56"/>
    <n v="28.56"/>
    <n v="28.56"/>
    <n v="28.56"/>
    <n v="28.56"/>
    <n v="342.71999999999997"/>
    <n v="0"/>
  </r>
  <r>
    <x v="0"/>
    <x v="3"/>
    <x v="0"/>
    <s v="4312101"/>
    <n v="740020"/>
    <s v="Education-Registration Fees"/>
    <s v="Physical Therapy @ University"/>
    <x v="0"/>
    <m/>
    <n v="0"/>
    <n v="0"/>
    <n v="0"/>
    <n v="0"/>
    <n v="0"/>
    <n v="0"/>
    <n v="0"/>
    <n v="0"/>
    <n v="0"/>
    <n v="478"/>
    <n v="475.56"/>
    <n v="0"/>
    <n v="953.56"/>
    <n v="475.56"/>
  </r>
  <r>
    <x v="0"/>
    <x v="3"/>
    <x v="0"/>
    <s v="4312101"/>
    <n v="749510"/>
    <s v="Miscellaneous Expenses"/>
    <s v="Physical Therapy @ University"/>
    <x v="0"/>
    <m/>
    <n v="0"/>
    <n v="-43.45"/>
    <n v="0"/>
    <n v="-1"/>
    <n v="0"/>
    <n v="0"/>
    <n v="0"/>
    <n v="0"/>
    <n v="0"/>
    <n v="0"/>
    <n v="0"/>
    <n v="83"/>
    <n v="38.549999999999997"/>
    <n v="-83"/>
  </r>
  <r>
    <x v="0"/>
    <x v="3"/>
    <x v="0"/>
    <s v="4312101"/>
    <n v="749510"/>
    <s v="RICE Rewards"/>
    <s v="Physical Therapy @ University"/>
    <x v="0"/>
    <n v="5100"/>
    <n v="0"/>
    <n v="0"/>
    <n v="0"/>
    <n v="0"/>
    <n v="0"/>
    <n v="0"/>
    <n v="0"/>
    <n v="100"/>
    <n v="0"/>
    <n v="0"/>
    <n v="0"/>
    <n v="0"/>
    <n v="100"/>
    <n v="0"/>
  </r>
  <r>
    <x v="19"/>
    <x v="6"/>
    <x v="0"/>
    <s v="4312107"/>
    <n v="400020"/>
    <s v="O/P Care Svcs Rev--Medicare"/>
    <s v="Physical Therapy-YMCA"/>
    <x v="0"/>
    <n v="1100"/>
    <n v="-44737.73"/>
    <n v="-45918.559999999998"/>
    <n v="-36707.56"/>
    <n v="-39902.980000000003"/>
    <n v="-29455.759999999998"/>
    <n v="-25617.82"/>
    <n v="-40460.980000000003"/>
    <n v="-30344.29"/>
    <n v="-36380.14"/>
    <n v="-45036.44"/>
    <n v="-36273.5"/>
    <n v="-36006.06"/>
    <n v="-446841.82"/>
    <n v="-267.44000000000233"/>
  </r>
  <r>
    <x v="19"/>
    <x v="6"/>
    <x v="0"/>
    <s v="4312107"/>
    <n v="400020"/>
    <s v="O/P Care Svcs Rev--Medicaid"/>
    <s v="Physical Therapy-YMCA"/>
    <x v="0"/>
    <n v="1200"/>
    <n v="-19110.560000000001"/>
    <n v="-10706.64"/>
    <n v="-12788.83"/>
    <n v="-9386.2099999999991"/>
    <n v="-3256.87"/>
    <n v="-8849.86"/>
    <n v="-9385.6"/>
    <n v="-8129.65"/>
    <n v="-16200.8"/>
    <n v="-21778.82"/>
    <n v="-15595.66"/>
    <n v="-20911.490000000002"/>
    <n v="-156100.99"/>
    <n v="5315.8300000000017"/>
  </r>
  <r>
    <x v="19"/>
    <x v="6"/>
    <x v="0"/>
    <s v="4312107"/>
    <n v="400020"/>
    <s v="O/P Care Svcs Rev--Comm Insurance"/>
    <s v="Physical Therapy-YMCA"/>
    <x v="0"/>
    <n v="1300"/>
    <n v="-5297.06"/>
    <n v="-2794.8"/>
    <n v="-2970.63"/>
    <n v="-5582.62"/>
    <n v="-5858.99"/>
    <n v="-8339.32"/>
    <n v="-4654.3900000000003"/>
    <n v="-3760.99"/>
    <n v="-2274.17"/>
    <n v="-2956.42"/>
    <n v="-933.96"/>
    <n v="-5847.02"/>
    <n v="-51270.369999999995"/>
    <n v="4913.0600000000004"/>
  </r>
  <r>
    <x v="19"/>
    <x v="6"/>
    <x v="0"/>
    <s v="4312107"/>
    <n v="400020"/>
    <s v="O/P Care Svcs Rev--BCBS Comm"/>
    <s v="Physical Therapy-YMCA"/>
    <x v="0"/>
    <n v="1301"/>
    <n v="-1413.11"/>
    <n v="-9978.15"/>
    <n v="-7822.1"/>
    <n v="-3245.93"/>
    <n v="-12552.14"/>
    <n v="-7146.71"/>
    <n v="-22594.13"/>
    <n v="-5986.78"/>
    <n v="-11888.52"/>
    <n v="-7977.28"/>
    <n v="-12260.16"/>
    <n v="-7039.19"/>
    <n v="-109904.20000000001"/>
    <n v="-5220.97"/>
  </r>
  <r>
    <x v="19"/>
    <x v="6"/>
    <x v="0"/>
    <s v="4312107"/>
    <n v="400020"/>
    <s v="O/P Care Svcs Rev--Managed Care"/>
    <s v="Physical Therapy-YMCA"/>
    <x v="0"/>
    <n v="1400"/>
    <n v="-18522.400000000001"/>
    <n v="-17879.16"/>
    <n v="-19083.13"/>
    <n v="-26345.49"/>
    <n v="-33636.519999999997"/>
    <n v="-30319.42"/>
    <n v="-24447.65"/>
    <n v="-11706.62"/>
    <n v="-14153.4"/>
    <n v="-10203.030000000001"/>
    <n v="-20114.95"/>
    <n v="-14938.29"/>
    <n v="-241350.06"/>
    <n v="-5176.66"/>
  </r>
  <r>
    <x v="19"/>
    <x v="6"/>
    <x v="0"/>
    <s v="4312107"/>
    <n v="400020"/>
    <s v="O/P Care Svcs Rev--Self Pay"/>
    <s v="Physical Therapy-YMCA"/>
    <x v="0"/>
    <n v="1500"/>
    <n v="0"/>
    <n v="0"/>
    <n v="0"/>
    <n v="0"/>
    <n v="-2058.2800000000002"/>
    <n v="-2843.4"/>
    <n v="-2375.2800000000002"/>
    <n v="1718.1"/>
    <n v="-1959.69"/>
    <n v="-872.1"/>
    <n v="-929.82"/>
    <n v="-1727.3"/>
    <n v="-11047.77"/>
    <n v="797.4799999999999"/>
  </r>
  <r>
    <x v="19"/>
    <x v="6"/>
    <x v="0"/>
    <s v="4312107"/>
    <n v="400020"/>
    <s v="O/P Care Svcs Rev--Other"/>
    <s v="Physical Therapy-YMCA"/>
    <x v="0"/>
    <n v="1700"/>
    <n v="-10667.65"/>
    <n v="-4037.54"/>
    <n v="-10727.68"/>
    <n v="-11679.96"/>
    <n v="-13262.29"/>
    <n v="-7427.55"/>
    <n v="-6034.38"/>
    <n v="-3155.93"/>
    <n v="-5573.49"/>
    <n v="-11911.84"/>
    <n v="-8833.0400000000009"/>
    <n v="-8909.42"/>
    <n v="-102220.77"/>
    <n v="76.3799999999992"/>
  </r>
  <r>
    <x v="5"/>
    <x v="6"/>
    <x v="0"/>
    <s v="4312107"/>
    <n v="700032"/>
    <s v="Salaries-Other Pat Care Providers-Productive"/>
    <s v="Physical Therapy-YMCA"/>
    <x v="0"/>
    <m/>
    <n v="13237.76"/>
    <n v="13215.38"/>
    <n v="11795.44"/>
    <n v="10714.74"/>
    <n v="14109.15"/>
    <n v="12177.93"/>
    <n v="12753.56"/>
    <n v="8207.98"/>
    <n v="12250.03"/>
    <n v="12158.97"/>
    <n v="13565.13"/>
    <n v="11633.87"/>
    <n v="145819.93999999997"/>
    <n v="1931.2599999999984"/>
  </r>
  <r>
    <x v="5"/>
    <x v="6"/>
    <x v="0"/>
    <s v="4312107"/>
    <n v="700032"/>
    <s v="Salaries-Other Pat Care Providers-OT"/>
    <s v="Physical Therapy-YMCA"/>
    <x v="0"/>
    <n v="1000"/>
    <n v="111.28"/>
    <n v="-16.87"/>
    <n v="55.51"/>
    <n v="35.69"/>
    <n v="33.08"/>
    <n v="52.4"/>
    <n v="127.37"/>
    <n v="6.09"/>
    <n v="31.33"/>
    <n v="160.08000000000001"/>
    <n v="-25.71"/>
    <n v="76.72"/>
    <n v="646.96999999999991"/>
    <n v="-102.43"/>
  </r>
  <r>
    <x v="5"/>
    <x v="6"/>
    <x v="0"/>
    <s v="4312107"/>
    <n v="700032"/>
    <s v="Salaries-Other Pat Care Providers-Other"/>
    <s v="Physical Therapy-YMCA"/>
    <x v="0"/>
    <n v="2000"/>
    <n v="0"/>
    <n v="0"/>
    <n v="0.46"/>
    <n v="1.39"/>
    <n v="1.85"/>
    <n v="3.17"/>
    <n v="-0.39"/>
    <n v="0"/>
    <n v="42.45"/>
    <n v="-15.43"/>
    <n v="0"/>
    <n v="0"/>
    <n v="33.500000000000007"/>
    <n v="0"/>
  </r>
  <r>
    <x v="5"/>
    <x v="6"/>
    <x v="0"/>
    <s v="4312107"/>
    <n v="700072"/>
    <s v="Salaries-Other Pat Care Providers-Non-productive"/>
    <s v="Physical Therapy-YMCA"/>
    <x v="0"/>
    <m/>
    <n v="1439.26"/>
    <n v="1265.83"/>
    <n v="2720.09"/>
    <n v="3612.21"/>
    <n v="54.54"/>
    <n v="2397.4699999999998"/>
    <n v="1835.72"/>
    <n v="4662.8100000000004"/>
    <n v="4161.24"/>
    <n v="2206.69"/>
    <n v="1985.27"/>
    <n v="2612.73"/>
    <n v="28953.859999999997"/>
    <n v="-627.46"/>
  </r>
  <r>
    <x v="5"/>
    <x v="6"/>
    <x v="0"/>
    <s v="4312107"/>
    <n v="700072"/>
    <s v="Salaries-Other Pat Care Providers-NonProd-Other"/>
    <s v="Physical Therapy-YMCA"/>
    <x v="0"/>
    <n v="2000"/>
    <n v="20.86"/>
    <n v="0"/>
    <n v="0"/>
    <n v="0"/>
    <n v="0"/>
    <n v="0"/>
    <n v="0"/>
    <n v="0"/>
    <n v="32.81"/>
    <n v="8.9700000000000006"/>
    <n v="0"/>
    <n v="10.92"/>
    <n v="73.56"/>
    <n v="-10.92"/>
  </r>
  <r>
    <x v="5"/>
    <x v="6"/>
    <x v="0"/>
    <s v="4312107"/>
    <n v="700084"/>
    <s v="Accrued PTO"/>
    <s v="Physical Therapy-YMCA"/>
    <x v="0"/>
    <m/>
    <n v="-69.17"/>
    <n v="-12.01"/>
    <n v="-978.1"/>
    <n v="-827.38"/>
    <n v="221.47"/>
    <n v="-318.85000000000002"/>
    <n v="213.83"/>
    <n v="-1726.26"/>
    <n v="-3581.06"/>
    <n v="593.37"/>
    <n v="1309.6600000000001"/>
    <n v="-807.68"/>
    <n v="-5982.1800000000012"/>
    <n v="2117.34"/>
  </r>
  <r>
    <x v="6"/>
    <x v="6"/>
    <x v="0"/>
    <s v="4312107"/>
    <n v="713010"/>
    <s v="Benefits-FICA/Medicare"/>
    <s v="Physical Therapy-YMCA"/>
    <x v="0"/>
    <m/>
    <n v="1132.8900000000001"/>
    <n v="1106.5"/>
    <n v="1114.71"/>
    <n v="1098.8599999999999"/>
    <n v="1086.19"/>
    <n v="1119.28"/>
    <n v="1124.04"/>
    <n v="983.63"/>
    <n v="1261.73"/>
    <n v="1109.1199999999999"/>
    <n v="1185.8800000000001"/>
    <n v="1094.93"/>
    <n v="13417.759999999998"/>
    <n v="90.950000000000045"/>
  </r>
  <r>
    <x v="6"/>
    <x v="6"/>
    <x v="0"/>
    <s v="4312107"/>
    <n v="713090"/>
    <s v="Benefits-Allocated Amounts"/>
    <s v="Physical Therapy-YMCA"/>
    <x v="0"/>
    <m/>
    <n v="2136.0500000000002"/>
    <n v="1886.67"/>
    <n v="2042.69"/>
    <n v="2021.69"/>
    <n v="2305.08"/>
    <n v="2170.75"/>
    <n v="2191.2199999999998"/>
    <n v="1917.7"/>
    <n v="1961.26"/>
    <n v="2290.5700000000002"/>
    <n v="2281.2399999999998"/>
    <n v="2351.4299999999998"/>
    <n v="25556.35"/>
    <n v="-70.190000000000055"/>
  </r>
  <r>
    <x v="7"/>
    <x v="6"/>
    <x v="0"/>
    <s v="4312107"/>
    <n v="718050"/>
    <s v="Miscellaneous Purchased Svcs"/>
    <s v="Physical Therapy-YMCA"/>
    <x v="0"/>
    <n v="1020"/>
    <n v="400"/>
    <n v="400"/>
    <n v="800"/>
    <n v="0"/>
    <n v="800"/>
    <n v="0"/>
    <n v="800"/>
    <n v="400"/>
    <n v="0"/>
    <n v="400"/>
    <n v="400"/>
    <n v="800"/>
    <n v="5200"/>
    <n v="-400"/>
  </r>
  <r>
    <x v="7"/>
    <x v="6"/>
    <x v="0"/>
    <s v="4312107"/>
    <n v="718050"/>
    <s v="Contract Management--Linen"/>
    <s v="Physical Therapy-YMCA"/>
    <x v="0"/>
    <n v="1026"/>
    <n v="380"/>
    <n v="385"/>
    <n v="285"/>
    <n v="190"/>
    <n v="665"/>
    <n v="285"/>
    <n v="680"/>
    <n v="200"/>
    <n v="600"/>
    <n v="300"/>
    <n v="95"/>
    <n v="385"/>
    <n v="4450"/>
    <n v="-290"/>
  </r>
  <r>
    <x v="7"/>
    <x v="6"/>
    <x v="0"/>
    <s v="4312107"/>
    <n v="718060"/>
    <s v="Contract Services-CHI RRC Fees"/>
    <s v="Physical Therapy-YMCA"/>
    <x v="0"/>
    <m/>
    <n v="3139"/>
    <n v="3139"/>
    <n v="3139"/>
    <n v="3139"/>
    <n v="3139"/>
    <n v="3139"/>
    <n v="3139"/>
    <n v="3139"/>
    <n v="3139"/>
    <n v="3139"/>
    <n v="3139"/>
    <n v="3139"/>
    <n v="37668"/>
    <n v="0"/>
  </r>
  <r>
    <x v="7"/>
    <x v="6"/>
    <x v="0"/>
    <s v="4312107"/>
    <n v="718070"/>
    <s v="Contract Srvcs-CHI Clinical Engineering"/>
    <s v="Physical Therapy-YMCA"/>
    <x v="0"/>
    <m/>
    <n v="163.66999999999999"/>
    <n v="163.66"/>
    <n v="163.66"/>
    <n v="163.66"/>
    <n v="163.66"/>
    <n v="163.66"/>
    <n v="163.66"/>
    <n v="163.66"/>
    <n v="163.66"/>
    <n v="163.66"/>
    <n v="163.66"/>
    <n v="163.66"/>
    <n v="1963.9300000000003"/>
    <n v="0"/>
  </r>
  <r>
    <x v="11"/>
    <x v="6"/>
    <x v="0"/>
    <s v="4312107"/>
    <n v="721010"/>
    <s v="Supplies-Medical - Billable"/>
    <s v="Physical Therapy-YMCA"/>
    <x v="0"/>
    <m/>
    <n v="0"/>
    <n v="0"/>
    <n v="0"/>
    <n v="0"/>
    <n v="0"/>
    <n v="0"/>
    <n v="27"/>
    <n v="0"/>
    <n v="0"/>
    <n v="0"/>
    <n v="0"/>
    <n v="0"/>
    <n v="27"/>
    <n v="0"/>
  </r>
  <r>
    <x v="11"/>
    <x v="6"/>
    <x v="0"/>
    <s v="4312107"/>
    <n v="721010"/>
    <s v="Patient Monitoring"/>
    <s v="Physical Therapy-YMCA"/>
    <x v="0"/>
    <n v="1000"/>
    <n v="0"/>
    <n v="0"/>
    <n v="0"/>
    <n v="0"/>
    <n v="0"/>
    <n v="45.15"/>
    <n v="78.319999999999993"/>
    <n v="-2.42"/>
    <n v="0"/>
    <n v="406.3"/>
    <n v="-13.08"/>
    <n v="95.56"/>
    <n v="609.82999999999993"/>
    <n v="-108.64"/>
  </r>
  <r>
    <x v="11"/>
    <x v="6"/>
    <x v="0"/>
    <s v="4312107"/>
    <n v="721410"/>
    <s v="Supplies-Medical - Nonbillable"/>
    <s v="Physical Therapy-YMCA"/>
    <x v="0"/>
    <m/>
    <n v="76.13"/>
    <n v="326.77999999999997"/>
    <n v="0"/>
    <n v="62.72"/>
    <n v="0"/>
    <n v="236.52"/>
    <n v="452.95"/>
    <n v="0"/>
    <n v="349.19"/>
    <n v="0"/>
    <n v="6.86"/>
    <n v="0"/>
    <n v="1511.1499999999999"/>
    <n v="6.86"/>
  </r>
  <r>
    <x v="11"/>
    <x v="6"/>
    <x v="0"/>
    <s v="4312107"/>
    <n v="721750"/>
    <s v="Supplies-Film/Radiographic - Nonbillable"/>
    <s v="Physical Therapy-YMCA"/>
    <x v="0"/>
    <m/>
    <n v="11.24"/>
    <n v="0"/>
    <n v="11.24"/>
    <n v="0"/>
    <n v="0"/>
    <n v="11.24"/>
    <n v="0"/>
    <n v="0"/>
    <n v="0"/>
    <n v="0"/>
    <n v="0"/>
    <n v="0"/>
    <n v="33.72"/>
    <n v="0"/>
  </r>
  <r>
    <x v="11"/>
    <x v="6"/>
    <x v="0"/>
    <s v="4312107"/>
    <n v="721830"/>
    <s v="Supplies-Office"/>
    <s v="Physical Therapy-YMCA"/>
    <x v="0"/>
    <m/>
    <n v="268.93"/>
    <n v="30.32"/>
    <n v="33.799999999999997"/>
    <n v="2.5499999999999998"/>
    <n v="63.72"/>
    <n v="174.94"/>
    <n v="120.5"/>
    <n v="0"/>
    <n v="33.880000000000003"/>
    <n v="88.6"/>
    <n v="56.18"/>
    <n v="0"/>
    <n v="873.42"/>
    <n v="56.18"/>
  </r>
  <r>
    <x v="11"/>
    <x v="6"/>
    <x v="0"/>
    <s v="4312107"/>
    <n v="721835"/>
    <s v="Supplies-Forms"/>
    <s v="Physical Therapy-YMCA"/>
    <x v="0"/>
    <m/>
    <n v="0"/>
    <n v="0"/>
    <n v="0"/>
    <n v="0"/>
    <n v="8"/>
    <n v="18.93"/>
    <n v="0"/>
    <n v="0"/>
    <n v="0"/>
    <n v="0"/>
    <n v="0"/>
    <n v="0"/>
    <n v="26.93"/>
    <n v="0"/>
  </r>
  <r>
    <x v="11"/>
    <x v="6"/>
    <x v="0"/>
    <s v="4312107"/>
    <n v="721870"/>
    <s v="Supplies-Environmental Services"/>
    <s v="Physical Therapy-YMCA"/>
    <x v="0"/>
    <m/>
    <n v="0"/>
    <n v="23.64"/>
    <n v="0"/>
    <n v="73.55"/>
    <n v="0"/>
    <n v="12.9"/>
    <n v="0"/>
    <n v="0"/>
    <n v="110.59"/>
    <n v="12.77"/>
    <n v="55.99"/>
    <n v="0"/>
    <n v="289.44"/>
    <n v="55.99"/>
  </r>
  <r>
    <x v="11"/>
    <x v="6"/>
    <x v="0"/>
    <s v="4312107"/>
    <n v="721910"/>
    <s v="Supplies-Small Equipment"/>
    <s v="Physical Therapy-YMCA"/>
    <x v="0"/>
    <m/>
    <n v="0.64"/>
    <n v="0"/>
    <n v="0"/>
    <n v="198.02"/>
    <n v="24.25"/>
    <n v="0"/>
    <n v="0"/>
    <n v="8.16"/>
    <n v="0"/>
    <n v="0"/>
    <n v="11.28"/>
    <n v="0"/>
    <n v="242.35"/>
    <n v="11.28"/>
  </r>
  <r>
    <x v="11"/>
    <x v="6"/>
    <x v="0"/>
    <s v="4312107"/>
    <n v="722000"/>
    <s v="Supplies-Freight Expense"/>
    <s v="Physical Therapy-YMCA"/>
    <x v="0"/>
    <m/>
    <n v="0"/>
    <n v="0"/>
    <n v="9.69"/>
    <n v="0"/>
    <n v="0"/>
    <n v="8.44"/>
    <n v="11.69"/>
    <n v="0"/>
    <n v="0"/>
    <n v="19.02"/>
    <n v="0"/>
    <n v="0"/>
    <n v="48.84"/>
    <n v="0"/>
  </r>
  <r>
    <x v="12"/>
    <x v="6"/>
    <x v="0"/>
    <s v="4312107"/>
    <n v="730010"/>
    <s v="Rental and Leases-Building (DO NOT USE)"/>
    <s v="Physical Therapy-YMCA"/>
    <x v="0"/>
    <m/>
    <n v="2550"/>
    <n v="2550"/>
    <n v="2550"/>
    <n v="2550"/>
    <n v="2550"/>
    <n v="2550"/>
    <n v="2550"/>
    <n v="2550"/>
    <n v="2550"/>
    <n v="2550"/>
    <n v="2550"/>
    <n v="0"/>
    <n v="28050"/>
    <n v="2550"/>
  </r>
  <r>
    <x v="12"/>
    <x v="6"/>
    <x v="0"/>
    <s v="4312107"/>
    <n v="730020"/>
    <s v="Rental and Leases-Copier Usage Fees (DO NOT USE)"/>
    <s v="Physical Therapy-YMCA"/>
    <x v="0"/>
    <n v="5100"/>
    <n v="68.959999999999994"/>
    <n v="72.849999999999994"/>
    <n v="70.900000000000006"/>
    <n v="70.900000000000006"/>
    <n v="70.900000000000006"/>
    <n v="70.900000000000006"/>
    <n v="-58.91"/>
    <n v="68.040000000000006"/>
    <n v="68.3"/>
    <n v="68.040000000000006"/>
    <n v="136.09"/>
    <n v="75.28"/>
    <n v="782.25"/>
    <n v="60.81"/>
  </r>
  <r>
    <x v="12"/>
    <x v="6"/>
    <x v="0"/>
    <s v="4312107"/>
    <n v="730040"/>
    <s v="LT Lease-Real Estate"/>
    <s v="Physical Therapy-YMCA"/>
    <x v="0"/>
    <m/>
    <n v="0"/>
    <n v="0"/>
    <n v="0"/>
    <n v="0"/>
    <n v="0"/>
    <n v="0"/>
    <n v="0"/>
    <n v="0"/>
    <n v="0"/>
    <n v="0"/>
    <n v="0"/>
    <n v="2550"/>
    <n v="2550"/>
    <n v="-2550"/>
  </r>
  <r>
    <x v="15"/>
    <x v="6"/>
    <x v="0"/>
    <s v="4312107"/>
    <n v="731060"/>
    <s v="Telephone"/>
    <s v="Physical Therapy-YMCA"/>
    <x v="0"/>
    <m/>
    <n v="497.26"/>
    <n v="318.70999999999998"/>
    <n v="183.39"/>
    <n v="164.17"/>
    <n v="325.45999999999998"/>
    <n v="350.38"/>
    <n v="616.63"/>
    <n v="164.12"/>
    <n v="324.38"/>
    <n v="340.14"/>
    <n v="454.19"/>
    <n v="184.78"/>
    <n v="3923.61"/>
    <n v="269.40999999999997"/>
  </r>
  <r>
    <x v="0"/>
    <x v="6"/>
    <x v="0"/>
    <s v="4312107"/>
    <n v="740020"/>
    <s v="Education-Registration Fees"/>
    <s v="Physical Therapy-YMCA"/>
    <x v="0"/>
    <m/>
    <n v="0"/>
    <n v="0"/>
    <n v="0"/>
    <n v="0"/>
    <n v="0"/>
    <n v="0"/>
    <n v="0"/>
    <n v="0"/>
    <n v="0"/>
    <n v="290"/>
    <n v="0"/>
    <n v="0"/>
    <n v="290"/>
    <n v="0"/>
  </r>
  <r>
    <x v="0"/>
    <x v="6"/>
    <x v="0"/>
    <s v="4312107"/>
    <n v="749510"/>
    <s v="RICE Rewards"/>
    <s v="Physical Therapy-YMCA"/>
    <x v="0"/>
    <n v="5100"/>
    <n v="0"/>
    <n v="0"/>
    <n v="0"/>
    <n v="0"/>
    <n v="0"/>
    <n v="0"/>
    <n v="0"/>
    <n v="0"/>
    <n v="0"/>
    <n v="0"/>
    <n v="0"/>
    <n v="58.92"/>
    <n v="58.92"/>
    <n v="-58.92"/>
  </r>
  <r>
    <x v="19"/>
    <x v="3"/>
    <x v="0"/>
    <s v="4313101"/>
    <n v="400020"/>
    <s v="O/P Care Svcs Rev--Medicare"/>
    <s v="Physical Therapy @ Gig Harbor"/>
    <x v="0"/>
    <n v="1100"/>
    <n v="-80316.08"/>
    <n v="-75269.08"/>
    <n v="-56255.7"/>
    <n v="-68796.399999999994"/>
    <n v="-72124.800000000003"/>
    <n v="-61957.99"/>
    <n v="-58866.06"/>
    <n v="-38049.440000000002"/>
    <n v="-56699.69"/>
    <n v="-55751.31"/>
    <n v="-53217.02"/>
    <n v="-59460.07"/>
    <n v="-736763.64"/>
    <n v="6243.0500000000029"/>
  </r>
  <r>
    <x v="19"/>
    <x v="3"/>
    <x v="0"/>
    <s v="4313101"/>
    <n v="400020"/>
    <s v="O/P Care Svcs Rev--Medicaid"/>
    <s v="Physical Therapy @ Gig Harbor"/>
    <x v="0"/>
    <n v="1200"/>
    <n v="-22444.16"/>
    <n v="-21884.01"/>
    <n v="-22952.67"/>
    <n v="-16534.29"/>
    <n v="-8544.19"/>
    <n v="-16459.05"/>
    <n v="-27429.05"/>
    <n v="-15335.62"/>
    <n v="-14583.43"/>
    <n v="-23093.13"/>
    <n v="-11215.38"/>
    <n v="-8906.33"/>
    <n v="-209381.31"/>
    <n v="-2309.0499999999993"/>
  </r>
  <r>
    <x v="19"/>
    <x v="3"/>
    <x v="0"/>
    <s v="4313101"/>
    <n v="400020"/>
    <s v="O/P Care Svcs Rev--Comm Insurance"/>
    <s v="Physical Therapy @ Gig Harbor"/>
    <x v="0"/>
    <n v="1300"/>
    <n v="-4829.7700000000004"/>
    <n v="-8859.64"/>
    <n v="-5346.39"/>
    <n v="-4788.2299999999996"/>
    <n v="-6493.01"/>
    <n v="-5836.92"/>
    <n v="-3614.2"/>
    <n v="-4152.42"/>
    <n v="-4078.09"/>
    <n v="-9863.57"/>
    <n v="-6271.89"/>
    <n v="-9493.85"/>
    <n v="-73627.98"/>
    <n v="3221.96"/>
  </r>
  <r>
    <x v="19"/>
    <x v="3"/>
    <x v="0"/>
    <s v="4313101"/>
    <n v="400020"/>
    <s v="O/P Care Svcs Rev--BCBS Comm"/>
    <s v="Physical Therapy @ Gig Harbor"/>
    <x v="0"/>
    <n v="1301"/>
    <n v="-12556.06"/>
    <n v="-10080.01"/>
    <n v="-10240.879999999999"/>
    <n v="-6520.19"/>
    <n v="-5215.4399999999996"/>
    <n v="-2792.84"/>
    <n v="-7904.15"/>
    <n v="-3991.82"/>
    <n v="-7157.41"/>
    <n v="-10140.129999999999"/>
    <n v="-11175.91"/>
    <n v="-15955.87"/>
    <n v="-103730.71"/>
    <n v="4779.9600000000009"/>
  </r>
  <r>
    <x v="19"/>
    <x v="3"/>
    <x v="0"/>
    <s v="4313101"/>
    <n v="400020"/>
    <s v="O/P Care Svcs Rev--Managed Care"/>
    <s v="Physical Therapy @ Gig Harbor"/>
    <x v="0"/>
    <n v="1400"/>
    <n v="-17243.46"/>
    <n v="-26282.79"/>
    <n v="-24984.68"/>
    <n v="-28289.86"/>
    <n v="-24529.93"/>
    <n v="-24675.1"/>
    <n v="-32996.089999999997"/>
    <n v="-21654.66"/>
    <n v="-35003.21"/>
    <n v="-28980.799999999999"/>
    <n v="-35856.67"/>
    <n v="-17855.73"/>
    <n v="-318352.98"/>
    <n v="-18000.939999999999"/>
  </r>
  <r>
    <x v="19"/>
    <x v="3"/>
    <x v="0"/>
    <s v="4313101"/>
    <n v="400020"/>
    <s v="O/P Care Svcs Rev--Self Pay"/>
    <s v="Physical Therapy @ Gig Harbor"/>
    <x v="0"/>
    <n v="1500"/>
    <n v="0"/>
    <n v="0"/>
    <n v="-3718.86"/>
    <n v="3382.58"/>
    <n v="-2190.94"/>
    <n v="-856.77"/>
    <n v="445.38"/>
    <n v="-1256.3399999999999"/>
    <n v="0"/>
    <n v="371.82"/>
    <n v="0"/>
    <n v="0"/>
    <n v="-3823.1299999999997"/>
    <n v="0"/>
  </r>
  <r>
    <x v="19"/>
    <x v="3"/>
    <x v="0"/>
    <s v="4313101"/>
    <n v="400020"/>
    <s v="O/P Care Svcs Rev--Other"/>
    <s v="Physical Therapy @ Gig Harbor"/>
    <x v="0"/>
    <n v="1700"/>
    <n v="-6790.66"/>
    <n v="-2874.57"/>
    <n v="1926.58"/>
    <n v="-7780.47"/>
    <n v="-10976.27"/>
    <n v="-5761.48"/>
    <n v="-826.31"/>
    <n v="-493.79"/>
    <n v="-8710.9699999999993"/>
    <n v="-12549.04"/>
    <n v="-13303.26"/>
    <n v="-11571.72"/>
    <n v="-79711.960000000006"/>
    <n v="-1731.5400000000009"/>
  </r>
  <r>
    <x v="5"/>
    <x v="3"/>
    <x v="0"/>
    <s v="4313101"/>
    <n v="700014"/>
    <s v="Salaries-Management-Productive"/>
    <s v="Physical Therapy @ Gig Harbor"/>
    <x v="0"/>
    <m/>
    <n v="0"/>
    <n v="0"/>
    <n v="0"/>
    <n v="0"/>
    <n v="0"/>
    <n v="0"/>
    <n v="0"/>
    <n v="0"/>
    <n v="0"/>
    <n v="110.75"/>
    <n v="-46.14"/>
    <n v="0"/>
    <n v="64.61"/>
    <n v="-46.14"/>
  </r>
  <r>
    <x v="5"/>
    <x v="3"/>
    <x v="0"/>
    <s v="4313101"/>
    <n v="700032"/>
    <s v="Salaries-Other Pat Care Providers-Productive"/>
    <s v="Physical Therapy @ Gig Harbor"/>
    <x v="0"/>
    <m/>
    <n v="13310.25"/>
    <n v="10411.61"/>
    <n v="6960.89"/>
    <n v="7138.78"/>
    <n v="7989.88"/>
    <n v="6344.13"/>
    <n v="7290.15"/>
    <n v="6734.58"/>
    <n v="7954.25"/>
    <n v="6675.14"/>
    <n v="8262.48"/>
    <n v="7405.49"/>
    <n v="96477.62999999999"/>
    <n v="856.98999999999978"/>
  </r>
  <r>
    <x v="5"/>
    <x v="3"/>
    <x v="0"/>
    <s v="4313101"/>
    <n v="700032"/>
    <s v="Salaries-Other Pat Care Providers-OT"/>
    <s v="Physical Therapy @ Gig Harbor"/>
    <x v="0"/>
    <n v="1000"/>
    <n v="0"/>
    <n v="97.95"/>
    <n v="24.5"/>
    <n v="66.12"/>
    <n v="34.049999999999997"/>
    <n v="71.89"/>
    <n v="0"/>
    <n v="0"/>
    <n v="83.35"/>
    <n v="118.71"/>
    <n v="112.42"/>
    <n v="-13.89"/>
    <n v="595.1"/>
    <n v="126.31"/>
  </r>
  <r>
    <x v="5"/>
    <x v="3"/>
    <x v="0"/>
    <s v="4313101"/>
    <n v="700034"/>
    <s v="Salaries-Tech/Professional-Productive"/>
    <s v="Physical Therapy @ Gig Harbor"/>
    <x v="0"/>
    <m/>
    <n v="2681.73"/>
    <n v="5642.24"/>
    <n v="5939.3"/>
    <n v="5999.57"/>
    <n v="6119.34"/>
    <n v="5611.13"/>
    <n v="6051.19"/>
    <n v="2547.65"/>
    <n v="6711.8"/>
    <n v="6457.98"/>
    <n v="5510.38"/>
    <n v="5762.16"/>
    <n v="65034.47"/>
    <n v="-251.77999999999975"/>
  </r>
  <r>
    <x v="5"/>
    <x v="3"/>
    <x v="0"/>
    <s v="4313101"/>
    <n v="700034"/>
    <s v="Salaries-Tech/Professional-OT"/>
    <s v="Physical Therapy @ Gig Harbor"/>
    <x v="0"/>
    <n v="1000"/>
    <n v="33.799999999999997"/>
    <n v="81.52"/>
    <n v="53.7"/>
    <n v="36.79"/>
    <n v="151.12"/>
    <n v="-48.71"/>
    <n v="56.31"/>
    <n v="-1.01"/>
    <n v="73.64"/>
    <n v="241.21"/>
    <n v="-12.52"/>
    <n v="120.99"/>
    <n v="786.84"/>
    <n v="-133.51"/>
  </r>
  <r>
    <x v="5"/>
    <x v="3"/>
    <x v="0"/>
    <s v="4313101"/>
    <n v="700034"/>
    <s v="Salaries-Tech/Professional-Other"/>
    <s v="Physical Therapy @ Gig Harbor"/>
    <x v="0"/>
    <n v="2000"/>
    <n v="0"/>
    <n v="0"/>
    <n v="0"/>
    <n v="9.08"/>
    <n v="-3.99"/>
    <n v="0"/>
    <n v="0"/>
    <n v="0"/>
    <n v="0"/>
    <n v="0"/>
    <n v="0"/>
    <n v="0"/>
    <n v="5.09"/>
    <n v="0"/>
  </r>
  <r>
    <x v="5"/>
    <x v="3"/>
    <x v="0"/>
    <s v="4313101"/>
    <n v="700072"/>
    <s v="Salaries-Other Pat Care Providers-Non-productive"/>
    <s v="Physical Therapy @ Gig Harbor"/>
    <x v="0"/>
    <m/>
    <n v="482.39"/>
    <n v="203.27"/>
    <n v="638.29999999999995"/>
    <n v="1223.1300000000001"/>
    <n v="-351.41"/>
    <n v="2032.78"/>
    <n v="710.89"/>
    <n v="1679.63"/>
    <n v="147.37"/>
    <n v="1874.13"/>
    <n v="260.20999999999998"/>
    <n v="460.57"/>
    <n v="9361.2599999999984"/>
    <n v="-200.36"/>
  </r>
  <r>
    <x v="5"/>
    <x v="3"/>
    <x v="0"/>
    <s v="4313101"/>
    <n v="700072"/>
    <s v="Salaries-Other Pat Care Providers-NonProd-Other"/>
    <s v="Physical Therapy @ Gig Harbo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313101"/>
    <n v="700074"/>
    <s v="Salaries-Tech/Professional-Non-productive"/>
    <s v="Physical Therapy @ Gig Harbor"/>
    <x v="0"/>
    <m/>
    <n v="3871.02"/>
    <n v="878.98"/>
    <n v="417.63"/>
    <n v="540.89"/>
    <n v="224.03"/>
    <n v="962.45"/>
    <n v="726.75"/>
    <n v="3552.56"/>
    <n v="3.51"/>
    <n v="203.28"/>
    <n v="1341.57"/>
    <n v="463.95"/>
    <n v="13186.62"/>
    <n v="877.61999999999989"/>
  </r>
  <r>
    <x v="5"/>
    <x v="3"/>
    <x v="0"/>
    <s v="4313101"/>
    <n v="700084"/>
    <s v="Accrued PTO"/>
    <s v="Physical Therapy @ Gig Harbor"/>
    <x v="0"/>
    <m/>
    <n v="-2133.89"/>
    <n v="795.47"/>
    <n v="819.86"/>
    <n v="882.16"/>
    <n v="1707.97"/>
    <n v="-66.27"/>
    <n v="600.29999999999995"/>
    <n v="-2084.14"/>
    <n v="896.95"/>
    <n v="474.16"/>
    <n v="538.48"/>
    <n v="1288.9000000000001"/>
    <n v="3719.9500000000007"/>
    <n v="-750.42000000000007"/>
  </r>
  <r>
    <x v="6"/>
    <x v="3"/>
    <x v="0"/>
    <s v="4313101"/>
    <n v="713010"/>
    <s v="Benefits-FICA/Medicare"/>
    <s v="Physical Therapy @ Gig Harbor"/>
    <x v="0"/>
    <m/>
    <n v="1518.8"/>
    <n v="1288.27"/>
    <n v="1034.76"/>
    <n v="1107.95"/>
    <n v="1056.6400000000001"/>
    <n v="1163.69"/>
    <n v="1092.6400000000001"/>
    <n v="1072.06"/>
    <n v="1103.3599999999999"/>
    <n v="1157.79"/>
    <n v="1136.3800000000001"/>
    <n v="1105.02"/>
    <n v="13837.36"/>
    <n v="31.360000000000127"/>
  </r>
  <r>
    <x v="6"/>
    <x v="3"/>
    <x v="0"/>
    <s v="4313101"/>
    <n v="713090"/>
    <s v="Benefits-Allocated Amounts"/>
    <s v="Physical Therapy @ Gig Harbor"/>
    <x v="0"/>
    <m/>
    <n v="3795.25"/>
    <n v="3204.8"/>
    <n v="2964.08"/>
    <n v="2994.77"/>
    <n v="2935.51"/>
    <n v="2960.08"/>
    <n v="2941.26"/>
    <n v="3112.54"/>
    <n v="2511.92"/>
    <n v="3106.75"/>
    <n v="3275.05"/>
    <n v="2913.68"/>
    <n v="36715.69"/>
    <n v="361.37000000000035"/>
  </r>
  <r>
    <x v="7"/>
    <x v="3"/>
    <x v="0"/>
    <s v="4313101"/>
    <n v="718050"/>
    <s v="Miscellaneous Purchased Svcs"/>
    <s v="Physical Therapy @ Gig Harbor"/>
    <x v="0"/>
    <n v="1020"/>
    <n v="79"/>
    <n v="316"/>
    <n v="197.5"/>
    <n v="158"/>
    <n v="197.5"/>
    <n v="158"/>
    <n v="197.5"/>
    <n v="118.5"/>
    <n v="237"/>
    <n v="79"/>
    <n v="79"/>
    <n v="333.2"/>
    <n v="2150.1999999999998"/>
    <n v="-254.2"/>
  </r>
  <r>
    <x v="11"/>
    <x v="3"/>
    <x v="0"/>
    <s v="4313101"/>
    <n v="721010"/>
    <s v="Supplies-Medical - Billable"/>
    <s v="Physical Therapy @ Gig Harbor"/>
    <x v="0"/>
    <m/>
    <n v="17.809999999999999"/>
    <n v="-0.83"/>
    <n v="0"/>
    <n v="33.950000000000003"/>
    <n v="0"/>
    <n v="0"/>
    <n v="0"/>
    <n v="0"/>
    <n v="0"/>
    <n v="0"/>
    <n v="0"/>
    <n v="0"/>
    <n v="50.930000000000007"/>
    <n v="0"/>
  </r>
  <r>
    <x v="11"/>
    <x v="3"/>
    <x v="0"/>
    <s v="4313101"/>
    <n v="721020"/>
    <s v="Supplies-Surgical - Billable"/>
    <s v="Physical Therapy @ Gig Harbor"/>
    <x v="0"/>
    <m/>
    <n v="143.88"/>
    <n v="0"/>
    <n v="139.5"/>
    <n v="0"/>
    <n v="0"/>
    <n v="0"/>
    <n v="0"/>
    <n v="0"/>
    <n v="0"/>
    <n v="0"/>
    <n v="46.96"/>
    <n v="0"/>
    <n v="330.34"/>
    <n v="46.96"/>
  </r>
  <r>
    <x v="11"/>
    <x v="3"/>
    <x v="0"/>
    <s v="4313101"/>
    <n v="721410"/>
    <s v="Supplies-Medical - Nonbillable"/>
    <s v="Physical Therapy @ Gig Harbor"/>
    <x v="0"/>
    <m/>
    <n v="211.12"/>
    <n v="-10.6"/>
    <n v="74.75"/>
    <n v="48.79"/>
    <n v="131.41999999999999"/>
    <n v="125.14"/>
    <n v="36.26"/>
    <n v="136.88999999999999"/>
    <n v="83.94"/>
    <n v="34.909999999999997"/>
    <n v="77.650000000000006"/>
    <n v="0"/>
    <n v="950.27"/>
    <n v="77.650000000000006"/>
  </r>
  <r>
    <x v="11"/>
    <x v="3"/>
    <x v="0"/>
    <s v="4313101"/>
    <n v="721750"/>
    <s v="Supplies-Film/Radiographic - Nonbillable"/>
    <s v="Physical Therapy @ Gig Harbor"/>
    <x v="0"/>
    <m/>
    <n v="0"/>
    <n v="0"/>
    <n v="0"/>
    <n v="0"/>
    <n v="0"/>
    <n v="0"/>
    <n v="0"/>
    <n v="19.7"/>
    <n v="0"/>
    <n v="0"/>
    <n v="0"/>
    <n v="0"/>
    <n v="19.7"/>
    <n v="0"/>
  </r>
  <r>
    <x v="11"/>
    <x v="3"/>
    <x v="0"/>
    <s v="4313101"/>
    <n v="721830"/>
    <s v="Supplies-Office"/>
    <s v="Physical Therapy @ Gig Harbor"/>
    <x v="0"/>
    <m/>
    <n v="0"/>
    <n v="0"/>
    <n v="0"/>
    <n v="0"/>
    <n v="0"/>
    <n v="0"/>
    <n v="40.18"/>
    <n v="0"/>
    <n v="8.39"/>
    <n v="0"/>
    <n v="0"/>
    <n v="0"/>
    <n v="48.57"/>
    <n v="0"/>
  </r>
  <r>
    <x v="11"/>
    <x v="3"/>
    <x v="0"/>
    <s v="4313101"/>
    <n v="721870"/>
    <s v="Supplies-Environmental Services"/>
    <s v="Physical Therapy @ Gig Harbor"/>
    <x v="0"/>
    <m/>
    <n v="2.36"/>
    <n v="0"/>
    <n v="7.32"/>
    <n v="0"/>
    <n v="0"/>
    <n v="0"/>
    <n v="3.54"/>
    <n v="0"/>
    <n v="0"/>
    <n v="16.84"/>
    <n v="0"/>
    <n v="0"/>
    <n v="30.06"/>
    <n v="0"/>
  </r>
  <r>
    <x v="11"/>
    <x v="3"/>
    <x v="0"/>
    <s v="4313101"/>
    <n v="721980"/>
    <s v="Supplies-Other"/>
    <s v="Physical Therapy @ Gig Harbor"/>
    <x v="0"/>
    <m/>
    <n v="0"/>
    <n v="0"/>
    <n v="0"/>
    <n v="1194.5899999999999"/>
    <n v="0"/>
    <n v="0"/>
    <n v="0"/>
    <n v="0"/>
    <n v="0"/>
    <n v="0"/>
    <n v="0"/>
    <n v="0"/>
    <n v="1194.5899999999999"/>
    <n v="0"/>
  </r>
  <r>
    <x v="11"/>
    <x v="3"/>
    <x v="0"/>
    <s v="4313101"/>
    <n v="722000"/>
    <s v="Supplies-Freight Expense"/>
    <s v="Physical Therapy @ Gig Harbor"/>
    <x v="0"/>
    <m/>
    <n v="0"/>
    <n v="11.43"/>
    <n v="0"/>
    <n v="18.91"/>
    <n v="0"/>
    <n v="0"/>
    <n v="0"/>
    <n v="0"/>
    <n v="0"/>
    <n v="0"/>
    <n v="0"/>
    <n v="0"/>
    <n v="30.34"/>
    <n v="0"/>
  </r>
  <r>
    <x v="12"/>
    <x v="3"/>
    <x v="0"/>
    <s v="4313101"/>
    <n v="730010"/>
    <s v="Rental and Leases-Building (DO NOT USE)"/>
    <s v="Physical Therapy @ Gig Harbor"/>
    <x v="0"/>
    <m/>
    <n v="1311.33"/>
    <n v="1312.02"/>
    <n v="1331.83"/>
    <n v="1331.83"/>
    <n v="1331.83"/>
    <n v="233.16"/>
    <n v="840.5"/>
    <n v="840.5"/>
    <n v="840.5"/>
    <n v="-1009.5"/>
    <n v="840.5"/>
    <n v="0"/>
    <n v="9204.5"/>
    <n v="840.5"/>
  </r>
  <r>
    <x v="12"/>
    <x v="3"/>
    <x v="0"/>
    <s v="4313101"/>
    <n v="730010"/>
    <s v="Rental-Common Area Maint (DO NOT USE)"/>
    <s v="Physical Therapy @ Gig Harbor"/>
    <x v="0"/>
    <n v="2200"/>
    <n v="0"/>
    <n v="0"/>
    <n v="0"/>
    <n v="0"/>
    <n v="0"/>
    <n v="1103.6500000000001"/>
    <n v="496.31"/>
    <n v="496.31"/>
    <n v="679.99"/>
    <n v="2004.31"/>
    <n v="496.31"/>
    <n v="370"/>
    <n v="5646.88"/>
    <n v="126.31"/>
  </r>
  <r>
    <x v="12"/>
    <x v="3"/>
    <x v="0"/>
    <s v="4313101"/>
    <n v="730020"/>
    <s v="Rental and Leases-Copier Usage Fees (DO NOT USE)"/>
    <s v="Physical Therapy @ Gig Harbor"/>
    <x v="0"/>
    <n v="5100"/>
    <n v="5.77"/>
    <n v="5.18"/>
    <n v="5.48"/>
    <n v="5.48"/>
    <n v="5.48"/>
    <n v="5.48"/>
    <n v="79.05"/>
    <n v="11.05"/>
    <n v="11.55"/>
    <n v="11.52"/>
    <n v="11.05"/>
    <n v="11.05"/>
    <n v="168.14000000000004"/>
    <n v="0"/>
  </r>
  <r>
    <x v="12"/>
    <x v="3"/>
    <x v="0"/>
    <s v="4313101"/>
    <n v="730040"/>
    <s v="LT Lease-Real Estate"/>
    <s v="Physical Therapy @ Gig Harbor"/>
    <x v="0"/>
    <m/>
    <n v="0"/>
    <n v="0"/>
    <n v="0"/>
    <n v="0"/>
    <n v="0"/>
    <n v="0"/>
    <n v="0"/>
    <n v="0"/>
    <n v="0"/>
    <n v="0"/>
    <n v="0"/>
    <n v="966.81"/>
    <n v="966.81"/>
    <n v="-966.81"/>
  </r>
  <r>
    <x v="16"/>
    <x v="3"/>
    <x v="0"/>
    <s v="4313101"/>
    <n v="732030"/>
    <s v="Repairs---Other"/>
    <s v="Physical Therapy @ Gig Harbor"/>
    <x v="0"/>
    <m/>
    <n v="0"/>
    <n v="236.58"/>
    <n v="0"/>
    <n v="0"/>
    <n v="0"/>
    <n v="0"/>
    <n v="0"/>
    <n v="0"/>
    <n v="0"/>
    <n v="0"/>
    <n v="0"/>
    <n v="-15.73"/>
    <n v="220.85000000000002"/>
    <n v="15.73"/>
  </r>
  <r>
    <x v="0"/>
    <x v="3"/>
    <x v="0"/>
    <s v="4313101"/>
    <n v="740020"/>
    <s v="Education-Registration Fees"/>
    <s v="Physical Therapy @ Gig Harbor"/>
    <x v="0"/>
    <m/>
    <n v="0"/>
    <n v="0"/>
    <n v="0"/>
    <n v="0"/>
    <n v="0"/>
    <n v="595"/>
    <n v="108.5"/>
    <n v="0"/>
    <n v="0"/>
    <n v="615"/>
    <n v="467.77"/>
    <n v="0"/>
    <n v="1786.27"/>
    <n v="467.77"/>
  </r>
  <r>
    <x v="0"/>
    <x v="3"/>
    <x v="0"/>
    <s v="4313101"/>
    <n v="742040"/>
    <s v="Freight-Other"/>
    <s v="Physical Therapy @ Gig Harbor"/>
    <x v="0"/>
    <m/>
    <n v="0"/>
    <n v="0"/>
    <n v="0"/>
    <n v="0"/>
    <n v="0"/>
    <n v="0"/>
    <n v="0"/>
    <n v="0"/>
    <n v="0"/>
    <n v="0"/>
    <n v="0"/>
    <n v="15.73"/>
    <n v="15.73"/>
    <n v="-15.73"/>
  </r>
  <r>
    <x v="0"/>
    <x v="3"/>
    <x v="0"/>
    <s v="4313101"/>
    <n v="749510"/>
    <s v="Miscellaneous Expenses"/>
    <s v="Physical Therapy @ Gig Harbor"/>
    <x v="0"/>
    <m/>
    <n v="0"/>
    <n v="-43.45"/>
    <n v="0"/>
    <n v="-1"/>
    <n v="0"/>
    <n v="0"/>
    <n v="0"/>
    <n v="0"/>
    <n v="0"/>
    <n v="0"/>
    <n v="0"/>
    <n v="0"/>
    <n v="-44.45"/>
    <n v="0"/>
  </r>
  <r>
    <x v="0"/>
    <x v="3"/>
    <x v="0"/>
    <s v="4313101"/>
    <n v="749510"/>
    <s v="RICE Rewards"/>
    <s v="Physical Therapy @ Gig Harbor"/>
    <x v="0"/>
    <n v="5100"/>
    <n v="0"/>
    <n v="0"/>
    <n v="0"/>
    <n v="0"/>
    <n v="0"/>
    <n v="0"/>
    <n v="0"/>
    <n v="0"/>
    <n v="0"/>
    <n v="0"/>
    <n v="65.66"/>
    <n v="34.24"/>
    <n v="99.9"/>
    <n v="31.419999999999995"/>
  </r>
  <r>
    <x v="19"/>
    <x v="3"/>
    <x v="0"/>
    <s v="4314101"/>
    <n v="400020"/>
    <s v="O/P Care Svcs Rev--Medicare"/>
    <s v="Physical Therapy@Port Orchard"/>
    <x v="0"/>
    <n v="1100"/>
    <n v="0"/>
    <n v="0"/>
    <n v="-402.67"/>
    <n v="-3265.42"/>
    <n v="0"/>
    <n v="460.55"/>
    <n v="0"/>
    <n v="0"/>
    <n v="0"/>
    <n v="0"/>
    <n v="0"/>
    <n v="0"/>
    <n v="-3207.54"/>
    <n v="0"/>
  </r>
  <r>
    <x v="19"/>
    <x v="3"/>
    <x v="0"/>
    <s v="4314101"/>
    <n v="400020"/>
    <s v="O/P Care Svcs Rev--Medicaid"/>
    <s v="Physical Therapy@Port Orchard"/>
    <x v="0"/>
    <n v="1200"/>
    <n v="0"/>
    <n v="0"/>
    <n v="402.67"/>
    <n v="3265.42"/>
    <n v="0"/>
    <n v="-1350.56"/>
    <n v="0"/>
    <n v="0"/>
    <n v="-889.84"/>
    <n v="0"/>
    <n v="0"/>
    <n v="0"/>
    <n v="1427.69"/>
    <n v="0"/>
  </r>
  <r>
    <x v="19"/>
    <x v="3"/>
    <x v="0"/>
    <s v="4314101"/>
    <n v="400020"/>
    <s v="O/P Care Svcs Rev--Comm Insurance"/>
    <s v="Physical Therapy@Port Orchard"/>
    <x v="0"/>
    <n v="1300"/>
    <n v="0"/>
    <n v="0"/>
    <n v="0"/>
    <n v="0"/>
    <n v="0"/>
    <n v="1350.56"/>
    <n v="0"/>
    <n v="0"/>
    <n v="0"/>
    <n v="0"/>
    <n v="0"/>
    <n v="0"/>
    <n v="1350.56"/>
    <n v="0"/>
  </r>
  <r>
    <x v="19"/>
    <x v="3"/>
    <x v="0"/>
    <s v="4314101"/>
    <n v="400020"/>
    <s v="O/P Care Svcs Rev--BCBS Comm"/>
    <s v="Physical Therapy@Port Orchard"/>
    <x v="0"/>
    <n v="1301"/>
    <n v="0"/>
    <n v="0"/>
    <n v="0"/>
    <n v="0"/>
    <n v="0"/>
    <n v="0"/>
    <n v="0"/>
    <n v="0"/>
    <n v="889.84"/>
    <n v="0"/>
    <n v="0"/>
    <n v="0"/>
    <n v="889.84"/>
    <n v="0"/>
  </r>
  <r>
    <x v="19"/>
    <x v="3"/>
    <x v="0"/>
    <s v="4314101"/>
    <n v="400020"/>
    <s v="O/P Care Svcs Rev--Other"/>
    <s v="Physical Therapy@Port Orchard"/>
    <x v="0"/>
    <n v="1700"/>
    <n v="0"/>
    <n v="0"/>
    <n v="0"/>
    <n v="0"/>
    <n v="0"/>
    <n v="-460.55"/>
    <n v="0"/>
    <n v="0"/>
    <n v="0"/>
    <n v="0"/>
    <n v="0"/>
    <n v="0"/>
    <n v="-460.55"/>
    <n v="0"/>
  </r>
  <r>
    <x v="5"/>
    <x v="3"/>
    <x v="0"/>
    <s v="4314101"/>
    <n v="700032"/>
    <s v="Salaries-Other Pat Care Providers-Productive"/>
    <s v="Physical Therapy@Port Orchard"/>
    <x v="0"/>
    <m/>
    <n v="0"/>
    <n v="164.56"/>
    <n v="486.75"/>
    <n v="-176.99"/>
    <n v="0"/>
    <n v="0"/>
    <n v="-318.07"/>
    <n v="0"/>
    <n v="0"/>
    <n v="0"/>
    <n v="0"/>
    <n v="0"/>
    <n v="156.24999999999994"/>
    <n v="0"/>
  </r>
  <r>
    <x v="6"/>
    <x v="3"/>
    <x v="0"/>
    <s v="4314101"/>
    <n v="713010"/>
    <s v="Benefits-FICA/Medicare"/>
    <s v="Physical Therapy@Port Orchard"/>
    <x v="0"/>
    <m/>
    <n v="0"/>
    <n v="12.59"/>
    <n v="37.22"/>
    <n v="-13.53"/>
    <n v="0"/>
    <n v="0"/>
    <n v="-24.29"/>
    <n v="0"/>
    <n v="0"/>
    <n v="0"/>
    <n v="0"/>
    <n v="0"/>
    <n v="11.990000000000002"/>
    <n v="0"/>
  </r>
  <r>
    <x v="6"/>
    <x v="3"/>
    <x v="0"/>
    <s v="4314101"/>
    <n v="713090"/>
    <s v="Benefits-Allocated Amounts"/>
    <s v="Physical Therapy@Port Orchard"/>
    <x v="0"/>
    <m/>
    <n v="0"/>
    <n v="17.03"/>
    <n v="85.47"/>
    <n v="35.04"/>
    <n v="34.39"/>
    <n v="-171.93"/>
    <n v="0"/>
    <n v="0"/>
    <n v="0"/>
    <n v="0"/>
    <n v="0"/>
    <n v="0"/>
    <n v="0"/>
    <n v="0"/>
  </r>
  <r>
    <x v="12"/>
    <x v="3"/>
    <x v="0"/>
    <s v="4314101"/>
    <n v="730020"/>
    <s v="Rental and Leases-Copier Usage Fees (DO NOT USE)"/>
    <s v="Physical Therapy@Port Orchard"/>
    <x v="0"/>
    <n v="5100"/>
    <n v="36.47"/>
    <n v="-36.47"/>
    <n v="0"/>
    <n v="0"/>
    <n v="0"/>
    <n v="0"/>
    <n v="0"/>
    <n v="0"/>
    <n v="0"/>
    <n v="0"/>
    <n v="0"/>
    <n v="0"/>
    <n v="0"/>
    <n v="0"/>
  </r>
  <r>
    <x v="13"/>
    <x v="3"/>
    <x v="0"/>
    <s v="4314101"/>
    <n v="735070"/>
    <s v="Depreciation-Movable Equipment"/>
    <s v="Physical Therapy@Port Orchard"/>
    <x v="0"/>
    <m/>
    <n v="0"/>
    <n v="102.81"/>
    <n v="102.81"/>
    <n v="102.81"/>
    <n v="102.82"/>
    <n v="102.81"/>
    <n v="102.82"/>
    <n v="102.81"/>
    <n v="102.82"/>
    <n v="102.81"/>
    <n v="102.82"/>
    <n v="102.81"/>
    <n v="1130.9499999999996"/>
    <n v="9.9999999999909051E-3"/>
  </r>
  <r>
    <x v="0"/>
    <x v="3"/>
    <x v="0"/>
    <s v="4314101"/>
    <n v="749510"/>
    <s v="Miscellaneous Expenses"/>
    <s v="Physical Therapy@Port Orchard"/>
    <x v="0"/>
    <m/>
    <n v="0"/>
    <n v="0"/>
    <n v="0"/>
    <n v="-1"/>
    <n v="0"/>
    <n v="0"/>
    <n v="0"/>
    <n v="0"/>
    <n v="0"/>
    <n v="0"/>
    <n v="0"/>
    <n v="0"/>
    <n v="-1"/>
    <n v="0"/>
  </r>
  <r>
    <x v="18"/>
    <x v="6"/>
    <x v="0"/>
    <s v="4314107"/>
    <n v="400010"/>
    <s v="Acute I/P Svcs Rev--Medicaid"/>
    <s v="Ped PT-Silverdale"/>
    <x v="0"/>
    <n v="1200"/>
    <n v="0"/>
    <n v="0"/>
    <n v="0"/>
    <n v="0"/>
    <n v="0"/>
    <n v="0"/>
    <n v="0"/>
    <n v="-346.35"/>
    <n v="0"/>
    <n v="0"/>
    <n v="0"/>
    <n v="0"/>
    <n v="-346.35"/>
    <n v="0"/>
  </r>
  <r>
    <x v="19"/>
    <x v="6"/>
    <x v="0"/>
    <s v="4314107"/>
    <n v="400020"/>
    <s v="O/P Care Svcs Rev--Medicare"/>
    <s v="Ped PT-Silverdale"/>
    <x v="0"/>
    <n v="1100"/>
    <n v="0"/>
    <n v="0"/>
    <n v="0"/>
    <n v="0"/>
    <n v="0"/>
    <n v="0"/>
    <n v="0"/>
    <n v="0"/>
    <n v="0"/>
    <n v="0"/>
    <n v="0"/>
    <n v="0"/>
    <n v="0"/>
    <n v="0"/>
  </r>
  <r>
    <x v="19"/>
    <x v="6"/>
    <x v="0"/>
    <s v="4314107"/>
    <n v="400020"/>
    <s v="O/P Care Svcs Rev--Medicaid"/>
    <s v="Ped PT-Silverdale"/>
    <x v="0"/>
    <n v="1200"/>
    <n v="-44261"/>
    <n v="-31257.14"/>
    <n v="-38024.19"/>
    <n v="-45768.84"/>
    <n v="-41635.089999999997"/>
    <n v="-37610.89"/>
    <n v="-58228.97"/>
    <n v="-34081.550000000003"/>
    <n v="-59733.31"/>
    <n v="-60370.82"/>
    <n v="-54332.57"/>
    <n v="-52223.46"/>
    <n v="-557527.82999999996"/>
    <n v="-2109.1100000000006"/>
  </r>
  <r>
    <x v="19"/>
    <x v="6"/>
    <x v="0"/>
    <s v="4314107"/>
    <n v="400020"/>
    <s v="O/P Care Svcs Rev--Comm Insurance"/>
    <s v="Ped PT-Silverdale"/>
    <x v="0"/>
    <n v="1300"/>
    <n v="0"/>
    <n v="0"/>
    <n v="0"/>
    <n v="0"/>
    <n v="0"/>
    <n v="0"/>
    <n v="0"/>
    <n v="0"/>
    <n v="-1107.2"/>
    <n v="-3842.71"/>
    <n v="1560.16"/>
    <n v="0"/>
    <n v="-3389.75"/>
    <n v="1560.16"/>
  </r>
  <r>
    <x v="19"/>
    <x v="6"/>
    <x v="0"/>
    <s v="4314107"/>
    <n v="400020"/>
    <s v="O/P Care Svcs Rev--BCBS Comm"/>
    <s v="Ped PT-Silverdale"/>
    <x v="0"/>
    <n v="1301"/>
    <n v="-8913.26"/>
    <n v="-8563.34"/>
    <n v="-9595.66"/>
    <n v="-16397.919999999998"/>
    <n v="-13239.4"/>
    <n v="-12688.76"/>
    <n v="-17796"/>
    <n v="-6937.39"/>
    <n v="-11071.62"/>
    <n v="-11036.89"/>
    <n v="-16918.18"/>
    <n v="-9641.0400000000009"/>
    <n v="-142799.46"/>
    <n v="-7277.1399999999994"/>
  </r>
  <r>
    <x v="19"/>
    <x v="6"/>
    <x v="0"/>
    <s v="4314107"/>
    <n v="400020"/>
    <s v="O/P Care Svcs Rev--Managed Care"/>
    <s v="Ped PT-Silverdale"/>
    <x v="0"/>
    <n v="1400"/>
    <n v="-6365.44"/>
    <n v="-2807.06"/>
    <n v="-3498.32"/>
    <n v="-6982.3"/>
    <n v="-4506.84"/>
    <n v="-4726.7"/>
    <n v="-7559.25"/>
    <n v="-5862.93"/>
    <n v="-6794.84"/>
    <n v="-6636.6"/>
    <n v="-5875.75"/>
    <n v="-3098.23"/>
    <n v="-64714.260000000009"/>
    <n v="-2777.52"/>
  </r>
  <r>
    <x v="19"/>
    <x v="6"/>
    <x v="0"/>
    <s v="4314107"/>
    <n v="400020"/>
    <s v="O/P Care Svcs Rev--Self Pay"/>
    <s v="Ped PT-Silverdale"/>
    <x v="0"/>
    <n v="1500"/>
    <n v="-631.74"/>
    <n v="-886.44"/>
    <n v="-295.48"/>
    <n v="-1034.18"/>
    <n v="-1772.88"/>
    <n v="0"/>
    <n v="0"/>
    <n v="0"/>
    <n v="0"/>
    <n v="0"/>
    <n v="-456.51"/>
    <n v="456.51"/>
    <n v="-4620.72"/>
    <n v="-913.02"/>
  </r>
  <r>
    <x v="19"/>
    <x v="6"/>
    <x v="0"/>
    <s v="4314107"/>
    <n v="400020"/>
    <s v="O/P Care Svcs Rev--Other"/>
    <s v="Ped PT-Silverdale"/>
    <x v="0"/>
    <n v="1700"/>
    <n v="-30890.959999999999"/>
    <n v="-20687.38"/>
    <n v="-19383.82"/>
    <n v="-31029.34"/>
    <n v="-18390.580000000002"/>
    <n v="-19331.61"/>
    <n v="-20730.45"/>
    <n v="-10815.82"/>
    <n v="-22693.759999999998"/>
    <n v="-25190.27"/>
    <n v="-23075.64"/>
    <n v="-19087.689999999999"/>
    <n v="-261307.32"/>
    <n v="-3987.9500000000007"/>
  </r>
  <r>
    <x v="20"/>
    <x v="6"/>
    <x v="0"/>
    <s v="4314107"/>
    <n v="610010"/>
    <s v="Foundation Distributions"/>
    <s v="Ped PT-Silverdale"/>
    <x v="0"/>
    <n v="1175"/>
    <n v="-4130.75"/>
    <n v="0"/>
    <n v="0"/>
    <n v="0"/>
    <n v="0"/>
    <n v="0"/>
    <n v="-2299.67"/>
    <n v="0"/>
    <n v="0"/>
    <n v="0"/>
    <n v="0"/>
    <n v="0"/>
    <n v="-6430.42"/>
    <n v="0"/>
  </r>
  <r>
    <x v="5"/>
    <x v="6"/>
    <x v="0"/>
    <s v="4314107"/>
    <n v="700032"/>
    <s v="Salaries-Other Pat Care Providers-Productive"/>
    <s v="Ped PT-Silverdale"/>
    <x v="0"/>
    <m/>
    <n v="12046.88"/>
    <n v="7429.05"/>
    <n v="11868.82"/>
    <n v="13509.86"/>
    <n v="13423.46"/>
    <n v="8027.78"/>
    <n v="13506.69"/>
    <n v="7601.2"/>
    <n v="14110.32"/>
    <n v="12517.39"/>
    <n v="13208.25"/>
    <n v="13234.3"/>
    <n v="140484"/>
    <n v="-26.049999999999272"/>
  </r>
  <r>
    <x v="5"/>
    <x v="6"/>
    <x v="0"/>
    <s v="4314107"/>
    <n v="700032"/>
    <s v="Salaries-Other Pat Care Providers-OT"/>
    <s v="Ped PT-Silverdale"/>
    <x v="0"/>
    <n v="1000"/>
    <n v="46.01"/>
    <n v="48.17"/>
    <n v="-15.9"/>
    <n v="-66.260000000000005"/>
    <n v="47.71"/>
    <n v="146.81"/>
    <n v="13.98"/>
    <n v="62.38"/>
    <n v="-13.26"/>
    <n v="0"/>
    <n v="0"/>
    <n v="0"/>
    <n v="269.64"/>
    <n v="0"/>
  </r>
  <r>
    <x v="5"/>
    <x v="6"/>
    <x v="0"/>
    <s v="4314107"/>
    <n v="700032"/>
    <s v="Salaries-Other Pat Care Providers-Other"/>
    <s v="Ped PT-Silverdale"/>
    <x v="0"/>
    <n v="2000"/>
    <n v="-1.26"/>
    <n v="0.22"/>
    <n v="0"/>
    <n v="0"/>
    <n v="0"/>
    <n v="0"/>
    <n v="0"/>
    <n v="0"/>
    <n v="5.56"/>
    <n v="0"/>
    <n v="0"/>
    <n v="0"/>
    <n v="4.5199999999999996"/>
    <n v="0"/>
  </r>
  <r>
    <x v="5"/>
    <x v="6"/>
    <x v="0"/>
    <s v="4314107"/>
    <n v="700072"/>
    <s v="Salaries-Other Pat Care Providers-Non-productive"/>
    <s v="Ped PT-Silverdale"/>
    <x v="0"/>
    <m/>
    <n v="1696.7"/>
    <n v="1882.84"/>
    <n v="1447.4"/>
    <n v="1265.8599999999999"/>
    <n v="1372.72"/>
    <n v="4594.46"/>
    <n v="1558.31"/>
    <n v="2129.88"/>
    <n v="83.39"/>
    <n v="1516.92"/>
    <n v="1725.67"/>
    <n v="1319.64"/>
    <n v="20593.789999999994"/>
    <n v="406.03"/>
  </r>
  <r>
    <x v="5"/>
    <x v="6"/>
    <x v="0"/>
    <s v="4314107"/>
    <n v="700072"/>
    <s v="Salaries-Other Pat Care Providers-NonProd-Other"/>
    <s v="Ped PT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14107"/>
    <n v="700084"/>
    <s v="Accrued PTO"/>
    <s v="Ped PT-Silverdale"/>
    <x v="0"/>
    <m/>
    <n v="59.2"/>
    <n v="-454.43"/>
    <n v="-454.12"/>
    <n v="748.36"/>
    <n v="486.42"/>
    <n v="-1069.01"/>
    <n v="-326.36"/>
    <n v="-509.01"/>
    <n v="920.89"/>
    <n v="1147.78"/>
    <n v="885.08"/>
    <n v="472.86"/>
    <n v="1907.6600000000003"/>
    <n v="412.22"/>
  </r>
  <r>
    <x v="6"/>
    <x v="6"/>
    <x v="0"/>
    <s v="4314107"/>
    <n v="713010"/>
    <s v="Benefits-FICA/Medicare"/>
    <s v="Ped PT-Silverdale"/>
    <x v="0"/>
    <m/>
    <n v="1054.78"/>
    <n v="716.06"/>
    <n v="1017.47"/>
    <n v="1125.3"/>
    <n v="1135.58"/>
    <n v="976.82"/>
    <n v="1151.73"/>
    <n v="748.1"/>
    <n v="1083.6600000000001"/>
    <n v="1072.04"/>
    <n v="1140.78"/>
    <n v="1111.75"/>
    <n v="12334.070000000002"/>
    <n v="29.029999999999973"/>
  </r>
  <r>
    <x v="6"/>
    <x v="6"/>
    <x v="0"/>
    <s v="4314107"/>
    <n v="713090"/>
    <s v="Benefits-Allocated Amounts"/>
    <s v="Ped PT-Silverdale"/>
    <x v="0"/>
    <m/>
    <n v="1901.7"/>
    <n v="1129.24"/>
    <n v="1820.22"/>
    <n v="2034.09"/>
    <n v="2258.98"/>
    <n v="1765.78"/>
    <n v="2156.5100000000002"/>
    <n v="1503.35"/>
    <n v="1573.91"/>
    <n v="2204.3000000000002"/>
    <n v="2144.83"/>
    <n v="2459.87"/>
    <n v="22952.780000000002"/>
    <n v="-315.03999999999996"/>
  </r>
  <r>
    <x v="7"/>
    <x v="6"/>
    <x v="0"/>
    <s v="4314107"/>
    <n v="718050"/>
    <s v="Miscellaneous Purchased Svcs"/>
    <s v="Ped PT-Silverdale"/>
    <x v="0"/>
    <n v="1020"/>
    <n v="38.15"/>
    <n v="0"/>
    <n v="0"/>
    <n v="0"/>
    <n v="0"/>
    <n v="0"/>
    <n v="0"/>
    <n v="0"/>
    <n v="0"/>
    <n v="168.95"/>
    <n v="0"/>
    <n v="0"/>
    <n v="207.1"/>
    <n v="0"/>
  </r>
  <r>
    <x v="7"/>
    <x v="6"/>
    <x v="0"/>
    <s v="4314107"/>
    <n v="718050"/>
    <s v="Contract Management--Linen"/>
    <s v="Ped PT-Silverdale"/>
    <x v="0"/>
    <n v="1026"/>
    <n v="94.74"/>
    <n v="113.92"/>
    <n v="84.51"/>
    <n v="91.45"/>
    <n v="19.170000000000002"/>
    <n v="56.37"/>
    <n v="68.87"/>
    <n v="41.16"/>
    <n v="51.78"/>
    <n v="70.83"/>
    <n v="51.61"/>
    <n v="61.41"/>
    <n v="805.81999999999994"/>
    <n v="-9.7999999999999972"/>
  </r>
  <r>
    <x v="7"/>
    <x v="6"/>
    <x v="0"/>
    <s v="4314107"/>
    <n v="718060"/>
    <s v="Contract Services-CHI RRC Fees"/>
    <s v="Ped PT-Silverdale"/>
    <x v="0"/>
    <m/>
    <n v="3531"/>
    <n v="3531"/>
    <n v="3531"/>
    <n v="3531"/>
    <n v="3531"/>
    <n v="3531"/>
    <n v="3531"/>
    <n v="3531"/>
    <n v="3531"/>
    <n v="3531"/>
    <n v="3531"/>
    <n v="3531"/>
    <n v="42372"/>
    <n v="0"/>
  </r>
  <r>
    <x v="11"/>
    <x v="6"/>
    <x v="0"/>
    <s v="4314107"/>
    <n v="721010"/>
    <s v="Supplies-Medical - Billable"/>
    <s v="Ped PT-Silverdale"/>
    <x v="0"/>
    <m/>
    <n v="5.01"/>
    <n v="0"/>
    <n v="5.01"/>
    <n v="0"/>
    <n v="0"/>
    <n v="0"/>
    <n v="0"/>
    <n v="0"/>
    <n v="0"/>
    <n v="0"/>
    <n v="0"/>
    <n v="0"/>
    <n v="10.02"/>
    <n v="0"/>
  </r>
  <r>
    <x v="11"/>
    <x v="6"/>
    <x v="0"/>
    <s v="4314107"/>
    <n v="721410"/>
    <s v="Supplies-Medical - Nonbillable"/>
    <s v="Ped PT-Silverdale"/>
    <x v="0"/>
    <m/>
    <n v="48.5"/>
    <n v="0"/>
    <n v="0"/>
    <n v="0"/>
    <n v="2.1"/>
    <n v="0"/>
    <n v="0"/>
    <n v="0"/>
    <n v="0"/>
    <n v="152.32"/>
    <n v="6.86"/>
    <n v="0"/>
    <n v="209.78"/>
    <n v="6.86"/>
  </r>
  <r>
    <x v="11"/>
    <x v="6"/>
    <x v="0"/>
    <s v="4314107"/>
    <n v="721420"/>
    <s v="Supplies-Surgical Nonbillable"/>
    <s v="Ped PT-Silverdale"/>
    <x v="0"/>
    <m/>
    <n v="7.95"/>
    <n v="0"/>
    <n v="0"/>
    <n v="0"/>
    <n v="0"/>
    <n v="0"/>
    <n v="0"/>
    <n v="0"/>
    <n v="0"/>
    <n v="0"/>
    <n v="0"/>
    <n v="0"/>
    <n v="7.95"/>
    <n v="0"/>
  </r>
  <r>
    <x v="11"/>
    <x v="6"/>
    <x v="0"/>
    <s v="4314107"/>
    <n v="721810"/>
    <s v="Supplies-Dietary/Cafeteria"/>
    <s v="Ped PT-Silverdale"/>
    <x v="0"/>
    <m/>
    <n v="15.45"/>
    <n v="0"/>
    <n v="25.75"/>
    <n v="0"/>
    <n v="31.25"/>
    <n v="0"/>
    <n v="0"/>
    <n v="0"/>
    <n v="0"/>
    <n v="11.45"/>
    <n v="0"/>
    <n v="0"/>
    <n v="83.9"/>
    <n v="0"/>
  </r>
  <r>
    <x v="11"/>
    <x v="6"/>
    <x v="0"/>
    <s v="4314107"/>
    <n v="721830"/>
    <s v="Supplies-Office"/>
    <s v="Ped PT-Silverdale"/>
    <x v="0"/>
    <m/>
    <n v="151.82"/>
    <n v="43.21"/>
    <n v="155.43"/>
    <n v="230.77"/>
    <n v="56.16"/>
    <n v="94.84"/>
    <n v="28.79"/>
    <n v="0"/>
    <n v="68.88"/>
    <n v="38.83"/>
    <n v="89.41"/>
    <n v="0"/>
    <n v="958.14"/>
    <n v="89.41"/>
  </r>
  <r>
    <x v="11"/>
    <x v="6"/>
    <x v="0"/>
    <s v="4314107"/>
    <n v="721835"/>
    <s v="Supplies-Forms"/>
    <s v="Ped PT-Silverdale"/>
    <x v="0"/>
    <m/>
    <n v="0"/>
    <n v="0"/>
    <n v="0"/>
    <n v="0"/>
    <n v="890.98"/>
    <n v="0"/>
    <n v="0"/>
    <n v="0"/>
    <n v="0"/>
    <n v="0"/>
    <n v="0"/>
    <n v="0"/>
    <n v="890.98"/>
    <n v="0"/>
  </r>
  <r>
    <x v="11"/>
    <x v="6"/>
    <x v="0"/>
    <s v="4314107"/>
    <n v="721870"/>
    <s v="Supplies-Environmental Services"/>
    <s v="Ped PT-Silverdale"/>
    <x v="0"/>
    <m/>
    <n v="0"/>
    <n v="0"/>
    <n v="0"/>
    <n v="0"/>
    <n v="19.7"/>
    <n v="0"/>
    <n v="0"/>
    <n v="0"/>
    <n v="0"/>
    <n v="0"/>
    <n v="0"/>
    <n v="0"/>
    <n v="19.7"/>
    <n v="0"/>
  </r>
  <r>
    <x v="11"/>
    <x v="6"/>
    <x v="0"/>
    <s v="4314107"/>
    <n v="721910"/>
    <s v="Supplies-Small Equipment"/>
    <s v="Ped PT-Silverdale"/>
    <x v="0"/>
    <m/>
    <n v="29.87"/>
    <n v="152.58000000000001"/>
    <n v="196.36"/>
    <n v="0"/>
    <n v="7.48"/>
    <n v="0"/>
    <n v="281.89999999999998"/>
    <n v="0"/>
    <n v="73.02"/>
    <n v="4.08"/>
    <n v="196.95"/>
    <n v="0"/>
    <n v="942.24"/>
    <n v="196.95"/>
  </r>
  <r>
    <x v="11"/>
    <x v="6"/>
    <x v="0"/>
    <s v="4314107"/>
    <n v="721980"/>
    <s v="Supplies-Other"/>
    <s v="Ped PT-Silverdale"/>
    <x v="0"/>
    <m/>
    <n v="-104.6"/>
    <n v="256.67"/>
    <n v="0"/>
    <n v="828.97"/>
    <n v="0"/>
    <n v="12.99"/>
    <n v="74.069999999999993"/>
    <n v="0"/>
    <n v="0"/>
    <n v="114.46"/>
    <n v="-24.46"/>
    <n v="0"/>
    <n v="1158.1000000000001"/>
    <n v="-24.46"/>
  </r>
  <r>
    <x v="11"/>
    <x v="6"/>
    <x v="0"/>
    <s v="4314107"/>
    <n v="722000"/>
    <s v="Supplies-Freight Expense"/>
    <s v="Ped PT-Silverdale"/>
    <x v="0"/>
    <m/>
    <n v="0"/>
    <n v="0"/>
    <n v="0"/>
    <n v="0"/>
    <n v="0"/>
    <n v="0"/>
    <n v="0"/>
    <n v="0"/>
    <n v="0"/>
    <n v="0"/>
    <n v="10.23"/>
    <n v="0"/>
    <n v="10.23"/>
    <n v="10.23"/>
  </r>
  <r>
    <x v="12"/>
    <x v="6"/>
    <x v="0"/>
    <s v="4314107"/>
    <n v="730010"/>
    <s v="Rental and Leases-Building (DO NOT USE)"/>
    <s v="Ped PT-Silverdale"/>
    <x v="0"/>
    <m/>
    <n v="1924.17"/>
    <n v="1924.17"/>
    <n v="1924.17"/>
    <n v="1924.17"/>
    <n v="1924.17"/>
    <n v="-1287.77"/>
    <n v="1455.58"/>
    <n v="1455.58"/>
    <n v="1455.58"/>
    <n v="1456.95"/>
    <n v="1456.95"/>
    <n v="0"/>
    <n v="15613.720000000001"/>
    <n v="1456.95"/>
  </r>
  <r>
    <x v="12"/>
    <x v="6"/>
    <x v="0"/>
    <s v="4314107"/>
    <n v="730010"/>
    <s v="Rental-Common Area Maint (DO NOT USE)"/>
    <s v="Ped PT-Silverdale"/>
    <x v="0"/>
    <n v="2200"/>
    <n v="0"/>
    <n v="0"/>
    <n v="0"/>
    <n v="0"/>
    <n v="0"/>
    <n v="3262.33"/>
    <n v="518.98"/>
    <n v="518.98"/>
    <n v="518.98"/>
    <n v="483.11"/>
    <n v="483.11"/>
    <n v="0"/>
    <n v="5785.49"/>
    <n v="483.11"/>
  </r>
  <r>
    <x v="12"/>
    <x v="6"/>
    <x v="0"/>
    <s v="4314107"/>
    <n v="730020"/>
    <s v="Rental and Leases-Equipment (DO NOT USE)"/>
    <s v="Ped PT-Silverdale"/>
    <x v="0"/>
    <m/>
    <n v="0"/>
    <n v="84.32"/>
    <n v="42"/>
    <n v="42.32"/>
    <n v="0"/>
    <n v="0"/>
    <n v="76.040000000000006"/>
    <n v="0"/>
    <n v="38.020000000000003"/>
    <n v="0"/>
    <n v="76.040000000000006"/>
    <n v="94.28"/>
    <n v="453.02"/>
    <n v="-18.239999999999995"/>
  </r>
  <r>
    <x v="12"/>
    <x v="6"/>
    <x v="0"/>
    <s v="4314107"/>
    <n v="730020"/>
    <s v="Rental and Leases-Copier Usage Fees (DO NOT USE)"/>
    <s v="Ped PT-Silverdale"/>
    <x v="0"/>
    <n v="5100"/>
    <n v="57.71"/>
    <n v="59.72"/>
    <n v="58.71"/>
    <n v="58.71"/>
    <n v="58.71"/>
    <n v="58.71"/>
    <n v="50.76"/>
    <n v="59.76"/>
    <n v="59.63"/>
    <n v="59.89"/>
    <n v="59.76"/>
    <n v="64.540000000000006"/>
    <n v="706.6099999999999"/>
    <n v="-4.7800000000000082"/>
  </r>
  <r>
    <x v="12"/>
    <x v="6"/>
    <x v="0"/>
    <s v="4314107"/>
    <n v="730040"/>
    <s v="LT Lease-Real Estate"/>
    <s v="Ped PT-Silverdale"/>
    <x v="0"/>
    <m/>
    <n v="0"/>
    <n v="0"/>
    <n v="0"/>
    <n v="0"/>
    <n v="0"/>
    <n v="0"/>
    <n v="0"/>
    <n v="0"/>
    <n v="0"/>
    <n v="0"/>
    <n v="0"/>
    <n v="1883.8"/>
    <n v="1883.8"/>
    <n v="-1883.8"/>
  </r>
  <r>
    <x v="0"/>
    <x v="6"/>
    <x v="0"/>
    <s v="4314107"/>
    <n v="740020"/>
    <s v="Education-Registration Fees"/>
    <s v="Ped PT-Silverdale"/>
    <x v="0"/>
    <m/>
    <n v="0"/>
    <n v="0"/>
    <n v="0"/>
    <n v="0"/>
    <n v="0"/>
    <n v="435"/>
    <n v="0"/>
    <n v="0"/>
    <n v="0"/>
    <n v="0"/>
    <n v="475.56"/>
    <n v="0"/>
    <n v="910.56"/>
    <n v="475.56"/>
  </r>
  <r>
    <x v="0"/>
    <x v="6"/>
    <x v="0"/>
    <s v="4314107"/>
    <n v="749510"/>
    <s v="Miscellaneous Expenses"/>
    <s v="Ped PT-Silverdale"/>
    <x v="0"/>
    <m/>
    <n v="0"/>
    <n v="-53.95"/>
    <n v="0"/>
    <n v="949.23"/>
    <n v="-949.23"/>
    <n v="0"/>
    <n v="0"/>
    <n v="71.59"/>
    <n v="-4.0599999999999996"/>
    <n v="0"/>
    <n v="0"/>
    <n v="0"/>
    <n v="13.579999999999959"/>
    <n v="0"/>
  </r>
  <r>
    <x v="0"/>
    <x v="6"/>
    <x v="0"/>
    <s v="4314107"/>
    <n v="749510"/>
    <s v="Donor Recognition"/>
    <s v="Ped PT-Silverdale"/>
    <x v="0"/>
    <n v="2302"/>
    <n v="0"/>
    <n v="0"/>
    <n v="0"/>
    <n v="0"/>
    <n v="58.25"/>
    <n v="0"/>
    <n v="0"/>
    <n v="0"/>
    <n v="0"/>
    <n v="0"/>
    <n v="0"/>
    <n v="0"/>
    <n v="58.25"/>
    <n v="0"/>
  </r>
  <r>
    <x v="0"/>
    <x v="6"/>
    <x v="0"/>
    <s v="4314107"/>
    <n v="749510"/>
    <s v="RICE Rewards"/>
    <s v="Ped PT-Silverdale"/>
    <x v="0"/>
    <n v="5100"/>
    <n v="0"/>
    <n v="0"/>
    <n v="0"/>
    <n v="0"/>
    <n v="0"/>
    <n v="0"/>
    <n v="0"/>
    <n v="0"/>
    <n v="0"/>
    <n v="0"/>
    <n v="0"/>
    <n v="82.1"/>
    <n v="82.1"/>
    <n v="-82.1"/>
  </r>
  <r>
    <x v="0"/>
    <x v="6"/>
    <x v="0"/>
    <s v="4314107"/>
    <n v="749530"/>
    <s v="Mileage"/>
    <s v="Ped PT-Silverdale"/>
    <x v="0"/>
    <n v="1001"/>
    <n v="3.82"/>
    <n v="0"/>
    <n v="0"/>
    <n v="0"/>
    <n v="0"/>
    <n v="0"/>
    <n v="0"/>
    <n v="0"/>
    <n v="4.0599999999999996"/>
    <n v="0"/>
    <n v="0"/>
    <n v="0"/>
    <n v="7.879999999999999"/>
    <n v="0"/>
  </r>
  <r>
    <x v="18"/>
    <x v="0"/>
    <x v="0"/>
    <s v="4315102"/>
    <n v="400010"/>
    <s v="Acute I/P Svcs Rev--Medicare"/>
    <s v="Physical Therapy"/>
    <x v="0"/>
    <n v="1100"/>
    <n v="-135263.38"/>
    <n v="-145004.71"/>
    <n v="-129305.60000000001"/>
    <n v="-164650.96"/>
    <n v="-137170.56"/>
    <n v="-156294.79"/>
    <n v="-144609.14000000001"/>
    <n v="-141206.65"/>
    <n v="-177091.57"/>
    <n v="-155525.79999999999"/>
    <n v="-158439.79999999999"/>
    <n v="-119160.28"/>
    <n v="-1763723.2400000002"/>
    <n v="-39279.51999999999"/>
  </r>
  <r>
    <x v="18"/>
    <x v="0"/>
    <x v="0"/>
    <s v="4315102"/>
    <n v="400010"/>
    <s v="Acute I/P Svcs Rev--Medicaid"/>
    <s v="Physical Therapy"/>
    <x v="0"/>
    <n v="1200"/>
    <n v="-23995.82"/>
    <n v="-15346.99"/>
    <n v="-17234.8"/>
    <n v="-29386.34"/>
    <n v="-19187.28"/>
    <n v="-26604.69"/>
    <n v="-32789.58"/>
    <n v="-17889.740000000002"/>
    <n v="-11387.89"/>
    <n v="-22320.51"/>
    <n v="-46558.29"/>
    <n v="-32596.19"/>
    <n v="-295298.12"/>
    <n v="-13962.100000000002"/>
  </r>
  <r>
    <x v="18"/>
    <x v="0"/>
    <x v="0"/>
    <s v="4315102"/>
    <n v="400010"/>
    <s v="Acute I/P Svcs Rev--Comm Insurance"/>
    <s v="Physical Therapy"/>
    <x v="0"/>
    <n v="1300"/>
    <n v="1236.33"/>
    <n v="1110.08"/>
    <n v="-1862.49"/>
    <n v="2390.2199999999998"/>
    <n v="-2587.04"/>
    <n v="1195.3599999999999"/>
    <n v="-5488.04"/>
    <n v="1225.3399999999999"/>
    <n v="1733.31"/>
    <n v="-1827.83"/>
    <n v="-1284.27"/>
    <n v="-1946.89"/>
    <n v="-6105.920000000001"/>
    <n v="662.62000000000012"/>
  </r>
  <r>
    <x v="18"/>
    <x v="0"/>
    <x v="0"/>
    <s v="4315102"/>
    <n v="400010"/>
    <s v="Acute I/P Svcs Rev--BCBS Comm"/>
    <s v="Physical Therapy"/>
    <x v="0"/>
    <n v="1301"/>
    <n v="-7209.19"/>
    <n v="-5029"/>
    <n v="-4821.49"/>
    <n v="-11116.68"/>
    <n v="-5364.01"/>
    <n v="-7214.19"/>
    <n v="-7011.18"/>
    <n v="-11267.6"/>
    <n v="-11618.81"/>
    <n v="-2765.75"/>
    <n v="-10842.05"/>
    <n v="-19973.349999999999"/>
    <n v="-104233.30000000002"/>
    <n v="9131.2999999999993"/>
  </r>
  <r>
    <x v="18"/>
    <x v="0"/>
    <x v="0"/>
    <s v="4315102"/>
    <n v="400010"/>
    <s v="Acute I/P Svcs Rev--Managed Care"/>
    <s v="Physical Therapy"/>
    <x v="0"/>
    <n v="1400"/>
    <n v="-23492.33"/>
    <n v="-20183.36"/>
    <n v="-18185.810000000001"/>
    <n v="-17740.740000000002"/>
    <n v="-10534.93"/>
    <n v="-27955.48"/>
    <n v="-17182.78"/>
    <n v="-23980.77"/>
    <n v="-13057.35"/>
    <n v="-16831.560000000001"/>
    <n v="-23640.65"/>
    <n v="-11497.68"/>
    <n v="-224283.43999999997"/>
    <n v="-12142.970000000001"/>
  </r>
  <r>
    <x v="18"/>
    <x v="0"/>
    <x v="0"/>
    <s v="4315102"/>
    <n v="400010"/>
    <s v="Acute I/P Svcs Rev--Self Pay"/>
    <s v="Physical Therapy"/>
    <x v="0"/>
    <n v="1500"/>
    <n v="-2140.3000000000002"/>
    <n v="-5613.21"/>
    <n v="-5024"/>
    <n v="221.97"/>
    <n v="-1273.73"/>
    <n v="5873.99"/>
    <n v="1469.92"/>
    <n v="-2368.71"/>
    <n v="-2243.7399999999998"/>
    <n v="-2920.56"/>
    <n v="-2664.6"/>
    <n v="356.78"/>
    <n v="-16326.189999999997"/>
    <n v="-3021.38"/>
  </r>
  <r>
    <x v="18"/>
    <x v="0"/>
    <x v="0"/>
    <s v="4315102"/>
    <n v="400010"/>
    <s v="Acute I/P Svcs Rev--Other"/>
    <s v="Physical Therapy"/>
    <x v="0"/>
    <n v="1700"/>
    <n v="-5915.58"/>
    <n v="-4169.5"/>
    <n v="-2157.48"/>
    <n v="-1307.29"/>
    <n v="-5147.63"/>
    <n v="-6487.35"/>
    <n v="-1966.05"/>
    <n v="-4802.58"/>
    <n v="1997.31"/>
    <n v="-3272.13"/>
    <n v="-4465.17"/>
    <n v="-9544.2999999999993"/>
    <n v="-47237.75"/>
    <n v="5079.1299999999992"/>
  </r>
  <r>
    <x v="19"/>
    <x v="0"/>
    <x v="0"/>
    <s v="4315102"/>
    <n v="400020"/>
    <s v="O/P Care Svcs Rev--Medicare"/>
    <s v="Physical Therapy"/>
    <x v="0"/>
    <n v="1100"/>
    <n v="-237527"/>
    <n v="-259329.1"/>
    <n v="-265597.11"/>
    <n v="-357077.13"/>
    <n v="-302150.39"/>
    <n v="-306319.15999999997"/>
    <n v="-300806.27"/>
    <n v="-235676.38"/>
    <n v="-301874.71999999997"/>
    <n v="-300487.13"/>
    <n v="-307511.33"/>
    <n v="-273474.78000000003"/>
    <n v="-3447830.5"/>
    <n v="-34036.549999999988"/>
  </r>
  <r>
    <x v="19"/>
    <x v="0"/>
    <x v="0"/>
    <s v="4315102"/>
    <n v="400020"/>
    <s v="O/P Care Svcs Rev--Medicaid"/>
    <s v="Physical Therapy"/>
    <x v="0"/>
    <n v="1200"/>
    <n v="-153247.84"/>
    <n v="-123847.08"/>
    <n v="-113550.35"/>
    <n v="-119530.53"/>
    <n v="-116168.48"/>
    <n v="-122384.94"/>
    <n v="-136587.95000000001"/>
    <n v="-119394.65"/>
    <n v="-144212.43"/>
    <n v="-145600.51"/>
    <n v="-147294.1"/>
    <n v="-136809.60000000001"/>
    <n v="-1578628.4600000002"/>
    <n v="-10484.5"/>
  </r>
  <r>
    <x v="19"/>
    <x v="0"/>
    <x v="0"/>
    <s v="4315102"/>
    <n v="400020"/>
    <s v="O/P Care Svcs Rev--Comm Insurance"/>
    <s v="Physical Therapy"/>
    <x v="0"/>
    <n v="1300"/>
    <n v="-21215.69"/>
    <n v="-13835.4"/>
    <n v="-15969.74"/>
    <n v="-6422.54"/>
    <n v="-7060.27"/>
    <n v="-26088.43"/>
    <n v="-18592.689999999999"/>
    <n v="-10376.129999999999"/>
    <n v="-14682.85"/>
    <n v="-20857.96"/>
    <n v="-20446.439999999999"/>
    <n v="-10987.59"/>
    <n v="-186535.73"/>
    <n v="-9458.8499999999985"/>
  </r>
  <r>
    <x v="19"/>
    <x v="0"/>
    <x v="0"/>
    <s v="4315102"/>
    <n v="400020"/>
    <s v="O/P Care Svcs Rev--BCBS Comm"/>
    <s v="Physical Therapy"/>
    <x v="0"/>
    <n v="1301"/>
    <n v="-28994.25"/>
    <n v="-33119.61"/>
    <n v="-34565.120000000003"/>
    <n v="-52845.35"/>
    <n v="-53561.91"/>
    <n v="-43906.26"/>
    <n v="-50562.25"/>
    <n v="-34705.64"/>
    <n v="-53743.360000000001"/>
    <n v="-41551.29"/>
    <n v="-39962.519999999997"/>
    <n v="-24501.91"/>
    <n v="-492019.47"/>
    <n v="-15460.609999999997"/>
  </r>
  <r>
    <x v="19"/>
    <x v="0"/>
    <x v="0"/>
    <s v="4315102"/>
    <n v="400020"/>
    <s v="O/P Care Svcs Rev--Managed Care"/>
    <s v="Physical Therapy"/>
    <x v="0"/>
    <n v="1400"/>
    <n v="-133596.39000000001"/>
    <n v="-132709.70000000001"/>
    <n v="-120007.33"/>
    <n v="-152808.65"/>
    <n v="-134666.56"/>
    <n v="-120089.48"/>
    <n v="-165871.06"/>
    <n v="-121209.19"/>
    <n v="-154758.43"/>
    <n v="-155424.85999999999"/>
    <n v="-195729.26"/>
    <n v="-148381.38"/>
    <n v="-1735252.29"/>
    <n v="-47347.880000000005"/>
  </r>
  <r>
    <x v="19"/>
    <x v="0"/>
    <x v="0"/>
    <s v="4315102"/>
    <n v="400020"/>
    <s v="O/P Care Svcs Rev--Self Pay"/>
    <s v="Physical Therapy"/>
    <x v="0"/>
    <n v="1500"/>
    <n v="-7223.86"/>
    <n v="-6049.11"/>
    <n v="-4813.29"/>
    <n v="-7640.88"/>
    <n v="-8373.8799999999992"/>
    <n v="-4689.1400000000003"/>
    <n v="-8269.83"/>
    <n v="-4580.59"/>
    <n v="681.52"/>
    <n v="-3927.97"/>
    <n v="-7699.53"/>
    <n v="-8004.54"/>
    <n v="-70591.100000000006"/>
    <n v="305.01000000000022"/>
  </r>
  <r>
    <x v="19"/>
    <x v="0"/>
    <x v="0"/>
    <s v="4315102"/>
    <n v="400020"/>
    <s v="O/P Care Svcs Rev--Other"/>
    <s v="Physical Therapy"/>
    <x v="0"/>
    <n v="1700"/>
    <n v="-50913.09"/>
    <n v="-57838.46"/>
    <n v="-47028.800000000003"/>
    <n v="-60998.2"/>
    <n v="-57805.15"/>
    <n v="-57297.64"/>
    <n v="-55629"/>
    <n v="-50702.34"/>
    <n v="-45103.95"/>
    <n v="-53080.78"/>
    <n v="-48962.36"/>
    <n v="-44872.18"/>
    <n v="-630231.95000000007"/>
    <n v="-4090.1800000000003"/>
  </r>
  <r>
    <x v="5"/>
    <x v="0"/>
    <x v="0"/>
    <s v="4315102"/>
    <n v="700032"/>
    <s v="Salaries-Other Pat Care Providers-Productive"/>
    <s v="Physical Therapy"/>
    <x v="0"/>
    <m/>
    <n v="81320.2"/>
    <n v="75063.77"/>
    <n v="78443.7"/>
    <n v="96016.24"/>
    <n v="76324.75"/>
    <n v="92375.83"/>
    <n v="85968.67"/>
    <n v="75986.11"/>
    <n v="96438.6"/>
    <n v="85914.54"/>
    <n v="99028.160000000003"/>
    <n v="79661.03"/>
    <n v="1022541.6000000001"/>
    <n v="19367.130000000005"/>
  </r>
  <r>
    <x v="5"/>
    <x v="0"/>
    <x v="0"/>
    <s v="4315102"/>
    <n v="700032"/>
    <s v="Salaries-Other Pat Care Providers-OT"/>
    <s v="Physical Therapy"/>
    <x v="0"/>
    <n v="1000"/>
    <n v="136.28"/>
    <n v="1097.8499999999999"/>
    <n v="1175.68"/>
    <n v="2271.3000000000002"/>
    <n v="1957.3"/>
    <n v="183.28"/>
    <n v="1146.52"/>
    <n v="83.84"/>
    <n v="1376.81"/>
    <n v="2284.56"/>
    <n v="1475.43"/>
    <n v="346.82"/>
    <n v="13535.67"/>
    <n v="1128.6100000000001"/>
  </r>
  <r>
    <x v="5"/>
    <x v="0"/>
    <x v="0"/>
    <s v="4315102"/>
    <n v="700032"/>
    <s v="Salaries-Other Pat Care Providers-Other"/>
    <s v="Physical Therapy"/>
    <x v="0"/>
    <n v="2000"/>
    <n v="1412.38"/>
    <n v="698.25"/>
    <n v="597.94000000000005"/>
    <n v="1038.56"/>
    <n v="625.38"/>
    <n v="923.84"/>
    <n v="1041.02"/>
    <n v="738.82"/>
    <n v="1030.6300000000001"/>
    <n v="876.11"/>
    <n v="1004.04"/>
    <n v="1054.04"/>
    <n v="11041.010000000002"/>
    <n v="-50"/>
  </r>
  <r>
    <x v="5"/>
    <x v="0"/>
    <x v="0"/>
    <s v="4315102"/>
    <n v="700034"/>
    <s v="Salaries-Tech/Professional-Productive"/>
    <s v="Physical Therapy"/>
    <x v="0"/>
    <m/>
    <n v="10503.31"/>
    <n v="11303.77"/>
    <n v="10868.38"/>
    <n v="7935.21"/>
    <n v="10791.59"/>
    <n v="10323.91"/>
    <n v="11883.2"/>
    <n v="8686.2199999999993"/>
    <n v="11988.71"/>
    <n v="8896.07"/>
    <n v="12575.42"/>
    <n v="10923.28"/>
    <n v="126679.06999999999"/>
    <n v="1652.1399999999994"/>
  </r>
  <r>
    <x v="5"/>
    <x v="0"/>
    <x v="0"/>
    <s v="4315102"/>
    <n v="700034"/>
    <s v="Salaries-Tech/Professional-OT"/>
    <s v="Physical Therapy"/>
    <x v="0"/>
    <n v="1000"/>
    <n v="16.100000000000001"/>
    <n v="167.55"/>
    <n v="199.64"/>
    <n v="-47.2"/>
    <n v="173.67"/>
    <n v="103.17"/>
    <n v="124.38"/>
    <n v="-29.14"/>
    <n v="213.77"/>
    <n v="-30.06"/>
    <n v="227.6"/>
    <n v="69.010000000000005"/>
    <n v="1188.49"/>
    <n v="158.58999999999997"/>
  </r>
  <r>
    <x v="5"/>
    <x v="0"/>
    <x v="0"/>
    <s v="4315102"/>
    <n v="700034"/>
    <s v="Salaries-Tech/Professional-Other"/>
    <s v="Physical Therapy"/>
    <x v="0"/>
    <n v="2000"/>
    <n v="38.39"/>
    <n v="57.94"/>
    <n v="45.93"/>
    <n v="59.33"/>
    <n v="31.45"/>
    <n v="93.44"/>
    <n v="48.46"/>
    <n v="20.63"/>
    <n v="103.51"/>
    <n v="11.05"/>
    <n v="59.14"/>
    <n v="40.9"/>
    <n v="610.16999999999996"/>
    <n v="18.240000000000002"/>
  </r>
  <r>
    <x v="5"/>
    <x v="0"/>
    <x v="0"/>
    <s v="4315102"/>
    <n v="700054"/>
    <s v="Salaries-Management-NonProd-Other"/>
    <s v="Physical Therapy"/>
    <x v="0"/>
    <n v="2000"/>
    <n v="0"/>
    <n v="0"/>
    <n v="0"/>
    <n v="0"/>
    <n v="0"/>
    <n v="288.62"/>
    <n v="-288.62"/>
    <n v="0"/>
    <n v="0"/>
    <n v="0"/>
    <n v="0"/>
    <n v="0"/>
    <n v="0"/>
    <n v="0"/>
  </r>
  <r>
    <x v="5"/>
    <x v="0"/>
    <x v="0"/>
    <s v="4315102"/>
    <n v="700072"/>
    <s v="Salaries-Other Pat Care Providers-Non-productive"/>
    <s v="Physical Therapy"/>
    <x v="0"/>
    <m/>
    <n v="19163.13"/>
    <n v="15787.68"/>
    <n v="7841.26"/>
    <n v="7483.31"/>
    <n v="19788.66"/>
    <n v="7196.28"/>
    <n v="14146.58"/>
    <n v="16245.88"/>
    <n v="7507.23"/>
    <n v="12727.93"/>
    <n v="2265.63"/>
    <n v="17679.060000000001"/>
    <n v="147832.63"/>
    <n v="-15413.43"/>
  </r>
  <r>
    <x v="5"/>
    <x v="0"/>
    <x v="0"/>
    <s v="4315102"/>
    <n v="700072"/>
    <s v="Salaries-Other Pat Care Providers-NonProd-Other"/>
    <s v="Physical Therapy"/>
    <x v="0"/>
    <n v="2000"/>
    <n v="0"/>
    <n v="0"/>
    <n v="0"/>
    <n v="0"/>
    <n v="0"/>
    <n v="-43"/>
    <n v="0"/>
    <n v="43"/>
    <n v="0"/>
    <n v="0"/>
    <n v="0"/>
    <n v="0"/>
    <n v="0"/>
    <n v="0"/>
  </r>
  <r>
    <x v="5"/>
    <x v="0"/>
    <x v="0"/>
    <s v="4315102"/>
    <n v="700074"/>
    <s v="Salaries-Tech/Professional-Non-productive"/>
    <s v="Physical Therapy"/>
    <x v="0"/>
    <m/>
    <n v="1236.8800000000001"/>
    <n v="776.03"/>
    <n v="764.96"/>
    <n v="4435.57"/>
    <n v="1042.6300000000001"/>
    <n v="2139.9899999999998"/>
    <n v="413.92"/>
    <n v="2317.71"/>
    <n v="761.86"/>
    <n v="2842.98"/>
    <n v="-233.79"/>
    <n v="1066.93"/>
    <n v="17565.669999999998"/>
    <n v="-1300.72"/>
  </r>
  <r>
    <x v="5"/>
    <x v="0"/>
    <x v="0"/>
    <s v="4315102"/>
    <n v="700084"/>
    <s v="Accrued PTO"/>
    <s v="Physical Therapy"/>
    <x v="0"/>
    <m/>
    <n v="-4467.34"/>
    <n v="-1512.54"/>
    <n v="1605.24"/>
    <n v="7202.63"/>
    <n v="-2746.18"/>
    <n v="2735.85"/>
    <n v="-461.01"/>
    <n v="-2592.52"/>
    <n v="3635.44"/>
    <n v="-654.29"/>
    <n v="6377.79"/>
    <n v="2235.35"/>
    <n v="11358.42"/>
    <n v="4142.4400000000005"/>
  </r>
  <r>
    <x v="6"/>
    <x v="0"/>
    <x v="0"/>
    <s v="4315102"/>
    <n v="713010"/>
    <s v="Benefits-FICA/Medicare"/>
    <s v="Physical Therapy"/>
    <x v="0"/>
    <m/>
    <n v="8476.84"/>
    <n v="7824.19"/>
    <n v="7458.07"/>
    <n v="8982.2900000000009"/>
    <n v="8254.8799999999992"/>
    <n v="8527.7800000000007"/>
    <n v="8580.68"/>
    <n v="7771.26"/>
    <n v="9580.56"/>
    <n v="8417.5400000000009"/>
    <n v="8693.6299999999992"/>
    <n v="8274.49"/>
    <n v="100842.21"/>
    <n v="419.13999999999942"/>
  </r>
  <r>
    <x v="6"/>
    <x v="0"/>
    <x v="0"/>
    <s v="4315102"/>
    <n v="713090"/>
    <s v="Benefits-Allocated Amounts"/>
    <s v="Physical Therapy"/>
    <x v="0"/>
    <m/>
    <n v="19690.72"/>
    <n v="16151.43"/>
    <n v="17029.91"/>
    <n v="19452.64"/>
    <n v="18252.3"/>
    <n v="18913.54"/>
    <n v="19735.919999999998"/>
    <n v="18938.36"/>
    <n v="20061.79"/>
    <n v="20167.439999999999"/>
    <n v="20638.25"/>
    <n v="20118.66"/>
    <n v="229150.96000000002"/>
    <n v="519.59000000000015"/>
  </r>
  <r>
    <x v="7"/>
    <x v="0"/>
    <x v="0"/>
    <s v="4315102"/>
    <n v="718050"/>
    <s v="Translation Services"/>
    <s v="Physical Therapy"/>
    <x v="0"/>
    <n v="1025"/>
    <n v="111.78"/>
    <n v="2879.82"/>
    <n v="2793.31"/>
    <n v="2034.96"/>
    <n v="2936.72"/>
    <n v="4232.2"/>
    <n v="1164.25"/>
    <n v="837.74"/>
    <n v="2278.79"/>
    <n v="0"/>
    <n v="2321"/>
    <n v="0"/>
    <n v="21590.570000000003"/>
    <n v="2321"/>
  </r>
  <r>
    <x v="7"/>
    <x v="0"/>
    <x v="0"/>
    <s v="4315102"/>
    <n v="718050"/>
    <s v="Contract Management--Linen"/>
    <s v="Physical Therapy"/>
    <x v="0"/>
    <n v="1026"/>
    <n v="686.01"/>
    <n v="457.84"/>
    <n v="517.33000000000004"/>
    <n v="622.95000000000005"/>
    <n v="598.42999999999995"/>
    <n v="662.77"/>
    <n v="592.99"/>
    <n v="-547.73"/>
    <n v="782.62"/>
    <n v="945.9"/>
    <n v="20.39"/>
    <n v="1554.1"/>
    <n v="6893.6"/>
    <n v="-1533.7099999999998"/>
  </r>
  <r>
    <x v="11"/>
    <x v="0"/>
    <x v="0"/>
    <s v="4315102"/>
    <n v="721010"/>
    <s v="Supplies-Medical - Billable"/>
    <s v="Physical Therapy"/>
    <x v="0"/>
    <m/>
    <n v="22.31"/>
    <n v="0"/>
    <n v="0"/>
    <n v="-6.79"/>
    <n v="0"/>
    <n v="10.77"/>
    <n v="1.96"/>
    <n v="1.76"/>
    <n v="0"/>
    <n v="1.96"/>
    <n v="0"/>
    <n v="78.61"/>
    <n v="110.58"/>
    <n v="-78.61"/>
  </r>
  <r>
    <x v="11"/>
    <x v="0"/>
    <x v="0"/>
    <s v="4315102"/>
    <n v="721020"/>
    <s v="Supplies-Surgical - Billable"/>
    <s v="Physical Therapy"/>
    <x v="0"/>
    <m/>
    <n v="47.85"/>
    <n v="0"/>
    <n v="246.21"/>
    <n v="81.78"/>
    <n v="0"/>
    <n v="132.51"/>
    <n v="40.36"/>
    <n v="-12.47"/>
    <n v="-194.36"/>
    <n v="0"/>
    <n v="0"/>
    <n v="420.96"/>
    <n v="762.83999999999992"/>
    <n v="-420.96"/>
  </r>
  <r>
    <x v="11"/>
    <x v="0"/>
    <x v="0"/>
    <s v="4315102"/>
    <n v="721250"/>
    <s v="Supplies-Pharmacy Drugs - Billable"/>
    <s v="Physical Therapy"/>
    <x v="0"/>
    <m/>
    <n v="40.799999999999997"/>
    <n v="0"/>
    <n v="0"/>
    <n v="13.6"/>
    <n v="0"/>
    <n v="0"/>
    <n v="38.56"/>
    <n v="0"/>
    <n v="13.6"/>
    <n v="0"/>
    <n v="0"/>
    <n v="0"/>
    <n v="106.56"/>
    <n v="0"/>
  </r>
  <r>
    <x v="11"/>
    <x v="0"/>
    <x v="0"/>
    <s v="4315102"/>
    <n v="721410"/>
    <s v="Supplies-Medical - Nonbillable"/>
    <s v="Physical Therapy"/>
    <x v="0"/>
    <m/>
    <n v="614.65"/>
    <n v="276.52999999999997"/>
    <n v="792.17"/>
    <n v="240.04"/>
    <n v="251.19"/>
    <n v="427.65"/>
    <n v="565.5"/>
    <n v="369.89"/>
    <n v="332.21"/>
    <n v="162.96"/>
    <n v="355.99"/>
    <n v="912.79"/>
    <n v="5301.57"/>
    <n v="-556.79999999999995"/>
  </r>
  <r>
    <x v="11"/>
    <x v="0"/>
    <x v="0"/>
    <s v="4315102"/>
    <n v="721650"/>
    <s v="Supplies-Pharmacy Drugs - Nonbillable"/>
    <s v="Physical Therapy"/>
    <x v="0"/>
    <m/>
    <n v="0"/>
    <n v="0"/>
    <n v="0"/>
    <n v="0"/>
    <n v="0"/>
    <n v="0"/>
    <n v="0"/>
    <n v="7.3"/>
    <n v="0"/>
    <n v="0"/>
    <n v="0"/>
    <n v="0"/>
    <n v="7.3"/>
    <n v="0"/>
  </r>
  <r>
    <x v="11"/>
    <x v="0"/>
    <x v="0"/>
    <s v="4315102"/>
    <n v="721750"/>
    <s v="Supplies-Film/Radiographic - Nonbillable"/>
    <s v="Physical Therapy"/>
    <x v="0"/>
    <m/>
    <n v="0.87"/>
    <n v="68.290000000000006"/>
    <n v="59.18"/>
    <n v="-0.87"/>
    <n v="0"/>
    <n v="0"/>
    <n v="6.38"/>
    <n v="0"/>
    <n v="0"/>
    <n v="68.28"/>
    <n v="0"/>
    <n v="0"/>
    <n v="202.13"/>
    <n v="0"/>
  </r>
  <r>
    <x v="11"/>
    <x v="0"/>
    <x v="0"/>
    <s v="4315102"/>
    <n v="721810"/>
    <s v="Supplies-Dietary/Cafeteria"/>
    <s v="Physical Therapy"/>
    <x v="0"/>
    <m/>
    <n v="4.5"/>
    <n v="0"/>
    <n v="15.09"/>
    <n v="4.5"/>
    <n v="9.83"/>
    <n v="17.600000000000001"/>
    <n v="6.75"/>
    <n v="0"/>
    <n v="99.32"/>
    <n v="0"/>
    <n v="0"/>
    <n v="0"/>
    <n v="157.59"/>
    <n v="0"/>
  </r>
  <r>
    <x v="11"/>
    <x v="0"/>
    <x v="0"/>
    <s v="4315102"/>
    <n v="721830"/>
    <s v="Supplies-Office"/>
    <s v="Physical Therapy"/>
    <x v="0"/>
    <m/>
    <n v="-28.58"/>
    <n v="39.15"/>
    <n v="152.27000000000001"/>
    <n v="131.94"/>
    <n v="182.35"/>
    <n v="82.51"/>
    <n v="0"/>
    <n v="34.43"/>
    <n v="365.23"/>
    <n v="441.07"/>
    <n v="0"/>
    <n v="232.85"/>
    <n v="1633.2199999999998"/>
    <n v="-232.85"/>
  </r>
  <r>
    <x v="11"/>
    <x v="0"/>
    <x v="0"/>
    <s v="4315102"/>
    <n v="721835"/>
    <s v="Supplies-Forms"/>
    <s v="Physical Therapy"/>
    <x v="0"/>
    <m/>
    <n v="0"/>
    <n v="0"/>
    <n v="0"/>
    <n v="0"/>
    <n v="30.7"/>
    <n v="60"/>
    <n v="0"/>
    <n v="0"/>
    <n v="96.8"/>
    <n v="26"/>
    <n v="0"/>
    <n v="0"/>
    <n v="213.5"/>
    <n v="0"/>
  </r>
  <r>
    <x v="11"/>
    <x v="0"/>
    <x v="0"/>
    <s v="4315102"/>
    <n v="721870"/>
    <s v="Supplies-Environmental Services"/>
    <s v="Physical Therapy"/>
    <x v="0"/>
    <m/>
    <n v="17.25"/>
    <n v="34.36"/>
    <n v="85.12"/>
    <n v="112.03"/>
    <n v="65.569999999999993"/>
    <n v="207.59"/>
    <n v="36.840000000000003"/>
    <n v="131.63999999999999"/>
    <n v="166.63"/>
    <n v="73.05"/>
    <n v="80.92"/>
    <n v="6.16"/>
    <n v="1017.16"/>
    <n v="74.760000000000005"/>
  </r>
  <r>
    <x v="11"/>
    <x v="0"/>
    <x v="0"/>
    <s v="4315102"/>
    <n v="721880"/>
    <s v="Supplies-Linen"/>
    <s v="Physical Therapy"/>
    <x v="0"/>
    <m/>
    <n v="0"/>
    <n v="0"/>
    <n v="0"/>
    <n v="0"/>
    <n v="0"/>
    <n v="0"/>
    <n v="0"/>
    <n v="0"/>
    <n v="0"/>
    <n v="32.1"/>
    <n v="0"/>
    <n v="0"/>
    <n v="32.1"/>
    <n v="0"/>
  </r>
  <r>
    <x v="11"/>
    <x v="0"/>
    <x v="0"/>
    <s v="4315102"/>
    <n v="721910"/>
    <s v="Supplies-Small Equipment"/>
    <s v="Physical Therapy"/>
    <x v="0"/>
    <m/>
    <n v="4.51"/>
    <n v="2.72"/>
    <n v="378.53"/>
    <n v="85.11"/>
    <n v="311.94"/>
    <n v="54.23"/>
    <n v="17.64"/>
    <n v="3"/>
    <n v="244.82"/>
    <n v="19.440000000000001"/>
    <n v="20.88"/>
    <n v="-68.099999999999994"/>
    <n v="1074.7200000000003"/>
    <n v="88.97999999999999"/>
  </r>
  <r>
    <x v="11"/>
    <x v="0"/>
    <x v="0"/>
    <s v="4315102"/>
    <n v="721910"/>
    <s v="Instruments"/>
    <s v="Physical Therapy"/>
    <x v="0"/>
    <n v="1000"/>
    <n v="0.1"/>
    <n v="0"/>
    <n v="0"/>
    <n v="-0.1"/>
    <n v="0"/>
    <n v="0"/>
    <n v="0"/>
    <n v="0"/>
    <n v="0"/>
    <n v="0"/>
    <n v="0"/>
    <n v="0"/>
    <n v="0"/>
    <n v="0"/>
  </r>
  <r>
    <x v="11"/>
    <x v="0"/>
    <x v="0"/>
    <s v="4315102"/>
    <n v="721980"/>
    <s v="Supplies-Other"/>
    <s v="Physical Therapy"/>
    <x v="0"/>
    <m/>
    <n v="0"/>
    <n v="316.81"/>
    <n v="2595.9499999999998"/>
    <n v="-10.94"/>
    <n v="2170.75"/>
    <n v="0"/>
    <n v="655.5"/>
    <n v="0"/>
    <n v="684.48"/>
    <n v="0"/>
    <n v="415.12"/>
    <n v="94.28"/>
    <n v="6921.9499999999989"/>
    <n v="320.84000000000003"/>
  </r>
  <r>
    <x v="11"/>
    <x v="0"/>
    <x v="0"/>
    <s v="4315102"/>
    <n v="722000"/>
    <s v="Supplies-Freight Expense"/>
    <s v="Physical Therapy"/>
    <x v="0"/>
    <m/>
    <n v="20.38"/>
    <n v="10.26"/>
    <n v="0"/>
    <n v="34.86"/>
    <n v="0"/>
    <n v="0"/>
    <n v="0"/>
    <n v="0"/>
    <n v="0"/>
    <n v="0"/>
    <n v="0"/>
    <n v="0"/>
    <n v="65.5"/>
    <n v="0"/>
  </r>
  <r>
    <x v="12"/>
    <x v="0"/>
    <x v="0"/>
    <s v="4315102"/>
    <n v="730020"/>
    <s v="Rental and Leases-Copier Usage Fees (DO NOT USE)"/>
    <s v="Physical Therapy"/>
    <x v="0"/>
    <n v="5100"/>
    <n v="191.15"/>
    <n v="197.8"/>
    <n v="194.47"/>
    <n v="194.47"/>
    <n v="194.47"/>
    <n v="194.47"/>
    <n v="32.01"/>
    <n v="188.38"/>
    <n v="187.99"/>
    <n v="188.77"/>
    <n v="188.38"/>
    <n v="216.18"/>
    <n v="2168.54"/>
    <n v="-27.800000000000011"/>
  </r>
  <r>
    <x v="15"/>
    <x v="0"/>
    <x v="0"/>
    <s v="4315102"/>
    <n v="731060"/>
    <s v="Telephone"/>
    <s v="Physical Therapy"/>
    <x v="0"/>
    <m/>
    <n v="43"/>
    <n v="4.3"/>
    <n v="0"/>
    <n v="0"/>
    <n v="0"/>
    <n v="0"/>
    <n v="0"/>
    <n v="0"/>
    <n v="0"/>
    <n v="0"/>
    <n v="0"/>
    <n v="0"/>
    <n v="47.3"/>
    <n v="0"/>
  </r>
  <r>
    <x v="15"/>
    <x v="0"/>
    <x v="0"/>
    <s v="4315102"/>
    <n v="731060"/>
    <s v="Pagers"/>
    <s v="Physical Therapy"/>
    <x v="0"/>
    <n v="1002"/>
    <n v="137.56"/>
    <n v="138.9"/>
    <n v="138.9"/>
    <n v="139.24"/>
    <n v="139.24"/>
    <n v="0"/>
    <n v="278.48"/>
    <n v="139.24"/>
    <n v="139.24"/>
    <n v="139.24"/>
    <n v="139.24"/>
    <n v="139.24"/>
    <n v="1668.52"/>
    <n v="0"/>
  </r>
  <r>
    <x v="16"/>
    <x v="0"/>
    <x v="0"/>
    <s v="4315102"/>
    <n v="732020"/>
    <s v="Repairs--Clin Equip-Parts-Internal to CHI Programs"/>
    <s v="Physical Therapy"/>
    <x v="0"/>
    <m/>
    <n v="0"/>
    <n v="0"/>
    <n v="9.98"/>
    <n v="0.31"/>
    <n v="0"/>
    <n v="0"/>
    <n v="0"/>
    <n v="0"/>
    <n v="0"/>
    <n v="0"/>
    <n v="0"/>
    <n v="0"/>
    <n v="10.290000000000001"/>
    <n v="0"/>
  </r>
  <r>
    <x v="16"/>
    <x v="0"/>
    <x v="0"/>
    <s v="4315102"/>
    <n v="732030"/>
    <s v="Repairs---Other"/>
    <s v="Physical Therapy"/>
    <x v="0"/>
    <m/>
    <n v="0"/>
    <n v="0"/>
    <n v="0"/>
    <n v="0"/>
    <n v="4108.5"/>
    <n v="0"/>
    <n v="0"/>
    <n v="0"/>
    <n v="0"/>
    <n v="0"/>
    <n v="0"/>
    <n v="0"/>
    <n v="4108.5"/>
    <n v="0"/>
  </r>
  <r>
    <x v="13"/>
    <x v="0"/>
    <x v="0"/>
    <s v="4315102"/>
    <n v="735070"/>
    <s v="Depreciation-Movable Equipment"/>
    <s v="Physical Therapy"/>
    <x v="0"/>
    <m/>
    <n v="240.08"/>
    <n v="240.07"/>
    <n v="240.08"/>
    <n v="240.07"/>
    <n v="240.08"/>
    <n v="152.97"/>
    <n v="152.97999999999999"/>
    <n v="152.97"/>
    <n v="152.99"/>
    <n v="152.97"/>
    <n v="152.99"/>
    <n v="152.97"/>
    <n v="2271.2199999999998"/>
    <n v="2.0000000000010232E-2"/>
  </r>
  <r>
    <x v="0"/>
    <x v="0"/>
    <x v="0"/>
    <s v="4315102"/>
    <n v="740020"/>
    <s v="Education-Registration Fees"/>
    <s v="Physical Therapy"/>
    <x v="0"/>
    <m/>
    <n v="0"/>
    <n v="0"/>
    <n v="0"/>
    <n v="0"/>
    <n v="0"/>
    <n v="0"/>
    <n v="0"/>
    <n v="0"/>
    <n v="450"/>
    <n v="450"/>
    <n v="2305.0100000000002"/>
    <n v="0"/>
    <n v="3205.01"/>
    <n v="2305.0100000000002"/>
  </r>
  <r>
    <x v="0"/>
    <x v="0"/>
    <x v="0"/>
    <s v="4315102"/>
    <n v="749510"/>
    <s v="Miscellaneous Expenses"/>
    <s v="Physical Therapy"/>
    <x v="0"/>
    <m/>
    <n v="0"/>
    <n v="3371.93"/>
    <n v="0"/>
    <n v="0"/>
    <n v="12.2"/>
    <n v="0"/>
    <n v="0"/>
    <n v="0"/>
    <n v="0"/>
    <n v="0"/>
    <n v="0"/>
    <n v="0"/>
    <n v="3384.1299999999997"/>
    <n v="0"/>
  </r>
  <r>
    <x v="0"/>
    <x v="0"/>
    <x v="0"/>
    <s v="4315102"/>
    <n v="749510"/>
    <s v="RICE Rewards"/>
    <s v="Physical Therapy"/>
    <x v="0"/>
    <n v="5100"/>
    <n v="0"/>
    <n v="0"/>
    <n v="0"/>
    <n v="0"/>
    <n v="0"/>
    <n v="548.30999999999995"/>
    <n v="0"/>
    <n v="0"/>
    <n v="0"/>
    <n v="0"/>
    <n v="0"/>
    <n v="0"/>
    <n v="548.30999999999995"/>
    <n v="0"/>
  </r>
  <r>
    <x v="0"/>
    <x v="0"/>
    <x v="0"/>
    <s v="4315102"/>
    <n v="749550"/>
    <s v="Cash Over/Short"/>
    <s v="Physical Therapy"/>
    <x v="0"/>
    <m/>
    <n v="-5"/>
    <n v="0"/>
    <n v="0"/>
    <n v="0"/>
    <n v="0"/>
    <n v="0"/>
    <n v="0"/>
    <n v="0"/>
    <n v="5"/>
    <n v="0"/>
    <n v="0"/>
    <n v="0"/>
    <n v="0"/>
    <n v="0"/>
  </r>
  <r>
    <x v="18"/>
    <x v="4"/>
    <x v="0"/>
    <s v="4315103"/>
    <n v="400010"/>
    <s v="Acute I/P Svcs Rev--Medicare"/>
    <s v="Physical Therapy"/>
    <x v="0"/>
    <n v="1100"/>
    <n v="-162862.67000000001"/>
    <n v="-158083.57999999999"/>
    <n v="-160139.85999999999"/>
    <n v="-154539.74"/>
    <n v="-141800.99"/>
    <n v="-157273.42000000001"/>
    <n v="-156481.65"/>
    <n v="-142463.51"/>
    <n v="-165519.94"/>
    <n v="-134640.98000000001"/>
    <n v="-129731.28"/>
    <n v="-148007.98000000001"/>
    <n v="-1811545.5999999999"/>
    <n v="18276.700000000012"/>
  </r>
  <r>
    <x v="18"/>
    <x v="4"/>
    <x v="0"/>
    <s v="4315103"/>
    <n v="400010"/>
    <s v="Acute I/P Svcs Rev--Medicaid"/>
    <s v="Physical Therapy"/>
    <x v="0"/>
    <n v="1200"/>
    <n v="-29881.82"/>
    <n v="-21743.9"/>
    <n v="-15468.49"/>
    <n v="-23190.16"/>
    <n v="-28769.119999999999"/>
    <n v="-43670.46"/>
    <n v="-34622.83"/>
    <n v="-34191.19"/>
    <n v="-39005.839999999997"/>
    <n v="-48067.74"/>
    <n v="-38292.76"/>
    <n v="-24929.45"/>
    <n v="-381833.76000000007"/>
    <n v="-13363.310000000001"/>
  </r>
  <r>
    <x v="18"/>
    <x v="4"/>
    <x v="0"/>
    <s v="4315103"/>
    <n v="400010"/>
    <s v="Acute I/P Svcs Rev--Comm Insurance"/>
    <s v="Physical Therapy"/>
    <x v="0"/>
    <n v="1300"/>
    <n v="-5137.3599999999997"/>
    <n v="-3966.78"/>
    <n v="595.79999999999995"/>
    <n v="-3842.89"/>
    <n v="-5199.97"/>
    <n v="-2055.5300000000002"/>
    <n v="-287.72000000000003"/>
    <n v="-1301.17"/>
    <n v="331.34"/>
    <n v="2355.56"/>
    <n v="-2003.94"/>
    <n v="-1511.77"/>
    <n v="-22024.43"/>
    <n v="-492.17000000000007"/>
  </r>
  <r>
    <x v="18"/>
    <x v="4"/>
    <x v="0"/>
    <s v="4315103"/>
    <n v="400010"/>
    <s v="Acute I/P Svcs Rev--BCBS Comm"/>
    <s v="Physical Therapy"/>
    <x v="0"/>
    <n v="1301"/>
    <n v="-1429.69"/>
    <n v="-2638.14"/>
    <n v="-4005.93"/>
    <n v="-3027.19"/>
    <n v="-4026.47"/>
    <n v="-4938.83"/>
    <n v="-7666.81"/>
    <n v="-3054.28"/>
    <n v="-3401.42"/>
    <n v="-7173.9"/>
    <n v="-3459.74"/>
    <n v="-5889.28"/>
    <n v="-50711.68"/>
    <n v="2429.54"/>
  </r>
  <r>
    <x v="18"/>
    <x v="4"/>
    <x v="0"/>
    <s v="4315103"/>
    <n v="400010"/>
    <s v="Acute I/P Svcs Rev--Managed Care"/>
    <s v="Physical Therapy"/>
    <x v="0"/>
    <n v="1400"/>
    <n v="-16874.990000000002"/>
    <n v="-12660.2"/>
    <n v="-9090.11"/>
    <n v="-20234.84"/>
    <n v="-10172.700000000001"/>
    <n v="-9676.39"/>
    <n v="-14842.86"/>
    <n v="-11697.01"/>
    <n v="-3570.98"/>
    <n v="-9421.01"/>
    <n v="-790.77"/>
    <n v="-4482.75"/>
    <n v="-123514.60999999999"/>
    <n v="3691.98"/>
  </r>
  <r>
    <x v="18"/>
    <x v="4"/>
    <x v="0"/>
    <s v="4315103"/>
    <n v="400010"/>
    <s v="Acute I/P Svcs Rev--Self Pay"/>
    <s v="Physical Therapy"/>
    <x v="0"/>
    <n v="1500"/>
    <n v="305.89999999999998"/>
    <n v="-5392.89"/>
    <n v="0"/>
    <n v="0"/>
    <n v="-1559.46"/>
    <n v="-1040.4000000000001"/>
    <n v="1040.4000000000001"/>
    <n v="-543.54"/>
    <n v="-3699.05"/>
    <n v="-1451.81"/>
    <n v="-346.35"/>
    <n v="-1157.21"/>
    <n v="-13844.41"/>
    <n v="810.86"/>
  </r>
  <r>
    <x v="18"/>
    <x v="4"/>
    <x v="0"/>
    <s v="4315103"/>
    <n v="400010"/>
    <s v="Acute I/P Svcs Rev--Other"/>
    <s v="Physical Therapy"/>
    <x v="0"/>
    <n v="1700"/>
    <n v="-6744.21"/>
    <n v="-4424.3100000000004"/>
    <n v="-4334.32"/>
    <n v="-11583.57"/>
    <n v="-6949.27"/>
    <n v="-9769.99"/>
    <n v="-16085.23"/>
    <n v="-11973.46"/>
    <n v="-15535.55"/>
    <n v="-9860.4500000000007"/>
    <n v="-14715.4"/>
    <n v="-4851.47"/>
    <n v="-116827.22999999998"/>
    <n v="-9863.93"/>
  </r>
  <r>
    <x v="19"/>
    <x v="4"/>
    <x v="0"/>
    <s v="4315103"/>
    <n v="400020"/>
    <s v="O/P Care Svcs Rev--Medicare"/>
    <s v="Physical Therapy"/>
    <x v="0"/>
    <n v="1100"/>
    <n v="-207794.59"/>
    <n v="-236213.99"/>
    <n v="-190098.84"/>
    <n v="-239455.46"/>
    <n v="-210065.41"/>
    <n v="-194429.03"/>
    <n v="-243994.72"/>
    <n v="-205433.07"/>
    <n v="-234820.74"/>
    <n v="-243122.91"/>
    <n v="-251856.78"/>
    <n v="-227451.59"/>
    <n v="-2684737.1299999994"/>
    <n v="-24405.190000000002"/>
  </r>
  <r>
    <x v="19"/>
    <x v="4"/>
    <x v="0"/>
    <s v="4315103"/>
    <n v="400020"/>
    <s v="O/P Care Svcs Rev--Medicaid"/>
    <s v="Physical Therapy"/>
    <x v="0"/>
    <n v="1200"/>
    <n v="-97396.04"/>
    <n v="-109968.28"/>
    <n v="-96457.36"/>
    <n v="-145119.44"/>
    <n v="-127933.08"/>
    <n v="-85132.35"/>
    <n v="-103062.44"/>
    <n v="-88336.639999999999"/>
    <n v="-104957.75999999999"/>
    <n v="-120683.82"/>
    <n v="-130575.73"/>
    <n v="-130611.54"/>
    <n v="-1340234.48"/>
    <n v="35.809999999997672"/>
  </r>
  <r>
    <x v="19"/>
    <x v="4"/>
    <x v="0"/>
    <s v="4315103"/>
    <n v="400020"/>
    <s v="O/P Care Svcs Rev--Comm Insurance"/>
    <s v="Physical Therapy"/>
    <x v="0"/>
    <n v="1300"/>
    <n v="-17143.099999999999"/>
    <n v="-18840.88"/>
    <n v="-17073.900000000001"/>
    <n v="-27266.69"/>
    <n v="-22216.95"/>
    <n v="-22484.55"/>
    <n v="-32597.599999999999"/>
    <n v="-22963.7"/>
    <n v="-14919"/>
    <n v="-18840.79"/>
    <n v="-32086.65"/>
    <n v="-19873.38"/>
    <n v="-266307.19"/>
    <n v="-12213.27"/>
  </r>
  <r>
    <x v="19"/>
    <x v="4"/>
    <x v="0"/>
    <s v="4315103"/>
    <n v="400020"/>
    <s v="O/P Care Svcs Rev--BCBS Comm"/>
    <s v="Physical Therapy"/>
    <x v="0"/>
    <n v="1301"/>
    <n v="-27278.37"/>
    <n v="-32334.05"/>
    <n v="-34347.410000000003"/>
    <n v="-26786.2"/>
    <n v="-30005.77"/>
    <n v="-17956.45"/>
    <n v="-18842.46"/>
    <n v="-16233.86"/>
    <n v="-38458.04"/>
    <n v="-37839.410000000003"/>
    <n v="-30620.22"/>
    <n v="-22145.57"/>
    <n v="-332847.81"/>
    <n v="-8474.6500000000015"/>
  </r>
  <r>
    <x v="19"/>
    <x v="4"/>
    <x v="0"/>
    <s v="4315103"/>
    <n v="400020"/>
    <s v="O/P Care Svcs Rev--Managed Care"/>
    <s v="Physical Therapy"/>
    <x v="0"/>
    <n v="1400"/>
    <n v="-99783.13"/>
    <n v="-89947.5"/>
    <n v="-73327.570000000007"/>
    <n v="-91957.15"/>
    <n v="-92701.13"/>
    <n v="-82695.44"/>
    <n v="-99559.21"/>
    <n v="-82789.179999999993"/>
    <n v="-89403.51"/>
    <n v="-100242.6"/>
    <n v="-109454.32"/>
    <n v="-123889.18"/>
    <n v="-1135749.9199999997"/>
    <n v="14434.859999999986"/>
  </r>
  <r>
    <x v="19"/>
    <x v="4"/>
    <x v="0"/>
    <s v="4315103"/>
    <n v="400020"/>
    <s v="O/P Care Svcs Rev--Self Pay"/>
    <s v="Physical Therapy"/>
    <x v="0"/>
    <n v="1500"/>
    <n v="-4148.5600000000004"/>
    <n v="3054.78"/>
    <n v="-4921.0200000000004"/>
    <n v="-7820.37"/>
    <n v="-1647.98"/>
    <n v="-11409.38"/>
    <n v="2866.74"/>
    <n v="2070.94"/>
    <n v="-5748.5"/>
    <n v="-9975.2199999999993"/>
    <n v="-7435.21"/>
    <n v="-5079.34"/>
    <n v="-50193.119999999995"/>
    <n v="-2355.87"/>
  </r>
  <r>
    <x v="19"/>
    <x v="4"/>
    <x v="0"/>
    <s v="4315103"/>
    <n v="400020"/>
    <s v="O/P Care Svcs Rev--Other"/>
    <s v="Physical Therapy"/>
    <x v="0"/>
    <n v="1700"/>
    <n v="-37584.28"/>
    <n v="-41295.47"/>
    <n v="-28384.98"/>
    <n v="-37902.17"/>
    <n v="-28538.87"/>
    <n v="-40476.82"/>
    <n v="-38314"/>
    <n v="-26838.65"/>
    <n v="-32398.19"/>
    <n v="-43196.54"/>
    <n v="-50695.55"/>
    <n v="-48500.32"/>
    <n v="-454125.83999999997"/>
    <n v="-2195.2300000000032"/>
  </r>
  <r>
    <x v="5"/>
    <x v="4"/>
    <x v="0"/>
    <s v="4315103"/>
    <n v="700032"/>
    <s v="Salaries-Other Pat Care Providers-Productive"/>
    <s v="Physical Therapy"/>
    <x v="0"/>
    <m/>
    <n v="75423.37"/>
    <n v="79618.19"/>
    <n v="76837.789999999994"/>
    <n v="84872.94"/>
    <n v="77725.58"/>
    <n v="78196.160000000003"/>
    <n v="79154.3"/>
    <n v="67970.789999999994"/>
    <n v="78560.600000000006"/>
    <n v="78306.83"/>
    <n v="82709.919999999998"/>
    <n v="81891.850000000006"/>
    <n v="941268.32000000007"/>
    <n v="818.06999999999243"/>
  </r>
  <r>
    <x v="5"/>
    <x v="4"/>
    <x v="0"/>
    <s v="4315103"/>
    <n v="700032"/>
    <s v="Salaries-Other Pat Care Providers-OT"/>
    <s v="Physical Therapy"/>
    <x v="0"/>
    <n v="1000"/>
    <n v="349.32"/>
    <n v="117.74"/>
    <n v="648.82000000000005"/>
    <n v="547.28"/>
    <n v="39.56"/>
    <n v="70.260000000000005"/>
    <n v="424.75"/>
    <n v="268.89"/>
    <n v="39.81"/>
    <n v="999.53"/>
    <n v="-95.63"/>
    <n v="69.03"/>
    <n v="3479.36"/>
    <n v="-164.66"/>
  </r>
  <r>
    <x v="5"/>
    <x v="4"/>
    <x v="0"/>
    <s v="4315103"/>
    <n v="700032"/>
    <s v="Salaries-Other Pat Care Providers-Other"/>
    <s v="Physical Therapy"/>
    <x v="0"/>
    <n v="2000"/>
    <n v="2110.4699999999998"/>
    <n v="2572.48"/>
    <n v="3068.47"/>
    <n v="2774.76"/>
    <n v="1938.99"/>
    <n v="2407.33"/>
    <n v="1962.83"/>
    <n v="2131.83"/>
    <n v="2170.65"/>
    <n v="2112.16"/>
    <n v="1860.83"/>
    <n v="2232.62"/>
    <n v="27343.420000000002"/>
    <n v="-371.78999999999996"/>
  </r>
  <r>
    <x v="5"/>
    <x v="4"/>
    <x v="0"/>
    <s v="4315103"/>
    <n v="700034"/>
    <s v="Salaries-Tech/Professional-Productive"/>
    <s v="Physical Therapy"/>
    <x v="0"/>
    <m/>
    <n v="12841.41"/>
    <n v="9415.5400000000009"/>
    <n v="11752.34"/>
    <n v="14912.68"/>
    <n v="12323.4"/>
    <n v="10894.16"/>
    <n v="12753.62"/>
    <n v="10219.91"/>
    <n v="14687.17"/>
    <n v="14928.68"/>
    <n v="12073.4"/>
    <n v="12574.13"/>
    <n v="149376.44"/>
    <n v="-500.72999999999956"/>
  </r>
  <r>
    <x v="5"/>
    <x v="4"/>
    <x v="0"/>
    <s v="4315103"/>
    <n v="700034"/>
    <s v="Salaries-Tech/Professional-OT"/>
    <s v="Physical Therapy"/>
    <x v="0"/>
    <n v="1000"/>
    <n v="252"/>
    <n v="159.77000000000001"/>
    <n v="258.27"/>
    <n v="422.03"/>
    <n v="45.73"/>
    <n v="176.17"/>
    <n v="243.56"/>
    <n v="183.99"/>
    <n v="186.49"/>
    <n v="285.08"/>
    <n v="273.45"/>
    <n v="95.36"/>
    <n v="2581.9"/>
    <n v="178.08999999999997"/>
  </r>
  <r>
    <x v="5"/>
    <x v="4"/>
    <x v="0"/>
    <s v="4315103"/>
    <n v="700034"/>
    <s v="Salaries-Tech/Professional-Other"/>
    <s v="Physical Therapy"/>
    <x v="0"/>
    <n v="2000"/>
    <n v="62.52"/>
    <n v="78.44"/>
    <n v="82.53"/>
    <n v="39.74"/>
    <n v="32.19"/>
    <n v="55.68"/>
    <n v="33.61"/>
    <n v="45.72"/>
    <n v="184.59"/>
    <n v="93.39"/>
    <n v="153.38999999999999"/>
    <n v="13.19"/>
    <n v="874.99000000000012"/>
    <n v="140.19999999999999"/>
  </r>
  <r>
    <x v="5"/>
    <x v="4"/>
    <x v="0"/>
    <s v="4315103"/>
    <n v="700054"/>
    <s v="Salaries-Management-NonProd-Other"/>
    <s v="Physical Therapy"/>
    <x v="0"/>
    <n v="2000"/>
    <n v="0"/>
    <n v="0"/>
    <n v="0"/>
    <n v="0"/>
    <n v="0"/>
    <n v="1468.08"/>
    <n v="-1468.08"/>
    <n v="0"/>
    <n v="0"/>
    <n v="0"/>
    <n v="0"/>
    <n v="0"/>
    <n v="0"/>
    <n v="0"/>
  </r>
  <r>
    <x v="5"/>
    <x v="4"/>
    <x v="0"/>
    <s v="4315103"/>
    <n v="700072"/>
    <s v="Salaries-Other Pat Care Providers-Non-productive"/>
    <s v="Physical Therapy"/>
    <x v="0"/>
    <m/>
    <n v="10410.82"/>
    <n v="7066.27"/>
    <n v="16202.74"/>
    <n v="11464.39"/>
    <n v="17241.27"/>
    <n v="17447.32"/>
    <n v="12282.03"/>
    <n v="11566.07"/>
    <n v="9043.4699999999993"/>
    <n v="12140.2"/>
    <n v="9997.84"/>
    <n v="5177.8"/>
    <n v="140040.22"/>
    <n v="4820.04"/>
  </r>
  <r>
    <x v="5"/>
    <x v="4"/>
    <x v="0"/>
    <s v="4315103"/>
    <n v="700074"/>
    <s v="Salaries-Tech/Professional-Non-productive"/>
    <s v="Physical Therapy"/>
    <x v="0"/>
    <m/>
    <n v="2489.86"/>
    <n v="6148.01"/>
    <n v="3304.57"/>
    <n v="724.73"/>
    <n v="1952.43"/>
    <n v="3971"/>
    <n v="2210.44"/>
    <n v="3422"/>
    <n v="1282.47"/>
    <n v="238.54"/>
    <n v="3671.03"/>
    <n v="1705.24"/>
    <n v="31120.32"/>
    <n v="1965.7900000000002"/>
  </r>
  <r>
    <x v="5"/>
    <x v="4"/>
    <x v="0"/>
    <s v="4315103"/>
    <n v="700074"/>
    <s v="Salaries-Tech/Professional-NonProd-Other"/>
    <s v="Physical Therapy"/>
    <x v="0"/>
    <n v="2000"/>
    <n v="0"/>
    <n v="0"/>
    <n v="0"/>
    <n v="0"/>
    <n v="251.65"/>
    <n v="0"/>
    <n v="0"/>
    <n v="-251.65"/>
    <n v="0"/>
    <n v="0"/>
    <n v="0"/>
    <n v="0"/>
    <n v="0"/>
    <n v="0"/>
  </r>
  <r>
    <x v="5"/>
    <x v="4"/>
    <x v="0"/>
    <s v="4315103"/>
    <n v="700084"/>
    <s v="Accrued PTO"/>
    <s v="Physical Therapy"/>
    <x v="0"/>
    <m/>
    <n v="191.05"/>
    <n v="1145.3499999999999"/>
    <n v="-4253.05"/>
    <n v="976.03"/>
    <n v="-713.39"/>
    <n v="-3254.41"/>
    <n v="-1962.34"/>
    <n v="-620.77"/>
    <n v="2542.88"/>
    <n v="3741.26"/>
    <n v="3628.35"/>
    <n v="5847.71"/>
    <n v="7268.67"/>
    <n v="-2219.36"/>
  </r>
  <r>
    <x v="6"/>
    <x v="4"/>
    <x v="0"/>
    <s v="4315103"/>
    <n v="713010"/>
    <s v="Benefits-FICA/Medicare"/>
    <s v="Physical Therapy"/>
    <x v="0"/>
    <m/>
    <n v="7779.03"/>
    <n v="7846.95"/>
    <n v="8404.2000000000007"/>
    <n v="8689.68"/>
    <n v="8504.17"/>
    <n v="8694.9699999999993"/>
    <n v="9143.2099999999991"/>
    <n v="7180.06"/>
    <n v="8094.5"/>
    <n v="8250.56"/>
    <n v="8231.92"/>
    <n v="7912"/>
    <n v="98731.25"/>
    <n v="319.92000000000007"/>
  </r>
  <r>
    <x v="6"/>
    <x v="4"/>
    <x v="0"/>
    <s v="4315103"/>
    <n v="713090"/>
    <s v="Benefits-Allocated Amounts"/>
    <s v="Physical Therapy"/>
    <x v="0"/>
    <m/>
    <n v="17868.240000000002"/>
    <n v="15787.87"/>
    <n v="18428.939999999999"/>
    <n v="18283.88"/>
    <n v="18063.419999999998"/>
    <n v="18161.59"/>
    <n v="18616.91"/>
    <n v="17642.419999999998"/>
    <n v="17345.5"/>
    <n v="19967.2"/>
    <n v="19727.84"/>
    <n v="18760.099999999999"/>
    <n v="218653.91000000003"/>
    <n v="967.7400000000016"/>
  </r>
  <r>
    <x v="7"/>
    <x v="4"/>
    <x v="0"/>
    <s v="4315103"/>
    <n v="718050"/>
    <s v="Document Shredding/Storage"/>
    <s v="Physical Therapy"/>
    <x v="0"/>
    <n v="1012"/>
    <n v="4.99"/>
    <n v="5.12"/>
    <n v="4.71"/>
    <n v="4.87"/>
    <n v="5.03"/>
    <n v="5.03"/>
    <n v="4.97"/>
    <n v="4.29"/>
    <n v="4.43"/>
    <n v="5.79"/>
    <n v="4.87"/>
    <n v="5.03"/>
    <n v="59.13"/>
    <n v="-0.16000000000000014"/>
  </r>
  <r>
    <x v="7"/>
    <x v="4"/>
    <x v="0"/>
    <s v="4315103"/>
    <n v="718050"/>
    <s v="Translation Services"/>
    <s v="Physical Therapy"/>
    <x v="0"/>
    <n v="1025"/>
    <n v="66.42"/>
    <n v="2462.5700000000002"/>
    <n v="1500.75"/>
    <n v="2229.04"/>
    <n v="507.66"/>
    <n v="1206.8399999999999"/>
    <n v="1159.93"/>
    <n v="479"/>
    <n v="1952.26"/>
    <n v="7.9"/>
    <n v="1654.5"/>
    <n v="0"/>
    <n v="13226.87"/>
    <n v="1654.5"/>
  </r>
  <r>
    <x v="7"/>
    <x v="4"/>
    <x v="0"/>
    <s v="4315103"/>
    <n v="718050"/>
    <s v="Contract Management--Linen"/>
    <s v="Physical Therapy"/>
    <x v="0"/>
    <n v="1026"/>
    <n v="149.6"/>
    <n v="436.42"/>
    <n v="412.17"/>
    <n v="196.05"/>
    <n v="439.55"/>
    <n v="333.99"/>
    <n v="436.76"/>
    <n v="423.52"/>
    <n v="311.83999999999997"/>
    <n v="895.5"/>
    <n v="488.63"/>
    <n v="610.54"/>
    <n v="5134.57"/>
    <n v="-121.90999999999997"/>
  </r>
  <r>
    <x v="11"/>
    <x v="4"/>
    <x v="0"/>
    <s v="4315103"/>
    <n v="721010"/>
    <s v="Supplies-Medical - Billable"/>
    <s v="Physical Therapy"/>
    <x v="0"/>
    <m/>
    <n v="90.9"/>
    <n v="204.84"/>
    <n v="9.6999999999999993"/>
    <n v="75.48"/>
    <n v="79.27"/>
    <n v="60.87"/>
    <n v="168.42"/>
    <n v="104.92"/>
    <n v="153.41"/>
    <n v="148.5"/>
    <n v="131.37"/>
    <n v="219.16"/>
    <n v="1446.84"/>
    <n v="-87.789999999999992"/>
  </r>
  <r>
    <x v="11"/>
    <x v="4"/>
    <x v="0"/>
    <s v="4315103"/>
    <n v="721010"/>
    <s v="Patient Monitoring"/>
    <s v="Physical Therapy"/>
    <x v="0"/>
    <n v="1000"/>
    <n v="0"/>
    <n v="0"/>
    <n v="0"/>
    <n v="0"/>
    <n v="207.71"/>
    <n v="0"/>
    <n v="12.29"/>
    <n v="0"/>
    <n v="0"/>
    <n v="0"/>
    <n v="0"/>
    <n v="0"/>
    <n v="220"/>
    <n v="0"/>
  </r>
  <r>
    <x v="11"/>
    <x v="4"/>
    <x v="0"/>
    <s v="4315103"/>
    <n v="721020"/>
    <s v="Supplies-Surgical - Billable"/>
    <s v="Physical Therapy"/>
    <x v="0"/>
    <m/>
    <n v="20.63"/>
    <n v="0"/>
    <n v="0"/>
    <n v="27.9"/>
    <n v="0"/>
    <n v="0"/>
    <n v="112.25"/>
    <n v="0"/>
    <n v="0"/>
    <n v="0"/>
    <n v="0"/>
    <n v="0"/>
    <n v="160.78"/>
    <n v="0"/>
  </r>
  <r>
    <x v="11"/>
    <x v="4"/>
    <x v="0"/>
    <s v="4315103"/>
    <n v="721410"/>
    <s v="Supplies-Medical - Nonbillable"/>
    <s v="Physical Therapy"/>
    <x v="0"/>
    <m/>
    <n v="582.80999999999995"/>
    <n v="381.4"/>
    <n v="470.46"/>
    <n v="387.6"/>
    <n v="545.96"/>
    <n v="274.77"/>
    <n v="558.29"/>
    <n v="758.77"/>
    <n v="588.80999999999995"/>
    <n v="745.12"/>
    <n v="459.4"/>
    <n v="657.86"/>
    <n v="6411.2499999999991"/>
    <n v="-198.46000000000004"/>
  </r>
  <r>
    <x v="11"/>
    <x v="4"/>
    <x v="0"/>
    <s v="4315103"/>
    <n v="721420"/>
    <s v="Supplies-Surgical Nonbillable"/>
    <s v="Physical Therapy"/>
    <x v="0"/>
    <m/>
    <n v="0"/>
    <n v="0"/>
    <n v="0"/>
    <n v="0"/>
    <n v="0"/>
    <n v="0"/>
    <n v="3.88"/>
    <n v="0"/>
    <n v="7.76"/>
    <n v="0"/>
    <n v="0"/>
    <n v="0"/>
    <n v="11.64"/>
    <n v="0"/>
  </r>
  <r>
    <x v="11"/>
    <x v="4"/>
    <x v="0"/>
    <s v="4315103"/>
    <n v="721750"/>
    <s v="Supplies-Film/Radiographic - Nonbillable"/>
    <s v="Physical Therapy"/>
    <x v="0"/>
    <m/>
    <n v="0"/>
    <n v="34.11"/>
    <n v="0"/>
    <n v="0"/>
    <n v="0"/>
    <n v="0"/>
    <n v="0"/>
    <n v="0"/>
    <n v="0"/>
    <n v="0"/>
    <n v="0"/>
    <n v="34.11"/>
    <n v="68.22"/>
    <n v="-34.11"/>
  </r>
  <r>
    <x v="11"/>
    <x v="4"/>
    <x v="0"/>
    <s v="4315103"/>
    <n v="721810"/>
    <s v="Supplies-Dietary/Cafeteria"/>
    <s v="Physical Therapy"/>
    <x v="0"/>
    <m/>
    <n v="12.72"/>
    <n v="0"/>
    <n v="8.84"/>
    <n v="3.33"/>
    <n v="13.52"/>
    <n v="11.26"/>
    <n v="4.5"/>
    <n v="9.01"/>
    <n v="0"/>
    <n v="5.65"/>
    <n v="0"/>
    <n v="2.87"/>
    <n v="71.7"/>
    <n v="-2.87"/>
  </r>
  <r>
    <x v="11"/>
    <x v="4"/>
    <x v="0"/>
    <s v="4315103"/>
    <n v="721830"/>
    <s v="Supplies-Office"/>
    <s v="Physical Therapy"/>
    <x v="0"/>
    <m/>
    <n v="124.89"/>
    <n v="212.04"/>
    <n v="0"/>
    <n v="149.62"/>
    <n v="115.56"/>
    <n v="110.44"/>
    <n v="113.99"/>
    <n v="112.02"/>
    <n v="0"/>
    <n v="362.3"/>
    <n v="117.08"/>
    <n v="0"/>
    <n v="1417.9399999999998"/>
    <n v="117.08"/>
  </r>
  <r>
    <x v="11"/>
    <x v="4"/>
    <x v="0"/>
    <s v="4315103"/>
    <n v="721835"/>
    <s v="Supplies-Forms"/>
    <s v="Physical Therapy"/>
    <x v="0"/>
    <m/>
    <n v="0"/>
    <n v="0"/>
    <n v="0"/>
    <n v="0"/>
    <n v="4"/>
    <n v="0"/>
    <n v="0"/>
    <n v="0"/>
    <n v="0"/>
    <n v="0"/>
    <n v="0"/>
    <n v="13"/>
    <n v="17"/>
    <n v="-13"/>
  </r>
  <r>
    <x v="11"/>
    <x v="4"/>
    <x v="0"/>
    <s v="4315103"/>
    <n v="721870"/>
    <s v="Supplies-Environmental Services"/>
    <s v="Physical Therapy"/>
    <x v="0"/>
    <m/>
    <n v="22.47"/>
    <n v="33.619999999999997"/>
    <n v="107.5"/>
    <n v="167.08"/>
    <n v="52.36"/>
    <n v="36.57"/>
    <n v="76.03"/>
    <n v="28.82"/>
    <n v="47.51"/>
    <n v="43.21"/>
    <n v="33.619999999999997"/>
    <n v="19.21"/>
    <n v="668.00000000000011"/>
    <n v="14.409999999999997"/>
  </r>
  <r>
    <x v="11"/>
    <x v="4"/>
    <x v="0"/>
    <s v="4315103"/>
    <n v="721910"/>
    <s v="Supplies-Small Equipment"/>
    <s v="Physical Therapy"/>
    <x v="0"/>
    <m/>
    <n v="125.22"/>
    <n v="39.08"/>
    <n v="238.51"/>
    <n v="178.48"/>
    <n v="21.26"/>
    <n v="1.44"/>
    <n v="144.04"/>
    <n v="423.26"/>
    <n v="20.96"/>
    <n v="-132.87"/>
    <n v="10.029999999999999"/>
    <n v="0"/>
    <n v="1069.4100000000001"/>
    <n v="10.029999999999999"/>
  </r>
  <r>
    <x v="11"/>
    <x v="4"/>
    <x v="0"/>
    <s v="4315103"/>
    <n v="721980"/>
    <s v="Supplies-Other"/>
    <s v="Physical Therapy"/>
    <x v="0"/>
    <m/>
    <n v="0"/>
    <n v="0"/>
    <n v="0"/>
    <n v="-132.18"/>
    <n v="2104.0300000000002"/>
    <n v="-2104.0300000000002"/>
    <n v="0"/>
    <n v="20.95"/>
    <n v="0"/>
    <n v="0"/>
    <n v="0"/>
    <n v="0"/>
    <n v="-111.23000000000006"/>
    <n v="0"/>
  </r>
  <r>
    <x v="11"/>
    <x v="4"/>
    <x v="0"/>
    <s v="4315103"/>
    <n v="722000"/>
    <s v="Supplies-Freight Expense"/>
    <s v="Physical Therapy"/>
    <x v="0"/>
    <m/>
    <n v="0"/>
    <n v="15.88"/>
    <n v="0"/>
    <n v="39.75"/>
    <n v="0"/>
    <n v="6.32"/>
    <n v="0"/>
    <n v="0"/>
    <n v="8.23"/>
    <n v="0"/>
    <n v="0"/>
    <n v="0"/>
    <n v="70.180000000000007"/>
    <n v="0"/>
  </r>
  <r>
    <x v="12"/>
    <x v="4"/>
    <x v="0"/>
    <s v="4315103"/>
    <n v="730010"/>
    <s v="Rental and Leases-Building (DO NOT USE)"/>
    <s v="Physical Therapy"/>
    <x v="0"/>
    <m/>
    <n v="19602.04"/>
    <n v="19583.93"/>
    <n v="19602.04"/>
    <n v="19602.04"/>
    <n v="19602.04"/>
    <n v="-2564.6999999999998"/>
    <n v="15025.85"/>
    <n v="15025.85"/>
    <n v="15025.85"/>
    <n v="15025.85"/>
    <n v="15025.85"/>
    <n v="0"/>
    <n v="170556.64"/>
    <n v="15025.85"/>
  </r>
  <r>
    <x v="12"/>
    <x v="4"/>
    <x v="0"/>
    <s v="4315103"/>
    <n v="730010"/>
    <s v="Rental-Common Area Maint (DO NOT USE)"/>
    <s v="Physical Therapy"/>
    <x v="0"/>
    <n v="2200"/>
    <n v="0"/>
    <n v="0"/>
    <n v="0"/>
    <n v="0"/>
    <n v="0"/>
    <n v="22166.73"/>
    <n v="4576.18"/>
    <n v="4576.18"/>
    <n v="2950.29"/>
    <n v="5246.25"/>
    <n v="5246.25"/>
    <n v="0"/>
    <n v="44761.88"/>
    <n v="5246.25"/>
  </r>
  <r>
    <x v="12"/>
    <x v="4"/>
    <x v="0"/>
    <s v="4315103"/>
    <n v="730020"/>
    <s v="Rental and Leases-Copier Usage Fees (DO NOT USE)"/>
    <s v="Physical Therapy"/>
    <x v="0"/>
    <n v="5100"/>
    <n v="280.39"/>
    <n v="288.23"/>
    <n v="284.31"/>
    <n v="284.31"/>
    <n v="284.31"/>
    <n v="284.31"/>
    <n v="436.53"/>
    <n v="293.2"/>
    <n v="292.58"/>
    <n v="293.82"/>
    <n v="293.2"/>
    <n v="341.56"/>
    <n v="3656.7499999999995"/>
    <n v="-48.360000000000014"/>
  </r>
  <r>
    <x v="12"/>
    <x v="4"/>
    <x v="0"/>
    <s v="4315103"/>
    <n v="730040"/>
    <s v="LT Lease-Real Estate"/>
    <s v="Physical Therapy"/>
    <x v="0"/>
    <m/>
    <n v="0"/>
    <n v="0"/>
    <n v="0"/>
    <n v="0"/>
    <n v="0"/>
    <n v="0"/>
    <n v="0"/>
    <n v="0"/>
    <n v="0"/>
    <n v="0"/>
    <n v="0"/>
    <n v="20572.62"/>
    <n v="20572.62"/>
    <n v="-20572.62"/>
  </r>
  <r>
    <x v="15"/>
    <x v="4"/>
    <x v="0"/>
    <s v="4315103"/>
    <n v="731020"/>
    <s v="Electricity"/>
    <s v="Physical Therapy"/>
    <x v="0"/>
    <m/>
    <n v="0"/>
    <n v="2567.6999999999998"/>
    <n v="0"/>
    <n v="2274.2399999999998"/>
    <n v="0"/>
    <n v="2536.84"/>
    <n v="0"/>
    <n v="0"/>
    <n v="0"/>
    <n v="0"/>
    <n v="0"/>
    <n v="0"/>
    <n v="7378.78"/>
    <n v="0"/>
  </r>
  <r>
    <x v="15"/>
    <x v="4"/>
    <x v="0"/>
    <s v="4315103"/>
    <n v="731060"/>
    <s v="Pagers"/>
    <s v="Physical Therapy"/>
    <x v="0"/>
    <n v="1002"/>
    <n v="81.87"/>
    <n v="87.07"/>
    <n v="95.29"/>
    <n v="84.38"/>
    <n v="84.38"/>
    <n v="0"/>
    <n v="168.76"/>
    <n v="84.38"/>
    <n v="84.38"/>
    <n v="84.38"/>
    <n v="85.42"/>
    <n v="83.18"/>
    <n v="1023.49"/>
    <n v="2.2399999999999949"/>
  </r>
  <r>
    <x v="16"/>
    <x v="4"/>
    <x v="0"/>
    <s v="4315103"/>
    <n v="732030"/>
    <s v="Repairs---Other"/>
    <s v="Physical Therapy"/>
    <x v="0"/>
    <m/>
    <n v="0"/>
    <n v="0"/>
    <n v="0"/>
    <n v="0"/>
    <n v="0"/>
    <n v="2104.0300000000002"/>
    <n v="0"/>
    <n v="0"/>
    <n v="0"/>
    <n v="0"/>
    <n v="0"/>
    <n v="0"/>
    <n v="2104.0300000000002"/>
    <n v="0"/>
  </r>
  <r>
    <x v="13"/>
    <x v="4"/>
    <x v="0"/>
    <s v="4315103"/>
    <n v="735070"/>
    <s v="Depreciation-Movable Equipment"/>
    <s v="Physical Therapy"/>
    <x v="0"/>
    <m/>
    <n v="24.43"/>
    <n v="24.43"/>
    <n v="24.42"/>
    <n v="24.43"/>
    <n v="24.42"/>
    <n v="24.43"/>
    <n v="24.42"/>
    <n v="11.31"/>
    <n v="11.31"/>
    <n v="11.31"/>
    <n v="11.31"/>
    <n v="11.31"/>
    <n v="227.53000000000003"/>
    <n v="0"/>
  </r>
  <r>
    <x v="0"/>
    <x v="4"/>
    <x v="0"/>
    <s v="4315103"/>
    <n v="740020"/>
    <s v="Education-Registration Fees"/>
    <s v="Physical Therapy"/>
    <x v="0"/>
    <m/>
    <n v="475"/>
    <n v="613.99"/>
    <n v="0"/>
    <n v="0"/>
    <n v="0"/>
    <n v="150"/>
    <n v="0"/>
    <n v="0"/>
    <n v="275"/>
    <n v="0"/>
    <n v="3065.58"/>
    <n v="200"/>
    <n v="4779.57"/>
    <n v="2865.58"/>
  </r>
  <r>
    <x v="0"/>
    <x v="4"/>
    <x v="0"/>
    <s v="4315103"/>
    <n v="749510"/>
    <s v="Miscellaneous Expenses"/>
    <s v="Physical Therapy"/>
    <x v="0"/>
    <m/>
    <n v="0"/>
    <n v="-86.85"/>
    <n v="0"/>
    <n v="0"/>
    <n v="150"/>
    <n v="-150"/>
    <n v="10.02"/>
    <n v="0"/>
    <n v="0"/>
    <n v="150"/>
    <n v="-150"/>
    <n v="0"/>
    <n v="-76.83"/>
    <n v="-150"/>
  </r>
  <r>
    <x v="0"/>
    <x v="4"/>
    <x v="0"/>
    <s v="4315103"/>
    <n v="749550"/>
    <s v="Cash Over/Short"/>
    <s v="Physical Therapy"/>
    <x v="0"/>
    <m/>
    <n v="0"/>
    <n v="0"/>
    <n v="0"/>
    <n v="0"/>
    <n v="0"/>
    <n v="-0.01"/>
    <n v="0"/>
    <n v="0"/>
    <n v="0"/>
    <n v="0"/>
    <n v="0"/>
    <n v="0"/>
    <n v="-0.01"/>
    <n v="0"/>
  </r>
  <r>
    <x v="18"/>
    <x v="8"/>
    <x v="0"/>
    <s v="4315104"/>
    <n v="400010"/>
    <s v="Acute I/P Svcs Rev--Medicare"/>
    <s v="Physical Therapy"/>
    <x v="0"/>
    <n v="1100"/>
    <n v="-113605.44"/>
    <n v="-164284.98000000001"/>
    <n v="-151114.06"/>
    <n v="-144786.35999999999"/>
    <n v="-121097.68"/>
    <n v="-156074.26"/>
    <n v="-166041.10999999999"/>
    <n v="-146285.29999999999"/>
    <n v="-174309.35"/>
    <n v="-150655.64000000001"/>
    <n v="-118776.98"/>
    <n v="-115494.78"/>
    <n v="-1722525.9400000002"/>
    <n v="-3282.1999999999971"/>
  </r>
  <r>
    <x v="18"/>
    <x v="8"/>
    <x v="0"/>
    <s v="4315104"/>
    <n v="400010"/>
    <s v="Acute I/P Svcs Rev--Medicaid"/>
    <s v="Physical Therapy"/>
    <x v="0"/>
    <n v="1200"/>
    <n v="-13532.24"/>
    <n v="-7499.97"/>
    <n v="-11932.15"/>
    <n v="-14560.27"/>
    <n v="-16590.740000000002"/>
    <n v="-15913.8"/>
    <n v="-14119.82"/>
    <n v="-9106.52"/>
    <n v="-13900.63"/>
    <n v="-25274.34"/>
    <n v="-14297.45"/>
    <n v="-8350.85"/>
    <n v="-165078.78000000006"/>
    <n v="-5946.6"/>
  </r>
  <r>
    <x v="18"/>
    <x v="8"/>
    <x v="0"/>
    <s v="4315104"/>
    <n v="400010"/>
    <s v="Acute I/P Svcs Rev--Comm Insurance"/>
    <s v="Physical Therapy"/>
    <x v="0"/>
    <n v="1300"/>
    <n v="-4978.41"/>
    <n v="2384.54"/>
    <n v="-1712.25"/>
    <n v="-2378.96"/>
    <n v="-3886.47"/>
    <n v="-2897.63"/>
    <n v="-4235.88"/>
    <n v="-1987.53"/>
    <n v="-2373.94"/>
    <n v="2538.2800000000002"/>
    <n v="-2917.22"/>
    <n v="-2131"/>
    <n v="-24576.47"/>
    <n v="-786.2199999999998"/>
  </r>
  <r>
    <x v="18"/>
    <x v="8"/>
    <x v="0"/>
    <s v="4315104"/>
    <n v="400010"/>
    <s v="Acute I/P Svcs Rev--BCBS Comm"/>
    <s v="Physical Therapy"/>
    <x v="0"/>
    <n v="1301"/>
    <n v="-6520.63"/>
    <n v="-2713.95"/>
    <n v="-9762.15"/>
    <n v="-11573.28"/>
    <n v="-10819.01"/>
    <n v="-630.62"/>
    <n v="-10498.35"/>
    <n v="-14480.38"/>
    <n v="-8112.55"/>
    <n v="-3584.93"/>
    <n v="-6287.94"/>
    <n v="-5805.61"/>
    <n v="-90789.400000000009"/>
    <n v="-482.32999999999993"/>
  </r>
  <r>
    <x v="18"/>
    <x v="8"/>
    <x v="0"/>
    <s v="4315104"/>
    <n v="400010"/>
    <s v="Acute I/P Svcs Rev--Managed Care"/>
    <s v="Physical Therapy"/>
    <x v="0"/>
    <n v="1400"/>
    <n v="-10108.33"/>
    <n v="-20889.12"/>
    <n v="-10042.52"/>
    <n v="-17420.38"/>
    <n v="-16068.54"/>
    <n v="-15462.28"/>
    <n v="-21470.38"/>
    <n v="-14996.6"/>
    <n v="-15772.69"/>
    <n v="-5566.46"/>
    <n v="-11908.8"/>
    <n v="-12735.87"/>
    <n v="-172441.97"/>
    <n v="827.07000000000153"/>
  </r>
  <r>
    <x v="18"/>
    <x v="8"/>
    <x v="0"/>
    <s v="4315104"/>
    <n v="400010"/>
    <s v="Acute I/P Svcs Rev--Self Pay"/>
    <s v="Physical Therapy"/>
    <x v="0"/>
    <n v="1500"/>
    <n v="-3583.09"/>
    <n v="-2566.21"/>
    <n v="-336.26"/>
    <n v="-2943.08"/>
    <n v="0"/>
    <n v="-4154.4399999999996"/>
    <n v="-515.22"/>
    <n v="0"/>
    <n v="-2096.35"/>
    <n v="-692.7"/>
    <n v="-3963.99"/>
    <n v="-543.54"/>
    <n v="-21394.879999999997"/>
    <n v="-3420.45"/>
  </r>
  <r>
    <x v="18"/>
    <x v="8"/>
    <x v="0"/>
    <s v="4315104"/>
    <n v="400010"/>
    <s v="Acute I/P Svcs Rev--Other"/>
    <s v="Physical Therapy"/>
    <x v="0"/>
    <n v="1700"/>
    <n v="-4289.3900000000003"/>
    <n v="-8826.98"/>
    <n v="-10238.57"/>
    <n v="-8177.8"/>
    <n v="-3966.21"/>
    <n v="-5582.82"/>
    <n v="-10063.469999999999"/>
    <n v="-7849.6"/>
    <n v="-8554.91"/>
    <n v="-8445.18"/>
    <n v="-8698.77"/>
    <n v="-15998.3"/>
    <n v="-100692"/>
    <n v="7299.5299999999988"/>
  </r>
  <r>
    <x v="19"/>
    <x v="8"/>
    <x v="0"/>
    <s v="4315104"/>
    <n v="400020"/>
    <s v="O/P Care Svcs Rev--Medicare"/>
    <s v="Physical Therapy"/>
    <x v="0"/>
    <n v="1100"/>
    <n v="-291161.09000000003"/>
    <n v="-290841.33"/>
    <n v="-243631.18"/>
    <n v="-285535.65000000002"/>
    <n v="-267657.37"/>
    <n v="-238924.96"/>
    <n v="-261920.83"/>
    <n v="-203993.60000000001"/>
    <n v="-282748.78999999998"/>
    <n v="-302301.78000000003"/>
    <n v="-308079.68"/>
    <n v="-290090.34999999998"/>
    <n v="-3266886.6100000003"/>
    <n v="-17989.330000000016"/>
  </r>
  <r>
    <x v="19"/>
    <x v="8"/>
    <x v="0"/>
    <s v="4315104"/>
    <n v="400020"/>
    <s v="O/P Care Svcs Rev--Medicaid"/>
    <s v="Physical Therapy"/>
    <x v="0"/>
    <n v="1200"/>
    <n v="-52686.32"/>
    <n v="-69021.179999999993"/>
    <n v="-42300.08"/>
    <n v="-75967.710000000006"/>
    <n v="-71152.7"/>
    <n v="-55524.32"/>
    <n v="-44539.64"/>
    <n v="-34257.19"/>
    <n v="-55418.84"/>
    <n v="-49208.07"/>
    <n v="-56039.26"/>
    <n v="-51038.38"/>
    <n v="-657153.69000000006"/>
    <n v="-5000.8800000000047"/>
  </r>
  <r>
    <x v="19"/>
    <x v="8"/>
    <x v="0"/>
    <s v="4315104"/>
    <n v="400020"/>
    <s v="O/P Care Svcs Rev--Comm Insurance"/>
    <s v="Physical Therapy"/>
    <x v="0"/>
    <n v="1300"/>
    <n v="-10156.32"/>
    <n v="-12889.87"/>
    <n v="-5854.68"/>
    <n v="-10592.84"/>
    <n v="-9326.5300000000007"/>
    <n v="-11086.7"/>
    <n v="-12103.56"/>
    <n v="-7406.66"/>
    <n v="-22370"/>
    <n v="-26053.25"/>
    <n v="-12937.27"/>
    <n v="-6637.09"/>
    <n v="-147414.76999999999"/>
    <n v="-6300.18"/>
  </r>
  <r>
    <x v="19"/>
    <x v="8"/>
    <x v="0"/>
    <s v="4315104"/>
    <n v="400020"/>
    <s v="O/P Care Svcs Rev--BCBS Comm"/>
    <s v="Physical Therapy"/>
    <x v="0"/>
    <n v="1301"/>
    <n v="-28519.74"/>
    <n v="-30530.15"/>
    <n v="-32116.74"/>
    <n v="-35683.980000000003"/>
    <n v="-33605.47"/>
    <n v="-29594.9"/>
    <n v="-26742.59"/>
    <n v="-30047.29"/>
    <n v="-18237.22"/>
    <n v="-20681.27"/>
    <n v="-23127.439999999999"/>
    <n v="-36272.47"/>
    <n v="-345159.26"/>
    <n v="13145.030000000002"/>
  </r>
  <r>
    <x v="19"/>
    <x v="8"/>
    <x v="0"/>
    <s v="4315104"/>
    <n v="400020"/>
    <s v="O/P Care Svcs Rev--Managed Care"/>
    <s v="Physical Therapy"/>
    <x v="0"/>
    <n v="1400"/>
    <n v="-74084.02"/>
    <n v="-70680.509999999995"/>
    <n v="-72417.279999999999"/>
    <n v="-93745.4"/>
    <n v="-73311.259999999995"/>
    <n v="-86928.87"/>
    <n v="-108294.88"/>
    <n v="-87303.039999999994"/>
    <n v="-81752.98"/>
    <n v="-79735.8"/>
    <n v="-73319.240000000005"/>
    <n v="-67008.75"/>
    <n v="-968582.03"/>
    <n v="-6310.4900000000052"/>
  </r>
  <r>
    <x v="19"/>
    <x v="8"/>
    <x v="0"/>
    <s v="4315104"/>
    <n v="400020"/>
    <s v="O/P Care Svcs Rev--Self Pay"/>
    <s v="Physical Therapy"/>
    <x v="0"/>
    <n v="1500"/>
    <n v="-874.8"/>
    <n v="-770.25"/>
    <n v="-2978.12"/>
    <n v="-4168.99"/>
    <n v="-1694.5"/>
    <n v="-593.86"/>
    <n v="-2628.37"/>
    <n v="-40.4"/>
    <n v="887.32"/>
    <n v="-5159.84"/>
    <n v="-494.12"/>
    <n v="1551.54"/>
    <n v="-16964.389999999996"/>
    <n v="-2045.6599999999999"/>
  </r>
  <r>
    <x v="19"/>
    <x v="8"/>
    <x v="0"/>
    <s v="4315104"/>
    <n v="400020"/>
    <s v="O/P Care Svcs Rev--Other"/>
    <s v="Physical Therapy"/>
    <x v="0"/>
    <n v="1700"/>
    <n v="-22709.42"/>
    <n v="-16519.73"/>
    <n v="-17828.02"/>
    <n v="-26699.79"/>
    <n v="-17252.22"/>
    <n v="-20402.52"/>
    <n v="-30675.89"/>
    <n v="-17990.71"/>
    <n v="-25072.54"/>
    <n v="-15281.23"/>
    <n v="-25035.02"/>
    <n v="-16778.21"/>
    <n v="-252245.3"/>
    <n v="-8256.8100000000013"/>
  </r>
  <r>
    <x v="5"/>
    <x v="8"/>
    <x v="0"/>
    <s v="4315104"/>
    <n v="700014"/>
    <s v="Salaries-Management-Productive"/>
    <s v="Physical Therapy"/>
    <x v="0"/>
    <m/>
    <n v="365.52"/>
    <n v="475.39"/>
    <n v="506.83"/>
    <n v="96.44"/>
    <n v="1358.33"/>
    <n v="-399.76"/>
    <n v="1292.33"/>
    <n v="463.85"/>
    <n v="265.38"/>
    <n v="2042.22"/>
    <n v="-306.83"/>
    <n v="177.69"/>
    <n v="6337.39"/>
    <n v="-484.52"/>
  </r>
  <r>
    <x v="5"/>
    <x v="8"/>
    <x v="0"/>
    <s v="4315104"/>
    <n v="700032"/>
    <s v="Salaries-Other Pat Care Providers-Productive"/>
    <s v="Physical Therapy"/>
    <x v="0"/>
    <m/>
    <n v="56146.32"/>
    <n v="56282.31"/>
    <n v="49907.21"/>
    <n v="70806.11"/>
    <n v="50488.77"/>
    <n v="67831.210000000006"/>
    <n v="57148.43"/>
    <n v="47068.51"/>
    <n v="62988.13"/>
    <n v="54087.02"/>
    <n v="61345"/>
    <n v="51310.78"/>
    <n v="685409.8"/>
    <n v="10034.220000000001"/>
  </r>
  <r>
    <x v="5"/>
    <x v="8"/>
    <x v="0"/>
    <s v="4315104"/>
    <n v="700032"/>
    <s v="Salaries-Other Pat Care Providers-OT"/>
    <s v="Physical Therapy"/>
    <x v="0"/>
    <n v="1000"/>
    <n v="65.87"/>
    <n v="362.78"/>
    <n v="-31.7"/>
    <n v="366.11"/>
    <n v="-146.44"/>
    <n v="325.02999999999997"/>
    <n v="367.12"/>
    <n v="97.59"/>
    <n v="542.95000000000005"/>
    <n v="228.96"/>
    <n v="1022.85"/>
    <n v="9.8699999999999992"/>
    <n v="3210.99"/>
    <n v="1012.98"/>
  </r>
  <r>
    <x v="5"/>
    <x v="8"/>
    <x v="0"/>
    <s v="4315104"/>
    <n v="700032"/>
    <s v="Salaries-Other Pat Care Providers-Other"/>
    <s v="Physical Therapy"/>
    <x v="0"/>
    <n v="2000"/>
    <n v="2116.5500000000002"/>
    <n v="2279.02"/>
    <n v="1600.28"/>
    <n v="2128.19"/>
    <n v="2049.91"/>
    <n v="1891.36"/>
    <n v="3067.42"/>
    <n v="1594.9"/>
    <n v="1921.4"/>
    <n v="2355.92"/>
    <n v="2998.01"/>
    <n v="2676.47"/>
    <n v="26679.430000000008"/>
    <n v="321.54000000000042"/>
  </r>
  <r>
    <x v="5"/>
    <x v="8"/>
    <x v="0"/>
    <s v="4315104"/>
    <n v="700034"/>
    <s v="Salaries-Tech/Professional-Productive"/>
    <s v="Physical Therapy"/>
    <x v="0"/>
    <m/>
    <n v="15942.73"/>
    <n v="15758.6"/>
    <n v="17458.259999999998"/>
    <n v="15146.47"/>
    <n v="16690.04"/>
    <n v="13391.84"/>
    <n v="16133.87"/>
    <n v="12296.01"/>
    <n v="15126.99"/>
    <n v="14194.66"/>
    <n v="15391.51"/>
    <n v="14718"/>
    <n v="182248.98"/>
    <n v="673.51000000000022"/>
  </r>
  <r>
    <x v="5"/>
    <x v="8"/>
    <x v="0"/>
    <s v="4315104"/>
    <n v="700034"/>
    <s v="Salaries-Tech/Professional-OT"/>
    <s v="Physical Therapy"/>
    <x v="0"/>
    <n v="1000"/>
    <n v="0"/>
    <n v="0"/>
    <n v="25.09"/>
    <n v="0"/>
    <n v="0"/>
    <n v="0"/>
    <n v="17.55"/>
    <n v="-4.6100000000000003"/>
    <n v="0"/>
    <n v="38.82"/>
    <n v="0"/>
    <n v="38.82"/>
    <n v="115.66999999999999"/>
    <n v="-38.82"/>
  </r>
  <r>
    <x v="5"/>
    <x v="8"/>
    <x v="0"/>
    <s v="4315104"/>
    <n v="700034"/>
    <s v="Salaries-Tech/Professional-Other"/>
    <s v="Physical Therapy"/>
    <x v="0"/>
    <n v="2000"/>
    <n v="25.08"/>
    <n v="0"/>
    <n v="0"/>
    <n v="9.17"/>
    <n v="-4.03"/>
    <n v="0"/>
    <n v="0"/>
    <n v="0"/>
    <n v="0"/>
    <n v="0"/>
    <n v="0"/>
    <n v="0"/>
    <n v="30.22"/>
    <n v="0"/>
  </r>
  <r>
    <x v="5"/>
    <x v="8"/>
    <x v="0"/>
    <s v="4315104"/>
    <n v="700072"/>
    <s v="Salaries-Other Pat Care Providers-Non-productive"/>
    <s v="Physical Therapy"/>
    <x v="0"/>
    <m/>
    <n v="7728.14"/>
    <n v="10200.64"/>
    <n v="16205.85"/>
    <n v="3620.87"/>
    <n v="24046.73"/>
    <n v="4956.49"/>
    <n v="16754.71"/>
    <n v="14869.7"/>
    <n v="8400.73"/>
    <n v="16242.42"/>
    <n v="11191.04"/>
    <n v="9023.84"/>
    <n v="143241.15999999997"/>
    <n v="2167.2000000000007"/>
  </r>
  <r>
    <x v="5"/>
    <x v="8"/>
    <x v="0"/>
    <s v="4315104"/>
    <n v="700072"/>
    <s v="Salaries-Other Pat Care Providers-NonProd-Other"/>
    <s v="Physical Therapy"/>
    <x v="0"/>
    <n v="2000"/>
    <n v="0"/>
    <n v="0"/>
    <n v="0"/>
    <n v="0"/>
    <n v="460.48"/>
    <n v="-35.78"/>
    <n v="0"/>
    <n v="-424.7"/>
    <n v="0"/>
    <n v="0"/>
    <n v="0"/>
    <n v="0"/>
    <n v="5.6843418860808015E-14"/>
    <n v="0"/>
  </r>
  <r>
    <x v="5"/>
    <x v="8"/>
    <x v="0"/>
    <s v="4315104"/>
    <n v="700074"/>
    <s v="Salaries-Tech/Professional-Non-productive"/>
    <s v="Physical Therapy"/>
    <x v="0"/>
    <m/>
    <n v="3139.43"/>
    <n v="1502.79"/>
    <n v="756.11"/>
    <n v="3672.6"/>
    <n v="-71.27"/>
    <n v="4369.1499999999996"/>
    <n v="1272.07"/>
    <n v="2659.81"/>
    <n v="2008.39"/>
    <n v="2639.82"/>
    <n v="2064.77"/>
    <n v="2094.98"/>
    <n v="26108.649999999998"/>
    <n v="-30.210000000000036"/>
  </r>
  <r>
    <x v="5"/>
    <x v="8"/>
    <x v="0"/>
    <s v="4315104"/>
    <n v="700084"/>
    <s v="Accrued PTO"/>
    <s v="Physical Therapy"/>
    <x v="0"/>
    <m/>
    <n v="3085.27"/>
    <n v="232.12"/>
    <n v="-3319.93"/>
    <n v="3189.12"/>
    <n v="-5602.32"/>
    <n v="92.41"/>
    <n v="-1192.99"/>
    <n v="-1680.27"/>
    <n v="377.12"/>
    <n v="-3972.83"/>
    <n v="-4417.8999999999996"/>
    <n v="-2259.62"/>
    <n v="-15469.82"/>
    <n v="-2158.2799999999997"/>
  </r>
  <r>
    <x v="6"/>
    <x v="8"/>
    <x v="0"/>
    <s v="4315104"/>
    <n v="713010"/>
    <s v="Benefits-FICA/Medicare"/>
    <s v="Physical Therapy"/>
    <x v="0"/>
    <m/>
    <n v="6384.23"/>
    <n v="6476.72"/>
    <n v="6429.95"/>
    <n v="7101.99"/>
    <n v="7179.81"/>
    <n v="7595.03"/>
    <n v="7145.53"/>
    <n v="5845.39"/>
    <n v="6808.18"/>
    <n v="6723.82"/>
    <n v="6912.32"/>
    <n v="5944.56"/>
    <n v="80547.53"/>
    <n v="967.75999999999931"/>
  </r>
  <r>
    <x v="6"/>
    <x v="8"/>
    <x v="0"/>
    <s v="4315104"/>
    <n v="713090"/>
    <s v="Benefits-Allocated Amounts"/>
    <s v="Physical Therapy"/>
    <x v="0"/>
    <m/>
    <n v="14423.54"/>
    <n v="12774.79"/>
    <n v="13545.34"/>
    <n v="15179.96"/>
    <n v="14923.79"/>
    <n v="14263.02"/>
    <n v="15072.7"/>
    <n v="13757.15"/>
    <n v="14544.43"/>
    <n v="15620.54"/>
    <n v="15287.17"/>
    <n v="13520.51"/>
    <n v="172912.94000000003"/>
    <n v="1766.6599999999999"/>
  </r>
  <r>
    <x v="7"/>
    <x v="8"/>
    <x v="0"/>
    <s v="4315104"/>
    <n v="718050"/>
    <s v="Miscellaneous Purchased Svcs"/>
    <s v="Physical Therapy"/>
    <x v="0"/>
    <n v="1020"/>
    <n v="0"/>
    <n v="68.75"/>
    <n v="0"/>
    <n v="0"/>
    <n v="0"/>
    <n v="0"/>
    <n v="0"/>
    <n v="0"/>
    <n v="0"/>
    <n v="0"/>
    <n v="0"/>
    <n v="0"/>
    <n v="68.75"/>
    <n v="0"/>
  </r>
  <r>
    <x v="7"/>
    <x v="8"/>
    <x v="0"/>
    <s v="4315104"/>
    <n v="718050"/>
    <s v="Translation Services"/>
    <s v="Physical Therapy"/>
    <x v="0"/>
    <n v="1025"/>
    <n v="0"/>
    <n v="32"/>
    <n v="0"/>
    <n v="168.25"/>
    <n v="48"/>
    <n v="0"/>
    <n v="0"/>
    <n v="0"/>
    <n v="0"/>
    <n v="0"/>
    <n v="0"/>
    <n v="0"/>
    <n v="248.25"/>
    <n v="0"/>
  </r>
  <r>
    <x v="7"/>
    <x v="8"/>
    <x v="0"/>
    <s v="4315104"/>
    <n v="718050"/>
    <s v="Contract Management--Linen"/>
    <s v="Physical Therapy"/>
    <x v="0"/>
    <n v="1026"/>
    <n v="246.05"/>
    <n v="377.65"/>
    <n v="289.26"/>
    <n v="385.68"/>
    <n v="280.8"/>
    <n v="325.57"/>
    <n v="405.11"/>
    <n v="327.96"/>
    <n v="390.21"/>
    <n v="341.44"/>
    <n v="355.29"/>
    <n v="374.63"/>
    <n v="4099.6499999999996"/>
    <n v="-19.339999999999975"/>
  </r>
  <r>
    <x v="11"/>
    <x v="8"/>
    <x v="0"/>
    <s v="4315104"/>
    <n v="721010"/>
    <s v="Supplies-Medical - Billable"/>
    <s v="Physical Therapy"/>
    <x v="0"/>
    <m/>
    <n v="0"/>
    <n v="189.12"/>
    <n v="0"/>
    <n v="0"/>
    <n v="35.06"/>
    <n v="0.45"/>
    <n v="20.65"/>
    <n v="9.39"/>
    <n v="0"/>
    <n v="0"/>
    <n v="64.650000000000006"/>
    <n v="346.35"/>
    <n v="665.67000000000007"/>
    <n v="-281.70000000000005"/>
  </r>
  <r>
    <x v="11"/>
    <x v="8"/>
    <x v="0"/>
    <s v="4315104"/>
    <n v="721010"/>
    <s v="Patient Monitoring"/>
    <s v="Physical Therapy"/>
    <x v="0"/>
    <n v="1000"/>
    <n v="234.68"/>
    <n v="0"/>
    <n v="0"/>
    <n v="-2.81"/>
    <n v="112.78"/>
    <n v="0"/>
    <n v="0"/>
    <n v="0"/>
    <n v="0"/>
    <n v="112.78"/>
    <n v="117.34"/>
    <n v="-4.5599999999999996"/>
    <n v="570.21"/>
    <n v="121.9"/>
  </r>
  <r>
    <x v="11"/>
    <x v="8"/>
    <x v="0"/>
    <s v="4315104"/>
    <n v="721020"/>
    <s v="Supplies-Surgical - Billable"/>
    <s v="Physical Therapy"/>
    <x v="0"/>
    <m/>
    <n v="0"/>
    <n v="0"/>
    <n v="0"/>
    <n v="0"/>
    <n v="0"/>
    <n v="20.37"/>
    <n v="0"/>
    <n v="0"/>
    <n v="0"/>
    <n v="0"/>
    <n v="0"/>
    <n v="0"/>
    <n v="20.37"/>
    <n v="0"/>
  </r>
  <r>
    <x v="11"/>
    <x v="8"/>
    <x v="0"/>
    <s v="4315104"/>
    <n v="721410"/>
    <s v="Supplies-Medical - Nonbillable"/>
    <s v="Physical Therapy"/>
    <x v="0"/>
    <m/>
    <n v="61.11"/>
    <n v="373.38"/>
    <n v="56.32"/>
    <n v="388.33"/>
    <n v="254.43"/>
    <n v="1028.02"/>
    <n v="754.46"/>
    <n v="239.82"/>
    <n v="99.23"/>
    <n v="1761"/>
    <n v="474.1"/>
    <n v="125.06"/>
    <n v="5615.2600000000011"/>
    <n v="349.04"/>
  </r>
  <r>
    <x v="11"/>
    <x v="8"/>
    <x v="0"/>
    <s v="4315104"/>
    <n v="721420"/>
    <s v="Supplies-Surgical Nonbillable"/>
    <s v="Physical Therapy"/>
    <x v="0"/>
    <m/>
    <n v="0"/>
    <n v="0"/>
    <n v="0"/>
    <n v="0"/>
    <n v="0"/>
    <n v="0"/>
    <n v="0"/>
    <n v="0"/>
    <n v="-11.33"/>
    <n v="39.4"/>
    <n v="0"/>
    <n v="0"/>
    <n v="28.07"/>
    <n v="0"/>
  </r>
  <r>
    <x v="11"/>
    <x v="8"/>
    <x v="0"/>
    <s v="4315104"/>
    <n v="721750"/>
    <s v="Supplies-Film/Radiographic - Nonbillable"/>
    <s v="Physical Therapy"/>
    <x v="0"/>
    <m/>
    <n v="6.45"/>
    <n v="0"/>
    <n v="0"/>
    <n v="0"/>
    <n v="10.75"/>
    <n v="10.75"/>
    <n v="0"/>
    <n v="21.55"/>
    <n v="0"/>
    <n v="0"/>
    <n v="0"/>
    <n v="0"/>
    <n v="49.5"/>
    <n v="0"/>
  </r>
  <r>
    <x v="11"/>
    <x v="8"/>
    <x v="0"/>
    <s v="4315104"/>
    <n v="721810"/>
    <s v="Supplies-Dietary/Cafeteria"/>
    <s v="Physical Therapy"/>
    <x v="0"/>
    <m/>
    <n v="0"/>
    <n v="0"/>
    <n v="0"/>
    <n v="0"/>
    <n v="0"/>
    <n v="0"/>
    <n v="9"/>
    <n v="0"/>
    <n v="0"/>
    <n v="25.15"/>
    <n v="23.83"/>
    <n v="0"/>
    <n v="57.98"/>
    <n v="23.83"/>
  </r>
  <r>
    <x v="11"/>
    <x v="8"/>
    <x v="0"/>
    <s v="4315104"/>
    <n v="721830"/>
    <s v="Supplies-Office"/>
    <s v="Physical Therapy"/>
    <x v="0"/>
    <m/>
    <n v="327.31"/>
    <n v="197.22"/>
    <n v="128.13999999999999"/>
    <n v="87.12"/>
    <n v="0"/>
    <n v="122.04"/>
    <n v="84.34"/>
    <n v="98.38"/>
    <n v="1.29"/>
    <n v="96.95"/>
    <n v="62.93"/>
    <n v="1588.91"/>
    <n v="2794.63"/>
    <n v="-1525.98"/>
  </r>
  <r>
    <x v="11"/>
    <x v="8"/>
    <x v="0"/>
    <s v="4315104"/>
    <n v="721835"/>
    <s v="Supplies-Forms"/>
    <s v="Physical Therapy"/>
    <x v="0"/>
    <m/>
    <n v="0"/>
    <n v="0"/>
    <n v="0"/>
    <n v="0"/>
    <n v="124.3"/>
    <n v="0"/>
    <n v="0"/>
    <n v="0"/>
    <n v="0"/>
    <n v="0"/>
    <n v="0"/>
    <n v="0"/>
    <n v="124.3"/>
    <n v="0"/>
  </r>
  <r>
    <x v="11"/>
    <x v="8"/>
    <x v="0"/>
    <s v="4315104"/>
    <n v="721870"/>
    <s v="Supplies-Environmental Services"/>
    <s v="Physical Therapy"/>
    <x v="0"/>
    <m/>
    <n v="43.22"/>
    <n v="0"/>
    <n v="43.22"/>
    <n v="74.03"/>
    <n v="56.66"/>
    <n v="65.81"/>
    <n v="48.02"/>
    <n v="72.03"/>
    <n v="48.02"/>
    <n v="48.02"/>
    <n v="116.13"/>
    <n v="54.52"/>
    <n v="669.68"/>
    <n v="61.609999999999992"/>
  </r>
  <r>
    <x v="11"/>
    <x v="8"/>
    <x v="0"/>
    <s v="4315104"/>
    <n v="721910"/>
    <s v="Supplies-Small Equipment"/>
    <s v="Physical Therapy"/>
    <x v="0"/>
    <m/>
    <n v="756.25"/>
    <n v="0"/>
    <n v="0"/>
    <n v="767.4"/>
    <n v="0"/>
    <n v="0"/>
    <n v="0"/>
    <n v="0"/>
    <n v="0"/>
    <n v="12.24"/>
    <n v="0"/>
    <n v="8.16"/>
    <n v="1544.0500000000002"/>
    <n v="-8.16"/>
  </r>
  <r>
    <x v="11"/>
    <x v="8"/>
    <x v="0"/>
    <s v="4315104"/>
    <n v="721910"/>
    <s v="Instruments"/>
    <s v="Physical Therapy"/>
    <x v="0"/>
    <n v="1000"/>
    <n v="0"/>
    <n v="0"/>
    <n v="0"/>
    <n v="0"/>
    <n v="0"/>
    <n v="0"/>
    <n v="0"/>
    <n v="0"/>
    <n v="-17.27"/>
    <n v="0"/>
    <n v="0"/>
    <n v="0"/>
    <n v="-17.27"/>
    <n v="0"/>
  </r>
  <r>
    <x v="11"/>
    <x v="8"/>
    <x v="0"/>
    <s v="4315104"/>
    <n v="721980"/>
    <s v="Supplies-Other"/>
    <s v="Physical Therapy"/>
    <x v="0"/>
    <m/>
    <n v="0"/>
    <n v="0"/>
    <n v="0"/>
    <n v="189.88"/>
    <n v="0"/>
    <n v="309"/>
    <n v="0"/>
    <n v="0"/>
    <n v="0"/>
    <n v="0"/>
    <n v="0"/>
    <n v="0"/>
    <n v="498.88"/>
    <n v="0"/>
  </r>
  <r>
    <x v="11"/>
    <x v="8"/>
    <x v="0"/>
    <s v="4315104"/>
    <n v="722000"/>
    <s v="Supplies-Freight Expense"/>
    <s v="Physical Therapy"/>
    <x v="0"/>
    <m/>
    <n v="0"/>
    <n v="7.93"/>
    <n v="0"/>
    <n v="19.41"/>
    <n v="7.99"/>
    <n v="0"/>
    <n v="0"/>
    <n v="0"/>
    <n v="0"/>
    <n v="0"/>
    <n v="0"/>
    <n v="0"/>
    <n v="35.33"/>
    <n v="0"/>
  </r>
  <r>
    <x v="12"/>
    <x v="8"/>
    <x v="0"/>
    <s v="4315104"/>
    <n v="730010"/>
    <s v="Rental and Leases-Building (DO NOT USE)"/>
    <s v="Physical Therapy"/>
    <x v="0"/>
    <m/>
    <n v="18253.080000000002"/>
    <n v="18253.080000000002"/>
    <n v="18253.080000000002"/>
    <n v="18253.080000000002"/>
    <n v="18253.080000000002"/>
    <n v="-3896.97"/>
    <n v="14616.72"/>
    <n v="14616.72"/>
    <n v="14616.72"/>
    <n v="14616.72"/>
    <n v="14616.72"/>
    <n v="0"/>
    <n v="160452.03"/>
    <n v="14616.72"/>
  </r>
  <r>
    <x v="12"/>
    <x v="8"/>
    <x v="0"/>
    <s v="4315104"/>
    <n v="730010"/>
    <s v="Rental-Common Area Maint (DO NOT USE)"/>
    <s v="Physical Therapy"/>
    <x v="0"/>
    <n v="2200"/>
    <n v="0"/>
    <n v="0"/>
    <n v="0"/>
    <n v="0"/>
    <n v="0"/>
    <n v="22150.05"/>
    <n v="4589.96"/>
    <n v="4256.46"/>
    <n v="3974.54"/>
    <n v="4256.46"/>
    <n v="4256.46"/>
    <n v="0"/>
    <n v="43483.929999999993"/>
    <n v="4256.46"/>
  </r>
  <r>
    <x v="12"/>
    <x v="8"/>
    <x v="0"/>
    <s v="4315104"/>
    <n v="730020"/>
    <s v="Rental and Leases-Copier Usage Fees (DO NOT USE)"/>
    <s v="Physical Therapy"/>
    <x v="0"/>
    <n v="5100"/>
    <n v="234.48"/>
    <n v="242.29"/>
    <n v="238.38"/>
    <n v="238.38"/>
    <n v="238.38"/>
    <n v="238.38"/>
    <n v="229.35"/>
    <n v="237.66"/>
    <n v="237.17"/>
    <n v="238.15"/>
    <n v="237.66"/>
    <n v="266.23"/>
    <n v="2876.5099999999998"/>
    <n v="-28.570000000000022"/>
  </r>
  <r>
    <x v="12"/>
    <x v="8"/>
    <x v="0"/>
    <s v="4315104"/>
    <n v="730040"/>
    <s v="LT Lease-Real Estate"/>
    <s v="Physical Therapy"/>
    <x v="0"/>
    <m/>
    <n v="0"/>
    <n v="0"/>
    <n v="0"/>
    <n v="0"/>
    <n v="0"/>
    <n v="0"/>
    <n v="0"/>
    <n v="0"/>
    <n v="0"/>
    <n v="0"/>
    <n v="0"/>
    <n v="18873.18"/>
    <n v="18873.18"/>
    <n v="-18873.18"/>
  </r>
  <r>
    <x v="16"/>
    <x v="8"/>
    <x v="0"/>
    <s v="4315104"/>
    <n v="732030"/>
    <s v="Repairs&amp;Maintenance-Bldg Routine"/>
    <s v="Physical Therapy"/>
    <x v="0"/>
    <n v="2300"/>
    <n v="850"/>
    <n v="0"/>
    <n v="0"/>
    <n v="0"/>
    <n v="0"/>
    <n v="0"/>
    <n v="0"/>
    <n v="0"/>
    <n v="0"/>
    <n v="0"/>
    <n v="0"/>
    <n v="0"/>
    <n v="850"/>
    <n v="0"/>
  </r>
  <r>
    <x v="13"/>
    <x v="8"/>
    <x v="0"/>
    <s v="4315104"/>
    <n v="735050"/>
    <s v="Amortization-Leasehold Improvements"/>
    <s v="Physical Therapy"/>
    <x v="0"/>
    <m/>
    <n v="11.26"/>
    <n v="11.26"/>
    <n v="11.25"/>
    <n v="11.27"/>
    <n v="11.24"/>
    <n v="11.28"/>
    <n v="11.24"/>
    <n v="11.29"/>
    <n v="11.24"/>
    <n v="0"/>
    <n v="0"/>
    <n v="0"/>
    <n v="101.32999999999997"/>
    <n v="0"/>
  </r>
  <r>
    <x v="13"/>
    <x v="8"/>
    <x v="0"/>
    <s v="4315104"/>
    <n v="735070"/>
    <s v="Depreciation-Movable Equipment"/>
    <s v="Physical Therapy"/>
    <x v="0"/>
    <m/>
    <n v="341.56"/>
    <n v="341.58"/>
    <n v="341.56"/>
    <n v="341.59"/>
    <n v="341.54"/>
    <n v="341.59"/>
    <n v="341.53"/>
    <n v="341.59"/>
    <n v="341.53"/>
    <n v="282.70999999999998"/>
    <n v="282.74"/>
    <n v="397.88"/>
    <n v="4037.3999999999996"/>
    <n v="-115.13999999999999"/>
  </r>
  <r>
    <x v="0"/>
    <x v="8"/>
    <x v="0"/>
    <s v="4315104"/>
    <n v="740020"/>
    <s v="Education-Registration Fees"/>
    <s v="Physical Therapy"/>
    <x v="0"/>
    <m/>
    <n v="0"/>
    <n v="0"/>
    <n v="0"/>
    <n v="0"/>
    <n v="219.99"/>
    <n v="0"/>
    <n v="0"/>
    <n v="0"/>
    <n v="550"/>
    <n v="475"/>
    <n v="2852.8"/>
    <n v="0"/>
    <n v="4097.79"/>
    <n v="2852.8"/>
  </r>
  <r>
    <x v="0"/>
    <x v="8"/>
    <x v="0"/>
    <s v="4315104"/>
    <n v="749510"/>
    <s v="Miscellaneous Expenses"/>
    <s v="Physical Therapy"/>
    <x v="0"/>
    <m/>
    <n v="0"/>
    <n v="-352.45"/>
    <n v="0"/>
    <n v="0"/>
    <n v="0"/>
    <n v="0"/>
    <n v="14.43"/>
    <n v="550"/>
    <n v="-550"/>
    <n v="0"/>
    <n v="0"/>
    <n v="0"/>
    <n v="-338.02"/>
    <n v="0"/>
  </r>
  <r>
    <x v="0"/>
    <x v="8"/>
    <x v="0"/>
    <s v="4315104"/>
    <n v="749510"/>
    <s v="RICE Rewards"/>
    <s v="Physical Therapy"/>
    <x v="0"/>
    <n v="5100"/>
    <n v="0"/>
    <n v="0"/>
    <n v="0"/>
    <n v="0"/>
    <n v="0"/>
    <n v="0"/>
    <n v="0"/>
    <n v="0"/>
    <n v="0"/>
    <n v="0"/>
    <n v="0"/>
    <n v="486"/>
    <n v="486"/>
    <n v="-486"/>
  </r>
  <r>
    <x v="0"/>
    <x v="8"/>
    <x v="0"/>
    <s v="4315104"/>
    <n v="749550"/>
    <s v="Cash Over/Short"/>
    <s v="Physical Therapy"/>
    <x v="0"/>
    <m/>
    <n v="0"/>
    <n v="0"/>
    <n v="0"/>
    <n v="0"/>
    <n v="0"/>
    <n v="0"/>
    <n v="0"/>
    <n v="0"/>
    <n v="0"/>
    <n v="0"/>
    <n v="0"/>
    <n v="25.68"/>
    <n v="25.68"/>
    <n v="-25.68"/>
  </r>
  <r>
    <x v="18"/>
    <x v="5"/>
    <x v="0"/>
    <s v="4315106"/>
    <n v="400010"/>
    <s v="Acute I/P Svcs Rev--Medicare"/>
    <s v="PT Services IP&amp;OP"/>
    <x v="0"/>
    <n v="1100"/>
    <n v="-99933.55"/>
    <n v="-98544.06"/>
    <n v="-93270.74"/>
    <n v="-102399.18"/>
    <n v="-86785.87"/>
    <n v="-107605.29"/>
    <n v="-120601.47"/>
    <n v="-107566.15"/>
    <n v="-117549.94"/>
    <n v="-124555.69"/>
    <n v="-116147.58"/>
    <n v="-98911.49"/>
    <n v="-1273871.01"/>
    <n v="-17236.089999999997"/>
  </r>
  <r>
    <x v="18"/>
    <x v="5"/>
    <x v="0"/>
    <s v="4315106"/>
    <n v="400010"/>
    <s v="Acute I/P Svcs Rev--Medicaid"/>
    <s v="PT Services IP&amp;OP"/>
    <x v="0"/>
    <n v="1200"/>
    <n v="-27345.279999999999"/>
    <n v="-12108.6"/>
    <n v="-23946.84"/>
    <n v="-12852.62"/>
    <n v="-16032.8"/>
    <n v="-14427.07"/>
    <n v="-12822.76"/>
    <n v="-23562.59"/>
    <n v="-16892.009999999998"/>
    <n v="-22948.97"/>
    <n v="-15209.72"/>
    <n v="-23925.599999999999"/>
    <n v="-222074.86000000002"/>
    <n v="8715.8799999999992"/>
  </r>
  <r>
    <x v="18"/>
    <x v="5"/>
    <x v="0"/>
    <s v="4315106"/>
    <n v="400010"/>
    <s v="Acute I/P Svcs Rev--Comm Insurance"/>
    <s v="PT Services IP&amp;OP"/>
    <x v="0"/>
    <n v="1300"/>
    <n v="2096.89"/>
    <n v="-5697.66"/>
    <n v="876.5"/>
    <n v="451.85"/>
    <n v="-4738.1099999999997"/>
    <n v="-1747.76"/>
    <n v="547.49"/>
    <n v="-1594.78"/>
    <n v="-4669.46"/>
    <n v="-4490.82"/>
    <n v="198.02"/>
    <n v="-602.48"/>
    <n v="-19370.32"/>
    <n v="800.5"/>
  </r>
  <r>
    <x v="18"/>
    <x v="5"/>
    <x v="0"/>
    <s v="4315106"/>
    <n v="400010"/>
    <s v="Acute I/P Svcs Rev--BCBS Comm"/>
    <s v="PT Services IP&amp;OP"/>
    <x v="0"/>
    <n v="1301"/>
    <n v="-6368.34"/>
    <n v="-6300.67"/>
    <n v="-4490.99"/>
    <n v="-2674.88"/>
    <n v="-2018.09"/>
    <n v="-6138"/>
    <n v="-9639.41"/>
    <n v="-5008.54"/>
    <n v="-5222.34"/>
    <n v="-3005.39"/>
    <n v="-1783.96"/>
    <n v="-5176.13"/>
    <n v="-57826.740000000005"/>
    <n v="3392.17"/>
  </r>
  <r>
    <x v="18"/>
    <x v="5"/>
    <x v="0"/>
    <s v="4315106"/>
    <n v="400010"/>
    <s v="Acute I/P Svcs Rev--Managed Care"/>
    <s v="PT Services IP&amp;OP"/>
    <x v="0"/>
    <n v="1400"/>
    <n v="-18695.63"/>
    <n v="-14786.12"/>
    <n v="-13011.59"/>
    <n v="-9430.7900000000009"/>
    <n v="-21595.94"/>
    <n v="-16996.72"/>
    <n v="-9820.34"/>
    <n v="-10464.83"/>
    <n v="-11211.84"/>
    <n v="-10594.01"/>
    <n v="-12018.87"/>
    <n v="-10504.59"/>
    <n v="-159131.26999999999"/>
    <n v="-1514.2800000000007"/>
  </r>
  <r>
    <x v="18"/>
    <x v="5"/>
    <x v="0"/>
    <s v="4315106"/>
    <n v="400010"/>
    <s v="Acute I/P Svcs Rev--Self Pay"/>
    <s v="PT Services IP&amp;OP"/>
    <x v="0"/>
    <n v="1500"/>
    <n v="-932.14"/>
    <n v="-1773.95"/>
    <n v="-772.86"/>
    <n v="-770.07"/>
    <n v="-2531.63"/>
    <n v="-1808.76"/>
    <n v="-2301.65"/>
    <n v="1374.87"/>
    <n v="-1023.57"/>
    <n v="133.65"/>
    <n v="-1806.75"/>
    <n v="-1129.55"/>
    <n v="-13342.409999999998"/>
    <n v="-677.2"/>
  </r>
  <r>
    <x v="18"/>
    <x v="5"/>
    <x v="0"/>
    <s v="4315106"/>
    <n v="400010"/>
    <s v="Acute I/P Svcs Rev--Other"/>
    <s v="PT Services IP&amp;OP"/>
    <x v="0"/>
    <n v="1700"/>
    <n v="-3550.83"/>
    <n v="-6720.01"/>
    <n v="-2986.9"/>
    <n v="1900.91"/>
    <n v="-2416.98"/>
    <n v="-8272.81"/>
    <n v="-4259.29"/>
    <n v="-2935.16"/>
    <n v="-6052.28"/>
    <n v="-946.07"/>
    <n v="-7857.23"/>
    <n v="-3288.11"/>
    <n v="-47384.759999999995"/>
    <n v="-4569.119999999999"/>
  </r>
  <r>
    <x v="19"/>
    <x v="5"/>
    <x v="0"/>
    <s v="4315106"/>
    <n v="400020"/>
    <s v="O/P Care Svcs Rev--Medicare"/>
    <s v="PT Services IP&amp;OP"/>
    <x v="0"/>
    <n v="1100"/>
    <n v="-11736.71"/>
    <n v="-17201.79"/>
    <n v="-22425.88"/>
    <n v="-24144.62"/>
    <n v="-17091.5"/>
    <n v="-10987.64"/>
    <n v="-35138.81"/>
    <n v="-20342.23"/>
    <n v="-22668.42"/>
    <n v="-18472.189999999999"/>
    <n v="-19849.490000000002"/>
    <n v="-30384.07"/>
    <n v="-250443.35000000003"/>
    <n v="10534.579999999998"/>
  </r>
  <r>
    <x v="19"/>
    <x v="5"/>
    <x v="0"/>
    <s v="4315106"/>
    <n v="400020"/>
    <s v="O/P Care Svcs Rev--Medicaid"/>
    <s v="PT Services IP&amp;OP"/>
    <x v="0"/>
    <n v="1200"/>
    <n v="-1851.2"/>
    <n v="-1330.05"/>
    <n v="-1794.33"/>
    <n v="-1966"/>
    <n v="-2672.79"/>
    <n v="-951.84"/>
    <n v="-2378.38"/>
    <n v="-3091.09"/>
    <n v="-346.38"/>
    <n v="-2275.29"/>
    <n v="-867.7"/>
    <n v="-2786.83"/>
    <n v="-22311.879999999997"/>
    <n v="1919.1299999999999"/>
  </r>
  <r>
    <x v="19"/>
    <x v="5"/>
    <x v="0"/>
    <s v="4315106"/>
    <n v="400020"/>
    <s v="O/P Care Svcs Rev--Comm Insurance"/>
    <s v="PT Services IP&amp;OP"/>
    <x v="0"/>
    <n v="1300"/>
    <n v="0"/>
    <n v="-742.91"/>
    <n v="0"/>
    <n v="-1621.16"/>
    <n v="0"/>
    <n v="0"/>
    <n v="-527.76"/>
    <n v="0"/>
    <n v="181.38"/>
    <n v="-1417.24"/>
    <n v="0"/>
    <n v="-1008.05"/>
    <n v="-5135.74"/>
    <n v="1008.05"/>
  </r>
  <r>
    <x v="19"/>
    <x v="5"/>
    <x v="0"/>
    <s v="4315106"/>
    <n v="400020"/>
    <s v="O/P Care Svcs Rev--BCBS Comm"/>
    <s v="PT Services IP&amp;OP"/>
    <x v="0"/>
    <n v="1301"/>
    <n v="-2770.88"/>
    <n v="-1330.08"/>
    <n v="-2239.96"/>
    <n v="833.89"/>
    <n v="-822.09"/>
    <n v="-1931.39"/>
    <n v="0"/>
    <n v="-5005.37"/>
    <n v="-346.37"/>
    <n v="-543.55999999999995"/>
    <n v="-3541.66"/>
    <n v="-3012.91"/>
    <n v="-20710.38"/>
    <n v="-528.75"/>
  </r>
  <r>
    <x v="19"/>
    <x v="5"/>
    <x v="0"/>
    <s v="4315106"/>
    <n v="400020"/>
    <s v="O/P Care Svcs Rev--Managed Care"/>
    <s v="PT Services IP&amp;OP"/>
    <x v="0"/>
    <n v="1400"/>
    <n v="-1821.16"/>
    <n v="-2752.69"/>
    <n v="-2123.73"/>
    <n v="-9744.7900000000009"/>
    <n v="-5055.0600000000004"/>
    <n v="-1773.93"/>
    <n v="-4492.62"/>
    <n v="-2619.27"/>
    <n v="-7280.88"/>
    <n v="-3253.26"/>
    <n v="-5246.55"/>
    <n v="-5866.84"/>
    <n v="-52030.780000000013"/>
    <n v="620.29"/>
  </r>
  <r>
    <x v="19"/>
    <x v="5"/>
    <x v="0"/>
    <s v="4315106"/>
    <n v="400020"/>
    <s v="O/P Care Svcs Rev--Self Pay"/>
    <s v="PT Services IP&amp;OP"/>
    <x v="0"/>
    <n v="1500"/>
    <n v="-336.26"/>
    <n v="0"/>
    <n v="0"/>
    <n v="-672.54"/>
    <n v="-657.48"/>
    <n v="-1061.8599999999999"/>
    <n v="-932.09"/>
    <n v="-543.55999999999995"/>
    <n v="-346.35"/>
    <n v="346.35"/>
    <n v="-1475.9"/>
    <n v="106"/>
    <n v="-5573.6900000000005"/>
    <n v="-1581.9"/>
  </r>
  <r>
    <x v="19"/>
    <x v="5"/>
    <x v="0"/>
    <s v="4315106"/>
    <n v="400020"/>
    <s v="O/P Care Svcs Rev--Other"/>
    <s v="PT Services IP&amp;OP"/>
    <x v="0"/>
    <n v="1700"/>
    <n v="-692.32"/>
    <n v="0"/>
    <n v="0"/>
    <n v="-320.27"/>
    <n v="0"/>
    <n v="-630.64"/>
    <n v="68.099999999999994"/>
    <n v="0"/>
    <n v="0"/>
    <n v="-846.75"/>
    <n v="-740.73"/>
    <n v="527.73"/>
    <n v="-2634.88"/>
    <n v="-1268.46"/>
  </r>
  <r>
    <x v="14"/>
    <x v="5"/>
    <x v="0"/>
    <s v="4315106"/>
    <n v="600050"/>
    <s v="Miscellaneous Revenue"/>
    <s v="PT Services IP&amp;OP"/>
    <x v="0"/>
    <m/>
    <n v="0"/>
    <n v="-65.91"/>
    <n v="-159.22999999999999"/>
    <n v="0"/>
    <n v="0"/>
    <n v="0"/>
    <n v="0"/>
    <n v="0"/>
    <n v="0"/>
    <n v="0"/>
    <n v="159.22999999999999"/>
    <n v="0"/>
    <n v="-65.91"/>
    <n v="159.22999999999999"/>
  </r>
  <r>
    <x v="7"/>
    <x v="5"/>
    <x v="0"/>
    <s v="4315106"/>
    <n v="718050"/>
    <s v="Contract Svcs-Other"/>
    <s v="PT Services IP&amp;OP"/>
    <x v="0"/>
    <m/>
    <n v="0"/>
    <n v="0"/>
    <n v="0"/>
    <n v="0"/>
    <n v="0"/>
    <n v="0"/>
    <n v="0"/>
    <n v="0"/>
    <n v="0"/>
    <n v="0"/>
    <n v="0"/>
    <n v="0"/>
    <n v="0"/>
    <n v="0"/>
  </r>
  <r>
    <x v="7"/>
    <x v="5"/>
    <x v="0"/>
    <s v="4315106"/>
    <n v="718050"/>
    <s v="Miscellaneous Purchased Svcs"/>
    <s v="PT Services IP&amp;OP"/>
    <x v="0"/>
    <n v="1020"/>
    <n v="59533.95"/>
    <n v="25754.57"/>
    <n v="48982.98"/>
    <n v="70000"/>
    <n v="70000"/>
    <n v="-14682"/>
    <n v="45652.95"/>
    <n v="57684.59"/>
    <n v="55000"/>
    <n v="54561.21"/>
    <n v="54000"/>
    <n v="48130.25"/>
    <n v="574618.5"/>
    <n v="5869.75"/>
  </r>
  <r>
    <x v="7"/>
    <x v="5"/>
    <x v="0"/>
    <s v="4315106"/>
    <n v="718091"/>
    <s v="Contract Services-Intracompany Allocation"/>
    <s v="PT Services IP&amp;OP"/>
    <x v="0"/>
    <m/>
    <n v="1825.17"/>
    <n v="2180.69"/>
    <n v="2183.91"/>
    <n v="2366.29"/>
    <n v="2425.44"/>
    <n v="2078.88"/>
    <n v="2363.79"/>
    <n v="2219.13"/>
    <n v="2144.6799999999998"/>
    <n v="2285.88"/>
    <n v="2215.61"/>
    <n v="2037.48"/>
    <n v="26326.950000000004"/>
    <n v="178.13000000000011"/>
  </r>
  <r>
    <x v="11"/>
    <x v="5"/>
    <x v="0"/>
    <s v="4315106"/>
    <n v="721010"/>
    <s v="Supplies-Medical - Billable"/>
    <s v="PT Services IP&amp;OP"/>
    <x v="0"/>
    <m/>
    <n v="0"/>
    <n v="0"/>
    <n v="0"/>
    <n v="0"/>
    <n v="383.55"/>
    <n v="0"/>
    <n v="0"/>
    <n v="0"/>
    <n v="0"/>
    <n v="0"/>
    <n v="0"/>
    <n v="0"/>
    <n v="383.55"/>
    <n v="0"/>
  </r>
  <r>
    <x v="11"/>
    <x v="5"/>
    <x v="0"/>
    <s v="4315106"/>
    <n v="721410"/>
    <s v="Supplies-Medical - Nonbillable"/>
    <s v="PT Services IP&amp;OP"/>
    <x v="0"/>
    <m/>
    <n v="0"/>
    <n v="0"/>
    <n v="273.35000000000002"/>
    <n v="0"/>
    <n v="45"/>
    <n v="0"/>
    <n v="0"/>
    <n v="0"/>
    <n v="20.85"/>
    <n v="0"/>
    <n v="0"/>
    <n v="0"/>
    <n v="339.20000000000005"/>
    <n v="0"/>
  </r>
  <r>
    <x v="11"/>
    <x v="5"/>
    <x v="0"/>
    <s v="4315106"/>
    <n v="721810"/>
    <s v="Supplies-Dietary/Cafeteria"/>
    <s v="PT Services IP&amp;OP"/>
    <x v="0"/>
    <m/>
    <n v="41"/>
    <n v="-131.05000000000001"/>
    <n v="-65.44"/>
    <n v="0.09"/>
    <n v="54.6"/>
    <n v="-59.75"/>
    <n v="-16.64"/>
    <n v="0"/>
    <n v="0"/>
    <n v="0"/>
    <n v="0"/>
    <n v="0"/>
    <n v="-177.19"/>
    <n v="0"/>
  </r>
  <r>
    <x v="11"/>
    <x v="5"/>
    <x v="0"/>
    <s v="4315106"/>
    <n v="721830"/>
    <s v="Supplies-Office"/>
    <s v="PT Services IP&amp;OP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315106"/>
    <n v="721870"/>
    <s v="Supplies-Environmental Services"/>
    <s v="PT Services IP&amp;OP"/>
    <x v="0"/>
    <m/>
    <n v="0"/>
    <n v="0"/>
    <n v="0"/>
    <n v="0"/>
    <n v="7.62"/>
    <n v="0"/>
    <n v="0"/>
    <n v="0"/>
    <n v="46.27"/>
    <n v="0"/>
    <n v="0"/>
    <n v="0"/>
    <n v="53.89"/>
    <n v="0"/>
  </r>
  <r>
    <x v="11"/>
    <x v="5"/>
    <x v="0"/>
    <s v="4315106"/>
    <n v="721910"/>
    <s v="Supplies-Small Equipment"/>
    <s v="PT Services IP&amp;OP"/>
    <x v="0"/>
    <m/>
    <n v="0"/>
    <n v="0"/>
    <n v="0"/>
    <n v="0"/>
    <n v="1.36"/>
    <n v="0"/>
    <n v="0"/>
    <n v="0"/>
    <n v="0"/>
    <n v="0"/>
    <n v="0"/>
    <n v="0"/>
    <n v="1.36"/>
    <n v="0"/>
  </r>
  <r>
    <x v="12"/>
    <x v="5"/>
    <x v="0"/>
    <s v="4315106"/>
    <n v="730020"/>
    <s v="Rental and Leases-Copier Usage Fees (DO NOT USE)"/>
    <s v="PT Services IP&amp;OP"/>
    <x v="0"/>
    <n v="5100"/>
    <n v="125.95"/>
    <n v="67.02"/>
    <n v="45.63"/>
    <n v="79.53"/>
    <n v="79.540000000000006"/>
    <n v="79.540000000000006"/>
    <n v="301.69"/>
    <n v="91.75"/>
    <n v="100.23"/>
    <n v="188.71"/>
    <n v="91.74"/>
    <n v="98.9"/>
    <n v="1350.2300000000002"/>
    <n v="-7.1600000000000108"/>
  </r>
  <r>
    <x v="13"/>
    <x v="5"/>
    <x v="0"/>
    <s v="4315106"/>
    <n v="735060"/>
    <s v="Depreciation-Fixed Equipment"/>
    <s v="PT Services IP&amp;OP"/>
    <x v="0"/>
    <m/>
    <n v="12.21"/>
    <n v="12.21"/>
    <n v="12.21"/>
    <n v="12.21"/>
    <n v="12.21"/>
    <n v="12.21"/>
    <n v="12.21"/>
    <n v="12.21"/>
    <n v="12.21"/>
    <n v="12.21"/>
    <n v="12.22"/>
    <n v="12.21"/>
    <n v="146.53000000000003"/>
    <n v="9.9999999999997868E-3"/>
  </r>
  <r>
    <x v="13"/>
    <x v="5"/>
    <x v="0"/>
    <s v="4315106"/>
    <n v="735070"/>
    <s v="Depreciation-Movable Equipment"/>
    <s v="PT Services IP&amp;OP"/>
    <x v="0"/>
    <m/>
    <n v="14.87"/>
    <n v="14.87"/>
    <n v="14.87"/>
    <n v="14.87"/>
    <n v="14.87"/>
    <n v="14.87"/>
    <n v="14.87"/>
    <n v="14.87"/>
    <n v="14.88"/>
    <n v="14.87"/>
    <n v="15.04"/>
    <n v="14.81"/>
    <n v="178.56"/>
    <n v="0.22999999999999865"/>
  </r>
  <r>
    <x v="18"/>
    <x v="6"/>
    <x v="0"/>
    <s v="4315107"/>
    <n v="400010"/>
    <s v="Acute I/P Svcs Rev--Medicare"/>
    <s v="Physical Therapy IP &amp; OP"/>
    <x v="0"/>
    <n v="1100"/>
    <n v="-251279.62"/>
    <n v="-237025.4"/>
    <n v="-246241.93"/>
    <n v="-293459.21000000002"/>
    <n v="-265893.65000000002"/>
    <n v="-263289.26"/>
    <n v="-277574.56"/>
    <n v="-258350.12"/>
    <n v="-254142.05"/>
    <n v="-277352.71000000002"/>
    <n v="-271597.68"/>
    <n v="-270532.11"/>
    <n v="-3166738.3"/>
    <n v="-1065.570000000007"/>
  </r>
  <r>
    <x v="18"/>
    <x v="6"/>
    <x v="0"/>
    <s v="4315107"/>
    <n v="400010"/>
    <s v="Acute I/P Svcs Rev--Medicaid"/>
    <s v="Physical Therapy IP &amp; OP"/>
    <x v="0"/>
    <n v="1200"/>
    <n v="-27284.65"/>
    <n v="-36411.440000000002"/>
    <n v="-37007.410000000003"/>
    <n v="-34339.42"/>
    <n v="-30677.38"/>
    <n v="-41734.07"/>
    <n v="-33351.4"/>
    <n v="-44946.8"/>
    <n v="-42181.15"/>
    <n v="-35074.379999999997"/>
    <n v="-25836.04"/>
    <n v="-39024.61"/>
    <n v="-427868.75"/>
    <n v="13188.57"/>
  </r>
  <r>
    <x v="18"/>
    <x v="6"/>
    <x v="0"/>
    <s v="4315107"/>
    <n v="400010"/>
    <s v="Acute I/P Svcs Rev--Comm Insurance"/>
    <s v="Physical Therapy IP &amp; OP"/>
    <x v="0"/>
    <n v="1300"/>
    <n v="16563.509999999998"/>
    <n v="3551.65"/>
    <n v="668.41"/>
    <n v="-6432.27"/>
    <n v="2297.4"/>
    <n v="-6655.97"/>
    <n v="3082.02"/>
    <n v="-1149.1300000000001"/>
    <n v="-3881.81"/>
    <n v="-2662.74"/>
    <n v="-7780.14"/>
    <n v="-2197.2399999999998"/>
    <n v="-4596.3100000000004"/>
    <n v="-5582.9000000000005"/>
  </r>
  <r>
    <x v="18"/>
    <x v="6"/>
    <x v="0"/>
    <s v="4315107"/>
    <n v="400010"/>
    <s v="Acute I/P Svcs Rev--BCBS Comm"/>
    <s v="Physical Therapy IP &amp; OP"/>
    <x v="0"/>
    <n v="1301"/>
    <n v="-6912.35"/>
    <n v="-12621.04"/>
    <n v="-13306.07"/>
    <n v="-4182.63"/>
    <n v="-11903.48"/>
    <n v="-7406.9"/>
    <n v="-19721.16"/>
    <n v="-13541.73"/>
    <n v="-9049.84"/>
    <n v="-6390.29"/>
    <n v="-18432.54"/>
    <n v="-7238.69"/>
    <n v="-130706.71999999997"/>
    <n v="-11193.850000000002"/>
  </r>
  <r>
    <x v="18"/>
    <x v="6"/>
    <x v="0"/>
    <s v="4315107"/>
    <n v="400010"/>
    <s v="Acute I/P Svcs Rev--Managed Care"/>
    <s v="Physical Therapy IP &amp; OP"/>
    <x v="0"/>
    <n v="1400"/>
    <n v="-17163.14"/>
    <n v="-20859.11"/>
    <n v="-23004.31"/>
    <n v="-12271.92"/>
    <n v="-20891.5"/>
    <n v="8758.2199999999993"/>
    <n v="-23468.5"/>
    <n v="-29962.880000000001"/>
    <n v="-21488.45"/>
    <n v="-13943.7"/>
    <n v="-21570.48"/>
    <n v="-17186.330000000002"/>
    <n v="-213052.10000000003"/>
    <n v="-4384.1499999999978"/>
  </r>
  <r>
    <x v="18"/>
    <x v="6"/>
    <x v="0"/>
    <s v="4315107"/>
    <n v="400010"/>
    <s v="Acute I/P Svcs Rev--Self Pay"/>
    <s v="Physical Therapy IP &amp; OP"/>
    <x v="0"/>
    <n v="1500"/>
    <n v="0"/>
    <n v="-1525.96"/>
    <n v="-3389.52"/>
    <n v="2169.5100000000002"/>
    <n v="0"/>
    <n v="-719.16"/>
    <n v="-2177.2600000000002"/>
    <n v="-2281.4499999999998"/>
    <n v="0"/>
    <n v="0"/>
    <n v="-2308.6799999999998"/>
    <n v="-1256.6099999999999"/>
    <n v="-11489.13"/>
    <n v="-1052.07"/>
  </r>
  <r>
    <x v="18"/>
    <x v="6"/>
    <x v="0"/>
    <s v="4315107"/>
    <n v="400010"/>
    <s v="Acute I/P Svcs Rev--Other"/>
    <s v="Physical Therapy IP &amp; OP"/>
    <x v="0"/>
    <n v="1700"/>
    <n v="-5376.12"/>
    <n v="-14260.76"/>
    <n v="-12562.4"/>
    <n v="-5908.57"/>
    <n v="-9948.17"/>
    <n v="-6867.39"/>
    <n v="-10867.66"/>
    <n v="-11676.24"/>
    <n v="-15381.55"/>
    <n v="-6947.67"/>
    <n v="-8969.73"/>
    <n v="-4172.09"/>
    <n v="-112938.34999999999"/>
    <n v="-4797.6399999999994"/>
  </r>
  <r>
    <x v="19"/>
    <x v="6"/>
    <x v="0"/>
    <s v="4315107"/>
    <n v="400020"/>
    <s v="O/P Care Svcs Rev--Medicare"/>
    <s v="Physical Therapy IP &amp; OP"/>
    <x v="0"/>
    <n v="1100"/>
    <n v="-25948.080000000002"/>
    <n v="-22376.15"/>
    <n v="-7174.56"/>
    <n v="-22539.22"/>
    <n v="-18850.72"/>
    <n v="-18251.830000000002"/>
    <n v="-23912.43"/>
    <n v="-8647.49"/>
    <n v="-20664.62"/>
    <n v="-17683.27"/>
    <n v="-18566.419999999998"/>
    <n v="-14164.73"/>
    <n v="-218779.51999999999"/>
    <n v="-4401.6899999999987"/>
  </r>
  <r>
    <x v="19"/>
    <x v="6"/>
    <x v="0"/>
    <s v="4315107"/>
    <n v="400020"/>
    <s v="O/P Care Svcs Rev--Medicaid"/>
    <s v="Physical Therapy IP &amp; OP"/>
    <x v="0"/>
    <n v="1200"/>
    <n v="-1700.05"/>
    <n v="-2476.5"/>
    <n v="-4492.2299999999996"/>
    <n v="-2754.32"/>
    <n v="-4633.7700000000004"/>
    <n v="-2238.87"/>
    <n v="-967.66"/>
    <n v="-3976.46"/>
    <n v="-1961.47"/>
    <n v="-3091.02"/>
    <n v="-1678.65"/>
    <n v="-4009.34"/>
    <n v="-33980.339999999997"/>
    <n v="2330.69"/>
  </r>
  <r>
    <x v="19"/>
    <x v="6"/>
    <x v="0"/>
    <s v="4315107"/>
    <n v="400020"/>
    <s v="O/P Care Svcs Rev--Comm Insurance"/>
    <s v="Physical Therapy IP &amp; OP"/>
    <x v="0"/>
    <n v="1300"/>
    <n v="0.03"/>
    <n v="0"/>
    <n v="0"/>
    <n v="-1008.81"/>
    <n v="-527.71"/>
    <n v="50.03"/>
    <n v="-336.26"/>
    <n v="-207.28"/>
    <n v="0"/>
    <n v="-740.73"/>
    <n v="-3170.26"/>
    <n v="-1112.92"/>
    <n v="-7053.91"/>
    <n v="-2057.34"/>
  </r>
  <r>
    <x v="19"/>
    <x v="6"/>
    <x v="0"/>
    <s v="4315107"/>
    <n v="400020"/>
    <s v="O/P Care Svcs Rev--BCBS Comm"/>
    <s v="Physical Therapy IP &amp; OP"/>
    <x v="0"/>
    <n v="1301"/>
    <n v="0"/>
    <n v="-1246.8699999999999"/>
    <n v="-1314.96"/>
    <n v="-719.16"/>
    <n v="-848.93"/>
    <n v="-2084.5700000000002"/>
    <n v="-2777.21"/>
    <n v="-2928.69"/>
    <n v="-677.2"/>
    <n v="0"/>
    <n v="1213.06"/>
    <n v="-2121.06"/>
    <n v="-13505.590000000002"/>
    <n v="3334.12"/>
  </r>
  <r>
    <x v="19"/>
    <x v="6"/>
    <x v="0"/>
    <s v="4315107"/>
    <n v="400020"/>
    <s v="O/P Care Svcs Rev--Managed Care"/>
    <s v="Physical Therapy IP &amp; OP"/>
    <x v="0"/>
    <n v="1400"/>
    <n v="-4164.18"/>
    <n v="-3472.54"/>
    <n v="-2891.1"/>
    <n v="-1288.1199999999999"/>
    <n v="-2932.94"/>
    <n v="-682.6"/>
    <n v="-3349.13"/>
    <n v="-346.35"/>
    <n v="-2168.62"/>
    <n v="-4543.62"/>
    <n v="-2307.67"/>
    <n v="-5682.06"/>
    <n v="-33828.929999999993"/>
    <n v="3374.3900000000003"/>
  </r>
  <r>
    <x v="19"/>
    <x v="6"/>
    <x v="0"/>
    <s v="4315107"/>
    <n v="400020"/>
    <s v="O/P Care Svcs Rev--Self Pay"/>
    <s v="Physical Therapy IP &amp; OP"/>
    <x v="0"/>
    <n v="1500"/>
    <n v="0"/>
    <n v="0"/>
    <n v="-527.71"/>
    <n v="-787.25"/>
    <n v="-1307.9000000000001"/>
    <n v="-1376.87"/>
    <n v="0"/>
    <n v="0"/>
    <n v="0"/>
    <n v="0"/>
    <n v="-543.54"/>
    <n v="0"/>
    <n v="-4543.2700000000004"/>
    <n v="-543.54"/>
  </r>
  <r>
    <x v="19"/>
    <x v="6"/>
    <x v="0"/>
    <s v="4315107"/>
    <n v="400020"/>
    <s v="O/P Care Svcs Rev--Other"/>
    <s v="Physical Therapy IP &amp; OP"/>
    <x v="0"/>
    <n v="1700"/>
    <n v="-2157.5"/>
    <n v="0"/>
    <n v="-719.18"/>
    <n v="-3077.81"/>
    <n v="-1246.8699999999999"/>
    <n v="-527.71"/>
    <n v="-336.26"/>
    <n v="0"/>
    <n v="-116.88"/>
    <n v="0"/>
    <n v="-1151.8"/>
    <n v="-740.73"/>
    <n v="-10074.74"/>
    <n v="-411.06999999999994"/>
  </r>
  <r>
    <x v="5"/>
    <x v="6"/>
    <x v="0"/>
    <s v="4315107"/>
    <n v="700018"/>
    <s v="Salaries-Supervisory-Productive"/>
    <s v="Physical Therapy IP &amp; OP"/>
    <x v="0"/>
    <m/>
    <n v="0"/>
    <n v="0"/>
    <n v="493.85"/>
    <n v="134.71"/>
    <n v="53.82"/>
    <n v="161.46"/>
    <n v="0"/>
    <n v="592.86"/>
    <n v="-50.03"/>
    <n v="-30.79"/>
    <n v="0"/>
    <n v="165.54"/>
    <n v="1521.4200000000003"/>
    <n v="-165.54"/>
  </r>
  <r>
    <x v="5"/>
    <x v="6"/>
    <x v="0"/>
    <s v="4315107"/>
    <n v="700032"/>
    <s v="Salaries-Other Pat Care Providers-Productive"/>
    <s v="Physical Therapy IP &amp; OP"/>
    <x v="0"/>
    <m/>
    <n v="29025.87"/>
    <n v="29540.91"/>
    <n v="29044.95"/>
    <n v="32561.69"/>
    <n v="30188.01"/>
    <n v="34260.36"/>
    <n v="33374.79"/>
    <n v="31057.200000000001"/>
    <n v="35640.89"/>
    <n v="30613.91"/>
    <n v="30751.88"/>
    <n v="30211.040000000001"/>
    <n v="376271.49999999994"/>
    <n v="540.84000000000015"/>
  </r>
  <r>
    <x v="5"/>
    <x v="6"/>
    <x v="0"/>
    <s v="4315107"/>
    <n v="700032"/>
    <s v="Salaries-Other Pat Care Providers-OT"/>
    <s v="Physical Therapy IP &amp; OP"/>
    <x v="0"/>
    <n v="1000"/>
    <n v="271.36"/>
    <n v="392.77"/>
    <n v="840.46"/>
    <n v="176.81"/>
    <n v="185.87"/>
    <n v="388.39"/>
    <n v="288.89999999999998"/>
    <n v="145.43"/>
    <n v="257.06"/>
    <n v="121.19"/>
    <n v="33.549999999999997"/>
    <n v="387.6"/>
    <n v="3489.39"/>
    <n v="-354.05"/>
  </r>
  <r>
    <x v="5"/>
    <x v="6"/>
    <x v="0"/>
    <s v="4315107"/>
    <n v="700032"/>
    <s v="Salaries-Other Pat Care Providers-Other"/>
    <s v="Physical Therapy IP &amp; OP"/>
    <x v="0"/>
    <n v="2000"/>
    <n v="1123.26"/>
    <n v="870.43"/>
    <n v="977.24"/>
    <n v="1230.22"/>
    <n v="1094.52"/>
    <n v="1007"/>
    <n v="1010.82"/>
    <n v="668.6"/>
    <n v="914.73"/>
    <n v="1095.33"/>
    <n v="664.32"/>
    <n v="1224.51"/>
    <n v="11880.98"/>
    <n v="-560.18999999999994"/>
  </r>
  <r>
    <x v="5"/>
    <x v="6"/>
    <x v="0"/>
    <s v="4315107"/>
    <n v="700034"/>
    <s v="Salaries-Tech/Professional-Productive"/>
    <s v="Physical Therapy IP &amp; OP"/>
    <x v="0"/>
    <m/>
    <n v="8835.4699999999993"/>
    <n v="7488.21"/>
    <n v="9382.39"/>
    <n v="9436.0300000000007"/>
    <n v="7872.5"/>
    <n v="7765.17"/>
    <n v="8813.16"/>
    <n v="6003.66"/>
    <n v="4087.08"/>
    <n v="7120.56"/>
    <n v="9016.35"/>
    <n v="9554.19"/>
    <n v="95374.77"/>
    <n v="-537.84000000000015"/>
  </r>
  <r>
    <x v="5"/>
    <x v="6"/>
    <x v="0"/>
    <s v="4315107"/>
    <n v="700034"/>
    <s v="Salaries-Tech/Professional-OT"/>
    <s v="Physical Therapy IP &amp; OP"/>
    <x v="0"/>
    <n v="1000"/>
    <n v="0"/>
    <n v="0"/>
    <n v="13.17"/>
    <n v="0"/>
    <n v="0"/>
    <n v="12.83"/>
    <n v="35.15"/>
    <n v="47.16"/>
    <n v="-4.6100000000000003"/>
    <n v="0"/>
    <n v="13.2"/>
    <n v="0"/>
    <n v="116.9"/>
    <n v="13.2"/>
  </r>
  <r>
    <x v="5"/>
    <x v="6"/>
    <x v="0"/>
    <s v="4315107"/>
    <n v="700034"/>
    <s v="Salaries-Tech/Professional-Other"/>
    <s v="Physical Therapy IP &amp; OP"/>
    <x v="0"/>
    <n v="2000"/>
    <n v="210.46"/>
    <n v="236.55"/>
    <n v="198.61"/>
    <n v="225.67"/>
    <n v="212.08"/>
    <n v="249.97"/>
    <n v="291.5"/>
    <n v="167.8"/>
    <n v="85.94"/>
    <n v="225.16"/>
    <n v="192.83"/>
    <n v="184.43"/>
    <n v="2480.9999999999995"/>
    <n v="8.4000000000000057"/>
  </r>
  <r>
    <x v="5"/>
    <x v="6"/>
    <x v="0"/>
    <s v="4315107"/>
    <n v="700038"/>
    <s v="Salaries-Service/Support-Productive"/>
    <s v="Physical Therapy IP &amp; OP"/>
    <x v="0"/>
    <m/>
    <n v="0"/>
    <n v="0"/>
    <n v="0"/>
    <n v="0"/>
    <n v="0"/>
    <n v="0"/>
    <n v="0"/>
    <n v="0"/>
    <n v="0"/>
    <n v="572.04"/>
    <n v="0"/>
    <n v="0"/>
    <n v="572.04"/>
    <n v="0"/>
  </r>
  <r>
    <x v="5"/>
    <x v="6"/>
    <x v="0"/>
    <s v="4315107"/>
    <n v="700072"/>
    <s v="Salaries-Other Pat Care Providers-Non-productive"/>
    <s v="Physical Therapy IP &amp; OP"/>
    <x v="0"/>
    <m/>
    <n v="4680.0600000000004"/>
    <n v="2647.36"/>
    <n v="2787.83"/>
    <n v="3338.26"/>
    <n v="3345.69"/>
    <n v="5518.22"/>
    <n v="4240.47"/>
    <n v="4580.63"/>
    <n v="2757.57"/>
    <n v="2103.5700000000002"/>
    <n v="1525.83"/>
    <n v="6668.59"/>
    <n v="44194.080000000002"/>
    <n v="-5142.76"/>
  </r>
  <r>
    <x v="5"/>
    <x v="6"/>
    <x v="0"/>
    <s v="4315107"/>
    <n v="700072"/>
    <s v="Salaries-Other Pat Care Providers-NonProd-Other"/>
    <s v="Physical Therapy IP &amp; O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15107"/>
    <n v="700074"/>
    <s v="Salaries-Tech/Professional-Non-productive"/>
    <s v="Physical Therapy IP &amp; OP"/>
    <x v="0"/>
    <m/>
    <n v="2458"/>
    <n v="3643.16"/>
    <n v="2046.83"/>
    <n v="2007.38"/>
    <n v="3192.78"/>
    <n v="1998.96"/>
    <n v="1716.11"/>
    <n v="4064.82"/>
    <n v="8234.1200000000008"/>
    <n v="2909.93"/>
    <n v="121.32"/>
    <n v="2063.92"/>
    <n v="34457.33"/>
    <n v="-1942.6000000000001"/>
  </r>
  <r>
    <x v="5"/>
    <x v="6"/>
    <x v="0"/>
    <s v="4315107"/>
    <n v="700074"/>
    <s v="Salaries-Tech/Professional-NonProd-Other"/>
    <s v="Physical Therapy IP &amp; O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15107"/>
    <n v="700078"/>
    <s v="Salaries-Service/Support-Non-productive"/>
    <s v="Physical Therapy IP &amp; OP"/>
    <x v="0"/>
    <m/>
    <n v="0"/>
    <n v="0"/>
    <n v="0"/>
    <n v="0"/>
    <n v="265.55"/>
    <n v="-127.85"/>
    <n v="0"/>
    <n v="0"/>
    <n v="834.68"/>
    <n v="-180.92"/>
    <n v="0"/>
    <n v="0"/>
    <n v="791.46"/>
    <n v="0"/>
  </r>
  <r>
    <x v="5"/>
    <x v="6"/>
    <x v="0"/>
    <s v="4315107"/>
    <n v="700084"/>
    <s v="Accrued PTO"/>
    <s v="Physical Therapy IP &amp; OP"/>
    <x v="0"/>
    <m/>
    <n v="-1674.41"/>
    <n v="-1111.6099999999999"/>
    <n v="896.02"/>
    <n v="1723.39"/>
    <n v="802.97"/>
    <n v="-3737.87"/>
    <n v="-558.91999999999996"/>
    <n v="1793"/>
    <n v="1039.58"/>
    <n v="2452.08"/>
    <n v="1479.76"/>
    <n v="-142.69"/>
    <n v="2961.2999999999997"/>
    <n v="1622.45"/>
  </r>
  <r>
    <x v="6"/>
    <x v="6"/>
    <x v="0"/>
    <s v="4315107"/>
    <n v="713010"/>
    <s v="Benefits-FICA/Medicare"/>
    <s v="Physical Therapy IP &amp; OP"/>
    <x v="0"/>
    <m/>
    <n v="3565.1"/>
    <n v="3428.73"/>
    <n v="3501.26"/>
    <n v="3756.66"/>
    <n v="3548.61"/>
    <n v="3919.92"/>
    <n v="3801.55"/>
    <n v="3613.79"/>
    <n v="4024.1"/>
    <n v="3471.08"/>
    <n v="3232.76"/>
    <n v="3854.14"/>
    <n v="43717.700000000004"/>
    <n v="-621.37999999999965"/>
  </r>
  <r>
    <x v="6"/>
    <x v="6"/>
    <x v="0"/>
    <s v="4315107"/>
    <n v="713090"/>
    <s v="Benefits-Allocated Amounts"/>
    <s v="Physical Therapy IP &amp; OP"/>
    <x v="0"/>
    <m/>
    <n v="7480.43"/>
    <n v="6538.16"/>
    <n v="7321.86"/>
    <n v="7732.41"/>
    <n v="8485.66"/>
    <n v="8322.68"/>
    <n v="8343"/>
    <n v="8418.11"/>
    <n v="7611.14"/>
    <n v="8020.08"/>
    <n v="6885.51"/>
    <n v="9552.5"/>
    <n v="94711.540000000008"/>
    <n v="-2666.99"/>
  </r>
  <r>
    <x v="7"/>
    <x v="6"/>
    <x v="0"/>
    <s v="4315107"/>
    <n v="718050"/>
    <s v="Contract Management--Linen"/>
    <s v="Physical Therapy IP &amp; OP"/>
    <x v="0"/>
    <n v="1026"/>
    <n v="0"/>
    <n v="0"/>
    <n v="0"/>
    <n v="0"/>
    <n v="0"/>
    <n v="0"/>
    <n v="0"/>
    <n v="0"/>
    <n v="0"/>
    <n v="0"/>
    <n v="88.94"/>
    <n v="-27.74"/>
    <n v="61.2"/>
    <n v="116.67999999999999"/>
  </r>
  <r>
    <x v="11"/>
    <x v="6"/>
    <x v="0"/>
    <s v="4315107"/>
    <n v="721010"/>
    <s v="Supplies-Medical - Billable"/>
    <s v="Physical Therapy IP &amp; OP"/>
    <x v="0"/>
    <m/>
    <n v="0"/>
    <n v="0"/>
    <n v="0"/>
    <n v="0"/>
    <n v="0"/>
    <n v="0"/>
    <n v="0"/>
    <n v="0"/>
    <n v="-11.9"/>
    <n v="0"/>
    <n v="0"/>
    <n v="0"/>
    <n v="-11.9"/>
    <n v="0"/>
  </r>
  <r>
    <x v="11"/>
    <x v="6"/>
    <x v="0"/>
    <s v="4315107"/>
    <n v="721410"/>
    <s v="Supplies-Medical - Nonbillable"/>
    <s v="Physical Therapy IP &amp; OP"/>
    <x v="0"/>
    <m/>
    <n v="-0.57999999999999996"/>
    <n v="12.31"/>
    <n v="-8.99"/>
    <n v="41.07"/>
    <n v="327.5"/>
    <n v="73.34"/>
    <n v="0"/>
    <n v="3.45"/>
    <n v="103.81"/>
    <n v="78.69"/>
    <n v="105.29"/>
    <n v="0"/>
    <n v="735.88999999999987"/>
    <n v="105.29"/>
  </r>
  <r>
    <x v="11"/>
    <x v="6"/>
    <x v="0"/>
    <s v="4315107"/>
    <n v="721810"/>
    <s v="Supplies-Dietary/Cafeteria"/>
    <s v="Physical Therapy IP &amp; OP"/>
    <x v="0"/>
    <m/>
    <n v="7.4"/>
    <n v="7.4"/>
    <n v="21.56"/>
    <n v="7.4"/>
    <n v="14.8"/>
    <n v="14.44"/>
    <n v="0"/>
    <n v="7.4"/>
    <n v="7.4"/>
    <n v="7.4"/>
    <n v="32.74"/>
    <n v="93.64"/>
    <n v="221.58000000000004"/>
    <n v="-60.9"/>
  </r>
  <r>
    <x v="11"/>
    <x v="6"/>
    <x v="0"/>
    <s v="4315107"/>
    <n v="721830"/>
    <s v="Supplies-Office"/>
    <s v="Physical Therapy IP &amp; OP"/>
    <x v="0"/>
    <m/>
    <n v="138.59"/>
    <n v="0"/>
    <n v="44.25"/>
    <n v="139.84"/>
    <n v="90.33"/>
    <n v="64.19"/>
    <n v="65.64"/>
    <n v="0"/>
    <n v="60.53"/>
    <n v="-43.66"/>
    <n v="0"/>
    <n v="33.450000000000003"/>
    <n v="593.16000000000008"/>
    <n v="-33.450000000000003"/>
  </r>
  <r>
    <x v="11"/>
    <x v="6"/>
    <x v="0"/>
    <s v="4315107"/>
    <n v="721835"/>
    <s v="Supplies-Forms"/>
    <s v="Physical Therapy IP &amp; OP"/>
    <x v="0"/>
    <m/>
    <n v="0"/>
    <n v="0"/>
    <n v="0"/>
    <n v="0"/>
    <n v="0"/>
    <n v="0"/>
    <n v="0"/>
    <n v="0"/>
    <n v="0"/>
    <n v="0"/>
    <n v="0"/>
    <n v="0.5"/>
    <n v="0.5"/>
    <n v="-0.5"/>
  </r>
  <r>
    <x v="11"/>
    <x v="6"/>
    <x v="0"/>
    <s v="4315107"/>
    <n v="721870"/>
    <s v="Supplies-Environmental Services"/>
    <s v="Physical Therapy IP &amp; OP"/>
    <x v="0"/>
    <m/>
    <n v="7.88"/>
    <n v="7.88"/>
    <n v="0"/>
    <n v="7.88"/>
    <n v="0"/>
    <n v="3.94"/>
    <n v="7.88"/>
    <n v="7.88"/>
    <n v="0"/>
    <n v="7.88"/>
    <n v="5.28"/>
    <n v="0"/>
    <n v="56.500000000000007"/>
    <n v="5.28"/>
  </r>
  <r>
    <x v="11"/>
    <x v="6"/>
    <x v="0"/>
    <s v="4315107"/>
    <n v="721910"/>
    <s v="Supplies-Small Equipment"/>
    <s v="Physical Therapy IP &amp; OP"/>
    <x v="0"/>
    <m/>
    <n v="-8.65"/>
    <n v="0.66"/>
    <n v="154.5"/>
    <n v="18.309999999999999"/>
    <n v="4.08"/>
    <n v="4.08"/>
    <n v="108.21"/>
    <n v="4.08"/>
    <n v="-215.92"/>
    <n v="177.12"/>
    <n v="127.46"/>
    <n v="0"/>
    <n v="373.93"/>
    <n v="127.46"/>
  </r>
  <r>
    <x v="11"/>
    <x v="6"/>
    <x v="0"/>
    <s v="4315107"/>
    <n v="721980"/>
    <s v="Supplies-Other"/>
    <s v="Physical Therapy IP &amp; OP"/>
    <x v="0"/>
    <m/>
    <n v="45.47"/>
    <n v="0"/>
    <n v="0"/>
    <n v="10.89"/>
    <n v="0"/>
    <n v="0"/>
    <n v="0"/>
    <n v="0"/>
    <n v="0"/>
    <n v="0"/>
    <n v="0"/>
    <n v="0"/>
    <n v="56.36"/>
    <n v="0"/>
  </r>
  <r>
    <x v="11"/>
    <x v="6"/>
    <x v="0"/>
    <s v="4315107"/>
    <n v="722000"/>
    <s v="Supplies-Freight Expense"/>
    <s v="Physical Therapy IP &amp; OP"/>
    <x v="0"/>
    <m/>
    <n v="0"/>
    <n v="6.06"/>
    <n v="0"/>
    <n v="0"/>
    <n v="0"/>
    <n v="19.53"/>
    <n v="13.33"/>
    <n v="0"/>
    <n v="0"/>
    <n v="8.76"/>
    <n v="8.26"/>
    <n v="0"/>
    <n v="55.94"/>
    <n v="8.26"/>
  </r>
  <r>
    <x v="12"/>
    <x v="6"/>
    <x v="0"/>
    <s v="4315107"/>
    <n v="730020"/>
    <s v="Rental and Leases-Equipment (DO NOT USE)"/>
    <s v="Physical Therapy IP &amp; OP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2"/>
    <x v="6"/>
    <x v="0"/>
    <s v="4315107"/>
    <n v="730020"/>
    <s v="Rental and Leases-Copier Usage Fees (DO NOT USE)"/>
    <s v="Physical Therapy IP &amp; OP"/>
    <x v="0"/>
    <n v="5100"/>
    <n v="168.15"/>
    <n v="172.14"/>
    <n v="170.15"/>
    <n v="170.15"/>
    <n v="170.14"/>
    <n v="170.15"/>
    <n v="290.42"/>
    <n v="173.46"/>
    <n v="173.09"/>
    <n v="197.81"/>
    <n v="173.46"/>
    <n v="193.63"/>
    <n v="2222.75"/>
    <n v="-20.169999999999987"/>
  </r>
  <r>
    <x v="15"/>
    <x v="6"/>
    <x v="0"/>
    <s v="4315107"/>
    <n v="731060"/>
    <s v="Telephone"/>
    <s v="Physical Therapy IP &amp; OP"/>
    <x v="0"/>
    <m/>
    <n v="322.97000000000003"/>
    <n v="227.9"/>
    <n v="10.32"/>
    <n v="231.96"/>
    <n v="236.65"/>
    <n v="127.45"/>
    <n v="565.46"/>
    <n v="120.08"/>
    <n v="230.87"/>
    <n v="240.91"/>
    <n v="229.83"/>
    <n v="109.48"/>
    <n v="2653.88"/>
    <n v="120.35000000000001"/>
  </r>
  <r>
    <x v="15"/>
    <x v="6"/>
    <x v="0"/>
    <s v="4315107"/>
    <n v="731060"/>
    <s v="Pagers"/>
    <s v="Physical Therapy IP &amp; OP"/>
    <x v="0"/>
    <n v="1002"/>
    <n v="81"/>
    <n v="81"/>
    <n v="81"/>
    <n v="81.2"/>
    <n v="0"/>
    <n v="81.2"/>
    <n v="162.4"/>
    <n v="81.2"/>
    <n v="81.2"/>
    <n v="81.2"/>
    <n v="81.2"/>
    <n v="81.2"/>
    <n v="973.80000000000018"/>
    <n v="0"/>
  </r>
  <r>
    <x v="16"/>
    <x v="6"/>
    <x v="0"/>
    <s v="4315107"/>
    <n v="732030"/>
    <s v="Repairs---Other"/>
    <s v="Physical Therapy IP &amp; OP"/>
    <x v="0"/>
    <m/>
    <n v="0"/>
    <n v="0"/>
    <n v="0"/>
    <n v="0"/>
    <n v="0"/>
    <n v="0"/>
    <n v="0"/>
    <n v="0"/>
    <n v="0"/>
    <n v="558.13"/>
    <n v="-8.99"/>
    <n v="0"/>
    <n v="549.14"/>
    <n v="-8.99"/>
  </r>
  <r>
    <x v="13"/>
    <x v="6"/>
    <x v="0"/>
    <s v="4315107"/>
    <n v="735070"/>
    <s v="Depreciation-Movable Equipment"/>
    <s v="Physical Therapy IP &amp; OP"/>
    <x v="0"/>
    <m/>
    <n v="227.86"/>
    <n v="110.35"/>
    <n v="110.36"/>
    <n v="110.35"/>
    <n v="110.36"/>
    <n v="110.35"/>
    <n v="110.36"/>
    <n v="110.35"/>
    <n v="110.36"/>
    <n v="110.35"/>
    <n v="110.36"/>
    <n v="110.35"/>
    <n v="1441.7599999999998"/>
    <n v="1.0000000000005116E-2"/>
  </r>
  <r>
    <x v="0"/>
    <x v="6"/>
    <x v="0"/>
    <s v="4315107"/>
    <n v="740020"/>
    <s v="Education-Registration Fees"/>
    <s v="Physical Therapy IP &amp; OP"/>
    <x v="0"/>
    <m/>
    <n v="0"/>
    <n v="0"/>
    <n v="0"/>
    <n v="0"/>
    <n v="0"/>
    <n v="0"/>
    <n v="0"/>
    <n v="0"/>
    <n v="0"/>
    <n v="79"/>
    <n v="1664.46"/>
    <n v="0"/>
    <n v="1743.46"/>
    <n v="1664.46"/>
  </r>
  <r>
    <x v="0"/>
    <x v="6"/>
    <x v="0"/>
    <s v="4315107"/>
    <n v="749510"/>
    <s v="Miscellaneous Expenses"/>
    <s v="Physical Therapy IP &amp; OP"/>
    <x v="0"/>
    <m/>
    <n v="0"/>
    <n v="-3.82"/>
    <n v="35.11"/>
    <n v="0"/>
    <n v="15.28"/>
    <n v="-15.28"/>
    <n v="19.82"/>
    <n v="-19.82"/>
    <n v="0"/>
    <n v="24.36"/>
    <n v="-20.3"/>
    <n v="12.18"/>
    <n v="47.529999999999994"/>
    <n v="-32.480000000000004"/>
  </r>
  <r>
    <x v="0"/>
    <x v="6"/>
    <x v="0"/>
    <s v="4315107"/>
    <n v="749510"/>
    <s v="RICE Rewards"/>
    <s v="Physical Therapy IP &amp; OP"/>
    <x v="0"/>
    <n v="5100"/>
    <n v="0"/>
    <n v="0"/>
    <n v="0"/>
    <n v="0"/>
    <n v="0"/>
    <n v="0"/>
    <n v="0"/>
    <n v="0"/>
    <n v="183.4"/>
    <n v="0"/>
    <n v="0"/>
    <n v="80.040000000000006"/>
    <n v="263.44"/>
    <n v="-80.040000000000006"/>
  </r>
  <r>
    <x v="0"/>
    <x v="6"/>
    <x v="0"/>
    <s v="4315107"/>
    <n v="749530"/>
    <s v="Mileage"/>
    <s v="Physical Therapy IP &amp; OP"/>
    <x v="0"/>
    <n v="1001"/>
    <n v="45.84"/>
    <n v="26.74"/>
    <n v="57.3"/>
    <n v="30.56"/>
    <n v="53.48"/>
    <n v="49.66"/>
    <n v="19.82"/>
    <n v="66.22"/>
    <n v="66.7"/>
    <n v="16.239999999999998"/>
    <n v="40.6"/>
    <n v="60.9"/>
    <n v="534.06000000000006"/>
    <n v="-20.299999999999997"/>
  </r>
  <r>
    <x v="18"/>
    <x v="7"/>
    <x v="0"/>
    <s v="4315150"/>
    <n v="400010"/>
    <s v="Acute I/P Svcs Rev--Medicare"/>
    <s v="Physical Therapy"/>
    <x v="0"/>
    <n v="1100"/>
    <n v="-17404.05"/>
    <n v="-16572.64"/>
    <n v="-20038.96"/>
    <n v="-14585.31"/>
    <n v="-20060.04"/>
    <n v="-34750.199999999997"/>
    <n v="-30138.82"/>
    <n v="-30840.35"/>
    <n v="-23102.73"/>
    <n v="-24958.2"/>
    <n v="-27657.52"/>
    <n v="-14448.69"/>
    <n v="-274557.51"/>
    <n v="-13208.83"/>
  </r>
  <r>
    <x v="18"/>
    <x v="7"/>
    <x v="0"/>
    <s v="4315150"/>
    <n v="400010"/>
    <s v="Acute I/P Svcs Rev--Medicaid"/>
    <s v="Physical Therapy"/>
    <x v="0"/>
    <n v="1200"/>
    <n v="-3921.56"/>
    <n v="-1345.06"/>
    <n v="-3247.04"/>
    <n v="-1234.8"/>
    <n v="-1712.9"/>
    <n v="-830.05"/>
    <n v="-1295.18"/>
    <n v="-2768.66"/>
    <n v="-1742.11"/>
    <n v="-1716.29"/>
    <n v="-661.68"/>
    <n v="-1850.83"/>
    <n v="-22326.159999999996"/>
    <n v="1189.1500000000001"/>
  </r>
  <r>
    <x v="18"/>
    <x v="7"/>
    <x v="0"/>
    <s v="4315150"/>
    <n v="400010"/>
    <s v="Acute I/P Svcs Rev--Comm Insurance"/>
    <s v="Physical Therapy"/>
    <x v="0"/>
    <n v="1300"/>
    <n v="960.71"/>
    <n v="-336.26"/>
    <n v="-1992.26"/>
    <n v="-2017.56"/>
    <n v="-46.64"/>
    <n v="-765.17"/>
    <n v="0"/>
    <n v="0"/>
    <n v="-1205.24"/>
    <n v="-346.37"/>
    <n v="0"/>
    <n v="0"/>
    <n v="-5748.7899999999991"/>
    <n v="0"/>
  </r>
  <r>
    <x v="18"/>
    <x v="7"/>
    <x v="0"/>
    <s v="4315150"/>
    <n v="400010"/>
    <s v="Acute I/P Svcs Rev--BCBS Comm"/>
    <s v="Physical Therapy"/>
    <x v="0"/>
    <n v="1301"/>
    <n v="654.59"/>
    <n v="-1368.01"/>
    <n v="-466.05"/>
    <n v="-1266.6500000000001"/>
    <n v="-2239.94"/>
    <n v="-1930.54"/>
    <n v="-3319"/>
    <n v="-1913.44"/>
    <n v="-4363.05"/>
    <n v="0"/>
    <n v="0"/>
    <n v="-1882.44"/>
    <n v="-18094.53"/>
    <n v="1882.44"/>
  </r>
  <r>
    <x v="18"/>
    <x v="7"/>
    <x v="0"/>
    <s v="4315150"/>
    <n v="400010"/>
    <s v="Acute I/P Svcs Rev--Managed Care"/>
    <s v="Physical Therapy"/>
    <x v="0"/>
    <n v="1400"/>
    <n v="-7464.58"/>
    <n v="-4503.5200000000004"/>
    <n v="-2458.25"/>
    <n v="-329.18"/>
    <n v="-1138.55"/>
    <n v="-8495.98"/>
    <n v="-1506.41"/>
    <n v="-7740.87"/>
    <n v="-649.55999999999995"/>
    <n v="-1674.62"/>
    <n v="-874.39"/>
    <n v="-1157.21"/>
    <n v="-37993.119999999995"/>
    <n v="282.82000000000005"/>
  </r>
  <r>
    <x v="18"/>
    <x v="7"/>
    <x v="0"/>
    <s v="4315150"/>
    <n v="400010"/>
    <s v="Acute I/P Svcs Rev--Self Pay"/>
    <s v="Physical Therapy"/>
    <x v="0"/>
    <n v="1500"/>
    <n v="-657.48"/>
    <n v="0"/>
    <n v="0"/>
    <n v="-336.26"/>
    <n v="-336.26"/>
    <n v="0"/>
    <n v="-840.65"/>
    <n v="-1764.28"/>
    <n v="0"/>
    <n v="0"/>
    <n v="0"/>
    <n v="-1087.08"/>
    <n v="-5022.01"/>
    <n v="1087.08"/>
  </r>
  <r>
    <x v="18"/>
    <x v="7"/>
    <x v="0"/>
    <s v="4315150"/>
    <n v="400010"/>
    <s v="Acute I/P Svcs Rev--Other"/>
    <s v="Physical Therapy"/>
    <x v="0"/>
    <n v="1700"/>
    <n v="0"/>
    <n v="-770.65"/>
    <n v="434.39"/>
    <n v="0"/>
    <n v="-1055.42"/>
    <n v="-382.9"/>
    <n v="-848.95"/>
    <n v="-810.86"/>
    <n v="-692.7"/>
    <n v="-346.35"/>
    <n v="-975.79"/>
    <n v="0"/>
    <n v="-5449.2300000000005"/>
    <n v="-975.79"/>
  </r>
  <r>
    <x v="19"/>
    <x v="7"/>
    <x v="0"/>
    <s v="4315150"/>
    <n v="400020"/>
    <s v="O/P Care Svcs Rev--Medicare"/>
    <s v="Physical Therapy"/>
    <x v="0"/>
    <n v="1100"/>
    <n v="-6401.73"/>
    <n v="-5423.1"/>
    <n v="-3165.7"/>
    <n v="-8466.93"/>
    <n v="-4475.9799999999996"/>
    <n v="-2721.78"/>
    <n v="-11397.76"/>
    <n v="-7862.96"/>
    <n v="-10505.51"/>
    <n v="-3260.61"/>
    <n v="-7697.74"/>
    <n v="-5925.35"/>
    <n v="-77305.150000000009"/>
    <n v="-1772.3899999999994"/>
  </r>
  <r>
    <x v="19"/>
    <x v="7"/>
    <x v="0"/>
    <s v="4315150"/>
    <n v="400020"/>
    <s v="O/P Care Svcs Rev--Medicaid"/>
    <s v="Physical Therapy"/>
    <x v="0"/>
    <n v="1200"/>
    <n v="0"/>
    <n v="0"/>
    <n v="0"/>
    <n v="0"/>
    <n v="0"/>
    <n v="-672.54"/>
    <n v="0"/>
    <n v="0"/>
    <n v="0"/>
    <n v="-1827.14"/>
    <n v="-692.7"/>
    <n v="-846.73"/>
    <n v="-4039.11"/>
    <n v="154.02999999999997"/>
  </r>
  <r>
    <x v="19"/>
    <x v="7"/>
    <x v="0"/>
    <s v="4315150"/>
    <n v="400020"/>
    <s v="O/P Care Svcs Rev--Comm Insurance"/>
    <s v="Physical Therapy"/>
    <x v="0"/>
    <n v="1300"/>
    <n v="0"/>
    <n v="0"/>
    <n v="-336.26"/>
    <n v="336.26"/>
    <n v="0"/>
    <n v="0"/>
    <n v="0"/>
    <n v="0"/>
    <n v="0"/>
    <n v="0"/>
    <n v="0"/>
    <n v="0"/>
    <n v="0"/>
    <n v="0"/>
  </r>
  <r>
    <x v="19"/>
    <x v="7"/>
    <x v="0"/>
    <s v="4315150"/>
    <n v="400020"/>
    <s v="O/P Care Svcs Rev--BCBS Comm"/>
    <s v="Physical Therapy"/>
    <x v="0"/>
    <n v="1301"/>
    <n v="0"/>
    <n v="0"/>
    <n v="0"/>
    <n v="0"/>
    <n v="0"/>
    <n v="0"/>
    <n v="-336.26"/>
    <n v="0"/>
    <n v="-346.35"/>
    <n v="-1193.08"/>
    <n v="-677.2"/>
    <n v="0"/>
    <n v="-2552.8900000000003"/>
    <n v="-677.2"/>
  </r>
  <r>
    <x v="19"/>
    <x v="7"/>
    <x v="0"/>
    <s v="4315150"/>
    <n v="400020"/>
    <s v="O/P Care Svcs Rev--Managed Care"/>
    <s v="Physical Therapy"/>
    <x v="0"/>
    <n v="1400"/>
    <n v="0"/>
    <n v="0"/>
    <n v="0"/>
    <n v="0"/>
    <n v="-1330.04"/>
    <n v="0"/>
    <n v="-2348.29"/>
    <n v="-2370.66"/>
    <n v="-346.37"/>
    <n v="0"/>
    <n v="-346.35"/>
    <n v="0"/>
    <n v="-6741.71"/>
    <n v="-346.35"/>
  </r>
  <r>
    <x v="19"/>
    <x v="7"/>
    <x v="0"/>
    <s v="4315150"/>
    <n v="400020"/>
    <s v="O/P Care Svcs Rev--Self Pay"/>
    <s v="Physical Therapy"/>
    <x v="0"/>
    <n v="1500"/>
    <n v="0"/>
    <n v="0"/>
    <n v="-336.29"/>
    <n v="0.03"/>
    <n v="0"/>
    <n v="0"/>
    <n v="0"/>
    <n v="0"/>
    <n v="0"/>
    <n v="0"/>
    <n v="0"/>
    <n v="0"/>
    <n v="-336.26000000000005"/>
    <n v="0"/>
  </r>
  <r>
    <x v="19"/>
    <x v="7"/>
    <x v="0"/>
    <s v="4315150"/>
    <n v="400020"/>
    <s v="O/P Care Svcs Rev--Other"/>
    <s v="Physical Therapy"/>
    <x v="0"/>
    <n v="1700"/>
    <n v="0"/>
    <n v="0"/>
    <n v="0"/>
    <n v="0"/>
    <n v="0"/>
    <n v="0"/>
    <n v="0"/>
    <n v="0"/>
    <n v="-1496.27"/>
    <n v="0"/>
    <n v="0"/>
    <n v="-677.2"/>
    <n v="-2173.4700000000003"/>
    <n v="677.2"/>
  </r>
  <r>
    <x v="7"/>
    <x v="7"/>
    <x v="0"/>
    <s v="4315150"/>
    <n v="718050"/>
    <s v="Contract Svcs-Other"/>
    <s v="Physical Therapy"/>
    <x v="0"/>
    <m/>
    <n v="8420.4"/>
    <n v="9550.68"/>
    <n v="7124.31"/>
    <n v="9212.77"/>
    <n v="6864.52"/>
    <n v="9081.86"/>
    <n v="4948.99"/>
    <n v="49733.99"/>
    <n v="-30531.84"/>
    <n v="10972.35"/>
    <n v="8698.5"/>
    <n v="9060.73"/>
    <n v="103137.26000000001"/>
    <n v="-362.22999999999956"/>
  </r>
  <r>
    <x v="7"/>
    <x v="7"/>
    <x v="0"/>
    <s v="4315150"/>
    <n v="718091"/>
    <s v="Contract Services-Intracompany Allocation"/>
    <s v="Physical Therapy"/>
    <x v="0"/>
    <m/>
    <n v="1825.17"/>
    <n v="2180.69"/>
    <n v="2183.91"/>
    <n v="2366.29"/>
    <n v="2425.44"/>
    <n v="2078.88"/>
    <n v="2363.79"/>
    <n v="2219.13"/>
    <n v="2144.6799999999998"/>
    <n v="2285.88"/>
    <n v="2215.61"/>
    <n v="2037.48"/>
    <n v="26326.950000000004"/>
    <n v="178.13000000000011"/>
  </r>
  <r>
    <x v="18"/>
    <x v="10"/>
    <x v="0"/>
    <s v="4315306"/>
    <n v="400010"/>
    <s v="Acute I/P Svcs Rev--Medicare"/>
    <s v="PT Services IP &amp; OP"/>
    <x v="0"/>
    <n v="1100"/>
    <n v="-40787.83"/>
    <n v="-40703.35"/>
    <n v="-29899.200000000001"/>
    <n v="-53005.85"/>
    <n v="-56439.83"/>
    <n v="-26625.07"/>
    <n v="-32946.26"/>
    <n v="-39722.31"/>
    <n v="-39972.19"/>
    <n v="-32387.77"/>
    <n v="-51748.33"/>
    <n v="-39412.5"/>
    <n v="-483650.49000000005"/>
    <n v="-12335.830000000002"/>
  </r>
  <r>
    <x v="18"/>
    <x v="10"/>
    <x v="0"/>
    <s v="4315306"/>
    <n v="400010"/>
    <s v="Acute I/P Svcs Rev--Medicaid"/>
    <s v="PT Services IP &amp; OP"/>
    <x v="0"/>
    <n v="1200"/>
    <n v="-6897.22"/>
    <n v="-5814.34"/>
    <n v="0"/>
    <n v="-3286.31"/>
    <n v="6392.26"/>
    <n v="-4572.67"/>
    <n v="-4597.84"/>
    <n v="-1636.45"/>
    <n v="-1634.17"/>
    <n v="-10559.94"/>
    <n v="-5555.2"/>
    <n v="0"/>
    <n v="-38161.880000000005"/>
    <n v="-5555.2"/>
  </r>
  <r>
    <x v="18"/>
    <x v="10"/>
    <x v="0"/>
    <s v="4315306"/>
    <n v="400010"/>
    <s v="Acute I/P Svcs Rev--Comm Insurance"/>
    <s v="PT Services IP &amp; OP"/>
    <x v="0"/>
    <n v="1300"/>
    <n v="0"/>
    <n v="0"/>
    <n v="0"/>
    <n v="0"/>
    <n v="0"/>
    <n v="0"/>
    <n v="0"/>
    <n v="-3247.59"/>
    <n v="0"/>
    <n v="0"/>
    <n v="0"/>
    <n v="0"/>
    <n v="-3247.59"/>
    <n v="0"/>
  </r>
  <r>
    <x v="18"/>
    <x v="10"/>
    <x v="0"/>
    <s v="4315306"/>
    <n v="400010"/>
    <s v="Acute I/P Svcs Rev--BCBS Comm"/>
    <s v="PT Services IP &amp; OP"/>
    <x v="0"/>
    <n v="1301"/>
    <n v="-1650.35"/>
    <n v="-527.73"/>
    <n v="-4047.66"/>
    <n v="-2414.6799999999998"/>
    <n v="-7606.91"/>
    <n v="0"/>
    <n v="-2438.31"/>
    <n v="-6128.25"/>
    <n v="-1031.8399999999999"/>
    <n v="-2652.71"/>
    <n v="-169.53"/>
    <n v="-3324.1"/>
    <n v="-31992.069999999996"/>
    <n v="3154.5699999999997"/>
  </r>
  <r>
    <x v="18"/>
    <x v="10"/>
    <x v="0"/>
    <s v="4315306"/>
    <n v="400010"/>
    <s v="Acute I/P Svcs Rev--Managed Care"/>
    <s v="PT Services IP &amp; OP"/>
    <x v="0"/>
    <n v="1400"/>
    <n v="5380.53"/>
    <n v="-5927.09"/>
    <n v="-10405.91"/>
    <n v="-10564.15"/>
    <n v="-4536.9399999999996"/>
    <n v="-2773.07"/>
    <n v="-329.22"/>
    <n v="-4883.1899999999996"/>
    <n v="-12958.63"/>
    <n v="-12343.25"/>
    <n v="-11800.06"/>
    <n v="-10213.86"/>
    <n v="-81354.84"/>
    <n v="-1586.1999999999989"/>
  </r>
  <r>
    <x v="18"/>
    <x v="10"/>
    <x v="0"/>
    <s v="4315306"/>
    <n v="400010"/>
    <s v="Acute I/P Svcs Rev--Self Pay"/>
    <s v="PT Services IP &amp; OP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4315306"/>
    <n v="400010"/>
    <s v="Acute I/P Svcs Rev--Other"/>
    <s v="PT Services IP &amp; OP"/>
    <x v="0"/>
    <n v="1700"/>
    <n v="-8778.93"/>
    <n v="0"/>
    <n v="0"/>
    <n v="0"/>
    <n v="0"/>
    <n v="0"/>
    <n v="-2219.39"/>
    <n v="-3591.55"/>
    <n v="-543.55999999999995"/>
    <n v="0"/>
    <n v="0"/>
    <n v="0"/>
    <n v="-15133.429999999998"/>
    <n v="0"/>
  </r>
  <r>
    <x v="7"/>
    <x v="10"/>
    <x v="0"/>
    <s v="4315306"/>
    <n v="718050"/>
    <s v="Miscellaneous Purchased Svcs"/>
    <s v="PT Services IP &amp; OP"/>
    <x v="0"/>
    <n v="1020"/>
    <n v="26190.45"/>
    <n v="24242.400000000001"/>
    <n v="25658.7"/>
    <n v="18542.55"/>
    <n v="30000"/>
    <n v="30000"/>
    <n v="19336.2"/>
    <n v="26190.45"/>
    <n v="29725.8"/>
    <n v="28210.65"/>
    <n v="29870.1"/>
    <n v="6522.3"/>
    <n v="294489.59999999998"/>
    <n v="23347.8"/>
  </r>
  <r>
    <x v="11"/>
    <x v="10"/>
    <x v="0"/>
    <s v="4315306"/>
    <n v="721980"/>
    <s v="Supplies-Other"/>
    <s v="PT Services IP &amp; OP"/>
    <x v="0"/>
    <m/>
    <n v="0"/>
    <n v="0"/>
    <n v="0"/>
    <n v="0"/>
    <n v="0"/>
    <n v="0"/>
    <n v="0"/>
    <n v="0"/>
    <n v="-62.6"/>
    <n v="0"/>
    <n v="0"/>
    <n v="0"/>
    <n v="-62.6"/>
    <n v="0"/>
  </r>
  <r>
    <x v="13"/>
    <x v="10"/>
    <x v="0"/>
    <s v="4315306"/>
    <n v="735070"/>
    <s v="Depreciation-Movable Equipment"/>
    <s v="PT Services IP &amp; OP"/>
    <x v="0"/>
    <m/>
    <n v="376.66"/>
    <n v="376.66"/>
    <n v="376.69"/>
    <n v="376.66"/>
    <n v="376.71"/>
    <n v="376.63"/>
    <n v="353.37"/>
    <n v="353.29"/>
    <n v="353.37"/>
    <n v="353.29"/>
    <n v="353.37"/>
    <n v="353.29"/>
    <n v="4379.99"/>
    <n v="7.9999999999984084E-2"/>
  </r>
  <r>
    <x v="18"/>
    <x v="6"/>
    <x v="0"/>
    <s v="4316107"/>
    <n v="400010"/>
    <s v="Acute I/P Svcs Rev--Medicare"/>
    <s v="PT-Silverdale IP &amp; OP"/>
    <x v="0"/>
    <n v="1100"/>
    <n v="-41512.33"/>
    <n v="-53898.07"/>
    <n v="-50814.77"/>
    <n v="-72272.47"/>
    <n v="-44902.28"/>
    <n v="-44147.12"/>
    <n v="-59266.64"/>
    <n v="-43905.21"/>
    <n v="-54616.09"/>
    <n v="-80857.86"/>
    <n v="-70639.87"/>
    <n v="-71362.23"/>
    <n v="-688194.94"/>
    <n v="722.36000000000058"/>
  </r>
  <r>
    <x v="18"/>
    <x v="6"/>
    <x v="0"/>
    <s v="4316107"/>
    <n v="400010"/>
    <s v="Acute I/P Svcs Rev--Medicaid"/>
    <s v="PT-Silverdale IP &amp; OP"/>
    <x v="0"/>
    <n v="1200"/>
    <n v="-5819.29"/>
    <n v="-1977.99"/>
    <n v="-2183.3000000000002"/>
    <n v="-2957.55"/>
    <n v="-2943.69"/>
    <n v="-2765.24"/>
    <n v="-6510.29"/>
    <n v="-1769.15"/>
    <n v="-4392.34"/>
    <n v="-3046.06"/>
    <n v="-6902.05"/>
    <n v="-9853.3700000000008"/>
    <n v="-51120.320000000007"/>
    <n v="2951.3200000000006"/>
  </r>
  <r>
    <x v="18"/>
    <x v="6"/>
    <x v="0"/>
    <s v="4316107"/>
    <n v="400010"/>
    <s v="Acute I/P Svcs Rev--Comm Insurance"/>
    <s v="PT-Silverdale IP &amp; OP"/>
    <x v="0"/>
    <n v="1300"/>
    <n v="671.94"/>
    <n v="-725.57"/>
    <n v="0"/>
    <n v="725.57"/>
    <n v="-1793.99"/>
    <n v="-1101.69"/>
    <n v="-2313.0700000000002"/>
    <n v="-2080.5500000000002"/>
    <n v="-4166.71"/>
    <n v="2080.5500000000002"/>
    <n v="0"/>
    <n v="0"/>
    <n v="-8703.52"/>
    <n v="0"/>
  </r>
  <r>
    <x v="18"/>
    <x v="6"/>
    <x v="0"/>
    <s v="4316107"/>
    <n v="400010"/>
    <s v="Acute I/P Svcs Rev--BCBS Comm"/>
    <s v="PT-Silverdale IP &amp; OP"/>
    <x v="0"/>
    <n v="1301"/>
    <n v="-8055.4"/>
    <n v="-6976.39"/>
    <n v="-8261.64"/>
    <n v="-2532.56"/>
    <n v="-8763.7900000000009"/>
    <n v="-3545.71"/>
    <n v="-4764.3500000000004"/>
    <n v="-1607.76"/>
    <n v="-7184.42"/>
    <n v="-3724.24"/>
    <n v="-6282.75"/>
    <n v="-980.39"/>
    <n v="-62679.399999999994"/>
    <n v="-5302.36"/>
  </r>
  <r>
    <x v="18"/>
    <x v="6"/>
    <x v="0"/>
    <s v="4316107"/>
    <n v="400010"/>
    <s v="Acute I/P Svcs Rev--Managed Care"/>
    <s v="PT-Silverdale IP &amp; OP"/>
    <x v="0"/>
    <n v="1400"/>
    <n v="-9000.2800000000007"/>
    <n v="-3436.95"/>
    <n v="-9426.01"/>
    <n v="-11669.94"/>
    <n v="-12187.39"/>
    <n v="-8809.8700000000008"/>
    <n v="-13259.6"/>
    <n v="-11066.74"/>
    <n v="-8089.39"/>
    <n v="-3623.17"/>
    <n v="-4921.21"/>
    <n v="-6790.36"/>
    <n v="-102280.91000000002"/>
    <n v="1869.1499999999996"/>
  </r>
  <r>
    <x v="18"/>
    <x v="6"/>
    <x v="0"/>
    <s v="4316107"/>
    <n v="400010"/>
    <s v="Acute I/P Svcs Rev--Self Pay"/>
    <s v="PT-Silverdale IP &amp; OP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6"/>
    <x v="0"/>
    <s v="4316107"/>
    <n v="400010"/>
    <s v="Acute I/P Svcs Rev--Other"/>
    <s v="PT-Silverdale IP &amp; OP"/>
    <x v="0"/>
    <n v="1700"/>
    <n v="-4402.82"/>
    <n v="-5670.21"/>
    <n v="-6654.77"/>
    <n v="-4580.82"/>
    <n v="-8871.51"/>
    <n v="-7088.08"/>
    <n v="-2505.6999999999998"/>
    <n v="-810.86"/>
    <n v="-6909.43"/>
    <n v="-4772.59"/>
    <n v="-7150.23"/>
    <n v="-3749.85"/>
    <n v="-63166.869999999988"/>
    <n v="-3400.3799999999997"/>
  </r>
  <r>
    <x v="19"/>
    <x v="6"/>
    <x v="0"/>
    <s v="4316107"/>
    <n v="400020"/>
    <s v="O/P Care Svcs Rev--Medicare"/>
    <s v="PT-Silverdale IP &amp; OP"/>
    <x v="0"/>
    <n v="1100"/>
    <n v="-57818.52"/>
    <n v="-78233.98"/>
    <n v="-63713.85"/>
    <n v="-80715.179999999993"/>
    <n v="-71775.44"/>
    <n v="-71774.44"/>
    <n v="-75876.28"/>
    <n v="-59981.71"/>
    <n v="-62211.16"/>
    <n v="-79327.56"/>
    <n v="-75495.210000000006"/>
    <n v="-82335.789999999994"/>
    <n v="-859259.12000000011"/>
    <n v="6840.5799999999872"/>
  </r>
  <r>
    <x v="19"/>
    <x v="6"/>
    <x v="0"/>
    <s v="4316107"/>
    <n v="400020"/>
    <s v="O/P Care Svcs Rev--Medicaid"/>
    <s v="PT-Silverdale IP &amp; OP"/>
    <x v="0"/>
    <n v="1200"/>
    <n v="-29769.59"/>
    <n v="-46301.59"/>
    <n v="-37640.9"/>
    <n v="-59010.68"/>
    <n v="-32281.63"/>
    <n v="-31881.25"/>
    <n v="-40961.47"/>
    <n v="-35128.879999999997"/>
    <n v="-37645.199999999997"/>
    <n v="-46286.16"/>
    <n v="-45158.95"/>
    <n v="-44381.35"/>
    <n v="-486447.64999999997"/>
    <n v="-777.59999999999854"/>
  </r>
  <r>
    <x v="19"/>
    <x v="6"/>
    <x v="0"/>
    <s v="4316107"/>
    <n v="400020"/>
    <s v="O/P Care Svcs Rev--Comm Insurance"/>
    <s v="PT-Silverdale IP &amp; OP"/>
    <x v="0"/>
    <n v="1300"/>
    <n v="-6767.53"/>
    <n v="4106.1000000000004"/>
    <n v="-1453.88"/>
    <n v="-2510.1799999999998"/>
    <n v="-1558.35"/>
    <n v="-5546.27"/>
    <n v="-6582.75"/>
    <n v="-719.16"/>
    <n v="-849.7"/>
    <n v="-8858.09"/>
    <n v="-2622.44"/>
    <n v="-4529.79"/>
    <n v="-37892.04"/>
    <n v="1907.35"/>
  </r>
  <r>
    <x v="19"/>
    <x v="6"/>
    <x v="0"/>
    <s v="4316107"/>
    <n v="400020"/>
    <s v="O/P Care Svcs Rev--BCBS Comm"/>
    <s v="PT-Silverdale IP &amp; OP"/>
    <x v="0"/>
    <n v="1301"/>
    <n v="-15362.9"/>
    <n v="-21023.22"/>
    <n v="-11578.34"/>
    <n v="-11153.85"/>
    <n v="-8064.71"/>
    <n v="-14368.61"/>
    <n v="-8803.5300000000007"/>
    <n v="-5527.81"/>
    <n v="-11602.62"/>
    <n v="-15501.07"/>
    <n v="-14861.53"/>
    <n v="-12940.55"/>
    <n v="-150788.74"/>
    <n v="-1920.9800000000014"/>
  </r>
  <r>
    <x v="19"/>
    <x v="6"/>
    <x v="0"/>
    <s v="4316107"/>
    <n v="400020"/>
    <s v="O/P Care Svcs Rev--Managed Care"/>
    <s v="PT-Silverdale IP &amp; OP"/>
    <x v="0"/>
    <n v="1400"/>
    <n v="-16452.14"/>
    <n v="-28499.11"/>
    <n v="-13450.52"/>
    <n v="-12880.06"/>
    <n v="-21917.07"/>
    <n v="-24204.93"/>
    <n v="-12226.52"/>
    <n v="-16009.81"/>
    <n v="-24369.49"/>
    <n v="-13405.66"/>
    <n v="-15839.66"/>
    <n v="-18753.14"/>
    <n v="-218008.11"/>
    <n v="2913.4799999999996"/>
  </r>
  <r>
    <x v="19"/>
    <x v="6"/>
    <x v="0"/>
    <s v="4316107"/>
    <n v="400020"/>
    <s v="O/P Care Svcs Rev--Self Pay"/>
    <s v="PT-Silverdale IP &amp; OP"/>
    <x v="0"/>
    <n v="1500"/>
    <n v="-850.74"/>
    <n v="-4619.09"/>
    <n v="-496.14"/>
    <n v="-2633.67"/>
    <n v="-3700.95"/>
    <n v="-1687.86"/>
    <n v="2733.35"/>
    <n v="166.48"/>
    <n v="0"/>
    <n v="0"/>
    <n v="-1131.55"/>
    <n v="-491.7"/>
    <n v="-12711.87"/>
    <n v="-639.84999999999991"/>
  </r>
  <r>
    <x v="19"/>
    <x v="6"/>
    <x v="0"/>
    <s v="4316107"/>
    <n v="400020"/>
    <s v="O/P Care Svcs Rev--Other"/>
    <s v="PT-Silverdale IP &amp; OP"/>
    <x v="0"/>
    <n v="1700"/>
    <n v="-21275.16"/>
    <n v="-14283.51"/>
    <n v="-8295.36"/>
    <n v="-10696.46"/>
    <n v="-21487.09"/>
    <n v="-22763.63"/>
    <n v="-28576.35"/>
    <n v="-13439.6"/>
    <n v="-23004.639999999999"/>
    <n v="-25409.89"/>
    <n v="-27886.13"/>
    <n v="-15665.86"/>
    <n v="-232783.68"/>
    <n v="-12220.27"/>
  </r>
  <r>
    <x v="20"/>
    <x v="6"/>
    <x v="0"/>
    <s v="4316107"/>
    <n v="610010"/>
    <s v="Foundation Distributions"/>
    <s v="PT-Silverdale IP &amp; OP"/>
    <x v="0"/>
    <n v="1175"/>
    <n v="-174.82"/>
    <n v="0"/>
    <n v="0"/>
    <n v="0"/>
    <n v="0"/>
    <n v="0"/>
    <n v="0"/>
    <n v="0"/>
    <n v="0"/>
    <n v="0"/>
    <n v="0"/>
    <n v="0"/>
    <n v="-174.82"/>
    <n v="0"/>
  </r>
  <r>
    <x v="5"/>
    <x v="6"/>
    <x v="0"/>
    <s v="4316107"/>
    <n v="700014"/>
    <s v="Salaries-Management-Productive"/>
    <s v="PT-Silverdale IP &amp; OP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16107"/>
    <n v="700018"/>
    <s v="Salaries-Supervisory-Productive"/>
    <s v="PT-Silverdale IP &amp; OP"/>
    <x v="0"/>
    <m/>
    <n v="419.04"/>
    <n v="0"/>
    <n v="0"/>
    <n v="157.13999999999999"/>
    <n v="0"/>
    <n v="0"/>
    <n v="0"/>
    <n v="0"/>
    <n v="0"/>
    <n v="0"/>
    <n v="0"/>
    <n v="0"/>
    <n v="576.18000000000006"/>
    <n v="0"/>
  </r>
  <r>
    <x v="5"/>
    <x v="6"/>
    <x v="0"/>
    <s v="4316107"/>
    <n v="700032"/>
    <s v="Salaries-Other Pat Care Providers-Productive"/>
    <s v="PT-Silverdale IP &amp; OP"/>
    <x v="0"/>
    <m/>
    <n v="22753.08"/>
    <n v="30235.919999999998"/>
    <n v="25210.9"/>
    <n v="27673.08"/>
    <n v="29633.52"/>
    <n v="26609.06"/>
    <n v="23347.47"/>
    <n v="19961.39"/>
    <n v="26493.82"/>
    <n v="31023.82"/>
    <n v="31097.27"/>
    <n v="25284.16"/>
    <n v="319323.49"/>
    <n v="5813.1100000000006"/>
  </r>
  <r>
    <x v="5"/>
    <x v="6"/>
    <x v="0"/>
    <s v="4316107"/>
    <n v="700032"/>
    <s v="Salaries-Other Pat Care Providers-OT"/>
    <s v="PT-Silverdale IP &amp; OP"/>
    <x v="0"/>
    <n v="1000"/>
    <n v="139.86000000000001"/>
    <n v="412.99"/>
    <n v="91.98"/>
    <n v="87.42"/>
    <n v="161.19999999999999"/>
    <n v="230.41"/>
    <n v="120.39"/>
    <n v="98.56"/>
    <n v="342.01"/>
    <n v="156.21"/>
    <n v="630.85"/>
    <n v="46.75"/>
    <n v="2518.63"/>
    <n v="584.1"/>
  </r>
  <r>
    <x v="5"/>
    <x v="6"/>
    <x v="0"/>
    <s v="4316107"/>
    <n v="700032"/>
    <s v="Salaries-Other Pat Care Providers-Other"/>
    <s v="PT-Silverdale IP &amp; OP"/>
    <x v="0"/>
    <n v="2000"/>
    <n v="124.76"/>
    <n v="46.63"/>
    <n v="225.43"/>
    <n v="111.92"/>
    <n v="193.55"/>
    <n v="123.49"/>
    <n v="154.6"/>
    <n v="198.53"/>
    <n v="134.94"/>
    <n v="129.44"/>
    <n v="215.39"/>
    <n v="117.06"/>
    <n v="1775.7400000000002"/>
    <n v="98.329999999999984"/>
  </r>
  <r>
    <x v="5"/>
    <x v="6"/>
    <x v="0"/>
    <s v="4316107"/>
    <n v="700034"/>
    <s v="Salaries-Tech/Professional-Productive"/>
    <s v="PT-Silverdale IP &amp; OP"/>
    <x v="0"/>
    <m/>
    <n v="2334.09"/>
    <n v="2094.23"/>
    <n v="2161.5"/>
    <n v="2961.49"/>
    <n v="2372.59"/>
    <n v="3624.5"/>
    <n v="2832.03"/>
    <n v="2104.37"/>
    <n v="2935.48"/>
    <n v="3167.49"/>
    <n v="4676.16"/>
    <n v="2218.7399999999998"/>
    <n v="33482.67"/>
    <n v="2457.42"/>
  </r>
  <r>
    <x v="5"/>
    <x v="6"/>
    <x v="0"/>
    <s v="4316107"/>
    <n v="700034"/>
    <s v="Salaries-Tech/Professional-OT"/>
    <s v="PT-Silverdale IP &amp; OP"/>
    <x v="0"/>
    <n v="1000"/>
    <n v="23.81"/>
    <n v="-4.2"/>
    <n v="65.709999999999994"/>
    <n v="-16.75"/>
    <n v="29.42"/>
    <n v="45.28"/>
    <n v="37.75"/>
    <n v="-7.28"/>
    <n v="67.02"/>
    <n v="88.72"/>
    <n v="24.32"/>
    <n v="1.56"/>
    <n v="355.36"/>
    <n v="22.76"/>
  </r>
  <r>
    <x v="5"/>
    <x v="6"/>
    <x v="0"/>
    <s v="4316107"/>
    <n v="700034"/>
    <s v="Salaries-Tech/Professional-Other"/>
    <s v="PT-Silverdale IP &amp; OP"/>
    <x v="0"/>
    <n v="2000"/>
    <n v="5.46"/>
    <n v="-0.96"/>
    <n v="0"/>
    <n v="62.06"/>
    <n v="5.57"/>
    <n v="33.200000000000003"/>
    <n v="0"/>
    <n v="18.32"/>
    <n v="62.09"/>
    <n v="-10.08"/>
    <n v="86.53"/>
    <n v="-16.46"/>
    <n v="245.73"/>
    <n v="102.99000000000001"/>
  </r>
  <r>
    <x v="5"/>
    <x v="6"/>
    <x v="0"/>
    <s v="4316107"/>
    <n v="700072"/>
    <s v="Salaries-Other Pat Care Providers-Non-productive"/>
    <s v="PT-Silverdale IP &amp; OP"/>
    <x v="0"/>
    <m/>
    <n v="8337.27"/>
    <n v="547.07000000000005"/>
    <n v="5326.57"/>
    <n v="1190.97"/>
    <n v="1126.18"/>
    <n v="4861.18"/>
    <n v="7641.48"/>
    <n v="4521.8599999999997"/>
    <n v="6510.4"/>
    <n v="1747.98"/>
    <n v="2393.9"/>
    <n v="4332.67"/>
    <n v="48537.53"/>
    <n v="-1938.77"/>
  </r>
  <r>
    <x v="5"/>
    <x v="6"/>
    <x v="0"/>
    <s v="4316107"/>
    <n v="700072"/>
    <s v="Salaries-Other Pat Care Providers-NonProd-Other"/>
    <s v="PT-Silverdale IP &amp; OP"/>
    <x v="0"/>
    <n v="2000"/>
    <n v="37.909999999999997"/>
    <n v="-1.92"/>
    <n v="0"/>
    <n v="0"/>
    <n v="0"/>
    <n v="0"/>
    <n v="12.52"/>
    <n v="15.16"/>
    <n v="29"/>
    <n v="-1.3"/>
    <n v="0"/>
    <n v="0"/>
    <n v="91.36999999999999"/>
    <n v="0"/>
  </r>
  <r>
    <x v="5"/>
    <x v="6"/>
    <x v="0"/>
    <s v="4316107"/>
    <n v="700074"/>
    <s v="Salaries-Tech/Professional-Non-productive"/>
    <s v="PT-Silverdale IP &amp; OP"/>
    <x v="0"/>
    <m/>
    <n v="413.92"/>
    <n v="184.77"/>
    <n v="269.79000000000002"/>
    <n v="295.67"/>
    <n v="0"/>
    <n v="499.56"/>
    <n v="-60.54"/>
    <n v="212.32"/>
    <n v="0"/>
    <n v="371.21"/>
    <n v="411.88"/>
    <n v="15.49"/>
    <n v="2614.0699999999997"/>
    <n v="396.39"/>
  </r>
  <r>
    <x v="5"/>
    <x v="6"/>
    <x v="0"/>
    <s v="4316107"/>
    <n v="700074"/>
    <s v="Salaries-Tech/Professional-NonProd-Other"/>
    <s v="PT-Silverdale IP &amp; OP"/>
    <x v="0"/>
    <n v="2000"/>
    <n v="0"/>
    <n v="0"/>
    <n v="0"/>
    <n v="0"/>
    <n v="0"/>
    <n v="8.5500000000000007"/>
    <n v="0"/>
    <n v="0"/>
    <n v="0"/>
    <n v="0"/>
    <n v="0"/>
    <n v="0"/>
    <n v="8.5500000000000007"/>
    <n v="0"/>
  </r>
  <r>
    <x v="5"/>
    <x v="6"/>
    <x v="0"/>
    <s v="4316107"/>
    <n v="700084"/>
    <s v="Accrued PTO"/>
    <s v="PT-Silverdale IP &amp; OP"/>
    <x v="0"/>
    <m/>
    <n v="-4741.84"/>
    <n v="2061.58"/>
    <n v="-461.32"/>
    <n v="1605.16"/>
    <n v="1713.84"/>
    <n v="-40.81"/>
    <n v="-4357.54"/>
    <n v="-700.54"/>
    <n v="-182.37"/>
    <n v="1320.29"/>
    <n v="2235.66"/>
    <n v="19.61"/>
    <n v="-1528.2800000000004"/>
    <n v="2216.0499999999997"/>
  </r>
  <r>
    <x v="6"/>
    <x v="6"/>
    <x v="0"/>
    <s v="4316107"/>
    <n v="713010"/>
    <s v="Benefits-FICA/Medicare"/>
    <s v="PT-Silverdale IP &amp; OP"/>
    <x v="0"/>
    <m/>
    <n v="2644.97"/>
    <n v="2563.86"/>
    <n v="2551.42"/>
    <n v="2487.6999999999998"/>
    <n v="2564.36"/>
    <n v="2756.77"/>
    <n v="2603.5"/>
    <n v="2071.94"/>
    <n v="2793.87"/>
    <n v="2801.41"/>
    <n v="3020.04"/>
    <n v="2444.36"/>
    <n v="31304.2"/>
    <n v="575.67999999999984"/>
  </r>
  <r>
    <x v="6"/>
    <x v="6"/>
    <x v="0"/>
    <s v="4316107"/>
    <n v="713090"/>
    <s v="Benefits-Allocated Amounts"/>
    <s v="PT-Silverdale IP &amp; OP"/>
    <x v="0"/>
    <m/>
    <n v="5120.8900000000003"/>
    <n v="4677.96"/>
    <n v="5019.75"/>
    <n v="4925.2299999999996"/>
    <n v="5701.9"/>
    <n v="5699.38"/>
    <n v="5250.7"/>
    <n v="4442.45"/>
    <n v="4797.26"/>
    <n v="6133.1"/>
    <n v="6332.98"/>
    <n v="5900.58"/>
    <n v="64002.180000000008"/>
    <n v="432.39999999999964"/>
  </r>
  <r>
    <x v="7"/>
    <x v="6"/>
    <x v="0"/>
    <s v="4316107"/>
    <n v="718050"/>
    <s v="Miscellaneous Purchased Svcs"/>
    <s v="PT-Silverdale IP &amp; OP"/>
    <x v="0"/>
    <n v="1020"/>
    <n v="0"/>
    <n v="0"/>
    <n v="0"/>
    <n v="0"/>
    <n v="0"/>
    <n v="0"/>
    <n v="0"/>
    <n v="0"/>
    <n v="0"/>
    <n v="0"/>
    <n v="0"/>
    <n v="899.25"/>
    <n v="899.25"/>
    <n v="-899.25"/>
  </r>
  <r>
    <x v="7"/>
    <x v="6"/>
    <x v="0"/>
    <s v="4316107"/>
    <n v="718050"/>
    <s v="Contract Management--Linen"/>
    <s v="PT-Silverdale IP &amp; OP"/>
    <x v="0"/>
    <n v="1026"/>
    <n v="206.9"/>
    <n v="452.27"/>
    <n v="333.78"/>
    <n v="324.58"/>
    <n v="273.11"/>
    <n v="309.10000000000002"/>
    <n v="337.38"/>
    <n v="238.27"/>
    <n v="325.31"/>
    <n v="345.16"/>
    <n v="359.75"/>
    <n v="430.51"/>
    <n v="3936.12"/>
    <n v="-70.759999999999991"/>
  </r>
  <r>
    <x v="7"/>
    <x v="6"/>
    <x v="0"/>
    <s v="4316107"/>
    <n v="718060"/>
    <s v="Contract Services-CHI RRC Fees"/>
    <s v="PT-Silverdale IP &amp; OP"/>
    <x v="0"/>
    <m/>
    <n v="6670"/>
    <n v="6670"/>
    <n v="6670"/>
    <n v="6670"/>
    <n v="6670"/>
    <n v="6670"/>
    <n v="6670"/>
    <n v="6670"/>
    <n v="6670"/>
    <n v="6670"/>
    <n v="6670"/>
    <n v="6670"/>
    <n v="80040"/>
    <n v="0"/>
  </r>
  <r>
    <x v="11"/>
    <x v="6"/>
    <x v="0"/>
    <s v="4316107"/>
    <n v="721010"/>
    <s v="Supplies-Medical - Billable"/>
    <s v="PT-Silverdale IP &amp; OP"/>
    <x v="0"/>
    <m/>
    <n v="0"/>
    <n v="0"/>
    <n v="0"/>
    <n v="0"/>
    <n v="0"/>
    <n v="0"/>
    <n v="36.799999999999997"/>
    <n v="0"/>
    <n v="0"/>
    <n v="0"/>
    <n v="0"/>
    <n v="0"/>
    <n v="36.799999999999997"/>
    <n v="0"/>
  </r>
  <r>
    <x v="11"/>
    <x v="6"/>
    <x v="0"/>
    <s v="4316107"/>
    <n v="721410"/>
    <s v="Supplies-Medical - Nonbillable"/>
    <s v="PT-Silverdale IP &amp; OP"/>
    <x v="0"/>
    <m/>
    <n v="153.47"/>
    <n v="4.4800000000000004"/>
    <n v="311.39999999999998"/>
    <n v="1017.41"/>
    <n v="101.99"/>
    <n v="187.96"/>
    <n v="411.73"/>
    <n v="152.25"/>
    <n v="41.76"/>
    <n v="723.03"/>
    <n v="178.85"/>
    <n v="88.97"/>
    <n v="3373.3"/>
    <n v="89.88"/>
  </r>
  <r>
    <x v="11"/>
    <x v="6"/>
    <x v="0"/>
    <s v="4316107"/>
    <n v="721810"/>
    <s v="Supplies-Dietary/Cafeteria"/>
    <s v="PT-Silverdale IP &amp; OP"/>
    <x v="0"/>
    <m/>
    <n v="22.34"/>
    <n v="13.33"/>
    <n v="48.09"/>
    <n v="31.83"/>
    <n v="71.83"/>
    <n v="265.52"/>
    <n v="22.34"/>
    <n v="94.41"/>
    <n v="13.33"/>
    <n v="11.45"/>
    <n v="22.34"/>
    <n v="13.33"/>
    <n v="630.1400000000001"/>
    <n v="9.01"/>
  </r>
  <r>
    <x v="11"/>
    <x v="6"/>
    <x v="0"/>
    <s v="4316107"/>
    <n v="721830"/>
    <s v="Supplies-Office"/>
    <s v="PT-Silverdale IP &amp; OP"/>
    <x v="0"/>
    <m/>
    <n v="0"/>
    <n v="88.52"/>
    <n v="92.49"/>
    <n v="0"/>
    <n v="287.89"/>
    <n v="59.13"/>
    <n v="49.14"/>
    <n v="84.31"/>
    <n v="0"/>
    <n v="289.67"/>
    <n v="83.88"/>
    <n v="0"/>
    <n v="1035.0300000000002"/>
    <n v="83.88"/>
  </r>
  <r>
    <x v="11"/>
    <x v="6"/>
    <x v="0"/>
    <s v="4316107"/>
    <n v="721835"/>
    <s v="Supplies-Forms"/>
    <s v="PT-Silverdale IP &amp; OP"/>
    <x v="0"/>
    <m/>
    <n v="0"/>
    <n v="0"/>
    <n v="0"/>
    <n v="0"/>
    <n v="8"/>
    <n v="18.93"/>
    <n v="0"/>
    <n v="0"/>
    <n v="71"/>
    <n v="0"/>
    <n v="0"/>
    <n v="0"/>
    <n v="97.93"/>
    <n v="0"/>
  </r>
  <r>
    <x v="11"/>
    <x v="6"/>
    <x v="0"/>
    <s v="4316107"/>
    <n v="721870"/>
    <s v="Supplies-Environmental Services"/>
    <s v="PT-Silverdale IP &amp; OP"/>
    <x v="0"/>
    <m/>
    <n v="0"/>
    <n v="0"/>
    <n v="0"/>
    <n v="42.28"/>
    <n v="0"/>
    <n v="0"/>
    <n v="84.55"/>
    <n v="57.13"/>
    <n v="0"/>
    <n v="71.28"/>
    <n v="0"/>
    <n v="0"/>
    <n v="255.24"/>
    <n v="0"/>
  </r>
  <r>
    <x v="11"/>
    <x v="6"/>
    <x v="0"/>
    <s v="4316107"/>
    <n v="721910"/>
    <s v="Supplies-Small Equipment"/>
    <s v="PT-Silverdale IP &amp; OP"/>
    <x v="0"/>
    <m/>
    <n v="0"/>
    <n v="0"/>
    <n v="31.04"/>
    <n v="183.58"/>
    <n v="6.76"/>
    <n v="0"/>
    <n v="0"/>
    <n v="0"/>
    <n v="0"/>
    <n v="4.08"/>
    <n v="12.24"/>
    <n v="0"/>
    <n v="237.70000000000002"/>
    <n v="12.24"/>
  </r>
  <r>
    <x v="11"/>
    <x v="6"/>
    <x v="0"/>
    <s v="4316107"/>
    <n v="721980"/>
    <s v="Supplies-Other"/>
    <s v="PT-Silverdale IP &amp; OP"/>
    <x v="0"/>
    <m/>
    <n v="0"/>
    <n v="13.92"/>
    <n v="16.170000000000002"/>
    <n v="0"/>
    <n v="0"/>
    <n v="0"/>
    <n v="0"/>
    <n v="0"/>
    <n v="0"/>
    <n v="0"/>
    <n v="0"/>
    <n v="-134.84"/>
    <n v="-104.75"/>
    <n v="134.84"/>
  </r>
  <r>
    <x v="11"/>
    <x v="6"/>
    <x v="0"/>
    <s v="4316107"/>
    <n v="722000"/>
    <s v="Supplies-Freight Expense"/>
    <s v="PT-Silverdale IP &amp; OP"/>
    <x v="0"/>
    <m/>
    <n v="9.69"/>
    <n v="29.53"/>
    <n v="13.07"/>
    <n v="0"/>
    <n v="9.76"/>
    <n v="15.26"/>
    <n v="21.89"/>
    <n v="10.210000000000001"/>
    <n v="9.8699999999999992"/>
    <n v="0"/>
    <n v="30.04"/>
    <n v="9.92"/>
    <n v="159.23999999999998"/>
    <n v="20.119999999999997"/>
  </r>
  <r>
    <x v="12"/>
    <x v="6"/>
    <x v="0"/>
    <s v="4316107"/>
    <n v="730010"/>
    <s v="Rental and Leases-Building (DO NOT USE)"/>
    <s v="PT-Silverdale IP &amp; OP"/>
    <x v="0"/>
    <m/>
    <n v="10618.56"/>
    <n v="10618.56"/>
    <n v="10618.56"/>
    <n v="10618.56"/>
    <n v="10618.56"/>
    <n v="-6209.87"/>
    <n v="8492.24"/>
    <n v="8492.24"/>
    <n v="8492.24"/>
    <n v="8496.56"/>
    <n v="8496.56"/>
    <n v="0"/>
    <n v="89352.76999999999"/>
    <n v="8496.56"/>
  </r>
  <r>
    <x v="12"/>
    <x v="6"/>
    <x v="0"/>
    <s v="4316107"/>
    <n v="730010"/>
    <s v="Rental-Common Area Maint (DO NOT USE)"/>
    <s v="PT-Silverdale IP &amp; OP"/>
    <x v="0"/>
    <n v="2200"/>
    <n v="0"/>
    <n v="0"/>
    <n v="0"/>
    <n v="0"/>
    <n v="0"/>
    <n v="17104.48"/>
    <n v="2402.37"/>
    <n v="2402.37"/>
    <n v="2402.37"/>
    <n v="2695.81"/>
    <n v="2695.81"/>
    <n v="0"/>
    <n v="29703.21"/>
    <n v="2695.81"/>
  </r>
  <r>
    <x v="12"/>
    <x v="6"/>
    <x v="0"/>
    <s v="4316107"/>
    <n v="730020"/>
    <s v="Rental and Leases-Equipment (DO NOT USE)"/>
    <s v="PT-Silverdale IP &amp; OP"/>
    <x v="0"/>
    <m/>
    <n v="0"/>
    <n v="252.98"/>
    <n v="126"/>
    <n v="126.98"/>
    <n v="0"/>
    <n v="0"/>
    <n v="286.04000000000002"/>
    <n v="0"/>
    <n v="143.02000000000001"/>
    <n v="0"/>
    <n v="286.04000000000002"/>
    <n v="823.63"/>
    <n v="2044.69"/>
    <n v="-537.58999999999992"/>
  </r>
  <r>
    <x v="12"/>
    <x v="6"/>
    <x v="0"/>
    <s v="4316107"/>
    <n v="730020"/>
    <s v="Rental and Leases-Copier Usage Fees (DO NOT USE)"/>
    <s v="PT-Silverdale IP &amp; OP"/>
    <x v="0"/>
    <n v="5100"/>
    <n v="586.29"/>
    <n v="593.58000000000004"/>
    <n v="589.94000000000005"/>
    <n v="589.94000000000005"/>
    <n v="589.94000000000005"/>
    <n v="589.94000000000005"/>
    <n v="1311.72"/>
    <n v="542.38"/>
    <n v="541.24"/>
    <n v="872.7"/>
    <n v="542.38"/>
    <n v="623.41999999999996"/>
    <n v="7973.47"/>
    <n v="-81.039999999999964"/>
  </r>
  <r>
    <x v="12"/>
    <x v="6"/>
    <x v="0"/>
    <s v="4316107"/>
    <n v="730040"/>
    <s v="LT Lease-Real Estate"/>
    <s v="PT-Silverdale IP &amp; OP"/>
    <x v="0"/>
    <m/>
    <n v="0"/>
    <n v="0"/>
    <n v="0"/>
    <n v="0"/>
    <n v="0"/>
    <n v="0"/>
    <n v="0"/>
    <n v="0"/>
    <n v="0"/>
    <n v="0"/>
    <n v="0"/>
    <n v="10511.76"/>
    <n v="10511.76"/>
    <n v="-10511.76"/>
  </r>
  <r>
    <x v="16"/>
    <x v="6"/>
    <x v="0"/>
    <s v="4316107"/>
    <n v="732030"/>
    <s v="Repairs---Other"/>
    <s v="PT-Silverdale IP &amp; OP"/>
    <x v="0"/>
    <m/>
    <n v="0"/>
    <n v="0"/>
    <n v="390"/>
    <n v="35.1"/>
    <n v="0"/>
    <n v="0"/>
    <n v="77.16"/>
    <n v="0"/>
    <n v="0"/>
    <n v="75.5"/>
    <n v="165"/>
    <n v="111.96"/>
    <n v="854.72"/>
    <n v="53.040000000000006"/>
  </r>
  <r>
    <x v="16"/>
    <x v="6"/>
    <x v="0"/>
    <s v="4316107"/>
    <n v="733030"/>
    <s v="Maintenance Contracts-Other"/>
    <s v="PT-Silverdale IP &amp; OP"/>
    <x v="0"/>
    <m/>
    <n v="179.86"/>
    <n v="0"/>
    <n v="179.86"/>
    <n v="0"/>
    <n v="0"/>
    <n v="0"/>
    <n v="179.86"/>
    <n v="0"/>
    <n v="0"/>
    <n v="0"/>
    <n v="0"/>
    <n v="10079.86"/>
    <n v="10619.44"/>
    <n v="-10079.86"/>
  </r>
  <r>
    <x v="13"/>
    <x v="6"/>
    <x v="0"/>
    <s v="4316107"/>
    <n v="735070"/>
    <s v="Depreciation-Movable Equipment"/>
    <s v="PT-Silverdale IP &amp; OP"/>
    <x v="0"/>
    <m/>
    <n v="174.95"/>
    <n v="84.5"/>
    <n v="84.5"/>
    <n v="84.5"/>
    <n v="84.5"/>
    <n v="84.5"/>
    <n v="226.95"/>
    <n v="296.08"/>
    <n v="296.08"/>
    <n v="296.07"/>
    <n v="296.08"/>
    <n v="296.06"/>
    <n v="2304.77"/>
    <n v="1.999999999998181E-2"/>
  </r>
  <r>
    <x v="0"/>
    <x v="6"/>
    <x v="0"/>
    <s v="4316107"/>
    <n v="740020"/>
    <s v="Education-Registration Fees"/>
    <s v="PT-Silverdale IP &amp; OP"/>
    <x v="0"/>
    <m/>
    <n v="0"/>
    <n v="0"/>
    <n v="0"/>
    <n v="0"/>
    <n v="0"/>
    <n v="0"/>
    <n v="0"/>
    <n v="460"/>
    <n v="0"/>
    <n v="315"/>
    <n v="237.78"/>
    <n v="59"/>
    <n v="1071.78"/>
    <n v="178.78"/>
  </r>
  <r>
    <x v="0"/>
    <x v="6"/>
    <x v="0"/>
    <s v="4316107"/>
    <n v="749510"/>
    <s v="Miscellaneous Expenses"/>
    <s v="PT-Silverdale IP &amp; OP"/>
    <x v="0"/>
    <m/>
    <n v="200"/>
    <n v="-200"/>
    <n v="0"/>
    <n v="0"/>
    <n v="0"/>
    <n v="0"/>
    <n v="0"/>
    <n v="0"/>
    <n v="0"/>
    <n v="0"/>
    <n v="59"/>
    <n v="-59"/>
    <n v="0"/>
    <n v="118"/>
  </r>
  <r>
    <x v="0"/>
    <x v="6"/>
    <x v="0"/>
    <s v="4316107"/>
    <n v="749510"/>
    <s v="RICE Rewards"/>
    <s v="PT-Silverdale IP &amp; OP"/>
    <x v="0"/>
    <n v="5100"/>
    <n v="0"/>
    <n v="0"/>
    <n v="0"/>
    <n v="0"/>
    <n v="0"/>
    <n v="0"/>
    <n v="0"/>
    <n v="0"/>
    <n v="53.92"/>
    <n v="0"/>
    <n v="0"/>
    <n v="144.13999999999999"/>
    <n v="198.06"/>
    <n v="-144.13999999999999"/>
  </r>
  <r>
    <x v="19"/>
    <x v="3"/>
    <x v="0"/>
    <s v="4317101"/>
    <n v="400020"/>
    <s v="O/P Care Svcs Rev--Medicare"/>
    <s v="Physical Therapy@Canyon Road"/>
    <x v="0"/>
    <n v="1100"/>
    <n v="-85116.27"/>
    <n v="-90427.89"/>
    <n v="-74465.320000000007"/>
    <n v="-105554.96"/>
    <n v="-89715.23"/>
    <n v="-78556.72"/>
    <n v="-96269.69"/>
    <n v="-69805.929999999993"/>
    <n v="-96454.22"/>
    <n v="-95253.27"/>
    <n v="-85626.81"/>
    <n v="-74096.11"/>
    <n v="-1041342.42"/>
    <n v="-11530.699999999997"/>
  </r>
  <r>
    <x v="19"/>
    <x v="3"/>
    <x v="0"/>
    <s v="4317101"/>
    <n v="400020"/>
    <s v="O/P Care Svcs Rev--Medicaid"/>
    <s v="Physical Therapy@Canyon Road"/>
    <x v="0"/>
    <n v="1200"/>
    <n v="-47331.5"/>
    <n v="-47432.57"/>
    <n v="-37050.22"/>
    <n v="-50001.45"/>
    <n v="-43024.27"/>
    <n v="-45691.56"/>
    <n v="-57664.31"/>
    <n v="-44563.22"/>
    <n v="-56589.9"/>
    <n v="-59539.5"/>
    <n v="-58629.42"/>
    <n v="-55740.25"/>
    <n v="-603258.17000000004"/>
    <n v="-2889.1699999999983"/>
  </r>
  <r>
    <x v="19"/>
    <x v="3"/>
    <x v="0"/>
    <s v="4317101"/>
    <n v="400020"/>
    <s v="O/P Care Svcs Rev--Comm Insurance"/>
    <s v="Physical Therapy@Canyon Road"/>
    <x v="0"/>
    <n v="1300"/>
    <n v="-8789.11"/>
    <n v="-16754.400000000001"/>
    <n v="-11923.56"/>
    <n v="-6321.63"/>
    <n v="-11650.35"/>
    <n v="-8700.06"/>
    <n v="-10486.06"/>
    <n v="-9405.33"/>
    <n v="-18949.68"/>
    <n v="-14307.26"/>
    <n v="-20102.34"/>
    <n v="-15717.21"/>
    <n v="-153106.99"/>
    <n v="-4385.130000000001"/>
  </r>
  <r>
    <x v="19"/>
    <x v="3"/>
    <x v="0"/>
    <s v="4317101"/>
    <n v="400020"/>
    <s v="O/P Care Svcs Rev--BCBS Comm"/>
    <s v="Physical Therapy@Canyon Road"/>
    <x v="0"/>
    <n v="1301"/>
    <n v="-11320.76"/>
    <n v="-17444.2"/>
    <n v="-12103.93"/>
    <n v="-11125.14"/>
    <n v="-12343.67"/>
    <n v="-8243.42"/>
    <n v="-14542.6"/>
    <n v="-14990.98"/>
    <n v="-15165.55"/>
    <n v="-18087.689999999999"/>
    <n v="-11024.71"/>
    <n v="-8512.57"/>
    <n v="-154905.22"/>
    <n v="-2512.1399999999994"/>
  </r>
  <r>
    <x v="19"/>
    <x v="3"/>
    <x v="0"/>
    <s v="4317101"/>
    <n v="400020"/>
    <s v="O/P Care Svcs Rev--Managed Care"/>
    <s v="Physical Therapy@Canyon Road"/>
    <x v="0"/>
    <n v="1400"/>
    <n v="-22611.47"/>
    <n v="-20057.650000000001"/>
    <n v="-39848.17"/>
    <n v="-57301.54"/>
    <n v="-37919.72"/>
    <n v="-35976.129999999997"/>
    <n v="-41063.19"/>
    <n v="-33140.53"/>
    <n v="-48343.54"/>
    <n v="-43938.35"/>
    <n v="-47512.38"/>
    <n v="-36171.15"/>
    <n v="-463883.82"/>
    <n v="-11341.229999999996"/>
  </r>
  <r>
    <x v="19"/>
    <x v="3"/>
    <x v="0"/>
    <s v="4317101"/>
    <n v="400020"/>
    <s v="O/P Care Svcs Rev--Self Pay"/>
    <s v="Physical Therapy@Canyon Road"/>
    <x v="0"/>
    <n v="1500"/>
    <n v="-332.98"/>
    <n v="-844.56"/>
    <n v="0"/>
    <n v="0"/>
    <n v="-2746.43"/>
    <n v="-1305.17"/>
    <n v="-2270.34"/>
    <n v="0"/>
    <n v="-493.79"/>
    <n v="-3043.14"/>
    <n v="-3665.3"/>
    <n v="-3963.33"/>
    <n v="-18665.04"/>
    <n v="298.02999999999975"/>
  </r>
  <r>
    <x v="19"/>
    <x v="3"/>
    <x v="0"/>
    <s v="4317101"/>
    <n v="400020"/>
    <s v="O/P Care Svcs Rev--Other"/>
    <s v="Physical Therapy@Canyon Road"/>
    <x v="0"/>
    <n v="1700"/>
    <n v="-18253.91"/>
    <n v="-21237.41"/>
    <n v="-26465.21"/>
    <n v="-25402.69"/>
    <n v="-28090.79"/>
    <n v="-28233.65"/>
    <n v="-32924.97"/>
    <n v="-30315.02"/>
    <n v="-29594.61"/>
    <n v="-37640.959999999999"/>
    <n v="-20931.349999999999"/>
    <n v="-25728.27"/>
    <n v="-324818.84000000003"/>
    <n v="4796.9200000000019"/>
  </r>
  <r>
    <x v="5"/>
    <x v="3"/>
    <x v="0"/>
    <s v="4317101"/>
    <n v="700032"/>
    <s v="Salaries-Other Pat Care Providers-Productive"/>
    <s v="Physical Therapy@Canyon Road"/>
    <x v="0"/>
    <m/>
    <n v="22309.13"/>
    <n v="18182.13"/>
    <n v="18695.88"/>
    <n v="20898.080000000002"/>
    <n v="23219.75"/>
    <n v="19547.57"/>
    <n v="23560.85"/>
    <n v="18342.55"/>
    <n v="24117.73"/>
    <n v="25035"/>
    <n v="23164.02"/>
    <n v="21120.880000000001"/>
    <n v="258193.57"/>
    <n v="2043.1399999999994"/>
  </r>
  <r>
    <x v="5"/>
    <x v="3"/>
    <x v="0"/>
    <s v="4317101"/>
    <n v="700032"/>
    <s v="Salaries-Other Pat Care Providers-OT"/>
    <s v="Physical Therapy@Canyon Road"/>
    <x v="0"/>
    <n v="1000"/>
    <n v="0"/>
    <n v="0"/>
    <n v="0"/>
    <n v="35.11"/>
    <n v="0"/>
    <n v="645.36"/>
    <n v="0"/>
    <n v="0"/>
    <n v="0"/>
    <n v="30.54"/>
    <n v="-12.72"/>
    <n v="167.83"/>
    <n v="866.12"/>
    <n v="-180.55"/>
  </r>
  <r>
    <x v="5"/>
    <x v="3"/>
    <x v="0"/>
    <s v="4317101"/>
    <n v="700032"/>
    <s v="Salaries-Other Pat Care Providers-Other"/>
    <s v="Physical Therapy@Canyon Road"/>
    <x v="0"/>
    <n v="2000"/>
    <n v="0"/>
    <n v="30"/>
    <n v="0"/>
    <n v="0"/>
    <n v="0"/>
    <n v="0"/>
    <n v="0"/>
    <n v="0"/>
    <n v="0"/>
    <n v="0"/>
    <n v="0"/>
    <n v="0"/>
    <n v="30"/>
    <n v="0"/>
  </r>
  <r>
    <x v="5"/>
    <x v="3"/>
    <x v="0"/>
    <s v="4317101"/>
    <n v="700034"/>
    <s v="Salaries-Tech/Professional-Productive"/>
    <s v="Physical Therapy@Canyon Road"/>
    <x v="0"/>
    <m/>
    <n v="2704.07"/>
    <n v="6023.35"/>
    <n v="5816.84"/>
    <n v="5757.4"/>
    <n v="5563.11"/>
    <n v="4950.62"/>
    <n v="5137.2299999999996"/>
    <n v="4227.96"/>
    <n v="6840.46"/>
    <n v="5269.73"/>
    <n v="6771.76"/>
    <n v="3548.22"/>
    <n v="62610.749999999993"/>
    <n v="3223.5400000000004"/>
  </r>
  <r>
    <x v="5"/>
    <x v="3"/>
    <x v="0"/>
    <s v="4317101"/>
    <n v="700034"/>
    <s v="Salaries-Tech/Professional-OT"/>
    <s v="Physical Therapy@Canyon Road"/>
    <x v="0"/>
    <n v="1000"/>
    <n v="49.34"/>
    <n v="266.08"/>
    <n v="60.01"/>
    <n v="127.73"/>
    <n v="132.53"/>
    <n v="214.77"/>
    <n v="224.07"/>
    <n v="245.95"/>
    <n v="296.74"/>
    <n v="57.2"/>
    <n v="273.20999999999998"/>
    <n v="69.08"/>
    <n v="2016.71"/>
    <n v="204.13"/>
  </r>
  <r>
    <x v="5"/>
    <x v="3"/>
    <x v="0"/>
    <s v="4317101"/>
    <n v="700034"/>
    <s v="Salaries-Tech/Professional-Other"/>
    <s v="Physical Therapy@Canyon Road"/>
    <x v="0"/>
    <n v="2000"/>
    <n v="42.13"/>
    <n v="119.34"/>
    <n v="75.31"/>
    <n v="105.85"/>
    <n v="74.92"/>
    <n v="112.55"/>
    <n v="11.04"/>
    <n v="102.54"/>
    <n v="241.13"/>
    <n v="197.03"/>
    <n v="230.19"/>
    <n v="167.4"/>
    <n v="1479.43"/>
    <n v="62.789999999999992"/>
  </r>
  <r>
    <x v="5"/>
    <x v="3"/>
    <x v="0"/>
    <s v="4317101"/>
    <n v="700072"/>
    <s v="Salaries-Other Pat Care Providers-Non-productive"/>
    <s v="Physical Therapy@Canyon Road"/>
    <x v="0"/>
    <m/>
    <n v="1606.45"/>
    <n v="8221.58"/>
    <n v="10370.280000000001"/>
    <n v="3114.35"/>
    <n v="409.67"/>
    <n v="6229.56"/>
    <n v="2152.2800000000002"/>
    <n v="4371.88"/>
    <n v="2018.16"/>
    <n v="955.1"/>
    <n v="1919.99"/>
    <n v="4848.57"/>
    <n v="46217.869999999995"/>
    <n v="-2928.58"/>
  </r>
  <r>
    <x v="5"/>
    <x v="3"/>
    <x v="0"/>
    <s v="4317101"/>
    <n v="700072"/>
    <s v="Salaries-Other Pat Care Providers-NonProd-Other"/>
    <s v="Physical Therapy@Canyon Roa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317101"/>
    <n v="700074"/>
    <s v="Salaries-Tech/Professional-Non-productive"/>
    <s v="Physical Therapy@Canyon Road"/>
    <x v="0"/>
    <m/>
    <n v="1408.68"/>
    <n v="0"/>
    <n v="0"/>
    <n v="0"/>
    <n v="0"/>
    <n v="714.56"/>
    <n v="0"/>
    <n v="504.49"/>
    <n v="159.34"/>
    <n v="751.04"/>
    <n v="-47.39"/>
    <n v="1922.85"/>
    <n v="5413.57"/>
    <n v="-1970.24"/>
  </r>
  <r>
    <x v="5"/>
    <x v="3"/>
    <x v="0"/>
    <s v="4317101"/>
    <n v="700074"/>
    <s v="Salaries-Tech/Professional-NonProd-Other"/>
    <s v="Physical Therapy@Canyon Roa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317101"/>
    <n v="700084"/>
    <s v="Accrued PTO"/>
    <s v="Physical Therapy@Canyon Road"/>
    <x v="0"/>
    <m/>
    <n v="-476.53"/>
    <n v="-1217.3399999999999"/>
    <n v="-2983.86"/>
    <n v="-807.99"/>
    <n v="1538.18"/>
    <n v="-1626.03"/>
    <n v="676.01"/>
    <n v="-776.26"/>
    <n v="1311.79"/>
    <n v="1729.73"/>
    <n v="1208.81"/>
    <n v="-2092.4299999999998"/>
    <n v="-3515.9199999999987"/>
    <n v="3301.24"/>
  </r>
  <r>
    <x v="6"/>
    <x v="3"/>
    <x v="0"/>
    <s v="4317101"/>
    <n v="713010"/>
    <s v="Benefits-FICA/Medicare"/>
    <s v="Physical Therapy@Canyon Road"/>
    <x v="0"/>
    <m/>
    <n v="2064.7800000000002"/>
    <n v="2409.7800000000002"/>
    <n v="2568.5"/>
    <n v="2185.39"/>
    <n v="2139.5500000000002"/>
    <n v="2357.12"/>
    <n v="2245.54"/>
    <n v="2006.66"/>
    <n v="2436.2199999999998"/>
    <n v="2344.3200000000002"/>
    <n v="2330.73"/>
    <n v="2281.29"/>
    <n v="27369.88"/>
    <n v="49.440000000000055"/>
  </r>
  <r>
    <x v="6"/>
    <x v="3"/>
    <x v="0"/>
    <s v="4317101"/>
    <n v="713090"/>
    <s v="Benefits-Allocated Amounts"/>
    <s v="Physical Therapy@Canyon Road"/>
    <x v="0"/>
    <m/>
    <n v="5203.93"/>
    <n v="5710.93"/>
    <n v="6424.8"/>
    <n v="5660.18"/>
    <n v="5634.91"/>
    <n v="5767.79"/>
    <n v="6069.3"/>
    <n v="5687.32"/>
    <n v="5417.75"/>
    <n v="6329.99"/>
    <n v="6930.35"/>
    <n v="5871.97"/>
    <n v="70709.22"/>
    <n v="1058.3800000000001"/>
  </r>
  <r>
    <x v="7"/>
    <x v="3"/>
    <x v="0"/>
    <s v="4317101"/>
    <n v="718050"/>
    <s v="Miscellaneous Purchased Svcs"/>
    <s v="Physical Therapy@Canyon Road"/>
    <x v="0"/>
    <n v="1020"/>
    <n v="227.92"/>
    <n v="763.02"/>
    <n v="549.85"/>
    <n v="448.76"/>
    <n v="167.64"/>
    <n v="763.02"/>
    <n v="720.19"/>
    <n v="269.75"/>
    <n v="612.45000000000005"/>
    <n v="498.63"/>
    <n v="1479.33"/>
    <n v="692.41"/>
    <n v="7192.97"/>
    <n v="786.92"/>
  </r>
  <r>
    <x v="7"/>
    <x v="3"/>
    <x v="0"/>
    <s v="4317101"/>
    <n v="718050"/>
    <s v="Translation Services"/>
    <s v="Physical Therapy@Canyon Road"/>
    <x v="0"/>
    <n v="1025"/>
    <n v="0"/>
    <n v="128"/>
    <n v="160"/>
    <n v="251"/>
    <n v="0"/>
    <n v="224"/>
    <n v="220.5"/>
    <n v="0"/>
    <n v="196"/>
    <n v="0"/>
    <n v="288"/>
    <n v="0"/>
    <n v="1467.5"/>
    <n v="288"/>
  </r>
  <r>
    <x v="11"/>
    <x v="3"/>
    <x v="0"/>
    <s v="4317101"/>
    <n v="721010"/>
    <s v="Supplies-Medical - Billable"/>
    <s v="Physical Therapy@Canyon Road"/>
    <x v="0"/>
    <m/>
    <n v="0"/>
    <n v="0"/>
    <n v="0"/>
    <n v="0"/>
    <n v="16.98"/>
    <n v="0"/>
    <n v="0"/>
    <n v="10.95"/>
    <n v="0"/>
    <n v="0"/>
    <n v="33.99"/>
    <n v="0"/>
    <n v="61.92"/>
    <n v="33.99"/>
  </r>
  <r>
    <x v="11"/>
    <x v="3"/>
    <x v="0"/>
    <s v="4317101"/>
    <n v="721020"/>
    <s v="Supplies-Surgical - Billable"/>
    <s v="Physical Therapy@Canyon Road"/>
    <x v="0"/>
    <m/>
    <n v="0"/>
    <n v="0"/>
    <n v="0"/>
    <n v="0"/>
    <n v="0"/>
    <n v="0"/>
    <n v="0"/>
    <n v="0"/>
    <n v="0"/>
    <n v="139.5"/>
    <n v="139.5"/>
    <n v="0"/>
    <n v="279"/>
    <n v="139.5"/>
  </r>
  <r>
    <x v="11"/>
    <x v="3"/>
    <x v="0"/>
    <s v="4317101"/>
    <n v="721410"/>
    <s v="Supplies-Medical - Nonbillable"/>
    <s v="Physical Therapy@Canyon Road"/>
    <x v="0"/>
    <m/>
    <n v="8.76"/>
    <n v="415.71"/>
    <n v="335.7"/>
    <n v="410.01"/>
    <n v="5.9"/>
    <n v="0"/>
    <n v="26.71"/>
    <n v="410.14"/>
    <n v="248.64"/>
    <n v="233.9"/>
    <n v="97.26"/>
    <n v="0"/>
    <n v="2192.73"/>
    <n v="97.26"/>
  </r>
  <r>
    <x v="11"/>
    <x v="3"/>
    <x v="0"/>
    <s v="4317101"/>
    <n v="721810"/>
    <s v="Supplies-Dietary/Cafeteria"/>
    <s v="Physical Therapy@Canyon Road"/>
    <x v="0"/>
    <m/>
    <n v="0"/>
    <n v="0"/>
    <n v="0"/>
    <n v="0"/>
    <n v="22.95"/>
    <n v="0"/>
    <n v="0"/>
    <n v="0"/>
    <n v="0"/>
    <n v="0"/>
    <n v="0"/>
    <n v="0"/>
    <n v="22.95"/>
    <n v="0"/>
  </r>
  <r>
    <x v="11"/>
    <x v="3"/>
    <x v="0"/>
    <s v="4317101"/>
    <n v="721830"/>
    <s v="Supplies-Office"/>
    <s v="Physical Therapy@Canyon Road"/>
    <x v="0"/>
    <m/>
    <n v="0"/>
    <n v="0"/>
    <n v="0"/>
    <n v="78.53"/>
    <n v="0"/>
    <n v="0"/>
    <n v="83.07"/>
    <n v="91.39"/>
    <n v="83.57"/>
    <n v="0"/>
    <n v="0"/>
    <n v="85.45"/>
    <n v="422.01"/>
    <n v="-85.45"/>
  </r>
  <r>
    <x v="11"/>
    <x v="3"/>
    <x v="0"/>
    <s v="4317101"/>
    <n v="721835"/>
    <s v="Supplies-Forms"/>
    <s v="Physical Therapy@Canyon Road"/>
    <x v="0"/>
    <m/>
    <n v="0"/>
    <n v="0"/>
    <n v="0"/>
    <n v="0"/>
    <n v="0"/>
    <n v="0"/>
    <n v="0"/>
    <n v="0"/>
    <n v="19.5"/>
    <n v="0"/>
    <n v="0"/>
    <n v="0"/>
    <n v="19.5"/>
    <n v="0"/>
  </r>
  <r>
    <x v="11"/>
    <x v="3"/>
    <x v="0"/>
    <s v="4317101"/>
    <n v="721870"/>
    <s v="Supplies-Environmental Services"/>
    <s v="Physical Therapy@Canyon Road"/>
    <x v="0"/>
    <m/>
    <n v="0"/>
    <n v="101.42"/>
    <n v="38.409999999999997"/>
    <n v="28.81"/>
    <n v="98.02"/>
    <n v="28.81"/>
    <n v="137.25"/>
    <n v="0"/>
    <n v="87.92"/>
    <n v="14.16"/>
    <n v="175.12"/>
    <n v="0"/>
    <n v="709.92"/>
    <n v="175.12"/>
  </r>
  <r>
    <x v="11"/>
    <x v="3"/>
    <x v="0"/>
    <s v="4317101"/>
    <n v="721910"/>
    <s v="Supplies-Small Equipment"/>
    <s v="Physical Therapy@Canyon Road"/>
    <x v="0"/>
    <m/>
    <n v="0"/>
    <n v="0"/>
    <n v="0"/>
    <n v="0"/>
    <n v="0"/>
    <n v="0"/>
    <n v="0"/>
    <n v="8.75"/>
    <n v="7.2"/>
    <n v="0"/>
    <n v="0"/>
    <n v="0"/>
    <n v="15.95"/>
    <n v="0"/>
  </r>
  <r>
    <x v="11"/>
    <x v="3"/>
    <x v="0"/>
    <s v="4317101"/>
    <n v="721980"/>
    <s v="Supplies-Other"/>
    <s v="Physical Therapy@Canyon Road"/>
    <x v="0"/>
    <m/>
    <n v="0"/>
    <n v="0"/>
    <n v="85.9"/>
    <n v="0"/>
    <n v="0"/>
    <n v="0"/>
    <n v="0"/>
    <n v="0"/>
    <n v="192.33"/>
    <n v="0"/>
    <n v="0"/>
    <n v="0"/>
    <n v="278.23"/>
    <n v="0"/>
  </r>
  <r>
    <x v="11"/>
    <x v="3"/>
    <x v="0"/>
    <s v="4317101"/>
    <n v="722000"/>
    <s v="Supplies-Freight Expense"/>
    <s v="Physical Therapy@Canyon Road"/>
    <x v="0"/>
    <m/>
    <n v="0"/>
    <n v="0"/>
    <n v="0"/>
    <n v="8.76"/>
    <n v="0"/>
    <n v="0"/>
    <n v="0"/>
    <n v="0"/>
    <n v="0"/>
    <n v="0"/>
    <n v="0"/>
    <n v="0"/>
    <n v="8.76"/>
    <n v="0"/>
  </r>
  <r>
    <x v="12"/>
    <x v="3"/>
    <x v="0"/>
    <s v="4317101"/>
    <n v="730010"/>
    <s v="Rental and Leases-Building (DO NOT USE)"/>
    <s v="Physical Therapy@Canyon Road"/>
    <x v="0"/>
    <m/>
    <n v="5328.53"/>
    <n v="5328.53"/>
    <n v="5328.53"/>
    <n v="5328.53"/>
    <n v="8925.44"/>
    <n v="-3018.32"/>
    <n v="4038.43"/>
    <n v="4038.43"/>
    <n v="4038.43"/>
    <n v="4038.43"/>
    <n v="4038.43"/>
    <n v="0"/>
    <n v="47413.39"/>
    <n v="4038.43"/>
  </r>
  <r>
    <x v="12"/>
    <x v="3"/>
    <x v="0"/>
    <s v="4317101"/>
    <n v="730010"/>
    <s v="Rental-Common Area Maint (DO NOT USE)"/>
    <s v="Physical Therapy@Canyon Road"/>
    <x v="0"/>
    <n v="2200"/>
    <n v="0"/>
    <n v="0"/>
    <n v="0"/>
    <n v="0"/>
    <n v="0"/>
    <n v="8641.08"/>
    <n v="1584.33"/>
    <n v="1682.03"/>
    <n v="1584.33"/>
    <n v="2504.5100000000002"/>
    <n v="1574.63"/>
    <n v="0"/>
    <n v="17570.91"/>
    <n v="1574.63"/>
  </r>
  <r>
    <x v="12"/>
    <x v="3"/>
    <x v="0"/>
    <s v="4317101"/>
    <n v="730020"/>
    <s v="Rental and Leases-Copier Usage Fees (DO NOT USE)"/>
    <s v="Physical Therapy@Canyon Road"/>
    <x v="0"/>
    <n v="5100"/>
    <n v="97.45"/>
    <n v="99.15"/>
    <n v="98.3"/>
    <n v="98.3"/>
    <n v="98.3"/>
    <n v="98.3"/>
    <n v="-34.090000000000003"/>
    <n v="77.98"/>
    <n v="77.819999999999993"/>
    <n v="78.14"/>
    <n v="77.98"/>
    <n v="91.92"/>
    <n v="959.55"/>
    <n v="-13.939999999999998"/>
  </r>
  <r>
    <x v="12"/>
    <x v="3"/>
    <x v="0"/>
    <s v="4317101"/>
    <n v="730040"/>
    <s v="LT Lease-Real Estate"/>
    <s v="Physical Therapy@Canyon Road"/>
    <x v="0"/>
    <m/>
    <n v="0"/>
    <n v="0"/>
    <n v="0"/>
    <n v="0"/>
    <n v="0"/>
    <n v="0"/>
    <n v="0"/>
    <n v="0"/>
    <n v="0"/>
    <n v="0"/>
    <n v="0"/>
    <n v="5613.06"/>
    <n v="5613.06"/>
    <n v="-5613.06"/>
  </r>
  <r>
    <x v="16"/>
    <x v="3"/>
    <x v="0"/>
    <s v="4317101"/>
    <n v="732030"/>
    <s v="Repairs&amp;Maintenance-Bldg Routine"/>
    <s v="Physical Therapy@Canyon Road"/>
    <x v="0"/>
    <n v="2300"/>
    <n v="0"/>
    <n v="0"/>
    <n v="0"/>
    <n v="0"/>
    <n v="137.38"/>
    <n v="30.94"/>
    <n v="0"/>
    <n v="0"/>
    <n v="0"/>
    <n v="0"/>
    <n v="0"/>
    <n v="0"/>
    <n v="168.32"/>
    <n v="0"/>
  </r>
  <r>
    <x v="0"/>
    <x v="3"/>
    <x v="0"/>
    <s v="4317101"/>
    <n v="740020"/>
    <s v="Education-Registration Fees"/>
    <s v="Physical Therapy@Canyon Road"/>
    <x v="0"/>
    <m/>
    <n v="0"/>
    <n v="0"/>
    <n v="285"/>
    <n v="0"/>
    <n v="270"/>
    <n v="0"/>
    <n v="0"/>
    <n v="0"/>
    <n v="220.2"/>
    <n v="0"/>
    <n v="713.34"/>
    <n v="0"/>
    <n v="1488.54"/>
    <n v="713.34"/>
  </r>
  <r>
    <x v="0"/>
    <x v="3"/>
    <x v="0"/>
    <s v="4317101"/>
    <n v="749510"/>
    <s v="Miscellaneous Expenses"/>
    <s v="Physical Therapy@Canyon Road"/>
    <x v="0"/>
    <m/>
    <n v="0"/>
    <n v="0"/>
    <n v="0"/>
    <n v="269"/>
    <n v="-270"/>
    <n v="0"/>
    <n v="0"/>
    <n v="220.2"/>
    <n v="-198"/>
    <n v="0"/>
    <n v="0"/>
    <n v="0"/>
    <n v="21.199999999999989"/>
    <n v="0"/>
  </r>
  <r>
    <x v="0"/>
    <x v="3"/>
    <x v="0"/>
    <s v="4317101"/>
    <n v="749510"/>
    <s v="RICE Rewards"/>
    <s v="Physical Therapy@Canyon Road"/>
    <x v="0"/>
    <n v="5100"/>
    <n v="0"/>
    <n v="0"/>
    <n v="0"/>
    <n v="0"/>
    <n v="0"/>
    <n v="166.23"/>
    <n v="0"/>
    <n v="0"/>
    <n v="0"/>
    <n v="0"/>
    <n v="0"/>
    <n v="0"/>
    <n v="166.23"/>
    <n v="0"/>
  </r>
  <r>
    <x v="18"/>
    <x v="3"/>
    <x v="0"/>
    <s v="4330101"/>
    <n v="400010"/>
    <s v="Acute I/P Svcs Rev--Medicare"/>
    <s v="Inpatient OT Services"/>
    <x v="0"/>
    <n v="1100"/>
    <n v="-292039.63"/>
    <n v="-305334.32"/>
    <n v="-296237.5"/>
    <n v="-343249.12"/>
    <n v="-339767.33"/>
    <n v="-308828.67"/>
    <n v="-332260.37"/>
    <n v="-287346.86"/>
    <n v="-333817.8"/>
    <n v="-401205.97"/>
    <n v="-439302.92"/>
    <n v="-354820.01"/>
    <n v="-4034210.4999999991"/>
    <n v="-84482.909999999974"/>
  </r>
  <r>
    <x v="18"/>
    <x v="3"/>
    <x v="0"/>
    <s v="4330101"/>
    <n v="400010"/>
    <s v="Acute I/P Svcs Rev--Medicaid"/>
    <s v="Inpatient OT Services"/>
    <x v="0"/>
    <n v="1200"/>
    <n v="-81564.73"/>
    <n v="-62883.61"/>
    <n v="-79191.59"/>
    <n v="-57195.18"/>
    <n v="-49530.87"/>
    <n v="-60312.800000000003"/>
    <n v="-82064.56"/>
    <n v="-68391.88"/>
    <n v="-67286.78"/>
    <n v="-83391.27"/>
    <n v="-94750.01"/>
    <n v="-106409.89"/>
    <n v="-892973.17"/>
    <n v="11659.880000000005"/>
  </r>
  <r>
    <x v="18"/>
    <x v="3"/>
    <x v="0"/>
    <s v="4330101"/>
    <n v="400010"/>
    <s v="Acute I/P Svcs Rev--Comm Insurance"/>
    <s v="Inpatient OT Services"/>
    <x v="0"/>
    <n v="1300"/>
    <n v="-6105.15"/>
    <n v="4054.64"/>
    <n v="-7611.56"/>
    <n v="-10116.23"/>
    <n v="-11699.85"/>
    <n v="-7600.7"/>
    <n v="-593.97"/>
    <n v="618.87"/>
    <n v="-9775.2099999999991"/>
    <n v="-2054.4"/>
    <n v="-2264.7199999999998"/>
    <n v="-16144.98"/>
    <n v="-69293.259999999995"/>
    <n v="13880.26"/>
  </r>
  <r>
    <x v="18"/>
    <x v="3"/>
    <x v="0"/>
    <s v="4330101"/>
    <n v="400010"/>
    <s v="Acute I/P Svcs Rev--BCBS Comm"/>
    <s v="Inpatient OT Services"/>
    <x v="0"/>
    <n v="1301"/>
    <n v="-8414.0499999999993"/>
    <n v="-15363.41"/>
    <n v="-7226.05"/>
    <n v="-6668.32"/>
    <n v="-3006.29"/>
    <n v="-5043.84"/>
    <n v="-11203.89"/>
    <n v="-14262.49"/>
    <n v="-8770.76"/>
    <n v="-23777.81"/>
    <n v="-14276.92"/>
    <n v="-18482.25"/>
    <n v="-136496.08000000002"/>
    <n v="4205.33"/>
  </r>
  <r>
    <x v="18"/>
    <x v="3"/>
    <x v="0"/>
    <s v="4330101"/>
    <n v="400010"/>
    <s v="Acute I/P Svcs Rev--Managed Care"/>
    <s v="Inpatient OT Services"/>
    <x v="0"/>
    <n v="1400"/>
    <n v="-33966.07"/>
    <n v="-52097.59"/>
    <n v="-52460.62"/>
    <n v="-52095.17"/>
    <n v="-52520.38"/>
    <n v="-52307.19"/>
    <n v="-67420.75"/>
    <n v="-42001.07"/>
    <n v="-63825.23"/>
    <n v="-51741.73"/>
    <n v="-51970.49"/>
    <n v="-48495.47"/>
    <n v="-620901.76"/>
    <n v="-3475.0199999999968"/>
  </r>
  <r>
    <x v="18"/>
    <x v="3"/>
    <x v="0"/>
    <s v="4330101"/>
    <n v="400010"/>
    <s v="Acute I/P Svcs Rev--Self Pay"/>
    <s v="Inpatient OT Services"/>
    <x v="0"/>
    <n v="1500"/>
    <n v="-5173.25"/>
    <n v="-1428.2"/>
    <n v="-2525.1999999999998"/>
    <n v="-1213.93"/>
    <n v="-1997.49"/>
    <n v="0"/>
    <n v="-1575.54"/>
    <n v="-1221.03"/>
    <n v="-1449.65"/>
    <n v="-5228.51"/>
    <n v="2670.39"/>
    <n v="-1507.67"/>
    <n v="-20650.080000000002"/>
    <n v="4178.0599999999995"/>
  </r>
  <r>
    <x v="18"/>
    <x v="3"/>
    <x v="0"/>
    <s v="4330101"/>
    <n v="400010"/>
    <s v="Acute I/P Svcs Rev--Other"/>
    <s v="Inpatient OT Services"/>
    <x v="0"/>
    <n v="1700"/>
    <n v="-6881.73"/>
    <n v="-24142.080000000002"/>
    <n v="-20321.36"/>
    <n v="-25802.6"/>
    <n v="-1575.65"/>
    <n v="-20888"/>
    <n v="-22876.240000000002"/>
    <n v="-12254.91"/>
    <n v="-11579.1"/>
    <n v="-24674.32"/>
    <n v="-30567.57"/>
    <n v="-25281.74"/>
    <n v="-226845.3"/>
    <n v="-5285.8299999999981"/>
  </r>
  <r>
    <x v="19"/>
    <x v="3"/>
    <x v="0"/>
    <s v="4330101"/>
    <n v="400020"/>
    <s v="O/P Care Svcs Rev--Medicare"/>
    <s v="Inpatient OT Services"/>
    <x v="0"/>
    <n v="1100"/>
    <n v="-26843.43"/>
    <n v="-31707.29"/>
    <n v="-25155.42"/>
    <n v="-28375.37"/>
    <n v="-30460.43"/>
    <n v="-26470.41"/>
    <n v="-24625.19"/>
    <n v="-23871.93"/>
    <n v="-26000.92"/>
    <n v="-25573.74"/>
    <n v="-22312.32"/>
    <n v="-22335.8"/>
    <n v="-313732.25"/>
    <n v="23.479999999999563"/>
  </r>
  <r>
    <x v="19"/>
    <x v="3"/>
    <x v="0"/>
    <s v="4330101"/>
    <n v="400020"/>
    <s v="O/P Care Svcs Rev--Medicaid"/>
    <s v="Inpatient OT Services"/>
    <x v="0"/>
    <n v="1200"/>
    <n v="-4315.0200000000004"/>
    <n v="-3700.1"/>
    <n v="-5129.01"/>
    <n v="-5653.46"/>
    <n v="-2400.6999999999998"/>
    <n v="-2863.99"/>
    <n v="-8513.99"/>
    <n v="-1716.25"/>
    <n v="-4600.3500000000004"/>
    <n v="-666.6"/>
    <n v="-4317.25"/>
    <n v="-4269.22"/>
    <n v="-48145.939999999995"/>
    <n v="-48.029999999999745"/>
  </r>
  <r>
    <x v="19"/>
    <x v="3"/>
    <x v="0"/>
    <s v="4330101"/>
    <n v="400020"/>
    <s v="O/P Care Svcs Rev--Comm Insurance"/>
    <s v="Inpatient OT Services"/>
    <x v="0"/>
    <n v="1300"/>
    <n v="139.32"/>
    <n v="1583.15"/>
    <n v="-1241.8499999999999"/>
    <n v="905.59"/>
    <n v="0"/>
    <n v="-714.12"/>
    <n v="-188.92"/>
    <n v="1403.23"/>
    <n v="-543.54"/>
    <n v="0"/>
    <n v="0"/>
    <n v="-2168.96"/>
    <n v="-826.09999999999991"/>
    <n v="2168.96"/>
  </r>
  <r>
    <x v="19"/>
    <x v="3"/>
    <x v="0"/>
    <s v="4330101"/>
    <n v="400020"/>
    <s v="O/P Care Svcs Rev--BCBS Comm"/>
    <s v="Inpatient OT Services"/>
    <x v="0"/>
    <n v="1301"/>
    <n v="0"/>
    <n v="-336.26"/>
    <n v="-861.44"/>
    <n v="-525.17999999999995"/>
    <n v="-2191.4699999999998"/>
    <n v="0"/>
    <n v="0"/>
    <n v="-940.23"/>
    <n v="-2206.61"/>
    <n v="0"/>
    <n v="-4371.08"/>
    <n v="-713.07"/>
    <n v="-12145.34"/>
    <n v="-3658.0099999999998"/>
  </r>
  <r>
    <x v="19"/>
    <x v="3"/>
    <x v="0"/>
    <s v="4330101"/>
    <n v="400020"/>
    <s v="O/P Care Svcs Rev--Managed Care"/>
    <s v="Inpatient OT Services"/>
    <x v="0"/>
    <n v="1400"/>
    <n v="-1772.02"/>
    <n v="-3006.36"/>
    <n v="-1403.91"/>
    <n v="-1742.72"/>
    <n v="-3467.31"/>
    <n v="-3909.38"/>
    <n v="-4585.38"/>
    <n v="-1081.93"/>
    <n v="-5975.7"/>
    <n v="-4731.91"/>
    <n v="-6615.51"/>
    <n v="-7405.57"/>
    <n v="-45697.700000000004"/>
    <n v="790.05999999999949"/>
  </r>
  <r>
    <x v="19"/>
    <x v="3"/>
    <x v="0"/>
    <s v="4330101"/>
    <n v="400020"/>
    <s v="O/P Care Svcs Rev--Self Pay"/>
    <s v="Inpatient OT Services"/>
    <x v="0"/>
    <n v="1500"/>
    <n v="0"/>
    <n v="0"/>
    <n v="-1026.03"/>
    <n v="0"/>
    <n v="0"/>
    <n v="0"/>
    <n v="-336.26"/>
    <n v="-930.12"/>
    <n v="336.26"/>
    <n v="0"/>
    <n v="0"/>
    <n v="-543.54"/>
    <n v="-2499.6899999999996"/>
    <n v="543.54"/>
  </r>
  <r>
    <x v="19"/>
    <x v="3"/>
    <x v="0"/>
    <s v="4330101"/>
    <n v="400020"/>
    <s v="O/P Care Svcs Rev--Other"/>
    <s v="Inpatient OT Services"/>
    <x v="0"/>
    <n v="1700"/>
    <n v="-1205.32"/>
    <n v="-556.75"/>
    <n v="-2817.35"/>
    <n v="-566.76"/>
    <n v="-336.26"/>
    <n v="-2667.48"/>
    <n v="-714.1"/>
    <n v="-1471.06"/>
    <n v="-3139.33"/>
    <n v="709.45"/>
    <n v="-2060.0300000000002"/>
    <n v="-1670.85"/>
    <n v="-16495.84"/>
    <n v="-389.18000000000029"/>
  </r>
  <r>
    <x v="5"/>
    <x v="3"/>
    <x v="0"/>
    <s v="4330101"/>
    <n v="700032"/>
    <s v="Salaries-Other Pat Care Providers-Productive"/>
    <s v="Inpatient OT Services"/>
    <x v="0"/>
    <m/>
    <n v="41691.97"/>
    <n v="42516.5"/>
    <n v="39476.58"/>
    <n v="44850.55"/>
    <n v="45568.75"/>
    <n v="41815.46"/>
    <n v="47041.31"/>
    <n v="45525.01"/>
    <n v="47819.9"/>
    <n v="50614.03"/>
    <n v="52873.33"/>
    <n v="58464.47"/>
    <n v="558257.8600000001"/>
    <n v="-5591.1399999999994"/>
  </r>
  <r>
    <x v="5"/>
    <x v="3"/>
    <x v="0"/>
    <s v="4330101"/>
    <n v="700032"/>
    <s v="Salaries-Other Pat Care Providers-OT"/>
    <s v="Inpatient OT Services"/>
    <x v="0"/>
    <n v="1000"/>
    <n v="65.849999999999994"/>
    <n v="105.64"/>
    <n v="10.86"/>
    <n v="77.91"/>
    <n v="18.46"/>
    <n v="0"/>
    <n v="152.63999999999999"/>
    <n v="217.86"/>
    <n v="94.88"/>
    <n v="277.05"/>
    <n v="-16.5"/>
    <n v="158.80000000000001"/>
    <n v="1163.45"/>
    <n v="-175.3"/>
  </r>
  <r>
    <x v="5"/>
    <x v="3"/>
    <x v="0"/>
    <s v="4330101"/>
    <n v="700032"/>
    <s v="Salaries-Other Pat Care Providers-Other"/>
    <s v="Inpatient OT Services"/>
    <x v="0"/>
    <n v="2000"/>
    <n v="1845.98"/>
    <n v="1328.45"/>
    <n v="1806.03"/>
    <n v="2036.59"/>
    <n v="2167.19"/>
    <n v="1605.43"/>
    <n v="2267.8200000000002"/>
    <n v="2215.02"/>
    <n v="1652.23"/>
    <n v="1895.11"/>
    <n v="2273.4899999999998"/>
    <n v="2212.5100000000002"/>
    <n v="23305.850000000006"/>
    <n v="60.979999999999563"/>
  </r>
  <r>
    <x v="5"/>
    <x v="3"/>
    <x v="0"/>
    <s v="4330101"/>
    <n v="700034"/>
    <s v="Salaries-Tech/Professional-Productive"/>
    <s v="Inpatient OT Services"/>
    <x v="0"/>
    <m/>
    <n v="6508.94"/>
    <n v="7534.15"/>
    <n v="8826.14"/>
    <n v="6848.56"/>
    <n v="6872.61"/>
    <n v="8654.01"/>
    <n v="7352.21"/>
    <n v="3985.51"/>
    <n v="6716.35"/>
    <n v="7189.37"/>
    <n v="7892.92"/>
    <n v="6968.3"/>
    <n v="85349.07"/>
    <n v="924.61999999999989"/>
  </r>
  <r>
    <x v="5"/>
    <x v="3"/>
    <x v="0"/>
    <s v="4330101"/>
    <n v="700034"/>
    <s v="Salaries-Tech/Professional-OT"/>
    <s v="Inpatient OT Services"/>
    <x v="0"/>
    <n v="1000"/>
    <n v="45.25"/>
    <n v="19.3"/>
    <n v="21.18"/>
    <n v="21.48"/>
    <n v="0"/>
    <n v="10.74"/>
    <n v="67.23"/>
    <n v="-11.85"/>
    <n v="85.24"/>
    <n v="-30.98"/>
    <n v="54.93"/>
    <n v="104.16"/>
    <n v="386.67999999999995"/>
    <n v="-49.23"/>
  </r>
  <r>
    <x v="5"/>
    <x v="3"/>
    <x v="0"/>
    <s v="4330101"/>
    <n v="700034"/>
    <s v="Salaries-Tech/Professional-Other"/>
    <s v="Inpatient OT Services"/>
    <x v="0"/>
    <n v="2000"/>
    <n v="394.6"/>
    <n v="497.43"/>
    <n v="739.16"/>
    <n v="333.86"/>
    <n v="327.35000000000002"/>
    <n v="590.66"/>
    <n v="425.28"/>
    <n v="581.54"/>
    <n v="607.47"/>
    <n v="391.62"/>
    <n v="548.02"/>
    <n v="292.05"/>
    <n v="5729.04"/>
    <n v="255.96999999999997"/>
  </r>
  <r>
    <x v="5"/>
    <x v="3"/>
    <x v="0"/>
    <s v="4330101"/>
    <n v="700072"/>
    <s v="Salaries-Other Pat Care Providers-Non-productive"/>
    <s v="Inpatient OT Services"/>
    <x v="0"/>
    <m/>
    <n v="3226.74"/>
    <n v="4183.7299999999996"/>
    <n v="4646.08"/>
    <n v="2562.87"/>
    <n v="2629.62"/>
    <n v="6502.48"/>
    <n v="7635.53"/>
    <n v="2455.71"/>
    <n v="10182.77"/>
    <n v="8056.34"/>
    <n v="4880.71"/>
    <n v="2761.37"/>
    <n v="59723.95"/>
    <n v="2119.34"/>
  </r>
  <r>
    <x v="5"/>
    <x v="3"/>
    <x v="0"/>
    <s v="4330101"/>
    <n v="700072"/>
    <s v="Salaries-Other Pat Care Providers-NonProd-Other"/>
    <s v="Inpatient OT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330101"/>
    <n v="700074"/>
    <s v="Salaries-Tech/Professional-Non-productive"/>
    <s v="Inpatient OT Services"/>
    <x v="0"/>
    <m/>
    <n v="741.8"/>
    <n v="279.66000000000003"/>
    <n v="123.74"/>
    <n v="408.99"/>
    <n v="-179.95"/>
    <n v="0"/>
    <n v="0"/>
    <n v="3678.89"/>
    <n v="1518.96"/>
    <n v="236.27"/>
    <n v="0"/>
    <n v="0"/>
    <n v="6808.3600000000006"/>
    <n v="0"/>
  </r>
  <r>
    <x v="5"/>
    <x v="3"/>
    <x v="0"/>
    <s v="4330101"/>
    <n v="700074"/>
    <s v="Salaries-Tech/Professional-NonProd-Other"/>
    <s v="Inpatient OT Services"/>
    <x v="0"/>
    <n v="2000"/>
    <n v="0"/>
    <n v="0"/>
    <n v="14.32"/>
    <n v="0"/>
    <n v="0"/>
    <n v="0"/>
    <n v="0"/>
    <n v="0"/>
    <n v="0"/>
    <n v="0"/>
    <n v="0"/>
    <n v="0"/>
    <n v="14.32"/>
    <n v="0"/>
  </r>
  <r>
    <x v="5"/>
    <x v="3"/>
    <x v="0"/>
    <s v="4330101"/>
    <n v="700084"/>
    <s v="Accrued PTO"/>
    <s v="Inpatient OT Services"/>
    <x v="0"/>
    <m/>
    <n v="1670.99"/>
    <n v="1065.93"/>
    <n v="-790.53"/>
    <n v="4022.96"/>
    <n v="2465.17"/>
    <n v="794.3"/>
    <n v="-1159.26"/>
    <n v="-837.4"/>
    <n v="-3582.73"/>
    <n v="-244.31"/>
    <n v="1173.04"/>
    <n v="3301.75"/>
    <n v="7879.91"/>
    <n v="-2128.71"/>
  </r>
  <r>
    <x v="6"/>
    <x v="3"/>
    <x v="0"/>
    <s v="4330101"/>
    <n v="713010"/>
    <s v="Benefits-FICA/Medicare"/>
    <s v="Inpatient OT Services"/>
    <x v="0"/>
    <m/>
    <n v="4083.39"/>
    <n v="4226.34"/>
    <n v="4171.8599999999997"/>
    <n v="4276.6000000000004"/>
    <n v="4303.16"/>
    <n v="4439.12"/>
    <n v="4890.12"/>
    <n v="4378.0600000000004"/>
    <n v="5180.49"/>
    <n v="5123.6099999999997"/>
    <n v="5149.6099999999997"/>
    <n v="5321.77"/>
    <n v="55544.130000000005"/>
    <n v="-172.16000000000076"/>
  </r>
  <r>
    <x v="6"/>
    <x v="3"/>
    <x v="0"/>
    <s v="4330101"/>
    <n v="713090"/>
    <s v="Benefits-Allocated Amounts"/>
    <s v="Inpatient OT Services"/>
    <x v="0"/>
    <m/>
    <n v="10656.83"/>
    <n v="10222.61"/>
    <n v="10944.4"/>
    <n v="10840.55"/>
    <n v="11013.74"/>
    <n v="11095.72"/>
    <n v="12659.8"/>
    <n v="12259.82"/>
    <n v="11226.65"/>
    <n v="13900.47"/>
    <n v="14170.16"/>
    <n v="14529.12"/>
    <n v="143519.87"/>
    <n v="-358.96000000000095"/>
  </r>
  <r>
    <x v="11"/>
    <x v="3"/>
    <x v="0"/>
    <s v="4330101"/>
    <n v="721010"/>
    <s v="Supplies-Medical - Billable"/>
    <s v="Inpatient OT Services"/>
    <x v="0"/>
    <m/>
    <n v="0"/>
    <n v="0"/>
    <n v="0"/>
    <n v="39.020000000000003"/>
    <n v="0"/>
    <n v="0"/>
    <n v="0"/>
    <n v="188.25"/>
    <n v="0"/>
    <n v="0"/>
    <n v="0"/>
    <n v="0"/>
    <n v="227.27"/>
    <n v="0"/>
  </r>
  <r>
    <x v="11"/>
    <x v="3"/>
    <x v="0"/>
    <s v="4330101"/>
    <n v="721410"/>
    <s v="Supplies-Medical - Nonbillable"/>
    <s v="Inpatient OT Services"/>
    <x v="0"/>
    <m/>
    <n v="16.45"/>
    <n v="49.43"/>
    <n v="0"/>
    <n v="86.48"/>
    <n v="0"/>
    <n v="0"/>
    <n v="8.2200000000000006"/>
    <n v="8.75"/>
    <n v="47.35"/>
    <n v="0"/>
    <n v="0"/>
    <n v="0"/>
    <n v="216.68"/>
    <n v="0"/>
  </r>
  <r>
    <x v="11"/>
    <x v="3"/>
    <x v="0"/>
    <s v="4330101"/>
    <n v="721870"/>
    <s v="Supplies-Environmental Services"/>
    <s v="Inpatient OT Services"/>
    <x v="0"/>
    <m/>
    <n v="0"/>
    <n v="0"/>
    <n v="0"/>
    <n v="-23.55"/>
    <n v="0"/>
    <n v="0"/>
    <n v="0"/>
    <n v="0"/>
    <n v="0"/>
    <n v="0"/>
    <n v="0"/>
    <n v="0"/>
    <n v="-23.55"/>
    <n v="0"/>
  </r>
  <r>
    <x v="11"/>
    <x v="3"/>
    <x v="0"/>
    <s v="4330101"/>
    <n v="722000"/>
    <s v="Supplies-Freight Expense"/>
    <s v="Inpatient OT Services"/>
    <x v="0"/>
    <m/>
    <n v="0"/>
    <n v="7.95"/>
    <n v="0"/>
    <n v="0"/>
    <n v="0"/>
    <n v="0"/>
    <n v="0"/>
    <n v="0"/>
    <n v="0"/>
    <n v="0"/>
    <n v="0"/>
    <n v="0"/>
    <n v="7.95"/>
    <n v="0"/>
  </r>
  <r>
    <x v="15"/>
    <x v="3"/>
    <x v="0"/>
    <s v="4330101"/>
    <n v="731060"/>
    <s v="Pagers"/>
    <s v="Inpatient OT Services"/>
    <x v="0"/>
    <n v="1002"/>
    <n v="40.5"/>
    <n v="40.5"/>
    <n v="40.5"/>
    <n v="40.6"/>
    <n v="40.6"/>
    <n v="0"/>
    <n v="81.2"/>
    <n v="40.6"/>
    <n v="32.479999999999997"/>
    <n v="32.479999999999997"/>
    <n v="24.36"/>
    <n v="24.36"/>
    <n v="438.18000000000006"/>
    <n v="0"/>
  </r>
  <r>
    <x v="0"/>
    <x v="3"/>
    <x v="0"/>
    <s v="4330101"/>
    <n v="740020"/>
    <s v="Education-Registration Fees"/>
    <s v="Inpatient OT Services"/>
    <x v="0"/>
    <m/>
    <n v="0"/>
    <n v="0"/>
    <n v="0"/>
    <n v="0"/>
    <n v="81"/>
    <n v="219.99"/>
    <n v="0"/>
    <n v="0"/>
    <n v="0"/>
    <n v="450"/>
    <n v="951.12"/>
    <n v="0"/>
    <n v="1702.1100000000001"/>
    <n v="951.12"/>
  </r>
  <r>
    <x v="0"/>
    <x v="3"/>
    <x v="0"/>
    <s v="4330101"/>
    <n v="749510"/>
    <s v="RICE Rewards"/>
    <s v="Inpatient OT Services"/>
    <x v="0"/>
    <n v="5100"/>
    <n v="0"/>
    <n v="0"/>
    <n v="0"/>
    <n v="0"/>
    <n v="0"/>
    <n v="0"/>
    <n v="0"/>
    <n v="0"/>
    <n v="0"/>
    <n v="0"/>
    <n v="0"/>
    <n v="210"/>
    <n v="210"/>
    <n v="-210"/>
  </r>
  <r>
    <x v="18"/>
    <x v="3"/>
    <x v="0"/>
    <s v="4331101"/>
    <n v="400010"/>
    <s v="Acute I/P Svcs Rev--Medicare"/>
    <s v="Inpatient Rehab OT"/>
    <x v="0"/>
    <n v="1100"/>
    <n v="-14759.84"/>
    <n v="-1765.5"/>
    <n v="1765.5"/>
    <n v="0"/>
    <n v="0"/>
    <n v="0"/>
    <n v="0"/>
    <n v="0"/>
    <n v="0"/>
    <n v="14759.84"/>
    <n v="0"/>
    <n v="0"/>
    <n v="0"/>
    <n v="0"/>
  </r>
  <r>
    <x v="18"/>
    <x v="3"/>
    <x v="0"/>
    <s v="4331101"/>
    <n v="400010"/>
    <s v="Acute I/P Svcs Rev--Medicaid"/>
    <s v="Inpatient Rehab OT"/>
    <x v="0"/>
    <n v="1200"/>
    <n v="0"/>
    <n v="-2601.0500000000002"/>
    <n v="-3989.75"/>
    <n v="0"/>
    <n v="0"/>
    <n v="0"/>
    <n v="0"/>
    <n v="0"/>
    <n v="0"/>
    <n v="6590.8"/>
    <n v="0"/>
    <n v="0"/>
    <n v="0"/>
    <n v="0"/>
  </r>
  <r>
    <x v="18"/>
    <x v="3"/>
    <x v="0"/>
    <s v="4331101"/>
    <n v="400010"/>
    <s v="Acute I/P Svcs Rev--Comm Insurance"/>
    <s v="Inpatient Rehab OT"/>
    <x v="0"/>
    <n v="1300"/>
    <n v="14759.84"/>
    <n v="0"/>
    <n v="0"/>
    <n v="0"/>
    <n v="0"/>
    <n v="0"/>
    <n v="0"/>
    <n v="0"/>
    <n v="0"/>
    <n v="-14759.84"/>
    <n v="0"/>
    <n v="0"/>
    <n v="0"/>
    <n v="0"/>
  </r>
  <r>
    <x v="18"/>
    <x v="3"/>
    <x v="0"/>
    <s v="4331101"/>
    <n v="400010"/>
    <s v="Acute I/P Svcs Rev--Managed Care"/>
    <s v="Inpatient Rehab OT"/>
    <x v="0"/>
    <n v="1400"/>
    <n v="0"/>
    <n v="-1756.83"/>
    <n v="8347.6299999999992"/>
    <n v="0"/>
    <n v="0"/>
    <n v="0"/>
    <n v="0"/>
    <n v="0"/>
    <n v="0"/>
    <n v="0"/>
    <n v="4695.0600000000004"/>
    <n v="0"/>
    <n v="11285.86"/>
    <n v="4695.0600000000004"/>
  </r>
  <r>
    <x v="18"/>
    <x v="3"/>
    <x v="0"/>
    <s v="4331101"/>
    <n v="400010"/>
    <s v="Acute I/P Svcs Rev--Self Pay"/>
    <s v="Inpatient Rehab OT"/>
    <x v="0"/>
    <n v="1500"/>
    <n v="0"/>
    <n v="0"/>
    <n v="0"/>
    <n v="0"/>
    <n v="0"/>
    <n v="0"/>
    <n v="0"/>
    <n v="0"/>
    <n v="0"/>
    <n v="-6590.8"/>
    <n v="0"/>
    <n v="0"/>
    <n v="-6590.8"/>
    <n v="0"/>
  </r>
  <r>
    <x v="18"/>
    <x v="3"/>
    <x v="0"/>
    <s v="4331101"/>
    <n v="400010"/>
    <s v="Acute I/P Svcs Rev--Other"/>
    <s v="Inpatient Rehab OT"/>
    <x v="0"/>
    <n v="1700"/>
    <n v="0"/>
    <n v="-623.30999999999995"/>
    <n v="623.30999999999995"/>
    <n v="0"/>
    <n v="0"/>
    <n v="0"/>
    <n v="0"/>
    <n v="0"/>
    <n v="0"/>
    <n v="0"/>
    <n v="-4695.0600000000004"/>
    <n v="0"/>
    <n v="-4695.0600000000004"/>
    <n v="-4695.0600000000004"/>
  </r>
  <r>
    <x v="19"/>
    <x v="3"/>
    <x v="0"/>
    <s v="4331101"/>
    <n v="400020"/>
    <s v="O/P Care Svcs Rev--Medicare"/>
    <s v="Inpatient Rehab OT"/>
    <x v="0"/>
    <n v="11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331101"/>
    <n v="400020"/>
    <s v="O/P Care Svcs Rev--Medicaid"/>
    <s v="Inpatient Rehab OT"/>
    <x v="0"/>
    <n v="12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331101"/>
    <n v="400020"/>
    <s v="O/P Care Svcs Rev--Managed Care"/>
    <s v="Inpatient Rehab OT"/>
    <x v="0"/>
    <n v="14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331101"/>
    <n v="700054"/>
    <s v="Salaries-Management-NonProd-Other"/>
    <s v="Inpatient Rehab OT"/>
    <x v="0"/>
    <n v="2000"/>
    <n v="0"/>
    <n v="0"/>
    <n v="0"/>
    <n v="0"/>
    <n v="0"/>
    <n v="256.89999999999998"/>
    <n v="-256.89999999999998"/>
    <n v="0"/>
    <n v="0"/>
    <n v="0"/>
    <n v="0"/>
    <n v="0"/>
    <n v="0"/>
    <n v="0"/>
  </r>
  <r>
    <x v="5"/>
    <x v="3"/>
    <x v="0"/>
    <s v="4331101"/>
    <n v="700072"/>
    <s v="Salaries-Other Pat Care Providers-NonProd-Other"/>
    <s v="Inpatient Rehab OT"/>
    <x v="0"/>
    <n v="2000"/>
    <n v="727.65"/>
    <n v="-80.92"/>
    <n v="-646.73"/>
    <n v="0"/>
    <n v="0"/>
    <n v="0"/>
    <n v="0"/>
    <n v="0"/>
    <n v="0"/>
    <n v="0"/>
    <n v="0"/>
    <n v="0"/>
    <n v="0"/>
    <n v="0"/>
  </r>
  <r>
    <x v="6"/>
    <x v="3"/>
    <x v="0"/>
    <s v="4331101"/>
    <n v="713010"/>
    <s v="Benefits-FICA/Medicare"/>
    <s v="Inpatient Rehab OT"/>
    <x v="0"/>
    <m/>
    <n v="55.64"/>
    <n v="-6.18"/>
    <n v="-49.46"/>
    <n v="0"/>
    <n v="0"/>
    <n v="19.649999999999999"/>
    <n v="19.649999999999999"/>
    <n v="0"/>
    <n v="0"/>
    <n v="0"/>
    <n v="0"/>
    <n v="0"/>
    <n v="39.299999999999997"/>
    <n v="0"/>
  </r>
  <r>
    <x v="6"/>
    <x v="3"/>
    <x v="0"/>
    <s v="4331101"/>
    <n v="713090"/>
    <s v="Benefits-Allocated Amounts"/>
    <s v="Inpatient Rehab OT"/>
    <x v="0"/>
    <m/>
    <n v="42.87"/>
    <n v="-8.82"/>
    <n v="-34.049999999999997"/>
    <n v="0"/>
    <n v="0"/>
    <n v="0"/>
    <n v="0"/>
    <n v="0"/>
    <n v="0"/>
    <n v="0"/>
    <n v="0"/>
    <n v="0"/>
    <n v="0"/>
    <n v="0"/>
  </r>
  <r>
    <x v="11"/>
    <x v="3"/>
    <x v="0"/>
    <s v="4331101"/>
    <n v="721010"/>
    <s v="Supplies-Medical - Billable"/>
    <s v="Inpatient Rehab OT"/>
    <x v="0"/>
    <m/>
    <n v="0"/>
    <n v="0"/>
    <n v="0"/>
    <n v="0"/>
    <n v="0"/>
    <n v="0"/>
    <n v="0"/>
    <n v="12.55"/>
    <n v="0"/>
    <n v="0"/>
    <n v="0"/>
    <n v="0"/>
    <n v="12.55"/>
    <n v="0"/>
  </r>
  <r>
    <x v="11"/>
    <x v="3"/>
    <x v="0"/>
    <s v="4331101"/>
    <n v="721410"/>
    <s v="Supplies-Medical - Nonbillable"/>
    <s v="Inpatient Rehab OT"/>
    <x v="0"/>
    <m/>
    <n v="8.75"/>
    <n v="0"/>
    <n v="0"/>
    <n v="-8.75"/>
    <n v="0"/>
    <n v="0"/>
    <n v="0"/>
    <n v="64.680000000000007"/>
    <n v="0"/>
    <n v="0"/>
    <n v="0"/>
    <n v="0"/>
    <n v="64.680000000000007"/>
    <n v="0"/>
  </r>
  <r>
    <x v="11"/>
    <x v="3"/>
    <x v="0"/>
    <s v="4331101"/>
    <n v="721980"/>
    <s v="Supplies-Other"/>
    <s v="Inpatient Rehab OT"/>
    <x v="0"/>
    <m/>
    <n v="0"/>
    <n v="0"/>
    <n v="0"/>
    <n v="0"/>
    <n v="0"/>
    <n v="0"/>
    <n v="0"/>
    <n v="74.760000000000005"/>
    <n v="0"/>
    <n v="0"/>
    <n v="0"/>
    <n v="0"/>
    <n v="74.760000000000005"/>
    <n v="0"/>
  </r>
  <r>
    <x v="11"/>
    <x v="3"/>
    <x v="0"/>
    <s v="4331101"/>
    <n v="722000"/>
    <s v="Supplies-Freight Expense"/>
    <s v="Inpatient Rehab OT"/>
    <x v="0"/>
    <m/>
    <n v="0"/>
    <n v="0"/>
    <n v="0"/>
    <n v="8.75"/>
    <n v="0"/>
    <n v="0"/>
    <n v="0"/>
    <n v="0"/>
    <n v="0"/>
    <n v="0"/>
    <n v="0"/>
    <n v="0"/>
    <n v="8.75"/>
    <n v="0"/>
  </r>
  <r>
    <x v="18"/>
    <x v="3"/>
    <x v="0"/>
    <s v="4335101"/>
    <n v="400010"/>
    <s v="Acute I/P Svcs Rev--Medicare"/>
    <s v="Outpatient OT"/>
    <x v="0"/>
    <n v="11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335101"/>
    <n v="400020"/>
    <s v="O/P Care Svcs Rev--Medicare"/>
    <s v="Outpatient OT"/>
    <x v="0"/>
    <n v="1100"/>
    <n v="-133383.87"/>
    <n v="-142624.38"/>
    <n v="-124085.17"/>
    <n v="-144332.78"/>
    <n v="-103982.68"/>
    <n v="-119049.13"/>
    <n v="-150292.93"/>
    <n v="-135172.79999999999"/>
    <n v="-158164.41"/>
    <n v="-149370.60999999999"/>
    <n v="-158801.91"/>
    <n v="-133234.68"/>
    <n v="-1652495.3499999996"/>
    <n v="-25567.23000000001"/>
  </r>
  <r>
    <x v="19"/>
    <x v="3"/>
    <x v="0"/>
    <s v="4335101"/>
    <n v="400020"/>
    <s v="O/P Care Svcs Rev--Medicaid"/>
    <s v="Outpatient OT"/>
    <x v="0"/>
    <n v="1200"/>
    <n v="-53618.77"/>
    <n v="-52288.79"/>
    <n v="-55725.32"/>
    <n v="-54759.44"/>
    <n v="-63185.31"/>
    <n v="-47425.41"/>
    <n v="-52117.95"/>
    <n v="-59698.65"/>
    <n v="-80396.320000000007"/>
    <n v="-79152.69"/>
    <n v="-68496.55"/>
    <n v="-50223.89"/>
    <n v="-717089.0900000002"/>
    <n v="-18272.660000000003"/>
  </r>
  <r>
    <x v="19"/>
    <x v="3"/>
    <x v="0"/>
    <s v="4335101"/>
    <n v="400020"/>
    <s v="O/P Care Svcs Rev--Comm Insurance"/>
    <s v="Outpatient OT"/>
    <x v="0"/>
    <n v="1300"/>
    <n v="-6592.03"/>
    <n v="-13065.12"/>
    <n v="-2839.03"/>
    <n v="-5678.84"/>
    <n v="-5283.06"/>
    <n v="-435.11"/>
    <n v="-6080.88"/>
    <n v="-5301.78"/>
    <n v="-9259.69"/>
    <n v="-10241.44"/>
    <n v="-14860.5"/>
    <n v="-12894.92"/>
    <n v="-92532.400000000009"/>
    <n v="-1965.58"/>
  </r>
  <r>
    <x v="19"/>
    <x v="3"/>
    <x v="0"/>
    <s v="4335101"/>
    <n v="400020"/>
    <s v="O/P Care Svcs Rev--BCBS Comm"/>
    <s v="Outpatient OT"/>
    <x v="0"/>
    <n v="1301"/>
    <n v="-14825.15"/>
    <n v="-15401.74"/>
    <n v="-19844.259999999998"/>
    <n v="-16424.419999999998"/>
    <n v="-16365.92"/>
    <n v="-15087.21"/>
    <n v="-24103.46"/>
    <n v="-22243.72"/>
    <n v="-25860.7"/>
    <n v="-15540.79"/>
    <n v="-16943.82"/>
    <n v="-20123.189999999999"/>
    <n v="-222764.38"/>
    <n v="3179.369999999999"/>
  </r>
  <r>
    <x v="19"/>
    <x v="3"/>
    <x v="0"/>
    <s v="4335101"/>
    <n v="400020"/>
    <s v="O/P Care Svcs Rev--Managed Care"/>
    <s v="Outpatient OT"/>
    <x v="0"/>
    <n v="1400"/>
    <n v="-56230.16"/>
    <n v="-76688.95"/>
    <n v="-50960.52"/>
    <n v="-51865.599999999999"/>
    <n v="-47850.11"/>
    <n v="-33760.089999999997"/>
    <n v="-50091.96"/>
    <n v="-34923.910000000003"/>
    <n v="-44801.02"/>
    <n v="-54204.52"/>
    <n v="-83807.399999999994"/>
    <n v="-64104.25"/>
    <n v="-649288.49"/>
    <n v="-19703.149999999994"/>
  </r>
  <r>
    <x v="19"/>
    <x v="3"/>
    <x v="0"/>
    <s v="4335101"/>
    <n v="400020"/>
    <s v="O/P Care Svcs Rev--Self Pay"/>
    <s v="Outpatient OT"/>
    <x v="0"/>
    <n v="1500"/>
    <n v="-1244.9000000000001"/>
    <n v="-839.05"/>
    <n v="-1985.35"/>
    <n v="-2915.63"/>
    <n v="-2893.23"/>
    <n v="-5089.05"/>
    <n v="-4441.7700000000004"/>
    <n v="-3098.37"/>
    <n v="167.68"/>
    <n v="-9170.67"/>
    <n v="2617.86"/>
    <n v="-2525.96"/>
    <n v="-31418.439999999995"/>
    <n v="5143.82"/>
  </r>
  <r>
    <x v="19"/>
    <x v="3"/>
    <x v="0"/>
    <s v="4335101"/>
    <n v="400020"/>
    <s v="O/P Care Svcs Rev--Other"/>
    <s v="Outpatient OT"/>
    <x v="0"/>
    <n v="1700"/>
    <n v="-35084.480000000003"/>
    <n v="-59018.71"/>
    <n v="-40419.879999999997"/>
    <n v="-30149.17"/>
    <n v="-33318.300000000003"/>
    <n v="-27223.69"/>
    <n v="-40410.22"/>
    <n v="-24066.28"/>
    <n v="-45132.03"/>
    <n v="-31357.74"/>
    <n v="-22878.66"/>
    <n v="-21511.7"/>
    <n v="-410570.86"/>
    <n v="-1366.9599999999991"/>
  </r>
  <r>
    <x v="14"/>
    <x v="3"/>
    <x v="0"/>
    <s v="4335101"/>
    <n v="600050"/>
    <s v="Miscellaneous Revenue"/>
    <s v="Outpatient OT"/>
    <x v="0"/>
    <m/>
    <n v="-160"/>
    <n v="0"/>
    <n v="0"/>
    <n v="0"/>
    <n v="0"/>
    <n v="0"/>
    <n v="0"/>
    <n v="0"/>
    <n v="0"/>
    <n v="0"/>
    <n v="0"/>
    <n v="0"/>
    <n v="-160"/>
    <n v="0"/>
  </r>
  <r>
    <x v="5"/>
    <x v="3"/>
    <x v="0"/>
    <s v="4335101"/>
    <n v="700032"/>
    <s v="Salaries-Other Pat Care Providers-Productive"/>
    <s v="Outpatient OT"/>
    <x v="0"/>
    <m/>
    <n v="35947.300000000003"/>
    <n v="46219.22"/>
    <n v="41637.11"/>
    <n v="44154.51"/>
    <n v="36690"/>
    <n v="33435.480000000003"/>
    <n v="40628.839999999997"/>
    <n v="33735.07"/>
    <n v="47321.85"/>
    <n v="42701.69"/>
    <n v="42697.18"/>
    <n v="40061.99"/>
    <n v="485230.24"/>
    <n v="2635.1900000000023"/>
  </r>
  <r>
    <x v="5"/>
    <x v="3"/>
    <x v="0"/>
    <s v="4335101"/>
    <n v="700032"/>
    <s v="Salaries-Other Pat Care Providers-OT"/>
    <s v="Outpatient OT"/>
    <x v="0"/>
    <n v="1000"/>
    <n v="0"/>
    <n v="347.57"/>
    <n v="285.89999999999998"/>
    <n v="110.48"/>
    <n v="149.11000000000001"/>
    <n v="250.7"/>
    <n v="137.44999999999999"/>
    <n v="185.85"/>
    <n v="331.21"/>
    <n v="668.6"/>
    <n v="-3.94"/>
    <n v="730.12"/>
    <n v="3193.0499999999997"/>
    <n v="-734.06000000000006"/>
  </r>
  <r>
    <x v="5"/>
    <x v="3"/>
    <x v="0"/>
    <s v="4335101"/>
    <n v="700032"/>
    <s v="Salaries-Other Pat Care Providers-Other"/>
    <s v="Outpatient OT"/>
    <x v="0"/>
    <n v="2000"/>
    <n v="3.62"/>
    <n v="-0.24"/>
    <n v="0"/>
    <n v="0"/>
    <n v="13.5"/>
    <n v="-13.5"/>
    <n v="0"/>
    <n v="0"/>
    <n v="0"/>
    <n v="0"/>
    <n v="1.1299999999999999"/>
    <n v="0"/>
    <n v="4.5099999999999989"/>
    <n v="1.1299999999999999"/>
  </r>
  <r>
    <x v="5"/>
    <x v="3"/>
    <x v="0"/>
    <s v="4335101"/>
    <n v="700034"/>
    <s v="Salaries-Tech/Professional-Productive"/>
    <s v="Outpatient OT"/>
    <x v="0"/>
    <m/>
    <n v="0"/>
    <n v="0"/>
    <n v="0"/>
    <n v="0"/>
    <n v="229.69"/>
    <n v="0"/>
    <n v="0"/>
    <n v="0"/>
    <n v="0"/>
    <n v="0"/>
    <n v="0"/>
    <n v="0"/>
    <n v="229.69"/>
    <n v="0"/>
  </r>
  <r>
    <x v="5"/>
    <x v="3"/>
    <x v="0"/>
    <s v="4335101"/>
    <n v="700034"/>
    <s v="Salaries-Tech/Professional-OT"/>
    <s v="Outpatient OT"/>
    <x v="0"/>
    <n v="1000"/>
    <n v="0"/>
    <n v="0"/>
    <n v="0"/>
    <n v="0"/>
    <n v="28.54"/>
    <n v="0"/>
    <n v="0"/>
    <n v="0"/>
    <n v="0"/>
    <n v="0"/>
    <n v="0"/>
    <n v="0"/>
    <n v="28.54"/>
    <n v="0"/>
  </r>
  <r>
    <x v="5"/>
    <x v="3"/>
    <x v="0"/>
    <s v="4335101"/>
    <n v="700072"/>
    <s v="Salaries-Other Pat Care Providers-Non-productive"/>
    <s v="Outpatient OT"/>
    <x v="0"/>
    <m/>
    <n v="16145.63"/>
    <n v="6433.51"/>
    <n v="6716.14"/>
    <n v="9319.98"/>
    <n v="12022.33"/>
    <n v="18490.8"/>
    <n v="8351.7999999999993"/>
    <n v="8695.6"/>
    <n v="3236.73"/>
    <n v="7835.88"/>
    <n v="8512.7199999999993"/>
    <n v="8350.77"/>
    <n v="114111.89000000001"/>
    <n v="161.94999999999891"/>
  </r>
  <r>
    <x v="5"/>
    <x v="3"/>
    <x v="0"/>
    <s v="4335101"/>
    <n v="700072"/>
    <s v="Salaries-Other Pat Care Providers-NonProd-Other"/>
    <s v="Outpatient O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335101"/>
    <n v="700084"/>
    <s v="Accrued PTO"/>
    <s v="Outpatient OT"/>
    <x v="0"/>
    <m/>
    <n v="-6245.58"/>
    <n v="930.08"/>
    <n v="1432.63"/>
    <n v="3761.3"/>
    <n v="2918.56"/>
    <n v="7829.99"/>
    <n v="-525.41999999999996"/>
    <n v="-711.82"/>
    <n v="3957.31"/>
    <n v="1168.57"/>
    <n v="-279.63"/>
    <n v="-142.82"/>
    <n v="14093.17"/>
    <n v="-136.81"/>
  </r>
  <r>
    <x v="6"/>
    <x v="3"/>
    <x v="0"/>
    <s v="4335101"/>
    <n v="713010"/>
    <s v="Benefits-FICA/Medicare"/>
    <s v="Outpatient OT"/>
    <x v="0"/>
    <m/>
    <n v="3838.06"/>
    <n v="3907.44"/>
    <n v="3582.97"/>
    <n v="3953.49"/>
    <n v="3651.23"/>
    <n v="3846.4"/>
    <n v="3637.2"/>
    <n v="3124.65"/>
    <n v="3710.53"/>
    <n v="3746.06"/>
    <n v="3740.02"/>
    <n v="3593.73"/>
    <n v="44331.78"/>
    <n v="146.28999999999996"/>
  </r>
  <r>
    <x v="6"/>
    <x v="3"/>
    <x v="0"/>
    <s v="4335101"/>
    <n v="713090"/>
    <s v="Benefits-Allocated Amounts"/>
    <s v="Outpatient OT"/>
    <x v="0"/>
    <m/>
    <n v="8953.36"/>
    <n v="8765.5400000000009"/>
    <n v="8868.92"/>
    <n v="9418.7199999999993"/>
    <n v="8730.43"/>
    <n v="9390.0499999999993"/>
    <n v="8799.24"/>
    <n v="8443.2199999999993"/>
    <n v="7428.84"/>
    <n v="9241.2900000000009"/>
    <n v="9719.7199999999993"/>
    <n v="9164.02"/>
    <n v="106923.34999999999"/>
    <n v="555.69999999999891"/>
  </r>
  <r>
    <x v="7"/>
    <x v="3"/>
    <x v="0"/>
    <s v="4335101"/>
    <n v="718050"/>
    <s v="Contract Svcs-Other"/>
    <s v="Outpatient OT"/>
    <x v="0"/>
    <m/>
    <n v="0"/>
    <n v="0"/>
    <n v="0"/>
    <n v="0"/>
    <n v="0"/>
    <n v="0"/>
    <n v="374.34"/>
    <n v="0"/>
    <n v="0"/>
    <n v="0"/>
    <n v="0"/>
    <n v="0"/>
    <n v="374.34"/>
    <n v="0"/>
  </r>
  <r>
    <x v="7"/>
    <x v="3"/>
    <x v="0"/>
    <s v="4335101"/>
    <n v="718050"/>
    <s v="Translation Services"/>
    <s v="Outpatient OT"/>
    <x v="0"/>
    <n v="1025"/>
    <n v="0"/>
    <n v="513"/>
    <n v="896"/>
    <n v="1021"/>
    <n v="0"/>
    <n v="864"/>
    <n v="460"/>
    <n v="536"/>
    <n v="372"/>
    <n v="0"/>
    <n v="640"/>
    <n v="0"/>
    <n v="5302"/>
    <n v="640"/>
  </r>
  <r>
    <x v="11"/>
    <x v="3"/>
    <x v="0"/>
    <s v="4335101"/>
    <n v="721010"/>
    <s v="Supplies-Medical - Billable"/>
    <s v="Outpatient OT"/>
    <x v="0"/>
    <m/>
    <n v="155.21"/>
    <n v="535.6"/>
    <n v="308.61"/>
    <n v="0"/>
    <n v="24.43"/>
    <n v="0"/>
    <n v="0"/>
    <n v="0"/>
    <n v="0"/>
    <n v="0"/>
    <n v="0"/>
    <n v="0"/>
    <n v="1023.85"/>
    <n v="0"/>
  </r>
  <r>
    <x v="11"/>
    <x v="3"/>
    <x v="0"/>
    <s v="4335101"/>
    <n v="721020"/>
    <s v="Supplies-Surgical - Billable"/>
    <s v="Outpatient OT"/>
    <x v="0"/>
    <m/>
    <n v="40.29"/>
    <n v="0"/>
    <n v="0"/>
    <n v="0"/>
    <n v="0"/>
    <n v="0"/>
    <n v="0"/>
    <n v="0"/>
    <n v="0"/>
    <n v="0"/>
    <n v="0"/>
    <n v="175.77"/>
    <n v="216.06"/>
    <n v="-175.77"/>
  </r>
  <r>
    <x v="11"/>
    <x v="3"/>
    <x v="0"/>
    <s v="4335101"/>
    <n v="721250"/>
    <s v="Supplies-Pharmacy Drugs - Billable"/>
    <s v="Outpatient OT"/>
    <x v="0"/>
    <m/>
    <n v="0"/>
    <n v="0"/>
    <n v="19.28"/>
    <n v="19.28"/>
    <n v="0"/>
    <n v="0"/>
    <n v="0"/>
    <n v="0"/>
    <n v="0"/>
    <n v="0"/>
    <n v="0"/>
    <n v="0"/>
    <n v="38.56"/>
    <n v="0"/>
  </r>
  <r>
    <x v="11"/>
    <x v="3"/>
    <x v="0"/>
    <s v="4335101"/>
    <n v="721410"/>
    <s v="Supplies-Medical - Nonbillable"/>
    <s v="Outpatient OT"/>
    <x v="0"/>
    <m/>
    <n v="10.69"/>
    <n v="34.94"/>
    <n v="748.11"/>
    <n v="-8.9499999999999993"/>
    <n v="1.1000000000000001"/>
    <n v="1.1000000000000001"/>
    <n v="1.7"/>
    <n v="58.69"/>
    <n v="0"/>
    <n v="36.85"/>
    <n v="0"/>
    <n v="0"/>
    <n v="884.23000000000013"/>
    <n v="0"/>
  </r>
  <r>
    <x v="11"/>
    <x v="3"/>
    <x v="0"/>
    <s v="4335101"/>
    <n v="721810"/>
    <s v="Supplies-Dietary/Cafeteria"/>
    <s v="Outpatient OT"/>
    <x v="0"/>
    <m/>
    <n v="0"/>
    <n v="0"/>
    <n v="0"/>
    <n v="36.81"/>
    <n v="0"/>
    <n v="10.199999999999999"/>
    <n v="0"/>
    <n v="0"/>
    <n v="0"/>
    <n v="0"/>
    <n v="0"/>
    <n v="11.27"/>
    <n v="58.28"/>
    <n v="-11.27"/>
  </r>
  <r>
    <x v="11"/>
    <x v="3"/>
    <x v="0"/>
    <s v="4335101"/>
    <n v="721830"/>
    <s v="Supplies-Office"/>
    <s v="Outpatient OT"/>
    <x v="0"/>
    <m/>
    <n v="0"/>
    <n v="36.44"/>
    <n v="12.14"/>
    <n v="0"/>
    <n v="0"/>
    <n v="0"/>
    <n v="0"/>
    <n v="0"/>
    <n v="0"/>
    <n v="0"/>
    <n v="0"/>
    <n v="0"/>
    <n v="48.58"/>
    <n v="0"/>
  </r>
  <r>
    <x v="11"/>
    <x v="3"/>
    <x v="0"/>
    <s v="4335101"/>
    <n v="721870"/>
    <s v="Supplies-Environmental Services"/>
    <s v="Outpatient OT"/>
    <x v="0"/>
    <m/>
    <n v="41.72"/>
    <n v="36.630000000000003"/>
    <n v="34.409999999999997"/>
    <n v="71.150000000000006"/>
    <n v="16.28"/>
    <n v="8.14"/>
    <n v="29.14"/>
    <n v="12.21"/>
    <n v="20.350000000000001"/>
    <n v="10.82"/>
    <n v="8.0399999999999991"/>
    <n v="5.36"/>
    <n v="294.25"/>
    <n v="2.6799999999999988"/>
  </r>
  <r>
    <x v="11"/>
    <x v="3"/>
    <x v="0"/>
    <s v="4335101"/>
    <n v="721880"/>
    <s v="Supplies-Linen"/>
    <s v="Outpatient OT"/>
    <x v="0"/>
    <m/>
    <n v="0"/>
    <n v="0"/>
    <n v="0"/>
    <n v="0"/>
    <n v="0"/>
    <n v="0"/>
    <n v="0"/>
    <n v="0"/>
    <n v="12.84"/>
    <n v="0"/>
    <n v="0"/>
    <n v="0"/>
    <n v="12.84"/>
    <n v="0"/>
  </r>
  <r>
    <x v="11"/>
    <x v="3"/>
    <x v="0"/>
    <s v="4335101"/>
    <n v="721910"/>
    <s v="Supplies-Small Equipment"/>
    <s v="Outpatient OT"/>
    <x v="0"/>
    <m/>
    <n v="0"/>
    <n v="0"/>
    <n v="8.07"/>
    <n v="0"/>
    <n v="375.74"/>
    <n v="31.53"/>
    <n v="0"/>
    <n v="0"/>
    <n v="1.68"/>
    <n v="16.32"/>
    <n v="171.71"/>
    <n v="-53.88"/>
    <n v="551.17000000000007"/>
    <n v="225.59"/>
  </r>
  <r>
    <x v="11"/>
    <x v="3"/>
    <x v="0"/>
    <s v="4335101"/>
    <n v="721980"/>
    <s v="Supplies-Other"/>
    <s v="Outpatient OT"/>
    <x v="0"/>
    <m/>
    <n v="2"/>
    <n v="374.34"/>
    <n v="0"/>
    <n v="1.35"/>
    <n v="0"/>
    <n v="379.85"/>
    <n v="-374.34"/>
    <n v="153.69"/>
    <n v="32.01"/>
    <n v="0"/>
    <n v="40.520000000000003"/>
    <n v="0"/>
    <n v="609.41999999999996"/>
    <n v="40.520000000000003"/>
  </r>
  <r>
    <x v="11"/>
    <x v="3"/>
    <x v="0"/>
    <s v="4335101"/>
    <n v="722000"/>
    <s v="Supplies-Freight Expense"/>
    <s v="Outpatient OT"/>
    <x v="0"/>
    <m/>
    <n v="0"/>
    <n v="18.170000000000002"/>
    <n v="14.11"/>
    <n v="10.95"/>
    <n v="0"/>
    <n v="0"/>
    <n v="0"/>
    <n v="0.03"/>
    <n v="0"/>
    <n v="0"/>
    <n v="8.82"/>
    <n v="9.52"/>
    <n v="61.600000000000009"/>
    <n v="-0.69999999999999929"/>
  </r>
  <r>
    <x v="15"/>
    <x v="3"/>
    <x v="0"/>
    <s v="4335101"/>
    <n v="731060"/>
    <s v="Pagers"/>
    <s v="Outpatient OT"/>
    <x v="0"/>
    <n v="1002"/>
    <n v="55.12"/>
    <n v="44.1"/>
    <n v="44.1"/>
    <n v="44.12"/>
    <n v="44.12"/>
    <n v="0"/>
    <n v="109.5"/>
    <n v="43.24"/>
    <n v="43.24"/>
    <n v="43.24"/>
    <n v="43.24"/>
    <n v="43.24"/>
    <n v="557.26"/>
    <n v="0"/>
  </r>
  <r>
    <x v="13"/>
    <x v="3"/>
    <x v="0"/>
    <s v="4335101"/>
    <n v="735070"/>
    <s v="Depreciation-Movable Equipment"/>
    <s v="Outpatient OT"/>
    <x v="0"/>
    <m/>
    <n v="412.06"/>
    <n v="412.07"/>
    <n v="412.06"/>
    <n v="412.07"/>
    <n v="412.06"/>
    <n v="367.6"/>
    <n v="367.61"/>
    <n v="367.6"/>
    <n v="367.61"/>
    <n v="367.6"/>
    <n v="367.61"/>
    <n v="367.6"/>
    <n v="4633.55"/>
    <n v="9.9999999999909051E-3"/>
  </r>
  <r>
    <x v="0"/>
    <x v="3"/>
    <x v="0"/>
    <s v="4335101"/>
    <n v="740020"/>
    <s v="Education-Registration Fees"/>
    <s v="Outpatient OT"/>
    <x v="0"/>
    <m/>
    <n v="0"/>
    <n v="0"/>
    <n v="0"/>
    <n v="0"/>
    <n v="0"/>
    <n v="409.99"/>
    <n v="0"/>
    <n v="0"/>
    <n v="488"/>
    <n v="0"/>
    <n v="1183.3399999999999"/>
    <n v="1540"/>
    <n v="3621.33"/>
    <n v="-356.66000000000008"/>
  </r>
  <r>
    <x v="0"/>
    <x v="3"/>
    <x v="0"/>
    <s v="4335101"/>
    <n v="749510"/>
    <s v="Miscellaneous Expenses"/>
    <s v="Outpatient OT"/>
    <x v="0"/>
    <m/>
    <n v="137.09"/>
    <n v="0.01"/>
    <n v="0"/>
    <n v="964.01"/>
    <n v="60"/>
    <n v="97.37"/>
    <n v="0"/>
    <n v="0"/>
    <n v="36.369999999999997"/>
    <n v="0"/>
    <n v="55.1"/>
    <n v="30.36"/>
    <n v="1380.3099999999997"/>
    <n v="24.740000000000002"/>
  </r>
  <r>
    <x v="18"/>
    <x v="6"/>
    <x v="0"/>
    <s v="4335107"/>
    <n v="400010"/>
    <s v="Acute I/P Svcs Rev--Medicare"/>
    <s v="OT-Silverdale OP"/>
    <x v="0"/>
    <n v="1100"/>
    <n v="-25127.08"/>
    <n v="-35578.92"/>
    <n v="-38831.949999999997"/>
    <n v="-44766.65"/>
    <n v="-28771.67"/>
    <n v="-37507.22"/>
    <n v="-50172.69"/>
    <n v="-28428.74"/>
    <n v="-40070.65"/>
    <n v="-56075.79"/>
    <n v="-54763.92"/>
    <n v="-45191.22"/>
    <n v="-485286.5"/>
    <n v="-9572.6999999999971"/>
  </r>
  <r>
    <x v="18"/>
    <x v="6"/>
    <x v="0"/>
    <s v="4335107"/>
    <n v="400010"/>
    <s v="Acute I/P Svcs Rev--Medicaid"/>
    <s v="OT-Silverdale OP"/>
    <x v="0"/>
    <n v="1200"/>
    <n v="-4483.6400000000003"/>
    <n v="-520.12"/>
    <n v="-2390.5100000000002"/>
    <n v="-3535"/>
    <n v="-837.11"/>
    <n v="-861.44"/>
    <n v="-3823.77"/>
    <n v="-735.53"/>
    <n v="-2595.77"/>
    <n v="-2411.58"/>
    <n v="-2406.38"/>
    <n v="-7571.98"/>
    <n v="-32172.83"/>
    <n v="5165.5999999999995"/>
  </r>
  <r>
    <x v="18"/>
    <x v="6"/>
    <x v="0"/>
    <s v="4335107"/>
    <n v="400010"/>
    <s v="Acute I/P Svcs Rev--Comm Insurance"/>
    <s v="OT-Silverdale OP"/>
    <x v="0"/>
    <n v="1300"/>
    <n v="1530.24"/>
    <n v="-910.61"/>
    <n v="0"/>
    <n v="910.61"/>
    <n v="-1622.18"/>
    <n v="-719.16"/>
    <n v="-499.95"/>
    <n v="-1521.69"/>
    <n v="-3885.75"/>
    <n v="1521.69"/>
    <n v="0"/>
    <n v="-1079.79"/>
    <n v="-6276.5899999999992"/>
    <n v="1079.79"/>
  </r>
  <r>
    <x v="18"/>
    <x v="6"/>
    <x v="0"/>
    <s v="4335107"/>
    <n v="400010"/>
    <s v="Acute I/P Svcs Rev--BCBS Comm"/>
    <s v="OT-Silverdale OP"/>
    <x v="0"/>
    <n v="1301"/>
    <n v="-2675.07"/>
    <n v="-5696.57"/>
    <n v="-3966.05"/>
    <n v="-1428.2"/>
    <n v="-8797.99"/>
    <n v="-2338.81"/>
    <n v="-94.23"/>
    <n v="-4042.79"/>
    <n v="-5909.13"/>
    <n v="-4114.17"/>
    <n v="-7045.94"/>
    <n v="-151.76"/>
    <n v="-46260.71"/>
    <n v="-6894.1799999999994"/>
  </r>
  <r>
    <x v="18"/>
    <x v="6"/>
    <x v="0"/>
    <s v="4335107"/>
    <n v="400010"/>
    <s v="Acute I/P Svcs Rev--Managed Care"/>
    <s v="OT-Silverdale OP"/>
    <x v="0"/>
    <n v="1400"/>
    <n v="-7628.4"/>
    <n v="-2951.04"/>
    <n v="-6263.79"/>
    <n v="-5738.1"/>
    <n v="-5720.39"/>
    <n v="-9407.84"/>
    <n v="-9018.98"/>
    <n v="-6632.39"/>
    <n v="-4620.7700000000004"/>
    <n v="-2525.79"/>
    <n v="-4831.93"/>
    <n v="-1815.32"/>
    <n v="-67154.740000000005"/>
    <n v="-3016.6100000000006"/>
  </r>
  <r>
    <x v="18"/>
    <x v="6"/>
    <x v="0"/>
    <s v="4335107"/>
    <n v="400010"/>
    <s v="Acute I/P Svcs Rev--Other"/>
    <s v="OT-Silverdale OP"/>
    <x v="0"/>
    <n v="1700"/>
    <n v="-2287.62"/>
    <n v="-5662.63"/>
    <n v="-2481.09"/>
    <n v="-3549.21"/>
    <n v="-7946.36"/>
    <n v="-4525.22"/>
    <n v="-1246.8699999999999"/>
    <n v="-2368.83"/>
    <n v="-4742.78"/>
    <n v="-3045.98"/>
    <n v="-426.73"/>
    <n v="-3656.21"/>
    <n v="-41939.530000000006"/>
    <n v="3229.48"/>
  </r>
  <r>
    <x v="19"/>
    <x v="6"/>
    <x v="0"/>
    <s v="4335107"/>
    <n v="400020"/>
    <s v="O/P Care Svcs Rev--Medicare"/>
    <s v="OT-Silverdale OP"/>
    <x v="0"/>
    <n v="1100"/>
    <n v="-25205.51"/>
    <n v="-38246.06"/>
    <n v="-38455.53"/>
    <n v="-49115.56"/>
    <n v="-39623.67"/>
    <n v="-24326.18"/>
    <n v="-48324.11"/>
    <n v="-21655.23"/>
    <n v="-36618.36"/>
    <n v="-34721"/>
    <n v="-44504.74"/>
    <n v="-35625.79"/>
    <n v="-436421.73999999987"/>
    <n v="-8878.9499999999971"/>
  </r>
  <r>
    <x v="19"/>
    <x v="6"/>
    <x v="0"/>
    <s v="4335107"/>
    <n v="400020"/>
    <s v="O/P Care Svcs Rev--Medicaid"/>
    <s v="OT-Silverdale OP"/>
    <x v="0"/>
    <n v="1200"/>
    <n v="-23667.49"/>
    <n v="-24237.39"/>
    <n v="-15020.81"/>
    <n v="-18631.14"/>
    <n v="-12137.87"/>
    <n v="-14824.04"/>
    <n v="-20733.16"/>
    <n v="-14654.8"/>
    <n v="-26790.720000000001"/>
    <n v="-16468.650000000001"/>
    <n v="-20481"/>
    <n v="-12720.85"/>
    <n v="-220367.91999999998"/>
    <n v="-7760.15"/>
  </r>
  <r>
    <x v="19"/>
    <x v="6"/>
    <x v="0"/>
    <s v="4335107"/>
    <n v="400020"/>
    <s v="O/P Care Svcs Rev--Comm Insurance"/>
    <s v="OT-Silverdale OP"/>
    <x v="0"/>
    <n v="1300"/>
    <n v="-7259.77"/>
    <n v="-564.70000000000005"/>
    <n v="-3083.85"/>
    <n v="-6702.07"/>
    <n v="9077.0499999999993"/>
    <n v="2330.7199999999998"/>
    <n v="-1617.29"/>
    <n v="-4830.51"/>
    <n v="469.5"/>
    <n v="710.68"/>
    <n v="-3600.87"/>
    <n v="-857.35"/>
    <n v="-15928.460000000001"/>
    <n v="-2743.52"/>
  </r>
  <r>
    <x v="19"/>
    <x v="6"/>
    <x v="0"/>
    <s v="4335107"/>
    <n v="400020"/>
    <s v="O/P Care Svcs Rev--BCBS Comm"/>
    <s v="OT-Silverdale OP"/>
    <x v="0"/>
    <n v="1301"/>
    <n v="-8481.5300000000007"/>
    <n v="-7675.77"/>
    <n v="-5347.62"/>
    <n v="-10845.49"/>
    <n v="-11059.49"/>
    <n v="-13080.68"/>
    <n v="-13608.32"/>
    <n v="-8624.08"/>
    <n v="-24584.880000000001"/>
    <n v="-14292.44"/>
    <n v="-23390.47"/>
    <n v="-18813.919999999998"/>
    <n v="-159804.69"/>
    <n v="-4576.5500000000029"/>
  </r>
  <r>
    <x v="19"/>
    <x v="6"/>
    <x v="0"/>
    <s v="4335107"/>
    <n v="400020"/>
    <s v="O/P Care Svcs Rev--Managed Care"/>
    <s v="OT-Silverdale OP"/>
    <x v="0"/>
    <n v="1400"/>
    <n v="-10544.67"/>
    <n v="-3353.24"/>
    <n v="-98.53"/>
    <n v="-5197.88"/>
    <n v="-11464.42"/>
    <n v="-13221.73"/>
    <n v="-14966.57"/>
    <n v="-8996.5499999999993"/>
    <n v="-15668.13"/>
    <n v="-16331.58"/>
    <n v="-17264.91"/>
    <n v="-10877.62"/>
    <n v="-127985.83"/>
    <n v="-6387.2899999999991"/>
  </r>
  <r>
    <x v="19"/>
    <x v="6"/>
    <x v="0"/>
    <s v="4335107"/>
    <n v="400020"/>
    <s v="O/P Care Svcs Rev--Self Pay"/>
    <s v="OT-Silverdale OP"/>
    <x v="0"/>
    <n v="1500"/>
    <n v="0"/>
    <n v="0"/>
    <n v="0"/>
    <n v="0"/>
    <n v="-15260.6"/>
    <n v="-3998.84"/>
    <n v="2165.38"/>
    <n v="0"/>
    <n v="-4584.78"/>
    <n v="0"/>
    <n v="0"/>
    <n v="-4095.98"/>
    <n v="-25774.82"/>
    <n v="4095.98"/>
  </r>
  <r>
    <x v="19"/>
    <x v="6"/>
    <x v="0"/>
    <s v="4335107"/>
    <n v="400020"/>
    <s v="O/P Care Svcs Rev--Other"/>
    <s v="OT-Silverdale OP"/>
    <x v="0"/>
    <n v="1700"/>
    <n v="-20552.62"/>
    <n v="-25085.8"/>
    <n v="-16973.560000000001"/>
    <n v="-15836.16"/>
    <n v="-16664.169999999998"/>
    <n v="-21468.59"/>
    <n v="-31116.82"/>
    <n v="-20498.91"/>
    <n v="-13787.16"/>
    <n v="-13185.42"/>
    <n v="-15545.46"/>
    <n v="-13692.48"/>
    <n v="-224407.15000000002"/>
    <n v="-1852.9799999999996"/>
  </r>
  <r>
    <x v="5"/>
    <x v="6"/>
    <x v="0"/>
    <s v="4335107"/>
    <n v="700032"/>
    <s v="Salaries-Other Pat Care Providers-Productive"/>
    <s v="OT-Silverdale OP"/>
    <x v="0"/>
    <m/>
    <n v="16804.169999999998"/>
    <n v="16456.95"/>
    <n v="14391.2"/>
    <n v="18298.98"/>
    <n v="19785.62"/>
    <n v="16379.6"/>
    <n v="20540.45"/>
    <n v="13794.97"/>
    <n v="20965.5"/>
    <n v="15787.54"/>
    <n v="24412.23"/>
    <n v="17847.080000000002"/>
    <n v="215464.28999999998"/>
    <n v="6565.1499999999978"/>
  </r>
  <r>
    <x v="5"/>
    <x v="6"/>
    <x v="0"/>
    <s v="4335107"/>
    <n v="700032"/>
    <s v="Salaries-Other Pat Care Providers-OT"/>
    <s v="OT-Silverdale OP"/>
    <x v="0"/>
    <n v="1000"/>
    <n v="36.82"/>
    <n v="26.29"/>
    <n v="28.94"/>
    <n v="0"/>
    <n v="0"/>
    <n v="0"/>
    <n v="0"/>
    <n v="0"/>
    <n v="29.69"/>
    <n v="8.23"/>
    <n v="18.899999999999999"/>
    <n v="0"/>
    <n v="148.87"/>
    <n v="18.899999999999999"/>
  </r>
  <r>
    <x v="5"/>
    <x v="6"/>
    <x v="0"/>
    <s v="4335107"/>
    <n v="700032"/>
    <s v="Salaries-Other Pat Care Providers-Other"/>
    <s v="OT-Silverdale OP"/>
    <x v="0"/>
    <n v="2000"/>
    <n v="665.96"/>
    <n v="559.29"/>
    <n v="575.58000000000004"/>
    <n v="1151.07"/>
    <n v="692.8"/>
    <n v="698.65"/>
    <n v="1084.19"/>
    <n v="1025.04"/>
    <n v="1246.81"/>
    <n v="1427.69"/>
    <n v="991.19"/>
    <n v="963.71"/>
    <n v="11081.98"/>
    <n v="27.480000000000018"/>
  </r>
  <r>
    <x v="5"/>
    <x v="6"/>
    <x v="0"/>
    <s v="4335107"/>
    <n v="700072"/>
    <s v="Salaries-Other Pat Care Providers-Non-productive"/>
    <s v="OT-Silverdale OP"/>
    <x v="0"/>
    <m/>
    <n v="2833.07"/>
    <n v="3957.97"/>
    <n v="5522.46"/>
    <n v="-1141.24"/>
    <n v="641.03"/>
    <n v="3425.53"/>
    <n v="1276.8900000000001"/>
    <n v="4243.45"/>
    <n v="2599.48"/>
    <n v="6776.33"/>
    <n v="363.04"/>
    <n v="3060.87"/>
    <n v="33558.880000000005"/>
    <n v="-2697.83"/>
  </r>
  <r>
    <x v="5"/>
    <x v="6"/>
    <x v="0"/>
    <s v="4335107"/>
    <n v="700072"/>
    <s v="Salaries-Other Pat Care Providers-NonProd-Other"/>
    <s v="OT-Silverdale OP"/>
    <x v="0"/>
    <n v="2000"/>
    <n v="23.48"/>
    <n v="5.53"/>
    <n v="0"/>
    <n v="77.42"/>
    <n v="13.77"/>
    <n v="-8.57"/>
    <n v="11.62"/>
    <n v="12.81"/>
    <n v="0"/>
    <n v="34.35"/>
    <n v="44.36"/>
    <n v="-18.59"/>
    <n v="196.17999999999998"/>
    <n v="62.95"/>
  </r>
  <r>
    <x v="5"/>
    <x v="6"/>
    <x v="0"/>
    <s v="4335107"/>
    <n v="700084"/>
    <s v="Accrued PTO"/>
    <s v="OT-Silverdale OP"/>
    <x v="0"/>
    <m/>
    <n v="321.74"/>
    <n v="-1915.06"/>
    <n v="-1371.22"/>
    <n v="2132.91"/>
    <n v="1613.72"/>
    <n v="434.29"/>
    <n v="628.27"/>
    <n v="-1597.52"/>
    <n v="290.27999999999997"/>
    <n v="-255.92"/>
    <n v="2770.65"/>
    <n v="457.7"/>
    <n v="3509.8399999999997"/>
    <n v="2312.9500000000003"/>
  </r>
  <r>
    <x v="6"/>
    <x v="6"/>
    <x v="0"/>
    <s v="4335107"/>
    <n v="713010"/>
    <s v="Benefits-FICA/Medicare"/>
    <s v="OT-Silverdale OP"/>
    <x v="0"/>
    <m/>
    <n v="1509.8"/>
    <n v="1550.45"/>
    <n v="1518.66"/>
    <n v="1365.64"/>
    <n v="1564.2"/>
    <n v="1519.41"/>
    <n v="1697.31"/>
    <n v="1416.81"/>
    <n v="1847.85"/>
    <n v="1774.93"/>
    <n v="1910.53"/>
    <n v="1626.19"/>
    <n v="19301.78"/>
    <n v="284.33999999999992"/>
  </r>
  <r>
    <x v="6"/>
    <x v="6"/>
    <x v="0"/>
    <s v="4335107"/>
    <n v="713090"/>
    <s v="Benefits-Allocated Amounts"/>
    <s v="OT-Silverdale OP"/>
    <x v="0"/>
    <m/>
    <n v="2815.3"/>
    <n v="2574.41"/>
    <n v="2841.35"/>
    <n v="2430.65"/>
    <n v="3206.24"/>
    <n v="2890.8"/>
    <n v="3199.39"/>
    <n v="2781.6"/>
    <n v="2855.91"/>
    <n v="3649.71"/>
    <n v="3764.45"/>
    <n v="3605.49"/>
    <n v="36615.299999999996"/>
    <n v="158.96000000000004"/>
  </r>
  <r>
    <x v="7"/>
    <x v="6"/>
    <x v="0"/>
    <s v="4335107"/>
    <n v="718060"/>
    <s v="Contract Services-CHI RRC Fees"/>
    <s v="OT-Silverdale OP"/>
    <x v="0"/>
    <m/>
    <n v="3924"/>
    <n v="3924"/>
    <n v="3924"/>
    <n v="3924"/>
    <n v="3924"/>
    <n v="3924"/>
    <n v="3924"/>
    <n v="3924"/>
    <n v="3924"/>
    <n v="3924"/>
    <n v="3924"/>
    <n v="3924"/>
    <n v="47088"/>
    <n v="0"/>
  </r>
  <r>
    <x v="11"/>
    <x v="6"/>
    <x v="0"/>
    <s v="4335107"/>
    <n v="721010"/>
    <s v="Supplies-Medical - Billable"/>
    <s v="OT-Silverdale OP"/>
    <x v="0"/>
    <m/>
    <n v="30.87"/>
    <n v="0"/>
    <n v="19.420000000000002"/>
    <n v="47.16"/>
    <n v="31.08"/>
    <n v="446.55"/>
    <n v="-62.63"/>
    <n v="23.9"/>
    <n v="100.18"/>
    <n v="226.34"/>
    <n v="399.53"/>
    <n v="-12.62"/>
    <n v="1249.7800000000002"/>
    <n v="412.15"/>
  </r>
  <r>
    <x v="11"/>
    <x v="6"/>
    <x v="0"/>
    <s v="4335107"/>
    <n v="721010"/>
    <s v="Patient Monitoring"/>
    <s v="OT-Silverdale OP"/>
    <x v="0"/>
    <n v="1000"/>
    <n v="0"/>
    <n v="0"/>
    <n v="0"/>
    <n v="0"/>
    <n v="113.27"/>
    <n v="0"/>
    <n v="-3.92"/>
    <n v="0"/>
    <n v="0"/>
    <n v="0"/>
    <n v="0"/>
    <n v="0"/>
    <n v="109.35"/>
    <n v="0"/>
  </r>
  <r>
    <x v="11"/>
    <x v="6"/>
    <x v="0"/>
    <s v="4335107"/>
    <n v="721020"/>
    <s v="Supplies-Surgical - Billable"/>
    <s v="OT-Silverdale OP"/>
    <x v="0"/>
    <m/>
    <n v="0"/>
    <n v="0"/>
    <n v="0"/>
    <n v="0"/>
    <n v="16.97"/>
    <n v="0"/>
    <n v="1.89"/>
    <n v="0"/>
    <n v="0"/>
    <n v="0"/>
    <n v="0"/>
    <n v="0"/>
    <n v="18.86"/>
    <n v="0"/>
  </r>
  <r>
    <x v="11"/>
    <x v="6"/>
    <x v="0"/>
    <s v="4335107"/>
    <n v="721410"/>
    <s v="Supplies-Medical - Nonbillable"/>
    <s v="OT-Silverdale OP"/>
    <x v="0"/>
    <m/>
    <n v="122.55"/>
    <n v="0"/>
    <n v="172.66"/>
    <n v="108.01"/>
    <n v="12.22"/>
    <n v="57.51"/>
    <n v="-40.85"/>
    <n v="168"/>
    <n v="26.89"/>
    <n v="296.10000000000002"/>
    <n v="62.96"/>
    <n v="0"/>
    <n v="986.05"/>
    <n v="62.96"/>
  </r>
  <r>
    <x v="11"/>
    <x v="6"/>
    <x v="0"/>
    <s v="4335107"/>
    <n v="721810"/>
    <s v="Supplies-Dietary/Cafeteria"/>
    <s v="OT-Silverdale OP"/>
    <x v="0"/>
    <m/>
    <n v="0"/>
    <n v="0"/>
    <n v="0"/>
    <n v="0"/>
    <n v="0"/>
    <n v="0"/>
    <n v="0"/>
    <n v="0"/>
    <n v="0"/>
    <n v="0"/>
    <n v="8"/>
    <n v="0"/>
    <n v="8"/>
    <n v="8"/>
  </r>
  <r>
    <x v="11"/>
    <x v="6"/>
    <x v="0"/>
    <s v="4335107"/>
    <n v="721830"/>
    <s v="Supplies-Office"/>
    <s v="OT-Silverdale OP"/>
    <x v="0"/>
    <m/>
    <n v="0"/>
    <n v="0"/>
    <n v="0"/>
    <n v="0"/>
    <n v="28.79"/>
    <n v="0"/>
    <n v="57.58"/>
    <n v="0"/>
    <n v="0"/>
    <n v="0"/>
    <n v="0"/>
    <n v="0"/>
    <n v="86.37"/>
    <n v="0"/>
  </r>
  <r>
    <x v="11"/>
    <x v="6"/>
    <x v="0"/>
    <s v="4335107"/>
    <n v="721835"/>
    <s v="Supplies-Forms"/>
    <s v="OT-Silverdale OP"/>
    <x v="0"/>
    <m/>
    <n v="0"/>
    <n v="0"/>
    <n v="0"/>
    <n v="0"/>
    <n v="0"/>
    <n v="0"/>
    <n v="0"/>
    <n v="0"/>
    <n v="370.6"/>
    <n v="91.95"/>
    <n v="0"/>
    <n v="0"/>
    <n v="462.55"/>
    <n v="0"/>
  </r>
  <r>
    <x v="11"/>
    <x v="6"/>
    <x v="0"/>
    <s v="4335107"/>
    <n v="721910"/>
    <s v="Supplies-Small Equipment"/>
    <s v="OT-Silverdale OP"/>
    <x v="0"/>
    <m/>
    <n v="0"/>
    <n v="6.33"/>
    <n v="0"/>
    <n v="0"/>
    <n v="0"/>
    <n v="0"/>
    <n v="0"/>
    <n v="0"/>
    <n v="4.08"/>
    <n v="63.91"/>
    <n v="0"/>
    <n v="-4.2300000000000004"/>
    <n v="70.089999999999989"/>
    <n v="4.2300000000000004"/>
  </r>
  <r>
    <x v="11"/>
    <x v="6"/>
    <x v="0"/>
    <s v="4335107"/>
    <n v="721980"/>
    <s v="Supplies-Other"/>
    <s v="OT-Silverdale OP"/>
    <x v="0"/>
    <m/>
    <n v="705.69"/>
    <n v="9.19"/>
    <n v="15.01"/>
    <n v="-8.67"/>
    <n v="0"/>
    <n v="0"/>
    <n v="0"/>
    <n v="34.119999999999997"/>
    <n v="-348.65"/>
    <n v="4.18"/>
    <n v="0"/>
    <n v="-106.72"/>
    <n v="304.1500000000002"/>
    <n v="106.72"/>
  </r>
  <r>
    <x v="11"/>
    <x v="6"/>
    <x v="0"/>
    <s v="4335107"/>
    <n v="722000"/>
    <s v="Supplies-Freight Expense"/>
    <s v="OT-Silverdale OP"/>
    <x v="0"/>
    <m/>
    <n v="0"/>
    <n v="0"/>
    <n v="0"/>
    <n v="18.63"/>
    <n v="0"/>
    <n v="0"/>
    <n v="0"/>
    <n v="0"/>
    <n v="0"/>
    <n v="11.8"/>
    <n v="0"/>
    <n v="31.45"/>
    <n v="61.879999999999995"/>
    <n v="-31.45"/>
  </r>
  <r>
    <x v="12"/>
    <x v="6"/>
    <x v="0"/>
    <s v="4335107"/>
    <n v="730010"/>
    <s v="Rental and Leases-Building (DO NOT USE)"/>
    <s v="OT-Silverdale OP"/>
    <x v="0"/>
    <m/>
    <n v="7520.13"/>
    <n v="7520.13"/>
    <n v="7520.13"/>
    <n v="7520.13"/>
    <n v="7520.13"/>
    <n v="-4863.8"/>
    <n v="6014.25"/>
    <n v="6014.25"/>
    <n v="6014.25"/>
    <n v="6012.03"/>
    <n v="6012.03"/>
    <n v="0"/>
    <n v="62803.66"/>
    <n v="6012.03"/>
  </r>
  <r>
    <x v="12"/>
    <x v="6"/>
    <x v="0"/>
    <s v="4335107"/>
    <n v="730010"/>
    <s v="Rental-Common Area Maint (DO NOT USE)"/>
    <s v="OT-Silverdale OP"/>
    <x v="0"/>
    <n v="2200"/>
    <n v="0"/>
    <n v="0"/>
    <n v="0"/>
    <n v="0"/>
    <n v="0"/>
    <n v="12579.42"/>
    <n v="1701.37"/>
    <n v="1701.37"/>
    <n v="1701.37"/>
    <n v="1907.36"/>
    <n v="1907.36"/>
    <n v="0"/>
    <n v="21498.25"/>
    <n v="1907.36"/>
  </r>
  <r>
    <x v="12"/>
    <x v="6"/>
    <x v="0"/>
    <s v="4335107"/>
    <n v="730040"/>
    <s v="LT Lease-Real Estate"/>
    <s v="OT-Silverdale OP"/>
    <x v="0"/>
    <m/>
    <n v="0"/>
    <n v="0"/>
    <n v="0"/>
    <n v="0"/>
    <n v="0"/>
    <n v="0"/>
    <n v="0"/>
    <n v="0"/>
    <n v="0"/>
    <n v="0"/>
    <n v="0"/>
    <n v="7437.34"/>
    <n v="7437.34"/>
    <n v="-7437.34"/>
  </r>
  <r>
    <x v="16"/>
    <x v="6"/>
    <x v="0"/>
    <s v="4335107"/>
    <n v="732030"/>
    <s v="Repairs&amp;Maintenance-Bldg Routine"/>
    <s v="OT-Silverdale OP"/>
    <x v="0"/>
    <n v="2300"/>
    <n v="0"/>
    <n v="0"/>
    <n v="0"/>
    <n v="0"/>
    <n v="0"/>
    <n v="0"/>
    <n v="0"/>
    <n v="0"/>
    <n v="0"/>
    <n v="0"/>
    <n v="0"/>
    <n v="482.05"/>
    <n v="482.05"/>
    <n v="-482.05"/>
  </r>
  <r>
    <x v="0"/>
    <x v="6"/>
    <x v="0"/>
    <s v="4335107"/>
    <n v="740020"/>
    <s v="Education-Registration Fees"/>
    <s v="OT-Silverdale OP"/>
    <x v="0"/>
    <m/>
    <n v="0"/>
    <n v="0"/>
    <n v="0"/>
    <n v="0"/>
    <n v="0"/>
    <n v="0"/>
    <n v="0"/>
    <n v="440"/>
    <n v="0"/>
    <n v="0"/>
    <n v="475.56"/>
    <n v="0"/>
    <n v="915.56"/>
    <n v="475.56"/>
  </r>
  <r>
    <x v="0"/>
    <x v="6"/>
    <x v="0"/>
    <s v="4335107"/>
    <n v="743030"/>
    <s v="Subscriptions--Institutional"/>
    <s v="OT-Silverdale OP"/>
    <x v="0"/>
    <m/>
    <n v="0"/>
    <n v="572.25"/>
    <n v="0"/>
    <n v="0"/>
    <n v="0"/>
    <n v="0"/>
    <n v="0"/>
    <n v="0"/>
    <n v="0"/>
    <n v="0"/>
    <n v="0"/>
    <n v="0"/>
    <n v="572.25"/>
    <n v="0"/>
  </r>
  <r>
    <x v="0"/>
    <x v="6"/>
    <x v="0"/>
    <s v="4335107"/>
    <n v="749510"/>
    <s v="Miscellaneous Expenses"/>
    <s v="OT-Silverdale OP"/>
    <x v="0"/>
    <m/>
    <n v="0"/>
    <n v="0"/>
    <n v="0"/>
    <n v="0"/>
    <n v="0"/>
    <n v="0"/>
    <n v="0"/>
    <n v="0"/>
    <n v="0"/>
    <n v="0"/>
    <n v="0"/>
    <n v="440"/>
    <n v="440"/>
    <n v="-440"/>
  </r>
  <r>
    <x v="0"/>
    <x v="6"/>
    <x v="0"/>
    <s v="4335107"/>
    <n v="749510"/>
    <s v="RICE Rewards"/>
    <s v="OT-Silverdale OP"/>
    <x v="0"/>
    <n v="5100"/>
    <n v="0"/>
    <n v="0"/>
    <n v="0"/>
    <n v="0"/>
    <n v="0"/>
    <n v="0"/>
    <n v="0"/>
    <n v="0"/>
    <n v="0"/>
    <n v="0"/>
    <n v="0"/>
    <n v="112.26"/>
    <n v="112.26"/>
    <n v="-112.26"/>
  </r>
  <r>
    <x v="19"/>
    <x v="6"/>
    <x v="0"/>
    <s v="4336107"/>
    <n v="400020"/>
    <s v="O/P Care Svcs Rev--Medicare"/>
    <s v="Ped OT-Silverdale"/>
    <x v="0"/>
    <n v="1100"/>
    <n v="-136.31"/>
    <n v="0"/>
    <n v="0"/>
    <n v="0"/>
    <n v="0"/>
    <n v="0"/>
    <n v="0"/>
    <n v="-346.35"/>
    <n v="346.35"/>
    <n v="0"/>
    <n v="0"/>
    <n v="0"/>
    <n v="-136.31"/>
    <n v="0"/>
  </r>
  <r>
    <x v="19"/>
    <x v="6"/>
    <x v="0"/>
    <s v="4336107"/>
    <n v="400020"/>
    <s v="O/P Care Svcs Rev--Medicaid"/>
    <s v="Ped OT-Silverdale"/>
    <x v="0"/>
    <n v="1200"/>
    <n v="-83109.820000000007"/>
    <n v="-100077.58"/>
    <n v="-78126.649999999994"/>
    <n v="-97097.44"/>
    <n v="-99398.46"/>
    <n v="-71100.160000000003"/>
    <n v="-79111"/>
    <n v="-70469.84"/>
    <n v="-98078.59"/>
    <n v="-111815.49"/>
    <n v="-93296.73"/>
    <n v="-67579.64"/>
    <n v="-1049261.3999999999"/>
    <n v="-25717.089999999997"/>
  </r>
  <r>
    <x v="19"/>
    <x v="6"/>
    <x v="0"/>
    <s v="4336107"/>
    <n v="400020"/>
    <s v="O/P Care Svcs Rev--Comm Insurance"/>
    <s v="Ped OT-Silverdale"/>
    <x v="0"/>
    <n v="1300"/>
    <n v="0"/>
    <n v="0"/>
    <n v="0"/>
    <n v="0"/>
    <n v="-835.7"/>
    <n v="-998.88"/>
    <n v="-998.88"/>
    <n v="-2403.9899999999998"/>
    <n v="-3600.87"/>
    <n v="-2057.64"/>
    <n v="-3600.87"/>
    <n v="-3086.46"/>
    <n v="-17583.289999999997"/>
    <n v="-514.40999999999985"/>
  </r>
  <r>
    <x v="19"/>
    <x v="6"/>
    <x v="0"/>
    <s v="4336107"/>
    <n v="400020"/>
    <s v="O/P Care Svcs Rev--BCBS Comm"/>
    <s v="Ped OT-Silverdale"/>
    <x v="0"/>
    <n v="1301"/>
    <n v="-10138.09"/>
    <n v="-10824.5"/>
    <n v="-11388.63"/>
    <n v="-13318.4"/>
    <n v="-10661.32"/>
    <n v="-11487.12"/>
    <n v="-15489.24"/>
    <n v="-17012.27"/>
    <n v="-18697.05"/>
    <n v="-17489.939999999999"/>
    <n v="-19382.93"/>
    <n v="-13899.3"/>
    <n v="-169788.78999999998"/>
    <n v="-5483.630000000001"/>
  </r>
  <r>
    <x v="19"/>
    <x v="6"/>
    <x v="0"/>
    <s v="4336107"/>
    <n v="400020"/>
    <s v="O/P Care Svcs Rev--Managed Care"/>
    <s v="Ped OT-Silverdale"/>
    <x v="0"/>
    <n v="1400"/>
    <n v="-12087.98"/>
    <n v="-12966.7"/>
    <n v="-10249.11"/>
    <n v="-16817.78"/>
    <n v="-15156.28"/>
    <n v="-11986.56"/>
    <n v="-18978.72"/>
    <n v="-7202.23"/>
    <n v="-12349.25"/>
    <n v="-14921.3"/>
    <n v="-14924.71"/>
    <n v="-16464.53"/>
    <n v="-164105.15"/>
    <n v="1539.8199999999997"/>
  </r>
  <r>
    <x v="19"/>
    <x v="6"/>
    <x v="0"/>
    <s v="4336107"/>
    <n v="400020"/>
    <s v="O/P Care Svcs Rev--Self Pay"/>
    <s v="Ped OT-Silverdale"/>
    <x v="0"/>
    <n v="1500"/>
    <n v="0"/>
    <n v="-1335.14"/>
    <n v="1335.14"/>
    <n v="-1335.14"/>
    <n v="0"/>
    <n v="0"/>
    <n v="0"/>
    <n v="0"/>
    <n v="0"/>
    <n v="0"/>
    <n v="0"/>
    <n v="0"/>
    <n v="-1335.14"/>
    <n v="0"/>
  </r>
  <r>
    <x v="19"/>
    <x v="6"/>
    <x v="0"/>
    <s v="4336107"/>
    <n v="400020"/>
    <s v="O/P Care Svcs Rev--Other"/>
    <s v="Ped OT-Silverdale"/>
    <x v="0"/>
    <n v="1700"/>
    <n v="-32891.67"/>
    <n v="-33628.959999999999"/>
    <n v="-21152.86"/>
    <n v="-32297.119999999999"/>
    <n v="-29405.18"/>
    <n v="-16909.28"/>
    <n v="-21862.880000000001"/>
    <n v="-14406.89"/>
    <n v="-24352.15"/>
    <n v="-27438.61"/>
    <n v="-23443.72"/>
    <n v="-21951.57"/>
    <n v="-299740.89000000007"/>
    <n v="-1492.1500000000015"/>
  </r>
  <r>
    <x v="20"/>
    <x v="6"/>
    <x v="0"/>
    <s v="4336107"/>
    <n v="610010"/>
    <s v="Foundation Distributions"/>
    <s v="Ped OT-Silverdale"/>
    <x v="0"/>
    <n v="1175"/>
    <n v="0"/>
    <n v="0"/>
    <n v="0"/>
    <n v="0"/>
    <n v="0"/>
    <n v="0"/>
    <n v="-1858.82"/>
    <n v="0"/>
    <n v="0"/>
    <n v="0"/>
    <n v="0"/>
    <n v="0"/>
    <n v="-1858.82"/>
    <n v="0"/>
  </r>
  <r>
    <x v="5"/>
    <x v="6"/>
    <x v="0"/>
    <s v="4336107"/>
    <n v="700018"/>
    <s v="Salaries-Supervisory-Productive"/>
    <s v="Ped OT-Silverdale"/>
    <x v="0"/>
    <m/>
    <n v="1229.1600000000001"/>
    <n v="654.16"/>
    <n v="820.75"/>
    <n v="1195.72"/>
    <n v="360.21"/>
    <n v="372.88"/>
    <n v="594.83000000000004"/>
    <n v="855.07"/>
    <n v="1174.8800000000001"/>
    <n v="875.52"/>
    <n v="824.86"/>
    <n v="351.99"/>
    <n v="9310.0300000000007"/>
    <n v="472.87"/>
  </r>
  <r>
    <x v="5"/>
    <x v="6"/>
    <x v="0"/>
    <s v="4336107"/>
    <n v="700032"/>
    <s v="Salaries-Other Pat Care Providers-Productive"/>
    <s v="Ped OT-Silverdale"/>
    <x v="0"/>
    <m/>
    <n v="13788.22"/>
    <n v="15121.49"/>
    <n v="13045.98"/>
    <n v="15003.92"/>
    <n v="15972.54"/>
    <n v="9566.9500000000007"/>
    <n v="13931.69"/>
    <n v="8503.8799999999992"/>
    <n v="17189.28"/>
    <n v="15463.94"/>
    <n v="13035.29"/>
    <n v="13530.74"/>
    <n v="164153.91999999998"/>
    <n v="-495.44999999999891"/>
  </r>
  <r>
    <x v="5"/>
    <x v="6"/>
    <x v="0"/>
    <s v="4336107"/>
    <n v="700032"/>
    <s v="Salaries-Other Pat Care Providers-OT"/>
    <s v="Ped OT-Silverdale"/>
    <x v="0"/>
    <n v="1000"/>
    <n v="0"/>
    <n v="0"/>
    <n v="0"/>
    <n v="78.959999999999994"/>
    <n v="25.7"/>
    <n v="-12.37"/>
    <n v="0"/>
    <n v="0"/>
    <n v="26.71"/>
    <n v="0"/>
    <n v="0"/>
    <n v="0"/>
    <n v="119"/>
    <n v="0"/>
  </r>
  <r>
    <x v="5"/>
    <x v="6"/>
    <x v="0"/>
    <s v="4336107"/>
    <n v="700072"/>
    <s v="Salaries-Other Pat Care Providers-Non-productive"/>
    <s v="Ped OT-Silverdale"/>
    <x v="0"/>
    <m/>
    <n v="379.36"/>
    <n v="541.91"/>
    <n v="3068.81"/>
    <n v="1138.94"/>
    <n v="962.33"/>
    <n v="6086.01"/>
    <n v="2774.24"/>
    <n v="3612.62"/>
    <n v="135.88"/>
    <n v="278.64999999999998"/>
    <n v="1964.92"/>
    <n v="2373.34"/>
    <n v="23317.010000000006"/>
    <n v="-408.42000000000007"/>
  </r>
  <r>
    <x v="5"/>
    <x v="6"/>
    <x v="0"/>
    <s v="4336107"/>
    <n v="700072"/>
    <s v="Salaries-Other Pat Care Providers-NonProd-Other"/>
    <s v="Ped OT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36107"/>
    <n v="700084"/>
    <s v="Accrued PTO"/>
    <s v="Ped OT-Silverdale"/>
    <x v="0"/>
    <m/>
    <n v="1688.52"/>
    <n v="1647.35"/>
    <n v="-1101.58"/>
    <n v="1424.03"/>
    <n v="1317.53"/>
    <n v="-2527.81"/>
    <n v="-838.78"/>
    <n v="-993.33"/>
    <n v="1507.39"/>
    <n v="1715.74"/>
    <n v="981.82"/>
    <n v="73.87"/>
    <n v="4894.7499999999991"/>
    <n v="907.95"/>
  </r>
  <r>
    <x v="6"/>
    <x v="6"/>
    <x v="0"/>
    <s v="4336107"/>
    <n v="713010"/>
    <s v="Benefits-FICA/Medicare"/>
    <s v="Ped OT-Silverdale"/>
    <x v="0"/>
    <m/>
    <n v="1169.6600000000001"/>
    <n v="1242.82"/>
    <n v="1289.52"/>
    <n v="1324.46"/>
    <n v="1321.52"/>
    <n v="1217.02"/>
    <n v="1309.1300000000001"/>
    <n v="978.69"/>
    <n v="1399.84"/>
    <n v="1256.3"/>
    <n v="1196"/>
    <n v="1230.46"/>
    <n v="14935.420000000002"/>
    <n v="-34.460000000000036"/>
  </r>
  <r>
    <x v="6"/>
    <x v="6"/>
    <x v="0"/>
    <s v="4336107"/>
    <n v="713090"/>
    <s v="Benefits-Allocated Amounts"/>
    <s v="Ped OT-Silverdale"/>
    <x v="0"/>
    <m/>
    <n v="2422"/>
    <n v="2351.13"/>
    <n v="2568.23"/>
    <n v="2659.82"/>
    <n v="3029.85"/>
    <n v="2383.66"/>
    <n v="2747.5"/>
    <n v="2116.88"/>
    <n v="2487.4299999999998"/>
    <n v="2822.14"/>
    <n v="2504.85"/>
    <n v="3067.31"/>
    <n v="31160.800000000003"/>
    <n v="-562.46"/>
  </r>
  <r>
    <x v="7"/>
    <x v="6"/>
    <x v="0"/>
    <s v="4336107"/>
    <n v="718060"/>
    <s v="Contract Services-CHI RRC Fees"/>
    <s v="Ped OT-Silverdale"/>
    <x v="0"/>
    <m/>
    <n v="5885"/>
    <n v="5885"/>
    <n v="5885"/>
    <n v="5885"/>
    <n v="5885"/>
    <n v="5885"/>
    <n v="5885"/>
    <n v="5885"/>
    <n v="5885"/>
    <n v="5885"/>
    <n v="5885"/>
    <n v="5885"/>
    <n v="70620"/>
    <n v="0"/>
  </r>
  <r>
    <x v="11"/>
    <x v="6"/>
    <x v="0"/>
    <s v="4336107"/>
    <n v="721410"/>
    <s v="Supplies-Medical - Nonbillable"/>
    <s v="Ped OT-Silverdale"/>
    <x v="0"/>
    <m/>
    <n v="8.39"/>
    <n v="0"/>
    <n v="5.75"/>
    <n v="0"/>
    <n v="0"/>
    <n v="8.14"/>
    <n v="3.1"/>
    <n v="37.94"/>
    <n v="-48.82"/>
    <n v="158"/>
    <n v="210"/>
    <n v="-27"/>
    <n v="355.5"/>
    <n v="237"/>
  </r>
  <r>
    <x v="11"/>
    <x v="6"/>
    <x v="0"/>
    <s v="4336107"/>
    <n v="721830"/>
    <s v="Supplies-Office"/>
    <s v="Ped OT-Silverdale"/>
    <x v="0"/>
    <m/>
    <n v="429.92"/>
    <n v="47.09"/>
    <n v="0"/>
    <n v="0"/>
    <n v="161.31"/>
    <n v="190.31"/>
    <n v="152.96"/>
    <n v="358.62"/>
    <n v="48.1"/>
    <n v="57.72"/>
    <n v="0"/>
    <n v="0"/>
    <n v="1446.03"/>
    <n v="0"/>
  </r>
  <r>
    <x v="11"/>
    <x v="6"/>
    <x v="0"/>
    <s v="4336107"/>
    <n v="721835"/>
    <s v="Supplies-Forms"/>
    <s v="Ped OT-Silverdale"/>
    <x v="0"/>
    <m/>
    <n v="0"/>
    <n v="0"/>
    <n v="228.9"/>
    <n v="39.68"/>
    <n v="38.15"/>
    <n v="0"/>
    <n v="0"/>
    <n v="0"/>
    <n v="152.38"/>
    <n v="15.64"/>
    <n v="0"/>
    <n v="132.36000000000001"/>
    <n v="607.1099999999999"/>
    <n v="-132.36000000000001"/>
  </r>
  <r>
    <x v="11"/>
    <x v="6"/>
    <x v="0"/>
    <s v="4336107"/>
    <n v="721910"/>
    <s v="Supplies-Small Equipment"/>
    <s v="Ped OT-Silverdale"/>
    <x v="0"/>
    <m/>
    <n v="0"/>
    <n v="0"/>
    <n v="0"/>
    <n v="0"/>
    <n v="584"/>
    <n v="627.58000000000004"/>
    <n v="206.07"/>
    <n v="0"/>
    <n v="0"/>
    <n v="528.35"/>
    <n v="0"/>
    <n v="0"/>
    <n v="1946"/>
    <n v="0"/>
  </r>
  <r>
    <x v="11"/>
    <x v="6"/>
    <x v="0"/>
    <s v="4336107"/>
    <n v="721980"/>
    <s v="Supplies-Other"/>
    <s v="Ped OT-Silverdale"/>
    <x v="0"/>
    <m/>
    <n v="251.09"/>
    <n v="-162.15"/>
    <n v="0"/>
    <n v="0"/>
    <n v="0"/>
    <n v="449.24"/>
    <n v="0"/>
    <n v="0"/>
    <n v="0"/>
    <n v="258.10000000000002"/>
    <n v="-11.69"/>
    <n v="0"/>
    <n v="784.59"/>
    <n v="-11.69"/>
  </r>
  <r>
    <x v="11"/>
    <x v="6"/>
    <x v="0"/>
    <s v="4336107"/>
    <n v="722000"/>
    <s v="Supplies-Freight Expense"/>
    <s v="Ped OT-Silverdale"/>
    <x v="0"/>
    <m/>
    <n v="0"/>
    <n v="37.68"/>
    <n v="0"/>
    <n v="7.95"/>
    <n v="0"/>
    <n v="24.76"/>
    <n v="0"/>
    <n v="0"/>
    <n v="18.649999999999999"/>
    <n v="0"/>
    <n v="0"/>
    <n v="0"/>
    <n v="89.039999999999992"/>
    <n v="0"/>
  </r>
  <r>
    <x v="12"/>
    <x v="6"/>
    <x v="0"/>
    <s v="4336107"/>
    <n v="730010"/>
    <s v="Rental and Leases-Building (DO NOT USE)"/>
    <s v="Ped OT-Silverdale"/>
    <x v="0"/>
    <m/>
    <n v="2948.46"/>
    <n v="2948.46"/>
    <n v="2948.46"/>
    <n v="2948.46"/>
    <n v="2948.46"/>
    <n v="-1980.02"/>
    <n v="2230.4299999999998"/>
    <n v="2230.4299999999998"/>
    <n v="2230.4299999999998"/>
    <n v="2232.54"/>
    <n v="2232.54"/>
    <n v="0"/>
    <n v="23918.65"/>
    <n v="2232.54"/>
  </r>
  <r>
    <x v="12"/>
    <x v="6"/>
    <x v="0"/>
    <s v="4336107"/>
    <n v="730010"/>
    <s v="Rental-Common Area Maint (DO NOT USE)"/>
    <s v="Ped OT-Silverdale"/>
    <x v="0"/>
    <n v="2200"/>
    <n v="0"/>
    <n v="0"/>
    <n v="0"/>
    <n v="0"/>
    <n v="0"/>
    <n v="5005.6899999999996"/>
    <n v="795.24"/>
    <n v="795.24"/>
    <n v="795.24"/>
    <n v="740.36"/>
    <n v="740.36"/>
    <n v="0"/>
    <n v="8872.1299999999992"/>
    <n v="740.36"/>
  </r>
  <r>
    <x v="12"/>
    <x v="6"/>
    <x v="0"/>
    <s v="4336107"/>
    <n v="730040"/>
    <s v="LT Lease-Real Estate"/>
    <s v="Ped OT-Silverdale"/>
    <x v="0"/>
    <m/>
    <n v="0"/>
    <n v="0"/>
    <n v="0"/>
    <n v="0"/>
    <n v="0"/>
    <n v="0"/>
    <n v="0"/>
    <n v="0"/>
    <n v="0"/>
    <n v="0"/>
    <n v="0"/>
    <n v="2886.87"/>
    <n v="2886.87"/>
    <n v="-2886.87"/>
  </r>
  <r>
    <x v="16"/>
    <x v="6"/>
    <x v="0"/>
    <s v="4336107"/>
    <n v="732030"/>
    <s v="Repairs&amp;Maintenance-Bldg Routine"/>
    <s v="Ped OT-Silverdale"/>
    <x v="0"/>
    <n v="2300"/>
    <n v="0"/>
    <n v="0"/>
    <n v="0"/>
    <n v="0"/>
    <n v="0"/>
    <n v="0"/>
    <n v="0"/>
    <n v="0"/>
    <n v="0"/>
    <n v="0"/>
    <n v="0"/>
    <n v="86.03"/>
    <n v="86.03"/>
    <n v="-86.03"/>
  </r>
  <r>
    <x v="0"/>
    <x v="6"/>
    <x v="0"/>
    <s v="4336107"/>
    <n v="740020"/>
    <s v="Education-Registration Fees"/>
    <s v="Ped OT-Silverdale"/>
    <x v="0"/>
    <m/>
    <n v="0"/>
    <n v="0"/>
    <n v="0"/>
    <n v="0"/>
    <n v="0"/>
    <n v="1309"/>
    <n v="0"/>
    <n v="0"/>
    <n v="199"/>
    <n v="0"/>
    <n v="237.78"/>
    <n v="514"/>
    <n v="2259.7799999999997"/>
    <n v="-276.22000000000003"/>
  </r>
  <r>
    <x v="0"/>
    <x v="6"/>
    <x v="0"/>
    <s v="4336107"/>
    <n v="740030"/>
    <s v="Education-Travel"/>
    <s v="Ped OT-Silverdale"/>
    <x v="0"/>
    <m/>
    <n v="0"/>
    <n v="0"/>
    <n v="0"/>
    <n v="0"/>
    <n v="0"/>
    <n v="0"/>
    <n v="0"/>
    <n v="110.79"/>
    <n v="0"/>
    <n v="0"/>
    <n v="0"/>
    <n v="0"/>
    <n v="110.79"/>
    <n v="0"/>
  </r>
  <r>
    <x v="0"/>
    <x v="6"/>
    <x v="0"/>
    <s v="4336107"/>
    <n v="743030"/>
    <s v="Subscriptions--Institutional"/>
    <s v="Ped OT-Silverdale"/>
    <x v="0"/>
    <m/>
    <n v="0"/>
    <n v="0"/>
    <n v="0"/>
    <n v="120"/>
    <n v="0"/>
    <n v="0"/>
    <n v="0"/>
    <n v="0"/>
    <n v="0"/>
    <n v="0"/>
    <n v="0"/>
    <n v="0"/>
    <n v="120"/>
    <n v="0"/>
  </r>
  <r>
    <x v="0"/>
    <x v="6"/>
    <x v="0"/>
    <s v="4336107"/>
    <n v="743042"/>
    <s v="Subscriptions-Physician"/>
    <s v="Ped OT-Silverdale"/>
    <x v="0"/>
    <m/>
    <n v="0"/>
    <n v="0"/>
    <n v="0"/>
    <n v="0"/>
    <n v="0"/>
    <n v="65"/>
    <n v="0"/>
    <n v="0"/>
    <n v="0"/>
    <n v="0"/>
    <n v="0"/>
    <n v="0"/>
    <n v="65"/>
    <n v="0"/>
  </r>
  <r>
    <x v="0"/>
    <x v="6"/>
    <x v="0"/>
    <s v="4336107"/>
    <n v="746020"/>
    <s v="Bank Fees--Ext to CHI Programs"/>
    <s v="Ped OT-Silverdale"/>
    <x v="0"/>
    <m/>
    <n v="0"/>
    <n v="0"/>
    <n v="0"/>
    <n v="0"/>
    <n v="1.1000000000000001"/>
    <n v="0"/>
    <n v="0"/>
    <n v="0"/>
    <n v="0"/>
    <n v="0"/>
    <n v="0"/>
    <n v="0"/>
    <n v="1.1000000000000001"/>
    <n v="0"/>
  </r>
  <r>
    <x v="0"/>
    <x v="6"/>
    <x v="0"/>
    <s v="4336107"/>
    <n v="749510"/>
    <s v="Miscellaneous Expenses"/>
    <s v="Ped OT-Silverdale"/>
    <x v="0"/>
    <m/>
    <n v="0"/>
    <n v="0"/>
    <n v="0"/>
    <n v="1.1000000000000001"/>
    <n v="437.9"/>
    <n v="-439"/>
    <n v="110.79"/>
    <n v="88.21"/>
    <n v="-199"/>
    <n v="0"/>
    <n v="514"/>
    <n v="-514"/>
    <n v="0"/>
    <n v="1028"/>
  </r>
  <r>
    <x v="0"/>
    <x v="6"/>
    <x v="0"/>
    <s v="4336107"/>
    <n v="749510"/>
    <s v="RICE Rewards"/>
    <s v="Ped OT-Silverdale"/>
    <x v="0"/>
    <n v="5100"/>
    <n v="0"/>
    <n v="0"/>
    <n v="0"/>
    <n v="0"/>
    <n v="0"/>
    <n v="0"/>
    <n v="0"/>
    <n v="0"/>
    <n v="0"/>
    <n v="0"/>
    <n v="0"/>
    <n v="89.36"/>
    <n v="89.36"/>
    <n v="-89.36"/>
  </r>
  <r>
    <x v="0"/>
    <x v="6"/>
    <x v="0"/>
    <s v="4336107"/>
    <n v="749530"/>
    <s v="Mileage"/>
    <s v="Ped OT-Silverdale"/>
    <x v="0"/>
    <n v="1001"/>
    <n v="0"/>
    <n v="0"/>
    <n v="0"/>
    <n v="0"/>
    <n v="0"/>
    <n v="0"/>
    <n v="0"/>
    <n v="0"/>
    <n v="0"/>
    <n v="0"/>
    <n v="4.0599999999999996"/>
    <n v="0"/>
    <n v="4.0599999999999996"/>
    <n v="4.0599999999999996"/>
  </r>
  <r>
    <x v="18"/>
    <x v="6"/>
    <x v="0"/>
    <s v="4337107"/>
    <n v="400010"/>
    <s v="Acute I/P Svcs Rev--Medicare"/>
    <s v="Occupational Therapy-PO O/P"/>
    <x v="0"/>
    <n v="1100"/>
    <n v="0"/>
    <n v="0"/>
    <n v="0"/>
    <n v="0"/>
    <n v="0"/>
    <n v="0"/>
    <n v="0"/>
    <n v="0"/>
    <n v="0"/>
    <n v="0"/>
    <n v="0"/>
    <n v="0"/>
    <n v="0"/>
    <n v="0"/>
  </r>
  <r>
    <x v="18"/>
    <x v="6"/>
    <x v="0"/>
    <s v="4337107"/>
    <n v="400010"/>
    <s v="Acute I/P Svcs Rev--Medicaid"/>
    <s v="Occupational Therapy-PO O/P"/>
    <x v="0"/>
    <n v="1200"/>
    <n v="0"/>
    <n v="0"/>
    <n v="0"/>
    <n v="-500.85"/>
    <n v="500.85"/>
    <n v="0"/>
    <n v="0"/>
    <n v="0"/>
    <n v="0"/>
    <n v="0"/>
    <n v="0"/>
    <n v="0"/>
    <n v="0"/>
    <n v="0"/>
  </r>
  <r>
    <x v="19"/>
    <x v="6"/>
    <x v="0"/>
    <s v="4337107"/>
    <n v="400020"/>
    <s v="O/P Care Svcs Rev--Medicare"/>
    <s v="Occupational Therapy-PO O/P"/>
    <x v="0"/>
    <n v="1100"/>
    <n v="-6109.62"/>
    <n v="-8401.2099999999991"/>
    <n v="-7270.37"/>
    <n v="-12732.22"/>
    <n v="-10889.47"/>
    <n v="-16209.46"/>
    <n v="-12128.93"/>
    <n v="-5250.2"/>
    <n v="-5804.54"/>
    <n v="-6977.39"/>
    <n v="-13461.33"/>
    <n v="-13225.4"/>
    <n v="-118460.13999999998"/>
    <n v="-235.93000000000029"/>
  </r>
  <r>
    <x v="19"/>
    <x v="6"/>
    <x v="0"/>
    <s v="4337107"/>
    <n v="400020"/>
    <s v="O/P Care Svcs Rev--Medicaid"/>
    <s v="Occupational Therapy-PO O/P"/>
    <x v="0"/>
    <n v="1200"/>
    <n v="-3268.06"/>
    <n v="-9902.11"/>
    <n v="-866.71"/>
    <n v="-5235.75"/>
    <n v="-7635.25"/>
    <n v="-7202.05"/>
    <n v="-3650.37"/>
    <n v="-4449.2700000000004"/>
    <n v="-5301.81"/>
    <n v="-5997.18"/>
    <n v="-3914.11"/>
    <n v="-2252.9899999999998"/>
    <n v="-59675.66"/>
    <n v="-1661.1200000000003"/>
  </r>
  <r>
    <x v="19"/>
    <x v="6"/>
    <x v="0"/>
    <s v="4337107"/>
    <n v="400020"/>
    <s v="O/P Care Svcs Rev--Comm Insurance"/>
    <s v="Occupational Therapy-PO O/P"/>
    <x v="0"/>
    <n v="1300"/>
    <n v="-1406.93"/>
    <n v="-3991.83"/>
    <n v="-1250.75"/>
    <n v="-3718.35"/>
    <n v="-3625.22"/>
    <n v="-683.16"/>
    <n v="-1137"/>
    <n v="-438.12"/>
    <n v="-1083.45"/>
    <n v="-3619.05"/>
    <n v="-2207.16"/>
    <n v="-2111.25"/>
    <n v="-25272.27"/>
    <n v="-95.909999999999854"/>
  </r>
  <r>
    <x v="19"/>
    <x v="6"/>
    <x v="0"/>
    <s v="4337107"/>
    <n v="400020"/>
    <s v="O/P Care Svcs Rev--BCBS Comm"/>
    <s v="Occupational Therapy-PO O/P"/>
    <x v="0"/>
    <n v="1301"/>
    <n v="-1967.3"/>
    <n v="-2053.8200000000002"/>
    <n v="-1159.05"/>
    <n v="-11017.94"/>
    <n v="-6961.1"/>
    <n v="-3330.8"/>
    <n v="-4104.21"/>
    <n v="-735.03"/>
    <n v="-840.12"/>
    <n v="-2406.6999999999998"/>
    <n v="-3302.01"/>
    <n v="-5750.89"/>
    <n v="-43628.969999999994"/>
    <n v="2448.88"/>
  </r>
  <r>
    <x v="19"/>
    <x v="6"/>
    <x v="0"/>
    <s v="4337107"/>
    <n v="400020"/>
    <s v="O/P Care Svcs Rev--Managed Care"/>
    <s v="Occupational Therapy-PO O/P"/>
    <x v="0"/>
    <n v="1400"/>
    <n v="407.02"/>
    <n v="-5789.23"/>
    <n v="-3733.69"/>
    <n v="-2778.85"/>
    <n v="-5451.73"/>
    <n v="-3140.82"/>
    <n v="-5388.64"/>
    <n v="-2457.27"/>
    <n v="-3488.67"/>
    <n v="-2134.0500000000002"/>
    <n v="-3152.82"/>
    <n v="-438.12"/>
    <n v="-37546.870000000003"/>
    <n v="-2714.7000000000003"/>
  </r>
  <r>
    <x v="19"/>
    <x v="6"/>
    <x v="0"/>
    <s v="4337107"/>
    <n v="400020"/>
    <s v="O/P Care Svcs Rev--Self Pay"/>
    <s v="Occupational Therapy-PO O/P"/>
    <x v="0"/>
    <n v="1500"/>
    <n v="0"/>
    <n v="0"/>
    <n v="0"/>
    <n v="0"/>
    <n v="0"/>
    <n v="0"/>
    <n v="0"/>
    <n v="0"/>
    <n v="0"/>
    <n v="0"/>
    <n v="0"/>
    <n v="0"/>
    <n v="0"/>
    <n v="0"/>
  </r>
  <r>
    <x v="19"/>
    <x v="6"/>
    <x v="0"/>
    <s v="4337107"/>
    <n v="400020"/>
    <s v="O/P Care Svcs Rev--Other"/>
    <s v="Occupational Therapy-PO O/P"/>
    <x v="0"/>
    <n v="1700"/>
    <n v="-3027.33"/>
    <n v="-7858.35"/>
    <n v="-6602.14"/>
    <n v="-4312.57"/>
    <n v="-3927.81"/>
    <n v="-4234.6899999999996"/>
    <n v="-5525.73"/>
    <n v="-2517.98"/>
    <n v="-4661.7"/>
    <n v="-5069.42"/>
    <n v="-5949.66"/>
    <n v="-2545.23"/>
    <n v="-56232.609999999993"/>
    <n v="-3404.43"/>
  </r>
  <r>
    <x v="5"/>
    <x v="6"/>
    <x v="0"/>
    <s v="4337107"/>
    <n v="700032"/>
    <s v="Salaries-Other Pat Care Providers-Productive"/>
    <s v="Occupational Therapy-PO O/P"/>
    <x v="0"/>
    <m/>
    <n v="2626.65"/>
    <n v="5266.16"/>
    <n v="4096.0600000000004"/>
    <n v="5156.8599999999997"/>
    <n v="5099.58"/>
    <n v="4863.9799999999996"/>
    <n v="5235.47"/>
    <n v="2876.59"/>
    <n v="4059.04"/>
    <n v="3680.99"/>
    <n v="5025.04"/>
    <n v="4042.38"/>
    <n v="52028.799999999996"/>
    <n v="982.65999999999985"/>
  </r>
  <r>
    <x v="5"/>
    <x v="6"/>
    <x v="0"/>
    <s v="4337107"/>
    <n v="700032"/>
    <s v="Salaries-Other Pat Care Providers-Other"/>
    <s v="Occupational Therapy-PO O/P"/>
    <x v="0"/>
    <n v="2000"/>
    <n v="0"/>
    <n v="0"/>
    <n v="0"/>
    <n v="1.28"/>
    <n v="0"/>
    <n v="0"/>
    <n v="0"/>
    <n v="0"/>
    <n v="0"/>
    <n v="0"/>
    <n v="0"/>
    <n v="0"/>
    <n v="1.28"/>
    <n v="0"/>
  </r>
  <r>
    <x v="5"/>
    <x v="6"/>
    <x v="0"/>
    <s v="4337107"/>
    <n v="700072"/>
    <s v="Salaries-Other Pat Care Providers-Non-productive"/>
    <s v="Occupational Therapy-PO O/P"/>
    <x v="0"/>
    <m/>
    <n v="2252.94"/>
    <n v="-80.11"/>
    <n v="-54.67"/>
    <n v="854.92"/>
    <n v="125.81"/>
    <n v="670.05"/>
    <n v="-91.29"/>
    <n v="1117.1600000000001"/>
    <n v="960.44"/>
    <n v="492.77"/>
    <n v="424.67"/>
    <n v="1189.05"/>
    <n v="7861.7400000000007"/>
    <n v="-764.37999999999988"/>
  </r>
  <r>
    <x v="5"/>
    <x v="6"/>
    <x v="0"/>
    <s v="4337107"/>
    <n v="700072"/>
    <s v="Salaries-Other Pat Care Providers-NonProd-Other"/>
    <s v="Occupational Therapy-PO O/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37107"/>
    <n v="700084"/>
    <s v="Accrued PTO"/>
    <s v="Occupational Therapy-PO O/P"/>
    <x v="0"/>
    <m/>
    <n v="-809.16"/>
    <n v="638.51"/>
    <n v="817.46"/>
    <n v="180.63"/>
    <n v="717.62"/>
    <n v="721.1"/>
    <n v="782.85"/>
    <n v="-38.619999999999997"/>
    <n v="-451.15"/>
    <n v="495.8"/>
    <n v="463.03"/>
    <n v="-197.74"/>
    <n v="3320.33"/>
    <n v="660.77"/>
  </r>
  <r>
    <x v="6"/>
    <x v="6"/>
    <x v="0"/>
    <s v="4337107"/>
    <n v="713010"/>
    <s v="Benefits-FICA/Medicare"/>
    <s v="Occupational Therapy-PO O/P"/>
    <x v="0"/>
    <m/>
    <n v="341.16"/>
    <n v="364.61"/>
    <n v="287.26"/>
    <n v="427.59"/>
    <n v="368.68"/>
    <n v="383.84"/>
    <n v="335.2"/>
    <n v="257.35000000000002"/>
    <n v="332.37"/>
    <n v="262.02999999999997"/>
    <n v="363.13"/>
    <n v="347.73"/>
    <n v="4070.9499999999994"/>
    <n v="15.399999999999977"/>
  </r>
  <r>
    <x v="6"/>
    <x v="6"/>
    <x v="0"/>
    <s v="4337107"/>
    <n v="713090"/>
    <s v="Benefits-Allocated Amounts"/>
    <s v="Occupational Therapy-PO O/P"/>
    <x v="0"/>
    <m/>
    <n v="648.77"/>
    <n v="648.11"/>
    <n v="583.29"/>
    <n v="789.95"/>
    <n v="846.95"/>
    <n v="767.43"/>
    <n v="746.76"/>
    <n v="574.67999999999995"/>
    <n v="520.86"/>
    <n v="745.82"/>
    <n v="730.22"/>
    <n v="830.91"/>
    <n v="8433.75"/>
    <n v="-100.68999999999994"/>
  </r>
  <r>
    <x v="7"/>
    <x v="6"/>
    <x v="0"/>
    <s v="4337107"/>
    <n v="718050"/>
    <s v="Miscellaneous Purchased Svcs"/>
    <s v="Occupational Therapy-PO O/P"/>
    <x v="0"/>
    <n v="1020"/>
    <n v="37.97"/>
    <n v="42.7"/>
    <n v="248.15"/>
    <n v="37.97"/>
    <n v="0"/>
    <n v="41.83"/>
    <n v="75.95"/>
    <n v="39.729999999999997"/>
    <n v="77.709999999999994"/>
    <n v="43.06"/>
    <n v="40.19"/>
    <n v="37.97"/>
    <n v="723.23"/>
    <n v="2.2199999999999989"/>
  </r>
  <r>
    <x v="7"/>
    <x v="6"/>
    <x v="0"/>
    <s v="4337107"/>
    <n v="718050"/>
    <s v="Contract Management--Linen"/>
    <s v="Occupational Therapy-PO O/P"/>
    <x v="0"/>
    <n v="1026"/>
    <n v="58.62"/>
    <n v="47.87"/>
    <n v="81.67"/>
    <n v="57.25"/>
    <n v="106.93"/>
    <n v="45.58"/>
    <n v="81.48"/>
    <n v="89.99"/>
    <n v="63.61"/>
    <n v="15.73"/>
    <n v="44.19"/>
    <n v="109.85"/>
    <n v="802.7700000000001"/>
    <n v="-65.66"/>
  </r>
  <r>
    <x v="7"/>
    <x v="6"/>
    <x v="0"/>
    <s v="4337107"/>
    <n v="718060"/>
    <s v="Contract Services-CHI RRC Fees"/>
    <s v="Occupational Therapy-PO O/P"/>
    <x v="0"/>
    <m/>
    <n v="1177"/>
    <n v="1177"/>
    <n v="1177"/>
    <n v="1177"/>
    <n v="1177"/>
    <n v="1177"/>
    <n v="1177"/>
    <n v="1177"/>
    <n v="1177"/>
    <n v="1177"/>
    <n v="1177"/>
    <n v="1177"/>
    <n v="14124"/>
    <n v="0"/>
  </r>
  <r>
    <x v="11"/>
    <x v="6"/>
    <x v="0"/>
    <s v="4337107"/>
    <n v="721010"/>
    <s v="Supplies-Medical - Billable"/>
    <s v="Occupational Therapy-PO O/P"/>
    <x v="0"/>
    <m/>
    <n v="69.14"/>
    <n v="40.6"/>
    <n v="0"/>
    <n v="80.16"/>
    <n v="99.9"/>
    <n v="0"/>
    <n v="0"/>
    <n v="0"/>
    <n v="161.52000000000001"/>
    <n v="48.56"/>
    <n v="-12.97"/>
    <n v="0"/>
    <n v="486.91"/>
    <n v="-12.97"/>
  </r>
  <r>
    <x v="11"/>
    <x v="6"/>
    <x v="0"/>
    <s v="4337107"/>
    <n v="721410"/>
    <s v="Supplies-Medical - Nonbillable"/>
    <s v="Occupational Therapy-PO O/P"/>
    <x v="0"/>
    <m/>
    <n v="175.33"/>
    <n v="0"/>
    <n v="0"/>
    <n v="122.7"/>
    <n v="149.68"/>
    <n v="0"/>
    <n v="42.15"/>
    <n v="0"/>
    <n v="44.17"/>
    <n v="6.2"/>
    <n v="-4.2"/>
    <n v="1.1499999999999999"/>
    <n v="537.17999999999995"/>
    <n v="-5.35"/>
  </r>
  <r>
    <x v="11"/>
    <x v="6"/>
    <x v="0"/>
    <s v="4337107"/>
    <n v="721830"/>
    <s v="Supplies-Office"/>
    <s v="Occupational Therapy-PO O/P"/>
    <x v="0"/>
    <m/>
    <n v="0"/>
    <n v="0"/>
    <n v="121.34"/>
    <n v="0"/>
    <n v="0"/>
    <n v="28.79"/>
    <n v="0"/>
    <n v="24.86"/>
    <n v="0"/>
    <n v="0"/>
    <n v="0"/>
    <n v="0"/>
    <n v="174.99"/>
    <n v="0"/>
  </r>
  <r>
    <x v="11"/>
    <x v="6"/>
    <x v="0"/>
    <s v="4337107"/>
    <n v="721910"/>
    <s v="Supplies-Small Equipment"/>
    <s v="Occupational Therapy-PO O/P"/>
    <x v="0"/>
    <m/>
    <n v="0"/>
    <n v="110.31"/>
    <n v="0"/>
    <n v="44.73"/>
    <n v="18.600000000000001"/>
    <n v="0"/>
    <n v="47.19"/>
    <n v="0"/>
    <n v="0"/>
    <n v="0"/>
    <n v="0"/>
    <n v="0"/>
    <n v="220.82999999999998"/>
    <n v="0"/>
  </r>
  <r>
    <x v="11"/>
    <x v="6"/>
    <x v="0"/>
    <s v="4337107"/>
    <n v="721980"/>
    <s v="Supplies-Other"/>
    <s v="Occupational Therapy-PO O/P"/>
    <x v="0"/>
    <m/>
    <n v="-9.58"/>
    <n v="0"/>
    <n v="0"/>
    <n v="-3.6"/>
    <n v="0"/>
    <n v="0"/>
    <n v="3.28"/>
    <n v="0"/>
    <n v="0"/>
    <n v="0"/>
    <n v="0"/>
    <n v="0"/>
    <n v="-9.9"/>
    <n v="0"/>
  </r>
  <r>
    <x v="11"/>
    <x v="6"/>
    <x v="0"/>
    <s v="4337107"/>
    <n v="722000"/>
    <s v="Supplies-Freight Expense"/>
    <s v="Occupational Therapy-PO O/P"/>
    <x v="0"/>
    <m/>
    <n v="0"/>
    <n v="0"/>
    <n v="0"/>
    <n v="22.37"/>
    <n v="0"/>
    <n v="0"/>
    <n v="0"/>
    <n v="0"/>
    <n v="0"/>
    <n v="0"/>
    <n v="0"/>
    <n v="0"/>
    <n v="22.37"/>
    <n v="0"/>
  </r>
  <r>
    <x v="12"/>
    <x v="6"/>
    <x v="0"/>
    <s v="4337107"/>
    <n v="730010"/>
    <s v="Rental and Leases-Building (DO NOT USE)"/>
    <s v="Occupational Therapy-PO O/P"/>
    <x v="0"/>
    <m/>
    <n v="3490.16"/>
    <n v="3490.16"/>
    <n v="3490.16"/>
    <n v="3490.16"/>
    <n v="3490.16"/>
    <n v="-2472.92"/>
    <n v="2537.7800000000002"/>
    <n v="2537.7800000000002"/>
    <n v="2537.7800000000002"/>
    <n v="2537.7800000000002"/>
    <n v="2537.7800000000002"/>
    <n v="0"/>
    <n v="27666.779999999995"/>
    <n v="2537.7800000000002"/>
  </r>
  <r>
    <x v="12"/>
    <x v="6"/>
    <x v="0"/>
    <s v="4337107"/>
    <n v="730010"/>
    <s v="Rental-Common Area Maint (DO NOT USE)"/>
    <s v="Occupational Therapy-PO O/P"/>
    <x v="0"/>
    <n v="2200"/>
    <n v="0"/>
    <n v="0"/>
    <n v="0"/>
    <n v="0"/>
    <n v="0"/>
    <n v="6012.84"/>
    <n v="1002.14"/>
    <n v="1002.14"/>
    <n v="1117.99"/>
    <n v="1117.99"/>
    <n v="1117.99"/>
    <n v="0"/>
    <n v="11371.09"/>
    <n v="1117.99"/>
  </r>
  <r>
    <x v="12"/>
    <x v="6"/>
    <x v="0"/>
    <s v="4337107"/>
    <n v="730040"/>
    <s v="LT Lease-Real Estate"/>
    <s v="Occupational Therapy-PO O/P"/>
    <x v="0"/>
    <m/>
    <n v="0"/>
    <n v="0"/>
    <n v="0"/>
    <n v="0"/>
    <n v="0"/>
    <n v="0"/>
    <n v="0"/>
    <n v="0"/>
    <n v="0"/>
    <n v="0"/>
    <n v="0"/>
    <n v="3655.77"/>
    <n v="3655.77"/>
    <n v="-3655.77"/>
  </r>
  <r>
    <x v="15"/>
    <x v="6"/>
    <x v="0"/>
    <s v="4337107"/>
    <n v="731020"/>
    <s v="Electricity"/>
    <s v="Occupational Therapy-PO O/P"/>
    <x v="0"/>
    <m/>
    <n v="0.43"/>
    <n v="0.43"/>
    <n v="0"/>
    <n v="0.87"/>
    <n v="0.43"/>
    <n v="0.43"/>
    <n v="0.43"/>
    <n v="0.43"/>
    <n v="0.43"/>
    <n v="0.43"/>
    <n v="0.43"/>
    <n v="0"/>
    <n v="4.74"/>
    <n v="0.43"/>
  </r>
  <r>
    <x v="15"/>
    <x v="6"/>
    <x v="0"/>
    <s v="4337107"/>
    <n v="731030"/>
    <s v="Water"/>
    <s v="Occupational Therapy-PO O/P"/>
    <x v="0"/>
    <m/>
    <n v="0"/>
    <n v="1.31"/>
    <n v="0"/>
    <n v="0"/>
    <n v="0"/>
    <n v="0"/>
    <n v="0"/>
    <n v="0"/>
    <n v="0"/>
    <n v="0"/>
    <n v="0"/>
    <n v="0"/>
    <n v="1.31"/>
    <n v="0"/>
  </r>
  <r>
    <x v="15"/>
    <x v="6"/>
    <x v="0"/>
    <s v="4337107"/>
    <n v="731060"/>
    <s v="Telephone"/>
    <s v="Occupational Therapy-PO O/P"/>
    <x v="0"/>
    <m/>
    <n v="66.239999999999995"/>
    <n v="60.58"/>
    <n v="56"/>
    <n v="55.68"/>
    <n v="61.02"/>
    <n v="62.56"/>
    <n v="71.790000000000006"/>
    <n v="55.68"/>
    <n v="60.82"/>
    <n v="61.21"/>
    <n v="67.17"/>
    <n v="56.5"/>
    <n v="735.25"/>
    <n v="10.670000000000002"/>
  </r>
  <r>
    <x v="15"/>
    <x v="6"/>
    <x v="0"/>
    <s v="4337107"/>
    <n v="731070"/>
    <s v="Cable TV"/>
    <s v="Occupational Therapy-PO O/P"/>
    <x v="0"/>
    <m/>
    <n v="2.73"/>
    <n v="2.73"/>
    <n v="2.73"/>
    <n v="2.73"/>
    <n v="2.73"/>
    <n v="2.73"/>
    <n v="2.74"/>
    <n v="2.74"/>
    <n v="2.73"/>
    <n v="2.73"/>
    <n v="2.73"/>
    <n v="2.73"/>
    <n v="32.78"/>
    <n v="0"/>
  </r>
  <r>
    <x v="0"/>
    <x v="6"/>
    <x v="0"/>
    <s v="4337107"/>
    <n v="740020"/>
    <s v="Education-Registration Fees"/>
    <s v="Occupational Therapy-PO O/P"/>
    <x v="0"/>
    <m/>
    <n v="0"/>
    <n v="0"/>
    <n v="0"/>
    <n v="0"/>
    <n v="0"/>
    <n v="0"/>
    <n v="0"/>
    <n v="0"/>
    <n v="0"/>
    <n v="110"/>
    <n v="0"/>
    <n v="0"/>
    <n v="110"/>
    <n v="0"/>
  </r>
  <r>
    <x v="0"/>
    <x v="6"/>
    <x v="0"/>
    <s v="4337107"/>
    <n v="749510"/>
    <s v="RICE Rewards"/>
    <s v="Occupational Therapy-PO O/P"/>
    <x v="0"/>
    <n v="5100"/>
    <n v="0"/>
    <n v="0"/>
    <n v="0"/>
    <n v="0"/>
    <n v="0"/>
    <n v="0"/>
    <n v="0"/>
    <n v="0"/>
    <n v="0"/>
    <n v="0"/>
    <n v="0"/>
    <n v="20.58"/>
    <n v="20.58"/>
    <n v="-20.58"/>
  </r>
  <r>
    <x v="18"/>
    <x v="0"/>
    <x v="0"/>
    <s v="4340102"/>
    <n v="400010"/>
    <s v="Acute I/P Svcs Rev--Medicare"/>
    <s v="Occupational Therapy"/>
    <x v="0"/>
    <n v="1100"/>
    <n v="-63395.839999999997"/>
    <n v="-57201.279999999999"/>
    <n v="-46553.7"/>
    <n v="-64741.82"/>
    <n v="-56896.18"/>
    <n v="-57063.14"/>
    <n v="-62385.38"/>
    <n v="-57460.46"/>
    <n v="-61135.3"/>
    <n v="-65523.96"/>
    <n v="-68456.13"/>
    <n v="-46287.18"/>
    <n v="-707100.37000000011"/>
    <n v="-22168.950000000004"/>
  </r>
  <r>
    <x v="18"/>
    <x v="0"/>
    <x v="0"/>
    <s v="4340102"/>
    <n v="400010"/>
    <s v="Acute I/P Svcs Rev--Medicaid"/>
    <s v="Occupational Therapy"/>
    <x v="0"/>
    <n v="1200"/>
    <n v="-9332.74"/>
    <n v="-2895.33"/>
    <n v="-8121.12"/>
    <n v="-11901.09"/>
    <n v="-6911.22"/>
    <n v="-8037"/>
    <n v="-8714.92"/>
    <n v="-4482.6000000000004"/>
    <n v="-2546.1999999999998"/>
    <n v="-7810.04"/>
    <n v="-13690.72"/>
    <n v="-13698.32"/>
    <n v="-98141.299999999988"/>
    <n v="7.6000000000003638"/>
  </r>
  <r>
    <x v="18"/>
    <x v="0"/>
    <x v="0"/>
    <s v="4340102"/>
    <n v="400010"/>
    <s v="Acute I/P Svcs Rev--Comm Insurance"/>
    <s v="Occupational Therapy"/>
    <x v="0"/>
    <n v="1300"/>
    <n v="-241.57"/>
    <n v="-483.54"/>
    <n v="-1050.4000000000001"/>
    <n v="1050.4000000000001"/>
    <n v="-1052.9100000000001"/>
    <n v="-191.43"/>
    <n v="-3151.06"/>
    <n v="1006.23"/>
    <n v="1689.58"/>
    <n v="-887.29"/>
    <n v="0"/>
    <n v="-540.94000000000005"/>
    <n v="-3852.9300000000007"/>
    <n v="540.94000000000005"/>
  </r>
  <r>
    <x v="18"/>
    <x v="0"/>
    <x v="0"/>
    <s v="4340102"/>
    <n v="400010"/>
    <s v="Acute I/P Svcs Rev--BCBS Comm"/>
    <s v="Occupational Therapy"/>
    <x v="0"/>
    <n v="1301"/>
    <n v="-4164.88"/>
    <n v="-4270.46"/>
    <n v="-382.9"/>
    <n v="-3887.47"/>
    <n v="-581.80999999999995"/>
    <n v="-3414.03"/>
    <n v="-2253.16"/>
    <n v="-5700.03"/>
    <n v="-3317.6"/>
    <n v="0"/>
    <n v="-2227.62"/>
    <n v="-6953.46"/>
    <n v="-37153.42"/>
    <n v="4725.84"/>
  </r>
  <r>
    <x v="18"/>
    <x v="0"/>
    <x v="0"/>
    <s v="4340102"/>
    <n v="400010"/>
    <s v="Acute I/P Svcs Rev--Managed Care"/>
    <s v="Occupational Therapy"/>
    <x v="0"/>
    <n v="1400"/>
    <n v="-10275.81"/>
    <n v="-7966.43"/>
    <n v="-4366.07"/>
    <n v="-7536.61"/>
    <n v="-4082.77"/>
    <n v="-10441.16"/>
    <n v="-6736.8"/>
    <n v="-6029.67"/>
    <n v="-4540.33"/>
    <n v="-3814.75"/>
    <n v="-10453.49"/>
    <n v="-3597.79"/>
    <n v="-79841.679999999993"/>
    <n v="-6855.7"/>
  </r>
  <r>
    <x v="18"/>
    <x v="0"/>
    <x v="0"/>
    <s v="4340102"/>
    <n v="400010"/>
    <s v="Acute I/P Svcs Rev--Self Pay"/>
    <s v="Occupational Therapy"/>
    <x v="0"/>
    <n v="1500"/>
    <n v="0"/>
    <n v="-2891.36"/>
    <n v="-3517.76"/>
    <n v="-1463.76"/>
    <n v="1453.04"/>
    <n v="3545.71"/>
    <n v="746.04"/>
    <n v="-1453.04"/>
    <n v="-2356.2600000000002"/>
    <n v="-642.01"/>
    <n v="-1180.8599999999999"/>
    <n v="834.51"/>
    <n v="-6925.7500000000009"/>
    <n v="-2015.37"/>
  </r>
  <r>
    <x v="18"/>
    <x v="0"/>
    <x v="0"/>
    <s v="4340102"/>
    <n v="400010"/>
    <s v="Acute I/P Svcs Rev--Other"/>
    <s v="Occupational Therapy"/>
    <x v="0"/>
    <n v="1700"/>
    <n v="-3120.79"/>
    <n v="-2866.54"/>
    <n v="-527.71"/>
    <n v="-684.71"/>
    <n v="-2180.5500000000002"/>
    <n v="-1578.09"/>
    <n v="-861.46"/>
    <n v="-738.13"/>
    <n v="527.73"/>
    <n v="-2062.63"/>
    <n v="-2560.7399999999998"/>
    <n v="-2184.64"/>
    <n v="-18838.259999999995"/>
    <n v="-376.09999999999991"/>
  </r>
  <r>
    <x v="19"/>
    <x v="0"/>
    <x v="0"/>
    <s v="4340102"/>
    <n v="400020"/>
    <s v="O/P Care Svcs Rev--Medicare"/>
    <s v="Occupational Therapy"/>
    <x v="0"/>
    <n v="1100"/>
    <n v="-31540.400000000001"/>
    <n v="-36818.19"/>
    <n v="-30643.91"/>
    <n v="-38777.97"/>
    <n v="-43413.03"/>
    <n v="-36993.19"/>
    <n v="-52131.22"/>
    <n v="-45805.66"/>
    <n v="-65828.77"/>
    <n v="-51887.75"/>
    <n v="-30810.05"/>
    <n v="-49398.68"/>
    <n v="-514048.82000000007"/>
    <n v="18588.63"/>
  </r>
  <r>
    <x v="19"/>
    <x v="0"/>
    <x v="0"/>
    <s v="4340102"/>
    <n v="400020"/>
    <s v="O/P Care Svcs Rev--Medicaid"/>
    <s v="Occupational Therapy"/>
    <x v="0"/>
    <n v="1200"/>
    <n v="-18217.849999999999"/>
    <n v="-21880.21"/>
    <n v="-25211.1"/>
    <n v="-31115.84"/>
    <n v="-17138.810000000001"/>
    <n v="-28047.759999999998"/>
    <n v="-15724.28"/>
    <n v="-16191.68"/>
    <n v="-26032.65"/>
    <n v="-39967.35"/>
    <n v="-37697.660000000003"/>
    <n v="-39614.870000000003"/>
    <n v="-316840.06"/>
    <n v="1917.2099999999991"/>
  </r>
  <r>
    <x v="19"/>
    <x v="0"/>
    <x v="0"/>
    <s v="4340102"/>
    <n v="400020"/>
    <s v="O/P Care Svcs Rev--Comm Insurance"/>
    <s v="Occupational Therapy"/>
    <x v="0"/>
    <n v="1300"/>
    <n v="-8480.7800000000007"/>
    <n v="-8360.4599999999991"/>
    <n v="-8546.81"/>
    <n v="2966.43"/>
    <n v="-426.39"/>
    <n v="-1484.91"/>
    <n v="-2792.48"/>
    <n v="-3443.92"/>
    <n v="-2841.01"/>
    <n v="-7333.83"/>
    <n v="-7070.52"/>
    <n v="-853.6"/>
    <n v="-48668.279999999992"/>
    <n v="-6216.92"/>
  </r>
  <r>
    <x v="19"/>
    <x v="0"/>
    <x v="0"/>
    <s v="4340102"/>
    <n v="400020"/>
    <s v="O/P Care Svcs Rev--BCBS Comm"/>
    <s v="Occupational Therapy"/>
    <x v="0"/>
    <n v="1301"/>
    <n v="-1732.77"/>
    <n v="-2908.33"/>
    <n v="-9363.42"/>
    <n v="-21031.95"/>
    <n v="-15112.16"/>
    <n v="-14017.06"/>
    <n v="-13671.12"/>
    <n v="-6945.1"/>
    <n v="-8757.0499999999993"/>
    <n v="-16887.98"/>
    <n v="-19699.09"/>
    <n v="-5866.33"/>
    <n v="-135992.35999999999"/>
    <n v="-13832.76"/>
  </r>
  <r>
    <x v="19"/>
    <x v="0"/>
    <x v="0"/>
    <s v="4340102"/>
    <n v="400020"/>
    <s v="O/P Care Svcs Rev--Managed Care"/>
    <s v="Occupational Therapy"/>
    <x v="0"/>
    <n v="1400"/>
    <n v="-29441.040000000001"/>
    <n v="-32274.93"/>
    <n v="-18675.36"/>
    <n v="-13114.35"/>
    <n v="-19168"/>
    <n v="-32796.31"/>
    <n v="-34504.61"/>
    <n v="-31124.11"/>
    <n v="-37730.35"/>
    <n v="-32610.11"/>
    <n v="-27124.97"/>
    <n v="-28726.66"/>
    <n v="-337290.8"/>
    <n v="1601.6899999999987"/>
  </r>
  <r>
    <x v="19"/>
    <x v="0"/>
    <x v="0"/>
    <s v="4340102"/>
    <n v="400020"/>
    <s v="O/P Care Svcs Rev--Self Pay"/>
    <s v="Occupational Therapy"/>
    <x v="0"/>
    <n v="1500"/>
    <n v="-1874.98"/>
    <n v="-2490.41"/>
    <n v="-3356.14"/>
    <n v="-2879.21"/>
    <n v="-5883.28"/>
    <n v="-1017.17"/>
    <n v="-251.43"/>
    <n v="-2045.49"/>
    <n v="-2397.7399999999998"/>
    <n v="0"/>
    <n v="0"/>
    <n v="-2430.5500000000002"/>
    <n v="-24626.399999999998"/>
    <n v="2430.5500000000002"/>
  </r>
  <r>
    <x v="19"/>
    <x v="0"/>
    <x v="0"/>
    <s v="4340102"/>
    <n v="400020"/>
    <s v="O/P Care Svcs Rev--Other"/>
    <s v="Occupational Therapy"/>
    <x v="0"/>
    <n v="1700"/>
    <n v="-18538.169999999998"/>
    <n v="-28187.85"/>
    <n v="-33643.83"/>
    <n v="-41897.699999999997"/>
    <n v="-29981.68"/>
    <n v="-17660.03"/>
    <n v="-8948.02"/>
    <n v="-12280.1"/>
    <n v="-12926.66"/>
    <n v="-18402.02"/>
    <n v="-11926.89"/>
    <n v="-16431.32"/>
    <n v="-250824.27000000002"/>
    <n v="4504.43"/>
  </r>
  <r>
    <x v="5"/>
    <x v="0"/>
    <x v="0"/>
    <s v="4340102"/>
    <n v="700032"/>
    <s v="Salaries-Other Pat Care Providers-Productive"/>
    <s v="Occupational Therapy"/>
    <x v="0"/>
    <m/>
    <n v="20713.48"/>
    <n v="20586.27"/>
    <n v="21655.52"/>
    <n v="24221.08"/>
    <n v="23572.05"/>
    <n v="22224.16"/>
    <n v="20990.76"/>
    <n v="19295.62"/>
    <n v="26442.58"/>
    <n v="24889.79"/>
    <n v="23057.040000000001"/>
    <n v="23603.57"/>
    <n v="271251.92000000004"/>
    <n v="-546.52999999999884"/>
  </r>
  <r>
    <x v="5"/>
    <x v="0"/>
    <x v="0"/>
    <s v="4340102"/>
    <n v="700032"/>
    <s v="Salaries-Other Pat Care Providers-OT"/>
    <s v="Occupational Therapy"/>
    <x v="0"/>
    <n v="1000"/>
    <n v="69.239999999999995"/>
    <n v="601.46"/>
    <n v="219.99"/>
    <n v="-26.26"/>
    <n v="90.26"/>
    <n v="174.93"/>
    <n v="0"/>
    <n v="0"/>
    <n v="447.68"/>
    <n v="133.47"/>
    <n v="474.09"/>
    <n v="-157.1"/>
    <n v="2027.7600000000002"/>
    <n v="631.18999999999994"/>
  </r>
  <r>
    <x v="5"/>
    <x v="0"/>
    <x v="0"/>
    <s v="4340102"/>
    <n v="700032"/>
    <s v="Salaries-Other Pat Care Providers-Other"/>
    <s v="Occupational Therapy"/>
    <x v="0"/>
    <n v="2000"/>
    <n v="186.82"/>
    <n v="113.68"/>
    <n v="184.67"/>
    <n v="63.66"/>
    <n v="263.82"/>
    <n v="37.4"/>
    <n v="118.34"/>
    <n v="183.63"/>
    <n v="192.17"/>
    <n v="115.42"/>
    <n v="11.86"/>
    <n v="111.86"/>
    <n v="1583.33"/>
    <n v="-100"/>
  </r>
  <r>
    <x v="5"/>
    <x v="0"/>
    <x v="0"/>
    <s v="4340102"/>
    <n v="700054"/>
    <s v="Salaries-Management-NonProd-Other"/>
    <s v="Occupational Therapy"/>
    <x v="0"/>
    <n v="2000"/>
    <n v="0"/>
    <n v="0"/>
    <n v="0"/>
    <n v="0"/>
    <n v="0"/>
    <n v="140.9"/>
    <n v="-140.9"/>
    <n v="0"/>
    <n v="0"/>
    <n v="0"/>
    <n v="0"/>
    <n v="0"/>
    <n v="0"/>
    <n v="0"/>
  </r>
  <r>
    <x v="5"/>
    <x v="0"/>
    <x v="0"/>
    <s v="4340102"/>
    <n v="700072"/>
    <s v="Salaries-Other Pat Care Providers-Non-productive"/>
    <s v="Occupational Therapy"/>
    <x v="0"/>
    <m/>
    <n v="6185.43"/>
    <n v="5050.96"/>
    <n v="4539.07"/>
    <n v="2193.5100000000002"/>
    <n v="3673.62"/>
    <n v="4068.67"/>
    <n v="6013.41"/>
    <n v="4595.16"/>
    <n v="1028.97"/>
    <n v="1018.13"/>
    <n v="3532.97"/>
    <n v="2035.76"/>
    <n v="43935.66"/>
    <n v="1497.2099999999998"/>
  </r>
  <r>
    <x v="5"/>
    <x v="0"/>
    <x v="0"/>
    <s v="4340102"/>
    <n v="700072"/>
    <s v="Salaries-Other Pat Care Providers-NonProd-Other"/>
    <s v="Occupational Therap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4340102"/>
    <n v="700084"/>
    <s v="Accrued PTO"/>
    <s v="Occupational Therapy"/>
    <x v="0"/>
    <m/>
    <n v="-903.68"/>
    <n v="-1442.54"/>
    <n v="-826.32"/>
    <n v="2735.42"/>
    <n v="392.1"/>
    <n v="-181.01"/>
    <n v="-2211.08"/>
    <n v="-1437.32"/>
    <n v="2091.0500000000002"/>
    <n v="2019.1"/>
    <n v="753.54"/>
    <n v="2428.64"/>
    <n v="3417.9000000000005"/>
    <n v="-1675.1"/>
  </r>
  <r>
    <x v="6"/>
    <x v="0"/>
    <x v="0"/>
    <s v="4340102"/>
    <n v="713010"/>
    <s v="Benefits-FICA/Medicare"/>
    <s v="Occupational Therapy"/>
    <x v="0"/>
    <m/>
    <n v="2063.5300000000002"/>
    <n v="2002.19"/>
    <n v="2021.49"/>
    <n v="2009.73"/>
    <n v="2130.9299999999998"/>
    <n v="2255.4299999999998"/>
    <n v="2054.77"/>
    <n v="1814.06"/>
    <n v="2119.75"/>
    <n v="1968.83"/>
    <n v="2038.83"/>
    <n v="1929.24"/>
    <n v="24408.780000000002"/>
    <n v="109.58999999999992"/>
  </r>
  <r>
    <x v="6"/>
    <x v="0"/>
    <x v="0"/>
    <s v="4340102"/>
    <n v="713090"/>
    <s v="Benefits-Allocated Amounts"/>
    <s v="Occupational Therapy"/>
    <x v="0"/>
    <m/>
    <n v="4536.3"/>
    <n v="3880.49"/>
    <n v="4324.5200000000004"/>
    <n v="4232.04"/>
    <n v="4402.46"/>
    <n v="4063.63"/>
    <n v="4348.34"/>
    <n v="4231.37"/>
    <n v="4531.96"/>
    <n v="4546.8100000000004"/>
    <n v="4552.82"/>
    <n v="4659.88"/>
    <n v="52310.619999999995"/>
    <n v="-107.0600000000004"/>
  </r>
  <r>
    <x v="7"/>
    <x v="0"/>
    <x v="0"/>
    <s v="4340102"/>
    <n v="718050"/>
    <s v="Translation Services"/>
    <s v="Occupational Therapy"/>
    <x v="0"/>
    <n v="1025"/>
    <n v="0"/>
    <n v="203"/>
    <n v="164.5"/>
    <n v="73"/>
    <n v="79.63"/>
    <n v="129.5"/>
    <n v="104"/>
    <n v="96"/>
    <n v="160"/>
    <n v="0"/>
    <n v="312"/>
    <n v="0"/>
    <n v="1321.63"/>
    <n v="312"/>
  </r>
  <r>
    <x v="11"/>
    <x v="0"/>
    <x v="0"/>
    <s v="4340102"/>
    <n v="721010"/>
    <s v="Supplies-Medical - Billable"/>
    <s v="Occupational Therapy"/>
    <x v="0"/>
    <m/>
    <n v="-94.13"/>
    <n v="154.58000000000001"/>
    <n v="311.02"/>
    <n v="-1.02"/>
    <n v="0"/>
    <n v="0"/>
    <n v="109.11"/>
    <n v="130.19"/>
    <n v="564.91"/>
    <n v="24.86"/>
    <n v="18.440000000000001"/>
    <n v="372.33"/>
    <n v="1590.2899999999997"/>
    <n v="-353.89"/>
  </r>
  <r>
    <x v="11"/>
    <x v="0"/>
    <x v="0"/>
    <s v="4340102"/>
    <n v="721020"/>
    <s v="Supplies-Surgical - Billable"/>
    <s v="Occupational Therapy"/>
    <x v="0"/>
    <m/>
    <n v="0"/>
    <n v="0"/>
    <n v="81.06"/>
    <n v="32.67"/>
    <n v="32.67"/>
    <n v="0"/>
    <n v="19.25"/>
    <n v="0"/>
    <n v="0"/>
    <n v="0"/>
    <n v="0"/>
    <n v="35.94"/>
    <n v="201.59"/>
    <n v="-35.94"/>
  </r>
  <r>
    <x v="11"/>
    <x v="0"/>
    <x v="0"/>
    <s v="4340102"/>
    <n v="721410"/>
    <s v="Supplies-Medical - Nonbillable"/>
    <s v="Occupational Therapy"/>
    <x v="0"/>
    <m/>
    <n v="80.400000000000006"/>
    <n v="-2.98"/>
    <n v="290.83999999999997"/>
    <n v="155.09"/>
    <n v="154.34"/>
    <n v="33.89"/>
    <n v="-157.84"/>
    <n v="95.06"/>
    <n v="102.17"/>
    <n v="-1651.45"/>
    <n v="-67.02"/>
    <n v="0"/>
    <n v="-967.50000000000011"/>
    <n v="-67.02"/>
  </r>
  <r>
    <x v="11"/>
    <x v="0"/>
    <x v="0"/>
    <s v="4340102"/>
    <n v="721750"/>
    <s v="Supplies-Film/Radiographic - Nonbillable"/>
    <s v="Occupational Therapy"/>
    <x v="0"/>
    <m/>
    <n v="0"/>
    <n v="0"/>
    <n v="62.08"/>
    <n v="0"/>
    <n v="0"/>
    <n v="0"/>
    <n v="6.69"/>
    <n v="19.7"/>
    <n v="0"/>
    <n v="0"/>
    <n v="0"/>
    <n v="0"/>
    <n v="88.47"/>
    <n v="0"/>
  </r>
  <r>
    <x v="11"/>
    <x v="0"/>
    <x v="0"/>
    <s v="4340102"/>
    <n v="721830"/>
    <s v="Supplies-Office"/>
    <s v="Occupational Therapy"/>
    <x v="0"/>
    <m/>
    <n v="0"/>
    <n v="24.66"/>
    <n v="0"/>
    <n v="0"/>
    <n v="0"/>
    <n v="0"/>
    <n v="0"/>
    <n v="0"/>
    <n v="0"/>
    <n v="32.549999999999997"/>
    <n v="0"/>
    <n v="0"/>
    <n v="57.209999999999994"/>
    <n v="0"/>
  </r>
  <r>
    <x v="11"/>
    <x v="0"/>
    <x v="0"/>
    <s v="4340102"/>
    <n v="721870"/>
    <s v="Supplies-Environmental Services"/>
    <s v="Occupational Therapy"/>
    <x v="0"/>
    <m/>
    <n v="0"/>
    <n v="0"/>
    <n v="0"/>
    <n v="18.12"/>
    <n v="0"/>
    <n v="0"/>
    <n v="22.67"/>
    <n v="0"/>
    <n v="0"/>
    <n v="0"/>
    <n v="0"/>
    <n v="0"/>
    <n v="40.790000000000006"/>
    <n v="0"/>
  </r>
  <r>
    <x v="11"/>
    <x v="0"/>
    <x v="0"/>
    <s v="4340102"/>
    <n v="721910"/>
    <s v="Supplies-Small Equipment"/>
    <s v="Occupational Therapy"/>
    <x v="0"/>
    <m/>
    <n v="0"/>
    <n v="10.08"/>
    <n v="0"/>
    <n v="0"/>
    <n v="0"/>
    <n v="0"/>
    <n v="0"/>
    <n v="0"/>
    <n v="0"/>
    <n v="0"/>
    <n v="0"/>
    <n v="0"/>
    <n v="10.08"/>
    <n v="0"/>
  </r>
  <r>
    <x v="11"/>
    <x v="0"/>
    <x v="0"/>
    <s v="4340102"/>
    <n v="721980"/>
    <s v="Supplies-Other"/>
    <s v="Occupational Therapy"/>
    <x v="0"/>
    <m/>
    <n v="0"/>
    <n v="0"/>
    <n v="0"/>
    <n v="0"/>
    <n v="94.59"/>
    <n v="0"/>
    <n v="0"/>
    <n v="0"/>
    <n v="82.95"/>
    <n v="0"/>
    <n v="0"/>
    <n v="0"/>
    <n v="177.54000000000002"/>
    <n v="0"/>
  </r>
  <r>
    <x v="11"/>
    <x v="0"/>
    <x v="0"/>
    <s v="4340102"/>
    <n v="722000"/>
    <s v="Supplies-Freight Expense"/>
    <s v="Occupational Therapy"/>
    <x v="0"/>
    <m/>
    <n v="0"/>
    <n v="2.98"/>
    <n v="0"/>
    <n v="1.55"/>
    <n v="0"/>
    <n v="0"/>
    <n v="0"/>
    <n v="0"/>
    <n v="0"/>
    <n v="0"/>
    <n v="0"/>
    <n v="20.68"/>
    <n v="25.21"/>
    <n v="-20.68"/>
  </r>
  <r>
    <x v="15"/>
    <x v="0"/>
    <x v="0"/>
    <s v="4340102"/>
    <n v="731060"/>
    <s v="Pagers"/>
    <s v="Occupational Therapy"/>
    <x v="0"/>
    <n v="1002"/>
    <n v="24.3"/>
    <n v="24.3"/>
    <n v="24.3"/>
    <n v="24.36"/>
    <n v="24.36"/>
    <n v="0"/>
    <n v="48.72"/>
    <n v="24.36"/>
    <n v="24.36"/>
    <n v="24.36"/>
    <n v="24.36"/>
    <n v="24.36"/>
    <n v="292.14000000000004"/>
    <n v="0"/>
  </r>
  <r>
    <x v="13"/>
    <x v="0"/>
    <x v="0"/>
    <s v="4340102"/>
    <n v="735070"/>
    <s v="Depreciation-Movable Equipment"/>
    <s v="Occupational Therapy"/>
    <x v="0"/>
    <m/>
    <n v="90.61"/>
    <n v="49.6"/>
    <n v="49.61"/>
    <n v="49.6"/>
    <n v="0"/>
    <n v="0"/>
    <n v="0"/>
    <n v="0"/>
    <n v="0"/>
    <n v="0"/>
    <n v="0"/>
    <n v="0"/>
    <n v="239.42"/>
    <n v="0"/>
  </r>
  <r>
    <x v="0"/>
    <x v="0"/>
    <x v="0"/>
    <s v="4340102"/>
    <n v="740020"/>
    <s v="Education-Registration Fees"/>
    <s v="Occupational Therapy"/>
    <x v="0"/>
    <m/>
    <n v="0"/>
    <n v="0"/>
    <n v="0"/>
    <n v="0"/>
    <n v="0"/>
    <n v="0"/>
    <n v="0"/>
    <n v="0"/>
    <n v="0"/>
    <n v="0"/>
    <n v="713.34"/>
    <n v="179"/>
    <n v="892.34"/>
    <n v="534.34"/>
  </r>
  <r>
    <x v="0"/>
    <x v="0"/>
    <x v="0"/>
    <s v="4340102"/>
    <n v="749510"/>
    <s v="Miscellaneous Expenses"/>
    <s v="Occupational Therapy"/>
    <x v="0"/>
    <m/>
    <n v="0"/>
    <n v="0"/>
    <n v="0"/>
    <n v="0"/>
    <n v="0"/>
    <n v="0"/>
    <n v="0"/>
    <n v="0"/>
    <n v="0"/>
    <n v="0"/>
    <n v="179"/>
    <n v="-179"/>
    <n v="0"/>
    <n v="358"/>
  </r>
  <r>
    <x v="18"/>
    <x v="4"/>
    <x v="0"/>
    <s v="4340103"/>
    <n v="400010"/>
    <s v="Acute I/P Svcs Rev--Medicare"/>
    <s v="Occupational Therapy"/>
    <x v="0"/>
    <n v="1100"/>
    <n v="-69583.09"/>
    <n v="-103557.79"/>
    <n v="-86501.1"/>
    <n v="-76068.710000000006"/>
    <n v="-85559.55"/>
    <n v="-91188.67"/>
    <n v="-103638.8"/>
    <n v="-90885.02"/>
    <n v="-105111.7"/>
    <n v="-84664.01"/>
    <n v="-102710.31"/>
    <n v="-96973.11"/>
    <n v="-1096441.8600000001"/>
    <n v="-5737.1999999999971"/>
  </r>
  <r>
    <x v="18"/>
    <x v="4"/>
    <x v="0"/>
    <s v="4340103"/>
    <n v="400010"/>
    <s v="Acute I/P Svcs Rev--Medicaid"/>
    <s v="Occupational Therapy"/>
    <x v="0"/>
    <n v="1200"/>
    <n v="-13992.83"/>
    <n v="-12114.16"/>
    <n v="-6593"/>
    <n v="-14594.03"/>
    <n v="-14064.91"/>
    <n v="-30305.16"/>
    <n v="-24566.92"/>
    <n v="-21685.18"/>
    <n v="-18966.669999999998"/>
    <n v="-32545.16"/>
    <n v="-15324.25"/>
    <n v="-15930.69"/>
    <n v="-220682.96"/>
    <n v="606.44000000000051"/>
  </r>
  <r>
    <x v="18"/>
    <x v="4"/>
    <x v="0"/>
    <s v="4340103"/>
    <n v="400010"/>
    <s v="Acute I/P Svcs Rev--Comm Insurance"/>
    <s v="Occupational Therapy"/>
    <x v="0"/>
    <n v="1300"/>
    <n v="-2847.15"/>
    <n v="285.43"/>
    <n v="0"/>
    <n v="-2795.59"/>
    <n v="-3040.71"/>
    <n v="525.20000000000005"/>
    <n v="-1940.97"/>
    <n v="-1464.03"/>
    <n v="1285.94"/>
    <n v="155.21"/>
    <n v="-2408.98"/>
    <n v="-1476.26"/>
    <n v="-13721.910000000002"/>
    <n v="-932.72"/>
  </r>
  <r>
    <x v="18"/>
    <x v="4"/>
    <x v="0"/>
    <s v="4340103"/>
    <n v="400010"/>
    <s v="Acute I/P Svcs Rev--BCBS Comm"/>
    <s v="Occupational Therapy"/>
    <x v="0"/>
    <n v="1301"/>
    <n v="-1283.3900000000001"/>
    <n v="-1433.26"/>
    <n v="-3706.18"/>
    <n v="-1974.69"/>
    <n v="-1960.99"/>
    <n v="-4488.7"/>
    <n v="-3943.25"/>
    <n v="-1820.01"/>
    <n v="-4681.3900000000003"/>
    <n v="-6445.98"/>
    <n v="-2497.36"/>
    <n v="-4044.43"/>
    <n v="-38279.629999999997"/>
    <n v="1547.0699999999997"/>
  </r>
  <r>
    <x v="18"/>
    <x v="4"/>
    <x v="0"/>
    <s v="4340103"/>
    <n v="400010"/>
    <s v="Acute I/P Svcs Rev--Managed Care"/>
    <s v="Occupational Therapy"/>
    <x v="0"/>
    <n v="1400"/>
    <n v="-7971.16"/>
    <n v="-9098.2900000000009"/>
    <n v="-3634.72"/>
    <n v="-4925.74"/>
    <n v="-6188.26"/>
    <n v="-5013.92"/>
    <n v="-11773.9"/>
    <n v="-9977.15"/>
    <n v="1289.69"/>
    <n v="-5702.67"/>
    <n v="212.27"/>
    <n v="-4909.84"/>
    <n v="-67693.69"/>
    <n v="5122.1100000000006"/>
  </r>
  <r>
    <x v="18"/>
    <x v="4"/>
    <x v="0"/>
    <s v="4340103"/>
    <n v="400010"/>
    <s v="Acute I/P Svcs Rev--Self Pay"/>
    <s v="Occupational Therapy"/>
    <x v="0"/>
    <n v="1500"/>
    <n v="0"/>
    <n v="-5229.37"/>
    <n v="0"/>
    <n v="0"/>
    <n v="-881.22"/>
    <n v="-716.65"/>
    <n v="716.65"/>
    <n v="0"/>
    <n v="-4247.54"/>
    <n v="-80.2"/>
    <n v="-540.94000000000005"/>
    <n v="-738.13"/>
    <n v="-11717.400000000001"/>
    <n v="197.18999999999994"/>
  </r>
  <r>
    <x v="18"/>
    <x v="4"/>
    <x v="0"/>
    <s v="4340103"/>
    <n v="400010"/>
    <s v="Acute I/P Svcs Rev--Other"/>
    <s v="Occupational Therapy"/>
    <x v="0"/>
    <n v="1700"/>
    <n v="-3631.15"/>
    <n v="-4425.3"/>
    <n v="-1575.54"/>
    <n v="-7720.92"/>
    <n v="-3086.91"/>
    <n v="-4029.75"/>
    <n v="-9275.6299999999992"/>
    <n v="-6488.43"/>
    <n v="-10143.06"/>
    <n v="-6429.93"/>
    <n v="-9190.64"/>
    <n v="-4118.5"/>
    <n v="-70115.760000000009"/>
    <n v="-5072.1399999999994"/>
  </r>
  <r>
    <x v="19"/>
    <x v="4"/>
    <x v="0"/>
    <s v="4340103"/>
    <n v="400020"/>
    <s v="O/P Care Svcs Rev--Medicare"/>
    <s v="Occupational Therapy"/>
    <x v="0"/>
    <n v="1100"/>
    <n v="-41797.120000000003"/>
    <n v="-34239.03"/>
    <n v="-33468.83"/>
    <n v="-57853.45"/>
    <n v="-36914.550000000003"/>
    <n v="-29199.62"/>
    <n v="-50426.18"/>
    <n v="-31439.66"/>
    <n v="-24810.400000000001"/>
    <n v="-47944.55"/>
    <n v="-37034.49"/>
    <n v="-34852.22"/>
    <n v="-459980.1"/>
    <n v="-2182.2699999999968"/>
  </r>
  <r>
    <x v="19"/>
    <x v="4"/>
    <x v="0"/>
    <s v="4340103"/>
    <n v="400020"/>
    <s v="O/P Care Svcs Rev--Medicaid"/>
    <s v="Occupational Therapy"/>
    <x v="0"/>
    <n v="1200"/>
    <n v="-14880.51"/>
    <n v="-11857.02"/>
    <n v="-13482.48"/>
    <n v="-23829.62"/>
    <n v="-22827.54"/>
    <n v="-11722.99"/>
    <n v="-9618.91"/>
    <n v="-11531.16"/>
    <n v="-8744.25"/>
    <n v="-11339.72"/>
    <n v="-12983.68"/>
    <n v="-9545.0300000000007"/>
    <n v="-162362.90999999997"/>
    <n v="-3438.6499999999996"/>
  </r>
  <r>
    <x v="19"/>
    <x v="4"/>
    <x v="0"/>
    <s v="4340103"/>
    <n v="400020"/>
    <s v="O/P Care Svcs Rev--Comm Insurance"/>
    <s v="Occupational Therapy"/>
    <x v="0"/>
    <n v="1300"/>
    <n v="-1674.45"/>
    <n v="-3895.35"/>
    <n v="-3080.25"/>
    <n v="-2935.03"/>
    <n v="-4299.91"/>
    <n v="-1677.64"/>
    <n v="-1525.68"/>
    <n v="0"/>
    <n v="-1058.78"/>
    <n v="-540.94000000000005"/>
    <n v="-2892.52"/>
    <n v="-2715.9"/>
    <n v="-26296.45"/>
    <n v="-176.61999999999989"/>
  </r>
  <r>
    <x v="19"/>
    <x v="4"/>
    <x v="0"/>
    <s v="4340103"/>
    <n v="400020"/>
    <s v="O/P Care Svcs Rev--BCBS Comm"/>
    <s v="Occupational Therapy"/>
    <x v="0"/>
    <n v="1301"/>
    <n v="-2559.08"/>
    <n v="-418.87"/>
    <n v="-230.41"/>
    <n v="-944.93"/>
    <n v="-1003.31"/>
    <n v="-2630.25"/>
    <n v="0"/>
    <n v="-1936.13"/>
    <n v="-7862.49"/>
    <n v="-4026.25"/>
    <n v="-2478.4299999999998"/>
    <n v="-6710.82"/>
    <n v="-30800.97"/>
    <n v="4232.3899999999994"/>
  </r>
  <r>
    <x v="19"/>
    <x v="4"/>
    <x v="0"/>
    <s v="4340103"/>
    <n v="400020"/>
    <s v="O/P Care Svcs Rev--Managed Care"/>
    <s v="Occupational Therapy"/>
    <x v="0"/>
    <n v="1400"/>
    <n v="-5659.82"/>
    <n v="-5300.42"/>
    <n v="-4133.0600000000004"/>
    <n v="-7092.92"/>
    <n v="-6888.35"/>
    <n v="-7516.79"/>
    <n v="-13675.61"/>
    <n v="-7102.42"/>
    <n v="-5535.21"/>
    <n v="-7151.99"/>
    <n v="-5588.89"/>
    <n v="-5593.31"/>
    <n v="-81238.789999999994"/>
    <n v="4.4200000000000728"/>
  </r>
  <r>
    <x v="19"/>
    <x v="4"/>
    <x v="0"/>
    <s v="4340103"/>
    <n v="400020"/>
    <s v="O/P Care Svcs Rev--Self Pay"/>
    <s v="Occupational Therapy"/>
    <x v="0"/>
    <n v="1500"/>
    <n v="0"/>
    <n v="0"/>
    <n v="0"/>
    <n v="-3516.75"/>
    <n v="1839.16"/>
    <n v="-309.63"/>
    <n v="0"/>
    <n v="0"/>
    <n v="0"/>
    <n v="-2283.7600000000002"/>
    <n v="0"/>
    <n v="-735.53"/>
    <n v="-5006.5099999999993"/>
    <n v="735.53"/>
  </r>
  <r>
    <x v="19"/>
    <x v="4"/>
    <x v="0"/>
    <s v="4340103"/>
    <n v="400020"/>
    <s v="O/P Care Svcs Rev--Other"/>
    <s v="Occupational Therapy"/>
    <x v="0"/>
    <n v="1700"/>
    <n v="-3920.21"/>
    <n v="-7181.92"/>
    <n v="-8592.48"/>
    <n v="-3167.76"/>
    <n v="-6873.57"/>
    <n v="-4374.8100000000004"/>
    <n v="-4600.47"/>
    <n v="-7329.7"/>
    <n v="-6215.17"/>
    <n v="-8493.07"/>
    <n v="-9125.49"/>
    <n v="-9331.83"/>
    <n v="-79206.48"/>
    <n v="206.34000000000015"/>
  </r>
  <r>
    <x v="5"/>
    <x v="4"/>
    <x v="0"/>
    <s v="4340103"/>
    <n v="700032"/>
    <s v="Salaries-Other Pat Care Providers-Productive"/>
    <s v="Occupational Therapy"/>
    <x v="0"/>
    <m/>
    <n v="20060.14"/>
    <n v="22382.36"/>
    <n v="20758.93"/>
    <n v="20969.509999999998"/>
    <n v="24467.55"/>
    <n v="24673.89"/>
    <n v="25537.759999999998"/>
    <n v="20951.03"/>
    <n v="23524.639999999999"/>
    <n v="22192.87"/>
    <n v="24197.7"/>
    <n v="22684.74"/>
    <n v="272401.12"/>
    <n v="1512.9599999999991"/>
  </r>
  <r>
    <x v="5"/>
    <x v="4"/>
    <x v="0"/>
    <s v="4340103"/>
    <n v="700032"/>
    <s v="Salaries-Other Pat Care Providers-OT"/>
    <s v="Occupational Therapy"/>
    <x v="0"/>
    <n v="1000"/>
    <n v="134.22999999999999"/>
    <n v="33.729999999999997"/>
    <n v="432.33"/>
    <n v="139.94"/>
    <n v="68.91"/>
    <n v="374.45"/>
    <n v="496.34"/>
    <n v="204.82"/>
    <n v="235.01"/>
    <n v="228.23"/>
    <n v="251.08"/>
    <n v="-65.88"/>
    <n v="2533.1899999999996"/>
    <n v="316.96000000000004"/>
  </r>
  <r>
    <x v="5"/>
    <x v="4"/>
    <x v="0"/>
    <s v="4340103"/>
    <n v="700032"/>
    <s v="Salaries-Other Pat Care Providers-Other"/>
    <s v="Occupational Therapy"/>
    <x v="0"/>
    <n v="2000"/>
    <n v="60.78"/>
    <n v="62.41"/>
    <n v="71.11"/>
    <n v="58.65"/>
    <n v="55.13"/>
    <n v="416"/>
    <n v="963"/>
    <n v="848.23"/>
    <n v="1039.6199999999999"/>
    <n v="911.31"/>
    <n v="160.26"/>
    <n v="56.39"/>
    <n v="4702.8900000000003"/>
    <n v="103.86999999999999"/>
  </r>
  <r>
    <x v="5"/>
    <x v="4"/>
    <x v="0"/>
    <s v="4340103"/>
    <n v="700072"/>
    <s v="Salaries-Other Pat Care Providers-Non-productive"/>
    <s v="Occupational Therapy"/>
    <x v="0"/>
    <m/>
    <n v="8509.83"/>
    <n v="2038.06"/>
    <n v="5811.83"/>
    <n v="6931.27"/>
    <n v="-1749.47"/>
    <n v="2879.82"/>
    <n v="2878.47"/>
    <n v="7665.15"/>
    <n v="4578.58"/>
    <n v="3588.01"/>
    <n v="5810.87"/>
    <n v="2439.86"/>
    <n v="51382.280000000006"/>
    <n v="3371.0099999999998"/>
  </r>
  <r>
    <x v="5"/>
    <x v="4"/>
    <x v="0"/>
    <s v="4340103"/>
    <n v="700084"/>
    <s v="Accrued PTO"/>
    <s v="Occupational Therapy"/>
    <x v="0"/>
    <m/>
    <n v="-2489.25"/>
    <n v="2335.25"/>
    <n v="-1458.62"/>
    <n v="503.58"/>
    <n v="2895.92"/>
    <n v="2007.64"/>
    <n v="779.35"/>
    <n v="-3028.99"/>
    <n v="-219.82"/>
    <n v="-427.12"/>
    <n v="320.7"/>
    <n v="1208.3499999999999"/>
    <n v="2426.9900000000007"/>
    <n v="-887.64999999999986"/>
  </r>
  <r>
    <x v="6"/>
    <x v="4"/>
    <x v="0"/>
    <s v="4340103"/>
    <n v="713010"/>
    <s v="Benefits-FICA/Medicare"/>
    <s v="Occupational Therapy"/>
    <x v="0"/>
    <m/>
    <n v="2142.33"/>
    <n v="1823.75"/>
    <n v="2014.17"/>
    <n v="2097.21"/>
    <n v="1699.16"/>
    <n v="2117.4899999999998"/>
    <n v="2228.77"/>
    <n v="2220.42"/>
    <n v="2173.46"/>
    <n v="2023.35"/>
    <n v="2242.6999999999998"/>
    <n v="1855.92"/>
    <n v="24638.730000000003"/>
    <n v="386.77999999999975"/>
  </r>
  <r>
    <x v="6"/>
    <x v="4"/>
    <x v="0"/>
    <s v="4340103"/>
    <n v="713090"/>
    <s v="Benefits-Allocated Amounts"/>
    <s v="Occupational Therapy"/>
    <x v="0"/>
    <m/>
    <n v="4597.8599999999997"/>
    <n v="3527.21"/>
    <n v="4172.7299999999996"/>
    <n v="4192.9399999999996"/>
    <n v="3607.42"/>
    <n v="4399.5"/>
    <n v="4914.6400000000003"/>
    <n v="4982.1000000000004"/>
    <n v="4359.3500000000004"/>
    <n v="4493.1400000000003"/>
    <n v="5190.22"/>
    <n v="4283.46"/>
    <n v="52720.569999999992"/>
    <n v="906.76000000000022"/>
  </r>
  <r>
    <x v="7"/>
    <x v="4"/>
    <x v="0"/>
    <s v="4340103"/>
    <n v="718050"/>
    <s v="Translation Services"/>
    <s v="Occupational Therapy"/>
    <x v="0"/>
    <n v="1025"/>
    <n v="0"/>
    <n v="64"/>
    <n v="96"/>
    <n v="0"/>
    <n v="0"/>
    <n v="224"/>
    <n v="0"/>
    <n v="0"/>
    <n v="0"/>
    <n v="0"/>
    <n v="96"/>
    <n v="0"/>
    <n v="480"/>
    <n v="96"/>
  </r>
  <r>
    <x v="11"/>
    <x v="4"/>
    <x v="0"/>
    <s v="4340103"/>
    <n v="721010"/>
    <s v="Supplies-Medical - Billable"/>
    <s v="Occupational Therapy"/>
    <x v="0"/>
    <m/>
    <n v="0"/>
    <n v="0"/>
    <n v="183.84"/>
    <n v="66.95"/>
    <n v="66.95"/>
    <n v="0"/>
    <n v="31.92"/>
    <n v="82.07"/>
    <n v="27.09"/>
    <n v="6.04"/>
    <n v="13.11"/>
    <n v="0"/>
    <n v="477.97"/>
    <n v="13.11"/>
  </r>
  <r>
    <x v="11"/>
    <x v="4"/>
    <x v="0"/>
    <s v="4340103"/>
    <n v="721410"/>
    <s v="Supplies-Medical - Nonbillable"/>
    <s v="Occupational Therapy"/>
    <x v="0"/>
    <m/>
    <n v="0"/>
    <n v="0"/>
    <n v="0"/>
    <n v="39.06"/>
    <n v="0"/>
    <n v="15.43"/>
    <n v="30.86"/>
    <n v="156.80000000000001"/>
    <n v="-30.86"/>
    <n v="0"/>
    <n v="0"/>
    <n v="0"/>
    <n v="211.29000000000002"/>
    <n v="0"/>
  </r>
  <r>
    <x v="11"/>
    <x v="4"/>
    <x v="0"/>
    <s v="4340103"/>
    <n v="721980"/>
    <s v="Supplies-Other"/>
    <s v="Occupational Therapy"/>
    <x v="0"/>
    <m/>
    <n v="0"/>
    <n v="0"/>
    <n v="0"/>
    <n v="0"/>
    <n v="207.19"/>
    <n v="0"/>
    <n v="216.56"/>
    <n v="0"/>
    <n v="0"/>
    <n v="0"/>
    <n v="0"/>
    <n v="0"/>
    <n v="423.75"/>
    <n v="0"/>
  </r>
  <r>
    <x v="11"/>
    <x v="4"/>
    <x v="0"/>
    <s v="4340103"/>
    <n v="722000"/>
    <s v="Supplies-Freight Expense"/>
    <s v="Occupational Therapy"/>
    <x v="0"/>
    <m/>
    <n v="0"/>
    <n v="0"/>
    <n v="0"/>
    <n v="0"/>
    <n v="0"/>
    <n v="0"/>
    <n v="8.56"/>
    <n v="0"/>
    <n v="10.74"/>
    <n v="10.24"/>
    <n v="0"/>
    <n v="0"/>
    <n v="29.54"/>
    <n v="0"/>
  </r>
  <r>
    <x v="15"/>
    <x v="4"/>
    <x v="0"/>
    <s v="4340103"/>
    <n v="731060"/>
    <s v="Pagers"/>
    <s v="Occupational Therapy"/>
    <x v="0"/>
    <n v="1002"/>
    <n v="14.32"/>
    <n v="4.5"/>
    <n v="4.5"/>
    <n v="4.5"/>
    <n v="4.5"/>
    <n v="0"/>
    <n v="9"/>
    <n v="4.5"/>
    <n v="4.5"/>
    <n v="4.5"/>
    <n v="4.5"/>
    <n v="4.5"/>
    <n v="63.82"/>
    <n v="0"/>
  </r>
  <r>
    <x v="0"/>
    <x v="4"/>
    <x v="0"/>
    <s v="4340103"/>
    <n v="740020"/>
    <s v="Education-Registration Fees"/>
    <s v="Occupational Therapy"/>
    <x v="0"/>
    <m/>
    <n v="0"/>
    <n v="0"/>
    <n v="0"/>
    <n v="0"/>
    <n v="0"/>
    <n v="450"/>
    <n v="0"/>
    <n v="0"/>
    <n v="0"/>
    <n v="0"/>
    <n v="654.55999999999995"/>
    <n v="0"/>
    <n v="1104.56"/>
    <n v="654.55999999999995"/>
  </r>
  <r>
    <x v="0"/>
    <x v="4"/>
    <x v="0"/>
    <s v="4340103"/>
    <n v="749510"/>
    <s v="Miscellaneous Expenses"/>
    <s v="Occupational Therapy"/>
    <x v="0"/>
    <m/>
    <n v="-40.880000000000003"/>
    <n v="0"/>
    <n v="0"/>
    <n v="0"/>
    <n v="450"/>
    <n v="-450"/>
    <n v="0"/>
    <n v="0"/>
    <n v="0"/>
    <n v="0"/>
    <n v="0"/>
    <n v="0"/>
    <n v="-40.879999999999995"/>
    <n v="0"/>
  </r>
  <r>
    <x v="0"/>
    <x v="4"/>
    <x v="0"/>
    <s v="4340103"/>
    <n v="749530"/>
    <s v="Mileage"/>
    <s v="Occupational Therapy"/>
    <x v="0"/>
    <n v="1001"/>
    <n v="0"/>
    <n v="0"/>
    <n v="0"/>
    <n v="0"/>
    <n v="0"/>
    <n v="0"/>
    <n v="0"/>
    <n v="0"/>
    <n v="0"/>
    <n v="0"/>
    <n v="27.26"/>
    <n v="0"/>
    <n v="27.26"/>
    <n v="27.26"/>
  </r>
  <r>
    <x v="18"/>
    <x v="8"/>
    <x v="0"/>
    <s v="4340104"/>
    <n v="400010"/>
    <s v="Acute I/P Svcs Rev--Medicare"/>
    <s v="Occupational Therapy"/>
    <x v="0"/>
    <n v="1100"/>
    <n v="-49364.86"/>
    <n v="-66822.13"/>
    <n v="-48823.63"/>
    <n v="-60224.97"/>
    <n v="-48386.63"/>
    <n v="-68327.89"/>
    <n v="-62250.65"/>
    <n v="-56184.63"/>
    <n v="-58490.25"/>
    <n v="-45079.51"/>
    <n v="-49240.79"/>
    <n v="-57626.93"/>
    <n v="-670822.87000000011"/>
    <n v="8386.14"/>
  </r>
  <r>
    <x v="18"/>
    <x v="8"/>
    <x v="0"/>
    <s v="4340104"/>
    <n v="400010"/>
    <s v="Acute I/P Svcs Rev--Medicaid"/>
    <s v="Occupational Therapy"/>
    <x v="0"/>
    <n v="1200"/>
    <n v="-8522.76"/>
    <n v="-2273.94"/>
    <n v="-3934.11"/>
    <n v="-2822.44"/>
    <n v="-6984.06"/>
    <n v="-11293.12"/>
    <n v="-8678.99"/>
    <n v="-7919.87"/>
    <n v="-7508.03"/>
    <n v="-10919.48"/>
    <n v="-6289.02"/>
    <n v="-1995.01"/>
    <n v="-79140.83"/>
    <n v="-4294.01"/>
  </r>
  <r>
    <x v="18"/>
    <x v="8"/>
    <x v="0"/>
    <s v="4340104"/>
    <n v="400010"/>
    <s v="Acute I/P Svcs Rev--Comm Insurance"/>
    <s v="Occupational Therapy"/>
    <x v="0"/>
    <n v="1300"/>
    <n v="-465.19"/>
    <n v="-1778.07"/>
    <n v="-716.63"/>
    <n v="-569.33000000000004"/>
    <n v="-2648.19"/>
    <n v="1097.02"/>
    <n v="615.92999999999995"/>
    <n v="-1493.13"/>
    <n v="-1868.06"/>
    <n v="47.67"/>
    <n v="-889.3"/>
    <n v="-738.13"/>
    <n v="-9405.409999999998"/>
    <n v="-151.16999999999996"/>
  </r>
  <r>
    <x v="18"/>
    <x v="8"/>
    <x v="0"/>
    <s v="4340104"/>
    <n v="400010"/>
    <s v="Acute I/P Svcs Rev--BCBS Comm"/>
    <s v="Occupational Therapy"/>
    <x v="0"/>
    <n v="1301"/>
    <n v="-1460.92"/>
    <n v="-1052.8900000000001"/>
    <n v="-2822.46"/>
    <n v="-3195.98"/>
    <n v="-4426.83"/>
    <n v="-527.71"/>
    <n v="-3637.69"/>
    <n v="-3075.58"/>
    <n v="-3466.14"/>
    <n v="-1753.17"/>
    <n v="-2992.75"/>
    <n v="-3685.45"/>
    <n v="-32097.569999999996"/>
    <n v="692.69999999999982"/>
  </r>
  <r>
    <x v="18"/>
    <x v="8"/>
    <x v="0"/>
    <s v="4340104"/>
    <n v="400010"/>
    <s v="Acute I/P Svcs Rev--Managed Care"/>
    <s v="Occupational Therapy"/>
    <x v="0"/>
    <n v="1400"/>
    <n v="-716.63"/>
    <n v="-5011.3900000000003"/>
    <n v="180.82"/>
    <n v="-5827.15"/>
    <n v="-6042.42"/>
    <n v="-6926.72"/>
    <n v="-8922.2000000000007"/>
    <n v="-5095.93"/>
    <n v="-9892.31"/>
    <n v="-1174.95"/>
    <n v="-3271.48"/>
    <n v="-3446.48"/>
    <n v="-56146.840000000004"/>
    <n v="175"/>
  </r>
  <r>
    <x v="18"/>
    <x v="8"/>
    <x v="0"/>
    <s v="4340104"/>
    <n v="400010"/>
    <s v="Acute I/P Svcs Rev--Self Pay"/>
    <s v="Occupational Therapy"/>
    <x v="0"/>
    <n v="1500"/>
    <n v="-592.57000000000005"/>
    <n v="-1218.53"/>
    <n v="-1201.23"/>
    <n v="-908.08"/>
    <n v="0"/>
    <n v="-211.74"/>
    <n v="-336.26"/>
    <n v="0"/>
    <n v="-2988.08"/>
    <n v="0.02"/>
    <n v="-3102.19"/>
    <n v="0"/>
    <n v="-10558.66"/>
    <n v="-3102.19"/>
  </r>
  <r>
    <x v="18"/>
    <x v="8"/>
    <x v="0"/>
    <s v="4340104"/>
    <n v="400010"/>
    <s v="Acute I/P Svcs Rev--Other"/>
    <s v="Occupational Therapy"/>
    <x v="0"/>
    <n v="1700"/>
    <n v="-716.66"/>
    <n v="-3634.29"/>
    <n v="-4197.37"/>
    <n v="-2525.1999999999998"/>
    <n v="-2696.36"/>
    <n v="-1244.3399999999999"/>
    <n v="-2624.37"/>
    <n v="-4215.3999999999996"/>
    <n v="-3818.88"/>
    <n v="-3250.58"/>
    <n v="-932.72"/>
    <n v="-4919.6099999999997"/>
    <n v="-34775.78"/>
    <n v="3986.8899999999994"/>
  </r>
  <r>
    <x v="19"/>
    <x v="8"/>
    <x v="0"/>
    <s v="4340104"/>
    <n v="400020"/>
    <s v="O/P Care Svcs Rev--Medicare"/>
    <s v="Occupational Therapy"/>
    <x v="0"/>
    <n v="1100"/>
    <n v="-36343.4"/>
    <n v="-62748.85"/>
    <n v="-57088.03"/>
    <n v="-55157.86"/>
    <n v="-58984.69"/>
    <n v="-54047.58"/>
    <n v="-76591.039999999994"/>
    <n v="-60531.56"/>
    <n v="-78147.009999999995"/>
    <n v="-77766.990000000005"/>
    <n v="-83426.710000000006"/>
    <n v="-71446.429999999993"/>
    <n v="-772280.14999999991"/>
    <n v="-11980.280000000013"/>
  </r>
  <r>
    <x v="19"/>
    <x v="8"/>
    <x v="0"/>
    <s v="4340104"/>
    <n v="400020"/>
    <s v="O/P Care Svcs Rev--Medicaid"/>
    <s v="Occupational Therapy"/>
    <x v="0"/>
    <n v="1200"/>
    <n v="-20253.13"/>
    <n v="-19588.54"/>
    <n v="-11694.28"/>
    <n v="-15283.52"/>
    <n v="-15795.49"/>
    <n v="-12134.14"/>
    <n v="-16742.689999999999"/>
    <n v="-10307.209999999999"/>
    <n v="-19219.98"/>
    <n v="-20885.939999999999"/>
    <n v="-30117.88"/>
    <n v="-23573.86"/>
    <n v="-215596.66000000003"/>
    <n v="-6544.02"/>
  </r>
  <r>
    <x v="19"/>
    <x v="8"/>
    <x v="0"/>
    <s v="4340104"/>
    <n v="400020"/>
    <s v="O/P Care Svcs Rev--Comm Insurance"/>
    <s v="Occupational Therapy"/>
    <x v="0"/>
    <n v="1300"/>
    <n v="-6574.58"/>
    <n v="-5627.68"/>
    <n v="-4733.57"/>
    <n v="-6689.69"/>
    <n v="-4913.49"/>
    <n v="-282.24"/>
    <n v="-2910.75"/>
    <n v="-2932.29"/>
    <n v="-2957.22"/>
    <n v="-4940.92"/>
    <n v="-6621.91"/>
    <n v="-2696.06"/>
    <n v="-51880.399999999994"/>
    <n v="-3925.85"/>
  </r>
  <r>
    <x v="19"/>
    <x v="8"/>
    <x v="0"/>
    <s v="4340104"/>
    <n v="400020"/>
    <s v="O/P Care Svcs Rev--BCBS Comm"/>
    <s v="Occupational Therapy"/>
    <x v="0"/>
    <n v="1301"/>
    <n v="-9663.92"/>
    <n v="-11327.27"/>
    <n v="-6752.54"/>
    <n v="-11390.93"/>
    <n v="-11888.32"/>
    <n v="-10850.43"/>
    <n v="-4585.32"/>
    <n v="-6928.86"/>
    <n v="-3451.94"/>
    <n v="-4232.49"/>
    <n v="-4327.62"/>
    <n v="-9640.32"/>
    <n v="-95039.960000000021"/>
    <n v="5312.7"/>
  </r>
  <r>
    <x v="19"/>
    <x v="8"/>
    <x v="0"/>
    <s v="4340104"/>
    <n v="400020"/>
    <s v="O/P Care Svcs Rev--Managed Care"/>
    <s v="Occupational Therapy"/>
    <x v="0"/>
    <n v="1400"/>
    <n v="-16827.62"/>
    <n v="-15884.54"/>
    <n v="-9820.7999999999993"/>
    <n v="-15468.67"/>
    <n v="-24377.14"/>
    <n v="-22549.58"/>
    <n v="-24583.599999999999"/>
    <n v="-16352.68"/>
    <n v="-24411.08"/>
    <n v="-21136.22"/>
    <n v="-20560.59"/>
    <n v="-21793.48"/>
    <n v="-233765.99999999997"/>
    <n v="1232.8899999999994"/>
  </r>
  <r>
    <x v="19"/>
    <x v="8"/>
    <x v="0"/>
    <s v="4340104"/>
    <n v="400020"/>
    <s v="O/P Care Svcs Rev--Self Pay"/>
    <s v="Occupational Therapy"/>
    <x v="0"/>
    <n v="1500"/>
    <n v="0"/>
    <n v="-502.76"/>
    <n v="0"/>
    <n v="-742.28"/>
    <n v="502.76"/>
    <n v="-767.9"/>
    <n v="-483.57"/>
    <n v="-2281.38"/>
    <n v="-514.39"/>
    <n v="-1050"/>
    <n v="2057.64"/>
    <n v="-1472.22"/>
    <n v="-5254.1"/>
    <n v="3529.8599999999997"/>
  </r>
  <r>
    <x v="19"/>
    <x v="8"/>
    <x v="0"/>
    <s v="4340104"/>
    <n v="400020"/>
    <s v="O/P Care Svcs Rev--Other"/>
    <s v="Occupational Therapy"/>
    <x v="0"/>
    <n v="1700"/>
    <n v="-12930.6"/>
    <n v="-18508.189999999999"/>
    <n v="-7574.54"/>
    <n v="-11129.27"/>
    <n v="-10032.64"/>
    <n v="-5101.1400000000003"/>
    <n v="-6213.28"/>
    <n v="-4886.1099999999997"/>
    <n v="-5779.36"/>
    <n v="-5052.26"/>
    <n v="-5860.87"/>
    <n v="-9570.7900000000009"/>
    <n v="-102639.04999999999"/>
    <n v="3709.920000000001"/>
  </r>
  <r>
    <x v="5"/>
    <x v="8"/>
    <x v="0"/>
    <s v="4340104"/>
    <n v="700032"/>
    <s v="Salaries-Other Pat Care Providers-Productive"/>
    <s v="Occupational Therapy"/>
    <x v="0"/>
    <m/>
    <n v="19429.09"/>
    <n v="23550"/>
    <n v="17599.919999999998"/>
    <n v="21372.67"/>
    <n v="22493.279999999999"/>
    <n v="21245.68"/>
    <n v="24687.23"/>
    <n v="17834.46"/>
    <n v="24271.95"/>
    <n v="20833.12"/>
    <n v="22025.73"/>
    <n v="23317.95"/>
    <n v="258661.08000000002"/>
    <n v="-1292.2200000000012"/>
  </r>
  <r>
    <x v="5"/>
    <x v="8"/>
    <x v="0"/>
    <s v="4340104"/>
    <n v="700032"/>
    <s v="Salaries-Other Pat Care Providers-OT"/>
    <s v="Occupational Therapy"/>
    <x v="0"/>
    <n v="1000"/>
    <n v="21.12"/>
    <n v="-3.72"/>
    <n v="192.22"/>
    <n v="-69.89"/>
    <n v="0"/>
    <n v="0"/>
    <n v="24.25"/>
    <n v="-6.38"/>
    <n v="0"/>
    <n v="53.59"/>
    <n v="0"/>
    <n v="0"/>
    <n v="211.19000000000003"/>
    <n v="0"/>
  </r>
  <r>
    <x v="5"/>
    <x v="8"/>
    <x v="0"/>
    <s v="4340104"/>
    <n v="700032"/>
    <s v="Salaries-Other Pat Care Providers-Other"/>
    <s v="Occupational Therapy"/>
    <x v="0"/>
    <n v="2000"/>
    <n v="493.97"/>
    <n v="764.14"/>
    <n v="276.01"/>
    <n v="530.41999999999996"/>
    <n v="470.98"/>
    <n v="382.04"/>
    <n v="529.08000000000004"/>
    <n v="261.64999999999998"/>
    <n v="539.41999999999996"/>
    <n v="515.15"/>
    <n v="553.87"/>
    <n v="505.34"/>
    <n v="5822.07"/>
    <n v="48.53000000000003"/>
  </r>
  <r>
    <x v="5"/>
    <x v="8"/>
    <x v="0"/>
    <s v="4340104"/>
    <n v="700072"/>
    <s v="Salaries-Other Pat Care Providers-Non-productive"/>
    <s v="Occupational Therapy"/>
    <x v="0"/>
    <m/>
    <n v="2543.23"/>
    <n v="-128.79"/>
    <n v="6213.76"/>
    <n v="3609.67"/>
    <n v="996.34"/>
    <n v="2811.85"/>
    <n v="1047.9100000000001"/>
    <n v="2791.24"/>
    <n v="731.54"/>
    <n v="2908.8"/>
    <n v="3760.97"/>
    <n v="1071.7"/>
    <n v="28358.22"/>
    <n v="2689.2699999999995"/>
  </r>
  <r>
    <x v="5"/>
    <x v="8"/>
    <x v="0"/>
    <s v="4340104"/>
    <n v="700072"/>
    <s v="Salaries-Other Pat Care Providers-NonProd-Other"/>
    <s v="Occupational Therap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4340104"/>
    <n v="700084"/>
    <s v="Accrued PTO"/>
    <s v="Occupational Therapy"/>
    <x v="0"/>
    <m/>
    <n v="-134.46"/>
    <n v="2414.8200000000002"/>
    <n v="-1842.41"/>
    <n v="-1312.8"/>
    <n v="790.68"/>
    <n v="830.63"/>
    <n v="1362.08"/>
    <n v="118.55"/>
    <n v="1440.11"/>
    <n v="-340.56"/>
    <n v="474.25"/>
    <n v="1202.58"/>
    <n v="5003.4699999999993"/>
    <n v="-728.32999999999993"/>
  </r>
  <r>
    <x v="6"/>
    <x v="8"/>
    <x v="0"/>
    <s v="4340104"/>
    <n v="713010"/>
    <s v="Benefits-FICA/Medicare"/>
    <s v="Occupational Therapy"/>
    <x v="0"/>
    <m/>
    <n v="1636.64"/>
    <n v="1766.41"/>
    <n v="1776.73"/>
    <n v="1862.84"/>
    <n v="1758.41"/>
    <n v="1775.7"/>
    <n v="1904.33"/>
    <n v="1501.45"/>
    <n v="1847.94"/>
    <n v="1789.56"/>
    <n v="1935.3"/>
    <n v="1826.4"/>
    <n v="21381.710000000003"/>
    <n v="108.89999999999986"/>
  </r>
  <r>
    <x v="6"/>
    <x v="8"/>
    <x v="0"/>
    <s v="4340104"/>
    <n v="713090"/>
    <s v="Benefits-Allocated Amounts"/>
    <s v="Occupational Therapy"/>
    <x v="0"/>
    <m/>
    <n v="3603.01"/>
    <n v="3536.69"/>
    <n v="3613.47"/>
    <n v="3739.57"/>
    <n v="3740.33"/>
    <n v="3666.09"/>
    <n v="4140.6400000000003"/>
    <n v="3529.04"/>
    <n v="4038.87"/>
    <n v="4017.9"/>
    <n v="4241.62"/>
    <n v="4176.4399999999996"/>
    <n v="46043.670000000006"/>
    <n v="65.180000000000291"/>
  </r>
  <r>
    <x v="11"/>
    <x v="8"/>
    <x v="0"/>
    <s v="4340104"/>
    <n v="721010"/>
    <s v="Supplies-Medical - Billable"/>
    <s v="Occupational Therapy"/>
    <x v="0"/>
    <m/>
    <n v="21.74"/>
    <n v="0"/>
    <n v="0"/>
    <n v="185.69"/>
    <n v="0"/>
    <n v="0"/>
    <n v="17.86"/>
    <n v="0"/>
    <n v="0"/>
    <n v="0"/>
    <n v="0"/>
    <n v="0"/>
    <n v="225.29000000000002"/>
    <n v="0"/>
  </r>
  <r>
    <x v="11"/>
    <x v="8"/>
    <x v="0"/>
    <s v="4340104"/>
    <n v="721020"/>
    <s v="Supplies-Surgical - Billable"/>
    <s v="Occupational Therapy"/>
    <x v="0"/>
    <m/>
    <n v="0"/>
    <n v="0"/>
    <n v="0"/>
    <n v="176.16"/>
    <n v="0"/>
    <n v="0"/>
    <n v="3.95"/>
    <n v="0"/>
    <n v="0"/>
    <n v="0"/>
    <n v="0"/>
    <n v="0"/>
    <n v="180.10999999999999"/>
    <n v="0"/>
  </r>
  <r>
    <x v="11"/>
    <x v="8"/>
    <x v="0"/>
    <s v="4340104"/>
    <n v="721410"/>
    <s v="Supplies-Medical - Nonbillable"/>
    <s v="Occupational Therapy"/>
    <x v="0"/>
    <m/>
    <n v="12.08"/>
    <n v="38.4"/>
    <n v="185.12"/>
    <n v="12.32"/>
    <n v="0"/>
    <n v="0"/>
    <n v="0"/>
    <n v="32.979999999999997"/>
    <n v="45.06"/>
    <n v="0"/>
    <n v="-28.28"/>
    <n v="0"/>
    <n v="297.67999999999995"/>
    <n v="-28.28"/>
  </r>
  <r>
    <x v="11"/>
    <x v="8"/>
    <x v="0"/>
    <s v="4340104"/>
    <n v="721870"/>
    <s v="Supplies-Environmental Services"/>
    <s v="Occupational Therapy"/>
    <x v="0"/>
    <m/>
    <n v="0"/>
    <n v="0"/>
    <n v="28.81"/>
    <n v="38.409999999999997"/>
    <n v="0"/>
    <n v="0"/>
    <n v="0"/>
    <n v="55.37"/>
    <n v="0"/>
    <n v="-71.72"/>
    <n v="0"/>
    <n v="0"/>
    <n v="50.870000000000005"/>
    <n v="0"/>
  </r>
  <r>
    <x v="11"/>
    <x v="8"/>
    <x v="0"/>
    <s v="4340104"/>
    <n v="721910"/>
    <s v="Supplies-Small Equipment"/>
    <s v="Occupational Therapy"/>
    <x v="0"/>
    <m/>
    <n v="0"/>
    <n v="29.46"/>
    <n v="0"/>
    <n v="0"/>
    <n v="0"/>
    <n v="0"/>
    <n v="0"/>
    <n v="0"/>
    <n v="0"/>
    <n v="0"/>
    <n v="0"/>
    <n v="8.16"/>
    <n v="37.620000000000005"/>
    <n v="-8.16"/>
  </r>
  <r>
    <x v="11"/>
    <x v="8"/>
    <x v="0"/>
    <s v="4340104"/>
    <n v="721980"/>
    <s v="Supplies-Other"/>
    <s v="Occupational Therapy"/>
    <x v="0"/>
    <m/>
    <n v="0"/>
    <n v="33.96"/>
    <n v="0"/>
    <n v="0"/>
    <n v="0"/>
    <n v="0"/>
    <n v="28.22"/>
    <n v="0"/>
    <n v="0"/>
    <n v="0"/>
    <n v="0"/>
    <n v="0"/>
    <n v="62.18"/>
    <n v="0"/>
  </r>
  <r>
    <x v="11"/>
    <x v="8"/>
    <x v="0"/>
    <s v="4340104"/>
    <n v="722000"/>
    <s v="Supplies-Freight Expense"/>
    <s v="Occupational Therapy"/>
    <x v="0"/>
    <m/>
    <n v="0"/>
    <n v="0"/>
    <n v="0"/>
    <n v="17.13"/>
    <n v="0"/>
    <n v="0"/>
    <n v="0"/>
    <n v="0"/>
    <n v="0"/>
    <n v="0"/>
    <n v="0"/>
    <n v="0"/>
    <n v="17.13"/>
    <n v="0"/>
  </r>
  <r>
    <x v="13"/>
    <x v="8"/>
    <x v="0"/>
    <s v="4340104"/>
    <n v="735050"/>
    <s v="Amortization-Leasehold Improvements"/>
    <s v="Occupational Therapy"/>
    <x v="0"/>
    <m/>
    <n v="6180.22"/>
    <n v="6180.26"/>
    <n v="6180.19"/>
    <n v="6180.31"/>
    <n v="6180.19"/>
    <n v="6180.32"/>
    <n v="6180.19"/>
    <n v="6180.36"/>
    <n v="6180.16"/>
    <n v="550.08000000000004"/>
    <n v="548.6"/>
    <n v="548.58000000000004"/>
    <n v="57269.46"/>
    <n v="1.999999999998181E-2"/>
  </r>
  <r>
    <x v="13"/>
    <x v="8"/>
    <x v="0"/>
    <s v="4340104"/>
    <n v="735060"/>
    <s v="Depreciation-Fixed Equipment"/>
    <s v="Occupational Therapy"/>
    <x v="0"/>
    <m/>
    <n v="78.23"/>
    <n v="78.23"/>
    <n v="78.23"/>
    <n v="78.23"/>
    <n v="78.23"/>
    <n v="78.23"/>
    <n v="78.23"/>
    <n v="78.23"/>
    <n v="78.23"/>
    <n v="78.22"/>
    <n v="78.23"/>
    <n v="78.22"/>
    <n v="938.74000000000012"/>
    <n v="1.0000000000005116E-2"/>
  </r>
  <r>
    <x v="13"/>
    <x v="8"/>
    <x v="0"/>
    <s v="4340104"/>
    <n v="735070"/>
    <s v="Depreciation-Movable Equipment"/>
    <s v="Occupational Therapy"/>
    <x v="0"/>
    <m/>
    <n v="1345.35"/>
    <n v="1345.36"/>
    <n v="1345.36"/>
    <n v="1345.38"/>
    <n v="1345.34"/>
    <n v="1345.39"/>
    <n v="1345.33"/>
    <n v="1345.41"/>
    <n v="1345.32"/>
    <n v="36.28"/>
    <n v="36.299999999999997"/>
    <n v="36.28"/>
    <n v="12217.1"/>
    <n v="1.9999999999996021E-2"/>
  </r>
  <r>
    <x v="0"/>
    <x v="8"/>
    <x v="0"/>
    <s v="4340104"/>
    <n v="740020"/>
    <s v="Education-Registration Fees"/>
    <s v="Occupational Therapy"/>
    <x v="0"/>
    <m/>
    <n v="0"/>
    <n v="0"/>
    <n v="49.5"/>
    <n v="0"/>
    <n v="0"/>
    <n v="0"/>
    <n v="0"/>
    <n v="300"/>
    <n v="0"/>
    <n v="0"/>
    <n v="713.34"/>
    <n v="530"/>
    <n v="1592.8400000000001"/>
    <n v="183.34000000000003"/>
  </r>
  <r>
    <x v="0"/>
    <x v="8"/>
    <x v="0"/>
    <s v="4340104"/>
    <n v="749510"/>
    <s v="Miscellaneous Expenses"/>
    <s v="Occupational Therapy"/>
    <x v="0"/>
    <m/>
    <n v="0"/>
    <n v="49.5"/>
    <n v="-49.5"/>
    <n v="0"/>
    <n v="0"/>
    <n v="0"/>
    <n v="300"/>
    <n v="-300"/>
    <n v="0"/>
    <n v="750"/>
    <n v="-750"/>
    <n v="0"/>
    <n v="0"/>
    <n v="-750"/>
  </r>
  <r>
    <x v="0"/>
    <x v="8"/>
    <x v="0"/>
    <s v="4340104"/>
    <n v="749510"/>
    <s v="RICE Rewards"/>
    <s v="Occupational Therapy"/>
    <x v="0"/>
    <n v="5100"/>
    <n v="0"/>
    <n v="0"/>
    <n v="0"/>
    <n v="0"/>
    <n v="0"/>
    <n v="0"/>
    <n v="0"/>
    <n v="0"/>
    <n v="0"/>
    <n v="0"/>
    <n v="0"/>
    <n v="131.31"/>
    <n v="131.31"/>
    <n v="-131.31"/>
  </r>
  <r>
    <x v="18"/>
    <x v="5"/>
    <x v="0"/>
    <s v="4340106"/>
    <n v="400010"/>
    <s v="Acute I/P Svcs Rev--Medicare"/>
    <s v="OT Services IP&amp;OP"/>
    <x v="0"/>
    <n v="1100"/>
    <n v="-101064.91"/>
    <n v="-99790.66"/>
    <n v="-87389.58"/>
    <n v="-103779.44"/>
    <n v="-94844.52"/>
    <n v="-101014.54"/>
    <n v="-137077.66"/>
    <n v="-81616.009999999995"/>
    <n v="-99134.31"/>
    <n v="-108435.33"/>
    <n v="-98191.3"/>
    <n v="-71872.460000000006"/>
    <n v="-1184210.72"/>
    <n v="-26318.839999999997"/>
  </r>
  <r>
    <x v="18"/>
    <x v="5"/>
    <x v="0"/>
    <s v="4340106"/>
    <n v="400010"/>
    <s v="Acute I/P Svcs Rev--Medicaid"/>
    <s v="OT Services IP&amp;OP"/>
    <x v="0"/>
    <n v="1200"/>
    <n v="-28551.53"/>
    <n v="-11374.3"/>
    <n v="-20846.72"/>
    <n v="-14429.35"/>
    <n v="-22052.93"/>
    <n v="-18841.05"/>
    <n v="-14318.06"/>
    <n v="-24583.4"/>
    <n v="-12627.85"/>
    <n v="-21979.81"/>
    <n v="-12591.88"/>
    <n v="-21288.14"/>
    <n v="-223485.02000000002"/>
    <n v="8696.26"/>
  </r>
  <r>
    <x v="18"/>
    <x v="5"/>
    <x v="0"/>
    <s v="4340106"/>
    <n v="400010"/>
    <s v="Acute I/P Svcs Rev--Comm Insurance"/>
    <s v="OT Services IP&amp;OP"/>
    <x v="0"/>
    <n v="1300"/>
    <n v="1006.56"/>
    <n v="-4168.5600000000004"/>
    <n v="2800.7"/>
    <n v="-2162.12"/>
    <n v="-102.56"/>
    <n v="-1733.07"/>
    <n v="493.77"/>
    <n v="-1875.51"/>
    <n v="-3741.06"/>
    <n v="-3244.41"/>
    <n v="-59.75"/>
    <n v="-1175.48"/>
    <n v="-13961.49"/>
    <n v="1115.73"/>
  </r>
  <r>
    <x v="18"/>
    <x v="5"/>
    <x v="0"/>
    <s v="4340106"/>
    <n v="400010"/>
    <s v="Acute I/P Svcs Rev--BCBS Comm"/>
    <s v="OT Services IP&amp;OP"/>
    <x v="0"/>
    <n v="1301"/>
    <n v="-3508.6"/>
    <n v="-6471.6"/>
    <n v="-3142.25"/>
    <n v="-1052.93"/>
    <n v="-2017.96"/>
    <n v="-3926.54"/>
    <n v="-8248.6299999999992"/>
    <n v="-2578.5300000000002"/>
    <n v="-4698.6499999999996"/>
    <n v="-2730.3"/>
    <n v="-2105.46"/>
    <n v="-2653.53"/>
    <n v="-43134.98"/>
    <n v="548.07000000000016"/>
  </r>
  <r>
    <x v="18"/>
    <x v="5"/>
    <x v="0"/>
    <s v="4340106"/>
    <n v="400010"/>
    <s v="Acute I/P Svcs Rev--Managed Care"/>
    <s v="OT Services IP&amp;OP"/>
    <x v="0"/>
    <n v="1400"/>
    <n v="-13092.54"/>
    <n v="-13759.67"/>
    <n v="-10589.1"/>
    <n v="-8669.5300000000007"/>
    <n v="-12589.12"/>
    <n v="-12929.08"/>
    <n v="-8527.84"/>
    <n v="-7866.54"/>
    <n v="-8250.39"/>
    <n v="-7236.37"/>
    <n v="-4822.74"/>
    <n v="-9474.1"/>
    <n v="-117807.01999999999"/>
    <n v="4651.3600000000006"/>
  </r>
  <r>
    <x v="18"/>
    <x v="5"/>
    <x v="0"/>
    <s v="4340106"/>
    <n v="400010"/>
    <s v="Acute I/P Svcs Rev--Self Pay"/>
    <s v="OT Services IP&amp;OP"/>
    <x v="0"/>
    <n v="1500"/>
    <n v="-2142.08"/>
    <n v="-1781.73"/>
    <n v="-1997.49"/>
    <n v="-1663.76"/>
    <n v="-2123.08"/>
    <n v="-380.37"/>
    <n v="-2845.73"/>
    <n v="723.79"/>
    <n v="0"/>
    <n v="-346.35"/>
    <n v="-1749.52"/>
    <n v="-1446"/>
    <n v="-15752.320000000002"/>
    <n v="-303.52"/>
  </r>
  <r>
    <x v="18"/>
    <x v="5"/>
    <x v="0"/>
    <s v="4340106"/>
    <n v="400010"/>
    <s v="Acute I/P Svcs Rev--Other"/>
    <s v="OT Services IP&amp;OP"/>
    <x v="0"/>
    <n v="1700"/>
    <n v="-3640.43"/>
    <n v="-7742.49"/>
    <n v="-1239.32"/>
    <n v="1293"/>
    <n v="-3426.73"/>
    <n v="-2853.46"/>
    <n v="-3241.83"/>
    <n v="-2999.57"/>
    <n v="-3200.82"/>
    <n v="374.75"/>
    <n v="-5000.92"/>
    <n v="-1944.58"/>
    <n v="-33622.400000000001"/>
    <n v="-3056.34"/>
  </r>
  <r>
    <x v="19"/>
    <x v="5"/>
    <x v="0"/>
    <s v="4340106"/>
    <n v="400020"/>
    <s v="O/P Care Svcs Rev--Medicare"/>
    <s v="OT Services IP&amp;OP"/>
    <x v="0"/>
    <n v="1100"/>
    <n v="-8808.42"/>
    <n v="-16895.29"/>
    <n v="-18222.580000000002"/>
    <n v="-22729.71"/>
    <n v="-12166.55"/>
    <n v="-11473.91"/>
    <n v="-25396.560000000001"/>
    <n v="-14846.95"/>
    <n v="-13332.38"/>
    <n v="-13402.67"/>
    <n v="-12638.78"/>
    <n v="-19489.12"/>
    <n v="-189402.92"/>
    <n v="6850.3399999999983"/>
  </r>
  <r>
    <x v="19"/>
    <x v="5"/>
    <x v="0"/>
    <s v="4340106"/>
    <n v="400020"/>
    <s v="O/P Care Svcs Rev--Medicaid"/>
    <s v="OT Services IP&amp;OP"/>
    <x v="0"/>
    <n v="1200"/>
    <n v="-1386.65"/>
    <n v="-1911.85"/>
    <n v="-2290.71"/>
    <n v="-2103.29"/>
    <n v="-2621.44"/>
    <n v="-1469.78"/>
    <n v="-1911.83"/>
    <n v="-1084.5"/>
    <n v="-753.3"/>
    <n v="-2590.87"/>
    <n v="-692.7"/>
    <n v="-1763.95"/>
    <n v="-20580.870000000003"/>
    <n v="1071.25"/>
  </r>
  <r>
    <x v="19"/>
    <x v="5"/>
    <x v="0"/>
    <s v="4340106"/>
    <n v="400020"/>
    <s v="O/P Care Svcs Rev--Comm Insurance"/>
    <s v="OT Services IP&amp;OP"/>
    <x v="0"/>
    <n v="1300"/>
    <n v="0"/>
    <n v="-1573.01"/>
    <n v="0"/>
    <n v="-1852.68"/>
    <n v="0"/>
    <n v="0"/>
    <n v="-861.47"/>
    <n v="0"/>
    <n v="336.29"/>
    <n v="-735.53"/>
    <n v="0"/>
    <n v="-540.94000000000005"/>
    <n v="-5227.34"/>
    <n v="540.94000000000005"/>
  </r>
  <r>
    <x v="19"/>
    <x v="5"/>
    <x v="0"/>
    <s v="4340106"/>
    <n v="400020"/>
    <s v="O/P Care Svcs Rev--BCBS Comm"/>
    <s v="OT Services IP&amp;OP"/>
    <x v="0"/>
    <n v="1301"/>
    <n v="-2188.94"/>
    <n v="-1026.07"/>
    <n v="-525.20000000000005"/>
    <n v="991.24"/>
    <n v="-854.36"/>
    <n v="-738.41"/>
    <n v="-525.17999999999995"/>
    <n v="-1865.44"/>
    <n v="-346.37"/>
    <n v="-543.54"/>
    <n v="-3263.94"/>
    <n v="-887.29"/>
    <n v="-11773.5"/>
    <n v="-2376.65"/>
  </r>
  <r>
    <x v="19"/>
    <x v="5"/>
    <x v="0"/>
    <s v="4340106"/>
    <n v="400020"/>
    <s v="O/P Care Svcs Rev--Managed Care"/>
    <s v="OT Services IP&amp;OP"/>
    <x v="0"/>
    <n v="1400"/>
    <n v="-1723.9"/>
    <n v="-2442.14"/>
    <n v="-1217.5"/>
    <n v="-3733.91"/>
    <n v="-2939.73"/>
    <n v="-336.26"/>
    <n v="-2969.78"/>
    <n v="-1622.87"/>
    <n v="-4110.51"/>
    <n v="-887.29"/>
    <n v="-3015.19"/>
    <n v="-2917.06"/>
    <n v="-27916.14"/>
    <n v="-98.130000000000109"/>
  </r>
  <r>
    <x v="19"/>
    <x v="5"/>
    <x v="0"/>
    <s v="4340106"/>
    <n v="400020"/>
    <s v="O/P Care Svcs Rev--Self Pay"/>
    <s v="OT Services IP&amp;OP"/>
    <x v="0"/>
    <n v="1500"/>
    <n v="-336.26"/>
    <n v="0"/>
    <n v="0"/>
    <n v="-1428.22"/>
    <n v="-525.17999999999995"/>
    <n v="-500.87"/>
    <n v="-502.58"/>
    <n v="-540.97"/>
    <n v="-346.35"/>
    <n v="346.35"/>
    <n v="-1428.23"/>
    <n v="-2.6"/>
    <n v="-5264.9100000000008"/>
    <n v="-1425.63"/>
  </r>
  <r>
    <x v="19"/>
    <x v="5"/>
    <x v="0"/>
    <s v="4340106"/>
    <n v="400020"/>
    <s v="O/P Care Svcs Rev--Other"/>
    <s v="OT Services IP&amp;OP"/>
    <x v="0"/>
    <n v="1700"/>
    <n v="-527.73"/>
    <n v="0"/>
    <n v="0"/>
    <n v="-320.27999999999997"/>
    <n v="0"/>
    <n v="0"/>
    <n v="-361.39"/>
    <n v="0"/>
    <n v="0"/>
    <n v="-346.35"/>
    <n v="0"/>
    <n v="527.71"/>
    <n v="-1028.04"/>
    <n v="-527.71"/>
  </r>
  <r>
    <x v="14"/>
    <x v="5"/>
    <x v="0"/>
    <s v="4340106"/>
    <n v="600050"/>
    <s v="Miscellaneous Revenue"/>
    <s v="OT Services IP&amp;OP"/>
    <x v="0"/>
    <m/>
    <n v="0"/>
    <n v="0"/>
    <n v="-215.55"/>
    <n v="0"/>
    <n v="0"/>
    <n v="0"/>
    <n v="0"/>
    <n v="0"/>
    <n v="0"/>
    <n v="0"/>
    <n v="215.55"/>
    <n v="0"/>
    <n v="0"/>
    <n v="215.55"/>
  </r>
  <r>
    <x v="14"/>
    <x v="5"/>
    <x v="0"/>
    <s v="4340106"/>
    <n v="600050"/>
    <s v="Misc.Revenue-Contract Services"/>
    <s v="OT Services IP&amp;OP"/>
    <x v="0"/>
    <n v="1017"/>
    <n v="-15795.88"/>
    <n v="-18763.8"/>
    <n v="-12674.58"/>
    <n v="-19135.509999999998"/>
    <n v="-16126.84"/>
    <n v="-11207.92"/>
    <n v="-13725.76"/>
    <n v="-14262.77"/>
    <n v="-15646.15"/>
    <n v="-15909.87"/>
    <n v="-16652.63"/>
    <n v="-13534.12"/>
    <n v="-183435.83"/>
    <n v="-3118.51"/>
  </r>
  <r>
    <x v="5"/>
    <x v="5"/>
    <x v="0"/>
    <s v="4340106"/>
    <n v="700032"/>
    <s v="Salaries-Other Pat Care Providers-Productive"/>
    <s v="OT Services IP&amp;OP"/>
    <x v="0"/>
    <m/>
    <n v="16073.92"/>
    <n v="12405.67"/>
    <n v="10689.35"/>
    <n v="15644.26"/>
    <n v="13225.36"/>
    <n v="7996.23"/>
    <n v="14402.95"/>
    <n v="9516.92"/>
    <n v="13043.5"/>
    <n v="13216.63"/>
    <n v="11875.2"/>
    <n v="11493.83"/>
    <n v="149583.81999999998"/>
    <n v="381.3700000000008"/>
  </r>
  <r>
    <x v="5"/>
    <x v="5"/>
    <x v="0"/>
    <s v="4340106"/>
    <n v="700032"/>
    <s v="Salaries-Other Pat Care Providers-OT"/>
    <s v="OT Services IP&amp;OP"/>
    <x v="0"/>
    <n v="1000"/>
    <n v="0"/>
    <n v="0"/>
    <n v="0"/>
    <n v="115.96"/>
    <n v="-51.02"/>
    <n v="0"/>
    <n v="0"/>
    <n v="0"/>
    <n v="406.24"/>
    <n v="102.83"/>
    <n v="0"/>
    <n v="29.99"/>
    <n v="604"/>
    <n v="-29.99"/>
  </r>
  <r>
    <x v="5"/>
    <x v="5"/>
    <x v="0"/>
    <s v="4340106"/>
    <n v="700032"/>
    <s v="Salaries-Other Pat Care Providers-Other"/>
    <s v="OT Services IP&amp;OP"/>
    <x v="0"/>
    <n v="2000"/>
    <n v="681.17"/>
    <n v="197.18"/>
    <n v="183.11"/>
    <n v="597.54999999999995"/>
    <n v="238.81"/>
    <n v="211.18"/>
    <n v="289.12"/>
    <n v="114.35"/>
    <n v="-17.149999999999999"/>
    <n v="68.680000000000007"/>
    <n v="55.95"/>
    <n v="173.64"/>
    <n v="2793.5899999999992"/>
    <n v="-117.68999999999998"/>
  </r>
  <r>
    <x v="5"/>
    <x v="5"/>
    <x v="0"/>
    <s v="4340106"/>
    <n v="700034"/>
    <s v="Salaries-Tech/Professional-Productive"/>
    <s v="OT Services IP&amp;OP"/>
    <x v="0"/>
    <m/>
    <n v="6984.32"/>
    <n v="8267.2999999999993"/>
    <n v="7089.11"/>
    <n v="7339.11"/>
    <n v="7935.17"/>
    <n v="7116.83"/>
    <n v="8016.25"/>
    <n v="6447.9"/>
    <n v="8351.91"/>
    <n v="6691.37"/>
    <n v="8358.24"/>
    <n v="7365.75"/>
    <n v="89963.260000000009"/>
    <n v="992.48999999999978"/>
  </r>
  <r>
    <x v="5"/>
    <x v="5"/>
    <x v="0"/>
    <s v="4340106"/>
    <n v="700034"/>
    <s v="Salaries-Tech/Professional-OT"/>
    <s v="OT Services IP&amp;OP"/>
    <x v="0"/>
    <n v="1000"/>
    <n v="36.78"/>
    <n v="83.9"/>
    <n v="39.44"/>
    <n v="44.41"/>
    <n v="33.090000000000003"/>
    <n v="10.44"/>
    <n v="53.35"/>
    <n v="358.68"/>
    <n v="52.17"/>
    <n v="-16.79"/>
    <n v="95.54"/>
    <n v="-5.71"/>
    <n v="785.3"/>
    <n v="101.25"/>
  </r>
  <r>
    <x v="5"/>
    <x v="5"/>
    <x v="0"/>
    <s v="4340106"/>
    <n v="700034"/>
    <s v="Salaries-Tech/Professional-Other"/>
    <s v="OT Services IP&amp;OP"/>
    <x v="0"/>
    <n v="2000"/>
    <n v="0"/>
    <n v="0"/>
    <n v="0"/>
    <n v="410.84"/>
    <n v="0"/>
    <n v="0"/>
    <n v="0"/>
    <n v="0"/>
    <n v="12.96"/>
    <n v="0"/>
    <n v="0"/>
    <n v="0"/>
    <n v="423.79999999999995"/>
    <n v="0"/>
  </r>
  <r>
    <x v="5"/>
    <x v="5"/>
    <x v="0"/>
    <s v="4340106"/>
    <n v="700054"/>
    <s v="Salaries-Management-NonProd-Other"/>
    <s v="OT Services IP&amp;OP"/>
    <x v="0"/>
    <n v="2000"/>
    <n v="0"/>
    <n v="0"/>
    <n v="0"/>
    <n v="0"/>
    <n v="0"/>
    <n v="654.72"/>
    <n v="-654.72"/>
    <n v="0"/>
    <n v="0"/>
    <n v="0"/>
    <n v="0"/>
    <n v="0"/>
    <n v="0"/>
    <n v="0"/>
  </r>
  <r>
    <x v="5"/>
    <x v="5"/>
    <x v="0"/>
    <s v="4340106"/>
    <n v="700072"/>
    <s v="Salaries-Other Pat Care Providers-Non-productive"/>
    <s v="OT Services IP&amp;OP"/>
    <x v="0"/>
    <m/>
    <n v="1625.58"/>
    <n v="1155.04"/>
    <n v="1078.74"/>
    <n v="362.43"/>
    <n v="287.13"/>
    <n v="5205.3999999999996"/>
    <n v="385.94"/>
    <n v="2421.94"/>
    <n v="554.48"/>
    <n v="170.28"/>
    <n v="1060.75"/>
    <n v="1699.5"/>
    <n v="16007.210000000001"/>
    <n v="-638.75"/>
  </r>
  <r>
    <x v="5"/>
    <x v="5"/>
    <x v="0"/>
    <s v="4340106"/>
    <n v="700072"/>
    <s v="Salaries-Other Pat Care Providers-NonProd-Other"/>
    <s v="OT Services IP&amp;O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4340106"/>
    <n v="700074"/>
    <s v="Salaries-Tech/Professional-Non-productive"/>
    <s v="OT Services IP&amp;OP"/>
    <x v="0"/>
    <m/>
    <n v="281.27999999999997"/>
    <n v="519.41999999999996"/>
    <n v="960.1"/>
    <n v="1052.99"/>
    <n v="788.64"/>
    <n v="1379.96"/>
    <n v="871.35"/>
    <n v="1568.57"/>
    <n v="372.68"/>
    <n v="1307.74"/>
    <n v="758.93"/>
    <n v="1007.42"/>
    <n v="10869.08"/>
    <n v="-248.49"/>
  </r>
  <r>
    <x v="5"/>
    <x v="5"/>
    <x v="0"/>
    <s v="4340106"/>
    <n v="700084"/>
    <s v="Accrued PTO"/>
    <s v="OT Services IP&amp;OP"/>
    <x v="0"/>
    <m/>
    <n v="150.11000000000001"/>
    <n v="1248.1400000000001"/>
    <n v="469.05"/>
    <n v="1558.97"/>
    <n v="1240.04"/>
    <n v="-3006.3"/>
    <n v="622.11"/>
    <n v="-1014.13"/>
    <n v="1317.03"/>
    <n v="688.56"/>
    <n v="1588.42"/>
    <n v="755.75"/>
    <n v="5617.75"/>
    <n v="832.67000000000007"/>
  </r>
  <r>
    <x v="6"/>
    <x v="5"/>
    <x v="0"/>
    <s v="4340106"/>
    <n v="713010"/>
    <s v="Benefits-FICA/Medicare"/>
    <s v="OT Services IP&amp;OP"/>
    <x v="0"/>
    <m/>
    <n v="1871.99"/>
    <n v="1638.36"/>
    <n v="1443.32"/>
    <n v="1863.26"/>
    <n v="1628.25"/>
    <n v="1634.07"/>
    <n v="1791.61"/>
    <n v="1476.39"/>
    <n v="1646.77"/>
    <n v="1555.39"/>
    <n v="1603.08"/>
    <n v="1572.37"/>
    <n v="19724.859999999997"/>
    <n v="30.710000000000036"/>
  </r>
  <r>
    <x v="6"/>
    <x v="5"/>
    <x v="0"/>
    <s v="4340106"/>
    <n v="713090"/>
    <s v="Benefits-Allocated Amounts"/>
    <s v="OT Services IP&amp;OP"/>
    <x v="0"/>
    <m/>
    <n v="6231.42"/>
    <n v="5643.52"/>
    <n v="4978.8599999999997"/>
    <n v="5912.02"/>
    <n v="5660.13"/>
    <n v="5219.62"/>
    <n v="5973.16"/>
    <n v="5272.6"/>
    <n v="5451.91"/>
    <n v="5386.57"/>
    <n v="5506.84"/>
    <n v="5463.53"/>
    <n v="66700.179999999993"/>
    <n v="43.3100000000004"/>
  </r>
  <r>
    <x v="7"/>
    <x v="5"/>
    <x v="0"/>
    <s v="4340106"/>
    <n v="718050"/>
    <s v="Contract Svcs-Other"/>
    <s v="OT Services IP&amp;OP"/>
    <x v="0"/>
    <m/>
    <n v="10193.19"/>
    <n v="11511.75"/>
    <n v="2781.94"/>
    <n v="13000"/>
    <n v="13000"/>
    <n v="-10796.76"/>
    <n v="9000"/>
    <n v="9603.27"/>
    <n v="9000"/>
    <n v="7578.54"/>
    <n v="9000"/>
    <n v="2391.17"/>
    <n v="86263.099999999991"/>
    <n v="6608.83"/>
  </r>
  <r>
    <x v="7"/>
    <x v="5"/>
    <x v="0"/>
    <s v="4340106"/>
    <n v="718050"/>
    <s v="Miscellaneous Purchased Svcs"/>
    <s v="OT Services IP&amp;OP"/>
    <x v="0"/>
    <n v="1020"/>
    <n v="0"/>
    <n v="0"/>
    <n v="0"/>
    <n v="0"/>
    <n v="0"/>
    <n v="0"/>
    <n v="6347.05"/>
    <n v="0"/>
    <n v="0"/>
    <n v="0"/>
    <n v="0"/>
    <n v="0"/>
    <n v="6347.05"/>
    <n v="0"/>
  </r>
  <r>
    <x v="11"/>
    <x v="5"/>
    <x v="0"/>
    <s v="4340106"/>
    <n v="721830"/>
    <s v="Supplies-Office"/>
    <s v="OT Services IP&amp;OP"/>
    <x v="0"/>
    <m/>
    <n v="0"/>
    <n v="0"/>
    <n v="97.74"/>
    <n v="0"/>
    <n v="0"/>
    <n v="0"/>
    <n v="0"/>
    <n v="0"/>
    <n v="0"/>
    <n v="0"/>
    <n v="0"/>
    <n v="0"/>
    <n v="97.74"/>
    <n v="0"/>
  </r>
  <r>
    <x v="11"/>
    <x v="5"/>
    <x v="0"/>
    <s v="4340106"/>
    <n v="721835"/>
    <s v="Supplies-Forms"/>
    <s v="OT Services IP&amp;OP"/>
    <x v="0"/>
    <m/>
    <n v="0"/>
    <n v="0"/>
    <n v="0"/>
    <n v="0"/>
    <n v="0.49"/>
    <n v="0"/>
    <n v="9.4700000000000006"/>
    <n v="0"/>
    <n v="0"/>
    <n v="0.13"/>
    <n v="0"/>
    <n v="0"/>
    <n v="10.090000000000002"/>
    <n v="0"/>
  </r>
  <r>
    <x v="11"/>
    <x v="5"/>
    <x v="0"/>
    <s v="4340106"/>
    <n v="721910"/>
    <s v="Supplies-Small Equipment"/>
    <s v="OT Services IP&amp;OP"/>
    <x v="0"/>
    <m/>
    <n v="0"/>
    <n v="0"/>
    <n v="0"/>
    <n v="0"/>
    <n v="0"/>
    <n v="0"/>
    <n v="1.44"/>
    <n v="0"/>
    <n v="0"/>
    <n v="0"/>
    <n v="0"/>
    <n v="0"/>
    <n v="1.44"/>
    <n v="0"/>
  </r>
  <r>
    <x v="13"/>
    <x v="5"/>
    <x v="0"/>
    <s v="4340106"/>
    <n v="735070"/>
    <s v="Depreciation-Movable Equipment"/>
    <s v="OT Services IP&amp;OP"/>
    <x v="0"/>
    <m/>
    <n v="3.78"/>
    <n v="3.78"/>
    <n v="3.78"/>
    <n v="3.78"/>
    <n v="3.78"/>
    <n v="3.78"/>
    <n v="3.78"/>
    <n v="3.78"/>
    <n v="3.78"/>
    <n v="3.78"/>
    <n v="3.79"/>
    <n v="3.78"/>
    <n v="45.370000000000005"/>
    <n v="1.0000000000000231E-2"/>
  </r>
  <r>
    <x v="0"/>
    <x v="5"/>
    <x v="0"/>
    <s v="4340106"/>
    <n v="740020"/>
    <s v="Education-Registration Fees"/>
    <s v="OT Services IP&amp;OP"/>
    <x v="0"/>
    <m/>
    <n v="0"/>
    <n v="0"/>
    <n v="0"/>
    <n v="0"/>
    <n v="0"/>
    <n v="0"/>
    <n v="0"/>
    <n v="220"/>
    <n v="0"/>
    <n v="0"/>
    <n v="0"/>
    <n v="275.25"/>
    <n v="495.25"/>
    <n v="-275.25"/>
  </r>
  <r>
    <x v="0"/>
    <x v="5"/>
    <x v="0"/>
    <s v="4340106"/>
    <n v="749510"/>
    <s v="Miscellaneous Expenses"/>
    <s v="OT Services IP&amp;OP"/>
    <x v="0"/>
    <m/>
    <n v="0"/>
    <n v="-27.98"/>
    <n v="0"/>
    <n v="0"/>
    <n v="0"/>
    <n v="0"/>
    <n v="220"/>
    <n v="-220"/>
    <n v="0"/>
    <n v="0"/>
    <n v="0"/>
    <n v="0"/>
    <n v="-27.97999999999999"/>
    <n v="0"/>
  </r>
  <r>
    <x v="18"/>
    <x v="6"/>
    <x v="0"/>
    <s v="4340107"/>
    <n v="400010"/>
    <s v="Acute I/P Svcs Rev--Medicare"/>
    <s v="Occupational Therapy IP&amp;OP"/>
    <x v="0"/>
    <n v="1100"/>
    <n v="-163230.57"/>
    <n v="-169541.56"/>
    <n v="-160240.51"/>
    <n v="-179765.03"/>
    <n v="-193488.76"/>
    <n v="-165378.57"/>
    <n v="-186953.81"/>
    <n v="-148824.66"/>
    <n v="-162630.57999999999"/>
    <n v="-188226.81"/>
    <n v="-140638.59"/>
    <n v="-154460.87"/>
    <n v="-2013380.3200000003"/>
    <n v="13822.279999999999"/>
  </r>
  <r>
    <x v="18"/>
    <x v="6"/>
    <x v="0"/>
    <s v="4340107"/>
    <n v="400010"/>
    <s v="Acute I/P Svcs Rev--Medicaid"/>
    <s v="Occupational Therapy IP&amp;OP"/>
    <x v="0"/>
    <n v="1200"/>
    <n v="-22748.78"/>
    <n v="-17239.07"/>
    <n v="-25877.43"/>
    <n v="-25722.080000000002"/>
    <n v="-23283.759999999998"/>
    <n v="-24187.78"/>
    <n v="-23945.73"/>
    <n v="-34007.96"/>
    <n v="-33002.800000000003"/>
    <n v="-21604.14"/>
    <n v="-20776.22"/>
    <n v="-20697.23"/>
    <n v="-293092.98"/>
    <n v="-78.990000000001601"/>
  </r>
  <r>
    <x v="18"/>
    <x v="6"/>
    <x v="0"/>
    <s v="4340107"/>
    <n v="400010"/>
    <s v="Acute I/P Svcs Rev--Comm Insurance"/>
    <s v="Occupational Therapy IP&amp;OP"/>
    <x v="0"/>
    <n v="1300"/>
    <n v="4471.8100000000004"/>
    <n v="5109.76"/>
    <n v="-571.82000000000005"/>
    <n v="-3399.85"/>
    <n v="2206.6999999999998"/>
    <n v="-5261.31"/>
    <n v="2807.4"/>
    <n v="-3216"/>
    <n v="-1521.69"/>
    <n v="154.35"/>
    <n v="-6862.41"/>
    <n v="905.23"/>
    <n v="-5177.8300000000017"/>
    <n v="-7767.6399999999994"/>
  </r>
  <r>
    <x v="18"/>
    <x v="6"/>
    <x v="0"/>
    <s v="4340107"/>
    <n v="400010"/>
    <s v="Acute I/P Svcs Rev--BCBS Comm"/>
    <s v="Occupational Therapy IP&amp;OP"/>
    <x v="0"/>
    <n v="1301"/>
    <n v="-3784.22"/>
    <n v="-13412.95"/>
    <n v="-12215.31"/>
    <n v="-5604.15"/>
    <n v="-11984.89"/>
    <n v="-6233.09"/>
    <n v="-12883.99"/>
    <n v="-13083.63"/>
    <n v="-13331.02"/>
    <n v="-2070.4299999999998"/>
    <n v="-17899.36"/>
    <n v="-5180.51"/>
    <n v="-117683.55"/>
    <n v="-12718.85"/>
  </r>
  <r>
    <x v="18"/>
    <x v="6"/>
    <x v="0"/>
    <s v="4340107"/>
    <n v="400010"/>
    <s v="Acute I/P Svcs Rev--Managed Care"/>
    <s v="Occupational Therapy IP&amp;OP"/>
    <x v="0"/>
    <n v="1400"/>
    <n v="-24407.74"/>
    <n v="-16885.759999999998"/>
    <n v="-20261.61"/>
    <n v="-1005.2"/>
    <n v="-15085.14"/>
    <n v="-3081.38"/>
    <n v="-18684.43"/>
    <n v="-16875.759999999998"/>
    <n v="-20372.29"/>
    <n v="-9246.65"/>
    <n v="-22396.69"/>
    <n v="-16559.47"/>
    <n v="-184862.12"/>
    <n v="-5837.2199999999975"/>
  </r>
  <r>
    <x v="18"/>
    <x v="6"/>
    <x v="0"/>
    <s v="4340107"/>
    <n v="400010"/>
    <s v="Acute I/P Svcs Rev--Self Pay"/>
    <s v="Occupational Therapy IP&amp;OP"/>
    <x v="0"/>
    <n v="1500"/>
    <n v="0"/>
    <n v="-433.82"/>
    <n v="-1315.61"/>
    <n v="692.3"/>
    <n v="0"/>
    <n v="0"/>
    <n v="-3296.45"/>
    <n v="-3565.78"/>
    <n v="0"/>
    <n v="0"/>
    <n v="0"/>
    <n v="0"/>
    <n v="-7919.3600000000006"/>
    <n v="0"/>
  </r>
  <r>
    <x v="18"/>
    <x v="6"/>
    <x v="0"/>
    <s v="4340107"/>
    <n v="400010"/>
    <s v="Acute I/P Svcs Rev--Other"/>
    <s v="Occupational Therapy IP&amp;OP"/>
    <x v="0"/>
    <n v="1700"/>
    <n v="-5284.43"/>
    <n v="-12371.76"/>
    <n v="-10162.81"/>
    <n v="-525.17999999999995"/>
    <n v="-5189.01"/>
    <n v="-5785.23"/>
    <n v="-7632.57"/>
    <n v="-4461.5"/>
    <n v="-16221.93"/>
    <n v="-7313.59"/>
    <n v="-1160.07"/>
    <n v="-3618.12"/>
    <n v="-79726.2"/>
    <n v="2458.0500000000002"/>
  </r>
  <r>
    <x v="19"/>
    <x v="6"/>
    <x v="0"/>
    <s v="4340107"/>
    <n v="400020"/>
    <s v="O/P Care Svcs Rev--Medicare"/>
    <s v="Occupational Therapy IP&amp;OP"/>
    <x v="0"/>
    <n v="1100"/>
    <n v="-14930.94"/>
    <n v="-17125.72"/>
    <n v="-13353.66"/>
    <n v="-13452.33"/>
    <n v="-15327.95"/>
    <n v="-13380.03"/>
    <n v="-21062.61"/>
    <n v="-3290.73"/>
    <n v="-15590.89"/>
    <n v="-14097.63"/>
    <n v="-16708.72"/>
    <n v="-10588.48"/>
    <n v="-168909.69"/>
    <n v="-6120.2400000000016"/>
  </r>
  <r>
    <x v="19"/>
    <x v="6"/>
    <x v="0"/>
    <s v="4340107"/>
    <n v="400020"/>
    <s v="O/P Care Svcs Rev--Medicaid"/>
    <s v="Occupational Therapy IP&amp;OP"/>
    <x v="0"/>
    <n v="1200"/>
    <n v="-1963.47"/>
    <n v="-719.16"/>
    <n v="-3620.37"/>
    <n v="-1178.4100000000001"/>
    <n v="-2222.71"/>
    <n v="-2208.9699999999998"/>
    <n v="-1008.78"/>
    <n v="-3012.89"/>
    <n v="-2115.37"/>
    <n v="-2993.55"/>
    <n v="394.38"/>
    <n v="-2318.12"/>
    <n v="-22967.419999999995"/>
    <n v="2712.5"/>
  </r>
  <r>
    <x v="19"/>
    <x v="6"/>
    <x v="0"/>
    <s v="4340107"/>
    <n v="400020"/>
    <s v="O/P Care Svcs Rev--Comm Insurance"/>
    <s v="Occupational Therapy IP&amp;OP"/>
    <x v="0"/>
    <n v="1300"/>
    <n v="0"/>
    <n v="0"/>
    <n v="0"/>
    <n v="0"/>
    <n v="0"/>
    <n v="0"/>
    <n v="0"/>
    <n v="0"/>
    <n v="-346.35"/>
    <n v="-1056.45"/>
    <n v="-527.71"/>
    <n v="-1068.54"/>
    <n v="-2999.05"/>
    <n v="540.82999999999993"/>
  </r>
  <r>
    <x v="19"/>
    <x v="6"/>
    <x v="0"/>
    <s v="4340107"/>
    <n v="400020"/>
    <s v="O/P Care Svcs Rev--BCBS Comm"/>
    <s v="Occupational Therapy IP&amp;OP"/>
    <x v="0"/>
    <n v="1301"/>
    <n v="-336.26"/>
    <n v="0"/>
    <n v="-2204.94"/>
    <n v="-527.71"/>
    <n v="-336.26"/>
    <n v="-336.29"/>
    <n v="-1728.94"/>
    <n v="-2333.33"/>
    <n v="-692.7"/>
    <n v="-346.35"/>
    <n v="-556.77"/>
    <n v="-2808.56"/>
    <n v="-12208.11"/>
    <n v="2251.79"/>
  </r>
  <r>
    <x v="19"/>
    <x v="6"/>
    <x v="0"/>
    <s v="4340107"/>
    <n v="400020"/>
    <s v="O/P Care Svcs Rev--Managed Care"/>
    <s v="Occupational Therapy IP&amp;OP"/>
    <x v="0"/>
    <n v="1400"/>
    <n v="-5349.72"/>
    <n v="-3350.26"/>
    <n v="-860.49"/>
    <n v="0"/>
    <n v="-1961.02"/>
    <n v="-719.19"/>
    <n v="-2992.12"/>
    <n v="-346.35"/>
    <n v="-3106.96"/>
    <n v="-4877.01"/>
    <n v="-2820.89"/>
    <n v="-3107.93"/>
    <n v="-29491.940000000002"/>
    <n v="287.03999999999996"/>
  </r>
  <r>
    <x v="19"/>
    <x v="6"/>
    <x v="0"/>
    <s v="4340107"/>
    <n v="400020"/>
    <s v="O/P Care Svcs Rev--Self Pay"/>
    <s v="Occupational Therapy IP&amp;OP"/>
    <x v="0"/>
    <n v="1500"/>
    <n v="0"/>
    <n v="0"/>
    <n v="0"/>
    <n v="-1293.51"/>
    <n v="0"/>
    <n v="0"/>
    <n v="0"/>
    <n v="0"/>
    <n v="0"/>
    <n v="0"/>
    <n v="0"/>
    <n v="0"/>
    <n v="-1293.51"/>
    <n v="0"/>
  </r>
  <r>
    <x v="19"/>
    <x v="6"/>
    <x v="0"/>
    <s v="4340107"/>
    <n v="400020"/>
    <s v="O/P Care Svcs Rev--Other"/>
    <s v="Occupational Therapy IP&amp;OP"/>
    <x v="0"/>
    <n v="1700"/>
    <n v="-1201.26"/>
    <n v="-336.26"/>
    <n v="-1008.81"/>
    <n v="-1772.09"/>
    <n v="-336.26"/>
    <n v="-2112.84"/>
    <n v="0"/>
    <n v="-1582.05"/>
    <n v="336.29"/>
    <n v="323.88"/>
    <n v="-693.73"/>
    <n v="-644.61"/>
    <n v="-9027.74"/>
    <n v="-49.120000000000005"/>
  </r>
  <r>
    <x v="5"/>
    <x v="6"/>
    <x v="0"/>
    <s v="4340107"/>
    <n v="700032"/>
    <s v="Salaries-Other Pat Care Providers-Productive"/>
    <s v="Occupational Therapy IP&amp;OP"/>
    <x v="0"/>
    <m/>
    <n v="28700.11"/>
    <n v="27132.51"/>
    <n v="28159.31"/>
    <n v="26638.33"/>
    <n v="32462.27"/>
    <n v="22968.84"/>
    <n v="31866.799999999999"/>
    <n v="27171.439999999999"/>
    <n v="32029.3"/>
    <n v="27930.75"/>
    <n v="25672.71"/>
    <n v="26054.959999999999"/>
    <n v="336787.33"/>
    <n v="-382.25"/>
  </r>
  <r>
    <x v="5"/>
    <x v="6"/>
    <x v="0"/>
    <s v="4340107"/>
    <n v="700032"/>
    <s v="Salaries-Other Pat Care Providers-OT"/>
    <s v="Occupational Therapy IP&amp;OP"/>
    <x v="0"/>
    <n v="1000"/>
    <n v="19.920000000000002"/>
    <n v="-3.51"/>
    <n v="100.26"/>
    <n v="43.09"/>
    <n v="19.23"/>
    <n v="18.11"/>
    <n v="131.69999999999999"/>
    <n v="3.64"/>
    <n v="0"/>
    <n v="137.72999999999999"/>
    <n v="-2.38"/>
    <n v="208.29"/>
    <n v="676.07999999999993"/>
    <n v="-210.67"/>
  </r>
  <r>
    <x v="5"/>
    <x v="6"/>
    <x v="0"/>
    <s v="4340107"/>
    <n v="700032"/>
    <s v="Salaries-Other Pat Care Providers-Other"/>
    <s v="Occupational Therapy IP&amp;OP"/>
    <x v="0"/>
    <n v="2000"/>
    <n v="1528.96"/>
    <n v="1294.46"/>
    <n v="1818.05"/>
    <n v="860.06"/>
    <n v="1417.68"/>
    <n v="623.16999999999996"/>
    <n v="1285.22"/>
    <n v="903.3"/>
    <n v="1435.97"/>
    <n v="751.94"/>
    <n v="1252.77"/>
    <n v="983.49"/>
    <n v="14155.07"/>
    <n v="269.27999999999997"/>
  </r>
  <r>
    <x v="5"/>
    <x v="6"/>
    <x v="0"/>
    <s v="4340107"/>
    <n v="700072"/>
    <s v="Salaries-Other Pat Care Providers-Non-productive"/>
    <s v="Occupational Therapy IP&amp;OP"/>
    <x v="0"/>
    <m/>
    <n v="3843.49"/>
    <n v="3146.64"/>
    <n v="7877.86"/>
    <n v="5284.67"/>
    <n v="182.96"/>
    <n v="5430.36"/>
    <n v="1354.35"/>
    <n v="3253.63"/>
    <n v="2560.02"/>
    <n v="1375.83"/>
    <n v="6515.64"/>
    <n v="4793.38"/>
    <n v="45618.829999999994"/>
    <n v="1722.2600000000002"/>
  </r>
  <r>
    <x v="5"/>
    <x v="6"/>
    <x v="0"/>
    <s v="4340107"/>
    <n v="700072"/>
    <s v="Salaries-Other Pat Care Providers-NonProd-Other"/>
    <s v="Occupational Therapy IP&amp;OP"/>
    <x v="0"/>
    <n v="2000"/>
    <n v="0"/>
    <n v="0"/>
    <n v="0"/>
    <n v="0"/>
    <n v="517.16"/>
    <n v="488.57"/>
    <n v="0"/>
    <n v="-995.72"/>
    <n v="0"/>
    <n v="0"/>
    <n v="0"/>
    <n v="11.62"/>
    <n v="21.629999999999988"/>
    <n v="-11.62"/>
  </r>
  <r>
    <x v="5"/>
    <x v="6"/>
    <x v="0"/>
    <s v="4340107"/>
    <n v="700084"/>
    <s v="Accrued PTO"/>
    <s v="Occupational Therapy IP&amp;OP"/>
    <x v="0"/>
    <m/>
    <n v="-627.74"/>
    <n v="584.36"/>
    <n v="-4244.04"/>
    <n v="2171.59"/>
    <n v="1107.8699999999999"/>
    <n v="-339.69"/>
    <n v="2138.81"/>
    <n v="366.87"/>
    <n v="175.88"/>
    <n v="2254.7199999999998"/>
    <n v="-1530.65"/>
    <n v="-2230.89"/>
    <n v="-172.91000000000031"/>
    <n v="700.23999999999978"/>
  </r>
  <r>
    <x v="6"/>
    <x v="6"/>
    <x v="0"/>
    <s v="4340107"/>
    <n v="713010"/>
    <s v="Benefits-FICA/Medicare"/>
    <s v="Occupational Therapy IP&amp;OP"/>
    <x v="0"/>
    <m/>
    <n v="2525.5500000000002"/>
    <n v="2352.2800000000002"/>
    <n v="2807.86"/>
    <n v="2422.58"/>
    <n v="2653.94"/>
    <n v="2134.44"/>
    <n v="2565.41"/>
    <n v="2308.61"/>
    <n v="2680.19"/>
    <n v="2221.66"/>
    <n v="2481.38"/>
    <n v="2356.19"/>
    <n v="29510.09"/>
    <n v="125.19000000000005"/>
  </r>
  <r>
    <x v="6"/>
    <x v="6"/>
    <x v="0"/>
    <s v="4340107"/>
    <n v="713090"/>
    <s v="Benefits-Allocated Amounts"/>
    <s v="Occupational Therapy IP&amp;OP"/>
    <x v="0"/>
    <m/>
    <n v="4945.78"/>
    <n v="4185.96"/>
    <n v="5242.0200000000004"/>
    <n v="4699.51"/>
    <n v="5418.62"/>
    <n v="4312.2"/>
    <n v="5093.07"/>
    <n v="5005.4799999999996"/>
    <n v="4247.1499999999996"/>
    <n v="5054.1000000000004"/>
    <n v="4828.34"/>
    <n v="5492.27"/>
    <n v="58524.5"/>
    <n v="-663.93000000000029"/>
  </r>
  <r>
    <x v="11"/>
    <x v="6"/>
    <x v="0"/>
    <s v="4340107"/>
    <n v="721020"/>
    <s v="Supplies-Surgical - Billable"/>
    <s v="Occupational Therapy IP&amp;OP"/>
    <x v="0"/>
    <m/>
    <n v="0"/>
    <n v="0"/>
    <n v="0"/>
    <n v="0"/>
    <n v="0"/>
    <n v="0"/>
    <n v="0"/>
    <n v="0"/>
    <n v="35.31"/>
    <n v="9.9600000000000009"/>
    <n v="0"/>
    <n v="0"/>
    <n v="45.27"/>
    <n v="0"/>
  </r>
  <r>
    <x v="11"/>
    <x v="6"/>
    <x v="0"/>
    <s v="4340107"/>
    <n v="721410"/>
    <s v="Supplies-Medical - Nonbillable"/>
    <s v="Occupational Therapy IP&amp;OP"/>
    <x v="0"/>
    <m/>
    <n v="-0.47"/>
    <n v="-2.61"/>
    <n v="0"/>
    <n v="4.8499999999999996"/>
    <n v="8.14"/>
    <n v="0"/>
    <n v="0"/>
    <n v="24.43"/>
    <n v="0"/>
    <n v="4.8499999999999996"/>
    <n v="0"/>
    <n v="0"/>
    <n v="39.190000000000005"/>
    <n v="0"/>
  </r>
  <r>
    <x v="11"/>
    <x v="6"/>
    <x v="0"/>
    <s v="4340107"/>
    <n v="721810"/>
    <s v="Supplies-Dietary/Cafeteria"/>
    <s v="Occupational Therapy IP&amp;OP"/>
    <x v="0"/>
    <m/>
    <n v="0"/>
    <n v="0"/>
    <n v="0"/>
    <n v="0"/>
    <n v="0"/>
    <n v="0"/>
    <n v="0"/>
    <n v="0"/>
    <n v="0"/>
    <n v="0"/>
    <n v="0"/>
    <n v="34.72"/>
    <n v="34.72"/>
    <n v="-34.72"/>
  </r>
  <r>
    <x v="11"/>
    <x v="6"/>
    <x v="0"/>
    <s v="4340107"/>
    <n v="721830"/>
    <s v="Supplies-Office"/>
    <s v="Occupational Therapy IP&amp;OP"/>
    <x v="0"/>
    <m/>
    <n v="0"/>
    <n v="0"/>
    <n v="28.5"/>
    <n v="0"/>
    <n v="0"/>
    <n v="0"/>
    <n v="0"/>
    <n v="0"/>
    <n v="0"/>
    <n v="0"/>
    <n v="0"/>
    <n v="0"/>
    <n v="28.5"/>
    <n v="0"/>
  </r>
  <r>
    <x v="11"/>
    <x v="6"/>
    <x v="0"/>
    <s v="4340107"/>
    <n v="722000"/>
    <s v="Supplies-Freight Expense"/>
    <s v="Occupational Therapy IP&amp;OP"/>
    <x v="0"/>
    <m/>
    <n v="0"/>
    <n v="2.61"/>
    <n v="0"/>
    <n v="0"/>
    <n v="0"/>
    <n v="0"/>
    <n v="0"/>
    <n v="0"/>
    <n v="0"/>
    <n v="0"/>
    <n v="0"/>
    <n v="0"/>
    <n v="2.61"/>
    <n v="0"/>
  </r>
  <r>
    <x v="15"/>
    <x v="6"/>
    <x v="0"/>
    <s v="4340107"/>
    <n v="731060"/>
    <s v="Pagers"/>
    <s v="Occupational Therapy IP&amp;OP"/>
    <x v="0"/>
    <n v="1002"/>
    <n v="48.6"/>
    <n v="48.6"/>
    <n v="48.6"/>
    <n v="48.72"/>
    <n v="0"/>
    <n v="48.72"/>
    <n v="97.44"/>
    <n v="48.72"/>
    <n v="48.72"/>
    <n v="48.72"/>
    <n v="48.72"/>
    <n v="48.72"/>
    <n v="584.28000000000009"/>
    <n v="0"/>
  </r>
  <r>
    <x v="0"/>
    <x v="6"/>
    <x v="0"/>
    <s v="4340107"/>
    <n v="740020"/>
    <s v="Education-Registration Fees"/>
    <s v="Occupational Therapy IP&amp;OP"/>
    <x v="0"/>
    <m/>
    <n v="0"/>
    <n v="0"/>
    <n v="0"/>
    <n v="0"/>
    <n v="0"/>
    <n v="0"/>
    <n v="0"/>
    <n v="0"/>
    <n v="0"/>
    <n v="0"/>
    <n v="713.34"/>
    <n v="0"/>
    <n v="713.34"/>
    <n v="713.34"/>
  </r>
  <r>
    <x v="0"/>
    <x v="6"/>
    <x v="0"/>
    <s v="4340107"/>
    <n v="749510"/>
    <s v="Miscellaneous Expenses"/>
    <s v="Occupational Therapy IP&amp;OP"/>
    <x v="0"/>
    <m/>
    <n v="-22.92"/>
    <n v="26.74"/>
    <n v="-15.28"/>
    <n v="-11.46"/>
    <n v="15.28"/>
    <n v="-3.82"/>
    <n v="-3.34"/>
    <n v="-8.1199999999999992"/>
    <n v="0"/>
    <n v="8.1199999999999992"/>
    <n v="-8.1199999999999992"/>
    <n v="0"/>
    <n v="-22.92"/>
    <n v="-8.1199999999999992"/>
  </r>
  <r>
    <x v="0"/>
    <x v="6"/>
    <x v="0"/>
    <s v="4340107"/>
    <n v="749510"/>
    <s v="RICE Rewards"/>
    <s v="Occupational Therapy IP&amp;OP"/>
    <x v="0"/>
    <n v="5100"/>
    <n v="0"/>
    <n v="0"/>
    <n v="0"/>
    <n v="0"/>
    <n v="0"/>
    <n v="0"/>
    <n v="0"/>
    <n v="0"/>
    <n v="61.14"/>
    <n v="0"/>
    <n v="0"/>
    <n v="48.02"/>
    <n v="109.16"/>
    <n v="-48.02"/>
  </r>
  <r>
    <x v="0"/>
    <x v="6"/>
    <x v="0"/>
    <s v="4340107"/>
    <n v="749530"/>
    <s v="Mileage"/>
    <s v="Occupational Therapy IP&amp;OP"/>
    <x v="0"/>
    <n v="1001"/>
    <n v="30.56"/>
    <n v="0"/>
    <n v="68.760000000000005"/>
    <n v="11.46"/>
    <n v="0"/>
    <n v="34.380000000000003"/>
    <n v="11.46"/>
    <n v="28.42"/>
    <n v="28.42"/>
    <n v="8.1199999999999992"/>
    <n v="28.42"/>
    <n v="20.3"/>
    <n v="270.30000000000007"/>
    <n v="8.120000000000001"/>
  </r>
  <r>
    <x v="18"/>
    <x v="7"/>
    <x v="0"/>
    <s v="4340150"/>
    <n v="400010"/>
    <s v="Acute I/P Svcs Rev--Medicare"/>
    <s v="Occupational Therapy"/>
    <x v="0"/>
    <n v="1100"/>
    <n v="-17872.62"/>
    <n v="-15382.92"/>
    <n v="-13756.06"/>
    <n v="-9157.3799999999992"/>
    <n v="-10007.24"/>
    <n v="-16162.21"/>
    <n v="-15124.79"/>
    <n v="-19513.2"/>
    <n v="-22210.880000000001"/>
    <n v="-29028.9"/>
    <n v="-26199.919999999998"/>
    <n v="-8547.7999999999993"/>
    <n v="-202963.91999999998"/>
    <n v="-17652.12"/>
  </r>
  <r>
    <x v="18"/>
    <x v="7"/>
    <x v="0"/>
    <s v="4340150"/>
    <n v="400010"/>
    <s v="Acute I/P Svcs Rev--Medicaid"/>
    <s v="Occupational Therapy"/>
    <x v="0"/>
    <n v="1200"/>
    <n v="-3885.47"/>
    <n v="-1428.2"/>
    <n v="-5210.6899999999996"/>
    <n v="-2708.96"/>
    <n v="-336.28"/>
    <n v="-714.12"/>
    <n v="-740.96"/>
    <n v="-979.59"/>
    <n v="0"/>
    <n v="-2358.41"/>
    <n v="540.96"/>
    <n v="540.96"/>
    <n v="-17280.760000000002"/>
    <n v="0"/>
  </r>
  <r>
    <x v="18"/>
    <x v="7"/>
    <x v="0"/>
    <s v="4340150"/>
    <n v="400010"/>
    <s v="Acute I/P Svcs Rev--Comm Insurance"/>
    <s v="Occupational Therapy"/>
    <x v="0"/>
    <n v="1300"/>
    <n v="320.27"/>
    <n v="-719.16"/>
    <n v="-336.29"/>
    <n v="-625.86"/>
    <n v="0"/>
    <n v="100.68"/>
    <n v="0"/>
    <n v="0"/>
    <n v="-346.35"/>
    <n v="0"/>
    <n v="0"/>
    <n v="0"/>
    <n v="-1606.71"/>
    <n v="0"/>
  </r>
  <r>
    <x v="18"/>
    <x v="7"/>
    <x v="0"/>
    <s v="4340150"/>
    <n v="400010"/>
    <s v="Acute I/P Svcs Rev--BCBS Comm"/>
    <s v="Occupational Therapy"/>
    <x v="0"/>
    <n v="1301"/>
    <n v="320.27"/>
    <n v="-903.02"/>
    <n v="-525.20000000000005"/>
    <n v="-1469.78"/>
    <n v="0"/>
    <n v="0"/>
    <n v="-2375.33"/>
    <n v="-735.53"/>
    <n v="-4299.5600000000004"/>
    <n v="197.19"/>
    <n v="0"/>
    <n v="-540.94000000000005"/>
    <n v="-10331.9"/>
    <n v="540.94000000000005"/>
  </r>
  <r>
    <x v="18"/>
    <x v="7"/>
    <x v="0"/>
    <s v="4340150"/>
    <n v="400010"/>
    <s v="Acute I/P Svcs Rev--Managed Care"/>
    <s v="Occupational Therapy"/>
    <x v="0"/>
    <n v="1400"/>
    <n v="-3169.45"/>
    <n v="-1806.04"/>
    <n v="-525.17999999999995"/>
    <n v="-336.26"/>
    <n v="-336.26"/>
    <n v="-672.52"/>
    <n v="-1428.2"/>
    <n v="-1665.67"/>
    <n v="-540.96"/>
    <n v="-1276.47"/>
    <n v="0"/>
    <n v="0"/>
    <n v="-11757.01"/>
    <n v="0"/>
  </r>
  <r>
    <x v="18"/>
    <x v="7"/>
    <x v="0"/>
    <s v="4340150"/>
    <n v="400010"/>
    <s v="Acute I/P Svcs Rev--Self Pay"/>
    <s v="Occupational Therapy"/>
    <x v="0"/>
    <n v="1500"/>
    <n v="-1091.94"/>
    <n v="0"/>
    <n v="0"/>
    <n v="-336.26"/>
    <n v="0"/>
    <n v="0"/>
    <n v="-665.44"/>
    <n v="-540.94000000000005"/>
    <n v="0"/>
    <n v="0"/>
    <n v="0"/>
    <n v="-1665.67"/>
    <n v="-4300.25"/>
    <n v="1665.67"/>
  </r>
  <r>
    <x v="18"/>
    <x v="7"/>
    <x v="0"/>
    <s v="4340150"/>
    <n v="400010"/>
    <s v="Acute I/P Svcs Rev--Other"/>
    <s v="Occupational Therapy"/>
    <x v="0"/>
    <n v="1700"/>
    <n v="0"/>
    <n v="-336.26"/>
    <n v="336.26"/>
    <n v="0"/>
    <n v="0"/>
    <n v="0"/>
    <n v="-525.17999999999995"/>
    <n v="-1124.73"/>
    <n v="-735.53"/>
    <n v="-346.35"/>
    <n v="217.05"/>
    <n v="0"/>
    <n v="-2514.7399999999993"/>
    <n v="217.05"/>
  </r>
  <r>
    <x v="19"/>
    <x v="7"/>
    <x v="0"/>
    <s v="4340150"/>
    <n v="400020"/>
    <s v="O/P Care Svcs Rev--Medicare"/>
    <s v="Occupational Therapy"/>
    <x v="0"/>
    <n v="1100"/>
    <n v="-6383.1"/>
    <n v="-2542.87"/>
    <n v="-1725.48"/>
    <n v="-1887.56"/>
    <n v="-672.54"/>
    <n v="-525.16"/>
    <n v="-5715.48"/>
    <n v="-2401.2399999999998"/>
    <n v="-4218.6899999999996"/>
    <n v="-3637.44"/>
    <n v="-6898.16"/>
    <n v="-2709.9"/>
    <n v="-39317.620000000003"/>
    <n v="-4188.26"/>
  </r>
  <r>
    <x v="19"/>
    <x v="7"/>
    <x v="0"/>
    <s v="4340150"/>
    <n v="400020"/>
    <s v="O/P Care Svcs Rev--Medicaid"/>
    <s v="Occupational Therapy"/>
    <x v="0"/>
    <n v="1200"/>
    <n v="0"/>
    <n v="0"/>
    <n v="0"/>
    <n v="0"/>
    <n v="0"/>
    <n v="0"/>
    <n v="0"/>
    <n v="0"/>
    <n v="0"/>
    <n v="-346.37"/>
    <n v="0"/>
    <n v="0"/>
    <n v="-346.37"/>
    <n v="0"/>
  </r>
  <r>
    <x v="19"/>
    <x v="7"/>
    <x v="0"/>
    <s v="4340150"/>
    <n v="400020"/>
    <s v="O/P Care Svcs Rev--Managed Care"/>
    <s v="Occupational Therapy"/>
    <x v="0"/>
    <n v="1400"/>
    <n v="0"/>
    <n v="0"/>
    <n v="0"/>
    <n v="0"/>
    <n v="0"/>
    <n v="0"/>
    <n v="-714.12"/>
    <n v="-735.53"/>
    <n v="0"/>
    <n v="0"/>
    <n v="0"/>
    <n v="0"/>
    <n v="-1449.65"/>
    <n v="0"/>
  </r>
  <r>
    <x v="19"/>
    <x v="7"/>
    <x v="0"/>
    <s v="4340150"/>
    <n v="400020"/>
    <s v="O/P Care Svcs Rev--Self Pay"/>
    <s v="Occupational Therapy"/>
    <x v="0"/>
    <n v="1500"/>
    <n v="0"/>
    <n v="0"/>
    <n v="-336.29"/>
    <n v="0.03"/>
    <n v="0"/>
    <n v="0"/>
    <n v="0"/>
    <n v="0"/>
    <n v="0"/>
    <n v="0"/>
    <n v="0"/>
    <n v="0"/>
    <n v="-336.26000000000005"/>
    <n v="0"/>
  </r>
  <r>
    <x v="19"/>
    <x v="7"/>
    <x v="0"/>
    <s v="4340150"/>
    <n v="400020"/>
    <s v="O/P Care Svcs Rev--Other"/>
    <s v="Occupational Therapy"/>
    <x v="0"/>
    <n v="1700"/>
    <n v="0"/>
    <n v="0"/>
    <n v="0"/>
    <n v="0"/>
    <n v="0"/>
    <n v="0"/>
    <n v="0"/>
    <n v="0"/>
    <n v="-346.35"/>
    <n v="0"/>
    <n v="0"/>
    <n v="0"/>
    <n v="-346.35"/>
    <n v="0"/>
  </r>
  <r>
    <x v="7"/>
    <x v="7"/>
    <x v="0"/>
    <s v="4340150"/>
    <n v="718050"/>
    <s v="Contract Svcs-Other"/>
    <s v="Occupational Therapy"/>
    <x v="0"/>
    <m/>
    <n v="8196.9599999999991"/>
    <n v="7165.34"/>
    <n v="8493.08"/>
    <n v="7637.83"/>
    <n v="3062.29"/>
    <n v="7256.53"/>
    <n v="757.34"/>
    <n v="33444"/>
    <n v="-25898.73"/>
    <n v="4209.66"/>
    <n v="5739.97"/>
    <n v="6476.19"/>
    <n v="66540.460000000006"/>
    <n v="-736.21999999999935"/>
  </r>
  <r>
    <x v="18"/>
    <x v="10"/>
    <x v="0"/>
    <s v="4340306"/>
    <n v="400010"/>
    <s v="Acute I/P Svcs Rev--Medicare"/>
    <s v="OT Services IP &amp; OP"/>
    <x v="0"/>
    <n v="1100"/>
    <n v="-45723.3"/>
    <n v="-49196.6"/>
    <n v="-29704.57"/>
    <n v="-59411.45"/>
    <n v="-54419.31"/>
    <n v="-34501.14"/>
    <n v="-41991.89"/>
    <n v="-41947.360000000001"/>
    <n v="-48551.19"/>
    <n v="-42606.42"/>
    <n v="-53650.84"/>
    <n v="-45843.31"/>
    <n v="-547547.37999999989"/>
    <n v="-7807.5299999999988"/>
  </r>
  <r>
    <x v="18"/>
    <x v="10"/>
    <x v="0"/>
    <s v="4340306"/>
    <n v="400010"/>
    <s v="Acute I/P Svcs Rev--Medicaid"/>
    <s v="OT Services IP &amp; OP"/>
    <x v="0"/>
    <n v="1200"/>
    <n v="-9801.69"/>
    <n v="-7526.09"/>
    <n v="0"/>
    <n v="-3380.58"/>
    <n v="2054.2399999999998"/>
    <n v="-6192.88"/>
    <n v="-4234.67"/>
    <n v="-2220.1799999999998"/>
    <n v="-1125.54"/>
    <n v="-8018.91"/>
    <n v="-7088.93"/>
    <n v="0"/>
    <n v="-47535.23"/>
    <n v="-7088.93"/>
  </r>
  <r>
    <x v="18"/>
    <x v="10"/>
    <x v="0"/>
    <s v="4340306"/>
    <n v="400010"/>
    <s v="Acute I/P Svcs Rev--Comm Insurance"/>
    <s v="OT Services IP &amp; OP"/>
    <x v="0"/>
    <n v="1300"/>
    <n v="0"/>
    <n v="0"/>
    <n v="0"/>
    <n v="0"/>
    <n v="0"/>
    <n v="0"/>
    <n v="0"/>
    <n v="-2693.12"/>
    <n v="0"/>
    <n v="0"/>
    <n v="0"/>
    <n v="0"/>
    <n v="-2693.12"/>
    <n v="0"/>
  </r>
  <r>
    <x v="18"/>
    <x v="10"/>
    <x v="0"/>
    <s v="4340306"/>
    <n v="400010"/>
    <s v="Acute I/P Svcs Rev--BCBS Comm"/>
    <s v="OT Services IP &amp; OP"/>
    <x v="0"/>
    <n v="1301"/>
    <n v="-1428.71"/>
    <n v="-527.71"/>
    <n v="-5100.18"/>
    <n v="-1872.46"/>
    <n v="-7283.56"/>
    <n v="0"/>
    <n v="-2510.7399999999998"/>
    <n v="-6153.9"/>
    <n v="-2163.4899999999998"/>
    <n v="-4014.03"/>
    <n v="-339.06"/>
    <n v="-3668.78"/>
    <n v="-35062.620000000003"/>
    <n v="3329.7200000000003"/>
  </r>
  <r>
    <x v="18"/>
    <x v="10"/>
    <x v="0"/>
    <s v="4340306"/>
    <n v="400010"/>
    <s v="Acute I/P Svcs Rev--Managed Care"/>
    <s v="OT Services IP &amp; OP"/>
    <x v="0"/>
    <n v="1400"/>
    <n v="4519.5600000000004"/>
    <n v="-15308.77"/>
    <n v="-14207.55"/>
    <n v="-9332.08"/>
    <n v="-2713.51"/>
    <n v="-2646.75"/>
    <n v="-493.77"/>
    <n v="-5182.8500000000004"/>
    <n v="-15554.38"/>
    <n v="-14443.88"/>
    <n v="-11229.62"/>
    <n v="-9255.2999999999993"/>
    <n v="-95848.9"/>
    <n v="-1974.3200000000015"/>
  </r>
  <r>
    <x v="18"/>
    <x v="10"/>
    <x v="0"/>
    <s v="4340306"/>
    <n v="400010"/>
    <s v="Acute I/P Svcs Rev--Self Pay"/>
    <s v="OT Services IP &amp; OP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4340306"/>
    <n v="400010"/>
    <s v="Acute I/P Svcs Rev--Other"/>
    <s v="OT Services IP &amp; OP"/>
    <x v="0"/>
    <n v="1700"/>
    <n v="-8648.17"/>
    <n v="0"/>
    <n v="0"/>
    <n v="0"/>
    <n v="0"/>
    <n v="0"/>
    <n v="-3846.13"/>
    <n v="-3733.86"/>
    <n v="-543.54"/>
    <n v="0"/>
    <n v="0"/>
    <n v="0"/>
    <n v="-16771.7"/>
    <n v="0"/>
  </r>
  <r>
    <x v="7"/>
    <x v="10"/>
    <x v="0"/>
    <s v="4340306"/>
    <n v="718050"/>
    <s v="Miscellaneous Purchased Svcs"/>
    <s v="OT Services IP &amp; OP"/>
    <x v="0"/>
    <n v="1020"/>
    <n v="15795.88"/>
    <n v="18763.8"/>
    <n v="12674.58"/>
    <n v="19135.509999999998"/>
    <n v="16126.84"/>
    <n v="11207.92"/>
    <n v="13725.76"/>
    <n v="14262.77"/>
    <n v="15646.15"/>
    <n v="15909.87"/>
    <n v="16652.63"/>
    <n v="13534.12"/>
    <n v="183435.83"/>
    <n v="3118.51"/>
  </r>
  <r>
    <x v="18"/>
    <x v="3"/>
    <x v="0"/>
    <s v="4350101"/>
    <n v="400010"/>
    <s v="Acute I/P Svcs Rev--Medicare"/>
    <s v="Speech-Language Pathology"/>
    <x v="0"/>
    <n v="1100"/>
    <n v="-131367.57999999999"/>
    <n v="-113030.52"/>
    <n v="-96222.9"/>
    <n v="-148825.38"/>
    <n v="-145482.67000000001"/>
    <n v="-139073.39000000001"/>
    <n v="-151297.93"/>
    <n v="-119062.92"/>
    <n v="-167875.96"/>
    <n v="-155108.54999999999"/>
    <n v="-145986.4"/>
    <n v="-137828.81"/>
    <n v="-1651163.0100000002"/>
    <n v="-8157.5899999999965"/>
  </r>
  <r>
    <x v="18"/>
    <x v="3"/>
    <x v="0"/>
    <s v="4350101"/>
    <n v="400010"/>
    <s v="Acute I/P Svcs Rev--Medicaid"/>
    <s v="Speech-Language Pathology"/>
    <x v="0"/>
    <n v="1200"/>
    <n v="-29976.82"/>
    <n v="-14891.4"/>
    <n v="-37019.550000000003"/>
    <n v="-22806.86"/>
    <n v="-30265.279999999999"/>
    <n v="-22382.42"/>
    <n v="-23288.32"/>
    <n v="-24539.67"/>
    <n v="-28622.67"/>
    <n v="-29614.71"/>
    <n v="-35385.11"/>
    <n v="-41482.94"/>
    <n v="-340275.75"/>
    <n v="6097.8300000000017"/>
  </r>
  <r>
    <x v="18"/>
    <x v="3"/>
    <x v="0"/>
    <s v="4350101"/>
    <n v="400010"/>
    <s v="Acute I/P Svcs Rev--Comm Insurance"/>
    <s v="Speech-Language Pathology"/>
    <x v="0"/>
    <n v="1300"/>
    <n v="-8823.64"/>
    <n v="4302.63"/>
    <n v="-606.28"/>
    <n v="-2860.15"/>
    <n v="-6088.98"/>
    <n v="-4818.66"/>
    <n v="0"/>
    <n v="2845.62"/>
    <n v="-2616.83"/>
    <n v="-3172.41"/>
    <n v="-1473.25"/>
    <n v="-1291.44"/>
    <n v="-24603.39"/>
    <n v="-181.80999999999995"/>
  </r>
  <r>
    <x v="18"/>
    <x v="3"/>
    <x v="0"/>
    <s v="4350101"/>
    <n v="400010"/>
    <s v="Acute I/P Svcs Rev--BCBS Comm"/>
    <s v="Speech-Language Pathology"/>
    <x v="0"/>
    <n v="1301"/>
    <n v="512.42999999999995"/>
    <n v="-2877.01"/>
    <n v="-3254.06"/>
    <n v="-3946.98"/>
    <n v="-1319.77"/>
    <n v="-4474.8599999999997"/>
    <n v="-5108.62"/>
    <n v="-3041.22"/>
    <n v="-2832.65"/>
    <n v="-9505.68"/>
    <n v="-624.47"/>
    <n v="-4530.29"/>
    <n v="-41003.18"/>
    <n v="3905.8199999999997"/>
  </r>
  <r>
    <x v="18"/>
    <x v="3"/>
    <x v="0"/>
    <s v="4350101"/>
    <n v="400010"/>
    <s v="Acute I/P Svcs Rev--Managed Care"/>
    <s v="Speech-Language Pathology"/>
    <x v="0"/>
    <n v="1400"/>
    <n v="-8544.86"/>
    <n v="-12123.92"/>
    <n v="-13549.2"/>
    <n v="-16255.09"/>
    <n v="-16845.5"/>
    <n v="-22313.82"/>
    <n v="-15521.49"/>
    <n v="-14007.63"/>
    <n v="-27756.94"/>
    <n v="-16108.65"/>
    <n v="-13715.1"/>
    <n v="-10255.06"/>
    <n v="-186997.25999999998"/>
    <n v="-3460.0400000000009"/>
  </r>
  <r>
    <x v="18"/>
    <x v="3"/>
    <x v="0"/>
    <s v="4350101"/>
    <n v="400010"/>
    <s v="Acute I/P Svcs Rev--Self Pay"/>
    <s v="Speech-Language Pathology"/>
    <x v="0"/>
    <n v="1500"/>
    <n v="0"/>
    <n v="-2642.94"/>
    <n v="0"/>
    <n v="-606.28"/>
    <n v="0"/>
    <n v="-606.28"/>
    <n v="0"/>
    <n v="0"/>
    <n v="-1230.77"/>
    <n v="-6241.95"/>
    <n v="954.26"/>
    <n v="624.47"/>
    <n v="-9749.4900000000016"/>
    <n v="329.78999999999996"/>
  </r>
  <r>
    <x v="18"/>
    <x v="3"/>
    <x v="0"/>
    <s v="4350101"/>
    <n v="400010"/>
    <s v="Acute I/P Svcs Rev--Other"/>
    <s v="Speech-Language Pathology"/>
    <x v="0"/>
    <n v="1700"/>
    <n v="-606.28"/>
    <n v="-6434.42"/>
    <n v="-10580.64"/>
    <n v="-10480.91"/>
    <n v="-1189.6600000000001"/>
    <n v="-6934.08"/>
    <n v="-10671.05"/>
    <n v="-7463.82"/>
    <n v="-8046.21"/>
    <n v="-2297.8200000000002"/>
    <n v="-12218.64"/>
    <n v="-13256.67"/>
    <n v="-90180.2"/>
    <n v="1038.0300000000007"/>
  </r>
  <r>
    <x v="19"/>
    <x v="3"/>
    <x v="0"/>
    <s v="4350101"/>
    <n v="400020"/>
    <s v="O/P Care Svcs Rev--Medicare"/>
    <s v="Speech-Language Pathology"/>
    <x v="0"/>
    <n v="1100"/>
    <n v="-43134.93"/>
    <n v="-47562.35"/>
    <n v="-52358.33"/>
    <n v="-44557.37"/>
    <n v="-33781.29"/>
    <n v="-31809.16"/>
    <n v="-39344.699999999997"/>
    <n v="-26502.75"/>
    <n v="-36211.11"/>
    <n v="-41255.46"/>
    <n v="-35274.839999999997"/>
    <n v="-28733.33"/>
    <n v="-460525.62000000005"/>
    <n v="-6541.5099999999948"/>
  </r>
  <r>
    <x v="19"/>
    <x v="3"/>
    <x v="0"/>
    <s v="4350101"/>
    <n v="400020"/>
    <s v="O/P Care Svcs Rev--Medicaid"/>
    <s v="Speech-Language Pathology"/>
    <x v="0"/>
    <n v="1200"/>
    <n v="-3763.39"/>
    <n v="-3060.56"/>
    <n v="-5400.19"/>
    <n v="-5915.18"/>
    <n v="-4059.07"/>
    <n v="-10013.950000000001"/>
    <n v="-14131.64"/>
    <n v="-10474.030000000001"/>
    <n v="-7415.12"/>
    <n v="-11109.05"/>
    <n v="-5760.92"/>
    <n v="-2962.58"/>
    <n v="-84065.68"/>
    <n v="-2798.34"/>
  </r>
  <r>
    <x v="19"/>
    <x v="3"/>
    <x v="0"/>
    <s v="4350101"/>
    <n v="400020"/>
    <s v="O/P Care Svcs Rev--Comm Insurance"/>
    <s v="Speech-Language Pathology"/>
    <x v="0"/>
    <n v="1300"/>
    <n v="-3584.4"/>
    <n v="-655.33000000000004"/>
    <n v="-523.62"/>
    <n v="-6438.61"/>
    <n v="-3829.6"/>
    <n v="-2068.88"/>
    <n v="-1945.62"/>
    <n v="-1440.64"/>
    <n v="-1672.56"/>
    <n v="-4974.9399999999996"/>
    <n v="-4396.41"/>
    <n v="-2805.53"/>
    <n v="-34336.14"/>
    <n v="-1590.8799999999997"/>
  </r>
  <r>
    <x v="19"/>
    <x v="3"/>
    <x v="0"/>
    <s v="4350101"/>
    <n v="400020"/>
    <s v="O/P Care Svcs Rev--BCBS Comm"/>
    <s v="Speech-Language Pathology"/>
    <x v="0"/>
    <n v="1301"/>
    <n v="-527.21"/>
    <n v="-1605.56"/>
    <n v="-1305.45"/>
    <n v="-2315.02"/>
    <n v="-3425.7"/>
    <n v="0"/>
    <n v="-916.35"/>
    <n v="-801.58"/>
    <n v="-451.35"/>
    <n v="-2643.01"/>
    <n v="-1202.3699999999999"/>
    <n v="-801.58"/>
    <n v="-15995.179999999998"/>
    <n v="-400.78999999999985"/>
  </r>
  <r>
    <x v="19"/>
    <x v="3"/>
    <x v="0"/>
    <s v="4350101"/>
    <n v="400020"/>
    <s v="O/P Care Svcs Rev--Managed Care"/>
    <s v="Speech-Language Pathology"/>
    <x v="0"/>
    <n v="1400"/>
    <n v="-17973.919999999998"/>
    <n v="-14301.68"/>
    <n v="-12488.49"/>
    <n v="-14202.81"/>
    <n v="-9798.24"/>
    <n v="-3756.73"/>
    <n v="-11625.8"/>
    <n v="-7647.01"/>
    <n v="-5904.98"/>
    <n v="-14838.91"/>
    <n v="-15296.01"/>
    <n v="-10193.780000000001"/>
    <n v="-138028.35999999999"/>
    <n v="-5102.2299999999996"/>
  </r>
  <r>
    <x v="19"/>
    <x v="3"/>
    <x v="0"/>
    <s v="4350101"/>
    <n v="400020"/>
    <s v="O/P Care Svcs Rev--Self Pay"/>
    <s v="Speech-Language Pathology"/>
    <x v="0"/>
    <n v="1500"/>
    <n v="0"/>
    <n v="0"/>
    <n v="-778.24"/>
    <n v="778.24"/>
    <n v="-2434.59"/>
    <n v="-203.06"/>
    <n v="2637.65"/>
    <n v="-1339.43"/>
    <n v="-2086.54"/>
    <n v="1898.83"/>
    <n v="-451.33"/>
    <n v="-1961.63"/>
    <n v="-3940.1000000000004"/>
    <n v="1510.3000000000002"/>
  </r>
  <r>
    <x v="19"/>
    <x v="3"/>
    <x v="0"/>
    <s v="4350101"/>
    <n v="400020"/>
    <s v="O/P Care Svcs Rev--Other"/>
    <s v="Speech-Language Pathology"/>
    <x v="0"/>
    <n v="1700"/>
    <n v="-6139.73"/>
    <n v="-8329.5300000000007"/>
    <n v="-7803.46"/>
    <n v="-5873.62"/>
    <n v="-4226.37"/>
    <n v="-3384.9"/>
    <n v="-2740.78"/>
    <n v="-852.14"/>
    <n v="-1252.95"/>
    <n v="-3508.76"/>
    <n v="-2355.37"/>
    <n v="-543.01"/>
    <n v="-47010.62"/>
    <n v="-1812.36"/>
  </r>
  <r>
    <x v="14"/>
    <x v="3"/>
    <x v="0"/>
    <s v="4350101"/>
    <n v="600050"/>
    <s v="Miscellaneous Revenue"/>
    <s v="Speech-Language Pathology"/>
    <x v="0"/>
    <m/>
    <n v="0"/>
    <n v="0"/>
    <n v="0"/>
    <n v="0"/>
    <n v="0"/>
    <n v="0"/>
    <n v="0"/>
    <n v="0"/>
    <n v="0"/>
    <n v="-250"/>
    <n v="0"/>
    <n v="0"/>
    <n v="-250"/>
    <n v="0"/>
  </r>
  <r>
    <x v="5"/>
    <x v="3"/>
    <x v="0"/>
    <s v="4350101"/>
    <n v="700032"/>
    <s v="Salaries-Other Pat Care Providers-Productive"/>
    <s v="Speech-Language Pathology"/>
    <x v="0"/>
    <m/>
    <n v="25325.81"/>
    <n v="21612.32"/>
    <n v="26287.43"/>
    <n v="26134.799999999999"/>
    <n v="28524.52"/>
    <n v="23101.89"/>
    <n v="26711.599999999999"/>
    <n v="21083.95"/>
    <n v="29075.360000000001"/>
    <n v="28003.96"/>
    <n v="20634.93"/>
    <n v="31210.31"/>
    <n v="307706.88000000006"/>
    <n v="-10575.380000000001"/>
  </r>
  <r>
    <x v="5"/>
    <x v="3"/>
    <x v="0"/>
    <s v="4350101"/>
    <n v="700032"/>
    <s v="Salaries-Other Pat Care Providers-OT"/>
    <s v="Speech-Language Pathology"/>
    <x v="0"/>
    <n v="1000"/>
    <n v="42.35"/>
    <n v="110.61"/>
    <n v="109.01"/>
    <n v="158.74"/>
    <n v="-19.489999999999998"/>
    <n v="-6.28"/>
    <n v="240.37"/>
    <n v="185.43"/>
    <n v="140.49"/>
    <n v="597.6"/>
    <n v="705.74"/>
    <n v="142.47"/>
    <n v="2407.0399999999995"/>
    <n v="563.27"/>
  </r>
  <r>
    <x v="5"/>
    <x v="3"/>
    <x v="0"/>
    <s v="4350101"/>
    <n v="700032"/>
    <s v="Salaries-Other Pat Care Providers-Other"/>
    <s v="Speech-Language Pathology"/>
    <x v="0"/>
    <n v="2000"/>
    <n v="1153.58"/>
    <n v="1082.77"/>
    <n v="1333.82"/>
    <n v="1371.38"/>
    <n v="1192.54"/>
    <n v="1685"/>
    <n v="1377.01"/>
    <n v="1219.8699999999999"/>
    <n v="1650.21"/>
    <n v="1534.87"/>
    <n v="1019.93"/>
    <n v="2244.06"/>
    <n v="16865.04"/>
    <n v="-1224.1300000000001"/>
  </r>
  <r>
    <x v="5"/>
    <x v="3"/>
    <x v="0"/>
    <s v="4350101"/>
    <n v="700072"/>
    <s v="Salaries-Other Pat Care Providers-Non-productive"/>
    <s v="Speech-Language Pathology"/>
    <x v="0"/>
    <m/>
    <n v="4591.24"/>
    <n v="11578.35"/>
    <n v="3764.1"/>
    <n v="6476.32"/>
    <n v="1706.84"/>
    <n v="8739.35"/>
    <n v="3642.59"/>
    <n v="7942.59"/>
    <n v="665.48"/>
    <n v="6093.62"/>
    <n v="7170.77"/>
    <n v="8373.34"/>
    <n v="70744.59"/>
    <n v="-1202.5699999999997"/>
  </r>
  <r>
    <x v="5"/>
    <x v="3"/>
    <x v="0"/>
    <s v="4350101"/>
    <n v="700072"/>
    <s v="Salaries-Other Pat Care Providers-NonProd-Other"/>
    <s v="Speech-Language Pathology"/>
    <x v="0"/>
    <n v="2000"/>
    <n v="120.74"/>
    <n v="12.08"/>
    <n v="4.84"/>
    <n v="0"/>
    <n v="0"/>
    <n v="0"/>
    <n v="0"/>
    <n v="0"/>
    <n v="0"/>
    <n v="30.63"/>
    <n v="21.69"/>
    <n v="-16.579999999999998"/>
    <n v="173.39999999999998"/>
    <n v="38.269999999999996"/>
  </r>
  <r>
    <x v="5"/>
    <x v="3"/>
    <x v="0"/>
    <s v="4350101"/>
    <n v="700084"/>
    <s v="Accrued PTO"/>
    <s v="Speech-Language Pathology"/>
    <x v="0"/>
    <m/>
    <n v="2733.01"/>
    <n v="-2514.54"/>
    <n v="1132.6199999999999"/>
    <n v="2571.2399999999998"/>
    <n v="3695.91"/>
    <n v="254.37"/>
    <n v="2339.83"/>
    <n v="-98.55"/>
    <n v="4277.3999999999996"/>
    <n v="2000.02"/>
    <n v="1358.4"/>
    <n v="-2362.66"/>
    <n v="15387.05"/>
    <n v="3721.06"/>
  </r>
  <r>
    <x v="6"/>
    <x v="3"/>
    <x v="0"/>
    <s v="4350101"/>
    <n v="713010"/>
    <s v="Benefits-FICA/Medicare"/>
    <s v="Speech-Language Pathology"/>
    <x v="0"/>
    <m/>
    <n v="2325.27"/>
    <n v="2574.81"/>
    <n v="2333.63"/>
    <n v="2547.65"/>
    <n v="2339.91"/>
    <n v="2933.96"/>
    <n v="2380.5500000000002"/>
    <n v="2267.0300000000002"/>
    <n v="2342.2199999999998"/>
    <n v="2706.97"/>
    <n v="2195.17"/>
    <n v="3137.43"/>
    <n v="30084.6"/>
    <n v="-942.25999999999976"/>
  </r>
  <r>
    <x v="6"/>
    <x v="3"/>
    <x v="0"/>
    <s v="4350101"/>
    <n v="713090"/>
    <s v="Benefits-Allocated Amounts"/>
    <s v="Speech-Language Pathology"/>
    <x v="0"/>
    <m/>
    <n v="6544.15"/>
    <n v="6314.58"/>
    <n v="6587.22"/>
    <n v="6746.96"/>
    <n v="6455.51"/>
    <n v="6558.6"/>
    <n v="6637.37"/>
    <n v="6604.69"/>
    <n v="5474.77"/>
    <n v="7534.75"/>
    <n v="6453.34"/>
    <n v="8784.56"/>
    <n v="80696.5"/>
    <n v="-2331.2199999999993"/>
  </r>
  <r>
    <x v="7"/>
    <x v="3"/>
    <x v="0"/>
    <s v="4350101"/>
    <n v="718050"/>
    <s v="Translation Services"/>
    <s v="Speech-Language Pathology"/>
    <x v="0"/>
    <n v="1025"/>
    <n v="0"/>
    <n v="160"/>
    <n v="333"/>
    <n v="110"/>
    <n v="0"/>
    <n v="0"/>
    <n v="0"/>
    <n v="0"/>
    <n v="0"/>
    <n v="0"/>
    <n v="32"/>
    <n v="0"/>
    <n v="635"/>
    <n v="32"/>
  </r>
  <r>
    <x v="11"/>
    <x v="3"/>
    <x v="0"/>
    <s v="4350101"/>
    <n v="721830"/>
    <s v="Supplies-Office"/>
    <s v="Speech-Language Pathology"/>
    <x v="0"/>
    <m/>
    <n v="0"/>
    <n v="803.36"/>
    <n v="7.02"/>
    <n v="0"/>
    <n v="0"/>
    <n v="0"/>
    <n v="0"/>
    <n v="6.47"/>
    <n v="0"/>
    <n v="12.95"/>
    <n v="0"/>
    <n v="0"/>
    <n v="829.80000000000007"/>
    <n v="0"/>
  </r>
  <r>
    <x v="11"/>
    <x v="3"/>
    <x v="0"/>
    <s v="4350101"/>
    <n v="721835"/>
    <s v="Supplies-Forms"/>
    <s v="Speech-Language Pathology"/>
    <x v="0"/>
    <m/>
    <n v="0"/>
    <n v="0"/>
    <n v="0"/>
    <n v="0"/>
    <n v="45"/>
    <n v="0"/>
    <n v="16.8"/>
    <n v="0"/>
    <n v="5.7"/>
    <n v="0"/>
    <n v="49.75"/>
    <n v="0"/>
    <n v="117.25"/>
    <n v="49.75"/>
  </r>
  <r>
    <x v="11"/>
    <x v="3"/>
    <x v="0"/>
    <s v="4350101"/>
    <n v="721980"/>
    <s v="Supplies-Other"/>
    <s v="Speech-Language Pathology"/>
    <x v="0"/>
    <m/>
    <n v="0"/>
    <n v="0"/>
    <n v="0"/>
    <n v="50.6"/>
    <n v="0"/>
    <n v="50.36"/>
    <n v="0"/>
    <n v="0"/>
    <n v="0"/>
    <n v="0"/>
    <n v="0"/>
    <n v="0"/>
    <n v="100.96000000000001"/>
    <n v="0"/>
  </r>
  <r>
    <x v="15"/>
    <x v="3"/>
    <x v="0"/>
    <s v="4350101"/>
    <n v="731060"/>
    <s v="Pagers"/>
    <s v="Speech-Language Pathology"/>
    <x v="0"/>
    <n v="1002"/>
    <n v="88.66"/>
    <n v="33.6"/>
    <n v="42.49"/>
    <n v="41.8"/>
    <n v="41.8"/>
    <n v="0"/>
    <n v="106.87"/>
    <n v="49.92"/>
    <n v="49.92"/>
    <n v="49.92"/>
    <n v="79.63"/>
    <n v="49.92"/>
    <n v="634.53000000000009"/>
    <n v="29.709999999999994"/>
  </r>
  <r>
    <x v="0"/>
    <x v="3"/>
    <x v="0"/>
    <s v="4350101"/>
    <n v="740020"/>
    <s v="Education-Registration Fees"/>
    <s v="Speech-Language Pathology"/>
    <x v="0"/>
    <m/>
    <n v="0"/>
    <n v="0"/>
    <n v="0"/>
    <n v="0"/>
    <n v="0"/>
    <n v="0"/>
    <n v="0"/>
    <n v="50"/>
    <n v="0"/>
    <n v="104.6"/>
    <n v="1445.76"/>
    <n v="0"/>
    <n v="1600.36"/>
    <n v="1445.76"/>
  </r>
  <r>
    <x v="0"/>
    <x v="3"/>
    <x v="0"/>
    <s v="4350101"/>
    <n v="749510"/>
    <s v="Miscellaneous Expenses"/>
    <s v="Speech-Language Pathology"/>
    <x v="0"/>
    <m/>
    <n v="-15.88"/>
    <n v="26.28"/>
    <n v="-21.24"/>
    <n v="83.22"/>
    <n v="-95.59"/>
    <n v="38.64"/>
    <n v="63.62"/>
    <n v="-105.08"/>
    <n v="-51.9"/>
    <n v="-16.239999999999998"/>
    <n v="206.22"/>
    <n v="27.94"/>
    <n v="139.99"/>
    <n v="178.28"/>
  </r>
  <r>
    <x v="0"/>
    <x v="3"/>
    <x v="0"/>
    <s v="4350101"/>
    <n v="749510"/>
    <s v="RICE Rewards"/>
    <s v="Speech-Language Pathology"/>
    <x v="0"/>
    <n v="5100"/>
    <n v="0"/>
    <n v="0"/>
    <n v="0"/>
    <n v="0"/>
    <n v="0"/>
    <n v="0"/>
    <n v="0"/>
    <n v="0"/>
    <n v="0"/>
    <n v="0"/>
    <n v="0"/>
    <n v="241.09"/>
    <n v="241.09"/>
    <n v="-241.09"/>
  </r>
  <r>
    <x v="0"/>
    <x v="3"/>
    <x v="0"/>
    <s v="4350101"/>
    <n v="749530"/>
    <s v="Travel"/>
    <s v="Speech-Language Pathology"/>
    <x v="0"/>
    <m/>
    <n v="31"/>
    <n v="32"/>
    <n v="17"/>
    <n v="25"/>
    <n v="26"/>
    <n v="63"/>
    <n v="6"/>
    <n v="41"/>
    <n v="56"/>
    <n v="84"/>
    <n v="0"/>
    <n v="27"/>
    <n v="408"/>
    <n v="-27"/>
  </r>
  <r>
    <x v="0"/>
    <x v="3"/>
    <x v="0"/>
    <s v="4350101"/>
    <n v="749530"/>
    <s v="Mileage"/>
    <s v="Speech-Language Pathology"/>
    <x v="0"/>
    <n v="1001"/>
    <n v="113.42"/>
    <n v="170.09"/>
    <n v="188.08"/>
    <n v="100.34"/>
    <n v="184.81"/>
    <n v="216.98"/>
    <n v="114.89"/>
    <n v="138.68"/>
    <n v="210.54"/>
    <n v="272.02"/>
    <n v="67.28"/>
    <n v="207.64"/>
    <n v="1984.77"/>
    <n v="-140.35999999999999"/>
  </r>
  <r>
    <x v="18"/>
    <x v="0"/>
    <x v="0"/>
    <s v="4350102"/>
    <n v="400010"/>
    <s v="Acute I/P Svcs Rev--Medicare"/>
    <s v="Speech-Language Pathology"/>
    <x v="0"/>
    <n v="1100"/>
    <n v="-27338.85"/>
    <n v="-26857.29"/>
    <n v="-34761.96"/>
    <n v="-44773.81"/>
    <n v="-25868.89"/>
    <n v="-48777.02"/>
    <n v="-43953.599999999999"/>
    <n v="-42294.19"/>
    <n v="-42982.71"/>
    <n v="-42851"/>
    <n v="-41241.18"/>
    <n v="-25779.18"/>
    <n v="-447479.68"/>
    <n v="-15462"/>
  </r>
  <r>
    <x v="18"/>
    <x v="0"/>
    <x v="0"/>
    <s v="4350102"/>
    <n v="400010"/>
    <s v="Acute I/P Svcs Rev--Medicaid"/>
    <s v="Speech-Language Pathology"/>
    <x v="0"/>
    <n v="1200"/>
    <n v="232.5"/>
    <n v="-4739.96"/>
    <n v="-4902.33"/>
    <n v="-6233.87"/>
    <n v="-7124.98"/>
    <n v="-3467.04"/>
    <n v="-2448.71"/>
    <n v="-3912.13"/>
    <n v="-2097.7600000000002"/>
    <n v="-3257.06"/>
    <n v="-7563"/>
    <n v="-7555.69"/>
    <n v="-53070.03"/>
    <n v="-7.3100000000004002"/>
  </r>
  <r>
    <x v="18"/>
    <x v="0"/>
    <x v="0"/>
    <s v="4350102"/>
    <n v="400010"/>
    <s v="Acute I/P Svcs Rev--Comm Insurance"/>
    <s v="Speech-Language Pathology"/>
    <x v="0"/>
    <n v="1300"/>
    <n v="0"/>
    <n v="-1877.86"/>
    <n v="0"/>
    <n v="-606.29999999999995"/>
    <n v="-824.1"/>
    <n v="217.84"/>
    <n v="-2254.48"/>
    <n v="0"/>
    <n v="1253.3900000000001"/>
    <n v="0"/>
    <n v="0"/>
    <n v="0"/>
    <n v="-4091.5099999999993"/>
    <n v="0"/>
  </r>
  <r>
    <x v="18"/>
    <x v="0"/>
    <x v="0"/>
    <s v="4350102"/>
    <n v="400010"/>
    <s v="Acute I/P Svcs Rev--BCBS Comm"/>
    <s v="Speech-Language Pathology"/>
    <x v="0"/>
    <n v="1301"/>
    <n v="-1731.87"/>
    <n v="0"/>
    <n v="0"/>
    <n v="-3467.04"/>
    <n v="0"/>
    <n v="-2465.7800000000002"/>
    <n v="-1430.38"/>
    <n v="-2289.65"/>
    <n v="-2896.19"/>
    <n v="0"/>
    <n v="-519.03"/>
    <n v="-1359.36"/>
    <n v="-16159.300000000001"/>
    <n v="840.32999999999993"/>
  </r>
  <r>
    <x v="18"/>
    <x v="0"/>
    <x v="0"/>
    <s v="4350102"/>
    <n v="400010"/>
    <s v="Acute I/P Svcs Rev--Managed Care"/>
    <s v="Speech-Language Pathology"/>
    <x v="0"/>
    <n v="1400"/>
    <n v="-7866.84"/>
    <n v="-7908.02"/>
    <n v="-1624.67"/>
    <n v="-3356.46"/>
    <n v="-2036.7"/>
    <n v="-6225.45"/>
    <n v="-3661.27"/>
    <n v="-1473.29"/>
    <n v="-519.03"/>
    <n v="-1143.53"/>
    <n v="-2722.23"/>
    <n v="-4930.41"/>
    <n v="-43467.899999999994"/>
    <n v="2208.1799999999998"/>
  </r>
  <r>
    <x v="18"/>
    <x v="0"/>
    <x v="0"/>
    <s v="4350102"/>
    <n v="400010"/>
    <s v="Acute I/P Svcs Rev--Self Pay"/>
    <s v="Speech-Language Pathology"/>
    <x v="0"/>
    <n v="1500"/>
    <n v="0"/>
    <n v="-606.28"/>
    <n v="-1430.38"/>
    <n v="412.05"/>
    <n v="1018.33"/>
    <n v="-412.07"/>
    <n v="1018.35"/>
    <n v="-1018.33"/>
    <n v="0"/>
    <n v="-1673.35"/>
    <n v="-1673.35"/>
    <n v="2297.8200000000002"/>
    <n v="-2067.2100000000005"/>
    <n v="-3971.17"/>
  </r>
  <r>
    <x v="18"/>
    <x v="0"/>
    <x v="0"/>
    <s v="4350102"/>
    <n v="400010"/>
    <s v="Acute I/P Svcs Rev--Other"/>
    <s v="Speech-Language Pathology"/>
    <x v="0"/>
    <n v="1700"/>
    <n v="-606.28"/>
    <n v="606.28"/>
    <n v="0"/>
    <n v="0"/>
    <n v="-2036.66"/>
    <n v="0"/>
    <n v="0"/>
    <n v="0"/>
    <n v="1018.33"/>
    <n v="0"/>
    <n v="0"/>
    <n v="-606.29999999999995"/>
    <n v="-1624.63"/>
    <n v="606.29999999999995"/>
  </r>
  <r>
    <x v="19"/>
    <x v="0"/>
    <x v="0"/>
    <s v="4350102"/>
    <n v="400020"/>
    <s v="O/P Care Svcs Rev--Medicare"/>
    <s v="Speech-Language Pathology"/>
    <x v="0"/>
    <n v="1100"/>
    <n v="-23936.79"/>
    <n v="-26408.49"/>
    <n v="-17776.29"/>
    <n v="-30818.86"/>
    <n v="-24631.200000000001"/>
    <n v="-19772.32"/>
    <n v="-16076.26"/>
    <n v="-11724.84"/>
    <n v="-22168.71"/>
    <n v="-15591.24"/>
    <n v="-16717.07"/>
    <n v="-13620.9"/>
    <n v="-239242.97"/>
    <n v="-3096.17"/>
  </r>
  <r>
    <x v="19"/>
    <x v="0"/>
    <x v="0"/>
    <s v="4350102"/>
    <n v="400020"/>
    <s v="O/P Care Svcs Rev--Medicaid"/>
    <s v="Speech-Language Pathology"/>
    <x v="0"/>
    <n v="1200"/>
    <n v="-6744.54"/>
    <n v="-7068.82"/>
    <n v="-5424.91"/>
    <n v="-4752.6499999999996"/>
    <n v="-2934.69"/>
    <n v="-4530.83"/>
    <n v="-6301.73"/>
    <n v="-7703.86"/>
    <n v="-8546.09"/>
    <n v="-7576.8"/>
    <n v="-6051.09"/>
    <n v="-3684.29"/>
    <n v="-71320.299999999988"/>
    <n v="-2366.8000000000002"/>
  </r>
  <r>
    <x v="19"/>
    <x v="0"/>
    <x v="0"/>
    <s v="4350102"/>
    <n v="400020"/>
    <s v="O/P Care Svcs Rev--Comm Insurance"/>
    <s v="Speech-Language Pathology"/>
    <x v="0"/>
    <n v="1300"/>
    <n v="0"/>
    <n v="0"/>
    <n v="0"/>
    <n v="0"/>
    <n v="0"/>
    <n v="-1317.98"/>
    <n v="879.78"/>
    <n v="438.2"/>
    <n v="-4312.6499999999996"/>
    <n v="0"/>
    <n v="0"/>
    <n v="0"/>
    <n v="-4312.6499999999996"/>
    <n v="0"/>
  </r>
  <r>
    <x v="19"/>
    <x v="0"/>
    <x v="0"/>
    <s v="4350102"/>
    <n v="400020"/>
    <s v="O/P Care Svcs Rev--BCBS Comm"/>
    <s v="Speech-Language Pathology"/>
    <x v="0"/>
    <n v="1301"/>
    <n v="0"/>
    <n v="-438.2"/>
    <n v="-1398.69"/>
    <n v="-1133.5"/>
    <n v="0"/>
    <n v="-1058.6500000000001"/>
    <n v="-2986.29"/>
    <n v="0"/>
    <n v="0"/>
    <n v="-2455.2800000000002"/>
    <n v="-1025.26"/>
    <n v="-2505.8200000000002"/>
    <n v="-13001.69"/>
    <n v="1480.5600000000002"/>
  </r>
  <r>
    <x v="19"/>
    <x v="0"/>
    <x v="0"/>
    <s v="4350102"/>
    <n v="400020"/>
    <s v="O/P Care Svcs Rev--Managed Care"/>
    <s v="Speech-Language Pathology"/>
    <x v="0"/>
    <n v="1400"/>
    <n v="-4580.42"/>
    <n v="-10154.61"/>
    <n v="-6139.21"/>
    <n v="-6125.74"/>
    <n v="-3624.72"/>
    <n v="-1576.14"/>
    <n v="-9254.5499999999993"/>
    <n v="-10800.07"/>
    <n v="-10973.12"/>
    <n v="-11585.03"/>
    <n v="-8147.21"/>
    <n v="-8515.5400000000009"/>
    <n v="-91476.360000000015"/>
    <n v="368.33000000000084"/>
  </r>
  <r>
    <x v="19"/>
    <x v="0"/>
    <x v="0"/>
    <s v="4350102"/>
    <n v="400020"/>
    <s v="O/P Care Svcs Rev--Self Pay"/>
    <s v="Speech-Language Pathology"/>
    <x v="0"/>
    <n v="1500"/>
    <n v="0"/>
    <n v="0"/>
    <n v="0"/>
    <n v="0"/>
    <n v="-1216.44"/>
    <n v="778.24"/>
    <n v="-1466.3"/>
    <n v="-2408.15"/>
    <n v="3769.61"/>
    <n v="-1359.36"/>
    <n v="0"/>
    <n v="0"/>
    <n v="-1902.3999999999994"/>
    <n v="0"/>
  </r>
  <r>
    <x v="19"/>
    <x v="0"/>
    <x v="0"/>
    <s v="4350102"/>
    <n v="400020"/>
    <s v="O/P Care Svcs Rev--Other"/>
    <s v="Speech-Language Pathology"/>
    <x v="0"/>
    <n v="1700"/>
    <n v="-1763.6"/>
    <n v="-3762.86"/>
    <n v="-4081.43"/>
    <n v="-4297.3999999999996"/>
    <n v="-3311.5"/>
    <n v="-2869.93"/>
    <n v="-4046.36"/>
    <n v="-1346.07"/>
    <n v="0"/>
    <n v="-451.33"/>
    <n v="-3223.68"/>
    <n v="0"/>
    <n v="-29154.160000000003"/>
    <n v="-3223.68"/>
  </r>
  <r>
    <x v="5"/>
    <x v="0"/>
    <x v="0"/>
    <s v="4350102"/>
    <n v="700032"/>
    <s v="Salaries-Other Pat Care Providers-Productive"/>
    <s v="Speech-Language Pathology"/>
    <x v="0"/>
    <m/>
    <n v="10695.27"/>
    <n v="12089.77"/>
    <n v="11247.32"/>
    <n v="12865.51"/>
    <n v="10658.21"/>
    <n v="12527.83"/>
    <n v="11384.93"/>
    <n v="10530.83"/>
    <n v="12580.11"/>
    <n v="9407.83"/>
    <n v="10825.19"/>
    <n v="10169.83"/>
    <n v="134982.63"/>
    <n v="655.36000000000058"/>
  </r>
  <r>
    <x v="5"/>
    <x v="0"/>
    <x v="0"/>
    <s v="4350102"/>
    <n v="700032"/>
    <s v="Salaries-Other Pat Care Providers-OT"/>
    <s v="Speech-Language Pathology"/>
    <x v="0"/>
    <n v="1000"/>
    <n v="76.12"/>
    <n v="72.489999999999995"/>
    <n v="-21.74"/>
    <n v="25.11"/>
    <n v="0"/>
    <n v="0"/>
    <n v="55.45"/>
    <n v="279.3"/>
    <n v="-37.049999999999997"/>
    <n v="0"/>
    <n v="460.41"/>
    <n v="-48.7"/>
    <n v="861.39"/>
    <n v="509.11"/>
  </r>
  <r>
    <x v="5"/>
    <x v="0"/>
    <x v="0"/>
    <s v="4350102"/>
    <n v="700032"/>
    <s v="Salaries-Other Pat Care Providers-Other"/>
    <s v="Speech-Language Pathology"/>
    <x v="0"/>
    <n v="2000"/>
    <n v="16.579999999999998"/>
    <n v="12.5"/>
    <n v="25.88"/>
    <n v="25.31"/>
    <n v="20.7"/>
    <n v="11.71"/>
    <n v="20"/>
    <n v="32.9"/>
    <n v="11.76"/>
    <n v="23.83"/>
    <n v="29.01"/>
    <n v="14.89"/>
    <n v="245.07"/>
    <n v="14.120000000000001"/>
  </r>
  <r>
    <x v="6"/>
    <x v="0"/>
    <x v="0"/>
    <s v="4350102"/>
    <n v="713010"/>
    <s v="Benefits-FICA/Medicare"/>
    <s v="Speech-Language Pathology"/>
    <x v="0"/>
    <m/>
    <n v="820.92"/>
    <n v="926.68"/>
    <n v="856.89"/>
    <n v="981.59"/>
    <n v="812.66"/>
    <n v="951.11"/>
    <n v="870.53"/>
    <n v="823.46"/>
    <n v="954.2"/>
    <n v="716.9"/>
    <n v="858.24"/>
    <n v="772.61"/>
    <n v="10345.789999999999"/>
    <n v="85.63"/>
  </r>
  <r>
    <x v="6"/>
    <x v="0"/>
    <x v="0"/>
    <s v="4350102"/>
    <n v="713090"/>
    <s v="Benefits-Allocated Amounts"/>
    <s v="Speech-Language Pathology"/>
    <x v="0"/>
    <m/>
    <n v="1917.74"/>
    <n v="1903.61"/>
    <n v="1867.42"/>
    <n v="2180.7199999999998"/>
    <n v="1784.49"/>
    <n v="1971.92"/>
    <n v="1978.95"/>
    <n v="2038.51"/>
    <n v="2063.67"/>
    <n v="1711.48"/>
    <n v="1919.41"/>
    <n v="1744.49"/>
    <n v="23082.41"/>
    <n v="174.92000000000007"/>
  </r>
  <r>
    <x v="7"/>
    <x v="0"/>
    <x v="0"/>
    <s v="4350102"/>
    <n v="718050"/>
    <s v="Translation Services"/>
    <s v="Speech-Language Pathology"/>
    <x v="0"/>
    <n v="1025"/>
    <n v="0"/>
    <n v="0"/>
    <n v="96"/>
    <n v="224"/>
    <n v="160"/>
    <n v="72"/>
    <n v="0"/>
    <n v="0"/>
    <n v="0"/>
    <n v="0"/>
    <n v="32"/>
    <n v="0"/>
    <n v="584"/>
    <n v="32"/>
  </r>
  <r>
    <x v="15"/>
    <x v="0"/>
    <x v="0"/>
    <s v="4350102"/>
    <n v="731060"/>
    <s v="Pagers"/>
    <s v="Speech-Language Pathology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8"/>
    <x v="4"/>
    <x v="0"/>
    <s v="4350103"/>
    <n v="400010"/>
    <s v="Acute I/P Svcs Rev--Medicare"/>
    <s v="Speech-Language Pathology"/>
    <x v="0"/>
    <n v="1100"/>
    <n v="-24378.05"/>
    <n v="-40834.01"/>
    <n v="-32253.33"/>
    <n v="-26972.77"/>
    <n v="-27237.79"/>
    <n v="-41786.050000000003"/>
    <n v="-37490.980000000003"/>
    <n v="-38747.4"/>
    <n v="-40312.51"/>
    <n v="-35358.04"/>
    <n v="-30019.39"/>
    <n v="-34525.99"/>
    <n v="-409916.31"/>
    <n v="4506.5999999999985"/>
  </r>
  <r>
    <x v="18"/>
    <x v="4"/>
    <x v="0"/>
    <s v="4350103"/>
    <n v="400010"/>
    <s v="Acute I/P Svcs Rev--Medicaid"/>
    <s v="Speech-Language Pathology"/>
    <x v="0"/>
    <n v="1200"/>
    <n v="-3855.53"/>
    <n v="151.36000000000001"/>
    <n v="-2642.92"/>
    <n v="-2036.68"/>
    <n v="-1716.51"/>
    <n v="-6091.4"/>
    <n v="-6966.11"/>
    <n v="-3657.2"/>
    <n v="-6729.34"/>
    <n v="-5154.82"/>
    <n v="-2946.58"/>
    <n v="-4930.41"/>
    <n v="-46576.14"/>
    <n v="1983.83"/>
  </r>
  <r>
    <x v="18"/>
    <x v="4"/>
    <x v="0"/>
    <s v="4350103"/>
    <n v="400010"/>
    <s v="Acute I/P Svcs Rev--Comm Insurance"/>
    <s v="Speech-Language Pathology"/>
    <x v="0"/>
    <n v="1300"/>
    <n v="0"/>
    <n v="0"/>
    <n v="0"/>
    <n v="-503.94"/>
    <n v="0"/>
    <n v="0"/>
    <n v="-606.30999999999995"/>
    <n v="606.30999999999995"/>
    <n v="0"/>
    <n v="0"/>
    <n v="0"/>
    <n v="0"/>
    <n v="-503.94000000000005"/>
    <n v="0"/>
  </r>
  <r>
    <x v="18"/>
    <x v="4"/>
    <x v="0"/>
    <s v="4350103"/>
    <n v="400010"/>
    <s v="Acute I/P Svcs Rev--BCBS Comm"/>
    <s v="Speech-Language Pathology"/>
    <x v="0"/>
    <n v="1301"/>
    <n v="0"/>
    <n v="0"/>
    <n v="-1110.22"/>
    <n v="503.91"/>
    <n v="0"/>
    <n v="0"/>
    <n v="0"/>
    <n v="0"/>
    <n v="0"/>
    <n v="0"/>
    <n v="-606.28"/>
    <n v="606.28"/>
    <n v="-606.30999999999995"/>
    <n v="-1212.56"/>
  </r>
  <r>
    <x v="18"/>
    <x v="4"/>
    <x v="0"/>
    <s v="4350103"/>
    <n v="400010"/>
    <s v="Acute I/P Svcs Rev--Managed Care"/>
    <s v="Speech-Language Pathology"/>
    <x v="0"/>
    <n v="1400"/>
    <n v="-503.91"/>
    <n v="-606.28"/>
    <n v="-1212.58"/>
    <n v="-1570.71"/>
    <n v="-1537.64"/>
    <n v="0"/>
    <n v="-514.41999999999996"/>
    <n v="-4105.88"/>
    <n v="-30.55"/>
    <n v="0"/>
    <n v="959.24"/>
    <n v="0"/>
    <n v="-9122.73"/>
    <n v="959.24"/>
  </r>
  <r>
    <x v="18"/>
    <x v="4"/>
    <x v="0"/>
    <s v="4350103"/>
    <n v="400010"/>
    <s v="Acute I/P Svcs Rev--Self Pay"/>
    <s v="Speech-Language Pathology"/>
    <x v="0"/>
    <n v="1500"/>
    <n v="0"/>
    <n v="0"/>
    <n v="0"/>
    <n v="0"/>
    <n v="0"/>
    <n v="0"/>
    <n v="0"/>
    <n v="-624.47"/>
    <n v="-424.41"/>
    <n v="0"/>
    <n v="0"/>
    <n v="0"/>
    <n v="-1048.8800000000001"/>
    <n v="0"/>
  </r>
  <r>
    <x v="18"/>
    <x v="4"/>
    <x v="0"/>
    <s v="4350103"/>
    <n v="400010"/>
    <s v="Acute I/P Svcs Rev--Other"/>
    <s v="Speech-Language Pathology"/>
    <x v="0"/>
    <n v="1700"/>
    <n v="-654.79999999999995"/>
    <n v="-606.28"/>
    <n v="-503.91"/>
    <n v="0"/>
    <n v="-2036.66"/>
    <n v="-5115.24"/>
    <n v="-3380.02"/>
    <n v="-1169.44"/>
    <n v="-3002.16"/>
    <n v="-624.47"/>
    <n v="-6785.2"/>
    <n v="-1787.28"/>
    <n v="-25665.460000000003"/>
    <n v="-4997.92"/>
  </r>
  <r>
    <x v="19"/>
    <x v="4"/>
    <x v="0"/>
    <s v="4350103"/>
    <n v="400020"/>
    <s v="O/P Care Svcs Rev--Medicare"/>
    <s v="Speech-Language Pathology"/>
    <x v="0"/>
    <n v="1100"/>
    <n v="-13966.13"/>
    <n v="-6507.57"/>
    <n v="-9546.23"/>
    <n v="-16728.77"/>
    <n v="-14269.1"/>
    <n v="-12294.51"/>
    <n v="-23709.599999999999"/>
    <n v="-15128.29"/>
    <n v="-12587.32"/>
    <n v="-13942.35"/>
    <n v="-16805.09"/>
    <n v="-19839.96"/>
    <n v="-175324.92"/>
    <n v="3034.869999999999"/>
  </r>
  <r>
    <x v="19"/>
    <x v="4"/>
    <x v="0"/>
    <s v="4350103"/>
    <n v="400020"/>
    <s v="O/P Care Svcs Rev--Medicaid"/>
    <s v="Speech-Language Pathology"/>
    <x v="0"/>
    <n v="1200"/>
    <n v="-7219.38"/>
    <n v="-2311.7199999999998"/>
    <n v="-1542.31"/>
    <n v="-9049"/>
    <n v="-4780.74"/>
    <n v="-1963.88"/>
    <n v="-5684.07"/>
    <n v="-5877.96"/>
    <n v="-1308.8800000000001"/>
    <n v="-4089.89"/>
    <n v="-6541.21"/>
    <n v="-3065.06"/>
    <n v="-53434.1"/>
    <n v="-3476.15"/>
  </r>
  <r>
    <x v="19"/>
    <x v="4"/>
    <x v="0"/>
    <s v="4350103"/>
    <n v="400020"/>
    <s v="O/P Care Svcs Rev--Comm Insurance"/>
    <s v="Speech-Language Pathology"/>
    <x v="0"/>
    <n v="1300"/>
    <n v="-1945.62"/>
    <n v="-389.12"/>
    <n v="0"/>
    <n v="0"/>
    <n v="0"/>
    <n v="-620.45000000000005"/>
    <n v="417.33"/>
    <n v="0"/>
    <n v="-2716.8"/>
    <n v="-906.18"/>
    <n v="0"/>
    <n v="0"/>
    <n v="-6160.84"/>
    <n v="0"/>
  </r>
  <r>
    <x v="19"/>
    <x v="4"/>
    <x v="0"/>
    <s v="4350103"/>
    <n v="400020"/>
    <s v="O/P Care Svcs Rev--BCBS Comm"/>
    <s v="Speech-Language Pathology"/>
    <x v="0"/>
    <n v="1301"/>
    <n v="0"/>
    <n v="0"/>
    <n v="-4252.3100000000004"/>
    <n v="0"/>
    <n v="0"/>
    <n v="0"/>
    <n v="-1226.73"/>
    <n v="0"/>
    <n v="-624.47"/>
    <n v="-639.03"/>
    <n v="0"/>
    <n v="-2260.17"/>
    <n v="-9002.7100000000009"/>
    <n v="2260.17"/>
  </r>
  <r>
    <x v="19"/>
    <x v="4"/>
    <x v="0"/>
    <s v="4350103"/>
    <n v="400020"/>
    <s v="O/P Care Svcs Rev--Managed Care"/>
    <s v="Speech-Language Pathology"/>
    <x v="0"/>
    <n v="1400"/>
    <n v="-1405.3"/>
    <n v="-2115.29"/>
    <n v="-1625.53"/>
    <n v="-2148.6799999999998"/>
    <n v="-4527.3599999999997"/>
    <n v="-4777.51"/>
    <n v="-4075.81"/>
    <n v="-6292.85"/>
    <n v="-2566.0100000000002"/>
    <n v="-1633.4"/>
    <n v="-4562.29"/>
    <n v="-639.03"/>
    <n v="-36369.060000000005"/>
    <n v="-3923.26"/>
  </r>
  <r>
    <x v="19"/>
    <x v="4"/>
    <x v="0"/>
    <s v="4350103"/>
    <n v="400020"/>
    <s v="O/P Care Svcs Rev--Self Pay"/>
    <s v="Speech-Language Pathology"/>
    <x v="0"/>
    <n v="1500"/>
    <n v="-20.86"/>
    <n v="-1216.44"/>
    <n v="49.08"/>
    <n v="-438.2"/>
    <n v="-778.26"/>
    <n v="0"/>
    <n v="0"/>
    <n v="0"/>
    <n v="0"/>
    <n v="-1075.82"/>
    <n v="0"/>
    <n v="0"/>
    <n v="-3480.5"/>
    <n v="0"/>
  </r>
  <r>
    <x v="19"/>
    <x v="4"/>
    <x v="0"/>
    <s v="4350103"/>
    <n v="400020"/>
    <s v="O/P Care Svcs Rev--Other"/>
    <s v="Speech-Language Pathology"/>
    <x v="0"/>
    <n v="1700"/>
    <n v="-855.54"/>
    <n v="-1240.9000000000001"/>
    <n v="-1244.6600000000001"/>
    <n v="-620.45000000000005"/>
    <n v="-4196.43"/>
    <n v="-1757.89"/>
    <n v="-2726.66"/>
    <n v="-755.17"/>
    <n v="-543.04"/>
    <n v="-3554.22"/>
    <n v="-1728.32"/>
    <n v="-3873.92"/>
    <n v="-23097.200000000004"/>
    <n v="2145.6000000000004"/>
  </r>
  <r>
    <x v="5"/>
    <x v="4"/>
    <x v="0"/>
    <s v="4350103"/>
    <n v="700032"/>
    <s v="Salaries-Other Pat Care Providers-Productive"/>
    <s v="Speech-Language Pathology"/>
    <x v="0"/>
    <m/>
    <n v="5251.32"/>
    <n v="4970.46"/>
    <n v="5356.66"/>
    <n v="5517.81"/>
    <n v="5229.34"/>
    <n v="6514.16"/>
    <n v="7519.19"/>
    <n v="5285.88"/>
    <n v="6115.95"/>
    <n v="5811.1"/>
    <n v="6156.05"/>
    <n v="5928.36"/>
    <n v="69656.28"/>
    <n v="227.69000000000051"/>
  </r>
  <r>
    <x v="5"/>
    <x v="4"/>
    <x v="0"/>
    <s v="4350103"/>
    <n v="700032"/>
    <s v="Salaries-Other Pat Care Providers-OT"/>
    <s v="Speech-Language Pathology"/>
    <x v="0"/>
    <n v="1000"/>
    <n v="0"/>
    <n v="36.020000000000003"/>
    <n v="-10.8"/>
    <n v="314.10000000000002"/>
    <n v="-149.25"/>
    <n v="31.5"/>
    <n v="14.81"/>
    <n v="51.25"/>
    <n v="12.83"/>
    <n v="95.09"/>
    <n v="566.59"/>
    <n v="216.53"/>
    <n v="1178.67"/>
    <n v="350.06000000000006"/>
  </r>
  <r>
    <x v="5"/>
    <x v="4"/>
    <x v="0"/>
    <s v="4350103"/>
    <n v="700032"/>
    <s v="Salaries-Other Pat Care Providers-Other"/>
    <s v="Speech-Language Pathology"/>
    <x v="0"/>
    <n v="2000"/>
    <n v="18.239999999999998"/>
    <n v="17.12"/>
    <n v="11.66"/>
    <n v="8.69"/>
    <n v="0.32"/>
    <n v="26.84"/>
    <n v="26.45"/>
    <n v="16.22"/>
    <n v="18.27"/>
    <n v="19.47"/>
    <n v="10.31"/>
    <n v="11.61"/>
    <n v="185.2"/>
    <n v="-1.2999999999999989"/>
  </r>
  <r>
    <x v="6"/>
    <x v="4"/>
    <x v="0"/>
    <s v="4350103"/>
    <n v="713010"/>
    <s v="Benefits-FICA/Medicare"/>
    <s v="Speech-Language Pathology"/>
    <x v="0"/>
    <m/>
    <n v="395.79"/>
    <n v="376.8"/>
    <n v="404.76"/>
    <n v="440.26"/>
    <n v="382.22"/>
    <n v="495.55"/>
    <n v="565.95000000000005"/>
    <n v="401.92"/>
    <n v="462.1"/>
    <n v="447.02"/>
    <n v="505.57"/>
    <n v="462.74"/>
    <n v="5340.6799999999994"/>
    <n v="42.829999999999984"/>
  </r>
  <r>
    <x v="6"/>
    <x v="4"/>
    <x v="0"/>
    <s v="4350103"/>
    <n v="713090"/>
    <s v="Benefits-Allocated Amounts"/>
    <s v="Speech-Language Pathology"/>
    <x v="0"/>
    <m/>
    <n v="1158.58"/>
    <n v="884.16"/>
    <n v="1004.97"/>
    <n v="1071.96"/>
    <n v="865.64"/>
    <n v="1354.64"/>
    <n v="1470.8"/>
    <n v="955.85"/>
    <n v="1095.6300000000001"/>
    <n v="1399.57"/>
    <n v="1327.35"/>
    <n v="1114.3399999999999"/>
    <n v="13703.49"/>
    <n v="213.01"/>
  </r>
  <r>
    <x v="7"/>
    <x v="4"/>
    <x v="0"/>
    <s v="4350103"/>
    <n v="718050"/>
    <s v="Translation Services"/>
    <s v="Speech-Language Pathology"/>
    <x v="0"/>
    <n v="1025"/>
    <n v="0"/>
    <n v="0"/>
    <n v="40"/>
    <n v="0"/>
    <n v="0"/>
    <n v="0"/>
    <n v="0"/>
    <n v="0"/>
    <n v="0"/>
    <n v="0"/>
    <n v="118.5"/>
    <n v="0"/>
    <n v="158.5"/>
    <n v="118.5"/>
  </r>
  <r>
    <x v="11"/>
    <x v="4"/>
    <x v="0"/>
    <s v="4350103"/>
    <n v="721980"/>
    <s v="Supplies-Other"/>
    <s v="Speech-Language Pathology"/>
    <x v="0"/>
    <m/>
    <n v="0"/>
    <n v="22.51"/>
    <n v="0"/>
    <n v="0"/>
    <n v="0"/>
    <n v="0"/>
    <n v="0"/>
    <n v="0"/>
    <n v="0"/>
    <n v="0"/>
    <n v="0"/>
    <n v="0"/>
    <n v="22.51"/>
    <n v="0"/>
  </r>
  <r>
    <x v="0"/>
    <x v="4"/>
    <x v="0"/>
    <s v="4350103"/>
    <n v="749510"/>
    <s v="RICE Rewards"/>
    <s v="Speech-Language Pathology"/>
    <x v="0"/>
    <n v="5100"/>
    <n v="0"/>
    <n v="0"/>
    <n v="0"/>
    <n v="0"/>
    <n v="0"/>
    <n v="0"/>
    <n v="0"/>
    <n v="0"/>
    <n v="0"/>
    <n v="0"/>
    <n v="0"/>
    <n v="36"/>
    <n v="36"/>
    <n v="-36"/>
  </r>
  <r>
    <x v="18"/>
    <x v="8"/>
    <x v="0"/>
    <s v="4350104"/>
    <n v="400010"/>
    <s v="Acute I/P Svcs Rev--Medicare"/>
    <s v="Speech-Language Pathology"/>
    <x v="0"/>
    <n v="1100"/>
    <n v="-33486.589999999997"/>
    <n v="-23702.06"/>
    <n v="-24525.32"/>
    <n v="-19118.37"/>
    <n v="-28380.05"/>
    <n v="-27068.52"/>
    <n v="-31938.41"/>
    <n v="-26775.86"/>
    <n v="-38258.410000000003"/>
    <n v="-35399.33"/>
    <n v="-22345.56"/>
    <n v="-24438"/>
    <n v="-335436.48"/>
    <n v="2092.4399999999987"/>
  </r>
  <r>
    <x v="18"/>
    <x v="8"/>
    <x v="0"/>
    <s v="4350104"/>
    <n v="400010"/>
    <s v="Acute I/P Svcs Rev--Medicaid"/>
    <s v="Speech-Language Pathology"/>
    <x v="0"/>
    <n v="1200"/>
    <n v="-2230.89"/>
    <n v="-2143.87"/>
    <n v="-3855.52"/>
    <n v="-5088.2700000000004"/>
    <n v="-606.28"/>
    <n v="-3829.26"/>
    <n v="-3891.59"/>
    <n v="-2816.88"/>
    <n v="-2302.87"/>
    <n v="-2689.77"/>
    <n v="0"/>
    <n v="-624.47"/>
    <n v="-30079.670000000006"/>
    <n v="624.47"/>
  </r>
  <r>
    <x v="18"/>
    <x v="8"/>
    <x v="0"/>
    <s v="4350104"/>
    <n v="400010"/>
    <s v="Acute I/P Svcs Rev--Comm Insurance"/>
    <s v="Speech-Language Pathology"/>
    <x v="0"/>
    <n v="1300"/>
    <n v="-1183.74"/>
    <n v="-338.5"/>
    <n v="0"/>
    <n v="0"/>
    <n v="0"/>
    <n v="0"/>
    <n v="-606.30999999999995"/>
    <n v="0"/>
    <n v="0"/>
    <n v="-1655.19"/>
    <n v="-979.93"/>
    <n v="0"/>
    <n v="-4763.67"/>
    <n v="-979.93"/>
  </r>
  <r>
    <x v="18"/>
    <x v="8"/>
    <x v="0"/>
    <s v="4350104"/>
    <n v="400010"/>
    <s v="Acute I/P Svcs Rev--BCBS Comm"/>
    <s v="Speech-Language Pathology"/>
    <x v="0"/>
    <n v="1301"/>
    <n v="-606.28"/>
    <n v="-503.91"/>
    <n v="-1430.4"/>
    <n v="-2005.15"/>
    <n v="-951.43"/>
    <n v="0"/>
    <n v="951.43"/>
    <n v="-1897.7"/>
    <n v="-1767.97"/>
    <n v="0"/>
    <n v="-1673.35"/>
    <n v="-2522.17"/>
    <n v="-12406.93"/>
    <n v="848.82000000000016"/>
  </r>
  <r>
    <x v="18"/>
    <x v="8"/>
    <x v="0"/>
    <s v="4350104"/>
    <n v="400010"/>
    <s v="Acute I/P Svcs Rev--Managed Care"/>
    <s v="Speech-Language Pathology"/>
    <x v="0"/>
    <n v="1400"/>
    <n v="0"/>
    <n v="-1624.63"/>
    <n v="-149.22"/>
    <n v="-1731.87"/>
    <n v="-606.28"/>
    <n v="-1212.5899999999999"/>
    <n v="-1614.1"/>
    <n v="-3032.74"/>
    <n v="-1143.5"/>
    <n v="-18.190000000000001"/>
    <n v="-1567.91"/>
    <n v="-2539.7600000000002"/>
    <n v="-15240.79"/>
    <n v="971.85000000000014"/>
  </r>
  <r>
    <x v="18"/>
    <x v="8"/>
    <x v="0"/>
    <s v="4350104"/>
    <n v="400010"/>
    <s v="Acute I/P Svcs Rev--Self Pay"/>
    <s v="Speech-Language Pathology"/>
    <x v="0"/>
    <n v="1500"/>
    <n v="0"/>
    <n v="0"/>
    <n v="-503.91"/>
    <n v="-1212.56"/>
    <n v="0"/>
    <n v="-1018.33"/>
    <n v="0"/>
    <n v="0"/>
    <n v="0"/>
    <n v="0"/>
    <n v="-1048.9000000000001"/>
    <n v="0"/>
    <n v="-3783.7000000000003"/>
    <n v="-1048.9000000000001"/>
  </r>
  <r>
    <x v="18"/>
    <x v="8"/>
    <x v="0"/>
    <s v="4350104"/>
    <n v="400010"/>
    <s v="Acute I/P Svcs Rev--Other"/>
    <s v="Speech-Language Pathology"/>
    <x v="0"/>
    <n v="1700"/>
    <n v="0"/>
    <n v="-606.30999999999995"/>
    <n v="-1624.61"/>
    <n v="-2448.71"/>
    <n v="-1624.61"/>
    <n v="-1818.84"/>
    <n v="-1110.19"/>
    <n v="-1767.97"/>
    <n v="-1873.41"/>
    <n v="-1473.29"/>
    <n v="-2297.8200000000002"/>
    <n v="-5020.05"/>
    <n v="-21665.809999999998"/>
    <n v="2722.23"/>
  </r>
  <r>
    <x v="19"/>
    <x v="8"/>
    <x v="0"/>
    <s v="4350104"/>
    <n v="400020"/>
    <s v="O/P Care Svcs Rev--Medicare"/>
    <s v="Speech-Language Pathology"/>
    <x v="0"/>
    <n v="1100"/>
    <n v="-14089.91"/>
    <n v="-13491.7"/>
    <n v="-14427.89"/>
    <n v="-14230.66"/>
    <n v="-11030.73"/>
    <n v="-6810.22"/>
    <n v="-13133.55"/>
    <n v="-10539.2"/>
    <n v="-10809.25"/>
    <n v="-20619.98"/>
    <n v="-20698.37"/>
    <n v="-11578.87"/>
    <n v="-161460.32999999999"/>
    <n v="-9119.4999999999982"/>
  </r>
  <r>
    <x v="19"/>
    <x v="8"/>
    <x v="0"/>
    <s v="4350104"/>
    <n v="400020"/>
    <s v="O/P Care Svcs Rev--Medicaid"/>
    <s v="Speech-Language Pathology"/>
    <x v="0"/>
    <n v="1200"/>
    <n v="-5159.5600000000004"/>
    <n v="-3395.06"/>
    <n v="-2315.04"/>
    <n v="-2043.76"/>
    <n v="-4829.75"/>
    <n v="-1925.97"/>
    <n v="-1904.5"/>
    <n v="-3947.33"/>
    <n v="-5248.91"/>
    <n v="-3011.21"/>
    <n v="-1449.19"/>
    <n v="-4114.3100000000004"/>
    <n v="-39344.590000000004"/>
    <n v="2665.1200000000003"/>
  </r>
  <r>
    <x v="19"/>
    <x v="8"/>
    <x v="0"/>
    <s v="4350104"/>
    <n v="400020"/>
    <s v="O/P Care Svcs Rev--Comm Insurance"/>
    <s v="Speech-Language Pathology"/>
    <x v="0"/>
    <n v="1300"/>
    <n v="577.44000000000005"/>
    <n v="-1365.11"/>
    <n v="776.05"/>
    <n v="0"/>
    <n v="0"/>
    <n v="0"/>
    <n v="0"/>
    <n v="0"/>
    <n v="-606.30999999999995"/>
    <n v="0"/>
    <n v="-1771.94"/>
    <n v="-2060.65"/>
    <n v="-4450.5200000000004"/>
    <n v="288.71000000000004"/>
  </r>
  <r>
    <x v="19"/>
    <x v="8"/>
    <x v="0"/>
    <s v="4350104"/>
    <n v="400020"/>
    <s v="O/P Care Svcs Rev--BCBS Comm"/>
    <s v="Speech-Language Pathology"/>
    <x v="0"/>
    <n v="1301"/>
    <n v="0"/>
    <n v="0"/>
    <n v="-1147.6600000000001"/>
    <n v="-2439.29"/>
    <n v="-439.91"/>
    <n v="-586.52"/>
    <n v="-1960.84"/>
    <n v="-852.14"/>
    <n v="-4170.9799999999996"/>
    <n v="0"/>
    <n v="0"/>
    <n v="-1125.3399999999999"/>
    <n v="-12722.68"/>
    <n v="1125.3399999999999"/>
  </r>
  <r>
    <x v="19"/>
    <x v="8"/>
    <x v="0"/>
    <s v="4350104"/>
    <n v="400020"/>
    <s v="O/P Care Svcs Rev--Managed Care"/>
    <s v="Speech-Language Pathology"/>
    <x v="0"/>
    <n v="1400"/>
    <n v="-2199.4499999999998"/>
    <n v="-1319.69"/>
    <n v="-879.78"/>
    <n v="-2052.8200000000002"/>
    <n v="-6933.68"/>
    <n v="-3259.79"/>
    <n v="-5836.42"/>
    <n v="-3945.41"/>
    <n v="-9903.4500000000007"/>
    <n v="-4040.05"/>
    <n v="-3715.82"/>
    <n v="-1254.67"/>
    <n v="-45341.03"/>
    <n v="-2461.15"/>
  </r>
  <r>
    <x v="19"/>
    <x v="8"/>
    <x v="0"/>
    <s v="4350104"/>
    <n v="400020"/>
    <s v="O/P Care Svcs Rev--Self Pay"/>
    <s v="Speech-Language Pathology"/>
    <x v="0"/>
    <n v="1500"/>
    <n v="-620.45000000000005"/>
    <n v="-620.45000000000005"/>
    <n v="0"/>
    <n v="0"/>
    <n v="-438.2"/>
    <n v="0"/>
    <n v="0"/>
    <n v="0"/>
    <n v="0"/>
    <n v="0"/>
    <n v="-639.03"/>
    <n v="-451.33"/>
    <n v="-2769.46"/>
    <n v="-187.7"/>
  </r>
  <r>
    <x v="19"/>
    <x v="8"/>
    <x v="0"/>
    <s v="4350104"/>
    <n v="400020"/>
    <s v="O/P Care Svcs Rev--Other"/>
    <s v="Speech-Language Pathology"/>
    <x v="0"/>
    <n v="1700"/>
    <n v="-879.78"/>
    <n v="-439.89"/>
    <n v="-620.45000000000005"/>
    <n v="-965.41"/>
    <n v="-3225.86"/>
    <n v="-879.8"/>
    <n v="0"/>
    <n v="-453.09"/>
    <n v="-1545.24"/>
    <n v="-2331.39"/>
    <n v="0"/>
    <n v="-451.33"/>
    <n v="-11792.24"/>
    <n v="451.33"/>
  </r>
  <r>
    <x v="5"/>
    <x v="8"/>
    <x v="0"/>
    <s v="4350104"/>
    <n v="700032"/>
    <s v="Salaries-Other Pat Care Providers-Productive"/>
    <s v="Speech-Language Pathology"/>
    <x v="0"/>
    <m/>
    <n v="8006.67"/>
    <n v="5905.39"/>
    <n v="7540.27"/>
    <n v="6235.46"/>
    <n v="8179.06"/>
    <n v="7463.53"/>
    <n v="7716.33"/>
    <n v="5923.61"/>
    <n v="9632.2800000000007"/>
    <n v="8158.17"/>
    <n v="8017.8"/>
    <n v="7255.81"/>
    <n v="90034.38"/>
    <n v="761.98999999999978"/>
  </r>
  <r>
    <x v="5"/>
    <x v="8"/>
    <x v="0"/>
    <s v="4350104"/>
    <n v="700032"/>
    <s v="Salaries-Other Pat Care Providers-OT"/>
    <s v="Speech-Language Pathology"/>
    <x v="0"/>
    <n v="1000"/>
    <n v="108.25"/>
    <n v="0"/>
    <n v="288.66000000000003"/>
    <n v="0"/>
    <n v="355.75"/>
    <n v="-171.28"/>
    <n v="325.89999999999998"/>
    <n v="-85.75"/>
    <n v="214.03"/>
    <n v="137.24"/>
    <n v="261.14999999999998"/>
    <n v="553.45000000000005"/>
    <n v="1987.4000000000003"/>
    <n v="-292.30000000000007"/>
  </r>
  <r>
    <x v="5"/>
    <x v="8"/>
    <x v="0"/>
    <s v="4350104"/>
    <n v="700032"/>
    <s v="Salaries-Other Pat Care Providers-Other"/>
    <s v="Speech-Language Pathology"/>
    <x v="0"/>
    <n v="2000"/>
    <n v="18.84"/>
    <n v="3.1"/>
    <n v="18.41"/>
    <n v="33.380000000000003"/>
    <n v="3.46"/>
    <n v="22.16"/>
    <n v="22.43"/>
    <n v="19.690000000000001"/>
    <n v="14.54"/>
    <n v="32.340000000000003"/>
    <n v="14.41"/>
    <n v="28.99"/>
    <n v="231.75"/>
    <n v="-14.579999999999998"/>
  </r>
  <r>
    <x v="6"/>
    <x v="8"/>
    <x v="0"/>
    <s v="4350104"/>
    <n v="713010"/>
    <s v="Benefits-FICA/Medicare"/>
    <s v="Speech-Language Pathology"/>
    <x v="0"/>
    <m/>
    <n v="614.03"/>
    <n v="447.19"/>
    <n v="593.76"/>
    <n v="474.71"/>
    <n v="645.74"/>
    <n v="552"/>
    <n v="608.46"/>
    <n v="443.05"/>
    <n v="745.25"/>
    <n v="629.77"/>
    <n v="625.89"/>
    <n v="592.09"/>
    <n v="6971.9400000000014"/>
    <n v="33.799999999999955"/>
  </r>
  <r>
    <x v="6"/>
    <x v="8"/>
    <x v="0"/>
    <s v="4350104"/>
    <n v="713090"/>
    <s v="Benefits-Allocated Amounts"/>
    <s v="Speech-Language Pathology"/>
    <x v="0"/>
    <m/>
    <n v="1421.39"/>
    <n v="824.72"/>
    <n v="1225.31"/>
    <n v="904.48"/>
    <n v="1422.97"/>
    <n v="1104.6300000000001"/>
    <n v="1175.1600000000001"/>
    <n v="1190.0899999999999"/>
    <n v="1475.31"/>
    <n v="1429.32"/>
    <n v="1171.2"/>
    <n v="1405.12"/>
    <n v="14749.7"/>
    <n v="-233.91999999999985"/>
  </r>
  <r>
    <x v="11"/>
    <x v="8"/>
    <x v="0"/>
    <s v="4350104"/>
    <n v="721835"/>
    <s v="Supplies-Forms"/>
    <s v="Speech-Language Pathology"/>
    <x v="0"/>
    <m/>
    <n v="0"/>
    <n v="0"/>
    <n v="0"/>
    <n v="0"/>
    <n v="1.9"/>
    <n v="0"/>
    <n v="0"/>
    <n v="0"/>
    <n v="18.75"/>
    <n v="0"/>
    <n v="0"/>
    <n v="0"/>
    <n v="20.65"/>
    <n v="0"/>
  </r>
  <r>
    <x v="13"/>
    <x v="8"/>
    <x v="0"/>
    <s v="4350104"/>
    <n v="735070"/>
    <s v="Depreciation-Movable Equipment"/>
    <s v="Speech-Language Pathology"/>
    <x v="0"/>
    <m/>
    <n v="14.65"/>
    <n v="14.66"/>
    <n v="14.64"/>
    <n v="14.66"/>
    <n v="14.64"/>
    <n v="14.66"/>
    <n v="14.63"/>
    <n v="14.66"/>
    <n v="14.62"/>
    <n v="0"/>
    <n v="0"/>
    <n v="0"/>
    <n v="131.82"/>
    <n v="0"/>
  </r>
  <r>
    <x v="0"/>
    <x v="8"/>
    <x v="0"/>
    <s v="4350104"/>
    <n v="749510"/>
    <s v="RICE Rewards"/>
    <s v="Speech-Language Pathology"/>
    <x v="0"/>
    <n v="5100"/>
    <n v="0"/>
    <n v="0"/>
    <n v="0"/>
    <n v="0"/>
    <n v="0"/>
    <n v="0"/>
    <n v="0"/>
    <n v="0"/>
    <n v="0"/>
    <n v="44.43"/>
    <n v="0"/>
    <n v="0"/>
    <n v="44.43"/>
    <n v="0"/>
  </r>
  <r>
    <x v="18"/>
    <x v="5"/>
    <x v="0"/>
    <s v="4350106"/>
    <n v="400010"/>
    <s v="Acute I/P Svcs Rev--Medicare"/>
    <s v="Speech Therapy"/>
    <x v="0"/>
    <n v="1100"/>
    <n v="-49813.69"/>
    <n v="-63624.26"/>
    <n v="-82076.160000000003"/>
    <n v="-74883.360000000001"/>
    <n v="-53888.78"/>
    <n v="-84793.25"/>
    <n v="-66275.960000000006"/>
    <n v="-68798.490000000005"/>
    <n v="-79092.89"/>
    <n v="-83698.240000000005"/>
    <n v="-92713.8"/>
    <n v="-67202.44"/>
    <n v="-866861.32000000007"/>
    <n v="-25511.360000000001"/>
  </r>
  <r>
    <x v="18"/>
    <x v="5"/>
    <x v="0"/>
    <s v="4350106"/>
    <n v="400010"/>
    <s v="Acute I/P Svcs Rev--Medicaid"/>
    <s v="Speech Therapy"/>
    <x v="0"/>
    <n v="1200"/>
    <n v="-30693.77"/>
    <n v="-8023.53"/>
    <n v="-6629.27"/>
    <n v="-11852.62"/>
    <n v="-14058.04"/>
    <n v="-9894.1299999999992"/>
    <n v="-3684.93"/>
    <n v="-8988.83"/>
    <n v="-11424.18"/>
    <n v="-19362.759999999998"/>
    <n v="-7591.93"/>
    <n v="-20934.330000000002"/>
    <n v="-153138.32"/>
    <n v="13342.400000000001"/>
  </r>
  <r>
    <x v="18"/>
    <x v="5"/>
    <x v="0"/>
    <s v="4350106"/>
    <n v="400010"/>
    <s v="Acute I/P Svcs Rev--Comm Insurance"/>
    <s v="Speech Therapy"/>
    <x v="0"/>
    <n v="1300"/>
    <n v="1033.68"/>
    <n v="-4100.83"/>
    <n v="0"/>
    <n v="-1018.35"/>
    <n v="1018.35"/>
    <n v="0"/>
    <n v="0"/>
    <n v="-7362.03"/>
    <n v="-2802.76"/>
    <n v="-7718.14"/>
    <n v="1430.38"/>
    <n v="0"/>
    <n v="-19519.7"/>
    <n v="1430.38"/>
  </r>
  <r>
    <x v="18"/>
    <x v="5"/>
    <x v="0"/>
    <s v="4350106"/>
    <n v="400010"/>
    <s v="Acute I/P Svcs Rev--BCBS Comm"/>
    <s v="Speech Therapy"/>
    <x v="0"/>
    <n v="1301"/>
    <n v="0"/>
    <n v="-2143.92"/>
    <n v="1125.54"/>
    <n v="0"/>
    <n v="0"/>
    <n v="-4406.59"/>
    <n v="-4921.01"/>
    <n v="-3905.87"/>
    <n v="-2028.81"/>
    <n v="-3057"/>
    <n v="-424.41"/>
    <n v="0"/>
    <n v="-19762.069999999996"/>
    <n v="-424.41"/>
  </r>
  <r>
    <x v="18"/>
    <x v="5"/>
    <x v="0"/>
    <s v="4350106"/>
    <n v="400010"/>
    <s v="Acute I/P Svcs Rev--Managed Care"/>
    <s v="Speech Therapy"/>
    <x v="0"/>
    <n v="1400"/>
    <n v="-7767.55"/>
    <n v="-8154.95"/>
    <n v="3603.62"/>
    <n v="-4107.08"/>
    <n v="-9957.75"/>
    <n v="-9141.84"/>
    <n v="-8923.99"/>
    <n v="-6000.14"/>
    <n v="-7745.95"/>
    <n v="-10739.01"/>
    <n v="486.56"/>
    <n v="-3538.59"/>
    <n v="-71986.67"/>
    <n v="4025.15"/>
  </r>
  <r>
    <x v="18"/>
    <x v="5"/>
    <x v="0"/>
    <s v="4350106"/>
    <n v="400010"/>
    <s v="Acute I/P Svcs Rev--Self Pay"/>
    <s v="Speech Therapy"/>
    <x v="0"/>
    <n v="1500"/>
    <n v="5237.67"/>
    <n v="-1590.48"/>
    <n v="0"/>
    <n v="2608.81"/>
    <n v="-1430.38"/>
    <n v="0"/>
    <n v="-606.28"/>
    <n v="381.48"/>
    <n v="-1473.31"/>
    <n v="-1048.9000000000001"/>
    <n v="0"/>
    <n v="-1143.5"/>
    <n v="935.10999999999967"/>
    <n v="1143.5"/>
  </r>
  <r>
    <x v="18"/>
    <x v="5"/>
    <x v="0"/>
    <s v="4350106"/>
    <n v="400010"/>
    <s v="Acute I/P Svcs Rev--Other"/>
    <s v="Speech Therapy"/>
    <x v="0"/>
    <n v="1700"/>
    <n v="-2082.0300000000002"/>
    <n v="-3684.86"/>
    <n v="0"/>
    <n v="0"/>
    <n v="-2694.54"/>
    <n v="-606.30999999999995"/>
    <n v="-1110.19"/>
    <n v="0"/>
    <n v="-1473.31"/>
    <n v="-1458.54"/>
    <n v="-3477.89"/>
    <n v="-3795.4"/>
    <n v="-20383.07"/>
    <n v="317.51000000000022"/>
  </r>
  <r>
    <x v="19"/>
    <x v="5"/>
    <x v="0"/>
    <s v="4350106"/>
    <n v="400020"/>
    <s v="O/P Care Svcs Rev--Medicare"/>
    <s v="Speech Therapy"/>
    <x v="0"/>
    <n v="1100"/>
    <n v="-1212.6199999999999"/>
    <n v="-3593.27"/>
    <n v="-4461.92"/>
    <n v="-5393.27"/>
    <n v="-2837.24"/>
    <n v="-1212.6199999999999"/>
    <n v="-3879.19"/>
    <n v="-8501.6299999999992"/>
    <n v="-3771.23"/>
    <n v="-5694.52"/>
    <n v="-8527.17"/>
    <n v="-4463.83"/>
    <n v="-53548.509999999995"/>
    <n v="-4063.34"/>
  </r>
  <r>
    <x v="19"/>
    <x v="5"/>
    <x v="0"/>
    <s v="4350106"/>
    <n v="400020"/>
    <s v="O/P Care Svcs Rev--Medicaid"/>
    <s v="Speech Therapy"/>
    <x v="0"/>
    <n v="1200"/>
    <n v="-1018.35"/>
    <n v="0"/>
    <n v="-503.91"/>
    <n v="0"/>
    <n v="-1018.33"/>
    <n v="0"/>
    <n v="-1716.47"/>
    <n v="-624.47"/>
    <n v="0"/>
    <n v="-4081.59"/>
    <n v="-2453.2199999999998"/>
    <n v="-2297.8200000000002"/>
    <n v="-13714.16"/>
    <n v="-155.39999999999964"/>
  </r>
  <r>
    <x v="19"/>
    <x v="5"/>
    <x v="0"/>
    <s v="4350106"/>
    <n v="400020"/>
    <s v="O/P Care Svcs Rev--Comm Insurance"/>
    <s v="Speech Therapy"/>
    <x v="0"/>
    <n v="1300"/>
    <n v="0"/>
    <n v="1362.29"/>
    <n v="0"/>
    <n v="0"/>
    <n v="-1018.33"/>
    <n v="0"/>
    <n v="-503.91"/>
    <n v="0"/>
    <n v="0"/>
    <n v="0"/>
    <n v="0"/>
    <n v="0"/>
    <n v="-159.9500000000001"/>
    <n v="0"/>
  </r>
  <r>
    <x v="19"/>
    <x v="5"/>
    <x v="0"/>
    <s v="4350106"/>
    <n v="400020"/>
    <s v="O/P Care Svcs Rev--BCBS Comm"/>
    <s v="Speech Therapy"/>
    <x v="0"/>
    <n v="1301"/>
    <n v="0"/>
    <n v="0"/>
    <n v="0"/>
    <n v="0"/>
    <n v="-503.91"/>
    <n v="0"/>
    <n v="0"/>
    <n v="0"/>
    <n v="-624.5"/>
    <n v="-1143.5"/>
    <n v="-624.5"/>
    <n v="0"/>
    <n v="-2896.41"/>
    <n v="-624.5"/>
  </r>
  <r>
    <x v="19"/>
    <x v="5"/>
    <x v="0"/>
    <s v="4350106"/>
    <n v="400020"/>
    <s v="O/P Care Svcs Rev--Managed Care"/>
    <s v="Speech Therapy"/>
    <x v="0"/>
    <n v="1400"/>
    <n v="0"/>
    <n v="-1731.82"/>
    <n v="-1018.33"/>
    <n v="0"/>
    <n v="-3162.2"/>
    <n v="0"/>
    <n v="-1212.56"/>
    <n v="-624.5"/>
    <n v="-2228.9299999999998"/>
    <n v="-624.47"/>
    <n v="624.5"/>
    <n v="0"/>
    <n v="-9978.31"/>
    <n v="624.5"/>
  </r>
  <r>
    <x v="19"/>
    <x v="5"/>
    <x v="0"/>
    <s v="4350106"/>
    <n v="400020"/>
    <s v="O/P Care Svcs Rev--Self Pay"/>
    <s v="Speech Therapy"/>
    <x v="0"/>
    <n v="1500"/>
    <n v="-606.28"/>
    <n v="0"/>
    <n v="0"/>
    <n v="0"/>
    <n v="0"/>
    <n v="0"/>
    <n v="0"/>
    <n v="0"/>
    <n v="-1783.77"/>
    <n v="1783.77"/>
    <n v="-624.5"/>
    <n v="-624.5"/>
    <n v="-1855.2800000000002"/>
    <n v="0"/>
  </r>
  <r>
    <x v="19"/>
    <x v="5"/>
    <x v="0"/>
    <s v="4350106"/>
    <n v="400020"/>
    <s v="O/P Care Svcs Rev--Other"/>
    <s v="Speech Therapy"/>
    <x v="0"/>
    <n v="1700"/>
    <n v="0"/>
    <n v="0"/>
    <n v="0"/>
    <n v="0"/>
    <n v="0"/>
    <n v="0"/>
    <n v="0"/>
    <n v="0"/>
    <n v="0"/>
    <n v="0"/>
    <n v="0"/>
    <n v="0"/>
    <n v="0"/>
    <n v="0"/>
  </r>
  <r>
    <x v="14"/>
    <x v="5"/>
    <x v="0"/>
    <s v="4350106"/>
    <n v="600050"/>
    <s v="Miscellaneous Revenue"/>
    <s v="Speech Therapy"/>
    <x v="0"/>
    <m/>
    <n v="0"/>
    <n v="-110.13"/>
    <n v="0"/>
    <n v="0"/>
    <n v="0"/>
    <n v="0"/>
    <n v="0"/>
    <n v="0"/>
    <n v="0"/>
    <n v="0"/>
    <n v="0"/>
    <n v="0"/>
    <n v="-110.13"/>
    <n v="0"/>
  </r>
  <r>
    <x v="14"/>
    <x v="5"/>
    <x v="0"/>
    <s v="4350106"/>
    <n v="600050"/>
    <s v="Misc.Revenue-Contract Services"/>
    <s v="Speech Therapy"/>
    <x v="0"/>
    <n v="1017"/>
    <n v="-2291.12"/>
    <n v="-2202.6999999999998"/>
    <n v="-1710.25"/>
    <n v="-2299.35"/>
    <n v="-1967.93"/>
    <n v="-1703.06"/>
    <n v="-3175.43"/>
    <n v="-2833.49"/>
    <n v="-2131.41"/>
    <n v="-2299.67"/>
    <n v="-2777.04"/>
    <n v="-1823.64"/>
    <n v="-27215.090000000004"/>
    <n v="-953.39999999999986"/>
  </r>
  <r>
    <x v="5"/>
    <x v="5"/>
    <x v="0"/>
    <s v="4350106"/>
    <n v="700032"/>
    <s v="Salaries-Other Pat Care Providers-Productive"/>
    <s v="Speech Therapy"/>
    <x v="0"/>
    <m/>
    <n v="14497.11"/>
    <n v="15401.65"/>
    <n v="12113.98"/>
    <n v="16473.560000000001"/>
    <n v="12008.85"/>
    <n v="17543.8"/>
    <n v="15685.83"/>
    <n v="15909.57"/>
    <n v="14662.63"/>
    <n v="19108.75"/>
    <n v="17068.39"/>
    <n v="13243.18"/>
    <n v="183717.3"/>
    <n v="3825.2099999999991"/>
  </r>
  <r>
    <x v="5"/>
    <x v="5"/>
    <x v="0"/>
    <s v="4350106"/>
    <n v="700032"/>
    <s v="Salaries-Other Pat Care Providers-OT"/>
    <s v="Speech Therapy"/>
    <x v="0"/>
    <n v="1000"/>
    <n v="325.85000000000002"/>
    <n v="0"/>
    <n v="0"/>
    <n v="82.3"/>
    <n v="799.77"/>
    <n v="-252.6"/>
    <n v="0"/>
    <n v="0"/>
    <n v="674.86"/>
    <n v="-161.03"/>
    <n v="-4.95"/>
    <n v="-13.4"/>
    <n v="1450.8"/>
    <n v="8.4499999999999993"/>
  </r>
  <r>
    <x v="5"/>
    <x v="5"/>
    <x v="0"/>
    <s v="4350106"/>
    <n v="700032"/>
    <s v="Salaries-Other Pat Care Providers-Other"/>
    <s v="Speech Therapy"/>
    <x v="0"/>
    <n v="2000"/>
    <n v="945.93"/>
    <n v="323.27999999999997"/>
    <n v="387.1"/>
    <n v="255.34"/>
    <n v="396.49"/>
    <n v="641.16"/>
    <n v="252.26"/>
    <n v="436.58"/>
    <n v="482.49"/>
    <n v="758.11"/>
    <n v="277.18"/>
    <n v="589.66999999999996"/>
    <n v="5745.5899999999992"/>
    <n v="-312.48999999999995"/>
  </r>
  <r>
    <x v="5"/>
    <x v="5"/>
    <x v="0"/>
    <s v="4350106"/>
    <n v="700072"/>
    <s v="Salaries-Other Pat Care Providers-Non-productive"/>
    <s v="Speech Therapy"/>
    <x v="0"/>
    <m/>
    <n v="6930"/>
    <n v="1659.26"/>
    <n v="3409.69"/>
    <n v="1577.77"/>
    <n v="6047.62"/>
    <n v="2332.39"/>
    <n v="1953.14"/>
    <n v="1266.56"/>
    <n v="3882.26"/>
    <n v="1309.02"/>
    <n v="833.4"/>
    <n v="4542.87"/>
    <n v="35743.980000000003"/>
    <n v="-3709.47"/>
  </r>
  <r>
    <x v="5"/>
    <x v="5"/>
    <x v="0"/>
    <s v="4350106"/>
    <n v="700072"/>
    <s v="Salaries-Other Pat Care Providers-NonProd-Other"/>
    <s v="Speech Therapy"/>
    <x v="0"/>
    <n v="2000"/>
    <n v="0"/>
    <n v="0"/>
    <n v="0"/>
    <n v="0"/>
    <n v="298.55"/>
    <n v="0"/>
    <n v="0"/>
    <n v="-298.55"/>
    <n v="0"/>
    <n v="0"/>
    <n v="0"/>
    <n v="0"/>
    <n v="0"/>
    <n v="0"/>
  </r>
  <r>
    <x v="5"/>
    <x v="5"/>
    <x v="0"/>
    <s v="4350106"/>
    <n v="700084"/>
    <s v="Accrued PTO"/>
    <s v="Speech Therapy"/>
    <x v="0"/>
    <m/>
    <n v="-3969.67"/>
    <n v="339.54"/>
    <n v="-291.36"/>
    <n v="1577.53"/>
    <n v="-1938.45"/>
    <n v="-1631.55"/>
    <n v="269.93"/>
    <n v="801.01"/>
    <n v="1707.6"/>
    <n v="546.17999999999995"/>
    <n v="1383.3"/>
    <n v="-980.34"/>
    <n v="-2186.2799999999997"/>
    <n v="2363.64"/>
  </r>
  <r>
    <x v="6"/>
    <x v="5"/>
    <x v="0"/>
    <s v="4350106"/>
    <n v="713010"/>
    <s v="Benefits-FICA/Medicare"/>
    <s v="Speech Therapy"/>
    <x v="0"/>
    <m/>
    <n v="1725.98"/>
    <n v="1270.94"/>
    <n v="1199.02"/>
    <n v="1377.27"/>
    <n v="1511.11"/>
    <n v="1485.08"/>
    <n v="1326.02"/>
    <n v="1308.76"/>
    <n v="1464.47"/>
    <n v="1566.04"/>
    <n v="1347.75"/>
    <n v="1363.43"/>
    <n v="16945.870000000003"/>
    <n v="-15.680000000000064"/>
  </r>
  <r>
    <x v="6"/>
    <x v="5"/>
    <x v="0"/>
    <s v="4350106"/>
    <n v="713090"/>
    <s v="Benefits-Allocated Amounts"/>
    <s v="Speech Therapy"/>
    <x v="0"/>
    <m/>
    <n v="4298.3599999999997"/>
    <n v="3419.84"/>
    <n v="3029.97"/>
    <n v="3508.76"/>
    <n v="3665.46"/>
    <n v="3695.23"/>
    <n v="3505.84"/>
    <n v="3556.44"/>
    <n v="3855.71"/>
    <n v="4208.68"/>
    <n v="3556.26"/>
    <n v="3556.9"/>
    <n v="43857.45"/>
    <n v="-0.63999999999987267"/>
  </r>
  <r>
    <x v="7"/>
    <x v="5"/>
    <x v="0"/>
    <s v="4350106"/>
    <n v="718050"/>
    <s v="Contract Svcs-Other"/>
    <s v="Speech Therapy"/>
    <x v="0"/>
    <m/>
    <n v="2217.52"/>
    <n v="4435.03"/>
    <n v="2217.52"/>
    <n v="0"/>
    <n v="0"/>
    <n v="6652.56"/>
    <n v="-2217.52"/>
    <n v="4435.04"/>
    <n v="0"/>
    <n v="2217.52"/>
    <n v="0"/>
    <n v="6652.56"/>
    <n v="26610.230000000003"/>
    <n v="-6652.56"/>
  </r>
  <r>
    <x v="7"/>
    <x v="5"/>
    <x v="0"/>
    <s v="4350106"/>
    <n v="718050"/>
    <s v="Miscellaneous Purchased Svcs"/>
    <s v="Speech Therapy"/>
    <x v="0"/>
    <n v="1020"/>
    <n v="0"/>
    <n v="0"/>
    <n v="0"/>
    <n v="0"/>
    <n v="0"/>
    <n v="0"/>
    <n v="2217.52"/>
    <n v="0"/>
    <n v="0"/>
    <n v="0"/>
    <n v="0"/>
    <n v="0"/>
    <n v="2217.52"/>
    <n v="0"/>
  </r>
  <r>
    <x v="11"/>
    <x v="5"/>
    <x v="0"/>
    <s v="4350106"/>
    <n v="721830"/>
    <s v="Supplies-Office"/>
    <s v="Speech Therapy"/>
    <x v="0"/>
    <m/>
    <n v="0"/>
    <n v="0"/>
    <n v="0"/>
    <n v="47.45"/>
    <n v="0"/>
    <n v="0"/>
    <n v="77.22"/>
    <n v="0"/>
    <n v="0"/>
    <n v="0"/>
    <n v="40.47"/>
    <n v="0"/>
    <n v="165.14"/>
    <n v="40.47"/>
  </r>
  <r>
    <x v="11"/>
    <x v="5"/>
    <x v="0"/>
    <s v="4350106"/>
    <n v="721835"/>
    <s v="Supplies-Forms"/>
    <s v="Speech Therapy"/>
    <x v="0"/>
    <m/>
    <n v="0"/>
    <n v="0"/>
    <n v="0"/>
    <n v="0"/>
    <n v="0"/>
    <n v="0"/>
    <n v="0"/>
    <n v="0"/>
    <n v="0"/>
    <n v="0.13"/>
    <n v="0"/>
    <n v="0"/>
    <n v="0.13"/>
    <n v="0"/>
  </r>
  <r>
    <x v="13"/>
    <x v="5"/>
    <x v="0"/>
    <s v="4350106"/>
    <n v="735070"/>
    <s v="Depreciation-Movable Equipment"/>
    <s v="Speech Therapy"/>
    <x v="0"/>
    <m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3"/>
    <n v="0.28000000000000003"/>
    <n v="3.3800000000000008"/>
    <n v="1.9999999999999962E-2"/>
  </r>
  <r>
    <x v="18"/>
    <x v="6"/>
    <x v="0"/>
    <s v="4350107"/>
    <n v="400010"/>
    <s v="Acute I/P Svcs Rev--Medicare"/>
    <s v="Speech Pathology"/>
    <x v="0"/>
    <n v="1100"/>
    <n v="-78311.48"/>
    <n v="-87597.57"/>
    <n v="-86711.52"/>
    <n v="-94514.99"/>
    <n v="-86710.29"/>
    <n v="-80421.119999999995"/>
    <n v="-87824.6"/>
    <n v="-86247.57"/>
    <n v="-109515.11"/>
    <n v="-100660.4"/>
    <n v="-94976.41"/>
    <n v="-93127.83"/>
    <n v="-1086618.8899999999"/>
    <n v="-1848.5800000000017"/>
  </r>
  <r>
    <x v="18"/>
    <x v="6"/>
    <x v="0"/>
    <s v="4350107"/>
    <n v="400010"/>
    <s v="Acute I/P Svcs Rev--Medicaid"/>
    <s v="Speech Pathology"/>
    <x v="0"/>
    <n v="1200"/>
    <n v="-10367.27"/>
    <n v="-5564.05"/>
    <n v="-5085.0600000000004"/>
    <n v="-7235.84"/>
    <n v="-12149.04"/>
    <n v="-14495.61"/>
    <n v="-8573.1"/>
    <n v="-7665.16"/>
    <n v="-4609.1099999999997"/>
    <n v="-15013.25"/>
    <n v="-12098.18"/>
    <n v="-10342.82"/>
    <n v="-113198.49000000002"/>
    <n v="-1755.3600000000006"/>
  </r>
  <r>
    <x v="18"/>
    <x v="6"/>
    <x v="0"/>
    <s v="4350107"/>
    <n v="400010"/>
    <s v="Acute I/P Svcs Rev--Comm Insurance"/>
    <s v="Speech Pathology"/>
    <x v="0"/>
    <n v="1300"/>
    <n v="-572.82000000000005"/>
    <n v="1265.05"/>
    <n v="0"/>
    <n v="0"/>
    <n v="-606.28"/>
    <n v="-2952.62"/>
    <n v="2036.66"/>
    <n v="-1248.94"/>
    <n v="-424.41"/>
    <n v="-3576.03"/>
    <n v="-2505.5100000000002"/>
    <n v="1546.27"/>
    <n v="-7038.6299999999992"/>
    <n v="-4051.78"/>
  </r>
  <r>
    <x v="18"/>
    <x v="6"/>
    <x v="0"/>
    <s v="4350107"/>
    <n v="400010"/>
    <s v="Acute I/P Svcs Rev--BCBS Comm"/>
    <s v="Speech Pathology"/>
    <x v="0"/>
    <n v="1301"/>
    <n v="-5424.46"/>
    <n v="0"/>
    <n v="-1018.33"/>
    <n v="-503.91"/>
    <n v="-4272.3900000000003"/>
    <n v="0"/>
    <n v="-8033.76"/>
    <n v="-5087.51"/>
    <n v="-624.47"/>
    <n v="-1897.7"/>
    <n v="-3926.51"/>
    <n v="-848.82"/>
    <n v="-31637.86"/>
    <n v="-3077.69"/>
  </r>
  <r>
    <x v="18"/>
    <x v="6"/>
    <x v="0"/>
    <s v="4350107"/>
    <n v="400010"/>
    <s v="Acute I/P Svcs Rev--Managed Care"/>
    <s v="Speech Pathology"/>
    <x v="0"/>
    <n v="1400"/>
    <n v="0"/>
    <n v="-1212.56"/>
    <n v="-3879.11"/>
    <n v="-1110.19"/>
    <n v="-2417.1999999999998"/>
    <n v="-4165.18"/>
    <n v="0"/>
    <n v="-3277.78"/>
    <n v="-3526.39"/>
    <n v="-9937.2000000000007"/>
    <n v="-7159.6"/>
    <n v="-3865.73"/>
    <n v="-40550.94000000001"/>
    <n v="-3293.8700000000003"/>
  </r>
  <r>
    <x v="18"/>
    <x v="6"/>
    <x v="0"/>
    <s v="4350107"/>
    <n v="400010"/>
    <s v="Acute I/P Svcs Rev--Self Pay"/>
    <s v="Speech Pathology"/>
    <x v="0"/>
    <n v="1500"/>
    <n v="1396.01"/>
    <n v="0"/>
    <n v="0"/>
    <n v="0"/>
    <n v="0"/>
    <n v="-606.28"/>
    <n v="-1328.01"/>
    <n v="0"/>
    <n v="0"/>
    <n v="0"/>
    <n v="-624.47"/>
    <n v="0"/>
    <n v="-1162.75"/>
    <n v="-624.47"/>
  </r>
  <r>
    <x v="18"/>
    <x v="6"/>
    <x v="0"/>
    <s v="4350107"/>
    <n v="400010"/>
    <s v="Acute I/P Svcs Rev--Other"/>
    <s v="Speech Pathology"/>
    <x v="0"/>
    <n v="1700"/>
    <n v="-2807.77"/>
    <n v="-3470.96"/>
    <n v="-1494.68"/>
    <n v="-606.28"/>
    <n v="-3467.04"/>
    <n v="0"/>
    <n v="-2005.15"/>
    <n v="-624.47"/>
    <n v="-11576.82"/>
    <n v="318.97000000000003"/>
    <n v="-5522.42"/>
    <n v="-6636.54"/>
    <n v="-37893.159999999996"/>
    <n v="1114.1199999999999"/>
  </r>
  <r>
    <x v="19"/>
    <x v="6"/>
    <x v="0"/>
    <s v="4350107"/>
    <n v="400020"/>
    <s v="O/P Care Svcs Rev--Medicare"/>
    <s v="Speech Pathology"/>
    <x v="0"/>
    <n v="1100"/>
    <n v="-20847.73"/>
    <n v="-17686.080000000002"/>
    <n v="-20901.25"/>
    <n v="-14370.44"/>
    <n v="-13148.44"/>
    <n v="-16322.15"/>
    <n v="-12992.4"/>
    <n v="-6057.83"/>
    <n v="-16579.900000000001"/>
    <n v="-14296.55"/>
    <n v="-14760.81"/>
    <n v="-8002.92"/>
    <n v="-175966.5"/>
    <n v="-6757.8899999999994"/>
  </r>
  <r>
    <x v="19"/>
    <x v="6"/>
    <x v="0"/>
    <s v="4350107"/>
    <n v="400020"/>
    <s v="O/P Care Svcs Rev--Medicaid"/>
    <s v="Speech Pathology"/>
    <x v="0"/>
    <n v="1200"/>
    <n v="-2467.54"/>
    <n v="-4386.92"/>
    <n v="-3742.62"/>
    <n v="-1744.75"/>
    <n v="-1018.35"/>
    <n v="-3471.73"/>
    <n v="-1226.7"/>
    <n v="-1278.06"/>
    <n v="0"/>
    <n v="-1263.5"/>
    <n v="-3685.06"/>
    <n v="-1767.97"/>
    <n v="-26053.200000000004"/>
    <n v="-1917.09"/>
  </r>
  <r>
    <x v="19"/>
    <x v="6"/>
    <x v="0"/>
    <s v="4350107"/>
    <n v="400020"/>
    <s v="O/P Care Svcs Rev--Comm Insurance"/>
    <s v="Speech Pathology"/>
    <x v="0"/>
    <n v="1300"/>
    <n v="0"/>
    <n v="-562.77"/>
    <n v="590.91"/>
    <n v="0"/>
    <n v="-590.91"/>
    <n v="0"/>
    <n v="-620.45000000000005"/>
    <n v="-1883.98"/>
    <n v="0"/>
    <n v="-639.03"/>
    <n v="-639.03"/>
    <n v="-3180.59"/>
    <n v="-7525.8499999999995"/>
    <n v="2541.5600000000004"/>
  </r>
  <r>
    <x v="19"/>
    <x v="6"/>
    <x v="0"/>
    <s v="4350107"/>
    <n v="400020"/>
    <s v="O/P Care Svcs Rev--BCBS Comm"/>
    <s v="Speech Pathology"/>
    <x v="0"/>
    <n v="1301"/>
    <n v="-1240.8699999999999"/>
    <n v="-1861.26"/>
    <n v="0"/>
    <n v="-620.45000000000005"/>
    <n v="0"/>
    <n v="0"/>
    <n v="-1730.61"/>
    <n v="-639.03"/>
    <n v="-624.47"/>
    <n v="-2407"/>
    <n v="-1902.53"/>
    <n v="-639.03"/>
    <n v="-11665.25"/>
    <n v="-1263.5"/>
  </r>
  <r>
    <x v="19"/>
    <x v="6"/>
    <x v="0"/>
    <s v="4350107"/>
    <n v="400020"/>
    <s v="O/P Care Svcs Rev--Managed Care"/>
    <s v="Speech Pathology"/>
    <x v="0"/>
    <n v="1400"/>
    <n v="-606.30999999999995"/>
    <n v="0"/>
    <n v="-606.30999999999995"/>
    <n v="-3083.35"/>
    <n v="-1240.9000000000001"/>
    <n v="-1139.76"/>
    <n v="-2245.1"/>
    <n v="-1749.25"/>
    <n v="-1902.53"/>
    <n v="-3685.09"/>
    <n v="-2297.8200000000002"/>
    <n v="-1263.53"/>
    <n v="-19819.95"/>
    <n v="-1034.2900000000002"/>
  </r>
  <r>
    <x v="19"/>
    <x v="6"/>
    <x v="0"/>
    <s v="4350107"/>
    <n v="400020"/>
    <s v="O/P Care Svcs Rev--Self Pay"/>
    <s v="Speech Pathology"/>
    <x v="0"/>
    <n v="1500"/>
    <n v="0"/>
    <n v="0"/>
    <n v="0"/>
    <n v="-1110.19"/>
    <n v="0"/>
    <n v="0"/>
    <n v="0"/>
    <n v="0"/>
    <n v="0"/>
    <n v="0"/>
    <n v="-1143.5"/>
    <n v="0"/>
    <n v="-2253.69"/>
    <n v="-1143.5"/>
  </r>
  <r>
    <x v="19"/>
    <x v="6"/>
    <x v="0"/>
    <s v="4350107"/>
    <n v="400020"/>
    <s v="O/P Care Svcs Rev--Other"/>
    <s v="Speech Pathology"/>
    <x v="0"/>
    <n v="1700"/>
    <n v="-606.28"/>
    <n v="0"/>
    <n v="-1240.8399999999999"/>
    <n v="-1638.77"/>
    <n v="-2336.89"/>
    <n v="-1226.7"/>
    <n v="-1730.61"/>
    <n v="-624.47"/>
    <n v="0"/>
    <n v="-1263.5"/>
    <n v="-2326.94"/>
    <n v="0"/>
    <n v="-12995"/>
    <n v="-2326.94"/>
  </r>
  <r>
    <x v="14"/>
    <x v="6"/>
    <x v="0"/>
    <s v="4350107"/>
    <n v="600050"/>
    <s v="Miscellaneous Revenue"/>
    <s v="Speech Pathology"/>
    <x v="0"/>
    <m/>
    <n v="0"/>
    <n v="0"/>
    <n v="0"/>
    <n v="0"/>
    <n v="0"/>
    <n v="0"/>
    <n v="0"/>
    <n v="-1611.95"/>
    <n v="0"/>
    <n v="0"/>
    <n v="0"/>
    <n v="0"/>
    <n v="-1611.95"/>
    <n v="0"/>
  </r>
  <r>
    <x v="5"/>
    <x v="6"/>
    <x v="0"/>
    <s v="4350107"/>
    <n v="700032"/>
    <s v="Salaries-Other Pat Care Providers-Productive"/>
    <s v="Speech Pathology"/>
    <x v="0"/>
    <m/>
    <n v="11543.58"/>
    <n v="11101.83"/>
    <n v="11070.01"/>
    <n v="13767.76"/>
    <n v="9392.33"/>
    <n v="12086.61"/>
    <n v="12455.06"/>
    <n v="11003.99"/>
    <n v="13965.72"/>
    <n v="12801.45"/>
    <n v="14776.04"/>
    <n v="12833.34"/>
    <n v="146797.72"/>
    <n v="1942.7000000000007"/>
  </r>
  <r>
    <x v="5"/>
    <x v="6"/>
    <x v="0"/>
    <s v="4350107"/>
    <n v="700032"/>
    <s v="Salaries-Other Pat Care Providers-OT"/>
    <s v="Speech Pathology"/>
    <x v="0"/>
    <n v="1000"/>
    <n v="597.21"/>
    <n v="-3.61"/>
    <n v="60.63"/>
    <n v="297.70999999999998"/>
    <n v="376.56"/>
    <n v="-237.11"/>
    <n v="0"/>
    <n v="77.69"/>
    <n v="84.86"/>
    <n v="128.03"/>
    <n v="463.96"/>
    <n v="420.16"/>
    <n v="2266.0899999999997"/>
    <n v="43.799999999999955"/>
  </r>
  <r>
    <x v="5"/>
    <x v="6"/>
    <x v="0"/>
    <s v="4350107"/>
    <n v="700032"/>
    <s v="Salaries-Other Pat Care Providers-Other"/>
    <s v="Speech Pathology"/>
    <x v="0"/>
    <n v="2000"/>
    <n v="274.19"/>
    <n v="401.36"/>
    <n v="222.68"/>
    <n v="420.69"/>
    <n v="251.79"/>
    <n v="287.02"/>
    <n v="259.51"/>
    <n v="427.88"/>
    <n v="362.63"/>
    <n v="246.08"/>
    <n v="411.38"/>
    <n v="305.58999999999997"/>
    <n v="3870.8"/>
    <n v="105.79000000000002"/>
  </r>
  <r>
    <x v="5"/>
    <x v="6"/>
    <x v="0"/>
    <s v="4350107"/>
    <n v="700072"/>
    <s v="Salaries-Other Pat Care Providers-Non-productive"/>
    <s v="Speech Pathology"/>
    <x v="0"/>
    <m/>
    <n v="1702.51"/>
    <n v="2345.17"/>
    <n v="881.18"/>
    <n v="2290.9499999999998"/>
    <n v="-134.53"/>
    <n v="2183.12"/>
    <n v="172.9"/>
    <n v="1461.39"/>
    <n v="486.81"/>
    <n v="240.57"/>
    <n v="1942.76"/>
    <n v="2174.11"/>
    <n v="15746.94"/>
    <n v="-231.35000000000014"/>
  </r>
  <r>
    <x v="5"/>
    <x v="6"/>
    <x v="0"/>
    <s v="4350107"/>
    <n v="700072"/>
    <s v="Salaries-Other Pat Care Providers-NonProd-Other"/>
    <s v="Speech Path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50107"/>
    <n v="700084"/>
    <s v="Accrued PTO"/>
    <s v="Speech Pathology"/>
    <x v="0"/>
    <m/>
    <n v="91.47"/>
    <n v="-487.37"/>
    <n v="3.44"/>
    <n v="39.840000000000003"/>
    <n v="294.58"/>
    <n v="121.48"/>
    <n v="915.95"/>
    <n v="-191.75"/>
    <n v="930.48"/>
    <n v="968.98"/>
    <n v="945.51"/>
    <n v="-631.03"/>
    <n v="3001.58"/>
    <n v="1576.54"/>
  </r>
  <r>
    <x v="6"/>
    <x v="6"/>
    <x v="0"/>
    <s v="4350107"/>
    <n v="713010"/>
    <s v="Benefits-FICA/Medicare"/>
    <s v="Speech Pathology"/>
    <x v="0"/>
    <m/>
    <n v="1079.6600000000001"/>
    <n v="1060.1199999999999"/>
    <n v="934.6"/>
    <n v="1283.17"/>
    <n v="757.92"/>
    <n v="1093.81"/>
    <n v="984.37"/>
    <n v="990.79"/>
    <n v="1138.17"/>
    <n v="1024.8399999999999"/>
    <n v="1343.97"/>
    <n v="1201.82"/>
    <n v="12893.239999999998"/>
    <n v="142.15000000000009"/>
  </r>
  <r>
    <x v="6"/>
    <x v="6"/>
    <x v="0"/>
    <s v="4350107"/>
    <n v="713090"/>
    <s v="Benefits-Allocated Amounts"/>
    <s v="Speech Pathology"/>
    <x v="0"/>
    <m/>
    <n v="1978.26"/>
    <n v="1772.02"/>
    <n v="1724.22"/>
    <n v="2346.9499999999998"/>
    <n v="1584.68"/>
    <n v="2074.9899999999998"/>
    <n v="1898.1"/>
    <n v="1891.31"/>
    <n v="1784.1"/>
    <n v="2102.21"/>
    <n v="2497.37"/>
    <n v="2547.7800000000002"/>
    <n v="24201.989999999994"/>
    <n v="-50.410000000000309"/>
  </r>
  <r>
    <x v="11"/>
    <x v="6"/>
    <x v="0"/>
    <s v="4350107"/>
    <n v="721810"/>
    <s v="Supplies-Dietary/Cafeteria"/>
    <s v="Speech Pathology"/>
    <x v="0"/>
    <m/>
    <n v="0"/>
    <n v="0"/>
    <n v="0"/>
    <n v="0"/>
    <n v="0"/>
    <n v="0"/>
    <n v="0"/>
    <n v="0"/>
    <n v="0"/>
    <n v="0"/>
    <n v="0"/>
    <n v="17.36"/>
    <n v="17.36"/>
    <n v="-17.36"/>
  </r>
  <r>
    <x v="11"/>
    <x v="6"/>
    <x v="0"/>
    <s v="4350107"/>
    <n v="721830"/>
    <s v="Supplies-Office"/>
    <s v="Speech Pathology"/>
    <x v="0"/>
    <m/>
    <n v="0"/>
    <n v="0"/>
    <n v="0"/>
    <n v="39.07"/>
    <n v="0"/>
    <n v="0"/>
    <n v="0"/>
    <n v="0"/>
    <n v="0"/>
    <n v="0"/>
    <n v="0"/>
    <n v="0"/>
    <n v="39.07"/>
    <n v="0"/>
  </r>
  <r>
    <x v="12"/>
    <x v="6"/>
    <x v="0"/>
    <s v="4350107"/>
    <n v="730020"/>
    <s v="Rental and Leases-Copier Usage Fees (DO NOT USE)"/>
    <s v="Speech Pathology"/>
    <x v="0"/>
    <n v="5100"/>
    <n v="10.72"/>
    <n v="11.09"/>
    <n v="10.9"/>
    <n v="10.9"/>
    <n v="10.9"/>
    <n v="10.9"/>
    <n v="10.09"/>
    <n v="11.1"/>
    <n v="11.08"/>
    <n v="11.12"/>
    <n v="11.1"/>
    <n v="11.1"/>
    <n v="131"/>
    <n v="0"/>
  </r>
  <r>
    <x v="15"/>
    <x v="6"/>
    <x v="0"/>
    <s v="4350107"/>
    <n v="731060"/>
    <s v="Pagers"/>
    <s v="Speech Pathology"/>
    <x v="0"/>
    <n v="1002"/>
    <n v="15.64"/>
    <n v="15.64"/>
    <n v="15.64"/>
    <n v="15.68"/>
    <n v="0"/>
    <n v="15.68"/>
    <n v="31.36"/>
    <n v="15.68"/>
    <n v="15.68"/>
    <n v="15.68"/>
    <n v="15.68"/>
    <n v="15.68"/>
    <n v="188.04000000000002"/>
    <n v="0"/>
  </r>
  <r>
    <x v="0"/>
    <x v="6"/>
    <x v="0"/>
    <s v="4350107"/>
    <n v="749510"/>
    <s v="RICE Rewards"/>
    <s v="Speech Pathology"/>
    <x v="0"/>
    <n v="5100"/>
    <n v="0"/>
    <n v="0"/>
    <n v="0"/>
    <n v="0"/>
    <n v="0"/>
    <n v="0"/>
    <n v="0"/>
    <n v="0"/>
    <n v="0"/>
    <n v="0"/>
    <n v="0"/>
    <n v="32"/>
    <n v="32"/>
    <n v="-32"/>
  </r>
  <r>
    <x v="18"/>
    <x v="7"/>
    <x v="0"/>
    <s v="4350150"/>
    <n v="400010"/>
    <s v="Acute I/P Svcs Rev--Medicare"/>
    <s v="Speech-Language Pathology"/>
    <x v="0"/>
    <n v="1100"/>
    <n v="-2338.1999999999998"/>
    <n v="-5262.42"/>
    <n v="-4282.1899999999996"/>
    <n v="-1818.93"/>
    <n v="-4359.59"/>
    <n v="-5183.63"/>
    <n v="-6076.06"/>
    <n v="-2529.63"/>
    <n v="-11544.61"/>
    <n v="-7107.08"/>
    <n v="-2835.01"/>
    <n v="-624.47"/>
    <n v="-53961.820000000014"/>
    <n v="-2210.54"/>
  </r>
  <r>
    <x v="18"/>
    <x v="7"/>
    <x v="0"/>
    <s v="4350150"/>
    <n v="400010"/>
    <s v="Acute I/P Svcs Rev--Medicaid"/>
    <s v="Speech-Language Pathology"/>
    <x v="0"/>
    <n v="1200"/>
    <n v="0"/>
    <n v="0"/>
    <n v="-1491.77"/>
    <n v="-1074.9000000000001"/>
    <n v="0"/>
    <n v="0"/>
    <n v="-503.91"/>
    <n v="0"/>
    <n v="0"/>
    <n v="0"/>
    <n v="0"/>
    <n v="0"/>
    <n v="-3070.58"/>
    <n v="0"/>
  </r>
  <r>
    <x v="18"/>
    <x v="7"/>
    <x v="0"/>
    <s v="4350150"/>
    <n v="400010"/>
    <s v="Acute I/P Svcs Rev--Comm Insurance"/>
    <s v="Speech-Language Pathology"/>
    <x v="0"/>
    <n v="1300"/>
    <n v="0"/>
    <n v="0"/>
    <n v="-1007.88"/>
    <n v="-1430.41"/>
    <n v="0"/>
    <n v="824.13"/>
    <n v="0"/>
    <n v="0"/>
    <n v="0"/>
    <n v="0"/>
    <n v="0"/>
    <n v="0"/>
    <n v="-1614.1599999999999"/>
    <n v="0"/>
  </r>
  <r>
    <x v="18"/>
    <x v="7"/>
    <x v="0"/>
    <s v="4350150"/>
    <n v="400010"/>
    <s v="Acute I/P Svcs Rev--Self Pay"/>
    <s v="Speech-Language Pathology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7"/>
    <x v="0"/>
    <s v="4350150"/>
    <n v="400010"/>
    <s v="Acute I/P Svcs Rev--Other"/>
    <s v="Speech-Language Pathology"/>
    <x v="0"/>
    <n v="1700"/>
    <n v="0"/>
    <n v="-606.28"/>
    <n v="0"/>
    <n v="0"/>
    <n v="0"/>
    <n v="0"/>
    <n v="0"/>
    <n v="0"/>
    <n v="0"/>
    <n v="0"/>
    <n v="-606.30999999999995"/>
    <n v="0"/>
    <n v="-1212.5899999999999"/>
    <n v="-606.30999999999995"/>
  </r>
  <r>
    <x v="19"/>
    <x v="7"/>
    <x v="0"/>
    <s v="4350150"/>
    <n v="400020"/>
    <s v="O/P Care Svcs Rev--Medicare"/>
    <s v="Speech-Language Pathology"/>
    <x v="0"/>
    <n v="1100"/>
    <n v="0"/>
    <n v="0"/>
    <n v="0"/>
    <n v="-1212.6199999999999"/>
    <n v="-1212.6199999999999"/>
    <n v="-2322.85"/>
    <n v="-1110.26"/>
    <n v="-1855.31"/>
    <n v="0"/>
    <n v="-624.47"/>
    <n v="0"/>
    <n v="0"/>
    <n v="-8338.1299999999992"/>
    <n v="0"/>
  </r>
  <r>
    <x v="19"/>
    <x v="7"/>
    <x v="0"/>
    <s v="4350150"/>
    <n v="400020"/>
    <s v="O/P Care Svcs Rev--Managed Care"/>
    <s v="Speech-Language Pathology"/>
    <x v="0"/>
    <n v="1400"/>
    <n v="0"/>
    <n v="0"/>
    <n v="0"/>
    <n v="0"/>
    <n v="0"/>
    <n v="0"/>
    <n v="0"/>
    <n v="0"/>
    <n v="0"/>
    <n v="0"/>
    <n v="-624.47"/>
    <n v="0"/>
    <n v="-624.47"/>
    <n v="-624.47"/>
  </r>
  <r>
    <x v="5"/>
    <x v="7"/>
    <x v="0"/>
    <s v="4350150"/>
    <n v="700032"/>
    <s v="Salaries-Other Pat Care Providers-Productive"/>
    <s v="Speech-Language Pathology"/>
    <x v="0"/>
    <m/>
    <n v="0"/>
    <n v="0"/>
    <n v="0"/>
    <n v="0"/>
    <n v="0"/>
    <n v="0"/>
    <n v="0"/>
    <n v="0"/>
    <n v="0"/>
    <n v="0"/>
    <n v="0"/>
    <n v="191.88"/>
    <n v="191.88"/>
    <n v="-191.88"/>
  </r>
  <r>
    <x v="6"/>
    <x v="7"/>
    <x v="0"/>
    <s v="4350150"/>
    <n v="713010"/>
    <s v="Benefits-FICA/Medicare"/>
    <s v="Speech-Language Pathology"/>
    <x v="0"/>
    <m/>
    <n v="0"/>
    <n v="0"/>
    <n v="0"/>
    <n v="0"/>
    <n v="0"/>
    <n v="0"/>
    <n v="0"/>
    <n v="0"/>
    <n v="0"/>
    <n v="0"/>
    <n v="0"/>
    <n v="14.62"/>
    <n v="14.62"/>
    <n v="-14.62"/>
  </r>
  <r>
    <x v="6"/>
    <x v="7"/>
    <x v="0"/>
    <s v="4350150"/>
    <n v="713090"/>
    <s v="Benefits-Allocated Amounts"/>
    <s v="Speech-Language Pathology"/>
    <x v="0"/>
    <m/>
    <n v="0"/>
    <n v="0"/>
    <n v="0"/>
    <n v="0"/>
    <n v="0"/>
    <n v="0"/>
    <n v="0"/>
    <n v="0"/>
    <n v="0"/>
    <n v="0"/>
    <n v="0"/>
    <n v="8.3000000000000007"/>
    <n v="8.3000000000000007"/>
    <n v="-8.3000000000000007"/>
  </r>
  <r>
    <x v="7"/>
    <x v="7"/>
    <x v="0"/>
    <s v="4350150"/>
    <n v="718050"/>
    <s v="Contract Svcs-Other"/>
    <s v="Speech-Language Pathology"/>
    <x v="0"/>
    <m/>
    <n v="2044.59"/>
    <n v="17036.310000000001"/>
    <n v="-16102.29"/>
    <n v="1460.58"/>
    <n v="-1954.29"/>
    <n v="1176"/>
    <n v="-147"/>
    <n v="20520"/>
    <n v="-8483.77"/>
    <n v="1972.48"/>
    <n v="2407.89"/>
    <n v="1288.8"/>
    <n v="21219.3"/>
    <n v="1119.0899999999999"/>
  </r>
  <r>
    <x v="0"/>
    <x v="7"/>
    <x v="0"/>
    <s v="4350150"/>
    <n v="749530"/>
    <s v="Mileage"/>
    <s v="Speech-Language Pathology"/>
    <x v="0"/>
    <n v="1001"/>
    <n v="0"/>
    <n v="0"/>
    <n v="0"/>
    <n v="0"/>
    <n v="0"/>
    <n v="0"/>
    <n v="0"/>
    <n v="0"/>
    <n v="0"/>
    <n v="0"/>
    <n v="0"/>
    <n v="33.64"/>
    <n v="33.64"/>
    <n v="-33.64"/>
  </r>
  <r>
    <x v="18"/>
    <x v="10"/>
    <x v="0"/>
    <s v="4350306"/>
    <n v="400010"/>
    <s v="Acute I/P Svcs Rev--Medicare"/>
    <s v="Speech Therapy"/>
    <x v="0"/>
    <n v="1100"/>
    <n v="-88249.15"/>
    <n v="-72135.710000000006"/>
    <n v="-45286.31"/>
    <n v="-77670.58"/>
    <n v="-81000.240000000005"/>
    <n v="-63458.21"/>
    <n v="-107748.93"/>
    <n v="-77776.960000000006"/>
    <n v="-58058.51"/>
    <n v="-49147.53"/>
    <n v="-79643.23"/>
    <n v="-48954.48"/>
    <n v="-849129.84"/>
    <n v="-30688.749999999993"/>
  </r>
  <r>
    <x v="18"/>
    <x v="10"/>
    <x v="0"/>
    <s v="4350306"/>
    <n v="400010"/>
    <s v="Acute I/P Svcs Rev--Medicaid"/>
    <s v="Speech Therapy"/>
    <x v="0"/>
    <n v="1200"/>
    <n v="-21707.8"/>
    <n v="-13296.9"/>
    <n v="0"/>
    <n v="-7149.77"/>
    <n v="4060.78"/>
    <n v="-10587.89"/>
    <n v="-14059.77"/>
    <n v="-1346.21"/>
    <n v="-7033.07"/>
    <n v="-14723.59"/>
    <n v="-9480.4699999999993"/>
    <n v="0"/>
    <n v="-95324.69"/>
    <n v="-9480.4699999999993"/>
  </r>
  <r>
    <x v="18"/>
    <x v="10"/>
    <x v="0"/>
    <s v="4350306"/>
    <n v="400010"/>
    <s v="Acute I/P Svcs Rev--Comm Insurance"/>
    <s v="Speech Therapy"/>
    <x v="0"/>
    <n v="1300"/>
    <n v="0"/>
    <n v="0"/>
    <n v="0"/>
    <n v="0"/>
    <n v="0"/>
    <n v="0"/>
    <n v="0"/>
    <n v="-8122.49"/>
    <n v="0"/>
    <n v="0"/>
    <n v="0"/>
    <n v="0"/>
    <n v="-8122.49"/>
    <n v="0"/>
  </r>
  <r>
    <x v="18"/>
    <x v="10"/>
    <x v="0"/>
    <s v="4350306"/>
    <n v="400010"/>
    <s v="Acute I/P Svcs Rev--BCBS Comm"/>
    <s v="Speech Therapy"/>
    <x v="0"/>
    <n v="1301"/>
    <n v="-1110.19"/>
    <n v="0"/>
    <n v="0"/>
    <n v="0"/>
    <n v="-7512.53"/>
    <n v="0"/>
    <n v="-8641.06"/>
    <n v="-15606.06"/>
    <n v="-4283.8999999999996"/>
    <n v="-14227.9"/>
    <n v="-6895.57"/>
    <n v="-7788.65"/>
    <n v="-66065.86"/>
    <n v="893.07999999999993"/>
  </r>
  <r>
    <x v="18"/>
    <x v="10"/>
    <x v="0"/>
    <s v="4350306"/>
    <n v="400010"/>
    <s v="Acute I/P Svcs Rev--Managed Care"/>
    <s v="Speech Therapy"/>
    <x v="0"/>
    <n v="1400"/>
    <n v="11453.08"/>
    <n v="-10337.23"/>
    <n v="-29072.58"/>
    <n v="-15151.55"/>
    <n v="-1110.21"/>
    <n v="0"/>
    <n v="0"/>
    <n v="-12539.05"/>
    <n v="-23294.720000000001"/>
    <n v="-21886.82"/>
    <n v="-24721.89"/>
    <n v="-22545.85"/>
    <n v="-149206.81999999998"/>
    <n v="-2176.0400000000009"/>
  </r>
  <r>
    <x v="18"/>
    <x v="10"/>
    <x v="0"/>
    <s v="4350306"/>
    <n v="400010"/>
    <s v="Acute I/P Svcs Rev--Self Pay"/>
    <s v="Speech Therapy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4350306"/>
    <n v="400010"/>
    <s v="Acute I/P Svcs Rev--Other"/>
    <s v="Speech Therapy"/>
    <x v="0"/>
    <n v="1700"/>
    <n v="0"/>
    <n v="0"/>
    <n v="0"/>
    <n v="0"/>
    <n v="0"/>
    <n v="0"/>
    <n v="-7612.6"/>
    <n v="-7804.45"/>
    <n v="0"/>
    <n v="0"/>
    <n v="0"/>
    <n v="0"/>
    <n v="-15417.05"/>
    <n v="0"/>
  </r>
  <r>
    <x v="7"/>
    <x v="10"/>
    <x v="0"/>
    <s v="4350306"/>
    <n v="718050"/>
    <s v="Miscellaneous Purchased Svcs"/>
    <s v="Speech Therapy"/>
    <x v="0"/>
    <n v="1020"/>
    <n v="2291.12"/>
    <n v="2202.6999999999998"/>
    <n v="1710.25"/>
    <n v="2299.35"/>
    <n v="1967.93"/>
    <n v="1703.06"/>
    <n v="3175.43"/>
    <n v="2833.49"/>
    <n v="2131.41"/>
    <n v="2299.67"/>
    <n v="2777.04"/>
    <n v="1823.64"/>
    <n v="27215.090000000004"/>
    <n v="953.39999999999986"/>
  </r>
  <r>
    <x v="18"/>
    <x v="6"/>
    <x v="0"/>
    <s v="4351107"/>
    <n v="400010"/>
    <s v="Acute I/P Svcs Rev--Medicaid"/>
    <s v="Ped Speech Therapy-Silverdale"/>
    <x v="0"/>
    <n v="1200"/>
    <n v="0"/>
    <n v="0"/>
    <n v="0"/>
    <n v="0"/>
    <n v="0"/>
    <n v="0"/>
    <n v="-606.28"/>
    <n v="-4244.1000000000004"/>
    <n v="-1048.8800000000001"/>
    <n v="-848.82"/>
    <n v="0"/>
    <n v="0"/>
    <n v="-6748.08"/>
    <n v="0"/>
  </r>
  <r>
    <x v="18"/>
    <x v="6"/>
    <x v="0"/>
    <s v="4351107"/>
    <n v="400010"/>
    <s v="Acute I/P Svcs Rev--Other"/>
    <s v="Ped Speech Therapy-Silverdale"/>
    <x v="0"/>
    <n v="1700"/>
    <n v="0"/>
    <n v="0"/>
    <n v="0"/>
    <n v="0"/>
    <n v="0"/>
    <n v="0"/>
    <n v="-1842.43"/>
    <n v="0"/>
    <n v="0"/>
    <n v="0"/>
    <n v="0"/>
    <n v="0"/>
    <n v="-1842.43"/>
    <n v="0"/>
  </r>
  <r>
    <x v="19"/>
    <x v="6"/>
    <x v="0"/>
    <s v="4351107"/>
    <n v="400020"/>
    <s v="O/P Care Svcs Rev--Medicare"/>
    <s v="Ped Speech Therapy-Silverdale"/>
    <x v="0"/>
    <n v="1100"/>
    <n v="0"/>
    <n v="0"/>
    <n v="0"/>
    <n v="0"/>
    <n v="-438.18"/>
    <n v="-1556.48"/>
    <n v="-1556.48"/>
    <n v="-400.79"/>
    <n v="-1202.3699999999999"/>
    <n v="-2003.95"/>
    <n v="-1202.3699999999999"/>
    <n v="0"/>
    <n v="-8360.619999999999"/>
    <n v="-1202.3699999999999"/>
  </r>
  <r>
    <x v="19"/>
    <x v="6"/>
    <x v="0"/>
    <s v="4351107"/>
    <n v="400020"/>
    <s v="O/P Care Svcs Rev--Medicaid"/>
    <s v="Ped Speech Therapy-Silverdale"/>
    <x v="0"/>
    <n v="1200"/>
    <n v="-58048.17"/>
    <n v="-77416.33"/>
    <n v="-67089.539999999994"/>
    <n v="-74775.820000000007"/>
    <n v="-64016.32"/>
    <n v="-61448.88"/>
    <n v="-62514.67"/>
    <n v="-39844.82"/>
    <n v="-60144.26"/>
    <n v="-84507.77"/>
    <n v="-77791.97"/>
    <n v="-65226.47"/>
    <n v="-792825.0199999999"/>
    <n v="-12565.5"/>
  </r>
  <r>
    <x v="19"/>
    <x v="6"/>
    <x v="0"/>
    <s v="4351107"/>
    <n v="400020"/>
    <s v="O/P Care Svcs Rev--Comm Insurance"/>
    <s v="Ped Speech Therapy-Silverdale"/>
    <x v="0"/>
    <n v="1300"/>
    <n v="-1945.6"/>
    <n v="-3609.33"/>
    <n v="-3458.68"/>
    <n v="-4157.04"/>
    <n v="-3440.44"/>
    <n v="-1494.84"/>
    <n v="-358.3"/>
    <n v="0"/>
    <n v="-451.33"/>
    <n v="-3307.4"/>
    <n v="-4007.9"/>
    <n v="-3607.11"/>
    <n v="-29837.970000000005"/>
    <n v="-400.78999999999996"/>
  </r>
  <r>
    <x v="19"/>
    <x v="6"/>
    <x v="0"/>
    <s v="4351107"/>
    <n v="400020"/>
    <s v="O/P Care Svcs Rev--BCBS Comm"/>
    <s v="Ped Speech Therapy-Silverdale"/>
    <x v="0"/>
    <n v="1301"/>
    <n v="-12721.07"/>
    <n v="-14068.7"/>
    <n v="-15850.9"/>
    <n v="-17578.740000000002"/>
    <n v="-15694.78"/>
    <n v="-14404.14"/>
    <n v="-11723.7"/>
    <n v="-10280.64"/>
    <n v="-13419.94"/>
    <n v="-12047.14"/>
    <n v="-13753.71"/>
    <n v="-13079.09"/>
    <n v="-164622.54999999999"/>
    <n v="-674.61999999999898"/>
  </r>
  <r>
    <x v="19"/>
    <x v="6"/>
    <x v="0"/>
    <s v="4351107"/>
    <n v="400020"/>
    <s v="O/P Care Svcs Rev--Managed Care"/>
    <s v="Ped Speech Therapy-Silverdale"/>
    <x v="0"/>
    <n v="1400"/>
    <n v="-18407.080000000002"/>
    <n v="-24125.22"/>
    <n v="-15553.26"/>
    <n v="-20568.419999999998"/>
    <n v="-12254.34"/>
    <n v="-16300.68"/>
    <n v="-12440.3"/>
    <n v="-9794.2999999999993"/>
    <n v="-12494.94"/>
    <n v="-21032.68"/>
    <n v="-15682.46"/>
    <n v="-14768.07"/>
    <n v="-193421.75"/>
    <n v="-914.38999999999942"/>
  </r>
  <r>
    <x v="19"/>
    <x v="6"/>
    <x v="0"/>
    <s v="4351107"/>
    <n v="400020"/>
    <s v="O/P Care Svcs Rev--Self Pay"/>
    <s v="Ped Speech Therapy-Silverdale"/>
    <x v="0"/>
    <n v="1500"/>
    <n v="0"/>
    <n v="0"/>
    <n v="-527.19000000000005"/>
    <n v="0"/>
    <n v="0"/>
    <n v="0"/>
    <n v="0"/>
    <n v="0"/>
    <n v="0"/>
    <n v="0"/>
    <n v="0"/>
    <n v="0"/>
    <n v="-527.19000000000005"/>
    <n v="0"/>
  </r>
  <r>
    <x v="19"/>
    <x v="6"/>
    <x v="0"/>
    <s v="4351107"/>
    <n v="400020"/>
    <s v="O/P Care Svcs Rev--Other"/>
    <s v="Ped Speech Therapy-Silverdale"/>
    <x v="0"/>
    <n v="1700"/>
    <n v="-18595.43"/>
    <n v="-26559.200000000001"/>
    <n v="-22406.7"/>
    <n v="-27004.2"/>
    <n v="-19073.580000000002"/>
    <n v="-16797.05"/>
    <n v="-16955.64"/>
    <n v="-14167.44"/>
    <n v="-13372.94"/>
    <n v="-21396.92"/>
    <n v="-24155.45"/>
    <n v="-18375.18"/>
    <n v="-238859.72999999998"/>
    <n v="-5780.27"/>
  </r>
  <r>
    <x v="20"/>
    <x v="6"/>
    <x v="0"/>
    <s v="4351107"/>
    <n v="610010"/>
    <s v="Foundation Distributions"/>
    <s v="Ped Speech Therapy-Silverdale"/>
    <x v="0"/>
    <n v="1175"/>
    <n v="0"/>
    <n v="0"/>
    <n v="0"/>
    <n v="0"/>
    <n v="0"/>
    <n v="0"/>
    <n v="-2083.4299999999998"/>
    <n v="0"/>
    <n v="0"/>
    <n v="0"/>
    <n v="0"/>
    <n v="0"/>
    <n v="-2083.4299999999998"/>
    <n v="0"/>
  </r>
  <r>
    <x v="5"/>
    <x v="6"/>
    <x v="0"/>
    <s v="4351107"/>
    <n v="700032"/>
    <s v="Salaries-Other Pat Care Providers-Productive"/>
    <s v="Ped Speech Therapy-Silverdale"/>
    <x v="0"/>
    <m/>
    <n v="13184.29"/>
    <n v="16771.98"/>
    <n v="16041.95"/>
    <n v="15909.01"/>
    <n v="12179.4"/>
    <n v="15992.06"/>
    <n v="11472.9"/>
    <n v="9594.7900000000009"/>
    <n v="14653.99"/>
    <n v="16364.9"/>
    <n v="17861.990000000002"/>
    <n v="14275.34"/>
    <n v="174302.6"/>
    <n v="3586.6500000000015"/>
  </r>
  <r>
    <x v="5"/>
    <x v="6"/>
    <x v="0"/>
    <s v="4351107"/>
    <n v="700032"/>
    <s v="Salaries-Other Pat Care Providers-OT"/>
    <s v="Ped Speech Therapy-Silverdale"/>
    <x v="0"/>
    <n v="1000"/>
    <n v="219.97"/>
    <n v="414.83"/>
    <n v="45.12"/>
    <n v="265.60000000000002"/>
    <n v="319.70999999999998"/>
    <n v="199.45"/>
    <n v="307.32"/>
    <n v="23"/>
    <n v="564.30999999999995"/>
    <n v="832.94"/>
    <n v="66.819999999999993"/>
    <n v="142.47999999999999"/>
    <n v="3401.55"/>
    <n v="-75.66"/>
  </r>
  <r>
    <x v="5"/>
    <x v="6"/>
    <x v="0"/>
    <s v="4351107"/>
    <n v="700032"/>
    <s v="Salaries-Other Pat Care Providers-Other"/>
    <s v="Ped Speech Therapy-Silverdale"/>
    <x v="0"/>
    <n v="2000"/>
    <n v="0"/>
    <n v="24.9"/>
    <n v="0"/>
    <n v="0"/>
    <n v="0"/>
    <n v="0"/>
    <n v="14.02"/>
    <n v="7.81"/>
    <n v="0"/>
    <n v="31.18"/>
    <n v="0"/>
    <n v="0"/>
    <n v="77.91"/>
    <n v="0"/>
  </r>
  <r>
    <x v="5"/>
    <x v="6"/>
    <x v="0"/>
    <s v="4351107"/>
    <n v="700072"/>
    <s v="Salaries-Other Pat Care Providers-Non-productive"/>
    <s v="Ped Speech Therapy-Silverdale"/>
    <x v="0"/>
    <m/>
    <n v="3141.7"/>
    <n v="1576.81"/>
    <n v="2000.09"/>
    <n v="1027.02"/>
    <n v="7330.01"/>
    <n v="451.87"/>
    <n v="3687.12"/>
    <n v="1085.72"/>
    <n v="512.62"/>
    <n v="2737.43"/>
    <n v="1129.78"/>
    <n v="3759.95"/>
    <n v="28440.120000000003"/>
    <n v="-2630.17"/>
  </r>
  <r>
    <x v="5"/>
    <x v="6"/>
    <x v="0"/>
    <s v="4351107"/>
    <n v="700072"/>
    <s v="Salaries-Other Pat Care Providers-NonProd-Other"/>
    <s v="Ped Speech Therapy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51107"/>
    <n v="700084"/>
    <s v="Accrued PTO"/>
    <s v="Ped Speech Therapy-Silverdale"/>
    <x v="0"/>
    <m/>
    <n v="-399.54"/>
    <n v="441.47"/>
    <n v="167.46"/>
    <n v="1001.67"/>
    <n v="-2025.09"/>
    <n v="-417.92"/>
    <n v="-1325.97"/>
    <n v="681.2"/>
    <n v="1334.6"/>
    <n v="441.72"/>
    <n v="1086.92"/>
    <n v="-682.59"/>
    <n v="303.92999999999995"/>
    <n v="1769.5100000000002"/>
  </r>
  <r>
    <x v="6"/>
    <x v="6"/>
    <x v="0"/>
    <s v="4351107"/>
    <n v="713010"/>
    <s v="Benefits-FICA/Medicare"/>
    <s v="Ped Speech Therapy-Silverdale"/>
    <x v="0"/>
    <m/>
    <n v="1262.1099999999999"/>
    <n v="1433.41"/>
    <n v="1380.3"/>
    <n v="1312.2"/>
    <n v="1513.05"/>
    <n v="1271.55"/>
    <n v="1182.47"/>
    <n v="818.23"/>
    <n v="1201.67"/>
    <n v="1525.17"/>
    <n v="1455.87"/>
    <n v="1388.54"/>
    <n v="15744.57"/>
    <n v="67.329999999999927"/>
  </r>
  <r>
    <x v="6"/>
    <x v="6"/>
    <x v="0"/>
    <s v="4351107"/>
    <n v="713090"/>
    <s v="Benefits-Allocated Amounts"/>
    <s v="Ped Speech Therapy-Silverdale"/>
    <x v="0"/>
    <m/>
    <n v="2609.7199999999998"/>
    <n v="2668.96"/>
    <n v="2877.37"/>
    <n v="2647.06"/>
    <n v="3436.64"/>
    <n v="2641.7"/>
    <n v="2391.56"/>
    <n v="1867.5"/>
    <n v="2105.2600000000002"/>
    <n v="3388.16"/>
    <n v="3079.81"/>
    <n v="3243.59"/>
    <n v="32957.33"/>
    <n v="-163.7800000000002"/>
  </r>
  <r>
    <x v="7"/>
    <x v="6"/>
    <x v="0"/>
    <s v="4351107"/>
    <n v="718060"/>
    <s v="Contract Services-CHI RRC Fees"/>
    <s v="Ped Speech Therapy-Silverdale"/>
    <x v="0"/>
    <m/>
    <n v="1962"/>
    <n v="1962"/>
    <n v="1962"/>
    <n v="1962"/>
    <n v="1962"/>
    <n v="1962"/>
    <n v="1962"/>
    <n v="1962"/>
    <n v="1962"/>
    <n v="1962"/>
    <n v="1962"/>
    <n v="1962"/>
    <n v="23544"/>
    <n v="0"/>
  </r>
  <r>
    <x v="11"/>
    <x v="6"/>
    <x v="0"/>
    <s v="4351107"/>
    <n v="721810"/>
    <s v="Supplies-Dietary/Cafeteria"/>
    <s v="Ped Speech Therapy-Silverdale"/>
    <x v="0"/>
    <m/>
    <n v="2.16"/>
    <n v="0"/>
    <n v="0"/>
    <n v="0"/>
    <n v="0"/>
    <n v="0"/>
    <n v="19.760000000000002"/>
    <n v="14.24"/>
    <n v="26.22"/>
    <n v="18.47"/>
    <n v="17.760000000000002"/>
    <n v="9.42"/>
    <n v="108.03"/>
    <n v="8.3400000000000016"/>
  </r>
  <r>
    <x v="11"/>
    <x v="6"/>
    <x v="0"/>
    <s v="4351107"/>
    <n v="721830"/>
    <s v="Supplies-Office"/>
    <s v="Ped Speech Therapy-Silverdale"/>
    <x v="0"/>
    <m/>
    <n v="0"/>
    <n v="0"/>
    <n v="7.22"/>
    <n v="0"/>
    <n v="0"/>
    <n v="118"/>
    <n v="0"/>
    <n v="0"/>
    <n v="10.48"/>
    <n v="0"/>
    <n v="0"/>
    <n v="0"/>
    <n v="135.69999999999999"/>
    <n v="0"/>
  </r>
  <r>
    <x v="11"/>
    <x v="6"/>
    <x v="0"/>
    <s v="4351107"/>
    <n v="721910"/>
    <s v="Supplies-Small Equipment"/>
    <s v="Ped Speech Therapy-Silverdale"/>
    <x v="0"/>
    <m/>
    <n v="0"/>
    <n v="0"/>
    <n v="0"/>
    <n v="0"/>
    <n v="0"/>
    <n v="379.99"/>
    <n v="0"/>
    <n v="0"/>
    <n v="0"/>
    <n v="0"/>
    <n v="0"/>
    <n v="0"/>
    <n v="379.99"/>
    <n v="0"/>
  </r>
  <r>
    <x v="11"/>
    <x v="6"/>
    <x v="0"/>
    <s v="4351107"/>
    <n v="721980"/>
    <s v="Supplies-Other"/>
    <s v="Ped Speech Therapy-Silverdale"/>
    <x v="0"/>
    <m/>
    <n v="58.31"/>
    <n v="223.65"/>
    <n v="182.81"/>
    <n v="186.07"/>
    <n v="0"/>
    <n v="1413.03"/>
    <n v="371.93"/>
    <n v="158.31"/>
    <n v="250.28"/>
    <n v="78.489999999999995"/>
    <n v="163.06"/>
    <n v="223.15"/>
    <n v="3309.0899999999997"/>
    <n v="-60.09"/>
  </r>
  <r>
    <x v="11"/>
    <x v="6"/>
    <x v="0"/>
    <s v="4351107"/>
    <n v="722000"/>
    <s v="Supplies-Freight Expense"/>
    <s v="Ped Speech Therapy-Silverdale"/>
    <x v="0"/>
    <m/>
    <n v="0"/>
    <n v="0"/>
    <n v="0"/>
    <n v="0"/>
    <n v="0"/>
    <n v="0"/>
    <n v="12.38"/>
    <n v="0"/>
    <n v="0"/>
    <n v="0"/>
    <n v="0"/>
    <n v="0"/>
    <n v="12.38"/>
    <n v="0"/>
  </r>
  <r>
    <x v="12"/>
    <x v="6"/>
    <x v="0"/>
    <s v="4351107"/>
    <n v="730010"/>
    <s v="Rental and Leases-Building (DO NOT USE)"/>
    <s v="Ped Speech Therapy-Silverdale"/>
    <x v="0"/>
    <m/>
    <n v="2576.7399999999998"/>
    <n v="2576.7399999999998"/>
    <n v="2576.7399999999998"/>
    <n v="2576.7399999999998"/>
    <n v="2576.7399999999998"/>
    <n v="-1736.41"/>
    <n v="1949.24"/>
    <n v="1949.24"/>
    <n v="1949.24"/>
    <n v="1948.79"/>
    <n v="1948.79"/>
    <n v="0"/>
    <n v="20892.59"/>
    <n v="1948.79"/>
  </r>
  <r>
    <x v="12"/>
    <x v="6"/>
    <x v="0"/>
    <s v="4351107"/>
    <n v="730010"/>
    <s v="Rental-Common Area Maint (DO NOT USE)"/>
    <s v="Ped Speech Therapy-Silverdale"/>
    <x v="0"/>
    <n v="2200"/>
    <n v="0"/>
    <n v="0"/>
    <n v="0"/>
    <n v="0"/>
    <n v="0"/>
    <n v="4380.63"/>
    <n v="694.98"/>
    <n v="694.98"/>
    <n v="694.98"/>
    <n v="646.24"/>
    <n v="646.24"/>
    <n v="0"/>
    <n v="7758.0499999999993"/>
    <n v="646.24"/>
  </r>
  <r>
    <x v="12"/>
    <x v="6"/>
    <x v="0"/>
    <s v="4351107"/>
    <n v="730040"/>
    <s v="LT Lease-Real Estate"/>
    <s v="Ped Speech Therapy-Silverdale"/>
    <x v="0"/>
    <m/>
    <n v="0"/>
    <n v="0"/>
    <n v="0"/>
    <n v="0"/>
    <n v="0"/>
    <n v="0"/>
    <n v="0"/>
    <n v="0"/>
    <n v="0"/>
    <n v="0"/>
    <n v="0"/>
    <n v="2519.89"/>
    <n v="2519.89"/>
    <n v="-2519.89"/>
  </r>
  <r>
    <x v="16"/>
    <x v="6"/>
    <x v="0"/>
    <s v="4351107"/>
    <n v="732030"/>
    <s v="Repairs&amp;Maintenance-Bldg Routine"/>
    <s v="Ped Speech Therapy-Silverdale"/>
    <x v="0"/>
    <n v="2300"/>
    <n v="0"/>
    <n v="0"/>
    <n v="0"/>
    <n v="0"/>
    <n v="0"/>
    <n v="0"/>
    <n v="0"/>
    <n v="0"/>
    <n v="0"/>
    <n v="0"/>
    <n v="0"/>
    <n v="75.14"/>
    <n v="75.14"/>
    <n v="-75.14"/>
  </r>
  <r>
    <x v="0"/>
    <x v="6"/>
    <x v="0"/>
    <s v="4351107"/>
    <n v="740020"/>
    <s v="Education-Registration Fees"/>
    <s v="Ped Speech Therapy-Silverdale"/>
    <x v="0"/>
    <m/>
    <n v="0"/>
    <n v="0"/>
    <n v="0"/>
    <n v="0"/>
    <n v="0"/>
    <n v="435"/>
    <n v="435"/>
    <n v="674"/>
    <n v="299"/>
    <n v="0"/>
    <n v="0"/>
    <n v="152"/>
    <n v="1995"/>
    <n v="-152"/>
  </r>
  <r>
    <x v="0"/>
    <x v="6"/>
    <x v="0"/>
    <s v="4351107"/>
    <n v="740030"/>
    <s v="Education-Travel"/>
    <s v="Ped Speech Therapy-Silverdale"/>
    <x v="0"/>
    <m/>
    <n v="0"/>
    <n v="0"/>
    <n v="0"/>
    <n v="0"/>
    <n v="0"/>
    <n v="0"/>
    <n v="0"/>
    <n v="110.79"/>
    <n v="0"/>
    <n v="0"/>
    <n v="0"/>
    <n v="0"/>
    <n v="110.79"/>
    <n v="0"/>
  </r>
  <r>
    <x v="0"/>
    <x v="6"/>
    <x v="0"/>
    <s v="4351107"/>
    <n v="749510"/>
    <s v="Miscellaneous Expenses"/>
    <s v="Ped Speech Therapy-Silverdale"/>
    <x v="0"/>
    <m/>
    <n v="0"/>
    <n v="0"/>
    <n v="0"/>
    <n v="0"/>
    <n v="0"/>
    <n v="0"/>
    <n v="110.79"/>
    <n v="-110.79"/>
    <n v="0"/>
    <n v="0"/>
    <n v="0"/>
    <n v="0"/>
    <n v="0"/>
    <n v="0"/>
  </r>
  <r>
    <x v="0"/>
    <x v="6"/>
    <x v="0"/>
    <s v="4351107"/>
    <n v="749510"/>
    <s v="RICE Rewards"/>
    <s v="Ped Speech Therapy-Silverdale"/>
    <x v="0"/>
    <n v="5100"/>
    <n v="0"/>
    <n v="0"/>
    <n v="0"/>
    <n v="0"/>
    <n v="0"/>
    <n v="0"/>
    <n v="0"/>
    <n v="0"/>
    <n v="0"/>
    <n v="0"/>
    <n v="0"/>
    <n v="87.09"/>
    <n v="87.09"/>
    <n v="-87.09"/>
  </r>
  <r>
    <x v="18"/>
    <x v="6"/>
    <x v="0"/>
    <s v="4352107"/>
    <n v="400010"/>
    <s v="Acute I/P Svcs Rev--Medicare"/>
    <s v="Speech Therapy-Silverdale"/>
    <x v="0"/>
    <n v="1100"/>
    <n v="0"/>
    <n v="0"/>
    <n v="0"/>
    <n v="0"/>
    <n v="0"/>
    <n v="0"/>
    <n v="0"/>
    <n v="-1085.3699999999999"/>
    <n v="0"/>
    <n v="0"/>
    <n v="-624.47"/>
    <n v="-1048.8800000000001"/>
    <n v="-2758.7200000000003"/>
    <n v="424.41000000000008"/>
  </r>
  <r>
    <x v="18"/>
    <x v="6"/>
    <x v="0"/>
    <s v="4352107"/>
    <n v="400010"/>
    <s v="Acute I/P Svcs Rev--Medicaid"/>
    <s v="Speech Therapy-Silverdale"/>
    <x v="0"/>
    <n v="1200"/>
    <n v="0"/>
    <n v="0"/>
    <n v="0"/>
    <n v="0"/>
    <n v="0"/>
    <n v="0"/>
    <n v="0"/>
    <n v="0"/>
    <n v="0"/>
    <n v="0"/>
    <n v="0"/>
    <n v="-3689.96"/>
    <n v="-3689.96"/>
    <n v="3689.96"/>
  </r>
  <r>
    <x v="18"/>
    <x v="6"/>
    <x v="0"/>
    <s v="4352107"/>
    <n v="400010"/>
    <s v="Acute I/P Svcs Rev--Other"/>
    <s v="Speech Therapy-Silverdale"/>
    <x v="0"/>
    <n v="1700"/>
    <n v="0"/>
    <n v="0"/>
    <n v="0"/>
    <n v="0"/>
    <n v="0"/>
    <n v="0"/>
    <n v="0"/>
    <n v="0"/>
    <n v="0"/>
    <n v="0"/>
    <n v="0"/>
    <n v="0"/>
    <n v="0"/>
    <n v="0"/>
  </r>
  <r>
    <x v="19"/>
    <x v="6"/>
    <x v="0"/>
    <s v="4352107"/>
    <n v="400020"/>
    <s v="O/P Care Svcs Rev--Medicare"/>
    <s v="Speech Therapy-Silverdale"/>
    <x v="0"/>
    <n v="1100"/>
    <n v="-14664.94"/>
    <n v="-27353.75"/>
    <n v="-6462.16"/>
    <n v="-20077.11"/>
    <n v="-19477.87"/>
    <n v="-12844.64"/>
    <n v="-23524.240000000002"/>
    <n v="-19078"/>
    <n v="-21548.54"/>
    <n v="-16682.95"/>
    <n v="-12789.99"/>
    <n v="-17012.990000000002"/>
    <n v="-211517.18000000002"/>
    <n v="4223.0000000000018"/>
  </r>
  <r>
    <x v="19"/>
    <x v="6"/>
    <x v="0"/>
    <s v="4352107"/>
    <n v="400020"/>
    <s v="O/P Care Svcs Rev--Medicaid"/>
    <s v="Speech Therapy-Silverdale"/>
    <x v="0"/>
    <n v="1200"/>
    <n v="-2432.84"/>
    <n v="-7831.46"/>
    <n v="-3551.14"/>
    <n v="-5496.74"/>
    <n v="-6274.98"/>
    <n v="-6753.11"/>
    <n v="-8953.16"/>
    <n v="-3657.65"/>
    <n v="-8659.89"/>
    <n v="-6554.86"/>
    <n v="-3048.83"/>
    <n v="-3657.65"/>
    <n v="-66872.31"/>
    <n v="608.82000000000016"/>
  </r>
  <r>
    <x v="19"/>
    <x v="6"/>
    <x v="0"/>
    <s v="4352107"/>
    <n v="400020"/>
    <s v="O/P Care Svcs Rev--Comm Insurance"/>
    <s v="Speech Therapy-Silverdale"/>
    <x v="0"/>
    <n v="1300"/>
    <n v="-808.77"/>
    <n v="0"/>
    <n v="0"/>
    <n v="0"/>
    <n v="0"/>
    <n v="-590.91"/>
    <n v="438.18"/>
    <n v="0"/>
    <n v="0"/>
    <n v="0"/>
    <n v="0"/>
    <n v="-1704.24"/>
    <n v="-2665.74"/>
    <n v="1704.24"/>
  </r>
  <r>
    <x v="19"/>
    <x v="6"/>
    <x v="0"/>
    <s v="4352107"/>
    <n v="400020"/>
    <s v="O/P Care Svcs Rev--BCBS Comm"/>
    <s v="Speech Therapy-Silverdale"/>
    <x v="0"/>
    <n v="1301"/>
    <n v="-389.12"/>
    <n v="-2871.02"/>
    <n v="0"/>
    <n v="0"/>
    <n v="-876.36"/>
    <n v="-867.25"/>
    <n v="340.06"/>
    <n v="-902.66"/>
    <n v="-2003.95"/>
    <n v="-2856.07"/>
    <n v="-2003.95"/>
    <n v="-2404.7399999999998"/>
    <n v="-14835.06"/>
    <n v="400.78999999999974"/>
  </r>
  <r>
    <x v="19"/>
    <x v="6"/>
    <x v="0"/>
    <s v="4352107"/>
    <n v="400020"/>
    <s v="O/P Care Svcs Rev--Managed Care"/>
    <s v="Speech Therapy-Silverdale"/>
    <x v="0"/>
    <n v="1400"/>
    <n v="0"/>
    <n v="-876.36"/>
    <n v="-1216.42"/>
    <n v="-1265.48"/>
    <n v="-5156.68"/>
    <n v="-2334.7199999999998"/>
    <n v="-4669.4399999999996"/>
    <n v="-1653.7"/>
    <n v="-2404.7399999999998"/>
    <n v="-1202.3699999999999"/>
    <n v="-3657.65"/>
    <n v="-7570.35"/>
    <n v="-32007.910000000003"/>
    <n v="3912.7000000000003"/>
  </r>
  <r>
    <x v="19"/>
    <x v="6"/>
    <x v="0"/>
    <s v="4352107"/>
    <n v="400020"/>
    <s v="O/P Care Svcs Rev--Other"/>
    <s v="Speech Therapy-Silverdale"/>
    <x v="0"/>
    <n v="1700"/>
    <n v="-2556.84"/>
    <n v="-2083.67"/>
    <n v="-389.12"/>
    <n v="-1265.52"/>
    <n v="-3989.34"/>
    <n v="-5156.7"/>
    <n v="-4669.4399999999996"/>
    <n v="-2114.4299999999998"/>
    <n v="-5403.03"/>
    <n v="-4443.68"/>
    <n v="-4961.1000000000004"/>
    <n v="-4459.2299999999996"/>
    <n v="-41492.099999999991"/>
    <n v="-501.8700000000008"/>
  </r>
  <r>
    <x v="5"/>
    <x v="6"/>
    <x v="0"/>
    <s v="4352107"/>
    <n v="700032"/>
    <s v="Salaries-Other Pat Care Providers-Productive"/>
    <s v="Speech Therapy-Silverdale"/>
    <x v="0"/>
    <m/>
    <n v="3406.85"/>
    <n v="7153.89"/>
    <n v="682.19"/>
    <n v="6960.75"/>
    <n v="6760.19"/>
    <n v="4427.84"/>
    <n v="5767.11"/>
    <n v="4331.32"/>
    <n v="6540.54"/>
    <n v="5096.1899999999996"/>
    <n v="4399.25"/>
    <n v="6953.99"/>
    <n v="62480.11"/>
    <n v="-2554.7399999999998"/>
  </r>
  <r>
    <x v="5"/>
    <x v="6"/>
    <x v="0"/>
    <s v="4352107"/>
    <n v="700032"/>
    <s v="Salaries-Other Pat Care Providers-OT"/>
    <s v="Speech Therapy-Silverdale"/>
    <x v="0"/>
    <n v="1000"/>
    <n v="0"/>
    <n v="0"/>
    <n v="0"/>
    <n v="0"/>
    <n v="0"/>
    <n v="0"/>
    <n v="0"/>
    <n v="61.86"/>
    <n v="-16.27"/>
    <n v="0"/>
    <n v="0"/>
    <n v="0"/>
    <n v="45.59"/>
    <n v="0"/>
  </r>
  <r>
    <x v="5"/>
    <x v="6"/>
    <x v="0"/>
    <s v="4352107"/>
    <n v="700032"/>
    <s v="Salaries-Other Pat Care Providers-Other"/>
    <s v="Speech Therapy-Silverdale"/>
    <x v="0"/>
    <n v="2000"/>
    <n v="0"/>
    <n v="4.62"/>
    <n v="-1.38"/>
    <n v="0"/>
    <n v="0"/>
    <n v="0"/>
    <n v="0"/>
    <n v="11.27"/>
    <n v="-2.96"/>
    <n v="0"/>
    <n v="0"/>
    <n v="0"/>
    <n v="11.55"/>
    <n v="0"/>
  </r>
  <r>
    <x v="5"/>
    <x v="6"/>
    <x v="0"/>
    <s v="4352107"/>
    <n v="700072"/>
    <s v="Salaries-Other Pat Care Providers-Non-productive"/>
    <s v="Speech Therapy-Silverdale"/>
    <x v="0"/>
    <m/>
    <n v="3325.44"/>
    <n v="233.82"/>
    <n v="7298.4"/>
    <n v="-550.1"/>
    <n v="-71.44"/>
    <n v="1193.21"/>
    <n v="821.46"/>
    <n v="991.43"/>
    <n v="560.32000000000005"/>
    <n v="1707.75"/>
    <n v="2650.46"/>
    <n v="-249.93"/>
    <n v="17910.819999999996"/>
    <n v="2900.39"/>
  </r>
  <r>
    <x v="5"/>
    <x v="6"/>
    <x v="0"/>
    <s v="4352107"/>
    <n v="700072"/>
    <s v="Salaries-Other Pat Care Providers-NonProd-Other"/>
    <s v="Speech Therapy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52107"/>
    <n v="700084"/>
    <s v="Accrued PTO"/>
    <s v="Speech Therapy-Silverdale"/>
    <x v="0"/>
    <m/>
    <n v="-3197.1"/>
    <n v="533.11"/>
    <n v="-4028.98"/>
    <n v="959.19"/>
    <n v="942.55"/>
    <n v="-197.45"/>
    <n v="127.82"/>
    <n v="296.7"/>
    <n v="127.82"/>
    <n v="1164.3399999999999"/>
    <n v="-55.09"/>
    <n v="447.6"/>
    <n v="-2879.4899999999993"/>
    <n v="-502.69000000000005"/>
  </r>
  <r>
    <x v="6"/>
    <x v="6"/>
    <x v="0"/>
    <s v="4352107"/>
    <n v="713010"/>
    <s v="Benefits-FICA/Medicare"/>
    <s v="Speech Therapy-Silverdale"/>
    <x v="0"/>
    <m/>
    <n v="515.01"/>
    <n v="565.49"/>
    <n v="610.41999999999996"/>
    <n v="490.39"/>
    <n v="511.68"/>
    <n v="429.99"/>
    <n v="503.25"/>
    <n v="412.18"/>
    <n v="540.96"/>
    <n v="519.74"/>
    <n v="538.53"/>
    <n v="512.1"/>
    <n v="6149.7399999999989"/>
    <n v="26.42999999999995"/>
  </r>
  <r>
    <x v="6"/>
    <x v="6"/>
    <x v="0"/>
    <s v="4352107"/>
    <n v="713090"/>
    <s v="Benefits-Allocated Amounts"/>
    <s v="Speech Therapy-Silverdale"/>
    <x v="0"/>
    <m/>
    <n v="808.61"/>
    <n v="928.65"/>
    <n v="931.4"/>
    <n v="916.81"/>
    <n v="1016.39"/>
    <n v="736.17"/>
    <n v="953.97"/>
    <n v="782.67"/>
    <n v="901.25"/>
    <n v="1030.27"/>
    <n v="954.02"/>
    <n v="1126.58"/>
    <n v="11086.79"/>
    <n v="-172.55999999999995"/>
  </r>
  <r>
    <x v="11"/>
    <x v="6"/>
    <x v="0"/>
    <s v="4352107"/>
    <n v="721410"/>
    <s v="Supplies-Medical - Nonbillable"/>
    <s v="Speech Therapy-Silverdale"/>
    <x v="0"/>
    <m/>
    <n v="640.91999999999996"/>
    <n v="0"/>
    <n v="0"/>
    <n v="0"/>
    <n v="0"/>
    <n v="0"/>
    <n v="0"/>
    <n v="0"/>
    <n v="0"/>
    <n v="0"/>
    <n v="366.19"/>
    <n v="32.96"/>
    <n v="1040.07"/>
    <n v="333.23"/>
  </r>
  <r>
    <x v="11"/>
    <x v="6"/>
    <x v="0"/>
    <s v="4352107"/>
    <n v="721830"/>
    <s v="Supplies-Office"/>
    <s v="Speech Therapy-Silverdale"/>
    <x v="0"/>
    <m/>
    <n v="0"/>
    <n v="0"/>
    <n v="0"/>
    <n v="0"/>
    <n v="28.79"/>
    <n v="0"/>
    <n v="0"/>
    <n v="0"/>
    <n v="0"/>
    <n v="0"/>
    <n v="0"/>
    <n v="0"/>
    <n v="28.79"/>
    <n v="0"/>
  </r>
  <r>
    <x v="11"/>
    <x v="6"/>
    <x v="0"/>
    <s v="4352107"/>
    <n v="721980"/>
    <s v="Supplies-Other"/>
    <s v="Speech Therapy-Silverdale"/>
    <x v="0"/>
    <m/>
    <n v="0"/>
    <n v="0"/>
    <n v="0"/>
    <n v="-50"/>
    <n v="0"/>
    <n v="0"/>
    <n v="0"/>
    <n v="0"/>
    <n v="0"/>
    <n v="0"/>
    <n v="0"/>
    <n v="0"/>
    <n v="-50"/>
    <n v="0"/>
  </r>
  <r>
    <x v="11"/>
    <x v="6"/>
    <x v="0"/>
    <s v="4352107"/>
    <n v="722000"/>
    <s v="Supplies-Freight Expense"/>
    <s v="Speech Therapy-Silverdale"/>
    <x v="0"/>
    <m/>
    <n v="0"/>
    <n v="7.93"/>
    <n v="0"/>
    <n v="0"/>
    <n v="0"/>
    <n v="0"/>
    <n v="0"/>
    <n v="0"/>
    <n v="0"/>
    <n v="0"/>
    <n v="0"/>
    <n v="0"/>
    <n v="7.93"/>
    <n v="0"/>
  </r>
  <r>
    <x v="12"/>
    <x v="6"/>
    <x v="0"/>
    <s v="4352107"/>
    <n v="730010"/>
    <s v="Rental and Leases-Building (DO NOT USE)"/>
    <s v="Speech Therapy-Silverdale"/>
    <x v="0"/>
    <m/>
    <n v="2218.9899999999998"/>
    <n v="2218.9899999999998"/>
    <n v="2218.9899999999998"/>
    <n v="2218.9899999999998"/>
    <n v="2218.9899999999998"/>
    <n v="-1433.86"/>
    <n v="1774.64"/>
    <n v="1774.64"/>
    <n v="1774.64"/>
    <n v="1773.39"/>
    <n v="1773.39"/>
    <n v="0"/>
    <n v="18531.789999999997"/>
    <n v="1773.39"/>
  </r>
  <r>
    <x v="12"/>
    <x v="6"/>
    <x v="0"/>
    <s v="4352107"/>
    <n v="730010"/>
    <s v="Rental-Common Area Maint (DO NOT USE)"/>
    <s v="Speech Therapy-Silverdale"/>
    <x v="0"/>
    <n v="2200"/>
    <n v="0"/>
    <n v="0"/>
    <n v="0"/>
    <n v="0"/>
    <n v="0"/>
    <n v="3710.53"/>
    <n v="502.03"/>
    <n v="502.03"/>
    <n v="502.03"/>
    <n v="562.59"/>
    <n v="562.59"/>
    <n v="0"/>
    <n v="6341.8"/>
    <n v="562.59"/>
  </r>
  <r>
    <x v="12"/>
    <x v="6"/>
    <x v="0"/>
    <s v="4352107"/>
    <n v="730040"/>
    <s v="LT Lease-Real Estate"/>
    <s v="Speech Therapy-Silverdale"/>
    <x v="0"/>
    <m/>
    <n v="0"/>
    <n v="0"/>
    <n v="0"/>
    <n v="0"/>
    <n v="0"/>
    <n v="0"/>
    <n v="0"/>
    <n v="0"/>
    <n v="0"/>
    <n v="0"/>
    <n v="0"/>
    <n v="2193.69"/>
    <n v="2193.69"/>
    <n v="-2193.69"/>
  </r>
  <r>
    <x v="16"/>
    <x v="6"/>
    <x v="0"/>
    <s v="4352107"/>
    <n v="732030"/>
    <s v="Repairs&amp;Maintenance-Bldg Routine"/>
    <s v="Speech Therapy-Silverdale"/>
    <x v="0"/>
    <n v="2300"/>
    <n v="0"/>
    <n v="0"/>
    <n v="0"/>
    <n v="0"/>
    <n v="0"/>
    <n v="0"/>
    <n v="0"/>
    <n v="0"/>
    <n v="0"/>
    <n v="0"/>
    <n v="0"/>
    <n v="142.29"/>
    <n v="142.29"/>
    <n v="-142.29"/>
  </r>
  <r>
    <x v="0"/>
    <x v="6"/>
    <x v="0"/>
    <s v="4352107"/>
    <n v="749510"/>
    <s v="RICE Rewards"/>
    <s v="Speech Therapy-Silverdale"/>
    <x v="0"/>
    <n v="5100"/>
    <n v="0"/>
    <n v="0"/>
    <n v="0"/>
    <n v="0"/>
    <n v="0"/>
    <n v="0"/>
    <n v="0"/>
    <n v="0"/>
    <n v="0"/>
    <n v="0"/>
    <n v="0"/>
    <n v="21.98"/>
    <n v="21.98"/>
    <n v="-21.98"/>
  </r>
  <r>
    <x v="19"/>
    <x v="6"/>
    <x v="0"/>
    <s v="4353107"/>
    <n v="400020"/>
    <s v="O/P Care Svcs Rev--Medicare"/>
    <s v="Speech Therapy-PO"/>
    <x v="0"/>
    <n v="1100"/>
    <n v="1411.76"/>
    <n v="0"/>
    <n v="0"/>
    <n v="0"/>
    <n v="0"/>
    <n v="0"/>
    <n v="0"/>
    <n v="0"/>
    <n v="0"/>
    <n v="0"/>
    <n v="0"/>
    <n v="0"/>
    <n v="1411.76"/>
    <n v="0"/>
  </r>
  <r>
    <x v="19"/>
    <x v="6"/>
    <x v="0"/>
    <s v="4353107"/>
    <n v="400020"/>
    <s v="O/P Care Svcs Rev--Comm Insurance"/>
    <s v="Speech Therapy-PO"/>
    <x v="0"/>
    <n v="1300"/>
    <n v="-1411.76"/>
    <n v="0"/>
    <n v="0"/>
    <n v="0"/>
    <n v="0"/>
    <n v="0"/>
    <n v="0"/>
    <n v="0"/>
    <n v="0"/>
    <n v="0"/>
    <n v="0"/>
    <n v="0"/>
    <n v="-1411.76"/>
    <n v="0"/>
  </r>
  <r>
    <x v="7"/>
    <x v="0"/>
    <x v="0"/>
    <s v="4360102"/>
    <n v="718050"/>
    <s v="Document Shredding/Storage"/>
    <s v="Occupational Med Port C"/>
    <x v="0"/>
    <n v="1012"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4360102"/>
    <n v="721020"/>
    <s v="Suture/Wound Closure"/>
    <s v="Occupational Med Port C"/>
    <x v="0"/>
    <n v="1001"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4360102"/>
    <n v="721410"/>
    <s v="Supplies-Medical - Nonbillable"/>
    <s v="Occupational Med Port C"/>
    <x v="0"/>
    <m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4360102"/>
    <n v="721870"/>
    <s v="Supplies-Environmental Services"/>
    <s v="Occupational Med Port C"/>
    <x v="0"/>
    <m/>
    <n v="0"/>
    <n v="0"/>
    <n v="0"/>
    <n v="0"/>
    <n v="0"/>
    <n v="0"/>
    <n v="0"/>
    <n v="0"/>
    <n v="0"/>
    <n v="0"/>
    <n v="0"/>
    <n v="0"/>
    <n v="0"/>
    <n v="0"/>
  </r>
  <r>
    <x v="12"/>
    <x v="0"/>
    <x v="0"/>
    <s v="4360102"/>
    <n v="730020"/>
    <s v="Rental and Leases-Copier Usage Fees (DO NOT USE)"/>
    <s v="Occupational Med Port C"/>
    <x v="0"/>
    <n v="51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4360200"/>
    <n v="700014"/>
    <s v="Salaries-Management-Productive"/>
    <s v="Port Clinic-Shared Svc"/>
    <x v="0"/>
    <m/>
    <n v="2599.96"/>
    <n v="1578.56"/>
    <n v="3404.72"/>
    <n v="6497.8"/>
    <n v="3816"/>
    <n v="5501.4"/>
    <n v="5191.38"/>
    <n v="6178.25"/>
    <n v="6687.81"/>
    <n v="1894.89"/>
    <n v="3837.54"/>
    <n v="2706.96"/>
    <n v="49895.270000000004"/>
    <n v="1130.58"/>
  </r>
  <r>
    <x v="5"/>
    <x v="1"/>
    <x v="0"/>
    <s v="4360200"/>
    <n v="700018"/>
    <s v="Salaries-Supervisory-Productive"/>
    <s v="Port Clinic-Shared Svc"/>
    <x v="0"/>
    <m/>
    <n v="4353.28"/>
    <n v="5269.76"/>
    <n v="3665.92"/>
    <n v="4959.72"/>
    <n v="4190.84"/>
    <n v="3508.05"/>
    <n v="1910.18"/>
    <n v="0"/>
    <n v="0"/>
    <n v="0"/>
    <n v="0"/>
    <n v="0"/>
    <n v="27857.75"/>
    <n v="0"/>
  </r>
  <r>
    <x v="5"/>
    <x v="1"/>
    <x v="0"/>
    <s v="4360200"/>
    <n v="700034"/>
    <s v="Salaries-Tech/Professional-Productive"/>
    <s v="Port Clinic-Shared Svc"/>
    <x v="0"/>
    <m/>
    <n v="2186.9699999999998"/>
    <n v="1257.75"/>
    <n v="134.85"/>
    <n v="0"/>
    <n v="0"/>
    <n v="0"/>
    <n v="0"/>
    <n v="0"/>
    <n v="0"/>
    <n v="0"/>
    <n v="0"/>
    <n v="0"/>
    <n v="3579.5699999999997"/>
    <n v="0"/>
  </r>
  <r>
    <x v="5"/>
    <x v="1"/>
    <x v="0"/>
    <s v="4360200"/>
    <n v="700038"/>
    <s v="Salaries-Service/Support-Productive"/>
    <s v="Port Clinic-Shared Svc"/>
    <x v="0"/>
    <m/>
    <n v="9753.92"/>
    <n v="10717.96"/>
    <n v="8763.3700000000008"/>
    <n v="12299.39"/>
    <n v="10981.38"/>
    <n v="6559.96"/>
    <n v="10226.59"/>
    <n v="9570.02"/>
    <n v="13957.85"/>
    <n v="13456.18"/>
    <n v="14537.05"/>
    <n v="10542.52"/>
    <n v="131366.19"/>
    <n v="3994.5299999999988"/>
  </r>
  <r>
    <x v="5"/>
    <x v="1"/>
    <x v="0"/>
    <s v="4360200"/>
    <n v="700038"/>
    <s v="Salaries-Service/Support-OT"/>
    <s v="Port Clinic-Shared Svc"/>
    <x v="0"/>
    <n v="1000"/>
    <n v="826.81"/>
    <n v="856.99"/>
    <n v="822.1"/>
    <n v="2178.7600000000002"/>
    <n v="1212.33"/>
    <n v="77.150000000000006"/>
    <n v="866.4"/>
    <n v="-63.3"/>
    <n v="348.65"/>
    <n v="274.39"/>
    <n v="297.14"/>
    <n v="86.2"/>
    <n v="7783.619999999999"/>
    <n v="210.94"/>
  </r>
  <r>
    <x v="5"/>
    <x v="1"/>
    <x v="0"/>
    <s v="4360200"/>
    <n v="700038"/>
    <s v="Salaries-Service/Support-Other"/>
    <s v="Port Clinic-Shared Svc"/>
    <x v="0"/>
    <n v="2000"/>
    <n v="0"/>
    <n v="0"/>
    <n v="0"/>
    <n v="24.3"/>
    <n v="-6.3"/>
    <n v="0"/>
    <n v="0"/>
    <n v="30.05"/>
    <n v="3.98"/>
    <n v="0"/>
    <n v="0"/>
    <n v="0"/>
    <n v="52.029999999999994"/>
    <n v="0"/>
  </r>
  <r>
    <x v="5"/>
    <x v="1"/>
    <x v="0"/>
    <s v="4360200"/>
    <n v="700054"/>
    <s v="Salaries-Management-Non-productive"/>
    <s v="Port Clinic-Shared Svc"/>
    <x v="0"/>
    <m/>
    <n v="1609.5"/>
    <n v="3961.86"/>
    <n v="-619.04"/>
    <n v="0"/>
    <n v="0"/>
    <n v="1017.6"/>
    <n v="700.72"/>
    <n v="191.09"/>
    <n v="0"/>
    <n v="1624.16"/>
    <n v="-350.3"/>
    <n v="955.42"/>
    <n v="9091.01"/>
    <n v="-1305.72"/>
  </r>
  <r>
    <x v="5"/>
    <x v="1"/>
    <x v="0"/>
    <s v="4360200"/>
    <n v="700054"/>
    <s v="Salaries-Management-NonProd-Other"/>
    <s v="Port Clinic-Shared Svc"/>
    <x v="0"/>
    <n v="2000"/>
    <n v="0"/>
    <n v="0"/>
    <n v="0"/>
    <n v="0"/>
    <n v="0"/>
    <n v="1695.38"/>
    <n v="-1695.38"/>
    <n v="0"/>
    <n v="0"/>
    <n v="0"/>
    <n v="0"/>
    <n v="0"/>
    <n v="0"/>
    <n v="0"/>
  </r>
  <r>
    <x v="5"/>
    <x v="1"/>
    <x v="0"/>
    <s v="4360200"/>
    <n v="700058"/>
    <s v="Salaries-Supervisory-Non-productive"/>
    <s v="Port Clinic-Shared Svc"/>
    <x v="0"/>
    <m/>
    <n v="687.36"/>
    <n v="0"/>
    <n v="916.48"/>
    <n v="423.79"/>
    <n v="988.85"/>
    <n v="1436.18"/>
    <n v="212.24"/>
    <n v="0"/>
    <n v="0"/>
    <n v="0"/>
    <n v="0"/>
    <n v="0"/>
    <n v="4664.8999999999996"/>
    <n v="0"/>
  </r>
  <r>
    <x v="5"/>
    <x v="1"/>
    <x v="0"/>
    <s v="4360200"/>
    <n v="700078"/>
    <s v="Salaries-Service/Support-Non-productive"/>
    <s v="Port Clinic-Shared Svc"/>
    <x v="0"/>
    <m/>
    <n v="1532.02"/>
    <n v="1037.71"/>
    <n v="1400.55"/>
    <n v="-172.49"/>
    <n v="648.04"/>
    <n v="4557.72"/>
    <n v="2054.0300000000002"/>
    <n v="1699.99"/>
    <n v="266.5"/>
    <n v="1387.96"/>
    <n v="254.71"/>
    <n v="2912.44"/>
    <n v="17579.179999999997"/>
    <n v="-2657.73"/>
  </r>
  <r>
    <x v="5"/>
    <x v="1"/>
    <x v="0"/>
    <s v="4360200"/>
    <n v="700078"/>
    <s v="Salaries-Service/Support-NonProd-Other"/>
    <s v="Port Clinic-Shared Svc"/>
    <x v="0"/>
    <n v="2000"/>
    <n v="46.55"/>
    <n v="37.24"/>
    <n v="44.24"/>
    <n v="37.65"/>
    <n v="542.64"/>
    <n v="576.33000000000004"/>
    <n v="76.23"/>
    <n v="-929.07"/>
    <n v="42.96"/>
    <n v="54.55"/>
    <n v="58.86"/>
    <n v="-24.11"/>
    <n v="564.07000000000005"/>
    <n v="82.97"/>
  </r>
  <r>
    <x v="5"/>
    <x v="1"/>
    <x v="0"/>
    <s v="4360200"/>
    <n v="700084"/>
    <s v="Accrued PTO"/>
    <s v="Port Clinic-Shared Svc"/>
    <x v="0"/>
    <m/>
    <n v="-433.48"/>
    <n v="-968.13"/>
    <n v="-707.93"/>
    <n v="2667.94"/>
    <n v="1491.37"/>
    <n v="-2328.3000000000002"/>
    <n v="508.86"/>
    <n v="1297.5999999999999"/>
    <n v="-3180.56"/>
    <n v="1192.67"/>
    <n v="1233.81"/>
    <n v="676.27"/>
    <n v="1450.12"/>
    <n v="557.54"/>
  </r>
  <r>
    <x v="6"/>
    <x v="1"/>
    <x v="0"/>
    <s v="4360200"/>
    <n v="713010"/>
    <s v="Benefits-FICA/Medicare"/>
    <s v="Port Clinic-Shared Svc"/>
    <x v="0"/>
    <m/>
    <n v="1722.13"/>
    <n v="1808.4"/>
    <n v="1361.13"/>
    <n v="1933.56"/>
    <n v="1732.35"/>
    <n v="1797.61"/>
    <n v="1683.69"/>
    <n v="1292.52"/>
    <n v="1567.31"/>
    <n v="1376.46"/>
    <n v="1372.86"/>
    <n v="1262.94"/>
    <n v="18910.96"/>
    <n v="109.91999999999985"/>
  </r>
  <r>
    <x v="6"/>
    <x v="1"/>
    <x v="0"/>
    <s v="4360200"/>
    <n v="713090"/>
    <s v="Benefits-Allocated Amounts"/>
    <s v="Port Clinic-Shared Svc"/>
    <x v="0"/>
    <m/>
    <n v="5807.83"/>
    <n v="5264.99"/>
    <n v="5067.8999999999996"/>
    <n v="5868.45"/>
    <n v="5529.05"/>
    <n v="5557.87"/>
    <n v="5982.28"/>
    <n v="5090.22"/>
    <n v="5548.72"/>
    <n v="5613.24"/>
    <n v="5090.03"/>
    <n v="5465.05"/>
    <n v="65885.62999999999"/>
    <n v="-375.02000000000044"/>
  </r>
  <r>
    <x v="7"/>
    <x v="1"/>
    <x v="0"/>
    <s v="4360200"/>
    <n v="718010"/>
    <s v="Media/Print Advertising"/>
    <s v="Port Clinic-Shared Svc"/>
    <x v="0"/>
    <n v="1004"/>
    <n v="0"/>
    <n v="0"/>
    <n v="0"/>
    <n v="951.22"/>
    <n v="0"/>
    <n v="0"/>
    <n v="0"/>
    <n v="241.81"/>
    <n v="0"/>
    <n v="401.99"/>
    <n v="456.58"/>
    <n v="0"/>
    <n v="2051.6"/>
    <n v="456.58"/>
  </r>
  <r>
    <x v="7"/>
    <x v="1"/>
    <x v="0"/>
    <s v="4360200"/>
    <n v="718040"/>
    <s v="Contract Svcs-Laboratory"/>
    <s v="Port Clinic-Shared Svc"/>
    <x v="0"/>
    <m/>
    <n v="4476.45"/>
    <n v="0"/>
    <n v="1743.18"/>
    <n v="894.08"/>
    <n v="-3.73"/>
    <n v="1176.75"/>
    <n v="350.91"/>
    <n v="1845.86"/>
    <n v="0"/>
    <n v="0"/>
    <n v="0"/>
    <n v="2896.91"/>
    <n v="13380.41"/>
    <n v="-2896.91"/>
  </r>
  <r>
    <x v="7"/>
    <x v="1"/>
    <x v="0"/>
    <s v="4360200"/>
    <n v="718050"/>
    <s v="Contract Svcs-Other"/>
    <s v="Port Clinic-Shared Svc"/>
    <x v="0"/>
    <m/>
    <n v="23.6"/>
    <n v="0"/>
    <n v="391.48"/>
    <n v="236.32"/>
    <n v="89.67"/>
    <n v="283.52"/>
    <n v="11138.94"/>
    <n v="106.36"/>
    <n v="8849.6200000000008"/>
    <n v="9671.84"/>
    <n v="1733.93"/>
    <n v="1978.23"/>
    <n v="34503.51"/>
    <n v="-244.29999999999995"/>
  </r>
  <r>
    <x v="7"/>
    <x v="1"/>
    <x v="0"/>
    <s v="4360200"/>
    <n v="718050"/>
    <s v="Cleaning Services"/>
    <s v="Port Clinic-Shared Svc"/>
    <x v="0"/>
    <n v="1011"/>
    <n v="106.02"/>
    <n v="0"/>
    <n v="212.04"/>
    <n v="106.02"/>
    <n v="0"/>
    <n v="212.04"/>
    <n v="106.02"/>
    <n v="212.04"/>
    <n v="212.04"/>
    <n v="106.02"/>
    <n v="0"/>
    <n v="106.02"/>
    <n v="1378.26"/>
    <n v="-106.02"/>
  </r>
  <r>
    <x v="7"/>
    <x v="1"/>
    <x v="0"/>
    <s v="4360200"/>
    <n v="718050"/>
    <s v="Miscellaneous Purchased Svcs"/>
    <s v="Port Clinic-Shared Svc"/>
    <x v="0"/>
    <n v="1020"/>
    <n v="37.6"/>
    <n v="0"/>
    <n v="54.94"/>
    <n v="110.22"/>
    <n v="0"/>
    <n v="320.74"/>
    <n v="833.02"/>
    <n v="242.48"/>
    <n v="362.67"/>
    <n v="24.95"/>
    <n v="24.95"/>
    <n v="157.66"/>
    <n v="2169.23"/>
    <n v="-132.71"/>
  </r>
  <r>
    <x v="7"/>
    <x v="1"/>
    <x v="0"/>
    <s v="4360200"/>
    <n v="718050"/>
    <s v="Translation Services"/>
    <s v="Port Clinic-Shared Svc"/>
    <x v="0"/>
    <n v="1025"/>
    <n v="2.4300000000000002"/>
    <n v="0"/>
    <n v="0"/>
    <n v="33.97"/>
    <n v="0"/>
    <n v="0"/>
    <n v="0"/>
    <n v="11.06"/>
    <n v="0"/>
    <n v="0"/>
    <n v="0"/>
    <n v="26.86"/>
    <n v="74.319999999999993"/>
    <n v="-26.86"/>
  </r>
  <r>
    <x v="7"/>
    <x v="1"/>
    <x v="0"/>
    <s v="4360200"/>
    <n v="718050"/>
    <s v="Contract Management--Linen"/>
    <s v="Port Clinic-Shared Svc"/>
    <x v="0"/>
    <n v="1026"/>
    <n v="473.47"/>
    <n v="0"/>
    <n v="944.95"/>
    <n v="1430.74"/>
    <n v="0"/>
    <n v="1324.07"/>
    <n v="486.21"/>
    <n v="509.9"/>
    <n v="1167.8399999999999"/>
    <n v="847.79"/>
    <n v="0"/>
    <n v="1144.4000000000001"/>
    <n v="8329.369999999999"/>
    <n v="-1144.4000000000001"/>
  </r>
  <r>
    <x v="7"/>
    <x v="1"/>
    <x v="0"/>
    <s v="4360200"/>
    <n v="718050"/>
    <s v="Purchased Srvcs--Medical Waste"/>
    <s v="Port Clinic-Shared Svc"/>
    <x v="0"/>
    <n v="1027"/>
    <n v="101.02"/>
    <n v="65.36"/>
    <n v="65.36"/>
    <n v="69.010000000000005"/>
    <n v="65.36"/>
    <n v="144.76"/>
    <n v="210.89"/>
    <n v="65.36"/>
    <n v="46.05"/>
    <n v="182.26"/>
    <n v="0"/>
    <n v="101.02"/>
    <n v="1116.45"/>
    <n v="-101.02"/>
  </r>
  <r>
    <x v="7"/>
    <x v="1"/>
    <x v="0"/>
    <s v="4360200"/>
    <n v="718070"/>
    <s v="Contract Srvcs-CHI Clinical Engineering"/>
    <s v="Port Clinic-Shared Svc"/>
    <x v="0"/>
    <m/>
    <n v="0"/>
    <n v="891.35"/>
    <n v="923.74"/>
    <n v="1350.08"/>
    <n v="0"/>
    <n v="0"/>
    <n v="2000"/>
    <n v="2000"/>
    <n v="314.3"/>
    <n v="0"/>
    <n v="0"/>
    <n v="0"/>
    <n v="7479.47"/>
    <n v="0"/>
  </r>
  <r>
    <x v="7"/>
    <x v="1"/>
    <x v="0"/>
    <s v="4360200"/>
    <n v="718071"/>
    <s v="Contract Srvcs-CHI Facilities Mgmt"/>
    <s v="Port Clinic-Shared Svc"/>
    <x v="0"/>
    <m/>
    <n v="2.37"/>
    <n v="2.37"/>
    <n v="2.37"/>
    <n v="2.37"/>
    <n v="2.37"/>
    <n v="2.37"/>
    <n v="2.37"/>
    <n v="2.37"/>
    <n v="2.37"/>
    <n v="2.37"/>
    <n v="2.37"/>
    <n v="2.37"/>
    <n v="28.440000000000008"/>
    <n v="0"/>
  </r>
  <r>
    <x v="7"/>
    <x v="1"/>
    <x v="0"/>
    <s v="4360200"/>
    <n v="718077"/>
    <s v="PACS"/>
    <s v="Port Clinic-Shared Svc"/>
    <x v="0"/>
    <n v="1000"/>
    <n v="76.5"/>
    <n v="83.25"/>
    <n v="76.5"/>
    <n v="256.5"/>
    <n v="112.5"/>
    <n v="76.5"/>
    <n v="117"/>
    <n v="128.25"/>
    <n v="288"/>
    <n v="195.75"/>
    <n v="92.25"/>
    <n v="128.25"/>
    <n v="1631.25"/>
    <n v="-36"/>
  </r>
  <r>
    <x v="11"/>
    <x v="1"/>
    <x v="0"/>
    <s v="4360200"/>
    <n v="721250"/>
    <s v="Supplies-Pharmacy Drugs - Billable"/>
    <s v="Port Clinic-Shared Svc"/>
    <x v="0"/>
    <m/>
    <n v="3263.7"/>
    <n v="2884.51"/>
    <n v="1135.6600000000001"/>
    <n v="6035.63"/>
    <n v="3274.19"/>
    <n v="3791.04"/>
    <n v="4401.21"/>
    <n v="6194.87"/>
    <n v="1830.33"/>
    <n v="2704.51"/>
    <n v="3046.69"/>
    <n v="3216.78"/>
    <n v="41779.120000000003"/>
    <n v="-170.09000000000015"/>
  </r>
  <r>
    <x v="11"/>
    <x v="1"/>
    <x v="0"/>
    <s v="4360200"/>
    <n v="721410"/>
    <s v="Supplies-Medical - Nonbillable"/>
    <s v="Port Clinic-Shared Svc"/>
    <x v="0"/>
    <m/>
    <n v="850.54"/>
    <n v="0"/>
    <n v="3164.16"/>
    <n v="2604.9"/>
    <n v="0"/>
    <n v="1711.54"/>
    <n v="3085.28"/>
    <n v="1707.37"/>
    <n v="1306.52"/>
    <n v="1181.8699999999999"/>
    <n v="1961.37"/>
    <n v="3375.93"/>
    <n v="20949.48"/>
    <n v="-1414.56"/>
  </r>
  <r>
    <x v="11"/>
    <x v="1"/>
    <x v="0"/>
    <s v="4360200"/>
    <n v="721750"/>
    <s v="Supplies-Film/Radiographic - Nonbillable"/>
    <s v="Port Clinic-Shared Svc"/>
    <x v="0"/>
    <m/>
    <n v="0"/>
    <n v="100"/>
    <n v="0"/>
    <n v="0"/>
    <n v="0"/>
    <n v="0"/>
    <n v="0"/>
    <n v="0"/>
    <n v="0"/>
    <n v="0"/>
    <n v="0"/>
    <n v="0"/>
    <n v="100"/>
    <n v="0"/>
  </r>
  <r>
    <x v="11"/>
    <x v="1"/>
    <x v="0"/>
    <s v="4360200"/>
    <n v="721830"/>
    <s v="Supplies-Office"/>
    <s v="Port Clinic-Shared Svc"/>
    <x v="0"/>
    <m/>
    <n v="108.78"/>
    <n v="322.98"/>
    <n v="0"/>
    <n v="0"/>
    <n v="1561.23"/>
    <n v="1195.68"/>
    <n v="383.95"/>
    <n v="-196.91"/>
    <n v="108.78"/>
    <n v="108.78"/>
    <n v="344.31"/>
    <n v="99.65"/>
    <n v="4037.2300000000005"/>
    <n v="244.66"/>
  </r>
  <r>
    <x v="11"/>
    <x v="1"/>
    <x v="0"/>
    <s v="4360200"/>
    <n v="721870"/>
    <s v="Supplies-Environmental Services"/>
    <s v="Port Clinic-Shared Svc"/>
    <x v="0"/>
    <m/>
    <n v="0"/>
    <n v="0"/>
    <n v="0"/>
    <n v="0"/>
    <n v="0"/>
    <n v="0"/>
    <n v="0"/>
    <n v="43.69"/>
    <n v="0"/>
    <n v="0"/>
    <n v="12.92"/>
    <n v="0"/>
    <n v="56.61"/>
    <n v="12.92"/>
  </r>
  <r>
    <x v="11"/>
    <x v="1"/>
    <x v="0"/>
    <s v="4360200"/>
    <n v="721910"/>
    <s v="Supplies-Small Equipment"/>
    <s v="Port Clinic-Shared Svc"/>
    <x v="0"/>
    <m/>
    <n v="0"/>
    <n v="0"/>
    <n v="0"/>
    <n v="0"/>
    <n v="0"/>
    <n v="0"/>
    <n v="2031"/>
    <n v="593.79999999999995"/>
    <n v="276.7"/>
    <n v="2292.39"/>
    <n v="516.76"/>
    <n v="0"/>
    <n v="5710.65"/>
    <n v="516.76"/>
  </r>
  <r>
    <x v="12"/>
    <x v="1"/>
    <x v="0"/>
    <s v="4360200"/>
    <n v="730010"/>
    <s v="Rental and Leases-Building (DO NOT USE)"/>
    <s v="Port Clinic-Shared Svc"/>
    <x v="0"/>
    <m/>
    <n v="12127.31"/>
    <n v="12127.31"/>
    <n v="12127.31"/>
    <n v="12127.31"/>
    <n v="12127.31"/>
    <n v="6310.69"/>
    <n v="8429.52"/>
    <n v="8429.52"/>
    <n v="8706.27"/>
    <n v="-15221.63"/>
    <n v="6321.07"/>
    <n v="3386.79"/>
    <n v="86998.779999999984"/>
    <n v="2934.2799999999997"/>
  </r>
  <r>
    <x v="12"/>
    <x v="1"/>
    <x v="0"/>
    <s v="4360200"/>
    <n v="730010"/>
    <s v="Rental-Common Area Maint (DO NOT USE)"/>
    <s v="Port Clinic-Shared Svc"/>
    <x v="0"/>
    <n v="2200"/>
    <n v="0"/>
    <n v="0"/>
    <n v="0"/>
    <n v="0"/>
    <n v="0"/>
    <n v="4308.54"/>
    <n v="4308.54"/>
    <n v="4308.54"/>
    <n v="4308.54"/>
    <n v="26177.46"/>
    <n v="4308.54"/>
    <n v="4308.54"/>
    <n v="52028.7"/>
    <n v="0"/>
  </r>
  <r>
    <x v="12"/>
    <x v="1"/>
    <x v="0"/>
    <s v="4360200"/>
    <n v="730020"/>
    <s v="Rental and Leases-Copier Usage Fees (DO NOT USE)"/>
    <s v="Port Clinic-Shared Svc"/>
    <x v="0"/>
    <n v="5100"/>
    <n v="524.58000000000004"/>
    <n v="535.98"/>
    <n v="530.28"/>
    <n v="530.28"/>
    <n v="530.28"/>
    <n v="530.28"/>
    <n v="624.55999999999995"/>
    <n v="419.83"/>
    <n v="465.15"/>
    <n v="1299.49"/>
    <n v="419.83"/>
    <n v="433.3"/>
    <n v="6843.8399999999992"/>
    <n v="-13.470000000000027"/>
  </r>
  <r>
    <x v="12"/>
    <x v="1"/>
    <x v="0"/>
    <s v="4360200"/>
    <n v="730040"/>
    <s v="LT Lease-Real Estate"/>
    <s v="Port Clinic-Shared Svc"/>
    <x v="0"/>
    <m/>
    <n v="0"/>
    <n v="0"/>
    <n v="0"/>
    <n v="0"/>
    <n v="0"/>
    <n v="0"/>
    <n v="0"/>
    <n v="0"/>
    <n v="0"/>
    <n v="0"/>
    <n v="0"/>
    <n v="2934.28"/>
    <n v="2934.28"/>
    <n v="-2934.28"/>
  </r>
  <r>
    <x v="15"/>
    <x v="1"/>
    <x v="0"/>
    <s v="4360200"/>
    <n v="731050"/>
    <s v="Refuse Disposal"/>
    <s v="Port Clinic-Shared Svc"/>
    <x v="0"/>
    <m/>
    <n v="56.62"/>
    <n v="56.62"/>
    <n v="56.62"/>
    <n v="56.62"/>
    <n v="56.62"/>
    <n v="56.62"/>
    <n v="56.62"/>
    <n v="56.62"/>
    <n v="56.62"/>
    <n v="63.22"/>
    <n v="63.22"/>
    <n v="63.22"/>
    <n v="699.24"/>
    <n v="0"/>
  </r>
  <r>
    <x v="15"/>
    <x v="1"/>
    <x v="0"/>
    <s v="4360200"/>
    <n v="731070"/>
    <s v="Cable TV"/>
    <s v="Port Clinic-Shared Svc"/>
    <x v="0"/>
    <m/>
    <n v="86.05"/>
    <n v="86.05"/>
    <n v="86.05"/>
    <n v="86.05"/>
    <n v="86.05"/>
    <n v="86.05"/>
    <n v="95.61"/>
    <n v="95.61"/>
    <n v="95.61"/>
    <n v="95.61"/>
    <n v="95.61"/>
    <n v="95.61"/>
    <n v="1089.96"/>
    <n v="0"/>
  </r>
  <r>
    <x v="16"/>
    <x v="1"/>
    <x v="0"/>
    <s v="4360200"/>
    <n v="732030"/>
    <s v="Repairs---Other"/>
    <s v="Port Clinic-Shared Svc"/>
    <x v="0"/>
    <m/>
    <n v="0"/>
    <n v="0"/>
    <n v="0"/>
    <n v="0"/>
    <n v="0"/>
    <n v="0"/>
    <n v="0"/>
    <n v="0"/>
    <n v="555.22"/>
    <n v="0"/>
    <n v="194.4"/>
    <n v="0"/>
    <n v="749.62"/>
    <n v="194.4"/>
  </r>
  <r>
    <x v="13"/>
    <x v="1"/>
    <x v="0"/>
    <s v="4360200"/>
    <n v="735070"/>
    <s v="Depreciation-Movable Equipment"/>
    <s v="Port Clinic-Shared Svc"/>
    <x v="0"/>
    <m/>
    <n v="1493.77"/>
    <n v="1493.76"/>
    <n v="1493.77"/>
    <n v="1493.75"/>
    <n v="1493.78"/>
    <n v="1493.75"/>
    <n v="2327.0100000000002"/>
    <n v="2326.9699999999998"/>
    <n v="2327.04"/>
    <n v="2326.96"/>
    <n v="2327.04"/>
    <n v="2326.96"/>
    <n v="22924.559999999998"/>
    <n v="7.999999999992724E-2"/>
  </r>
  <r>
    <x v="0"/>
    <x v="1"/>
    <x v="0"/>
    <s v="4360200"/>
    <n v="740020"/>
    <s v="Education-Registration Fees"/>
    <s v="Port Clinic-Shared Svc"/>
    <x v="0"/>
    <m/>
    <n v="1900"/>
    <n v="0"/>
    <n v="0"/>
    <n v="0"/>
    <n v="742.5"/>
    <n v="0"/>
    <n v="0"/>
    <n v="0"/>
    <n v="0"/>
    <n v="0"/>
    <n v="0"/>
    <n v="0"/>
    <n v="2642.5"/>
    <n v="0"/>
  </r>
  <r>
    <x v="0"/>
    <x v="1"/>
    <x v="0"/>
    <s v="4360200"/>
    <n v="742040"/>
    <s v="Freight-Other"/>
    <s v="Port Clinic-Shared Svc"/>
    <x v="0"/>
    <m/>
    <n v="0"/>
    <n v="0"/>
    <n v="34.83"/>
    <n v="0"/>
    <n v="0"/>
    <n v="107.58"/>
    <n v="0"/>
    <n v="0"/>
    <n v="198.16"/>
    <n v="9.85"/>
    <n v="0"/>
    <n v="0"/>
    <n v="350.42"/>
    <n v="0"/>
  </r>
  <r>
    <x v="0"/>
    <x v="1"/>
    <x v="0"/>
    <s v="4360200"/>
    <n v="743030"/>
    <s v="Subscriptions--Institutional"/>
    <s v="Port Clinic-Shared Svc"/>
    <x v="0"/>
    <m/>
    <n v="0"/>
    <n v="0"/>
    <n v="0"/>
    <n v="0"/>
    <n v="0"/>
    <n v="0"/>
    <n v="0"/>
    <n v="0"/>
    <n v="0"/>
    <n v="0"/>
    <n v="80.900000000000006"/>
    <n v="0"/>
    <n v="80.900000000000006"/>
    <n v="80.900000000000006"/>
  </r>
  <r>
    <x v="0"/>
    <x v="1"/>
    <x v="0"/>
    <s v="4360200"/>
    <n v="749510"/>
    <s v="Miscellaneous Expenses"/>
    <s v="Port Clinic-Shared Svc"/>
    <x v="0"/>
    <m/>
    <n v="375.21"/>
    <n v="35.65"/>
    <n v="0"/>
    <n v="742.5"/>
    <n v="-1678.32"/>
    <n v="0"/>
    <n v="0"/>
    <n v="328.1"/>
    <n v="0"/>
    <n v="850"/>
    <n v="0"/>
    <n v="0"/>
    <n v="653.14"/>
    <n v="0"/>
  </r>
  <r>
    <x v="0"/>
    <x v="1"/>
    <x v="0"/>
    <s v="4360200"/>
    <n v="749510"/>
    <s v="Licenses"/>
    <s v="Port Clinic-Shared Svc"/>
    <x v="0"/>
    <n v="1002"/>
    <n v="0"/>
    <n v="0"/>
    <n v="265"/>
    <n v="0"/>
    <n v="0"/>
    <n v="537"/>
    <n v="38.75"/>
    <n v="0"/>
    <n v="0"/>
    <n v="0"/>
    <n v="150"/>
    <n v="0"/>
    <n v="990.75"/>
    <n v="150"/>
  </r>
  <r>
    <x v="0"/>
    <x v="1"/>
    <x v="0"/>
    <s v="4360200"/>
    <n v="749530"/>
    <s v="Mileage"/>
    <s v="Port Clinic-Shared Svc"/>
    <x v="0"/>
    <n v="1001"/>
    <n v="97.03"/>
    <n v="53.42"/>
    <n v="54.52"/>
    <n v="0"/>
    <n v="0"/>
    <n v="0"/>
    <n v="0"/>
    <n v="0"/>
    <n v="0"/>
    <n v="0"/>
    <n v="0"/>
    <n v="0"/>
    <n v="204.97"/>
    <n v="0"/>
  </r>
  <r>
    <x v="5"/>
    <x v="1"/>
    <x v="0"/>
    <s v="4361200"/>
    <n v="700034"/>
    <s v="Salaries-Tech/Professional-Productive"/>
    <s v="Port Clinic-Work/Prev"/>
    <x v="0"/>
    <m/>
    <n v="0"/>
    <n v="0"/>
    <n v="0"/>
    <n v="0"/>
    <n v="438.08"/>
    <n v="0"/>
    <n v="0"/>
    <n v="0"/>
    <n v="0"/>
    <n v="0"/>
    <n v="0"/>
    <n v="0"/>
    <n v="438.08"/>
    <n v="0"/>
  </r>
  <r>
    <x v="6"/>
    <x v="1"/>
    <x v="0"/>
    <s v="4361200"/>
    <n v="713010"/>
    <s v="Benefits-FICA/Medicare"/>
    <s v="Port Clinic-Work/Prev"/>
    <x v="0"/>
    <m/>
    <n v="0"/>
    <n v="0"/>
    <n v="0"/>
    <n v="0"/>
    <n v="33.51"/>
    <n v="0"/>
    <n v="0"/>
    <n v="0"/>
    <n v="0"/>
    <n v="0"/>
    <n v="0"/>
    <n v="0"/>
    <n v="33.51"/>
    <n v="0"/>
  </r>
  <r>
    <x v="6"/>
    <x v="1"/>
    <x v="0"/>
    <s v="4361200"/>
    <n v="713090"/>
    <s v="Benefits-Allocated Amounts"/>
    <s v="Port Clinic-Work/Prev"/>
    <x v="0"/>
    <m/>
    <n v="0"/>
    <n v="0"/>
    <n v="0"/>
    <n v="0"/>
    <n v="109.43"/>
    <n v="22.44"/>
    <n v="25.38"/>
    <n v="-157.25"/>
    <n v="0"/>
    <n v="0"/>
    <n v="0"/>
    <n v="0"/>
    <n v="0"/>
    <n v="0"/>
  </r>
  <r>
    <x v="19"/>
    <x v="6"/>
    <x v="0"/>
    <s v="4365107"/>
    <n v="400020"/>
    <s v="O/P Care Svcs Rev--Medicare"/>
    <s v="Massage Therapy-YMCA"/>
    <x v="0"/>
    <n v="1100"/>
    <n v="-70"/>
    <n v="-440"/>
    <n v="-1693.48"/>
    <n v="-1610"/>
    <n v="-730"/>
    <n v="-1835"/>
    <n v="-1415"/>
    <n v="-1567.16"/>
    <n v="-1202"/>
    <n v="-1591"/>
    <n v="-2165.16"/>
    <n v="-1334"/>
    <n v="-15652.8"/>
    <n v="-831.15999999999985"/>
  </r>
  <r>
    <x v="19"/>
    <x v="6"/>
    <x v="0"/>
    <s v="4365107"/>
    <n v="400020"/>
    <s v="O/P Care Svcs Rev--Medicaid"/>
    <s v="Massage Therapy-YMCA"/>
    <x v="0"/>
    <n v="1200"/>
    <n v="0"/>
    <n v="0"/>
    <n v="0"/>
    <n v="0"/>
    <n v="0"/>
    <n v="0"/>
    <n v="-440"/>
    <n v="-456"/>
    <n v="-456"/>
    <n v="-456"/>
    <n v="0"/>
    <n v="0"/>
    <n v="-1808"/>
    <n v="0"/>
  </r>
  <r>
    <x v="19"/>
    <x v="6"/>
    <x v="0"/>
    <s v="4365107"/>
    <n v="400020"/>
    <s v="O/P Care Svcs Rev--Comm Insurance"/>
    <s v="Massage Therapy-YMCA"/>
    <x v="0"/>
    <n v="1300"/>
    <n v="-428"/>
    <n v="283.48"/>
    <n v="-720"/>
    <n v="-870"/>
    <n v="140"/>
    <n v="70"/>
    <n v="-950"/>
    <n v="-912"/>
    <n v="-1368"/>
    <n v="0"/>
    <n v="-739"/>
    <n v="-787"/>
    <n v="-6280.52"/>
    <n v="48"/>
  </r>
  <r>
    <x v="19"/>
    <x v="6"/>
    <x v="0"/>
    <s v="4365107"/>
    <n v="400020"/>
    <s v="O/P Care Svcs Rev--BCBS Comm"/>
    <s v="Massage Therapy-YMCA"/>
    <x v="0"/>
    <n v="1301"/>
    <n v="-3484"/>
    <n v="-7085"/>
    <n v="-2600"/>
    <n v="-935"/>
    <n v="-470"/>
    <n v="-520"/>
    <n v="-1610"/>
    <n v="-296.83999999999997"/>
    <n v="-1222"/>
    <n v="-1608"/>
    <n v="-1567"/>
    <n v="-1045"/>
    <n v="-22442.84"/>
    <n v="-522"/>
  </r>
  <r>
    <x v="19"/>
    <x v="6"/>
    <x v="0"/>
    <s v="4365107"/>
    <n v="400020"/>
    <s v="O/P Care Svcs Rev--Managed Care"/>
    <s v="Massage Therapy-YMCA"/>
    <x v="0"/>
    <n v="1400"/>
    <n v="-16549"/>
    <n v="-14895.48"/>
    <n v="-11526.52"/>
    <n v="-12570"/>
    <n v="-12125"/>
    <n v="-10495"/>
    <n v="-9075"/>
    <n v="-9957.84"/>
    <n v="-11856"/>
    <n v="-13437"/>
    <n v="-16479.84"/>
    <n v="-11859"/>
    <n v="-150825.68"/>
    <n v="-4620.84"/>
  </r>
  <r>
    <x v="19"/>
    <x v="6"/>
    <x v="0"/>
    <s v="4365107"/>
    <n v="400020"/>
    <s v="O/P Care Svcs Rev--Self Pay"/>
    <s v="Massage Therapy-YMCA"/>
    <x v="0"/>
    <n v="1500"/>
    <n v="-6008"/>
    <n v="-5743"/>
    <n v="-3275"/>
    <n v="-3660"/>
    <n v="-4735"/>
    <n v="-5425"/>
    <n v="-5775"/>
    <n v="-6046"/>
    <n v="-7091"/>
    <n v="-9766"/>
    <n v="-8133"/>
    <n v="-8055"/>
    <n v="-73712"/>
    <n v="-78"/>
  </r>
  <r>
    <x v="19"/>
    <x v="6"/>
    <x v="0"/>
    <s v="4365107"/>
    <n v="400020"/>
    <s v="O/P Care Svcs Rev--Other"/>
    <s v="Massage Therapy-YMCA"/>
    <x v="0"/>
    <n v="1700"/>
    <n v="0"/>
    <n v="0"/>
    <n v="0"/>
    <n v="0"/>
    <n v="0"/>
    <n v="0"/>
    <n v="0"/>
    <n v="-1294.1600000000001"/>
    <n v="-1140"/>
    <n v="-456"/>
    <n v="-967"/>
    <n v="-1250"/>
    <n v="-5107.16"/>
    <n v="283"/>
  </r>
  <r>
    <x v="5"/>
    <x v="6"/>
    <x v="0"/>
    <s v="4365107"/>
    <n v="700034"/>
    <s v="Salaries-Tech/Professional-Productive"/>
    <s v="Massage Therapy-YMCA"/>
    <x v="0"/>
    <m/>
    <n v="9707.83"/>
    <n v="10250"/>
    <n v="7998.23"/>
    <n v="5614.64"/>
    <n v="7133.14"/>
    <n v="6205.3"/>
    <n v="7050.53"/>
    <n v="8154.55"/>
    <n v="8723.01"/>
    <n v="11989.23"/>
    <n v="11831.65"/>
    <n v="9071.57"/>
    <n v="103729.68"/>
    <n v="2760.08"/>
  </r>
  <r>
    <x v="5"/>
    <x v="6"/>
    <x v="0"/>
    <s v="4365107"/>
    <n v="700034"/>
    <s v="Salaries-Tech/Professional-Other"/>
    <s v="Massage Therapy-YMCA"/>
    <x v="0"/>
    <n v="2000"/>
    <n v="157.06"/>
    <n v="134.63999999999999"/>
    <n v="127.34"/>
    <n v="59.31"/>
    <n v="215.1"/>
    <n v="223.64"/>
    <n v="1651.61"/>
    <n v="173.11"/>
    <n v="178.7"/>
    <n v="240.77"/>
    <n v="424.28"/>
    <n v="142.94"/>
    <n v="3728.4999999999995"/>
    <n v="281.33999999999997"/>
  </r>
  <r>
    <x v="5"/>
    <x v="6"/>
    <x v="0"/>
    <s v="4365107"/>
    <n v="700054"/>
    <s v="Salaries-Management-NonProd-Other"/>
    <s v="Massage Therapy-YMCA"/>
    <x v="0"/>
    <n v="2000"/>
    <n v="0"/>
    <n v="0"/>
    <n v="0"/>
    <n v="0"/>
    <n v="0"/>
    <n v="39.75"/>
    <n v="-39.75"/>
    <n v="0"/>
    <n v="0"/>
    <n v="0"/>
    <n v="0"/>
    <n v="0"/>
    <n v="0"/>
    <n v="0"/>
  </r>
  <r>
    <x v="5"/>
    <x v="6"/>
    <x v="0"/>
    <s v="4365107"/>
    <n v="700074"/>
    <s v="Salaries-Tech/Professional-Non-productive"/>
    <s v="Massage Therapy-YMCA"/>
    <x v="0"/>
    <m/>
    <n v="708.46"/>
    <n v="234.58"/>
    <n v="1198.6500000000001"/>
    <n v="4002.24"/>
    <n v="-490.62"/>
    <n v="507.6"/>
    <n v="2238.4899999999998"/>
    <n v="1040.57"/>
    <n v="2596.61"/>
    <n v="-444.22"/>
    <n v="1055.73"/>
    <n v="2014.81"/>
    <n v="14662.900000000001"/>
    <n v="-959.07999999999993"/>
  </r>
  <r>
    <x v="5"/>
    <x v="6"/>
    <x v="0"/>
    <s v="4365107"/>
    <n v="700074"/>
    <s v="Salaries-Tech/Professional-NonProd-Other"/>
    <s v="Massage Therapy-YMCA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365107"/>
    <n v="700084"/>
    <s v="Accrued PTO"/>
    <s v="Massage Therapy-YMCA"/>
    <x v="0"/>
    <m/>
    <n v="371.22"/>
    <n v="729.87"/>
    <n v="-57.78"/>
    <n v="-1012.81"/>
    <n v="272.36"/>
    <n v="451.25"/>
    <n v="-1098.3900000000001"/>
    <n v="-36.659999999999997"/>
    <n v="-180.19"/>
    <n v="711.89"/>
    <n v="369.14"/>
    <n v="-781.9"/>
    <n v="-261.99999999999989"/>
    <n v="1151.04"/>
  </r>
  <r>
    <x v="6"/>
    <x v="6"/>
    <x v="0"/>
    <s v="4365107"/>
    <n v="713010"/>
    <s v="Benefits-FICA/Medicare"/>
    <s v="Massage Therapy-YMCA"/>
    <x v="0"/>
    <m/>
    <n v="796.87"/>
    <n v="800.36"/>
    <n v="701.72"/>
    <n v="728.26"/>
    <n v="515.63"/>
    <n v="506.85"/>
    <n v="810.18"/>
    <n v="686.09"/>
    <n v="846.37"/>
    <n v="869.49"/>
    <n v="985.04"/>
    <n v="827.02"/>
    <n v="9073.880000000001"/>
    <n v="158.01999999999998"/>
  </r>
  <r>
    <x v="6"/>
    <x v="6"/>
    <x v="0"/>
    <s v="4365107"/>
    <n v="713090"/>
    <s v="Benefits-Allocated Amounts"/>
    <s v="Massage Therapy-YMCA"/>
    <x v="0"/>
    <m/>
    <n v="2385.0700000000002"/>
    <n v="2144.58"/>
    <n v="2073.02"/>
    <n v="2075.84"/>
    <n v="1733.14"/>
    <n v="1650.08"/>
    <n v="2061.73"/>
    <n v="2178.5500000000002"/>
    <n v="2243.9699999999998"/>
    <n v="2771.91"/>
    <n v="2825.92"/>
    <n v="2851.93"/>
    <n v="26995.739999999998"/>
    <n v="-26.009999999999764"/>
  </r>
  <r>
    <x v="7"/>
    <x v="6"/>
    <x v="0"/>
    <s v="4365107"/>
    <n v="718050"/>
    <s v="Miscellaneous Purchased Svcs"/>
    <s v="Massage Therapy-YMCA"/>
    <x v="0"/>
    <n v="1020"/>
    <n v="200"/>
    <n v="200"/>
    <n v="400"/>
    <n v="0"/>
    <n v="400"/>
    <n v="0"/>
    <n v="400"/>
    <n v="200"/>
    <n v="0"/>
    <n v="200"/>
    <n v="200"/>
    <n v="400"/>
    <n v="2600"/>
    <n v="-200"/>
  </r>
  <r>
    <x v="7"/>
    <x v="6"/>
    <x v="0"/>
    <s v="4365107"/>
    <n v="718050"/>
    <s v="Contract Management--Linen"/>
    <s v="Massage Therapy-YMCA"/>
    <x v="0"/>
    <n v="1026"/>
    <n v="539.13"/>
    <n v="534.12"/>
    <n v="402.27"/>
    <n v="270.26"/>
    <n v="938.63"/>
    <n v="402.27"/>
    <n v="943.46"/>
    <n v="268.72000000000003"/>
    <n v="879.21"/>
    <n v="441.92"/>
    <n v="155.94999999999999"/>
    <n v="596.94000000000005"/>
    <n v="6372.8799999999992"/>
    <n v="-440.99000000000007"/>
  </r>
  <r>
    <x v="7"/>
    <x v="6"/>
    <x v="0"/>
    <s v="4365107"/>
    <n v="718060"/>
    <s v="Contract Services-CHI RRC Fees"/>
    <s v="Massage Therapy-YMCA"/>
    <x v="0"/>
    <m/>
    <n v="3139"/>
    <n v="3139"/>
    <n v="3139"/>
    <n v="3139"/>
    <n v="3139"/>
    <n v="3139"/>
    <n v="3139"/>
    <n v="3139"/>
    <n v="3139"/>
    <n v="3139"/>
    <n v="3139"/>
    <n v="3139"/>
    <n v="37668"/>
    <n v="0"/>
  </r>
  <r>
    <x v="11"/>
    <x v="6"/>
    <x v="0"/>
    <s v="4365107"/>
    <n v="721810"/>
    <s v="Supplies-Dietary/Cafeteria"/>
    <s v="Massage Therapy-YMCA"/>
    <x v="0"/>
    <m/>
    <n v="0"/>
    <n v="2.58"/>
    <n v="0"/>
    <n v="0"/>
    <n v="0"/>
    <n v="8"/>
    <n v="0"/>
    <n v="0"/>
    <n v="0"/>
    <n v="0"/>
    <n v="0"/>
    <n v="0"/>
    <n v="10.58"/>
    <n v="0"/>
  </r>
  <r>
    <x v="11"/>
    <x v="6"/>
    <x v="0"/>
    <s v="4365107"/>
    <n v="721830"/>
    <s v="Supplies-Office"/>
    <s v="Massage Therapy-YMCA"/>
    <x v="0"/>
    <m/>
    <n v="0"/>
    <n v="9.81"/>
    <n v="71.12"/>
    <n v="0"/>
    <n v="0"/>
    <n v="0"/>
    <n v="10.9"/>
    <n v="0"/>
    <n v="34.97"/>
    <n v="0"/>
    <n v="35"/>
    <n v="0"/>
    <n v="161.80000000000001"/>
    <n v="35"/>
  </r>
  <r>
    <x v="11"/>
    <x v="6"/>
    <x v="0"/>
    <s v="4365107"/>
    <n v="721835"/>
    <s v="Supplies-Forms"/>
    <s v="Massage Therapy-YMCA"/>
    <x v="0"/>
    <m/>
    <n v="0"/>
    <n v="0"/>
    <n v="0"/>
    <n v="0"/>
    <n v="3.83"/>
    <n v="3.83"/>
    <n v="0"/>
    <n v="0"/>
    <n v="0"/>
    <n v="0"/>
    <n v="0"/>
    <n v="3.8"/>
    <n v="11.46"/>
    <n v="-3.8"/>
  </r>
  <r>
    <x v="11"/>
    <x v="6"/>
    <x v="0"/>
    <s v="4365107"/>
    <n v="721910"/>
    <s v="Supplies-Small Equipment"/>
    <s v="Massage Therapy-YMCA"/>
    <x v="0"/>
    <m/>
    <n v="0"/>
    <n v="686.14"/>
    <n v="0"/>
    <n v="0"/>
    <n v="0"/>
    <n v="0"/>
    <n v="148.19999999999999"/>
    <n v="0"/>
    <n v="0"/>
    <n v="0"/>
    <n v="0"/>
    <n v="0"/>
    <n v="834.33999999999992"/>
    <n v="0"/>
  </r>
  <r>
    <x v="11"/>
    <x v="6"/>
    <x v="0"/>
    <s v="4365107"/>
    <n v="721980"/>
    <s v="Supplies-Other"/>
    <s v="Massage Therapy-YMCA"/>
    <x v="0"/>
    <m/>
    <n v="144.09"/>
    <n v="252.59"/>
    <n v="0"/>
    <n v="114.22"/>
    <n v="0"/>
    <n v="0"/>
    <n v="448.06"/>
    <n v="144.09"/>
    <n v="0"/>
    <n v="136.91999999999999"/>
    <n v="0"/>
    <n v="168.61"/>
    <n v="1408.58"/>
    <n v="-168.61"/>
  </r>
  <r>
    <x v="12"/>
    <x v="6"/>
    <x v="0"/>
    <s v="4365107"/>
    <n v="730010"/>
    <s v="Rental and Leases-Building (DO NOT USE)"/>
    <s v="Massage Therapy-YMCA"/>
    <x v="0"/>
    <m/>
    <n v="2475"/>
    <n v="2475"/>
    <n v="2475"/>
    <n v="2475"/>
    <n v="2475"/>
    <n v="2475"/>
    <n v="2475"/>
    <n v="2475"/>
    <n v="2475"/>
    <n v="2475"/>
    <n v="2475"/>
    <n v="0"/>
    <n v="27225"/>
    <n v="2475"/>
  </r>
  <r>
    <x v="12"/>
    <x v="6"/>
    <x v="0"/>
    <s v="4365107"/>
    <n v="730020"/>
    <s v="Rental and Leases-Copier Usage Fees (DO NOT USE)"/>
    <s v="Massage Therapy-YMCA"/>
    <x v="0"/>
    <n v="5100"/>
    <n v="32.35"/>
    <n v="34.89"/>
    <n v="33.619999999999997"/>
    <n v="33.619999999999997"/>
    <n v="33.619999999999997"/>
    <n v="33.619999999999997"/>
    <n v="-5.68"/>
    <n v="34.020000000000003"/>
    <n v="34.15"/>
    <n v="34.020000000000003"/>
    <n v="68.040000000000006"/>
    <n v="37.64"/>
    <n v="403.91"/>
    <n v="30.400000000000006"/>
  </r>
  <r>
    <x v="12"/>
    <x v="6"/>
    <x v="0"/>
    <s v="4365107"/>
    <n v="730040"/>
    <s v="LT Lease-Real Estate"/>
    <s v="Massage Therapy-YMCA"/>
    <x v="0"/>
    <m/>
    <n v="0"/>
    <n v="0"/>
    <n v="0"/>
    <n v="0"/>
    <n v="0"/>
    <n v="0"/>
    <n v="0"/>
    <n v="0"/>
    <n v="0"/>
    <n v="0"/>
    <n v="0"/>
    <n v="2475"/>
    <n v="2475"/>
    <n v="-2475"/>
  </r>
  <r>
    <x v="15"/>
    <x v="6"/>
    <x v="0"/>
    <s v="4365107"/>
    <n v="731060"/>
    <s v="Telephone"/>
    <s v="Massage Therapy-YMCA"/>
    <x v="0"/>
    <m/>
    <n v="248.63"/>
    <n v="159.35"/>
    <n v="91.69"/>
    <n v="82.08"/>
    <n v="162.72999999999999"/>
    <n v="175.19"/>
    <n v="308.31"/>
    <n v="82.06"/>
    <n v="162.19"/>
    <n v="170.07"/>
    <n v="227.09"/>
    <n v="92.39"/>
    <n v="1961.78"/>
    <n v="134.69999999999999"/>
  </r>
  <r>
    <x v="0"/>
    <x v="6"/>
    <x v="0"/>
    <s v="4365107"/>
    <n v="749510"/>
    <s v="RICE Rewards"/>
    <s v="Massage Therapy-YMCA"/>
    <x v="0"/>
    <n v="5100"/>
    <n v="0"/>
    <n v="0"/>
    <n v="0"/>
    <n v="0"/>
    <n v="0"/>
    <n v="0"/>
    <n v="0"/>
    <n v="0"/>
    <n v="0"/>
    <n v="0"/>
    <n v="0"/>
    <n v="92.06"/>
    <n v="92.06"/>
    <n v="-92.06"/>
  </r>
  <r>
    <x v="5"/>
    <x v="9"/>
    <x v="0"/>
    <s v="4398501"/>
    <n v="700032"/>
    <s v="Salaries-Other Pat Care Providers-Productive"/>
    <s v="Ergonomic Evaluations"/>
    <x v="0"/>
    <m/>
    <n v="1792.67"/>
    <n v="526.84"/>
    <n v="978.26"/>
    <n v="322.19"/>
    <n v="662.66"/>
    <n v="5.84"/>
    <n v="494.73"/>
    <n v="338.15"/>
    <n v="1130.02"/>
    <n v="925.21"/>
    <n v="976.07"/>
    <n v="130.18"/>
    <n v="8282.82"/>
    <n v="845.8900000000001"/>
  </r>
  <r>
    <x v="5"/>
    <x v="9"/>
    <x v="0"/>
    <s v="4398501"/>
    <n v="700032"/>
    <s v="Salaries-Other Pat Care Providers-Other"/>
    <s v="Ergonomic Evaluations"/>
    <x v="0"/>
    <n v="2000"/>
    <n v="18.68"/>
    <n v="0"/>
    <n v="0"/>
    <n v="0"/>
    <n v="12.95"/>
    <n v="0"/>
    <n v="0"/>
    <n v="1.85"/>
    <n v="0"/>
    <n v="0"/>
    <n v="0"/>
    <n v="0"/>
    <n v="33.479999999999997"/>
    <n v="0"/>
  </r>
  <r>
    <x v="6"/>
    <x v="9"/>
    <x v="0"/>
    <s v="4398501"/>
    <n v="713010"/>
    <s v="Benefits-FICA/Medicare"/>
    <s v="Ergonomic Evaluations"/>
    <x v="0"/>
    <m/>
    <n v="137.76"/>
    <n v="39.869999999999997"/>
    <n v="73.78"/>
    <n v="24.2"/>
    <n v="52.04"/>
    <n v="0.1"/>
    <n v="37.74"/>
    <n v="25.67"/>
    <n v="85.1"/>
    <n v="70.349999999999994"/>
    <n v="73.8"/>
    <n v="9.67"/>
    <n v="630.08000000000004"/>
    <n v="64.13"/>
  </r>
  <r>
    <x v="6"/>
    <x v="9"/>
    <x v="0"/>
    <s v="4398501"/>
    <n v="713090"/>
    <s v="Benefits-Allocated Amounts"/>
    <s v="Ergonomic Evaluations"/>
    <x v="0"/>
    <m/>
    <n v="265.72000000000003"/>
    <n v="105.78"/>
    <n v="128.94"/>
    <n v="-2.0499999999999998"/>
    <n v="149.38"/>
    <n v="-5.87"/>
    <n v="44.16"/>
    <n v="66.72"/>
    <n v="202.96"/>
    <n v="106.05"/>
    <n v="70.14"/>
    <n v="247.32"/>
    <n v="1379.25"/>
    <n v="-177.18"/>
  </r>
  <r>
    <x v="0"/>
    <x v="9"/>
    <x v="0"/>
    <s v="4398501"/>
    <n v="749530"/>
    <s v="Mileage"/>
    <s v="Ergonomic Evaluations"/>
    <x v="0"/>
    <n v="1001"/>
    <n v="111.19"/>
    <n v="0"/>
    <n v="0"/>
    <n v="0"/>
    <n v="25.62"/>
    <n v="0"/>
    <n v="0"/>
    <n v="0"/>
    <n v="0"/>
    <n v="28.42"/>
    <n v="0"/>
    <n v="0"/>
    <n v="165.23000000000002"/>
    <n v="0"/>
  </r>
  <r>
    <x v="5"/>
    <x v="3"/>
    <x v="0"/>
    <s v="4399101"/>
    <n v="700014"/>
    <s v="Salaries-Management-Productive"/>
    <s v="Therapies Administration"/>
    <x v="0"/>
    <m/>
    <n v="10074.219999999999"/>
    <n v="10360.56"/>
    <n v="3715.74"/>
    <n v="13035.5"/>
    <n v="9030.09"/>
    <n v="8443.09"/>
    <n v="9595.65"/>
    <n v="10844.85"/>
    <n v="5588.02"/>
    <n v="12204.77"/>
    <n v="10403.870000000001"/>
    <n v="5992.62"/>
    <n v="109288.98"/>
    <n v="4411.2500000000009"/>
  </r>
  <r>
    <x v="5"/>
    <x v="3"/>
    <x v="0"/>
    <s v="4399101"/>
    <n v="700018"/>
    <s v="Salaries-Supervisory-Productive"/>
    <s v="Therapies Administration"/>
    <x v="0"/>
    <m/>
    <n v="12100.48"/>
    <n v="18194.3"/>
    <n v="16671"/>
    <n v="18126.62"/>
    <n v="19151.29"/>
    <n v="9479.1"/>
    <n v="18457.330000000002"/>
    <n v="15523.96"/>
    <n v="18897.759999999998"/>
    <n v="18075.900000000001"/>
    <n v="18501.439999999999"/>
    <n v="12373.74"/>
    <n v="195552.92"/>
    <n v="6127.6999999999989"/>
  </r>
  <r>
    <x v="5"/>
    <x v="3"/>
    <x v="0"/>
    <s v="4399101"/>
    <n v="700032"/>
    <s v="Salaries-Other Pat Care Providers-Productive"/>
    <s v="Therapies Administration"/>
    <x v="0"/>
    <m/>
    <n v="7638"/>
    <n v="8720.36"/>
    <n v="11642.85"/>
    <n v="12209.77"/>
    <n v="14123.1"/>
    <n v="12122.26"/>
    <n v="13631.95"/>
    <n v="11089.76"/>
    <n v="14175.65"/>
    <n v="13142.9"/>
    <n v="13308.51"/>
    <n v="9412.33"/>
    <n v="141217.43999999997"/>
    <n v="3896.1800000000003"/>
  </r>
  <r>
    <x v="5"/>
    <x v="3"/>
    <x v="0"/>
    <s v="4399101"/>
    <n v="700032"/>
    <s v="Salaries-Other Pat Care Providers-OT"/>
    <s v="Therapies Administration"/>
    <x v="0"/>
    <n v="1000"/>
    <n v="14.48"/>
    <n v="-1.4"/>
    <n v="0"/>
    <n v="0"/>
    <n v="5.75"/>
    <n v="37.979999999999997"/>
    <n v="-2.46"/>
    <n v="9.19"/>
    <n v="3.35"/>
    <n v="41.72"/>
    <n v="18.100000000000001"/>
    <n v="-10.68"/>
    <n v="116.02999999999997"/>
    <n v="28.78"/>
  </r>
  <r>
    <x v="5"/>
    <x v="3"/>
    <x v="0"/>
    <s v="4399101"/>
    <n v="700032"/>
    <s v="Salaries-Other Pat Care Providers-Other"/>
    <s v="Therapies Administration"/>
    <x v="0"/>
    <n v="2000"/>
    <n v="0"/>
    <n v="0"/>
    <n v="30"/>
    <n v="30"/>
    <n v="0"/>
    <n v="0"/>
    <n v="0"/>
    <n v="0"/>
    <n v="0"/>
    <n v="0"/>
    <n v="0"/>
    <n v="0"/>
    <n v="60"/>
    <n v="0"/>
  </r>
  <r>
    <x v="5"/>
    <x v="3"/>
    <x v="0"/>
    <s v="4399101"/>
    <n v="700038"/>
    <s v="Salaries-Service/Support-Other"/>
    <s v="Therapies Administration"/>
    <x v="0"/>
    <n v="2000"/>
    <n v="0"/>
    <n v="0"/>
    <n v="30"/>
    <n v="0"/>
    <n v="0"/>
    <n v="0"/>
    <n v="0"/>
    <n v="0"/>
    <n v="0"/>
    <n v="0"/>
    <n v="0"/>
    <n v="0"/>
    <n v="30"/>
    <n v="0"/>
  </r>
  <r>
    <x v="5"/>
    <x v="3"/>
    <x v="0"/>
    <s v="4399101"/>
    <n v="700054"/>
    <s v="Salaries-Management-Non-productive"/>
    <s v="Therapies Administration"/>
    <x v="0"/>
    <m/>
    <n v="1000.32"/>
    <n v="714.47"/>
    <n v="7002.19"/>
    <n v="-1714.74"/>
    <n v="1982.18"/>
    <n v="2936.65"/>
    <n v="1801.85"/>
    <n v="-551.37"/>
    <n v="5808.39"/>
    <n v="-1176.32"/>
    <n v="992.55"/>
    <n v="5036.33"/>
    <n v="23832.5"/>
    <n v="-4043.7799999999997"/>
  </r>
  <r>
    <x v="5"/>
    <x v="3"/>
    <x v="0"/>
    <s v="4399101"/>
    <n v="700054"/>
    <s v="Salaries-Management-NonProd-Other"/>
    <s v="Therapies Administration"/>
    <x v="0"/>
    <n v="2000"/>
    <n v="0"/>
    <n v="0"/>
    <n v="0"/>
    <n v="0"/>
    <n v="266.07"/>
    <n v="59"/>
    <n v="-59"/>
    <n v="-266.07"/>
    <n v="0"/>
    <n v="0"/>
    <n v="0"/>
    <n v="0"/>
    <n v="0"/>
    <n v="0"/>
  </r>
  <r>
    <x v="5"/>
    <x v="3"/>
    <x v="0"/>
    <s v="4399101"/>
    <n v="700058"/>
    <s v="Salaries-Supervisory-Non-productive"/>
    <s v="Therapies Administration"/>
    <x v="0"/>
    <m/>
    <n v="6725.52"/>
    <n v="632.57000000000005"/>
    <n v="1548.79"/>
    <n v="1193.0899999999999"/>
    <n v="-340.93"/>
    <n v="9958.91"/>
    <n v="1011.03"/>
    <n v="2058.59"/>
    <n v="568.77"/>
    <n v="762.05"/>
    <n v="965.11"/>
    <n v="6465.09"/>
    <n v="31548.59"/>
    <n v="-5499.9800000000005"/>
  </r>
  <r>
    <x v="5"/>
    <x v="3"/>
    <x v="0"/>
    <s v="4399101"/>
    <n v="700058"/>
    <s v="Salaries-Supervisory-NonProd-Other"/>
    <s v="Therapies Administration"/>
    <x v="0"/>
    <n v="2000"/>
    <n v="0"/>
    <n v="0"/>
    <n v="0"/>
    <n v="0"/>
    <n v="353.01"/>
    <n v="0"/>
    <n v="0"/>
    <n v="-353.01"/>
    <n v="0"/>
    <n v="0"/>
    <n v="0"/>
    <n v="0"/>
    <n v="0"/>
    <n v="0"/>
  </r>
  <r>
    <x v="5"/>
    <x v="3"/>
    <x v="0"/>
    <s v="4399101"/>
    <n v="700072"/>
    <s v="Salaries-Other Pat Care Providers-Non-productive"/>
    <s v="Therapies Administration"/>
    <x v="0"/>
    <m/>
    <n v="1383.73"/>
    <n v="276.62"/>
    <n v="514.08000000000004"/>
    <n v="2978.32"/>
    <n v="8.1199999999999992"/>
    <n v="1831.96"/>
    <n v="1205.24"/>
    <n v="2123.13"/>
    <n v="551.47"/>
    <n v="1103.29"/>
    <n v="1388.8"/>
    <n v="3222.45"/>
    <n v="16587.21"/>
    <n v="-1833.6499999999999"/>
  </r>
  <r>
    <x v="5"/>
    <x v="3"/>
    <x v="0"/>
    <s v="4399101"/>
    <n v="700072"/>
    <s v="Salaries-Other Pat Care Providers-NonProd-Other"/>
    <s v="Therapies Administration"/>
    <x v="0"/>
    <n v="2000"/>
    <n v="19.18"/>
    <n v="-3.38"/>
    <n v="0"/>
    <n v="0"/>
    <n v="0"/>
    <n v="0"/>
    <n v="0"/>
    <n v="0"/>
    <n v="0"/>
    <n v="0"/>
    <n v="0"/>
    <n v="0"/>
    <n v="15.8"/>
    <n v="0"/>
  </r>
  <r>
    <x v="5"/>
    <x v="3"/>
    <x v="0"/>
    <s v="4399101"/>
    <n v="700084"/>
    <s v="Accrued PTO"/>
    <s v="Therapies Administration"/>
    <x v="0"/>
    <m/>
    <n v="-1759.07"/>
    <n v="2256.08"/>
    <n v="-3134.98"/>
    <n v="3716.18"/>
    <n v="3251.02"/>
    <n v="-7946.09"/>
    <n v="1163.1600000000001"/>
    <n v="1661.55"/>
    <n v="-122.46"/>
    <n v="3515.29"/>
    <n v="2719.13"/>
    <n v="-4046.61"/>
    <n v="1273.1999999999994"/>
    <n v="6765.74"/>
  </r>
  <r>
    <x v="6"/>
    <x v="3"/>
    <x v="0"/>
    <s v="4399101"/>
    <n v="713010"/>
    <s v="Benefits-FICA/Medicare"/>
    <s v="Therapies Administration"/>
    <x v="0"/>
    <m/>
    <n v="2970.38"/>
    <n v="2881.45"/>
    <n v="3056.77"/>
    <n v="2692.05"/>
    <n v="2702.76"/>
    <n v="2972.21"/>
    <n v="3404.03"/>
    <n v="3057.04"/>
    <n v="3391.59"/>
    <n v="3284.65"/>
    <n v="3397.12"/>
    <n v="3294.56"/>
    <n v="37104.61"/>
    <n v="102.55999999999995"/>
  </r>
  <r>
    <x v="6"/>
    <x v="3"/>
    <x v="0"/>
    <s v="4399101"/>
    <n v="713090"/>
    <s v="Benefits-Allocated Amounts"/>
    <s v="Therapies Administration"/>
    <x v="0"/>
    <m/>
    <n v="8463.1200000000008"/>
    <n v="7996.54"/>
    <n v="9731.09"/>
    <n v="11264.37"/>
    <n v="10824.02"/>
    <n v="10156.42"/>
    <n v="11623.28"/>
    <n v="11071.27"/>
    <n v="9410.06"/>
    <n v="11356.99"/>
    <n v="12094.76"/>
    <n v="10577.66"/>
    <n v="124569.58"/>
    <n v="1517.1000000000004"/>
  </r>
  <r>
    <x v="7"/>
    <x v="3"/>
    <x v="0"/>
    <s v="4399101"/>
    <n v="718050"/>
    <s v="Document Shredding/Storage"/>
    <s v="Therapies Administration"/>
    <x v="0"/>
    <n v="1012"/>
    <n v="-0.45"/>
    <n v="-1.1000000000000001"/>
    <n v="0"/>
    <n v="0"/>
    <n v="0"/>
    <n v="0"/>
    <n v="0"/>
    <n v="0"/>
    <n v="0"/>
    <n v="0"/>
    <n v="0"/>
    <n v="0"/>
    <n v="-1.55"/>
    <n v="0"/>
  </r>
  <r>
    <x v="7"/>
    <x v="3"/>
    <x v="0"/>
    <s v="4399101"/>
    <n v="718091"/>
    <s v="Contract Services-Intracompany Allocation"/>
    <s v="Therapies Administration"/>
    <x v="0"/>
    <m/>
    <n v="69803.839999999997"/>
    <n v="71936.929999999993"/>
    <n v="71956.23"/>
    <n v="73050.58"/>
    <n v="73405.45"/>
    <n v="71326.039999999994"/>
    <n v="73035.539999999994"/>
    <n v="72167.600000000006"/>
    <n v="71720.850000000006"/>
    <n v="72568.05"/>
    <n v="72146.5"/>
    <n v="71077.7"/>
    <n v="864195.30999999994"/>
    <n v="1068.8000000000029"/>
  </r>
  <r>
    <x v="0"/>
    <x v="3"/>
    <x v="0"/>
    <s v="4399101"/>
    <n v="740020"/>
    <s v="Education-Registration Fees"/>
    <s v="Therapies Administration"/>
    <x v="0"/>
    <m/>
    <n v="0"/>
    <n v="0"/>
    <n v="0"/>
    <n v="0"/>
    <n v="0"/>
    <n v="0"/>
    <n v="0"/>
    <n v="0"/>
    <n v="0"/>
    <n v="660"/>
    <n v="713.34"/>
    <n v="0"/>
    <n v="1373.3400000000001"/>
    <n v="713.34"/>
  </r>
  <r>
    <x v="0"/>
    <x v="3"/>
    <x v="0"/>
    <s v="4399101"/>
    <n v="749510"/>
    <s v="Miscellaneous Expenses"/>
    <s v="Therapies Administration"/>
    <x v="0"/>
    <m/>
    <n v="-200.86"/>
    <n v="59.1"/>
    <n v="0"/>
    <n v="107.2"/>
    <n v="-107.2"/>
    <n v="0"/>
    <n v="0"/>
    <n v="0"/>
    <n v="0"/>
    <n v="220.18"/>
    <n v="0"/>
    <n v="0"/>
    <n v="78.419999999999987"/>
    <n v="0"/>
  </r>
  <r>
    <x v="0"/>
    <x v="3"/>
    <x v="0"/>
    <s v="4399101"/>
    <n v="749530"/>
    <s v="Travel"/>
    <s v="Therapies Administration"/>
    <x v="0"/>
    <m/>
    <n v="0"/>
    <n v="0"/>
    <n v="0"/>
    <n v="0"/>
    <n v="0"/>
    <n v="0"/>
    <n v="0"/>
    <n v="0"/>
    <n v="0"/>
    <n v="980.31"/>
    <n v="0"/>
    <n v="0"/>
    <n v="980.31"/>
    <n v="0"/>
  </r>
  <r>
    <x v="0"/>
    <x v="3"/>
    <x v="0"/>
    <s v="4399101"/>
    <n v="749530"/>
    <s v="Mileage"/>
    <s v="Therapies Administration"/>
    <x v="0"/>
    <n v="1001"/>
    <n v="0"/>
    <n v="0"/>
    <n v="0"/>
    <n v="0"/>
    <n v="0"/>
    <n v="31.61"/>
    <n v="0"/>
    <n v="0"/>
    <n v="0"/>
    <n v="0"/>
    <n v="0"/>
    <n v="0"/>
    <n v="31.61"/>
    <n v="0"/>
  </r>
  <r>
    <x v="5"/>
    <x v="0"/>
    <x v="0"/>
    <s v="4399102"/>
    <n v="700014"/>
    <s v="Salaries-Management-Productive"/>
    <s v="Therapies Administration"/>
    <x v="0"/>
    <m/>
    <n v="11159.56"/>
    <n v="11160.08"/>
    <n v="10296.209999999999"/>
    <n v="11407.21"/>
    <n v="11096.28"/>
    <n v="10356.9"/>
    <n v="11039.78"/>
    <n v="10371.98"/>
    <n v="11483.33"/>
    <n v="11112.55"/>
    <n v="11483.33"/>
    <n v="10594.46"/>
    <n v="131561.67000000001"/>
    <n v="888.8700000000008"/>
  </r>
  <r>
    <x v="5"/>
    <x v="0"/>
    <x v="0"/>
    <s v="4399102"/>
    <n v="700032"/>
    <s v="Salaries-Other Pat Care Providers-Productive"/>
    <s v="Therapies Administration"/>
    <x v="0"/>
    <m/>
    <n v="2973.8"/>
    <n v="2217.06"/>
    <n v="3028.79"/>
    <n v="3116.1"/>
    <n v="3166.87"/>
    <n v="2520.4"/>
    <n v="3111.91"/>
    <n v="2413.64"/>
    <n v="2988.5"/>
    <n v="2772.54"/>
    <n v="2107.89"/>
    <n v="2998.52"/>
    <n v="33416.020000000004"/>
    <n v="-890.63000000000011"/>
  </r>
  <r>
    <x v="5"/>
    <x v="0"/>
    <x v="0"/>
    <s v="4399102"/>
    <n v="700032"/>
    <s v="Salaries-Other Pat Care Providers-OT"/>
    <s v="Therapies Administration"/>
    <x v="0"/>
    <n v="1000"/>
    <n v="0"/>
    <n v="16.39"/>
    <n v="-4.91"/>
    <n v="0"/>
    <n v="0"/>
    <n v="0"/>
    <n v="0"/>
    <n v="0"/>
    <n v="0"/>
    <n v="0"/>
    <n v="0"/>
    <n v="0"/>
    <n v="11.48"/>
    <n v="0"/>
  </r>
  <r>
    <x v="5"/>
    <x v="0"/>
    <x v="0"/>
    <s v="4399102"/>
    <n v="700032"/>
    <s v="Salaries-Other Pat Care Providers-Other"/>
    <s v="Therapies Administration"/>
    <x v="0"/>
    <n v="2000"/>
    <n v="0"/>
    <n v="0"/>
    <n v="0"/>
    <n v="0"/>
    <n v="0"/>
    <n v="4.3499999999999996"/>
    <n v="0"/>
    <n v="0"/>
    <n v="0"/>
    <n v="0"/>
    <n v="0"/>
    <n v="0"/>
    <n v="4.3499999999999996"/>
    <n v="0"/>
  </r>
  <r>
    <x v="5"/>
    <x v="0"/>
    <x v="0"/>
    <s v="4399102"/>
    <n v="700054"/>
    <s v="Salaries-Management-NonProd-Other"/>
    <s v="Therapies 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4399102"/>
    <n v="700072"/>
    <s v="Salaries-Other Pat Care Providers-Non-productive"/>
    <s v="Therapies Administration"/>
    <x v="0"/>
    <m/>
    <n v="141.53"/>
    <n v="1611.05"/>
    <n v="138.31"/>
    <n v="63.38"/>
    <n v="-10.59"/>
    <n v="1141.98"/>
    <n v="200.35"/>
    <n v="217.85"/>
    <n v="187.29"/>
    <n v="678.24"/>
    <n v="1161.25"/>
    <n v="33.36"/>
    <n v="5563.9999999999991"/>
    <n v="1127.8900000000001"/>
  </r>
  <r>
    <x v="5"/>
    <x v="0"/>
    <x v="0"/>
    <s v="4399102"/>
    <n v="700072"/>
    <s v="Salaries-Other Pat Care Providers-NonProd-Other"/>
    <s v="Therapies 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4399102"/>
    <n v="700084"/>
    <s v="Accrued PTO"/>
    <s v="Therapies Administration"/>
    <x v="0"/>
    <m/>
    <n v="279.5"/>
    <n v="-824.39"/>
    <n v="-21.66"/>
    <n v="275.68"/>
    <n v="356.12"/>
    <n v="-248.54"/>
    <n v="-44.65"/>
    <n v="95.4"/>
    <n v="103.02"/>
    <n v="34.200000000000003"/>
    <n v="63.05"/>
    <n v="72.67"/>
    <n v="140.40000000000006"/>
    <n v="-9.6200000000000045"/>
  </r>
  <r>
    <x v="6"/>
    <x v="0"/>
    <x v="0"/>
    <s v="4399102"/>
    <n v="713010"/>
    <s v="Benefits-FICA/Medicare"/>
    <s v="Therapies Administration"/>
    <x v="0"/>
    <m/>
    <n v="1082.33"/>
    <n v="1138.1600000000001"/>
    <n v="1020.15"/>
    <n v="1106.18"/>
    <n v="248.38"/>
    <n v="870.04"/>
    <n v="1139.47"/>
    <n v="984.43"/>
    <n v="1109.99"/>
    <n v="1102.97"/>
    <n v="1117.0899999999999"/>
    <n v="1031.3800000000001"/>
    <n v="11950.57"/>
    <n v="85.709999999999809"/>
  </r>
  <r>
    <x v="6"/>
    <x v="0"/>
    <x v="0"/>
    <s v="4399102"/>
    <n v="713090"/>
    <s v="Benefits-Allocated Amounts"/>
    <s v="Therapies Administration"/>
    <x v="0"/>
    <m/>
    <n v="2787.2"/>
    <n v="2676.8"/>
    <n v="2564.29"/>
    <n v="2591"/>
    <n v="2590.09"/>
    <n v="2672.84"/>
    <n v="2760.33"/>
    <n v="2609.83"/>
    <n v="2608.39"/>
    <n v="2952"/>
    <n v="2811.65"/>
    <n v="2698.56"/>
    <n v="32322.980000000007"/>
    <n v="113.09000000000015"/>
  </r>
  <r>
    <x v="7"/>
    <x v="0"/>
    <x v="0"/>
    <s v="4399102"/>
    <n v="718050"/>
    <s v="Contract Management--Linen"/>
    <s v="Therapies Administration"/>
    <x v="0"/>
    <n v="1026"/>
    <n v="5709.82"/>
    <n v="5994.28"/>
    <n v="6672.08"/>
    <n v="6347.12"/>
    <n v="7865.97"/>
    <n v="5680.19"/>
    <n v="7332.91"/>
    <n v="9490.6200000000008"/>
    <n v="8327.86"/>
    <n v="-56186.06"/>
    <n v="0"/>
    <n v="0"/>
    <n v="7234.7900000000009"/>
    <n v="0"/>
  </r>
  <r>
    <x v="7"/>
    <x v="0"/>
    <x v="0"/>
    <s v="4399102"/>
    <n v="718091"/>
    <s v="Contract Services-Intracompany Allocation"/>
    <s v="Therapies Administration"/>
    <x v="0"/>
    <m/>
    <n v="27796.22"/>
    <n v="29076.080000000002"/>
    <n v="29087.66"/>
    <n v="29744.26"/>
    <n v="29957.19"/>
    <n v="28709.56"/>
    <n v="29735.24"/>
    <n v="29214.47"/>
    <n v="28946.43"/>
    <n v="29454.76"/>
    <n v="29201.81"/>
    <n v="28560.54"/>
    <n v="349484.22"/>
    <n v="641.27000000000044"/>
  </r>
  <r>
    <x v="11"/>
    <x v="0"/>
    <x v="0"/>
    <s v="4399102"/>
    <n v="721830"/>
    <s v="Supplies-Office"/>
    <s v="Therapies Administration"/>
    <x v="0"/>
    <m/>
    <n v="0"/>
    <n v="82.45"/>
    <n v="8.58"/>
    <n v="0"/>
    <n v="0"/>
    <n v="0"/>
    <n v="125.27"/>
    <n v="0"/>
    <n v="0"/>
    <n v="0"/>
    <n v="0"/>
    <n v="0"/>
    <n v="216.3"/>
    <n v="0"/>
  </r>
  <r>
    <x v="11"/>
    <x v="0"/>
    <x v="0"/>
    <s v="4399102"/>
    <n v="721980"/>
    <s v="Supplies-Other"/>
    <s v="Therapies Administration"/>
    <x v="0"/>
    <m/>
    <n v="0"/>
    <n v="17.579999999999998"/>
    <n v="0"/>
    <n v="0"/>
    <n v="0"/>
    <n v="0"/>
    <n v="0"/>
    <n v="0"/>
    <n v="0"/>
    <n v="0"/>
    <n v="0"/>
    <n v="2.5"/>
    <n v="20.079999999999998"/>
    <n v="-2.5"/>
  </r>
  <r>
    <x v="12"/>
    <x v="0"/>
    <x v="0"/>
    <s v="4399102"/>
    <n v="730020"/>
    <s v="Rental and Leases-Copier Usage Fees (DO NOT USE)"/>
    <s v="Therapies Administration"/>
    <x v="0"/>
    <n v="5100"/>
    <n v="185.5"/>
    <n v="188.94"/>
    <n v="187.22"/>
    <n v="187.22"/>
    <n v="187.22"/>
    <n v="187.22"/>
    <n v="76.459999999999994"/>
    <n v="162.71"/>
    <n v="162.37"/>
    <n v="197.79"/>
    <n v="162.71"/>
    <n v="174.6"/>
    <n v="2059.96"/>
    <n v="-11.889999999999986"/>
  </r>
  <r>
    <x v="15"/>
    <x v="0"/>
    <x v="0"/>
    <s v="4399102"/>
    <n v="731060"/>
    <s v="Pagers"/>
    <s v="Therapies Administration"/>
    <x v="0"/>
    <n v="1002"/>
    <n v="17.399999999999999"/>
    <n v="17.399999999999999"/>
    <n v="17.399999999999999"/>
    <n v="17.440000000000001"/>
    <n v="17.440000000000001"/>
    <n v="0"/>
    <n v="34.880000000000003"/>
    <n v="17.440000000000001"/>
    <n v="17.440000000000001"/>
    <n v="17.440000000000001"/>
    <n v="17.440000000000001"/>
    <n v="17.440000000000001"/>
    <n v="209.16"/>
    <n v="0"/>
  </r>
  <r>
    <x v="0"/>
    <x v="0"/>
    <x v="0"/>
    <s v="4399102"/>
    <n v="740020"/>
    <s v="Education-Registration Fees"/>
    <s v="Therapies Administration"/>
    <x v="0"/>
    <m/>
    <n v="0"/>
    <n v="0"/>
    <n v="0"/>
    <n v="0"/>
    <n v="0"/>
    <n v="0"/>
    <n v="0"/>
    <n v="0"/>
    <n v="0"/>
    <n v="0"/>
    <n v="237.78"/>
    <n v="0"/>
    <n v="237.78"/>
    <n v="237.78"/>
  </r>
  <r>
    <x v="0"/>
    <x v="0"/>
    <x v="0"/>
    <s v="4399102"/>
    <n v="749510"/>
    <s v="Miscellaneous Expenses"/>
    <s v="Therapies Administration"/>
    <x v="0"/>
    <m/>
    <n v="0"/>
    <n v="0"/>
    <n v="0"/>
    <n v="0"/>
    <n v="0"/>
    <n v="0"/>
    <n v="0"/>
    <n v="0"/>
    <n v="13.92"/>
    <n v="-13.92"/>
    <n v="0"/>
    <n v="0"/>
    <n v="0"/>
    <n v="0"/>
  </r>
  <r>
    <x v="0"/>
    <x v="0"/>
    <x v="0"/>
    <s v="4399102"/>
    <n v="749530"/>
    <s v="Mileage"/>
    <s v="Therapies Administration"/>
    <x v="0"/>
    <n v="1001"/>
    <n v="0"/>
    <n v="19.62"/>
    <n v="38.15"/>
    <n v="0"/>
    <n v="33.25"/>
    <n v="13.08"/>
    <n v="0"/>
    <n v="26.68"/>
    <n v="0"/>
    <n v="13.92"/>
    <n v="6.96"/>
    <n v="27.84"/>
    <n v="179.5"/>
    <n v="-20.88"/>
  </r>
  <r>
    <x v="5"/>
    <x v="4"/>
    <x v="0"/>
    <s v="4399103"/>
    <n v="700014"/>
    <s v="Salaries-Management-Productive"/>
    <s v="Therapies Administration"/>
    <x v="0"/>
    <m/>
    <n v="11177.28"/>
    <n v="7572.25"/>
    <n v="7934.89"/>
    <n v="11059.76"/>
    <n v="9224.42"/>
    <n v="10386.040000000001"/>
    <n v="8543.35"/>
    <n v="9232.33"/>
    <n v="10339.83"/>
    <n v="5510.2"/>
    <n v="13902.85"/>
    <n v="8634.2999999999993"/>
    <n v="113517.50000000001"/>
    <n v="5268.5500000000011"/>
  </r>
  <r>
    <x v="5"/>
    <x v="4"/>
    <x v="0"/>
    <s v="4399103"/>
    <n v="700032"/>
    <s v="Salaries-Other Pat Care Providers-Productive"/>
    <s v="Therapies Administration"/>
    <x v="0"/>
    <m/>
    <n v="2505.8200000000002"/>
    <n v="2079.46"/>
    <n v="2537.12"/>
    <n v="2712.06"/>
    <n v="2388.31"/>
    <n v="1956.43"/>
    <n v="2408.5"/>
    <n v="1932.13"/>
    <n v="2178.58"/>
    <n v="2300.9"/>
    <n v="1982.92"/>
    <n v="1247.53"/>
    <n v="26229.760000000002"/>
    <n v="735.3900000000001"/>
  </r>
  <r>
    <x v="5"/>
    <x v="4"/>
    <x v="0"/>
    <s v="4399103"/>
    <n v="700032"/>
    <s v="Salaries-Other Pat Care Providers-OT"/>
    <s v="Therapies Administration"/>
    <x v="0"/>
    <n v="1000"/>
    <n v="0"/>
    <n v="0"/>
    <n v="29.54"/>
    <n v="13.95"/>
    <n v="-9.02"/>
    <n v="11.49"/>
    <n v="21.36"/>
    <n v="-4.0999999999999996"/>
    <n v="9.2100000000000009"/>
    <n v="16.79"/>
    <n v="20.55"/>
    <n v="29.79"/>
    <n v="139.56"/>
    <n v="-9.2399999999999984"/>
  </r>
  <r>
    <x v="5"/>
    <x v="4"/>
    <x v="0"/>
    <s v="4399103"/>
    <n v="700032"/>
    <s v="Salaries-Other Pat Care Providers-Other"/>
    <s v="Therapies Administration"/>
    <x v="0"/>
    <n v="2000"/>
    <n v="0"/>
    <n v="0"/>
    <n v="0"/>
    <n v="0"/>
    <n v="0"/>
    <n v="0"/>
    <n v="0"/>
    <n v="0"/>
    <n v="0"/>
    <n v="0"/>
    <n v="0"/>
    <n v="314.17"/>
    <n v="314.17"/>
    <n v="-314.17"/>
  </r>
  <r>
    <x v="5"/>
    <x v="4"/>
    <x v="0"/>
    <s v="4399103"/>
    <n v="700054"/>
    <s v="Salaries-Management-Non-productive"/>
    <s v="Therapies Administration"/>
    <x v="0"/>
    <m/>
    <n v="0"/>
    <n v="3605.53"/>
    <n v="2235.71"/>
    <n v="-288.44"/>
    <n v="2000.7"/>
    <n v="741.04"/>
    <n v="2300.79"/>
    <n v="667.97"/>
    <n v="519.48"/>
    <n v="5342.94"/>
    <n v="-2226.06"/>
    <n v="2189.1999999999998"/>
    <n v="17088.86"/>
    <n v="-4415.26"/>
  </r>
  <r>
    <x v="5"/>
    <x v="4"/>
    <x v="0"/>
    <s v="4399103"/>
    <n v="700054"/>
    <s v="Salaries-Management-NonProd-Other"/>
    <s v="Therapies Administration"/>
    <x v="0"/>
    <n v="2000"/>
    <n v="0"/>
    <n v="0"/>
    <n v="0"/>
    <n v="0"/>
    <n v="0"/>
    <n v="634.29999999999995"/>
    <n v="-634.29999999999995"/>
    <n v="0"/>
    <n v="0"/>
    <n v="0"/>
    <n v="0"/>
    <n v="0"/>
    <n v="0"/>
    <n v="0"/>
  </r>
  <r>
    <x v="5"/>
    <x v="4"/>
    <x v="0"/>
    <s v="4399103"/>
    <n v="700072"/>
    <s v="Salaries-Other Pat Care Providers-Non-productive"/>
    <s v="Therapies Administration"/>
    <x v="0"/>
    <m/>
    <n v="206.13"/>
    <n v="632.61"/>
    <n v="87.52"/>
    <n v="0"/>
    <n v="236.2"/>
    <n v="755.66"/>
    <n v="307.79000000000002"/>
    <n v="555.87"/>
    <n v="594.26"/>
    <n v="368.96"/>
    <n v="308.31"/>
    <n v="-178.02"/>
    <n v="3875.29"/>
    <n v="486.33000000000004"/>
  </r>
  <r>
    <x v="5"/>
    <x v="4"/>
    <x v="0"/>
    <s v="4399103"/>
    <n v="700084"/>
    <s v="Accrued PTO"/>
    <s v="Therapies Administration"/>
    <x v="0"/>
    <m/>
    <n v="1501.28"/>
    <n v="-1399.58"/>
    <n v="-1535.7"/>
    <n v="2186.73"/>
    <n v="616.5"/>
    <n v="313.26"/>
    <n v="-542"/>
    <n v="366.61"/>
    <n v="1092.3800000000001"/>
    <n v="-1856.48"/>
    <n v="1311.77"/>
    <n v="138.22999999999999"/>
    <n v="2193"/>
    <n v="1173.54"/>
  </r>
  <r>
    <x v="6"/>
    <x v="4"/>
    <x v="0"/>
    <s v="4399103"/>
    <n v="713010"/>
    <s v="Benefits-FICA/Medicare"/>
    <s v="Therapies Administration"/>
    <x v="0"/>
    <m/>
    <n v="1051.82"/>
    <n v="1051.8599999999999"/>
    <n v="971.29"/>
    <n v="1022.38"/>
    <n v="1050.4100000000001"/>
    <n v="645.33000000000004"/>
    <n v="1075.6600000000001"/>
    <n v="936.64"/>
    <n v="1031.72"/>
    <n v="1024.05"/>
    <n v="1057.57"/>
    <n v="931.87"/>
    <n v="11850.599999999999"/>
    <n v="125.69999999999993"/>
  </r>
  <r>
    <x v="6"/>
    <x v="4"/>
    <x v="0"/>
    <s v="4399103"/>
    <n v="713090"/>
    <s v="Benefits-Allocated Amounts"/>
    <s v="Therapies Administration"/>
    <x v="0"/>
    <m/>
    <n v="2699.32"/>
    <n v="2182.81"/>
    <n v="2267.09"/>
    <n v="2442.9299999999998"/>
    <n v="2477.37"/>
    <n v="2472.96"/>
    <n v="2566.6999999999998"/>
    <n v="2434.81"/>
    <n v="2482.0700000000002"/>
    <n v="2534.19"/>
    <n v="2625.59"/>
    <n v="2050.9899999999998"/>
    <n v="29236.83"/>
    <n v="574.60000000000036"/>
  </r>
  <r>
    <x v="7"/>
    <x v="4"/>
    <x v="0"/>
    <s v="4399103"/>
    <n v="718060"/>
    <s v="Contract Services-CHI RRC Fees"/>
    <s v="Therapies Administration"/>
    <x v="0"/>
    <m/>
    <n v="14367"/>
    <n v="14367"/>
    <n v="14367"/>
    <n v="14367"/>
    <n v="14367"/>
    <n v="14367"/>
    <n v="14367"/>
    <n v="14367"/>
    <n v="14367"/>
    <n v="14367"/>
    <n v="14367"/>
    <n v="14367"/>
    <n v="172404"/>
    <n v="0"/>
  </r>
  <r>
    <x v="7"/>
    <x v="4"/>
    <x v="0"/>
    <s v="4399103"/>
    <n v="718091"/>
    <s v="Contract Services-Intracompany Allocation"/>
    <s v="Therapies Administration"/>
    <x v="0"/>
    <m/>
    <n v="3650.35"/>
    <n v="4361.38"/>
    <n v="4367.8"/>
    <n v="4732.6000000000004"/>
    <n v="4850.88"/>
    <n v="4157.75"/>
    <n v="4727.57"/>
    <n v="4438.28"/>
    <n v="4289.34"/>
    <n v="4571.75"/>
    <n v="4431.24"/>
    <n v="4074.96"/>
    <n v="52653.899999999994"/>
    <n v="356.27999999999975"/>
  </r>
  <r>
    <x v="12"/>
    <x v="4"/>
    <x v="0"/>
    <s v="4399103"/>
    <n v="730020"/>
    <s v="Rental and Leases-Copier Usage Fees (DO NOT USE)"/>
    <s v="Therapies Administration"/>
    <x v="0"/>
    <n v="5100"/>
    <n v="21.14"/>
    <n v="21.09"/>
    <n v="21.12"/>
    <n v="21.12"/>
    <n v="21.12"/>
    <n v="21.12"/>
    <n v="86.12"/>
    <n v="24.52"/>
    <n v="24.47"/>
    <n v="24.57"/>
    <n v="24.52"/>
    <n v="24.52"/>
    <n v="335.43"/>
    <n v="0"/>
  </r>
  <r>
    <x v="0"/>
    <x v="4"/>
    <x v="0"/>
    <s v="4399103"/>
    <n v="740020"/>
    <s v="Education-Registration Fees"/>
    <s v="Therapies Administration"/>
    <x v="0"/>
    <m/>
    <n v="0"/>
    <n v="0"/>
    <n v="0"/>
    <n v="0"/>
    <n v="0"/>
    <n v="0"/>
    <n v="0"/>
    <n v="0"/>
    <n v="0"/>
    <n v="0"/>
    <n v="237.78"/>
    <n v="0"/>
    <n v="237.78"/>
    <n v="237.78"/>
  </r>
  <r>
    <x v="0"/>
    <x v="4"/>
    <x v="0"/>
    <s v="4399103"/>
    <n v="743020"/>
    <s v="Dues--Individual"/>
    <s v="Therapies Administration"/>
    <x v="0"/>
    <m/>
    <n v="0"/>
    <n v="0"/>
    <n v="635"/>
    <n v="0"/>
    <n v="0"/>
    <n v="0"/>
    <n v="0"/>
    <n v="0"/>
    <n v="0"/>
    <n v="0"/>
    <n v="0"/>
    <n v="0"/>
    <n v="635"/>
    <n v="0"/>
  </r>
  <r>
    <x v="0"/>
    <x v="4"/>
    <x v="0"/>
    <s v="4399103"/>
    <n v="749510"/>
    <s v="Miscellaneous Expenses"/>
    <s v="Therapies Administration"/>
    <x v="0"/>
    <m/>
    <n v="21.26"/>
    <n v="-63.24"/>
    <n v="34.89"/>
    <n v="63.25"/>
    <n v="-71.430000000000007"/>
    <n v="20.71"/>
    <n v="15.22"/>
    <n v="-45.82"/>
    <n v="35.380000000000003"/>
    <n v="-28.42"/>
    <n v="-23.78"/>
    <n v="71.92"/>
    <n v="29.939999999999991"/>
    <n v="-95.7"/>
  </r>
  <r>
    <x v="0"/>
    <x v="4"/>
    <x v="0"/>
    <s v="4399103"/>
    <n v="749530"/>
    <s v="Travel"/>
    <s v="Therapies Administration"/>
    <x v="0"/>
    <m/>
    <n v="0"/>
    <n v="0"/>
    <n v="0"/>
    <n v="0"/>
    <n v="6"/>
    <n v="0"/>
    <n v="0"/>
    <n v="0"/>
    <n v="0"/>
    <n v="0"/>
    <n v="0"/>
    <n v="0"/>
    <n v="6"/>
    <n v="0"/>
  </r>
  <r>
    <x v="0"/>
    <x v="4"/>
    <x v="0"/>
    <s v="4399103"/>
    <n v="749530"/>
    <s v="Mileage"/>
    <s v="Therapies Administration"/>
    <x v="0"/>
    <n v="1001"/>
    <n v="0"/>
    <n v="73.06"/>
    <n v="0"/>
    <n v="34.89"/>
    <n v="92.14"/>
    <n v="26.71"/>
    <n v="47.42"/>
    <n v="62.64"/>
    <n v="16.82"/>
    <n v="52.2"/>
    <n v="23.78"/>
    <n v="28.42"/>
    <n v="458.08"/>
    <n v="-4.6400000000000006"/>
  </r>
  <r>
    <x v="5"/>
    <x v="8"/>
    <x v="0"/>
    <s v="4399104"/>
    <n v="700014"/>
    <s v="Salaries-Management-Productive"/>
    <s v="Therapies Administration"/>
    <x v="0"/>
    <m/>
    <n v="8747.57"/>
    <n v="8207.7099999999991"/>
    <n v="9396.2099999999991"/>
    <n v="9717.19"/>
    <n v="6899.92"/>
    <n v="8437.2999999999993"/>
    <n v="10271.99"/>
    <n v="8471.4699999999993"/>
    <n v="11549.89"/>
    <n v="8923.5300000000007"/>
    <n v="10802.2"/>
    <n v="3884.09"/>
    <n v="105309.06999999998"/>
    <n v="6918.1100000000006"/>
  </r>
  <r>
    <x v="5"/>
    <x v="8"/>
    <x v="0"/>
    <s v="4399104"/>
    <n v="700032"/>
    <s v="Salaries-Other Pat Care Providers-Productive"/>
    <s v="Therapies Administration"/>
    <x v="0"/>
    <m/>
    <n v="764.49"/>
    <n v="0"/>
    <n v="2346.39"/>
    <n v="2618.59"/>
    <n v="2087.8200000000002"/>
    <n v="2503.9"/>
    <n v="2497.54"/>
    <n v="2047.38"/>
    <n v="2714.66"/>
    <n v="1727.75"/>
    <n v="2646.89"/>
    <n v="2079.42"/>
    <n v="24034.83"/>
    <n v="567.4699999999998"/>
  </r>
  <r>
    <x v="5"/>
    <x v="8"/>
    <x v="0"/>
    <s v="4399104"/>
    <n v="700032"/>
    <s v="Salaries-Other Pat Care Providers-Other"/>
    <s v="Therapies Administration"/>
    <x v="0"/>
    <n v="2000"/>
    <n v="0"/>
    <n v="0"/>
    <n v="30"/>
    <n v="0"/>
    <n v="0"/>
    <n v="0"/>
    <n v="0"/>
    <n v="0"/>
    <n v="0"/>
    <n v="0"/>
    <n v="0"/>
    <n v="0"/>
    <n v="30"/>
    <n v="0"/>
  </r>
  <r>
    <x v="5"/>
    <x v="8"/>
    <x v="0"/>
    <s v="4399104"/>
    <n v="700054"/>
    <s v="Salaries-Management-Non-productive"/>
    <s v="Therapies Administration"/>
    <x v="0"/>
    <m/>
    <n v="2009.28"/>
    <n v="2439.7600000000002"/>
    <n v="861.18"/>
    <n v="1556.39"/>
    <n v="2802.03"/>
    <n v="3391.79"/>
    <n v="-294.83"/>
    <n v="1403"/>
    <n v="-369.17"/>
    <n v="0"/>
    <n v="996.87"/>
    <n v="7015.23"/>
    <n v="21811.53"/>
    <n v="-6018.36"/>
  </r>
  <r>
    <x v="5"/>
    <x v="8"/>
    <x v="0"/>
    <s v="4399104"/>
    <n v="700072"/>
    <s v="Salaries-Other Pat Care Providers-Non-productive"/>
    <s v="Therapies Administration"/>
    <x v="0"/>
    <m/>
    <n v="0"/>
    <n v="0"/>
    <n v="0"/>
    <n v="0"/>
    <n v="0"/>
    <n v="240.62"/>
    <n v="170.86"/>
    <n v="351.23"/>
    <n v="-46.5"/>
    <n v="854.23"/>
    <n v="21.25"/>
    <n v="502.7"/>
    <n v="2094.39"/>
    <n v="-481.45"/>
  </r>
  <r>
    <x v="5"/>
    <x v="8"/>
    <x v="0"/>
    <s v="4399104"/>
    <n v="700072"/>
    <s v="Salaries-Other Pat Care Providers-NonProd-Other"/>
    <s v="Therapies 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4399104"/>
    <n v="700084"/>
    <s v="Accrued PTO"/>
    <s v="Therapies Administration"/>
    <x v="0"/>
    <m/>
    <n v="-504.77"/>
    <n v="-580.17999999999995"/>
    <n v="584.64"/>
    <n v="1292.76"/>
    <n v="-1936.99"/>
    <n v="-772.17"/>
    <n v="1500.03"/>
    <n v="389.22"/>
    <n v="1680.35"/>
    <n v="1267.54"/>
    <n v="1164.18"/>
    <n v="-4707.13"/>
    <n v="-622.52000000000044"/>
    <n v="5871.31"/>
  </r>
  <r>
    <x v="6"/>
    <x v="8"/>
    <x v="0"/>
    <s v="4399104"/>
    <n v="713010"/>
    <s v="Benefits-FICA/Medicare"/>
    <s v="Therapies Administration"/>
    <x v="0"/>
    <m/>
    <n v="886.77"/>
    <n v="805.45"/>
    <n v="957.72"/>
    <n v="1053.4000000000001"/>
    <n v="862.84"/>
    <n v="651.27"/>
    <n v="932.32"/>
    <n v="906.42"/>
    <n v="1023.29"/>
    <n v="847.11"/>
    <n v="1069.93"/>
    <n v="996.31"/>
    <n v="10992.83"/>
    <n v="73.620000000000118"/>
  </r>
  <r>
    <x v="6"/>
    <x v="8"/>
    <x v="0"/>
    <s v="4399104"/>
    <n v="713090"/>
    <s v="Benefits-Allocated Amounts"/>
    <s v="Therapies Administration"/>
    <x v="0"/>
    <m/>
    <n v="1714.15"/>
    <n v="1254.28"/>
    <n v="2258.0300000000002"/>
    <n v="2520.0700000000002"/>
    <n v="2025.63"/>
    <n v="2540.19"/>
    <n v="2443.08"/>
    <n v="2445.21"/>
    <n v="2644.81"/>
    <n v="2458.75"/>
    <n v="2729.69"/>
    <n v="2376.06"/>
    <n v="27409.95"/>
    <n v="353.63000000000011"/>
  </r>
  <r>
    <x v="7"/>
    <x v="8"/>
    <x v="0"/>
    <s v="4399104"/>
    <n v="718091"/>
    <s v="Contract Services-Intracompany Allocation"/>
    <s v="Therapies Administration"/>
    <x v="0"/>
    <m/>
    <n v="20051.95"/>
    <n v="20762.98"/>
    <n v="20769.400000000001"/>
    <n v="21134.2"/>
    <n v="21252.48"/>
    <n v="20559.349999999999"/>
    <n v="21129.17"/>
    <n v="20839.88"/>
    <n v="20690.939999999999"/>
    <n v="20973.35"/>
    <n v="20832.84"/>
    <n v="20476.560000000001"/>
    <n v="249473.09999999998"/>
    <n v="356.27999999999884"/>
  </r>
  <r>
    <x v="15"/>
    <x v="8"/>
    <x v="0"/>
    <s v="4399104"/>
    <n v="731060"/>
    <s v="Pagers"/>
    <s v="Therapies Administration"/>
    <x v="0"/>
    <n v="1002"/>
    <n v="35.630000000000003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124.91000000000003"/>
    <n v="0"/>
  </r>
  <r>
    <x v="16"/>
    <x v="8"/>
    <x v="0"/>
    <s v="4399104"/>
    <n v="732030"/>
    <s v="Repairs---Other"/>
    <s v="Therapies Administration"/>
    <x v="0"/>
    <m/>
    <n v="13.01"/>
    <n v="0"/>
    <n v="0"/>
    <n v="0"/>
    <n v="0"/>
    <n v="0"/>
    <n v="0"/>
    <n v="21.97"/>
    <n v="0"/>
    <n v="0"/>
    <n v="0"/>
    <n v="0"/>
    <n v="34.979999999999997"/>
    <n v="0"/>
  </r>
  <r>
    <x v="0"/>
    <x v="8"/>
    <x v="0"/>
    <s v="4399104"/>
    <n v="740020"/>
    <s v="Education-Registration Fees"/>
    <s v="Therapies Administration"/>
    <x v="0"/>
    <m/>
    <n v="0"/>
    <n v="0"/>
    <n v="0"/>
    <n v="0"/>
    <n v="0"/>
    <n v="0"/>
    <n v="0"/>
    <n v="0"/>
    <n v="0"/>
    <n v="0"/>
    <n v="237.78"/>
    <n v="0"/>
    <n v="237.78"/>
    <n v="237.78"/>
  </r>
  <r>
    <x v="0"/>
    <x v="8"/>
    <x v="0"/>
    <s v="4399104"/>
    <n v="749510"/>
    <s v="RICE Rewards"/>
    <s v="Therapies Administration"/>
    <x v="0"/>
    <n v="5100"/>
    <n v="0"/>
    <n v="0"/>
    <n v="0"/>
    <n v="0"/>
    <n v="0"/>
    <n v="0"/>
    <n v="0"/>
    <n v="0"/>
    <n v="0"/>
    <n v="0"/>
    <n v="0"/>
    <n v="83.18"/>
    <n v="83.18"/>
    <n v="-83.18"/>
  </r>
  <r>
    <x v="0"/>
    <x v="8"/>
    <x v="0"/>
    <s v="4399104"/>
    <n v="749530"/>
    <s v="Travel"/>
    <s v="Therapies Administration"/>
    <x v="0"/>
    <m/>
    <n v="0"/>
    <n v="0"/>
    <n v="0"/>
    <n v="0"/>
    <n v="0"/>
    <n v="25"/>
    <n v="0"/>
    <n v="0"/>
    <n v="0"/>
    <n v="35"/>
    <n v="0"/>
    <n v="15"/>
    <n v="75"/>
    <n v="-15"/>
  </r>
  <r>
    <x v="0"/>
    <x v="8"/>
    <x v="0"/>
    <s v="4399104"/>
    <n v="749530"/>
    <s v="Mileage"/>
    <s v="Therapies Administration"/>
    <x v="0"/>
    <n v="1001"/>
    <n v="0"/>
    <n v="0"/>
    <n v="0"/>
    <n v="0"/>
    <n v="0"/>
    <n v="233.86"/>
    <n v="0"/>
    <n v="0"/>
    <n v="0"/>
    <n v="244.76"/>
    <n v="0"/>
    <n v="96.28"/>
    <n v="574.9"/>
    <n v="-96.28"/>
  </r>
  <r>
    <x v="5"/>
    <x v="6"/>
    <x v="0"/>
    <s v="4399107"/>
    <n v="700014"/>
    <s v="Salaries-Management-Productive"/>
    <s v="Therapies Administration"/>
    <x v="0"/>
    <m/>
    <n v="9521.44"/>
    <n v="9737.44"/>
    <n v="9270.5300000000007"/>
    <n v="9036.93"/>
    <n v="6903.91"/>
    <n v="11703.56"/>
    <n v="10501.66"/>
    <n v="9650.2800000000007"/>
    <n v="10611.63"/>
    <n v="9686.9699999999993"/>
    <n v="9317.57"/>
    <n v="9354.65"/>
    <n v="115296.57"/>
    <n v="-37.079999999999927"/>
  </r>
  <r>
    <x v="5"/>
    <x v="6"/>
    <x v="0"/>
    <s v="4399107"/>
    <n v="700018"/>
    <s v="Salaries-Supervisory-Productive"/>
    <s v="Therapies Administration"/>
    <x v="0"/>
    <m/>
    <n v="15211.86"/>
    <n v="14604.18"/>
    <n v="14874.94"/>
    <n v="17332.32"/>
    <n v="15968.95"/>
    <n v="12516.2"/>
    <n v="15436.56"/>
    <n v="13867.95"/>
    <n v="16755.09"/>
    <n v="16529.009999999998"/>
    <n v="15442"/>
    <n v="14917.81"/>
    <n v="183456.87"/>
    <n v="524.19000000000051"/>
  </r>
  <r>
    <x v="5"/>
    <x v="6"/>
    <x v="0"/>
    <s v="4399107"/>
    <n v="700032"/>
    <s v="Salaries-Other Pat Care Providers-Productive"/>
    <s v="Therapies Administration"/>
    <x v="0"/>
    <m/>
    <n v="6720.47"/>
    <n v="7132.56"/>
    <n v="6849.91"/>
    <n v="6989.96"/>
    <n v="6321.92"/>
    <n v="7143.89"/>
    <n v="7402.83"/>
    <n v="5718.89"/>
    <n v="8189.93"/>
    <n v="7472.53"/>
    <n v="7543.64"/>
    <n v="7219.02"/>
    <n v="84705.55"/>
    <n v="324.61999999999989"/>
  </r>
  <r>
    <x v="5"/>
    <x v="6"/>
    <x v="0"/>
    <s v="4399107"/>
    <n v="700032"/>
    <s v="Salaries-Other Pat Care Providers-OT"/>
    <s v="Therapies Administration"/>
    <x v="0"/>
    <n v="1000"/>
    <n v="10.09"/>
    <n v="112.21"/>
    <n v="11.95"/>
    <n v="7.47"/>
    <n v="29"/>
    <n v="45.77"/>
    <n v="20.28"/>
    <n v="84.1"/>
    <n v="36.71"/>
    <n v="41.49"/>
    <n v="177.54"/>
    <n v="39.26"/>
    <n v="615.87"/>
    <n v="138.28"/>
  </r>
  <r>
    <x v="5"/>
    <x v="6"/>
    <x v="0"/>
    <s v="4399107"/>
    <n v="700032"/>
    <s v="Salaries-Other Pat Care Providers-Other"/>
    <s v="Therapies Administration"/>
    <x v="0"/>
    <n v="2000"/>
    <n v="171.22"/>
    <n v="157.44"/>
    <n v="174.25"/>
    <n v="157"/>
    <n v="157.43"/>
    <n v="176.36"/>
    <n v="169.32"/>
    <n v="142.13999999999999"/>
    <n v="162.69999999999999"/>
    <n v="147.44"/>
    <n v="157.55000000000001"/>
    <n v="160.88"/>
    <n v="1933.73"/>
    <n v="-3.3299999999999841"/>
  </r>
  <r>
    <x v="5"/>
    <x v="6"/>
    <x v="0"/>
    <s v="4399107"/>
    <n v="700038"/>
    <s v="Salaries-Service/Support-Productive"/>
    <s v="Therapies Administration"/>
    <x v="0"/>
    <m/>
    <n v="3015.57"/>
    <n v="2686.42"/>
    <n v="3213.07"/>
    <n v="3588.37"/>
    <n v="3221.66"/>
    <n v="1927.82"/>
    <n v="3479.25"/>
    <n v="3046.99"/>
    <n v="861.76"/>
    <n v="1613.89"/>
    <n v="3659.85"/>
    <n v="3282.73"/>
    <n v="33597.379999999997"/>
    <n v="377.11999999999989"/>
  </r>
  <r>
    <x v="5"/>
    <x v="6"/>
    <x v="0"/>
    <s v="4399107"/>
    <n v="700038"/>
    <s v="Salaries-Service/Support-OT"/>
    <s v="Therapies Administration"/>
    <x v="0"/>
    <n v="1000"/>
    <n v="0"/>
    <n v="0"/>
    <n v="0"/>
    <n v="0"/>
    <n v="14.75"/>
    <n v="0.55000000000000004"/>
    <n v="10.39"/>
    <n v="-2.73"/>
    <n v="0"/>
    <n v="0"/>
    <n v="0"/>
    <n v="15.86"/>
    <n v="38.82"/>
    <n v="-15.86"/>
  </r>
  <r>
    <x v="5"/>
    <x v="6"/>
    <x v="0"/>
    <s v="4399107"/>
    <n v="700038"/>
    <s v="Salaries-Service/Support-Other"/>
    <s v="Therapies Administration"/>
    <x v="0"/>
    <n v="2000"/>
    <n v="0"/>
    <n v="0"/>
    <n v="0"/>
    <n v="0"/>
    <n v="0"/>
    <n v="0"/>
    <n v="0"/>
    <n v="0"/>
    <n v="0"/>
    <n v="0"/>
    <n v="4.26"/>
    <n v="0"/>
    <n v="4.26"/>
    <n v="4.26"/>
  </r>
  <r>
    <x v="5"/>
    <x v="6"/>
    <x v="0"/>
    <s v="4399107"/>
    <n v="700054"/>
    <s v="Salaries-Management-Non-productive"/>
    <s v="Therapies Administration"/>
    <x v="0"/>
    <m/>
    <n v="1616.87"/>
    <n v="1401.37"/>
    <n v="1509.12"/>
    <n v="2349.02"/>
    <n v="4171.79"/>
    <n v="-258.27999999999997"/>
    <n v="961.47"/>
    <n v="702.48"/>
    <n v="850.44"/>
    <n v="1404.97"/>
    <n v="2144.48"/>
    <n v="1737.81"/>
    <n v="18591.539999999997"/>
    <n v="406.67000000000007"/>
  </r>
  <r>
    <x v="5"/>
    <x v="6"/>
    <x v="0"/>
    <s v="4399107"/>
    <n v="700058"/>
    <s v="Salaries-Supervisory-Non-productive"/>
    <s v="Therapies Administration"/>
    <x v="0"/>
    <m/>
    <n v="1863.19"/>
    <n v="3465.78"/>
    <n v="1930.81"/>
    <n v="281.39"/>
    <n v="2189.09"/>
    <n v="6141.23"/>
    <n v="3190.36"/>
    <n v="2043.94"/>
    <n v="1340.04"/>
    <n v="1225.5999999999999"/>
    <n v="2953.06"/>
    <n v="3164.87"/>
    <n v="29789.360000000001"/>
    <n v="-211.80999999999995"/>
  </r>
  <r>
    <x v="5"/>
    <x v="6"/>
    <x v="0"/>
    <s v="4399107"/>
    <n v="700072"/>
    <s v="Salaries-Other Pat Care Providers-Non-productive"/>
    <s v="Therapies Administration"/>
    <x v="0"/>
    <m/>
    <n v="1502.06"/>
    <n v="1282.31"/>
    <n v="2059.33"/>
    <n v="1057.9100000000001"/>
    <n v="3198.08"/>
    <n v="170.83"/>
    <n v="1190.1500000000001"/>
    <n v="2345.0100000000002"/>
    <n v="48.78"/>
    <n v="793.35"/>
    <n v="169.26"/>
    <n v="1035.8900000000001"/>
    <n v="14852.96"/>
    <n v="-866.63000000000011"/>
  </r>
  <r>
    <x v="5"/>
    <x v="6"/>
    <x v="0"/>
    <s v="4399107"/>
    <n v="700072"/>
    <s v="Salaries-Other Pat Care Providers-NonProd-Other"/>
    <s v="Therapies Administration"/>
    <x v="0"/>
    <n v="2000"/>
    <n v="4.9800000000000004"/>
    <n v="4.9800000000000004"/>
    <n v="0"/>
    <n v="0"/>
    <n v="9.9600000000000009"/>
    <n v="4.9800000000000004"/>
    <n v="0"/>
    <n v="0"/>
    <n v="0"/>
    <n v="0"/>
    <n v="0"/>
    <n v="0"/>
    <n v="24.900000000000002"/>
    <n v="0"/>
  </r>
  <r>
    <x v="5"/>
    <x v="6"/>
    <x v="0"/>
    <s v="4399107"/>
    <n v="700078"/>
    <s v="Salaries-Service/Support-Non-productive"/>
    <s v="Therapies Administration"/>
    <x v="0"/>
    <m/>
    <n v="471.84"/>
    <n v="786.4"/>
    <n v="157.28"/>
    <n v="0"/>
    <n v="0"/>
    <n v="1818.5"/>
    <n v="140.13"/>
    <n v="221.78"/>
    <n v="1015.67"/>
    <n v="-93.38"/>
    <n v="127.69"/>
    <n v="163.44"/>
    <n v="4809.3499999999995"/>
    <n v="-35.75"/>
  </r>
  <r>
    <x v="5"/>
    <x v="6"/>
    <x v="0"/>
    <s v="4399107"/>
    <n v="700084"/>
    <s v="Accrued PTO"/>
    <s v="Therapies Administration"/>
    <x v="0"/>
    <m/>
    <n v="516.73"/>
    <n v="-1198.57"/>
    <n v="-522.03"/>
    <n v="2792.11"/>
    <n v="-1544.24"/>
    <n v="-2029.4"/>
    <n v="-1034.21"/>
    <n v="396.28"/>
    <n v="1639.83"/>
    <n v="1869.68"/>
    <n v="2211.92"/>
    <n v="-805.1"/>
    <n v="2293.0000000000005"/>
    <n v="3017.02"/>
  </r>
  <r>
    <x v="6"/>
    <x v="6"/>
    <x v="0"/>
    <s v="4399107"/>
    <n v="713010"/>
    <s v="Benefits-FICA/Medicare"/>
    <s v="Therapies Administration"/>
    <x v="0"/>
    <m/>
    <n v="2963.71"/>
    <n v="3056.77"/>
    <n v="2961.33"/>
    <n v="3016.05"/>
    <n v="3140.05"/>
    <n v="2774.5"/>
    <n v="3138.46"/>
    <n v="2794.55"/>
    <n v="2946.38"/>
    <n v="2867.94"/>
    <n v="3078.25"/>
    <n v="3033.87"/>
    <n v="35771.86"/>
    <n v="44.380000000000109"/>
  </r>
  <r>
    <x v="6"/>
    <x v="6"/>
    <x v="0"/>
    <s v="4399107"/>
    <n v="713090"/>
    <s v="Benefits-Allocated Amounts"/>
    <s v="Therapies Administration"/>
    <x v="0"/>
    <m/>
    <n v="7022.01"/>
    <n v="6412.52"/>
    <n v="6999.38"/>
    <n v="6910.06"/>
    <n v="8191.23"/>
    <n v="7045.84"/>
    <n v="7514.27"/>
    <n v="7049.91"/>
    <n v="5690.24"/>
    <n v="7327.84"/>
    <n v="7253.84"/>
    <n v="8407.66"/>
    <n v="85824.8"/>
    <n v="-1153.8199999999997"/>
  </r>
  <r>
    <x v="7"/>
    <x v="6"/>
    <x v="0"/>
    <s v="4399107"/>
    <n v="718091"/>
    <s v="Contract Services-Intracompany Allocation"/>
    <s v="Therapies Administration"/>
    <x v="0"/>
    <m/>
    <n v="8030.77"/>
    <n v="9595.02"/>
    <n v="9609.18"/>
    <n v="10411.700000000001"/>
    <n v="10671.95"/>
    <n v="9147.0499999999993"/>
    <n v="10400.67"/>
    <n v="9764.19"/>
    <n v="9436.56"/>
    <n v="10057.86"/>
    <n v="9748.7099999999991"/>
    <n v="8964.92"/>
    <n v="115838.58"/>
    <n v="783.78999999999905"/>
  </r>
  <r>
    <x v="11"/>
    <x v="6"/>
    <x v="0"/>
    <s v="4399107"/>
    <n v="721830"/>
    <s v="Supplies-Office"/>
    <s v="Therapies Administration"/>
    <x v="0"/>
    <m/>
    <n v="0"/>
    <n v="0"/>
    <n v="0"/>
    <n v="0"/>
    <n v="0"/>
    <n v="0"/>
    <n v="0"/>
    <n v="0"/>
    <n v="0"/>
    <n v="482.06"/>
    <n v="0"/>
    <n v="6.37"/>
    <n v="488.43"/>
    <n v="-6.37"/>
  </r>
  <r>
    <x v="11"/>
    <x v="6"/>
    <x v="0"/>
    <s v="4399107"/>
    <n v="721980"/>
    <s v="Supplies-Other"/>
    <s v="Therapies Administration"/>
    <x v="0"/>
    <m/>
    <n v="111.39"/>
    <n v="-111.39"/>
    <n v="0"/>
    <n v="0"/>
    <n v="0"/>
    <n v="0"/>
    <n v="0"/>
    <n v="0"/>
    <n v="0"/>
    <n v="0"/>
    <n v="0"/>
    <n v="0"/>
    <n v="0"/>
    <n v="0"/>
  </r>
  <r>
    <x v="0"/>
    <x v="6"/>
    <x v="0"/>
    <s v="4399107"/>
    <n v="740020"/>
    <s v="Education-Registration Fees"/>
    <s v="Therapies Administration"/>
    <x v="0"/>
    <m/>
    <n v="0"/>
    <n v="0"/>
    <n v="350"/>
    <n v="400"/>
    <n v="0"/>
    <n v="0"/>
    <n v="0"/>
    <n v="274"/>
    <n v="0"/>
    <n v="0"/>
    <n v="713.34"/>
    <n v="0"/>
    <n v="1737.3400000000001"/>
    <n v="713.34"/>
  </r>
  <r>
    <x v="0"/>
    <x v="6"/>
    <x v="0"/>
    <s v="4399107"/>
    <n v="743020"/>
    <s v="Dues--Individual"/>
    <s v="Therapies Administration"/>
    <x v="0"/>
    <m/>
    <n v="0"/>
    <n v="0"/>
    <n v="0"/>
    <n v="225"/>
    <n v="0"/>
    <n v="0"/>
    <n v="99"/>
    <n v="0"/>
    <n v="0"/>
    <n v="0"/>
    <n v="0"/>
    <n v="0"/>
    <n v="324"/>
    <n v="0"/>
  </r>
  <r>
    <x v="0"/>
    <x v="6"/>
    <x v="0"/>
    <s v="4399107"/>
    <n v="749510"/>
    <s v="Miscellaneous Expenses"/>
    <s v="Therapies Administration"/>
    <x v="0"/>
    <m/>
    <n v="662.54"/>
    <n v="-921.52"/>
    <n v="1668.35"/>
    <n v="-990.6"/>
    <n v="5054.96"/>
    <n v="-3733.05"/>
    <n v="-1773.56"/>
    <n v="-35.26"/>
    <n v="-244.54"/>
    <n v="343.65"/>
    <n v="-37.74"/>
    <n v="-197.81"/>
    <n v="-204.58000000000055"/>
    <n v="160.07"/>
  </r>
  <r>
    <x v="0"/>
    <x v="6"/>
    <x v="0"/>
    <s v="4399107"/>
    <n v="749510"/>
    <s v="RICE Rewards"/>
    <s v="Therapies Administration"/>
    <x v="0"/>
    <n v="5100"/>
    <n v="0"/>
    <n v="0"/>
    <n v="0"/>
    <n v="0"/>
    <n v="0"/>
    <n v="0"/>
    <n v="0"/>
    <n v="0"/>
    <n v="0"/>
    <n v="0"/>
    <n v="41.4"/>
    <n v="209.84"/>
    <n v="251.24"/>
    <n v="-168.44"/>
  </r>
  <r>
    <x v="0"/>
    <x v="6"/>
    <x v="0"/>
    <s v="4399107"/>
    <n v="749530"/>
    <s v="Travel"/>
    <s v="Therapies Administration"/>
    <x v="0"/>
    <m/>
    <n v="6"/>
    <n v="22"/>
    <n v="19"/>
    <n v="23"/>
    <n v="0"/>
    <n v="0"/>
    <n v="0"/>
    <n v="0"/>
    <n v="37.6"/>
    <n v="6"/>
    <n v="14"/>
    <n v="21"/>
    <n v="148.6"/>
    <n v="-7"/>
  </r>
  <r>
    <x v="0"/>
    <x v="6"/>
    <x v="0"/>
    <s v="4399107"/>
    <n v="749530"/>
    <s v="Mileage"/>
    <s v="Therapies Administration"/>
    <x v="0"/>
    <n v="1001"/>
    <n v="58.34"/>
    <n v="79.59"/>
    <n v="197.86"/>
    <n v="175.53"/>
    <n v="15.28"/>
    <n v="0"/>
    <n v="123.2"/>
    <n v="16"/>
    <n v="270.86"/>
    <n v="51.62"/>
    <n v="215.18"/>
    <n v="218.08"/>
    <n v="1421.54"/>
    <n v="-2.9000000000000057"/>
  </r>
  <r>
    <x v="5"/>
    <x v="9"/>
    <x v="0"/>
    <s v="4399501"/>
    <n v="700014"/>
    <s v="Salaries-Management-Productive"/>
    <s v="Therapies Administration"/>
    <x v="0"/>
    <m/>
    <n v="11265.51"/>
    <n v="13237.75"/>
    <n v="12393"/>
    <n v="12181.82"/>
    <n v="15531.04"/>
    <n v="9068.33"/>
    <n v="14781.94"/>
    <n v="12607.64"/>
    <n v="14153.45"/>
    <n v="13524.99"/>
    <n v="11690"/>
    <n v="11448.58"/>
    <n v="151884.04999999999"/>
    <n v="241.42000000000007"/>
  </r>
  <r>
    <x v="5"/>
    <x v="9"/>
    <x v="0"/>
    <s v="4399501"/>
    <n v="700032"/>
    <s v="Salaries-Other Pat Care Providers-Productive"/>
    <s v="Therapies Administration"/>
    <x v="0"/>
    <m/>
    <n v="3305.84"/>
    <n v="7635.3"/>
    <n v="6179.52"/>
    <n v="7289.38"/>
    <n v="6022.92"/>
    <n v="5581.06"/>
    <n v="7077.24"/>
    <n v="5318.43"/>
    <n v="5233.88"/>
    <n v="7951.5"/>
    <n v="8612.99"/>
    <n v="4423.93"/>
    <n v="74631.989999999991"/>
    <n v="4189.0599999999995"/>
  </r>
  <r>
    <x v="5"/>
    <x v="9"/>
    <x v="0"/>
    <s v="4399501"/>
    <n v="700038"/>
    <s v="Salaries-Service/Support-Productive"/>
    <s v="Therapies Administration"/>
    <x v="0"/>
    <m/>
    <n v="8228.86"/>
    <n v="8105.16"/>
    <n v="11121.28"/>
    <n v="12852.91"/>
    <n v="11974.01"/>
    <n v="10081.83"/>
    <n v="12192.57"/>
    <n v="11647.5"/>
    <n v="7610.36"/>
    <n v="9046.57"/>
    <n v="8594.2900000000009"/>
    <n v="10221.450000000001"/>
    <n v="121676.79000000002"/>
    <n v="-1627.1599999999999"/>
  </r>
  <r>
    <x v="5"/>
    <x v="9"/>
    <x v="0"/>
    <s v="4399501"/>
    <n v="700038"/>
    <s v="Salaries-Service/Support-OT"/>
    <s v="Therapies Administration"/>
    <x v="0"/>
    <n v="1000"/>
    <n v="17.399999999999999"/>
    <n v="-1.68"/>
    <n v="123.56"/>
    <n v="22.94"/>
    <n v="-12.56"/>
    <n v="71.92"/>
    <n v="32.57"/>
    <n v="60.98"/>
    <n v="709.21"/>
    <n v="1078.3800000000001"/>
    <n v="255.11"/>
    <n v="16.559999999999999"/>
    <n v="2374.3900000000003"/>
    <n v="238.55"/>
  </r>
  <r>
    <x v="5"/>
    <x v="9"/>
    <x v="0"/>
    <s v="4399501"/>
    <n v="700038"/>
    <s v="Salaries-Service/Support-Other"/>
    <s v="Therapies Administration"/>
    <x v="0"/>
    <n v="2000"/>
    <n v="0"/>
    <n v="0"/>
    <n v="0"/>
    <n v="30"/>
    <n v="0"/>
    <n v="0"/>
    <n v="0"/>
    <n v="0"/>
    <n v="0"/>
    <n v="0"/>
    <n v="0"/>
    <n v="30.04"/>
    <n v="60.04"/>
    <n v="-30.04"/>
  </r>
  <r>
    <x v="5"/>
    <x v="9"/>
    <x v="0"/>
    <s v="4399501"/>
    <n v="700054"/>
    <s v="Salaries-Management-Non-productive"/>
    <s v="Therapies Administration"/>
    <x v="0"/>
    <m/>
    <n v="3285.94"/>
    <n v="1314.38"/>
    <n v="4975.83"/>
    <n v="2693.37"/>
    <n v="-1061.1300000000001"/>
    <n v="5884.38"/>
    <n v="194.13"/>
    <n v="917.76"/>
    <n v="821.19"/>
    <n v="966.13"/>
    <n v="3284.63"/>
    <n v="3043.22"/>
    <n v="26319.83"/>
    <n v="241.41000000000031"/>
  </r>
  <r>
    <x v="5"/>
    <x v="9"/>
    <x v="0"/>
    <s v="4399501"/>
    <n v="700072"/>
    <s v="Salaries-Other Pat Care Providers-Non-productive"/>
    <s v="Therapies Administration"/>
    <x v="0"/>
    <m/>
    <n v="4387.53"/>
    <n v="58.43"/>
    <n v="1266.1500000000001"/>
    <n v="559.77"/>
    <n v="1525.41"/>
    <n v="2319.31"/>
    <n v="821.54"/>
    <n v="1815.21"/>
    <n v="2664.18"/>
    <n v="-308.47000000000003"/>
    <n v="-164.17"/>
    <n v="2662.2"/>
    <n v="17607.09"/>
    <n v="-2826.37"/>
  </r>
  <r>
    <x v="5"/>
    <x v="9"/>
    <x v="0"/>
    <s v="4399501"/>
    <n v="700078"/>
    <s v="Salaries-Service/Support-Non-productive"/>
    <s v="Therapies Administration"/>
    <x v="0"/>
    <m/>
    <n v="1332.55"/>
    <n v="1345.52"/>
    <n v="916.68"/>
    <n v="1062.6099999999999"/>
    <n v="1281.8800000000001"/>
    <n v="3702.25"/>
    <n v="1649.92"/>
    <n v="954.25"/>
    <n v="1380.18"/>
    <n v="531.32000000000005"/>
    <n v="1492.01"/>
    <n v="1431.51"/>
    <n v="17080.68"/>
    <n v="60.5"/>
  </r>
  <r>
    <x v="5"/>
    <x v="9"/>
    <x v="0"/>
    <s v="4399501"/>
    <n v="700084"/>
    <s v="Accrued PTO"/>
    <s v="Therapies Administration"/>
    <x v="0"/>
    <m/>
    <n v="-3704.97"/>
    <n v="1357.07"/>
    <n v="-2470.5300000000002"/>
    <n v="2462.66"/>
    <n v="5085.96"/>
    <n v="-4399.53"/>
    <n v="1414.94"/>
    <n v="1166.81"/>
    <n v="807.97"/>
    <n v="1901.84"/>
    <n v="1423.15"/>
    <n v="-1649.55"/>
    <n v="3395.8199999999997"/>
    <n v="3072.7"/>
  </r>
  <r>
    <x v="6"/>
    <x v="9"/>
    <x v="0"/>
    <s v="4399501"/>
    <n v="713010"/>
    <s v="Benefits-FICA/Medicare"/>
    <s v="Therapies Administration"/>
    <x v="0"/>
    <m/>
    <n v="2378.4899999999998"/>
    <n v="2368.73"/>
    <n v="2283.0300000000002"/>
    <n v="1752.41"/>
    <n v="1729.21"/>
    <n v="2282.52"/>
    <n v="2723.94"/>
    <n v="2469.77"/>
    <n v="2440.17"/>
    <n v="2453.16"/>
    <n v="2525.9"/>
    <n v="2485.89"/>
    <n v="27893.219999999998"/>
    <n v="40.010000000000218"/>
  </r>
  <r>
    <x v="6"/>
    <x v="9"/>
    <x v="0"/>
    <s v="4399501"/>
    <n v="713090"/>
    <s v="Benefits-Allocated Amounts"/>
    <s v="Therapies Administration"/>
    <x v="0"/>
    <m/>
    <n v="5119.5200000000004"/>
    <n v="4918.6400000000003"/>
    <n v="6235.93"/>
    <n v="6218.26"/>
    <n v="5916.95"/>
    <n v="6459.4"/>
    <n v="6931.64"/>
    <n v="6504.87"/>
    <n v="6144.07"/>
    <n v="5955.09"/>
    <n v="5966.75"/>
    <n v="6081.2"/>
    <n v="72452.319999999992"/>
    <n v="-114.44999999999982"/>
  </r>
  <r>
    <x v="7"/>
    <x v="9"/>
    <x v="0"/>
    <s v="4399501"/>
    <n v="718050"/>
    <s v="Document Shredding/Storage"/>
    <s v="Therapies Administration"/>
    <x v="0"/>
    <n v="1012"/>
    <n v="7.06"/>
    <n v="120.91"/>
    <n v="43.46"/>
    <n v="53.58"/>
    <n v="-35.450000000000003"/>
    <n v="9.1999999999999993"/>
    <n v="9.1"/>
    <n v="7.8"/>
    <n v="8.09"/>
    <n v="10.64"/>
    <n v="9.92"/>
    <n v="8.1999999999999993"/>
    <n v="252.50999999999996"/>
    <n v="1.7200000000000006"/>
  </r>
  <r>
    <x v="7"/>
    <x v="9"/>
    <x v="0"/>
    <s v="4399501"/>
    <n v="718060"/>
    <s v="Contract Services-CHI RRC Fees"/>
    <s v="Therapies Administration"/>
    <x v="0"/>
    <m/>
    <n v="96480"/>
    <n v="96480"/>
    <n v="96480"/>
    <n v="96480"/>
    <n v="96480"/>
    <n v="96480"/>
    <n v="96480"/>
    <n v="96480"/>
    <n v="96480"/>
    <n v="96480"/>
    <n v="96480"/>
    <n v="96480"/>
    <n v="1157760"/>
    <n v="0"/>
  </r>
  <r>
    <x v="11"/>
    <x v="9"/>
    <x v="0"/>
    <s v="4399501"/>
    <n v="721830"/>
    <s v="Supplies-Office"/>
    <s v="Therapies Administration"/>
    <x v="0"/>
    <m/>
    <n v="651.54"/>
    <n v="0"/>
    <n v="0"/>
    <n v="0"/>
    <n v="0"/>
    <n v="0"/>
    <n v="0"/>
    <n v="391.68"/>
    <n v="0"/>
    <n v="0"/>
    <n v="0"/>
    <n v="0"/>
    <n v="1043.22"/>
    <n v="0"/>
  </r>
  <r>
    <x v="11"/>
    <x v="9"/>
    <x v="0"/>
    <s v="4399501"/>
    <n v="721835"/>
    <s v="Supplies-Forms"/>
    <s v="Therapies Administration"/>
    <x v="0"/>
    <m/>
    <n v="0"/>
    <n v="0"/>
    <n v="0"/>
    <n v="0"/>
    <n v="9.4"/>
    <n v="0"/>
    <n v="0"/>
    <n v="0"/>
    <n v="9.4499999999999993"/>
    <n v="0"/>
    <n v="0"/>
    <n v="0"/>
    <n v="18.850000000000001"/>
    <n v="0"/>
  </r>
  <r>
    <x v="11"/>
    <x v="9"/>
    <x v="0"/>
    <s v="4399501"/>
    <n v="721980"/>
    <s v="Supplies-Other"/>
    <s v="Therapies Administration"/>
    <x v="0"/>
    <m/>
    <n v="0"/>
    <n v="0"/>
    <n v="0"/>
    <n v="0"/>
    <n v="0"/>
    <n v="55.51"/>
    <n v="0"/>
    <n v="0"/>
    <n v="1037.02"/>
    <n v="104.73"/>
    <n v="0"/>
    <n v="253.33"/>
    <n v="1450.59"/>
    <n v="-253.33"/>
  </r>
  <r>
    <x v="12"/>
    <x v="9"/>
    <x v="0"/>
    <s v="4399501"/>
    <n v="730020"/>
    <s v="Rental and Leases-Equipment (DO NOT USE)"/>
    <s v="Therapies Administration"/>
    <x v="0"/>
    <m/>
    <n v="0"/>
    <n v="0"/>
    <n v="32.97"/>
    <n v="0"/>
    <n v="0"/>
    <n v="0"/>
    <n v="0"/>
    <n v="0"/>
    <n v="0"/>
    <n v="0"/>
    <n v="0"/>
    <n v="0"/>
    <n v="32.97"/>
    <n v="0"/>
  </r>
  <r>
    <x v="12"/>
    <x v="9"/>
    <x v="0"/>
    <s v="4399501"/>
    <n v="730020"/>
    <s v="Rental and Leases-Copier Usage Fees (DO NOT USE)"/>
    <s v="Therapies Administration"/>
    <x v="0"/>
    <n v="5100"/>
    <n v="0"/>
    <n v="1049.27"/>
    <n v="111.96"/>
    <n v="111.96"/>
    <n v="111.96"/>
    <n v="111.97"/>
    <n v="-791.16"/>
    <n v="11.21"/>
    <n v="11.86"/>
    <n v="11.23"/>
    <n v="11.21"/>
    <n v="11.21"/>
    <n v="762.68000000000029"/>
    <n v="0"/>
  </r>
  <r>
    <x v="15"/>
    <x v="9"/>
    <x v="0"/>
    <s v="4399501"/>
    <n v="731060"/>
    <s v="Pagers"/>
    <s v="Therapies Administration"/>
    <x v="0"/>
    <n v="1002"/>
    <n v="34.200000000000003"/>
    <n v="34.200000000000003"/>
    <n v="72.739999999999995"/>
    <n v="34.24"/>
    <n v="34.24"/>
    <n v="0"/>
    <n v="68.489999999999995"/>
    <n v="34.24"/>
    <n v="34.24"/>
    <n v="34.24"/>
    <n v="34.24"/>
    <n v="34.24"/>
    <n v="449.31000000000006"/>
    <n v="0"/>
  </r>
  <r>
    <x v="0"/>
    <x v="9"/>
    <x v="0"/>
    <s v="4399501"/>
    <n v="740020"/>
    <s v="Education-Registration Fees"/>
    <s v="Therapies Administration"/>
    <x v="0"/>
    <m/>
    <n v="0"/>
    <n v="0"/>
    <n v="0"/>
    <n v="0"/>
    <n v="0"/>
    <n v="0"/>
    <n v="129"/>
    <n v="0"/>
    <n v="0"/>
    <n v="0"/>
    <n v="474.96"/>
    <n v="0"/>
    <n v="603.96"/>
    <n v="474.96"/>
  </r>
  <r>
    <x v="0"/>
    <x v="9"/>
    <x v="0"/>
    <s v="4399501"/>
    <n v="743030"/>
    <s v="Subscriptions--Institutional"/>
    <s v="Therapies Administration"/>
    <x v="0"/>
    <m/>
    <n v="0"/>
    <n v="0"/>
    <n v="0"/>
    <n v="0"/>
    <n v="0"/>
    <n v="0"/>
    <n v="180"/>
    <n v="0"/>
    <n v="0"/>
    <n v="392.04"/>
    <n v="1700"/>
    <n v="0"/>
    <n v="2272.04"/>
    <n v="1700"/>
  </r>
  <r>
    <x v="0"/>
    <x v="9"/>
    <x v="0"/>
    <s v="4399501"/>
    <n v="749510"/>
    <s v="Miscellaneous Expenses"/>
    <s v="Therapies Administration"/>
    <x v="0"/>
    <m/>
    <n v="194"/>
    <n v="2042.2"/>
    <n v="392.5"/>
    <n v="-65.41"/>
    <n v="0"/>
    <n v="349.34"/>
    <n v="-349.34"/>
    <n v="474.5"/>
    <n v="-171.83"/>
    <n v="1651.65"/>
    <n v="-1598.66"/>
    <n v="107"/>
    <n v="3025.9500000000007"/>
    <n v="-1705.66"/>
  </r>
  <r>
    <x v="0"/>
    <x v="9"/>
    <x v="0"/>
    <s v="4399501"/>
    <n v="749510"/>
    <s v="RICE Rewards"/>
    <s v="Therapies Administration"/>
    <x v="0"/>
    <n v="5100"/>
    <n v="0"/>
    <n v="0"/>
    <n v="0"/>
    <n v="0"/>
    <n v="0"/>
    <n v="0"/>
    <n v="0"/>
    <n v="0"/>
    <n v="0"/>
    <n v="183.95"/>
    <n v="0"/>
    <n v="39.299999999999997"/>
    <n v="223.25"/>
    <n v="-39.299999999999997"/>
  </r>
  <r>
    <x v="0"/>
    <x v="9"/>
    <x v="0"/>
    <s v="4399501"/>
    <n v="749530"/>
    <s v="Travel"/>
    <s v="Therapies Administration"/>
    <x v="0"/>
    <m/>
    <n v="0"/>
    <n v="5"/>
    <n v="0"/>
    <n v="0"/>
    <n v="248.9"/>
    <n v="0"/>
    <n v="168.94"/>
    <n v="0"/>
    <n v="0"/>
    <n v="0"/>
    <n v="0"/>
    <n v="30"/>
    <n v="452.84000000000003"/>
    <n v="-30"/>
  </r>
  <r>
    <x v="0"/>
    <x v="9"/>
    <x v="0"/>
    <s v="4399501"/>
    <n v="749530"/>
    <s v="Mileage"/>
    <s v="Therapies Administration"/>
    <x v="0"/>
    <n v="1001"/>
    <n v="0"/>
    <n v="22.9"/>
    <n v="0"/>
    <n v="65.41"/>
    <n v="146.11000000000001"/>
    <n v="0"/>
    <n v="40.340000000000003"/>
    <n v="0"/>
    <n v="0"/>
    <n v="228.52"/>
    <n v="0"/>
    <n v="71.34"/>
    <n v="574.62"/>
    <n v="-71.34"/>
  </r>
  <r>
    <x v="18"/>
    <x v="3"/>
    <x v="0"/>
    <s v="4400101"/>
    <n v="400010"/>
    <s v="Acute I/P Svcs Rev--Medicare"/>
    <s v="Surgery Services"/>
    <x v="0"/>
    <n v="1100"/>
    <n v="-11732565.859999999"/>
    <n v="-14358694.970000001"/>
    <n v="-11011370.050000001"/>
    <n v="-14960511.779999999"/>
    <n v="-13696495.83"/>
    <n v="-12277709.5"/>
    <n v="-11429191.449999999"/>
    <n v="-11146996.630000001"/>
    <n v="-12968974.210000001"/>
    <n v="-15121419.359999999"/>
    <n v="-12362248.300000001"/>
    <n v="-13979531.66"/>
    <n v="-155045709.59999999"/>
    <n v="1617283.3599999994"/>
  </r>
  <r>
    <x v="18"/>
    <x v="3"/>
    <x v="0"/>
    <s v="4400101"/>
    <n v="400010"/>
    <s v="Acute I/P Svcs Rev--Medicaid"/>
    <s v="Surgery Services"/>
    <x v="0"/>
    <n v="1200"/>
    <n v="-3804361.41"/>
    <n v="-5783382.4199999999"/>
    <n v="-3322167.64"/>
    <n v="-2616847.7200000002"/>
    <n v="-3846036.02"/>
    <n v="-3493882.08"/>
    <n v="-3358972.64"/>
    <n v="-3553597.78"/>
    <n v="-4296779.25"/>
    <n v="-3968552.22"/>
    <n v="-3770275.96"/>
    <n v="-2913893.23"/>
    <n v="-44728748.369999997"/>
    <n v="-856382.73"/>
  </r>
  <r>
    <x v="18"/>
    <x v="3"/>
    <x v="0"/>
    <s v="4400101"/>
    <n v="400010"/>
    <s v="Acute I/P Svcs Rev--Comm Insurance"/>
    <s v="Surgery Services"/>
    <x v="0"/>
    <n v="1300"/>
    <n v="-767336.93"/>
    <n v="104130.72"/>
    <n v="-461142.05"/>
    <n v="-547717.93999999994"/>
    <n v="-908303.85"/>
    <n v="-700887.8"/>
    <n v="21828.91"/>
    <n v="-584365.24"/>
    <n v="-845258.74"/>
    <n v="109353"/>
    <n v="-779705.42"/>
    <n v="-546855.39"/>
    <n v="-5906260.7299999995"/>
    <n v="-232850.03000000003"/>
  </r>
  <r>
    <x v="18"/>
    <x v="3"/>
    <x v="0"/>
    <s v="4400101"/>
    <n v="400010"/>
    <s v="Acute I/P Svcs Rev--BCBS Comm"/>
    <s v="Surgery Services"/>
    <x v="0"/>
    <n v="1301"/>
    <n v="-646068.18999999994"/>
    <n v="-1859949.07"/>
    <n v="-675256.71"/>
    <n v="-881689.39"/>
    <n v="-743354.03"/>
    <n v="-465325.11"/>
    <n v="-1261873.17"/>
    <n v="-503607.57"/>
    <n v="-741280.09"/>
    <n v="-1259358.02"/>
    <n v="-1338759"/>
    <n v="-822365.35"/>
    <n v="-11198885.699999999"/>
    <n v="-516393.65"/>
  </r>
  <r>
    <x v="18"/>
    <x v="3"/>
    <x v="0"/>
    <s v="4400101"/>
    <n v="400010"/>
    <s v="Acute I/P Svcs Rev--Managed Care"/>
    <s v="Surgery Services"/>
    <x v="0"/>
    <n v="1400"/>
    <n v="-6647583.5599999996"/>
    <n v="-4899695.59"/>
    <n v="-4087504.58"/>
    <n v="-5079281.6100000003"/>
    <n v="-3726434.97"/>
    <n v="-4643137.37"/>
    <n v="-5574035.8200000003"/>
    <n v="-4816397.5199999996"/>
    <n v="-4513374.01"/>
    <n v="-3569639.11"/>
    <n v="-3818102.92"/>
    <n v="-3858602.99"/>
    <n v="-55233790.049999997"/>
    <n v="40500.070000000298"/>
  </r>
  <r>
    <x v="18"/>
    <x v="3"/>
    <x v="0"/>
    <s v="4400101"/>
    <n v="400010"/>
    <s v="Acute I/P Svcs Rev--Self Pay"/>
    <s v="Surgery Services"/>
    <x v="0"/>
    <n v="1500"/>
    <n v="-196312.04"/>
    <n v="-205925.14"/>
    <n v="-506646.83"/>
    <n v="-222153.52"/>
    <n v="-91197.59"/>
    <n v="16716.45"/>
    <n v="-114838.46"/>
    <n v="-318222.57"/>
    <n v="-578813.91"/>
    <n v="110075.22"/>
    <n v="-130698.48"/>
    <n v="-11375.64"/>
    <n v="-2249392.5100000002"/>
    <n v="-119322.84"/>
  </r>
  <r>
    <x v="18"/>
    <x v="3"/>
    <x v="0"/>
    <s v="4400101"/>
    <n v="400010"/>
    <s v="Acute I/P Svcs Rev--Other"/>
    <s v="Surgery Services"/>
    <x v="0"/>
    <n v="1700"/>
    <n v="-1039774.4"/>
    <n v="-1849542.43"/>
    <n v="-1453931.52"/>
    <n v="-1244929.17"/>
    <n v="-1435825.66"/>
    <n v="-1358730.24"/>
    <n v="-1519487.8"/>
    <n v="-1135168.3700000001"/>
    <n v="-2108442.06"/>
    <n v="-1442988.66"/>
    <n v="-953286.54"/>
    <n v="-1386012.07"/>
    <n v="-16928118.920000002"/>
    <n v="432725.53"/>
  </r>
  <r>
    <x v="19"/>
    <x v="3"/>
    <x v="0"/>
    <s v="4400101"/>
    <n v="400020"/>
    <s v="O/P Care Svcs Rev--Medicare"/>
    <s v="Surgery Services"/>
    <x v="0"/>
    <n v="1100"/>
    <n v="-3972439.71"/>
    <n v="-4000204.9"/>
    <n v="-4227226.4800000004"/>
    <n v="-5956442.2599999998"/>
    <n v="-4014987.44"/>
    <n v="-2681225.31"/>
    <n v="-3340916.54"/>
    <n v="-2830996.2"/>
    <n v="-3644545.94"/>
    <n v="-4492733.12"/>
    <n v="-3504679.88"/>
    <n v="-3451378.6"/>
    <n v="-46117776.380000003"/>
    <n v="-53301.279999999795"/>
  </r>
  <r>
    <x v="19"/>
    <x v="3"/>
    <x v="0"/>
    <s v="4400101"/>
    <n v="400020"/>
    <s v="O/P Care Svcs Rev--Medicaid"/>
    <s v="Surgery Services"/>
    <x v="0"/>
    <n v="1200"/>
    <n v="-1871716.47"/>
    <n v="-1338114.4099999999"/>
    <n v="-1203644.73"/>
    <n v="-1581538.02"/>
    <n v="-1263351.3700000001"/>
    <n v="-1356668.82"/>
    <n v="-1532675.98"/>
    <n v="-1335064.47"/>
    <n v="-1258017.58"/>
    <n v="-1123383.95"/>
    <n v="-1170194.79"/>
    <n v="-1284274.2"/>
    <n v="-16318644.789999999"/>
    <n v="114079.40999999992"/>
  </r>
  <r>
    <x v="19"/>
    <x v="3"/>
    <x v="0"/>
    <s v="4400101"/>
    <n v="400020"/>
    <s v="O/P Care Svcs Rev--Comm Insurance"/>
    <s v="Surgery Services"/>
    <x v="0"/>
    <n v="1300"/>
    <n v="-304963.65999999997"/>
    <n v="-158559.81"/>
    <n v="35329.760000000002"/>
    <n v="-52184.43"/>
    <n v="-286749.34000000003"/>
    <n v="-291363.82"/>
    <n v="-124831.91"/>
    <n v="-32541.9"/>
    <n v="-418426.52"/>
    <n v="-782057.18"/>
    <n v="-21390.86"/>
    <n v="-644326.98"/>
    <n v="-3082066.65"/>
    <n v="622936.12"/>
  </r>
  <r>
    <x v="19"/>
    <x v="3"/>
    <x v="0"/>
    <s v="4400101"/>
    <n v="400020"/>
    <s v="O/P Care Svcs Rev--BCBS Comm"/>
    <s v="Surgery Services"/>
    <x v="0"/>
    <n v="1301"/>
    <n v="-436858.29"/>
    <n v="-404603.11"/>
    <n v="-275016.56"/>
    <n v="-426650.46"/>
    <n v="-323557.03999999998"/>
    <n v="-485365.98"/>
    <n v="-417285.64"/>
    <n v="-371014"/>
    <n v="-428796.76"/>
    <n v="-649244.88"/>
    <n v="-530706.6"/>
    <n v="-961381.27"/>
    <n v="-5710480.5899999999"/>
    <n v="430674.67000000004"/>
  </r>
  <r>
    <x v="19"/>
    <x v="3"/>
    <x v="0"/>
    <s v="4400101"/>
    <n v="400020"/>
    <s v="O/P Care Svcs Rev--Managed Care"/>
    <s v="Surgery Services"/>
    <x v="0"/>
    <n v="1400"/>
    <n v="-2527051.5699999998"/>
    <n v="-2202009.75"/>
    <n v="-2170085.42"/>
    <n v="-2862127.95"/>
    <n v="-3094899.99"/>
    <n v="-3780109.52"/>
    <n v="-3092189.88"/>
    <n v="-2176496.83"/>
    <n v="-3145689.01"/>
    <n v="-2337509.02"/>
    <n v="-3749867.95"/>
    <n v="-3161236.13"/>
    <n v="-34299273.020000003"/>
    <n v="-588631.8200000003"/>
  </r>
  <r>
    <x v="19"/>
    <x v="3"/>
    <x v="0"/>
    <s v="4400101"/>
    <n v="400020"/>
    <s v="O/P Care Svcs Rev--Self Pay"/>
    <s v="Surgery Services"/>
    <x v="0"/>
    <n v="1500"/>
    <n v="-54471.13"/>
    <n v="-224578.91"/>
    <n v="-64759"/>
    <n v="-250134.36"/>
    <n v="45095.53"/>
    <n v="-219661.61"/>
    <n v="-385753.09"/>
    <n v="-171172.73"/>
    <n v="-128009.52"/>
    <n v="87503.09"/>
    <n v="-68582.350000000006"/>
    <n v="-337960.19"/>
    <n v="-1772484.2699999998"/>
    <n v="269377.83999999997"/>
  </r>
  <r>
    <x v="19"/>
    <x v="3"/>
    <x v="0"/>
    <s v="4400101"/>
    <n v="400020"/>
    <s v="O/P Care Svcs Rev--Other"/>
    <s v="Surgery Services"/>
    <x v="0"/>
    <n v="1700"/>
    <n v="-530602.76"/>
    <n v="-794758.16"/>
    <n v="-843794.7"/>
    <n v="-460556.93"/>
    <n v="-621196.05000000005"/>
    <n v="-677330.38"/>
    <n v="-217760.23"/>
    <n v="-485935.98"/>
    <n v="-642785.39"/>
    <n v="-399196.4"/>
    <n v="-649683.82999999996"/>
    <n v="-669644.9"/>
    <n v="-6993245.7100000009"/>
    <n v="19961.070000000065"/>
  </r>
  <r>
    <x v="14"/>
    <x v="3"/>
    <x v="0"/>
    <s v="4400101"/>
    <n v="600050"/>
    <s v="Miscellaneous Revenue"/>
    <s v="Surgery Services"/>
    <x v="0"/>
    <m/>
    <n v="0"/>
    <n v="0"/>
    <n v="-250"/>
    <n v="0"/>
    <n v="0"/>
    <n v="0"/>
    <n v="0"/>
    <n v="-250"/>
    <n v="0"/>
    <n v="0"/>
    <n v="0"/>
    <n v="-250"/>
    <n v="-750"/>
    <n v="250"/>
  </r>
  <r>
    <x v="5"/>
    <x v="3"/>
    <x v="0"/>
    <s v="4400101"/>
    <n v="700014"/>
    <s v="Salaries-Management-Productive"/>
    <s v="Surgery Services"/>
    <x v="0"/>
    <m/>
    <n v="0"/>
    <n v="596.32000000000005"/>
    <n v="7209.4"/>
    <n v="10977.71"/>
    <n v="9507.17"/>
    <n v="7669.46"/>
    <n v="9553.82"/>
    <n v="7839.31"/>
    <n v="18104.849999999999"/>
    <n v="7345.99"/>
    <n v="1269.9100000000001"/>
    <n v="23175.07"/>
    <n v="103249.01000000001"/>
    <n v="-21905.16"/>
  </r>
  <r>
    <x v="5"/>
    <x v="3"/>
    <x v="0"/>
    <s v="4400101"/>
    <n v="700014"/>
    <s v="Salaries-Management-Other"/>
    <s v="Surgery Services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3"/>
    <x v="0"/>
    <s v="4400101"/>
    <n v="700018"/>
    <s v="Salaries-Supervisory-Productive"/>
    <s v="Surgery Services"/>
    <x v="0"/>
    <m/>
    <n v="8495.44"/>
    <n v="8495.82"/>
    <n v="-1644.06"/>
    <n v="0"/>
    <n v="0"/>
    <n v="0"/>
    <n v="0"/>
    <n v="0"/>
    <n v="0"/>
    <n v="0"/>
    <n v="0"/>
    <n v="0"/>
    <n v="15347.200000000003"/>
    <n v="0"/>
  </r>
  <r>
    <x v="5"/>
    <x v="3"/>
    <x v="0"/>
    <s v="4400101"/>
    <n v="700026"/>
    <s v="Salaries-RN-Productive"/>
    <s v="Surgery Services"/>
    <x v="0"/>
    <m/>
    <n v="161588.43"/>
    <n v="153965.67000000001"/>
    <n v="144326.69"/>
    <n v="144522.23000000001"/>
    <n v="134860.78"/>
    <n v="123870.42"/>
    <n v="128451.12"/>
    <n v="100257.35"/>
    <n v="133996.89000000001"/>
    <n v="120818.97"/>
    <n v="112448.47"/>
    <n v="120192.8"/>
    <n v="1579299.82"/>
    <n v="-7744.3300000000017"/>
  </r>
  <r>
    <x v="5"/>
    <x v="3"/>
    <x v="0"/>
    <s v="4400101"/>
    <n v="700026"/>
    <s v="Salaries-RN-OT"/>
    <s v="Surgery Services"/>
    <x v="0"/>
    <n v="1000"/>
    <n v="9607.31"/>
    <n v="11349.67"/>
    <n v="7945.46"/>
    <n v="11185.78"/>
    <n v="13568.58"/>
    <n v="11239.83"/>
    <n v="7218.98"/>
    <n v="11380.37"/>
    <n v="18483.93"/>
    <n v="10344.49"/>
    <n v="12317.69"/>
    <n v="8211.6299999999992"/>
    <n v="132853.72"/>
    <n v="4106.0600000000013"/>
  </r>
  <r>
    <x v="5"/>
    <x v="3"/>
    <x v="0"/>
    <s v="4400101"/>
    <n v="700026"/>
    <s v="Salaries-RN-Other"/>
    <s v="Surgery Services"/>
    <x v="0"/>
    <n v="2000"/>
    <n v="11418.69"/>
    <n v="11296.2"/>
    <n v="10161.82"/>
    <n v="9960.66"/>
    <n v="9637.24"/>
    <n v="9320.24"/>
    <n v="9488.69"/>
    <n v="8102.01"/>
    <n v="11494.38"/>
    <n v="9479.99"/>
    <n v="9853.7000000000007"/>
    <n v="9954.15"/>
    <n v="120167.76999999999"/>
    <n v="-100.44999999999891"/>
  </r>
  <r>
    <x v="5"/>
    <x v="3"/>
    <x v="0"/>
    <s v="4400101"/>
    <n v="700030"/>
    <s v="Salaries-LPN-Productive"/>
    <s v="Surgery Services"/>
    <x v="0"/>
    <m/>
    <n v="0"/>
    <n v="0"/>
    <n v="0"/>
    <n v="0"/>
    <n v="262.58"/>
    <n v="-126.42"/>
    <n v="0"/>
    <n v="0"/>
    <n v="0"/>
    <n v="0"/>
    <n v="0"/>
    <n v="0"/>
    <n v="136.15999999999997"/>
    <n v="0"/>
  </r>
  <r>
    <x v="5"/>
    <x v="3"/>
    <x v="0"/>
    <s v="4400101"/>
    <n v="700032"/>
    <s v="Salaries-Other Pat Care Providers-Productive"/>
    <s v="Surgery Services"/>
    <x v="0"/>
    <m/>
    <n v="398.25"/>
    <n v="276.10000000000002"/>
    <n v="118.53"/>
    <n v="444.99"/>
    <n v="617.14"/>
    <n v="414.99"/>
    <n v="406.63"/>
    <n v="417.28"/>
    <n v="340.92"/>
    <n v="486.05"/>
    <n v="503.03"/>
    <n v="208.24"/>
    <n v="4632.1499999999996"/>
    <n v="294.78999999999996"/>
  </r>
  <r>
    <x v="5"/>
    <x v="3"/>
    <x v="0"/>
    <s v="4400101"/>
    <n v="700032"/>
    <s v="Salaries-Other Pat Care Providers-OT"/>
    <s v="Surgery Services"/>
    <x v="0"/>
    <n v="1000"/>
    <n v="0"/>
    <n v="0"/>
    <n v="26.61"/>
    <n v="-9.67"/>
    <n v="0"/>
    <n v="34.61"/>
    <n v="0"/>
    <n v="0"/>
    <n v="6.85"/>
    <n v="0"/>
    <n v="0"/>
    <n v="0"/>
    <n v="58.4"/>
    <n v="0"/>
  </r>
  <r>
    <x v="5"/>
    <x v="3"/>
    <x v="0"/>
    <s v="4400101"/>
    <n v="700032"/>
    <s v="Salaries-Other Pat Care Providers-Other"/>
    <s v="Surgery Services"/>
    <x v="0"/>
    <n v="2000"/>
    <n v="0"/>
    <n v="0"/>
    <n v="0"/>
    <n v="0"/>
    <n v="0"/>
    <n v="1.01"/>
    <n v="0"/>
    <n v="0"/>
    <n v="0"/>
    <n v="0"/>
    <n v="0"/>
    <n v="0"/>
    <n v="1.01"/>
    <n v="0"/>
  </r>
  <r>
    <x v="5"/>
    <x v="3"/>
    <x v="0"/>
    <s v="4400101"/>
    <n v="700034"/>
    <s v="Salaries-Tech/Professional-Productive"/>
    <s v="Surgery Services"/>
    <x v="0"/>
    <m/>
    <n v="112973.73"/>
    <n v="122467.87"/>
    <n v="114617.9"/>
    <n v="127994.05"/>
    <n v="120853.69"/>
    <n v="107245.98"/>
    <n v="127471.7"/>
    <n v="114875.29"/>
    <n v="131011.14"/>
    <n v="123555.36"/>
    <n v="103380.63"/>
    <n v="98829.1"/>
    <n v="1405276.44"/>
    <n v="4551.5299999999988"/>
  </r>
  <r>
    <x v="5"/>
    <x v="3"/>
    <x v="0"/>
    <s v="4400101"/>
    <n v="700034"/>
    <s v="Salaries-Tech/Professional-OT"/>
    <s v="Surgery Services"/>
    <x v="0"/>
    <n v="1000"/>
    <n v="6505.66"/>
    <n v="6457.81"/>
    <n v="5159.88"/>
    <n v="7548.12"/>
    <n v="8809.93"/>
    <n v="8836.17"/>
    <n v="7008.63"/>
    <n v="12563.9"/>
    <n v="9822.84"/>
    <n v="8936.34"/>
    <n v="14058.15"/>
    <n v="-1043.75"/>
    <n v="94663.679999999993"/>
    <n v="15101.9"/>
  </r>
  <r>
    <x v="5"/>
    <x v="3"/>
    <x v="0"/>
    <s v="4400101"/>
    <n v="700034"/>
    <s v="Salaries-Tech/Professional-Other"/>
    <s v="Surgery Services"/>
    <x v="0"/>
    <n v="2000"/>
    <n v="4895.3"/>
    <n v="7793.33"/>
    <n v="5770.42"/>
    <n v="6932.93"/>
    <n v="6474.81"/>
    <n v="8147.79"/>
    <n v="6950.31"/>
    <n v="6049.33"/>
    <n v="7284.88"/>
    <n v="7064.24"/>
    <n v="7739.39"/>
    <n v="5576.04"/>
    <n v="80678.76999999999"/>
    <n v="2163.3500000000004"/>
  </r>
  <r>
    <x v="5"/>
    <x v="3"/>
    <x v="0"/>
    <s v="4400101"/>
    <n v="700038"/>
    <s v="Salaries-Service/Support-Productive"/>
    <s v="Surgery Services"/>
    <x v="0"/>
    <m/>
    <n v="30322.959999999999"/>
    <n v="30783.14"/>
    <n v="32035.49"/>
    <n v="31092.92"/>
    <n v="32972.49"/>
    <n v="24693.49"/>
    <n v="27034.22"/>
    <n v="22973.93"/>
    <n v="30543.55"/>
    <n v="32270.11"/>
    <n v="32329.58"/>
    <n v="30472.3"/>
    <n v="357524.18"/>
    <n v="1857.2800000000025"/>
  </r>
  <r>
    <x v="5"/>
    <x v="3"/>
    <x v="0"/>
    <s v="4400101"/>
    <n v="700038"/>
    <s v="Salaries-Service/Support-OT"/>
    <s v="Surgery Services"/>
    <x v="0"/>
    <n v="1000"/>
    <n v="1267.99"/>
    <n v="2418.15"/>
    <n v="-73.75"/>
    <n v="2235.2199999999998"/>
    <n v="785.71"/>
    <n v="1764.92"/>
    <n v="3763.32"/>
    <n v="1850.36"/>
    <n v="4636.67"/>
    <n v="-478.74"/>
    <n v="1820.57"/>
    <n v="1117.46"/>
    <n v="21107.88"/>
    <n v="703.1099999999999"/>
  </r>
  <r>
    <x v="5"/>
    <x v="3"/>
    <x v="0"/>
    <s v="4400101"/>
    <n v="700038"/>
    <s v="Salaries-Service/Support-Other"/>
    <s v="Surgery Services"/>
    <x v="0"/>
    <n v="2000"/>
    <n v="1086.82"/>
    <n v="991.84"/>
    <n v="1040.1300000000001"/>
    <n v="1044.18"/>
    <n v="930.03"/>
    <n v="583.52"/>
    <n v="712.01"/>
    <n v="500.11"/>
    <n v="1006.77"/>
    <n v="974.09"/>
    <n v="1254.08"/>
    <n v="1209.8"/>
    <n v="11333.38"/>
    <n v="44.279999999999973"/>
  </r>
  <r>
    <x v="5"/>
    <x v="3"/>
    <x v="0"/>
    <s v="4400101"/>
    <n v="700054"/>
    <s v="Salaries-Management-Non-productive"/>
    <s v="Surgery Services"/>
    <x v="0"/>
    <m/>
    <n v="0"/>
    <n v="0"/>
    <n v="3787.96"/>
    <n v="-1221.8800000000001"/>
    <n v="0"/>
    <n v="2154.9499999999998"/>
    <n v="285.93"/>
    <n v="1047.29"/>
    <n v="539.54"/>
    <n v="-253.87"/>
    <n v="4284.4399999999996"/>
    <n v="1465.86"/>
    <n v="12090.220000000001"/>
    <n v="2818.58"/>
  </r>
  <r>
    <x v="5"/>
    <x v="3"/>
    <x v="0"/>
    <s v="4400101"/>
    <n v="700054"/>
    <s v="Salaries-Management-NonProd-Other"/>
    <s v="Surgery Services"/>
    <x v="0"/>
    <n v="2000"/>
    <n v="0"/>
    <n v="0"/>
    <n v="0"/>
    <n v="0"/>
    <n v="0"/>
    <n v="13201.45"/>
    <n v="-13201.45"/>
    <n v="0"/>
    <n v="0"/>
    <n v="0"/>
    <n v="0"/>
    <n v="0"/>
    <n v="0"/>
    <n v="0"/>
  </r>
  <r>
    <x v="5"/>
    <x v="3"/>
    <x v="0"/>
    <s v="4400101"/>
    <n v="700066"/>
    <s v="Salaries-RN-Non-productive"/>
    <s v="Surgery Services"/>
    <x v="0"/>
    <m/>
    <n v="28198.95"/>
    <n v="30884.18"/>
    <n v="14885.19"/>
    <n v="23806.16"/>
    <n v="28690.05"/>
    <n v="29030.95"/>
    <n v="37442.61"/>
    <n v="32813.410000000003"/>
    <n v="16050.12"/>
    <n v="20602.88"/>
    <n v="35062.74"/>
    <n v="25699.05"/>
    <n v="323166.28999999998"/>
    <n v="9363.6899999999987"/>
  </r>
  <r>
    <x v="5"/>
    <x v="3"/>
    <x v="0"/>
    <s v="4400101"/>
    <n v="700066"/>
    <s v="Salaries-RN-NonProd-Other"/>
    <s v="Surgery Services"/>
    <x v="0"/>
    <n v="2000"/>
    <n v="1845.96"/>
    <n v="2581.13"/>
    <n v="1839.09"/>
    <n v="1580.79"/>
    <n v="3793.53"/>
    <n v="2232.52"/>
    <n v="1685.47"/>
    <n v="50.9"/>
    <n v="1169.48"/>
    <n v="1606.27"/>
    <n v="2163.69"/>
    <n v="1732.34"/>
    <n v="22281.17"/>
    <n v="431.35000000000014"/>
  </r>
  <r>
    <x v="5"/>
    <x v="3"/>
    <x v="0"/>
    <s v="4400101"/>
    <n v="700074"/>
    <s v="Salaries-Tech/Professional-Non-productive"/>
    <s v="Surgery Services"/>
    <x v="0"/>
    <m/>
    <n v="15932.86"/>
    <n v="16521.52"/>
    <n v="18319.87"/>
    <n v="13464.06"/>
    <n v="18419.23"/>
    <n v="20339.52"/>
    <n v="16476.580000000002"/>
    <n v="18330.509999999998"/>
    <n v="14568.02"/>
    <n v="19661.98"/>
    <n v="21557.7"/>
    <n v="18065.55"/>
    <n v="211657.4"/>
    <n v="3492.1500000000015"/>
  </r>
  <r>
    <x v="5"/>
    <x v="3"/>
    <x v="0"/>
    <s v="4400101"/>
    <n v="700074"/>
    <s v="Salaries-Tech/Professional-NonProd-Other"/>
    <s v="Surgery Services"/>
    <x v="0"/>
    <n v="2000"/>
    <n v="497.15"/>
    <n v="886.18"/>
    <n v="852.43"/>
    <n v="1109.22"/>
    <n v="2084.9699999999998"/>
    <n v="1884.34"/>
    <n v="1145.2"/>
    <n v="-1808.6"/>
    <n v="224.76"/>
    <n v="1301.04"/>
    <n v="419.9"/>
    <n v="483.55"/>
    <n v="9080.14"/>
    <n v="-63.650000000000034"/>
  </r>
  <r>
    <x v="5"/>
    <x v="3"/>
    <x v="0"/>
    <s v="4400101"/>
    <n v="700078"/>
    <s v="Salaries-Service/Support-Non-productive"/>
    <s v="Surgery Services"/>
    <x v="0"/>
    <m/>
    <n v="4518.88"/>
    <n v="5203.42"/>
    <n v="2097.66"/>
    <n v="4977.55"/>
    <n v="1913.96"/>
    <n v="9028.74"/>
    <n v="8060.11"/>
    <n v="4490.76"/>
    <n v="4076.42"/>
    <n v="2589.52"/>
    <n v="3535.75"/>
    <n v="4512.76"/>
    <n v="55005.53"/>
    <n v="-977.01000000000022"/>
  </r>
  <r>
    <x v="5"/>
    <x v="3"/>
    <x v="0"/>
    <s v="4400101"/>
    <n v="700078"/>
    <s v="Salaries-Service/Support-NonProd-Other"/>
    <s v="Surgery Services"/>
    <x v="0"/>
    <n v="2000"/>
    <n v="109.94"/>
    <n v="232.63"/>
    <n v="21.88"/>
    <n v="227.6"/>
    <n v="125.9"/>
    <n v="486.55"/>
    <n v="26.98"/>
    <n v="0"/>
    <n v="24.74"/>
    <n v="55.03"/>
    <n v="94.72"/>
    <n v="41.11"/>
    <n v="1447.08"/>
    <n v="53.61"/>
  </r>
  <r>
    <x v="5"/>
    <x v="3"/>
    <x v="0"/>
    <s v="4400101"/>
    <n v="700084"/>
    <s v="Accrued PTO"/>
    <s v="Surgery Services"/>
    <x v="0"/>
    <m/>
    <n v="-251.21"/>
    <n v="-6112.85"/>
    <n v="1883.73"/>
    <n v="-3772.64"/>
    <n v="3754.37"/>
    <n v="-7092.07"/>
    <n v="-13187.83"/>
    <n v="-8771.1"/>
    <n v="10192.34"/>
    <n v="11956"/>
    <n v="-4042.97"/>
    <n v="1350.73"/>
    <n v="-14093.499999999998"/>
    <n v="-5393.7"/>
  </r>
  <r>
    <x v="10"/>
    <x v="3"/>
    <x v="0"/>
    <s v="4400101"/>
    <n v="710060"/>
    <s v="Contract Labor-Other"/>
    <s v="Surgery Services"/>
    <x v="0"/>
    <m/>
    <n v="9698.1299999999992"/>
    <n v="21616.42"/>
    <n v="14460.5"/>
    <n v="20469.830000000002"/>
    <n v="31679.38"/>
    <n v="24987.38"/>
    <n v="19484.25"/>
    <n v="20492.25"/>
    <n v="53790.5"/>
    <n v="37936.25"/>
    <n v="46341.25"/>
    <n v="72904.5"/>
    <n v="373860.64"/>
    <n v="-26563.25"/>
  </r>
  <r>
    <x v="10"/>
    <x v="3"/>
    <x v="0"/>
    <s v="4400101"/>
    <n v="710060"/>
    <s v="Contract Labor-Overtime"/>
    <s v="Surgery Services"/>
    <x v="0"/>
    <n v="5100"/>
    <n v="0"/>
    <n v="88.93"/>
    <n v="75.599999999999994"/>
    <n v="776.04"/>
    <n v="237.1"/>
    <n v="239.96"/>
    <n v="2435.4"/>
    <n v="75.599999999999994"/>
    <n v="1467.78"/>
    <n v="56.02"/>
    <n v="669.6"/>
    <n v="-95.85"/>
    <n v="6026.18"/>
    <n v="765.45"/>
  </r>
  <r>
    <x v="10"/>
    <x v="3"/>
    <x v="0"/>
    <s v="4400101"/>
    <n v="710060"/>
    <s v="Contract Labor-Standby Wages"/>
    <s v="Surgery Services"/>
    <x v="0"/>
    <n v="5101"/>
    <n v="0"/>
    <n v="0"/>
    <n v="482.24"/>
    <n v="-370.24"/>
    <n v="664.2"/>
    <n v="0"/>
    <n v="-596.20000000000005"/>
    <n v="0"/>
    <n v="138"/>
    <n v="790"/>
    <n v="1670"/>
    <n v="112"/>
    <n v="2890"/>
    <n v="1558"/>
  </r>
  <r>
    <x v="6"/>
    <x v="3"/>
    <x v="0"/>
    <s v="4400101"/>
    <n v="713010"/>
    <s v="Benefits-FICA/Medicare"/>
    <s v="Surgery Services"/>
    <x v="0"/>
    <m/>
    <n v="30744.61"/>
    <n v="30769.91"/>
    <n v="27168.7"/>
    <n v="29508.62"/>
    <n v="29894.76"/>
    <n v="28592.39"/>
    <n v="30242.85"/>
    <n v="25633.56"/>
    <n v="29931.23"/>
    <n v="26989.96"/>
    <n v="27009.78"/>
    <n v="26610.47"/>
    <n v="343096.83999999997"/>
    <n v="399.30999999999767"/>
  </r>
  <r>
    <x v="6"/>
    <x v="3"/>
    <x v="0"/>
    <s v="4400101"/>
    <n v="713090"/>
    <s v="Benefits-Allocated Amounts"/>
    <s v="Surgery Services"/>
    <x v="0"/>
    <m/>
    <n v="88099.61"/>
    <n v="83715.070000000007"/>
    <n v="83566.14"/>
    <n v="85173.56"/>
    <n v="86916.01"/>
    <n v="79138.37"/>
    <n v="89681.39"/>
    <n v="83739.539999999994"/>
    <n v="74207.44"/>
    <n v="85568.01"/>
    <n v="86129.66"/>
    <n v="82354.009999999995"/>
    <n v="1008288.8100000002"/>
    <n v="3775.6500000000087"/>
  </r>
  <r>
    <x v="6"/>
    <x v="3"/>
    <x v="0"/>
    <s v="4400101"/>
    <n v="713096"/>
    <s v="Employee Recognition"/>
    <s v="Surgery Services"/>
    <x v="0"/>
    <n v="1017"/>
    <n v="0"/>
    <n v="0"/>
    <n v="0"/>
    <n v="0"/>
    <n v="0"/>
    <n v="42.77"/>
    <n v="0"/>
    <n v="330.13"/>
    <n v="0"/>
    <n v="58.3"/>
    <n v="627.99"/>
    <n v="164.03"/>
    <n v="1223.22"/>
    <n v="463.96000000000004"/>
  </r>
  <r>
    <x v="17"/>
    <x v="3"/>
    <x v="0"/>
    <s v="4400101"/>
    <n v="714510"/>
    <s v="Medical Director Fees"/>
    <s v="Surgery Services"/>
    <x v="0"/>
    <m/>
    <n v="55373.49"/>
    <n v="32660.82"/>
    <n v="30236.59"/>
    <n v="30477.62"/>
    <n v="30988.39"/>
    <n v="29164.94"/>
    <n v="28666.54"/>
    <n v="30846.98"/>
    <n v="38633.79"/>
    <n v="29902.560000000001"/>
    <n v="25351.99"/>
    <n v="34891.07"/>
    <n v="397194.77999999997"/>
    <n v="-9539.0799999999981"/>
  </r>
  <r>
    <x v="17"/>
    <x v="3"/>
    <x v="0"/>
    <s v="4400101"/>
    <n v="714520"/>
    <s v="Other Contracted Professionals"/>
    <s v="Surgery Services"/>
    <x v="0"/>
    <m/>
    <n v="55868.54"/>
    <n v="30310.86"/>
    <n v="30504.67"/>
    <n v="29677.59"/>
    <n v="29419.49"/>
    <n v="6000"/>
    <n v="47476.45"/>
    <n v="36832.49"/>
    <n v="30385.96"/>
    <n v="33319.47"/>
    <n v="38195.550000000003"/>
    <n v="31934.67"/>
    <n v="399925.74"/>
    <n v="6260.8800000000047"/>
  </r>
  <r>
    <x v="17"/>
    <x v="3"/>
    <x v="0"/>
    <s v="4400101"/>
    <n v="714530"/>
    <s v="Medical Prof Fees-Intracompany"/>
    <s v="Surgery Services"/>
    <x v="0"/>
    <m/>
    <n v="91659.12"/>
    <n v="121642.01"/>
    <n v="93879.17"/>
    <n v="105044.22"/>
    <n v="134944.76999999999"/>
    <n v="103397.38"/>
    <n v="114771.66"/>
    <n v="147909.17000000001"/>
    <n v="218237.74"/>
    <n v="213382.01"/>
    <n v="139451.25"/>
    <n v="10789"/>
    <n v="1495107.5000000002"/>
    <n v="128662.25"/>
  </r>
  <r>
    <x v="21"/>
    <x v="3"/>
    <x v="0"/>
    <s v="4400101"/>
    <n v="716046"/>
    <s v="Consulting-Other"/>
    <s v="Surgery Services"/>
    <x v="0"/>
    <m/>
    <n v="0"/>
    <n v="0"/>
    <n v="0"/>
    <n v="0"/>
    <n v="0"/>
    <n v="0"/>
    <n v="0"/>
    <n v="0"/>
    <n v="0"/>
    <n v="0"/>
    <n v="23800"/>
    <n v="0"/>
    <n v="23800"/>
    <n v="23800"/>
  </r>
  <r>
    <x v="7"/>
    <x v="3"/>
    <x v="0"/>
    <s v="4400101"/>
    <n v="718050"/>
    <s v="Contract Svcs-Other"/>
    <s v="Surgery Services"/>
    <x v="0"/>
    <m/>
    <n v="9174.99"/>
    <n v="10636.78"/>
    <n v="11351.3"/>
    <n v="2907.19"/>
    <n v="10620.4"/>
    <n v="10509.63"/>
    <n v="775.89"/>
    <n v="10620.4"/>
    <n v="4876.3"/>
    <n v="19684.63"/>
    <n v="12082.84"/>
    <n v="37516.71"/>
    <n v="140757.06"/>
    <n v="-25433.87"/>
  </r>
  <r>
    <x v="7"/>
    <x v="3"/>
    <x v="0"/>
    <s v="4400101"/>
    <n v="718050"/>
    <s v="Document Shredding/Storage"/>
    <s v="Surgery Services"/>
    <x v="0"/>
    <n v="1012"/>
    <n v="196.55"/>
    <n v="-74.989999999999995"/>
    <n v="169.02"/>
    <n v="140.91999999999999"/>
    <n v="168.94"/>
    <n v="133.25"/>
    <n v="131.91"/>
    <n v="166.02"/>
    <n v="135.82"/>
    <n v="15.02"/>
    <n v="95.69"/>
    <n v="166.67"/>
    <n v="1444.8200000000002"/>
    <n v="-70.97999999999999"/>
  </r>
  <r>
    <x v="7"/>
    <x v="3"/>
    <x v="0"/>
    <s v="4400101"/>
    <n v="718050"/>
    <s v="Miscellaneous Purchased Svcs"/>
    <s v="Surgery Services"/>
    <x v="0"/>
    <n v="1020"/>
    <n v="674.21"/>
    <n v="0"/>
    <n v="9358.5"/>
    <n v="11273.99"/>
    <n v="1837.08"/>
    <n v="675"/>
    <n v="2500"/>
    <n v="0"/>
    <n v="21056.16"/>
    <n v="-13302.28"/>
    <n v="14604.76"/>
    <n v="-13302.28"/>
    <n v="35375.140000000007"/>
    <n v="27907.040000000001"/>
  </r>
  <r>
    <x v="7"/>
    <x v="3"/>
    <x v="0"/>
    <s v="4400101"/>
    <n v="718050"/>
    <s v="Contract Svcs--Medical/Dental"/>
    <s v="Surgery Services"/>
    <x v="0"/>
    <n v="1024"/>
    <n v="881.89"/>
    <n v="52.02"/>
    <n v="1185.83"/>
    <n v="259.87"/>
    <n v="0"/>
    <n v="675"/>
    <n v="0"/>
    <n v="0"/>
    <n v="0"/>
    <n v="0"/>
    <n v="0"/>
    <n v="0"/>
    <n v="3054.6099999999997"/>
    <n v="0"/>
  </r>
  <r>
    <x v="7"/>
    <x v="3"/>
    <x v="0"/>
    <s v="4400101"/>
    <n v="718050"/>
    <s v="Translation Services"/>
    <s v="Surgery Services"/>
    <x v="0"/>
    <n v="1025"/>
    <n v="1378.23"/>
    <n v="568"/>
    <n v="1424"/>
    <n v="48"/>
    <n v="728"/>
    <n v="312"/>
    <n v="936"/>
    <n v="336"/>
    <n v="184"/>
    <n v="0"/>
    <n v="0"/>
    <n v="236.07"/>
    <n v="6150.2999999999993"/>
    <n v="-236.07"/>
  </r>
  <r>
    <x v="7"/>
    <x v="3"/>
    <x v="0"/>
    <s v="4400101"/>
    <n v="718050"/>
    <s v="Contract Management--Linen"/>
    <s v="Surgery Services"/>
    <x v="0"/>
    <n v="1026"/>
    <n v="8301.68"/>
    <n v="7748.75"/>
    <n v="7598.36"/>
    <n v="5487.76"/>
    <n v="7583.47"/>
    <n v="6576.2"/>
    <n v="6853.98"/>
    <n v="8268.5"/>
    <n v="7221.71"/>
    <n v="7105.53"/>
    <n v="7532.06"/>
    <n v="6729.78"/>
    <n v="87007.78"/>
    <n v="802.28000000000065"/>
  </r>
  <r>
    <x v="7"/>
    <x v="3"/>
    <x v="0"/>
    <s v="4400101"/>
    <n v="718070"/>
    <s v="Contract Srvcs-CHI Clinical Engineering"/>
    <s v="Surgery Services"/>
    <x v="0"/>
    <m/>
    <n v="42270.27"/>
    <n v="32682.04"/>
    <n v="32682.04"/>
    <n v="36494.99"/>
    <n v="33003.51"/>
    <n v="32918.61"/>
    <n v="35787.01"/>
    <n v="33646.44"/>
    <n v="36403.360000000001"/>
    <n v="36796.78"/>
    <n v="32908.480000000003"/>
    <n v="44417.04"/>
    <n v="430010.57"/>
    <n v="-11508.559999999998"/>
  </r>
  <r>
    <x v="7"/>
    <x v="3"/>
    <x v="0"/>
    <s v="4400101"/>
    <n v="718091"/>
    <s v="Contract Services-Intracompany Allocation"/>
    <s v="Surgery Services"/>
    <x v="0"/>
    <m/>
    <n v="31023.69"/>
    <n v="29136.81"/>
    <n v="27569.48"/>
    <n v="34674.75"/>
    <n v="30094.99"/>
    <n v="26849.68"/>
    <n v="32068.71"/>
    <n v="27190.58"/>
    <n v="34671.46"/>
    <n v="32326.07"/>
    <n v="31196.21"/>
    <n v="29309.46"/>
    <n v="366111.89000000007"/>
    <n v="1886.75"/>
  </r>
  <r>
    <x v="11"/>
    <x v="3"/>
    <x v="0"/>
    <s v="4400101"/>
    <n v="721010"/>
    <s v="Supplies-Medical - Billable"/>
    <s v="Surgery Services"/>
    <x v="0"/>
    <m/>
    <n v="47917.47"/>
    <n v="43282.92"/>
    <n v="29962.68"/>
    <n v="61301.54"/>
    <n v="47165.91"/>
    <n v="30176.14"/>
    <n v="43081.07"/>
    <n v="37759.910000000003"/>
    <n v="40424.44"/>
    <n v="33137.01"/>
    <n v="42948.49"/>
    <n v="43884.83"/>
    <n v="501042.41000000003"/>
    <n v="-936.34000000000378"/>
  </r>
  <r>
    <x v="11"/>
    <x v="3"/>
    <x v="0"/>
    <s v="4400101"/>
    <n v="721010"/>
    <s v="Patient Monitoring"/>
    <s v="Surgery Services"/>
    <x v="0"/>
    <n v="1000"/>
    <n v="41562.92"/>
    <n v="26537.47"/>
    <n v="29701.360000000001"/>
    <n v="32612.240000000002"/>
    <n v="34673.32"/>
    <n v="31630.69"/>
    <n v="20422.349999999999"/>
    <n v="17157.3"/>
    <n v="30695.53"/>
    <n v="27419.07"/>
    <n v="18930.48"/>
    <n v="16993.87"/>
    <n v="328336.59999999998"/>
    <n v="1936.6100000000006"/>
  </r>
  <r>
    <x v="11"/>
    <x v="3"/>
    <x v="0"/>
    <s v="4400101"/>
    <n v="721020"/>
    <s v="Supplies-Surgical - Billable"/>
    <s v="Surgery Services"/>
    <x v="0"/>
    <m/>
    <n v="338630.58"/>
    <n v="208206.23"/>
    <n v="311195.43"/>
    <n v="315641.59999999998"/>
    <n v="281377.63"/>
    <n v="190399.62"/>
    <n v="295189.53000000003"/>
    <n v="255597.28"/>
    <n v="271058.74"/>
    <n v="341987.07"/>
    <n v="269895.92"/>
    <n v="344568.36"/>
    <n v="3423747.9899999993"/>
    <n v="-74672.44"/>
  </r>
  <r>
    <x v="11"/>
    <x v="3"/>
    <x v="0"/>
    <s v="4400101"/>
    <n v="721020"/>
    <s v="Custom Packs"/>
    <s v="Surgery Services"/>
    <x v="0"/>
    <n v="1000"/>
    <n v="12086.36"/>
    <n v="13115.03"/>
    <n v="12403.14"/>
    <n v="17388.23"/>
    <n v="13319.69"/>
    <n v="11469.92"/>
    <n v="13354.25"/>
    <n v="10457.15"/>
    <n v="11889.56"/>
    <n v="12799.04"/>
    <n v="12218.4"/>
    <n v="13010.35"/>
    <n v="153511.12"/>
    <n v="-791.95000000000073"/>
  </r>
  <r>
    <x v="11"/>
    <x v="3"/>
    <x v="0"/>
    <s v="4400101"/>
    <n v="721020"/>
    <s v="Suture/Wound Closure"/>
    <s v="Surgery Services"/>
    <x v="0"/>
    <n v="1001"/>
    <n v="27923.97"/>
    <n v="63433.59"/>
    <n v="15717.17"/>
    <n v="77583.990000000005"/>
    <n v="25180.81"/>
    <n v="44045.73"/>
    <n v="48236.22"/>
    <n v="33772.339999999997"/>
    <n v="39989.18"/>
    <n v="26737.18"/>
    <n v="46881.74"/>
    <n v="55137.79"/>
    <n v="504639.7099999999"/>
    <n v="-8256.0500000000029"/>
  </r>
  <r>
    <x v="11"/>
    <x v="3"/>
    <x v="0"/>
    <s v="4400101"/>
    <n v="721020"/>
    <s v="Endoscopy - Trocars &amp; Accessories"/>
    <s v="Surgery Services"/>
    <x v="0"/>
    <n v="1002"/>
    <n v="7109.6"/>
    <n v="5710.38"/>
    <n v="15399.13"/>
    <n v="7611.23"/>
    <n v="4870.07"/>
    <n v="4297.67"/>
    <n v="8296.7000000000007"/>
    <n v="10064.709999999999"/>
    <n v="10132.31"/>
    <n v="5637.69"/>
    <n v="6313.08"/>
    <n v="5714.84"/>
    <n v="91157.41"/>
    <n v="598.23999999999978"/>
  </r>
  <r>
    <x v="11"/>
    <x v="3"/>
    <x v="0"/>
    <s v="4400101"/>
    <n v="721020"/>
    <s v="Endomechanical Supplies &amp; Instruments"/>
    <s v="Surgery Services"/>
    <x v="0"/>
    <n v="1003"/>
    <n v="79899.28"/>
    <n v="145151.57999999999"/>
    <n v="167383.82999999999"/>
    <n v="130444.95"/>
    <n v="156272.32000000001"/>
    <n v="120596.53"/>
    <n v="101331.99"/>
    <n v="117626.22"/>
    <n v="180929.99"/>
    <n v="137334.73000000001"/>
    <n v="182554.64"/>
    <n v="143994.76999999999"/>
    <n v="1663520.83"/>
    <n v="38559.870000000024"/>
  </r>
  <r>
    <x v="11"/>
    <x v="3"/>
    <x v="0"/>
    <s v="4400101"/>
    <n v="721020"/>
    <s v="Bone Cement &amp; Supplies"/>
    <s v="Surgery Services"/>
    <x v="0"/>
    <n v="1004"/>
    <n v="11758.98"/>
    <n v="14103.83"/>
    <n v="16273.42"/>
    <n v="22483.37"/>
    <n v="7942.62"/>
    <n v="7307.78"/>
    <n v="12005.53"/>
    <n v="16577.32"/>
    <n v="13400.05"/>
    <n v="13129.76"/>
    <n v="17652.830000000002"/>
    <n v="11618.2"/>
    <n v="164253.69"/>
    <n v="6034.630000000001"/>
  </r>
  <r>
    <x v="11"/>
    <x v="3"/>
    <x v="0"/>
    <s v="4400101"/>
    <n v="721020"/>
    <s v="Heart/Lung Machine Supplies"/>
    <s v="Surgery Services"/>
    <x v="0"/>
    <n v="1005"/>
    <n v="4113.72"/>
    <n v="3950.95"/>
    <n v="-1903.67"/>
    <n v="220.53"/>
    <n v="1904.4"/>
    <n v="-256.67"/>
    <n v="485.07"/>
    <n v="63.1"/>
    <n v="-111.14"/>
    <n v="25.13"/>
    <n v="-175.53"/>
    <n v="30.91"/>
    <n v="8346.7999999999993"/>
    <n v="-206.44"/>
  </r>
  <r>
    <x v="11"/>
    <x v="3"/>
    <x v="0"/>
    <s v="4400101"/>
    <n v="721020"/>
    <s v="Urological Supplies"/>
    <s v="Surgery Services"/>
    <x v="0"/>
    <n v="1006"/>
    <n v="8350.7000000000007"/>
    <n v="9262.36"/>
    <n v="5208.97"/>
    <n v="8926.39"/>
    <n v="7590.92"/>
    <n v="7796.85"/>
    <n v="4811.6499999999996"/>
    <n v="-524.57000000000005"/>
    <n v="5237.59"/>
    <n v="7797.04"/>
    <n v="7244.02"/>
    <n v="2680.3"/>
    <n v="74382.22"/>
    <n v="4563.72"/>
  </r>
  <r>
    <x v="11"/>
    <x v="3"/>
    <x v="0"/>
    <s v="4400101"/>
    <n v="721020"/>
    <s v="Surgical Cardiovascular"/>
    <s v="Surgery Services"/>
    <x v="0"/>
    <n v="1007"/>
    <n v="4337.3"/>
    <n v="6096.06"/>
    <n v="4374.09"/>
    <n v="16402.54"/>
    <n v="15258.59"/>
    <n v="6899.21"/>
    <n v="7626.67"/>
    <n v="4372.26"/>
    <n v="9767.64"/>
    <n v="8616.7099999999991"/>
    <n v="4783.95"/>
    <n v="1522.21"/>
    <n v="90057.23000000001"/>
    <n v="3261.74"/>
  </r>
  <r>
    <x v="11"/>
    <x v="3"/>
    <x v="0"/>
    <s v="4400101"/>
    <n v="721020"/>
    <s v="Tubes Drains &amp; Related Supplies"/>
    <s v="Surgery Services"/>
    <x v="0"/>
    <n v="1008"/>
    <n v="6332.86"/>
    <n v="815.52"/>
    <n v="1550.18"/>
    <n v="2692.81"/>
    <n v="3483.64"/>
    <n v="2319.87"/>
    <n v="1447.94"/>
    <n v="2095.56"/>
    <n v="2904.67"/>
    <n v="1582.8"/>
    <n v="2953.24"/>
    <n v="1679.17"/>
    <n v="29858.259999999995"/>
    <n v="1274.0699999999997"/>
  </r>
  <r>
    <x v="11"/>
    <x v="3"/>
    <x v="0"/>
    <s v="4400101"/>
    <n v="721050"/>
    <s v="Supplies-Cardiac Rhythm - Billable"/>
    <s v="Surgery Services"/>
    <x v="0"/>
    <m/>
    <n v="12921.19"/>
    <n v="26391.16"/>
    <n v="24382.76"/>
    <n v="47023.96"/>
    <n v="41174.639999999999"/>
    <n v="26969.439999999999"/>
    <n v="19216.25"/>
    <n v="25314.37"/>
    <n v="76425.39"/>
    <n v="56271.54"/>
    <n v="26656.77"/>
    <n v="31427.9"/>
    <n v="414175.37000000005"/>
    <n v="-4771.130000000001"/>
  </r>
  <r>
    <x v="11"/>
    <x v="3"/>
    <x v="0"/>
    <s v="4400101"/>
    <n v="721050"/>
    <s v="Pacemakers - Internal"/>
    <s v="Surgery Services"/>
    <x v="0"/>
    <n v="1000"/>
    <n v="29333"/>
    <n v="0"/>
    <n v="0"/>
    <n v="375"/>
    <n v="3333"/>
    <n v="0"/>
    <n v="410.4"/>
    <n v="-10.4"/>
    <n v="1500"/>
    <n v="0"/>
    <n v="5039"/>
    <n v="4513"/>
    <n v="44493"/>
    <n v="526"/>
  </r>
  <r>
    <x v="11"/>
    <x v="3"/>
    <x v="0"/>
    <s v="4400101"/>
    <n v="721050"/>
    <s v="AICD"/>
    <s v="Surgery Services"/>
    <x v="0"/>
    <n v="1001"/>
    <n v="31971"/>
    <n v="0"/>
    <n v="0"/>
    <n v="0"/>
    <n v="20110.98"/>
    <n v="0"/>
    <n v="0"/>
    <n v="0"/>
    <n v="0"/>
    <n v="0"/>
    <n v="16324"/>
    <n v="0"/>
    <n v="68405.98"/>
    <n v="16324"/>
  </r>
  <r>
    <x v="11"/>
    <x v="3"/>
    <x v="0"/>
    <s v="4400101"/>
    <n v="721050"/>
    <s v="Electrophysiology Products"/>
    <s v="Surgery Services"/>
    <x v="0"/>
    <n v="1002"/>
    <n v="0"/>
    <n v="0"/>
    <n v="0"/>
    <n v="0"/>
    <n v="-1290"/>
    <n v="0"/>
    <n v="0"/>
    <n v="0"/>
    <n v="0"/>
    <n v="0"/>
    <n v="0"/>
    <n v="0"/>
    <n v="-1290"/>
    <n v="0"/>
  </r>
  <r>
    <x v="11"/>
    <x v="3"/>
    <x v="0"/>
    <s v="4400101"/>
    <n v="721060"/>
    <s v="Supplies-Heart Valves - Billable"/>
    <s v="Surgery Services"/>
    <x v="0"/>
    <m/>
    <n v="10766.96"/>
    <n v="56150"/>
    <n v="77955.95"/>
    <n v="-98219.34"/>
    <n v="126.9"/>
    <n v="60000"/>
    <n v="64650"/>
    <n v="36150"/>
    <n v="-13994.05"/>
    <n v="145661.9"/>
    <n v="326000"/>
    <n v="135211.9"/>
    <n v="800460.22"/>
    <n v="190788.1"/>
  </r>
  <r>
    <x v="11"/>
    <x v="3"/>
    <x v="0"/>
    <s v="4400101"/>
    <n v="721070"/>
    <s v="Supplies-Stents - Billable"/>
    <s v="Surgery Services"/>
    <x v="0"/>
    <m/>
    <n v="2696"/>
    <n v="0"/>
    <n v="0"/>
    <n v="0"/>
    <n v="0"/>
    <n v="2696"/>
    <n v="0"/>
    <n v="0"/>
    <n v="-13480"/>
    <n v="0"/>
    <n v="2696"/>
    <n v="0"/>
    <n v="-5392"/>
    <n v="2696"/>
  </r>
  <r>
    <x v="11"/>
    <x v="3"/>
    <x v="0"/>
    <s v="4400101"/>
    <n v="721070"/>
    <s v="Coronary Stents DES"/>
    <s v="Surgery Services"/>
    <x v="0"/>
    <n v="1000"/>
    <n v="0"/>
    <n v="0"/>
    <n v="0"/>
    <n v="0"/>
    <n v="0"/>
    <n v="0"/>
    <n v="0"/>
    <n v="0"/>
    <n v="1895"/>
    <n v="1895"/>
    <n v="1895"/>
    <n v="0"/>
    <n v="5685"/>
    <n v="1895"/>
  </r>
  <r>
    <x v="11"/>
    <x v="3"/>
    <x v="0"/>
    <s v="4400101"/>
    <n v="721070"/>
    <s v="Peripheral Stents"/>
    <s v="Surgery Services"/>
    <x v="0"/>
    <n v="1001"/>
    <n v="25039.95"/>
    <n v="21747.95"/>
    <n v="-595.9"/>
    <n v="33772.44"/>
    <n v="1767.51"/>
    <n v="1802.05"/>
    <n v="5795"/>
    <n v="19766.2"/>
    <n v="13310.2"/>
    <n v="15537"/>
    <n v="8195"/>
    <n v="8000"/>
    <n v="154137.4"/>
    <n v="195"/>
  </r>
  <r>
    <x v="11"/>
    <x v="3"/>
    <x v="0"/>
    <s v="4400101"/>
    <n v="721110"/>
    <s v="Supplies-Grafts - Billable"/>
    <s v="Surgery Services"/>
    <x v="0"/>
    <m/>
    <n v="144352.32999999999"/>
    <n v="126023.19"/>
    <n v="176043.41"/>
    <n v="249082.86"/>
    <n v="187494.87"/>
    <n v="100191.49"/>
    <n v="157814.88"/>
    <n v="178018.49"/>
    <n v="278801"/>
    <n v="268542.86"/>
    <n v="121679.37"/>
    <n v="170384.36"/>
    <n v="2158429.11"/>
    <n v="-48704.989999999991"/>
  </r>
  <r>
    <x v="11"/>
    <x v="3"/>
    <x v="0"/>
    <s v="4400101"/>
    <n v="721120"/>
    <s v="Supplies-Prosthetics - Billable"/>
    <s v="Surgery Services"/>
    <x v="0"/>
    <m/>
    <n v="0"/>
    <n v="0"/>
    <n v="0"/>
    <n v="4700"/>
    <n v="0"/>
    <n v="0"/>
    <n v="0"/>
    <n v="0"/>
    <n v="0"/>
    <n v="0"/>
    <n v="0"/>
    <n v="0"/>
    <n v="4700"/>
    <n v="0"/>
  </r>
  <r>
    <x v="11"/>
    <x v="3"/>
    <x v="0"/>
    <s v="4400101"/>
    <n v="721120"/>
    <s v="Hip Prosthesis"/>
    <s v="Surgery Services"/>
    <x v="0"/>
    <n v="1000"/>
    <n v="193218.13"/>
    <n v="152174.59"/>
    <n v="115757.02"/>
    <n v="192556.08"/>
    <n v="143406.18"/>
    <n v="179226.07"/>
    <n v="89592.13"/>
    <n v="110155.8"/>
    <n v="124502.32"/>
    <n v="176346.66"/>
    <n v="140297.04"/>
    <n v="120148.51"/>
    <n v="1737380.5300000003"/>
    <n v="20148.530000000013"/>
  </r>
  <r>
    <x v="11"/>
    <x v="3"/>
    <x v="0"/>
    <s v="4400101"/>
    <n v="721120"/>
    <s v="Knee Prosthesis"/>
    <s v="Surgery Services"/>
    <x v="0"/>
    <n v="1001"/>
    <n v="160210.46"/>
    <n v="103424.95"/>
    <n v="115956.15"/>
    <n v="255647.72"/>
    <n v="101135.73"/>
    <n v="70823.350000000006"/>
    <n v="61600"/>
    <n v="68291.44"/>
    <n v="95763.05"/>
    <n v="107560.42"/>
    <n v="100816.84"/>
    <n v="78511.73"/>
    <n v="1319741.8399999999"/>
    <n v="22305.11"/>
  </r>
  <r>
    <x v="11"/>
    <x v="3"/>
    <x v="0"/>
    <s v="4400101"/>
    <n v="721120"/>
    <s v="Shoulder Prosthesis"/>
    <s v="Surgery Services"/>
    <x v="0"/>
    <n v="1002"/>
    <n v="19534.77"/>
    <n v="24140.43"/>
    <n v="1999.73"/>
    <n v="7775"/>
    <n v="6550"/>
    <n v="3600"/>
    <n v="199.46"/>
    <n v="18000"/>
    <n v="5300"/>
    <n v="13710"/>
    <n v="11444.77"/>
    <n v="14267.88"/>
    <n v="126522.04000000001"/>
    <n v="-2823.1099999999988"/>
  </r>
  <r>
    <x v="11"/>
    <x v="3"/>
    <x v="0"/>
    <s v="4400101"/>
    <n v="721120"/>
    <s v="Joint Prostheses - Other"/>
    <s v="Surgery Services"/>
    <x v="0"/>
    <n v="1003"/>
    <n v="18999.63"/>
    <n v="12897"/>
    <n v="14688"/>
    <n v="26591.01"/>
    <n v="0"/>
    <n v="35686.32"/>
    <n v="0"/>
    <n v="177.26"/>
    <n v="10495"/>
    <n v="17565.63"/>
    <n v="646.57000000000005"/>
    <n v="1.21"/>
    <n v="137747.62999999998"/>
    <n v="645.36"/>
  </r>
  <r>
    <x v="11"/>
    <x v="3"/>
    <x v="0"/>
    <s v="4400101"/>
    <n v="721150"/>
    <s v="Supplies-Other Implants - Billable"/>
    <s v="Surgery Services"/>
    <x v="0"/>
    <m/>
    <n v="349681.9"/>
    <n v="262540.21000000002"/>
    <n v="341834.55"/>
    <n v="379900.17"/>
    <n v="288102.07"/>
    <n v="320104.78000000003"/>
    <n v="236172.38"/>
    <n v="118928.24"/>
    <n v="303416.5"/>
    <n v="279139.37"/>
    <n v="232913.1"/>
    <n v="180401.65"/>
    <n v="3293134.9200000004"/>
    <n v="52511.450000000012"/>
  </r>
  <r>
    <x v="11"/>
    <x v="3"/>
    <x v="0"/>
    <s v="4400101"/>
    <n v="721150"/>
    <s v="Surgical Orthopedic"/>
    <s v="Surgery Services"/>
    <x v="0"/>
    <n v="1000"/>
    <n v="92830.89"/>
    <n v="80739.03"/>
    <n v="74454.490000000005"/>
    <n v="83670.33"/>
    <n v="51545"/>
    <n v="75676"/>
    <n v="103913.87"/>
    <n v="73772.820000000007"/>
    <n v="133611.01999999999"/>
    <n v="82042.05"/>
    <n v="80302.53"/>
    <n v="123591.18"/>
    <n v="1056149.21"/>
    <n v="-43288.649999999994"/>
  </r>
  <r>
    <x v="11"/>
    <x v="3"/>
    <x v="0"/>
    <s v="4400101"/>
    <n v="721150"/>
    <s v="Fracture Management"/>
    <s v="Surgery Services"/>
    <x v="0"/>
    <n v="1001"/>
    <n v="269441.24"/>
    <n v="249012.94"/>
    <n v="205480.59"/>
    <n v="242935.53"/>
    <n v="190904.65"/>
    <n v="320728.44"/>
    <n v="199065.98"/>
    <n v="194014.49"/>
    <n v="219494.77"/>
    <n v="218667.34"/>
    <n v="184342.73"/>
    <n v="229432.42"/>
    <n v="2723521.1199999996"/>
    <n v="-45089.69"/>
  </r>
  <r>
    <x v="11"/>
    <x v="3"/>
    <x v="0"/>
    <s v="4400101"/>
    <n v="721150"/>
    <s v="Spinal Fixations Internal Syst"/>
    <s v="Surgery Services"/>
    <x v="0"/>
    <n v="1002"/>
    <n v="300684.01"/>
    <n v="183829.88"/>
    <n v="111815"/>
    <n v="206047.76"/>
    <n v="204735.95"/>
    <n v="245910"/>
    <n v="119911"/>
    <n v="110793.39"/>
    <n v="215233.17"/>
    <n v="148148"/>
    <n v="137537.95000000001"/>
    <n v="113129.83"/>
    <n v="2097775.94"/>
    <n v="24408.12000000001"/>
  </r>
  <r>
    <x v="11"/>
    <x v="3"/>
    <x v="0"/>
    <s v="4400101"/>
    <n v="721150"/>
    <s v="Urological Implants"/>
    <s v="Surgery Services"/>
    <x v="0"/>
    <n v="1004"/>
    <n v="0"/>
    <n v="0"/>
    <n v="-171.59"/>
    <n v="0"/>
    <n v="0"/>
    <n v="10570"/>
    <n v="0"/>
    <n v="0"/>
    <n v="0"/>
    <n v="14733.69"/>
    <n v="8712"/>
    <n v="0"/>
    <n v="33844.1"/>
    <n v="8712"/>
  </r>
  <r>
    <x v="11"/>
    <x v="3"/>
    <x v="0"/>
    <s v="4400101"/>
    <n v="721220"/>
    <s v="Supplies-Medical Gases - Billable"/>
    <s v="Surgery Services"/>
    <x v="0"/>
    <m/>
    <n v="2250.1"/>
    <n v="2239.31"/>
    <n v="727.79"/>
    <n v="2045.27"/>
    <n v="2676.21"/>
    <n v="1231.92"/>
    <n v="2348.5"/>
    <n v="981.43"/>
    <n v="3435.56"/>
    <n v="1269.7"/>
    <n v="903.02"/>
    <n v="1878.17"/>
    <n v="21986.980000000003"/>
    <n v="-975.15000000000009"/>
  </r>
  <r>
    <x v="11"/>
    <x v="3"/>
    <x v="0"/>
    <s v="4400101"/>
    <n v="721240"/>
    <s v="Supplies-IV Solutions/Supplies - Billable"/>
    <s v="Surgery Services"/>
    <x v="0"/>
    <m/>
    <n v="7039.38"/>
    <n v="5240.3599999999997"/>
    <n v="7741.88"/>
    <n v="7928.21"/>
    <n v="8422.19"/>
    <n v="7824.45"/>
    <n v="7499.74"/>
    <n v="7158.06"/>
    <n v="8582.06"/>
    <n v="7515.2"/>
    <n v="8674.6299999999992"/>
    <n v="8845.01"/>
    <n v="92471.169999999984"/>
    <n v="-170.38000000000102"/>
  </r>
  <r>
    <x v="11"/>
    <x v="3"/>
    <x v="0"/>
    <s v="4400101"/>
    <n v="721250"/>
    <s v="Supplies-Pharmacy Drugs - Billable"/>
    <s v="Surgery Services"/>
    <x v="0"/>
    <m/>
    <n v="0"/>
    <n v="1.69"/>
    <n v="2.63"/>
    <n v="0"/>
    <n v="3.38"/>
    <n v="0"/>
    <n v="3.38"/>
    <n v="0"/>
    <n v="2.68"/>
    <n v="0"/>
    <n v="0"/>
    <n v="0"/>
    <n v="13.76"/>
    <n v="0"/>
  </r>
  <r>
    <x v="11"/>
    <x v="3"/>
    <x v="0"/>
    <s v="4400101"/>
    <n v="721350"/>
    <s v="Supplies-Film/Radiographic - Billable"/>
    <s v="Surgery Services"/>
    <x v="0"/>
    <m/>
    <n v="0"/>
    <n v="0"/>
    <n v="0"/>
    <n v="0"/>
    <n v="27.5"/>
    <n v="561.12"/>
    <n v="0"/>
    <n v="0"/>
    <n v="0"/>
    <n v="0"/>
    <n v="0"/>
    <n v="0"/>
    <n v="588.62"/>
    <n v="0"/>
  </r>
  <r>
    <x v="11"/>
    <x v="3"/>
    <x v="0"/>
    <s v="4400101"/>
    <n v="721410"/>
    <s v="Supplies-Medical - Nonbillable"/>
    <s v="Surgery Services"/>
    <x v="0"/>
    <m/>
    <n v="58173.38"/>
    <n v="63326.68"/>
    <n v="49428.08"/>
    <n v="63530.43"/>
    <n v="53121.9"/>
    <n v="48311.12"/>
    <n v="61831.77"/>
    <n v="54626.03"/>
    <n v="66715.44"/>
    <n v="502971.24"/>
    <n v="56370.18"/>
    <n v="52253.73"/>
    <n v="1130659.98"/>
    <n v="4116.4499999999971"/>
  </r>
  <r>
    <x v="11"/>
    <x v="3"/>
    <x v="0"/>
    <s v="4400101"/>
    <n v="721410"/>
    <s v="Patient Monitoring"/>
    <s v="Surgery Services"/>
    <x v="0"/>
    <n v="1000"/>
    <n v="0"/>
    <n v="2477.25"/>
    <n v="1485.84"/>
    <n v="-536.19000000000005"/>
    <n v="1455.75"/>
    <n v="-61.94"/>
    <n v="713.25"/>
    <n v="30.97"/>
    <n v="1617.72"/>
    <n v="1263.6099999999999"/>
    <n v="1271.92"/>
    <n v="-26.46"/>
    <n v="9691.7200000000012"/>
    <n v="1298.3800000000001"/>
  </r>
  <r>
    <x v="11"/>
    <x v="3"/>
    <x v="0"/>
    <s v="4400101"/>
    <n v="721420"/>
    <s v="Supplies-Surgical Nonbillable"/>
    <s v="Surgery Services"/>
    <x v="0"/>
    <m/>
    <n v="32178.03"/>
    <n v="40047.360000000001"/>
    <n v="25979.34"/>
    <n v="33475.51"/>
    <n v="39088.6"/>
    <n v="31484.45"/>
    <n v="39340.75"/>
    <n v="28536.2"/>
    <n v="34229.18"/>
    <n v="38099.19"/>
    <n v="32003.02"/>
    <n v="36931.06"/>
    <n v="411392.69"/>
    <n v="-4928.0399999999972"/>
  </r>
  <r>
    <x v="11"/>
    <x v="3"/>
    <x v="0"/>
    <s v="4400101"/>
    <n v="721420"/>
    <s v="Heart/Lung Machine Supplies"/>
    <s v="Surgery Services"/>
    <x v="0"/>
    <n v="1005"/>
    <n v="0"/>
    <n v="0"/>
    <n v="0"/>
    <n v="0"/>
    <n v="1757.5"/>
    <n v="0"/>
    <n v="475"/>
    <n v="0"/>
    <n v="0"/>
    <n v="1425"/>
    <n v="0"/>
    <n v="-475"/>
    <n v="3182.5"/>
    <n v="475"/>
  </r>
  <r>
    <x v="11"/>
    <x v="3"/>
    <x v="0"/>
    <s v="4400101"/>
    <n v="721420"/>
    <s v="Tubes Drains &amp; Related Supplies"/>
    <s v="Surgery Services"/>
    <x v="0"/>
    <n v="1008"/>
    <n v="14042.85"/>
    <n v="24286.42"/>
    <n v="10364.01"/>
    <n v="32507.16"/>
    <n v="24412.02"/>
    <n v="12471.62"/>
    <n v="1921.97"/>
    <n v="12818.01"/>
    <n v="11703.27"/>
    <n v="12815.58"/>
    <n v="20920.12"/>
    <n v="7317.45"/>
    <n v="185580.47999999998"/>
    <n v="13602.669999999998"/>
  </r>
  <r>
    <x v="11"/>
    <x v="3"/>
    <x v="0"/>
    <s v="4400101"/>
    <n v="721420"/>
    <s v="Sterilization Process Products"/>
    <s v="Surgery Services"/>
    <x v="0"/>
    <n v="1009"/>
    <n v="11072.17"/>
    <n v="17693.87"/>
    <n v="3801.14"/>
    <n v="3342.9"/>
    <n v="1335.74"/>
    <n v="2822.83"/>
    <n v="3014.29"/>
    <n v="2400.67"/>
    <n v="5199.74"/>
    <n v="5668.04"/>
    <n v="5042.4799999999996"/>
    <n v="5247.15"/>
    <n v="66641.01999999999"/>
    <n v="-204.67000000000007"/>
  </r>
  <r>
    <x v="11"/>
    <x v="3"/>
    <x v="0"/>
    <s v="4400101"/>
    <n v="721610"/>
    <s v="Supplies-Anesthesia - Nonbillable"/>
    <s v="Surgery Services"/>
    <x v="0"/>
    <m/>
    <n v="12518.53"/>
    <n v="10036.02"/>
    <n v="7585.8"/>
    <n v="10843.98"/>
    <n v="9518.8700000000008"/>
    <n v="8617.84"/>
    <n v="9287.91"/>
    <n v="9301.48"/>
    <n v="8986.9699999999993"/>
    <n v="7481.5"/>
    <n v="8816.6299999999992"/>
    <n v="9888.39"/>
    <n v="112883.92000000001"/>
    <n v="-1071.7600000000002"/>
  </r>
  <r>
    <x v="11"/>
    <x v="3"/>
    <x v="0"/>
    <s v="4400101"/>
    <n v="721640"/>
    <s v="Supplies-IV Solutions/Supplies - Nonbillable"/>
    <s v="Surgery Services"/>
    <x v="0"/>
    <m/>
    <n v="3725.13"/>
    <n v="5539.96"/>
    <n v="3381.73"/>
    <n v="5085.37"/>
    <n v="4610.8599999999997"/>
    <n v="5091.6899999999996"/>
    <n v="4532.5600000000004"/>
    <n v="4336.9799999999996"/>
    <n v="5920.43"/>
    <n v="4361.54"/>
    <n v="3915.08"/>
    <n v="5104.67"/>
    <n v="55606"/>
    <n v="-1189.5900000000001"/>
  </r>
  <r>
    <x v="11"/>
    <x v="3"/>
    <x v="0"/>
    <s v="4400101"/>
    <n v="721650"/>
    <s v="Supplies-Pharmacy Drugs - Nonbillable"/>
    <s v="Surgery Services"/>
    <x v="0"/>
    <m/>
    <n v="131.94999999999999"/>
    <n v="213.4"/>
    <n v="101.01"/>
    <n v="99.45"/>
    <n v="2857.53"/>
    <n v="106.52"/>
    <n v="-83.83"/>
    <n v="116.48"/>
    <n v="69.05"/>
    <n v="62.61"/>
    <n v="77.75"/>
    <n v="102.7"/>
    <n v="3854.6200000000003"/>
    <n v="-24.950000000000003"/>
  </r>
  <r>
    <x v="11"/>
    <x v="3"/>
    <x v="0"/>
    <s v="4400101"/>
    <n v="721710"/>
    <s v="Supplies-Laboratory - Nonbillable"/>
    <s v="Surgery Services"/>
    <x v="0"/>
    <m/>
    <n v="520.82000000000005"/>
    <n v="740.25"/>
    <n v="419.32"/>
    <n v="856.43"/>
    <n v="508.86"/>
    <n v="460.91"/>
    <n v="585.96"/>
    <n v="615.5"/>
    <n v="881.27"/>
    <n v="610.64"/>
    <n v="1062.82"/>
    <n v="825.64"/>
    <n v="8088.42"/>
    <n v="237.17999999999995"/>
  </r>
  <r>
    <x v="11"/>
    <x v="3"/>
    <x v="0"/>
    <s v="4400101"/>
    <n v="721710"/>
    <s v="Reagents"/>
    <s v="Surgery Services"/>
    <x v="0"/>
    <n v="1000"/>
    <n v="300.99"/>
    <n v="329.75"/>
    <n v="261.39"/>
    <n v="332.99"/>
    <n v="200.66"/>
    <n v="97.1"/>
    <n v="0"/>
    <n v="135.56"/>
    <n v="0"/>
    <n v="-3.23"/>
    <n v="0"/>
    <n v="0"/>
    <n v="1655.2099999999998"/>
    <n v="0"/>
  </r>
  <r>
    <x v="11"/>
    <x v="3"/>
    <x v="0"/>
    <s v="4400101"/>
    <n v="721750"/>
    <s v="Supplies-Film/Radiographic - Nonbillable"/>
    <s v="Surgery Services"/>
    <x v="0"/>
    <m/>
    <n v="4436.03"/>
    <n v="4842.1099999999997"/>
    <n v="1916.88"/>
    <n v="7069.77"/>
    <n v="10377.58"/>
    <n v="12722.98"/>
    <n v="3786.24"/>
    <n v="3209.12"/>
    <n v="6390.33"/>
    <n v="5281.93"/>
    <n v="11176.4"/>
    <n v="3967.85"/>
    <n v="75177.220000000016"/>
    <n v="7208.5499999999993"/>
  </r>
  <r>
    <x v="11"/>
    <x v="3"/>
    <x v="0"/>
    <s v="4400101"/>
    <n v="721810"/>
    <s v="Supplies-Dietary/Cafeteria"/>
    <s v="Surgery Services"/>
    <x v="0"/>
    <m/>
    <n v="6549.54"/>
    <n v="4792.49"/>
    <n v="5882.66"/>
    <n v="4879.8900000000003"/>
    <n v="6260.42"/>
    <n v="4631.18"/>
    <n v="5203.13"/>
    <n v="4636.0200000000004"/>
    <n v="6696.73"/>
    <n v="5361.53"/>
    <n v="6735.73"/>
    <n v="5643.02"/>
    <n v="67272.34"/>
    <n v="1092.7099999999991"/>
  </r>
  <r>
    <x v="11"/>
    <x v="3"/>
    <x v="0"/>
    <s v="4400101"/>
    <n v="721830"/>
    <s v="Supplies-Office"/>
    <s v="Surgery Services"/>
    <x v="0"/>
    <m/>
    <n v="400.73"/>
    <n v="1616.09"/>
    <n v="1992.04"/>
    <n v="3502.74"/>
    <n v="877.51"/>
    <n v="3403.24"/>
    <n v="631.37"/>
    <n v="714.98"/>
    <n v="4092.81"/>
    <n v="1434.57"/>
    <n v="2136.63"/>
    <n v="-1588.49"/>
    <n v="19214.219999999998"/>
    <n v="3725.12"/>
  </r>
  <r>
    <x v="11"/>
    <x v="3"/>
    <x v="0"/>
    <s v="4400101"/>
    <n v="721835"/>
    <s v="Supplies-Forms"/>
    <s v="Surgery Services"/>
    <x v="0"/>
    <m/>
    <n v="0"/>
    <n v="0"/>
    <n v="0"/>
    <n v="0"/>
    <n v="248.3"/>
    <n v="81"/>
    <n v="35.75"/>
    <n v="0"/>
    <n v="166.9"/>
    <n v="5.25"/>
    <n v="261.12"/>
    <n v="22.5"/>
    <n v="820.82"/>
    <n v="238.62"/>
  </r>
  <r>
    <x v="11"/>
    <x v="3"/>
    <x v="0"/>
    <s v="4400101"/>
    <n v="721870"/>
    <s v="Supplies-Environmental Services"/>
    <s v="Surgery Services"/>
    <x v="0"/>
    <m/>
    <n v="2443.1"/>
    <n v="2055.52"/>
    <n v="2064.83"/>
    <n v="2331.94"/>
    <n v="1636.64"/>
    <n v="2201.5300000000002"/>
    <n v="1621.45"/>
    <n v="1463.48"/>
    <n v="2439.54"/>
    <n v="2509.15"/>
    <n v="1033.73"/>
    <n v="2005.63"/>
    <n v="23806.54"/>
    <n v="-971.90000000000009"/>
  </r>
  <r>
    <x v="11"/>
    <x v="3"/>
    <x v="0"/>
    <s v="4400101"/>
    <n v="721880"/>
    <s v="Supplies-Linen"/>
    <s v="Surgery Services"/>
    <x v="0"/>
    <m/>
    <n v="0"/>
    <n v="0"/>
    <n v="0"/>
    <n v="0"/>
    <n v="0"/>
    <n v="0"/>
    <n v="0"/>
    <n v="0"/>
    <n v="0"/>
    <n v="32.1"/>
    <n v="0"/>
    <n v="0"/>
    <n v="32.1"/>
    <n v="0"/>
  </r>
  <r>
    <x v="11"/>
    <x v="3"/>
    <x v="0"/>
    <s v="4400101"/>
    <n v="721910"/>
    <s v="Supplies-Small Equipment"/>
    <s v="Surgery Services"/>
    <x v="0"/>
    <m/>
    <n v="38527.050000000003"/>
    <n v="44926.26"/>
    <n v="70547.649999999994"/>
    <n v="23809.39"/>
    <n v="25259.279999999999"/>
    <n v="38017.89"/>
    <n v="27760.240000000002"/>
    <n v="22937.95"/>
    <n v="19126.95"/>
    <n v="22834.21"/>
    <n v="25354.6"/>
    <n v="26129.87"/>
    <n v="385231.33999999997"/>
    <n v="-775.27000000000044"/>
  </r>
  <r>
    <x v="11"/>
    <x v="3"/>
    <x v="0"/>
    <s v="4400101"/>
    <n v="721910"/>
    <s v="Instruments"/>
    <s v="Surgery Services"/>
    <x v="0"/>
    <n v="1000"/>
    <n v="25465.1"/>
    <n v="23844.37"/>
    <n v="17425.349999999999"/>
    <n v="31694.48"/>
    <n v="23468.89"/>
    <n v="57993.02"/>
    <n v="21654.36"/>
    <n v="33138.71"/>
    <n v="30866.57"/>
    <n v="20036.669999999998"/>
    <n v="17099.53"/>
    <n v="31519.96"/>
    <n v="334207.00999999995"/>
    <n v="-14420.43"/>
  </r>
  <r>
    <x v="11"/>
    <x v="3"/>
    <x v="0"/>
    <s v="4400101"/>
    <n v="721980"/>
    <s v="Supplies-Other"/>
    <s v="Surgery Services"/>
    <x v="0"/>
    <m/>
    <n v="0"/>
    <n v="-1369.09"/>
    <n v="0"/>
    <n v="0"/>
    <n v="0"/>
    <n v="483.72"/>
    <n v="0"/>
    <n v="0"/>
    <n v="243.04"/>
    <n v="15.69"/>
    <n v="-20.86"/>
    <n v="-46.43"/>
    <n v="-693.92999999999984"/>
    <n v="25.57"/>
  </r>
  <r>
    <x v="11"/>
    <x v="3"/>
    <x v="0"/>
    <s v="4400101"/>
    <n v="722000"/>
    <s v="Supplies-Freight Expense"/>
    <s v="Surgery Services"/>
    <x v="0"/>
    <m/>
    <n v="1606.75"/>
    <n v="5432.3"/>
    <n v="4391.93"/>
    <n v="4239.99"/>
    <n v="2670.44"/>
    <n v="4538.5"/>
    <n v="5555.88"/>
    <n v="2480.41"/>
    <n v="4316.68"/>
    <n v="3844.31"/>
    <n v="5327.27"/>
    <n v="4378.5600000000004"/>
    <n v="48783.020000000004"/>
    <n v="948.71"/>
  </r>
  <r>
    <x v="11"/>
    <x v="3"/>
    <x v="0"/>
    <s v="4400101"/>
    <n v="722000"/>
    <s v="Minimum Order Fees"/>
    <s v="Surgery Services"/>
    <x v="0"/>
    <n v="1000"/>
    <n v="0"/>
    <n v="0"/>
    <n v="0"/>
    <n v="0"/>
    <n v="0"/>
    <n v="0"/>
    <n v="0"/>
    <n v="0"/>
    <n v="0"/>
    <n v="0"/>
    <n v="0"/>
    <n v="100"/>
    <n v="100"/>
    <n v="-100"/>
  </r>
  <r>
    <x v="11"/>
    <x v="3"/>
    <x v="0"/>
    <s v="4400101"/>
    <n v="723000"/>
    <s v="Supply Rebates/Patronage Dividend"/>
    <s v="Surgery Services"/>
    <x v="0"/>
    <m/>
    <n v="0"/>
    <n v="0"/>
    <n v="-62640.01"/>
    <n v="0"/>
    <n v="0"/>
    <n v="-55852.02"/>
    <n v="0"/>
    <n v="0"/>
    <n v="-67271.41"/>
    <n v="0"/>
    <n v="0"/>
    <n v="-134676.23000000001"/>
    <n v="-320439.67000000004"/>
    <n v="134676.23000000001"/>
  </r>
  <r>
    <x v="12"/>
    <x v="3"/>
    <x v="0"/>
    <s v="4400101"/>
    <n v="730010"/>
    <s v="Rental and Leases-Building (DO NOT USE)"/>
    <s v="Surgery Services"/>
    <x v="0"/>
    <m/>
    <n v="2363.64"/>
    <n v="2363.64"/>
    <n v="2363.64"/>
    <n v="2363.64"/>
    <n v="2363.64"/>
    <n v="-4122.8999999999996"/>
    <n v="1282.55"/>
    <n v="1282.55"/>
    <n v="1282.55"/>
    <n v="1282.55"/>
    <n v="1283.6199999999999"/>
    <n v="0"/>
    <n v="14109.119999999995"/>
    <n v="1283.6199999999999"/>
  </r>
  <r>
    <x v="12"/>
    <x v="3"/>
    <x v="0"/>
    <s v="4400101"/>
    <n v="730010"/>
    <s v="Rental-Common Area Maint (DO NOT USE)"/>
    <s v="Surgery Services"/>
    <x v="0"/>
    <n v="2200"/>
    <n v="0"/>
    <n v="0"/>
    <n v="0"/>
    <n v="0"/>
    <n v="0"/>
    <n v="6464.47"/>
    <n v="1059.02"/>
    <n v="1059.02"/>
    <n v="702.57"/>
    <n v="1059.02"/>
    <n v="1059.02"/>
    <n v="0"/>
    <n v="11403.12"/>
    <n v="1059.02"/>
  </r>
  <r>
    <x v="12"/>
    <x v="3"/>
    <x v="0"/>
    <s v="4400101"/>
    <n v="730020"/>
    <s v="Rental and Leases-Equipment (DO NOT USE)"/>
    <s v="Surgery Services"/>
    <x v="0"/>
    <m/>
    <n v="40545.550000000003"/>
    <n v="23707.01"/>
    <n v="20639.16"/>
    <n v="24917.75"/>
    <n v="28313.25"/>
    <n v="24567.58"/>
    <n v="23923.15"/>
    <n v="12589.62"/>
    <n v="14836.69"/>
    <n v="39678.22"/>
    <n v="19155.96"/>
    <n v="30269.71"/>
    <n v="303143.65000000002"/>
    <n v="-11113.75"/>
  </r>
  <r>
    <x v="12"/>
    <x v="3"/>
    <x v="0"/>
    <s v="4400101"/>
    <n v="730020"/>
    <s v="Rental and Leases-Copier Usage Fees (DO NOT USE)"/>
    <s v="Surgery Services"/>
    <x v="0"/>
    <n v="5100"/>
    <n v="1369.57"/>
    <n v="1379.22"/>
    <n v="1374.4"/>
    <n v="1374.4"/>
    <n v="1374.4"/>
    <n v="1374.4"/>
    <n v="3516.01"/>
    <n v="1219.3499999999999"/>
    <n v="1216.79"/>
    <n v="1846.18"/>
    <n v="1219.3499999999999"/>
    <n v="1498.17"/>
    <n v="18762.239999999998"/>
    <n v="-278.82000000000016"/>
  </r>
  <r>
    <x v="12"/>
    <x v="3"/>
    <x v="0"/>
    <s v="4400101"/>
    <n v="730040"/>
    <s v="LT Lease-Real Estate"/>
    <s v="Surgery Services"/>
    <x v="0"/>
    <m/>
    <n v="0"/>
    <n v="0"/>
    <n v="0"/>
    <n v="0"/>
    <n v="0"/>
    <n v="0"/>
    <n v="0"/>
    <n v="0"/>
    <n v="0"/>
    <n v="0"/>
    <n v="0"/>
    <n v="2373.64"/>
    <n v="2373.64"/>
    <n v="-2373.64"/>
  </r>
  <r>
    <x v="15"/>
    <x v="3"/>
    <x v="0"/>
    <s v="4400101"/>
    <n v="731060"/>
    <s v="Telephone"/>
    <s v="Surgery Services"/>
    <x v="0"/>
    <m/>
    <n v="0"/>
    <n v="0"/>
    <n v="0"/>
    <n v="0"/>
    <n v="0"/>
    <n v="350"/>
    <n v="0"/>
    <n v="35.35"/>
    <n v="500"/>
    <n v="0"/>
    <n v="128.5"/>
    <n v="0"/>
    <n v="1013.85"/>
    <n v="128.5"/>
  </r>
  <r>
    <x v="15"/>
    <x v="3"/>
    <x v="0"/>
    <s v="4400101"/>
    <n v="731060"/>
    <s v="Cell Phones"/>
    <s v="Surgery Services"/>
    <x v="0"/>
    <n v="1001"/>
    <n v="0"/>
    <n v="33.020000000000003"/>
    <n v="83.92"/>
    <n v="0"/>
    <n v="32.5"/>
    <n v="33.11"/>
    <n v="66.16"/>
    <n v="0"/>
    <n v="33.58"/>
    <n v="66.28"/>
    <n v="32.5"/>
    <n v="33.159999999999997"/>
    <n v="414.23"/>
    <n v="-0.65999999999999659"/>
  </r>
  <r>
    <x v="15"/>
    <x v="3"/>
    <x v="0"/>
    <s v="4400101"/>
    <n v="731060"/>
    <s v="Pagers"/>
    <s v="Surgery Services"/>
    <x v="0"/>
    <n v="1002"/>
    <n v="153.69"/>
    <n v="234.44"/>
    <n v="149.69999999999999"/>
    <n v="150"/>
    <n v="150"/>
    <n v="0"/>
    <n v="285.77999999999997"/>
    <n v="164.91"/>
    <n v="137.38"/>
    <n v="137.38"/>
    <n v="137.38"/>
    <n v="137.38"/>
    <n v="1838.0400000000004"/>
    <n v="0"/>
  </r>
  <r>
    <x v="16"/>
    <x v="3"/>
    <x v="0"/>
    <s v="4400101"/>
    <n v="732015"/>
    <s v="Repairs-Clinical Equip-T&amp;M-Ext to CHI Programs"/>
    <s v="Surgery Services"/>
    <x v="0"/>
    <m/>
    <n v="0"/>
    <n v="9933.4599999999991"/>
    <n v="0"/>
    <n v="10003.280000000001"/>
    <n v="0"/>
    <n v="5181.21"/>
    <n v="9877.93"/>
    <n v="9000"/>
    <n v="-17808.599999999999"/>
    <n v="909"/>
    <n v="11086.4"/>
    <n v="0"/>
    <n v="38182.68"/>
    <n v="11086.4"/>
  </r>
  <r>
    <x v="16"/>
    <x v="3"/>
    <x v="0"/>
    <s v="4400101"/>
    <n v="732020"/>
    <s v="Repairs--Clin Equip-Parts-Internal to CHI Programs"/>
    <s v="Surgery Services"/>
    <x v="0"/>
    <m/>
    <n v="-179.45"/>
    <n v="1896.03"/>
    <n v="913.9"/>
    <n v="2452.66"/>
    <n v="821.41"/>
    <n v="391.88"/>
    <n v="456.95"/>
    <n v="806.81"/>
    <n v="929.28"/>
    <n v="0"/>
    <n v="27.95"/>
    <n v="903.72"/>
    <n v="9421.14"/>
    <n v="-875.77"/>
  </r>
  <r>
    <x v="16"/>
    <x v="3"/>
    <x v="0"/>
    <s v="4400101"/>
    <n v="732030"/>
    <s v="Repairs---Other"/>
    <s v="Surgery Services"/>
    <x v="0"/>
    <m/>
    <n v="495.82"/>
    <n v="2246.9699999999998"/>
    <n v="199.98"/>
    <n v="3406.32"/>
    <n v="344.04"/>
    <n v="0"/>
    <n v="0"/>
    <n v="5950"/>
    <n v="850"/>
    <n v="925"/>
    <n v="30028.3"/>
    <n v="14035.59"/>
    <n v="58482.020000000004"/>
    <n v="15992.71"/>
  </r>
  <r>
    <x v="16"/>
    <x v="3"/>
    <x v="0"/>
    <s v="4400101"/>
    <n v="733030"/>
    <s v="Maintenance Contracts-Other"/>
    <s v="Surgery Services"/>
    <x v="0"/>
    <m/>
    <n v="27726.18"/>
    <n v="27726.18"/>
    <n v="27726.18"/>
    <n v="30226.18"/>
    <n v="27726.18"/>
    <n v="27726.18"/>
    <n v="0"/>
    <n v="55452.36"/>
    <n v="27726.18"/>
    <n v="27726.18"/>
    <n v="27726.18"/>
    <n v="27726.18"/>
    <n v="335214.15999999997"/>
    <n v="0"/>
  </r>
  <r>
    <x v="13"/>
    <x v="3"/>
    <x v="0"/>
    <s v="4400101"/>
    <n v="735040"/>
    <s v="Depreciation-Building Improvements"/>
    <s v="Surgery Services"/>
    <x v="0"/>
    <m/>
    <n v="306.08"/>
    <n v="306.08"/>
    <n v="306.08"/>
    <n v="9770.3799999999992"/>
    <n v="9770.3799999999992"/>
    <n v="16523.57"/>
    <n v="16394.75"/>
    <n v="16394.75"/>
    <n v="16394.75"/>
    <n v="20994.66"/>
    <n v="20994.67"/>
    <n v="20994.65"/>
    <n v="149150.80000000002"/>
    <n v="1.9999999996798579E-2"/>
  </r>
  <r>
    <x v="13"/>
    <x v="3"/>
    <x v="0"/>
    <s v="4400101"/>
    <n v="735060"/>
    <s v="Depreciation-Fixed Equipment"/>
    <s v="Surgery Services"/>
    <x v="0"/>
    <m/>
    <n v="7000.94"/>
    <n v="7000.94"/>
    <n v="7000.95"/>
    <n v="7000.94"/>
    <n v="7000.95"/>
    <n v="7000.93"/>
    <n v="7000.95"/>
    <n v="7000.93"/>
    <n v="7000.95"/>
    <n v="7000.92"/>
    <n v="7000.95"/>
    <n v="7000.91"/>
    <n v="84011.26"/>
    <n v="3.999999999996362E-2"/>
  </r>
  <r>
    <x v="13"/>
    <x v="3"/>
    <x v="0"/>
    <s v="4400101"/>
    <n v="735070"/>
    <s v="Depreciation-Movable Equipment"/>
    <s v="Surgery Services"/>
    <x v="0"/>
    <m/>
    <n v="443369.95"/>
    <n v="453445.34"/>
    <n v="469531.55"/>
    <n v="473245.7"/>
    <n v="471978.9"/>
    <n v="484047.38"/>
    <n v="544301.59"/>
    <n v="488741.49"/>
    <n v="547742.38"/>
    <n v="547741.36"/>
    <n v="563177.68999999994"/>
    <n v="550334.31000000006"/>
    <n v="6037657.6400000006"/>
    <n v="12843.379999999888"/>
  </r>
  <r>
    <x v="13"/>
    <x v="3"/>
    <x v="0"/>
    <s v="4400101"/>
    <n v="735070"/>
    <s v="Depreciation-DaVinci Robot"/>
    <s v="Surgery Services"/>
    <x v="0"/>
    <n v="1000"/>
    <n v="43890.01"/>
    <n v="43890.01"/>
    <n v="43890.01"/>
    <n v="43890.01"/>
    <n v="43890.01"/>
    <n v="43890"/>
    <n v="43890.01"/>
    <n v="38155.550000000003"/>
    <n v="37470.089999999997"/>
    <n v="37470.07"/>
    <n v="37470.089999999997"/>
    <n v="37470.07"/>
    <n v="495265.93000000011"/>
    <n v="1.9999999996798579E-2"/>
  </r>
  <r>
    <x v="0"/>
    <x v="3"/>
    <x v="0"/>
    <s v="4400101"/>
    <n v="740020"/>
    <s v="Education-Registration Fees"/>
    <s v="Surgery Services"/>
    <x v="0"/>
    <m/>
    <n v="0"/>
    <n v="0"/>
    <n v="0"/>
    <n v="9350"/>
    <n v="0"/>
    <n v="175"/>
    <n v="9100"/>
    <n v="0"/>
    <n v="175"/>
    <n v="1375"/>
    <n v="990.9"/>
    <n v="955"/>
    <n v="22120.9"/>
    <n v="35.899999999999977"/>
  </r>
  <r>
    <x v="0"/>
    <x v="3"/>
    <x v="0"/>
    <s v="4400101"/>
    <n v="742030"/>
    <s v="Freight-Courier"/>
    <s v="Surgery Services"/>
    <x v="0"/>
    <m/>
    <n v="0"/>
    <n v="0"/>
    <n v="0"/>
    <n v="0"/>
    <n v="0"/>
    <n v="0"/>
    <n v="0"/>
    <n v="0"/>
    <n v="0"/>
    <n v="0"/>
    <n v="0"/>
    <n v="184"/>
    <n v="184"/>
    <n v="-184"/>
  </r>
  <r>
    <x v="0"/>
    <x v="3"/>
    <x v="0"/>
    <s v="4400101"/>
    <n v="742040"/>
    <s v="Freight-Other"/>
    <s v="Surgery Services"/>
    <x v="0"/>
    <m/>
    <n v="0"/>
    <n v="0"/>
    <n v="0"/>
    <n v="11.01"/>
    <n v="0"/>
    <n v="0"/>
    <n v="0"/>
    <n v="0"/>
    <n v="0"/>
    <n v="0"/>
    <n v="0"/>
    <n v="22.02"/>
    <n v="33.03"/>
    <n v="-22.02"/>
  </r>
  <r>
    <x v="0"/>
    <x v="3"/>
    <x v="0"/>
    <s v="4400101"/>
    <n v="743030"/>
    <s v="Subscriptions--Institutional"/>
    <s v="Surgery Services"/>
    <x v="0"/>
    <m/>
    <n v="0"/>
    <n v="0"/>
    <n v="418.5"/>
    <n v="0"/>
    <n v="0"/>
    <n v="152.80000000000001"/>
    <n v="391.92"/>
    <n v="964.58"/>
    <n v="555"/>
    <n v="596.5"/>
    <n v="0"/>
    <n v="0"/>
    <n v="3079.3"/>
    <n v="0"/>
  </r>
  <r>
    <x v="0"/>
    <x v="3"/>
    <x v="0"/>
    <s v="4400101"/>
    <n v="749510"/>
    <s v="Miscellaneous Expenses"/>
    <s v="Surgery Services"/>
    <x v="0"/>
    <m/>
    <n v="229.61"/>
    <n v="381.86"/>
    <n v="506.3"/>
    <n v="1433.39"/>
    <n v="120.07"/>
    <n v="3601.12"/>
    <n v="-1148.43"/>
    <n v="647.26"/>
    <n v="1051.3"/>
    <n v="1676.12"/>
    <n v="2325.0300000000002"/>
    <n v="-111.97"/>
    <n v="10711.660000000002"/>
    <n v="2437"/>
  </r>
  <r>
    <x v="0"/>
    <x v="3"/>
    <x v="0"/>
    <s v="4400101"/>
    <n v="749510"/>
    <s v="Licenses"/>
    <s v="Surgery Services"/>
    <x v="0"/>
    <n v="1002"/>
    <n v="1000"/>
    <n v="1000"/>
    <n v="445"/>
    <n v="450"/>
    <n v="0"/>
    <n v="3000"/>
    <n v="1325"/>
    <n v="2000"/>
    <n v="1445"/>
    <n v="1000"/>
    <n v="1000"/>
    <n v="1000"/>
    <n v="13665"/>
    <n v="0"/>
  </r>
  <r>
    <x v="0"/>
    <x v="3"/>
    <x v="0"/>
    <s v="4400101"/>
    <n v="749510"/>
    <s v="Casualty Loss/Patient Property"/>
    <s v="Surgery Services"/>
    <x v="0"/>
    <n v="4601"/>
    <n v="0"/>
    <n v="0"/>
    <n v="0"/>
    <n v="0"/>
    <n v="200"/>
    <n v="0"/>
    <n v="0"/>
    <n v="0"/>
    <n v="0"/>
    <n v="0"/>
    <n v="0"/>
    <n v="0"/>
    <n v="200"/>
    <n v="0"/>
  </r>
  <r>
    <x v="0"/>
    <x v="3"/>
    <x v="0"/>
    <s v="4400101"/>
    <n v="749530"/>
    <s v="Travel"/>
    <s v="Surgery Services"/>
    <x v="0"/>
    <m/>
    <n v="0"/>
    <n v="0"/>
    <n v="0"/>
    <n v="406.45"/>
    <n v="1653.8"/>
    <n v="265.89999999999998"/>
    <n v="1174.68"/>
    <n v="2172.87"/>
    <n v="1781.04"/>
    <n v="5538.32"/>
    <n v="3523.29"/>
    <n v="2141.1"/>
    <n v="18657.449999999997"/>
    <n v="1382.19"/>
  </r>
  <r>
    <x v="0"/>
    <x v="3"/>
    <x v="0"/>
    <s v="4400101"/>
    <n v="749535"/>
    <s v="Meetings"/>
    <s v="Surgery Services"/>
    <x v="0"/>
    <m/>
    <n v="0"/>
    <n v="0"/>
    <n v="0"/>
    <n v="-5081.45"/>
    <n v="0"/>
    <n v="5081.45"/>
    <n v="0"/>
    <n v="0"/>
    <n v="0"/>
    <n v="0"/>
    <n v="0"/>
    <n v="157.38999999999999"/>
    <n v="157.38999999999999"/>
    <n v="-157.38999999999999"/>
  </r>
  <r>
    <x v="18"/>
    <x v="0"/>
    <x v="0"/>
    <s v="4400102"/>
    <n v="400010"/>
    <s v="Acute I/P Svcs Rev--Medicare"/>
    <s v="Surgery Services"/>
    <x v="0"/>
    <n v="1100"/>
    <n v="-4406649.82"/>
    <n v="-3494124.76"/>
    <n v="-4072949.8"/>
    <n v="-5653256.4000000004"/>
    <n v="-4041243.61"/>
    <n v="-3839327.55"/>
    <n v="-3856503.59"/>
    <n v="-3815956.97"/>
    <n v="-6064280.2400000002"/>
    <n v="-3902757.02"/>
    <n v="-4494078.9000000004"/>
    <n v="-4370573.84"/>
    <n v="-52011702.5"/>
    <n v="-123505.06000000052"/>
  </r>
  <r>
    <x v="18"/>
    <x v="0"/>
    <x v="0"/>
    <s v="4400102"/>
    <n v="400010"/>
    <s v="Acute I/P Svcs Rev--Medicaid"/>
    <s v="Surgery Services"/>
    <x v="0"/>
    <n v="1200"/>
    <n v="-1501793.3"/>
    <n v="-1140508.28"/>
    <n v="-1264312.71"/>
    <n v="-1617628.55"/>
    <n v="-1759542.52"/>
    <n v="-1786429.82"/>
    <n v="-1206087.48"/>
    <n v="-1204176.33"/>
    <n v="-2386661.9700000002"/>
    <n v="-2020082.9"/>
    <n v="-2107621.1"/>
    <n v="-2072427.74"/>
    <n v="-20067272.699999999"/>
    <n v="-35193.360000000102"/>
  </r>
  <r>
    <x v="18"/>
    <x v="0"/>
    <x v="0"/>
    <s v="4400102"/>
    <n v="400010"/>
    <s v="Acute I/P Svcs Rev--Comm Insurance"/>
    <s v="Surgery Services"/>
    <x v="0"/>
    <n v="1300"/>
    <n v="-63394.61"/>
    <n v="-23321.23"/>
    <n v="-227043.71"/>
    <n v="34382.28"/>
    <n v="-171530.78"/>
    <n v="-6017.52"/>
    <n v="-219965.64"/>
    <n v="67908.600000000006"/>
    <n v="-352143.99"/>
    <n v="-194807.49"/>
    <n v="-214575.21"/>
    <n v="-355096.41"/>
    <n v="-1725605.71"/>
    <n v="140521.19999999998"/>
  </r>
  <r>
    <x v="18"/>
    <x v="0"/>
    <x v="0"/>
    <s v="4400102"/>
    <n v="400010"/>
    <s v="Acute I/P Svcs Rev--BCBS Comm"/>
    <s v="Surgery Services"/>
    <x v="0"/>
    <n v="1301"/>
    <n v="-991116.11"/>
    <n v="-1411153.05"/>
    <n v="-1364620.46"/>
    <n v="-1059430.67"/>
    <n v="-1354005.07"/>
    <n v="-1725959.4"/>
    <n v="-1422860.1"/>
    <n v="-1026008.25"/>
    <n v="-917727.59"/>
    <n v="-791877.8"/>
    <n v="-1810850.38"/>
    <n v="-1359618.5"/>
    <n v="-15235227.379999999"/>
    <n v="-451231.87999999989"/>
  </r>
  <r>
    <x v="18"/>
    <x v="0"/>
    <x v="0"/>
    <s v="4400102"/>
    <n v="400010"/>
    <s v="Acute I/P Svcs Rev--Managed Care"/>
    <s v="Surgery Services"/>
    <x v="0"/>
    <n v="1400"/>
    <n v="-3895081.78"/>
    <n v="-5841952.4900000002"/>
    <n v="-3229284.93"/>
    <n v="-4735216.87"/>
    <n v="-3932376.1"/>
    <n v="-4416806.05"/>
    <n v="-4055773.29"/>
    <n v="-4111943.2"/>
    <n v="-4560110.74"/>
    <n v="-3892274.8"/>
    <n v="-4271501.8"/>
    <n v="-3073050.2"/>
    <n v="-50015372.25"/>
    <n v="-1198451.5999999996"/>
  </r>
  <r>
    <x v="18"/>
    <x v="0"/>
    <x v="0"/>
    <s v="4400102"/>
    <n v="400010"/>
    <s v="Acute I/P Svcs Rev--Self Pay"/>
    <s v="Surgery Services"/>
    <x v="0"/>
    <n v="1500"/>
    <n v="-345607.17"/>
    <n v="-228023.55"/>
    <n v="65245.67"/>
    <n v="-137437.72"/>
    <n v="-540285.61"/>
    <n v="-468092.26"/>
    <n v="-840571.36"/>
    <n v="-91904.85"/>
    <n v="-317705.05"/>
    <n v="-66218.53"/>
    <n v="-555125.9"/>
    <n v="-172772.57"/>
    <n v="-3698498.8999999994"/>
    <n v="-382353.33"/>
  </r>
  <r>
    <x v="18"/>
    <x v="0"/>
    <x v="0"/>
    <s v="4400102"/>
    <n v="400010"/>
    <s v="Acute I/P Svcs Rev--Other"/>
    <s v="Surgery Services"/>
    <x v="0"/>
    <n v="1700"/>
    <n v="-443811.08"/>
    <n v="-542997.1"/>
    <n v="-859971.34"/>
    <n v="-640293.73"/>
    <n v="54137.79"/>
    <n v="-632735.86"/>
    <n v="-523408.42"/>
    <n v="-874941.78"/>
    <n v="-507561.03"/>
    <n v="-390759.57"/>
    <n v="-1086069.25"/>
    <n v="-905425.33"/>
    <n v="-7353836.7000000002"/>
    <n v="-180643.92000000004"/>
  </r>
  <r>
    <x v="19"/>
    <x v="0"/>
    <x v="0"/>
    <s v="4400102"/>
    <n v="400020"/>
    <s v="O/P Care Svcs Rev--Medicare"/>
    <s v="Surgery Services"/>
    <x v="0"/>
    <n v="1100"/>
    <n v="-3226278.54"/>
    <n v="-3548509.71"/>
    <n v="-2625739.17"/>
    <n v="-4009539.36"/>
    <n v="-3742363.09"/>
    <n v="-2742089.13"/>
    <n v="-3540726.58"/>
    <n v="-2964460.96"/>
    <n v="-3474739.33"/>
    <n v="-3275794.3"/>
    <n v="-3334720.56"/>
    <n v="-3208073.75"/>
    <n v="-39693034.479999997"/>
    <n v="-126646.81000000006"/>
  </r>
  <r>
    <x v="19"/>
    <x v="0"/>
    <x v="0"/>
    <s v="4400102"/>
    <n v="400020"/>
    <s v="O/P Care Svcs Rev--Medicaid"/>
    <s v="Surgery Services"/>
    <x v="0"/>
    <n v="1200"/>
    <n v="-1832470.45"/>
    <n v="-1703221.07"/>
    <n v="-1539260.29"/>
    <n v="-2001130.12"/>
    <n v="-1579412.26"/>
    <n v="-1858872.07"/>
    <n v="-3049776.66"/>
    <n v="-1969161.49"/>
    <n v="-2565602.63"/>
    <n v="-2259274.04"/>
    <n v="-2347460.86"/>
    <n v="-1754975.49"/>
    <n v="-24460617.43"/>
    <n v="-592485.36999999988"/>
  </r>
  <r>
    <x v="19"/>
    <x v="0"/>
    <x v="0"/>
    <s v="4400102"/>
    <n v="400020"/>
    <s v="O/P Care Svcs Rev--Comm Insurance"/>
    <s v="Surgery Services"/>
    <x v="0"/>
    <n v="1300"/>
    <n v="-400590.52"/>
    <n v="63650.1"/>
    <n v="-129660.82"/>
    <n v="-361950.57"/>
    <n v="-190589.55"/>
    <n v="-409747.65"/>
    <n v="-229136.52"/>
    <n v="-153645.42000000001"/>
    <n v="-144513.29999999999"/>
    <n v="-400177.72"/>
    <n v="-90375.64"/>
    <n v="-424027.89"/>
    <n v="-2870765.5000000005"/>
    <n v="333652.25"/>
  </r>
  <r>
    <x v="19"/>
    <x v="0"/>
    <x v="0"/>
    <s v="4400102"/>
    <n v="400020"/>
    <s v="O/P Care Svcs Rev--BCBS Comm"/>
    <s v="Surgery Services"/>
    <x v="0"/>
    <n v="1301"/>
    <n v="-1081253.77"/>
    <n v="-730643.98"/>
    <n v="-612518.96"/>
    <n v="-666440.73"/>
    <n v="-1185788.99"/>
    <n v="-979448.3"/>
    <n v="-1290100.6200000001"/>
    <n v="-1253492.42"/>
    <n v="-1053480.7"/>
    <n v="-1000416.72"/>
    <n v="-1208777.31"/>
    <n v="-1119731.8400000001"/>
    <n v="-12182094.34"/>
    <n v="-89045.469999999972"/>
  </r>
  <r>
    <x v="19"/>
    <x v="0"/>
    <x v="0"/>
    <s v="4400102"/>
    <n v="400020"/>
    <s v="O/P Care Svcs Rev--Managed Care"/>
    <s v="Surgery Services"/>
    <x v="0"/>
    <n v="1400"/>
    <n v="-3622654.44"/>
    <n v="-3242081.89"/>
    <n v="-2948942.05"/>
    <n v="-2270618.9300000002"/>
    <n v="-3601281.09"/>
    <n v="-4014691.43"/>
    <n v="-2980764.42"/>
    <n v="-2559456.71"/>
    <n v="-3661888.59"/>
    <n v="-3296568.73"/>
    <n v="-3317358.47"/>
    <n v="-2528023.9700000002"/>
    <n v="-38044330.719999999"/>
    <n v="-789334.5"/>
  </r>
  <r>
    <x v="19"/>
    <x v="0"/>
    <x v="0"/>
    <s v="4400102"/>
    <n v="400020"/>
    <s v="O/P Care Svcs Rev--Self Pay"/>
    <s v="Surgery Services"/>
    <x v="0"/>
    <n v="1500"/>
    <n v="-281863.69"/>
    <n v="-355883.36"/>
    <n v="-222752.95"/>
    <n v="-297912.83"/>
    <n v="-159835.68"/>
    <n v="-55571.99"/>
    <n v="-180283.35"/>
    <n v="-316407.74"/>
    <n v="-206270.39"/>
    <n v="-511702.99"/>
    <n v="-257467.74"/>
    <n v="-83105.600000000006"/>
    <n v="-2929058.31"/>
    <n v="-174362.13999999998"/>
  </r>
  <r>
    <x v="19"/>
    <x v="0"/>
    <x v="0"/>
    <s v="4400102"/>
    <n v="400020"/>
    <s v="O/P Care Svcs Rev--Other"/>
    <s v="Surgery Services"/>
    <x v="0"/>
    <n v="1700"/>
    <n v="-1003248.17"/>
    <n v="-387732.47999999998"/>
    <n v="-608777.18999999994"/>
    <n v="-250124.94"/>
    <n v="-376074.83"/>
    <n v="-665580.93999999994"/>
    <n v="-532529.26"/>
    <n v="-552062.93999999994"/>
    <n v="-843867.92"/>
    <n v="-473973.57"/>
    <n v="-541217.17000000004"/>
    <n v="-654121.13"/>
    <n v="-6889310.54"/>
    <n v="112903.95999999996"/>
  </r>
  <r>
    <x v="14"/>
    <x v="0"/>
    <x v="0"/>
    <s v="4400102"/>
    <n v="600050"/>
    <s v="Miscellaneous Revenue"/>
    <s v="Surgery Services"/>
    <x v="0"/>
    <m/>
    <n v="0"/>
    <n v="-1250"/>
    <n v="-2760"/>
    <n v="0"/>
    <n v="0"/>
    <n v="0"/>
    <n v="0"/>
    <n v="0"/>
    <n v="0"/>
    <n v="0"/>
    <n v="0"/>
    <n v="0"/>
    <n v="-4010"/>
    <n v="0"/>
  </r>
  <r>
    <x v="5"/>
    <x v="0"/>
    <x v="0"/>
    <s v="4400102"/>
    <n v="700014"/>
    <s v="Salaries-Management-Productive"/>
    <s v="Surgery Services"/>
    <x v="0"/>
    <m/>
    <n v="22934.11"/>
    <n v="21506.55"/>
    <n v="11047.98"/>
    <n v="23102.65"/>
    <n v="16288.27"/>
    <n v="21480.45"/>
    <n v="22097.85"/>
    <n v="19620.060000000001"/>
    <n v="19330.919999999998"/>
    <n v="23564.85"/>
    <n v="23379.79"/>
    <n v="22958"/>
    <n v="247311.48000000004"/>
    <n v="421.79000000000087"/>
  </r>
  <r>
    <x v="5"/>
    <x v="0"/>
    <x v="0"/>
    <s v="4400102"/>
    <n v="700026"/>
    <s v="Salaries-RN-Productive"/>
    <s v="Surgery Services"/>
    <x v="0"/>
    <m/>
    <n v="120250.72"/>
    <n v="108535.46"/>
    <n v="100408.23"/>
    <n v="116215.8"/>
    <n v="145649.17000000001"/>
    <n v="112343.6"/>
    <n v="125633.44"/>
    <n v="121080.93"/>
    <n v="137348.49"/>
    <n v="115761.58"/>
    <n v="129225.88"/>
    <n v="111989.85"/>
    <n v="1444443.15"/>
    <n v="17236.03"/>
  </r>
  <r>
    <x v="5"/>
    <x v="0"/>
    <x v="0"/>
    <s v="4400102"/>
    <n v="700026"/>
    <s v="Salaries-RN-OT"/>
    <s v="Surgery Services"/>
    <x v="0"/>
    <n v="1000"/>
    <n v="3884.41"/>
    <n v="3201.7"/>
    <n v="3955.83"/>
    <n v="6408.98"/>
    <n v="1194.9100000000001"/>
    <n v="2176.44"/>
    <n v="3357.11"/>
    <n v="2233.3000000000002"/>
    <n v="3660.01"/>
    <n v="1890.79"/>
    <n v="1661.04"/>
    <n v="1131.56"/>
    <n v="34756.079999999994"/>
    <n v="529.48"/>
  </r>
  <r>
    <x v="5"/>
    <x v="0"/>
    <x v="0"/>
    <s v="4400102"/>
    <n v="700026"/>
    <s v="Salaries-RN-Other"/>
    <s v="Surgery Services"/>
    <x v="0"/>
    <n v="2000"/>
    <n v="8741.92"/>
    <n v="9088.1299999999992"/>
    <n v="7352.99"/>
    <n v="10058.02"/>
    <n v="9809.2900000000009"/>
    <n v="9487.42"/>
    <n v="10340.709999999999"/>
    <n v="10579.32"/>
    <n v="10184.86"/>
    <n v="8871.07"/>
    <n v="10456.31"/>
    <n v="8494.66"/>
    <n v="113464.69999999998"/>
    <n v="1961.6499999999996"/>
  </r>
  <r>
    <x v="5"/>
    <x v="0"/>
    <x v="0"/>
    <s v="4400102"/>
    <n v="700032"/>
    <s v="Salaries-Other Pat Care Providers-Productive"/>
    <s v="Surgery Services"/>
    <x v="0"/>
    <m/>
    <n v="0"/>
    <n v="0"/>
    <n v="0"/>
    <n v="0"/>
    <n v="0"/>
    <n v="0"/>
    <n v="0"/>
    <n v="0"/>
    <n v="0"/>
    <n v="350.06"/>
    <n v="-145.84"/>
    <n v="0"/>
    <n v="204.22"/>
    <n v="-145.84"/>
  </r>
  <r>
    <x v="5"/>
    <x v="0"/>
    <x v="0"/>
    <s v="4400102"/>
    <n v="700032"/>
    <s v="Salaries-Other Pat Care Providers-OT"/>
    <s v="Surgery Services"/>
    <x v="0"/>
    <n v="1000"/>
    <n v="0"/>
    <n v="0"/>
    <n v="0"/>
    <n v="0"/>
    <n v="0"/>
    <n v="0"/>
    <n v="0"/>
    <n v="0"/>
    <n v="0"/>
    <n v="117.24"/>
    <n v="-48.84"/>
    <n v="0"/>
    <n v="68.399999999999991"/>
    <n v="-48.84"/>
  </r>
  <r>
    <x v="5"/>
    <x v="0"/>
    <x v="0"/>
    <s v="4400102"/>
    <n v="700032"/>
    <s v="Salaries-Other Pat Care Providers-Other"/>
    <s v="Surgery Services"/>
    <x v="0"/>
    <n v="2000"/>
    <n v="0"/>
    <n v="0"/>
    <n v="0"/>
    <n v="0"/>
    <n v="0"/>
    <n v="0"/>
    <n v="0"/>
    <n v="0"/>
    <n v="0"/>
    <n v="33.270000000000003"/>
    <n v="-13.85"/>
    <n v="0"/>
    <n v="19.420000000000002"/>
    <n v="-13.85"/>
  </r>
  <r>
    <x v="5"/>
    <x v="0"/>
    <x v="0"/>
    <s v="4400102"/>
    <n v="700034"/>
    <s v="Salaries-Tech/Professional-Productive"/>
    <s v="Surgery Services"/>
    <x v="0"/>
    <m/>
    <n v="80659.08"/>
    <n v="75843.09"/>
    <n v="75542.33"/>
    <n v="83028.070000000007"/>
    <n v="87086.05"/>
    <n v="84378.53"/>
    <n v="77877.91"/>
    <n v="68574.78"/>
    <n v="87361.57"/>
    <n v="84835.58"/>
    <n v="92634.43"/>
    <n v="77044.649999999994"/>
    <n v="974866.07000000018"/>
    <n v="15589.779999999999"/>
  </r>
  <r>
    <x v="5"/>
    <x v="0"/>
    <x v="0"/>
    <s v="4400102"/>
    <n v="700034"/>
    <s v="Salaries-Tech/Professional-OT"/>
    <s v="Surgery Services"/>
    <x v="0"/>
    <n v="1000"/>
    <n v="1769.06"/>
    <n v="2365.25"/>
    <n v="1066.19"/>
    <n v="2555.91"/>
    <n v="1236.96"/>
    <n v="1750.52"/>
    <n v="2068.08"/>
    <n v="2834.01"/>
    <n v="4565.82"/>
    <n v="4338.95"/>
    <n v="3499.33"/>
    <n v="1268.32"/>
    <n v="29318.400000000001"/>
    <n v="2231.0100000000002"/>
  </r>
  <r>
    <x v="5"/>
    <x v="0"/>
    <x v="0"/>
    <s v="4400102"/>
    <n v="700034"/>
    <s v="Salaries-Tech/Professional-Other"/>
    <s v="Surgery Services"/>
    <x v="0"/>
    <n v="2000"/>
    <n v="5457.6"/>
    <n v="6882.51"/>
    <n v="6113.74"/>
    <n v="6397.4"/>
    <n v="6937.36"/>
    <n v="7568.55"/>
    <n v="6083.15"/>
    <n v="6443.69"/>
    <n v="5955.14"/>
    <n v="6029.84"/>
    <n v="6854.21"/>
    <n v="5028.55"/>
    <n v="75751.74000000002"/>
    <n v="1825.6599999999999"/>
  </r>
  <r>
    <x v="5"/>
    <x v="0"/>
    <x v="0"/>
    <s v="4400102"/>
    <n v="700038"/>
    <s v="Salaries-Service/Support-Productive"/>
    <s v="Surgery Services"/>
    <x v="0"/>
    <m/>
    <n v="23542.26"/>
    <n v="21943.61"/>
    <n v="19359.73"/>
    <n v="16662.810000000001"/>
    <n v="26092.23"/>
    <n v="19700.09"/>
    <n v="22080.05"/>
    <n v="19267.14"/>
    <n v="27176.240000000002"/>
    <n v="18639.830000000002"/>
    <n v="17859.7"/>
    <n v="23221.040000000001"/>
    <n v="255544.73"/>
    <n v="-5361.34"/>
  </r>
  <r>
    <x v="5"/>
    <x v="0"/>
    <x v="0"/>
    <s v="4400102"/>
    <n v="700038"/>
    <s v="Salaries-Service/Support-OT"/>
    <s v="Surgery Services"/>
    <x v="0"/>
    <n v="1000"/>
    <n v="456.16"/>
    <n v="51.62"/>
    <n v="504.12"/>
    <n v="45.08"/>
    <n v="233.75"/>
    <n v="246.37"/>
    <n v="364.92"/>
    <n v="208.44"/>
    <n v="629.64"/>
    <n v="547.4"/>
    <n v="-25.48"/>
    <n v="313.5"/>
    <n v="3575.52"/>
    <n v="-338.98"/>
  </r>
  <r>
    <x v="5"/>
    <x v="0"/>
    <x v="0"/>
    <s v="4400102"/>
    <n v="700038"/>
    <s v="Salaries-Service/Support-Other"/>
    <s v="Surgery Services"/>
    <x v="0"/>
    <n v="2000"/>
    <n v="2141.7600000000002"/>
    <n v="2099.98"/>
    <n v="2040.34"/>
    <n v="1708.94"/>
    <n v="2551.2600000000002"/>
    <n v="2234.63"/>
    <n v="2113.9699999999998"/>
    <n v="2000.48"/>
    <n v="1923"/>
    <n v="1908.07"/>
    <n v="1302.1600000000001"/>
    <n v="2283.41"/>
    <n v="24308"/>
    <n v="-981.24999999999977"/>
  </r>
  <r>
    <x v="5"/>
    <x v="0"/>
    <x v="0"/>
    <s v="4400102"/>
    <n v="700054"/>
    <s v="Salaries-Management-Non-productive"/>
    <s v="Surgery Services"/>
    <x v="0"/>
    <m/>
    <n v="435.44"/>
    <n v="1864.05"/>
    <n v="11569.05"/>
    <n v="905.08"/>
    <n v="7092.26"/>
    <n v="2680.21"/>
    <n v="2100.5"/>
    <n v="2234.31"/>
    <n v="4865.13"/>
    <n v="-150.03"/>
    <n v="816.3"/>
    <n v="457.87"/>
    <n v="34870.170000000006"/>
    <n v="358.42999999999995"/>
  </r>
  <r>
    <x v="5"/>
    <x v="0"/>
    <x v="0"/>
    <s v="4400102"/>
    <n v="700054"/>
    <s v="Salaries-Management-NonProd-Other"/>
    <s v="Surgery Services"/>
    <x v="0"/>
    <n v="2000"/>
    <n v="0"/>
    <n v="0"/>
    <n v="0"/>
    <n v="0"/>
    <n v="783.25"/>
    <n v="9984.43"/>
    <n v="-8417.93"/>
    <n v="-2349.75"/>
    <n v="0"/>
    <n v="0"/>
    <n v="0"/>
    <n v="0"/>
    <n v="0"/>
    <n v="0"/>
  </r>
  <r>
    <x v="5"/>
    <x v="0"/>
    <x v="0"/>
    <s v="4400102"/>
    <n v="700066"/>
    <s v="Salaries-RN-Non-productive"/>
    <s v="Surgery Services"/>
    <x v="0"/>
    <m/>
    <n v="19545.39"/>
    <n v="15593.32"/>
    <n v="25565.33"/>
    <n v="17381.66"/>
    <n v="8399.9699999999993"/>
    <n v="31647.25"/>
    <n v="17442.099999999999"/>
    <n v="12402.99"/>
    <n v="12957.67"/>
    <n v="17414.419999999998"/>
    <n v="12485.49"/>
    <n v="22412.03"/>
    <n v="213247.61999999997"/>
    <n v="-9926.5399999999991"/>
  </r>
  <r>
    <x v="5"/>
    <x v="0"/>
    <x v="0"/>
    <s v="4400102"/>
    <n v="700066"/>
    <s v="Salaries-RN-NonProd-Other"/>
    <s v="Surgery Services"/>
    <x v="0"/>
    <n v="2000"/>
    <n v="1791.67"/>
    <n v="1373.63"/>
    <n v="1797.6"/>
    <n v="1213.25"/>
    <n v="3068.16"/>
    <n v="4780.87"/>
    <n v="1991.4"/>
    <n v="-4525.2700000000004"/>
    <n v="1135.78"/>
    <n v="1273.93"/>
    <n v="860.58"/>
    <n v="1443.08"/>
    <n v="16204.68"/>
    <n v="-582.49999999999989"/>
  </r>
  <r>
    <x v="5"/>
    <x v="0"/>
    <x v="0"/>
    <s v="4400102"/>
    <n v="700074"/>
    <s v="Salaries-Tech/Professional-Non-productive"/>
    <s v="Surgery Services"/>
    <x v="0"/>
    <m/>
    <n v="8841.99"/>
    <n v="7166"/>
    <n v="9957.7099999999991"/>
    <n v="8094.94"/>
    <n v="10660.06"/>
    <n v="15434.38"/>
    <n v="16238.55"/>
    <n v="11555.84"/>
    <n v="9131.89"/>
    <n v="10804.04"/>
    <n v="7113.07"/>
    <n v="17322.13"/>
    <n v="132320.6"/>
    <n v="-10209.060000000001"/>
  </r>
  <r>
    <x v="5"/>
    <x v="0"/>
    <x v="0"/>
    <s v="4400102"/>
    <n v="700074"/>
    <s v="Salaries-Tech/Professional-NonProd-Other"/>
    <s v="Surgery Services"/>
    <x v="0"/>
    <n v="2000"/>
    <n v="784.19"/>
    <n v="804.73"/>
    <n v="613.09"/>
    <n v="463.8"/>
    <n v="3415.67"/>
    <n v="2754.93"/>
    <n v="989.35"/>
    <n v="-3019.84"/>
    <n v="1057.75"/>
    <n v="855.95"/>
    <n v="466.63"/>
    <n v="987.5"/>
    <n v="10173.75"/>
    <n v="-520.87"/>
  </r>
  <r>
    <x v="5"/>
    <x v="0"/>
    <x v="0"/>
    <s v="4400102"/>
    <n v="700078"/>
    <s v="Salaries-Service/Support-Non-productive"/>
    <s v="Surgery Services"/>
    <x v="0"/>
    <m/>
    <n v="3117.27"/>
    <n v="3659.3"/>
    <n v="3727.22"/>
    <n v="6371.8"/>
    <n v="-160.9"/>
    <n v="4967.9399999999996"/>
    <n v="3289.57"/>
    <n v="5473.34"/>
    <n v="1113.48"/>
    <n v="5304.97"/>
    <n v="6537.05"/>
    <n v="1605.29"/>
    <n v="45006.33"/>
    <n v="4931.76"/>
  </r>
  <r>
    <x v="5"/>
    <x v="0"/>
    <x v="0"/>
    <s v="4400102"/>
    <n v="700078"/>
    <s v="Salaries-Service/Support-NonProd-Other"/>
    <s v="Surgery Services"/>
    <x v="0"/>
    <n v="2000"/>
    <n v="194.8"/>
    <n v="177.41"/>
    <n v="185.7"/>
    <n v="305.77999999999997"/>
    <n v="798.64"/>
    <n v="223.32"/>
    <n v="201.74"/>
    <n v="-534.70000000000005"/>
    <n v="107.12"/>
    <n v="24.66"/>
    <n v="132.02000000000001"/>
    <n v="300.63"/>
    <n v="2117.12"/>
    <n v="-168.60999999999999"/>
  </r>
  <r>
    <x v="5"/>
    <x v="0"/>
    <x v="0"/>
    <s v="4400102"/>
    <n v="700084"/>
    <s v="Accrued PTO"/>
    <s v="Surgery Services"/>
    <x v="0"/>
    <m/>
    <n v="5147.6099999999997"/>
    <n v="6729.4"/>
    <n v="-14163.2"/>
    <n v="4706.25"/>
    <n v="14360.74"/>
    <n v="-5080.2700000000004"/>
    <n v="-6412.72"/>
    <n v="4132.8900000000003"/>
    <n v="13118.33"/>
    <n v="14104.05"/>
    <n v="6975.97"/>
    <n v="2550.1799999999998"/>
    <n v="46169.229999999996"/>
    <n v="4425.7900000000009"/>
  </r>
  <r>
    <x v="10"/>
    <x v="0"/>
    <x v="0"/>
    <s v="4400102"/>
    <n v="710060"/>
    <s v="Contract Labor-Other"/>
    <s v="Surgery Services"/>
    <x v="0"/>
    <m/>
    <n v="25581.53"/>
    <n v="51905.120000000003"/>
    <n v="17734.13"/>
    <n v="86742"/>
    <n v="43861.41"/>
    <n v="23030.959999999999"/>
    <n v="11516.64"/>
    <n v="7016.63"/>
    <n v="15286.51"/>
    <n v="0"/>
    <n v="14815.5"/>
    <n v="13503"/>
    <n v="310993.43"/>
    <n v="1312.5"/>
  </r>
  <r>
    <x v="10"/>
    <x v="0"/>
    <x v="0"/>
    <s v="4400102"/>
    <n v="710060"/>
    <s v="Contract Labor-Overtime"/>
    <s v="Surgery Services"/>
    <x v="0"/>
    <n v="5100"/>
    <n v="332.28"/>
    <n v="166.23"/>
    <n v="689.21"/>
    <n v="587.79"/>
    <n v="166.66"/>
    <n v="466.64"/>
    <n v="1083.3599999999999"/>
    <n v="165.64"/>
    <n v="197.57"/>
    <n v="0"/>
    <n v="0"/>
    <n v="0"/>
    <n v="3855.38"/>
    <n v="0"/>
  </r>
  <r>
    <x v="10"/>
    <x v="0"/>
    <x v="0"/>
    <s v="4400102"/>
    <n v="710060"/>
    <s v="Contract Labor-Standby Wages"/>
    <s v="Surgery Services"/>
    <x v="0"/>
    <n v="5101"/>
    <n v="0"/>
    <n v="0"/>
    <n v="0"/>
    <n v="62"/>
    <n v="40"/>
    <n v="0"/>
    <n v="40"/>
    <n v="0"/>
    <n v="123"/>
    <n v="0"/>
    <n v="0"/>
    <n v="0"/>
    <n v="265"/>
    <n v="0"/>
  </r>
  <r>
    <x v="6"/>
    <x v="0"/>
    <x v="0"/>
    <s v="4400102"/>
    <n v="713010"/>
    <s v="Benefits-FICA/Medicare"/>
    <s v="Surgery Services"/>
    <x v="0"/>
    <m/>
    <n v="22434.95"/>
    <n v="20873.3"/>
    <n v="20867.919999999998"/>
    <n v="22395.66"/>
    <n v="25440.720000000001"/>
    <n v="23772.86"/>
    <n v="27518.400000000001"/>
    <n v="20211.45"/>
    <n v="24209.65"/>
    <n v="22237.84"/>
    <n v="23030.14"/>
    <n v="21877.19"/>
    <n v="274870.08"/>
    <n v="1152.9500000000007"/>
  </r>
  <r>
    <x v="6"/>
    <x v="0"/>
    <x v="0"/>
    <s v="4400102"/>
    <n v="713090"/>
    <s v="Benefits-Allocated Amounts"/>
    <s v="Surgery Services"/>
    <x v="0"/>
    <m/>
    <n v="60567.64"/>
    <n v="48475.34"/>
    <n v="53447.19"/>
    <n v="54829.03"/>
    <n v="62208.84"/>
    <n v="59690.400000000001"/>
    <n v="60585.62"/>
    <n v="58029.2"/>
    <n v="61832.36"/>
    <n v="62659.49"/>
    <n v="62928.56"/>
    <n v="61921.8"/>
    <n v="707175.47"/>
    <n v="1006.7599999999948"/>
  </r>
  <r>
    <x v="6"/>
    <x v="0"/>
    <x v="0"/>
    <s v="4400102"/>
    <n v="713096"/>
    <s v="Employee Recognition"/>
    <s v="Surgery Services"/>
    <x v="0"/>
    <n v="1017"/>
    <n v="219.17"/>
    <n v="84.33"/>
    <n v="136.59"/>
    <n v="0"/>
    <n v="156.28"/>
    <n v="184.56"/>
    <n v="88.72"/>
    <n v="18.989999999999998"/>
    <n v="147.19"/>
    <n v="570.98"/>
    <n v="275.07"/>
    <n v="51.4"/>
    <n v="1933.2800000000002"/>
    <n v="223.67"/>
  </r>
  <r>
    <x v="17"/>
    <x v="0"/>
    <x v="0"/>
    <s v="4400102"/>
    <n v="714510"/>
    <s v="Medical Director Fees"/>
    <s v="Surgery Services"/>
    <x v="0"/>
    <m/>
    <n v="32881.660000000003"/>
    <n v="2625"/>
    <n v="32502.91"/>
    <n v="61349.87"/>
    <n v="32345.86"/>
    <n v="3290"/>
    <n v="59697.22"/>
    <n v="32023.16"/>
    <n v="7340"/>
    <n v="27331.360000000001"/>
    <n v="59103.92"/>
    <n v="29389.86"/>
    <n v="379880.81999999995"/>
    <n v="29714.059999999998"/>
  </r>
  <r>
    <x v="17"/>
    <x v="0"/>
    <x v="0"/>
    <s v="4400102"/>
    <n v="714520"/>
    <s v="Other Contracted Professionals"/>
    <s v="Surgery Services"/>
    <x v="0"/>
    <m/>
    <n v="21358"/>
    <n v="18958"/>
    <n v="20158"/>
    <n v="21958"/>
    <n v="20158"/>
    <n v="20158"/>
    <n v="20158"/>
    <n v="20758"/>
    <n v="21358"/>
    <n v="20758"/>
    <n v="20158"/>
    <n v="1800"/>
    <n v="227738"/>
    <n v="18358"/>
  </r>
  <r>
    <x v="17"/>
    <x v="0"/>
    <x v="0"/>
    <s v="4400102"/>
    <n v="714530"/>
    <s v="Medical Prof Fees-Intracompany"/>
    <s v="Surgery Services"/>
    <x v="0"/>
    <m/>
    <n v="22354.080000000002"/>
    <n v="10566.69"/>
    <n v="19126.87"/>
    <n v="28633.46"/>
    <n v="41444.839999999997"/>
    <n v="27936.58"/>
    <n v="56315.03"/>
    <n v="42894.67"/>
    <n v="50773.36"/>
    <n v="43895.8"/>
    <n v="40178.22"/>
    <n v="207490.26"/>
    <n v="591609.86"/>
    <n v="-167312.04"/>
  </r>
  <r>
    <x v="7"/>
    <x v="0"/>
    <x v="0"/>
    <s v="4400102"/>
    <n v="718050"/>
    <s v="Contract Svcs-Other"/>
    <s v="Surgery Services"/>
    <x v="0"/>
    <m/>
    <n v="16800"/>
    <n v="15683.5"/>
    <n v="-10594.6"/>
    <n v="19453.98"/>
    <n v="9623.2999999999993"/>
    <n v="15084.8"/>
    <n v="19491.099999999999"/>
    <n v="0"/>
    <n v="29627.65"/>
    <n v="8206.4"/>
    <n v="19475"/>
    <n v="20270.599999999999"/>
    <n v="163121.73000000001"/>
    <n v="-795.59999999999854"/>
  </r>
  <r>
    <x v="7"/>
    <x v="0"/>
    <x v="0"/>
    <s v="4400102"/>
    <n v="718050"/>
    <s v="Document Shredding/Storage"/>
    <s v="Surgery Services"/>
    <x v="0"/>
    <n v="1012"/>
    <n v="111.38"/>
    <n v="164.02"/>
    <n v="239.89"/>
    <n v="195.65"/>
    <n v="18.25"/>
    <n v="86.2"/>
    <n v="85.33"/>
    <n v="342.46"/>
    <n v="240.77"/>
    <n v="-212.8"/>
    <n v="83.4"/>
    <n v="86.2"/>
    <n v="1440.7500000000002"/>
    <n v="-2.7999999999999972"/>
  </r>
  <r>
    <x v="7"/>
    <x v="0"/>
    <x v="0"/>
    <s v="4400102"/>
    <n v="718050"/>
    <s v="Miscellaneous Purchased Svcs"/>
    <s v="Surgery Services"/>
    <x v="0"/>
    <n v="1020"/>
    <n v="2010.1"/>
    <n v="1759.62"/>
    <n v="873.15"/>
    <n v="4458.45"/>
    <n v="7203.22"/>
    <n v="0"/>
    <n v="2525.6"/>
    <n v="0"/>
    <n v="18268.240000000002"/>
    <n v="0"/>
    <n v="4782.24"/>
    <n v="0"/>
    <n v="41880.620000000003"/>
    <n v="4782.24"/>
  </r>
  <r>
    <x v="7"/>
    <x v="0"/>
    <x v="0"/>
    <s v="4400102"/>
    <n v="718050"/>
    <s v="Contract Svcs--Medical/Dental"/>
    <s v="Surgery Services"/>
    <x v="0"/>
    <n v="1024"/>
    <n v="0"/>
    <n v="2074.4499999999998"/>
    <n v="1020"/>
    <n v="425"/>
    <n v="943.98"/>
    <n v="432.08"/>
    <n v="980.32"/>
    <n v="0"/>
    <n v="1741.28"/>
    <n v="728.63"/>
    <n v="515"/>
    <n v="0"/>
    <n v="8860.74"/>
    <n v="515"/>
  </r>
  <r>
    <x v="7"/>
    <x v="0"/>
    <x v="0"/>
    <s v="4400102"/>
    <n v="718050"/>
    <s v="Translation Services"/>
    <s v="Surgery Services"/>
    <x v="0"/>
    <n v="1025"/>
    <n v="17.82"/>
    <n v="101.25"/>
    <n v="187.11"/>
    <n v="35.64"/>
    <n v="0"/>
    <n v="71.28"/>
    <n v="0"/>
    <n v="28.35"/>
    <n v="144.99"/>
    <n v="41.31"/>
    <n v="0"/>
    <n v="0"/>
    <n v="627.75"/>
    <n v="0"/>
  </r>
  <r>
    <x v="7"/>
    <x v="0"/>
    <x v="0"/>
    <s v="4400102"/>
    <n v="718050"/>
    <s v="Contract Management--Linen"/>
    <s v="Surgery Services"/>
    <x v="0"/>
    <n v="1026"/>
    <n v="11221.03"/>
    <n v="10708.86"/>
    <n v="11929.34"/>
    <n v="9948.44"/>
    <n v="13601.56"/>
    <n v="12870.13"/>
    <n v="12909.35"/>
    <n v="6471"/>
    <n v="14051.16"/>
    <n v="13605.04"/>
    <n v="9385.58"/>
    <n v="15462.6"/>
    <n v="142164.09"/>
    <n v="-6077.02"/>
  </r>
  <r>
    <x v="7"/>
    <x v="0"/>
    <x v="0"/>
    <s v="4400102"/>
    <n v="718070"/>
    <s v="Contract Srvcs-CHI Clinical Engineering"/>
    <s v="Surgery Services"/>
    <x v="0"/>
    <m/>
    <n v="33579.9"/>
    <n v="31811.06"/>
    <n v="32927.74"/>
    <n v="29577.73"/>
    <n v="29396.37"/>
    <n v="29396.38"/>
    <n v="30524.21"/>
    <n v="59918.61"/>
    <n v="67173.11"/>
    <n v="40373.120000000003"/>
    <n v="43476.39"/>
    <n v="43723.13"/>
    <n v="471877.75"/>
    <n v="-246.73999999999796"/>
  </r>
  <r>
    <x v="7"/>
    <x v="0"/>
    <x v="0"/>
    <s v="4400102"/>
    <n v="718091"/>
    <s v="Contract Services-Intracompany Allocation"/>
    <s v="Surgery Services"/>
    <x v="0"/>
    <m/>
    <n v="16809.2"/>
    <n v="15786.85"/>
    <n v="14937.65"/>
    <n v="18787.41"/>
    <n v="16306.01"/>
    <n v="14547.64"/>
    <n v="17375.41"/>
    <n v="14732.36"/>
    <n v="18785.62"/>
    <n v="17514.86"/>
    <n v="16902.669999999998"/>
    <n v="15880.4"/>
    <n v="198366.07999999999"/>
    <n v="1022.2699999999986"/>
  </r>
  <r>
    <x v="11"/>
    <x v="0"/>
    <x v="0"/>
    <s v="4400102"/>
    <n v="721010"/>
    <s v="Supplies-Medical - Billable"/>
    <s v="Surgery Services"/>
    <x v="0"/>
    <m/>
    <n v="10089.67"/>
    <n v="10779.39"/>
    <n v="6231.38"/>
    <n v="9674.91"/>
    <n v="12147.61"/>
    <n v="14725.18"/>
    <n v="9852.06"/>
    <n v="10820.75"/>
    <n v="13904.94"/>
    <n v="14171.55"/>
    <n v="14391.46"/>
    <n v="14357.94"/>
    <n v="141146.84"/>
    <n v="33.519999999998618"/>
  </r>
  <r>
    <x v="11"/>
    <x v="0"/>
    <x v="0"/>
    <s v="4400102"/>
    <n v="721010"/>
    <s v="Patient Monitoring"/>
    <s v="Surgery Services"/>
    <x v="0"/>
    <n v="1000"/>
    <n v="914.25"/>
    <n v="3084.32"/>
    <n v="3256.65"/>
    <n v="3244.93"/>
    <n v="4513.29"/>
    <n v="531.9"/>
    <n v="3844.24"/>
    <n v="1087.3"/>
    <n v="7794.62"/>
    <n v="2272.4899999999998"/>
    <n v="3329.77"/>
    <n v="1121.18"/>
    <n v="34994.939999999995"/>
    <n v="2208.59"/>
  </r>
  <r>
    <x v="11"/>
    <x v="0"/>
    <x v="0"/>
    <s v="4400102"/>
    <n v="721020"/>
    <s v="Supplies-Surgical - Billable"/>
    <s v="Surgery Services"/>
    <x v="0"/>
    <m/>
    <n v="329539.44"/>
    <n v="278722.28000000003"/>
    <n v="299060.65999999997"/>
    <n v="208159.84"/>
    <n v="363175.81"/>
    <n v="297407.17"/>
    <n v="333605.59999999998"/>
    <n v="259957.87"/>
    <n v="393099.04"/>
    <n v="277236.36"/>
    <n v="406784.58"/>
    <n v="294208.33"/>
    <n v="3740956.98"/>
    <n v="112576.25"/>
  </r>
  <r>
    <x v="11"/>
    <x v="0"/>
    <x v="0"/>
    <s v="4400102"/>
    <n v="721020"/>
    <s v="Custom Packs"/>
    <s v="Surgery Services"/>
    <x v="0"/>
    <n v="1000"/>
    <n v="10179.23"/>
    <n v="9788.68"/>
    <n v="8481.08"/>
    <n v="10870.94"/>
    <n v="9591.2999999999993"/>
    <n v="8330.1"/>
    <n v="10304.94"/>
    <n v="9505.8700000000008"/>
    <n v="10981.72"/>
    <n v="10300.41"/>
    <n v="10770.7"/>
    <n v="9020.2099999999991"/>
    <n v="118125.18"/>
    <n v="1750.4900000000016"/>
  </r>
  <r>
    <x v="11"/>
    <x v="0"/>
    <x v="0"/>
    <s v="4400102"/>
    <n v="721020"/>
    <s v="Suture/Wound Closure"/>
    <s v="Surgery Services"/>
    <x v="0"/>
    <n v="1001"/>
    <n v="23245.21"/>
    <n v="20805.28"/>
    <n v="23591.31"/>
    <n v="20180.64"/>
    <n v="31713.84"/>
    <n v="39447.58"/>
    <n v="32237.17"/>
    <n v="21176.39"/>
    <n v="35171.31"/>
    <n v="20480.72"/>
    <n v="37727.58"/>
    <n v="36450.69"/>
    <n v="342227.72"/>
    <n v="1276.8899999999994"/>
  </r>
  <r>
    <x v="11"/>
    <x v="0"/>
    <x v="0"/>
    <s v="4400102"/>
    <n v="721020"/>
    <s v="Endoscopy - Trocars &amp; Accessories"/>
    <s v="Surgery Services"/>
    <x v="0"/>
    <n v="1002"/>
    <n v="16181.58"/>
    <n v="11217.5"/>
    <n v="3271.66"/>
    <n v="14814.49"/>
    <n v="21824.6"/>
    <n v="15025.18"/>
    <n v="15930.96"/>
    <n v="9094.27"/>
    <n v="32957.919999999998"/>
    <n v="12418.53"/>
    <n v="10544.97"/>
    <n v="12052.66"/>
    <n v="175334.32"/>
    <n v="-1507.6900000000005"/>
  </r>
  <r>
    <x v="11"/>
    <x v="0"/>
    <x v="0"/>
    <s v="4400102"/>
    <n v="721020"/>
    <s v="Endomechanical Supplies &amp; Instruments"/>
    <s v="Surgery Services"/>
    <x v="0"/>
    <n v="1003"/>
    <n v="247980"/>
    <n v="256415.32"/>
    <n v="336443.23"/>
    <n v="261435.48"/>
    <n v="343659.53"/>
    <n v="454914.36"/>
    <n v="220238.21"/>
    <n v="265108.43"/>
    <n v="330727.21000000002"/>
    <n v="233886.07999999999"/>
    <n v="316739.74"/>
    <n v="226115.83"/>
    <n v="3493663.42"/>
    <n v="90623.91"/>
  </r>
  <r>
    <x v="11"/>
    <x v="0"/>
    <x v="0"/>
    <s v="4400102"/>
    <n v="721020"/>
    <s v="Bone Cement &amp; Supplies"/>
    <s v="Surgery Services"/>
    <x v="0"/>
    <n v="1004"/>
    <n v="5083.7299999999996"/>
    <n v="9120.32"/>
    <n v="11949.87"/>
    <n v="1812.75"/>
    <n v="1696.43"/>
    <n v="2129.7600000000002"/>
    <n v="3693.74"/>
    <n v="3345.57"/>
    <n v="6294.32"/>
    <n v="5179.78"/>
    <n v="1791.46"/>
    <n v="1067.47"/>
    <n v="53165.2"/>
    <n v="723.99"/>
  </r>
  <r>
    <x v="11"/>
    <x v="0"/>
    <x v="0"/>
    <s v="4400102"/>
    <n v="721020"/>
    <s v="Heart/Lung Machine Supplies"/>
    <s v="Surgery Services"/>
    <x v="0"/>
    <n v="1005"/>
    <n v="0"/>
    <n v="0"/>
    <n v="0"/>
    <n v="26.15"/>
    <n v="0"/>
    <n v="0"/>
    <n v="0"/>
    <n v="0"/>
    <n v="20.75"/>
    <n v="0"/>
    <n v="0"/>
    <n v="0"/>
    <n v="46.9"/>
    <n v="0"/>
  </r>
  <r>
    <x v="11"/>
    <x v="0"/>
    <x v="0"/>
    <s v="4400102"/>
    <n v="721020"/>
    <s v="Urological Supplies"/>
    <s v="Surgery Services"/>
    <x v="0"/>
    <n v="1006"/>
    <n v="9492.25"/>
    <n v="5603.91"/>
    <n v="2734.29"/>
    <n v="15039.38"/>
    <n v="17192.240000000002"/>
    <n v="13733.55"/>
    <n v="9710.51"/>
    <n v="3483.51"/>
    <n v="11839.5"/>
    <n v="6027.25"/>
    <n v="4937.7"/>
    <n v="6193.19"/>
    <n v="105987.28"/>
    <n v="-1255.4899999999998"/>
  </r>
  <r>
    <x v="11"/>
    <x v="0"/>
    <x v="0"/>
    <s v="4400102"/>
    <n v="721020"/>
    <s v="Surgical Cardiovascular"/>
    <s v="Surgery Services"/>
    <x v="0"/>
    <n v="1007"/>
    <n v="1801.62"/>
    <n v="1118.1400000000001"/>
    <n v="235.56"/>
    <n v="44.47"/>
    <n v="41.07"/>
    <n v="20.81"/>
    <n v="280.99"/>
    <n v="423.26"/>
    <n v="-150.11000000000001"/>
    <n v="534.23"/>
    <n v="569.38"/>
    <n v="450.7"/>
    <n v="5370.12"/>
    <n v="118.68"/>
  </r>
  <r>
    <x v="11"/>
    <x v="0"/>
    <x v="0"/>
    <s v="4400102"/>
    <n v="721020"/>
    <s v="Tubes Drains &amp; Related Supplies"/>
    <s v="Surgery Services"/>
    <x v="0"/>
    <n v="1008"/>
    <n v="841.83"/>
    <n v="444.91"/>
    <n v="372.36"/>
    <n v="818.98"/>
    <n v="445.05"/>
    <n v="473.28"/>
    <n v="280.60000000000002"/>
    <n v="389.96"/>
    <n v="109.74"/>
    <n v="333.72"/>
    <n v="1505.38"/>
    <n v="-10.75"/>
    <n v="6005.06"/>
    <n v="1516.13"/>
  </r>
  <r>
    <x v="11"/>
    <x v="0"/>
    <x v="0"/>
    <s v="4400102"/>
    <n v="721050"/>
    <s v="Supplies-Cardiac Rhythm - Billable"/>
    <s v="Surgery Services"/>
    <x v="0"/>
    <m/>
    <n v="2742.49"/>
    <n v="1220.71"/>
    <n v="496.71"/>
    <n v="1276.9100000000001"/>
    <n v="1855.02"/>
    <n v="1869.6"/>
    <n v="1207.6400000000001"/>
    <n v="558.72"/>
    <n v="2075.77"/>
    <n v="3964.03"/>
    <n v="2953.35"/>
    <n v="1666.16"/>
    <n v="21887.109999999997"/>
    <n v="1287.1899999999998"/>
  </r>
  <r>
    <x v="11"/>
    <x v="0"/>
    <x v="0"/>
    <s v="4400102"/>
    <n v="721050"/>
    <s v="Pacemakers - Internal"/>
    <s v="Surgery Services"/>
    <x v="0"/>
    <n v="1000"/>
    <n v="4218"/>
    <n v="0"/>
    <n v="0"/>
    <n v="4630"/>
    <n v="0"/>
    <n v="9186"/>
    <n v="0"/>
    <n v="0"/>
    <n v="0"/>
    <n v="0"/>
    <n v="0"/>
    <n v="0"/>
    <n v="18034"/>
    <n v="0"/>
  </r>
  <r>
    <x v="11"/>
    <x v="0"/>
    <x v="0"/>
    <s v="4400102"/>
    <n v="721070"/>
    <s v="Peripheral Stents"/>
    <s v="Surgery Services"/>
    <x v="0"/>
    <n v="1001"/>
    <n v="1150"/>
    <n v="0"/>
    <n v="0"/>
    <n v="0"/>
    <n v="0"/>
    <n v="0"/>
    <n v="0"/>
    <n v="0"/>
    <n v="0"/>
    <n v="0"/>
    <n v="0"/>
    <n v="0"/>
    <n v="1150"/>
    <n v="0"/>
  </r>
  <r>
    <x v="11"/>
    <x v="0"/>
    <x v="0"/>
    <s v="4400102"/>
    <n v="721110"/>
    <s v="Supplies-Grafts - Billable"/>
    <s v="Surgery Services"/>
    <x v="0"/>
    <m/>
    <n v="458.25"/>
    <n v="9348"/>
    <n v="458.25"/>
    <n v="305.5"/>
    <n v="611"/>
    <n v="3229"/>
    <n v="2725"/>
    <n v="1725.5"/>
    <n v="458.25"/>
    <n v="4643"/>
    <n v="2053"/>
    <n v="1772"/>
    <n v="27786.75"/>
    <n v="281"/>
  </r>
  <r>
    <x v="11"/>
    <x v="0"/>
    <x v="0"/>
    <s v="4400102"/>
    <n v="721120"/>
    <s v="Supplies-Prosthetics - Billable"/>
    <s v="Surgery Services"/>
    <x v="0"/>
    <m/>
    <n v="0"/>
    <n v="0"/>
    <n v="0"/>
    <n v="0"/>
    <n v="0"/>
    <n v="0"/>
    <n v="0"/>
    <n v="0"/>
    <n v="0"/>
    <n v="0"/>
    <n v="1642.5"/>
    <n v="0"/>
    <n v="1642.5"/>
    <n v="1642.5"/>
  </r>
  <r>
    <x v="11"/>
    <x v="0"/>
    <x v="0"/>
    <s v="4400102"/>
    <n v="721120"/>
    <s v="Hip Prosthesis"/>
    <s v="Surgery Services"/>
    <x v="0"/>
    <n v="1000"/>
    <n v="46189.93"/>
    <n v="23302.32"/>
    <n v="19361.66"/>
    <n v="61534.39"/>
    <n v="32760.32"/>
    <n v="44189.120000000003"/>
    <n v="51013.56"/>
    <n v="25393.5"/>
    <n v="38683.760000000002"/>
    <n v="57669.32"/>
    <n v="74389.62"/>
    <n v="50206.239999999998"/>
    <n v="524693.74"/>
    <n v="24183.379999999997"/>
  </r>
  <r>
    <x v="11"/>
    <x v="0"/>
    <x v="0"/>
    <s v="4400102"/>
    <n v="721120"/>
    <s v="Knee Prosthesis"/>
    <s v="Surgery Services"/>
    <x v="0"/>
    <n v="1001"/>
    <n v="44060.44"/>
    <n v="51739.35"/>
    <n v="30924.25"/>
    <n v="91808.4"/>
    <n v="44748.85"/>
    <n v="65675.27"/>
    <n v="34050"/>
    <n v="30317.5"/>
    <n v="46500.01"/>
    <n v="59340.15"/>
    <n v="65368.52"/>
    <n v="41432.14"/>
    <n v="605964.88"/>
    <n v="23936.379999999997"/>
  </r>
  <r>
    <x v="11"/>
    <x v="0"/>
    <x v="0"/>
    <s v="4400102"/>
    <n v="721120"/>
    <s v="Shoulder Prosthesis"/>
    <s v="Surgery Services"/>
    <x v="0"/>
    <n v="1002"/>
    <n v="4634.7700000000004"/>
    <n v="0"/>
    <n v="0"/>
    <n v="0"/>
    <n v="8000"/>
    <n v="8350"/>
    <n v="2100"/>
    <n v="3050"/>
    <n v="7750"/>
    <n v="21264.35"/>
    <n v="18950"/>
    <n v="7400"/>
    <n v="81499.12"/>
    <n v="11550"/>
  </r>
  <r>
    <x v="11"/>
    <x v="0"/>
    <x v="0"/>
    <s v="4400102"/>
    <n v="721120"/>
    <s v="Joint Prostheses - Other"/>
    <s v="Surgery Services"/>
    <x v="0"/>
    <n v="1003"/>
    <n v="8882.5"/>
    <n v="22267.88"/>
    <n v="12917.31"/>
    <n v="0"/>
    <n v="0"/>
    <n v="7194.3"/>
    <n v="14032.14"/>
    <n v="11497.01"/>
    <n v="2554"/>
    <n v="3415.83"/>
    <n v="811.6"/>
    <n v="0"/>
    <n v="83572.570000000007"/>
    <n v="811.6"/>
  </r>
  <r>
    <x v="11"/>
    <x v="0"/>
    <x v="0"/>
    <s v="4400102"/>
    <n v="721150"/>
    <s v="Supplies-Other Implants - Billable"/>
    <s v="Surgery Services"/>
    <x v="0"/>
    <m/>
    <n v="119784.98"/>
    <n v="53916.78"/>
    <n v="25226.02"/>
    <n v="52586.879999999997"/>
    <n v="67919.460000000006"/>
    <n v="123452"/>
    <n v="53330"/>
    <n v="43782.87"/>
    <n v="78995.06"/>
    <n v="98363.48"/>
    <n v="89200.95"/>
    <n v="105286.87"/>
    <n v="911845.35"/>
    <n v="-16085.919999999998"/>
  </r>
  <r>
    <x v="11"/>
    <x v="0"/>
    <x v="0"/>
    <s v="4400102"/>
    <n v="721150"/>
    <s v="Surgical Orthopedic"/>
    <s v="Surgery Services"/>
    <x v="0"/>
    <n v="1000"/>
    <n v="56949.19"/>
    <n v="37819.4"/>
    <n v="53642.47"/>
    <n v="35713.68"/>
    <n v="55930.6"/>
    <n v="32564.16"/>
    <n v="40586"/>
    <n v="41865.5"/>
    <n v="70565.210000000006"/>
    <n v="28492.78"/>
    <n v="64175.08"/>
    <n v="60548.33"/>
    <n v="578852.4"/>
    <n v="3626.75"/>
  </r>
  <r>
    <x v="11"/>
    <x v="0"/>
    <x v="0"/>
    <s v="4400102"/>
    <n v="721150"/>
    <s v="Fracture Management"/>
    <s v="Surgery Services"/>
    <x v="0"/>
    <n v="1001"/>
    <n v="191577.59"/>
    <n v="113989.69"/>
    <n v="117198.35"/>
    <n v="99438.98"/>
    <n v="95789.29"/>
    <n v="241482.72"/>
    <n v="148542.89000000001"/>
    <n v="116530.75"/>
    <n v="145726.93"/>
    <n v="128689.1"/>
    <n v="118195.82"/>
    <n v="133737.87"/>
    <n v="1650899.98"/>
    <n v="-15542.049999999988"/>
  </r>
  <r>
    <x v="11"/>
    <x v="0"/>
    <x v="0"/>
    <s v="4400102"/>
    <n v="721150"/>
    <s v="Spinal Fixations Internal Syst"/>
    <s v="Surgery Services"/>
    <x v="0"/>
    <n v="1002"/>
    <n v="68048"/>
    <n v="27056.66"/>
    <n v="28034.95"/>
    <n v="40973.379999999997"/>
    <n v="43800.07"/>
    <n v="80574.69"/>
    <n v="42338"/>
    <n v="14508.4"/>
    <n v="59918.25"/>
    <n v="88590.69"/>
    <n v="36086.519999999997"/>
    <n v="98724.41"/>
    <n v="628654.02"/>
    <n v="-62637.890000000007"/>
  </r>
  <r>
    <x v="11"/>
    <x v="0"/>
    <x v="0"/>
    <s v="4400102"/>
    <n v="721150"/>
    <s v="Spinal Implants Biological"/>
    <s v="Surgery Services"/>
    <x v="0"/>
    <n v="1003"/>
    <n v="0"/>
    <n v="0"/>
    <n v="0"/>
    <n v="0"/>
    <n v="0"/>
    <n v="0"/>
    <n v="0"/>
    <n v="0"/>
    <n v="0"/>
    <n v="-106"/>
    <n v="0"/>
    <n v="0"/>
    <n v="-106"/>
    <n v="0"/>
  </r>
  <r>
    <x v="11"/>
    <x v="0"/>
    <x v="0"/>
    <s v="4400102"/>
    <n v="721150"/>
    <s v="Urological Implants"/>
    <s v="Surgery Services"/>
    <x v="0"/>
    <n v="1004"/>
    <n v="20387.560000000001"/>
    <n v="7669"/>
    <n v="18134.419999999998"/>
    <n v="30541.66"/>
    <n v="52821.63"/>
    <n v="23538.28"/>
    <n v="31327.759999999998"/>
    <n v="21280.39"/>
    <n v="22084.39"/>
    <n v="41426.19"/>
    <n v="16289.84"/>
    <n v="8333.02"/>
    <n v="293834.14000000007"/>
    <n v="7956.82"/>
  </r>
  <r>
    <x v="11"/>
    <x v="0"/>
    <x v="0"/>
    <s v="4400102"/>
    <n v="721210"/>
    <s v="Supplies-Anesthesia - Billable"/>
    <s v="Surgery Services"/>
    <x v="0"/>
    <m/>
    <n v="0"/>
    <n v="0"/>
    <n v="0"/>
    <n v="0"/>
    <n v="0"/>
    <n v="0"/>
    <n v="0"/>
    <n v="0"/>
    <n v="0"/>
    <n v="155.75"/>
    <n v="0"/>
    <n v="0"/>
    <n v="155.75"/>
    <n v="0"/>
  </r>
  <r>
    <x v="11"/>
    <x v="0"/>
    <x v="0"/>
    <s v="4400102"/>
    <n v="721240"/>
    <s v="Supplies-IV Solutions/Supplies - Billable"/>
    <s v="Surgery Services"/>
    <x v="0"/>
    <m/>
    <n v="4781.29"/>
    <n v="2438.6799999999998"/>
    <n v="3015.45"/>
    <n v="2039.83"/>
    <n v="2289.3000000000002"/>
    <n v="3176.91"/>
    <n v="3682.83"/>
    <n v="3206.54"/>
    <n v="2495.44"/>
    <n v="3051.84"/>
    <n v="4004.46"/>
    <n v="3662.66"/>
    <n v="37845.229999999996"/>
    <n v="341.80000000000018"/>
  </r>
  <r>
    <x v="11"/>
    <x v="0"/>
    <x v="0"/>
    <s v="4400102"/>
    <n v="721250"/>
    <s v="Supplies-Pharmacy Drugs - Billable"/>
    <s v="Surgery Services"/>
    <x v="0"/>
    <m/>
    <n v="0"/>
    <n v="1126.44"/>
    <n v="0"/>
    <n v="0"/>
    <n v="0"/>
    <n v="137.66999999999999"/>
    <n v="0"/>
    <n v="0"/>
    <n v="1.34"/>
    <n v="0"/>
    <n v="12.32"/>
    <n v="0"/>
    <n v="1277.77"/>
    <n v="12.32"/>
  </r>
  <r>
    <x v="11"/>
    <x v="0"/>
    <x v="0"/>
    <s v="4400102"/>
    <n v="721350"/>
    <s v="Supplies-Film/Radiographic - Billable"/>
    <s v="Surgery Services"/>
    <x v="0"/>
    <m/>
    <n v="0"/>
    <n v="0"/>
    <n v="116.43"/>
    <n v="0"/>
    <n v="0"/>
    <n v="0"/>
    <n v="0"/>
    <n v="0"/>
    <n v="0"/>
    <n v="0"/>
    <n v="0"/>
    <n v="0"/>
    <n v="116.43"/>
    <n v="0"/>
  </r>
  <r>
    <x v="11"/>
    <x v="0"/>
    <x v="0"/>
    <s v="4400102"/>
    <n v="721410"/>
    <s v="Supplies-Medical - Nonbillable"/>
    <s v="Surgery Services"/>
    <x v="0"/>
    <m/>
    <n v="45389.35"/>
    <n v="41539.11"/>
    <n v="32619.18"/>
    <n v="44789.9"/>
    <n v="48965.16"/>
    <n v="40154.800000000003"/>
    <n v="46448.14"/>
    <n v="44166.23"/>
    <n v="55373.05"/>
    <n v="-129213.55"/>
    <n v="59226.39"/>
    <n v="44725.71"/>
    <n v="374183.47000000003"/>
    <n v="14500.68"/>
  </r>
  <r>
    <x v="11"/>
    <x v="0"/>
    <x v="0"/>
    <s v="4400102"/>
    <n v="721410"/>
    <s v="Patient Monitoring"/>
    <s v="Surgery Services"/>
    <x v="0"/>
    <n v="1000"/>
    <n v="19.43"/>
    <n v="0"/>
    <n v="164.32"/>
    <n v="9.5299999999999994"/>
    <n v="1215.6199999999999"/>
    <n v="11640.04"/>
    <n v="1164.94"/>
    <n v="3.17"/>
    <n v="12523.49"/>
    <n v="1161.6099999999999"/>
    <n v="94.16"/>
    <n v="0"/>
    <n v="27996.31"/>
    <n v="94.16"/>
  </r>
  <r>
    <x v="11"/>
    <x v="0"/>
    <x v="0"/>
    <s v="4400102"/>
    <n v="721420"/>
    <s v="Supplies-Surgical Nonbillable"/>
    <s v="Surgery Services"/>
    <x v="0"/>
    <m/>
    <n v="36191.21"/>
    <n v="25244.28"/>
    <n v="48102.73"/>
    <n v="45627.73"/>
    <n v="40823.269999999997"/>
    <n v="41614.019999999997"/>
    <n v="85242.240000000005"/>
    <n v="44861.66"/>
    <n v="63975.93"/>
    <n v="44836"/>
    <n v="46574.94"/>
    <n v="43357.13"/>
    <n v="566451.14"/>
    <n v="3217.8100000000049"/>
  </r>
  <r>
    <x v="11"/>
    <x v="0"/>
    <x v="0"/>
    <s v="4400102"/>
    <n v="721420"/>
    <s v="Endomechanical Supplies &amp; Instruments"/>
    <s v="Surgery Services"/>
    <x v="0"/>
    <n v="1003"/>
    <n v="0"/>
    <n v="0"/>
    <n v="0"/>
    <n v="0"/>
    <n v="0"/>
    <n v="500"/>
    <n v="50"/>
    <n v="0"/>
    <n v="0"/>
    <n v="0"/>
    <n v="0"/>
    <n v="0"/>
    <n v="550"/>
    <n v="0"/>
  </r>
  <r>
    <x v="11"/>
    <x v="0"/>
    <x v="0"/>
    <s v="4400102"/>
    <n v="721420"/>
    <s v="Tubes Drains &amp; Related Supplies"/>
    <s v="Surgery Services"/>
    <x v="0"/>
    <n v="1008"/>
    <n v="2862.12"/>
    <n v="2498.8200000000002"/>
    <n v="4700.12"/>
    <n v="2037.91"/>
    <n v="2145.5100000000002"/>
    <n v="2249.9"/>
    <n v="3142.48"/>
    <n v="1038.81"/>
    <n v="1184.32"/>
    <n v="991.67"/>
    <n v="1165.02"/>
    <n v="1572.13"/>
    <n v="25588.81"/>
    <n v="-407.11000000000013"/>
  </r>
  <r>
    <x v="11"/>
    <x v="0"/>
    <x v="0"/>
    <s v="4400102"/>
    <n v="721420"/>
    <s v="Sterilization Process Products"/>
    <s v="Surgery Services"/>
    <x v="0"/>
    <n v="1009"/>
    <n v="7350.13"/>
    <n v="1244.1600000000001"/>
    <n v="727.14"/>
    <n v="785.63"/>
    <n v="1181.2"/>
    <n v="274.63"/>
    <n v="780.44"/>
    <n v="3895.97"/>
    <n v="6612.79"/>
    <n v="5187.4399999999996"/>
    <n v="6455.84"/>
    <n v="-34495.370000000003"/>
    <n v="0"/>
    <n v="40951.210000000006"/>
  </r>
  <r>
    <x v="11"/>
    <x v="0"/>
    <x v="0"/>
    <s v="4400102"/>
    <n v="721610"/>
    <s v="Supplies-Anesthesia - Nonbillable"/>
    <s v="Surgery Services"/>
    <x v="0"/>
    <m/>
    <n v="5977.85"/>
    <n v="4265.68"/>
    <n v="3908.99"/>
    <n v="5427.9"/>
    <n v="4903.95"/>
    <n v="4855.51"/>
    <n v="8163.79"/>
    <n v="5293.28"/>
    <n v="6955.47"/>
    <n v="6391.45"/>
    <n v="7239.52"/>
    <n v="14368.43"/>
    <n v="77751.820000000007"/>
    <n v="-7128.91"/>
  </r>
  <r>
    <x v="11"/>
    <x v="0"/>
    <x v="0"/>
    <s v="4400102"/>
    <n v="721640"/>
    <s v="Supplies-IV Solutions/Supplies - Nonbillable"/>
    <s v="Surgery Services"/>
    <x v="0"/>
    <m/>
    <n v="5021.5600000000004"/>
    <n v="5108.21"/>
    <n v="4545.1499999999996"/>
    <n v="6552.34"/>
    <n v="4453.25"/>
    <n v="3533.87"/>
    <n v="3888.49"/>
    <n v="1685.69"/>
    <n v="2303.42"/>
    <n v="1976.58"/>
    <n v="1776.68"/>
    <n v="1763.47"/>
    <n v="42608.710000000006"/>
    <n v="13.210000000000036"/>
  </r>
  <r>
    <x v="11"/>
    <x v="0"/>
    <x v="0"/>
    <s v="4400102"/>
    <n v="721650"/>
    <s v="Supplies-Pharmacy Drugs - Nonbillable"/>
    <s v="Surgery Services"/>
    <x v="0"/>
    <m/>
    <n v="308.51"/>
    <n v="42.36"/>
    <n v="136.93"/>
    <n v="160.07"/>
    <n v="332.08"/>
    <n v="387.26"/>
    <n v="58.17"/>
    <n v="574"/>
    <n v="408.94"/>
    <n v="510.5"/>
    <n v="64.790000000000006"/>
    <n v="253.47"/>
    <n v="3237.08"/>
    <n v="-188.68"/>
  </r>
  <r>
    <x v="11"/>
    <x v="0"/>
    <x v="0"/>
    <s v="4400102"/>
    <n v="721710"/>
    <s v="Supplies-Laboratory - Nonbillable"/>
    <s v="Surgery Services"/>
    <x v="0"/>
    <m/>
    <n v="2638.08"/>
    <n v="335.09"/>
    <n v="2639.86"/>
    <n v="514.73"/>
    <n v="1502.53"/>
    <n v="1301.25"/>
    <n v="2335.12"/>
    <n v="478.56"/>
    <n v="1638.6"/>
    <n v="1455.04"/>
    <n v="2702.97"/>
    <n v="1447.39"/>
    <n v="18989.22"/>
    <n v="1255.5799999999997"/>
  </r>
  <r>
    <x v="11"/>
    <x v="0"/>
    <x v="0"/>
    <s v="4400102"/>
    <n v="721710"/>
    <s v="Reagents"/>
    <s v="Surgery Services"/>
    <x v="0"/>
    <n v="1000"/>
    <n v="69.569999999999993"/>
    <n v="317.44"/>
    <n v="23.19"/>
    <n v="344.16"/>
    <n v="0"/>
    <n v="100.33"/>
    <n v="13.65"/>
    <n v="123.52"/>
    <n v="247.03"/>
    <n v="135.53"/>
    <n v="110.38"/>
    <n v="-3.2"/>
    <n v="1481.6000000000001"/>
    <n v="113.58"/>
  </r>
  <r>
    <x v="11"/>
    <x v="0"/>
    <x v="0"/>
    <s v="4400102"/>
    <n v="721750"/>
    <s v="Supplies-Film/Radiographic - Nonbillable"/>
    <s v="Surgery Services"/>
    <x v="0"/>
    <m/>
    <n v="93.15"/>
    <n v="97.17"/>
    <n v="430.81"/>
    <n v="156.30000000000001"/>
    <n v="-86.87"/>
    <n v="27.92"/>
    <n v="265.86"/>
    <n v="168.14"/>
    <n v="139.83000000000001"/>
    <n v="152.71"/>
    <n v="100.56"/>
    <n v="1533.17"/>
    <n v="3078.75"/>
    <n v="-1432.6100000000001"/>
  </r>
  <r>
    <x v="11"/>
    <x v="0"/>
    <x v="0"/>
    <s v="4400102"/>
    <n v="721810"/>
    <s v="Supplies-Dietary/Cafeteria"/>
    <s v="Surgery Services"/>
    <x v="0"/>
    <m/>
    <n v="7960.26"/>
    <n v="6639.62"/>
    <n v="6622.07"/>
    <n v="7492.59"/>
    <n v="6113.48"/>
    <n v="6133"/>
    <n v="7044.85"/>
    <n v="6055.89"/>
    <n v="7058.95"/>
    <n v="6629.51"/>
    <n v="6537.71"/>
    <n v="6363.19"/>
    <n v="80651.12000000001"/>
    <n v="174.52000000000044"/>
  </r>
  <r>
    <x v="11"/>
    <x v="0"/>
    <x v="0"/>
    <s v="4400102"/>
    <n v="721830"/>
    <s v="Supplies-Office"/>
    <s v="Surgery Services"/>
    <x v="0"/>
    <m/>
    <n v="2943.77"/>
    <n v="3508.16"/>
    <n v="1908.83"/>
    <n v="413.54"/>
    <n v="852.59"/>
    <n v="2823.63"/>
    <n v="2255.1"/>
    <n v="1163.8900000000001"/>
    <n v="3392.32"/>
    <n v="-83.94"/>
    <n v="488.75"/>
    <n v="300.83999999999997"/>
    <n v="19967.480000000003"/>
    <n v="187.91000000000003"/>
  </r>
  <r>
    <x v="11"/>
    <x v="0"/>
    <x v="0"/>
    <s v="4400102"/>
    <n v="721835"/>
    <s v="Supplies-Forms"/>
    <s v="Surgery Services"/>
    <x v="0"/>
    <m/>
    <n v="0"/>
    <n v="0"/>
    <n v="0"/>
    <n v="0"/>
    <n v="94.73"/>
    <n v="1"/>
    <n v="9.6999999999999993"/>
    <n v="0"/>
    <n v="89.7"/>
    <n v="0.5"/>
    <n v="1.5"/>
    <n v="2"/>
    <n v="199.13"/>
    <n v="-0.5"/>
  </r>
  <r>
    <x v="11"/>
    <x v="0"/>
    <x v="0"/>
    <s v="4400102"/>
    <n v="721870"/>
    <s v="Supplies-Environmental Services"/>
    <s v="Surgery Services"/>
    <x v="0"/>
    <m/>
    <n v="1062.98"/>
    <n v="633.44000000000005"/>
    <n v="1002.97"/>
    <n v="310.83999999999997"/>
    <n v="1202.6400000000001"/>
    <n v="326.32"/>
    <n v="751.6"/>
    <n v="149.74"/>
    <n v="747.39"/>
    <n v="1224.47"/>
    <n v="677.7"/>
    <n v="343.4"/>
    <n v="8433.4900000000016"/>
    <n v="334.30000000000007"/>
  </r>
  <r>
    <x v="11"/>
    <x v="0"/>
    <x v="0"/>
    <s v="4400102"/>
    <n v="721880"/>
    <s v="Supplies-Linen"/>
    <s v="Surgery Services"/>
    <x v="0"/>
    <m/>
    <n v="423.72"/>
    <n v="224.7"/>
    <n v="134.82"/>
    <n v="224.7"/>
    <n v="64.2"/>
    <n v="64.2"/>
    <n v="192.6"/>
    <n v="128.4"/>
    <n v="321"/>
    <n v="385.2"/>
    <n v="256.8"/>
    <n v="64.2"/>
    <n v="2484.54"/>
    <n v="192.60000000000002"/>
  </r>
  <r>
    <x v="11"/>
    <x v="0"/>
    <x v="0"/>
    <s v="4400102"/>
    <n v="721910"/>
    <s v="Supplies-Small Equipment"/>
    <s v="Surgery Services"/>
    <x v="0"/>
    <m/>
    <n v="18927.78"/>
    <n v="30997.279999999999"/>
    <n v="23488.16"/>
    <n v="18829.580000000002"/>
    <n v="18811.18"/>
    <n v="7512.53"/>
    <n v="-14121.93"/>
    <n v="8590.8700000000008"/>
    <n v="25128.41"/>
    <n v="12363.22"/>
    <n v="9024.36"/>
    <n v="24611.26"/>
    <n v="184162.7"/>
    <n v="-15586.899999999998"/>
  </r>
  <r>
    <x v="11"/>
    <x v="0"/>
    <x v="0"/>
    <s v="4400102"/>
    <n v="721910"/>
    <s v="Instruments"/>
    <s v="Surgery Services"/>
    <x v="0"/>
    <n v="1000"/>
    <n v="28224.5"/>
    <n v="28446.28"/>
    <n v="19572.57"/>
    <n v="15079.76"/>
    <n v="15991.04"/>
    <n v="40527.519999999997"/>
    <n v="17291.759999999998"/>
    <n v="15872.59"/>
    <n v="32966.879999999997"/>
    <n v="19856.240000000002"/>
    <n v="14528.36"/>
    <n v="10493.38"/>
    <n v="258850.88"/>
    <n v="4034.9800000000014"/>
  </r>
  <r>
    <x v="11"/>
    <x v="0"/>
    <x v="0"/>
    <s v="4400102"/>
    <n v="721980"/>
    <s v="Supplies-Other"/>
    <s v="Surgery Services"/>
    <x v="0"/>
    <m/>
    <n v="663.16"/>
    <n v="712.39"/>
    <n v="1997.1"/>
    <n v="490.64"/>
    <n v="1502"/>
    <n v="2525.6799999999998"/>
    <n v="5774.93"/>
    <n v="0"/>
    <n v="372.79"/>
    <n v="210.59"/>
    <n v="13.98"/>
    <n v="-25.77"/>
    <n v="14237.49"/>
    <n v="39.75"/>
  </r>
  <r>
    <x v="11"/>
    <x v="0"/>
    <x v="0"/>
    <s v="4400102"/>
    <n v="722000"/>
    <s v="Supplies-Freight Expense"/>
    <s v="Surgery Services"/>
    <x v="0"/>
    <m/>
    <n v="4398.74"/>
    <n v="5803.04"/>
    <n v="1490.88"/>
    <n v="4634.37"/>
    <n v="2688.73"/>
    <n v="5424.5"/>
    <n v="8456.9699999999993"/>
    <n v="2266.6999999999998"/>
    <n v="6938.78"/>
    <n v="5952.59"/>
    <n v="4087.29"/>
    <n v="4377.03"/>
    <n v="56519.619999999988"/>
    <n v="-289.73999999999978"/>
  </r>
  <r>
    <x v="11"/>
    <x v="0"/>
    <x v="0"/>
    <s v="4400102"/>
    <n v="722000"/>
    <s v="Minimum Order Fees"/>
    <s v="Surgery Services"/>
    <x v="0"/>
    <n v="1000"/>
    <n v="0"/>
    <n v="71.66"/>
    <n v="0"/>
    <n v="17.010000000000002"/>
    <n v="0"/>
    <n v="0"/>
    <n v="0"/>
    <n v="0"/>
    <n v="0"/>
    <n v="0"/>
    <n v="0"/>
    <n v="1254.57"/>
    <n v="1343.24"/>
    <n v="-1254.57"/>
  </r>
  <r>
    <x v="11"/>
    <x v="0"/>
    <x v="0"/>
    <s v="4400102"/>
    <n v="722000"/>
    <s v="Rush Order Fees"/>
    <s v="Surgery Services"/>
    <x v="0"/>
    <n v="1005"/>
    <n v="0"/>
    <n v="0"/>
    <n v="0"/>
    <n v="82.5"/>
    <n v="0"/>
    <n v="0"/>
    <n v="0"/>
    <n v="0"/>
    <n v="0"/>
    <n v="0"/>
    <n v="0"/>
    <n v="0"/>
    <n v="82.5"/>
    <n v="0"/>
  </r>
  <r>
    <x v="11"/>
    <x v="0"/>
    <x v="0"/>
    <s v="4400102"/>
    <n v="723000"/>
    <s v="Supply Rebates/Patronage Dividend"/>
    <s v="Surgery Services"/>
    <x v="0"/>
    <m/>
    <n v="0"/>
    <n v="0"/>
    <n v="-6992.3"/>
    <n v="0"/>
    <n v="0"/>
    <n v="-8045.09"/>
    <n v="0"/>
    <n v="0"/>
    <n v="-7847.67"/>
    <n v="0"/>
    <n v="0"/>
    <n v="-16083.41"/>
    <n v="-38968.47"/>
    <n v="16083.41"/>
  </r>
  <r>
    <x v="12"/>
    <x v="0"/>
    <x v="0"/>
    <s v="4400102"/>
    <n v="730020"/>
    <s v="Rental and Leases-Equipment (DO NOT USE)"/>
    <s v="Surgery Services"/>
    <x v="0"/>
    <m/>
    <n v="16576.72"/>
    <n v="12728.27"/>
    <n v="10608.89"/>
    <n v="12225.77"/>
    <n v="10325.049999999999"/>
    <n v="13653.11"/>
    <n v="3441.83"/>
    <n v="5717"/>
    <n v="9099.9"/>
    <n v="11274.42"/>
    <n v="10034.84"/>
    <n v="12217.46"/>
    <n v="127903.26000000001"/>
    <n v="-2182.619999999999"/>
  </r>
  <r>
    <x v="12"/>
    <x v="0"/>
    <x v="0"/>
    <s v="4400102"/>
    <n v="730020"/>
    <s v="Rental and Leases-Copier Usage Fees (DO NOT USE)"/>
    <s v="Surgery Services"/>
    <x v="0"/>
    <n v="5100"/>
    <n v="629.75"/>
    <n v="643.27"/>
    <n v="636.51"/>
    <n v="636.51"/>
    <n v="636.51"/>
    <n v="636.51"/>
    <n v="481.47"/>
    <n v="548.21"/>
    <n v="547.05999999999995"/>
    <n v="830.44"/>
    <n v="538.48"/>
    <n v="602.70000000000005"/>
    <n v="7367.420000000001"/>
    <n v="-64.220000000000027"/>
  </r>
  <r>
    <x v="15"/>
    <x v="0"/>
    <x v="0"/>
    <s v="4400102"/>
    <n v="731060"/>
    <s v="Cell Phones"/>
    <s v="Surgery Services"/>
    <x v="0"/>
    <n v="1001"/>
    <n v="0"/>
    <n v="33.020000000000003"/>
    <n v="66.03"/>
    <n v="0"/>
    <n v="32.5"/>
    <n v="33.11"/>
    <n v="66.16"/>
    <n v="0"/>
    <n v="33.58"/>
    <n v="66.27"/>
    <n v="32.5"/>
    <n v="33.15"/>
    <n v="396.32"/>
    <n v="-0.64999999999999858"/>
  </r>
  <r>
    <x v="15"/>
    <x v="0"/>
    <x v="0"/>
    <s v="4400102"/>
    <n v="731060"/>
    <s v="Pagers"/>
    <s v="Surgery Services"/>
    <x v="0"/>
    <n v="1002"/>
    <n v="59.93"/>
    <n v="59.93"/>
    <n v="32.4"/>
    <n v="32.479999999999997"/>
    <n v="32.479999999999997"/>
    <n v="0"/>
    <n v="55.76"/>
    <n v="24.36"/>
    <n v="24.36"/>
    <n v="24.36"/>
    <n v="24.36"/>
    <n v="24.36"/>
    <n v="394.78000000000003"/>
    <n v="0"/>
  </r>
  <r>
    <x v="16"/>
    <x v="0"/>
    <x v="0"/>
    <s v="4400102"/>
    <n v="732015"/>
    <s v="Repairs-Clinical Equip-T&amp;M-Ext to CHI Programs"/>
    <s v="Surgery Services"/>
    <x v="0"/>
    <m/>
    <n v="0"/>
    <n v="0"/>
    <n v="0"/>
    <n v="-320.5"/>
    <n v="0"/>
    <n v="0"/>
    <n v="275.08999999999997"/>
    <n v="657.24"/>
    <n v="0"/>
    <n v="18159.46"/>
    <n v="2871.46"/>
    <n v="1683.94"/>
    <n v="23326.69"/>
    <n v="1187.52"/>
  </r>
  <r>
    <x v="16"/>
    <x v="0"/>
    <x v="0"/>
    <s v="4400102"/>
    <n v="732020"/>
    <s v="Repairs--Clin Equip-Parts-Internal to CHI Programs"/>
    <s v="Surgery Services"/>
    <x v="0"/>
    <m/>
    <n v="1359.58"/>
    <n v="1227.8399999999999"/>
    <n v="1335.85"/>
    <n v="1749.36"/>
    <n v="1081.33"/>
    <n v="857.89"/>
    <n v="1256.6500000000001"/>
    <n v="1366.6"/>
    <n v="1665.39"/>
    <n v="1711.55"/>
    <n v="1700.49"/>
    <n v="1530.38"/>
    <n v="16842.91"/>
    <n v="170.1099999999999"/>
  </r>
  <r>
    <x v="16"/>
    <x v="0"/>
    <x v="0"/>
    <s v="4400102"/>
    <n v="732030"/>
    <s v="Repairs---Other"/>
    <s v="Surgery Services"/>
    <x v="0"/>
    <m/>
    <n v="0"/>
    <n v="0"/>
    <n v="446.88"/>
    <n v="0"/>
    <n v="5831.34"/>
    <n v="368.5"/>
    <n v="3531"/>
    <n v="0"/>
    <n v="0"/>
    <n v="0"/>
    <n v="746.12"/>
    <n v="0"/>
    <n v="10923.840000000002"/>
    <n v="746.12"/>
  </r>
  <r>
    <x v="16"/>
    <x v="0"/>
    <x v="0"/>
    <s v="4400102"/>
    <n v="733030"/>
    <s v="Maintenance Contracts-Other"/>
    <s v="Surgery Services"/>
    <x v="0"/>
    <m/>
    <n v="23078.91"/>
    <n v="23078.91"/>
    <n v="23078.91"/>
    <n v="23078.91"/>
    <n v="23078.91"/>
    <n v="23078.91"/>
    <n v="0"/>
    <n v="46157.82"/>
    <n v="23326.41"/>
    <n v="23078.91"/>
    <n v="23078.91"/>
    <n v="23078.91"/>
    <n v="277194.42"/>
    <n v="0"/>
  </r>
  <r>
    <x v="13"/>
    <x v="0"/>
    <x v="0"/>
    <s v="4400102"/>
    <n v="735040"/>
    <s v="Depreciation-Building Improvements"/>
    <s v="Surgery Services"/>
    <x v="0"/>
    <m/>
    <n v="1020.62"/>
    <n v="1020.61"/>
    <n v="1020.62"/>
    <n v="2601.89"/>
    <n v="2601.9"/>
    <n v="2601.89"/>
    <n v="2601.9"/>
    <n v="2601.88"/>
    <n v="2601.91"/>
    <n v="2601.88"/>
    <n v="2601.92"/>
    <n v="2601.88"/>
    <n v="26478.899999999998"/>
    <n v="3.999999999996362E-2"/>
  </r>
  <r>
    <x v="13"/>
    <x v="0"/>
    <x v="0"/>
    <s v="4400102"/>
    <n v="735060"/>
    <s v="Depreciation-Fixed Equipment"/>
    <s v="Surgery Services"/>
    <x v="0"/>
    <m/>
    <n v="53.2"/>
    <n v="53.2"/>
    <n v="53.2"/>
    <n v="2057"/>
    <n v="2057"/>
    <n v="2057"/>
    <n v="2057.0100000000002"/>
    <n v="2057"/>
    <n v="2057.0100000000002"/>
    <n v="2056.9899999999998"/>
    <n v="2057.0100000000002"/>
    <n v="2056.9899999999998"/>
    <n v="18672.61"/>
    <n v="2.0000000000436557E-2"/>
  </r>
  <r>
    <x v="13"/>
    <x v="0"/>
    <x v="0"/>
    <s v="4400102"/>
    <n v="735070"/>
    <s v="Depreciation-Movable Equipment"/>
    <s v="Surgery Services"/>
    <x v="0"/>
    <m/>
    <n v="203557.42"/>
    <n v="203557.31"/>
    <n v="203557.47"/>
    <n v="204054.85"/>
    <n v="200993.33"/>
    <n v="200611.13"/>
    <n v="234479.52"/>
    <n v="202707.45"/>
    <n v="236911.73"/>
    <n v="236911.19"/>
    <n v="239014.18"/>
    <n v="238471.54"/>
    <n v="2604827.12"/>
    <n v="542.63999999998487"/>
  </r>
  <r>
    <x v="13"/>
    <x v="0"/>
    <x v="0"/>
    <s v="4400102"/>
    <n v="735070"/>
    <s v="Depreciation-DaVinci Robot"/>
    <s v="Surgery Services"/>
    <x v="0"/>
    <n v="1000"/>
    <n v="70222.149999999994"/>
    <n v="70222.149999999994"/>
    <n v="70222.149999999994"/>
    <n v="70222.149999999994"/>
    <n v="70222.16"/>
    <n v="70222.14"/>
    <n v="70222.16"/>
    <n v="79281.05"/>
    <n v="77057.649999999994"/>
    <n v="77057.62"/>
    <n v="77057.649999999994"/>
    <n v="77057.61"/>
    <n v="879066.64000000013"/>
    <n v="3.9999999993597157E-2"/>
  </r>
  <r>
    <x v="0"/>
    <x v="0"/>
    <x v="0"/>
    <s v="4400102"/>
    <n v="740010"/>
    <s v="Education-Materials"/>
    <s v="Surgery Services"/>
    <x v="0"/>
    <m/>
    <n v="0"/>
    <n v="0"/>
    <n v="0"/>
    <n v="0"/>
    <n v="0"/>
    <n v="174.07"/>
    <n v="0"/>
    <n v="0"/>
    <n v="0"/>
    <n v="0"/>
    <n v="51.5"/>
    <n v="0"/>
    <n v="225.57"/>
    <n v="51.5"/>
  </r>
  <r>
    <x v="0"/>
    <x v="0"/>
    <x v="0"/>
    <s v="4400102"/>
    <n v="740020"/>
    <s v="Education-Registration Fees"/>
    <s v="Surgery Services"/>
    <x v="0"/>
    <m/>
    <n v="154.57"/>
    <n v="0"/>
    <n v="350"/>
    <n v="648.24"/>
    <n v="490"/>
    <n v="190"/>
    <n v="0"/>
    <n v="0"/>
    <n v="0"/>
    <n v="445"/>
    <n v="660.6"/>
    <n v="0"/>
    <n v="2938.41"/>
    <n v="660.6"/>
  </r>
  <r>
    <x v="0"/>
    <x v="0"/>
    <x v="0"/>
    <s v="4400102"/>
    <n v="742030"/>
    <s v="Freight-Courier"/>
    <s v="Surgery Services"/>
    <x v="0"/>
    <m/>
    <n v="0"/>
    <n v="0"/>
    <n v="0"/>
    <n v="0"/>
    <n v="0"/>
    <n v="0"/>
    <n v="0"/>
    <n v="0"/>
    <n v="0"/>
    <n v="0"/>
    <n v="0"/>
    <n v="446"/>
    <n v="446"/>
    <n v="-446"/>
  </r>
  <r>
    <x v="0"/>
    <x v="0"/>
    <x v="0"/>
    <s v="4400102"/>
    <n v="742040"/>
    <s v="Freight-Other"/>
    <s v="Surgery Services"/>
    <x v="0"/>
    <m/>
    <n v="0"/>
    <n v="0"/>
    <n v="0"/>
    <n v="0"/>
    <n v="0"/>
    <n v="0"/>
    <n v="0"/>
    <n v="0"/>
    <n v="0"/>
    <n v="0"/>
    <n v="0"/>
    <n v="26.78"/>
    <n v="26.78"/>
    <n v="-26.78"/>
  </r>
  <r>
    <x v="0"/>
    <x v="0"/>
    <x v="0"/>
    <s v="4400102"/>
    <n v="743020"/>
    <s v="Dues--Individual"/>
    <s v="Surgery Services"/>
    <x v="0"/>
    <m/>
    <n v="0"/>
    <n v="0"/>
    <n v="0"/>
    <n v="0"/>
    <n v="0"/>
    <n v="0"/>
    <n v="0"/>
    <n v="0"/>
    <n v="0"/>
    <n v="169"/>
    <n v="0"/>
    <n v="445"/>
    <n v="614"/>
    <n v="-445"/>
  </r>
  <r>
    <x v="0"/>
    <x v="0"/>
    <x v="0"/>
    <s v="4400102"/>
    <n v="743030"/>
    <s v="Subscriptions--Institutional"/>
    <s v="Surgery Services"/>
    <x v="0"/>
    <m/>
    <n v="0"/>
    <n v="0"/>
    <n v="211.82"/>
    <n v="0"/>
    <n v="558.12"/>
    <n v="35.08"/>
    <n v="1194.42"/>
    <n v="0"/>
    <n v="555"/>
    <n v="0"/>
    <n v="0"/>
    <n v="0"/>
    <n v="2554.44"/>
    <n v="0"/>
  </r>
  <r>
    <x v="0"/>
    <x v="0"/>
    <x v="0"/>
    <s v="4400102"/>
    <n v="749510"/>
    <s v="Miscellaneous Expenses"/>
    <s v="Surgery Services"/>
    <x v="0"/>
    <m/>
    <n v="-1630.59"/>
    <n v="17813.650000000001"/>
    <n v="31512.25"/>
    <n v="-30704.01"/>
    <n v="654.29"/>
    <n v="-709.21"/>
    <n v="187.12"/>
    <n v="49.16"/>
    <n v="-36.229999999999997"/>
    <n v="2092.33"/>
    <n v="-511.3"/>
    <n v="242.92"/>
    <n v="18960.38"/>
    <n v="-754.22"/>
  </r>
  <r>
    <x v="0"/>
    <x v="0"/>
    <x v="0"/>
    <s v="4400102"/>
    <n v="749510"/>
    <s v="Licenses"/>
    <s v="Surgery Services"/>
    <x v="0"/>
    <n v="1002"/>
    <n v="800"/>
    <n v="800"/>
    <n v="0"/>
    <n v="0"/>
    <n v="0"/>
    <n v="2400"/>
    <n v="800"/>
    <n v="1600"/>
    <n v="800"/>
    <n v="800"/>
    <n v="800"/>
    <n v="1245"/>
    <n v="10045"/>
    <n v="-445"/>
  </r>
  <r>
    <x v="0"/>
    <x v="0"/>
    <x v="0"/>
    <s v="4400102"/>
    <n v="749510"/>
    <s v="Special Events"/>
    <s v="Surgery Services"/>
    <x v="0"/>
    <n v="4300"/>
    <n v="0"/>
    <n v="59.4"/>
    <n v="150"/>
    <n v="0"/>
    <n v="194.79"/>
    <n v="0"/>
    <n v="0"/>
    <n v="0"/>
    <n v="0"/>
    <n v="0"/>
    <n v="0"/>
    <n v="0"/>
    <n v="404.19"/>
    <n v="0"/>
  </r>
  <r>
    <x v="0"/>
    <x v="0"/>
    <x v="0"/>
    <s v="4400102"/>
    <n v="749510"/>
    <s v="RICE Rewards"/>
    <s v="Surgery Services"/>
    <x v="0"/>
    <n v="5100"/>
    <n v="0"/>
    <n v="0"/>
    <n v="0"/>
    <n v="0"/>
    <n v="0"/>
    <n v="0"/>
    <n v="1681.25"/>
    <n v="0"/>
    <n v="0"/>
    <n v="214.81"/>
    <n v="0"/>
    <n v="0"/>
    <n v="1896.06"/>
    <n v="0"/>
  </r>
  <r>
    <x v="0"/>
    <x v="0"/>
    <x v="0"/>
    <s v="4400102"/>
    <n v="749530"/>
    <s v="Travel"/>
    <s v="Surgery Services"/>
    <x v="0"/>
    <m/>
    <n v="0"/>
    <n v="62.76"/>
    <n v="0"/>
    <n v="0"/>
    <n v="0"/>
    <n v="1129.67"/>
    <n v="782.83"/>
    <n v="0"/>
    <n v="0"/>
    <n v="0"/>
    <n v="1377.06"/>
    <n v="1892.98"/>
    <n v="5245.3"/>
    <n v="-515.92000000000007"/>
  </r>
  <r>
    <x v="0"/>
    <x v="0"/>
    <x v="0"/>
    <s v="4400102"/>
    <n v="749530"/>
    <s v="Mileage"/>
    <s v="Surgery Services"/>
    <x v="0"/>
    <n v="1001"/>
    <n v="57.77"/>
    <n v="105.19"/>
    <n v="19.62"/>
    <n v="227.27"/>
    <n v="26.16"/>
    <n v="98.66"/>
    <n v="211.46"/>
    <n v="35.380000000000003"/>
    <n v="20.88"/>
    <n v="49.88"/>
    <n v="19.14"/>
    <n v="46.4"/>
    <n v="917.81000000000006"/>
    <n v="-27.259999999999998"/>
  </r>
  <r>
    <x v="0"/>
    <x v="0"/>
    <x v="0"/>
    <s v="4400102"/>
    <n v="749535"/>
    <s v="Meetings"/>
    <s v="Surgery Services"/>
    <x v="0"/>
    <m/>
    <n v="0"/>
    <n v="158"/>
    <n v="0"/>
    <n v="0"/>
    <n v="0"/>
    <n v="0"/>
    <n v="45.95"/>
    <n v="0"/>
    <n v="0"/>
    <n v="0"/>
    <n v="0"/>
    <n v="0"/>
    <n v="203.95"/>
    <n v="0"/>
  </r>
  <r>
    <x v="0"/>
    <x v="0"/>
    <x v="0"/>
    <s v="4400102"/>
    <n v="766010"/>
    <s v="Property Tax"/>
    <s v="Surgery Services"/>
    <x v="0"/>
    <m/>
    <n v="0"/>
    <n v="0"/>
    <n v="0"/>
    <n v="12376.28"/>
    <n v="0"/>
    <n v="0"/>
    <n v="0"/>
    <n v="0"/>
    <n v="0"/>
    <n v="0"/>
    <n v="0"/>
    <n v="0"/>
    <n v="12376.28"/>
    <n v="0"/>
  </r>
  <r>
    <x v="18"/>
    <x v="4"/>
    <x v="0"/>
    <s v="4400103"/>
    <n v="400010"/>
    <s v="Acute I/P Svcs Rev--Medicare"/>
    <s v="Surgery Services"/>
    <x v="0"/>
    <n v="1100"/>
    <n v="-2330804.61"/>
    <n v="-2518280.41"/>
    <n v="-2226500.4900000002"/>
    <n v="-2939594.11"/>
    <n v="-3212137.15"/>
    <n v="-2550353.2000000002"/>
    <n v="-2579820.58"/>
    <n v="-2397540.08"/>
    <n v="-2944591.81"/>
    <n v="-2012053.43"/>
    <n v="-2885783.84"/>
    <n v="-1876707.6"/>
    <n v="-30474167.309999995"/>
    <n v="-1009076.2399999998"/>
  </r>
  <r>
    <x v="18"/>
    <x v="4"/>
    <x v="0"/>
    <s v="4400103"/>
    <n v="400010"/>
    <s v="Acute I/P Svcs Rev--Medicaid"/>
    <s v="Surgery Services"/>
    <x v="0"/>
    <n v="1200"/>
    <n v="-956422.05"/>
    <n v="-534228.76"/>
    <n v="-769900.69"/>
    <n v="-768989.04"/>
    <n v="-575458.01"/>
    <n v="-696460.22"/>
    <n v="-903485.81"/>
    <n v="-874068.13"/>
    <n v="-575978.62"/>
    <n v="-811914.22"/>
    <n v="-477085.85"/>
    <n v="-628995.99"/>
    <n v="-8572987.3899999987"/>
    <n v="151910.14000000001"/>
  </r>
  <r>
    <x v="18"/>
    <x v="4"/>
    <x v="0"/>
    <s v="4400103"/>
    <n v="400010"/>
    <s v="Acute I/P Svcs Rev--Comm Insurance"/>
    <s v="Surgery Services"/>
    <x v="0"/>
    <n v="1300"/>
    <n v="-277386.76"/>
    <n v="-161639.82999999999"/>
    <n v="125239.55"/>
    <n v="-181792.89"/>
    <n v="-3071.57"/>
    <n v="-113686.64"/>
    <n v="-291504.82"/>
    <n v="-41148.080000000002"/>
    <n v="32586.95"/>
    <n v="124892.57"/>
    <n v="-170307"/>
    <n v="-228747.53"/>
    <n v="-1186566.05"/>
    <n v="58440.53"/>
  </r>
  <r>
    <x v="18"/>
    <x v="4"/>
    <x v="0"/>
    <s v="4400103"/>
    <n v="400010"/>
    <s v="Acute I/P Svcs Rev--BCBS Comm"/>
    <s v="Surgery Services"/>
    <x v="0"/>
    <n v="1301"/>
    <n v="-76226.98"/>
    <n v="-299166.46000000002"/>
    <n v="-235414.28"/>
    <n v="-351230.5"/>
    <n v="-289278.59000000003"/>
    <n v="-505211.77"/>
    <n v="-354232.98"/>
    <n v="-294504.56"/>
    <n v="-323212.05"/>
    <n v="-739004.54"/>
    <n v="-40169.370000000003"/>
    <n v="-473607.47"/>
    <n v="-3981259.55"/>
    <n v="433438.1"/>
  </r>
  <r>
    <x v="18"/>
    <x v="4"/>
    <x v="0"/>
    <s v="4400103"/>
    <n v="400010"/>
    <s v="Acute I/P Svcs Rev--Managed Care"/>
    <s v="Surgery Services"/>
    <x v="0"/>
    <n v="1400"/>
    <n v="-803293.5"/>
    <n v="-805441.18"/>
    <n v="-299760.03000000003"/>
    <n v="-738131.46"/>
    <n v="-746509.85"/>
    <n v="-831518.5"/>
    <n v="-308393.3"/>
    <n v="-662544.38"/>
    <n v="-554770.44999999995"/>
    <n v="-707597.17"/>
    <n v="-463079.98"/>
    <n v="-152812.98000000001"/>
    <n v="-7073852.7799999993"/>
    <n v="-310267"/>
  </r>
  <r>
    <x v="18"/>
    <x v="4"/>
    <x v="0"/>
    <s v="4400103"/>
    <n v="400010"/>
    <s v="Acute I/P Svcs Rev--Self Pay"/>
    <s v="Surgery Services"/>
    <x v="0"/>
    <n v="1500"/>
    <n v="0"/>
    <n v="-225943.88"/>
    <n v="26396.3"/>
    <n v="-25987.64"/>
    <n v="-45357.67"/>
    <n v="-20787.93"/>
    <n v="-21807.47"/>
    <n v="-25831.17"/>
    <n v="-20323.89"/>
    <n v="-106861.48"/>
    <n v="-8499.4"/>
    <n v="-90773.69"/>
    <n v="-565777.92000000004"/>
    <n v="82274.290000000008"/>
  </r>
  <r>
    <x v="18"/>
    <x v="4"/>
    <x v="0"/>
    <s v="4400103"/>
    <n v="400010"/>
    <s v="Acute I/P Svcs Rev--Other"/>
    <s v="Surgery Services"/>
    <x v="0"/>
    <n v="1700"/>
    <n v="-334675.77"/>
    <n v="-372424.17"/>
    <n v="-103782.97"/>
    <n v="-555349.19999999995"/>
    <n v="-165883.47"/>
    <n v="-497353.52"/>
    <n v="-567293.49"/>
    <n v="-284641.84999999998"/>
    <n v="-337420.36"/>
    <n v="-131929.56"/>
    <n v="-474074.14"/>
    <n v="-147293.75"/>
    <n v="-3972122.25"/>
    <n v="-326780.39"/>
  </r>
  <r>
    <x v="19"/>
    <x v="4"/>
    <x v="0"/>
    <s v="4400103"/>
    <n v="400020"/>
    <s v="O/P Care Svcs Rev--Medicare"/>
    <s v="Surgery Services"/>
    <x v="0"/>
    <n v="1100"/>
    <n v="-2785009.93"/>
    <n v="-2848111.36"/>
    <n v="-2471989.2799999998"/>
    <n v="-4089386.81"/>
    <n v="-5026157.13"/>
    <n v="-3583925.68"/>
    <n v="-3067751.37"/>
    <n v="-4021463.21"/>
    <n v="-2874792.07"/>
    <n v="-4502025.24"/>
    <n v="-3428304.23"/>
    <n v="-3065737.53"/>
    <n v="-41764653.840000004"/>
    <n v="-362566.70000000019"/>
  </r>
  <r>
    <x v="19"/>
    <x v="4"/>
    <x v="0"/>
    <s v="4400103"/>
    <n v="400020"/>
    <s v="O/P Care Svcs Rev--Medicaid"/>
    <s v="Surgery Services"/>
    <x v="0"/>
    <n v="1200"/>
    <n v="-2368332.37"/>
    <n v="-2108752.86"/>
    <n v="-1450871.62"/>
    <n v="-1711321.16"/>
    <n v="-1561562.04"/>
    <n v="-1954304.08"/>
    <n v="-1956112.51"/>
    <n v="-1885896.31"/>
    <n v="-1866683.83"/>
    <n v="-2132988.4500000002"/>
    <n v="-1860130.3"/>
    <n v="-1627390.66"/>
    <n v="-22484346.190000001"/>
    <n v="-232739.64000000013"/>
  </r>
  <r>
    <x v="19"/>
    <x v="4"/>
    <x v="0"/>
    <s v="4400103"/>
    <n v="400020"/>
    <s v="O/P Care Svcs Rev--Comm Insurance"/>
    <s v="Surgery Services"/>
    <x v="0"/>
    <n v="1300"/>
    <n v="-158179.14000000001"/>
    <n v="-39233.47"/>
    <n v="-401499.42"/>
    <n v="-353553.6"/>
    <n v="-458371.08"/>
    <n v="-232078.07999999999"/>
    <n v="-168871"/>
    <n v="-166692.21"/>
    <n v="-436201.97"/>
    <n v="-248694.88"/>
    <n v="-230173.7"/>
    <n v="-352155.27"/>
    <n v="-3245703.82"/>
    <n v="121981.57"/>
  </r>
  <r>
    <x v="19"/>
    <x v="4"/>
    <x v="0"/>
    <s v="4400103"/>
    <n v="400020"/>
    <s v="O/P Care Svcs Rev--BCBS Comm"/>
    <s v="Surgery Services"/>
    <x v="0"/>
    <n v="1301"/>
    <n v="-588865.80000000005"/>
    <n v="-708342.02"/>
    <n v="-425998.66"/>
    <n v="-744516.54"/>
    <n v="-1014339.89"/>
    <n v="-930577.8"/>
    <n v="-538655.31999999995"/>
    <n v="-618327.56000000006"/>
    <n v="-289218.33"/>
    <n v="-462054.41"/>
    <n v="-582192.12"/>
    <n v="-698273.28000000003"/>
    <n v="-7601361.7300000004"/>
    <n v="116081.16000000003"/>
  </r>
  <r>
    <x v="19"/>
    <x v="4"/>
    <x v="0"/>
    <s v="4400103"/>
    <n v="400020"/>
    <s v="O/P Care Svcs Rev--Managed Care"/>
    <s v="Surgery Services"/>
    <x v="0"/>
    <n v="1400"/>
    <n v="-1806472.75"/>
    <n v="-1925346.88"/>
    <n v="-1592959.08"/>
    <n v="-2036354.71"/>
    <n v="-2121353"/>
    <n v="-2974731.5"/>
    <n v="-2273097.91"/>
    <n v="-1606675.65"/>
    <n v="-1760933.61"/>
    <n v="-1773809.78"/>
    <n v="-2552225.04"/>
    <n v="-2095097.97"/>
    <n v="-24519057.879999999"/>
    <n v="-457127.07000000007"/>
  </r>
  <r>
    <x v="19"/>
    <x v="4"/>
    <x v="0"/>
    <s v="4400103"/>
    <n v="400020"/>
    <s v="O/P Care Svcs Rev--Self Pay"/>
    <s v="Surgery Services"/>
    <x v="0"/>
    <n v="1500"/>
    <n v="-138761.22"/>
    <n v="-93439.75"/>
    <n v="-142061.79"/>
    <n v="-109832.69"/>
    <n v="-68399.86"/>
    <n v="-277495.90999999997"/>
    <n v="-161314.16"/>
    <n v="0"/>
    <n v="-16244.88"/>
    <n v="-125139.86"/>
    <n v="-119302.6"/>
    <n v="-42836.03"/>
    <n v="-1294828.7500000002"/>
    <n v="-76466.570000000007"/>
  </r>
  <r>
    <x v="19"/>
    <x v="4"/>
    <x v="0"/>
    <s v="4400103"/>
    <n v="400020"/>
    <s v="O/P Care Svcs Rev--Other"/>
    <s v="Surgery Services"/>
    <x v="0"/>
    <n v="1700"/>
    <n v="-1221714.56"/>
    <n v="-760653.67"/>
    <n v="-530685.17000000004"/>
    <n v="-1071297.49"/>
    <n v="-595466.26"/>
    <n v="-1009545.81"/>
    <n v="-632876.38"/>
    <n v="-565115.42000000004"/>
    <n v="-829996.75"/>
    <n v="-692680.33"/>
    <n v="-1326233.1499999999"/>
    <n v="-679629.02"/>
    <n v="-9915894.0099999979"/>
    <n v="-646604.12999999989"/>
  </r>
  <r>
    <x v="14"/>
    <x v="4"/>
    <x v="0"/>
    <s v="4400103"/>
    <n v="600060"/>
    <s v="Gain/Loss--Sale of Fixed Assets"/>
    <s v="Surgery Services"/>
    <x v="0"/>
    <m/>
    <n v="0"/>
    <n v="0"/>
    <n v="0"/>
    <n v="0"/>
    <n v="-1000"/>
    <n v="0"/>
    <n v="0"/>
    <n v="0"/>
    <n v="0"/>
    <n v="0"/>
    <n v="0"/>
    <n v="0"/>
    <n v="-1000"/>
    <n v="0"/>
  </r>
  <r>
    <x v="5"/>
    <x v="4"/>
    <x v="0"/>
    <s v="4400103"/>
    <n v="700014"/>
    <s v="Salaries-Management-Productive"/>
    <s v="Surgery Services"/>
    <x v="0"/>
    <m/>
    <n v="16483.650000000001"/>
    <n v="20842.830000000002"/>
    <n v="22763.31"/>
    <n v="17881.830000000002"/>
    <n v="27322.080000000002"/>
    <n v="20729.080000000002"/>
    <n v="23547.63"/>
    <n v="19776.47"/>
    <n v="27158.7"/>
    <n v="19530.849999999999"/>
    <n v="24728.6"/>
    <n v="23451.759999999998"/>
    <n v="264216.79000000004"/>
    <n v="1276.8400000000001"/>
  </r>
  <r>
    <x v="5"/>
    <x v="4"/>
    <x v="0"/>
    <s v="4400103"/>
    <n v="700026"/>
    <s v="Salaries-RN-Productive"/>
    <s v="Surgery Services"/>
    <x v="0"/>
    <m/>
    <n v="76934.11"/>
    <n v="82357.06"/>
    <n v="77200.09"/>
    <n v="75761.47"/>
    <n v="75445.100000000006"/>
    <n v="67760.22"/>
    <n v="77836.94"/>
    <n v="76272.37"/>
    <n v="78899.990000000005"/>
    <n v="75791.740000000005"/>
    <n v="76576.490000000005"/>
    <n v="58166.32"/>
    <n v="899001.89999999991"/>
    <n v="18410.170000000006"/>
  </r>
  <r>
    <x v="5"/>
    <x v="4"/>
    <x v="0"/>
    <s v="4400103"/>
    <n v="700026"/>
    <s v="Salaries-RN-OT"/>
    <s v="Surgery Services"/>
    <x v="0"/>
    <n v="1000"/>
    <n v="2110.94"/>
    <n v="2160.81"/>
    <n v="1433.71"/>
    <n v="3281.01"/>
    <n v="1867.14"/>
    <n v="4460.2299999999996"/>
    <n v="1915.17"/>
    <n v="1369.84"/>
    <n v="2406.89"/>
    <n v="1694.75"/>
    <n v="1932.73"/>
    <n v="1191.6199999999999"/>
    <n v="25824.84"/>
    <n v="741.11000000000013"/>
  </r>
  <r>
    <x v="5"/>
    <x v="4"/>
    <x v="0"/>
    <s v="4400103"/>
    <n v="700026"/>
    <s v="Salaries-RN-Other"/>
    <s v="Surgery Services"/>
    <x v="0"/>
    <n v="2000"/>
    <n v="5939.58"/>
    <n v="6073.37"/>
    <n v="5211.54"/>
    <n v="6906.28"/>
    <n v="4489.51"/>
    <n v="5105.7"/>
    <n v="4960.82"/>
    <n v="4491.37"/>
    <n v="5237.17"/>
    <n v="5164.8100000000004"/>
    <n v="5209.95"/>
    <n v="4430.71"/>
    <n v="63220.80999999999"/>
    <n v="779.23999999999978"/>
  </r>
  <r>
    <x v="5"/>
    <x v="4"/>
    <x v="0"/>
    <s v="4400103"/>
    <n v="700032"/>
    <s v="Salaries-Other Pat Care Providers-Productive"/>
    <s v="Surgery Services"/>
    <x v="0"/>
    <m/>
    <n v="0"/>
    <n v="0"/>
    <n v="0"/>
    <n v="0"/>
    <n v="0"/>
    <n v="506.77"/>
    <n v="639.79999999999995"/>
    <n v="130.01"/>
    <n v="72.47"/>
    <n v="0"/>
    <n v="0"/>
    <n v="0"/>
    <n v="1349.05"/>
    <n v="0"/>
  </r>
  <r>
    <x v="5"/>
    <x v="4"/>
    <x v="0"/>
    <s v="4400103"/>
    <n v="700032"/>
    <s v="Salaries-Other Pat Care Providers-OT"/>
    <s v="Surgery Services"/>
    <x v="0"/>
    <n v="1000"/>
    <n v="0"/>
    <n v="0"/>
    <n v="0"/>
    <n v="0"/>
    <n v="0"/>
    <n v="0"/>
    <n v="79.760000000000005"/>
    <n v="-20.98"/>
    <n v="0"/>
    <n v="0"/>
    <n v="0"/>
    <n v="0"/>
    <n v="58.78"/>
    <n v="0"/>
  </r>
  <r>
    <x v="5"/>
    <x v="4"/>
    <x v="0"/>
    <s v="4400103"/>
    <n v="700034"/>
    <s v="Salaries-Tech/Professional-Productive"/>
    <s v="Surgery Services"/>
    <x v="0"/>
    <m/>
    <n v="53229.39"/>
    <n v="55156.41"/>
    <n v="47014.53"/>
    <n v="60677.23"/>
    <n v="56060.53"/>
    <n v="59954.2"/>
    <n v="55756.54"/>
    <n v="51302.1"/>
    <n v="54812.7"/>
    <n v="60844.34"/>
    <n v="59202.74"/>
    <n v="40961.42"/>
    <n v="654972.13"/>
    <n v="18241.32"/>
  </r>
  <r>
    <x v="5"/>
    <x v="4"/>
    <x v="0"/>
    <s v="4400103"/>
    <n v="700034"/>
    <s v="Salaries-Tech/Professional-OT"/>
    <s v="Surgery Services"/>
    <x v="0"/>
    <n v="1000"/>
    <n v="3178.6"/>
    <n v="3199.59"/>
    <n v="952.02"/>
    <n v="1254.51"/>
    <n v="2346.04"/>
    <n v="2088.81"/>
    <n v="2413.48"/>
    <n v="1297.69"/>
    <n v="984.73"/>
    <n v="261.14999999999998"/>
    <n v="556.78"/>
    <n v="314.25"/>
    <n v="18847.650000000001"/>
    <n v="242.52999999999997"/>
  </r>
  <r>
    <x v="5"/>
    <x v="4"/>
    <x v="0"/>
    <s v="4400103"/>
    <n v="700034"/>
    <s v="Salaries-Tech/Professional-Other"/>
    <s v="Surgery Services"/>
    <x v="0"/>
    <n v="2000"/>
    <n v="2887.19"/>
    <n v="2982.83"/>
    <n v="3380.25"/>
    <n v="3786.61"/>
    <n v="3731.84"/>
    <n v="3472.91"/>
    <n v="3492.9"/>
    <n v="3196.2"/>
    <n v="3691.39"/>
    <n v="3979.01"/>
    <n v="3188.37"/>
    <n v="2891.16"/>
    <n v="40680.660000000003"/>
    <n v="297.21000000000004"/>
  </r>
  <r>
    <x v="5"/>
    <x v="4"/>
    <x v="0"/>
    <s v="4400103"/>
    <n v="700038"/>
    <s v="Salaries-Service/Support-Productive"/>
    <s v="Surgery Services"/>
    <x v="0"/>
    <m/>
    <n v="9492.49"/>
    <n v="9429.61"/>
    <n v="8761.24"/>
    <n v="9536.69"/>
    <n v="10519.02"/>
    <n v="8052.59"/>
    <n v="9642.76"/>
    <n v="9558.48"/>
    <n v="11149.48"/>
    <n v="10472.049999999999"/>
    <n v="11133.3"/>
    <n v="9377.41"/>
    <n v="117125.12000000001"/>
    <n v="1755.8899999999994"/>
  </r>
  <r>
    <x v="5"/>
    <x v="4"/>
    <x v="0"/>
    <s v="4400103"/>
    <n v="700038"/>
    <s v="Salaries-Service/Support-OT"/>
    <s v="Surgery Services"/>
    <x v="0"/>
    <n v="1000"/>
    <n v="122.39"/>
    <n v="98.15"/>
    <n v="269.02"/>
    <n v="1.79"/>
    <n v="270.17"/>
    <n v="639.4"/>
    <n v="20.260000000000002"/>
    <n v="161.62"/>
    <n v="65.05"/>
    <n v="110.49"/>
    <n v="28.34"/>
    <n v="116.94"/>
    <n v="1903.6200000000001"/>
    <n v="-88.6"/>
  </r>
  <r>
    <x v="5"/>
    <x v="4"/>
    <x v="0"/>
    <s v="4400103"/>
    <n v="700038"/>
    <s v="Salaries-Service/Support-Other"/>
    <s v="Surgery Services"/>
    <x v="0"/>
    <n v="2000"/>
    <n v="0"/>
    <n v="0"/>
    <n v="0"/>
    <n v="0"/>
    <n v="0"/>
    <n v="0"/>
    <n v="0"/>
    <n v="0"/>
    <n v="210.81"/>
    <n v="206.79"/>
    <n v="171.15"/>
    <n v="70.319999999999993"/>
    <n v="659.06999999999994"/>
    <n v="100.83000000000001"/>
  </r>
  <r>
    <x v="5"/>
    <x v="4"/>
    <x v="0"/>
    <s v="4400103"/>
    <n v="700054"/>
    <s v="Salaries-Management-Non-productive"/>
    <s v="Surgery Services"/>
    <x v="0"/>
    <m/>
    <n v="9376.41"/>
    <n v="5018.43"/>
    <n v="2264.0500000000002"/>
    <n v="8646.56"/>
    <n v="-1495.35"/>
    <n v="5959.44"/>
    <n v="3182.56"/>
    <n v="4364.47"/>
    <n v="-431.02"/>
    <n v="6333.76"/>
    <n v="1999.07"/>
    <n v="2414.09"/>
    <n v="47632.47"/>
    <n v="-415.02000000000021"/>
  </r>
  <r>
    <x v="5"/>
    <x v="4"/>
    <x v="0"/>
    <s v="4400103"/>
    <n v="700054"/>
    <s v="Salaries-Management-NonProd-Other"/>
    <s v="Surgery Services"/>
    <x v="0"/>
    <n v="2000"/>
    <n v="0"/>
    <n v="0"/>
    <n v="0"/>
    <n v="0"/>
    <n v="0"/>
    <n v="3808.43"/>
    <n v="-3808.43"/>
    <n v="0"/>
    <n v="0"/>
    <n v="0"/>
    <n v="0"/>
    <n v="0"/>
    <n v="0"/>
    <n v="0"/>
  </r>
  <r>
    <x v="5"/>
    <x v="4"/>
    <x v="0"/>
    <s v="4400103"/>
    <n v="700066"/>
    <s v="Salaries-RN-Non-productive"/>
    <s v="Surgery Services"/>
    <x v="0"/>
    <m/>
    <n v="16442.21"/>
    <n v="12293.3"/>
    <n v="10824.24"/>
    <n v="22450.39"/>
    <n v="10946.97"/>
    <n v="10728.49"/>
    <n v="7388.02"/>
    <n v="7510.44"/>
    <n v="9253.83"/>
    <n v="15033.47"/>
    <n v="10513.93"/>
    <n v="15626.55"/>
    <n v="149011.84"/>
    <n v="-5112.619999999999"/>
  </r>
  <r>
    <x v="5"/>
    <x v="4"/>
    <x v="0"/>
    <s v="4400103"/>
    <n v="700066"/>
    <s v="Salaries-RN-NonProd-Other"/>
    <s v="Surgery Services"/>
    <x v="0"/>
    <n v="2000"/>
    <n v="1623.54"/>
    <n v="1100.99"/>
    <n v="1142.1500000000001"/>
    <n v="1910.89"/>
    <n v="2023.28"/>
    <n v="2215.54"/>
    <n v="1079.6600000000001"/>
    <n v="-1195.9100000000001"/>
    <n v="400.14"/>
    <n v="1954.33"/>
    <n v="798.03"/>
    <n v="1506.86"/>
    <n v="14559.5"/>
    <n v="-708.82999999999993"/>
  </r>
  <r>
    <x v="5"/>
    <x v="4"/>
    <x v="0"/>
    <s v="4400103"/>
    <n v="700074"/>
    <s v="Salaries-Tech/Professional-Non-productive"/>
    <s v="Surgery Services"/>
    <x v="0"/>
    <m/>
    <n v="11629.65"/>
    <n v="7679.37"/>
    <n v="12957.83"/>
    <n v="4072.13"/>
    <n v="6026.15"/>
    <n v="7640.76"/>
    <n v="4776.43"/>
    <n v="12029.08"/>
    <n v="6438.87"/>
    <n v="4866.26"/>
    <n v="7031.72"/>
    <n v="11157.18"/>
    <n v="96305.43"/>
    <n v="-4125.46"/>
  </r>
  <r>
    <x v="5"/>
    <x v="4"/>
    <x v="0"/>
    <s v="4400103"/>
    <n v="700074"/>
    <s v="Salaries-Tech/Professional-NonProd-Other"/>
    <s v="Surgery Services"/>
    <x v="0"/>
    <n v="2000"/>
    <n v="775.7"/>
    <n v="6625.97"/>
    <n v="622.91999999999996"/>
    <n v="-5142.3500000000004"/>
    <n v="989.78"/>
    <n v="1431.83"/>
    <n v="340.33"/>
    <n v="-819.38"/>
    <n v="547.38"/>
    <n v="483.21"/>
    <n v="453.79"/>
    <n v="403.91"/>
    <n v="6713.0899999999992"/>
    <n v="49.879999999999995"/>
  </r>
  <r>
    <x v="5"/>
    <x v="4"/>
    <x v="0"/>
    <s v="4400103"/>
    <n v="700078"/>
    <s v="Salaries-Service/Support-Non-productive"/>
    <s v="Surgery Services"/>
    <x v="0"/>
    <m/>
    <n v="2222.08"/>
    <n v="2694.32"/>
    <n v="2780.87"/>
    <n v="2853.6"/>
    <n v="1452.07"/>
    <n v="4294.47"/>
    <n v="2549.3200000000002"/>
    <n v="1685.4"/>
    <n v="1390.37"/>
    <n v="1700.5"/>
    <n v="876.87"/>
    <n v="2474.85"/>
    <n v="26974.719999999998"/>
    <n v="-1597.98"/>
  </r>
  <r>
    <x v="5"/>
    <x v="4"/>
    <x v="0"/>
    <s v="4400103"/>
    <n v="700078"/>
    <s v="Salaries-Service/Support-NonProd-Other"/>
    <s v="Surgery Services"/>
    <x v="0"/>
    <n v="2000"/>
    <n v="0"/>
    <n v="0"/>
    <n v="0"/>
    <n v="0"/>
    <n v="0"/>
    <n v="0"/>
    <n v="0"/>
    <n v="0"/>
    <n v="21.41"/>
    <n v="5.95"/>
    <n v="35"/>
    <n v="20.48"/>
    <n v="82.84"/>
    <n v="14.52"/>
  </r>
  <r>
    <x v="5"/>
    <x v="4"/>
    <x v="0"/>
    <s v="4400103"/>
    <n v="700084"/>
    <s v="Accrued PTO"/>
    <s v="Surgery Services"/>
    <x v="0"/>
    <m/>
    <n v="-8467.32"/>
    <n v="-3270.53"/>
    <n v="-1071.26"/>
    <n v="5452.33"/>
    <n v="4041.36"/>
    <n v="-849.49"/>
    <n v="6854.04"/>
    <n v="4242.63"/>
    <n v="7443.85"/>
    <n v="2276.1999999999998"/>
    <n v="2786.94"/>
    <n v="5442.39"/>
    <n v="24881.14"/>
    <n v="-2655.4500000000003"/>
  </r>
  <r>
    <x v="10"/>
    <x v="4"/>
    <x v="0"/>
    <s v="4400103"/>
    <n v="710060"/>
    <s v="Contract Labor-Other"/>
    <s v="Surgery Services"/>
    <x v="0"/>
    <m/>
    <n v="15998.08"/>
    <n v="3894.57"/>
    <n v="0"/>
    <n v="12460"/>
    <n v="9320"/>
    <n v="17919"/>
    <n v="1"/>
    <n v="0"/>
    <n v="7650"/>
    <n v="15066.25"/>
    <n v="10178.75"/>
    <n v="8946.25"/>
    <n v="101433.9"/>
    <n v="1232.5"/>
  </r>
  <r>
    <x v="10"/>
    <x v="4"/>
    <x v="0"/>
    <s v="4400103"/>
    <n v="710060"/>
    <s v="Contract Labor-Overtime"/>
    <s v="Surgery Services"/>
    <x v="0"/>
    <n v="5100"/>
    <n v="0"/>
    <n v="0"/>
    <n v="0"/>
    <n v="81"/>
    <n v="486"/>
    <n v="2565"/>
    <n v="0"/>
    <n v="0"/>
    <n v="0"/>
    <n v="0"/>
    <n v="0"/>
    <n v="286.88"/>
    <n v="3418.88"/>
    <n v="-286.88"/>
  </r>
  <r>
    <x v="10"/>
    <x v="4"/>
    <x v="0"/>
    <s v="4400103"/>
    <n v="710060"/>
    <s v="Contract Labor-Standby Wages"/>
    <s v="Surgery Services"/>
    <x v="0"/>
    <n v="5101"/>
    <n v="0"/>
    <n v="0"/>
    <n v="0"/>
    <n v="294"/>
    <n v="468"/>
    <n v="470"/>
    <n v="0"/>
    <n v="0"/>
    <n v="0"/>
    <n v="0"/>
    <n v="0"/>
    <n v="40"/>
    <n v="1272"/>
    <n v="-40"/>
  </r>
  <r>
    <x v="6"/>
    <x v="4"/>
    <x v="0"/>
    <s v="4400103"/>
    <n v="713010"/>
    <s v="Benefits-FICA/Medicare"/>
    <s v="Surgery Services"/>
    <x v="0"/>
    <m/>
    <n v="15676.48"/>
    <n v="16081.45"/>
    <n v="14560.01"/>
    <n v="14773.46"/>
    <n v="14430.53"/>
    <n v="14527.72"/>
    <n v="15020.72"/>
    <n v="14364.66"/>
    <n v="14921.09"/>
    <n v="15415.19"/>
    <n v="15111.41"/>
    <n v="13150.96"/>
    <n v="178033.68000000002"/>
    <n v="1960.4500000000007"/>
  </r>
  <r>
    <x v="6"/>
    <x v="4"/>
    <x v="0"/>
    <s v="4400103"/>
    <n v="713090"/>
    <s v="Benefits-Allocated Amounts"/>
    <s v="Surgery Services"/>
    <x v="0"/>
    <m/>
    <n v="37868.160000000003"/>
    <n v="33157.980000000003"/>
    <n v="34052.57"/>
    <n v="36010.629999999997"/>
    <n v="35169.040000000001"/>
    <n v="33908.32"/>
    <n v="36515.589999999997"/>
    <n v="37172.67"/>
    <n v="35175.49"/>
    <n v="39792.58"/>
    <n v="37710.92"/>
    <n v="33857.24"/>
    <n v="430391.19"/>
    <n v="3853.6800000000003"/>
  </r>
  <r>
    <x v="6"/>
    <x v="4"/>
    <x v="0"/>
    <s v="4400103"/>
    <n v="713096"/>
    <s v="Employee Recognition"/>
    <s v="Surgery Services"/>
    <x v="0"/>
    <n v="1017"/>
    <n v="0"/>
    <n v="0"/>
    <n v="0"/>
    <n v="35.700000000000003"/>
    <n v="0"/>
    <n v="570.29999999999995"/>
    <n v="0"/>
    <n v="37.979999999999997"/>
    <n v="371.32"/>
    <n v="37.979999999999997"/>
    <n v="0"/>
    <n v="37.979999999999997"/>
    <n v="1091.26"/>
    <n v="-37.979999999999997"/>
  </r>
  <r>
    <x v="17"/>
    <x v="4"/>
    <x v="0"/>
    <s v="4400103"/>
    <n v="714510"/>
    <s v="Medical Director Fees"/>
    <s v="Surgery Services"/>
    <x v="0"/>
    <m/>
    <n v="2100"/>
    <n v="2380"/>
    <n v="2100"/>
    <n v="2100"/>
    <n v="2380"/>
    <n v="0"/>
    <n v="4200"/>
    <n v="7214.72"/>
    <n v="13869.44"/>
    <n v="3467.36"/>
    <n v="5775"/>
    <n v="7710"/>
    <n v="53296.520000000004"/>
    <n v="-1935"/>
  </r>
  <r>
    <x v="17"/>
    <x v="4"/>
    <x v="0"/>
    <s v="4400103"/>
    <n v="714530"/>
    <s v="Medical Prof Fees-Intracompany"/>
    <s v="Surgery Services"/>
    <x v="0"/>
    <m/>
    <n v="245329.97"/>
    <n v="107844.48"/>
    <n v="29080.880000000001"/>
    <n v="99022.399999999994"/>
    <n v="101027.77"/>
    <n v="148463.9"/>
    <n v="-80914.3"/>
    <n v="57867.97"/>
    <n v="161042.91"/>
    <n v="61728.98"/>
    <n v="-26374.560000000001"/>
    <n v="119327.72"/>
    <n v="1023448.1199999999"/>
    <n v="-145702.28"/>
  </r>
  <r>
    <x v="7"/>
    <x v="4"/>
    <x v="0"/>
    <s v="4400103"/>
    <n v="718050"/>
    <s v="Contract Svcs-Other"/>
    <s v="Surgery Services"/>
    <x v="0"/>
    <m/>
    <n v="0"/>
    <n v="101"/>
    <n v="0"/>
    <n v="0"/>
    <n v="281"/>
    <n v="0"/>
    <n v="846.3"/>
    <n v="241.46"/>
    <n v="0"/>
    <n v="115.27"/>
    <n v="126.73"/>
    <n v="4108.4799999999996"/>
    <n v="5820.24"/>
    <n v="-3981.7499999999995"/>
  </r>
  <r>
    <x v="7"/>
    <x v="4"/>
    <x v="0"/>
    <s v="4400103"/>
    <n v="718050"/>
    <s v="Document Shredding/Storage"/>
    <s v="Surgery Services"/>
    <x v="0"/>
    <n v="1012"/>
    <n v="63.34"/>
    <n v="-32.92"/>
    <n v="29.25"/>
    <n v="30.25"/>
    <n v="31.25"/>
    <n v="31.25"/>
    <n v="30.93"/>
    <n v="26.53"/>
    <n v="27.49"/>
    <n v="36.03"/>
    <n v="30.25"/>
    <n v="31.25"/>
    <n v="334.90000000000003"/>
    <n v="-1"/>
  </r>
  <r>
    <x v="7"/>
    <x v="4"/>
    <x v="0"/>
    <s v="4400103"/>
    <n v="718050"/>
    <s v="Miscellaneous Purchased Svcs"/>
    <s v="Surgery Services"/>
    <x v="0"/>
    <n v="1020"/>
    <n v="256.37"/>
    <n v="0"/>
    <n v="0"/>
    <n v="3425.01"/>
    <n v="1380.24"/>
    <n v="0"/>
    <n v="0"/>
    <n v="0"/>
    <n v="10346.549999999999"/>
    <n v="0"/>
    <n v="699.84"/>
    <n v="0"/>
    <n v="16108.009999999998"/>
    <n v="699.84"/>
  </r>
  <r>
    <x v="7"/>
    <x v="4"/>
    <x v="0"/>
    <s v="4400103"/>
    <n v="718050"/>
    <s v="Contract Svcs--Medical/Dental"/>
    <s v="Surgery Services"/>
    <x v="0"/>
    <n v="1024"/>
    <n v="0"/>
    <n v="924.6"/>
    <n v="259.23"/>
    <n v="8540.36"/>
    <n v="0"/>
    <n v="0"/>
    <n v="11.32"/>
    <n v="0"/>
    <n v="0"/>
    <n v="0"/>
    <n v="12000"/>
    <n v="0"/>
    <n v="21735.510000000002"/>
    <n v="12000"/>
  </r>
  <r>
    <x v="7"/>
    <x v="4"/>
    <x v="0"/>
    <s v="4400103"/>
    <n v="718050"/>
    <s v="Contract Management--Linen"/>
    <s v="Surgery Services"/>
    <x v="0"/>
    <n v="1026"/>
    <n v="2827.06"/>
    <n v="1896.84"/>
    <n v="1806.28"/>
    <n v="2754.86"/>
    <n v="2566.2199999999998"/>
    <n v="2525.73"/>
    <n v="2207.7600000000002"/>
    <n v="2955.6"/>
    <n v="1983.56"/>
    <n v="4795.3999999999996"/>
    <n v="2377.12"/>
    <n v="2753.61"/>
    <n v="31450.039999999997"/>
    <n v="-376.49000000000024"/>
  </r>
  <r>
    <x v="7"/>
    <x v="4"/>
    <x v="0"/>
    <s v="4400103"/>
    <n v="718050"/>
    <s v="Purchased Srvcs--Medical Waste"/>
    <s v="Surgery Services"/>
    <x v="0"/>
    <n v="1027"/>
    <n v="10.36"/>
    <n v="10.36"/>
    <n v="10.36"/>
    <n v="0"/>
    <n v="10.36"/>
    <n v="10.36"/>
    <n v="20.72"/>
    <n v="10.36"/>
    <n v="0"/>
    <n v="20.72"/>
    <n v="0"/>
    <n v="10.36"/>
    <n v="113.96"/>
    <n v="-10.36"/>
  </r>
  <r>
    <x v="7"/>
    <x v="4"/>
    <x v="0"/>
    <s v="4400103"/>
    <n v="718070"/>
    <s v="Contract Srvcs-CHI Clinical Engineering"/>
    <s v="Surgery Services"/>
    <x v="0"/>
    <m/>
    <n v="17916.060000000001"/>
    <n v="17545.38"/>
    <n v="21512.41"/>
    <n v="18920.38"/>
    <n v="20457.060000000001"/>
    <n v="26594.74"/>
    <n v="27990.23"/>
    <n v="27990.23"/>
    <n v="28430.33"/>
    <n v="27992.49"/>
    <n v="27871.42"/>
    <n v="29834.79"/>
    <n v="293055.51999999996"/>
    <n v="-1963.3700000000026"/>
  </r>
  <r>
    <x v="7"/>
    <x v="4"/>
    <x v="0"/>
    <s v="4400103"/>
    <n v="718091"/>
    <s v="Contract Services-Intracompany Allocation"/>
    <s v="Surgery Services"/>
    <x v="0"/>
    <m/>
    <n v="9814.77"/>
    <n v="9217.82"/>
    <n v="8721.99"/>
    <n v="10969.82"/>
    <n v="9520.9699999999993"/>
    <n v="8494.26"/>
    <n v="10145.370000000001"/>
    <n v="8602.11"/>
    <n v="10968.79"/>
    <n v="10226.790000000001"/>
    <n v="9869.35"/>
    <n v="9272.4500000000007"/>
    <n v="115824.49"/>
    <n v="596.89999999999964"/>
  </r>
  <r>
    <x v="11"/>
    <x v="4"/>
    <x v="0"/>
    <s v="4400103"/>
    <n v="721010"/>
    <s v="Supplies-Medical - Billable"/>
    <s v="Surgery Services"/>
    <x v="0"/>
    <m/>
    <n v="8134.24"/>
    <n v="8754.01"/>
    <n v="6931.7"/>
    <n v="12516.23"/>
    <n v="14479.54"/>
    <n v="11501.53"/>
    <n v="13854.34"/>
    <n v="11545.1"/>
    <n v="9290.4699999999993"/>
    <n v="12025.37"/>
    <n v="8577.33"/>
    <n v="6143.53"/>
    <n v="123753.39"/>
    <n v="2433.8000000000002"/>
  </r>
  <r>
    <x v="11"/>
    <x v="4"/>
    <x v="0"/>
    <s v="4400103"/>
    <n v="721010"/>
    <s v="Patient Monitoring"/>
    <s v="Surgery Services"/>
    <x v="0"/>
    <n v="1000"/>
    <n v="407.54"/>
    <n v="1613.61"/>
    <n v="381.68"/>
    <n v="-80.84"/>
    <n v="202.82"/>
    <n v="978.59"/>
    <n v="715.49"/>
    <n v="488.79"/>
    <n v="1108.8900000000001"/>
    <n v="284.02"/>
    <n v="141.78"/>
    <n v="90.8"/>
    <n v="6333.17"/>
    <n v="50.980000000000004"/>
  </r>
  <r>
    <x v="11"/>
    <x v="4"/>
    <x v="0"/>
    <s v="4400103"/>
    <n v="721020"/>
    <s v="Supplies-Surgical - Billable"/>
    <s v="Surgery Services"/>
    <x v="0"/>
    <m/>
    <n v="337184.06"/>
    <n v="260483.56"/>
    <n v="125267.74"/>
    <n v="486671.71"/>
    <n v="204371.93"/>
    <n v="411183.81"/>
    <n v="322178.53000000003"/>
    <n v="206556.03"/>
    <n v="273921.59000000003"/>
    <n v="305126.25"/>
    <n v="319991.84000000003"/>
    <n v="304083.74"/>
    <n v="3557020.7899999991"/>
    <n v="15908.100000000035"/>
  </r>
  <r>
    <x v="11"/>
    <x v="4"/>
    <x v="0"/>
    <s v="4400103"/>
    <n v="721020"/>
    <s v="Custom Packs"/>
    <s v="Surgery Services"/>
    <x v="0"/>
    <n v="1000"/>
    <n v="5745.56"/>
    <n v="7247.94"/>
    <n v="5751.71"/>
    <n v="8086.48"/>
    <n v="8269.08"/>
    <n v="7397.3"/>
    <n v="7720.51"/>
    <n v="6995.21"/>
    <n v="5912.92"/>
    <n v="6717.43"/>
    <n v="7119.65"/>
    <n v="5300.74"/>
    <n v="82264.53"/>
    <n v="1818.9099999999999"/>
  </r>
  <r>
    <x v="11"/>
    <x v="4"/>
    <x v="0"/>
    <s v="4400103"/>
    <n v="721020"/>
    <s v="Suture/Wound Closure"/>
    <s v="Surgery Services"/>
    <x v="0"/>
    <n v="1001"/>
    <n v="22249.72"/>
    <n v="26638.52"/>
    <n v="8420.7999999999993"/>
    <n v="21687.53"/>
    <n v="22884.52"/>
    <n v="38742.410000000003"/>
    <n v="20716.93"/>
    <n v="7457.08"/>
    <n v="16231.18"/>
    <n v="14343.55"/>
    <n v="13156.97"/>
    <n v="13792.6"/>
    <n v="226321.80999999997"/>
    <n v="-635.63000000000102"/>
  </r>
  <r>
    <x v="11"/>
    <x v="4"/>
    <x v="0"/>
    <s v="4400103"/>
    <n v="721020"/>
    <s v="Endoscopy - Trocars &amp; Accessories"/>
    <s v="Surgery Services"/>
    <x v="0"/>
    <n v="1002"/>
    <n v="4615.38"/>
    <n v="4116.76"/>
    <n v="3726.67"/>
    <n v="5832.76"/>
    <n v="528.45000000000005"/>
    <n v="2434.61"/>
    <n v="4032.68"/>
    <n v="2089.4499999999998"/>
    <n v="2179.46"/>
    <n v="4861.3599999999997"/>
    <n v="3013.45"/>
    <n v="3020.32"/>
    <n v="40451.35"/>
    <n v="-6.8700000000003456"/>
  </r>
  <r>
    <x v="11"/>
    <x v="4"/>
    <x v="0"/>
    <s v="4400103"/>
    <n v="721020"/>
    <s v="Endomechanical Supplies &amp; Instruments"/>
    <s v="Surgery Services"/>
    <x v="0"/>
    <n v="1003"/>
    <n v="61049.59"/>
    <n v="47840.78"/>
    <n v="33584.85"/>
    <n v="41631.01"/>
    <n v="60305.35"/>
    <n v="66098.77"/>
    <n v="7592.99"/>
    <n v="18921.48"/>
    <n v="18668.28"/>
    <n v="32108.83"/>
    <n v="49151.76"/>
    <n v="29043.64"/>
    <n v="465997.33"/>
    <n v="20108.120000000003"/>
  </r>
  <r>
    <x v="11"/>
    <x v="4"/>
    <x v="0"/>
    <s v="4400103"/>
    <n v="721020"/>
    <s v="Bone Cement &amp; Supplies"/>
    <s v="Surgery Services"/>
    <x v="0"/>
    <n v="1004"/>
    <n v="6124.04"/>
    <n v="8835.6"/>
    <n v="6858.43"/>
    <n v="10801.2"/>
    <n v="5627.8"/>
    <n v="6993.7"/>
    <n v="12279.56"/>
    <n v="11593.09"/>
    <n v="3672.64"/>
    <n v="8101.63"/>
    <n v="7696.42"/>
    <n v="9984.39"/>
    <n v="98568.5"/>
    <n v="-2287.9699999999993"/>
  </r>
  <r>
    <x v="11"/>
    <x v="4"/>
    <x v="0"/>
    <s v="4400103"/>
    <n v="721020"/>
    <s v="Urological Supplies"/>
    <s v="Surgery Services"/>
    <x v="0"/>
    <n v="1006"/>
    <n v="19803.23"/>
    <n v="6173.53"/>
    <n v="6322.4"/>
    <n v="12638.7"/>
    <n v="12354.21"/>
    <n v="15671.34"/>
    <n v="7462.3"/>
    <n v="16263.08"/>
    <n v="4157.66"/>
    <n v="13542.86"/>
    <n v="13779.94"/>
    <n v="37211.050000000003"/>
    <n v="165380.30000000002"/>
    <n v="-23431.11"/>
  </r>
  <r>
    <x v="11"/>
    <x v="4"/>
    <x v="0"/>
    <s v="4400103"/>
    <n v="721020"/>
    <s v="Surgical Cardiovascular"/>
    <s v="Surgery Services"/>
    <x v="0"/>
    <n v="1007"/>
    <n v="0"/>
    <n v="5.55"/>
    <n v="0.99"/>
    <n v="274.39999999999998"/>
    <n v="0"/>
    <n v="0"/>
    <n v="1.85"/>
    <n v="4.6900000000000004"/>
    <n v="-1.1200000000000001"/>
    <n v="0"/>
    <n v="272.55"/>
    <n v="0"/>
    <n v="558.91000000000008"/>
    <n v="272.55"/>
  </r>
  <r>
    <x v="11"/>
    <x v="4"/>
    <x v="0"/>
    <s v="4400103"/>
    <n v="721020"/>
    <s v="Tubes Drains &amp; Related Supplies"/>
    <s v="Surgery Services"/>
    <x v="0"/>
    <n v="1008"/>
    <n v="0"/>
    <n v="0"/>
    <n v="448.84"/>
    <n v="0"/>
    <n v="0"/>
    <n v="55.1"/>
    <n v="149.78"/>
    <n v="27.4"/>
    <n v="269.89999999999998"/>
    <n v="105.78"/>
    <n v="54.95"/>
    <n v="0"/>
    <n v="1111.75"/>
    <n v="54.95"/>
  </r>
  <r>
    <x v="11"/>
    <x v="4"/>
    <x v="0"/>
    <s v="4400103"/>
    <n v="721050"/>
    <s v="Supplies-Cardiac Rhythm - Billable"/>
    <s v="Surgery Services"/>
    <x v="0"/>
    <m/>
    <n v="781.67"/>
    <n v="415.47"/>
    <n v="512.48"/>
    <n v="964.34"/>
    <n v="422.34"/>
    <n v="674.43"/>
    <n v="959.14"/>
    <n v="827.44"/>
    <n v="3543.85"/>
    <n v="1859.74"/>
    <n v="529.05999999999995"/>
    <n v="555.05999999999995"/>
    <n v="12045.019999999999"/>
    <n v="-26"/>
  </r>
  <r>
    <x v="11"/>
    <x v="4"/>
    <x v="0"/>
    <s v="4400103"/>
    <n v="721050"/>
    <s v="Pacemakers - Internal"/>
    <s v="Surgery Services"/>
    <x v="0"/>
    <n v="1000"/>
    <n v="370.5"/>
    <n v="0"/>
    <n v="370.5"/>
    <n v="0"/>
    <n v="0"/>
    <n v="185.25"/>
    <n v="185.25"/>
    <n v="0"/>
    <n v="0"/>
    <n v="0"/>
    <n v="313.5"/>
    <n v="0"/>
    <n v="1425"/>
    <n v="313.5"/>
  </r>
  <r>
    <x v="11"/>
    <x v="4"/>
    <x v="0"/>
    <s v="4400103"/>
    <n v="721110"/>
    <s v="Supplies-Grafts - Billable"/>
    <s v="Surgery Services"/>
    <x v="0"/>
    <m/>
    <n v="0"/>
    <n v="4250"/>
    <n v="0"/>
    <n v="6375"/>
    <n v="0"/>
    <n v="0"/>
    <n v="0"/>
    <n v="0"/>
    <n v="0"/>
    <n v="0"/>
    <n v="2125"/>
    <n v="0"/>
    <n v="12750"/>
    <n v="2125"/>
  </r>
  <r>
    <x v="11"/>
    <x v="4"/>
    <x v="0"/>
    <s v="4400103"/>
    <n v="721120"/>
    <s v="Supplies-Prosthetics - Billable"/>
    <s v="Surgery Services"/>
    <x v="0"/>
    <m/>
    <n v="0"/>
    <n v="0"/>
    <n v="0"/>
    <n v="0"/>
    <n v="3325"/>
    <n v="-5000"/>
    <n v="0"/>
    <n v="0"/>
    <n v="0"/>
    <n v="0"/>
    <n v="0"/>
    <n v="0"/>
    <n v="-1675"/>
    <n v="0"/>
  </r>
  <r>
    <x v="11"/>
    <x v="4"/>
    <x v="0"/>
    <s v="4400103"/>
    <n v="721120"/>
    <s v="Hip Prosthesis"/>
    <s v="Surgery Services"/>
    <x v="0"/>
    <n v="1000"/>
    <n v="84200"/>
    <n v="48568.5"/>
    <n v="80623.89"/>
    <n v="141278.95000000001"/>
    <n v="106919.7"/>
    <n v="138897.88"/>
    <n v="77960.070000000007"/>
    <n v="130385"/>
    <n v="107243.01"/>
    <n v="149068.96"/>
    <n v="128017.04"/>
    <n v="60884.41"/>
    <n v="1254047.4099999999"/>
    <n v="67132.62999999999"/>
  </r>
  <r>
    <x v="11"/>
    <x v="4"/>
    <x v="0"/>
    <s v="4400103"/>
    <n v="721120"/>
    <s v="Knee Prosthesis"/>
    <s v="Surgery Services"/>
    <x v="0"/>
    <n v="1001"/>
    <n v="64840.69"/>
    <n v="76485.39"/>
    <n v="50000.24"/>
    <n v="104607.65"/>
    <n v="130691.8"/>
    <n v="143207.01"/>
    <n v="117370.9"/>
    <n v="96850"/>
    <n v="79674.22"/>
    <n v="144682.76"/>
    <n v="151173.35"/>
    <n v="79110.460000000006"/>
    <n v="1238694.47"/>
    <n v="72062.89"/>
  </r>
  <r>
    <x v="11"/>
    <x v="4"/>
    <x v="0"/>
    <s v="4400103"/>
    <n v="721120"/>
    <s v="Shoulder Prosthesis"/>
    <s v="Surgery Services"/>
    <x v="0"/>
    <n v="1002"/>
    <n v="39717.4"/>
    <n v="19062"/>
    <n v="64692.72"/>
    <n v="67215.570000000007"/>
    <n v="50646.2"/>
    <n v="66583.19"/>
    <n v="13230.8"/>
    <n v="35000"/>
    <n v="31850"/>
    <n v="24294.46"/>
    <n v="48100.17"/>
    <n v="24499.62"/>
    <n v="484892.13"/>
    <n v="23600.55"/>
  </r>
  <r>
    <x v="11"/>
    <x v="4"/>
    <x v="0"/>
    <s v="4400103"/>
    <n v="721120"/>
    <s v="Joint Prostheses - Other"/>
    <s v="Surgery Services"/>
    <x v="0"/>
    <n v="1003"/>
    <n v="4062"/>
    <n v="2596.4"/>
    <n v="975"/>
    <n v="1465.6"/>
    <n v="0"/>
    <n v="8775"/>
    <n v="425"/>
    <n v="0"/>
    <n v="0"/>
    <n v="2300"/>
    <n v="4250"/>
    <n v="758.4"/>
    <n v="25607.4"/>
    <n v="3491.6"/>
  </r>
  <r>
    <x v="11"/>
    <x v="4"/>
    <x v="0"/>
    <s v="4400103"/>
    <n v="721150"/>
    <s v="Supplies-Other Implants - Billable"/>
    <s v="Surgery Services"/>
    <x v="0"/>
    <m/>
    <n v="84310.6"/>
    <n v="30112.45"/>
    <n v="36192.99"/>
    <n v="26469.25"/>
    <n v="55266.36"/>
    <n v="63703.35"/>
    <n v="31018.16"/>
    <n v="11270"/>
    <n v="20457.07"/>
    <n v="11913.07"/>
    <n v="18251.14"/>
    <n v="20236.740000000002"/>
    <n v="409201.18"/>
    <n v="-1985.6000000000022"/>
  </r>
  <r>
    <x v="11"/>
    <x v="4"/>
    <x v="0"/>
    <s v="4400103"/>
    <n v="721150"/>
    <s v="Surgical Orthopedic"/>
    <s v="Surgery Services"/>
    <x v="0"/>
    <n v="1000"/>
    <n v="3540.66"/>
    <n v="33381.199999999997"/>
    <n v="8840.7900000000009"/>
    <n v="10888.62"/>
    <n v="8168.64"/>
    <n v="19809.63"/>
    <n v="16020.44"/>
    <n v="4827.91"/>
    <n v="9544.36"/>
    <n v="7683.94"/>
    <n v="8990.0400000000009"/>
    <n v="7405.48"/>
    <n v="139101.71000000002"/>
    <n v="1584.5600000000013"/>
  </r>
  <r>
    <x v="11"/>
    <x v="4"/>
    <x v="0"/>
    <s v="4400103"/>
    <n v="721150"/>
    <s v="Fracture Management"/>
    <s v="Surgery Services"/>
    <x v="0"/>
    <n v="1001"/>
    <n v="77453.279999999999"/>
    <n v="109621.05"/>
    <n v="64187.86"/>
    <n v="98418.45"/>
    <n v="106314.26"/>
    <n v="136864.20000000001"/>
    <n v="76470.48"/>
    <n v="73121.710000000006"/>
    <n v="108895.36"/>
    <n v="102276.37"/>
    <n v="82167.88"/>
    <n v="53009.49"/>
    <n v="1088800.3900000001"/>
    <n v="29158.390000000007"/>
  </r>
  <r>
    <x v="11"/>
    <x v="4"/>
    <x v="0"/>
    <s v="4400103"/>
    <n v="721150"/>
    <s v="Urological Implants"/>
    <s v="Surgery Services"/>
    <x v="0"/>
    <n v="1004"/>
    <n v="9471"/>
    <n v="7669"/>
    <n v="5495.28"/>
    <n v="13064"/>
    <n v="3904.39"/>
    <n v="26628.55"/>
    <n v="11769.34"/>
    <n v="1958.68"/>
    <n v="1535.35"/>
    <n v="635.71"/>
    <n v="17071.68"/>
    <n v="10697.34"/>
    <n v="109900.32"/>
    <n v="6374.34"/>
  </r>
  <r>
    <x v="11"/>
    <x v="4"/>
    <x v="0"/>
    <s v="4400103"/>
    <n v="721220"/>
    <s v="Supplies-Medical Gases - Billable"/>
    <s v="Surgery Services"/>
    <x v="0"/>
    <m/>
    <n v="1377.31"/>
    <n v="1326.08"/>
    <n v="0"/>
    <n v="2774.54"/>
    <n v="1372.05"/>
    <n v="1389.49"/>
    <n v="1368.19"/>
    <n v="2756.13"/>
    <n v="1416.77"/>
    <n v="1414.91"/>
    <n v="0"/>
    <n v="2848.16"/>
    <n v="18043.63"/>
    <n v="-2848.16"/>
  </r>
  <r>
    <x v="11"/>
    <x v="4"/>
    <x v="0"/>
    <s v="4400103"/>
    <n v="721240"/>
    <s v="Supplies-IV Solutions/Supplies - Billable"/>
    <s v="Surgery Services"/>
    <x v="0"/>
    <m/>
    <n v="1787.73"/>
    <n v="1894.42"/>
    <n v="995.29"/>
    <n v="1169.6400000000001"/>
    <n v="1474.29"/>
    <n v="1626.93"/>
    <n v="1630.17"/>
    <n v="909.64"/>
    <n v="898.98"/>
    <n v="1231.6199999999999"/>
    <n v="1473.47"/>
    <n v="975.64"/>
    <n v="16067.819999999998"/>
    <n v="497.83000000000004"/>
  </r>
  <r>
    <x v="11"/>
    <x v="4"/>
    <x v="0"/>
    <s v="4400103"/>
    <n v="721410"/>
    <s v="Supplies-Medical - Nonbillable"/>
    <s v="Surgery Services"/>
    <x v="0"/>
    <m/>
    <n v="22687.599999999999"/>
    <n v="24847.47"/>
    <n v="15955.15"/>
    <n v="21438.01"/>
    <n v="20438.34"/>
    <n v="22867.17"/>
    <n v="19756.37"/>
    <n v="18286.55"/>
    <n v="22263.17"/>
    <n v="-20268.32"/>
    <n v="21455.89"/>
    <n v="14769.34"/>
    <n v="204496.73999999996"/>
    <n v="6686.5499999999993"/>
  </r>
  <r>
    <x v="11"/>
    <x v="4"/>
    <x v="0"/>
    <s v="4400103"/>
    <n v="721410"/>
    <s v="Patient Monitoring"/>
    <s v="Surgery Services"/>
    <x v="0"/>
    <n v="1000"/>
    <n v="0"/>
    <n v="0"/>
    <n v="0"/>
    <n v="0"/>
    <n v="1263.8499999999999"/>
    <n v="2.2000000000000002"/>
    <n v="0"/>
    <n v="0"/>
    <n v="0"/>
    <n v="857.22"/>
    <n v="257.17"/>
    <n v="0"/>
    <n v="2380.44"/>
    <n v="257.17"/>
  </r>
  <r>
    <x v="11"/>
    <x v="4"/>
    <x v="0"/>
    <s v="4400103"/>
    <n v="721420"/>
    <s v="Supplies-Surgical Nonbillable"/>
    <s v="Surgery Services"/>
    <x v="0"/>
    <m/>
    <n v="25656.97"/>
    <n v="18847.580000000002"/>
    <n v="17307.490000000002"/>
    <n v="22323.18"/>
    <n v="22802.639999999999"/>
    <n v="24435.3"/>
    <n v="23314.99"/>
    <n v="20148.34"/>
    <n v="13501.79"/>
    <n v="18974.38"/>
    <n v="21378.26"/>
    <n v="12289.91"/>
    <n v="240980.83000000002"/>
    <n v="9088.3499999999985"/>
  </r>
  <r>
    <x v="11"/>
    <x v="4"/>
    <x v="0"/>
    <s v="4400103"/>
    <n v="721420"/>
    <s v="Tubes Drains &amp; Related Supplies"/>
    <s v="Surgery Services"/>
    <x v="0"/>
    <n v="1008"/>
    <n v="1719.19"/>
    <n v="2804.3"/>
    <n v="1113.93"/>
    <n v="1743.87"/>
    <n v="2357.71"/>
    <n v="2579.37"/>
    <n v="1412.98"/>
    <n v="1466.65"/>
    <n v="543.5"/>
    <n v="1341"/>
    <n v="1750.94"/>
    <n v="741.11"/>
    <n v="19574.55"/>
    <n v="1009.83"/>
  </r>
  <r>
    <x v="11"/>
    <x v="4"/>
    <x v="0"/>
    <s v="4400103"/>
    <n v="721420"/>
    <s v="Sterilization Process Products"/>
    <s v="Surgery Services"/>
    <x v="0"/>
    <n v="1009"/>
    <n v="0"/>
    <n v="0"/>
    <n v="0"/>
    <n v="1112.19"/>
    <n v="333"/>
    <n v="0"/>
    <n v="434.38"/>
    <n v="489.38"/>
    <n v="786.66"/>
    <n v="1479.11"/>
    <n v="1276.04"/>
    <n v="1334.27"/>
    <n v="7245.0300000000007"/>
    <n v="-58.230000000000018"/>
  </r>
  <r>
    <x v="11"/>
    <x v="4"/>
    <x v="0"/>
    <s v="4400103"/>
    <n v="721610"/>
    <s v="Supplies-Anesthesia - Nonbillable"/>
    <s v="Surgery Services"/>
    <x v="0"/>
    <m/>
    <n v="4605.1000000000004"/>
    <n v="4411.8500000000004"/>
    <n v="3836.2"/>
    <n v="5276.44"/>
    <n v="4773.54"/>
    <n v="5523.35"/>
    <n v="6095.14"/>
    <n v="4934.6899999999996"/>
    <n v="12550.25"/>
    <n v="13801.03"/>
    <n v="14973.47"/>
    <n v="21786.91"/>
    <n v="102567.97000000002"/>
    <n v="-6813.4400000000005"/>
  </r>
  <r>
    <x v="11"/>
    <x v="4"/>
    <x v="0"/>
    <s v="4400103"/>
    <n v="721640"/>
    <s v="Supplies-IV Solutions/Supplies - Nonbillable"/>
    <s v="Surgery Services"/>
    <x v="0"/>
    <m/>
    <n v="272.22000000000003"/>
    <n v="89.04"/>
    <n v="226.97"/>
    <n v="232.15"/>
    <n v="355.86"/>
    <n v="330.76"/>
    <n v="334.54"/>
    <n v="83.57"/>
    <n v="61.89"/>
    <n v="256.2"/>
    <n v="324.38"/>
    <n v="61.2"/>
    <n v="2628.7799999999997"/>
    <n v="263.18"/>
  </r>
  <r>
    <x v="11"/>
    <x v="4"/>
    <x v="0"/>
    <s v="4400103"/>
    <n v="721650"/>
    <s v="Supplies-Pharmacy Drugs - Nonbillable"/>
    <s v="Surgery Services"/>
    <x v="0"/>
    <m/>
    <n v="55.37"/>
    <n v="59.75"/>
    <n v="38.15"/>
    <n v="54.23"/>
    <n v="54.71"/>
    <n v="74.650000000000006"/>
    <n v="62.54"/>
    <n v="45.6"/>
    <n v="64.31"/>
    <n v="56.25"/>
    <n v="50.45"/>
    <n v="43.52"/>
    <n v="659.53000000000009"/>
    <n v="6.93"/>
  </r>
  <r>
    <x v="11"/>
    <x v="4"/>
    <x v="0"/>
    <s v="4400103"/>
    <n v="721710"/>
    <s v="Supplies-Laboratory - Nonbillable"/>
    <s v="Surgery Services"/>
    <x v="0"/>
    <m/>
    <n v="1684.44"/>
    <n v="-12.58"/>
    <n v="238.17"/>
    <n v="121.62"/>
    <n v="243.44"/>
    <n v="319.82"/>
    <n v="379.1"/>
    <n v="284.2"/>
    <n v="210.14"/>
    <n v="318.07"/>
    <n v="244.9"/>
    <n v="179.69"/>
    <n v="4211.01"/>
    <n v="65.210000000000008"/>
  </r>
  <r>
    <x v="11"/>
    <x v="4"/>
    <x v="0"/>
    <s v="4400103"/>
    <n v="721710"/>
    <s v="Reagents"/>
    <s v="Surgery Services"/>
    <x v="0"/>
    <n v="1000"/>
    <n v="0"/>
    <n v="0"/>
    <n v="100.33"/>
    <n v="200.66"/>
    <n v="0"/>
    <n v="100.33"/>
    <n v="0"/>
    <n v="0"/>
    <n v="100.33"/>
    <n v="300.98"/>
    <n v="100.33"/>
    <n v="200.66"/>
    <n v="1103.6200000000001"/>
    <n v="-100.33"/>
  </r>
  <r>
    <x v="11"/>
    <x v="4"/>
    <x v="0"/>
    <s v="4400103"/>
    <n v="721750"/>
    <s v="Supplies-Film/Radiographic - Nonbillable"/>
    <s v="Surgery Services"/>
    <x v="0"/>
    <m/>
    <n v="91.69"/>
    <n v="1.17"/>
    <n v="14.28"/>
    <n v="11.71"/>
    <n v="17.89"/>
    <n v="21.08"/>
    <n v="18.75"/>
    <n v="17.57"/>
    <n v="11.72"/>
    <n v="0.94"/>
    <n v="39.340000000000003"/>
    <n v="5.86"/>
    <n v="252"/>
    <n v="33.480000000000004"/>
  </r>
  <r>
    <x v="11"/>
    <x v="4"/>
    <x v="0"/>
    <s v="4400103"/>
    <n v="721810"/>
    <s v="Supplies-Dietary/Cafeteria"/>
    <s v="Surgery Services"/>
    <x v="0"/>
    <m/>
    <n v="2560.88"/>
    <n v="2465.38"/>
    <n v="2239.29"/>
    <n v="2612.1"/>
    <n v="2502.98"/>
    <n v="2533.6799999999998"/>
    <n v="2635.34"/>
    <n v="2418.46"/>
    <n v="106.42"/>
    <n v="4265.74"/>
    <n v="2868.48"/>
    <n v="1846.22"/>
    <n v="29054.969999999998"/>
    <n v="1022.26"/>
  </r>
  <r>
    <x v="11"/>
    <x v="4"/>
    <x v="0"/>
    <s v="4400103"/>
    <n v="721830"/>
    <s v="Supplies-Office"/>
    <s v="Surgery Services"/>
    <x v="0"/>
    <m/>
    <n v="1341.68"/>
    <n v="1405.13"/>
    <n v="314.81"/>
    <n v="1342.05"/>
    <n v="394.34"/>
    <n v="1150.05"/>
    <n v="156.68"/>
    <n v="917.39"/>
    <n v="543.29999999999995"/>
    <n v="1770.17"/>
    <n v="463"/>
    <n v="-113.22"/>
    <n v="9685.3800000000028"/>
    <n v="576.22"/>
  </r>
  <r>
    <x v="11"/>
    <x v="4"/>
    <x v="0"/>
    <s v="4400103"/>
    <n v="721835"/>
    <s v="Supplies-Forms"/>
    <s v="Surgery Services"/>
    <x v="0"/>
    <m/>
    <n v="0"/>
    <n v="0"/>
    <n v="0"/>
    <n v="0"/>
    <n v="28.82"/>
    <n v="2.4500000000000002"/>
    <n v="0.82"/>
    <n v="0"/>
    <n v="16.350000000000001"/>
    <n v="230.67"/>
    <n v="2.78"/>
    <n v="214.51"/>
    <n v="496.4"/>
    <n v="-211.73"/>
  </r>
  <r>
    <x v="11"/>
    <x v="4"/>
    <x v="0"/>
    <s v="4400103"/>
    <n v="721870"/>
    <s v="Supplies-Environmental Services"/>
    <s v="Surgery Services"/>
    <x v="0"/>
    <m/>
    <n v="651.27"/>
    <n v="2123.56"/>
    <n v="775.4"/>
    <n v="1140.8800000000001"/>
    <n v="-16.66"/>
    <n v="1838.19"/>
    <n v="1131.67"/>
    <n v="1591.31"/>
    <n v="674.09"/>
    <n v="1785.94"/>
    <n v="1183.6600000000001"/>
    <n v="491.13"/>
    <n v="13370.44"/>
    <n v="692.53000000000009"/>
  </r>
  <r>
    <x v="11"/>
    <x v="4"/>
    <x v="0"/>
    <s v="4400103"/>
    <n v="721910"/>
    <s v="Supplies-Small Equipment"/>
    <s v="Surgery Services"/>
    <x v="0"/>
    <m/>
    <n v="13856.09"/>
    <n v="10748.2"/>
    <n v="4480.58"/>
    <n v="2151"/>
    <n v="10687.07"/>
    <n v="27060.68"/>
    <n v="16704.82"/>
    <n v="7277.97"/>
    <n v="14115.87"/>
    <n v="9111.32"/>
    <n v="7257.78"/>
    <n v="11006.34"/>
    <n v="134457.72"/>
    <n v="-3748.5600000000004"/>
  </r>
  <r>
    <x v="11"/>
    <x v="4"/>
    <x v="0"/>
    <s v="4400103"/>
    <n v="721910"/>
    <s v="Instruments"/>
    <s v="Surgery Services"/>
    <x v="0"/>
    <n v="1000"/>
    <n v="10532.59"/>
    <n v="13762.15"/>
    <n v="12237.5"/>
    <n v="16039.98"/>
    <n v="16681.96"/>
    <n v="24264.400000000001"/>
    <n v="15430.8"/>
    <n v="25688.19"/>
    <n v="14295.04"/>
    <n v="18586.23"/>
    <n v="15902"/>
    <n v="9637"/>
    <n v="193057.84"/>
    <n v="6265"/>
  </r>
  <r>
    <x v="11"/>
    <x v="4"/>
    <x v="0"/>
    <s v="4400103"/>
    <n v="721980"/>
    <s v="Supplies-Other"/>
    <s v="Surgery Services"/>
    <x v="0"/>
    <m/>
    <n v="57.42"/>
    <n v="222.38"/>
    <n v="3767.89"/>
    <n v="894.85"/>
    <n v="0"/>
    <n v="391.86"/>
    <n v="0"/>
    <n v="8948.33"/>
    <n v="0"/>
    <n v="899.26"/>
    <n v="2017.56"/>
    <n v="14.98"/>
    <n v="17214.53"/>
    <n v="2002.58"/>
  </r>
  <r>
    <x v="11"/>
    <x v="4"/>
    <x v="0"/>
    <s v="4400103"/>
    <n v="722000"/>
    <s v="Supplies-Freight Expense"/>
    <s v="Surgery Services"/>
    <x v="0"/>
    <m/>
    <n v="948.82"/>
    <n v="2720.54"/>
    <n v="1495.54"/>
    <n v="1384.02"/>
    <n v="1245.8900000000001"/>
    <n v="2251.88"/>
    <n v="2462.08"/>
    <n v="1074.27"/>
    <n v="2597.5"/>
    <n v="1301.7"/>
    <n v="1790.66"/>
    <n v="1171.3699999999999"/>
    <n v="20444.27"/>
    <n v="619.29000000000019"/>
  </r>
  <r>
    <x v="11"/>
    <x v="4"/>
    <x v="0"/>
    <s v="4400103"/>
    <n v="722000"/>
    <s v="Minimum Order Fees"/>
    <s v="Surgery Services"/>
    <x v="0"/>
    <n v="1000"/>
    <n v="0"/>
    <n v="0"/>
    <n v="0"/>
    <n v="13.67"/>
    <n v="0"/>
    <n v="0"/>
    <n v="0"/>
    <n v="0"/>
    <n v="0"/>
    <n v="0"/>
    <n v="0"/>
    <n v="7.56"/>
    <n v="21.23"/>
    <n v="-7.56"/>
  </r>
  <r>
    <x v="11"/>
    <x v="4"/>
    <x v="0"/>
    <s v="4400103"/>
    <n v="723000"/>
    <s v="Supply Rebates/Patronage Dividend"/>
    <s v="Surgery Services"/>
    <x v="0"/>
    <m/>
    <n v="0"/>
    <n v="0"/>
    <n v="-2667.25"/>
    <n v="0"/>
    <n v="0"/>
    <n v="-3489.17"/>
    <n v="0"/>
    <n v="0"/>
    <n v="-6187.94"/>
    <n v="0"/>
    <n v="0"/>
    <n v="-9617.73"/>
    <n v="-21962.09"/>
    <n v="9617.73"/>
  </r>
  <r>
    <x v="12"/>
    <x v="4"/>
    <x v="0"/>
    <s v="4400103"/>
    <n v="730020"/>
    <s v="Rental and Leases-Equipment (DO NOT USE)"/>
    <s v="Surgery Services"/>
    <x v="0"/>
    <m/>
    <n v="10666.2"/>
    <n v="7294.94"/>
    <n v="5857.43"/>
    <n v="8990.0499999999993"/>
    <n v="7496.83"/>
    <n v="9164.91"/>
    <n v="6014.81"/>
    <n v="8956.17"/>
    <n v="15814.7"/>
    <n v="9159.26"/>
    <n v="15470.7"/>
    <n v="7214.92"/>
    <n v="112100.91999999998"/>
    <n v="8255.7800000000007"/>
  </r>
  <r>
    <x v="12"/>
    <x v="4"/>
    <x v="0"/>
    <s v="4400103"/>
    <n v="730020"/>
    <s v="Rental and Leases-Copier Usage Fees (DO NOT USE)"/>
    <s v="Surgery Services"/>
    <x v="0"/>
    <n v="5100"/>
    <n v="419.71"/>
    <n v="424.84"/>
    <n v="422.27"/>
    <n v="422.27"/>
    <n v="422.27"/>
    <n v="422.27"/>
    <n v="223.56"/>
    <n v="370.07"/>
    <n v="369.3"/>
    <n v="468.27"/>
    <n v="370.07"/>
    <n v="374.59"/>
    <n v="4709.49"/>
    <n v="-4.5199999999999818"/>
  </r>
  <r>
    <x v="15"/>
    <x v="4"/>
    <x v="0"/>
    <s v="4400103"/>
    <n v="731060"/>
    <s v="Telephone"/>
    <s v="Surgery Services"/>
    <x v="0"/>
    <m/>
    <n v="0"/>
    <n v="0"/>
    <n v="0"/>
    <n v="0"/>
    <n v="0"/>
    <n v="0"/>
    <n v="0"/>
    <n v="0"/>
    <n v="0"/>
    <n v="0"/>
    <n v="0"/>
    <n v="39"/>
    <n v="39"/>
    <n v="-39"/>
  </r>
  <r>
    <x v="15"/>
    <x v="4"/>
    <x v="0"/>
    <s v="4400103"/>
    <n v="731060"/>
    <s v="Cell Phones"/>
    <s v="Surgery Services"/>
    <x v="0"/>
    <n v="1001"/>
    <n v="0"/>
    <n v="230.6"/>
    <n v="50.77"/>
    <n v="0"/>
    <n v="50.91"/>
    <n v="51.5"/>
    <n v="103.03"/>
    <n v="0"/>
    <n v="52.53"/>
    <n v="103"/>
    <n v="51.32"/>
    <n v="51.77"/>
    <n v="745.43"/>
    <n v="-0.45000000000000284"/>
  </r>
  <r>
    <x v="15"/>
    <x v="4"/>
    <x v="0"/>
    <s v="4400103"/>
    <n v="731060"/>
    <s v="Pagers"/>
    <s v="Surgery Services"/>
    <x v="0"/>
    <n v="1002"/>
    <n v="81.900000000000006"/>
    <n v="81.900000000000006"/>
    <n v="81.900000000000006"/>
    <n v="81.98"/>
    <n v="73.86"/>
    <n v="0"/>
    <n v="147.72"/>
    <n v="73.86"/>
    <n v="73.86"/>
    <n v="73.86"/>
    <n v="73.86"/>
    <n v="73.86"/>
    <n v="918.56000000000006"/>
    <n v="0"/>
  </r>
  <r>
    <x v="16"/>
    <x v="4"/>
    <x v="0"/>
    <s v="4400103"/>
    <n v="732015"/>
    <s v="Repairs-Clinical Equip-T&amp;M-Ext to CHI Programs"/>
    <s v="Surgery Services"/>
    <x v="0"/>
    <m/>
    <n v="0"/>
    <n v="0"/>
    <n v="0"/>
    <n v="0"/>
    <n v="0"/>
    <n v="0"/>
    <n v="5650"/>
    <n v="0"/>
    <n v="0"/>
    <n v="4620.38"/>
    <n v="0"/>
    <n v="457.42"/>
    <n v="10727.800000000001"/>
    <n v="-457.42"/>
  </r>
  <r>
    <x v="16"/>
    <x v="4"/>
    <x v="0"/>
    <s v="4400103"/>
    <n v="732020"/>
    <s v="Repairs--Clin Equip-Parts-Internal to CHI Programs"/>
    <s v="Surgery Services"/>
    <x v="0"/>
    <m/>
    <n v="211.84"/>
    <n v="211.84"/>
    <n v="211.84"/>
    <n v="210.11"/>
    <n v="0"/>
    <n v="211.84"/>
    <n v="211.84"/>
    <n v="211.84"/>
    <n v="211.84"/>
    <n v="211.84"/>
    <n v="211.84"/>
    <n v="211.84"/>
    <n v="2328.5099999999998"/>
    <n v="0"/>
  </r>
  <r>
    <x v="16"/>
    <x v="4"/>
    <x v="0"/>
    <s v="4400103"/>
    <n v="732030"/>
    <s v="Repairs---Other"/>
    <s v="Surgery Services"/>
    <x v="0"/>
    <m/>
    <n v="0"/>
    <n v="0"/>
    <n v="-7410"/>
    <n v="6696.76"/>
    <n v="22.4"/>
    <n v="122.47"/>
    <n v="0"/>
    <n v="0"/>
    <n v="2871.9"/>
    <n v="0"/>
    <n v="332.5"/>
    <n v="-122.47"/>
    <n v="2513.5600000000004"/>
    <n v="454.97"/>
  </r>
  <r>
    <x v="16"/>
    <x v="4"/>
    <x v="0"/>
    <s v="4400103"/>
    <n v="733030"/>
    <s v="Maintenance Contracts-Other"/>
    <s v="Surgery Services"/>
    <x v="0"/>
    <m/>
    <n v="5401.6"/>
    <n v="5401.6"/>
    <n v="5401.6"/>
    <n v="5401.6"/>
    <n v="5401.6"/>
    <n v="5401.6"/>
    <n v="0"/>
    <n v="10803.2"/>
    <n v="5401.6"/>
    <n v="5401.6"/>
    <n v="5401.6"/>
    <n v="5401.6"/>
    <n v="64819.199999999997"/>
    <n v="0"/>
  </r>
  <r>
    <x v="13"/>
    <x v="4"/>
    <x v="0"/>
    <s v="4400103"/>
    <n v="735040"/>
    <s v="Depreciation-Building Improvements"/>
    <s v="Surgery Services"/>
    <x v="0"/>
    <m/>
    <n v="336.8"/>
    <n v="336.8"/>
    <n v="472.53"/>
    <n v="609.75"/>
    <n v="609.75"/>
    <n v="609.75"/>
    <n v="403.92"/>
    <n v="403.9"/>
    <n v="403.92"/>
    <n v="403.9"/>
    <n v="403.92"/>
    <n v="403.9"/>
    <n v="5398.8399999999992"/>
    <n v="2.0000000000038654E-2"/>
  </r>
  <r>
    <x v="13"/>
    <x v="4"/>
    <x v="0"/>
    <s v="4400103"/>
    <n v="735070"/>
    <s v="Depreciation-Movable Equipment"/>
    <s v="Surgery Services"/>
    <x v="0"/>
    <m/>
    <n v="106450.48"/>
    <n v="106450.44"/>
    <n v="106450.52"/>
    <n v="106768.97"/>
    <n v="106769.13"/>
    <n v="110784.07"/>
    <n v="125911.88"/>
    <n v="107853.27"/>
    <n v="130853.57"/>
    <n v="130853.19"/>
    <n v="132462.76999999999"/>
    <n v="132462.32999999999"/>
    <n v="1404070.62"/>
    <n v="0.44000000000232831"/>
  </r>
  <r>
    <x v="13"/>
    <x v="4"/>
    <x v="0"/>
    <s v="4400103"/>
    <n v="735070"/>
    <s v="Depreciation-DaVinci Robot"/>
    <s v="Surgery Services"/>
    <x v="0"/>
    <n v="1000"/>
    <n v="53278.78"/>
    <n v="53278.77"/>
    <n v="53278.79"/>
    <n v="53278.77"/>
    <n v="53278.79"/>
    <n v="53278.77"/>
    <n v="53278.79"/>
    <n v="53278.77"/>
    <n v="53278.79"/>
    <n v="53278.77"/>
    <n v="53278.79"/>
    <n v="53278.77"/>
    <n v="639345.35"/>
    <n v="2.0000000004074536E-2"/>
  </r>
  <r>
    <x v="0"/>
    <x v="4"/>
    <x v="0"/>
    <s v="4400103"/>
    <n v="740020"/>
    <s v="Education-Registration Fees"/>
    <s v="Surgery Services"/>
    <x v="0"/>
    <m/>
    <n v="0"/>
    <n v="0"/>
    <n v="0"/>
    <n v="0"/>
    <n v="0"/>
    <n v="0"/>
    <n v="0"/>
    <n v="945"/>
    <n v="0"/>
    <n v="0"/>
    <n v="990.9"/>
    <n v="0"/>
    <n v="1935.9"/>
    <n v="990.9"/>
  </r>
  <r>
    <x v="0"/>
    <x v="4"/>
    <x v="0"/>
    <s v="4400103"/>
    <n v="742030"/>
    <s v="Freight-Courier"/>
    <s v="Surgery Services"/>
    <x v="0"/>
    <m/>
    <n v="0"/>
    <n v="160"/>
    <n v="0"/>
    <n v="0"/>
    <n v="0"/>
    <n v="0"/>
    <n v="0"/>
    <n v="0"/>
    <n v="0"/>
    <n v="0"/>
    <n v="0"/>
    <n v="185"/>
    <n v="345"/>
    <n v="-185"/>
  </r>
  <r>
    <x v="0"/>
    <x v="4"/>
    <x v="0"/>
    <s v="4400103"/>
    <n v="743030"/>
    <s v="Subscriptions--Institutional"/>
    <s v="Surgery Services"/>
    <x v="0"/>
    <m/>
    <n v="0"/>
    <n v="0"/>
    <n v="0"/>
    <n v="0"/>
    <n v="0"/>
    <n v="292.42"/>
    <n v="195.96"/>
    <n v="234.98"/>
    <n v="555"/>
    <n v="0"/>
    <n v="79.849999999999994"/>
    <n v="0"/>
    <n v="1358.21"/>
    <n v="79.849999999999994"/>
  </r>
  <r>
    <x v="0"/>
    <x v="4"/>
    <x v="0"/>
    <s v="4400103"/>
    <n v="749510"/>
    <s v="Miscellaneous Expenses"/>
    <s v="Surgery Services"/>
    <x v="0"/>
    <m/>
    <n v="395"/>
    <n v="6769.93"/>
    <n v="35.700000000000003"/>
    <n v="1075.6600000000001"/>
    <n v="1874.65"/>
    <n v="-915.31"/>
    <n v="187.09"/>
    <n v="987.07"/>
    <n v="-300.42"/>
    <n v="1448.71"/>
    <n v="85.89"/>
    <n v="63.6"/>
    <n v="11707.570000000002"/>
    <n v="22.29"/>
  </r>
  <r>
    <x v="0"/>
    <x v="4"/>
    <x v="0"/>
    <s v="4400103"/>
    <n v="749510"/>
    <s v="Licenses"/>
    <s v="Surgery Services"/>
    <x v="0"/>
    <n v="1002"/>
    <n v="500"/>
    <n v="895"/>
    <n v="0"/>
    <n v="0"/>
    <n v="0"/>
    <n v="1500"/>
    <n v="500"/>
    <n v="1000"/>
    <n v="500"/>
    <n v="500"/>
    <n v="500"/>
    <n v="500"/>
    <n v="6395"/>
    <n v="0"/>
  </r>
  <r>
    <x v="0"/>
    <x v="4"/>
    <x v="0"/>
    <s v="4400103"/>
    <n v="749510"/>
    <s v="Casualty Loss/Patient Property"/>
    <s v="Surgery Services"/>
    <x v="0"/>
    <n v="4601"/>
    <n v="0"/>
    <n v="0"/>
    <n v="0"/>
    <n v="0"/>
    <n v="0"/>
    <n v="0"/>
    <n v="0"/>
    <n v="1300"/>
    <n v="0"/>
    <n v="0"/>
    <n v="0"/>
    <n v="0"/>
    <n v="1300"/>
    <n v="0"/>
  </r>
  <r>
    <x v="0"/>
    <x v="4"/>
    <x v="0"/>
    <s v="4400103"/>
    <n v="749530"/>
    <s v="Travel"/>
    <s v="Surgery Services"/>
    <x v="0"/>
    <m/>
    <n v="0"/>
    <n v="0"/>
    <n v="0"/>
    <n v="0"/>
    <n v="0"/>
    <n v="265.89999999999998"/>
    <n v="262.32"/>
    <n v="365.66"/>
    <n v="0"/>
    <n v="0"/>
    <n v="0"/>
    <n v="0"/>
    <n v="893.88000000000011"/>
    <n v="0"/>
  </r>
  <r>
    <x v="0"/>
    <x v="4"/>
    <x v="0"/>
    <s v="4400103"/>
    <n v="749535"/>
    <s v="Meetings"/>
    <s v="Surgery Services"/>
    <x v="0"/>
    <m/>
    <n v="0"/>
    <n v="0"/>
    <n v="0"/>
    <n v="0"/>
    <n v="0"/>
    <n v="612.33000000000004"/>
    <n v="0"/>
    <n v="0"/>
    <n v="0"/>
    <n v="0"/>
    <n v="0"/>
    <n v="0"/>
    <n v="612.33000000000004"/>
    <n v="0"/>
  </r>
  <r>
    <x v="18"/>
    <x v="8"/>
    <x v="0"/>
    <s v="4400104"/>
    <n v="400010"/>
    <s v="Acute I/P Svcs Rev--Medicare"/>
    <s v="Surgery Services"/>
    <x v="0"/>
    <n v="1100"/>
    <n v="-2871961.31"/>
    <n v="-4711866.83"/>
    <n v="-3731805.3"/>
    <n v="-3756069.4"/>
    <n v="-2670512.6"/>
    <n v="-3188308.27"/>
    <n v="-3924694.39"/>
    <n v="-2655911.92"/>
    <n v="-3459759.86"/>
    <n v="-2395417.5"/>
    <n v="-2502854.0499999998"/>
    <n v="-2110051.86"/>
    <n v="-37979213.289999999"/>
    <n v="-392802.18999999994"/>
  </r>
  <r>
    <x v="18"/>
    <x v="8"/>
    <x v="0"/>
    <s v="4400104"/>
    <n v="400010"/>
    <s v="Acute I/P Svcs Rev--Medicaid"/>
    <s v="Surgery Services"/>
    <x v="0"/>
    <n v="1200"/>
    <n v="-413402.14"/>
    <n v="-428755.34"/>
    <n v="-231140.26"/>
    <n v="-431921.38"/>
    <n v="-454702.66"/>
    <n v="-755072.28"/>
    <n v="-551497.02"/>
    <n v="-337866.77"/>
    <n v="-403290.81"/>
    <n v="-569813.28"/>
    <n v="-273684.28999999998"/>
    <n v="-384914.8"/>
    <n v="-5236061.03"/>
    <n v="111230.51000000001"/>
  </r>
  <r>
    <x v="18"/>
    <x v="8"/>
    <x v="0"/>
    <s v="4400104"/>
    <n v="400010"/>
    <s v="Acute I/P Svcs Rev--Comm Insurance"/>
    <s v="Surgery Services"/>
    <x v="0"/>
    <n v="1300"/>
    <n v="-440414.43"/>
    <n v="94518.02"/>
    <n v="-165310.60999999999"/>
    <n v="-10890.08"/>
    <n v="-356356.31"/>
    <n v="-173775.23"/>
    <n v="-45912.160000000003"/>
    <n v="-211343.95"/>
    <n v="33430.94"/>
    <n v="18152.84"/>
    <n v="-75765.19"/>
    <n v="-183021.46"/>
    <n v="-1516687.6199999996"/>
    <n v="107256.26999999999"/>
  </r>
  <r>
    <x v="18"/>
    <x v="8"/>
    <x v="0"/>
    <s v="4400104"/>
    <n v="400010"/>
    <s v="Acute I/P Svcs Rev--BCBS Comm"/>
    <s v="Surgery Services"/>
    <x v="0"/>
    <n v="1301"/>
    <n v="-302073.98"/>
    <n v="-589151.69999999995"/>
    <n v="-596131.49"/>
    <n v="-957927.89"/>
    <n v="-465734.89"/>
    <n v="-254199.09"/>
    <n v="-945629.82"/>
    <n v="-892259.93"/>
    <n v="-264772.18"/>
    <n v="-209506.83"/>
    <n v="-640994.69999999995"/>
    <n v="-343057.22"/>
    <n v="-6461439.7199999997"/>
    <n v="-297937.48"/>
  </r>
  <r>
    <x v="18"/>
    <x v="8"/>
    <x v="0"/>
    <s v="4400104"/>
    <n v="400010"/>
    <s v="Acute I/P Svcs Rev--Managed Care"/>
    <s v="Surgery Services"/>
    <x v="0"/>
    <n v="1400"/>
    <n v="-953528.26"/>
    <n v="-2004278.89"/>
    <n v="-1233571.8799999999"/>
    <n v="-1292665.8400000001"/>
    <n v="-781909.62"/>
    <n v="-895178.52"/>
    <n v="-884431.19"/>
    <n v="-710049.17"/>
    <n v="-1381286.99"/>
    <n v="-711523.06"/>
    <n v="-885077.02"/>
    <n v="-361016.93"/>
    <n v="-12094517.369999999"/>
    <n v="-524060.09"/>
  </r>
  <r>
    <x v="18"/>
    <x v="8"/>
    <x v="0"/>
    <s v="4400104"/>
    <n v="400010"/>
    <s v="Acute I/P Svcs Rev--Self Pay"/>
    <s v="Surgery Services"/>
    <x v="0"/>
    <n v="1500"/>
    <n v="-54767.98"/>
    <n v="-87765.85"/>
    <n v="-157151.32999999999"/>
    <n v="-20293.75"/>
    <n v="-62546.32"/>
    <n v="-108922.48"/>
    <n v="-45251.64"/>
    <n v="-114422.92"/>
    <n v="85793.06"/>
    <n v="10474.99"/>
    <n v="0"/>
    <n v="-26265.11"/>
    <n v="-581119.32999999996"/>
    <n v="26265.11"/>
  </r>
  <r>
    <x v="18"/>
    <x v="8"/>
    <x v="0"/>
    <s v="4400104"/>
    <n v="400010"/>
    <s v="Acute I/P Svcs Rev--Other"/>
    <s v="Surgery Services"/>
    <x v="0"/>
    <n v="1700"/>
    <n v="-216604.09"/>
    <n v="-314694.51"/>
    <n v="-297091.27"/>
    <n v="-214506.84"/>
    <n v="-96600.960000000006"/>
    <n v="-233564.14"/>
    <n v="-521219.87"/>
    <n v="-146122.20000000001"/>
    <n v="-381393.31"/>
    <n v="-198546.15"/>
    <n v="-95568.37"/>
    <n v="-670009.55000000005"/>
    <n v="-3385921.26"/>
    <n v="574441.18000000005"/>
  </r>
  <r>
    <x v="19"/>
    <x v="8"/>
    <x v="0"/>
    <s v="4400104"/>
    <n v="400020"/>
    <s v="O/P Care Svcs Rev--Medicare"/>
    <s v="Surgery Services"/>
    <x v="0"/>
    <n v="1100"/>
    <n v="-3367970.42"/>
    <n v="-3322088.57"/>
    <n v="-3663452.64"/>
    <n v="-3444738.47"/>
    <n v="-2989680.98"/>
    <n v="-2240519.31"/>
    <n v="-3973585.25"/>
    <n v="-2906634.04"/>
    <n v="-4585004.49"/>
    <n v="-3465767.28"/>
    <n v="-3622589.33"/>
    <n v="-3724260.1"/>
    <n v="-41306290.880000003"/>
    <n v="101670.77000000002"/>
  </r>
  <r>
    <x v="19"/>
    <x v="8"/>
    <x v="0"/>
    <s v="4400104"/>
    <n v="400020"/>
    <s v="O/P Care Svcs Rev--Medicaid"/>
    <s v="Surgery Services"/>
    <x v="0"/>
    <n v="1200"/>
    <n v="-1286398.51"/>
    <n v="-1320238.52"/>
    <n v="-1318515.8700000001"/>
    <n v="-1290371.71"/>
    <n v="-1208086.3400000001"/>
    <n v="-1229446.92"/>
    <n v="-1837649.12"/>
    <n v="-1499837.09"/>
    <n v="-1297369.5"/>
    <n v="-1810797.18"/>
    <n v="-1839931.97"/>
    <n v="-1248441.5900000001"/>
    <n v="-17187084.32"/>
    <n v="-591490.37999999989"/>
  </r>
  <r>
    <x v="19"/>
    <x v="8"/>
    <x v="0"/>
    <s v="4400104"/>
    <n v="400020"/>
    <s v="O/P Care Svcs Rev--Comm Insurance"/>
    <s v="Surgery Services"/>
    <x v="0"/>
    <n v="1300"/>
    <n v="-211427.19"/>
    <n v="-19622.23"/>
    <n v="-149818.04"/>
    <n v="-457871.56"/>
    <n v="-289251.82"/>
    <n v="-952538.5"/>
    <n v="-198066.06"/>
    <n v="-151411.26999999999"/>
    <n v="-940322.71"/>
    <n v="-281742.37"/>
    <n v="-470965.82"/>
    <n v="-781306.74"/>
    <n v="-4904344.3099999996"/>
    <n v="310340.92"/>
  </r>
  <r>
    <x v="19"/>
    <x v="8"/>
    <x v="0"/>
    <s v="4400104"/>
    <n v="400020"/>
    <s v="O/P Care Svcs Rev--BCBS Comm"/>
    <s v="Surgery Services"/>
    <x v="0"/>
    <n v="1301"/>
    <n v="-1135858.27"/>
    <n v="-1550269.76"/>
    <n v="-1089794.01"/>
    <n v="-1642097.21"/>
    <n v="-1545646.76"/>
    <n v="-2393877.2599999998"/>
    <n v="-1260251.3400000001"/>
    <n v="-1633686.25"/>
    <n v="-1408149.8"/>
    <n v="-1333589.8500000001"/>
    <n v="-1692097.05"/>
    <n v="-1650410.98"/>
    <n v="-18335728.539999999"/>
    <n v="-41686.070000000065"/>
  </r>
  <r>
    <x v="19"/>
    <x v="8"/>
    <x v="0"/>
    <s v="4400104"/>
    <n v="400020"/>
    <s v="O/P Care Svcs Rev--Managed Care"/>
    <s v="Surgery Services"/>
    <x v="0"/>
    <n v="1400"/>
    <n v="-3490913.49"/>
    <n v="-2984576.26"/>
    <n v="-2602050.67"/>
    <n v="-3938611.74"/>
    <n v="-3079485.12"/>
    <n v="-3292146.67"/>
    <n v="-3066036.38"/>
    <n v="-2752433.82"/>
    <n v="-2968135.62"/>
    <n v="-3006095.89"/>
    <n v="-3398101.93"/>
    <n v="-3289134.84"/>
    <n v="-37867722.430000007"/>
    <n v="-108967.09000000032"/>
  </r>
  <r>
    <x v="19"/>
    <x v="8"/>
    <x v="0"/>
    <s v="4400104"/>
    <n v="400020"/>
    <s v="O/P Care Svcs Rev--Self Pay"/>
    <s v="Surgery Services"/>
    <x v="0"/>
    <n v="1500"/>
    <n v="-138216.64000000001"/>
    <n v="-344090.32"/>
    <n v="-254497.52"/>
    <n v="-113752.95"/>
    <n v="-85386.15"/>
    <n v="52562.11"/>
    <n v="-137013.5"/>
    <n v="-179853.38"/>
    <n v="-95175.77"/>
    <n v="-269697.73"/>
    <n v="-187631.97"/>
    <n v="-47746.25"/>
    <n v="-1800500.07"/>
    <n v="-139885.72"/>
  </r>
  <r>
    <x v="19"/>
    <x v="8"/>
    <x v="0"/>
    <s v="4400104"/>
    <n v="400020"/>
    <s v="O/P Care Svcs Rev--Other"/>
    <s v="Surgery Services"/>
    <x v="0"/>
    <n v="1700"/>
    <n v="-523913.07"/>
    <n v="-358782.84"/>
    <n v="-339439.69"/>
    <n v="-792839.79"/>
    <n v="-869121.5"/>
    <n v="-701637.21"/>
    <n v="-884280.3"/>
    <n v="-622712.16"/>
    <n v="-950369.5"/>
    <n v="-710927.23"/>
    <n v="-937988.44"/>
    <n v="-290210.81"/>
    <n v="-7982222.54"/>
    <n v="-647777.62999999989"/>
  </r>
  <r>
    <x v="14"/>
    <x v="8"/>
    <x v="0"/>
    <s v="4400104"/>
    <n v="600050"/>
    <s v="Miscellaneous Revenue"/>
    <s v="Surgery Services"/>
    <x v="0"/>
    <m/>
    <n v="0"/>
    <n v="0"/>
    <n v="0"/>
    <n v="0"/>
    <n v="0"/>
    <n v="0"/>
    <n v="-250"/>
    <n v="0"/>
    <n v="0"/>
    <n v="0"/>
    <n v="0"/>
    <n v="0"/>
    <n v="-250"/>
    <n v="0"/>
  </r>
  <r>
    <x v="5"/>
    <x v="8"/>
    <x v="0"/>
    <s v="4400104"/>
    <n v="700014"/>
    <s v="Salaries-Management-Productive"/>
    <s v="Surgery Services"/>
    <x v="0"/>
    <m/>
    <n v="19227.099999999999"/>
    <n v="22324.23"/>
    <n v="22222.84"/>
    <n v="23149.5"/>
    <n v="18281.990000000002"/>
    <n v="18607.95"/>
    <n v="22126.15"/>
    <n v="13392.17"/>
    <n v="26654.720000000001"/>
    <n v="23849.14"/>
    <n v="21511.72"/>
    <n v="23293.439999999999"/>
    <n v="254640.95000000004"/>
    <n v="-1781.7199999999975"/>
  </r>
  <r>
    <x v="5"/>
    <x v="8"/>
    <x v="0"/>
    <s v="4400104"/>
    <n v="700026"/>
    <s v="Salaries-RN-Productive"/>
    <s v="Surgery Services"/>
    <x v="0"/>
    <m/>
    <n v="78577.960000000006"/>
    <n v="80674.850000000006"/>
    <n v="74843.45"/>
    <n v="85427.01"/>
    <n v="76970.12"/>
    <n v="71784.710000000006"/>
    <n v="87988.02"/>
    <n v="68045.39"/>
    <n v="90176.47"/>
    <n v="82963.399999999994"/>
    <n v="95710.27"/>
    <n v="88237"/>
    <n v="981398.65"/>
    <n v="7473.2700000000041"/>
  </r>
  <r>
    <x v="5"/>
    <x v="8"/>
    <x v="0"/>
    <s v="4400104"/>
    <n v="700026"/>
    <s v="Salaries-RN-OT"/>
    <s v="Surgery Services"/>
    <x v="0"/>
    <n v="1000"/>
    <n v="5068.3"/>
    <n v="3381.35"/>
    <n v="6291.69"/>
    <n v="477.13"/>
    <n v="3594.78"/>
    <n v="4351.32"/>
    <n v="2673.01"/>
    <n v="709.14"/>
    <n v="2411.67"/>
    <n v="667.91"/>
    <n v="5340.9"/>
    <n v="212.07"/>
    <n v="35179.269999999997"/>
    <n v="5128.83"/>
  </r>
  <r>
    <x v="5"/>
    <x v="8"/>
    <x v="0"/>
    <s v="4400104"/>
    <n v="700026"/>
    <s v="Salaries-RN-Other"/>
    <s v="Surgery Services"/>
    <x v="0"/>
    <n v="2000"/>
    <n v="5268.35"/>
    <n v="4908.8500000000004"/>
    <n v="5614.36"/>
    <n v="5635.25"/>
    <n v="5434.38"/>
    <n v="5417.33"/>
    <n v="5761.81"/>
    <n v="4381.8"/>
    <n v="5618.6"/>
    <n v="5787.54"/>
    <n v="6493.19"/>
    <n v="5212.2299999999996"/>
    <n v="65533.69"/>
    <n v="1280.96"/>
  </r>
  <r>
    <x v="5"/>
    <x v="8"/>
    <x v="0"/>
    <s v="4400104"/>
    <n v="700032"/>
    <s v="Salaries-Other Pat Care Providers-Productive"/>
    <s v="Surgery Services"/>
    <x v="0"/>
    <m/>
    <n v="0"/>
    <n v="0"/>
    <n v="0"/>
    <n v="0"/>
    <n v="0"/>
    <n v="0"/>
    <n v="0"/>
    <n v="0"/>
    <n v="0"/>
    <n v="258.42"/>
    <n v="-107.66"/>
    <n v="0"/>
    <n v="150.76000000000002"/>
    <n v="-107.66"/>
  </r>
  <r>
    <x v="5"/>
    <x v="8"/>
    <x v="0"/>
    <s v="4400104"/>
    <n v="700032"/>
    <s v="Salaries-Other Pat Care Providers-Other"/>
    <s v="Surgery Services"/>
    <x v="0"/>
    <n v="2000"/>
    <n v="0"/>
    <n v="0"/>
    <n v="0"/>
    <n v="0"/>
    <n v="0"/>
    <n v="0"/>
    <n v="0"/>
    <n v="0"/>
    <n v="0"/>
    <n v="24.38"/>
    <n v="-10.14"/>
    <n v="0"/>
    <n v="14.239999999999998"/>
    <n v="-10.14"/>
  </r>
  <r>
    <x v="5"/>
    <x v="8"/>
    <x v="0"/>
    <s v="4400104"/>
    <n v="700034"/>
    <s v="Salaries-Tech/Professional-Productive"/>
    <s v="Surgery Services"/>
    <x v="0"/>
    <m/>
    <n v="50505.53"/>
    <n v="50771.23"/>
    <n v="53827.1"/>
    <n v="58222.19"/>
    <n v="52357.74"/>
    <n v="54006.44"/>
    <n v="56259.39"/>
    <n v="48223.32"/>
    <n v="61279.38"/>
    <n v="52179.08"/>
    <n v="63821"/>
    <n v="46292.18"/>
    <n v="647744.58000000007"/>
    <n v="17528.82"/>
  </r>
  <r>
    <x v="5"/>
    <x v="8"/>
    <x v="0"/>
    <s v="4400104"/>
    <n v="700034"/>
    <s v="Salaries-Tech/Professional-OT"/>
    <s v="Surgery Services"/>
    <x v="0"/>
    <n v="1000"/>
    <n v="3882.71"/>
    <n v="1656.73"/>
    <n v="3388.85"/>
    <n v="2298.59"/>
    <n v="678.21"/>
    <n v="4525.47"/>
    <n v="2768.09"/>
    <n v="417.36"/>
    <n v="3181.34"/>
    <n v="-57.17"/>
    <n v="1867.35"/>
    <n v="1564.64"/>
    <n v="26172.170000000002"/>
    <n v="302.70999999999981"/>
  </r>
  <r>
    <x v="5"/>
    <x v="8"/>
    <x v="0"/>
    <s v="4400104"/>
    <n v="700034"/>
    <s v="Salaries-Tech/Professional-Other"/>
    <s v="Surgery Services"/>
    <x v="0"/>
    <n v="2000"/>
    <n v="3925"/>
    <n v="3510.88"/>
    <n v="3741.6"/>
    <n v="3444.67"/>
    <n v="3073.4"/>
    <n v="4098.57"/>
    <n v="3600.52"/>
    <n v="3014.55"/>
    <n v="3732.84"/>
    <n v="3867.99"/>
    <n v="5545.2"/>
    <n v="2465.59"/>
    <n v="44020.81"/>
    <n v="3079.6099999999997"/>
  </r>
  <r>
    <x v="5"/>
    <x v="8"/>
    <x v="0"/>
    <s v="4400104"/>
    <n v="700038"/>
    <s v="Salaries-Service/Support-Productive"/>
    <s v="Surgery Services"/>
    <x v="0"/>
    <m/>
    <n v="9962.7800000000007"/>
    <n v="9202.7000000000007"/>
    <n v="9547.56"/>
    <n v="9945.66"/>
    <n v="8474.32"/>
    <n v="9310.11"/>
    <n v="8700.18"/>
    <n v="7975.38"/>
    <n v="7787.72"/>
    <n v="7437.46"/>
    <n v="9258.58"/>
    <n v="8720.57"/>
    <n v="106323.02000000002"/>
    <n v="538.01000000000022"/>
  </r>
  <r>
    <x v="5"/>
    <x v="8"/>
    <x v="0"/>
    <s v="4400104"/>
    <n v="700038"/>
    <s v="Salaries-Service/Support-OT"/>
    <s v="Surgery Services"/>
    <x v="0"/>
    <n v="1000"/>
    <n v="0"/>
    <n v="15.5"/>
    <n v="12.11"/>
    <n v="219.41"/>
    <n v="-18.440000000000001"/>
    <n v="15.71"/>
    <n v="21.92"/>
    <n v="0"/>
    <n v="0"/>
    <n v="0"/>
    <n v="106.27"/>
    <n v="-19.66"/>
    <n v="352.81999999999994"/>
    <n v="125.92999999999999"/>
  </r>
  <r>
    <x v="5"/>
    <x v="8"/>
    <x v="0"/>
    <s v="4400104"/>
    <n v="700038"/>
    <s v="Salaries-Service/Support-Other"/>
    <s v="Surgery Services"/>
    <x v="0"/>
    <n v="2000"/>
    <n v="1006.29"/>
    <n v="717.78"/>
    <n v="699.7"/>
    <n v="601.49"/>
    <n v="815.52"/>
    <n v="798.58"/>
    <n v="689.15"/>
    <n v="617.66"/>
    <n v="741.42"/>
    <n v="590.85"/>
    <n v="585.05999999999995"/>
    <n v="723.63"/>
    <n v="8587.1299999999992"/>
    <n v="-138.57000000000005"/>
  </r>
  <r>
    <x v="5"/>
    <x v="8"/>
    <x v="0"/>
    <s v="4400104"/>
    <n v="700054"/>
    <s v="Salaries-Management-Non-productive"/>
    <s v="Surgery Services"/>
    <x v="0"/>
    <m/>
    <n v="4647.28"/>
    <n v="1551.23"/>
    <n v="882.77"/>
    <n v="1317.39"/>
    <n v="5532.23"/>
    <n v="6000.89"/>
    <n v="2521.09"/>
    <n v="8867.58"/>
    <n v="-2009.78"/>
    <n v="0"/>
    <n v="3133.19"/>
    <n v="556.78"/>
    <n v="33000.65"/>
    <n v="2576.41"/>
  </r>
  <r>
    <x v="5"/>
    <x v="8"/>
    <x v="0"/>
    <s v="4400104"/>
    <n v="700054"/>
    <s v="Salaries-Management-NonProd-Other"/>
    <s v="Surgery Services"/>
    <x v="0"/>
    <n v="2000"/>
    <n v="0"/>
    <n v="0"/>
    <n v="0"/>
    <n v="0"/>
    <n v="0"/>
    <n v="6500.44"/>
    <n v="-6500.44"/>
    <n v="0"/>
    <n v="0"/>
    <n v="0"/>
    <n v="0"/>
    <n v="0"/>
    <n v="0"/>
    <n v="0"/>
  </r>
  <r>
    <x v="5"/>
    <x v="8"/>
    <x v="0"/>
    <s v="4400104"/>
    <n v="700066"/>
    <s v="Salaries-RN-Non-productive"/>
    <s v="Surgery Services"/>
    <x v="0"/>
    <m/>
    <n v="18957.830000000002"/>
    <n v="20541.650000000001"/>
    <n v="16199.05"/>
    <n v="15660.62"/>
    <n v="6809.09"/>
    <n v="31319.39"/>
    <n v="12559.75"/>
    <n v="22552.23"/>
    <n v="3799.16"/>
    <n v="13797.75"/>
    <n v="7376.69"/>
    <n v="15409.67"/>
    <n v="184982.88"/>
    <n v="-8032.9800000000005"/>
  </r>
  <r>
    <x v="5"/>
    <x v="8"/>
    <x v="0"/>
    <s v="4400104"/>
    <n v="700066"/>
    <s v="Salaries-RN-NonProd-Other"/>
    <s v="Surgery Services"/>
    <x v="0"/>
    <n v="2000"/>
    <n v="1090.3399999999999"/>
    <n v="1172.77"/>
    <n v="493.27"/>
    <n v="1289.05"/>
    <n v="874.29"/>
    <n v="1621.02"/>
    <n v="653.20000000000005"/>
    <n v="1067.27"/>
    <n v="216.55"/>
    <n v="1636"/>
    <n v="917.68"/>
    <n v="297.74"/>
    <n v="11329.179999999998"/>
    <n v="619.93999999999994"/>
  </r>
  <r>
    <x v="5"/>
    <x v="8"/>
    <x v="0"/>
    <s v="4400104"/>
    <n v="700074"/>
    <s v="Salaries-Tech/Professional-Non-productive"/>
    <s v="Surgery Services"/>
    <x v="0"/>
    <m/>
    <n v="13158.87"/>
    <n v="7878.57"/>
    <n v="7692.16"/>
    <n v="6307.41"/>
    <n v="8088.51"/>
    <n v="11271.58"/>
    <n v="8440.15"/>
    <n v="9906.98"/>
    <n v="5789.03"/>
    <n v="8219.33"/>
    <n v="3343.9"/>
    <n v="9561.6200000000008"/>
    <n v="99658.11"/>
    <n v="-6217.7200000000012"/>
  </r>
  <r>
    <x v="5"/>
    <x v="8"/>
    <x v="0"/>
    <s v="4400104"/>
    <n v="700074"/>
    <s v="Salaries-Tech/Professional-NonProd-Other"/>
    <s v="Surgery Services"/>
    <x v="0"/>
    <n v="2000"/>
    <n v="548.09"/>
    <n v="1117.28"/>
    <n v="327.52"/>
    <n v="733.01"/>
    <n v="846.3"/>
    <n v="1301.4100000000001"/>
    <n v="217.89"/>
    <n v="598.17999999999995"/>
    <n v="307.33"/>
    <n v="1353.65"/>
    <n v="714.28"/>
    <n v="380.24"/>
    <n v="8445.18"/>
    <n v="334.03999999999996"/>
  </r>
  <r>
    <x v="5"/>
    <x v="8"/>
    <x v="0"/>
    <s v="4400104"/>
    <n v="700078"/>
    <s v="Salaries-Service/Support-Non-productive"/>
    <s v="Surgery Services"/>
    <x v="0"/>
    <m/>
    <n v="1377.45"/>
    <n v="2285.2600000000002"/>
    <n v="525.5"/>
    <n v="653.80999999999995"/>
    <n v="1137.08"/>
    <n v="1746.76"/>
    <n v="904.54"/>
    <n v="1047.3699999999999"/>
    <n v="2458.5"/>
    <n v="547.09"/>
    <n v="1492.82"/>
    <n v="180.53"/>
    <n v="14356.710000000001"/>
    <n v="1312.29"/>
  </r>
  <r>
    <x v="5"/>
    <x v="8"/>
    <x v="0"/>
    <s v="4400104"/>
    <n v="700078"/>
    <s v="Salaries-Service/Support-NonProd-Other"/>
    <s v="Surgery Services"/>
    <x v="0"/>
    <n v="2000"/>
    <n v="223.9"/>
    <n v="53.59"/>
    <n v="52.89"/>
    <n v="191.08"/>
    <n v="103.92"/>
    <n v="270.76"/>
    <n v="32.61"/>
    <n v="71.040000000000006"/>
    <n v="5.81"/>
    <n v="89.06"/>
    <n v="-11.08"/>
    <n v="74.05"/>
    <n v="1157.6299999999999"/>
    <n v="-85.13"/>
  </r>
  <r>
    <x v="5"/>
    <x v="8"/>
    <x v="0"/>
    <s v="4400104"/>
    <n v="700084"/>
    <s v="Accrued PTO"/>
    <s v="Surgery Services"/>
    <x v="0"/>
    <m/>
    <n v="-4800.1899999999996"/>
    <n v="-5768.05"/>
    <n v="-3951.53"/>
    <n v="2643.81"/>
    <n v="13356"/>
    <n v="-12979.13"/>
    <n v="1275.42"/>
    <n v="-5455.93"/>
    <n v="13482.7"/>
    <n v="6950.53"/>
    <n v="9182.3700000000008"/>
    <n v="7409.56"/>
    <n v="21345.56"/>
    <n v="1772.8100000000004"/>
  </r>
  <r>
    <x v="10"/>
    <x v="8"/>
    <x v="0"/>
    <s v="4400104"/>
    <n v="710060"/>
    <s v="Contract Labor-Other"/>
    <s v="Surgery Services"/>
    <x v="0"/>
    <m/>
    <n v="28436.46"/>
    <n v="28095.439999999999"/>
    <n v="15956.58"/>
    <n v="39458"/>
    <n v="23733.75"/>
    <n v="32805.879999999997"/>
    <n v="12880"/>
    <n v="28002.5"/>
    <n v="13730"/>
    <n v="0"/>
    <n v="0"/>
    <n v="0"/>
    <n v="223098.61"/>
    <n v="0"/>
  </r>
  <r>
    <x v="10"/>
    <x v="8"/>
    <x v="0"/>
    <s v="4400104"/>
    <n v="710060"/>
    <s v="Contract Labor-Overtime"/>
    <s v="Surgery Services"/>
    <x v="0"/>
    <n v="5100"/>
    <n v="74.92"/>
    <n v="0"/>
    <n v="0"/>
    <n v="0"/>
    <n v="119.81"/>
    <n v="113.06"/>
    <n v="661.5"/>
    <n v="86.06"/>
    <n v="0"/>
    <n v="0"/>
    <n v="0"/>
    <n v="0"/>
    <n v="1055.3499999999999"/>
    <n v="0"/>
  </r>
  <r>
    <x v="6"/>
    <x v="8"/>
    <x v="0"/>
    <s v="4400104"/>
    <n v="713010"/>
    <s v="Benefits-FICA/Medicare"/>
    <s v="Surgery Services"/>
    <x v="0"/>
    <m/>
    <n v="16225.15"/>
    <n v="15843.58"/>
    <n v="15468.16"/>
    <n v="15615.8"/>
    <n v="13585.82"/>
    <n v="17268.919999999998"/>
    <n v="16616.52"/>
    <n v="14289.47"/>
    <n v="15870.66"/>
    <n v="15052.49"/>
    <n v="16997.93"/>
    <n v="15158.37"/>
    <n v="187992.87"/>
    <n v="1839.5599999999995"/>
  </r>
  <r>
    <x v="6"/>
    <x v="8"/>
    <x v="0"/>
    <s v="4400104"/>
    <n v="713090"/>
    <s v="Benefits-Allocated Amounts"/>
    <s v="Surgery Services"/>
    <x v="0"/>
    <m/>
    <n v="37372.06"/>
    <n v="32346.080000000002"/>
    <n v="34365.14"/>
    <n v="36079.089999999997"/>
    <n v="34062.78"/>
    <n v="36728.32"/>
    <n v="36921.769999999997"/>
    <n v="35528.870000000003"/>
    <n v="37847.69"/>
    <n v="37982.58"/>
    <n v="40688.79"/>
    <n v="37447.08"/>
    <n v="437370.25"/>
    <n v="3241.7099999999991"/>
  </r>
  <r>
    <x v="6"/>
    <x v="8"/>
    <x v="0"/>
    <s v="4400104"/>
    <n v="713096"/>
    <s v="Employee Recognition"/>
    <s v="Surgery Services"/>
    <x v="0"/>
    <n v="1017"/>
    <n v="0"/>
    <n v="0"/>
    <n v="0"/>
    <n v="0"/>
    <n v="260.55"/>
    <n v="0"/>
    <n v="0"/>
    <n v="0"/>
    <n v="93.55"/>
    <n v="401.19"/>
    <n v="151.34"/>
    <n v="0"/>
    <n v="906.63"/>
    <n v="151.34"/>
  </r>
  <r>
    <x v="17"/>
    <x v="8"/>
    <x v="0"/>
    <s v="4400104"/>
    <n v="714510"/>
    <s v="Medical Director Fees"/>
    <s v="Surgery Services"/>
    <x v="0"/>
    <m/>
    <n v="1680"/>
    <n v="1680"/>
    <n v="1680"/>
    <n v="1680"/>
    <n v="1680"/>
    <n v="0"/>
    <n v="3360"/>
    <n v="5547.77"/>
    <n v="11095.55"/>
    <n v="2773.88"/>
    <n v="4620"/>
    <n v="6000"/>
    <n v="41797.199999999997"/>
    <n v="-1380"/>
  </r>
  <r>
    <x v="17"/>
    <x v="8"/>
    <x v="0"/>
    <s v="4400104"/>
    <n v="714530"/>
    <s v="Medical Prof Fees-Intracompany"/>
    <s v="Surgery Services"/>
    <x v="0"/>
    <m/>
    <n v="296214.8"/>
    <n v="133929.66"/>
    <n v="28456.53"/>
    <n v="112603.02"/>
    <n v="109440.56"/>
    <n v="172624.2"/>
    <n v="-58557.55"/>
    <n v="69507.56"/>
    <n v="197138.83"/>
    <n v="74528.62"/>
    <n v="-35146.92"/>
    <n v="141435.57999999999"/>
    <n v="1242174.8900000001"/>
    <n v="-176582.5"/>
  </r>
  <r>
    <x v="7"/>
    <x v="8"/>
    <x v="0"/>
    <s v="4400104"/>
    <n v="718050"/>
    <s v="Contract Svcs-Other"/>
    <s v="Surgery Services"/>
    <x v="0"/>
    <m/>
    <n v="0"/>
    <n v="0"/>
    <n v="0"/>
    <n v="0"/>
    <n v="56"/>
    <n v="0"/>
    <n v="0"/>
    <n v="0"/>
    <n v="271.25"/>
    <n v="0"/>
    <n v="0"/>
    <n v="10374"/>
    <n v="10701.25"/>
    <n v="-10374"/>
  </r>
  <r>
    <x v="7"/>
    <x v="8"/>
    <x v="0"/>
    <s v="4400104"/>
    <n v="718050"/>
    <s v="Document Shredding/Storage"/>
    <s v="Surgery Services"/>
    <x v="0"/>
    <n v="1012"/>
    <n v="20.5"/>
    <n v="21.02"/>
    <n v="19.309999999999999"/>
    <n v="19.989999999999998"/>
    <n v="20.67"/>
    <n v="20.67"/>
    <n v="20.46"/>
    <n v="17.54"/>
    <n v="18.170000000000002"/>
    <n v="23.82"/>
    <n v="19.989999999999998"/>
    <n v="21.06"/>
    <n v="243.2"/>
    <n v="-1.0700000000000003"/>
  </r>
  <r>
    <x v="7"/>
    <x v="8"/>
    <x v="0"/>
    <s v="4400104"/>
    <n v="718050"/>
    <s v="Miscellaneous Purchased Svcs"/>
    <s v="Surgery Services"/>
    <x v="0"/>
    <n v="1020"/>
    <n v="872.2"/>
    <n v="193.68"/>
    <n v="440.58"/>
    <n v="3988.46"/>
    <n v="8886.26"/>
    <n v="1265.79"/>
    <n v="394.35"/>
    <n v="101.04"/>
    <n v="14372.52"/>
    <n v="342.8"/>
    <n v="1333.64"/>
    <n v="248.8"/>
    <n v="32440.120000000003"/>
    <n v="1084.8400000000001"/>
  </r>
  <r>
    <x v="7"/>
    <x v="8"/>
    <x v="0"/>
    <s v="4400104"/>
    <n v="718050"/>
    <s v="Contract Svcs--Medical/Dental"/>
    <s v="Surgery Services"/>
    <x v="0"/>
    <n v="1024"/>
    <n v="2785.06"/>
    <n v="229.48"/>
    <n v="113.33"/>
    <n v="1793.39"/>
    <n v="240.83"/>
    <n v="653.05999999999995"/>
    <n v="1171.56"/>
    <n v="1623.48"/>
    <n v="521.30999999999995"/>
    <n v="0"/>
    <n v="0"/>
    <n v="0"/>
    <n v="9131.4999999999982"/>
    <n v="0"/>
  </r>
  <r>
    <x v="7"/>
    <x v="8"/>
    <x v="0"/>
    <s v="4400104"/>
    <n v="718050"/>
    <s v="Translation Services"/>
    <s v="Surgery Services"/>
    <x v="0"/>
    <n v="1025"/>
    <n v="18.63"/>
    <n v="0"/>
    <n v="15.39"/>
    <n v="6.95"/>
    <n v="0"/>
    <n v="0"/>
    <n v="0"/>
    <n v="0"/>
    <n v="0"/>
    <n v="0"/>
    <n v="0"/>
    <n v="0"/>
    <n v="40.97"/>
    <n v="0"/>
  </r>
  <r>
    <x v="7"/>
    <x v="8"/>
    <x v="0"/>
    <s v="4400104"/>
    <n v="718050"/>
    <s v="Contract Management--Linen"/>
    <s v="Surgery Services"/>
    <x v="0"/>
    <n v="1026"/>
    <n v="2246"/>
    <n v="4568.3"/>
    <n v="2647.79"/>
    <n v="3359.78"/>
    <n v="4032.43"/>
    <n v="3609.81"/>
    <n v="3971.8"/>
    <n v="3928.67"/>
    <n v="3971.81"/>
    <n v="3918.91"/>
    <n v="4605"/>
    <n v="4366.3599999999997"/>
    <n v="45226.66"/>
    <n v="238.64000000000033"/>
  </r>
  <r>
    <x v="7"/>
    <x v="8"/>
    <x v="0"/>
    <s v="4400104"/>
    <n v="718070"/>
    <s v="Contract Srvcs-CHI Clinical Engineering"/>
    <s v="Surgery Services"/>
    <x v="0"/>
    <m/>
    <n v="25608.959999999999"/>
    <n v="25644.54"/>
    <n v="25644.54"/>
    <n v="25644.55"/>
    <n v="25551.71"/>
    <n v="25551.71"/>
    <n v="27823.99"/>
    <n v="25551.71"/>
    <n v="25552.880000000001"/>
    <n v="25552.87"/>
    <n v="25439.19"/>
    <n v="28123.23"/>
    <n v="311689.87999999995"/>
    <n v="-2684.0400000000009"/>
  </r>
  <r>
    <x v="7"/>
    <x v="8"/>
    <x v="0"/>
    <s v="4400104"/>
    <n v="718091"/>
    <s v="Contract Services-Intracompany Allocation"/>
    <s v="Surgery Services"/>
    <x v="0"/>
    <m/>
    <n v="11168.53"/>
    <n v="10489.25"/>
    <n v="9925.01"/>
    <n v="12482.91"/>
    <n v="10834.2"/>
    <n v="9665.8799999999992"/>
    <n v="11544.74"/>
    <n v="9788.61"/>
    <n v="12481.72"/>
    <n v="11637.39"/>
    <n v="11230.63"/>
    <n v="10551.41"/>
    <n v="131800.28"/>
    <n v="679.21999999999935"/>
  </r>
  <r>
    <x v="11"/>
    <x v="8"/>
    <x v="0"/>
    <s v="4400104"/>
    <n v="721010"/>
    <s v="Supplies-Medical - Billable"/>
    <s v="Surgery Services"/>
    <x v="0"/>
    <m/>
    <n v="24057.56"/>
    <n v="13120.62"/>
    <n v="6581.65"/>
    <n v="14272.95"/>
    <n v="10330.44"/>
    <n v="16555.89"/>
    <n v="16935.900000000001"/>
    <n v="11875.51"/>
    <n v="14632.45"/>
    <n v="12400.7"/>
    <n v="11899.77"/>
    <n v="9707.84"/>
    <n v="162371.28"/>
    <n v="2191.9300000000003"/>
  </r>
  <r>
    <x v="11"/>
    <x v="8"/>
    <x v="0"/>
    <s v="4400104"/>
    <n v="721010"/>
    <s v="Patient Monitoring"/>
    <s v="Surgery Services"/>
    <x v="0"/>
    <n v="1000"/>
    <n v="209.76"/>
    <n v="765.76"/>
    <n v="1571.94"/>
    <n v="518.65"/>
    <n v="-19.079999999999998"/>
    <n v="408.99"/>
    <n v="730.03"/>
    <n v="1612.25"/>
    <n v="549.82000000000005"/>
    <n v="1111.8"/>
    <n v="1237.57"/>
    <n v="364.73"/>
    <n v="9062.2199999999993"/>
    <n v="872.83999999999992"/>
  </r>
  <r>
    <x v="11"/>
    <x v="8"/>
    <x v="0"/>
    <s v="4400104"/>
    <n v="721020"/>
    <s v="Supplies-Surgical - Billable"/>
    <s v="Surgery Services"/>
    <x v="0"/>
    <m/>
    <n v="84375.75"/>
    <n v="81070.05"/>
    <n v="77165.03"/>
    <n v="53474.38"/>
    <n v="52607.55"/>
    <n v="70939.7"/>
    <n v="78328.73"/>
    <n v="81151.83"/>
    <n v="72213.25"/>
    <n v="93783.47"/>
    <n v="96989.57"/>
    <n v="72802.25"/>
    <n v="914901.55999999982"/>
    <n v="24187.320000000007"/>
  </r>
  <r>
    <x v="11"/>
    <x v="8"/>
    <x v="0"/>
    <s v="4400104"/>
    <n v="721020"/>
    <s v="Custom Packs"/>
    <s v="Surgery Services"/>
    <x v="0"/>
    <n v="1000"/>
    <n v="4289.8599999999997"/>
    <n v="6021.31"/>
    <n v="4012.18"/>
    <n v="4991.6099999999997"/>
    <n v="4134.96"/>
    <n v="4234.63"/>
    <n v="4731.87"/>
    <n v="4147.79"/>
    <n v="4593.38"/>
    <n v="4984.97"/>
    <n v="4345.8500000000004"/>
    <n v="3994.68"/>
    <n v="54483.09"/>
    <n v="351.17000000000053"/>
  </r>
  <r>
    <x v="11"/>
    <x v="8"/>
    <x v="0"/>
    <s v="4400104"/>
    <n v="721020"/>
    <s v="Suture/Wound Closure"/>
    <s v="Surgery Services"/>
    <x v="0"/>
    <n v="1001"/>
    <n v="33799.129999999997"/>
    <n v="19913.28"/>
    <n v="39095.660000000003"/>
    <n v="39969.919999999998"/>
    <n v="27096.48"/>
    <n v="36292.519999999997"/>
    <n v="35901.93"/>
    <n v="26050.58"/>
    <n v="42799.83"/>
    <n v="29092.99"/>
    <n v="25933.01"/>
    <n v="25607.7"/>
    <n v="381553.03"/>
    <n v="325.30999999999767"/>
  </r>
  <r>
    <x v="11"/>
    <x v="8"/>
    <x v="0"/>
    <s v="4400104"/>
    <n v="721020"/>
    <s v="Endoscopy - Trocars &amp; Accessories"/>
    <s v="Surgery Services"/>
    <x v="0"/>
    <n v="1002"/>
    <n v="4084.81"/>
    <n v="3946.42"/>
    <n v="4895.76"/>
    <n v="4799.2700000000004"/>
    <n v="4103.63"/>
    <n v="4901.17"/>
    <n v="4382.8999999999996"/>
    <n v="4693.62"/>
    <n v="4496.8500000000004"/>
    <n v="6621.66"/>
    <n v="3939.07"/>
    <n v="4920.1000000000004"/>
    <n v="55785.260000000009"/>
    <n v="-981.0300000000002"/>
  </r>
  <r>
    <x v="11"/>
    <x v="8"/>
    <x v="0"/>
    <s v="4400104"/>
    <n v="721020"/>
    <s v="Endomechanical Supplies &amp; Instruments"/>
    <s v="Surgery Services"/>
    <x v="0"/>
    <n v="1003"/>
    <n v="43693.73"/>
    <n v="49205.5"/>
    <n v="59329.06"/>
    <n v="102837.75"/>
    <n v="77694.63"/>
    <n v="74162.899999999994"/>
    <n v="80470.929999999993"/>
    <n v="74319.360000000001"/>
    <n v="121020.06"/>
    <n v="59526.14"/>
    <n v="61745.67"/>
    <n v="115323.36"/>
    <n v="919329.0900000002"/>
    <n v="-53577.69"/>
  </r>
  <r>
    <x v="11"/>
    <x v="8"/>
    <x v="0"/>
    <s v="4400104"/>
    <n v="721020"/>
    <s v="Bone Cement &amp; Supplies"/>
    <s v="Surgery Services"/>
    <x v="0"/>
    <n v="1004"/>
    <n v="5804.46"/>
    <n v="12797.2"/>
    <n v="12096.21"/>
    <n v="27778"/>
    <n v="10427.25"/>
    <n v="7557.24"/>
    <n v="24251.3"/>
    <n v="6618.04"/>
    <n v="12799.2"/>
    <n v="11119.92"/>
    <n v="4929.28"/>
    <n v="8718.5"/>
    <n v="144896.6"/>
    <n v="-3789.2200000000003"/>
  </r>
  <r>
    <x v="11"/>
    <x v="8"/>
    <x v="0"/>
    <s v="4400104"/>
    <n v="721020"/>
    <s v="Urological Supplies"/>
    <s v="Surgery Services"/>
    <x v="0"/>
    <n v="1006"/>
    <n v="5358.56"/>
    <n v="8017.33"/>
    <n v="12439.49"/>
    <n v="8925.0499999999993"/>
    <n v="13285.95"/>
    <n v="7625.08"/>
    <n v="11081.01"/>
    <n v="9434.56"/>
    <n v="23539.71"/>
    <n v="11211.92"/>
    <n v="9831.17"/>
    <n v="-18625.509999999998"/>
    <n v="102124.31999999999"/>
    <n v="28456.68"/>
  </r>
  <r>
    <x v="11"/>
    <x v="8"/>
    <x v="0"/>
    <s v="4400104"/>
    <n v="721020"/>
    <s v="Surgical Cardiovascular"/>
    <s v="Surgery Services"/>
    <x v="0"/>
    <n v="1007"/>
    <n v="93.5"/>
    <n v="10.199999999999999"/>
    <n v="57.37"/>
    <n v="0"/>
    <n v="114.35"/>
    <n v="9.7200000000000006"/>
    <n v="5.94"/>
    <n v="46.11"/>
    <n v="16.3"/>
    <n v="6.4"/>
    <n v="34.76"/>
    <n v="10.050000000000001"/>
    <n v="404.7"/>
    <n v="24.709999999999997"/>
  </r>
  <r>
    <x v="11"/>
    <x v="8"/>
    <x v="0"/>
    <s v="4400104"/>
    <n v="721020"/>
    <s v="Tubes Drains &amp; Related Supplies"/>
    <s v="Surgery Services"/>
    <x v="0"/>
    <n v="1008"/>
    <n v="419.75"/>
    <n v="119.57"/>
    <n v="19.329999999999998"/>
    <n v="252.2"/>
    <n v="313.89999999999998"/>
    <n v="357.13"/>
    <n v="-11.93"/>
    <n v="0"/>
    <n v="27.55"/>
    <n v="828.8"/>
    <n v="1859.4"/>
    <n v="27.55"/>
    <n v="4213.2500000000009"/>
    <n v="1831.8500000000001"/>
  </r>
  <r>
    <x v="11"/>
    <x v="8"/>
    <x v="0"/>
    <s v="4400104"/>
    <n v="721050"/>
    <s v="Supplies-Cardiac Rhythm - Billable"/>
    <s v="Surgery Services"/>
    <x v="0"/>
    <m/>
    <n v="22.16"/>
    <n v="1963.08"/>
    <n v="157.24"/>
    <n v="0"/>
    <n v="743.23"/>
    <n v="60.14"/>
    <n v="980.03"/>
    <n v="0"/>
    <n v="114.37"/>
    <n v="-16.12"/>
    <n v="827.75"/>
    <n v="341.1"/>
    <n v="5192.9800000000005"/>
    <n v="486.65"/>
  </r>
  <r>
    <x v="11"/>
    <x v="8"/>
    <x v="0"/>
    <s v="4400104"/>
    <n v="721050"/>
    <s v="Pacemakers - Internal"/>
    <s v="Surgery Services"/>
    <x v="0"/>
    <n v="1000"/>
    <n v="3248.31"/>
    <n v="0"/>
    <n v="-28.31"/>
    <n v="0"/>
    <n v="0"/>
    <n v="0"/>
    <n v="0"/>
    <n v="0"/>
    <n v="0"/>
    <n v="0"/>
    <n v="0"/>
    <n v="0"/>
    <n v="3220"/>
    <n v="0"/>
  </r>
  <r>
    <x v="11"/>
    <x v="8"/>
    <x v="0"/>
    <s v="4400104"/>
    <n v="721050"/>
    <s v="Electrophysiology Products"/>
    <s v="Surgery Services"/>
    <x v="0"/>
    <n v="1002"/>
    <n v="0"/>
    <n v="0"/>
    <n v="0"/>
    <n v="0"/>
    <n v="0"/>
    <n v="0"/>
    <n v="0"/>
    <n v="0"/>
    <n v="0"/>
    <n v="42.23"/>
    <n v="0"/>
    <n v="0"/>
    <n v="42.23"/>
    <n v="0"/>
  </r>
  <r>
    <x v="11"/>
    <x v="8"/>
    <x v="0"/>
    <s v="4400104"/>
    <n v="721110"/>
    <s v="Supplies-Grafts - Billable"/>
    <s v="Surgery Services"/>
    <x v="0"/>
    <m/>
    <n v="0"/>
    <n v="152.75"/>
    <n v="0"/>
    <n v="152.75"/>
    <n v="305.5"/>
    <n v="1553"/>
    <n v="305.5"/>
    <n v="0"/>
    <n v="0"/>
    <n v="0"/>
    <n v="2125"/>
    <n v="3214"/>
    <n v="7808.5"/>
    <n v="-1089"/>
  </r>
  <r>
    <x v="11"/>
    <x v="8"/>
    <x v="0"/>
    <s v="4400104"/>
    <n v="721120"/>
    <s v="Supplies-Prosthetics - Billable"/>
    <s v="Surgery Services"/>
    <x v="0"/>
    <m/>
    <n v="0"/>
    <n v="0"/>
    <n v="0"/>
    <n v="6313.37"/>
    <n v="508"/>
    <n v="80"/>
    <n v="0"/>
    <n v="0"/>
    <n v="0"/>
    <n v="23.9"/>
    <n v="0"/>
    <n v="0"/>
    <n v="6925.2699999999995"/>
    <n v="0"/>
  </r>
  <r>
    <x v="11"/>
    <x v="8"/>
    <x v="0"/>
    <s v="4400104"/>
    <n v="721120"/>
    <s v="Hip Prosthesis"/>
    <s v="Surgery Services"/>
    <x v="0"/>
    <n v="1000"/>
    <n v="68200.990000000005"/>
    <n v="134050.85"/>
    <n v="121355.92"/>
    <n v="170910.15"/>
    <n v="96239.25"/>
    <n v="159995.16"/>
    <n v="111589.15"/>
    <n v="86778.39"/>
    <n v="104614.88"/>
    <n v="114726.46"/>
    <n v="62136.47"/>
    <n v="63309.22"/>
    <n v="1293906.8900000001"/>
    <n v="-1172.75"/>
  </r>
  <r>
    <x v="11"/>
    <x v="8"/>
    <x v="0"/>
    <s v="4400104"/>
    <n v="721120"/>
    <s v="Knee Prosthesis"/>
    <s v="Surgery Services"/>
    <x v="0"/>
    <n v="1001"/>
    <n v="151694.92000000001"/>
    <n v="128259.28"/>
    <n v="131406.10999999999"/>
    <n v="318309.90000000002"/>
    <n v="116782.77"/>
    <n v="137484.15"/>
    <n v="202116.38"/>
    <n v="85142.9"/>
    <n v="119596.34"/>
    <n v="168190.88"/>
    <n v="103926.58"/>
    <n v="55080.5"/>
    <n v="1717990.71"/>
    <n v="48846.080000000002"/>
  </r>
  <r>
    <x v="11"/>
    <x v="8"/>
    <x v="0"/>
    <s v="4400104"/>
    <n v="721120"/>
    <s v="Shoulder Prosthesis"/>
    <s v="Surgery Services"/>
    <x v="0"/>
    <n v="1002"/>
    <n v="17384.22"/>
    <n v="0"/>
    <n v="39825"/>
    <n v="28450"/>
    <n v="1300"/>
    <n v="13950"/>
    <n v="192"/>
    <n v="4749.1899999999996"/>
    <n v="17350"/>
    <n v="18800"/>
    <n v="18850"/>
    <n v="6000"/>
    <n v="166850.41"/>
    <n v="12850"/>
  </r>
  <r>
    <x v="11"/>
    <x v="8"/>
    <x v="0"/>
    <s v="4400104"/>
    <n v="721120"/>
    <s v="Joint Prostheses - Other"/>
    <s v="Surgery Services"/>
    <x v="0"/>
    <n v="1003"/>
    <n v="15071.76"/>
    <n v="2006"/>
    <n v="0"/>
    <n v="16490.759999999998"/>
    <n v="4006"/>
    <n v="16897"/>
    <n v="9674"/>
    <n v="425"/>
    <n v="4006"/>
    <n v="3900"/>
    <n v="0"/>
    <n v="0"/>
    <n v="72476.52"/>
    <n v="0"/>
  </r>
  <r>
    <x v="11"/>
    <x v="8"/>
    <x v="0"/>
    <s v="4400104"/>
    <n v="721150"/>
    <s v="Supplies-Other Implants - Billable"/>
    <s v="Surgery Services"/>
    <x v="0"/>
    <m/>
    <n v="135619.24"/>
    <n v="154085.04999999999"/>
    <n v="47068.58"/>
    <n v="154138.49"/>
    <n v="142195.13"/>
    <n v="211868.54"/>
    <n v="101268.87"/>
    <n v="108223.38"/>
    <n v="152487.15"/>
    <n v="234353.86"/>
    <n v="173792.24"/>
    <n v="30196.25"/>
    <n v="1645296.78"/>
    <n v="143595.99"/>
  </r>
  <r>
    <x v="11"/>
    <x v="8"/>
    <x v="0"/>
    <s v="4400104"/>
    <n v="721150"/>
    <s v="Surgical Orthopedic"/>
    <s v="Surgery Services"/>
    <x v="0"/>
    <n v="1000"/>
    <n v="15519.8"/>
    <n v="12419.51"/>
    <n v="8540"/>
    <n v="10487.5"/>
    <n v="11131"/>
    <n v="8863"/>
    <n v="14444"/>
    <n v="61581.41"/>
    <n v="13458"/>
    <n v="23226"/>
    <n v="6634.5"/>
    <n v="23179"/>
    <n v="209483.72"/>
    <n v="-16544.5"/>
  </r>
  <r>
    <x v="11"/>
    <x v="8"/>
    <x v="0"/>
    <s v="4400104"/>
    <n v="721150"/>
    <s v="Fracture Management"/>
    <s v="Surgery Services"/>
    <x v="0"/>
    <n v="1001"/>
    <n v="95493.2"/>
    <n v="71383.87"/>
    <n v="60625.78"/>
    <n v="52599.22"/>
    <n v="63046.44"/>
    <n v="127803.69"/>
    <n v="96236.98"/>
    <n v="72092.070000000007"/>
    <n v="99023.84"/>
    <n v="85030.69"/>
    <n v="105582.21"/>
    <n v="74778.39"/>
    <n v="1003696.38"/>
    <n v="30803.820000000007"/>
  </r>
  <r>
    <x v="11"/>
    <x v="8"/>
    <x v="0"/>
    <s v="4400104"/>
    <n v="721150"/>
    <s v="Spinal Fixations Internal Syst"/>
    <s v="Surgery Services"/>
    <x v="0"/>
    <n v="1002"/>
    <n v="0"/>
    <n v="0"/>
    <n v="0"/>
    <n v="0"/>
    <n v="0"/>
    <n v="570"/>
    <n v="570"/>
    <n v="285"/>
    <n v="0"/>
    <n v="855"/>
    <n v="285"/>
    <n v="4444"/>
    <n v="7009"/>
    <n v="-4159"/>
  </r>
  <r>
    <x v="11"/>
    <x v="8"/>
    <x v="0"/>
    <s v="4400104"/>
    <n v="721150"/>
    <s v="Urological Implants"/>
    <s v="Surgery Services"/>
    <x v="0"/>
    <n v="1004"/>
    <n v="5546.8"/>
    <n v="40213.06"/>
    <n v="11867.76"/>
    <n v="-4997.7"/>
    <n v="7945.38"/>
    <n v="27812.799999999999"/>
    <n v="40143.75"/>
    <n v="11727.69"/>
    <n v="30119.279999999999"/>
    <n v="14679.12"/>
    <n v="22826.55"/>
    <n v="1809.05"/>
    <n v="209693.53999999998"/>
    <n v="21017.5"/>
  </r>
  <r>
    <x v="11"/>
    <x v="8"/>
    <x v="0"/>
    <s v="4400104"/>
    <n v="721240"/>
    <s v="Supplies-IV Solutions/Supplies - Billable"/>
    <s v="Surgery Services"/>
    <x v="0"/>
    <m/>
    <n v="2507.65"/>
    <n v="1948.31"/>
    <n v="2276.2199999999998"/>
    <n v="1462.71"/>
    <n v="3361.53"/>
    <n v="2244.0100000000002"/>
    <n v="1867.18"/>
    <n v="1549.97"/>
    <n v="2472.0100000000002"/>
    <n v="2100.91"/>
    <n v="1993.45"/>
    <n v="2765.15"/>
    <n v="26549.100000000006"/>
    <n v="-771.7"/>
  </r>
  <r>
    <x v="11"/>
    <x v="8"/>
    <x v="0"/>
    <s v="4400104"/>
    <n v="721250"/>
    <s v="Supplies-Pharmacy Drugs - Billable"/>
    <s v="Surgery Services"/>
    <x v="0"/>
    <m/>
    <n v="81.599999999999994"/>
    <n v="89.16"/>
    <n v="81.599999999999994"/>
    <n v="122.4"/>
    <n v="46.21"/>
    <n v="81.599999999999994"/>
    <n v="81.599999999999994"/>
    <n v="242.25"/>
    <n v="81.599999999999994"/>
    <n v="40.799999999999997"/>
    <n v="89.3"/>
    <n v="122.4"/>
    <n v="1160.52"/>
    <n v="-33.100000000000009"/>
  </r>
  <r>
    <x v="11"/>
    <x v="8"/>
    <x v="0"/>
    <s v="4400104"/>
    <n v="721410"/>
    <s v="Supplies-Medical - Nonbillable"/>
    <s v="Surgery Services"/>
    <x v="0"/>
    <m/>
    <n v="26827.97"/>
    <n v="31044.86"/>
    <n v="29568.16"/>
    <n v="33054.19"/>
    <n v="30508.5"/>
    <n v="26009.87"/>
    <n v="36878.78"/>
    <n v="27790.09"/>
    <n v="31548.97"/>
    <n v="1041857.3"/>
    <n v="32070.11"/>
    <n v="24141.119999999999"/>
    <n v="1371299.9200000002"/>
    <n v="7928.9900000000016"/>
  </r>
  <r>
    <x v="11"/>
    <x v="8"/>
    <x v="0"/>
    <s v="4400104"/>
    <n v="721410"/>
    <s v="Patient Monitoring"/>
    <s v="Surgery Services"/>
    <x v="0"/>
    <n v="1000"/>
    <n v="94.54"/>
    <n v="8.0399999999999991"/>
    <n v="0"/>
    <n v="0"/>
    <n v="0"/>
    <n v="0"/>
    <n v="0"/>
    <n v="0"/>
    <n v="0"/>
    <n v="0"/>
    <n v="0"/>
    <n v="249.55"/>
    <n v="352.13"/>
    <n v="-249.55"/>
  </r>
  <r>
    <x v="11"/>
    <x v="8"/>
    <x v="0"/>
    <s v="4400104"/>
    <n v="721420"/>
    <s v="Supplies-Surgical Nonbillable"/>
    <s v="Surgery Services"/>
    <x v="0"/>
    <m/>
    <n v="22142.12"/>
    <n v="23366.67"/>
    <n v="18747.03"/>
    <n v="28768.49"/>
    <n v="24085.78"/>
    <n v="24257.24"/>
    <n v="25104.799999999999"/>
    <n v="22585.62"/>
    <n v="27284.03"/>
    <n v="26395.45"/>
    <n v="22952.52"/>
    <n v="25434.15"/>
    <n v="291123.90000000002"/>
    <n v="-2481.630000000001"/>
  </r>
  <r>
    <x v="11"/>
    <x v="8"/>
    <x v="0"/>
    <s v="4400104"/>
    <n v="721420"/>
    <s v="Tubes Drains &amp; Related Supplies"/>
    <s v="Surgery Services"/>
    <x v="0"/>
    <n v="1008"/>
    <n v="1462.48"/>
    <n v="5550.71"/>
    <n v="1768.05"/>
    <n v="1870.65"/>
    <n v="1713.96"/>
    <n v="1820.5"/>
    <n v="1919.89"/>
    <n v="549.29"/>
    <n v="505.69"/>
    <n v="-381.55"/>
    <n v="1240.07"/>
    <n v="964.24"/>
    <n v="18983.98"/>
    <n v="275.82999999999993"/>
  </r>
  <r>
    <x v="11"/>
    <x v="8"/>
    <x v="0"/>
    <s v="4400104"/>
    <n v="721420"/>
    <s v="Sterilization Process Products"/>
    <s v="Surgery Services"/>
    <x v="0"/>
    <n v="1009"/>
    <n v="3397.35"/>
    <n v="3206.07"/>
    <n v="201.5"/>
    <n v="563.54"/>
    <n v="69"/>
    <n v="870.88"/>
    <n v="1145.95"/>
    <n v="1201.73"/>
    <n v="3606.29"/>
    <n v="3026.18"/>
    <n v="3040.75"/>
    <n v="3542.46"/>
    <n v="23871.7"/>
    <n v="-501.71000000000004"/>
  </r>
  <r>
    <x v="11"/>
    <x v="8"/>
    <x v="0"/>
    <s v="4400104"/>
    <n v="721610"/>
    <s v="Supplies-Anesthesia - Nonbillable"/>
    <s v="Surgery Services"/>
    <x v="0"/>
    <m/>
    <n v="7779.38"/>
    <n v="8073.35"/>
    <n v="7113.6"/>
    <n v="8852.5300000000007"/>
    <n v="8429.61"/>
    <n v="7736.87"/>
    <n v="8511.32"/>
    <n v="9505.91"/>
    <n v="2942.5"/>
    <n v="8573.17"/>
    <n v="8721.3700000000008"/>
    <n v="7355.5"/>
    <n v="93595.11"/>
    <n v="1365.8700000000008"/>
  </r>
  <r>
    <x v="11"/>
    <x v="8"/>
    <x v="0"/>
    <s v="4400104"/>
    <n v="721640"/>
    <s v="Supplies-IV Solutions/Supplies - Nonbillable"/>
    <s v="Surgery Services"/>
    <x v="0"/>
    <m/>
    <n v="208.72"/>
    <n v="360.91"/>
    <n v="442.72"/>
    <n v="345.48"/>
    <n v="304.89999999999998"/>
    <n v="253.88"/>
    <n v="348.57"/>
    <n v="168.19"/>
    <n v="289.91000000000003"/>
    <n v="355.29"/>
    <n v="257.24"/>
    <n v="389.33"/>
    <n v="3725.1400000000003"/>
    <n v="-132.08999999999997"/>
  </r>
  <r>
    <x v="11"/>
    <x v="8"/>
    <x v="0"/>
    <s v="4400104"/>
    <n v="721650"/>
    <s v="Supplies-Pharmacy Drugs - Nonbillable"/>
    <s v="Surgery Services"/>
    <x v="0"/>
    <m/>
    <n v="39"/>
    <n v="30.61"/>
    <n v="58.9"/>
    <n v="65.59"/>
    <n v="49.77"/>
    <n v="50.86"/>
    <n v="58.42"/>
    <n v="29.27"/>
    <n v="111.78"/>
    <n v="64.3"/>
    <n v="91.99"/>
    <n v="39.06"/>
    <n v="689.55"/>
    <n v="52.929999999999993"/>
  </r>
  <r>
    <x v="11"/>
    <x v="8"/>
    <x v="0"/>
    <s v="4400104"/>
    <n v="721710"/>
    <s v="Supplies-Laboratory - Nonbillable"/>
    <s v="Surgery Services"/>
    <x v="0"/>
    <m/>
    <n v="908.9"/>
    <n v="1197.6400000000001"/>
    <n v="563.86"/>
    <n v="1282.77"/>
    <n v="559.98"/>
    <n v="853.1"/>
    <n v="714.93"/>
    <n v="1687.06"/>
    <n v="824.45"/>
    <n v="586.87"/>
    <n v="977.9"/>
    <n v="826.33"/>
    <n v="10983.79"/>
    <n v="151.56999999999994"/>
  </r>
  <r>
    <x v="11"/>
    <x v="8"/>
    <x v="0"/>
    <s v="4400104"/>
    <n v="721710"/>
    <s v="Reagents"/>
    <s v="Surgery Services"/>
    <x v="0"/>
    <n v="1000"/>
    <n v="138.88"/>
    <n v="100.33"/>
    <n v="0"/>
    <n v="100.33"/>
    <n v="100.33"/>
    <n v="0"/>
    <n v="324.17"/>
    <n v="23.19"/>
    <n v="200.65"/>
    <n v="100.33"/>
    <n v="0"/>
    <n v="100.33"/>
    <n v="1188.54"/>
    <n v="-100.33"/>
  </r>
  <r>
    <x v="11"/>
    <x v="8"/>
    <x v="0"/>
    <s v="4400104"/>
    <n v="721750"/>
    <s v="Supplies-Film/Radiographic - Nonbillable"/>
    <s v="Surgery Services"/>
    <x v="0"/>
    <m/>
    <n v="0"/>
    <n v="71.61"/>
    <n v="60.99"/>
    <n v="77.75"/>
    <n v="76.89"/>
    <n v="180.9"/>
    <n v="0"/>
    <n v="167.44"/>
    <n v="0"/>
    <n v="60.99"/>
    <n v="196.24"/>
    <n v="20.98"/>
    <n v="913.79"/>
    <n v="175.26000000000002"/>
  </r>
  <r>
    <x v="11"/>
    <x v="8"/>
    <x v="0"/>
    <s v="4400104"/>
    <n v="721810"/>
    <s v="Supplies-Dietary/Cafeteria"/>
    <s v="Surgery Services"/>
    <x v="0"/>
    <m/>
    <n v="412.09"/>
    <n v="67.650000000000006"/>
    <n v="111.05"/>
    <n v="217.08"/>
    <n v="153.30000000000001"/>
    <n v="248.7"/>
    <n v="115.92"/>
    <n v="148.5"/>
    <n v="234.39"/>
    <n v="110.68"/>
    <n v="277.43"/>
    <n v="264.10000000000002"/>
    <n v="2360.8900000000003"/>
    <n v="13.329999999999984"/>
  </r>
  <r>
    <x v="11"/>
    <x v="8"/>
    <x v="0"/>
    <s v="4400104"/>
    <n v="721830"/>
    <s v="Supplies-Office"/>
    <s v="Surgery Services"/>
    <x v="0"/>
    <m/>
    <n v="1791.51"/>
    <n v="665.96"/>
    <n v="1723.27"/>
    <n v="2028.35"/>
    <n v="1239.1500000000001"/>
    <n v="1621.21"/>
    <n v="2802.96"/>
    <n v="607.63"/>
    <n v="2001.57"/>
    <n v="726.7"/>
    <n v="1166.58"/>
    <n v="2040.11"/>
    <n v="18415"/>
    <n v="-873.53"/>
  </r>
  <r>
    <x v="11"/>
    <x v="8"/>
    <x v="0"/>
    <s v="4400104"/>
    <n v="721835"/>
    <s v="Supplies-Forms"/>
    <s v="Surgery Services"/>
    <x v="0"/>
    <m/>
    <n v="0"/>
    <n v="0"/>
    <n v="0"/>
    <n v="0"/>
    <n v="25.49"/>
    <n v="0"/>
    <n v="12.5"/>
    <n v="0"/>
    <n v="17.5"/>
    <n v="42"/>
    <n v="0"/>
    <n v="6.34"/>
    <n v="103.83"/>
    <n v="-6.34"/>
  </r>
  <r>
    <x v="11"/>
    <x v="8"/>
    <x v="0"/>
    <s v="4400104"/>
    <n v="721850"/>
    <s v="Supplies-Maintenance"/>
    <s v="Surgery Services"/>
    <x v="0"/>
    <m/>
    <n v="0"/>
    <n v="0"/>
    <n v="0"/>
    <n v="0"/>
    <n v="0"/>
    <n v="0"/>
    <n v="0"/>
    <n v="0"/>
    <n v="0"/>
    <n v="0"/>
    <n v="0"/>
    <n v="0"/>
    <n v="0"/>
    <n v="0"/>
  </r>
  <r>
    <x v="11"/>
    <x v="8"/>
    <x v="0"/>
    <s v="4400104"/>
    <n v="721870"/>
    <s v="Supplies-Environmental Services"/>
    <s v="Surgery Services"/>
    <x v="0"/>
    <m/>
    <n v="486.91"/>
    <n v="151.41999999999999"/>
    <n v="976.02"/>
    <n v="1286.6400000000001"/>
    <n v="939.84"/>
    <n v="1524.29"/>
    <n v="1557.92"/>
    <n v="1007.87"/>
    <n v="1220.94"/>
    <n v="1773.84"/>
    <n v="946.66"/>
    <n v="1131.94"/>
    <n v="13004.29"/>
    <n v="-185.28000000000009"/>
  </r>
  <r>
    <x v="11"/>
    <x v="8"/>
    <x v="0"/>
    <s v="4400104"/>
    <n v="721910"/>
    <s v="Supplies-Small Equipment"/>
    <s v="Surgery Services"/>
    <x v="0"/>
    <m/>
    <n v="11105.63"/>
    <n v="9298.69"/>
    <n v="8626.4500000000007"/>
    <n v="17140.349999999999"/>
    <n v="5216.6899999999996"/>
    <n v="13604.15"/>
    <n v="5262.87"/>
    <n v="12496.51"/>
    <n v="-1305.83"/>
    <n v="3217.03"/>
    <n v="6731.24"/>
    <n v="6251.38"/>
    <n v="97645.16"/>
    <n v="479.85999999999967"/>
  </r>
  <r>
    <x v="11"/>
    <x v="8"/>
    <x v="0"/>
    <s v="4400104"/>
    <n v="721910"/>
    <s v="Instruments"/>
    <s v="Surgery Services"/>
    <x v="0"/>
    <n v="1000"/>
    <n v="2888.55"/>
    <n v="8902.2900000000009"/>
    <n v="2088.88"/>
    <n v="4519.1099999999997"/>
    <n v="5120.76"/>
    <n v="10538.56"/>
    <n v="15114.39"/>
    <n v="4441.38"/>
    <n v="15525.58"/>
    <n v="6749.66"/>
    <n v="4804.08"/>
    <n v="4304.99"/>
    <n v="84998.23000000001"/>
    <n v="499.09000000000015"/>
  </r>
  <r>
    <x v="11"/>
    <x v="8"/>
    <x v="0"/>
    <s v="4400104"/>
    <n v="721980"/>
    <s v="Supplies-Other"/>
    <s v="Surgery Services"/>
    <x v="0"/>
    <m/>
    <n v="0"/>
    <n v="10.029999999999999"/>
    <n v="243.31"/>
    <n v="10.58"/>
    <n v="0"/>
    <n v="98.72"/>
    <n v="4758.75"/>
    <n v="0"/>
    <n v="0"/>
    <n v="0"/>
    <n v="0"/>
    <n v="0"/>
    <n v="5121.3900000000003"/>
    <n v="0"/>
  </r>
  <r>
    <x v="11"/>
    <x v="8"/>
    <x v="0"/>
    <s v="4400104"/>
    <n v="722000"/>
    <s v="Supplies-Freight Expense"/>
    <s v="Surgery Services"/>
    <x v="0"/>
    <m/>
    <n v="989.47"/>
    <n v="4342.38"/>
    <n v="2133.1799999999998"/>
    <n v="2558.0500000000002"/>
    <n v="1864.79"/>
    <n v="2858.68"/>
    <n v="4399.55"/>
    <n v="1311.07"/>
    <n v="2862.56"/>
    <n v="2411.63"/>
    <n v="2033.14"/>
    <n v="1329.22"/>
    <n v="29093.720000000005"/>
    <n v="703.92000000000007"/>
  </r>
  <r>
    <x v="11"/>
    <x v="8"/>
    <x v="0"/>
    <s v="4400104"/>
    <n v="722000"/>
    <s v="Minimum Order Fees"/>
    <s v="Surgery Services"/>
    <x v="0"/>
    <n v="1000"/>
    <n v="0"/>
    <n v="0"/>
    <n v="0"/>
    <n v="14.4"/>
    <n v="0"/>
    <n v="0"/>
    <n v="0"/>
    <n v="0"/>
    <n v="0"/>
    <n v="0"/>
    <n v="0"/>
    <n v="140"/>
    <n v="154.4"/>
    <n v="-140"/>
  </r>
  <r>
    <x v="11"/>
    <x v="8"/>
    <x v="0"/>
    <s v="4400104"/>
    <n v="723000"/>
    <s v="Supply Rebates/Patronage Dividend"/>
    <s v="Surgery Services"/>
    <x v="0"/>
    <m/>
    <n v="0"/>
    <n v="0"/>
    <n v="-3308.57"/>
    <n v="0"/>
    <n v="0"/>
    <n v="-10003.23"/>
    <n v="0"/>
    <n v="0"/>
    <n v="-8401.4699999999993"/>
    <n v="0"/>
    <n v="0"/>
    <n v="-11561.25"/>
    <n v="-33274.519999999997"/>
    <n v="11561.25"/>
  </r>
  <r>
    <x v="12"/>
    <x v="8"/>
    <x v="0"/>
    <s v="4400104"/>
    <n v="730020"/>
    <s v="Rental and Leases-Equipment (DO NOT USE)"/>
    <s v="Surgery Services"/>
    <x v="0"/>
    <m/>
    <n v="17775.55"/>
    <n v="6017.46"/>
    <n v="12302.9"/>
    <n v="10934.16"/>
    <n v="11098.52"/>
    <n v="21415.32"/>
    <n v="8662.69"/>
    <n v="34438.51"/>
    <n v="48627.79"/>
    <n v="16341.75"/>
    <n v="29554.48"/>
    <n v="15417.95"/>
    <n v="232587.08000000005"/>
    <n v="14136.529999999999"/>
  </r>
  <r>
    <x v="12"/>
    <x v="8"/>
    <x v="0"/>
    <s v="4400104"/>
    <n v="730020"/>
    <s v="Rental and Leases-Copier Usage Fees (DO NOT USE)"/>
    <s v="Surgery Services"/>
    <x v="0"/>
    <n v="5100"/>
    <n v="956.27"/>
    <n v="979.03"/>
    <n v="967.65"/>
    <n v="967.65"/>
    <n v="967.65"/>
    <n v="967.65"/>
    <n v="2066.48"/>
    <n v="967.63"/>
    <n v="968.19"/>
    <n v="1374.16"/>
    <n v="970.22"/>
    <n v="1107.98"/>
    <n v="13260.559999999998"/>
    <n v="-137.76"/>
  </r>
  <r>
    <x v="15"/>
    <x v="8"/>
    <x v="0"/>
    <s v="4400104"/>
    <n v="731060"/>
    <s v="Cell Phones"/>
    <s v="Surgery Services"/>
    <x v="0"/>
    <n v="1001"/>
    <n v="0"/>
    <n v="102.77"/>
    <n v="50.57"/>
    <n v="0"/>
    <n v="50.91"/>
    <n v="51.6"/>
    <n v="103.31"/>
    <n v="0"/>
    <n v="51.55"/>
    <n v="103.32"/>
    <n v="144.68"/>
    <n v="-42.14"/>
    <n v="616.57000000000005"/>
    <n v="186.82"/>
  </r>
  <r>
    <x v="15"/>
    <x v="8"/>
    <x v="0"/>
    <s v="4400104"/>
    <n v="731060"/>
    <s v="Pagers"/>
    <s v="Surgery Services"/>
    <x v="0"/>
    <n v="1002"/>
    <n v="32.4"/>
    <n v="8.91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203.67000000000004"/>
    <n v="0"/>
  </r>
  <r>
    <x v="16"/>
    <x v="8"/>
    <x v="0"/>
    <s v="4400104"/>
    <n v="732015"/>
    <s v="Repairs-Clinical Equip-T&amp;M-Ext to CHI Programs"/>
    <s v="Surgery Services"/>
    <x v="0"/>
    <m/>
    <n v="0"/>
    <n v="2194"/>
    <n v="3171.33"/>
    <n v="493.83"/>
    <n v="3097.83"/>
    <n v="0"/>
    <n v="9395"/>
    <n v="9900"/>
    <n v="14472.5"/>
    <n v="8663.9599999999991"/>
    <n v="1724.18"/>
    <n v="5353"/>
    <n v="58465.63"/>
    <n v="-3628.8199999999997"/>
  </r>
  <r>
    <x v="16"/>
    <x v="8"/>
    <x v="0"/>
    <s v="4400104"/>
    <n v="732020"/>
    <s v="Repairs--Clin Equip-Parts-Internal to CHI Programs"/>
    <s v="Surgery Services"/>
    <x v="0"/>
    <m/>
    <n v="0"/>
    <n v="546.86"/>
    <n v="1673.08"/>
    <n v="203.9"/>
    <n v="0"/>
    <n v="273.43"/>
    <n v="430.76"/>
    <n v="261.10000000000002"/>
    <n v="273.43"/>
    <n v="0"/>
    <n v="10530.7"/>
    <n v="470.24"/>
    <n v="14663.5"/>
    <n v="10060.460000000001"/>
  </r>
  <r>
    <x v="16"/>
    <x v="8"/>
    <x v="0"/>
    <s v="4400104"/>
    <n v="732030"/>
    <s v="Repairs---Other"/>
    <s v="Surgery Services"/>
    <x v="0"/>
    <m/>
    <n v="765.43"/>
    <n v="21887.24"/>
    <n v="1429.53"/>
    <n v="0"/>
    <n v="3533.33"/>
    <n v="4391.25"/>
    <n v="3208.75"/>
    <n v="4976"/>
    <n v="1586.25"/>
    <n v="4976"/>
    <n v="0"/>
    <n v="-1554.37"/>
    <n v="45199.409999999996"/>
    <n v="1554.37"/>
  </r>
  <r>
    <x v="16"/>
    <x v="8"/>
    <x v="0"/>
    <s v="4400104"/>
    <n v="733030"/>
    <s v="Maintenance Contracts-Other"/>
    <s v="Surgery Services"/>
    <x v="0"/>
    <m/>
    <n v="6668.52"/>
    <n v="7459.12"/>
    <n v="6268.52"/>
    <n v="6668.52"/>
    <n v="6668.52"/>
    <n v="6668.52"/>
    <n v="6668.52"/>
    <n v="6668.52"/>
    <n v="6668.52"/>
    <n v="6668.52"/>
    <n v="6668.52"/>
    <n v="6668.52"/>
    <n v="80412.840000000026"/>
    <n v="0"/>
  </r>
  <r>
    <x v="13"/>
    <x v="8"/>
    <x v="0"/>
    <s v="4400104"/>
    <n v="735030"/>
    <s v="Depreciation-Buildings"/>
    <s v="Surgery Services"/>
    <x v="0"/>
    <m/>
    <n v="29464.639999999999"/>
    <n v="29464.61"/>
    <n v="29464.69"/>
    <n v="29464.57"/>
    <n v="29464.75"/>
    <n v="29464.54"/>
    <n v="29464.82"/>
    <n v="29464.5"/>
    <n v="29464.86"/>
    <n v="28735.31"/>
    <n v="28735.74"/>
    <n v="28735.26"/>
    <n v="351388.29000000004"/>
    <n v="0.48000000000320142"/>
  </r>
  <r>
    <x v="13"/>
    <x v="8"/>
    <x v="0"/>
    <s v="4400104"/>
    <n v="735040"/>
    <s v="Depreciation-Building Improvements"/>
    <s v="Surgery Services"/>
    <x v="0"/>
    <m/>
    <n v="0"/>
    <n v="11530.18"/>
    <n v="11617.84"/>
    <n v="11617.84"/>
    <n v="11617.84"/>
    <n v="11617.84"/>
    <n v="11617.84"/>
    <n v="11617.84"/>
    <n v="11617.84"/>
    <n v="11617.84"/>
    <n v="11617.84"/>
    <n v="11617.84"/>
    <n v="127708.57999999997"/>
    <n v="0"/>
  </r>
  <r>
    <x v="13"/>
    <x v="8"/>
    <x v="0"/>
    <s v="4400104"/>
    <n v="735060"/>
    <s v="Depreciation-Fixed Equipment"/>
    <s v="Surgery Services"/>
    <x v="0"/>
    <m/>
    <n v="14.64"/>
    <n v="283.02"/>
    <n v="283.02"/>
    <n v="283.02"/>
    <n v="283.02"/>
    <n v="283.01"/>
    <n v="283.02"/>
    <n v="283.01"/>
    <n v="283.02999999999997"/>
    <n v="283.01"/>
    <n v="283.02999999999997"/>
    <n v="283.01"/>
    <n v="3127.84"/>
    <n v="1.999999999998181E-2"/>
  </r>
  <r>
    <x v="13"/>
    <x v="8"/>
    <x v="0"/>
    <s v="4400104"/>
    <n v="735070"/>
    <s v="Depreciation-Movable Equipment"/>
    <s v="Surgery Services"/>
    <x v="0"/>
    <m/>
    <n v="165577.42000000001"/>
    <n v="167176.34"/>
    <n v="167176.18"/>
    <n v="167608.16"/>
    <n v="165543.15"/>
    <n v="165543.57"/>
    <n v="189543.04000000001"/>
    <n v="166821.41"/>
    <n v="190820.79"/>
    <n v="171235.26"/>
    <n v="171235.92"/>
    <n v="172103.83"/>
    <n v="2060385.07"/>
    <n v="-867.90999999997439"/>
  </r>
  <r>
    <x v="13"/>
    <x v="8"/>
    <x v="0"/>
    <s v="4400104"/>
    <n v="735070"/>
    <s v="Depreciation-DaVinci Robot"/>
    <s v="Surgery Services"/>
    <x v="0"/>
    <n v="1000"/>
    <n v="46375.6"/>
    <n v="49914.239999999998"/>
    <n v="49914.239999999998"/>
    <n v="49914.239999999998"/>
    <n v="49914.239999999998"/>
    <n v="49914.239999999998"/>
    <n v="49914.25"/>
    <n v="-88190.81"/>
    <n v="165279.16"/>
    <n v="46008.34"/>
    <n v="46008.35"/>
    <n v="46008.34"/>
    <n v="560974.42999999993"/>
    <n v="1.0000000002037268E-2"/>
  </r>
  <r>
    <x v="0"/>
    <x v="8"/>
    <x v="0"/>
    <s v="4400104"/>
    <n v="740010"/>
    <s v="Education-Materials"/>
    <s v="Surgery Services"/>
    <x v="0"/>
    <m/>
    <n v="0"/>
    <n v="0"/>
    <n v="0"/>
    <n v="0"/>
    <n v="0"/>
    <n v="0"/>
    <n v="0"/>
    <n v="0"/>
    <n v="0"/>
    <n v="0"/>
    <n v="50"/>
    <n v="0"/>
    <n v="50"/>
    <n v="50"/>
  </r>
  <r>
    <x v="0"/>
    <x v="8"/>
    <x v="0"/>
    <s v="4400104"/>
    <n v="740020"/>
    <s v="Education-Registration Fees"/>
    <s v="Surgery Services"/>
    <x v="0"/>
    <m/>
    <n v="0"/>
    <n v="0"/>
    <n v="0"/>
    <n v="0"/>
    <n v="85"/>
    <n v="0"/>
    <n v="0"/>
    <n v="0"/>
    <n v="1565"/>
    <n v="0"/>
    <n v="1385.9"/>
    <n v="0"/>
    <n v="3035.9"/>
    <n v="1385.9"/>
  </r>
  <r>
    <x v="0"/>
    <x v="8"/>
    <x v="0"/>
    <s v="4400104"/>
    <n v="742030"/>
    <s v="Freight-Courier"/>
    <s v="Surgery Services"/>
    <x v="0"/>
    <m/>
    <n v="0"/>
    <n v="0"/>
    <n v="146"/>
    <n v="135"/>
    <n v="0"/>
    <n v="0"/>
    <n v="0"/>
    <n v="209"/>
    <n v="0"/>
    <n v="0"/>
    <n v="0"/>
    <n v="0"/>
    <n v="490"/>
    <n v="0"/>
  </r>
  <r>
    <x v="0"/>
    <x v="8"/>
    <x v="0"/>
    <s v="4400104"/>
    <n v="743030"/>
    <s v="Subscriptions--Institutional"/>
    <s v="Surgery Services"/>
    <x v="0"/>
    <m/>
    <n v="0"/>
    <n v="72.599999999999994"/>
    <n v="0"/>
    <n v="0"/>
    <n v="0"/>
    <n v="288.79000000000002"/>
    <n v="97.98"/>
    <n v="117.49"/>
    <n v="555"/>
    <n v="0"/>
    <n v="0"/>
    <n v="0"/>
    <n v="1131.8600000000001"/>
    <n v="0"/>
  </r>
  <r>
    <x v="0"/>
    <x v="8"/>
    <x v="0"/>
    <s v="4400104"/>
    <n v="749510"/>
    <s v="Miscellaneous Expenses"/>
    <s v="Surgery Services"/>
    <x v="0"/>
    <m/>
    <n v="5399.23"/>
    <n v="-5292.89"/>
    <n v="260.55"/>
    <n v="218.8"/>
    <n v="351.35"/>
    <n v="454.15"/>
    <n v="4354.13"/>
    <n v="2061.6999999999998"/>
    <n v="-6362.33"/>
    <n v="2546.4499999999998"/>
    <n v="-1645.43"/>
    <n v="17.309999999999999"/>
    <n v="2363.0199999999991"/>
    <n v="-1662.74"/>
  </r>
  <r>
    <x v="0"/>
    <x v="8"/>
    <x v="0"/>
    <s v="4400104"/>
    <n v="749510"/>
    <s v="Licenses"/>
    <s v="Surgery Services"/>
    <x v="0"/>
    <n v="1002"/>
    <n v="500"/>
    <n v="500"/>
    <n v="0"/>
    <n v="0"/>
    <n v="0"/>
    <n v="1500"/>
    <n v="500"/>
    <n v="1000"/>
    <n v="500"/>
    <n v="500"/>
    <n v="500"/>
    <n v="500"/>
    <n v="6000"/>
    <n v="0"/>
  </r>
  <r>
    <x v="0"/>
    <x v="8"/>
    <x v="0"/>
    <s v="4400104"/>
    <n v="749530"/>
    <s v="Travel"/>
    <s v="Surgery Services"/>
    <x v="0"/>
    <m/>
    <n v="0"/>
    <n v="0"/>
    <n v="0"/>
    <n v="0"/>
    <n v="0"/>
    <n v="0"/>
    <n v="528.22"/>
    <n v="0"/>
    <n v="2754.5"/>
    <n v="2681.48"/>
    <n v="1512.63"/>
    <n v="0"/>
    <n v="7476.8300000000008"/>
    <n v="1512.63"/>
  </r>
  <r>
    <x v="0"/>
    <x v="8"/>
    <x v="0"/>
    <s v="4400104"/>
    <n v="749535"/>
    <s v="Meetings"/>
    <s v="Surgery Services"/>
    <x v="0"/>
    <m/>
    <n v="0"/>
    <n v="0"/>
    <n v="0"/>
    <n v="0"/>
    <n v="0"/>
    <n v="0"/>
    <n v="0"/>
    <n v="0"/>
    <n v="0"/>
    <n v="0"/>
    <n v="711.6"/>
    <n v="0"/>
    <n v="711.6"/>
    <n v="711.6"/>
  </r>
  <r>
    <x v="18"/>
    <x v="5"/>
    <x v="0"/>
    <s v="4400106"/>
    <n v="400010"/>
    <s v="Acute I/P Svcs Rev--Medicare"/>
    <s v="Surgery Services"/>
    <x v="0"/>
    <n v="1100"/>
    <n v="-2670525.2799999998"/>
    <n v="-2936445.86"/>
    <n v="-2086759.81"/>
    <n v="-1784902.48"/>
    <n v="-2090873.01"/>
    <n v="-1573476.9"/>
    <n v="-3115873.04"/>
    <n v="-2712172.43"/>
    <n v="-2445934.94"/>
    <n v="-2636816.06"/>
    <n v="-2775427.84"/>
    <n v="-1548837.09"/>
    <n v="-28378044.739999998"/>
    <n v="-1226590.7499999998"/>
  </r>
  <r>
    <x v="18"/>
    <x v="5"/>
    <x v="0"/>
    <s v="4400106"/>
    <n v="400010"/>
    <s v="Acute I/P Svcs Rev--Medicaid"/>
    <s v="Surgery Services"/>
    <x v="0"/>
    <n v="1200"/>
    <n v="-720474.53"/>
    <n v="-560787.35"/>
    <n v="-593346.71"/>
    <n v="-452856.72"/>
    <n v="-567319.56000000006"/>
    <n v="-756307.98"/>
    <n v="-542696.89"/>
    <n v="-471598.45"/>
    <n v="-526259.81000000006"/>
    <n v="-426749.58"/>
    <n v="-283964.26"/>
    <n v="-1023090.36"/>
    <n v="-6925452.2000000002"/>
    <n v="739126.1"/>
  </r>
  <r>
    <x v="18"/>
    <x v="5"/>
    <x v="0"/>
    <s v="4400106"/>
    <n v="400010"/>
    <s v="Acute I/P Svcs Rev--Comm Insurance"/>
    <s v="Surgery Services"/>
    <x v="0"/>
    <n v="1300"/>
    <n v="-208776.12"/>
    <n v="29246.65"/>
    <n v="93634.91"/>
    <n v="59837.51"/>
    <n v="-30979.63"/>
    <n v="-66135.179999999993"/>
    <n v="16377.85"/>
    <n v="20526.349999999999"/>
    <n v="-267302.34000000003"/>
    <n v="-236993.19"/>
    <n v="-112638.91"/>
    <n v="76330.929999999993"/>
    <n v="-626871.16999999993"/>
    <n v="-188969.84"/>
  </r>
  <r>
    <x v="18"/>
    <x v="5"/>
    <x v="0"/>
    <s v="4400106"/>
    <n v="400010"/>
    <s v="Acute I/P Svcs Rev--BCBS Comm"/>
    <s v="Surgery Services"/>
    <x v="0"/>
    <n v="1301"/>
    <n v="-677730.74"/>
    <n v="-754928.47"/>
    <n v="-127658.44"/>
    <n v="-50910.46"/>
    <n v="-379794.02"/>
    <n v="-445461.21"/>
    <n v="-630971.81000000006"/>
    <n v="-375304.39"/>
    <n v="-323948.28000000003"/>
    <n v="-7203.04"/>
    <n v="-365954.06"/>
    <n v="-582317.57999999996"/>
    <n v="-4722182.5"/>
    <n v="216363.51999999996"/>
  </r>
  <r>
    <x v="18"/>
    <x v="5"/>
    <x v="0"/>
    <s v="4400106"/>
    <n v="400010"/>
    <s v="Acute I/P Svcs Rev--Managed Care"/>
    <s v="Surgery Services"/>
    <x v="0"/>
    <n v="1400"/>
    <n v="-1499750.79"/>
    <n v="-1381839.53"/>
    <n v="-914938.67"/>
    <n v="-491906.7"/>
    <n v="-1202970.02"/>
    <n v="-793317.58"/>
    <n v="-324766.43"/>
    <n v="-240560.48"/>
    <n v="-463336.41"/>
    <n v="-549378.30000000005"/>
    <n v="-492291.93"/>
    <n v="-791701.49"/>
    <n v="-9146758.3300000001"/>
    <n v="299409.56"/>
  </r>
  <r>
    <x v="18"/>
    <x v="5"/>
    <x v="0"/>
    <s v="4400106"/>
    <n v="400010"/>
    <s v="Acute I/P Svcs Rev--Self Pay"/>
    <s v="Surgery Services"/>
    <x v="0"/>
    <n v="1500"/>
    <n v="-121762.99"/>
    <n v="-12285.46"/>
    <n v="0"/>
    <n v="-99862.52"/>
    <n v="-139651.91"/>
    <n v="-81111.23"/>
    <n v="0"/>
    <n v="-62059.91"/>
    <n v="-106261.64"/>
    <n v="-73489.100000000006"/>
    <n v="-88143.86"/>
    <n v="0"/>
    <n v="-784628.62"/>
    <n v="-88143.86"/>
  </r>
  <r>
    <x v="18"/>
    <x v="5"/>
    <x v="0"/>
    <s v="4400106"/>
    <n v="400010"/>
    <s v="Acute I/P Svcs Rev--Other"/>
    <s v="Surgery Services"/>
    <x v="0"/>
    <n v="1700"/>
    <n v="5571.61"/>
    <n v="-150841.1"/>
    <n v="-135724.54999999999"/>
    <n v="-169526.86"/>
    <n v="-256431.35"/>
    <n v="-352879.81"/>
    <n v="-160505.92000000001"/>
    <n v="-284569.43"/>
    <n v="-189083.74"/>
    <n v="-46447.17"/>
    <n v="-164048.98000000001"/>
    <n v="0"/>
    <n v="-1904487.2999999998"/>
    <n v="-164048.98000000001"/>
  </r>
  <r>
    <x v="19"/>
    <x v="5"/>
    <x v="0"/>
    <s v="4400106"/>
    <n v="400020"/>
    <s v="O/P Care Svcs Rev--Medicare"/>
    <s v="Surgery Services"/>
    <x v="0"/>
    <n v="1100"/>
    <n v="-1636576.82"/>
    <n v="-1717922.98"/>
    <n v="-2294308.25"/>
    <n v="-1983579.5"/>
    <n v="-2003851.74"/>
    <n v="-1490146.39"/>
    <n v="-2026797.62"/>
    <n v="-1291292.74"/>
    <n v="-1263346.93"/>
    <n v="-1793675.84"/>
    <n v="-1513479.13"/>
    <n v="-2318879.56"/>
    <n v="-21333857.5"/>
    <n v="805400.43000000017"/>
  </r>
  <r>
    <x v="19"/>
    <x v="5"/>
    <x v="0"/>
    <s v="4400106"/>
    <n v="400020"/>
    <s v="O/P Care Svcs Rev--Medicaid"/>
    <s v="Surgery Services"/>
    <x v="0"/>
    <n v="1200"/>
    <n v="-1592856.97"/>
    <n v="-1012602.84"/>
    <n v="-1096535.77"/>
    <n v="-1054705.8700000001"/>
    <n v="-547160.4"/>
    <n v="-1145854.8799999999"/>
    <n v="-977704.77"/>
    <n v="-1167262.07"/>
    <n v="-1161932.94"/>
    <n v="-1219935.9099999999"/>
    <n v="-952307.21"/>
    <n v="-1079384.22"/>
    <n v="-13008243.85"/>
    <n v="127077.01000000001"/>
  </r>
  <r>
    <x v="19"/>
    <x v="5"/>
    <x v="0"/>
    <s v="4400106"/>
    <n v="400020"/>
    <s v="O/P Care Svcs Rev--Comm Insurance"/>
    <s v="Surgery Services"/>
    <x v="0"/>
    <n v="1300"/>
    <n v="-82752.509999999995"/>
    <n v="-288877.52"/>
    <n v="-27827.61"/>
    <n v="-215591.26"/>
    <n v="-229353.88"/>
    <n v="-13071.47"/>
    <n v="-267189.58"/>
    <n v="-210322.92"/>
    <n v="-64774.29"/>
    <n v="-101511.23"/>
    <n v="-211247.28"/>
    <n v="-294381.87"/>
    <n v="-2006901.42"/>
    <n v="83134.59"/>
  </r>
  <r>
    <x v="19"/>
    <x v="5"/>
    <x v="0"/>
    <s v="4400106"/>
    <n v="400020"/>
    <s v="O/P Care Svcs Rev--BCBS Comm"/>
    <s v="Surgery Services"/>
    <x v="0"/>
    <n v="1301"/>
    <n v="-603487.93000000005"/>
    <n v="-520334.57"/>
    <n v="-660099.53"/>
    <n v="-570992.67000000004"/>
    <n v="-277306.48"/>
    <n v="-779922.36"/>
    <n v="-474370.76"/>
    <n v="-875922.12"/>
    <n v="-424885.25"/>
    <n v="-358515.41"/>
    <n v="-738471.25"/>
    <n v="-922156.78"/>
    <n v="-7206465.1100000003"/>
    <n v="183685.53000000003"/>
  </r>
  <r>
    <x v="19"/>
    <x v="5"/>
    <x v="0"/>
    <s v="4400106"/>
    <n v="400020"/>
    <s v="O/P Care Svcs Rev--Managed Care"/>
    <s v="Surgery Services"/>
    <x v="0"/>
    <n v="1400"/>
    <n v="-1578158"/>
    <n v="-2044537.61"/>
    <n v="-1696001.91"/>
    <n v="-2205593.9500000002"/>
    <n v="-2837659.22"/>
    <n v="-2903919.83"/>
    <n v="-1949593.94"/>
    <n v="-1642372.55"/>
    <n v="-2080272.83"/>
    <n v="-1848836.84"/>
    <n v="-2095680.65"/>
    <n v="-1577541.79"/>
    <n v="-24460169.120000001"/>
    <n v="-518138.85999999987"/>
  </r>
  <r>
    <x v="19"/>
    <x v="5"/>
    <x v="0"/>
    <s v="4400106"/>
    <n v="400020"/>
    <s v="O/P Care Svcs Rev--Self Pay"/>
    <s v="Surgery Services"/>
    <x v="0"/>
    <n v="1500"/>
    <n v="-71463.679999999993"/>
    <n v="-191555.66"/>
    <n v="-54035.33"/>
    <n v="-51413.54"/>
    <n v="-195215.03"/>
    <n v="-163261.73000000001"/>
    <n v="-260532.26"/>
    <n v="95935.96"/>
    <n v="-35421.769999999997"/>
    <n v="-100876.21"/>
    <n v="-371333.97"/>
    <n v="33170.949999999997"/>
    <n v="-1366002.27"/>
    <n v="-404504.92"/>
  </r>
  <r>
    <x v="19"/>
    <x v="5"/>
    <x v="0"/>
    <s v="4400106"/>
    <n v="400020"/>
    <s v="O/P Care Svcs Rev--Other"/>
    <s v="Surgery Services"/>
    <x v="0"/>
    <n v="1700"/>
    <n v="-5948.96"/>
    <n v="-316005.62"/>
    <n v="-10794.69"/>
    <n v="-87709.07"/>
    <n v="-122417.15"/>
    <n v="-101503.47"/>
    <n v="-136697.56"/>
    <n v="-301580.62"/>
    <n v="-293877.06"/>
    <n v="-461432.43"/>
    <n v="-397152.95"/>
    <n v="-91199.98"/>
    <n v="-2326319.56"/>
    <n v="-305952.97000000003"/>
  </r>
  <r>
    <x v="14"/>
    <x v="5"/>
    <x v="0"/>
    <s v="4400106"/>
    <n v="600050"/>
    <s v="Miscellaneous Revenue"/>
    <s v="Surgery Services"/>
    <x v="0"/>
    <m/>
    <n v="-2530.23"/>
    <n v="-2544.06"/>
    <n v="0"/>
    <n v="-38.25"/>
    <n v="-13.25"/>
    <n v="-6769.8"/>
    <n v="-2800"/>
    <n v="-24.75"/>
    <n v="0"/>
    <n v="-8"/>
    <n v="-16203.17"/>
    <n v="-3685.1"/>
    <n v="-34616.61"/>
    <n v="-12518.07"/>
  </r>
  <r>
    <x v="5"/>
    <x v="5"/>
    <x v="0"/>
    <s v="4400106"/>
    <n v="700014"/>
    <s v="Salaries-Management-Productive"/>
    <s v="Surgery Services"/>
    <x v="0"/>
    <m/>
    <n v="23091.41"/>
    <n v="20589.48"/>
    <n v="13198.69"/>
    <n v="21407.62"/>
    <n v="26495.040000000001"/>
    <n v="31419.48"/>
    <n v="29293.279999999999"/>
    <n v="22613.48"/>
    <n v="24397.61"/>
    <n v="24713.55"/>
    <n v="22909.9"/>
    <n v="27240.09"/>
    <n v="287369.63"/>
    <n v="-4330.1899999999987"/>
  </r>
  <r>
    <x v="5"/>
    <x v="5"/>
    <x v="0"/>
    <s v="4400106"/>
    <n v="700014"/>
    <s v="Salaries-Management-Other"/>
    <s v="Surgery Services"/>
    <x v="0"/>
    <n v="2000"/>
    <n v="0"/>
    <n v="0"/>
    <n v="0"/>
    <n v="0"/>
    <n v="0"/>
    <n v="30"/>
    <n v="0"/>
    <n v="0"/>
    <n v="0"/>
    <n v="0"/>
    <n v="0"/>
    <n v="0"/>
    <n v="30"/>
    <n v="0"/>
  </r>
  <r>
    <x v="5"/>
    <x v="5"/>
    <x v="0"/>
    <s v="4400106"/>
    <n v="700026"/>
    <s v="Salaries-RN-Productive"/>
    <s v="Surgery Services"/>
    <x v="0"/>
    <m/>
    <n v="50757.98"/>
    <n v="53358.62"/>
    <n v="47146.66"/>
    <n v="44250.11"/>
    <n v="51184.15"/>
    <n v="50837.56"/>
    <n v="56629.3"/>
    <n v="44397.4"/>
    <n v="54196.71"/>
    <n v="48324.2"/>
    <n v="46038.69"/>
    <n v="53307.34"/>
    <n v="600428.72"/>
    <n v="-7268.6499999999942"/>
  </r>
  <r>
    <x v="5"/>
    <x v="5"/>
    <x v="0"/>
    <s v="4400106"/>
    <n v="700026"/>
    <s v="Salaries-RN-OT"/>
    <s v="Surgery Services"/>
    <x v="0"/>
    <n v="1000"/>
    <n v="1126.47"/>
    <n v="2594.56"/>
    <n v="129.24"/>
    <n v="1850.27"/>
    <n v="2712.19"/>
    <n v="2763.56"/>
    <n v="4966.25"/>
    <n v="430.82"/>
    <n v="2471.08"/>
    <n v="1985.41"/>
    <n v="358.59"/>
    <n v="2470.04"/>
    <n v="23858.480000000003"/>
    <n v="-2111.4499999999998"/>
  </r>
  <r>
    <x v="5"/>
    <x v="5"/>
    <x v="0"/>
    <s v="4400106"/>
    <n v="700026"/>
    <s v="Salaries-RN-Other"/>
    <s v="Surgery Services"/>
    <x v="0"/>
    <n v="2000"/>
    <n v="4453.9399999999996"/>
    <n v="5484.1"/>
    <n v="4029.98"/>
    <n v="3981.92"/>
    <n v="4548.6400000000003"/>
    <n v="5031.12"/>
    <n v="5100.46"/>
    <n v="3250.75"/>
    <n v="4889.24"/>
    <n v="4813.66"/>
    <n v="3185.96"/>
    <n v="4553.42"/>
    <n v="53323.189999999995"/>
    <n v="-1367.46"/>
  </r>
  <r>
    <x v="5"/>
    <x v="5"/>
    <x v="0"/>
    <s v="4400106"/>
    <n v="700032"/>
    <s v="Salaries-Other Pat Care Providers-Productive"/>
    <s v="Surgery Services"/>
    <x v="0"/>
    <m/>
    <n v="6689.34"/>
    <n v="6574.95"/>
    <n v="8605.3700000000008"/>
    <n v="9045.08"/>
    <n v="7807.03"/>
    <n v="7559.66"/>
    <n v="6531.3"/>
    <n v="5212.0200000000004"/>
    <n v="3510.05"/>
    <n v="3043.51"/>
    <n v="2550.0500000000002"/>
    <n v="1437.18"/>
    <n v="68565.540000000008"/>
    <n v="1112.8700000000001"/>
  </r>
  <r>
    <x v="5"/>
    <x v="5"/>
    <x v="0"/>
    <s v="4400106"/>
    <n v="700032"/>
    <s v="Salaries-Other Pat Care Providers-OT"/>
    <s v="Surgery Services"/>
    <x v="0"/>
    <n v="1000"/>
    <n v="300.54000000000002"/>
    <n v="437.95"/>
    <n v="310.31"/>
    <n v="618.08000000000004"/>
    <n v="431.82"/>
    <n v="662.45"/>
    <n v="255.1"/>
    <n v="259.14999999999998"/>
    <n v="335.23"/>
    <n v="304.58"/>
    <n v="206.39"/>
    <n v="-37.42"/>
    <n v="4084.1800000000003"/>
    <n v="243.81"/>
  </r>
  <r>
    <x v="5"/>
    <x v="5"/>
    <x v="0"/>
    <s v="4400106"/>
    <n v="700032"/>
    <s v="Salaries-Other Pat Care Providers-Other"/>
    <s v="Surgery Services"/>
    <x v="0"/>
    <n v="2000"/>
    <n v="147.88999999999999"/>
    <n v="143.35"/>
    <n v="358.41"/>
    <n v="287.87"/>
    <n v="297.52999999999997"/>
    <n v="254.09"/>
    <n v="175.99"/>
    <n v="139.86000000000001"/>
    <n v="161.9"/>
    <n v="131.07"/>
    <n v="109.83"/>
    <n v="48.4"/>
    <n v="2256.1900000000005"/>
    <n v="61.43"/>
  </r>
  <r>
    <x v="5"/>
    <x v="5"/>
    <x v="0"/>
    <s v="4400106"/>
    <n v="700034"/>
    <s v="Salaries-Tech/Professional-Productive"/>
    <s v="Surgery Services"/>
    <x v="0"/>
    <m/>
    <n v="40767.949999999997"/>
    <n v="35727.279999999999"/>
    <n v="44853.78"/>
    <n v="33289.599999999999"/>
    <n v="40898.78"/>
    <n v="36199"/>
    <n v="34155.51"/>
    <n v="33247.58"/>
    <n v="36404.39"/>
    <n v="30492.3"/>
    <n v="34894.46"/>
    <n v="35879.31"/>
    <n v="436809.94"/>
    <n v="-984.84999999999854"/>
  </r>
  <r>
    <x v="5"/>
    <x v="5"/>
    <x v="0"/>
    <s v="4400106"/>
    <n v="700034"/>
    <s v="Salaries-Tech/Professional-OT"/>
    <s v="Surgery Services"/>
    <x v="0"/>
    <n v="1000"/>
    <n v="3952.59"/>
    <n v="4192.03"/>
    <n v="2042.61"/>
    <n v="101.64"/>
    <n v="2403.39"/>
    <n v="806.62"/>
    <n v="2638.3"/>
    <n v="1093.93"/>
    <n v="1007.8"/>
    <n v="2574.66"/>
    <n v="-89.22"/>
    <n v="1159.0899999999999"/>
    <n v="21883.439999999999"/>
    <n v="-1248.31"/>
  </r>
  <r>
    <x v="5"/>
    <x v="5"/>
    <x v="0"/>
    <s v="4400106"/>
    <n v="700034"/>
    <s v="Salaries-Tech/Professional-Other"/>
    <s v="Surgery Services"/>
    <x v="0"/>
    <n v="2000"/>
    <n v="3798.05"/>
    <n v="3686.02"/>
    <n v="3953.05"/>
    <n v="2543.87"/>
    <n v="3187.74"/>
    <n v="3031.93"/>
    <n v="3039.72"/>
    <n v="2515.5300000000002"/>
    <n v="2937.42"/>
    <n v="2946.52"/>
    <n v="3533.52"/>
    <n v="2662.8"/>
    <n v="37836.17"/>
    <n v="870.7199999999998"/>
  </r>
  <r>
    <x v="5"/>
    <x v="5"/>
    <x v="0"/>
    <s v="4400106"/>
    <n v="700038"/>
    <s v="Salaries-Service/Support-Productive"/>
    <s v="Surgery Services"/>
    <x v="0"/>
    <m/>
    <n v="14288.24"/>
    <n v="18272.14"/>
    <n v="14381.44"/>
    <n v="13020.96"/>
    <n v="16555.29"/>
    <n v="15658.44"/>
    <n v="16882.66"/>
    <n v="11755.07"/>
    <n v="16355.79"/>
    <n v="13904.59"/>
    <n v="17542.439999999999"/>
    <n v="14757.88"/>
    <n v="183374.94000000003"/>
    <n v="2784.5599999999995"/>
  </r>
  <r>
    <x v="5"/>
    <x v="5"/>
    <x v="0"/>
    <s v="4400106"/>
    <n v="700038"/>
    <s v="Salaries-Service/Support-OT"/>
    <s v="Surgery Services"/>
    <x v="0"/>
    <n v="1000"/>
    <n v="2611.9699999999998"/>
    <n v="754.72"/>
    <n v="122.69"/>
    <n v="18.579999999999998"/>
    <n v="240.75"/>
    <n v="361.8"/>
    <n v="373.05"/>
    <n v="38.78"/>
    <n v="204.15"/>
    <n v="101.22"/>
    <n v="9.84"/>
    <n v="43.66"/>
    <n v="4881.2099999999991"/>
    <n v="-33.819999999999993"/>
  </r>
  <r>
    <x v="5"/>
    <x v="5"/>
    <x v="0"/>
    <s v="4400106"/>
    <n v="700038"/>
    <s v="Salaries-Service/Support-Other"/>
    <s v="Surgery Services"/>
    <x v="0"/>
    <n v="2000"/>
    <n v="413.21"/>
    <n v="442.36"/>
    <n v="167.94"/>
    <n v="207"/>
    <n v="333.29"/>
    <n v="306.04000000000002"/>
    <n v="332.08"/>
    <n v="294.81"/>
    <n v="228.74"/>
    <n v="1387.44"/>
    <n v="226.14"/>
    <n v="209.33"/>
    <n v="4548.38"/>
    <n v="16.809999999999974"/>
  </r>
  <r>
    <x v="5"/>
    <x v="5"/>
    <x v="0"/>
    <s v="4400106"/>
    <n v="700054"/>
    <s v="Salaries-Management-Non-productive"/>
    <s v="Surgery Services"/>
    <x v="0"/>
    <m/>
    <n v="3076.88"/>
    <n v="5579.99"/>
    <n v="8452.73"/>
    <n v="6573.63"/>
    <n v="-599.73"/>
    <n v="5617.58"/>
    <n v="2206.38"/>
    <n v="825.88"/>
    <n v="1553.29"/>
    <n v="399.37"/>
    <n v="3041"/>
    <n v="1212.24"/>
    <n v="37939.240000000005"/>
    <n v="1828.76"/>
  </r>
  <r>
    <x v="5"/>
    <x v="5"/>
    <x v="0"/>
    <s v="4400106"/>
    <n v="700054"/>
    <s v="Salaries-Management-NonProd-Other"/>
    <s v="Surgery Services"/>
    <x v="0"/>
    <n v="2000"/>
    <n v="0"/>
    <n v="0"/>
    <n v="0"/>
    <n v="0"/>
    <n v="0"/>
    <n v="1237.05"/>
    <n v="-1237.05"/>
    <n v="0"/>
    <n v="0"/>
    <n v="0"/>
    <n v="0"/>
    <n v="0"/>
    <n v="0"/>
    <n v="0"/>
  </r>
  <r>
    <x v="5"/>
    <x v="5"/>
    <x v="0"/>
    <s v="4400106"/>
    <n v="700066"/>
    <s v="Salaries-RN-Non-productive"/>
    <s v="Surgery Services"/>
    <x v="0"/>
    <m/>
    <n v="6131.88"/>
    <n v="5758.74"/>
    <n v="6921.19"/>
    <n v="7377.29"/>
    <n v="9239.59"/>
    <n v="8116.34"/>
    <n v="7959.25"/>
    <n v="7377.15"/>
    <n v="9444.64"/>
    <n v="12204.63"/>
    <n v="7914.15"/>
    <n v="8051.34"/>
    <n v="96496.19"/>
    <n v="-137.19000000000051"/>
  </r>
  <r>
    <x v="5"/>
    <x v="5"/>
    <x v="0"/>
    <s v="4400106"/>
    <n v="700066"/>
    <s v="Salaries-RN-NonProd-Other"/>
    <s v="Surgery Services"/>
    <x v="0"/>
    <n v="2000"/>
    <n v="396.01"/>
    <n v="688.33"/>
    <n v="792.95"/>
    <n v="175.93"/>
    <n v="690.1"/>
    <n v="827.48"/>
    <n v="703.74"/>
    <n v="502.18"/>
    <n v="627.26"/>
    <n v="586.13"/>
    <n v="882.43"/>
    <n v="634.41"/>
    <n v="7506.9500000000007"/>
    <n v="248.01999999999998"/>
  </r>
  <r>
    <x v="5"/>
    <x v="5"/>
    <x v="0"/>
    <s v="4400106"/>
    <n v="700072"/>
    <s v="Salaries-Other Pat Care Providers-Non-productive"/>
    <s v="Surgery Services"/>
    <x v="0"/>
    <m/>
    <n v="1227.77"/>
    <n v="1196.01"/>
    <n v="2404.29"/>
    <n v="1366.11"/>
    <n v="1840.37"/>
    <n v="2745.07"/>
    <n v="2192.14"/>
    <n v="82.71"/>
    <n v="1569.77"/>
    <n v="531.88"/>
    <n v="408"/>
    <n v="1675.69"/>
    <n v="17239.809999999998"/>
    <n v="-1267.69"/>
  </r>
  <r>
    <x v="5"/>
    <x v="5"/>
    <x v="0"/>
    <s v="4400106"/>
    <n v="700072"/>
    <s v="Salaries-Other Pat Care Providers-NonProd-Other"/>
    <s v="Surgery Services"/>
    <x v="0"/>
    <n v="2000"/>
    <n v="91.81"/>
    <n v="89.52"/>
    <n v="30.91"/>
    <n v="121.58"/>
    <n v="95.48"/>
    <n v="157.99"/>
    <n v="158.37"/>
    <n v="66.680000000000007"/>
    <n v="139.1"/>
    <n v="38.25"/>
    <n v="17.600000000000001"/>
    <n v="165.63"/>
    <n v="1172.92"/>
    <n v="-148.03"/>
  </r>
  <r>
    <x v="5"/>
    <x v="5"/>
    <x v="0"/>
    <s v="4400106"/>
    <n v="700074"/>
    <s v="Salaries-Tech/Professional-Non-productive"/>
    <s v="Surgery Services"/>
    <x v="0"/>
    <m/>
    <n v="11556.03"/>
    <n v="6967.27"/>
    <n v="6683.81"/>
    <n v="9303.3700000000008"/>
    <n v="9044.93"/>
    <n v="8073.85"/>
    <n v="9575.23"/>
    <n v="6550.54"/>
    <n v="5985.77"/>
    <n v="4653.92"/>
    <n v="4631.79"/>
    <n v="8523.64"/>
    <n v="91550.15"/>
    <n v="-3891.8499999999995"/>
  </r>
  <r>
    <x v="5"/>
    <x v="5"/>
    <x v="0"/>
    <s v="4400106"/>
    <n v="700074"/>
    <s v="Salaries-Tech/Professional-NonProd-Other"/>
    <s v="Surgery Services"/>
    <x v="0"/>
    <n v="2000"/>
    <n v="682.7"/>
    <n v="755.29"/>
    <n v="641.97"/>
    <n v="768.77"/>
    <n v="335.47"/>
    <n v="695.52"/>
    <n v="443.06"/>
    <n v="539.08000000000004"/>
    <n v="215.64"/>
    <n v="312.88"/>
    <n v="571.41999999999996"/>
    <n v="453.92"/>
    <n v="6415.72"/>
    <n v="117.49999999999994"/>
  </r>
  <r>
    <x v="5"/>
    <x v="5"/>
    <x v="0"/>
    <s v="4400106"/>
    <n v="700078"/>
    <s v="Salaries-Service/Support-Non-productive"/>
    <s v="Surgery Services"/>
    <x v="0"/>
    <m/>
    <n v="4393.7700000000004"/>
    <n v="2119.42"/>
    <n v="5079.0200000000004"/>
    <n v="6771.13"/>
    <n v="2286.98"/>
    <n v="5351.52"/>
    <n v="3288.6"/>
    <n v="3209.71"/>
    <n v="5014.28"/>
    <n v="620.55999999999995"/>
    <n v="1777.26"/>
    <n v="1850.06"/>
    <n v="41762.31"/>
    <n v="-72.799999999999955"/>
  </r>
  <r>
    <x v="5"/>
    <x v="5"/>
    <x v="0"/>
    <s v="4400106"/>
    <n v="700078"/>
    <s v="Salaries-Service/Support-NonProd-Other"/>
    <s v="Surgery Services"/>
    <x v="0"/>
    <n v="2000"/>
    <n v="158.28"/>
    <n v="50.23"/>
    <n v="190.87"/>
    <n v="213.05"/>
    <n v="101.21"/>
    <n v="64.290000000000006"/>
    <n v="64.540000000000006"/>
    <n v="69.45"/>
    <n v="26.92"/>
    <n v="70.209999999999994"/>
    <n v="-15.55"/>
    <n v="110.47"/>
    <n v="1103.97"/>
    <n v="-126.02"/>
  </r>
  <r>
    <x v="5"/>
    <x v="5"/>
    <x v="0"/>
    <s v="4400106"/>
    <n v="700084"/>
    <s v="Accrued PTO"/>
    <s v="Surgery Services"/>
    <x v="0"/>
    <m/>
    <n v="-1855.62"/>
    <n v="1594.13"/>
    <n v="-4857.25"/>
    <n v="-5170.2"/>
    <n v="1997.97"/>
    <n v="-8132.63"/>
    <n v="3776.05"/>
    <n v="5880.91"/>
    <n v="1018.05"/>
    <n v="2932.13"/>
    <n v="1412.4"/>
    <n v="7068.29"/>
    <n v="5664.2300000000014"/>
    <n v="-5655.8899999999994"/>
  </r>
  <r>
    <x v="10"/>
    <x v="5"/>
    <x v="0"/>
    <s v="4400106"/>
    <n v="710060"/>
    <s v="Contract Labor-Other"/>
    <s v="Surgery Services"/>
    <x v="0"/>
    <m/>
    <n v="58630.47"/>
    <n v="42505.760000000002"/>
    <n v="53038.74"/>
    <n v="75392.45"/>
    <n v="46577.4"/>
    <n v="62090.16"/>
    <n v="16371.88"/>
    <n v="25997.5"/>
    <n v="32412.5"/>
    <n v="35576.25"/>
    <n v="78917.63"/>
    <n v="29115.87"/>
    <n v="556626.61"/>
    <n v="49801.760000000009"/>
  </r>
  <r>
    <x v="10"/>
    <x v="5"/>
    <x v="0"/>
    <s v="4400106"/>
    <n v="710060"/>
    <s v="Contract Labor-Overtime"/>
    <s v="Surgery Services"/>
    <x v="0"/>
    <n v="5100"/>
    <n v="4077.6"/>
    <n v="4805.45"/>
    <n v="1989.34"/>
    <n v="2352.1799999999998"/>
    <n v="1762.75"/>
    <n v="3336.98"/>
    <n v="5224.08"/>
    <n v="5114.0200000000004"/>
    <n v="2025.94"/>
    <n v="1544.94"/>
    <n v="3329"/>
    <n v="922.56"/>
    <n v="36484.839999999997"/>
    <n v="2406.44"/>
  </r>
  <r>
    <x v="10"/>
    <x v="5"/>
    <x v="0"/>
    <s v="4400106"/>
    <n v="710060"/>
    <s v="Contract Labor-Standby Wages"/>
    <s v="Surgery Services"/>
    <x v="0"/>
    <n v="5101"/>
    <n v="849"/>
    <n v="526"/>
    <n v="344"/>
    <n v="778"/>
    <n v="592"/>
    <n v="994"/>
    <n v="874"/>
    <n v="874"/>
    <n v="1400"/>
    <n v="960"/>
    <n v="1454"/>
    <n v="838"/>
    <n v="10483"/>
    <n v="616"/>
  </r>
  <r>
    <x v="6"/>
    <x v="5"/>
    <x v="0"/>
    <s v="4400106"/>
    <n v="713010"/>
    <s v="Benefits-FICA/Medicare"/>
    <s v="Surgery Services"/>
    <x v="0"/>
    <m/>
    <n v="13485.67"/>
    <n v="13272.97"/>
    <n v="12762.7"/>
    <n v="11459.43"/>
    <n v="11704.59"/>
    <n v="12932.58"/>
    <n v="17178.900000000001"/>
    <n v="10764.11"/>
    <n v="12859.06"/>
    <n v="11645.33"/>
    <n v="11230.6"/>
    <n v="12427.51"/>
    <n v="151723.45000000001"/>
    <n v="-1196.9099999999999"/>
  </r>
  <r>
    <x v="6"/>
    <x v="5"/>
    <x v="0"/>
    <s v="4400106"/>
    <n v="713090"/>
    <s v="Benefits-Allocated Amounts"/>
    <s v="Surgery Services"/>
    <x v="0"/>
    <m/>
    <n v="39059.4"/>
    <n v="37994.54"/>
    <n v="37248.79"/>
    <n v="34808.19"/>
    <n v="39739.949999999997"/>
    <n v="38883.29"/>
    <n v="40251.410000000003"/>
    <n v="33593.629999999997"/>
    <n v="35553.050000000003"/>
    <n v="31968.78"/>
    <n v="31472.69"/>
    <n v="35557.21"/>
    <n v="436130.93000000005"/>
    <n v="-4084.5200000000004"/>
  </r>
  <r>
    <x v="6"/>
    <x v="5"/>
    <x v="0"/>
    <s v="4400106"/>
    <n v="713096"/>
    <s v="Employee Recognition"/>
    <s v="Surgery Services"/>
    <x v="0"/>
    <n v="1017"/>
    <n v="0"/>
    <n v="0"/>
    <n v="0"/>
    <n v="0"/>
    <n v="0"/>
    <n v="0"/>
    <n v="0"/>
    <n v="382.69"/>
    <n v="0"/>
    <n v="0"/>
    <n v="0"/>
    <n v="0"/>
    <n v="382.69"/>
    <n v="0"/>
  </r>
  <r>
    <x v="17"/>
    <x v="5"/>
    <x v="0"/>
    <s v="4400106"/>
    <n v="714510"/>
    <s v="Medical Director Fees"/>
    <s v="Surgery Services"/>
    <x v="0"/>
    <m/>
    <n v="8070"/>
    <n v="9107.5"/>
    <n v="8405"/>
    <n v="5665"/>
    <n v="9280"/>
    <n v="22425"/>
    <n v="125"/>
    <n v="7950"/>
    <n v="-1547.5"/>
    <n v="7950"/>
    <n v="7127.5"/>
    <n v="7950"/>
    <n v="92507.5"/>
    <n v="-822.5"/>
  </r>
  <r>
    <x v="17"/>
    <x v="5"/>
    <x v="0"/>
    <s v="4400106"/>
    <n v="714520"/>
    <s v="Other Contracted Professionals"/>
    <s v="Surgery Services"/>
    <x v="0"/>
    <m/>
    <n v="41041.660000000003"/>
    <n v="41041.660000000003"/>
    <n v="41041.660000000003"/>
    <n v="41041.660000000003"/>
    <n v="41041.660000000003"/>
    <n v="41041.660000000003"/>
    <n v="41041.660000000003"/>
    <n v="41041.660000000003"/>
    <n v="41041.660000000003"/>
    <n v="41041.660000000003"/>
    <n v="41041.660000000003"/>
    <n v="41641.660000000003"/>
    <n v="493099.92000000016"/>
    <n v="-600"/>
  </r>
  <r>
    <x v="17"/>
    <x v="5"/>
    <x v="0"/>
    <s v="4400106"/>
    <n v="714530"/>
    <s v="Medical Prof Fees-Intracompany"/>
    <s v="Surgery Services"/>
    <x v="0"/>
    <m/>
    <n v="4294.18"/>
    <n v="1114.17"/>
    <n v="3248.41"/>
    <n v="6086.06"/>
    <n v="8994.36"/>
    <n v="5412.81"/>
    <n v="-1105.0899999999999"/>
    <n v="6127.79"/>
    <n v="6656"/>
    <n v="5719.46"/>
    <n v="5688"/>
    <n v="125540.8"/>
    <n v="177776.95"/>
    <n v="-119852.8"/>
  </r>
  <r>
    <x v="7"/>
    <x v="5"/>
    <x v="0"/>
    <s v="4400106"/>
    <n v="718050"/>
    <s v="Contract Svcs-Other"/>
    <s v="Surgery Services"/>
    <x v="0"/>
    <m/>
    <n v="37200"/>
    <n v="10080"/>
    <n v="-16576"/>
    <n v="21744"/>
    <n v="33024"/>
    <n v="8528"/>
    <n v="8800"/>
    <n v="14400"/>
    <n v="10800"/>
    <n v="31800"/>
    <n v="2721.17"/>
    <n v="4613.75"/>
    <n v="167134.92000000001"/>
    <n v="-1892.58"/>
  </r>
  <r>
    <x v="7"/>
    <x v="5"/>
    <x v="0"/>
    <s v="4400106"/>
    <n v="718050"/>
    <s v="Document Shredding/Storage"/>
    <s v="Surgery Services"/>
    <x v="0"/>
    <n v="1012"/>
    <n v="2.58"/>
    <n v="2.31"/>
    <n v="2.5499999999999998"/>
    <n v="2.52"/>
    <n v="2.6"/>
    <n v="2.6"/>
    <n v="2.57"/>
    <n v="30.75"/>
    <n v="3.05"/>
    <n v="4"/>
    <n v="3.36"/>
    <n v="3.47"/>
    <n v="62.36"/>
    <n v="-0.11000000000000032"/>
  </r>
  <r>
    <x v="7"/>
    <x v="5"/>
    <x v="0"/>
    <s v="4400106"/>
    <n v="718050"/>
    <s v="Miscellaneous Purchased Svcs"/>
    <s v="Surgery Services"/>
    <x v="0"/>
    <n v="1020"/>
    <n v="727.06"/>
    <n v="0"/>
    <n v="0"/>
    <n v="1603.8"/>
    <n v="1924.56"/>
    <n v="0"/>
    <n v="0"/>
    <n v="0"/>
    <n v="10166.4"/>
    <n v="0"/>
    <n v="1244.1600000000001"/>
    <n v="0"/>
    <n v="15665.98"/>
    <n v="1244.1600000000001"/>
  </r>
  <r>
    <x v="7"/>
    <x v="5"/>
    <x v="0"/>
    <s v="4400106"/>
    <n v="718050"/>
    <s v="Contract Svcs--Medical/Dental"/>
    <s v="Surgery Services"/>
    <x v="0"/>
    <n v="1024"/>
    <n v="0"/>
    <n v="1030"/>
    <n v="566.5"/>
    <n v="51.5"/>
    <n v="0"/>
    <n v="51.5"/>
    <n v="0"/>
    <n v="0"/>
    <n v="-515"/>
    <n v="0"/>
    <n v="0"/>
    <n v="0"/>
    <n v="1184.5"/>
    <n v="0"/>
  </r>
  <r>
    <x v="7"/>
    <x v="5"/>
    <x v="0"/>
    <s v="4400106"/>
    <n v="718050"/>
    <s v="Translation Services"/>
    <s v="Surgery Services"/>
    <x v="0"/>
    <n v="1025"/>
    <n v="709.49"/>
    <n v="0"/>
    <n v="5.67"/>
    <n v="0"/>
    <n v="347.73"/>
    <n v="0"/>
    <n v="614.5"/>
    <n v="825.29"/>
    <n v="412.77"/>
    <n v="11.85"/>
    <n v="167.48"/>
    <n v="392.53"/>
    <n v="3487.3099999999995"/>
    <n v="-225.04999999999998"/>
  </r>
  <r>
    <x v="7"/>
    <x v="5"/>
    <x v="0"/>
    <s v="4400106"/>
    <n v="718050"/>
    <s v="Contract Management--Linen"/>
    <s v="Surgery Services"/>
    <x v="0"/>
    <n v="1026"/>
    <n v="1682.28"/>
    <n v="2568.89"/>
    <n v="3126.75"/>
    <n v="4300.95"/>
    <n v="3354.12"/>
    <n v="3594.86"/>
    <n v="3775.81"/>
    <n v="3147.82"/>
    <n v="3182.69"/>
    <n v="3242.06"/>
    <n v="3312.1"/>
    <n v="3069.63"/>
    <n v="38357.96"/>
    <n v="242.4699999999998"/>
  </r>
  <r>
    <x v="7"/>
    <x v="5"/>
    <x v="0"/>
    <s v="4400106"/>
    <n v="718050"/>
    <s v="Purchased Srvcs--Medical Waste"/>
    <s v="Surgery Services"/>
    <x v="0"/>
    <n v="1027"/>
    <n v="0"/>
    <n v="0"/>
    <n v="780.66"/>
    <n v="255.88"/>
    <n v="0"/>
    <n v="0"/>
    <n v="76.11"/>
    <n v="405.19"/>
    <n v="392.15"/>
    <n v="386.14"/>
    <n v="342.61"/>
    <n v="0"/>
    <n v="2638.74"/>
    <n v="342.61"/>
  </r>
  <r>
    <x v="7"/>
    <x v="5"/>
    <x v="0"/>
    <s v="4400106"/>
    <n v="718070"/>
    <s v="Contract Srvcs-CHI Clinical Engineering"/>
    <s v="Surgery Services"/>
    <x v="0"/>
    <m/>
    <n v="25601.13"/>
    <n v="20506.900000000001"/>
    <n v="28951.14"/>
    <n v="25601.14"/>
    <n v="25601.13"/>
    <n v="25601.14"/>
    <n v="25601.14"/>
    <n v="25601.14"/>
    <n v="32196.31"/>
    <n v="25496.32"/>
    <n v="31675.38"/>
    <n v="27515.39"/>
    <n v="319948.26000000007"/>
    <n v="4159.9900000000016"/>
  </r>
  <r>
    <x v="7"/>
    <x v="5"/>
    <x v="0"/>
    <s v="4400106"/>
    <n v="718091"/>
    <s v="Contract Services-Intracompany Allocation"/>
    <s v="Surgery Services"/>
    <x v="0"/>
    <m/>
    <n v="9137.89"/>
    <n v="8582.11"/>
    <n v="8120.47"/>
    <n v="10213.290000000001"/>
    <n v="8864.34"/>
    <n v="7908.45"/>
    <n v="9445.69"/>
    <n v="8008.87"/>
    <n v="10212.32"/>
    <n v="9521.49"/>
    <n v="9188.7000000000007"/>
    <n v="8632.9699999999993"/>
    <n v="107836.59"/>
    <n v="555.73000000000138"/>
  </r>
  <r>
    <x v="11"/>
    <x v="5"/>
    <x v="0"/>
    <s v="4400106"/>
    <n v="721010"/>
    <s v="Supplies-Medical - Billable"/>
    <s v="Surgery Services"/>
    <x v="0"/>
    <m/>
    <n v="11138.33"/>
    <n v="14203.24"/>
    <n v="12914.94"/>
    <n v="8258.16"/>
    <n v="5645.31"/>
    <n v="8510.81"/>
    <n v="13457.95"/>
    <n v="7496.46"/>
    <n v="10661.73"/>
    <n v="12861.75"/>
    <n v="10120.39"/>
    <n v="10565.4"/>
    <n v="125834.46999999999"/>
    <n v="-445.01000000000022"/>
  </r>
  <r>
    <x v="11"/>
    <x v="5"/>
    <x v="0"/>
    <s v="4400106"/>
    <n v="721010"/>
    <s v="Patient Monitoring"/>
    <s v="Surgery Services"/>
    <x v="0"/>
    <n v="1000"/>
    <n v="368.55"/>
    <n v="1863.65"/>
    <n v="709.21"/>
    <n v="966.92"/>
    <n v="353.12"/>
    <n v="151.68"/>
    <n v="188.38"/>
    <n v="105.74"/>
    <n v="274.02999999999997"/>
    <n v="920.84"/>
    <n v="425.48"/>
    <n v="669.78"/>
    <n v="6997.38"/>
    <n v="-244.29999999999995"/>
  </r>
  <r>
    <x v="11"/>
    <x v="5"/>
    <x v="0"/>
    <s v="4400106"/>
    <n v="721020"/>
    <s v="Supplies-Surgical - Billable"/>
    <s v="Surgery Services"/>
    <x v="0"/>
    <m/>
    <n v="52392.5"/>
    <n v="89490.94"/>
    <n v="64313.5"/>
    <n v="56371.74"/>
    <n v="64172.77"/>
    <n v="72696.36"/>
    <n v="81575.25"/>
    <n v="49339.85"/>
    <n v="47097.279999999999"/>
    <n v="52445"/>
    <n v="78099.05"/>
    <n v="56961.51"/>
    <n v="764955.75000000012"/>
    <n v="21137.54"/>
  </r>
  <r>
    <x v="11"/>
    <x v="5"/>
    <x v="0"/>
    <s v="4400106"/>
    <n v="721020"/>
    <s v="Custom Packs"/>
    <s v="Surgery Services"/>
    <x v="0"/>
    <n v="1000"/>
    <n v="2980.32"/>
    <n v="6770.53"/>
    <n v="4105.59"/>
    <n v="3442.62"/>
    <n v="5640.29"/>
    <n v="6297.3"/>
    <n v="7497.16"/>
    <n v="5648.97"/>
    <n v="5253.67"/>
    <n v="5655.23"/>
    <n v="6972"/>
    <n v="5475.48"/>
    <n v="65739.159999999989"/>
    <n v="1496.5200000000004"/>
  </r>
  <r>
    <x v="11"/>
    <x v="5"/>
    <x v="0"/>
    <s v="4400106"/>
    <n v="721020"/>
    <s v="Suture/Wound Closure"/>
    <s v="Surgery Services"/>
    <x v="0"/>
    <n v="1001"/>
    <n v="16415.96"/>
    <n v="11045.08"/>
    <n v="18613.02"/>
    <n v="8836.23"/>
    <n v="9953.4"/>
    <n v="16766.88"/>
    <n v="22158.799999999999"/>
    <n v="5367.53"/>
    <n v="11800.65"/>
    <n v="19375.439999999999"/>
    <n v="17652.23"/>
    <n v="7929.7"/>
    <n v="165914.92000000001"/>
    <n v="9722.5299999999988"/>
  </r>
  <r>
    <x v="11"/>
    <x v="5"/>
    <x v="0"/>
    <s v="4400106"/>
    <n v="721020"/>
    <s v="Endoscopy - Trocars &amp; Accessories"/>
    <s v="Surgery Services"/>
    <x v="0"/>
    <n v="1002"/>
    <n v="3705.81"/>
    <n v="5295.29"/>
    <n v="2375.1999999999998"/>
    <n v="882"/>
    <n v="3851.01"/>
    <n v="1951.6"/>
    <n v="5481.62"/>
    <n v="1631.6"/>
    <n v="2283.29"/>
    <n v="2968.28"/>
    <n v="2290.69"/>
    <n v="2665.59"/>
    <n v="35381.979999999996"/>
    <n v="-374.90000000000009"/>
  </r>
  <r>
    <x v="11"/>
    <x v="5"/>
    <x v="0"/>
    <s v="4400106"/>
    <n v="721020"/>
    <s v="Endomechanical Supplies &amp; Instruments"/>
    <s v="Surgery Services"/>
    <x v="0"/>
    <n v="1003"/>
    <n v="61863.22"/>
    <n v="85567.26"/>
    <n v="49643.97"/>
    <n v="24039.63"/>
    <n v="24459.16"/>
    <n v="39463.839999999997"/>
    <n v="33688.660000000003"/>
    <n v="30571.42"/>
    <n v="33365.089999999997"/>
    <n v="19363.28"/>
    <n v="40684.01"/>
    <n v="22240.09"/>
    <n v="464949.63000000006"/>
    <n v="18443.920000000002"/>
  </r>
  <r>
    <x v="11"/>
    <x v="5"/>
    <x v="0"/>
    <s v="4400106"/>
    <n v="721020"/>
    <s v="Bone Cement &amp; Supplies"/>
    <s v="Surgery Services"/>
    <x v="0"/>
    <n v="1004"/>
    <n v="6463.49"/>
    <n v="834.48"/>
    <n v="3623.32"/>
    <n v="1640.84"/>
    <n v="1831.95"/>
    <n v="261.18"/>
    <n v="1817.12"/>
    <n v="2394.58"/>
    <n v="6861.08"/>
    <n v="847.72"/>
    <n v="465.12"/>
    <n v="1623.32"/>
    <n v="28664.2"/>
    <n v="-1158.1999999999998"/>
  </r>
  <r>
    <x v="11"/>
    <x v="5"/>
    <x v="0"/>
    <s v="4400106"/>
    <n v="721020"/>
    <s v="Urological Supplies"/>
    <s v="Surgery Services"/>
    <x v="0"/>
    <n v="1006"/>
    <n v="4435.2"/>
    <n v="4931.24"/>
    <n v="3642.5"/>
    <n v="7438.32"/>
    <n v="4239.1099999999997"/>
    <n v="3254.25"/>
    <n v="1558.22"/>
    <n v="1698.76"/>
    <n v="10355.67"/>
    <n v="3102.01"/>
    <n v="2318.23"/>
    <n v="2198.23"/>
    <n v="49171.740000000005"/>
    <n v="120"/>
  </r>
  <r>
    <x v="11"/>
    <x v="5"/>
    <x v="0"/>
    <s v="4400106"/>
    <n v="721020"/>
    <s v="Surgical Cardiovascular"/>
    <s v="Surgery Services"/>
    <x v="0"/>
    <n v="1007"/>
    <n v="0"/>
    <n v="110"/>
    <n v="0"/>
    <n v="0"/>
    <n v="0"/>
    <n v="70.489999999999995"/>
    <n v="93.25"/>
    <n v="55"/>
    <n v="236.9"/>
    <n v="-5"/>
    <n v="0"/>
    <n v="0"/>
    <n v="560.64"/>
    <n v="0"/>
  </r>
  <r>
    <x v="11"/>
    <x v="5"/>
    <x v="0"/>
    <s v="4400106"/>
    <n v="721020"/>
    <s v="Tubes Drains &amp; Related Supplies"/>
    <s v="Surgery Services"/>
    <x v="0"/>
    <n v="1008"/>
    <n v="681.71"/>
    <n v="671.41"/>
    <n v="1157.22"/>
    <n v="470.95"/>
    <n v="20.67"/>
    <n v="1674.16"/>
    <n v="340.59"/>
    <n v="48.22"/>
    <n v="817.2"/>
    <n v="17.91"/>
    <n v="1.68"/>
    <n v="82.36"/>
    <n v="5984.08"/>
    <n v="-80.679999999999993"/>
  </r>
  <r>
    <x v="11"/>
    <x v="5"/>
    <x v="0"/>
    <s v="4400106"/>
    <n v="721050"/>
    <s v="Supplies-Cardiac Rhythm - Billable"/>
    <s v="Surgery Services"/>
    <x v="0"/>
    <m/>
    <n v="274.36"/>
    <n v="2473.08"/>
    <n v="1629.54"/>
    <n v="5177.78"/>
    <n v="1723.08"/>
    <n v="2169.5300000000002"/>
    <n v="5703.16"/>
    <n v="521.38"/>
    <n v="5622.52"/>
    <n v="333.21"/>
    <n v="0"/>
    <n v="5591.38"/>
    <n v="31219.02"/>
    <n v="-5591.38"/>
  </r>
  <r>
    <x v="11"/>
    <x v="5"/>
    <x v="0"/>
    <s v="4400106"/>
    <n v="721050"/>
    <s v="Pacemakers - Internal"/>
    <s v="Surgery Services"/>
    <x v="0"/>
    <n v="1000"/>
    <n v="0"/>
    <n v="0"/>
    <n v="0"/>
    <n v="0"/>
    <n v="0"/>
    <n v="0"/>
    <n v="-5800"/>
    <n v="0"/>
    <n v="0"/>
    <n v="0"/>
    <n v="0"/>
    <n v="0"/>
    <n v="-5800"/>
    <n v="0"/>
  </r>
  <r>
    <x v="11"/>
    <x v="5"/>
    <x v="0"/>
    <s v="4400106"/>
    <n v="721070"/>
    <s v="Peripheral Stents"/>
    <s v="Surgery Services"/>
    <x v="0"/>
    <n v="1001"/>
    <n v="625"/>
    <n v="0"/>
    <n v="0"/>
    <n v="1004.25"/>
    <n v="0"/>
    <n v="0"/>
    <n v="0"/>
    <n v="0"/>
    <n v="0"/>
    <n v="0"/>
    <n v="0"/>
    <n v="0"/>
    <n v="1629.25"/>
    <n v="0"/>
  </r>
  <r>
    <x v="11"/>
    <x v="5"/>
    <x v="0"/>
    <s v="4400106"/>
    <n v="721110"/>
    <s v="Supplies-Grafts - Billable"/>
    <s v="Surgery Services"/>
    <x v="0"/>
    <m/>
    <n v="30"/>
    <n v="0"/>
    <n v="0"/>
    <n v="1049"/>
    <n v="1049"/>
    <n v="129.16"/>
    <n v="0"/>
    <n v="0"/>
    <n v="129.16"/>
    <n v="0"/>
    <n v="0"/>
    <n v="0"/>
    <n v="2386.3199999999997"/>
    <n v="0"/>
  </r>
  <r>
    <x v="11"/>
    <x v="5"/>
    <x v="0"/>
    <s v="4400106"/>
    <n v="721120"/>
    <s v="Hip Prosthesis"/>
    <s v="Surgery Services"/>
    <x v="0"/>
    <n v="1000"/>
    <n v="40412.69"/>
    <n v="47002.48"/>
    <n v="35918.57"/>
    <n v="47250.83"/>
    <n v="348.02"/>
    <n v="60384.77"/>
    <n v="27300.02"/>
    <n v="17943.13"/>
    <n v="42191.51"/>
    <n v="51995.68"/>
    <n v="42408.82"/>
    <n v="5874.45"/>
    <n v="419030.97"/>
    <n v="36534.370000000003"/>
  </r>
  <r>
    <x v="11"/>
    <x v="5"/>
    <x v="0"/>
    <s v="4400106"/>
    <n v="721120"/>
    <s v="Knee Prosthesis"/>
    <s v="Surgery Services"/>
    <x v="0"/>
    <n v="1001"/>
    <n v="22561.24"/>
    <n v="20750"/>
    <n v="25910"/>
    <n v="-1550"/>
    <n v="32850"/>
    <n v="17580"/>
    <n v="45450"/>
    <n v="29400"/>
    <n v="22300.13"/>
    <n v="20475"/>
    <n v="23796.52"/>
    <n v="31500"/>
    <n v="291022.89"/>
    <n v="-7703.48"/>
  </r>
  <r>
    <x v="11"/>
    <x v="5"/>
    <x v="0"/>
    <s v="4400106"/>
    <n v="721120"/>
    <s v="Shoulder Prosthesis"/>
    <s v="Surgery Services"/>
    <x v="0"/>
    <n v="1002"/>
    <n v="8250"/>
    <n v="0"/>
    <n v="6550"/>
    <n v="6750"/>
    <n v="9516"/>
    <n v="15800"/>
    <n v="12350"/>
    <n v="0"/>
    <n v="2500"/>
    <n v="5800"/>
    <n v="0"/>
    <n v="3100"/>
    <n v="70616"/>
    <n v="-3100"/>
  </r>
  <r>
    <x v="11"/>
    <x v="5"/>
    <x v="0"/>
    <s v="4400106"/>
    <n v="721120"/>
    <s v="Joint Prostheses - Other"/>
    <s v="Surgery Services"/>
    <x v="0"/>
    <n v="1003"/>
    <n v="0"/>
    <n v="0"/>
    <n v="0"/>
    <n v="0"/>
    <n v="0"/>
    <n v="2063.6"/>
    <n v="0"/>
    <n v="0"/>
    <n v="24697.22"/>
    <n v="0"/>
    <n v="0"/>
    <n v="0"/>
    <n v="26760.82"/>
    <n v="0"/>
  </r>
  <r>
    <x v="11"/>
    <x v="5"/>
    <x v="0"/>
    <s v="4400106"/>
    <n v="721150"/>
    <s v="Supplies-Other Implants - Billable"/>
    <s v="Surgery Services"/>
    <x v="0"/>
    <m/>
    <n v="51981.63"/>
    <n v="32342.77"/>
    <n v="24182.1"/>
    <n v="24236.79"/>
    <n v="81020.58"/>
    <n v="16549.580000000002"/>
    <n v="77158.27"/>
    <n v="33421.39"/>
    <n v="36816.199999999997"/>
    <n v="63267.519999999997"/>
    <n v="50568.2"/>
    <n v="1193.25"/>
    <n v="492738.28000000009"/>
    <n v="49374.95"/>
  </r>
  <r>
    <x v="11"/>
    <x v="5"/>
    <x v="0"/>
    <s v="4400106"/>
    <n v="721150"/>
    <s v="Surgical Orthopedic"/>
    <s v="Surgery Services"/>
    <x v="0"/>
    <n v="1000"/>
    <n v="2535"/>
    <n v="12790.54"/>
    <n v="2416"/>
    <n v="1121.4100000000001"/>
    <n v="-7375.83"/>
    <n v="2220"/>
    <n v="1962"/>
    <n v="5672.5"/>
    <n v="8177"/>
    <n v="9816.9599999999991"/>
    <n v="6550"/>
    <n v="3628.31"/>
    <n v="49513.89"/>
    <n v="2921.69"/>
  </r>
  <r>
    <x v="11"/>
    <x v="5"/>
    <x v="0"/>
    <s v="4400106"/>
    <n v="721150"/>
    <s v="Fracture Management"/>
    <s v="Surgery Services"/>
    <x v="0"/>
    <n v="1001"/>
    <n v="72278.78"/>
    <n v="81216.61"/>
    <n v="59841.54"/>
    <n v="57015.25"/>
    <n v="57650.76"/>
    <n v="125648.91"/>
    <n v="49678.89"/>
    <n v="56362.6"/>
    <n v="54024.87"/>
    <n v="40733.33"/>
    <n v="79572.42"/>
    <n v="58912.76"/>
    <n v="792936.72000000009"/>
    <n v="20659.659999999996"/>
  </r>
  <r>
    <x v="11"/>
    <x v="5"/>
    <x v="0"/>
    <s v="4400106"/>
    <n v="721150"/>
    <s v="Spinal Fixations Internal Syst"/>
    <s v="Surgery Services"/>
    <x v="0"/>
    <n v="1002"/>
    <n v="0"/>
    <n v="2200"/>
    <n v="0"/>
    <n v="1300"/>
    <n v="14432"/>
    <n v="63"/>
    <n v="411"/>
    <n v="189"/>
    <n v="9169"/>
    <n v="0"/>
    <n v="63"/>
    <n v="2200"/>
    <n v="30027"/>
    <n v="-2137"/>
  </r>
  <r>
    <x v="11"/>
    <x v="5"/>
    <x v="0"/>
    <s v="4400106"/>
    <n v="721150"/>
    <s v="Urological Implants"/>
    <s v="Surgery Services"/>
    <x v="0"/>
    <n v="1004"/>
    <n v="7600"/>
    <n v="8685"/>
    <n v="19000"/>
    <n v="12155.84"/>
    <n v="15550"/>
    <n v="21665.41"/>
    <n v="15200"/>
    <n v="0"/>
    <n v="19601"/>
    <n v="0"/>
    <n v="11400"/>
    <n v="9067"/>
    <n v="139924.25"/>
    <n v="2333"/>
  </r>
  <r>
    <x v="11"/>
    <x v="5"/>
    <x v="0"/>
    <s v="4400106"/>
    <n v="721220"/>
    <s v="Supplies-Medical Gases - Billable"/>
    <s v="Surgery Services"/>
    <x v="0"/>
    <m/>
    <n v="2800.72"/>
    <n v="-152.61000000000001"/>
    <n v="0"/>
    <n v="2713.48"/>
    <n v="2671.14"/>
    <n v="1176.02"/>
    <n v="0"/>
    <n v="3133.07"/>
    <n v="0"/>
    <n v="2650.01"/>
    <n v="382.71"/>
    <n v="2490.96"/>
    <n v="17865.5"/>
    <n v="-2108.25"/>
  </r>
  <r>
    <x v="11"/>
    <x v="5"/>
    <x v="0"/>
    <s v="4400106"/>
    <n v="721240"/>
    <s v="Supplies-IV Solutions/Supplies - Billable"/>
    <s v="Surgery Services"/>
    <x v="0"/>
    <m/>
    <n v="3129.85"/>
    <n v="4889.3100000000004"/>
    <n v="2147.9299999999998"/>
    <n v="2740.35"/>
    <n v="4141.22"/>
    <n v="3058.11"/>
    <n v="2340.23"/>
    <n v="2559.39"/>
    <n v="2296.38"/>
    <n v="1769.89"/>
    <n v="2828.01"/>
    <n v="2637.95"/>
    <n v="34538.619999999995"/>
    <n v="190.0600000000004"/>
  </r>
  <r>
    <x v="11"/>
    <x v="5"/>
    <x v="0"/>
    <s v="4400106"/>
    <n v="721250"/>
    <s v="Supplies-Pharmacy Drugs - Billable"/>
    <s v="Surgery Services"/>
    <x v="0"/>
    <m/>
    <n v="70.180000000000007"/>
    <n v="280.73"/>
    <n v="180"/>
    <n v="57.56"/>
    <n v="0"/>
    <n v="472.8"/>
    <n v="30.1"/>
    <n v="127.88"/>
    <n v="112.74"/>
    <n v="15.05"/>
    <n v="45.15"/>
    <n v="30.1"/>
    <n v="1422.29"/>
    <n v="15.049999999999997"/>
  </r>
  <r>
    <x v="11"/>
    <x v="5"/>
    <x v="0"/>
    <s v="4400106"/>
    <n v="721350"/>
    <s v="Radiology Imaging - Contrast Media"/>
    <s v="Surgery Services"/>
    <x v="0"/>
    <n v="1000"/>
    <n v="1.18"/>
    <n v="0"/>
    <n v="0"/>
    <n v="0"/>
    <n v="0"/>
    <n v="0"/>
    <n v="0"/>
    <n v="0"/>
    <n v="0"/>
    <n v="0"/>
    <n v="0"/>
    <n v="0"/>
    <n v="1.18"/>
    <n v="0"/>
  </r>
  <r>
    <x v="11"/>
    <x v="5"/>
    <x v="0"/>
    <s v="4400106"/>
    <n v="721410"/>
    <s v="Supplies-Medical - Nonbillable"/>
    <s v="Surgery Services"/>
    <x v="0"/>
    <m/>
    <n v="15399.24"/>
    <n v="26177.05"/>
    <n v="18464.07"/>
    <n v="14358.74"/>
    <n v="16732.54"/>
    <n v="17762.599999999999"/>
    <n v="18825.490000000002"/>
    <n v="21187.85"/>
    <n v="19992.66"/>
    <n v="-46148.37"/>
    <n v="21135.98"/>
    <n v="17419.36"/>
    <n v="161307.21000000002"/>
    <n v="3716.619999999999"/>
  </r>
  <r>
    <x v="11"/>
    <x v="5"/>
    <x v="0"/>
    <s v="4400106"/>
    <n v="721410"/>
    <s v="Patient Monitoring"/>
    <s v="Surgery Services"/>
    <x v="0"/>
    <n v="1000"/>
    <n v="84.32"/>
    <n v="0"/>
    <n v="0"/>
    <n v="0"/>
    <n v="0"/>
    <n v="0"/>
    <n v="0"/>
    <n v="0"/>
    <n v="477.79"/>
    <n v="224.04"/>
    <n v="0"/>
    <n v="0"/>
    <n v="786.15"/>
    <n v="0"/>
  </r>
  <r>
    <x v="11"/>
    <x v="5"/>
    <x v="0"/>
    <s v="4400106"/>
    <n v="721420"/>
    <s v="Supplies-Surgical Nonbillable"/>
    <s v="Surgery Services"/>
    <x v="0"/>
    <m/>
    <n v="8556.82"/>
    <n v="11767.48"/>
    <n v="8544.01"/>
    <n v="8309.7000000000007"/>
    <n v="14174.66"/>
    <n v="10206.98"/>
    <n v="10457.09"/>
    <n v="9743.18"/>
    <n v="9466.7999999999993"/>
    <n v="8819.31"/>
    <n v="8836.73"/>
    <n v="10815.65"/>
    <n v="119698.40999999997"/>
    <n v="-1978.92"/>
  </r>
  <r>
    <x v="11"/>
    <x v="5"/>
    <x v="0"/>
    <s v="4400106"/>
    <n v="721420"/>
    <s v="Tubes Drains &amp; Related Supplies"/>
    <s v="Surgery Services"/>
    <x v="0"/>
    <n v="1008"/>
    <n v="1056.03"/>
    <n v="4125.4399999999996"/>
    <n v="2132.63"/>
    <n v="1157.9000000000001"/>
    <n v="823.97"/>
    <n v="2164.25"/>
    <n v="1004.68"/>
    <n v="245.45"/>
    <n v="677.74"/>
    <n v="493.39"/>
    <n v="4853.1400000000003"/>
    <n v="307.81"/>
    <n v="19042.43"/>
    <n v="4545.33"/>
  </r>
  <r>
    <x v="11"/>
    <x v="5"/>
    <x v="0"/>
    <s v="4400106"/>
    <n v="721420"/>
    <s v="Sterilization Process Products"/>
    <s v="Surgery Services"/>
    <x v="0"/>
    <n v="1009"/>
    <n v="6184.11"/>
    <n v="6888.69"/>
    <n v="6877.83"/>
    <n v="3139.73"/>
    <n v="9519.9599999999991"/>
    <n v="16525.07"/>
    <n v="15971.41"/>
    <n v="7271.62"/>
    <n v="4463.58"/>
    <n v="4981.57"/>
    <n v="4600.5"/>
    <n v="5942.49"/>
    <n v="92366.560000000012"/>
    <n v="-1341.9899999999998"/>
  </r>
  <r>
    <x v="11"/>
    <x v="5"/>
    <x v="0"/>
    <s v="4400106"/>
    <n v="721610"/>
    <s v="Supplies-Anesthesia - Nonbillable"/>
    <s v="Surgery Services"/>
    <x v="0"/>
    <m/>
    <n v="2092.25"/>
    <n v="3473.26"/>
    <n v="3386.14"/>
    <n v="2129.7399999999998"/>
    <n v="2040.42"/>
    <n v="2751.3"/>
    <n v="2938.14"/>
    <n v="3689.05"/>
    <n v="2182.66"/>
    <n v="2274.79"/>
    <n v="1890.24"/>
    <n v="3016.53"/>
    <n v="31864.52"/>
    <n v="-1126.2900000000002"/>
  </r>
  <r>
    <x v="11"/>
    <x v="5"/>
    <x v="0"/>
    <s v="4400106"/>
    <n v="721640"/>
    <s v="Supplies-IV Solutions/Supplies - Nonbillable"/>
    <s v="Surgery Services"/>
    <x v="0"/>
    <m/>
    <n v="1828.18"/>
    <n v="1765.93"/>
    <n v="1582.18"/>
    <n v="1511.96"/>
    <n v="1232.23"/>
    <n v="1978.89"/>
    <n v="1712.74"/>
    <n v="1171.1300000000001"/>
    <n v="1566.95"/>
    <n v="1493.63"/>
    <n v="1388.6"/>
    <n v="1115.22"/>
    <n v="18347.64"/>
    <n v="273.37999999999988"/>
  </r>
  <r>
    <x v="11"/>
    <x v="5"/>
    <x v="0"/>
    <s v="4400106"/>
    <n v="721650"/>
    <s v="Supplies-Pharmacy Drugs - Nonbillable"/>
    <s v="Surgery Services"/>
    <x v="0"/>
    <m/>
    <n v="7.25"/>
    <n v="147.88999999999999"/>
    <n v="8.69"/>
    <n v="7.73"/>
    <n v="9.8000000000000007"/>
    <n v="9.27"/>
    <n v="8.2100000000000009"/>
    <n v="157.31"/>
    <n v="-5.99"/>
    <n v="76.12"/>
    <n v="11.09"/>
    <n v="7.25"/>
    <n v="444.61999999999995"/>
    <n v="3.84"/>
  </r>
  <r>
    <x v="11"/>
    <x v="5"/>
    <x v="0"/>
    <s v="4400106"/>
    <n v="721710"/>
    <s v="Supplies-Laboratory - Nonbillable"/>
    <s v="Surgery Services"/>
    <x v="0"/>
    <m/>
    <n v="1574.39"/>
    <n v="1011.97"/>
    <n v="1702.5"/>
    <n v="700.43"/>
    <n v="1631.67"/>
    <n v="2556.36"/>
    <n v="1101.1300000000001"/>
    <n v="1214.3"/>
    <n v="1047.8"/>
    <n v="1657.73"/>
    <n v="2000.87"/>
    <n v="2033.74"/>
    <n v="18232.89"/>
    <n v="-32.870000000000118"/>
  </r>
  <r>
    <x v="11"/>
    <x v="5"/>
    <x v="0"/>
    <s v="4400106"/>
    <n v="721710"/>
    <s v="Reagents"/>
    <s v="Surgery Services"/>
    <x v="0"/>
    <n v="1000"/>
    <n v="0"/>
    <n v="220.72"/>
    <n v="-35.200000000000003"/>
    <n v="0"/>
    <n v="0"/>
    <n v="283.42"/>
    <n v="0"/>
    <n v="-5.7"/>
    <n v="82.5"/>
    <n v="0"/>
    <n v="0"/>
    <n v="0"/>
    <n v="545.74"/>
    <n v="0"/>
  </r>
  <r>
    <x v="11"/>
    <x v="5"/>
    <x v="0"/>
    <s v="4400106"/>
    <n v="721750"/>
    <s v="Supplies-Film/Radiographic - Nonbillable"/>
    <s v="Surgery Services"/>
    <x v="0"/>
    <m/>
    <n v="2200"/>
    <n v="2252.9"/>
    <n v="0"/>
    <n v="0"/>
    <n v="0"/>
    <n v="0"/>
    <n v="0"/>
    <n v="0"/>
    <n v="6.56"/>
    <n v="0"/>
    <n v="0"/>
    <n v="-52.9"/>
    <n v="4406.5600000000004"/>
    <n v="52.9"/>
  </r>
  <r>
    <x v="11"/>
    <x v="5"/>
    <x v="0"/>
    <s v="4400106"/>
    <n v="721810"/>
    <s v="Supplies-Dietary/Cafeteria"/>
    <s v="Surgery Services"/>
    <x v="0"/>
    <m/>
    <n v="625.66999999999996"/>
    <n v="271.47000000000003"/>
    <n v="399.01"/>
    <n v="668.44"/>
    <n v="436.41"/>
    <n v="196.85"/>
    <n v="383.94"/>
    <n v="542.29999999999995"/>
    <n v="506.25"/>
    <n v="220.81"/>
    <n v="594.41"/>
    <n v="147.22999999999999"/>
    <n v="4992.79"/>
    <n v="447.17999999999995"/>
  </r>
  <r>
    <x v="11"/>
    <x v="5"/>
    <x v="0"/>
    <s v="4400106"/>
    <n v="721830"/>
    <s v="Supplies-Office"/>
    <s v="Surgery Services"/>
    <x v="0"/>
    <m/>
    <n v="2889.64"/>
    <n v="2252.91"/>
    <n v="1385.87"/>
    <n v="846.79"/>
    <n v="1027.95"/>
    <n v="1571.55"/>
    <n v="823.24"/>
    <n v="1172.5999999999999"/>
    <n v="1790.8"/>
    <n v="1461.23"/>
    <n v="1622.27"/>
    <n v="1353.14"/>
    <n v="18197.989999999998"/>
    <n v="269.12999999999988"/>
  </r>
  <r>
    <x v="11"/>
    <x v="5"/>
    <x v="0"/>
    <s v="4400106"/>
    <n v="721835"/>
    <s v="Supplies-Forms"/>
    <s v="Surgery Services"/>
    <x v="0"/>
    <m/>
    <n v="0"/>
    <n v="0"/>
    <n v="0"/>
    <n v="0"/>
    <n v="635"/>
    <n v="0"/>
    <n v="0"/>
    <n v="0"/>
    <n v="0"/>
    <n v="0"/>
    <n v="685"/>
    <n v="106.18"/>
    <n v="1426.18"/>
    <n v="578.81999999999994"/>
  </r>
  <r>
    <x v="11"/>
    <x v="5"/>
    <x v="0"/>
    <s v="4400106"/>
    <n v="721850"/>
    <s v="Lighting &amp; Electrical Supplies"/>
    <s v="Surgery Services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00106"/>
    <n v="721870"/>
    <s v="Supplies-Environmental Services"/>
    <s v="Surgery Services"/>
    <x v="0"/>
    <m/>
    <n v="1371.6"/>
    <n v="1225.28"/>
    <n v="1643.88"/>
    <n v="1423.67"/>
    <n v="1571.5"/>
    <n v="1339.99"/>
    <n v="1501.83"/>
    <n v="868.26"/>
    <n v="1857.84"/>
    <n v="987.09"/>
    <n v="1749.41"/>
    <n v="951.47"/>
    <n v="16491.82"/>
    <n v="797.94"/>
  </r>
  <r>
    <x v="11"/>
    <x v="5"/>
    <x v="0"/>
    <s v="4400106"/>
    <n v="721880"/>
    <s v="Supplies-Linen"/>
    <s v="Surgery Services"/>
    <x v="0"/>
    <m/>
    <n v="110.73"/>
    <n v="248.23"/>
    <n v="128.53"/>
    <n v="147.93"/>
    <n v="183.24"/>
    <n v="92.93"/>
    <n v="236.64"/>
    <n v="288.73"/>
    <n v="145.02000000000001"/>
    <n v="218.07"/>
    <n v="171.08"/>
    <n v="75.819999999999993"/>
    <n v="2046.9499999999998"/>
    <n v="95.260000000000019"/>
  </r>
  <r>
    <x v="11"/>
    <x v="5"/>
    <x v="0"/>
    <s v="4400106"/>
    <n v="721910"/>
    <s v="Supplies-Small Equipment"/>
    <s v="Surgery Services"/>
    <x v="0"/>
    <m/>
    <n v="19600.740000000002"/>
    <n v="12457.42"/>
    <n v="15703.87"/>
    <n v="8991.35"/>
    <n v="20204.46"/>
    <n v="14756.95"/>
    <n v="35020.99"/>
    <n v="45887.12"/>
    <n v="20566.5"/>
    <n v="1383.21"/>
    <n v="3012.99"/>
    <n v="10366.43"/>
    <n v="207952.02999999997"/>
    <n v="-7353.4400000000005"/>
  </r>
  <r>
    <x v="11"/>
    <x v="5"/>
    <x v="0"/>
    <s v="4400106"/>
    <n v="721910"/>
    <s v="Instruments"/>
    <s v="Surgery Services"/>
    <x v="0"/>
    <n v="1000"/>
    <n v="6409.81"/>
    <n v="4331.6899999999996"/>
    <n v="7422.18"/>
    <n v="6046.1"/>
    <n v="3922.53"/>
    <n v="10671.59"/>
    <n v="15653.77"/>
    <n v="9618.33"/>
    <n v="6943.44"/>
    <n v="7875.56"/>
    <n v="14545.25"/>
    <n v="8458.16"/>
    <n v="101898.41"/>
    <n v="6087.09"/>
  </r>
  <r>
    <x v="11"/>
    <x v="5"/>
    <x v="0"/>
    <s v="4400106"/>
    <n v="721980"/>
    <s v="Supplies-Other"/>
    <s v="Surgery Services"/>
    <x v="0"/>
    <m/>
    <n v="270.58999999999997"/>
    <n v="157.08000000000001"/>
    <n v="200.64"/>
    <n v="0"/>
    <n v="1874.13"/>
    <n v="566.79"/>
    <n v="658.93"/>
    <n v="0"/>
    <n v="-80.180000000000007"/>
    <n v="402.05"/>
    <n v="4712.84"/>
    <n v="91.9"/>
    <n v="8854.77"/>
    <n v="4620.9400000000005"/>
  </r>
  <r>
    <x v="11"/>
    <x v="5"/>
    <x v="0"/>
    <s v="4400106"/>
    <n v="722000"/>
    <s v="Supplies-Freight Expense"/>
    <s v="Surgery Services"/>
    <x v="0"/>
    <m/>
    <n v="1346.41"/>
    <n v="3024.98"/>
    <n v="2197.23"/>
    <n v="1428.16"/>
    <n v="1046.43"/>
    <n v="1613.17"/>
    <n v="3673.33"/>
    <n v="2094.59"/>
    <n v="2192.02"/>
    <n v="2772.16"/>
    <n v="1197.1500000000001"/>
    <n v="958.25"/>
    <n v="23543.880000000005"/>
    <n v="238.90000000000009"/>
  </r>
  <r>
    <x v="11"/>
    <x v="5"/>
    <x v="0"/>
    <s v="4400106"/>
    <n v="722000"/>
    <s v="Minimum Order Fees"/>
    <s v="Surgery Services"/>
    <x v="0"/>
    <n v="1000"/>
    <n v="0"/>
    <n v="0"/>
    <n v="0"/>
    <n v="46.27"/>
    <n v="0"/>
    <n v="0"/>
    <n v="0"/>
    <n v="0"/>
    <n v="0"/>
    <n v="0"/>
    <n v="0"/>
    <n v="0"/>
    <n v="46.27"/>
    <n v="0"/>
  </r>
  <r>
    <x v="11"/>
    <x v="5"/>
    <x v="0"/>
    <s v="4400106"/>
    <n v="723000"/>
    <s v="Supply Rebates/Patronage Dividend"/>
    <s v="Surgery Services"/>
    <x v="0"/>
    <m/>
    <n v="0"/>
    <n v="0"/>
    <n v="-3401.66"/>
    <n v="0"/>
    <n v="0"/>
    <n v="-3500.03"/>
    <n v="0"/>
    <n v="0"/>
    <n v="-6118.94"/>
    <n v="0"/>
    <n v="0"/>
    <n v="-11825.74"/>
    <n v="-24846.370000000003"/>
    <n v="11825.74"/>
  </r>
  <r>
    <x v="12"/>
    <x v="5"/>
    <x v="0"/>
    <s v="4400106"/>
    <n v="730020"/>
    <s v="Rental and Leases-Equipment (DO NOT USE)"/>
    <s v="Surgery Services"/>
    <x v="0"/>
    <m/>
    <n v="6438.06"/>
    <n v="15952.76"/>
    <n v="13461.1"/>
    <n v="7057.46"/>
    <n v="5377.2"/>
    <n v="9346.42"/>
    <n v="10101.780000000001"/>
    <n v="-67112.92"/>
    <n v="13555.26"/>
    <n v="10710.68"/>
    <n v="4765.82"/>
    <n v="35484.660000000003"/>
    <n v="65138.280000000006"/>
    <n v="-30718.840000000004"/>
  </r>
  <r>
    <x v="12"/>
    <x v="5"/>
    <x v="0"/>
    <s v="4400106"/>
    <n v="730020"/>
    <s v="Rental and Leases-Copier Usage Fees (DO NOT USE)"/>
    <s v="Surgery Services"/>
    <x v="0"/>
    <n v="5100"/>
    <n v="738.39"/>
    <n v="746.55"/>
    <n v="742.47"/>
    <n v="742.47"/>
    <n v="742.47"/>
    <n v="742.47"/>
    <n v="-524.61"/>
    <n v="486.01"/>
    <n v="484.99"/>
    <n v="1132.76"/>
    <n v="573.79999999999995"/>
    <n v="599.84"/>
    <n v="7207.6100000000006"/>
    <n v="-26.040000000000077"/>
  </r>
  <r>
    <x v="15"/>
    <x v="5"/>
    <x v="0"/>
    <s v="4400106"/>
    <n v="731060"/>
    <s v="Telephone"/>
    <s v="Surgery Services"/>
    <x v="0"/>
    <m/>
    <n v="4.3"/>
    <n v="0"/>
    <n v="0"/>
    <n v="0"/>
    <n v="0"/>
    <n v="0"/>
    <n v="0"/>
    <n v="0"/>
    <n v="0"/>
    <n v="0"/>
    <n v="0"/>
    <n v="0"/>
    <n v="4.3"/>
    <n v="0"/>
  </r>
  <r>
    <x v="15"/>
    <x v="5"/>
    <x v="0"/>
    <s v="4400106"/>
    <n v="731060"/>
    <s v="Cell Phones"/>
    <s v="Surgery Services"/>
    <x v="0"/>
    <n v="1001"/>
    <n v="0"/>
    <n v="303.57"/>
    <n v="136.83000000000001"/>
    <n v="0"/>
    <n v="137.5"/>
    <n v="139.71"/>
    <n v="215.42"/>
    <n v="0"/>
    <n v="118.55"/>
    <n v="231.23"/>
    <n v="113"/>
    <n v="114.58"/>
    <n v="1510.3899999999999"/>
    <n v="-1.5799999999999983"/>
  </r>
  <r>
    <x v="15"/>
    <x v="5"/>
    <x v="0"/>
    <s v="4400106"/>
    <n v="731060"/>
    <s v="Pagers"/>
    <s v="Surgery Services"/>
    <x v="0"/>
    <n v="1002"/>
    <n v="87.89"/>
    <n v="55.93"/>
    <n v="55.93"/>
    <n v="56.14"/>
    <n v="44.12"/>
    <n v="0"/>
    <n v="96.24"/>
    <n v="48.12"/>
    <n v="48.12"/>
    <n v="48.06"/>
    <n v="48.06"/>
    <n v="48.06"/>
    <n v="636.66999999999985"/>
    <n v="0"/>
  </r>
  <r>
    <x v="16"/>
    <x v="5"/>
    <x v="0"/>
    <s v="4400106"/>
    <n v="732015"/>
    <s v="Repairs-Clinical Equip-T&amp;M-Ext to CHI Programs"/>
    <s v="Surgery Services"/>
    <x v="0"/>
    <m/>
    <n v="0"/>
    <n v="0"/>
    <n v="0"/>
    <n v="0"/>
    <n v="0"/>
    <n v="0"/>
    <n v="0"/>
    <n v="0"/>
    <n v="0"/>
    <n v="0"/>
    <n v="760"/>
    <n v="0"/>
    <n v="760"/>
    <n v="760"/>
  </r>
  <r>
    <x v="16"/>
    <x v="5"/>
    <x v="0"/>
    <s v="4400106"/>
    <n v="732020"/>
    <s v="Repairs--Clin Equip-Parts-Internal to CHI Programs"/>
    <s v="Surgery Services"/>
    <x v="0"/>
    <m/>
    <n v="412.5"/>
    <n v="0"/>
    <n v="0"/>
    <n v="225.6"/>
    <n v="0"/>
    <n v="0"/>
    <n v="0"/>
    <n v="0"/>
    <n v="1600"/>
    <n v="162.33000000000001"/>
    <n v="94.38"/>
    <n v="0"/>
    <n v="2494.81"/>
    <n v="94.38"/>
  </r>
  <r>
    <x v="16"/>
    <x v="5"/>
    <x v="0"/>
    <s v="4400106"/>
    <n v="732030"/>
    <s v="Repairs---Other"/>
    <s v="Surgery Services"/>
    <x v="0"/>
    <m/>
    <n v="2851.61"/>
    <n v="485"/>
    <n v="22"/>
    <n v="0"/>
    <n v="0"/>
    <n v="570.9"/>
    <n v="2277.5100000000002"/>
    <n v="0"/>
    <n v="0"/>
    <n v="0"/>
    <n v="12982.47"/>
    <n v="160.22999999999999"/>
    <n v="19349.719999999998"/>
    <n v="12822.24"/>
  </r>
  <r>
    <x v="16"/>
    <x v="5"/>
    <x v="0"/>
    <s v="4400106"/>
    <n v="733030"/>
    <s v="Maintenance Contracts-Other"/>
    <s v="Surgery Services"/>
    <x v="0"/>
    <m/>
    <n v="17371.52"/>
    <n v="17371.52"/>
    <n v="17371.52"/>
    <n v="17371.52"/>
    <n v="17371.52"/>
    <n v="17371.52"/>
    <n v="0"/>
    <n v="34743.040000000001"/>
    <n v="17371.52"/>
    <n v="17371.52"/>
    <n v="17371.52"/>
    <n v="17371.52"/>
    <n v="208458.23999999996"/>
    <n v="0"/>
  </r>
  <r>
    <x v="13"/>
    <x v="5"/>
    <x v="0"/>
    <s v="4400106"/>
    <n v="735040"/>
    <s v="Depreciation-Building Improvements"/>
    <s v="Surgery Services"/>
    <x v="0"/>
    <m/>
    <n v="1393.35"/>
    <n v="1393.35"/>
    <n v="1903.54"/>
    <n v="1903.54"/>
    <n v="1903.54"/>
    <n v="1903.51"/>
    <n v="1903.54"/>
    <n v="1903.51"/>
    <n v="1903.58"/>
    <n v="2021.02"/>
    <n v="2021.09"/>
    <n v="2021"/>
    <n v="22174.57"/>
    <n v="8.9999999999918145E-2"/>
  </r>
  <r>
    <x v="13"/>
    <x v="5"/>
    <x v="0"/>
    <s v="4400106"/>
    <n v="735060"/>
    <s v="Depreciation-Fixed Equipment"/>
    <s v="Surgery Services"/>
    <x v="0"/>
    <m/>
    <n v="193"/>
    <n v="193"/>
    <n v="193.01"/>
    <n v="193"/>
    <n v="193.01"/>
    <n v="192.99"/>
    <n v="193.03"/>
    <n v="192.98"/>
    <n v="193.05"/>
    <n v="192.98"/>
    <n v="193.07"/>
    <n v="192.96"/>
    <n v="2316.08"/>
    <n v="0.10999999999998522"/>
  </r>
  <r>
    <x v="13"/>
    <x v="5"/>
    <x v="0"/>
    <s v="4400106"/>
    <n v="735070"/>
    <s v="Depreciation-Movable Equipment"/>
    <s v="Surgery Services"/>
    <x v="0"/>
    <m/>
    <n v="172279.67"/>
    <n v="170608.16"/>
    <n v="171681.9"/>
    <n v="171676.02"/>
    <n v="171677.58"/>
    <n v="172393.69"/>
    <n v="192288.49"/>
    <n v="172696.59"/>
    <n v="192695.1"/>
    <n v="193668.95"/>
    <n v="193471.47"/>
    <n v="196092.03"/>
    <n v="2171229.65"/>
    <n v="-2620.5599999999977"/>
  </r>
  <r>
    <x v="13"/>
    <x v="5"/>
    <x v="0"/>
    <s v="4400106"/>
    <n v="735070"/>
    <s v="Depreciation-DaVinci Robot"/>
    <s v="Surgery Services"/>
    <x v="0"/>
    <n v="1000"/>
    <n v="1289.8900000000001"/>
    <n v="1289.8800000000001"/>
    <n v="1289.8900000000001"/>
    <n v="1289.8800000000001"/>
    <n v="1289.8900000000001"/>
    <n v="1289.8800000000001"/>
    <n v="1289.8900000000001"/>
    <n v="1289.8800000000001"/>
    <n v="9.36"/>
    <n v="9.36"/>
    <n v="9.3699999999999992"/>
    <n v="9.36"/>
    <n v="10356.530000000004"/>
    <n v="9.9999999999997868E-3"/>
  </r>
  <r>
    <x v="0"/>
    <x v="5"/>
    <x v="0"/>
    <s v="4400106"/>
    <n v="740020"/>
    <s v="Education-Registration Fees"/>
    <s v="Surgery Services"/>
    <x v="0"/>
    <m/>
    <n v="0"/>
    <n v="374"/>
    <n v="0"/>
    <n v="170"/>
    <n v="0"/>
    <n v="0"/>
    <n v="0"/>
    <n v="39"/>
    <n v="900"/>
    <n v="0"/>
    <n v="0"/>
    <n v="0"/>
    <n v="1483"/>
    <n v="0"/>
  </r>
  <r>
    <x v="0"/>
    <x v="5"/>
    <x v="0"/>
    <s v="4400106"/>
    <n v="742030"/>
    <s v="Freight-Courier"/>
    <s v="Surgery Services"/>
    <x v="0"/>
    <m/>
    <n v="0"/>
    <n v="0"/>
    <n v="0"/>
    <n v="100.5"/>
    <n v="0"/>
    <n v="0"/>
    <n v="0"/>
    <n v="0"/>
    <n v="0"/>
    <n v="0"/>
    <n v="0"/>
    <n v="0"/>
    <n v="100.5"/>
    <n v="0"/>
  </r>
  <r>
    <x v="0"/>
    <x v="5"/>
    <x v="0"/>
    <s v="4400106"/>
    <n v="743010"/>
    <s v="Dues--Institutional"/>
    <s v="Surgery Services"/>
    <x v="0"/>
    <m/>
    <n v="0"/>
    <n v="0"/>
    <n v="0"/>
    <n v="3000"/>
    <n v="0"/>
    <n v="0"/>
    <n v="0"/>
    <n v="0"/>
    <n v="0"/>
    <n v="0"/>
    <n v="0"/>
    <n v="0"/>
    <n v="3000"/>
    <n v="0"/>
  </r>
  <r>
    <x v="0"/>
    <x v="5"/>
    <x v="0"/>
    <s v="4400106"/>
    <n v="743030"/>
    <s v="Subscriptions--Institutional"/>
    <s v="Surgery Services"/>
    <x v="0"/>
    <m/>
    <n v="0"/>
    <n v="0"/>
    <n v="0"/>
    <n v="0"/>
    <n v="0"/>
    <n v="0"/>
    <n v="0"/>
    <n v="0"/>
    <n v="555"/>
    <n v="0"/>
    <n v="0"/>
    <n v="0"/>
    <n v="555"/>
    <n v="0"/>
  </r>
  <r>
    <x v="0"/>
    <x v="5"/>
    <x v="0"/>
    <s v="4400106"/>
    <n v="744010"/>
    <s v="Recruitment"/>
    <s v="Surgery Services"/>
    <x v="0"/>
    <m/>
    <n v="0"/>
    <n v="0"/>
    <n v="0"/>
    <n v="0"/>
    <n v="0"/>
    <n v="0"/>
    <n v="0"/>
    <n v="0"/>
    <n v="0"/>
    <n v="28879.14"/>
    <n v="0"/>
    <n v="0"/>
    <n v="28879.14"/>
    <n v="0"/>
  </r>
  <r>
    <x v="0"/>
    <x v="5"/>
    <x v="0"/>
    <s v="4400106"/>
    <n v="749510"/>
    <s v="Miscellaneous Expenses"/>
    <s v="Surgery Services"/>
    <x v="0"/>
    <m/>
    <n v="180.52"/>
    <n v="-217.04"/>
    <n v="218.13"/>
    <n v="0"/>
    <n v="-68.13"/>
    <n v="0"/>
    <n v="0"/>
    <n v="1011.3"/>
    <n v="-1011.3"/>
    <n v="0"/>
    <n v="0"/>
    <n v="80"/>
    <n v="193.48000000000002"/>
    <n v="-80"/>
  </r>
  <r>
    <x v="0"/>
    <x v="5"/>
    <x v="0"/>
    <s v="4400106"/>
    <n v="749510"/>
    <s v="Licenses"/>
    <s v="Surgery Services"/>
    <x v="0"/>
    <n v="1002"/>
    <n v="700"/>
    <n v="700"/>
    <n v="0"/>
    <n v="0"/>
    <n v="0"/>
    <n v="2100"/>
    <n v="700"/>
    <n v="1400"/>
    <n v="700"/>
    <n v="700"/>
    <n v="700"/>
    <n v="700"/>
    <n v="8400"/>
    <n v="0"/>
  </r>
  <r>
    <x v="0"/>
    <x v="5"/>
    <x v="0"/>
    <s v="4400106"/>
    <n v="749510"/>
    <s v="RICE Rewards"/>
    <s v="Surgery Services"/>
    <x v="0"/>
    <n v="5100"/>
    <n v="0"/>
    <n v="0"/>
    <n v="0"/>
    <n v="0"/>
    <n v="0"/>
    <n v="0"/>
    <n v="0"/>
    <n v="0"/>
    <n v="0"/>
    <n v="0"/>
    <n v="0"/>
    <n v="259.62"/>
    <n v="259.62"/>
    <n v="-259.62"/>
  </r>
  <r>
    <x v="0"/>
    <x v="5"/>
    <x v="0"/>
    <s v="4400106"/>
    <n v="749530"/>
    <s v="Travel"/>
    <s v="Surgery Services"/>
    <x v="0"/>
    <m/>
    <n v="0"/>
    <n v="0"/>
    <n v="0"/>
    <n v="0"/>
    <n v="0"/>
    <n v="0"/>
    <n v="0"/>
    <n v="0"/>
    <n v="371.3"/>
    <n v="1505"/>
    <n v="0"/>
    <n v="0"/>
    <n v="1876.3"/>
    <n v="0"/>
  </r>
  <r>
    <x v="0"/>
    <x v="5"/>
    <x v="0"/>
    <s v="4400106"/>
    <n v="749530"/>
    <s v="Mileage"/>
    <s v="Surgery Services"/>
    <x v="0"/>
    <n v="1001"/>
    <n v="0"/>
    <n v="67.040000000000006"/>
    <n v="0"/>
    <n v="0"/>
    <n v="68.13"/>
    <n v="99.2"/>
    <n v="0"/>
    <n v="0"/>
    <n v="0"/>
    <n v="0"/>
    <n v="0"/>
    <n v="0"/>
    <n v="234.37"/>
    <n v="0"/>
  </r>
  <r>
    <x v="18"/>
    <x v="6"/>
    <x v="0"/>
    <s v="4400107"/>
    <n v="400010"/>
    <s v="Acute I/P Svcs Rev--Medicare"/>
    <s v="Surgery-Bremerton"/>
    <x v="0"/>
    <n v="1100"/>
    <n v="-7246030.7999999998"/>
    <n v="-9113425.6500000004"/>
    <n v="-8174262.3700000001"/>
    <n v="-8501955.3800000008"/>
    <n v="-8441884.9299999997"/>
    <n v="-6879977.5700000003"/>
    <n v="-7985178.54"/>
    <n v="-5790080.2199999997"/>
    <n v="-7138945.9900000002"/>
    <n v="-8191182.7000000002"/>
    <n v="-9071870.9600000009"/>
    <n v="-9465668.3300000001"/>
    <n v="-96000463.440000013"/>
    <n v="393797.36999999918"/>
  </r>
  <r>
    <x v="18"/>
    <x v="6"/>
    <x v="0"/>
    <s v="4400107"/>
    <n v="400010"/>
    <s v="Acute I/P Svcs Rev--Medicaid"/>
    <s v="Surgery-Bremerton"/>
    <x v="0"/>
    <n v="1200"/>
    <n v="-1265998.02"/>
    <n v="-1214863.7"/>
    <n v="-1295687.23"/>
    <n v="-1351600.42"/>
    <n v="-1324869.3899999999"/>
    <n v="-1221984.78"/>
    <n v="-1229001.6200000001"/>
    <n v="-1778925.3"/>
    <n v="-1808754.15"/>
    <n v="-1039911.99"/>
    <n v="-1680351.16"/>
    <n v="-2795416.38"/>
    <n v="-18007364.140000001"/>
    <n v="1115065.22"/>
  </r>
  <r>
    <x v="18"/>
    <x v="6"/>
    <x v="0"/>
    <s v="4400107"/>
    <n v="400010"/>
    <s v="Acute I/P Svcs Rev--Comm Insurance"/>
    <s v="Surgery-Bremerton"/>
    <x v="0"/>
    <n v="1300"/>
    <n v="92689.11"/>
    <n v="276338.90000000002"/>
    <n v="56585.120000000003"/>
    <n v="-420817.82"/>
    <n v="-59981.21"/>
    <n v="-195113.67"/>
    <n v="-53422.76"/>
    <n v="-408516.14"/>
    <n v="-274678.87"/>
    <n v="-31354.46"/>
    <n v="-275768.09999999998"/>
    <n v="-62211.28"/>
    <n v="-1356251.18"/>
    <n v="-213556.81999999998"/>
  </r>
  <r>
    <x v="18"/>
    <x v="6"/>
    <x v="0"/>
    <s v="4400107"/>
    <n v="400010"/>
    <s v="Acute I/P Svcs Rev--BCBS Comm"/>
    <s v="Surgery-Bremerton"/>
    <x v="0"/>
    <n v="1301"/>
    <n v="-677683.46"/>
    <n v="-594794.56000000006"/>
    <n v="-873176.08"/>
    <n v="-151421.46"/>
    <n v="-948817.18"/>
    <n v="-665196.68000000005"/>
    <n v="-831398.29"/>
    <n v="-709609.75"/>
    <n v="-595588.42000000004"/>
    <n v="-600130.07999999996"/>
    <n v="-1375547.95"/>
    <n v="-702543.99"/>
    <n v="-8725907.9000000004"/>
    <n v="-673003.96"/>
  </r>
  <r>
    <x v="18"/>
    <x v="6"/>
    <x v="0"/>
    <s v="4400107"/>
    <n v="400010"/>
    <s v="Acute I/P Svcs Rev--Managed Care"/>
    <s v="Surgery-Bremerton"/>
    <x v="0"/>
    <n v="1400"/>
    <n v="-1758721.96"/>
    <n v="-2002546.51"/>
    <n v="-1336323.1100000001"/>
    <n v="-1134610.49"/>
    <n v="-1225892.1299999999"/>
    <n v="-1039040.54"/>
    <n v="-1826895.43"/>
    <n v="-1650659.9"/>
    <n v="-1271749.93"/>
    <n v="-1442402.38"/>
    <n v="-2020117.14"/>
    <n v="-1621409.27"/>
    <n v="-18330368.789999999"/>
    <n v="-398707.86999999988"/>
  </r>
  <r>
    <x v="18"/>
    <x v="6"/>
    <x v="0"/>
    <s v="4400107"/>
    <n v="400010"/>
    <s v="Acute I/P Svcs Rev--Self Pay"/>
    <s v="Surgery-Bremerton"/>
    <x v="0"/>
    <n v="1500"/>
    <n v="66896.87"/>
    <n v="-187519.28"/>
    <n v="-35371.57"/>
    <n v="159259"/>
    <n v="-49642.82"/>
    <n v="-84022.49"/>
    <n v="-126869.84"/>
    <n v="-156016.84"/>
    <n v="0"/>
    <n v="-138378.93"/>
    <n v="-309367.57"/>
    <n v="215140.16"/>
    <n v="-645893.30999999994"/>
    <n v="-524507.73"/>
  </r>
  <r>
    <x v="18"/>
    <x v="6"/>
    <x v="0"/>
    <s v="4400107"/>
    <n v="400010"/>
    <s v="Acute I/P Svcs Rev--Other"/>
    <s v="Surgery-Bremerton"/>
    <x v="0"/>
    <n v="1700"/>
    <n v="-535543.37"/>
    <n v="-1215656.5900000001"/>
    <n v="-966054.55"/>
    <n v="-113668.5"/>
    <n v="-350235.99"/>
    <n v="-636306.87"/>
    <n v="-345647.53"/>
    <n v="-108622.6"/>
    <n v="-537515.69999999995"/>
    <n v="-630880.87"/>
    <n v="-495761"/>
    <n v="-345923.31"/>
    <n v="-6281816.8799999999"/>
    <n v="-149837.69"/>
  </r>
  <r>
    <x v="19"/>
    <x v="6"/>
    <x v="0"/>
    <s v="4400107"/>
    <n v="400020"/>
    <s v="O/P Care Svcs Rev--Medicare"/>
    <s v="Surgery-Bremerton"/>
    <x v="0"/>
    <n v="1100"/>
    <n v="-3009470.49"/>
    <n v="-2794017.16"/>
    <n v="-1928605.69"/>
    <n v="-3328947.44"/>
    <n v="-2786273.46"/>
    <n v="-2414557.5299999998"/>
    <n v="-2217079.1"/>
    <n v="-2130015.2400000002"/>
    <n v="-2596415.4700000002"/>
    <n v="-2884188.5"/>
    <n v="-2624664.4900000002"/>
    <n v="-2829415.33"/>
    <n v="-31543649.899999999"/>
    <n v="204750.83999999985"/>
  </r>
  <r>
    <x v="19"/>
    <x v="6"/>
    <x v="0"/>
    <s v="4400107"/>
    <n v="400020"/>
    <s v="O/P Care Svcs Rev--Medicaid"/>
    <s v="Surgery-Bremerton"/>
    <x v="0"/>
    <n v="1200"/>
    <n v="-1065783.79"/>
    <n v="-766326.25"/>
    <n v="-817996.82"/>
    <n v="-1300939.6599999999"/>
    <n v="-964268.12"/>
    <n v="-912295.71"/>
    <n v="-855190.52"/>
    <n v="-649953"/>
    <n v="-895438.37"/>
    <n v="-757576"/>
    <n v="-945645.77"/>
    <n v="-901356.09"/>
    <n v="-10832770.099999998"/>
    <n v="-44289.680000000051"/>
  </r>
  <r>
    <x v="19"/>
    <x v="6"/>
    <x v="0"/>
    <s v="4400107"/>
    <n v="400020"/>
    <s v="O/P Care Svcs Rev--Comm Insurance"/>
    <s v="Surgery-Bremerton"/>
    <x v="0"/>
    <n v="1300"/>
    <n v="-57504.59"/>
    <n v="-69251.02"/>
    <n v="-45068.9"/>
    <n v="-129246.57"/>
    <n v="-243731.01"/>
    <n v="-159532.81"/>
    <n v="-169092.25"/>
    <n v="-164148.62"/>
    <n v="-44158.38"/>
    <n v="-55621.05"/>
    <n v="-260282.39"/>
    <n v="-6950.27"/>
    <n v="-1404587.8600000003"/>
    <n v="-253332.12000000002"/>
  </r>
  <r>
    <x v="19"/>
    <x v="6"/>
    <x v="0"/>
    <s v="4400107"/>
    <n v="400020"/>
    <s v="O/P Care Svcs Rev--BCBS Comm"/>
    <s v="Surgery-Bremerton"/>
    <x v="0"/>
    <n v="1301"/>
    <n v="-736116.29"/>
    <n v="-1010549.93"/>
    <n v="-731393.4"/>
    <n v="-998312.95"/>
    <n v="-683035.31"/>
    <n v="-696441.73"/>
    <n v="-719700.93"/>
    <n v="-669138.64"/>
    <n v="-734378.32"/>
    <n v="-555083.93999999994"/>
    <n v="-730120.86"/>
    <n v="-788893.32"/>
    <n v="-9053165.6199999992"/>
    <n v="58772.459999999963"/>
  </r>
  <r>
    <x v="19"/>
    <x v="6"/>
    <x v="0"/>
    <s v="4400107"/>
    <n v="400020"/>
    <s v="O/P Care Svcs Rev--Managed Care"/>
    <s v="Surgery-Bremerton"/>
    <x v="0"/>
    <n v="1400"/>
    <n v="-1147762.93"/>
    <n v="-1333252.42"/>
    <n v="-827298.99"/>
    <n v="-1338084.3899999999"/>
    <n v="-1439922.73"/>
    <n v="-1176724.3600000001"/>
    <n v="-1036290.79"/>
    <n v="-1337664.8500000001"/>
    <n v="-766929.87"/>
    <n v="-1181738.7"/>
    <n v="-1130721.69"/>
    <n v="-845769.56"/>
    <n v="-13562161.279999997"/>
    <n v="-284952.12999999989"/>
  </r>
  <r>
    <x v="19"/>
    <x v="6"/>
    <x v="0"/>
    <s v="4400107"/>
    <n v="400020"/>
    <s v="O/P Care Svcs Rev--Self Pay"/>
    <s v="Surgery-Bremerton"/>
    <x v="0"/>
    <n v="1500"/>
    <n v="-53682.65"/>
    <n v="-80981.259999999995"/>
    <n v="-107394.32"/>
    <n v="-141190.1"/>
    <n v="-21382.11"/>
    <n v="-113585.01"/>
    <n v="-77572.84"/>
    <n v="-222325.86"/>
    <n v="-30725.02"/>
    <n v="-37185.629999999997"/>
    <n v="-335051.2"/>
    <n v="-31166.65"/>
    <n v="-1252242.6499999999"/>
    <n v="-303884.55"/>
  </r>
  <r>
    <x v="19"/>
    <x v="6"/>
    <x v="0"/>
    <s v="4400107"/>
    <n v="400020"/>
    <s v="O/P Care Svcs Rev--Other"/>
    <s v="Surgery-Bremerton"/>
    <x v="0"/>
    <n v="1700"/>
    <n v="-400117.74"/>
    <n v="-339437.07"/>
    <n v="-350367.55"/>
    <n v="-586288.6"/>
    <n v="-485593.05"/>
    <n v="-407714.17"/>
    <n v="-317483.33"/>
    <n v="-236038.57"/>
    <n v="-424072.25"/>
    <n v="-324298.40999999997"/>
    <n v="-314636.55"/>
    <n v="-454168.95"/>
    <n v="-4640216.2399999993"/>
    <n v="139532.40000000002"/>
  </r>
  <r>
    <x v="14"/>
    <x v="6"/>
    <x v="0"/>
    <s v="4400107"/>
    <n v="600050"/>
    <s v="Miscellaneous Revenue"/>
    <s v="Surgery-Bremerton"/>
    <x v="0"/>
    <m/>
    <n v="0"/>
    <n v="0"/>
    <n v="-364"/>
    <n v="0"/>
    <n v="0"/>
    <n v="0"/>
    <n v="0"/>
    <n v="0"/>
    <n v="0"/>
    <n v="0"/>
    <n v="0"/>
    <n v="0"/>
    <n v="-364"/>
    <n v="0"/>
  </r>
  <r>
    <x v="5"/>
    <x v="6"/>
    <x v="0"/>
    <s v="4400107"/>
    <n v="700014"/>
    <s v="Salaries-Management-Productive"/>
    <s v="Surgery-Bremerton"/>
    <x v="0"/>
    <m/>
    <n v="13579.67"/>
    <n v="6882.33"/>
    <n v="2110.5100000000002"/>
    <n v="2883.14"/>
    <n v="2799.01"/>
    <n v="2239.29"/>
    <n v="2896.92"/>
    <n v="1728.67"/>
    <n v="3130.23"/>
    <n v="1681.9"/>
    <n v="3363.81"/>
    <n v="2803.25"/>
    <n v="46098.73"/>
    <n v="560.55999999999995"/>
  </r>
  <r>
    <x v="5"/>
    <x v="6"/>
    <x v="0"/>
    <s v="4400107"/>
    <n v="700018"/>
    <s v="Salaries-Supervisory-Productive"/>
    <s v="Surgery-Bremerton"/>
    <x v="0"/>
    <m/>
    <n v="3847.68"/>
    <n v="9954.7999999999993"/>
    <n v="9161.32"/>
    <n v="5754.47"/>
    <n v="11138.6"/>
    <n v="8283.68"/>
    <n v="9427.68"/>
    <n v="8201.48"/>
    <n v="9207.0400000000009"/>
    <n v="9678.0499999999993"/>
    <n v="9741.24"/>
    <n v="3708.12"/>
    <n v="98104.16"/>
    <n v="6033.12"/>
  </r>
  <r>
    <x v="5"/>
    <x v="6"/>
    <x v="0"/>
    <s v="4400107"/>
    <n v="700026"/>
    <s v="Salaries-RN-Productive"/>
    <s v="Surgery-Bremerton"/>
    <x v="0"/>
    <m/>
    <n v="103485.25"/>
    <n v="103950.09"/>
    <n v="120739.03"/>
    <n v="77015.97"/>
    <n v="104971.09"/>
    <n v="90396.38"/>
    <n v="104407.03999999999"/>
    <n v="94922.36"/>
    <n v="110249.19"/>
    <n v="98331.11"/>
    <n v="106491.04"/>
    <n v="96263.56"/>
    <n v="1211222.1099999999"/>
    <n v="10227.479999999996"/>
  </r>
  <r>
    <x v="5"/>
    <x v="6"/>
    <x v="0"/>
    <s v="4400107"/>
    <n v="700026"/>
    <s v="Salaries-RN-OT"/>
    <s v="Surgery-Bremerton"/>
    <x v="0"/>
    <n v="1000"/>
    <n v="8851.0300000000007"/>
    <n v="9495.0400000000009"/>
    <n v="14558.76"/>
    <n v="5272.05"/>
    <n v="6545.14"/>
    <n v="6496.7"/>
    <n v="7262.64"/>
    <n v="6087.84"/>
    <n v="7347.76"/>
    <n v="5581.32"/>
    <n v="9066.23"/>
    <n v="12039.4"/>
    <n v="98603.909999999989"/>
    <n v="-2973.17"/>
  </r>
  <r>
    <x v="5"/>
    <x v="6"/>
    <x v="0"/>
    <s v="4400107"/>
    <n v="700026"/>
    <s v="Salaries-RN-Other"/>
    <s v="Surgery-Bremerton"/>
    <x v="0"/>
    <n v="2000"/>
    <n v="10165.530000000001"/>
    <n v="9734.23"/>
    <n v="10627.7"/>
    <n v="7150.36"/>
    <n v="8033.48"/>
    <n v="10497.48"/>
    <n v="9974.1200000000008"/>
    <n v="8811.16"/>
    <n v="10590.75"/>
    <n v="7127.45"/>
    <n v="10218.69"/>
    <n v="8957.17"/>
    <n v="111888.12"/>
    <n v="1261.5200000000004"/>
  </r>
  <r>
    <x v="5"/>
    <x v="6"/>
    <x v="0"/>
    <s v="4400107"/>
    <n v="700030"/>
    <s v="Salaries-LPN-Productive"/>
    <s v="Surgery-Bremerton"/>
    <x v="0"/>
    <m/>
    <n v="9287.3700000000008"/>
    <n v="1227.94"/>
    <n v="-163.47"/>
    <n v="995.14"/>
    <n v="1256.07"/>
    <n v="-504.54"/>
    <n v="0"/>
    <n v="0"/>
    <n v="0"/>
    <n v="863.61"/>
    <n v="352.03"/>
    <n v="-106.74"/>
    <n v="13207.410000000002"/>
    <n v="458.77"/>
  </r>
  <r>
    <x v="5"/>
    <x v="6"/>
    <x v="0"/>
    <s v="4400107"/>
    <n v="700030"/>
    <s v="Salaries-LPN-OT"/>
    <s v="Surgery-Bremerton"/>
    <x v="0"/>
    <n v="1000"/>
    <n v="413.26"/>
    <n v="55.47"/>
    <n v="747.17"/>
    <n v="-261.98"/>
    <n v="0"/>
    <n v="0"/>
    <n v="0"/>
    <n v="0"/>
    <n v="0"/>
    <n v="0"/>
    <n v="0"/>
    <n v="0"/>
    <n v="953.92000000000007"/>
    <n v="0"/>
  </r>
  <r>
    <x v="5"/>
    <x v="6"/>
    <x v="0"/>
    <s v="4400107"/>
    <n v="700030"/>
    <s v="Salaries-LPN-Other"/>
    <s v="Surgery-Bremerton"/>
    <x v="0"/>
    <n v="2000"/>
    <n v="700.41"/>
    <n v="174.05"/>
    <n v="32.99"/>
    <n v="462.78"/>
    <n v="-62.54"/>
    <n v="418.24"/>
    <n v="-7.13"/>
    <n v="0"/>
    <n v="0"/>
    <n v="39.840000000000003"/>
    <n v="23.2"/>
    <n v="-5.46"/>
    <n v="1776.3799999999999"/>
    <n v="28.66"/>
  </r>
  <r>
    <x v="5"/>
    <x v="6"/>
    <x v="0"/>
    <s v="4400107"/>
    <n v="700032"/>
    <s v="Salaries-Other Pat Care Providers-Productive"/>
    <s v="Surgery-Bremerton"/>
    <x v="0"/>
    <m/>
    <n v="1017.43"/>
    <n v="2163.87"/>
    <n v="2144.02"/>
    <n v="2718.23"/>
    <n v="-98.27"/>
    <n v="930.39"/>
    <n v="-116.25"/>
    <n v="0"/>
    <n v="0"/>
    <n v="141.16999999999999"/>
    <n v="242.91"/>
    <n v="322.27"/>
    <n v="9465.7699999999986"/>
    <n v="-79.359999999999985"/>
  </r>
  <r>
    <x v="5"/>
    <x v="6"/>
    <x v="0"/>
    <s v="4400107"/>
    <n v="700032"/>
    <s v="Salaries-Other Pat Care Providers-OT"/>
    <s v="Surgery-Bremerton"/>
    <x v="0"/>
    <n v="1000"/>
    <n v="267.3"/>
    <n v="221.49"/>
    <n v="190.23"/>
    <n v="58.54"/>
    <n v="34.9"/>
    <n v="18.010000000000002"/>
    <n v="-2.25"/>
    <n v="0"/>
    <n v="0"/>
    <n v="62.27"/>
    <n v="-25.94"/>
    <n v="0"/>
    <n v="824.54999999999984"/>
    <n v="-25.94"/>
  </r>
  <r>
    <x v="5"/>
    <x v="6"/>
    <x v="0"/>
    <s v="4400107"/>
    <n v="700032"/>
    <s v="Salaries-Other Pat Care Providers-Other"/>
    <s v="Surgery-Bremerton"/>
    <x v="0"/>
    <n v="2000"/>
    <n v="0"/>
    <n v="0"/>
    <n v="0"/>
    <n v="21.08"/>
    <n v="-9.27"/>
    <n v="0"/>
    <n v="0"/>
    <n v="0"/>
    <n v="0"/>
    <n v="0"/>
    <n v="0"/>
    <n v="0"/>
    <n v="11.809999999999999"/>
    <n v="0"/>
  </r>
  <r>
    <x v="5"/>
    <x v="6"/>
    <x v="0"/>
    <s v="4400107"/>
    <n v="700034"/>
    <s v="Salaries-Tech/Professional-Productive"/>
    <s v="Surgery-Bremerton"/>
    <x v="0"/>
    <m/>
    <n v="45194.559999999998"/>
    <n v="52826.5"/>
    <n v="52264.99"/>
    <n v="37320.620000000003"/>
    <n v="42716.01"/>
    <n v="37715.56"/>
    <n v="34961.160000000003"/>
    <n v="35324.620000000003"/>
    <n v="41476.480000000003"/>
    <n v="33979.97"/>
    <n v="35817.370000000003"/>
    <n v="41356.910000000003"/>
    <n v="490954.75"/>
    <n v="-5539.5400000000009"/>
  </r>
  <r>
    <x v="5"/>
    <x v="6"/>
    <x v="0"/>
    <s v="4400107"/>
    <n v="700034"/>
    <s v="Salaries-Tech/Professional-OT"/>
    <s v="Surgery-Bremerton"/>
    <x v="0"/>
    <n v="1000"/>
    <n v="1951.06"/>
    <n v="2385.09"/>
    <n v="5584.34"/>
    <n v="3636.62"/>
    <n v="1217.95"/>
    <n v="2568.04"/>
    <n v="2238.27"/>
    <n v="1711"/>
    <n v="2727.52"/>
    <n v="1512.98"/>
    <n v="5598.02"/>
    <n v="1848.52"/>
    <n v="32979.410000000003"/>
    <n v="3749.5000000000005"/>
  </r>
  <r>
    <x v="5"/>
    <x v="6"/>
    <x v="0"/>
    <s v="4400107"/>
    <n v="700034"/>
    <s v="Salaries-Tech/Professional-Other"/>
    <s v="Surgery-Bremerton"/>
    <x v="0"/>
    <n v="2000"/>
    <n v="5075.55"/>
    <n v="4952.2700000000004"/>
    <n v="5344.78"/>
    <n v="4779.71"/>
    <n v="5221.53"/>
    <n v="6112.26"/>
    <n v="5363.28"/>
    <n v="4870.7299999999996"/>
    <n v="5129.3"/>
    <n v="3775.52"/>
    <n v="4334.3599999999997"/>
    <n v="4711.62"/>
    <n v="59670.91"/>
    <n v="-377.26000000000022"/>
  </r>
  <r>
    <x v="5"/>
    <x v="6"/>
    <x v="0"/>
    <s v="4400107"/>
    <n v="700038"/>
    <s v="Salaries-Service/Support-Productive"/>
    <s v="Surgery-Bremerton"/>
    <x v="0"/>
    <m/>
    <n v="24577.54"/>
    <n v="22537.33"/>
    <n v="26657.13"/>
    <n v="23944.880000000001"/>
    <n v="24534.43"/>
    <n v="25562.62"/>
    <n v="28025.91"/>
    <n v="24467.21"/>
    <n v="31003.8"/>
    <n v="25693.279999999999"/>
    <n v="28434.77"/>
    <n v="32892.629999999997"/>
    <n v="318331.52999999997"/>
    <n v="-4457.8599999999969"/>
  </r>
  <r>
    <x v="5"/>
    <x v="6"/>
    <x v="0"/>
    <s v="4400107"/>
    <n v="700038"/>
    <s v="Salaries-Service/Support-OT"/>
    <s v="Surgery-Bremerton"/>
    <x v="0"/>
    <n v="1000"/>
    <n v="806.79"/>
    <n v="801.73"/>
    <n v="1579.73"/>
    <n v="312.64"/>
    <n v="731.88"/>
    <n v="813.58"/>
    <n v="1204.02"/>
    <n v="1140.92"/>
    <n v="983.61"/>
    <n v="1478"/>
    <n v="597.72"/>
    <n v="1947.61"/>
    <n v="12398.23"/>
    <n v="-1349.8899999999999"/>
  </r>
  <r>
    <x v="5"/>
    <x v="6"/>
    <x v="0"/>
    <s v="4400107"/>
    <n v="700038"/>
    <s v="Salaries-Service/Support-Other"/>
    <s v="Surgery-Bremerton"/>
    <x v="0"/>
    <n v="2000"/>
    <n v="1319.84"/>
    <n v="981.52"/>
    <n v="1396.87"/>
    <n v="966.79"/>
    <n v="1122.06"/>
    <n v="1288.56"/>
    <n v="1064.82"/>
    <n v="1308.54"/>
    <n v="1316.61"/>
    <n v="819.62"/>
    <n v="1275.01"/>
    <n v="1151.23"/>
    <n v="14011.470000000001"/>
    <n v="123.77999999999997"/>
  </r>
  <r>
    <x v="5"/>
    <x v="6"/>
    <x v="0"/>
    <s v="4400107"/>
    <n v="700054"/>
    <s v="Salaries-Management-Non-productive"/>
    <s v="Surgery-Bremerton"/>
    <x v="0"/>
    <m/>
    <n v="642.30999999999995"/>
    <n v="0"/>
    <n v="2569.23"/>
    <n v="0"/>
    <n v="1384"/>
    <n v="4011.98"/>
    <n v="560.79999999999995"/>
    <n v="2662.92"/>
    <n v="-700.7"/>
    <n v="1121.18"/>
    <n v="841.02"/>
    <n v="1308.1400000000001"/>
    <n v="14400.88"/>
    <n v="-467.12000000000012"/>
  </r>
  <r>
    <x v="5"/>
    <x v="6"/>
    <x v="0"/>
    <s v="4400107"/>
    <n v="700054"/>
    <s v="Salaries-Management-NonProd-Other"/>
    <s v="Surgery-Bremerton"/>
    <x v="0"/>
    <n v="2000"/>
    <n v="0"/>
    <n v="0"/>
    <n v="0"/>
    <n v="0"/>
    <n v="0"/>
    <n v="1525"/>
    <n v="-1525"/>
    <n v="0"/>
    <n v="0"/>
    <n v="0"/>
    <n v="0"/>
    <n v="0"/>
    <n v="0"/>
    <n v="0"/>
  </r>
  <r>
    <x v="5"/>
    <x v="6"/>
    <x v="0"/>
    <s v="4400107"/>
    <n v="700058"/>
    <s v="Salaries-Supervisory-Non-productive"/>
    <s v="Surgery-Bremerton"/>
    <x v="0"/>
    <m/>
    <n v="5618.46"/>
    <n v="-488.22"/>
    <n v="0"/>
    <n v="3922.11"/>
    <n v="-1725.71"/>
    <n v="1443.29"/>
    <n v="314.47000000000003"/>
    <n v="597"/>
    <n v="534.20000000000005"/>
    <n v="-251.36"/>
    <n v="0"/>
    <n v="5719.01"/>
    <n v="15683.25"/>
    <n v="-5719.01"/>
  </r>
  <r>
    <x v="5"/>
    <x v="6"/>
    <x v="0"/>
    <s v="4400107"/>
    <n v="700066"/>
    <s v="Salaries-RN-Non-productive"/>
    <s v="Surgery-Bremerton"/>
    <x v="0"/>
    <m/>
    <n v="14621.15"/>
    <n v="18898.330000000002"/>
    <n v="13666.73"/>
    <n v="12442.4"/>
    <n v="8524.65"/>
    <n v="20757.89"/>
    <n v="7998.49"/>
    <n v="12450.41"/>
    <n v="9536.86"/>
    <n v="18023.7"/>
    <n v="9729.6299999999992"/>
    <n v="8599.56"/>
    <n v="155249.80000000002"/>
    <n v="1130.0699999999997"/>
  </r>
  <r>
    <x v="5"/>
    <x v="6"/>
    <x v="0"/>
    <s v="4400107"/>
    <n v="700066"/>
    <s v="Salaries-RN-NonProd-Other"/>
    <s v="Surgery-Bremerton"/>
    <x v="0"/>
    <n v="2000"/>
    <n v="2312.4299999999998"/>
    <n v="1277.32"/>
    <n v="1422.9"/>
    <n v="2038.48"/>
    <n v="1303.06"/>
    <n v="1972.48"/>
    <n v="1141.03"/>
    <n v="1084.8599999999999"/>
    <n v="1432.78"/>
    <n v="1726.8"/>
    <n v="2204.0100000000002"/>
    <n v="1526.12"/>
    <n v="19442.27"/>
    <n v="677.89000000000033"/>
  </r>
  <r>
    <x v="5"/>
    <x v="6"/>
    <x v="0"/>
    <s v="4400107"/>
    <n v="700070"/>
    <s v="Salaries-LPN-Non-productive"/>
    <s v="Surgery-Bremerton"/>
    <x v="0"/>
    <m/>
    <n v="1239.52"/>
    <n v="768.45"/>
    <n v="1645.67"/>
    <n v="-32.729999999999997"/>
    <n v="901.19"/>
    <n v="262"/>
    <n v="659.74"/>
    <n v="755.29"/>
    <n v="960.88"/>
    <n v="1573.66"/>
    <n v="2815.07"/>
    <n v="-29.63"/>
    <n v="11519.11"/>
    <n v="2844.7000000000003"/>
  </r>
  <r>
    <x v="5"/>
    <x v="6"/>
    <x v="0"/>
    <s v="4400107"/>
    <n v="700070"/>
    <s v="Salaries-LPN-NonProd-Other"/>
    <s v="Surgery-Bremerton"/>
    <x v="0"/>
    <n v="2000"/>
    <n v="131.24"/>
    <n v="171.87"/>
    <n v="375.74"/>
    <n v="407.54"/>
    <n v="116.89"/>
    <n v="144.91999999999999"/>
    <n v="-1.58"/>
    <n v="68.349999999999994"/>
    <n v="5.73"/>
    <n v="22.15"/>
    <n v="383.46"/>
    <n v="222.75"/>
    <n v="2049.0600000000004"/>
    <n v="160.70999999999998"/>
  </r>
  <r>
    <x v="5"/>
    <x v="6"/>
    <x v="0"/>
    <s v="4400107"/>
    <n v="700072"/>
    <s v="Salaries-Other Pat Care Providers-Non-productive"/>
    <s v="Surgery-Bremerton"/>
    <x v="0"/>
    <m/>
    <n v="2701.21"/>
    <n v="-180.01"/>
    <n v="0"/>
    <n v="0"/>
    <n v="0"/>
    <n v="192.08"/>
    <n v="-24"/>
    <n v="0"/>
    <n v="0"/>
    <n v="0"/>
    <n v="0"/>
    <n v="0"/>
    <n v="2689.2799999999997"/>
    <n v="0"/>
  </r>
  <r>
    <x v="5"/>
    <x v="6"/>
    <x v="0"/>
    <s v="4400107"/>
    <n v="700072"/>
    <s v="Salaries-Other Pat Care Providers-NonProd-Other"/>
    <s v="Surgery-Bremerton"/>
    <x v="0"/>
    <n v="2000"/>
    <n v="65.56"/>
    <n v="220.02"/>
    <n v="1149"/>
    <n v="-7.71"/>
    <n v="0"/>
    <n v="0"/>
    <n v="0"/>
    <n v="0"/>
    <n v="0"/>
    <n v="0"/>
    <n v="0"/>
    <n v="0"/>
    <n v="1426.87"/>
    <n v="0"/>
  </r>
  <r>
    <x v="5"/>
    <x v="6"/>
    <x v="0"/>
    <s v="4400107"/>
    <n v="700074"/>
    <s v="Salaries-Tech/Professional-Non-productive"/>
    <s v="Surgery-Bremerton"/>
    <x v="0"/>
    <m/>
    <n v="6814.45"/>
    <n v="3389.74"/>
    <n v="4349.3999999999996"/>
    <n v="1899.46"/>
    <n v="6382.89"/>
    <n v="9756.99"/>
    <n v="4513.7"/>
    <n v="3946.03"/>
    <n v="3461.53"/>
    <n v="3848.94"/>
    <n v="3803.22"/>
    <n v="2276.15"/>
    <n v="54442.5"/>
    <n v="1527.0699999999997"/>
  </r>
  <r>
    <x v="5"/>
    <x v="6"/>
    <x v="0"/>
    <s v="4400107"/>
    <n v="700074"/>
    <s v="Salaries-Tech/Professional-NonProd-Other"/>
    <s v="Surgery-Bremerton"/>
    <x v="0"/>
    <n v="2000"/>
    <n v="903.6"/>
    <n v="1121.25"/>
    <n v="1543.61"/>
    <n v="707.05"/>
    <n v="1231.4100000000001"/>
    <n v="1212.3599999999999"/>
    <n v="514.22"/>
    <n v="749.11"/>
    <n v="703.03"/>
    <n v="674.54"/>
    <n v="841.61"/>
    <n v="1202.55"/>
    <n v="11404.34"/>
    <n v="-360.93999999999994"/>
  </r>
  <r>
    <x v="5"/>
    <x v="6"/>
    <x v="0"/>
    <s v="4400107"/>
    <n v="700078"/>
    <s v="Salaries-Service/Support-Non-productive"/>
    <s v="Surgery-Bremerton"/>
    <x v="0"/>
    <m/>
    <n v="6104.03"/>
    <n v="5106.8599999999997"/>
    <n v="3387.1"/>
    <n v="1887.23"/>
    <n v="4217.29"/>
    <n v="6769.16"/>
    <n v="2771.43"/>
    <n v="5118.17"/>
    <n v="2966.72"/>
    <n v="2727.27"/>
    <n v="4875.67"/>
    <n v="2910.24"/>
    <n v="48841.17"/>
    <n v="1965.4300000000003"/>
  </r>
  <r>
    <x v="5"/>
    <x v="6"/>
    <x v="0"/>
    <s v="4400107"/>
    <n v="700078"/>
    <s v="Salaries-Service/Support-NonProd-Other"/>
    <s v="Surgery-Bremerton"/>
    <x v="0"/>
    <n v="2000"/>
    <n v="81.13"/>
    <n v="258.24"/>
    <n v="615.73"/>
    <n v="213.34"/>
    <n v="43.84"/>
    <n v="316.02"/>
    <n v="286.52"/>
    <n v="329.45"/>
    <n v="60.35"/>
    <n v="309.85000000000002"/>
    <n v="20.64"/>
    <n v="244.14"/>
    <n v="2779.2499999999995"/>
    <n v="-223.5"/>
  </r>
  <r>
    <x v="5"/>
    <x v="6"/>
    <x v="0"/>
    <s v="4400107"/>
    <n v="700084"/>
    <s v="Accrued PTO"/>
    <s v="Surgery-Bremerton"/>
    <x v="0"/>
    <m/>
    <n v="-7193.01"/>
    <n v="5626.29"/>
    <n v="2487.58"/>
    <n v="2091.6"/>
    <n v="6607.97"/>
    <n v="-12525.13"/>
    <n v="4326.3500000000004"/>
    <n v="651.42999999999995"/>
    <n v="6687.16"/>
    <n v="969.24"/>
    <n v="2905.65"/>
    <n v="6985.88"/>
    <n v="19621.010000000002"/>
    <n v="-4080.23"/>
  </r>
  <r>
    <x v="10"/>
    <x v="6"/>
    <x v="0"/>
    <s v="4400107"/>
    <n v="710060"/>
    <s v="Contract Labor-Other"/>
    <s v="Surgery-Bremerton"/>
    <x v="0"/>
    <m/>
    <n v="11398.75"/>
    <n v="64853.75"/>
    <n v="14038.75"/>
    <n v="31233"/>
    <n v="53479.02"/>
    <n v="26428.25"/>
    <n v="27394.99"/>
    <n v="28452.5"/>
    <n v="42310.26"/>
    <n v="54337.760000000002"/>
    <n v="30087.47"/>
    <n v="31049.5"/>
    <n v="415064"/>
    <n v="-962.02999999999884"/>
  </r>
  <r>
    <x v="10"/>
    <x v="6"/>
    <x v="0"/>
    <s v="4400107"/>
    <n v="710060"/>
    <s v="Contract Labor-Overtime"/>
    <s v="Surgery-Bremerton"/>
    <x v="0"/>
    <n v="5100"/>
    <n v="1601.44"/>
    <n v="10973.82"/>
    <n v="3619.7"/>
    <n v="4975.41"/>
    <n v="9363.91"/>
    <n v="8224.2099999999991"/>
    <n v="4406.7700000000004"/>
    <n v="2220.75"/>
    <n v="2764.12"/>
    <n v="5361.19"/>
    <n v="6770.62"/>
    <n v="10769.63"/>
    <n v="71051.570000000007"/>
    <n v="-3999.0099999999993"/>
  </r>
  <r>
    <x v="10"/>
    <x v="6"/>
    <x v="0"/>
    <s v="4400107"/>
    <n v="710060"/>
    <s v="Contract Labor-Standby Wages"/>
    <s v="Surgery-Bremerton"/>
    <x v="0"/>
    <n v="5101"/>
    <n v="1222"/>
    <n v="6758"/>
    <n v="784"/>
    <n v="3408"/>
    <n v="4078"/>
    <n v="1806"/>
    <n v="2756"/>
    <n v="2132"/>
    <n v="1838"/>
    <n v="5258"/>
    <n v="2678"/>
    <n v="2708"/>
    <n v="35426"/>
    <n v="-30"/>
  </r>
  <r>
    <x v="6"/>
    <x v="6"/>
    <x v="0"/>
    <s v="4400107"/>
    <n v="713010"/>
    <s v="Benefits-FICA/Medicare"/>
    <s v="Surgery-Bremerton"/>
    <x v="0"/>
    <m/>
    <n v="20392.04"/>
    <n v="19527.68"/>
    <n v="21351.200000000001"/>
    <n v="12808.01"/>
    <n v="15667.19"/>
    <n v="16472.77"/>
    <n v="17111.73"/>
    <n v="16325.33"/>
    <n v="18095.45"/>
    <n v="16697.41"/>
    <n v="18144.349999999999"/>
    <n v="17361.009999999998"/>
    <n v="209954.17"/>
    <n v="783.34000000000015"/>
  </r>
  <r>
    <x v="6"/>
    <x v="6"/>
    <x v="0"/>
    <s v="4400107"/>
    <n v="713090"/>
    <s v="Benefits-Allocated Amounts"/>
    <s v="Surgery-Bremerton"/>
    <x v="0"/>
    <m/>
    <n v="43252.83"/>
    <n v="36847.47"/>
    <n v="43876.23"/>
    <n v="31746.12"/>
    <n v="42321.77"/>
    <n v="37984.699999999997"/>
    <n v="36878.44"/>
    <n v="36694.93"/>
    <n v="32283.11"/>
    <n v="39321.86"/>
    <n v="37740.71"/>
    <n v="43729.97"/>
    <n v="462678.14"/>
    <n v="-5989.260000000002"/>
  </r>
  <r>
    <x v="6"/>
    <x v="6"/>
    <x v="0"/>
    <s v="4400107"/>
    <n v="713096"/>
    <s v="Employee Recognition"/>
    <s v="Surgery-Bremerton"/>
    <x v="0"/>
    <n v="1017"/>
    <n v="0"/>
    <n v="0"/>
    <n v="1257.75"/>
    <n v="442.03"/>
    <n v="0"/>
    <n v="159.83000000000001"/>
    <n v="0"/>
    <n v="0"/>
    <n v="0"/>
    <n v="0"/>
    <n v="0"/>
    <n v="0"/>
    <n v="1859.61"/>
    <n v="0"/>
  </r>
  <r>
    <x v="17"/>
    <x v="6"/>
    <x v="0"/>
    <s v="4400107"/>
    <n v="714510"/>
    <s v="Medical Director Fees"/>
    <s v="Surgery-Bremerton"/>
    <x v="0"/>
    <m/>
    <n v="9737.5"/>
    <n v="11000.5"/>
    <n v="21080"/>
    <n v="6250"/>
    <n v="1000"/>
    <n v="10300"/>
    <n v="1000"/>
    <n v="22675"/>
    <n v="6710.5"/>
    <n v="11050"/>
    <n v="1000"/>
    <n v="11500"/>
    <n v="113303.5"/>
    <n v="-10500"/>
  </r>
  <r>
    <x v="17"/>
    <x v="6"/>
    <x v="0"/>
    <s v="4400107"/>
    <n v="714530"/>
    <s v="Medical Prof Fees-Intracompany"/>
    <s v="Surgery-Bremerton"/>
    <x v="0"/>
    <m/>
    <n v="152313.72"/>
    <n v="192880.96"/>
    <n v="186848.09"/>
    <n v="255614.85"/>
    <n v="96270.53"/>
    <n v="177347.32"/>
    <n v="276678.63"/>
    <n v="189266.43"/>
    <n v="829338.66"/>
    <n v="157281.26"/>
    <n v="267051.99"/>
    <n v="642536.39"/>
    <n v="3423428.8300000005"/>
    <n v="-375484.4"/>
  </r>
  <r>
    <x v="7"/>
    <x v="6"/>
    <x v="0"/>
    <s v="4400107"/>
    <n v="718050"/>
    <s v="Contract Svcs-Other"/>
    <s v="Surgery-Bremerton"/>
    <x v="0"/>
    <m/>
    <n v="0"/>
    <n v="3106.5"/>
    <n v="192.1"/>
    <n v="0"/>
    <n v="0"/>
    <n v="1433.84"/>
    <n v="0"/>
    <n v="214.77"/>
    <n v="0"/>
    <n v="0"/>
    <n v="0"/>
    <n v="4175"/>
    <n v="9122.2099999999991"/>
    <n v="-4175"/>
  </r>
  <r>
    <x v="7"/>
    <x v="6"/>
    <x v="0"/>
    <s v="4400107"/>
    <n v="718050"/>
    <s v="Miscellaneous Purchased Svcs"/>
    <s v="Surgery-Bremerton"/>
    <x v="0"/>
    <n v="1020"/>
    <n v="1123.05"/>
    <n v="0"/>
    <n v="35962.870000000003"/>
    <n v="33283.629999999997"/>
    <n v="4082.4"/>
    <n v="0"/>
    <n v="20700"/>
    <n v="0"/>
    <n v="-15588.8"/>
    <n v="0"/>
    <n v="2391.12"/>
    <n v="0"/>
    <n v="81954.26999999999"/>
    <n v="2391.12"/>
  </r>
  <r>
    <x v="7"/>
    <x v="6"/>
    <x v="0"/>
    <s v="4400107"/>
    <n v="718050"/>
    <s v="Contract Management--Linen"/>
    <s v="Surgery-Bremerton"/>
    <x v="0"/>
    <n v="1026"/>
    <n v="5685.67"/>
    <n v="6046.43"/>
    <n v="7005.78"/>
    <n v="6452.7"/>
    <n v="6619.13"/>
    <n v="5137.33"/>
    <n v="6429.83"/>
    <n v="7215.08"/>
    <n v="11517.94"/>
    <n v="8477.68"/>
    <n v="6516.31"/>
    <n v="9579.16"/>
    <n v="86683.040000000008"/>
    <n v="-3062.8499999999995"/>
  </r>
  <r>
    <x v="7"/>
    <x v="6"/>
    <x v="0"/>
    <s v="4400107"/>
    <n v="718070"/>
    <s v="Contract Srvcs-CHI Clinical Engineering"/>
    <s v="Surgery-Bremerton"/>
    <x v="0"/>
    <m/>
    <n v="20608.34"/>
    <n v="19538.43"/>
    <n v="19254.77"/>
    <n v="19422.009999999998"/>
    <n v="19535.919999999998"/>
    <n v="18384.68"/>
    <n v="19511.47"/>
    <n v="21566.13"/>
    <n v="19579.48"/>
    <n v="19443.46"/>
    <n v="19219.57"/>
    <n v="20408.59"/>
    <n v="236472.85"/>
    <n v="-1189.0200000000004"/>
  </r>
  <r>
    <x v="7"/>
    <x v="6"/>
    <x v="0"/>
    <s v="4400107"/>
    <n v="718091"/>
    <s v="Contract Services-Intracompany Allocation"/>
    <s v="Surgery-Bremerton"/>
    <x v="0"/>
    <m/>
    <n v="12973.54"/>
    <n v="12184.49"/>
    <n v="11529.05"/>
    <n v="14500.35"/>
    <n v="12585.18"/>
    <n v="11228.05"/>
    <n v="13410.55"/>
    <n v="11370.61"/>
    <n v="14498.97"/>
    <n v="13518.17"/>
    <n v="13045.69"/>
    <n v="12256.69"/>
    <n v="153101.34"/>
    <n v="789"/>
  </r>
  <r>
    <x v="11"/>
    <x v="6"/>
    <x v="0"/>
    <s v="4400107"/>
    <n v="721010"/>
    <s v="Supplies-Medical - Billable"/>
    <s v="Surgery-Bremerton"/>
    <x v="0"/>
    <m/>
    <n v="23644.68"/>
    <n v="18984.099999999999"/>
    <n v="27374.07"/>
    <n v="25309.94"/>
    <n v="17505.57"/>
    <n v="20886.3"/>
    <n v="28586.240000000002"/>
    <n v="21918.5"/>
    <n v="23313.45"/>
    <n v="22655.33"/>
    <n v="29394.77"/>
    <n v="35171.760000000002"/>
    <n v="294744.70999999996"/>
    <n v="-5776.9900000000016"/>
  </r>
  <r>
    <x v="11"/>
    <x v="6"/>
    <x v="0"/>
    <s v="4400107"/>
    <n v="721010"/>
    <s v="Patient Monitoring"/>
    <s v="Surgery-Bremerton"/>
    <x v="0"/>
    <n v="1000"/>
    <n v="10971.9"/>
    <n v="10095.68"/>
    <n v="13380.79"/>
    <n v="10856.36"/>
    <n v="11228.29"/>
    <n v="6497.17"/>
    <n v="12889.08"/>
    <n v="5650.2"/>
    <n v="12516.77"/>
    <n v="9459.3700000000008"/>
    <n v="12442.51"/>
    <n v="13951.42"/>
    <n v="129939.54"/>
    <n v="-1508.9099999999999"/>
  </r>
  <r>
    <x v="11"/>
    <x v="6"/>
    <x v="0"/>
    <s v="4400107"/>
    <n v="721020"/>
    <s v="Supplies-Surgical - Billable"/>
    <s v="Surgery-Bremerton"/>
    <x v="0"/>
    <m/>
    <n v="184146.35"/>
    <n v="120787.11"/>
    <n v="111267.02"/>
    <n v="154932.07999999999"/>
    <n v="131155.68"/>
    <n v="163236.89000000001"/>
    <n v="166515.20000000001"/>
    <n v="149480.60999999999"/>
    <n v="159467.46"/>
    <n v="144085.23000000001"/>
    <n v="159707.63"/>
    <n v="135579.9"/>
    <n v="1780361.1599999997"/>
    <n v="24127.73000000001"/>
  </r>
  <r>
    <x v="11"/>
    <x v="6"/>
    <x v="0"/>
    <s v="4400107"/>
    <n v="721020"/>
    <s v="Custom Packs"/>
    <s v="Surgery-Bremerton"/>
    <x v="0"/>
    <n v="1000"/>
    <n v="13620.44"/>
    <n v="15289.35"/>
    <n v="12470.58"/>
    <n v="15128.77"/>
    <n v="15227.57"/>
    <n v="11775.8"/>
    <n v="15848.23"/>
    <n v="13292.51"/>
    <n v="14672.53"/>
    <n v="14410.12"/>
    <n v="17650.62"/>
    <n v="15388.07"/>
    <n v="174774.59"/>
    <n v="2262.5499999999993"/>
  </r>
  <r>
    <x v="11"/>
    <x v="6"/>
    <x v="0"/>
    <s v="4400107"/>
    <n v="721020"/>
    <s v="Suture/Wound Closure"/>
    <s v="Surgery-Bremerton"/>
    <x v="0"/>
    <n v="1001"/>
    <n v="42904.67"/>
    <n v="66091.44"/>
    <n v="71787.520000000004"/>
    <n v="34706.33"/>
    <n v="43443.46"/>
    <n v="36434.79"/>
    <n v="48592.61"/>
    <n v="41807.68"/>
    <n v="52916.68"/>
    <n v="53039.38"/>
    <n v="33589.97"/>
    <n v="40705.269999999997"/>
    <n v="566019.80000000005"/>
    <n v="-7115.2999999999956"/>
  </r>
  <r>
    <x v="11"/>
    <x v="6"/>
    <x v="0"/>
    <s v="4400107"/>
    <n v="721020"/>
    <s v="Endoscopy - Trocars &amp; Accessories"/>
    <s v="Surgery-Bremerton"/>
    <x v="0"/>
    <n v="1002"/>
    <n v="10885.34"/>
    <n v="8382.7000000000007"/>
    <n v="8795.16"/>
    <n v="11033.83"/>
    <n v="6859.14"/>
    <n v="8121.59"/>
    <n v="7314.32"/>
    <n v="6255.02"/>
    <n v="5390.16"/>
    <n v="6460.02"/>
    <n v="11186.92"/>
    <n v="5697.26"/>
    <n v="96381.459999999992"/>
    <n v="5489.66"/>
  </r>
  <r>
    <x v="11"/>
    <x v="6"/>
    <x v="0"/>
    <s v="4400107"/>
    <n v="721020"/>
    <s v="Endomechanical Supplies &amp; Instruments"/>
    <s v="Surgery-Bremerton"/>
    <x v="0"/>
    <n v="1003"/>
    <n v="296558.84999999998"/>
    <n v="201703.47"/>
    <n v="77803.289999999994"/>
    <n v="163667.66"/>
    <n v="137101.07"/>
    <n v="107916.83"/>
    <n v="103004.08"/>
    <n v="105968.21"/>
    <n v="140125.26"/>
    <n v="114641.47"/>
    <n v="137543.49"/>
    <n v="105671.61"/>
    <n v="1691705.29"/>
    <n v="31871.87999999999"/>
  </r>
  <r>
    <x v="11"/>
    <x v="6"/>
    <x v="0"/>
    <s v="4400107"/>
    <n v="721020"/>
    <s v="Bone Cement &amp; Supplies"/>
    <s v="Surgery-Bremerton"/>
    <x v="0"/>
    <n v="1004"/>
    <n v="3376.87"/>
    <n v="3073.09"/>
    <n v="5677.84"/>
    <n v="662.44"/>
    <n v="4565.26"/>
    <n v="278.39999999999998"/>
    <n v="2225.2600000000002"/>
    <n v="3891.06"/>
    <n v="1541.81"/>
    <n v="358.99"/>
    <n v="3182.69"/>
    <n v="631.79"/>
    <n v="29465.500000000007"/>
    <n v="2550.9"/>
  </r>
  <r>
    <x v="11"/>
    <x v="6"/>
    <x v="0"/>
    <s v="4400107"/>
    <n v="721020"/>
    <s v="Heart/Lung Machine Supplies"/>
    <s v="Surgery-Bremerton"/>
    <x v="0"/>
    <n v="1005"/>
    <n v="20290.41"/>
    <n v="21020.27"/>
    <n v="22116.21"/>
    <n v="16390.810000000001"/>
    <n v="24396.1"/>
    <n v="14758.59"/>
    <n v="21631.8"/>
    <n v="15458.4"/>
    <n v="17863.5"/>
    <n v="15947.9"/>
    <n v="20469.310000000001"/>
    <n v="24321.31"/>
    <n v="234664.60999999996"/>
    <n v="-3852"/>
  </r>
  <r>
    <x v="11"/>
    <x v="6"/>
    <x v="0"/>
    <s v="4400107"/>
    <n v="721020"/>
    <s v="Urological Supplies"/>
    <s v="Surgery-Bremerton"/>
    <x v="0"/>
    <n v="1006"/>
    <n v="25553.86"/>
    <n v="18221.43"/>
    <n v="18234.150000000001"/>
    <n v="13770.62"/>
    <n v="10635.49"/>
    <n v="16481.64"/>
    <n v="22599.16"/>
    <n v="31628.85"/>
    <n v="8644.73"/>
    <n v="8850.18"/>
    <n v="20960.64"/>
    <n v="17427.240000000002"/>
    <n v="213007.99"/>
    <n v="3533.3999999999978"/>
  </r>
  <r>
    <x v="11"/>
    <x v="6"/>
    <x v="0"/>
    <s v="4400107"/>
    <n v="721020"/>
    <s v="Surgical Cardiovascular"/>
    <s v="Surgery-Bremerton"/>
    <x v="0"/>
    <n v="1007"/>
    <n v="1657.4"/>
    <n v="4763.84"/>
    <n v="4288.26"/>
    <n v="2115.8000000000002"/>
    <n v="5661.9"/>
    <n v="1327.81"/>
    <n v="3693.03"/>
    <n v="1930.41"/>
    <n v="2860.54"/>
    <n v="2814.61"/>
    <n v="8477.83"/>
    <n v="6742.15"/>
    <n v="46333.58"/>
    <n v="1735.6800000000003"/>
  </r>
  <r>
    <x v="11"/>
    <x v="6"/>
    <x v="0"/>
    <s v="4400107"/>
    <n v="721020"/>
    <s v="Tubes Drains &amp; Related Supplies"/>
    <s v="Surgery-Bremerton"/>
    <x v="0"/>
    <n v="1008"/>
    <n v="25.23"/>
    <n v="1962.03"/>
    <n v="0"/>
    <n v="-28.62"/>
    <n v="25.18"/>
    <n v="0"/>
    <n v="0"/>
    <n v="0"/>
    <n v="99.12"/>
    <n v="0"/>
    <n v="27.55"/>
    <n v="191.7"/>
    <n v="2302.19"/>
    <n v="-164.14999999999998"/>
  </r>
  <r>
    <x v="11"/>
    <x v="6"/>
    <x v="0"/>
    <s v="4400107"/>
    <n v="721050"/>
    <s v="Supplies-Cardiac Rhythm - Billable"/>
    <s v="Surgery-Bremerton"/>
    <x v="0"/>
    <m/>
    <n v="11740.7"/>
    <n v="9961.2099999999991"/>
    <n v="3419.09"/>
    <n v="7762.88"/>
    <n v="7637.19"/>
    <n v="16359.24"/>
    <n v="12515.05"/>
    <n v="6539.03"/>
    <n v="9933.6299999999992"/>
    <n v="9484.6299999999992"/>
    <n v="12246.73"/>
    <n v="10732.96"/>
    <n v="118332.34"/>
    <n v="1513.7700000000004"/>
  </r>
  <r>
    <x v="11"/>
    <x v="6"/>
    <x v="0"/>
    <s v="4400107"/>
    <n v="721050"/>
    <s v="Pacemakers - Internal"/>
    <s v="Surgery-Bremerton"/>
    <x v="0"/>
    <n v="1000"/>
    <n v="14904"/>
    <n v="0"/>
    <n v="0"/>
    <n v="2221"/>
    <n v="0"/>
    <n v="1090"/>
    <n v="-90"/>
    <n v="0"/>
    <n v="15451"/>
    <n v="0"/>
    <n v="8430"/>
    <n v="0"/>
    <n v="42006"/>
    <n v="8430"/>
  </r>
  <r>
    <x v="11"/>
    <x v="6"/>
    <x v="0"/>
    <s v="4400107"/>
    <n v="721060"/>
    <s v="Supplies-Heart Valves - Billable"/>
    <s v="Surgery-Bremerton"/>
    <x v="0"/>
    <m/>
    <n v="80145"/>
    <n v="104450"/>
    <n v="63555"/>
    <n v="16175"/>
    <n v="17640"/>
    <n v="25700"/>
    <n v="64375"/>
    <n v="13190"/>
    <n v="-42545"/>
    <n v="9500"/>
    <n v="27750"/>
    <n v="34350"/>
    <n v="414285"/>
    <n v="-6600"/>
  </r>
  <r>
    <x v="11"/>
    <x v="6"/>
    <x v="0"/>
    <s v="4400107"/>
    <n v="721070"/>
    <s v="Supplies-Stents - Billable"/>
    <s v="Surgery-Bremerton"/>
    <x v="0"/>
    <m/>
    <n v="0"/>
    <n v="5569.83"/>
    <n v="7849.5"/>
    <n v="38.31"/>
    <n v="11010.5"/>
    <n v="10700"/>
    <n v="4278"/>
    <n v="2450"/>
    <n v="0"/>
    <n v="7050"/>
    <n v="2450"/>
    <n v="12173"/>
    <n v="63569.14"/>
    <n v="-9723"/>
  </r>
  <r>
    <x v="11"/>
    <x v="6"/>
    <x v="0"/>
    <s v="4400107"/>
    <n v="721070"/>
    <s v="Peripheral Stents"/>
    <s v="Surgery-Bremerton"/>
    <x v="0"/>
    <n v="1001"/>
    <n v="11951.4"/>
    <n v="17029"/>
    <n v="6987"/>
    <n v="15373"/>
    <n v="-294.83999999999997"/>
    <n v="10761.72"/>
    <n v="5930"/>
    <n v="15008.12"/>
    <n v="6987"/>
    <n v="11900.88"/>
    <n v="2965"/>
    <n v="9635"/>
    <n v="114233.28"/>
    <n v="-6670"/>
  </r>
  <r>
    <x v="11"/>
    <x v="6"/>
    <x v="0"/>
    <s v="4400107"/>
    <n v="721110"/>
    <s v="Supplies-Grafts - Billable"/>
    <s v="Surgery-Bremerton"/>
    <x v="0"/>
    <m/>
    <n v="27066.57"/>
    <n v="76346.23"/>
    <n v="20078.580000000002"/>
    <n v="58151.62"/>
    <n v="70789.240000000005"/>
    <n v="51780.52"/>
    <n v="10208.58"/>
    <n v="5293.66"/>
    <n v="28894.49"/>
    <n v="32761.14"/>
    <n v="89252.69"/>
    <n v="33152.92"/>
    <n v="503776.24"/>
    <n v="56099.770000000004"/>
  </r>
  <r>
    <x v="11"/>
    <x v="6"/>
    <x v="0"/>
    <s v="4400107"/>
    <n v="721120"/>
    <s v="Hip Prosthesis"/>
    <s v="Surgery-Bremerton"/>
    <x v="0"/>
    <n v="1000"/>
    <n v="43664.62"/>
    <n v="16200"/>
    <n v="14600.01"/>
    <n v="29396.76"/>
    <n v="43343.71"/>
    <n v="28244.14"/>
    <n v="21453.27"/>
    <n v="9346.01"/>
    <n v="29429.98"/>
    <n v="39393.54"/>
    <n v="34950.76"/>
    <n v="26970.31"/>
    <n v="336993.11"/>
    <n v="7980.4500000000007"/>
  </r>
  <r>
    <x v="11"/>
    <x v="6"/>
    <x v="0"/>
    <s v="4400107"/>
    <n v="721120"/>
    <s v="Knee Prosthesis"/>
    <s v="Surgery-Bremerton"/>
    <x v="0"/>
    <n v="1001"/>
    <n v="12200"/>
    <n v="0"/>
    <n v="6250"/>
    <n v="8800"/>
    <n v="11052"/>
    <n v="200"/>
    <n v="2700"/>
    <n v="0"/>
    <n v="9652"/>
    <n v="12072.9"/>
    <n v="4752"/>
    <n v="3600"/>
    <n v="71278.899999999994"/>
    <n v="1152"/>
  </r>
  <r>
    <x v="11"/>
    <x v="6"/>
    <x v="0"/>
    <s v="4400107"/>
    <n v="721120"/>
    <s v="Shoulder Prosthesis"/>
    <s v="Surgery-Bremerton"/>
    <x v="0"/>
    <n v="1002"/>
    <n v="0"/>
    <n v="0"/>
    <n v="0"/>
    <n v="8900"/>
    <n v="0"/>
    <n v="-1405.8"/>
    <n v="0"/>
    <n v="12000"/>
    <n v="8500"/>
    <n v="12102"/>
    <n v="0"/>
    <n v="0"/>
    <n v="40096.199999999997"/>
    <n v="0"/>
  </r>
  <r>
    <x v="11"/>
    <x v="6"/>
    <x v="0"/>
    <s v="4400107"/>
    <n v="721120"/>
    <s v="Joint Prostheses - Other"/>
    <s v="Surgery-Bremerton"/>
    <x v="0"/>
    <n v="1003"/>
    <n v="0"/>
    <n v="4540"/>
    <n v="60"/>
    <n v="920"/>
    <n v="2700"/>
    <n v="1860"/>
    <n v="40"/>
    <n v="0"/>
    <n v="0"/>
    <n v="4672"/>
    <n v="1800"/>
    <n v="0"/>
    <n v="16592"/>
    <n v="1800"/>
  </r>
  <r>
    <x v="11"/>
    <x v="6"/>
    <x v="0"/>
    <s v="4400107"/>
    <n v="721150"/>
    <s v="Supplies-Other Implants - Billable"/>
    <s v="Surgery-Bremerton"/>
    <x v="0"/>
    <m/>
    <n v="33792.01"/>
    <n v="27049.19"/>
    <n v="20518.36"/>
    <n v="71780.75"/>
    <n v="36776.36"/>
    <n v="63725.33"/>
    <n v="38007.96"/>
    <n v="15789.95"/>
    <n v="20918.099999999999"/>
    <n v="64005.75"/>
    <n v="37026.050000000003"/>
    <n v="27586.83"/>
    <n v="456976.64000000001"/>
    <n v="9439.2200000000012"/>
  </r>
  <r>
    <x v="11"/>
    <x v="6"/>
    <x v="0"/>
    <s v="4400107"/>
    <n v="721150"/>
    <s v="Surgical Orthopedic"/>
    <s v="Surgery-Bremerton"/>
    <x v="0"/>
    <n v="1000"/>
    <n v="15075.76"/>
    <n v="12182.76"/>
    <n v="14705.5"/>
    <n v="12137.3"/>
    <n v="17980.14"/>
    <n v="17986.599999999999"/>
    <n v="40949.14"/>
    <n v="8422.76"/>
    <n v="21424.94"/>
    <n v="15722.38"/>
    <n v="47950.02"/>
    <n v="50401.760000000002"/>
    <n v="274939.06"/>
    <n v="-2451.7400000000052"/>
  </r>
  <r>
    <x v="11"/>
    <x v="6"/>
    <x v="0"/>
    <s v="4400107"/>
    <n v="721150"/>
    <s v="Fracture Management"/>
    <s v="Surgery-Bremerton"/>
    <x v="0"/>
    <n v="1001"/>
    <n v="65211.14"/>
    <n v="68478.38"/>
    <n v="44197.88"/>
    <n v="43533.760000000002"/>
    <n v="31189.27"/>
    <n v="36919.24"/>
    <n v="34640.910000000003"/>
    <n v="31646.26"/>
    <n v="46600.08"/>
    <n v="35717.279999999999"/>
    <n v="31394.17"/>
    <n v="22754.240000000002"/>
    <n v="492282.61000000004"/>
    <n v="8639.9299999999967"/>
  </r>
  <r>
    <x v="11"/>
    <x v="6"/>
    <x v="0"/>
    <s v="4400107"/>
    <n v="721150"/>
    <s v="Spinal Fixations Internal Syst"/>
    <s v="Surgery-Bremerton"/>
    <x v="0"/>
    <n v="1002"/>
    <n v="14971"/>
    <n v="8892.5"/>
    <n v="0"/>
    <n v="4444"/>
    <n v="8888"/>
    <n v="8888"/>
    <n v="8888"/>
    <n v="0"/>
    <n v="13332"/>
    <n v="18061"/>
    <n v="22220"/>
    <n v="18061"/>
    <n v="126645.5"/>
    <n v="4159"/>
  </r>
  <r>
    <x v="11"/>
    <x v="6"/>
    <x v="0"/>
    <s v="4400107"/>
    <n v="721150"/>
    <s v="Urological Implants"/>
    <s v="Surgery-Bremerton"/>
    <x v="0"/>
    <n v="1004"/>
    <n v="4578"/>
    <n v="1076.3499999999999"/>
    <n v="0"/>
    <n v="0"/>
    <n v="34583.51"/>
    <n v="0"/>
    <n v="0"/>
    <n v="0"/>
    <n v="0"/>
    <n v="0"/>
    <n v="19000"/>
    <n v="10988.69"/>
    <n v="70226.55"/>
    <n v="8011.3099999999995"/>
  </r>
  <r>
    <x v="11"/>
    <x v="6"/>
    <x v="0"/>
    <s v="4400107"/>
    <n v="721210"/>
    <s v="Supplies-Anesthesia - Billable"/>
    <s v="Surgery-Bremerton"/>
    <x v="0"/>
    <m/>
    <n v="185.82"/>
    <n v="0"/>
    <n v="0"/>
    <n v="0"/>
    <n v="0"/>
    <n v="0"/>
    <n v="0"/>
    <n v="0"/>
    <n v="0"/>
    <n v="0"/>
    <n v="0"/>
    <n v="0"/>
    <n v="185.82"/>
    <n v="0"/>
  </r>
  <r>
    <x v="11"/>
    <x v="6"/>
    <x v="0"/>
    <s v="4400107"/>
    <n v="721240"/>
    <s v="Supplies-IV Solutions/Supplies - Billable"/>
    <s v="Surgery-Bremerton"/>
    <x v="0"/>
    <m/>
    <n v="7937.39"/>
    <n v="9760.75"/>
    <n v="9860.6299999999992"/>
    <n v="8894.2900000000009"/>
    <n v="8241.91"/>
    <n v="8938.85"/>
    <n v="7786.3"/>
    <n v="9444.07"/>
    <n v="8481.74"/>
    <n v="8771.74"/>
    <n v="11345.01"/>
    <n v="12156.06"/>
    <n v="111618.74"/>
    <n v="-811.04999999999927"/>
  </r>
  <r>
    <x v="11"/>
    <x v="6"/>
    <x v="0"/>
    <s v="4400107"/>
    <n v="721350"/>
    <s v="Radiology Imaging - Contrast Media"/>
    <s v="Surgery-Bremerton"/>
    <x v="0"/>
    <n v="1000"/>
    <n v="0"/>
    <n v="0"/>
    <n v="2550.6"/>
    <n v="1289.77"/>
    <n v="1297"/>
    <n v="1275.3"/>
    <n v="1286.1500000000001"/>
    <n v="0"/>
    <n v="1286.1500000000001"/>
    <n v="2550.6"/>
    <n v="2561.4499999999998"/>
    <n v="2615.6999999999998"/>
    <n v="16712.72"/>
    <n v="-54.25"/>
  </r>
  <r>
    <x v="11"/>
    <x v="6"/>
    <x v="0"/>
    <s v="4400107"/>
    <n v="721410"/>
    <s v="Supplies-Medical - Nonbillable"/>
    <s v="Surgery-Bremerton"/>
    <x v="0"/>
    <m/>
    <n v="41765.03"/>
    <n v="33760.71"/>
    <n v="31389.16"/>
    <n v="35057.839999999997"/>
    <n v="36557.32"/>
    <n v="32087.34"/>
    <n v="31655.87"/>
    <n v="30864.97"/>
    <n v="42504.480000000003"/>
    <n v="-287170.94"/>
    <n v="47356.78"/>
    <n v="33847.56"/>
    <n v="109676.11999999997"/>
    <n v="13509.220000000001"/>
  </r>
  <r>
    <x v="11"/>
    <x v="6"/>
    <x v="0"/>
    <s v="4400107"/>
    <n v="721410"/>
    <s v="Patient Monitoring"/>
    <s v="Surgery-Bremerton"/>
    <x v="0"/>
    <n v="1000"/>
    <n v="0"/>
    <n v="0"/>
    <n v="0"/>
    <n v="338.89"/>
    <n v="0"/>
    <n v="0"/>
    <n v="0"/>
    <n v="0"/>
    <n v="0"/>
    <n v="0"/>
    <n v="1526"/>
    <n v="-126"/>
    <n v="1738.8899999999999"/>
    <n v="1652"/>
  </r>
  <r>
    <x v="11"/>
    <x v="6"/>
    <x v="0"/>
    <s v="4400107"/>
    <n v="721420"/>
    <s v="Supplies-Surgical Nonbillable"/>
    <s v="Surgery-Bremerton"/>
    <x v="0"/>
    <m/>
    <n v="29367.8"/>
    <n v="24759.46"/>
    <n v="22461.040000000001"/>
    <n v="26098.5"/>
    <n v="23500.36"/>
    <n v="36858.94"/>
    <n v="32193.5"/>
    <n v="27575.37"/>
    <n v="20689.150000000001"/>
    <n v="24023.66"/>
    <n v="29172.720000000001"/>
    <n v="24870.959999999999"/>
    <n v="321571.46000000002"/>
    <n v="4301.760000000002"/>
  </r>
  <r>
    <x v="11"/>
    <x v="6"/>
    <x v="0"/>
    <s v="4400107"/>
    <n v="721420"/>
    <s v="Heart/Lung Machine Supplies"/>
    <s v="Surgery-Bremerton"/>
    <x v="0"/>
    <n v="1005"/>
    <n v="6966.9"/>
    <n v="3200"/>
    <n v="1640.16"/>
    <n v="5245.93"/>
    <n v="5129.7"/>
    <n v="2826.28"/>
    <n v="3652.54"/>
    <n v="1264.81"/>
    <n v="6045.26"/>
    <n v="5086.95"/>
    <n v="8377.3799999999992"/>
    <n v="3766.9"/>
    <n v="53202.81"/>
    <n v="4610.4799999999996"/>
  </r>
  <r>
    <x v="11"/>
    <x v="6"/>
    <x v="0"/>
    <s v="4400107"/>
    <n v="721420"/>
    <s v="Urological Supplies"/>
    <s v="Surgery-Bremerton"/>
    <x v="0"/>
    <n v="1006"/>
    <n v="271.41000000000003"/>
    <n v="192.62"/>
    <n v="280.16000000000003"/>
    <n v="245.14"/>
    <n v="288.92"/>
    <n v="245.15"/>
    <n v="306.44"/>
    <n v="175.11"/>
    <n v="336.44"/>
    <n v="327.93"/>
    <n v="280.16000000000003"/>
    <n v="210.12"/>
    <n v="3159.6"/>
    <n v="70.04000000000002"/>
  </r>
  <r>
    <x v="11"/>
    <x v="6"/>
    <x v="0"/>
    <s v="4400107"/>
    <n v="721420"/>
    <s v="Tubes Drains &amp; Related Supplies"/>
    <s v="Surgery-Bremerton"/>
    <x v="0"/>
    <n v="1008"/>
    <n v="1671.88"/>
    <n v="1807.54"/>
    <n v="1681.94"/>
    <n v="1192.8699999999999"/>
    <n v="1400.61"/>
    <n v="1777.74"/>
    <n v="2073.83"/>
    <n v="1383.79"/>
    <n v="1064.47"/>
    <n v="1711.96"/>
    <n v="1752.04"/>
    <n v="1362.57"/>
    <n v="18881.240000000002"/>
    <n v="389.47"/>
  </r>
  <r>
    <x v="11"/>
    <x v="6"/>
    <x v="0"/>
    <s v="4400107"/>
    <n v="721420"/>
    <s v="Sterilization Process Products"/>
    <s v="Surgery-Bremerton"/>
    <x v="0"/>
    <n v="1009"/>
    <n v="344.32"/>
    <n v="11264.22"/>
    <n v="539.55999999999995"/>
    <n v="-59.28"/>
    <n v="97.76"/>
    <n v="4879.26"/>
    <n v="381.95"/>
    <n v="1172.33"/>
    <n v="3780.68"/>
    <n v="2405.0100000000002"/>
    <n v="5030.62"/>
    <n v="2356.0300000000002"/>
    <n v="32192.459999999995"/>
    <n v="2674.5899999999997"/>
  </r>
  <r>
    <x v="11"/>
    <x v="6"/>
    <x v="0"/>
    <s v="4400107"/>
    <n v="721610"/>
    <s v="Supplies-Anesthesia - Nonbillable"/>
    <s v="Surgery-Bremerton"/>
    <x v="0"/>
    <m/>
    <n v="18388.759999999998"/>
    <n v="13400.68"/>
    <n v="17651.22"/>
    <n v="21434.49"/>
    <n v="22184.69"/>
    <n v="23791.85"/>
    <n v="23887.93"/>
    <n v="17291.259999999998"/>
    <n v="29908.87"/>
    <n v="23060.75"/>
    <n v="20875.46"/>
    <n v="13672.77"/>
    <n v="245548.72999999998"/>
    <n v="7202.6899999999987"/>
  </r>
  <r>
    <x v="11"/>
    <x v="6"/>
    <x v="0"/>
    <s v="4400107"/>
    <n v="721640"/>
    <s v="Supplies-IV Solutions/Supplies - Nonbillable"/>
    <s v="Surgery-Bremerton"/>
    <x v="0"/>
    <m/>
    <n v="3674.54"/>
    <n v="5210.9799999999996"/>
    <n v="5024.8500000000004"/>
    <n v="3732.79"/>
    <n v="4147.66"/>
    <n v="3293.65"/>
    <n v="3991.78"/>
    <n v="3470.9"/>
    <n v="4089.01"/>
    <n v="3695.66"/>
    <n v="4868.42"/>
    <n v="6961.62"/>
    <n v="52161.860000000008"/>
    <n v="-2093.1999999999998"/>
  </r>
  <r>
    <x v="11"/>
    <x v="6"/>
    <x v="0"/>
    <s v="4400107"/>
    <n v="721650"/>
    <s v="Supplies-Pharmacy Drugs - Nonbillable"/>
    <s v="Surgery-Bremerton"/>
    <x v="0"/>
    <m/>
    <n v="781.41"/>
    <n v="1132.8599999999999"/>
    <n v="1149.6199999999999"/>
    <n v="586.64"/>
    <n v="2379.66"/>
    <n v="898.7"/>
    <n v="925.93"/>
    <n v="1265.22"/>
    <n v="1274.17"/>
    <n v="1231.9100000000001"/>
    <n v="1158.1600000000001"/>
    <n v="1384.11"/>
    <n v="14168.39"/>
    <n v="-225.94999999999982"/>
  </r>
  <r>
    <x v="11"/>
    <x v="6"/>
    <x v="0"/>
    <s v="4400107"/>
    <n v="721710"/>
    <s v="Supplies-Laboratory - Nonbillable"/>
    <s v="Surgery-Bremerton"/>
    <x v="0"/>
    <m/>
    <n v="534.38"/>
    <n v="217.72"/>
    <n v="278.52"/>
    <n v="506.86"/>
    <n v="715.71"/>
    <n v="587.97"/>
    <n v="194.04"/>
    <n v="902.47"/>
    <n v="734.21"/>
    <n v="665.51"/>
    <n v="953.62"/>
    <n v="904.23"/>
    <n v="7195.24"/>
    <n v="49.389999999999986"/>
  </r>
  <r>
    <x v="11"/>
    <x v="6"/>
    <x v="0"/>
    <s v="4400107"/>
    <n v="721710"/>
    <s v="Reagents"/>
    <s v="Surgery-Bremerton"/>
    <x v="0"/>
    <n v="1000"/>
    <n v="284.16000000000003"/>
    <n v="281.85000000000002"/>
    <n v="502.87"/>
    <n v="294.36"/>
    <n v="308.13"/>
    <n v="0"/>
    <n v="37.799999999999997"/>
    <n v="256.51"/>
    <n v="103.25"/>
    <n v="0"/>
    <n v="294.31"/>
    <n v="37.799999999999997"/>
    <n v="2401.0400000000004"/>
    <n v="256.51"/>
  </r>
  <r>
    <x v="11"/>
    <x v="6"/>
    <x v="0"/>
    <s v="4400107"/>
    <n v="721750"/>
    <s v="Supplies-Film/Radiographic - Nonbillable"/>
    <s v="Surgery-Bremerton"/>
    <x v="0"/>
    <m/>
    <n v="242.82"/>
    <n v="104.58"/>
    <n v="248.66"/>
    <n v="-4151.8999999999996"/>
    <n v="169.49"/>
    <n v="290.16000000000003"/>
    <n v="-9.4700000000000006"/>
    <n v="172.3"/>
    <n v="65.95"/>
    <n v="169.49"/>
    <n v="246.79"/>
    <n v="323.88"/>
    <n v="-2127.2499999999991"/>
    <n v="-77.09"/>
  </r>
  <r>
    <x v="11"/>
    <x v="6"/>
    <x v="0"/>
    <s v="4400107"/>
    <n v="721810"/>
    <s v="Supplies-Dietary/Cafeteria"/>
    <s v="Surgery-Bremerton"/>
    <x v="0"/>
    <m/>
    <n v="5863.09"/>
    <n v="5975.67"/>
    <n v="5502.71"/>
    <n v="7019.19"/>
    <n v="7306.29"/>
    <n v="6687.61"/>
    <n v="6435.1"/>
    <n v="5934.47"/>
    <n v="6065.21"/>
    <n v="6034.1"/>
    <n v="7117.94"/>
    <n v="5888.56"/>
    <n v="75829.939999999988"/>
    <n v="1229.3799999999992"/>
  </r>
  <r>
    <x v="11"/>
    <x v="6"/>
    <x v="0"/>
    <s v="4400107"/>
    <n v="721830"/>
    <s v="Supplies-Office"/>
    <s v="Surgery-Bremerton"/>
    <x v="0"/>
    <m/>
    <n v="1333.39"/>
    <n v="808.23"/>
    <n v="1140.29"/>
    <n v="1164.07"/>
    <n v="849.88"/>
    <n v="1211.05"/>
    <n v="1247.02"/>
    <n v="1533.08"/>
    <n v="419.45"/>
    <n v="2149.98"/>
    <n v="633.79"/>
    <n v="517.39"/>
    <n v="13007.619999999999"/>
    <n v="116.39999999999998"/>
  </r>
  <r>
    <x v="11"/>
    <x v="6"/>
    <x v="0"/>
    <s v="4400107"/>
    <n v="721835"/>
    <s v="Supplies-Forms"/>
    <s v="Surgery-Bremerton"/>
    <x v="0"/>
    <m/>
    <n v="0"/>
    <n v="0"/>
    <n v="0"/>
    <n v="0"/>
    <n v="221.7"/>
    <n v="0"/>
    <n v="0"/>
    <n v="0"/>
    <n v="56.25"/>
    <n v="0"/>
    <n v="0"/>
    <n v="0"/>
    <n v="277.95"/>
    <n v="0"/>
  </r>
  <r>
    <x v="11"/>
    <x v="6"/>
    <x v="0"/>
    <s v="4400107"/>
    <n v="721870"/>
    <s v="Supplies-Environmental Services"/>
    <s v="Surgery-Bremerton"/>
    <x v="0"/>
    <m/>
    <n v="868.36"/>
    <n v="1004.63"/>
    <n v="537.55999999999995"/>
    <n v="696.53"/>
    <n v="967.23"/>
    <n v="347.79"/>
    <n v="772.25"/>
    <n v="459.8"/>
    <n v="954.96"/>
    <n v="499.38"/>
    <n v="840.82"/>
    <n v="623.55999999999995"/>
    <n v="8572.8700000000008"/>
    <n v="217.2600000000001"/>
  </r>
  <r>
    <x v="11"/>
    <x v="6"/>
    <x v="0"/>
    <s v="4400107"/>
    <n v="721910"/>
    <s v="Supplies-Small Equipment"/>
    <s v="Surgery-Bremerton"/>
    <x v="0"/>
    <m/>
    <n v="28880.68"/>
    <n v="25530.43"/>
    <n v="24764.71"/>
    <n v="27210.87"/>
    <n v="14166.02"/>
    <n v="43197.09"/>
    <n v="16331.8"/>
    <n v="6034.42"/>
    <n v="29538.06"/>
    <n v="16478.84"/>
    <n v="17978.89"/>
    <n v="1106.05"/>
    <n v="251217.86"/>
    <n v="16872.84"/>
  </r>
  <r>
    <x v="11"/>
    <x v="6"/>
    <x v="0"/>
    <s v="4400107"/>
    <n v="721910"/>
    <s v="Instruments"/>
    <s v="Surgery-Bremerton"/>
    <x v="0"/>
    <n v="1000"/>
    <n v="14105.33"/>
    <n v="13425.24"/>
    <n v="10316.65"/>
    <n v="16393.89"/>
    <n v="17399.98"/>
    <n v="24164.81"/>
    <n v="29809.06"/>
    <n v="32261.75"/>
    <n v="31204.3"/>
    <n v="11413.1"/>
    <n v="10884.92"/>
    <n v="10394.74"/>
    <n v="221773.77"/>
    <n v="490.18000000000029"/>
  </r>
  <r>
    <x v="11"/>
    <x v="6"/>
    <x v="0"/>
    <s v="4400107"/>
    <n v="721980"/>
    <s v="Supplies-Other"/>
    <s v="Surgery-Bremerton"/>
    <x v="0"/>
    <m/>
    <n v="86.65"/>
    <n v="1111.55"/>
    <n v="2087.2399999999998"/>
    <n v="3774.56"/>
    <n v="0"/>
    <n v="0"/>
    <n v="0"/>
    <n v="0"/>
    <n v="0"/>
    <n v="0"/>
    <n v="-3859.33"/>
    <n v="0"/>
    <n v="3200.67"/>
    <n v="-3859.33"/>
  </r>
  <r>
    <x v="11"/>
    <x v="6"/>
    <x v="0"/>
    <s v="4400107"/>
    <n v="722000"/>
    <s v="Supplies-Freight Expense"/>
    <s v="Surgery-Bremerton"/>
    <x v="0"/>
    <m/>
    <n v="1767"/>
    <n v="3429.92"/>
    <n v="2986.91"/>
    <n v="2842.98"/>
    <n v="1257.0899999999999"/>
    <n v="3006.12"/>
    <n v="4473.45"/>
    <n v="1409.55"/>
    <n v="2491.46"/>
    <n v="2481.35"/>
    <n v="2272.3200000000002"/>
    <n v="2148.3200000000002"/>
    <n v="30566.469999999998"/>
    <n v="124"/>
  </r>
  <r>
    <x v="11"/>
    <x v="6"/>
    <x v="0"/>
    <s v="4400107"/>
    <n v="722000"/>
    <s v="Minimum Order Fees"/>
    <s v="Surgery-Bremerton"/>
    <x v="0"/>
    <n v="1000"/>
    <n v="0"/>
    <n v="0"/>
    <n v="0"/>
    <n v="97.2"/>
    <n v="0"/>
    <n v="0"/>
    <n v="0"/>
    <n v="0"/>
    <n v="0"/>
    <n v="0"/>
    <n v="0"/>
    <n v="231.7"/>
    <n v="328.9"/>
    <n v="-231.7"/>
  </r>
  <r>
    <x v="11"/>
    <x v="6"/>
    <x v="0"/>
    <s v="4400107"/>
    <n v="723000"/>
    <s v="Supply Rebates/Patronage Dividend"/>
    <s v="Surgery-Bremerton"/>
    <x v="0"/>
    <m/>
    <n v="0"/>
    <n v="0"/>
    <n v="-6993.85"/>
    <n v="0"/>
    <n v="0"/>
    <n v="-18577.3"/>
    <n v="0"/>
    <n v="0"/>
    <n v="-16525.330000000002"/>
    <n v="0"/>
    <n v="0"/>
    <n v="-29591.46"/>
    <n v="-71687.94"/>
    <n v="29591.46"/>
  </r>
  <r>
    <x v="12"/>
    <x v="6"/>
    <x v="0"/>
    <s v="4400107"/>
    <n v="730020"/>
    <s v="Rental and Leases-Equipment (DO NOT USE)"/>
    <s v="Surgery-Bremerton"/>
    <x v="0"/>
    <m/>
    <n v="17955.8"/>
    <n v="7815.74"/>
    <n v="9487.94"/>
    <n v="11666.23"/>
    <n v="67071.820000000007"/>
    <n v="24402.18"/>
    <n v="89352.26"/>
    <n v="50039.86"/>
    <n v="101381.39"/>
    <n v="145400.64000000001"/>
    <n v="39960.29"/>
    <n v="27667.9"/>
    <n v="592202.05000000016"/>
    <n v="12292.39"/>
  </r>
  <r>
    <x v="12"/>
    <x v="6"/>
    <x v="0"/>
    <s v="4400107"/>
    <n v="730020"/>
    <s v="Rental and Leases-Copier Usage Fees (DO NOT USE)"/>
    <s v="Surgery-Bremerton"/>
    <x v="0"/>
    <n v="5100"/>
    <n v="1436.05"/>
    <n v="1453.85"/>
    <n v="1444.95"/>
    <n v="1444.95"/>
    <n v="1444.95"/>
    <n v="1444.95"/>
    <n v="2099.59"/>
    <n v="1763.86"/>
    <n v="1167.3900000000001"/>
    <n v="1649.83"/>
    <n v="1171.1099999999999"/>
    <n v="1288.29"/>
    <n v="17809.77"/>
    <n v="-117.18000000000006"/>
  </r>
  <r>
    <x v="15"/>
    <x v="6"/>
    <x v="0"/>
    <s v="4400107"/>
    <n v="731060"/>
    <s v="Telephone"/>
    <s v="Surgery-Bremerton"/>
    <x v="0"/>
    <m/>
    <n v="0"/>
    <n v="0"/>
    <n v="163.5"/>
    <n v="0"/>
    <n v="0"/>
    <n v="0"/>
    <n v="0"/>
    <n v="0"/>
    <n v="0"/>
    <n v="0"/>
    <n v="0"/>
    <n v="0"/>
    <n v="163.5"/>
    <n v="0"/>
  </r>
  <r>
    <x v="15"/>
    <x v="6"/>
    <x v="0"/>
    <s v="4400107"/>
    <n v="731060"/>
    <s v="Cell Phones"/>
    <s v="Surgery-Bremerton"/>
    <x v="0"/>
    <n v="1001"/>
    <n v="0"/>
    <n v="121.52"/>
    <n v="59.27"/>
    <n v="0"/>
    <n v="59.37"/>
    <n v="60.52"/>
    <n v="121.14"/>
    <n v="0"/>
    <n v="62.07"/>
    <n v="121.59"/>
    <n v="60.45"/>
    <n v="60.57"/>
    <n v="726.50000000000011"/>
    <n v="-0.11999999999999744"/>
  </r>
  <r>
    <x v="15"/>
    <x v="6"/>
    <x v="0"/>
    <s v="4400107"/>
    <n v="731060"/>
    <s v="Pagers"/>
    <s v="Surgery-Bremerton"/>
    <x v="0"/>
    <n v="1002"/>
    <n v="111.5"/>
    <n v="113.4"/>
    <n v="113.4"/>
    <n v="113.68"/>
    <n v="0"/>
    <n v="113.68"/>
    <n v="227.36"/>
    <n v="138.57"/>
    <n v="129.91999999999999"/>
    <n v="129.91999999999999"/>
    <n v="129.91999999999999"/>
    <n v="129.91999999999999"/>
    <n v="1451.2700000000004"/>
    <n v="0"/>
  </r>
  <r>
    <x v="16"/>
    <x v="6"/>
    <x v="0"/>
    <s v="4400107"/>
    <n v="732015"/>
    <s v="Repairs-Clinical Equip-T&amp;M-Ext to CHI Programs"/>
    <s v="Surgery-Bremerton"/>
    <x v="0"/>
    <m/>
    <n v="0"/>
    <n v="0"/>
    <n v="0"/>
    <n v="708.5"/>
    <n v="0"/>
    <n v="0"/>
    <n v="0"/>
    <n v="0"/>
    <n v="0"/>
    <n v="0"/>
    <n v="0"/>
    <n v="0"/>
    <n v="708.5"/>
    <n v="0"/>
  </r>
  <r>
    <x v="16"/>
    <x v="6"/>
    <x v="0"/>
    <s v="4400107"/>
    <n v="732020"/>
    <s v="Repairs--Clin Equip-Parts-Internal to CHI Programs"/>
    <s v="Surgery-Bremerton"/>
    <x v="0"/>
    <m/>
    <n v="1639.16"/>
    <n v="1656.95"/>
    <n v="1687.01"/>
    <n v="1102.79"/>
    <n v="1539.9"/>
    <n v="1968.79"/>
    <n v="3541.14"/>
    <n v="1426.43"/>
    <n v="2298.61"/>
    <n v="517.38"/>
    <n v="1113.9100000000001"/>
    <n v="2411.2600000000002"/>
    <n v="20903.330000000002"/>
    <n v="-1297.3500000000001"/>
  </r>
  <r>
    <x v="16"/>
    <x v="6"/>
    <x v="0"/>
    <s v="4400107"/>
    <n v="732030"/>
    <s v="Repairs---Other"/>
    <s v="Surgery-Bremerton"/>
    <x v="0"/>
    <m/>
    <n v="5620.66"/>
    <n v="2468.31"/>
    <n v="12975.46"/>
    <n v="936.72"/>
    <n v="2326.81"/>
    <n v="1838.15"/>
    <n v="7010.98"/>
    <n v="3548.47"/>
    <n v="2813.06"/>
    <n v="8892.92"/>
    <n v="9795.6299999999992"/>
    <n v="10791.11"/>
    <n v="69018.28"/>
    <n v="-995.48000000000138"/>
  </r>
  <r>
    <x v="16"/>
    <x v="6"/>
    <x v="0"/>
    <s v="4400107"/>
    <n v="733030"/>
    <s v="Maintenance Contracts-Other"/>
    <s v="Surgery-Bremerton"/>
    <x v="0"/>
    <m/>
    <n v="19757.22"/>
    <n v="19757.22"/>
    <n v="19757.22"/>
    <n v="19757.23"/>
    <n v="20797.21"/>
    <n v="19757.22"/>
    <n v="0"/>
    <n v="39514.44"/>
    <n v="19757.22"/>
    <n v="19757.22"/>
    <n v="19757.22"/>
    <n v="19757.22"/>
    <n v="238126.64"/>
    <n v="0"/>
  </r>
  <r>
    <x v="13"/>
    <x v="6"/>
    <x v="0"/>
    <s v="4400107"/>
    <n v="735070"/>
    <s v="Depreciation-Movable Equipment"/>
    <s v="Surgery-Bremerton"/>
    <x v="0"/>
    <m/>
    <n v="196061.97"/>
    <n v="197028.48000000001"/>
    <n v="195443.73"/>
    <n v="200431.84"/>
    <n v="199279.06"/>
    <n v="199627.71"/>
    <n v="322748.55"/>
    <n v="468714.94"/>
    <n v="277627.62"/>
    <n v="277626.28999999998"/>
    <n v="277627.71000000002"/>
    <n v="277652.51"/>
    <n v="3089870.41"/>
    <n v="-24.799999999988358"/>
  </r>
  <r>
    <x v="13"/>
    <x v="6"/>
    <x v="0"/>
    <s v="4400107"/>
    <n v="735070"/>
    <s v="Depreciation-DaVinci Robot"/>
    <s v="Surgery-Bremerton"/>
    <x v="0"/>
    <n v="1000"/>
    <n v="26833.33"/>
    <n v="26833.33"/>
    <n v="0"/>
    <n v="23409.05"/>
    <n v="23409.05"/>
    <n v="23409.05"/>
    <n v="23221.55"/>
    <n v="23221.55"/>
    <n v="23221.55"/>
    <n v="23221.54"/>
    <n v="23221.55"/>
    <n v="23221.54"/>
    <n v="263223.08999999997"/>
    <n v="9.9999999983992893E-3"/>
  </r>
  <r>
    <x v="0"/>
    <x v="6"/>
    <x v="0"/>
    <s v="4400107"/>
    <n v="740020"/>
    <s v="Education-Registration Fees"/>
    <s v="Surgery-Bremerton"/>
    <x v="0"/>
    <m/>
    <n v="0"/>
    <n v="0"/>
    <n v="0"/>
    <n v="0"/>
    <n v="0"/>
    <n v="0"/>
    <n v="0"/>
    <n v="120"/>
    <n v="2775"/>
    <n v="110"/>
    <n v="1981.8"/>
    <n v="0"/>
    <n v="4986.8"/>
    <n v="1981.8"/>
  </r>
  <r>
    <x v="0"/>
    <x v="6"/>
    <x v="0"/>
    <s v="4400107"/>
    <n v="740030"/>
    <s v="Education-Travel"/>
    <s v="Surgery-Bremerton"/>
    <x v="0"/>
    <m/>
    <n v="0"/>
    <n v="40"/>
    <n v="0"/>
    <n v="0"/>
    <n v="0"/>
    <n v="0"/>
    <n v="0"/>
    <n v="0"/>
    <n v="0"/>
    <n v="0"/>
    <n v="0"/>
    <n v="0"/>
    <n v="40"/>
    <n v="0"/>
  </r>
  <r>
    <x v="0"/>
    <x v="6"/>
    <x v="0"/>
    <s v="4400107"/>
    <n v="742040"/>
    <s v="Freight-Other"/>
    <s v="Surgery-Bremerton"/>
    <x v="0"/>
    <m/>
    <n v="0"/>
    <n v="0"/>
    <n v="0"/>
    <n v="0"/>
    <n v="0"/>
    <n v="0"/>
    <n v="0"/>
    <n v="0"/>
    <n v="0"/>
    <n v="0"/>
    <n v="0"/>
    <n v="63.33"/>
    <n v="63.33"/>
    <n v="-63.33"/>
  </r>
  <r>
    <x v="0"/>
    <x v="6"/>
    <x v="0"/>
    <s v="4400107"/>
    <n v="743030"/>
    <s v="Subscriptions--Institutional"/>
    <s v="Surgery-Bremerton"/>
    <x v="0"/>
    <m/>
    <n v="0"/>
    <n v="0"/>
    <n v="0"/>
    <n v="0"/>
    <n v="0"/>
    <n v="0"/>
    <n v="97.98"/>
    <n v="117.49"/>
    <n v="555"/>
    <n v="0"/>
    <n v="0"/>
    <n v="0"/>
    <n v="770.47"/>
    <n v="0"/>
  </r>
  <r>
    <x v="0"/>
    <x v="6"/>
    <x v="0"/>
    <s v="4400107"/>
    <n v="744010"/>
    <s v="Recruitment"/>
    <s v="Surgery-Bremerton"/>
    <x v="0"/>
    <m/>
    <n v="0"/>
    <n v="0"/>
    <n v="0"/>
    <n v="0"/>
    <n v="17631.48"/>
    <n v="-17631.48"/>
    <n v="0"/>
    <n v="0"/>
    <n v="17631.48"/>
    <n v="0"/>
    <n v="0"/>
    <n v="0"/>
    <n v="17631.48"/>
    <n v="0"/>
  </r>
  <r>
    <x v="0"/>
    <x v="6"/>
    <x v="0"/>
    <s v="4400107"/>
    <n v="749510"/>
    <s v="Miscellaneous Expenses"/>
    <s v="Surgery-Bremerton"/>
    <x v="0"/>
    <m/>
    <n v="0"/>
    <n v="-97.7"/>
    <n v="179.1"/>
    <n v="1795.69"/>
    <n v="990.05"/>
    <n v="18471.16"/>
    <n v="-13956.42"/>
    <n v="3045.49"/>
    <n v="-1309.25"/>
    <n v="-191.84"/>
    <n v="-1156.8399999999999"/>
    <n v="104.62"/>
    <n v="7874.0599999999986"/>
    <n v="-1261.46"/>
  </r>
  <r>
    <x v="0"/>
    <x v="6"/>
    <x v="0"/>
    <s v="4400107"/>
    <n v="749510"/>
    <s v="Licenses"/>
    <s v="Surgery-Bremerton"/>
    <x v="0"/>
    <n v="1002"/>
    <n v="1000"/>
    <n v="1000"/>
    <n v="0"/>
    <n v="0"/>
    <n v="0"/>
    <n v="3000"/>
    <n v="1000"/>
    <n v="2000"/>
    <n v="1000"/>
    <n v="1000"/>
    <n v="1000"/>
    <n v="1000"/>
    <n v="12000"/>
    <n v="0"/>
  </r>
  <r>
    <x v="0"/>
    <x v="6"/>
    <x v="0"/>
    <s v="4400107"/>
    <n v="749510"/>
    <s v="RICE Rewards"/>
    <s v="Surgery-Bremerton"/>
    <x v="0"/>
    <n v="5100"/>
    <n v="0"/>
    <n v="0"/>
    <n v="0"/>
    <n v="0"/>
    <n v="0"/>
    <n v="0"/>
    <n v="0"/>
    <n v="0"/>
    <n v="0"/>
    <n v="905.01"/>
    <n v="0"/>
    <n v="350.54"/>
    <n v="1255.55"/>
    <n v="-350.54"/>
  </r>
  <r>
    <x v="0"/>
    <x v="6"/>
    <x v="0"/>
    <s v="4400107"/>
    <n v="749530"/>
    <s v="Travel"/>
    <s v="Surgery-Bremerton"/>
    <x v="0"/>
    <m/>
    <n v="0"/>
    <n v="30.72"/>
    <n v="534.46"/>
    <n v="47.36"/>
    <n v="0"/>
    <n v="0"/>
    <n v="526.86"/>
    <n v="0"/>
    <n v="1470.16"/>
    <n v="2147.21"/>
    <n v="1478.39"/>
    <n v="2554.5500000000002"/>
    <n v="8789.7100000000009"/>
    <n v="-1076.1600000000001"/>
  </r>
  <r>
    <x v="0"/>
    <x v="6"/>
    <x v="0"/>
    <s v="4400107"/>
    <n v="749530"/>
    <s v="Mileage"/>
    <s v="Surgery-Bremerton"/>
    <x v="0"/>
    <n v="1001"/>
    <n v="0"/>
    <n v="0"/>
    <n v="74.12"/>
    <n v="0"/>
    <n v="0"/>
    <n v="11.46"/>
    <n v="3.82"/>
    <n v="0"/>
    <n v="0"/>
    <n v="0"/>
    <n v="0"/>
    <n v="0"/>
    <n v="89.4"/>
    <n v="0"/>
  </r>
  <r>
    <x v="18"/>
    <x v="7"/>
    <x v="0"/>
    <s v="4400150"/>
    <n v="400010"/>
    <s v="Acute I/P Svcs Rev--Medicare"/>
    <s v="Surgery Services"/>
    <x v="0"/>
    <n v="1100"/>
    <n v="-461033.57"/>
    <n v="-874536.55"/>
    <n v="-588191.93000000005"/>
    <n v="-573528.81000000006"/>
    <n v="-560989.56000000006"/>
    <n v="-758966.6"/>
    <n v="-591606.56000000006"/>
    <n v="-641111.37"/>
    <n v="-561813.78"/>
    <n v="-457881.56"/>
    <n v="-734047.2"/>
    <n v="-241547.3"/>
    <n v="-7045254.79"/>
    <n v="-492499.89999999997"/>
  </r>
  <r>
    <x v="18"/>
    <x v="7"/>
    <x v="0"/>
    <s v="4400150"/>
    <n v="400010"/>
    <s v="Acute I/P Svcs Rev--Medicaid"/>
    <s v="Surgery Services"/>
    <x v="0"/>
    <n v="1200"/>
    <n v="-354778.02"/>
    <n v="-175368.88"/>
    <n v="-187292.61"/>
    <n v="-165628.28"/>
    <n v="-273227.83"/>
    <n v="-69721.33"/>
    <n v="-123008.05"/>
    <n v="20072.88"/>
    <n v="-187959.31"/>
    <n v="-92595.32"/>
    <n v="-212049.67"/>
    <n v="-283152.33"/>
    <n v="-2104708.7500000005"/>
    <n v="71102.66"/>
  </r>
  <r>
    <x v="18"/>
    <x v="7"/>
    <x v="0"/>
    <s v="4400150"/>
    <n v="400010"/>
    <s v="Acute I/P Svcs Rev--Comm Insurance"/>
    <s v="Surgery Services"/>
    <x v="0"/>
    <n v="1300"/>
    <n v="0"/>
    <n v="-53512.76"/>
    <n v="-65846.37"/>
    <n v="-42161.95"/>
    <n v="-66091.429999999993"/>
    <n v="-82801.02"/>
    <n v="0"/>
    <n v="-34200.94"/>
    <n v="-72290.14"/>
    <n v="34200.94"/>
    <n v="-47148.59"/>
    <n v="0"/>
    <n v="-429852.26"/>
    <n v="-47148.59"/>
  </r>
  <r>
    <x v="18"/>
    <x v="7"/>
    <x v="0"/>
    <s v="4400150"/>
    <n v="400010"/>
    <s v="Acute I/P Svcs Rev--BCBS Comm"/>
    <s v="Surgery Services"/>
    <x v="0"/>
    <n v="1301"/>
    <n v="-11845.85"/>
    <n v="-238263.56"/>
    <n v="-89024.41"/>
    <n v="-129909.34"/>
    <n v="-169647.58"/>
    <n v="-233357.55"/>
    <n v="-191424.05"/>
    <n v="-277125.59999999998"/>
    <n v="-251155.98"/>
    <n v="-113036.53"/>
    <n v="-38556.870000000003"/>
    <n v="-336232.37"/>
    <n v="-2079579.69"/>
    <n v="297675.5"/>
  </r>
  <r>
    <x v="18"/>
    <x v="7"/>
    <x v="0"/>
    <s v="4400150"/>
    <n v="400010"/>
    <s v="Acute I/P Svcs Rev--Managed Care"/>
    <s v="Surgery Services"/>
    <x v="0"/>
    <n v="1400"/>
    <n v="-493751.14"/>
    <n v="-520808.17"/>
    <n v="-240529.71"/>
    <n v="-197293.29"/>
    <n v="-184590.13"/>
    <n v="-412282.09"/>
    <n v="-236971.73"/>
    <n v="-325478.39"/>
    <n v="-153361.59"/>
    <n v="-304502.38"/>
    <n v="-243079.15"/>
    <n v="-210311.35"/>
    <n v="-3522959.12"/>
    <n v="-32767.799999999988"/>
  </r>
  <r>
    <x v="18"/>
    <x v="7"/>
    <x v="0"/>
    <s v="4400150"/>
    <n v="400010"/>
    <s v="Acute I/P Svcs Rev--Self Pay"/>
    <s v="Surgery Services"/>
    <x v="0"/>
    <n v="1500"/>
    <n v="35845.67"/>
    <n v="0"/>
    <n v="0"/>
    <n v="0"/>
    <n v="0"/>
    <n v="-28599.21"/>
    <n v="0"/>
    <n v="-31618.92"/>
    <n v="0"/>
    <n v="0"/>
    <n v="0"/>
    <n v="0"/>
    <n v="-24372.46"/>
    <n v="0"/>
  </r>
  <r>
    <x v="18"/>
    <x v="7"/>
    <x v="0"/>
    <s v="4400150"/>
    <n v="400010"/>
    <s v="Acute I/P Svcs Rev--Other"/>
    <s v="Surgery Services"/>
    <x v="0"/>
    <n v="1700"/>
    <n v="0"/>
    <n v="26528.41"/>
    <n v="0"/>
    <n v="13636.35"/>
    <n v="-42295.48"/>
    <n v="0"/>
    <n v="-123020.23"/>
    <n v="-39881.86"/>
    <n v="-139707.47"/>
    <n v="0"/>
    <n v="39881.86"/>
    <n v="1889"/>
    <n v="-262969.42000000004"/>
    <n v="37992.86"/>
  </r>
  <r>
    <x v="19"/>
    <x v="7"/>
    <x v="0"/>
    <s v="4400150"/>
    <n v="400020"/>
    <s v="O/P Care Svcs Rev--Medicare"/>
    <s v="Surgery Services"/>
    <x v="0"/>
    <n v="1100"/>
    <n v="-717127.04"/>
    <n v="-793914.4"/>
    <n v="-367696.61"/>
    <n v="-1429272.62"/>
    <n v="-800719.38"/>
    <n v="-586765.63"/>
    <n v="-1222678.3799999999"/>
    <n v="-751915.33"/>
    <n v="-1244314.27"/>
    <n v="-832016.78"/>
    <n v="-970688.98"/>
    <n v="-470810.25"/>
    <n v="-10187919.67"/>
    <n v="-499878.73"/>
  </r>
  <r>
    <x v="19"/>
    <x v="7"/>
    <x v="0"/>
    <s v="4400150"/>
    <n v="400020"/>
    <s v="O/P Care Svcs Rev--Medicaid"/>
    <s v="Surgery Services"/>
    <x v="0"/>
    <n v="1200"/>
    <n v="-302740.27"/>
    <n v="-652489.6"/>
    <n v="-373165.81"/>
    <n v="-358795.93"/>
    <n v="-317847.71999999997"/>
    <n v="-586726.61"/>
    <n v="-345495.61"/>
    <n v="-313336.69"/>
    <n v="-687078.05"/>
    <n v="-593235.6"/>
    <n v="-501635.52"/>
    <n v="-566631.82999999996"/>
    <n v="-5599179.2400000002"/>
    <n v="64996.309999999939"/>
  </r>
  <r>
    <x v="19"/>
    <x v="7"/>
    <x v="0"/>
    <s v="4400150"/>
    <n v="400020"/>
    <s v="O/P Care Svcs Rev--Comm Insurance"/>
    <s v="Surgery Services"/>
    <x v="0"/>
    <n v="1300"/>
    <n v="24252.34"/>
    <n v="45603.88"/>
    <n v="-123363.08"/>
    <n v="-147375.51"/>
    <n v="115991.54"/>
    <n v="-140984.89000000001"/>
    <n v="-134733.70000000001"/>
    <n v="-97027.17"/>
    <n v="-1041.3599999999999"/>
    <n v="-99396.72"/>
    <n v="-126969.7"/>
    <n v="-91049.73"/>
    <n v="-776094.1"/>
    <n v="-35919.97"/>
  </r>
  <r>
    <x v="19"/>
    <x v="7"/>
    <x v="0"/>
    <s v="4400150"/>
    <n v="400020"/>
    <s v="O/P Care Svcs Rev--BCBS Comm"/>
    <s v="Surgery Services"/>
    <x v="0"/>
    <n v="1301"/>
    <n v="-241820.52"/>
    <n v="-243328.8"/>
    <n v="-345406.56"/>
    <n v="-598787.17000000004"/>
    <n v="-353006.48"/>
    <n v="-326425.8"/>
    <n v="-403761.64"/>
    <n v="-358081.11"/>
    <n v="-464079.59"/>
    <n v="-362619.7"/>
    <n v="-309556.07"/>
    <n v="-274522.99"/>
    <n v="-4281396.43"/>
    <n v="-35033.080000000016"/>
  </r>
  <r>
    <x v="19"/>
    <x v="7"/>
    <x v="0"/>
    <s v="4400150"/>
    <n v="400020"/>
    <s v="O/P Care Svcs Rev--Managed Care"/>
    <s v="Surgery Services"/>
    <x v="0"/>
    <n v="1400"/>
    <n v="-649147.73"/>
    <n v="-910667.11"/>
    <n v="-652176.01"/>
    <n v="-758262.99"/>
    <n v="-1095950.08"/>
    <n v="-1119758.3500000001"/>
    <n v="-1044771.52"/>
    <n v="-838787.94"/>
    <n v="-999701.99"/>
    <n v="-717441.48"/>
    <n v="-556747.61"/>
    <n v="-982440.9"/>
    <n v="-10325853.709999999"/>
    <n v="425693.29000000004"/>
  </r>
  <r>
    <x v="19"/>
    <x v="7"/>
    <x v="0"/>
    <s v="4400150"/>
    <n v="400020"/>
    <s v="O/P Care Svcs Rev--Self Pay"/>
    <s v="Surgery Services"/>
    <x v="0"/>
    <n v="1500"/>
    <n v="-28552.799999999999"/>
    <n v="18296.37"/>
    <n v="-25868.37"/>
    <n v="0"/>
    <n v="-67925.23"/>
    <n v="-30212.71"/>
    <n v="0"/>
    <n v="0"/>
    <n v="-29713.53"/>
    <n v="-42585.41"/>
    <n v="-24181.68"/>
    <n v="-41766.910000000003"/>
    <n v="-272510.27"/>
    <n v="17585.230000000003"/>
  </r>
  <r>
    <x v="19"/>
    <x v="7"/>
    <x v="0"/>
    <s v="4400150"/>
    <n v="400020"/>
    <s v="O/P Care Svcs Rev--Other"/>
    <s v="Surgery Services"/>
    <x v="0"/>
    <n v="1700"/>
    <n v="-252301.72"/>
    <n v="-112279.22"/>
    <n v="-183174.04"/>
    <n v="-212923.76"/>
    <n v="-252624.3"/>
    <n v="-252188.42"/>
    <n v="-114322.16"/>
    <n v="-198760.28"/>
    <n v="-246002.19"/>
    <n v="-267240.83"/>
    <n v="-277693.46999999997"/>
    <n v="-323161.40000000002"/>
    <n v="-2692671.7899999996"/>
    <n v="45467.930000000051"/>
  </r>
  <r>
    <x v="5"/>
    <x v="7"/>
    <x v="0"/>
    <s v="4400150"/>
    <n v="700014"/>
    <s v="Salaries-Management-Productive"/>
    <s v="Surgery Services"/>
    <x v="0"/>
    <m/>
    <n v="8344.91"/>
    <n v="13066.14"/>
    <n v="11127.49"/>
    <n v="12020.53"/>
    <n v="9960.74"/>
    <n v="6453"/>
    <n v="12405.46"/>
    <n v="11320.17"/>
    <n v="12447.86"/>
    <n v="9715.11"/>
    <n v="13141.79"/>
    <n v="12361.28"/>
    <n v="132364.47999999998"/>
    <n v="780.51000000000022"/>
  </r>
  <r>
    <x v="5"/>
    <x v="7"/>
    <x v="0"/>
    <s v="4400150"/>
    <n v="700026"/>
    <s v="Salaries-RN-Productive"/>
    <s v="Surgery Services"/>
    <x v="0"/>
    <m/>
    <n v="38949.839999999997"/>
    <n v="44720.76"/>
    <n v="47056.85"/>
    <n v="54258.02"/>
    <n v="50016.639999999999"/>
    <n v="48100.08"/>
    <n v="49835.01"/>
    <n v="44430.76"/>
    <n v="58360.88"/>
    <n v="48405.38"/>
    <n v="58920.91"/>
    <n v="43196.04"/>
    <n v="586251.17000000004"/>
    <n v="15724.870000000003"/>
  </r>
  <r>
    <x v="5"/>
    <x v="7"/>
    <x v="0"/>
    <s v="4400150"/>
    <n v="700026"/>
    <s v="Salaries-RN-OT"/>
    <s v="Surgery Services"/>
    <x v="0"/>
    <n v="1000"/>
    <n v="1124.92"/>
    <n v="5676.56"/>
    <n v="4083.73"/>
    <n v="2765.86"/>
    <n v="2984.23"/>
    <n v="6071.21"/>
    <n v="4266.12"/>
    <n v="4003.07"/>
    <n v="6516"/>
    <n v="3440.58"/>
    <n v="3372.99"/>
    <n v="4154.8"/>
    <n v="48460.07"/>
    <n v="-781.8100000000004"/>
  </r>
  <r>
    <x v="5"/>
    <x v="7"/>
    <x v="0"/>
    <s v="4400150"/>
    <n v="700026"/>
    <s v="Salaries-RN-Other"/>
    <s v="Surgery Services"/>
    <x v="0"/>
    <n v="2000"/>
    <n v="4330.3900000000003"/>
    <n v="5063.07"/>
    <n v="4995.91"/>
    <n v="4922.71"/>
    <n v="4380.41"/>
    <n v="4582.2"/>
    <n v="4681.09"/>
    <n v="5197.8599999999997"/>
    <n v="4495.1099999999997"/>
    <n v="4281.7299999999996"/>
    <n v="5106.3999999999996"/>
    <n v="4408.28"/>
    <n v="56445.159999999996"/>
    <n v="698.11999999999989"/>
  </r>
  <r>
    <x v="5"/>
    <x v="7"/>
    <x v="0"/>
    <s v="4400150"/>
    <n v="700032"/>
    <s v="Salaries-Other Pat Care Providers-Productive"/>
    <s v="Surgery Services"/>
    <x v="0"/>
    <m/>
    <n v="7977.25"/>
    <n v="6846.74"/>
    <n v="6055.4"/>
    <n v="6813.03"/>
    <n v="6456.81"/>
    <n v="7225.79"/>
    <n v="9653.6299999999992"/>
    <n v="7888.18"/>
    <n v="10717.86"/>
    <n v="10355.4"/>
    <n v="9615.41"/>
    <n v="7999.8"/>
    <n v="97605.3"/>
    <n v="1615.6099999999997"/>
  </r>
  <r>
    <x v="5"/>
    <x v="7"/>
    <x v="0"/>
    <s v="4400150"/>
    <n v="700032"/>
    <s v="Salaries-Other Pat Care Providers-OT"/>
    <s v="Surgery Services"/>
    <x v="0"/>
    <n v="1000"/>
    <n v="117.84"/>
    <n v="431.85"/>
    <n v="35.380000000000003"/>
    <n v="158.28"/>
    <n v="3.2"/>
    <n v="384.52"/>
    <n v="286.14999999999998"/>
    <n v="286.77"/>
    <n v="404.38"/>
    <n v="584.98"/>
    <n v="231.56"/>
    <n v="-27.97"/>
    <n v="2896.9400000000005"/>
    <n v="259.52999999999997"/>
  </r>
  <r>
    <x v="5"/>
    <x v="7"/>
    <x v="0"/>
    <s v="4400150"/>
    <n v="700032"/>
    <s v="Salaries-Other Pat Care Providers-Other"/>
    <s v="Surgery Services"/>
    <x v="0"/>
    <n v="2000"/>
    <n v="385.03"/>
    <n v="146.91"/>
    <n v="203.76"/>
    <n v="146.69"/>
    <n v="209.87"/>
    <n v="247.09"/>
    <n v="178.95"/>
    <n v="187.75"/>
    <n v="150.91"/>
    <n v="317.08999999999997"/>
    <n v="228.67"/>
    <n v="354.79"/>
    <n v="2757.5099999999998"/>
    <n v="-126.12000000000003"/>
  </r>
  <r>
    <x v="5"/>
    <x v="7"/>
    <x v="0"/>
    <s v="4400150"/>
    <n v="700034"/>
    <s v="Salaries-Tech/Professional-Productive"/>
    <s v="Surgery Services"/>
    <x v="0"/>
    <m/>
    <n v="22674.48"/>
    <n v="23352.09"/>
    <n v="21295.26"/>
    <n v="23719.32"/>
    <n v="22993.200000000001"/>
    <n v="20574.990000000002"/>
    <n v="21836.19"/>
    <n v="20113.38"/>
    <n v="27201.74"/>
    <n v="24162.080000000002"/>
    <n v="19776.02"/>
    <n v="20353.830000000002"/>
    <n v="268052.57999999996"/>
    <n v="-577.81000000000131"/>
  </r>
  <r>
    <x v="5"/>
    <x v="7"/>
    <x v="0"/>
    <s v="4400150"/>
    <n v="700034"/>
    <s v="Salaries-Tech/Professional-OT"/>
    <s v="Surgery Services"/>
    <x v="0"/>
    <n v="1000"/>
    <n v="422.82"/>
    <n v="2299.39"/>
    <n v="422.62"/>
    <n v="515.86"/>
    <n v="1156.83"/>
    <n v="2357.1999999999998"/>
    <n v="1784.2"/>
    <n v="1413.38"/>
    <n v="3423.21"/>
    <n v="620.83000000000004"/>
    <n v="1189.1600000000001"/>
    <n v="977.83"/>
    <n v="16583.329999999998"/>
    <n v="211.33000000000004"/>
  </r>
  <r>
    <x v="5"/>
    <x v="7"/>
    <x v="0"/>
    <s v="4400150"/>
    <n v="700034"/>
    <s v="Salaries-Tech/Professional-Other"/>
    <s v="Surgery Services"/>
    <x v="0"/>
    <n v="2000"/>
    <n v="3273.74"/>
    <n v="3189.04"/>
    <n v="2683.16"/>
    <n v="2776.47"/>
    <n v="3096.65"/>
    <n v="3337.31"/>
    <n v="3044.01"/>
    <n v="2815.68"/>
    <n v="2874.42"/>
    <n v="3345.95"/>
    <n v="2186.34"/>
    <n v="2641.92"/>
    <n v="35264.689999999995"/>
    <n v="-455.57999999999993"/>
  </r>
  <r>
    <x v="5"/>
    <x v="7"/>
    <x v="0"/>
    <s v="4400150"/>
    <n v="700038"/>
    <s v="Salaries-Service/Support-Productive"/>
    <s v="Surgery Services"/>
    <x v="0"/>
    <m/>
    <n v="4560.68"/>
    <n v="2392.91"/>
    <n v="4070.53"/>
    <n v="1463.51"/>
    <n v="4878.6400000000003"/>
    <n v="2921.01"/>
    <n v="4265.91"/>
    <n v="406.88"/>
    <n v="262.99"/>
    <n v="4383.62"/>
    <n v="4151.95"/>
    <n v="2653.16"/>
    <n v="36411.789999999994"/>
    <n v="1498.79"/>
  </r>
  <r>
    <x v="5"/>
    <x v="7"/>
    <x v="0"/>
    <s v="4400150"/>
    <n v="700038"/>
    <s v="Salaries-Service/Support-OT"/>
    <s v="Surgery Services"/>
    <x v="0"/>
    <n v="1000"/>
    <n v="194.28"/>
    <n v="88.96"/>
    <n v="260.5"/>
    <n v="137.22999999999999"/>
    <n v="444.2"/>
    <n v="68.73"/>
    <n v="274.48"/>
    <n v="-53.24"/>
    <n v="0"/>
    <n v="239.21"/>
    <n v="214.67"/>
    <n v="109.78"/>
    <n v="1978.8000000000002"/>
    <n v="104.88999999999999"/>
  </r>
  <r>
    <x v="5"/>
    <x v="7"/>
    <x v="0"/>
    <s v="4400150"/>
    <n v="700038"/>
    <s v="Salaries-Service/Support-Other"/>
    <s v="Surgery Services"/>
    <x v="0"/>
    <n v="2000"/>
    <n v="177.69"/>
    <n v="-16.170000000000002"/>
    <n v="0"/>
    <n v="0"/>
    <n v="0"/>
    <n v="0"/>
    <n v="72.849999999999994"/>
    <n v="77.319999999999993"/>
    <n v="39.46"/>
    <n v="-3.06"/>
    <n v="26.19"/>
    <n v="19.46"/>
    <n v="393.7399999999999"/>
    <n v="6.73"/>
  </r>
  <r>
    <x v="5"/>
    <x v="7"/>
    <x v="0"/>
    <s v="4400150"/>
    <n v="700054"/>
    <s v="Salaries-Management-Non-productive"/>
    <s v="Surgery Services"/>
    <x v="0"/>
    <m/>
    <n v="4720.6400000000003"/>
    <n v="0"/>
    <n v="1517.33"/>
    <n v="1335.61"/>
    <n v="3031.48"/>
    <n v="6972.74"/>
    <n v="1041.26"/>
    <n v="824.03"/>
    <n v="997.6"/>
    <n v="3296.17"/>
    <n v="303.66000000000003"/>
    <n v="650.64"/>
    <n v="24691.159999999993"/>
    <n v="-346.97999999999996"/>
  </r>
  <r>
    <x v="5"/>
    <x v="7"/>
    <x v="0"/>
    <s v="4400150"/>
    <n v="700054"/>
    <s v="Salaries-Management-NonProd-Other"/>
    <s v="Surgery Services"/>
    <x v="0"/>
    <n v="2000"/>
    <n v="0"/>
    <n v="0"/>
    <n v="0"/>
    <n v="0"/>
    <n v="571.23"/>
    <n v="1142.46"/>
    <n v="0"/>
    <n v="-1713.69"/>
    <n v="0"/>
    <n v="0"/>
    <n v="0"/>
    <n v="0"/>
    <n v="0"/>
    <n v="0"/>
  </r>
  <r>
    <x v="5"/>
    <x v="7"/>
    <x v="0"/>
    <s v="4400150"/>
    <n v="700066"/>
    <s v="Salaries-RN-Non-productive"/>
    <s v="Surgery Services"/>
    <x v="0"/>
    <m/>
    <n v="6865.13"/>
    <n v="6810.2"/>
    <n v="7166.66"/>
    <n v="5880.76"/>
    <n v="4388.55"/>
    <n v="7032.25"/>
    <n v="5729.49"/>
    <n v="8014.08"/>
    <n v="1625.59"/>
    <n v="11136.13"/>
    <n v="3356.58"/>
    <n v="12752.12"/>
    <n v="80757.539999999994"/>
    <n v="-9395.5400000000009"/>
  </r>
  <r>
    <x v="5"/>
    <x v="7"/>
    <x v="0"/>
    <s v="4400150"/>
    <n v="700066"/>
    <s v="Salaries-RN-NonProd-Other"/>
    <s v="Surgery Services"/>
    <x v="0"/>
    <n v="2000"/>
    <n v="387.8"/>
    <n v="591.22"/>
    <n v="195.32"/>
    <n v="530.9"/>
    <n v="479.81"/>
    <n v="713.6"/>
    <n v="426.19"/>
    <n v="311.11"/>
    <n v="877.9"/>
    <n v="233.59"/>
    <n v="224.62"/>
    <n v="1319.56"/>
    <n v="6291.619999999999"/>
    <n v="-1094.94"/>
  </r>
  <r>
    <x v="5"/>
    <x v="7"/>
    <x v="0"/>
    <s v="4400150"/>
    <n v="700072"/>
    <s v="Salaries-Other Pat Care Providers-Non-productive"/>
    <s v="Surgery Services"/>
    <x v="0"/>
    <m/>
    <n v="1082.68"/>
    <n v="1826.12"/>
    <n v="1498.59"/>
    <n v="1786.47"/>
    <n v="1008.66"/>
    <n v="1854.1"/>
    <n v="1095.3800000000001"/>
    <n v="1616.64"/>
    <n v="1228.93"/>
    <n v="302.61"/>
    <n v="1493.62"/>
    <n v="1619.8"/>
    <n v="16413.599999999999"/>
    <n v="-126.18000000000006"/>
  </r>
  <r>
    <x v="5"/>
    <x v="7"/>
    <x v="0"/>
    <s v="4400150"/>
    <n v="700072"/>
    <s v="Salaries-Other Pat Care Providers-NonProd-Other"/>
    <s v="Surgery Services"/>
    <x v="0"/>
    <n v="2000"/>
    <n v="339.07"/>
    <n v="182.37"/>
    <n v="80.34"/>
    <n v="105.94"/>
    <n v="85.27"/>
    <n v="137.79"/>
    <n v="251.8"/>
    <n v="168.62"/>
    <n v="236.53"/>
    <n v="175.19"/>
    <n v="386.88"/>
    <n v="225.48"/>
    <n v="2375.2799999999997"/>
    <n v="161.4"/>
  </r>
  <r>
    <x v="5"/>
    <x v="7"/>
    <x v="0"/>
    <s v="4400150"/>
    <n v="700074"/>
    <s v="Salaries-Tech/Professional-Non-productive"/>
    <s v="Surgery Services"/>
    <x v="0"/>
    <m/>
    <n v="2522.36"/>
    <n v="5830.99"/>
    <n v="1731.68"/>
    <n v="2460.2199999999998"/>
    <n v="2409.87"/>
    <n v="3825.37"/>
    <n v="1112.3599999999999"/>
    <n v="4843.8"/>
    <n v="691.44"/>
    <n v="2602.77"/>
    <n v="4897.63"/>
    <n v="3217.71"/>
    <n v="36146.199999999997"/>
    <n v="1679.92"/>
  </r>
  <r>
    <x v="5"/>
    <x v="7"/>
    <x v="0"/>
    <s v="4400150"/>
    <n v="700074"/>
    <s v="Salaries-Tech/Professional-NonProd-Other"/>
    <s v="Surgery Services"/>
    <x v="0"/>
    <n v="2000"/>
    <n v="627.13"/>
    <n v="434.04"/>
    <n v="207.28"/>
    <n v="345.18"/>
    <n v="566.66"/>
    <n v="412.54"/>
    <n v="412.74"/>
    <n v="228.39"/>
    <n v="806.55"/>
    <n v="131.07"/>
    <n v="336.4"/>
    <n v="680.79"/>
    <n v="5188.7699999999986"/>
    <n v="-344.39"/>
  </r>
  <r>
    <x v="5"/>
    <x v="7"/>
    <x v="0"/>
    <s v="4400150"/>
    <n v="700078"/>
    <s v="Salaries-Service/Support-Non-productive"/>
    <s v="Surgery Services"/>
    <x v="0"/>
    <m/>
    <n v="237.2"/>
    <n v="1355.36"/>
    <n v="-406.56"/>
    <n v="2617.69"/>
    <n v="207.78"/>
    <n v="714.96"/>
    <n v="-384.78"/>
    <n v="4198.1899999999996"/>
    <n v="340.9"/>
    <n v="0"/>
    <n v="29.49"/>
    <n v="964.53"/>
    <n v="9874.76"/>
    <n v="-935.04"/>
  </r>
  <r>
    <x v="5"/>
    <x v="7"/>
    <x v="0"/>
    <s v="4400150"/>
    <n v="700078"/>
    <s v="Salaries-Service/Support-NonProd-Other"/>
    <s v="Surgery Services"/>
    <x v="0"/>
    <n v="2000"/>
    <n v="0"/>
    <n v="0"/>
    <n v="74.13"/>
    <n v="7.41"/>
    <n v="0"/>
    <n v="0"/>
    <n v="0"/>
    <n v="0"/>
    <n v="0"/>
    <n v="0"/>
    <n v="0"/>
    <n v="0"/>
    <n v="81.539999999999992"/>
    <n v="0"/>
  </r>
  <r>
    <x v="5"/>
    <x v="7"/>
    <x v="0"/>
    <s v="4400150"/>
    <n v="700084"/>
    <s v="Accrued PTO"/>
    <s v="Surgery Services"/>
    <x v="0"/>
    <m/>
    <n v="-4149.0600000000004"/>
    <n v="-2583.2600000000002"/>
    <n v="-1018.35"/>
    <n v="1466.7"/>
    <n v="2296.16"/>
    <n v="-8579.11"/>
    <n v="5095.6400000000003"/>
    <n v="-733.52"/>
    <n v="4674.17"/>
    <n v="1520.71"/>
    <n v="233.95"/>
    <n v="-4206.08"/>
    <n v="-5982.0500000000011"/>
    <n v="4440.03"/>
  </r>
  <r>
    <x v="10"/>
    <x v="7"/>
    <x v="0"/>
    <s v="4400150"/>
    <n v="710060"/>
    <s v="Contract Labor-Other"/>
    <s v="Surgery Services"/>
    <x v="0"/>
    <m/>
    <n v="52932.74"/>
    <n v="-4855.95"/>
    <n v="14783.46"/>
    <n v="5681.5"/>
    <n v="10849.95"/>
    <n v="6384.95"/>
    <n v="3728.27"/>
    <n v="5447.3"/>
    <n v="0"/>
    <n v="0"/>
    <n v="1138.58"/>
    <n v="535.79999999999995"/>
    <n v="96626.6"/>
    <n v="602.78"/>
  </r>
  <r>
    <x v="10"/>
    <x v="7"/>
    <x v="0"/>
    <s v="4400150"/>
    <n v="710060"/>
    <s v="Contract Labor-Overtime"/>
    <s v="Surgery Services"/>
    <x v="0"/>
    <n v="5100"/>
    <n v="577.16999999999996"/>
    <n v="0"/>
    <n v="0"/>
    <n v="180.84"/>
    <n v="512.38"/>
    <n v="60.28"/>
    <n v="542.52"/>
    <n v="542.52"/>
    <n v="0"/>
    <n v="0"/>
    <n v="271.26"/>
    <n v="0"/>
    <n v="2686.9700000000003"/>
    <n v="271.26"/>
  </r>
  <r>
    <x v="10"/>
    <x v="7"/>
    <x v="0"/>
    <s v="4400150"/>
    <n v="710060"/>
    <s v="Contract Labor-Standby Wages"/>
    <s v="Surgery Services"/>
    <x v="0"/>
    <n v="5101"/>
    <n v="396"/>
    <n v="120"/>
    <n v="196"/>
    <n v="128"/>
    <n v="128"/>
    <n v="192"/>
    <n v="128"/>
    <n v="64"/>
    <n v="0"/>
    <n v="0"/>
    <n v="0"/>
    <n v="0"/>
    <n v="1352"/>
    <n v="0"/>
  </r>
  <r>
    <x v="6"/>
    <x v="7"/>
    <x v="0"/>
    <s v="4400150"/>
    <n v="713010"/>
    <s v="Benefits-FICA/Medicare"/>
    <s v="Surgery Services"/>
    <x v="0"/>
    <m/>
    <n v="8001.41"/>
    <n v="9146.69"/>
    <n v="8398.18"/>
    <n v="9196.33"/>
    <n v="7781.68"/>
    <n v="8765.59"/>
    <n v="8978.9500000000007"/>
    <n v="8707.98"/>
    <n v="9837.84"/>
    <n v="9389.67"/>
    <n v="9494.5"/>
    <n v="8857.17"/>
    <n v="106555.98999999999"/>
    <n v="637.32999999999993"/>
  </r>
  <r>
    <x v="6"/>
    <x v="7"/>
    <x v="0"/>
    <s v="4400150"/>
    <n v="713090"/>
    <s v="Benefits-Allocated Amounts"/>
    <s v="Surgery Services"/>
    <x v="0"/>
    <m/>
    <n v="20109.830000000002"/>
    <n v="20120.91"/>
    <n v="20878.62"/>
    <n v="22847.27"/>
    <n v="21678.99"/>
    <n v="20816.02"/>
    <n v="22840.14"/>
    <n v="21108.86"/>
    <n v="22295.01"/>
    <n v="24699.4"/>
    <n v="23230.66"/>
    <n v="23270.85"/>
    <n v="263896.56"/>
    <n v="-40.18999999999869"/>
  </r>
  <r>
    <x v="6"/>
    <x v="7"/>
    <x v="0"/>
    <s v="4400150"/>
    <n v="713096"/>
    <s v="Employee Recognition"/>
    <s v="Surgery Services"/>
    <x v="0"/>
    <n v="1017"/>
    <n v="0"/>
    <n v="227.02"/>
    <n v="0"/>
    <n v="227.38"/>
    <n v="0"/>
    <n v="0"/>
    <n v="0"/>
    <n v="597.25"/>
    <n v="244.52"/>
    <n v="263.01"/>
    <n v="410"/>
    <n v="0"/>
    <n v="1969.18"/>
    <n v="410"/>
  </r>
  <r>
    <x v="17"/>
    <x v="7"/>
    <x v="0"/>
    <s v="4400150"/>
    <n v="714520"/>
    <s v="Other Contracted Professionals"/>
    <s v="Surgery Services"/>
    <x v="0"/>
    <m/>
    <n v="0"/>
    <n v="495.15"/>
    <n v="0"/>
    <n v="0"/>
    <n v="0"/>
    <n v="0"/>
    <n v="0"/>
    <n v="0"/>
    <n v="0"/>
    <n v="0"/>
    <n v="0"/>
    <n v="0"/>
    <n v="495.15"/>
    <n v="0"/>
  </r>
  <r>
    <x v="17"/>
    <x v="7"/>
    <x v="0"/>
    <s v="4400150"/>
    <n v="714530"/>
    <s v="Medical Prof Fees-Intracompany"/>
    <s v="Surgery Services"/>
    <x v="0"/>
    <m/>
    <n v="3120.48"/>
    <n v="1545.45"/>
    <n v="2748.01"/>
    <n v="3870.54"/>
    <n v="5590.79"/>
    <n v="3911.75"/>
    <n v="14503.45"/>
    <n v="7130.39"/>
    <n v="8513.41"/>
    <n v="7007.38"/>
    <n v="6730.73"/>
    <n v="-6818.97"/>
    <n v="57853.41"/>
    <n v="13549.7"/>
  </r>
  <r>
    <x v="7"/>
    <x v="7"/>
    <x v="0"/>
    <s v="4400150"/>
    <n v="718050"/>
    <s v="Contract Svcs-Other"/>
    <s v="Surgery Services"/>
    <x v="0"/>
    <m/>
    <n v="0"/>
    <n v="645.66"/>
    <n v="108.64"/>
    <n v="310.38"/>
    <n v="120.98"/>
    <n v="965.58"/>
    <n v="142.36000000000001"/>
    <n v="2218.5300000000002"/>
    <n v="679.18"/>
    <n v="152.68"/>
    <n v="491.9"/>
    <n v="361.38"/>
    <n v="6197.27"/>
    <n v="130.51999999999998"/>
  </r>
  <r>
    <x v="7"/>
    <x v="7"/>
    <x v="0"/>
    <s v="4400150"/>
    <n v="718050"/>
    <s v="Miscellaneous Purchased Svcs"/>
    <s v="Surgery Services"/>
    <x v="0"/>
    <n v="1020"/>
    <n v="63.39"/>
    <n v="0"/>
    <n v="18.73"/>
    <n v="486.02"/>
    <n v="680.4"/>
    <n v="1400"/>
    <n v="250"/>
    <n v="0"/>
    <n v="1736"/>
    <n v="0"/>
    <n v="311.04000000000002"/>
    <n v="0"/>
    <n v="4945.58"/>
    <n v="311.04000000000002"/>
  </r>
  <r>
    <x v="7"/>
    <x v="7"/>
    <x v="0"/>
    <s v="4400150"/>
    <n v="718050"/>
    <s v="Translation Services"/>
    <s v="Surgery Services"/>
    <x v="0"/>
    <n v="1025"/>
    <n v="0"/>
    <n v="0"/>
    <n v="0"/>
    <n v="171.5"/>
    <n v="248.75"/>
    <n v="0"/>
    <n v="0"/>
    <n v="0"/>
    <n v="659.98"/>
    <n v="208"/>
    <n v="0"/>
    <n v="0"/>
    <n v="1288.23"/>
    <n v="0"/>
  </r>
  <r>
    <x v="7"/>
    <x v="7"/>
    <x v="0"/>
    <s v="4400150"/>
    <n v="718050"/>
    <s v="Contract Management--Linen"/>
    <s v="Surgery Services"/>
    <x v="0"/>
    <n v="1026"/>
    <n v="1193.24"/>
    <n v="1678.31"/>
    <n v="1680.13"/>
    <n v="1506.56"/>
    <n v="1538.43"/>
    <n v="1431.18"/>
    <n v="1124.4000000000001"/>
    <n v="1192.22"/>
    <n v="1092.46"/>
    <n v="1565.01"/>
    <n v="1461.28"/>
    <n v="1664.94"/>
    <n v="17128.16"/>
    <n v="-203.66000000000008"/>
  </r>
  <r>
    <x v="7"/>
    <x v="7"/>
    <x v="0"/>
    <s v="4400150"/>
    <n v="718070"/>
    <s v="Contract Srvcs-CHI Clinical Engineering"/>
    <s v="Surgery Services"/>
    <x v="0"/>
    <m/>
    <n v="2953.39"/>
    <n v="5313.17"/>
    <n v="3797.85"/>
    <n v="3797.85"/>
    <n v="4521.3599999999997"/>
    <n v="3645.81"/>
    <n v="4521.3599999999997"/>
    <n v="4521.3599999999997"/>
    <n v="4522.76"/>
    <n v="4522.76"/>
    <n v="4470.6499999999996"/>
    <n v="3116.6"/>
    <n v="49704.920000000006"/>
    <n v="1354.0499999999997"/>
  </r>
  <r>
    <x v="7"/>
    <x v="7"/>
    <x v="0"/>
    <s v="4400150"/>
    <n v="718091"/>
    <s v="Contract Services-Intracompany Allocation"/>
    <s v="Surgery Services"/>
    <x v="0"/>
    <m/>
    <n v="4286.91"/>
    <n v="4026.18"/>
    <n v="3809.6"/>
    <n v="4791.42"/>
    <n v="4158.58"/>
    <n v="3710.14"/>
    <n v="4431.3100000000004"/>
    <n v="3757.24"/>
    <n v="4790.97"/>
    <n v="4466.87"/>
    <n v="4310.75"/>
    <n v="4050.04"/>
    <n v="50590.010000000009"/>
    <n v="260.71000000000004"/>
  </r>
  <r>
    <x v="11"/>
    <x v="7"/>
    <x v="0"/>
    <s v="4400150"/>
    <n v="721010"/>
    <s v="Supplies-Medical - Billable"/>
    <s v="Surgery Services"/>
    <x v="0"/>
    <m/>
    <n v="3839.31"/>
    <n v="3272.44"/>
    <n v="2575.89"/>
    <n v="2819.99"/>
    <n v="4068.51"/>
    <n v="1049.96"/>
    <n v="3612.94"/>
    <n v="2423.54"/>
    <n v="4106.53"/>
    <n v="2601.0700000000002"/>
    <n v="2970.84"/>
    <n v="2611.0500000000002"/>
    <n v="35952.07"/>
    <n v="359.78999999999996"/>
  </r>
  <r>
    <x v="11"/>
    <x v="7"/>
    <x v="0"/>
    <s v="4400150"/>
    <n v="721010"/>
    <s v="Patient Monitoring"/>
    <s v="Surgery Services"/>
    <x v="0"/>
    <n v="1000"/>
    <n v="0"/>
    <n v="0"/>
    <n v="48.22"/>
    <n v="225.69"/>
    <n v="0"/>
    <n v="162.9"/>
    <n v="540.42999999999995"/>
    <n v="93.22"/>
    <n v="-8.9"/>
    <n v="3.07"/>
    <n v="181.14"/>
    <n v="76.62"/>
    <n v="1322.3899999999994"/>
    <n v="104.51999999999998"/>
  </r>
  <r>
    <x v="11"/>
    <x v="7"/>
    <x v="0"/>
    <s v="4400150"/>
    <n v="721020"/>
    <s v="Supplies-Surgical - Billable"/>
    <s v="Surgery Services"/>
    <x v="0"/>
    <m/>
    <n v="20108.900000000001"/>
    <n v="34287.22"/>
    <n v="20403"/>
    <n v="12811.64"/>
    <n v="30109.29"/>
    <n v="31025.02"/>
    <n v="34316.300000000003"/>
    <n v="21844.12"/>
    <n v="38437.35"/>
    <n v="35183.83"/>
    <n v="24714"/>
    <n v="30083.52"/>
    <n v="333324.19"/>
    <n v="-5369.52"/>
  </r>
  <r>
    <x v="11"/>
    <x v="7"/>
    <x v="0"/>
    <s v="4400150"/>
    <n v="721020"/>
    <s v="Custom Packs"/>
    <s v="Surgery Services"/>
    <x v="0"/>
    <n v="1000"/>
    <n v="2074.2199999999998"/>
    <n v="2304.12"/>
    <n v="2016.71"/>
    <n v="2628.23"/>
    <n v="2213.33"/>
    <n v="2420.4899999999998"/>
    <n v="2568.73"/>
    <n v="2315.9899999999998"/>
    <n v="2828.63"/>
    <n v="2024.37"/>
    <n v="2178.34"/>
    <n v="2019.73"/>
    <n v="27592.89"/>
    <n v="158.61000000000013"/>
  </r>
  <r>
    <x v="11"/>
    <x v="7"/>
    <x v="0"/>
    <s v="4400150"/>
    <n v="721020"/>
    <s v="Suture/Wound Closure"/>
    <s v="Surgery Services"/>
    <x v="0"/>
    <n v="1001"/>
    <n v="3611.57"/>
    <n v="5837.64"/>
    <n v="3203.66"/>
    <n v="6023.37"/>
    <n v="6460.73"/>
    <n v="10544.51"/>
    <n v="17562.849999999999"/>
    <n v="5370.75"/>
    <n v="14805.15"/>
    <n v="18955.349999999999"/>
    <n v="11917.23"/>
    <n v="13498.03"/>
    <n v="117790.83999999998"/>
    <n v="-1580.8000000000011"/>
  </r>
  <r>
    <x v="11"/>
    <x v="7"/>
    <x v="0"/>
    <s v="4400150"/>
    <n v="721020"/>
    <s v="Endoscopy - Trocars &amp; Accessories"/>
    <s v="Surgery Services"/>
    <x v="0"/>
    <n v="1002"/>
    <n v="1526.48"/>
    <n v="1002"/>
    <n v="1477.14"/>
    <n v="1403"/>
    <n v="767"/>
    <n v="1374"/>
    <n v="859"/>
    <n v="324"/>
    <n v="1827"/>
    <n v="618.96"/>
    <n v="975"/>
    <n v="672"/>
    <n v="12825.579999999998"/>
    <n v="303"/>
  </r>
  <r>
    <x v="11"/>
    <x v="7"/>
    <x v="0"/>
    <s v="4400150"/>
    <n v="721020"/>
    <s v="Endomechanical Supplies &amp; Instruments"/>
    <s v="Surgery Services"/>
    <x v="0"/>
    <n v="1003"/>
    <n v="1903.1"/>
    <n v="2158"/>
    <n v="2087.96"/>
    <n v="592.48"/>
    <n v="1639.4"/>
    <n v="1537.36"/>
    <n v="1873.55"/>
    <n v="1807.19"/>
    <n v="2058.5500000000002"/>
    <n v="3098.18"/>
    <n v="4647.79"/>
    <n v="1025.27"/>
    <n v="24428.83"/>
    <n v="3622.52"/>
  </r>
  <r>
    <x v="11"/>
    <x v="7"/>
    <x v="0"/>
    <s v="4400150"/>
    <n v="721020"/>
    <s v="Bone Cement &amp; Supplies"/>
    <s v="Surgery Services"/>
    <x v="0"/>
    <n v="1004"/>
    <n v="3166.36"/>
    <n v="1830.08"/>
    <n v="1895.75"/>
    <n v="6145.74"/>
    <n v="1312.48"/>
    <n v="746.69"/>
    <n v="1795.11"/>
    <n v="1044.1199999999999"/>
    <n v="1301.47"/>
    <n v="927.52"/>
    <n v="499.17"/>
    <n v="232.71"/>
    <n v="20897.199999999997"/>
    <n v="266.46000000000004"/>
  </r>
  <r>
    <x v="11"/>
    <x v="7"/>
    <x v="0"/>
    <s v="4400150"/>
    <n v="721020"/>
    <s v="Urological Supplies"/>
    <s v="Surgery Services"/>
    <x v="0"/>
    <n v="1006"/>
    <n v="1385.44"/>
    <n v="0"/>
    <n v="0"/>
    <n v="102.66"/>
    <n v="0"/>
    <n v="480"/>
    <n v="779.97"/>
    <n v="56.46"/>
    <n v="0"/>
    <n v="56.46"/>
    <n v="639.58000000000004"/>
    <n v="173.46"/>
    <n v="3674.03"/>
    <n v="466.12"/>
  </r>
  <r>
    <x v="11"/>
    <x v="7"/>
    <x v="0"/>
    <s v="4400150"/>
    <n v="721020"/>
    <s v="Surgical Cardiovascular"/>
    <s v="Surgery Services"/>
    <x v="0"/>
    <n v="1007"/>
    <n v="65.53"/>
    <n v="2.88"/>
    <n v="0"/>
    <n v="-32.04"/>
    <n v="0"/>
    <n v="606.39"/>
    <n v="269.58"/>
    <n v="0"/>
    <n v="269.58"/>
    <n v="0"/>
    <n v="301.62"/>
    <n v="2.79"/>
    <n v="1486.33"/>
    <n v="298.83"/>
  </r>
  <r>
    <x v="11"/>
    <x v="7"/>
    <x v="0"/>
    <s v="4400150"/>
    <n v="721020"/>
    <s v="Tubes Drains &amp; Related Supplies"/>
    <s v="Surgery Services"/>
    <x v="0"/>
    <n v="1008"/>
    <n v="76.56"/>
    <n v="20.5"/>
    <n v="0"/>
    <n v="290.7"/>
    <n v="1125"/>
    <n v="76.209999999999994"/>
    <n v="41"/>
    <n v="0"/>
    <n v="0"/>
    <n v="0"/>
    <n v="346.2"/>
    <n v="383.4"/>
    <n v="2359.5700000000002"/>
    <n v="-37.199999999999989"/>
  </r>
  <r>
    <x v="11"/>
    <x v="7"/>
    <x v="0"/>
    <s v="4400150"/>
    <n v="721050"/>
    <s v="Supplies-Cardiac Rhythm - Billable"/>
    <s v="Surgery Services"/>
    <x v="0"/>
    <m/>
    <n v="0"/>
    <n v="58.4"/>
    <n v="1703.4"/>
    <n v="116.8"/>
    <n v="116.8"/>
    <n v="954.4"/>
    <n v="58.4"/>
    <n v="0"/>
    <n v="146"/>
    <n v="116.8"/>
    <n v="1015.6"/>
    <n v="116.8"/>
    <n v="4403.4000000000005"/>
    <n v="898.80000000000007"/>
  </r>
  <r>
    <x v="11"/>
    <x v="7"/>
    <x v="0"/>
    <s v="4400150"/>
    <n v="721120"/>
    <s v="Hip Prosthesis"/>
    <s v="Surgery Services"/>
    <x v="0"/>
    <n v="1000"/>
    <n v="5550"/>
    <n v="16198.35"/>
    <n v="2302"/>
    <n v="19121.57"/>
    <n v="18608.900000000001"/>
    <n v="13307"/>
    <n v="13416.8"/>
    <n v="18976.66"/>
    <n v="15361.9"/>
    <n v="9250"/>
    <n v="11950.7"/>
    <n v="7499.11"/>
    <n v="151542.99"/>
    <n v="4451.5900000000011"/>
  </r>
  <r>
    <x v="11"/>
    <x v="7"/>
    <x v="0"/>
    <s v="4400150"/>
    <n v="721120"/>
    <s v="Knee Prosthesis"/>
    <s v="Surgery Services"/>
    <x v="0"/>
    <n v="1001"/>
    <n v="45110"/>
    <n v="51084.5"/>
    <n v="17400"/>
    <n v="71191.25"/>
    <n v="43350"/>
    <n v="35710.03"/>
    <n v="77820.75"/>
    <n v="61213.599999999999"/>
    <n v="59834"/>
    <n v="34853.86"/>
    <n v="28020.9"/>
    <n v="22812.48"/>
    <n v="548401.37"/>
    <n v="5208.4200000000019"/>
  </r>
  <r>
    <x v="11"/>
    <x v="7"/>
    <x v="0"/>
    <s v="4400150"/>
    <n v="721120"/>
    <s v="Shoulder Prosthesis"/>
    <s v="Surgery Services"/>
    <x v="0"/>
    <n v="1002"/>
    <n v="0"/>
    <n v="0"/>
    <n v="0"/>
    <n v="0"/>
    <n v="950"/>
    <n v="0"/>
    <n v="0"/>
    <n v="0"/>
    <n v="0"/>
    <n v="0"/>
    <n v="0"/>
    <n v="0"/>
    <n v="950"/>
    <n v="0"/>
  </r>
  <r>
    <x v="11"/>
    <x v="7"/>
    <x v="0"/>
    <s v="4400150"/>
    <n v="721120"/>
    <s v="Joint Prostheses - Other"/>
    <s v="Surgery Services"/>
    <x v="0"/>
    <n v="1003"/>
    <n v="1936"/>
    <n v="0"/>
    <n v="0"/>
    <n v="13707.5"/>
    <n v="0"/>
    <n v="8882.5"/>
    <n v="1420.3"/>
    <n v="0"/>
    <n v="8882.5"/>
    <n v="7599.9"/>
    <n v="0"/>
    <n v="1623.2"/>
    <n v="44051.9"/>
    <n v="-1623.2"/>
  </r>
  <r>
    <x v="11"/>
    <x v="7"/>
    <x v="0"/>
    <s v="4400150"/>
    <n v="721150"/>
    <s v="Supplies-Other Implants - Billable"/>
    <s v="Surgery Services"/>
    <x v="0"/>
    <m/>
    <n v="0"/>
    <n v="0"/>
    <n v="2542.1"/>
    <n v="1759.95"/>
    <n v="2812.4"/>
    <n v="6470"/>
    <n v="3165"/>
    <n v="2479.62"/>
    <n v="2480"/>
    <n v="-60"/>
    <n v="3452"/>
    <n v="10408.16"/>
    <n v="35509.229999999996"/>
    <n v="-6956.16"/>
  </r>
  <r>
    <x v="11"/>
    <x v="7"/>
    <x v="0"/>
    <s v="4400150"/>
    <n v="721150"/>
    <s v="Surgical Orthopedic"/>
    <s v="Surgery Services"/>
    <x v="0"/>
    <n v="1000"/>
    <n v="0"/>
    <n v="21364.5"/>
    <n v="0"/>
    <n v="23605.46"/>
    <n v="26845.86"/>
    <n v="11443"/>
    <n v="45340"/>
    <n v="800"/>
    <n v="1064.5"/>
    <n v="5140"/>
    <n v="4784"/>
    <n v="17964.5"/>
    <n v="158351.82"/>
    <n v="-13180.5"/>
  </r>
  <r>
    <x v="11"/>
    <x v="7"/>
    <x v="0"/>
    <s v="4400150"/>
    <n v="721150"/>
    <s v="Fracture Management"/>
    <s v="Surgery Services"/>
    <x v="0"/>
    <n v="1001"/>
    <n v="36886.589999999997"/>
    <n v="46962.69"/>
    <n v="6397.55"/>
    <n v="31926.01"/>
    <n v="39497.72"/>
    <n v="32006.14"/>
    <n v="32531.9"/>
    <n v="27553.81"/>
    <n v="31607.03"/>
    <n v="57831.35"/>
    <n v="37025.78"/>
    <n v="23894.38"/>
    <n v="404120.94999999995"/>
    <n v="13131.399999999998"/>
  </r>
  <r>
    <x v="11"/>
    <x v="7"/>
    <x v="0"/>
    <s v="4400150"/>
    <n v="721150"/>
    <s v="Spinal Fixations Internal Syst"/>
    <s v="Surgery Services"/>
    <x v="0"/>
    <n v="1002"/>
    <n v="0"/>
    <n v="0"/>
    <n v="0"/>
    <n v="0"/>
    <n v="0"/>
    <n v="0"/>
    <n v="0"/>
    <n v="0"/>
    <n v="285"/>
    <n v="126"/>
    <n v="285"/>
    <n v="0"/>
    <n v="696"/>
    <n v="285"/>
  </r>
  <r>
    <x v="11"/>
    <x v="7"/>
    <x v="0"/>
    <s v="4400150"/>
    <n v="721150"/>
    <s v="Urological Implants"/>
    <s v="Surgery Services"/>
    <x v="0"/>
    <n v="1004"/>
    <n v="0"/>
    <n v="0"/>
    <n v="3719.08"/>
    <n v="0"/>
    <n v="0"/>
    <n v="2789.31"/>
    <n v="0"/>
    <n v="0"/>
    <n v="0"/>
    <n v="0"/>
    <n v="1859.54"/>
    <n v="-1859.54"/>
    <n v="6508.39"/>
    <n v="3719.08"/>
  </r>
  <r>
    <x v="11"/>
    <x v="7"/>
    <x v="0"/>
    <s v="4400150"/>
    <n v="721240"/>
    <s v="Supplies-IV Solutions/Supplies - Billable"/>
    <s v="Surgery Services"/>
    <x v="0"/>
    <m/>
    <n v="1278.05"/>
    <n v="872.96"/>
    <n v="581.28"/>
    <n v="827.51"/>
    <n v="1234.05"/>
    <n v="1411.56"/>
    <n v="1362.22"/>
    <n v="826.6"/>
    <n v="2243.84"/>
    <n v="1159.5899999999999"/>
    <n v="1584.04"/>
    <n v="1242.1199999999999"/>
    <n v="14623.82"/>
    <n v="341.92000000000007"/>
  </r>
  <r>
    <x v="11"/>
    <x v="7"/>
    <x v="0"/>
    <s v="4400150"/>
    <n v="721410"/>
    <s v="Supplies-Medical - Nonbillable"/>
    <s v="Surgery Services"/>
    <x v="0"/>
    <m/>
    <n v="9322.31"/>
    <n v="13668.47"/>
    <n v="8637.41"/>
    <n v="10344.18"/>
    <n v="9946.23"/>
    <n v="11654.99"/>
    <n v="10510.73"/>
    <n v="11567.12"/>
    <n v="11782.9"/>
    <n v="91509.3"/>
    <n v="8046.27"/>
    <n v="7831.32"/>
    <n v="204821.22999999998"/>
    <n v="214.95000000000073"/>
  </r>
  <r>
    <x v="11"/>
    <x v="7"/>
    <x v="0"/>
    <s v="4400150"/>
    <n v="721410"/>
    <s v="Patient Monitoring"/>
    <s v="Surgery Services"/>
    <x v="0"/>
    <n v="1000"/>
    <n v="5.77"/>
    <n v="4.88"/>
    <n v="0"/>
    <n v="0"/>
    <n v="0"/>
    <n v="0"/>
    <n v="7.27"/>
    <n v="5.27"/>
    <n v="130.44"/>
    <n v="0"/>
    <n v="0"/>
    <n v="0"/>
    <n v="153.63"/>
    <n v="0"/>
  </r>
  <r>
    <x v="11"/>
    <x v="7"/>
    <x v="0"/>
    <s v="4400150"/>
    <n v="721420"/>
    <s v="Supplies-Surgical Nonbillable"/>
    <s v="Surgery Services"/>
    <x v="0"/>
    <m/>
    <n v="4742.0200000000004"/>
    <n v="6988.66"/>
    <n v="5113.58"/>
    <n v="6465.48"/>
    <n v="6691.81"/>
    <n v="6995.89"/>
    <n v="5444.74"/>
    <n v="4645.7700000000004"/>
    <n v="6004.39"/>
    <n v="4414.1099999999997"/>
    <n v="5585.75"/>
    <n v="5756.18"/>
    <n v="68848.38"/>
    <n v="-170.43000000000029"/>
  </r>
  <r>
    <x v="11"/>
    <x v="7"/>
    <x v="0"/>
    <s v="4400150"/>
    <n v="721420"/>
    <s v="Heart/Lung Machine Supplies"/>
    <s v="Surgery Services"/>
    <x v="0"/>
    <n v="1005"/>
    <n v="0"/>
    <n v="0"/>
    <n v="0"/>
    <n v="0"/>
    <n v="0"/>
    <n v="0"/>
    <n v="3.36"/>
    <n v="0"/>
    <n v="0"/>
    <n v="0"/>
    <n v="0"/>
    <n v="0"/>
    <n v="3.36"/>
    <n v="0"/>
  </r>
  <r>
    <x v="11"/>
    <x v="7"/>
    <x v="0"/>
    <s v="4400150"/>
    <n v="721420"/>
    <s v="Tubes Drains &amp; Related Supplies"/>
    <s v="Surgery Services"/>
    <x v="0"/>
    <n v="1008"/>
    <n v="33.39"/>
    <n v="27.58"/>
    <n v="6"/>
    <n v="56.55"/>
    <n v="6"/>
    <n v="18.07"/>
    <n v="28.33"/>
    <n v="16.329999999999998"/>
    <n v="43.68"/>
    <n v="21"/>
    <n v="35.97"/>
    <n v="8.09"/>
    <n v="300.98999999999995"/>
    <n v="27.88"/>
  </r>
  <r>
    <x v="11"/>
    <x v="7"/>
    <x v="0"/>
    <s v="4400150"/>
    <n v="721420"/>
    <s v="Sterilization Process Products"/>
    <s v="Surgery Services"/>
    <x v="0"/>
    <n v="1009"/>
    <n v="3798.33"/>
    <n v="6870.03"/>
    <n v="3475.43"/>
    <n v="5670.68"/>
    <n v="5887.8"/>
    <n v="10707.32"/>
    <n v="6807.13"/>
    <n v="4131.88"/>
    <n v="4743"/>
    <n v="3538.13"/>
    <n v="9778.08"/>
    <n v="2839.34"/>
    <n v="68247.149999999994"/>
    <n v="6938.74"/>
  </r>
  <r>
    <x v="11"/>
    <x v="7"/>
    <x v="0"/>
    <s v="4400150"/>
    <n v="721610"/>
    <s v="Supplies-Anesthesia - Nonbillable"/>
    <s v="Surgery Services"/>
    <x v="0"/>
    <m/>
    <n v="236.74"/>
    <n v="25.33"/>
    <n v="386.16"/>
    <n v="-1.36"/>
    <n v="209.21"/>
    <n v="193.08"/>
    <n v="209.72"/>
    <n v="193.44"/>
    <n v="24"/>
    <n v="218.5"/>
    <n v="336.77"/>
    <n v="26.29"/>
    <n v="2057.88"/>
    <n v="310.47999999999996"/>
  </r>
  <r>
    <x v="11"/>
    <x v="7"/>
    <x v="0"/>
    <s v="4400150"/>
    <n v="721640"/>
    <s v="Supplies-IV Solutions/Supplies - Nonbillable"/>
    <s v="Surgery Services"/>
    <x v="0"/>
    <m/>
    <n v="165.37"/>
    <n v="264.77999999999997"/>
    <n v="140.91"/>
    <n v="246.57"/>
    <n v="229.74"/>
    <n v="230.36"/>
    <n v="468.11"/>
    <n v="264.95"/>
    <n v="198.3"/>
    <n v="200.17"/>
    <n v="246.57"/>
    <n v="222.72"/>
    <n v="2878.55"/>
    <n v="23.849999999999994"/>
  </r>
  <r>
    <x v="11"/>
    <x v="7"/>
    <x v="0"/>
    <s v="4400150"/>
    <n v="721650"/>
    <s v="Supplies-Pharmacy Drugs - Nonbillable"/>
    <s v="Surgery Services"/>
    <x v="0"/>
    <m/>
    <n v="16.04"/>
    <n v="21.84"/>
    <n v="8.01"/>
    <n v="10.68"/>
    <n v="22.51"/>
    <n v="5.34"/>
    <n v="32.43"/>
    <n v="5.34"/>
    <n v="12.59"/>
    <n v="17.93"/>
    <n v="17.93"/>
    <n v="9.92"/>
    <n v="180.56"/>
    <n v="8.01"/>
  </r>
  <r>
    <x v="11"/>
    <x v="7"/>
    <x v="0"/>
    <s v="4400150"/>
    <n v="721710"/>
    <s v="Supplies-Laboratory - Nonbillable"/>
    <s v="Surgery Services"/>
    <x v="0"/>
    <m/>
    <n v="58.32"/>
    <n v="73.23"/>
    <n v="93.8"/>
    <n v="227.42"/>
    <n v="74.8"/>
    <n v="186.58"/>
    <n v="198.37"/>
    <n v="21.1"/>
    <n v="196.71"/>
    <n v="-80.540000000000006"/>
    <n v="172.56"/>
    <n v="31.15"/>
    <n v="1253.5"/>
    <n v="141.41"/>
  </r>
  <r>
    <x v="11"/>
    <x v="7"/>
    <x v="0"/>
    <s v="4400150"/>
    <n v="721710"/>
    <s v="Reagents"/>
    <s v="Surgery Services"/>
    <x v="0"/>
    <n v="1000"/>
    <n v="436.21"/>
    <n v="57.44"/>
    <n v="0"/>
    <n v="28.72"/>
    <n v="28.72"/>
    <n v="57.44"/>
    <n v="122.74"/>
    <n v="222.38"/>
    <n v="53.17"/>
    <n v="34.39"/>
    <n v="248.23"/>
    <n v="218.11"/>
    <n v="1507.5500000000002"/>
    <n v="30.119999999999976"/>
  </r>
  <r>
    <x v="11"/>
    <x v="7"/>
    <x v="0"/>
    <s v="4400150"/>
    <n v="721750"/>
    <s v="Supplies-Film/Radiographic - Nonbillable"/>
    <s v="Surgery Services"/>
    <x v="0"/>
    <m/>
    <n v="61.1"/>
    <n v="0"/>
    <n v="0"/>
    <n v="0"/>
    <n v="0"/>
    <n v="0"/>
    <n v="0"/>
    <n v="0"/>
    <n v="0"/>
    <n v="0"/>
    <n v="0"/>
    <n v="0"/>
    <n v="61.1"/>
    <n v="0"/>
  </r>
  <r>
    <x v="11"/>
    <x v="7"/>
    <x v="0"/>
    <s v="4400150"/>
    <n v="721810"/>
    <s v="Supplies-Dietary/Cafeteria"/>
    <s v="Surgery Services"/>
    <x v="0"/>
    <m/>
    <n v="2498.7800000000002"/>
    <n v="3331.23"/>
    <n v="2633.75"/>
    <n v="3018.6"/>
    <n v="3273.36"/>
    <n v="2579.2399999999998"/>
    <n v="2763.68"/>
    <n v="2641.41"/>
    <n v="3121.81"/>
    <n v="2915.61"/>
    <n v="3111.61"/>
    <n v="2571.21"/>
    <n v="34460.29"/>
    <n v="540.40000000000009"/>
  </r>
  <r>
    <x v="11"/>
    <x v="7"/>
    <x v="0"/>
    <s v="4400150"/>
    <n v="721830"/>
    <s v="Supplies-Office"/>
    <s v="Surgery Services"/>
    <x v="0"/>
    <m/>
    <n v="1054.1199999999999"/>
    <n v="1388.44"/>
    <n v="152.84"/>
    <n v="1462.39"/>
    <n v="1561.81"/>
    <n v="546.96"/>
    <n v="1925.56"/>
    <n v="1204.24"/>
    <n v="1872.8"/>
    <n v="565.04"/>
    <n v="1573.41"/>
    <n v="588.04999999999995"/>
    <n v="13895.66"/>
    <n v="985.36000000000013"/>
  </r>
  <r>
    <x v="11"/>
    <x v="7"/>
    <x v="0"/>
    <s v="4400150"/>
    <n v="721835"/>
    <s v="Supplies-Forms"/>
    <s v="Surgery Services"/>
    <x v="0"/>
    <m/>
    <n v="0"/>
    <n v="0"/>
    <n v="0"/>
    <n v="0"/>
    <n v="383.5"/>
    <n v="296"/>
    <n v="234"/>
    <n v="0"/>
    <n v="0"/>
    <n v="57"/>
    <n v="0"/>
    <n v="308.76"/>
    <n v="1279.26"/>
    <n v="-308.76"/>
  </r>
  <r>
    <x v="11"/>
    <x v="7"/>
    <x v="0"/>
    <s v="4400150"/>
    <n v="721870"/>
    <s v="Supplies-Environmental Services"/>
    <s v="Surgery Services"/>
    <x v="0"/>
    <m/>
    <n v="182.82"/>
    <n v="195.67"/>
    <n v="4.28"/>
    <n v="118.3"/>
    <n v="159.72999999999999"/>
    <n v="24.22"/>
    <n v="130.13999999999999"/>
    <n v="113.18"/>
    <n v="190.94"/>
    <n v="109.44"/>
    <n v="169.22"/>
    <n v="237.29"/>
    <n v="1635.23"/>
    <n v="-68.069999999999993"/>
  </r>
  <r>
    <x v="11"/>
    <x v="7"/>
    <x v="0"/>
    <s v="4400150"/>
    <n v="721880"/>
    <s v="Supplies-Linen"/>
    <s v="Surgery Services"/>
    <x v="0"/>
    <m/>
    <n v="27.36"/>
    <n v="14.52"/>
    <n v="13.4"/>
    <n v="106"/>
    <n v="17.79"/>
    <n v="52.54"/>
    <n v="40.090000000000003"/>
    <n v="14.02"/>
    <n v="27.45"/>
    <n v="39.700000000000003"/>
    <n v="1.77"/>
    <n v="46.71"/>
    <n v="401.34999999999991"/>
    <n v="-44.94"/>
  </r>
  <r>
    <x v="11"/>
    <x v="7"/>
    <x v="0"/>
    <s v="4400150"/>
    <n v="721910"/>
    <s v="Supplies-Small Equipment"/>
    <s v="Surgery Services"/>
    <x v="0"/>
    <m/>
    <n v="21886.53"/>
    <n v="10940.02"/>
    <n v="19214.95"/>
    <n v="24843.360000000001"/>
    <n v="10257.93"/>
    <n v="5896.06"/>
    <n v="10053.33"/>
    <n v="26884.33"/>
    <n v="14803.2"/>
    <n v="9350.8799999999992"/>
    <n v="6377.83"/>
    <n v="1213.01"/>
    <n v="161721.43000000002"/>
    <n v="5164.82"/>
  </r>
  <r>
    <x v="11"/>
    <x v="7"/>
    <x v="0"/>
    <s v="4400150"/>
    <n v="721910"/>
    <s v="Instruments"/>
    <s v="Surgery Services"/>
    <x v="0"/>
    <n v="1000"/>
    <n v="3290.78"/>
    <n v="1783.91"/>
    <n v="214.73"/>
    <n v="1840.96"/>
    <n v="2979.6"/>
    <n v="1535.25"/>
    <n v="8816.2900000000009"/>
    <n v="1732.84"/>
    <n v="2757.05"/>
    <n v="3582.57"/>
    <n v="5842.63"/>
    <n v="74.430000000000007"/>
    <n v="34451.040000000001"/>
    <n v="5768.2"/>
  </r>
  <r>
    <x v="11"/>
    <x v="7"/>
    <x v="0"/>
    <s v="4400150"/>
    <n v="721980"/>
    <s v="Supplies-Other"/>
    <s v="Surgery Services"/>
    <x v="0"/>
    <m/>
    <n v="33.33"/>
    <n v="486.92"/>
    <n v="0"/>
    <n v="986.64"/>
    <n v="0"/>
    <n v="2704.87"/>
    <n v="181.21"/>
    <n v="23.99"/>
    <n v="123.12"/>
    <n v="-59.48"/>
    <n v="250.48"/>
    <n v="123.7"/>
    <n v="4854.78"/>
    <n v="126.77999999999999"/>
  </r>
  <r>
    <x v="11"/>
    <x v="7"/>
    <x v="0"/>
    <s v="4400150"/>
    <n v="722000"/>
    <s v="Supplies-Freight Expense"/>
    <s v="Surgery Services"/>
    <x v="0"/>
    <m/>
    <n v="137.47999999999999"/>
    <n v="1307.79"/>
    <n v="782.45"/>
    <n v="670.96"/>
    <n v="693.83"/>
    <n v="542.83000000000004"/>
    <n v="1678.99"/>
    <n v="530.79999999999995"/>
    <n v="1202.83"/>
    <n v="990.32"/>
    <n v="798.87"/>
    <n v="402.17"/>
    <n v="9739.3200000000015"/>
    <n v="396.7"/>
  </r>
  <r>
    <x v="11"/>
    <x v="7"/>
    <x v="0"/>
    <s v="4400150"/>
    <n v="722000"/>
    <s v="Minimum Order Fees"/>
    <s v="Surgery Services"/>
    <x v="0"/>
    <n v="1000"/>
    <n v="0"/>
    <n v="20"/>
    <n v="0"/>
    <n v="0"/>
    <n v="0"/>
    <n v="0"/>
    <n v="0"/>
    <n v="0"/>
    <n v="0"/>
    <n v="0"/>
    <n v="0"/>
    <n v="0"/>
    <n v="20"/>
    <n v="0"/>
  </r>
  <r>
    <x v="11"/>
    <x v="7"/>
    <x v="0"/>
    <s v="4400150"/>
    <n v="723000"/>
    <s v="Supply Rebates/Patronage Dividend"/>
    <s v="Surgery Services"/>
    <x v="0"/>
    <m/>
    <n v="0"/>
    <n v="0"/>
    <n v="-489.33"/>
    <n v="0"/>
    <n v="0"/>
    <n v="-529.74"/>
    <n v="0"/>
    <n v="0"/>
    <n v="-2116.91"/>
    <n v="0"/>
    <n v="0"/>
    <n v="-2236.7399999999998"/>
    <n v="-5372.7199999999993"/>
    <n v="2236.7399999999998"/>
  </r>
  <r>
    <x v="12"/>
    <x v="7"/>
    <x v="0"/>
    <s v="4400150"/>
    <n v="730020"/>
    <s v="Rental and Leases-Equipment (DO NOT USE)"/>
    <s v="Surgery Services"/>
    <x v="0"/>
    <m/>
    <n v="2592.1999999999998"/>
    <n v="251.1"/>
    <n v="251.1"/>
    <n v="2008.8"/>
    <n v="0"/>
    <n v="0"/>
    <n v="502.2"/>
    <n v="0"/>
    <n v="0"/>
    <n v="-482.26"/>
    <n v="0"/>
    <n v="502.2"/>
    <n v="5625.3399999999992"/>
    <n v="-502.2"/>
  </r>
  <r>
    <x v="12"/>
    <x v="7"/>
    <x v="0"/>
    <s v="4400150"/>
    <n v="730020"/>
    <s v="Rental and Leases-Copier Usage Fees (DO NOT USE)"/>
    <s v="Surgery Services"/>
    <x v="0"/>
    <n v="5100"/>
    <n v="877.64"/>
    <n v="890.61"/>
    <n v="884.12"/>
    <n v="884.12"/>
    <n v="884.12"/>
    <n v="884.12"/>
    <n v="323.48"/>
    <n v="853.21"/>
    <n v="823.46"/>
    <n v="1396.25"/>
    <n v="805.68"/>
    <n v="574.87"/>
    <n v="10081.68"/>
    <n v="230.80999999999995"/>
  </r>
  <r>
    <x v="15"/>
    <x v="7"/>
    <x v="0"/>
    <s v="4400150"/>
    <n v="731060"/>
    <s v="Cell Phones"/>
    <s v="Surgery Services"/>
    <x v="0"/>
    <n v="1001"/>
    <n v="0"/>
    <n v="105.54"/>
    <n v="50.78"/>
    <n v="0"/>
    <n v="50.91"/>
    <n v="51.44"/>
    <n v="102.91"/>
    <n v="0"/>
    <n v="444.58"/>
    <n v="293.51"/>
    <n v="102.22"/>
    <n v="103.57"/>
    <n v="1305.4599999999998"/>
    <n v="-1.3499999999999943"/>
  </r>
  <r>
    <x v="15"/>
    <x v="7"/>
    <x v="0"/>
    <s v="4400150"/>
    <n v="731060"/>
    <s v="Pagers"/>
    <s v="Surgery Services"/>
    <x v="0"/>
    <n v="1002"/>
    <n v="51.3"/>
    <n v="51.3"/>
    <n v="51.3"/>
    <n v="96.69"/>
    <n v="26.12"/>
    <n v="0"/>
    <n v="52.24"/>
    <n v="21.62"/>
    <n v="21.62"/>
    <n v="37.32"/>
    <n v="29.74"/>
    <n v="29.74"/>
    <n v="468.99"/>
    <n v="0"/>
  </r>
  <r>
    <x v="16"/>
    <x v="7"/>
    <x v="0"/>
    <s v="4400150"/>
    <n v="732020"/>
    <s v="Repairs--Clin Equip-Parts-Internal to CHI Programs"/>
    <s v="Surgery Services"/>
    <x v="0"/>
    <m/>
    <n v="537.72"/>
    <n v="295.77"/>
    <n v="537.71"/>
    <n v="0"/>
    <n v="0"/>
    <n v="268.86"/>
    <n v="268.86"/>
    <n v="268.86"/>
    <n v="268.86"/>
    <n v="268.86"/>
    <n v="399.79"/>
    <n v="537.72"/>
    <n v="3653.01"/>
    <n v="-137.93"/>
  </r>
  <r>
    <x v="16"/>
    <x v="7"/>
    <x v="0"/>
    <s v="4400150"/>
    <n v="732030"/>
    <s v="Repairs---Other"/>
    <s v="Surgery Services"/>
    <x v="0"/>
    <m/>
    <n v="571.29999999999995"/>
    <n v="323.05"/>
    <n v="1270.05"/>
    <n v="6200.84"/>
    <n v="2411.58"/>
    <n v="606.01"/>
    <n v="456.97"/>
    <n v="457.39"/>
    <n v="606.53"/>
    <n v="-0.47"/>
    <n v="254"/>
    <n v="1868.96"/>
    <n v="15026.21"/>
    <n v="-1614.96"/>
  </r>
  <r>
    <x v="16"/>
    <x v="7"/>
    <x v="0"/>
    <s v="4400150"/>
    <n v="732030"/>
    <s v="Repairs&amp;Maintenance-Bldg Routine"/>
    <s v="Surgery Services"/>
    <x v="0"/>
    <n v="2300"/>
    <n v="0"/>
    <n v="8249.24"/>
    <n v="7169.85"/>
    <n v="0"/>
    <n v="10086.27"/>
    <n v="641.33000000000004"/>
    <n v="0"/>
    <n v="0"/>
    <n v="0"/>
    <n v="0"/>
    <n v="0"/>
    <n v="0"/>
    <n v="26146.690000000002"/>
    <n v="0"/>
  </r>
  <r>
    <x v="16"/>
    <x v="7"/>
    <x v="0"/>
    <s v="4400150"/>
    <n v="733030"/>
    <s v="Maintenance Contracts-Other"/>
    <s v="Surgery Services"/>
    <x v="0"/>
    <m/>
    <n v="8162.02"/>
    <n v="8162.02"/>
    <n v="23380.02"/>
    <n v="8162.02"/>
    <n v="8162.02"/>
    <n v="8162.02"/>
    <n v="0"/>
    <n v="16324.04"/>
    <n v="8162.02"/>
    <n v="8162.02"/>
    <n v="8162.02"/>
    <n v="8162.02"/>
    <n v="113162.24000000002"/>
    <n v="0"/>
  </r>
  <r>
    <x v="13"/>
    <x v="7"/>
    <x v="0"/>
    <s v="4400150"/>
    <n v="735060"/>
    <s v="Depreciation-Fixed Equipment"/>
    <s v="Surgery Services"/>
    <x v="0"/>
    <m/>
    <n v="1586.6"/>
    <n v="1586.59"/>
    <n v="1586.6"/>
    <n v="1586.59"/>
    <n v="1586.6"/>
    <n v="1586.58"/>
    <n v="1586.62"/>
    <n v="1586.58"/>
    <n v="1586.62"/>
    <n v="1586.58"/>
    <n v="1586.62"/>
    <n v="1586.58"/>
    <n v="19039.160000000003"/>
    <n v="3.999999999996362E-2"/>
  </r>
  <r>
    <x v="13"/>
    <x v="7"/>
    <x v="0"/>
    <s v="4400150"/>
    <n v="735070"/>
    <s v="Depreciation-Movable Equipment"/>
    <s v="Surgery Services"/>
    <x v="0"/>
    <m/>
    <n v="69063.33"/>
    <n v="70991.75"/>
    <n v="70991.86"/>
    <n v="71574.31"/>
    <n v="71366.320000000007"/>
    <n v="71388.06"/>
    <n v="77388.38"/>
    <n v="71199.899999999994"/>
    <n v="77200.429999999993"/>
    <n v="77199.839999999997"/>
    <n v="77200.47"/>
    <n v="77406.12"/>
    <n v="882970.77"/>
    <n v="-205.64999999999418"/>
  </r>
  <r>
    <x v="0"/>
    <x v="7"/>
    <x v="0"/>
    <s v="4400150"/>
    <n v="740020"/>
    <s v="Education-Registration Fees"/>
    <s v="Surgery Services"/>
    <x v="0"/>
    <m/>
    <n v="0"/>
    <n v="76"/>
    <n v="76"/>
    <n v="85"/>
    <n v="320"/>
    <n v="0"/>
    <n v="0"/>
    <n v="800"/>
    <n v="45"/>
    <n v="1541.95"/>
    <n v="705.6"/>
    <n v="83"/>
    <n v="3732.5499999999997"/>
    <n v="622.6"/>
  </r>
  <r>
    <x v="0"/>
    <x v="7"/>
    <x v="0"/>
    <s v="4400150"/>
    <n v="742030"/>
    <s v="Freight-Courier"/>
    <s v="Surgery Services"/>
    <x v="0"/>
    <m/>
    <n v="0"/>
    <n v="0"/>
    <n v="0"/>
    <n v="0"/>
    <n v="0"/>
    <n v="0"/>
    <n v="0"/>
    <n v="0"/>
    <n v="0"/>
    <n v="0"/>
    <n v="0"/>
    <n v="61"/>
    <n v="61"/>
    <n v="-61"/>
  </r>
  <r>
    <x v="0"/>
    <x v="7"/>
    <x v="0"/>
    <s v="4400150"/>
    <n v="742040"/>
    <s v="Freight-Other"/>
    <s v="Surgery Services"/>
    <x v="0"/>
    <m/>
    <n v="0"/>
    <n v="0"/>
    <n v="0"/>
    <n v="0"/>
    <n v="0"/>
    <n v="0"/>
    <n v="0"/>
    <n v="0"/>
    <n v="0"/>
    <n v="0"/>
    <n v="0"/>
    <n v="1.35"/>
    <n v="1.35"/>
    <n v="-1.35"/>
  </r>
  <r>
    <x v="0"/>
    <x v="7"/>
    <x v="0"/>
    <s v="4400150"/>
    <n v="743030"/>
    <s v="Subscriptions--Institutional"/>
    <s v="Surgery Services"/>
    <x v="0"/>
    <m/>
    <n v="0"/>
    <n v="0"/>
    <n v="0"/>
    <n v="0"/>
    <n v="0"/>
    <n v="0"/>
    <n v="0"/>
    <n v="385.37"/>
    <n v="844.31"/>
    <n v="0"/>
    <n v="425.8"/>
    <n v="6.59"/>
    <n v="1662.0699999999997"/>
    <n v="419.21000000000004"/>
  </r>
  <r>
    <x v="0"/>
    <x v="7"/>
    <x v="0"/>
    <s v="4400150"/>
    <n v="749510"/>
    <s v="Miscellaneous Expenses"/>
    <s v="Surgery Services"/>
    <x v="0"/>
    <m/>
    <n v="625.95000000000005"/>
    <n v="1182.1600000000001"/>
    <n v="263.36"/>
    <n v="93.06"/>
    <n v="-216.88"/>
    <n v="0"/>
    <n v="202.02"/>
    <n v="-142.02000000000001"/>
    <n v="301.86"/>
    <n v="4441.26"/>
    <n v="0"/>
    <n v="434.75"/>
    <n v="7185.52"/>
    <n v="-434.75"/>
  </r>
  <r>
    <x v="0"/>
    <x v="7"/>
    <x v="0"/>
    <s v="4400150"/>
    <n v="749510"/>
    <s v="Licenses"/>
    <s v="Surgery Services"/>
    <x v="0"/>
    <n v="1002"/>
    <n v="0"/>
    <n v="0"/>
    <n v="0"/>
    <n v="0"/>
    <n v="0"/>
    <n v="0"/>
    <n v="0"/>
    <n v="0"/>
    <n v="60"/>
    <n v="0"/>
    <n v="0"/>
    <n v="0"/>
    <n v="60"/>
    <n v="0"/>
  </r>
  <r>
    <x v="0"/>
    <x v="7"/>
    <x v="0"/>
    <s v="4400150"/>
    <n v="749530"/>
    <s v="Travel"/>
    <s v="Surgery Services"/>
    <x v="0"/>
    <m/>
    <n v="0"/>
    <n v="0"/>
    <n v="0"/>
    <n v="0"/>
    <n v="260"/>
    <n v="0"/>
    <n v="0"/>
    <n v="736.81"/>
    <n v="0"/>
    <n v="825"/>
    <n v="0"/>
    <n v="0"/>
    <n v="1821.81"/>
    <n v="0"/>
  </r>
  <r>
    <x v="0"/>
    <x v="7"/>
    <x v="0"/>
    <s v="4400150"/>
    <n v="749530"/>
    <s v="Mileage"/>
    <s v="Surgery Services"/>
    <x v="0"/>
    <n v="1001"/>
    <n v="0"/>
    <n v="80.680000000000007"/>
    <n v="46.34"/>
    <n v="93.76"/>
    <n v="63.23"/>
    <n v="169.53"/>
    <n v="0"/>
    <n v="118.9"/>
    <n v="45.82"/>
    <n v="0"/>
    <n v="34.799999999999997"/>
    <n v="12.18"/>
    <n v="665.24"/>
    <n v="22.619999999999997"/>
  </r>
  <r>
    <x v="0"/>
    <x v="7"/>
    <x v="0"/>
    <s v="4400150"/>
    <n v="749535"/>
    <s v="Employee Functions"/>
    <s v="Surgery Services"/>
    <x v="0"/>
    <n v="1004"/>
    <n v="0"/>
    <n v="0"/>
    <n v="0"/>
    <n v="78.87"/>
    <n v="0"/>
    <n v="0"/>
    <n v="0"/>
    <n v="0"/>
    <n v="0"/>
    <n v="0"/>
    <n v="0"/>
    <n v="0"/>
    <n v="78.87"/>
    <n v="0"/>
  </r>
  <r>
    <x v="18"/>
    <x v="6"/>
    <x v="0"/>
    <s v="4401107"/>
    <n v="400010"/>
    <s v="Acute I/P Svcs Rev--Medicare"/>
    <s v="Surgery Ortho-Silverdale"/>
    <x v="0"/>
    <n v="1100"/>
    <n v="-1985611.99"/>
    <n v="-2706259.91"/>
    <n v="-2703688.4"/>
    <n v="-3603987.59"/>
    <n v="-2813684.7"/>
    <n v="-2569959.23"/>
    <n v="-3494944.65"/>
    <n v="-2528543.98"/>
    <n v="-3047082.41"/>
    <n v="-4287834.33"/>
    <n v="-3775288.81"/>
    <n v="-3135042.06"/>
    <n v="-36651928.059999995"/>
    <n v="-640246.75"/>
  </r>
  <r>
    <x v="18"/>
    <x v="6"/>
    <x v="0"/>
    <s v="4401107"/>
    <n v="400010"/>
    <s v="Acute I/P Svcs Rev--Medicaid"/>
    <s v="Surgery Ortho-Silverdale"/>
    <x v="0"/>
    <n v="1200"/>
    <n v="-454538.49"/>
    <n v="-186491.63"/>
    <n v="-137729.82"/>
    <n v="-252355.5"/>
    <n v="-263189.81"/>
    <n v="-133055.99"/>
    <n v="-330520.46000000002"/>
    <n v="-69953.570000000007"/>
    <n v="-332256.84000000003"/>
    <n v="-174450.32"/>
    <n v="-216651.7"/>
    <n v="-55824.21"/>
    <n v="-2607018.34"/>
    <n v="-160827.49000000002"/>
  </r>
  <r>
    <x v="18"/>
    <x v="6"/>
    <x v="0"/>
    <s v="4401107"/>
    <n v="400010"/>
    <s v="Acute I/P Svcs Rev--Comm Insurance"/>
    <s v="Surgery Ortho-Silverdale"/>
    <x v="0"/>
    <n v="1300"/>
    <n v="59951.63"/>
    <n v="-86170.07"/>
    <n v="-17860.560000000001"/>
    <n v="64477.91"/>
    <n v="-225604.96"/>
    <n v="-118096.52"/>
    <n v="-47736.77"/>
    <n v="0"/>
    <n v="-278264.84000000003"/>
    <n v="0"/>
    <n v="0"/>
    <n v="-94026.41"/>
    <n v="-743330.59000000008"/>
    <n v="94026.41"/>
  </r>
  <r>
    <x v="18"/>
    <x v="6"/>
    <x v="0"/>
    <s v="4401107"/>
    <n v="400010"/>
    <s v="Acute I/P Svcs Rev--BCBS Comm"/>
    <s v="Surgery Ortho-Silverdale"/>
    <x v="0"/>
    <n v="1301"/>
    <n v="-411774.76"/>
    <n v="-647516.93000000005"/>
    <n v="-318014.59000000003"/>
    <n v="-210157.58"/>
    <n v="-745072.98"/>
    <n v="-257788.43"/>
    <n v="-244009.36"/>
    <n v="-184455.66"/>
    <n v="-650215.12"/>
    <n v="-315078.34000000003"/>
    <n v="-606663.89"/>
    <n v="-60991.51"/>
    <n v="-4651739.1499999994"/>
    <n v="-545672.38"/>
  </r>
  <r>
    <x v="18"/>
    <x v="6"/>
    <x v="0"/>
    <s v="4401107"/>
    <n v="400010"/>
    <s v="Acute I/P Svcs Rev--Managed Care"/>
    <s v="Surgery Ortho-Silverdale"/>
    <x v="0"/>
    <n v="1400"/>
    <n v="-571085.30000000005"/>
    <n v="-246555.08"/>
    <n v="-635613.68999999994"/>
    <n v="-588165.21"/>
    <n v="-705474.66"/>
    <n v="-856485.34"/>
    <n v="-766239.65"/>
    <n v="-534467.41"/>
    <n v="-360013.99"/>
    <n v="-373335.06"/>
    <n v="-393907.78"/>
    <n v="-317538.61"/>
    <n v="-6348881.7800000003"/>
    <n v="-76369.170000000042"/>
  </r>
  <r>
    <x v="18"/>
    <x v="6"/>
    <x v="0"/>
    <s v="4401107"/>
    <n v="400010"/>
    <s v="Acute I/P Svcs Rev--Self Pay"/>
    <s v="Surgery Ortho-Silverdale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6"/>
    <x v="0"/>
    <s v="4401107"/>
    <n v="400010"/>
    <s v="Acute I/P Svcs Rev--Other"/>
    <s v="Surgery Ortho-Silverdale"/>
    <x v="0"/>
    <n v="1700"/>
    <n v="-245210.7"/>
    <n v="-570154.79"/>
    <n v="-349635.16"/>
    <n v="-367867.95"/>
    <n v="-766391.89"/>
    <n v="-343139.88"/>
    <n v="-139500.01999999999"/>
    <n v="-98446.25"/>
    <n v="-410191.02"/>
    <n v="-113805.87"/>
    <n v="-304578.74"/>
    <n v="-276704.03000000003"/>
    <n v="-3985626.3"/>
    <n v="-27874.709999999963"/>
  </r>
  <r>
    <x v="19"/>
    <x v="6"/>
    <x v="0"/>
    <s v="4401107"/>
    <n v="400020"/>
    <s v="O/P Care Svcs Rev--Medicare"/>
    <s v="Surgery Ortho-Silverdale"/>
    <x v="0"/>
    <n v="1100"/>
    <n v="-863858.19"/>
    <n v="-1376334.59"/>
    <n v="-1597002.77"/>
    <n v="-1300133.99"/>
    <n v="-1176613.17"/>
    <n v="-1252326.47"/>
    <n v="-1599476.93"/>
    <n v="-1004904.91"/>
    <n v="-1422918.81"/>
    <n v="-1406744.47"/>
    <n v="-1871361.86"/>
    <n v="-1238607.1100000001"/>
    <n v="-16110283.27"/>
    <n v="-632754.75"/>
  </r>
  <r>
    <x v="19"/>
    <x v="6"/>
    <x v="0"/>
    <s v="4401107"/>
    <n v="400020"/>
    <s v="O/P Care Svcs Rev--Medicaid"/>
    <s v="Surgery Ortho-Silverdale"/>
    <x v="0"/>
    <n v="1200"/>
    <n v="-690568.75"/>
    <n v="-677920.44"/>
    <n v="-592855.62"/>
    <n v="-552434.82999999996"/>
    <n v="-971423.4"/>
    <n v="-660803.87"/>
    <n v="-618101.98"/>
    <n v="-930326.96"/>
    <n v="-589798.44999999995"/>
    <n v="-937128.83"/>
    <n v="-802166.59"/>
    <n v="-1078248.1399999999"/>
    <n v="-9101777.8600000013"/>
    <n v="276081.54999999993"/>
  </r>
  <r>
    <x v="19"/>
    <x v="6"/>
    <x v="0"/>
    <s v="4401107"/>
    <n v="400020"/>
    <s v="O/P Care Svcs Rev--Comm Insurance"/>
    <s v="Surgery Ortho-Silverdale"/>
    <x v="0"/>
    <n v="1300"/>
    <n v="-402272.45"/>
    <n v="-117869.83"/>
    <n v="-105154.85"/>
    <n v="-69496.08"/>
    <n v="-43669.26"/>
    <n v="-354209.86"/>
    <n v="-163388.96"/>
    <n v="-193778.19"/>
    <n v="-281258.55"/>
    <n v="-208432.65"/>
    <n v="-76888.28"/>
    <n v="-197324.71"/>
    <n v="-2213743.67"/>
    <n v="120436.43"/>
  </r>
  <r>
    <x v="19"/>
    <x v="6"/>
    <x v="0"/>
    <s v="4401107"/>
    <n v="400020"/>
    <s v="O/P Care Svcs Rev--BCBS Comm"/>
    <s v="Surgery Ortho-Silverdale"/>
    <x v="0"/>
    <n v="1301"/>
    <n v="-866999.71"/>
    <n v="-674216.56"/>
    <n v="-553266.72"/>
    <n v="-1142430.56"/>
    <n v="-755710.69"/>
    <n v="-1513294.29"/>
    <n v="-879910.42"/>
    <n v="-914519.68"/>
    <n v="-1009049.82"/>
    <n v="-1018558.79"/>
    <n v="-881372.24"/>
    <n v="-963982.25"/>
    <n v="-11173311.729999999"/>
    <n v="82610.010000000009"/>
  </r>
  <r>
    <x v="19"/>
    <x v="6"/>
    <x v="0"/>
    <s v="4401107"/>
    <n v="400020"/>
    <s v="O/P Care Svcs Rev--Managed Care"/>
    <s v="Surgery Ortho-Silverdale"/>
    <x v="0"/>
    <n v="1400"/>
    <n v="-1259838.19"/>
    <n v="-1364980.74"/>
    <n v="-1045104.03"/>
    <n v="-1042328.72"/>
    <n v="-1185120.8"/>
    <n v="-1645622.5"/>
    <n v="-1474960.27"/>
    <n v="-1176260.6000000001"/>
    <n v="-1569103.4"/>
    <n v="-1159132.46"/>
    <n v="-1431213.5"/>
    <n v="-2018253.78"/>
    <n v="-16371918.99"/>
    <n v="587040.28"/>
  </r>
  <r>
    <x v="19"/>
    <x v="6"/>
    <x v="0"/>
    <s v="4401107"/>
    <n v="400020"/>
    <s v="O/P Care Svcs Rev--Self Pay"/>
    <s v="Surgery Ortho-Silverdale"/>
    <x v="0"/>
    <n v="1500"/>
    <n v="20823.93"/>
    <n v="-31517.07"/>
    <n v="0"/>
    <n v="-111091.37"/>
    <n v="-145575.76999999999"/>
    <n v="-25297.95"/>
    <n v="-115901.07"/>
    <n v="-41276.51"/>
    <n v="-147964.31"/>
    <n v="-26881.040000000001"/>
    <n v="-42512.82"/>
    <n v="-73451.600000000006"/>
    <n v="-740645.58"/>
    <n v="30938.780000000006"/>
  </r>
  <r>
    <x v="19"/>
    <x v="6"/>
    <x v="0"/>
    <s v="4401107"/>
    <n v="400020"/>
    <s v="O/P Care Svcs Rev--Other"/>
    <s v="Surgery Ortho-Silverdale"/>
    <x v="0"/>
    <n v="1700"/>
    <n v="-1442339.69"/>
    <n v="-1427514.27"/>
    <n v="-848016.32"/>
    <n v="-1385123.01"/>
    <n v="-859160.31"/>
    <n v="-852171.39"/>
    <n v="-1029528.43"/>
    <n v="-1264509.01"/>
    <n v="-1322021.08"/>
    <n v="-748051.09"/>
    <n v="-1403366.18"/>
    <n v="-969469.74"/>
    <n v="-13551270.52"/>
    <n v="-433896.43999999994"/>
  </r>
  <r>
    <x v="5"/>
    <x v="6"/>
    <x v="0"/>
    <s v="4401107"/>
    <n v="700014"/>
    <s v="Salaries-Management-Productive"/>
    <s v="Surgery Ortho-Silverdale"/>
    <x v="0"/>
    <m/>
    <n v="8739.9"/>
    <n v="9852.75"/>
    <n v="7866.45"/>
    <n v="9120.7900000000009"/>
    <n v="5812.03"/>
    <n v="5853.52"/>
    <n v="9908.24"/>
    <n v="6894.17"/>
    <n v="11187.38"/>
    <n v="8190.1"/>
    <n v="10237.99"/>
    <n v="8983.15"/>
    <n v="102646.47"/>
    <n v="1254.8400000000001"/>
  </r>
  <r>
    <x v="5"/>
    <x v="6"/>
    <x v="0"/>
    <s v="4401107"/>
    <n v="700026"/>
    <s v="Salaries-RN-Productive"/>
    <s v="Surgery Ortho-Silverdale"/>
    <x v="0"/>
    <m/>
    <n v="46432.26"/>
    <n v="44678.03"/>
    <n v="44841.73"/>
    <n v="43954.93"/>
    <n v="53960.24"/>
    <n v="44867.18"/>
    <n v="45870.49"/>
    <n v="34849.370000000003"/>
    <n v="50799.03"/>
    <n v="48484.75"/>
    <n v="52707.9"/>
    <n v="41148.080000000002"/>
    <n v="552593.99"/>
    <n v="11559.82"/>
  </r>
  <r>
    <x v="5"/>
    <x v="6"/>
    <x v="0"/>
    <s v="4401107"/>
    <n v="700026"/>
    <s v="Salaries-RN-OT"/>
    <s v="Surgery Ortho-Silverdale"/>
    <x v="0"/>
    <n v="1000"/>
    <n v="1990.06"/>
    <n v="2571.66"/>
    <n v="1579.57"/>
    <n v="1323.73"/>
    <n v="3172.49"/>
    <n v="2445.98"/>
    <n v="2266.19"/>
    <n v="636.79999999999995"/>
    <n v="1999.54"/>
    <n v="2392.34"/>
    <n v="368.24"/>
    <n v="3434.81"/>
    <n v="24181.41"/>
    <n v="-3066.5699999999997"/>
  </r>
  <r>
    <x v="5"/>
    <x v="6"/>
    <x v="0"/>
    <s v="4401107"/>
    <n v="700026"/>
    <s v="Salaries-RN-Other"/>
    <s v="Surgery Ortho-Silverdale"/>
    <x v="0"/>
    <n v="2000"/>
    <n v="3340.67"/>
    <n v="3550.37"/>
    <n v="3490.21"/>
    <n v="4430.62"/>
    <n v="4125.3599999999997"/>
    <n v="3908.7"/>
    <n v="3858.8"/>
    <n v="2619.06"/>
    <n v="4430.32"/>
    <n v="4242.32"/>
    <n v="3100.11"/>
    <n v="2781.22"/>
    <n v="43877.760000000002"/>
    <n v="318.89000000000033"/>
  </r>
  <r>
    <x v="5"/>
    <x v="6"/>
    <x v="0"/>
    <s v="4401107"/>
    <n v="700032"/>
    <s v="Salaries-Other Pat Care Providers-Productive"/>
    <s v="Surgery Ortho-Silverdale"/>
    <x v="0"/>
    <m/>
    <n v="2891.62"/>
    <n v="2423.91"/>
    <n v="3075.84"/>
    <n v="3080.28"/>
    <n v="3679.08"/>
    <n v="2383.04"/>
    <n v="3378.26"/>
    <n v="2621.47"/>
    <n v="3538.79"/>
    <n v="2499.17"/>
    <n v="4207.47"/>
    <n v="2985.85"/>
    <n v="36764.78"/>
    <n v="1221.6200000000003"/>
  </r>
  <r>
    <x v="5"/>
    <x v="6"/>
    <x v="0"/>
    <s v="4401107"/>
    <n v="700032"/>
    <s v="Salaries-Other Pat Care Providers-OT"/>
    <s v="Surgery Ortho-Silverdale"/>
    <x v="0"/>
    <n v="1000"/>
    <n v="100.08"/>
    <n v="88.03"/>
    <n v="110.97"/>
    <n v="58.5"/>
    <n v="136.26"/>
    <n v="81.41"/>
    <n v="89.24"/>
    <n v="112.02"/>
    <n v="62.18"/>
    <n v="61.53"/>
    <n v="142.18"/>
    <n v="113.25"/>
    <n v="1155.6499999999999"/>
    <n v="28.930000000000007"/>
  </r>
  <r>
    <x v="5"/>
    <x v="6"/>
    <x v="0"/>
    <s v="4401107"/>
    <n v="700032"/>
    <s v="Salaries-Other Pat Care Providers-Other"/>
    <s v="Surgery Ortho-Silverdale"/>
    <x v="0"/>
    <n v="2000"/>
    <n v="0"/>
    <n v="0"/>
    <n v="0"/>
    <n v="0"/>
    <n v="0"/>
    <n v="11.48"/>
    <n v="0"/>
    <n v="0"/>
    <n v="0"/>
    <n v="0"/>
    <n v="0"/>
    <n v="3.24"/>
    <n v="14.72"/>
    <n v="-3.24"/>
  </r>
  <r>
    <x v="5"/>
    <x v="6"/>
    <x v="0"/>
    <s v="4401107"/>
    <n v="700034"/>
    <s v="Salaries-Tech/Professional-Productive"/>
    <s v="Surgery Ortho-Silverdale"/>
    <x v="0"/>
    <m/>
    <n v="35328.65"/>
    <n v="32444.67"/>
    <n v="31919.47"/>
    <n v="33202.68"/>
    <n v="36228.410000000003"/>
    <n v="27442.14"/>
    <n v="33788.79"/>
    <n v="28411.439999999999"/>
    <n v="38544.449999999997"/>
    <n v="40229.4"/>
    <n v="40735.07"/>
    <n v="31401.45"/>
    <n v="409676.62000000005"/>
    <n v="9333.619999999999"/>
  </r>
  <r>
    <x v="5"/>
    <x v="6"/>
    <x v="0"/>
    <s v="4401107"/>
    <n v="700034"/>
    <s v="Salaries-Tech/Professional-OT"/>
    <s v="Surgery Ortho-Silverdale"/>
    <x v="0"/>
    <n v="1000"/>
    <n v="3153.79"/>
    <n v="2088.88"/>
    <n v="4067.72"/>
    <n v="3365.72"/>
    <n v="3922.92"/>
    <n v="1027.94"/>
    <n v="1781.91"/>
    <n v="1033.3599999999999"/>
    <n v="2516.08"/>
    <n v="1282.24"/>
    <n v="1312.08"/>
    <n v="2263.38"/>
    <n v="27816.02"/>
    <n v="-951.30000000000018"/>
  </r>
  <r>
    <x v="5"/>
    <x v="6"/>
    <x v="0"/>
    <s v="4401107"/>
    <n v="700034"/>
    <s v="Salaries-Tech/Professional-Other"/>
    <s v="Surgery Ortho-Silverdale"/>
    <x v="0"/>
    <n v="2000"/>
    <n v="2986.85"/>
    <n v="2837.05"/>
    <n v="2980.97"/>
    <n v="2180.9899999999998"/>
    <n v="2546.09"/>
    <n v="2451.94"/>
    <n v="2655.25"/>
    <n v="3074.91"/>
    <n v="4286.6099999999997"/>
    <n v="2170.81"/>
    <n v="2475.2199999999998"/>
    <n v="2699.14"/>
    <n v="33345.83"/>
    <n v="-223.92000000000007"/>
  </r>
  <r>
    <x v="5"/>
    <x v="6"/>
    <x v="0"/>
    <s v="4401107"/>
    <n v="700038"/>
    <s v="Salaries-Service/Support-Productive"/>
    <s v="Surgery Ortho-Silverdale"/>
    <x v="0"/>
    <m/>
    <n v="11888.37"/>
    <n v="13801.67"/>
    <n v="12043.26"/>
    <n v="11655.04"/>
    <n v="12852.94"/>
    <n v="10027.32"/>
    <n v="11227.7"/>
    <n v="9695.9500000000007"/>
    <n v="13927.16"/>
    <n v="12395.37"/>
    <n v="12282.71"/>
    <n v="12034.62"/>
    <n v="143832.10999999999"/>
    <n v="248.08999999999833"/>
  </r>
  <r>
    <x v="5"/>
    <x v="6"/>
    <x v="0"/>
    <s v="4401107"/>
    <n v="700038"/>
    <s v="Salaries-Service/Support-OT"/>
    <s v="Surgery Ortho-Silverdale"/>
    <x v="0"/>
    <n v="1000"/>
    <n v="489.32"/>
    <n v="306.02"/>
    <n v="403.01"/>
    <n v="437.22"/>
    <n v="80.88"/>
    <n v="276.19"/>
    <n v="125.4"/>
    <n v="223.24"/>
    <n v="512.41"/>
    <n v="221.74"/>
    <n v="203.75"/>
    <n v="494.46"/>
    <n v="3773.6399999999994"/>
    <n v="-290.70999999999998"/>
  </r>
  <r>
    <x v="5"/>
    <x v="6"/>
    <x v="0"/>
    <s v="4401107"/>
    <n v="700038"/>
    <s v="Salaries-Service/Support-Other"/>
    <s v="Surgery Ortho-Silverdale"/>
    <x v="0"/>
    <n v="2000"/>
    <n v="539.29999999999995"/>
    <n v="420.53"/>
    <n v="588.85"/>
    <n v="444.14"/>
    <n v="279.83"/>
    <n v="559.98"/>
    <n v="393.79"/>
    <n v="356.44"/>
    <n v="356.34"/>
    <n v="373.54"/>
    <n v="340"/>
    <n v="441.9"/>
    <n v="5094.6399999999994"/>
    <n v="-101.89999999999998"/>
  </r>
  <r>
    <x v="5"/>
    <x v="6"/>
    <x v="0"/>
    <s v="4401107"/>
    <n v="700054"/>
    <s v="Salaries-Management-Non-productive"/>
    <s v="Surgery Ortho-Silverdale"/>
    <x v="0"/>
    <m/>
    <n v="1112.4000000000001"/>
    <n v="0"/>
    <n v="1668.6"/>
    <n v="1030.52"/>
    <n v="4080.85"/>
    <n v="4369.45"/>
    <n v="330.73"/>
    <n v="2352.98"/>
    <n v="-949.37"/>
    <n v="1717.3"/>
    <n v="0"/>
    <n v="924.72"/>
    <n v="16638.179999999997"/>
    <n v="-924.72"/>
  </r>
  <r>
    <x v="5"/>
    <x v="6"/>
    <x v="0"/>
    <s v="4401107"/>
    <n v="700054"/>
    <s v="Salaries-Management-NonProd-Other"/>
    <s v="Surgery Ortho-Silverdale"/>
    <x v="0"/>
    <n v="2000"/>
    <n v="0"/>
    <n v="0"/>
    <n v="0"/>
    <n v="0"/>
    <n v="0"/>
    <n v="526.95000000000005"/>
    <n v="-526.95000000000005"/>
    <n v="0"/>
    <n v="0"/>
    <n v="0"/>
    <n v="0"/>
    <n v="0"/>
    <n v="0"/>
    <n v="0"/>
  </r>
  <r>
    <x v="5"/>
    <x v="6"/>
    <x v="0"/>
    <s v="4401107"/>
    <n v="700066"/>
    <s v="Salaries-RN-Non-productive"/>
    <s v="Surgery Ortho-Silverdale"/>
    <x v="0"/>
    <m/>
    <n v="3723.26"/>
    <n v="5402.43"/>
    <n v="2697.38"/>
    <n v="4878.7"/>
    <n v="6643.06"/>
    <n v="6761.89"/>
    <n v="2597.73"/>
    <n v="5835.24"/>
    <n v="4446.1099999999997"/>
    <n v="5944.56"/>
    <n v="4014.58"/>
    <n v="2577.94"/>
    <n v="55522.880000000005"/>
    <n v="1436.6399999999999"/>
  </r>
  <r>
    <x v="5"/>
    <x v="6"/>
    <x v="0"/>
    <s v="4401107"/>
    <n v="700066"/>
    <s v="Salaries-RN-NonProd-Other"/>
    <s v="Surgery Ortho-Silverdale"/>
    <x v="0"/>
    <n v="2000"/>
    <n v="209.47"/>
    <n v="301.86"/>
    <n v="109.1"/>
    <n v="265.82"/>
    <n v="130.74"/>
    <n v="284.91000000000003"/>
    <n v="118.89"/>
    <n v="286.33999999999997"/>
    <n v="372.77"/>
    <n v="17.420000000000002"/>
    <n v="629.75"/>
    <n v="131.63"/>
    <n v="2858.7000000000003"/>
    <n v="498.12"/>
  </r>
  <r>
    <x v="5"/>
    <x v="6"/>
    <x v="0"/>
    <s v="4401107"/>
    <n v="700072"/>
    <s v="Salaries-Other Pat Care Providers-Non-productive"/>
    <s v="Surgery Ortho-Silverdale"/>
    <x v="0"/>
    <m/>
    <n v="781.4"/>
    <n v="1368.23"/>
    <n v="139.94"/>
    <n v="664.87"/>
    <n v="146.32"/>
    <n v="1395.56"/>
    <n v="3.21"/>
    <n v="370.03"/>
    <n v="565.32000000000005"/>
    <n v="1434.16"/>
    <n v="-249.78"/>
    <n v="441.85"/>
    <n v="7061.11"/>
    <n v="-691.63"/>
  </r>
  <r>
    <x v="5"/>
    <x v="6"/>
    <x v="0"/>
    <s v="4401107"/>
    <n v="700072"/>
    <s v="Salaries-Other Pat Care Providers-NonProd-Other"/>
    <s v="Surgery Ortho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401107"/>
    <n v="700074"/>
    <s v="Salaries-Tech/Professional-Non-productive"/>
    <s v="Surgery Ortho-Silverdale"/>
    <x v="0"/>
    <m/>
    <n v="6089.85"/>
    <n v="3774.53"/>
    <n v="6409.8"/>
    <n v="4011.42"/>
    <n v="2960.63"/>
    <n v="6785.56"/>
    <n v="8329.26"/>
    <n v="2628.23"/>
    <n v="5168.28"/>
    <n v="3024.52"/>
    <n v="3890.32"/>
    <n v="14514.08"/>
    <n v="67586.48"/>
    <n v="-10623.76"/>
  </r>
  <r>
    <x v="5"/>
    <x v="6"/>
    <x v="0"/>
    <s v="4401107"/>
    <n v="700074"/>
    <s v="Salaries-Tech/Professional-NonProd-Other"/>
    <s v="Surgery Ortho-Silverdale"/>
    <x v="0"/>
    <n v="2000"/>
    <n v="289.01"/>
    <n v="477.73"/>
    <n v="117.87"/>
    <n v="170.3"/>
    <n v="257.41000000000003"/>
    <n v="162.52000000000001"/>
    <n v="226.71"/>
    <n v="216.59"/>
    <n v="699.17"/>
    <n v="130.91999999999999"/>
    <n v="541.30999999999995"/>
    <n v="154.68"/>
    <n v="3444.22"/>
    <n v="386.62999999999994"/>
  </r>
  <r>
    <x v="5"/>
    <x v="6"/>
    <x v="0"/>
    <s v="4401107"/>
    <n v="700078"/>
    <s v="Salaries-Service/Support-Non-productive"/>
    <s v="Surgery Ortho-Silverdale"/>
    <x v="0"/>
    <m/>
    <n v="2189.87"/>
    <n v="630.96"/>
    <n v="2600.4"/>
    <n v="1452.85"/>
    <n v="1138.29"/>
    <n v="4036.35"/>
    <n v="2726.72"/>
    <n v="1634.49"/>
    <n v="768.5"/>
    <n v="2130.56"/>
    <n v="1856.07"/>
    <n v="1993.2"/>
    <n v="23158.260000000002"/>
    <n v="-137.13000000000011"/>
  </r>
  <r>
    <x v="5"/>
    <x v="6"/>
    <x v="0"/>
    <s v="4401107"/>
    <n v="700078"/>
    <s v="Salaries-Service/Support-NonProd-Other"/>
    <s v="Surgery Ortho-Silverdale"/>
    <x v="0"/>
    <n v="2000"/>
    <n v="151.26"/>
    <n v="46.91"/>
    <n v="-18.57"/>
    <n v="0"/>
    <n v="9.4600000000000009"/>
    <n v="1.06"/>
    <n v="-0.7"/>
    <n v="0"/>
    <n v="148.99"/>
    <n v="-22.69"/>
    <n v="0"/>
    <n v="52.06"/>
    <n v="367.78000000000003"/>
    <n v="-52.06"/>
  </r>
  <r>
    <x v="5"/>
    <x v="6"/>
    <x v="0"/>
    <s v="4401107"/>
    <n v="700084"/>
    <s v="Accrued PTO"/>
    <s v="Surgery Ortho-Silverdale"/>
    <x v="0"/>
    <m/>
    <n v="703.11"/>
    <n v="1680.75"/>
    <n v="-2700.9"/>
    <n v="4027.7"/>
    <n v="-4423.91"/>
    <n v="-9831.3799999999992"/>
    <n v="2686.34"/>
    <n v="361.47"/>
    <n v="5229.87"/>
    <n v="481"/>
    <n v="5143.82"/>
    <n v="288.56"/>
    <n v="3646.4300000000007"/>
    <n v="4855.2599999999993"/>
  </r>
  <r>
    <x v="10"/>
    <x v="6"/>
    <x v="0"/>
    <s v="4401107"/>
    <n v="710060"/>
    <s v="Contract Labor-Other"/>
    <s v="Surgery Ortho-Silverdale"/>
    <x v="0"/>
    <m/>
    <n v="3990.29"/>
    <n v="0"/>
    <n v="4206.75"/>
    <n v="6478.75"/>
    <n v="6975.75"/>
    <n v="3851.75"/>
    <n v="6359.75"/>
    <n v="0"/>
    <n v="0"/>
    <n v="0"/>
    <n v="0"/>
    <n v="0"/>
    <n v="31863.040000000001"/>
    <n v="0"/>
  </r>
  <r>
    <x v="10"/>
    <x v="6"/>
    <x v="0"/>
    <s v="4401107"/>
    <n v="710060"/>
    <s v="Contract Labor-Overtime"/>
    <s v="Surgery Ortho-Silverdale"/>
    <x v="0"/>
    <n v="5100"/>
    <n v="-208.42"/>
    <n v="0"/>
    <n v="0"/>
    <n v="0"/>
    <n v="14387.75"/>
    <n v="-12902.08"/>
    <n v="670.95"/>
    <n v="0"/>
    <n v="0"/>
    <n v="0"/>
    <n v="0"/>
    <n v="0"/>
    <n v="1948.2"/>
    <n v="0"/>
  </r>
  <r>
    <x v="10"/>
    <x v="6"/>
    <x v="0"/>
    <s v="4401107"/>
    <n v="710060"/>
    <s v="Contract Labor-Standby Wages"/>
    <s v="Surgery Ortho-Silverdale"/>
    <x v="0"/>
    <n v="5101"/>
    <n v="0"/>
    <n v="0"/>
    <n v="160"/>
    <n v="228"/>
    <n v="128"/>
    <n v="0"/>
    <n v="40"/>
    <n v="0"/>
    <n v="0"/>
    <n v="0"/>
    <n v="0"/>
    <n v="0"/>
    <n v="556"/>
    <n v="0"/>
  </r>
  <r>
    <x v="6"/>
    <x v="6"/>
    <x v="0"/>
    <s v="4401107"/>
    <n v="713010"/>
    <s v="Benefits-FICA/Medicare"/>
    <s v="Surgery Ortho-Silverdale"/>
    <x v="0"/>
    <m/>
    <n v="10024.25"/>
    <n v="9604.3700000000008"/>
    <n v="9580.82"/>
    <n v="9501.19"/>
    <n v="10765.41"/>
    <n v="9603.4"/>
    <n v="9778.5499999999993"/>
    <n v="7775.95"/>
    <n v="10771.81"/>
    <n v="10297"/>
    <n v="10429.69"/>
    <n v="9861.65"/>
    <n v="117994.09"/>
    <n v="568.04000000000087"/>
  </r>
  <r>
    <x v="6"/>
    <x v="6"/>
    <x v="0"/>
    <s v="4401107"/>
    <n v="713090"/>
    <s v="Benefits-Allocated Amounts"/>
    <s v="Surgery Ortho-Silverdale"/>
    <x v="0"/>
    <m/>
    <n v="24023.69"/>
    <n v="20184.330000000002"/>
    <n v="22512.39"/>
    <n v="22000.99"/>
    <n v="27473.49"/>
    <n v="22300.58"/>
    <n v="24079.85"/>
    <n v="20649.72"/>
    <n v="22074.63"/>
    <n v="27352.71"/>
    <n v="25386.48"/>
    <n v="28464.37"/>
    <n v="286503.23000000004"/>
    <n v="-3077.8899999999994"/>
  </r>
  <r>
    <x v="6"/>
    <x v="6"/>
    <x v="0"/>
    <s v="4401107"/>
    <n v="713096"/>
    <s v="Employee Recognition"/>
    <s v="Surgery Ortho-Silverdale"/>
    <x v="0"/>
    <n v="1017"/>
    <n v="0"/>
    <n v="0"/>
    <n v="102.47"/>
    <n v="0"/>
    <n v="185.1"/>
    <n v="133.09"/>
    <n v="0"/>
    <n v="97.01"/>
    <n v="0"/>
    <n v="470.99"/>
    <n v="980.61"/>
    <n v="220.1"/>
    <n v="2189.37"/>
    <n v="760.51"/>
  </r>
  <r>
    <x v="7"/>
    <x v="6"/>
    <x v="0"/>
    <s v="4401107"/>
    <n v="718050"/>
    <s v="Contract Svcs-Other"/>
    <s v="Surgery Ortho-Silverdale"/>
    <x v="0"/>
    <m/>
    <n v="0"/>
    <n v="0"/>
    <n v="13175.27"/>
    <n v="4360"/>
    <n v="2180"/>
    <n v="2180"/>
    <n v="2180"/>
    <n v="4466.87"/>
    <n v="0"/>
    <n v="2000"/>
    <n v="2978"/>
    <n v="8175"/>
    <n v="41695.14"/>
    <n v="-5197"/>
  </r>
  <r>
    <x v="7"/>
    <x v="6"/>
    <x v="0"/>
    <s v="4401107"/>
    <n v="718050"/>
    <s v="Miscellaneous Purchased Svcs"/>
    <s v="Surgery Ortho-Silverdale"/>
    <x v="0"/>
    <n v="1020"/>
    <n v="0"/>
    <n v="1446.43"/>
    <n v="0"/>
    <n v="0"/>
    <n v="0"/>
    <n v="0"/>
    <n v="0"/>
    <n v="0"/>
    <n v="0"/>
    <n v="0"/>
    <n v="0"/>
    <n v="0"/>
    <n v="1446.43"/>
    <n v="0"/>
  </r>
  <r>
    <x v="7"/>
    <x v="6"/>
    <x v="0"/>
    <s v="4401107"/>
    <n v="718050"/>
    <s v="Contract Management--Linen"/>
    <s v="Surgery Ortho-Silverdale"/>
    <x v="0"/>
    <n v="1026"/>
    <n v="347.15"/>
    <n v="506.12"/>
    <n v="433.43"/>
    <n v="402.64"/>
    <n v="398.1"/>
    <n v="329.09"/>
    <n v="2864.53"/>
    <n v="614.08000000000004"/>
    <n v="346"/>
    <n v="393.47"/>
    <n v="356.14"/>
    <n v="430.07"/>
    <n v="7420.8200000000006"/>
    <n v="-73.930000000000007"/>
  </r>
  <r>
    <x v="7"/>
    <x v="6"/>
    <x v="0"/>
    <s v="4401107"/>
    <n v="718070"/>
    <s v="Contract Srvcs-CHI Clinical Engineering"/>
    <s v="Surgery Ortho-Silverdale"/>
    <x v="0"/>
    <m/>
    <n v="460.12"/>
    <n v="495.29"/>
    <n v="477.71"/>
    <n v="477.7"/>
    <n v="477.7"/>
    <n v="477.71"/>
    <n v="477.7"/>
    <n v="477.71"/>
    <n v="477.71"/>
    <n v="477.7"/>
    <n v="460.13"/>
    <n v="477.71"/>
    <n v="5714.8899999999994"/>
    <n v="-17.579999999999984"/>
  </r>
  <r>
    <x v="11"/>
    <x v="6"/>
    <x v="0"/>
    <s v="4401107"/>
    <n v="721010"/>
    <s v="Supplies-Medical - Billable"/>
    <s v="Surgery Ortho-Silverdale"/>
    <x v="0"/>
    <m/>
    <n v="8758.9699999999993"/>
    <n v="9700.69"/>
    <n v="10900.55"/>
    <n v="12910.53"/>
    <n v="17942.97"/>
    <n v="12801.5"/>
    <n v="16689.400000000001"/>
    <n v="9148.84"/>
    <n v="13316.21"/>
    <n v="11345.67"/>
    <n v="14172.46"/>
    <n v="9023.0400000000009"/>
    <n v="146710.82999999999"/>
    <n v="5149.4199999999983"/>
  </r>
  <r>
    <x v="11"/>
    <x v="6"/>
    <x v="0"/>
    <s v="4401107"/>
    <n v="721010"/>
    <s v="Patient Monitoring"/>
    <s v="Surgery Ortho-Silverdale"/>
    <x v="0"/>
    <n v="1000"/>
    <n v="0"/>
    <n v="0"/>
    <n v="0"/>
    <n v="0"/>
    <n v="0"/>
    <n v="0"/>
    <n v="0"/>
    <n v="0"/>
    <n v="0"/>
    <n v="0"/>
    <n v="271.35000000000002"/>
    <n v="0"/>
    <n v="271.35000000000002"/>
    <n v="271.35000000000002"/>
  </r>
  <r>
    <x v="11"/>
    <x v="6"/>
    <x v="0"/>
    <s v="4401107"/>
    <n v="721020"/>
    <s v="Supplies-Surgical - Billable"/>
    <s v="Surgery Ortho-Silverdale"/>
    <x v="0"/>
    <m/>
    <n v="59021.7"/>
    <n v="52744.95"/>
    <n v="47035.85"/>
    <n v="64019.03"/>
    <n v="56855.91"/>
    <n v="62461.65"/>
    <n v="52898.54"/>
    <n v="49238.44"/>
    <n v="64148.39"/>
    <n v="74771.95"/>
    <n v="56150.94"/>
    <n v="49806.51"/>
    <n v="689153.8600000001"/>
    <n v="6344.43"/>
  </r>
  <r>
    <x v="11"/>
    <x v="6"/>
    <x v="0"/>
    <s v="4401107"/>
    <n v="721020"/>
    <s v="Custom Packs"/>
    <s v="Surgery Ortho-Silverdale"/>
    <x v="0"/>
    <n v="1000"/>
    <n v="9153.84"/>
    <n v="9452.15"/>
    <n v="9223.27"/>
    <n v="10856.38"/>
    <n v="10672.93"/>
    <n v="9109.44"/>
    <n v="11580.12"/>
    <n v="7214.28"/>
    <n v="12079.34"/>
    <n v="10887.99"/>
    <n v="12037.32"/>
    <n v="10423.64"/>
    <n v="122690.7"/>
    <n v="1613.6800000000003"/>
  </r>
  <r>
    <x v="11"/>
    <x v="6"/>
    <x v="0"/>
    <s v="4401107"/>
    <n v="721020"/>
    <s v="Suture/Wound Closure"/>
    <s v="Surgery Ortho-Silverdale"/>
    <x v="0"/>
    <n v="1001"/>
    <n v="32056.32"/>
    <n v="25439.11"/>
    <n v="31352.2"/>
    <n v="36112.04"/>
    <n v="27285.56"/>
    <n v="27069.23"/>
    <n v="35862.239999999998"/>
    <n v="21641.02"/>
    <n v="54968.08"/>
    <n v="36163.99"/>
    <n v="53414.879999999997"/>
    <n v="27283.919999999998"/>
    <n v="408648.58999999997"/>
    <n v="26130.959999999999"/>
  </r>
  <r>
    <x v="11"/>
    <x v="6"/>
    <x v="0"/>
    <s v="4401107"/>
    <n v="721020"/>
    <s v="Endoscopy - Trocars &amp; Accessories"/>
    <s v="Surgery Ortho-Silverdale"/>
    <x v="0"/>
    <n v="1002"/>
    <n v="1376.41"/>
    <n v="2059.17"/>
    <n v="2088.14"/>
    <n v="1551.73"/>
    <n v="2424.79"/>
    <n v="1863.91"/>
    <n v="1849.49"/>
    <n v="1159.0899999999999"/>
    <n v="2774.27"/>
    <n v="3913.98"/>
    <n v="1092.17"/>
    <n v="982.82"/>
    <n v="23135.969999999994"/>
    <n v="109.35000000000002"/>
  </r>
  <r>
    <x v="11"/>
    <x v="6"/>
    <x v="0"/>
    <s v="4401107"/>
    <n v="721020"/>
    <s v="Endomechanical Supplies &amp; Instruments"/>
    <s v="Surgery Ortho-Silverdale"/>
    <x v="0"/>
    <n v="1003"/>
    <n v="5745.84"/>
    <n v="6175.47"/>
    <n v="6527.63"/>
    <n v="7869.11"/>
    <n v="6774.24"/>
    <n v="14418.14"/>
    <n v="5113.42"/>
    <n v="4775.1000000000004"/>
    <n v="10876.85"/>
    <n v="7803.33"/>
    <n v="5247.27"/>
    <n v="5623.58"/>
    <n v="86949.98000000001"/>
    <n v="-376.30999999999949"/>
  </r>
  <r>
    <x v="11"/>
    <x v="6"/>
    <x v="0"/>
    <s v="4401107"/>
    <n v="721020"/>
    <s v="Bone Cement &amp; Supplies"/>
    <s v="Surgery Ortho-Silverdale"/>
    <x v="0"/>
    <n v="1004"/>
    <n v="-35283.94"/>
    <n v="5356.34"/>
    <n v="5610.52"/>
    <n v="13726.5"/>
    <n v="8987.33"/>
    <n v="12797.44"/>
    <n v="10341.76"/>
    <n v="8917"/>
    <n v="7534.8"/>
    <n v="9460.44"/>
    <n v="10059.51"/>
    <n v="9176.5300000000007"/>
    <n v="66684.23000000001"/>
    <n v="882.97999999999956"/>
  </r>
  <r>
    <x v="11"/>
    <x v="6"/>
    <x v="0"/>
    <s v="4401107"/>
    <n v="721020"/>
    <s v="Urological Supplies"/>
    <s v="Surgery Ortho-Silverdale"/>
    <x v="0"/>
    <n v="1006"/>
    <n v="0"/>
    <n v="0"/>
    <n v="0"/>
    <n v="0"/>
    <n v="0"/>
    <n v="0"/>
    <n v="0"/>
    <n v="0"/>
    <n v="0"/>
    <n v="452.35"/>
    <n v="0"/>
    <n v="0"/>
    <n v="452.35"/>
    <n v="0"/>
  </r>
  <r>
    <x v="11"/>
    <x v="6"/>
    <x v="0"/>
    <s v="4401107"/>
    <n v="721020"/>
    <s v="Surgical Cardiovascular"/>
    <s v="Surgery Ortho-Silverdale"/>
    <x v="0"/>
    <n v="1007"/>
    <n v="0"/>
    <n v="0"/>
    <n v="0"/>
    <n v="0"/>
    <n v="0"/>
    <n v="0"/>
    <n v="0"/>
    <n v="4.08"/>
    <n v="0"/>
    <n v="2.04"/>
    <n v="6.12"/>
    <n v="0"/>
    <n v="12.24"/>
    <n v="6.12"/>
  </r>
  <r>
    <x v="11"/>
    <x v="6"/>
    <x v="0"/>
    <s v="4401107"/>
    <n v="721120"/>
    <s v="Hip Prosthesis"/>
    <s v="Surgery Ortho-Silverdale"/>
    <x v="0"/>
    <n v="1000"/>
    <n v="163721.26"/>
    <n v="139960.01999999999"/>
    <n v="96438.67"/>
    <n v="190892.28"/>
    <n v="122135.38"/>
    <n v="147305.91"/>
    <n v="128584.46"/>
    <n v="130127.46"/>
    <n v="115280.79"/>
    <n v="185682.86"/>
    <n v="165037.9"/>
    <n v="161553.46"/>
    <n v="1746720.4499999997"/>
    <n v="3484.4400000000023"/>
  </r>
  <r>
    <x v="11"/>
    <x v="6"/>
    <x v="0"/>
    <s v="4401107"/>
    <n v="721120"/>
    <s v="Knee Prosthesis"/>
    <s v="Surgery Ortho-Silverdale"/>
    <x v="0"/>
    <n v="1001"/>
    <n v="153562.45000000001"/>
    <n v="120650.86"/>
    <n v="72677.279999999999"/>
    <n v="191829.8"/>
    <n v="223480.61"/>
    <n v="190697.05"/>
    <n v="142822.85"/>
    <n v="163217.79"/>
    <n v="61608"/>
    <n v="248279.4"/>
    <n v="211910.95"/>
    <n v="92347"/>
    <n v="1873084.0399999998"/>
    <n v="119563.95000000001"/>
  </r>
  <r>
    <x v="11"/>
    <x v="6"/>
    <x v="0"/>
    <s v="4401107"/>
    <n v="721120"/>
    <s v="Shoulder Prosthesis"/>
    <s v="Surgery Ortho-Silverdale"/>
    <x v="0"/>
    <n v="1002"/>
    <n v="23748"/>
    <n v="43251.75"/>
    <n v="28200"/>
    <n v="68176"/>
    <n v="69178"/>
    <n v="94277"/>
    <n v="42600"/>
    <n v="46872.5"/>
    <n v="72582.5"/>
    <n v="95702.9"/>
    <n v="86038.65"/>
    <n v="29372.5"/>
    <n v="699999.8"/>
    <n v="56666.149999999994"/>
  </r>
  <r>
    <x v="11"/>
    <x v="6"/>
    <x v="0"/>
    <s v="4401107"/>
    <n v="721120"/>
    <s v="Joint Prostheses - Other"/>
    <s v="Surgery Ortho-Silverdale"/>
    <x v="0"/>
    <n v="1003"/>
    <n v="0"/>
    <n v="2125"/>
    <n v="3927"/>
    <n v="4672"/>
    <n v="0"/>
    <n v="18081.599999999999"/>
    <n v="6249.82"/>
    <n v="-34.520000000000003"/>
    <n v="0"/>
    <n v="18416.240000000002"/>
    <n v="29391.200000000001"/>
    <n v="0"/>
    <n v="82828.34"/>
    <n v="29391.200000000001"/>
  </r>
  <r>
    <x v="11"/>
    <x v="6"/>
    <x v="0"/>
    <s v="4401107"/>
    <n v="721150"/>
    <s v="Supplies-Other Implants - Billable"/>
    <s v="Surgery Ortho-Silverdale"/>
    <x v="0"/>
    <m/>
    <n v="32811.94"/>
    <n v="27846.639999999999"/>
    <n v="27805.32"/>
    <n v="30181"/>
    <n v="22921.919999999998"/>
    <n v="23635.01"/>
    <n v="39727.040000000001"/>
    <n v="12701.69"/>
    <n v="26530.01"/>
    <n v="37767.35"/>
    <n v="18952.34"/>
    <n v="9688.15"/>
    <n v="310568.41000000009"/>
    <n v="9264.19"/>
  </r>
  <r>
    <x v="11"/>
    <x v="6"/>
    <x v="0"/>
    <s v="4401107"/>
    <n v="721150"/>
    <s v="Surgical Orthopedic"/>
    <s v="Surgery Ortho-Silverdale"/>
    <x v="0"/>
    <n v="1000"/>
    <n v="25979.200000000001"/>
    <n v="18962.96"/>
    <n v="20130.5"/>
    <n v="7772.86"/>
    <n v="9036.9599999999991"/>
    <n v="32068.5"/>
    <n v="28921.5"/>
    <n v="9859.16"/>
    <n v="21819.14"/>
    <n v="14418.44"/>
    <n v="19232.18"/>
    <n v="16080.52"/>
    <n v="224281.92"/>
    <n v="3151.66"/>
  </r>
  <r>
    <x v="11"/>
    <x v="6"/>
    <x v="0"/>
    <s v="4401107"/>
    <n v="721150"/>
    <s v="Fracture Management"/>
    <s v="Surgery Ortho-Silverdale"/>
    <x v="0"/>
    <n v="1001"/>
    <n v="106418.84"/>
    <n v="88304.16"/>
    <n v="73515.63"/>
    <n v="118357.43"/>
    <n v="62342.3"/>
    <n v="94349.77"/>
    <n v="95000.81"/>
    <n v="73192.84"/>
    <n v="113238.57"/>
    <n v="121260.75"/>
    <n v="64437.69"/>
    <n v="96966.22"/>
    <n v="1107385.0099999998"/>
    <n v="-32528.53"/>
  </r>
  <r>
    <x v="11"/>
    <x v="6"/>
    <x v="0"/>
    <s v="4401107"/>
    <n v="721150"/>
    <s v="Spinal Fixations Internal Syst"/>
    <s v="Surgery Ortho-Silverdale"/>
    <x v="0"/>
    <n v="1002"/>
    <n v="0"/>
    <n v="0"/>
    <n v="0"/>
    <n v="0"/>
    <n v="0"/>
    <n v="0"/>
    <n v="0"/>
    <n v="0"/>
    <n v="0"/>
    <n v="0"/>
    <n v="285"/>
    <n v="422.92"/>
    <n v="707.92000000000007"/>
    <n v="-137.92000000000002"/>
  </r>
  <r>
    <x v="11"/>
    <x v="6"/>
    <x v="0"/>
    <s v="4401107"/>
    <n v="721240"/>
    <s v="Supplies-IV Solutions/Supplies - Billable"/>
    <s v="Surgery Ortho-Silverdale"/>
    <x v="0"/>
    <m/>
    <n v="2109.91"/>
    <n v="2164.67"/>
    <n v="1928.49"/>
    <n v="2228.12"/>
    <n v="2330.8000000000002"/>
    <n v="1958.74"/>
    <n v="2385.7800000000002"/>
    <n v="1436.98"/>
    <n v="2281.3200000000002"/>
    <n v="2340.83"/>
    <n v="2284.23"/>
    <n v="2001.58"/>
    <n v="25451.449999999997"/>
    <n v="282.65000000000009"/>
  </r>
  <r>
    <x v="11"/>
    <x v="6"/>
    <x v="0"/>
    <s v="4401107"/>
    <n v="721410"/>
    <s v="Supplies-Medical - Nonbillable"/>
    <s v="Surgery Ortho-Silverdale"/>
    <x v="0"/>
    <m/>
    <n v="28204.81"/>
    <n v="31672.5"/>
    <n v="26665.02"/>
    <n v="30991.82"/>
    <n v="34007.03"/>
    <n v="28836.05"/>
    <n v="37412.93"/>
    <n v="26372.31"/>
    <n v="34017"/>
    <n v="10145.1"/>
    <n v="45398.98"/>
    <n v="40158.79"/>
    <n v="373882.33999999991"/>
    <n v="5240.1900000000023"/>
  </r>
  <r>
    <x v="11"/>
    <x v="6"/>
    <x v="0"/>
    <s v="4401107"/>
    <n v="721420"/>
    <s v="Supplies-Surgical Nonbillable"/>
    <s v="Surgery Ortho-Silverdale"/>
    <x v="0"/>
    <m/>
    <n v="14845.36"/>
    <n v="19663.05"/>
    <n v="16734.080000000002"/>
    <n v="22518.93"/>
    <n v="19974.97"/>
    <n v="17664.57"/>
    <n v="20700.34"/>
    <n v="15406.29"/>
    <n v="22011.19"/>
    <n v="19388.400000000001"/>
    <n v="20435.82"/>
    <n v="16946.349999999999"/>
    <n v="226289.35000000003"/>
    <n v="3489.4700000000012"/>
  </r>
  <r>
    <x v="11"/>
    <x v="6"/>
    <x v="0"/>
    <s v="4401107"/>
    <n v="721420"/>
    <s v="Sterilization Process Products"/>
    <s v="Surgery Ortho-Silverdale"/>
    <x v="0"/>
    <n v="1009"/>
    <n v="2574.8200000000002"/>
    <n v="270.3"/>
    <n v="175.21"/>
    <n v="243.56"/>
    <n v="125.12"/>
    <n v="105.72"/>
    <n v="1926.58"/>
    <n v="62.56"/>
    <n v="131.96"/>
    <n v="404.58"/>
    <n v="0"/>
    <n v="98.92"/>
    <n v="6119.33"/>
    <n v="-98.92"/>
  </r>
  <r>
    <x v="11"/>
    <x v="6"/>
    <x v="0"/>
    <s v="4401107"/>
    <n v="721610"/>
    <s v="Supplies-Anesthesia - Nonbillable"/>
    <s v="Surgery Ortho-Silverdale"/>
    <x v="0"/>
    <m/>
    <n v="0"/>
    <n v="0"/>
    <n v="0"/>
    <n v="0"/>
    <n v="0"/>
    <n v="0"/>
    <n v="0"/>
    <n v="0"/>
    <n v="232"/>
    <n v="20.88"/>
    <n v="0"/>
    <n v="0"/>
    <n v="252.88"/>
    <n v="0"/>
  </r>
  <r>
    <x v="11"/>
    <x v="6"/>
    <x v="0"/>
    <s v="4401107"/>
    <n v="721640"/>
    <s v="Supplies-IV Solutions/Supplies - Nonbillable"/>
    <s v="Surgery Ortho-Silverdale"/>
    <x v="0"/>
    <m/>
    <n v="4.5999999999999996"/>
    <n v="0"/>
    <n v="0"/>
    <n v="4.5999999999999996"/>
    <n v="31.8"/>
    <n v="4.5999999999999996"/>
    <n v="42.4"/>
    <n v="0"/>
    <n v="4.5999999999999996"/>
    <n v="47"/>
    <n v="9.1999999999999993"/>
    <n v="4.5999999999999996"/>
    <n v="153.39999999999998"/>
    <n v="4.5999999999999996"/>
  </r>
  <r>
    <x v="11"/>
    <x v="6"/>
    <x v="0"/>
    <s v="4401107"/>
    <n v="721650"/>
    <s v="Supplies-Pharmacy Drugs - Nonbillable"/>
    <s v="Surgery Ortho-Silverdale"/>
    <x v="0"/>
    <m/>
    <n v="1.95"/>
    <n v="1.95"/>
    <n v="1.46"/>
    <n v="1.95"/>
    <n v="1.95"/>
    <n v="1.95"/>
    <n v="2.25"/>
    <n v="3.38"/>
    <n v="2.25"/>
    <n v="0"/>
    <n v="4.2699999999999996"/>
    <n v="1.1299999999999999"/>
    <n v="24.49"/>
    <n v="3.1399999999999997"/>
  </r>
  <r>
    <x v="11"/>
    <x v="6"/>
    <x v="0"/>
    <s v="4401107"/>
    <n v="721710"/>
    <s v="Supplies-Laboratory - Nonbillable"/>
    <s v="Surgery Ortho-Silverdale"/>
    <x v="0"/>
    <m/>
    <n v="76.819999999999993"/>
    <n v="109.86"/>
    <n v="28.47"/>
    <n v="86.54"/>
    <n v="80.12"/>
    <n v="56.52"/>
    <n v="64.900000000000006"/>
    <n v="334.02"/>
    <n v="270.32"/>
    <n v="156.35"/>
    <n v="280.02999999999997"/>
    <n v="270.97000000000003"/>
    <n v="1814.9199999999998"/>
    <n v="9.0599999999999454"/>
  </r>
  <r>
    <x v="11"/>
    <x v="6"/>
    <x v="0"/>
    <s v="4401107"/>
    <n v="721710"/>
    <s v="Reagents"/>
    <s v="Surgery Ortho-Silverdale"/>
    <x v="0"/>
    <n v="1000"/>
    <n v="250.22"/>
    <n v="54.54"/>
    <n v="21.82"/>
    <n v="37.83"/>
    <n v="84.35"/>
    <n v="12.6"/>
    <n v="37.799999999999997"/>
    <n v="37.799999999999997"/>
    <n v="77.44"/>
    <n v="237.61"/>
    <n v="37.799999999999997"/>
    <n v="25.2"/>
    <n v="915.0100000000001"/>
    <n v="12.599999999999998"/>
  </r>
  <r>
    <x v="11"/>
    <x v="6"/>
    <x v="0"/>
    <s v="4401107"/>
    <n v="721810"/>
    <s v="Supplies-Dietary/Cafeteria"/>
    <s v="Surgery Ortho-Silverdale"/>
    <x v="0"/>
    <m/>
    <n v="229.86"/>
    <n v="249.39"/>
    <n v="850.23"/>
    <n v="509.75"/>
    <n v="460.53"/>
    <n v="592.15"/>
    <n v="1059.72"/>
    <n v="704.07"/>
    <n v="604.58000000000004"/>
    <n v="709.7"/>
    <n v="321.10000000000002"/>
    <n v="417.29"/>
    <n v="6708.37"/>
    <n v="-96.19"/>
  </r>
  <r>
    <x v="11"/>
    <x v="6"/>
    <x v="0"/>
    <s v="4401107"/>
    <n v="721830"/>
    <s v="Supplies-Office"/>
    <s v="Surgery Ortho-Silverdale"/>
    <x v="0"/>
    <m/>
    <n v="1259.3599999999999"/>
    <n v="1163.2"/>
    <n v="1205.83"/>
    <n v="2255.41"/>
    <n v="1896.09"/>
    <n v="743.71"/>
    <n v="1356.08"/>
    <n v="1436.83"/>
    <n v="2086.4"/>
    <n v="1230.01"/>
    <n v="1339.47"/>
    <n v="1059.28"/>
    <n v="17031.669999999998"/>
    <n v="280.19000000000005"/>
  </r>
  <r>
    <x v="11"/>
    <x v="6"/>
    <x v="0"/>
    <s v="4401107"/>
    <n v="721835"/>
    <s v="Supplies-Forms"/>
    <s v="Surgery Ortho-Silverdale"/>
    <x v="0"/>
    <m/>
    <n v="0"/>
    <n v="0"/>
    <n v="0"/>
    <n v="0"/>
    <n v="1140.05"/>
    <n v="268.10000000000002"/>
    <n v="104.1"/>
    <n v="0"/>
    <n v="516.04999999999995"/>
    <n v="508.8"/>
    <n v="473.8"/>
    <n v="124.4"/>
    <n v="3135.3"/>
    <n v="349.4"/>
  </r>
  <r>
    <x v="11"/>
    <x v="6"/>
    <x v="0"/>
    <s v="4401107"/>
    <n v="721870"/>
    <s v="Supplies-Environmental Services"/>
    <s v="Surgery Ortho-Silverdale"/>
    <x v="0"/>
    <m/>
    <n v="309.86"/>
    <n v="171.36"/>
    <n v="309.68"/>
    <n v="222.96"/>
    <n v="338.16"/>
    <n v="189.05"/>
    <n v="380.49"/>
    <n v="243.73"/>
    <n v="264.67"/>
    <n v="292.07"/>
    <n v="373.53"/>
    <n v="367.26"/>
    <n v="3462.8200000000006"/>
    <n v="6.2699999999999818"/>
  </r>
  <r>
    <x v="11"/>
    <x v="6"/>
    <x v="0"/>
    <s v="4401107"/>
    <n v="721910"/>
    <s v="Supplies-Small Equipment"/>
    <s v="Surgery Ortho-Silverdale"/>
    <x v="0"/>
    <m/>
    <n v="8462.0499999999993"/>
    <n v="10855.75"/>
    <n v="1137.6600000000001"/>
    <n v="9818.9699999999993"/>
    <n v="7327.84"/>
    <n v="16347.93"/>
    <n v="8449.2199999999993"/>
    <n v="1201.98"/>
    <n v="2395.63"/>
    <n v="5123.78"/>
    <n v="991.46"/>
    <n v="1744.15"/>
    <n v="73856.420000000013"/>
    <n v="-752.69"/>
  </r>
  <r>
    <x v="11"/>
    <x v="6"/>
    <x v="0"/>
    <s v="4401107"/>
    <n v="721910"/>
    <s v="Instruments"/>
    <s v="Surgery Ortho-Silverdale"/>
    <x v="0"/>
    <n v="1000"/>
    <n v="11777.47"/>
    <n v="5334.97"/>
    <n v="7792.82"/>
    <n v="2884.98"/>
    <n v="4690.46"/>
    <n v="10726.79"/>
    <n v="8474.7800000000007"/>
    <n v="27363.75"/>
    <n v="10029.540000000001"/>
    <n v="8880.94"/>
    <n v="9783.91"/>
    <n v="10889.51"/>
    <n v="118629.92"/>
    <n v="-1105.6000000000004"/>
  </r>
  <r>
    <x v="11"/>
    <x v="6"/>
    <x v="0"/>
    <s v="4401107"/>
    <n v="721980"/>
    <s v="Supplies-Other"/>
    <s v="Surgery Ortho-Silverdale"/>
    <x v="0"/>
    <m/>
    <n v="2964.39"/>
    <n v="1788.5"/>
    <n v="1161.6099999999999"/>
    <n v="-484.16"/>
    <n v="569.59"/>
    <n v="66.95"/>
    <n v="-4.2300000000000004"/>
    <n v="0"/>
    <n v="0"/>
    <n v="186.03"/>
    <n v="0"/>
    <n v="-8.18"/>
    <n v="6240.4999999999991"/>
    <n v="8.18"/>
  </r>
  <r>
    <x v="11"/>
    <x v="6"/>
    <x v="0"/>
    <s v="4401107"/>
    <n v="722000"/>
    <s v="Supplies-Freight Expense"/>
    <s v="Surgery Ortho-Silverdale"/>
    <x v="0"/>
    <m/>
    <n v="1688.28"/>
    <n v="3024.74"/>
    <n v="1971.39"/>
    <n v="2175.4699999999998"/>
    <n v="1083.42"/>
    <n v="3370.49"/>
    <n v="3991.37"/>
    <n v="1281.7"/>
    <n v="3061.97"/>
    <n v="3060.47"/>
    <n v="3053.88"/>
    <n v="1682.8"/>
    <n v="29445.980000000003"/>
    <n v="1371.0800000000002"/>
  </r>
  <r>
    <x v="11"/>
    <x v="6"/>
    <x v="0"/>
    <s v="4401107"/>
    <n v="722000"/>
    <s v="Minimum Order Fees"/>
    <s v="Surgery Ortho-Silverdale"/>
    <x v="0"/>
    <n v="1000"/>
    <n v="0"/>
    <n v="0"/>
    <n v="0"/>
    <n v="0"/>
    <n v="0"/>
    <n v="0"/>
    <n v="0"/>
    <n v="0"/>
    <n v="0"/>
    <n v="0"/>
    <n v="0"/>
    <n v="197.86"/>
    <n v="197.86"/>
    <n v="-197.86"/>
  </r>
  <r>
    <x v="12"/>
    <x v="6"/>
    <x v="0"/>
    <s v="4401107"/>
    <n v="730020"/>
    <s v="Rental and Leases-Equipment (DO NOT USE)"/>
    <s v="Surgery Ortho-Silverdale"/>
    <x v="0"/>
    <m/>
    <n v="1000"/>
    <n v="1180"/>
    <n v="1936"/>
    <n v="3793.2"/>
    <n v="2000"/>
    <n v="5360"/>
    <n v="910"/>
    <n v="910"/>
    <n v="1910"/>
    <n v="-171"/>
    <n v="910"/>
    <n v="1090"/>
    <n v="20828.2"/>
    <n v="-180"/>
  </r>
  <r>
    <x v="12"/>
    <x v="6"/>
    <x v="0"/>
    <s v="4401107"/>
    <n v="730020"/>
    <s v="Rental and Leases-Copier Usage Fees (DO NOT USE)"/>
    <s v="Surgery Ortho-Silverdale"/>
    <x v="0"/>
    <n v="5100"/>
    <n v="72.400000000000006"/>
    <n v="68.599999999999994"/>
    <n v="70.5"/>
    <n v="70.5"/>
    <n v="70.5"/>
    <n v="70.5"/>
    <n v="308.62"/>
    <n v="86.22"/>
    <n v="86.04"/>
    <n v="126.52"/>
    <n v="86.22"/>
    <n v="96.4"/>
    <n v="1213.0200000000002"/>
    <n v="-10.180000000000007"/>
  </r>
  <r>
    <x v="15"/>
    <x v="6"/>
    <x v="0"/>
    <s v="4401107"/>
    <n v="731060"/>
    <s v="Cell Phones"/>
    <s v="Surgery Ortho-Silverdale"/>
    <x v="0"/>
    <n v="1001"/>
    <n v="0"/>
    <n v="53.87"/>
    <n v="26.42"/>
    <n v="0"/>
    <n v="26.47"/>
    <n v="27.05"/>
    <n v="54.14"/>
    <n v="0"/>
    <n v="28.08"/>
    <n v="106.75"/>
    <n v="151.28"/>
    <n v="103.82"/>
    <n v="577.87999999999988"/>
    <n v="47.460000000000008"/>
  </r>
  <r>
    <x v="16"/>
    <x v="6"/>
    <x v="0"/>
    <s v="4401107"/>
    <n v="732020"/>
    <s v="Repairs--Clin Equip-Parts-Internal to CHI Programs"/>
    <s v="Surgery Ortho-Silverdale"/>
    <x v="0"/>
    <m/>
    <n v="0"/>
    <n v="0"/>
    <n v="0"/>
    <n v="0"/>
    <n v="43.81"/>
    <n v="0"/>
    <n v="0"/>
    <n v="0"/>
    <n v="0"/>
    <n v="0"/>
    <n v="0"/>
    <n v="0"/>
    <n v="43.81"/>
    <n v="0"/>
  </r>
  <r>
    <x v="16"/>
    <x v="6"/>
    <x v="0"/>
    <s v="4401107"/>
    <n v="732030"/>
    <s v="Repairs---Other"/>
    <s v="Surgery Ortho-Silverdale"/>
    <x v="0"/>
    <m/>
    <n v="593.29"/>
    <n v="3356.88"/>
    <n v="8016.55"/>
    <n v="1673.5"/>
    <n v="3378.64"/>
    <n v="2514.9499999999998"/>
    <n v="1019.79"/>
    <n v="-10.63"/>
    <n v="719.65"/>
    <n v="5633.98"/>
    <n v="13869.25"/>
    <n v="2343.15"/>
    <n v="43109.000000000007"/>
    <n v="11526.1"/>
  </r>
  <r>
    <x v="16"/>
    <x v="6"/>
    <x v="0"/>
    <s v="4401107"/>
    <n v="733030"/>
    <s v="Maintenance Contracts-Other"/>
    <s v="Surgery Ortho-Silverdale"/>
    <x v="0"/>
    <m/>
    <n v="0"/>
    <n v="0"/>
    <n v="0"/>
    <n v="0"/>
    <n v="1524.42"/>
    <n v="0"/>
    <n v="-329.5"/>
    <n v="0"/>
    <n v="0"/>
    <n v="0"/>
    <n v="0"/>
    <n v="0"/>
    <n v="1194.92"/>
    <n v="0"/>
  </r>
  <r>
    <x v="13"/>
    <x v="6"/>
    <x v="0"/>
    <s v="4401107"/>
    <n v="735060"/>
    <s v="Depreciation-Fixed Equipment"/>
    <s v="Surgery Ortho-Silverdale"/>
    <x v="0"/>
    <m/>
    <n v="7480.78"/>
    <n v="7480.74"/>
    <n v="7480.8"/>
    <n v="7254.08"/>
    <n v="7254.22"/>
    <n v="7254.07"/>
    <n v="7254.26"/>
    <n v="7254.06"/>
    <n v="7254.29"/>
    <n v="7254.04"/>
    <n v="7254.29"/>
    <n v="7254.02"/>
    <n v="87729.65"/>
    <n v="0.26999999999952706"/>
  </r>
  <r>
    <x v="13"/>
    <x v="6"/>
    <x v="0"/>
    <s v="4401107"/>
    <n v="735070"/>
    <s v="Depreciation-Movable Equipment"/>
    <s v="Surgery Ortho-Silverdale"/>
    <x v="0"/>
    <m/>
    <n v="45660.57"/>
    <n v="45660.71"/>
    <n v="45660.41"/>
    <n v="36095.550000000003"/>
    <n v="36096.04"/>
    <n v="36095.46"/>
    <n v="36096.120000000003"/>
    <n v="36885.54"/>
    <n v="36886.5"/>
    <n v="36885.42"/>
    <n v="36886.58"/>
    <n v="36885.35"/>
    <n v="465794.24999999994"/>
    <n v="1.2300000000032014"/>
  </r>
  <r>
    <x v="0"/>
    <x v="6"/>
    <x v="0"/>
    <s v="4401107"/>
    <n v="740020"/>
    <s v="Education-Registration Fees"/>
    <s v="Surgery Ortho-Silverdale"/>
    <x v="0"/>
    <m/>
    <n v="0"/>
    <n v="0"/>
    <n v="435"/>
    <n v="0"/>
    <n v="0"/>
    <n v="0"/>
    <n v="0"/>
    <n v="3279.96"/>
    <n v="0"/>
    <n v="0"/>
    <n v="0"/>
    <n v="0"/>
    <n v="3714.96"/>
    <n v="0"/>
  </r>
  <r>
    <x v="0"/>
    <x v="6"/>
    <x v="0"/>
    <s v="4401107"/>
    <n v="743030"/>
    <s v="Subscriptions--Institutional"/>
    <s v="Surgery Ortho-Silverdale"/>
    <x v="0"/>
    <m/>
    <n v="0"/>
    <n v="0"/>
    <n v="0"/>
    <n v="0"/>
    <n v="0"/>
    <n v="0"/>
    <n v="97.98"/>
    <n v="117.49"/>
    <n v="0"/>
    <n v="0"/>
    <n v="0"/>
    <n v="0"/>
    <n v="215.47"/>
    <n v="0"/>
  </r>
  <r>
    <x v="0"/>
    <x v="6"/>
    <x v="0"/>
    <s v="4401107"/>
    <n v="749510"/>
    <s v="Miscellaneous Expenses"/>
    <s v="Surgery Ortho-Silverdale"/>
    <x v="0"/>
    <m/>
    <n v="-134.5"/>
    <n v="223.39"/>
    <n v="258.89"/>
    <n v="232.48"/>
    <n v="177.11"/>
    <n v="188.97"/>
    <n v="97.01"/>
    <n v="-90.51"/>
    <n v="297.8"/>
    <n v="1000.5"/>
    <n v="692.1"/>
    <n v="0"/>
    <n v="2943.2400000000002"/>
    <n v="692.1"/>
  </r>
  <r>
    <x v="0"/>
    <x v="6"/>
    <x v="0"/>
    <s v="4401107"/>
    <n v="749510"/>
    <s v="Licenses"/>
    <s v="Surgery Ortho-Silverdale"/>
    <x v="0"/>
    <n v="1002"/>
    <n v="400"/>
    <n v="400"/>
    <n v="0"/>
    <n v="0"/>
    <n v="0"/>
    <n v="1200"/>
    <n v="400"/>
    <n v="800"/>
    <n v="400"/>
    <n v="400"/>
    <n v="400"/>
    <n v="845"/>
    <n v="5245"/>
    <n v="-445"/>
  </r>
  <r>
    <x v="0"/>
    <x v="6"/>
    <x v="0"/>
    <s v="4401107"/>
    <n v="749510"/>
    <s v="RICE Rewards"/>
    <s v="Surgery Ortho-Silverdale"/>
    <x v="0"/>
    <n v="5100"/>
    <n v="0"/>
    <n v="0"/>
    <n v="0"/>
    <n v="0"/>
    <n v="0"/>
    <n v="0"/>
    <n v="0"/>
    <n v="0"/>
    <n v="0"/>
    <n v="0"/>
    <n v="2393.36"/>
    <n v="462.53"/>
    <n v="2855.8900000000003"/>
    <n v="1930.8300000000002"/>
  </r>
  <r>
    <x v="0"/>
    <x v="6"/>
    <x v="0"/>
    <s v="4401107"/>
    <n v="749530"/>
    <s v="Travel"/>
    <s v="Surgery Ortho-Silverdale"/>
    <x v="0"/>
    <m/>
    <n v="0"/>
    <n v="0"/>
    <n v="0"/>
    <n v="0"/>
    <n v="0"/>
    <n v="0"/>
    <n v="0"/>
    <n v="0"/>
    <n v="6"/>
    <n v="0"/>
    <n v="0"/>
    <n v="0"/>
    <n v="6"/>
    <n v="0"/>
  </r>
  <r>
    <x v="0"/>
    <x v="6"/>
    <x v="0"/>
    <s v="4401107"/>
    <n v="749530"/>
    <s v="Mileage"/>
    <s v="Surgery Ortho-Silverdale"/>
    <x v="0"/>
    <n v="1001"/>
    <n v="0"/>
    <n v="0"/>
    <n v="15.28"/>
    <n v="0"/>
    <n v="0"/>
    <n v="0"/>
    <n v="0"/>
    <n v="0"/>
    <n v="64.38"/>
    <n v="8.1199999999999992"/>
    <n v="0"/>
    <n v="0"/>
    <n v="87.78"/>
    <n v="0"/>
  </r>
  <r>
    <x v="18"/>
    <x v="6"/>
    <x v="0"/>
    <s v="4402107"/>
    <n v="400010"/>
    <s v="Acute I/P Svcs Rev--Medicare"/>
    <s v="Surgery-Silverdale"/>
    <x v="0"/>
    <n v="1100"/>
    <n v="-173369.47"/>
    <n v="-174677.64"/>
    <n v="-223376.35"/>
    <n v="-36427.050000000003"/>
    <n v="-78450.720000000001"/>
    <n v="-152942.63"/>
    <n v="-169899.4"/>
    <n v="-156275.35"/>
    <n v="-206283.5"/>
    <n v="-101705.08"/>
    <n v="-49248.55"/>
    <n v="-141338.37"/>
    <n v="-1663994.1100000003"/>
    <n v="92089.819999999992"/>
  </r>
  <r>
    <x v="18"/>
    <x v="6"/>
    <x v="0"/>
    <s v="4402107"/>
    <n v="400010"/>
    <s v="Acute I/P Svcs Rev--Medicaid"/>
    <s v="Surgery-Silverdale"/>
    <x v="0"/>
    <n v="1200"/>
    <n v="-54971.92"/>
    <n v="43544.95"/>
    <n v="-23438.65"/>
    <n v="-63674.29"/>
    <n v="-40821.360000000001"/>
    <n v="-11334.81"/>
    <n v="-165068.09"/>
    <n v="-24028.84"/>
    <n v="-30320.58"/>
    <n v="-76757.97"/>
    <n v="-68015.67"/>
    <n v="0"/>
    <n v="-514887.23000000004"/>
    <n v="-68015.67"/>
  </r>
  <r>
    <x v="18"/>
    <x v="6"/>
    <x v="0"/>
    <s v="4402107"/>
    <n v="400010"/>
    <s v="Acute I/P Svcs Rev--Comm Insurance"/>
    <s v="Surgery-Silverdale"/>
    <x v="0"/>
    <n v="1300"/>
    <n v="0"/>
    <n v="0"/>
    <n v="0"/>
    <n v="0"/>
    <n v="0"/>
    <n v="0"/>
    <n v="-70692.710000000006"/>
    <n v="0"/>
    <n v="0"/>
    <n v="0"/>
    <n v="0"/>
    <n v="0"/>
    <n v="-70692.710000000006"/>
    <n v="0"/>
  </r>
  <r>
    <x v="18"/>
    <x v="6"/>
    <x v="0"/>
    <s v="4402107"/>
    <n v="400010"/>
    <s v="Acute I/P Svcs Rev--BCBS Comm"/>
    <s v="Surgery-Silverdale"/>
    <x v="0"/>
    <n v="1301"/>
    <n v="-68939.17"/>
    <n v="-36578.32"/>
    <n v="-23547.8"/>
    <n v="0"/>
    <n v="-77603.490000000005"/>
    <n v="-73657.11"/>
    <n v="0"/>
    <n v="0"/>
    <n v="-28533.94"/>
    <n v="-148264.74"/>
    <n v="-70652.070000000007"/>
    <n v="-69820.91"/>
    <n v="-597597.55000000005"/>
    <n v="-831.16000000000349"/>
  </r>
  <r>
    <x v="18"/>
    <x v="6"/>
    <x v="0"/>
    <s v="4402107"/>
    <n v="400010"/>
    <s v="Acute I/P Svcs Rev--Managed Care"/>
    <s v="Surgery-Silverdale"/>
    <x v="0"/>
    <n v="1400"/>
    <n v="-138052.21"/>
    <n v="-167656.65"/>
    <n v="-137213.07999999999"/>
    <n v="-427905.31"/>
    <n v="-217777.66"/>
    <n v="-173761.93"/>
    <n v="-244929.53"/>
    <n v="-120225.36"/>
    <n v="0"/>
    <n v="-82958.97"/>
    <n v="-58106.84"/>
    <n v="0"/>
    <n v="-1768587.54"/>
    <n v="-58106.84"/>
  </r>
  <r>
    <x v="18"/>
    <x v="6"/>
    <x v="0"/>
    <s v="4402107"/>
    <n v="400010"/>
    <s v="Acute I/P Svcs Rev--Self Pay"/>
    <s v="Surgery-Silverdale"/>
    <x v="0"/>
    <n v="1500"/>
    <n v="0"/>
    <n v="0"/>
    <n v="0"/>
    <n v="0"/>
    <n v="0"/>
    <n v="0"/>
    <n v="0"/>
    <n v="-37110.199999999997"/>
    <n v="-30407.9"/>
    <n v="0"/>
    <n v="0"/>
    <n v="0"/>
    <n v="-67518.100000000006"/>
    <n v="0"/>
  </r>
  <r>
    <x v="18"/>
    <x v="6"/>
    <x v="0"/>
    <s v="4402107"/>
    <n v="400010"/>
    <s v="Acute I/P Svcs Rev--Other"/>
    <s v="Surgery-Silverdale"/>
    <x v="0"/>
    <n v="1700"/>
    <n v="-67327.09"/>
    <n v="-68295.89"/>
    <n v="0"/>
    <n v="0"/>
    <n v="-15570.88"/>
    <n v="-18224.849999999999"/>
    <n v="-25660.77"/>
    <n v="0"/>
    <n v="0"/>
    <n v="-26035.41"/>
    <n v="-26418.33"/>
    <n v="0"/>
    <n v="-247533.21999999997"/>
    <n v="-26418.33"/>
  </r>
  <r>
    <x v="19"/>
    <x v="6"/>
    <x v="0"/>
    <s v="4402107"/>
    <n v="400020"/>
    <s v="O/P Care Svcs Rev--Medicare"/>
    <s v="Surgery-Silverdale"/>
    <x v="0"/>
    <n v="1100"/>
    <n v="-1215025.5900000001"/>
    <n v="-1361559.91"/>
    <n v="-1445418.61"/>
    <n v="-1439939.94"/>
    <n v="-1291357.31"/>
    <n v="-1474287.56"/>
    <n v="-1547943.09"/>
    <n v="-1776393.43"/>
    <n v="-2398580.7599999998"/>
    <n v="-2470703.85"/>
    <n v="-2597259.2799999998"/>
    <n v="-2201577.23"/>
    <n v="-21220046.560000002"/>
    <n v="-395682.04999999981"/>
  </r>
  <r>
    <x v="19"/>
    <x v="6"/>
    <x v="0"/>
    <s v="4402107"/>
    <n v="400020"/>
    <s v="O/P Care Svcs Rev--Medicaid"/>
    <s v="Surgery-Silverdale"/>
    <x v="0"/>
    <n v="1200"/>
    <n v="-547879.81000000006"/>
    <n v="-1007341.14"/>
    <n v="-791226.34"/>
    <n v="-521586.17"/>
    <n v="-999080.03"/>
    <n v="-757362.32"/>
    <n v="-1007729.31"/>
    <n v="-439607.51"/>
    <n v="-990740.83"/>
    <n v="-697453.3"/>
    <n v="-1053677.1200000001"/>
    <n v="-690293.08"/>
    <n v="-9503976.9600000009"/>
    <n v="-363384.04000000015"/>
  </r>
  <r>
    <x v="19"/>
    <x v="6"/>
    <x v="0"/>
    <s v="4402107"/>
    <n v="400020"/>
    <s v="O/P Care Svcs Rev--Comm Insurance"/>
    <s v="Surgery-Silverdale"/>
    <x v="0"/>
    <n v="1300"/>
    <n v="-219691.58"/>
    <n v="-87093.57"/>
    <n v="-37138.99"/>
    <n v="-281870.3"/>
    <n v="0"/>
    <n v="-160369.81"/>
    <n v="-284626.49"/>
    <n v="-232943.52"/>
    <n v="-72457.820000000007"/>
    <n v="-180204.82"/>
    <n v="-187435.32"/>
    <n v="-125691.13"/>
    <n v="-1869523.35"/>
    <n v="-61744.19"/>
  </r>
  <r>
    <x v="19"/>
    <x v="6"/>
    <x v="0"/>
    <s v="4402107"/>
    <n v="400020"/>
    <s v="O/P Care Svcs Rev--BCBS Comm"/>
    <s v="Surgery-Silverdale"/>
    <x v="0"/>
    <n v="1301"/>
    <n v="-596912.24"/>
    <n v="-476711.79"/>
    <n v="-809459.95"/>
    <n v="-870617.71"/>
    <n v="-932855.93"/>
    <n v="-1185267.33"/>
    <n v="-596047.6"/>
    <n v="-891841.94"/>
    <n v="-700745.62"/>
    <n v="-821291.83"/>
    <n v="-959742.45"/>
    <n v="-641838.97"/>
    <n v="-9483333.3600000013"/>
    <n v="-317903.48"/>
  </r>
  <r>
    <x v="19"/>
    <x v="6"/>
    <x v="0"/>
    <s v="4402107"/>
    <n v="400020"/>
    <s v="O/P Care Svcs Rev--Managed Care"/>
    <s v="Surgery-Silverdale"/>
    <x v="0"/>
    <n v="1400"/>
    <n v="-1109140.42"/>
    <n v="-1003385.05"/>
    <n v="-926903.62"/>
    <n v="-2018240.65"/>
    <n v="-1141831.69"/>
    <n v="-1381341.81"/>
    <n v="-1597020.27"/>
    <n v="-866395.5"/>
    <n v="-1190138.82"/>
    <n v="-822419.05"/>
    <n v="-1132095.71"/>
    <n v="-1426519.84"/>
    <n v="-14615432.43"/>
    <n v="294424.13000000012"/>
  </r>
  <r>
    <x v="19"/>
    <x v="6"/>
    <x v="0"/>
    <s v="4402107"/>
    <n v="400020"/>
    <s v="O/P Care Svcs Rev--Self Pay"/>
    <s v="Surgery-Silverdale"/>
    <x v="0"/>
    <n v="1500"/>
    <n v="17871.8"/>
    <n v="-42557.3"/>
    <n v="-43513.93"/>
    <n v="-18628.13"/>
    <n v="-36317.040000000001"/>
    <n v="-19065.080000000002"/>
    <n v="-7151.13"/>
    <n v="-15859.54"/>
    <n v="-9612.85"/>
    <n v="-81548.78"/>
    <n v="54696.22"/>
    <n v="-123544.1"/>
    <n v="-325229.86"/>
    <n v="178240.32"/>
  </r>
  <r>
    <x v="19"/>
    <x v="6"/>
    <x v="0"/>
    <s v="4402107"/>
    <n v="400020"/>
    <s v="O/P Care Svcs Rev--Other"/>
    <s v="Surgery-Silverdale"/>
    <x v="0"/>
    <n v="1700"/>
    <n v="-317453.28999999998"/>
    <n v="-385453.7"/>
    <n v="-522248.06"/>
    <n v="-321259.65000000002"/>
    <n v="-295787.09000000003"/>
    <n v="-447019.73"/>
    <n v="-554559.01"/>
    <n v="-443588.63"/>
    <n v="-311480.64"/>
    <n v="-506882.51"/>
    <n v="-500580.6"/>
    <n v="-409641.78"/>
    <n v="-5015954.6900000004"/>
    <n v="-90938.819999999949"/>
  </r>
  <r>
    <x v="5"/>
    <x v="6"/>
    <x v="0"/>
    <s v="4402107"/>
    <n v="700014"/>
    <s v="Salaries-Management-Productive"/>
    <s v="Surgery-Silverdale"/>
    <x v="0"/>
    <m/>
    <n v="0"/>
    <n v="4687.78"/>
    <n v="13331.2"/>
    <n v="5838.74"/>
    <n v="12283.51"/>
    <n v="5767.15"/>
    <n v="13029.43"/>
    <n v="7215.81"/>
    <n v="6496.23"/>
    <n v="13667.99"/>
    <n v="13561.92"/>
    <n v="11835.57"/>
    <n v="107715.33000000002"/>
    <n v="1726.3500000000004"/>
  </r>
  <r>
    <x v="5"/>
    <x v="6"/>
    <x v="0"/>
    <s v="4402107"/>
    <n v="700018"/>
    <s v="Salaries-Supervisory-Productive"/>
    <s v="Surgery-Silverdale"/>
    <x v="0"/>
    <m/>
    <n v="9047.08"/>
    <n v="9475.43"/>
    <n v="5379.81"/>
    <n v="10762.29"/>
    <n v="9246.61"/>
    <n v="8198.9599999999991"/>
    <n v="9199.5400000000009"/>
    <n v="8056.59"/>
    <n v="9723.48"/>
    <n v="9260.18"/>
    <n v="3241.38"/>
    <n v="10834.72"/>
    <n v="102426.07"/>
    <n v="-7593.3399999999992"/>
  </r>
  <r>
    <x v="5"/>
    <x v="6"/>
    <x v="0"/>
    <s v="4402107"/>
    <n v="700026"/>
    <s v="Salaries-RN-Productive"/>
    <s v="Surgery-Silverdale"/>
    <x v="0"/>
    <m/>
    <n v="25622.6"/>
    <n v="27019.74"/>
    <n v="24771.5"/>
    <n v="26038.18"/>
    <n v="19751.66"/>
    <n v="29363.61"/>
    <n v="25543.89"/>
    <n v="21206.78"/>
    <n v="36507.58"/>
    <n v="26001.13"/>
    <n v="31911.56"/>
    <n v="22969.18"/>
    <n v="316707.40999999997"/>
    <n v="8942.380000000001"/>
  </r>
  <r>
    <x v="5"/>
    <x v="6"/>
    <x v="0"/>
    <s v="4402107"/>
    <n v="700026"/>
    <s v="Salaries-RN-OT"/>
    <s v="Surgery-Silverdale"/>
    <x v="0"/>
    <n v="1000"/>
    <n v="1489.09"/>
    <n v="1323.58"/>
    <n v="2107.7600000000002"/>
    <n v="1352.07"/>
    <n v="720.09"/>
    <n v="3172.7"/>
    <n v="2643.14"/>
    <n v="547.33000000000004"/>
    <n v="1476.53"/>
    <n v="502.14"/>
    <n v="3162.93"/>
    <n v="453.29"/>
    <n v="18950.650000000001"/>
    <n v="2709.64"/>
  </r>
  <r>
    <x v="5"/>
    <x v="6"/>
    <x v="0"/>
    <s v="4402107"/>
    <n v="700026"/>
    <s v="Salaries-RN-Other"/>
    <s v="Surgery-Silverdale"/>
    <x v="0"/>
    <n v="2000"/>
    <n v="3901.99"/>
    <n v="3419.42"/>
    <n v="3253.83"/>
    <n v="1708.97"/>
    <n v="3527.57"/>
    <n v="3781.12"/>
    <n v="3512.56"/>
    <n v="2804.45"/>
    <n v="3333.79"/>
    <n v="3782.36"/>
    <n v="3165.01"/>
    <n v="2723.45"/>
    <n v="38914.519999999997"/>
    <n v="441.5600000000004"/>
  </r>
  <r>
    <x v="5"/>
    <x v="6"/>
    <x v="0"/>
    <s v="4402107"/>
    <n v="700032"/>
    <s v="Salaries-Other Pat Care Providers-Productive"/>
    <s v="Surgery-Silverdale"/>
    <x v="0"/>
    <m/>
    <n v="1569.32"/>
    <n v="1253.5"/>
    <n v="281.41000000000003"/>
    <n v="985.14"/>
    <n v="2206.83"/>
    <n v="1690.99"/>
    <n v="854.45"/>
    <n v="0"/>
    <n v="0"/>
    <n v="0"/>
    <n v="0"/>
    <n v="0"/>
    <n v="8841.64"/>
    <n v="0"/>
  </r>
  <r>
    <x v="5"/>
    <x v="6"/>
    <x v="0"/>
    <s v="4402107"/>
    <n v="700032"/>
    <s v="Salaries-Other Pat Care Providers-OT"/>
    <s v="Surgery-Silverdale"/>
    <x v="0"/>
    <n v="1000"/>
    <n v="192.46"/>
    <n v="180.35"/>
    <n v="92.35"/>
    <n v="56.64"/>
    <n v="52.18"/>
    <n v="112.01"/>
    <n v="63.13"/>
    <n v="0"/>
    <n v="0"/>
    <n v="0"/>
    <n v="0"/>
    <n v="0"/>
    <n v="749.11999999999989"/>
    <n v="0"/>
  </r>
  <r>
    <x v="5"/>
    <x v="6"/>
    <x v="0"/>
    <s v="4402107"/>
    <n v="700032"/>
    <s v="Salaries-Other Pat Care Providers-Other"/>
    <s v="Surgery-Silverdale"/>
    <x v="0"/>
    <n v="2000"/>
    <n v="0"/>
    <n v="5.4"/>
    <n v="0"/>
    <n v="4.82"/>
    <n v="-2.12"/>
    <n v="0"/>
    <n v="0"/>
    <n v="0"/>
    <n v="0"/>
    <n v="0"/>
    <n v="0"/>
    <n v="0"/>
    <n v="8.1000000000000014"/>
    <n v="0"/>
  </r>
  <r>
    <x v="5"/>
    <x v="6"/>
    <x v="0"/>
    <s v="4402107"/>
    <n v="700034"/>
    <s v="Salaries-Tech/Professional-Productive"/>
    <s v="Surgery-Silverdale"/>
    <x v="0"/>
    <m/>
    <n v="13375.23"/>
    <n v="13217.48"/>
    <n v="14526.09"/>
    <n v="17080.66"/>
    <n v="11338.84"/>
    <n v="17119.21"/>
    <n v="9632.89"/>
    <n v="7877.65"/>
    <n v="17506.23"/>
    <n v="11324.4"/>
    <n v="16284.69"/>
    <n v="10809.1"/>
    <n v="160092.47"/>
    <n v="5475.59"/>
  </r>
  <r>
    <x v="5"/>
    <x v="6"/>
    <x v="0"/>
    <s v="4402107"/>
    <n v="700034"/>
    <s v="Salaries-Tech/Professional-OT"/>
    <s v="Surgery-Silverdale"/>
    <x v="0"/>
    <n v="1000"/>
    <n v="467.38"/>
    <n v="352.57"/>
    <n v="462.03"/>
    <n v="240.86"/>
    <n v="216.68"/>
    <n v="443.81"/>
    <n v="879.57"/>
    <n v="195.1"/>
    <n v="325.97000000000003"/>
    <n v="194.5"/>
    <n v="633.27"/>
    <n v="137.79"/>
    <n v="4549.53"/>
    <n v="495.48"/>
  </r>
  <r>
    <x v="5"/>
    <x v="6"/>
    <x v="0"/>
    <s v="4402107"/>
    <n v="700034"/>
    <s v="Salaries-Tech/Professional-Other"/>
    <s v="Surgery-Silverdale"/>
    <x v="0"/>
    <n v="2000"/>
    <n v="2500.1"/>
    <n v="2417.89"/>
    <n v="2387.5500000000002"/>
    <n v="1800.75"/>
    <n v="2423.5"/>
    <n v="2558.4299999999998"/>
    <n v="1984.95"/>
    <n v="1478"/>
    <n v="1924.3"/>
    <n v="2168.16"/>
    <n v="2827.21"/>
    <n v="2438.96"/>
    <n v="26909.8"/>
    <n v="388.25"/>
  </r>
  <r>
    <x v="5"/>
    <x v="6"/>
    <x v="0"/>
    <s v="4402107"/>
    <n v="700038"/>
    <s v="Salaries-Service/Support-Productive"/>
    <s v="Surgery-Silverdale"/>
    <x v="0"/>
    <m/>
    <n v="2268.37"/>
    <n v="2481.5300000000002"/>
    <n v="3024.4"/>
    <n v="3197.32"/>
    <n v="2476.69"/>
    <n v="2836.52"/>
    <n v="3020.63"/>
    <n v="2526.84"/>
    <n v="4146.4799999999996"/>
    <n v="3030.71"/>
    <n v="3138.74"/>
    <n v="2419.3200000000002"/>
    <n v="34567.549999999996"/>
    <n v="719.41999999999962"/>
  </r>
  <r>
    <x v="5"/>
    <x v="6"/>
    <x v="0"/>
    <s v="4402107"/>
    <n v="700038"/>
    <s v="Salaries-Service/Support-OT"/>
    <s v="Surgery-Silverdale"/>
    <x v="0"/>
    <n v="1000"/>
    <n v="9.3000000000000007"/>
    <n v="-1.64"/>
    <n v="15.33"/>
    <n v="7.66"/>
    <n v="0"/>
    <n v="76.62"/>
    <n v="18.07"/>
    <n v="33.43"/>
    <n v="21.92"/>
    <n v="-4.37"/>
    <n v="0"/>
    <n v="33.450000000000003"/>
    <n v="209.76999999999998"/>
    <n v="-33.450000000000003"/>
  </r>
  <r>
    <x v="5"/>
    <x v="6"/>
    <x v="0"/>
    <s v="4402107"/>
    <n v="700038"/>
    <s v="Salaries-Service/Support-Other"/>
    <s v="Surgery-Silverdale"/>
    <x v="0"/>
    <n v="2000"/>
    <n v="0"/>
    <n v="0"/>
    <n v="0"/>
    <n v="0"/>
    <n v="0"/>
    <n v="0"/>
    <n v="0"/>
    <n v="0"/>
    <n v="0"/>
    <n v="23.16"/>
    <n v="-9.64"/>
    <n v="0"/>
    <n v="13.52"/>
    <n v="-9.64"/>
  </r>
  <r>
    <x v="5"/>
    <x v="6"/>
    <x v="0"/>
    <s v="4402107"/>
    <n v="700054"/>
    <s v="Salaries-Management-Non-productive"/>
    <s v="Surgery-Silverdale"/>
    <x v="0"/>
    <m/>
    <n v="0"/>
    <n v="2535.64"/>
    <n v="-760.6"/>
    <n v="887.52"/>
    <n v="0"/>
    <n v="6789.01"/>
    <n v="200.48"/>
    <n v="4732.58"/>
    <n v="6732.44"/>
    <n v="-866.46"/>
    <n v="-333.25"/>
    <n v="966.52"/>
    <n v="20883.88"/>
    <n v="-1299.77"/>
  </r>
  <r>
    <x v="5"/>
    <x v="6"/>
    <x v="0"/>
    <s v="4402107"/>
    <n v="700054"/>
    <s v="Salaries-Management-NonProd-Other"/>
    <s v="Surgery-Silverdale"/>
    <x v="0"/>
    <n v="2000"/>
    <n v="0"/>
    <n v="0"/>
    <n v="0"/>
    <n v="0"/>
    <n v="0"/>
    <n v="708.12"/>
    <n v="-708.12"/>
    <n v="0"/>
    <n v="0"/>
    <n v="0"/>
    <n v="0"/>
    <n v="0"/>
    <n v="0"/>
    <n v="0"/>
  </r>
  <r>
    <x v="5"/>
    <x v="6"/>
    <x v="0"/>
    <s v="4402107"/>
    <n v="700058"/>
    <s v="Salaries-Supervisory-Non-productive"/>
    <s v="Surgery-Silverdale"/>
    <x v="0"/>
    <m/>
    <n v="427.92"/>
    <n v="0"/>
    <n v="3790.08"/>
    <n v="-1222.56"/>
    <n v="0"/>
    <n v="1356.18"/>
    <n v="370.53"/>
    <n v="586.46"/>
    <n v="-154.31"/>
    <n v="0"/>
    <n v="6327.78"/>
    <n v="-1574.11"/>
    <n v="9907.9699999999975"/>
    <n v="7901.8899999999994"/>
  </r>
  <r>
    <x v="5"/>
    <x v="6"/>
    <x v="0"/>
    <s v="4402107"/>
    <n v="700066"/>
    <s v="Salaries-RN-Non-productive"/>
    <s v="Surgery-Silverdale"/>
    <x v="0"/>
    <m/>
    <n v="5546.07"/>
    <n v="653.44000000000005"/>
    <n v="943.82"/>
    <n v="8843.35"/>
    <n v="-1525.64"/>
    <n v="2373.04"/>
    <n v="1705.21"/>
    <n v="10951.97"/>
    <n v="3163.12"/>
    <n v="-78.88"/>
    <n v="1910.67"/>
    <n v="4898.32"/>
    <n v="39384.49"/>
    <n v="-2987.6499999999996"/>
  </r>
  <r>
    <x v="5"/>
    <x v="6"/>
    <x v="0"/>
    <s v="4402107"/>
    <n v="700066"/>
    <s v="Salaries-RN-NonProd-Other"/>
    <s v="Surgery-Silverdale"/>
    <x v="0"/>
    <n v="2000"/>
    <n v="430.96"/>
    <n v="894.73"/>
    <n v="552.6"/>
    <n v="574.55999999999995"/>
    <n v="309.38"/>
    <n v="783.56"/>
    <n v="308.37"/>
    <n v="847.39"/>
    <n v="530.54999999999995"/>
    <n v="581.58000000000004"/>
    <n v="525.69000000000005"/>
    <n v="466.52"/>
    <n v="6805.8900000000012"/>
    <n v="59.170000000000073"/>
  </r>
  <r>
    <x v="5"/>
    <x v="6"/>
    <x v="0"/>
    <s v="4402107"/>
    <n v="700072"/>
    <s v="Salaries-Other Pat Care Providers-Non-productive"/>
    <s v="Surgery-Silverdale"/>
    <x v="0"/>
    <m/>
    <n v="650.54999999999995"/>
    <n v="204.1"/>
    <n v="777.38"/>
    <n v="226.62"/>
    <n v="763.84"/>
    <n v="-42.74"/>
    <n v="214.94"/>
    <n v="0"/>
    <n v="0"/>
    <n v="0"/>
    <n v="0"/>
    <n v="0"/>
    <n v="2794.6900000000005"/>
    <n v="0"/>
  </r>
  <r>
    <x v="5"/>
    <x v="6"/>
    <x v="0"/>
    <s v="4402107"/>
    <n v="700072"/>
    <s v="Salaries-Other Pat Care Providers-NonProd-Other"/>
    <s v="Surgery-Silverdale"/>
    <x v="0"/>
    <n v="2000"/>
    <n v="19.13"/>
    <n v="66.11"/>
    <n v="12.06"/>
    <n v="0"/>
    <n v="0"/>
    <n v="0"/>
    <n v="0"/>
    <n v="0"/>
    <n v="0"/>
    <n v="0"/>
    <n v="0"/>
    <n v="0"/>
    <n v="97.3"/>
    <n v="0"/>
  </r>
  <r>
    <x v="5"/>
    <x v="6"/>
    <x v="0"/>
    <s v="4402107"/>
    <n v="700074"/>
    <s v="Salaries-Tech/Professional-Non-productive"/>
    <s v="Surgery-Silverdale"/>
    <x v="0"/>
    <m/>
    <n v="2218.86"/>
    <n v="1318.68"/>
    <n v="3639.58"/>
    <n v="1543.59"/>
    <n v="3048.58"/>
    <n v="5023.72"/>
    <n v="3319.94"/>
    <n v="2428.12"/>
    <n v="-195.84"/>
    <n v="5338.42"/>
    <n v="-63.32"/>
    <n v="2448.94"/>
    <n v="30069.269999999993"/>
    <n v="-2512.2600000000002"/>
  </r>
  <r>
    <x v="5"/>
    <x v="6"/>
    <x v="0"/>
    <s v="4402107"/>
    <n v="700074"/>
    <s v="Salaries-Tech/Professional-NonProd-Other"/>
    <s v="Surgery-Silverdale"/>
    <x v="0"/>
    <n v="2000"/>
    <n v="904.27"/>
    <n v="446.48"/>
    <n v="592.89"/>
    <n v="703.36"/>
    <n v="259.8"/>
    <n v="887.81"/>
    <n v="123.1"/>
    <n v="203.83"/>
    <n v="157.21"/>
    <n v="408.15"/>
    <n v="962.67"/>
    <n v="197.6"/>
    <n v="5847.17"/>
    <n v="765.06999999999994"/>
  </r>
  <r>
    <x v="5"/>
    <x v="6"/>
    <x v="0"/>
    <s v="4402107"/>
    <n v="700078"/>
    <s v="Salaries-Service/Support-Non-productive"/>
    <s v="Surgery-Silverdale"/>
    <x v="0"/>
    <m/>
    <n v="746.77"/>
    <n v="79.930000000000007"/>
    <n v="426.11"/>
    <n v="-32.090000000000003"/>
    <n v="955.45"/>
    <n v="560.72"/>
    <n v="325.25"/>
    <n v="745.67"/>
    <n v="-174.22"/>
    <n v="368.4"/>
    <n v="271.42"/>
    <n v="906.46"/>
    <n v="5179.8700000000008"/>
    <n v="-635.04"/>
  </r>
  <r>
    <x v="5"/>
    <x v="6"/>
    <x v="0"/>
    <s v="4402107"/>
    <n v="700078"/>
    <s v="Salaries-Service/Support-NonProd-Other"/>
    <s v="Surgery-Silverdale"/>
    <x v="0"/>
    <n v="2000"/>
    <n v="0"/>
    <n v="0"/>
    <n v="0"/>
    <n v="0"/>
    <n v="0"/>
    <n v="45.97"/>
    <n v="0"/>
    <n v="0"/>
    <n v="0"/>
    <n v="0"/>
    <n v="0"/>
    <n v="0"/>
    <n v="45.97"/>
    <n v="0"/>
  </r>
  <r>
    <x v="5"/>
    <x v="6"/>
    <x v="0"/>
    <s v="4402107"/>
    <n v="700084"/>
    <s v="Accrued PTO"/>
    <s v="Surgery-Silverdale"/>
    <x v="0"/>
    <m/>
    <n v="-1849.57"/>
    <n v="3255.77"/>
    <n v="1774.27"/>
    <n v="1409.91"/>
    <n v="3681.05"/>
    <n v="-3986.91"/>
    <n v="2595.83"/>
    <n v="-5028.5600000000004"/>
    <n v="-5750.22"/>
    <n v="2621.58"/>
    <n v="-956.43"/>
    <n v="-1716.84"/>
    <n v="-3950.12"/>
    <n v="760.41"/>
  </r>
  <r>
    <x v="10"/>
    <x v="6"/>
    <x v="0"/>
    <s v="4402107"/>
    <n v="710060"/>
    <s v="Contract Labor-Other"/>
    <s v="Surgery-Silverdale"/>
    <x v="0"/>
    <m/>
    <n v="0"/>
    <n v="0"/>
    <n v="0"/>
    <n v="4800"/>
    <n v="9240"/>
    <n v="6060"/>
    <n v="8040"/>
    <n v="25340"/>
    <n v="32966.26"/>
    <n v="10212"/>
    <n v="95665.25"/>
    <n v="-3367"/>
    <n v="188956.51"/>
    <n v="99032.25"/>
  </r>
  <r>
    <x v="10"/>
    <x v="6"/>
    <x v="0"/>
    <s v="4402107"/>
    <n v="710060"/>
    <s v="Contract Labor-Overtime"/>
    <s v="Surgery-Silverdale"/>
    <x v="0"/>
    <n v="5100"/>
    <n v="0"/>
    <n v="0"/>
    <n v="0"/>
    <n v="0"/>
    <n v="108"/>
    <n v="324"/>
    <n v="3040"/>
    <n v="-70"/>
    <n v="2082.39"/>
    <n v="722.92"/>
    <n v="7527.48"/>
    <n v="3596.07"/>
    <n v="17330.86"/>
    <n v="3931.4099999999994"/>
  </r>
  <r>
    <x v="10"/>
    <x v="6"/>
    <x v="0"/>
    <s v="4402107"/>
    <n v="710060"/>
    <s v="Contract Labor-Standby Wages"/>
    <s v="Surgery-Silverdale"/>
    <x v="0"/>
    <n v="5101"/>
    <n v="0"/>
    <n v="0"/>
    <n v="0"/>
    <n v="0"/>
    <n v="64"/>
    <n v="84"/>
    <n v="60"/>
    <n v="1532"/>
    <n v="2710"/>
    <n v="1126"/>
    <n v="5034"/>
    <n v="1454"/>
    <n v="12064"/>
    <n v="3580"/>
  </r>
  <r>
    <x v="6"/>
    <x v="6"/>
    <x v="0"/>
    <s v="4402107"/>
    <n v="713010"/>
    <s v="Benefits-FICA/Medicare"/>
    <s v="Surgery-Silverdale"/>
    <x v="0"/>
    <m/>
    <n v="5448.1"/>
    <n v="5469.96"/>
    <n v="6040.35"/>
    <n v="6028.28"/>
    <n v="4977.18"/>
    <n v="6345.17"/>
    <n v="5865.82"/>
    <n v="5468.41"/>
    <n v="6983.87"/>
    <n v="5720.26"/>
    <n v="6619.57"/>
    <n v="5514.04"/>
    <n v="70481.010000000009"/>
    <n v="1105.5299999999997"/>
  </r>
  <r>
    <x v="6"/>
    <x v="6"/>
    <x v="0"/>
    <s v="4402107"/>
    <n v="713090"/>
    <s v="Benefits-Allocated Amounts"/>
    <s v="Surgery-Silverdale"/>
    <x v="0"/>
    <m/>
    <n v="11081.79"/>
    <n v="9709.64"/>
    <n v="12207.97"/>
    <n v="12571.32"/>
    <n v="12063.33"/>
    <n v="14176.92"/>
    <n v="11571.91"/>
    <n v="11310.02"/>
    <n v="11976.66"/>
    <n v="12637.79"/>
    <n v="12873.56"/>
    <n v="13241.36"/>
    <n v="145422.27000000002"/>
    <n v="-367.80000000000109"/>
  </r>
  <r>
    <x v="6"/>
    <x v="6"/>
    <x v="0"/>
    <s v="4402107"/>
    <n v="713096"/>
    <s v="Employee Recognition"/>
    <s v="Surgery-Silverdale"/>
    <x v="0"/>
    <n v="1017"/>
    <n v="264.52"/>
    <n v="68.5"/>
    <n v="59.38"/>
    <n v="85.73"/>
    <n v="0"/>
    <n v="0"/>
    <n v="0"/>
    <n v="0"/>
    <n v="0"/>
    <n v="0"/>
    <n v="199.33"/>
    <n v="302.89999999999998"/>
    <n v="980.36"/>
    <n v="-103.56999999999996"/>
  </r>
  <r>
    <x v="7"/>
    <x v="6"/>
    <x v="0"/>
    <s v="4402107"/>
    <n v="718050"/>
    <s v="Contract Svcs-Other"/>
    <s v="Surgery-Silverdale"/>
    <x v="0"/>
    <m/>
    <n v="64476.55"/>
    <n v="5652.74"/>
    <n v="58"/>
    <n v="2826.37"/>
    <n v="2400"/>
    <n v="203.17"/>
    <n v="2300"/>
    <n v="23"/>
    <n v="0"/>
    <n v="0"/>
    <n v="0"/>
    <n v="0"/>
    <n v="77939.83"/>
    <n v="0"/>
  </r>
  <r>
    <x v="7"/>
    <x v="6"/>
    <x v="0"/>
    <s v="4402107"/>
    <n v="718050"/>
    <s v="Contract Management--Linen"/>
    <s v="Surgery-Silverdale"/>
    <x v="0"/>
    <n v="1026"/>
    <n v="4183.6400000000003"/>
    <n v="5475.97"/>
    <n v="4837.6499999999996"/>
    <n v="4923.1400000000003"/>
    <n v="4410.72"/>
    <n v="4292.4399999999996"/>
    <n v="1840.53"/>
    <n v="4127.76"/>
    <n v="4441.26"/>
    <n v="4965.08"/>
    <n v="4494.16"/>
    <n v="5698.07"/>
    <n v="53690.420000000006"/>
    <n v="-1203.9099999999999"/>
  </r>
  <r>
    <x v="7"/>
    <x v="6"/>
    <x v="0"/>
    <s v="4402107"/>
    <n v="718070"/>
    <s v="Contract Srvcs-CHI Clinical Engineering"/>
    <s v="Surgery-Silverdale"/>
    <x v="0"/>
    <m/>
    <n v="1216.07"/>
    <n v="1408.35"/>
    <n v="538.26"/>
    <n v="13483.87"/>
    <n v="13483.87"/>
    <n v="14582.21"/>
    <n v="7027.22"/>
    <n v="14284.53"/>
    <n v="14891.79"/>
    <n v="14879.91"/>
    <n v="14795.66"/>
    <n v="14891.79"/>
    <n v="125483.53000000003"/>
    <n v="-96.130000000001019"/>
  </r>
  <r>
    <x v="7"/>
    <x v="6"/>
    <x v="0"/>
    <s v="4402107"/>
    <n v="718091"/>
    <s v="Contract Services-Intracompany Allocation"/>
    <s v="Surgery-Silverdale"/>
    <x v="0"/>
    <m/>
    <n v="2481.9"/>
    <n v="2330.94"/>
    <n v="2205.56"/>
    <n v="2773.98"/>
    <n v="2407.6"/>
    <n v="2147.9699999999998"/>
    <n v="2565.5"/>
    <n v="2175.25"/>
    <n v="2773.71"/>
    <n v="2586.09"/>
    <n v="2495.69"/>
    <n v="2344.7600000000002"/>
    <n v="29288.949999999997"/>
    <n v="150.92999999999984"/>
  </r>
  <r>
    <x v="11"/>
    <x v="6"/>
    <x v="0"/>
    <s v="4402107"/>
    <n v="721010"/>
    <s v="Supplies-Medical - Billable"/>
    <s v="Surgery-Silverdale"/>
    <x v="0"/>
    <m/>
    <n v="3448.16"/>
    <n v="2889.48"/>
    <n v="3081.11"/>
    <n v="5129.1000000000004"/>
    <n v="3910.13"/>
    <n v="5143.49"/>
    <n v="6495.78"/>
    <n v="2872.06"/>
    <n v="4157.1000000000004"/>
    <n v="7323.65"/>
    <n v="3052.18"/>
    <n v="3556.8"/>
    <n v="51059.040000000001"/>
    <n v="-504.62000000000035"/>
  </r>
  <r>
    <x v="11"/>
    <x v="6"/>
    <x v="0"/>
    <s v="4402107"/>
    <n v="721010"/>
    <s v="Patient Monitoring"/>
    <s v="Surgery-Silverdale"/>
    <x v="0"/>
    <n v="1000"/>
    <n v="2068.36"/>
    <n v="3128.91"/>
    <n v="1425.36"/>
    <n v="2332.73"/>
    <n v="628.1"/>
    <n v="584.17999999999995"/>
    <n v="1396.2"/>
    <n v="832.36"/>
    <n v="2897.92"/>
    <n v="24.18"/>
    <n v="1221.3599999999999"/>
    <n v="543.52"/>
    <n v="17083.180000000004"/>
    <n v="677.83999999999992"/>
  </r>
  <r>
    <x v="11"/>
    <x v="6"/>
    <x v="0"/>
    <s v="4402107"/>
    <n v="721020"/>
    <s v="Supplies-Surgical - Billable"/>
    <s v="Surgery-Silverdale"/>
    <x v="0"/>
    <m/>
    <n v="48591.3"/>
    <n v="79271.77"/>
    <n v="133702.37"/>
    <n v="43973.38"/>
    <n v="54318.77"/>
    <n v="38016.589999999997"/>
    <n v="98472"/>
    <n v="61773.7"/>
    <n v="69641.05"/>
    <n v="68100.11"/>
    <n v="84546.07"/>
    <n v="37482.11"/>
    <n v="817889.22000000009"/>
    <n v="47063.960000000006"/>
  </r>
  <r>
    <x v="11"/>
    <x v="6"/>
    <x v="0"/>
    <s v="4402107"/>
    <n v="721020"/>
    <s v="Custom Packs"/>
    <s v="Surgery-Silverdale"/>
    <x v="0"/>
    <n v="1000"/>
    <n v="2320.8200000000002"/>
    <n v="1770.2"/>
    <n v="2188.1799999999998"/>
    <n v="2564.29"/>
    <n v="1792.04"/>
    <n v="1943.2"/>
    <n v="2318.5300000000002"/>
    <n v="1831.57"/>
    <n v="2272.0500000000002"/>
    <n v="2117.5"/>
    <n v="2263.38"/>
    <n v="2046.2"/>
    <n v="25427.960000000006"/>
    <n v="217.18000000000006"/>
  </r>
  <r>
    <x v="11"/>
    <x v="6"/>
    <x v="0"/>
    <s v="4402107"/>
    <n v="721020"/>
    <s v="Suture/Wound Closure"/>
    <s v="Surgery-Silverdale"/>
    <x v="0"/>
    <n v="1001"/>
    <n v="20092.48"/>
    <n v="8222.32"/>
    <n v="10656.05"/>
    <n v="6054.42"/>
    <n v="12017.88"/>
    <n v="10754.45"/>
    <n v="14850.68"/>
    <n v="4995.32"/>
    <n v="2456.61"/>
    <n v="13977.39"/>
    <n v="23069"/>
    <n v="2934.59"/>
    <n v="130081.19"/>
    <n v="20134.41"/>
  </r>
  <r>
    <x v="11"/>
    <x v="6"/>
    <x v="0"/>
    <s v="4402107"/>
    <n v="721020"/>
    <s v="Endoscopy - Trocars &amp; Accessories"/>
    <s v="Surgery-Silverdale"/>
    <x v="0"/>
    <n v="1002"/>
    <n v="1390.92"/>
    <n v="2696.49"/>
    <n v="1809.28"/>
    <n v="1715.52"/>
    <n v="1937.46"/>
    <n v="1193.28"/>
    <n v="3161.38"/>
    <n v="902.64"/>
    <n v="2942.46"/>
    <n v="1991.03"/>
    <n v="1829.38"/>
    <n v="1421.16"/>
    <n v="22990.999999999996"/>
    <n v="408.22"/>
  </r>
  <r>
    <x v="11"/>
    <x v="6"/>
    <x v="0"/>
    <s v="4402107"/>
    <n v="721020"/>
    <s v="Endomechanical Supplies &amp; Instruments"/>
    <s v="Surgery-Silverdale"/>
    <x v="0"/>
    <n v="1003"/>
    <n v="9394.86"/>
    <n v="15106.63"/>
    <n v="14039.26"/>
    <n v="56374.71"/>
    <n v="61391.02"/>
    <n v="61706.400000000001"/>
    <n v="31551.07"/>
    <n v="37134.57"/>
    <n v="24735"/>
    <n v="29846.51"/>
    <n v="28386.53"/>
    <n v="24635.07"/>
    <n v="394301.62999999995"/>
    <n v="3751.4599999999991"/>
  </r>
  <r>
    <x v="11"/>
    <x v="6"/>
    <x v="0"/>
    <s v="4402107"/>
    <n v="721020"/>
    <s v="Urological Supplies"/>
    <s v="Surgery-Silverdale"/>
    <x v="0"/>
    <n v="1006"/>
    <n v="8462.99"/>
    <n v="17981.39"/>
    <n v="8028.43"/>
    <n v="13856.72"/>
    <n v="12337.73"/>
    <n v="21317.759999999998"/>
    <n v="8965.86"/>
    <n v="5924.29"/>
    <n v="8937.35"/>
    <n v="15054.98"/>
    <n v="18523.53"/>
    <n v="14775.85"/>
    <n v="154166.87999999998"/>
    <n v="3747.6799999999985"/>
  </r>
  <r>
    <x v="11"/>
    <x v="6"/>
    <x v="0"/>
    <s v="4402107"/>
    <n v="721020"/>
    <s v="Surgical Cardiovascular"/>
    <s v="Surgery-Silverdale"/>
    <x v="0"/>
    <n v="1007"/>
    <n v="0"/>
    <n v="0"/>
    <n v="0"/>
    <n v="0"/>
    <n v="10.199999999999999"/>
    <n v="0"/>
    <n v="0"/>
    <n v="0"/>
    <n v="0"/>
    <n v="4.08"/>
    <n v="2.04"/>
    <n v="0"/>
    <n v="16.32"/>
    <n v="2.04"/>
  </r>
  <r>
    <x v="11"/>
    <x v="6"/>
    <x v="0"/>
    <s v="4402107"/>
    <n v="721020"/>
    <s v="Tubes Drains &amp; Related Supplies"/>
    <s v="Surgery-Silverdale"/>
    <x v="0"/>
    <n v="1008"/>
    <n v="0"/>
    <n v="38.65"/>
    <n v="0"/>
    <n v="0"/>
    <n v="0"/>
    <n v="0"/>
    <n v="0"/>
    <n v="27.18"/>
    <n v="0.32"/>
    <n v="0"/>
    <n v="97.77"/>
    <n v="130.31"/>
    <n v="294.23"/>
    <n v="-32.540000000000006"/>
  </r>
  <r>
    <x v="11"/>
    <x v="6"/>
    <x v="0"/>
    <s v="4402107"/>
    <n v="721050"/>
    <s v="Supplies-Cardiac Rhythm - Billable"/>
    <s v="Surgery-Silverdale"/>
    <x v="0"/>
    <m/>
    <n v="1668.64"/>
    <n v="2627.04"/>
    <n v="1414.56"/>
    <n v="1737.03"/>
    <n v="1602.42"/>
    <n v="1739.08"/>
    <n v="861.15"/>
    <n v="1634.75"/>
    <n v="1777.19"/>
    <n v="1726.97"/>
    <n v="1691.37"/>
    <n v="2613.86"/>
    <n v="21094.059999999998"/>
    <n v="-922.49000000000024"/>
  </r>
  <r>
    <x v="11"/>
    <x v="6"/>
    <x v="0"/>
    <s v="4402107"/>
    <n v="721120"/>
    <s v="Supplies-Prosthetics - Billable"/>
    <s v="Surgery-Silverdale"/>
    <x v="0"/>
    <m/>
    <n v="0"/>
    <n v="0"/>
    <n v="0"/>
    <n v="0"/>
    <n v="6064"/>
    <n v="0"/>
    <n v="0"/>
    <n v="0"/>
    <n v="0"/>
    <n v="0"/>
    <n v="0"/>
    <n v="0"/>
    <n v="6064"/>
    <n v="0"/>
  </r>
  <r>
    <x v="11"/>
    <x v="6"/>
    <x v="0"/>
    <s v="4402107"/>
    <n v="721120"/>
    <s v="Hip Prosthesis"/>
    <s v="Surgery-Silverdale"/>
    <x v="0"/>
    <n v="1000"/>
    <n v="0"/>
    <n v="0"/>
    <n v="0"/>
    <n v="0"/>
    <n v="0"/>
    <n v="0"/>
    <n v="168"/>
    <n v="0"/>
    <n v="0"/>
    <n v="15.12"/>
    <n v="0"/>
    <n v="0"/>
    <n v="183.12"/>
    <n v="0"/>
  </r>
  <r>
    <x v="11"/>
    <x v="6"/>
    <x v="0"/>
    <s v="4402107"/>
    <n v="721120"/>
    <s v="Knee Prosthesis"/>
    <s v="Surgery-Silverdale"/>
    <x v="0"/>
    <n v="1001"/>
    <n v="0"/>
    <n v="0"/>
    <n v="0"/>
    <n v="0"/>
    <n v="0"/>
    <n v="2350"/>
    <n v="0"/>
    <n v="0"/>
    <n v="0"/>
    <n v="0"/>
    <n v="6420"/>
    <n v="-70"/>
    <n v="8700"/>
    <n v="6490"/>
  </r>
  <r>
    <x v="11"/>
    <x v="6"/>
    <x v="0"/>
    <s v="4402107"/>
    <n v="721120"/>
    <s v="Joint Prostheses - Other"/>
    <s v="Surgery-Silverdale"/>
    <x v="0"/>
    <n v="1003"/>
    <n v="0"/>
    <n v="0"/>
    <n v="0"/>
    <n v="0"/>
    <n v="0"/>
    <n v="0"/>
    <n v="1800"/>
    <n v="2350"/>
    <n v="0"/>
    <n v="2350"/>
    <n v="2350"/>
    <n v="0"/>
    <n v="8850"/>
    <n v="2350"/>
  </r>
  <r>
    <x v="11"/>
    <x v="6"/>
    <x v="0"/>
    <s v="4402107"/>
    <n v="721150"/>
    <s v="Supplies-Other Implants - Billable"/>
    <s v="Surgery-Silverdale"/>
    <x v="0"/>
    <m/>
    <n v="17136.61"/>
    <n v="9532.31"/>
    <n v="24468.799999999999"/>
    <n v="13851.93"/>
    <n v="5159.3500000000004"/>
    <n v="114.93"/>
    <n v="7004.43"/>
    <n v="2089.39"/>
    <n v="-2540.42"/>
    <n v="2003.2"/>
    <n v="542.12"/>
    <n v="5128.97"/>
    <n v="84491.619999999981"/>
    <n v="-4586.8500000000004"/>
  </r>
  <r>
    <x v="11"/>
    <x v="6"/>
    <x v="0"/>
    <s v="4402107"/>
    <n v="721150"/>
    <s v="Surgical Orthopedic"/>
    <s v="Surgery-Silverdale"/>
    <x v="0"/>
    <n v="1000"/>
    <n v="0"/>
    <n v="4525.4399999999996"/>
    <n v="0"/>
    <n v="0"/>
    <n v="0"/>
    <n v="0"/>
    <n v="10019.129999999999"/>
    <n v="6103"/>
    <n v="10253.620000000001"/>
    <n v="1566.4"/>
    <n v="8773"/>
    <n v="11443"/>
    <n v="52683.590000000004"/>
    <n v="-2670"/>
  </r>
  <r>
    <x v="11"/>
    <x v="6"/>
    <x v="0"/>
    <s v="4402107"/>
    <n v="721150"/>
    <s v="Fracture Management"/>
    <s v="Surgery-Silverdale"/>
    <x v="0"/>
    <n v="1001"/>
    <n v="12295.86"/>
    <n v="7238.64"/>
    <n v="19988.63"/>
    <n v="3557.13"/>
    <n v="20602.3"/>
    <n v="7026.2"/>
    <n v="9548.16"/>
    <n v="14159.58"/>
    <n v="3143.84"/>
    <n v="337.02"/>
    <n v="3306.8"/>
    <n v="4959.9399999999996"/>
    <n v="106164.1"/>
    <n v="-1653.1399999999994"/>
  </r>
  <r>
    <x v="11"/>
    <x v="6"/>
    <x v="0"/>
    <s v="4402107"/>
    <n v="721150"/>
    <s v="Spinal Fixations Internal Syst"/>
    <s v="Surgery-Silverdale"/>
    <x v="0"/>
    <n v="1002"/>
    <n v="0"/>
    <n v="0"/>
    <n v="1464.95"/>
    <n v="0"/>
    <n v="0"/>
    <n v="0"/>
    <n v="4444"/>
    <n v="0"/>
    <n v="0"/>
    <n v="0"/>
    <n v="0"/>
    <n v="0"/>
    <n v="5908.95"/>
    <n v="0"/>
  </r>
  <r>
    <x v="11"/>
    <x v="6"/>
    <x v="0"/>
    <s v="4402107"/>
    <n v="721150"/>
    <s v="Urological Implants"/>
    <s v="Surgery-Silverdale"/>
    <x v="0"/>
    <n v="1004"/>
    <n v="30267.599999999999"/>
    <n v="2289"/>
    <n v="26653.34"/>
    <n v="51904.3"/>
    <n v="44227.040000000001"/>
    <n v="43842.720000000001"/>
    <n v="44982.41"/>
    <n v="98135.29"/>
    <n v="203577.56"/>
    <n v="126891.23"/>
    <n v="93103.82"/>
    <n v="151968.31"/>
    <n v="917842.62000000011"/>
    <n v="-58864.489999999991"/>
  </r>
  <r>
    <x v="11"/>
    <x v="6"/>
    <x v="0"/>
    <s v="4402107"/>
    <n v="721240"/>
    <s v="Supplies-IV Solutions/Supplies - Billable"/>
    <s v="Surgery-Silverdale"/>
    <x v="0"/>
    <m/>
    <n v="2552.64"/>
    <n v="2826.22"/>
    <n v="2704.78"/>
    <n v="3974.16"/>
    <n v="2500.33"/>
    <n v="3183.74"/>
    <n v="2821.44"/>
    <n v="2740.43"/>
    <n v="2863.4"/>
    <n v="2981.61"/>
    <n v="3503.52"/>
    <n v="2492.61"/>
    <n v="35144.879999999997"/>
    <n v="1010.9099999999999"/>
  </r>
  <r>
    <x v="11"/>
    <x v="6"/>
    <x v="0"/>
    <s v="4402107"/>
    <n v="721350"/>
    <s v="Radiology Imaging - Contrast Media"/>
    <s v="Surgery-Silverdale"/>
    <x v="0"/>
    <n v="1000"/>
    <n v="0"/>
    <n v="1275.3"/>
    <n v="10.85"/>
    <n v="0"/>
    <n v="0"/>
    <n v="0"/>
    <n v="0"/>
    <n v="0"/>
    <n v="1275.3"/>
    <n v="10.85"/>
    <n v="0"/>
    <n v="0"/>
    <n v="2572.2999999999997"/>
    <n v="0"/>
  </r>
  <r>
    <x v="11"/>
    <x v="6"/>
    <x v="0"/>
    <s v="4402107"/>
    <n v="721410"/>
    <s v="Supplies-Medical - Nonbillable"/>
    <s v="Surgery-Silverdale"/>
    <x v="0"/>
    <m/>
    <n v="8444.18"/>
    <n v="8655.7900000000009"/>
    <n v="9425.8700000000008"/>
    <n v="9742.5400000000009"/>
    <n v="9338.39"/>
    <n v="9575.73"/>
    <n v="11087.57"/>
    <n v="9803.0499999999993"/>
    <n v="11911.58"/>
    <n v="-242708.66"/>
    <n v="10852.76"/>
    <n v="9789.6"/>
    <n v="-134081.59999999998"/>
    <n v="1063.1599999999999"/>
  </r>
  <r>
    <x v="11"/>
    <x v="6"/>
    <x v="0"/>
    <s v="4402107"/>
    <n v="721420"/>
    <s v="Supplies-Surgical Nonbillable"/>
    <s v="Surgery-Silverdale"/>
    <x v="0"/>
    <m/>
    <n v="11364.25"/>
    <n v="8157.25"/>
    <n v="13427.87"/>
    <n v="8211.9500000000007"/>
    <n v="9599.75"/>
    <n v="10460.280000000001"/>
    <n v="15507.57"/>
    <n v="10854.86"/>
    <n v="15203.03"/>
    <n v="10771.8"/>
    <n v="23208.71"/>
    <n v="6869.03"/>
    <n v="143636.35"/>
    <n v="16339.68"/>
  </r>
  <r>
    <x v="11"/>
    <x v="6"/>
    <x v="0"/>
    <s v="4402107"/>
    <n v="721420"/>
    <s v="Tubes Drains &amp; Related Supplies"/>
    <s v="Surgery-Silverdale"/>
    <x v="0"/>
    <n v="1008"/>
    <n v="684.74"/>
    <n v="4953.5"/>
    <n v="2226.9699999999998"/>
    <n v="970.57"/>
    <n v="705.52"/>
    <n v="2220.71"/>
    <n v="1711.85"/>
    <n v="3024.79"/>
    <n v="1570.5"/>
    <n v="779.5"/>
    <n v="1312.94"/>
    <n v="1621.59"/>
    <n v="21783.179999999997"/>
    <n v="-308.64999999999986"/>
  </r>
  <r>
    <x v="11"/>
    <x v="6"/>
    <x v="0"/>
    <s v="4402107"/>
    <n v="721420"/>
    <s v="Sterilization Process Products"/>
    <s v="Surgery-Silverdale"/>
    <x v="0"/>
    <n v="1009"/>
    <n v="1.42"/>
    <n v="331.59"/>
    <n v="1.42"/>
    <n v="4.26"/>
    <n v="89.22"/>
    <n v="0"/>
    <n v="590.21"/>
    <n v="144.58000000000001"/>
    <n v="383.75"/>
    <n v="984.09"/>
    <n v="695.66"/>
    <n v="502.48"/>
    <n v="3728.68"/>
    <n v="193.17999999999995"/>
  </r>
  <r>
    <x v="11"/>
    <x v="6"/>
    <x v="0"/>
    <s v="4402107"/>
    <n v="721610"/>
    <s v="Supplies-Anesthesia - Nonbillable"/>
    <s v="Surgery-Silverdale"/>
    <x v="0"/>
    <m/>
    <n v="3219.86"/>
    <n v="0"/>
    <n v="0"/>
    <n v="0"/>
    <n v="0"/>
    <n v="0"/>
    <n v="0"/>
    <n v="0"/>
    <n v="0"/>
    <n v="242.1"/>
    <n v="0"/>
    <n v="0"/>
    <n v="3461.96"/>
    <n v="0"/>
  </r>
  <r>
    <x v="11"/>
    <x v="6"/>
    <x v="0"/>
    <s v="4402107"/>
    <n v="721640"/>
    <s v="Supplies-IV Solutions/Supplies - Nonbillable"/>
    <s v="Surgery-Silverdale"/>
    <x v="0"/>
    <m/>
    <n v="212"/>
    <n v="128.06"/>
    <n v="115.6"/>
    <n v="122.8"/>
    <n v="263.83"/>
    <n v="19"/>
    <n v="122.6"/>
    <n v="169.5"/>
    <n v="110.8"/>
    <n v="321.2"/>
    <n v="125.2"/>
    <n v="115.6"/>
    <n v="1826.1899999999998"/>
    <n v="9.6000000000000085"/>
  </r>
  <r>
    <x v="11"/>
    <x v="6"/>
    <x v="0"/>
    <s v="4402107"/>
    <n v="721650"/>
    <s v="Supplies-Pharmacy Drugs - Nonbillable"/>
    <s v="Surgery-Silverdale"/>
    <x v="0"/>
    <m/>
    <n v="106.87"/>
    <n v="843.91"/>
    <n v="130.91999999999999"/>
    <n v="1191.22"/>
    <n v="151.82"/>
    <n v="177.12"/>
    <n v="502.96"/>
    <n v="89.02"/>
    <n v="97.6"/>
    <n v="110.71"/>
    <n v="131.19"/>
    <n v="108.45"/>
    <n v="3641.79"/>
    <n v="22.739999999999995"/>
  </r>
  <r>
    <x v="11"/>
    <x v="6"/>
    <x v="0"/>
    <s v="4402107"/>
    <n v="721710"/>
    <s v="Supplies-Laboratory - Nonbillable"/>
    <s v="Surgery-Silverdale"/>
    <x v="0"/>
    <m/>
    <n v="20.41"/>
    <n v="222.29"/>
    <n v="144.75"/>
    <n v="19.559999999999999"/>
    <n v="457.53"/>
    <n v="78.69"/>
    <n v="390.95"/>
    <n v="966.76"/>
    <n v="37.659999999999997"/>
    <n v="224.53"/>
    <n v="19.559999999999999"/>
    <n v="12.71"/>
    <n v="2595.4"/>
    <n v="6.8499999999999979"/>
  </r>
  <r>
    <x v="11"/>
    <x v="6"/>
    <x v="0"/>
    <s v="4402107"/>
    <n v="721710"/>
    <s v="Reagents"/>
    <s v="Surgery-Silverdale"/>
    <x v="0"/>
    <n v="1000"/>
    <n v="6.3"/>
    <n v="0"/>
    <n v="0"/>
    <n v="21.82"/>
    <n v="0"/>
    <n v="0"/>
    <n v="0"/>
    <n v="0"/>
    <n v="218.71"/>
    <n v="0"/>
    <n v="0"/>
    <n v="0"/>
    <n v="246.83"/>
    <n v="0"/>
  </r>
  <r>
    <x v="11"/>
    <x v="6"/>
    <x v="0"/>
    <s v="4402107"/>
    <n v="721750"/>
    <s v="Supplies-Film/Radiographic - Nonbillable"/>
    <s v="Surgery-Silverdale"/>
    <x v="0"/>
    <m/>
    <n v="22.11"/>
    <n v="0"/>
    <n v="0"/>
    <n v="39.770000000000003"/>
    <n v="3.75"/>
    <n v="0"/>
    <n v="109.83"/>
    <n v="77.25"/>
    <n v="0"/>
    <n v="0"/>
    <n v="0"/>
    <n v="0"/>
    <n v="252.70999999999998"/>
    <n v="0"/>
  </r>
  <r>
    <x v="11"/>
    <x v="6"/>
    <x v="0"/>
    <s v="4402107"/>
    <n v="721810"/>
    <s v="Supplies-Dietary/Cafeteria"/>
    <s v="Surgery-Silverdale"/>
    <x v="0"/>
    <m/>
    <n v="646.47"/>
    <n v="737.17"/>
    <n v="592.65"/>
    <n v="544.5"/>
    <n v="641.70000000000005"/>
    <n v="865.33"/>
    <n v="436.53"/>
    <n v="323.67"/>
    <n v="753.21"/>
    <n v="180.43"/>
    <n v="1063.6400000000001"/>
    <n v="749.93"/>
    <n v="7535.2300000000005"/>
    <n v="313.71000000000015"/>
  </r>
  <r>
    <x v="11"/>
    <x v="6"/>
    <x v="0"/>
    <s v="4402107"/>
    <n v="721830"/>
    <s v="Supplies-Office"/>
    <s v="Surgery-Silverdale"/>
    <x v="0"/>
    <m/>
    <n v="1106.22"/>
    <n v="428.6"/>
    <n v="638.73"/>
    <n v="378.5"/>
    <n v="864.02"/>
    <n v="919.1"/>
    <n v="316.08999999999997"/>
    <n v="158.72"/>
    <n v="852.94"/>
    <n v="1603.93"/>
    <n v="678.11"/>
    <n v="531.87"/>
    <n v="8476.83"/>
    <n v="146.24"/>
  </r>
  <r>
    <x v="11"/>
    <x v="6"/>
    <x v="0"/>
    <s v="4402107"/>
    <n v="721835"/>
    <s v="Supplies-Forms"/>
    <s v="Surgery-Silverdale"/>
    <x v="0"/>
    <m/>
    <n v="0"/>
    <n v="0"/>
    <n v="0"/>
    <n v="0"/>
    <n v="0"/>
    <n v="0"/>
    <n v="0"/>
    <n v="0"/>
    <n v="0"/>
    <n v="20.9"/>
    <n v="0"/>
    <n v="0"/>
    <n v="20.9"/>
    <n v="0"/>
  </r>
  <r>
    <x v="11"/>
    <x v="6"/>
    <x v="0"/>
    <s v="4402107"/>
    <n v="721850"/>
    <s v="Supplies-Maintenance"/>
    <s v="Surgery-Silverdale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4402107"/>
    <n v="721870"/>
    <s v="Supplies-Environmental Services"/>
    <s v="Surgery-Silverdale"/>
    <x v="0"/>
    <m/>
    <n v="402.86"/>
    <n v="489.72"/>
    <n v="203.65"/>
    <n v="297.3"/>
    <n v="382.26"/>
    <n v="266.61"/>
    <n v="732.71"/>
    <n v="221.72"/>
    <n v="262.85000000000002"/>
    <n v="554.1"/>
    <n v="339.16"/>
    <n v="278.36"/>
    <n v="4431.2999999999993"/>
    <n v="60.800000000000011"/>
  </r>
  <r>
    <x v="11"/>
    <x v="6"/>
    <x v="0"/>
    <s v="4402107"/>
    <n v="721910"/>
    <s v="Supplies-Small Equipment"/>
    <s v="Surgery-Silverdale"/>
    <x v="0"/>
    <m/>
    <n v="8387.58"/>
    <n v="4636.49"/>
    <n v="11803.63"/>
    <n v="10683.01"/>
    <n v="6659.28"/>
    <n v="12726.71"/>
    <n v="6071.66"/>
    <n v="5928.74"/>
    <n v="5677.52"/>
    <n v="6888.07"/>
    <n v="4953.01"/>
    <n v="4642.6000000000004"/>
    <n v="89058.3"/>
    <n v="310.40999999999985"/>
  </r>
  <r>
    <x v="11"/>
    <x v="6"/>
    <x v="0"/>
    <s v="4402107"/>
    <n v="721910"/>
    <s v="Instruments"/>
    <s v="Surgery-Silverdale"/>
    <x v="0"/>
    <n v="1000"/>
    <n v="2030.4"/>
    <n v="4232.1499999999996"/>
    <n v="6087.92"/>
    <n v="5236.13"/>
    <n v="2798.29"/>
    <n v="3304.03"/>
    <n v="11018.97"/>
    <n v="9082.8799999999992"/>
    <n v="9209.8799999999992"/>
    <n v="5272.65"/>
    <n v="2365.65"/>
    <n v="5590.19"/>
    <n v="66229.14"/>
    <n v="-3224.5399999999995"/>
  </r>
  <r>
    <x v="11"/>
    <x v="6"/>
    <x v="0"/>
    <s v="4402107"/>
    <n v="721980"/>
    <s v="Supplies-Other"/>
    <s v="Surgery-Silverdale"/>
    <x v="0"/>
    <m/>
    <n v="28749.68"/>
    <n v="-25720.959999999999"/>
    <n v="1257.05"/>
    <n v="-277.99"/>
    <n v="0"/>
    <n v="0"/>
    <n v="0"/>
    <n v="0"/>
    <n v="0"/>
    <n v="0"/>
    <n v="0"/>
    <n v="0"/>
    <n v="4007.7800000000016"/>
    <n v="0"/>
  </r>
  <r>
    <x v="11"/>
    <x v="6"/>
    <x v="0"/>
    <s v="4402107"/>
    <n v="722000"/>
    <s v="Supplies-Freight Expense"/>
    <s v="Surgery-Silverdale"/>
    <x v="0"/>
    <m/>
    <n v="433.25"/>
    <n v="1003.77"/>
    <n v="413.75"/>
    <n v="832.17"/>
    <n v="306.42"/>
    <n v="526.59"/>
    <n v="1002.84"/>
    <n v="280.51"/>
    <n v="1030.42"/>
    <n v="1365.63"/>
    <n v="771.72"/>
    <n v="288.42"/>
    <n v="8255.49"/>
    <n v="483.3"/>
  </r>
  <r>
    <x v="11"/>
    <x v="6"/>
    <x v="0"/>
    <s v="4402107"/>
    <n v="723000"/>
    <s v="Supply Rebates/Patronage Dividend"/>
    <s v="Surgery-Silverdale"/>
    <x v="0"/>
    <m/>
    <n v="0"/>
    <n v="0"/>
    <n v="0"/>
    <n v="0"/>
    <n v="0"/>
    <n v="0"/>
    <n v="0"/>
    <n v="0"/>
    <n v="0"/>
    <n v="0"/>
    <n v="0"/>
    <n v="-7865.94"/>
    <n v="-7865.94"/>
    <n v="7865.94"/>
  </r>
  <r>
    <x v="12"/>
    <x v="6"/>
    <x v="0"/>
    <s v="4402107"/>
    <n v="730020"/>
    <s v="Rental and Leases-Equipment (DO NOT USE)"/>
    <s v="Surgery-Silverdale"/>
    <x v="0"/>
    <m/>
    <n v="16407.47"/>
    <n v="34338.44"/>
    <n v="36469.39"/>
    <n v="65850.77"/>
    <n v="94423.33"/>
    <n v="23511.09"/>
    <n v="99852.64"/>
    <n v="43076.32"/>
    <n v="72853.149999999994"/>
    <n v="154570.01"/>
    <n v="34200.14"/>
    <n v="32670.639999999999"/>
    <n v="708223.39000000013"/>
    <n v="1529.5"/>
  </r>
  <r>
    <x v="12"/>
    <x v="6"/>
    <x v="0"/>
    <s v="4402107"/>
    <n v="730020"/>
    <s v="Rental and Leases-Copier Usage Fees (DO NOT USE)"/>
    <s v="Surgery-Silverdale"/>
    <x v="0"/>
    <n v="5100"/>
    <n v="494.13"/>
    <n v="493.58"/>
    <n v="493.85"/>
    <n v="493.85"/>
    <n v="493.85"/>
    <n v="493.85"/>
    <n v="573.29"/>
    <n v="241.48"/>
    <n v="240.98"/>
    <n v="1074.99"/>
    <n v="241.48"/>
    <n v="270.68"/>
    <n v="5606.0099999999993"/>
    <n v="-29.200000000000017"/>
  </r>
  <r>
    <x v="15"/>
    <x v="6"/>
    <x v="0"/>
    <s v="4402107"/>
    <n v="731060"/>
    <s v="Pagers"/>
    <s v="Surgery-Silverdale"/>
    <x v="0"/>
    <n v="1002"/>
    <n v="51.61"/>
    <n v="51.61"/>
    <n v="51.61"/>
    <n v="51.72"/>
    <n v="0"/>
    <n v="81.75"/>
    <n v="64.400000000000006"/>
    <n v="44.92"/>
    <n v="40.32"/>
    <n v="40.32"/>
    <n v="40.32"/>
    <n v="40.32"/>
    <n v="558.9"/>
    <n v="0"/>
  </r>
  <r>
    <x v="16"/>
    <x v="6"/>
    <x v="0"/>
    <s v="4402107"/>
    <n v="732020"/>
    <s v="Repairs--Clin Equip-Parts-Internal to CHI Programs"/>
    <s v="Surgery-Silverdale"/>
    <x v="0"/>
    <m/>
    <n v="142.24"/>
    <n v="0"/>
    <n v="84.82"/>
    <n v="926.21"/>
    <n v="1249.0899999999999"/>
    <n v="537.66"/>
    <n v="1671.71"/>
    <n v="0"/>
    <n v="360.07"/>
    <n v="379.96"/>
    <n v="77.680000000000007"/>
    <n v="392.2"/>
    <n v="5821.6399999999994"/>
    <n v="-314.52"/>
  </r>
  <r>
    <x v="16"/>
    <x v="6"/>
    <x v="0"/>
    <s v="4402107"/>
    <n v="732030"/>
    <s v="Repairs---Other"/>
    <s v="Surgery-Silverdale"/>
    <x v="0"/>
    <m/>
    <n v="2589.7800000000002"/>
    <n v="-19.86"/>
    <n v="1529.14"/>
    <n v="546.28"/>
    <n v="0"/>
    <n v="0"/>
    <n v="895.39"/>
    <n v="35205.19"/>
    <n v="1157.03"/>
    <n v="6417.97"/>
    <n v="620.51"/>
    <n v="586.87"/>
    <n v="49528.30000000001"/>
    <n v="33.639999999999986"/>
  </r>
  <r>
    <x v="16"/>
    <x v="6"/>
    <x v="0"/>
    <s v="4402107"/>
    <n v="733030"/>
    <s v="Maintenance Contracts-Other"/>
    <s v="Surgery-Silverdale"/>
    <x v="0"/>
    <m/>
    <n v="8900.94"/>
    <n v="8920.7999999999993"/>
    <n v="8881.08"/>
    <n v="8900.94"/>
    <n v="8900.94"/>
    <n v="8900.94"/>
    <n v="0"/>
    <n v="17801.88"/>
    <n v="8900.94"/>
    <n v="8900.94"/>
    <n v="8900.94"/>
    <n v="8900.94"/>
    <n v="106811.28000000001"/>
    <n v="0"/>
  </r>
  <r>
    <x v="13"/>
    <x v="6"/>
    <x v="0"/>
    <s v="4402107"/>
    <n v="735070"/>
    <s v="Depreciation-Movable Equipment"/>
    <s v="Surgery-Silverdale"/>
    <x v="0"/>
    <m/>
    <n v="24986.31"/>
    <n v="24998.639999999999"/>
    <n v="26000.46"/>
    <n v="26383.46"/>
    <n v="26383.52"/>
    <n v="26383.38"/>
    <n v="26018.68"/>
    <n v="26654.37"/>
    <n v="26654.57"/>
    <n v="26292.02"/>
    <n v="26292.27"/>
    <n v="26292.01"/>
    <n v="313339.69"/>
    <n v="0.26000000000203727"/>
  </r>
  <r>
    <x v="13"/>
    <x v="6"/>
    <x v="0"/>
    <s v="4402107"/>
    <n v="735070"/>
    <s v="Depreciation-DaVinci Robot"/>
    <s v="Surgery-Silverdale"/>
    <x v="0"/>
    <n v="1000"/>
    <n v="0"/>
    <n v="0"/>
    <n v="26833.34"/>
    <n v="26833.31"/>
    <n v="26833.360000000001"/>
    <n v="26833.31"/>
    <n v="26833.360000000001"/>
    <n v="26833.31"/>
    <n v="26833.360000000001"/>
    <n v="26833.3"/>
    <n v="26833.38"/>
    <n v="26833.3"/>
    <n v="268333.32999999996"/>
    <n v="8.000000000174623E-2"/>
  </r>
  <r>
    <x v="0"/>
    <x v="6"/>
    <x v="0"/>
    <s v="4402107"/>
    <n v="749510"/>
    <s v="Miscellaneous Expenses"/>
    <s v="Surgery-Silverdale"/>
    <x v="0"/>
    <m/>
    <n v="168.29"/>
    <n v="-3.75"/>
    <n v="-168.29"/>
    <n v="0"/>
    <n v="1837.96"/>
    <n v="0"/>
    <n v="3453.12"/>
    <n v="0"/>
    <n v="0"/>
    <n v="115.5"/>
    <n v="302.89999999999998"/>
    <n v="-181.9"/>
    <n v="5523.83"/>
    <n v="484.79999999999995"/>
  </r>
  <r>
    <x v="0"/>
    <x v="6"/>
    <x v="0"/>
    <s v="4402107"/>
    <n v="749510"/>
    <s v="Licenses"/>
    <s v="Surgery-Silverdale"/>
    <x v="0"/>
    <n v="1002"/>
    <n v="400"/>
    <n v="400"/>
    <n v="0"/>
    <n v="0"/>
    <n v="0"/>
    <n v="1200"/>
    <n v="400"/>
    <n v="800"/>
    <n v="400"/>
    <n v="400"/>
    <n v="400"/>
    <n v="400"/>
    <n v="4800"/>
    <n v="0"/>
  </r>
  <r>
    <x v="0"/>
    <x v="6"/>
    <x v="0"/>
    <s v="4402107"/>
    <n v="749510"/>
    <s v="RICE Rewards"/>
    <s v="Surgery-Silverdale"/>
    <x v="0"/>
    <n v="5100"/>
    <n v="0"/>
    <n v="0"/>
    <n v="0"/>
    <n v="0"/>
    <n v="0"/>
    <n v="0"/>
    <n v="0"/>
    <n v="0"/>
    <n v="0"/>
    <n v="301.67"/>
    <n v="0"/>
    <n v="0"/>
    <n v="301.67"/>
    <n v="0"/>
  </r>
  <r>
    <x v="0"/>
    <x v="6"/>
    <x v="0"/>
    <s v="4402107"/>
    <n v="749530"/>
    <s v="Travel"/>
    <s v="Surgery-Silverdale"/>
    <x v="0"/>
    <m/>
    <n v="0"/>
    <n v="6"/>
    <n v="136.47999999999999"/>
    <n v="34.770000000000003"/>
    <n v="0"/>
    <n v="0"/>
    <n v="0"/>
    <n v="0"/>
    <n v="0"/>
    <n v="0"/>
    <n v="30"/>
    <n v="0"/>
    <n v="207.25"/>
    <n v="30"/>
  </r>
  <r>
    <x v="0"/>
    <x v="6"/>
    <x v="0"/>
    <s v="4402107"/>
    <n v="749530"/>
    <s v="Mileage"/>
    <s v="Surgery-Silverdale"/>
    <x v="0"/>
    <n v="1001"/>
    <n v="26.74"/>
    <n v="44.15"/>
    <n v="76.849999999999994"/>
    <n v="0"/>
    <n v="0"/>
    <n v="0"/>
    <n v="0"/>
    <n v="0"/>
    <n v="0"/>
    <n v="0"/>
    <n v="233.74"/>
    <n v="0"/>
    <n v="381.48"/>
    <n v="233.74"/>
  </r>
  <r>
    <x v="0"/>
    <x v="6"/>
    <x v="0"/>
    <s v="4402107"/>
    <n v="749535"/>
    <s v="Meetings"/>
    <s v="Surgery-Silverdale"/>
    <x v="0"/>
    <m/>
    <n v="0"/>
    <n v="0"/>
    <n v="0"/>
    <n v="0"/>
    <n v="0"/>
    <n v="150"/>
    <n v="0"/>
    <n v="0"/>
    <n v="0"/>
    <n v="0"/>
    <n v="0"/>
    <n v="0"/>
    <n v="150"/>
    <n v="0"/>
  </r>
  <r>
    <x v="7"/>
    <x v="6"/>
    <x v="0"/>
    <s v="4403107"/>
    <n v="718050"/>
    <s v="Contract Svcs-Other"/>
    <s v="Surgical Procedures"/>
    <x v="0"/>
    <m/>
    <n v="0"/>
    <n v="0"/>
    <n v="20.8"/>
    <n v="0"/>
    <n v="0"/>
    <n v="11.8"/>
    <n v="0"/>
    <n v="11.8"/>
    <n v="0"/>
    <n v="0"/>
    <n v="0"/>
    <n v="0"/>
    <n v="44.400000000000006"/>
    <n v="0"/>
  </r>
  <r>
    <x v="11"/>
    <x v="6"/>
    <x v="0"/>
    <s v="4403107"/>
    <n v="721810"/>
    <s v="Supplies-Dietary/Cafeteria"/>
    <s v="Surgical Procedures"/>
    <x v="0"/>
    <m/>
    <n v="0"/>
    <n v="0"/>
    <n v="0"/>
    <n v="0"/>
    <n v="0"/>
    <n v="0"/>
    <n v="0"/>
    <n v="0"/>
    <n v="0"/>
    <n v="0"/>
    <n v="0"/>
    <n v="1.82"/>
    <n v="1.82"/>
    <n v="-1.82"/>
  </r>
  <r>
    <x v="18"/>
    <x v="3"/>
    <x v="0"/>
    <s v="4405101"/>
    <n v="400010"/>
    <s v="Acute I/P Svcs Rev--Medicare"/>
    <s v="SADU"/>
    <x v="0"/>
    <n v="1100"/>
    <n v="-7338.11"/>
    <n v="-8705.4599999999991"/>
    <n v="-5874.79"/>
    <n v="-13821.61"/>
    <n v="-11708.76"/>
    <n v="-16035.1"/>
    <n v="-11850.01"/>
    <n v="-8714.74"/>
    <n v="-18881.150000000001"/>
    <n v="-13030.56"/>
    <n v="-25713.51"/>
    <n v="-9711.31"/>
    <n v="-151385.11000000002"/>
    <n v="-16002.199999999999"/>
  </r>
  <r>
    <x v="18"/>
    <x v="3"/>
    <x v="0"/>
    <s v="4405101"/>
    <n v="400010"/>
    <s v="Acute I/P Svcs Rev--Medicaid"/>
    <s v="SADU"/>
    <x v="0"/>
    <n v="1200"/>
    <n v="-3724.33"/>
    <n v="-3111.12"/>
    <n v="-1438.32"/>
    <n v="-735.55"/>
    <n v="-820.88"/>
    <n v="-2137.2800000000002"/>
    <n v="-3732.31"/>
    <n v="-952.34"/>
    <n v="-1796.81"/>
    <n v="-697.24"/>
    <n v="-1363.81"/>
    <n v="-5434.27"/>
    <n v="-25944.260000000002"/>
    <n v="4070.4600000000005"/>
  </r>
  <r>
    <x v="18"/>
    <x v="3"/>
    <x v="0"/>
    <s v="4405101"/>
    <n v="400010"/>
    <s v="Acute I/P Svcs Rev--Comm Insurance"/>
    <s v="SADU"/>
    <x v="0"/>
    <n v="1300"/>
    <n v="44.31"/>
    <n v="-7352.5"/>
    <n v="-60.69"/>
    <n v="60.69"/>
    <n v="-336.37"/>
    <n v="0"/>
    <n v="-490.67"/>
    <n v="-60.69"/>
    <n v="-633.65"/>
    <n v="-247.38"/>
    <n v="-2757.41"/>
    <n v="0"/>
    <n v="-11834.359999999999"/>
    <n v="-2757.41"/>
  </r>
  <r>
    <x v="18"/>
    <x v="3"/>
    <x v="0"/>
    <s v="4405101"/>
    <n v="400010"/>
    <s v="Acute I/P Svcs Rev--BCBS Comm"/>
    <s v="SADU"/>
    <x v="0"/>
    <n v="1301"/>
    <n v="0"/>
    <n v="-977.78"/>
    <n v="-121.38"/>
    <n v="-3978.37"/>
    <n v="-981.34"/>
    <n v="-551.36"/>
    <n v="-275.68"/>
    <n v="-60.69"/>
    <n v="-1921.4"/>
    <n v="-412.21"/>
    <n v="-412.21"/>
    <n v="-570.05999999999995"/>
    <n v="-10262.479999999998"/>
    <n v="157.84999999999997"/>
  </r>
  <r>
    <x v="18"/>
    <x v="3"/>
    <x v="0"/>
    <s v="4405101"/>
    <n v="400010"/>
    <s v="Acute I/P Svcs Rev--Managed Care"/>
    <s v="SADU"/>
    <x v="0"/>
    <n v="1400"/>
    <n v="-3437.55"/>
    <n v="-15105.18"/>
    <n v="-8156.75"/>
    <n v="-2843.3"/>
    <n v="-5569.99"/>
    <n v="-7961.5"/>
    <n v="-8019.14"/>
    <n v="-3613.71"/>
    <n v="-2255.91"/>
    <n v="-6540.07"/>
    <n v="-5512.55"/>
    <n v="-5007.41"/>
    <n v="-74023.06"/>
    <n v="-505.14000000000033"/>
  </r>
  <r>
    <x v="18"/>
    <x v="3"/>
    <x v="0"/>
    <s v="4405101"/>
    <n v="400010"/>
    <s v="Acute I/P Svcs Rev--Self Pay"/>
    <s v="SADU"/>
    <x v="0"/>
    <n v="1500"/>
    <n v="-60.69"/>
    <n v="-178.44"/>
    <n v="-60.69"/>
    <n v="0"/>
    <n v="0"/>
    <n v="0"/>
    <n v="0"/>
    <n v="0"/>
    <n v="-1546.84"/>
    <n v="157.85"/>
    <n v="63.59"/>
    <n v="0"/>
    <n v="-1625.22"/>
    <n v="63.59"/>
  </r>
  <r>
    <x v="18"/>
    <x v="3"/>
    <x v="0"/>
    <s v="4405101"/>
    <n v="400010"/>
    <s v="Acute I/P Svcs Rev--Other"/>
    <s v="SADU"/>
    <x v="0"/>
    <n v="1700"/>
    <n v="-1905.95"/>
    <n v="-2013.88"/>
    <n v="-299.82"/>
    <n v="-262.82"/>
    <n v="-299.82"/>
    <n v="-702.33"/>
    <n v="-4163.82"/>
    <n v="-5041.87"/>
    <n v="-130.08000000000001"/>
    <n v="-127.18"/>
    <n v="-285.02999999999997"/>
    <n v="167.04"/>
    <n v="-15065.559999999998"/>
    <n v="-452.06999999999994"/>
  </r>
  <r>
    <x v="19"/>
    <x v="3"/>
    <x v="0"/>
    <s v="4405101"/>
    <n v="400020"/>
    <s v="O/P Care Svcs Rev--Medicare"/>
    <s v="SADU"/>
    <x v="0"/>
    <n v="1100"/>
    <n v="-75067.05"/>
    <n v="-105235.8"/>
    <n v="-104667.24"/>
    <n v="-137701.1"/>
    <n v="-102655.97"/>
    <n v="-102128.11"/>
    <n v="-96123.54"/>
    <n v="-88070.94"/>
    <n v="-98585.53"/>
    <n v="-167923.84"/>
    <n v="-150740.13"/>
    <n v="-94922.03"/>
    <n v="-1323821.28"/>
    <n v="-55818.100000000006"/>
  </r>
  <r>
    <x v="19"/>
    <x v="3"/>
    <x v="0"/>
    <s v="4405101"/>
    <n v="400020"/>
    <s v="O/P Care Svcs Rev--Medicaid"/>
    <s v="SADU"/>
    <x v="0"/>
    <n v="1200"/>
    <n v="-26653.75"/>
    <n v="-26884.27"/>
    <n v="-39461.56"/>
    <n v="-40221.24"/>
    <n v="-31415.05"/>
    <n v="-36270.79"/>
    <n v="-35951.51"/>
    <n v="-29721.98"/>
    <n v="-33938.54"/>
    <n v="-54612.35"/>
    <n v="-50365.2"/>
    <n v="-41226.06"/>
    <n v="-446722.3"/>
    <n v="-9139.14"/>
  </r>
  <r>
    <x v="19"/>
    <x v="3"/>
    <x v="0"/>
    <s v="4405101"/>
    <n v="400020"/>
    <s v="O/P Care Svcs Rev--Comm Insurance"/>
    <s v="SADU"/>
    <x v="0"/>
    <n v="1300"/>
    <n v="-2787.97"/>
    <n v="-2839.17"/>
    <n v="-15441.48"/>
    <n v="-4289.3"/>
    <n v="-9651.4500000000007"/>
    <n v="-8639.2900000000009"/>
    <n v="-5362.15"/>
    <n v="-4859.8"/>
    <n v="-9950.0400000000009"/>
    <n v="-16112.99"/>
    <n v="-5301.6"/>
    <n v="1222.44"/>
    <n v="-84012.800000000003"/>
    <n v="-6524.0400000000009"/>
  </r>
  <r>
    <x v="19"/>
    <x v="3"/>
    <x v="0"/>
    <s v="4405101"/>
    <n v="400020"/>
    <s v="O/P Care Svcs Rev--BCBS Comm"/>
    <s v="SADU"/>
    <x v="0"/>
    <n v="1301"/>
    <n v="-15440.93"/>
    <n v="-9906.25"/>
    <n v="-13358.12"/>
    <n v="-15012.55"/>
    <n v="-19945.77"/>
    <n v="-31936.84"/>
    <n v="-16299.34"/>
    <n v="-9315.01"/>
    <n v="-21605.77"/>
    <n v="-20449.98"/>
    <n v="-7510.6"/>
    <n v="-22901.1"/>
    <n v="-203682.26"/>
    <n v="15390.499999999998"/>
  </r>
  <r>
    <x v="19"/>
    <x v="3"/>
    <x v="0"/>
    <s v="4405101"/>
    <n v="400020"/>
    <s v="O/P Care Svcs Rev--Managed Care"/>
    <s v="SADU"/>
    <x v="0"/>
    <n v="1400"/>
    <n v="-42662.15"/>
    <n v="-44621.9"/>
    <n v="-95993.47"/>
    <n v="-77047.53"/>
    <n v="-58363.5"/>
    <n v="-101730.44"/>
    <n v="-92248.77"/>
    <n v="-53106.559999999998"/>
    <n v="-89107.69"/>
    <n v="-71507.14"/>
    <n v="-112449.67"/>
    <n v="-73704.179999999993"/>
    <n v="-912543"/>
    <n v="-38745.490000000005"/>
  </r>
  <r>
    <x v="19"/>
    <x v="3"/>
    <x v="0"/>
    <s v="4405101"/>
    <n v="400020"/>
    <s v="O/P Care Svcs Rev--Self Pay"/>
    <s v="SADU"/>
    <x v="0"/>
    <n v="1500"/>
    <n v="0"/>
    <n v="-2573.58"/>
    <n v="0"/>
    <n v="-2573.58"/>
    <n v="2573.58"/>
    <n v="2573.58"/>
    <n v="-2144.65"/>
    <n v="-2209"/>
    <n v="-9277.7999999999993"/>
    <n v="-1325.4"/>
    <n v="-3976.2"/>
    <n v="-6524.04"/>
    <n v="-25457.09"/>
    <n v="2547.84"/>
  </r>
  <r>
    <x v="19"/>
    <x v="3"/>
    <x v="0"/>
    <s v="4405101"/>
    <n v="400020"/>
    <s v="O/P Care Svcs Rev--Other"/>
    <s v="SADU"/>
    <x v="0"/>
    <n v="1700"/>
    <n v="-28785.73"/>
    <n v="-26018.38"/>
    <n v="-35171.660000000003"/>
    <n v="-23651.84"/>
    <n v="-21187.37"/>
    <n v="-25521.86"/>
    <n v="-10416.299999999999"/>
    <n v="-6652.74"/>
    <n v="-11550.39"/>
    <n v="-9335.7800000000007"/>
    <n v="-13822.98"/>
    <n v="-25079.64"/>
    <n v="-237194.67000000004"/>
    <n v="11256.66"/>
  </r>
  <r>
    <x v="5"/>
    <x v="3"/>
    <x v="0"/>
    <s v="4405101"/>
    <n v="700026"/>
    <s v="Salaries-RN-Productive"/>
    <s v="SADU"/>
    <x v="0"/>
    <m/>
    <n v="49336.13"/>
    <n v="55172.2"/>
    <n v="62249.75"/>
    <n v="69916.36"/>
    <n v="61822.080000000002"/>
    <n v="54243.99"/>
    <n v="54348.9"/>
    <n v="49637.75"/>
    <n v="66065.14"/>
    <n v="55591.58"/>
    <n v="65765.539999999994"/>
    <n v="53470.03"/>
    <n v="697619.45000000007"/>
    <n v="12295.509999999995"/>
  </r>
  <r>
    <x v="5"/>
    <x v="3"/>
    <x v="0"/>
    <s v="4405101"/>
    <n v="700026"/>
    <s v="Salaries-RN-OT"/>
    <s v="SADU"/>
    <x v="0"/>
    <n v="1000"/>
    <n v="1830.54"/>
    <n v="1525.42"/>
    <n v="1338.23"/>
    <n v="2478.4899999999998"/>
    <n v="-0.63"/>
    <n v="1993.33"/>
    <n v="730.19"/>
    <n v="347.03"/>
    <n v="614.54"/>
    <n v="861.63"/>
    <n v="1140.22"/>
    <n v="6091.94"/>
    <n v="18950.93"/>
    <n v="-4951.7199999999993"/>
  </r>
  <r>
    <x v="5"/>
    <x v="3"/>
    <x v="0"/>
    <s v="4405101"/>
    <n v="700026"/>
    <s v="Salaries-RN-Other"/>
    <s v="SADU"/>
    <x v="0"/>
    <n v="2000"/>
    <n v="1549.36"/>
    <n v="1694.64"/>
    <n v="2446.39"/>
    <n v="1539.63"/>
    <n v="2601.13"/>
    <n v="2060.19"/>
    <n v="1257.92"/>
    <n v="1224.58"/>
    <n v="2013.95"/>
    <n v="2299.23"/>
    <n v="1445.24"/>
    <n v="1387.2"/>
    <n v="21519.460000000003"/>
    <n v="58.039999999999964"/>
  </r>
  <r>
    <x v="5"/>
    <x v="3"/>
    <x v="0"/>
    <s v="4405101"/>
    <n v="700032"/>
    <s v="Salaries-Other Pat Care Providers-Productive"/>
    <s v="SADU"/>
    <x v="0"/>
    <m/>
    <n v="11229.39"/>
    <n v="11861.62"/>
    <n v="8365.19"/>
    <n v="12374.42"/>
    <n v="12365.46"/>
    <n v="7950.9"/>
    <n v="10612.85"/>
    <n v="10017.91"/>
    <n v="11413.95"/>
    <n v="9906.07"/>
    <n v="9421.56"/>
    <n v="8795.8799999999992"/>
    <n v="124315.20000000001"/>
    <n v="625.68000000000029"/>
  </r>
  <r>
    <x v="5"/>
    <x v="3"/>
    <x v="0"/>
    <s v="4405101"/>
    <n v="700032"/>
    <s v="Salaries-Other Pat Care Providers-OT"/>
    <s v="SADU"/>
    <x v="0"/>
    <n v="1000"/>
    <n v="45.88"/>
    <n v="455.38"/>
    <n v="70.56"/>
    <n v="189.54"/>
    <n v="23.7"/>
    <n v="225.72"/>
    <n v="164.95"/>
    <n v="10.78"/>
    <n v="339.66"/>
    <n v="174.44"/>
    <n v="-25.72"/>
    <n v="455.61"/>
    <n v="2130.5"/>
    <n v="-481.33000000000004"/>
  </r>
  <r>
    <x v="5"/>
    <x v="3"/>
    <x v="0"/>
    <s v="4405101"/>
    <n v="700032"/>
    <s v="Salaries-Other Pat Care Providers-Other"/>
    <s v="SADU"/>
    <x v="0"/>
    <n v="2000"/>
    <n v="15.16"/>
    <n v="13.06"/>
    <n v="5.95"/>
    <n v="9.74"/>
    <n v="-5.81"/>
    <n v="38.159999999999997"/>
    <n v="0"/>
    <n v="6.08"/>
    <n v="47.8"/>
    <n v="-17.37"/>
    <n v="0"/>
    <n v="5.41"/>
    <n v="118.17999999999998"/>
    <n v="-5.41"/>
  </r>
  <r>
    <x v="5"/>
    <x v="3"/>
    <x v="0"/>
    <s v="4405101"/>
    <n v="700038"/>
    <s v="Salaries-Service/Support-Productive"/>
    <s v="SADU"/>
    <x v="0"/>
    <m/>
    <n v="4691.09"/>
    <n v="4779.74"/>
    <n v="4327.87"/>
    <n v="4242.3"/>
    <n v="3461.87"/>
    <n v="2494.4499999999998"/>
    <n v="4800.76"/>
    <n v="3831.38"/>
    <n v="2636.52"/>
    <n v="5567.93"/>
    <n v="4970.25"/>
    <n v="3644.95"/>
    <n v="49449.11"/>
    <n v="1325.3000000000002"/>
  </r>
  <r>
    <x v="5"/>
    <x v="3"/>
    <x v="0"/>
    <s v="4405101"/>
    <n v="700038"/>
    <s v="Salaries-Service/Support-OT"/>
    <s v="SADU"/>
    <x v="0"/>
    <n v="1000"/>
    <n v="8.49"/>
    <n v="28.52"/>
    <n v="20.010000000000002"/>
    <n v="24.57"/>
    <n v="16.36"/>
    <n v="2.0499999999999998"/>
    <n v="8.6999999999999993"/>
    <n v="-2.5499999999999998"/>
    <n v="0"/>
    <n v="7.17"/>
    <n v="7.17"/>
    <n v="14.34"/>
    <n v="134.83000000000001"/>
    <n v="-7.17"/>
  </r>
  <r>
    <x v="5"/>
    <x v="3"/>
    <x v="0"/>
    <s v="4405101"/>
    <n v="700038"/>
    <s v="Salaries-Service/Support-Other"/>
    <s v="SADU"/>
    <x v="0"/>
    <n v="2000"/>
    <n v="80.47"/>
    <n v="76.45"/>
    <n v="72.39"/>
    <n v="54.45"/>
    <n v="6.27"/>
    <n v="0"/>
    <n v="77.05"/>
    <n v="73.540000000000006"/>
    <n v="-2.56"/>
    <n v="101.02"/>
    <n v="83.03"/>
    <n v="56.19"/>
    <n v="678.3"/>
    <n v="26.840000000000003"/>
  </r>
  <r>
    <x v="5"/>
    <x v="3"/>
    <x v="0"/>
    <s v="4405101"/>
    <n v="700054"/>
    <s v="Salaries-Management-NonProd-Other"/>
    <s v="SADU"/>
    <x v="0"/>
    <n v="2000"/>
    <n v="0"/>
    <n v="0"/>
    <n v="0"/>
    <n v="0"/>
    <n v="-209.78"/>
    <n v="209.78"/>
    <n v="0"/>
    <n v="0"/>
    <n v="0"/>
    <n v="0"/>
    <n v="0"/>
    <n v="0"/>
    <n v="0"/>
    <n v="0"/>
  </r>
  <r>
    <x v="5"/>
    <x v="3"/>
    <x v="0"/>
    <s v="4405101"/>
    <n v="700066"/>
    <s v="Salaries-RN-Non-productive"/>
    <s v="SADU"/>
    <x v="0"/>
    <m/>
    <n v="12816.29"/>
    <n v="6549.94"/>
    <n v="6462.77"/>
    <n v="3455.45"/>
    <n v="8539.01"/>
    <n v="15038.46"/>
    <n v="17511.939999999999"/>
    <n v="6408.61"/>
    <n v="2105.81"/>
    <n v="16823.080000000002"/>
    <n v="1861.91"/>
    <n v="14241.01"/>
    <n v="111814.28"/>
    <n v="-12379.1"/>
  </r>
  <r>
    <x v="5"/>
    <x v="3"/>
    <x v="0"/>
    <s v="4405101"/>
    <n v="700066"/>
    <s v="Salaries-RN-NonProd-Other"/>
    <s v="SADU"/>
    <x v="0"/>
    <n v="2000"/>
    <n v="355.8"/>
    <n v="161.85"/>
    <n v="254.9"/>
    <n v="94.47"/>
    <n v="1139.6300000000001"/>
    <n v="436.57"/>
    <n v="691.65"/>
    <n v="-770.04"/>
    <n v="240.8"/>
    <n v="367"/>
    <n v="105.22"/>
    <n v="599.16999999999996"/>
    <n v="3677.0200000000004"/>
    <n v="-493.94999999999993"/>
  </r>
  <r>
    <x v="5"/>
    <x v="3"/>
    <x v="0"/>
    <s v="4405101"/>
    <n v="700072"/>
    <s v="Salaries-Other Pat Care Providers-Non-productive"/>
    <s v="SADU"/>
    <x v="0"/>
    <m/>
    <n v="1762.47"/>
    <n v="901.01"/>
    <n v="5271.98"/>
    <n v="1456.72"/>
    <n v="193.25"/>
    <n v="5976.19"/>
    <n v="2046.21"/>
    <n v="1786.04"/>
    <n v="1801.41"/>
    <n v="848.34"/>
    <n v="905.96"/>
    <n v="1861.69"/>
    <n v="24811.269999999997"/>
    <n v="-955.73"/>
  </r>
  <r>
    <x v="5"/>
    <x v="3"/>
    <x v="0"/>
    <s v="4405101"/>
    <n v="700072"/>
    <s v="Salaries-Other Pat Care Providers-NonProd-Other"/>
    <s v="SADU"/>
    <x v="0"/>
    <n v="2000"/>
    <n v="0"/>
    <n v="0"/>
    <n v="7.87"/>
    <n v="2.15"/>
    <n v="420.06"/>
    <n v="0"/>
    <n v="0"/>
    <n v="-420.06"/>
    <n v="0"/>
    <n v="0"/>
    <n v="0"/>
    <n v="10.35"/>
    <n v="20.369999999999983"/>
    <n v="-10.35"/>
  </r>
  <r>
    <x v="5"/>
    <x v="3"/>
    <x v="0"/>
    <s v="4405101"/>
    <n v="700078"/>
    <s v="Salaries-Service/Support-Non-productive"/>
    <s v="SADU"/>
    <x v="0"/>
    <m/>
    <n v="287.08"/>
    <n v="202.61"/>
    <n v="493.84"/>
    <n v="796.86"/>
    <n v="1536.82"/>
    <n v="2500.8200000000002"/>
    <n v="345.21"/>
    <n v="782.05"/>
    <n v="1696.18"/>
    <n v="-478.72"/>
    <n v="143.97"/>
    <n v="1157.74"/>
    <n v="9464.4600000000009"/>
    <n v="-1013.77"/>
  </r>
  <r>
    <x v="5"/>
    <x v="3"/>
    <x v="0"/>
    <s v="4405101"/>
    <n v="700078"/>
    <s v="Salaries-Service/Support-NonProd-Other"/>
    <s v="SADU"/>
    <x v="0"/>
    <n v="2000"/>
    <n v="5.8"/>
    <n v="18.64"/>
    <n v="31.69"/>
    <n v="46.89"/>
    <n v="146.32"/>
    <n v="266.88"/>
    <n v="14"/>
    <n v="18.53"/>
    <n v="54.11"/>
    <n v="-3.72"/>
    <n v="4.2"/>
    <n v="33.340000000000003"/>
    <n v="636.68000000000006"/>
    <n v="-29.140000000000004"/>
  </r>
  <r>
    <x v="5"/>
    <x v="3"/>
    <x v="0"/>
    <s v="4405101"/>
    <n v="700084"/>
    <s v="Accrued PTO"/>
    <s v="SADU"/>
    <x v="0"/>
    <m/>
    <n v="-3103.64"/>
    <n v="1183.08"/>
    <n v="-82.76"/>
    <n v="5560.24"/>
    <n v="7739.24"/>
    <n v="-5566.96"/>
    <n v="-4471.0200000000004"/>
    <n v="949.32"/>
    <n v="4526.01"/>
    <n v="-2490.14"/>
    <n v="5657.69"/>
    <n v="3808.14"/>
    <n v="13709.2"/>
    <n v="1849.5499999999997"/>
  </r>
  <r>
    <x v="6"/>
    <x v="3"/>
    <x v="0"/>
    <s v="4405101"/>
    <n v="713010"/>
    <s v="Benefits-FICA/Medicare"/>
    <s v="SADU"/>
    <x v="0"/>
    <m/>
    <n v="6433.81"/>
    <n v="6179.67"/>
    <n v="6798.87"/>
    <n v="7203.82"/>
    <n v="7063.39"/>
    <n v="6934.26"/>
    <n v="6815.09"/>
    <n v="5475.11"/>
    <n v="6557.24"/>
    <n v="6791.26"/>
    <n v="6317.91"/>
    <n v="6780.32"/>
    <n v="79350.75"/>
    <n v="-462.40999999999985"/>
  </r>
  <r>
    <x v="6"/>
    <x v="3"/>
    <x v="0"/>
    <s v="4405101"/>
    <n v="713090"/>
    <s v="Benefits-Allocated Amounts"/>
    <s v="SADU"/>
    <x v="0"/>
    <m/>
    <n v="17785.48"/>
    <n v="16268.91"/>
    <n v="19395.419999999998"/>
    <n v="19988.82"/>
    <n v="19374.98"/>
    <n v="18668.32"/>
    <n v="19873.990000000002"/>
    <n v="17682.96"/>
    <n v="15338.15"/>
    <n v="19409.900000000001"/>
    <n v="19286.98"/>
    <n v="19718.21"/>
    <n v="222792.11999999997"/>
    <n v="-431.22999999999956"/>
  </r>
  <r>
    <x v="7"/>
    <x v="3"/>
    <x v="0"/>
    <s v="4405101"/>
    <n v="718050"/>
    <s v="Translation Services"/>
    <s v="SADU"/>
    <x v="0"/>
    <n v="1025"/>
    <n v="0"/>
    <n v="0"/>
    <n v="0"/>
    <n v="0"/>
    <n v="0"/>
    <n v="52.14"/>
    <n v="0"/>
    <n v="0"/>
    <n v="0"/>
    <n v="0"/>
    <n v="219"/>
    <n v="0"/>
    <n v="271.14"/>
    <n v="219"/>
  </r>
  <r>
    <x v="7"/>
    <x v="3"/>
    <x v="0"/>
    <s v="4405101"/>
    <n v="718050"/>
    <s v="Contract Management--Linen"/>
    <s v="SADU"/>
    <x v="0"/>
    <n v="1026"/>
    <n v="1688.48"/>
    <n v="1553.08"/>
    <n v="1498.73"/>
    <n v="1303.27"/>
    <n v="1602.99"/>
    <n v="1244.6600000000001"/>
    <n v="1393.78"/>
    <n v="1206.8900000000001"/>
    <n v="1252.67"/>
    <n v="1368.3"/>
    <n v="1698.04"/>
    <n v="1490.51"/>
    <n v="17301.399999999998"/>
    <n v="207.52999999999997"/>
  </r>
  <r>
    <x v="11"/>
    <x v="3"/>
    <x v="0"/>
    <s v="4405101"/>
    <n v="721010"/>
    <s v="Supplies-Medical - Billable"/>
    <s v="SADU"/>
    <x v="0"/>
    <m/>
    <n v="6137.13"/>
    <n v="6376.34"/>
    <n v="5967.3"/>
    <n v="6710.97"/>
    <n v="6843.58"/>
    <n v="5955.53"/>
    <n v="6873.58"/>
    <n v="5496.3"/>
    <n v="6609.58"/>
    <n v="6118.81"/>
    <n v="7607.82"/>
    <n v="5744.3"/>
    <n v="76441.240000000005"/>
    <n v="1863.5199999999995"/>
  </r>
  <r>
    <x v="11"/>
    <x v="3"/>
    <x v="0"/>
    <s v="4405101"/>
    <n v="721010"/>
    <s v="Patient Monitoring"/>
    <s v="SADU"/>
    <x v="0"/>
    <n v="1000"/>
    <n v="32.700000000000003"/>
    <n v="43.7"/>
    <n v="30.5"/>
    <n v="32.700000000000003"/>
    <n v="47.95"/>
    <n v="32.71"/>
    <n v="104.28"/>
    <n v="35.340000000000003"/>
    <n v="58.96"/>
    <n v="34.9"/>
    <n v="35.75"/>
    <n v="93.9"/>
    <n v="583.39"/>
    <n v="-58.150000000000006"/>
  </r>
  <r>
    <x v="11"/>
    <x v="3"/>
    <x v="0"/>
    <s v="4405101"/>
    <n v="721020"/>
    <s v="Supplies-Surgical - Billable"/>
    <s v="SADU"/>
    <x v="0"/>
    <m/>
    <n v="0"/>
    <n v="7.38"/>
    <n v="0"/>
    <n v="12.37"/>
    <n v="0"/>
    <n v="0"/>
    <n v="0"/>
    <n v="0"/>
    <n v="0"/>
    <n v="0"/>
    <n v="9.5"/>
    <n v="8"/>
    <n v="37.25"/>
    <n v="1.5"/>
  </r>
  <r>
    <x v="11"/>
    <x v="3"/>
    <x v="0"/>
    <s v="4405101"/>
    <n v="721020"/>
    <s v="Tubes Drains &amp; Related Supplies"/>
    <s v="SADU"/>
    <x v="0"/>
    <n v="1008"/>
    <n v="170"/>
    <n v="0"/>
    <n v="0"/>
    <n v="0"/>
    <n v="0"/>
    <n v="0"/>
    <n v="0"/>
    <n v="0"/>
    <n v="0"/>
    <n v="0"/>
    <n v="0"/>
    <n v="0"/>
    <n v="170"/>
    <n v="0"/>
  </r>
  <r>
    <x v="11"/>
    <x v="3"/>
    <x v="0"/>
    <s v="4405101"/>
    <n v="721240"/>
    <s v="Supplies-IV Solutions/Supplies - Billable"/>
    <s v="SADU"/>
    <x v="0"/>
    <m/>
    <n v="2079.23"/>
    <n v="3032.9"/>
    <n v="3035.72"/>
    <n v="4022.07"/>
    <n v="3184.58"/>
    <n v="3261.47"/>
    <n v="2849.21"/>
    <n v="3237.7"/>
    <n v="3734.98"/>
    <n v="2803.9"/>
    <n v="2857.76"/>
    <n v="3655.25"/>
    <n v="37754.770000000004"/>
    <n v="-797.48999999999978"/>
  </r>
  <r>
    <x v="11"/>
    <x v="3"/>
    <x v="0"/>
    <s v="4405101"/>
    <n v="721410"/>
    <s v="Supplies-Medical - Nonbillable"/>
    <s v="SADU"/>
    <x v="0"/>
    <m/>
    <n v="4085.07"/>
    <n v="5732.47"/>
    <n v="4390.76"/>
    <n v="6694.06"/>
    <n v="4217.1099999999997"/>
    <n v="5515.77"/>
    <n v="5647.75"/>
    <n v="4715.96"/>
    <n v="5226.09"/>
    <n v="4232.3599999999997"/>
    <n v="3773.38"/>
    <n v="5184.33"/>
    <n v="59415.110000000008"/>
    <n v="-1410.9499999999998"/>
  </r>
  <r>
    <x v="11"/>
    <x v="3"/>
    <x v="0"/>
    <s v="4405101"/>
    <n v="721420"/>
    <s v="Supplies-Surgical Nonbillable"/>
    <s v="SADU"/>
    <x v="0"/>
    <m/>
    <n v="539.19000000000005"/>
    <n v="664.68"/>
    <n v="568.69000000000005"/>
    <n v="478.87"/>
    <n v="519.69000000000005"/>
    <n v="610.37"/>
    <n v="629.25"/>
    <n v="406.59"/>
    <n v="558.69000000000005"/>
    <n v="657.78"/>
    <n v="359.82"/>
    <n v="500.78"/>
    <n v="6494.4"/>
    <n v="-140.95999999999998"/>
  </r>
  <r>
    <x v="11"/>
    <x v="3"/>
    <x v="0"/>
    <s v="4405101"/>
    <n v="721420"/>
    <s v="Tubes Drains &amp; Related Supplies"/>
    <s v="SADU"/>
    <x v="0"/>
    <n v="1008"/>
    <n v="0"/>
    <n v="3.01"/>
    <n v="0"/>
    <n v="0"/>
    <n v="0"/>
    <n v="0"/>
    <n v="0"/>
    <n v="0"/>
    <n v="0"/>
    <n v="0"/>
    <n v="0"/>
    <n v="0"/>
    <n v="3.01"/>
    <n v="0"/>
  </r>
  <r>
    <x v="11"/>
    <x v="3"/>
    <x v="0"/>
    <s v="4405101"/>
    <n v="721420"/>
    <s v="Sterilization Process Products"/>
    <s v="SADU"/>
    <x v="0"/>
    <n v="1009"/>
    <n v="0"/>
    <n v="0"/>
    <n v="0"/>
    <n v="0"/>
    <n v="0"/>
    <n v="0"/>
    <n v="10.96"/>
    <n v="0"/>
    <n v="0"/>
    <n v="0"/>
    <n v="0"/>
    <n v="-68.69"/>
    <n v="-57.73"/>
    <n v="68.69"/>
  </r>
  <r>
    <x v="11"/>
    <x v="3"/>
    <x v="0"/>
    <s v="4405101"/>
    <n v="721610"/>
    <s v="Supplies-Anesthesia - Nonbillable"/>
    <s v="SADU"/>
    <x v="0"/>
    <m/>
    <n v="1.19"/>
    <n v="25.15"/>
    <n v="49.83"/>
    <n v="53.98"/>
    <n v="34.99"/>
    <n v="47.83"/>
    <n v="0"/>
    <n v="12.41"/>
    <n v="25.95"/>
    <n v="31.31"/>
    <n v="57.26"/>
    <n v="0"/>
    <n v="339.9"/>
    <n v="57.26"/>
  </r>
  <r>
    <x v="11"/>
    <x v="3"/>
    <x v="0"/>
    <s v="4405101"/>
    <n v="721640"/>
    <s v="Supplies-IV Solutions/Supplies - Nonbillable"/>
    <s v="SADU"/>
    <x v="0"/>
    <m/>
    <n v="2796.27"/>
    <n v="3467.48"/>
    <n v="3213.06"/>
    <n v="4119.7299999999996"/>
    <n v="3242.3"/>
    <n v="3090.98"/>
    <n v="3387.78"/>
    <n v="2243.1999999999998"/>
    <n v="2988.23"/>
    <n v="3051.04"/>
    <n v="3355.23"/>
    <n v="2909.24"/>
    <n v="37864.54"/>
    <n v="445.99000000000024"/>
  </r>
  <r>
    <x v="11"/>
    <x v="3"/>
    <x v="0"/>
    <s v="4405101"/>
    <n v="721650"/>
    <s v="Supplies-Pharmacy Drugs - Nonbillable"/>
    <s v="SADU"/>
    <x v="0"/>
    <m/>
    <n v="0"/>
    <n v="0"/>
    <n v="0"/>
    <n v="0"/>
    <n v="0"/>
    <n v="0"/>
    <n v="0"/>
    <n v="0"/>
    <n v="0"/>
    <n v="0"/>
    <n v="0.1"/>
    <n v="0"/>
    <n v="0.1"/>
    <n v="0.1"/>
  </r>
  <r>
    <x v="11"/>
    <x v="3"/>
    <x v="0"/>
    <s v="4405101"/>
    <n v="721710"/>
    <s v="Supplies-Laboratory - Nonbillable"/>
    <s v="SADU"/>
    <x v="0"/>
    <m/>
    <n v="77.650000000000006"/>
    <n v="110.57"/>
    <n v="205.18"/>
    <n v="108.8"/>
    <n v="177.72"/>
    <n v="115.38"/>
    <n v="90.36"/>
    <n v="115.71"/>
    <n v="217.35"/>
    <n v="69.66"/>
    <n v="123.2"/>
    <n v="114"/>
    <n v="1525.5800000000002"/>
    <n v="9.2000000000000028"/>
  </r>
  <r>
    <x v="11"/>
    <x v="3"/>
    <x v="0"/>
    <s v="4405101"/>
    <n v="721810"/>
    <s v="Supplies-Dietary/Cafeteria"/>
    <s v="SADU"/>
    <x v="0"/>
    <m/>
    <n v="131.58000000000001"/>
    <n v="205.22"/>
    <n v="35.85"/>
    <n v="47.54"/>
    <n v="180.74"/>
    <n v="212.34"/>
    <n v="37.92"/>
    <n v="41.59"/>
    <n v="278.33999999999997"/>
    <n v="35.450000000000003"/>
    <n v="42.47"/>
    <n v="215.71"/>
    <n v="1464.7500000000002"/>
    <n v="-173.24"/>
  </r>
  <r>
    <x v="11"/>
    <x v="3"/>
    <x v="0"/>
    <s v="4405101"/>
    <n v="721830"/>
    <s v="Supplies-Office"/>
    <s v="SADU"/>
    <x v="0"/>
    <m/>
    <n v="166.97"/>
    <n v="588.73"/>
    <n v="355.81"/>
    <n v="654.77"/>
    <n v="91.26"/>
    <n v="276.02"/>
    <n v="397.42"/>
    <n v="627.02"/>
    <n v="398.57"/>
    <n v="288.68"/>
    <n v="391.91"/>
    <n v="39.96"/>
    <n v="4277.12"/>
    <n v="351.95000000000005"/>
  </r>
  <r>
    <x v="11"/>
    <x v="3"/>
    <x v="0"/>
    <s v="4405101"/>
    <n v="721835"/>
    <s v="Supplies-Forms"/>
    <s v="SADU"/>
    <x v="0"/>
    <m/>
    <n v="0"/>
    <n v="0"/>
    <n v="0"/>
    <n v="0"/>
    <n v="164.8"/>
    <n v="0"/>
    <n v="55.74"/>
    <n v="0"/>
    <n v="18"/>
    <n v="91.4"/>
    <n v="9"/>
    <n v="85.8"/>
    <n v="424.74000000000007"/>
    <n v="-76.8"/>
  </r>
  <r>
    <x v="11"/>
    <x v="3"/>
    <x v="0"/>
    <s v="4405101"/>
    <n v="721870"/>
    <s v="Supplies-Environmental Services"/>
    <s v="SADU"/>
    <x v="0"/>
    <m/>
    <n v="376.87"/>
    <n v="278.37"/>
    <n v="266.94"/>
    <n v="270.13"/>
    <n v="353.4"/>
    <n v="228.98"/>
    <n v="214.57"/>
    <n v="268.93"/>
    <n v="265.48"/>
    <n v="252.12"/>
    <n v="256.39999999999998"/>
    <n v="226.81"/>
    <n v="3259"/>
    <n v="29.589999999999975"/>
  </r>
  <r>
    <x v="11"/>
    <x v="3"/>
    <x v="0"/>
    <s v="4405101"/>
    <n v="721910"/>
    <s v="Supplies-Small Equipment"/>
    <s v="SADU"/>
    <x v="0"/>
    <m/>
    <n v="584.22"/>
    <n v="937.49"/>
    <n v="429.92"/>
    <n v="341.86"/>
    <n v="587.88"/>
    <n v="639.15"/>
    <n v="748.4"/>
    <n v="2103.0300000000002"/>
    <n v="504.97"/>
    <n v="331.02"/>
    <n v="150.24"/>
    <n v="121.04"/>
    <n v="7479.22"/>
    <n v="29.200000000000003"/>
  </r>
  <r>
    <x v="11"/>
    <x v="3"/>
    <x v="0"/>
    <s v="4405101"/>
    <n v="721910"/>
    <s v="Instruments"/>
    <s v="SADU"/>
    <x v="0"/>
    <n v="1000"/>
    <n v="0"/>
    <n v="0"/>
    <n v="0"/>
    <n v="117.5"/>
    <n v="0"/>
    <n v="141"/>
    <n v="0"/>
    <n v="0"/>
    <n v="0"/>
    <n v="1102.1500000000001"/>
    <n v="0"/>
    <n v="0"/>
    <n v="1360.65"/>
    <n v="0"/>
  </r>
  <r>
    <x v="11"/>
    <x v="3"/>
    <x v="0"/>
    <s v="4405101"/>
    <n v="721980"/>
    <s v="Supplies-Other"/>
    <s v="SADU"/>
    <x v="0"/>
    <m/>
    <n v="0"/>
    <n v="0"/>
    <n v="32.1"/>
    <n v="0"/>
    <n v="0"/>
    <n v="0"/>
    <n v="0"/>
    <n v="0"/>
    <n v="0"/>
    <n v="0"/>
    <n v="0"/>
    <n v="0"/>
    <n v="32.1"/>
    <n v="0"/>
  </r>
  <r>
    <x v="11"/>
    <x v="3"/>
    <x v="0"/>
    <s v="4405101"/>
    <n v="722000"/>
    <s v="Supplies-Freight Expense"/>
    <s v="SADU"/>
    <x v="0"/>
    <m/>
    <n v="0"/>
    <n v="0"/>
    <n v="41.68"/>
    <n v="0"/>
    <n v="0"/>
    <n v="0"/>
    <n v="0"/>
    <n v="0"/>
    <n v="0"/>
    <n v="0"/>
    <n v="0"/>
    <n v="9.36"/>
    <n v="51.04"/>
    <n v="-9.36"/>
  </r>
  <r>
    <x v="12"/>
    <x v="3"/>
    <x v="0"/>
    <s v="4405101"/>
    <n v="730020"/>
    <s v="Rental and Leases-Equipment (DO NOT USE)"/>
    <s v="SADU"/>
    <x v="0"/>
    <m/>
    <n v="0"/>
    <n v="171.97"/>
    <n v="69.92"/>
    <n v="69.92"/>
    <n v="0"/>
    <n v="0"/>
    <n v="69.92"/>
    <n v="106.82"/>
    <n v="69.91"/>
    <n v="0"/>
    <n v="0"/>
    <n v="69.98"/>
    <n v="628.44000000000005"/>
    <n v="-69.98"/>
  </r>
  <r>
    <x v="12"/>
    <x v="3"/>
    <x v="0"/>
    <s v="4405101"/>
    <n v="730020"/>
    <s v="Rental and Leases-Copier Usage Fees (DO NOT USE)"/>
    <s v="SADU"/>
    <x v="0"/>
    <n v="5100"/>
    <n v="74.81"/>
    <n v="75.599999999999994"/>
    <n v="75.2"/>
    <n v="75.2"/>
    <n v="75.2"/>
    <n v="75.2"/>
    <n v="-5.48"/>
    <n v="51.93"/>
    <n v="51.82"/>
    <n v="112.67"/>
    <n v="51.93"/>
    <n v="51.93"/>
    <n v="766.00999999999988"/>
    <n v="0"/>
  </r>
  <r>
    <x v="15"/>
    <x v="3"/>
    <x v="0"/>
    <s v="4405101"/>
    <n v="731060"/>
    <s v="Cell Phones"/>
    <s v="SADU"/>
    <x v="0"/>
    <n v="1001"/>
    <n v="0"/>
    <n v="33"/>
    <n v="66"/>
    <n v="0"/>
    <n v="32.49"/>
    <n v="33.1"/>
    <n v="66.14"/>
    <n v="0"/>
    <n v="33.57"/>
    <n v="66.260000000000005"/>
    <n v="32.49"/>
    <n v="33.14"/>
    <n v="396.19"/>
    <n v="-0.64999999999999858"/>
  </r>
  <r>
    <x v="13"/>
    <x v="3"/>
    <x v="0"/>
    <s v="4405101"/>
    <n v="735070"/>
    <s v="Depreciation-Movable Equipment"/>
    <s v="SADU"/>
    <x v="0"/>
    <m/>
    <n v="7.45"/>
    <n v="7.45"/>
    <n v="7.46"/>
    <n v="7.45"/>
    <n v="7.46"/>
    <n v="7.45"/>
    <n v="7.46"/>
    <n v="7.45"/>
    <n v="7.46"/>
    <n v="7.45"/>
    <n v="7.46"/>
    <n v="7.45"/>
    <n v="89.45"/>
    <n v="9.9999999999997868E-3"/>
  </r>
  <r>
    <x v="0"/>
    <x v="3"/>
    <x v="0"/>
    <s v="4405101"/>
    <n v="740020"/>
    <s v="Education-Registration Fees"/>
    <s v="SADU"/>
    <x v="0"/>
    <m/>
    <n v="0"/>
    <n v="0"/>
    <n v="350"/>
    <n v="305"/>
    <n v="0"/>
    <n v="385"/>
    <n v="330"/>
    <n v="0"/>
    <n v="0"/>
    <n v="165"/>
    <n v="0"/>
    <n v="660"/>
    <n v="2195"/>
    <n v="-660"/>
  </r>
  <r>
    <x v="0"/>
    <x v="3"/>
    <x v="0"/>
    <s v="4405101"/>
    <n v="749510"/>
    <s v="Miscellaneous Expenses"/>
    <s v="SADU"/>
    <x v="0"/>
    <m/>
    <n v="0"/>
    <n v="0"/>
    <n v="1218.3699999999999"/>
    <n v="-1"/>
    <n v="65.95"/>
    <n v="0"/>
    <n v="0"/>
    <n v="374.29"/>
    <n v="921.18"/>
    <n v="0"/>
    <n v="367"/>
    <n v="32"/>
    <n v="2977.79"/>
    <n v="335"/>
  </r>
  <r>
    <x v="19"/>
    <x v="0"/>
    <x v="0"/>
    <s v="4405102"/>
    <n v="400020"/>
    <s v="O/P Care Svcs Rev--Medicare"/>
    <s v="SADU"/>
    <x v="0"/>
    <n v="1100"/>
    <n v="0"/>
    <n v="0"/>
    <n v="0"/>
    <n v="0"/>
    <n v="0"/>
    <n v="0"/>
    <n v="0"/>
    <n v="0"/>
    <n v="0"/>
    <n v="-361.46"/>
    <n v="0"/>
    <n v="-328.6"/>
    <n v="-690.06"/>
    <n v="328.6"/>
  </r>
  <r>
    <x v="5"/>
    <x v="0"/>
    <x v="0"/>
    <s v="4405102"/>
    <n v="700026"/>
    <s v="Salaries-RN-Productive"/>
    <s v="SADU"/>
    <x v="0"/>
    <m/>
    <n v="4032.1"/>
    <n v="-247.76"/>
    <n v="0"/>
    <n v="0"/>
    <n v="0"/>
    <n v="0"/>
    <n v="0"/>
    <n v="0"/>
    <n v="0"/>
    <n v="0"/>
    <n v="0"/>
    <n v="0"/>
    <n v="3784.34"/>
    <n v="0"/>
  </r>
  <r>
    <x v="5"/>
    <x v="0"/>
    <x v="0"/>
    <s v="4405102"/>
    <n v="700026"/>
    <s v="Salaries-RN-OT"/>
    <s v="SADU"/>
    <x v="0"/>
    <n v="1000"/>
    <n v="37.99"/>
    <n v="0"/>
    <n v="0"/>
    <n v="0"/>
    <n v="0"/>
    <n v="0"/>
    <n v="0"/>
    <n v="0"/>
    <n v="203.95"/>
    <n v="-74.150000000000006"/>
    <n v="0"/>
    <n v="0"/>
    <n v="167.79"/>
    <n v="0"/>
  </r>
  <r>
    <x v="5"/>
    <x v="0"/>
    <x v="0"/>
    <s v="4405102"/>
    <n v="700026"/>
    <s v="Salaries-RN-Other"/>
    <s v="SADU"/>
    <x v="0"/>
    <n v="2000"/>
    <n v="181.54"/>
    <n v="-11.08"/>
    <n v="0"/>
    <n v="0"/>
    <n v="0"/>
    <n v="0"/>
    <n v="0"/>
    <n v="0"/>
    <n v="2.35"/>
    <n v="-0.85"/>
    <n v="0"/>
    <n v="0"/>
    <n v="171.95999999999998"/>
    <n v="0"/>
  </r>
  <r>
    <x v="5"/>
    <x v="0"/>
    <x v="0"/>
    <s v="4405102"/>
    <n v="700032"/>
    <s v="Salaries-Other Pat Care Providers-Productive"/>
    <s v="SADU"/>
    <x v="0"/>
    <m/>
    <n v="0"/>
    <n v="0"/>
    <n v="0"/>
    <n v="0"/>
    <n v="0"/>
    <n v="0"/>
    <n v="0"/>
    <n v="52.88"/>
    <n v="0"/>
    <n v="0"/>
    <n v="0"/>
    <n v="0"/>
    <n v="52.88"/>
    <n v="0"/>
  </r>
  <r>
    <x v="5"/>
    <x v="0"/>
    <x v="0"/>
    <s v="4405102"/>
    <n v="700038"/>
    <s v="Salaries-Service/Support-Productive"/>
    <s v="SADU"/>
    <x v="0"/>
    <m/>
    <n v="0"/>
    <n v="0"/>
    <n v="0"/>
    <n v="0"/>
    <n v="0"/>
    <n v="0"/>
    <n v="151.30000000000001"/>
    <n v="-39.799999999999997"/>
    <n v="0"/>
    <n v="0"/>
    <n v="0"/>
    <n v="0"/>
    <n v="111.50000000000001"/>
    <n v="0"/>
  </r>
  <r>
    <x v="5"/>
    <x v="0"/>
    <x v="0"/>
    <s v="4405102"/>
    <n v="700038"/>
    <s v="Salaries-Service/Support-OT"/>
    <s v="SADU"/>
    <x v="0"/>
    <n v="1000"/>
    <n v="0"/>
    <n v="0"/>
    <n v="0"/>
    <n v="0"/>
    <n v="0"/>
    <n v="0"/>
    <n v="12.18"/>
    <n v="-3.2"/>
    <n v="0"/>
    <n v="0"/>
    <n v="0"/>
    <n v="0"/>
    <n v="8.98"/>
    <n v="0"/>
  </r>
  <r>
    <x v="5"/>
    <x v="0"/>
    <x v="0"/>
    <s v="4405102"/>
    <n v="700038"/>
    <s v="Salaries-Service/Support-Other"/>
    <s v="SADU"/>
    <x v="0"/>
    <n v="2000"/>
    <n v="0"/>
    <n v="0"/>
    <n v="0"/>
    <n v="0"/>
    <n v="0"/>
    <n v="0"/>
    <n v="9.84"/>
    <n v="-2.58"/>
    <n v="0"/>
    <n v="0"/>
    <n v="0"/>
    <n v="0"/>
    <n v="7.26"/>
    <n v="0"/>
  </r>
  <r>
    <x v="6"/>
    <x v="0"/>
    <x v="0"/>
    <s v="4405102"/>
    <n v="713010"/>
    <s v="Benefits-FICA/Medicare"/>
    <s v="SADU"/>
    <x v="0"/>
    <m/>
    <n v="321.81"/>
    <n v="-19.579999999999998"/>
    <n v="0"/>
    <n v="0"/>
    <n v="0"/>
    <n v="0"/>
    <n v="13.11"/>
    <n v="0.57999999999999996"/>
    <n v="15.75"/>
    <n v="-5.72"/>
    <n v="0"/>
    <n v="0"/>
    <n v="325.95"/>
    <n v="0"/>
  </r>
  <r>
    <x v="6"/>
    <x v="0"/>
    <x v="0"/>
    <s v="4405102"/>
    <n v="713090"/>
    <s v="Benefits-Allocated Amounts"/>
    <s v="SADU"/>
    <x v="0"/>
    <m/>
    <n v="680.03"/>
    <n v="-70.33"/>
    <n v="5.22"/>
    <n v="-14.5"/>
    <n v="21.12"/>
    <n v="4.29"/>
    <n v="18.170000000000002"/>
    <n v="7.66"/>
    <n v="60.31"/>
    <n v="-25.64"/>
    <n v="-16.82"/>
    <n v="28.69"/>
    <n v="698.19999999999982"/>
    <n v="-45.510000000000005"/>
  </r>
  <r>
    <x v="7"/>
    <x v="0"/>
    <x v="0"/>
    <s v="4405102"/>
    <n v="718050"/>
    <s v="Miscellaneous Purchased Svcs"/>
    <s v="SADU"/>
    <x v="0"/>
    <n v="1020"/>
    <n v="0"/>
    <n v="0"/>
    <n v="0"/>
    <n v="0"/>
    <n v="0"/>
    <n v="0"/>
    <n v="0"/>
    <n v="0"/>
    <n v="0"/>
    <n v="0"/>
    <n v="297.54000000000002"/>
    <n v="0"/>
    <n v="297.54000000000002"/>
    <n v="297.54000000000002"/>
  </r>
  <r>
    <x v="7"/>
    <x v="0"/>
    <x v="0"/>
    <s v="4405102"/>
    <n v="718050"/>
    <s v="Translation Services"/>
    <s v="SADU"/>
    <x v="0"/>
    <n v="1025"/>
    <n v="0"/>
    <n v="0"/>
    <n v="0"/>
    <n v="0"/>
    <n v="0"/>
    <n v="0"/>
    <n v="0"/>
    <n v="1.62"/>
    <n v="5.91"/>
    <n v="0"/>
    <n v="152"/>
    <n v="0"/>
    <n v="159.53"/>
    <n v="152"/>
  </r>
  <r>
    <x v="11"/>
    <x v="0"/>
    <x v="0"/>
    <s v="4405102"/>
    <n v="721250"/>
    <s v="Supplies-Pharmacy Drugs - Billable"/>
    <s v="SADU"/>
    <x v="0"/>
    <m/>
    <n v="1.3"/>
    <n v="0"/>
    <n v="1.32"/>
    <n v="0"/>
    <n v="0"/>
    <n v="0"/>
    <n v="27.2"/>
    <n v="0"/>
    <n v="0"/>
    <n v="1.34"/>
    <n v="12.32"/>
    <n v="0"/>
    <n v="43.480000000000004"/>
    <n v="12.32"/>
  </r>
  <r>
    <x v="11"/>
    <x v="0"/>
    <x v="0"/>
    <s v="4405102"/>
    <n v="721410"/>
    <s v="Supplies-Medical - Nonbillable"/>
    <s v="SADU"/>
    <x v="0"/>
    <m/>
    <n v="0"/>
    <n v="0"/>
    <n v="-0.33"/>
    <n v="0"/>
    <n v="0"/>
    <n v="0"/>
    <n v="0"/>
    <n v="0"/>
    <n v="0"/>
    <n v="9567.33"/>
    <n v="0"/>
    <n v="0"/>
    <n v="9567"/>
    <n v="0"/>
  </r>
  <r>
    <x v="11"/>
    <x v="0"/>
    <x v="0"/>
    <s v="4405102"/>
    <n v="721810"/>
    <s v="Supplies-Dietary/Cafeteria"/>
    <s v="SADU"/>
    <x v="0"/>
    <m/>
    <n v="1246.1500000000001"/>
    <n v="1326.76"/>
    <n v="1181.94"/>
    <n v="1386"/>
    <n v="1289.69"/>
    <n v="1244.98"/>
    <n v="1411.7"/>
    <n v="1205.94"/>
    <n v="1240.49"/>
    <n v="1566.47"/>
    <n v="1675.24"/>
    <n v="1351.3"/>
    <n v="16126.66"/>
    <n v="323.94000000000005"/>
  </r>
  <r>
    <x v="11"/>
    <x v="0"/>
    <x v="0"/>
    <s v="4405102"/>
    <n v="721910"/>
    <s v="Supplies-Small Equipment"/>
    <s v="SADU"/>
    <x v="0"/>
    <m/>
    <n v="0"/>
    <n v="0"/>
    <n v="57.9"/>
    <n v="0"/>
    <n v="0"/>
    <n v="0"/>
    <n v="0"/>
    <n v="0"/>
    <n v="0"/>
    <n v="0"/>
    <n v="0"/>
    <n v="0"/>
    <n v="57.9"/>
    <n v="0"/>
  </r>
  <r>
    <x v="12"/>
    <x v="0"/>
    <x v="0"/>
    <s v="4405102"/>
    <n v="730020"/>
    <s v="Rental and Leases-Equipment (DO NOT USE)"/>
    <s v="SADU"/>
    <x v="0"/>
    <m/>
    <n v="0"/>
    <n v="0"/>
    <n v="0"/>
    <n v="0"/>
    <n v="0"/>
    <n v="275"/>
    <n v="0"/>
    <n v="0"/>
    <n v="0"/>
    <n v="0"/>
    <n v="0"/>
    <n v="0"/>
    <n v="275"/>
    <n v="0"/>
  </r>
  <r>
    <x v="12"/>
    <x v="0"/>
    <x v="0"/>
    <s v="4405102"/>
    <n v="730020"/>
    <s v="Rental and Leases-Copier Usage Fees (DO NOT USE)"/>
    <s v="SADU"/>
    <x v="0"/>
    <n v="5100"/>
    <n v="593.98"/>
    <n v="611.11"/>
    <n v="602.54"/>
    <n v="602.54"/>
    <n v="602.54"/>
    <n v="602.54"/>
    <n v="387.81"/>
    <n v="478.14"/>
    <n v="477.14"/>
    <n v="661.22"/>
    <n v="624.58000000000004"/>
    <n v="634.13"/>
    <n v="6878.27"/>
    <n v="-9.5499999999999545"/>
  </r>
  <r>
    <x v="18"/>
    <x v="8"/>
    <x v="0"/>
    <s v="4405104"/>
    <n v="400010"/>
    <s v="Acute I/P Svcs Rev--Medicare"/>
    <s v="SADU"/>
    <x v="0"/>
    <n v="1100"/>
    <n v="0"/>
    <n v="0"/>
    <n v="0"/>
    <n v="0"/>
    <n v="0"/>
    <n v="-2427.6"/>
    <n v="0"/>
    <n v="0"/>
    <n v="-1429.5"/>
    <n v="0"/>
    <n v="0"/>
    <n v="0"/>
    <n v="-3857.1"/>
    <n v="0"/>
  </r>
  <r>
    <x v="18"/>
    <x v="8"/>
    <x v="0"/>
    <s v="4405104"/>
    <n v="400010"/>
    <s v="Acute I/P Svcs Rev--Managed Care"/>
    <s v="SADU"/>
    <x v="0"/>
    <n v="1400"/>
    <n v="0"/>
    <n v="0"/>
    <n v="0"/>
    <n v="0"/>
    <n v="0"/>
    <n v="0"/>
    <n v="0"/>
    <n v="-113.56"/>
    <n v="-85.17"/>
    <n v="0"/>
    <n v="0"/>
    <n v="0"/>
    <n v="-198.73000000000002"/>
    <n v="0"/>
  </r>
  <r>
    <x v="19"/>
    <x v="8"/>
    <x v="0"/>
    <s v="4405104"/>
    <n v="400020"/>
    <s v="O/P Care Svcs Rev--Medicare"/>
    <s v="SADU"/>
    <x v="0"/>
    <n v="1100"/>
    <n v="-63.81"/>
    <n v="0"/>
    <n v="0"/>
    <n v="0"/>
    <n v="0"/>
    <n v="-319.02"/>
    <n v="-110.25"/>
    <n v="0"/>
    <n v="-212.14"/>
    <n v="-40.5"/>
    <n v="0"/>
    <n v="0"/>
    <n v="-745.72"/>
    <n v="0"/>
  </r>
  <r>
    <x v="19"/>
    <x v="8"/>
    <x v="0"/>
    <s v="4405104"/>
    <n v="400020"/>
    <s v="O/P Care Svcs Rev--Medicaid"/>
    <s v="SADU"/>
    <x v="0"/>
    <n v="1200"/>
    <n v="0"/>
    <n v="0"/>
    <n v="-223.3"/>
    <n v="0"/>
    <n v="0"/>
    <n v="0"/>
    <n v="-110.25"/>
    <n v="-223.81"/>
    <n v="110.25"/>
    <n v="-227.12"/>
    <n v="-113.56"/>
    <n v="0"/>
    <n v="-787.79"/>
    <n v="-113.56"/>
  </r>
  <r>
    <x v="19"/>
    <x v="8"/>
    <x v="0"/>
    <s v="4405104"/>
    <n v="400020"/>
    <s v="O/P Care Svcs Rev--Comm Insurance"/>
    <s v="SADU"/>
    <x v="0"/>
    <n v="1300"/>
    <n v="0"/>
    <n v="0"/>
    <n v="0"/>
    <n v="-191.41"/>
    <n v="0"/>
    <n v="0"/>
    <n v="0"/>
    <n v="0"/>
    <n v="0"/>
    <n v="0"/>
    <n v="0"/>
    <n v="0"/>
    <n v="-191.41"/>
    <n v="0"/>
  </r>
  <r>
    <x v="19"/>
    <x v="8"/>
    <x v="0"/>
    <s v="4405104"/>
    <n v="400020"/>
    <s v="O/P Care Svcs Rev--BCBS Comm"/>
    <s v="SADU"/>
    <x v="0"/>
    <n v="1301"/>
    <n v="0"/>
    <n v="0"/>
    <n v="0"/>
    <n v="0"/>
    <n v="0"/>
    <n v="0"/>
    <n v="0"/>
    <n v="0"/>
    <n v="-110.25"/>
    <n v="-113.56"/>
    <n v="0"/>
    <n v="0"/>
    <n v="-223.81"/>
    <n v="0"/>
  </r>
  <r>
    <x v="19"/>
    <x v="8"/>
    <x v="0"/>
    <s v="4405104"/>
    <n v="400020"/>
    <s v="O/P Care Svcs Rev--Managed Care"/>
    <s v="SADU"/>
    <x v="0"/>
    <n v="1400"/>
    <n v="0"/>
    <n v="0"/>
    <n v="0"/>
    <n v="0"/>
    <n v="0"/>
    <n v="-237.86"/>
    <n v="-110.25"/>
    <n v="-567.79999999999995"/>
    <n v="-511.02"/>
    <n v="0"/>
    <n v="-283.89999999999998"/>
    <n v="0"/>
    <n v="-1710.83"/>
    <n v="-283.89999999999998"/>
  </r>
  <r>
    <x v="19"/>
    <x v="8"/>
    <x v="0"/>
    <s v="4405104"/>
    <n v="400020"/>
    <s v="O/P Care Svcs Rev--Other"/>
    <s v="SADU"/>
    <x v="0"/>
    <n v="1700"/>
    <n v="0"/>
    <n v="0"/>
    <n v="-1715.72"/>
    <n v="0"/>
    <n v="0"/>
    <n v="-110.25"/>
    <n v="0"/>
    <n v="0"/>
    <n v="0"/>
    <n v="0"/>
    <n v="0"/>
    <n v="0"/>
    <n v="-1825.97"/>
    <n v="0"/>
  </r>
  <r>
    <x v="5"/>
    <x v="8"/>
    <x v="0"/>
    <s v="4405104"/>
    <n v="700026"/>
    <s v="Salaries-RN-Productive"/>
    <s v="SADU"/>
    <x v="0"/>
    <m/>
    <n v="0"/>
    <n v="1163.29"/>
    <n v="-211.34"/>
    <n v="1588.55"/>
    <n v="-698.95"/>
    <n v="0"/>
    <n v="0"/>
    <n v="1098.6600000000001"/>
    <n v="203.25"/>
    <n v="644.47"/>
    <n v="-188.23"/>
    <n v="0"/>
    <n v="3599.7000000000003"/>
    <n v="-188.23"/>
  </r>
  <r>
    <x v="5"/>
    <x v="8"/>
    <x v="0"/>
    <s v="4405104"/>
    <n v="700026"/>
    <s v="Salaries-RN-Other"/>
    <s v="SADU"/>
    <x v="0"/>
    <n v="2000"/>
    <n v="0"/>
    <n v="37.020000000000003"/>
    <n v="-4.76"/>
    <n v="19.86"/>
    <n v="-8.73"/>
    <n v="0"/>
    <n v="0"/>
    <n v="46.39"/>
    <n v="0.89"/>
    <n v="5.51"/>
    <n v="0"/>
    <n v="0"/>
    <n v="96.18"/>
    <n v="0"/>
  </r>
  <r>
    <x v="5"/>
    <x v="8"/>
    <x v="0"/>
    <s v="4405104"/>
    <n v="700032"/>
    <s v="Salaries-Other Pat Care Providers-Productive"/>
    <s v="SADU"/>
    <x v="0"/>
    <m/>
    <n v="0"/>
    <n v="171.76"/>
    <n v="0"/>
    <n v="0"/>
    <n v="0"/>
    <n v="0"/>
    <n v="0"/>
    <n v="0"/>
    <n v="0"/>
    <n v="0"/>
    <n v="0"/>
    <n v="0"/>
    <n v="171.76"/>
    <n v="0"/>
  </r>
  <r>
    <x v="5"/>
    <x v="8"/>
    <x v="0"/>
    <s v="4405104"/>
    <n v="700032"/>
    <s v="Salaries-Other Pat Care Providers-Other"/>
    <s v="SADU"/>
    <x v="0"/>
    <n v="2000"/>
    <n v="0"/>
    <n v="0.75"/>
    <n v="0"/>
    <n v="0"/>
    <n v="0"/>
    <n v="0"/>
    <n v="0"/>
    <n v="0"/>
    <n v="0"/>
    <n v="0"/>
    <n v="0"/>
    <n v="0"/>
    <n v="0.75"/>
    <n v="0"/>
  </r>
  <r>
    <x v="6"/>
    <x v="8"/>
    <x v="0"/>
    <s v="4405104"/>
    <n v="713010"/>
    <s v="Benefits-FICA/Medicare"/>
    <s v="SADU"/>
    <x v="0"/>
    <m/>
    <n v="0"/>
    <n v="101.35"/>
    <n v="-16.14"/>
    <n v="123.03"/>
    <n v="-54.13"/>
    <n v="0"/>
    <n v="0"/>
    <n v="84.32"/>
    <n v="15.16"/>
    <n v="49"/>
    <n v="-14.37"/>
    <n v="0"/>
    <n v="288.22000000000003"/>
    <n v="-14.37"/>
  </r>
  <r>
    <x v="6"/>
    <x v="8"/>
    <x v="0"/>
    <s v="4405104"/>
    <n v="713090"/>
    <s v="Benefits-Allocated Amounts"/>
    <s v="SADU"/>
    <x v="0"/>
    <m/>
    <n v="0"/>
    <n v="248.51"/>
    <n v="-28.27"/>
    <n v="228.07"/>
    <n v="-91.91"/>
    <n v="-1.04"/>
    <n v="-26.31"/>
    <n v="206.83"/>
    <n v="27.49"/>
    <n v="116.52"/>
    <n v="-1.19"/>
    <n v="-14.88"/>
    <n v="663.81999999999994"/>
    <n v="13.690000000000001"/>
  </r>
  <r>
    <x v="7"/>
    <x v="8"/>
    <x v="0"/>
    <s v="4405104"/>
    <n v="718050"/>
    <s v="Contract Svcs-Other"/>
    <s v="SADU"/>
    <x v="0"/>
    <m/>
    <n v="0"/>
    <n v="0"/>
    <n v="0"/>
    <n v="0"/>
    <n v="0"/>
    <n v="0"/>
    <n v="0"/>
    <n v="542.5"/>
    <n v="271.25"/>
    <n v="0"/>
    <n v="0"/>
    <n v="0"/>
    <n v="813.75"/>
    <n v="0"/>
  </r>
  <r>
    <x v="7"/>
    <x v="8"/>
    <x v="0"/>
    <s v="4405104"/>
    <n v="718050"/>
    <s v="Translation Services"/>
    <s v="SADU"/>
    <x v="0"/>
    <n v="1025"/>
    <n v="0"/>
    <n v="0"/>
    <n v="0"/>
    <n v="0"/>
    <n v="0"/>
    <n v="0"/>
    <n v="47.66"/>
    <n v="0"/>
    <n v="107.44"/>
    <n v="0"/>
    <n v="0"/>
    <n v="78.209999999999994"/>
    <n v="233.31"/>
    <n v="-78.209999999999994"/>
  </r>
  <r>
    <x v="7"/>
    <x v="8"/>
    <x v="0"/>
    <s v="4405104"/>
    <n v="718050"/>
    <s v="Contract Management--Linen"/>
    <s v="SADU"/>
    <x v="0"/>
    <n v="1026"/>
    <n v="430.75"/>
    <n v="1257.57"/>
    <n v="695.91"/>
    <n v="1051.72"/>
    <n v="1306.3499999999999"/>
    <n v="1049.22"/>
    <n v="1196.18"/>
    <n v="1140.0999999999999"/>
    <n v="1194.92"/>
    <n v="1064.31"/>
    <n v="1272.7"/>
    <n v="1084.83"/>
    <n v="12744.56"/>
    <n v="187.87000000000012"/>
  </r>
  <r>
    <x v="11"/>
    <x v="8"/>
    <x v="0"/>
    <s v="4405104"/>
    <n v="721010"/>
    <s v="Supplies-Medical - Billable"/>
    <s v="SADU"/>
    <x v="0"/>
    <m/>
    <n v="0"/>
    <n v="0"/>
    <n v="0"/>
    <n v="0"/>
    <n v="0"/>
    <n v="3.07"/>
    <n v="16.010000000000002"/>
    <n v="7.05"/>
    <n v="0"/>
    <n v="0"/>
    <n v="0"/>
    <n v="0"/>
    <n v="26.130000000000003"/>
    <n v="0"/>
  </r>
  <r>
    <x v="11"/>
    <x v="8"/>
    <x v="0"/>
    <s v="4405104"/>
    <n v="721010"/>
    <s v="Patient Monitoring"/>
    <s v="SADU"/>
    <x v="0"/>
    <n v="1000"/>
    <n v="0"/>
    <n v="312.86"/>
    <n v="0"/>
    <n v="0"/>
    <n v="0"/>
    <n v="0"/>
    <n v="0"/>
    <n v="0"/>
    <n v="0"/>
    <n v="0"/>
    <n v="0"/>
    <n v="0"/>
    <n v="312.86"/>
    <n v="0"/>
  </r>
  <r>
    <x v="11"/>
    <x v="8"/>
    <x v="0"/>
    <s v="4405104"/>
    <n v="721020"/>
    <s v="Supplies-Surgical - Billable"/>
    <s v="SADU"/>
    <x v="0"/>
    <m/>
    <n v="0"/>
    <n v="0"/>
    <n v="4.25"/>
    <n v="0"/>
    <n v="8.5"/>
    <n v="0"/>
    <n v="0"/>
    <n v="4.25"/>
    <n v="0"/>
    <n v="0"/>
    <n v="0"/>
    <n v="0"/>
    <n v="17"/>
    <n v="0"/>
  </r>
  <r>
    <x v="11"/>
    <x v="8"/>
    <x v="0"/>
    <s v="4405104"/>
    <n v="721250"/>
    <s v="Supplies-Pharmacy Drugs - Billable"/>
    <s v="SADU"/>
    <x v="0"/>
    <m/>
    <n v="7.56"/>
    <n v="0"/>
    <n v="1.36"/>
    <n v="0"/>
    <n v="27.05"/>
    <n v="0"/>
    <n v="2.27"/>
    <n v="15.4"/>
    <n v="0"/>
    <n v="9.07"/>
    <n v="7.7"/>
    <n v="1.98"/>
    <n v="72.39"/>
    <n v="5.7200000000000006"/>
  </r>
  <r>
    <x v="11"/>
    <x v="8"/>
    <x v="0"/>
    <s v="4405104"/>
    <n v="721410"/>
    <s v="Supplies-Medical - Nonbillable"/>
    <s v="SADU"/>
    <x v="0"/>
    <m/>
    <n v="0"/>
    <n v="74.41"/>
    <n v="0"/>
    <n v="0"/>
    <n v="0"/>
    <n v="33.78"/>
    <n v="709.27"/>
    <n v="0"/>
    <n v="-0.01"/>
    <n v="0"/>
    <n v="0"/>
    <n v="0"/>
    <n v="817.45"/>
    <n v="0"/>
  </r>
  <r>
    <x v="11"/>
    <x v="8"/>
    <x v="0"/>
    <s v="4405104"/>
    <n v="721410"/>
    <s v="Patient Monitoring"/>
    <s v="SADU"/>
    <x v="0"/>
    <n v="1000"/>
    <n v="0"/>
    <n v="0"/>
    <n v="0"/>
    <n v="0"/>
    <n v="0"/>
    <n v="0"/>
    <n v="0"/>
    <n v="-520.79999999999995"/>
    <n v="0"/>
    <n v="0"/>
    <n v="0"/>
    <n v="0"/>
    <n v="-520.79999999999995"/>
    <n v="0"/>
  </r>
  <r>
    <x v="11"/>
    <x v="8"/>
    <x v="0"/>
    <s v="4405104"/>
    <n v="721810"/>
    <s v="Supplies-Dietary/Cafeteria"/>
    <s v="SADU"/>
    <x v="0"/>
    <m/>
    <n v="0"/>
    <n v="0"/>
    <n v="0"/>
    <n v="0"/>
    <n v="13.01"/>
    <n v="0"/>
    <n v="0"/>
    <n v="0"/>
    <n v="0"/>
    <n v="164.07"/>
    <n v="6.79"/>
    <n v="0"/>
    <n v="183.86999999999998"/>
    <n v="6.79"/>
  </r>
  <r>
    <x v="11"/>
    <x v="8"/>
    <x v="0"/>
    <s v="4405104"/>
    <n v="721830"/>
    <s v="Supplies-Office"/>
    <s v="SADU"/>
    <x v="0"/>
    <m/>
    <n v="1010.47"/>
    <n v="407.44"/>
    <n v="97.59"/>
    <n v="696.99"/>
    <n v="383.1"/>
    <n v="591.98"/>
    <n v="282.27"/>
    <n v="655.86"/>
    <n v="288.70999999999998"/>
    <n v="225.2"/>
    <n v="258.89"/>
    <n v="104.37"/>
    <n v="5002.87"/>
    <n v="154.51999999999998"/>
  </r>
  <r>
    <x v="11"/>
    <x v="8"/>
    <x v="0"/>
    <s v="4405104"/>
    <n v="721835"/>
    <s v="Supplies-Forms"/>
    <s v="SADU"/>
    <x v="0"/>
    <m/>
    <n v="0"/>
    <n v="0"/>
    <n v="0"/>
    <n v="0"/>
    <n v="645.4"/>
    <n v="257.45"/>
    <n v="89.5"/>
    <n v="0"/>
    <n v="98.5"/>
    <n v="207.4"/>
    <n v="94"/>
    <n v="277"/>
    <n v="1669.25"/>
    <n v="-183"/>
  </r>
  <r>
    <x v="11"/>
    <x v="8"/>
    <x v="0"/>
    <s v="4405104"/>
    <n v="721910"/>
    <s v="Supplies-Small Equipment"/>
    <s v="SADU"/>
    <x v="0"/>
    <m/>
    <n v="2493.83"/>
    <n v="25.56"/>
    <n v="0"/>
    <n v="0"/>
    <n v="0"/>
    <n v="2140"/>
    <n v="0"/>
    <n v="247"/>
    <n v="0"/>
    <n v="176.42"/>
    <n v="0"/>
    <n v="-6.46"/>
    <n v="5076.3499999999995"/>
    <n v="6.46"/>
  </r>
  <r>
    <x v="11"/>
    <x v="8"/>
    <x v="0"/>
    <s v="4405104"/>
    <n v="721980"/>
    <s v="Supplies-Other"/>
    <s v="SADU"/>
    <x v="0"/>
    <m/>
    <n v="0"/>
    <n v="0"/>
    <n v="0"/>
    <n v="0"/>
    <n v="0"/>
    <n v="0"/>
    <n v="0"/>
    <n v="35.64"/>
    <n v="0"/>
    <n v="2219"/>
    <n v="60"/>
    <n v="0"/>
    <n v="2314.64"/>
    <n v="60"/>
  </r>
  <r>
    <x v="11"/>
    <x v="8"/>
    <x v="0"/>
    <s v="4405104"/>
    <n v="722000"/>
    <s v="Supplies-Freight Expense"/>
    <s v="SADU"/>
    <x v="0"/>
    <m/>
    <n v="0"/>
    <n v="7.93"/>
    <n v="0"/>
    <n v="0"/>
    <n v="0"/>
    <n v="0"/>
    <n v="0"/>
    <n v="8.24"/>
    <n v="10.19"/>
    <n v="40.43"/>
    <n v="0"/>
    <n v="6.46"/>
    <n v="73.249999999999986"/>
    <n v="-6.46"/>
  </r>
  <r>
    <x v="12"/>
    <x v="8"/>
    <x v="0"/>
    <s v="4405104"/>
    <n v="730020"/>
    <s v="Rental and Leases-Copier Usage Fees (DO NOT USE)"/>
    <s v="SADU"/>
    <x v="0"/>
    <n v="5100"/>
    <n v="231.34"/>
    <n v="239.88"/>
    <n v="235.61"/>
    <n v="235.61"/>
    <n v="235.61"/>
    <n v="235.61"/>
    <n v="277.08"/>
    <n v="286.2"/>
    <n v="147.74"/>
    <n v="18.350000000000001"/>
    <n v="148.34"/>
    <n v="161.97999999999999"/>
    <n v="2453.3500000000004"/>
    <n v="-13.639999999999986"/>
  </r>
  <r>
    <x v="0"/>
    <x v="8"/>
    <x v="0"/>
    <s v="4405104"/>
    <n v="740020"/>
    <s v="Education-Registration Fees"/>
    <s v="SADU"/>
    <x v="0"/>
    <m/>
    <n v="350"/>
    <n v="0"/>
    <n v="0"/>
    <n v="0"/>
    <n v="0"/>
    <n v="0"/>
    <n v="0"/>
    <n v="0"/>
    <n v="0"/>
    <n v="175"/>
    <n v="0"/>
    <n v="0"/>
    <n v="525"/>
    <n v="0"/>
  </r>
  <r>
    <x v="18"/>
    <x v="3"/>
    <x v="0"/>
    <s v="4406101"/>
    <n v="400010"/>
    <s v="Acute I/P Svcs Rev--Medicare"/>
    <s v="Walter SADU"/>
    <x v="0"/>
    <n v="1100"/>
    <n v="-117890.25"/>
    <n v="-139505.42000000001"/>
    <n v="-136344.68"/>
    <n v="-216451.12"/>
    <n v="-172412.38"/>
    <n v="-210213.02"/>
    <n v="-161563.26999999999"/>
    <n v="-173190.29"/>
    <n v="-159938.70000000001"/>
    <n v="-204446.8"/>
    <n v="-198908.89"/>
    <n v="-164760.51999999999"/>
    <n v="-2055625.3399999999"/>
    <n v="-34148.370000000024"/>
  </r>
  <r>
    <x v="18"/>
    <x v="3"/>
    <x v="0"/>
    <s v="4406101"/>
    <n v="400010"/>
    <s v="Acute I/P Svcs Rev--Medicaid"/>
    <s v="Walter SADU"/>
    <x v="0"/>
    <n v="1200"/>
    <n v="-54902.45"/>
    <n v="-17254.560000000001"/>
    <n v="-57775.71"/>
    <n v="-38269.699999999997"/>
    <n v="-54582.02"/>
    <n v="-46650.74"/>
    <n v="-49158.9"/>
    <n v="-53429.08"/>
    <n v="-39297.919999999998"/>
    <n v="-32263.91"/>
    <n v="-44800.29"/>
    <n v="-86499.53"/>
    <n v="-574884.80999999994"/>
    <n v="41699.24"/>
  </r>
  <r>
    <x v="18"/>
    <x v="3"/>
    <x v="0"/>
    <s v="4406101"/>
    <n v="400010"/>
    <s v="Acute I/P Svcs Rev--Comm Insurance"/>
    <s v="Walter SADU"/>
    <x v="0"/>
    <n v="1300"/>
    <n v="2917"/>
    <n v="-9738.9"/>
    <n v="1213.8"/>
    <n v="-9710.4"/>
    <n v="-4248.3"/>
    <n v="0"/>
    <n v="0"/>
    <n v="-16951.54"/>
    <n v="0"/>
    <n v="-19561.45"/>
    <n v="-15686.65"/>
    <n v="-1966.38"/>
    <n v="-73732.819999999992"/>
    <n v="-13720.27"/>
  </r>
  <r>
    <x v="18"/>
    <x v="3"/>
    <x v="0"/>
    <s v="4406101"/>
    <n v="400010"/>
    <s v="Acute I/P Svcs Rev--BCBS Comm"/>
    <s v="Walter SADU"/>
    <x v="0"/>
    <n v="1301"/>
    <n v="-9537"/>
    <n v="-40905.79"/>
    <n v="-11240.81"/>
    <n v="-21666.94"/>
    <n v="-9676.91"/>
    <n v="-16386.3"/>
    <n v="0"/>
    <n v="-8053.59"/>
    <n v="-5823.76"/>
    <n v="-24016.799999999999"/>
    <n v="-33994.800000000003"/>
    <n v="-19378.41"/>
    <n v="-200681.11000000002"/>
    <n v="-14616.390000000003"/>
  </r>
  <r>
    <x v="18"/>
    <x v="3"/>
    <x v="0"/>
    <s v="4406101"/>
    <n v="400010"/>
    <s v="Acute I/P Svcs Rev--Managed Care"/>
    <s v="Walter SADU"/>
    <x v="0"/>
    <n v="1400"/>
    <n v="-77607.41"/>
    <n v="-96729.77"/>
    <n v="-53507.38"/>
    <n v="-52193.4"/>
    <n v="-81786.429999999993"/>
    <n v="-98180.73"/>
    <n v="-59716.959999999999"/>
    <n v="-51044.07"/>
    <n v="-98829.5"/>
    <n v="-50355.88"/>
    <n v="-71291.23"/>
    <n v="-129298.16"/>
    <n v="-920540.92"/>
    <n v="58006.930000000008"/>
  </r>
  <r>
    <x v="18"/>
    <x v="3"/>
    <x v="0"/>
    <s v="4406101"/>
    <n v="400010"/>
    <s v="Acute I/P Svcs Rev--Self Pay"/>
    <s v="Walter SADU"/>
    <x v="0"/>
    <n v="1500"/>
    <n v="3468"/>
    <n v="0"/>
    <n v="-1820.7"/>
    <n v="-8496.6"/>
    <n v="6675.9"/>
    <n v="-11139.19"/>
    <n v="0"/>
    <n v="0"/>
    <n v="-3514.9"/>
    <n v="-7501.32"/>
    <n v="-3155"/>
    <n v="-8722.09"/>
    <n v="-34205.899999999994"/>
    <n v="5567.09"/>
  </r>
  <r>
    <x v="18"/>
    <x v="3"/>
    <x v="0"/>
    <s v="4406101"/>
    <n v="400010"/>
    <s v="Acute I/P Svcs Rev--Other"/>
    <s v="Walter SADU"/>
    <x v="0"/>
    <n v="1700"/>
    <n v="-4855.2"/>
    <n v="-6069"/>
    <n v="0"/>
    <n v="-32655.32"/>
    <n v="0"/>
    <n v="-21241.5"/>
    <n v="-7889.7"/>
    <n v="-17229.53"/>
    <n v="-32466.1"/>
    <n v="0"/>
    <n v="0"/>
    <n v="-21363.41"/>
    <n v="-143769.76"/>
    <n v="21363.41"/>
  </r>
  <r>
    <x v="19"/>
    <x v="3"/>
    <x v="0"/>
    <s v="4406101"/>
    <n v="400020"/>
    <s v="O/P Care Svcs Rev--Medicare"/>
    <s v="Walter SADU"/>
    <x v="0"/>
    <n v="1100"/>
    <n v="-542432.31999999995"/>
    <n v="-693136.41"/>
    <n v="-592513.64"/>
    <n v="-797450.57"/>
    <n v="-659195.81999999995"/>
    <n v="-563780.06000000006"/>
    <n v="-882213.97"/>
    <n v="-546719.87"/>
    <n v="-864264.55"/>
    <n v="-865289.4"/>
    <n v="-737529.07"/>
    <n v="-701941.17"/>
    <n v="-8446466.8500000015"/>
    <n v="-35587.899999999907"/>
  </r>
  <r>
    <x v="19"/>
    <x v="3"/>
    <x v="0"/>
    <s v="4406101"/>
    <n v="400020"/>
    <s v="O/P Care Svcs Rev--Medicaid"/>
    <s v="Walter SADU"/>
    <x v="0"/>
    <n v="1200"/>
    <n v="-626221.43999999994"/>
    <n v="-508095.14"/>
    <n v="-485657.46"/>
    <n v="-659354"/>
    <n v="-542117.48"/>
    <n v="-507841.35"/>
    <n v="-696185.82"/>
    <n v="-437253.79"/>
    <n v="-724082.13"/>
    <n v="-660238.75"/>
    <n v="-584181.99"/>
    <n v="-567172.17000000004"/>
    <n v="-6998401.5199999996"/>
    <n v="-17009.819999999949"/>
  </r>
  <r>
    <x v="19"/>
    <x v="3"/>
    <x v="0"/>
    <s v="4406101"/>
    <n v="400020"/>
    <s v="O/P Care Svcs Rev--Comm Insurance"/>
    <s v="Walter SADU"/>
    <x v="0"/>
    <n v="1300"/>
    <n v="-108663.31"/>
    <n v="-67547.179999999993"/>
    <n v="-115047.53"/>
    <n v="-143443.26999999999"/>
    <n v="-145148.79999999999"/>
    <n v="-106370.62"/>
    <n v="-101147.92"/>
    <n v="-131625.51999999999"/>
    <n v="-143260.65"/>
    <n v="-112376.54"/>
    <n v="-25433.48"/>
    <n v="-118325.86"/>
    <n v="-1318390.6800000002"/>
    <n v="92892.38"/>
  </r>
  <r>
    <x v="19"/>
    <x v="3"/>
    <x v="0"/>
    <s v="4406101"/>
    <n v="400020"/>
    <s v="O/P Care Svcs Rev--BCBS Comm"/>
    <s v="Walter SADU"/>
    <x v="0"/>
    <n v="1301"/>
    <n v="-210971.13"/>
    <n v="-298365.07"/>
    <n v="-235238.81"/>
    <n v="-225593.84"/>
    <n v="-309293.44"/>
    <n v="-284530.71000000002"/>
    <n v="-189171.58"/>
    <n v="-221837.18"/>
    <n v="-274310.5"/>
    <n v="-295502.27"/>
    <n v="-290610.27"/>
    <n v="-254318.89"/>
    <n v="-3089743.69"/>
    <n v="-36291.380000000005"/>
  </r>
  <r>
    <x v="19"/>
    <x v="3"/>
    <x v="0"/>
    <s v="4406101"/>
    <n v="400020"/>
    <s v="O/P Care Svcs Rev--Managed Care"/>
    <s v="Walter SADU"/>
    <x v="0"/>
    <n v="1400"/>
    <n v="-801493.96"/>
    <n v="-860582.71"/>
    <n v="-847478.16"/>
    <n v="-859109.85"/>
    <n v="-825565.67"/>
    <n v="-986930.68"/>
    <n v="-1013826.89"/>
    <n v="-798635.84"/>
    <n v="-904737.86"/>
    <n v="-872513.68"/>
    <n v="-917902.76"/>
    <n v="-857637.2"/>
    <n v="-10546415.26"/>
    <n v="-60265.560000000056"/>
  </r>
  <r>
    <x v="19"/>
    <x v="3"/>
    <x v="0"/>
    <s v="4406101"/>
    <n v="400020"/>
    <s v="O/P Care Svcs Rev--Self Pay"/>
    <s v="Walter SADU"/>
    <x v="0"/>
    <n v="1500"/>
    <n v="-35674.86"/>
    <n v="-48146.82"/>
    <n v="-47907.3"/>
    <n v="-21187.759999999998"/>
    <n v="-44098.89"/>
    <n v="-39706.99"/>
    <n v="-40962.839999999997"/>
    <n v="-70971.62"/>
    <n v="-27502.04"/>
    <n v="-48471.839999999997"/>
    <n v="-67986.009999999995"/>
    <n v="-75905.55"/>
    <n v="-568522.52"/>
    <n v="7919.5400000000081"/>
  </r>
  <r>
    <x v="19"/>
    <x v="3"/>
    <x v="0"/>
    <s v="4406101"/>
    <n v="400020"/>
    <s v="O/P Care Svcs Rev--Other"/>
    <s v="Walter SADU"/>
    <x v="0"/>
    <n v="1700"/>
    <n v="-95082.7"/>
    <n v="-142514.16"/>
    <n v="-156819.46"/>
    <n v="-187973.39"/>
    <n v="-131020.58"/>
    <n v="-116672.92"/>
    <n v="-112899.33"/>
    <n v="-151469.07"/>
    <n v="-190550"/>
    <n v="-130801.54"/>
    <n v="-206022.1"/>
    <n v="-178572.81"/>
    <n v="-1800398.06"/>
    <n v="-27449.290000000008"/>
  </r>
  <r>
    <x v="5"/>
    <x v="3"/>
    <x v="0"/>
    <s v="4406101"/>
    <n v="700014"/>
    <s v="Salaries-Management-Productive"/>
    <s v="Walter SADU"/>
    <x v="0"/>
    <m/>
    <n v="7622.72"/>
    <n v="9207.01"/>
    <n v="8646.15"/>
    <n v="12526.01"/>
    <n v="9142.2999999999993"/>
    <n v="7926.14"/>
    <n v="9020.7900000000009"/>
    <n v="8418.74"/>
    <n v="8899.86"/>
    <n v="9019.84"/>
    <n v="9320.81"/>
    <n v="8599.32"/>
    <n v="108349.69"/>
    <n v="721.48999999999978"/>
  </r>
  <r>
    <x v="5"/>
    <x v="3"/>
    <x v="0"/>
    <s v="4406101"/>
    <n v="700026"/>
    <s v="Salaries-RN-Productive"/>
    <s v="Walter SADU"/>
    <x v="0"/>
    <m/>
    <n v="169418.1"/>
    <n v="172849.65"/>
    <n v="180874.06"/>
    <n v="221455.79"/>
    <n v="209796.38"/>
    <n v="172326.6"/>
    <n v="200827.68"/>
    <n v="164370.45000000001"/>
    <n v="215297.96"/>
    <n v="189599.12"/>
    <n v="211671.33"/>
    <n v="189839.6"/>
    <n v="2298326.7200000002"/>
    <n v="21831.729999999981"/>
  </r>
  <r>
    <x v="5"/>
    <x v="3"/>
    <x v="0"/>
    <s v="4406101"/>
    <n v="700026"/>
    <s v="Salaries-RN-OT"/>
    <s v="Walter SADU"/>
    <x v="0"/>
    <n v="1000"/>
    <n v="5579.74"/>
    <n v="9087.11"/>
    <n v="9263.2900000000009"/>
    <n v="9792.27"/>
    <n v="5118.26"/>
    <n v="9950.4500000000007"/>
    <n v="7786.26"/>
    <n v="7100.89"/>
    <n v="12332.74"/>
    <n v="7868.85"/>
    <n v="5877.74"/>
    <n v="14873.93"/>
    <n v="104631.53000000003"/>
    <n v="-8996.19"/>
  </r>
  <r>
    <x v="5"/>
    <x v="3"/>
    <x v="0"/>
    <s v="4406101"/>
    <n v="700026"/>
    <s v="Salaries-RN-Other"/>
    <s v="Walter SADU"/>
    <x v="0"/>
    <n v="2000"/>
    <n v="7088.31"/>
    <n v="7521.06"/>
    <n v="8782.09"/>
    <n v="9866.5"/>
    <n v="9179.42"/>
    <n v="6892.94"/>
    <n v="8857.07"/>
    <n v="7642.71"/>
    <n v="9733.6"/>
    <n v="8796.74"/>
    <n v="8911.2999999999993"/>
    <n v="8022.45"/>
    <n v="101294.19000000002"/>
    <n v="888.84999999999945"/>
  </r>
  <r>
    <x v="5"/>
    <x v="3"/>
    <x v="0"/>
    <s v="4406101"/>
    <n v="700032"/>
    <s v="Salaries-Other Pat Care Providers-Productive"/>
    <s v="Walter SADU"/>
    <x v="0"/>
    <m/>
    <n v="24466.13"/>
    <n v="26184.36"/>
    <n v="30888.639999999999"/>
    <n v="32714.400000000001"/>
    <n v="31489.42"/>
    <n v="24256.5"/>
    <n v="28652.720000000001"/>
    <n v="22429.119999999999"/>
    <n v="31125.95"/>
    <n v="29147.87"/>
    <n v="28738.19"/>
    <n v="27140.92"/>
    <n v="337234.22000000003"/>
    <n v="1597.2700000000004"/>
  </r>
  <r>
    <x v="5"/>
    <x v="3"/>
    <x v="0"/>
    <s v="4406101"/>
    <n v="700032"/>
    <s v="Salaries-Other Pat Care Providers-OT"/>
    <s v="Walter SADU"/>
    <x v="0"/>
    <n v="1000"/>
    <n v="1230.5899999999999"/>
    <n v="487.78"/>
    <n v="1337.74"/>
    <n v="-157.26"/>
    <n v="573.03"/>
    <n v="731.66"/>
    <n v="1056.1199999999999"/>
    <n v="1053.25"/>
    <n v="990.81"/>
    <n v="583.32000000000005"/>
    <n v="1419.39"/>
    <n v="2492.79"/>
    <n v="11799.219999999998"/>
    <n v="-1073.3999999999999"/>
  </r>
  <r>
    <x v="5"/>
    <x v="3"/>
    <x v="0"/>
    <s v="4406101"/>
    <n v="700032"/>
    <s v="Salaries-Other Pat Care Providers-Other"/>
    <s v="Walter SADU"/>
    <x v="0"/>
    <n v="2000"/>
    <n v="781.23"/>
    <n v="750.65"/>
    <n v="1011.08"/>
    <n v="905.3"/>
    <n v="900.98"/>
    <n v="766.78"/>
    <n v="790.37"/>
    <n v="741.14"/>
    <n v="1021.91"/>
    <n v="725.47"/>
    <n v="732.63"/>
    <n v="880.5"/>
    <n v="10008.039999999999"/>
    <n v="-147.87"/>
  </r>
  <r>
    <x v="5"/>
    <x v="3"/>
    <x v="0"/>
    <s v="4406101"/>
    <n v="700034"/>
    <s v="Salaries-Tech/Professional-Productive"/>
    <s v="Walter SADU"/>
    <x v="0"/>
    <m/>
    <n v="0"/>
    <n v="0"/>
    <n v="0"/>
    <n v="310.45"/>
    <n v="93.47"/>
    <n v="186.08"/>
    <n v="186.35"/>
    <n v="0"/>
    <n v="0"/>
    <n v="0"/>
    <n v="0"/>
    <n v="0"/>
    <n v="776.35"/>
    <n v="0"/>
  </r>
  <r>
    <x v="5"/>
    <x v="3"/>
    <x v="0"/>
    <s v="4406101"/>
    <n v="700034"/>
    <s v="Salaries-Tech/Professional-Other"/>
    <s v="Walter SADU"/>
    <x v="0"/>
    <n v="2000"/>
    <n v="0"/>
    <n v="0"/>
    <n v="0"/>
    <n v="31.03"/>
    <n v="0"/>
    <n v="0"/>
    <n v="0"/>
    <n v="0"/>
    <n v="0"/>
    <n v="0"/>
    <n v="0"/>
    <n v="0"/>
    <n v="31.03"/>
    <n v="0"/>
  </r>
  <r>
    <x v="5"/>
    <x v="3"/>
    <x v="0"/>
    <s v="4406101"/>
    <n v="700038"/>
    <s v="Salaries-Service/Support-Productive"/>
    <s v="Walter SADU"/>
    <x v="0"/>
    <m/>
    <n v="3714.31"/>
    <n v="4233.1899999999996"/>
    <n v="3943.37"/>
    <n v="3732.39"/>
    <n v="4366.3"/>
    <n v="3840.84"/>
    <n v="4079.33"/>
    <n v="3181.19"/>
    <n v="4614.37"/>
    <n v="4173.6400000000003"/>
    <n v="4565.45"/>
    <n v="4169.6400000000003"/>
    <n v="48614.01999999999"/>
    <n v="395.80999999999949"/>
  </r>
  <r>
    <x v="5"/>
    <x v="3"/>
    <x v="0"/>
    <s v="4406101"/>
    <n v="700038"/>
    <s v="Salaries-Service/Support-OT"/>
    <s v="Walter SADU"/>
    <x v="0"/>
    <n v="1000"/>
    <n v="93.52"/>
    <n v="279.75"/>
    <n v="637.37"/>
    <n v="-240.37"/>
    <n v="11.86"/>
    <n v="-5.71"/>
    <n v="0"/>
    <n v="0"/>
    <n v="0"/>
    <n v="0"/>
    <n v="110.81"/>
    <n v="0"/>
    <n v="887.23"/>
    <n v="110.81"/>
  </r>
  <r>
    <x v="5"/>
    <x v="3"/>
    <x v="0"/>
    <s v="4406101"/>
    <n v="700038"/>
    <s v="Salaries-Service/Support-Other"/>
    <s v="Walter SADU"/>
    <x v="0"/>
    <n v="2000"/>
    <n v="0"/>
    <n v="0"/>
    <n v="30"/>
    <n v="0"/>
    <n v="0"/>
    <n v="0"/>
    <n v="0"/>
    <n v="0"/>
    <n v="0"/>
    <n v="0"/>
    <n v="0"/>
    <n v="0"/>
    <n v="30"/>
    <n v="0"/>
  </r>
  <r>
    <x v="5"/>
    <x v="3"/>
    <x v="0"/>
    <s v="4406101"/>
    <n v="700054"/>
    <s v="Salaries-Management-Non-productive"/>
    <s v="Walter SADU"/>
    <x v="0"/>
    <m/>
    <n v="2606.88"/>
    <n v="1023.05"/>
    <n v="1254.05"/>
    <n v="5436.85"/>
    <n v="-1491.95"/>
    <n v="1381"/>
    <n v="300.89999999999998"/>
    <n v="0"/>
    <n v="420.94"/>
    <n v="0"/>
    <n v="0"/>
    <n v="420.94"/>
    <n v="11352.660000000002"/>
    <n v="-420.94"/>
  </r>
  <r>
    <x v="5"/>
    <x v="3"/>
    <x v="0"/>
    <s v="4406101"/>
    <n v="700054"/>
    <s v="Salaries-Management-NonProd-Other"/>
    <s v="Walter SADU"/>
    <x v="0"/>
    <n v="2000"/>
    <n v="0"/>
    <n v="0"/>
    <n v="0"/>
    <n v="0"/>
    <n v="0"/>
    <n v="9369.2999999999993"/>
    <n v="-9369.2999999999993"/>
    <n v="0"/>
    <n v="0"/>
    <n v="0"/>
    <n v="0"/>
    <n v="0"/>
    <n v="0"/>
    <n v="0"/>
  </r>
  <r>
    <x v="5"/>
    <x v="3"/>
    <x v="0"/>
    <s v="4406101"/>
    <n v="700066"/>
    <s v="Salaries-RN-Non-productive"/>
    <s v="Walter SADU"/>
    <x v="0"/>
    <m/>
    <n v="26852.47"/>
    <n v="26424.51"/>
    <n v="27388.6"/>
    <n v="13604.65"/>
    <n v="28233.45"/>
    <n v="43595.23"/>
    <n v="19453.009999999998"/>
    <n v="31027.15"/>
    <n v="16142.25"/>
    <n v="32724.22"/>
    <n v="32449.4"/>
    <n v="31373.96"/>
    <n v="329268.90000000002"/>
    <n v="1075.4400000000023"/>
  </r>
  <r>
    <x v="5"/>
    <x v="3"/>
    <x v="0"/>
    <s v="4406101"/>
    <n v="700066"/>
    <s v="Salaries-RN-NonProd-Other"/>
    <s v="Walter SADU"/>
    <x v="0"/>
    <n v="2000"/>
    <n v="1847.02"/>
    <n v="2208.87"/>
    <n v="2827.86"/>
    <n v="1611.95"/>
    <n v="4565.7299999999996"/>
    <n v="6185.37"/>
    <n v="1709.88"/>
    <n v="-4648.95"/>
    <n v="2547.9299999999998"/>
    <n v="1938.22"/>
    <n v="1734.03"/>
    <n v="2654.14"/>
    <n v="25182.05"/>
    <n v="-920.1099999999999"/>
  </r>
  <r>
    <x v="5"/>
    <x v="3"/>
    <x v="0"/>
    <s v="4406101"/>
    <n v="700072"/>
    <s v="Salaries-Other Pat Care Providers-Non-productive"/>
    <s v="Walter SADU"/>
    <x v="0"/>
    <m/>
    <n v="7460.59"/>
    <n v="5159.8599999999997"/>
    <n v="4241.21"/>
    <n v="3801.72"/>
    <n v="1976.08"/>
    <n v="7131.25"/>
    <n v="5862.85"/>
    <n v="6670.66"/>
    <n v="5951.92"/>
    <n v="672.39"/>
    <n v="4140.96"/>
    <n v="4322.63"/>
    <n v="57392.119999999995"/>
    <n v="-181.67000000000007"/>
  </r>
  <r>
    <x v="5"/>
    <x v="3"/>
    <x v="0"/>
    <s v="4406101"/>
    <n v="700072"/>
    <s v="Salaries-Other Pat Care Providers-NonProd-Other"/>
    <s v="Walter SADU"/>
    <x v="0"/>
    <n v="2000"/>
    <n v="238.74"/>
    <n v="187.14"/>
    <n v="216.75"/>
    <n v="181.34"/>
    <n v="1591.34"/>
    <n v="2534.2800000000002"/>
    <n v="229.09"/>
    <n v="-3604.33"/>
    <n v="267.99"/>
    <n v="192.91"/>
    <n v="76.91"/>
    <n v="203.45"/>
    <n v="2315.61"/>
    <n v="-126.53999999999999"/>
  </r>
  <r>
    <x v="5"/>
    <x v="3"/>
    <x v="0"/>
    <s v="4406101"/>
    <n v="700078"/>
    <s v="Salaries-Service/Support-Non-productive"/>
    <s v="Walter SADU"/>
    <x v="0"/>
    <m/>
    <n v="830.11"/>
    <n v="160.04"/>
    <n v="1116.55"/>
    <n v="594.67999999999995"/>
    <n v="46.82"/>
    <n v="513.22"/>
    <n v="318.25"/>
    <n v="864.12"/>
    <n v="-28.11"/>
    <n v="335.09"/>
    <n v="-64.17"/>
    <n v="302.04000000000002"/>
    <n v="4988.6400000000003"/>
    <n v="-366.21000000000004"/>
  </r>
  <r>
    <x v="5"/>
    <x v="3"/>
    <x v="0"/>
    <s v="4406101"/>
    <n v="700078"/>
    <s v="Salaries-Service/Support-NonProd-Other"/>
    <s v="Walter SADU"/>
    <x v="0"/>
    <n v="2000"/>
    <n v="20.84"/>
    <n v="4.8600000000000003"/>
    <n v="31.99"/>
    <n v="0"/>
    <n v="7.9"/>
    <n v="8.01"/>
    <n v="-0.53"/>
    <n v="0"/>
    <n v="0"/>
    <n v="0"/>
    <n v="0"/>
    <n v="0"/>
    <n v="73.070000000000007"/>
    <n v="0"/>
  </r>
  <r>
    <x v="5"/>
    <x v="3"/>
    <x v="0"/>
    <s v="4406101"/>
    <n v="700084"/>
    <s v="Accrued PTO"/>
    <s v="Walter SADU"/>
    <x v="0"/>
    <m/>
    <n v="-2471.0500000000002"/>
    <n v="2030.01"/>
    <n v="2181.61"/>
    <n v="13902.79"/>
    <n v="8428.2900000000009"/>
    <n v="-4971.4399999999996"/>
    <n v="9193.84"/>
    <n v="4434.2299999999996"/>
    <n v="14524.39"/>
    <n v="6322.43"/>
    <n v="8345.02"/>
    <n v="15987.3"/>
    <n v="77907.42"/>
    <n v="-7642.2799999999988"/>
  </r>
  <r>
    <x v="10"/>
    <x v="3"/>
    <x v="0"/>
    <s v="4406101"/>
    <n v="710060"/>
    <s v="Contract Labor-Other"/>
    <s v="Walter SADU"/>
    <x v="0"/>
    <m/>
    <n v="0"/>
    <n v="0"/>
    <n v="0"/>
    <n v="0"/>
    <n v="0"/>
    <n v="0"/>
    <n v="0"/>
    <n v="0"/>
    <n v="0"/>
    <n v="0"/>
    <n v="5325"/>
    <n v="2449.5"/>
    <n v="7774.5"/>
    <n v="2875.5"/>
  </r>
  <r>
    <x v="10"/>
    <x v="3"/>
    <x v="0"/>
    <s v="4406101"/>
    <n v="710060"/>
    <s v="Contract Labor-Overtime"/>
    <s v="Walter SADU"/>
    <x v="0"/>
    <n v="5100"/>
    <n v="0"/>
    <n v="0"/>
    <n v="0"/>
    <n v="0"/>
    <n v="0"/>
    <n v="0"/>
    <n v="0"/>
    <n v="0"/>
    <n v="0"/>
    <n v="0"/>
    <n v="0"/>
    <n v="95.85"/>
    <n v="95.85"/>
    <n v="-95.85"/>
  </r>
  <r>
    <x v="6"/>
    <x v="3"/>
    <x v="0"/>
    <s v="4406101"/>
    <n v="713010"/>
    <s v="Benefits-FICA/Medicare"/>
    <s v="Walter SADU"/>
    <x v="0"/>
    <m/>
    <n v="20108.61"/>
    <n v="19505.16"/>
    <n v="20769.77"/>
    <n v="23418.99"/>
    <n v="23615.21"/>
    <n v="21763.84"/>
    <n v="22024.240000000002"/>
    <n v="19727.88"/>
    <n v="23303.97"/>
    <n v="20478.07"/>
    <n v="22828.28"/>
    <n v="21993.49"/>
    <n v="259537.51"/>
    <n v="834.78999999999724"/>
  </r>
  <r>
    <x v="6"/>
    <x v="3"/>
    <x v="0"/>
    <s v="4406101"/>
    <n v="713090"/>
    <s v="Benefits-Allocated Amounts"/>
    <s v="Walter SADU"/>
    <x v="0"/>
    <m/>
    <n v="53238.77"/>
    <n v="49849.38"/>
    <n v="58503.24"/>
    <n v="63505.85"/>
    <n v="61817.05"/>
    <n v="56298.76"/>
    <n v="62185.72"/>
    <n v="56827.9"/>
    <n v="53377.279999999999"/>
    <n v="60024.13"/>
    <n v="67118.23"/>
    <n v="63124.79"/>
    <n v="705871.10000000009"/>
    <n v="3993.4399999999951"/>
  </r>
  <r>
    <x v="6"/>
    <x v="3"/>
    <x v="0"/>
    <s v="4406101"/>
    <n v="713096"/>
    <s v="Employee Recognition"/>
    <s v="Walter SADU"/>
    <x v="0"/>
    <n v="1017"/>
    <n v="0"/>
    <n v="0"/>
    <n v="0"/>
    <n v="0"/>
    <n v="0"/>
    <n v="0"/>
    <n v="0"/>
    <n v="0"/>
    <n v="0"/>
    <n v="0"/>
    <n v="0"/>
    <n v="165.3"/>
    <n v="165.3"/>
    <n v="-165.3"/>
  </r>
  <r>
    <x v="7"/>
    <x v="3"/>
    <x v="0"/>
    <s v="4406101"/>
    <n v="718050"/>
    <s v="Contract Svcs-Other"/>
    <s v="Walter SADU"/>
    <x v="0"/>
    <m/>
    <n v="0"/>
    <n v="0"/>
    <n v="533.71"/>
    <n v="0"/>
    <n v="0"/>
    <n v="0"/>
    <n v="0"/>
    <n v="0"/>
    <n v="0"/>
    <n v="0"/>
    <n v="0"/>
    <n v="0"/>
    <n v="533.71"/>
    <n v="0"/>
  </r>
  <r>
    <x v="7"/>
    <x v="3"/>
    <x v="0"/>
    <s v="4406101"/>
    <n v="718050"/>
    <s v="Document Shredding/Storage"/>
    <s v="Walter SADU"/>
    <x v="0"/>
    <n v="1012"/>
    <n v="1.27"/>
    <n v="1.33"/>
    <n v="1.21"/>
    <n v="1.25"/>
    <n v="1.29"/>
    <n v="1.29"/>
    <n v="1.27"/>
    <n v="0.88"/>
    <n v="1.06"/>
    <n v="1.43"/>
    <n v="1.18"/>
    <n v="1.22"/>
    <n v="14.680000000000001"/>
    <n v="-4.0000000000000036E-2"/>
  </r>
  <r>
    <x v="7"/>
    <x v="3"/>
    <x v="0"/>
    <s v="4406101"/>
    <n v="718050"/>
    <s v="Miscellaneous Purchased Svcs"/>
    <s v="Walter SADU"/>
    <x v="0"/>
    <n v="1020"/>
    <n v="0"/>
    <n v="0"/>
    <n v="28.79"/>
    <n v="0"/>
    <n v="0"/>
    <n v="0"/>
    <n v="0"/>
    <n v="0"/>
    <n v="0"/>
    <n v="0"/>
    <n v="28.5"/>
    <n v="0"/>
    <n v="57.29"/>
    <n v="28.5"/>
  </r>
  <r>
    <x v="7"/>
    <x v="3"/>
    <x v="0"/>
    <s v="4406101"/>
    <n v="718050"/>
    <s v="Translation Services"/>
    <s v="Walter SADU"/>
    <x v="0"/>
    <n v="1025"/>
    <n v="0"/>
    <n v="347.49"/>
    <n v="170.1"/>
    <n v="261.49"/>
    <n v="0"/>
    <n v="0"/>
    <n v="156.62"/>
    <n v="0"/>
    <n v="10.27"/>
    <n v="0"/>
    <n v="28.44"/>
    <n v="236.21"/>
    <n v="1210.6200000000001"/>
    <n v="-207.77"/>
  </r>
  <r>
    <x v="7"/>
    <x v="3"/>
    <x v="0"/>
    <s v="4406101"/>
    <n v="718050"/>
    <s v="Contract Management--Linen"/>
    <s v="Walter SADU"/>
    <x v="0"/>
    <n v="1026"/>
    <n v="1582.36"/>
    <n v="1774.93"/>
    <n v="1743.67"/>
    <n v="1239.3699999999999"/>
    <n v="1569.89"/>
    <n v="1455.47"/>
    <n v="1650.24"/>
    <n v="1430.22"/>
    <n v="1539.61"/>
    <n v="1898.49"/>
    <n v="1778.56"/>
    <n v="1827.11"/>
    <n v="19489.920000000002"/>
    <n v="-48.549999999999955"/>
  </r>
  <r>
    <x v="11"/>
    <x v="3"/>
    <x v="0"/>
    <s v="4406101"/>
    <n v="721010"/>
    <s v="Supplies-Medical - Billable"/>
    <s v="Walter SADU"/>
    <x v="0"/>
    <m/>
    <n v="6257.98"/>
    <n v="7833.79"/>
    <n v="6806.95"/>
    <n v="9008.77"/>
    <n v="8086.62"/>
    <n v="7873.31"/>
    <n v="8227.2999999999993"/>
    <n v="7015.59"/>
    <n v="8766.1"/>
    <n v="7956.94"/>
    <n v="7976.01"/>
    <n v="6998.95"/>
    <n v="92808.31"/>
    <n v="977.0600000000004"/>
  </r>
  <r>
    <x v="11"/>
    <x v="3"/>
    <x v="0"/>
    <s v="4406101"/>
    <n v="721010"/>
    <s v="Patient Monitoring"/>
    <s v="Walter SADU"/>
    <x v="0"/>
    <n v="1000"/>
    <n v="43.89"/>
    <n v="37.450000000000003"/>
    <n v="19.82"/>
    <n v="87.45"/>
    <n v="37.450000000000003"/>
    <n v="118.41"/>
    <n v="28.65"/>
    <n v="38.99"/>
    <n v="221.67"/>
    <n v="96.38"/>
    <n v="116.84"/>
    <n v="33.04"/>
    <n v="880.04"/>
    <n v="83.800000000000011"/>
  </r>
  <r>
    <x v="11"/>
    <x v="3"/>
    <x v="0"/>
    <s v="4406101"/>
    <n v="721020"/>
    <s v="Supplies-Surgical - Billable"/>
    <s v="Walter SADU"/>
    <x v="0"/>
    <m/>
    <n v="90.68"/>
    <n v="369.05"/>
    <n v="167.2"/>
    <n v="95.73"/>
    <n v="119.83"/>
    <n v="153.52000000000001"/>
    <n v="144.5"/>
    <n v="76.5"/>
    <n v="158"/>
    <n v="144.52000000000001"/>
    <n v="150.72"/>
    <n v="179.16"/>
    <n v="1849.4100000000003"/>
    <n v="-28.439999999999998"/>
  </r>
  <r>
    <x v="11"/>
    <x v="3"/>
    <x v="0"/>
    <s v="4406101"/>
    <n v="721020"/>
    <s v="Custom Packs"/>
    <s v="Walter SADU"/>
    <x v="0"/>
    <n v="1000"/>
    <n v="0"/>
    <n v="0"/>
    <n v="0"/>
    <n v="13.24"/>
    <n v="66.2"/>
    <n v="52.96"/>
    <n v="79.44"/>
    <n v="0"/>
    <n v="26.48"/>
    <n v="0"/>
    <n v="0"/>
    <n v="0"/>
    <n v="238.32"/>
    <n v="0"/>
  </r>
  <r>
    <x v="11"/>
    <x v="3"/>
    <x v="0"/>
    <s v="4406101"/>
    <n v="721020"/>
    <s v="Suture/Wound Closure"/>
    <s v="Walter SADU"/>
    <x v="0"/>
    <n v="1001"/>
    <n v="0"/>
    <n v="0"/>
    <n v="0"/>
    <n v="0"/>
    <n v="0"/>
    <n v="3.9"/>
    <n v="0"/>
    <n v="0"/>
    <n v="3.9"/>
    <n v="1.19"/>
    <n v="0"/>
    <n v="8.27"/>
    <n v="17.259999999999998"/>
    <n v="-8.27"/>
  </r>
  <r>
    <x v="11"/>
    <x v="3"/>
    <x v="0"/>
    <s v="4406101"/>
    <n v="721020"/>
    <s v="Tubes Drains &amp; Related Supplies"/>
    <s v="Walter SADU"/>
    <x v="0"/>
    <n v="1008"/>
    <n v="0"/>
    <n v="0"/>
    <n v="0"/>
    <n v="0"/>
    <n v="0"/>
    <n v="7.73"/>
    <n v="0"/>
    <n v="11.6"/>
    <n v="0"/>
    <n v="0"/>
    <n v="0"/>
    <n v="110.2"/>
    <n v="129.53"/>
    <n v="-110.2"/>
  </r>
  <r>
    <x v="11"/>
    <x v="3"/>
    <x v="0"/>
    <s v="4406101"/>
    <n v="721050"/>
    <s v="Supplies-Cardiac Rhythm - Billable"/>
    <s v="Walter SADU"/>
    <x v="0"/>
    <m/>
    <n v="0"/>
    <n v="0"/>
    <n v="0"/>
    <n v="0"/>
    <n v="0"/>
    <n v="0"/>
    <n v="0"/>
    <n v="0"/>
    <n v="0"/>
    <n v="0"/>
    <n v="0"/>
    <n v="90"/>
    <n v="90"/>
    <n v="-90"/>
  </r>
  <r>
    <x v="11"/>
    <x v="3"/>
    <x v="0"/>
    <s v="4406101"/>
    <n v="721240"/>
    <s v="Supplies-IV Solutions/Supplies - Billable"/>
    <s v="Walter SADU"/>
    <x v="0"/>
    <m/>
    <n v="2598.19"/>
    <n v="4012.08"/>
    <n v="2873.89"/>
    <n v="3950.96"/>
    <n v="3588.37"/>
    <n v="3182.48"/>
    <n v="3943.76"/>
    <n v="4008.17"/>
    <n v="4094.78"/>
    <n v="3772.22"/>
    <n v="3394.41"/>
    <n v="3426.03"/>
    <n v="42845.34"/>
    <n v="-31.620000000000346"/>
  </r>
  <r>
    <x v="11"/>
    <x v="3"/>
    <x v="0"/>
    <s v="4406101"/>
    <n v="721250"/>
    <s v="Supplies-Pharmacy Drugs - Billable"/>
    <s v="Walter SADU"/>
    <x v="0"/>
    <m/>
    <n v="0"/>
    <n v="0"/>
    <n v="0"/>
    <n v="0"/>
    <n v="0"/>
    <n v="0"/>
    <n v="0"/>
    <n v="0"/>
    <n v="13.5"/>
    <n v="0"/>
    <n v="0"/>
    <n v="0"/>
    <n v="13.5"/>
    <n v="0"/>
  </r>
  <r>
    <x v="11"/>
    <x v="3"/>
    <x v="0"/>
    <s v="4406101"/>
    <n v="721410"/>
    <s v="Supplies-Medical - Nonbillable"/>
    <s v="Walter SADU"/>
    <x v="0"/>
    <m/>
    <n v="4037.24"/>
    <n v="4553.8999999999996"/>
    <n v="3855.17"/>
    <n v="4466.95"/>
    <n v="5159.37"/>
    <n v="4919.8100000000004"/>
    <n v="4547.57"/>
    <n v="4720.68"/>
    <n v="5670.13"/>
    <n v="5316.55"/>
    <n v="4663.08"/>
    <n v="5564.41"/>
    <n v="57474.86"/>
    <n v="-901.32999999999993"/>
  </r>
  <r>
    <x v="11"/>
    <x v="3"/>
    <x v="0"/>
    <s v="4406101"/>
    <n v="721410"/>
    <s v="Patient Monitoring"/>
    <s v="Walter SADU"/>
    <x v="0"/>
    <n v="1000"/>
    <n v="12.32"/>
    <n v="13.02"/>
    <n v="10"/>
    <n v="16.350000000000001"/>
    <n v="16"/>
    <n v="10.33"/>
    <n v="8.99"/>
    <n v="12.12"/>
    <n v="15.26"/>
    <n v="10.78"/>
    <n v="17.22"/>
    <n v="11.15"/>
    <n v="153.54"/>
    <n v="6.0699999999999985"/>
  </r>
  <r>
    <x v="11"/>
    <x v="3"/>
    <x v="0"/>
    <s v="4406101"/>
    <n v="721420"/>
    <s v="Supplies-Surgical Nonbillable"/>
    <s v="Walter SADU"/>
    <x v="0"/>
    <m/>
    <n v="1225.8900000000001"/>
    <n v="1033.44"/>
    <n v="1372.02"/>
    <n v="1612.34"/>
    <n v="1284.27"/>
    <n v="1614.09"/>
    <n v="1202.06"/>
    <n v="1218.29"/>
    <n v="1917.43"/>
    <n v="1569.32"/>
    <n v="1390.71"/>
    <n v="983.77"/>
    <n v="16423.629999999997"/>
    <n v="406.94000000000005"/>
  </r>
  <r>
    <x v="11"/>
    <x v="3"/>
    <x v="0"/>
    <s v="4406101"/>
    <n v="721420"/>
    <s v="Tubes Drains &amp; Related Supplies"/>
    <s v="Walter SADU"/>
    <x v="0"/>
    <n v="1008"/>
    <n v="42.62"/>
    <n v="19.39"/>
    <n v="1.92"/>
    <n v="12"/>
    <n v="11.5"/>
    <n v="11.62"/>
    <n v="7.42"/>
    <n v="69.06"/>
    <n v="8.0399999999999991"/>
    <n v="1.44"/>
    <n v="18.170000000000002"/>
    <n v="6.24"/>
    <n v="209.42000000000002"/>
    <n v="11.930000000000001"/>
  </r>
  <r>
    <x v="11"/>
    <x v="3"/>
    <x v="0"/>
    <s v="4406101"/>
    <n v="721610"/>
    <s v="Supplies-Anesthesia - Nonbillable"/>
    <s v="Walter SADU"/>
    <x v="0"/>
    <m/>
    <n v="1178.32"/>
    <n v="1622.27"/>
    <n v="1618.87"/>
    <n v="1290.5"/>
    <n v="2012.1"/>
    <n v="1506.75"/>
    <n v="1904.53"/>
    <n v="1340.65"/>
    <n v="1886.2"/>
    <n v="1328.52"/>
    <n v="2089.7399999999998"/>
    <n v="2400.14"/>
    <n v="20178.59"/>
    <n v="-310.40000000000009"/>
  </r>
  <r>
    <x v="11"/>
    <x v="3"/>
    <x v="0"/>
    <s v="4406101"/>
    <n v="721640"/>
    <s v="Supplies-IV Solutions/Supplies - Nonbillable"/>
    <s v="Walter SADU"/>
    <x v="0"/>
    <m/>
    <n v="3224.48"/>
    <n v="3631.14"/>
    <n v="2581.37"/>
    <n v="3423.71"/>
    <n v="3342.41"/>
    <n v="2937.89"/>
    <n v="3430.55"/>
    <n v="2863.4"/>
    <n v="3257.24"/>
    <n v="3640.85"/>
    <n v="2865.18"/>
    <n v="3283.65"/>
    <n v="38481.870000000003"/>
    <n v="-418.47000000000025"/>
  </r>
  <r>
    <x v="11"/>
    <x v="3"/>
    <x v="0"/>
    <s v="4406101"/>
    <n v="721650"/>
    <s v="Supplies-Pharmacy Drugs - Nonbillable"/>
    <s v="Walter SADU"/>
    <x v="0"/>
    <m/>
    <n v="0"/>
    <n v="0"/>
    <n v="14.58"/>
    <n v="0"/>
    <n v="0"/>
    <n v="7.25"/>
    <n v="0"/>
    <n v="0"/>
    <n v="0"/>
    <n v="0"/>
    <n v="2.4300000000000002"/>
    <n v="0"/>
    <n v="24.259999999999998"/>
    <n v="2.4300000000000002"/>
  </r>
  <r>
    <x v="11"/>
    <x v="3"/>
    <x v="0"/>
    <s v="4406101"/>
    <n v="721710"/>
    <s v="Supplies-Laboratory - Nonbillable"/>
    <s v="Walter SADU"/>
    <x v="0"/>
    <m/>
    <n v="285.20999999999998"/>
    <n v="469.23"/>
    <n v="311.7"/>
    <n v="447.27"/>
    <n v="342.25"/>
    <n v="247.79"/>
    <n v="251.16"/>
    <n v="167.42"/>
    <n v="324.87"/>
    <n v="174.84"/>
    <n v="160.34"/>
    <n v="238.48"/>
    <n v="3420.5600000000004"/>
    <n v="-78.139999999999986"/>
  </r>
  <r>
    <x v="11"/>
    <x v="3"/>
    <x v="0"/>
    <s v="4406101"/>
    <n v="721710"/>
    <s v="Reagents"/>
    <s v="Walter SADU"/>
    <x v="0"/>
    <n v="1000"/>
    <n v="0"/>
    <n v="19.989999999999998"/>
    <n v="0"/>
    <n v="0"/>
    <n v="0"/>
    <n v="0"/>
    <n v="0"/>
    <n v="0"/>
    <n v="0"/>
    <n v="0"/>
    <n v="185.52"/>
    <n v="0"/>
    <n v="205.51000000000002"/>
    <n v="185.52"/>
  </r>
  <r>
    <x v="11"/>
    <x v="3"/>
    <x v="0"/>
    <s v="4406101"/>
    <n v="721750"/>
    <s v="Supplies-Film/Radiographic - Nonbillable"/>
    <s v="Walter SADU"/>
    <x v="0"/>
    <m/>
    <n v="2.81"/>
    <n v="4.68"/>
    <n v="0"/>
    <n v="3.75"/>
    <n v="4.6900000000000004"/>
    <n v="2.81"/>
    <n v="3.75"/>
    <n v="2.82"/>
    <n v="1.87"/>
    <n v="2.81"/>
    <n v="1.87"/>
    <n v="3.74"/>
    <n v="35.6"/>
    <n v="-1.87"/>
  </r>
  <r>
    <x v="11"/>
    <x v="3"/>
    <x v="0"/>
    <s v="4406101"/>
    <n v="721810"/>
    <s v="Supplies-Dietary/Cafeteria"/>
    <s v="Walter SADU"/>
    <x v="0"/>
    <m/>
    <n v="300.10000000000002"/>
    <n v="406.85"/>
    <n v="466.95"/>
    <n v="669.03"/>
    <n v="782.42"/>
    <n v="569.20000000000005"/>
    <n v="769.65"/>
    <n v="618.67999999999995"/>
    <n v="770.22"/>
    <n v="607.62"/>
    <n v="784.81"/>
    <n v="656.13"/>
    <n v="7401.6600000000008"/>
    <n v="128.67999999999995"/>
  </r>
  <r>
    <x v="11"/>
    <x v="3"/>
    <x v="0"/>
    <s v="4406101"/>
    <n v="721830"/>
    <s v="Supplies-Office"/>
    <s v="Walter SADU"/>
    <x v="0"/>
    <m/>
    <n v="254.89"/>
    <n v="3401.03"/>
    <n v="89.62"/>
    <n v="1572.69"/>
    <n v="1304.1300000000001"/>
    <n v="247.7"/>
    <n v="1969.18"/>
    <n v="202.48"/>
    <n v="-1393.43"/>
    <n v="366.96"/>
    <n v="75.67"/>
    <n v="327.31"/>
    <n v="8418.23"/>
    <n v="-251.64"/>
  </r>
  <r>
    <x v="11"/>
    <x v="3"/>
    <x v="0"/>
    <s v="4406101"/>
    <n v="721835"/>
    <s v="Supplies-Forms"/>
    <s v="Walter SADU"/>
    <x v="0"/>
    <m/>
    <n v="0"/>
    <n v="0"/>
    <n v="85.5"/>
    <n v="3751.63"/>
    <n v="16"/>
    <n v="0"/>
    <n v="256.38"/>
    <n v="0"/>
    <n v="0"/>
    <n v="5.6"/>
    <n v="15"/>
    <n v="15"/>
    <n v="4145.1100000000006"/>
    <n v="0"/>
  </r>
  <r>
    <x v="11"/>
    <x v="3"/>
    <x v="0"/>
    <s v="4406101"/>
    <n v="721870"/>
    <s v="Supplies-Environmental Services"/>
    <s v="Walter SADU"/>
    <x v="0"/>
    <m/>
    <n v="910.86"/>
    <n v="576.84"/>
    <n v="497.86"/>
    <n v="745.02"/>
    <n v="567.28"/>
    <n v="449.04"/>
    <n v="540.65"/>
    <n v="504.28"/>
    <n v="530.80999999999995"/>
    <n v="541.94000000000005"/>
    <n v="404.33"/>
    <n v="379.53"/>
    <n v="6648.44"/>
    <n v="24.800000000000011"/>
  </r>
  <r>
    <x v="11"/>
    <x v="3"/>
    <x v="0"/>
    <s v="4406101"/>
    <n v="721880"/>
    <s v="Supplies-Linen"/>
    <s v="Walter SADU"/>
    <x v="0"/>
    <m/>
    <n v="0"/>
    <n v="32.1"/>
    <n v="0"/>
    <n v="0"/>
    <n v="0"/>
    <n v="32.1"/>
    <n v="0"/>
    <n v="158.91"/>
    <n v="0"/>
    <n v="64.2"/>
    <n v="0"/>
    <n v="0"/>
    <n v="287.31"/>
    <n v="0"/>
  </r>
  <r>
    <x v="11"/>
    <x v="3"/>
    <x v="0"/>
    <s v="4406101"/>
    <n v="721910"/>
    <s v="Supplies-Small Equipment"/>
    <s v="Walter SADU"/>
    <x v="0"/>
    <m/>
    <n v="-11.78"/>
    <n v="15.75"/>
    <n v="31.5"/>
    <n v="77.64"/>
    <n v="1719.51"/>
    <n v="25.43"/>
    <n v="184.65"/>
    <n v="959.21"/>
    <n v="12641.44"/>
    <n v="20086.13"/>
    <n v="3577.31"/>
    <n v="38.9"/>
    <n v="39345.69"/>
    <n v="3538.41"/>
  </r>
  <r>
    <x v="11"/>
    <x v="3"/>
    <x v="0"/>
    <s v="4406101"/>
    <n v="721910"/>
    <s v="Instruments"/>
    <s v="Walter SADU"/>
    <x v="0"/>
    <n v="1000"/>
    <n v="141"/>
    <n v="58.75"/>
    <n v="117.5"/>
    <n v="58.75"/>
    <n v="0"/>
    <n v="94"/>
    <n v="208.82"/>
    <n v="0"/>
    <n v="0"/>
    <n v="293.75"/>
    <n v="0"/>
    <n v="0"/>
    <n v="972.56999999999994"/>
    <n v="0"/>
  </r>
  <r>
    <x v="11"/>
    <x v="3"/>
    <x v="0"/>
    <s v="4406101"/>
    <n v="721980"/>
    <s v="Supplies-Other"/>
    <s v="Walter SADU"/>
    <x v="0"/>
    <m/>
    <n v="0"/>
    <n v="0"/>
    <n v="0"/>
    <n v="134.26"/>
    <n v="0"/>
    <n v="0"/>
    <n v="0"/>
    <n v="171"/>
    <n v="0"/>
    <n v="0"/>
    <n v="1998"/>
    <n v="447.66"/>
    <n v="2750.92"/>
    <n v="1550.34"/>
  </r>
  <r>
    <x v="11"/>
    <x v="3"/>
    <x v="0"/>
    <s v="4406101"/>
    <n v="722000"/>
    <s v="Supplies-Freight Expense"/>
    <s v="Walter SADU"/>
    <x v="0"/>
    <m/>
    <n v="0"/>
    <n v="0"/>
    <n v="0"/>
    <n v="0"/>
    <n v="0"/>
    <n v="0"/>
    <n v="0"/>
    <n v="8.23"/>
    <n v="131.6"/>
    <n v="9.35"/>
    <n v="9.44"/>
    <n v="0"/>
    <n v="158.61999999999998"/>
    <n v="9.44"/>
  </r>
  <r>
    <x v="12"/>
    <x v="3"/>
    <x v="0"/>
    <s v="4406101"/>
    <n v="730020"/>
    <s v="Rental and Leases-Copier Usage Fees (DO NOT USE)"/>
    <s v="Walter SADU"/>
    <x v="0"/>
    <n v="5100"/>
    <n v="665.22"/>
    <n v="687.04"/>
    <n v="676.13"/>
    <n v="676.13"/>
    <n v="676.13"/>
    <n v="676.13"/>
    <n v="20.53"/>
    <n v="387.8"/>
    <n v="419.21"/>
    <n v="1251.3399999999999"/>
    <n v="387.8"/>
    <n v="417.24"/>
    <n v="6940.7000000000007"/>
    <n v="-29.439999999999998"/>
  </r>
  <r>
    <x v="15"/>
    <x v="3"/>
    <x v="0"/>
    <s v="4406101"/>
    <n v="731060"/>
    <s v="Cell Phones"/>
    <s v="Walter SADU"/>
    <x v="0"/>
    <n v="1001"/>
    <n v="0"/>
    <n v="108.08"/>
    <n v="52.42"/>
    <n v="0"/>
    <n v="52.94"/>
    <n v="54.3"/>
    <n v="108.83"/>
    <n v="0"/>
    <n v="218.8"/>
    <n v="206.61"/>
    <n v="101.78"/>
    <n v="103.32"/>
    <n v="1007.0799999999999"/>
    <n v="-1.539999999999992"/>
  </r>
  <r>
    <x v="13"/>
    <x v="3"/>
    <x v="0"/>
    <s v="4406101"/>
    <n v="735070"/>
    <s v="Depreciation-Movable Equipment"/>
    <s v="Walter SADU"/>
    <x v="0"/>
    <m/>
    <n v="1442.66"/>
    <n v="1442.65"/>
    <n v="1442.66"/>
    <n v="1442.65"/>
    <n v="1442.66"/>
    <n v="1442.65"/>
    <n v="1442.67"/>
    <n v="2232.17"/>
    <n v="2232.19"/>
    <n v="2232.17"/>
    <n v="2232.19"/>
    <n v="2232.16"/>
    <n v="21259.48"/>
    <n v="3.0000000000200089E-2"/>
  </r>
  <r>
    <x v="0"/>
    <x v="3"/>
    <x v="0"/>
    <s v="4406101"/>
    <n v="740020"/>
    <s v="Education-Registration Fees"/>
    <s v="Walter SADU"/>
    <x v="0"/>
    <m/>
    <n v="0"/>
    <n v="0"/>
    <n v="3235"/>
    <n v="420"/>
    <n v="215"/>
    <n v="0"/>
    <n v="0"/>
    <n v="1105"/>
    <n v="1780"/>
    <n v="1745"/>
    <n v="1320"/>
    <n v="215"/>
    <n v="10035"/>
    <n v="1105"/>
  </r>
  <r>
    <x v="0"/>
    <x v="3"/>
    <x v="0"/>
    <s v="4406101"/>
    <n v="740030"/>
    <s v="Education-Travel"/>
    <s v="Walter SADU"/>
    <x v="0"/>
    <m/>
    <n v="0"/>
    <n v="0"/>
    <n v="0"/>
    <n v="0"/>
    <n v="0"/>
    <n v="0"/>
    <n v="0"/>
    <n v="0"/>
    <n v="0"/>
    <n v="215"/>
    <n v="0"/>
    <n v="0"/>
    <n v="215"/>
    <n v="0"/>
  </r>
  <r>
    <x v="0"/>
    <x v="3"/>
    <x v="0"/>
    <s v="4406101"/>
    <n v="743030"/>
    <s v="Subscriptions--Institutional"/>
    <s v="Walter SADU"/>
    <x v="0"/>
    <m/>
    <n v="0"/>
    <n v="0"/>
    <n v="0"/>
    <n v="0"/>
    <n v="0"/>
    <n v="82.5"/>
    <n v="0"/>
    <n v="0"/>
    <n v="0"/>
    <n v="0"/>
    <n v="0"/>
    <n v="0"/>
    <n v="82.5"/>
    <n v="0"/>
  </r>
  <r>
    <x v="0"/>
    <x v="3"/>
    <x v="0"/>
    <s v="4406101"/>
    <n v="749510"/>
    <s v="Miscellaneous Expenses"/>
    <s v="Walter SADU"/>
    <x v="0"/>
    <m/>
    <n v="-263.74"/>
    <n v="0"/>
    <n v="202"/>
    <n v="0"/>
    <n v="39.5"/>
    <n v="-39.5"/>
    <n v="0"/>
    <n v="760.18"/>
    <n v="0"/>
    <n v="1487.65"/>
    <n v="-911.65"/>
    <n v="488.3"/>
    <n v="1762.74"/>
    <n v="-1399.95"/>
  </r>
  <r>
    <x v="0"/>
    <x v="3"/>
    <x v="0"/>
    <s v="4406101"/>
    <n v="749510"/>
    <s v="Licenses"/>
    <s v="Walter SADU"/>
    <x v="0"/>
    <n v="1002"/>
    <n v="0"/>
    <n v="0"/>
    <n v="0"/>
    <n v="0"/>
    <n v="0"/>
    <n v="0"/>
    <n v="0"/>
    <n v="0"/>
    <n v="60"/>
    <n v="0"/>
    <n v="0"/>
    <n v="0"/>
    <n v="60"/>
    <n v="0"/>
  </r>
  <r>
    <x v="0"/>
    <x v="3"/>
    <x v="0"/>
    <s v="4406101"/>
    <n v="749510"/>
    <s v="RICE Rewards"/>
    <s v="Walter SADU"/>
    <x v="0"/>
    <n v="5100"/>
    <n v="0"/>
    <n v="0"/>
    <n v="0"/>
    <n v="0"/>
    <n v="0"/>
    <n v="227.73"/>
    <n v="0"/>
    <n v="0"/>
    <n v="0"/>
    <n v="0"/>
    <n v="0"/>
    <n v="947.15"/>
    <n v="1174.8799999999999"/>
    <n v="-947.15"/>
  </r>
  <r>
    <x v="0"/>
    <x v="3"/>
    <x v="0"/>
    <s v="4406101"/>
    <n v="749530"/>
    <s v="Travel"/>
    <s v="Walter SADU"/>
    <x v="0"/>
    <m/>
    <n v="0"/>
    <n v="0"/>
    <n v="0"/>
    <n v="0"/>
    <n v="0"/>
    <n v="29.6"/>
    <n v="427.21"/>
    <n v="0"/>
    <n v="0"/>
    <n v="1003.7"/>
    <n v="1247.82"/>
    <n v="1593.44"/>
    <n v="4301.7700000000004"/>
    <n v="-345.62000000000012"/>
  </r>
  <r>
    <x v="0"/>
    <x v="3"/>
    <x v="0"/>
    <s v="4406101"/>
    <n v="749535"/>
    <s v="Meetings"/>
    <s v="Walter SADU"/>
    <x v="0"/>
    <m/>
    <n v="0"/>
    <n v="0"/>
    <n v="0"/>
    <n v="0"/>
    <n v="0"/>
    <n v="0"/>
    <n v="0"/>
    <n v="0"/>
    <n v="0"/>
    <n v="0"/>
    <n v="104.63"/>
    <n v="0"/>
    <n v="104.63"/>
    <n v="104.63"/>
  </r>
  <r>
    <x v="18"/>
    <x v="3"/>
    <x v="0"/>
    <s v="4407101"/>
    <n v="400010"/>
    <s v="Acute I/P Svcs Rev--Medicare"/>
    <s v="Cardiac Surgery Services"/>
    <x v="0"/>
    <n v="1100"/>
    <n v="-4769575.22"/>
    <n v="-5429049.0099999998"/>
    <n v="-4877243.5999999996"/>
    <n v="-7614925.5300000003"/>
    <n v="-5200457.33"/>
    <n v="-6367976.0199999996"/>
    <n v="-7262436.1799999997"/>
    <n v="-5045700.1100000003"/>
    <n v="-7145977.6799999997"/>
    <n v="-5077056.43"/>
    <n v="-6522274.7999999998"/>
    <n v="-6576657.0899999999"/>
    <n v="-71889328.999999985"/>
    <n v="54382.290000000037"/>
  </r>
  <r>
    <x v="18"/>
    <x v="3"/>
    <x v="0"/>
    <s v="4407101"/>
    <n v="400010"/>
    <s v="Acute I/P Svcs Rev--Medicaid"/>
    <s v="Cardiac Surgery Services"/>
    <x v="0"/>
    <n v="1200"/>
    <n v="-1286119.31"/>
    <n v="-1201194.79"/>
    <n v="-419505.25"/>
    <n v="-415158.04"/>
    <n v="-532960.98"/>
    <n v="-853878.75"/>
    <n v="-322000.18"/>
    <n v="-698179.39"/>
    <n v="-912589.38"/>
    <n v="-615068.15"/>
    <n v="-1372370.23"/>
    <n v="-935854.86"/>
    <n v="-9564879.3099999987"/>
    <n v="-436515.37"/>
  </r>
  <r>
    <x v="18"/>
    <x v="3"/>
    <x v="0"/>
    <s v="4407101"/>
    <n v="400010"/>
    <s v="Acute I/P Svcs Rev--Comm Insurance"/>
    <s v="Cardiac Surgery Services"/>
    <x v="0"/>
    <n v="1300"/>
    <n v="-267010.46000000002"/>
    <n v="-145920.87"/>
    <n v="-164141.37"/>
    <n v="0"/>
    <n v="-224789.68"/>
    <n v="0"/>
    <n v="-124754.84"/>
    <n v="-387844.83"/>
    <n v="-557277.39"/>
    <n v="0"/>
    <n v="0"/>
    <n v="-253445.74"/>
    <n v="-2125185.1799999997"/>
    <n v="253445.74"/>
  </r>
  <r>
    <x v="18"/>
    <x v="3"/>
    <x v="0"/>
    <s v="4407101"/>
    <n v="400010"/>
    <s v="Acute I/P Svcs Rev--BCBS Comm"/>
    <s v="Cardiac Surgery Services"/>
    <x v="0"/>
    <n v="1301"/>
    <n v="0"/>
    <n v="-561057.78"/>
    <n v="-440335.13"/>
    <n v="-208083.74"/>
    <n v="-272560.40999999997"/>
    <n v="-552428.28"/>
    <n v="-290919.28000000003"/>
    <n v="-369840.58"/>
    <n v="-197558.62"/>
    <n v="-190385.08"/>
    <n v="-167090.26999999999"/>
    <n v="-621319.56000000006"/>
    <n v="-3871578.7300000004"/>
    <n v="454229.29000000004"/>
  </r>
  <r>
    <x v="18"/>
    <x v="3"/>
    <x v="0"/>
    <s v="4407101"/>
    <n v="400010"/>
    <s v="Acute I/P Svcs Rev--Managed Care"/>
    <s v="Cardiac Surgery Services"/>
    <x v="0"/>
    <n v="1400"/>
    <n v="-525225.29"/>
    <n v="-1997326.36"/>
    <n v="-1756034.83"/>
    <n v="-2056566.8"/>
    <n v="-1448104.68"/>
    <n v="-1261329.8899999999"/>
    <n v="-1798259.72"/>
    <n v="-1681053.14"/>
    <n v="-1988551.11"/>
    <n v="-2164902.9300000002"/>
    <n v="-2004008.36"/>
    <n v="-1639492.43"/>
    <n v="-20320855.539999999"/>
    <n v="-364515.93000000017"/>
  </r>
  <r>
    <x v="18"/>
    <x v="3"/>
    <x v="0"/>
    <s v="4407101"/>
    <n v="400010"/>
    <s v="Acute I/P Svcs Rev--Self Pay"/>
    <s v="Cardiac Surgery Services"/>
    <x v="0"/>
    <n v="1500"/>
    <n v="-285236.73"/>
    <n v="285236.73"/>
    <n v="0"/>
    <n v="0"/>
    <n v="0"/>
    <n v="0"/>
    <n v="0"/>
    <n v="0"/>
    <n v="0"/>
    <n v="-167134.39999999999"/>
    <n v="167134.39999999999"/>
    <n v="0"/>
    <n v="0"/>
    <n v="167134.39999999999"/>
  </r>
  <r>
    <x v="18"/>
    <x v="3"/>
    <x v="0"/>
    <s v="4407101"/>
    <n v="400010"/>
    <s v="Acute I/P Svcs Rev--Other"/>
    <s v="Cardiac Surgery Services"/>
    <x v="0"/>
    <n v="1700"/>
    <n v="-171179.45"/>
    <n v="-235112.29"/>
    <n v="-963486.16"/>
    <n v="-697859.62"/>
    <n v="-197231.78"/>
    <n v="-797803.67"/>
    <n v="-1136479.55"/>
    <n v="-432804.05"/>
    <n v="186417.09"/>
    <n v="-609254.63"/>
    <n v="-146107.17000000001"/>
    <n v="-179258.1"/>
    <n v="-5380159.379999999"/>
    <n v="33150.929999999993"/>
  </r>
  <r>
    <x v="19"/>
    <x v="3"/>
    <x v="0"/>
    <s v="4407101"/>
    <n v="400020"/>
    <s v="O/P Care Svcs Rev--Medicare"/>
    <s v="Cardiac Surgery Services"/>
    <x v="0"/>
    <n v="1100"/>
    <n v="0"/>
    <n v="-34307.629999999997"/>
    <n v="0"/>
    <n v="-13168.84"/>
    <n v="0"/>
    <n v="0"/>
    <n v="-11091.16"/>
    <n v="-13038.24"/>
    <n v="-8605.56"/>
    <n v="-174480.98"/>
    <n v="174480.98"/>
    <n v="-13566.94"/>
    <n v="-93778.370000000024"/>
    <n v="188047.92"/>
  </r>
  <r>
    <x v="19"/>
    <x v="3"/>
    <x v="0"/>
    <s v="4407101"/>
    <n v="400020"/>
    <s v="O/P Care Svcs Rev--Medicaid"/>
    <s v="Cardiac Surgery Services"/>
    <x v="0"/>
    <n v="1200"/>
    <n v="0"/>
    <n v="0"/>
    <n v="0"/>
    <n v="0"/>
    <n v="0"/>
    <n v="0"/>
    <n v="0"/>
    <n v="0"/>
    <n v="-25452.65"/>
    <n v="0"/>
    <n v="-8413.51"/>
    <n v="-30994.89"/>
    <n v="-64861.05"/>
    <n v="22581.379999999997"/>
  </r>
  <r>
    <x v="19"/>
    <x v="3"/>
    <x v="0"/>
    <s v="4407101"/>
    <n v="400020"/>
    <s v="O/P Care Svcs Rev--Comm Insurance"/>
    <s v="Cardiac Surgery Services"/>
    <x v="0"/>
    <n v="1300"/>
    <n v="0"/>
    <n v="0"/>
    <n v="0"/>
    <n v="0"/>
    <n v="0"/>
    <n v="-16684.41"/>
    <n v="0"/>
    <n v="0"/>
    <n v="0"/>
    <n v="0"/>
    <n v="0"/>
    <n v="0"/>
    <n v="-16684.41"/>
    <n v="0"/>
  </r>
  <r>
    <x v="19"/>
    <x v="3"/>
    <x v="0"/>
    <s v="4407101"/>
    <n v="400020"/>
    <s v="O/P Care Svcs Rev--BCBS Comm"/>
    <s v="Cardiac Surgery Services"/>
    <x v="0"/>
    <n v="1301"/>
    <n v="0"/>
    <n v="0"/>
    <n v="0"/>
    <n v="-21139.4"/>
    <n v="0"/>
    <n v="0"/>
    <n v="0"/>
    <n v="0"/>
    <n v="0"/>
    <n v="0"/>
    <n v="0"/>
    <n v="0"/>
    <n v="-21139.4"/>
    <n v="0"/>
  </r>
  <r>
    <x v="19"/>
    <x v="3"/>
    <x v="0"/>
    <s v="4407101"/>
    <n v="400020"/>
    <s v="O/P Care Svcs Rev--Managed Care"/>
    <s v="Cardiac Surgery Services"/>
    <x v="0"/>
    <n v="1400"/>
    <n v="-45289.120000000003"/>
    <n v="0"/>
    <n v="0"/>
    <n v="0"/>
    <n v="0"/>
    <n v="-12887.33"/>
    <n v="0"/>
    <n v="0"/>
    <n v="0"/>
    <n v="0"/>
    <n v="-14580.74"/>
    <n v="0"/>
    <n v="-72757.19"/>
    <n v="-14580.74"/>
  </r>
  <r>
    <x v="5"/>
    <x v="3"/>
    <x v="0"/>
    <s v="4407101"/>
    <n v="700014"/>
    <s v="Salaries-Management-Productive"/>
    <s v="Cardiac Surgery Services"/>
    <x v="0"/>
    <m/>
    <n v="0"/>
    <n v="0"/>
    <n v="0"/>
    <n v="0"/>
    <n v="0"/>
    <n v="0"/>
    <n v="0"/>
    <n v="0"/>
    <n v="0"/>
    <n v="27316.31"/>
    <n v="-2740.11"/>
    <n v="-2062.8000000000002"/>
    <n v="22513.4"/>
    <n v="-677.31"/>
  </r>
  <r>
    <x v="5"/>
    <x v="3"/>
    <x v="0"/>
    <s v="4407101"/>
    <n v="700026"/>
    <s v="Salaries-RN-Productive"/>
    <s v="Cardiac Surgery Services"/>
    <x v="0"/>
    <m/>
    <n v="38022.03"/>
    <n v="43823.57"/>
    <n v="37794.81"/>
    <n v="36731.360000000001"/>
    <n v="42650.1"/>
    <n v="37269.440000000002"/>
    <n v="35648.35"/>
    <n v="34020.089999999997"/>
    <n v="34379.15"/>
    <n v="31193.89"/>
    <n v="25367.7"/>
    <n v="46865.83"/>
    <n v="443766.32000000007"/>
    <n v="-21498.13"/>
  </r>
  <r>
    <x v="5"/>
    <x v="3"/>
    <x v="0"/>
    <s v="4407101"/>
    <n v="700026"/>
    <s v="Salaries-RN-OT"/>
    <s v="Cardiac Surgery Services"/>
    <x v="0"/>
    <n v="1000"/>
    <n v="1559.14"/>
    <n v="3108.87"/>
    <n v="3002.9"/>
    <n v="5220.6899999999996"/>
    <n v="4476.53"/>
    <n v="4516.63"/>
    <n v="4063.96"/>
    <n v="4232.6400000000003"/>
    <n v="2932.11"/>
    <n v="3477.48"/>
    <n v="1503.37"/>
    <n v="6763.98"/>
    <n v="44858.3"/>
    <n v="-5260.61"/>
  </r>
  <r>
    <x v="5"/>
    <x v="3"/>
    <x v="0"/>
    <s v="4407101"/>
    <n v="700026"/>
    <s v="Salaries-RN-Other"/>
    <s v="Cardiac Surgery Services"/>
    <x v="0"/>
    <n v="2000"/>
    <n v="6072.32"/>
    <n v="3224.29"/>
    <n v="3753.71"/>
    <n v="5494.84"/>
    <n v="5838.06"/>
    <n v="4265.24"/>
    <n v="5015.5200000000004"/>
    <n v="4524.12"/>
    <n v="4892.83"/>
    <n v="4333.2700000000004"/>
    <n v="4848.1899999999996"/>
    <n v="5114.4399999999996"/>
    <n v="57376.83"/>
    <n v="-266.25"/>
  </r>
  <r>
    <x v="5"/>
    <x v="3"/>
    <x v="0"/>
    <s v="4407101"/>
    <n v="700032"/>
    <s v="Salaries-Other Pat Care Providers-Productive"/>
    <s v="Cardiac Surgery Services"/>
    <x v="0"/>
    <m/>
    <n v="0"/>
    <n v="0"/>
    <n v="0"/>
    <n v="0"/>
    <n v="0"/>
    <n v="176.87"/>
    <n v="-22.1"/>
    <n v="0"/>
    <n v="0"/>
    <n v="0"/>
    <n v="0"/>
    <n v="0"/>
    <n v="154.77000000000001"/>
    <n v="0"/>
  </r>
  <r>
    <x v="5"/>
    <x v="3"/>
    <x v="0"/>
    <s v="4407101"/>
    <n v="700034"/>
    <s v="Salaries-Tech/Professional-Productive"/>
    <s v="Cardiac Surgery Services"/>
    <x v="0"/>
    <m/>
    <n v="22096.18"/>
    <n v="26426.99"/>
    <n v="22870.84"/>
    <n v="21743.8"/>
    <n v="19829.73"/>
    <n v="21389.08"/>
    <n v="24994.78"/>
    <n v="25816.02"/>
    <n v="28553.43"/>
    <n v="27285.01"/>
    <n v="33882.629999999997"/>
    <n v="32393.9"/>
    <n v="307282.39"/>
    <n v="1488.7299999999959"/>
  </r>
  <r>
    <x v="5"/>
    <x v="3"/>
    <x v="0"/>
    <s v="4407101"/>
    <n v="700034"/>
    <s v="Salaries-Tech/Professional-OT"/>
    <s v="Cardiac Surgery Services"/>
    <x v="0"/>
    <n v="1000"/>
    <n v="1677.82"/>
    <n v="2745.48"/>
    <n v="2807.23"/>
    <n v="4626.3"/>
    <n v="4526.8599999999997"/>
    <n v="5272.36"/>
    <n v="5596.28"/>
    <n v="4463.63"/>
    <n v="3535.75"/>
    <n v="2202.31"/>
    <n v="2136.89"/>
    <n v="8222.1"/>
    <n v="47813.01"/>
    <n v="-6085.2100000000009"/>
  </r>
  <r>
    <x v="5"/>
    <x v="3"/>
    <x v="0"/>
    <s v="4407101"/>
    <n v="700034"/>
    <s v="Salaries-Tech/Professional-Other"/>
    <s v="Cardiac Surgery Services"/>
    <x v="0"/>
    <n v="2000"/>
    <n v="5561.01"/>
    <n v="3741.7"/>
    <n v="3893.79"/>
    <n v="4322.29"/>
    <n v="3812.68"/>
    <n v="3871.49"/>
    <n v="3883.68"/>
    <n v="3921.34"/>
    <n v="4488.3999999999996"/>
    <n v="4320.9799999999996"/>
    <n v="4118.66"/>
    <n v="4662.91"/>
    <n v="50598.930000000008"/>
    <n v="-544.25"/>
  </r>
  <r>
    <x v="5"/>
    <x v="3"/>
    <x v="0"/>
    <s v="4407101"/>
    <n v="700038"/>
    <s v="Salaries-Service/Support-Productive"/>
    <s v="Cardiac Surgery Services"/>
    <x v="0"/>
    <m/>
    <n v="0"/>
    <n v="0"/>
    <n v="0"/>
    <n v="0"/>
    <n v="0"/>
    <n v="0"/>
    <n v="0"/>
    <n v="0"/>
    <n v="0"/>
    <n v="0"/>
    <n v="1212.6600000000001"/>
    <n v="1747.96"/>
    <n v="2960.62"/>
    <n v="-535.29999999999995"/>
  </r>
  <r>
    <x v="5"/>
    <x v="3"/>
    <x v="0"/>
    <s v="4407101"/>
    <n v="700038"/>
    <s v="Salaries-Service/Support-OT"/>
    <s v="Cardiac Surgery Services"/>
    <x v="0"/>
    <n v="1000"/>
    <n v="0"/>
    <n v="0"/>
    <n v="0"/>
    <n v="0"/>
    <n v="0"/>
    <n v="0"/>
    <n v="0"/>
    <n v="0"/>
    <n v="0"/>
    <n v="0"/>
    <n v="7.34"/>
    <n v="18.54"/>
    <n v="25.88"/>
    <n v="-11.2"/>
  </r>
  <r>
    <x v="5"/>
    <x v="3"/>
    <x v="0"/>
    <s v="4407101"/>
    <n v="700066"/>
    <s v="Salaries-RN-Non-productive"/>
    <s v="Cardiac Surgery Services"/>
    <x v="0"/>
    <m/>
    <n v="12214.34"/>
    <n v="5428.77"/>
    <n v="8846.7000000000007"/>
    <n v="7152.25"/>
    <n v="6457.66"/>
    <n v="8209.3799999999992"/>
    <n v="11636.73"/>
    <n v="4127.79"/>
    <n v="10890.3"/>
    <n v="3719.8"/>
    <n v="5581.91"/>
    <n v="8627.11"/>
    <n v="92892.74"/>
    <n v="-3045.2000000000007"/>
  </r>
  <r>
    <x v="5"/>
    <x v="3"/>
    <x v="0"/>
    <s v="4407101"/>
    <n v="700066"/>
    <s v="Salaries-RN-NonProd-Other"/>
    <s v="Cardiac Surgery Services"/>
    <x v="0"/>
    <n v="2000"/>
    <n v="766.7"/>
    <n v="452.18"/>
    <n v="75.739999999999995"/>
    <n v="687.9"/>
    <n v="467.85"/>
    <n v="1105.22"/>
    <n v="727.08"/>
    <n v="-45.2"/>
    <n v="667.58"/>
    <n v="26.87"/>
    <n v="342.59"/>
    <n v="536.87"/>
    <n v="5811.38"/>
    <n v="-194.28000000000003"/>
  </r>
  <r>
    <x v="5"/>
    <x v="3"/>
    <x v="0"/>
    <s v="4407101"/>
    <n v="700074"/>
    <s v="Salaries-Tech/Professional-Non-productive"/>
    <s v="Cardiac Surgery Services"/>
    <x v="0"/>
    <m/>
    <n v="7231.81"/>
    <n v="1073.8"/>
    <n v="4520.38"/>
    <n v="7503.09"/>
    <n v="4821.59"/>
    <n v="11411.87"/>
    <n v="4656.6099999999997"/>
    <n v="1819.15"/>
    <n v="5576.45"/>
    <n v="5369.8"/>
    <n v="2639.1"/>
    <n v="9532.32"/>
    <n v="66155.97"/>
    <n v="-6893.2199999999993"/>
  </r>
  <r>
    <x v="5"/>
    <x v="3"/>
    <x v="0"/>
    <s v="4407101"/>
    <n v="700074"/>
    <s v="Salaries-Tech/Professional-NonProd-Other"/>
    <s v="Cardiac Surgery Services"/>
    <x v="0"/>
    <n v="2000"/>
    <n v="417.82"/>
    <n v="113.4"/>
    <n v="14.52"/>
    <n v="-24.83"/>
    <n v="768.64"/>
    <n v="144.1"/>
    <n v="131.32"/>
    <n v="-313.82"/>
    <n v="-22.96"/>
    <n v="0"/>
    <n v="80.819999999999993"/>
    <n v="52.44"/>
    <n v="1361.4499999999998"/>
    <n v="28.379999999999995"/>
  </r>
  <r>
    <x v="5"/>
    <x v="3"/>
    <x v="0"/>
    <s v="4407101"/>
    <n v="700078"/>
    <s v="Salaries-Service/Support-Non-productive"/>
    <s v="Cardiac Surgery Services"/>
    <x v="0"/>
    <m/>
    <n v="0"/>
    <n v="0"/>
    <n v="0"/>
    <n v="0"/>
    <n v="0"/>
    <n v="0"/>
    <n v="0"/>
    <n v="0"/>
    <n v="0"/>
    <n v="0"/>
    <n v="303.14999999999998"/>
    <n v="0"/>
    <n v="303.14999999999998"/>
    <n v="303.14999999999998"/>
  </r>
  <r>
    <x v="5"/>
    <x v="3"/>
    <x v="0"/>
    <s v="4407101"/>
    <n v="700078"/>
    <s v="Salaries-Service/Support-NonProd-Other"/>
    <s v="Cardiac Surgery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407101"/>
    <n v="700084"/>
    <s v="Accrued PTO"/>
    <s v="Cardiac Surgery Services"/>
    <x v="0"/>
    <m/>
    <n v="-7455.79"/>
    <n v="3189.41"/>
    <n v="-1206.0999999999999"/>
    <n v="2183.69"/>
    <n v="5831.92"/>
    <n v="-7246.9"/>
    <n v="-2219"/>
    <n v="-947.96"/>
    <n v="-1167.98"/>
    <n v="-5168.28"/>
    <n v="1399.57"/>
    <n v="5174.08"/>
    <n v="-7633.3399999999983"/>
    <n v="-3774.51"/>
  </r>
  <r>
    <x v="6"/>
    <x v="3"/>
    <x v="0"/>
    <s v="4407101"/>
    <n v="713010"/>
    <s v="Benefits-FICA/Medicare"/>
    <s v="Cardiac Surgery Services"/>
    <x v="0"/>
    <m/>
    <n v="7153.87"/>
    <n v="6716.68"/>
    <n v="6538.86"/>
    <n v="7446.93"/>
    <n v="7103.26"/>
    <n v="6783.89"/>
    <n v="7186.76"/>
    <n v="6277.89"/>
    <n v="7410.82"/>
    <n v="8174.2"/>
    <n v="5907.6"/>
    <n v="9107.7099999999991"/>
    <n v="85808.47"/>
    <n v="-3200.1099999999988"/>
  </r>
  <r>
    <x v="6"/>
    <x v="3"/>
    <x v="0"/>
    <s v="4407101"/>
    <n v="713090"/>
    <s v="Benefits-Allocated Amounts"/>
    <s v="Cardiac Surgery Services"/>
    <x v="0"/>
    <m/>
    <n v="17093.150000000001"/>
    <n v="15736.65"/>
    <n v="16738.75"/>
    <n v="16859.37"/>
    <n v="17271.419999999998"/>
    <n v="17126.900000000001"/>
    <n v="18180.830000000002"/>
    <n v="16608.82"/>
    <n v="14223.74"/>
    <n v="19969.57"/>
    <n v="18186.37"/>
    <n v="24080.84"/>
    <n v="212076.40999999997"/>
    <n v="-5894.4700000000012"/>
  </r>
  <r>
    <x v="17"/>
    <x v="3"/>
    <x v="0"/>
    <s v="4407101"/>
    <n v="714530"/>
    <s v="Medical Prof Fees-Intracompany"/>
    <s v="Cardiac Surgery Services"/>
    <x v="0"/>
    <m/>
    <n v="0"/>
    <n v="0"/>
    <n v="0"/>
    <n v="0"/>
    <n v="0"/>
    <n v="0"/>
    <n v="0"/>
    <n v="0"/>
    <n v="0"/>
    <n v="0"/>
    <n v="0"/>
    <n v="1363973.11"/>
    <n v="1363973.11"/>
    <n v="-1363973.11"/>
  </r>
  <r>
    <x v="7"/>
    <x v="3"/>
    <x v="0"/>
    <s v="4407101"/>
    <n v="718091"/>
    <s v="Contract Services-Intracompany Allocation"/>
    <s v="Cardiac Surgery Services"/>
    <x v="0"/>
    <m/>
    <n v="3497.22"/>
    <n v="3284.51"/>
    <n v="3107.83"/>
    <n v="3908.79"/>
    <n v="3392.53"/>
    <n v="3026.69"/>
    <n v="3615.02"/>
    <n v="3065.12"/>
    <n v="3908.42"/>
    <n v="3644.03"/>
    <n v="3516.66"/>
    <n v="3303.97"/>
    <n v="41270.789999999994"/>
    <n v="212.69000000000005"/>
  </r>
  <r>
    <x v="11"/>
    <x v="3"/>
    <x v="0"/>
    <s v="4407101"/>
    <n v="721010"/>
    <s v="Supplies-Medical - Billable"/>
    <s v="Cardiac Surgery Services"/>
    <x v="0"/>
    <m/>
    <n v="3559.27"/>
    <n v="4304.13"/>
    <n v="3365.42"/>
    <n v="4140.78"/>
    <n v="3388.88"/>
    <n v="4798.7"/>
    <n v="5049.3"/>
    <n v="3709.19"/>
    <n v="6277.18"/>
    <n v="3579.61"/>
    <n v="4161.2299999999996"/>
    <n v="5131.71"/>
    <n v="51465.4"/>
    <n v="-970.48000000000047"/>
  </r>
  <r>
    <x v="11"/>
    <x v="3"/>
    <x v="0"/>
    <s v="4407101"/>
    <n v="721010"/>
    <s v="Patient Monitoring"/>
    <s v="Cardiac Surgery Services"/>
    <x v="0"/>
    <n v="1000"/>
    <n v="6422.85"/>
    <n v="9572.8700000000008"/>
    <n v="5948.34"/>
    <n v="9657.39"/>
    <n v="5699.5"/>
    <n v="10895.41"/>
    <n v="19272.150000000001"/>
    <n v="8359.4599999999991"/>
    <n v="8627.07"/>
    <n v="7991.72"/>
    <n v="5951.76"/>
    <n v="9659.89"/>
    <n v="108058.41"/>
    <n v="-3708.1299999999992"/>
  </r>
  <r>
    <x v="11"/>
    <x v="3"/>
    <x v="0"/>
    <s v="4407101"/>
    <n v="721020"/>
    <s v="Supplies-Surgical - Billable"/>
    <s v="Cardiac Surgery Services"/>
    <x v="0"/>
    <m/>
    <n v="12334.84"/>
    <n v="17134.27"/>
    <n v="12439.89"/>
    <n v="20108.46"/>
    <n v="21099.72"/>
    <n v="21108.400000000001"/>
    <n v="27720.5"/>
    <n v="16707.75"/>
    <n v="24623.96"/>
    <n v="12447.14"/>
    <n v="18280.150000000001"/>
    <n v="21536.09"/>
    <n v="225541.16999999998"/>
    <n v="-3255.9399999999987"/>
  </r>
  <r>
    <x v="11"/>
    <x v="3"/>
    <x v="0"/>
    <s v="4407101"/>
    <n v="721020"/>
    <s v="Custom Packs"/>
    <s v="Cardiac Surgery Services"/>
    <x v="0"/>
    <n v="1000"/>
    <n v="24167.27"/>
    <n v="27232.22"/>
    <n v="22802.76"/>
    <n v="30242.22"/>
    <n v="22485.7"/>
    <n v="26156.29"/>
    <n v="39787.08"/>
    <n v="27984.93"/>
    <n v="28735.62"/>
    <n v="22218.57"/>
    <n v="23936.880000000001"/>
    <n v="29378.13"/>
    <n v="325127.67"/>
    <n v="-5441.25"/>
  </r>
  <r>
    <x v="11"/>
    <x v="3"/>
    <x v="0"/>
    <s v="4407101"/>
    <n v="721020"/>
    <s v="Suture/Wound Closure"/>
    <s v="Cardiac Surgery Services"/>
    <x v="0"/>
    <n v="1001"/>
    <n v="15634.08"/>
    <n v="17414.669999999998"/>
    <n v="13604.13"/>
    <n v="12025.81"/>
    <n v="12462.64"/>
    <n v="17338.88"/>
    <n v="14708.27"/>
    <n v="11715.31"/>
    <n v="11485.1"/>
    <n v="11488.95"/>
    <n v="11276.98"/>
    <n v="15587.67"/>
    <n v="164742.49000000002"/>
    <n v="-4310.6900000000005"/>
  </r>
  <r>
    <x v="11"/>
    <x v="3"/>
    <x v="0"/>
    <s v="4407101"/>
    <n v="721020"/>
    <s v="Endomechanical Supplies &amp; Instruments"/>
    <s v="Cardiac Surgery Services"/>
    <x v="0"/>
    <n v="1003"/>
    <n v="26330.85"/>
    <n v="18283.650000000001"/>
    <n v="28339.86"/>
    <n v="12874.62"/>
    <n v="13098.24"/>
    <n v="44144.61"/>
    <n v="12160"/>
    <n v="16740.34"/>
    <n v="27710.71"/>
    <n v="5562.97"/>
    <n v="14049.03"/>
    <n v="14715.49"/>
    <n v="234010.37"/>
    <n v="-666.45999999999913"/>
  </r>
  <r>
    <x v="11"/>
    <x v="3"/>
    <x v="0"/>
    <s v="4407101"/>
    <n v="721020"/>
    <s v="Heart/Lung Machine Supplies"/>
    <s v="Cardiac Surgery Services"/>
    <x v="0"/>
    <n v="1005"/>
    <n v="27937.33"/>
    <n v="21136.63"/>
    <n v="16599.419999999998"/>
    <n v="23669.35"/>
    <n v="18142.64"/>
    <n v="18168.93"/>
    <n v="25940.6"/>
    <n v="24301.9"/>
    <n v="21481.06"/>
    <n v="17838.439999999999"/>
    <n v="19784.580000000002"/>
    <n v="21677.96"/>
    <n v="256678.84"/>
    <n v="-1893.3799999999974"/>
  </r>
  <r>
    <x v="11"/>
    <x v="3"/>
    <x v="0"/>
    <s v="4407101"/>
    <n v="721020"/>
    <s v="Surgical Cardiovascular"/>
    <s v="Cardiac Surgery Services"/>
    <x v="0"/>
    <n v="1007"/>
    <n v="9835.06"/>
    <n v="10058"/>
    <n v="7249.74"/>
    <n v="9687.7199999999993"/>
    <n v="8427.8799999999992"/>
    <n v="12523.93"/>
    <n v="12191.6"/>
    <n v="9782.6200000000008"/>
    <n v="10891.56"/>
    <n v="14531.58"/>
    <n v="10494.07"/>
    <n v="10945.77"/>
    <n v="126619.52999999998"/>
    <n v="-451.70000000000073"/>
  </r>
  <r>
    <x v="11"/>
    <x v="3"/>
    <x v="0"/>
    <s v="4407101"/>
    <n v="721050"/>
    <s v="Supplies-Cardiac Rhythm - Billable"/>
    <s v="Cardiac Surgery Services"/>
    <x v="0"/>
    <m/>
    <n v="6412.27"/>
    <n v="5571.29"/>
    <n v="9999.57"/>
    <n v="26379.77"/>
    <n v="19393.22"/>
    <n v="14649.25"/>
    <n v="11740.82"/>
    <n v="8603.08"/>
    <n v="23250.68"/>
    <n v="20428.990000000002"/>
    <n v="9007.4"/>
    <n v="15713.28"/>
    <n v="171149.62"/>
    <n v="-6705.880000000001"/>
  </r>
  <r>
    <x v="11"/>
    <x v="3"/>
    <x v="0"/>
    <s v="4407101"/>
    <n v="721050"/>
    <s v="Pacemakers - Internal"/>
    <s v="Cardiac Surgery Services"/>
    <x v="0"/>
    <n v="1000"/>
    <n v="0"/>
    <n v="0"/>
    <n v="0"/>
    <n v="0"/>
    <n v="0"/>
    <n v="375"/>
    <n v="0"/>
    <n v="750"/>
    <n v="0"/>
    <n v="0"/>
    <n v="0"/>
    <n v="0"/>
    <n v="1125"/>
    <n v="0"/>
  </r>
  <r>
    <x v="11"/>
    <x v="3"/>
    <x v="0"/>
    <s v="4407101"/>
    <n v="721050"/>
    <s v="Electrophysiology Products"/>
    <s v="Cardiac Surgery Services"/>
    <x v="0"/>
    <n v="1002"/>
    <n v="0"/>
    <n v="0"/>
    <n v="0"/>
    <n v="0"/>
    <n v="0"/>
    <n v="0"/>
    <n v="0"/>
    <n v="0"/>
    <n v="0"/>
    <n v="0"/>
    <n v="670.02"/>
    <n v="0"/>
    <n v="670.02"/>
    <n v="670.02"/>
  </r>
  <r>
    <x v="11"/>
    <x v="3"/>
    <x v="0"/>
    <s v="4407101"/>
    <n v="721060"/>
    <s v="Supplies-Heart Valves - Billable"/>
    <s v="Cardiac Surgery Services"/>
    <x v="0"/>
    <m/>
    <n v="175650"/>
    <n v="242700"/>
    <n v="120500"/>
    <n v="537325"/>
    <n v="292200"/>
    <n v="247375"/>
    <n v="223800"/>
    <n v="506550"/>
    <n v="-129450"/>
    <n v="166500"/>
    <n v="68550"/>
    <n v="134725"/>
    <n v="2586425"/>
    <n v="-66175"/>
  </r>
  <r>
    <x v="11"/>
    <x v="3"/>
    <x v="0"/>
    <s v="4407101"/>
    <n v="721110"/>
    <s v="Supplies-Grafts - Billable"/>
    <s v="Cardiac Surgery Services"/>
    <x v="0"/>
    <m/>
    <n v="8600.3700000000008"/>
    <n v="8958.08"/>
    <n v="7681.17"/>
    <n v="17518.740000000002"/>
    <n v="12110.96"/>
    <n v="30247.62"/>
    <n v="17422.87"/>
    <n v="13937.76"/>
    <n v="21864.51"/>
    <n v="3461.15"/>
    <n v="15890.76"/>
    <n v="14679.69"/>
    <n v="172373.68"/>
    <n v="1211.0699999999997"/>
  </r>
  <r>
    <x v="11"/>
    <x v="3"/>
    <x v="0"/>
    <s v="4407101"/>
    <n v="721150"/>
    <s v="Supplies-Other Implants - Billable"/>
    <s v="Cardiac Surgery Services"/>
    <x v="0"/>
    <m/>
    <n v="0"/>
    <n v="0"/>
    <n v="0"/>
    <n v="0"/>
    <n v="0"/>
    <n v="0"/>
    <n v="0"/>
    <n v="14176"/>
    <n v="0"/>
    <n v="0"/>
    <n v="0"/>
    <n v="0"/>
    <n v="14176"/>
    <n v="0"/>
  </r>
  <r>
    <x v="11"/>
    <x v="3"/>
    <x v="0"/>
    <s v="4407101"/>
    <n v="721150"/>
    <s v="Surgical Orthopedic"/>
    <s v="Cardiac Surgery Services"/>
    <x v="0"/>
    <n v="1000"/>
    <n v="0"/>
    <n v="0"/>
    <n v="0"/>
    <n v="0"/>
    <n v="0"/>
    <n v="0"/>
    <n v="0"/>
    <n v="893"/>
    <n v="105"/>
    <n v="0"/>
    <n v="0"/>
    <n v="0"/>
    <n v="998"/>
    <n v="0"/>
  </r>
  <r>
    <x v="11"/>
    <x v="3"/>
    <x v="0"/>
    <s v="4407101"/>
    <n v="721150"/>
    <s v="Fracture Management"/>
    <s v="Cardiac Surgery Services"/>
    <x v="0"/>
    <n v="1001"/>
    <n v="3530.92"/>
    <n v="3138"/>
    <n v="2510.4"/>
    <n v="3023.99"/>
    <n v="2031.51"/>
    <n v="3138"/>
    <n v="3236.64"/>
    <n v="2904.96"/>
    <n v="4399.2"/>
    <n v="2094"/>
    <n v="2510.4"/>
    <n v="7450.32"/>
    <n v="39968.339999999997"/>
    <n v="-4939.92"/>
  </r>
  <r>
    <x v="11"/>
    <x v="3"/>
    <x v="0"/>
    <s v="4407101"/>
    <n v="721150"/>
    <s v="Spinal Fixations Internal Syst"/>
    <s v="Cardiac Surgery Services"/>
    <x v="0"/>
    <n v="1002"/>
    <n v="0"/>
    <n v="0"/>
    <n v="0"/>
    <n v="0"/>
    <n v="1800"/>
    <n v="0"/>
    <n v="0"/>
    <n v="0"/>
    <n v="0"/>
    <n v="0"/>
    <n v="0"/>
    <n v="0"/>
    <n v="1800"/>
    <n v="0"/>
  </r>
  <r>
    <x v="11"/>
    <x v="3"/>
    <x v="0"/>
    <s v="4407101"/>
    <n v="721240"/>
    <s v="Supplies-IV Solutions/Supplies - Billable"/>
    <s v="Cardiac Surgery Services"/>
    <x v="0"/>
    <m/>
    <n v="5861.71"/>
    <n v="7305.79"/>
    <n v="5640.75"/>
    <n v="7999.66"/>
    <n v="5375.05"/>
    <n v="7167.16"/>
    <n v="8885.39"/>
    <n v="6399.09"/>
    <n v="7693.74"/>
    <n v="6398.5"/>
    <n v="6007.85"/>
    <n v="7762.52"/>
    <n v="82497.210000000006"/>
    <n v="-1754.67"/>
  </r>
  <r>
    <x v="11"/>
    <x v="3"/>
    <x v="0"/>
    <s v="4407101"/>
    <n v="721410"/>
    <s v="Supplies-Medical - Nonbillable"/>
    <s v="Cardiac Surgery Services"/>
    <x v="0"/>
    <m/>
    <n v="4133.05"/>
    <n v="17248.32"/>
    <n v="16888.060000000001"/>
    <n v="10484.25"/>
    <n v="9401.01"/>
    <n v="9045.57"/>
    <n v="13429.37"/>
    <n v="4394.9799999999996"/>
    <n v="12046.52"/>
    <n v="-268475.57"/>
    <n v="4424.5200000000004"/>
    <n v="10236.65"/>
    <n v="-156743.27000000002"/>
    <n v="-5812.1299999999992"/>
  </r>
  <r>
    <x v="11"/>
    <x v="3"/>
    <x v="0"/>
    <s v="4407101"/>
    <n v="721410"/>
    <s v="Patient Monitoring"/>
    <s v="Cardiac Surgery Services"/>
    <x v="0"/>
    <n v="1000"/>
    <n v="960.29"/>
    <n v="1222.19"/>
    <n v="873"/>
    <n v="1163.99"/>
    <n v="916.64"/>
    <n v="1134.9000000000001"/>
    <n v="1566.21"/>
    <n v="1042.4100000000001"/>
    <n v="1372.38"/>
    <n v="1040.43"/>
    <n v="1224.3399999999999"/>
    <n v="1353.13"/>
    <n v="13869.910000000003"/>
    <n v="-128.79000000000019"/>
  </r>
  <r>
    <x v="11"/>
    <x v="3"/>
    <x v="0"/>
    <s v="4407101"/>
    <n v="721420"/>
    <s v="Supplies-Surgical Nonbillable"/>
    <s v="Cardiac Surgery Services"/>
    <x v="0"/>
    <m/>
    <n v="6436.05"/>
    <n v="7571.61"/>
    <n v="5727.78"/>
    <n v="8311.43"/>
    <n v="6975.8"/>
    <n v="8726.23"/>
    <n v="10577.54"/>
    <n v="8473.83"/>
    <n v="9228.2199999999993"/>
    <n v="7014.18"/>
    <n v="8123.91"/>
    <n v="9291.3799999999992"/>
    <n v="96457.959999999992"/>
    <n v="-1167.4699999999993"/>
  </r>
  <r>
    <x v="11"/>
    <x v="3"/>
    <x v="0"/>
    <s v="4407101"/>
    <n v="721420"/>
    <s v="Heart/Lung Machine Supplies"/>
    <s v="Cardiac Surgery Services"/>
    <x v="0"/>
    <n v="1005"/>
    <n v="10735"/>
    <n v="16007.5"/>
    <n v="10450"/>
    <n v="15152.5"/>
    <n v="10545"/>
    <n v="11542.5"/>
    <n v="18002.5"/>
    <n v="11542.5"/>
    <n v="13680"/>
    <n v="13680"/>
    <n v="13775"/>
    <n v="14250"/>
    <n v="159362.5"/>
    <n v="-475"/>
  </r>
  <r>
    <x v="11"/>
    <x v="3"/>
    <x v="0"/>
    <s v="4407101"/>
    <n v="721420"/>
    <s v="Tubes Drains &amp; Related Supplies"/>
    <s v="Cardiac Surgery Services"/>
    <x v="0"/>
    <n v="1008"/>
    <n v="790.88"/>
    <n v="11.88"/>
    <n v="42.27"/>
    <n v="55.77"/>
    <n v="157.22"/>
    <n v="311.41000000000003"/>
    <n v="38.9"/>
    <n v="37.89"/>
    <n v="38.31"/>
    <n v="224.16"/>
    <n v="38.31"/>
    <n v="2.91"/>
    <n v="1749.9100000000003"/>
    <n v="35.400000000000006"/>
  </r>
  <r>
    <x v="11"/>
    <x v="3"/>
    <x v="0"/>
    <s v="4407101"/>
    <n v="721420"/>
    <s v="Sterilization Process Products"/>
    <s v="Cardiac Surgery Services"/>
    <x v="0"/>
    <n v="1009"/>
    <n v="0"/>
    <n v="0"/>
    <n v="0"/>
    <n v="0"/>
    <n v="0"/>
    <n v="0"/>
    <n v="0"/>
    <n v="0"/>
    <n v="62.42"/>
    <n v="54.03"/>
    <n v="42.48"/>
    <n v="39.04"/>
    <n v="197.97"/>
    <n v="3.4399999999999977"/>
  </r>
  <r>
    <x v="11"/>
    <x v="3"/>
    <x v="0"/>
    <s v="4407101"/>
    <n v="721610"/>
    <s v="Supplies-Anesthesia - Nonbillable"/>
    <s v="Cardiac Surgery Services"/>
    <x v="0"/>
    <m/>
    <n v="765.03"/>
    <n v="1035.78"/>
    <n v="804.61"/>
    <n v="824.96"/>
    <n v="901.35"/>
    <n v="761.59"/>
    <n v="667.56"/>
    <n v="557.16"/>
    <n v="493.62"/>
    <n v="524.46"/>
    <n v="440.95"/>
    <n v="680.69"/>
    <n v="8457.76"/>
    <n v="-239.74000000000007"/>
  </r>
  <r>
    <x v="11"/>
    <x v="3"/>
    <x v="0"/>
    <s v="4407101"/>
    <n v="721640"/>
    <s v="Supplies-IV Solutions/Supplies - Nonbillable"/>
    <s v="Cardiac Surgery Services"/>
    <x v="0"/>
    <m/>
    <n v="1122.1099999999999"/>
    <n v="1434.25"/>
    <n v="1194.68"/>
    <n v="1079.08"/>
    <n v="1176.57"/>
    <n v="969.19"/>
    <n v="632.88"/>
    <n v="810.49"/>
    <n v="864.05"/>
    <n v="804.47"/>
    <n v="800.44"/>
    <n v="895.74"/>
    <n v="11783.949999999999"/>
    <n v="-95.299999999999955"/>
  </r>
  <r>
    <x v="11"/>
    <x v="3"/>
    <x v="0"/>
    <s v="4407101"/>
    <n v="721650"/>
    <s v="Supplies-Pharmacy Drugs - Nonbillable"/>
    <s v="Cardiac Surgery Services"/>
    <x v="0"/>
    <m/>
    <n v="4.0199999999999996"/>
    <n v="0.67"/>
    <n v="0.67"/>
    <n v="1.34"/>
    <n v="0"/>
    <n v="3.35"/>
    <n v="0.67"/>
    <n v="0.67"/>
    <n v="-0.67"/>
    <n v="0"/>
    <n v="0"/>
    <n v="0"/>
    <n v="10.719999999999999"/>
    <n v="0"/>
  </r>
  <r>
    <x v="11"/>
    <x v="3"/>
    <x v="0"/>
    <s v="4407101"/>
    <n v="721710"/>
    <s v="Supplies-Laboratory - Nonbillable"/>
    <s v="Cardiac Surgery Services"/>
    <x v="0"/>
    <m/>
    <n v="231.68"/>
    <n v="191.86"/>
    <n v="209.38"/>
    <n v="244.31"/>
    <n v="270.97000000000003"/>
    <n v="255.53"/>
    <n v="219.47"/>
    <n v="277.14"/>
    <n v="173.29"/>
    <n v="246.11"/>
    <n v="166.84"/>
    <n v="232.22"/>
    <n v="2718.8"/>
    <n v="-65.38"/>
  </r>
  <r>
    <x v="11"/>
    <x v="3"/>
    <x v="0"/>
    <s v="4407101"/>
    <n v="721710"/>
    <s v="Reagents"/>
    <s v="Cardiac Surgery Services"/>
    <x v="0"/>
    <n v="1000"/>
    <n v="1381.95"/>
    <n v="1348.5"/>
    <n v="1142.8499999999999"/>
    <n v="1458.45"/>
    <n v="1236.9000000000001"/>
    <n v="1415.4"/>
    <n v="1246.5"/>
    <n v="1356.45"/>
    <n v="1432.95"/>
    <n v="1597.2"/>
    <n v="1193.8499999999999"/>
    <n v="1356.45"/>
    <n v="16167.450000000003"/>
    <n v="-162.60000000000014"/>
  </r>
  <r>
    <x v="11"/>
    <x v="3"/>
    <x v="0"/>
    <s v="4407101"/>
    <n v="721750"/>
    <s v="Supplies-Film/Radiographic - Nonbillable"/>
    <s v="Cardiac Surgery Services"/>
    <x v="0"/>
    <m/>
    <n v="17.7"/>
    <n v="17.7"/>
    <n v="24.78"/>
    <n v="0"/>
    <n v="10.62"/>
    <n v="138.52000000000001"/>
    <n v="70.05"/>
    <n v="37.71"/>
    <n v="14.16"/>
    <n v="0"/>
    <n v="0"/>
    <n v="0"/>
    <n v="331.24"/>
    <n v="0"/>
  </r>
  <r>
    <x v="11"/>
    <x v="3"/>
    <x v="0"/>
    <s v="4407101"/>
    <n v="721830"/>
    <s v="Supplies-Office"/>
    <s v="Cardiac Surgery Services"/>
    <x v="0"/>
    <m/>
    <n v="80.959999999999994"/>
    <n v="98.38"/>
    <n v="58.02"/>
    <n v="94.89"/>
    <n v="66.760000000000005"/>
    <n v="80.510000000000005"/>
    <n v="98.05"/>
    <n v="1196.94"/>
    <n v="91.52"/>
    <n v="75.680000000000007"/>
    <n v="80.680000000000007"/>
    <n v="88"/>
    <n v="2110.3900000000003"/>
    <n v="-7.3199999999999932"/>
  </r>
  <r>
    <x v="11"/>
    <x v="3"/>
    <x v="0"/>
    <s v="4407101"/>
    <n v="721870"/>
    <s v="Supplies-Environmental Services"/>
    <s v="Cardiac Surgery Services"/>
    <x v="0"/>
    <m/>
    <n v="101.91"/>
    <n v="120.3"/>
    <n v="142.66"/>
    <n v="112.06"/>
    <n v="73.94"/>
    <n v="46.4"/>
    <n v="104.3"/>
    <n v="71.180000000000007"/>
    <n v="54.62"/>
    <n v="126.8"/>
    <n v="46.15"/>
    <n v="47.22"/>
    <n v="1047.54"/>
    <n v="-1.0700000000000003"/>
  </r>
  <r>
    <x v="11"/>
    <x v="3"/>
    <x v="0"/>
    <s v="4407101"/>
    <n v="721910"/>
    <s v="Supplies-Small Equipment"/>
    <s v="Cardiac Surgery Services"/>
    <x v="0"/>
    <m/>
    <n v="5644.64"/>
    <n v="4757.3999999999996"/>
    <n v="2560.83"/>
    <n v="2056.87"/>
    <n v="4925.09"/>
    <n v="2682.78"/>
    <n v="5658.05"/>
    <n v="6910.21"/>
    <n v="6447.7"/>
    <n v="7870.54"/>
    <n v="7320.08"/>
    <n v="8470.6299999999992"/>
    <n v="65304.82"/>
    <n v="-1150.5499999999993"/>
  </r>
  <r>
    <x v="11"/>
    <x v="3"/>
    <x v="0"/>
    <s v="4407101"/>
    <n v="721910"/>
    <s v="Instruments"/>
    <s v="Cardiac Surgery Services"/>
    <x v="0"/>
    <n v="1000"/>
    <n v="30447.040000000001"/>
    <n v="53543.72"/>
    <n v="33811.11"/>
    <n v="38373.15"/>
    <n v="38205.360000000001"/>
    <n v="40157.279999999999"/>
    <n v="63301.7"/>
    <n v="42265.3"/>
    <n v="47575.65"/>
    <n v="38961.040000000001"/>
    <n v="34551.769999999997"/>
    <n v="49252.52"/>
    <n v="510445.64"/>
    <n v="-14700.75"/>
  </r>
  <r>
    <x v="11"/>
    <x v="3"/>
    <x v="0"/>
    <s v="4407101"/>
    <n v="721980"/>
    <s v="Supplies-Other"/>
    <s v="Cardiac Surgery Services"/>
    <x v="0"/>
    <m/>
    <n v="0"/>
    <n v="0"/>
    <n v="388.86"/>
    <n v="0"/>
    <n v="0"/>
    <n v="0"/>
    <n v="0"/>
    <n v="0"/>
    <n v="0"/>
    <n v="0"/>
    <n v="0"/>
    <n v="0"/>
    <n v="388.86"/>
    <n v="0"/>
  </r>
  <r>
    <x v="11"/>
    <x v="3"/>
    <x v="0"/>
    <s v="4407101"/>
    <n v="722000"/>
    <s v="Supplies-Freight Expense"/>
    <s v="Cardiac Surgery Services"/>
    <x v="0"/>
    <m/>
    <n v="0"/>
    <n v="549.45000000000005"/>
    <n v="350.35"/>
    <n v="228.13"/>
    <n v="340.99"/>
    <n v="650.71"/>
    <n v="1212.6199999999999"/>
    <n v="412.57"/>
    <n v="739.25"/>
    <n v="1118.73"/>
    <n v="555.92999999999995"/>
    <n v="364.87"/>
    <n v="6523.5999999999995"/>
    <n v="191.05999999999995"/>
  </r>
  <r>
    <x v="12"/>
    <x v="3"/>
    <x v="0"/>
    <s v="4407101"/>
    <n v="730020"/>
    <s v="Rental and Leases-Equipment (DO NOT USE)"/>
    <s v="Cardiac Surgery Services"/>
    <x v="0"/>
    <m/>
    <n v="0"/>
    <n v="0"/>
    <n v="0"/>
    <n v="0"/>
    <n v="0"/>
    <n v="0"/>
    <n v="0"/>
    <n v="0"/>
    <n v="0"/>
    <n v="0"/>
    <n v="0"/>
    <n v="172.13"/>
    <n v="172.13"/>
    <n v="-172.13"/>
  </r>
  <r>
    <x v="16"/>
    <x v="3"/>
    <x v="0"/>
    <s v="4407101"/>
    <n v="732020"/>
    <s v="Repairs--Clin Equip-Parts-Internal to CHI Programs"/>
    <s v="Cardiac Surgery Services"/>
    <x v="0"/>
    <m/>
    <n v="0"/>
    <n v="179.5"/>
    <n v="173.62"/>
    <n v="269.25"/>
    <n v="89.75"/>
    <n v="179.5"/>
    <n v="263.37"/>
    <n v="173.62"/>
    <n v="179.5"/>
    <n v="167.74"/>
    <n v="167.74"/>
    <n v="185.78"/>
    <n v="2029.3700000000001"/>
    <n v="-18.039999999999992"/>
  </r>
  <r>
    <x v="0"/>
    <x v="3"/>
    <x v="0"/>
    <s v="4407101"/>
    <n v="740020"/>
    <s v="Education-Registration Fees"/>
    <s v="Cardiac Surgery Services"/>
    <x v="0"/>
    <m/>
    <n v="0"/>
    <n v="0"/>
    <n v="0"/>
    <n v="0"/>
    <n v="0"/>
    <n v="0"/>
    <n v="445"/>
    <n v="0"/>
    <n v="0"/>
    <n v="495"/>
    <n v="0"/>
    <n v="0"/>
    <n v="940"/>
    <n v="0"/>
  </r>
  <r>
    <x v="18"/>
    <x v="3"/>
    <x v="0"/>
    <s v="4410101"/>
    <n v="400010"/>
    <s v="Acute I/P Svcs Rev--Medicare"/>
    <s v="Walters Day Surgery"/>
    <x v="0"/>
    <n v="1100"/>
    <n v="-1358365.05"/>
    <n v="-1233049.5900000001"/>
    <n v="-1511259.61"/>
    <n v="-2233142.39"/>
    <n v="-1667783.88"/>
    <n v="-1233947.6000000001"/>
    <n v="-1848790.4"/>
    <n v="-1604367.76"/>
    <n v="-1144841.1499999999"/>
    <n v="-1887269.8"/>
    <n v="-1789532.55"/>
    <n v="-1151149.7"/>
    <n v="-18663499.48"/>
    <n v="-638382.85000000009"/>
  </r>
  <r>
    <x v="18"/>
    <x v="3"/>
    <x v="0"/>
    <s v="4410101"/>
    <n v="400010"/>
    <s v="Acute I/P Svcs Rev--Medicaid"/>
    <s v="Walters Day Surgery"/>
    <x v="0"/>
    <n v="1200"/>
    <n v="-655496.06999999995"/>
    <n v="-335524.71000000002"/>
    <n v="-567019.38"/>
    <n v="-427418.53"/>
    <n v="-335434.25"/>
    <n v="-430167.92"/>
    <n v="-253672.95"/>
    <n v="-486539.13"/>
    <n v="-225881.45"/>
    <n v="-181688.63"/>
    <n v="-494524.99"/>
    <n v="-1018373.94"/>
    <n v="-5411741.9500000011"/>
    <n v="523848.94999999995"/>
  </r>
  <r>
    <x v="18"/>
    <x v="3"/>
    <x v="0"/>
    <s v="4410101"/>
    <n v="400010"/>
    <s v="Acute I/P Svcs Rev--Comm Insurance"/>
    <s v="Walters Day Surgery"/>
    <x v="0"/>
    <n v="1300"/>
    <n v="0"/>
    <n v="-157294.22"/>
    <n v="50238.74"/>
    <n v="-134545.24"/>
    <n v="-70918.22"/>
    <n v="0"/>
    <n v="0"/>
    <n v="-86425.62"/>
    <n v="0"/>
    <n v="-166910.26999999999"/>
    <n v="-151802.01999999999"/>
    <n v="-7259.42"/>
    <n v="-724916.27"/>
    <n v="-144542.59999999998"/>
  </r>
  <r>
    <x v="18"/>
    <x v="3"/>
    <x v="0"/>
    <s v="4410101"/>
    <n v="400010"/>
    <s v="Acute I/P Svcs Rev--BCBS Comm"/>
    <s v="Walters Day Surgery"/>
    <x v="0"/>
    <n v="1301"/>
    <n v="-210737.66"/>
    <n v="-467950.37"/>
    <n v="-85433.59"/>
    <n v="-202137.33"/>
    <n v="-148952.85"/>
    <n v="-202881.88"/>
    <n v="-1360.49"/>
    <n v="-65795.41"/>
    <n v="-67119.5"/>
    <n v="-182026.64"/>
    <n v="-191481.33"/>
    <n v="-216944.87"/>
    <n v="-2042821.9200000004"/>
    <n v="25463.540000000008"/>
  </r>
  <r>
    <x v="18"/>
    <x v="3"/>
    <x v="0"/>
    <s v="4410101"/>
    <n v="400010"/>
    <s v="Acute I/P Svcs Rev--Managed Care"/>
    <s v="Walters Day Surgery"/>
    <x v="0"/>
    <n v="1400"/>
    <n v="-901782.5"/>
    <n v="-1377175.09"/>
    <n v="-577983.41"/>
    <n v="-857571.17"/>
    <n v="-998470.61"/>
    <n v="-1300089.53"/>
    <n v="-503179.65"/>
    <n v="-483797.53"/>
    <n v="-1608374.22"/>
    <n v="-767418.93"/>
    <n v="-920252.19"/>
    <n v="-1805336.5"/>
    <n v="-12101431.33"/>
    <n v="885084.31"/>
  </r>
  <r>
    <x v="18"/>
    <x v="3"/>
    <x v="0"/>
    <s v="4410101"/>
    <n v="400010"/>
    <s v="Acute I/P Svcs Rev--Self Pay"/>
    <s v="Walters Day Surgery"/>
    <x v="0"/>
    <n v="1500"/>
    <n v="100877.39"/>
    <n v="0"/>
    <n v="-1788.26"/>
    <n v="-56024.13"/>
    <n v="54943.68"/>
    <n v="-156773.54999999999"/>
    <n v="0"/>
    <n v="0"/>
    <n v="-111906.3"/>
    <n v="-96509.68"/>
    <n v="-113.56"/>
    <n v="-64596.52"/>
    <n v="-331890.93"/>
    <n v="64482.96"/>
  </r>
  <r>
    <x v="18"/>
    <x v="3"/>
    <x v="0"/>
    <s v="4410101"/>
    <n v="400010"/>
    <s v="Acute I/P Svcs Rev--Other"/>
    <s v="Walters Day Surgery"/>
    <x v="0"/>
    <n v="1700"/>
    <n v="-29903.86"/>
    <n v="-110954.81"/>
    <n v="0"/>
    <n v="-159732.89000000001"/>
    <n v="0"/>
    <n v="-167363.29"/>
    <n v="-75785.509999999995"/>
    <n v="-115913.95"/>
    <n v="-183735.88"/>
    <n v="0"/>
    <n v="0"/>
    <n v="-146687"/>
    <n v="-990077.19"/>
    <n v="146687"/>
  </r>
  <r>
    <x v="19"/>
    <x v="3"/>
    <x v="0"/>
    <s v="4410101"/>
    <n v="400020"/>
    <s v="O/P Care Svcs Rev--Medicare"/>
    <s v="Walters Day Surgery"/>
    <x v="0"/>
    <n v="1100"/>
    <n v="-3157084.99"/>
    <n v="-3601314.29"/>
    <n v="-3434896.19"/>
    <n v="-4380825.6399999997"/>
    <n v="-3439714.64"/>
    <n v="-2717748.92"/>
    <n v="-4510624.33"/>
    <n v="-3187603.5"/>
    <n v="-4978597.59"/>
    <n v="-4518748"/>
    <n v="-4315968.88"/>
    <n v="-3819048.66"/>
    <n v="-46062175.63000001"/>
    <n v="-496920.21999999974"/>
  </r>
  <r>
    <x v="19"/>
    <x v="3"/>
    <x v="0"/>
    <s v="4410101"/>
    <n v="400020"/>
    <s v="O/P Care Svcs Rev--Medicaid"/>
    <s v="Walters Day Surgery"/>
    <x v="0"/>
    <n v="1200"/>
    <n v="-3095777.02"/>
    <n v="-2608900.4900000002"/>
    <n v="-2437744.04"/>
    <n v="-3336390.41"/>
    <n v="-2864264.86"/>
    <n v="-2348069.11"/>
    <n v="-2990272.19"/>
    <n v="-2172661.5299999998"/>
    <n v="-3155974.88"/>
    <n v="-3167520.74"/>
    <n v="-2835748.88"/>
    <n v="-2676674.27"/>
    <n v="-33689998.420000002"/>
    <n v="-159074.60999999987"/>
  </r>
  <r>
    <x v="19"/>
    <x v="3"/>
    <x v="0"/>
    <s v="4410101"/>
    <n v="400020"/>
    <s v="O/P Care Svcs Rev--Comm Insurance"/>
    <s v="Walters Day Surgery"/>
    <x v="0"/>
    <n v="1300"/>
    <n v="-350268.88"/>
    <n v="-382821.74"/>
    <n v="-630267.79"/>
    <n v="-780025.62"/>
    <n v="-811862.1"/>
    <n v="-407097.88"/>
    <n v="-586426.54"/>
    <n v="-631293.42000000004"/>
    <n v="-677779.92"/>
    <n v="-728146.59"/>
    <n v="-100608.86"/>
    <n v="-796040.11"/>
    <n v="-6882639.4500000011"/>
    <n v="695431.25"/>
  </r>
  <r>
    <x v="19"/>
    <x v="3"/>
    <x v="0"/>
    <s v="4410101"/>
    <n v="400020"/>
    <s v="O/P Care Svcs Rev--BCBS Comm"/>
    <s v="Walters Day Surgery"/>
    <x v="0"/>
    <n v="1301"/>
    <n v="-1549350.25"/>
    <n v="-1617911.63"/>
    <n v="-1493674.38"/>
    <n v="-1105937.79"/>
    <n v="-1486107.12"/>
    <n v="-1365460.51"/>
    <n v="-1122093.8700000001"/>
    <n v="-1224672.29"/>
    <n v="-1404339.21"/>
    <n v="-1893680.03"/>
    <n v="-1845179.71"/>
    <n v="-1481872.21"/>
    <n v="-17590279"/>
    <n v="-363307.5"/>
  </r>
  <r>
    <x v="19"/>
    <x v="3"/>
    <x v="0"/>
    <s v="4410101"/>
    <n v="400020"/>
    <s v="O/P Care Svcs Rev--Managed Care"/>
    <s v="Walters Day Surgery"/>
    <x v="0"/>
    <n v="1400"/>
    <n v="-4547799.5999999996"/>
    <n v="-4629569.6399999997"/>
    <n v="-5229406.3600000003"/>
    <n v="-5324423.24"/>
    <n v="-5327232.49"/>
    <n v="-5115506.78"/>
    <n v="-6172658.7699999996"/>
    <n v="-4962975.45"/>
    <n v="-5479080.7800000003"/>
    <n v="-4961340.4800000004"/>
    <n v="-5586597.1600000001"/>
    <n v="-5635293.4100000001"/>
    <n v="-62971884.159999996"/>
    <n v="48696.25"/>
  </r>
  <r>
    <x v="19"/>
    <x v="3"/>
    <x v="0"/>
    <s v="4410101"/>
    <n v="400020"/>
    <s v="O/P Care Svcs Rev--Self Pay"/>
    <s v="Walters Day Surgery"/>
    <x v="0"/>
    <n v="1500"/>
    <n v="-205406.28"/>
    <n v="-357142.53"/>
    <n v="-276626.13"/>
    <n v="-214678.23"/>
    <n v="-300231.26"/>
    <n v="-305974.33"/>
    <n v="-221333.98"/>
    <n v="-546981.72"/>
    <n v="-230608.24"/>
    <n v="-282770.34000000003"/>
    <n v="-477044.08"/>
    <n v="-667516.68000000005"/>
    <n v="-4086313.8000000003"/>
    <n v="190472.60000000003"/>
  </r>
  <r>
    <x v="19"/>
    <x v="3"/>
    <x v="0"/>
    <s v="4410101"/>
    <n v="400020"/>
    <s v="O/P Care Svcs Rev--Other"/>
    <s v="Walters Day Surgery"/>
    <x v="0"/>
    <n v="1700"/>
    <n v="-632821.63"/>
    <n v="-797798.89"/>
    <n v="-1000832.38"/>
    <n v="-1081250.9099999999"/>
    <n v="-854284.6"/>
    <n v="-544317.28"/>
    <n v="-613550.61"/>
    <n v="-836667.16"/>
    <n v="-1215568.18"/>
    <n v="-651724.31000000006"/>
    <n v="-1071397.48"/>
    <n v="-996586.48"/>
    <n v="-10296799.91"/>
    <n v="-74811"/>
  </r>
  <r>
    <x v="14"/>
    <x v="3"/>
    <x v="0"/>
    <s v="4410101"/>
    <n v="600050"/>
    <s v="Miscellaneous Revenue"/>
    <s v="Walters Day Surgery"/>
    <x v="0"/>
    <m/>
    <n v="0"/>
    <n v="0"/>
    <n v="0"/>
    <n v="0"/>
    <n v="0"/>
    <n v="0"/>
    <n v="0"/>
    <n v="0"/>
    <n v="0"/>
    <n v="-1250"/>
    <n v="0"/>
    <n v="0"/>
    <n v="-1250"/>
    <n v="0"/>
  </r>
  <r>
    <x v="5"/>
    <x v="3"/>
    <x v="0"/>
    <s v="4410101"/>
    <n v="700014"/>
    <s v="Salaries-Management-Productive"/>
    <s v="Walters Day Surgery"/>
    <x v="0"/>
    <m/>
    <n v="23779.22"/>
    <n v="24934.23"/>
    <n v="23571.93"/>
    <n v="24617.360000000001"/>
    <n v="25420.45"/>
    <n v="20690.39"/>
    <n v="23896.01"/>
    <n v="20483.71"/>
    <n v="25244.45"/>
    <n v="8482.91"/>
    <n v="27753.03"/>
    <n v="19152.36"/>
    <n v="268026.05000000005"/>
    <n v="8600.6699999999983"/>
  </r>
  <r>
    <x v="5"/>
    <x v="3"/>
    <x v="0"/>
    <s v="4410101"/>
    <n v="700014"/>
    <s v="Salaries-Management-Other"/>
    <s v="Walters Day Surgery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3"/>
    <x v="0"/>
    <s v="4410101"/>
    <n v="700026"/>
    <s v="Salaries-RN-Productive"/>
    <s v="Walters Day Surgery"/>
    <x v="0"/>
    <m/>
    <n v="103497.54"/>
    <n v="109501.53"/>
    <n v="102561.83"/>
    <n v="101223.11"/>
    <n v="101102.82"/>
    <n v="66440.31"/>
    <n v="96510.09"/>
    <n v="75930.36"/>
    <n v="112434.26"/>
    <n v="104165.25"/>
    <n v="108451.9"/>
    <n v="92500.86"/>
    <n v="1174319.8600000001"/>
    <n v="15951.039999999994"/>
  </r>
  <r>
    <x v="5"/>
    <x v="3"/>
    <x v="0"/>
    <s v="4410101"/>
    <n v="700026"/>
    <s v="Salaries-RN-OT"/>
    <s v="Walters Day Surgery"/>
    <x v="0"/>
    <n v="1000"/>
    <n v="6242.3"/>
    <n v="3896.06"/>
    <n v="7235.53"/>
    <n v="7754.06"/>
    <n v="4054.6"/>
    <n v="3825.36"/>
    <n v="4048.33"/>
    <n v="4592.0600000000004"/>
    <n v="4781.55"/>
    <n v="7604.14"/>
    <n v="4857.84"/>
    <n v="5309.1"/>
    <n v="64200.93"/>
    <n v="-451.26000000000022"/>
  </r>
  <r>
    <x v="5"/>
    <x v="3"/>
    <x v="0"/>
    <s v="4410101"/>
    <n v="700026"/>
    <s v="Salaries-RN-Other"/>
    <s v="Walters Day Surgery"/>
    <x v="0"/>
    <n v="2000"/>
    <n v="4198.18"/>
    <n v="3888.11"/>
    <n v="3834.75"/>
    <n v="4122.0600000000004"/>
    <n v="3989.3"/>
    <n v="2510.29"/>
    <n v="3704.44"/>
    <n v="2951.53"/>
    <n v="4082.03"/>
    <n v="3288.03"/>
    <n v="5186.78"/>
    <n v="3712.67"/>
    <n v="45468.17"/>
    <n v="1474.1099999999997"/>
  </r>
  <r>
    <x v="5"/>
    <x v="3"/>
    <x v="0"/>
    <s v="4410101"/>
    <n v="700032"/>
    <s v="Salaries-Other Pat Care Providers-Productive"/>
    <s v="Walters Day Surgery"/>
    <x v="0"/>
    <m/>
    <n v="62.47"/>
    <n v="65.47"/>
    <n v="82.24"/>
    <n v="-21.98"/>
    <n v="63.26"/>
    <n v="0"/>
    <n v="180.26"/>
    <n v="260.69"/>
    <n v="-13.83"/>
    <n v="328.42"/>
    <n v="77.510000000000005"/>
    <n v="11.58"/>
    <n v="1096.0899999999999"/>
    <n v="65.930000000000007"/>
  </r>
  <r>
    <x v="5"/>
    <x v="3"/>
    <x v="0"/>
    <s v="4410101"/>
    <n v="700032"/>
    <s v="Salaries-Other Pat Care Providers-Other"/>
    <s v="Walters Day Surgery"/>
    <x v="0"/>
    <n v="2000"/>
    <n v="0"/>
    <n v="0"/>
    <n v="0"/>
    <n v="0"/>
    <n v="0"/>
    <n v="0"/>
    <n v="24.83"/>
    <n v="0"/>
    <n v="0"/>
    <n v="21.64"/>
    <n v="6.09"/>
    <n v="0"/>
    <n v="52.56"/>
    <n v="6.09"/>
  </r>
  <r>
    <x v="5"/>
    <x v="3"/>
    <x v="0"/>
    <s v="4410101"/>
    <n v="700034"/>
    <s v="Salaries-Tech/Professional-Productive"/>
    <s v="Walters Day Surgery"/>
    <x v="0"/>
    <m/>
    <n v="60985.53"/>
    <n v="74987.16"/>
    <n v="71110.77"/>
    <n v="83185.009999999995"/>
    <n v="84126.82"/>
    <n v="64166.31"/>
    <n v="79501.34"/>
    <n v="69208.13"/>
    <n v="90199.25"/>
    <n v="81309.919999999998"/>
    <n v="89003.21"/>
    <n v="87073.12"/>
    <n v="934856.57000000007"/>
    <n v="1930.0900000000111"/>
  </r>
  <r>
    <x v="5"/>
    <x v="3"/>
    <x v="0"/>
    <s v="4410101"/>
    <n v="700034"/>
    <s v="Salaries-Tech/Professional-OT"/>
    <s v="Walters Day Surgery"/>
    <x v="0"/>
    <n v="1000"/>
    <n v="3097.28"/>
    <n v="1439"/>
    <n v="2740.91"/>
    <n v="4649.3100000000004"/>
    <n v="980.14"/>
    <n v="3710.21"/>
    <n v="3441.9"/>
    <n v="1835.98"/>
    <n v="3191.45"/>
    <n v="2339.04"/>
    <n v="3205.63"/>
    <n v="1759.72"/>
    <n v="32390.570000000003"/>
    <n v="1445.91"/>
  </r>
  <r>
    <x v="5"/>
    <x v="3"/>
    <x v="0"/>
    <s v="4410101"/>
    <n v="700034"/>
    <s v="Salaries-Tech/Professional-Other"/>
    <s v="Walters Day Surgery"/>
    <x v="0"/>
    <n v="2000"/>
    <n v="738.75"/>
    <n v="624.94000000000005"/>
    <n v="591.5"/>
    <n v="1743.35"/>
    <n v="696.81"/>
    <n v="999.36"/>
    <n v="669.66"/>
    <n v="235.65"/>
    <n v="622.9"/>
    <n v="940.87"/>
    <n v="1196.2"/>
    <n v="1204.67"/>
    <n v="10264.66"/>
    <n v="-8.4700000000000273"/>
  </r>
  <r>
    <x v="5"/>
    <x v="3"/>
    <x v="0"/>
    <s v="4410101"/>
    <n v="700038"/>
    <s v="Salaries-Service/Support-Productive"/>
    <s v="Walters Day Surgery"/>
    <x v="0"/>
    <m/>
    <n v="15253.1"/>
    <n v="14813.31"/>
    <n v="13053.22"/>
    <n v="15435.77"/>
    <n v="13397.99"/>
    <n v="15250.23"/>
    <n v="19026.240000000002"/>
    <n v="15347.64"/>
    <n v="19892.400000000001"/>
    <n v="17991.54"/>
    <n v="13432.34"/>
    <n v="17250.62"/>
    <n v="190144.4"/>
    <n v="-3818.2799999999988"/>
  </r>
  <r>
    <x v="5"/>
    <x v="3"/>
    <x v="0"/>
    <s v="4410101"/>
    <n v="700038"/>
    <s v="Salaries-Service/Support-OT"/>
    <s v="Walters Day Surgery"/>
    <x v="0"/>
    <n v="1000"/>
    <n v="575.49"/>
    <n v="118.92"/>
    <n v="1053.72"/>
    <n v="1982.05"/>
    <n v="874.86"/>
    <n v="1190.8900000000001"/>
    <n v="816.12"/>
    <n v="625.58000000000004"/>
    <n v="868.7"/>
    <n v="1400.81"/>
    <n v="809.51"/>
    <n v="937.52"/>
    <n v="11254.17"/>
    <n v="-128.01"/>
  </r>
  <r>
    <x v="5"/>
    <x v="3"/>
    <x v="0"/>
    <s v="4410101"/>
    <n v="700038"/>
    <s v="Salaries-Service/Support-Other"/>
    <s v="Walters Day Surgery"/>
    <x v="0"/>
    <n v="2000"/>
    <n v="146.11000000000001"/>
    <n v="29.31"/>
    <n v="67.459999999999994"/>
    <n v="167.02"/>
    <n v="94.3"/>
    <n v="97.73"/>
    <n v="207.82"/>
    <n v="85.01"/>
    <n v="217.32"/>
    <n v="-33.68"/>
    <n v="0"/>
    <n v="55.79"/>
    <n v="1134.1899999999998"/>
    <n v="-55.79"/>
  </r>
  <r>
    <x v="5"/>
    <x v="3"/>
    <x v="0"/>
    <s v="4410101"/>
    <n v="700054"/>
    <s v="Salaries-Management-Non-productive"/>
    <s v="Walters Day Surgery"/>
    <x v="0"/>
    <m/>
    <n v="1153.8399999999999"/>
    <n v="0"/>
    <n v="1153.8399999999999"/>
    <n v="1106.4100000000001"/>
    <n v="-34.409999999999997"/>
    <n v="5075.18"/>
    <n v="1909.83"/>
    <n v="2822.42"/>
    <n v="558.92999999999995"/>
    <n v="709.11"/>
    <n v="2038.88"/>
    <n v="5818.99"/>
    <n v="22313.020000000004"/>
    <n v="-3780.1099999999997"/>
  </r>
  <r>
    <x v="5"/>
    <x v="3"/>
    <x v="0"/>
    <s v="4410101"/>
    <n v="700054"/>
    <s v="Salaries-Management-NonProd-Other"/>
    <s v="Walters Day Surgery"/>
    <x v="0"/>
    <n v="2000"/>
    <n v="0"/>
    <n v="0"/>
    <n v="0"/>
    <n v="0"/>
    <n v="0"/>
    <n v="4456.08"/>
    <n v="-4456.08"/>
    <n v="0"/>
    <n v="0"/>
    <n v="0"/>
    <n v="0"/>
    <n v="0"/>
    <n v="0"/>
    <n v="0"/>
  </r>
  <r>
    <x v="5"/>
    <x v="3"/>
    <x v="0"/>
    <s v="4410101"/>
    <n v="700066"/>
    <s v="Salaries-RN-Non-productive"/>
    <s v="Walters Day Surgery"/>
    <x v="0"/>
    <m/>
    <n v="17606.46"/>
    <n v="14973.92"/>
    <n v="17107.87"/>
    <n v="16495.27"/>
    <n v="3975.82"/>
    <n v="30859.68"/>
    <n v="13428.16"/>
    <n v="20909.43"/>
    <n v="11878.4"/>
    <n v="11400.64"/>
    <n v="14836.06"/>
    <n v="14851.11"/>
    <n v="188322.82"/>
    <n v="-15.050000000001091"/>
  </r>
  <r>
    <x v="5"/>
    <x v="3"/>
    <x v="0"/>
    <s v="4410101"/>
    <n v="700066"/>
    <s v="Salaries-RN-NonProd-Other"/>
    <s v="Walters Day Surgery"/>
    <x v="0"/>
    <n v="2000"/>
    <n v="740.82"/>
    <n v="500.03"/>
    <n v="874.99"/>
    <n v="790.61"/>
    <n v="850.11"/>
    <n v="1312.16"/>
    <n v="460.12"/>
    <n v="-173.28"/>
    <n v="549.01"/>
    <n v="546.69000000000005"/>
    <n v="702.62"/>
    <n v="545.92999999999995"/>
    <n v="7699.81"/>
    <n v="156.69000000000005"/>
  </r>
  <r>
    <x v="5"/>
    <x v="3"/>
    <x v="0"/>
    <s v="4410101"/>
    <n v="700074"/>
    <s v="Salaries-Tech/Professional-Non-productive"/>
    <s v="Walters Day Surgery"/>
    <x v="0"/>
    <m/>
    <n v="13007.62"/>
    <n v="7673.04"/>
    <n v="8754.91"/>
    <n v="10985.66"/>
    <n v="6555.45"/>
    <n v="21588.42"/>
    <n v="15398.4"/>
    <n v="15178.56"/>
    <n v="19804.13"/>
    <n v="11327.74"/>
    <n v="20251.669999999998"/>
    <n v="15519.17"/>
    <n v="166044.76999999999"/>
    <n v="4732.4999999999982"/>
  </r>
  <r>
    <x v="5"/>
    <x v="3"/>
    <x v="0"/>
    <s v="4410101"/>
    <n v="700074"/>
    <s v="Salaries-Tech/Professional-NonProd-Other"/>
    <s v="Walters Day Surgery"/>
    <x v="0"/>
    <n v="2000"/>
    <n v="123.38"/>
    <n v="123.22"/>
    <n v="115.78"/>
    <n v="98.77"/>
    <n v="365.94"/>
    <n v="101.64"/>
    <n v="20.74"/>
    <n v="-205.22"/>
    <n v="117.44"/>
    <n v="124.72"/>
    <n v="233.09"/>
    <n v="-32.979999999999997"/>
    <n v="1186.5199999999998"/>
    <n v="266.07"/>
  </r>
  <r>
    <x v="5"/>
    <x v="3"/>
    <x v="0"/>
    <s v="4410101"/>
    <n v="700078"/>
    <s v="Salaries-Service/Support-Non-productive"/>
    <s v="Walters Day Surgery"/>
    <x v="0"/>
    <m/>
    <n v="2614.0300000000002"/>
    <n v="2978.06"/>
    <n v="3716.46"/>
    <n v="2584.6799999999998"/>
    <n v="4101.42"/>
    <n v="3850.91"/>
    <n v="2881.12"/>
    <n v="2295.42"/>
    <n v="1779.82"/>
    <n v="546.89"/>
    <n v="5468.12"/>
    <n v="-172.06"/>
    <n v="32644.87"/>
    <n v="5640.18"/>
  </r>
  <r>
    <x v="5"/>
    <x v="3"/>
    <x v="0"/>
    <s v="4410101"/>
    <n v="700078"/>
    <s v="Salaries-Service/Support-NonProd-Other"/>
    <s v="Walters Day Surgery"/>
    <x v="0"/>
    <n v="2000"/>
    <n v="29.33"/>
    <n v="10.45"/>
    <n v="21.07"/>
    <n v="51.57"/>
    <n v="347.14"/>
    <n v="-25.36"/>
    <n v="14.7"/>
    <n v="-187.28"/>
    <n v="4.12"/>
    <n v="65.72"/>
    <n v="24.14"/>
    <n v="-4.8"/>
    <n v="350.8"/>
    <n v="28.94"/>
  </r>
  <r>
    <x v="5"/>
    <x v="3"/>
    <x v="0"/>
    <s v="4410101"/>
    <n v="700084"/>
    <s v="Accrued PTO"/>
    <s v="Walters Day Surgery"/>
    <x v="0"/>
    <m/>
    <n v="1578.43"/>
    <n v="7672.26"/>
    <n v="210.22"/>
    <n v="4788.5"/>
    <n v="11719.15"/>
    <n v="-12287.25"/>
    <n v="3983.07"/>
    <n v="1473.66"/>
    <n v="6217.5"/>
    <n v="12992.21"/>
    <n v="5724.79"/>
    <n v="8859.9"/>
    <n v="52932.44"/>
    <n v="-3135.1099999999997"/>
  </r>
  <r>
    <x v="10"/>
    <x v="3"/>
    <x v="0"/>
    <s v="4410101"/>
    <n v="710060"/>
    <s v="Contract Labor-Other"/>
    <s v="Walters Day Surgery"/>
    <x v="0"/>
    <m/>
    <n v="15297"/>
    <n v="10801.5"/>
    <n v="6925.5"/>
    <n v="11362.5"/>
    <n v="42113.79"/>
    <n v="37331.46"/>
    <n v="23661.75"/>
    <n v="34780.75"/>
    <n v="31881"/>
    <n v="11893.75"/>
    <n v="22581.25"/>
    <n v="55541.5"/>
    <n v="304171.75"/>
    <n v="-32960.25"/>
  </r>
  <r>
    <x v="10"/>
    <x v="3"/>
    <x v="0"/>
    <s v="4410101"/>
    <n v="710060"/>
    <s v="Contract Labor-Overtime"/>
    <s v="Walters Day Surgery"/>
    <x v="0"/>
    <n v="5100"/>
    <n v="0"/>
    <n v="153.9"/>
    <n v="0"/>
    <n v="850.84"/>
    <n v="4089.82"/>
    <n v="2923.78"/>
    <n v="1317.59"/>
    <n v="4108.0600000000004"/>
    <n v="2044.91"/>
    <n v="0"/>
    <n v="0"/>
    <n v="0"/>
    <n v="15488.900000000001"/>
    <n v="0"/>
  </r>
  <r>
    <x v="10"/>
    <x v="3"/>
    <x v="0"/>
    <s v="4410101"/>
    <n v="710060"/>
    <s v="Contract Labor-Standby Wages"/>
    <s v="Walters Day Surgery"/>
    <x v="0"/>
    <n v="5101"/>
    <n v="0"/>
    <n v="0"/>
    <n v="0"/>
    <n v="0"/>
    <n v="0"/>
    <n v="1316.59"/>
    <n v="-1316.59"/>
    <n v="0"/>
    <n v="0"/>
    <n v="0"/>
    <n v="0"/>
    <n v="0"/>
    <n v="0"/>
    <n v="0"/>
  </r>
  <r>
    <x v="6"/>
    <x v="3"/>
    <x v="0"/>
    <s v="4410101"/>
    <n v="713010"/>
    <s v="Benefits-FICA/Medicare"/>
    <s v="Walters Day Surgery"/>
    <x v="0"/>
    <m/>
    <n v="18747.09"/>
    <n v="19290.18"/>
    <n v="19361.41"/>
    <n v="20504.5"/>
    <n v="18790.13"/>
    <n v="17479.64"/>
    <n v="20042.54"/>
    <n v="17232.54"/>
    <n v="21942.53"/>
    <n v="19000.689999999999"/>
    <n v="22162.3"/>
    <n v="19882.16"/>
    <n v="234435.71000000002"/>
    <n v="2280.1399999999994"/>
  </r>
  <r>
    <x v="6"/>
    <x v="3"/>
    <x v="0"/>
    <s v="4410101"/>
    <n v="713090"/>
    <s v="Benefits-Allocated Amounts"/>
    <s v="Walters Day Surgery"/>
    <x v="0"/>
    <m/>
    <n v="53217.38"/>
    <n v="50798.3"/>
    <n v="54044.47"/>
    <n v="56985.49"/>
    <n v="54507.12"/>
    <n v="50740.66"/>
    <n v="60138.66"/>
    <n v="56025.85"/>
    <n v="55486.84"/>
    <n v="58588.639999999999"/>
    <n v="68289.240000000005"/>
    <n v="60510.99"/>
    <n v="679333.64"/>
    <n v="7778.2500000000073"/>
  </r>
  <r>
    <x v="6"/>
    <x v="3"/>
    <x v="0"/>
    <s v="4410101"/>
    <n v="713096"/>
    <s v="Employee Recognition"/>
    <s v="Walters Day Surgery"/>
    <x v="0"/>
    <n v="1017"/>
    <n v="0"/>
    <n v="158.97"/>
    <n v="0"/>
    <n v="618.34"/>
    <n v="185.08"/>
    <n v="0"/>
    <n v="0"/>
    <n v="0"/>
    <n v="238.57"/>
    <n v="1622.46"/>
    <n v="0"/>
    <n v="609.61"/>
    <n v="3433.03"/>
    <n v="-609.61"/>
  </r>
  <r>
    <x v="17"/>
    <x v="3"/>
    <x v="0"/>
    <s v="4410101"/>
    <n v="714510"/>
    <s v="Medical Director Fees"/>
    <s v="Walters Day Surgery"/>
    <x v="0"/>
    <m/>
    <n v="37665.660000000003"/>
    <n v="22523.89"/>
    <n v="21057.74"/>
    <n v="20918.439999999999"/>
    <n v="21108.94"/>
    <n v="20193.3"/>
    <n v="19411.03"/>
    <n v="20564.68"/>
    <n v="21279.21"/>
    <n v="20535.05"/>
    <n v="16901.34"/>
    <n v="23260.720000000001"/>
    <n v="265420"/>
    <n v="-6359.380000000001"/>
  </r>
  <r>
    <x v="17"/>
    <x v="3"/>
    <x v="0"/>
    <s v="4410101"/>
    <n v="714520"/>
    <s v="Other Contracted Professionals"/>
    <s v="Walters Day Surgery"/>
    <x v="0"/>
    <m/>
    <n v="34212.379999999997"/>
    <n v="18907.25"/>
    <n v="19903.12"/>
    <n v="19351.740000000002"/>
    <n v="19179.66"/>
    <n v="4000"/>
    <n v="29050.99"/>
    <n v="24121.66"/>
    <n v="20257.310000000001"/>
    <n v="19612.98"/>
    <n v="15763.7"/>
    <n v="19989.78"/>
    <n v="244350.57000000004"/>
    <n v="-4226.0799999999981"/>
  </r>
  <r>
    <x v="7"/>
    <x v="3"/>
    <x v="0"/>
    <s v="4410101"/>
    <n v="718050"/>
    <s v="Contract Svcs-Other"/>
    <s v="Walters Day Surgery"/>
    <x v="0"/>
    <m/>
    <n v="0"/>
    <n v="385"/>
    <n v="71.14"/>
    <n v="350.97"/>
    <n v="0"/>
    <n v="0"/>
    <n v="145.36000000000001"/>
    <n v="0"/>
    <n v="275.25"/>
    <n v="10.36"/>
    <n v="0"/>
    <n v="0"/>
    <n v="1238.08"/>
    <n v="0"/>
  </r>
  <r>
    <x v="7"/>
    <x v="3"/>
    <x v="0"/>
    <s v="4410101"/>
    <n v="718050"/>
    <s v="Document Shredding/Storage"/>
    <s v="Walters Day Surgery"/>
    <x v="0"/>
    <n v="1012"/>
    <n v="8.44"/>
    <n v="8.6300000000000008"/>
    <n v="7.96"/>
    <n v="8.23"/>
    <n v="8.5"/>
    <n v="8.5"/>
    <n v="8.41"/>
    <n v="7.22"/>
    <n v="7.48"/>
    <n v="9.8000000000000007"/>
    <n v="8.23"/>
    <n v="8.5"/>
    <n v="99.9"/>
    <n v="-0.26999999999999957"/>
  </r>
  <r>
    <x v="7"/>
    <x v="3"/>
    <x v="0"/>
    <s v="4410101"/>
    <n v="718050"/>
    <s v="Miscellaneous Purchased Svcs"/>
    <s v="Walters Day Surgery"/>
    <x v="0"/>
    <n v="1020"/>
    <n v="674.21"/>
    <n v="0"/>
    <n v="0"/>
    <n v="1311.75"/>
    <n v="1837.08"/>
    <n v="2300"/>
    <n v="0"/>
    <n v="0"/>
    <n v="7829.11"/>
    <n v="0"/>
    <n v="1302.48"/>
    <n v="6900"/>
    <n v="22154.629999999997"/>
    <n v="-5597.52"/>
  </r>
  <r>
    <x v="7"/>
    <x v="3"/>
    <x v="0"/>
    <s v="4410101"/>
    <n v="718050"/>
    <s v="Contract Svcs--Medical/Dental"/>
    <s v="Walters Day Surgery"/>
    <x v="0"/>
    <n v="1024"/>
    <n v="3861.61"/>
    <n v="857.43"/>
    <n v="2370.66"/>
    <n v="458.55"/>
    <n v="609.16"/>
    <n v="2177.2399999999998"/>
    <n v="3178.76"/>
    <n v="211.05"/>
    <n v="675.66"/>
    <n v="0"/>
    <n v="0"/>
    <n v="2300"/>
    <n v="16700.12"/>
    <n v="-2300"/>
  </r>
  <r>
    <x v="7"/>
    <x v="3"/>
    <x v="0"/>
    <s v="4410101"/>
    <n v="718050"/>
    <s v="Translation Services"/>
    <s v="Walters Day Surgery"/>
    <x v="0"/>
    <n v="1025"/>
    <n v="492"/>
    <n v="168"/>
    <n v="0"/>
    <n v="125.75"/>
    <n v="0"/>
    <n v="64"/>
    <n v="0"/>
    <n v="0"/>
    <n v="0"/>
    <n v="0"/>
    <n v="0"/>
    <n v="0"/>
    <n v="849.75"/>
    <n v="0"/>
  </r>
  <r>
    <x v="7"/>
    <x v="3"/>
    <x v="0"/>
    <s v="4410101"/>
    <n v="718050"/>
    <s v="Contract Management--Linen"/>
    <s v="Walters Day Surgery"/>
    <x v="0"/>
    <n v="1026"/>
    <n v="4217.4799999999996"/>
    <n v="4398.3599999999997"/>
    <n v="4335.32"/>
    <n v="1907.96"/>
    <n v="3706.65"/>
    <n v="3043.39"/>
    <n v="3641.93"/>
    <n v="3577.37"/>
    <n v="3339"/>
    <n v="4162.47"/>
    <n v="3255.48"/>
    <n v="4387.76"/>
    <n v="43973.170000000006"/>
    <n v="-1132.2800000000002"/>
  </r>
  <r>
    <x v="7"/>
    <x v="3"/>
    <x v="0"/>
    <s v="4410101"/>
    <n v="718070"/>
    <s v="Contract Srvcs-CHI Clinical Engineering"/>
    <s v="Walters Day Surgery"/>
    <x v="0"/>
    <m/>
    <n v="40501.370000000003"/>
    <n v="45048.52"/>
    <n v="45048.52"/>
    <n v="39669.67"/>
    <n v="39452.620000000003"/>
    <n v="39090.81"/>
    <n v="39325.589999999997"/>
    <n v="45884.88"/>
    <n v="46009.24"/>
    <n v="39545.040000000001"/>
    <n v="38091.65"/>
    <n v="39337.29"/>
    <n v="497005.19999999995"/>
    <n v="-1245.6399999999994"/>
  </r>
  <r>
    <x v="7"/>
    <x v="3"/>
    <x v="0"/>
    <s v="4410101"/>
    <n v="718091"/>
    <s v="Contract Services-Intracompany Allocation"/>
    <s v="Walters Day Surgery"/>
    <x v="0"/>
    <m/>
    <n v="9589.14"/>
    <n v="9005.92"/>
    <n v="8521.48"/>
    <n v="10717.65"/>
    <n v="9302.09"/>
    <n v="8298.99"/>
    <n v="9912.15"/>
    <n v="8404.36"/>
    <n v="10716.63"/>
    <n v="9991.69"/>
    <n v="9642.4699999999993"/>
    <n v="9059.2900000000009"/>
    <n v="113161.86000000002"/>
    <n v="583.17999999999847"/>
  </r>
  <r>
    <x v="11"/>
    <x v="3"/>
    <x v="0"/>
    <s v="4410101"/>
    <n v="721010"/>
    <s v="Supplies-Medical - Billable"/>
    <s v="Walters Day Surgery"/>
    <x v="0"/>
    <m/>
    <n v="18469.11"/>
    <n v="15345.41"/>
    <n v="20543.060000000001"/>
    <n v="16263.3"/>
    <n v="16617.669999999998"/>
    <n v="10455.879999999999"/>
    <n v="13571.05"/>
    <n v="15764.92"/>
    <n v="17434.560000000001"/>
    <n v="17235.759999999998"/>
    <n v="17603.830000000002"/>
    <n v="12528.85"/>
    <n v="191833.40000000005"/>
    <n v="5074.9800000000014"/>
  </r>
  <r>
    <x v="11"/>
    <x v="3"/>
    <x v="0"/>
    <s v="4410101"/>
    <n v="721010"/>
    <s v="Patient Monitoring"/>
    <s v="Walters Day Surgery"/>
    <x v="0"/>
    <n v="1000"/>
    <n v="4318.7299999999996"/>
    <n v="3526.67"/>
    <n v="3384.62"/>
    <n v="3719.46"/>
    <n v="3497.39"/>
    <n v="3617.17"/>
    <n v="3615.51"/>
    <n v="2205.34"/>
    <n v="4612.76"/>
    <n v="3603.62"/>
    <n v="4375.18"/>
    <n v="4689.8"/>
    <n v="45166.250000000007"/>
    <n v="-314.61999999999989"/>
  </r>
  <r>
    <x v="11"/>
    <x v="3"/>
    <x v="0"/>
    <s v="4410101"/>
    <n v="721020"/>
    <s v="Supplies-Surgical - Billable"/>
    <s v="Walters Day Surgery"/>
    <x v="0"/>
    <m/>
    <n v="94232.06"/>
    <n v="122324.12"/>
    <n v="72005.56"/>
    <n v="124232.19"/>
    <n v="67515.12"/>
    <n v="94480.23"/>
    <n v="80043.289999999994"/>
    <n v="86314.94"/>
    <n v="103296.04"/>
    <n v="105603.67"/>
    <n v="88413.38"/>
    <n v="117458.49"/>
    <n v="1155919.0900000001"/>
    <n v="-29045.11"/>
  </r>
  <r>
    <x v="11"/>
    <x v="3"/>
    <x v="0"/>
    <s v="4410101"/>
    <n v="721020"/>
    <s v="Custom Packs"/>
    <s v="Walters Day Surgery"/>
    <x v="0"/>
    <n v="1000"/>
    <n v="5934.43"/>
    <n v="6245.18"/>
    <n v="5113.8100000000004"/>
    <n v="6321.32"/>
    <n v="5413.49"/>
    <n v="5018.74"/>
    <n v="5493.59"/>
    <n v="5042.78"/>
    <n v="5989.71"/>
    <n v="5592.94"/>
    <n v="5762.67"/>
    <n v="5250.81"/>
    <n v="67179.47"/>
    <n v="511.85999999999967"/>
  </r>
  <r>
    <x v="11"/>
    <x v="3"/>
    <x v="0"/>
    <s v="4410101"/>
    <n v="721020"/>
    <s v="Suture/Wound Closure"/>
    <s v="Walters Day Surgery"/>
    <x v="0"/>
    <n v="1001"/>
    <n v="51520.06"/>
    <n v="53558.91"/>
    <n v="34266.31"/>
    <n v="31614.67"/>
    <n v="48914.81"/>
    <n v="53145.75"/>
    <n v="25375.06"/>
    <n v="30833.48"/>
    <n v="25295.84"/>
    <n v="25085.94"/>
    <n v="33976.81"/>
    <n v="41329.42"/>
    <n v="454917.06"/>
    <n v="-7352.6100000000006"/>
  </r>
  <r>
    <x v="11"/>
    <x v="3"/>
    <x v="0"/>
    <s v="4410101"/>
    <n v="721020"/>
    <s v="Endoscopy - Trocars &amp; Accessories"/>
    <s v="Walters Day Surgery"/>
    <x v="0"/>
    <n v="1002"/>
    <n v="5361.36"/>
    <n v="5841.38"/>
    <n v="3958.79"/>
    <n v="5824.28"/>
    <n v="4065.65"/>
    <n v="4993.12"/>
    <n v="5706.63"/>
    <n v="4811.54"/>
    <n v="6005.34"/>
    <n v="11126.49"/>
    <n v="7369.02"/>
    <n v="6542.64"/>
    <n v="71606.239999999991"/>
    <n v="826.38000000000011"/>
  </r>
  <r>
    <x v="11"/>
    <x v="3"/>
    <x v="0"/>
    <s v="4410101"/>
    <n v="721020"/>
    <s v="Endomechanical Supplies &amp; Instruments"/>
    <s v="Walters Day Surgery"/>
    <x v="0"/>
    <n v="1003"/>
    <n v="125082.9"/>
    <n v="218129.02"/>
    <n v="178607.94"/>
    <n v="74120.570000000007"/>
    <n v="212379.29"/>
    <n v="240972.14"/>
    <n v="138614.51999999999"/>
    <n v="143696.88"/>
    <n v="184013.2"/>
    <n v="85380.17"/>
    <n v="201453.21"/>
    <n v="166486.26999999999"/>
    <n v="1968936.1099999996"/>
    <n v="34966.94"/>
  </r>
  <r>
    <x v="11"/>
    <x v="3"/>
    <x v="0"/>
    <s v="4410101"/>
    <n v="721020"/>
    <s v="Bone Cement &amp; Supplies"/>
    <s v="Walters Day Surgery"/>
    <x v="0"/>
    <n v="1004"/>
    <n v="816.7"/>
    <n v="1319.38"/>
    <n v="706.01"/>
    <n v="91.38"/>
    <n v="715.65"/>
    <n v="-1.54"/>
    <n v="0"/>
    <n v="401.34"/>
    <n v="1621.76"/>
    <n v="235.18"/>
    <n v="690.93"/>
    <n v="644.55999999999995"/>
    <n v="7241.35"/>
    <n v="46.370000000000005"/>
  </r>
  <r>
    <x v="11"/>
    <x v="3"/>
    <x v="0"/>
    <s v="4410101"/>
    <n v="721020"/>
    <s v="Heart/Lung Machine Supplies"/>
    <s v="Walters Day Surgery"/>
    <x v="0"/>
    <n v="1005"/>
    <n v="0"/>
    <n v="0"/>
    <n v="0"/>
    <n v="0"/>
    <n v="-39"/>
    <n v="299.92"/>
    <n v="-38.979999999999997"/>
    <n v="0"/>
    <n v="0"/>
    <n v="0"/>
    <n v="0"/>
    <n v="0"/>
    <n v="221.94000000000003"/>
    <n v="0"/>
  </r>
  <r>
    <x v="11"/>
    <x v="3"/>
    <x v="0"/>
    <s v="4410101"/>
    <n v="721020"/>
    <s v="Urological Supplies"/>
    <s v="Walters Day Surgery"/>
    <x v="0"/>
    <n v="1006"/>
    <n v="18817.86"/>
    <n v="22198.11"/>
    <n v="26185.040000000001"/>
    <n v="20345.14"/>
    <n v="34742.49"/>
    <n v="18544.16"/>
    <n v="29317.48"/>
    <n v="11101.05"/>
    <n v="26793.79"/>
    <n v="23551.68"/>
    <n v="20299.68"/>
    <n v="15874.66"/>
    <n v="267771.14"/>
    <n v="4425.0200000000004"/>
  </r>
  <r>
    <x v="11"/>
    <x v="3"/>
    <x v="0"/>
    <s v="4410101"/>
    <n v="721020"/>
    <s v="Surgical Cardiovascular"/>
    <s v="Walters Day Surgery"/>
    <x v="0"/>
    <n v="1007"/>
    <n v="8.15"/>
    <n v="12.24"/>
    <n v="8.16"/>
    <n v="15.3"/>
    <n v="13.78"/>
    <n v="15.3"/>
    <n v="15.3"/>
    <n v="13.54"/>
    <n v="13.8"/>
    <n v="22.28"/>
    <n v="39.58"/>
    <n v="-38.299999999999997"/>
    <n v="139.13"/>
    <n v="77.88"/>
  </r>
  <r>
    <x v="11"/>
    <x v="3"/>
    <x v="0"/>
    <s v="4410101"/>
    <n v="721020"/>
    <s v="Tubes Drains &amp; Related Supplies"/>
    <s v="Walters Day Surgery"/>
    <x v="0"/>
    <n v="1008"/>
    <n v="61.95"/>
    <n v="85.68"/>
    <n v="39.31"/>
    <n v="521.84"/>
    <n v="558.91"/>
    <n v="186.7"/>
    <n v="-611.41999999999996"/>
    <n v="38.659999999999997"/>
    <n v="61.52"/>
    <n v="73.81"/>
    <n v="124.21"/>
    <n v="62.9"/>
    <n v="1204.0700000000002"/>
    <n v="61.309999999999995"/>
  </r>
  <r>
    <x v="11"/>
    <x v="3"/>
    <x v="0"/>
    <s v="4410101"/>
    <n v="721050"/>
    <s v="Supplies-Cardiac Rhythm - Billable"/>
    <s v="Walters Day Surgery"/>
    <x v="0"/>
    <m/>
    <n v="20346.900000000001"/>
    <n v="11200.85"/>
    <n v="6997.6"/>
    <n v="13978.83"/>
    <n v="6636.82"/>
    <n v="5221"/>
    <n v="16916.64"/>
    <n v="5966.88"/>
    <n v="3276.31"/>
    <n v="7862.18"/>
    <n v="6079.81"/>
    <n v="6471.38"/>
    <n v="110955.20000000001"/>
    <n v="-391.56999999999971"/>
  </r>
  <r>
    <x v="11"/>
    <x v="3"/>
    <x v="0"/>
    <s v="4410101"/>
    <n v="721060"/>
    <s v="Supplies-Heart Valves - Billable"/>
    <s v="Walters Day Surgery"/>
    <x v="0"/>
    <m/>
    <n v="0"/>
    <n v="0"/>
    <n v="0"/>
    <n v="4250"/>
    <n v="-4250"/>
    <n v="0"/>
    <n v="0"/>
    <n v="0"/>
    <n v="0"/>
    <n v="0"/>
    <n v="0"/>
    <n v="0"/>
    <n v="0"/>
    <n v="0"/>
  </r>
  <r>
    <x v="11"/>
    <x v="3"/>
    <x v="0"/>
    <s v="4410101"/>
    <n v="721110"/>
    <s v="Supplies-Grafts - Billable"/>
    <s v="Walters Day Surgery"/>
    <x v="0"/>
    <m/>
    <n v="0"/>
    <n v="0"/>
    <n v="0"/>
    <n v="-792"/>
    <n v="0"/>
    <n v="0"/>
    <n v="0"/>
    <n v="0"/>
    <n v="0"/>
    <n v="0"/>
    <n v="0"/>
    <n v="0"/>
    <n v="-792"/>
    <n v="0"/>
  </r>
  <r>
    <x v="11"/>
    <x v="3"/>
    <x v="0"/>
    <s v="4410101"/>
    <n v="721120"/>
    <s v="Hip Prosthesis"/>
    <s v="Walters Day Surgery"/>
    <x v="0"/>
    <n v="1000"/>
    <n v="7200"/>
    <n v="26210.82"/>
    <n v="4150.03"/>
    <n v="35695.160000000003"/>
    <n v="5400"/>
    <n v="19750"/>
    <n v="3950"/>
    <n v="11995.16"/>
    <n v="15847.73"/>
    <n v="28783.5"/>
    <n v="15839.41"/>
    <n v="12450"/>
    <n v="187271.81000000003"/>
    <n v="3389.41"/>
  </r>
  <r>
    <x v="11"/>
    <x v="3"/>
    <x v="0"/>
    <s v="4410101"/>
    <n v="721120"/>
    <s v="Knee Prosthesis"/>
    <s v="Walters Day Surgery"/>
    <x v="0"/>
    <n v="1001"/>
    <n v="6700"/>
    <n v="14800"/>
    <n v="7400"/>
    <n v="10066"/>
    <n v="8733"/>
    <n v="340.56"/>
    <n v="0"/>
    <n v="2666"/>
    <n v="23820"/>
    <n v="13766"/>
    <n v="13037.35"/>
    <n v="3700"/>
    <n v="105028.91"/>
    <n v="9337.35"/>
  </r>
  <r>
    <x v="11"/>
    <x v="3"/>
    <x v="0"/>
    <s v="4410101"/>
    <n v="721120"/>
    <s v="Shoulder Prosthesis"/>
    <s v="Walters Day Surgery"/>
    <x v="0"/>
    <n v="1002"/>
    <n v="500"/>
    <n v="1650"/>
    <n v="0"/>
    <n v="6000"/>
    <n v="0"/>
    <n v="0"/>
    <n v="0"/>
    <n v="675"/>
    <n v="0"/>
    <n v="3034.77"/>
    <n v="0"/>
    <n v="0"/>
    <n v="11859.77"/>
    <n v="0"/>
  </r>
  <r>
    <x v="11"/>
    <x v="3"/>
    <x v="0"/>
    <s v="4410101"/>
    <n v="721120"/>
    <s v="Joint Prostheses - Other"/>
    <s v="Walters Day Surgery"/>
    <x v="0"/>
    <n v="1003"/>
    <n v="435"/>
    <n v="3520"/>
    <n v="0"/>
    <n v="3009"/>
    <n v="2925"/>
    <n v="2981"/>
    <n v="0"/>
    <n v="13027.2"/>
    <n v="4062"/>
    <n v="836.4"/>
    <n v="1950"/>
    <n v="1003"/>
    <n v="33748.600000000006"/>
    <n v="947"/>
  </r>
  <r>
    <x v="11"/>
    <x v="3"/>
    <x v="0"/>
    <s v="4410101"/>
    <n v="721150"/>
    <s v="Supplies-Other Implants - Billable"/>
    <s v="Walters Day Surgery"/>
    <x v="0"/>
    <m/>
    <n v="102422.16"/>
    <n v="95622.28"/>
    <n v="224066.79"/>
    <n v="184010.33"/>
    <n v="199608.78"/>
    <n v="146955.6"/>
    <n v="136404.23000000001"/>
    <n v="290310.77"/>
    <n v="70462.58"/>
    <n v="72162.210000000006"/>
    <n v="121254.2"/>
    <n v="121571.43"/>
    <n v="1764851.3599999999"/>
    <n v="-317.22999999999593"/>
  </r>
  <r>
    <x v="11"/>
    <x v="3"/>
    <x v="0"/>
    <s v="4410101"/>
    <n v="721150"/>
    <s v="Surgical Orthopedic"/>
    <s v="Walters Day Surgery"/>
    <x v="0"/>
    <n v="1000"/>
    <n v="7651.7"/>
    <n v="37191.839999999997"/>
    <n v="8813.7900000000009"/>
    <n v="15059.57"/>
    <n v="12431.94"/>
    <n v="12620.18"/>
    <n v="15641.13"/>
    <n v="13860"/>
    <n v="27035.27"/>
    <n v="58916.6"/>
    <n v="47469.4"/>
    <n v="7211.3"/>
    <n v="263902.71999999997"/>
    <n v="40258.1"/>
  </r>
  <r>
    <x v="11"/>
    <x v="3"/>
    <x v="0"/>
    <s v="4410101"/>
    <n v="721150"/>
    <s v="Fracture Management"/>
    <s v="Walters Day Surgery"/>
    <x v="0"/>
    <n v="1001"/>
    <n v="26548.29"/>
    <n v="23636.79"/>
    <n v="15036.2"/>
    <n v="43957.57"/>
    <n v="51551.199999999997"/>
    <n v="59525.15"/>
    <n v="38804.94"/>
    <n v="33446.550000000003"/>
    <n v="54308.92"/>
    <n v="41325.230000000003"/>
    <n v="34725.08"/>
    <n v="18040.95"/>
    <n v="440906.87"/>
    <n v="16684.13"/>
  </r>
  <r>
    <x v="11"/>
    <x v="3"/>
    <x v="0"/>
    <s v="4410101"/>
    <n v="721150"/>
    <s v="Spinal Fixations Internal Syst"/>
    <s v="Walters Day Surgery"/>
    <x v="0"/>
    <n v="1002"/>
    <n v="0"/>
    <n v="0"/>
    <n v="0"/>
    <n v="0"/>
    <n v="0"/>
    <n v="0"/>
    <n v="4263"/>
    <n v="0"/>
    <n v="37264.39"/>
    <n v="23448.39"/>
    <n v="17476.5"/>
    <n v="21063"/>
    <n v="103515.28"/>
    <n v="-3586.5"/>
  </r>
  <r>
    <x v="11"/>
    <x v="3"/>
    <x v="0"/>
    <s v="4410101"/>
    <n v="721150"/>
    <s v="Urological Implants"/>
    <s v="Walters Day Surgery"/>
    <x v="0"/>
    <n v="1004"/>
    <n v="57518.99"/>
    <n v="30391.27"/>
    <n v="20191.919999999998"/>
    <n v="5395"/>
    <n v="16185"/>
    <n v="14976.25"/>
    <n v="17453.740000000002"/>
    <n v="20420.45"/>
    <n v="-2336.65"/>
    <n v="38502.870000000003"/>
    <n v="15928.48"/>
    <n v="11386.1"/>
    <n v="246013.42"/>
    <n v="4542.3799999999992"/>
  </r>
  <r>
    <x v="11"/>
    <x v="3"/>
    <x v="0"/>
    <s v="4410101"/>
    <n v="721240"/>
    <s v="Supplies-IV Solutions/Supplies - Billable"/>
    <s v="Walters Day Surgery"/>
    <x v="0"/>
    <m/>
    <n v="4463.33"/>
    <n v="5618.26"/>
    <n v="4819.67"/>
    <n v="6361.78"/>
    <n v="4365.76"/>
    <n v="4890.13"/>
    <n v="7167.72"/>
    <n v="2604.9899999999998"/>
    <n v="4693.3900000000003"/>
    <n v="6572.98"/>
    <n v="2869.97"/>
    <n v="4033.44"/>
    <n v="58461.42"/>
    <n v="-1163.4700000000003"/>
  </r>
  <r>
    <x v="11"/>
    <x v="3"/>
    <x v="0"/>
    <s v="4410101"/>
    <n v="721250"/>
    <s v="Supplies-Pharmacy Drugs - Billable"/>
    <s v="Walters Day Surgery"/>
    <x v="0"/>
    <m/>
    <n v="0"/>
    <n v="0"/>
    <n v="0"/>
    <n v="0"/>
    <n v="0"/>
    <n v="0"/>
    <n v="27"/>
    <n v="0"/>
    <n v="0"/>
    <n v="0"/>
    <n v="0"/>
    <n v="0"/>
    <n v="27"/>
    <n v="0"/>
  </r>
  <r>
    <x v="11"/>
    <x v="3"/>
    <x v="0"/>
    <s v="4410101"/>
    <n v="721350"/>
    <s v="Supplies-Film/Radiographic - Billable"/>
    <s v="Walters Day Surgery"/>
    <x v="0"/>
    <m/>
    <n v="0"/>
    <n v="0"/>
    <n v="0"/>
    <n v="0"/>
    <n v="0"/>
    <n v="0"/>
    <n v="0"/>
    <n v="264.55"/>
    <n v="0"/>
    <n v="11.7"/>
    <n v="0"/>
    <n v="0"/>
    <n v="276.25"/>
    <n v="0"/>
  </r>
  <r>
    <x v="11"/>
    <x v="3"/>
    <x v="0"/>
    <s v="4410101"/>
    <n v="721410"/>
    <s v="Supplies-Medical - Nonbillable"/>
    <s v="Walters Day Surgery"/>
    <x v="0"/>
    <m/>
    <n v="29229.360000000001"/>
    <n v="35236.910000000003"/>
    <n v="31336.39"/>
    <n v="34471.279999999999"/>
    <n v="32905.22"/>
    <n v="35521.199999999997"/>
    <n v="36877.51"/>
    <n v="36126.129999999997"/>
    <n v="38100"/>
    <n v="-100112.53"/>
    <n v="31591.73"/>
    <n v="35185.82"/>
    <n v="276469.02"/>
    <n v="-3594.09"/>
  </r>
  <r>
    <x v="11"/>
    <x v="3"/>
    <x v="0"/>
    <s v="4410101"/>
    <n v="721410"/>
    <s v="Patient Monitoring"/>
    <s v="Walters Day Surgery"/>
    <x v="0"/>
    <n v="1000"/>
    <n v="0"/>
    <n v="0"/>
    <n v="0"/>
    <n v="0"/>
    <n v="0"/>
    <n v="1266.1500000000001"/>
    <n v="0"/>
    <n v="1519.38"/>
    <n v="0"/>
    <n v="2.2000000000000002"/>
    <n v="0"/>
    <n v="3551.92"/>
    <n v="6339.65"/>
    <n v="-3551.92"/>
  </r>
  <r>
    <x v="11"/>
    <x v="3"/>
    <x v="0"/>
    <s v="4410101"/>
    <n v="721420"/>
    <s v="Supplies-Surgical Nonbillable"/>
    <s v="Walters Day Surgery"/>
    <x v="0"/>
    <m/>
    <n v="29626.67"/>
    <n v="32447.13"/>
    <n v="26847.02"/>
    <n v="34614.54"/>
    <n v="26613.18"/>
    <n v="28428.61"/>
    <n v="37685.550000000003"/>
    <n v="29140.99"/>
    <n v="37272.839999999997"/>
    <n v="33088.339999999997"/>
    <n v="31160.83"/>
    <n v="19790.54"/>
    <n v="366716.24"/>
    <n v="11370.29"/>
  </r>
  <r>
    <x v="11"/>
    <x v="3"/>
    <x v="0"/>
    <s v="4410101"/>
    <n v="721420"/>
    <s v="Tubes Drains &amp; Related Supplies"/>
    <s v="Walters Day Surgery"/>
    <x v="0"/>
    <n v="1008"/>
    <n v="7557.63"/>
    <n v="6452.32"/>
    <n v="5234.04"/>
    <n v="9872.32"/>
    <n v="9841.3799999999992"/>
    <n v="7093.33"/>
    <n v="7794.36"/>
    <n v="6478.56"/>
    <n v="9337.99"/>
    <n v="6636.98"/>
    <n v="8017.51"/>
    <n v="6294.62"/>
    <n v="90611.04"/>
    <n v="1722.8900000000003"/>
  </r>
  <r>
    <x v="11"/>
    <x v="3"/>
    <x v="0"/>
    <s v="4410101"/>
    <n v="721420"/>
    <s v="Sterilization Process Products"/>
    <s v="Walters Day Surgery"/>
    <x v="0"/>
    <n v="1009"/>
    <n v="3190.02"/>
    <n v="974.78"/>
    <n v="1229.5899999999999"/>
    <n v="1337.64"/>
    <n v="913.39"/>
    <n v="807.1"/>
    <n v="1206"/>
    <n v="961.24"/>
    <n v="1693.98"/>
    <n v="1282.6099999999999"/>
    <n v="2101.04"/>
    <n v="803.89"/>
    <n v="16501.28"/>
    <n v="1297.1500000000001"/>
  </r>
  <r>
    <x v="11"/>
    <x v="3"/>
    <x v="0"/>
    <s v="4410101"/>
    <n v="721610"/>
    <s v="Supplies-Anesthesia - Nonbillable"/>
    <s v="Walters Day Surgery"/>
    <x v="0"/>
    <m/>
    <n v="6858.53"/>
    <n v="7869.56"/>
    <n v="8229.01"/>
    <n v="8724.75"/>
    <n v="8361.8799999999992"/>
    <n v="6522.79"/>
    <n v="7970.95"/>
    <n v="7161.31"/>
    <n v="7809.26"/>
    <n v="8897.77"/>
    <n v="9210.59"/>
    <n v="8631.25"/>
    <n v="96247.65"/>
    <n v="579.34000000000015"/>
  </r>
  <r>
    <x v="11"/>
    <x v="3"/>
    <x v="0"/>
    <s v="4410101"/>
    <n v="721640"/>
    <s v="Supplies-IV Solutions/Supplies - Nonbillable"/>
    <s v="Walters Day Surgery"/>
    <x v="0"/>
    <m/>
    <n v="1807.38"/>
    <n v="2242.64"/>
    <n v="2330.09"/>
    <n v="2138.36"/>
    <n v="2140.09"/>
    <n v="2048.84"/>
    <n v="2609.6"/>
    <n v="2212.4899999999998"/>
    <n v="2647.16"/>
    <n v="2843.75"/>
    <n v="2580.4499999999998"/>
    <n v="2509.79"/>
    <n v="28110.640000000003"/>
    <n v="70.659999999999854"/>
  </r>
  <r>
    <x v="11"/>
    <x v="3"/>
    <x v="0"/>
    <s v="4410101"/>
    <n v="721650"/>
    <s v="Supplies-Pharmacy Drugs - Nonbillable"/>
    <s v="Walters Day Surgery"/>
    <x v="0"/>
    <m/>
    <n v="71.900000000000006"/>
    <n v="68.23"/>
    <n v="76.23"/>
    <n v="96.77"/>
    <n v="130.38999999999999"/>
    <n v="68.56"/>
    <n v="92.22"/>
    <n v="72.099999999999994"/>
    <n v="105.7"/>
    <n v="102.26"/>
    <n v="91.95"/>
    <n v="76"/>
    <n v="1052.31"/>
    <n v="15.950000000000003"/>
  </r>
  <r>
    <x v="11"/>
    <x v="3"/>
    <x v="0"/>
    <s v="4410101"/>
    <n v="721710"/>
    <s v="Supplies-Laboratory - Nonbillable"/>
    <s v="Walters Day Surgery"/>
    <x v="0"/>
    <m/>
    <n v="1408.04"/>
    <n v="2373"/>
    <n v="2303.62"/>
    <n v="3540.22"/>
    <n v="1279.43"/>
    <n v="1255.6199999999999"/>
    <n v="1328.3"/>
    <n v="1253.53"/>
    <n v="2400.02"/>
    <n v="3481.3"/>
    <n v="293.14"/>
    <n v="2448.79"/>
    <n v="23365.01"/>
    <n v="-2155.65"/>
  </r>
  <r>
    <x v="11"/>
    <x v="3"/>
    <x v="0"/>
    <s v="4410101"/>
    <n v="721710"/>
    <s v="Reagents"/>
    <s v="Walters Day Surgery"/>
    <x v="0"/>
    <n v="1000"/>
    <n v="100.33"/>
    <n v="35.229999999999997"/>
    <n v="100.33"/>
    <n v="132.33000000000001"/>
    <n v="78.34"/>
    <n v="-3.23"/>
    <n v="0"/>
    <n v="69.569999999999993"/>
    <n v="115.95"/>
    <n v="0"/>
    <n v="0"/>
    <n v="231.9"/>
    <n v="860.75000000000011"/>
    <n v="-231.9"/>
  </r>
  <r>
    <x v="11"/>
    <x v="3"/>
    <x v="0"/>
    <s v="4410101"/>
    <n v="721750"/>
    <s v="Supplies-Film/Radiographic - Nonbillable"/>
    <s v="Walters Day Surgery"/>
    <x v="0"/>
    <m/>
    <n v="576.51"/>
    <n v="602.05999999999995"/>
    <n v="1519.2"/>
    <n v="497.52"/>
    <n v="507.29"/>
    <n v="145.65"/>
    <n v="493.3"/>
    <n v="346.99"/>
    <n v="315.27999999999997"/>
    <n v="1080.74"/>
    <n v="292.55"/>
    <n v="461.79"/>
    <n v="6838.8799999999992"/>
    <n v="-169.24"/>
  </r>
  <r>
    <x v="11"/>
    <x v="3"/>
    <x v="0"/>
    <s v="4410101"/>
    <n v="721810"/>
    <s v="Supplies-Dietary/Cafeteria"/>
    <s v="Walters Day Surgery"/>
    <x v="0"/>
    <m/>
    <n v="5424.55"/>
    <n v="4055.87"/>
    <n v="4591.24"/>
    <n v="4449.17"/>
    <n v="4509.59"/>
    <n v="4640.0200000000004"/>
    <n v="3939.52"/>
    <n v="3904.8"/>
    <n v="5705.27"/>
    <n v="4369.6099999999997"/>
    <n v="6112.11"/>
    <n v="4649.0600000000004"/>
    <n v="56350.81"/>
    <n v="1463.0499999999993"/>
  </r>
  <r>
    <x v="11"/>
    <x v="3"/>
    <x v="0"/>
    <s v="4410101"/>
    <n v="721830"/>
    <s v="Supplies-Office"/>
    <s v="Walters Day Surgery"/>
    <x v="0"/>
    <m/>
    <n v="2187.4899999999998"/>
    <n v="3303.21"/>
    <n v="1158.69"/>
    <n v="2598.9"/>
    <n v="1598.79"/>
    <n v="1725.65"/>
    <n v="3692.34"/>
    <n v="1789.01"/>
    <n v="823.35"/>
    <n v="1382.65"/>
    <n v="1985.39"/>
    <n v="-1382.55"/>
    <n v="20862.919999999998"/>
    <n v="3367.94"/>
  </r>
  <r>
    <x v="11"/>
    <x v="3"/>
    <x v="0"/>
    <s v="4410101"/>
    <n v="721835"/>
    <s v="Supplies-Forms"/>
    <s v="Walters Day Surgery"/>
    <x v="0"/>
    <m/>
    <n v="0"/>
    <n v="85.5"/>
    <n v="0"/>
    <n v="0"/>
    <n v="1721.05"/>
    <n v="514.29999999999995"/>
    <n v="703.88"/>
    <n v="0"/>
    <n v="184.8"/>
    <n v="193.25"/>
    <n v="542.62"/>
    <n v="457.94"/>
    <n v="4403.34"/>
    <n v="84.68"/>
  </r>
  <r>
    <x v="11"/>
    <x v="3"/>
    <x v="0"/>
    <s v="4410101"/>
    <n v="721870"/>
    <s v="Supplies-Environmental Services"/>
    <s v="Walters Day Surgery"/>
    <x v="0"/>
    <m/>
    <n v="1045.8"/>
    <n v="1816.59"/>
    <n v="1275.78"/>
    <n v="1334.91"/>
    <n v="1501.59"/>
    <n v="764.23"/>
    <n v="1705.06"/>
    <n v="1804.54"/>
    <n v="1156.94"/>
    <n v="1589.81"/>
    <n v="1402.68"/>
    <n v="1502.1"/>
    <n v="16900.03"/>
    <n v="-99.419999999999845"/>
  </r>
  <r>
    <x v="11"/>
    <x v="3"/>
    <x v="0"/>
    <s v="4410101"/>
    <n v="721880"/>
    <s v="Supplies-Linen"/>
    <s v="Walters Day Surgery"/>
    <x v="0"/>
    <m/>
    <n v="0"/>
    <n v="0"/>
    <n v="0"/>
    <n v="0"/>
    <n v="0"/>
    <n v="38.520000000000003"/>
    <n v="0"/>
    <n v="0"/>
    <n v="0"/>
    <n v="0"/>
    <n v="0"/>
    <n v="0"/>
    <n v="38.520000000000003"/>
    <n v="0"/>
  </r>
  <r>
    <x v="11"/>
    <x v="3"/>
    <x v="0"/>
    <s v="4410101"/>
    <n v="721910"/>
    <s v="Supplies-Small Equipment"/>
    <s v="Walters Day Surgery"/>
    <x v="0"/>
    <m/>
    <n v="13031.09"/>
    <n v="30788.9"/>
    <n v="10719.45"/>
    <n v="6599.9"/>
    <n v="31872.37"/>
    <n v="13886"/>
    <n v="13993.96"/>
    <n v="33861.01"/>
    <n v="31796.97"/>
    <n v="16292.76"/>
    <n v="13102.32"/>
    <n v="-34129.54"/>
    <n v="181815.19000000003"/>
    <n v="47231.86"/>
  </r>
  <r>
    <x v="11"/>
    <x v="3"/>
    <x v="0"/>
    <s v="4410101"/>
    <n v="721910"/>
    <s v="Instruments"/>
    <s v="Walters Day Surgery"/>
    <x v="0"/>
    <n v="1000"/>
    <n v="14699.25"/>
    <n v="13476.19"/>
    <n v="9743.36"/>
    <n v="17010.7"/>
    <n v="7706.94"/>
    <n v="14479.51"/>
    <n v="16353.19"/>
    <n v="10284.91"/>
    <n v="20923.39"/>
    <n v="26339.52"/>
    <n v="14074.44"/>
    <n v="11232.74"/>
    <n v="176324.13999999998"/>
    <n v="2841.7000000000007"/>
  </r>
  <r>
    <x v="11"/>
    <x v="3"/>
    <x v="0"/>
    <s v="4410101"/>
    <n v="721980"/>
    <s v="Supplies-Other"/>
    <s v="Walters Day Surgery"/>
    <x v="0"/>
    <m/>
    <n v="0"/>
    <n v="199"/>
    <n v="5713.22"/>
    <n v="10060.5"/>
    <n v="0"/>
    <n v="136.81"/>
    <n v="3809.15"/>
    <n v="1419.32"/>
    <n v="-6063.2"/>
    <n v="0"/>
    <n v="0"/>
    <n v="0"/>
    <n v="15274.8"/>
    <n v="0"/>
  </r>
  <r>
    <x v="11"/>
    <x v="3"/>
    <x v="0"/>
    <s v="4410101"/>
    <n v="722000"/>
    <s v="Supplies-Freight Expense"/>
    <s v="Walters Day Surgery"/>
    <x v="0"/>
    <m/>
    <n v="157.79"/>
    <n v="1420.49"/>
    <n v="676.08"/>
    <n v="797.36"/>
    <n v="627.13"/>
    <n v="914.08"/>
    <n v="1244.18"/>
    <n v="522.91"/>
    <n v="1796.34"/>
    <n v="1045.28"/>
    <n v="1110.3800000000001"/>
    <n v="1329.01"/>
    <n v="11641.03"/>
    <n v="-218.62999999999988"/>
  </r>
  <r>
    <x v="11"/>
    <x v="3"/>
    <x v="0"/>
    <s v="4410101"/>
    <n v="722000"/>
    <s v="Minimum Order Fees"/>
    <s v="Walters Day Surgery"/>
    <x v="0"/>
    <n v="1000"/>
    <n v="0"/>
    <n v="9.31"/>
    <n v="0"/>
    <n v="31.93"/>
    <n v="0"/>
    <n v="0"/>
    <n v="0"/>
    <n v="0"/>
    <n v="0"/>
    <n v="0"/>
    <n v="0"/>
    <n v="8.16"/>
    <n v="49.400000000000006"/>
    <n v="-8.16"/>
  </r>
  <r>
    <x v="11"/>
    <x v="3"/>
    <x v="0"/>
    <s v="4410101"/>
    <n v="723000"/>
    <s v="Supply Rebates/Patronage Dividend"/>
    <s v="Walters Day Surgery"/>
    <x v="0"/>
    <m/>
    <n v="0"/>
    <n v="0"/>
    <n v="0"/>
    <n v="0"/>
    <n v="0"/>
    <n v="0"/>
    <n v="0"/>
    <n v="0"/>
    <n v="0"/>
    <n v="0"/>
    <n v="0"/>
    <n v="-6287.45"/>
    <n v="-6287.45"/>
    <n v="6287.45"/>
  </r>
  <r>
    <x v="12"/>
    <x v="3"/>
    <x v="0"/>
    <s v="4410101"/>
    <n v="730020"/>
    <s v="Rental and Leases-Equipment (DO NOT USE)"/>
    <s v="Walters Day Surgery"/>
    <x v="0"/>
    <m/>
    <n v="17275.490000000002"/>
    <n v="17323.18"/>
    <n v="16274.52"/>
    <n v="21141.51"/>
    <n v="13847.94"/>
    <n v="24231.1"/>
    <n v="16733.71"/>
    <n v="12784.66"/>
    <n v="18793.240000000002"/>
    <n v="18193.57"/>
    <n v="14809.18"/>
    <n v="17778.66"/>
    <n v="209186.75999999998"/>
    <n v="-2969.4799999999996"/>
  </r>
  <r>
    <x v="12"/>
    <x v="3"/>
    <x v="0"/>
    <s v="4410101"/>
    <n v="730020"/>
    <s v="Rental and Leases-Copier Usage Fees (DO NOT USE)"/>
    <s v="Walters Day Surgery"/>
    <x v="0"/>
    <n v="5100"/>
    <n v="744.12"/>
    <n v="765.15"/>
    <n v="754.63"/>
    <n v="754.63"/>
    <n v="754.63"/>
    <n v="754.63"/>
    <n v="-2134.2800000000002"/>
    <n v="455.48"/>
    <n v="462.01"/>
    <n v="775.62"/>
    <n v="455.48"/>
    <n v="512.08000000000004"/>
    <n v="5054.18"/>
    <n v="-56.600000000000023"/>
  </r>
  <r>
    <x v="15"/>
    <x v="3"/>
    <x v="0"/>
    <s v="4410101"/>
    <n v="731060"/>
    <s v="Cell Phones"/>
    <s v="Walters Day Surgery"/>
    <x v="0"/>
    <n v="1001"/>
    <n v="0"/>
    <n v="102.77"/>
    <n v="50.57"/>
    <n v="0"/>
    <n v="50.91"/>
    <n v="51.6"/>
    <n v="435.35"/>
    <n v="0"/>
    <n v="51.55"/>
    <n v="103.31"/>
    <n v="50.89"/>
    <n v="51.66"/>
    <n v="948.6099999999999"/>
    <n v="-0.76999999999999602"/>
  </r>
  <r>
    <x v="15"/>
    <x v="3"/>
    <x v="0"/>
    <s v="4410101"/>
    <n v="731060"/>
    <s v="Pagers"/>
    <s v="Walters Day Surgery"/>
    <x v="0"/>
    <n v="1002"/>
    <n v="21.62"/>
    <n v="43.73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227.71000000000004"/>
    <n v="0"/>
  </r>
  <r>
    <x v="16"/>
    <x v="3"/>
    <x v="0"/>
    <s v="4410101"/>
    <n v="732015"/>
    <s v="Repairs-Clinical Equip-T&amp;M-Ext to CHI Programs"/>
    <s v="Walters Day Surgery"/>
    <x v="0"/>
    <m/>
    <n v="252.5"/>
    <n v="0"/>
    <n v="0"/>
    <n v="0"/>
    <n v="0"/>
    <n v="0"/>
    <n v="0"/>
    <n v="0"/>
    <n v="0"/>
    <n v="303"/>
    <n v="0"/>
    <n v="0"/>
    <n v="555.5"/>
    <n v="0"/>
  </r>
  <r>
    <x v="16"/>
    <x v="3"/>
    <x v="0"/>
    <s v="4410101"/>
    <n v="732020"/>
    <s v="Repairs--Clin Equip-Parts-Internal to CHI Programs"/>
    <s v="Walters Day Surgery"/>
    <x v="0"/>
    <m/>
    <n v="0"/>
    <n v="0"/>
    <n v="0"/>
    <n v="0"/>
    <n v="0"/>
    <n v="0"/>
    <n v="0"/>
    <n v="466.47"/>
    <n v="0"/>
    <n v="0"/>
    <n v="0"/>
    <n v="0"/>
    <n v="466.47"/>
    <n v="0"/>
  </r>
  <r>
    <x v="16"/>
    <x v="3"/>
    <x v="0"/>
    <s v="4410101"/>
    <n v="732030"/>
    <s v="Repairs---Other"/>
    <s v="Walters Day Surgery"/>
    <x v="0"/>
    <m/>
    <n v="0"/>
    <n v="3069"/>
    <n v="-790.02"/>
    <n v="8250"/>
    <n v="14434.17"/>
    <n v="0"/>
    <n v="530.25"/>
    <n v="4880.25"/>
    <n v="3000"/>
    <n v="5285"/>
    <n v="1395.99"/>
    <n v="649.41999999999996"/>
    <n v="40704.06"/>
    <n v="746.57"/>
  </r>
  <r>
    <x v="16"/>
    <x v="3"/>
    <x v="0"/>
    <s v="4410101"/>
    <n v="733030"/>
    <s v="Maintenance Contracts-Other"/>
    <s v="Walters Day Surgery"/>
    <x v="0"/>
    <m/>
    <n v="15655.31"/>
    <n v="15655.31"/>
    <n v="15655.31"/>
    <n v="15655.31"/>
    <n v="15655.31"/>
    <n v="15655.31"/>
    <n v="0"/>
    <n v="31310.62"/>
    <n v="15655.31"/>
    <n v="15655.31"/>
    <n v="15655.31"/>
    <n v="15655.31"/>
    <n v="187863.72"/>
    <n v="0"/>
  </r>
  <r>
    <x v="13"/>
    <x v="3"/>
    <x v="0"/>
    <s v="4410101"/>
    <n v="735040"/>
    <s v="Depreciation-Building Improvements"/>
    <s v="Walters Day Surgery"/>
    <x v="0"/>
    <m/>
    <n v="6118.4"/>
    <n v="6118.4"/>
    <n v="6118.4"/>
    <n v="6118.4"/>
    <n v="6118.41"/>
    <n v="6118.4"/>
    <n v="6118.41"/>
    <n v="6118.4"/>
    <n v="6118.41"/>
    <n v="6118.4"/>
    <n v="6118.41"/>
    <n v="6118.4"/>
    <n v="73420.839999999982"/>
    <n v="1.0000000000218279E-2"/>
  </r>
  <r>
    <x v="13"/>
    <x v="3"/>
    <x v="0"/>
    <s v="4410101"/>
    <n v="735060"/>
    <s v="Depreciation-Fixed Equipment"/>
    <s v="Walters Day Surgery"/>
    <x v="0"/>
    <m/>
    <n v="408.14"/>
    <n v="408.14"/>
    <n v="408.14"/>
    <n v="408.14"/>
    <n v="408.14"/>
    <n v="408.14"/>
    <n v="408.14"/>
    <n v="408.14"/>
    <n v="408.14"/>
    <n v="408.14"/>
    <n v="408.14"/>
    <n v="408.13"/>
    <n v="4897.6699999999992"/>
    <n v="9.9999999999909051E-3"/>
  </r>
  <r>
    <x v="13"/>
    <x v="3"/>
    <x v="0"/>
    <s v="4410101"/>
    <n v="735070"/>
    <s v="Depreciation-Movable Equipment"/>
    <s v="Walters Day Surgery"/>
    <x v="0"/>
    <m/>
    <n v="77352.67"/>
    <n v="77352.66"/>
    <n v="76807.53"/>
    <n v="76729.16"/>
    <n v="76729.27"/>
    <n v="76729.119999999995"/>
    <n v="78267.070000000007"/>
    <n v="78266.880000000005"/>
    <n v="78267.070000000007"/>
    <n v="78266.86"/>
    <n v="78664.56"/>
    <n v="78491.17"/>
    <n v="931924.0199999999"/>
    <n v="173.38999999999942"/>
  </r>
  <r>
    <x v="0"/>
    <x v="3"/>
    <x v="0"/>
    <s v="4410101"/>
    <n v="740020"/>
    <s v="Education-Registration Fees"/>
    <s v="Walters Day Surgery"/>
    <x v="0"/>
    <m/>
    <n v="0"/>
    <n v="0"/>
    <n v="0"/>
    <n v="0"/>
    <n v="160"/>
    <n v="0"/>
    <n v="4328"/>
    <n v="795"/>
    <n v="0"/>
    <n v="0"/>
    <n v="660.6"/>
    <n v="0"/>
    <n v="5943.6"/>
    <n v="660.6"/>
  </r>
  <r>
    <x v="0"/>
    <x v="3"/>
    <x v="0"/>
    <s v="4410101"/>
    <n v="742030"/>
    <s v="Freight-Courier"/>
    <s v="Walters Day Surgery"/>
    <x v="0"/>
    <m/>
    <n v="0"/>
    <n v="0"/>
    <n v="0"/>
    <n v="38"/>
    <n v="0"/>
    <n v="0"/>
    <n v="0"/>
    <n v="0"/>
    <n v="0"/>
    <n v="0"/>
    <n v="0"/>
    <n v="0"/>
    <n v="38"/>
    <n v="0"/>
  </r>
  <r>
    <x v="0"/>
    <x v="3"/>
    <x v="0"/>
    <s v="4410101"/>
    <n v="743030"/>
    <s v="Subscriptions--Institutional"/>
    <s v="Walters Day Surgery"/>
    <x v="0"/>
    <m/>
    <n v="0"/>
    <n v="0"/>
    <n v="418.5"/>
    <n v="0"/>
    <n v="0"/>
    <n v="0"/>
    <n v="0"/>
    <n v="237.95"/>
    <n v="555"/>
    <n v="0"/>
    <n v="0"/>
    <n v="0"/>
    <n v="1211.45"/>
    <n v="0"/>
  </r>
  <r>
    <x v="0"/>
    <x v="3"/>
    <x v="0"/>
    <s v="4410101"/>
    <n v="743040"/>
    <s v="Subscriptions--Individual"/>
    <s v="Walters Day Surgery"/>
    <x v="0"/>
    <m/>
    <n v="0"/>
    <n v="0"/>
    <n v="0"/>
    <n v="0"/>
    <n v="0"/>
    <n v="0"/>
    <n v="0"/>
    <n v="0"/>
    <n v="0"/>
    <n v="0"/>
    <n v="59.9"/>
    <n v="0"/>
    <n v="59.9"/>
    <n v="59.9"/>
  </r>
  <r>
    <x v="0"/>
    <x v="3"/>
    <x v="0"/>
    <s v="4410101"/>
    <n v="749510"/>
    <s v="Miscellaneous Expenses"/>
    <s v="Walters Day Surgery"/>
    <x v="0"/>
    <m/>
    <n v="407.47"/>
    <n v="523.66999999999996"/>
    <n v="383.08"/>
    <n v="362.31"/>
    <n v="686.97"/>
    <n v="3474.74"/>
    <n v="77.86"/>
    <n v="1771.29"/>
    <n v="1635.3"/>
    <n v="7702.16"/>
    <n v="-8218.56"/>
    <n v="39455.040000000001"/>
    <n v="48261.33"/>
    <n v="-47673.599999999999"/>
  </r>
  <r>
    <x v="0"/>
    <x v="3"/>
    <x v="0"/>
    <s v="4410101"/>
    <n v="749510"/>
    <s v="Licenses"/>
    <s v="Walters Day Surgery"/>
    <x v="0"/>
    <n v="1002"/>
    <n v="900"/>
    <n v="900"/>
    <n v="0"/>
    <n v="0"/>
    <n v="0"/>
    <n v="2700"/>
    <n v="900"/>
    <n v="1800"/>
    <n v="900"/>
    <n v="900"/>
    <n v="900"/>
    <n v="996.92"/>
    <n v="10896.92"/>
    <n v="-96.919999999999959"/>
  </r>
  <r>
    <x v="0"/>
    <x v="3"/>
    <x v="0"/>
    <s v="4410101"/>
    <n v="749530"/>
    <s v="Travel"/>
    <s v="Walters Day Surgery"/>
    <x v="0"/>
    <m/>
    <n v="0"/>
    <n v="18"/>
    <n v="0"/>
    <n v="441.45"/>
    <n v="1709.29"/>
    <n v="329.3"/>
    <n v="323.62"/>
    <n v="527.84"/>
    <n v="0"/>
    <n v="3019.17"/>
    <n v="10578.5"/>
    <n v="1486.56"/>
    <n v="18433.73"/>
    <n v="9091.94"/>
  </r>
  <r>
    <x v="0"/>
    <x v="3"/>
    <x v="0"/>
    <s v="4410101"/>
    <n v="749535"/>
    <s v="Meetings"/>
    <s v="Walters Day Surgery"/>
    <x v="0"/>
    <m/>
    <n v="0"/>
    <n v="0"/>
    <n v="0"/>
    <n v="96.63"/>
    <n v="0"/>
    <n v="0"/>
    <n v="0"/>
    <n v="0"/>
    <n v="0"/>
    <n v="0"/>
    <n v="673.11"/>
    <n v="0"/>
    <n v="769.74"/>
    <n v="673.11"/>
  </r>
  <r>
    <x v="5"/>
    <x v="3"/>
    <x v="0"/>
    <s v="4415101"/>
    <n v="700032"/>
    <s v="Salaries-Other Pat Care Providers-Productive"/>
    <s v="Perfusion"/>
    <x v="0"/>
    <m/>
    <n v="49172.33"/>
    <n v="52487.57"/>
    <n v="51436.24"/>
    <n v="48634.29"/>
    <n v="58849.37"/>
    <n v="47512.77"/>
    <n v="53468.65"/>
    <n v="48362.8"/>
    <n v="62729.75"/>
    <n v="53632.480000000003"/>
    <n v="58071.58"/>
    <n v="39011.480000000003"/>
    <n v="623369.30999999994"/>
    <n v="19060.099999999999"/>
  </r>
  <r>
    <x v="5"/>
    <x v="3"/>
    <x v="0"/>
    <s v="4415101"/>
    <n v="700032"/>
    <s v="Salaries-Other Pat Care Providers-Other"/>
    <s v="Perfusion"/>
    <x v="0"/>
    <n v="2000"/>
    <n v="455.32"/>
    <n v="1366.04"/>
    <n v="53.64"/>
    <n v="375"/>
    <n v="1098.18"/>
    <n v="776.82"/>
    <n v="0"/>
    <n v="1528.96"/>
    <n v="777.93"/>
    <n v="965.7"/>
    <n v="107.34"/>
    <n v="2682.44"/>
    <n v="10187.370000000001"/>
    <n v="-2575.1"/>
  </r>
  <r>
    <x v="5"/>
    <x v="3"/>
    <x v="0"/>
    <s v="4415101"/>
    <n v="700072"/>
    <s v="Salaries-Other Pat Care Providers-Non-productive"/>
    <s v="Perfusion"/>
    <x v="0"/>
    <m/>
    <n v="11435.38"/>
    <n v="8122.93"/>
    <n v="7219.84"/>
    <n v="13478.51"/>
    <n v="1606.73"/>
    <n v="14960.59"/>
    <n v="9102.25"/>
    <n v="8147.11"/>
    <n v="-164.68"/>
    <n v="6912.27"/>
    <n v="4493.43"/>
    <n v="5770.29"/>
    <n v="91084.650000000009"/>
    <n v="-1276.8599999999997"/>
  </r>
  <r>
    <x v="5"/>
    <x v="3"/>
    <x v="0"/>
    <s v="4415101"/>
    <n v="700072"/>
    <s v="Salaries-Other Pat Care Providers-NonProd-Other"/>
    <s v="Perfusion"/>
    <x v="0"/>
    <n v="2000"/>
    <n v="0"/>
    <n v="0"/>
    <n v="0"/>
    <n v="0"/>
    <n v="425.61"/>
    <n v="851.22"/>
    <n v="0"/>
    <n v="-1276.83"/>
    <n v="0"/>
    <n v="0"/>
    <n v="0"/>
    <n v="0"/>
    <n v="0"/>
    <n v="0"/>
  </r>
  <r>
    <x v="5"/>
    <x v="3"/>
    <x v="0"/>
    <s v="4415101"/>
    <n v="700084"/>
    <s v="Accrued PTO"/>
    <s v="Perfusion"/>
    <x v="0"/>
    <m/>
    <n v="-2709.51"/>
    <n v="-505.25"/>
    <n v="833.97"/>
    <n v="-1059.98"/>
    <n v="4005.01"/>
    <n v="-5608.87"/>
    <n v="-2445.96"/>
    <n v="1455.81"/>
    <n v="6399.55"/>
    <n v="2955.2"/>
    <n v="1299.73"/>
    <n v="2761.78"/>
    <n v="7381.4800000000014"/>
    <n v="-1462.0500000000002"/>
  </r>
  <r>
    <x v="6"/>
    <x v="3"/>
    <x v="0"/>
    <s v="4415101"/>
    <n v="713010"/>
    <s v="Benefits-FICA/Medicare"/>
    <s v="Perfusion"/>
    <x v="0"/>
    <m/>
    <n v="4543.04"/>
    <n v="4612.9399999999996"/>
    <n v="4367.18"/>
    <n v="4651.8"/>
    <n v="1773.42"/>
    <n v="3490.43"/>
    <n v="4662.1000000000004"/>
    <n v="4327.7"/>
    <n v="4721.6000000000004"/>
    <n v="4585.3100000000004"/>
    <n v="6047.19"/>
    <n v="3515"/>
    <n v="51297.71"/>
    <n v="2532.1899999999996"/>
  </r>
  <r>
    <x v="6"/>
    <x v="3"/>
    <x v="0"/>
    <s v="4415101"/>
    <n v="713090"/>
    <s v="Benefits-Allocated Amounts"/>
    <s v="Perfusion"/>
    <x v="0"/>
    <m/>
    <n v="8552.58"/>
    <n v="8061.82"/>
    <n v="8574.7000000000007"/>
    <n v="8443.14"/>
    <n v="8683.6"/>
    <n v="8386.83"/>
    <n v="8886.27"/>
    <n v="9029.4699999999993"/>
    <n v="7139.87"/>
    <n v="9000.06"/>
    <n v="9461.65"/>
    <n v="6848.86"/>
    <n v="101068.84999999999"/>
    <n v="2612.79"/>
  </r>
  <r>
    <x v="7"/>
    <x v="3"/>
    <x v="0"/>
    <s v="4415101"/>
    <n v="718091"/>
    <s v="Contract Services-Intracompany Allocation"/>
    <s v="Perfusion"/>
    <x v="0"/>
    <m/>
    <n v="2820.64"/>
    <n v="3313.92"/>
    <n v="2495.7199999999998"/>
    <n v="3674.15"/>
    <n v="2886.2"/>
    <n v="3984.71"/>
    <n v="3841.28"/>
    <n v="3809.78"/>
    <n v="3981.88"/>
    <n v="1568.35"/>
    <n v="4149.71"/>
    <n v="3339.41"/>
    <n v="39865.75"/>
    <n v="810.30000000000018"/>
  </r>
  <r>
    <x v="0"/>
    <x v="3"/>
    <x v="0"/>
    <s v="4415101"/>
    <n v="740020"/>
    <s v="Education-Registration Fees"/>
    <s v="Perfusion"/>
    <x v="0"/>
    <m/>
    <n v="0"/>
    <n v="0"/>
    <n v="0"/>
    <n v="1069"/>
    <n v="0"/>
    <n v="0"/>
    <n v="0"/>
    <n v="1073"/>
    <n v="0"/>
    <n v="450"/>
    <n v="0"/>
    <n v="0"/>
    <n v="2592"/>
    <n v="0"/>
  </r>
  <r>
    <x v="0"/>
    <x v="3"/>
    <x v="0"/>
    <s v="4415101"/>
    <n v="743020"/>
    <s v="Dues--Individual"/>
    <s v="Perfusion"/>
    <x v="0"/>
    <m/>
    <n v="125"/>
    <n v="225"/>
    <n v="0"/>
    <n v="0"/>
    <n v="0"/>
    <n v="0"/>
    <n v="0"/>
    <n v="0"/>
    <n v="0"/>
    <n v="0"/>
    <n v="0"/>
    <n v="131"/>
    <n v="481"/>
    <n v="-131"/>
  </r>
  <r>
    <x v="0"/>
    <x v="3"/>
    <x v="0"/>
    <s v="4415101"/>
    <n v="743040"/>
    <s v="Subscriptions--Individual"/>
    <s v="Perfusion"/>
    <x v="0"/>
    <m/>
    <n v="0"/>
    <n v="0"/>
    <n v="0"/>
    <n v="0"/>
    <n v="225"/>
    <n v="0"/>
    <n v="0"/>
    <n v="0"/>
    <n v="0"/>
    <n v="0"/>
    <n v="0"/>
    <n v="0"/>
    <n v="225"/>
    <n v="0"/>
  </r>
  <r>
    <x v="0"/>
    <x v="3"/>
    <x v="0"/>
    <s v="4415101"/>
    <n v="749510"/>
    <s v="Miscellaneous Expenses"/>
    <s v="Perfusion"/>
    <x v="0"/>
    <m/>
    <n v="-262"/>
    <n v="0"/>
    <n v="1364.55"/>
    <n v="-1364.55"/>
    <n v="0"/>
    <n v="0"/>
    <n v="2994.93"/>
    <n v="-2994.93"/>
    <n v="0"/>
    <n v="0"/>
    <n v="131"/>
    <n v="-131"/>
    <n v="-262"/>
    <n v="262"/>
  </r>
  <r>
    <x v="0"/>
    <x v="3"/>
    <x v="0"/>
    <s v="4415101"/>
    <n v="749510"/>
    <s v="Licenses"/>
    <s v="Perfusion"/>
    <x v="0"/>
    <n v="1002"/>
    <n v="262"/>
    <n v="0"/>
    <n v="0"/>
    <n v="0"/>
    <n v="0"/>
    <n v="0"/>
    <n v="0"/>
    <n v="0"/>
    <n v="0"/>
    <n v="0"/>
    <n v="0"/>
    <n v="262"/>
    <n v="524"/>
    <n v="-262"/>
  </r>
  <r>
    <x v="0"/>
    <x v="3"/>
    <x v="0"/>
    <s v="4415101"/>
    <n v="749530"/>
    <s v="Travel"/>
    <s v="Perfusion"/>
    <x v="0"/>
    <m/>
    <n v="0"/>
    <n v="0"/>
    <n v="0"/>
    <n v="915.55"/>
    <n v="0"/>
    <n v="0"/>
    <n v="0"/>
    <n v="1921.93"/>
    <n v="0"/>
    <n v="1571.44"/>
    <n v="45"/>
    <n v="0"/>
    <n v="4453.92"/>
    <n v="45"/>
  </r>
  <r>
    <x v="0"/>
    <x v="3"/>
    <x v="0"/>
    <s v="4415101"/>
    <n v="749535"/>
    <s v="Meetings"/>
    <s v="Perfusion"/>
    <x v="0"/>
    <m/>
    <n v="0"/>
    <n v="0"/>
    <n v="0"/>
    <n v="0"/>
    <n v="0"/>
    <n v="0"/>
    <n v="0"/>
    <n v="0"/>
    <n v="0"/>
    <n v="0"/>
    <n v="230.47"/>
    <n v="0"/>
    <n v="230.47"/>
    <n v="230.47"/>
  </r>
  <r>
    <x v="0"/>
    <x v="3"/>
    <x v="0"/>
    <s v="4415101"/>
    <n v="749535"/>
    <s v="Medicare Non-Allowable Beverages"/>
    <s v="Perfusion"/>
    <x v="0"/>
    <n v="1005"/>
    <n v="0"/>
    <n v="0"/>
    <n v="0"/>
    <n v="0"/>
    <n v="0"/>
    <n v="0"/>
    <n v="0"/>
    <n v="0"/>
    <n v="0"/>
    <n v="0"/>
    <n v="13.4"/>
    <n v="0"/>
    <n v="13.4"/>
    <n v="13.4"/>
  </r>
  <r>
    <x v="15"/>
    <x v="9"/>
    <x v="0"/>
    <s v="4420501"/>
    <n v="731060"/>
    <s v="Pagers"/>
    <s v="RNFA Surgery"/>
    <x v="0"/>
    <n v="1002"/>
    <n v="0"/>
    <n v="0"/>
    <n v="0"/>
    <n v="0"/>
    <n v="0"/>
    <n v="0"/>
    <n v="0"/>
    <n v="0"/>
    <n v="0"/>
    <n v="0"/>
    <n v="0"/>
    <n v="0"/>
    <n v="0"/>
    <n v="0"/>
  </r>
  <r>
    <x v="18"/>
    <x v="5"/>
    <x v="0"/>
    <s v="4450106"/>
    <n v="400010"/>
    <s v="Acute I/P Svcs Rev--Medicare"/>
    <s v="Anesthesiology"/>
    <x v="0"/>
    <n v="1100"/>
    <n v="0"/>
    <n v="0"/>
    <n v="0"/>
    <n v="0"/>
    <n v="0"/>
    <n v="0"/>
    <n v="0"/>
    <n v="0"/>
    <n v="0"/>
    <n v="0"/>
    <n v="0"/>
    <n v="0"/>
    <n v="0"/>
    <n v="0"/>
  </r>
  <r>
    <x v="18"/>
    <x v="5"/>
    <x v="0"/>
    <s v="4450106"/>
    <n v="400010"/>
    <s v="Acute I/P Svcs Rev--BCBS Comm"/>
    <s v="Anesthesiology"/>
    <x v="0"/>
    <n v="1301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450106"/>
    <n v="400020"/>
    <s v="O/P Care Svcs Rev--Medicare"/>
    <s v="Anesthesiology"/>
    <x v="0"/>
    <n v="1100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450106"/>
    <n v="400020"/>
    <s v="O/P Care Svcs Rev--Medicaid"/>
    <s v="Anesthesiology"/>
    <x v="0"/>
    <n v="1200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450106"/>
    <n v="400020"/>
    <s v="O/P Care Svcs Rev--Managed Care"/>
    <s v="Anesthesiology"/>
    <x v="0"/>
    <n v="1400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450106"/>
    <n v="400020"/>
    <s v="O/P Care Svcs Rev--Self Pay"/>
    <s v="Anesthesiology"/>
    <x v="0"/>
    <n v="1500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010"/>
    <s v="Supplies-Medical - Billable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010"/>
    <s v="Patient Monitoring"/>
    <s v="Anesthesiology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220"/>
    <s v="Supplies-Medical Gases - Billable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410"/>
    <s v="Supplies-Medical - Nonbillable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420"/>
    <s v="Tubes Drains &amp; Related Supplies"/>
    <s v="Anesthesiology"/>
    <x v="0"/>
    <n v="1008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420"/>
    <s v="Sterilization Process Products"/>
    <s v="Anesthesiology"/>
    <x v="0"/>
    <n v="1009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610"/>
    <s v="Supplies-Anesthesia - Nonbillable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640"/>
    <s v="Supplies-IV Solutions/Supplies - Nonbillable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650"/>
    <s v="Supplies-Pharmacy Drugs - Nonbillable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910"/>
    <s v="Supplies-Small Equipment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4450106"/>
    <n v="721910"/>
    <s v="Instruments"/>
    <s v="Anesthesiology"/>
    <x v="0"/>
    <n v="1000"/>
    <n v="0"/>
    <n v="0"/>
    <n v="0"/>
    <n v="0"/>
    <n v="0"/>
    <n v="0"/>
    <n v="0"/>
    <n v="0"/>
    <n v="0"/>
    <n v="0"/>
    <n v="63"/>
    <n v="-63"/>
    <n v="0"/>
    <n v="126"/>
  </r>
  <r>
    <x v="11"/>
    <x v="5"/>
    <x v="0"/>
    <s v="4450106"/>
    <n v="722000"/>
    <s v="Supplies-Freight Expense"/>
    <s v="Anesthesiology"/>
    <x v="0"/>
    <m/>
    <n v="0"/>
    <n v="0"/>
    <n v="0"/>
    <n v="0"/>
    <n v="0"/>
    <n v="0"/>
    <n v="0"/>
    <n v="0"/>
    <n v="0"/>
    <n v="0"/>
    <n v="8.26"/>
    <n v="-8.26"/>
    <n v="0"/>
    <n v="16.52"/>
  </r>
  <r>
    <x v="19"/>
    <x v="6"/>
    <x v="0"/>
    <s v="4450107"/>
    <n v="400020"/>
    <s v="O/P Care Svcs Rev--Medicare"/>
    <s v="Anesthesia-Bremerton"/>
    <x v="0"/>
    <n v="1100"/>
    <n v="2653.13"/>
    <n v="0"/>
    <n v="0"/>
    <n v="0"/>
    <n v="0"/>
    <n v="0"/>
    <n v="0"/>
    <n v="0"/>
    <n v="0"/>
    <n v="0"/>
    <n v="0"/>
    <n v="0"/>
    <n v="2653.13"/>
    <n v="0"/>
  </r>
  <r>
    <x v="19"/>
    <x v="6"/>
    <x v="0"/>
    <s v="4450107"/>
    <n v="400020"/>
    <s v="O/P Care Svcs Rev--Other"/>
    <s v="Anesthesia-Bremerton"/>
    <x v="0"/>
    <n v="1700"/>
    <n v="-2653.13"/>
    <n v="0"/>
    <n v="0"/>
    <n v="0"/>
    <n v="0"/>
    <n v="0"/>
    <n v="0"/>
    <n v="0"/>
    <n v="0"/>
    <n v="0"/>
    <n v="0"/>
    <n v="0"/>
    <n v="-2653.13"/>
    <n v="0"/>
  </r>
  <r>
    <x v="5"/>
    <x v="6"/>
    <x v="0"/>
    <s v="4450107"/>
    <n v="700030"/>
    <s v="Salaries-LPN-Productive"/>
    <s v="Anesthesia-Bremerton"/>
    <x v="0"/>
    <m/>
    <n v="0"/>
    <n v="130.32"/>
    <n v="695.04"/>
    <n v="231.68"/>
    <n v="964.9"/>
    <n v="362.49"/>
    <n v="0"/>
    <n v="26.76"/>
    <n v="0"/>
    <n v="0"/>
    <n v="0"/>
    <n v="518.4"/>
    <n v="2929.5900000000006"/>
    <n v="-518.4"/>
  </r>
  <r>
    <x v="5"/>
    <x v="6"/>
    <x v="0"/>
    <s v="4450107"/>
    <n v="700030"/>
    <s v="Salaries-LPN-OT"/>
    <s v="Anesthesia-Bremerton"/>
    <x v="0"/>
    <n v="1000"/>
    <n v="0"/>
    <n v="0"/>
    <n v="68.34"/>
    <n v="48.36"/>
    <n v="0"/>
    <n v="0"/>
    <n v="0"/>
    <n v="0"/>
    <n v="0"/>
    <n v="0"/>
    <n v="0"/>
    <n v="0"/>
    <n v="116.7"/>
    <n v="0"/>
  </r>
  <r>
    <x v="5"/>
    <x v="6"/>
    <x v="0"/>
    <s v="4450107"/>
    <n v="700030"/>
    <s v="Salaries-LPN-Other"/>
    <s v="Anesthesia-Bremerton"/>
    <x v="0"/>
    <n v="2000"/>
    <n v="0"/>
    <n v="0"/>
    <n v="0"/>
    <n v="0"/>
    <n v="17.350000000000001"/>
    <n v="14.61"/>
    <n v="0"/>
    <n v="2.25"/>
    <n v="0"/>
    <n v="0"/>
    <n v="0"/>
    <n v="41.82"/>
    <n v="76.03"/>
    <n v="-41.82"/>
  </r>
  <r>
    <x v="5"/>
    <x v="6"/>
    <x v="0"/>
    <s v="4450107"/>
    <n v="700070"/>
    <s v="Salaries-LPN-NonProd-Other"/>
    <s v="Anesthesia-Bremerton"/>
    <x v="0"/>
    <n v="2000"/>
    <n v="0"/>
    <n v="0"/>
    <n v="0"/>
    <n v="0"/>
    <n v="244.09"/>
    <n v="-45.57"/>
    <n v="0"/>
    <n v="87.02"/>
    <n v="0"/>
    <n v="0"/>
    <n v="0"/>
    <n v="126.88"/>
    <n v="412.42"/>
    <n v="-126.88"/>
  </r>
  <r>
    <x v="6"/>
    <x v="6"/>
    <x v="0"/>
    <s v="4450107"/>
    <n v="713010"/>
    <s v="Benefits-FICA/Medicare"/>
    <s v="Anesthesia-Bremerton"/>
    <x v="0"/>
    <m/>
    <n v="0"/>
    <n v="9.9700000000000006"/>
    <n v="58.39"/>
    <n v="21.42"/>
    <n v="93.83"/>
    <n v="25.35"/>
    <n v="0"/>
    <n v="8.8699999999999992"/>
    <n v="0"/>
    <n v="0"/>
    <n v="0"/>
    <n v="52.48"/>
    <n v="270.31"/>
    <n v="-52.48"/>
  </r>
  <r>
    <x v="6"/>
    <x v="6"/>
    <x v="0"/>
    <s v="4450107"/>
    <n v="713090"/>
    <s v="Benefits-Allocated Amounts"/>
    <s v="Anesthesia-Bremerton"/>
    <x v="0"/>
    <m/>
    <n v="0"/>
    <n v="34.25"/>
    <n v="163.76"/>
    <n v="67.63"/>
    <n v="166.46"/>
    <n v="89.31"/>
    <n v="-13.13"/>
    <n v="47.07"/>
    <n v="-72.5"/>
    <n v="58.31"/>
    <n v="22.11"/>
    <n v="99.99"/>
    <n v="663.2600000000001"/>
    <n v="-77.88"/>
  </r>
  <r>
    <x v="17"/>
    <x v="6"/>
    <x v="0"/>
    <s v="4450107"/>
    <n v="714510"/>
    <s v="Medical Director Fees"/>
    <s v="Anesthesia-Bremerton"/>
    <x v="0"/>
    <m/>
    <n v="0"/>
    <n v="0"/>
    <n v="0"/>
    <n v="0"/>
    <n v="0"/>
    <n v="0"/>
    <n v="0"/>
    <n v="0"/>
    <n v="0"/>
    <n v="0"/>
    <n v="0"/>
    <n v="1950"/>
    <n v="1950"/>
    <n v="-1950"/>
  </r>
  <r>
    <x v="7"/>
    <x v="6"/>
    <x v="0"/>
    <s v="4450107"/>
    <n v="718050"/>
    <s v="Miscellaneous Purchased Svcs"/>
    <s v="Anesthesia-Bremerton"/>
    <x v="0"/>
    <n v="1020"/>
    <n v="20000"/>
    <n v="30000"/>
    <n v="82000"/>
    <n v="0"/>
    <n v="31000"/>
    <n v="30000"/>
    <n v="31000"/>
    <n v="31000"/>
    <n v="28000"/>
    <n v="31000"/>
    <n v="30000"/>
    <n v="31000"/>
    <n v="375000"/>
    <n v="-1000"/>
  </r>
  <r>
    <x v="7"/>
    <x v="6"/>
    <x v="0"/>
    <s v="4450107"/>
    <n v="718070"/>
    <s v="Contract Srvcs-CHI Clinical Engineering"/>
    <s v="Anesthesia-Bremerton"/>
    <x v="0"/>
    <m/>
    <n v="574.77"/>
    <n v="574.77"/>
    <n v="469.92"/>
    <n v="574.77"/>
    <n v="574.77"/>
    <n v="485.34"/>
    <n v="574.77"/>
    <n v="395.91"/>
    <n v="574.77"/>
    <n v="574.77"/>
    <n v="560.19000000000005"/>
    <n v="574.77"/>
    <n v="6509.5200000000023"/>
    <n v="-14.579999999999927"/>
  </r>
  <r>
    <x v="11"/>
    <x v="6"/>
    <x v="0"/>
    <s v="4450107"/>
    <n v="721250"/>
    <s v="Supplies-Pharmacy Drugs - Billable"/>
    <s v="Anesthesia-Bremerton"/>
    <x v="0"/>
    <m/>
    <n v="2727"/>
    <n v="3506.88"/>
    <n v="1315.08"/>
    <n v="6137.04"/>
    <n v="2823.86"/>
    <n v="2630.16"/>
    <n v="2630.16"/>
    <n v="4675.84"/>
    <n v="4699.9799999999996"/>
    <n v="2873.48"/>
    <n v="3872.18"/>
    <n v="5649.58"/>
    <n v="43541.240000000005"/>
    <n v="-1777.4"/>
  </r>
  <r>
    <x v="11"/>
    <x v="6"/>
    <x v="0"/>
    <s v="4450107"/>
    <n v="721810"/>
    <s v="Supplies-Dietary/Cafeteria"/>
    <s v="Anesthesia-Bremerton"/>
    <x v="0"/>
    <m/>
    <n v="0"/>
    <n v="0"/>
    <n v="0"/>
    <n v="0"/>
    <n v="0"/>
    <n v="0"/>
    <n v="0"/>
    <n v="0"/>
    <n v="0"/>
    <n v="0"/>
    <n v="0"/>
    <n v="7.71"/>
    <n v="7.71"/>
    <n v="-7.71"/>
  </r>
  <r>
    <x v="12"/>
    <x v="6"/>
    <x v="0"/>
    <s v="4450107"/>
    <n v="730020"/>
    <s v="Rental and Leases-Equipment (DO NOT USE)"/>
    <s v="Anesthesia-Bremerton"/>
    <x v="0"/>
    <m/>
    <n v="56.85"/>
    <n v="428.45"/>
    <n v="0"/>
    <n v="847.07"/>
    <n v="420.93"/>
    <n v="514.71"/>
    <n v="448.17"/>
    <n v="449.94"/>
    <n v="0"/>
    <n v="440.7"/>
    <n v="0"/>
    <n v="830.94"/>
    <n v="4437.76"/>
    <n v="-830.94"/>
  </r>
  <r>
    <x v="12"/>
    <x v="6"/>
    <x v="0"/>
    <s v="4450107"/>
    <n v="730020"/>
    <s v="Rental and Leases-Copier Usage Fees (DO NOT USE)"/>
    <s v="Anesthesia-Bremerton"/>
    <x v="0"/>
    <n v="5100"/>
    <n v="21.26"/>
    <n v="21.99"/>
    <n v="21.62"/>
    <n v="21.62"/>
    <n v="21.62"/>
    <n v="21.62"/>
    <n v="-1.65"/>
    <n v="22.01"/>
    <n v="21.97"/>
    <n v="22.05"/>
    <n v="22.01"/>
    <n v="24.46"/>
    <n v="240.58"/>
    <n v="-2.4499999999999993"/>
  </r>
  <r>
    <x v="18"/>
    <x v="7"/>
    <x v="0"/>
    <s v="4450150"/>
    <n v="400010"/>
    <s v="Acute I/P Svcs Rev--Medicare"/>
    <s v="Anesthesiology"/>
    <x v="0"/>
    <n v="1100"/>
    <n v="-42664.88"/>
    <n v="-72724.11"/>
    <n v="-47118.69"/>
    <n v="-51248.66"/>
    <n v="-49700.73"/>
    <n v="-62547.09"/>
    <n v="-42056"/>
    <n v="-55975.98"/>
    <n v="-51695.66"/>
    <n v="-46670.06"/>
    <n v="-60875.6"/>
    <n v="-23552.21"/>
    <n v="-606829.67000000004"/>
    <n v="-37323.39"/>
  </r>
  <r>
    <x v="18"/>
    <x v="7"/>
    <x v="0"/>
    <s v="4450150"/>
    <n v="400010"/>
    <s v="Acute I/P Svcs Rev--Medicaid"/>
    <s v="Anesthesiology"/>
    <x v="0"/>
    <n v="1200"/>
    <n v="-34725.72"/>
    <n v="-22281.439999999999"/>
    <n v="-23507.53"/>
    <n v="-18339.310000000001"/>
    <n v="-31641.79"/>
    <n v="-9137.5300000000007"/>
    <n v="-12434.01"/>
    <n v="2107.2600000000002"/>
    <n v="-21816.560000000001"/>
    <n v="-8713.86"/>
    <n v="-22177.66"/>
    <n v="-29052.38"/>
    <n v="-231720.53"/>
    <n v="6874.7200000000012"/>
  </r>
  <r>
    <x v="18"/>
    <x v="7"/>
    <x v="0"/>
    <s v="4450150"/>
    <n v="400010"/>
    <s v="Acute I/P Svcs Rev--Comm Insurance"/>
    <s v="Anesthesiology"/>
    <x v="0"/>
    <n v="1300"/>
    <n v="0"/>
    <n v="-6998.68"/>
    <n v="-5210.42"/>
    <n v="-3499.34"/>
    <n v="-5210.42"/>
    <n v="-9060.35"/>
    <n v="0"/>
    <n v="-4074.84"/>
    <n v="-5807.3"/>
    <n v="4074.84"/>
    <n v="-2875.26"/>
    <n v="0"/>
    <n v="-38661.770000000011"/>
    <n v="-2875.26"/>
  </r>
  <r>
    <x v="18"/>
    <x v="7"/>
    <x v="0"/>
    <s v="4450150"/>
    <n v="400010"/>
    <s v="Acute I/P Svcs Rev--BCBS Comm"/>
    <s v="Anesthesiology"/>
    <x v="0"/>
    <n v="1301"/>
    <n v="-1756.34"/>
    <n v="-23598.04"/>
    <n v="-8001.95"/>
    <n v="-13064.64"/>
    <n v="-15801.04"/>
    <n v="-23002.58"/>
    <n v="-15126.31"/>
    <n v="-21771.119999999999"/>
    <n v="-23940.06"/>
    <n v="-14140.41"/>
    <n v="-4485.5"/>
    <n v="-38057.17"/>
    <n v="-202745.15999999997"/>
    <n v="33571.67"/>
  </r>
  <r>
    <x v="18"/>
    <x v="7"/>
    <x v="0"/>
    <s v="4450150"/>
    <n v="400010"/>
    <s v="Acute I/P Svcs Rev--Managed Care"/>
    <s v="Anesthesiology"/>
    <x v="0"/>
    <n v="1400"/>
    <n v="-51960.86"/>
    <n v="-49855.09"/>
    <n v="-19853.830000000002"/>
    <n v="-22169.09"/>
    <n v="-20513.14"/>
    <n v="-44161.77"/>
    <n v="-25064.25"/>
    <n v="-33047.339999999997"/>
    <n v="-16274.98"/>
    <n v="-38337.03"/>
    <n v="-26143.06"/>
    <n v="-22534.53"/>
    <n v="-369914.97"/>
    <n v="-3608.5300000000025"/>
  </r>
  <r>
    <x v="18"/>
    <x v="7"/>
    <x v="0"/>
    <s v="4450150"/>
    <n v="400010"/>
    <s v="Acute I/P Svcs Rev--Self Pay"/>
    <s v="Anesthesiology"/>
    <x v="0"/>
    <n v="1500"/>
    <n v="4554.8999999999996"/>
    <n v="0"/>
    <n v="0"/>
    <n v="0"/>
    <n v="0"/>
    <n v="-3927.11"/>
    <n v="0"/>
    <n v="-4044.9"/>
    <n v="0"/>
    <n v="0"/>
    <n v="0"/>
    <n v="0"/>
    <n v="-3417.1100000000006"/>
    <n v="0"/>
  </r>
  <r>
    <x v="18"/>
    <x v="7"/>
    <x v="0"/>
    <s v="4450150"/>
    <n v="400010"/>
    <s v="Acute I/P Svcs Rev--Other"/>
    <s v="Anesthesiology"/>
    <x v="0"/>
    <n v="1700"/>
    <n v="0"/>
    <n v="3332.7"/>
    <n v="0"/>
    <n v="2110.5"/>
    <n v="-4782.6499999999996"/>
    <n v="0"/>
    <n v="-12636.87"/>
    <n v="-4044.9"/>
    <n v="-10597.12"/>
    <n v="0"/>
    <n v="4044.9"/>
    <n v="820.39"/>
    <n v="-21753.05"/>
    <n v="3224.51"/>
  </r>
  <r>
    <x v="19"/>
    <x v="7"/>
    <x v="0"/>
    <s v="4450150"/>
    <n v="400020"/>
    <s v="O/P Care Svcs Rev--Medicare"/>
    <s v="Anesthesiology"/>
    <x v="0"/>
    <n v="1100"/>
    <n v="-72466.259999999995"/>
    <n v="-86196.7"/>
    <n v="-37665.550000000003"/>
    <n v="-126007.08"/>
    <n v="-82045.929999999993"/>
    <n v="-70249.179999999993"/>
    <n v="-117372.26"/>
    <n v="-75096.490000000005"/>
    <n v="-115787.66"/>
    <n v="-85186.32"/>
    <n v="-93082.68"/>
    <n v="-53322.99"/>
    <n v="-1014479.0999999999"/>
    <n v="-39759.689999999995"/>
  </r>
  <r>
    <x v="19"/>
    <x v="7"/>
    <x v="0"/>
    <s v="4450150"/>
    <n v="400020"/>
    <s v="O/P Care Svcs Rev--Medicaid"/>
    <s v="Anesthesiology"/>
    <x v="0"/>
    <n v="1200"/>
    <n v="-40538.89"/>
    <n v="-73907.350000000006"/>
    <n v="-51054.66"/>
    <n v="-50880.480000000003"/>
    <n v="-35564.5"/>
    <n v="-56196.69"/>
    <n v="-48772.47"/>
    <n v="-34956.51"/>
    <n v="-90361.919999999998"/>
    <n v="-68560.86"/>
    <n v="-60662.2"/>
    <n v="-67035"/>
    <n v="-678491.53"/>
    <n v="6372.8000000000029"/>
  </r>
  <r>
    <x v="19"/>
    <x v="7"/>
    <x v="0"/>
    <s v="4450150"/>
    <n v="400020"/>
    <s v="O/P Care Svcs Rev--Comm Insurance"/>
    <s v="Anesthesiology"/>
    <x v="0"/>
    <n v="1300"/>
    <n v="1016.06"/>
    <n v="3255.52"/>
    <n v="-12938.96"/>
    <n v="-10700.88"/>
    <n v="9263.2099999999991"/>
    <n v="-17496.7"/>
    <n v="-16718.34"/>
    <n v="-10444.959999999999"/>
    <n v="152.16"/>
    <n v="-13479.22"/>
    <n v="-14258.2"/>
    <n v="-12366.36"/>
    <n v="-94716.669999999984"/>
    <n v="-1891.8400000000001"/>
  </r>
  <r>
    <x v="19"/>
    <x v="7"/>
    <x v="0"/>
    <s v="4450150"/>
    <n v="400020"/>
    <s v="O/P Care Svcs Rev--BCBS Comm"/>
    <s v="Anesthesiology"/>
    <x v="0"/>
    <n v="1301"/>
    <n v="-30602.41"/>
    <n v="-32299.64"/>
    <n v="-41681.07"/>
    <n v="-64875.61"/>
    <n v="-46413.11"/>
    <n v="-37368.18"/>
    <n v="-51700.71"/>
    <n v="-43747.17"/>
    <n v="-49594.5"/>
    <n v="-37787.22"/>
    <n v="-35918.1"/>
    <n v="-33292.68"/>
    <n v="-505280.39999999997"/>
    <n v="-2625.4199999999983"/>
  </r>
  <r>
    <x v="19"/>
    <x v="7"/>
    <x v="0"/>
    <s v="4450150"/>
    <n v="400020"/>
    <s v="O/P Care Svcs Rev--Managed Care"/>
    <s v="Anesthesiology"/>
    <x v="0"/>
    <n v="1400"/>
    <n v="-86934.98"/>
    <n v="-111883.99"/>
    <n v="-82853.429999999993"/>
    <n v="-94233.05"/>
    <n v="-115870.74"/>
    <n v="-131417.23000000001"/>
    <n v="-107657.07"/>
    <n v="-89134.39"/>
    <n v="-85987.64"/>
    <n v="-83005.66"/>
    <n v="-68979.12"/>
    <n v="-113465.38"/>
    <n v="-1171422.6800000002"/>
    <n v="44486.260000000009"/>
  </r>
  <r>
    <x v="19"/>
    <x v="7"/>
    <x v="0"/>
    <s v="4450150"/>
    <n v="400020"/>
    <s v="O/P Care Svcs Rev--Self Pay"/>
    <s v="Anesthesiology"/>
    <x v="0"/>
    <n v="1500"/>
    <n v="-3604.87"/>
    <n v="2643.8"/>
    <n v="-4004.29"/>
    <n v="0"/>
    <n v="-6998.68"/>
    <n v="-3652.43"/>
    <n v="0"/>
    <n v="0"/>
    <n v="-3604.3"/>
    <n v="-5366.7"/>
    <n v="-2723.1"/>
    <n v="-5157.76"/>
    <n v="-32468.33"/>
    <n v="2434.6600000000003"/>
  </r>
  <r>
    <x v="19"/>
    <x v="7"/>
    <x v="0"/>
    <s v="4450150"/>
    <n v="400020"/>
    <s v="O/P Care Svcs Rev--Other"/>
    <s v="Anesthesiology"/>
    <x v="0"/>
    <n v="1700"/>
    <n v="-26266.19"/>
    <n v="-17509.310000000001"/>
    <n v="-25000.33"/>
    <n v="-23057.71"/>
    <n v="-28843.63"/>
    <n v="-30786.25"/>
    <n v="-16180.31"/>
    <n v="-25461.759999999998"/>
    <n v="-24653.22"/>
    <n v="-27969.08"/>
    <n v="-34896.080000000002"/>
    <n v="-34846.94"/>
    <n v="-315470.81000000006"/>
    <n v="-49.139999999999418"/>
  </r>
  <r>
    <x v="2"/>
    <x v="7"/>
    <x v="0"/>
    <s v="4450150"/>
    <n v="450040"/>
    <s v="Contr Allow--Phys Svcs--Mcare"/>
    <s v="Anesthesiology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7"/>
    <x v="0"/>
    <s v="4450150"/>
    <n v="450040"/>
    <s v="Contr Allow--Phys Svcs--Mcaid"/>
    <s v="Anesthesiology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7"/>
    <x v="0"/>
    <s v="4450150"/>
    <n v="450040"/>
    <s v="Contr Allow--Phys Svcs--Comm Insurance"/>
    <s v="Anesthesiology"/>
    <x v="0"/>
    <n v="1300"/>
    <n v="0"/>
    <n v="0"/>
    <n v="0"/>
    <n v="0"/>
    <n v="0"/>
    <n v="0"/>
    <n v="0"/>
    <n v="0"/>
    <n v="0"/>
    <n v="0"/>
    <n v="0"/>
    <n v="0"/>
    <n v="0"/>
    <n v="0"/>
  </r>
  <r>
    <x v="3"/>
    <x v="7"/>
    <x v="0"/>
    <s v="4450150"/>
    <n v="470040"/>
    <s v="Charity Care-Physician Svcs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4"/>
    <x v="7"/>
    <x v="0"/>
    <s v="4450150"/>
    <n v="490010"/>
    <s v="Provision for Bad Debts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0"/>
    <x v="7"/>
    <x v="0"/>
    <s v="4450150"/>
    <n v="710040"/>
    <s v="Contract Labor-Physician (Locum Tenum)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0"/>
    <x v="7"/>
    <x v="0"/>
    <s v="4450150"/>
    <n v="710042"/>
    <s v="Locum Tenens Travel-Physician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7"/>
    <x v="7"/>
    <x v="0"/>
    <s v="4450150"/>
    <n v="714520"/>
    <s v="Other Contracted Professionals"/>
    <s v="Anesthesiology"/>
    <x v="0"/>
    <m/>
    <n v="0"/>
    <n v="0"/>
    <n v="0"/>
    <n v="0"/>
    <n v="0"/>
    <n v="0"/>
    <n v="0"/>
    <n v="0"/>
    <n v="0"/>
    <n v="-53183.33"/>
    <n v="0"/>
    <n v="0"/>
    <n v="-53183.33"/>
    <n v="0"/>
  </r>
  <r>
    <x v="17"/>
    <x v="7"/>
    <x v="0"/>
    <s v="4450150"/>
    <n v="714530"/>
    <s v="Medical Prof Fees-Intracompany"/>
    <s v="Anesthesiology"/>
    <x v="0"/>
    <m/>
    <n v="159564.63"/>
    <n v="274240.42"/>
    <n v="6862.4"/>
    <n v="61072.06"/>
    <n v="-41113.589999999997"/>
    <n v="-7394.01"/>
    <n v="-19132.84"/>
    <n v="-45576.47"/>
    <n v="-78069.02"/>
    <n v="-10891.17"/>
    <n v="-31981.55"/>
    <n v="-32502.02"/>
    <n v="235078.84"/>
    <n v="520.47000000000116"/>
  </r>
  <r>
    <x v="7"/>
    <x v="7"/>
    <x v="0"/>
    <s v="4450150"/>
    <n v="718050"/>
    <s v="Miscellaneous Purchased Svcs"/>
    <s v="Anesthesiology"/>
    <x v="0"/>
    <n v="1020"/>
    <n v="0"/>
    <n v="0"/>
    <n v="18997.919999999998"/>
    <n v="0"/>
    <n v="1400"/>
    <n v="-1400"/>
    <n v="0"/>
    <n v="0"/>
    <n v="0"/>
    <n v="0"/>
    <n v="0"/>
    <n v="0"/>
    <n v="18997.919999999998"/>
    <n v="0"/>
  </r>
  <r>
    <x v="11"/>
    <x v="7"/>
    <x v="0"/>
    <s v="4450150"/>
    <n v="721010"/>
    <s v="Supplies-Medical - Billable"/>
    <s v="Anesthesiology"/>
    <x v="0"/>
    <m/>
    <n v="412.56"/>
    <n v="314.17"/>
    <n v="798.23"/>
    <n v="509.22"/>
    <n v="81.349999999999994"/>
    <n v="327.9"/>
    <n v="1055.06"/>
    <n v="432.72"/>
    <n v="813.42"/>
    <n v="1010.12"/>
    <n v="317.52"/>
    <n v="609.08000000000004"/>
    <n v="6681.35"/>
    <n v="-291.56000000000006"/>
  </r>
  <r>
    <x v="11"/>
    <x v="7"/>
    <x v="0"/>
    <s v="4450150"/>
    <n v="721010"/>
    <s v="Patient Monitoring"/>
    <s v="Anesthesiology"/>
    <x v="0"/>
    <n v="1000"/>
    <n v="51.89"/>
    <n v="98.88"/>
    <n v="51.64"/>
    <n v="89.42"/>
    <n v="55.1"/>
    <n v="51.65"/>
    <n v="64.849999999999994"/>
    <n v="48.48"/>
    <n v="48.49"/>
    <n v="60.45"/>
    <n v="64.22"/>
    <n v="44.09"/>
    <n v="729.16000000000008"/>
    <n v="20.129999999999995"/>
  </r>
  <r>
    <x v="11"/>
    <x v="7"/>
    <x v="0"/>
    <s v="4450150"/>
    <n v="721020"/>
    <s v="Supplies-Surgical - Billable"/>
    <s v="Anesthesiology"/>
    <x v="0"/>
    <m/>
    <n v="304.36"/>
    <n v="0"/>
    <n v="0"/>
    <n v="0"/>
    <n v="0"/>
    <n v="0"/>
    <n v="14.1"/>
    <n v="0"/>
    <n v="0"/>
    <n v="0"/>
    <n v="0"/>
    <n v="0"/>
    <n v="318.46000000000004"/>
    <n v="0"/>
  </r>
  <r>
    <x v="11"/>
    <x v="7"/>
    <x v="0"/>
    <s v="4450150"/>
    <n v="721020"/>
    <s v="Endoscopy - Trocars &amp; Accessories"/>
    <s v="Anesthesiology"/>
    <x v="0"/>
    <n v="1002"/>
    <n v="0"/>
    <n v="0"/>
    <n v="0"/>
    <n v="0"/>
    <n v="-22"/>
    <n v="0"/>
    <n v="0"/>
    <n v="0"/>
    <n v="0"/>
    <n v="0"/>
    <n v="0"/>
    <n v="0"/>
    <n v="-22"/>
    <n v="0"/>
  </r>
  <r>
    <x v="11"/>
    <x v="7"/>
    <x v="0"/>
    <s v="4450150"/>
    <n v="721020"/>
    <s v="Tubes Drains &amp; Related Supplies"/>
    <s v="Anesthesiology"/>
    <x v="0"/>
    <n v="1008"/>
    <n v="38.65"/>
    <n v="0"/>
    <n v="0"/>
    <n v="0"/>
    <n v="0"/>
    <n v="0"/>
    <n v="0"/>
    <n v="0"/>
    <n v="38.65"/>
    <n v="0"/>
    <n v="0"/>
    <n v="0"/>
    <n v="77.3"/>
    <n v="0"/>
  </r>
  <r>
    <x v="11"/>
    <x v="7"/>
    <x v="0"/>
    <s v="4450150"/>
    <n v="721050"/>
    <s v="Supplies-Cardiac Rhythm - Billable"/>
    <s v="Anesthesiology"/>
    <x v="0"/>
    <m/>
    <n v="0"/>
    <n v="0"/>
    <n v="0"/>
    <n v="0"/>
    <n v="0"/>
    <n v="0"/>
    <n v="0"/>
    <n v="381.32"/>
    <n v="89.74"/>
    <n v="0"/>
    <n v="0"/>
    <n v="0"/>
    <n v="471.06"/>
    <n v="0"/>
  </r>
  <r>
    <x v="11"/>
    <x v="7"/>
    <x v="0"/>
    <s v="4450150"/>
    <n v="721240"/>
    <s v="Supplies-IV Solutions/Supplies - Billable"/>
    <s v="Anesthesiology"/>
    <x v="0"/>
    <m/>
    <n v="204.16"/>
    <n v="23.11"/>
    <n v="77.989999999999995"/>
    <n v="105.59"/>
    <n v="34.94"/>
    <n v="62.18"/>
    <n v="93.4"/>
    <n v="22.68"/>
    <n v="13.78"/>
    <n v="4.88"/>
    <n v="161.52000000000001"/>
    <n v="13.35"/>
    <n v="817.57999999999993"/>
    <n v="148.17000000000002"/>
  </r>
  <r>
    <x v="11"/>
    <x v="7"/>
    <x v="0"/>
    <s v="4450150"/>
    <n v="721410"/>
    <s v="Supplies-Medical - Nonbillable"/>
    <s v="Anesthesiology"/>
    <x v="0"/>
    <m/>
    <n v="531.62"/>
    <n v="681.42"/>
    <n v="555.04999999999995"/>
    <n v="694.52"/>
    <n v="680.57"/>
    <n v="609.89"/>
    <n v="1155.93"/>
    <n v="158.49"/>
    <n v="561.12"/>
    <n v="860.74"/>
    <n v="696.1"/>
    <n v="607.32000000000005"/>
    <n v="7792.7699999999995"/>
    <n v="88.779999999999973"/>
  </r>
  <r>
    <x v="11"/>
    <x v="7"/>
    <x v="0"/>
    <s v="4450150"/>
    <n v="721410"/>
    <s v="Patient Monitoring"/>
    <s v="Anesthesiology"/>
    <x v="0"/>
    <n v="1000"/>
    <n v="0"/>
    <n v="0"/>
    <n v="0"/>
    <n v="0"/>
    <n v="2.66"/>
    <n v="0"/>
    <n v="7.09"/>
    <n v="0"/>
    <n v="0"/>
    <n v="2.66"/>
    <n v="0"/>
    <n v="0"/>
    <n v="12.41"/>
    <n v="0"/>
  </r>
  <r>
    <x v="11"/>
    <x v="7"/>
    <x v="0"/>
    <s v="4450150"/>
    <n v="721420"/>
    <s v="Supplies-Surgical Nonbillable"/>
    <s v="Anesthesiology"/>
    <x v="0"/>
    <m/>
    <n v="20.86"/>
    <n v="20.86"/>
    <n v="0"/>
    <n v="20.86"/>
    <n v="0"/>
    <n v="20.86"/>
    <n v="23.79"/>
    <n v="0"/>
    <n v="0"/>
    <n v="20.86"/>
    <n v="0"/>
    <n v="20.86"/>
    <n v="148.94999999999999"/>
    <n v="-20.86"/>
  </r>
  <r>
    <x v="11"/>
    <x v="7"/>
    <x v="0"/>
    <s v="4450150"/>
    <n v="721420"/>
    <s v="Tubes Drains &amp; Related Supplies"/>
    <s v="Anesthesiology"/>
    <x v="0"/>
    <n v="1008"/>
    <n v="663.47"/>
    <n v="375.2"/>
    <n v="649.64"/>
    <n v="576.75"/>
    <n v="762.73"/>
    <n v="448.97"/>
    <n v="971.87"/>
    <n v="2063.77"/>
    <n v="250.96"/>
    <n v="321"/>
    <n v="1193.67"/>
    <n v="367.14"/>
    <n v="8645.1699999999983"/>
    <n v="826.53000000000009"/>
  </r>
  <r>
    <x v="11"/>
    <x v="7"/>
    <x v="0"/>
    <s v="4450150"/>
    <n v="721610"/>
    <s v="Supplies-Anesthesia - Nonbillable"/>
    <s v="Anesthesiology"/>
    <x v="0"/>
    <m/>
    <n v="1817.63"/>
    <n v="885.86"/>
    <n v="1354.54"/>
    <n v="4145.45"/>
    <n v="3542.13"/>
    <n v="4018.39"/>
    <n v="3522.68"/>
    <n v="3127.42"/>
    <n v="4455.95"/>
    <n v="3999.93"/>
    <n v="3533.17"/>
    <n v="3961.17"/>
    <n v="38364.32"/>
    <n v="-428"/>
  </r>
  <r>
    <x v="11"/>
    <x v="7"/>
    <x v="0"/>
    <s v="4450150"/>
    <n v="721640"/>
    <s v="Supplies-IV Solutions/Supplies - Nonbillable"/>
    <s v="Anesthesiology"/>
    <x v="0"/>
    <m/>
    <n v="93.65"/>
    <n v="159.72999999999999"/>
    <n v="53.07"/>
    <n v="343.36"/>
    <n v="342.57"/>
    <n v="424.64"/>
    <n v="552.28"/>
    <n v="257.39999999999998"/>
    <n v="507.65"/>
    <n v="575.88"/>
    <n v="585.55999999999995"/>
    <n v="561.28"/>
    <n v="4457.07"/>
    <n v="24.279999999999973"/>
  </r>
  <r>
    <x v="11"/>
    <x v="7"/>
    <x v="0"/>
    <s v="4450150"/>
    <n v="721750"/>
    <s v="Supplies-Film/Radiographic - Nonbillable"/>
    <s v="Anesthesiology"/>
    <x v="0"/>
    <m/>
    <n v="6.17"/>
    <n v="0"/>
    <n v="0"/>
    <n v="0"/>
    <n v="0"/>
    <n v="0"/>
    <n v="0"/>
    <n v="123.16"/>
    <n v="134.87"/>
    <n v="0"/>
    <n v="0"/>
    <n v="5.09"/>
    <n v="269.28999999999996"/>
    <n v="-5.09"/>
  </r>
  <r>
    <x v="11"/>
    <x v="7"/>
    <x v="0"/>
    <s v="4450150"/>
    <n v="721830"/>
    <s v="Supplies-Office"/>
    <s v="Anesthesiology"/>
    <x v="0"/>
    <m/>
    <n v="12.15"/>
    <n v="0"/>
    <n v="0"/>
    <n v="6.27"/>
    <n v="3.87"/>
    <n v="13.59"/>
    <n v="142.44999999999999"/>
    <n v="2.21"/>
    <n v="-0.71"/>
    <n v="516.84"/>
    <n v="4.41"/>
    <n v="344.66"/>
    <n v="1045.74"/>
    <n v="-340.25"/>
  </r>
  <r>
    <x v="11"/>
    <x v="7"/>
    <x v="0"/>
    <s v="4450150"/>
    <n v="721870"/>
    <s v="Supplies-Environmental Services"/>
    <s v="Anesthesiology"/>
    <x v="0"/>
    <m/>
    <n v="8.2799999999999994"/>
    <n v="8.2799999999999994"/>
    <n v="8.2799999999999994"/>
    <n v="7.62"/>
    <n v="19.04"/>
    <n v="19.04"/>
    <n v="11.42"/>
    <n v="15.23"/>
    <n v="26.65"/>
    <n v="0"/>
    <n v="0"/>
    <n v="0"/>
    <n v="123.84"/>
    <n v="0"/>
  </r>
  <r>
    <x v="11"/>
    <x v="7"/>
    <x v="0"/>
    <s v="4450150"/>
    <n v="721910"/>
    <s v="Supplies-Small Equipment"/>
    <s v="Anesthesiology"/>
    <x v="0"/>
    <m/>
    <n v="19.47"/>
    <n v="0"/>
    <n v="331.36"/>
    <n v="0"/>
    <n v="0.68"/>
    <n v="0"/>
    <n v="1.76"/>
    <n v="0"/>
    <n v="146.85"/>
    <n v="508.83"/>
    <n v="0"/>
    <n v="0"/>
    <n v="1008.95"/>
    <n v="0"/>
  </r>
  <r>
    <x v="11"/>
    <x v="7"/>
    <x v="0"/>
    <s v="4450150"/>
    <n v="721980"/>
    <s v="Supplies-Other"/>
    <s v="Anesthesiology"/>
    <x v="0"/>
    <m/>
    <n v="29.31"/>
    <n v="0"/>
    <n v="0"/>
    <n v="0"/>
    <n v="0"/>
    <n v="0"/>
    <n v="0"/>
    <n v="0"/>
    <n v="0"/>
    <n v="0"/>
    <n v="0"/>
    <n v="0"/>
    <n v="29.31"/>
    <n v="0"/>
  </r>
  <r>
    <x v="11"/>
    <x v="7"/>
    <x v="0"/>
    <s v="4450150"/>
    <n v="722000"/>
    <s v="Supplies-Freight Expense"/>
    <s v="Anesthesiology"/>
    <x v="0"/>
    <m/>
    <n v="10.48"/>
    <n v="100.34"/>
    <n v="13.59"/>
    <n v="27.2"/>
    <n v="21.38"/>
    <n v="10.69"/>
    <n v="42.67"/>
    <n v="22.14"/>
    <n v="44.25"/>
    <n v="55.5"/>
    <n v="0"/>
    <n v="26.99"/>
    <n v="375.23"/>
    <n v="-26.99"/>
  </r>
  <r>
    <x v="12"/>
    <x v="7"/>
    <x v="0"/>
    <s v="4450150"/>
    <n v="730020"/>
    <s v="Rental and Leases-Copier Usage Fees (DO NOT USE)"/>
    <s v="Anesthesiology"/>
    <x v="0"/>
    <n v="5100"/>
    <n v="17.8"/>
    <n v="16.98"/>
    <n v="17.39"/>
    <n v="17.39"/>
    <n v="17.39"/>
    <n v="17.39"/>
    <n v="-200.12"/>
    <n v="0"/>
    <n v="0"/>
    <n v="0"/>
    <n v="0"/>
    <n v="0"/>
    <n v="-95.78"/>
    <n v="0"/>
  </r>
  <r>
    <x v="16"/>
    <x v="7"/>
    <x v="0"/>
    <s v="4450150"/>
    <n v="732030"/>
    <s v="Repairs---Other"/>
    <s v="Anesthesiology"/>
    <x v="0"/>
    <m/>
    <n v="0"/>
    <n v="0"/>
    <n v="0"/>
    <n v="0"/>
    <n v="0"/>
    <n v="0"/>
    <n v="0"/>
    <n v="0"/>
    <n v="0"/>
    <n v="0"/>
    <n v="0"/>
    <n v="0"/>
    <n v="0"/>
    <n v="0"/>
  </r>
  <r>
    <x v="13"/>
    <x v="7"/>
    <x v="0"/>
    <s v="4450150"/>
    <n v="735070"/>
    <s v="Depreciation-Movable Equipment"/>
    <s v="Anesthesiology"/>
    <x v="0"/>
    <m/>
    <n v="176.05"/>
    <n v="176.05"/>
    <n v="176.06"/>
    <n v="176.04"/>
    <n v="176.06"/>
    <n v="176.04"/>
    <n v="176.06"/>
    <n v="176.04"/>
    <n v="176.06"/>
    <n v="176.03"/>
    <n v="176.06"/>
    <n v="176.02"/>
    <n v="2112.5699999999997"/>
    <n v="3.9999999999992042E-2"/>
  </r>
  <r>
    <x v="18"/>
    <x v="6"/>
    <x v="0"/>
    <s v="4451107"/>
    <n v="400010"/>
    <s v="Acute I/P Svcs Rev--Medicare"/>
    <s v="Anesthesia-Silverdale"/>
    <x v="0"/>
    <n v="1100"/>
    <n v="-151471.94"/>
    <n v="-192260.77"/>
    <n v="-197710.42"/>
    <n v="-238572.45"/>
    <n v="-183431.96"/>
    <n v="-173690.25"/>
    <n v="-235187.01"/>
    <n v="-176047.28"/>
    <n v="-197693.16"/>
    <n v="-280372.15999999997"/>
    <n v="-244435.88"/>
    <n v="-216063.75"/>
    <n v="-2486937.0299999998"/>
    <n v="-28372.130000000005"/>
  </r>
  <r>
    <x v="18"/>
    <x v="6"/>
    <x v="0"/>
    <s v="4451107"/>
    <n v="400010"/>
    <s v="Acute I/P Svcs Rev--Medicaid"/>
    <s v="Anesthesia-Silverdale"/>
    <x v="0"/>
    <n v="1200"/>
    <n v="-212262.97"/>
    <n v="-137913.57"/>
    <n v="-127091.94"/>
    <n v="-130142.37"/>
    <n v="-119449.4"/>
    <n v="-146193.88"/>
    <n v="-166956.76999999999"/>
    <n v="-104718.82"/>
    <n v="-155784.25"/>
    <n v="-154859.71"/>
    <n v="-117276.36"/>
    <n v="-158004.89000000001"/>
    <n v="-1730654.9300000002"/>
    <n v="40728.530000000013"/>
  </r>
  <r>
    <x v="18"/>
    <x v="6"/>
    <x v="0"/>
    <s v="4451107"/>
    <n v="400010"/>
    <s v="Acute I/P Svcs Rev--Comm Insurance"/>
    <s v="Anesthesia-Silverdale"/>
    <x v="0"/>
    <n v="1300"/>
    <n v="-9681.7000000000007"/>
    <n v="-25132.62"/>
    <n v="-20004.68"/>
    <n v="-9320.75"/>
    <n v="-37250.21"/>
    <n v="-18296"/>
    <n v="-15232.33"/>
    <n v="-11585.14"/>
    <n v="-34827.15"/>
    <n v="-17356.12"/>
    <n v="-22224.31"/>
    <n v="-23163.42"/>
    <n v="-244074.43"/>
    <n v="939.10999999999694"/>
  </r>
  <r>
    <x v="18"/>
    <x v="6"/>
    <x v="0"/>
    <s v="4451107"/>
    <n v="400010"/>
    <s v="Acute I/P Svcs Rev--BCBS Comm"/>
    <s v="Anesthesia-Silverdale"/>
    <x v="0"/>
    <n v="1301"/>
    <n v="-111016.4"/>
    <n v="-100090.56"/>
    <n v="-78455.100000000006"/>
    <n v="-69710.06"/>
    <n v="-130187.74"/>
    <n v="-68152.02"/>
    <n v="-80495.81"/>
    <n v="-80194.2"/>
    <n v="-106187.48"/>
    <n v="-80094.19"/>
    <n v="-109520.23"/>
    <n v="-82210.350000000006"/>
    <n v="-1096314.1399999999"/>
    <n v="-27309.87999999999"/>
  </r>
  <r>
    <x v="18"/>
    <x v="6"/>
    <x v="0"/>
    <s v="4451107"/>
    <n v="400010"/>
    <s v="Acute I/P Svcs Rev--Managed Care"/>
    <s v="Anesthesia-Silverdale"/>
    <x v="0"/>
    <n v="1400"/>
    <n v="-146186.26999999999"/>
    <n v="-130122.12"/>
    <n v="-111114.18"/>
    <n v="-182017.66"/>
    <n v="-161372"/>
    <n v="-175810.37"/>
    <n v="-168356.35"/>
    <n v="-137396.16"/>
    <n v="-97628.86"/>
    <n v="-102639.51"/>
    <n v="-127994.98"/>
    <n v="-110183.52"/>
    <n v="-1650821.98"/>
    <n v="-17811.459999999992"/>
  </r>
  <r>
    <x v="18"/>
    <x v="6"/>
    <x v="0"/>
    <s v="4451107"/>
    <n v="400010"/>
    <s v="Acute I/P Svcs Rev--Self Pay"/>
    <s v="Anesthesia-Silverdale"/>
    <x v="0"/>
    <n v="1500"/>
    <n v="-1732.03"/>
    <n v="-1732.03"/>
    <n v="-1649.55"/>
    <n v="1649.55"/>
    <n v="-3464.06"/>
    <n v="0"/>
    <n v="-1732.03"/>
    <n v="-13802.87"/>
    <n v="-14402.46"/>
    <n v="0"/>
    <n v="-1783.99"/>
    <n v="0"/>
    <n v="-38649.469999999994"/>
    <n v="-1783.99"/>
  </r>
  <r>
    <x v="18"/>
    <x v="6"/>
    <x v="0"/>
    <s v="4451107"/>
    <n v="400010"/>
    <s v="Acute I/P Svcs Rev--Other"/>
    <s v="Anesthesia-Silverdale"/>
    <x v="0"/>
    <n v="1700"/>
    <n v="-65257.83"/>
    <n v="-93595.74"/>
    <n v="-86821.18"/>
    <n v="-80215.78"/>
    <n v="-102039.78"/>
    <n v="-47294.21"/>
    <n v="-57193.36"/>
    <n v="-46326.84"/>
    <n v="-65509.2"/>
    <n v="-50877.11"/>
    <n v="-59097.48"/>
    <n v="-54019.22"/>
    <n v="-808247.73"/>
    <n v="-5078.260000000002"/>
  </r>
  <r>
    <x v="19"/>
    <x v="6"/>
    <x v="0"/>
    <s v="4451107"/>
    <n v="400020"/>
    <s v="O/P Care Svcs Rev--Medicare"/>
    <s v="Anesthesia-Silverdale"/>
    <x v="0"/>
    <n v="1100"/>
    <n v="-242603.76"/>
    <n v="-297949.65999999997"/>
    <n v="-294088.77"/>
    <n v="-278900.32"/>
    <n v="-256199.4"/>
    <n v="-280688.15000000002"/>
    <n v="-314404.87"/>
    <n v="-265692.86"/>
    <n v="-325374.46000000002"/>
    <n v="-335901.9"/>
    <n v="-355063.48"/>
    <n v="-291868.98"/>
    <n v="-3538736.61"/>
    <n v="-63194.5"/>
  </r>
  <r>
    <x v="19"/>
    <x v="6"/>
    <x v="0"/>
    <s v="4451107"/>
    <n v="400020"/>
    <s v="O/P Care Svcs Rev--Medicaid"/>
    <s v="Anesthesia-Silverdale"/>
    <x v="0"/>
    <n v="1200"/>
    <n v="-167142.34"/>
    <n v="-222585.58"/>
    <n v="-159500.31"/>
    <n v="-161001.56"/>
    <n v="-239842.68"/>
    <n v="-176655.87"/>
    <n v="-207248.35"/>
    <n v="-170424.14"/>
    <n v="-208133.51"/>
    <n v="-201961.03"/>
    <n v="-246489.34"/>
    <n v="-222610.6"/>
    <n v="-2383595.31"/>
    <n v="-23878.739999999991"/>
  </r>
  <r>
    <x v="19"/>
    <x v="6"/>
    <x v="0"/>
    <s v="4451107"/>
    <n v="400020"/>
    <s v="O/P Care Svcs Rev--Comm Insurance"/>
    <s v="Anesthesia-Silverdale"/>
    <x v="0"/>
    <n v="1300"/>
    <n v="-73360.240000000005"/>
    <n v="-28221.34"/>
    <n v="-11189.76"/>
    <n v="-38756.93"/>
    <n v="-8864.1200000000008"/>
    <n v="-59945.01"/>
    <n v="-50302.75"/>
    <n v="-46385.31"/>
    <n v="-45060.39"/>
    <n v="-43019.98"/>
    <n v="-32395.599999999999"/>
    <n v="-32123.8"/>
    <n v="-469625.23"/>
    <n v="-271.79999999999927"/>
  </r>
  <r>
    <x v="19"/>
    <x v="6"/>
    <x v="0"/>
    <s v="4451107"/>
    <n v="400020"/>
    <s v="O/P Care Svcs Rev--BCBS Comm"/>
    <s v="Anesthesia-Silverdale"/>
    <x v="0"/>
    <n v="1301"/>
    <n v="-166508.13"/>
    <n v="-147791.89000000001"/>
    <n v="-152214.44"/>
    <n v="-212900.38"/>
    <n v="-191945.56"/>
    <n v="-282381.58"/>
    <n v="-155080.09"/>
    <n v="-193965.21"/>
    <n v="-184729.89"/>
    <n v="-185806.66"/>
    <n v="-209115.36"/>
    <n v="-168950.86"/>
    <n v="-2251390.0500000003"/>
    <n v="-40164.5"/>
  </r>
  <r>
    <x v="19"/>
    <x v="6"/>
    <x v="0"/>
    <s v="4451107"/>
    <n v="400020"/>
    <s v="O/P Care Svcs Rev--Managed Care"/>
    <s v="Anesthesia-Silverdale"/>
    <x v="0"/>
    <n v="1400"/>
    <n v="-274051.5"/>
    <n v="-276322.55"/>
    <n v="-232787.3"/>
    <n v="-338970.57"/>
    <n v="-251379.21"/>
    <n v="-327924.33"/>
    <n v="-316435.63"/>
    <n v="-220465.98"/>
    <n v="-281762.33"/>
    <n v="-226863.77"/>
    <n v="-273007.98"/>
    <n v="-334755.15999999997"/>
    <n v="-3354726.3100000005"/>
    <n v="61747.179999999993"/>
  </r>
  <r>
    <x v="19"/>
    <x v="6"/>
    <x v="0"/>
    <s v="4451107"/>
    <n v="400020"/>
    <s v="O/P Care Svcs Rev--Self Pay"/>
    <s v="Anesthesia-Silverdale"/>
    <x v="0"/>
    <n v="1500"/>
    <n v="5035.8"/>
    <n v="-9573.39"/>
    <n v="-6220.32"/>
    <n v="-13569.59"/>
    <n v="-15785.62"/>
    <n v="-2643.8"/>
    <n v="-12861.78"/>
    <n v="-6952.46"/>
    <n v="-15764.86"/>
    <n v="-11773.6"/>
    <n v="1268.1600000000001"/>
    <n v="-19581.8"/>
    <n v="-108423.26000000001"/>
    <n v="20849.96"/>
  </r>
  <r>
    <x v="19"/>
    <x v="6"/>
    <x v="0"/>
    <s v="4451107"/>
    <n v="400020"/>
    <s v="O/P Care Svcs Rev--Other"/>
    <s v="Anesthesia-Silverdale"/>
    <x v="0"/>
    <n v="1700"/>
    <n v="-212485.85"/>
    <n v="-226865.68"/>
    <n v="-169378.7"/>
    <n v="-203965.8"/>
    <n v="-139043.10999999999"/>
    <n v="-160283.73000000001"/>
    <n v="-173789.55"/>
    <n v="-200547.20000000001"/>
    <n v="-187698.5"/>
    <n v="-156087.35999999999"/>
    <n v="-223432.68"/>
    <n v="-179399.76"/>
    <n v="-2232977.92"/>
    <n v="-44032.919999999984"/>
  </r>
  <r>
    <x v="5"/>
    <x v="6"/>
    <x v="0"/>
    <s v="4451107"/>
    <n v="700026"/>
    <s v="Salaries-RN-Productive"/>
    <s v="Anesthesia-Silverdale"/>
    <x v="0"/>
    <m/>
    <n v="0"/>
    <n v="459.8"/>
    <n v="0"/>
    <n v="0"/>
    <n v="0"/>
    <n v="0"/>
    <n v="0"/>
    <n v="0"/>
    <n v="0"/>
    <n v="0"/>
    <n v="0"/>
    <n v="0"/>
    <n v="459.8"/>
    <n v="0"/>
  </r>
  <r>
    <x v="5"/>
    <x v="6"/>
    <x v="0"/>
    <s v="4451107"/>
    <n v="700030"/>
    <s v="Salaries-LPN-Productive"/>
    <s v="Anesthesia-Silverdale"/>
    <x v="0"/>
    <m/>
    <n v="10824.98"/>
    <n v="17553.18"/>
    <n v="19591.05"/>
    <n v="19699.900000000001"/>
    <n v="22543.57"/>
    <n v="16864.87"/>
    <n v="19383.84"/>
    <n v="17042.13"/>
    <n v="20679.73"/>
    <n v="20179.43"/>
    <n v="20061.18"/>
    <n v="21148.34"/>
    <n v="225572.19999999998"/>
    <n v="-1087.1599999999999"/>
  </r>
  <r>
    <x v="5"/>
    <x v="6"/>
    <x v="0"/>
    <s v="4451107"/>
    <n v="700030"/>
    <s v="Salaries-LPN-OT"/>
    <s v="Anesthesia-Silverdale"/>
    <x v="0"/>
    <n v="1000"/>
    <n v="135.9"/>
    <n v="775.44"/>
    <n v="1197.07"/>
    <n v="591.54999999999995"/>
    <n v="408.62"/>
    <n v="615.91"/>
    <n v="136.16"/>
    <n v="332.24"/>
    <n v="514.79999999999995"/>
    <n v="862.08"/>
    <n v="1824.26"/>
    <n v="1095.8800000000001"/>
    <n v="8489.91"/>
    <n v="728.37999999999988"/>
  </r>
  <r>
    <x v="5"/>
    <x v="6"/>
    <x v="0"/>
    <s v="4451107"/>
    <n v="700030"/>
    <s v="Salaries-LPN-Other"/>
    <s v="Anesthesia-Silverdale"/>
    <x v="0"/>
    <n v="2000"/>
    <n v="1918.75"/>
    <n v="2471.5700000000002"/>
    <n v="2341.63"/>
    <n v="848.09"/>
    <n v="2941.33"/>
    <n v="2808.8"/>
    <n v="2389.33"/>
    <n v="2285.89"/>
    <n v="2488.6999999999998"/>
    <n v="2167.4499999999998"/>
    <n v="2137.42"/>
    <n v="2110.2600000000002"/>
    <n v="26909.22"/>
    <n v="27.159999999999854"/>
  </r>
  <r>
    <x v="5"/>
    <x v="6"/>
    <x v="0"/>
    <s v="4451107"/>
    <n v="700054"/>
    <s v="Salaries-Management-Non-productive"/>
    <s v="Anesthesia-Silverdale"/>
    <x v="0"/>
    <m/>
    <n v="0"/>
    <n v="0"/>
    <n v="0"/>
    <n v="172.08"/>
    <n v="0"/>
    <n v="0"/>
    <n v="0"/>
    <n v="0"/>
    <n v="0"/>
    <n v="0"/>
    <n v="0"/>
    <n v="0"/>
    <n v="172.08"/>
    <n v="0"/>
  </r>
  <r>
    <x v="5"/>
    <x v="6"/>
    <x v="0"/>
    <s v="4451107"/>
    <n v="700070"/>
    <s v="Salaries-LPN-Non-productive"/>
    <s v="Anesthesia-Silverdale"/>
    <x v="0"/>
    <m/>
    <n v="2185.52"/>
    <n v="2165.4299999999998"/>
    <n v="2066.34"/>
    <n v="3953.28"/>
    <n v="1610.22"/>
    <n v="3770.02"/>
    <n v="2328.48"/>
    <n v="1966.02"/>
    <n v="1734.94"/>
    <n v="937.89"/>
    <n v="445.18"/>
    <n v="2714.17"/>
    <n v="25877.489999999998"/>
    <n v="-2268.9900000000002"/>
  </r>
  <r>
    <x v="5"/>
    <x v="6"/>
    <x v="0"/>
    <s v="4451107"/>
    <n v="700070"/>
    <s v="Salaries-LPN-NonProd-Other"/>
    <s v="Anesthesia-Silverdale"/>
    <x v="0"/>
    <n v="2000"/>
    <n v="360.33"/>
    <n v="307.47000000000003"/>
    <n v="115.83"/>
    <n v="66.44"/>
    <n v="348.14"/>
    <n v="91.57"/>
    <n v="256.16000000000003"/>
    <n v="-232.31"/>
    <n v="-19.54"/>
    <n v="126.75"/>
    <n v="8.66"/>
    <n v="318.68"/>
    <n v="1748.1800000000003"/>
    <n v="-310.02"/>
  </r>
  <r>
    <x v="5"/>
    <x v="6"/>
    <x v="0"/>
    <s v="4451107"/>
    <n v="700084"/>
    <s v="Accrued PTO"/>
    <s v="Anesthesia-Silverdale"/>
    <x v="0"/>
    <m/>
    <n v="-920.08"/>
    <n v="1093.67"/>
    <n v="-1199.19"/>
    <n v="-749.56"/>
    <n v="374.43"/>
    <n v="-141.13999999999999"/>
    <n v="-95.36"/>
    <n v="239.71"/>
    <n v="267.83999999999997"/>
    <n v="1271.4100000000001"/>
    <n v="1096.77"/>
    <n v="441.69"/>
    <n v="1680.1900000000003"/>
    <n v="655.07999999999993"/>
  </r>
  <r>
    <x v="6"/>
    <x v="6"/>
    <x v="0"/>
    <s v="4451107"/>
    <n v="713010"/>
    <s v="Benefits-FICA/Medicare"/>
    <s v="Anesthesia-Silverdale"/>
    <x v="0"/>
    <m/>
    <n v="1180.03"/>
    <n v="1797.94"/>
    <n v="1920.26"/>
    <n v="1922.67"/>
    <n v="2170.9899999999998"/>
    <n v="1810.49"/>
    <n v="1855.36"/>
    <n v="1642.94"/>
    <n v="1930.6"/>
    <n v="1836.24"/>
    <n v="1855.65"/>
    <n v="2074.8200000000002"/>
    <n v="21997.99"/>
    <n v="-219.17000000000007"/>
  </r>
  <r>
    <x v="6"/>
    <x v="6"/>
    <x v="0"/>
    <s v="4451107"/>
    <n v="713090"/>
    <s v="Benefits-Allocated Amounts"/>
    <s v="Anesthesia-Silverdale"/>
    <x v="0"/>
    <m/>
    <n v="2847.3"/>
    <n v="4006.74"/>
    <n v="4501.28"/>
    <n v="5150.9799999999996"/>
    <n v="5438.97"/>
    <n v="4536.8"/>
    <n v="4834.43"/>
    <n v="4386.41"/>
    <n v="4053.65"/>
    <n v="5149.01"/>
    <n v="4571.13"/>
    <n v="5873.74"/>
    <n v="55350.44"/>
    <n v="-1302.6099999999997"/>
  </r>
  <r>
    <x v="17"/>
    <x v="6"/>
    <x v="0"/>
    <s v="4451107"/>
    <n v="714520"/>
    <s v="Other Contracted Professionals"/>
    <s v="Anesthesia-Silverdale"/>
    <x v="0"/>
    <m/>
    <n v="31384.959999999999"/>
    <n v="31384.959999999999"/>
    <n v="31384.959999999999"/>
    <n v="62769.919999999998"/>
    <n v="31384.959999999999"/>
    <n v="31384.959999999999"/>
    <n v="0"/>
    <n v="62769.919999999998"/>
    <n v="31384.959999999999"/>
    <n v="0"/>
    <n v="62769.919999999998"/>
    <n v="31384.959999999999"/>
    <n v="408004.48"/>
    <n v="31384.959999999999"/>
  </r>
  <r>
    <x v="11"/>
    <x v="6"/>
    <x v="0"/>
    <s v="4451107"/>
    <n v="721010"/>
    <s v="Supplies-Medical - Billable"/>
    <s v="Anesthesia-Silverdale"/>
    <x v="0"/>
    <m/>
    <n v="3335.8"/>
    <n v="4703.55"/>
    <n v="6247.46"/>
    <n v="5398.5"/>
    <n v="5619.49"/>
    <n v="6549.47"/>
    <n v="5618.2"/>
    <n v="6815.35"/>
    <n v="7634.09"/>
    <n v="8285.0300000000007"/>
    <n v="6863.12"/>
    <n v="7854.69"/>
    <n v="74924.75"/>
    <n v="-991.56999999999971"/>
  </r>
  <r>
    <x v="11"/>
    <x v="6"/>
    <x v="0"/>
    <s v="4451107"/>
    <n v="721010"/>
    <s v="Patient Monitoring"/>
    <s v="Anesthesia-Silverdale"/>
    <x v="0"/>
    <n v="1000"/>
    <n v="124.22"/>
    <n v="185.66"/>
    <n v="117.51"/>
    <n v="355.88"/>
    <n v="15.43"/>
    <n v="1166.6600000000001"/>
    <n v="207.58"/>
    <n v="691.25"/>
    <n v="706.68"/>
    <n v="427.91"/>
    <n v="619.29"/>
    <n v="30.86"/>
    <n v="4648.9299999999994"/>
    <n v="588.42999999999995"/>
  </r>
  <r>
    <x v="11"/>
    <x v="6"/>
    <x v="0"/>
    <s v="4451107"/>
    <n v="721020"/>
    <s v="Supplies-Surgical - Billable"/>
    <s v="Anesthesia-Silverdale"/>
    <x v="0"/>
    <m/>
    <n v="0"/>
    <n v="188.34"/>
    <n v="0"/>
    <n v="0"/>
    <n v="0"/>
    <n v="0"/>
    <n v="0"/>
    <n v="0"/>
    <n v="0"/>
    <n v="0"/>
    <n v="0"/>
    <n v="0"/>
    <n v="188.34"/>
    <n v="0"/>
  </r>
  <r>
    <x v="11"/>
    <x v="6"/>
    <x v="0"/>
    <s v="4451107"/>
    <n v="721020"/>
    <s v="Tubes Drains &amp; Related Supplies"/>
    <s v="Anesthesia-Silverdale"/>
    <x v="0"/>
    <n v="1008"/>
    <n v="0"/>
    <n v="0"/>
    <n v="0"/>
    <n v="0"/>
    <n v="0"/>
    <n v="0"/>
    <n v="77.3"/>
    <n v="0"/>
    <n v="38.65"/>
    <n v="0"/>
    <n v="0"/>
    <n v="0"/>
    <n v="115.94999999999999"/>
    <n v="0"/>
  </r>
  <r>
    <x v="11"/>
    <x v="6"/>
    <x v="0"/>
    <s v="4451107"/>
    <n v="721050"/>
    <s v="Supplies-Cardiac Rhythm - Billable"/>
    <s v="Anesthesia-Silverdale"/>
    <x v="0"/>
    <m/>
    <n v="0"/>
    <n v="0"/>
    <n v="0"/>
    <n v="0"/>
    <n v="0"/>
    <n v="0"/>
    <n v="0"/>
    <n v="0"/>
    <n v="0"/>
    <n v="30.66"/>
    <n v="24.53"/>
    <n v="0"/>
    <n v="55.19"/>
    <n v="24.53"/>
  </r>
  <r>
    <x v="11"/>
    <x v="6"/>
    <x v="0"/>
    <s v="4451107"/>
    <n v="721210"/>
    <s v="Supplies-Anesthesia - Billable"/>
    <s v="Anesthesia-Silverdale"/>
    <x v="0"/>
    <m/>
    <n v="46.45"/>
    <n v="50.54"/>
    <n v="0"/>
    <n v="0"/>
    <n v="0"/>
    <n v="0"/>
    <n v="614.29999999999995"/>
    <n v="0"/>
    <n v="0"/>
    <n v="0"/>
    <n v="0"/>
    <n v="0"/>
    <n v="711.29"/>
    <n v="0"/>
  </r>
  <r>
    <x v="11"/>
    <x v="6"/>
    <x v="0"/>
    <s v="4451107"/>
    <n v="721240"/>
    <s v="Supplies-IV Solutions/Supplies - Billable"/>
    <s v="Anesthesia-Silverdale"/>
    <x v="0"/>
    <m/>
    <n v="866.93"/>
    <n v="389.9"/>
    <n v="392.4"/>
    <n v="427.72"/>
    <n v="585.1"/>
    <n v="605.77"/>
    <n v="321.7"/>
    <n v="651.41"/>
    <n v="1018.91"/>
    <n v="675.14"/>
    <n v="616.6"/>
    <n v="362.25"/>
    <n v="6913.83"/>
    <n v="254.35000000000002"/>
  </r>
  <r>
    <x v="11"/>
    <x v="6"/>
    <x v="0"/>
    <s v="4451107"/>
    <n v="721250"/>
    <s v="Supplies-Pharmacy Drugs - Billable"/>
    <s v="Anesthesia-Silverdale"/>
    <x v="0"/>
    <m/>
    <n v="4383.6000000000004"/>
    <n v="4383.6000000000004"/>
    <n v="4383.6000000000004"/>
    <n v="5260.32"/>
    <n v="3068.52"/>
    <n v="8821.9599999999991"/>
    <n v="1315.08"/>
    <n v="5260.32"/>
    <n v="2045.68"/>
    <n v="3506.88"/>
    <n v="4383.6000000000004"/>
    <n v="949.78"/>
    <n v="47762.939999999995"/>
    <n v="3433.8200000000006"/>
  </r>
  <r>
    <x v="11"/>
    <x v="6"/>
    <x v="0"/>
    <s v="4451107"/>
    <n v="721410"/>
    <s v="Supplies-Medical - Nonbillable"/>
    <s v="Anesthesia-Silverdale"/>
    <x v="0"/>
    <m/>
    <n v="3659.75"/>
    <n v="1846.95"/>
    <n v="2343.89"/>
    <n v="3878.57"/>
    <n v="2179.1999999999998"/>
    <n v="2035.67"/>
    <n v="5516.51"/>
    <n v="3246.92"/>
    <n v="1632.55"/>
    <n v="7096.46"/>
    <n v="2831.36"/>
    <n v="1648.9"/>
    <n v="37916.730000000003"/>
    <n v="1182.46"/>
  </r>
  <r>
    <x v="11"/>
    <x v="6"/>
    <x v="0"/>
    <s v="4451107"/>
    <n v="721420"/>
    <s v="Supplies-Surgical Nonbillable"/>
    <s v="Anesthesia-Silverdale"/>
    <x v="0"/>
    <m/>
    <n v="671.66"/>
    <n v="736.82"/>
    <n v="807.96"/>
    <n v="734.8"/>
    <n v="745.85"/>
    <n v="521.29999999999995"/>
    <n v="700.74"/>
    <n v="717.76"/>
    <n v="822.02"/>
    <n v="792.93"/>
    <n v="822.02"/>
    <n v="822.01"/>
    <n v="8895.8700000000008"/>
    <n v="9.9999999999909051E-3"/>
  </r>
  <r>
    <x v="11"/>
    <x v="6"/>
    <x v="0"/>
    <s v="4451107"/>
    <n v="721420"/>
    <s v="Tubes Drains &amp; Related Supplies"/>
    <s v="Anesthesia-Silverdale"/>
    <x v="0"/>
    <n v="1008"/>
    <n v="1067.7"/>
    <n v="1018.7"/>
    <n v="585.91999999999996"/>
    <n v="1152.31"/>
    <n v="932.86"/>
    <n v="825.46"/>
    <n v="1191.68"/>
    <n v="1067.51"/>
    <n v="808.87"/>
    <n v="1103.55"/>
    <n v="769.1"/>
    <n v="993.5"/>
    <n v="11517.16"/>
    <n v="-224.39999999999998"/>
  </r>
  <r>
    <x v="11"/>
    <x v="6"/>
    <x v="0"/>
    <s v="4451107"/>
    <n v="721420"/>
    <s v="Sterilization Process Products"/>
    <s v="Anesthesia-Silverdale"/>
    <x v="0"/>
    <n v="1009"/>
    <n v="0"/>
    <n v="0"/>
    <n v="0"/>
    <n v="0"/>
    <n v="0"/>
    <n v="0"/>
    <n v="0"/>
    <n v="0"/>
    <n v="77.25"/>
    <n v="77.25"/>
    <n v="154.5"/>
    <n v="154.5"/>
    <n v="463.5"/>
    <n v="0"/>
  </r>
  <r>
    <x v="11"/>
    <x v="6"/>
    <x v="0"/>
    <s v="4451107"/>
    <n v="721610"/>
    <s v="Supplies-Anesthesia - Nonbillable"/>
    <s v="Anesthesia-Silverdale"/>
    <x v="0"/>
    <m/>
    <n v="8138.69"/>
    <n v="8859.75"/>
    <n v="7354.94"/>
    <n v="9216.2199999999993"/>
    <n v="9000.0400000000009"/>
    <n v="8680.18"/>
    <n v="8044.24"/>
    <n v="6976.78"/>
    <n v="8086.63"/>
    <n v="7680.92"/>
    <n v="21827.54"/>
    <n v="7408.03"/>
    <n v="111273.95999999999"/>
    <n v="14419.510000000002"/>
  </r>
  <r>
    <x v="11"/>
    <x v="6"/>
    <x v="0"/>
    <s v="4451107"/>
    <n v="721640"/>
    <s v="Supplies-IV Solutions/Supplies - Nonbillable"/>
    <s v="Anesthesia-Silverdale"/>
    <x v="0"/>
    <m/>
    <n v="612.96"/>
    <n v="590.91"/>
    <n v="265.01"/>
    <n v="517.76"/>
    <n v="407.59"/>
    <n v="351.26"/>
    <n v="215.46"/>
    <n v="423.28"/>
    <n v="446.6"/>
    <n v="367.86"/>
    <n v="507.62"/>
    <n v="427.19"/>
    <n v="5133.4999999999991"/>
    <n v="80.430000000000007"/>
  </r>
  <r>
    <x v="11"/>
    <x v="6"/>
    <x v="0"/>
    <s v="4451107"/>
    <n v="721650"/>
    <s v="Supplies-Pharmacy Drugs - Nonbillable"/>
    <s v="Anesthesia-Silverdale"/>
    <x v="0"/>
    <m/>
    <n v="202.56"/>
    <n v="774.33"/>
    <n v="532.64"/>
    <n v="5.13"/>
    <n v="696.66"/>
    <n v="696.66"/>
    <n v="467.86"/>
    <n v="467.86"/>
    <n v="971.22"/>
    <n v="348.33"/>
    <n v="404.35"/>
    <n v="284.82"/>
    <n v="5852.42"/>
    <n v="119.53000000000003"/>
  </r>
  <r>
    <x v="11"/>
    <x v="6"/>
    <x v="0"/>
    <s v="4451107"/>
    <n v="721710"/>
    <s v="Reagents"/>
    <s v="Anesthesia-Silverdale"/>
    <x v="0"/>
    <n v="1000"/>
    <n v="0"/>
    <n v="0"/>
    <n v="27.06"/>
    <n v="0"/>
    <n v="0"/>
    <n v="0"/>
    <n v="0"/>
    <n v="0"/>
    <n v="0"/>
    <n v="0"/>
    <n v="27.05"/>
    <n v="0"/>
    <n v="54.11"/>
    <n v="27.05"/>
  </r>
  <r>
    <x v="11"/>
    <x v="6"/>
    <x v="0"/>
    <s v="4451107"/>
    <n v="721830"/>
    <s v="Supplies-Office"/>
    <s v="Anesthesia-Silverdale"/>
    <x v="0"/>
    <m/>
    <n v="-47.3"/>
    <n v="58.9"/>
    <n v="0"/>
    <n v="48.71"/>
    <n v="8.84"/>
    <n v="0"/>
    <n v="0"/>
    <n v="20.059999999999999"/>
    <n v="0"/>
    <n v="0"/>
    <n v="212.2"/>
    <n v="0"/>
    <n v="301.40999999999997"/>
    <n v="212.2"/>
  </r>
  <r>
    <x v="11"/>
    <x v="6"/>
    <x v="0"/>
    <s v="4451107"/>
    <n v="721910"/>
    <s v="Supplies-Small Equipment"/>
    <s v="Anesthesia-Silverdale"/>
    <x v="0"/>
    <m/>
    <n v="224.04"/>
    <n v="242.96"/>
    <n v="760.51"/>
    <n v="475.16"/>
    <n v="309.48"/>
    <n v="477.4"/>
    <n v="951.19"/>
    <n v="246.94"/>
    <n v="414.29"/>
    <n v="148.82"/>
    <n v="272.99"/>
    <n v="414.45"/>
    <n v="4938.2299999999996"/>
    <n v="-141.45999999999998"/>
  </r>
  <r>
    <x v="11"/>
    <x v="6"/>
    <x v="0"/>
    <s v="4451107"/>
    <n v="721910"/>
    <s v="Instruments"/>
    <s v="Anesthesia-Silverdale"/>
    <x v="0"/>
    <n v="1000"/>
    <n v="3245.02"/>
    <n v="2868.5"/>
    <n v="1837.3"/>
    <n v="3890"/>
    <n v="2691.43"/>
    <n v="2834.2"/>
    <n v="1717.54"/>
    <n v="3543.66"/>
    <n v="2694.27"/>
    <n v="2004.64"/>
    <n v="2764.09"/>
    <n v="2610.17"/>
    <n v="32700.82"/>
    <n v="153.92000000000007"/>
  </r>
  <r>
    <x v="11"/>
    <x v="6"/>
    <x v="0"/>
    <s v="4451107"/>
    <n v="721980"/>
    <s v="Supplies-Other"/>
    <s v="Anesthesia-Silverdale"/>
    <x v="0"/>
    <m/>
    <n v="172"/>
    <n v="21.97"/>
    <n v="2507.1999999999998"/>
    <n v="70.849999999999994"/>
    <n v="0"/>
    <n v="0"/>
    <n v="0"/>
    <n v="0"/>
    <n v="0"/>
    <n v="0"/>
    <n v="0"/>
    <n v="-6.49"/>
    <n v="2765.5299999999997"/>
    <n v="6.49"/>
  </r>
  <r>
    <x v="11"/>
    <x v="6"/>
    <x v="0"/>
    <s v="4451107"/>
    <n v="722000"/>
    <s v="Supplies-Freight Expense"/>
    <s v="Anesthesia-Silverdale"/>
    <x v="0"/>
    <m/>
    <n v="24.81"/>
    <n v="19.2"/>
    <n v="59.37"/>
    <n v="7.99"/>
    <n v="26.96"/>
    <n v="39.549999999999997"/>
    <n v="72.73"/>
    <n v="24.72"/>
    <n v="88.86"/>
    <n v="8.52"/>
    <n v="71"/>
    <n v="85.6"/>
    <n v="529.31000000000006"/>
    <n v="-14.599999999999994"/>
  </r>
  <r>
    <x v="12"/>
    <x v="6"/>
    <x v="0"/>
    <s v="4451107"/>
    <n v="730020"/>
    <s v="Rental and Leases-Copier Usage Fees (DO NOT USE)"/>
    <s v="Anesthesia-Silverdale"/>
    <x v="0"/>
    <n v="5100"/>
    <n v="21.26"/>
    <n v="21.99"/>
    <n v="21.62"/>
    <n v="21.62"/>
    <n v="21.62"/>
    <n v="21.62"/>
    <n v="20.25"/>
    <n v="22.01"/>
    <n v="21.97"/>
    <n v="22.05"/>
    <n v="22.01"/>
    <n v="24.58"/>
    <n v="262.60000000000002"/>
    <n v="-2.5699999999999967"/>
  </r>
  <r>
    <x v="16"/>
    <x v="6"/>
    <x v="0"/>
    <s v="4451107"/>
    <n v="732020"/>
    <s v="Repairs--Clin Equip-Parts-Internal to CHI Programs"/>
    <s v="Anesthesia-Silverdale"/>
    <x v="0"/>
    <m/>
    <n v="0"/>
    <n v="0"/>
    <n v="0"/>
    <n v="51.81"/>
    <n v="270.45999999999998"/>
    <n v="235.92"/>
    <n v="181.89"/>
    <n v="0"/>
    <n v="-330.84"/>
    <n v="0"/>
    <n v="0"/>
    <n v="0"/>
    <n v="409.23999999999995"/>
    <n v="0"/>
  </r>
  <r>
    <x v="16"/>
    <x v="6"/>
    <x v="0"/>
    <s v="4451107"/>
    <n v="732030"/>
    <s v="Repairs---Other"/>
    <s v="Anesthesia-Silverdale"/>
    <x v="0"/>
    <m/>
    <n v="0"/>
    <n v="0"/>
    <n v="0"/>
    <n v="0"/>
    <n v="0"/>
    <n v="0"/>
    <n v="330.84"/>
    <n v="81"/>
    <n v="0"/>
    <n v="0"/>
    <n v="0"/>
    <n v="0"/>
    <n v="411.84"/>
    <n v="0"/>
  </r>
  <r>
    <x v="5"/>
    <x v="9"/>
    <x v="0"/>
    <s v="4490501"/>
    <n v="700014"/>
    <s v="Salaries-Management-Productive"/>
    <s v="Regional Surgery Admin"/>
    <x v="0"/>
    <m/>
    <n v="17731.3"/>
    <n v="16799.060000000001"/>
    <n v="12201.4"/>
    <n v="17290.57"/>
    <n v="18650.939999999999"/>
    <n v="12145.64"/>
    <n v="16969.64"/>
    <n v="17288.32"/>
    <n v="18605.05"/>
    <n v="17177.02"/>
    <n v="7473.89"/>
    <n v="16679.900000000001"/>
    <n v="189012.72999999998"/>
    <n v="-9206.010000000002"/>
  </r>
  <r>
    <x v="5"/>
    <x v="9"/>
    <x v="0"/>
    <s v="4490501"/>
    <n v="700014"/>
    <s v="Salaries-Management-Other"/>
    <s v="Regional Surgery Admin"/>
    <x v="0"/>
    <n v="2000"/>
    <n v="2528.52"/>
    <n v="-128.52000000000001"/>
    <n v="0"/>
    <n v="0"/>
    <n v="0"/>
    <n v="0"/>
    <n v="0"/>
    <n v="0"/>
    <n v="0"/>
    <n v="0"/>
    <n v="0"/>
    <n v="0"/>
    <n v="2400"/>
    <n v="0"/>
  </r>
  <r>
    <x v="5"/>
    <x v="9"/>
    <x v="0"/>
    <s v="4490501"/>
    <n v="700018"/>
    <s v="Salaries-Supervisory-Productive"/>
    <s v="Regional Surgery Admin"/>
    <x v="0"/>
    <m/>
    <n v="6656.82"/>
    <n v="7004.93"/>
    <n v="5464.98"/>
    <n v="7829.86"/>
    <n v="7580.93"/>
    <n v="5156.3500000000004"/>
    <n v="5927.6"/>
    <n v="6955.79"/>
    <n v="8394.94"/>
    <n v="6502.51"/>
    <n v="7702.03"/>
    <n v="6502.89"/>
    <n v="81679.63"/>
    <n v="1199.1399999999994"/>
  </r>
  <r>
    <x v="5"/>
    <x v="9"/>
    <x v="0"/>
    <s v="4490501"/>
    <n v="700018"/>
    <s v="Salaries-Supervisory-Other"/>
    <s v="Regional Surgery Admin"/>
    <x v="0"/>
    <n v="2000"/>
    <n v="0"/>
    <n v="0"/>
    <n v="0"/>
    <n v="0"/>
    <n v="0"/>
    <n v="0"/>
    <n v="456.67"/>
    <n v="0"/>
    <n v="0"/>
    <n v="0"/>
    <n v="0"/>
    <n v="0"/>
    <n v="456.67"/>
    <n v="0"/>
  </r>
  <r>
    <x v="5"/>
    <x v="9"/>
    <x v="0"/>
    <s v="4490501"/>
    <n v="700026"/>
    <s v="Salaries-RN-Productive"/>
    <s v="Regional Surgery Admin"/>
    <x v="0"/>
    <m/>
    <n v="11695.31"/>
    <n v="7879.03"/>
    <n v="8248.3799999999992"/>
    <n v="9191.33"/>
    <n v="8517.8799999999992"/>
    <n v="6783.1"/>
    <n v="7425.23"/>
    <n v="6919.3"/>
    <n v="10426.290000000001"/>
    <n v="8277.6299999999992"/>
    <n v="8783.4"/>
    <n v="9036.32"/>
    <n v="103183.20000000001"/>
    <n v="-252.92000000000007"/>
  </r>
  <r>
    <x v="5"/>
    <x v="9"/>
    <x v="0"/>
    <s v="4490501"/>
    <n v="700034"/>
    <s v="Salaries-Tech/Professional-Productive"/>
    <s v="Regional Surgery Admin"/>
    <x v="0"/>
    <m/>
    <n v="7254.69"/>
    <n v="10584.49"/>
    <n v="12538.37"/>
    <n v="12322.3"/>
    <n v="9604.0300000000007"/>
    <n v="11270.69"/>
    <n v="13001.28"/>
    <n v="6923.92"/>
    <n v="11815.06"/>
    <n v="13719.94"/>
    <n v="10933"/>
    <n v="8788"/>
    <n v="128755.77"/>
    <n v="2145"/>
  </r>
  <r>
    <x v="5"/>
    <x v="9"/>
    <x v="0"/>
    <s v="4490501"/>
    <n v="700038"/>
    <s v="Salaries-Service/Support-Productive"/>
    <s v="Regional Surgery Admin"/>
    <x v="0"/>
    <m/>
    <n v="24491.13"/>
    <n v="28387.11"/>
    <n v="23476.79"/>
    <n v="34948.79"/>
    <n v="26728.7"/>
    <n v="26537.25"/>
    <n v="31686.09"/>
    <n v="25032.85"/>
    <n v="33472.559999999998"/>
    <n v="31047.23"/>
    <n v="27782.62"/>
    <n v="29992.560000000001"/>
    <n v="343583.68"/>
    <n v="-2209.9400000000023"/>
  </r>
  <r>
    <x v="5"/>
    <x v="9"/>
    <x v="0"/>
    <s v="4490501"/>
    <n v="700038"/>
    <s v="Salaries-Service/Support-OT"/>
    <s v="Regional Surgery Admin"/>
    <x v="0"/>
    <n v="1000"/>
    <n v="0"/>
    <n v="0"/>
    <n v="0"/>
    <n v="16.71"/>
    <n v="-7.35"/>
    <n v="0"/>
    <n v="0"/>
    <n v="0"/>
    <n v="0"/>
    <n v="0"/>
    <n v="9.3800000000000008"/>
    <n v="10.029999999999999"/>
    <n v="28.770000000000003"/>
    <n v="-0.64999999999999858"/>
  </r>
  <r>
    <x v="5"/>
    <x v="9"/>
    <x v="0"/>
    <s v="4490501"/>
    <n v="700038"/>
    <s v="Salaries-Service/Support-Other"/>
    <s v="Regional Surgery Admin"/>
    <x v="0"/>
    <n v="2000"/>
    <n v="0"/>
    <n v="0"/>
    <n v="0"/>
    <n v="30"/>
    <n v="0"/>
    <n v="0"/>
    <n v="0"/>
    <n v="0"/>
    <n v="0"/>
    <n v="0"/>
    <n v="0"/>
    <n v="0"/>
    <n v="30"/>
    <n v="0"/>
  </r>
  <r>
    <x v="5"/>
    <x v="9"/>
    <x v="0"/>
    <s v="4490501"/>
    <n v="700054"/>
    <s v="Salaries-Management-Non-productive"/>
    <s v="Regional Surgery Admin"/>
    <x v="0"/>
    <m/>
    <n v="1925.12"/>
    <n v="2858.24"/>
    <n v="6822.08"/>
    <n v="2737.6"/>
    <n v="816.65"/>
    <n v="7971.54"/>
    <n v="3178.95"/>
    <n v="908.55"/>
    <n v="1541.69"/>
    <n v="2319.11"/>
    <n v="12672.83"/>
    <n v="2817.17"/>
    <n v="46569.53"/>
    <n v="9855.66"/>
  </r>
  <r>
    <x v="5"/>
    <x v="9"/>
    <x v="0"/>
    <s v="4490501"/>
    <n v="700054"/>
    <s v="Salaries-Management-NonProd-Other"/>
    <s v="Regional Surgery Admin"/>
    <x v="0"/>
    <n v="2000"/>
    <n v="0"/>
    <n v="0"/>
    <n v="0"/>
    <n v="0"/>
    <n v="0"/>
    <n v="564.70000000000005"/>
    <n v="-564.70000000000005"/>
    <n v="0"/>
    <n v="0"/>
    <n v="0"/>
    <n v="0"/>
    <n v="0"/>
    <n v="0"/>
    <n v="0"/>
  </r>
  <r>
    <x v="5"/>
    <x v="9"/>
    <x v="0"/>
    <s v="4490501"/>
    <n v="700058"/>
    <s v="Salaries-Supervisory-Non-productive"/>
    <s v="Regional Surgery Admin"/>
    <x v="0"/>
    <m/>
    <n v="1043.28"/>
    <n v="695.52"/>
    <n v="1987.17"/>
    <n v="42"/>
    <n v="76.59"/>
    <n v="2756.67"/>
    <n v="2356.59"/>
    <n v="506.34"/>
    <n v="-133.22999999999999"/>
    <n v="1492.43"/>
    <n v="559.66999999999996"/>
    <n v="1492.43"/>
    <n v="12875.460000000001"/>
    <n v="-932.7600000000001"/>
  </r>
  <r>
    <x v="5"/>
    <x v="9"/>
    <x v="0"/>
    <s v="4490501"/>
    <n v="700066"/>
    <s v="Salaries-RN-Non-productive"/>
    <s v="Regional Surgery Admin"/>
    <x v="0"/>
    <m/>
    <n v="2385.2199999999998"/>
    <n v="1661.95"/>
    <n v="984.95"/>
    <n v="542.5"/>
    <n v="946.43"/>
    <n v="2997.02"/>
    <n v="2370.15"/>
    <n v="1927.27"/>
    <n v="-631.80999999999995"/>
    <n v="1200.56"/>
    <n v="1011.08"/>
    <n v="442.33"/>
    <n v="15837.65"/>
    <n v="568.75"/>
  </r>
  <r>
    <x v="5"/>
    <x v="9"/>
    <x v="0"/>
    <s v="4490501"/>
    <n v="700066"/>
    <s v="Salaries-RN-NonProd-Other"/>
    <s v="Regional Surgery Admin"/>
    <x v="0"/>
    <n v="2000"/>
    <n v="0"/>
    <n v="0"/>
    <n v="0"/>
    <n v="0"/>
    <n v="356.8"/>
    <n v="356.8"/>
    <n v="0"/>
    <n v="-713.6"/>
    <n v="0"/>
    <n v="0"/>
    <n v="0"/>
    <n v="0"/>
    <n v="0"/>
    <n v="0"/>
  </r>
  <r>
    <x v="5"/>
    <x v="9"/>
    <x v="0"/>
    <s v="4490501"/>
    <n v="700074"/>
    <s v="Salaries-Tech/Professional-Non-productive"/>
    <s v="Regional Surgery Admin"/>
    <x v="0"/>
    <m/>
    <n v="2905.15"/>
    <n v="3282.97"/>
    <n v="678.3"/>
    <n v="1848.26"/>
    <n v="3651.24"/>
    <n v="2272.17"/>
    <n v="717.28"/>
    <n v="4066.1"/>
    <n v="1872.52"/>
    <n v="-884.13"/>
    <n v="3230.03"/>
    <n v="4412.2700000000004"/>
    <n v="28052.16"/>
    <n v="-1182.2400000000002"/>
  </r>
  <r>
    <x v="5"/>
    <x v="9"/>
    <x v="0"/>
    <s v="4490501"/>
    <n v="700074"/>
    <s v="Salaries-Tech/Professional-NonProd-Other"/>
    <s v="Regional Surgery Admin"/>
    <x v="0"/>
    <n v="2000"/>
    <n v="0"/>
    <n v="0"/>
    <n v="0"/>
    <n v="0"/>
    <n v="549.41999999999996"/>
    <n v="1098.8399999999999"/>
    <n v="0"/>
    <n v="-1648.26"/>
    <n v="0"/>
    <n v="0"/>
    <n v="0"/>
    <n v="0"/>
    <n v="-2.2737367544323206E-13"/>
    <n v="0"/>
  </r>
  <r>
    <x v="5"/>
    <x v="9"/>
    <x v="0"/>
    <s v="4490501"/>
    <n v="700078"/>
    <s v="Salaries-Service/Support-Non-productive"/>
    <s v="Regional Surgery Admin"/>
    <x v="0"/>
    <m/>
    <n v="7687.19"/>
    <n v="1945.16"/>
    <n v="6014.77"/>
    <n v="1224.8"/>
    <n v="8058.85"/>
    <n v="6807.39"/>
    <n v="4964.45"/>
    <n v="6366.38"/>
    <n v="1564.52"/>
    <n v="2695.52"/>
    <n v="8483.6200000000008"/>
    <n v="3113.68"/>
    <n v="58926.329999999994"/>
    <n v="5369.9400000000005"/>
  </r>
  <r>
    <x v="5"/>
    <x v="9"/>
    <x v="0"/>
    <s v="4490501"/>
    <n v="700078"/>
    <s v="Salaries-Service/Support-NonProd-Other"/>
    <s v="Regional Surgery Admin"/>
    <x v="0"/>
    <n v="2000"/>
    <n v="0"/>
    <n v="0"/>
    <n v="0"/>
    <n v="0"/>
    <n v="0"/>
    <n v="16.07"/>
    <n v="-2"/>
    <n v="0"/>
    <n v="0"/>
    <n v="0"/>
    <n v="0"/>
    <n v="0"/>
    <n v="14.07"/>
    <n v="0"/>
  </r>
  <r>
    <x v="5"/>
    <x v="9"/>
    <x v="0"/>
    <s v="4490501"/>
    <n v="700084"/>
    <s v="Accrued PTO"/>
    <s v="Regional Surgery Admin"/>
    <x v="0"/>
    <m/>
    <n v="-15.36"/>
    <n v="432.15"/>
    <n v="-2838.91"/>
    <n v="6154.5"/>
    <n v="-673.43"/>
    <n v="-10887.48"/>
    <n v="-1418.88"/>
    <n v="-889.09"/>
    <n v="5333.07"/>
    <n v="5956.09"/>
    <n v="-3298.14"/>
    <n v="-3445.07"/>
    <n v="-5590.55"/>
    <n v="146.93000000000029"/>
  </r>
  <r>
    <x v="6"/>
    <x v="9"/>
    <x v="0"/>
    <s v="4490501"/>
    <n v="713010"/>
    <s v="Benefits-FICA/Medicare"/>
    <s v="Regional Surgery Admin"/>
    <x v="0"/>
    <m/>
    <n v="6404.07"/>
    <n v="5859.97"/>
    <n v="5654.73"/>
    <n v="6334.6"/>
    <n v="5336.23"/>
    <n v="5836.21"/>
    <n v="6495.64"/>
    <n v="5558.09"/>
    <n v="6290.68"/>
    <n v="6043.82"/>
    <n v="6438.25"/>
    <n v="6017.48"/>
    <n v="72269.77"/>
    <n v="420.77000000000044"/>
  </r>
  <r>
    <x v="6"/>
    <x v="9"/>
    <x v="0"/>
    <s v="4490501"/>
    <n v="713090"/>
    <s v="Benefits-Allocated Amounts"/>
    <s v="Regional Surgery Admin"/>
    <x v="0"/>
    <m/>
    <n v="17117.68"/>
    <n v="15047.74"/>
    <n v="15747.59"/>
    <n v="17178.16"/>
    <n v="15878.99"/>
    <n v="17054.22"/>
    <n v="18905.37"/>
    <n v="17088.28"/>
    <n v="19676.150000000001"/>
    <n v="18428.919999999998"/>
    <n v="18730.52"/>
    <n v="17801.05"/>
    <n v="208654.66999999995"/>
    <n v="929.47000000000116"/>
  </r>
  <r>
    <x v="6"/>
    <x v="9"/>
    <x v="0"/>
    <s v="4490501"/>
    <n v="713096"/>
    <s v="Employee Recognition"/>
    <s v="Regional Surgery Admin"/>
    <x v="0"/>
    <n v="1017"/>
    <n v="0"/>
    <n v="0"/>
    <n v="0"/>
    <n v="21.44"/>
    <n v="0"/>
    <n v="0"/>
    <n v="0"/>
    <n v="12"/>
    <n v="0"/>
    <n v="0"/>
    <n v="0"/>
    <n v="0"/>
    <n v="33.44"/>
    <n v="0"/>
  </r>
  <r>
    <x v="7"/>
    <x v="9"/>
    <x v="0"/>
    <s v="4490501"/>
    <n v="718050"/>
    <s v="Contract Svcs-Other"/>
    <s v="Regional Surgery Admin"/>
    <x v="0"/>
    <m/>
    <n v="32.97"/>
    <n v="0"/>
    <n v="0"/>
    <n v="0"/>
    <n v="0"/>
    <n v="0"/>
    <n v="0"/>
    <n v="0"/>
    <n v="0"/>
    <n v="0"/>
    <n v="0"/>
    <n v="0"/>
    <n v="32.97"/>
    <n v="0"/>
  </r>
  <r>
    <x v="7"/>
    <x v="9"/>
    <x v="0"/>
    <s v="4490501"/>
    <n v="718050"/>
    <s v="Document Shredding/Storage"/>
    <s v="Regional Surgery Admin"/>
    <x v="0"/>
    <n v="1012"/>
    <n v="3.28"/>
    <n v="3.31"/>
    <n v="3.11"/>
    <n v="3.2"/>
    <n v="3.29"/>
    <n v="3.29"/>
    <n v="3.25"/>
    <n v="2.82"/>
    <n v="2.91"/>
    <n v="3.79"/>
    <n v="3.2"/>
    <n v="3.29"/>
    <n v="38.74"/>
    <n v="-8.9999999999999858E-2"/>
  </r>
  <r>
    <x v="11"/>
    <x v="9"/>
    <x v="0"/>
    <s v="4490501"/>
    <n v="721810"/>
    <s v="Supplies-Dietary/Cafeteria"/>
    <s v="Regional Surgery Admin"/>
    <x v="0"/>
    <m/>
    <n v="343.27"/>
    <n v="0"/>
    <n v="86.78"/>
    <n v="0"/>
    <n v="0"/>
    <n v="20.94"/>
    <n v="0"/>
    <n v="0"/>
    <n v="0"/>
    <n v="0"/>
    <n v="0"/>
    <n v="0"/>
    <n v="450.98999999999995"/>
    <n v="0"/>
  </r>
  <r>
    <x v="11"/>
    <x v="9"/>
    <x v="0"/>
    <s v="4490501"/>
    <n v="721830"/>
    <s v="Supplies-Office"/>
    <s v="Regional Surgery Admin"/>
    <x v="0"/>
    <m/>
    <n v="134.56"/>
    <n v="315.49"/>
    <n v="256.63"/>
    <n v="380.87"/>
    <n v="216.98"/>
    <n v="0"/>
    <n v="486.33"/>
    <n v="403.97"/>
    <n v="0"/>
    <n v="60.53"/>
    <n v="63.89"/>
    <n v="77.12"/>
    <n v="2396.37"/>
    <n v="-13.230000000000004"/>
  </r>
  <r>
    <x v="11"/>
    <x v="9"/>
    <x v="0"/>
    <s v="4490501"/>
    <n v="721980"/>
    <s v="Supplies-Other"/>
    <s v="Regional Surgery Admin"/>
    <x v="0"/>
    <m/>
    <n v="0"/>
    <n v="0"/>
    <n v="0"/>
    <n v="34.880000000000003"/>
    <n v="66.34"/>
    <n v="0"/>
    <n v="0"/>
    <n v="0"/>
    <n v="57.47"/>
    <n v="106.16"/>
    <n v="0"/>
    <n v="75.56"/>
    <n v="340.41"/>
    <n v="-75.56"/>
  </r>
  <r>
    <x v="12"/>
    <x v="9"/>
    <x v="0"/>
    <s v="4490501"/>
    <n v="730010"/>
    <s v="Rental and Leases-Building (DO NOT USE)"/>
    <s v="Regional Surgery Admin"/>
    <x v="0"/>
    <m/>
    <n v="2363.64"/>
    <n v="2363.64"/>
    <n v="2363.64"/>
    <n v="2363.64"/>
    <n v="2363.64"/>
    <n v="-4122.8999999999996"/>
    <n v="1282.55"/>
    <n v="1282.55"/>
    <n v="1282.55"/>
    <n v="1282.55"/>
    <n v="1283.6199999999999"/>
    <n v="0"/>
    <n v="14109.119999999995"/>
    <n v="1283.6199999999999"/>
  </r>
  <r>
    <x v="12"/>
    <x v="9"/>
    <x v="0"/>
    <s v="4490501"/>
    <n v="730010"/>
    <s v="Rental-Common Area Maint (DO NOT USE)"/>
    <s v="Regional Surgery Admin"/>
    <x v="0"/>
    <n v="2200"/>
    <n v="0"/>
    <n v="0"/>
    <n v="0"/>
    <n v="0"/>
    <n v="0"/>
    <n v="6464.47"/>
    <n v="1059.02"/>
    <n v="1059.02"/>
    <n v="702.57"/>
    <n v="1059.02"/>
    <n v="1059.02"/>
    <n v="0"/>
    <n v="11403.12"/>
    <n v="1059.02"/>
  </r>
  <r>
    <x v="12"/>
    <x v="9"/>
    <x v="0"/>
    <s v="4490501"/>
    <n v="730020"/>
    <s v="Rental and Leases-Copier Usage Fees (DO NOT USE)"/>
    <s v="Regional Surgery Admin"/>
    <x v="0"/>
    <n v="5100"/>
    <n v="147.38"/>
    <n v="142.21"/>
    <n v="144.80000000000001"/>
    <n v="144.80000000000001"/>
    <n v="144.80000000000001"/>
    <n v="144.80000000000001"/>
    <n v="438.44"/>
    <n v="116.05"/>
    <n v="115.81"/>
    <n v="235.57"/>
    <n v="116.05"/>
    <n v="126.47"/>
    <n v="2017.1799999999998"/>
    <n v="-10.420000000000002"/>
  </r>
  <r>
    <x v="12"/>
    <x v="9"/>
    <x v="0"/>
    <s v="4490501"/>
    <n v="730040"/>
    <s v="LT Lease-Real Estate"/>
    <s v="Regional Surgery Admin"/>
    <x v="0"/>
    <m/>
    <n v="0"/>
    <n v="0"/>
    <n v="0"/>
    <n v="0"/>
    <n v="0"/>
    <n v="0"/>
    <n v="0"/>
    <n v="0"/>
    <n v="0"/>
    <n v="0"/>
    <n v="0"/>
    <n v="2373.63"/>
    <n v="2373.63"/>
    <n v="-2373.63"/>
  </r>
  <r>
    <x v="13"/>
    <x v="9"/>
    <x v="0"/>
    <s v="4490501"/>
    <n v="735070"/>
    <s v="Depreciation-Movable Equipment"/>
    <s v="Regional Surgery Admin"/>
    <x v="0"/>
    <m/>
    <n v="196.74"/>
    <n v="196.74"/>
    <n v="196.74"/>
    <n v="196.74"/>
    <n v="196.74"/>
    <n v="196.74"/>
    <n v="196.74"/>
    <n v="196.73"/>
    <n v="196.74"/>
    <n v="196.73"/>
    <n v="196.74"/>
    <n v="196.73"/>
    <n v="2360.85"/>
    <n v="1.0000000000019327E-2"/>
  </r>
  <r>
    <x v="0"/>
    <x v="9"/>
    <x v="0"/>
    <s v="4490501"/>
    <n v="740010"/>
    <s v="Education-Materials"/>
    <s v="Regional Surgery Admin"/>
    <x v="0"/>
    <m/>
    <n v="0"/>
    <n v="0"/>
    <n v="0"/>
    <n v="0"/>
    <n v="0"/>
    <n v="95.4"/>
    <n v="0"/>
    <n v="0"/>
    <n v="0"/>
    <n v="0"/>
    <n v="0"/>
    <n v="0"/>
    <n v="95.4"/>
    <n v="0"/>
  </r>
  <r>
    <x v="0"/>
    <x v="9"/>
    <x v="0"/>
    <s v="4490501"/>
    <n v="740020"/>
    <s v="Education-Registration Fees"/>
    <s v="Regional Surgery Admin"/>
    <x v="0"/>
    <m/>
    <n v="0"/>
    <n v="0"/>
    <n v="0"/>
    <n v="0"/>
    <n v="0"/>
    <n v="795"/>
    <n v="0"/>
    <n v="0"/>
    <n v="0"/>
    <n v="0"/>
    <n v="0"/>
    <n v="0"/>
    <n v="795"/>
    <n v="0"/>
  </r>
  <r>
    <x v="0"/>
    <x v="9"/>
    <x v="0"/>
    <s v="4490501"/>
    <n v="743030"/>
    <s v="Subscriptions--Institutional"/>
    <s v="Regional Surgery Admin"/>
    <x v="0"/>
    <m/>
    <n v="0"/>
    <n v="0"/>
    <n v="0"/>
    <n v="0"/>
    <n v="0"/>
    <n v="77.040000000000006"/>
    <n v="0"/>
    <n v="0"/>
    <n v="5272"/>
    <n v="0"/>
    <n v="0"/>
    <n v="0"/>
    <n v="5349.04"/>
    <n v="0"/>
  </r>
  <r>
    <x v="0"/>
    <x v="9"/>
    <x v="0"/>
    <s v="4490501"/>
    <n v="749510"/>
    <s v="Miscellaneous Expenses"/>
    <s v="Regional Surgery Admin"/>
    <x v="0"/>
    <m/>
    <n v="-308.49"/>
    <n v="-29.98"/>
    <n v="188.2"/>
    <n v="-56.32"/>
    <n v="0"/>
    <n v="0"/>
    <n v="98.94"/>
    <n v="32.979999999999997"/>
    <n v="220.48"/>
    <n v="262.94"/>
    <n v="193.3"/>
    <n v="66.02"/>
    <n v="668.06999999999994"/>
    <n v="127.28000000000002"/>
  </r>
  <r>
    <x v="0"/>
    <x v="9"/>
    <x v="0"/>
    <s v="4490501"/>
    <n v="749530"/>
    <s v="Travel"/>
    <s v="Regional Surgery Admin"/>
    <x v="0"/>
    <m/>
    <n v="0"/>
    <n v="84.5"/>
    <n v="0"/>
    <n v="12.5"/>
    <n v="280.02"/>
    <n v="12"/>
    <n v="7"/>
    <n v="0"/>
    <n v="0"/>
    <n v="29"/>
    <n v="0"/>
    <n v="0"/>
    <n v="425.02"/>
    <n v="0"/>
  </r>
  <r>
    <x v="0"/>
    <x v="9"/>
    <x v="0"/>
    <s v="4490501"/>
    <n v="749530"/>
    <s v="Mileage"/>
    <s v="Regional Surgery Admin"/>
    <x v="0"/>
    <n v="1001"/>
    <n v="89.94"/>
    <n v="566.33000000000004"/>
    <n v="32.159999999999997"/>
    <n v="214.81"/>
    <n v="91.64"/>
    <n v="76.31"/>
    <n v="50.37"/>
    <n v="0"/>
    <n v="0"/>
    <n v="336.4"/>
    <n v="12.76"/>
    <n v="0"/>
    <n v="1470.72"/>
    <n v="12.76"/>
  </r>
  <r>
    <x v="0"/>
    <x v="9"/>
    <x v="0"/>
    <s v="4490501"/>
    <n v="749535"/>
    <s v="Meetings"/>
    <s v="Regional Surgery Admin"/>
    <x v="0"/>
    <m/>
    <n v="0"/>
    <n v="0"/>
    <n v="0"/>
    <n v="5081.45"/>
    <n v="0"/>
    <n v="-4865.1000000000004"/>
    <n v="0"/>
    <n v="0"/>
    <n v="0"/>
    <n v="0"/>
    <n v="0"/>
    <n v="0"/>
    <n v="216.34999999999945"/>
    <n v="0"/>
  </r>
  <r>
    <x v="18"/>
    <x v="3"/>
    <x v="0"/>
    <s v="4505101"/>
    <n v="400010"/>
    <s v="Acute I/P Svcs Rev--Medicare"/>
    <s v="Recovery Services"/>
    <x v="0"/>
    <n v="1100"/>
    <n v="-677742.12"/>
    <n v="-737650.24"/>
    <n v="-627068.65"/>
    <n v="-786558.88"/>
    <n v="-697573.17"/>
    <n v="-650267.35"/>
    <n v="-707962.42"/>
    <n v="-531574.16"/>
    <n v="-824415.97"/>
    <n v="-802999.92"/>
    <n v="-710553.46"/>
    <n v="-697451.25"/>
    <n v="-8451817.5899999999"/>
    <n v="-13102.209999999963"/>
  </r>
  <r>
    <x v="18"/>
    <x v="3"/>
    <x v="0"/>
    <s v="4505101"/>
    <n v="400010"/>
    <s v="Acute I/P Svcs Rev--Medicaid"/>
    <s v="Recovery Services"/>
    <x v="0"/>
    <n v="1200"/>
    <n v="-192558.71"/>
    <n v="-283378.06"/>
    <n v="-184170.87"/>
    <n v="-144815.24"/>
    <n v="-225691.78"/>
    <n v="-148901.49"/>
    <n v="-151262.35999999999"/>
    <n v="-206437.98"/>
    <n v="-171504.21"/>
    <n v="-190511.79"/>
    <n v="-176789.15"/>
    <n v="-115142.96"/>
    <n v="-2191164.5999999996"/>
    <n v="-61646.189999999988"/>
  </r>
  <r>
    <x v="18"/>
    <x v="3"/>
    <x v="0"/>
    <s v="4505101"/>
    <n v="400010"/>
    <s v="Acute I/P Svcs Rev--Comm Insurance"/>
    <s v="Recovery Services"/>
    <x v="0"/>
    <n v="1300"/>
    <n v="-18662.099999999999"/>
    <n v="-7336.2"/>
    <n v="-24765.200000000001"/>
    <n v="-25258.799999999999"/>
    <n v="-26780.36"/>
    <n v="-34300.74"/>
    <n v="-14487.9"/>
    <n v="-36448.17"/>
    <n v="-28961.1"/>
    <n v="9325.81"/>
    <n v="-35647.07"/>
    <n v="-31733.23"/>
    <n v="-275055.06"/>
    <n v="-3913.84"/>
  </r>
  <r>
    <x v="18"/>
    <x v="3"/>
    <x v="0"/>
    <s v="4505101"/>
    <n v="400010"/>
    <s v="Acute I/P Svcs Rev--BCBS Comm"/>
    <s v="Recovery Services"/>
    <x v="0"/>
    <n v="1301"/>
    <n v="-26710.61"/>
    <n v="-76583.210000000006"/>
    <n v="-39683.42"/>
    <n v="-56722.5"/>
    <n v="-33480.379999999997"/>
    <n v="-22831.62"/>
    <n v="-65993.83"/>
    <n v="-18907.099999999999"/>
    <n v="-49542.8"/>
    <n v="-81993.97"/>
    <n v="-52509.93"/>
    <n v="-50751.75"/>
    <n v="-575711.12"/>
    <n v="-1758.1800000000003"/>
  </r>
  <r>
    <x v="18"/>
    <x v="3"/>
    <x v="0"/>
    <s v="4505101"/>
    <n v="400010"/>
    <s v="Acute I/P Svcs Rev--Managed Care"/>
    <s v="Recovery Services"/>
    <x v="0"/>
    <n v="1400"/>
    <n v="-317801.94"/>
    <n v="-285670.52"/>
    <n v="-216064.05"/>
    <n v="-243914.48"/>
    <n v="-197896.99"/>
    <n v="-362094.76"/>
    <n v="-289391.01"/>
    <n v="-231502.83"/>
    <n v="-219541.38"/>
    <n v="-186141.7"/>
    <n v="-217443.73"/>
    <n v="-192423.6"/>
    <n v="-2959886.99"/>
    <n v="-25020.130000000005"/>
  </r>
  <r>
    <x v="18"/>
    <x v="3"/>
    <x v="0"/>
    <s v="4505101"/>
    <n v="400010"/>
    <s v="Acute I/P Svcs Rev--Self Pay"/>
    <s v="Recovery Services"/>
    <x v="0"/>
    <n v="1500"/>
    <n v="-13970.96"/>
    <n v="-10376.44"/>
    <n v="-13122.9"/>
    <n v="-12516"/>
    <n v="-16688.7"/>
    <n v="3943.8"/>
    <n v="-2427.6"/>
    <n v="-9833.8700000000008"/>
    <n v="-22258.12"/>
    <n v="786.37"/>
    <n v="-2500.44"/>
    <n v="-5000.88"/>
    <n v="-103965.74"/>
    <n v="2500.44"/>
  </r>
  <r>
    <x v="18"/>
    <x v="3"/>
    <x v="0"/>
    <s v="4505101"/>
    <n v="400010"/>
    <s v="Acute I/P Svcs Rev--Other"/>
    <s v="Recovery Services"/>
    <x v="0"/>
    <n v="1700"/>
    <n v="-42797.05"/>
    <n v="-71706.8"/>
    <n v="-47191.46"/>
    <n v="-51127.76"/>
    <n v="-47410.09"/>
    <n v="-44364.7"/>
    <n v="-62483.32"/>
    <n v="-44425.15"/>
    <n v="-55195.19"/>
    <n v="-63137.93"/>
    <n v="-50943.24"/>
    <n v="-59885.7"/>
    <n v="-640668.39"/>
    <n v="8942.4599999999991"/>
  </r>
  <r>
    <x v="19"/>
    <x v="3"/>
    <x v="0"/>
    <s v="4505101"/>
    <n v="400020"/>
    <s v="O/P Care Svcs Rev--Medicare"/>
    <s v="Recovery Services"/>
    <x v="0"/>
    <n v="1100"/>
    <n v="-297038.65999999997"/>
    <n v="-321813.75"/>
    <n v="-364261.18"/>
    <n v="-486917.19"/>
    <n v="-393559.07"/>
    <n v="-317212.82"/>
    <n v="-321552.84999999998"/>
    <n v="-287095.40000000002"/>
    <n v="-377723.92"/>
    <n v="-454152.81"/>
    <n v="-391684.54"/>
    <n v="-345419.22"/>
    <n v="-4358431.41"/>
    <n v="-46265.320000000007"/>
  </r>
  <r>
    <x v="19"/>
    <x v="3"/>
    <x v="0"/>
    <s v="4505101"/>
    <n v="400020"/>
    <s v="O/P Care Svcs Rev--Medicaid"/>
    <s v="Recovery Services"/>
    <x v="0"/>
    <n v="1200"/>
    <n v="-152288.29999999999"/>
    <n v="-118606.63"/>
    <n v="-149830.81"/>
    <n v="-151298.38"/>
    <n v="-169697.05"/>
    <n v="-151184.41"/>
    <n v="-150876.54"/>
    <n v="-148950.29"/>
    <n v="-156003.32999999999"/>
    <n v="-181098.6"/>
    <n v="-190253.39"/>
    <n v="-155177.41"/>
    <n v="-1875265.14"/>
    <n v="-35075.98000000001"/>
  </r>
  <r>
    <x v="19"/>
    <x v="3"/>
    <x v="0"/>
    <s v="4505101"/>
    <n v="400020"/>
    <s v="O/P Care Svcs Rev--Comm Insurance"/>
    <s v="Recovery Services"/>
    <x v="0"/>
    <n v="1300"/>
    <n v="-30789.57"/>
    <n v="-24521.49"/>
    <n v="-12899.91"/>
    <n v="-9866.9599999999991"/>
    <n v="-41319.72"/>
    <n v="-16710.25"/>
    <n v="-25393.83"/>
    <n v="-5842.07"/>
    <n v="-39028.050000000003"/>
    <n v="-38682.04"/>
    <n v="-8443.7999999999993"/>
    <n v="-64461.03"/>
    <n v="-317958.71999999997"/>
    <n v="56017.229999999996"/>
  </r>
  <r>
    <x v="19"/>
    <x v="3"/>
    <x v="0"/>
    <s v="4505101"/>
    <n v="400020"/>
    <s v="O/P Care Svcs Rev--BCBS Comm"/>
    <s v="Recovery Services"/>
    <x v="0"/>
    <n v="1301"/>
    <n v="-51862.02"/>
    <n v="-31855.51"/>
    <n v="-28088.7"/>
    <n v="-47688.99"/>
    <n v="-42187.199999999997"/>
    <n v="-82684.95"/>
    <n v="-51597.67"/>
    <n v="-27519.45"/>
    <n v="-53418.42"/>
    <n v="-43180.65"/>
    <n v="-46131.61"/>
    <n v="-80589.77"/>
    <n v="-586804.93999999994"/>
    <n v="34458.160000000003"/>
  </r>
  <r>
    <x v="19"/>
    <x v="3"/>
    <x v="0"/>
    <s v="4505101"/>
    <n v="400020"/>
    <s v="O/P Care Svcs Rev--Managed Care"/>
    <s v="Recovery Services"/>
    <x v="0"/>
    <n v="1400"/>
    <n v="-267957.03999999998"/>
    <n v="-195640.23"/>
    <n v="-220250.02"/>
    <n v="-258414.59"/>
    <n v="-260470.96"/>
    <n v="-322328.61"/>
    <n v="-284491.74"/>
    <n v="-228055.33"/>
    <n v="-284721.26"/>
    <n v="-225253.69"/>
    <n v="-322385.99"/>
    <n v="-261018.9"/>
    <n v="-3130988.36"/>
    <n v="-61367.09"/>
  </r>
  <r>
    <x v="19"/>
    <x v="3"/>
    <x v="0"/>
    <s v="4505101"/>
    <n v="400020"/>
    <s v="O/P Care Svcs Rev--Self Pay"/>
    <s v="Recovery Services"/>
    <x v="0"/>
    <n v="1500"/>
    <n v="-4143.32"/>
    <n v="-20683.78"/>
    <n v="-3059.06"/>
    <n v="-14104.68"/>
    <n v="3656.48"/>
    <n v="2427.6"/>
    <n v="-13047.3"/>
    <n v="-5781.48"/>
    <n v="-14431.61"/>
    <n v="-4450.95"/>
    <n v="-10084.77"/>
    <n v="-7169.99"/>
    <n v="-90872.86"/>
    <n v="-2914.7800000000007"/>
  </r>
  <r>
    <x v="19"/>
    <x v="3"/>
    <x v="0"/>
    <s v="4505101"/>
    <n v="400020"/>
    <s v="O/P Care Svcs Rev--Other"/>
    <s v="Recovery Services"/>
    <x v="0"/>
    <n v="1700"/>
    <n v="-50049.25"/>
    <n v="-64409.93"/>
    <n v="-89225.4"/>
    <n v="-56939.72"/>
    <n v="-73027.78"/>
    <n v="-54628.15"/>
    <n v="-43773.22"/>
    <n v="-47456.86"/>
    <n v="-50180.53"/>
    <n v="-33858.33"/>
    <n v="-52991.49"/>
    <n v="-63827.96"/>
    <n v="-680368.61999999988"/>
    <n v="10836.470000000001"/>
  </r>
  <r>
    <x v="5"/>
    <x v="3"/>
    <x v="0"/>
    <s v="4505101"/>
    <n v="700014"/>
    <s v="Salaries-Management-Productive"/>
    <s v="Recovery Services"/>
    <x v="0"/>
    <m/>
    <n v="19257.36"/>
    <n v="17054.310000000001"/>
    <n v="7009.19"/>
    <n v="9555.4599999999991"/>
    <n v="8821.48"/>
    <n v="6469.39"/>
    <n v="8069.57"/>
    <n v="7273.87"/>
    <n v="9276.44"/>
    <n v="8834.42"/>
    <n v="8334.11"/>
    <n v="6714.48"/>
    <n v="116670.08"/>
    <n v="1619.630000000001"/>
  </r>
  <r>
    <x v="5"/>
    <x v="3"/>
    <x v="0"/>
    <s v="4505101"/>
    <n v="700026"/>
    <s v="Salaries-RN-Productive"/>
    <s v="Recovery Services"/>
    <x v="0"/>
    <m/>
    <n v="101730.87"/>
    <n v="122357.58"/>
    <n v="110525.65"/>
    <n v="99992.56"/>
    <n v="91891.76"/>
    <n v="86279.59"/>
    <n v="94321.95"/>
    <n v="97454.37"/>
    <n v="110904.57"/>
    <n v="90478.56"/>
    <n v="109760.58"/>
    <n v="85339.37"/>
    <n v="1201037.4100000001"/>
    <n v="24421.210000000006"/>
  </r>
  <r>
    <x v="5"/>
    <x v="3"/>
    <x v="0"/>
    <s v="4505101"/>
    <n v="700026"/>
    <s v="Salaries-RN-OT"/>
    <s v="Recovery Services"/>
    <x v="0"/>
    <n v="1000"/>
    <n v="2533.25"/>
    <n v="2621.0300000000002"/>
    <n v="2636.6"/>
    <n v="2747.95"/>
    <n v="4339.3500000000004"/>
    <n v="2627.88"/>
    <n v="1530.23"/>
    <n v="3746.06"/>
    <n v="4704.47"/>
    <n v="4885.1000000000004"/>
    <n v="2747.64"/>
    <n v="13173.96"/>
    <n v="48293.520000000004"/>
    <n v="-10426.32"/>
  </r>
  <r>
    <x v="5"/>
    <x v="3"/>
    <x v="0"/>
    <s v="4505101"/>
    <n v="700026"/>
    <s v="Salaries-RN-Other"/>
    <s v="Recovery Services"/>
    <x v="0"/>
    <n v="2000"/>
    <n v="9003.2099999999991"/>
    <n v="9754.17"/>
    <n v="9029.6200000000008"/>
    <n v="8296.6"/>
    <n v="8639.31"/>
    <n v="8918.76"/>
    <n v="9099.61"/>
    <n v="8848.1299999999992"/>
    <n v="10456.5"/>
    <n v="9228.15"/>
    <n v="9284.32"/>
    <n v="8243.0499999999993"/>
    <n v="108801.43000000001"/>
    <n v="1041.2700000000004"/>
  </r>
  <r>
    <x v="5"/>
    <x v="3"/>
    <x v="0"/>
    <s v="4505101"/>
    <n v="700032"/>
    <s v="Salaries-Other Pat Care Providers-Productive"/>
    <s v="Recovery Services"/>
    <x v="0"/>
    <m/>
    <n v="6262.66"/>
    <n v="7344.87"/>
    <n v="5091.22"/>
    <n v="8414.0400000000009"/>
    <n v="7355.77"/>
    <n v="5133.03"/>
    <n v="6778.17"/>
    <n v="5298.88"/>
    <n v="8135.5"/>
    <n v="7064.77"/>
    <n v="7724.66"/>
    <n v="6150.58"/>
    <n v="80754.149999999994"/>
    <n v="1574.08"/>
  </r>
  <r>
    <x v="5"/>
    <x v="3"/>
    <x v="0"/>
    <s v="4505101"/>
    <n v="700032"/>
    <s v="Salaries-Other Pat Care Providers-OT"/>
    <s v="Recovery Services"/>
    <x v="0"/>
    <n v="1000"/>
    <n v="127.61"/>
    <n v="261.56"/>
    <n v="631.09"/>
    <n v="-102.75"/>
    <n v="-29.82"/>
    <n v="199.84"/>
    <n v="9.9499999999999993"/>
    <n v="-3.27"/>
    <n v="0"/>
    <n v="40.619999999999997"/>
    <n v="59.06"/>
    <n v="682.36"/>
    <n v="1876.25"/>
    <n v="-623.29999999999995"/>
  </r>
  <r>
    <x v="5"/>
    <x v="3"/>
    <x v="0"/>
    <s v="4505101"/>
    <n v="700032"/>
    <s v="Salaries-Other Pat Care Providers-Other"/>
    <s v="Recovery Services"/>
    <x v="0"/>
    <n v="2000"/>
    <n v="190.25"/>
    <n v="214"/>
    <n v="215.42"/>
    <n v="229.63"/>
    <n v="207.98"/>
    <n v="164.81"/>
    <n v="175.11"/>
    <n v="117.14"/>
    <n v="254.84"/>
    <n v="214.22"/>
    <n v="186.17"/>
    <n v="185.51"/>
    <n v="2355.08"/>
    <n v="0.65999999999999659"/>
  </r>
  <r>
    <x v="5"/>
    <x v="3"/>
    <x v="0"/>
    <s v="4505101"/>
    <n v="700034"/>
    <s v="Salaries-Tech/Professional-Productive"/>
    <s v="Recovery Services"/>
    <x v="0"/>
    <m/>
    <n v="0"/>
    <n v="0"/>
    <n v="0"/>
    <n v="5.35"/>
    <n v="0"/>
    <n v="0"/>
    <n v="0"/>
    <n v="0"/>
    <n v="0"/>
    <n v="0"/>
    <n v="0"/>
    <n v="0"/>
    <n v="5.35"/>
    <n v="0"/>
  </r>
  <r>
    <x v="5"/>
    <x v="3"/>
    <x v="0"/>
    <s v="4505101"/>
    <n v="700034"/>
    <s v="Salaries-Tech/Professional-OT"/>
    <s v="Recovery Services"/>
    <x v="0"/>
    <n v="1000"/>
    <n v="0"/>
    <n v="0"/>
    <n v="0"/>
    <n v="100.05"/>
    <n v="0"/>
    <n v="0"/>
    <n v="0"/>
    <n v="0"/>
    <n v="0"/>
    <n v="0"/>
    <n v="0"/>
    <n v="0"/>
    <n v="100.05"/>
    <n v="0"/>
  </r>
  <r>
    <x v="5"/>
    <x v="3"/>
    <x v="0"/>
    <s v="4505101"/>
    <n v="700034"/>
    <s v="Salaries-Tech/Professional-Other"/>
    <s v="Recovery Services"/>
    <x v="0"/>
    <n v="2000"/>
    <n v="0"/>
    <n v="0"/>
    <n v="0"/>
    <n v="8.61"/>
    <n v="0"/>
    <n v="0"/>
    <n v="0"/>
    <n v="0"/>
    <n v="0"/>
    <n v="0"/>
    <n v="0"/>
    <n v="0"/>
    <n v="8.61"/>
    <n v="0"/>
  </r>
  <r>
    <x v="5"/>
    <x v="3"/>
    <x v="0"/>
    <s v="4505101"/>
    <n v="700038"/>
    <s v="Salaries-Service/Support-OT"/>
    <s v="Recovery Services"/>
    <x v="0"/>
    <n v="1000"/>
    <n v="0"/>
    <n v="0"/>
    <n v="0"/>
    <n v="0"/>
    <n v="0"/>
    <n v="0"/>
    <n v="0"/>
    <n v="0"/>
    <n v="0"/>
    <n v="0"/>
    <n v="0"/>
    <n v="20.05"/>
    <n v="20.05"/>
    <n v="-20.05"/>
  </r>
  <r>
    <x v="5"/>
    <x v="3"/>
    <x v="0"/>
    <s v="4505101"/>
    <n v="700038"/>
    <s v="Salaries-Service/Support-Other"/>
    <s v="Recovery Services"/>
    <x v="0"/>
    <n v="2000"/>
    <n v="0"/>
    <n v="0"/>
    <n v="0"/>
    <n v="0"/>
    <n v="0"/>
    <n v="0"/>
    <n v="0"/>
    <n v="0"/>
    <n v="0"/>
    <n v="0"/>
    <n v="0"/>
    <n v="0.93"/>
    <n v="0.93"/>
    <n v="-0.93"/>
  </r>
  <r>
    <x v="5"/>
    <x v="3"/>
    <x v="0"/>
    <s v="4505101"/>
    <n v="700054"/>
    <s v="Salaries-Management-Non-productive"/>
    <s v="Recovery Services"/>
    <x v="0"/>
    <m/>
    <n v="1912.16"/>
    <n v="4116.1499999999996"/>
    <n v="2084.3000000000002"/>
    <n v="-463.97"/>
    <n v="0"/>
    <n v="2646.44"/>
    <n v="1060.49"/>
    <n v="971.8"/>
    <n v="-147.22"/>
    <n v="0"/>
    <n v="795.09"/>
    <n v="2120.35"/>
    <n v="15095.59"/>
    <n v="-1325.2599999999998"/>
  </r>
  <r>
    <x v="5"/>
    <x v="3"/>
    <x v="0"/>
    <s v="4505101"/>
    <n v="700054"/>
    <s v="Salaries-Management-NonProd-Other"/>
    <s v="Recovery Services"/>
    <x v="0"/>
    <n v="2000"/>
    <n v="0"/>
    <n v="0"/>
    <n v="0"/>
    <n v="0"/>
    <n v="0"/>
    <n v="6833.77"/>
    <n v="-6833.77"/>
    <n v="0"/>
    <n v="0"/>
    <n v="0"/>
    <n v="0"/>
    <n v="0"/>
    <n v="0"/>
    <n v="0"/>
  </r>
  <r>
    <x v="5"/>
    <x v="3"/>
    <x v="0"/>
    <s v="4505101"/>
    <n v="700066"/>
    <s v="Salaries-RN-Non-productive"/>
    <s v="Recovery Services"/>
    <x v="0"/>
    <m/>
    <n v="16842.560000000001"/>
    <n v="13595.61"/>
    <n v="12478.14"/>
    <n v="16014.29"/>
    <n v="15169.97"/>
    <n v="18490.5"/>
    <n v="17976"/>
    <n v="17062.14"/>
    <n v="9402.89"/>
    <n v="23837.82"/>
    <n v="21511.57"/>
    <n v="31208.31"/>
    <n v="213589.8"/>
    <n v="-9696.7400000000016"/>
  </r>
  <r>
    <x v="5"/>
    <x v="3"/>
    <x v="0"/>
    <s v="4505101"/>
    <n v="700066"/>
    <s v="Salaries-RN-NonProd-Other"/>
    <s v="Recovery Services"/>
    <x v="0"/>
    <n v="2000"/>
    <n v="2746.21"/>
    <n v="2630.23"/>
    <n v="3361.41"/>
    <n v="2900.03"/>
    <n v="2148.6799999999998"/>
    <n v="3624.1"/>
    <n v="3749.01"/>
    <n v="1565.86"/>
    <n v="1878.66"/>
    <n v="3807.25"/>
    <n v="4324.7"/>
    <n v="4971.0200000000004"/>
    <n v="37707.160000000003"/>
    <n v="-646.32000000000062"/>
  </r>
  <r>
    <x v="5"/>
    <x v="3"/>
    <x v="0"/>
    <s v="4505101"/>
    <n v="700072"/>
    <s v="Salaries-Other Pat Care Providers-Non-productive"/>
    <s v="Recovery Services"/>
    <x v="0"/>
    <m/>
    <n v="624.73"/>
    <n v="443.85"/>
    <n v="2341.41"/>
    <n v="-468.49"/>
    <n v="204.7"/>
    <n v="2971.33"/>
    <n v="1160.4000000000001"/>
    <n v="1879.06"/>
    <n v="146.46"/>
    <n v="576.74"/>
    <n v="1103.02"/>
    <n v="2485.34"/>
    <n v="13468.55"/>
    <n v="-1382.3200000000002"/>
  </r>
  <r>
    <x v="5"/>
    <x v="3"/>
    <x v="0"/>
    <s v="4505101"/>
    <n v="700072"/>
    <s v="Salaries-Other Pat Care Providers-NonProd-Other"/>
    <s v="Recovery Services"/>
    <x v="0"/>
    <n v="2000"/>
    <n v="-15.7"/>
    <n v="3.1"/>
    <n v="27.78"/>
    <n v="0"/>
    <n v="324.02"/>
    <n v="86.78"/>
    <n v="57.95"/>
    <n v="-216.55"/>
    <n v="-13.03"/>
    <n v="7.33"/>
    <n v="52.84"/>
    <n v="96.29"/>
    <n v="410.81"/>
    <n v="-43.45"/>
  </r>
  <r>
    <x v="5"/>
    <x v="3"/>
    <x v="0"/>
    <s v="4505101"/>
    <n v="700084"/>
    <s v="Accrued PTO"/>
    <s v="Recovery Services"/>
    <x v="0"/>
    <m/>
    <n v="-796.98"/>
    <n v="2928.61"/>
    <n v="462.58"/>
    <n v="-19.57"/>
    <n v="11332.37"/>
    <n v="-4229.17"/>
    <n v="3035.03"/>
    <n v="2353.64"/>
    <n v="6863.93"/>
    <n v="-3336.62"/>
    <n v="-1769.63"/>
    <n v="5.15"/>
    <n v="16829.340000000004"/>
    <n v="-1774.7800000000002"/>
  </r>
  <r>
    <x v="10"/>
    <x v="3"/>
    <x v="0"/>
    <s v="4505101"/>
    <n v="710060"/>
    <s v="Contract Labor-Other"/>
    <s v="Recovery Services"/>
    <x v="0"/>
    <m/>
    <n v="8644.25"/>
    <n v="2272"/>
    <n v="0"/>
    <n v="0"/>
    <n v="0"/>
    <n v="0"/>
    <n v="0"/>
    <n v="0"/>
    <n v="0"/>
    <n v="0"/>
    <n v="0"/>
    <n v="0"/>
    <n v="10916.25"/>
    <n v="0"/>
  </r>
  <r>
    <x v="10"/>
    <x v="3"/>
    <x v="0"/>
    <s v="4505101"/>
    <n v="710060"/>
    <s v="Contract Labor-Overtime"/>
    <s v="Recovery Services"/>
    <x v="0"/>
    <n v="5100"/>
    <n v="3075.2"/>
    <n v="1142.2"/>
    <n v="0"/>
    <n v="0"/>
    <n v="0"/>
    <n v="0"/>
    <n v="0"/>
    <n v="0"/>
    <n v="0"/>
    <n v="0"/>
    <n v="0"/>
    <n v="0"/>
    <n v="4217.3999999999996"/>
    <n v="0"/>
  </r>
  <r>
    <x v="10"/>
    <x v="3"/>
    <x v="0"/>
    <s v="4505101"/>
    <n v="710060"/>
    <s v="Contract Labor-Standby Wages"/>
    <s v="Recovery Services"/>
    <x v="0"/>
    <n v="5101"/>
    <n v="1340.2"/>
    <n v="-1142.2"/>
    <n v="0"/>
    <n v="0"/>
    <n v="0"/>
    <n v="72"/>
    <n v="0"/>
    <n v="0"/>
    <n v="0"/>
    <n v="0"/>
    <n v="0"/>
    <n v="0"/>
    <n v="270"/>
    <n v="0"/>
  </r>
  <r>
    <x v="6"/>
    <x v="3"/>
    <x v="0"/>
    <s v="4505101"/>
    <n v="713010"/>
    <s v="Benefits-FICA/Medicare"/>
    <s v="Recovery Services"/>
    <x v="0"/>
    <m/>
    <n v="12025.24"/>
    <n v="13487.14"/>
    <n v="12784.38"/>
    <n v="11024.73"/>
    <n v="10647.11"/>
    <n v="11011.31"/>
    <n v="11856.63"/>
    <n v="10725.64"/>
    <n v="11523.17"/>
    <n v="11026.27"/>
    <n v="12331.34"/>
    <n v="12186.73"/>
    <n v="140629.69"/>
    <n v="144.61000000000058"/>
  </r>
  <r>
    <x v="6"/>
    <x v="3"/>
    <x v="0"/>
    <s v="4505101"/>
    <n v="713090"/>
    <s v="Benefits-Allocated Amounts"/>
    <s v="Recovery Services"/>
    <x v="0"/>
    <m/>
    <n v="29715.13"/>
    <n v="30973.25"/>
    <n v="29503.4"/>
    <n v="27230.83"/>
    <n v="26354.7"/>
    <n v="25486.880000000001"/>
    <n v="28262.85"/>
    <n v="30055.439999999999"/>
    <n v="23705.47"/>
    <n v="28692.52"/>
    <n v="33299.26"/>
    <n v="31355.01"/>
    <n v="344634.74000000005"/>
    <n v="1944.2500000000036"/>
  </r>
  <r>
    <x v="6"/>
    <x v="3"/>
    <x v="0"/>
    <s v="4505101"/>
    <n v="713096"/>
    <s v="Employee Recognition"/>
    <s v="Recovery Services"/>
    <x v="0"/>
    <n v="1017"/>
    <n v="0"/>
    <n v="0"/>
    <n v="0"/>
    <n v="0"/>
    <n v="0"/>
    <n v="0"/>
    <n v="0"/>
    <n v="123.22"/>
    <n v="0"/>
    <n v="0"/>
    <n v="0"/>
    <n v="165.3"/>
    <n v="288.52"/>
    <n v="-165.3"/>
  </r>
  <r>
    <x v="7"/>
    <x v="3"/>
    <x v="0"/>
    <s v="4505101"/>
    <n v="718050"/>
    <s v="Contract Svcs-Other"/>
    <s v="Recovery Services"/>
    <x v="0"/>
    <m/>
    <n v="0"/>
    <n v="0"/>
    <n v="0"/>
    <n v="0"/>
    <n v="0"/>
    <n v="0"/>
    <n v="250.29"/>
    <n v="0"/>
    <n v="275.25"/>
    <n v="382.72"/>
    <n v="0"/>
    <n v="0"/>
    <n v="908.26"/>
    <n v="0"/>
  </r>
  <r>
    <x v="7"/>
    <x v="3"/>
    <x v="0"/>
    <s v="4505101"/>
    <n v="718050"/>
    <s v="Document Shredding/Storage"/>
    <s v="Recovery Services"/>
    <x v="0"/>
    <n v="1012"/>
    <n v="2.0699999999999998"/>
    <n v="2.11"/>
    <n v="1.96"/>
    <n v="2.02"/>
    <n v="2.08"/>
    <n v="2.08"/>
    <n v="2.0499999999999998"/>
    <n v="1.77"/>
    <n v="1.83"/>
    <n v="2.41"/>
    <n v="2.02"/>
    <n v="2.08"/>
    <n v="24.479999999999997"/>
    <n v="-6.0000000000000053E-2"/>
  </r>
  <r>
    <x v="7"/>
    <x v="3"/>
    <x v="0"/>
    <s v="4505101"/>
    <n v="718050"/>
    <s v="Miscellaneous Purchased Svcs"/>
    <s v="Recovery Services"/>
    <x v="0"/>
    <n v="1020"/>
    <n v="0"/>
    <n v="0"/>
    <n v="36.75"/>
    <n v="0"/>
    <n v="0"/>
    <n v="0"/>
    <n v="0"/>
    <n v="0"/>
    <n v="0"/>
    <n v="0"/>
    <n v="16"/>
    <n v="0"/>
    <n v="52.75"/>
    <n v="16"/>
  </r>
  <r>
    <x v="7"/>
    <x v="3"/>
    <x v="0"/>
    <s v="4505101"/>
    <n v="718050"/>
    <s v="Translation Services"/>
    <s v="Recovery Services"/>
    <x v="0"/>
    <n v="1025"/>
    <n v="0"/>
    <n v="956.88"/>
    <n v="614.07000000000005"/>
    <n v="894.66"/>
    <n v="0"/>
    <n v="0"/>
    <n v="774.71"/>
    <n v="0"/>
    <n v="539.08000000000004"/>
    <n v="0"/>
    <n v="785.37"/>
    <n v="61.62"/>
    <n v="4626.3900000000003"/>
    <n v="723.75"/>
  </r>
  <r>
    <x v="7"/>
    <x v="3"/>
    <x v="0"/>
    <s v="4505101"/>
    <n v="718050"/>
    <s v="Contract Management--Linen"/>
    <s v="Recovery Services"/>
    <x v="0"/>
    <n v="1026"/>
    <n v="1101.26"/>
    <n v="1090.44"/>
    <n v="1078.18"/>
    <n v="1069.3399999999999"/>
    <n v="1317.84"/>
    <n v="902.21"/>
    <n v="2014.28"/>
    <n v="1058.8599999999999"/>
    <n v="856.83"/>
    <n v="1135.98"/>
    <n v="695.91"/>
    <n v="1008.04"/>
    <n v="13329.170000000002"/>
    <n v="-312.13"/>
  </r>
  <r>
    <x v="11"/>
    <x v="3"/>
    <x v="0"/>
    <s v="4505101"/>
    <n v="721010"/>
    <s v="Supplies-Medical - Billable"/>
    <s v="Recovery Services"/>
    <x v="0"/>
    <m/>
    <n v="397.87"/>
    <n v="587.95000000000005"/>
    <n v="305.8"/>
    <n v="584.75"/>
    <n v="559.54"/>
    <n v="382.3"/>
    <n v="448.99"/>
    <n v="332.44"/>
    <n v="572.44000000000005"/>
    <n v="662.15"/>
    <n v="469.05"/>
    <n v="640.09"/>
    <n v="5943.37"/>
    <n v="-171.04000000000002"/>
  </r>
  <r>
    <x v="11"/>
    <x v="3"/>
    <x v="0"/>
    <s v="4505101"/>
    <n v="721010"/>
    <s v="Patient Monitoring"/>
    <s v="Recovery Services"/>
    <x v="0"/>
    <n v="1000"/>
    <n v="37.39"/>
    <n v="264.26"/>
    <n v="222.9"/>
    <n v="255.04"/>
    <n v="1813.41"/>
    <n v="240.04"/>
    <n v="277.95999999999998"/>
    <n v="166.05"/>
    <n v="430.28"/>
    <n v="442.82"/>
    <n v="313.02999999999997"/>
    <n v="266.69"/>
    <n v="4729.869999999999"/>
    <n v="46.339999999999975"/>
  </r>
  <r>
    <x v="11"/>
    <x v="3"/>
    <x v="0"/>
    <s v="4505101"/>
    <n v="721020"/>
    <s v="Supplies-Surgical - Billable"/>
    <s v="Recovery Services"/>
    <x v="0"/>
    <m/>
    <n v="338.39"/>
    <n v="125.35"/>
    <n v="84.91"/>
    <n v="251.22"/>
    <n v="128.88"/>
    <n v="84.84"/>
    <n v="120.09"/>
    <n v="123.11"/>
    <n v="193.48"/>
    <n v="92.3"/>
    <n v="131.16999999999999"/>
    <n v="139.02000000000001"/>
    <n v="1812.76"/>
    <n v="-7.8500000000000227"/>
  </r>
  <r>
    <x v="11"/>
    <x v="3"/>
    <x v="0"/>
    <s v="4505101"/>
    <n v="721020"/>
    <s v="Custom Packs"/>
    <s v="Recovery Services"/>
    <x v="0"/>
    <n v="1000"/>
    <n v="0"/>
    <n v="0"/>
    <n v="13.24"/>
    <n v="52.96"/>
    <n v="0"/>
    <n v="0"/>
    <n v="0"/>
    <n v="66.2"/>
    <n v="0"/>
    <n v="0"/>
    <n v="26.48"/>
    <n v="13.24"/>
    <n v="172.12"/>
    <n v="13.24"/>
  </r>
  <r>
    <x v="11"/>
    <x v="3"/>
    <x v="0"/>
    <s v="4505101"/>
    <n v="721050"/>
    <s v="Supplies-Cardiac Rhythm - Billable"/>
    <s v="Recovery Services"/>
    <x v="0"/>
    <m/>
    <n v="0"/>
    <n v="495.45"/>
    <n v="251.15"/>
    <n v="255.15"/>
    <n v="615.15"/>
    <n v="720.3"/>
    <n v="915.7"/>
    <n v="465.15"/>
    <n v="990.9"/>
    <n v="948.78"/>
    <n v="1065.1500000000001"/>
    <n v="1397.1"/>
    <n v="8119.98"/>
    <n v="-331.94999999999982"/>
  </r>
  <r>
    <x v="11"/>
    <x v="3"/>
    <x v="0"/>
    <s v="4505101"/>
    <n v="721240"/>
    <s v="Supplies-IV Solutions/Supplies - Billable"/>
    <s v="Recovery Services"/>
    <x v="0"/>
    <m/>
    <n v="379.86"/>
    <n v="27.98"/>
    <n v="70.63"/>
    <n v="139.74"/>
    <n v="123.59"/>
    <n v="52.11"/>
    <n v="117.73"/>
    <n v="31.55"/>
    <n v="298.76"/>
    <n v="24.3"/>
    <n v="81.25"/>
    <n v="327.05"/>
    <n v="1674.55"/>
    <n v="-245.8"/>
  </r>
  <r>
    <x v="11"/>
    <x v="3"/>
    <x v="0"/>
    <s v="4505101"/>
    <n v="721250"/>
    <s v="Supplies-Pharmacy Drugs - Billable"/>
    <s v="Recovery Services"/>
    <x v="0"/>
    <m/>
    <n v="2.63"/>
    <n v="1.69"/>
    <n v="0"/>
    <n v="0"/>
    <n v="5.26"/>
    <n v="0"/>
    <n v="1.69"/>
    <n v="0"/>
    <n v="1.34"/>
    <n v="0"/>
    <n v="0"/>
    <n v="0"/>
    <n v="12.61"/>
    <n v="0"/>
  </r>
  <r>
    <x v="11"/>
    <x v="3"/>
    <x v="0"/>
    <s v="4505101"/>
    <n v="721410"/>
    <s v="Supplies-Medical - Nonbillable"/>
    <s v="Recovery Services"/>
    <x v="0"/>
    <m/>
    <n v="4363.88"/>
    <n v="4390.7"/>
    <n v="4565.12"/>
    <n v="5361.05"/>
    <n v="4468.66"/>
    <n v="4926.22"/>
    <n v="4839.03"/>
    <n v="3814.33"/>
    <n v="4937.28"/>
    <n v="4732.8500000000004"/>
    <n v="3839.17"/>
    <n v="4090.43"/>
    <n v="54328.72"/>
    <n v="-251.25999999999976"/>
  </r>
  <r>
    <x v="11"/>
    <x v="3"/>
    <x v="0"/>
    <s v="4505101"/>
    <n v="721410"/>
    <s v="Patient Monitoring"/>
    <s v="Recovery Services"/>
    <x v="0"/>
    <n v="1000"/>
    <n v="17.96"/>
    <n v="17.96"/>
    <n v="18.86"/>
    <n v="26.94"/>
    <n v="17.96"/>
    <n v="17.96"/>
    <n v="23.96"/>
    <n v="9.8800000000000008"/>
    <n v="29.95"/>
    <n v="17.96"/>
    <n v="71.900000000000006"/>
    <n v="19.760000000000002"/>
    <n v="291.05"/>
    <n v="52.14"/>
  </r>
  <r>
    <x v="11"/>
    <x v="3"/>
    <x v="0"/>
    <s v="4505101"/>
    <n v="721420"/>
    <s v="Supplies-Surgical Nonbillable"/>
    <s v="Recovery Services"/>
    <x v="0"/>
    <m/>
    <n v="122.64"/>
    <n v="83.22"/>
    <n v="140.16"/>
    <n v="145.75"/>
    <n v="255.86"/>
    <n v="45.02"/>
    <n v="65.31"/>
    <n v="112.87"/>
    <n v="158.9"/>
    <n v="191.2"/>
    <n v="144.54"/>
    <n v="180.19"/>
    <n v="1645.66"/>
    <n v="-35.650000000000006"/>
  </r>
  <r>
    <x v="11"/>
    <x v="3"/>
    <x v="0"/>
    <s v="4505101"/>
    <n v="721420"/>
    <s v="Tubes Drains &amp; Related Supplies"/>
    <s v="Recovery Services"/>
    <x v="0"/>
    <n v="1008"/>
    <n v="4.5199999999999996"/>
    <n v="1.44"/>
    <n v="44.88"/>
    <n v="17.86"/>
    <n v="18.21"/>
    <n v="23.53"/>
    <n v="11.85"/>
    <n v="9.84"/>
    <n v="0"/>
    <n v="0"/>
    <n v="15.59"/>
    <n v="0"/>
    <n v="147.72"/>
    <n v="15.59"/>
  </r>
  <r>
    <x v="11"/>
    <x v="3"/>
    <x v="0"/>
    <s v="4505101"/>
    <n v="721610"/>
    <s v="Supplies-Anesthesia - Nonbillable"/>
    <s v="Recovery Services"/>
    <x v="0"/>
    <m/>
    <n v="1276.9000000000001"/>
    <n v="674.85"/>
    <n v="1099.1500000000001"/>
    <n v="1145.77"/>
    <n v="1307.83"/>
    <n v="1185.98"/>
    <n v="1240.99"/>
    <n v="1160.1300000000001"/>
    <n v="1647.64"/>
    <n v="1633.83"/>
    <n v="1148.45"/>
    <n v="1340.68"/>
    <n v="14862.199999999999"/>
    <n v="-192.23000000000002"/>
  </r>
  <r>
    <x v="11"/>
    <x v="3"/>
    <x v="0"/>
    <s v="4505101"/>
    <n v="721640"/>
    <s v="Supplies-IV Solutions/Supplies - Nonbillable"/>
    <s v="Recovery Services"/>
    <x v="0"/>
    <m/>
    <n v="1760.71"/>
    <n v="2260.96"/>
    <n v="1978.56"/>
    <n v="2202.52"/>
    <n v="1904.47"/>
    <n v="1839.17"/>
    <n v="1903.34"/>
    <n v="1989.84"/>
    <n v="2078.96"/>
    <n v="1720.96"/>
    <n v="1696.57"/>
    <n v="1831.23"/>
    <n v="23167.289999999997"/>
    <n v="-134.66000000000008"/>
  </r>
  <r>
    <x v="11"/>
    <x v="3"/>
    <x v="0"/>
    <s v="4505101"/>
    <n v="721650"/>
    <s v="Supplies-Pharmacy Drugs - Nonbillable"/>
    <s v="Recovery Services"/>
    <x v="0"/>
    <m/>
    <n v="0"/>
    <n v="0"/>
    <n v="0"/>
    <n v="0"/>
    <n v="7.25"/>
    <n v="0"/>
    <n v="0"/>
    <n v="0"/>
    <n v="0"/>
    <n v="0"/>
    <n v="0"/>
    <n v="0"/>
    <n v="7.25"/>
    <n v="0"/>
  </r>
  <r>
    <x v="11"/>
    <x v="3"/>
    <x v="0"/>
    <s v="4505101"/>
    <n v="721710"/>
    <s v="Supplies-Laboratory - Nonbillable"/>
    <s v="Recovery Services"/>
    <x v="0"/>
    <m/>
    <n v="76.09"/>
    <n v="76.78"/>
    <n v="75.400000000000006"/>
    <n v="92.78"/>
    <n v="58.92"/>
    <n v="36.18"/>
    <n v="60.16"/>
    <n v="58.83"/>
    <n v="74.19"/>
    <n v="82.2"/>
    <n v="64.959999999999994"/>
    <n v="115.29"/>
    <n v="871.7800000000002"/>
    <n v="-50.330000000000013"/>
  </r>
  <r>
    <x v="11"/>
    <x v="3"/>
    <x v="0"/>
    <s v="4505101"/>
    <n v="721750"/>
    <s v="Supplies-Film/Radiographic - Nonbillable"/>
    <s v="Recovery Services"/>
    <x v="0"/>
    <m/>
    <n v="7.09"/>
    <n v="3.75"/>
    <n v="-6.56"/>
    <n v="0"/>
    <n v="0"/>
    <n v="0.94"/>
    <n v="1.87"/>
    <n v="0"/>
    <n v="2.81"/>
    <n v="0"/>
    <n v="0"/>
    <n v="5.62"/>
    <n v="15.52"/>
    <n v="-5.62"/>
  </r>
  <r>
    <x v="11"/>
    <x v="3"/>
    <x v="0"/>
    <s v="4505101"/>
    <n v="721810"/>
    <s v="Supplies-Dietary/Cafeteria"/>
    <s v="Recovery Services"/>
    <x v="0"/>
    <m/>
    <n v="344.34"/>
    <n v="519.99"/>
    <n v="557.44000000000005"/>
    <n v="536.20000000000005"/>
    <n v="463.6"/>
    <n v="447.41"/>
    <n v="508.08"/>
    <n v="320.79000000000002"/>
    <n v="481.42"/>
    <n v="472.31"/>
    <n v="491.89"/>
    <n v="484.14"/>
    <n v="5627.6100000000006"/>
    <n v="7.75"/>
  </r>
  <r>
    <x v="11"/>
    <x v="3"/>
    <x v="0"/>
    <s v="4505101"/>
    <n v="721830"/>
    <s v="Supplies-Office"/>
    <s v="Recovery Services"/>
    <x v="0"/>
    <m/>
    <n v="0"/>
    <n v="81.650000000000006"/>
    <n v="335.75"/>
    <n v="528.25"/>
    <n v="119.35"/>
    <n v="91.66"/>
    <n v="220.18"/>
    <n v="198.05"/>
    <n v="461.29"/>
    <n v="65.69"/>
    <n v="201.77"/>
    <n v="112.49"/>
    <n v="2416.1299999999997"/>
    <n v="89.280000000000015"/>
  </r>
  <r>
    <x v="11"/>
    <x v="3"/>
    <x v="0"/>
    <s v="4505101"/>
    <n v="721835"/>
    <s v="Supplies-Forms"/>
    <s v="Recovery Services"/>
    <x v="0"/>
    <m/>
    <n v="0"/>
    <n v="0"/>
    <n v="0"/>
    <n v="0"/>
    <n v="0"/>
    <n v="1"/>
    <n v="3.26"/>
    <n v="0"/>
    <n v="0"/>
    <n v="76.75"/>
    <n v="15"/>
    <n v="15"/>
    <n v="111.01"/>
    <n v="0"/>
  </r>
  <r>
    <x v="11"/>
    <x v="3"/>
    <x v="0"/>
    <s v="4505101"/>
    <n v="721870"/>
    <s v="Supplies-Environmental Services"/>
    <s v="Recovery Services"/>
    <x v="0"/>
    <m/>
    <n v="143.63"/>
    <n v="208.75"/>
    <n v="137.08000000000001"/>
    <n v="197.02"/>
    <n v="167.23"/>
    <n v="207.87"/>
    <n v="172.29"/>
    <n v="129.47"/>
    <n v="122.68"/>
    <n v="117.21"/>
    <n v="187.15"/>
    <n v="110.03"/>
    <n v="1900.41"/>
    <n v="77.12"/>
  </r>
  <r>
    <x v="11"/>
    <x v="3"/>
    <x v="0"/>
    <s v="4505101"/>
    <n v="721880"/>
    <s v="Supplies-Linen"/>
    <s v="Recovery Services"/>
    <x v="0"/>
    <m/>
    <n v="0"/>
    <n v="0"/>
    <n v="0"/>
    <n v="0"/>
    <n v="0"/>
    <n v="0"/>
    <n v="0"/>
    <n v="12.84"/>
    <n v="0"/>
    <n v="0"/>
    <n v="0"/>
    <n v="0"/>
    <n v="12.84"/>
    <n v="0"/>
  </r>
  <r>
    <x v="11"/>
    <x v="3"/>
    <x v="0"/>
    <s v="4505101"/>
    <n v="721910"/>
    <s v="Supplies-Small Equipment"/>
    <s v="Recovery Services"/>
    <x v="0"/>
    <m/>
    <n v="23.63"/>
    <n v="31.88"/>
    <n v="197.6"/>
    <n v="3755.67"/>
    <n v="0"/>
    <n v="56.75"/>
    <n v="0"/>
    <n v="66.92"/>
    <n v="412.44"/>
    <n v="186.17"/>
    <n v="3764.08"/>
    <n v="345.27"/>
    <n v="8840.41"/>
    <n v="3418.81"/>
  </r>
  <r>
    <x v="11"/>
    <x v="3"/>
    <x v="0"/>
    <s v="4505101"/>
    <n v="721910"/>
    <s v="Instruments"/>
    <s v="Recovery Services"/>
    <x v="0"/>
    <n v="1000"/>
    <n v="0"/>
    <n v="117.5"/>
    <n v="117.5"/>
    <n v="0"/>
    <n v="0"/>
    <n v="94"/>
    <n v="0"/>
    <n v="117.5"/>
    <n v="0"/>
    <n v="900.83"/>
    <n v="0"/>
    <n v="0"/>
    <n v="1347.33"/>
    <n v="0"/>
  </r>
  <r>
    <x v="11"/>
    <x v="3"/>
    <x v="0"/>
    <s v="4505101"/>
    <n v="721980"/>
    <s v="Supplies-Other"/>
    <s v="Recovery Services"/>
    <x v="0"/>
    <m/>
    <n v="0"/>
    <n v="0"/>
    <n v="0"/>
    <n v="0"/>
    <n v="0"/>
    <n v="0"/>
    <n v="46.62"/>
    <n v="0"/>
    <n v="-4.28"/>
    <n v="0"/>
    <n v="0"/>
    <n v="0"/>
    <n v="42.339999999999996"/>
    <n v="0"/>
  </r>
  <r>
    <x v="11"/>
    <x v="3"/>
    <x v="0"/>
    <s v="4505101"/>
    <n v="722000"/>
    <s v="Supplies-Freight Expense"/>
    <s v="Recovery Services"/>
    <x v="0"/>
    <m/>
    <n v="0"/>
    <n v="28.31"/>
    <n v="0"/>
    <n v="9.4499999999999993"/>
    <n v="0"/>
    <n v="0"/>
    <n v="35.51"/>
    <n v="0"/>
    <n v="0"/>
    <n v="17.95"/>
    <n v="23.15"/>
    <n v="0"/>
    <n v="114.37"/>
    <n v="23.15"/>
  </r>
  <r>
    <x v="12"/>
    <x v="3"/>
    <x v="0"/>
    <s v="4505101"/>
    <n v="730020"/>
    <s v="Rental and Leases-Equipment (DO NOT USE)"/>
    <s v="Recovery Services"/>
    <x v="0"/>
    <m/>
    <n v="343.94"/>
    <n v="69.92"/>
    <n v="69.92"/>
    <n v="0"/>
    <n v="0"/>
    <n v="0"/>
    <n v="0"/>
    <n v="171.98"/>
    <n v="0"/>
    <n v="69.91"/>
    <n v="0"/>
    <n v="0"/>
    <n v="725.67"/>
    <n v="0"/>
  </r>
  <r>
    <x v="12"/>
    <x v="3"/>
    <x v="0"/>
    <s v="4505101"/>
    <n v="730020"/>
    <s v="Rental and Leases-Copier Usage Fees (DO NOT USE)"/>
    <s v="Recovery Services"/>
    <x v="0"/>
    <n v="5100"/>
    <n v="188.94"/>
    <n v="192.6"/>
    <n v="190.77"/>
    <n v="190.77"/>
    <n v="190.77"/>
    <n v="190.77"/>
    <n v="31.12"/>
    <n v="122.12"/>
    <n v="137.27000000000001"/>
    <n v="695.55"/>
    <n v="122.12"/>
    <n v="122.12"/>
    <n v="2374.9199999999992"/>
    <n v="0"/>
  </r>
  <r>
    <x v="15"/>
    <x v="3"/>
    <x v="0"/>
    <s v="4505101"/>
    <n v="731060"/>
    <s v="Telephone"/>
    <s v="Recovery Services"/>
    <x v="0"/>
    <m/>
    <n v="0"/>
    <n v="0"/>
    <n v="0"/>
    <n v="0"/>
    <n v="0"/>
    <n v="350"/>
    <n v="0"/>
    <n v="35.35"/>
    <n v="0"/>
    <n v="0"/>
    <n v="0"/>
    <n v="0"/>
    <n v="385.35"/>
    <n v="0"/>
  </r>
  <r>
    <x v="15"/>
    <x v="3"/>
    <x v="0"/>
    <s v="4505101"/>
    <n v="731060"/>
    <s v="Cell Phones"/>
    <s v="Recovery Services"/>
    <x v="0"/>
    <n v="1001"/>
    <n v="0"/>
    <n v="33.020000000000003"/>
    <n v="66.03"/>
    <n v="0"/>
    <n v="32.5"/>
    <n v="33.11"/>
    <n v="66.16"/>
    <n v="0"/>
    <n v="33.58"/>
    <n v="66.28"/>
    <n v="32.5"/>
    <n v="33.159999999999997"/>
    <n v="396.34000000000003"/>
    <n v="-0.65999999999999659"/>
  </r>
  <r>
    <x v="15"/>
    <x v="3"/>
    <x v="0"/>
    <s v="4505101"/>
    <n v="731060"/>
    <s v="Pagers"/>
    <s v="Recovery Services"/>
    <x v="0"/>
    <n v="1002"/>
    <n v="0"/>
    <n v="27.53"/>
    <n v="0"/>
    <n v="0"/>
    <n v="0"/>
    <n v="0"/>
    <n v="0"/>
    <n v="0"/>
    <n v="0"/>
    <n v="0"/>
    <n v="0"/>
    <n v="0"/>
    <n v="27.53"/>
    <n v="0"/>
  </r>
  <r>
    <x v="16"/>
    <x v="3"/>
    <x v="0"/>
    <s v="4505101"/>
    <n v="732030"/>
    <s v="Repairs---Other"/>
    <s v="Recovery Services"/>
    <x v="0"/>
    <m/>
    <n v="0"/>
    <n v="0"/>
    <n v="0"/>
    <n v="0"/>
    <n v="0"/>
    <n v="0"/>
    <n v="0"/>
    <n v="0"/>
    <n v="266.52999999999997"/>
    <n v="0"/>
    <n v="0"/>
    <n v="0"/>
    <n v="266.52999999999997"/>
    <n v="0"/>
  </r>
  <r>
    <x v="13"/>
    <x v="3"/>
    <x v="0"/>
    <s v="4505101"/>
    <n v="735070"/>
    <s v="Depreciation-Movable Equipment"/>
    <s v="Recovery Services"/>
    <x v="0"/>
    <m/>
    <n v="2610.25"/>
    <n v="2610.25"/>
    <n v="2610.2399999999998"/>
    <n v="1115.1099999999999"/>
    <n v="1115.1099999999999"/>
    <n v="1115.1099999999999"/>
    <n v="1115.1099999999999"/>
    <n v="1115.1099999999999"/>
    <n v="1115.1199999999999"/>
    <n v="1115.1099999999999"/>
    <n v="1115.1300000000001"/>
    <n v="1115.1099999999999"/>
    <n v="17866.760000000006"/>
    <n v="2.0000000000209184E-2"/>
  </r>
  <r>
    <x v="0"/>
    <x v="3"/>
    <x v="0"/>
    <s v="4505101"/>
    <n v="740010"/>
    <s v="Education-Materials"/>
    <s v="Recovery Services"/>
    <x v="0"/>
    <m/>
    <n v="0"/>
    <n v="0"/>
    <n v="0"/>
    <n v="0"/>
    <n v="0"/>
    <n v="0"/>
    <n v="0"/>
    <n v="0"/>
    <n v="0"/>
    <n v="0"/>
    <n v="0"/>
    <n v="200"/>
    <n v="200"/>
    <n v="-200"/>
  </r>
  <r>
    <x v="0"/>
    <x v="3"/>
    <x v="0"/>
    <s v="4505101"/>
    <n v="740020"/>
    <s v="Education-Registration Fees"/>
    <s v="Recovery Services"/>
    <x v="0"/>
    <m/>
    <n v="0"/>
    <n v="640"/>
    <n v="0"/>
    <n v="965"/>
    <n v="1355"/>
    <n v="0"/>
    <n v="590"/>
    <n v="210"/>
    <n v="1290"/>
    <n v="685"/>
    <n v="0"/>
    <n v="165"/>
    <n v="5900"/>
    <n v="-165"/>
  </r>
  <r>
    <x v="0"/>
    <x v="3"/>
    <x v="0"/>
    <s v="4505101"/>
    <n v="743030"/>
    <s v="Subscriptions--Institutional"/>
    <s v="Recovery Services"/>
    <x v="0"/>
    <m/>
    <n v="0"/>
    <n v="0"/>
    <n v="0"/>
    <n v="0"/>
    <n v="0"/>
    <n v="82.5"/>
    <n v="0"/>
    <n v="0"/>
    <n v="0"/>
    <n v="0"/>
    <n v="0"/>
    <n v="0"/>
    <n v="82.5"/>
    <n v="0"/>
  </r>
  <r>
    <x v="0"/>
    <x v="3"/>
    <x v="0"/>
    <s v="4505101"/>
    <n v="749510"/>
    <s v="Miscellaneous Expenses"/>
    <s v="Recovery Services"/>
    <x v="0"/>
    <m/>
    <n v="28.79"/>
    <n v="46.54"/>
    <n v="156.4"/>
    <n v="24.52"/>
    <n v="32.97"/>
    <n v="8.81"/>
    <n v="32.979999999999997"/>
    <n v="32.979999999999997"/>
    <n v="3556"/>
    <n v="25.09"/>
    <n v="2761.3"/>
    <n v="-2336.25"/>
    <n v="4370.130000000001"/>
    <n v="5097.55"/>
  </r>
  <r>
    <x v="0"/>
    <x v="3"/>
    <x v="0"/>
    <s v="4505101"/>
    <n v="749510"/>
    <s v="Casualty Loss/Patient Property"/>
    <s v="Recovery Services"/>
    <x v="0"/>
    <n v="4601"/>
    <n v="0"/>
    <n v="0"/>
    <n v="0"/>
    <n v="0"/>
    <n v="0"/>
    <n v="0"/>
    <n v="0"/>
    <n v="73.900000000000006"/>
    <n v="0"/>
    <n v="0"/>
    <n v="0"/>
    <n v="0"/>
    <n v="73.900000000000006"/>
    <n v="0"/>
  </r>
  <r>
    <x v="0"/>
    <x v="3"/>
    <x v="0"/>
    <s v="4505101"/>
    <n v="749510"/>
    <s v="RICE Rewards"/>
    <s v="Recovery Services"/>
    <x v="0"/>
    <n v="5100"/>
    <n v="0"/>
    <n v="0"/>
    <n v="146.46"/>
    <n v="0"/>
    <n v="0"/>
    <n v="484.47"/>
    <n v="0"/>
    <n v="0"/>
    <n v="0"/>
    <n v="169.89"/>
    <n v="0"/>
    <n v="0"/>
    <n v="800.82"/>
    <n v="0"/>
  </r>
  <r>
    <x v="0"/>
    <x v="3"/>
    <x v="0"/>
    <s v="4505101"/>
    <n v="749530"/>
    <s v="Travel"/>
    <s v="Recovery Services"/>
    <x v="0"/>
    <m/>
    <n v="0"/>
    <n v="0"/>
    <n v="0"/>
    <n v="0"/>
    <n v="0"/>
    <n v="0"/>
    <n v="0"/>
    <n v="0"/>
    <n v="0"/>
    <n v="0"/>
    <n v="0"/>
    <n v="2583.31"/>
    <n v="2583.31"/>
    <n v="-2583.31"/>
  </r>
  <r>
    <x v="18"/>
    <x v="0"/>
    <x v="0"/>
    <s v="4505102"/>
    <n v="400010"/>
    <s v="Acute I/P Svcs Rev--Medicare"/>
    <s v="Recovery Services"/>
    <x v="0"/>
    <n v="1100"/>
    <n v="-288433.07"/>
    <n v="-270025.07"/>
    <n v="-239564.37"/>
    <n v="-382507.61"/>
    <n v="-257680.75"/>
    <n v="-259828.66"/>
    <n v="-246584.25"/>
    <n v="-255175.61"/>
    <n v="-374049.94"/>
    <n v="-227867.14"/>
    <n v="-265161.01"/>
    <n v="-236377.08"/>
    <n v="-3303254.5600000005"/>
    <n v="-28783.930000000022"/>
  </r>
  <r>
    <x v="18"/>
    <x v="0"/>
    <x v="0"/>
    <s v="4505102"/>
    <n v="400010"/>
    <s v="Acute I/P Svcs Rev--Medicaid"/>
    <s v="Recovery Services"/>
    <x v="0"/>
    <n v="1200"/>
    <n v="-92517.23"/>
    <n v="-112720"/>
    <n v="-78658.69"/>
    <n v="-147314.07"/>
    <n v="-106550.1"/>
    <n v="-124492.8"/>
    <n v="-84655.7"/>
    <n v="-117332.3"/>
    <n v="-176751.82"/>
    <n v="-141444.32999999999"/>
    <n v="-146516.66"/>
    <n v="-134988.66"/>
    <n v="-1463942.3599999999"/>
    <n v="-11528"/>
  </r>
  <r>
    <x v="18"/>
    <x v="0"/>
    <x v="0"/>
    <s v="4505102"/>
    <n v="400010"/>
    <s v="Acute I/P Svcs Rev--Comm Insurance"/>
    <s v="Recovery Services"/>
    <x v="0"/>
    <n v="1300"/>
    <n v="-8438.7999999999993"/>
    <n v="-722.5"/>
    <n v="-13958.7"/>
    <n v="3831.01"/>
    <n v="-9771.09"/>
    <n v="-3641.4"/>
    <n v="-7687.4"/>
    <n v="-2884.84"/>
    <n v="-19469.46"/>
    <n v="-8751.5400000000009"/>
    <n v="-13348.75"/>
    <n v="-23026.81"/>
    <n v="-107870.28"/>
    <n v="9678.0600000000013"/>
  </r>
  <r>
    <x v="18"/>
    <x v="0"/>
    <x v="0"/>
    <s v="4505102"/>
    <n v="400010"/>
    <s v="Acute I/P Svcs Rev--BCBS Comm"/>
    <s v="Recovery Services"/>
    <x v="0"/>
    <n v="1301"/>
    <n v="-56933"/>
    <n v="-65428.97"/>
    <n v="-77031.08"/>
    <n v="-55983.6"/>
    <n v="-95240.55"/>
    <n v="-92525.79"/>
    <n v="-77561.600000000006"/>
    <n v="-57592.5"/>
    <n v="-51427.11"/>
    <n v="-31463.34"/>
    <n v="-60607.45"/>
    <n v="-72832.78"/>
    <n v="-794627.7699999999"/>
    <n v="12225.330000000002"/>
  </r>
  <r>
    <x v="18"/>
    <x v="0"/>
    <x v="0"/>
    <s v="4505102"/>
    <n v="400010"/>
    <s v="Acute I/P Svcs Rev--Managed Care"/>
    <s v="Recovery Services"/>
    <x v="0"/>
    <n v="1400"/>
    <n v="-231075.78"/>
    <n v="-313738.02"/>
    <n v="-164383.22"/>
    <n v="-329025.84999999998"/>
    <n v="-211983.26"/>
    <n v="-219836.18"/>
    <n v="-225456.63"/>
    <n v="-190892.98"/>
    <n v="-294877.96999999997"/>
    <n v="-221690.58"/>
    <n v="-215873.85"/>
    <n v="-164861"/>
    <n v="-2783695.32"/>
    <n v="-51012.850000000006"/>
  </r>
  <r>
    <x v="18"/>
    <x v="0"/>
    <x v="0"/>
    <s v="4505102"/>
    <n v="400010"/>
    <s v="Acute I/P Svcs Rev--Self Pay"/>
    <s v="Recovery Services"/>
    <x v="0"/>
    <n v="1500"/>
    <n v="-17978.689999999999"/>
    <n v="-15779.4"/>
    <n v="5462.1"/>
    <n v="-4855.2"/>
    <n v="-39950.35"/>
    <n v="-23796.71"/>
    <n v="-53352.97"/>
    <n v="-8806.31"/>
    <n v="-17099.41"/>
    <n v="-2096.77"/>
    <n v="-25853.98"/>
    <n v="-11793.44"/>
    <n v="-215901.13"/>
    <n v="-14060.539999999999"/>
  </r>
  <r>
    <x v="18"/>
    <x v="0"/>
    <x v="0"/>
    <s v="4505102"/>
    <n v="400010"/>
    <s v="Acute I/P Svcs Rev--Other"/>
    <s v="Recovery Services"/>
    <x v="0"/>
    <n v="1700"/>
    <n v="-36966.26"/>
    <n v="-12306.96"/>
    <n v="-53208.800000000003"/>
    <n v="-29481.52"/>
    <n v="-12598.79"/>
    <n v="-37090.6"/>
    <n v="-32826.720000000001"/>
    <n v="-63235.03"/>
    <n v="-25037.08"/>
    <n v="-30196.11"/>
    <n v="-44752.78"/>
    <n v="-52098.49"/>
    <n v="-429799.14"/>
    <n v="7345.7099999999991"/>
  </r>
  <r>
    <x v="19"/>
    <x v="0"/>
    <x v="0"/>
    <s v="4505102"/>
    <n v="400020"/>
    <s v="O/P Care Svcs Rev--Medicare"/>
    <s v="Recovery Services"/>
    <x v="0"/>
    <n v="1100"/>
    <n v="-376620.64"/>
    <n v="-422904.22"/>
    <n v="-306110.37"/>
    <n v="-489308.86"/>
    <n v="-415243.19"/>
    <n v="-345791.94"/>
    <n v="-424774.53"/>
    <n v="-386208.61"/>
    <n v="-416645.04"/>
    <n v="-364650.54"/>
    <n v="-420228.36"/>
    <n v="-417127.47"/>
    <n v="-4785613.7699999996"/>
    <n v="-3100.890000000014"/>
  </r>
  <r>
    <x v="19"/>
    <x v="0"/>
    <x v="0"/>
    <s v="4505102"/>
    <n v="400020"/>
    <s v="O/P Care Svcs Rev--Medicaid"/>
    <s v="Recovery Services"/>
    <x v="0"/>
    <n v="1200"/>
    <n v="-295079.53000000003"/>
    <n v="-269484.64"/>
    <n v="-199197.43"/>
    <n v="-329779.15999999997"/>
    <n v="-224766.73"/>
    <n v="-283578.63"/>
    <n v="-353677.82"/>
    <n v="-264086.83"/>
    <n v="-376036.29"/>
    <n v="-276285.84999999998"/>
    <n v="-308478.81"/>
    <n v="-228373.46"/>
    <n v="-3408825.18"/>
    <n v="-80105.350000000006"/>
  </r>
  <r>
    <x v="19"/>
    <x v="0"/>
    <x v="0"/>
    <s v="4505102"/>
    <n v="400020"/>
    <s v="O/P Care Svcs Rev--Comm Insurance"/>
    <s v="Recovery Services"/>
    <x v="0"/>
    <n v="1300"/>
    <n v="-54430.57"/>
    <n v="-12348.7"/>
    <n v="-6351.95"/>
    <n v="-52132.24"/>
    <n v="-36139.89"/>
    <n v="-59036.97"/>
    <n v="-51568.45"/>
    <n v="-17525.87"/>
    <n v="-14649.69"/>
    <n v="-42529.61"/>
    <n v="-13274.64"/>
    <n v="-39856.410000000003"/>
    <n v="-399844.99"/>
    <n v="26581.770000000004"/>
  </r>
  <r>
    <x v="19"/>
    <x v="0"/>
    <x v="0"/>
    <s v="4505102"/>
    <n v="400020"/>
    <s v="O/P Care Svcs Rev--BCBS Comm"/>
    <s v="Recovery Services"/>
    <x v="0"/>
    <n v="1301"/>
    <n v="-150161.60000000001"/>
    <n v="-139493.20000000001"/>
    <n v="-95069.63"/>
    <n v="-117855.29"/>
    <n v="-135022.5"/>
    <n v="-169623.84"/>
    <n v="-148184.16"/>
    <n v="-176885.42"/>
    <n v="-135493.47"/>
    <n v="-147466.43"/>
    <n v="-136633.66"/>
    <n v="-121330.3"/>
    <n v="-1673219.4999999998"/>
    <n v="-15303.36"/>
  </r>
  <r>
    <x v="19"/>
    <x v="0"/>
    <x v="0"/>
    <s v="4505102"/>
    <n v="400020"/>
    <s v="O/P Care Svcs Rev--Managed Care"/>
    <s v="Recovery Services"/>
    <x v="0"/>
    <n v="1400"/>
    <n v="-474870.13"/>
    <n v="-490823.03"/>
    <n v="-384662.6"/>
    <n v="-360320.41"/>
    <n v="-525553.46"/>
    <n v="-496394.09"/>
    <n v="-385616.59"/>
    <n v="-364611"/>
    <n v="-464786.6"/>
    <n v="-423752.79"/>
    <n v="-486042.27"/>
    <n v="-345409.19"/>
    <n v="-5202842.1599999992"/>
    <n v="-140633.08000000002"/>
  </r>
  <r>
    <x v="19"/>
    <x v="0"/>
    <x v="0"/>
    <s v="4505102"/>
    <n v="400020"/>
    <s v="O/P Care Svcs Rev--Self Pay"/>
    <s v="Recovery Services"/>
    <x v="0"/>
    <n v="1500"/>
    <n v="-48719.16"/>
    <n v="-28250.36"/>
    <n v="-38408.53"/>
    <n v="-36965.93"/>
    <n v="-22476.2"/>
    <n v="-21963.74"/>
    <n v="-16453.310000000001"/>
    <n v="-37056.42"/>
    <n v="-30182.18"/>
    <n v="-84938.32"/>
    <n v="-26256.63"/>
    <n v="-18490.91"/>
    <n v="-410161.69"/>
    <n v="-7765.7200000000012"/>
  </r>
  <r>
    <x v="19"/>
    <x v="0"/>
    <x v="0"/>
    <s v="4505102"/>
    <n v="400020"/>
    <s v="O/P Care Svcs Rev--Other"/>
    <s v="Recovery Services"/>
    <x v="0"/>
    <n v="1700"/>
    <n v="-93506.58"/>
    <n v="-51624.77"/>
    <n v="-76207.460000000006"/>
    <n v="-29433.41"/>
    <n v="-42940.37"/>
    <n v="-78437.75"/>
    <n v="-75060.45"/>
    <n v="-55235.62"/>
    <n v="-62177.8"/>
    <n v="-65400.65"/>
    <n v="-55104.99"/>
    <n v="-73234.490000000005"/>
    <n v="-758364.34000000008"/>
    <n v="18129.500000000007"/>
  </r>
  <r>
    <x v="5"/>
    <x v="0"/>
    <x v="0"/>
    <s v="4505102"/>
    <n v="700014"/>
    <s v="Salaries-Management-Productive"/>
    <s v="Recovery Services"/>
    <x v="0"/>
    <m/>
    <n v="8152.96"/>
    <n v="7179.94"/>
    <n v="8822.7199999999993"/>
    <n v="9055.02"/>
    <n v="6206.41"/>
    <n v="5947.99"/>
    <n v="9906.59"/>
    <n v="8449.4"/>
    <n v="10197.58"/>
    <n v="8805.24"/>
    <n v="8708.4500000000007"/>
    <n v="9194.14"/>
    <n v="100626.44"/>
    <n v="-485.68999999999869"/>
  </r>
  <r>
    <x v="5"/>
    <x v="0"/>
    <x v="0"/>
    <s v="4505102"/>
    <n v="700026"/>
    <s v="Salaries-RN-Productive"/>
    <s v="Recovery Services"/>
    <x v="0"/>
    <m/>
    <n v="163557.09"/>
    <n v="160162.12"/>
    <n v="169258.36"/>
    <n v="173901.56"/>
    <n v="181910.42"/>
    <n v="156552.98000000001"/>
    <n v="172201.54"/>
    <n v="150644.07"/>
    <n v="173037.42"/>
    <n v="152194.35999999999"/>
    <n v="181550.43"/>
    <n v="162437.4"/>
    <n v="1997407.7499999998"/>
    <n v="19113.03"/>
  </r>
  <r>
    <x v="5"/>
    <x v="0"/>
    <x v="0"/>
    <s v="4505102"/>
    <n v="700026"/>
    <s v="Salaries-RN-OT"/>
    <s v="Recovery Services"/>
    <x v="0"/>
    <n v="1000"/>
    <n v="4724.8599999999997"/>
    <n v="8331.9599999999991"/>
    <n v="8662.19"/>
    <n v="4322.55"/>
    <n v="5267.39"/>
    <n v="2934.05"/>
    <n v="6370.82"/>
    <n v="7601.27"/>
    <n v="7115.82"/>
    <n v="299.43"/>
    <n v="4983.49"/>
    <n v="2535.1799999999998"/>
    <n v="63149.009999999995"/>
    <n v="2448.31"/>
  </r>
  <r>
    <x v="5"/>
    <x v="0"/>
    <x v="0"/>
    <s v="4505102"/>
    <n v="700026"/>
    <s v="Salaries-RN-Other"/>
    <s v="Recovery Services"/>
    <x v="0"/>
    <n v="2000"/>
    <n v="9705.5400000000009"/>
    <n v="10165.27"/>
    <n v="11212.75"/>
    <n v="8979.2000000000007"/>
    <n v="8894.92"/>
    <n v="9683.8799999999992"/>
    <n v="10728.35"/>
    <n v="9914.8700000000008"/>
    <n v="11344.88"/>
    <n v="9132.43"/>
    <n v="10199.129999999999"/>
    <n v="9095.36"/>
    <n v="119056.58"/>
    <n v="1103.7699999999986"/>
  </r>
  <r>
    <x v="5"/>
    <x v="0"/>
    <x v="0"/>
    <s v="4505102"/>
    <n v="700032"/>
    <s v="Salaries-Other Pat Care Providers-Productive"/>
    <s v="Recovery Services"/>
    <x v="0"/>
    <m/>
    <n v="8308.6299999999992"/>
    <n v="6626.48"/>
    <n v="6064.74"/>
    <n v="8325.83"/>
    <n v="8844.7900000000009"/>
    <n v="7393.14"/>
    <n v="7438.7"/>
    <n v="5903.83"/>
    <n v="9153.2800000000007"/>
    <n v="8900.1"/>
    <n v="8185.9"/>
    <n v="5988.9"/>
    <n v="91134.319999999992"/>
    <n v="2197"/>
  </r>
  <r>
    <x v="5"/>
    <x v="0"/>
    <x v="0"/>
    <s v="4505102"/>
    <n v="700032"/>
    <s v="Salaries-Other Pat Care Providers-OT"/>
    <s v="Recovery Services"/>
    <x v="0"/>
    <n v="1000"/>
    <n v="52.02"/>
    <n v="47.99"/>
    <n v="23.69"/>
    <n v="-8.19"/>
    <n v="24.24"/>
    <n v="189.96"/>
    <n v="11.47"/>
    <n v="67.89"/>
    <n v="72.09"/>
    <n v="-4.75"/>
    <n v="6.71"/>
    <n v="11.7"/>
    <n v="494.82000000000005"/>
    <n v="-4.9899999999999993"/>
  </r>
  <r>
    <x v="5"/>
    <x v="0"/>
    <x v="0"/>
    <s v="4505102"/>
    <n v="700032"/>
    <s v="Salaries-Other Pat Care Providers-Other"/>
    <s v="Recovery Services"/>
    <x v="0"/>
    <n v="2000"/>
    <n v="562.73"/>
    <n v="448.38"/>
    <n v="244.88"/>
    <n v="502.33"/>
    <n v="594.58000000000004"/>
    <n v="512.91999999999996"/>
    <n v="503.99"/>
    <n v="452.26"/>
    <n v="969.61"/>
    <n v="692.09"/>
    <n v="815.39"/>
    <n v="435.61"/>
    <n v="6734.77"/>
    <n v="379.78"/>
  </r>
  <r>
    <x v="5"/>
    <x v="0"/>
    <x v="0"/>
    <s v="4505102"/>
    <n v="700034"/>
    <s v="Salaries-Tech/Professional-Productive"/>
    <s v="Recovery Services"/>
    <x v="0"/>
    <m/>
    <n v="0"/>
    <n v="0"/>
    <n v="0"/>
    <n v="0"/>
    <n v="0"/>
    <n v="404.2"/>
    <n v="0"/>
    <n v="0"/>
    <n v="0"/>
    <n v="0"/>
    <n v="0"/>
    <n v="0"/>
    <n v="404.2"/>
    <n v="0"/>
  </r>
  <r>
    <x v="5"/>
    <x v="0"/>
    <x v="0"/>
    <s v="4505102"/>
    <n v="700034"/>
    <s v="Salaries-Tech/Professional-OT"/>
    <s v="Recovery Services"/>
    <x v="0"/>
    <n v="1000"/>
    <n v="0"/>
    <n v="0"/>
    <n v="0"/>
    <n v="0"/>
    <n v="0"/>
    <n v="15.17"/>
    <n v="0"/>
    <n v="0"/>
    <n v="0"/>
    <n v="0"/>
    <n v="0"/>
    <n v="0"/>
    <n v="15.17"/>
    <n v="0"/>
  </r>
  <r>
    <x v="5"/>
    <x v="0"/>
    <x v="0"/>
    <s v="4505102"/>
    <n v="700038"/>
    <s v="Salaries-Service/Support-Productive"/>
    <s v="Recovery Services"/>
    <x v="0"/>
    <m/>
    <n v="2971.28"/>
    <n v="4521.0200000000004"/>
    <n v="6240.93"/>
    <n v="5067.88"/>
    <n v="5310.79"/>
    <n v="4003.36"/>
    <n v="4934.33"/>
    <n v="3546.88"/>
    <n v="5617.33"/>
    <n v="7416.6"/>
    <n v="6488.97"/>
    <n v="6352.29"/>
    <n v="62471.66"/>
    <n v="136.68000000000029"/>
  </r>
  <r>
    <x v="5"/>
    <x v="0"/>
    <x v="0"/>
    <s v="4505102"/>
    <n v="700038"/>
    <s v="Salaries-Service/Support-OT"/>
    <s v="Recovery Services"/>
    <x v="0"/>
    <n v="1000"/>
    <n v="27.82"/>
    <n v="14.61"/>
    <n v="146.36000000000001"/>
    <n v="32.090000000000003"/>
    <n v="136.54"/>
    <n v="68.430000000000007"/>
    <n v="184.64"/>
    <n v="202.21"/>
    <n v="571.4"/>
    <n v="181.46"/>
    <n v="696.21"/>
    <n v="461.58"/>
    <n v="2723.35"/>
    <n v="234.63000000000005"/>
  </r>
  <r>
    <x v="5"/>
    <x v="0"/>
    <x v="0"/>
    <s v="4505102"/>
    <n v="700038"/>
    <s v="Salaries-Service/Support-Other"/>
    <s v="Recovery Services"/>
    <x v="0"/>
    <n v="2000"/>
    <n v="328.72"/>
    <n v="282.89999999999998"/>
    <n v="399.14"/>
    <n v="255.04"/>
    <n v="293.06"/>
    <n v="160.99"/>
    <n v="257.36"/>
    <n v="312.2"/>
    <n v="33.68"/>
    <n v="19.18"/>
    <n v="28.98"/>
    <n v="24.78"/>
    <n v="2396.0299999999997"/>
    <n v="4.1999999999999993"/>
  </r>
  <r>
    <x v="5"/>
    <x v="0"/>
    <x v="0"/>
    <s v="4505102"/>
    <n v="700054"/>
    <s v="Salaries-Management-Non-productive"/>
    <s v="Recovery Services"/>
    <x v="0"/>
    <m/>
    <n v="1277.76"/>
    <n v="2251.1999999999998"/>
    <n v="304.32"/>
    <n v="851.84"/>
    <n v="3491.04"/>
    <n v="4073.04"/>
    <n v="130.11000000000001"/>
    <n v="615.05999999999995"/>
    <n v="-161.83000000000001"/>
    <n v="906.45"/>
    <n v="1327.28"/>
    <n v="517.99"/>
    <n v="15584.260000000002"/>
    <n v="809.29"/>
  </r>
  <r>
    <x v="5"/>
    <x v="0"/>
    <x v="0"/>
    <s v="4505102"/>
    <n v="700054"/>
    <s v="Salaries-Management-NonProd-Other"/>
    <s v="Recovery Services"/>
    <x v="0"/>
    <n v="2000"/>
    <n v="0"/>
    <n v="0"/>
    <n v="0"/>
    <n v="0"/>
    <n v="0"/>
    <n v="2879.57"/>
    <n v="-2885.11"/>
    <n v="0"/>
    <n v="0"/>
    <n v="0"/>
    <n v="0"/>
    <n v="0"/>
    <n v="-5.5399999999999636"/>
    <n v="0"/>
  </r>
  <r>
    <x v="5"/>
    <x v="0"/>
    <x v="0"/>
    <s v="4505102"/>
    <n v="700066"/>
    <s v="Salaries-RN-Non-productive"/>
    <s v="Recovery Services"/>
    <x v="0"/>
    <m/>
    <n v="34496.5"/>
    <n v="28948.09"/>
    <n v="27522.66"/>
    <n v="26149.29"/>
    <n v="12815.12"/>
    <n v="45814.38"/>
    <n v="28979.48"/>
    <n v="34622.550000000003"/>
    <n v="25039.34"/>
    <n v="35233.21"/>
    <n v="15543.42"/>
    <n v="30919.31"/>
    <n v="346083.35000000003"/>
    <n v="-15375.890000000001"/>
  </r>
  <r>
    <x v="5"/>
    <x v="0"/>
    <x v="0"/>
    <s v="4505102"/>
    <n v="700066"/>
    <s v="Salaries-RN-NonProd-Other"/>
    <s v="Recovery Services"/>
    <x v="0"/>
    <n v="2000"/>
    <n v="3133.27"/>
    <n v="3035.88"/>
    <n v="2507.86"/>
    <n v="3050.84"/>
    <n v="3424.95"/>
    <n v="4364.7"/>
    <n v="1818.21"/>
    <n v="-1093.5"/>
    <n v="3006.94"/>
    <n v="2432.9699999999998"/>
    <n v="3074.58"/>
    <n v="2365.21"/>
    <n v="31121.909999999996"/>
    <n v="709.36999999999989"/>
  </r>
  <r>
    <x v="5"/>
    <x v="0"/>
    <x v="0"/>
    <s v="4505102"/>
    <n v="700072"/>
    <s v="Salaries-Other Pat Care Providers-Non-productive"/>
    <s v="Recovery Services"/>
    <x v="0"/>
    <m/>
    <n v="826.36"/>
    <n v="2561.7800000000002"/>
    <n v="549.77"/>
    <n v="432.88"/>
    <n v="897.3"/>
    <n v="2156.23"/>
    <n v="220.39"/>
    <n v="317.27999999999997"/>
    <n v="464.21"/>
    <n v="1640.65"/>
    <n v="286.16000000000003"/>
    <n v="343.02"/>
    <n v="10696.029999999999"/>
    <n v="-56.859999999999957"/>
  </r>
  <r>
    <x v="5"/>
    <x v="0"/>
    <x v="0"/>
    <s v="4505102"/>
    <n v="700072"/>
    <s v="Salaries-Other Pat Care Providers-NonProd-Other"/>
    <s v="Recovery Services"/>
    <x v="0"/>
    <n v="2000"/>
    <n v="43.21"/>
    <n v="37.1"/>
    <n v="26.99"/>
    <n v="17.809999999999999"/>
    <n v="554.35"/>
    <n v="51.42"/>
    <n v="-6.62"/>
    <n v="-497.33"/>
    <n v="0"/>
    <n v="0"/>
    <n v="0"/>
    <n v="0"/>
    <n v="226.93"/>
    <n v="0"/>
  </r>
  <r>
    <x v="5"/>
    <x v="0"/>
    <x v="0"/>
    <s v="4505102"/>
    <n v="700078"/>
    <s v="Salaries-Service/Support-Non-productive"/>
    <s v="Recovery Services"/>
    <x v="0"/>
    <m/>
    <n v="1208.75"/>
    <n v="257.95"/>
    <n v="94.55"/>
    <n v="486.01"/>
    <n v="323.82"/>
    <n v="948.49"/>
    <n v="510.03"/>
    <n v="567.26"/>
    <n v="398.79"/>
    <n v="-67.22"/>
    <n v="506.54"/>
    <n v="466.48"/>
    <n v="5701.4499999999989"/>
    <n v="40.06"/>
  </r>
  <r>
    <x v="5"/>
    <x v="0"/>
    <x v="0"/>
    <s v="4505102"/>
    <n v="700084"/>
    <s v="Accrued PTO"/>
    <s v="Recovery Services"/>
    <x v="0"/>
    <m/>
    <n v="-10732.52"/>
    <n v="-3877.97"/>
    <n v="919.12"/>
    <n v="5946.42"/>
    <n v="11984.93"/>
    <n v="-5989.05"/>
    <n v="7128.6"/>
    <n v="-1211.51"/>
    <n v="8940.42"/>
    <n v="-7692.76"/>
    <n v="-3673.28"/>
    <n v="1474.44"/>
    <n v="3216.840000000002"/>
    <n v="-5147.72"/>
  </r>
  <r>
    <x v="10"/>
    <x v="0"/>
    <x v="0"/>
    <s v="4505102"/>
    <n v="710060"/>
    <s v="Contract Labor-Other"/>
    <s v="Recovery Services"/>
    <x v="0"/>
    <m/>
    <n v="23217"/>
    <n v="5662.25"/>
    <n v="5680"/>
    <n v="20400"/>
    <n v="25946.25"/>
    <n v="15321.25"/>
    <n v="5652.5"/>
    <n v="20324.12"/>
    <n v="31947.54"/>
    <n v="50239.79"/>
    <n v="28384.31"/>
    <n v="31227.25"/>
    <n v="264002.26"/>
    <n v="-2842.9399999999987"/>
  </r>
  <r>
    <x v="10"/>
    <x v="0"/>
    <x v="0"/>
    <s v="4505102"/>
    <n v="710060"/>
    <s v="Contract Labor-Overtime"/>
    <s v="Recovery Services"/>
    <x v="0"/>
    <n v="5100"/>
    <n v="335.47"/>
    <n v="72"/>
    <n v="167.74"/>
    <n v="0"/>
    <n v="28.69"/>
    <n v="0"/>
    <n v="0"/>
    <n v="1318.48"/>
    <n v="2364.17"/>
    <n v="3694.32"/>
    <n v="0"/>
    <n v="701.81"/>
    <n v="8682.68"/>
    <n v="-701.81"/>
  </r>
  <r>
    <x v="10"/>
    <x v="0"/>
    <x v="0"/>
    <s v="4505102"/>
    <n v="710060"/>
    <s v="Contract Labor-Standby Wages"/>
    <s v="Recovery Services"/>
    <x v="0"/>
    <n v="5101"/>
    <n v="746"/>
    <n v="0"/>
    <n v="164"/>
    <n v="308"/>
    <n v="622"/>
    <n v="460"/>
    <n v="0"/>
    <n v="276.5"/>
    <n v="321.75"/>
    <n v="827.38"/>
    <n v="224"/>
    <n v="364"/>
    <n v="4313.63"/>
    <n v="-140"/>
  </r>
  <r>
    <x v="6"/>
    <x v="0"/>
    <x v="0"/>
    <s v="4505102"/>
    <n v="713010"/>
    <s v="Benefits-FICA/Medicare"/>
    <s v="Recovery Services"/>
    <x v="0"/>
    <m/>
    <n v="17900.599999999999"/>
    <n v="17474.8"/>
    <n v="17298.490000000002"/>
    <n v="17219.439999999999"/>
    <n v="17107.189999999999"/>
    <n v="18033.84"/>
    <n v="18996.86"/>
    <n v="16563.73"/>
    <n v="18311.22"/>
    <n v="16828.32"/>
    <n v="19793.759999999998"/>
    <n v="16422.27"/>
    <n v="211950.52000000002"/>
    <n v="3371.489999999998"/>
  </r>
  <r>
    <x v="6"/>
    <x v="0"/>
    <x v="0"/>
    <s v="4505102"/>
    <n v="713090"/>
    <s v="Benefits-Allocated Amounts"/>
    <s v="Recovery Services"/>
    <x v="0"/>
    <m/>
    <n v="40341.35"/>
    <n v="35303.15"/>
    <n v="39985.19"/>
    <n v="38794.620000000003"/>
    <n v="39192.51"/>
    <n v="38941.85"/>
    <n v="41092.15"/>
    <n v="38842.18"/>
    <n v="40358.68"/>
    <n v="40021.49"/>
    <n v="41193.019999999997"/>
    <n v="41289.11"/>
    <n v="475355.3"/>
    <n v="-96.090000000003783"/>
  </r>
  <r>
    <x v="6"/>
    <x v="0"/>
    <x v="0"/>
    <s v="4505102"/>
    <n v="713096"/>
    <s v="Employee Recognition"/>
    <s v="Recovery Services"/>
    <x v="0"/>
    <n v="1017"/>
    <n v="0"/>
    <n v="37.25"/>
    <n v="0"/>
    <n v="0"/>
    <n v="0"/>
    <n v="0"/>
    <n v="0"/>
    <n v="0"/>
    <n v="0"/>
    <n v="31.92"/>
    <n v="99.95"/>
    <n v="0"/>
    <n v="169.12"/>
    <n v="99.95"/>
  </r>
  <r>
    <x v="7"/>
    <x v="0"/>
    <x v="0"/>
    <s v="4505102"/>
    <n v="718050"/>
    <s v="Contract Svcs-Other"/>
    <s v="Recovery Services"/>
    <x v="0"/>
    <m/>
    <n v="0"/>
    <n v="0"/>
    <n v="0"/>
    <n v="0"/>
    <n v="0"/>
    <n v="0"/>
    <n v="0"/>
    <n v="0"/>
    <n v="275"/>
    <n v="0"/>
    <n v="0"/>
    <n v="0"/>
    <n v="275"/>
    <n v="0"/>
  </r>
  <r>
    <x v="7"/>
    <x v="0"/>
    <x v="0"/>
    <s v="4505102"/>
    <n v="718050"/>
    <s v="Document Shredding/Storage"/>
    <s v="Recovery Services"/>
    <x v="0"/>
    <n v="1012"/>
    <n v="0.52"/>
    <n v="0.53"/>
    <n v="0.48"/>
    <n v="0.5"/>
    <n v="0.52"/>
    <n v="0.52"/>
    <n v="0.51"/>
    <n v="0.45"/>
    <n v="0.45"/>
    <n v="0.6"/>
    <n v="0.5"/>
    <n v="0.52"/>
    <n v="6.1"/>
    <n v="-2.0000000000000018E-2"/>
  </r>
  <r>
    <x v="7"/>
    <x v="0"/>
    <x v="0"/>
    <s v="4505102"/>
    <n v="718050"/>
    <s v="Miscellaneous Purchased Svcs"/>
    <s v="Recovery Services"/>
    <x v="0"/>
    <n v="1020"/>
    <n v="1418.84"/>
    <n v="41.3"/>
    <n v="20.65"/>
    <n v="1532.3"/>
    <n v="134.07"/>
    <n v="0"/>
    <n v="98.78"/>
    <n v="93.45"/>
    <n v="0"/>
    <n v="65.650000000000006"/>
    <n v="154.61000000000001"/>
    <n v="0"/>
    <n v="3559.6500000000005"/>
    <n v="154.61000000000001"/>
  </r>
  <r>
    <x v="7"/>
    <x v="0"/>
    <x v="0"/>
    <s v="4505102"/>
    <n v="718050"/>
    <s v="Translation Services"/>
    <s v="Recovery Services"/>
    <x v="0"/>
    <n v="1025"/>
    <n v="3747.07"/>
    <n v="2628.82"/>
    <n v="3655.81"/>
    <n v="2353.4699999999998"/>
    <n v="1662"/>
    <n v="2634.08"/>
    <n v="1536.19"/>
    <n v="1417.97"/>
    <n v="2587.62"/>
    <n v="1911.65"/>
    <n v="1488"/>
    <n v="0"/>
    <n v="25622.68"/>
    <n v="1488"/>
  </r>
  <r>
    <x v="7"/>
    <x v="0"/>
    <x v="0"/>
    <s v="4505102"/>
    <n v="718050"/>
    <s v="Contract Management--Linen"/>
    <s v="Recovery Services"/>
    <x v="0"/>
    <n v="1026"/>
    <n v="380.26"/>
    <n v="361.02"/>
    <n v="401.46"/>
    <n v="221.03"/>
    <n v="306.89"/>
    <n v="446.13"/>
    <n v="467.42"/>
    <n v="-436.66"/>
    <n v="450.56"/>
    <n v="465.43"/>
    <n v="288.27999999999997"/>
    <n v="448.11"/>
    <n v="3799.93"/>
    <n v="-159.83000000000004"/>
  </r>
  <r>
    <x v="11"/>
    <x v="0"/>
    <x v="0"/>
    <s v="4505102"/>
    <n v="721010"/>
    <s v="Supplies-Medical - Billable"/>
    <s v="Recovery Services"/>
    <x v="0"/>
    <m/>
    <n v="4804.72"/>
    <n v="5369.97"/>
    <n v="5268.61"/>
    <n v="5548.37"/>
    <n v="5994.23"/>
    <n v="5949.62"/>
    <n v="5184.97"/>
    <n v="5596.99"/>
    <n v="6365.05"/>
    <n v="5691.1"/>
    <n v="5481.37"/>
    <n v="5682.31"/>
    <n v="66937.31"/>
    <n v="-200.94000000000051"/>
  </r>
  <r>
    <x v="11"/>
    <x v="0"/>
    <x v="0"/>
    <s v="4505102"/>
    <n v="721010"/>
    <s v="Patient Monitoring"/>
    <s v="Recovery Services"/>
    <x v="0"/>
    <n v="1000"/>
    <n v="367.21"/>
    <n v="134.05000000000001"/>
    <n v="186.73"/>
    <n v="60.94"/>
    <n v="102.69"/>
    <n v="63.86"/>
    <n v="191.79"/>
    <n v="117.94"/>
    <n v="174.25"/>
    <n v="57.1"/>
    <n v="50.67"/>
    <n v="451.79"/>
    <n v="1959.0200000000002"/>
    <n v="-401.12"/>
  </r>
  <r>
    <x v="11"/>
    <x v="0"/>
    <x v="0"/>
    <s v="4505102"/>
    <n v="721020"/>
    <s v="Supplies-Surgical - Billable"/>
    <s v="Recovery Services"/>
    <x v="0"/>
    <m/>
    <n v="354.96"/>
    <n v="197.23"/>
    <n v="155.93"/>
    <n v="133.91999999999999"/>
    <n v="230.99"/>
    <n v="185.11"/>
    <n v="230.63"/>
    <n v="357.42"/>
    <n v="134.4"/>
    <n v="155.93"/>
    <n v="192.37"/>
    <n v="174.11"/>
    <n v="2503"/>
    <n v="18.259999999999991"/>
  </r>
  <r>
    <x v="11"/>
    <x v="0"/>
    <x v="0"/>
    <s v="4505102"/>
    <n v="721240"/>
    <s v="Supplies-IV Solutions/Supplies - Billable"/>
    <s v="Recovery Services"/>
    <x v="0"/>
    <m/>
    <n v="1616.26"/>
    <n v="1271.23"/>
    <n v="1236.9000000000001"/>
    <n v="1565.19"/>
    <n v="2172.5300000000002"/>
    <n v="1736.39"/>
    <n v="1581"/>
    <n v="1139.68"/>
    <n v="2071.77"/>
    <n v="1797.95"/>
    <n v="1461.75"/>
    <n v="1741.12"/>
    <n v="19391.77"/>
    <n v="-279.36999999999989"/>
  </r>
  <r>
    <x v="11"/>
    <x v="0"/>
    <x v="0"/>
    <s v="4505102"/>
    <n v="721250"/>
    <s v="Supplies-Pharmacy Drugs - Billable"/>
    <s v="Recovery Services"/>
    <x v="0"/>
    <m/>
    <n v="0"/>
    <n v="0"/>
    <n v="1.34"/>
    <n v="0"/>
    <n v="0"/>
    <n v="0"/>
    <n v="0"/>
    <n v="1.34"/>
    <n v="0"/>
    <n v="0"/>
    <n v="0"/>
    <n v="0"/>
    <n v="2.68"/>
    <n v="0"/>
  </r>
  <r>
    <x v="11"/>
    <x v="0"/>
    <x v="0"/>
    <s v="4505102"/>
    <n v="721410"/>
    <s v="Supplies-Medical - Nonbillable"/>
    <s v="Recovery Services"/>
    <x v="0"/>
    <m/>
    <n v="7381.34"/>
    <n v="6765.66"/>
    <n v="6431.3"/>
    <n v="7221.37"/>
    <n v="9791.07"/>
    <n v="7932.44"/>
    <n v="7692.33"/>
    <n v="5902.29"/>
    <n v="9763.26"/>
    <n v="-3389.08"/>
    <n v="9941.16"/>
    <n v="6530.28"/>
    <n v="81963.42"/>
    <n v="3410.88"/>
  </r>
  <r>
    <x v="11"/>
    <x v="0"/>
    <x v="0"/>
    <s v="4505102"/>
    <n v="721410"/>
    <s v="Patient Monitoring"/>
    <s v="Recovery Services"/>
    <x v="0"/>
    <n v="1000"/>
    <n v="22.21"/>
    <n v="1.8"/>
    <n v="6.34"/>
    <n v="1.81"/>
    <n v="2.27"/>
    <n v="0.46"/>
    <n v="3.58"/>
    <n v="7.46"/>
    <n v="4.55"/>
    <n v="6.35"/>
    <n v="1.82"/>
    <n v="448.07"/>
    <n v="506.72"/>
    <n v="-446.25"/>
  </r>
  <r>
    <x v="11"/>
    <x v="0"/>
    <x v="0"/>
    <s v="4505102"/>
    <n v="721420"/>
    <s v="Supplies-Surgical Nonbillable"/>
    <s v="Recovery Services"/>
    <x v="0"/>
    <m/>
    <n v="424.6"/>
    <n v="87.33"/>
    <n v="516.05999999999995"/>
    <n v="96.84"/>
    <n v="149.88999999999999"/>
    <n v="475.43"/>
    <n v="168.57"/>
    <n v="569.41"/>
    <n v="165.4"/>
    <n v="563.29"/>
    <n v="144.9"/>
    <n v="262.62"/>
    <n v="3624.3399999999997"/>
    <n v="-117.72"/>
  </r>
  <r>
    <x v="11"/>
    <x v="0"/>
    <x v="0"/>
    <s v="4505102"/>
    <n v="721420"/>
    <s v="Tubes Drains &amp; Related Supplies"/>
    <s v="Recovery Services"/>
    <x v="0"/>
    <n v="1008"/>
    <n v="28.84"/>
    <n v="12.22"/>
    <n v="12.9"/>
    <n v="0"/>
    <n v="0"/>
    <n v="15.9"/>
    <n v="1.68"/>
    <n v="0"/>
    <n v="-9.86"/>
    <n v="0"/>
    <n v="0"/>
    <n v="24.13"/>
    <n v="85.81"/>
    <n v="-24.13"/>
  </r>
  <r>
    <x v="11"/>
    <x v="0"/>
    <x v="0"/>
    <s v="4505102"/>
    <n v="721610"/>
    <s v="Supplies-Anesthesia - Nonbillable"/>
    <s v="Recovery Services"/>
    <x v="0"/>
    <m/>
    <n v="876"/>
    <n v="2158.39"/>
    <n v="905.3"/>
    <n v="1106.22"/>
    <n v="1017.43"/>
    <n v="2121.23"/>
    <n v="1594.17"/>
    <n v="384.82"/>
    <n v="1181.5"/>
    <n v="1787.34"/>
    <n v="913.62"/>
    <n v="1668.94"/>
    <n v="15714.960000000001"/>
    <n v="-755.32"/>
  </r>
  <r>
    <x v="11"/>
    <x v="0"/>
    <x v="0"/>
    <s v="4505102"/>
    <n v="721640"/>
    <s v="Supplies-IV Solutions/Supplies - Nonbillable"/>
    <s v="Recovery Services"/>
    <x v="0"/>
    <m/>
    <n v="1843.23"/>
    <n v="1402.06"/>
    <n v="1212.28"/>
    <n v="1396.42"/>
    <n v="1667.27"/>
    <n v="1430.1"/>
    <n v="1599.37"/>
    <n v="1259"/>
    <n v="1855.83"/>
    <n v="1606.75"/>
    <n v="1501.33"/>
    <n v="1416.94"/>
    <n v="18190.579999999998"/>
    <n v="84.389999999999873"/>
  </r>
  <r>
    <x v="11"/>
    <x v="0"/>
    <x v="0"/>
    <s v="4505102"/>
    <n v="721650"/>
    <s v="Supplies-Pharmacy Drugs - Nonbillable"/>
    <s v="Recovery Services"/>
    <x v="0"/>
    <m/>
    <n v="3.08"/>
    <n v="36.18"/>
    <n v="58.21"/>
    <n v="0"/>
    <n v="12.49"/>
    <n v="176.4"/>
    <n v="0"/>
    <n v="8.59"/>
    <n v="1571.35"/>
    <n v="7.25"/>
    <n v="42.88"/>
    <n v="0"/>
    <n v="1916.43"/>
    <n v="42.88"/>
  </r>
  <r>
    <x v="11"/>
    <x v="0"/>
    <x v="0"/>
    <s v="4505102"/>
    <n v="721710"/>
    <s v="Supplies-Laboratory - Nonbillable"/>
    <s v="Recovery Services"/>
    <x v="0"/>
    <m/>
    <n v="69.790000000000006"/>
    <n v="64.290000000000006"/>
    <n v="120.2"/>
    <n v="89.36"/>
    <n v="73.099999999999994"/>
    <n v="174.9"/>
    <n v="103.09"/>
    <n v="62.89"/>
    <n v="1302.69"/>
    <n v="99.82"/>
    <n v="71.95"/>
    <n v="104.22"/>
    <n v="2336.2999999999997"/>
    <n v="-32.269999999999996"/>
  </r>
  <r>
    <x v="11"/>
    <x v="0"/>
    <x v="0"/>
    <s v="4505102"/>
    <n v="721750"/>
    <s v="Supplies-Film/Radiographic - Nonbillable"/>
    <s v="Recovery Services"/>
    <x v="0"/>
    <m/>
    <n v="0"/>
    <n v="1.88"/>
    <n v="0"/>
    <n v="0"/>
    <n v="0"/>
    <n v="0.94"/>
    <n v="0.94"/>
    <n v="1.87"/>
    <n v="0"/>
    <n v="4.68"/>
    <n v="0.94"/>
    <n v="1.87"/>
    <n v="13.119999999999997"/>
    <n v="-0.93000000000000016"/>
  </r>
  <r>
    <x v="11"/>
    <x v="0"/>
    <x v="0"/>
    <s v="4505102"/>
    <n v="721810"/>
    <s v="Supplies-Dietary/Cafeteria"/>
    <s v="Recovery Services"/>
    <x v="0"/>
    <m/>
    <n v="133.97"/>
    <n v="242.21"/>
    <n v="160.49"/>
    <n v="141.57"/>
    <n v="178.95"/>
    <n v="116.74"/>
    <n v="221.52"/>
    <n v="157.41999999999999"/>
    <n v="125.89"/>
    <n v="144.4"/>
    <n v="109.94"/>
    <n v="143.46"/>
    <n v="1876.5600000000004"/>
    <n v="-33.52000000000001"/>
  </r>
  <r>
    <x v="11"/>
    <x v="0"/>
    <x v="0"/>
    <s v="4505102"/>
    <n v="721830"/>
    <s v="Supplies-Office"/>
    <s v="Recovery Services"/>
    <x v="0"/>
    <m/>
    <n v="562.34"/>
    <n v="1775.44"/>
    <n v="772.54"/>
    <n v="624.82000000000005"/>
    <n v="641.12"/>
    <n v="511.87"/>
    <n v="291.38"/>
    <n v="260.77999999999997"/>
    <n v="932.24"/>
    <n v="738.4"/>
    <n v="160.22999999999999"/>
    <n v="105.56"/>
    <n v="7376.7199999999993"/>
    <n v="54.669999999999987"/>
  </r>
  <r>
    <x v="11"/>
    <x v="0"/>
    <x v="0"/>
    <s v="4505102"/>
    <n v="721835"/>
    <s v="Supplies-Forms"/>
    <s v="Recovery Services"/>
    <x v="0"/>
    <m/>
    <n v="0"/>
    <n v="0"/>
    <n v="0"/>
    <n v="0"/>
    <n v="504.93"/>
    <n v="0"/>
    <n v="102.5"/>
    <n v="0"/>
    <n v="0"/>
    <n v="245"/>
    <n v="0"/>
    <n v="203.38"/>
    <n v="1055.81"/>
    <n v="-203.38"/>
  </r>
  <r>
    <x v="11"/>
    <x v="0"/>
    <x v="0"/>
    <s v="4505102"/>
    <n v="721870"/>
    <s v="Supplies-Environmental Services"/>
    <s v="Recovery Services"/>
    <x v="0"/>
    <m/>
    <n v="255.96"/>
    <n v="224.03"/>
    <n v="207.57"/>
    <n v="264.3"/>
    <n v="318.11"/>
    <n v="268.60000000000002"/>
    <n v="298.05"/>
    <n v="377"/>
    <n v="386.08"/>
    <n v="268.23"/>
    <n v="317.86"/>
    <n v="303.95999999999998"/>
    <n v="3489.75"/>
    <n v="13.900000000000034"/>
  </r>
  <r>
    <x v="11"/>
    <x v="0"/>
    <x v="0"/>
    <s v="4505102"/>
    <n v="721880"/>
    <s v="Supplies-Linen"/>
    <s v="Recovery Services"/>
    <x v="0"/>
    <m/>
    <n v="192.6"/>
    <n v="128.4"/>
    <n v="256.8"/>
    <n v="304.95"/>
    <n v="44.94"/>
    <n v="128.4"/>
    <n v="192.6"/>
    <n v="64.2"/>
    <n v="64.2"/>
    <n v="64.2"/>
    <n v="0"/>
    <n v="96.3"/>
    <n v="1537.5900000000001"/>
    <n v="-96.3"/>
  </r>
  <r>
    <x v="11"/>
    <x v="0"/>
    <x v="0"/>
    <s v="4505102"/>
    <n v="721910"/>
    <s v="Supplies-Small Equipment"/>
    <s v="Recovery Services"/>
    <x v="0"/>
    <m/>
    <n v="44.92"/>
    <n v="666.49"/>
    <n v="1984"/>
    <n v="1575.39"/>
    <n v="63.6"/>
    <n v="134.44999999999999"/>
    <n v="51.3"/>
    <n v="232.13"/>
    <n v="572.36"/>
    <n v="2366.17"/>
    <n v="0"/>
    <n v="32.86"/>
    <n v="7723.67"/>
    <n v="-32.86"/>
  </r>
  <r>
    <x v="11"/>
    <x v="0"/>
    <x v="0"/>
    <s v="4505102"/>
    <n v="721910"/>
    <s v="Instruments"/>
    <s v="Recovery Services"/>
    <x v="0"/>
    <n v="1000"/>
    <n v="0"/>
    <n v="3.54"/>
    <n v="0"/>
    <n v="0"/>
    <n v="2"/>
    <n v="24"/>
    <n v="14.42"/>
    <n v="0"/>
    <n v="0"/>
    <n v="616.70000000000005"/>
    <n v="0"/>
    <n v="0"/>
    <n v="660.66000000000008"/>
    <n v="0"/>
  </r>
  <r>
    <x v="11"/>
    <x v="0"/>
    <x v="0"/>
    <s v="4505102"/>
    <n v="721980"/>
    <s v="Supplies-Other"/>
    <s v="Recovery Services"/>
    <x v="0"/>
    <m/>
    <n v="0"/>
    <n v="0"/>
    <n v="0"/>
    <n v="0"/>
    <n v="929.96"/>
    <n v="0"/>
    <n v="43.21"/>
    <n v="0"/>
    <n v="0"/>
    <n v="0"/>
    <n v="0"/>
    <n v="0"/>
    <n v="973.17000000000007"/>
    <n v="0"/>
  </r>
  <r>
    <x v="11"/>
    <x v="0"/>
    <x v="0"/>
    <s v="4505102"/>
    <n v="722000"/>
    <s v="Supplies-Freight Expense"/>
    <s v="Recovery Services"/>
    <x v="0"/>
    <m/>
    <n v="0"/>
    <n v="0"/>
    <n v="89.8"/>
    <n v="12.79"/>
    <n v="0"/>
    <n v="15.67"/>
    <n v="0"/>
    <n v="8.2799999999999994"/>
    <n v="24.82"/>
    <n v="44.32"/>
    <n v="16.52"/>
    <n v="0"/>
    <n v="212.20000000000002"/>
    <n v="16.52"/>
  </r>
  <r>
    <x v="12"/>
    <x v="0"/>
    <x v="0"/>
    <s v="4505102"/>
    <n v="730020"/>
    <s v="Rental and Leases-Equipment (DO NOT USE)"/>
    <s v="Recovery Services"/>
    <x v="0"/>
    <m/>
    <n v="22.66"/>
    <n v="45.32"/>
    <n v="22.66"/>
    <n v="22.66"/>
    <n v="22.66"/>
    <n v="22.66"/>
    <n v="22.66"/>
    <n v="22.66"/>
    <n v="22.66"/>
    <n v="22.66"/>
    <n v="22.66"/>
    <n v="22.66"/>
    <n v="294.58000000000004"/>
    <n v="0"/>
  </r>
  <r>
    <x v="12"/>
    <x v="0"/>
    <x v="0"/>
    <s v="4505102"/>
    <n v="730020"/>
    <s v="Rental and Leases-Copier Usage Fees (DO NOT USE)"/>
    <s v="Recovery Services"/>
    <x v="0"/>
    <n v="5100"/>
    <n v="91.4"/>
    <n v="93.94"/>
    <n v="92.67"/>
    <n v="92.67"/>
    <n v="92.67"/>
    <n v="92.67"/>
    <n v="-10.41"/>
    <n v="82.45"/>
    <n v="88.46"/>
    <n v="95.67"/>
    <n v="88.63"/>
    <n v="88.63"/>
    <n v="989.45"/>
    <n v="0"/>
  </r>
  <r>
    <x v="15"/>
    <x v="0"/>
    <x v="0"/>
    <s v="4505102"/>
    <n v="731060"/>
    <s v="Cell Phones"/>
    <s v="Recovery Services"/>
    <x v="0"/>
    <n v="1001"/>
    <n v="0"/>
    <n v="66.05"/>
    <n v="132.1"/>
    <n v="0"/>
    <n v="149.22999999999999"/>
    <n v="66.23"/>
    <n v="132.35"/>
    <n v="0"/>
    <n v="67.17"/>
    <n v="132.56"/>
    <n v="65"/>
    <n v="66.319999999999993"/>
    <n v="877.01"/>
    <n v="-1.3199999999999932"/>
  </r>
  <r>
    <x v="15"/>
    <x v="0"/>
    <x v="0"/>
    <s v="4505102"/>
    <n v="731060"/>
    <s v="Pagers"/>
    <s v="Recovery Services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3"/>
    <x v="0"/>
    <x v="0"/>
    <s v="4505102"/>
    <n v="735070"/>
    <s v="Depreciation-Movable Equipment"/>
    <s v="Recovery Services"/>
    <x v="0"/>
    <m/>
    <n v="49.07"/>
    <n v="49.07"/>
    <n v="49.07"/>
    <n v="49.07"/>
    <n v="49.07"/>
    <n v="49.07"/>
    <n v="49.07"/>
    <n v="49.07"/>
    <n v="49.07"/>
    <n v="49.06"/>
    <n v="49.07"/>
    <n v="49.06"/>
    <n v="588.81999999999994"/>
    <n v="9.9999999999980105E-3"/>
  </r>
  <r>
    <x v="0"/>
    <x v="0"/>
    <x v="0"/>
    <s v="4505102"/>
    <n v="740020"/>
    <s v="Education-Registration Fees"/>
    <s v="Recovery Services"/>
    <x v="0"/>
    <m/>
    <n v="375"/>
    <n v="730"/>
    <n v="-165"/>
    <n v="635"/>
    <n v="380"/>
    <n v="0"/>
    <n v="165"/>
    <n v="260"/>
    <n v="0"/>
    <n v="0"/>
    <n v="0"/>
    <n v="0"/>
    <n v="2380"/>
    <n v="0"/>
  </r>
  <r>
    <x v="0"/>
    <x v="0"/>
    <x v="0"/>
    <s v="4505102"/>
    <n v="740030"/>
    <s v="Education-Travel"/>
    <s v="Recovery Services"/>
    <x v="0"/>
    <m/>
    <n v="1321.23"/>
    <n v="0"/>
    <n v="0"/>
    <n v="0"/>
    <n v="0"/>
    <n v="0"/>
    <n v="563.6"/>
    <n v="563.6"/>
    <n v="0"/>
    <n v="0"/>
    <n v="0"/>
    <n v="574.39"/>
    <n v="3022.8199999999997"/>
    <n v="-574.39"/>
  </r>
  <r>
    <x v="0"/>
    <x v="0"/>
    <x v="0"/>
    <s v="4505102"/>
    <n v="743010"/>
    <s v="Dues--Institutional"/>
    <s v="Recovery Services"/>
    <x v="0"/>
    <m/>
    <n v="0"/>
    <n v="0"/>
    <n v="0"/>
    <n v="0"/>
    <n v="0"/>
    <n v="0"/>
    <n v="0"/>
    <n v="0"/>
    <n v="0"/>
    <n v="0"/>
    <n v="0"/>
    <n v="123"/>
    <n v="123"/>
    <n v="-123"/>
  </r>
  <r>
    <x v="0"/>
    <x v="0"/>
    <x v="0"/>
    <s v="4505102"/>
    <n v="743030"/>
    <s v="Subscriptions--Institutional"/>
    <s v="Recovery Services"/>
    <x v="0"/>
    <m/>
    <n v="0"/>
    <n v="0"/>
    <n v="0"/>
    <n v="0"/>
    <n v="0"/>
    <n v="232.5"/>
    <n v="389.86"/>
    <n v="0"/>
    <n v="0"/>
    <n v="0"/>
    <n v="163.66999999999999"/>
    <n v="0"/>
    <n v="786.03"/>
    <n v="163.66999999999999"/>
  </r>
  <r>
    <x v="0"/>
    <x v="0"/>
    <x v="0"/>
    <s v="4505102"/>
    <n v="749510"/>
    <s v="Miscellaneous Expenses"/>
    <s v="Recovery Services"/>
    <x v="0"/>
    <m/>
    <n v="-1321.23"/>
    <n v="79.13"/>
    <n v="0"/>
    <n v="0"/>
    <n v="0"/>
    <n v="3229"/>
    <n v="-2005.47"/>
    <n v="-685.28"/>
    <n v="11.43"/>
    <n v="113.42"/>
    <n v="0"/>
    <n v="45.79"/>
    <n v="-533.21"/>
    <n v="-45.79"/>
  </r>
  <r>
    <x v="0"/>
    <x v="0"/>
    <x v="0"/>
    <s v="4505102"/>
    <n v="749510"/>
    <s v="Special Events"/>
    <s v="Recovery Services"/>
    <x v="0"/>
    <n v="4300"/>
    <n v="0"/>
    <n v="0"/>
    <n v="0"/>
    <n v="0"/>
    <n v="0"/>
    <n v="0"/>
    <n v="0"/>
    <n v="124.3"/>
    <n v="0"/>
    <n v="0"/>
    <n v="0"/>
    <n v="0"/>
    <n v="124.3"/>
    <n v="0"/>
  </r>
  <r>
    <x v="0"/>
    <x v="0"/>
    <x v="0"/>
    <s v="4505102"/>
    <n v="749510"/>
    <s v="RICE Rewards"/>
    <s v="Recovery Services"/>
    <x v="0"/>
    <n v="5100"/>
    <n v="0"/>
    <n v="0"/>
    <n v="0"/>
    <n v="0"/>
    <n v="0"/>
    <n v="0"/>
    <n v="1227.8800000000001"/>
    <n v="335.85"/>
    <n v="0"/>
    <n v="0"/>
    <n v="0"/>
    <n v="0"/>
    <n v="1563.73"/>
    <n v="0"/>
  </r>
  <r>
    <x v="0"/>
    <x v="0"/>
    <x v="0"/>
    <s v="4505102"/>
    <n v="749530"/>
    <s v="Travel"/>
    <s v="Recovery Services"/>
    <x v="0"/>
    <m/>
    <n v="0"/>
    <n v="0"/>
    <n v="14"/>
    <n v="0"/>
    <n v="0"/>
    <n v="0"/>
    <n v="0"/>
    <n v="0"/>
    <n v="103.95"/>
    <n v="0"/>
    <n v="0"/>
    <n v="0"/>
    <n v="117.95"/>
    <n v="0"/>
  </r>
  <r>
    <x v="0"/>
    <x v="0"/>
    <x v="0"/>
    <s v="4505102"/>
    <n v="749530"/>
    <s v="Mileage"/>
    <s v="Recovery Services"/>
    <x v="0"/>
    <n v="1001"/>
    <n v="0"/>
    <n v="0"/>
    <n v="27.8"/>
    <n v="0"/>
    <n v="0"/>
    <n v="0"/>
    <n v="0"/>
    <n v="26.68"/>
    <n v="15.66"/>
    <n v="0"/>
    <n v="0"/>
    <n v="0"/>
    <n v="70.14"/>
    <n v="0"/>
  </r>
  <r>
    <x v="18"/>
    <x v="4"/>
    <x v="0"/>
    <s v="4505103"/>
    <n v="400010"/>
    <s v="Acute I/P Svcs Rev--Medicare"/>
    <s v="Recovery Services"/>
    <x v="0"/>
    <n v="1100"/>
    <n v="-152258.68"/>
    <n v="-173198.73"/>
    <n v="-174660.05"/>
    <n v="-189699.48"/>
    <n v="-230736.62"/>
    <n v="-172006.37"/>
    <n v="-184347.69"/>
    <n v="-166978.22"/>
    <n v="-229581.71"/>
    <n v="-161235.07"/>
    <n v="-182146.16"/>
    <n v="-149218.71"/>
    <n v="-2166067.4900000002"/>
    <n v="-32927.450000000012"/>
  </r>
  <r>
    <x v="18"/>
    <x v="4"/>
    <x v="0"/>
    <s v="4505103"/>
    <n v="400010"/>
    <s v="Acute I/P Svcs Rev--Medicaid"/>
    <s v="Recovery Services"/>
    <x v="0"/>
    <n v="1200"/>
    <n v="-55974.44"/>
    <n v="-37206.19"/>
    <n v="-72281.89"/>
    <n v="-47252.94"/>
    <n v="-61014.61"/>
    <n v="-84095.29"/>
    <n v="-70587.37"/>
    <n v="-94819.23"/>
    <n v="-61425.08"/>
    <n v="-89372.87"/>
    <n v="-38822.54"/>
    <n v="-55045.46"/>
    <n v="-767897.90999999992"/>
    <n v="16222.919999999998"/>
  </r>
  <r>
    <x v="18"/>
    <x v="4"/>
    <x v="0"/>
    <s v="4505103"/>
    <n v="400010"/>
    <s v="Acute I/P Svcs Rev--Comm Insurance"/>
    <s v="Recovery Services"/>
    <x v="0"/>
    <n v="1300"/>
    <n v="-20286.28"/>
    <n v="-953.7"/>
    <n v="5808.9"/>
    <n v="-17610.77"/>
    <n v="-3034.5"/>
    <n v="-606.9"/>
    <n v="-31962.240000000002"/>
    <n v="606.9"/>
    <n v="19824.240000000002"/>
    <n v="1122.75"/>
    <n v="-11877.09"/>
    <n v="-15097.05"/>
    <n v="-74065.740000000005"/>
    <n v="3219.9599999999991"/>
  </r>
  <r>
    <x v="18"/>
    <x v="4"/>
    <x v="0"/>
    <s v="4505103"/>
    <n v="400010"/>
    <s v="Acute I/P Svcs Rev--BCBS Comm"/>
    <s v="Recovery Services"/>
    <x v="0"/>
    <n v="1301"/>
    <n v="-10317.299999999999"/>
    <n v="-12080.2"/>
    <n v="-16535.400000000001"/>
    <n v="-28857.26"/>
    <n v="-12138"/>
    <n v="-39448.5"/>
    <n v="-18877.71"/>
    <n v="-20003.52"/>
    <n v="-21253.74"/>
    <n v="-48485.05"/>
    <n v="-6876.21"/>
    <n v="-33864.06"/>
    <n v="-268736.94999999995"/>
    <n v="26987.85"/>
  </r>
  <r>
    <x v="18"/>
    <x v="4"/>
    <x v="0"/>
    <s v="4505103"/>
    <n v="400010"/>
    <s v="Acute I/P Svcs Rev--Managed Care"/>
    <s v="Recovery Services"/>
    <x v="0"/>
    <n v="1400"/>
    <n v="-74788.800000000003"/>
    <n v="-59773.42"/>
    <n v="-25012.76"/>
    <n v="-43787.91"/>
    <n v="-43696.800000000003"/>
    <n v="-50143.8"/>
    <n v="-24406.32"/>
    <n v="-28337.56"/>
    <n v="-41666.400000000001"/>
    <n v="-54700.37"/>
    <n v="-37546.269999999997"/>
    <n v="-8413.5400000000009"/>
    <n v="-492273.95"/>
    <n v="-29132.729999999996"/>
  </r>
  <r>
    <x v="18"/>
    <x v="4"/>
    <x v="0"/>
    <s v="4505103"/>
    <n v="400010"/>
    <s v="Acute I/P Svcs Rev--Self Pay"/>
    <s v="Recovery Services"/>
    <x v="0"/>
    <n v="1500"/>
    <n v="0"/>
    <n v="-14714.7"/>
    <n v="5004.3"/>
    <n v="-3641.4"/>
    <n v="-3034.5"/>
    <n v="-3641.4"/>
    <n v="-3641.4"/>
    <n v="-1250.22"/>
    <n v="-3750.66"/>
    <n v="-21253.74"/>
    <n v="0"/>
    <n v="-7501.32"/>
    <n v="-57425.040000000008"/>
    <n v="7501.32"/>
  </r>
  <r>
    <x v="18"/>
    <x v="4"/>
    <x v="0"/>
    <s v="4505103"/>
    <n v="400010"/>
    <s v="Acute I/P Svcs Rev--Other"/>
    <s v="Recovery Services"/>
    <x v="0"/>
    <n v="1700"/>
    <n v="-25489.8"/>
    <n v="-43028.11"/>
    <n v="-11531.1"/>
    <n v="-43314.6"/>
    <n v="-13351.8"/>
    <n v="-28524.3"/>
    <n v="-33379.5"/>
    <n v="-15070.94"/>
    <n v="-23863.439999999999"/>
    <n v="-10688.94"/>
    <n v="-29200.58"/>
    <n v="-13752.42"/>
    <n v="-291195.52999999997"/>
    <n v="-15448.160000000002"/>
  </r>
  <r>
    <x v="19"/>
    <x v="4"/>
    <x v="0"/>
    <s v="4505103"/>
    <n v="400020"/>
    <s v="O/P Care Svcs Rev--Medicare"/>
    <s v="Recovery Services"/>
    <x v="0"/>
    <n v="1100"/>
    <n v="-328077.03999999998"/>
    <n v="-343289.96"/>
    <n v="-250996.74"/>
    <n v="-466209.56"/>
    <n v="-413514.82"/>
    <n v="-455036.35"/>
    <n v="-338814.93"/>
    <n v="-375031.08"/>
    <n v="-338568.29"/>
    <n v="-490558.96"/>
    <n v="-348685.06"/>
    <n v="-306008.24"/>
    <n v="-4454791.03"/>
    <n v="-42676.820000000007"/>
  </r>
  <r>
    <x v="19"/>
    <x v="4"/>
    <x v="0"/>
    <s v="4505103"/>
    <n v="400020"/>
    <s v="O/P Care Svcs Rev--Medicaid"/>
    <s v="Recovery Services"/>
    <x v="0"/>
    <n v="1200"/>
    <n v="-432613.17"/>
    <n v="-343488.8"/>
    <n v="-206823.9"/>
    <n v="-319036.15000000002"/>
    <n v="-241333.04"/>
    <n v="-318566.67"/>
    <n v="-247546.64"/>
    <n v="-313592.7"/>
    <n v="-253831.97"/>
    <n v="-345139.03"/>
    <n v="-274286.42"/>
    <n v="-258514.1"/>
    <n v="-3554772.5900000003"/>
    <n v="-15772.319999999978"/>
  </r>
  <r>
    <x v="19"/>
    <x v="4"/>
    <x v="0"/>
    <s v="4505103"/>
    <n v="400020"/>
    <s v="O/P Care Svcs Rev--Comm Insurance"/>
    <s v="Recovery Services"/>
    <x v="0"/>
    <n v="1300"/>
    <n v="-21491.87"/>
    <n v="-1927.6"/>
    <n v="-50878.49"/>
    <n v="-40590.99"/>
    <n v="-44805.59"/>
    <n v="-36445.440000000002"/>
    <n v="-17430.400000000001"/>
    <n v="-51846.559999999998"/>
    <n v="-75734.25"/>
    <n v="-31008.84"/>
    <n v="-34469.9"/>
    <n v="-48488.41"/>
    <n v="-455118.33999999997"/>
    <n v="14018.510000000002"/>
  </r>
  <r>
    <x v="19"/>
    <x v="4"/>
    <x v="0"/>
    <s v="4505103"/>
    <n v="400020"/>
    <s v="O/P Care Svcs Rev--BCBS Comm"/>
    <s v="Recovery Services"/>
    <x v="0"/>
    <n v="1301"/>
    <n v="-76177.86"/>
    <n v="-93051.35"/>
    <n v="-34937.89"/>
    <n v="-54669"/>
    <n v="-210951.13"/>
    <n v="-161069.87"/>
    <n v="-81804.36"/>
    <n v="-97585.73"/>
    <n v="-59692.45"/>
    <n v="-61449.64"/>
    <n v="-119216.17"/>
    <n v="-86578.08"/>
    <n v="-1137183.53"/>
    <n v="-32638.089999999997"/>
  </r>
  <r>
    <x v="19"/>
    <x v="4"/>
    <x v="0"/>
    <s v="4505103"/>
    <n v="400020"/>
    <s v="O/P Care Svcs Rev--Managed Care"/>
    <s v="Recovery Services"/>
    <x v="0"/>
    <n v="1400"/>
    <n v="-214797.71"/>
    <n v="-331491.69"/>
    <n v="-191290.14"/>
    <n v="-267303.27"/>
    <n v="-288345.18"/>
    <n v="-409761.12"/>
    <n v="-226890.51"/>
    <n v="-286270.53000000003"/>
    <n v="-200544"/>
    <n v="-249794.55"/>
    <n v="-406619.28"/>
    <n v="-219356.36"/>
    <n v="-3292464.3399999994"/>
    <n v="-187262.92000000004"/>
  </r>
  <r>
    <x v="19"/>
    <x v="4"/>
    <x v="0"/>
    <s v="4505103"/>
    <n v="400020"/>
    <s v="O/P Care Svcs Rev--Self Pay"/>
    <s v="Recovery Services"/>
    <x v="0"/>
    <n v="1500"/>
    <n v="-13999.7"/>
    <n v="-21736.18"/>
    <n v="-16506.87"/>
    <n v="-15796.9"/>
    <n v="-14095.41"/>
    <n v="-46159.17"/>
    <n v="-24373.73"/>
    <n v="0"/>
    <n v="-1207.9000000000001"/>
    <n v="-19321.23"/>
    <n v="99.35"/>
    <n v="-11294.21"/>
    <n v="-184391.94999999998"/>
    <n v="11393.56"/>
  </r>
  <r>
    <x v="19"/>
    <x v="4"/>
    <x v="0"/>
    <s v="4505103"/>
    <n v="400020"/>
    <s v="O/P Care Svcs Rev--Other"/>
    <s v="Recovery Services"/>
    <x v="0"/>
    <n v="1700"/>
    <n v="-182565.7"/>
    <n v="-162135.56"/>
    <n v="-94341.69"/>
    <n v="-196649.87"/>
    <n v="-105434.2"/>
    <n v="-200956.12"/>
    <n v="-109498.86"/>
    <n v="-65765.820000000007"/>
    <n v="-166170.94"/>
    <n v="-133324.17000000001"/>
    <n v="-133623.32999999999"/>
    <n v="-137050.19"/>
    <n v="-1687516.45"/>
    <n v="3426.8600000000151"/>
  </r>
  <r>
    <x v="5"/>
    <x v="4"/>
    <x v="0"/>
    <s v="4505103"/>
    <n v="700014"/>
    <s v="Salaries-Management-Productive"/>
    <s v="Recovery Services"/>
    <x v="0"/>
    <m/>
    <n v="11299.97"/>
    <n v="11834.99"/>
    <n v="10079.01"/>
    <n v="12403.25"/>
    <n v="11768.26"/>
    <n v="7375.2"/>
    <n v="-392.12"/>
    <n v="0"/>
    <n v="0"/>
    <n v="0"/>
    <n v="0"/>
    <n v="0"/>
    <n v="64368.56"/>
    <n v="0"/>
  </r>
  <r>
    <x v="5"/>
    <x v="4"/>
    <x v="0"/>
    <s v="4505103"/>
    <n v="700026"/>
    <s v="Salaries-RN-Productive"/>
    <s v="Recovery Services"/>
    <x v="0"/>
    <m/>
    <n v="94418.67"/>
    <n v="95036.02"/>
    <n v="95528.98"/>
    <n v="96753.35"/>
    <n v="97616.31"/>
    <n v="110383.24"/>
    <n v="99454.19"/>
    <n v="81563.179999999993"/>
    <n v="95675.78"/>
    <n v="98998.46"/>
    <n v="106578.19"/>
    <n v="72616.56"/>
    <n v="1144622.93"/>
    <n v="33961.630000000005"/>
  </r>
  <r>
    <x v="5"/>
    <x v="4"/>
    <x v="0"/>
    <s v="4505103"/>
    <n v="700026"/>
    <s v="Salaries-RN-OT"/>
    <s v="Recovery Services"/>
    <x v="0"/>
    <n v="1000"/>
    <n v="1728.12"/>
    <n v="1056.8800000000001"/>
    <n v="1519.92"/>
    <n v="763.86"/>
    <n v="1489.21"/>
    <n v="4324.7"/>
    <n v="1590.62"/>
    <n v="887.41"/>
    <n v="1226.73"/>
    <n v="899.98"/>
    <n v="970.97"/>
    <n v="1987.48"/>
    <n v="18445.879999999997"/>
    <n v="-1016.51"/>
  </r>
  <r>
    <x v="5"/>
    <x v="4"/>
    <x v="0"/>
    <s v="4505103"/>
    <n v="700026"/>
    <s v="Salaries-RN-Other"/>
    <s v="Recovery Services"/>
    <x v="0"/>
    <n v="2000"/>
    <n v="6469.39"/>
    <n v="6303.62"/>
    <n v="6736.07"/>
    <n v="6077.3"/>
    <n v="5416.5"/>
    <n v="7437.98"/>
    <n v="6594.35"/>
    <n v="5075.34"/>
    <n v="6391.8"/>
    <n v="6297.69"/>
    <n v="5831.94"/>
    <n v="5151.7"/>
    <n v="73783.680000000008"/>
    <n v="680.23999999999978"/>
  </r>
  <r>
    <x v="5"/>
    <x v="4"/>
    <x v="0"/>
    <s v="4505103"/>
    <n v="700032"/>
    <s v="Salaries-Other Pat Care Providers-Productive"/>
    <s v="Recovery Services"/>
    <x v="0"/>
    <m/>
    <n v="4552.22"/>
    <n v="1554.38"/>
    <n v="2885.1"/>
    <n v="6789.78"/>
    <n v="2190.38"/>
    <n v="3517.61"/>
    <n v="3935.88"/>
    <n v="3337.21"/>
    <n v="4652.6899999999996"/>
    <n v="4367.8999999999996"/>
    <n v="3516.94"/>
    <n v="3132.72"/>
    <n v="44432.810000000005"/>
    <n v="384.22000000000025"/>
  </r>
  <r>
    <x v="5"/>
    <x v="4"/>
    <x v="0"/>
    <s v="4505103"/>
    <n v="700032"/>
    <s v="Salaries-Other Pat Care Providers-OT"/>
    <s v="Recovery Services"/>
    <x v="0"/>
    <n v="1000"/>
    <n v="14.72"/>
    <n v="6.66"/>
    <n v="23.95"/>
    <n v="42.72"/>
    <n v="-13.83"/>
    <n v="14.27"/>
    <n v="-0.95"/>
    <n v="0"/>
    <n v="214.44"/>
    <n v="-11.49"/>
    <n v="6.8"/>
    <n v="57.78"/>
    <n v="355.07000000000005"/>
    <n v="-50.980000000000004"/>
  </r>
  <r>
    <x v="5"/>
    <x v="4"/>
    <x v="0"/>
    <s v="4505103"/>
    <n v="700032"/>
    <s v="Salaries-Other Pat Care Providers-Other"/>
    <s v="Recovery Services"/>
    <x v="0"/>
    <n v="2000"/>
    <n v="0"/>
    <n v="1.85"/>
    <n v="30"/>
    <n v="337.18"/>
    <n v="278.63"/>
    <n v="281.51"/>
    <n v="152.93"/>
    <n v="42.07"/>
    <n v="129.81"/>
    <n v="52.61"/>
    <n v="-14.76"/>
    <n v="0"/>
    <n v="1291.83"/>
    <n v="-14.76"/>
  </r>
  <r>
    <x v="5"/>
    <x v="4"/>
    <x v="0"/>
    <s v="4505103"/>
    <n v="700038"/>
    <s v="Salaries-Service/Support-Productive"/>
    <s v="Recovery Services"/>
    <x v="0"/>
    <m/>
    <n v="2181.4899999999998"/>
    <n v="3912.1"/>
    <n v="3488.52"/>
    <n v="-993.32"/>
    <n v="3370.68"/>
    <n v="2970.24"/>
    <n v="2666.42"/>
    <n v="442.86"/>
    <n v="-90.41"/>
    <n v="0"/>
    <n v="0"/>
    <n v="0"/>
    <n v="17948.580000000002"/>
    <n v="0"/>
  </r>
  <r>
    <x v="5"/>
    <x v="4"/>
    <x v="0"/>
    <s v="4505103"/>
    <n v="700038"/>
    <s v="Salaries-Service/Support-OT"/>
    <s v="Recovery Services"/>
    <x v="0"/>
    <n v="1000"/>
    <n v="39.58"/>
    <n v="48.9"/>
    <n v="54.71"/>
    <n v="-4.6500000000000004"/>
    <n v="13.07"/>
    <n v="8.23"/>
    <n v="17.440000000000001"/>
    <n v="11.17"/>
    <n v="-2.42"/>
    <n v="0"/>
    <n v="0"/>
    <n v="0"/>
    <n v="186.02999999999997"/>
    <n v="0"/>
  </r>
  <r>
    <x v="5"/>
    <x v="4"/>
    <x v="0"/>
    <s v="4505103"/>
    <n v="700054"/>
    <s v="Salaries-Management-Non-productive"/>
    <s v="Recovery Services"/>
    <x v="0"/>
    <m/>
    <n v="534.48"/>
    <n v="0"/>
    <n v="1374.36"/>
    <n v="-305.39999999999998"/>
    <n v="0"/>
    <n v="1647.6"/>
    <n v="0"/>
    <n v="0"/>
    <n v="0"/>
    <n v="0"/>
    <n v="0"/>
    <n v="0"/>
    <n v="3251.04"/>
    <n v="0"/>
  </r>
  <r>
    <x v="5"/>
    <x v="4"/>
    <x v="0"/>
    <s v="4505103"/>
    <n v="700054"/>
    <s v="Salaries-Management-NonProd-Other"/>
    <s v="Recovery Services"/>
    <x v="0"/>
    <n v="2000"/>
    <n v="0"/>
    <n v="0"/>
    <n v="0"/>
    <n v="0"/>
    <n v="0"/>
    <n v="495.85"/>
    <n v="-495.85"/>
    <n v="0"/>
    <n v="0"/>
    <n v="0"/>
    <n v="0"/>
    <n v="0"/>
    <n v="0"/>
    <n v="0"/>
  </r>
  <r>
    <x v="5"/>
    <x v="4"/>
    <x v="0"/>
    <s v="4505103"/>
    <n v="700066"/>
    <s v="Salaries-RN-Non-productive"/>
    <s v="Recovery Services"/>
    <x v="0"/>
    <m/>
    <n v="12286.45"/>
    <n v="11960.06"/>
    <n v="12958.15"/>
    <n v="17510.25"/>
    <n v="8046.17"/>
    <n v="11283.28"/>
    <n v="13870.48"/>
    <n v="17947.189999999999"/>
    <n v="11304.07"/>
    <n v="16075.24"/>
    <n v="10299.209999999999"/>
    <n v="25856.400000000001"/>
    <n v="169396.94999999998"/>
    <n v="-15557.190000000002"/>
  </r>
  <r>
    <x v="5"/>
    <x v="4"/>
    <x v="0"/>
    <s v="4505103"/>
    <n v="700066"/>
    <s v="Salaries-RN-NonProd-Other"/>
    <s v="Recovery Services"/>
    <x v="0"/>
    <n v="2000"/>
    <n v="990.64"/>
    <n v="1834.13"/>
    <n v="795.49"/>
    <n v="1904.83"/>
    <n v="3318.8"/>
    <n v="3613.3"/>
    <n v="1410.79"/>
    <n v="-3998.75"/>
    <n v="1020.81"/>
    <n v="1226.5"/>
    <n v="504.35"/>
    <n v="2319.66"/>
    <n v="14940.55"/>
    <n v="-1815.31"/>
  </r>
  <r>
    <x v="5"/>
    <x v="4"/>
    <x v="0"/>
    <s v="4505103"/>
    <n v="700072"/>
    <s v="Salaries-Other Pat Care Providers-Non-productive"/>
    <s v="Recovery Services"/>
    <x v="0"/>
    <m/>
    <n v="49.5"/>
    <n v="479.79"/>
    <n v="119.95"/>
    <n v="313.5"/>
    <n v="121.86"/>
    <n v="909.18"/>
    <n v="475.92"/>
    <n v="635.83000000000004"/>
    <n v="477.08"/>
    <n v="740.83"/>
    <n v="357.04"/>
    <n v="262.67"/>
    <n v="4943.1499999999996"/>
    <n v="94.37"/>
  </r>
  <r>
    <x v="5"/>
    <x v="4"/>
    <x v="0"/>
    <s v="4505103"/>
    <n v="700078"/>
    <s v="Salaries-Service/Support-Non-productive"/>
    <s v="Recovery Services"/>
    <x v="0"/>
    <m/>
    <n v="1667.67"/>
    <n v="-62.76"/>
    <n v="236.71"/>
    <n v="0"/>
    <n v="851.69"/>
    <n v="228.67"/>
    <n v="370.49"/>
    <n v="157.29"/>
    <n v="0"/>
    <n v="0"/>
    <n v="0"/>
    <n v="0"/>
    <n v="3449.76"/>
    <n v="0"/>
  </r>
  <r>
    <x v="5"/>
    <x v="4"/>
    <x v="0"/>
    <s v="4505103"/>
    <n v="700078"/>
    <s v="Salaries-Service/Support-NonProd-Other"/>
    <s v="Recovery Services"/>
    <x v="0"/>
    <n v="2000"/>
    <n v="0"/>
    <n v="0"/>
    <n v="0"/>
    <n v="0"/>
    <n v="466.93"/>
    <n v="0"/>
    <n v="0"/>
    <n v="-466.93"/>
    <n v="0"/>
    <n v="0"/>
    <n v="0"/>
    <n v="0"/>
    <n v="0"/>
    <n v="0"/>
  </r>
  <r>
    <x v="5"/>
    <x v="4"/>
    <x v="0"/>
    <s v="4505103"/>
    <n v="700084"/>
    <s v="Accrued PTO"/>
    <s v="Recovery Services"/>
    <x v="0"/>
    <m/>
    <n v="742.82"/>
    <n v="1869.72"/>
    <n v="-448.01"/>
    <n v="1439.54"/>
    <n v="4253.8500000000004"/>
    <n v="1778.91"/>
    <n v="-959.8"/>
    <n v="-1224.48"/>
    <n v="2102.87"/>
    <n v="-1894.28"/>
    <n v="2582.36"/>
    <n v="-8978.58"/>
    <n v="1264.9200000000019"/>
    <n v="11560.94"/>
  </r>
  <r>
    <x v="10"/>
    <x v="4"/>
    <x v="0"/>
    <s v="4505103"/>
    <n v="710060"/>
    <s v="Contract Labor-Other"/>
    <s v="Recovery Services"/>
    <x v="0"/>
    <m/>
    <n v="11882.25"/>
    <n v="4177.8"/>
    <n v="14390.38"/>
    <n v="9287.69"/>
    <n v="11335.44"/>
    <n v="2618.69"/>
    <n v="0"/>
    <n v="0"/>
    <n v="0"/>
    <n v="0"/>
    <n v="0"/>
    <n v="0"/>
    <n v="53692.250000000007"/>
    <n v="0"/>
  </r>
  <r>
    <x v="10"/>
    <x v="4"/>
    <x v="0"/>
    <s v="4505103"/>
    <n v="710060"/>
    <s v="Contract Labor-Overtime"/>
    <s v="Recovery Services"/>
    <x v="0"/>
    <n v="5100"/>
    <n v="247.22"/>
    <n v="1804.75"/>
    <n v="395.56"/>
    <n v="1137.23"/>
    <n v="2694.75"/>
    <n v="0"/>
    <n v="0"/>
    <n v="0"/>
    <n v="0"/>
    <n v="0"/>
    <n v="0"/>
    <n v="0"/>
    <n v="6279.51"/>
    <n v="0"/>
  </r>
  <r>
    <x v="10"/>
    <x v="4"/>
    <x v="0"/>
    <s v="4505103"/>
    <n v="710060"/>
    <s v="Contract Labor-Standby Wages"/>
    <s v="Recovery Services"/>
    <x v="0"/>
    <n v="5101"/>
    <n v="352"/>
    <n v="418"/>
    <n v="484"/>
    <n v="730"/>
    <n v="614"/>
    <n v="0"/>
    <n v="0"/>
    <n v="0"/>
    <n v="0"/>
    <n v="0"/>
    <n v="0"/>
    <n v="0"/>
    <n v="2598"/>
    <n v="0"/>
  </r>
  <r>
    <x v="6"/>
    <x v="4"/>
    <x v="0"/>
    <s v="4505103"/>
    <n v="713010"/>
    <s v="Benefits-FICA/Medicare"/>
    <s v="Recovery Services"/>
    <x v="0"/>
    <m/>
    <n v="10226.969999999999"/>
    <n v="10130.11"/>
    <n v="10614.38"/>
    <n v="10573.29"/>
    <n v="10463.91"/>
    <n v="10631.55"/>
    <n v="10221.14"/>
    <n v="8208.7199999999993"/>
    <n v="8975.7199999999993"/>
    <n v="9565.15"/>
    <n v="9580.61"/>
    <n v="8220.6"/>
    <n v="117412.15000000001"/>
    <n v="1360.0100000000002"/>
  </r>
  <r>
    <x v="6"/>
    <x v="4"/>
    <x v="0"/>
    <s v="4505103"/>
    <n v="713090"/>
    <s v="Benefits-Allocated Amounts"/>
    <s v="Recovery Services"/>
    <x v="0"/>
    <m/>
    <n v="22023.919999999998"/>
    <n v="18478.66"/>
    <n v="20639.52"/>
    <n v="20923.32"/>
    <n v="21068.3"/>
    <n v="23064.76"/>
    <n v="21588.57"/>
    <n v="19147.52"/>
    <n v="18958.71"/>
    <n v="22089.63"/>
    <n v="21180.58"/>
    <n v="18798.3"/>
    <n v="247961.78999999998"/>
    <n v="2382.2800000000025"/>
  </r>
  <r>
    <x v="21"/>
    <x v="4"/>
    <x v="0"/>
    <s v="4505103"/>
    <n v="716026"/>
    <s v="Consulting-Clinical"/>
    <s v="Recovery Services"/>
    <x v="0"/>
    <m/>
    <n v="0"/>
    <n v="328"/>
    <n v="0"/>
    <n v="0"/>
    <n v="0"/>
    <n v="0"/>
    <n v="0"/>
    <n v="0"/>
    <n v="0"/>
    <n v="0"/>
    <n v="0"/>
    <n v="0"/>
    <n v="328"/>
    <n v="0"/>
  </r>
  <r>
    <x v="7"/>
    <x v="4"/>
    <x v="0"/>
    <s v="4505103"/>
    <n v="718050"/>
    <s v="Contract Svcs-Other"/>
    <s v="Recovery Services"/>
    <x v="0"/>
    <m/>
    <n v="0"/>
    <n v="0"/>
    <n v="0"/>
    <n v="0"/>
    <n v="0"/>
    <n v="648"/>
    <n v="0"/>
    <n v="0"/>
    <n v="0"/>
    <n v="0"/>
    <n v="549.5"/>
    <n v="0"/>
    <n v="1197.5"/>
    <n v="549.5"/>
  </r>
  <r>
    <x v="7"/>
    <x v="4"/>
    <x v="0"/>
    <s v="4505103"/>
    <n v="718050"/>
    <s v="Document Shredding/Storage"/>
    <s v="Recovery Services"/>
    <x v="0"/>
    <n v="1012"/>
    <n v="1.21"/>
    <n v="1.22"/>
    <n v="1.1499999999999999"/>
    <n v="1.18"/>
    <n v="1.21"/>
    <n v="1.21"/>
    <n v="1.19"/>
    <n v="1.04"/>
    <n v="1.07"/>
    <n v="1.4"/>
    <n v="1.18"/>
    <n v="1.21"/>
    <n v="14.27"/>
    <n v="-3.0000000000000027E-2"/>
  </r>
  <r>
    <x v="7"/>
    <x v="4"/>
    <x v="0"/>
    <s v="4505103"/>
    <n v="718050"/>
    <s v="Translation Services"/>
    <s v="Recovery Services"/>
    <x v="0"/>
    <n v="1025"/>
    <n v="196.83"/>
    <n v="760.37"/>
    <n v="25.11"/>
    <n v="458.07"/>
    <n v="120.87"/>
    <n v="728"/>
    <n v="1062.76"/>
    <n v="1008.34"/>
    <n v="1023.61"/>
    <n v="384.41"/>
    <n v="1195.5"/>
    <n v="217.16"/>
    <n v="7181.03"/>
    <n v="978.34"/>
  </r>
  <r>
    <x v="7"/>
    <x v="4"/>
    <x v="0"/>
    <s v="4505103"/>
    <n v="718050"/>
    <s v="Contract Management--Linen"/>
    <s v="Recovery Services"/>
    <x v="0"/>
    <n v="1026"/>
    <n v="1771.11"/>
    <n v="1145.8"/>
    <n v="1089.68"/>
    <n v="1467.17"/>
    <n v="1188.01"/>
    <n v="1332.33"/>
    <n v="1121.29"/>
    <n v="1576.66"/>
    <n v="1209.0999999999999"/>
    <n v="2642.61"/>
    <n v="1304.07"/>
    <n v="1385.36"/>
    <n v="17233.189999999999"/>
    <n v="-81.289999999999964"/>
  </r>
  <r>
    <x v="11"/>
    <x v="4"/>
    <x v="0"/>
    <s v="4505103"/>
    <n v="721010"/>
    <s v="Supplies-Medical - Billable"/>
    <s v="Recovery Services"/>
    <x v="0"/>
    <m/>
    <n v="4293.66"/>
    <n v="4083.03"/>
    <n v="2917.23"/>
    <n v="4311.5600000000004"/>
    <n v="5167.8900000000003"/>
    <n v="4573.5600000000004"/>
    <n v="4555.87"/>
    <n v="3319.3"/>
    <n v="4721.41"/>
    <n v="4158.5600000000004"/>
    <n v="3415.79"/>
    <n v="3519.41"/>
    <n v="49037.26999999999"/>
    <n v="-103.61999999999989"/>
  </r>
  <r>
    <x v="11"/>
    <x v="4"/>
    <x v="0"/>
    <s v="4505103"/>
    <n v="721010"/>
    <s v="Patient Monitoring"/>
    <s v="Recovery Services"/>
    <x v="0"/>
    <n v="1000"/>
    <n v="23.76"/>
    <n v="8.4"/>
    <n v="6.72"/>
    <n v="315.99"/>
    <n v="26"/>
    <n v="17.16"/>
    <n v="13.24"/>
    <n v="31.81"/>
    <n v="13.08"/>
    <n v="121.94"/>
    <n v="168.59"/>
    <n v="24.74"/>
    <n v="771.43000000000006"/>
    <n v="143.85"/>
  </r>
  <r>
    <x v="11"/>
    <x v="4"/>
    <x v="0"/>
    <s v="4505103"/>
    <n v="721020"/>
    <s v="Supplies-Surgical - Billable"/>
    <s v="Recovery Services"/>
    <x v="0"/>
    <m/>
    <n v="0"/>
    <n v="3.4"/>
    <n v="0"/>
    <n v="7.66"/>
    <n v="9.3000000000000007"/>
    <n v="2.5299999999999998"/>
    <n v="1.44"/>
    <n v="13.06"/>
    <n v="5.82"/>
    <n v="3.07"/>
    <n v="6.5"/>
    <n v="0"/>
    <n v="52.78"/>
    <n v="6.5"/>
  </r>
  <r>
    <x v="11"/>
    <x v="4"/>
    <x v="0"/>
    <s v="4505103"/>
    <n v="721020"/>
    <s v="Tubes Drains &amp; Related Supplies"/>
    <s v="Recovery Services"/>
    <x v="0"/>
    <n v="1008"/>
    <n v="0"/>
    <n v="0"/>
    <n v="0"/>
    <n v="0"/>
    <n v="13.43"/>
    <n v="0"/>
    <n v="0"/>
    <n v="0"/>
    <n v="0"/>
    <n v="0"/>
    <n v="0"/>
    <n v="1.46"/>
    <n v="14.89"/>
    <n v="-1.46"/>
  </r>
  <r>
    <x v="11"/>
    <x v="4"/>
    <x v="0"/>
    <s v="4505103"/>
    <n v="721240"/>
    <s v="Supplies-IV Solutions/Supplies - Billable"/>
    <s v="Recovery Services"/>
    <x v="0"/>
    <m/>
    <n v="933.14"/>
    <n v="1106.51"/>
    <n v="666.85"/>
    <n v="1188.4000000000001"/>
    <n v="1059.99"/>
    <n v="1199.79"/>
    <n v="1004.74"/>
    <n v="884.42"/>
    <n v="1013.45"/>
    <n v="954.2"/>
    <n v="1084.5"/>
    <n v="823.54"/>
    <n v="11919.530000000002"/>
    <n v="260.96000000000004"/>
  </r>
  <r>
    <x v="11"/>
    <x v="4"/>
    <x v="0"/>
    <s v="4505103"/>
    <n v="721250"/>
    <s v="Supplies-Pharmacy Drugs - Billable"/>
    <s v="Recovery Services"/>
    <x v="0"/>
    <m/>
    <n v="0"/>
    <n v="0"/>
    <n v="5.4"/>
    <n v="0"/>
    <n v="0"/>
    <n v="0"/>
    <n v="0"/>
    <n v="0"/>
    <n v="0"/>
    <n v="0"/>
    <n v="0"/>
    <n v="0"/>
    <n v="5.4"/>
    <n v="0"/>
  </r>
  <r>
    <x v="11"/>
    <x v="4"/>
    <x v="0"/>
    <s v="4505103"/>
    <n v="721410"/>
    <s v="Supplies-Medical - Nonbillable"/>
    <s v="Recovery Services"/>
    <x v="0"/>
    <m/>
    <n v="5671.84"/>
    <n v="5655.99"/>
    <n v="5168.6400000000003"/>
    <n v="6868.76"/>
    <n v="7353.45"/>
    <n v="6508.34"/>
    <n v="5786.75"/>
    <n v="4781.68"/>
    <n v="6918.49"/>
    <n v="5245.46"/>
    <n v="6137.62"/>
    <n v="4977.2299999999996"/>
    <n v="71074.25"/>
    <n v="1160.3900000000003"/>
  </r>
  <r>
    <x v="11"/>
    <x v="4"/>
    <x v="0"/>
    <s v="4505103"/>
    <n v="721410"/>
    <s v="Patient Monitoring"/>
    <s v="Recovery Services"/>
    <x v="0"/>
    <n v="1000"/>
    <n v="1080.78"/>
    <n v="13.47"/>
    <n v="0"/>
    <n v="86.5"/>
    <n v="8.98"/>
    <n v="4.49"/>
    <n v="4.49"/>
    <n v="8.98"/>
    <n v="0"/>
    <n v="14.38"/>
    <n v="651.9"/>
    <n v="4.49"/>
    <n v="1878.4600000000003"/>
    <n v="647.41"/>
  </r>
  <r>
    <x v="11"/>
    <x v="4"/>
    <x v="0"/>
    <s v="4505103"/>
    <n v="721420"/>
    <s v="Supplies-Surgical Nonbillable"/>
    <s v="Recovery Services"/>
    <x v="0"/>
    <m/>
    <n v="205.87"/>
    <n v="201.72"/>
    <n v="155.83000000000001"/>
    <n v="324.77999999999997"/>
    <n v="272.02"/>
    <n v="216.23"/>
    <n v="251.35"/>
    <n v="276.60000000000002"/>
    <n v="289.14"/>
    <n v="192.88"/>
    <n v="281.97000000000003"/>
    <n v="191.83"/>
    <n v="2860.2200000000003"/>
    <n v="90.140000000000015"/>
  </r>
  <r>
    <x v="11"/>
    <x v="4"/>
    <x v="0"/>
    <s v="4505103"/>
    <n v="721420"/>
    <s v="Tubes Drains &amp; Related Supplies"/>
    <s v="Recovery Services"/>
    <x v="0"/>
    <n v="1008"/>
    <n v="0"/>
    <n v="12.7"/>
    <n v="0"/>
    <n v="0"/>
    <n v="1.59"/>
    <n v="0"/>
    <n v="5.25"/>
    <n v="0"/>
    <n v="0"/>
    <n v="11.05"/>
    <n v="0"/>
    <n v="0"/>
    <n v="30.59"/>
    <n v="0"/>
  </r>
  <r>
    <x v="11"/>
    <x v="4"/>
    <x v="0"/>
    <s v="4505103"/>
    <n v="721610"/>
    <s v="Supplies-Anesthesia - Nonbillable"/>
    <s v="Recovery Services"/>
    <x v="0"/>
    <m/>
    <n v="318.44"/>
    <n v="286.67"/>
    <n v="247.86"/>
    <n v="298.83999999999997"/>
    <n v="298.52"/>
    <n v="276.63"/>
    <n v="259.44"/>
    <n v="750.34"/>
    <n v="641.04"/>
    <n v="499.03"/>
    <n v="590.91"/>
    <n v="254.03"/>
    <n v="4721.75"/>
    <n v="336.88"/>
  </r>
  <r>
    <x v="11"/>
    <x v="4"/>
    <x v="0"/>
    <s v="4505103"/>
    <n v="721640"/>
    <s v="Supplies-IV Solutions/Supplies - Nonbillable"/>
    <s v="Recovery Services"/>
    <x v="0"/>
    <m/>
    <n v="1728.26"/>
    <n v="1643.85"/>
    <n v="1480.59"/>
    <n v="1771.08"/>
    <n v="1762.64"/>
    <n v="1648.36"/>
    <n v="1830.87"/>
    <n v="1432.98"/>
    <n v="1584.88"/>
    <n v="1734.78"/>
    <n v="1616.59"/>
    <n v="1313.34"/>
    <n v="19548.22"/>
    <n v="303.25"/>
  </r>
  <r>
    <x v="11"/>
    <x v="4"/>
    <x v="0"/>
    <s v="4505103"/>
    <n v="721710"/>
    <s v="Supplies-Laboratory - Nonbillable"/>
    <s v="Recovery Services"/>
    <x v="0"/>
    <m/>
    <n v="97.86"/>
    <n v="98.47"/>
    <n v="110.18"/>
    <n v="181.44"/>
    <n v="99.23"/>
    <n v="134.88999999999999"/>
    <n v="100.79"/>
    <n v="117.21"/>
    <n v="117.13"/>
    <n v="89.94"/>
    <n v="102.6"/>
    <n v="89.18"/>
    <n v="1338.9199999999998"/>
    <n v="13.419999999999987"/>
  </r>
  <r>
    <x v="11"/>
    <x v="4"/>
    <x v="0"/>
    <s v="4505103"/>
    <n v="721810"/>
    <s v="Supplies-Dietary/Cafeteria"/>
    <s v="Recovery Services"/>
    <x v="0"/>
    <m/>
    <n v="179.03"/>
    <n v="146.63"/>
    <n v="242.83"/>
    <n v="167.05"/>
    <n v="200.29"/>
    <n v="218.36"/>
    <n v="196.41"/>
    <n v="238.37"/>
    <n v="67.92"/>
    <n v="385.8"/>
    <n v="98.52"/>
    <n v="199.61"/>
    <n v="2340.8200000000006"/>
    <n v="-101.09000000000002"/>
  </r>
  <r>
    <x v="11"/>
    <x v="4"/>
    <x v="0"/>
    <s v="4505103"/>
    <n v="721830"/>
    <s v="Supplies-Office"/>
    <s v="Recovery Services"/>
    <x v="0"/>
    <m/>
    <n v="8.6"/>
    <n v="0"/>
    <n v="95.51"/>
    <n v="590.37"/>
    <n v="39.89"/>
    <n v="194.59"/>
    <n v="181.2"/>
    <n v="78.849999999999994"/>
    <n v="0"/>
    <n v="1130.44"/>
    <n v="31.64"/>
    <n v="0"/>
    <n v="2351.0899999999997"/>
    <n v="31.64"/>
  </r>
  <r>
    <x v="11"/>
    <x v="4"/>
    <x v="0"/>
    <s v="4505103"/>
    <n v="721835"/>
    <s v="Supplies-Forms"/>
    <s v="Recovery Services"/>
    <x v="0"/>
    <m/>
    <n v="0"/>
    <n v="0"/>
    <n v="0"/>
    <n v="0"/>
    <n v="507.65"/>
    <n v="0"/>
    <n v="29.2"/>
    <n v="0"/>
    <n v="93.65"/>
    <n v="41"/>
    <n v="0"/>
    <n v="0"/>
    <n v="671.5"/>
    <n v="0"/>
  </r>
  <r>
    <x v="11"/>
    <x v="4"/>
    <x v="0"/>
    <s v="4505103"/>
    <n v="721870"/>
    <s v="Supplies-Environmental Services"/>
    <s v="Recovery Services"/>
    <x v="0"/>
    <m/>
    <n v="211.27"/>
    <n v="241.98"/>
    <n v="183.95"/>
    <n v="220.9"/>
    <n v="141.51"/>
    <n v="145.59"/>
    <n v="268.38"/>
    <n v="236.62"/>
    <n v="185.31"/>
    <n v="203.31"/>
    <n v="305.14999999999998"/>
    <n v="188.59"/>
    <n v="2532.56"/>
    <n v="116.55999999999997"/>
  </r>
  <r>
    <x v="11"/>
    <x v="4"/>
    <x v="0"/>
    <s v="4505103"/>
    <n v="721910"/>
    <s v="Supplies-Small Equipment"/>
    <s v="Recovery Services"/>
    <x v="0"/>
    <m/>
    <n v="98.41"/>
    <n v="74.260000000000005"/>
    <n v="273.3"/>
    <n v="914.97"/>
    <n v="92.75"/>
    <n v="218.86"/>
    <n v="40.99"/>
    <n v="137.66999999999999"/>
    <n v="47.9"/>
    <n v="46.64"/>
    <n v="44.15"/>
    <n v="81.739999999999995"/>
    <n v="2071.6400000000003"/>
    <n v="-37.589999999999996"/>
  </r>
  <r>
    <x v="11"/>
    <x v="4"/>
    <x v="0"/>
    <s v="4505103"/>
    <n v="721910"/>
    <s v="Instruments"/>
    <s v="Recovery Services"/>
    <x v="0"/>
    <n v="1000"/>
    <n v="0"/>
    <n v="0.89"/>
    <n v="0"/>
    <n v="0"/>
    <n v="0"/>
    <n v="0"/>
    <n v="0"/>
    <n v="0"/>
    <n v="0"/>
    <n v="0"/>
    <n v="616.14"/>
    <n v="0"/>
    <n v="617.03"/>
    <n v="616.14"/>
  </r>
  <r>
    <x v="11"/>
    <x v="4"/>
    <x v="0"/>
    <s v="4505103"/>
    <n v="722000"/>
    <s v="Supplies-Freight Expense"/>
    <s v="Recovery Services"/>
    <x v="0"/>
    <m/>
    <n v="0"/>
    <n v="7.93"/>
    <n v="34.46"/>
    <n v="16.47"/>
    <n v="32"/>
    <n v="0"/>
    <n v="0"/>
    <n v="0"/>
    <n v="8.23"/>
    <n v="0"/>
    <n v="0"/>
    <n v="0"/>
    <n v="99.09"/>
    <n v="0"/>
  </r>
  <r>
    <x v="12"/>
    <x v="4"/>
    <x v="0"/>
    <s v="4505103"/>
    <n v="730020"/>
    <s v="Rental and Leases-Copier Usage Fees (DO NOT USE)"/>
    <s v="Recovery Services"/>
    <x v="0"/>
    <n v="5100"/>
    <n v="156.97"/>
    <n v="164.12"/>
    <n v="160.54"/>
    <n v="160.54"/>
    <n v="160.54"/>
    <n v="160.54"/>
    <n v="-214.38"/>
    <n v="117.07"/>
    <n v="116.83"/>
    <n v="148.9"/>
    <n v="87.3"/>
    <n v="106.28"/>
    <n v="1325.2499999999998"/>
    <n v="-18.980000000000004"/>
  </r>
  <r>
    <x v="15"/>
    <x v="4"/>
    <x v="0"/>
    <s v="4505103"/>
    <n v="731060"/>
    <s v="Cell Phones"/>
    <s v="Recovery Services"/>
    <x v="0"/>
    <n v="1001"/>
    <n v="0"/>
    <n v="100.36"/>
    <n v="49.44"/>
    <n v="0"/>
    <n v="49.51"/>
    <n v="50.09"/>
    <n v="100.22"/>
    <n v="0"/>
    <n v="50.73"/>
    <n v="100.16"/>
    <n v="49.51"/>
    <n v="50.12"/>
    <n v="600.14"/>
    <n v="-0.60999999999999943"/>
  </r>
  <r>
    <x v="15"/>
    <x v="4"/>
    <x v="0"/>
    <s v="4505103"/>
    <n v="731060"/>
    <s v="Pagers"/>
    <s v="Recovery Services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3"/>
    <x v="4"/>
    <x v="0"/>
    <s v="4505103"/>
    <n v="735040"/>
    <s v="Depreciation-Building Improvements"/>
    <s v="Recovery Services"/>
    <x v="0"/>
    <m/>
    <n v="3736.5"/>
    <n v="3736.5"/>
    <n v="3736.5"/>
    <n v="3736.5"/>
    <n v="3736.52"/>
    <n v="3736.47"/>
    <n v="3736.52"/>
    <n v="3736.47"/>
    <n v="3736.54"/>
    <n v="3736.47"/>
    <n v="3736.56"/>
    <n v="3736.46"/>
    <n v="44838.01"/>
    <n v="9.9999999999909051E-2"/>
  </r>
  <r>
    <x v="13"/>
    <x v="4"/>
    <x v="0"/>
    <s v="4505103"/>
    <n v="735070"/>
    <s v="Depreciation-Movable Equipment"/>
    <s v="Recovery Services"/>
    <x v="0"/>
    <m/>
    <n v="1215.97"/>
    <n v="1215.95"/>
    <n v="1215.97"/>
    <n v="1215.95"/>
    <n v="1215.97"/>
    <n v="1215.95"/>
    <n v="1215.97"/>
    <n v="1215.95"/>
    <n v="1215.97"/>
    <n v="1215.95"/>
    <n v="1215.97"/>
    <n v="1215.95"/>
    <n v="14591.52"/>
    <n v="1.999999999998181E-2"/>
  </r>
  <r>
    <x v="0"/>
    <x v="4"/>
    <x v="0"/>
    <s v="4505103"/>
    <n v="740020"/>
    <s v="Education-Registration Fees"/>
    <s v="Recovery Services"/>
    <x v="0"/>
    <m/>
    <n v="350"/>
    <n v="350"/>
    <n v="915"/>
    <n v="0"/>
    <n v="760"/>
    <n v="0"/>
    <n v="0"/>
    <n v="540"/>
    <n v="0"/>
    <n v="0"/>
    <n v="0"/>
    <n v="0"/>
    <n v="2915"/>
    <n v="0"/>
  </r>
  <r>
    <x v="0"/>
    <x v="4"/>
    <x v="0"/>
    <s v="4505103"/>
    <n v="743030"/>
    <s v="Subscriptions--Institutional"/>
    <s v="Recovery Services"/>
    <x v="0"/>
    <m/>
    <n v="0"/>
    <n v="0"/>
    <n v="0"/>
    <n v="0"/>
    <n v="0"/>
    <n v="39.49"/>
    <n v="0"/>
    <n v="0"/>
    <n v="0"/>
    <n v="0"/>
    <n v="152.12"/>
    <n v="0"/>
    <n v="191.61"/>
    <n v="152.12"/>
  </r>
  <r>
    <x v="0"/>
    <x v="4"/>
    <x v="0"/>
    <s v="4505103"/>
    <n v="749510"/>
    <s v="Miscellaneous Expenses"/>
    <s v="Recovery Services"/>
    <x v="0"/>
    <m/>
    <n v="0"/>
    <n v="0"/>
    <n v="0"/>
    <n v="247.06"/>
    <n v="0"/>
    <n v="0"/>
    <n v="-49.46"/>
    <n v="724.04"/>
    <n v="0"/>
    <n v="110.18"/>
    <n v="0"/>
    <n v="98.92"/>
    <n v="1130.74"/>
    <n v="-98.92"/>
  </r>
  <r>
    <x v="18"/>
    <x v="8"/>
    <x v="0"/>
    <s v="4505104"/>
    <n v="400010"/>
    <s v="Acute I/P Svcs Rev--Medicare"/>
    <s v="Recovery Services"/>
    <x v="0"/>
    <n v="1100"/>
    <n v="-222451.71"/>
    <n v="-333432.24"/>
    <n v="-262972.31"/>
    <n v="-286170.18"/>
    <n v="-186786.8"/>
    <n v="-210673.69"/>
    <n v="-281199.34999999998"/>
    <n v="-193879.73"/>
    <n v="-249157.63"/>
    <n v="-182096.2"/>
    <n v="-184808.53"/>
    <n v="-163988.31"/>
    <n v="-2757616.6799999997"/>
    <n v="-20820.22"/>
  </r>
  <r>
    <x v="18"/>
    <x v="8"/>
    <x v="0"/>
    <s v="4505104"/>
    <n v="400010"/>
    <s v="Acute I/P Svcs Rev--Medicaid"/>
    <s v="Recovery Services"/>
    <x v="0"/>
    <n v="1200"/>
    <n v="-42022.84"/>
    <n v="-41809.43"/>
    <n v="-21992.48"/>
    <n v="-31685.81"/>
    <n v="-37241.4"/>
    <n v="-55448.4"/>
    <n v="-30477.71"/>
    <n v="-30794.86"/>
    <n v="-36657.1"/>
    <n v="-45366.54"/>
    <n v="-18977.48"/>
    <n v="-36522.71"/>
    <n v="-428996.75999999995"/>
    <n v="17545.23"/>
  </r>
  <r>
    <x v="18"/>
    <x v="8"/>
    <x v="0"/>
    <s v="4505104"/>
    <n v="400010"/>
    <s v="Acute I/P Svcs Rev--Comm Insurance"/>
    <s v="Recovery Services"/>
    <x v="0"/>
    <n v="1300"/>
    <n v="-20172.2"/>
    <n v="-3171.97"/>
    <n v="-9294.91"/>
    <n v="-4543.09"/>
    <n v="-29564.21"/>
    <n v="-16386.3"/>
    <n v="-1904.95"/>
    <n v="-16041.14"/>
    <n v="1122.75"/>
    <n v="1028.78"/>
    <n v="-1935.04"/>
    <n v="-8865.1"/>
    <n v="-109727.38"/>
    <n v="6930.06"/>
  </r>
  <r>
    <x v="18"/>
    <x v="8"/>
    <x v="0"/>
    <s v="4505104"/>
    <n v="400010"/>
    <s v="Acute I/P Svcs Rev--BCBS Comm"/>
    <s v="Recovery Services"/>
    <x v="0"/>
    <n v="1301"/>
    <n v="-21212.6"/>
    <n v="-35130.01"/>
    <n v="-33506.51"/>
    <n v="-42190.34"/>
    <n v="-27680.74"/>
    <n v="-14256.38"/>
    <n v="-56610.42"/>
    <n v="-62212.55"/>
    <n v="-23075.77"/>
    <n v="-20742.189999999999"/>
    <n v="-35674.36"/>
    <n v="-22733.34"/>
    <n v="-395025.21"/>
    <n v="-12941.02"/>
  </r>
  <r>
    <x v="18"/>
    <x v="8"/>
    <x v="0"/>
    <s v="4505104"/>
    <n v="400010"/>
    <s v="Acute I/P Svcs Rev--Managed Care"/>
    <s v="Recovery Services"/>
    <x v="0"/>
    <n v="1400"/>
    <n v="-86816.59"/>
    <n v="-150727.44"/>
    <n v="-100010.91"/>
    <n v="-91569.5"/>
    <n v="-56376.56"/>
    <n v="-51660.53"/>
    <n v="-80234.81"/>
    <n v="-59520.51"/>
    <n v="-77981.73"/>
    <n v="-63721.24"/>
    <n v="-77450.649999999994"/>
    <n v="-26156.94"/>
    <n v="-922227.41"/>
    <n v="-51293.709999999992"/>
  </r>
  <r>
    <x v="18"/>
    <x v="8"/>
    <x v="0"/>
    <s v="4505104"/>
    <n v="400010"/>
    <s v="Acute I/P Svcs Rev--Self Pay"/>
    <s v="Recovery Services"/>
    <x v="0"/>
    <n v="1500"/>
    <n v="-4503.05"/>
    <n v="-7138.3"/>
    <n v="-19531.05"/>
    <n v="-2688.87"/>
    <n v="-9869.91"/>
    <n v="-11907"/>
    <n v="-2427.6"/>
    <n v="-6015.55"/>
    <n v="3125.55"/>
    <n v="2571.9"/>
    <n v="0"/>
    <n v="-3750.66"/>
    <n v="-62134.540000000008"/>
    <n v="3750.66"/>
  </r>
  <r>
    <x v="18"/>
    <x v="8"/>
    <x v="0"/>
    <s v="4505104"/>
    <n v="400010"/>
    <s v="Acute I/P Svcs Rev--Other"/>
    <s v="Recovery Services"/>
    <x v="0"/>
    <n v="1700"/>
    <n v="-17120.21"/>
    <n v="-32868.959999999999"/>
    <n v="-21848.400000000001"/>
    <n v="-15236.31"/>
    <n v="-6675.9"/>
    <n v="-13958.7"/>
    <n v="-29344.240000000002"/>
    <n v="-11285.1"/>
    <n v="-16497.240000000002"/>
    <n v="-12615.76"/>
    <n v="-9376.65"/>
    <n v="-44535.86"/>
    <n v="-231363.33000000002"/>
    <n v="35159.21"/>
  </r>
  <r>
    <x v="19"/>
    <x v="8"/>
    <x v="0"/>
    <s v="4505104"/>
    <n v="400020"/>
    <s v="O/P Care Svcs Rev--Medicare"/>
    <s v="Recovery Services"/>
    <x v="0"/>
    <n v="1100"/>
    <n v="-506268.02"/>
    <n v="-519872.84"/>
    <n v="-520727.44"/>
    <n v="-529974.5"/>
    <n v="-447475.56"/>
    <n v="-405282.17"/>
    <n v="-519261.57"/>
    <n v="-403496.3"/>
    <n v="-745250.31"/>
    <n v="-483230.74"/>
    <n v="-626999.79"/>
    <n v="-578248.29"/>
    <n v="-6286087.5299999993"/>
    <n v="-48751.5"/>
  </r>
  <r>
    <x v="19"/>
    <x v="8"/>
    <x v="0"/>
    <s v="4505104"/>
    <n v="400020"/>
    <s v="O/P Care Svcs Rev--Medicaid"/>
    <s v="Recovery Services"/>
    <x v="0"/>
    <n v="1200"/>
    <n v="-200853.53"/>
    <n v="-221431.22"/>
    <n v="-188982.28"/>
    <n v="-252793.45"/>
    <n v="-171864.43"/>
    <n v="-163257.56"/>
    <n v="-290899.19"/>
    <n v="-248688.16"/>
    <n v="-212091.91"/>
    <n v="-347882.43"/>
    <n v="-257114.61"/>
    <n v="-208783.76"/>
    <n v="-2764642.5299999993"/>
    <n v="-48330.849999999977"/>
  </r>
  <r>
    <x v="19"/>
    <x v="8"/>
    <x v="0"/>
    <s v="4505104"/>
    <n v="400020"/>
    <s v="O/P Care Svcs Rev--Comm Insurance"/>
    <s v="Recovery Services"/>
    <x v="0"/>
    <n v="1300"/>
    <n v="-57484.79"/>
    <n v="-674.28"/>
    <n v="-23714.73"/>
    <n v="-60822.080000000002"/>
    <n v="-51156.07"/>
    <n v="-71102.600000000006"/>
    <n v="-31374.11"/>
    <n v="-21689.56"/>
    <n v="-128191.51"/>
    <n v="-62686.91"/>
    <n v="-77979.62"/>
    <n v="-66919.13"/>
    <n v="-653795.39"/>
    <n v="-11060.489999999991"/>
  </r>
  <r>
    <x v="19"/>
    <x v="8"/>
    <x v="0"/>
    <s v="4505104"/>
    <n v="400020"/>
    <s v="O/P Care Svcs Rev--BCBS Comm"/>
    <s v="Recovery Services"/>
    <x v="0"/>
    <n v="1301"/>
    <n v="-168096.92"/>
    <n v="-188496.43"/>
    <n v="-186018.06"/>
    <n v="-234888.22"/>
    <n v="-229852.84"/>
    <n v="-303338.68"/>
    <n v="-188869.95"/>
    <n v="-193675.54"/>
    <n v="-194591.02"/>
    <n v="-232796.66"/>
    <n v="-271040.38"/>
    <n v="-267694.13"/>
    <n v="-2659358.8299999996"/>
    <n v="-3346.25"/>
  </r>
  <r>
    <x v="19"/>
    <x v="8"/>
    <x v="0"/>
    <s v="4505104"/>
    <n v="400020"/>
    <s v="O/P Care Svcs Rev--Managed Care"/>
    <s v="Recovery Services"/>
    <x v="0"/>
    <n v="1400"/>
    <n v="-439639.07"/>
    <n v="-368376.28"/>
    <n v="-380473.22"/>
    <n v="-533535.28"/>
    <n v="-462437.01"/>
    <n v="-483176.42"/>
    <n v="-447368.84"/>
    <n v="-413261.82"/>
    <n v="-469588.4"/>
    <n v="-484581.77"/>
    <n v="-501554.52"/>
    <n v="-529447.5"/>
    <n v="-5513440.129999999"/>
    <n v="27892.979999999981"/>
  </r>
  <r>
    <x v="19"/>
    <x v="8"/>
    <x v="0"/>
    <s v="4505104"/>
    <n v="400020"/>
    <s v="O/P Care Svcs Rev--Self Pay"/>
    <s v="Recovery Services"/>
    <x v="0"/>
    <n v="1500"/>
    <n v="-21553.759999999998"/>
    <n v="-36190.910000000003"/>
    <n v="-43939.4"/>
    <n v="-8288.17"/>
    <n v="-6534.95"/>
    <n v="-68.739999999999995"/>
    <n v="-24038.76"/>
    <n v="-24214.67"/>
    <n v="-3778.81"/>
    <n v="-26492.1"/>
    <n v="-23712.83"/>
    <n v="1495.14"/>
    <n v="-217317.95999999996"/>
    <n v="-25207.97"/>
  </r>
  <r>
    <x v="19"/>
    <x v="8"/>
    <x v="0"/>
    <s v="4505104"/>
    <n v="400020"/>
    <s v="O/P Care Svcs Rev--Other"/>
    <s v="Recovery Services"/>
    <x v="0"/>
    <n v="1700"/>
    <n v="-103576.1"/>
    <n v="-61302.48"/>
    <n v="-56425.24"/>
    <n v="-121480.29"/>
    <n v="-113162.6"/>
    <n v="-106437.59"/>
    <n v="-108680.8"/>
    <n v="-94186.91"/>
    <n v="-146535.81"/>
    <n v="-138885.51"/>
    <n v="-123812.11"/>
    <n v="-48951.01"/>
    <n v="-1223436.4500000002"/>
    <n v="-74861.100000000006"/>
  </r>
  <r>
    <x v="5"/>
    <x v="8"/>
    <x v="0"/>
    <s v="4505104"/>
    <n v="700014"/>
    <s v="Salaries-Management-Productive"/>
    <s v="Recovery Services"/>
    <x v="0"/>
    <m/>
    <n v="10993.84"/>
    <n v="10251.540000000001"/>
    <n v="8988.76"/>
    <n v="9713.2199999999993"/>
    <n v="9287.25"/>
    <n v="7591.96"/>
    <n v="9687.42"/>
    <n v="9918.58"/>
    <n v="11809.68"/>
    <n v="11577.79"/>
    <n v="10883.49"/>
    <n v="6676.94"/>
    <n v="117380.47000000002"/>
    <n v="4206.55"/>
  </r>
  <r>
    <x v="5"/>
    <x v="8"/>
    <x v="0"/>
    <s v="4505104"/>
    <n v="700026"/>
    <s v="Salaries-RN-Productive"/>
    <s v="Recovery Services"/>
    <x v="0"/>
    <m/>
    <n v="140243.18"/>
    <n v="143985.79"/>
    <n v="159275.92000000001"/>
    <n v="151221.87"/>
    <n v="150314.67000000001"/>
    <n v="147491.04999999999"/>
    <n v="163873.79999999999"/>
    <n v="129915.22"/>
    <n v="166494.07999999999"/>
    <n v="139767.37"/>
    <n v="182556.63"/>
    <n v="136820.37"/>
    <n v="1811959.9500000002"/>
    <n v="45736.260000000009"/>
  </r>
  <r>
    <x v="5"/>
    <x v="8"/>
    <x v="0"/>
    <s v="4505104"/>
    <n v="700026"/>
    <s v="Salaries-RN-OT"/>
    <s v="Recovery Services"/>
    <x v="0"/>
    <n v="1000"/>
    <n v="2806.18"/>
    <n v="6931.82"/>
    <n v="2548.9"/>
    <n v="2289.6"/>
    <n v="2473.6799999999998"/>
    <n v="6771.13"/>
    <n v="3709.37"/>
    <n v="3220.75"/>
    <n v="6720.7"/>
    <n v="3527.47"/>
    <n v="4325.25"/>
    <n v="3946.64"/>
    <n v="49271.49"/>
    <n v="378.61000000000013"/>
  </r>
  <r>
    <x v="5"/>
    <x v="8"/>
    <x v="0"/>
    <s v="4505104"/>
    <n v="700026"/>
    <s v="Salaries-RN-Other"/>
    <s v="Recovery Services"/>
    <x v="0"/>
    <n v="2000"/>
    <n v="10537.86"/>
    <n v="12632.41"/>
    <n v="12647.36"/>
    <n v="12389.96"/>
    <n v="11443.56"/>
    <n v="12881.87"/>
    <n v="11894.05"/>
    <n v="10395.4"/>
    <n v="14416.98"/>
    <n v="11602.22"/>
    <n v="16010.19"/>
    <n v="12042.28"/>
    <n v="148894.13999999998"/>
    <n v="3967.91"/>
  </r>
  <r>
    <x v="5"/>
    <x v="8"/>
    <x v="0"/>
    <s v="4505104"/>
    <n v="700032"/>
    <s v="Salaries-Other Pat Care Providers-Productive"/>
    <s v="Recovery Services"/>
    <x v="0"/>
    <m/>
    <n v="4855.0200000000004"/>
    <n v="3732.59"/>
    <n v="5019.46"/>
    <n v="5497.7"/>
    <n v="4454.53"/>
    <n v="4115.6899999999996"/>
    <n v="4102.68"/>
    <n v="3815.64"/>
    <n v="5811.82"/>
    <n v="3297.8"/>
    <n v="6830.85"/>
    <n v="5022.63"/>
    <n v="56556.409999999996"/>
    <n v="1808.2200000000003"/>
  </r>
  <r>
    <x v="5"/>
    <x v="8"/>
    <x v="0"/>
    <s v="4505104"/>
    <n v="700032"/>
    <s v="Salaries-Other Pat Care Providers-OT"/>
    <s v="Recovery Services"/>
    <x v="0"/>
    <n v="1000"/>
    <n v="81.58"/>
    <n v="15.61"/>
    <n v="78.650000000000006"/>
    <n v="96.34"/>
    <n v="20.27"/>
    <n v="170.13"/>
    <n v="28.86"/>
    <n v="-5.92"/>
    <n v="294.70999999999998"/>
    <n v="189.28"/>
    <n v="-26.34"/>
    <n v="216.82"/>
    <n v="1159.99"/>
    <n v="-243.16"/>
  </r>
  <r>
    <x v="5"/>
    <x v="8"/>
    <x v="0"/>
    <s v="4505104"/>
    <n v="700032"/>
    <s v="Salaries-Other Pat Care Providers-Other"/>
    <s v="Recovery Services"/>
    <x v="0"/>
    <n v="2000"/>
    <n v="60.95"/>
    <n v="29.06"/>
    <n v="94.22"/>
    <n v="103.9"/>
    <n v="99.45"/>
    <n v="55.29"/>
    <n v="62.61"/>
    <n v="51.39"/>
    <n v="117.03"/>
    <n v="31.45"/>
    <n v="107.27"/>
    <n v="93.9"/>
    <n v="906.52"/>
    <n v="13.36999999999999"/>
  </r>
  <r>
    <x v="5"/>
    <x v="8"/>
    <x v="0"/>
    <s v="4505104"/>
    <n v="700038"/>
    <s v="Salaries-Service/Support-Productive"/>
    <s v="Recovery Services"/>
    <x v="0"/>
    <m/>
    <n v="6682.18"/>
    <n v="6607.07"/>
    <n v="5364.16"/>
    <n v="5838.9"/>
    <n v="7666.5"/>
    <n v="6797.4"/>
    <n v="7087.57"/>
    <n v="6316.01"/>
    <n v="8328.57"/>
    <n v="6158.4"/>
    <n v="4478.68"/>
    <n v="8144.21"/>
    <n v="79469.650000000009"/>
    <n v="-3665.5299999999997"/>
  </r>
  <r>
    <x v="5"/>
    <x v="8"/>
    <x v="0"/>
    <s v="4505104"/>
    <n v="700038"/>
    <s v="Salaries-Service/Support-OT"/>
    <s v="Recovery Services"/>
    <x v="0"/>
    <n v="1000"/>
    <n v="0"/>
    <n v="8.6199999999999992"/>
    <n v="429.62"/>
    <n v="-156.22"/>
    <n v="0"/>
    <n v="0"/>
    <n v="0"/>
    <n v="0"/>
    <n v="17.78"/>
    <n v="0"/>
    <n v="0"/>
    <n v="28.52"/>
    <n v="328.31999999999994"/>
    <n v="-28.52"/>
  </r>
  <r>
    <x v="5"/>
    <x v="8"/>
    <x v="0"/>
    <s v="4505104"/>
    <n v="700038"/>
    <s v="Salaries-Service/Support-Other"/>
    <s v="Recovery Services"/>
    <x v="0"/>
    <n v="2000"/>
    <n v="96.28"/>
    <n v="83.49"/>
    <n v="62.54"/>
    <n v="85.77"/>
    <n v="125.51"/>
    <n v="114.54"/>
    <n v="124.3"/>
    <n v="100.84"/>
    <n v="140.69999999999999"/>
    <n v="84.41"/>
    <n v="54.36"/>
    <n v="138.91"/>
    <n v="1211.6500000000001"/>
    <n v="-84.55"/>
  </r>
  <r>
    <x v="5"/>
    <x v="8"/>
    <x v="0"/>
    <s v="4505104"/>
    <n v="700054"/>
    <s v="Salaries-Management-Non-productive"/>
    <s v="Recovery Services"/>
    <x v="0"/>
    <m/>
    <n v="520"/>
    <n v="1262.82"/>
    <n v="2154.3000000000002"/>
    <n v="2149.7199999999998"/>
    <n v="2273.59"/>
    <n v="4354.62"/>
    <n v="2277.8000000000002"/>
    <n v="887.66"/>
    <n v="154.41999999999999"/>
    <n v="0"/>
    <n v="1080.6199999999999"/>
    <n v="4901.37"/>
    <n v="22016.92"/>
    <n v="-3820.75"/>
  </r>
  <r>
    <x v="5"/>
    <x v="8"/>
    <x v="0"/>
    <s v="4505104"/>
    <n v="700054"/>
    <s v="Salaries-Management-NonProd-Other"/>
    <s v="Recovery Services"/>
    <x v="0"/>
    <n v="2000"/>
    <n v="0"/>
    <n v="0"/>
    <n v="0"/>
    <n v="0"/>
    <n v="0"/>
    <n v="1374.25"/>
    <n v="-1374.25"/>
    <n v="0"/>
    <n v="0"/>
    <n v="0"/>
    <n v="0"/>
    <n v="0"/>
    <n v="0"/>
    <n v="0"/>
  </r>
  <r>
    <x v="5"/>
    <x v="8"/>
    <x v="0"/>
    <s v="4505104"/>
    <n v="700066"/>
    <s v="Salaries-RN-Non-productive"/>
    <s v="Recovery Services"/>
    <x v="0"/>
    <m/>
    <n v="29290.16"/>
    <n v="32197.25"/>
    <n v="19108.88"/>
    <n v="23195.86"/>
    <n v="15081.13"/>
    <n v="53007.67"/>
    <n v="18069.650000000001"/>
    <n v="27352.54"/>
    <n v="28252.29"/>
    <n v="20616.52"/>
    <n v="7818.9"/>
    <n v="32666.39"/>
    <n v="306657.24000000005"/>
    <n v="-24847.489999999998"/>
  </r>
  <r>
    <x v="5"/>
    <x v="8"/>
    <x v="0"/>
    <s v="4505104"/>
    <n v="700066"/>
    <s v="Salaries-RN-NonProd-Other"/>
    <s v="Recovery Services"/>
    <x v="0"/>
    <n v="2000"/>
    <n v="2500.06"/>
    <n v="2351.34"/>
    <n v="1385.6"/>
    <n v="2383.37"/>
    <n v="3196.03"/>
    <n v="5885.13"/>
    <n v="2409.7600000000002"/>
    <n v="905.66"/>
    <n v="1328.34"/>
    <n v="4174.08"/>
    <n v="2091.94"/>
    <n v="3733.11"/>
    <n v="32344.420000000002"/>
    <n v="-1641.17"/>
  </r>
  <r>
    <x v="5"/>
    <x v="8"/>
    <x v="0"/>
    <s v="4505104"/>
    <n v="700072"/>
    <s v="Salaries-Other Pat Care Providers-Non-productive"/>
    <s v="Recovery Services"/>
    <x v="0"/>
    <m/>
    <n v="983.68"/>
    <n v="1703.78"/>
    <n v="11.32"/>
    <n v="865.81"/>
    <n v="796.72"/>
    <n v="2853.43"/>
    <n v="131.51"/>
    <n v="664.29"/>
    <n v="368.9"/>
    <n v="2515.17"/>
    <n v="-547.6"/>
    <n v="717.75"/>
    <n v="11064.76"/>
    <n v="-1265.3499999999999"/>
  </r>
  <r>
    <x v="5"/>
    <x v="8"/>
    <x v="0"/>
    <s v="4505104"/>
    <n v="700072"/>
    <s v="Salaries-Other Pat Care Providers-NonProd-Other"/>
    <s v="Recovery Services"/>
    <x v="0"/>
    <n v="2000"/>
    <n v="72.08"/>
    <n v="130.71"/>
    <n v="-0.51"/>
    <n v="57.49"/>
    <n v="53.69"/>
    <n v="187.76"/>
    <n v="8.64"/>
    <n v="43.55"/>
    <n v="24.37"/>
    <n v="173.82"/>
    <n v="-36.08"/>
    <n v="47.28"/>
    <n v="762.79999999999984"/>
    <n v="-83.36"/>
  </r>
  <r>
    <x v="5"/>
    <x v="8"/>
    <x v="0"/>
    <s v="4505104"/>
    <n v="700078"/>
    <s v="Salaries-Service/Support-Non-productive"/>
    <s v="Recovery Services"/>
    <x v="0"/>
    <m/>
    <n v="2099.41"/>
    <n v="1657.18"/>
    <n v="3321.18"/>
    <n v="1886.08"/>
    <n v="-193.12"/>
    <n v="1436.8"/>
    <n v="1209.25"/>
    <n v="398.82"/>
    <n v="-66.459999999999994"/>
    <n v="1035.3800000000001"/>
    <n v="4300.5"/>
    <n v="-646.87"/>
    <n v="16438.150000000001"/>
    <n v="4947.37"/>
  </r>
  <r>
    <x v="5"/>
    <x v="8"/>
    <x v="0"/>
    <s v="4505104"/>
    <n v="700084"/>
    <s v="Accrued PTO"/>
    <s v="Recovery Services"/>
    <x v="0"/>
    <m/>
    <n v="-2817.17"/>
    <n v="-11959.7"/>
    <n v="-1482.94"/>
    <n v="4728.6499999999996"/>
    <n v="13366.54"/>
    <n v="-17818.95"/>
    <n v="1551.33"/>
    <n v="-1621.04"/>
    <n v="2488.58"/>
    <n v="4258.08"/>
    <n v="4321.3"/>
    <n v="1094.46"/>
    <n v="-3890.8600000000024"/>
    <n v="3226.84"/>
  </r>
  <r>
    <x v="10"/>
    <x v="8"/>
    <x v="0"/>
    <s v="4505104"/>
    <n v="710060"/>
    <s v="Contract Labor-Other"/>
    <s v="Recovery Services"/>
    <x v="0"/>
    <m/>
    <n v="5573.5"/>
    <n v="13401.25"/>
    <n v="10579"/>
    <n v="-805.85"/>
    <n v="0"/>
    <n v="0"/>
    <n v="0"/>
    <n v="0"/>
    <n v="0"/>
    <n v="0"/>
    <n v="0"/>
    <n v="0"/>
    <n v="28747.9"/>
    <n v="0"/>
  </r>
  <r>
    <x v="10"/>
    <x v="8"/>
    <x v="0"/>
    <s v="4505104"/>
    <n v="710060"/>
    <s v="Contract Labor-Overtime"/>
    <s v="Recovery Services"/>
    <x v="0"/>
    <n v="5100"/>
    <n v="1341.9"/>
    <n v="575.1"/>
    <n v="670.95"/>
    <n v="0"/>
    <n v="0"/>
    <n v="0"/>
    <n v="0"/>
    <n v="0"/>
    <n v="0"/>
    <n v="0"/>
    <n v="0"/>
    <n v="0"/>
    <n v="2587.9499999999998"/>
    <n v="0"/>
  </r>
  <r>
    <x v="10"/>
    <x v="8"/>
    <x v="0"/>
    <s v="4505104"/>
    <n v="710060"/>
    <s v="Contract Labor-Standby Wages"/>
    <s v="Recovery Services"/>
    <x v="0"/>
    <n v="5101"/>
    <n v="360"/>
    <n v="336"/>
    <n v="678"/>
    <n v="0"/>
    <n v="0"/>
    <n v="0"/>
    <n v="0"/>
    <n v="0"/>
    <n v="0"/>
    <n v="0"/>
    <n v="0"/>
    <n v="0"/>
    <n v="1374"/>
    <n v="0"/>
  </r>
  <r>
    <x v="6"/>
    <x v="8"/>
    <x v="0"/>
    <s v="4505104"/>
    <n v="713010"/>
    <s v="Benefits-FICA/Medicare"/>
    <s v="Recovery Services"/>
    <x v="0"/>
    <m/>
    <n v="15718.93"/>
    <n v="16622.310000000001"/>
    <n v="16412.5"/>
    <n v="16178.87"/>
    <n v="15051.26"/>
    <n v="17808.830000000002"/>
    <n v="16752.79"/>
    <n v="14458.59"/>
    <n v="18161.240000000002"/>
    <n v="15318.38"/>
    <n v="17899.759999999998"/>
    <n v="16248.34"/>
    <n v="196631.80000000002"/>
    <n v="1651.4199999999983"/>
  </r>
  <r>
    <x v="6"/>
    <x v="8"/>
    <x v="0"/>
    <s v="4505104"/>
    <n v="713090"/>
    <s v="Benefits-Allocated Amounts"/>
    <s v="Recovery Services"/>
    <x v="0"/>
    <m/>
    <n v="33462.15"/>
    <n v="30665.27"/>
    <n v="32924.18"/>
    <n v="32720.02"/>
    <n v="32171.05"/>
    <n v="35955.5"/>
    <n v="33511.360000000001"/>
    <n v="31875.01"/>
    <n v="37178.519999999997"/>
    <n v="33674.230000000003"/>
    <n v="37756.160000000003"/>
    <n v="34523.85"/>
    <n v="406417.30000000005"/>
    <n v="3232.3100000000049"/>
  </r>
  <r>
    <x v="6"/>
    <x v="8"/>
    <x v="0"/>
    <s v="4505104"/>
    <n v="713096"/>
    <s v="Employee Recognition"/>
    <s v="Recovery Services"/>
    <x v="0"/>
    <n v="1017"/>
    <n v="0"/>
    <n v="0"/>
    <n v="0"/>
    <n v="33.07"/>
    <n v="63.96"/>
    <n v="0"/>
    <n v="257.04000000000002"/>
    <n v="913.08"/>
    <n v="220.04"/>
    <n v="33.74"/>
    <n v="121.04"/>
    <n v="0"/>
    <n v="1641.97"/>
    <n v="121.04"/>
  </r>
  <r>
    <x v="7"/>
    <x v="8"/>
    <x v="0"/>
    <s v="4505104"/>
    <n v="718050"/>
    <s v="Miscellaneous Purchased Svcs"/>
    <s v="Recovery Services"/>
    <x v="0"/>
    <n v="1020"/>
    <n v="0"/>
    <n v="0"/>
    <n v="0"/>
    <n v="0"/>
    <n v="0"/>
    <n v="0"/>
    <n v="0"/>
    <n v="0"/>
    <n v="271.25"/>
    <n v="0"/>
    <n v="0"/>
    <n v="0"/>
    <n v="271.25"/>
    <n v="0"/>
  </r>
  <r>
    <x v="7"/>
    <x v="8"/>
    <x v="0"/>
    <s v="4505104"/>
    <n v="718050"/>
    <s v="Translation Services"/>
    <s v="Recovery Services"/>
    <x v="0"/>
    <n v="1025"/>
    <n v="253.66"/>
    <n v="0"/>
    <n v="119.25"/>
    <n v="93.91"/>
    <n v="0"/>
    <n v="663.53"/>
    <n v="156.32"/>
    <n v="0"/>
    <n v="196.23"/>
    <n v="0"/>
    <n v="156.76"/>
    <n v="33.479999999999997"/>
    <n v="1673.1399999999999"/>
    <n v="123.28"/>
  </r>
  <r>
    <x v="7"/>
    <x v="8"/>
    <x v="0"/>
    <s v="4505104"/>
    <n v="718050"/>
    <s v="Contract Management--Linen"/>
    <s v="Recovery Services"/>
    <x v="0"/>
    <n v="1026"/>
    <n v="232.8"/>
    <n v="898.03"/>
    <n v="407.88"/>
    <n v="570.02"/>
    <n v="698.55"/>
    <n v="593.32000000000005"/>
    <n v="700.87"/>
    <n v="589.58000000000004"/>
    <n v="672.35"/>
    <n v="583.17999999999995"/>
    <n v="667.59"/>
    <n v="600.03"/>
    <n v="7214.2000000000007"/>
    <n v="67.560000000000059"/>
  </r>
  <r>
    <x v="11"/>
    <x v="8"/>
    <x v="0"/>
    <s v="4505104"/>
    <n v="721010"/>
    <s v="Supplies-Medical - Billable"/>
    <s v="Recovery Services"/>
    <x v="0"/>
    <m/>
    <n v="2968.77"/>
    <n v="3375.86"/>
    <n v="2524.29"/>
    <n v="3642.75"/>
    <n v="2990.55"/>
    <n v="2908.37"/>
    <n v="3438.72"/>
    <n v="2428.77"/>
    <n v="3422.6"/>
    <n v="2754.47"/>
    <n v="2875.04"/>
    <n v="2901.08"/>
    <n v="36231.270000000004"/>
    <n v="-26.039999999999964"/>
  </r>
  <r>
    <x v="11"/>
    <x v="8"/>
    <x v="0"/>
    <s v="4505104"/>
    <n v="721010"/>
    <s v="Patient Monitoring"/>
    <s v="Recovery Services"/>
    <x v="0"/>
    <n v="1000"/>
    <n v="63.33"/>
    <n v="45.96"/>
    <n v="36.22"/>
    <n v="31.72"/>
    <n v="17.62"/>
    <n v="32.75"/>
    <n v="26.43"/>
    <n v="15.95"/>
    <n v="29.59"/>
    <n v="53.55"/>
    <n v="25.62"/>
    <n v="76.239999999999995"/>
    <n v="454.98"/>
    <n v="-50.61999999999999"/>
  </r>
  <r>
    <x v="11"/>
    <x v="8"/>
    <x v="0"/>
    <s v="4505104"/>
    <n v="721020"/>
    <s v="Supplies-Surgical - Billable"/>
    <s v="Recovery Services"/>
    <x v="0"/>
    <m/>
    <n v="0"/>
    <n v="0"/>
    <n v="4.25"/>
    <n v="0"/>
    <n v="4.25"/>
    <n v="9.6"/>
    <n v="19.489999999999998"/>
    <n v="0"/>
    <n v="0"/>
    <n v="0"/>
    <n v="4.25"/>
    <n v="8.5"/>
    <n v="50.34"/>
    <n v="-4.25"/>
  </r>
  <r>
    <x v="11"/>
    <x v="8"/>
    <x v="0"/>
    <s v="4505104"/>
    <n v="721020"/>
    <s v="Tubes Drains &amp; Related Supplies"/>
    <s v="Recovery Services"/>
    <x v="0"/>
    <n v="1008"/>
    <n v="0"/>
    <n v="0"/>
    <n v="0"/>
    <n v="0"/>
    <n v="0"/>
    <n v="0"/>
    <n v="0"/>
    <n v="0"/>
    <n v="0"/>
    <n v="0"/>
    <n v="0"/>
    <n v="169.52"/>
    <n v="169.52"/>
    <n v="-169.52"/>
  </r>
  <r>
    <x v="11"/>
    <x v="8"/>
    <x v="0"/>
    <s v="4505104"/>
    <n v="721240"/>
    <s v="Supplies-IV Solutions/Supplies - Billable"/>
    <s v="Recovery Services"/>
    <x v="0"/>
    <m/>
    <n v="3075.34"/>
    <n v="3647.09"/>
    <n v="3194.55"/>
    <n v="3656.83"/>
    <n v="3613.58"/>
    <n v="3474.31"/>
    <n v="3871.12"/>
    <n v="2933.73"/>
    <n v="3287.36"/>
    <n v="1142.3699999999999"/>
    <n v="1862.96"/>
    <n v="2034.82"/>
    <n v="35794.06"/>
    <n v="-171.8599999999999"/>
  </r>
  <r>
    <x v="11"/>
    <x v="8"/>
    <x v="0"/>
    <s v="4505104"/>
    <n v="721250"/>
    <s v="Supplies-Pharmacy Drugs - Billable"/>
    <s v="Recovery Services"/>
    <x v="0"/>
    <m/>
    <n v="0"/>
    <n v="0"/>
    <n v="5.41"/>
    <n v="1.36"/>
    <n v="0"/>
    <n v="0"/>
    <n v="11.99"/>
    <n v="0"/>
    <n v="0"/>
    <n v="0"/>
    <n v="7.7"/>
    <n v="0"/>
    <n v="26.46"/>
    <n v="7.7"/>
  </r>
  <r>
    <x v="11"/>
    <x v="8"/>
    <x v="0"/>
    <s v="4505104"/>
    <n v="721410"/>
    <s v="Supplies-Medical - Nonbillable"/>
    <s v="Recovery Services"/>
    <x v="0"/>
    <m/>
    <n v="4968.67"/>
    <n v="7273.16"/>
    <n v="9047.75"/>
    <n v="6559.53"/>
    <n v="7443.21"/>
    <n v="4697.93"/>
    <n v="9681.91"/>
    <n v="6804.69"/>
    <n v="5409.62"/>
    <n v="8557.89"/>
    <n v="6310.67"/>
    <n v="5959.81"/>
    <n v="82714.840000000011"/>
    <n v="350.85999999999967"/>
  </r>
  <r>
    <x v="11"/>
    <x v="8"/>
    <x v="0"/>
    <s v="4505104"/>
    <n v="721410"/>
    <s v="Patient Monitoring"/>
    <s v="Recovery Services"/>
    <x v="0"/>
    <n v="1000"/>
    <n v="10.86"/>
    <n v="10.86"/>
    <n v="26.06"/>
    <n v="10.86"/>
    <n v="2.17"/>
    <n v="0"/>
    <n v="21.72"/>
    <n v="0"/>
    <n v="10.86"/>
    <n v="10.86"/>
    <n v="42.96"/>
    <n v="10.86"/>
    <n v="158.07"/>
    <n v="32.1"/>
  </r>
  <r>
    <x v="11"/>
    <x v="8"/>
    <x v="0"/>
    <s v="4505104"/>
    <n v="721420"/>
    <s v="Supplies-Surgical Nonbillable"/>
    <s v="Recovery Services"/>
    <x v="0"/>
    <m/>
    <n v="226.59"/>
    <n v="-43.46"/>
    <n v="240.1"/>
    <n v="332.06"/>
    <n v="324.86"/>
    <n v="333.58"/>
    <n v="324.85000000000002"/>
    <n v="409.73"/>
    <n v="388.9"/>
    <n v="807.19"/>
    <n v="736.8"/>
    <n v="888.87"/>
    <n v="4970.07"/>
    <n v="-152.07000000000005"/>
  </r>
  <r>
    <x v="11"/>
    <x v="8"/>
    <x v="0"/>
    <s v="4505104"/>
    <n v="721420"/>
    <s v="Tubes Drains &amp; Related Supplies"/>
    <s v="Recovery Services"/>
    <x v="0"/>
    <n v="1008"/>
    <n v="0"/>
    <n v="0"/>
    <n v="0"/>
    <n v="0"/>
    <n v="0"/>
    <n v="0"/>
    <n v="0"/>
    <n v="0"/>
    <n v="635.4"/>
    <n v="0"/>
    <n v="0"/>
    <n v="0"/>
    <n v="635.4"/>
    <n v="0"/>
  </r>
  <r>
    <x v="11"/>
    <x v="8"/>
    <x v="0"/>
    <s v="4505104"/>
    <n v="721420"/>
    <s v="Sterilization Process Products"/>
    <s v="Recovery Services"/>
    <x v="0"/>
    <n v="1009"/>
    <n v="0"/>
    <n v="0"/>
    <n v="0"/>
    <n v="0"/>
    <n v="0"/>
    <n v="0"/>
    <n v="0"/>
    <n v="0"/>
    <n v="12.62"/>
    <n v="54.82"/>
    <n v="0"/>
    <n v="0"/>
    <n v="67.44"/>
    <n v="0"/>
  </r>
  <r>
    <x v="11"/>
    <x v="8"/>
    <x v="0"/>
    <s v="4505104"/>
    <n v="721610"/>
    <s v="Supplies-Anesthesia - Nonbillable"/>
    <s v="Recovery Services"/>
    <x v="0"/>
    <m/>
    <n v="919.4"/>
    <n v="846.92"/>
    <n v="985.47"/>
    <n v="856.19"/>
    <n v="1194.98"/>
    <n v="756.88"/>
    <n v="1166.24"/>
    <n v="766.1"/>
    <n v="946.29"/>
    <n v="1052.71"/>
    <n v="878.61"/>
    <n v="606.35"/>
    <n v="10976.140000000001"/>
    <n v="272.26"/>
  </r>
  <r>
    <x v="11"/>
    <x v="8"/>
    <x v="0"/>
    <s v="4505104"/>
    <n v="721640"/>
    <s v="Supplies-IV Solutions/Supplies - Nonbillable"/>
    <s v="Recovery Services"/>
    <x v="0"/>
    <m/>
    <n v="2254.4499999999998"/>
    <n v="2073.86"/>
    <n v="2343.4"/>
    <n v="2485.4"/>
    <n v="1851.15"/>
    <n v="2102.0500000000002"/>
    <n v="2157.59"/>
    <n v="1590.26"/>
    <n v="2386.94"/>
    <n v="1724.5"/>
    <n v="2431.5300000000002"/>
    <n v="1915.3"/>
    <n v="25316.429999999993"/>
    <n v="516.23000000000025"/>
  </r>
  <r>
    <x v="11"/>
    <x v="8"/>
    <x v="0"/>
    <s v="4505104"/>
    <n v="721650"/>
    <s v="Supplies-Pharmacy Drugs - Nonbillable"/>
    <s v="Recovery Services"/>
    <x v="0"/>
    <m/>
    <n v="0"/>
    <n v="0"/>
    <n v="11.25"/>
    <n v="0"/>
    <n v="0"/>
    <n v="4.84"/>
    <n v="0"/>
    <n v="3.06"/>
    <n v="6.12"/>
    <n v="2.86"/>
    <n v="3.42"/>
    <n v="0"/>
    <n v="31.549999999999997"/>
    <n v="3.42"/>
  </r>
  <r>
    <x v="11"/>
    <x v="8"/>
    <x v="0"/>
    <s v="4505104"/>
    <n v="721710"/>
    <s v="Supplies-Laboratory - Nonbillable"/>
    <s v="Recovery Services"/>
    <x v="0"/>
    <m/>
    <n v="148.43"/>
    <n v="203.23"/>
    <n v="188.08"/>
    <n v="215.21"/>
    <n v="145.44"/>
    <n v="136.9"/>
    <n v="164.58"/>
    <n v="130.04"/>
    <n v="157.03"/>
    <n v="205.06"/>
    <n v="176.93"/>
    <n v="171.97"/>
    <n v="2042.9"/>
    <n v="4.960000000000008"/>
  </r>
  <r>
    <x v="11"/>
    <x v="8"/>
    <x v="0"/>
    <s v="4505104"/>
    <n v="721710"/>
    <s v="Reagents"/>
    <s v="Recovery Services"/>
    <x v="0"/>
    <n v="1000"/>
    <n v="46.38"/>
    <n v="23.19"/>
    <n v="0"/>
    <n v="69.569999999999993"/>
    <n v="23.19"/>
    <n v="71.400000000000006"/>
    <n v="46.38"/>
    <n v="0"/>
    <n v="69.569999999999993"/>
    <n v="69.569999999999993"/>
    <n v="69.569999999999993"/>
    <n v="46.38"/>
    <n v="535.20000000000005"/>
    <n v="23.189999999999991"/>
  </r>
  <r>
    <x v="11"/>
    <x v="8"/>
    <x v="0"/>
    <s v="4505104"/>
    <n v="721750"/>
    <s v="Supplies-Film/Radiographic - Nonbillable"/>
    <s v="Recovery Services"/>
    <x v="0"/>
    <m/>
    <n v="0"/>
    <n v="0"/>
    <n v="0"/>
    <n v="2.15"/>
    <n v="0"/>
    <n v="0"/>
    <n v="0"/>
    <n v="0"/>
    <n v="0"/>
    <n v="0"/>
    <n v="8.6"/>
    <n v="4.3"/>
    <n v="15.05"/>
    <n v="4.3"/>
  </r>
  <r>
    <x v="11"/>
    <x v="8"/>
    <x v="0"/>
    <s v="4505104"/>
    <n v="721810"/>
    <s v="Supplies-Dietary/Cafeteria"/>
    <s v="Recovery Services"/>
    <x v="0"/>
    <m/>
    <n v="170.16"/>
    <n v="159.41"/>
    <n v="172.81"/>
    <n v="150.35"/>
    <n v="131.6"/>
    <n v="167.98"/>
    <n v="188.06"/>
    <n v="111.65"/>
    <n v="168.71"/>
    <n v="145.46"/>
    <n v="267.52999999999997"/>
    <n v="77.180000000000007"/>
    <n v="1910.9000000000003"/>
    <n v="190.34999999999997"/>
  </r>
  <r>
    <x v="11"/>
    <x v="8"/>
    <x v="0"/>
    <s v="4505104"/>
    <n v="721830"/>
    <s v="Supplies-Office"/>
    <s v="Recovery Services"/>
    <x v="0"/>
    <m/>
    <n v="0"/>
    <n v="63.28"/>
    <n v="81.94"/>
    <n v="142.66999999999999"/>
    <n v="371.69"/>
    <n v="25.01"/>
    <n v="54.39"/>
    <n v="163.28"/>
    <n v="236.03"/>
    <n v="221.54"/>
    <n v="3.44"/>
    <n v="200.86"/>
    <n v="1564.13"/>
    <n v="-197.42000000000002"/>
  </r>
  <r>
    <x v="11"/>
    <x v="8"/>
    <x v="0"/>
    <s v="4505104"/>
    <n v="721835"/>
    <s v="Supplies-Forms"/>
    <s v="Recovery Services"/>
    <x v="0"/>
    <m/>
    <n v="0"/>
    <n v="0"/>
    <n v="0"/>
    <n v="0"/>
    <n v="0"/>
    <n v="0.72"/>
    <n v="0"/>
    <n v="0"/>
    <n v="0"/>
    <n v="0"/>
    <n v="0"/>
    <n v="0"/>
    <n v="0.72"/>
    <n v="0"/>
  </r>
  <r>
    <x v="11"/>
    <x v="8"/>
    <x v="0"/>
    <s v="4505104"/>
    <n v="721870"/>
    <s v="Supplies-Environmental Services"/>
    <s v="Recovery Services"/>
    <x v="0"/>
    <m/>
    <n v="315.10000000000002"/>
    <n v="323.39"/>
    <n v="235.53"/>
    <n v="365.57"/>
    <n v="347.61"/>
    <n v="379.93"/>
    <n v="318.67"/>
    <n v="325.25"/>
    <n v="389.66"/>
    <n v="404.18"/>
    <n v="353.36"/>
    <n v="351.44"/>
    <n v="4109.6899999999996"/>
    <n v="1.9200000000000159"/>
  </r>
  <r>
    <x v="11"/>
    <x v="8"/>
    <x v="0"/>
    <s v="4505104"/>
    <n v="721910"/>
    <s v="Supplies-Small Equipment"/>
    <s v="Recovery Services"/>
    <x v="0"/>
    <m/>
    <n v="18.96"/>
    <n v="15.75"/>
    <n v="15.75"/>
    <n v="15.75"/>
    <n v="99.15"/>
    <n v="31.5"/>
    <n v="31.5"/>
    <n v="0"/>
    <n v="15.75"/>
    <n v="327.14999999999998"/>
    <n v="845.75"/>
    <n v="10.79"/>
    <n v="1427.8"/>
    <n v="834.96"/>
  </r>
  <r>
    <x v="11"/>
    <x v="8"/>
    <x v="0"/>
    <s v="4505104"/>
    <n v="721910"/>
    <s v="Instruments"/>
    <s v="Recovery Services"/>
    <x v="0"/>
    <n v="1000"/>
    <n v="211.5"/>
    <n v="0"/>
    <n v="156.30000000000001"/>
    <n v="423"/>
    <n v="0"/>
    <n v="282"/>
    <n v="282"/>
    <n v="0"/>
    <n v="70.5"/>
    <n v="364.25"/>
    <n v="423"/>
    <n v="470"/>
    <n v="2682.55"/>
    <n v="-47"/>
  </r>
  <r>
    <x v="11"/>
    <x v="8"/>
    <x v="0"/>
    <s v="4505104"/>
    <n v="721980"/>
    <s v="Supplies-Other"/>
    <s v="Recovery Services"/>
    <x v="0"/>
    <m/>
    <n v="0"/>
    <n v="0"/>
    <n v="0"/>
    <n v="0"/>
    <n v="0"/>
    <n v="0"/>
    <n v="31.47"/>
    <n v="0"/>
    <n v="0"/>
    <n v="0"/>
    <n v="0"/>
    <n v="0"/>
    <n v="31.47"/>
    <n v="0"/>
  </r>
  <r>
    <x v="11"/>
    <x v="8"/>
    <x v="0"/>
    <s v="4505104"/>
    <n v="722000"/>
    <s v="Supplies-Freight Expense"/>
    <s v="Recovery Services"/>
    <x v="0"/>
    <m/>
    <n v="0"/>
    <n v="0"/>
    <n v="0"/>
    <n v="7.99"/>
    <n v="0"/>
    <n v="8"/>
    <n v="9.57"/>
    <n v="0"/>
    <n v="0"/>
    <n v="53.73"/>
    <n v="8.26"/>
    <n v="0"/>
    <n v="87.55"/>
    <n v="8.26"/>
  </r>
  <r>
    <x v="12"/>
    <x v="8"/>
    <x v="0"/>
    <s v="4505104"/>
    <n v="730020"/>
    <s v="Rental and Leases-Copier Usage Fees (DO NOT USE)"/>
    <s v="Recovery Services"/>
    <x v="0"/>
    <n v="5100"/>
    <n v="54.54"/>
    <n v="55.4"/>
    <n v="54.97"/>
    <n v="54.97"/>
    <n v="54.97"/>
    <n v="54.97"/>
    <n v="63.57"/>
    <n v="94.85"/>
    <n v="36.01"/>
    <n v="0.28999999999999998"/>
    <n v="36.21"/>
    <n v="36.21"/>
    <n v="596.96"/>
    <n v="0"/>
  </r>
  <r>
    <x v="15"/>
    <x v="8"/>
    <x v="0"/>
    <s v="4505104"/>
    <n v="731060"/>
    <s v="Cell Phones"/>
    <s v="Recovery Services"/>
    <x v="0"/>
    <n v="1001"/>
    <n v="0"/>
    <n v="95.67"/>
    <n v="91.89"/>
    <n v="0"/>
    <n v="62.28"/>
    <n v="43.93"/>
    <n v="129.1"/>
    <n v="0"/>
    <n v="65.540000000000006"/>
    <n v="129.71"/>
    <n v="63.59"/>
    <n v="64.86"/>
    <n v="746.57"/>
    <n v="-1.269999999999996"/>
  </r>
  <r>
    <x v="15"/>
    <x v="8"/>
    <x v="0"/>
    <s v="4505104"/>
    <n v="731060"/>
    <s v="Pagers"/>
    <s v="Recovery Services"/>
    <x v="0"/>
    <n v="1002"/>
    <n v="8.1"/>
    <n v="42.9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132.19000000000003"/>
    <n v="0"/>
  </r>
  <r>
    <x v="13"/>
    <x v="8"/>
    <x v="0"/>
    <s v="4505104"/>
    <n v="735030"/>
    <s v="Depreciation-Buildings"/>
    <s v="Recovery Services"/>
    <x v="0"/>
    <m/>
    <n v="3789.59"/>
    <n v="3789.58"/>
    <n v="3789.62"/>
    <n v="3789.57"/>
    <n v="3789.66"/>
    <n v="3789.55"/>
    <n v="3789.67"/>
    <n v="3789.52"/>
    <n v="3789.69"/>
    <n v="3695.69"/>
    <n v="3695.92"/>
    <n v="3695.68"/>
    <n v="45193.74"/>
    <n v="0.24000000000023647"/>
  </r>
  <r>
    <x v="13"/>
    <x v="8"/>
    <x v="0"/>
    <s v="4505104"/>
    <n v="735070"/>
    <s v="Depreciation-Movable Equipment"/>
    <s v="Recovery Services"/>
    <x v="0"/>
    <m/>
    <n v="57.66"/>
    <n v="57.67"/>
    <n v="57.66"/>
    <n v="57.67"/>
    <n v="57.66"/>
    <n v="57.67"/>
    <n v="57.66"/>
    <n v="57.67"/>
    <n v="57.65"/>
    <n v="35.39"/>
    <n v="35.39"/>
    <n v="35.380000000000003"/>
    <n v="625.13000000000011"/>
    <n v="9.9999999999980105E-3"/>
  </r>
  <r>
    <x v="0"/>
    <x v="8"/>
    <x v="0"/>
    <s v="4505104"/>
    <n v="740020"/>
    <s v="Education-Registration Fees"/>
    <s v="Recovery Services"/>
    <x v="0"/>
    <m/>
    <n v="165"/>
    <n v="215"/>
    <n v="0"/>
    <n v="1810"/>
    <n v="265"/>
    <n v="0"/>
    <n v="0"/>
    <n v="330"/>
    <n v="1085"/>
    <n v="145"/>
    <n v="0"/>
    <n v="165"/>
    <n v="4180"/>
    <n v="-165"/>
  </r>
  <r>
    <x v="0"/>
    <x v="8"/>
    <x v="0"/>
    <s v="4505104"/>
    <n v="743020"/>
    <s v="Dues--Individual"/>
    <s v="Recovery Services"/>
    <x v="0"/>
    <m/>
    <n v="0"/>
    <n v="0"/>
    <n v="0"/>
    <n v="0"/>
    <n v="0"/>
    <n v="123"/>
    <n v="0"/>
    <n v="0"/>
    <n v="0"/>
    <n v="0"/>
    <n v="0"/>
    <n v="0"/>
    <n v="123"/>
    <n v="0"/>
  </r>
  <r>
    <x v="0"/>
    <x v="8"/>
    <x v="0"/>
    <s v="4505104"/>
    <n v="743030"/>
    <s v="Subscriptions--Institutional"/>
    <s v="Recovery Services"/>
    <x v="0"/>
    <m/>
    <n v="0"/>
    <n v="165.47"/>
    <n v="0"/>
    <n v="0"/>
    <n v="0"/>
    <n v="157.5"/>
    <n v="0"/>
    <n v="0"/>
    <n v="0"/>
    <n v="0"/>
    <n v="204.77"/>
    <n v="0"/>
    <n v="527.74"/>
    <n v="204.77"/>
  </r>
  <r>
    <x v="0"/>
    <x v="8"/>
    <x v="0"/>
    <s v="4505104"/>
    <n v="749510"/>
    <s v="Miscellaneous Expenses"/>
    <s v="Recovery Services"/>
    <x v="0"/>
    <m/>
    <n v="0"/>
    <n v="0"/>
    <n v="2818"/>
    <n v="-1003.13"/>
    <n v="-117.75"/>
    <n v="0"/>
    <n v="430.82"/>
    <n v="111.39"/>
    <n v="-220.13"/>
    <n v="0"/>
    <n v="1475.97"/>
    <n v="-1239.1199999999999"/>
    <n v="2256.0500000000002"/>
    <n v="2715.09"/>
  </r>
  <r>
    <x v="0"/>
    <x v="8"/>
    <x v="0"/>
    <s v="4505104"/>
    <n v="749530"/>
    <s v="Travel"/>
    <s v="Recovery Services"/>
    <x v="0"/>
    <m/>
    <n v="0"/>
    <n v="0"/>
    <n v="0"/>
    <n v="594.96"/>
    <n v="0"/>
    <n v="0"/>
    <n v="0"/>
    <n v="0"/>
    <n v="220.13"/>
    <n v="0"/>
    <n v="0"/>
    <n v="1475.97"/>
    <n v="2291.06"/>
    <n v="-1475.97"/>
  </r>
  <r>
    <x v="0"/>
    <x v="8"/>
    <x v="0"/>
    <s v="4505104"/>
    <n v="749530"/>
    <s v="Mileage"/>
    <s v="Recovery Services"/>
    <x v="0"/>
    <n v="1001"/>
    <n v="0"/>
    <n v="0"/>
    <n v="0"/>
    <n v="0"/>
    <n v="161.87"/>
    <n v="0"/>
    <n v="0"/>
    <n v="0"/>
    <n v="0"/>
    <n v="0"/>
    <n v="0"/>
    <n v="0"/>
    <n v="161.87"/>
    <n v="0"/>
  </r>
  <r>
    <x v="0"/>
    <x v="8"/>
    <x v="0"/>
    <s v="4505104"/>
    <n v="749535"/>
    <s v="Meetings"/>
    <s v="Recovery Services"/>
    <x v="0"/>
    <m/>
    <n v="0"/>
    <n v="0"/>
    <n v="0"/>
    <n v="144.75"/>
    <n v="0"/>
    <n v="0"/>
    <n v="0"/>
    <n v="0"/>
    <n v="0"/>
    <n v="0"/>
    <n v="0"/>
    <n v="0"/>
    <n v="144.75"/>
    <n v="0"/>
  </r>
  <r>
    <x v="18"/>
    <x v="5"/>
    <x v="0"/>
    <s v="4505106"/>
    <n v="400010"/>
    <s v="Acute I/P Svcs Rev--Medicare"/>
    <s v="Recovery Services"/>
    <x v="0"/>
    <n v="1100"/>
    <n v="-167070.82"/>
    <n v="-206426.5"/>
    <n v="-128750.7"/>
    <n v="-137927.34"/>
    <n v="-115653.72"/>
    <n v="-113022.2"/>
    <n v="-212007.71"/>
    <n v="-155688.57"/>
    <n v="-156159"/>
    <n v="-146690.26999999999"/>
    <n v="-186320.71"/>
    <n v="-68778.570000000007"/>
    <n v="-1794496.11"/>
    <n v="-117542.13999999998"/>
  </r>
  <r>
    <x v="18"/>
    <x v="5"/>
    <x v="0"/>
    <s v="4505106"/>
    <n v="400010"/>
    <s v="Acute I/P Svcs Rev--Medicaid"/>
    <s v="Recovery Services"/>
    <x v="0"/>
    <n v="1200"/>
    <n v="-74795.7"/>
    <n v="-50404.639999999999"/>
    <n v="-49053.919999999998"/>
    <n v="-44722.38"/>
    <n v="-57655.5"/>
    <n v="-54445.95"/>
    <n v="-56624.74"/>
    <n v="-49843.74"/>
    <n v="-55298.57"/>
    <n v="-47508.36"/>
    <n v="-41562.29"/>
    <n v="-71805.48"/>
    <n v="-653721.27"/>
    <n v="30243.189999999995"/>
  </r>
  <r>
    <x v="18"/>
    <x v="5"/>
    <x v="0"/>
    <s v="4505106"/>
    <n v="400010"/>
    <s v="Acute I/P Svcs Rev--Comm Insurance"/>
    <s v="Recovery Services"/>
    <x v="0"/>
    <n v="1300"/>
    <n v="-3259.5"/>
    <n v="4605.8"/>
    <n v="606.9"/>
    <n v="4855.2"/>
    <n v="-3641.4"/>
    <n v="-5462.1"/>
    <n v="-1820.7"/>
    <n v="4248.3"/>
    <n v="-12206.86"/>
    <n v="-2372.9699999999998"/>
    <n v="-7501.32"/>
    <n v="4248.3"/>
    <n v="-17700.350000000002"/>
    <n v="-11749.619999999999"/>
  </r>
  <r>
    <x v="18"/>
    <x v="5"/>
    <x v="0"/>
    <s v="4505106"/>
    <n v="400010"/>
    <s v="Acute I/P Svcs Rev--BCBS Comm"/>
    <s v="Recovery Services"/>
    <x v="0"/>
    <n v="1301"/>
    <n v="-40864.6"/>
    <n v="-48946.84"/>
    <n v="-7687.4"/>
    <n v="-4855.2"/>
    <n v="-21848.400000000001"/>
    <n v="-37107.599999999999"/>
    <n v="-46124.4"/>
    <n v="-11251.98"/>
    <n v="-24710.94"/>
    <n v="-1432.32"/>
    <n v="-16252.86"/>
    <n v="-35341.440000000002"/>
    <n v="-296423.98000000004"/>
    <n v="19088.580000000002"/>
  </r>
  <r>
    <x v="18"/>
    <x v="5"/>
    <x v="0"/>
    <s v="4505106"/>
    <n v="400010"/>
    <s v="Acute I/P Svcs Rev--Managed Care"/>
    <s v="Recovery Services"/>
    <x v="0"/>
    <n v="1400"/>
    <n v="-61446"/>
    <n v="-69186.600000000006"/>
    <n v="-60083.1"/>
    <n v="-39750.9"/>
    <n v="-72221.100000000006"/>
    <n v="-59300.7"/>
    <n v="-27917.4"/>
    <n v="-14341.11"/>
    <n v="-18128.189999999999"/>
    <n v="-39533.58"/>
    <n v="-28285.69"/>
    <n v="-62258.400000000001"/>
    <n v="-552452.77"/>
    <n v="33972.710000000006"/>
  </r>
  <r>
    <x v="18"/>
    <x v="5"/>
    <x v="0"/>
    <s v="4505106"/>
    <n v="400010"/>
    <s v="Acute I/P Svcs Rev--Self Pay"/>
    <s v="Recovery Services"/>
    <x v="0"/>
    <n v="1500"/>
    <n v="-14398.4"/>
    <n v="-2427.6"/>
    <n v="0"/>
    <n v="-12138"/>
    <n v="-9103.5"/>
    <n v="-9103.5"/>
    <n v="0"/>
    <n v="-5000.88"/>
    <n v="-13127.31"/>
    <n v="-1875.33"/>
    <n v="-4375.7700000000004"/>
    <n v="0"/>
    <n v="-71550.289999999994"/>
    <n v="-4375.7700000000004"/>
  </r>
  <r>
    <x v="18"/>
    <x v="5"/>
    <x v="0"/>
    <s v="4505106"/>
    <n v="400010"/>
    <s v="Acute I/P Svcs Rev--Other"/>
    <s v="Recovery Services"/>
    <x v="0"/>
    <n v="1700"/>
    <n v="-5525.95"/>
    <n v="-7565.75"/>
    <n v="-11531.1"/>
    <n v="-6069"/>
    <n v="-12172.73"/>
    <n v="-15634.9"/>
    <n v="-10924.2"/>
    <n v="-10626.87"/>
    <n v="-7501.32"/>
    <n v="-3125.55"/>
    <n v="-10001.76"/>
    <n v="0"/>
    <n v="-100679.13"/>
    <n v="-10001.76"/>
  </r>
  <r>
    <x v="19"/>
    <x v="5"/>
    <x v="0"/>
    <s v="4505106"/>
    <n v="400020"/>
    <s v="O/P Care Svcs Rev--Medicare"/>
    <s v="Recovery Services"/>
    <x v="0"/>
    <n v="1100"/>
    <n v="-253695.4"/>
    <n v="-280395.36"/>
    <n v="-299721.34999999998"/>
    <n v="-247027.3"/>
    <n v="-260994.09"/>
    <n v="-247942.5"/>
    <n v="-237399.21"/>
    <n v="-209315.64"/>
    <n v="-262976.09000000003"/>
    <n v="-269140.27"/>
    <n v="-269211.96999999997"/>
    <n v="-327681.68"/>
    <n v="-3165500.86"/>
    <n v="58469.710000000021"/>
  </r>
  <r>
    <x v="19"/>
    <x v="5"/>
    <x v="0"/>
    <s v="4505106"/>
    <n v="400020"/>
    <s v="O/P Care Svcs Rev--Medicaid"/>
    <s v="Recovery Services"/>
    <x v="0"/>
    <n v="1200"/>
    <n v="-210449.09"/>
    <n v="-180903.23"/>
    <n v="-162193.51999999999"/>
    <n v="-210787.38"/>
    <n v="-154918.12"/>
    <n v="-185546.7"/>
    <n v="-166427.35"/>
    <n v="-158835"/>
    <n v="-133907.38"/>
    <n v="-181789.57"/>
    <n v="-135995.99"/>
    <n v="-180305.62"/>
    <n v="-2062058.9500000002"/>
    <n v="44309.630000000005"/>
  </r>
  <r>
    <x v="19"/>
    <x v="5"/>
    <x v="0"/>
    <s v="4505106"/>
    <n v="400020"/>
    <s v="O/P Care Svcs Rev--Comm Insurance"/>
    <s v="Recovery Services"/>
    <x v="0"/>
    <n v="1300"/>
    <n v="-14682.98"/>
    <n v="-38325.71"/>
    <n v="-10049.299999999999"/>
    <n v="-40616.339999999997"/>
    <n v="-44225.75"/>
    <n v="-10860.22"/>
    <n v="-30017.09"/>
    <n v="-12032.05"/>
    <n v="-12157.26"/>
    <n v="-11919.32"/>
    <n v="-25603.5"/>
    <n v="-40100.78"/>
    <n v="-290590.30000000005"/>
    <n v="14497.279999999999"/>
  </r>
  <r>
    <x v="19"/>
    <x v="5"/>
    <x v="0"/>
    <s v="4505106"/>
    <n v="400020"/>
    <s v="O/P Care Svcs Rev--BCBS Comm"/>
    <s v="Recovery Services"/>
    <x v="0"/>
    <n v="1301"/>
    <n v="-97511.9"/>
    <n v="-68008.84"/>
    <n v="-89647.28"/>
    <n v="-75493.27"/>
    <n v="-53402.239999999998"/>
    <n v="-144838.23000000001"/>
    <n v="-65559.38"/>
    <n v="-98244.19"/>
    <n v="-50071.61"/>
    <n v="-67332.740000000005"/>
    <n v="-102063.21"/>
    <n v="-111641.73"/>
    <n v="-1023814.62"/>
    <n v="9578.5199999999895"/>
  </r>
  <r>
    <x v="19"/>
    <x v="5"/>
    <x v="0"/>
    <s v="4505106"/>
    <n v="400020"/>
    <s v="O/P Care Svcs Rev--Managed Care"/>
    <s v="Recovery Services"/>
    <x v="0"/>
    <n v="1400"/>
    <n v="-243255.72"/>
    <n v="-265608.25"/>
    <n v="-206219.65"/>
    <n v="-294383.49"/>
    <n v="-328847.3"/>
    <n v="-383745.12"/>
    <n v="-192187.97"/>
    <n v="-284964.53000000003"/>
    <n v="-253149.27"/>
    <n v="-290119.37"/>
    <n v="-296379.98"/>
    <n v="-206527.91"/>
    <n v="-3245388.56"/>
    <n v="-89852.069999999978"/>
  </r>
  <r>
    <x v="19"/>
    <x v="5"/>
    <x v="0"/>
    <s v="4505106"/>
    <n v="400020"/>
    <s v="O/P Care Svcs Rev--Self Pay"/>
    <s v="Recovery Services"/>
    <x v="0"/>
    <n v="1500"/>
    <n v="-10924.2"/>
    <n v="-16071.36"/>
    <n v="-6821.88"/>
    <n v="-9454.31"/>
    <n v="-24139.03"/>
    <n v="-20926.560000000001"/>
    <n v="-21209.51"/>
    <n v="3064"/>
    <n v="-3125.55"/>
    <n v="-21194.75"/>
    <n v="-20630.97"/>
    <n v="-13578.39"/>
    <n v="-165012.51"/>
    <n v="-7052.5800000000017"/>
  </r>
  <r>
    <x v="19"/>
    <x v="5"/>
    <x v="0"/>
    <s v="4505106"/>
    <n v="400020"/>
    <s v="O/P Care Svcs Rev--Other"/>
    <s v="Recovery Services"/>
    <x v="0"/>
    <n v="1700"/>
    <n v="-2024.84"/>
    <n v="-34152.79"/>
    <n v="-2725.38"/>
    <n v="-12356.97"/>
    <n v="-22327.34"/>
    <n v="-15035.53"/>
    <n v="-16777.419999999998"/>
    <n v="-23989"/>
    <n v="-36140.769999999997"/>
    <n v="-38483.94"/>
    <n v="-29640.02"/>
    <n v="-14128.32"/>
    <n v="-247782.31999999998"/>
    <n v="-15511.7"/>
  </r>
  <r>
    <x v="14"/>
    <x v="5"/>
    <x v="0"/>
    <s v="4505106"/>
    <n v="600050"/>
    <s v="Miscellaneous Revenue"/>
    <s v="Recovery Services"/>
    <x v="0"/>
    <m/>
    <n v="0"/>
    <n v="-1649.2"/>
    <n v="0"/>
    <n v="0"/>
    <n v="0"/>
    <n v="0"/>
    <n v="0"/>
    <n v="0"/>
    <n v="0"/>
    <n v="0"/>
    <n v="-1593.99"/>
    <n v="652.86"/>
    <n v="-2590.33"/>
    <n v="-2246.85"/>
  </r>
  <r>
    <x v="5"/>
    <x v="5"/>
    <x v="0"/>
    <s v="4505106"/>
    <n v="700014"/>
    <s v="Salaries-Management-Productive"/>
    <s v="Recovery Services"/>
    <x v="0"/>
    <m/>
    <n v="6456.82"/>
    <n v="2225.42"/>
    <n v="0"/>
    <n v="0"/>
    <n v="-178.21"/>
    <n v="0"/>
    <n v="0"/>
    <n v="0"/>
    <n v="0"/>
    <n v="4333.6499999999996"/>
    <n v="13001.5"/>
    <n v="9318.02"/>
    <n v="35157.199999999997"/>
    <n v="3683.4799999999996"/>
  </r>
  <r>
    <x v="5"/>
    <x v="5"/>
    <x v="0"/>
    <s v="4505106"/>
    <n v="700014"/>
    <s v="Salaries-Management-OT"/>
    <s v="Recovery Services"/>
    <x v="0"/>
    <n v="1000"/>
    <n v="0"/>
    <n v="0"/>
    <n v="0"/>
    <n v="0"/>
    <n v="-101"/>
    <n v="0"/>
    <n v="0"/>
    <n v="0"/>
    <n v="0"/>
    <n v="0"/>
    <n v="0"/>
    <n v="0"/>
    <n v="-101"/>
    <n v="0"/>
  </r>
  <r>
    <x v="5"/>
    <x v="5"/>
    <x v="0"/>
    <s v="4505106"/>
    <n v="700014"/>
    <s v="Salaries-Management-Other"/>
    <s v="Recovery Services"/>
    <x v="0"/>
    <n v="2000"/>
    <n v="0"/>
    <n v="0"/>
    <n v="0"/>
    <n v="0"/>
    <n v="-3764.29"/>
    <n v="0"/>
    <n v="0"/>
    <n v="0"/>
    <n v="0"/>
    <n v="30.06"/>
    <n v="-0.02"/>
    <n v="0"/>
    <n v="-3734.25"/>
    <n v="-0.02"/>
  </r>
  <r>
    <x v="5"/>
    <x v="5"/>
    <x v="0"/>
    <s v="4505106"/>
    <n v="700026"/>
    <s v="Salaries-RN-Productive"/>
    <s v="Recovery Services"/>
    <x v="0"/>
    <m/>
    <n v="71520.33"/>
    <n v="83095.98"/>
    <n v="67033.710000000006"/>
    <n v="69205.77"/>
    <n v="70759.539999999994"/>
    <n v="88160.66"/>
    <n v="90481.57"/>
    <n v="75868.78"/>
    <n v="82794.94"/>
    <n v="95885.08"/>
    <n v="73625.67"/>
    <n v="80184.899999999994"/>
    <n v="948616.93"/>
    <n v="-6559.2299999999959"/>
  </r>
  <r>
    <x v="5"/>
    <x v="5"/>
    <x v="0"/>
    <s v="4505106"/>
    <n v="700026"/>
    <s v="Salaries-RN-OT"/>
    <s v="Recovery Services"/>
    <x v="0"/>
    <n v="1000"/>
    <n v="2283.1"/>
    <n v="5246.93"/>
    <n v="380.22"/>
    <n v="235.4"/>
    <n v="691.83"/>
    <n v="4704.87"/>
    <n v="3681.85"/>
    <n v="2462.31"/>
    <n v="2061.7399999999998"/>
    <n v="4225.72"/>
    <n v="496.05"/>
    <n v="1740.49"/>
    <n v="28210.510000000002"/>
    <n v="-1244.44"/>
  </r>
  <r>
    <x v="5"/>
    <x v="5"/>
    <x v="0"/>
    <s v="4505106"/>
    <n v="700026"/>
    <s v="Salaries-RN-Other"/>
    <s v="Recovery Services"/>
    <x v="0"/>
    <n v="2000"/>
    <n v="6534.39"/>
    <n v="10112.530000000001"/>
    <n v="4511.28"/>
    <n v="6833.47"/>
    <n v="5187.3"/>
    <n v="9951.4"/>
    <n v="7704.21"/>
    <n v="5578.33"/>
    <n v="6006.42"/>
    <n v="7894.91"/>
    <n v="4838.1099999999997"/>
    <n v="5565.74"/>
    <n v="80718.090000000011"/>
    <n v="-727.63000000000011"/>
  </r>
  <r>
    <x v="5"/>
    <x v="5"/>
    <x v="0"/>
    <s v="4505106"/>
    <n v="700032"/>
    <s v="Salaries-Other Pat Care Providers-Productive"/>
    <s v="Recovery Services"/>
    <x v="0"/>
    <m/>
    <n v="4656.29"/>
    <n v="7435.89"/>
    <n v="7939.47"/>
    <n v="5177.92"/>
    <n v="5511.23"/>
    <n v="7331.1"/>
    <n v="6779.75"/>
    <n v="2176.6"/>
    <n v="8086.84"/>
    <n v="6233.87"/>
    <n v="7489.99"/>
    <n v="5203.6899999999996"/>
    <n v="74022.64"/>
    <n v="2286.3000000000002"/>
  </r>
  <r>
    <x v="5"/>
    <x v="5"/>
    <x v="0"/>
    <s v="4505106"/>
    <n v="700032"/>
    <s v="Salaries-Other Pat Care Providers-OT"/>
    <s v="Recovery Services"/>
    <x v="0"/>
    <n v="1000"/>
    <n v="315.26"/>
    <n v="647.08000000000004"/>
    <n v="328.51"/>
    <n v="-66.91"/>
    <n v="203.78"/>
    <n v="492.42"/>
    <n v="333.2"/>
    <n v="133.57"/>
    <n v="628.36"/>
    <n v="68.62"/>
    <n v="274.33"/>
    <n v="-107.54"/>
    <n v="3250.68"/>
    <n v="381.87"/>
  </r>
  <r>
    <x v="5"/>
    <x v="5"/>
    <x v="0"/>
    <s v="4505106"/>
    <n v="700032"/>
    <s v="Salaries-Other Pat Care Providers-Other"/>
    <s v="Recovery Services"/>
    <x v="0"/>
    <n v="2000"/>
    <n v="16.47"/>
    <n v="2.86"/>
    <n v="-1.17"/>
    <n v="0"/>
    <n v="0"/>
    <n v="0"/>
    <n v="7.09"/>
    <n v="7.09"/>
    <n v="14.15"/>
    <n v="0"/>
    <n v="0"/>
    <n v="0"/>
    <n v="46.489999999999995"/>
    <n v="0"/>
  </r>
  <r>
    <x v="5"/>
    <x v="5"/>
    <x v="0"/>
    <s v="4505106"/>
    <n v="700038"/>
    <s v="Salaries-Service/Support-Productive"/>
    <s v="Recovery Services"/>
    <x v="0"/>
    <m/>
    <n v="5411.77"/>
    <n v="3285.05"/>
    <n v="2798.06"/>
    <n v="3643.12"/>
    <n v="4452.13"/>
    <n v="2689.9"/>
    <n v="3616.15"/>
    <n v="5622.23"/>
    <n v="3116.14"/>
    <n v="5933.71"/>
    <n v="4856.47"/>
    <n v="5755.13"/>
    <n v="51179.86"/>
    <n v="-898.65999999999985"/>
  </r>
  <r>
    <x v="5"/>
    <x v="5"/>
    <x v="0"/>
    <s v="4505106"/>
    <n v="700038"/>
    <s v="Salaries-Service/Support-OT"/>
    <s v="Recovery Services"/>
    <x v="0"/>
    <n v="1000"/>
    <n v="489.92"/>
    <n v="337.76"/>
    <n v="51.87"/>
    <n v="101.48"/>
    <n v="82.04"/>
    <n v="170.75"/>
    <n v="487.22"/>
    <n v="181.8"/>
    <n v="217.76"/>
    <n v="214.15"/>
    <n v="139.78"/>
    <n v="376.77"/>
    <n v="2851.3000000000006"/>
    <n v="-236.98999999999998"/>
  </r>
  <r>
    <x v="5"/>
    <x v="5"/>
    <x v="0"/>
    <s v="4505106"/>
    <n v="700038"/>
    <s v="Salaries-Service/Support-Other"/>
    <s v="Recovery Services"/>
    <x v="0"/>
    <n v="2000"/>
    <n v="66.099999999999994"/>
    <n v="65.83"/>
    <n v="-6.79"/>
    <n v="0"/>
    <n v="12.72"/>
    <n v="1.42"/>
    <n v="15.13"/>
    <n v="2.92"/>
    <n v="9.08"/>
    <n v="23.74"/>
    <n v="29.9"/>
    <n v="92.22"/>
    <n v="312.27"/>
    <n v="-62.32"/>
  </r>
  <r>
    <x v="5"/>
    <x v="5"/>
    <x v="0"/>
    <s v="4505106"/>
    <n v="700054"/>
    <s v="Salaries-Management-Non-productive"/>
    <s v="Recovery Services"/>
    <x v="0"/>
    <m/>
    <n v="4851.53"/>
    <n v="-765.77"/>
    <n v="0"/>
    <n v="0"/>
    <n v="0"/>
    <n v="0"/>
    <n v="0"/>
    <n v="0"/>
    <n v="0"/>
    <n v="0"/>
    <n v="0"/>
    <n v="0"/>
    <n v="4085.7599999999998"/>
    <n v="0"/>
  </r>
  <r>
    <x v="5"/>
    <x v="5"/>
    <x v="0"/>
    <s v="4505106"/>
    <n v="700054"/>
    <s v="Salaries-Management-NonProd-Other"/>
    <s v="Recovery Services"/>
    <x v="0"/>
    <n v="2000"/>
    <n v="0"/>
    <n v="0"/>
    <n v="0"/>
    <n v="0"/>
    <n v="-30.02"/>
    <n v="0"/>
    <n v="0"/>
    <n v="0"/>
    <n v="0"/>
    <n v="0"/>
    <n v="0"/>
    <n v="0"/>
    <n v="-30.02"/>
    <n v="0"/>
  </r>
  <r>
    <x v="5"/>
    <x v="5"/>
    <x v="0"/>
    <s v="4505106"/>
    <n v="700066"/>
    <s v="Salaries-RN-Non-productive"/>
    <s v="Recovery Services"/>
    <x v="0"/>
    <m/>
    <n v="14877.56"/>
    <n v="4573.22"/>
    <n v="11893.76"/>
    <n v="18651.060000000001"/>
    <n v="1818.97"/>
    <n v="19700.87"/>
    <n v="9970.35"/>
    <n v="7619.92"/>
    <n v="16214.09"/>
    <n v="9145"/>
    <n v="12827.1"/>
    <n v="10605.13"/>
    <n v="137897.03"/>
    <n v="2221.9700000000012"/>
  </r>
  <r>
    <x v="5"/>
    <x v="5"/>
    <x v="0"/>
    <s v="4505106"/>
    <n v="700066"/>
    <s v="Salaries-RN-NonProd-Other"/>
    <s v="Recovery Services"/>
    <x v="0"/>
    <n v="2000"/>
    <n v="585.46"/>
    <n v="837.93"/>
    <n v="2283.73"/>
    <n v="1315.97"/>
    <n v="1090.9000000000001"/>
    <n v="1600.93"/>
    <n v="1991.32"/>
    <n v="1732.79"/>
    <n v="1023.04"/>
    <n v="2282.6799999999998"/>
    <n v="3407.9"/>
    <n v="1560.27"/>
    <n v="19712.920000000002"/>
    <n v="1847.63"/>
  </r>
  <r>
    <x v="5"/>
    <x v="5"/>
    <x v="0"/>
    <s v="4505106"/>
    <n v="700072"/>
    <s v="Salaries-Other Pat Care Providers-Non-productive"/>
    <s v="Recovery Services"/>
    <x v="0"/>
    <m/>
    <n v="3100.79"/>
    <n v="1178.33"/>
    <n v="381.24"/>
    <n v="1251.19"/>
    <n v="1232.77"/>
    <n v="900.18"/>
    <n v="1114.33"/>
    <n v="3783.45"/>
    <n v="658.59"/>
    <n v="1909.65"/>
    <n v="646.85"/>
    <n v="2567.5100000000002"/>
    <n v="18724.879999999997"/>
    <n v="-1920.6600000000003"/>
  </r>
  <r>
    <x v="5"/>
    <x v="5"/>
    <x v="0"/>
    <s v="4505106"/>
    <n v="700072"/>
    <s v="Salaries-Other Pat Care Providers-NonProd-Other"/>
    <s v="Recovery Services"/>
    <x v="0"/>
    <n v="2000"/>
    <n v="0"/>
    <n v="25.07"/>
    <n v="20.43"/>
    <n v="0"/>
    <n v="0"/>
    <n v="0"/>
    <n v="0"/>
    <n v="0"/>
    <n v="0"/>
    <n v="13.25"/>
    <n v="0"/>
    <n v="13.25"/>
    <n v="72"/>
    <n v="-13.25"/>
  </r>
  <r>
    <x v="5"/>
    <x v="5"/>
    <x v="0"/>
    <s v="4505106"/>
    <n v="700078"/>
    <s v="Salaries-Service/Support-NonProd-Other"/>
    <s v="Recovery Services"/>
    <x v="0"/>
    <n v="2000"/>
    <n v="0"/>
    <n v="0"/>
    <n v="0"/>
    <n v="0"/>
    <n v="0"/>
    <n v="0"/>
    <n v="0"/>
    <n v="0"/>
    <n v="0"/>
    <n v="6.34"/>
    <n v="0"/>
    <n v="0"/>
    <n v="6.34"/>
    <n v="0"/>
  </r>
  <r>
    <x v="5"/>
    <x v="5"/>
    <x v="0"/>
    <s v="4505106"/>
    <n v="700084"/>
    <s v="Accrued PTO"/>
    <s v="Recovery Services"/>
    <x v="0"/>
    <m/>
    <n v="-9245.0499999999993"/>
    <n v="2794.36"/>
    <n v="-1531.57"/>
    <n v="-4136.46"/>
    <n v="1869.25"/>
    <n v="354.73"/>
    <n v="1275.26"/>
    <n v="479.26"/>
    <n v="4671.3999999999996"/>
    <n v="1282.8800000000001"/>
    <n v="322.45"/>
    <n v="1250.69"/>
    <n v="-612.79999999999768"/>
    <n v="-928.24"/>
  </r>
  <r>
    <x v="10"/>
    <x v="5"/>
    <x v="0"/>
    <s v="4505106"/>
    <n v="710060"/>
    <s v="Contract Labor-Other"/>
    <s v="Recovery Services"/>
    <x v="0"/>
    <m/>
    <n v="28185.48"/>
    <n v="24816.75"/>
    <n v="20529.5"/>
    <n v="41125.230000000003"/>
    <n v="16842"/>
    <n v="7890"/>
    <n v="62"/>
    <n v="14329.75"/>
    <n v="12366.25"/>
    <n v="23352.5"/>
    <n v="-46.76"/>
    <n v="7437.25"/>
    <n v="196889.94999999998"/>
    <n v="-7484.01"/>
  </r>
  <r>
    <x v="10"/>
    <x v="5"/>
    <x v="0"/>
    <s v="4505106"/>
    <n v="710060"/>
    <s v="Contract Labor-Overtime"/>
    <s v="Recovery Services"/>
    <x v="0"/>
    <n v="5100"/>
    <n v="2901.85"/>
    <n v="3052.03"/>
    <n v="4598.1099999999997"/>
    <n v="4724.67"/>
    <n v="128"/>
    <n v="614.84"/>
    <n v="383.4"/>
    <n v="407.36"/>
    <n v="3474.56"/>
    <n v="4262.97"/>
    <n v="-2178.2199999999998"/>
    <n v="1677.37"/>
    <n v="24046.940000000002"/>
    <n v="-3855.5899999999997"/>
  </r>
  <r>
    <x v="10"/>
    <x v="5"/>
    <x v="0"/>
    <s v="4505106"/>
    <n v="710060"/>
    <s v="Contract Labor-Standby Wages"/>
    <s v="Recovery Services"/>
    <x v="0"/>
    <n v="5101"/>
    <n v="1100"/>
    <n v="1216"/>
    <n v="798"/>
    <n v="2662"/>
    <n v="394"/>
    <n v="699.4"/>
    <n v="-445.4"/>
    <n v="296"/>
    <n v="888"/>
    <n v="3809"/>
    <n v="-3151"/>
    <n v="322"/>
    <n v="8588"/>
    <n v="-3473"/>
  </r>
  <r>
    <x v="6"/>
    <x v="5"/>
    <x v="0"/>
    <s v="4505106"/>
    <n v="713010"/>
    <s v="Benefits-FICA/Medicare"/>
    <s v="Recovery Services"/>
    <x v="0"/>
    <m/>
    <n v="9155.2199999999993"/>
    <n v="9059.26"/>
    <n v="7548.97"/>
    <n v="8042.63"/>
    <n v="6102.67"/>
    <n v="8869.42"/>
    <n v="9550.32"/>
    <n v="7925.95"/>
    <n v="9126.42"/>
    <n v="10478.16"/>
    <n v="9196.35"/>
    <n v="9285.2999999999993"/>
    <n v="104340.67000000001"/>
    <n v="-88.949999999998909"/>
  </r>
  <r>
    <x v="6"/>
    <x v="5"/>
    <x v="0"/>
    <s v="4505106"/>
    <n v="713090"/>
    <s v="Benefits-Allocated Amounts"/>
    <s v="Recovery Services"/>
    <x v="0"/>
    <m/>
    <n v="21359.01"/>
    <n v="20976.17"/>
    <n v="17435.13"/>
    <n v="17534.62"/>
    <n v="16366.53"/>
    <n v="23302.51"/>
    <n v="22039.279999999999"/>
    <n v="20031.66"/>
    <n v="21736.63"/>
    <n v="24886.959999999999"/>
    <n v="21790.28"/>
    <n v="22224.52"/>
    <n v="249683.3"/>
    <n v="-434.2400000000016"/>
  </r>
  <r>
    <x v="7"/>
    <x v="5"/>
    <x v="0"/>
    <s v="4505106"/>
    <n v="718050"/>
    <s v="Contract Svcs-Other"/>
    <s v="Recovery Services"/>
    <x v="0"/>
    <m/>
    <n v="192.5"/>
    <n v="192.5"/>
    <n v="0"/>
    <n v="385"/>
    <n v="192.5"/>
    <n v="192.5"/>
    <n v="0"/>
    <n v="0"/>
    <n v="770"/>
    <n v="0"/>
    <n v="192.5"/>
    <n v="0"/>
    <n v="2117.5"/>
    <n v="192.5"/>
  </r>
  <r>
    <x v="7"/>
    <x v="5"/>
    <x v="0"/>
    <s v="4505106"/>
    <n v="718050"/>
    <s v="Miscellaneous Purchased Svcs"/>
    <s v="Recovery Services"/>
    <x v="0"/>
    <n v="1020"/>
    <n v="0"/>
    <n v="0"/>
    <n v="0"/>
    <n v="0"/>
    <n v="0"/>
    <n v="0"/>
    <n v="0"/>
    <n v="0"/>
    <n v="0"/>
    <n v="29.9"/>
    <n v="79.599999999999994"/>
    <n v="0"/>
    <n v="109.5"/>
    <n v="79.599999999999994"/>
  </r>
  <r>
    <x v="7"/>
    <x v="5"/>
    <x v="0"/>
    <s v="4505106"/>
    <n v="718050"/>
    <s v="Translation Services"/>
    <s v="Recovery Services"/>
    <x v="0"/>
    <n v="1025"/>
    <n v="227.61"/>
    <n v="0"/>
    <n v="280.89"/>
    <n v="121.66"/>
    <n v="51.35"/>
    <n v="0"/>
    <n v="371.76"/>
    <n v="0"/>
    <n v="440.82"/>
    <n v="219.62"/>
    <n v="33.97"/>
    <n v="0"/>
    <n v="1747.68"/>
    <n v="33.97"/>
  </r>
  <r>
    <x v="7"/>
    <x v="5"/>
    <x v="0"/>
    <s v="4505106"/>
    <n v="718050"/>
    <s v="Contract Management--Linen"/>
    <s v="Recovery Services"/>
    <x v="0"/>
    <n v="1026"/>
    <n v="1107.1600000000001"/>
    <n v="1093.25"/>
    <n v="1415.9"/>
    <n v="2073.36"/>
    <n v="1901.55"/>
    <n v="2105.64"/>
    <n v="1645.3"/>
    <n v="1558.51"/>
    <n v="1650.54"/>
    <n v="1845.53"/>
    <n v="1582.05"/>
    <n v="1539.64"/>
    <n v="19518.429999999997"/>
    <n v="42.409999999999854"/>
  </r>
  <r>
    <x v="11"/>
    <x v="5"/>
    <x v="0"/>
    <s v="4505106"/>
    <n v="721010"/>
    <s v="Supplies-Medical - Billable"/>
    <s v="Recovery Services"/>
    <x v="0"/>
    <m/>
    <n v="218.73"/>
    <n v="98.73"/>
    <n v="136.91999999999999"/>
    <n v="120.82"/>
    <n v="35.1"/>
    <n v="108.78"/>
    <n v="127.19"/>
    <n v="53.76"/>
    <n v="173.26"/>
    <n v="94.1"/>
    <n v="45.95"/>
    <n v="99.65"/>
    <n v="1312.99"/>
    <n v="-53.7"/>
  </r>
  <r>
    <x v="11"/>
    <x v="5"/>
    <x v="0"/>
    <s v="4505106"/>
    <n v="721010"/>
    <s v="Patient Monitoring"/>
    <s v="Recovery Services"/>
    <x v="0"/>
    <n v="1000"/>
    <n v="9.26"/>
    <n v="3.09"/>
    <n v="12.36"/>
    <n v="9.26"/>
    <n v="15.43"/>
    <n v="21.6"/>
    <n v="18.52"/>
    <n v="9.26"/>
    <n v="24.69"/>
    <n v="12.35"/>
    <n v="27.77"/>
    <n v="0"/>
    <n v="163.59"/>
    <n v="27.77"/>
  </r>
  <r>
    <x v="11"/>
    <x v="5"/>
    <x v="0"/>
    <s v="4505106"/>
    <n v="721020"/>
    <s v="Supplies-Surgical - Billable"/>
    <s v="Recovery Services"/>
    <x v="0"/>
    <m/>
    <n v="0"/>
    <n v="3.43"/>
    <n v="3.43"/>
    <n v="0"/>
    <n v="0"/>
    <n v="6.86"/>
    <n v="0"/>
    <n v="0"/>
    <n v="6.86"/>
    <n v="0"/>
    <n v="0"/>
    <n v="0"/>
    <n v="20.580000000000002"/>
    <n v="0"/>
  </r>
  <r>
    <x v="11"/>
    <x v="5"/>
    <x v="0"/>
    <s v="4505106"/>
    <n v="721020"/>
    <s v="Urological Supplies"/>
    <s v="Recovery Services"/>
    <x v="0"/>
    <n v="1006"/>
    <n v="7.2"/>
    <n v="4.8"/>
    <n v="0"/>
    <n v="19.2"/>
    <n v="33.6"/>
    <n v="14.4"/>
    <n v="4.8"/>
    <n v="9.6"/>
    <n v="21.6"/>
    <n v="28.8"/>
    <n v="14.4"/>
    <n v="19.2"/>
    <n v="177.6"/>
    <n v="-4.7999999999999989"/>
  </r>
  <r>
    <x v="11"/>
    <x v="5"/>
    <x v="0"/>
    <s v="4505106"/>
    <n v="721240"/>
    <s v="Supplies-IV Solutions/Supplies - Billable"/>
    <s v="Recovery Services"/>
    <x v="0"/>
    <m/>
    <n v="1630.85"/>
    <n v="1775.64"/>
    <n v="1657.31"/>
    <n v="1580.17"/>
    <n v="1738.58"/>
    <n v="1654.65"/>
    <n v="1317.27"/>
    <n v="1007.28"/>
    <n v="1520.35"/>
    <n v="1502.78"/>
    <n v="2014.28"/>
    <n v="774"/>
    <n v="18173.16"/>
    <n v="1240.28"/>
  </r>
  <r>
    <x v="11"/>
    <x v="5"/>
    <x v="0"/>
    <s v="4505106"/>
    <n v="721410"/>
    <s v="Supplies-Medical - Nonbillable"/>
    <s v="Recovery Services"/>
    <x v="0"/>
    <m/>
    <n v="918.87"/>
    <n v="991.59"/>
    <n v="714.92"/>
    <n v="977.77"/>
    <n v="987.54"/>
    <n v="842.72"/>
    <n v="1001.24"/>
    <n v="648.75"/>
    <n v="822.37"/>
    <n v="1121.98"/>
    <n v="897.49"/>
    <n v="674.77"/>
    <n v="10600.01"/>
    <n v="222.72000000000003"/>
  </r>
  <r>
    <x v="11"/>
    <x v="5"/>
    <x v="0"/>
    <s v="4505106"/>
    <n v="721420"/>
    <s v="Supplies-Surgical Nonbillable"/>
    <s v="Recovery Services"/>
    <x v="0"/>
    <m/>
    <n v="90.79"/>
    <n v="47.49"/>
    <n v="88.29"/>
    <n v="97.5"/>
    <n v="137.47999999999999"/>
    <n v="0"/>
    <n v="144.99"/>
    <n v="0"/>
    <n v="44.7"/>
    <n v="97.5"/>
    <n v="96.42"/>
    <n v="3.86"/>
    <n v="849.02"/>
    <n v="92.56"/>
  </r>
  <r>
    <x v="11"/>
    <x v="5"/>
    <x v="0"/>
    <s v="4505106"/>
    <n v="721420"/>
    <s v="Tubes Drains &amp; Related Supplies"/>
    <s v="Recovery Services"/>
    <x v="0"/>
    <n v="1008"/>
    <n v="13.76"/>
    <n v="20.64"/>
    <n v="20.64"/>
    <n v="34.39"/>
    <n v="6.88"/>
    <n v="13.76"/>
    <n v="0"/>
    <n v="0"/>
    <n v="13.21"/>
    <n v="6.61"/>
    <n v="54.98"/>
    <n v="6.61"/>
    <n v="191.48000000000002"/>
    <n v="48.37"/>
  </r>
  <r>
    <x v="11"/>
    <x v="5"/>
    <x v="0"/>
    <s v="4505106"/>
    <n v="721420"/>
    <s v="Sterilization Process Products"/>
    <s v="Recovery Services"/>
    <x v="0"/>
    <n v="1009"/>
    <n v="0"/>
    <n v="0"/>
    <n v="0"/>
    <n v="0"/>
    <n v="0"/>
    <n v="0.71"/>
    <n v="0"/>
    <n v="0"/>
    <n v="0"/>
    <n v="0"/>
    <n v="0"/>
    <n v="0"/>
    <n v="0.71"/>
    <n v="0"/>
  </r>
  <r>
    <x v="11"/>
    <x v="5"/>
    <x v="0"/>
    <s v="4505106"/>
    <n v="721610"/>
    <s v="Supplies-Anesthesia - Nonbillable"/>
    <s v="Recovery Services"/>
    <x v="0"/>
    <m/>
    <n v="85.17"/>
    <n v="111.17"/>
    <n v="91.63"/>
    <n v="105.36"/>
    <n v="75.489999999999995"/>
    <n v="107.76"/>
    <n v="58.55"/>
    <n v="61.49"/>
    <n v="82.6"/>
    <n v="52.35"/>
    <n v="47.05"/>
    <n v="78.33"/>
    <n v="956.95"/>
    <n v="-31.28"/>
  </r>
  <r>
    <x v="11"/>
    <x v="5"/>
    <x v="0"/>
    <s v="4505106"/>
    <n v="721640"/>
    <s v="Supplies-IV Solutions/Supplies - Nonbillable"/>
    <s v="Recovery Services"/>
    <x v="0"/>
    <m/>
    <n v="301.72000000000003"/>
    <n v="305.75"/>
    <n v="227.3"/>
    <n v="235.51"/>
    <n v="304.88"/>
    <n v="218.1"/>
    <n v="109.93"/>
    <n v="193.59"/>
    <n v="223.03"/>
    <n v="159.72999999999999"/>
    <n v="411.67"/>
    <n v="197.5"/>
    <n v="2888.71"/>
    <n v="214.17000000000002"/>
  </r>
  <r>
    <x v="11"/>
    <x v="5"/>
    <x v="0"/>
    <s v="4505106"/>
    <n v="721710"/>
    <s v="Supplies-Laboratory - Nonbillable"/>
    <s v="Recovery Services"/>
    <x v="0"/>
    <m/>
    <n v="36.6"/>
    <n v="35.409999999999997"/>
    <n v="21.59"/>
    <n v="23.22"/>
    <n v="26.59"/>
    <n v="27.6"/>
    <n v="13.76"/>
    <n v="24.93"/>
    <n v="17.96"/>
    <n v="24.89"/>
    <n v="43.38"/>
    <n v="40.29"/>
    <n v="336.22"/>
    <n v="3.0900000000000034"/>
  </r>
  <r>
    <x v="11"/>
    <x v="5"/>
    <x v="0"/>
    <s v="4505106"/>
    <n v="721810"/>
    <s v="Supplies-Dietary/Cafeteria"/>
    <s v="Recovery Services"/>
    <x v="0"/>
    <m/>
    <n v="59.9"/>
    <n v="54"/>
    <n v="65.08"/>
    <n v="61.55"/>
    <n v="61.4"/>
    <n v="48.71"/>
    <n v="75.790000000000006"/>
    <n v="65.760000000000005"/>
    <n v="46.82"/>
    <n v="83.72"/>
    <n v="474.42"/>
    <n v="55.47"/>
    <n v="1152.6200000000001"/>
    <n v="418.95000000000005"/>
  </r>
  <r>
    <x v="11"/>
    <x v="5"/>
    <x v="0"/>
    <s v="4505106"/>
    <n v="721830"/>
    <s v="Supplies-Office"/>
    <s v="Recovery Services"/>
    <x v="0"/>
    <m/>
    <n v="9.2799999999999994"/>
    <n v="38.74"/>
    <n v="128.80000000000001"/>
    <n v="8.7200000000000006"/>
    <n v="362.29"/>
    <n v="28.47"/>
    <n v="11.46"/>
    <n v="263.45999999999998"/>
    <n v="7.1"/>
    <n v="473.83"/>
    <n v="8.98"/>
    <n v="7.28"/>
    <n v="1348.41"/>
    <n v="1.7000000000000002"/>
  </r>
  <r>
    <x v="11"/>
    <x v="5"/>
    <x v="0"/>
    <s v="4505106"/>
    <n v="721835"/>
    <s v="Supplies-Forms"/>
    <s v="Recovery Services"/>
    <x v="0"/>
    <m/>
    <n v="0"/>
    <n v="0"/>
    <n v="0"/>
    <n v="0"/>
    <n v="40.75"/>
    <n v="0"/>
    <n v="0"/>
    <n v="0"/>
    <n v="0"/>
    <n v="0"/>
    <n v="0"/>
    <n v="0"/>
    <n v="40.75"/>
    <n v="0"/>
  </r>
  <r>
    <x v="11"/>
    <x v="5"/>
    <x v="0"/>
    <s v="4505106"/>
    <n v="721870"/>
    <s v="Supplies-Environmental Services"/>
    <s v="Recovery Services"/>
    <x v="0"/>
    <m/>
    <n v="1055.7"/>
    <n v="104.69"/>
    <n v="91.04"/>
    <n v="127.45"/>
    <n v="125.75"/>
    <n v="75.67"/>
    <n v="154.77000000000001"/>
    <n v="40.96"/>
    <n v="122.92"/>
    <n v="134.86000000000001"/>
    <n v="143.63999999999999"/>
    <n v="75.67"/>
    <n v="2253.1200000000003"/>
    <n v="67.969999999999985"/>
  </r>
  <r>
    <x v="11"/>
    <x v="5"/>
    <x v="0"/>
    <s v="4505106"/>
    <n v="721910"/>
    <s v="Supplies-Small Equipment"/>
    <s v="Recovery Services"/>
    <x v="0"/>
    <m/>
    <n v="78.87"/>
    <n v="941.88"/>
    <n v="3.73"/>
    <n v="54.92"/>
    <n v="0"/>
    <n v="3.11"/>
    <n v="0.62"/>
    <n v="330"/>
    <n v="3.11"/>
    <n v="0"/>
    <n v="12.44"/>
    <n v="3.11"/>
    <n v="1431.7899999999997"/>
    <n v="9.33"/>
  </r>
  <r>
    <x v="11"/>
    <x v="5"/>
    <x v="0"/>
    <s v="4505106"/>
    <n v="721980"/>
    <s v="Supplies-Other"/>
    <s v="Recovery Services"/>
    <x v="0"/>
    <m/>
    <n v="99"/>
    <n v="9.9"/>
    <n v="0"/>
    <n v="0"/>
    <n v="0"/>
    <n v="68.63"/>
    <n v="6.86"/>
    <n v="0"/>
    <n v="0"/>
    <n v="0"/>
    <n v="0"/>
    <n v="0"/>
    <n v="184.39000000000001"/>
    <n v="0"/>
  </r>
  <r>
    <x v="11"/>
    <x v="5"/>
    <x v="0"/>
    <s v="4505106"/>
    <n v="722000"/>
    <s v="Supplies-Freight Expense"/>
    <s v="Recovery Services"/>
    <x v="0"/>
    <m/>
    <n v="0"/>
    <n v="0"/>
    <n v="50.93"/>
    <n v="13.07"/>
    <n v="0"/>
    <n v="0"/>
    <n v="0"/>
    <n v="0"/>
    <n v="0"/>
    <n v="0"/>
    <n v="0"/>
    <n v="0"/>
    <n v="64"/>
    <n v="0"/>
  </r>
  <r>
    <x v="12"/>
    <x v="5"/>
    <x v="0"/>
    <s v="4505106"/>
    <n v="730020"/>
    <s v="Rental and Leases-Copier Usage Fees (DO NOT USE)"/>
    <s v="Recovery Services"/>
    <x v="0"/>
    <n v="5100"/>
    <n v="484.8"/>
    <n v="493.6"/>
    <n v="489.2"/>
    <n v="489.2"/>
    <n v="489.2"/>
    <n v="489.2"/>
    <n v="-4.32"/>
    <n v="286.36"/>
    <n v="285.76"/>
    <n v="842.57"/>
    <n v="286.36"/>
    <n v="498"/>
    <n v="5129.9299999999994"/>
    <n v="-211.64"/>
  </r>
  <r>
    <x v="15"/>
    <x v="5"/>
    <x v="0"/>
    <s v="4505106"/>
    <n v="731060"/>
    <s v="Telephone"/>
    <s v="Recovery Services"/>
    <x v="0"/>
    <m/>
    <n v="0"/>
    <n v="220.64"/>
    <n v="22.06"/>
    <n v="0"/>
    <n v="0"/>
    <n v="0"/>
    <n v="0"/>
    <n v="0"/>
    <n v="0"/>
    <n v="0"/>
    <n v="0"/>
    <n v="0"/>
    <n v="242.7"/>
    <n v="0"/>
  </r>
  <r>
    <x v="16"/>
    <x v="5"/>
    <x v="0"/>
    <s v="4505106"/>
    <n v="732030"/>
    <s v="Repairs---Other"/>
    <s v="Recovery Services"/>
    <x v="0"/>
    <m/>
    <n v="0"/>
    <n v="0"/>
    <n v="0"/>
    <n v="0"/>
    <n v="0"/>
    <n v="228.37"/>
    <n v="556.66999999999996"/>
    <n v="0"/>
    <n v="0"/>
    <n v="0"/>
    <n v="0"/>
    <n v="887.74"/>
    <n v="1672.78"/>
    <n v="-887.74"/>
  </r>
  <r>
    <x v="13"/>
    <x v="5"/>
    <x v="0"/>
    <s v="4505106"/>
    <n v="735060"/>
    <s v="Depreciation-Fixed Equipment"/>
    <s v="Recovery Services"/>
    <x v="0"/>
    <m/>
    <n v="34.43"/>
    <n v="34.42"/>
    <n v="34.43"/>
    <n v="34.42"/>
    <n v="34.43"/>
    <n v="34.42"/>
    <n v="34.43"/>
    <n v="34.42"/>
    <n v="34.44"/>
    <n v="34.409999999999997"/>
    <n v="34.46"/>
    <n v="34.409999999999997"/>
    <n v="413.12"/>
    <n v="5.0000000000004263E-2"/>
  </r>
  <r>
    <x v="13"/>
    <x v="5"/>
    <x v="0"/>
    <s v="4505106"/>
    <n v="735070"/>
    <s v="Depreciation-Movable Equipment"/>
    <s v="Recovery Services"/>
    <x v="0"/>
    <m/>
    <n v="3167.92"/>
    <n v="3167.79"/>
    <n v="3168.02"/>
    <n v="3167.78"/>
    <n v="3168.2"/>
    <n v="3167.73"/>
    <n v="3168.27"/>
    <n v="3167.57"/>
    <n v="3168.56"/>
    <n v="3299.48"/>
    <n v="3300.75"/>
    <n v="3299.28"/>
    <n v="38411.35"/>
    <n v="1.4699999999997999"/>
  </r>
  <r>
    <x v="0"/>
    <x v="5"/>
    <x v="0"/>
    <s v="4505106"/>
    <n v="740020"/>
    <s v="Education-Registration Fees"/>
    <s v="Recovery Services"/>
    <x v="0"/>
    <m/>
    <n v="0"/>
    <n v="425"/>
    <n v="0"/>
    <n v="585"/>
    <n v="340"/>
    <n v="0"/>
    <n v="380"/>
    <n v="0"/>
    <n v="264"/>
    <n v="0"/>
    <n v="200"/>
    <n v="857"/>
    <n v="3051"/>
    <n v="-657"/>
  </r>
  <r>
    <x v="0"/>
    <x v="5"/>
    <x v="0"/>
    <s v="4505106"/>
    <n v="743030"/>
    <s v="Subscriptions--Institutional"/>
    <s v="Recovery Services"/>
    <x v="0"/>
    <m/>
    <n v="233.96"/>
    <n v="0"/>
    <n v="0"/>
    <n v="345"/>
    <n v="0"/>
    <n v="0"/>
    <n v="0"/>
    <n v="0"/>
    <n v="0"/>
    <n v="0"/>
    <n v="0"/>
    <n v="0"/>
    <n v="578.96"/>
    <n v="0"/>
  </r>
  <r>
    <x v="0"/>
    <x v="5"/>
    <x v="0"/>
    <s v="4505106"/>
    <n v="749510"/>
    <s v="Miscellaneous Expenses"/>
    <s v="Recovery Services"/>
    <x v="0"/>
    <m/>
    <n v="0"/>
    <n v="0"/>
    <n v="0"/>
    <n v="0"/>
    <n v="0"/>
    <n v="0"/>
    <n v="0"/>
    <n v="0"/>
    <n v="0"/>
    <n v="0"/>
    <n v="0"/>
    <n v="294.99"/>
    <n v="294.99"/>
    <n v="-294.99"/>
  </r>
  <r>
    <x v="18"/>
    <x v="6"/>
    <x v="0"/>
    <s v="4505107"/>
    <n v="400010"/>
    <s v="Acute I/P Svcs Rev--Medicare"/>
    <s v="BR Preop/PACU/Ph II"/>
    <x v="0"/>
    <n v="1100"/>
    <n v="-373661.6"/>
    <n v="-519863.57"/>
    <n v="-573827.13"/>
    <n v="-580474.14"/>
    <n v="-457511"/>
    <n v="-483837.6"/>
    <n v="-535444.93999999994"/>
    <n v="-516256.33"/>
    <n v="-550343.13"/>
    <n v="-621316.76"/>
    <n v="-703521.39"/>
    <n v="-536263.55000000005"/>
    <n v="-6452321.1399999997"/>
    <n v="-167257.83999999997"/>
  </r>
  <r>
    <x v="18"/>
    <x v="6"/>
    <x v="0"/>
    <s v="4505107"/>
    <n v="400010"/>
    <s v="Acute I/P Svcs Rev--Medicaid"/>
    <s v="BR Preop/PACU/Ph II"/>
    <x v="0"/>
    <n v="1200"/>
    <n v="-79823.679999999993"/>
    <n v="-135677"/>
    <n v="-106416.8"/>
    <n v="-130723.81"/>
    <n v="-90792.73"/>
    <n v="-154918.24"/>
    <n v="-70243.94"/>
    <n v="-168670.6"/>
    <n v="-101913.33"/>
    <n v="-85045.89"/>
    <n v="-134426.25"/>
    <n v="-136606.03"/>
    <n v="-1395258.2999999998"/>
    <n v="2179.7799999999988"/>
  </r>
  <r>
    <x v="18"/>
    <x v="6"/>
    <x v="0"/>
    <s v="4505107"/>
    <n v="400010"/>
    <s v="Acute I/P Svcs Rev--Comm Insurance"/>
    <s v="BR Preop/PACU/Ph II"/>
    <x v="0"/>
    <n v="1300"/>
    <n v="20056.599999999999"/>
    <n v="28407.24"/>
    <n v="5670.61"/>
    <n v="-10723.7"/>
    <n v="-12365.12"/>
    <n v="-6069"/>
    <n v="-13406.33"/>
    <n v="-15173.29"/>
    <n v="-14377.53"/>
    <n v="-2303.2800000000002"/>
    <n v="-7985.64"/>
    <n v="-14048.93"/>
    <n v="-42318.37"/>
    <n v="6063.29"/>
  </r>
  <r>
    <x v="18"/>
    <x v="6"/>
    <x v="0"/>
    <s v="4505107"/>
    <n v="400010"/>
    <s v="Acute I/P Svcs Rev--BCBS Comm"/>
    <s v="BR Preop/PACU/Ph II"/>
    <x v="0"/>
    <n v="1301"/>
    <n v="-26159.9"/>
    <n v="-10721.9"/>
    <n v="-60741.77"/>
    <n v="-6644"/>
    <n v="-44984.1"/>
    <n v="-48068.56"/>
    <n v="-33986.400000000001"/>
    <n v="-36237.279999999999"/>
    <n v="-39244.559999999998"/>
    <n v="-69843.56"/>
    <n v="-77640.350000000006"/>
    <n v="-61576.02"/>
    <n v="-515848.4"/>
    <n v="-16064.330000000009"/>
  </r>
  <r>
    <x v="18"/>
    <x v="6"/>
    <x v="0"/>
    <s v="4505107"/>
    <n v="400010"/>
    <s v="Acute I/P Svcs Rev--Managed Care"/>
    <s v="BR Preop/PACU/Ph II"/>
    <x v="0"/>
    <n v="1400"/>
    <n v="-88711.96"/>
    <n v="-82264.240000000005"/>
    <n v="-90987.199999999997"/>
    <n v="-58619.88"/>
    <n v="-76311.89"/>
    <n v="-91463.31"/>
    <n v="-126401.98"/>
    <n v="-82634.13"/>
    <n v="-121041.45"/>
    <n v="-120842.13"/>
    <n v="-126063.24"/>
    <n v="-64409.96"/>
    <n v="-1129751.3700000001"/>
    <n v="-61653.280000000006"/>
  </r>
  <r>
    <x v="18"/>
    <x v="6"/>
    <x v="0"/>
    <s v="4505107"/>
    <n v="400010"/>
    <s v="Acute I/P Svcs Rev--Self Pay"/>
    <s v="BR Preop/PACU/Ph II"/>
    <x v="0"/>
    <n v="1500"/>
    <n v="12807"/>
    <n v="-2427.6"/>
    <n v="-12138"/>
    <n v="-7714.65"/>
    <n v="-8455.6"/>
    <n v="-12138"/>
    <n v="-12060.3"/>
    <n v="-2435.4899999999998"/>
    <n v="0"/>
    <n v="-20628.53"/>
    <n v="-1315.94"/>
    <n v="-8126.43"/>
    <n v="-74633.539999999979"/>
    <n v="6810.49"/>
  </r>
  <r>
    <x v="18"/>
    <x v="6"/>
    <x v="0"/>
    <s v="4505107"/>
    <n v="400010"/>
    <s v="Acute I/P Svcs Rev--Other"/>
    <s v="BR Preop/PACU/Ph II"/>
    <x v="0"/>
    <n v="1700"/>
    <n v="-38013.65"/>
    <n v="-38361.599999999999"/>
    <n v="-27606.2"/>
    <n v="-35880.089999999997"/>
    <n v="-46497.98"/>
    <n v="-45373"/>
    <n v="-12719.22"/>
    <n v="-27766.15"/>
    <n v="-48341.55"/>
    <n v="-20524.12"/>
    <n v="-44501.51"/>
    <n v="-43066.69"/>
    <n v="-428651.76"/>
    <n v="-1434.8199999999997"/>
  </r>
  <r>
    <x v="19"/>
    <x v="6"/>
    <x v="0"/>
    <s v="4505107"/>
    <n v="400020"/>
    <s v="O/P Care Svcs Rev--Medicare"/>
    <s v="BR Preop/PACU/Ph II"/>
    <x v="0"/>
    <n v="1100"/>
    <n v="-487154.85"/>
    <n v="-476302.69"/>
    <n v="-392119.65"/>
    <n v="-606872.62"/>
    <n v="-577497.56000000006"/>
    <n v="-491650.29"/>
    <n v="-586881.75"/>
    <n v="-518649.82"/>
    <n v="-579902.06000000006"/>
    <n v="-555937.48"/>
    <n v="-650580.43999999994"/>
    <n v="-703702.17"/>
    <n v="-6627251.379999999"/>
    <n v="53121.730000000098"/>
  </r>
  <r>
    <x v="19"/>
    <x v="6"/>
    <x v="0"/>
    <s v="4505107"/>
    <n v="400020"/>
    <s v="O/P Care Svcs Rev--Medicaid"/>
    <s v="BR Preop/PACU/Ph II"/>
    <x v="0"/>
    <n v="1200"/>
    <n v="-177716.6"/>
    <n v="-154145.07999999999"/>
    <n v="-214101.62"/>
    <n v="-243206.09"/>
    <n v="-199122.8"/>
    <n v="-182635.16"/>
    <n v="-205348.52"/>
    <n v="-162127.97"/>
    <n v="-217786.15"/>
    <n v="-212902.77"/>
    <n v="-263034.12"/>
    <n v="-230659.25"/>
    <n v="-2462786.13"/>
    <n v="-32374.869999999995"/>
  </r>
  <r>
    <x v="19"/>
    <x v="6"/>
    <x v="0"/>
    <s v="4505107"/>
    <n v="400020"/>
    <s v="O/P Care Svcs Rev--Comm Insurance"/>
    <s v="BR Preop/PACU/Ph II"/>
    <x v="0"/>
    <n v="1300"/>
    <n v="-18725.439999999999"/>
    <n v="-10225.35"/>
    <n v="-20458.11"/>
    <n v="-31773.52"/>
    <n v="-33719.99"/>
    <n v="-34958.080000000002"/>
    <n v="-33091.629999999997"/>
    <n v="-30530.06"/>
    <n v="-10518.59"/>
    <n v="-5959.66"/>
    <n v="-36958.83"/>
    <n v="-1767.2"/>
    <n v="-268686.46000000002"/>
    <n v="-35191.630000000005"/>
  </r>
  <r>
    <x v="19"/>
    <x v="6"/>
    <x v="0"/>
    <s v="4505107"/>
    <n v="400020"/>
    <s v="O/P Care Svcs Rev--BCBS Comm"/>
    <s v="BR Preop/PACU/Ph II"/>
    <x v="0"/>
    <n v="1301"/>
    <n v="-164796.01999999999"/>
    <n v="-137829.68"/>
    <n v="-106059.08"/>
    <n v="-162544.01"/>
    <n v="-181623.73"/>
    <n v="-145463.97"/>
    <n v="-146805.42000000001"/>
    <n v="-127880.41"/>
    <n v="-130044.43"/>
    <n v="-123235.1"/>
    <n v="-186660.19"/>
    <n v="-172253.81"/>
    <n v="-1785195.85"/>
    <n v="-14406.380000000005"/>
  </r>
  <r>
    <x v="19"/>
    <x v="6"/>
    <x v="0"/>
    <s v="4505107"/>
    <n v="400020"/>
    <s v="O/P Care Svcs Rev--Managed Care"/>
    <s v="BR Preop/PACU/Ph II"/>
    <x v="0"/>
    <n v="1400"/>
    <n v="-249672.32000000001"/>
    <n v="-193844.6"/>
    <n v="-213499.93"/>
    <n v="-258038.19"/>
    <n v="-289797.77"/>
    <n v="-244531.39"/>
    <n v="-217948.17"/>
    <n v="-254519.95"/>
    <n v="-186919.06"/>
    <n v="-194109.29"/>
    <n v="-244775.07"/>
    <n v="-202286.14"/>
    <n v="-2749941.88"/>
    <n v="-42488.929999999993"/>
  </r>
  <r>
    <x v="19"/>
    <x v="6"/>
    <x v="0"/>
    <s v="4505107"/>
    <n v="400020"/>
    <s v="O/P Care Svcs Rev--Self Pay"/>
    <s v="BR Preop/PACU/Ph II"/>
    <x v="0"/>
    <n v="1500"/>
    <n v="-13495.77"/>
    <n v="-26683.88"/>
    <n v="-12498.97"/>
    <n v="-16961.21"/>
    <n v="-4499.26"/>
    <n v="-29249.53"/>
    <n v="-21137.21"/>
    <n v="-25836.25"/>
    <n v="-4159.51"/>
    <n v="-11097.73"/>
    <n v="-21921.67"/>
    <n v="-8719.18"/>
    <n v="-196260.16999999998"/>
    <n v="-13202.489999999998"/>
  </r>
  <r>
    <x v="19"/>
    <x v="6"/>
    <x v="0"/>
    <s v="4505107"/>
    <n v="400020"/>
    <s v="O/P Care Svcs Rev--Other"/>
    <s v="BR Preop/PACU/Ph II"/>
    <x v="0"/>
    <n v="1700"/>
    <n v="-89116.45"/>
    <n v="-60872.29"/>
    <n v="-83799.75"/>
    <n v="-106971.86"/>
    <n v="-79694.53"/>
    <n v="-97755.95"/>
    <n v="-59511.32"/>
    <n v="-72123.44"/>
    <n v="-95518.65"/>
    <n v="-96169.33"/>
    <n v="-87979.79"/>
    <n v="-100911.09"/>
    <n v="-1030424.4500000001"/>
    <n v="12931.300000000003"/>
  </r>
  <r>
    <x v="5"/>
    <x v="6"/>
    <x v="0"/>
    <s v="4505107"/>
    <n v="700014"/>
    <s v="Salaries-Management-Productive"/>
    <s v="BR Preop/PACU/Ph II"/>
    <x v="0"/>
    <m/>
    <n v="6265.45"/>
    <n v="11014.97"/>
    <n v="13681.61"/>
    <n v="14426.06"/>
    <n v="14027.29"/>
    <n v="10251.35"/>
    <n v="11033.03"/>
    <n v="7426.31"/>
    <n v="15874.56"/>
    <n v="14047.88"/>
    <n v="13862.55"/>
    <n v="12869.67"/>
    <n v="144780.73000000001"/>
    <n v="992.8799999999992"/>
  </r>
  <r>
    <x v="5"/>
    <x v="6"/>
    <x v="0"/>
    <s v="4505107"/>
    <n v="700018"/>
    <s v="Salaries-Supervisory-Productive"/>
    <s v="BR Preop/PACU/Ph II"/>
    <x v="0"/>
    <m/>
    <n v="9280.15"/>
    <n v="5688.3"/>
    <n v="9220.64"/>
    <n v="3975.8"/>
    <n v="5250.66"/>
    <n v="3259.27"/>
    <n v="6407.08"/>
    <n v="2236.42"/>
    <n v="2961.7"/>
    <n v="846.2"/>
    <n v="5469.94"/>
    <n v="3687.12"/>
    <n v="58283.28"/>
    <n v="1782.8199999999997"/>
  </r>
  <r>
    <x v="5"/>
    <x v="6"/>
    <x v="0"/>
    <s v="4505107"/>
    <n v="700026"/>
    <s v="Salaries-RN-Productive"/>
    <s v="BR Preop/PACU/Ph II"/>
    <x v="0"/>
    <m/>
    <n v="105038.32"/>
    <n v="107233.23"/>
    <n v="144681.72"/>
    <n v="127900.24"/>
    <n v="113514.05"/>
    <n v="107153.03"/>
    <n v="118796.25"/>
    <n v="105625.01"/>
    <n v="126112.09"/>
    <n v="117785.42"/>
    <n v="149800.41"/>
    <n v="125867.26"/>
    <n v="1449507.03"/>
    <n v="23933.150000000009"/>
  </r>
  <r>
    <x v="5"/>
    <x v="6"/>
    <x v="0"/>
    <s v="4505107"/>
    <n v="700026"/>
    <s v="Salaries-RN-OT"/>
    <s v="BR Preop/PACU/Ph II"/>
    <x v="0"/>
    <n v="1000"/>
    <n v="3967.85"/>
    <n v="4404.2299999999996"/>
    <n v="8184.53"/>
    <n v="3357.17"/>
    <n v="8536.66"/>
    <n v="6596.77"/>
    <n v="5960.97"/>
    <n v="5421.75"/>
    <n v="7274.78"/>
    <n v="5740.81"/>
    <n v="6434.31"/>
    <n v="8504.02"/>
    <n v="74383.850000000006"/>
    <n v="-2069.71"/>
  </r>
  <r>
    <x v="5"/>
    <x v="6"/>
    <x v="0"/>
    <s v="4505107"/>
    <n v="700026"/>
    <s v="Salaries-RN-Other"/>
    <s v="BR Preop/PACU/Ph II"/>
    <x v="0"/>
    <n v="2000"/>
    <n v="9387.85"/>
    <n v="9615.68"/>
    <n v="11820.63"/>
    <n v="10583.74"/>
    <n v="9479.48"/>
    <n v="11253.31"/>
    <n v="10158.85"/>
    <n v="10129.24"/>
    <n v="11212.48"/>
    <n v="9684.51"/>
    <n v="14754.72"/>
    <n v="9161.65"/>
    <n v="127242.13999999998"/>
    <n v="5593.07"/>
  </r>
  <r>
    <x v="5"/>
    <x v="6"/>
    <x v="0"/>
    <s v="4505107"/>
    <n v="700030"/>
    <s v="Salaries-LPN-Productive"/>
    <s v="BR Preop/PACU/Ph II"/>
    <x v="0"/>
    <m/>
    <n v="0"/>
    <n v="0"/>
    <n v="0"/>
    <n v="0"/>
    <n v="238.92"/>
    <n v="277.18"/>
    <n v="-34.630000000000003"/>
    <n v="0"/>
    <n v="0"/>
    <n v="0"/>
    <n v="0"/>
    <n v="0"/>
    <n v="481.47"/>
    <n v="0"/>
  </r>
  <r>
    <x v="5"/>
    <x v="6"/>
    <x v="0"/>
    <s v="4505107"/>
    <n v="700030"/>
    <s v="Salaries-LPN-OT"/>
    <s v="BR Preop/PACU/Ph II"/>
    <x v="0"/>
    <n v="1000"/>
    <n v="45.4"/>
    <n v="0"/>
    <n v="0"/>
    <n v="0"/>
    <n v="0"/>
    <n v="0"/>
    <n v="0"/>
    <n v="0"/>
    <n v="0"/>
    <n v="0"/>
    <n v="0"/>
    <n v="0"/>
    <n v="45.4"/>
    <n v="0"/>
  </r>
  <r>
    <x v="5"/>
    <x v="6"/>
    <x v="0"/>
    <s v="4505107"/>
    <n v="700030"/>
    <s v="Salaries-LPN-Other"/>
    <s v="BR Preop/PACU/Ph II"/>
    <x v="0"/>
    <n v="2000"/>
    <n v="0"/>
    <n v="0"/>
    <n v="0"/>
    <n v="0"/>
    <n v="0"/>
    <n v="11.63"/>
    <n v="-1.45"/>
    <n v="0"/>
    <n v="0"/>
    <n v="0"/>
    <n v="0"/>
    <n v="0"/>
    <n v="10.180000000000001"/>
    <n v="0"/>
  </r>
  <r>
    <x v="5"/>
    <x v="6"/>
    <x v="0"/>
    <s v="4505107"/>
    <n v="700032"/>
    <s v="Salaries-Other Pat Care Providers-Productive"/>
    <s v="BR Preop/PACU/Ph II"/>
    <x v="0"/>
    <m/>
    <n v="7546.85"/>
    <n v="7084.66"/>
    <n v="7773.62"/>
    <n v="7567.99"/>
    <n v="8004.65"/>
    <n v="6133.76"/>
    <n v="8212.39"/>
    <n v="5595.03"/>
    <n v="9057.7199999999993"/>
    <n v="3314.64"/>
    <n v="7789.23"/>
    <n v="6384.05"/>
    <n v="84464.59"/>
    <n v="1405.1799999999994"/>
  </r>
  <r>
    <x v="5"/>
    <x v="6"/>
    <x v="0"/>
    <s v="4505107"/>
    <n v="700032"/>
    <s v="Salaries-Other Pat Care Providers-OT"/>
    <s v="BR Preop/PACU/Ph II"/>
    <x v="0"/>
    <n v="1000"/>
    <n v="1011.82"/>
    <n v="665.83"/>
    <n v="897.14"/>
    <n v="593.03"/>
    <n v="666.45"/>
    <n v="556.12"/>
    <n v="1202.3699999999999"/>
    <n v="796.45"/>
    <n v="432.37"/>
    <n v="-167.21"/>
    <n v="770"/>
    <n v="984.6"/>
    <n v="8408.9699999999993"/>
    <n v="-214.60000000000002"/>
  </r>
  <r>
    <x v="5"/>
    <x v="6"/>
    <x v="0"/>
    <s v="4505107"/>
    <n v="700032"/>
    <s v="Salaries-Other Pat Care Providers-Other"/>
    <s v="BR Preop/PACU/Ph II"/>
    <x v="0"/>
    <n v="2000"/>
    <n v="103.3"/>
    <n v="161.47999999999999"/>
    <n v="130.18"/>
    <n v="81.099999999999994"/>
    <n v="98.61"/>
    <n v="134.29"/>
    <n v="101.39"/>
    <n v="174.88"/>
    <n v="12.67"/>
    <n v="1.08"/>
    <n v="47.55"/>
    <n v="49.79"/>
    <n v="1096.32"/>
    <n v="-2.240000000000002"/>
  </r>
  <r>
    <x v="5"/>
    <x v="6"/>
    <x v="0"/>
    <s v="4505107"/>
    <n v="700038"/>
    <s v="Salaries-Service/Support-Productive"/>
    <s v="BR Preop/PACU/Ph II"/>
    <x v="0"/>
    <m/>
    <n v="0"/>
    <n v="0"/>
    <n v="207.19"/>
    <n v="303.56"/>
    <n v="-22"/>
    <n v="340"/>
    <n v="0"/>
    <n v="282.42"/>
    <n v="0"/>
    <n v="170.25"/>
    <n v="0"/>
    <n v="0"/>
    <n v="1281.42"/>
    <n v="0"/>
  </r>
  <r>
    <x v="5"/>
    <x v="6"/>
    <x v="0"/>
    <s v="4505107"/>
    <n v="700038"/>
    <s v="Salaries-Service/Support-OT"/>
    <s v="BR Preop/PACU/Ph II"/>
    <x v="0"/>
    <n v="1000"/>
    <n v="0"/>
    <n v="0"/>
    <n v="0"/>
    <n v="0"/>
    <n v="0"/>
    <n v="32.93"/>
    <n v="0"/>
    <n v="0"/>
    <n v="0"/>
    <n v="0"/>
    <n v="0"/>
    <n v="0"/>
    <n v="32.93"/>
    <n v="0"/>
  </r>
  <r>
    <x v="5"/>
    <x v="6"/>
    <x v="0"/>
    <s v="4505107"/>
    <n v="700038"/>
    <s v="Salaries-Service/Support-Other"/>
    <s v="BR Preop/PACU/Ph II"/>
    <x v="0"/>
    <n v="2000"/>
    <n v="0"/>
    <n v="0"/>
    <n v="0"/>
    <n v="0"/>
    <n v="0"/>
    <n v="0"/>
    <n v="0"/>
    <n v="5.41"/>
    <n v="0"/>
    <n v="0"/>
    <n v="0"/>
    <n v="0"/>
    <n v="5.41"/>
    <n v="0"/>
  </r>
  <r>
    <x v="5"/>
    <x v="6"/>
    <x v="0"/>
    <s v="4505107"/>
    <n v="700054"/>
    <s v="Salaries-Management-Non-productive"/>
    <s v="BR Preop/PACU/Ph II"/>
    <x v="0"/>
    <m/>
    <n v="5026.96"/>
    <n v="2113.04"/>
    <n v="0"/>
    <n v="0"/>
    <n v="0"/>
    <n v="2844.48"/>
    <n v="2924.13"/>
    <n v="4797.7299999999996"/>
    <n v="-1124.3599999999999"/>
    <n v="0"/>
    <n v="0"/>
    <n v="524.76"/>
    <n v="17106.739999999998"/>
    <n v="-524.76"/>
  </r>
  <r>
    <x v="5"/>
    <x v="6"/>
    <x v="0"/>
    <s v="4505107"/>
    <n v="700054"/>
    <s v="Salaries-Management-NonProd-Other"/>
    <s v="BR Preop/PACU/Ph II"/>
    <x v="0"/>
    <n v="2000"/>
    <n v="0"/>
    <n v="0"/>
    <n v="0"/>
    <n v="0"/>
    <n v="0"/>
    <n v="1705.47"/>
    <n v="-1705.47"/>
    <n v="0"/>
    <n v="0"/>
    <n v="0"/>
    <n v="0"/>
    <n v="0"/>
    <n v="0"/>
    <n v="0"/>
  </r>
  <r>
    <x v="5"/>
    <x v="6"/>
    <x v="0"/>
    <s v="4505107"/>
    <n v="700058"/>
    <s v="Salaries-Supervisory-Non-productive"/>
    <s v="BR Preop/PACU/Ph II"/>
    <x v="0"/>
    <m/>
    <n v="0"/>
    <n v="3592.27"/>
    <n v="-239.31"/>
    <n v="838.24"/>
    <n v="0"/>
    <n v="1448.43"/>
    <n v="-180.99"/>
    <n v="1148.3499999999999"/>
    <n v="-302.16000000000003"/>
    <n v="0"/>
    <n v="0"/>
    <n v="0"/>
    <n v="6304.83"/>
    <n v="0"/>
  </r>
  <r>
    <x v="5"/>
    <x v="6"/>
    <x v="0"/>
    <s v="4505107"/>
    <n v="700066"/>
    <s v="Salaries-RN-Non-productive"/>
    <s v="BR Preop/PACU/Ph II"/>
    <x v="0"/>
    <m/>
    <n v="9327.3700000000008"/>
    <n v="19561.29"/>
    <n v="2327.54"/>
    <n v="11515.63"/>
    <n v="14388.05"/>
    <n v="24666.76"/>
    <n v="15720.8"/>
    <n v="19907.580000000002"/>
    <n v="13847.91"/>
    <n v="10603.91"/>
    <n v="21712.76"/>
    <n v="14652.64"/>
    <n v="178232.24"/>
    <n v="7060.119999999999"/>
  </r>
  <r>
    <x v="5"/>
    <x v="6"/>
    <x v="0"/>
    <s v="4505107"/>
    <n v="700066"/>
    <s v="Salaries-RN-NonProd-Other"/>
    <s v="BR Preop/PACU/Ph II"/>
    <x v="0"/>
    <n v="2000"/>
    <n v="987.44"/>
    <n v="2138.15"/>
    <n v="1960.75"/>
    <n v="1512.5"/>
    <n v="3032.09"/>
    <n v="4312.2"/>
    <n v="2964.43"/>
    <n v="1052.77"/>
    <n v="1310.3399999999999"/>
    <n v="2448.6799999999998"/>
    <n v="2555.98"/>
    <n v="2700.19"/>
    <n v="26975.52"/>
    <n v="-144.21000000000004"/>
  </r>
  <r>
    <x v="5"/>
    <x v="6"/>
    <x v="0"/>
    <s v="4505107"/>
    <n v="700070"/>
    <s v="Salaries-LPN-NonProd-Other"/>
    <s v="BR Preop/PACU/Ph II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505107"/>
    <n v="700072"/>
    <s v="Salaries-Other Pat Care Providers-Non-productive"/>
    <s v="BR Preop/PACU/Ph II"/>
    <x v="0"/>
    <m/>
    <n v="1461.56"/>
    <n v="1330.3"/>
    <n v="1221.98"/>
    <n v="1048.3"/>
    <n v="1610.4"/>
    <n v="2087.58"/>
    <n v="1141.97"/>
    <n v="2008.09"/>
    <n v="1021.32"/>
    <n v="1233.43"/>
    <n v="368.94"/>
    <n v="1088.6500000000001"/>
    <n v="15622.519999999999"/>
    <n v="-719.71"/>
  </r>
  <r>
    <x v="5"/>
    <x v="6"/>
    <x v="0"/>
    <s v="4505107"/>
    <n v="700072"/>
    <s v="Salaries-Other Pat Care Providers-NonProd-Other"/>
    <s v="BR Preop/PACU/Ph II"/>
    <x v="0"/>
    <n v="2000"/>
    <n v="17.510000000000002"/>
    <n v="41.36"/>
    <n v="13.85"/>
    <n v="43.71"/>
    <n v="14.6"/>
    <n v="35.14"/>
    <n v="4.3099999999999996"/>
    <n v="29.91"/>
    <n v="33.03"/>
    <n v="-8.68"/>
    <n v="29.94"/>
    <n v="37.04"/>
    <n v="291.72000000000003"/>
    <n v="-7.0999999999999979"/>
  </r>
  <r>
    <x v="5"/>
    <x v="6"/>
    <x v="0"/>
    <s v="4505107"/>
    <n v="700084"/>
    <s v="Accrued PTO"/>
    <s v="BR Preop/PACU/Ph II"/>
    <x v="0"/>
    <m/>
    <n v="5536.42"/>
    <n v="-2836.65"/>
    <n v="10405.43"/>
    <n v="10308.790000000001"/>
    <n v="-20555.95"/>
    <n v="-4367"/>
    <n v="187.65"/>
    <n v="-5061.6499999999996"/>
    <n v="1130.53"/>
    <n v="-345.4"/>
    <n v="4605.43"/>
    <n v="3632.03"/>
    <n v="2639.6300000000015"/>
    <n v="973.40000000000009"/>
  </r>
  <r>
    <x v="10"/>
    <x v="6"/>
    <x v="0"/>
    <s v="4505107"/>
    <n v="710060"/>
    <s v="Contract Labor-Other"/>
    <s v="BR Preop/PACU/Ph II"/>
    <x v="0"/>
    <m/>
    <n v="8000"/>
    <n v="16824"/>
    <n v="2880"/>
    <n v="0"/>
    <n v="0"/>
    <n v="0"/>
    <n v="0"/>
    <n v="0"/>
    <n v="0"/>
    <n v="0"/>
    <n v="1678.75"/>
    <n v="13408.75"/>
    <n v="42791.5"/>
    <n v="-11730"/>
  </r>
  <r>
    <x v="10"/>
    <x v="6"/>
    <x v="0"/>
    <s v="4505107"/>
    <n v="710060"/>
    <s v="Contract Labor-Overtime"/>
    <s v="BR Preop/PACU/Ph II"/>
    <x v="0"/>
    <n v="5100"/>
    <n v="1026"/>
    <n v="3105"/>
    <n v="675"/>
    <n v="0"/>
    <n v="0"/>
    <n v="0"/>
    <n v="0"/>
    <n v="0"/>
    <n v="0"/>
    <n v="0"/>
    <n v="86.06"/>
    <n v="889.31"/>
    <n v="5781.3700000000008"/>
    <n v="-803.25"/>
  </r>
  <r>
    <x v="10"/>
    <x v="6"/>
    <x v="0"/>
    <s v="4505107"/>
    <n v="710060"/>
    <s v="Contract Labor-Standby Wages"/>
    <s v="BR Preop/PACU/Ph II"/>
    <x v="0"/>
    <n v="5101"/>
    <n v="278"/>
    <n v="548"/>
    <n v="310"/>
    <n v="0"/>
    <n v="0"/>
    <n v="0"/>
    <n v="0"/>
    <n v="0"/>
    <n v="0"/>
    <n v="0"/>
    <n v="0"/>
    <n v="0"/>
    <n v="1136"/>
    <n v="0"/>
  </r>
  <r>
    <x v="6"/>
    <x v="6"/>
    <x v="0"/>
    <s v="4505107"/>
    <n v="713010"/>
    <s v="Benefits-FICA/Medicare"/>
    <s v="BR Preop/PACU/Ph II"/>
    <x v="0"/>
    <m/>
    <n v="11727.39"/>
    <n v="12894.99"/>
    <n v="14873.98"/>
    <n v="13733.72"/>
    <n v="12369.29"/>
    <n v="13856.84"/>
    <n v="13934.93"/>
    <n v="12523.22"/>
    <n v="14014.54"/>
    <n v="12357.17"/>
    <n v="16733.650000000001"/>
    <n v="13926.85"/>
    <n v="162946.57"/>
    <n v="2806.8000000000011"/>
  </r>
  <r>
    <x v="6"/>
    <x v="6"/>
    <x v="0"/>
    <s v="4505107"/>
    <n v="713090"/>
    <s v="Benefits-Allocated Amounts"/>
    <s v="BR Preop/PACU/Ph II"/>
    <x v="0"/>
    <m/>
    <n v="22853.59"/>
    <n v="21916.35"/>
    <n v="27933.8"/>
    <n v="25577.79"/>
    <n v="27212.54"/>
    <n v="24520.41"/>
    <n v="26434.41"/>
    <n v="24391.29"/>
    <n v="22124.03"/>
    <n v="24878.86"/>
    <n v="30511.81"/>
    <n v="30222.94"/>
    <n v="308577.82"/>
    <n v="288.87000000000262"/>
  </r>
  <r>
    <x v="6"/>
    <x v="6"/>
    <x v="0"/>
    <s v="4505107"/>
    <n v="713096"/>
    <s v="Employee Recognition"/>
    <s v="BR Preop/PACU/Ph II"/>
    <x v="0"/>
    <n v="1017"/>
    <n v="135.61000000000001"/>
    <n v="0"/>
    <n v="220.34"/>
    <n v="157.37"/>
    <n v="0"/>
    <n v="184.58"/>
    <n v="60.97"/>
    <n v="0"/>
    <n v="207.52"/>
    <n v="53.25"/>
    <n v="150.49"/>
    <n v="66.599999999999994"/>
    <n v="1236.73"/>
    <n v="83.890000000000015"/>
  </r>
  <r>
    <x v="11"/>
    <x v="6"/>
    <x v="0"/>
    <s v="4505107"/>
    <n v="721010"/>
    <s v="Supplies-Medical - Billable"/>
    <s v="BR Preop/PACU/Ph II"/>
    <x v="0"/>
    <m/>
    <n v="2324.92"/>
    <n v="2169.89"/>
    <n v="2478.71"/>
    <n v="2806.43"/>
    <n v="2398.92"/>
    <n v="2350.89"/>
    <n v="2766.59"/>
    <n v="2159.31"/>
    <n v="2540.12"/>
    <n v="2838.71"/>
    <n v="2616.61"/>
    <n v="3184.82"/>
    <n v="30635.919999999998"/>
    <n v="-568.21"/>
  </r>
  <r>
    <x v="11"/>
    <x v="6"/>
    <x v="0"/>
    <s v="4505107"/>
    <n v="721010"/>
    <s v="Patient Monitoring"/>
    <s v="BR Preop/PACU/Ph II"/>
    <x v="0"/>
    <n v="1000"/>
    <n v="145.02000000000001"/>
    <n v="194.38"/>
    <n v="104.89"/>
    <n v="124.27"/>
    <n v="118.3"/>
    <n v="176.76"/>
    <n v="48.75"/>
    <n v="85.17"/>
    <n v="123.4"/>
    <n v="98.72"/>
    <n v="163.65"/>
    <n v="104.89"/>
    <n v="1488.2"/>
    <n v="58.760000000000005"/>
  </r>
  <r>
    <x v="11"/>
    <x v="6"/>
    <x v="0"/>
    <s v="4505107"/>
    <n v="721020"/>
    <s v="Supplies-Surgical - Billable"/>
    <s v="BR Preop/PACU/Ph II"/>
    <x v="0"/>
    <m/>
    <n v="0"/>
    <n v="0"/>
    <n v="0"/>
    <n v="0"/>
    <n v="0"/>
    <n v="148.43"/>
    <n v="4"/>
    <n v="0"/>
    <n v="0"/>
    <n v="0"/>
    <n v="4.1900000000000004"/>
    <n v="0"/>
    <n v="156.62"/>
    <n v="4.1900000000000004"/>
  </r>
  <r>
    <x v="11"/>
    <x v="6"/>
    <x v="0"/>
    <s v="4505107"/>
    <n v="721020"/>
    <s v="Urological Supplies"/>
    <s v="BR Preop/PACU/Ph II"/>
    <x v="0"/>
    <n v="1006"/>
    <n v="0"/>
    <n v="0"/>
    <n v="0"/>
    <n v="0"/>
    <n v="0"/>
    <n v="0"/>
    <n v="26.68"/>
    <n v="0"/>
    <n v="0"/>
    <n v="0"/>
    <n v="26.68"/>
    <n v="26.68"/>
    <n v="80.039999999999992"/>
    <n v="0"/>
  </r>
  <r>
    <x v="11"/>
    <x v="6"/>
    <x v="0"/>
    <s v="4505107"/>
    <n v="721210"/>
    <s v="Supplies-Anesthesia - Billable"/>
    <s v="BR Preop/PACU/Ph II"/>
    <x v="0"/>
    <m/>
    <n v="2322.6999999999998"/>
    <n v="0"/>
    <n v="0"/>
    <n v="0"/>
    <n v="0"/>
    <n v="0"/>
    <n v="0"/>
    <n v="0"/>
    <n v="0"/>
    <n v="0"/>
    <n v="0"/>
    <n v="0"/>
    <n v="2322.6999999999998"/>
    <n v="0"/>
  </r>
  <r>
    <x v="11"/>
    <x v="6"/>
    <x v="0"/>
    <s v="4505107"/>
    <n v="721240"/>
    <s v="Supplies-IV Solutions/Supplies - Billable"/>
    <s v="BR Preop/PACU/Ph II"/>
    <x v="0"/>
    <m/>
    <n v="2313.64"/>
    <n v="2759.5"/>
    <n v="2626.81"/>
    <n v="3275.26"/>
    <n v="2782.87"/>
    <n v="2014.79"/>
    <n v="3146.71"/>
    <n v="2270.9"/>
    <n v="2900.26"/>
    <n v="2531.87"/>
    <n v="2804.06"/>
    <n v="2961.44"/>
    <n v="32388.109999999997"/>
    <n v="-157.38000000000011"/>
  </r>
  <r>
    <x v="11"/>
    <x v="6"/>
    <x v="0"/>
    <s v="4505107"/>
    <n v="721320"/>
    <s v="Supplies-Purchased Blood - Billable"/>
    <s v="BR Preop/PACU/Ph II"/>
    <x v="0"/>
    <m/>
    <n v="0"/>
    <n v="0"/>
    <n v="0"/>
    <n v="0"/>
    <n v="0"/>
    <n v="0"/>
    <n v="114.3"/>
    <n v="68.58"/>
    <n v="0"/>
    <n v="50.04"/>
    <n v="0"/>
    <n v="83.4"/>
    <n v="316.32"/>
    <n v="-83.4"/>
  </r>
  <r>
    <x v="11"/>
    <x v="6"/>
    <x v="0"/>
    <s v="4505107"/>
    <n v="721410"/>
    <s v="Supplies-Medical - Nonbillable"/>
    <s v="BR Preop/PACU/Ph II"/>
    <x v="0"/>
    <m/>
    <n v="5487.82"/>
    <n v="5665.72"/>
    <n v="3617.61"/>
    <n v="4345.26"/>
    <n v="4751.25"/>
    <n v="3876.35"/>
    <n v="4479.8"/>
    <n v="3648.04"/>
    <n v="5098.09"/>
    <n v="3524.89"/>
    <n v="4601.53"/>
    <n v="4964.66"/>
    <n v="54061.020000000004"/>
    <n v="-363.13000000000011"/>
  </r>
  <r>
    <x v="11"/>
    <x v="6"/>
    <x v="0"/>
    <s v="4505107"/>
    <n v="721420"/>
    <s v="Supplies-Surgical Nonbillable"/>
    <s v="BR Preop/PACU/Ph II"/>
    <x v="0"/>
    <m/>
    <n v="283.69"/>
    <n v="1088.81"/>
    <n v="1570.79"/>
    <n v="1371.87"/>
    <n v="1356.52"/>
    <n v="1003.18"/>
    <n v="1120.55"/>
    <n v="954.41"/>
    <n v="825.55"/>
    <n v="1279.1600000000001"/>
    <n v="1062.8699999999999"/>
    <n v="1176.71"/>
    <n v="13094.11"/>
    <n v="-113.84000000000015"/>
  </r>
  <r>
    <x v="11"/>
    <x v="6"/>
    <x v="0"/>
    <s v="4505107"/>
    <n v="721420"/>
    <s v="Tubes Drains &amp; Related Supplies"/>
    <s v="BR Preop/PACU/Ph II"/>
    <x v="0"/>
    <n v="1008"/>
    <n v="0"/>
    <n v="0"/>
    <n v="0"/>
    <n v="57.64"/>
    <n v="0"/>
    <n v="0"/>
    <n v="0"/>
    <n v="0"/>
    <n v="0"/>
    <n v="0"/>
    <n v="0"/>
    <n v="0"/>
    <n v="57.64"/>
    <n v="0"/>
  </r>
  <r>
    <x v="11"/>
    <x v="6"/>
    <x v="0"/>
    <s v="4505107"/>
    <n v="721610"/>
    <s v="Supplies-Anesthesia - Nonbillable"/>
    <s v="BR Preop/PACU/Ph II"/>
    <x v="0"/>
    <m/>
    <n v="89.2"/>
    <n v="74.11"/>
    <n v="100.98"/>
    <n v="328.56"/>
    <n v="117.06"/>
    <n v="197.75"/>
    <n v="140.51"/>
    <n v="114.93"/>
    <n v="142.46"/>
    <n v="148.75"/>
    <n v="141.53"/>
    <n v="249.19"/>
    <n v="1845.0300000000002"/>
    <n v="-107.66"/>
  </r>
  <r>
    <x v="11"/>
    <x v="6"/>
    <x v="0"/>
    <s v="4505107"/>
    <n v="721640"/>
    <s v="Supplies-IV Solutions/Supplies - Nonbillable"/>
    <s v="BR Preop/PACU/Ph II"/>
    <x v="0"/>
    <m/>
    <n v="1458.52"/>
    <n v="1665.33"/>
    <n v="1445.29"/>
    <n v="2099.94"/>
    <n v="1827.48"/>
    <n v="2269.5100000000002"/>
    <n v="1811.94"/>
    <n v="2434.86"/>
    <n v="1716.94"/>
    <n v="2022.02"/>
    <n v="2257.06"/>
    <n v="1876.44"/>
    <n v="22885.33"/>
    <n v="380.61999999999989"/>
  </r>
  <r>
    <x v="11"/>
    <x v="6"/>
    <x v="0"/>
    <s v="4505107"/>
    <n v="721650"/>
    <s v="Supplies-Pharmacy Drugs - Nonbillable"/>
    <s v="BR Preop/PACU/Ph II"/>
    <x v="0"/>
    <m/>
    <n v="0"/>
    <n v="0"/>
    <n v="0"/>
    <n v="150"/>
    <n v="150"/>
    <n v="0"/>
    <n v="0"/>
    <n v="0"/>
    <n v="0"/>
    <n v="0"/>
    <n v="0"/>
    <n v="0"/>
    <n v="300"/>
    <n v="0"/>
  </r>
  <r>
    <x v="11"/>
    <x v="6"/>
    <x v="0"/>
    <s v="4505107"/>
    <n v="721710"/>
    <s v="Supplies-Laboratory - Nonbillable"/>
    <s v="BR Preop/PACU/Ph II"/>
    <x v="0"/>
    <m/>
    <n v="132.94999999999999"/>
    <n v="165.34"/>
    <n v="92.47"/>
    <n v="102.53"/>
    <n v="424.5"/>
    <n v="-141.22"/>
    <n v="88.68"/>
    <n v="122.03"/>
    <n v="112.87"/>
    <n v="144.4"/>
    <n v="112.33"/>
    <n v="103.49"/>
    <n v="1460.3700000000001"/>
    <n v="8.8400000000000034"/>
  </r>
  <r>
    <x v="11"/>
    <x v="6"/>
    <x v="0"/>
    <s v="4505107"/>
    <n v="721810"/>
    <s v="Supplies-Dietary/Cafeteria"/>
    <s v="BR Preop/PACU/Ph II"/>
    <x v="0"/>
    <m/>
    <n v="24.52"/>
    <n v="27.63"/>
    <n v="63.06"/>
    <n v="72.88"/>
    <n v="30.03"/>
    <n v="76.64"/>
    <n v="62.64"/>
    <n v="69.33"/>
    <n v="339.76"/>
    <n v="265.38"/>
    <n v="89.24"/>
    <n v="53.41"/>
    <n v="1174.52"/>
    <n v="35.83"/>
  </r>
  <r>
    <x v="11"/>
    <x v="6"/>
    <x v="0"/>
    <s v="4505107"/>
    <n v="721830"/>
    <s v="Supplies-Office"/>
    <s v="BR Preop/PACU/Ph II"/>
    <x v="0"/>
    <m/>
    <n v="682.47"/>
    <n v="364.07"/>
    <n v="452.94"/>
    <n v="897.17"/>
    <n v="438.59"/>
    <n v="239.42"/>
    <n v="282.89999999999998"/>
    <n v="163.38999999999999"/>
    <n v="566.97"/>
    <n v="363.24"/>
    <n v="318.49"/>
    <n v="229.68"/>
    <n v="4999.33"/>
    <n v="88.81"/>
  </r>
  <r>
    <x v="11"/>
    <x v="6"/>
    <x v="0"/>
    <s v="4505107"/>
    <n v="721835"/>
    <s v="Supplies-Forms"/>
    <s v="BR Preop/PACU/Ph II"/>
    <x v="0"/>
    <m/>
    <n v="0"/>
    <n v="0"/>
    <n v="0"/>
    <n v="0"/>
    <n v="997.7"/>
    <n v="112"/>
    <n v="214.5"/>
    <n v="0"/>
    <n v="258.66000000000003"/>
    <n v="177.4"/>
    <n v="180.9"/>
    <n v="242.5"/>
    <n v="2183.6600000000003"/>
    <n v="-61.599999999999994"/>
  </r>
  <r>
    <x v="11"/>
    <x v="6"/>
    <x v="0"/>
    <s v="4505107"/>
    <n v="721870"/>
    <s v="Supplies-Environmental Services"/>
    <s v="BR Preop/PACU/Ph II"/>
    <x v="0"/>
    <m/>
    <n v="210.72"/>
    <n v="240.6"/>
    <n v="251.76"/>
    <n v="181.99"/>
    <n v="339.75"/>
    <n v="293.47000000000003"/>
    <n v="321.55"/>
    <n v="197.91"/>
    <n v="277.04000000000002"/>
    <n v="275.49"/>
    <n v="454.49"/>
    <n v="308.18"/>
    <n v="3352.9499999999994"/>
    <n v="146.31"/>
  </r>
  <r>
    <x v="11"/>
    <x v="6"/>
    <x v="0"/>
    <s v="4505107"/>
    <n v="721910"/>
    <s v="Supplies-Small Equipment"/>
    <s v="BR Preop/PACU/Ph II"/>
    <x v="0"/>
    <m/>
    <n v="2731"/>
    <n v="3393.81"/>
    <n v="2080.56"/>
    <n v="3362"/>
    <n v="1280.92"/>
    <n v="1393.2"/>
    <n v="1597.46"/>
    <n v="1873.04"/>
    <n v="1914"/>
    <n v="8343.39"/>
    <n v="3027.53"/>
    <n v="1896.06"/>
    <n v="32892.97"/>
    <n v="1131.4700000000003"/>
  </r>
  <r>
    <x v="11"/>
    <x v="6"/>
    <x v="0"/>
    <s v="4505107"/>
    <n v="721910"/>
    <s v="Instruments"/>
    <s v="BR Preop/PACU/Ph II"/>
    <x v="0"/>
    <n v="1000"/>
    <n v="0"/>
    <n v="0"/>
    <n v="0"/>
    <n v="0"/>
    <n v="0"/>
    <n v="0"/>
    <n v="0"/>
    <n v="0"/>
    <n v="0"/>
    <n v="0"/>
    <n v="5.78"/>
    <n v="0"/>
    <n v="5.78"/>
    <n v="5.78"/>
  </r>
  <r>
    <x v="11"/>
    <x v="6"/>
    <x v="0"/>
    <s v="4505107"/>
    <n v="721980"/>
    <s v="Supplies-Other"/>
    <s v="BR Preop/PACU/Ph II"/>
    <x v="0"/>
    <m/>
    <n v="0"/>
    <n v="0"/>
    <n v="0"/>
    <n v="0"/>
    <n v="0"/>
    <n v="0"/>
    <n v="-447.35"/>
    <n v="0"/>
    <n v="0"/>
    <n v="0"/>
    <n v="0"/>
    <n v="0"/>
    <n v="-447.35"/>
    <n v="0"/>
  </r>
  <r>
    <x v="11"/>
    <x v="6"/>
    <x v="0"/>
    <s v="4505107"/>
    <n v="722000"/>
    <s v="Supplies-Freight Expense"/>
    <s v="BR Preop/PACU/Ph II"/>
    <x v="0"/>
    <m/>
    <n v="0"/>
    <n v="13.38"/>
    <n v="11.61"/>
    <n v="0"/>
    <n v="0"/>
    <n v="0"/>
    <n v="0"/>
    <n v="0"/>
    <n v="0"/>
    <n v="0"/>
    <n v="0"/>
    <n v="0"/>
    <n v="24.990000000000002"/>
    <n v="0"/>
  </r>
  <r>
    <x v="12"/>
    <x v="6"/>
    <x v="0"/>
    <s v="4505107"/>
    <n v="730020"/>
    <s v="Rental and Leases-Copier Usage Fees (DO NOT USE)"/>
    <s v="BR Preop/PACU/Ph II"/>
    <x v="0"/>
    <n v="5100"/>
    <n v="230.75"/>
    <n v="237.34"/>
    <n v="234.04"/>
    <n v="234.04"/>
    <n v="234.04"/>
    <n v="234.04"/>
    <n v="292.02999999999997"/>
    <n v="266.79000000000002"/>
    <n v="266.23"/>
    <n v="111.22"/>
    <n v="182.82"/>
    <n v="196.57"/>
    <n v="2719.9100000000003"/>
    <n v="-13.75"/>
  </r>
  <r>
    <x v="15"/>
    <x v="6"/>
    <x v="0"/>
    <s v="4505107"/>
    <n v="731060"/>
    <s v="Cell Phones"/>
    <s v="BR Preop/PACU/Ph II"/>
    <x v="0"/>
    <n v="1001"/>
    <n v="-11.16"/>
    <n v="205.18"/>
    <n v="101.56"/>
    <n v="0"/>
    <n v="101.82"/>
    <n v="103"/>
    <n v="206.06"/>
    <n v="0"/>
    <n v="105.06"/>
    <n v="206"/>
    <n v="102.64"/>
    <n v="103.56"/>
    <n v="1223.72"/>
    <n v="-0.92000000000000171"/>
  </r>
  <r>
    <x v="15"/>
    <x v="6"/>
    <x v="0"/>
    <s v="4505107"/>
    <n v="731060"/>
    <s v="Pagers"/>
    <s v="BR Preop/PACU/Ph II"/>
    <x v="0"/>
    <n v="1002"/>
    <n v="14.32"/>
    <n v="8.1"/>
    <n v="8.1"/>
    <n v="8.1199999999999992"/>
    <n v="0"/>
    <n v="8.1199999999999992"/>
    <n v="16.239999999999998"/>
    <n v="8.1199999999999992"/>
    <n v="8.1199999999999992"/>
    <n v="8.1199999999999992"/>
    <n v="8.1199999999999992"/>
    <n v="8.1199999999999992"/>
    <n v="103.60000000000002"/>
    <n v="0"/>
  </r>
  <r>
    <x v="16"/>
    <x v="6"/>
    <x v="0"/>
    <s v="4505107"/>
    <n v="732030"/>
    <s v="Repairs---Other"/>
    <s v="BR Preop/PACU/Ph II"/>
    <x v="0"/>
    <m/>
    <n v="12.51"/>
    <n v="0"/>
    <n v="0"/>
    <n v="0"/>
    <n v="0"/>
    <n v="0"/>
    <n v="0"/>
    <n v="0"/>
    <n v="0"/>
    <n v="0"/>
    <n v="0"/>
    <n v="0"/>
    <n v="12.51"/>
    <n v="0"/>
  </r>
  <r>
    <x v="13"/>
    <x v="6"/>
    <x v="0"/>
    <s v="4505107"/>
    <n v="735070"/>
    <s v="Depreciation-Movable Equipment"/>
    <s v="BR Preop/PACU/Ph II"/>
    <x v="0"/>
    <m/>
    <n v="439.29"/>
    <n v="439.29"/>
    <n v="439.29"/>
    <n v="439.29"/>
    <n v="439.29"/>
    <n v="439.27"/>
    <n v="439.29"/>
    <n v="439.27"/>
    <n v="439.3"/>
    <n v="439.27"/>
    <n v="439.3"/>
    <n v="439.27"/>
    <n v="5271.42"/>
    <n v="3.0000000000029559E-2"/>
  </r>
  <r>
    <x v="0"/>
    <x v="6"/>
    <x v="0"/>
    <s v="4505107"/>
    <n v="740020"/>
    <s v="Education-Registration Fees"/>
    <s v="BR Preop/PACU/Ph II"/>
    <x v="0"/>
    <m/>
    <n v="0"/>
    <n v="180"/>
    <n v="675"/>
    <n v="165"/>
    <n v="0"/>
    <n v="590"/>
    <n v="645"/>
    <n v="830"/>
    <n v="1050"/>
    <n v="215"/>
    <n v="0"/>
    <n v="0"/>
    <n v="4350"/>
    <n v="0"/>
  </r>
  <r>
    <x v="0"/>
    <x v="6"/>
    <x v="0"/>
    <s v="4505107"/>
    <n v="749510"/>
    <s v="Miscellaneous Expenses"/>
    <s v="BR Preop/PACU/Ph II"/>
    <x v="0"/>
    <m/>
    <n v="-87.04"/>
    <n v="21841.040000000001"/>
    <n v="182.49"/>
    <n v="-86.12"/>
    <n v="81.96"/>
    <n v="-81.96"/>
    <n v="925.46"/>
    <n v="-203.48"/>
    <n v="-20641.53"/>
    <n v="156.99"/>
    <n v="-170.86"/>
    <n v="0"/>
    <n v="1916.950000000003"/>
    <n v="-170.86"/>
  </r>
  <r>
    <x v="0"/>
    <x v="6"/>
    <x v="0"/>
    <s v="4505107"/>
    <n v="749510"/>
    <s v="RICE Rewards"/>
    <s v="BR Preop/PACU/Ph II"/>
    <x v="0"/>
    <n v="5100"/>
    <n v="0"/>
    <n v="0"/>
    <n v="0"/>
    <n v="0"/>
    <n v="0"/>
    <n v="0"/>
    <n v="360.53"/>
    <n v="0"/>
    <n v="433.46"/>
    <n v="0"/>
    <n v="0"/>
    <n v="230.73"/>
    <n v="1024.72"/>
    <n v="-230.73"/>
  </r>
  <r>
    <x v="0"/>
    <x v="6"/>
    <x v="0"/>
    <s v="4505107"/>
    <n v="749530"/>
    <s v="Travel"/>
    <s v="BR Preop/PACU/Ph II"/>
    <x v="0"/>
    <m/>
    <n v="12"/>
    <n v="0"/>
    <n v="30"/>
    <n v="321.48"/>
    <n v="0"/>
    <n v="30"/>
    <n v="0"/>
    <n v="880.22"/>
    <n v="5"/>
    <n v="5"/>
    <n v="1000.2"/>
    <n v="5"/>
    <n v="2288.9"/>
    <n v="995.2"/>
  </r>
  <r>
    <x v="0"/>
    <x v="6"/>
    <x v="0"/>
    <s v="4505107"/>
    <n v="749530"/>
    <s v="Mileage"/>
    <s v="BR Preop/PACU/Ph II"/>
    <x v="0"/>
    <n v="1001"/>
    <n v="79.58"/>
    <n v="0"/>
    <n v="243.63"/>
    <n v="148.24"/>
    <n v="0"/>
    <n v="226.21"/>
    <n v="0"/>
    <n v="45.24"/>
    <n v="46.98"/>
    <n v="46.98"/>
    <n v="278.98"/>
    <n v="46.98"/>
    <n v="1162.8200000000002"/>
    <n v="232.00000000000003"/>
  </r>
  <r>
    <x v="18"/>
    <x v="7"/>
    <x v="0"/>
    <s v="4505150"/>
    <n v="400010"/>
    <s v="Acute I/P Svcs Rev--Medicare"/>
    <s v="Recovery Services"/>
    <x v="0"/>
    <n v="1100"/>
    <n v="-27551.39"/>
    <n v="-51531.59"/>
    <n v="-36260.699999999997"/>
    <n v="-32226.39"/>
    <n v="-23289"/>
    <n v="-40662.300000000003"/>
    <n v="-40458.839999999997"/>
    <n v="-35074.89"/>
    <n v="-40866.080000000002"/>
    <n v="-36256.379999999997"/>
    <n v="-34272.92"/>
    <n v="-10564.25"/>
    <n v="-409014.73"/>
    <n v="-23708.67"/>
  </r>
  <r>
    <x v="18"/>
    <x v="7"/>
    <x v="0"/>
    <s v="4505150"/>
    <n v="400010"/>
    <s v="Acute I/P Svcs Rev--Medicaid"/>
    <s v="Recovery Services"/>
    <x v="0"/>
    <n v="1200"/>
    <n v="-48779.41"/>
    <n v="-82971.899999999994"/>
    <n v="-18207"/>
    <n v="-17513.400000000001"/>
    <n v="-26586.66"/>
    <n v="-6522.6"/>
    <n v="-9103.5"/>
    <n v="693.84"/>
    <n v="-25676.15"/>
    <n v="389.56"/>
    <n v="-21306.32"/>
    <n v="-26097.4"/>
    <n v="-281680.94"/>
    <n v="4791.0800000000017"/>
  </r>
  <r>
    <x v="18"/>
    <x v="7"/>
    <x v="0"/>
    <s v="4505150"/>
    <n v="400010"/>
    <s v="Acute I/P Svcs Rev--Comm Insurance"/>
    <s v="Recovery Services"/>
    <x v="0"/>
    <n v="1300"/>
    <n v="0"/>
    <n v="-7282.8"/>
    <n v="-4855.2"/>
    <n v="-2427.6"/>
    <n v="-1820.7"/>
    <n v="-4855.2"/>
    <n v="0"/>
    <n v="0"/>
    <n v="-3125.55"/>
    <n v="0"/>
    <n v="0"/>
    <n v="0"/>
    <n v="-24367.05"/>
    <n v="0"/>
  </r>
  <r>
    <x v="18"/>
    <x v="7"/>
    <x v="0"/>
    <s v="4505150"/>
    <n v="400010"/>
    <s v="Acute I/P Svcs Rev--BCBS Comm"/>
    <s v="Recovery Services"/>
    <x v="0"/>
    <n v="1301"/>
    <n v="-2023"/>
    <n v="-15952.8"/>
    <n v="-6675.9"/>
    <n v="-11175.16"/>
    <n v="-13351.8"/>
    <n v="-15779.4"/>
    <n v="-6069"/>
    <n v="-12502.2"/>
    <n v="-15627.75"/>
    <n v="-14231.85"/>
    <n v="-4375.7700000000004"/>
    <n v="-23999.08"/>
    <n v="-141763.71000000002"/>
    <n v="19623.310000000001"/>
  </r>
  <r>
    <x v="18"/>
    <x v="7"/>
    <x v="0"/>
    <s v="4505150"/>
    <n v="400010"/>
    <s v="Acute I/P Svcs Rev--Managed Care"/>
    <s v="Recovery Services"/>
    <x v="0"/>
    <n v="1400"/>
    <n v="-52317.83"/>
    <n v="-38234.699999999997"/>
    <n v="-10924.2"/>
    <n v="-22455.3"/>
    <n v="-25489.8"/>
    <n v="-44910.6"/>
    <n v="-17600.099999999999"/>
    <n v="-28181.82"/>
    <n v="-11853.41"/>
    <n v="-36791.620000000003"/>
    <n v="-19612.34"/>
    <n v="-19857.84"/>
    <n v="-328229.56000000006"/>
    <n v="245.5"/>
  </r>
  <r>
    <x v="18"/>
    <x v="7"/>
    <x v="0"/>
    <s v="4505150"/>
    <n v="400010"/>
    <s v="Acute I/P Svcs Rev--Self Pay"/>
    <s v="Recovery Services"/>
    <x v="0"/>
    <n v="1500"/>
    <n v="5202"/>
    <n v="0"/>
    <n v="0"/>
    <n v="0"/>
    <n v="0"/>
    <n v="-3034.5"/>
    <n v="0"/>
    <n v="-3125.55"/>
    <n v="0"/>
    <n v="0"/>
    <n v="0"/>
    <n v="0"/>
    <n v="-958.05000000000018"/>
    <n v="0"/>
  </r>
  <r>
    <x v="18"/>
    <x v="7"/>
    <x v="0"/>
    <s v="4505150"/>
    <n v="400010"/>
    <s v="Acute I/P Svcs Rev--Other"/>
    <s v="Recovery Services"/>
    <x v="0"/>
    <n v="1700"/>
    <n v="0"/>
    <n v="2312"/>
    <n v="0"/>
    <n v="1734"/>
    <n v="-2427.6"/>
    <n v="0"/>
    <n v="-9710.4"/>
    <n v="-2500.44"/>
    <n v="-3750.66"/>
    <n v="0"/>
    <n v="2500.44"/>
    <n v="-2656.34"/>
    <n v="-14499"/>
    <n v="5156.7800000000007"/>
  </r>
  <r>
    <x v="19"/>
    <x v="7"/>
    <x v="0"/>
    <s v="4505150"/>
    <n v="400020"/>
    <s v="O/P Care Svcs Rev--Medicare"/>
    <s v="Recovery Services"/>
    <x v="0"/>
    <n v="1100"/>
    <n v="-105162.93"/>
    <n v="-116770.91"/>
    <n v="-69729.45"/>
    <n v="-158789.49"/>
    <n v="-118296.81"/>
    <n v="-118158.87"/>
    <n v="-162208.19"/>
    <n v="-112570.88"/>
    <n v="-167612.71"/>
    <n v="-117866.5"/>
    <n v="-149474.76999999999"/>
    <n v="-99719.75"/>
    <n v="-1496361.26"/>
    <n v="-49755.01999999999"/>
  </r>
  <r>
    <x v="19"/>
    <x v="7"/>
    <x v="0"/>
    <s v="4505150"/>
    <n v="400020"/>
    <s v="O/P Care Svcs Rev--Medicaid"/>
    <s v="Recovery Services"/>
    <x v="0"/>
    <n v="1200"/>
    <n v="-61799.21"/>
    <n v="-100980.75"/>
    <n v="-86409.97"/>
    <n v="-75664.899999999994"/>
    <n v="-56066.7"/>
    <n v="-60853.74"/>
    <n v="-80060.72"/>
    <n v="-63449.17"/>
    <n v="-153994.39000000001"/>
    <n v="-101261.39"/>
    <n v="-102329.35"/>
    <n v="-93262.12"/>
    <n v="-1036132.41"/>
    <n v="-9067.2300000000105"/>
  </r>
  <r>
    <x v="19"/>
    <x v="7"/>
    <x v="0"/>
    <s v="4505150"/>
    <n v="400020"/>
    <s v="O/P Care Svcs Rev--Comm Insurance"/>
    <s v="Recovery Services"/>
    <x v="0"/>
    <n v="1300"/>
    <n v="-21848.87"/>
    <n v="1684.41"/>
    <n v="-19509.400000000001"/>
    <n v="-8248.0499999999993"/>
    <n v="7512.6"/>
    <n v="-13620.96"/>
    <n v="-22029.919999999998"/>
    <n v="-8947.01"/>
    <n v="-2683.75"/>
    <n v="-22266.36"/>
    <n v="-9810.2000000000007"/>
    <n v="-24863.27"/>
    <n v="-144630.78"/>
    <n v="15053.07"/>
  </r>
  <r>
    <x v="19"/>
    <x v="7"/>
    <x v="0"/>
    <s v="4505150"/>
    <n v="400020"/>
    <s v="O/P Care Svcs Rev--BCBS Comm"/>
    <s v="Recovery Services"/>
    <x v="0"/>
    <n v="1301"/>
    <n v="-48958.84"/>
    <n v="-46508.37"/>
    <n v="-65376.72"/>
    <n v="-101365.75"/>
    <n v="-64731.01"/>
    <n v="-55479.15"/>
    <n v="-71901.87"/>
    <n v="-51601.8"/>
    <n v="-70227.34"/>
    <n v="-48052.81"/>
    <n v="-66560.45"/>
    <n v="-46241.64"/>
    <n v="-737005.74999999988"/>
    <n v="-20318.809999999998"/>
  </r>
  <r>
    <x v="19"/>
    <x v="7"/>
    <x v="0"/>
    <s v="4505150"/>
    <n v="400020"/>
    <s v="O/P Care Svcs Rev--Managed Care"/>
    <s v="Recovery Services"/>
    <x v="0"/>
    <n v="1400"/>
    <n v="-126507.21"/>
    <n v="-152880.81"/>
    <n v="-100684.55"/>
    <n v="-119208.08"/>
    <n v="-176895.17"/>
    <n v="-152785.16"/>
    <n v="-176931.75"/>
    <n v="-109906.54"/>
    <n v="-117556.16"/>
    <n v="-113426.4"/>
    <n v="-134262.23000000001"/>
    <n v="-193079.77"/>
    <n v="-1674123.8299999998"/>
    <n v="58817.539999999979"/>
  </r>
  <r>
    <x v="19"/>
    <x v="7"/>
    <x v="0"/>
    <s v="4505150"/>
    <n v="400020"/>
    <s v="O/P Care Svcs Rev--Self Pay"/>
    <s v="Recovery Services"/>
    <x v="0"/>
    <n v="1500"/>
    <n v="-6365.04"/>
    <n v="3426.17"/>
    <n v="-5357.12"/>
    <n v="0"/>
    <n v="-8966.5300000000007"/>
    <n v="-6897.7"/>
    <n v="0"/>
    <n v="0"/>
    <n v="-2500.44"/>
    <n v="-5076.0600000000004"/>
    <n v="-3918.22"/>
    <n v="-3183.53"/>
    <n v="-38838.47"/>
    <n v="-734.6899999999996"/>
  </r>
  <r>
    <x v="19"/>
    <x v="7"/>
    <x v="0"/>
    <s v="4505150"/>
    <n v="400020"/>
    <s v="O/P Care Svcs Rev--Other"/>
    <s v="Recovery Services"/>
    <x v="0"/>
    <n v="1700"/>
    <n v="-27739.18"/>
    <n v="-20730.45"/>
    <n v="-28930.25"/>
    <n v="-17107.189999999999"/>
    <n v="-38375.75"/>
    <n v="-36149.07"/>
    <n v="-20109.7"/>
    <n v="-29065.06"/>
    <n v="-39163.79"/>
    <n v="-26032.560000000001"/>
    <n v="-34715.410000000003"/>
    <n v="-35841.050000000003"/>
    <n v="-353959.46"/>
    <n v="1125.6399999999994"/>
  </r>
  <r>
    <x v="5"/>
    <x v="7"/>
    <x v="0"/>
    <s v="4505150"/>
    <n v="700026"/>
    <s v="Salaries-RN-Productive"/>
    <s v="Recovery Services"/>
    <x v="0"/>
    <m/>
    <n v="64123.65"/>
    <n v="61310.86"/>
    <n v="66579.19"/>
    <n v="76597.64"/>
    <n v="76131.789999999994"/>
    <n v="66453.27"/>
    <n v="71182.009999999995"/>
    <n v="59988.73"/>
    <n v="76376.06"/>
    <n v="72380.38"/>
    <n v="69074.75"/>
    <n v="69482.460000000006"/>
    <n v="829680.78999999992"/>
    <n v="-407.7100000000064"/>
  </r>
  <r>
    <x v="5"/>
    <x v="7"/>
    <x v="0"/>
    <s v="4505150"/>
    <n v="700026"/>
    <s v="Salaries-RN-OT"/>
    <s v="Recovery Services"/>
    <x v="0"/>
    <n v="1000"/>
    <n v="2897.52"/>
    <n v="7239.66"/>
    <n v="3080.74"/>
    <n v="2725.33"/>
    <n v="4107.8500000000004"/>
    <n v="6693.02"/>
    <n v="4102.0200000000004"/>
    <n v="4292.28"/>
    <n v="7880.1"/>
    <n v="4154.6099999999997"/>
    <n v="4945.4799999999996"/>
    <n v="4082.89"/>
    <n v="56201.5"/>
    <n v="862.58999999999969"/>
  </r>
  <r>
    <x v="5"/>
    <x v="7"/>
    <x v="0"/>
    <s v="4505150"/>
    <n v="700026"/>
    <s v="Salaries-RN-Other"/>
    <s v="Recovery Services"/>
    <x v="0"/>
    <n v="2000"/>
    <n v="6632.68"/>
    <n v="5549.09"/>
    <n v="6318.08"/>
    <n v="6611.42"/>
    <n v="7038.49"/>
    <n v="6442.72"/>
    <n v="6264.3"/>
    <n v="5041.1899999999996"/>
    <n v="6195"/>
    <n v="5786.9"/>
    <n v="5718.18"/>
    <n v="7576.34"/>
    <n v="75174.39"/>
    <n v="-1858.1599999999999"/>
  </r>
  <r>
    <x v="5"/>
    <x v="7"/>
    <x v="0"/>
    <s v="4505150"/>
    <n v="700032"/>
    <s v="Salaries-Other Pat Care Providers-Productive"/>
    <s v="Recovery Services"/>
    <x v="0"/>
    <m/>
    <n v="0"/>
    <n v="0"/>
    <n v="0"/>
    <n v="0"/>
    <n v="4481.72"/>
    <n v="2918.55"/>
    <n v="3709.91"/>
    <n v="2819.2"/>
    <n v="3662.43"/>
    <n v="2697.81"/>
    <n v="1837.43"/>
    <n v="2941.7"/>
    <n v="25068.750000000004"/>
    <n v="-1104.2699999999998"/>
  </r>
  <r>
    <x v="5"/>
    <x v="7"/>
    <x v="0"/>
    <s v="4505150"/>
    <n v="700032"/>
    <s v="Salaries-Other Pat Care Providers-OT"/>
    <s v="Recovery Services"/>
    <x v="0"/>
    <n v="1000"/>
    <n v="0"/>
    <n v="0"/>
    <n v="0"/>
    <n v="0"/>
    <n v="0"/>
    <n v="17.239999999999998"/>
    <n v="43.17"/>
    <n v="17.260000000000002"/>
    <n v="0"/>
    <n v="8.6300000000000008"/>
    <n v="0"/>
    <n v="43.77"/>
    <n v="130.07"/>
    <n v="-43.77"/>
  </r>
  <r>
    <x v="5"/>
    <x v="7"/>
    <x v="0"/>
    <s v="4505150"/>
    <n v="700038"/>
    <s v="Salaries-Service/Support-Productive"/>
    <s v="Recovery Services"/>
    <x v="0"/>
    <m/>
    <n v="2551.5500000000002"/>
    <n v="3431.69"/>
    <n v="2676.87"/>
    <n v="3217.24"/>
    <n v="-1052.18"/>
    <n v="0"/>
    <n v="0"/>
    <n v="0"/>
    <n v="0"/>
    <n v="0"/>
    <n v="0"/>
    <n v="0"/>
    <n v="10825.17"/>
    <n v="0"/>
  </r>
  <r>
    <x v="5"/>
    <x v="7"/>
    <x v="0"/>
    <s v="4505150"/>
    <n v="700038"/>
    <s v="Salaries-Service/Support-OT"/>
    <s v="Recovery Services"/>
    <x v="0"/>
    <n v="1000"/>
    <n v="0"/>
    <n v="0"/>
    <n v="13.15"/>
    <n v="56.8"/>
    <n v="-27.09"/>
    <n v="0"/>
    <n v="0"/>
    <n v="0"/>
    <n v="0"/>
    <n v="0"/>
    <n v="0"/>
    <n v="0"/>
    <n v="42.86"/>
    <n v="0"/>
  </r>
  <r>
    <x v="5"/>
    <x v="7"/>
    <x v="0"/>
    <s v="4505150"/>
    <n v="700038"/>
    <s v="Salaries-Service/Support-Other"/>
    <s v="Recovery Services"/>
    <x v="0"/>
    <n v="2000"/>
    <n v="5.44"/>
    <n v="0"/>
    <n v="0"/>
    <n v="0"/>
    <n v="0"/>
    <n v="0"/>
    <n v="0"/>
    <n v="0"/>
    <n v="0"/>
    <n v="0"/>
    <n v="0"/>
    <n v="0"/>
    <n v="5.44"/>
    <n v="0"/>
  </r>
  <r>
    <x v="5"/>
    <x v="7"/>
    <x v="0"/>
    <s v="4505150"/>
    <n v="700066"/>
    <s v="Salaries-RN-Non-productive"/>
    <s v="Recovery Services"/>
    <x v="0"/>
    <m/>
    <n v="15973.79"/>
    <n v="11567.81"/>
    <n v="8124.42"/>
    <n v="4909.3100000000004"/>
    <n v="9322.35"/>
    <n v="10819.17"/>
    <n v="10251.16"/>
    <n v="7231.27"/>
    <n v="4893.3999999999996"/>
    <n v="6494.15"/>
    <n v="6460.45"/>
    <n v="17943.14"/>
    <n v="113990.41999999998"/>
    <n v="-11482.689999999999"/>
  </r>
  <r>
    <x v="5"/>
    <x v="7"/>
    <x v="0"/>
    <s v="4505150"/>
    <n v="700066"/>
    <s v="Salaries-RN-NonProd-Other"/>
    <s v="Recovery Services"/>
    <x v="0"/>
    <n v="2000"/>
    <n v="2106.48"/>
    <n v="1041.75"/>
    <n v="1948.6"/>
    <n v="388.86"/>
    <n v="2687.33"/>
    <n v="3982.33"/>
    <n v="1995.13"/>
    <n v="-1297.42"/>
    <n v="2223.3000000000002"/>
    <n v="1016.55"/>
    <n v="2307.92"/>
    <n v="3032.17"/>
    <n v="21433"/>
    <n v="-724.25"/>
  </r>
  <r>
    <x v="5"/>
    <x v="7"/>
    <x v="0"/>
    <s v="4505150"/>
    <n v="700072"/>
    <s v="Salaries-Other Pat Care Providers-Non-productive"/>
    <s v="Recovery Services"/>
    <x v="0"/>
    <m/>
    <n v="0"/>
    <n v="0"/>
    <n v="0"/>
    <n v="0"/>
    <n v="469.63"/>
    <n v="879.35"/>
    <n v="14.94"/>
    <n v="498.28"/>
    <n v="342.09"/>
    <n v="1141.29"/>
    <n v="1757.17"/>
    <n v="1214.55"/>
    <n v="6317.3"/>
    <n v="542.62000000000012"/>
  </r>
  <r>
    <x v="5"/>
    <x v="7"/>
    <x v="0"/>
    <s v="4505150"/>
    <n v="700078"/>
    <s v="Salaries-Service/Support-Non-productive"/>
    <s v="Recovery Services"/>
    <x v="0"/>
    <m/>
    <n v="1264.5999999999999"/>
    <n v="456.41"/>
    <n v="663.23"/>
    <n v="756.1"/>
    <n v="-343.19"/>
    <n v="0"/>
    <n v="0"/>
    <n v="0"/>
    <n v="0"/>
    <n v="0"/>
    <n v="0"/>
    <n v="0"/>
    <n v="2797.1499999999996"/>
    <n v="0"/>
  </r>
  <r>
    <x v="5"/>
    <x v="7"/>
    <x v="0"/>
    <s v="4505150"/>
    <n v="700084"/>
    <s v="Accrued PTO"/>
    <s v="Recovery Services"/>
    <x v="0"/>
    <m/>
    <n v="-5155.25"/>
    <n v="-2157.8200000000002"/>
    <n v="-1041.19"/>
    <n v="1273.5"/>
    <n v="1026.5"/>
    <n v="-2610.2399999999998"/>
    <n v="-2582.7199999999998"/>
    <n v="1884.28"/>
    <n v="3552.75"/>
    <n v="1944.96"/>
    <n v="3793.97"/>
    <n v="-2335.96"/>
    <n v="-2407.2199999999989"/>
    <n v="6129.93"/>
  </r>
  <r>
    <x v="10"/>
    <x v="7"/>
    <x v="0"/>
    <s v="4505150"/>
    <n v="710060"/>
    <s v="Contract Labor-Other"/>
    <s v="Recovery Services"/>
    <x v="0"/>
    <m/>
    <n v="5609"/>
    <n v="7259.75"/>
    <n v="3159.5"/>
    <n v="0"/>
    <n v="0"/>
    <n v="0"/>
    <n v="0"/>
    <n v="0"/>
    <n v="0"/>
    <n v="0"/>
    <n v="0"/>
    <n v="0"/>
    <n v="16028.25"/>
    <n v="0"/>
  </r>
  <r>
    <x v="10"/>
    <x v="7"/>
    <x v="0"/>
    <s v="4505150"/>
    <n v="710060"/>
    <s v="Contract Labor-Overtime"/>
    <s v="Recovery Services"/>
    <x v="0"/>
    <n v="5100"/>
    <n v="0"/>
    <n v="1198.1199999999999"/>
    <n v="982.46"/>
    <n v="0"/>
    <n v="0"/>
    <n v="0"/>
    <n v="0"/>
    <n v="0"/>
    <n v="0"/>
    <n v="0"/>
    <n v="0"/>
    <n v="0"/>
    <n v="2180.58"/>
    <n v="0"/>
  </r>
  <r>
    <x v="10"/>
    <x v="7"/>
    <x v="0"/>
    <s v="4505150"/>
    <n v="710060"/>
    <s v="Contract Labor-Standby Wages"/>
    <s v="Recovery Services"/>
    <x v="0"/>
    <n v="5101"/>
    <n v="0"/>
    <n v="252"/>
    <n v="682"/>
    <n v="0"/>
    <n v="0"/>
    <n v="0"/>
    <n v="0"/>
    <n v="0"/>
    <n v="0"/>
    <n v="0"/>
    <n v="0"/>
    <n v="0"/>
    <n v="934"/>
    <n v="0"/>
  </r>
  <r>
    <x v="6"/>
    <x v="7"/>
    <x v="0"/>
    <s v="4505150"/>
    <n v="713010"/>
    <s v="Benefits-FICA/Medicare"/>
    <s v="Recovery Services"/>
    <x v="0"/>
    <m/>
    <n v="7117.35"/>
    <n v="6732.43"/>
    <n v="6652.23"/>
    <n v="7082.39"/>
    <n v="7882.87"/>
    <n v="6623.31"/>
    <n v="7237.08"/>
    <n v="6053.09"/>
    <n v="7535.75"/>
    <n v="6935.95"/>
    <n v="6800.37"/>
    <n v="7904.36"/>
    <n v="84557.18"/>
    <n v="-1103.9899999999998"/>
  </r>
  <r>
    <x v="6"/>
    <x v="7"/>
    <x v="0"/>
    <s v="4505150"/>
    <n v="713090"/>
    <s v="Benefits-Allocated Amounts"/>
    <s v="Recovery Services"/>
    <x v="0"/>
    <m/>
    <n v="15259.56"/>
    <n v="12936.79"/>
    <n v="14313"/>
    <n v="15464.41"/>
    <n v="15973.71"/>
    <n v="14256.12"/>
    <n v="15497.07"/>
    <n v="12361.45"/>
    <n v="14480.15"/>
    <n v="15670.24"/>
    <n v="14285.15"/>
    <n v="17374.310000000001"/>
    <n v="177871.96"/>
    <n v="-3089.1600000000017"/>
  </r>
  <r>
    <x v="7"/>
    <x v="7"/>
    <x v="0"/>
    <s v="4505150"/>
    <n v="718050"/>
    <s v="Contract Svcs-Other"/>
    <s v="Recovery Services"/>
    <x v="0"/>
    <m/>
    <n v="0"/>
    <n v="0"/>
    <n v="0"/>
    <n v="350"/>
    <n v="0"/>
    <n v="0"/>
    <n v="0"/>
    <n v="915"/>
    <n v="0"/>
    <n v="0"/>
    <n v="0"/>
    <n v="0"/>
    <n v="1265"/>
    <n v="0"/>
  </r>
  <r>
    <x v="7"/>
    <x v="7"/>
    <x v="0"/>
    <s v="4505150"/>
    <n v="718050"/>
    <s v="Contract Management--Linen"/>
    <s v="Recovery Services"/>
    <x v="0"/>
    <n v="1026"/>
    <n v="609.46"/>
    <n v="865.84"/>
    <n v="839.08"/>
    <n v="707.94"/>
    <n v="680.84"/>
    <n v="788.17"/>
    <n v="831.97"/>
    <n v="705.44"/>
    <n v="617.16999999999996"/>
    <n v="738.62"/>
    <n v="767"/>
    <n v="750.94"/>
    <n v="8902.4699999999993"/>
    <n v="16.059999999999945"/>
  </r>
  <r>
    <x v="11"/>
    <x v="7"/>
    <x v="0"/>
    <s v="4505150"/>
    <n v="721010"/>
    <s v="Supplies-Medical - Billable"/>
    <s v="Recovery Services"/>
    <x v="0"/>
    <m/>
    <n v="878.18"/>
    <n v="989.83"/>
    <n v="802.62"/>
    <n v="1159.24"/>
    <n v="1037.05"/>
    <n v="970.7"/>
    <n v="1007.12"/>
    <n v="1025.99"/>
    <n v="1043.2"/>
    <n v="1196.18"/>
    <n v="893.85"/>
    <n v="731.63"/>
    <n v="11735.59"/>
    <n v="162.22000000000003"/>
  </r>
  <r>
    <x v="11"/>
    <x v="7"/>
    <x v="0"/>
    <s v="4505150"/>
    <n v="721010"/>
    <s v="Patient Monitoring"/>
    <s v="Recovery Services"/>
    <x v="0"/>
    <n v="1000"/>
    <n v="4.41"/>
    <n v="37.79"/>
    <n v="23.86"/>
    <n v="25.2"/>
    <n v="4.41"/>
    <n v="4.41"/>
    <n v="39.71"/>
    <n v="6.61"/>
    <n v="6.6"/>
    <n v="10.119999999999999"/>
    <n v="8.81"/>
    <n v="57.05"/>
    <n v="228.98000000000002"/>
    <n v="-48.239999999999995"/>
  </r>
  <r>
    <x v="11"/>
    <x v="7"/>
    <x v="0"/>
    <s v="4505150"/>
    <n v="721020"/>
    <s v="Custom Packs"/>
    <s v="Recovery Services"/>
    <x v="0"/>
    <n v="1000"/>
    <n v="0"/>
    <n v="263.72000000000003"/>
    <n v="347"/>
    <n v="222.08"/>
    <n v="124.92"/>
    <n v="160.16"/>
    <n v="119.16"/>
    <n v="119.16"/>
    <n v="92.68"/>
    <n v="185.36"/>
    <n v="119.16"/>
    <n v="158.88"/>
    <n v="1912.2800000000002"/>
    <n v="-39.72"/>
  </r>
  <r>
    <x v="11"/>
    <x v="7"/>
    <x v="0"/>
    <s v="4505150"/>
    <n v="721240"/>
    <s v="Supplies-IV Solutions/Supplies - Billable"/>
    <s v="Recovery Services"/>
    <x v="0"/>
    <m/>
    <n v="965.66"/>
    <n v="1379.84"/>
    <n v="986.46"/>
    <n v="1359.46"/>
    <n v="1054.6400000000001"/>
    <n v="1266.55"/>
    <n v="1363.21"/>
    <n v="958.16"/>
    <n v="1364.86"/>
    <n v="1206.78"/>
    <n v="1408.44"/>
    <n v="1007.84"/>
    <n v="14321.900000000001"/>
    <n v="400.6"/>
  </r>
  <r>
    <x v="11"/>
    <x v="7"/>
    <x v="0"/>
    <s v="4505150"/>
    <n v="721410"/>
    <s v="Supplies-Medical - Nonbillable"/>
    <s v="Recovery Services"/>
    <x v="0"/>
    <m/>
    <n v="1748.79"/>
    <n v="705.55"/>
    <n v="954.8"/>
    <n v="1191.6400000000001"/>
    <n v="1079"/>
    <n v="1220.74"/>
    <n v="1409.99"/>
    <n v="1013.42"/>
    <n v="1092.58"/>
    <n v="829.22"/>
    <n v="1218.8399999999999"/>
    <n v="780.13"/>
    <n v="13244.699999999999"/>
    <n v="438.70999999999992"/>
  </r>
  <r>
    <x v="11"/>
    <x v="7"/>
    <x v="0"/>
    <s v="4505150"/>
    <n v="721410"/>
    <s v="Patient Monitoring"/>
    <s v="Recovery Services"/>
    <x v="0"/>
    <n v="1000"/>
    <n v="20.329999999999998"/>
    <n v="4.04"/>
    <n v="2.69"/>
    <n v="2.69"/>
    <n v="0"/>
    <n v="3.6"/>
    <n v="4.05"/>
    <n v="3.15"/>
    <n v="1.8"/>
    <n v="25.87"/>
    <n v="4.05"/>
    <n v="2.25"/>
    <n v="74.52"/>
    <n v="1.7999999999999998"/>
  </r>
  <r>
    <x v="11"/>
    <x v="7"/>
    <x v="0"/>
    <s v="4505150"/>
    <n v="721420"/>
    <s v="Supplies-Surgical Nonbillable"/>
    <s v="Recovery Services"/>
    <x v="0"/>
    <m/>
    <n v="71.510000000000005"/>
    <n v="89.08"/>
    <n v="60.85"/>
    <n v="69.77"/>
    <n v="72.77"/>
    <n v="94"/>
    <n v="99"/>
    <n v="93.55"/>
    <n v="39.76"/>
    <n v="102.85"/>
    <n v="106.29"/>
    <n v="45.61"/>
    <n v="945.04"/>
    <n v="60.680000000000007"/>
  </r>
  <r>
    <x v="11"/>
    <x v="7"/>
    <x v="0"/>
    <s v="4505150"/>
    <n v="721420"/>
    <s v="Heart/Lung Machine Supplies"/>
    <s v="Recovery Services"/>
    <x v="0"/>
    <n v="1005"/>
    <n v="0"/>
    <n v="0"/>
    <n v="0"/>
    <n v="0"/>
    <n v="1.68"/>
    <n v="1.68"/>
    <n v="0"/>
    <n v="0"/>
    <n v="0"/>
    <n v="0"/>
    <n v="1.6"/>
    <n v="0"/>
    <n v="4.96"/>
    <n v="1.6"/>
  </r>
  <r>
    <x v="11"/>
    <x v="7"/>
    <x v="0"/>
    <s v="4505150"/>
    <n v="721420"/>
    <s v="Tubes Drains &amp; Related Supplies"/>
    <s v="Recovery Services"/>
    <x v="0"/>
    <n v="1008"/>
    <n v="9.9499999999999993"/>
    <n v="0"/>
    <n v="28.8"/>
    <n v="0"/>
    <n v="0"/>
    <n v="0"/>
    <n v="0"/>
    <n v="0"/>
    <n v="0"/>
    <n v="0"/>
    <n v="0"/>
    <n v="0"/>
    <n v="38.75"/>
    <n v="0"/>
  </r>
  <r>
    <x v="11"/>
    <x v="7"/>
    <x v="0"/>
    <s v="4505150"/>
    <n v="721610"/>
    <s v="Supplies-Anesthesia - Nonbillable"/>
    <s v="Recovery Services"/>
    <x v="0"/>
    <m/>
    <n v="115.86"/>
    <n v="447.86"/>
    <n v="326.36"/>
    <n v="579.52"/>
    <n v="307.06"/>
    <n v="500.74"/>
    <n v="724.86"/>
    <n v="117.09"/>
    <n v="726.09"/>
    <n v="332.79"/>
    <n v="329.44"/>
    <n v="106.59"/>
    <n v="4614.26"/>
    <n v="222.85"/>
  </r>
  <r>
    <x v="11"/>
    <x v="7"/>
    <x v="0"/>
    <s v="4505150"/>
    <n v="721640"/>
    <s v="Supplies-IV Solutions/Supplies - Nonbillable"/>
    <s v="Recovery Services"/>
    <x v="0"/>
    <m/>
    <n v="776.94"/>
    <n v="1063.6199999999999"/>
    <n v="730.06"/>
    <n v="692.27"/>
    <n v="888.97"/>
    <n v="929.42"/>
    <n v="1020.81"/>
    <n v="802.95"/>
    <n v="1148.94"/>
    <n v="867.78"/>
    <n v="796.05"/>
    <n v="615.29999999999995"/>
    <n v="10333.109999999999"/>
    <n v="180.75"/>
  </r>
  <r>
    <x v="11"/>
    <x v="7"/>
    <x v="0"/>
    <s v="4505150"/>
    <n v="721650"/>
    <s v="Supplies-Pharmacy Drugs - Nonbillable"/>
    <s v="Recovery Services"/>
    <x v="0"/>
    <m/>
    <n v="0"/>
    <n v="0.48"/>
    <n v="0"/>
    <n v="0"/>
    <n v="0"/>
    <n v="0"/>
    <n v="0"/>
    <n v="0"/>
    <n v="0"/>
    <n v="0"/>
    <n v="0"/>
    <n v="0"/>
    <n v="0.48"/>
    <n v="0"/>
  </r>
  <r>
    <x v="11"/>
    <x v="7"/>
    <x v="0"/>
    <s v="4505150"/>
    <n v="721710"/>
    <s v="Supplies-Laboratory - Nonbillable"/>
    <s v="Recovery Services"/>
    <x v="0"/>
    <m/>
    <n v="2.0699999999999998"/>
    <n v="20.29"/>
    <n v="2.15"/>
    <n v="10.220000000000001"/>
    <n v="19.55"/>
    <n v="100.31"/>
    <n v="17.32"/>
    <n v="2.41"/>
    <n v="3.08"/>
    <n v="11.72"/>
    <n v="7.7"/>
    <n v="-4.9000000000000004"/>
    <n v="191.92"/>
    <n v="12.600000000000001"/>
  </r>
  <r>
    <x v="11"/>
    <x v="7"/>
    <x v="0"/>
    <s v="4505150"/>
    <n v="721710"/>
    <s v="Reagents"/>
    <s v="Recovery Services"/>
    <x v="0"/>
    <n v="1000"/>
    <n v="0"/>
    <n v="92.76"/>
    <n v="0"/>
    <n v="0"/>
    <n v="0"/>
    <n v="46.38"/>
    <n v="50.04"/>
    <n v="0"/>
    <n v="0"/>
    <n v="0"/>
    <n v="0"/>
    <n v="46.38"/>
    <n v="235.56"/>
    <n v="-46.38"/>
  </r>
  <r>
    <x v="11"/>
    <x v="7"/>
    <x v="0"/>
    <s v="4505150"/>
    <n v="721750"/>
    <s v="Supplies-Film/Radiographic - Nonbillable"/>
    <s v="Recovery Services"/>
    <x v="0"/>
    <m/>
    <n v="0.94"/>
    <n v="0.94"/>
    <n v="0"/>
    <n v="0"/>
    <n v="0"/>
    <n v="0"/>
    <n v="0"/>
    <n v="0"/>
    <n v="3.51"/>
    <n v="2.34"/>
    <n v="0"/>
    <n v="1.27"/>
    <n v="9"/>
    <n v="-1.27"/>
  </r>
  <r>
    <x v="11"/>
    <x v="7"/>
    <x v="0"/>
    <s v="4505150"/>
    <n v="721810"/>
    <s v="Supplies-Dietary/Cafeteria"/>
    <s v="Recovery Services"/>
    <x v="0"/>
    <m/>
    <n v="98.39"/>
    <n v="41.6"/>
    <n v="66.55"/>
    <n v="57.5"/>
    <n v="43"/>
    <n v="50.28"/>
    <n v="51.25"/>
    <n v="47.75"/>
    <n v="45.51"/>
    <n v="80.540000000000006"/>
    <n v="46.19"/>
    <n v="234.82"/>
    <n v="863.37999999999988"/>
    <n v="-188.63"/>
  </r>
  <r>
    <x v="11"/>
    <x v="7"/>
    <x v="0"/>
    <s v="4505150"/>
    <n v="721830"/>
    <s v="Supplies-Office"/>
    <s v="Recovery Services"/>
    <x v="0"/>
    <m/>
    <n v="-165.78"/>
    <n v="879.24"/>
    <n v="295.57"/>
    <n v="-3.79"/>
    <n v="-130.54"/>
    <n v="128.03"/>
    <n v="75.58"/>
    <n v="0"/>
    <n v="31.64"/>
    <n v="53.11"/>
    <n v="3.44"/>
    <n v="54.57"/>
    <n v="1221.07"/>
    <n v="-51.13"/>
  </r>
  <r>
    <x v="11"/>
    <x v="7"/>
    <x v="0"/>
    <s v="4505150"/>
    <n v="721870"/>
    <s v="Supplies-Environmental Services"/>
    <s v="Recovery Services"/>
    <x v="0"/>
    <m/>
    <n v="7.12"/>
    <n v="3.79"/>
    <n v="10"/>
    <n v="45.4"/>
    <n v="8.5399999999999991"/>
    <n v="60.36"/>
    <n v="14.96"/>
    <n v="23.61"/>
    <n v="27.94"/>
    <n v="42.45"/>
    <n v="21.56"/>
    <n v="64.45"/>
    <n v="330.17999999999995"/>
    <n v="-42.89"/>
  </r>
  <r>
    <x v="11"/>
    <x v="7"/>
    <x v="0"/>
    <s v="4505150"/>
    <n v="721910"/>
    <s v="Supplies-Small Equipment"/>
    <s v="Recovery Services"/>
    <x v="0"/>
    <m/>
    <n v="0.15"/>
    <n v="6.39"/>
    <n v="0.35"/>
    <n v="75.95"/>
    <n v="105.4"/>
    <n v="2.64"/>
    <n v="77.59"/>
    <n v="0"/>
    <n v="2911.65"/>
    <n v="1.35"/>
    <n v="-2959.73"/>
    <n v="0"/>
    <n v="221.73999999999978"/>
    <n v="-2959.73"/>
  </r>
  <r>
    <x v="11"/>
    <x v="7"/>
    <x v="0"/>
    <s v="4505150"/>
    <n v="721910"/>
    <s v="Instruments"/>
    <s v="Recovery Services"/>
    <x v="0"/>
    <n v="1000"/>
    <n v="0"/>
    <n v="0"/>
    <n v="0"/>
    <n v="0"/>
    <n v="0"/>
    <n v="0"/>
    <n v="0"/>
    <n v="0"/>
    <n v="0.79"/>
    <n v="2.37"/>
    <n v="0"/>
    <n v="0"/>
    <n v="3.16"/>
    <n v="0"/>
  </r>
  <r>
    <x v="11"/>
    <x v="7"/>
    <x v="0"/>
    <s v="4505150"/>
    <n v="722000"/>
    <s v="Supplies-Freight Expense"/>
    <s v="Recovery Services"/>
    <x v="0"/>
    <m/>
    <n v="0"/>
    <n v="0"/>
    <n v="10.59"/>
    <n v="10.59"/>
    <n v="0"/>
    <n v="0"/>
    <n v="10.67"/>
    <n v="0"/>
    <n v="0"/>
    <n v="11.1"/>
    <n v="0"/>
    <n v="0"/>
    <n v="42.95"/>
    <n v="0"/>
  </r>
  <r>
    <x v="12"/>
    <x v="7"/>
    <x v="0"/>
    <s v="4505150"/>
    <n v="730020"/>
    <s v="Rental and Leases-Copier Usage Fees (DO NOT USE)"/>
    <s v="Recovery Services"/>
    <x v="0"/>
    <n v="5100"/>
    <n v="211.94"/>
    <n v="213.48"/>
    <n v="212.71"/>
    <n v="212.71"/>
    <n v="212.71"/>
    <n v="212.71"/>
    <n v="-141.06"/>
    <n v="56.78"/>
    <n v="56.66"/>
    <n v="358.31"/>
    <n v="56.78"/>
    <n v="69.989999999999995"/>
    <n v="1733.72"/>
    <n v="-13.209999999999994"/>
  </r>
  <r>
    <x v="16"/>
    <x v="7"/>
    <x v="0"/>
    <s v="4505150"/>
    <n v="732030"/>
    <s v="Repairs---Other"/>
    <s v="Recovery Services"/>
    <x v="0"/>
    <m/>
    <n v="165.78"/>
    <n v="-165.78"/>
    <n v="0"/>
    <n v="0"/>
    <n v="0"/>
    <n v="0"/>
    <n v="0"/>
    <n v="0"/>
    <n v="0"/>
    <n v="0"/>
    <n v="0"/>
    <n v="0"/>
    <n v="0"/>
    <n v="0"/>
  </r>
  <r>
    <x v="13"/>
    <x v="7"/>
    <x v="0"/>
    <s v="4505150"/>
    <n v="735070"/>
    <s v="Depreciation-Movable Equipment"/>
    <s v="Recovery Services"/>
    <x v="0"/>
    <m/>
    <n v="1780.01"/>
    <n v="1780.01"/>
    <n v="1780"/>
    <n v="1780.01"/>
    <n v="1780"/>
    <n v="1780.01"/>
    <n v="1780"/>
    <n v="116.4"/>
    <n v="116.4"/>
    <n v="116.4"/>
    <n v="116.4"/>
    <n v="166.99"/>
    <n v="13092.63"/>
    <n v="-50.59"/>
  </r>
  <r>
    <x v="0"/>
    <x v="7"/>
    <x v="0"/>
    <s v="4505150"/>
    <n v="740020"/>
    <s v="Education-Registration Fees"/>
    <s v="Recovery Services"/>
    <x v="0"/>
    <m/>
    <n v="0"/>
    <n v="0"/>
    <n v="76"/>
    <n v="0"/>
    <n v="0"/>
    <n v="0"/>
    <n v="0"/>
    <n v="1133.99"/>
    <n v="0"/>
    <n v="78"/>
    <n v="0"/>
    <n v="83"/>
    <n v="1370.99"/>
    <n v="-83"/>
  </r>
  <r>
    <x v="0"/>
    <x v="7"/>
    <x v="0"/>
    <s v="4505150"/>
    <n v="743030"/>
    <s v="Subscriptions--Institutional"/>
    <s v="Recovery Services"/>
    <x v="0"/>
    <m/>
    <n v="0"/>
    <n v="0"/>
    <n v="0"/>
    <n v="0"/>
    <n v="0"/>
    <n v="0"/>
    <n v="0"/>
    <n v="0"/>
    <n v="0"/>
    <n v="0"/>
    <n v="0"/>
    <n v="382.3"/>
    <n v="382.3"/>
    <n v="-382.3"/>
  </r>
  <r>
    <x v="0"/>
    <x v="7"/>
    <x v="0"/>
    <s v="4505150"/>
    <n v="749510"/>
    <s v="Miscellaneous Expenses"/>
    <s v="Recovery Services"/>
    <x v="0"/>
    <m/>
    <n v="0"/>
    <n v="0"/>
    <n v="0"/>
    <n v="275"/>
    <n v="68.930000000000007"/>
    <n v="0"/>
    <n v="835"/>
    <n v="-814.7"/>
    <n v="-20.3"/>
    <n v="0"/>
    <n v="0"/>
    <n v="0"/>
    <n v="343.93"/>
    <n v="0"/>
  </r>
  <r>
    <x v="0"/>
    <x v="7"/>
    <x v="0"/>
    <s v="4505150"/>
    <n v="749530"/>
    <s v="Travel"/>
    <s v="Recovery Services"/>
    <x v="0"/>
    <m/>
    <n v="0"/>
    <n v="0"/>
    <n v="175"/>
    <n v="215"/>
    <n v="175"/>
    <n v="0"/>
    <n v="0"/>
    <n v="0"/>
    <n v="0"/>
    <n v="0"/>
    <n v="0"/>
    <n v="180"/>
    <n v="745"/>
    <n v="-180"/>
  </r>
  <r>
    <x v="0"/>
    <x v="7"/>
    <x v="0"/>
    <s v="4505150"/>
    <n v="749530"/>
    <s v="Mileage"/>
    <s v="Recovery Services"/>
    <x v="0"/>
    <n v="1001"/>
    <n v="0"/>
    <n v="0"/>
    <n v="0"/>
    <n v="0"/>
    <n v="0"/>
    <n v="0"/>
    <n v="0"/>
    <n v="17.399999999999999"/>
    <n v="20.3"/>
    <n v="0"/>
    <n v="0"/>
    <n v="0"/>
    <n v="37.700000000000003"/>
    <n v="0"/>
  </r>
  <r>
    <x v="18"/>
    <x v="6"/>
    <x v="0"/>
    <s v="4506107"/>
    <n v="400010"/>
    <s v="Acute I/P Svcs Rev--Medicare"/>
    <s v="PACU-Silverdale"/>
    <x v="0"/>
    <n v="1100"/>
    <n v="-9461.2900000000009"/>
    <n v="-31777.77"/>
    <n v="-20922.580000000002"/>
    <n v="-6179.78"/>
    <n v="-11630.96"/>
    <n v="-16993.2"/>
    <n v="-18510.810000000001"/>
    <n v="-10497.9"/>
    <n v="-23552.03"/>
    <n v="-18682.330000000002"/>
    <n v="-15693.47"/>
    <n v="-17629.27"/>
    <n v="-201531.39"/>
    <n v="1935.8000000000011"/>
  </r>
  <r>
    <x v="18"/>
    <x v="6"/>
    <x v="0"/>
    <s v="4506107"/>
    <n v="400010"/>
    <s v="Acute I/P Svcs Rev--Medicaid"/>
    <s v="PACU-Silverdale"/>
    <x v="0"/>
    <n v="1200"/>
    <n v="-13925.4"/>
    <n v="6675.9"/>
    <n v="-2427.6"/>
    <n v="-16386.3"/>
    <n v="-10924.2"/>
    <n v="-5462.1"/>
    <n v="-19135.55"/>
    <n v="-5020.92"/>
    <n v="-6876.21"/>
    <n v="-15331.24"/>
    <n v="-3130.62"/>
    <n v="0"/>
    <n v="-91944.24"/>
    <n v="-3130.62"/>
  </r>
  <r>
    <x v="18"/>
    <x v="6"/>
    <x v="0"/>
    <s v="4506107"/>
    <n v="400010"/>
    <s v="Acute I/P Svcs Rev--Comm Insurance"/>
    <s v="PACU-Silverdale"/>
    <x v="0"/>
    <n v="1300"/>
    <n v="0"/>
    <n v="0"/>
    <n v="0"/>
    <n v="0"/>
    <n v="0"/>
    <n v="0"/>
    <n v="-4855.2"/>
    <n v="0"/>
    <n v="0"/>
    <n v="0"/>
    <n v="0"/>
    <n v="0"/>
    <n v="-4855.2"/>
    <n v="0"/>
  </r>
  <r>
    <x v="18"/>
    <x v="6"/>
    <x v="0"/>
    <s v="4506107"/>
    <n v="400010"/>
    <s v="Acute I/P Svcs Rev--BCBS Comm"/>
    <s v="PACU-Silverdale"/>
    <x v="0"/>
    <n v="1301"/>
    <n v="-9806.11"/>
    <n v="-3641.4"/>
    <n v="-3641.4"/>
    <n v="0"/>
    <n v="-7889.7"/>
    <n v="-9318.49"/>
    <n v="0"/>
    <n v="0"/>
    <n v="-3125.55"/>
    <n v="-23350.51"/>
    <n v="-6251.1"/>
    <n v="0"/>
    <n v="-67024.260000000009"/>
    <n v="-6251.1"/>
  </r>
  <r>
    <x v="18"/>
    <x v="6"/>
    <x v="0"/>
    <s v="4506107"/>
    <n v="400010"/>
    <s v="Acute I/P Svcs Rev--Managed Care"/>
    <s v="PACU-Silverdale"/>
    <x v="0"/>
    <n v="1400"/>
    <n v="-15779.4"/>
    <n v="-15172.5"/>
    <n v="-13958.7"/>
    <n v="-56273.47"/>
    <n v="-27913.200000000001"/>
    <n v="-25740.76"/>
    <n v="-19832.580000000002"/>
    <n v="-25501.09"/>
    <n v="221.44"/>
    <n v="-10626.87"/>
    <n v="-5847.43"/>
    <n v="0"/>
    <n v="-216424.55999999997"/>
    <n v="-5847.43"/>
  </r>
  <r>
    <x v="18"/>
    <x v="6"/>
    <x v="0"/>
    <s v="4506107"/>
    <n v="400010"/>
    <s v="Acute I/P Svcs Rev--Self Pay"/>
    <s v="PACU-Silverdale"/>
    <x v="0"/>
    <n v="1500"/>
    <n v="0"/>
    <n v="0"/>
    <n v="0"/>
    <n v="0"/>
    <n v="0"/>
    <n v="0"/>
    <n v="0"/>
    <n v="-6251.1"/>
    <n v="-3125.55"/>
    <n v="0"/>
    <n v="0"/>
    <n v="0"/>
    <n v="-9376.6500000000015"/>
    <n v="0"/>
  </r>
  <r>
    <x v="18"/>
    <x v="6"/>
    <x v="0"/>
    <s v="4506107"/>
    <n v="400010"/>
    <s v="Acute I/P Svcs Rev--Other"/>
    <s v="PACU-Silverdale"/>
    <x v="0"/>
    <n v="1700"/>
    <n v="-5462.1"/>
    <n v="-9249.48"/>
    <n v="0"/>
    <n v="0"/>
    <n v="-3641.4"/>
    <n v="-3641.4"/>
    <n v="-5070.1899999999996"/>
    <n v="0"/>
    <n v="0"/>
    <n v="-6472.54"/>
    <n v="-13356.62"/>
    <n v="0"/>
    <n v="-46893.73"/>
    <n v="-13356.62"/>
  </r>
  <r>
    <x v="19"/>
    <x v="6"/>
    <x v="0"/>
    <s v="4506107"/>
    <n v="400020"/>
    <s v="O/P Care Svcs Rev--Medicare"/>
    <s v="PACU-Silverdale"/>
    <x v="0"/>
    <n v="1100"/>
    <n v="-241580.14"/>
    <n v="-254325.81"/>
    <n v="-253015.97"/>
    <n v="-258922.09"/>
    <n v="-232394.61"/>
    <n v="-291277.53999999998"/>
    <n v="-275049.84999999998"/>
    <n v="-225306.02"/>
    <n v="-313564.36"/>
    <n v="-288721.96999999997"/>
    <n v="-320586.39"/>
    <n v="-297381.28999999998"/>
    <n v="-3252126.0400000005"/>
    <n v="-23205.100000000035"/>
  </r>
  <r>
    <x v="19"/>
    <x v="6"/>
    <x v="0"/>
    <s v="4506107"/>
    <n v="400020"/>
    <s v="O/P Care Svcs Rev--Medicaid"/>
    <s v="PACU-Silverdale"/>
    <x v="0"/>
    <n v="1200"/>
    <n v="-130734.59"/>
    <n v="-217833.77"/>
    <n v="-124925.04"/>
    <n v="-167955.20000000001"/>
    <n v="-222958.07"/>
    <n v="-176715.55"/>
    <n v="-202767.43"/>
    <n v="-111346.34"/>
    <n v="-214689.34"/>
    <n v="-165800.74"/>
    <n v="-219408.07"/>
    <n v="-194144.63"/>
    <n v="-2149278.77"/>
    <n v="-25263.440000000002"/>
  </r>
  <r>
    <x v="19"/>
    <x v="6"/>
    <x v="0"/>
    <s v="4506107"/>
    <n v="400020"/>
    <s v="O/P Care Svcs Rev--Comm Insurance"/>
    <s v="PACU-Silverdale"/>
    <x v="0"/>
    <n v="1300"/>
    <n v="-24713.94"/>
    <n v="-16749.07"/>
    <n v="-12712.91"/>
    <n v="-49423.83"/>
    <n v="0"/>
    <n v="-44431.29"/>
    <n v="-42583.4"/>
    <n v="-38235.11"/>
    <n v="-17149.86"/>
    <n v="-26978.85"/>
    <n v="-48408.37"/>
    <n v="-13111.18"/>
    <n v="-334497.80999999994"/>
    <n v="-35297.19"/>
  </r>
  <r>
    <x v="19"/>
    <x v="6"/>
    <x v="0"/>
    <s v="4506107"/>
    <n v="400020"/>
    <s v="O/P Care Svcs Rev--BCBS Comm"/>
    <s v="PACU-Silverdale"/>
    <x v="0"/>
    <n v="1301"/>
    <n v="-134650.07"/>
    <n v="-111317.3"/>
    <n v="-113030.41"/>
    <n v="-149112.69"/>
    <n v="-163570.19"/>
    <n v="-218364.63"/>
    <n v="-96707.58"/>
    <n v="-148484.51"/>
    <n v="-134695.4"/>
    <n v="-120645.87"/>
    <n v="-179747.21"/>
    <n v="-118403.33"/>
    <n v="-1688729.19"/>
    <n v="-61343.87999999999"/>
  </r>
  <r>
    <x v="19"/>
    <x v="6"/>
    <x v="0"/>
    <s v="4506107"/>
    <n v="400020"/>
    <s v="O/P Care Svcs Rev--Managed Care"/>
    <s v="PACU-Silverdale"/>
    <x v="0"/>
    <n v="1400"/>
    <n v="-244141.03"/>
    <n v="-195989.07"/>
    <n v="-180803.7"/>
    <n v="-337383.63"/>
    <n v="-232430.99"/>
    <n v="-232199.52"/>
    <n v="-217332.26"/>
    <n v="-145497.57999999999"/>
    <n v="-214091.26"/>
    <n v="-146599.24"/>
    <n v="-184859.83"/>
    <n v="-237142.66"/>
    <n v="-2568470.7700000005"/>
    <n v="52282.830000000016"/>
  </r>
  <r>
    <x v="19"/>
    <x v="6"/>
    <x v="0"/>
    <s v="4506107"/>
    <n v="400020"/>
    <s v="O/P Care Svcs Rev--Self Pay"/>
    <s v="PACU-Silverdale"/>
    <x v="0"/>
    <n v="1500"/>
    <n v="3129"/>
    <n v="-10463.280000000001"/>
    <n v="-16573.28"/>
    <n v="-533.91"/>
    <n v="-14711.58"/>
    <n v="-5462.1"/>
    <n v="533.91"/>
    <n v="-4267.6400000000003"/>
    <n v="909.19"/>
    <n v="-20012.8"/>
    <n v="7884.58"/>
    <n v="-27279.95"/>
    <n v="-86847.859999999986"/>
    <n v="35164.53"/>
  </r>
  <r>
    <x v="19"/>
    <x v="6"/>
    <x v="0"/>
    <s v="4506107"/>
    <n v="400020"/>
    <s v="O/P Care Svcs Rev--Other"/>
    <s v="PACU-Silverdale"/>
    <x v="0"/>
    <n v="1700"/>
    <n v="-72200.33"/>
    <n v="-85939.62"/>
    <n v="-82952.570000000007"/>
    <n v="-55745.55"/>
    <n v="-66673.89"/>
    <n v="-107562.86"/>
    <n v="-91533.3"/>
    <n v="-82840.740000000005"/>
    <n v="-76662.320000000007"/>
    <n v="-90221.19"/>
    <n v="-114264.34"/>
    <n v="-93777.78"/>
    <n v="-1020374.4899999999"/>
    <n v="-20486.559999999998"/>
  </r>
  <r>
    <x v="5"/>
    <x v="6"/>
    <x v="0"/>
    <s v="4506107"/>
    <n v="700014"/>
    <s v="Salaries-Management-Productive"/>
    <s v="PACU-Silverdale"/>
    <x v="0"/>
    <m/>
    <n v="0"/>
    <n v="1835.07"/>
    <n v="2110.5100000000002"/>
    <n v="2883.14"/>
    <n v="2799.01"/>
    <n v="2239.29"/>
    <n v="2896.92"/>
    <n v="2616.3200000000002"/>
    <n v="2896.66"/>
    <n v="2803.13"/>
    <n v="2896.66"/>
    <n v="2803.25"/>
    <n v="28779.960000000003"/>
    <n v="93.409999999999854"/>
  </r>
  <r>
    <x v="5"/>
    <x v="6"/>
    <x v="0"/>
    <s v="4506107"/>
    <n v="700018"/>
    <s v="Salaries-Supervisory-Productive"/>
    <s v="PACU-Silverdale"/>
    <x v="0"/>
    <m/>
    <n v="0"/>
    <n v="0"/>
    <n v="0"/>
    <n v="4526.53"/>
    <n v="3802.24"/>
    <n v="3741.99"/>
    <n v="2629.61"/>
    <n v="4231"/>
    <n v="5349.21"/>
    <n v="7313.37"/>
    <n v="3777.81"/>
    <n v="3656.89"/>
    <n v="39028.65"/>
    <n v="120.92000000000007"/>
  </r>
  <r>
    <x v="5"/>
    <x v="6"/>
    <x v="0"/>
    <s v="4506107"/>
    <n v="700026"/>
    <s v="Salaries-RN-Productive"/>
    <s v="PACU-Silverdale"/>
    <x v="0"/>
    <m/>
    <n v="50402.38"/>
    <n v="44903.75"/>
    <n v="46669.89"/>
    <n v="54850.41"/>
    <n v="38814.629999999997"/>
    <n v="55740.21"/>
    <n v="45458.89"/>
    <n v="46673.86"/>
    <n v="49108.38"/>
    <n v="53023.28"/>
    <n v="61285.41"/>
    <n v="49204.09"/>
    <n v="596135.18000000005"/>
    <n v="12081.320000000007"/>
  </r>
  <r>
    <x v="5"/>
    <x v="6"/>
    <x v="0"/>
    <s v="4506107"/>
    <n v="700026"/>
    <s v="Salaries-RN-OT"/>
    <s v="PACU-Silverdale"/>
    <x v="0"/>
    <n v="1000"/>
    <n v="2564.1"/>
    <n v="3055.66"/>
    <n v="4276.1099999999997"/>
    <n v="818.19"/>
    <n v="875.46"/>
    <n v="2782.17"/>
    <n v="1695.5"/>
    <n v="1612.75"/>
    <n v="2106.2800000000002"/>
    <n v="1647.46"/>
    <n v="4266.67"/>
    <n v="4602.5600000000004"/>
    <n v="30302.91"/>
    <n v="-335.89000000000033"/>
  </r>
  <r>
    <x v="5"/>
    <x v="6"/>
    <x v="0"/>
    <s v="4506107"/>
    <n v="700026"/>
    <s v="Salaries-RN-Other"/>
    <s v="PACU-Silverdale"/>
    <x v="0"/>
    <n v="2000"/>
    <n v="4200.22"/>
    <n v="3956.25"/>
    <n v="4429.45"/>
    <n v="4521.5200000000004"/>
    <n v="3530.56"/>
    <n v="4629.42"/>
    <n v="4609.59"/>
    <n v="4063.15"/>
    <n v="4670.55"/>
    <n v="5054.68"/>
    <n v="4418.59"/>
    <n v="5266.91"/>
    <n v="53350.890000000014"/>
    <n v="-848.31999999999971"/>
  </r>
  <r>
    <x v="5"/>
    <x v="6"/>
    <x v="0"/>
    <s v="4506107"/>
    <n v="700030"/>
    <s v="Salaries-LPN-Productive"/>
    <s v="PACU-Silverdale"/>
    <x v="0"/>
    <m/>
    <n v="0"/>
    <n v="0"/>
    <n v="0"/>
    <n v="447.84"/>
    <n v="-122.04"/>
    <n v="0"/>
    <n v="487.34"/>
    <n v="-89.2"/>
    <n v="0"/>
    <n v="0"/>
    <n v="0"/>
    <n v="0"/>
    <n v="723.93999999999983"/>
    <n v="0"/>
  </r>
  <r>
    <x v="5"/>
    <x v="6"/>
    <x v="0"/>
    <s v="4506107"/>
    <n v="700032"/>
    <s v="Salaries-Other Pat Care Providers-Productive"/>
    <s v="PACU-Silverdale"/>
    <x v="0"/>
    <m/>
    <n v="3274.64"/>
    <n v="3444.9"/>
    <n v="2356.77"/>
    <n v="-184.9"/>
    <n v="996.16"/>
    <n v="1254.43"/>
    <n v="15.77"/>
    <n v="0"/>
    <n v="800.5"/>
    <n v="70.81"/>
    <n v="1365.08"/>
    <n v="-273.55"/>
    <n v="13120.61"/>
    <n v="1638.6299999999999"/>
  </r>
  <r>
    <x v="5"/>
    <x v="6"/>
    <x v="0"/>
    <s v="4506107"/>
    <n v="700032"/>
    <s v="Salaries-Other Pat Care Providers-OT"/>
    <s v="PACU-Silverdale"/>
    <x v="0"/>
    <n v="1000"/>
    <n v="49.16"/>
    <n v="40.97"/>
    <n v="12.86"/>
    <n v="168.52"/>
    <n v="-76.2"/>
    <n v="0"/>
    <n v="0"/>
    <n v="0"/>
    <n v="0"/>
    <n v="0"/>
    <n v="0"/>
    <n v="0"/>
    <n v="195.31"/>
    <n v="0"/>
  </r>
  <r>
    <x v="5"/>
    <x v="6"/>
    <x v="0"/>
    <s v="4506107"/>
    <n v="700032"/>
    <s v="Salaries-Other Pat Care Providers-Other"/>
    <s v="PACU-Silverdale"/>
    <x v="0"/>
    <n v="2000"/>
    <n v="0"/>
    <n v="0"/>
    <n v="0"/>
    <n v="27.73"/>
    <n v="-7"/>
    <n v="25.99"/>
    <n v="1.55"/>
    <n v="0"/>
    <n v="0"/>
    <n v="0"/>
    <n v="0"/>
    <n v="0"/>
    <n v="48.269999999999996"/>
    <n v="0"/>
  </r>
  <r>
    <x v="5"/>
    <x v="6"/>
    <x v="0"/>
    <s v="4506107"/>
    <n v="700066"/>
    <s v="Salaries-RN-Non-productive"/>
    <s v="PACU-Silverdale"/>
    <x v="0"/>
    <m/>
    <n v="7129.46"/>
    <n v="13842.72"/>
    <n v="5820.4"/>
    <n v="5151.22"/>
    <n v="6733.88"/>
    <n v="10200.52"/>
    <n v="13177.31"/>
    <n v="2609"/>
    <n v="7696.14"/>
    <n v="6209.26"/>
    <n v="8034.41"/>
    <n v="7855.94"/>
    <n v="94460.26"/>
    <n v="178.47000000000025"/>
  </r>
  <r>
    <x v="5"/>
    <x v="6"/>
    <x v="0"/>
    <s v="4506107"/>
    <n v="700066"/>
    <s v="Salaries-RN-NonProd-Other"/>
    <s v="PACU-Silverdale"/>
    <x v="0"/>
    <n v="2000"/>
    <n v="760.64"/>
    <n v="305.17"/>
    <n v="540.41999999999996"/>
    <n v="671.56"/>
    <n v="-253.12"/>
    <n v="891.32"/>
    <n v="657.17"/>
    <n v="318.3"/>
    <n v="595.49"/>
    <n v="1015.6"/>
    <n v="696.26"/>
    <n v="1710.05"/>
    <n v="7908.8600000000015"/>
    <n v="-1013.79"/>
  </r>
  <r>
    <x v="5"/>
    <x v="6"/>
    <x v="0"/>
    <s v="4506107"/>
    <n v="700072"/>
    <s v="Salaries-Other Pat Care Providers-Non-productive"/>
    <s v="PACU-Silverdale"/>
    <x v="0"/>
    <m/>
    <n v="333.98"/>
    <n v="416.71"/>
    <n v="980.13"/>
    <n v="918.5"/>
    <n v="267.66000000000003"/>
    <n v="245.81"/>
    <n v="296.94"/>
    <n v="-45.29"/>
    <n v="0"/>
    <n v="0"/>
    <n v="0"/>
    <n v="0"/>
    <n v="3414.44"/>
    <n v="0"/>
  </r>
  <r>
    <x v="5"/>
    <x v="6"/>
    <x v="0"/>
    <s v="4506107"/>
    <n v="700072"/>
    <s v="Salaries-Other Pat Care Providers-NonProd-Other"/>
    <s v="PACU-Silverdal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506107"/>
    <n v="700084"/>
    <s v="Accrued PTO"/>
    <s v="PACU-Silverdale"/>
    <x v="0"/>
    <m/>
    <n v="341.64"/>
    <n v="-1330"/>
    <n v="242.15"/>
    <n v="2021.97"/>
    <n v="420.06"/>
    <n v="-562.11"/>
    <n v="-528.4"/>
    <n v="3083.53"/>
    <n v="2361.63"/>
    <n v="-1007.74"/>
    <n v="1956.23"/>
    <n v="599.84"/>
    <n v="7598.8000000000011"/>
    <n v="1356.3899999999999"/>
  </r>
  <r>
    <x v="10"/>
    <x v="6"/>
    <x v="0"/>
    <s v="4506107"/>
    <n v="710060"/>
    <s v="Contract Labor-Other"/>
    <s v="PACU-Silverdale"/>
    <x v="0"/>
    <m/>
    <n v="0"/>
    <n v="0"/>
    <n v="0"/>
    <n v="0"/>
    <n v="0"/>
    <n v="0"/>
    <n v="0"/>
    <n v="0"/>
    <n v="0"/>
    <n v="0"/>
    <n v="6226.25"/>
    <n v="4781.25"/>
    <n v="11007.5"/>
    <n v="1445"/>
  </r>
  <r>
    <x v="10"/>
    <x v="6"/>
    <x v="0"/>
    <s v="4506107"/>
    <n v="710060"/>
    <s v="Contract Labor-Overtime"/>
    <s v="PACU-Silverdale"/>
    <x v="0"/>
    <n v="5100"/>
    <n v="0"/>
    <n v="0"/>
    <n v="0"/>
    <n v="0"/>
    <n v="0"/>
    <n v="0"/>
    <n v="0"/>
    <n v="0"/>
    <n v="0"/>
    <n v="0"/>
    <n v="0"/>
    <n v="28.69"/>
    <n v="28.69"/>
    <n v="-28.69"/>
  </r>
  <r>
    <x v="6"/>
    <x v="6"/>
    <x v="0"/>
    <s v="4506107"/>
    <n v="713010"/>
    <s v="Benefits-FICA/Medicare"/>
    <s v="PACU-Silverdale"/>
    <x v="0"/>
    <m/>
    <n v="5130.97"/>
    <n v="5366.7"/>
    <n v="5017.43"/>
    <n v="5482.96"/>
    <n v="4132.75"/>
    <n v="6020.83"/>
    <n v="5375.78"/>
    <n v="4638.28"/>
    <n v="5607.63"/>
    <n v="5742.81"/>
    <n v="6515.38"/>
    <n v="5620.84"/>
    <n v="64652.359999999986"/>
    <n v="894.54"/>
  </r>
  <r>
    <x v="6"/>
    <x v="6"/>
    <x v="0"/>
    <s v="4506107"/>
    <n v="713090"/>
    <s v="Benefits-Allocated Amounts"/>
    <s v="PACU-Silverdale"/>
    <x v="0"/>
    <m/>
    <n v="10205.98"/>
    <n v="9551.5400000000009"/>
    <n v="9645.73"/>
    <n v="10110.27"/>
    <n v="9350.5"/>
    <n v="11567.6"/>
    <n v="10056.94"/>
    <n v="9221.43"/>
    <n v="8411.2800000000007"/>
    <n v="11172.69"/>
    <n v="11902.41"/>
    <n v="11594.68"/>
    <n v="122791.04999999999"/>
    <n v="307.72999999999956"/>
  </r>
  <r>
    <x v="7"/>
    <x v="6"/>
    <x v="0"/>
    <s v="4506107"/>
    <n v="718070"/>
    <s v="Contract Srvcs-CHI Clinical Engineering"/>
    <s v="PACU-Silverdale"/>
    <x v="0"/>
    <m/>
    <n v="49.83"/>
    <n v="49.83"/>
    <n v="49.83"/>
    <n v="49.83"/>
    <n v="49.83"/>
    <n v="92.44"/>
    <n v="94.19"/>
    <n v="94.18"/>
    <n v="94.19"/>
    <n v="94.19"/>
    <n v="87.91"/>
    <n v="82.91"/>
    <n v="889.16000000000008"/>
    <n v="5"/>
  </r>
  <r>
    <x v="11"/>
    <x v="6"/>
    <x v="0"/>
    <s v="4506107"/>
    <n v="721010"/>
    <s v="Supplies-Medical - Billable"/>
    <s v="PACU-Silverdale"/>
    <x v="0"/>
    <m/>
    <n v="835.6"/>
    <n v="1151.54"/>
    <n v="856.07"/>
    <n v="1148.7"/>
    <n v="1005.16"/>
    <n v="796.1"/>
    <n v="889.24"/>
    <n v="907.24"/>
    <n v="691.42"/>
    <n v="420.27"/>
    <n v="473.16"/>
    <n v="617.16999999999996"/>
    <n v="9791.67"/>
    <n v="-144.00999999999993"/>
  </r>
  <r>
    <x v="11"/>
    <x v="6"/>
    <x v="0"/>
    <s v="4506107"/>
    <n v="721010"/>
    <s v="Patient Monitoring"/>
    <s v="PACU-Silverdale"/>
    <x v="0"/>
    <n v="1000"/>
    <n v="76.52"/>
    <n v="27.77"/>
    <n v="61.72"/>
    <n v="52.25"/>
    <n v="98.81"/>
    <n v="52.25"/>
    <n v="39.909999999999997"/>
    <n v="30.86"/>
    <n v="46.29"/>
    <n v="66.36"/>
    <n v="46.29"/>
    <n v="30.86"/>
    <n v="629.89"/>
    <n v="15.43"/>
  </r>
  <r>
    <x v="11"/>
    <x v="6"/>
    <x v="0"/>
    <s v="4506107"/>
    <n v="721020"/>
    <s v="Supplies-Surgical - Billable"/>
    <s v="PACU-Silverdale"/>
    <x v="0"/>
    <m/>
    <n v="0"/>
    <n v="3.03"/>
    <n v="6.87"/>
    <n v="0"/>
    <n v="8.89"/>
    <n v="0"/>
    <n v="1.96"/>
    <n v="13.74"/>
    <n v="0"/>
    <n v="3.59"/>
    <n v="0"/>
    <n v="0"/>
    <n v="38.08"/>
    <n v="0"/>
  </r>
  <r>
    <x v="11"/>
    <x v="6"/>
    <x v="0"/>
    <s v="4506107"/>
    <n v="721020"/>
    <s v="Custom Packs"/>
    <s v="PACU-Silverdale"/>
    <x v="0"/>
    <n v="1000"/>
    <n v="0"/>
    <n v="28.86"/>
    <n v="26.48"/>
    <n v="26.48"/>
    <n v="13.24"/>
    <n v="0"/>
    <n v="0"/>
    <n v="26.48"/>
    <n v="26.48"/>
    <n v="26.48"/>
    <n v="0"/>
    <n v="52.96"/>
    <n v="227.46"/>
    <n v="-52.96"/>
  </r>
  <r>
    <x v="11"/>
    <x v="6"/>
    <x v="0"/>
    <s v="4506107"/>
    <n v="721020"/>
    <s v="Urological Supplies"/>
    <s v="PACU-Silverdale"/>
    <x v="0"/>
    <n v="1006"/>
    <n v="0"/>
    <n v="0"/>
    <n v="0"/>
    <n v="0"/>
    <n v="0"/>
    <n v="0"/>
    <n v="0"/>
    <n v="0"/>
    <n v="0"/>
    <n v="0"/>
    <n v="26.68"/>
    <n v="0"/>
    <n v="26.68"/>
    <n v="26.68"/>
  </r>
  <r>
    <x v="11"/>
    <x v="6"/>
    <x v="0"/>
    <s v="4506107"/>
    <n v="721210"/>
    <s v="Supplies-Anesthesia - Billable"/>
    <s v="PACU-Silverdale"/>
    <x v="0"/>
    <m/>
    <n v="1421.49"/>
    <n v="0"/>
    <n v="0"/>
    <n v="0"/>
    <n v="0"/>
    <n v="0"/>
    <n v="0"/>
    <n v="0"/>
    <n v="0"/>
    <n v="0"/>
    <n v="0"/>
    <n v="0"/>
    <n v="1421.49"/>
    <n v="0"/>
  </r>
  <r>
    <x v="11"/>
    <x v="6"/>
    <x v="0"/>
    <s v="4506107"/>
    <n v="721240"/>
    <s v="Supplies-IV Solutions/Supplies - Billable"/>
    <s v="PACU-Silverdale"/>
    <x v="0"/>
    <m/>
    <n v="1967.55"/>
    <n v="1653.91"/>
    <n v="1310.24"/>
    <n v="1779.01"/>
    <n v="1684.82"/>
    <n v="1799.92"/>
    <n v="1376.31"/>
    <n v="1307.3699999999999"/>
    <n v="1487.18"/>
    <n v="1841.17"/>
    <n v="1340.56"/>
    <n v="1235.23"/>
    <n v="18783.27"/>
    <n v="105.32999999999993"/>
  </r>
  <r>
    <x v="11"/>
    <x v="6"/>
    <x v="0"/>
    <s v="4506107"/>
    <n v="721410"/>
    <s v="Supplies-Medical - Nonbillable"/>
    <s v="PACU-Silverdale"/>
    <x v="0"/>
    <m/>
    <n v="2461.1799999999998"/>
    <n v="2540.08"/>
    <n v="1396.29"/>
    <n v="2206.4499999999998"/>
    <n v="2899.38"/>
    <n v="2303.92"/>
    <n v="2917.54"/>
    <n v="1500.36"/>
    <n v="2651.22"/>
    <n v="2740.91"/>
    <n v="2519.87"/>
    <n v="2254.67"/>
    <n v="28391.870000000003"/>
    <n v="265.19999999999982"/>
  </r>
  <r>
    <x v="11"/>
    <x v="6"/>
    <x v="0"/>
    <s v="4506107"/>
    <n v="721420"/>
    <s v="Supplies-Surgical Nonbillable"/>
    <s v="PACU-Silverdale"/>
    <x v="0"/>
    <m/>
    <n v="94.24"/>
    <n v="47.12"/>
    <n v="94.24"/>
    <n v="145.72"/>
    <n v="0"/>
    <n v="141.36000000000001"/>
    <n v="47.12"/>
    <n v="207.51"/>
    <n v="94.24"/>
    <n v="144.62"/>
    <n v="94.24"/>
    <n v="144.62"/>
    <n v="1255.0299999999997"/>
    <n v="-50.38000000000001"/>
  </r>
  <r>
    <x v="11"/>
    <x v="6"/>
    <x v="0"/>
    <s v="4506107"/>
    <n v="721420"/>
    <s v="Tubes Drains &amp; Related Supplies"/>
    <s v="PACU-Silverdale"/>
    <x v="0"/>
    <n v="1008"/>
    <n v="0"/>
    <n v="0"/>
    <n v="0"/>
    <n v="0"/>
    <n v="0"/>
    <n v="0"/>
    <n v="0"/>
    <n v="40.880000000000003"/>
    <n v="0"/>
    <n v="0"/>
    <n v="0"/>
    <n v="0"/>
    <n v="40.880000000000003"/>
    <n v="0"/>
  </r>
  <r>
    <x v="11"/>
    <x v="6"/>
    <x v="0"/>
    <s v="4506107"/>
    <n v="721420"/>
    <s v="Sterilization Process Products"/>
    <s v="PACU-Silverdale"/>
    <x v="0"/>
    <n v="1009"/>
    <n v="0"/>
    <n v="149.37"/>
    <n v="0"/>
    <n v="49.79"/>
    <n v="149.37"/>
    <n v="0"/>
    <n v="49.79"/>
    <n v="0"/>
    <n v="0"/>
    <n v="49.79"/>
    <n v="0"/>
    <n v="0"/>
    <n v="448.11"/>
    <n v="0"/>
  </r>
  <r>
    <x v="11"/>
    <x v="6"/>
    <x v="0"/>
    <s v="4506107"/>
    <n v="721610"/>
    <s v="Supplies-Anesthesia - Nonbillable"/>
    <s v="PACU-Silverdale"/>
    <x v="0"/>
    <m/>
    <n v="61.6"/>
    <n v="40.950000000000003"/>
    <n v="40.43"/>
    <n v="67.5"/>
    <n v="50.78"/>
    <n v="62.28"/>
    <n v="58.64"/>
    <n v="90.63"/>
    <n v="40.76"/>
    <n v="57.36"/>
    <n v="48.37"/>
    <n v="47.78"/>
    <n v="667.07999999999993"/>
    <n v="0.58999999999999631"/>
  </r>
  <r>
    <x v="11"/>
    <x v="6"/>
    <x v="0"/>
    <s v="4506107"/>
    <n v="721640"/>
    <s v="Supplies-IV Solutions/Supplies - Nonbillable"/>
    <s v="PACU-Silverdale"/>
    <x v="0"/>
    <m/>
    <n v="549.85"/>
    <n v="742.25"/>
    <n v="603.15"/>
    <n v="844.14"/>
    <n v="662.32"/>
    <n v="918.25"/>
    <n v="821.2"/>
    <n v="594.79999999999995"/>
    <n v="832"/>
    <n v="657.85"/>
    <n v="714.4"/>
    <n v="549.1"/>
    <n v="8489.31"/>
    <n v="165.29999999999995"/>
  </r>
  <r>
    <x v="11"/>
    <x v="6"/>
    <x v="0"/>
    <s v="4506107"/>
    <n v="721710"/>
    <s v="Supplies-Laboratory - Nonbillable"/>
    <s v="PACU-Silverdale"/>
    <x v="0"/>
    <m/>
    <n v="87.71"/>
    <n v="96.75"/>
    <n v="84.27"/>
    <n v="158.74"/>
    <n v="98.29"/>
    <n v="112.04"/>
    <n v="114.6"/>
    <n v="76.319999999999993"/>
    <n v="140.22999999999999"/>
    <n v="71.89"/>
    <n v="91.71"/>
    <n v="87.92"/>
    <n v="1220.4700000000003"/>
    <n v="3.789999999999992"/>
  </r>
  <r>
    <x v="11"/>
    <x v="6"/>
    <x v="0"/>
    <s v="4506107"/>
    <n v="721810"/>
    <s v="Supplies-Dietary/Cafeteria"/>
    <s v="PACU-Silverdale"/>
    <x v="0"/>
    <m/>
    <n v="53.31"/>
    <n v="604.80999999999995"/>
    <n v="31.85"/>
    <n v="25.4"/>
    <n v="33.78"/>
    <n v="34.54"/>
    <n v="31.29"/>
    <n v="34.78"/>
    <n v="32.880000000000003"/>
    <n v="52.06"/>
    <n v="27.95"/>
    <n v="12.55"/>
    <n v="975.19999999999982"/>
    <n v="15.399999999999999"/>
  </r>
  <r>
    <x v="11"/>
    <x v="6"/>
    <x v="0"/>
    <s v="4506107"/>
    <n v="721830"/>
    <s v="Supplies-Office"/>
    <s v="PACU-Silverdale"/>
    <x v="0"/>
    <m/>
    <n v="165.77"/>
    <n v="364.65"/>
    <n v="591.49"/>
    <n v="151.26"/>
    <n v="255.13"/>
    <n v="77.05"/>
    <n v="251.26"/>
    <n v="129.93"/>
    <n v="125.95"/>
    <n v="391.02"/>
    <n v="114.09"/>
    <n v="65.22"/>
    <n v="2682.8199999999997"/>
    <n v="48.870000000000005"/>
  </r>
  <r>
    <x v="11"/>
    <x v="6"/>
    <x v="0"/>
    <s v="4506107"/>
    <n v="721835"/>
    <s v="Supplies-Forms"/>
    <s v="PACU-Silverdale"/>
    <x v="0"/>
    <m/>
    <n v="0"/>
    <n v="0"/>
    <n v="0"/>
    <n v="0"/>
    <n v="473.3"/>
    <n v="112"/>
    <n v="249.4"/>
    <n v="0"/>
    <n v="147"/>
    <n v="20.9"/>
    <n v="423"/>
    <n v="0"/>
    <n v="1425.6"/>
    <n v="423"/>
  </r>
  <r>
    <x v="11"/>
    <x v="6"/>
    <x v="0"/>
    <s v="4506107"/>
    <n v="721870"/>
    <s v="Supplies-Environmental Services"/>
    <s v="PACU-Silverdale"/>
    <x v="0"/>
    <m/>
    <n v="39.4"/>
    <n v="43.66"/>
    <n v="27.58"/>
    <n v="39.72"/>
    <n v="43.66"/>
    <n v="94.1"/>
    <n v="59.42"/>
    <n v="31.52"/>
    <n v="31.52"/>
    <n v="35.380000000000003"/>
    <n v="66.98"/>
    <n v="19.62"/>
    <n v="532.55999999999995"/>
    <n v="47.36"/>
  </r>
  <r>
    <x v="11"/>
    <x v="6"/>
    <x v="0"/>
    <s v="4506107"/>
    <n v="721910"/>
    <s v="Supplies-Small Equipment"/>
    <s v="PACU-Silverdale"/>
    <x v="0"/>
    <m/>
    <n v="34.65"/>
    <n v="0"/>
    <n v="26.4"/>
    <n v="0"/>
    <n v="0"/>
    <n v="0"/>
    <n v="2.04"/>
    <n v="0"/>
    <n v="0"/>
    <n v="1030.31"/>
    <n v="0"/>
    <n v="0"/>
    <n v="1093.3999999999999"/>
    <n v="0"/>
  </r>
  <r>
    <x v="11"/>
    <x v="6"/>
    <x v="0"/>
    <s v="4506107"/>
    <n v="721980"/>
    <s v="Supplies-Other"/>
    <s v="PACU-Silverdale"/>
    <x v="0"/>
    <m/>
    <n v="0"/>
    <n v="0"/>
    <n v="0"/>
    <n v="0"/>
    <n v="0"/>
    <n v="0"/>
    <n v="0"/>
    <n v="0"/>
    <n v="0"/>
    <n v="0"/>
    <n v="0"/>
    <n v="161.32"/>
    <n v="161.32"/>
    <n v="-161.32"/>
  </r>
  <r>
    <x v="11"/>
    <x v="6"/>
    <x v="0"/>
    <s v="4506107"/>
    <n v="722000"/>
    <s v="Supplies-Freight Expense"/>
    <s v="PACU-Silverdale"/>
    <x v="0"/>
    <m/>
    <n v="0"/>
    <n v="7.94"/>
    <n v="0"/>
    <n v="0"/>
    <n v="7.99"/>
    <n v="0"/>
    <n v="0"/>
    <n v="0"/>
    <n v="0"/>
    <n v="0"/>
    <n v="0"/>
    <n v="0"/>
    <n v="15.93"/>
    <n v="0"/>
  </r>
  <r>
    <x v="12"/>
    <x v="6"/>
    <x v="0"/>
    <s v="4506107"/>
    <n v="730020"/>
    <s v="Rental and Leases-Equipment (DO NOT USE)"/>
    <s v="PACU-Silverdale"/>
    <x v="0"/>
    <m/>
    <n v="0"/>
    <n v="84.32"/>
    <n v="42"/>
    <n v="42.32"/>
    <n v="0"/>
    <n v="0"/>
    <n v="76.040000000000006"/>
    <n v="0"/>
    <n v="38.020000000000003"/>
    <n v="0"/>
    <n v="76.040000000000006"/>
    <n v="38.020000000000003"/>
    <n v="396.76"/>
    <n v="38.020000000000003"/>
  </r>
  <r>
    <x v="15"/>
    <x v="6"/>
    <x v="0"/>
    <s v="4506107"/>
    <n v="731060"/>
    <s v="Pagers"/>
    <s v="PACU-Silverdale"/>
    <x v="0"/>
    <n v="1002"/>
    <n v="8.1"/>
    <n v="8.1"/>
    <n v="8.1"/>
    <n v="8.1199999999999992"/>
    <n v="0"/>
    <n v="27.53"/>
    <n v="0"/>
    <n v="-27.53"/>
    <n v="0"/>
    <n v="0"/>
    <n v="0"/>
    <n v="0"/>
    <n v="32.419999999999995"/>
    <n v="0"/>
  </r>
  <r>
    <x v="13"/>
    <x v="6"/>
    <x v="0"/>
    <s v="4506107"/>
    <n v="735070"/>
    <s v="Depreciation-Movable Equipment"/>
    <s v="PACU-Silverdale"/>
    <x v="0"/>
    <m/>
    <n v="301.27"/>
    <n v="301.27"/>
    <n v="301.27"/>
    <n v="301.26"/>
    <n v="301.27999999999997"/>
    <n v="301.25"/>
    <n v="301.27999999999997"/>
    <n v="301.25"/>
    <n v="301.29000000000002"/>
    <n v="301.25"/>
    <n v="301.29000000000002"/>
    <n v="301.25"/>
    <n v="3615.21"/>
    <n v="4.0000000000020464E-2"/>
  </r>
  <r>
    <x v="0"/>
    <x v="6"/>
    <x v="0"/>
    <s v="4506107"/>
    <n v="740020"/>
    <s v="Education-Registration Fees"/>
    <s v="PACU-Silverdale"/>
    <x v="0"/>
    <m/>
    <n v="0"/>
    <n v="260"/>
    <n v="0"/>
    <n v="0"/>
    <n v="0"/>
    <n v="45"/>
    <n v="0"/>
    <n v="0"/>
    <n v="0"/>
    <n v="0"/>
    <n v="0"/>
    <n v="0"/>
    <n v="305"/>
    <n v="0"/>
  </r>
  <r>
    <x v="0"/>
    <x v="6"/>
    <x v="0"/>
    <s v="4506107"/>
    <n v="749510"/>
    <s v="Miscellaneous Expenses"/>
    <s v="PACU-Silverdale"/>
    <x v="0"/>
    <m/>
    <n v="-104.66"/>
    <n v="-43.6"/>
    <n v="0"/>
    <n v="0"/>
    <n v="0"/>
    <n v="0"/>
    <n v="0"/>
    <n v="0"/>
    <n v="16.239999999999998"/>
    <n v="452.28"/>
    <n v="0"/>
    <n v="0"/>
    <n v="320.26"/>
    <n v="0"/>
  </r>
  <r>
    <x v="0"/>
    <x v="6"/>
    <x v="0"/>
    <s v="4506107"/>
    <n v="749510"/>
    <s v="RICE Rewards"/>
    <s v="PACU-Silverdale"/>
    <x v="0"/>
    <n v="5100"/>
    <n v="0"/>
    <n v="0"/>
    <n v="0"/>
    <n v="0"/>
    <n v="0"/>
    <n v="0"/>
    <n v="154.51"/>
    <n v="0"/>
    <n v="123.6"/>
    <n v="0"/>
    <n v="0"/>
    <n v="183.14"/>
    <n v="461.25"/>
    <n v="-183.14"/>
  </r>
  <r>
    <x v="0"/>
    <x v="6"/>
    <x v="0"/>
    <s v="4506107"/>
    <n v="749530"/>
    <s v="Travel"/>
    <s v="PACU-Silverdale"/>
    <x v="0"/>
    <m/>
    <n v="12"/>
    <n v="0"/>
    <n v="0"/>
    <n v="0"/>
    <n v="0"/>
    <n v="0"/>
    <n v="0"/>
    <n v="0"/>
    <n v="0"/>
    <n v="12"/>
    <n v="0"/>
    <n v="5"/>
    <n v="29"/>
    <n v="-5"/>
  </r>
  <r>
    <x v="0"/>
    <x v="6"/>
    <x v="0"/>
    <s v="4506107"/>
    <n v="749530"/>
    <s v="Mileage"/>
    <s v="PACU-Silverdale"/>
    <x v="0"/>
    <n v="1001"/>
    <n v="92.66"/>
    <n v="0"/>
    <n v="174.4"/>
    <n v="0"/>
    <n v="0"/>
    <n v="0"/>
    <n v="0"/>
    <n v="0"/>
    <n v="0"/>
    <n v="100.92"/>
    <n v="0"/>
    <n v="47.56"/>
    <n v="415.54"/>
    <n v="-47.56"/>
  </r>
  <r>
    <x v="18"/>
    <x v="6"/>
    <x v="0"/>
    <s v="4507107"/>
    <n v="400010"/>
    <s v="Acute I/P Svcs Rev--Medicare"/>
    <s v="PACU-Ortho Silverdale"/>
    <x v="0"/>
    <n v="1100"/>
    <n v="-183910.17"/>
    <n v="-207705.19"/>
    <n v="-224535.93"/>
    <n v="-308348.13"/>
    <n v="-264618.28999999998"/>
    <n v="-209520.96"/>
    <n v="-328404.46999999997"/>
    <n v="-201852.81"/>
    <n v="-246262.85"/>
    <n v="-434024.22"/>
    <n v="-368434.9"/>
    <n v="-293418.69"/>
    <n v="-3271036.6099999994"/>
    <n v="-75016.210000000021"/>
  </r>
  <r>
    <x v="18"/>
    <x v="6"/>
    <x v="0"/>
    <s v="4507107"/>
    <n v="400010"/>
    <s v="Acute I/P Svcs Rev--Medicaid"/>
    <s v="PACU-Ortho Silverdale"/>
    <x v="0"/>
    <n v="1200"/>
    <n v="-29987.58"/>
    <n v="-20336.009999999998"/>
    <n v="-7607.21"/>
    <n v="-26598.86"/>
    <n v="-17076.36"/>
    <n v="-20081.259999999998"/>
    <n v="-39554.97"/>
    <n v="-6876.21"/>
    <n v="-22463.41"/>
    <n v="-12513.18"/>
    <n v="-22291.06"/>
    <n v="-5087.8"/>
    <n v="-230473.90999999997"/>
    <n v="-17203.260000000002"/>
  </r>
  <r>
    <x v="18"/>
    <x v="6"/>
    <x v="0"/>
    <s v="4507107"/>
    <n v="400010"/>
    <s v="Acute I/P Svcs Rev--Comm Insurance"/>
    <s v="PACU-Ortho Silverdale"/>
    <x v="0"/>
    <n v="1300"/>
    <n v="1390.74"/>
    <n v="-6069"/>
    <n v="-3641.4"/>
    <n v="7282.8"/>
    <n v="-11805.67"/>
    <n v="-5621.61"/>
    <n v="-6901.5"/>
    <n v="0"/>
    <n v="-25464.19"/>
    <n v="0"/>
    <n v="0"/>
    <n v="-4375.7700000000004"/>
    <n v="-55205.600000000006"/>
    <n v="4375.7700000000004"/>
  </r>
  <r>
    <x v="18"/>
    <x v="6"/>
    <x v="0"/>
    <s v="4507107"/>
    <n v="400010"/>
    <s v="Acute I/P Svcs Rev--BCBS Comm"/>
    <s v="PACU-Ortho Silverdale"/>
    <x v="0"/>
    <n v="1301"/>
    <n v="-27079.59"/>
    <n v="-38792.31"/>
    <n v="-30130.04"/>
    <n v="-15234.08"/>
    <n v="-60709.14"/>
    <n v="-19446.41"/>
    <n v="-17565.03"/>
    <n v="-20533.55"/>
    <n v="-48753.22"/>
    <n v="-28170.21"/>
    <n v="-53956.56"/>
    <n v="-1651.82"/>
    <n v="-362021.96"/>
    <n v="-52304.74"/>
  </r>
  <r>
    <x v="18"/>
    <x v="6"/>
    <x v="0"/>
    <s v="4507107"/>
    <n v="400010"/>
    <s v="Acute I/P Svcs Rev--Managed Care"/>
    <s v="PACU-Ortho Silverdale"/>
    <x v="0"/>
    <n v="1400"/>
    <n v="-49284.44"/>
    <n v="-12138"/>
    <n v="-43412.5"/>
    <n v="-42450.78"/>
    <n v="-60140.22"/>
    <n v="-77152.59"/>
    <n v="-68488.91"/>
    <n v="-44120.03"/>
    <n v="-33447.379999999997"/>
    <n v="-24423.43"/>
    <n v="-34872.720000000001"/>
    <n v="-36447.629999999997"/>
    <n v="-526378.63000000012"/>
    <n v="1574.9099999999962"/>
  </r>
  <r>
    <x v="18"/>
    <x v="6"/>
    <x v="0"/>
    <s v="4507107"/>
    <n v="400010"/>
    <s v="Acute I/P Svcs Rev--Self Pay"/>
    <s v="PACU-Ortho Silverdale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6"/>
    <x v="0"/>
    <s v="4507107"/>
    <n v="400010"/>
    <s v="Acute I/P Svcs Rev--Other"/>
    <s v="PACU-Ortho Silverdale"/>
    <x v="0"/>
    <n v="1700"/>
    <n v="-13553.67"/>
    <n v="-38450.51"/>
    <n v="-27835.67"/>
    <n v="-22544.61"/>
    <n v="-45846.39"/>
    <n v="-38634.120000000003"/>
    <n v="-15199.28"/>
    <n v="-10001.76"/>
    <n v="-37981.629999999997"/>
    <n v="-12447.1"/>
    <n v="-23465.34"/>
    <n v="-27621.24"/>
    <n v="-313581.32"/>
    <n v="4155.9000000000015"/>
  </r>
  <r>
    <x v="19"/>
    <x v="6"/>
    <x v="0"/>
    <s v="4507107"/>
    <n v="400020"/>
    <s v="O/P Care Svcs Rev--Medicare"/>
    <s v="PACU-Ortho Silverdale"/>
    <x v="0"/>
    <n v="1100"/>
    <n v="-161632.20000000001"/>
    <n v="-220980.68"/>
    <n v="-194565.61"/>
    <n v="-204375.94"/>
    <n v="-170990.28"/>
    <n v="-154923.47"/>
    <n v="-218858.59"/>
    <n v="-137819.03"/>
    <n v="-163017.19"/>
    <n v="-219772.16"/>
    <n v="-251192.44"/>
    <n v="-230743.31"/>
    <n v="-2328870.9"/>
    <n v="-20449.130000000005"/>
  </r>
  <r>
    <x v="19"/>
    <x v="6"/>
    <x v="0"/>
    <s v="4507107"/>
    <n v="400020"/>
    <s v="O/P Care Svcs Rev--Medicaid"/>
    <s v="PACU-Ortho Silverdale"/>
    <x v="0"/>
    <n v="1200"/>
    <n v="-103411.63"/>
    <n v="-110469.9"/>
    <n v="-100831.63"/>
    <n v="-93956.03"/>
    <n v="-145033.69"/>
    <n v="-84478.3"/>
    <n v="-90968.1"/>
    <n v="-129106.81"/>
    <n v="-89796.69"/>
    <n v="-123575.88"/>
    <n v="-154498.10999999999"/>
    <n v="-189642.81"/>
    <n v="-1415769.58"/>
    <n v="35144.700000000012"/>
  </r>
  <r>
    <x v="19"/>
    <x v="6"/>
    <x v="0"/>
    <s v="4507107"/>
    <n v="400020"/>
    <s v="O/P Care Svcs Rev--Comm Insurance"/>
    <s v="PACU-Ortho Silverdale"/>
    <x v="0"/>
    <n v="1300"/>
    <n v="-58555.86"/>
    <n v="-21470.81"/>
    <n v="5239.24"/>
    <n v="-6089.3"/>
    <n v="-18613.189999999999"/>
    <n v="-54065.45"/>
    <n v="-24480.82"/>
    <n v="-36936.959999999999"/>
    <n v="-36579.910000000003"/>
    <n v="-48826.68"/>
    <n v="-1692.85"/>
    <n v="-21827.62"/>
    <n v="-323900.20999999996"/>
    <n v="20134.77"/>
  </r>
  <r>
    <x v="19"/>
    <x v="6"/>
    <x v="0"/>
    <s v="4507107"/>
    <n v="400020"/>
    <s v="O/P Care Svcs Rev--BCBS Comm"/>
    <s v="PACU-Ortho Silverdale"/>
    <x v="0"/>
    <n v="1301"/>
    <n v="-114981.82"/>
    <n v="-123812.67"/>
    <n v="-87707.9"/>
    <n v="-141063.73000000001"/>
    <n v="-116904.47"/>
    <n v="-204545.83"/>
    <n v="-107887.28"/>
    <n v="-147833.68"/>
    <n v="-142730.75"/>
    <n v="-149591.82"/>
    <n v="-150511.57999999999"/>
    <n v="-123930.22"/>
    <n v="-1611501.75"/>
    <n v="-26581.359999999986"/>
  </r>
  <r>
    <x v="19"/>
    <x v="6"/>
    <x v="0"/>
    <s v="4507107"/>
    <n v="400020"/>
    <s v="O/P Care Svcs Rev--Managed Care"/>
    <s v="PACU-Ortho Silverdale"/>
    <x v="0"/>
    <n v="1400"/>
    <n v="-180327.67999999999"/>
    <n v="-202953.19"/>
    <n v="-154209.78"/>
    <n v="-150443.6"/>
    <n v="-158311.35999999999"/>
    <n v="-216075.75"/>
    <n v="-180664.15"/>
    <n v="-178498.08"/>
    <n v="-207783.33"/>
    <n v="-171001"/>
    <n v="-241673.04"/>
    <n v="-250279.54"/>
    <n v="-2292220.5"/>
    <n v="8606.5"/>
  </r>
  <r>
    <x v="19"/>
    <x v="6"/>
    <x v="0"/>
    <s v="4507107"/>
    <n v="400020"/>
    <s v="O/P Care Svcs Rev--Self Pay"/>
    <s v="PACU-Ortho Silverdale"/>
    <x v="0"/>
    <n v="1500"/>
    <n v="3537.5"/>
    <n v="-6216.06"/>
    <n v="0"/>
    <n v="-13036.86"/>
    <n v="-16744.77"/>
    <n v="-2500.59"/>
    <n v="-15034.53"/>
    <n v="-7794.21"/>
    <n v="-25497.71"/>
    <n v="1400.58"/>
    <n v="-12544.43"/>
    <n v="-10621.48"/>
    <n v="-105052.55999999998"/>
    <n v="-1922.9500000000007"/>
  </r>
  <r>
    <x v="19"/>
    <x v="6"/>
    <x v="0"/>
    <s v="4507107"/>
    <n v="400020"/>
    <s v="O/P Care Svcs Rev--Other"/>
    <s v="PACU-Ortho Silverdale"/>
    <x v="0"/>
    <n v="1700"/>
    <n v="-206626.98"/>
    <n v="-214521.65"/>
    <n v="-148071.23000000001"/>
    <n v="-193668.52"/>
    <n v="-139032.74"/>
    <n v="-151280.60999999999"/>
    <n v="-152628.69"/>
    <n v="-195582.78"/>
    <n v="-193005.86"/>
    <n v="-130825.95"/>
    <n v="-219224.55"/>
    <n v="-155349.25"/>
    <n v="-2099818.81"/>
    <n v="-63875.299999999988"/>
  </r>
  <r>
    <x v="5"/>
    <x v="6"/>
    <x v="0"/>
    <s v="4507107"/>
    <n v="700018"/>
    <s v="Salaries-Supervisory-Productive"/>
    <s v="PACU-Ortho Silverdale"/>
    <x v="0"/>
    <m/>
    <n v="7391.63"/>
    <n v="8254.4599999999991"/>
    <n v="8808.98"/>
    <n v="8955.66"/>
    <n v="8703.02"/>
    <n v="8217.15"/>
    <n v="9578.7900000000009"/>
    <n v="7726.33"/>
    <n v="7215.54"/>
    <n v="8364.61"/>
    <n v="9673.84"/>
    <n v="4118.75"/>
    <n v="97008.76"/>
    <n v="5555.09"/>
  </r>
  <r>
    <x v="5"/>
    <x v="6"/>
    <x v="0"/>
    <s v="4507107"/>
    <n v="700026"/>
    <s v="Salaries-RN-Productive"/>
    <s v="PACU-Ortho Silverdale"/>
    <x v="0"/>
    <m/>
    <n v="78337.919999999998"/>
    <n v="81199.5"/>
    <n v="85489.15"/>
    <n v="81690.12"/>
    <n v="75652.97"/>
    <n v="60452.19"/>
    <n v="68291.149999999994"/>
    <n v="52127.7"/>
    <n v="78769.58"/>
    <n v="84911.98"/>
    <n v="75560.600000000006"/>
    <n v="85645.63"/>
    <n v="908128.48999999976"/>
    <n v="-10085.029999999999"/>
  </r>
  <r>
    <x v="5"/>
    <x v="6"/>
    <x v="0"/>
    <s v="4507107"/>
    <n v="700026"/>
    <s v="Salaries-RN-OT"/>
    <s v="PACU-Ortho Silverdale"/>
    <x v="0"/>
    <n v="1000"/>
    <n v="4058.33"/>
    <n v="2382.4899999999998"/>
    <n v="3169.95"/>
    <n v="1648.44"/>
    <n v="6647.06"/>
    <n v="1216.45"/>
    <n v="1941.01"/>
    <n v="3985.54"/>
    <n v="6043.5"/>
    <n v="4329.79"/>
    <n v="5008.82"/>
    <n v="3753.29"/>
    <n v="44184.67"/>
    <n v="1255.5299999999997"/>
  </r>
  <r>
    <x v="5"/>
    <x v="6"/>
    <x v="0"/>
    <s v="4507107"/>
    <n v="700026"/>
    <s v="Salaries-RN-Other"/>
    <s v="PACU-Ortho Silverdale"/>
    <x v="0"/>
    <n v="2000"/>
    <n v="4620.8999999999996"/>
    <n v="4469.1099999999997"/>
    <n v="4691.96"/>
    <n v="4755.04"/>
    <n v="5140.6499999999996"/>
    <n v="4164.55"/>
    <n v="6496.04"/>
    <n v="6227.18"/>
    <n v="5624.19"/>
    <n v="6112.88"/>
    <n v="6111.43"/>
    <n v="6179.99"/>
    <n v="64593.919999999991"/>
    <n v="-68.559999999999491"/>
  </r>
  <r>
    <x v="5"/>
    <x v="6"/>
    <x v="0"/>
    <s v="4507107"/>
    <n v="700030"/>
    <s v="Salaries-LPN-Productive"/>
    <s v="PACU-Ortho Silverdale"/>
    <x v="0"/>
    <m/>
    <n v="2934.12"/>
    <n v="4331.92"/>
    <n v="2629.9"/>
    <n v="3858.94"/>
    <n v="3657.38"/>
    <n v="2733.82"/>
    <n v="3683.47"/>
    <n v="2645.22"/>
    <n v="4550.1000000000004"/>
    <n v="1485.54"/>
    <n v="4830.1099999999997"/>
    <n v="3908.71"/>
    <n v="41249.230000000003"/>
    <n v="921.39999999999964"/>
  </r>
  <r>
    <x v="5"/>
    <x v="6"/>
    <x v="0"/>
    <s v="4507107"/>
    <n v="700030"/>
    <s v="Salaries-LPN-OT"/>
    <s v="PACU-Ortho Silverdale"/>
    <x v="0"/>
    <n v="1000"/>
    <n v="84.09"/>
    <n v="109.57"/>
    <n v="34.409999999999997"/>
    <n v="96.71"/>
    <n v="150.1"/>
    <n v="107"/>
    <n v="98.68"/>
    <n v="199.97"/>
    <n v="565.83000000000004"/>
    <n v="127.68"/>
    <n v="222.19"/>
    <n v="422.57"/>
    <n v="2218.8000000000002"/>
    <n v="-200.38"/>
  </r>
  <r>
    <x v="5"/>
    <x v="6"/>
    <x v="0"/>
    <s v="4507107"/>
    <n v="700032"/>
    <s v="Salaries-Other Pat Care Providers-Productive"/>
    <s v="PACU-Ortho Silverdale"/>
    <x v="0"/>
    <m/>
    <n v="12188.13"/>
    <n v="11280.26"/>
    <n v="9612.15"/>
    <n v="12295.27"/>
    <n v="8774.4500000000007"/>
    <n v="7454.93"/>
    <n v="10745.62"/>
    <n v="8038.94"/>
    <n v="12275.3"/>
    <n v="7471.7"/>
    <n v="10728.46"/>
    <n v="7983.5"/>
    <n v="118848.70999999999"/>
    <n v="2744.9599999999991"/>
  </r>
  <r>
    <x v="5"/>
    <x v="6"/>
    <x v="0"/>
    <s v="4507107"/>
    <n v="700032"/>
    <s v="Salaries-Other Pat Care Providers-OT"/>
    <s v="PACU-Ortho Silverdale"/>
    <x v="0"/>
    <n v="1000"/>
    <n v="383.83"/>
    <n v="403.52"/>
    <n v="212.53"/>
    <n v="212.21"/>
    <n v="378.14"/>
    <n v="138.44999999999999"/>
    <n v="193.02"/>
    <n v="330.21"/>
    <n v="295.8"/>
    <n v="269.93"/>
    <n v="176.9"/>
    <n v="213.82"/>
    <n v="3208.36"/>
    <n v="-36.919999999999987"/>
  </r>
  <r>
    <x v="5"/>
    <x v="6"/>
    <x v="0"/>
    <s v="4507107"/>
    <n v="700032"/>
    <s v="Salaries-Other Pat Care Providers-Other"/>
    <s v="PACU-Ortho Silverdale"/>
    <x v="0"/>
    <n v="2000"/>
    <n v="0"/>
    <n v="0"/>
    <n v="0"/>
    <n v="0"/>
    <n v="0"/>
    <n v="3.7"/>
    <n v="8.8000000000000007"/>
    <n v="-2.31"/>
    <n v="0"/>
    <n v="0"/>
    <n v="0"/>
    <n v="0"/>
    <n v="10.19"/>
    <n v="0"/>
  </r>
  <r>
    <x v="5"/>
    <x v="6"/>
    <x v="0"/>
    <s v="4507107"/>
    <n v="700034"/>
    <s v="Salaries-Tech/Professional-Productive"/>
    <s v="PACU-Ortho Silverdale"/>
    <x v="0"/>
    <m/>
    <n v="92.23"/>
    <n v="-16.27"/>
    <n v="0"/>
    <n v="0"/>
    <n v="0"/>
    <n v="0"/>
    <n v="0"/>
    <n v="0"/>
    <n v="0"/>
    <n v="0"/>
    <n v="0"/>
    <n v="0"/>
    <n v="75.960000000000008"/>
    <n v="0"/>
  </r>
  <r>
    <x v="5"/>
    <x v="6"/>
    <x v="0"/>
    <s v="4507107"/>
    <n v="700034"/>
    <s v="Salaries-Tech/Professional-Other"/>
    <s v="PACU-Ortho Silverdale"/>
    <x v="0"/>
    <n v="2000"/>
    <n v="2.1800000000000002"/>
    <n v="-0.38"/>
    <n v="0"/>
    <n v="0"/>
    <n v="0"/>
    <n v="0"/>
    <n v="0"/>
    <n v="0"/>
    <n v="0"/>
    <n v="0"/>
    <n v="0"/>
    <n v="0"/>
    <n v="1.8000000000000003"/>
    <n v="0"/>
  </r>
  <r>
    <x v="5"/>
    <x v="6"/>
    <x v="0"/>
    <s v="4507107"/>
    <n v="700054"/>
    <s v="Salaries-Management-NonProd-Other"/>
    <s v="PACU-Ortho Silverdale"/>
    <x v="0"/>
    <n v="2000"/>
    <n v="0"/>
    <n v="0"/>
    <n v="0"/>
    <n v="0"/>
    <n v="0"/>
    <n v="119.5"/>
    <n v="-119.5"/>
    <n v="0"/>
    <n v="0"/>
    <n v="0"/>
    <n v="0"/>
    <n v="0"/>
    <n v="0"/>
    <n v="0"/>
  </r>
  <r>
    <x v="5"/>
    <x v="6"/>
    <x v="0"/>
    <s v="4507107"/>
    <n v="700058"/>
    <s v="Salaries-Supervisory-Non-productive"/>
    <s v="PACU-Ortho Silverdale"/>
    <x v="0"/>
    <m/>
    <n v="2156"/>
    <n v="1293.5999999999999"/>
    <n v="431.2"/>
    <n v="0"/>
    <n v="860.72"/>
    <n v="1498.34"/>
    <n v="319.51"/>
    <n v="1213.17"/>
    <n v="2681.83"/>
    <n v="1213.1600000000001"/>
    <n v="223.53"/>
    <n v="5459.48"/>
    <n v="17350.54"/>
    <n v="-5235.95"/>
  </r>
  <r>
    <x v="5"/>
    <x v="6"/>
    <x v="0"/>
    <s v="4507107"/>
    <n v="700058"/>
    <s v="Salaries-Supervisory-NonProd-Other"/>
    <s v="PACU-Ortho Silverdale"/>
    <x v="0"/>
    <n v="2000"/>
    <n v="0"/>
    <n v="0"/>
    <n v="0"/>
    <n v="0"/>
    <n v="420.05"/>
    <n v="0"/>
    <n v="0"/>
    <n v="-420.05"/>
    <n v="0"/>
    <n v="0"/>
    <n v="0"/>
    <n v="0"/>
    <n v="0"/>
    <n v="0"/>
  </r>
  <r>
    <x v="5"/>
    <x v="6"/>
    <x v="0"/>
    <s v="4507107"/>
    <n v="700066"/>
    <s v="Salaries-RN-Non-productive"/>
    <s v="PACU-Ortho Silverdale"/>
    <x v="0"/>
    <m/>
    <n v="10524.91"/>
    <n v="14109.02"/>
    <n v="12460.15"/>
    <n v="14271.82"/>
    <n v="18439.27"/>
    <n v="18540.7"/>
    <n v="18689.75"/>
    <n v="11522.73"/>
    <n v="3525.47"/>
    <n v="5138.38"/>
    <n v="23098.06"/>
    <n v="6184.72"/>
    <n v="156504.98000000001"/>
    <n v="16913.34"/>
  </r>
  <r>
    <x v="5"/>
    <x v="6"/>
    <x v="0"/>
    <s v="4507107"/>
    <n v="700066"/>
    <s v="Salaries-RN-NonProd-Other"/>
    <s v="PACU-Ortho Silverdale"/>
    <x v="0"/>
    <n v="2000"/>
    <n v="846.07"/>
    <n v="118.59"/>
    <n v="375.32"/>
    <n v="1058.75"/>
    <n v="102.85"/>
    <n v="571.63"/>
    <n v="286.5"/>
    <n v="737.44"/>
    <n v="309.95"/>
    <n v="687.85"/>
    <n v="1576.31"/>
    <n v="872.37"/>
    <n v="7543.63"/>
    <n v="703.93999999999994"/>
  </r>
  <r>
    <x v="5"/>
    <x v="6"/>
    <x v="0"/>
    <s v="4507107"/>
    <n v="700070"/>
    <s v="Salaries-LPN-Non-productive"/>
    <s v="PACU-Ortho Silverdale"/>
    <x v="0"/>
    <m/>
    <n v="1376.62"/>
    <n v="-33.049999999999997"/>
    <n v="1184.74"/>
    <n v="-127.83"/>
    <n v="260.55"/>
    <n v="1580.31"/>
    <n v="59.47"/>
    <n v="935.28"/>
    <n v="-246.1"/>
    <n v="1979.23"/>
    <n v="-384.74"/>
    <n v="337.76"/>
    <n v="6922.24"/>
    <n v="-722.5"/>
  </r>
  <r>
    <x v="5"/>
    <x v="6"/>
    <x v="0"/>
    <s v="4507107"/>
    <n v="700070"/>
    <s v="Salaries-LPN-NonProd-Other"/>
    <s v="PACU-Ortho Silverdale"/>
    <x v="0"/>
    <n v="2000"/>
    <n v="0"/>
    <n v="0"/>
    <n v="0"/>
    <n v="0"/>
    <n v="0"/>
    <n v="0"/>
    <n v="0"/>
    <n v="0"/>
    <n v="18.309999999999999"/>
    <n v="44.94"/>
    <n v="0"/>
    <n v="118.85"/>
    <n v="182.1"/>
    <n v="-118.85"/>
  </r>
  <r>
    <x v="5"/>
    <x v="6"/>
    <x v="0"/>
    <s v="4507107"/>
    <n v="700072"/>
    <s v="Salaries-Other Pat Care Providers-Non-productive"/>
    <s v="PACU-Ortho Silverdale"/>
    <x v="0"/>
    <m/>
    <n v="1466.86"/>
    <n v="1260.8599999999999"/>
    <n v="3214"/>
    <n v="465.06"/>
    <n v="4421.3900000000003"/>
    <n v="1273.8599999999999"/>
    <n v="920.33"/>
    <n v="2506.36"/>
    <n v="818.24"/>
    <n v="3876.78"/>
    <n v="161.96"/>
    <n v="1950.76"/>
    <n v="22336.46"/>
    <n v="-1788.8"/>
  </r>
  <r>
    <x v="5"/>
    <x v="6"/>
    <x v="0"/>
    <s v="4507107"/>
    <n v="700072"/>
    <s v="Salaries-Other Pat Care Providers-NonProd-Other"/>
    <s v="PACU-Ortho Silverdale"/>
    <x v="0"/>
    <n v="2000"/>
    <n v="27.59"/>
    <n v="25.44"/>
    <n v="0"/>
    <n v="0"/>
    <n v="0"/>
    <n v="0"/>
    <n v="0"/>
    <n v="0"/>
    <n v="0"/>
    <n v="0"/>
    <n v="0"/>
    <n v="0"/>
    <n v="53.03"/>
    <n v="0"/>
  </r>
  <r>
    <x v="5"/>
    <x v="6"/>
    <x v="0"/>
    <s v="4507107"/>
    <n v="700084"/>
    <s v="Accrued PTO"/>
    <s v="PACU-Ortho Silverdale"/>
    <x v="0"/>
    <m/>
    <n v="-1650.14"/>
    <n v="1774.1"/>
    <n v="-2359.2600000000002"/>
    <n v="2725.87"/>
    <n v="-1947.17"/>
    <n v="-9634.36"/>
    <n v="-15769.85"/>
    <n v="13425.74"/>
    <n v="6929.78"/>
    <n v="4089.45"/>
    <n v="794.14"/>
    <n v="-2777.82"/>
    <n v="-4399.5200000000023"/>
    <n v="3571.96"/>
  </r>
  <r>
    <x v="6"/>
    <x v="6"/>
    <x v="0"/>
    <s v="4507107"/>
    <n v="713010"/>
    <s v="Benefits-FICA/Medicare"/>
    <s v="PACU-Ortho Silverdale"/>
    <x v="0"/>
    <m/>
    <n v="9455.7199999999993"/>
    <n v="9663.17"/>
    <n v="9892.26"/>
    <n v="9629.73"/>
    <n v="10063.84"/>
    <n v="9137"/>
    <n v="10203.68"/>
    <n v="8984.48"/>
    <n v="9151.36"/>
    <n v="9368.85"/>
    <n v="10213.39"/>
    <n v="9432.35"/>
    <n v="115195.83"/>
    <n v="781.03999999999905"/>
  </r>
  <r>
    <x v="6"/>
    <x v="6"/>
    <x v="0"/>
    <s v="4507107"/>
    <n v="713090"/>
    <s v="Benefits-Allocated Amounts"/>
    <s v="PACU-Ortho Silverdale"/>
    <x v="0"/>
    <m/>
    <n v="19649.150000000001"/>
    <n v="18260.560000000001"/>
    <n v="20145.63"/>
    <n v="19174.47"/>
    <n v="22278.3"/>
    <n v="16207.77"/>
    <n v="17910.47"/>
    <n v="16583.52"/>
    <n v="15746.08"/>
    <n v="21123.07"/>
    <n v="20801.29"/>
    <n v="22573.62"/>
    <n v="230453.93000000002"/>
    <n v="-1772.3299999999981"/>
  </r>
  <r>
    <x v="6"/>
    <x v="6"/>
    <x v="0"/>
    <s v="4507107"/>
    <n v="713096"/>
    <s v="Employee Recognition"/>
    <s v="PACU-Ortho Silverdale"/>
    <x v="0"/>
    <n v="1017"/>
    <n v="0"/>
    <n v="0"/>
    <n v="0"/>
    <n v="0"/>
    <n v="0"/>
    <n v="0"/>
    <n v="0"/>
    <n v="378.7"/>
    <n v="0"/>
    <n v="128"/>
    <n v="0"/>
    <n v="25"/>
    <n v="531.70000000000005"/>
    <n v="-25"/>
  </r>
  <r>
    <x v="7"/>
    <x v="6"/>
    <x v="0"/>
    <s v="4507107"/>
    <n v="718050"/>
    <s v="Contract Management--Linen"/>
    <s v="PACU-Ortho Silverdale"/>
    <x v="0"/>
    <n v="1026"/>
    <n v="1509.23"/>
    <n v="2722.12"/>
    <n v="2288.81"/>
    <n v="2214.4499999999998"/>
    <n v="2421.66"/>
    <n v="1944.51"/>
    <n v="2154.2800000000002"/>
    <n v="1619.13"/>
    <n v="2081.09"/>
    <n v="2550.65"/>
    <n v="2142.52"/>
    <n v="3063.62"/>
    <n v="26712.070000000003"/>
    <n v="-921.09999999999991"/>
  </r>
  <r>
    <x v="7"/>
    <x v="6"/>
    <x v="0"/>
    <s v="4507107"/>
    <n v="718070"/>
    <s v="Contract Srvcs-CHI Clinical Engineering"/>
    <s v="PACU-Ortho Silverdale"/>
    <x v="0"/>
    <m/>
    <n v="49.83"/>
    <n v="49.83"/>
    <n v="49.83"/>
    <n v="49.83"/>
    <n v="49.83"/>
    <n v="92.44"/>
    <n v="94.19"/>
    <n v="94.18"/>
    <n v="94.19"/>
    <n v="94.19"/>
    <n v="87.91"/>
    <n v="82.91"/>
    <n v="889.16000000000008"/>
    <n v="5"/>
  </r>
  <r>
    <x v="11"/>
    <x v="6"/>
    <x v="0"/>
    <s v="4507107"/>
    <n v="721010"/>
    <s v="Supplies-Medical - Billable"/>
    <s v="PACU-Ortho Silverdale"/>
    <x v="0"/>
    <m/>
    <n v="3124.75"/>
    <n v="3937.07"/>
    <n v="3732.13"/>
    <n v="4236.38"/>
    <n v="3974.59"/>
    <n v="3982.95"/>
    <n v="4325.79"/>
    <n v="3196.49"/>
    <n v="4351.09"/>
    <n v="5200.95"/>
    <n v="4920.59"/>
    <n v="3848.08"/>
    <n v="48830.86"/>
    <n v="1072.5100000000002"/>
  </r>
  <r>
    <x v="11"/>
    <x v="6"/>
    <x v="0"/>
    <s v="4507107"/>
    <n v="721010"/>
    <s v="Patient Monitoring"/>
    <s v="PACU-Ortho Silverdale"/>
    <x v="0"/>
    <n v="1000"/>
    <n v="55.53"/>
    <n v="52.45"/>
    <n v="33.94"/>
    <n v="70.959999999999994"/>
    <n v="64.8"/>
    <n v="52.45"/>
    <n v="70.959999999999994"/>
    <n v="55.53"/>
    <n v="52.45"/>
    <n v="350.48"/>
    <n v="89.06"/>
    <n v="70.959999999999994"/>
    <n v="1019.5699999999999"/>
    <n v="18.100000000000009"/>
  </r>
  <r>
    <x v="11"/>
    <x v="6"/>
    <x v="0"/>
    <s v="4507107"/>
    <n v="721020"/>
    <s v="Supplies-Surgical - Billable"/>
    <s v="PACU-Ortho Silverdale"/>
    <x v="0"/>
    <m/>
    <n v="2.02"/>
    <n v="0"/>
    <n v="0"/>
    <n v="0"/>
    <n v="2.02"/>
    <n v="0"/>
    <n v="0"/>
    <n v="0"/>
    <n v="0"/>
    <n v="0"/>
    <n v="0"/>
    <n v="0"/>
    <n v="4.04"/>
    <n v="0"/>
  </r>
  <r>
    <x v="11"/>
    <x v="6"/>
    <x v="0"/>
    <s v="4507107"/>
    <n v="721020"/>
    <s v="Custom Packs"/>
    <s v="PACU-Ortho Silverdale"/>
    <x v="0"/>
    <n v="1000"/>
    <n v="0"/>
    <n v="14.43"/>
    <n v="0"/>
    <n v="66.239999999999995"/>
    <n v="0"/>
    <n v="0"/>
    <n v="0"/>
    <n v="0"/>
    <n v="0"/>
    <n v="0"/>
    <n v="13.24"/>
    <n v="0"/>
    <n v="93.909999999999982"/>
    <n v="13.24"/>
  </r>
  <r>
    <x v="11"/>
    <x v="6"/>
    <x v="0"/>
    <s v="4507107"/>
    <n v="721210"/>
    <s v="Supplies-Anesthesia - Billable"/>
    <s v="PACU-Ortho Silverdale"/>
    <x v="0"/>
    <m/>
    <n v="1393.62"/>
    <n v="0"/>
    <n v="0"/>
    <n v="0"/>
    <n v="0"/>
    <n v="0"/>
    <n v="0"/>
    <n v="0"/>
    <n v="0"/>
    <n v="0"/>
    <n v="0"/>
    <n v="0"/>
    <n v="1393.62"/>
    <n v="0"/>
  </r>
  <r>
    <x v="11"/>
    <x v="6"/>
    <x v="0"/>
    <s v="4507107"/>
    <n v="721240"/>
    <s v="Supplies-IV Solutions/Supplies - Billable"/>
    <s v="PACU-Ortho Silverdale"/>
    <x v="0"/>
    <m/>
    <n v="2935.43"/>
    <n v="3307.41"/>
    <n v="2784.2"/>
    <n v="3840.38"/>
    <n v="2688.23"/>
    <n v="3047.48"/>
    <n v="3359.37"/>
    <n v="2761.59"/>
    <n v="3244.76"/>
    <n v="3550.45"/>
    <n v="3489.1"/>
    <n v="3105.08"/>
    <n v="38113.480000000003"/>
    <n v="384.02"/>
  </r>
  <r>
    <x v="11"/>
    <x v="6"/>
    <x v="0"/>
    <s v="4507107"/>
    <n v="721320"/>
    <s v="Supplies-Purchased Blood - Billable"/>
    <s v="PACU-Ortho Silverdale"/>
    <x v="0"/>
    <m/>
    <n v="0"/>
    <n v="0"/>
    <n v="0"/>
    <n v="0"/>
    <n v="0"/>
    <n v="0"/>
    <n v="0"/>
    <n v="0"/>
    <n v="0"/>
    <n v="16.68"/>
    <n v="0"/>
    <n v="0"/>
    <n v="16.68"/>
    <n v="0"/>
  </r>
  <r>
    <x v="11"/>
    <x v="6"/>
    <x v="0"/>
    <s v="4507107"/>
    <n v="721410"/>
    <s v="Supplies-Medical - Nonbillable"/>
    <s v="PACU-Ortho Silverdale"/>
    <x v="0"/>
    <m/>
    <n v="2018.69"/>
    <n v="3055.9"/>
    <n v="2153.5100000000002"/>
    <n v="2261.59"/>
    <n v="2728.94"/>
    <n v="3364.08"/>
    <n v="2375.54"/>
    <n v="1630.27"/>
    <n v="2445.2800000000002"/>
    <n v="3257.9"/>
    <n v="3895.27"/>
    <n v="3987.53"/>
    <n v="33174.5"/>
    <n v="-92.260000000000218"/>
  </r>
  <r>
    <x v="11"/>
    <x v="6"/>
    <x v="0"/>
    <s v="4507107"/>
    <n v="721420"/>
    <s v="Supplies-Surgical Nonbillable"/>
    <s v="PACU-Ortho Silverdale"/>
    <x v="0"/>
    <m/>
    <n v="304.24"/>
    <n v="419.32"/>
    <n v="238.86"/>
    <n v="521.76"/>
    <n v="257.12"/>
    <n v="399.83"/>
    <n v="399.25"/>
    <n v="289.24"/>
    <n v="366.36"/>
    <n v="233.02"/>
    <n v="305.79000000000002"/>
    <n v="211.24"/>
    <n v="3946.0299999999997"/>
    <n v="94.550000000000011"/>
  </r>
  <r>
    <x v="11"/>
    <x v="6"/>
    <x v="0"/>
    <s v="4507107"/>
    <n v="721420"/>
    <s v="Sterilization Process Products"/>
    <s v="PACU-Ortho Silverdale"/>
    <x v="0"/>
    <n v="1009"/>
    <n v="99.58"/>
    <n v="99.58"/>
    <n v="145.26"/>
    <n v="145.38999999999999"/>
    <n v="49.79"/>
    <n v="99.58"/>
    <n v="99.58"/>
    <n v="0"/>
    <n v="149.38"/>
    <n v="99.58"/>
    <n v="0"/>
    <n v="0"/>
    <n v="987.72"/>
    <n v="0"/>
  </r>
  <r>
    <x v="11"/>
    <x v="6"/>
    <x v="0"/>
    <s v="4507107"/>
    <n v="721610"/>
    <s v="Supplies-Anesthesia - Nonbillable"/>
    <s v="PACU-Ortho Silverdale"/>
    <x v="0"/>
    <m/>
    <n v="84.93"/>
    <n v="179.06"/>
    <n v="61.97"/>
    <n v="97.03"/>
    <n v="104.15"/>
    <n v="89.78"/>
    <n v="100.48"/>
    <n v="79.12"/>
    <n v="95.67"/>
    <n v="108.42"/>
    <n v="102.44"/>
    <n v="90.34"/>
    <n v="1193.3899999999999"/>
    <n v="12.099999999999994"/>
  </r>
  <r>
    <x v="11"/>
    <x v="6"/>
    <x v="0"/>
    <s v="4507107"/>
    <n v="721640"/>
    <s v="Supplies-IV Solutions/Supplies - Nonbillable"/>
    <s v="PACU-Ortho Silverdale"/>
    <x v="0"/>
    <m/>
    <n v="572"/>
    <n v="1002.05"/>
    <n v="738.9"/>
    <n v="1026.98"/>
    <n v="982.9"/>
    <n v="841.8"/>
    <n v="994.35"/>
    <n v="767.63"/>
    <n v="940.03"/>
    <n v="1102.42"/>
    <n v="963.61"/>
    <n v="1016.78"/>
    <n v="10949.450000000003"/>
    <n v="-53.169999999999959"/>
  </r>
  <r>
    <x v="11"/>
    <x v="6"/>
    <x v="0"/>
    <s v="4507107"/>
    <n v="721650"/>
    <s v="Supplies-Pharmacy Drugs - Nonbillable"/>
    <s v="PACU-Ortho Silverdale"/>
    <x v="0"/>
    <m/>
    <n v="0"/>
    <n v="0"/>
    <n v="0"/>
    <n v="0"/>
    <n v="0"/>
    <n v="12.06"/>
    <n v="0"/>
    <n v="150"/>
    <n v="0"/>
    <n v="150"/>
    <n v="150"/>
    <n v="0"/>
    <n v="462.06"/>
    <n v="150"/>
  </r>
  <r>
    <x v="11"/>
    <x v="6"/>
    <x v="0"/>
    <s v="4507107"/>
    <n v="721710"/>
    <s v="Supplies-Laboratory - Nonbillable"/>
    <s v="PACU-Ortho Silverdale"/>
    <x v="0"/>
    <m/>
    <n v="101.49"/>
    <n v="31.06"/>
    <n v="74.099999999999994"/>
    <n v="21.2"/>
    <n v="38.5"/>
    <n v="54.74"/>
    <n v="38.409999999999997"/>
    <n v="56.09"/>
    <n v="59.42"/>
    <n v="32.61"/>
    <n v="77.11"/>
    <n v="31.7"/>
    <n v="616.43000000000006"/>
    <n v="45.41"/>
  </r>
  <r>
    <x v="11"/>
    <x v="6"/>
    <x v="0"/>
    <s v="4507107"/>
    <n v="721810"/>
    <s v="Supplies-Dietary/Cafeteria"/>
    <s v="PACU-Ortho Silverdale"/>
    <x v="0"/>
    <m/>
    <n v="5148.2700000000004"/>
    <n v="5580.32"/>
    <n v="4607.3500000000004"/>
    <n v="5349.87"/>
    <n v="3236.7"/>
    <n v="2415.9499999999998"/>
    <n v="2806.23"/>
    <n v="2548.0300000000002"/>
    <n v="3178.54"/>
    <n v="3247.63"/>
    <n v="2396.06"/>
    <n v="3248.95"/>
    <n v="43763.899999999994"/>
    <n v="-852.88999999999987"/>
  </r>
  <r>
    <x v="11"/>
    <x v="6"/>
    <x v="0"/>
    <s v="4507107"/>
    <n v="721830"/>
    <s v="Supplies-Office"/>
    <s v="PACU-Ortho Silverdale"/>
    <x v="0"/>
    <m/>
    <n v="304.7"/>
    <n v="623.45000000000005"/>
    <n v="304.02"/>
    <n v="250.66"/>
    <n v="252.39"/>
    <n v="289.2"/>
    <n v="411.22"/>
    <n v="279.04000000000002"/>
    <n v="257.38"/>
    <n v="524.70000000000005"/>
    <n v="217.87"/>
    <n v="281.95"/>
    <n v="3996.58"/>
    <n v="-64.079999999999984"/>
  </r>
  <r>
    <x v="11"/>
    <x v="6"/>
    <x v="0"/>
    <s v="4507107"/>
    <n v="721835"/>
    <s v="Supplies-Forms"/>
    <s v="PACU-Ortho Silverdale"/>
    <x v="0"/>
    <m/>
    <n v="0"/>
    <n v="0"/>
    <n v="0"/>
    <n v="0"/>
    <n v="55"/>
    <n v="0"/>
    <n v="33.47"/>
    <n v="0"/>
    <n v="12"/>
    <n v="8.56"/>
    <n v="0"/>
    <n v="19.5"/>
    <n v="128.53"/>
    <n v="-19.5"/>
  </r>
  <r>
    <x v="11"/>
    <x v="6"/>
    <x v="0"/>
    <s v="4507107"/>
    <n v="721870"/>
    <s v="Supplies-Environmental Services"/>
    <s v="PACU-Ortho Silverdale"/>
    <x v="0"/>
    <m/>
    <n v="155.47999999999999"/>
    <n v="194.49"/>
    <n v="145.18"/>
    <n v="148"/>
    <n v="160"/>
    <n v="262.23"/>
    <n v="110.23"/>
    <n v="102.37"/>
    <n v="185.56"/>
    <n v="186.17"/>
    <n v="112.08"/>
    <n v="191.1"/>
    <n v="1952.8899999999999"/>
    <n v="-79.02"/>
  </r>
  <r>
    <x v="11"/>
    <x v="6"/>
    <x v="0"/>
    <s v="4507107"/>
    <n v="721910"/>
    <s v="Supplies-Small Equipment"/>
    <s v="PACU-Ortho Silverdale"/>
    <x v="0"/>
    <m/>
    <n v="1.28"/>
    <n v="5.12"/>
    <n v="2.56"/>
    <n v="819.8"/>
    <n v="1228.58"/>
    <n v="1938.06"/>
    <n v="4.08"/>
    <n v="139.22"/>
    <n v="1606.7"/>
    <n v="1457.46"/>
    <n v="48.07"/>
    <n v="52.29"/>
    <n v="7303.2199999999993"/>
    <n v="-4.2199999999999989"/>
  </r>
  <r>
    <x v="11"/>
    <x v="6"/>
    <x v="0"/>
    <s v="4507107"/>
    <n v="721980"/>
    <s v="Supplies-Other"/>
    <s v="PACU-Ortho Silverdale"/>
    <x v="0"/>
    <m/>
    <n v="44.25"/>
    <n v="0"/>
    <n v="0"/>
    <n v="0"/>
    <n v="0"/>
    <n v="0"/>
    <n v="0"/>
    <n v="0"/>
    <n v="0"/>
    <n v="0"/>
    <n v="0"/>
    <n v="0"/>
    <n v="44.25"/>
    <n v="0"/>
  </r>
  <r>
    <x v="11"/>
    <x v="6"/>
    <x v="0"/>
    <s v="4507107"/>
    <n v="722000"/>
    <s v="Supplies-Freight Expense"/>
    <s v="PACU-Ortho Silverdale"/>
    <x v="0"/>
    <m/>
    <n v="0"/>
    <n v="0"/>
    <n v="0"/>
    <n v="20.59"/>
    <n v="0"/>
    <n v="25.53"/>
    <n v="0"/>
    <n v="0"/>
    <n v="8.92"/>
    <n v="0"/>
    <n v="8.26"/>
    <n v="0"/>
    <n v="63.300000000000004"/>
    <n v="8.26"/>
  </r>
  <r>
    <x v="15"/>
    <x v="6"/>
    <x v="0"/>
    <s v="4507107"/>
    <n v="731060"/>
    <s v="Telephone"/>
    <s v="PACU-Ortho Silverdale"/>
    <x v="0"/>
    <m/>
    <n v="0"/>
    <n v="0"/>
    <n v="88.64"/>
    <n v="7.98"/>
    <n v="0"/>
    <n v="0"/>
    <n v="0"/>
    <n v="0"/>
    <n v="0"/>
    <n v="0"/>
    <n v="0"/>
    <n v="0"/>
    <n v="96.62"/>
    <n v="0"/>
  </r>
  <r>
    <x v="15"/>
    <x v="6"/>
    <x v="0"/>
    <s v="4507107"/>
    <n v="731060"/>
    <s v="Cell Phones"/>
    <s v="PACU-Ortho Silverdale"/>
    <x v="0"/>
    <n v="1001"/>
    <n v="0"/>
    <n v="0"/>
    <n v="0"/>
    <n v="0"/>
    <n v="0"/>
    <n v="0"/>
    <n v="0"/>
    <n v="0"/>
    <n v="0"/>
    <n v="52.59"/>
    <n v="51.33"/>
    <n v="52.05"/>
    <n v="155.97"/>
    <n v="-0.71999999999999886"/>
  </r>
  <r>
    <x v="13"/>
    <x v="6"/>
    <x v="0"/>
    <s v="4507107"/>
    <n v="735070"/>
    <s v="Depreciation-Movable Equipment"/>
    <s v="PACU-Ortho Silverdale"/>
    <x v="0"/>
    <m/>
    <n v="43.51"/>
    <n v="43.51"/>
    <n v="43.51"/>
    <n v="43.51"/>
    <n v="43.51"/>
    <n v="43.51"/>
    <n v="43.52"/>
    <n v="43.51"/>
    <n v="43.52"/>
    <n v="43.51"/>
    <n v="43.52"/>
    <n v="43.51"/>
    <n v="522.15"/>
    <n v="1.0000000000005116E-2"/>
  </r>
  <r>
    <x v="0"/>
    <x v="6"/>
    <x v="0"/>
    <s v="4507107"/>
    <n v="740010"/>
    <s v="Education-Materials"/>
    <s v="PACU-Ortho Silverdale"/>
    <x v="0"/>
    <m/>
    <n v="0"/>
    <n v="0"/>
    <n v="0"/>
    <n v="0"/>
    <n v="74.12"/>
    <n v="0"/>
    <n v="0"/>
    <n v="0"/>
    <n v="0"/>
    <n v="0"/>
    <n v="0"/>
    <n v="0"/>
    <n v="74.12"/>
    <n v="0"/>
  </r>
  <r>
    <x v="0"/>
    <x v="6"/>
    <x v="0"/>
    <s v="4507107"/>
    <n v="740020"/>
    <s v="Education-Registration Fees"/>
    <s v="PACU-Ortho Silverdale"/>
    <x v="0"/>
    <m/>
    <n v="0"/>
    <n v="0"/>
    <n v="130"/>
    <n v="215"/>
    <n v="330"/>
    <n v="0"/>
    <n v="0"/>
    <n v="0"/>
    <n v="330"/>
    <n v="0"/>
    <n v="0"/>
    <n v="0"/>
    <n v="1005"/>
    <n v="0"/>
  </r>
  <r>
    <x v="0"/>
    <x v="6"/>
    <x v="0"/>
    <s v="4507107"/>
    <n v="743020"/>
    <s v="Dues--Individual"/>
    <s v="PACU-Ortho Silverdale"/>
    <x v="0"/>
    <m/>
    <n v="0"/>
    <n v="0"/>
    <n v="153"/>
    <n v="0"/>
    <n v="0"/>
    <n v="0"/>
    <n v="0"/>
    <n v="0"/>
    <n v="0"/>
    <n v="0"/>
    <n v="0"/>
    <n v="0"/>
    <n v="153"/>
    <n v="0"/>
  </r>
  <r>
    <x v="0"/>
    <x v="6"/>
    <x v="0"/>
    <s v="4507107"/>
    <n v="749510"/>
    <s v="Miscellaneous Expenses"/>
    <s v="PACU-Ortho Silverdale"/>
    <x v="0"/>
    <m/>
    <n v="55.6"/>
    <n v="149.35"/>
    <n v="-204.95"/>
    <n v="305.64999999999998"/>
    <n v="26.03"/>
    <n v="77.319999999999993"/>
    <n v="7.81"/>
    <n v="0"/>
    <n v="105.96"/>
    <n v="-105.96"/>
    <n v="0"/>
    <n v="0"/>
    <n v="416.81"/>
    <n v="0"/>
  </r>
  <r>
    <x v="0"/>
    <x v="6"/>
    <x v="0"/>
    <s v="4507107"/>
    <n v="749530"/>
    <s v="Travel"/>
    <s v="PACU-Ortho Silverdale"/>
    <x v="0"/>
    <m/>
    <n v="0"/>
    <n v="0"/>
    <n v="30"/>
    <n v="0"/>
    <n v="0"/>
    <n v="0"/>
    <n v="0"/>
    <n v="0"/>
    <n v="0"/>
    <n v="36"/>
    <n v="0"/>
    <n v="32"/>
    <n v="98"/>
    <n v="-32"/>
  </r>
  <r>
    <x v="0"/>
    <x v="6"/>
    <x v="0"/>
    <s v="4507107"/>
    <n v="749530"/>
    <s v="Mileage"/>
    <s v="PACU-Ortho Silverdale"/>
    <x v="0"/>
    <n v="1001"/>
    <n v="0"/>
    <n v="0"/>
    <n v="174.95"/>
    <n v="0"/>
    <n v="0"/>
    <n v="0"/>
    <n v="0"/>
    <n v="0"/>
    <n v="0"/>
    <n v="609.58000000000004"/>
    <n v="0"/>
    <n v="238.96"/>
    <n v="1023.49"/>
    <n v="-238.96"/>
  </r>
  <r>
    <x v="5"/>
    <x v="3"/>
    <x v="0"/>
    <s v="4510101"/>
    <n v="700026"/>
    <s v="Salaries-RN-Productive"/>
    <s v="Pre-Admission Clinic"/>
    <x v="0"/>
    <m/>
    <n v="49387.05"/>
    <n v="49846.34"/>
    <n v="50319.33"/>
    <n v="58683.82"/>
    <n v="55846.81"/>
    <n v="44279.72"/>
    <n v="60313.3"/>
    <n v="42955.82"/>
    <n v="67975.05"/>
    <n v="55276.7"/>
    <n v="65082.68"/>
    <n v="50582.12"/>
    <n v="650548.74"/>
    <n v="14500.559999999998"/>
  </r>
  <r>
    <x v="5"/>
    <x v="3"/>
    <x v="0"/>
    <s v="4510101"/>
    <n v="700026"/>
    <s v="Salaries-RN-OT"/>
    <s v="Pre-Admission Clinic"/>
    <x v="0"/>
    <n v="1000"/>
    <n v="344.02"/>
    <n v="992.57"/>
    <n v="930.34"/>
    <n v="2925.56"/>
    <n v="1314.35"/>
    <n v="1704.71"/>
    <n v="2449.96"/>
    <n v="1802.56"/>
    <n v="4245.2700000000004"/>
    <n v="3516.12"/>
    <n v="1401.18"/>
    <n v="5364.08"/>
    <n v="26990.719999999994"/>
    <n v="-3962.8999999999996"/>
  </r>
  <r>
    <x v="5"/>
    <x v="3"/>
    <x v="0"/>
    <s v="4510101"/>
    <n v="700026"/>
    <s v="Salaries-RN-Other"/>
    <s v="Pre-Admission Clinic"/>
    <x v="0"/>
    <n v="2000"/>
    <n v="1683.16"/>
    <n v="1169.76"/>
    <n v="1351.21"/>
    <n v="1486.73"/>
    <n v="2093.77"/>
    <n v="1135.77"/>
    <n v="1933.04"/>
    <n v="1539.77"/>
    <n v="2016.94"/>
    <n v="1357.15"/>
    <n v="1967.72"/>
    <n v="1530.69"/>
    <n v="19265.710000000003"/>
    <n v="437.03"/>
  </r>
  <r>
    <x v="5"/>
    <x v="3"/>
    <x v="0"/>
    <s v="4510101"/>
    <n v="700032"/>
    <s v="Salaries-Other Pat Care Providers-Productive"/>
    <s v="Pre-Admission Clinic"/>
    <x v="0"/>
    <m/>
    <n v="6142.57"/>
    <n v="8080.58"/>
    <n v="5811.63"/>
    <n v="5733.25"/>
    <n v="8631.3799999999992"/>
    <n v="5748.14"/>
    <n v="7011.32"/>
    <n v="6687.19"/>
    <n v="8400.85"/>
    <n v="4803.3"/>
    <n v="9169.57"/>
    <n v="6285"/>
    <n v="82504.78"/>
    <n v="2884.5699999999997"/>
  </r>
  <r>
    <x v="5"/>
    <x v="3"/>
    <x v="0"/>
    <s v="4510101"/>
    <n v="700032"/>
    <s v="Salaries-Other Pat Care Providers-OT"/>
    <s v="Pre-Admission Clinic"/>
    <x v="0"/>
    <n v="1000"/>
    <n v="173.4"/>
    <n v="244.2"/>
    <n v="236.86"/>
    <n v="1450.19"/>
    <n v="-206.65"/>
    <n v="215.06"/>
    <n v="200.82"/>
    <n v="201.69"/>
    <n v="1190.08"/>
    <n v="965.32"/>
    <n v="-343.65"/>
    <n v="359.12"/>
    <n v="4686.4400000000005"/>
    <n v="-702.77"/>
  </r>
  <r>
    <x v="5"/>
    <x v="3"/>
    <x v="0"/>
    <s v="4510101"/>
    <n v="700032"/>
    <s v="Salaries-Other Pat Care Providers-Other"/>
    <s v="Pre-Admission Clinic"/>
    <x v="0"/>
    <n v="2000"/>
    <n v="0"/>
    <n v="3.12"/>
    <n v="-0.93"/>
    <n v="0"/>
    <n v="0"/>
    <n v="0"/>
    <n v="0"/>
    <n v="0"/>
    <n v="12.73"/>
    <n v="-4.62"/>
    <n v="7.87"/>
    <n v="0"/>
    <n v="18.170000000000002"/>
    <n v="7.87"/>
  </r>
  <r>
    <x v="5"/>
    <x v="3"/>
    <x v="0"/>
    <s v="4510101"/>
    <n v="700054"/>
    <s v="Salaries-Management-NonProd-Other"/>
    <s v="Pre-Admission Clinic"/>
    <x v="0"/>
    <n v="2000"/>
    <n v="0"/>
    <n v="0"/>
    <n v="0"/>
    <n v="0"/>
    <n v="0"/>
    <n v="3279.73"/>
    <n v="-3279.73"/>
    <n v="0"/>
    <n v="0"/>
    <n v="0"/>
    <n v="0"/>
    <n v="0"/>
    <n v="0"/>
    <n v="0"/>
  </r>
  <r>
    <x v="5"/>
    <x v="3"/>
    <x v="0"/>
    <s v="4510101"/>
    <n v="700066"/>
    <s v="Salaries-RN-Non-productive"/>
    <s v="Pre-Admission Clinic"/>
    <x v="0"/>
    <m/>
    <n v="14367.35"/>
    <n v="5371.61"/>
    <n v="5379.36"/>
    <n v="5208.7"/>
    <n v="10443.98"/>
    <n v="17814.990000000002"/>
    <n v="11099.52"/>
    <n v="17440.28"/>
    <n v="2537.35"/>
    <n v="5336.68"/>
    <n v="7380.94"/>
    <n v="15881.71"/>
    <n v="118262.47"/>
    <n v="-8500.77"/>
  </r>
  <r>
    <x v="5"/>
    <x v="3"/>
    <x v="0"/>
    <s v="4510101"/>
    <n v="700066"/>
    <s v="Salaries-RN-NonProd-Other"/>
    <s v="Pre-Admission Clinic"/>
    <x v="0"/>
    <n v="2000"/>
    <n v="47.28"/>
    <n v="28.72"/>
    <n v="228.51"/>
    <n v="-16.690000000000001"/>
    <n v="28.99"/>
    <n v="447.86"/>
    <n v="13.44"/>
    <n v="-216.48"/>
    <n v="21.09"/>
    <n v="46.8"/>
    <n v="319.67"/>
    <n v="132.63"/>
    <n v="1081.8200000000002"/>
    <n v="187.04000000000002"/>
  </r>
  <r>
    <x v="5"/>
    <x v="3"/>
    <x v="0"/>
    <s v="4510101"/>
    <n v="700072"/>
    <s v="Salaries-Other Pat Care Providers-Non-productive"/>
    <s v="Pre-Admission Clinic"/>
    <x v="0"/>
    <m/>
    <n v="1406.44"/>
    <n v="602.02"/>
    <n v="2645.42"/>
    <n v="2795.12"/>
    <n v="-20.56"/>
    <n v="1658"/>
    <n v="1618.76"/>
    <n v="478.76"/>
    <n v="187.22"/>
    <n v="3851.16"/>
    <n v="-11.53"/>
    <n v="2246.52"/>
    <n v="17457.329999999998"/>
    <n v="-2258.0500000000002"/>
  </r>
  <r>
    <x v="5"/>
    <x v="3"/>
    <x v="0"/>
    <s v="4510101"/>
    <n v="700072"/>
    <s v="Salaries-Other Pat Care Providers-NonProd-Other"/>
    <s v="Pre-Admission Clinic"/>
    <x v="0"/>
    <n v="2000"/>
    <n v="0"/>
    <n v="17.45"/>
    <n v="-5.23"/>
    <n v="0"/>
    <n v="1233.74"/>
    <n v="2467.48"/>
    <n v="0"/>
    <n v="-3701.22"/>
    <n v="0"/>
    <n v="0"/>
    <n v="0"/>
    <n v="0"/>
    <n v="12.220000000000255"/>
    <n v="0"/>
  </r>
  <r>
    <x v="5"/>
    <x v="3"/>
    <x v="0"/>
    <s v="4510101"/>
    <n v="700084"/>
    <s v="Accrued PTO"/>
    <s v="Pre-Admission Clinic"/>
    <x v="0"/>
    <m/>
    <n v="4397.1499999999996"/>
    <n v="-6757.01"/>
    <n v="-1217.19"/>
    <n v="5694.18"/>
    <n v="1514.55"/>
    <n v="-4699.72"/>
    <n v="-3677.69"/>
    <n v="-2798.18"/>
    <n v="3483.59"/>
    <n v="1721.27"/>
    <n v="1178.8800000000001"/>
    <n v="2314.0300000000002"/>
    <n v="1153.8599999999988"/>
    <n v="-1135.1500000000001"/>
  </r>
  <r>
    <x v="6"/>
    <x v="3"/>
    <x v="0"/>
    <s v="4510101"/>
    <n v="713010"/>
    <s v="Benefits-FICA/Medicare"/>
    <s v="Pre-Admission Clinic"/>
    <x v="0"/>
    <m/>
    <n v="5385.49"/>
    <n v="5685.49"/>
    <n v="4863.1899999999996"/>
    <n v="5716.02"/>
    <n v="6032.43"/>
    <n v="5703.77"/>
    <n v="6473.01"/>
    <n v="5215.45"/>
    <n v="6400.41"/>
    <n v="5542.78"/>
    <n v="6252.09"/>
    <n v="6067.23"/>
    <n v="69337.359999999986"/>
    <n v="184.86000000000058"/>
  </r>
  <r>
    <x v="6"/>
    <x v="3"/>
    <x v="0"/>
    <s v="4510101"/>
    <n v="713090"/>
    <s v="Benefits-Allocated Amounts"/>
    <s v="Pre-Admission Clinic"/>
    <x v="0"/>
    <m/>
    <n v="13990.32"/>
    <n v="11324.79"/>
    <n v="12855.18"/>
    <n v="14685.22"/>
    <n v="14702.18"/>
    <n v="13279.2"/>
    <n v="15831.36"/>
    <n v="14138.68"/>
    <n v="13322.94"/>
    <n v="14849.72"/>
    <n v="17060.28"/>
    <n v="16402.47"/>
    <n v="172442.34"/>
    <n v="657.80999999999767"/>
  </r>
  <r>
    <x v="7"/>
    <x v="3"/>
    <x v="0"/>
    <s v="4510101"/>
    <n v="718050"/>
    <s v="Translation Services"/>
    <s v="Pre-Admission Clinic"/>
    <x v="0"/>
    <n v="1025"/>
    <n v="0"/>
    <n v="0"/>
    <n v="0"/>
    <n v="0"/>
    <n v="0"/>
    <n v="168.27"/>
    <n v="0"/>
    <n v="0"/>
    <n v="0"/>
    <n v="0"/>
    <n v="0"/>
    <n v="0"/>
    <n v="168.27"/>
    <n v="0"/>
  </r>
  <r>
    <x v="11"/>
    <x v="3"/>
    <x v="0"/>
    <s v="4510101"/>
    <n v="721010"/>
    <s v="Supplies-Medical - Billable"/>
    <s v="Pre-Admission Clinic"/>
    <x v="0"/>
    <m/>
    <n v="402"/>
    <n v="840.85"/>
    <n v="1333.3"/>
    <n v="884.4"/>
    <n v="931.34"/>
    <n v="884.4"/>
    <n v="643.9"/>
    <n v="663.3"/>
    <n v="1467.3"/>
    <n v="207.7"/>
    <n v="1588.15"/>
    <n v="944.7"/>
    <n v="10791.34"/>
    <n v="643.45000000000005"/>
  </r>
  <r>
    <x v="11"/>
    <x v="3"/>
    <x v="0"/>
    <s v="4510101"/>
    <n v="721010"/>
    <s v="Patient Monitoring"/>
    <s v="Pre-Admission Clinic"/>
    <x v="0"/>
    <n v="1000"/>
    <n v="0"/>
    <n v="0"/>
    <n v="0"/>
    <n v="0"/>
    <n v="0.88"/>
    <n v="0"/>
    <n v="0"/>
    <n v="0"/>
    <n v="0"/>
    <n v="0"/>
    <n v="0"/>
    <n v="0"/>
    <n v="0.88"/>
    <n v="0"/>
  </r>
  <r>
    <x v="11"/>
    <x v="3"/>
    <x v="0"/>
    <s v="4510101"/>
    <n v="721410"/>
    <s v="Supplies-Medical - Nonbillable"/>
    <s v="Pre-Admission Clinic"/>
    <x v="0"/>
    <m/>
    <n v="107.09"/>
    <n v="112.03"/>
    <n v="205.19"/>
    <n v="290.47000000000003"/>
    <n v="274.89999999999998"/>
    <n v="123.84"/>
    <n v="497.4"/>
    <n v="141.87"/>
    <n v="606.97"/>
    <n v="88.95"/>
    <n v="458.83"/>
    <n v="308.98"/>
    <n v="3216.52"/>
    <n v="149.84999999999997"/>
  </r>
  <r>
    <x v="11"/>
    <x v="3"/>
    <x v="0"/>
    <s v="4510101"/>
    <n v="721420"/>
    <s v="Supplies-Surgical Nonbillable"/>
    <s v="Pre-Admission Clinic"/>
    <x v="0"/>
    <m/>
    <n v="1.82"/>
    <n v="1.82"/>
    <n v="0"/>
    <n v="0"/>
    <n v="0"/>
    <n v="0"/>
    <n v="1.82"/>
    <n v="0"/>
    <n v="0"/>
    <n v="0"/>
    <n v="0"/>
    <n v="0"/>
    <n v="5.46"/>
    <n v="0"/>
  </r>
  <r>
    <x v="11"/>
    <x v="3"/>
    <x v="0"/>
    <s v="4510101"/>
    <n v="721710"/>
    <s v="Supplies-Laboratory - Nonbillable"/>
    <s v="Pre-Admission Clinic"/>
    <x v="0"/>
    <m/>
    <n v="20.9"/>
    <n v="41.8"/>
    <n v="7.8"/>
    <n v="11.71"/>
    <n v="20.9"/>
    <n v="0"/>
    <n v="17.559999999999999"/>
    <n v="20.9"/>
    <n v="21.31"/>
    <n v="21.31"/>
    <n v="17.899999999999999"/>
    <n v="29.39"/>
    <n v="231.48000000000002"/>
    <n v="-11.490000000000002"/>
  </r>
  <r>
    <x v="11"/>
    <x v="3"/>
    <x v="0"/>
    <s v="4510101"/>
    <n v="721810"/>
    <s v="Supplies-Dietary/Cafeteria"/>
    <s v="Pre-Admission Clinic"/>
    <x v="0"/>
    <m/>
    <n v="26.41"/>
    <n v="1.93"/>
    <n v="2.84"/>
    <n v="0"/>
    <n v="15.89"/>
    <n v="3.79"/>
    <n v="16.079999999999998"/>
    <n v="4.4000000000000004"/>
    <n v="14.22"/>
    <n v="0"/>
    <n v="47.84"/>
    <n v="0"/>
    <n v="133.4"/>
    <n v="47.84"/>
  </r>
  <r>
    <x v="11"/>
    <x v="3"/>
    <x v="0"/>
    <s v="4510101"/>
    <n v="721830"/>
    <s v="Supplies-Office"/>
    <s v="Pre-Admission Clinic"/>
    <x v="0"/>
    <m/>
    <n v="224.24"/>
    <n v="1445.32"/>
    <n v="320.36"/>
    <n v="458.18"/>
    <n v="206.79"/>
    <n v="123.64"/>
    <n v="135.93"/>
    <n v="4.1500000000000004"/>
    <n v="127.12"/>
    <n v="242.32"/>
    <n v="8.56"/>
    <n v="0"/>
    <n v="3296.6099999999997"/>
    <n v="8.56"/>
  </r>
  <r>
    <x v="11"/>
    <x v="3"/>
    <x v="0"/>
    <s v="4510101"/>
    <n v="721835"/>
    <s v="Supplies-Forms"/>
    <s v="Pre-Admission Clinic"/>
    <x v="0"/>
    <m/>
    <n v="0"/>
    <n v="0"/>
    <n v="0"/>
    <n v="0"/>
    <n v="531.11"/>
    <n v="57.2"/>
    <n v="69.83"/>
    <n v="0"/>
    <n v="106.68"/>
    <n v="156.22"/>
    <n v="25.02"/>
    <n v="241.4"/>
    <n v="1187.4600000000003"/>
    <n v="-216.38"/>
  </r>
  <r>
    <x v="11"/>
    <x v="3"/>
    <x v="0"/>
    <s v="4510101"/>
    <n v="721870"/>
    <s v="Supplies-Environmental Services"/>
    <s v="Pre-Admission Clinic"/>
    <x v="0"/>
    <m/>
    <n v="22.75"/>
    <n v="19.77"/>
    <n v="48.02"/>
    <n v="0"/>
    <n v="0"/>
    <n v="0"/>
    <n v="19.21"/>
    <n v="0"/>
    <n v="38.409999999999997"/>
    <n v="0"/>
    <n v="0"/>
    <n v="0"/>
    <n v="148.16"/>
    <n v="0"/>
  </r>
  <r>
    <x v="11"/>
    <x v="3"/>
    <x v="0"/>
    <s v="4510101"/>
    <n v="721910"/>
    <s v="Supplies-Small Equipment"/>
    <s v="Pre-Admission Clinic"/>
    <x v="0"/>
    <m/>
    <n v="0"/>
    <n v="0"/>
    <n v="0"/>
    <n v="711.22"/>
    <n v="12.03"/>
    <n v="26.16"/>
    <n v="0"/>
    <n v="4.49"/>
    <n v="0"/>
    <n v="0"/>
    <n v="137.82"/>
    <n v="0"/>
    <n v="891.72"/>
    <n v="137.82"/>
  </r>
  <r>
    <x v="11"/>
    <x v="3"/>
    <x v="0"/>
    <s v="4510101"/>
    <n v="721980"/>
    <s v="Supplies-Other"/>
    <s v="Pre-Admission Clinic"/>
    <x v="0"/>
    <m/>
    <n v="0"/>
    <n v="0"/>
    <n v="0"/>
    <n v="0"/>
    <n v="0"/>
    <n v="0"/>
    <n v="257.63"/>
    <n v="0"/>
    <n v="105.19"/>
    <n v="0"/>
    <n v="0"/>
    <n v="0"/>
    <n v="362.82"/>
    <n v="0"/>
  </r>
  <r>
    <x v="11"/>
    <x v="3"/>
    <x v="0"/>
    <s v="4510101"/>
    <n v="722000"/>
    <s v="Supplies-Freight Expense"/>
    <s v="Pre-Admission Clinic"/>
    <x v="0"/>
    <m/>
    <n v="0"/>
    <n v="0"/>
    <n v="0"/>
    <n v="8.86"/>
    <n v="7.99"/>
    <n v="0"/>
    <n v="0"/>
    <n v="0"/>
    <n v="0"/>
    <n v="9.35"/>
    <n v="0"/>
    <n v="0"/>
    <n v="26.200000000000003"/>
    <n v="0"/>
  </r>
  <r>
    <x v="12"/>
    <x v="3"/>
    <x v="0"/>
    <s v="4510101"/>
    <n v="730020"/>
    <s v="Rental and Leases-Copier Usage Fees (DO NOT USE)"/>
    <s v="Pre-Admission Clinic"/>
    <x v="0"/>
    <n v="5100"/>
    <n v="146.85"/>
    <n v="152.41"/>
    <n v="149.63"/>
    <n v="149.63"/>
    <n v="149.63"/>
    <n v="149.63"/>
    <n v="58.61"/>
    <n v="144.21"/>
    <n v="143.9"/>
    <n v="147.21"/>
    <n v="144.21"/>
    <n v="163.5"/>
    <n v="1699.42"/>
    <n v="-19.289999999999992"/>
  </r>
  <r>
    <x v="15"/>
    <x v="3"/>
    <x v="0"/>
    <s v="4510101"/>
    <n v="731060"/>
    <s v="Cell Phones"/>
    <s v="Pre-Admission Clinic"/>
    <x v="0"/>
    <n v="1001"/>
    <n v="0"/>
    <n v="33"/>
    <n v="66"/>
    <n v="0"/>
    <n v="32.49"/>
    <n v="33.1"/>
    <n v="66.14"/>
    <n v="0"/>
    <n v="33.57"/>
    <n v="66.260000000000005"/>
    <n v="32.49"/>
    <n v="33.14"/>
    <n v="396.19"/>
    <n v="-0.64999999999999858"/>
  </r>
  <r>
    <x v="13"/>
    <x v="3"/>
    <x v="0"/>
    <s v="4510101"/>
    <n v="735070"/>
    <s v="Depreciation-Movable Equipment"/>
    <s v="Pre-Admission Clinic"/>
    <x v="0"/>
    <m/>
    <n v="991.4"/>
    <n v="991.4"/>
    <n v="991.4"/>
    <n v="991.4"/>
    <n v="991.4"/>
    <n v="991.4"/>
    <n v="991.4"/>
    <n v="991.4"/>
    <n v="991.4"/>
    <n v="991.4"/>
    <n v="991.4"/>
    <n v="991.39"/>
    <n v="11896.789999999997"/>
    <n v="9.9999999999909051E-3"/>
  </r>
  <r>
    <x v="0"/>
    <x v="3"/>
    <x v="0"/>
    <s v="4510101"/>
    <n v="749510"/>
    <s v="Miscellaneous Expenses"/>
    <s v="Pre-Admission Clinic"/>
    <x v="0"/>
    <m/>
    <n v="0"/>
    <n v="0"/>
    <n v="2648.28"/>
    <n v="267.48"/>
    <n v="0"/>
    <n v="0"/>
    <n v="38.83"/>
    <n v="0"/>
    <n v="25.07"/>
    <n v="0"/>
    <n v="0"/>
    <n v="0"/>
    <n v="2979.6600000000003"/>
    <n v="0"/>
  </r>
  <r>
    <x v="0"/>
    <x v="3"/>
    <x v="0"/>
    <s v="4510101"/>
    <n v="749510"/>
    <s v="RICE Rewards"/>
    <s v="Pre-Admission Clinic"/>
    <x v="0"/>
    <n v="5100"/>
    <n v="0"/>
    <n v="0"/>
    <n v="0"/>
    <n v="0"/>
    <n v="0"/>
    <n v="276.17"/>
    <n v="0"/>
    <n v="0"/>
    <n v="0"/>
    <n v="0"/>
    <n v="0"/>
    <n v="0"/>
    <n v="276.17"/>
    <n v="0"/>
  </r>
  <r>
    <x v="7"/>
    <x v="0"/>
    <x v="0"/>
    <s v="4510102"/>
    <n v="718050"/>
    <s v="Document Shredding/Storage"/>
    <s v="Pre-Admission Clinic"/>
    <x v="0"/>
    <n v="1012"/>
    <n v="0.52"/>
    <n v="0.53"/>
    <n v="0.5"/>
    <n v="0.51"/>
    <n v="0.52"/>
    <n v="0.52"/>
    <n v="0.51"/>
    <n v="0.44"/>
    <n v="0.45"/>
    <n v="0.62"/>
    <n v="0.51"/>
    <n v="0.52"/>
    <n v="6.15"/>
    <n v="-1.0000000000000009E-2"/>
  </r>
  <r>
    <x v="11"/>
    <x v="0"/>
    <x v="0"/>
    <s v="4510102"/>
    <n v="721410"/>
    <s v="Supplies-Medical - Nonbillable"/>
    <s v="Pre-Admission Clinic"/>
    <x v="0"/>
    <m/>
    <n v="0"/>
    <n v="0"/>
    <n v="0"/>
    <n v="0"/>
    <n v="0"/>
    <n v="0"/>
    <n v="0"/>
    <n v="0"/>
    <n v="0"/>
    <n v="440.2"/>
    <n v="0"/>
    <n v="0"/>
    <n v="440.2"/>
    <n v="0"/>
  </r>
  <r>
    <x v="11"/>
    <x v="0"/>
    <x v="0"/>
    <s v="4510102"/>
    <n v="721810"/>
    <s v="Supplies-Dietary/Cafeteria"/>
    <s v="Pre-Admission Clinic"/>
    <x v="0"/>
    <m/>
    <n v="0"/>
    <n v="0"/>
    <n v="0"/>
    <n v="0"/>
    <n v="0"/>
    <n v="0"/>
    <n v="2.15"/>
    <n v="0"/>
    <n v="0"/>
    <n v="0"/>
    <n v="30.24"/>
    <n v="0"/>
    <n v="32.39"/>
    <n v="30.24"/>
  </r>
  <r>
    <x v="11"/>
    <x v="0"/>
    <x v="0"/>
    <s v="4510102"/>
    <n v="721830"/>
    <s v="Supplies-Office"/>
    <s v="Pre-Admission Clinic"/>
    <x v="0"/>
    <m/>
    <n v="0"/>
    <n v="0"/>
    <n v="0"/>
    <n v="0"/>
    <n v="0"/>
    <n v="0"/>
    <n v="0"/>
    <n v="0"/>
    <n v="0"/>
    <n v="0"/>
    <n v="138.86000000000001"/>
    <n v="0"/>
    <n v="138.86000000000001"/>
    <n v="138.86000000000001"/>
  </r>
  <r>
    <x v="12"/>
    <x v="0"/>
    <x v="0"/>
    <s v="4510102"/>
    <n v="730020"/>
    <s v="Rental and Leases-Copier Usage Fees (DO NOT USE)"/>
    <s v="Pre-Admission Clinic"/>
    <x v="0"/>
    <n v="5100"/>
    <n v="58.88"/>
    <n v="58.58"/>
    <n v="58.73"/>
    <n v="58.72"/>
    <n v="58.72"/>
    <n v="58.73"/>
    <n v="66.349999999999994"/>
    <n v="61.33"/>
    <n v="61.2"/>
    <n v="61.46"/>
    <n v="61.33"/>
    <n v="91.34"/>
    <n v="755.37000000000012"/>
    <n v="-30.010000000000005"/>
  </r>
  <r>
    <x v="15"/>
    <x v="0"/>
    <x v="0"/>
    <s v="4510102"/>
    <n v="731060"/>
    <s v="Cell Phones"/>
    <s v="Pre-Admission Clinic"/>
    <x v="0"/>
    <n v="1001"/>
    <n v="0"/>
    <n v="114.46"/>
    <n v="26.42"/>
    <n v="0"/>
    <n v="26.47"/>
    <n v="26.98"/>
    <n v="55.11"/>
    <n v="0"/>
    <n v="28.08"/>
    <n v="54.13"/>
    <n v="26.47"/>
    <n v="26.74"/>
    <n v="384.86"/>
    <n v="-0.26999999999999957"/>
  </r>
  <r>
    <x v="11"/>
    <x v="4"/>
    <x v="0"/>
    <s v="4510103"/>
    <n v="721010"/>
    <s v="Supplies-Medical - Billable"/>
    <s v="Pre-Admission Clinic"/>
    <x v="0"/>
    <m/>
    <n v="251.25"/>
    <n v="207.7"/>
    <n v="127.3"/>
    <n v="134"/>
    <n v="134"/>
    <n v="46.9"/>
    <n v="227.8"/>
    <n v="110.55"/>
    <n v="130.65"/>
    <n v="194.3"/>
    <n v="157.44999999999999"/>
    <n v="40.200000000000003"/>
    <n v="1762.1000000000001"/>
    <n v="117.24999999999999"/>
  </r>
  <r>
    <x v="11"/>
    <x v="4"/>
    <x v="0"/>
    <s v="4510103"/>
    <n v="721010"/>
    <s v="Patient Monitoring"/>
    <s v="Pre-Admission Clinic"/>
    <x v="0"/>
    <n v="1000"/>
    <n v="0"/>
    <n v="0"/>
    <n v="0"/>
    <n v="0"/>
    <n v="17.86"/>
    <n v="0"/>
    <n v="0"/>
    <n v="0"/>
    <n v="0"/>
    <n v="0"/>
    <n v="0"/>
    <n v="0"/>
    <n v="17.86"/>
    <n v="0"/>
  </r>
  <r>
    <x v="11"/>
    <x v="4"/>
    <x v="0"/>
    <s v="4510103"/>
    <n v="721410"/>
    <s v="Supplies-Medical - Nonbillable"/>
    <s v="Pre-Admission Clinic"/>
    <x v="0"/>
    <m/>
    <n v="13.9"/>
    <n v="6.95"/>
    <n v="0"/>
    <n v="0"/>
    <n v="0"/>
    <n v="0"/>
    <n v="0"/>
    <n v="0"/>
    <n v="0"/>
    <n v="0"/>
    <n v="0"/>
    <n v="0"/>
    <n v="20.85"/>
    <n v="0"/>
  </r>
  <r>
    <x v="11"/>
    <x v="4"/>
    <x v="0"/>
    <s v="4510103"/>
    <n v="721710"/>
    <s v="Supplies-Laboratory - Nonbillable"/>
    <s v="Pre-Admission Clinic"/>
    <x v="0"/>
    <m/>
    <n v="0"/>
    <n v="0"/>
    <n v="0"/>
    <n v="0"/>
    <n v="0"/>
    <n v="0"/>
    <n v="0"/>
    <n v="0"/>
    <n v="0"/>
    <n v="0"/>
    <n v="6"/>
    <n v="0"/>
    <n v="6"/>
    <n v="6"/>
  </r>
  <r>
    <x v="11"/>
    <x v="4"/>
    <x v="0"/>
    <s v="4510103"/>
    <n v="721810"/>
    <s v="Supplies-Dietary/Cafeteria"/>
    <s v="Pre-Admission Clinic"/>
    <x v="0"/>
    <m/>
    <n v="0"/>
    <n v="0"/>
    <n v="0"/>
    <n v="4.7300000000000004"/>
    <n v="0"/>
    <n v="0"/>
    <n v="0"/>
    <n v="0"/>
    <n v="7.23"/>
    <n v="10.49"/>
    <n v="0"/>
    <n v="0"/>
    <n v="22.450000000000003"/>
    <n v="0"/>
  </r>
  <r>
    <x v="11"/>
    <x v="4"/>
    <x v="0"/>
    <s v="4510103"/>
    <n v="721830"/>
    <s v="Supplies-Office"/>
    <s v="Pre-Admission Clinic"/>
    <x v="0"/>
    <m/>
    <n v="128"/>
    <n v="0"/>
    <n v="191.14"/>
    <n v="0"/>
    <n v="0"/>
    <n v="0"/>
    <n v="0"/>
    <n v="0"/>
    <n v="0"/>
    <n v="0"/>
    <n v="0"/>
    <n v="0"/>
    <n v="319.14"/>
    <n v="0"/>
  </r>
  <r>
    <x v="11"/>
    <x v="4"/>
    <x v="0"/>
    <s v="4510103"/>
    <n v="721870"/>
    <s v="Supplies-Environmental Services"/>
    <s v="Pre-Admission Clinic"/>
    <x v="0"/>
    <m/>
    <n v="0"/>
    <n v="8.24"/>
    <n v="0"/>
    <n v="20.7"/>
    <n v="0"/>
    <n v="0"/>
    <n v="0"/>
    <n v="0"/>
    <n v="62.1"/>
    <n v="0"/>
    <n v="0"/>
    <n v="0"/>
    <n v="91.039999999999992"/>
    <n v="0"/>
  </r>
  <r>
    <x v="11"/>
    <x v="4"/>
    <x v="0"/>
    <s v="4510103"/>
    <n v="721910"/>
    <s v="Supplies-Small Equipment"/>
    <s v="Pre-Admission Clinic"/>
    <x v="0"/>
    <m/>
    <n v="0"/>
    <n v="0"/>
    <n v="0"/>
    <n v="0"/>
    <n v="0"/>
    <n v="0"/>
    <n v="7.2"/>
    <n v="0"/>
    <n v="0"/>
    <n v="0"/>
    <n v="0"/>
    <n v="0"/>
    <n v="7.2"/>
    <n v="0"/>
  </r>
  <r>
    <x v="12"/>
    <x v="4"/>
    <x v="0"/>
    <s v="4510103"/>
    <n v="730020"/>
    <s v="Rental and Leases-Copier Usage Fees (DO NOT USE)"/>
    <s v="Pre-Admission Clinic"/>
    <x v="0"/>
    <n v="5100"/>
    <n v="42.27"/>
    <n v="42.02"/>
    <n v="42.15"/>
    <n v="42.15"/>
    <n v="42.15"/>
    <n v="42.15"/>
    <n v="286.13"/>
    <n v="53.15"/>
    <n v="53.04"/>
    <n v="91.72"/>
    <n v="53.15"/>
    <n v="73.94"/>
    <n v="864.02"/>
    <n v="-20.79"/>
  </r>
  <r>
    <x v="7"/>
    <x v="8"/>
    <x v="0"/>
    <s v="4510104"/>
    <n v="718050"/>
    <s v="Translation Services"/>
    <s v="Pre-Admission Clinic"/>
    <x v="0"/>
    <n v="1025"/>
    <n v="0"/>
    <n v="0"/>
    <n v="0"/>
    <n v="0"/>
    <n v="31.21"/>
    <n v="0"/>
    <n v="0"/>
    <n v="0"/>
    <n v="0"/>
    <n v="0"/>
    <n v="0"/>
    <n v="0"/>
    <n v="31.21"/>
    <n v="0"/>
  </r>
  <r>
    <x v="7"/>
    <x v="8"/>
    <x v="0"/>
    <s v="4510104"/>
    <n v="718050"/>
    <s v="Contract Management--Linen"/>
    <s v="Pre-Admission Clinic"/>
    <x v="0"/>
    <n v="1026"/>
    <n v="8.32"/>
    <n v="0"/>
    <n v="0"/>
    <n v="0"/>
    <n v="11.04"/>
    <n v="-0.46"/>
    <n v="0"/>
    <n v="1.1399999999999999"/>
    <n v="8.25"/>
    <n v="9.8699999999999992"/>
    <n v="-8.92"/>
    <n v="9.94"/>
    <n v="39.179999999999993"/>
    <n v="-18.86"/>
  </r>
  <r>
    <x v="11"/>
    <x v="8"/>
    <x v="0"/>
    <s v="4510104"/>
    <n v="721010"/>
    <s v="Supplies-Medical - Billable"/>
    <s v="Pre-Admission Clinic"/>
    <x v="0"/>
    <m/>
    <n v="361.8"/>
    <n v="241.2"/>
    <n v="264.64999999999998"/>
    <n v="321.60000000000002"/>
    <n v="291.45"/>
    <n v="147.4"/>
    <n v="479.05"/>
    <n v="241.2"/>
    <n v="321.60000000000002"/>
    <n v="241.2"/>
    <n v="190.95"/>
    <n v="247.9"/>
    <n v="3349.9999999999995"/>
    <n v="-56.950000000000017"/>
  </r>
  <r>
    <x v="11"/>
    <x v="8"/>
    <x v="0"/>
    <s v="4510104"/>
    <n v="721010"/>
    <s v="Patient Monitoring"/>
    <s v="Pre-Admission Clinic"/>
    <x v="0"/>
    <n v="1000"/>
    <n v="17.86"/>
    <n v="0"/>
    <n v="0"/>
    <n v="0"/>
    <n v="0"/>
    <n v="0"/>
    <n v="17.86"/>
    <n v="0"/>
    <n v="0"/>
    <n v="0"/>
    <n v="0"/>
    <n v="0"/>
    <n v="35.72"/>
    <n v="0"/>
  </r>
  <r>
    <x v="11"/>
    <x v="8"/>
    <x v="0"/>
    <s v="4510104"/>
    <n v="721410"/>
    <s v="Supplies-Medical - Nonbillable"/>
    <s v="Pre-Admission Clinic"/>
    <x v="0"/>
    <m/>
    <n v="395.17"/>
    <n v="6.95"/>
    <n v="0"/>
    <n v="0"/>
    <n v="6.95"/>
    <n v="1.38"/>
    <n v="2.02"/>
    <n v="3.8"/>
    <n v="7.62"/>
    <n v="-74.209999999999994"/>
    <n v="15.58"/>
    <n v="0"/>
    <n v="365.26"/>
    <n v="15.58"/>
  </r>
  <r>
    <x v="11"/>
    <x v="8"/>
    <x v="0"/>
    <s v="4510104"/>
    <n v="721810"/>
    <s v="Supplies-Dietary/Cafeteria"/>
    <s v="Pre-Admission Clinic"/>
    <x v="0"/>
    <m/>
    <n v="0"/>
    <n v="1.82"/>
    <n v="0"/>
    <n v="0"/>
    <n v="0"/>
    <n v="0"/>
    <n v="0"/>
    <n v="0"/>
    <n v="0"/>
    <n v="0"/>
    <n v="0"/>
    <n v="0"/>
    <n v="1.82"/>
    <n v="0"/>
  </r>
  <r>
    <x v="11"/>
    <x v="8"/>
    <x v="0"/>
    <s v="4510104"/>
    <n v="721830"/>
    <s v="Supplies-Office"/>
    <s v="Pre-Admission Clinic"/>
    <x v="0"/>
    <m/>
    <n v="217.56"/>
    <n v="0"/>
    <n v="0"/>
    <n v="0"/>
    <n v="0"/>
    <n v="0"/>
    <n v="0"/>
    <n v="0"/>
    <n v="0"/>
    <n v="0"/>
    <n v="0"/>
    <n v="0"/>
    <n v="217.56"/>
    <n v="0"/>
  </r>
  <r>
    <x v="11"/>
    <x v="8"/>
    <x v="0"/>
    <s v="4510104"/>
    <n v="721835"/>
    <s v="Supplies-Forms"/>
    <s v="Pre-Admission Clinic"/>
    <x v="0"/>
    <m/>
    <n v="0"/>
    <n v="0"/>
    <n v="0"/>
    <n v="0"/>
    <n v="296"/>
    <n v="148"/>
    <n v="0"/>
    <n v="0"/>
    <n v="0"/>
    <n v="0"/>
    <n v="151"/>
    <n v="0"/>
    <n v="595"/>
    <n v="151"/>
  </r>
  <r>
    <x v="11"/>
    <x v="8"/>
    <x v="0"/>
    <s v="4510104"/>
    <n v="721870"/>
    <s v="Supplies-Environmental Services"/>
    <s v="Pre-Admission Clinic"/>
    <x v="0"/>
    <m/>
    <n v="8.49"/>
    <n v="13.29"/>
    <n v="0"/>
    <n v="1.23"/>
    <n v="5.04"/>
    <n v="1.23"/>
    <n v="16.12"/>
    <n v="2.46"/>
    <n v="6.03"/>
    <n v="2.46"/>
    <n v="4.92"/>
    <n v="0"/>
    <n v="61.27000000000001"/>
    <n v="4.92"/>
  </r>
  <r>
    <x v="5"/>
    <x v="6"/>
    <x v="0"/>
    <s v="4510107"/>
    <n v="700018"/>
    <s v="Salaries-Supervisory-Productive"/>
    <s v="BR/SD Pre-Admit"/>
    <x v="0"/>
    <m/>
    <n v="0"/>
    <n v="0"/>
    <n v="0"/>
    <n v="0"/>
    <n v="0"/>
    <n v="905.29"/>
    <n v="513.83000000000004"/>
    <n v="846.2"/>
    <n v="1359.95"/>
    <n v="906.6"/>
    <n v="120.93"/>
    <n v="1722.58"/>
    <n v="6375.38"/>
    <n v="-1601.6499999999999"/>
  </r>
  <r>
    <x v="5"/>
    <x v="6"/>
    <x v="0"/>
    <s v="4510107"/>
    <n v="700026"/>
    <s v="Salaries-RN-Productive"/>
    <s v="BR/SD Pre-Admit"/>
    <x v="0"/>
    <m/>
    <n v="35514.89"/>
    <n v="35548.46"/>
    <n v="35627.14"/>
    <n v="37086.089999999997"/>
    <n v="34790.870000000003"/>
    <n v="30115.55"/>
    <n v="35705.279999999999"/>
    <n v="30743.39"/>
    <n v="39261.14"/>
    <n v="37395.75"/>
    <n v="31134.89"/>
    <n v="35758.68"/>
    <n v="418682.13"/>
    <n v="-4623.7900000000009"/>
  </r>
  <r>
    <x v="5"/>
    <x v="6"/>
    <x v="0"/>
    <s v="4510107"/>
    <n v="700026"/>
    <s v="Salaries-RN-OT"/>
    <s v="BR/SD Pre-Admit"/>
    <x v="0"/>
    <n v="1000"/>
    <n v="1159.01"/>
    <n v="247.51"/>
    <n v="548.91999999999996"/>
    <n v="708.27"/>
    <n v="89.25"/>
    <n v="331.56"/>
    <n v="345.42"/>
    <n v="423.84"/>
    <n v="354.19"/>
    <n v="111.36"/>
    <n v="972.99"/>
    <n v="544.54999999999995"/>
    <n v="5836.87"/>
    <n v="428.44000000000005"/>
  </r>
  <r>
    <x v="5"/>
    <x v="6"/>
    <x v="0"/>
    <s v="4510107"/>
    <n v="700026"/>
    <s v="Salaries-RN-Other"/>
    <s v="BR/SD Pre-Admit"/>
    <x v="0"/>
    <n v="2000"/>
    <n v="1129.18"/>
    <n v="1399.96"/>
    <n v="856.02"/>
    <n v="839.41"/>
    <n v="865.41"/>
    <n v="883.61"/>
    <n v="911.28"/>
    <n v="884.32"/>
    <n v="930.9"/>
    <n v="1082.0999999999999"/>
    <n v="1212.04"/>
    <n v="1017.44"/>
    <n v="12011.67"/>
    <n v="194.59999999999991"/>
  </r>
  <r>
    <x v="5"/>
    <x v="6"/>
    <x v="0"/>
    <s v="4510107"/>
    <n v="700030"/>
    <s v="Salaries-LPN-Productive"/>
    <s v="BR/SD Pre-Admit"/>
    <x v="0"/>
    <m/>
    <n v="0"/>
    <n v="0"/>
    <n v="1058.05"/>
    <n v="-384.73"/>
    <n v="0"/>
    <n v="0"/>
    <n v="0"/>
    <n v="0"/>
    <n v="0"/>
    <n v="0"/>
    <n v="0"/>
    <n v="0"/>
    <n v="673.31999999999994"/>
    <n v="0"/>
  </r>
  <r>
    <x v="5"/>
    <x v="6"/>
    <x v="0"/>
    <s v="4510107"/>
    <n v="700030"/>
    <s v="Salaries-LPN-OT"/>
    <s v="BR/SD Pre-Admit"/>
    <x v="0"/>
    <n v="1000"/>
    <n v="0"/>
    <n v="0"/>
    <n v="159"/>
    <n v="-57.81"/>
    <n v="0"/>
    <n v="0"/>
    <n v="0"/>
    <n v="0"/>
    <n v="0"/>
    <n v="0"/>
    <n v="0"/>
    <n v="0"/>
    <n v="101.19"/>
    <n v="0"/>
  </r>
  <r>
    <x v="5"/>
    <x v="6"/>
    <x v="0"/>
    <s v="4510107"/>
    <n v="700032"/>
    <s v="Salaries-Other Pat Care Providers-Productive"/>
    <s v="BR/SD Pre-Admit"/>
    <x v="0"/>
    <m/>
    <n v="3201.97"/>
    <n v="3761.44"/>
    <n v="3735.21"/>
    <n v="3533.66"/>
    <n v="3626.96"/>
    <n v="3317.4"/>
    <n v="3626.13"/>
    <n v="3289.4"/>
    <n v="3765.96"/>
    <n v="3761.75"/>
    <n v="3647.56"/>
    <n v="3190.78"/>
    <n v="42458.22"/>
    <n v="456.77999999999975"/>
  </r>
  <r>
    <x v="5"/>
    <x v="6"/>
    <x v="0"/>
    <s v="4510107"/>
    <n v="700032"/>
    <s v="Salaries-Other Pat Care Providers-OT"/>
    <s v="BR/SD Pre-Admit"/>
    <x v="0"/>
    <n v="1000"/>
    <n v="212.97"/>
    <n v="1141.08"/>
    <n v="557.35"/>
    <n v="635.13"/>
    <n v="1440.69"/>
    <n v="39.81"/>
    <n v="855.41"/>
    <n v="484.63"/>
    <n v="531.05999999999995"/>
    <n v="809.06"/>
    <n v="1171.17"/>
    <n v="543.72"/>
    <n v="8422.08"/>
    <n v="627.45000000000005"/>
  </r>
  <r>
    <x v="5"/>
    <x v="6"/>
    <x v="0"/>
    <s v="4510107"/>
    <n v="700032"/>
    <s v="Salaries-Other Pat Care Providers-Other"/>
    <s v="BR/SD Pre-Admit"/>
    <x v="0"/>
    <n v="2000"/>
    <n v="0"/>
    <n v="0"/>
    <n v="0"/>
    <n v="0"/>
    <n v="0"/>
    <n v="1.85"/>
    <n v="0"/>
    <n v="0"/>
    <n v="0"/>
    <n v="0"/>
    <n v="0"/>
    <n v="0"/>
    <n v="1.85"/>
    <n v="0"/>
  </r>
  <r>
    <x v="5"/>
    <x v="6"/>
    <x v="0"/>
    <s v="4510107"/>
    <n v="700066"/>
    <s v="Salaries-RN-Non-productive"/>
    <s v="BR/SD Pre-Admit"/>
    <x v="0"/>
    <m/>
    <n v="5871.78"/>
    <n v="3953.23"/>
    <n v="4176.3900000000003"/>
    <n v="4244.9799999999996"/>
    <n v="3434"/>
    <n v="12478.06"/>
    <n v="3754.52"/>
    <n v="4610.26"/>
    <n v="904.49"/>
    <n v="2414.86"/>
    <n v="6573.46"/>
    <n v="4171.1899999999996"/>
    <n v="56587.22"/>
    <n v="2402.2700000000004"/>
  </r>
  <r>
    <x v="5"/>
    <x v="6"/>
    <x v="0"/>
    <s v="4510107"/>
    <n v="700066"/>
    <s v="Salaries-RN-NonProd-Other"/>
    <s v="BR/SD Pre-Admit"/>
    <x v="0"/>
    <n v="2000"/>
    <n v="279.56"/>
    <n v="-12.54"/>
    <n v="37.42"/>
    <n v="124.2"/>
    <n v="53.7"/>
    <n v="228.09"/>
    <n v="372.05"/>
    <n v="79.98"/>
    <n v="-25.37"/>
    <n v="29.92"/>
    <n v="70.31"/>
    <n v="147.51"/>
    <n v="1384.8300000000002"/>
    <n v="-77.199999999999989"/>
  </r>
  <r>
    <x v="5"/>
    <x v="6"/>
    <x v="0"/>
    <s v="4510107"/>
    <n v="700072"/>
    <s v="Salaries-Other Pat Care Providers-Non-productive"/>
    <s v="BR/SD Pre-Admit"/>
    <x v="0"/>
    <m/>
    <n v="1458.85"/>
    <n v="-88.22"/>
    <n v="313.41000000000003"/>
    <n v="653.30999999999995"/>
    <n v="-323.7"/>
    <n v="894.61"/>
    <n v="388.37"/>
    <n v="292.13"/>
    <n v="48.27"/>
    <n v="89.93"/>
    <n v="-37.46"/>
    <n v="724.17"/>
    <n v="4413.6699999999992"/>
    <n v="-761.63"/>
  </r>
  <r>
    <x v="5"/>
    <x v="6"/>
    <x v="0"/>
    <s v="4510107"/>
    <n v="700072"/>
    <s v="Salaries-Other Pat Care Providers-NonProd-Other"/>
    <s v="BR/SD Pre-Admi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510107"/>
    <n v="700084"/>
    <s v="Accrued PTO"/>
    <s v="BR/SD Pre-Admit"/>
    <x v="0"/>
    <m/>
    <n v="-1748.61"/>
    <n v="2915.5"/>
    <n v="2472.09"/>
    <n v="2646.75"/>
    <n v="2380.11"/>
    <n v="-5067.8"/>
    <n v="5009.49"/>
    <n v="587.38"/>
    <n v="2875.58"/>
    <n v="2642.45"/>
    <n v="-232.15"/>
    <n v="-1062.56"/>
    <n v="13418.23"/>
    <n v="830.41"/>
  </r>
  <r>
    <x v="6"/>
    <x v="6"/>
    <x v="0"/>
    <s v="4510107"/>
    <n v="713010"/>
    <s v="Benefits-FICA/Medicare"/>
    <s v="BR/SD Pre-Admit"/>
    <x v="0"/>
    <m/>
    <n v="3596.14"/>
    <n v="3369.4"/>
    <n v="3462.28"/>
    <n v="3478.97"/>
    <n v="3217.49"/>
    <n v="3623.73"/>
    <n v="4448.07"/>
    <n v="3063.71"/>
    <n v="3477.68"/>
    <n v="3404.53"/>
    <n v="3300.4"/>
    <n v="3528.95"/>
    <n v="41971.35"/>
    <n v="-228.54999999999973"/>
  </r>
  <r>
    <x v="6"/>
    <x v="6"/>
    <x v="0"/>
    <s v="4510107"/>
    <n v="713090"/>
    <s v="Benefits-Allocated Amounts"/>
    <s v="BR/SD Pre-Admit"/>
    <x v="0"/>
    <m/>
    <n v="6976.24"/>
    <n v="5940.16"/>
    <n v="6900.29"/>
    <n v="6617.2"/>
    <n v="7076.23"/>
    <n v="6890.17"/>
    <n v="7010.2"/>
    <n v="6570.97"/>
    <n v="5641.18"/>
    <n v="7451.38"/>
    <n v="6434.88"/>
    <n v="8133.81"/>
    <n v="81642.709999999992"/>
    <n v="-1698.9300000000003"/>
  </r>
  <r>
    <x v="11"/>
    <x v="6"/>
    <x v="0"/>
    <s v="4510107"/>
    <n v="721010"/>
    <s v="Supplies-Medical - Billable"/>
    <s v="BR/SD Pre-Admit"/>
    <x v="0"/>
    <m/>
    <n v="352"/>
    <n v="176"/>
    <n v="176"/>
    <n v="550.5"/>
    <n v="352"/>
    <n v="528"/>
    <n v="352"/>
    <n v="176"/>
    <n v="528"/>
    <n v="616"/>
    <n v="352"/>
    <n v="352"/>
    <n v="4510.5"/>
    <n v="0"/>
  </r>
  <r>
    <x v="11"/>
    <x v="6"/>
    <x v="0"/>
    <s v="4510107"/>
    <n v="721010"/>
    <s v="Patient Monitoring"/>
    <s v="BR/SD Pre-Admit"/>
    <x v="0"/>
    <n v="1000"/>
    <n v="0"/>
    <n v="0"/>
    <n v="0"/>
    <n v="0"/>
    <n v="54"/>
    <n v="0"/>
    <n v="0"/>
    <n v="48"/>
    <n v="0"/>
    <n v="0"/>
    <n v="0"/>
    <n v="12.67"/>
    <n v="114.67"/>
    <n v="-12.67"/>
  </r>
  <r>
    <x v="11"/>
    <x v="6"/>
    <x v="0"/>
    <s v="4510107"/>
    <n v="721240"/>
    <s v="Supplies-IV Solutions/Supplies - Billable"/>
    <s v="BR/SD Pre-Admit"/>
    <x v="0"/>
    <m/>
    <n v="0"/>
    <n v="0"/>
    <n v="0"/>
    <n v="0"/>
    <n v="0"/>
    <n v="122.14"/>
    <n v="0"/>
    <n v="0"/>
    <n v="0"/>
    <n v="0"/>
    <n v="0"/>
    <n v="0"/>
    <n v="122.14"/>
    <n v="0"/>
  </r>
  <r>
    <x v="11"/>
    <x v="6"/>
    <x v="0"/>
    <s v="4510107"/>
    <n v="721410"/>
    <s v="Supplies-Medical - Nonbillable"/>
    <s v="BR/SD Pre-Admit"/>
    <x v="0"/>
    <m/>
    <n v="0"/>
    <n v="0"/>
    <n v="0"/>
    <n v="0"/>
    <n v="0"/>
    <n v="0"/>
    <n v="27.9"/>
    <n v="0"/>
    <n v="0"/>
    <n v="233.16"/>
    <n v="0"/>
    <n v="0"/>
    <n v="261.06"/>
    <n v="0"/>
  </r>
  <r>
    <x v="11"/>
    <x v="6"/>
    <x v="0"/>
    <s v="4510107"/>
    <n v="721710"/>
    <s v="Supplies-Laboratory - Nonbillable"/>
    <s v="BR/SD Pre-Admit"/>
    <x v="0"/>
    <m/>
    <n v="102.43"/>
    <n v="58.8"/>
    <n v="67.06"/>
    <n v="112.3"/>
    <n v="82.42"/>
    <n v="15.29"/>
    <n v="64.790000000000006"/>
    <n v="167.1"/>
    <n v="0"/>
    <n v="172.88"/>
    <n v="50.57"/>
    <n v="59.98"/>
    <n v="953.62000000000012"/>
    <n v="-9.4099999999999966"/>
  </r>
  <r>
    <x v="11"/>
    <x v="6"/>
    <x v="0"/>
    <s v="4510107"/>
    <n v="721810"/>
    <s v="Supplies-Dietary/Cafeteria"/>
    <s v="BR/SD Pre-Admit"/>
    <x v="0"/>
    <m/>
    <n v="0"/>
    <n v="12.57"/>
    <n v="17.45"/>
    <n v="22.69"/>
    <n v="0.95"/>
    <n v="8.4499999999999993"/>
    <n v="0"/>
    <n v="27.46"/>
    <n v="16.52"/>
    <n v="7.58"/>
    <n v="4.74"/>
    <n v="38.450000000000003"/>
    <n v="156.85999999999999"/>
    <n v="-33.71"/>
  </r>
  <r>
    <x v="11"/>
    <x v="6"/>
    <x v="0"/>
    <s v="4510107"/>
    <n v="721830"/>
    <s v="Supplies-Office"/>
    <s v="BR/SD Pre-Admit"/>
    <x v="0"/>
    <m/>
    <n v="59.08"/>
    <n v="130.24"/>
    <n v="280.7"/>
    <n v="922.46"/>
    <n v="100.33"/>
    <n v="193.05"/>
    <n v="98.54"/>
    <n v="391.56"/>
    <n v="163.79"/>
    <n v="289.62"/>
    <n v="31.95"/>
    <n v="64.33"/>
    <n v="2725.6499999999996"/>
    <n v="-32.379999999999995"/>
  </r>
  <r>
    <x v="11"/>
    <x v="6"/>
    <x v="0"/>
    <s v="4510107"/>
    <n v="721835"/>
    <s v="Supplies-Forms"/>
    <s v="BR/SD Pre-Admit"/>
    <x v="0"/>
    <m/>
    <n v="0"/>
    <n v="0"/>
    <n v="0"/>
    <n v="0"/>
    <n v="333.5"/>
    <n v="0"/>
    <n v="324.5"/>
    <n v="0"/>
    <n v="102.5"/>
    <n v="117.5"/>
    <n v="437.4"/>
    <n v="221.4"/>
    <n v="1536.8000000000002"/>
    <n v="215.99999999999997"/>
  </r>
  <r>
    <x v="11"/>
    <x v="6"/>
    <x v="0"/>
    <s v="4510107"/>
    <n v="721870"/>
    <s v="Supplies-Environmental Services"/>
    <s v="BR/SD Pre-Admit"/>
    <x v="0"/>
    <m/>
    <n v="6.2"/>
    <n v="0"/>
    <n v="6.2"/>
    <n v="0"/>
    <n v="6.2"/>
    <n v="0"/>
    <n v="6.2"/>
    <n v="0"/>
    <n v="6.2"/>
    <n v="0"/>
    <n v="4.8"/>
    <n v="4.8"/>
    <n v="40.599999999999994"/>
    <n v="0"/>
  </r>
  <r>
    <x v="11"/>
    <x v="6"/>
    <x v="0"/>
    <s v="4510107"/>
    <n v="721910"/>
    <s v="Supplies-Small Equipment"/>
    <s v="BR/SD Pre-Admit"/>
    <x v="0"/>
    <m/>
    <n v="0"/>
    <n v="0"/>
    <n v="0"/>
    <n v="0"/>
    <n v="212.12"/>
    <n v="0"/>
    <n v="0"/>
    <n v="39"/>
    <n v="3.51"/>
    <n v="0"/>
    <n v="0"/>
    <n v="0"/>
    <n v="254.63"/>
    <n v="0"/>
  </r>
  <r>
    <x v="11"/>
    <x v="6"/>
    <x v="0"/>
    <s v="4510107"/>
    <n v="722000"/>
    <s v="Supplies-Freight Expense"/>
    <s v="BR/SD Pre-Admit"/>
    <x v="0"/>
    <m/>
    <n v="0"/>
    <n v="0"/>
    <n v="0"/>
    <n v="0"/>
    <n v="0"/>
    <n v="0"/>
    <n v="0"/>
    <n v="0"/>
    <n v="21.44"/>
    <n v="0"/>
    <n v="0"/>
    <n v="0"/>
    <n v="21.44"/>
    <n v="0"/>
  </r>
  <r>
    <x v="12"/>
    <x v="6"/>
    <x v="0"/>
    <s v="4510107"/>
    <n v="730020"/>
    <s v="Rental and Leases-Equipment (DO NOT USE)"/>
    <s v="BR/SD Pre-Admit"/>
    <x v="0"/>
    <m/>
    <n v="0"/>
    <n v="84.34"/>
    <n v="42.01"/>
    <n v="42.33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6"/>
    <x v="0"/>
    <s v="4510107"/>
    <n v="730020"/>
    <s v="Rental and Leases-Copier Usage Fees (DO NOT USE)"/>
    <s v="BR/SD Pre-Admit"/>
    <x v="0"/>
    <n v="5100"/>
    <n v="43.67"/>
    <n v="45.19"/>
    <n v="44.43"/>
    <n v="44.43"/>
    <n v="44.43"/>
    <n v="44.43"/>
    <n v="223.82"/>
    <n v="82.3"/>
    <n v="82.11"/>
    <n v="82.46"/>
    <n v="82.29"/>
    <n v="91.85"/>
    <n v="911.41"/>
    <n v="-9.5599999999999881"/>
  </r>
  <r>
    <x v="13"/>
    <x v="6"/>
    <x v="0"/>
    <s v="4510107"/>
    <n v="735070"/>
    <s v="Depreciation-Movable Equipment"/>
    <s v="BR/SD Pre-Admit"/>
    <x v="0"/>
    <m/>
    <n v="44.17"/>
    <n v="44.17"/>
    <n v="44.17"/>
    <n v="44.17"/>
    <n v="44.17"/>
    <n v="44.16"/>
    <n v="44.17"/>
    <n v="44.16"/>
    <n v="44.17"/>
    <n v="44.16"/>
    <n v="44.17"/>
    <n v="44.16"/>
    <n v="530.00000000000011"/>
    <n v="1.0000000000005116E-2"/>
  </r>
  <r>
    <x v="0"/>
    <x v="6"/>
    <x v="0"/>
    <s v="4510107"/>
    <n v="749530"/>
    <s v="Travel"/>
    <s v="BR/SD Pre-Admit"/>
    <x v="0"/>
    <m/>
    <n v="0"/>
    <n v="0"/>
    <n v="0"/>
    <n v="12"/>
    <n v="0"/>
    <n v="0"/>
    <n v="0"/>
    <n v="0"/>
    <n v="0"/>
    <n v="0"/>
    <n v="0"/>
    <n v="0"/>
    <n v="12"/>
    <n v="0"/>
  </r>
  <r>
    <x v="0"/>
    <x v="6"/>
    <x v="0"/>
    <s v="4510107"/>
    <n v="749530"/>
    <s v="Mileage"/>
    <s v="BR/SD Pre-Admit"/>
    <x v="0"/>
    <n v="1001"/>
    <n v="0"/>
    <n v="0"/>
    <n v="0"/>
    <n v="74.12"/>
    <n v="0"/>
    <n v="0"/>
    <n v="0"/>
    <n v="0"/>
    <n v="0"/>
    <n v="0"/>
    <n v="0"/>
    <n v="0"/>
    <n v="74.12"/>
    <n v="0"/>
  </r>
  <r>
    <x v="5"/>
    <x v="3"/>
    <x v="0"/>
    <s v="4550101"/>
    <n v="700014"/>
    <s v="Salaries-Management-Productive"/>
    <s v="Sterile Processing"/>
    <x v="0"/>
    <m/>
    <n v="8557.44"/>
    <n v="8005.74"/>
    <n v="7674.52"/>
    <n v="8713.5400000000009"/>
    <n v="8468.35"/>
    <n v="5702.34"/>
    <n v="8255.17"/>
    <n v="7378.49"/>
    <n v="8905.06"/>
    <n v="8480.75"/>
    <n v="7972.19"/>
    <n v="7689.6"/>
    <n v="95803.190000000017"/>
    <n v="282.58999999999924"/>
  </r>
  <r>
    <x v="5"/>
    <x v="3"/>
    <x v="0"/>
    <s v="4550101"/>
    <n v="700032"/>
    <s v="Salaries-Other Pat Care Providers-Productive"/>
    <s v="Sterile Processing"/>
    <x v="0"/>
    <m/>
    <n v="51111.02"/>
    <n v="52309.36"/>
    <n v="56160.89"/>
    <n v="54817.440000000002"/>
    <n v="56425.49"/>
    <n v="50704.5"/>
    <n v="56501.01"/>
    <n v="50823.97"/>
    <n v="53698.03"/>
    <n v="53190.77"/>
    <n v="60574.16"/>
    <n v="52842.35"/>
    <n v="649158.99000000011"/>
    <n v="7731.8100000000049"/>
  </r>
  <r>
    <x v="5"/>
    <x v="3"/>
    <x v="0"/>
    <s v="4550101"/>
    <n v="700032"/>
    <s v="Salaries-Other Pat Care Providers-OT"/>
    <s v="Sterile Processing"/>
    <x v="0"/>
    <n v="1000"/>
    <n v="2238.86"/>
    <n v="4524.1000000000004"/>
    <n v="2155.6799999999998"/>
    <n v="3240.16"/>
    <n v="2463.29"/>
    <n v="3070.76"/>
    <n v="1806.97"/>
    <n v="936.78"/>
    <n v="3791.98"/>
    <n v="540.04"/>
    <n v="1443.23"/>
    <n v="2484.42"/>
    <n v="28696.269999999997"/>
    <n v="-1041.19"/>
  </r>
  <r>
    <x v="5"/>
    <x v="3"/>
    <x v="0"/>
    <s v="4550101"/>
    <n v="700032"/>
    <s v="Salaries-Other Pat Care Providers-Other"/>
    <s v="Sterile Processing"/>
    <x v="0"/>
    <n v="2000"/>
    <n v="3262.51"/>
    <n v="3134"/>
    <n v="3428.1"/>
    <n v="3115.47"/>
    <n v="3303.04"/>
    <n v="3065.95"/>
    <n v="3343"/>
    <n v="2609.41"/>
    <n v="3378.31"/>
    <n v="3361.86"/>
    <n v="3309.45"/>
    <n v="3551.91"/>
    <n v="38863.009999999995"/>
    <n v="-242.46000000000004"/>
  </r>
  <r>
    <x v="5"/>
    <x v="3"/>
    <x v="0"/>
    <s v="4550101"/>
    <n v="700034"/>
    <s v="Salaries-Tech/Professional-Productive"/>
    <s v="Sterile Processing"/>
    <x v="0"/>
    <m/>
    <n v="3218.33"/>
    <n v="3195.91"/>
    <n v="3653.75"/>
    <n v="4920.88"/>
    <n v="3542.44"/>
    <n v="2490.5300000000002"/>
    <n v="4175.84"/>
    <n v="3897.05"/>
    <n v="4596.1899999999996"/>
    <n v="3030.21"/>
    <n v="3755.02"/>
    <n v="2731.3"/>
    <n v="43207.45"/>
    <n v="1023.7199999999998"/>
  </r>
  <r>
    <x v="5"/>
    <x v="3"/>
    <x v="0"/>
    <s v="4550101"/>
    <n v="700034"/>
    <s v="Salaries-Tech/Professional-OT"/>
    <s v="Sterile Processing"/>
    <x v="0"/>
    <n v="1000"/>
    <n v="0"/>
    <n v="0"/>
    <n v="572.04999999999995"/>
    <n v="1499.16"/>
    <n v="-446.25"/>
    <n v="-9.94"/>
    <n v="31.5"/>
    <n v="14.94"/>
    <n v="23.22"/>
    <n v="51.41"/>
    <n v="-16.579999999999998"/>
    <n v="35.65"/>
    <n v="1755.1600000000003"/>
    <n v="-52.23"/>
  </r>
  <r>
    <x v="5"/>
    <x v="3"/>
    <x v="0"/>
    <s v="4550101"/>
    <n v="700034"/>
    <s v="Salaries-Tech/Professional-Other"/>
    <s v="Sterile Processing"/>
    <x v="0"/>
    <n v="2000"/>
    <n v="0"/>
    <n v="0"/>
    <n v="25.62"/>
    <n v="173.8"/>
    <n v="-58.08"/>
    <n v="0"/>
    <n v="0"/>
    <n v="0"/>
    <n v="0"/>
    <n v="0"/>
    <n v="0"/>
    <n v="0"/>
    <n v="141.34000000000003"/>
    <n v="0"/>
  </r>
  <r>
    <x v="5"/>
    <x v="3"/>
    <x v="0"/>
    <s v="4550101"/>
    <n v="700054"/>
    <s v="Salaries-Management-Non-productive"/>
    <s v="Sterile Processing"/>
    <x v="0"/>
    <m/>
    <n v="0"/>
    <n v="552.08000000000004"/>
    <n v="607.36"/>
    <n v="0"/>
    <n v="0"/>
    <n v="3048.57"/>
    <n v="509.38"/>
    <n v="537.09"/>
    <n v="-141.32"/>
    <n v="0"/>
    <n v="791.55"/>
    <n v="791.55"/>
    <n v="6696.2600000000011"/>
    <n v="0"/>
  </r>
  <r>
    <x v="5"/>
    <x v="3"/>
    <x v="0"/>
    <s v="4550101"/>
    <n v="700054"/>
    <s v="Salaries-Management-NonProd-Other"/>
    <s v="Sterile Processing"/>
    <x v="0"/>
    <n v="2000"/>
    <n v="0"/>
    <n v="0"/>
    <n v="0"/>
    <n v="0"/>
    <n v="0"/>
    <n v="8895.77"/>
    <n v="-8895.77"/>
    <n v="0"/>
    <n v="0"/>
    <n v="0"/>
    <n v="0"/>
    <n v="0"/>
    <n v="0"/>
    <n v="0"/>
  </r>
  <r>
    <x v="5"/>
    <x v="3"/>
    <x v="0"/>
    <s v="4550101"/>
    <n v="700072"/>
    <s v="Salaries-Other Pat Care Providers-Non-productive"/>
    <s v="Sterile Processing"/>
    <x v="0"/>
    <m/>
    <n v="10401.65"/>
    <n v="8648.65"/>
    <n v="4155.59"/>
    <n v="4063.28"/>
    <n v="2723.09"/>
    <n v="16141.85"/>
    <n v="7234.4"/>
    <n v="7709.06"/>
    <n v="7966.59"/>
    <n v="5417.35"/>
    <n v="4461.3"/>
    <n v="7521.76"/>
    <n v="86444.57"/>
    <n v="-3060.46"/>
  </r>
  <r>
    <x v="5"/>
    <x v="3"/>
    <x v="0"/>
    <s v="4550101"/>
    <n v="700072"/>
    <s v="Salaries-Other Pat Care Providers-NonProd-Other"/>
    <s v="Sterile Processing"/>
    <x v="0"/>
    <n v="2000"/>
    <n v="408.19"/>
    <n v="186.17"/>
    <n v="180.72"/>
    <n v="83.31"/>
    <n v="769.78"/>
    <n v="1158.32"/>
    <n v="180.75"/>
    <n v="-1253.1400000000001"/>
    <n v="127.96"/>
    <n v="155.47"/>
    <n v="136.77000000000001"/>
    <n v="319.56"/>
    <n v="2453.8599999999997"/>
    <n v="-182.79"/>
  </r>
  <r>
    <x v="5"/>
    <x v="3"/>
    <x v="0"/>
    <s v="4550101"/>
    <n v="700074"/>
    <s v="Salaries-Tech/Professional-Non-productive"/>
    <s v="Sterile Processing"/>
    <x v="0"/>
    <m/>
    <n v="1055.5999999999999"/>
    <n v="1078.22"/>
    <n v="482.56"/>
    <n v="0"/>
    <n v="476.87"/>
    <n v="1889.89"/>
    <n v="211.41"/>
    <n v="65.239999999999995"/>
    <n v="116.08"/>
    <n v="1344.3"/>
    <n v="616.88"/>
    <n v="1521.3"/>
    <n v="8858.3499999999985"/>
    <n v="-904.42"/>
  </r>
  <r>
    <x v="5"/>
    <x v="3"/>
    <x v="0"/>
    <s v="4550101"/>
    <n v="700074"/>
    <s v="Salaries-Tech/Professional-NonProd-Other"/>
    <s v="Sterile Processing"/>
    <x v="0"/>
    <n v="2000"/>
    <n v="0"/>
    <n v="0"/>
    <n v="12.57"/>
    <n v="11.14"/>
    <n v="-6.91"/>
    <n v="0"/>
    <n v="0"/>
    <n v="0"/>
    <n v="0"/>
    <n v="0"/>
    <n v="0"/>
    <n v="0"/>
    <n v="16.8"/>
    <n v="0"/>
  </r>
  <r>
    <x v="5"/>
    <x v="3"/>
    <x v="0"/>
    <s v="4550101"/>
    <n v="700084"/>
    <s v="Accrued PTO"/>
    <s v="Sterile Processing"/>
    <x v="0"/>
    <m/>
    <n v="-1942.84"/>
    <n v="-626.82000000000005"/>
    <n v="2404.88"/>
    <n v="4230.51"/>
    <n v="6814.57"/>
    <n v="-4482.58"/>
    <n v="764.64"/>
    <n v="857.45"/>
    <n v="2314.64"/>
    <n v="1567.77"/>
    <n v="2546.9"/>
    <n v="972.97"/>
    <n v="15422.089999999998"/>
    <n v="1573.93"/>
  </r>
  <r>
    <x v="10"/>
    <x v="3"/>
    <x v="0"/>
    <s v="4550101"/>
    <n v="710060"/>
    <s v="Contract Labor-Other"/>
    <s v="Sterile Processing"/>
    <x v="0"/>
    <m/>
    <n v="15140.62"/>
    <n v="30218.32"/>
    <n v="13555.06"/>
    <n v="22950.82"/>
    <n v="16463.02"/>
    <n v="12940.46"/>
    <n v="16195.11"/>
    <n v="13445.1"/>
    <n v="32918.43"/>
    <n v="43312.05"/>
    <n v="8965.2900000000009"/>
    <n v="26620.75"/>
    <n v="252725.03"/>
    <n v="-17655.46"/>
  </r>
  <r>
    <x v="10"/>
    <x v="3"/>
    <x v="0"/>
    <s v="4550101"/>
    <n v="710060"/>
    <s v="Contract Labor-Overtime"/>
    <s v="Sterile Processing"/>
    <x v="0"/>
    <n v="5100"/>
    <n v="1474.99"/>
    <n v="1553.86"/>
    <n v="1680.8"/>
    <n v="2209.84"/>
    <n v="1823.47"/>
    <n v="1540.99"/>
    <n v="2185.15"/>
    <n v="723.36"/>
    <n v="2657.16"/>
    <n v="2599.2600000000002"/>
    <n v="2335.85"/>
    <n v="2592.04"/>
    <n v="23376.769999999997"/>
    <n v="-256.19000000000005"/>
  </r>
  <r>
    <x v="10"/>
    <x v="3"/>
    <x v="0"/>
    <s v="4550101"/>
    <n v="710060"/>
    <s v="Contract Labor-Standby Wages"/>
    <s v="Sterile Processing"/>
    <x v="0"/>
    <n v="5101"/>
    <n v="0"/>
    <n v="1304.05"/>
    <n v="-1304.05"/>
    <n v="0"/>
    <n v="0"/>
    <n v="0"/>
    <n v="0"/>
    <n v="0"/>
    <n v="0"/>
    <n v="0"/>
    <n v="0"/>
    <n v="0"/>
    <n v="0"/>
    <n v="0"/>
  </r>
  <r>
    <x v="6"/>
    <x v="3"/>
    <x v="0"/>
    <s v="4550101"/>
    <n v="713010"/>
    <s v="Benefits-FICA/Medicare"/>
    <s v="Sterile Processing"/>
    <x v="0"/>
    <m/>
    <n v="5856.3"/>
    <n v="5962.67"/>
    <n v="5775.36"/>
    <n v="5881.88"/>
    <n v="5832.23"/>
    <n v="7061.42"/>
    <n v="6740.05"/>
    <n v="5478.51"/>
    <n v="6774.39"/>
    <n v="5204.76"/>
    <n v="6116.95"/>
    <n v="5925.06"/>
    <n v="72609.58"/>
    <n v="191.88999999999942"/>
  </r>
  <r>
    <x v="6"/>
    <x v="3"/>
    <x v="0"/>
    <s v="4550101"/>
    <n v="713090"/>
    <s v="Benefits-Allocated Amounts"/>
    <s v="Sterile Processing"/>
    <x v="0"/>
    <m/>
    <n v="24984.240000000002"/>
    <n v="23261.73"/>
    <n v="25210.47"/>
    <n v="24620.3"/>
    <n v="24274.63"/>
    <n v="26326.92"/>
    <n v="26941.41"/>
    <n v="25400.98"/>
    <n v="22171.4"/>
    <n v="24748.51"/>
    <n v="28755.439999999999"/>
    <n v="26252.86"/>
    <n v="302948.89"/>
    <n v="2502.5799999999981"/>
  </r>
  <r>
    <x v="6"/>
    <x v="3"/>
    <x v="0"/>
    <s v="4550101"/>
    <n v="713096"/>
    <s v="Employee Recognition"/>
    <s v="Sterile Processing"/>
    <x v="0"/>
    <n v="1017"/>
    <n v="0"/>
    <n v="0"/>
    <n v="0"/>
    <n v="0"/>
    <n v="189.15"/>
    <n v="0"/>
    <n v="0"/>
    <n v="0"/>
    <n v="0"/>
    <n v="0"/>
    <n v="0"/>
    <n v="0"/>
    <n v="189.15"/>
    <n v="0"/>
  </r>
  <r>
    <x v="7"/>
    <x v="3"/>
    <x v="0"/>
    <s v="4550101"/>
    <n v="718050"/>
    <s v="Contract Svcs-Other"/>
    <s v="Sterile Processing"/>
    <x v="0"/>
    <m/>
    <n v="0"/>
    <n v="0"/>
    <n v="5086.62"/>
    <n v="0"/>
    <n v="-3225"/>
    <n v="0"/>
    <n v="0"/>
    <n v="0"/>
    <n v="0"/>
    <n v="0"/>
    <n v="0"/>
    <n v="0"/>
    <n v="1861.62"/>
    <n v="0"/>
  </r>
  <r>
    <x v="7"/>
    <x v="3"/>
    <x v="0"/>
    <s v="4550101"/>
    <n v="718050"/>
    <s v="Miscellaneous Purchased Svcs"/>
    <s v="Sterile Processing"/>
    <x v="0"/>
    <n v="1020"/>
    <n v="0"/>
    <n v="0"/>
    <n v="0"/>
    <n v="0"/>
    <n v="3500"/>
    <n v="0"/>
    <n v="250"/>
    <n v="0"/>
    <n v="12000"/>
    <n v="0"/>
    <n v="0"/>
    <n v="0"/>
    <n v="15750"/>
    <n v="0"/>
  </r>
  <r>
    <x v="7"/>
    <x v="3"/>
    <x v="0"/>
    <s v="4550101"/>
    <n v="718050"/>
    <s v="Contract Management--Linen"/>
    <s v="Sterile Processing"/>
    <x v="0"/>
    <n v="1026"/>
    <n v="963.3"/>
    <n v="820.56"/>
    <n v="818.16"/>
    <n v="644.21"/>
    <n v="750.21"/>
    <n v="717.53"/>
    <n v="717.32"/>
    <n v="1058.3800000000001"/>
    <n v="656.44"/>
    <n v="863.33"/>
    <n v="651.15"/>
    <n v="830.73"/>
    <n v="9491.32"/>
    <n v="-179.58000000000004"/>
  </r>
  <r>
    <x v="7"/>
    <x v="3"/>
    <x v="0"/>
    <s v="4550101"/>
    <n v="718070"/>
    <s v="Contract Srvcs-CHI Clinical Engineering"/>
    <s v="Sterile Processing"/>
    <x v="0"/>
    <m/>
    <n v="4447.09"/>
    <n v="4195.75"/>
    <n v="4195.75"/>
    <n v="4209.12"/>
    <n v="4209.12"/>
    <n v="4209.12"/>
    <n v="4209.12"/>
    <n v="4209.16"/>
    <n v="3908.83"/>
    <n v="2404.75"/>
    <n v="3159.43"/>
    <n v="4266.68"/>
    <n v="47623.92"/>
    <n v="-1107.2500000000005"/>
  </r>
  <r>
    <x v="11"/>
    <x v="3"/>
    <x v="0"/>
    <s v="4550101"/>
    <n v="721010"/>
    <s v="Supplies-Medical - Billable"/>
    <s v="Sterile Processing"/>
    <x v="0"/>
    <m/>
    <n v="0"/>
    <n v="0"/>
    <n v="2.59"/>
    <n v="5.18"/>
    <n v="5.18"/>
    <n v="5.18"/>
    <n v="0"/>
    <n v="3.27"/>
    <n v="5.18"/>
    <n v="0.34"/>
    <n v="7.77"/>
    <n v="327.61"/>
    <n v="362.3"/>
    <n v="-319.84000000000003"/>
  </r>
  <r>
    <x v="11"/>
    <x v="3"/>
    <x v="0"/>
    <s v="4550101"/>
    <n v="721020"/>
    <s v="Supplies-Surgical - Billable"/>
    <s v="Sterile Processing"/>
    <x v="0"/>
    <m/>
    <n v="663.07"/>
    <n v="844.82"/>
    <n v="0"/>
    <n v="-980.92"/>
    <n v="110.1"/>
    <n v="385.2"/>
    <n v="530.57000000000005"/>
    <n v="6380.17"/>
    <n v="0"/>
    <n v="0"/>
    <n v="2038.87"/>
    <n v="0"/>
    <n v="9971.880000000001"/>
    <n v="2038.87"/>
  </r>
  <r>
    <x v="11"/>
    <x v="3"/>
    <x v="0"/>
    <s v="4550101"/>
    <n v="721020"/>
    <s v="Suture/Wound Closure"/>
    <s v="Sterile Processing"/>
    <x v="0"/>
    <n v="1001"/>
    <n v="17.16"/>
    <n v="0"/>
    <n v="0"/>
    <n v="0"/>
    <n v="0"/>
    <n v="0"/>
    <n v="0"/>
    <n v="17.16"/>
    <n v="0"/>
    <n v="9.2899999999999991"/>
    <n v="0"/>
    <n v="0"/>
    <n v="43.61"/>
    <n v="0"/>
  </r>
  <r>
    <x v="11"/>
    <x v="3"/>
    <x v="0"/>
    <s v="4550101"/>
    <n v="721020"/>
    <s v="Endoscopy - Trocars &amp; Accessories"/>
    <s v="Sterile Processing"/>
    <x v="0"/>
    <n v="1002"/>
    <n v="0"/>
    <n v="0"/>
    <n v="0"/>
    <n v="1576.16"/>
    <n v="0"/>
    <n v="-86.54"/>
    <n v="688.79"/>
    <n v="0"/>
    <n v="-16.73"/>
    <n v="948.95"/>
    <n v="0"/>
    <n v="-632.82000000000005"/>
    <n v="2477.81"/>
    <n v="632.82000000000005"/>
  </r>
  <r>
    <x v="11"/>
    <x v="3"/>
    <x v="0"/>
    <s v="4550101"/>
    <n v="721020"/>
    <s v="Endomechanical Supplies &amp; Instruments"/>
    <s v="Sterile Processing"/>
    <x v="0"/>
    <n v="1003"/>
    <n v="1625.94"/>
    <n v="6945.02"/>
    <n v="5416.81"/>
    <n v="6368.86"/>
    <n v="2704.76"/>
    <n v="4991.71"/>
    <n v="10827.68"/>
    <n v="4813.8"/>
    <n v="6021.04"/>
    <n v="2350.91"/>
    <n v="-177.73"/>
    <n v="10314.66"/>
    <n v="62203.459999999992"/>
    <n v="-10492.39"/>
  </r>
  <r>
    <x v="11"/>
    <x v="3"/>
    <x v="0"/>
    <s v="4550101"/>
    <n v="721020"/>
    <s v="Urological Supplies"/>
    <s v="Sterile Processing"/>
    <x v="0"/>
    <n v="1006"/>
    <n v="0"/>
    <n v="0"/>
    <n v="0"/>
    <n v="0"/>
    <n v="1065.42"/>
    <n v="-97.74"/>
    <n v="0"/>
    <n v="0"/>
    <n v="0"/>
    <n v="0"/>
    <n v="0"/>
    <n v="0"/>
    <n v="967.68000000000006"/>
    <n v="0"/>
  </r>
  <r>
    <x v="11"/>
    <x v="3"/>
    <x v="0"/>
    <s v="4550101"/>
    <n v="721150"/>
    <s v="Fracture Management"/>
    <s v="Sterile Processing"/>
    <x v="0"/>
    <n v="1001"/>
    <n v="0"/>
    <n v="0"/>
    <n v="0"/>
    <n v="513.32000000000005"/>
    <n v="14.84"/>
    <n v="0"/>
    <n v="2436.37"/>
    <n v="0"/>
    <n v="0"/>
    <n v="0"/>
    <n v="225.51"/>
    <n v="0"/>
    <n v="3190.04"/>
    <n v="225.51"/>
  </r>
  <r>
    <x v="11"/>
    <x v="3"/>
    <x v="0"/>
    <s v="4550101"/>
    <n v="721150"/>
    <s v="Spinal Fixations Internal Syst"/>
    <s v="Sterile Processing"/>
    <x v="0"/>
    <n v="1002"/>
    <n v="0"/>
    <n v="0"/>
    <n v="172.2"/>
    <n v="180.34"/>
    <n v="17.39"/>
    <n v="212.71"/>
    <n v="0"/>
    <n v="0"/>
    <n v="0"/>
    <n v="0"/>
    <n v="0"/>
    <n v="0"/>
    <n v="582.64"/>
    <n v="0"/>
  </r>
  <r>
    <x v="11"/>
    <x v="3"/>
    <x v="0"/>
    <s v="4550101"/>
    <n v="721150"/>
    <s v="Urological Implants"/>
    <s v="Sterile Processing"/>
    <x v="0"/>
    <n v="1004"/>
    <n v="0"/>
    <n v="0"/>
    <n v="0"/>
    <n v="0"/>
    <n v="0"/>
    <n v="0"/>
    <n v="0"/>
    <n v="0"/>
    <n v="634.17999999999995"/>
    <n v="0"/>
    <n v="0"/>
    <n v="0"/>
    <n v="634.17999999999995"/>
    <n v="0"/>
  </r>
  <r>
    <x v="11"/>
    <x v="3"/>
    <x v="0"/>
    <s v="4550101"/>
    <n v="721410"/>
    <s v="Supplies-Medical - Nonbillable"/>
    <s v="Sterile Processing"/>
    <x v="0"/>
    <m/>
    <n v="1132.6500000000001"/>
    <n v="1362.49"/>
    <n v="1710.6"/>
    <n v="1235.97"/>
    <n v="799.72"/>
    <n v="991.96"/>
    <n v="927.53"/>
    <n v="1406.43"/>
    <n v="1318.75"/>
    <n v="3568.86"/>
    <n v="1408.54"/>
    <n v="1321.28"/>
    <n v="17184.78"/>
    <n v="87.259999999999991"/>
  </r>
  <r>
    <x v="11"/>
    <x v="3"/>
    <x v="0"/>
    <s v="4550101"/>
    <n v="721420"/>
    <s v="Supplies-Surgical Nonbillable"/>
    <s v="Sterile Processing"/>
    <x v="0"/>
    <m/>
    <n v="95.68"/>
    <n v="24.17"/>
    <n v="314.55"/>
    <n v="25.55"/>
    <n v="1332.69"/>
    <n v="-97.74"/>
    <n v="0"/>
    <n v="10.89"/>
    <n v="40.08"/>
    <n v="3.95"/>
    <n v="0"/>
    <n v="863.6"/>
    <n v="2613.42"/>
    <n v="-863.6"/>
  </r>
  <r>
    <x v="11"/>
    <x v="3"/>
    <x v="0"/>
    <s v="4550101"/>
    <n v="721420"/>
    <s v="Sterilization Process Products"/>
    <s v="Sterile Processing"/>
    <x v="0"/>
    <n v="1009"/>
    <n v="43505"/>
    <n v="35326.79"/>
    <n v="31959.65"/>
    <n v="35986.22"/>
    <n v="47258.26"/>
    <n v="34085.089999999997"/>
    <n v="34123.81"/>
    <n v="46049.06"/>
    <n v="50412.05"/>
    <n v="38695.620000000003"/>
    <n v="38916.839999999997"/>
    <n v="39267.24"/>
    <n v="475585.63"/>
    <n v="-350.40000000000146"/>
  </r>
  <r>
    <x v="11"/>
    <x v="3"/>
    <x v="0"/>
    <s v="4550101"/>
    <n v="721710"/>
    <s v="Supplies-Laboratory - Nonbillable"/>
    <s v="Sterile Processing"/>
    <x v="0"/>
    <m/>
    <n v="0"/>
    <n v="0"/>
    <n v="16.34"/>
    <n v="16.34"/>
    <n v="16.34"/>
    <n v="16.34"/>
    <n v="0"/>
    <n v="0"/>
    <n v="0"/>
    <n v="0"/>
    <n v="0"/>
    <n v="0"/>
    <n v="65.36"/>
    <n v="0"/>
  </r>
  <r>
    <x v="11"/>
    <x v="3"/>
    <x v="0"/>
    <s v="4550101"/>
    <n v="721810"/>
    <s v="Supplies-Dietary/Cafeteria"/>
    <s v="Sterile Processing"/>
    <x v="0"/>
    <m/>
    <n v="35"/>
    <n v="65.34"/>
    <n v="49.63"/>
    <n v="98.94"/>
    <n v="47.98"/>
    <n v="40.98"/>
    <n v="38.770000000000003"/>
    <n v="135.34"/>
    <n v="49.46"/>
    <n v="55.34"/>
    <n v="55.28"/>
    <n v="109.81"/>
    <n v="781.87000000000012"/>
    <n v="-54.53"/>
  </r>
  <r>
    <x v="11"/>
    <x v="3"/>
    <x v="0"/>
    <s v="4550101"/>
    <n v="721830"/>
    <s v="Supplies-Office"/>
    <s v="Sterile Processing"/>
    <x v="0"/>
    <m/>
    <n v="802.18"/>
    <n v="5464.15"/>
    <n v="610.66"/>
    <n v="836.37"/>
    <n v="1350.11"/>
    <n v="1337.22"/>
    <n v="3467.03"/>
    <n v="3533.57"/>
    <n v="1023.32"/>
    <n v="1023.8"/>
    <n v="1004.54"/>
    <n v="6138.87"/>
    <n v="26591.82"/>
    <n v="-5134.33"/>
  </r>
  <r>
    <x v="11"/>
    <x v="3"/>
    <x v="0"/>
    <s v="4550101"/>
    <n v="721870"/>
    <s v="Supplies-Environmental Services"/>
    <s v="Sterile Processing"/>
    <x v="0"/>
    <m/>
    <n v="2650.8"/>
    <n v="2715.32"/>
    <n v="2511.2399999999998"/>
    <n v="2975.45"/>
    <n v="2976.67"/>
    <n v="2888.92"/>
    <n v="2562.29"/>
    <n v="2163.4299999999998"/>
    <n v="2871.96"/>
    <n v="3130.58"/>
    <n v="2549.37"/>
    <n v="3003.57"/>
    <n v="32999.600000000006"/>
    <n v="-454.20000000000027"/>
  </r>
  <r>
    <x v="11"/>
    <x v="3"/>
    <x v="0"/>
    <s v="4550101"/>
    <n v="721910"/>
    <s v="Supplies-Small Equipment"/>
    <s v="Sterile Processing"/>
    <x v="0"/>
    <m/>
    <n v="4753.74"/>
    <n v="3047.01"/>
    <n v="334.2"/>
    <n v="5149.34"/>
    <n v="3304.08"/>
    <n v="3098.87"/>
    <n v="364.21"/>
    <n v="6282.22"/>
    <n v="1388.21"/>
    <n v="1614.98"/>
    <n v="5131.29"/>
    <n v="1.55"/>
    <n v="34469.700000000004"/>
    <n v="5129.74"/>
  </r>
  <r>
    <x v="11"/>
    <x v="3"/>
    <x v="0"/>
    <s v="4550101"/>
    <n v="721910"/>
    <s v="Instruments"/>
    <s v="Sterile Processing"/>
    <x v="0"/>
    <n v="1000"/>
    <n v="34014.35"/>
    <n v="39028.93"/>
    <n v="39508"/>
    <n v="48306.82"/>
    <n v="72955.199999999997"/>
    <n v="34110.53"/>
    <n v="45337.69"/>
    <n v="42564.33"/>
    <n v="42962.55"/>
    <n v="45366.68"/>
    <n v="1780.53"/>
    <n v="15001.03"/>
    <n v="460936.64"/>
    <n v="-13220.5"/>
  </r>
  <r>
    <x v="11"/>
    <x v="3"/>
    <x v="0"/>
    <s v="4550101"/>
    <n v="721980"/>
    <s v="Supplies-Other"/>
    <s v="Sterile Processing"/>
    <x v="0"/>
    <m/>
    <n v="0"/>
    <n v="0"/>
    <n v="0"/>
    <n v="0"/>
    <n v="0"/>
    <n v="351.57"/>
    <n v="857.21"/>
    <n v="0"/>
    <n v="0"/>
    <n v="0"/>
    <n v="0"/>
    <n v="-52.14"/>
    <n v="1156.6399999999999"/>
    <n v="52.14"/>
  </r>
  <r>
    <x v="11"/>
    <x v="3"/>
    <x v="0"/>
    <s v="4550101"/>
    <n v="722000"/>
    <s v="Supplies-Freight Expense"/>
    <s v="Sterile Processing"/>
    <x v="0"/>
    <m/>
    <n v="385.06"/>
    <n v="1341.93"/>
    <n v="699.73"/>
    <n v="630.66999999999996"/>
    <n v="573.23"/>
    <n v="999.98"/>
    <n v="644.96"/>
    <n v="297.08"/>
    <n v="677.28"/>
    <n v="380.94"/>
    <n v="521.20000000000005"/>
    <n v="426.7"/>
    <n v="7578.7599999999993"/>
    <n v="94.500000000000057"/>
  </r>
  <r>
    <x v="11"/>
    <x v="3"/>
    <x v="0"/>
    <s v="4550101"/>
    <n v="722000"/>
    <s v="Minimum Order Fees"/>
    <s v="Sterile Processing"/>
    <x v="0"/>
    <n v="1000"/>
    <n v="0"/>
    <n v="0"/>
    <n v="0"/>
    <n v="5.51"/>
    <n v="0"/>
    <n v="0"/>
    <n v="0"/>
    <n v="0"/>
    <n v="0"/>
    <n v="0"/>
    <n v="0"/>
    <n v="0"/>
    <n v="5.51"/>
    <n v="0"/>
  </r>
  <r>
    <x v="12"/>
    <x v="3"/>
    <x v="0"/>
    <s v="4550101"/>
    <n v="730020"/>
    <s v="Rental and Leases-Equipment (DO NOT USE)"/>
    <s v="Sterile Processing"/>
    <x v="0"/>
    <m/>
    <n v="5246"/>
    <n v="0"/>
    <n v="0"/>
    <n v="0"/>
    <n v="0"/>
    <n v="0"/>
    <n v="0"/>
    <n v="0"/>
    <n v="0"/>
    <n v="0"/>
    <n v="0"/>
    <n v="0"/>
    <n v="5246"/>
    <n v="0"/>
  </r>
  <r>
    <x v="12"/>
    <x v="3"/>
    <x v="0"/>
    <s v="4550101"/>
    <n v="730020"/>
    <s v="Rental and Leases-Copier Usage Fees (DO NOT USE)"/>
    <s v="Sterile Processing"/>
    <x v="0"/>
    <n v="5100"/>
    <n v="185.37"/>
    <n v="189.27"/>
    <n v="187.32"/>
    <n v="187.32"/>
    <n v="187.32"/>
    <n v="187.32"/>
    <n v="27.49"/>
    <n v="169.55"/>
    <n v="169.19"/>
    <n v="169.91"/>
    <n v="169.55"/>
    <n v="180.31"/>
    <n v="2009.9199999999998"/>
    <n v="-10.759999999999991"/>
  </r>
  <r>
    <x v="16"/>
    <x v="3"/>
    <x v="0"/>
    <s v="4550101"/>
    <n v="732020"/>
    <s v="Repairs--Clin Equip-Parts-Internal to CHI Programs"/>
    <s v="Sterile Processing"/>
    <x v="0"/>
    <m/>
    <n v="0"/>
    <n v="0"/>
    <n v="0"/>
    <n v="1972.88"/>
    <n v="0"/>
    <n v="0"/>
    <n v="0"/>
    <n v="0"/>
    <n v="0"/>
    <n v="0"/>
    <n v="0"/>
    <n v="0"/>
    <n v="1972.88"/>
    <n v="0"/>
  </r>
  <r>
    <x v="16"/>
    <x v="3"/>
    <x v="0"/>
    <s v="4550101"/>
    <n v="732030"/>
    <s v="Repairs---Other"/>
    <s v="Sterile Processing"/>
    <x v="0"/>
    <m/>
    <n v="5597.14"/>
    <n v="5296.28"/>
    <n v="4919.55"/>
    <n v="-1013.43"/>
    <n v="0"/>
    <n v="2737.97"/>
    <n v="9007.9699999999993"/>
    <n v="4138.5600000000004"/>
    <n v="5802.45"/>
    <n v="1271.5"/>
    <n v="5519.89"/>
    <n v="889.88"/>
    <n v="44167.76"/>
    <n v="4630.01"/>
  </r>
  <r>
    <x v="13"/>
    <x v="3"/>
    <x v="0"/>
    <s v="4550101"/>
    <n v="735070"/>
    <s v="Depreciation-Movable Equipment"/>
    <s v="Sterile Processing"/>
    <x v="0"/>
    <m/>
    <n v="4561.07"/>
    <n v="4561.0600000000004"/>
    <n v="4561.08"/>
    <n v="4561.05"/>
    <n v="4561.08"/>
    <n v="4561.04"/>
    <n v="4561.08"/>
    <n v="4561.04"/>
    <n v="4561.09"/>
    <n v="4561.04"/>
    <n v="4561.09"/>
    <n v="4561.04"/>
    <n v="54732.760000000017"/>
    <n v="5.0000000000181899E-2"/>
  </r>
  <r>
    <x v="0"/>
    <x v="3"/>
    <x v="0"/>
    <s v="4550101"/>
    <n v="740020"/>
    <s v="Education-Registration Fees"/>
    <s v="Sterile Processing"/>
    <x v="0"/>
    <m/>
    <n v="0"/>
    <n v="0"/>
    <n v="0"/>
    <n v="0"/>
    <n v="0"/>
    <n v="0"/>
    <n v="0"/>
    <n v="0"/>
    <n v="0"/>
    <n v="330"/>
    <n v="0"/>
    <n v="0"/>
    <n v="330"/>
    <n v="0"/>
  </r>
  <r>
    <x v="0"/>
    <x v="3"/>
    <x v="0"/>
    <s v="4550101"/>
    <n v="742040"/>
    <s v="Freight-Other"/>
    <s v="Sterile Processing"/>
    <x v="0"/>
    <m/>
    <n v="0"/>
    <n v="0"/>
    <n v="0"/>
    <n v="0"/>
    <n v="0"/>
    <n v="0"/>
    <n v="0"/>
    <n v="0"/>
    <n v="0"/>
    <n v="0"/>
    <n v="0"/>
    <n v="42.99"/>
    <n v="42.99"/>
    <n v="-42.99"/>
  </r>
  <r>
    <x v="0"/>
    <x v="3"/>
    <x v="0"/>
    <s v="4550101"/>
    <n v="749510"/>
    <s v="Miscellaneous Expenses"/>
    <s v="Sterile Processing"/>
    <x v="0"/>
    <m/>
    <n v="50"/>
    <n v="-427.36"/>
    <n v="67.459999999999994"/>
    <n v="80.67"/>
    <n v="58.14"/>
    <n v="36.909999999999997"/>
    <n v="-866.35"/>
    <n v="-553.6"/>
    <n v="0"/>
    <n v="3744.92"/>
    <n v="-3744.92"/>
    <n v="92.89"/>
    <n v="-1461.24"/>
    <n v="-3837.81"/>
  </r>
  <r>
    <x v="0"/>
    <x v="3"/>
    <x v="0"/>
    <s v="4550101"/>
    <n v="749510"/>
    <s v="Licenses"/>
    <s v="Sterile Processing"/>
    <x v="0"/>
    <n v="1002"/>
    <n v="0"/>
    <n v="50"/>
    <n v="50"/>
    <n v="0"/>
    <n v="0"/>
    <n v="50"/>
    <n v="0"/>
    <n v="0"/>
    <n v="0"/>
    <n v="0"/>
    <n v="0"/>
    <n v="100"/>
    <n v="250"/>
    <n v="-100"/>
  </r>
  <r>
    <x v="0"/>
    <x v="3"/>
    <x v="0"/>
    <s v="4550101"/>
    <n v="749510"/>
    <s v="RICE Rewards"/>
    <s v="Sterile Processing"/>
    <x v="0"/>
    <n v="5100"/>
    <n v="0"/>
    <n v="0"/>
    <n v="0"/>
    <n v="0"/>
    <n v="0"/>
    <n v="0"/>
    <n v="0"/>
    <n v="0"/>
    <n v="564.75"/>
    <n v="0"/>
    <n v="0"/>
    <n v="0"/>
    <n v="564.75"/>
    <n v="0"/>
  </r>
  <r>
    <x v="0"/>
    <x v="3"/>
    <x v="0"/>
    <s v="4550101"/>
    <n v="749530"/>
    <s v="Travel"/>
    <s v="Sterile Processing"/>
    <x v="0"/>
    <m/>
    <n v="0"/>
    <n v="0"/>
    <n v="0"/>
    <n v="0"/>
    <n v="0"/>
    <n v="6"/>
    <n v="0"/>
    <n v="553.6"/>
    <n v="0"/>
    <n v="0"/>
    <n v="1931.26"/>
    <n v="0"/>
    <n v="2490.86"/>
    <n v="1931.26"/>
  </r>
  <r>
    <x v="0"/>
    <x v="3"/>
    <x v="0"/>
    <s v="4550101"/>
    <n v="749535"/>
    <s v="Meetings"/>
    <s v="Sterile Processing"/>
    <x v="0"/>
    <m/>
    <n v="0"/>
    <n v="0"/>
    <n v="0"/>
    <n v="0"/>
    <n v="0"/>
    <n v="230.2"/>
    <n v="0"/>
    <n v="0"/>
    <n v="0"/>
    <n v="0"/>
    <n v="0"/>
    <n v="0"/>
    <n v="230.2"/>
    <n v="0"/>
  </r>
  <r>
    <x v="5"/>
    <x v="0"/>
    <x v="0"/>
    <s v="4550102"/>
    <n v="700014"/>
    <s v="Salaries-Management-Productive"/>
    <s v="Sterile Processing"/>
    <x v="0"/>
    <m/>
    <n v="0"/>
    <n v="0"/>
    <n v="8232.58"/>
    <n v="6606.32"/>
    <n v="6908.87"/>
    <n v="3681.21"/>
    <n v="7175.67"/>
    <n v="6523.14"/>
    <n v="6709.58"/>
    <n v="6616.17"/>
    <n v="7128.89"/>
    <n v="6663.07"/>
    <n v="66245.5"/>
    <n v="465.82000000000062"/>
  </r>
  <r>
    <x v="5"/>
    <x v="0"/>
    <x v="0"/>
    <s v="4550102"/>
    <n v="700018"/>
    <s v="Salaries-Supervisory-Productive"/>
    <s v="Sterile Processing"/>
    <x v="0"/>
    <m/>
    <n v="5233.2700000000004"/>
    <n v="5975.35"/>
    <n v="-1112.45"/>
    <n v="0"/>
    <n v="0"/>
    <n v="0"/>
    <n v="0"/>
    <n v="0"/>
    <n v="0"/>
    <n v="0"/>
    <n v="0"/>
    <n v="0"/>
    <n v="10096.17"/>
    <n v="0"/>
  </r>
  <r>
    <x v="5"/>
    <x v="0"/>
    <x v="0"/>
    <s v="4550102"/>
    <n v="700032"/>
    <s v="Salaries-Other Pat Care Providers-Productive"/>
    <s v="Sterile Processing"/>
    <x v="0"/>
    <m/>
    <n v="29115.23"/>
    <n v="30871.51"/>
    <n v="26395.64"/>
    <n v="32809.71"/>
    <n v="32283.87"/>
    <n v="29841.8"/>
    <n v="29295.29"/>
    <n v="24717.08"/>
    <n v="29915.91"/>
    <n v="28232.42"/>
    <n v="29916.2"/>
    <n v="27270"/>
    <n v="350664.66"/>
    <n v="2646.2000000000007"/>
  </r>
  <r>
    <x v="5"/>
    <x v="0"/>
    <x v="0"/>
    <s v="4550102"/>
    <n v="700032"/>
    <s v="Salaries-Other Pat Care Providers-OT"/>
    <s v="Sterile Processing"/>
    <x v="0"/>
    <n v="1000"/>
    <n v="1093.4000000000001"/>
    <n v="2061.84"/>
    <n v="2087.69"/>
    <n v="321.79000000000002"/>
    <n v="1242.55"/>
    <n v="2028.96"/>
    <n v="655.45"/>
    <n v="1253.75"/>
    <n v="1461.86"/>
    <n v="595.12"/>
    <n v="449.61"/>
    <n v="349.58"/>
    <n v="13601.600000000002"/>
    <n v="100.03000000000003"/>
  </r>
  <r>
    <x v="5"/>
    <x v="0"/>
    <x v="0"/>
    <s v="4550102"/>
    <n v="700032"/>
    <s v="Salaries-Other Pat Care Providers-Other"/>
    <s v="Sterile Processing"/>
    <x v="0"/>
    <n v="2000"/>
    <n v="2285.84"/>
    <n v="2291.64"/>
    <n v="2355.5300000000002"/>
    <n v="1862.81"/>
    <n v="2480.5300000000002"/>
    <n v="2030.35"/>
    <n v="2176.5"/>
    <n v="2067.9299999999998"/>
    <n v="2286.56"/>
    <n v="2304.96"/>
    <n v="1825.89"/>
    <n v="2291.5300000000002"/>
    <n v="26260.07"/>
    <n v="-465.6400000000001"/>
  </r>
  <r>
    <x v="5"/>
    <x v="0"/>
    <x v="0"/>
    <s v="4550102"/>
    <n v="700054"/>
    <s v="Salaries-Management-Non-productive"/>
    <s v="Sterile Processing"/>
    <x v="0"/>
    <m/>
    <n v="0"/>
    <n v="0"/>
    <n v="0"/>
    <n v="581.55999999999995"/>
    <n v="69.8"/>
    <n v="3530.32"/>
    <n v="47.11"/>
    <n v="0"/>
    <n v="512.5"/>
    <n v="372.73"/>
    <n v="93.22"/>
    <n v="326.14999999999998"/>
    <n v="5533.39"/>
    <n v="-232.92999999999998"/>
  </r>
  <r>
    <x v="5"/>
    <x v="0"/>
    <x v="0"/>
    <s v="4550102"/>
    <n v="700054"/>
    <s v="Salaries-Management-NonProd-Other"/>
    <s v="Sterile Processing"/>
    <x v="0"/>
    <n v="2000"/>
    <n v="0"/>
    <n v="0"/>
    <n v="0"/>
    <n v="0"/>
    <n v="0"/>
    <n v="333.31"/>
    <n v="-333.31"/>
    <n v="0"/>
    <n v="0"/>
    <n v="0"/>
    <n v="0"/>
    <n v="0"/>
    <n v="0"/>
    <n v="0"/>
  </r>
  <r>
    <x v="5"/>
    <x v="0"/>
    <x v="0"/>
    <s v="4550102"/>
    <n v="700058"/>
    <s v="Salaries-Supervisory-Non-productive"/>
    <s v="Sterile Processing"/>
    <x v="0"/>
    <m/>
    <n v="1153.8399999999999"/>
    <n v="412.06"/>
    <n v="-123.6"/>
    <n v="0"/>
    <n v="0"/>
    <n v="0"/>
    <n v="0"/>
    <n v="0"/>
    <n v="0"/>
    <n v="0"/>
    <n v="0"/>
    <n v="0"/>
    <n v="1442.3"/>
    <n v="0"/>
  </r>
  <r>
    <x v="5"/>
    <x v="0"/>
    <x v="0"/>
    <s v="4550102"/>
    <n v="700072"/>
    <s v="Salaries-Other Pat Care Providers-Non-productive"/>
    <s v="Sterile Processing"/>
    <x v="0"/>
    <m/>
    <n v="6803.25"/>
    <n v="4343.41"/>
    <n v="9058.27"/>
    <n v="1287.7"/>
    <n v="4188.1000000000004"/>
    <n v="6283.99"/>
    <n v="6733.2"/>
    <n v="8466.26"/>
    <n v="7232.22"/>
    <n v="7060.17"/>
    <n v="2955.83"/>
    <n v="4652.22"/>
    <n v="69064.62"/>
    <n v="-1696.3900000000003"/>
  </r>
  <r>
    <x v="5"/>
    <x v="0"/>
    <x v="0"/>
    <s v="4550102"/>
    <n v="700072"/>
    <s v="Salaries-Other Pat Care Providers-NonProd-Other"/>
    <s v="Sterile Processing"/>
    <x v="0"/>
    <n v="2000"/>
    <n v="254.27"/>
    <n v="299.32"/>
    <n v="398.17"/>
    <n v="101.73"/>
    <n v="444.07"/>
    <n v="360.62"/>
    <n v="207.52"/>
    <n v="-71.900000000000006"/>
    <n v="109.72"/>
    <n v="111.87"/>
    <n v="131.86000000000001"/>
    <n v="325.16000000000003"/>
    <n v="2672.4099999999994"/>
    <n v="-193.3"/>
  </r>
  <r>
    <x v="5"/>
    <x v="0"/>
    <x v="0"/>
    <s v="4550102"/>
    <n v="700084"/>
    <s v="Accrued PTO"/>
    <s v="Sterile Processing"/>
    <x v="0"/>
    <m/>
    <n v="-2500.0500000000002"/>
    <n v="104.65"/>
    <n v="-3331.76"/>
    <n v="2703.83"/>
    <n v="854.91"/>
    <n v="-3127.2"/>
    <n v="-776.04"/>
    <n v="1258.06"/>
    <n v="1986.09"/>
    <n v="437.03"/>
    <n v="-167.79"/>
    <n v="685.29"/>
    <n v="-1872.9800000000005"/>
    <n v="-853.07999999999993"/>
  </r>
  <r>
    <x v="10"/>
    <x v="0"/>
    <x v="0"/>
    <s v="4550102"/>
    <n v="710060"/>
    <s v="Contract Labor-Other"/>
    <s v="Sterile Processing"/>
    <x v="0"/>
    <m/>
    <n v="0"/>
    <n v="0"/>
    <n v="0"/>
    <n v="0"/>
    <n v="0"/>
    <n v="0"/>
    <n v="0"/>
    <n v="0"/>
    <n v="973.75"/>
    <n v="9428.75"/>
    <n v="7101.25"/>
    <n v="5011.25"/>
    <n v="22515"/>
    <n v="2090"/>
  </r>
  <r>
    <x v="10"/>
    <x v="0"/>
    <x v="0"/>
    <s v="4550102"/>
    <n v="710060"/>
    <s v="Contract Labor-Overtime"/>
    <s v="Sterile Processing"/>
    <x v="0"/>
    <n v="5100"/>
    <n v="0"/>
    <n v="0"/>
    <n v="0"/>
    <n v="0"/>
    <n v="0"/>
    <n v="0"/>
    <n v="0"/>
    <n v="0"/>
    <n v="0"/>
    <n v="192.38"/>
    <n v="0"/>
    <n v="0"/>
    <n v="192.38"/>
    <n v="0"/>
  </r>
  <r>
    <x v="6"/>
    <x v="0"/>
    <x v="0"/>
    <s v="4550102"/>
    <n v="713010"/>
    <s v="Benefits-FICA/Medicare"/>
    <s v="Sterile Processing"/>
    <x v="0"/>
    <m/>
    <n v="3444.26"/>
    <n v="3468.54"/>
    <n v="3550.1"/>
    <n v="3263.22"/>
    <n v="3653.88"/>
    <n v="3594.33"/>
    <n v="3472.18"/>
    <n v="3232.61"/>
    <n v="3604.66"/>
    <n v="3383.56"/>
    <n v="3292.74"/>
    <n v="3124.54"/>
    <n v="41084.620000000003"/>
    <n v="168.19999999999982"/>
  </r>
  <r>
    <x v="6"/>
    <x v="0"/>
    <x v="0"/>
    <s v="4550102"/>
    <n v="713090"/>
    <s v="Benefits-Allocated Amounts"/>
    <s v="Sterile Processing"/>
    <x v="0"/>
    <m/>
    <n v="13308.06"/>
    <n v="11561.25"/>
    <n v="12884.26"/>
    <n v="11409.99"/>
    <n v="12798.63"/>
    <n v="12383.63"/>
    <n v="12986.81"/>
    <n v="12901.81"/>
    <n v="12620.93"/>
    <n v="12834.96"/>
    <n v="12172.87"/>
    <n v="11998.47"/>
    <n v="149861.66999999998"/>
    <n v="174.40000000000146"/>
  </r>
  <r>
    <x v="6"/>
    <x v="0"/>
    <x v="0"/>
    <s v="4550102"/>
    <n v="713096"/>
    <s v="Employee Recognition"/>
    <s v="Sterile Processing"/>
    <x v="0"/>
    <n v="1017"/>
    <n v="0"/>
    <n v="0"/>
    <n v="0"/>
    <n v="0"/>
    <n v="0"/>
    <n v="0"/>
    <n v="0"/>
    <n v="0"/>
    <n v="0"/>
    <n v="0"/>
    <n v="19.989999999999998"/>
    <n v="0"/>
    <n v="19.989999999999998"/>
    <n v="19.989999999999998"/>
  </r>
  <r>
    <x v="7"/>
    <x v="0"/>
    <x v="0"/>
    <s v="4550102"/>
    <n v="718050"/>
    <s v="Miscellaneous Purchased Svcs"/>
    <s v="Sterile Processing"/>
    <x v="0"/>
    <n v="1020"/>
    <n v="1666.5"/>
    <n v="0"/>
    <n v="0"/>
    <n v="0"/>
    <n v="3500"/>
    <n v="0"/>
    <n v="250"/>
    <n v="0"/>
    <n v="191.25"/>
    <n v="12000"/>
    <n v="0"/>
    <n v="0"/>
    <n v="17607.75"/>
    <n v="0"/>
  </r>
  <r>
    <x v="7"/>
    <x v="0"/>
    <x v="0"/>
    <s v="4550102"/>
    <n v="718070"/>
    <s v="Contract Srvcs-CHI Clinical Engineering"/>
    <s v="Sterile Processing"/>
    <x v="0"/>
    <m/>
    <n v="1256.78"/>
    <n v="1256.78"/>
    <n v="4619.8900000000003"/>
    <n v="4102.4799999999996"/>
    <n v="3137.03"/>
    <n v="4102.4799999999996"/>
    <n v="4102.4799999999996"/>
    <n v="4102.4799999999996"/>
    <n v="4326.8599999999997"/>
    <n v="6122.87"/>
    <n v="4638.8100000000004"/>
    <n v="4370.63"/>
    <n v="46139.57"/>
    <n v="268.18000000000029"/>
  </r>
  <r>
    <x v="11"/>
    <x v="0"/>
    <x v="0"/>
    <s v="4550102"/>
    <n v="721020"/>
    <s v="Supplies-Surgical - Billable"/>
    <s v="Sterile Processing"/>
    <x v="0"/>
    <m/>
    <n v="49.68"/>
    <n v="4.97"/>
    <n v="0"/>
    <n v="0"/>
    <n v="0"/>
    <n v="8.5399999999999991"/>
    <n v="417.61"/>
    <n v="-14.91"/>
    <n v="109.3"/>
    <n v="0"/>
    <n v="-9.94"/>
    <n v="4780.8"/>
    <n v="5346.05"/>
    <n v="-4790.74"/>
  </r>
  <r>
    <x v="11"/>
    <x v="0"/>
    <x v="0"/>
    <s v="4550102"/>
    <n v="721020"/>
    <s v="Endoscopy - Trocars &amp; Accessories"/>
    <s v="Sterile Processing"/>
    <x v="0"/>
    <n v="1002"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4550102"/>
    <n v="721020"/>
    <s v="Endomechanical Supplies &amp; Instruments"/>
    <s v="Sterile Processing"/>
    <x v="0"/>
    <n v="1003"/>
    <n v="0"/>
    <n v="0"/>
    <n v="0"/>
    <n v="0"/>
    <n v="0"/>
    <n v="0"/>
    <n v="0"/>
    <n v="118.64"/>
    <n v="0"/>
    <n v="0"/>
    <n v="0"/>
    <n v="0"/>
    <n v="118.64"/>
    <n v="0"/>
  </r>
  <r>
    <x v="11"/>
    <x v="0"/>
    <x v="0"/>
    <s v="4550102"/>
    <n v="721150"/>
    <s v="Fracture Management"/>
    <s v="Sterile Processing"/>
    <x v="0"/>
    <n v="1001"/>
    <n v="72.599999999999994"/>
    <n v="72.599999999999994"/>
    <n v="36.43"/>
    <n v="84.3"/>
    <n v="72.599999999999994"/>
    <n v="76.680000000000007"/>
    <n v="0"/>
    <n v="66.239999999999995"/>
    <n v="101.64"/>
    <n v="14.52"/>
    <n v="0"/>
    <n v="121.97"/>
    <n v="719.58"/>
    <n v="-121.97"/>
  </r>
  <r>
    <x v="11"/>
    <x v="0"/>
    <x v="0"/>
    <s v="4550102"/>
    <n v="721240"/>
    <s v="Supplies-IV Solutions/Supplies - Billable"/>
    <s v="Sterile Processing"/>
    <x v="0"/>
    <m/>
    <n v="0"/>
    <n v="0"/>
    <n v="0"/>
    <n v="0"/>
    <n v="0"/>
    <n v="0"/>
    <n v="20.91"/>
    <n v="0"/>
    <n v="0"/>
    <n v="0"/>
    <n v="0"/>
    <n v="0"/>
    <n v="20.91"/>
    <n v="0"/>
  </r>
  <r>
    <x v="11"/>
    <x v="0"/>
    <x v="0"/>
    <s v="4550102"/>
    <n v="721250"/>
    <s v="Supplies-Pharmacy Drugs - Billable"/>
    <s v="Sterile Processing"/>
    <x v="0"/>
    <m/>
    <n v="0"/>
    <n v="40.799999999999997"/>
    <n v="0"/>
    <n v="0"/>
    <n v="27.2"/>
    <n v="0"/>
    <n v="0"/>
    <n v="0"/>
    <n v="34.6"/>
    <n v="0"/>
    <n v="0"/>
    <n v="0"/>
    <n v="102.6"/>
    <n v="0"/>
  </r>
  <r>
    <x v="11"/>
    <x v="0"/>
    <x v="0"/>
    <s v="4550102"/>
    <n v="721410"/>
    <s v="Supplies-Medical - Nonbillable"/>
    <s v="Sterile Processing"/>
    <x v="0"/>
    <m/>
    <n v="602.42999999999995"/>
    <n v="902.86"/>
    <n v="663.25"/>
    <n v="392.19"/>
    <n v="549.86"/>
    <n v="471.52"/>
    <n v="330.7"/>
    <n v="588.92999999999995"/>
    <n v="401.21"/>
    <n v="-7163.01"/>
    <n v="1325.98"/>
    <n v="574.14"/>
    <n v="-359.9400000000004"/>
    <n v="751.84"/>
  </r>
  <r>
    <x v="11"/>
    <x v="0"/>
    <x v="0"/>
    <s v="4550102"/>
    <n v="721420"/>
    <s v="Supplies-Surgical Nonbillable"/>
    <s v="Sterile Processing"/>
    <x v="0"/>
    <m/>
    <n v="12.3"/>
    <n v="0"/>
    <n v="6.15"/>
    <n v="12.3"/>
    <n v="0"/>
    <n v="12.1"/>
    <n v="7.58"/>
    <n v="191.05"/>
    <n v="0"/>
    <n v="110.95"/>
    <n v="-17.82"/>
    <n v="0"/>
    <n v="334.61"/>
    <n v="-17.82"/>
  </r>
  <r>
    <x v="11"/>
    <x v="0"/>
    <x v="0"/>
    <s v="4550102"/>
    <n v="721420"/>
    <s v="Sterilization Process Products"/>
    <s v="Sterile Processing"/>
    <x v="0"/>
    <n v="1009"/>
    <n v="25919.94"/>
    <n v="24036.12"/>
    <n v="15460.84"/>
    <n v="12934.83"/>
    <n v="25186.39"/>
    <n v="23697"/>
    <n v="21045.85"/>
    <n v="24959.75"/>
    <n v="21331.89"/>
    <n v="24389.91"/>
    <n v="16051.3"/>
    <n v="60416.69"/>
    <n v="295430.51"/>
    <n v="-44365.39"/>
  </r>
  <r>
    <x v="11"/>
    <x v="0"/>
    <x v="0"/>
    <s v="4550102"/>
    <n v="721710"/>
    <s v="Supplies-Laboratory - Nonbillable"/>
    <s v="Sterile Processing"/>
    <x v="0"/>
    <m/>
    <n v="81.48"/>
    <n v="59.77"/>
    <n v="39.840000000000003"/>
    <n v="157.56"/>
    <n v="54.33"/>
    <n v="79.680000000000007"/>
    <n v="59.77"/>
    <n v="19.02"/>
    <n v="21.2"/>
    <n v="85.53"/>
    <n v="53.85"/>
    <n v="57.81"/>
    <n v="769.83999999999992"/>
    <n v="-3.9600000000000009"/>
  </r>
  <r>
    <x v="11"/>
    <x v="0"/>
    <x v="0"/>
    <s v="4550102"/>
    <n v="721810"/>
    <s v="Supplies-Dietary/Cafeteria"/>
    <s v="Sterile Processing"/>
    <x v="0"/>
    <m/>
    <n v="0"/>
    <n v="0"/>
    <n v="3"/>
    <n v="9.48"/>
    <n v="0"/>
    <n v="12.5"/>
    <n v="12.48"/>
    <n v="0"/>
    <n v="0"/>
    <n v="3"/>
    <n v="0"/>
    <n v="4.5"/>
    <n v="44.96"/>
    <n v="-4.5"/>
  </r>
  <r>
    <x v="11"/>
    <x v="0"/>
    <x v="0"/>
    <s v="4550102"/>
    <n v="721830"/>
    <s v="Supplies-Office"/>
    <s v="Sterile Processing"/>
    <x v="0"/>
    <m/>
    <n v="316.54000000000002"/>
    <n v="2602.14"/>
    <n v="455.25"/>
    <n v="356.18"/>
    <n v="494.67"/>
    <n v="1598.06"/>
    <n v="1612.98"/>
    <n v="2534.19"/>
    <n v="53.78"/>
    <n v="2464.88"/>
    <n v="1007.91"/>
    <n v="1469.81"/>
    <n v="14966.390000000001"/>
    <n v="-461.9"/>
  </r>
  <r>
    <x v="11"/>
    <x v="0"/>
    <x v="0"/>
    <s v="4550102"/>
    <n v="721835"/>
    <s v="Supplies-Forms"/>
    <s v="Sterile Processing"/>
    <x v="0"/>
    <m/>
    <n v="0"/>
    <n v="0"/>
    <n v="0"/>
    <n v="0"/>
    <n v="8.93"/>
    <n v="0"/>
    <n v="0"/>
    <n v="0"/>
    <n v="0"/>
    <n v="0"/>
    <n v="0"/>
    <n v="0"/>
    <n v="8.93"/>
    <n v="0"/>
  </r>
  <r>
    <x v="11"/>
    <x v="0"/>
    <x v="0"/>
    <s v="4550102"/>
    <n v="721870"/>
    <s v="Supplies-Environmental Services"/>
    <s v="Sterile Processing"/>
    <x v="0"/>
    <m/>
    <n v="246.29"/>
    <n v="500.7"/>
    <n v="532"/>
    <n v="356.8"/>
    <n v="213.1"/>
    <n v="468.02"/>
    <n v="476.44"/>
    <n v="339.64"/>
    <n v="290.25"/>
    <n v="1002.52"/>
    <n v="117.16"/>
    <n v="272.33999999999997"/>
    <n v="4815.26"/>
    <n v="-155.17999999999998"/>
  </r>
  <r>
    <x v="11"/>
    <x v="0"/>
    <x v="0"/>
    <s v="4550102"/>
    <n v="721910"/>
    <s v="Supplies-Small Equipment"/>
    <s v="Sterile Processing"/>
    <x v="0"/>
    <m/>
    <n v="1314.41"/>
    <n v="2501.65"/>
    <n v="3516.12"/>
    <n v="357.33"/>
    <n v="-3044.5"/>
    <n v="2709.54"/>
    <n v="8038.02"/>
    <n v="549.4"/>
    <n v="824.61"/>
    <n v="860.51"/>
    <n v="1729.47"/>
    <n v="476.88"/>
    <n v="19833.439999999999"/>
    <n v="1252.5900000000001"/>
  </r>
  <r>
    <x v="11"/>
    <x v="0"/>
    <x v="0"/>
    <s v="4550102"/>
    <n v="721910"/>
    <s v="Instruments"/>
    <s v="Sterile Processing"/>
    <x v="0"/>
    <n v="1000"/>
    <n v="0"/>
    <n v="62.7"/>
    <n v="86.98"/>
    <n v="843.03"/>
    <n v="2.57"/>
    <n v="101.2"/>
    <n v="2109.54"/>
    <n v="126.5"/>
    <n v="1281.26"/>
    <n v="452.83"/>
    <n v="207.71"/>
    <n v="6932.5"/>
    <n v="12206.82"/>
    <n v="-6724.79"/>
  </r>
  <r>
    <x v="11"/>
    <x v="0"/>
    <x v="0"/>
    <s v="4550102"/>
    <n v="721980"/>
    <s v="Supplies-Other"/>
    <s v="Sterile Processing"/>
    <x v="0"/>
    <m/>
    <n v="213.84"/>
    <n v="53.22"/>
    <n v="0"/>
    <n v="0"/>
    <n v="579.98"/>
    <n v="0"/>
    <n v="626.24"/>
    <n v="940.93"/>
    <n v="6097.55"/>
    <n v="839.93"/>
    <n v="46.19"/>
    <n v="52.56"/>
    <n v="9450.44"/>
    <n v="-6.3700000000000045"/>
  </r>
  <r>
    <x v="11"/>
    <x v="0"/>
    <x v="0"/>
    <s v="4550102"/>
    <n v="722000"/>
    <s v="Supplies-Freight Expense"/>
    <s v="Sterile Processing"/>
    <x v="0"/>
    <m/>
    <n v="157.75"/>
    <n v="496.18"/>
    <n v="144.08000000000001"/>
    <n v="362.14"/>
    <n v="146.94"/>
    <n v="134.76"/>
    <n v="454.44"/>
    <n v="141.41"/>
    <n v="273.83999999999997"/>
    <n v="162.94999999999999"/>
    <n v="380.17"/>
    <n v="363.58"/>
    <n v="3218.2400000000002"/>
    <n v="16.590000000000032"/>
  </r>
  <r>
    <x v="11"/>
    <x v="0"/>
    <x v="0"/>
    <s v="4550102"/>
    <n v="722000"/>
    <s v="Minimum Order Fees"/>
    <s v="Sterile Processing"/>
    <x v="0"/>
    <n v="1000"/>
    <n v="0"/>
    <n v="0"/>
    <n v="0"/>
    <n v="22"/>
    <n v="0"/>
    <n v="0"/>
    <n v="0"/>
    <n v="0"/>
    <n v="0"/>
    <n v="0"/>
    <n v="0"/>
    <n v="22"/>
    <n v="44"/>
    <n v="-22"/>
  </r>
  <r>
    <x v="12"/>
    <x v="0"/>
    <x v="0"/>
    <s v="4550102"/>
    <n v="730020"/>
    <s v="Rental and Leases-Equipment (DO NOT USE)"/>
    <s v="Sterile Processing"/>
    <x v="0"/>
    <m/>
    <n v="2000"/>
    <n v="74.58"/>
    <n v="0"/>
    <n v="49.72"/>
    <n v="24.86"/>
    <n v="24.86"/>
    <n v="0"/>
    <n v="0"/>
    <n v="49.72"/>
    <n v="24.86"/>
    <n v="0"/>
    <n v="49.72"/>
    <n v="2298.3199999999997"/>
    <n v="-49.72"/>
  </r>
  <r>
    <x v="12"/>
    <x v="0"/>
    <x v="0"/>
    <s v="4550102"/>
    <n v="730020"/>
    <s v="Rental and Leases-Copier Usage Fees (DO NOT USE)"/>
    <s v="Sterile Processing"/>
    <x v="0"/>
    <n v="5100"/>
    <n v="72.25"/>
    <n v="74.37"/>
    <n v="73.31"/>
    <n v="73.31"/>
    <n v="73.31"/>
    <n v="73.31"/>
    <n v="376.26"/>
    <n v="95.11"/>
    <n v="94.91"/>
    <n v="128.12"/>
    <n v="111.51"/>
    <n v="114.2"/>
    <n v="1359.97"/>
    <n v="-2.6899999999999977"/>
  </r>
  <r>
    <x v="16"/>
    <x v="0"/>
    <x v="0"/>
    <s v="4550102"/>
    <n v="733030"/>
    <s v="Maintenance Contracts-Other"/>
    <s v="Sterile Processing"/>
    <x v="0"/>
    <m/>
    <n v="0"/>
    <n v="0"/>
    <n v="0"/>
    <n v="778.06"/>
    <n v="0"/>
    <n v="1303.3599999999999"/>
    <n v="0"/>
    <n v="0"/>
    <n v="606.1"/>
    <n v="0"/>
    <n v="0"/>
    <n v="1467.4"/>
    <n v="4154.92"/>
    <n v="-1467.4"/>
  </r>
  <r>
    <x v="13"/>
    <x v="0"/>
    <x v="0"/>
    <s v="4550102"/>
    <n v="735070"/>
    <s v="Depreciation-Movable Equipment"/>
    <s v="Sterile Processing"/>
    <x v="0"/>
    <m/>
    <n v="5448.2"/>
    <n v="5448.2"/>
    <n v="5044.37"/>
    <n v="5044.3500000000004"/>
    <n v="5044.38"/>
    <n v="5044.34"/>
    <n v="7146.27"/>
    <n v="5530.87"/>
    <n v="5530.91"/>
    <n v="5530.87"/>
    <n v="5530.92"/>
    <n v="5530.86"/>
    <n v="65874.539999999994"/>
    <n v="6.0000000000400178E-2"/>
  </r>
  <r>
    <x v="0"/>
    <x v="0"/>
    <x v="0"/>
    <s v="4550102"/>
    <n v="740020"/>
    <s v="Education-Registration Fees"/>
    <s v="Sterile Processing"/>
    <x v="0"/>
    <m/>
    <n v="0"/>
    <n v="0"/>
    <n v="0"/>
    <n v="0"/>
    <n v="0"/>
    <n v="0"/>
    <n v="0"/>
    <n v="0"/>
    <n v="0"/>
    <n v="0"/>
    <n v="0"/>
    <n v="1485"/>
    <n v="1485"/>
    <n v="-1485"/>
  </r>
  <r>
    <x v="0"/>
    <x v="0"/>
    <x v="0"/>
    <s v="4550102"/>
    <n v="749510"/>
    <s v="Miscellaneous Expenses"/>
    <s v="Sterile Processing"/>
    <x v="0"/>
    <m/>
    <n v="-19.690000000000001"/>
    <n v="0"/>
    <n v="0"/>
    <n v="406.5"/>
    <n v="27.75"/>
    <n v="0"/>
    <n v="472.53"/>
    <n v="0"/>
    <n v="0"/>
    <n v="113.41"/>
    <n v="0"/>
    <n v="0"/>
    <n v="1000.4999999999999"/>
    <n v="0"/>
  </r>
  <r>
    <x v="0"/>
    <x v="0"/>
    <x v="0"/>
    <s v="4550102"/>
    <n v="749510"/>
    <s v="RICE Rewards"/>
    <s v="Sterile Processing"/>
    <x v="0"/>
    <n v="5100"/>
    <n v="0"/>
    <n v="0"/>
    <n v="0"/>
    <n v="0"/>
    <n v="0"/>
    <n v="0"/>
    <n v="363.86"/>
    <n v="0"/>
    <n v="0"/>
    <n v="0"/>
    <n v="0"/>
    <n v="0"/>
    <n v="363.86"/>
    <n v="0"/>
  </r>
  <r>
    <x v="0"/>
    <x v="0"/>
    <x v="0"/>
    <s v="4550102"/>
    <n v="749530"/>
    <s v="Travel"/>
    <s v="Sterile Processing"/>
    <x v="0"/>
    <m/>
    <n v="0"/>
    <n v="0"/>
    <n v="0"/>
    <n v="77.55"/>
    <n v="0"/>
    <n v="0"/>
    <n v="0"/>
    <n v="0"/>
    <n v="162.61000000000001"/>
    <n v="0"/>
    <n v="705.45"/>
    <n v="0"/>
    <n v="945.61000000000013"/>
    <n v="705.45"/>
  </r>
  <r>
    <x v="0"/>
    <x v="0"/>
    <x v="0"/>
    <s v="4550102"/>
    <n v="749530"/>
    <s v="Mileage"/>
    <s v="Sterile Processing"/>
    <x v="0"/>
    <n v="1001"/>
    <n v="62.68"/>
    <n v="0"/>
    <n v="0"/>
    <n v="0"/>
    <n v="0"/>
    <n v="0"/>
    <n v="0"/>
    <n v="0"/>
    <n v="75.400000000000006"/>
    <n v="0"/>
    <n v="0"/>
    <n v="0"/>
    <n v="138.08000000000001"/>
    <n v="0"/>
  </r>
  <r>
    <x v="14"/>
    <x v="4"/>
    <x v="0"/>
    <s v="4550103"/>
    <n v="600050"/>
    <s v="Miscellaneous Revenue"/>
    <s v="Sterile Processing"/>
    <x v="0"/>
    <m/>
    <n v="0"/>
    <n v="0"/>
    <n v="0"/>
    <n v="0"/>
    <n v="0"/>
    <n v="0"/>
    <n v="0"/>
    <n v="-2200"/>
    <n v="1200"/>
    <n v="-250"/>
    <n v="0"/>
    <n v="0"/>
    <n v="-1250"/>
    <n v="0"/>
  </r>
  <r>
    <x v="5"/>
    <x v="4"/>
    <x v="0"/>
    <s v="4550103"/>
    <n v="700026"/>
    <s v="Salaries-RN-Productive"/>
    <s v="Sterile Processing"/>
    <x v="0"/>
    <m/>
    <n v="0"/>
    <n v="0"/>
    <n v="0"/>
    <n v="0"/>
    <n v="0"/>
    <n v="247.82"/>
    <n v="-30.96"/>
    <n v="0"/>
    <n v="0"/>
    <n v="0"/>
    <n v="0"/>
    <n v="0"/>
    <n v="216.85999999999999"/>
    <n v="0"/>
  </r>
  <r>
    <x v="5"/>
    <x v="4"/>
    <x v="0"/>
    <s v="4550103"/>
    <n v="700026"/>
    <s v="Salaries-RN-OT"/>
    <s v="Sterile Processing"/>
    <x v="0"/>
    <n v="1000"/>
    <n v="0"/>
    <n v="0"/>
    <n v="0"/>
    <n v="0"/>
    <n v="0"/>
    <n v="21.34"/>
    <n v="-2.66"/>
    <n v="0"/>
    <n v="0"/>
    <n v="0"/>
    <n v="0"/>
    <n v="0"/>
    <n v="18.68"/>
    <n v="0"/>
  </r>
  <r>
    <x v="5"/>
    <x v="4"/>
    <x v="0"/>
    <s v="4550103"/>
    <n v="700026"/>
    <s v="Salaries-RN-Other"/>
    <s v="Sterile Processing"/>
    <x v="0"/>
    <n v="2000"/>
    <n v="0"/>
    <n v="0"/>
    <n v="0"/>
    <n v="0"/>
    <n v="0"/>
    <n v="32.549999999999997"/>
    <n v="-4.05"/>
    <n v="0"/>
    <n v="0"/>
    <n v="0"/>
    <n v="0"/>
    <n v="0"/>
    <n v="28.499999999999996"/>
    <n v="0"/>
  </r>
  <r>
    <x v="5"/>
    <x v="4"/>
    <x v="0"/>
    <s v="4550103"/>
    <n v="700032"/>
    <s v="Salaries-Other Pat Care Providers-Productive"/>
    <s v="Sterile Processing"/>
    <x v="0"/>
    <m/>
    <n v="19931.419999999998"/>
    <n v="20701.93"/>
    <n v="21203.75"/>
    <n v="23164.38"/>
    <n v="26605.85"/>
    <n v="22292.74"/>
    <n v="22281.31"/>
    <n v="19302.599999999999"/>
    <n v="25214.79"/>
    <n v="26654.080000000002"/>
    <n v="24185.87"/>
    <n v="15937.19"/>
    <n v="267475.90999999997"/>
    <n v="8248.6799999999985"/>
  </r>
  <r>
    <x v="5"/>
    <x v="4"/>
    <x v="0"/>
    <s v="4550103"/>
    <n v="700032"/>
    <s v="Salaries-Other Pat Care Providers-OT"/>
    <s v="Sterile Processing"/>
    <x v="0"/>
    <n v="1000"/>
    <n v="296.01"/>
    <n v="72.77"/>
    <n v="147.81"/>
    <n v="117.54"/>
    <n v="-19.670000000000002"/>
    <n v="235.08"/>
    <n v="963.03"/>
    <n v="1196.1500000000001"/>
    <n v="141.6"/>
    <n v="191.45"/>
    <n v="220.39"/>
    <n v="28.73"/>
    <n v="3590.89"/>
    <n v="191.66"/>
  </r>
  <r>
    <x v="5"/>
    <x v="4"/>
    <x v="0"/>
    <s v="4550103"/>
    <n v="700032"/>
    <s v="Salaries-Other Pat Care Providers-Other"/>
    <s v="Sterile Processing"/>
    <x v="0"/>
    <n v="2000"/>
    <n v="1143.8399999999999"/>
    <n v="1108.78"/>
    <n v="1017.32"/>
    <n v="902.37"/>
    <n v="820.71"/>
    <n v="989.9"/>
    <n v="973.98"/>
    <n v="840.89"/>
    <n v="925.76"/>
    <n v="950.23"/>
    <n v="833.13"/>
    <n v="868"/>
    <n v="11374.909999999998"/>
    <n v="-34.870000000000005"/>
  </r>
  <r>
    <x v="5"/>
    <x v="4"/>
    <x v="0"/>
    <s v="4550103"/>
    <n v="700072"/>
    <s v="Salaries-Other Pat Care Providers-Non-productive"/>
    <s v="Sterile Processing"/>
    <x v="0"/>
    <m/>
    <n v="8120.17"/>
    <n v="6939.21"/>
    <n v="5774.14"/>
    <n v="5310.57"/>
    <n v="1547.47"/>
    <n v="6662.21"/>
    <n v="4778.72"/>
    <n v="5041.38"/>
    <n v="3422.34"/>
    <n v="1244.6199999999999"/>
    <n v="4829.3100000000004"/>
    <n v="10715.24"/>
    <n v="64385.380000000005"/>
    <n v="-5885.9299999999994"/>
  </r>
  <r>
    <x v="5"/>
    <x v="4"/>
    <x v="0"/>
    <s v="4550103"/>
    <n v="700072"/>
    <s v="Salaries-Other Pat Care Providers-NonProd-Other"/>
    <s v="Sterile Processing"/>
    <x v="0"/>
    <n v="2000"/>
    <n v="234.92"/>
    <n v="180.4"/>
    <n v="174.68"/>
    <n v="94.29"/>
    <n v="595.94000000000005"/>
    <n v="162.94999999999999"/>
    <n v="158.69999999999999"/>
    <n v="-224.46"/>
    <n v="124.3"/>
    <n v="162.93"/>
    <n v="45.52"/>
    <n v="170.82"/>
    <n v="1880.99"/>
    <n v="-125.29999999999998"/>
  </r>
  <r>
    <x v="5"/>
    <x v="4"/>
    <x v="0"/>
    <s v="4550103"/>
    <n v="700084"/>
    <s v="Accrued PTO"/>
    <s v="Sterile Processing"/>
    <x v="0"/>
    <m/>
    <n v="-1963.65"/>
    <n v="-2600.7199999999998"/>
    <n v="-1566.72"/>
    <n v="-666.22"/>
    <n v="1499.36"/>
    <n v="-604.07000000000005"/>
    <n v="-280.33"/>
    <n v="2383.9"/>
    <n v="1147.6099999999999"/>
    <n v="567.41"/>
    <n v="503.42"/>
    <n v="-3974.18"/>
    <n v="-5554.1900000000005"/>
    <n v="4477.5999999999995"/>
  </r>
  <r>
    <x v="6"/>
    <x v="4"/>
    <x v="0"/>
    <s v="4550103"/>
    <n v="713010"/>
    <s v="Benefits-FICA/Medicare"/>
    <s v="Sterile Processing"/>
    <x v="0"/>
    <m/>
    <n v="2185.9899999999998"/>
    <n v="2130.7199999999998"/>
    <n v="2081.15"/>
    <n v="2175.5300000000002"/>
    <n v="2296.81"/>
    <n v="2243.67"/>
    <n v="2145.54"/>
    <n v="1955.22"/>
    <n v="2199.8000000000002"/>
    <n v="2154.64"/>
    <n v="2223.86"/>
    <n v="2040.19"/>
    <n v="25833.119999999999"/>
    <n v="183.67000000000007"/>
  </r>
  <r>
    <x v="6"/>
    <x v="4"/>
    <x v="0"/>
    <s v="4550103"/>
    <n v="713090"/>
    <s v="Benefits-Allocated Amounts"/>
    <s v="Sterile Processing"/>
    <x v="0"/>
    <m/>
    <n v="8099.35"/>
    <n v="6651.63"/>
    <n v="7324.41"/>
    <n v="7550.04"/>
    <n v="7889.34"/>
    <n v="7767.64"/>
    <n v="7871.51"/>
    <n v="7762.73"/>
    <n v="7865.53"/>
    <n v="8518.4599999999991"/>
    <n v="8597.23"/>
    <n v="7983.34"/>
    <n v="93881.21"/>
    <n v="613.88999999999942"/>
  </r>
  <r>
    <x v="7"/>
    <x v="4"/>
    <x v="0"/>
    <s v="4550103"/>
    <n v="718050"/>
    <s v="Contract Svcs-Other"/>
    <s v="Sterile Processing"/>
    <x v="0"/>
    <m/>
    <n v="0"/>
    <n v="0"/>
    <n v="25.54"/>
    <n v="0"/>
    <n v="0"/>
    <n v="0"/>
    <n v="0"/>
    <n v="0"/>
    <n v="0"/>
    <n v="0"/>
    <n v="0"/>
    <n v="0"/>
    <n v="25.54"/>
    <n v="0"/>
  </r>
  <r>
    <x v="7"/>
    <x v="4"/>
    <x v="0"/>
    <s v="4550103"/>
    <n v="718050"/>
    <s v="Miscellaneous Purchased Svcs"/>
    <s v="Sterile Processing"/>
    <x v="0"/>
    <n v="1020"/>
    <n v="0"/>
    <n v="0"/>
    <n v="0"/>
    <n v="0"/>
    <n v="3500"/>
    <n v="0"/>
    <n v="250"/>
    <n v="0"/>
    <n v="0"/>
    <n v="7084"/>
    <n v="0"/>
    <n v="0"/>
    <n v="10834"/>
    <n v="0"/>
  </r>
  <r>
    <x v="7"/>
    <x v="4"/>
    <x v="0"/>
    <s v="4550103"/>
    <n v="718050"/>
    <s v="Contract Management--Linen"/>
    <s v="Sterile Processing"/>
    <x v="0"/>
    <n v="1026"/>
    <n v="411.05"/>
    <n v="508.69"/>
    <n v="482.3"/>
    <n v="416.07"/>
    <n v="564.74"/>
    <n v="645.19000000000005"/>
    <n v="494.45"/>
    <n v="784.61"/>
    <n v="506.9"/>
    <n v="1369.25"/>
    <n v="591.92999999999995"/>
    <n v="819.06"/>
    <n v="7594.24"/>
    <n v="-227.13"/>
  </r>
  <r>
    <x v="7"/>
    <x v="4"/>
    <x v="0"/>
    <s v="4550103"/>
    <n v="718070"/>
    <s v="Contract Srvcs-CHI Clinical Engineering"/>
    <s v="Sterile Processing"/>
    <x v="0"/>
    <m/>
    <n v="4901.05"/>
    <n v="4330.57"/>
    <n v="4917.7700000000004"/>
    <n v="4313.8500000000004"/>
    <n v="4313.8500000000004"/>
    <n v="4909.3999999999996"/>
    <n v="4305.5"/>
    <n v="4301.32"/>
    <n v="4905.2299999999996"/>
    <n v="4301.32"/>
    <n v="4301.32"/>
    <n v="2268.02"/>
    <n v="52069.19999999999"/>
    <n v="2033.2999999999997"/>
  </r>
  <r>
    <x v="11"/>
    <x v="4"/>
    <x v="0"/>
    <s v="4550103"/>
    <n v="721010"/>
    <s v="Supplies-Medical - Billable"/>
    <s v="Sterile Processing"/>
    <x v="0"/>
    <m/>
    <n v="0.06"/>
    <n v="1.4"/>
    <n v="0.65"/>
    <n v="5.18"/>
    <n v="0"/>
    <n v="4.51"/>
    <n v="0"/>
    <n v="0"/>
    <n v="7.77"/>
    <n v="0"/>
    <n v="2.59"/>
    <n v="2.59"/>
    <n v="24.75"/>
    <n v="0"/>
  </r>
  <r>
    <x v="11"/>
    <x v="4"/>
    <x v="0"/>
    <s v="4550103"/>
    <n v="721020"/>
    <s v="Supplies-Surgical - Billable"/>
    <s v="Sterile Processing"/>
    <x v="0"/>
    <m/>
    <n v="0"/>
    <n v="0"/>
    <n v="223.65"/>
    <n v="0"/>
    <n v="0"/>
    <n v="0"/>
    <n v="230.88"/>
    <n v="0"/>
    <n v="0"/>
    <n v="0"/>
    <n v="0"/>
    <n v="0"/>
    <n v="454.53"/>
    <n v="0"/>
  </r>
  <r>
    <x v="11"/>
    <x v="4"/>
    <x v="0"/>
    <s v="4550103"/>
    <n v="721020"/>
    <s v="Suture/Wound Closure"/>
    <s v="Sterile Processing"/>
    <x v="0"/>
    <n v="1001"/>
    <n v="0"/>
    <n v="0"/>
    <n v="4588"/>
    <n v="0"/>
    <n v="0"/>
    <n v="0"/>
    <n v="0"/>
    <n v="0"/>
    <n v="0"/>
    <n v="0"/>
    <n v="0"/>
    <n v="0"/>
    <n v="4588"/>
    <n v="0"/>
  </r>
  <r>
    <x v="11"/>
    <x v="4"/>
    <x v="0"/>
    <s v="4550103"/>
    <n v="721020"/>
    <s v="Endomechanical Supplies &amp; Instruments"/>
    <s v="Sterile Processing"/>
    <x v="0"/>
    <n v="1003"/>
    <n v="3903.72"/>
    <n v="7144.02"/>
    <n v="0"/>
    <n v="10.94"/>
    <n v="1035.8399999999999"/>
    <n v="0"/>
    <n v="0"/>
    <n v="0"/>
    <n v="404.61"/>
    <n v="-36.450000000000003"/>
    <n v="0"/>
    <n v="164.38"/>
    <n v="12627.06"/>
    <n v="-164.38"/>
  </r>
  <r>
    <x v="11"/>
    <x v="4"/>
    <x v="0"/>
    <s v="4550103"/>
    <n v="721410"/>
    <s v="Supplies-Medical - Nonbillable"/>
    <s v="Sterile Processing"/>
    <x v="0"/>
    <m/>
    <n v="293.14999999999998"/>
    <n v="638.27"/>
    <n v="387.35"/>
    <n v="616.61"/>
    <n v="442.68"/>
    <n v="818.81"/>
    <n v="780.85"/>
    <n v="382.57"/>
    <n v="983.82"/>
    <n v="-2102.27"/>
    <n v="1221.18"/>
    <n v="384.34"/>
    <n v="4847.3599999999997"/>
    <n v="836.84000000000015"/>
  </r>
  <r>
    <x v="11"/>
    <x v="4"/>
    <x v="0"/>
    <s v="4550103"/>
    <n v="721420"/>
    <s v="Supplies-Surgical Nonbillable"/>
    <s v="Sterile Processing"/>
    <x v="0"/>
    <m/>
    <n v="0"/>
    <n v="0"/>
    <n v="0"/>
    <n v="0"/>
    <n v="-18"/>
    <n v="22.36"/>
    <n v="6"/>
    <n v="0"/>
    <n v="-2722.63"/>
    <n v="11.81"/>
    <n v="161.44999999999999"/>
    <n v="11.18"/>
    <n v="-2527.8300000000004"/>
    <n v="150.26999999999998"/>
  </r>
  <r>
    <x v="11"/>
    <x v="4"/>
    <x v="0"/>
    <s v="4550103"/>
    <n v="721420"/>
    <s v="Sterilization Process Products"/>
    <s v="Sterile Processing"/>
    <x v="0"/>
    <n v="1009"/>
    <n v="9495.5499999999993"/>
    <n v="20044.39"/>
    <n v="18088.47"/>
    <n v="10187.48"/>
    <n v="13730.13"/>
    <n v="20572.28"/>
    <n v="12705.83"/>
    <n v="12095.71"/>
    <n v="12390.84"/>
    <n v="15396.41"/>
    <n v="13633.06"/>
    <n v="9490.1299999999992"/>
    <n v="167830.28"/>
    <n v="4142.93"/>
  </r>
  <r>
    <x v="11"/>
    <x v="4"/>
    <x v="0"/>
    <s v="4550103"/>
    <n v="721810"/>
    <s v="Supplies-Dietary/Cafeteria"/>
    <s v="Sterile Processing"/>
    <x v="0"/>
    <m/>
    <n v="0"/>
    <n v="0"/>
    <n v="0"/>
    <n v="65.62"/>
    <n v="0"/>
    <n v="0"/>
    <n v="3.53"/>
    <n v="0"/>
    <n v="0"/>
    <n v="0"/>
    <n v="0"/>
    <n v="0"/>
    <n v="69.150000000000006"/>
    <n v="0"/>
  </r>
  <r>
    <x v="11"/>
    <x v="4"/>
    <x v="0"/>
    <s v="4550103"/>
    <n v="721830"/>
    <s v="Supplies-Office"/>
    <s v="Sterile Processing"/>
    <x v="0"/>
    <m/>
    <n v="0"/>
    <n v="0"/>
    <n v="2050.85"/>
    <n v="333.31"/>
    <n v="406.99"/>
    <n v="2036.34"/>
    <n v="759.41"/>
    <n v="138.58000000000001"/>
    <n v="198.93"/>
    <n v="1038.99"/>
    <n v="86.35"/>
    <n v="1483.25"/>
    <n v="8533"/>
    <n v="-1396.9"/>
  </r>
  <r>
    <x v="11"/>
    <x v="4"/>
    <x v="0"/>
    <s v="4550103"/>
    <n v="721835"/>
    <s v="Supplies-Forms"/>
    <s v="Sterile Processing"/>
    <x v="0"/>
    <m/>
    <n v="0"/>
    <n v="0"/>
    <n v="0"/>
    <n v="0"/>
    <n v="0.5"/>
    <n v="0"/>
    <n v="0"/>
    <n v="0"/>
    <n v="0"/>
    <n v="0"/>
    <n v="0"/>
    <n v="0"/>
    <n v="0.5"/>
    <n v="0"/>
  </r>
  <r>
    <x v="11"/>
    <x v="4"/>
    <x v="0"/>
    <s v="4550103"/>
    <n v="721870"/>
    <s v="Supplies-Environmental Services"/>
    <s v="Sterile Processing"/>
    <x v="0"/>
    <m/>
    <n v="245.22"/>
    <n v="423.91"/>
    <n v="371.85"/>
    <n v="347.51"/>
    <n v="195.5"/>
    <n v="783.14"/>
    <n v="297.48"/>
    <n v="419.48"/>
    <n v="107.65"/>
    <n v="481.18"/>
    <n v="320.79000000000002"/>
    <n v="28.68"/>
    <n v="4022.39"/>
    <n v="292.11"/>
  </r>
  <r>
    <x v="11"/>
    <x v="4"/>
    <x v="0"/>
    <s v="4550103"/>
    <n v="721910"/>
    <s v="Supplies-Small Equipment"/>
    <s v="Sterile Processing"/>
    <x v="0"/>
    <m/>
    <n v="696.24"/>
    <n v="879.31"/>
    <n v="9915.16"/>
    <n v="628.69000000000005"/>
    <n v="17230.68"/>
    <n v="748.91"/>
    <n v="594.74"/>
    <n v="162.71"/>
    <n v="4274.8100000000004"/>
    <n v="415.46"/>
    <n v="184.37"/>
    <n v="99.76"/>
    <n v="35830.840000000004"/>
    <n v="84.61"/>
  </r>
  <r>
    <x v="11"/>
    <x v="4"/>
    <x v="0"/>
    <s v="4550103"/>
    <n v="721910"/>
    <s v="Instruments"/>
    <s v="Sterile Processing"/>
    <x v="0"/>
    <n v="1000"/>
    <n v="2018.48"/>
    <n v="8162.57"/>
    <n v="9113.64"/>
    <n v="5328.68"/>
    <n v="7700.89"/>
    <n v="2472.35"/>
    <n v="14554.29"/>
    <n v="11714.34"/>
    <n v="9657.02"/>
    <n v="268.41000000000003"/>
    <n v="1574.25"/>
    <n v="25252.59"/>
    <n v="97817.510000000009"/>
    <n v="-23678.34"/>
  </r>
  <r>
    <x v="11"/>
    <x v="4"/>
    <x v="0"/>
    <s v="4550103"/>
    <n v="721980"/>
    <s v="Supplies-Other"/>
    <s v="Sterile Processing"/>
    <x v="0"/>
    <m/>
    <n v="149.07"/>
    <n v="13.75"/>
    <n v="2142.65"/>
    <n v="240.4"/>
    <n v="0"/>
    <n v="928.09"/>
    <n v="0"/>
    <n v="467.24"/>
    <n v="0"/>
    <n v="0"/>
    <n v="0"/>
    <n v="0"/>
    <n v="3941.2000000000007"/>
    <n v="0"/>
  </r>
  <r>
    <x v="11"/>
    <x v="4"/>
    <x v="0"/>
    <s v="4550103"/>
    <n v="722000"/>
    <s v="Supplies-Freight Expense"/>
    <s v="Sterile Processing"/>
    <x v="0"/>
    <m/>
    <n v="133.59"/>
    <n v="543.97"/>
    <n v="166.42"/>
    <n v="292.92"/>
    <n v="338.98"/>
    <n v="238.25"/>
    <n v="454.47"/>
    <n v="217.67"/>
    <n v="341.29"/>
    <n v="363.63"/>
    <n v="439.14"/>
    <n v="191.53"/>
    <n v="3721.8600000000006"/>
    <n v="247.60999999999999"/>
  </r>
  <r>
    <x v="11"/>
    <x v="4"/>
    <x v="0"/>
    <s v="4550103"/>
    <n v="722000"/>
    <s v="Minimum Order Fees"/>
    <s v="Sterile Processing"/>
    <x v="0"/>
    <n v="1000"/>
    <n v="0"/>
    <n v="20"/>
    <n v="0"/>
    <n v="0"/>
    <n v="0"/>
    <n v="0"/>
    <n v="0"/>
    <n v="0"/>
    <n v="0"/>
    <n v="0"/>
    <n v="0"/>
    <n v="87.92"/>
    <n v="107.92"/>
    <n v="-87.92"/>
  </r>
  <r>
    <x v="12"/>
    <x v="4"/>
    <x v="0"/>
    <s v="4550103"/>
    <n v="730020"/>
    <s v="Rental and Leases-Equipment (DO NOT USE)"/>
    <s v="Sterile Processing"/>
    <x v="0"/>
    <m/>
    <n v="2000"/>
    <n v="0"/>
    <n v="0"/>
    <n v="0"/>
    <n v="0"/>
    <n v="0"/>
    <n v="0"/>
    <n v="0"/>
    <n v="0"/>
    <n v="0"/>
    <n v="0"/>
    <n v="0"/>
    <n v="2000"/>
    <n v="0"/>
  </r>
  <r>
    <x v="12"/>
    <x v="4"/>
    <x v="0"/>
    <s v="4550103"/>
    <n v="730020"/>
    <s v="Rental and Leases-Copier Usage Fees (DO NOT USE)"/>
    <s v="Sterile Processing"/>
    <x v="0"/>
    <n v="5100"/>
    <n v="25.65"/>
    <n v="26.21"/>
    <n v="25.93"/>
    <n v="25.93"/>
    <n v="25.93"/>
    <n v="25.93"/>
    <n v="82.83"/>
    <n v="79.83"/>
    <n v="28.43"/>
    <n v="-22.46"/>
    <n v="28.6"/>
    <n v="28.6"/>
    <n v="381.41000000000008"/>
    <n v="0"/>
  </r>
  <r>
    <x v="16"/>
    <x v="4"/>
    <x v="0"/>
    <s v="4550103"/>
    <n v="732015"/>
    <s v="Repairs-Clinical Equip-T&amp;M-Ext to CHI Programs"/>
    <s v="Sterile Processing"/>
    <x v="0"/>
    <m/>
    <n v="0"/>
    <n v="0"/>
    <n v="0"/>
    <n v="0"/>
    <n v="0"/>
    <n v="0"/>
    <n v="0"/>
    <n v="0"/>
    <n v="0"/>
    <n v="0"/>
    <n v="-229.48"/>
    <n v="0"/>
    <n v="-229.48"/>
    <n v="-229.48"/>
  </r>
  <r>
    <x v="16"/>
    <x v="4"/>
    <x v="0"/>
    <s v="4550103"/>
    <n v="732030"/>
    <s v="Repairs---Other"/>
    <s v="Sterile Processing"/>
    <x v="0"/>
    <m/>
    <n v="0"/>
    <n v="0"/>
    <n v="0"/>
    <n v="0"/>
    <n v="0"/>
    <n v="0"/>
    <n v="4403.38"/>
    <n v="580.80999999999995"/>
    <n v="0"/>
    <n v="0"/>
    <n v="0"/>
    <n v="0"/>
    <n v="4984.1900000000005"/>
    <n v="0"/>
  </r>
  <r>
    <x v="13"/>
    <x v="4"/>
    <x v="0"/>
    <s v="4550103"/>
    <n v="735070"/>
    <s v="Depreciation-Movable Equipment"/>
    <s v="Sterile Processing"/>
    <x v="0"/>
    <m/>
    <n v="2590.48"/>
    <n v="2590.48"/>
    <n v="2590.48"/>
    <n v="2506.85"/>
    <n v="2479.7600000000002"/>
    <n v="2479.73"/>
    <n v="2479.7600000000002"/>
    <n v="2479.73"/>
    <n v="2479.7600000000002"/>
    <n v="2479.73"/>
    <n v="2479.77"/>
    <n v="2479.73"/>
    <n v="30116.26"/>
    <n v="3.999999999996362E-2"/>
  </r>
  <r>
    <x v="0"/>
    <x v="4"/>
    <x v="0"/>
    <s v="4550103"/>
    <n v="740020"/>
    <s v="Education-Registration Fees"/>
    <s v="Sterile Processing"/>
    <x v="0"/>
    <m/>
    <n v="0"/>
    <n v="0"/>
    <n v="0"/>
    <n v="0"/>
    <n v="0"/>
    <n v="0"/>
    <n v="0"/>
    <n v="0"/>
    <n v="0"/>
    <n v="525"/>
    <n v="0"/>
    <n v="0"/>
    <n v="525"/>
    <n v="0"/>
  </r>
  <r>
    <x v="0"/>
    <x v="4"/>
    <x v="0"/>
    <s v="4550103"/>
    <n v="749510"/>
    <s v="Miscellaneous Expenses"/>
    <s v="Sterile Processing"/>
    <x v="0"/>
    <m/>
    <n v="0"/>
    <n v="0"/>
    <n v="0"/>
    <n v="0"/>
    <n v="737.09"/>
    <n v="72.98"/>
    <n v="0"/>
    <n v="0"/>
    <n v="467"/>
    <n v="46.78"/>
    <n v="0"/>
    <n v="0"/>
    <n v="1323.8500000000001"/>
    <n v="0"/>
  </r>
  <r>
    <x v="5"/>
    <x v="8"/>
    <x v="0"/>
    <s v="4550104"/>
    <n v="700026"/>
    <s v="Salaries-RN-Productive"/>
    <s v="Sterile Processing"/>
    <x v="0"/>
    <m/>
    <n v="520.75"/>
    <n v="0"/>
    <n v="0"/>
    <n v="0"/>
    <n v="0"/>
    <n v="0"/>
    <n v="0"/>
    <n v="0"/>
    <n v="0"/>
    <n v="0"/>
    <n v="0"/>
    <n v="0"/>
    <n v="520.75"/>
    <n v="0"/>
  </r>
  <r>
    <x v="5"/>
    <x v="8"/>
    <x v="0"/>
    <s v="4550104"/>
    <n v="700026"/>
    <s v="Salaries-RN-Other"/>
    <s v="Sterile Processing"/>
    <x v="0"/>
    <n v="2000"/>
    <n v="30.5"/>
    <n v="0"/>
    <n v="0"/>
    <n v="0"/>
    <n v="0"/>
    <n v="0"/>
    <n v="0"/>
    <n v="0"/>
    <n v="0"/>
    <n v="0"/>
    <n v="0"/>
    <n v="0"/>
    <n v="30.5"/>
    <n v="0"/>
  </r>
  <r>
    <x v="5"/>
    <x v="8"/>
    <x v="0"/>
    <s v="4550104"/>
    <n v="700032"/>
    <s v="Salaries-Other Pat Care Providers-Productive"/>
    <s v="Sterile Processing"/>
    <x v="0"/>
    <m/>
    <n v="13251.49"/>
    <n v="17587.27"/>
    <n v="16893.12"/>
    <n v="18454.66"/>
    <n v="15638.22"/>
    <n v="19493.77"/>
    <n v="18771.97"/>
    <n v="15145.07"/>
    <n v="20876.849999999999"/>
    <n v="17776.009999999998"/>
    <n v="19793.84"/>
    <n v="19285.560000000001"/>
    <n v="212967.83000000002"/>
    <n v="508.27999999999884"/>
  </r>
  <r>
    <x v="5"/>
    <x v="8"/>
    <x v="0"/>
    <s v="4550104"/>
    <n v="700032"/>
    <s v="Salaries-Other Pat Care Providers-OT"/>
    <s v="Sterile Processing"/>
    <x v="0"/>
    <n v="1000"/>
    <n v="656.27"/>
    <n v="37.14"/>
    <n v="194.28"/>
    <n v="-21.35"/>
    <n v="124.71"/>
    <n v="147.75"/>
    <n v="74.73"/>
    <n v="64.760000000000005"/>
    <n v="111.79"/>
    <n v="223.61"/>
    <n v="364.95"/>
    <n v="98.85"/>
    <n v="2077.4900000000002"/>
    <n v="266.10000000000002"/>
  </r>
  <r>
    <x v="5"/>
    <x v="8"/>
    <x v="0"/>
    <s v="4550104"/>
    <n v="700032"/>
    <s v="Salaries-Other Pat Care Providers-Other"/>
    <s v="Sterile Processing"/>
    <x v="0"/>
    <n v="2000"/>
    <n v="1298.06"/>
    <n v="1613.4"/>
    <n v="1193"/>
    <n v="1297.32"/>
    <n v="1643.02"/>
    <n v="1893.52"/>
    <n v="1474.09"/>
    <n v="1315.48"/>
    <n v="1752.06"/>
    <n v="1311.5"/>
    <n v="1160.22"/>
    <n v="1453.92"/>
    <n v="17405.589999999997"/>
    <n v="-293.70000000000005"/>
  </r>
  <r>
    <x v="5"/>
    <x v="8"/>
    <x v="0"/>
    <s v="4550104"/>
    <n v="700034"/>
    <s v="Salaries-Tech/Professional-Productive"/>
    <s v="Sterile Processing"/>
    <x v="0"/>
    <m/>
    <n v="350.3"/>
    <n v="0"/>
    <n v="7082.6"/>
    <n v="122.25"/>
    <n v="4083.02"/>
    <n v="708.36"/>
    <n v="2374.61"/>
    <n v="4308.6899999999996"/>
    <n v="5092.43"/>
    <n v="3776.32"/>
    <n v="5427.17"/>
    <n v="4490.84"/>
    <n v="37816.589999999997"/>
    <n v="936.32999999999993"/>
  </r>
  <r>
    <x v="5"/>
    <x v="8"/>
    <x v="0"/>
    <s v="4550104"/>
    <n v="700034"/>
    <s v="Salaries-Tech/Professional-Other"/>
    <s v="Sterile Processing"/>
    <x v="0"/>
    <n v="2000"/>
    <n v="0"/>
    <n v="0"/>
    <n v="362.25"/>
    <n v="-83.6"/>
    <n v="8"/>
    <n v="221.29"/>
    <n v="220.89"/>
    <n v="310.60000000000002"/>
    <n v="-90.68"/>
    <n v="10.98"/>
    <n v="-4.57"/>
    <n v="0.85"/>
    <n v="956.00999999999976"/>
    <n v="-5.42"/>
  </r>
  <r>
    <x v="5"/>
    <x v="8"/>
    <x v="0"/>
    <s v="4550104"/>
    <n v="700054"/>
    <s v="Salaries-Management-NonProd-Other"/>
    <s v="Sterile Processing"/>
    <x v="0"/>
    <n v="2000"/>
    <n v="0"/>
    <n v="0"/>
    <n v="0"/>
    <n v="0"/>
    <n v="0"/>
    <n v="601.09"/>
    <n v="-601.09"/>
    <n v="0"/>
    <n v="0"/>
    <n v="0"/>
    <n v="0"/>
    <n v="0"/>
    <n v="0"/>
    <n v="0"/>
  </r>
  <r>
    <x v="5"/>
    <x v="8"/>
    <x v="0"/>
    <s v="4550104"/>
    <n v="700072"/>
    <s v="Salaries-Other Pat Care Providers-Non-productive"/>
    <s v="Sterile Processing"/>
    <x v="0"/>
    <m/>
    <n v="2660.54"/>
    <n v="2144.44"/>
    <n v="1504.86"/>
    <n v="1192.44"/>
    <n v="2446.89"/>
    <n v="3848.75"/>
    <n v="3787.47"/>
    <n v="5142.3100000000004"/>
    <n v="1503.89"/>
    <n v="2458.34"/>
    <n v="3173.89"/>
    <n v="1980.32"/>
    <n v="31844.14"/>
    <n v="1193.57"/>
  </r>
  <r>
    <x v="5"/>
    <x v="8"/>
    <x v="0"/>
    <s v="4550104"/>
    <n v="700072"/>
    <s v="Salaries-Other Pat Care Providers-NonProd-Other"/>
    <s v="Sterile Processing"/>
    <x v="0"/>
    <n v="2000"/>
    <n v="11.6"/>
    <n v="0"/>
    <n v="41.42"/>
    <n v="91.61"/>
    <n v="-12.75"/>
    <n v="93.87"/>
    <n v="21.35"/>
    <n v="147.86000000000001"/>
    <n v="20.63"/>
    <n v="44.61"/>
    <n v="134.41"/>
    <n v="43.29"/>
    <n v="637.9"/>
    <n v="91.12"/>
  </r>
  <r>
    <x v="5"/>
    <x v="8"/>
    <x v="0"/>
    <s v="4550104"/>
    <n v="700074"/>
    <s v="Salaries-Tech/Professional-Non-productive"/>
    <s v="Sterile Processing"/>
    <x v="0"/>
    <m/>
    <n v="0"/>
    <n v="0"/>
    <n v="454.32"/>
    <n v="893.18"/>
    <n v="-227.16"/>
    <n v="1756.74"/>
    <n v="1395.04"/>
    <n v="140.46"/>
    <n v="-86.09"/>
    <n v="2543.48"/>
    <n v="-614.57000000000005"/>
    <n v="296.76"/>
    <n v="6552.16"/>
    <n v="-911.33"/>
  </r>
  <r>
    <x v="5"/>
    <x v="8"/>
    <x v="0"/>
    <s v="4550104"/>
    <n v="700074"/>
    <s v="Salaries-Tech/Professional-NonProd-Other"/>
    <s v="Sterile Processing"/>
    <x v="0"/>
    <n v="2000"/>
    <n v="0"/>
    <n v="0"/>
    <n v="84.09"/>
    <n v="25.81"/>
    <n v="522.80999999999995"/>
    <n v="1077.08"/>
    <n v="6.63"/>
    <n v="-1571.31"/>
    <n v="-3.3"/>
    <n v="0"/>
    <n v="0"/>
    <n v="0"/>
    <n v="141.81000000000012"/>
    <n v="0"/>
  </r>
  <r>
    <x v="5"/>
    <x v="8"/>
    <x v="0"/>
    <s v="4550104"/>
    <n v="700084"/>
    <s v="Accrued PTO"/>
    <s v="Sterile Processing"/>
    <x v="0"/>
    <m/>
    <n v="-761.07"/>
    <n v="438.11"/>
    <n v="551.1"/>
    <n v="225.25"/>
    <n v="955.47"/>
    <n v="-1536.12"/>
    <n v="-1296.57"/>
    <n v="1423.47"/>
    <n v="1635.74"/>
    <n v="-249.98"/>
    <n v="632.42999999999995"/>
    <n v="239.61"/>
    <n v="2257.4400000000005"/>
    <n v="392.81999999999994"/>
  </r>
  <r>
    <x v="10"/>
    <x v="8"/>
    <x v="0"/>
    <s v="4550104"/>
    <n v="710060"/>
    <s v="Contract Labor-Other"/>
    <s v="Sterile Processing"/>
    <x v="0"/>
    <m/>
    <n v="0"/>
    <n v="0"/>
    <n v="0"/>
    <n v="0"/>
    <n v="0"/>
    <n v="0"/>
    <n v="0"/>
    <n v="0"/>
    <n v="0"/>
    <n v="-135"/>
    <n v="0"/>
    <n v="0"/>
    <n v="-135"/>
    <n v="0"/>
  </r>
  <r>
    <x v="6"/>
    <x v="8"/>
    <x v="0"/>
    <s v="4550104"/>
    <n v="713010"/>
    <s v="Benefits-FICA/Medicare"/>
    <s v="Sterile Processing"/>
    <x v="0"/>
    <m/>
    <n v="1382.71"/>
    <n v="1566.94"/>
    <n v="2017.3"/>
    <n v="1601.83"/>
    <n v="1906.4"/>
    <n v="2146.5700000000002"/>
    <n v="2071.86"/>
    <n v="1918.68"/>
    <n v="2102.09"/>
    <n v="1976.56"/>
    <n v="2119.06"/>
    <n v="2006.7"/>
    <n v="22816.700000000004"/>
    <n v="112.3599999999999"/>
  </r>
  <r>
    <x v="6"/>
    <x v="8"/>
    <x v="0"/>
    <s v="4550104"/>
    <n v="713090"/>
    <s v="Benefits-Allocated Amounts"/>
    <s v="Sterile Processing"/>
    <x v="0"/>
    <m/>
    <n v="5079.7299999999996"/>
    <n v="5421.17"/>
    <n v="6830.91"/>
    <n v="5861.08"/>
    <n v="6257.4"/>
    <n v="7235.19"/>
    <n v="7364.89"/>
    <n v="7426.32"/>
    <n v="7502.17"/>
    <n v="7802.62"/>
    <n v="8143.84"/>
    <n v="7692.5"/>
    <n v="82617.819999999992"/>
    <n v="451.34000000000015"/>
  </r>
  <r>
    <x v="6"/>
    <x v="8"/>
    <x v="0"/>
    <s v="4550104"/>
    <n v="713096"/>
    <s v="Employee Recognition"/>
    <s v="Sterile Processing"/>
    <x v="0"/>
    <n v="1017"/>
    <n v="0"/>
    <n v="0"/>
    <n v="0"/>
    <n v="0"/>
    <n v="54.9"/>
    <n v="0"/>
    <n v="0"/>
    <n v="0"/>
    <n v="0"/>
    <n v="50"/>
    <n v="0"/>
    <n v="0"/>
    <n v="104.9"/>
    <n v="0"/>
  </r>
  <r>
    <x v="7"/>
    <x v="8"/>
    <x v="0"/>
    <s v="4550104"/>
    <n v="718050"/>
    <s v="Miscellaneous Purchased Svcs"/>
    <s v="Sterile Processing"/>
    <x v="0"/>
    <n v="1020"/>
    <n v="0"/>
    <n v="0"/>
    <n v="0"/>
    <n v="0"/>
    <n v="2200"/>
    <n v="0"/>
    <n v="250"/>
    <n v="0"/>
    <n v="0"/>
    <n v="0"/>
    <n v="0"/>
    <n v="0"/>
    <n v="2450"/>
    <n v="0"/>
  </r>
  <r>
    <x v="7"/>
    <x v="8"/>
    <x v="0"/>
    <s v="4550104"/>
    <n v="718050"/>
    <s v="Contract Management--Linen"/>
    <s v="Sterile Processing"/>
    <x v="0"/>
    <n v="1026"/>
    <n v="196.81"/>
    <n v="230.93"/>
    <n v="108.25"/>
    <n v="213.99"/>
    <n v="203.08"/>
    <n v="195.85"/>
    <n v="225.13"/>
    <n v="182.6"/>
    <n v="131.31"/>
    <n v="232.68"/>
    <n v="98.83"/>
    <n v="301.66000000000003"/>
    <n v="2321.12"/>
    <n v="-202.83000000000004"/>
  </r>
  <r>
    <x v="7"/>
    <x v="8"/>
    <x v="0"/>
    <s v="4550104"/>
    <n v="718070"/>
    <s v="Contract Srvcs-CHI Clinical Engineering"/>
    <s v="Sterile Processing"/>
    <x v="0"/>
    <m/>
    <n v="2272.29"/>
    <n v="2272.29"/>
    <n v="2272.29"/>
    <n v="2272.29"/>
    <n v="2272.29"/>
    <n v="2272.29"/>
    <n v="0"/>
    <n v="2272.29"/>
    <n v="2272.29"/>
    <n v="2272.29"/>
    <n v="2272.29"/>
    <n v="2272.29"/>
    <n v="24995.190000000006"/>
    <n v="0"/>
  </r>
  <r>
    <x v="11"/>
    <x v="8"/>
    <x v="0"/>
    <s v="4550104"/>
    <n v="721010"/>
    <s v="Supplies-Medical - Billable"/>
    <s v="Sterile Processing"/>
    <x v="0"/>
    <m/>
    <n v="0"/>
    <n v="13.33"/>
    <n v="0"/>
    <n v="0"/>
    <n v="44.91"/>
    <n v="0"/>
    <n v="0"/>
    <n v="0"/>
    <n v="0"/>
    <n v="0"/>
    <n v="0"/>
    <n v="0"/>
    <n v="58.239999999999995"/>
    <n v="0"/>
  </r>
  <r>
    <x v="11"/>
    <x v="8"/>
    <x v="0"/>
    <s v="4550104"/>
    <n v="721020"/>
    <s v="Supplies-Surgical - Billable"/>
    <s v="Sterile Processing"/>
    <x v="0"/>
    <m/>
    <n v="971.08"/>
    <n v="1400.66"/>
    <n v="1085.58"/>
    <n v="2598.6799999999998"/>
    <n v="757.53"/>
    <n v="353.22"/>
    <n v="-48.74"/>
    <n v="227.94"/>
    <n v="1137.54"/>
    <n v="0"/>
    <n v="850.16"/>
    <n v="682.57"/>
    <n v="10016.219999999999"/>
    <n v="167.58999999999992"/>
  </r>
  <r>
    <x v="11"/>
    <x v="8"/>
    <x v="0"/>
    <s v="4550104"/>
    <n v="721020"/>
    <s v="Endoscopy - Trocars &amp; Accessories"/>
    <s v="Sterile Processing"/>
    <x v="0"/>
    <n v="1002"/>
    <n v="0"/>
    <n v="0"/>
    <n v="0"/>
    <n v="0"/>
    <n v="0"/>
    <n v="0"/>
    <n v="133.08000000000001"/>
    <n v="11.31"/>
    <n v="0"/>
    <n v="0"/>
    <n v="0"/>
    <n v="0"/>
    <n v="144.39000000000001"/>
    <n v="0"/>
  </r>
  <r>
    <x v="11"/>
    <x v="8"/>
    <x v="0"/>
    <s v="4550104"/>
    <n v="721050"/>
    <s v="Supplies-Cardiac Rhythm - Billable"/>
    <s v="Sterile Processing"/>
    <x v="0"/>
    <m/>
    <n v="0"/>
    <n v="0"/>
    <n v="0"/>
    <n v="348.07"/>
    <n v="0"/>
    <n v="0"/>
    <n v="0"/>
    <n v="0"/>
    <n v="0"/>
    <n v="0"/>
    <n v="0"/>
    <n v="0"/>
    <n v="348.07"/>
    <n v="0"/>
  </r>
  <r>
    <x v="11"/>
    <x v="8"/>
    <x v="0"/>
    <s v="4550104"/>
    <n v="721150"/>
    <s v="Supplies-Other Implants - Billable"/>
    <s v="Sterile Processing"/>
    <x v="0"/>
    <m/>
    <n v="0"/>
    <n v="2594"/>
    <n v="2213.19"/>
    <n v="726.05"/>
    <n v="726.05"/>
    <n v="0"/>
    <n v="0"/>
    <n v="0"/>
    <n v="0"/>
    <n v="542.5"/>
    <n v="-42.5"/>
    <n v="0"/>
    <n v="6759.2900000000009"/>
    <n v="-42.5"/>
  </r>
  <r>
    <x v="11"/>
    <x v="8"/>
    <x v="0"/>
    <s v="4550104"/>
    <n v="721150"/>
    <s v="Fracture Management"/>
    <s v="Sterile Processing"/>
    <x v="0"/>
    <n v="1001"/>
    <n v="0"/>
    <n v="1109"/>
    <n v="9801.4500000000007"/>
    <n v="7930"/>
    <n v="8599.06"/>
    <n v="780.49"/>
    <n v="0"/>
    <n v="1198.71"/>
    <n v="-2220.1999999999998"/>
    <n v="0"/>
    <n v="279.01"/>
    <n v="592.46"/>
    <n v="28069.98"/>
    <n v="-313.45000000000005"/>
  </r>
  <r>
    <x v="11"/>
    <x v="8"/>
    <x v="0"/>
    <s v="4550104"/>
    <n v="721250"/>
    <s v="Supplies-Pharmacy Drugs - Billable"/>
    <s v="Sterile Processing"/>
    <x v="0"/>
    <m/>
    <n v="0"/>
    <n v="0"/>
    <n v="19.28"/>
    <n v="0"/>
    <n v="0"/>
    <n v="19.28"/>
    <n v="0"/>
    <n v="0"/>
    <n v="19.28"/>
    <n v="0"/>
    <n v="0"/>
    <n v="19.28"/>
    <n v="77.12"/>
    <n v="-19.28"/>
  </r>
  <r>
    <x v="11"/>
    <x v="8"/>
    <x v="0"/>
    <s v="4550104"/>
    <n v="721410"/>
    <s v="Supplies-Medical - Nonbillable"/>
    <s v="Sterile Processing"/>
    <x v="0"/>
    <m/>
    <n v="586.11"/>
    <n v="636.14"/>
    <n v="719.93"/>
    <n v="355.17"/>
    <n v="2546.79"/>
    <n v="1076.3900000000001"/>
    <n v="364.41"/>
    <n v="590.17999999999995"/>
    <n v="416.19"/>
    <n v="1947.34"/>
    <n v="4635.5"/>
    <n v="518.64"/>
    <n v="14392.789999999999"/>
    <n v="4116.8599999999997"/>
  </r>
  <r>
    <x v="11"/>
    <x v="8"/>
    <x v="0"/>
    <s v="4550104"/>
    <n v="721420"/>
    <s v="Sterilization Process Products"/>
    <s v="Sterile Processing"/>
    <x v="0"/>
    <n v="1009"/>
    <n v="12135.99"/>
    <n v="11303.42"/>
    <n v="15002.95"/>
    <n v="16030.45"/>
    <n v="7667.41"/>
    <n v="17956.7"/>
    <n v="15457.53"/>
    <n v="14765.8"/>
    <n v="14021.85"/>
    <n v="16065.94"/>
    <n v="20032.23"/>
    <n v="9953.8799999999992"/>
    <n v="170394.15000000002"/>
    <n v="10078.35"/>
  </r>
  <r>
    <x v="11"/>
    <x v="8"/>
    <x v="0"/>
    <s v="4550104"/>
    <n v="721810"/>
    <s v="Supplies-Dietary/Cafeteria"/>
    <s v="Sterile Processing"/>
    <x v="0"/>
    <m/>
    <n v="0"/>
    <n v="0"/>
    <n v="0"/>
    <n v="4.5"/>
    <n v="11.66"/>
    <n v="0"/>
    <n v="4.5"/>
    <n v="0"/>
    <n v="0"/>
    <n v="0"/>
    <n v="0"/>
    <n v="0"/>
    <n v="20.66"/>
    <n v="0"/>
  </r>
  <r>
    <x v="11"/>
    <x v="8"/>
    <x v="0"/>
    <s v="4550104"/>
    <n v="721830"/>
    <s v="Supplies-Office"/>
    <s v="Sterile Processing"/>
    <x v="0"/>
    <m/>
    <n v="294.12"/>
    <n v="570.09"/>
    <n v="0"/>
    <n v="39.1"/>
    <n v="0"/>
    <n v="201.81"/>
    <n v="494.76"/>
    <n v="438.84"/>
    <n v="-38.72"/>
    <n v="96.8"/>
    <n v="547.27"/>
    <n v="140.01"/>
    <n v="2784.08"/>
    <n v="407.26"/>
  </r>
  <r>
    <x v="11"/>
    <x v="8"/>
    <x v="0"/>
    <s v="4550104"/>
    <n v="721870"/>
    <s v="Supplies-Environmental Services"/>
    <s v="Sterile Processing"/>
    <x v="0"/>
    <m/>
    <n v="580.87"/>
    <n v="989.9"/>
    <n v="630.75"/>
    <n v="611.54999999999995"/>
    <n v="1527.42"/>
    <n v="138.69999999999999"/>
    <n v="-107.44"/>
    <n v="9.6"/>
    <n v="497.83"/>
    <n v="506.16"/>
    <n v="237.75"/>
    <n v="9.16"/>
    <n v="5632.25"/>
    <n v="228.59"/>
  </r>
  <r>
    <x v="11"/>
    <x v="8"/>
    <x v="0"/>
    <s v="4550104"/>
    <n v="721910"/>
    <s v="Supplies-Small Equipment"/>
    <s v="Sterile Processing"/>
    <x v="0"/>
    <m/>
    <n v="622.25"/>
    <n v="282.32"/>
    <n v="43.01"/>
    <n v="0"/>
    <n v="0"/>
    <n v="503.93"/>
    <n v="0"/>
    <n v="0"/>
    <n v="1.36"/>
    <n v="299.20999999999998"/>
    <n v="0"/>
    <n v="152.13999999999999"/>
    <n v="1904.2199999999998"/>
    <n v="-152.13999999999999"/>
  </r>
  <r>
    <x v="11"/>
    <x v="8"/>
    <x v="0"/>
    <s v="4550104"/>
    <n v="721910"/>
    <s v="Instruments"/>
    <s v="Sterile Processing"/>
    <x v="0"/>
    <n v="1000"/>
    <n v="5601.98"/>
    <n v="12589.66"/>
    <n v="10282.09"/>
    <n v="12741.42"/>
    <n v="4395.92"/>
    <n v="16909.91"/>
    <n v="9030.61"/>
    <n v="10555.64"/>
    <n v="3202.81"/>
    <n v="3108.91"/>
    <n v="606.24"/>
    <n v="375.15"/>
    <n v="89400.34"/>
    <n v="231.09000000000003"/>
  </r>
  <r>
    <x v="11"/>
    <x v="8"/>
    <x v="0"/>
    <s v="4550104"/>
    <n v="722000"/>
    <s v="Supplies-Freight Expense"/>
    <s v="Sterile Processing"/>
    <x v="0"/>
    <m/>
    <n v="106.4"/>
    <n v="658.24"/>
    <n v="180.99"/>
    <n v="344.9"/>
    <n v="327.05"/>
    <n v="466.43"/>
    <n v="304.77999999999997"/>
    <n v="127.41"/>
    <n v="205.86"/>
    <n v="326.63"/>
    <n v="355.73"/>
    <n v="246.75"/>
    <n v="3651.17"/>
    <n v="108.98000000000002"/>
  </r>
  <r>
    <x v="12"/>
    <x v="8"/>
    <x v="0"/>
    <s v="4550104"/>
    <n v="730020"/>
    <s v="Rental and Leases-Equipment (DO NOT USE)"/>
    <s v="Sterile Processing"/>
    <x v="0"/>
    <m/>
    <n v="2000"/>
    <n v="0"/>
    <n v="0"/>
    <n v="0"/>
    <n v="0"/>
    <n v="0"/>
    <n v="0"/>
    <n v="0"/>
    <n v="0"/>
    <n v="0"/>
    <n v="0"/>
    <n v="0"/>
    <n v="2000"/>
    <n v="0"/>
  </r>
  <r>
    <x v="13"/>
    <x v="8"/>
    <x v="0"/>
    <s v="4550104"/>
    <n v="735070"/>
    <s v="Depreciation-Movable Equipment"/>
    <s v="Sterile Processing"/>
    <x v="0"/>
    <m/>
    <n v="3685.39"/>
    <n v="3685.39"/>
    <n v="3685.39"/>
    <n v="3685.39"/>
    <n v="3685.39"/>
    <n v="3685.39"/>
    <n v="3685.39"/>
    <n v="3685.39"/>
    <n v="3685.39"/>
    <n v="3685.39"/>
    <n v="3685.4"/>
    <n v="3685.39"/>
    <n v="44224.69"/>
    <n v="1.0000000000218279E-2"/>
  </r>
  <r>
    <x v="0"/>
    <x v="8"/>
    <x v="0"/>
    <s v="4550104"/>
    <n v="740020"/>
    <s v="Education-Registration Fees"/>
    <s v="Sterile Processing"/>
    <x v="0"/>
    <m/>
    <n v="0"/>
    <n v="425"/>
    <n v="0"/>
    <n v="0"/>
    <n v="0"/>
    <n v="0"/>
    <n v="0"/>
    <n v="0"/>
    <n v="0"/>
    <n v="135"/>
    <n v="165"/>
    <n v="0"/>
    <n v="725"/>
    <n v="165"/>
  </r>
  <r>
    <x v="0"/>
    <x v="8"/>
    <x v="0"/>
    <s v="4550104"/>
    <n v="749510"/>
    <s v="Miscellaneous Expenses"/>
    <s v="Sterile Processing"/>
    <x v="0"/>
    <m/>
    <n v="0"/>
    <n v="0"/>
    <n v="54.9"/>
    <n v="113.06"/>
    <n v="-54.9"/>
    <n v="3215"/>
    <n v="9.61"/>
    <n v="321.5"/>
    <n v="0"/>
    <n v="0"/>
    <n v="0"/>
    <n v="297.93"/>
    <n v="3957.1"/>
    <n v="-297.93"/>
  </r>
  <r>
    <x v="0"/>
    <x v="8"/>
    <x v="0"/>
    <s v="4550104"/>
    <n v="749510"/>
    <s v="Licenses"/>
    <s v="Sterile Processing"/>
    <x v="0"/>
    <n v="1002"/>
    <n v="0"/>
    <n v="0"/>
    <n v="0"/>
    <n v="0"/>
    <n v="0"/>
    <n v="0"/>
    <n v="0"/>
    <n v="0"/>
    <n v="0"/>
    <n v="0"/>
    <n v="0"/>
    <n v="50"/>
    <n v="50"/>
    <n v="-50"/>
  </r>
  <r>
    <x v="0"/>
    <x v="8"/>
    <x v="0"/>
    <s v="4550104"/>
    <n v="749530"/>
    <s v="Travel"/>
    <s v="Sterile Processing"/>
    <x v="0"/>
    <m/>
    <n v="0"/>
    <n v="371.4"/>
    <n v="140"/>
    <n v="0"/>
    <n v="0"/>
    <n v="0"/>
    <n v="0"/>
    <n v="0"/>
    <n v="0"/>
    <n v="0"/>
    <n v="0"/>
    <n v="0"/>
    <n v="511.4"/>
    <n v="0"/>
  </r>
  <r>
    <x v="5"/>
    <x v="5"/>
    <x v="0"/>
    <s v="4550106"/>
    <n v="700026"/>
    <s v="Salaries-RN-Productive"/>
    <s v="Sterile Processing"/>
    <x v="0"/>
    <m/>
    <n v="0"/>
    <n v="0"/>
    <n v="0"/>
    <n v="3126.26"/>
    <n v="-1375.54"/>
    <n v="0"/>
    <n v="0"/>
    <n v="0"/>
    <n v="0"/>
    <n v="0"/>
    <n v="0"/>
    <n v="0"/>
    <n v="1750.7200000000003"/>
    <n v="0"/>
  </r>
  <r>
    <x v="5"/>
    <x v="5"/>
    <x v="0"/>
    <s v="4550106"/>
    <n v="700026"/>
    <s v="Salaries-RN-OT"/>
    <s v="Sterile Processing"/>
    <x v="0"/>
    <n v="1000"/>
    <n v="0"/>
    <n v="0"/>
    <n v="0"/>
    <n v="74.78"/>
    <n v="-32.9"/>
    <n v="0"/>
    <n v="0"/>
    <n v="0"/>
    <n v="0"/>
    <n v="0"/>
    <n v="0"/>
    <n v="0"/>
    <n v="41.88"/>
    <n v="0"/>
  </r>
  <r>
    <x v="5"/>
    <x v="5"/>
    <x v="0"/>
    <s v="4550106"/>
    <n v="700032"/>
    <s v="Salaries-Other Pat Care Providers-Productive"/>
    <s v="Sterile Processing"/>
    <x v="0"/>
    <m/>
    <n v="10090.530000000001"/>
    <n v="6679.92"/>
    <n v="13657.43"/>
    <n v="14141.8"/>
    <n v="14271.3"/>
    <n v="9597.5499999999993"/>
    <n v="10393.15"/>
    <n v="8423.0300000000007"/>
    <n v="7461.68"/>
    <n v="9844.68"/>
    <n v="9090.3700000000008"/>
    <n v="9186.9500000000007"/>
    <n v="122838.38999999997"/>
    <n v="-96.579999999999927"/>
  </r>
  <r>
    <x v="5"/>
    <x v="5"/>
    <x v="0"/>
    <s v="4550106"/>
    <n v="700032"/>
    <s v="Salaries-Other Pat Care Providers-OT"/>
    <s v="Sterile Processing"/>
    <x v="0"/>
    <n v="1000"/>
    <n v="1055.95"/>
    <n v="907.43"/>
    <n v="487.62"/>
    <n v="219.02"/>
    <n v="267.68"/>
    <n v="-8.3800000000000008"/>
    <n v="69.540000000000006"/>
    <n v="197.54"/>
    <n v="51.78"/>
    <n v="69.64"/>
    <n v="73.790000000000006"/>
    <n v="199.29"/>
    <n v="3590.8999999999996"/>
    <n v="-125.49999999999999"/>
  </r>
  <r>
    <x v="5"/>
    <x v="5"/>
    <x v="0"/>
    <s v="4550106"/>
    <n v="700032"/>
    <s v="Salaries-Other Pat Care Providers-Other"/>
    <s v="Sterile Processing"/>
    <x v="0"/>
    <n v="2000"/>
    <n v="165.06"/>
    <n v="245.69"/>
    <n v="361.05"/>
    <n v="513.51"/>
    <n v="459.52"/>
    <n v="386.22"/>
    <n v="305.94"/>
    <n v="189.35"/>
    <n v="257.73"/>
    <n v="318.39"/>
    <n v="205.15"/>
    <n v="228.42"/>
    <n v="3636.03"/>
    <n v="-23.269999999999982"/>
  </r>
  <r>
    <x v="5"/>
    <x v="5"/>
    <x v="0"/>
    <s v="4550106"/>
    <n v="700034"/>
    <s v="Salaries-Tech/Professional-Productive"/>
    <s v="Sterile Processing"/>
    <x v="0"/>
    <m/>
    <n v="0"/>
    <n v="4327.96"/>
    <n v="-944.43"/>
    <n v="2893.33"/>
    <n v="-1273.04"/>
    <n v="353.8"/>
    <n v="354.32"/>
    <n v="0"/>
    <n v="2654.71"/>
    <n v="5638.21"/>
    <n v="-904.75"/>
    <n v="879.51"/>
    <n v="13979.62"/>
    <n v="-1784.26"/>
  </r>
  <r>
    <x v="5"/>
    <x v="5"/>
    <x v="0"/>
    <s v="4550106"/>
    <n v="700034"/>
    <s v="Salaries-Tech/Professional-OT"/>
    <s v="Sterile Processing"/>
    <x v="0"/>
    <n v="1000"/>
    <n v="0"/>
    <n v="1572.62"/>
    <n v="-471.72"/>
    <n v="31.6"/>
    <n v="-13.9"/>
    <n v="0"/>
    <n v="0"/>
    <n v="0"/>
    <n v="0"/>
    <n v="1399.16"/>
    <n v="-494.34"/>
    <n v="209.26"/>
    <n v="2232.6799999999998"/>
    <n v="-703.59999999999991"/>
  </r>
  <r>
    <x v="5"/>
    <x v="5"/>
    <x v="0"/>
    <s v="4550106"/>
    <n v="700034"/>
    <s v="Salaries-Tech/Professional-Other"/>
    <s v="Sterile Processing"/>
    <x v="0"/>
    <n v="2000"/>
    <n v="0"/>
    <n v="127.83"/>
    <n v="-38.33"/>
    <n v="53.55"/>
    <n v="-23.55"/>
    <n v="0"/>
    <n v="0"/>
    <n v="0"/>
    <n v="25.17"/>
    <n v="176.03"/>
    <n v="-50.07"/>
    <n v="28.64"/>
    <n v="299.27000000000004"/>
    <n v="-78.710000000000008"/>
  </r>
  <r>
    <x v="5"/>
    <x v="5"/>
    <x v="0"/>
    <s v="4550106"/>
    <n v="700038"/>
    <s v="Salaries-Service/Support-Productive"/>
    <s v="Sterile Processing"/>
    <x v="0"/>
    <m/>
    <n v="0"/>
    <n v="0"/>
    <n v="0"/>
    <n v="0"/>
    <n v="0"/>
    <n v="1147.8800000000001"/>
    <n v="2563.5700000000002"/>
    <n v="2590.3200000000002"/>
    <n v="2785.45"/>
    <n v="1631.62"/>
    <n v="3524.22"/>
    <n v="2533.67"/>
    <n v="16776.73"/>
    <n v="990.54999999999973"/>
  </r>
  <r>
    <x v="5"/>
    <x v="5"/>
    <x v="0"/>
    <s v="4550106"/>
    <n v="700038"/>
    <s v="Salaries-Service/Support-OT"/>
    <s v="Sterile Processing"/>
    <x v="0"/>
    <n v="1000"/>
    <n v="0"/>
    <n v="0"/>
    <n v="0"/>
    <n v="0"/>
    <n v="0"/>
    <n v="0"/>
    <n v="0"/>
    <n v="34.770000000000003"/>
    <n v="0"/>
    <n v="132.9"/>
    <n v="41"/>
    <n v="41.02"/>
    <n v="249.69000000000003"/>
    <n v="-2.0000000000003126E-2"/>
  </r>
  <r>
    <x v="5"/>
    <x v="5"/>
    <x v="0"/>
    <s v="4550106"/>
    <n v="700038"/>
    <s v="Salaries-Service/Support-Other"/>
    <s v="Sterile Processing"/>
    <x v="0"/>
    <n v="2000"/>
    <n v="0"/>
    <n v="0"/>
    <n v="0"/>
    <n v="0"/>
    <n v="0"/>
    <n v="29.71"/>
    <n v="48.43"/>
    <n v="35.28"/>
    <n v="16.72"/>
    <n v="66.37"/>
    <n v="-3.32"/>
    <n v="60.86"/>
    <n v="254.05"/>
    <n v="-64.179999999999993"/>
  </r>
  <r>
    <x v="5"/>
    <x v="5"/>
    <x v="0"/>
    <s v="4550106"/>
    <n v="700054"/>
    <s v="Salaries-Management-NonProd-Other"/>
    <s v="Sterile Processing"/>
    <x v="0"/>
    <n v="2000"/>
    <n v="0"/>
    <n v="0"/>
    <n v="0"/>
    <n v="0"/>
    <n v="0"/>
    <n v="119.31"/>
    <n v="-119.31"/>
    <n v="0"/>
    <n v="0"/>
    <n v="0"/>
    <n v="0"/>
    <n v="0"/>
    <n v="0"/>
    <n v="0"/>
  </r>
  <r>
    <x v="5"/>
    <x v="5"/>
    <x v="0"/>
    <s v="4550106"/>
    <n v="700072"/>
    <s v="Salaries-Other Pat Care Providers-Non-productive"/>
    <s v="Sterile Processing"/>
    <x v="0"/>
    <m/>
    <n v="6746.44"/>
    <n v="10134.24"/>
    <n v="1658.7"/>
    <n v="2562.59"/>
    <n v="-719.63"/>
    <n v="2177.6999999999998"/>
    <n v="1001.77"/>
    <n v="1147.07"/>
    <n v="1501.34"/>
    <n v="2107.75"/>
    <n v="1184.07"/>
    <n v="973.59"/>
    <n v="30475.63"/>
    <n v="210.4799999999999"/>
  </r>
  <r>
    <x v="5"/>
    <x v="5"/>
    <x v="0"/>
    <s v="4550106"/>
    <n v="700072"/>
    <s v="Salaries-Other Pat Care Providers-NonProd-Other"/>
    <s v="Sterile Processing"/>
    <x v="0"/>
    <n v="2000"/>
    <n v="145.97"/>
    <n v="14.65"/>
    <n v="80.47"/>
    <n v="345.47"/>
    <n v="18.940000000000001"/>
    <n v="-6"/>
    <n v="37.700000000000003"/>
    <n v="12.5"/>
    <n v="163.41999999999999"/>
    <n v="65.209999999999994"/>
    <n v="-8.6199999999999992"/>
    <n v="113.92"/>
    <n v="983.63000000000011"/>
    <n v="-122.54"/>
  </r>
  <r>
    <x v="5"/>
    <x v="5"/>
    <x v="0"/>
    <s v="4550106"/>
    <n v="700074"/>
    <s v="Salaries-Tech/Professional-NonProd-Other"/>
    <s v="Sterile Processing"/>
    <x v="0"/>
    <n v="2000"/>
    <n v="0"/>
    <n v="0"/>
    <n v="0"/>
    <n v="0.89"/>
    <n v="-0.39"/>
    <n v="0"/>
    <n v="0"/>
    <n v="0"/>
    <n v="0"/>
    <n v="0"/>
    <n v="0"/>
    <n v="0"/>
    <n v="0.5"/>
    <n v="0"/>
  </r>
  <r>
    <x v="5"/>
    <x v="5"/>
    <x v="0"/>
    <s v="4550106"/>
    <n v="700078"/>
    <s v="Salaries-Service/Support-Non-productive"/>
    <s v="Sterile Processing"/>
    <x v="0"/>
    <m/>
    <n v="0"/>
    <n v="0"/>
    <n v="0"/>
    <n v="0"/>
    <n v="0"/>
    <n v="166.2"/>
    <n v="721.92"/>
    <n v="75.48"/>
    <n v="213.21"/>
    <n v="1843.32"/>
    <n v="-160.19"/>
    <n v="344.52"/>
    <n v="3204.46"/>
    <n v="-504.71"/>
  </r>
  <r>
    <x v="5"/>
    <x v="5"/>
    <x v="0"/>
    <s v="4550106"/>
    <n v="700078"/>
    <s v="Salaries-Service/Support-NonProd-Other"/>
    <s v="Sterile Processing"/>
    <x v="0"/>
    <n v="2000"/>
    <n v="0"/>
    <n v="0"/>
    <n v="0"/>
    <n v="0"/>
    <n v="0"/>
    <n v="0"/>
    <n v="0"/>
    <n v="6.29"/>
    <n v="-1.65"/>
    <n v="0"/>
    <n v="0"/>
    <n v="14.8"/>
    <n v="19.440000000000001"/>
    <n v="-14.8"/>
  </r>
  <r>
    <x v="5"/>
    <x v="5"/>
    <x v="0"/>
    <s v="4550106"/>
    <n v="700084"/>
    <s v="Accrued PTO"/>
    <s v="Sterile Processing"/>
    <x v="0"/>
    <m/>
    <n v="323.20999999999998"/>
    <n v="400.71"/>
    <n v="-1839.93"/>
    <n v="-343.23"/>
    <n v="1365.23"/>
    <n v="3652.99"/>
    <n v="-439.31"/>
    <n v="434.49"/>
    <n v="754.37"/>
    <n v="-1598.05"/>
    <n v="1175.73"/>
    <n v="-29.73"/>
    <n v="3856.4799999999996"/>
    <n v="1205.46"/>
  </r>
  <r>
    <x v="10"/>
    <x v="5"/>
    <x v="0"/>
    <s v="4550106"/>
    <n v="710060"/>
    <s v="Contract Labor-Other"/>
    <s v="Sterile Processing"/>
    <x v="0"/>
    <m/>
    <n v="0"/>
    <n v="8280"/>
    <n v="0"/>
    <n v="1741.35"/>
    <n v="0"/>
    <n v="2184"/>
    <n v="5320"/>
    <n v="0"/>
    <n v="0"/>
    <n v="3492"/>
    <n v="25426.13"/>
    <n v="2893.01"/>
    <n v="49336.49"/>
    <n v="22533.120000000003"/>
  </r>
  <r>
    <x v="10"/>
    <x v="5"/>
    <x v="0"/>
    <s v="4550106"/>
    <n v="710060"/>
    <s v="Contract Labor-Overtime"/>
    <s v="Sterile Processing"/>
    <x v="0"/>
    <n v="5100"/>
    <n v="0"/>
    <n v="0"/>
    <n v="0"/>
    <n v="0"/>
    <n v="0"/>
    <n v="0"/>
    <n v="0"/>
    <n v="0"/>
    <n v="0"/>
    <n v="0"/>
    <n v="582.01"/>
    <n v="-0.01"/>
    <n v="582"/>
    <n v="582.02"/>
  </r>
  <r>
    <x v="10"/>
    <x v="5"/>
    <x v="0"/>
    <s v="4550106"/>
    <n v="710060"/>
    <s v="Contract Labor-Standby Wages"/>
    <s v="Sterile Processing"/>
    <x v="0"/>
    <n v="5101"/>
    <n v="0"/>
    <n v="0"/>
    <n v="0"/>
    <n v="0"/>
    <n v="0"/>
    <n v="0"/>
    <n v="0"/>
    <n v="0"/>
    <n v="0"/>
    <n v="0"/>
    <n v="80"/>
    <n v="-80"/>
    <n v="0"/>
    <n v="160"/>
  </r>
  <r>
    <x v="6"/>
    <x v="5"/>
    <x v="0"/>
    <s v="4550106"/>
    <n v="713010"/>
    <s v="Benefits-FICA/Medicare"/>
    <s v="Sterile Processing"/>
    <x v="0"/>
    <m/>
    <n v="1610.99"/>
    <n v="1799.11"/>
    <n v="1111.3800000000001"/>
    <n v="2369.5500000000002"/>
    <n v="860.92"/>
    <n v="1018.23"/>
    <n v="1149.9000000000001"/>
    <n v="934.14"/>
    <n v="1108.8599999999999"/>
    <n v="1719.24"/>
    <n v="917.42"/>
    <n v="1088.28"/>
    <n v="15688.02"/>
    <n v="-170.86"/>
  </r>
  <r>
    <x v="6"/>
    <x v="5"/>
    <x v="0"/>
    <s v="4550106"/>
    <n v="713090"/>
    <s v="Benefits-Allocated Amounts"/>
    <s v="Sterile Processing"/>
    <x v="0"/>
    <m/>
    <n v="6216.04"/>
    <n v="7113.8"/>
    <n v="4901.63"/>
    <n v="6897.97"/>
    <n v="4422.22"/>
    <n v="4806.55"/>
    <n v="5290.28"/>
    <n v="4713.58"/>
    <n v="4881.6899999999996"/>
    <n v="7082.18"/>
    <n v="4497.5"/>
    <n v="4856.72"/>
    <n v="65680.160000000003"/>
    <n v="-359.22000000000025"/>
  </r>
  <r>
    <x v="7"/>
    <x v="5"/>
    <x v="0"/>
    <s v="4550106"/>
    <n v="718050"/>
    <s v="Contract Svcs-Other"/>
    <s v="Sterile Processing"/>
    <x v="0"/>
    <m/>
    <n v="0"/>
    <n v="7827.62"/>
    <n v="0"/>
    <n v="0"/>
    <n v="0"/>
    <n v="0"/>
    <n v="0"/>
    <n v="0"/>
    <n v="0"/>
    <n v="0"/>
    <n v="0"/>
    <n v="0"/>
    <n v="7827.62"/>
    <n v="0"/>
  </r>
  <r>
    <x v="7"/>
    <x v="5"/>
    <x v="0"/>
    <s v="4550106"/>
    <n v="718050"/>
    <s v="Miscellaneous Purchased Svcs"/>
    <s v="Sterile Processing"/>
    <x v="0"/>
    <n v="1020"/>
    <n v="0"/>
    <n v="0"/>
    <n v="0"/>
    <n v="0"/>
    <n v="3500"/>
    <n v="0"/>
    <n v="250"/>
    <n v="0"/>
    <n v="0"/>
    <n v="0"/>
    <n v="949.17"/>
    <n v="0"/>
    <n v="4699.17"/>
    <n v="949.17"/>
  </r>
  <r>
    <x v="11"/>
    <x v="5"/>
    <x v="0"/>
    <s v="4550106"/>
    <n v="721410"/>
    <s v="Supplies-Medical - Nonbillable"/>
    <s v="Sterile Processing"/>
    <x v="0"/>
    <m/>
    <n v="211.32"/>
    <n v="187.52"/>
    <n v="23.04"/>
    <n v="93.64"/>
    <n v="16.91"/>
    <n v="281.04000000000002"/>
    <n v="85.48"/>
    <n v="17.100000000000001"/>
    <n v="118.45"/>
    <n v="0"/>
    <n v="97.11"/>
    <n v="29.74"/>
    <n v="1161.3499999999999"/>
    <n v="67.37"/>
  </r>
  <r>
    <x v="11"/>
    <x v="5"/>
    <x v="0"/>
    <s v="4550106"/>
    <n v="721420"/>
    <s v="Supplies-Surgical Nonbillable"/>
    <s v="Sterile Processing"/>
    <x v="0"/>
    <m/>
    <n v="0"/>
    <n v="24.97"/>
    <n v="24.97"/>
    <n v="53.33"/>
    <n v="24.97"/>
    <n v="0"/>
    <n v="28.36"/>
    <n v="216.88"/>
    <n v="28.36"/>
    <n v="24.97"/>
    <n v="24.97"/>
    <n v="0"/>
    <n v="451.78000000000009"/>
    <n v="24.97"/>
  </r>
  <r>
    <x v="11"/>
    <x v="5"/>
    <x v="0"/>
    <s v="4550106"/>
    <n v="721420"/>
    <s v="Sterilization Process Products"/>
    <s v="Sterile Processing"/>
    <x v="0"/>
    <n v="1009"/>
    <n v="8522.7099999999991"/>
    <n v="15621.71"/>
    <n v="4308.78"/>
    <n v="8903.27"/>
    <n v="11660.11"/>
    <n v="23618.95"/>
    <n v="22262.04"/>
    <n v="5924.47"/>
    <n v="5984.12"/>
    <n v="2656.31"/>
    <n v="5329.3"/>
    <n v="6645.72"/>
    <n v="121437.49"/>
    <n v="-1316.42"/>
  </r>
  <r>
    <x v="11"/>
    <x v="5"/>
    <x v="0"/>
    <s v="4550106"/>
    <n v="721810"/>
    <s v="Supplies-Dietary/Cafeteria"/>
    <s v="Sterile Processing"/>
    <x v="0"/>
    <m/>
    <n v="0"/>
    <n v="0"/>
    <n v="0"/>
    <n v="0"/>
    <n v="0"/>
    <n v="0"/>
    <n v="28.56"/>
    <n v="0"/>
    <n v="0"/>
    <n v="0"/>
    <n v="28.41"/>
    <n v="-1.08"/>
    <n v="55.89"/>
    <n v="29.490000000000002"/>
  </r>
  <r>
    <x v="11"/>
    <x v="5"/>
    <x v="0"/>
    <s v="4550106"/>
    <n v="721830"/>
    <s v="Supplies-Office"/>
    <s v="Sterile Processing"/>
    <x v="0"/>
    <m/>
    <n v="2569.83"/>
    <n v="249.62"/>
    <n v="299.36"/>
    <n v="325.77999999999997"/>
    <n v="356.64"/>
    <n v="420.1"/>
    <n v="280.24"/>
    <n v="346.24"/>
    <n v="331.52"/>
    <n v="736.98"/>
    <n v="43.16"/>
    <n v="140.03"/>
    <n v="6099.4999999999991"/>
    <n v="-96.87"/>
  </r>
  <r>
    <x v="11"/>
    <x v="5"/>
    <x v="0"/>
    <s v="4550106"/>
    <n v="721870"/>
    <s v="Supplies-Environmental Services"/>
    <s v="Sterile Processing"/>
    <x v="0"/>
    <m/>
    <n v="199.68"/>
    <n v="-71.73"/>
    <n v="17.399999999999999"/>
    <n v="133.12"/>
    <n v="183.71"/>
    <n v="-31.96"/>
    <n v="-16.100000000000001"/>
    <n v="42.6"/>
    <n v="85.2"/>
    <n v="0"/>
    <n v="85.2"/>
    <n v="42.6"/>
    <n v="669.72000000000014"/>
    <n v="42.6"/>
  </r>
  <r>
    <x v="11"/>
    <x v="5"/>
    <x v="0"/>
    <s v="4550106"/>
    <n v="721910"/>
    <s v="Supplies-Small Equipment"/>
    <s v="Sterile Processing"/>
    <x v="0"/>
    <m/>
    <n v="1242.8499999999999"/>
    <n v="6640.08"/>
    <n v="1097.96"/>
    <n v="6826"/>
    <n v="-1473.76"/>
    <n v="2807.17"/>
    <n v="8531.11"/>
    <n v="3438.89"/>
    <n v="-532.89"/>
    <n v="147.38999999999999"/>
    <n v="25.37"/>
    <n v="0"/>
    <n v="28750.17"/>
    <n v="25.37"/>
  </r>
  <r>
    <x v="11"/>
    <x v="5"/>
    <x v="0"/>
    <s v="4550106"/>
    <n v="721910"/>
    <s v="Instruments"/>
    <s v="Sterile Processing"/>
    <x v="0"/>
    <n v="1000"/>
    <n v="97.35"/>
    <n v="8.8000000000000007"/>
    <n v="0"/>
    <n v="34.93"/>
    <n v="18.22"/>
    <n v="25.3"/>
    <n v="2636.24"/>
    <n v="804.92"/>
    <n v="2462.52"/>
    <n v="16302.16"/>
    <n v="1061.1199999999999"/>
    <n v="89.8"/>
    <n v="23541.359999999997"/>
    <n v="971.31999999999994"/>
  </r>
  <r>
    <x v="11"/>
    <x v="5"/>
    <x v="0"/>
    <s v="4550106"/>
    <n v="721980"/>
    <s v="Supplies-Other"/>
    <s v="Sterile Processing"/>
    <x v="0"/>
    <m/>
    <n v="183.68"/>
    <n v="0"/>
    <n v="151.22999999999999"/>
    <n v="0"/>
    <n v="0"/>
    <n v="0"/>
    <n v="0"/>
    <n v="0"/>
    <n v="0"/>
    <n v="0"/>
    <n v="0"/>
    <n v="0"/>
    <n v="334.90999999999997"/>
    <n v="0"/>
  </r>
  <r>
    <x v="11"/>
    <x v="5"/>
    <x v="0"/>
    <s v="4550106"/>
    <n v="722000"/>
    <s v="Supplies-Freight Expense"/>
    <s v="Sterile Processing"/>
    <x v="0"/>
    <m/>
    <n v="7.93"/>
    <n v="50.79"/>
    <n v="152.01"/>
    <n v="94.23"/>
    <n v="16.059999999999999"/>
    <n v="66.459999999999994"/>
    <n v="154.94"/>
    <n v="43.47"/>
    <n v="126.43"/>
    <n v="52.54"/>
    <n v="67.540000000000006"/>
    <n v="201.65"/>
    <n v="1034.05"/>
    <n v="-134.11000000000001"/>
  </r>
  <r>
    <x v="12"/>
    <x v="5"/>
    <x v="0"/>
    <s v="4550106"/>
    <n v="730020"/>
    <s v="Rental and Leases-Copier Usage Fees (DO NOT USE)"/>
    <s v="Sterile Processing"/>
    <x v="0"/>
    <n v="5100"/>
    <n v="15.19"/>
    <n v="15.16"/>
    <n v="15.17"/>
    <n v="15.17"/>
    <n v="15.17"/>
    <n v="15.17"/>
    <n v="-21.29"/>
    <n v="9.69"/>
    <n v="9.67"/>
    <n v="31.83"/>
    <n v="9.69"/>
    <n v="9.69"/>
    <n v="140.31"/>
    <n v="0"/>
  </r>
  <r>
    <x v="16"/>
    <x v="5"/>
    <x v="0"/>
    <s v="4550106"/>
    <n v="732030"/>
    <s v="Repairs---Other"/>
    <s v="Sterile Processing"/>
    <x v="0"/>
    <m/>
    <n v="0"/>
    <n v="2814.59"/>
    <n v="111.64"/>
    <n v="0"/>
    <n v="0"/>
    <n v="0"/>
    <n v="0"/>
    <n v="0"/>
    <n v="-0.01"/>
    <n v="0"/>
    <n v="0"/>
    <n v="0"/>
    <n v="2926.22"/>
    <n v="0"/>
  </r>
  <r>
    <x v="13"/>
    <x v="5"/>
    <x v="0"/>
    <s v="4550106"/>
    <n v="735040"/>
    <s v="Depreciation-Building Improvements"/>
    <s v="Sterile Processing"/>
    <x v="0"/>
    <m/>
    <n v="0"/>
    <n v="0"/>
    <n v="0"/>
    <n v="0"/>
    <n v="0"/>
    <n v="0"/>
    <n v="0"/>
    <n v="170.56"/>
    <n v="170.57"/>
    <n v="170.56"/>
    <n v="170.57"/>
    <n v="170.56"/>
    <n v="852.81999999999994"/>
    <n v="9.9999999999909051E-3"/>
  </r>
  <r>
    <x v="13"/>
    <x v="5"/>
    <x v="0"/>
    <s v="4550106"/>
    <n v="735060"/>
    <s v="Depreciation-Fixed Equipment"/>
    <s v="Sterile Processing"/>
    <x v="0"/>
    <m/>
    <n v="0"/>
    <n v="0"/>
    <n v="0"/>
    <n v="0"/>
    <n v="0"/>
    <n v="0"/>
    <n v="0"/>
    <n v="23.69"/>
    <n v="23.71"/>
    <n v="23.69"/>
    <n v="23.71"/>
    <n v="23.68"/>
    <n v="118.48000000000002"/>
    <n v="3.0000000000001137E-2"/>
  </r>
  <r>
    <x v="13"/>
    <x v="5"/>
    <x v="0"/>
    <s v="4550106"/>
    <n v="735070"/>
    <s v="Depreciation-Movable Equipment"/>
    <s v="Sterile Processing"/>
    <x v="0"/>
    <m/>
    <n v="3649.6"/>
    <n v="3649.6"/>
    <n v="3649.6"/>
    <n v="3649.6"/>
    <n v="3649.6"/>
    <n v="3649.6"/>
    <n v="3649.6"/>
    <n v="4466.5"/>
    <n v="4466.6099999999997"/>
    <n v="4466.4799999999996"/>
    <n v="4466.63"/>
    <n v="4466.4799999999996"/>
    <n v="47879.899999999994"/>
    <n v="0.1500000000005457"/>
  </r>
  <r>
    <x v="5"/>
    <x v="6"/>
    <x v="0"/>
    <s v="4550107"/>
    <n v="700014"/>
    <s v="Salaries-Management-Productive"/>
    <s v="Central Sterile-Bremerton"/>
    <x v="0"/>
    <m/>
    <n v="5372.41"/>
    <n v="5418.65"/>
    <n v="7439.08"/>
    <n v="6531.91"/>
    <n v="-1252.1300000000001"/>
    <n v="7466.59"/>
    <n v="6572.45"/>
    <n v="5709.85"/>
    <n v="-719.76"/>
    <n v="2786.55"/>
    <n v="8360.0400000000009"/>
    <n v="1858.05"/>
    <n v="55543.69"/>
    <n v="6501.9900000000007"/>
  </r>
  <r>
    <x v="5"/>
    <x v="6"/>
    <x v="0"/>
    <s v="4550107"/>
    <n v="700026"/>
    <s v="Salaries-RN-Productive"/>
    <s v="Central Sterile-Bremerton"/>
    <x v="0"/>
    <m/>
    <n v="0"/>
    <n v="0"/>
    <n v="0"/>
    <n v="0"/>
    <n v="256.2"/>
    <n v="-123.35"/>
    <n v="0"/>
    <n v="80.900000000000006"/>
    <n v="0"/>
    <n v="0"/>
    <n v="0"/>
    <n v="0"/>
    <n v="213.75"/>
    <n v="0"/>
  </r>
  <r>
    <x v="5"/>
    <x v="6"/>
    <x v="0"/>
    <s v="4550107"/>
    <n v="700026"/>
    <s v="Salaries-RN-Other"/>
    <s v="Central Sterile-Bremerton"/>
    <x v="0"/>
    <n v="2000"/>
    <n v="0"/>
    <n v="0"/>
    <n v="0"/>
    <n v="0"/>
    <n v="11.93"/>
    <n v="-5.74"/>
    <n v="0"/>
    <n v="0"/>
    <n v="0"/>
    <n v="0"/>
    <n v="0"/>
    <n v="0"/>
    <n v="6.1899999999999995"/>
    <n v="0"/>
  </r>
  <r>
    <x v="5"/>
    <x v="6"/>
    <x v="0"/>
    <s v="4550107"/>
    <n v="700032"/>
    <s v="Salaries-Other Pat Care Providers-Productive"/>
    <s v="Central Sterile-Bremerton"/>
    <x v="0"/>
    <m/>
    <n v="43536.14"/>
    <n v="47578.720000000001"/>
    <n v="48471.25"/>
    <n v="50500.06"/>
    <n v="46242.86"/>
    <n v="43312.54"/>
    <n v="49482.080000000002"/>
    <n v="40356.5"/>
    <n v="46468.14"/>
    <n v="42626.25"/>
    <n v="40793.410000000003"/>
    <n v="43958.25"/>
    <n v="543326.19999999995"/>
    <n v="-3164.8399999999965"/>
  </r>
  <r>
    <x v="5"/>
    <x v="6"/>
    <x v="0"/>
    <s v="4550107"/>
    <n v="700032"/>
    <s v="Salaries-Other Pat Care Providers-OT"/>
    <s v="Central Sterile-Bremerton"/>
    <x v="0"/>
    <n v="1000"/>
    <n v="4091.84"/>
    <n v="1776.71"/>
    <n v="3714.93"/>
    <n v="2019.81"/>
    <n v="2987.38"/>
    <n v="1978.96"/>
    <n v="1804.53"/>
    <n v="2337.8000000000002"/>
    <n v="4959.18"/>
    <n v="1964.45"/>
    <n v="4136.1000000000004"/>
    <n v="4387.7299999999996"/>
    <n v="36159.42"/>
    <n v="-251.6299999999992"/>
  </r>
  <r>
    <x v="5"/>
    <x v="6"/>
    <x v="0"/>
    <s v="4550107"/>
    <n v="700032"/>
    <s v="Salaries-Other Pat Care Providers-Other"/>
    <s v="Central Sterile-Bremerton"/>
    <x v="0"/>
    <n v="2000"/>
    <n v="3352.45"/>
    <n v="2953.24"/>
    <n v="3541.6"/>
    <n v="3105.29"/>
    <n v="2968.01"/>
    <n v="3127.87"/>
    <n v="3222.49"/>
    <n v="2393.12"/>
    <n v="3104.89"/>
    <n v="2729.17"/>
    <n v="2513.39"/>
    <n v="3108.76"/>
    <n v="36120.28"/>
    <n v="-595.37000000000035"/>
  </r>
  <r>
    <x v="5"/>
    <x v="6"/>
    <x v="0"/>
    <s v="4550107"/>
    <n v="700034"/>
    <s v="Salaries-Tech/Professional-Productive"/>
    <s v="Central Sterile-Bremerton"/>
    <x v="0"/>
    <m/>
    <n v="873.48"/>
    <n v="1594.23"/>
    <n v="292.45999999999998"/>
    <n v="1200.77"/>
    <n v="1605.41"/>
    <n v="-252.37"/>
    <n v="0"/>
    <n v="704.73"/>
    <n v="432.65"/>
    <n v="594.52"/>
    <n v="155.21"/>
    <n v="126.82"/>
    <n v="7327.9100000000008"/>
    <n v="28.390000000000015"/>
  </r>
  <r>
    <x v="5"/>
    <x v="6"/>
    <x v="0"/>
    <s v="4550107"/>
    <n v="700034"/>
    <s v="Salaries-Tech/Professional-OT"/>
    <s v="Central Sterile-Bremerton"/>
    <x v="0"/>
    <n v="1000"/>
    <n v="21.57"/>
    <n v="-3.8"/>
    <n v="0"/>
    <n v="22.78"/>
    <n v="-10.02"/>
    <n v="0"/>
    <n v="0"/>
    <n v="0"/>
    <n v="20.52"/>
    <n v="-7.46"/>
    <n v="39.11"/>
    <n v="34.69"/>
    <n v="117.38999999999999"/>
    <n v="4.4200000000000017"/>
  </r>
  <r>
    <x v="5"/>
    <x v="6"/>
    <x v="0"/>
    <s v="4550107"/>
    <n v="700034"/>
    <s v="Salaries-Tech/Professional-Other"/>
    <s v="Central Sterile-Bremerton"/>
    <x v="0"/>
    <n v="2000"/>
    <n v="7.76"/>
    <n v="14.58"/>
    <n v="0.75"/>
    <n v="20.2"/>
    <n v="-4.54"/>
    <n v="7.6"/>
    <n v="0"/>
    <n v="19.690000000000001"/>
    <n v="2.74"/>
    <n v="2.23"/>
    <n v="4.2"/>
    <n v="4.4000000000000004"/>
    <n v="79.610000000000014"/>
    <n v="-0.20000000000000018"/>
  </r>
  <r>
    <x v="5"/>
    <x v="6"/>
    <x v="0"/>
    <s v="4550107"/>
    <n v="700038"/>
    <s v="Salaries-Service/Support-Productive"/>
    <s v="Central Sterile-Bremerton"/>
    <x v="0"/>
    <m/>
    <n v="121.88"/>
    <n v="-21.5"/>
    <n v="0"/>
    <n v="0"/>
    <n v="52.22"/>
    <n v="-25.14"/>
    <n v="0"/>
    <n v="66.11"/>
    <n v="0"/>
    <n v="0"/>
    <n v="0"/>
    <n v="0"/>
    <n v="193.57"/>
    <n v="0"/>
  </r>
  <r>
    <x v="5"/>
    <x v="6"/>
    <x v="0"/>
    <s v="4550107"/>
    <n v="700054"/>
    <s v="Salaries-Management-Non-productive"/>
    <s v="Central Sterile-Bremerton"/>
    <x v="0"/>
    <m/>
    <n v="1744.9"/>
    <n v="1699"/>
    <n v="-550.94000000000005"/>
    <n v="642.88"/>
    <n v="8208.52"/>
    <n v="-278.08"/>
    <n v="627.26"/>
    <n v="650.24"/>
    <n v="7918.8"/>
    <n v="4180.0200000000004"/>
    <n v="-1160.97"/>
    <n v="0"/>
    <n v="23681.63"/>
    <n v="-1160.97"/>
  </r>
  <r>
    <x v="5"/>
    <x v="6"/>
    <x v="0"/>
    <s v="4550107"/>
    <n v="700054"/>
    <s v="Salaries-Management-NonProd-Other"/>
    <s v="Central Sterile-Bremerton"/>
    <x v="0"/>
    <n v="2000"/>
    <n v="0"/>
    <n v="0"/>
    <n v="0"/>
    <n v="0"/>
    <n v="422.97"/>
    <n v="422.97"/>
    <n v="0"/>
    <n v="-845.94"/>
    <n v="0"/>
    <n v="0"/>
    <n v="0"/>
    <n v="0"/>
    <n v="0"/>
    <n v="0"/>
  </r>
  <r>
    <x v="5"/>
    <x v="6"/>
    <x v="0"/>
    <s v="4550107"/>
    <n v="700072"/>
    <s v="Salaries-Other Pat Care Providers-Non-productive"/>
    <s v="Central Sterile-Bremerton"/>
    <x v="0"/>
    <m/>
    <n v="9579.02"/>
    <n v="6018.07"/>
    <n v="7370.64"/>
    <n v="3915.18"/>
    <n v="5690.71"/>
    <n v="12179.78"/>
    <n v="7363.33"/>
    <n v="7330.43"/>
    <n v="5291.35"/>
    <n v="2293.21"/>
    <n v="3908.99"/>
    <n v="3717.32"/>
    <n v="74658.030000000013"/>
    <n v="191.66999999999962"/>
  </r>
  <r>
    <x v="5"/>
    <x v="6"/>
    <x v="0"/>
    <s v="4550107"/>
    <n v="700072"/>
    <s v="Salaries-Other Pat Care Providers-NonProd-Other"/>
    <s v="Central Sterile-Bremerton"/>
    <x v="0"/>
    <n v="2000"/>
    <n v="304.60000000000002"/>
    <n v="222.83"/>
    <n v="317.98"/>
    <n v="205.49"/>
    <n v="500.91"/>
    <n v="342.12"/>
    <n v="295.26"/>
    <n v="336.74"/>
    <n v="1201.1099999999999"/>
    <n v="6.15"/>
    <n v="36.6"/>
    <n v="63.65"/>
    <n v="3833.44"/>
    <n v="-27.049999999999997"/>
  </r>
  <r>
    <x v="5"/>
    <x v="6"/>
    <x v="0"/>
    <s v="4550107"/>
    <n v="700084"/>
    <s v="Accrued PTO"/>
    <s v="Central Sterile-Bremerton"/>
    <x v="0"/>
    <m/>
    <n v="-3043.68"/>
    <n v="-702.11"/>
    <n v="898.45"/>
    <n v="4423.53"/>
    <n v="-713.08"/>
    <n v="-5154.75"/>
    <n v="-75.099999999999994"/>
    <n v="1.33"/>
    <n v="-4328.66"/>
    <n v="-704.24"/>
    <n v="2680.48"/>
    <n v="4346.51"/>
    <n v="-2371.3199999999997"/>
    <n v="-1666.0300000000002"/>
  </r>
  <r>
    <x v="10"/>
    <x v="6"/>
    <x v="0"/>
    <s v="4550107"/>
    <n v="710060"/>
    <s v="Contract Labor-Other"/>
    <s v="Central Sterile-Bremerton"/>
    <x v="0"/>
    <m/>
    <n v="0"/>
    <n v="0"/>
    <n v="0"/>
    <n v="0"/>
    <n v="0"/>
    <n v="0"/>
    <n v="0"/>
    <n v="6975"/>
    <n v="32646"/>
    <n v="61716.4"/>
    <n v="32482"/>
    <n v="22838.799999999999"/>
    <n v="156658.19999999998"/>
    <n v="9643.2000000000007"/>
  </r>
  <r>
    <x v="10"/>
    <x v="6"/>
    <x v="0"/>
    <s v="4550107"/>
    <n v="710060"/>
    <s v="Contract Labor-Overtime"/>
    <s v="Central Sterile-Bremerton"/>
    <x v="0"/>
    <n v="5100"/>
    <n v="0"/>
    <n v="0"/>
    <n v="0"/>
    <n v="0"/>
    <n v="0"/>
    <n v="0"/>
    <n v="0"/>
    <n v="168.75"/>
    <n v="1147.51"/>
    <n v="1316.26"/>
    <n v="2970"/>
    <n v="1147.53"/>
    <n v="6750.05"/>
    <n v="1822.47"/>
  </r>
  <r>
    <x v="6"/>
    <x v="6"/>
    <x v="0"/>
    <s v="4550107"/>
    <n v="713010"/>
    <s v="Benefits-FICA/Medicare"/>
    <s v="Central Sterile-Bremerton"/>
    <x v="0"/>
    <m/>
    <n v="5236.47"/>
    <n v="5102.8599999999997"/>
    <n v="5362.99"/>
    <n v="5169.87"/>
    <n v="5198.1400000000003"/>
    <n v="5142.21"/>
    <n v="5255.96"/>
    <n v="4543.18"/>
    <n v="5257.69"/>
    <n v="4326.45"/>
    <n v="4448.17"/>
    <n v="4946.79"/>
    <n v="59990.78"/>
    <n v="-498.61999999999989"/>
  </r>
  <r>
    <x v="6"/>
    <x v="6"/>
    <x v="0"/>
    <s v="4550107"/>
    <n v="713090"/>
    <s v="Benefits-Allocated Amounts"/>
    <s v="Central Sterile-Bremerton"/>
    <x v="0"/>
    <m/>
    <n v="15500.66"/>
    <n v="13692.66"/>
    <n v="15624.26"/>
    <n v="15502.57"/>
    <n v="17283.62"/>
    <n v="15576.12"/>
    <n v="16261.51"/>
    <n v="15036.02"/>
    <n v="13003.03"/>
    <n v="14447.07"/>
    <n v="13173.51"/>
    <n v="15862.06"/>
    <n v="180963.09000000003"/>
    <n v="-2688.5499999999993"/>
  </r>
  <r>
    <x v="6"/>
    <x v="6"/>
    <x v="0"/>
    <s v="4550107"/>
    <n v="713096"/>
    <s v="Employee Recognition"/>
    <s v="Central Sterile-Bremerton"/>
    <x v="0"/>
    <n v="1017"/>
    <n v="0"/>
    <n v="0"/>
    <n v="0"/>
    <n v="33.380000000000003"/>
    <n v="0"/>
    <n v="0"/>
    <n v="0"/>
    <n v="0"/>
    <n v="122.72"/>
    <n v="0"/>
    <n v="0"/>
    <n v="0"/>
    <n v="156.1"/>
    <n v="0"/>
  </r>
  <r>
    <x v="7"/>
    <x v="6"/>
    <x v="0"/>
    <s v="4550107"/>
    <n v="718050"/>
    <s v="Contract Svcs-Other"/>
    <s v="Central Sterile-Bremerton"/>
    <x v="0"/>
    <m/>
    <n v="0"/>
    <n v="2939.33"/>
    <n v="0"/>
    <n v="0"/>
    <n v="0"/>
    <n v="0"/>
    <n v="0"/>
    <n v="0"/>
    <n v="0"/>
    <n v="0"/>
    <n v="0"/>
    <n v="0"/>
    <n v="2939.33"/>
    <n v="0"/>
  </r>
  <r>
    <x v="7"/>
    <x v="6"/>
    <x v="0"/>
    <s v="4550107"/>
    <n v="718050"/>
    <s v="Miscellaneous Purchased Svcs"/>
    <s v="Central Sterile-Bremerton"/>
    <x v="0"/>
    <n v="1020"/>
    <n v="0"/>
    <n v="0"/>
    <n v="0"/>
    <n v="0"/>
    <n v="5700"/>
    <n v="0"/>
    <n v="500"/>
    <n v="0"/>
    <n v="0"/>
    <n v="0"/>
    <n v="0"/>
    <n v="0"/>
    <n v="6200"/>
    <n v="0"/>
  </r>
  <r>
    <x v="7"/>
    <x v="6"/>
    <x v="0"/>
    <s v="4550107"/>
    <n v="718050"/>
    <s v="Contract Management--Linen"/>
    <s v="Central Sterile-Bremerton"/>
    <x v="0"/>
    <n v="1026"/>
    <n v="708.9"/>
    <n v="692.22"/>
    <n v="686.95"/>
    <n v="808.76"/>
    <n v="646.57000000000005"/>
    <n v="492.24"/>
    <n v="594.72"/>
    <n v="615.47"/>
    <n v="610.11"/>
    <n v="709.11"/>
    <n v="408.97"/>
    <n v="855.52"/>
    <n v="7829.5400000000009"/>
    <n v="-446.54999999999995"/>
  </r>
  <r>
    <x v="7"/>
    <x v="6"/>
    <x v="0"/>
    <s v="4550107"/>
    <n v="718070"/>
    <s v="Contract Srvcs-CHI Clinical Engineering"/>
    <s v="Central Sterile-Bremerton"/>
    <x v="0"/>
    <m/>
    <n v="908.42"/>
    <n v="908.42"/>
    <n v="742.7"/>
    <n v="908.42"/>
    <n v="908.42"/>
    <n v="767.07"/>
    <n v="908.42"/>
    <n v="625.76"/>
    <n v="908.42"/>
    <n v="908.42"/>
    <n v="885.39"/>
    <n v="0"/>
    <n v="9379.8599999999988"/>
    <n v="885.39"/>
  </r>
  <r>
    <x v="11"/>
    <x v="6"/>
    <x v="0"/>
    <s v="4550107"/>
    <n v="721010"/>
    <s v="Patient Monitoring"/>
    <s v="Central Sterile-Bremerton"/>
    <x v="0"/>
    <n v="1000"/>
    <n v="0"/>
    <n v="0"/>
    <n v="0"/>
    <n v="0"/>
    <n v="0"/>
    <n v="0"/>
    <n v="0"/>
    <n v="0"/>
    <n v="4796"/>
    <n v="0"/>
    <n v="-396"/>
    <n v="0"/>
    <n v="4400"/>
    <n v="-396"/>
  </r>
  <r>
    <x v="11"/>
    <x v="6"/>
    <x v="0"/>
    <s v="4550107"/>
    <n v="721020"/>
    <s v="Supplies-Surgical - Billable"/>
    <s v="Central Sterile-Bremerton"/>
    <x v="0"/>
    <m/>
    <n v="0"/>
    <n v="0"/>
    <n v="0"/>
    <n v="0"/>
    <n v="817.17"/>
    <n v="1.18"/>
    <n v="0"/>
    <n v="0"/>
    <n v="0"/>
    <n v="0"/>
    <n v="0"/>
    <n v="792.18"/>
    <n v="1610.5299999999997"/>
    <n v="-792.18"/>
  </r>
  <r>
    <x v="11"/>
    <x v="6"/>
    <x v="0"/>
    <s v="4550107"/>
    <n v="721020"/>
    <s v="Suture/Wound Closure"/>
    <s v="Central Sterile-Bremerton"/>
    <x v="0"/>
    <n v="1001"/>
    <n v="0"/>
    <n v="0"/>
    <n v="0"/>
    <n v="74.28"/>
    <n v="0"/>
    <n v="0"/>
    <n v="0"/>
    <n v="0"/>
    <n v="0"/>
    <n v="242.55"/>
    <n v="0"/>
    <n v="0"/>
    <n v="316.83000000000004"/>
    <n v="0"/>
  </r>
  <r>
    <x v="11"/>
    <x v="6"/>
    <x v="0"/>
    <s v="4550107"/>
    <n v="721020"/>
    <s v="Endoscopy - Trocars &amp; Accessories"/>
    <s v="Central Sterile-Bremerton"/>
    <x v="0"/>
    <n v="1002"/>
    <n v="0"/>
    <n v="0"/>
    <n v="0"/>
    <n v="288.2"/>
    <n v="-0.05"/>
    <n v="0"/>
    <n v="0"/>
    <n v="115.28"/>
    <n v="0"/>
    <n v="115.26"/>
    <n v="0"/>
    <n v="0"/>
    <n v="518.68999999999994"/>
    <n v="0"/>
  </r>
  <r>
    <x v="11"/>
    <x v="6"/>
    <x v="0"/>
    <s v="4550107"/>
    <n v="721020"/>
    <s v="Endomechanical Supplies &amp; Instruments"/>
    <s v="Central Sterile-Bremerton"/>
    <x v="0"/>
    <n v="1003"/>
    <n v="0"/>
    <n v="0"/>
    <n v="0"/>
    <n v="0"/>
    <n v="0"/>
    <n v="0"/>
    <n v="0"/>
    <n v="0"/>
    <n v="0"/>
    <n v="1962"/>
    <n v="236.14"/>
    <n v="5559"/>
    <n v="7757.1399999999994"/>
    <n v="-5322.86"/>
  </r>
  <r>
    <x v="11"/>
    <x v="6"/>
    <x v="0"/>
    <s v="4550107"/>
    <n v="721150"/>
    <s v="Fracture Management"/>
    <s v="Central Sterile-Bremerton"/>
    <x v="0"/>
    <n v="1001"/>
    <n v="0"/>
    <n v="0"/>
    <n v="0"/>
    <n v="0"/>
    <n v="0"/>
    <n v="0"/>
    <n v="0"/>
    <n v="0"/>
    <n v="0"/>
    <n v="0"/>
    <n v="0"/>
    <n v="7506.11"/>
    <n v="7506.11"/>
    <n v="-7506.11"/>
  </r>
  <r>
    <x v="11"/>
    <x v="6"/>
    <x v="0"/>
    <s v="4550107"/>
    <n v="721240"/>
    <s v="Supplies-IV Solutions/Supplies - Billable"/>
    <s v="Central Sterile-Bremerton"/>
    <x v="0"/>
    <m/>
    <n v="0"/>
    <n v="0"/>
    <n v="0"/>
    <n v="10.19"/>
    <n v="0"/>
    <n v="0"/>
    <n v="0"/>
    <n v="0"/>
    <n v="0"/>
    <n v="0"/>
    <n v="0"/>
    <n v="0"/>
    <n v="10.19"/>
    <n v="0"/>
  </r>
  <r>
    <x v="11"/>
    <x v="6"/>
    <x v="0"/>
    <s v="4550107"/>
    <n v="721410"/>
    <s v="Supplies-Medical - Nonbillable"/>
    <s v="Central Sterile-Bremerton"/>
    <x v="0"/>
    <m/>
    <n v="817.31"/>
    <n v="1013.67"/>
    <n v="692.97"/>
    <n v="3421.67"/>
    <n v="547.86"/>
    <n v="799.28"/>
    <n v="854.76"/>
    <n v="1088.83"/>
    <n v="617.78"/>
    <n v="13104.84"/>
    <n v="21400.41"/>
    <n v="8095.97"/>
    <n v="52455.350000000006"/>
    <n v="13304.439999999999"/>
  </r>
  <r>
    <x v="11"/>
    <x v="6"/>
    <x v="0"/>
    <s v="4550107"/>
    <n v="721420"/>
    <s v="Supplies-Surgical Nonbillable"/>
    <s v="Central Sterile-Bremerton"/>
    <x v="0"/>
    <m/>
    <n v="3790.95"/>
    <n v="7644.78"/>
    <n v="1122.43"/>
    <n v="173.07"/>
    <n v="9.2799999999999994"/>
    <n v="732.64"/>
    <n v="20.100000000000001"/>
    <n v="25.9"/>
    <n v="0"/>
    <n v="27.04"/>
    <n v="5.8"/>
    <n v="-65.59"/>
    <n v="13486.4"/>
    <n v="71.39"/>
  </r>
  <r>
    <x v="11"/>
    <x v="6"/>
    <x v="0"/>
    <s v="4550107"/>
    <n v="721420"/>
    <s v="Sterilization Process Products"/>
    <s v="Central Sterile-Bremerton"/>
    <x v="0"/>
    <n v="1009"/>
    <n v="45228.19"/>
    <n v="33008.050000000003"/>
    <n v="30493.279999999999"/>
    <n v="34810.519999999997"/>
    <n v="40145.21"/>
    <n v="54293.1"/>
    <n v="26400.17"/>
    <n v="38274.18"/>
    <n v="26937.94"/>
    <n v="42266.66"/>
    <n v="59055.47"/>
    <n v="39906.980000000003"/>
    <n v="470819.75"/>
    <n v="19148.489999999998"/>
  </r>
  <r>
    <x v="11"/>
    <x v="6"/>
    <x v="0"/>
    <s v="4550107"/>
    <n v="721710"/>
    <s v="Supplies-Laboratory - Nonbillable"/>
    <s v="Central Sterile-Bremerton"/>
    <x v="0"/>
    <m/>
    <n v="0"/>
    <n v="0"/>
    <n v="0"/>
    <n v="2.35"/>
    <n v="0"/>
    <n v="0"/>
    <n v="0"/>
    <n v="0"/>
    <n v="0"/>
    <n v="0"/>
    <n v="0"/>
    <n v="0"/>
    <n v="2.35"/>
    <n v="0"/>
  </r>
  <r>
    <x v="11"/>
    <x v="6"/>
    <x v="0"/>
    <s v="4550107"/>
    <n v="721710"/>
    <s v="Reagents"/>
    <s v="Central Sterile-Bremerton"/>
    <x v="0"/>
    <n v="1000"/>
    <n v="87.4"/>
    <n v="196.34"/>
    <n v="98.17"/>
    <n v="251.33"/>
    <n v="306.62"/>
    <n v="270.86"/>
    <n v="97.66"/>
    <n v="47.25"/>
    <n v="62.15"/>
    <n v="259.79000000000002"/>
    <n v="94.5"/>
    <n v="53.55"/>
    <n v="1825.6200000000001"/>
    <n v="40.950000000000003"/>
  </r>
  <r>
    <x v="11"/>
    <x v="6"/>
    <x v="0"/>
    <s v="4550107"/>
    <n v="721810"/>
    <s v="Supplies-Dietary/Cafeteria"/>
    <s v="Central Sterile-Bremerton"/>
    <x v="0"/>
    <m/>
    <n v="85.98"/>
    <n v="144.27000000000001"/>
    <n v="0"/>
    <n v="141.69"/>
    <n v="15.71"/>
    <n v="137.25"/>
    <n v="150.18"/>
    <n v="47.42"/>
    <n v="7.71"/>
    <n v="51.49"/>
    <n v="200.81"/>
    <n v="45.5"/>
    <n v="1028.01"/>
    <n v="155.31"/>
  </r>
  <r>
    <x v="11"/>
    <x v="6"/>
    <x v="0"/>
    <s v="4550107"/>
    <n v="721830"/>
    <s v="Supplies-Office"/>
    <s v="Central Sterile-Bremerton"/>
    <x v="0"/>
    <m/>
    <n v="727.3"/>
    <n v="686.43"/>
    <n v="509.83"/>
    <n v="576.71"/>
    <n v="247.7"/>
    <n v="515.51"/>
    <n v="831.6"/>
    <n v="159.46"/>
    <n v="559.66"/>
    <n v="704.79"/>
    <n v="988.85"/>
    <n v="2313.91"/>
    <n v="8821.75"/>
    <n v="-1325.06"/>
  </r>
  <r>
    <x v="11"/>
    <x v="6"/>
    <x v="0"/>
    <s v="4550107"/>
    <n v="721870"/>
    <s v="Supplies-Environmental Services"/>
    <s v="Central Sterile-Bremerton"/>
    <x v="0"/>
    <m/>
    <n v="286.61"/>
    <n v="458.86"/>
    <n v="14.49"/>
    <n v="484.03"/>
    <n v="48.05"/>
    <n v="323.54000000000002"/>
    <n v="667.82"/>
    <n v="131.27000000000001"/>
    <n v="742.86"/>
    <n v="67.11"/>
    <n v="541.04"/>
    <n v="518.55999999999995"/>
    <n v="4284.24"/>
    <n v="22.480000000000018"/>
  </r>
  <r>
    <x v="11"/>
    <x v="6"/>
    <x v="0"/>
    <s v="4550107"/>
    <n v="721910"/>
    <s v="Supplies-Small Equipment"/>
    <s v="Central Sterile-Bremerton"/>
    <x v="0"/>
    <m/>
    <n v="3158.44"/>
    <n v="9601.7000000000007"/>
    <n v="3617.69"/>
    <n v="6763.36"/>
    <n v="-110.72"/>
    <n v="8659.9"/>
    <n v="4117.3900000000003"/>
    <n v="4621.25"/>
    <n v="2934.03"/>
    <n v="-464.22"/>
    <n v="584.59"/>
    <n v="865.94"/>
    <n v="44349.35"/>
    <n v="-281.35000000000002"/>
  </r>
  <r>
    <x v="11"/>
    <x v="6"/>
    <x v="0"/>
    <s v="4550107"/>
    <n v="721910"/>
    <s v="Instruments"/>
    <s v="Central Sterile-Bremerton"/>
    <x v="0"/>
    <n v="1000"/>
    <n v="1422.24"/>
    <n v="1249.9100000000001"/>
    <n v="2431.25"/>
    <n v="2273.17"/>
    <n v="0"/>
    <n v="4896.22"/>
    <n v="5311.55"/>
    <n v="1722.63"/>
    <n v="1147.1500000000001"/>
    <n v="564.55999999999995"/>
    <n v="6426.46"/>
    <n v="-282.5"/>
    <n v="27162.640000000003"/>
    <n v="6708.96"/>
  </r>
  <r>
    <x v="11"/>
    <x v="6"/>
    <x v="0"/>
    <s v="4550107"/>
    <n v="721980"/>
    <s v="Supplies-Other"/>
    <s v="Central Sterile-Bremerton"/>
    <x v="0"/>
    <m/>
    <n v="0"/>
    <n v="0"/>
    <n v="1266.58"/>
    <n v="0"/>
    <n v="0"/>
    <n v="314.25"/>
    <n v="0"/>
    <n v="0"/>
    <n v="0"/>
    <n v="307.14999999999998"/>
    <n v="0"/>
    <n v="469.57"/>
    <n v="2357.5500000000002"/>
    <n v="-469.57"/>
  </r>
  <r>
    <x v="11"/>
    <x v="6"/>
    <x v="0"/>
    <s v="4550107"/>
    <n v="722000"/>
    <s v="Supplies-Freight Expense"/>
    <s v="Central Sterile-Bremerton"/>
    <x v="0"/>
    <m/>
    <n v="303.14999999999998"/>
    <n v="698.61"/>
    <n v="892.72"/>
    <n v="818.14"/>
    <n v="173.03"/>
    <n v="671.29"/>
    <n v="481.13"/>
    <n v="180.35"/>
    <n v="668.61"/>
    <n v="308.13"/>
    <n v="606.09"/>
    <n v="968.84"/>
    <n v="6770.09"/>
    <n v="-362.75"/>
  </r>
  <r>
    <x v="12"/>
    <x v="6"/>
    <x v="0"/>
    <s v="4550107"/>
    <n v="730020"/>
    <s v="Rental and Leases-Equipment (DO NOT USE)"/>
    <s v="Central Sterile-Bremerton"/>
    <x v="0"/>
    <m/>
    <n v="0"/>
    <n v="84.34"/>
    <n v="42.01"/>
    <n v="42.33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6"/>
    <x v="0"/>
    <s v="4550107"/>
    <n v="730020"/>
    <s v="Rental and Leases-Copier Usage Fees (DO NOT USE)"/>
    <s v="Central Sterile-Bremerton"/>
    <x v="0"/>
    <n v="5100"/>
    <n v="284.67"/>
    <n v="283.86"/>
    <n v="284.27"/>
    <n v="284.26"/>
    <n v="284.27"/>
    <n v="284.27"/>
    <n v="600.92999999999995"/>
    <n v="227.4"/>
    <n v="226.92"/>
    <n v="826.45"/>
    <n v="227.4"/>
    <n v="279.52"/>
    <n v="4094.2200000000003"/>
    <n v="-52.119999999999976"/>
  </r>
  <r>
    <x v="16"/>
    <x v="6"/>
    <x v="0"/>
    <s v="4550107"/>
    <n v="732030"/>
    <s v="Repairs---Other"/>
    <s v="Central Sterile-Bremerton"/>
    <x v="0"/>
    <m/>
    <n v="18378.53"/>
    <n v="-3476.47"/>
    <n v="196.31"/>
    <n v="12356.82"/>
    <n v="1292.3699999999999"/>
    <n v="1700.4"/>
    <n v="2273.59"/>
    <n v="102"/>
    <n v="19690.009999999998"/>
    <n v="15722.39"/>
    <n v="6783.77"/>
    <n v="6666"/>
    <n v="81685.72"/>
    <n v="117.77000000000044"/>
  </r>
  <r>
    <x v="16"/>
    <x v="6"/>
    <x v="0"/>
    <s v="4550107"/>
    <n v="732030"/>
    <s v="Repairs&amp;Maintenance-Plumbing"/>
    <s v="Central Sterile-Bremerton"/>
    <x v="0"/>
    <n v="5103"/>
    <n v="0"/>
    <n v="14687.84"/>
    <n v="4665.0600000000004"/>
    <n v="2110.9499999999998"/>
    <n v="6409.69"/>
    <n v="3465.67"/>
    <n v="12164.65"/>
    <n v="31085.93"/>
    <n v="4287.08"/>
    <n v="0"/>
    <n v="0"/>
    <n v="0.01"/>
    <n v="78876.88"/>
    <n v="-0.01"/>
  </r>
  <r>
    <x v="16"/>
    <x v="6"/>
    <x v="0"/>
    <s v="4550107"/>
    <n v="733030"/>
    <s v="Maintenance Contracts-Other"/>
    <s v="Central Sterile-Bremerton"/>
    <x v="0"/>
    <m/>
    <n v="0"/>
    <n v="0"/>
    <n v="0"/>
    <n v="0"/>
    <n v="990.01"/>
    <n v="0"/>
    <n v="4728.93"/>
    <n v="202.02"/>
    <n v="0"/>
    <n v="1072.8800000000001"/>
    <n v="579.55999999999995"/>
    <n v="-108.59"/>
    <n v="7464.8100000000013"/>
    <n v="688.15"/>
  </r>
  <r>
    <x v="13"/>
    <x v="6"/>
    <x v="0"/>
    <s v="4550107"/>
    <n v="735060"/>
    <s v="Depreciation-Fixed Equipment"/>
    <s v="Central Sterile-Bremerton"/>
    <x v="0"/>
    <m/>
    <n v="1271.95"/>
    <n v="1271.95"/>
    <n v="1271.96"/>
    <n v="1271.95"/>
    <n v="1271.96"/>
    <n v="1271.95"/>
    <n v="1271.96"/>
    <n v="1271.95"/>
    <n v="1271.96"/>
    <n v="1271.95"/>
    <n v="1271.96"/>
    <n v="1271.94"/>
    <n v="15263.44"/>
    <n v="1.999999999998181E-2"/>
  </r>
  <r>
    <x v="13"/>
    <x v="6"/>
    <x v="0"/>
    <s v="4550107"/>
    <n v="735070"/>
    <s v="Depreciation-Movable Equipment"/>
    <s v="Central Sterile-Bremerton"/>
    <x v="0"/>
    <m/>
    <n v="7145.49"/>
    <n v="7145.49"/>
    <n v="7145.49"/>
    <n v="7145.48"/>
    <n v="7145.5"/>
    <n v="7145.46"/>
    <n v="7145.53"/>
    <n v="7145.46"/>
    <n v="7145.57"/>
    <n v="7145.45"/>
    <n v="7145.58"/>
    <n v="7145.44"/>
    <n v="85745.94"/>
    <n v="0.14000000000032742"/>
  </r>
  <r>
    <x v="0"/>
    <x v="6"/>
    <x v="0"/>
    <s v="4550107"/>
    <n v="742040"/>
    <s v="Freight-Other"/>
    <s v="Central Sterile-Bremerton"/>
    <x v="0"/>
    <m/>
    <n v="0"/>
    <n v="0"/>
    <n v="0"/>
    <n v="34.979999999999997"/>
    <n v="0"/>
    <n v="0"/>
    <n v="0"/>
    <n v="0"/>
    <n v="0"/>
    <n v="0"/>
    <n v="0"/>
    <n v="0"/>
    <n v="34.979999999999997"/>
    <n v="0"/>
  </r>
  <r>
    <x v="0"/>
    <x v="6"/>
    <x v="0"/>
    <s v="4550107"/>
    <n v="749510"/>
    <s v="Miscellaneous Expenses"/>
    <s v="Central Sterile-Bremerton"/>
    <x v="0"/>
    <m/>
    <n v="0"/>
    <n v="0"/>
    <n v="0"/>
    <n v="82.97"/>
    <n v="-82.97"/>
    <n v="0"/>
    <n v="0"/>
    <n v="-1318.72"/>
    <n v="2446.14"/>
    <n v="11738.87"/>
    <n v="3063.25"/>
    <n v="1914.22"/>
    <n v="17843.760000000002"/>
    <n v="1149.03"/>
  </r>
  <r>
    <x v="18"/>
    <x v="3"/>
    <x v="0"/>
    <s v="4600101"/>
    <n v="400010"/>
    <s v="Acute I/P Svcs Rev--Medicare"/>
    <s v="Gastro Intestinal (GI) Svcs"/>
    <x v="0"/>
    <n v="1100"/>
    <n v="-265138.65999999997"/>
    <n v="-310444.88"/>
    <n v="-262745.90999999997"/>
    <n v="-395862.15"/>
    <n v="-303036.69"/>
    <n v="-359076.41"/>
    <n v="-300093.45"/>
    <n v="-287165.56"/>
    <n v="-407122.61"/>
    <n v="-271593.31"/>
    <n v="-338639.59"/>
    <n v="-306415.42"/>
    <n v="-3807334.6399999997"/>
    <n v="-32224.170000000042"/>
  </r>
  <r>
    <x v="18"/>
    <x v="3"/>
    <x v="0"/>
    <s v="4600101"/>
    <n v="400010"/>
    <s v="Acute I/P Svcs Rev--Medicaid"/>
    <s v="Gastro Intestinal (GI) Svcs"/>
    <x v="0"/>
    <n v="1200"/>
    <n v="-63228.42"/>
    <n v="-75504.759999999995"/>
    <n v="-26304.68"/>
    <n v="-50517.95"/>
    <n v="-60004.84"/>
    <n v="-67824.66"/>
    <n v="-61418.25"/>
    <n v="-109169.33"/>
    <n v="-85214.98"/>
    <n v="-54936.46"/>
    <n v="-99056.14"/>
    <n v="-46145.98"/>
    <n v="-799326.45000000007"/>
    <n v="-52910.159999999996"/>
  </r>
  <r>
    <x v="18"/>
    <x v="3"/>
    <x v="0"/>
    <s v="4600101"/>
    <n v="400010"/>
    <s v="Acute I/P Svcs Rev--Comm Insurance"/>
    <s v="Gastro Intestinal (GI) Svcs"/>
    <x v="0"/>
    <n v="1300"/>
    <n v="-27924.639999999999"/>
    <n v="9844.75"/>
    <n v="-5041.6099999999997"/>
    <n v="0"/>
    <n v="-6308.66"/>
    <n v="-8408.67"/>
    <n v="6282.47"/>
    <n v="-10832.14"/>
    <n v="0"/>
    <n v="0"/>
    <n v="-9333.18"/>
    <n v="-23154.74"/>
    <n v="-74876.42"/>
    <n v="13821.560000000001"/>
  </r>
  <r>
    <x v="18"/>
    <x v="3"/>
    <x v="0"/>
    <s v="4600101"/>
    <n v="400010"/>
    <s v="Acute I/P Svcs Rev--BCBS Comm"/>
    <s v="Gastro Intestinal (GI) Svcs"/>
    <x v="0"/>
    <n v="1301"/>
    <n v="-5874.27"/>
    <n v="-52795.35"/>
    <n v="-31470.17"/>
    <n v="-24427.86"/>
    <n v="-19377.849999999999"/>
    <n v="-344.8"/>
    <n v="-59431.66"/>
    <n v="-5344.57"/>
    <n v="-33677.300000000003"/>
    <n v="-26993.439999999999"/>
    <n v="-13360.48"/>
    <n v="-14190.62"/>
    <n v="-287288.37"/>
    <n v="830.14000000000124"/>
  </r>
  <r>
    <x v="18"/>
    <x v="3"/>
    <x v="0"/>
    <s v="4600101"/>
    <n v="400010"/>
    <s v="Acute I/P Svcs Rev--Managed Care"/>
    <s v="Gastro Intestinal (GI) Svcs"/>
    <x v="0"/>
    <n v="1400"/>
    <n v="-88092.33"/>
    <n v="-150238.94"/>
    <n v="-145726.69"/>
    <n v="-66268.25"/>
    <n v="-82156.63"/>
    <n v="-98754.45"/>
    <n v="-143181.39000000001"/>
    <n v="-104036.74"/>
    <n v="-178313.89"/>
    <n v="-53106.86"/>
    <n v="-86058.84"/>
    <n v="-137610.5"/>
    <n v="-1333545.5100000002"/>
    <n v="51551.66"/>
  </r>
  <r>
    <x v="18"/>
    <x v="3"/>
    <x v="0"/>
    <s v="4600101"/>
    <n v="400010"/>
    <s v="Acute I/P Svcs Rev--Self Pay"/>
    <s v="Gastro Intestinal (GI) Svcs"/>
    <x v="0"/>
    <n v="1500"/>
    <n v="-11570.81"/>
    <n v="-3923.34"/>
    <n v="-14684.94"/>
    <n v="-18019.96"/>
    <n v="-8281.06"/>
    <n v="-281"/>
    <n v="-3859.53"/>
    <n v="-17271.5"/>
    <n v="0"/>
    <n v="-10639.72"/>
    <n v="0"/>
    <n v="0"/>
    <n v="-88531.86"/>
    <n v="0"/>
  </r>
  <r>
    <x v="18"/>
    <x v="3"/>
    <x v="0"/>
    <s v="4600101"/>
    <n v="400010"/>
    <s v="Acute I/P Svcs Rev--Other"/>
    <s v="Gastro Intestinal (GI) Svcs"/>
    <x v="0"/>
    <n v="1700"/>
    <n v="0"/>
    <n v="0"/>
    <n v="-14332.96"/>
    <n v="-9245.2000000000007"/>
    <n v="-3987.14"/>
    <n v="-19103.91"/>
    <n v="-10232"/>
    <n v="-8933.52"/>
    <n v="11066.48"/>
    <n v="-546"/>
    <n v="-12560.35"/>
    <n v="-3966.93"/>
    <n v="-71841.53"/>
    <n v="-8593.42"/>
  </r>
  <r>
    <x v="19"/>
    <x v="3"/>
    <x v="0"/>
    <s v="4600101"/>
    <n v="400020"/>
    <s v="O/P Care Svcs Rev--Medicare"/>
    <s v="Gastro Intestinal (GI) Svcs"/>
    <x v="0"/>
    <n v="1100"/>
    <n v="-510337"/>
    <n v="-461352.57"/>
    <n v="-506576.47"/>
    <n v="-768742.83"/>
    <n v="-714057.03"/>
    <n v="-517295.65"/>
    <n v="-640402.93000000005"/>
    <n v="-505218.89"/>
    <n v="-675490.03"/>
    <n v="-691185.65"/>
    <n v="-645805.87"/>
    <n v="-642515.64"/>
    <n v="-7278980.5600000005"/>
    <n v="-3290.2299999999814"/>
  </r>
  <r>
    <x v="19"/>
    <x v="3"/>
    <x v="0"/>
    <s v="4600101"/>
    <n v="400020"/>
    <s v="O/P Care Svcs Rev--Medicaid"/>
    <s v="Gastro Intestinal (GI) Svcs"/>
    <x v="0"/>
    <n v="1200"/>
    <n v="-250093.63"/>
    <n v="-326588.44"/>
    <n v="-303311.59999999998"/>
    <n v="-279864.24"/>
    <n v="-272913.83"/>
    <n v="-309437.03999999998"/>
    <n v="-287935.40999999997"/>
    <n v="-184230.43"/>
    <n v="-415886.33"/>
    <n v="-266529.06"/>
    <n v="-417622.78"/>
    <n v="-351421.04"/>
    <n v="-3665833.83"/>
    <n v="-66201.740000000049"/>
  </r>
  <r>
    <x v="19"/>
    <x v="3"/>
    <x v="0"/>
    <s v="4600101"/>
    <n v="400020"/>
    <s v="O/P Care Svcs Rev--Comm Insurance"/>
    <s v="Gastro Intestinal (GI) Svcs"/>
    <x v="0"/>
    <n v="1300"/>
    <n v="-115552.8"/>
    <n v="-55443.55"/>
    <n v="-84917.9"/>
    <n v="-173068.79"/>
    <n v="-144263.49"/>
    <n v="-59413.31"/>
    <n v="-89583.72"/>
    <n v="-51809.55"/>
    <n v="-73608.87"/>
    <n v="-13383.13"/>
    <n v="-30807.63"/>
    <n v="-29257.58"/>
    <n v="-921110.32000000007"/>
    <n v="-1550.0499999999993"/>
  </r>
  <r>
    <x v="19"/>
    <x v="3"/>
    <x v="0"/>
    <s v="4600101"/>
    <n v="400020"/>
    <s v="O/P Care Svcs Rev--BCBS Comm"/>
    <s v="Gastro Intestinal (GI) Svcs"/>
    <x v="0"/>
    <n v="1301"/>
    <n v="-59157.84"/>
    <n v="-42730.81"/>
    <n v="-40090.449999999997"/>
    <n v="-85886.3"/>
    <n v="-10747.11"/>
    <n v="-110141.94"/>
    <n v="-79836.75"/>
    <n v="-49257.55"/>
    <n v="-88685.759999999995"/>
    <n v="-44091.08"/>
    <n v="-18958.900000000001"/>
    <n v="-72574.22"/>
    <n v="-702158.70999999985"/>
    <n v="53615.32"/>
  </r>
  <r>
    <x v="19"/>
    <x v="3"/>
    <x v="0"/>
    <s v="4600101"/>
    <n v="400020"/>
    <s v="O/P Care Svcs Rev--Managed Care"/>
    <s v="Gastro Intestinal (GI) Svcs"/>
    <x v="0"/>
    <n v="1400"/>
    <n v="-271391.71000000002"/>
    <n v="-185421.81"/>
    <n v="-198452.95"/>
    <n v="-243243.42"/>
    <n v="-275485.78999999998"/>
    <n v="-183120.77"/>
    <n v="-209646.67"/>
    <n v="-184902.84"/>
    <n v="-295358.42"/>
    <n v="-345180.68"/>
    <n v="-416507.92"/>
    <n v="-224399.46"/>
    <n v="-3033112.44"/>
    <n v="-192108.46"/>
  </r>
  <r>
    <x v="19"/>
    <x v="3"/>
    <x v="0"/>
    <s v="4600101"/>
    <n v="400020"/>
    <s v="O/P Care Svcs Rev--Self Pay"/>
    <s v="Gastro Intestinal (GI) Svcs"/>
    <x v="0"/>
    <n v="1500"/>
    <n v="-21460.23"/>
    <n v="-13759.74"/>
    <n v="1347.07"/>
    <n v="-13421.29"/>
    <n v="-18504.150000000001"/>
    <n v="-8335.9500000000007"/>
    <n v="-9637.4699999999993"/>
    <n v="-8031.07"/>
    <n v="-14843.32"/>
    <n v="1040.6500000000001"/>
    <n v="-16741.37"/>
    <n v="-5199.1000000000004"/>
    <n v="-127545.97"/>
    <n v="-11542.269999999999"/>
  </r>
  <r>
    <x v="19"/>
    <x v="3"/>
    <x v="0"/>
    <s v="4600101"/>
    <n v="400020"/>
    <s v="O/P Care Svcs Rev--Other"/>
    <s v="Gastro Intestinal (GI) Svcs"/>
    <x v="0"/>
    <n v="1700"/>
    <n v="-34042.379999999997"/>
    <n v="-42889.14"/>
    <n v="-37731.050000000003"/>
    <n v="-60916.19"/>
    <n v="-18680.310000000001"/>
    <n v="-31242.23"/>
    <n v="-24987.53"/>
    <n v="-28867.39"/>
    <n v="-35429.160000000003"/>
    <n v="-41511.4"/>
    <n v="-32996.239999999998"/>
    <n v="-8942.26"/>
    <n v="-398235.28"/>
    <n v="-24053.979999999996"/>
  </r>
  <r>
    <x v="5"/>
    <x v="3"/>
    <x v="0"/>
    <s v="4600101"/>
    <n v="700014"/>
    <s v="Salaries-Management-Productive"/>
    <s v="Gastro Intestinal (GI) Svcs"/>
    <x v="0"/>
    <m/>
    <n v="7444.29"/>
    <n v="9599.42"/>
    <n v="9338.51"/>
    <n v="10427.719999999999"/>
    <n v="10162.01"/>
    <n v="6978.26"/>
    <n v="9770.77"/>
    <n v="8854.16"/>
    <n v="10686.09"/>
    <n v="6377.43"/>
    <n v="10516.48"/>
    <n v="8718.68"/>
    <n v="108873.82"/>
    <n v="1797.7999999999993"/>
  </r>
  <r>
    <x v="5"/>
    <x v="3"/>
    <x v="0"/>
    <s v="4600101"/>
    <n v="700026"/>
    <s v="Salaries-RN-Productive"/>
    <s v="Gastro Intestinal (GI) Svcs"/>
    <x v="0"/>
    <m/>
    <n v="65071.89"/>
    <n v="58832.47"/>
    <n v="69820.77"/>
    <n v="76927.64"/>
    <n v="71415.67"/>
    <n v="68183.710000000006"/>
    <n v="78908.070000000007"/>
    <n v="64159.74"/>
    <n v="88253"/>
    <n v="71656.5"/>
    <n v="80370.289999999994"/>
    <n v="83106.73"/>
    <n v="876706.4800000001"/>
    <n v="-2736.4400000000023"/>
  </r>
  <r>
    <x v="5"/>
    <x v="3"/>
    <x v="0"/>
    <s v="4600101"/>
    <n v="700026"/>
    <s v="Salaries-RN-OT"/>
    <s v="Gastro Intestinal (GI) Svcs"/>
    <x v="0"/>
    <n v="1000"/>
    <n v="1203.17"/>
    <n v="2953.65"/>
    <n v="2856.83"/>
    <n v="1913.5"/>
    <n v="2588.86"/>
    <n v="435.57"/>
    <n v="2266.48"/>
    <n v="212.12"/>
    <n v="4102.29"/>
    <n v="2132.15"/>
    <n v="549.92999999999995"/>
    <n v="2663.98"/>
    <n v="23878.530000000002"/>
    <n v="-2114.0500000000002"/>
  </r>
  <r>
    <x v="5"/>
    <x v="3"/>
    <x v="0"/>
    <s v="4600101"/>
    <n v="700026"/>
    <s v="Salaries-RN-Other"/>
    <s v="Gastro Intestinal (GI) Svcs"/>
    <x v="0"/>
    <n v="2000"/>
    <n v="4533.87"/>
    <n v="4133.63"/>
    <n v="3975.67"/>
    <n v="4741.34"/>
    <n v="3651.77"/>
    <n v="4273.25"/>
    <n v="4333.4399999999996"/>
    <n v="3935.95"/>
    <n v="4759.6499999999996"/>
    <n v="4714.57"/>
    <n v="4913.3100000000004"/>
    <n v="5397.85"/>
    <n v="53364.299999999996"/>
    <n v="-484.53999999999996"/>
  </r>
  <r>
    <x v="5"/>
    <x v="3"/>
    <x v="0"/>
    <s v="4600101"/>
    <n v="700030"/>
    <s v="Salaries-LPN-Productive"/>
    <s v="Gastro Intestinal (GI) Svcs"/>
    <x v="0"/>
    <m/>
    <n v="2856.75"/>
    <n v="2744.42"/>
    <n v="3766.17"/>
    <n v="4999.42"/>
    <n v="3830.49"/>
    <n v="3534.42"/>
    <n v="4768.1099999999997"/>
    <n v="3587.87"/>
    <n v="4417.17"/>
    <n v="3634.51"/>
    <n v="5150.97"/>
    <n v="2620.04"/>
    <n v="45910.340000000004"/>
    <n v="2530.9300000000003"/>
  </r>
  <r>
    <x v="5"/>
    <x v="3"/>
    <x v="0"/>
    <s v="4600101"/>
    <n v="700030"/>
    <s v="Salaries-LPN-OT"/>
    <s v="Gastro Intestinal (GI) Svcs"/>
    <x v="0"/>
    <n v="1000"/>
    <n v="107.6"/>
    <n v="578.4"/>
    <n v="-12.83"/>
    <n v="423.83"/>
    <n v="298.77"/>
    <n v="30.45"/>
    <n v="35.15"/>
    <n v="3.58"/>
    <n v="259.23"/>
    <n v="153.53"/>
    <n v="49.03"/>
    <n v="419.33"/>
    <n v="2346.0700000000002"/>
    <n v="-370.29999999999995"/>
  </r>
  <r>
    <x v="5"/>
    <x v="3"/>
    <x v="0"/>
    <s v="4600101"/>
    <n v="700030"/>
    <s v="Salaries-LPN-Other"/>
    <s v="Gastro Intestinal (GI) Svcs"/>
    <x v="0"/>
    <n v="2000"/>
    <n v="316.70999999999998"/>
    <n v="474.31"/>
    <n v="188.66"/>
    <n v="307.64"/>
    <n v="292.33999999999997"/>
    <n v="15.94"/>
    <n v="336.95"/>
    <n v="220.69"/>
    <n v="102.1"/>
    <n v="301.82"/>
    <n v="194.25"/>
    <n v="299.89"/>
    <n v="3051.2999999999997"/>
    <n v="-105.63999999999999"/>
  </r>
  <r>
    <x v="5"/>
    <x v="3"/>
    <x v="0"/>
    <s v="4600101"/>
    <n v="700032"/>
    <s v="Salaries-Other Pat Care Providers-Productive"/>
    <s v="Gastro Intestinal (GI) Svcs"/>
    <x v="0"/>
    <m/>
    <n v="6847.13"/>
    <n v="7447.08"/>
    <n v="8248.59"/>
    <n v="7773.06"/>
    <n v="5532.35"/>
    <n v="6653.18"/>
    <n v="5947.04"/>
    <n v="4877.68"/>
    <n v="6518.35"/>
    <n v="5223.28"/>
    <n v="6396.79"/>
    <n v="3919.04"/>
    <n v="75383.569999999992"/>
    <n v="2477.75"/>
  </r>
  <r>
    <x v="5"/>
    <x v="3"/>
    <x v="0"/>
    <s v="4600101"/>
    <n v="700032"/>
    <s v="Salaries-Other Pat Care Providers-OT"/>
    <s v="Gastro Intestinal (GI) Svcs"/>
    <x v="0"/>
    <n v="1000"/>
    <n v="102.13"/>
    <n v="135.79"/>
    <n v="345.06"/>
    <n v="101.74"/>
    <n v="453.2"/>
    <n v="15.6"/>
    <n v="66.58"/>
    <n v="13.55"/>
    <n v="456.4"/>
    <n v="94.13"/>
    <n v="29.65"/>
    <n v="244.69"/>
    <n v="2058.52"/>
    <n v="-215.04"/>
  </r>
  <r>
    <x v="5"/>
    <x v="3"/>
    <x v="0"/>
    <s v="4600101"/>
    <n v="700032"/>
    <s v="Salaries-Other Pat Care Providers-Other"/>
    <s v="Gastro Intestinal (GI) Svcs"/>
    <x v="0"/>
    <n v="2000"/>
    <n v="502.18"/>
    <n v="767.63"/>
    <n v="740.54"/>
    <n v="1306.56"/>
    <n v="442.99"/>
    <n v="881.62"/>
    <n v="557.33000000000004"/>
    <n v="482.9"/>
    <n v="807.16"/>
    <n v="489.77"/>
    <n v="662.19"/>
    <n v="561.25"/>
    <n v="8202.119999999999"/>
    <n v="100.94000000000005"/>
  </r>
  <r>
    <x v="5"/>
    <x v="3"/>
    <x v="0"/>
    <s v="4600101"/>
    <n v="700034"/>
    <s v="Salaries-Tech/Professional-Productive"/>
    <s v="Gastro Intestinal (GI) Svcs"/>
    <x v="0"/>
    <m/>
    <n v="0"/>
    <n v="1529.39"/>
    <n v="4428.96"/>
    <n v="3025.09"/>
    <n v="516.24"/>
    <n v="-155.91999999999999"/>
    <n v="165.99"/>
    <n v="0"/>
    <n v="0"/>
    <n v="0"/>
    <n v="0"/>
    <n v="0"/>
    <n v="9509.75"/>
    <n v="0"/>
  </r>
  <r>
    <x v="5"/>
    <x v="3"/>
    <x v="0"/>
    <s v="4600101"/>
    <n v="700034"/>
    <s v="Salaries-Tech/Professional-OT"/>
    <s v="Gastro Intestinal (GI) Svcs"/>
    <x v="0"/>
    <n v="1000"/>
    <n v="0"/>
    <n v="26.08"/>
    <n v="357.64"/>
    <n v="-42.36"/>
    <n v="30.11"/>
    <n v="32.229999999999997"/>
    <n v="-4.0199999999999996"/>
    <n v="0"/>
    <n v="0"/>
    <n v="0"/>
    <n v="0"/>
    <n v="0"/>
    <n v="399.68"/>
    <n v="0"/>
  </r>
  <r>
    <x v="5"/>
    <x v="3"/>
    <x v="0"/>
    <s v="4600101"/>
    <n v="700034"/>
    <s v="Salaries-Tech/Professional-Other"/>
    <s v="Gastro Intestinal (GI) Svcs"/>
    <x v="0"/>
    <n v="2000"/>
    <n v="0"/>
    <n v="76.27"/>
    <n v="251.51"/>
    <n v="216.4"/>
    <n v="-25.54"/>
    <n v="-4.34"/>
    <n v="5.26"/>
    <n v="0"/>
    <n v="0"/>
    <n v="0"/>
    <n v="0"/>
    <n v="0"/>
    <n v="519.55999999999995"/>
    <n v="0"/>
  </r>
  <r>
    <x v="5"/>
    <x v="3"/>
    <x v="0"/>
    <s v="4600101"/>
    <n v="700038"/>
    <s v="Salaries-Service/Support-Productive"/>
    <s v="Gastro Intestinal (GI) Svcs"/>
    <x v="0"/>
    <m/>
    <n v="4040.64"/>
    <n v="4126.1400000000003"/>
    <n v="1618.53"/>
    <n v="3220.05"/>
    <n v="3917.92"/>
    <n v="3111.87"/>
    <n v="4057.38"/>
    <n v="2843.77"/>
    <n v="4151.38"/>
    <n v="3368.26"/>
    <n v="4135.32"/>
    <n v="3410.74"/>
    <n v="42002"/>
    <n v="724.57999999999993"/>
  </r>
  <r>
    <x v="5"/>
    <x v="3"/>
    <x v="0"/>
    <s v="4600101"/>
    <n v="700038"/>
    <s v="Salaries-Service/Support-OT"/>
    <s v="Gastro Intestinal (GI) Svcs"/>
    <x v="0"/>
    <n v="1000"/>
    <n v="55.21"/>
    <n v="-8.07"/>
    <n v="0"/>
    <n v="0"/>
    <n v="0"/>
    <n v="0"/>
    <n v="0"/>
    <n v="0"/>
    <n v="0"/>
    <n v="0"/>
    <n v="0"/>
    <n v="0"/>
    <n v="47.14"/>
    <n v="0"/>
  </r>
  <r>
    <x v="5"/>
    <x v="3"/>
    <x v="0"/>
    <s v="4600101"/>
    <n v="700054"/>
    <s v="Salaries-Management-Non-productive"/>
    <s v="Gastro Intestinal (GI) Svcs"/>
    <x v="0"/>
    <m/>
    <n v="2677.26"/>
    <n v="522.58000000000004"/>
    <n v="457.12"/>
    <n v="0"/>
    <n v="0"/>
    <n v="3522.84"/>
    <n v="746.71"/>
    <n v="644.52"/>
    <n v="-169.59"/>
    <n v="3799.48"/>
    <n v="0"/>
    <n v="1458.69"/>
    <n v="13659.61"/>
    <n v="-1458.69"/>
  </r>
  <r>
    <x v="5"/>
    <x v="3"/>
    <x v="0"/>
    <s v="4600101"/>
    <n v="700054"/>
    <s v="Salaries-Management-NonProd-Other"/>
    <s v="Gastro Intestinal (GI) Svcs"/>
    <x v="0"/>
    <n v="2000"/>
    <n v="0"/>
    <n v="0"/>
    <n v="0"/>
    <n v="0"/>
    <n v="0"/>
    <n v="3395.87"/>
    <n v="-3395.87"/>
    <n v="0"/>
    <n v="0"/>
    <n v="0"/>
    <n v="0"/>
    <n v="0"/>
    <n v="0"/>
    <n v="0"/>
  </r>
  <r>
    <x v="5"/>
    <x v="3"/>
    <x v="0"/>
    <s v="4600101"/>
    <n v="700066"/>
    <s v="Salaries-RN-Non-productive"/>
    <s v="Gastro Intestinal (GI) Svcs"/>
    <x v="0"/>
    <m/>
    <n v="17941.09"/>
    <n v="21297.37"/>
    <n v="7420.96"/>
    <n v="7481.97"/>
    <n v="14601.41"/>
    <n v="21272.52"/>
    <n v="8363.89"/>
    <n v="24497.35"/>
    <n v="4193.1899999999996"/>
    <n v="25191.07"/>
    <n v="24898"/>
    <n v="11025.49"/>
    <n v="188184.31"/>
    <n v="13872.51"/>
  </r>
  <r>
    <x v="5"/>
    <x v="3"/>
    <x v="0"/>
    <s v="4600101"/>
    <n v="700066"/>
    <s v="Salaries-RN-NonProd-Other"/>
    <s v="Gastro Intestinal (GI) Svcs"/>
    <x v="0"/>
    <n v="2000"/>
    <n v="867.99"/>
    <n v="472.61"/>
    <n v="211.29"/>
    <n v="809.39"/>
    <n v="847.8"/>
    <n v="1076.19"/>
    <n v="399.79"/>
    <n v="293.5"/>
    <n v="402.56"/>
    <n v="770.9"/>
    <n v="702.65"/>
    <n v="1262.27"/>
    <n v="8116.9400000000005"/>
    <n v="-559.62"/>
  </r>
  <r>
    <x v="5"/>
    <x v="3"/>
    <x v="0"/>
    <s v="4600101"/>
    <n v="700070"/>
    <s v="Salaries-LPN-Non-productive"/>
    <s v="Gastro Intestinal (GI) Svcs"/>
    <x v="0"/>
    <m/>
    <n v="1265.5999999999999"/>
    <n v="336.16"/>
    <n v="3064.07"/>
    <n v="507.7"/>
    <n v="-393.27"/>
    <n v="3048.96"/>
    <n v="417.81"/>
    <n v="824.28"/>
    <n v="51.17"/>
    <n v="219.15"/>
    <n v="316.52"/>
    <n v="287.37"/>
    <n v="9945.5200000000023"/>
    <n v="29.149999999999977"/>
  </r>
  <r>
    <x v="5"/>
    <x v="3"/>
    <x v="0"/>
    <s v="4600101"/>
    <n v="700070"/>
    <s v="Salaries-LPN-NonProd-Other"/>
    <s v="Gastro Intestinal (GI) Svcs"/>
    <x v="0"/>
    <n v="2000"/>
    <n v="0"/>
    <n v="172.56"/>
    <n v="-49.26"/>
    <n v="0"/>
    <n v="8.34"/>
    <n v="0"/>
    <n v="39.11"/>
    <n v="0"/>
    <n v="26.77"/>
    <n v="-9.73"/>
    <n v="104.3"/>
    <n v="18.809999999999999"/>
    <n v="310.90000000000003"/>
    <n v="85.49"/>
  </r>
  <r>
    <x v="5"/>
    <x v="3"/>
    <x v="0"/>
    <s v="4600101"/>
    <n v="700072"/>
    <s v="Salaries-Other Pat Care Providers-Non-productive"/>
    <s v="Gastro Intestinal (GI) Svcs"/>
    <x v="0"/>
    <m/>
    <n v="767.86"/>
    <n v="836.52"/>
    <n v="1337.94"/>
    <n v="1062.18"/>
    <n v="2240.4499999999998"/>
    <n v="2210.84"/>
    <n v="1994.57"/>
    <n v="2127.89"/>
    <n v="1666"/>
    <n v="1252.83"/>
    <n v="2172.27"/>
    <n v="1984.16"/>
    <n v="19653.509999999998"/>
    <n v="188.1099999999999"/>
  </r>
  <r>
    <x v="5"/>
    <x v="3"/>
    <x v="0"/>
    <s v="4600101"/>
    <n v="700072"/>
    <s v="Salaries-Other Pat Care Providers-NonProd-Other"/>
    <s v="Gastro Intestinal (GI) Svcs"/>
    <x v="0"/>
    <n v="2000"/>
    <n v="21.44"/>
    <n v="206.25"/>
    <n v="-0.04"/>
    <n v="120.11"/>
    <n v="492.43"/>
    <n v="932.1"/>
    <n v="0"/>
    <n v="-1343.37"/>
    <n v="52.66"/>
    <n v="74.77"/>
    <n v="74.69"/>
    <n v="-35.950000000000003"/>
    <n v="595.08999999999992"/>
    <n v="110.64"/>
  </r>
  <r>
    <x v="5"/>
    <x v="3"/>
    <x v="0"/>
    <s v="4600101"/>
    <n v="700074"/>
    <s v="Salaries-Tech/Professional-NonProd-Other"/>
    <s v="Gastro Intestinal (GI) Svcs"/>
    <x v="0"/>
    <n v="2000"/>
    <n v="0"/>
    <n v="0"/>
    <n v="1.25"/>
    <n v="-0.45"/>
    <n v="0"/>
    <n v="0"/>
    <n v="0"/>
    <n v="0"/>
    <n v="0"/>
    <n v="0"/>
    <n v="0"/>
    <n v="0"/>
    <n v="0.8"/>
    <n v="0"/>
  </r>
  <r>
    <x v="5"/>
    <x v="3"/>
    <x v="0"/>
    <s v="4600101"/>
    <n v="700078"/>
    <s v="Salaries-Service/Support-Non-productive"/>
    <s v="Gastro Intestinal (GI) Svcs"/>
    <x v="0"/>
    <m/>
    <n v="402.24"/>
    <n v="201.12"/>
    <n v="2736.66"/>
    <n v="1231.1600000000001"/>
    <n v="315.86"/>
    <n v="1164.28"/>
    <n v="117.88"/>
    <n v="559.07000000000005"/>
    <n v="-147.1"/>
    <n v="617.95000000000005"/>
    <n v="0"/>
    <n v="205.98"/>
    <n v="7405.0999999999985"/>
    <n v="-205.98"/>
  </r>
  <r>
    <x v="5"/>
    <x v="3"/>
    <x v="0"/>
    <s v="4600101"/>
    <n v="700084"/>
    <s v="Accrued PTO"/>
    <s v="Gastro Intestinal (GI) Svcs"/>
    <x v="0"/>
    <m/>
    <n v="-2714.58"/>
    <n v="-1747.63"/>
    <n v="1333.79"/>
    <n v="7451.26"/>
    <n v="3835.36"/>
    <n v="-4250.0200000000004"/>
    <n v="8417.94"/>
    <n v="-449.45"/>
    <n v="9508.4599999999991"/>
    <n v="-4591.3100000000004"/>
    <n v="986.91"/>
    <n v="12463.29"/>
    <n v="30244.019999999997"/>
    <n v="-11476.380000000001"/>
  </r>
  <r>
    <x v="6"/>
    <x v="3"/>
    <x v="0"/>
    <s v="4600101"/>
    <n v="713010"/>
    <s v="Benefits-FICA/Medicare"/>
    <s v="Gastro Intestinal (GI) Svcs"/>
    <x v="0"/>
    <m/>
    <n v="8789.3700000000008"/>
    <n v="8808.49"/>
    <n v="9076.09"/>
    <n v="9539.2199999999993"/>
    <n v="9033.66"/>
    <n v="9202.69"/>
    <n v="9468.23"/>
    <n v="8864.44"/>
    <n v="9749.43"/>
    <n v="9681.09"/>
    <n v="10557.42"/>
    <n v="9544.5"/>
    <n v="112314.62999999999"/>
    <n v="1012.9200000000001"/>
  </r>
  <r>
    <x v="6"/>
    <x v="3"/>
    <x v="0"/>
    <s v="4600101"/>
    <n v="713090"/>
    <s v="Benefits-Allocated Amounts"/>
    <s v="Gastro Intestinal (GI) Svcs"/>
    <x v="0"/>
    <m/>
    <n v="21451.040000000001"/>
    <n v="20009.66"/>
    <n v="24042.16"/>
    <n v="23261.9"/>
    <n v="22552.560000000001"/>
    <n v="22876.23"/>
    <n v="24314.85"/>
    <n v="24170.83"/>
    <n v="20541.419999999998"/>
    <n v="24563.03"/>
    <n v="28200.38"/>
    <n v="25535.64"/>
    <n v="281519.7"/>
    <n v="2664.7400000000016"/>
  </r>
  <r>
    <x v="6"/>
    <x v="3"/>
    <x v="0"/>
    <s v="4600101"/>
    <n v="713096"/>
    <s v="Employee Recognition"/>
    <s v="Gastro Intestinal (GI) Svcs"/>
    <x v="0"/>
    <n v="1017"/>
    <n v="0"/>
    <n v="0"/>
    <n v="0"/>
    <n v="0"/>
    <n v="0"/>
    <n v="0"/>
    <n v="0"/>
    <n v="0"/>
    <n v="0"/>
    <n v="0"/>
    <n v="210.55"/>
    <n v="0"/>
    <n v="210.55"/>
    <n v="210.55"/>
  </r>
  <r>
    <x v="17"/>
    <x v="3"/>
    <x v="0"/>
    <s v="4600101"/>
    <n v="714510"/>
    <s v="Medical Director Fees"/>
    <s v="Gastro Intestinal (GI) Svcs"/>
    <x v="0"/>
    <m/>
    <n v="2380"/>
    <n v="2240"/>
    <n v="2380"/>
    <n v="2380"/>
    <n v="0"/>
    <n v="3220"/>
    <n v="2660"/>
    <n v="2940"/>
    <n v="2800"/>
    <n v="2800"/>
    <n v="2800"/>
    <n v="3500"/>
    <n v="30100"/>
    <n v="-700"/>
  </r>
  <r>
    <x v="17"/>
    <x v="3"/>
    <x v="0"/>
    <s v="4600101"/>
    <n v="714530"/>
    <s v="Medical Prof Fees-Intracompany"/>
    <s v="Gastro Intestinal (GI) Svcs"/>
    <x v="0"/>
    <m/>
    <n v="0"/>
    <n v="0"/>
    <n v="0"/>
    <n v="0"/>
    <n v="0"/>
    <n v="0"/>
    <n v="0"/>
    <n v="0"/>
    <n v="0"/>
    <n v="0"/>
    <n v="0"/>
    <n v="375368.25"/>
    <n v="375368.25"/>
    <n v="-375368.25"/>
  </r>
  <r>
    <x v="7"/>
    <x v="3"/>
    <x v="0"/>
    <s v="4600101"/>
    <n v="718050"/>
    <s v="Contract Svcs-Other"/>
    <s v="Gastro Intestinal (GI) Svcs"/>
    <x v="0"/>
    <m/>
    <n v="0"/>
    <n v="0"/>
    <n v="0"/>
    <n v="0"/>
    <n v="0"/>
    <n v="0"/>
    <n v="22.68"/>
    <n v="0"/>
    <n v="275.25"/>
    <n v="0"/>
    <n v="0"/>
    <n v="0"/>
    <n v="297.93"/>
    <n v="0"/>
  </r>
  <r>
    <x v="7"/>
    <x v="3"/>
    <x v="0"/>
    <s v="4600101"/>
    <n v="718050"/>
    <s v="Document Shredding/Storage"/>
    <s v="Gastro Intestinal (GI) Svcs"/>
    <x v="0"/>
    <n v="1012"/>
    <n v="13.96"/>
    <n v="14.29"/>
    <n v="13.15"/>
    <n v="13.61"/>
    <n v="14.07"/>
    <n v="14.07"/>
    <n v="13.92"/>
    <n v="11.94"/>
    <n v="12.37"/>
    <n v="16.22"/>
    <n v="13.61"/>
    <n v="14.08"/>
    <n v="165.29000000000005"/>
    <n v="-0.47000000000000064"/>
  </r>
  <r>
    <x v="7"/>
    <x v="3"/>
    <x v="0"/>
    <s v="4600101"/>
    <n v="718050"/>
    <s v="Miscellaneous Purchased Svcs"/>
    <s v="Gastro Intestinal (GI) Svcs"/>
    <x v="0"/>
    <n v="1020"/>
    <n v="0"/>
    <n v="45.36"/>
    <n v="36.75"/>
    <n v="45.36"/>
    <n v="0"/>
    <n v="22.68"/>
    <n v="22.68"/>
    <n v="30"/>
    <n v="22.68"/>
    <n v="32.68"/>
    <n v="22.7"/>
    <n v="22.7"/>
    <n v="303.58999999999997"/>
    <n v="0"/>
  </r>
  <r>
    <x v="7"/>
    <x v="3"/>
    <x v="0"/>
    <s v="4600101"/>
    <n v="718050"/>
    <s v="Translation Services"/>
    <s v="Gastro Intestinal (GI) Svcs"/>
    <x v="0"/>
    <n v="1025"/>
    <n v="820"/>
    <n v="331"/>
    <n v="428.24"/>
    <n v="728"/>
    <n v="-64"/>
    <n v="64"/>
    <n v="885.5"/>
    <n v="1054"/>
    <n v="119.9"/>
    <n v="1012.5"/>
    <n v="46.61"/>
    <n v="202.27"/>
    <n v="5628.0199999999995"/>
    <n v="-155.66000000000003"/>
  </r>
  <r>
    <x v="7"/>
    <x v="3"/>
    <x v="0"/>
    <s v="4600101"/>
    <n v="718050"/>
    <s v="Contract Management--Linen"/>
    <s v="Gastro Intestinal (GI) Svcs"/>
    <x v="0"/>
    <n v="1026"/>
    <n v="1378.96"/>
    <n v="1312.19"/>
    <n v="1300.6199999999999"/>
    <n v="1219.1600000000001"/>
    <n v="1552.42"/>
    <n v="964.71"/>
    <n v="1309.6600000000001"/>
    <n v="1189.53"/>
    <n v="1183.18"/>
    <n v="1284.04"/>
    <n v="1676.52"/>
    <n v="1165.52"/>
    <n v="15536.510000000002"/>
    <n v="511"/>
  </r>
  <r>
    <x v="7"/>
    <x v="3"/>
    <x v="0"/>
    <s v="4600101"/>
    <n v="718070"/>
    <s v="Contract Srvcs-CHI Clinical Engineering"/>
    <s v="Gastro Intestinal (GI) Svcs"/>
    <x v="0"/>
    <m/>
    <n v="5698.6"/>
    <n v="5491.92"/>
    <n v="5491.92"/>
    <n v="5821.98"/>
    <n v="5461.72"/>
    <n v="4861.22"/>
    <n v="5250.87"/>
    <n v="5040.24"/>
    <n v="5246.65"/>
    <n v="5246.65"/>
    <n v="5246.65"/>
    <n v="5246.65"/>
    <n v="64105.070000000007"/>
    <n v="0"/>
  </r>
  <r>
    <x v="7"/>
    <x v="3"/>
    <x v="0"/>
    <s v="4600101"/>
    <n v="718091"/>
    <s v="Contract Services-Intracompany Allocation"/>
    <s v="Gastro Intestinal (GI) Svcs"/>
    <x v="0"/>
    <m/>
    <n v="6426.29"/>
    <n v="7077.86"/>
    <n v="6351.84"/>
    <n v="6992.31"/>
    <n v="5722.99"/>
    <n v="6029.25"/>
    <n v="6461.54"/>
    <n v="6000.54"/>
    <n v="6502.89"/>
    <n v="6458.72"/>
    <n v="6120.55"/>
    <n v="6699.86"/>
    <n v="76844.639999999999"/>
    <n v="-579.30999999999949"/>
  </r>
  <r>
    <x v="11"/>
    <x v="3"/>
    <x v="0"/>
    <s v="4600101"/>
    <n v="721010"/>
    <s v="Supplies-Medical - Billable"/>
    <s v="Gastro Intestinal (GI) Svcs"/>
    <x v="0"/>
    <m/>
    <n v="3386.91"/>
    <n v="5463.94"/>
    <n v="5554.61"/>
    <n v="5213.04"/>
    <n v="7290.37"/>
    <n v="6831.17"/>
    <n v="4626.1899999999996"/>
    <n v="4536.0600000000004"/>
    <n v="7106.89"/>
    <n v="7822.53"/>
    <n v="8717.75"/>
    <n v="2418.56"/>
    <n v="68968.01999999999"/>
    <n v="6299.1900000000005"/>
  </r>
  <r>
    <x v="11"/>
    <x v="3"/>
    <x v="0"/>
    <s v="4600101"/>
    <n v="721010"/>
    <s v="Patient Monitoring"/>
    <s v="Gastro Intestinal (GI) Svcs"/>
    <x v="0"/>
    <n v="1000"/>
    <n v="141.4"/>
    <n v="30.63"/>
    <n v="52.86"/>
    <n v="-4.57"/>
    <n v="105.4"/>
    <n v="115.41"/>
    <n v="44.05"/>
    <n v="105.72"/>
    <n v="66.08"/>
    <n v="74.89"/>
    <n v="143.16999999999999"/>
    <n v="78.959999999999994"/>
    <n v="954"/>
    <n v="64.209999999999994"/>
  </r>
  <r>
    <x v="11"/>
    <x v="3"/>
    <x v="0"/>
    <s v="4600101"/>
    <n v="721020"/>
    <s v="Supplies-Surgical - Billable"/>
    <s v="Gastro Intestinal (GI) Svcs"/>
    <x v="0"/>
    <m/>
    <n v="29801.63"/>
    <n v="17571.27"/>
    <n v="22747.040000000001"/>
    <n v="29449.59"/>
    <n v="20835.43"/>
    <n v="19142.04"/>
    <n v="14891.67"/>
    <n v="23579.15"/>
    <n v="36178.97"/>
    <n v="5436.92"/>
    <n v="18189.05"/>
    <n v="13475.05"/>
    <n v="251297.81"/>
    <n v="4714"/>
  </r>
  <r>
    <x v="11"/>
    <x v="3"/>
    <x v="0"/>
    <s v="4600101"/>
    <n v="721020"/>
    <s v="Custom Packs"/>
    <s v="Gastro Intestinal (GI) Svcs"/>
    <x v="0"/>
    <n v="1000"/>
    <n v="0"/>
    <n v="0"/>
    <n v="66.2"/>
    <n v="0"/>
    <n v="0"/>
    <n v="0"/>
    <n v="0"/>
    <n v="0"/>
    <n v="0"/>
    <n v="0"/>
    <n v="0"/>
    <n v="79.44"/>
    <n v="145.63999999999999"/>
    <n v="-79.44"/>
  </r>
  <r>
    <x v="11"/>
    <x v="3"/>
    <x v="0"/>
    <s v="4600101"/>
    <n v="721020"/>
    <s v="Suture/Wound Closure"/>
    <s v="Gastro Intestinal (GI) Svcs"/>
    <x v="0"/>
    <n v="1001"/>
    <n v="0"/>
    <n v="2.39"/>
    <n v="0"/>
    <n v="0"/>
    <n v="0"/>
    <n v="0"/>
    <n v="0"/>
    <n v="0"/>
    <n v="0"/>
    <n v="0"/>
    <n v="0"/>
    <n v="14105.6"/>
    <n v="14107.99"/>
    <n v="-14105.6"/>
  </r>
  <r>
    <x v="11"/>
    <x v="3"/>
    <x v="0"/>
    <s v="4600101"/>
    <n v="721020"/>
    <s v="Endomechanical Supplies &amp; Instruments"/>
    <s v="Gastro Intestinal (GI) Svcs"/>
    <x v="0"/>
    <n v="1003"/>
    <n v="4716.1000000000004"/>
    <n v="4015.08"/>
    <n v="5849.62"/>
    <n v="4869.72"/>
    <n v="5951.91"/>
    <n v="20888.12"/>
    <n v="7030.75"/>
    <n v="3951.99"/>
    <n v="1874.84"/>
    <n v="6488.74"/>
    <n v="10193.52"/>
    <n v="12861.5"/>
    <n v="88691.89"/>
    <n v="-2667.9799999999996"/>
  </r>
  <r>
    <x v="11"/>
    <x v="3"/>
    <x v="0"/>
    <s v="4600101"/>
    <n v="721020"/>
    <s v="Urological Supplies"/>
    <s v="Gastro Intestinal (GI) Svcs"/>
    <x v="0"/>
    <n v="1006"/>
    <n v="1378.25"/>
    <n v="1601.09"/>
    <n v="747.83"/>
    <n v="1513.52"/>
    <n v="768.83"/>
    <n v="1645.99"/>
    <n v="1138.75"/>
    <n v="1257.1600000000001"/>
    <n v="1014.25"/>
    <n v="1669.25"/>
    <n v="1018.67"/>
    <n v="1112.8800000000001"/>
    <n v="14866.470000000001"/>
    <n v="-94.21000000000015"/>
  </r>
  <r>
    <x v="11"/>
    <x v="3"/>
    <x v="0"/>
    <s v="4600101"/>
    <n v="721020"/>
    <s v="Tubes Drains &amp; Related Supplies"/>
    <s v="Gastro Intestinal (GI) Svcs"/>
    <x v="0"/>
    <n v="1008"/>
    <n v="270"/>
    <n v="274.5"/>
    <n v="270"/>
    <n v="0"/>
    <n v="257.60000000000002"/>
    <n v="469.93"/>
    <n v="57.6"/>
    <n v="0"/>
    <n v="214.7"/>
    <n v="67.5"/>
    <n v="212.9"/>
    <n v="215.8"/>
    <n v="2310.5300000000002"/>
    <n v="-2.9000000000000057"/>
  </r>
  <r>
    <x v="11"/>
    <x v="3"/>
    <x v="0"/>
    <s v="4600101"/>
    <n v="721050"/>
    <s v="Supplies-Cardiac Rhythm - Billable"/>
    <s v="Gastro Intestinal (GI) Svcs"/>
    <x v="0"/>
    <m/>
    <n v="9627.7099999999991"/>
    <n v="10903.42"/>
    <n v="6974.81"/>
    <n v="22835.14"/>
    <n v="15506.54"/>
    <n v="28267.79"/>
    <n v="28438.28"/>
    <n v="10930.27"/>
    <n v="5091.34"/>
    <n v="20436.21"/>
    <n v="24875.69"/>
    <n v="15196.4"/>
    <n v="199083.59999999998"/>
    <n v="9679.2899999999991"/>
  </r>
  <r>
    <x v="11"/>
    <x v="3"/>
    <x v="0"/>
    <s v="4600101"/>
    <n v="721070"/>
    <s v="Peripheral Stents"/>
    <s v="Gastro Intestinal (GI) Svcs"/>
    <x v="0"/>
    <n v="1001"/>
    <n v="0"/>
    <n v="52"/>
    <n v="0"/>
    <n v="9104"/>
    <n v="0"/>
    <n v="52"/>
    <n v="0"/>
    <n v="2250"/>
    <n v="7200"/>
    <n v="4500"/>
    <n v="0"/>
    <n v="208"/>
    <n v="23366"/>
    <n v="-208"/>
  </r>
  <r>
    <x v="11"/>
    <x v="3"/>
    <x v="0"/>
    <s v="4600101"/>
    <n v="721150"/>
    <s v="Fracture Management"/>
    <s v="Gastro Intestinal (GI) Svcs"/>
    <x v="0"/>
    <n v="1001"/>
    <n v="0"/>
    <n v="0"/>
    <n v="0"/>
    <n v="0"/>
    <n v="0"/>
    <n v="0"/>
    <n v="271.98"/>
    <n v="0"/>
    <n v="0"/>
    <n v="0"/>
    <n v="0"/>
    <n v="0"/>
    <n v="271.98"/>
    <n v="0"/>
  </r>
  <r>
    <x v="11"/>
    <x v="3"/>
    <x v="0"/>
    <s v="4600101"/>
    <n v="721240"/>
    <s v="Supplies-IV Solutions/Supplies - Billable"/>
    <s v="Gastro Intestinal (GI) Svcs"/>
    <x v="0"/>
    <m/>
    <n v="1417.61"/>
    <n v="1331.94"/>
    <n v="1417.33"/>
    <n v="1989.29"/>
    <n v="1635.59"/>
    <n v="1366.33"/>
    <n v="1256.93"/>
    <n v="1174"/>
    <n v="1757.64"/>
    <n v="1680.49"/>
    <n v="2027.95"/>
    <n v="1480"/>
    <n v="18535.099999999999"/>
    <n v="547.95000000000005"/>
  </r>
  <r>
    <x v="11"/>
    <x v="3"/>
    <x v="0"/>
    <s v="4600101"/>
    <n v="721250"/>
    <s v="Supplies-Pharmacy Drugs - Billable"/>
    <s v="Gastro Intestinal (GI) Svcs"/>
    <x v="0"/>
    <m/>
    <n v="1050"/>
    <n v="38.56"/>
    <n v="38.56"/>
    <n v="0"/>
    <n v="38.56"/>
    <n v="0"/>
    <n v="38.56"/>
    <n v="0"/>
    <n v="38.56"/>
    <n v="0"/>
    <n v="38.56"/>
    <n v="1050"/>
    <n v="2331.3599999999997"/>
    <n v="-1011.44"/>
  </r>
  <r>
    <x v="11"/>
    <x v="3"/>
    <x v="0"/>
    <s v="4600101"/>
    <n v="721410"/>
    <s v="Supplies-Medical - Nonbillable"/>
    <s v="Gastro Intestinal (GI) Svcs"/>
    <x v="0"/>
    <m/>
    <n v="5711.15"/>
    <n v="5414.94"/>
    <n v="8225.42"/>
    <n v="6749.13"/>
    <n v="5419.01"/>
    <n v="6462.52"/>
    <n v="5345.91"/>
    <n v="5883.56"/>
    <n v="8627.68"/>
    <n v="15105.73"/>
    <n v="7583.78"/>
    <n v="6551.39"/>
    <n v="87080.22"/>
    <n v="1032.3899999999994"/>
  </r>
  <r>
    <x v="11"/>
    <x v="3"/>
    <x v="0"/>
    <s v="4600101"/>
    <n v="721410"/>
    <s v="Patient Monitoring"/>
    <s v="Gastro Intestinal (GI) Svcs"/>
    <x v="0"/>
    <n v="1000"/>
    <n v="0"/>
    <n v="0"/>
    <n v="0"/>
    <n v="0"/>
    <n v="0"/>
    <n v="0"/>
    <n v="0"/>
    <n v="2.2200000000000002"/>
    <n v="0"/>
    <n v="0"/>
    <n v="0"/>
    <n v="0"/>
    <n v="2.2200000000000002"/>
    <n v="0"/>
  </r>
  <r>
    <x v="11"/>
    <x v="3"/>
    <x v="0"/>
    <s v="4600101"/>
    <n v="721420"/>
    <s v="Supplies-Surgical Nonbillable"/>
    <s v="Gastro Intestinal (GI) Svcs"/>
    <x v="0"/>
    <m/>
    <n v="9660.75"/>
    <n v="10439.41"/>
    <n v="14913.19"/>
    <n v="16976.53"/>
    <n v="15429.54"/>
    <n v="15287.19"/>
    <n v="5158.54"/>
    <n v="13593.82"/>
    <n v="8520.92"/>
    <n v="16415.37"/>
    <n v="13958.49"/>
    <n v="9158.68"/>
    <n v="149512.43"/>
    <n v="4799.8099999999995"/>
  </r>
  <r>
    <x v="11"/>
    <x v="3"/>
    <x v="0"/>
    <s v="4600101"/>
    <n v="721420"/>
    <s v="Tubes Drains &amp; Related Supplies"/>
    <s v="Gastro Intestinal (GI) Svcs"/>
    <x v="0"/>
    <n v="1008"/>
    <n v="205.09"/>
    <n v="108.45"/>
    <n v="164.23"/>
    <n v="319.68"/>
    <n v="131.87"/>
    <n v="159.43"/>
    <n v="161.78"/>
    <n v="156.65"/>
    <n v="203.33"/>
    <n v="165.15"/>
    <n v="132.15"/>
    <n v="148.94999999999999"/>
    <n v="2056.7600000000002"/>
    <n v="-16.799999999999983"/>
  </r>
  <r>
    <x v="11"/>
    <x v="3"/>
    <x v="0"/>
    <s v="4600101"/>
    <n v="721420"/>
    <s v="Sterilization Process Products"/>
    <s v="Gastro Intestinal (GI) Svcs"/>
    <x v="0"/>
    <n v="1009"/>
    <n v="5399.23"/>
    <n v="4504.24"/>
    <n v="4667.6899999999996"/>
    <n v="7621.86"/>
    <n v="5792.49"/>
    <n v="6991.85"/>
    <n v="4722.2"/>
    <n v="4579.3100000000004"/>
    <n v="5713.91"/>
    <n v="6304.12"/>
    <n v="5918.85"/>
    <n v="6045.99"/>
    <n v="68261.740000000005"/>
    <n v="-127.13999999999942"/>
  </r>
  <r>
    <x v="11"/>
    <x v="3"/>
    <x v="0"/>
    <s v="4600101"/>
    <n v="721610"/>
    <s v="Supplies-Anesthesia - Nonbillable"/>
    <s v="Gastro Intestinal (GI) Svcs"/>
    <x v="0"/>
    <m/>
    <n v="944.34"/>
    <n v="941.44"/>
    <n v="770.87"/>
    <n v="408.54"/>
    <n v="850.09"/>
    <n v="668.34"/>
    <n v="704.98"/>
    <n v="410.02"/>
    <n v="1183.6099999999999"/>
    <n v="466.01"/>
    <n v="1223.67"/>
    <n v="764.22"/>
    <n v="9336.1299999999992"/>
    <n v="459.45000000000005"/>
  </r>
  <r>
    <x v="11"/>
    <x v="3"/>
    <x v="0"/>
    <s v="4600101"/>
    <n v="721640"/>
    <s v="Supplies-IV Solutions/Supplies - Nonbillable"/>
    <s v="Gastro Intestinal (GI) Svcs"/>
    <x v="0"/>
    <m/>
    <n v="654.08000000000004"/>
    <n v="791.33"/>
    <n v="683.93"/>
    <n v="892.38"/>
    <n v="780.56"/>
    <n v="721.6"/>
    <n v="878.8"/>
    <n v="587.05999999999995"/>
    <n v="930.97"/>
    <n v="803.9"/>
    <n v="904.94"/>
    <n v="739.22"/>
    <n v="9368.7699999999986"/>
    <n v="165.72000000000003"/>
  </r>
  <r>
    <x v="11"/>
    <x v="3"/>
    <x v="0"/>
    <s v="4600101"/>
    <n v="721650"/>
    <s v="Supplies-Pharmacy Drugs - Nonbillable"/>
    <s v="Gastro Intestinal (GI) Svcs"/>
    <x v="0"/>
    <m/>
    <n v="2158.39"/>
    <n v="-473.82"/>
    <n v="76.12"/>
    <n v="-473.81"/>
    <n v="0"/>
    <n v="16.04"/>
    <n v="3.34"/>
    <n v="6792.72"/>
    <n v="6.68"/>
    <n v="-584.91"/>
    <n v="6103.08"/>
    <n v="-7.54"/>
    <n v="13616.29"/>
    <n v="6110.62"/>
  </r>
  <r>
    <x v="11"/>
    <x v="3"/>
    <x v="0"/>
    <s v="4600101"/>
    <n v="721710"/>
    <s v="Supplies-Laboratory - Nonbillable"/>
    <s v="Gastro Intestinal (GI) Svcs"/>
    <x v="0"/>
    <m/>
    <n v="220.97"/>
    <n v="39.83"/>
    <n v="59.82"/>
    <n v="471.44"/>
    <n v="684.93"/>
    <n v="107.21"/>
    <n v="164.23"/>
    <n v="147.76"/>
    <n v="62.07"/>
    <n v="301.56"/>
    <n v="245.87"/>
    <n v="129.75"/>
    <n v="2635.4399999999996"/>
    <n v="116.12"/>
  </r>
  <r>
    <x v="11"/>
    <x v="3"/>
    <x v="0"/>
    <s v="4600101"/>
    <n v="721710"/>
    <s v="Reagents"/>
    <s v="Gastro Intestinal (GI) Svcs"/>
    <x v="0"/>
    <n v="1000"/>
    <n v="360"/>
    <n v="0"/>
    <n v="180"/>
    <n v="0"/>
    <n v="90"/>
    <n v="180"/>
    <n v="0"/>
    <n v="0"/>
    <n v="90"/>
    <n v="90"/>
    <n v="0"/>
    <n v="180"/>
    <n v="1170"/>
    <n v="-180"/>
  </r>
  <r>
    <x v="11"/>
    <x v="3"/>
    <x v="0"/>
    <s v="4600101"/>
    <n v="721750"/>
    <s v="Supplies-Film/Radiographic - Nonbillable"/>
    <s v="Gastro Intestinal (GI) Svcs"/>
    <x v="0"/>
    <m/>
    <n v="0"/>
    <n v="0"/>
    <n v="33.03"/>
    <n v="82.58"/>
    <n v="-7.58"/>
    <n v="0"/>
    <n v="0"/>
    <n v="0"/>
    <n v="0"/>
    <n v="0"/>
    <n v="0"/>
    <n v="0"/>
    <n v="108.03"/>
    <n v="0"/>
  </r>
  <r>
    <x v="11"/>
    <x v="3"/>
    <x v="0"/>
    <s v="4600101"/>
    <n v="721810"/>
    <s v="Supplies-Dietary/Cafeteria"/>
    <s v="Gastro Intestinal (GI) Svcs"/>
    <x v="0"/>
    <m/>
    <n v="101.22"/>
    <n v="131.16"/>
    <n v="92.62"/>
    <n v="152.68"/>
    <n v="99.09"/>
    <n v="80.13"/>
    <n v="235.71"/>
    <n v="69.84"/>
    <n v="233.79"/>
    <n v="115.48"/>
    <n v="251.54"/>
    <n v="182.54"/>
    <n v="1745.8"/>
    <n v="69"/>
  </r>
  <r>
    <x v="11"/>
    <x v="3"/>
    <x v="0"/>
    <s v="4600101"/>
    <n v="721830"/>
    <s v="Supplies-Office"/>
    <s v="Gastro Intestinal (GI) Svcs"/>
    <x v="0"/>
    <m/>
    <n v="212.08"/>
    <n v="174.29"/>
    <n v="83.62"/>
    <n v="363.43"/>
    <n v="300.68"/>
    <n v="133.63999999999999"/>
    <n v="28.59"/>
    <n v="279.16000000000003"/>
    <n v="-2.2999999999999998"/>
    <n v="201.97"/>
    <n v="174.84"/>
    <n v="560.26"/>
    <n v="2510.2600000000002"/>
    <n v="-385.41999999999996"/>
  </r>
  <r>
    <x v="11"/>
    <x v="3"/>
    <x v="0"/>
    <s v="4600101"/>
    <n v="721870"/>
    <s v="Supplies-Environmental Services"/>
    <s v="Gastro Intestinal (GI) Svcs"/>
    <x v="0"/>
    <m/>
    <n v="972.11"/>
    <n v="368.36"/>
    <n v="575.21"/>
    <n v="487.08"/>
    <n v="450.92"/>
    <n v="334.1"/>
    <n v="1062.3399999999999"/>
    <n v="141.53"/>
    <n v="453.21"/>
    <n v="269.02999999999997"/>
    <n v="266.39999999999998"/>
    <n v="219.95"/>
    <n v="5600.2399999999989"/>
    <n v="46.449999999999989"/>
  </r>
  <r>
    <x v="11"/>
    <x v="3"/>
    <x v="0"/>
    <s v="4600101"/>
    <n v="721880"/>
    <s v="Supplies-Linen"/>
    <s v="Gastro Intestinal (GI) Svcs"/>
    <x v="0"/>
    <m/>
    <n v="0"/>
    <n v="0"/>
    <n v="0"/>
    <n v="0"/>
    <n v="0"/>
    <n v="0"/>
    <n v="0"/>
    <n v="0"/>
    <n v="0"/>
    <n v="16.05"/>
    <n v="0"/>
    <n v="0"/>
    <n v="16.05"/>
    <n v="0"/>
  </r>
  <r>
    <x v="11"/>
    <x v="3"/>
    <x v="0"/>
    <s v="4600101"/>
    <n v="721910"/>
    <s v="Supplies-Small Equipment"/>
    <s v="Gastro Intestinal (GI) Svcs"/>
    <x v="0"/>
    <m/>
    <n v="3448.41"/>
    <n v="5165.01"/>
    <n v="3964.59"/>
    <n v="5132.71"/>
    <n v="3422.15"/>
    <n v="2622.61"/>
    <n v="1143.23"/>
    <n v="686.15"/>
    <n v="579.77"/>
    <n v="1962.44"/>
    <n v="943.44"/>
    <n v="421.98"/>
    <n v="29492.49"/>
    <n v="521.46"/>
  </r>
  <r>
    <x v="11"/>
    <x v="3"/>
    <x v="0"/>
    <s v="4600101"/>
    <n v="721910"/>
    <s v="Instruments"/>
    <s v="Gastro Intestinal (GI) Svcs"/>
    <x v="0"/>
    <n v="1000"/>
    <n v="248.85"/>
    <n v="419.6"/>
    <n v="2710.8"/>
    <n v="5770.9"/>
    <n v="213.09"/>
    <n v="491.4"/>
    <n v="204.6"/>
    <n v="5991.22"/>
    <n v="357.55"/>
    <n v="485.1"/>
    <n v="148.05000000000001"/>
    <n v="53.55"/>
    <n v="17094.709999999995"/>
    <n v="94.500000000000014"/>
  </r>
  <r>
    <x v="11"/>
    <x v="3"/>
    <x v="0"/>
    <s v="4600101"/>
    <n v="721980"/>
    <s v="Supplies-Other"/>
    <s v="Gastro Intestinal (GI) Svcs"/>
    <x v="0"/>
    <m/>
    <n v="0"/>
    <n v="0"/>
    <n v="106.6"/>
    <n v="2308.06"/>
    <n v="0"/>
    <n v="-53.81"/>
    <n v="364.97"/>
    <n v="566.39"/>
    <n v="0"/>
    <n v="96.43"/>
    <n v="0"/>
    <n v="100.04"/>
    <n v="3488.6799999999994"/>
    <n v="-100.04"/>
  </r>
  <r>
    <x v="11"/>
    <x v="3"/>
    <x v="0"/>
    <s v="4600101"/>
    <n v="722000"/>
    <s v="Supplies-Freight Expense"/>
    <s v="Gastro Intestinal (GI) Svcs"/>
    <x v="0"/>
    <m/>
    <n v="91.2"/>
    <n v="429.2"/>
    <n v="195.17"/>
    <n v="201"/>
    <n v="344.83"/>
    <n v="317.18"/>
    <n v="580.57000000000005"/>
    <n v="76.27"/>
    <n v="441.02"/>
    <n v="123.55"/>
    <n v="172.83"/>
    <n v="228.84"/>
    <n v="3201.6600000000003"/>
    <n v="-56.009999999999991"/>
  </r>
  <r>
    <x v="12"/>
    <x v="3"/>
    <x v="0"/>
    <s v="4600101"/>
    <n v="730020"/>
    <s v="Rental and Leases-Copier Usage Fees (DO NOT USE)"/>
    <s v="Gastro Intestinal (GI) Svcs"/>
    <x v="0"/>
    <n v="5100"/>
    <n v="454.55"/>
    <n v="459.15"/>
    <n v="456.85"/>
    <n v="456.85"/>
    <n v="456.85"/>
    <n v="456.85"/>
    <n v="98.72"/>
    <n v="302.19"/>
    <n v="301.55"/>
    <n v="684.16"/>
    <n v="302.19"/>
    <n v="359.63"/>
    <n v="4789.54"/>
    <n v="-57.44"/>
  </r>
  <r>
    <x v="15"/>
    <x v="3"/>
    <x v="0"/>
    <s v="4600101"/>
    <n v="731060"/>
    <s v="Cell Phones"/>
    <s v="Gastro Intestinal (GI) Svcs"/>
    <x v="0"/>
    <n v="1001"/>
    <n v="0"/>
    <n v="54.83"/>
    <n v="26.6"/>
    <n v="0"/>
    <n v="26.93"/>
    <n v="27.61"/>
    <n v="55.34"/>
    <n v="0"/>
    <n v="27.57"/>
    <n v="55.37"/>
    <n v="26.91"/>
    <n v="27.68"/>
    <n v="328.84000000000003"/>
    <n v="-0.76999999999999957"/>
  </r>
  <r>
    <x v="15"/>
    <x v="3"/>
    <x v="0"/>
    <s v="4600101"/>
    <n v="731060"/>
    <s v="Pagers"/>
    <s v="Gastro Intestinal (GI) Svcs"/>
    <x v="0"/>
    <n v="1002"/>
    <n v="18"/>
    <n v="18"/>
    <n v="18"/>
    <n v="6.99"/>
    <n v="18"/>
    <n v="0"/>
    <n v="27"/>
    <n v="20.010000000000002"/>
    <n v="9"/>
    <n v="9"/>
    <n v="9"/>
    <n v="9"/>
    <n v="162"/>
    <n v="0"/>
  </r>
  <r>
    <x v="16"/>
    <x v="3"/>
    <x v="0"/>
    <s v="4600101"/>
    <n v="732020"/>
    <s v="Repairs--Clin Equip-Parts-Internal to CHI Programs"/>
    <s v="Gastro Intestinal (GI) Svcs"/>
    <x v="0"/>
    <m/>
    <n v="0"/>
    <n v="0"/>
    <n v="0"/>
    <n v="0"/>
    <n v="23.93"/>
    <n v="0"/>
    <n v="0"/>
    <n v="0"/>
    <n v="0"/>
    <n v="0"/>
    <n v="0"/>
    <n v="0"/>
    <n v="23.93"/>
    <n v="0"/>
  </r>
  <r>
    <x v="16"/>
    <x v="3"/>
    <x v="0"/>
    <s v="4600101"/>
    <n v="732030"/>
    <s v="Repairs---Other"/>
    <s v="Gastro Intestinal (GI) Svcs"/>
    <x v="0"/>
    <m/>
    <n v="0"/>
    <n v="0"/>
    <n v="75"/>
    <n v="0"/>
    <n v="3852"/>
    <n v="5654"/>
    <n v="0"/>
    <n v="3927"/>
    <n v="0"/>
    <n v="0"/>
    <n v="5984"/>
    <n v="0"/>
    <n v="19492"/>
    <n v="5984"/>
  </r>
  <r>
    <x v="13"/>
    <x v="3"/>
    <x v="0"/>
    <s v="4600101"/>
    <n v="735040"/>
    <s v="Depreciation-Building Improvements"/>
    <s v="Gastro Intestinal (GI) Svcs"/>
    <x v="0"/>
    <m/>
    <n v="1315.24"/>
    <n v="1315.23"/>
    <n v="1315.24"/>
    <n v="1315.23"/>
    <n v="1315.24"/>
    <n v="1315.23"/>
    <n v="1315.24"/>
    <n v="1315.22"/>
    <n v="1315.25"/>
    <n v="1315.22"/>
    <n v="1315.26"/>
    <n v="1315.21"/>
    <n v="15782.809999999998"/>
    <n v="4.9999999999954525E-2"/>
  </r>
  <r>
    <x v="13"/>
    <x v="3"/>
    <x v="0"/>
    <s v="4600101"/>
    <n v="735060"/>
    <s v="Depreciation-Fixed Equipment"/>
    <s v="Gastro Intestinal (GI) Svcs"/>
    <x v="0"/>
    <m/>
    <n v="102.58"/>
    <n v="102.58"/>
    <n v="102.58"/>
    <n v="102.58"/>
    <n v="102.58"/>
    <n v="102.58"/>
    <n v="102.58"/>
    <n v="102.58"/>
    <n v="102.58"/>
    <n v="102.58"/>
    <n v="102.59"/>
    <n v="102.58"/>
    <n v="1230.97"/>
    <n v="1.0000000000005116E-2"/>
  </r>
  <r>
    <x v="13"/>
    <x v="3"/>
    <x v="0"/>
    <s v="4600101"/>
    <n v="735070"/>
    <s v="Depreciation-Movable Equipment"/>
    <s v="Gastro Intestinal (GI) Svcs"/>
    <x v="0"/>
    <m/>
    <n v="16715.46"/>
    <n v="16715.439999999999"/>
    <n v="16715.490000000002"/>
    <n v="16715.419999999998"/>
    <n v="16648.48"/>
    <n v="15537.81"/>
    <n v="15537.9"/>
    <n v="15503.51"/>
    <n v="15503.61"/>
    <n v="15503.5"/>
    <n v="15503.62"/>
    <n v="15503.48"/>
    <n v="192103.72"/>
    <n v="0.14000000000123691"/>
  </r>
  <r>
    <x v="0"/>
    <x v="3"/>
    <x v="0"/>
    <s v="4600101"/>
    <n v="740020"/>
    <s v="Education-Registration Fees"/>
    <s v="Gastro Intestinal (GI) Svcs"/>
    <x v="0"/>
    <m/>
    <n v="440"/>
    <n v="49.95"/>
    <n v="0"/>
    <n v="480"/>
    <n v="210"/>
    <n v="210"/>
    <n v="315"/>
    <n v="425"/>
    <n v="560"/>
    <n v="0"/>
    <n v="0"/>
    <n v="0"/>
    <n v="2689.95"/>
    <n v="0"/>
  </r>
  <r>
    <x v="0"/>
    <x v="3"/>
    <x v="0"/>
    <s v="4600101"/>
    <n v="749510"/>
    <s v="Miscellaneous Expenses"/>
    <s v="Gastro Intestinal (GI) Svcs"/>
    <x v="0"/>
    <m/>
    <n v="-20.27"/>
    <n v="-279.74"/>
    <n v="-301.14"/>
    <n v="1119.71"/>
    <n v="-902.27"/>
    <n v="229.91"/>
    <n v="-316.94"/>
    <n v="2371.6999999999998"/>
    <n v="-1664.33"/>
    <n v="31.58"/>
    <n v="36.619999999999997"/>
    <n v="693.4"/>
    <n v="998.23"/>
    <n v="-656.78"/>
  </r>
  <r>
    <x v="0"/>
    <x v="3"/>
    <x v="0"/>
    <s v="4600101"/>
    <n v="749510"/>
    <s v="RICE Rewards"/>
    <s v="Gastro Intestinal (GI) Svcs"/>
    <x v="0"/>
    <n v="5100"/>
    <n v="0"/>
    <n v="0"/>
    <n v="0"/>
    <n v="0"/>
    <n v="0"/>
    <n v="0"/>
    <n v="0"/>
    <n v="0"/>
    <n v="0"/>
    <n v="0"/>
    <n v="407.19"/>
    <n v="366.81"/>
    <n v="774"/>
    <n v="40.379999999999995"/>
  </r>
  <r>
    <x v="0"/>
    <x v="3"/>
    <x v="0"/>
    <s v="4600101"/>
    <n v="749530"/>
    <s v="Travel"/>
    <s v="Gastro Intestinal (GI) Svcs"/>
    <x v="0"/>
    <m/>
    <n v="130"/>
    <n v="252"/>
    <n v="332"/>
    <n v="251"/>
    <n v="967.84"/>
    <n v="211"/>
    <n v="333"/>
    <n v="0"/>
    <n v="276"/>
    <n v="407"/>
    <n v="231"/>
    <n v="229"/>
    <n v="3619.84"/>
    <n v="2"/>
  </r>
  <r>
    <x v="0"/>
    <x v="3"/>
    <x v="0"/>
    <s v="4600101"/>
    <n v="749530"/>
    <s v="Mileage"/>
    <s v="Gastro Intestinal (GI) Svcs"/>
    <x v="0"/>
    <n v="1001"/>
    <n v="656.89"/>
    <n v="1346.02"/>
    <n v="1538.95"/>
    <n v="1117.56"/>
    <n v="1434.25"/>
    <n v="936.67"/>
    <n v="1307.3"/>
    <n v="0"/>
    <n v="1424.81"/>
    <n v="2129.7600000000002"/>
    <n v="955.26"/>
    <n v="1059.6600000000001"/>
    <n v="13907.13"/>
    <n v="-104.40000000000009"/>
  </r>
  <r>
    <x v="18"/>
    <x v="0"/>
    <x v="0"/>
    <s v="4600102"/>
    <n v="400010"/>
    <s v="Acute I/P Svcs Rev--Medicare"/>
    <s v="Gastro Intestinal (GI) Svcs"/>
    <x v="0"/>
    <n v="1100"/>
    <n v="-100215.02"/>
    <n v="-121902.29"/>
    <n v="-125803.02"/>
    <n v="-145178.56"/>
    <n v="-125343.66"/>
    <n v="-140468.94"/>
    <n v="-128375.48"/>
    <n v="-102477.89"/>
    <n v="-206507.79"/>
    <n v="-214475.6"/>
    <n v="-87508.34"/>
    <n v="-176584.1"/>
    <n v="-1674840.6900000002"/>
    <n v="89075.760000000009"/>
  </r>
  <r>
    <x v="18"/>
    <x v="0"/>
    <x v="0"/>
    <s v="4600102"/>
    <n v="400010"/>
    <s v="Acute I/P Svcs Rev--Medicaid"/>
    <s v="Gastro Intestinal (GI) Svcs"/>
    <x v="0"/>
    <n v="1200"/>
    <n v="-50077.81"/>
    <n v="-56236.66"/>
    <n v="-60357.55"/>
    <n v="-47325.32"/>
    <n v="-13576.15"/>
    <n v="-35659.440000000002"/>
    <n v="-49542.1"/>
    <n v="-8818.86"/>
    <n v="-17332.650000000001"/>
    <n v="-28233.279999999999"/>
    <n v="-12302.12"/>
    <n v="-35699.96"/>
    <n v="-415161.90000000008"/>
    <n v="23397.839999999997"/>
  </r>
  <r>
    <x v="18"/>
    <x v="0"/>
    <x v="0"/>
    <s v="4600102"/>
    <n v="400010"/>
    <s v="Acute I/P Svcs Rev--Comm Insurance"/>
    <s v="Gastro Intestinal (GI) Svcs"/>
    <x v="0"/>
    <n v="1300"/>
    <n v="-4607.12"/>
    <n v="0"/>
    <n v="0"/>
    <n v="0"/>
    <n v="-3859.53"/>
    <n v="0"/>
    <n v="0"/>
    <n v="0"/>
    <n v="0"/>
    <n v="-5580.51"/>
    <n v="0"/>
    <n v="0"/>
    <n v="-14047.16"/>
    <n v="0"/>
  </r>
  <r>
    <x v="18"/>
    <x v="0"/>
    <x v="0"/>
    <s v="4600102"/>
    <n v="400010"/>
    <s v="Acute I/P Svcs Rev--BCBS Comm"/>
    <s v="Gastro Intestinal (GI) Svcs"/>
    <x v="0"/>
    <n v="1301"/>
    <n v="-9458.5400000000009"/>
    <n v="0"/>
    <n v="0"/>
    <n v="-5361.24"/>
    <n v="-24854.19"/>
    <n v="0"/>
    <n v="-18180.93"/>
    <n v="-15769.52"/>
    <n v="0"/>
    <n v="-21947.32"/>
    <n v="-8986.59"/>
    <n v="-36644.449999999997"/>
    <n v="-141202.77999999997"/>
    <n v="27657.859999999997"/>
  </r>
  <r>
    <x v="18"/>
    <x v="0"/>
    <x v="0"/>
    <s v="4600102"/>
    <n v="400010"/>
    <s v="Acute I/P Svcs Rev--Managed Care"/>
    <s v="Gastro Intestinal (GI) Svcs"/>
    <x v="0"/>
    <n v="1400"/>
    <n v="-66243.070000000007"/>
    <n v="-32229.35"/>
    <n v="-35792.06"/>
    <n v="-49284.86"/>
    <n v="-6395.46"/>
    <n v="-14693.78"/>
    <n v="-18559.32"/>
    <n v="-16869.919999999998"/>
    <n v="-67706.12"/>
    <n v="-16499.939999999999"/>
    <n v="-30984.98"/>
    <n v="-25538.89"/>
    <n v="-380797.75"/>
    <n v="-5446.09"/>
  </r>
  <r>
    <x v="18"/>
    <x v="0"/>
    <x v="0"/>
    <s v="4600102"/>
    <n v="400010"/>
    <s v="Acute I/P Svcs Rev--Self Pay"/>
    <s v="Gastro Intestinal (GI) Svcs"/>
    <x v="0"/>
    <n v="1500"/>
    <n v="-12411.11"/>
    <n v="-13598.92"/>
    <n v="9121.18"/>
    <n v="-3859.53"/>
    <n v="0"/>
    <n v="-3859.53"/>
    <n v="-9083.19"/>
    <n v="-12935.39"/>
    <n v="0"/>
    <n v="-5295.23"/>
    <n v="-15738.02"/>
    <n v="-8613.3799999999992"/>
    <n v="-76273.12000000001"/>
    <n v="-7124.6400000000012"/>
  </r>
  <r>
    <x v="18"/>
    <x v="0"/>
    <x v="0"/>
    <s v="4600102"/>
    <n v="400010"/>
    <s v="Acute I/P Svcs Rev--Other"/>
    <s v="Gastro Intestinal (GI) Svcs"/>
    <x v="0"/>
    <n v="1700"/>
    <n v="0"/>
    <n v="0"/>
    <n v="-9303.41"/>
    <n v="0"/>
    <n v="0"/>
    <n v="0"/>
    <n v="-6203.42"/>
    <n v="0"/>
    <n v="-6824.48"/>
    <n v="-8525.86"/>
    <n v="-8240.07"/>
    <n v="0"/>
    <n v="-39097.24"/>
    <n v="-8240.07"/>
  </r>
  <r>
    <x v="19"/>
    <x v="0"/>
    <x v="0"/>
    <s v="4600102"/>
    <n v="400020"/>
    <s v="O/P Care Svcs Rev--Medicare"/>
    <s v="Gastro Intestinal (GI) Svcs"/>
    <x v="0"/>
    <n v="1100"/>
    <n v="-71214.02"/>
    <n v="-71907.98"/>
    <n v="-47406.71"/>
    <n v="-94439.31"/>
    <n v="-119591.79"/>
    <n v="-56330.09"/>
    <n v="-92184.63"/>
    <n v="-73251.37"/>
    <n v="-96865.58"/>
    <n v="-80660.17"/>
    <n v="-80395.47"/>
    <n v="-76327.39"/>
    <n v="-960574.51"/>
    <n v="-4068.0800000000017"/>
  </r>
  <r>
    <x v="19"/>
    <x v="0"/>
    <x v="0"/>
    <s v="4600102"/>
    <n v="400020"/>
    <s v="O/P Care Svcs Rev--Medicaid"/>
    <s v="Gastro Intestinal (GI) Svcs"/>
    <x v="0"/>
    <n v="1200"/>
    <n v="-51622.66"/>
    <n v="-43921.62"/>
    <n v="-34265.57"/>
    <n v="-25737.64"/>
    <n v="-57802.66"/>
    <n v="-16064.85"/>
    <n v="-23881.91"/>
    <n v="-40650.25"/>
    <n v="-50128.37"/>
    <n v="-65102.55"/>
    <n v="-51819.99"/>
    <n v="-72396.89"/>
    <n v="-533394.96"/>
    <n v="20576.900000000001"/>
  </r>
  <r>
    <x v="19"/>
    <x v="0"/>
    <x v="0"/>
    <s v="4600102"/>
    <n v="400020"/>
    <s v="O/P Care Svcs Rev--Comm Insurance"/>
    <s v="Gastro Intestinal (GI) Svcs"/>
    <x v="0"/>
    <n v="1300"/>
    <n v="-13368.2"/>
    <n v="-4502.1899999999996"/>
    <n v="0"/>
    <n v="0"/>
    <n v="-13381.63"/>
    <n v="-14456.43"/>
    <n v="-13510.68"/>
    <n v="-17811.63"/>
    <n v="-5887.64"/>
    <n v="-8621.77"/>
    <n v="-358.88"/>
    <n v="-9165.9699999999993"/>
    <n v="-101065.02"/>
    <n v="8807.09"/>
  </r>
  <r>
    <x v="19"/>
    <x v="0"/>
    <x v="0"/>
    <s v="4600102"/>
    <n v="400020"/>
    <s v="O/P Care Svcs Rev--BCBS Comm"/>
    <s v="Gastro Intestinal (GI) Svcs"/>
    <x v="0"/>
    <n v="1301"/>
    <n v="-26237.56"/>
    <n v="-57102.45"/>
    <n v="-50921.35"/>
    <n v="-55127.33"/>
    <n v="-15566.15"/>
    <n v="-29522.32"/>
    <n v="-39705.43"/>
    <n v="-26808.91"/>
    <n v="-49095.39"/>
    <n v="-67206.62"/>
    <n v="-29749.29"/>
    <n v="-34878.449999999997"/>
    <n v="-481921.25"/>
    <n v="5129.1599999999962"/>
  </r>
  <r>
    <x v="19"/>
    <x v="0"/>
    <x v="0"/>
    <s v="4600102"/>
    <n v="400020"/>
    <s v="O/P Care Svcs Rev--Managed Care"/>
    <s v="Gastro Intestinal (GI) Svcs"/>
    <x v="0"/>
    <n v="1400"/>
    <n v="-175075.93"/>
    <n v="-147808.76999999999"/>
    <n v="-111257.38"/>
    <n v="-180662.38"/>
    <n v="-223491.77"/>
    <n v="-130197.59"/>
    <n v="-145641.04999999999"/>
    <n v="-128246.9"/>
    <n v="-135270.96"/>
    <n v="-185571.05"/>
    <n v="-101746.71"/>
    <n v="-138041.66"/>
    <n v="-1803012.1499999997"/>
    <n v="36294.949999999997"/>
  </r>
  <r>
    <x v="19"/>
    <x v="0"/>
    <x v="0"/>
    <s v="4600102"/>
    <n v="400020"/>
    <s v="O/P Care Svcs Rev--Self Pay"/>
    <s v="Gastro Intestinal (GI) Svcs"/>
    <x v="0"/>
    <n v="1500"/>
    <n v="-8680.25"/>
    <n v="0"/>
    <n v="-4285"/>
    <n v="0"/>
    <n v="-4692.3599999999997"/>
    <n v="-8144.53"/>
    <n v="-4285"/>
    <n v="-5730.13"/>
    <n v="-4422.74"/>
    <n v="-5497.54"/>
    <n v="3706.27"/>
    <n v="0"/>
    <n v="-42031.28"/>
    <n v="3706.27"/>
  </r>
  <r>
    <x v="19"/>
    <x v="0"/>
    <x v="0"/>
    <s v="4600102"/>
    <n v="400020"/>
    <s v="O/P Care Svcs Rev--Other"/>
    <s v="Gastro Intestinal (GI) Svcs"/>
    <x v="0"/>
    <n v="1700"/>
    <n v="11225.9"/>
    <n v="-4387.6099999999997"/>
    <n v="0"/>
    <n v="-18099.080000000002"/>
    <n v="-4076.72"/>
    <n v="5651.42"/>
    <n v="-11218.85"/>
    <n v="-10437.43"/>
    <n v="-12652.27"/>
    <n v="-4861.7700000000004"/>
    <n v="-4414.3500000000004"/>
    <n v="-4414.3500000000004"/>
    <n v="-57685.11"/>
    <n v="0"/>
  </r>
  <r>
    <x v="5"/>
    <x v="0"/>
    <x v="0"/>
    <s v="4600102"/>
    <n v="700026"/>
    <s v="Salaries-RN-Productive"/>
    <s v="Gastro Intestinal (GI) Svcs"/>
    <x v="0"/>
    <m/>
    <n v="19213.73"/>
    <n v="16321.33"/>
    <n v="15180.57"/>
    <n v="15329.59"/>
    <n v="15966.6"/>
    <n v="15489.56"/>
    <n v="15149.97"/>
    <n v="16095.03"/>
    <n v="16005.05"/>
    <n v="14429.73"/>
    <n v="14668.99"/>
    <n v="15756.06"/>
    <n v="189606.21"/>
    <n v="-1087.0699999999997"/>
  </r>
  <r>
    <x v="5"/>
    <x v="0"/>
    <x v="0"/>
    <s v="4600102"/>
    <n v="700026"/>
    <s v="Salaries-RN-OT"/>
    <s v="Gastro Intestinal (GI) Svcs"/>
    <x v="0"/>
    <n v="1000"/>
    <n v="177.47"/>
    <n v="535.92999999999995"/>
    <n v="328.82"/>
    <n v="29.78"/>
    <n v="241.99"/>
    <n v="-31.38"/>
    <n v="0"/>
    <n v="507.86"/>
    <n v="213.88"/>
    <n v="120.75"/>
    <n v="126.81"/>
    <n v="185.07"/>
    <n v="2436.98"/>
    <n v="-58.259999999999991"/>
  </r>
  <r>
    <x v="5"/>
    <x v="0"/>
    <x v="0"/>
    <s v="4600102"/>
    <n v="700026"/>
    <s v="Salaries-RN-Other"/>
    <s v="Gastro Intestinal (GI) Svcs"/>
    <x v="0"/>
    <n v="2000"/>
    <n v="4232.58"/>
    <n v="4497.3599999999997"/>
    <n v="2769.63"/>
    <n v="4001.09"/>
    <n v="2982.28"/>
    <n v="3937.8"/>
    <n v="3106.58"/>
    <n v="3860.46"/>
    <n v="2932.93"/>
    <n v="3575.08"/>
    <n v="2934.28"/>
    <n v="3369.22"/>
    <n v="42199.29"/>
    <n v="-434.9399999999996"/>
  </r>
  <r>
    <x v="5"/>
    <x v="0"/>
    <x v="0"/>
    <s v="4600102"/>
    <n v="700030"/>
    <s v="Salaries-LPN-Productive"/>
    <s v="Gastro Intestinal (GI) Svcs"/>
    <x v="0"/>
    <m/>
    <n v="4034.61"/>
    <n v="2353.62"/>
    <n v="2263.19"/>
    <n v="3301.83"/>
    <n v="1487.54"/>
    <n v="2310.37"/>
    <n v="2481.52"/>
    <n v="1282.3499999999999"/>
    <n v="2946.98"/>
    <n v="3365.19"/>
    <n v="1677.49"/>
    <n v="3759.5"/>
    <n v="31264.19"/>
    <n v="-2082.0100000000002"/>
  </r>
  <r>
    <x v="5"/>
    <x v="0"/>
    <x v="0"/>
    <s v="4600102"/>
    <n v="700030"/>
    <s v="Salaries-LPN-OT"/>
    <s v="Gastro Intestinal (GI) Svcs"/>
    <x v="0"/>
    <n v="1000"/>
    <n v="150.54"/>
    <n v="-10.78"/>
    <n v="0"/>
    <n v="0"/>
    <n v="375.36"/>
    <n v="-180.72"/>
    <n v="0"/>
    <n v="0"/>
    <n v="25.62"/>
    <n v="22.17"/>
    <n v="3.56"/>
    <n v="38.75"/>
    <n v="424.5"/>
    <n v="-35.19"/>
  </r>
  <r>
    <x v="5"/>
    <x v="0"/>
    <x v="0"/>
    <s v="4600102"/>
    <n v="700030"/>
    <s v="Salaries-LPN-Other"/>
    <s v="Gastro Intestinal (GI) Svcs"/>
    <x v="0"/>
    <n v="2000"/>
    <n v="2022.55"/>
    <n v="1609.28"/>
    <n v="1930.36"/>
    <n v="2052.7800000000002"/>
    <n v="1727.09"/>
    <n v="2321.11"/>
    <n v="1971.93"/>
    <n v="1289.46"/>
    <n v="2154.58"/>
    <n v="2184.2199999999998"/>
    <n v="1673.32"/>
    <n v="2418.2600000000002"/>
    <n v="23354.940000000002"/>
    <n v="-744.94000000000028"/>
  </r>
  <r>
    <x v="5"/>
    <x v="0"/>
    <x v="0"/>
    <s v="4600102"/>
    <n v="700032"/>
    <s v="Salaries-Other Pat Care Providers-Productive"/>
    <s v="Gastro Intestinal (GI) Svcs"/>
    <x v="0"/>
    <m/>
    <n v="2893.73"/>
    <n v="2408.54"/>
    <n v="2706.82"/>
    <n v="3286.81"/>
    <n v="2505.5100000000002"/>
    <n v="1751.7"/>
    <n v="3000.4"/>
    <n v="2003.18"/>
    <n v="3512.76"/>
    <n v="2176.9299999999998"/>
    <n v="1964.17"/>
    <n v="2173.91"/>
    <n v="30384.460000000003"/>
    <n v="-209.73999999999978"/>
  </r>
  <r>
    <x v="5"/>
    <x v="0"/>
    <x v="0"/>
    <s v="4600102"/>
    <n v="700032"/>
    <s v="Salaries-Other Pat Care Providers-OT"/>
    <s v="Gastro Intestinal (GI) Svcs"/>
    <x v="0"/>
    <n v="1000"/>
    <n v="39.31"/>
    <n v="23.15"/>
    <n v="127.45"/>
    <n v="25.55"/>
    <n v="7.2"/>
    <n v="0"/>
    <n v="20.100000000000001"/>
    <n v="47.12"/>
    <n v="63.91"/>
    <n v="-19.05"/>
    <n v="41.19"/>
    <n v="65.709999999999994"/>
    <n v="441.63999999999993"/>
    <n v="-24.519999999999996"/>
  </r>
  <r>
    <x v="5"/>
    <x v="0"/>
    <x v="0"/>
    <s v="4600102"/>
    <n v="700032"/>
    <s v="Salaries-Other Pat Care Providers-Other"/>
    <s v="Gastro Intestinal (GI) Svcs"/>
    <x v="0"/>
    <n v="2000"/>
    <n v="0"/>
    <n v="0"/>
    <n v="0"/>
    <n v="0"/>
    <n v="0"/>
    <n v="0"/>
    <n v="9.68"/>
    <n v="-2.54"/>
    <n v="18.47"/>
    <n v="-6.7"/>
    <n v="0"/>
    <n v="0"/>
    <n v="18.91"/>
    <n v="0"/>
  </r>
  <r>
    <x v="5"/>
    <x v="0"/>
    <x v="0"/>
    <s v="4600102"/>
    <n v="700034"/>
    <s v="Salaries-Tech/Professional-Productive"/>
    <s v="Gastro Intestinal (GI) Svcs"/>
    <x v="0"/>
    <m/>
    <n v="71.61"/>
    <n v="11.44"/>
    <n v="105.74"/>
    <n v="122.31"/>
    <n v="50.69"/>
    <n v="22.54"/>
    <n v="200.45"/>
    <n v="9.41"/>
    <n v="44.44"/>
    <n v="75.28"/>
    <n v="25.95"/>
    <n v="72.2"/>
    <n v="812.06"/>
    <n v="-46.25"/>
  </r>
  <r>
    <x v="5"/>
    <x v="0"/>
    <x v="0"/>
    <s v="4600102"/>
    <n v="700034"/>
    <s v="Salaries-Tech/Professional-OT"/>
    <s v="Gastro Intestinal (GI) Svcs"/>
    <x v="0"/>
    <n v="1000"/>
    <n v="0"/>
    <n v="0"/>
    <n v="0"/>
    <n v="0"/>
    <n v="0"/>
    <n v="0"/>
    <n v="0"/>
    <n v="0"/>
    <n v="0"/>
    <n v="0"/>
    <n v="0"/>
    <n v="21.77"/>
    <n v="21.77"/>
    <n v="-21.77"/>
  </r>
  <r>
    <x v="5"/>
    <x v="0"/>
    <x v="0"/>
    <s v="4600102"/>
    <n v="700034"/>
    <s v="Salaries-Tech/Professional-Other"/>
    <s v="Gastro Intestinal (GI) Svcs"/>
    <x v="0"/>
    <n v="2000"/>
    <n v="1.69"/>
    <n v="0.28000000000000003"/>
    <n v="1.68"/>
    <n v="4.5199999999999996"/>
    <n v="-0.2"/>
    <n v="0.26"/>
    <n v="5.32"/>
    <n v="-0.02"/>
    <n v="1.02"/>
    <n v="1.75"/>
    <n v="0.6"/>
    <n v="4.5599999999999996"/>
    <n v="21.46"/>
    <n v="-3.9599999999999995"/>
  </r>
  <r>
    <x v="5"/>
    <x v="0"/>
    <x v="0"/>
    <s v="4600102"/>
    <n v="700038"/>
    <s v="Salaries-Service/Support-Productive"/>
    <s v="Gastro Intestinal (GI) Svcs"/>
    <x v="0"/>
    <m/>
    <n v="0"/>
    <n v="0"/>
    <n v="191.31"/>
    <n v="312.62"/>
    <n v="-124.79"/>
    <n v="0"/>
    <n v="0"/>
    <n v="0"/>
    <n v="0"/>
    <n v="0"/>
    <n v="0"/>
    <n v="0"/>
    <n v="379.14"/>
    <n v="0"/>
  </r>
  <r>
    <x v="5"/>
    <x v="0"/>
    <x v="0"/>
    <s v="4600102"/>
    <n v="700066"/>
    <s v="Salaries-RN-NonProd-Other"/>
    <s v="Gastro Intestinal (GI) Svcs"/>
    <x v="0"/>
    <n v="2000"/>
    <n v="87.94"/>
    <n v="995.9"/>
    <n v="317.13"/>
    <n v="823.93"/>
    <n v="59.45"/>
    <n v="655.96"/>
    <n v="217.02"/>
    <n v="348.66"/>
    <n v="134.06"/>
    <n v="606.67999999999995"/>
    <n v="1"/>
    <n v="633.91999999999996"/>
    <n v="4881.6499999999996"/>
    <n v="-632.91999999999996"/>
  </r>
  <r>
    <x v="5"/>
    <x v="0"/>
    <x v="0"/>
    <s v="4600102"/>
    <n v="700070"/>
    <s v="Salaries-LPN-NonProd-Other"/>
    <s v="Gastro Intestinal (GI) Svcs"/>
    <x v="0"/>
    <n v="2000"/>
    <n v="51.91"/>
    <n v="376.27"/>
    <n v="220"/>
    <n v="416.73"/>
    <n v="-168.22"/>
    <n v="514.37"/>
    <n v="83.74"/>
    <n v="97.92"/>
    <n v="147.27000000000001"/>
    <n v="182.01"/>
    <n v="34.32"/>
    <n v="378.36"/>
    <n v="2334.6799999999998"/>
    <n v="-344.04"/>
  </r>
  <r>
    <x v="5"/>
    <x v="0"/>
    <x v="0"/>
    <s v="4600102"/>
    <n v="700072"/>
    <s v="Salaries-Other Pat Care Providers-NonProd-Other"/>
    <s v="Gastro Intestinal (GI) Svcs"/>
    <x v="0"/>
    <n v="2000"/>
    <n v="0"/>
    <n v="0"/>
    <n v="0"/>
    <n v="0"/>
    <n v="0"/>
    <n v="0"/>
    <n v="19.53"/>
    <n v="-5.13"/>
    <n v="0"/>
    <n v="0"/>
    <n v="0"/>
    <n v="0"/>
    <n v="14.400000000000002"/>
    <n v="0"/>
  </r>
  <r>
    <x v="6"/>
    <x v="0"/>
    <x v="0"/>
    <s v="4600102"/>
    <n v="713010"/>
    <s v="Benefits-FICA/Medicare"/>
    <s v="Gastro Intestinal (GI) Svcs"/>
    <x v="0"/>
    <m/>
    <n v="2499.9499999999998"/>
    <n v="2215.98"/>
    <n v="1985.5"/>
    <n v="2256.11"/>
    <n v="1908.54"/>
    <n v="1978.83"/>
    <n v="1984.5"/>
    <n v="1921.73"/>
    <n v="2128.16"/>
    <n v="2016.55"/>
    <n v="1749.8"/>
    <n v="2184.48"/>
    <n v="24830.13"/>
    <n v="-434.68000000000006"/>
  </r>
  <r>
    <x v="6"/>
    <x v="0"/>
    <x v="0"/>
    <s v="4600102"/>
    <n v="713090"/>
    <s v="Benefits-Allocated Amounts"/>
    <s v="Gastro Intestinal (GI) Svcs"/>
    <x v="0"/>
    <m/>
    <n v="5085.26"/>
    <n v="3614.88"/>
    <n v="4095.19"/>
    <n v="4161.29"/>
    <n v="3680.94"/>
    <n v="3043.12"/>
    <n v="4406.04"/>
    <n v="3887.06"/>
    <n v="4687.3100000000004"/>
    <n v="3658.93"/>
    <n v="3832.13"/>
    <n v="4517.78"/>
    <n v="48669.929999999993"/>
    <n v="-685.64999999999964"/>
  </r>
  <r>
    <x v="17"/>
    <x v="0"/>
    <x v="0"/>
    <s v="4600102"/>
    <n v="714530"/>
    <s v="Medical Prof Fees-Intracompany"/>
    <s v="Gastro Intestinal (GI) Svcs"/>
    <x v="0"/>
    <m/>
    <n v="0"/>
    <n v="0"/>
    <n v="0"/>
    <n v="0"/>
    <n v="0"/>
    <n v="0"/>
    <n v="0"/>
    <n v="0"/>
    <n v="0"/>
    <n v="0"/>
    <n v="0"/>
    <n v="1447848.95"/>
    <n v="1447848.95"/>
    <n v="-1447848.95"/>
  </r>
  <r>
    <x v="7"/>
    <x v="0"/>
    <x v="0"/>
    <s v="4600102"/>
    <n v="718050"/>
    <s v="Miscellaneous Purchased Svcs"/>
    <s v="Gastro Intestinal (GI) Svcs"/>
    <x v="0"/>
    <n v="1020"/>
    <n v="2.62"/>
    <n v="0"/>
    <n v="0"/>
    <n v="0"/>
    <n v="0"/>
    <n v="0"/>
    <n v="0"/>
    <n v="0"/>
    <n v="0"/>
    <n v="0"/>
    <n v="0"/>
    <n v="0"/>
    <n v="2.62"/>
    <n v="0"/>
  </r>
  <r>
    <x v="7"/>
    <x v="0"/>
    <x v="0"/>
    <s v="4600102"/>
    <n v="718050"/>
    <s v="Translation Services"/>
    <s v="Gastro Intestinal (GI) Svcs"/>
    <x v="0"/>
    <n v="1025"/>
    <n v="0"/>
    <n v="0"/>
    <n v="0"/>
    <n v="32"/>
    <n v="-32"/>
    <n v="32"/>
    <n v="32"/>
    <n v="0"/>
    <n v="0"/>
    <n v="0"/>
    <n v="0"/>
    <n v="0"/>
    <n v="64"/>
    <n v="0"/>
  </r>
  <r>
    <x v="7"/>
    <x v="0"/>
    <x v="0"/>
    <s v="4600102"/>
    <n v="718070"/>
    <s v="Contract Srvcs-CHI Clinical Engineering"/>
    <s v="Gastro Intestinal (GI) Svcs"/>
    <x v="0"/>
    <m/>
    <n v="1585.76"/>
    <n v="1616.34"/>
    <n v="1616.34"/>
    <n v="1616.34"/>
    <n v="1535.27"/>
    <n v="1535.27"/>
    <n v="1535.27"/>
    <n v="1535.27"/>
    <n v="1536.26"/>
    <n v="1536.26"/>
    <n v="1536.26"/>
    <n v="1536.26"/>
    <n v="18720.899999999998"/>
    <n v="0"/>
  </r>
  <r>
    <x v="7"/>
    <x v="0"/>
    <x v="0"/>
    <s v="4600102"/>
    <n v="718091"/>
    <s v="Contract Services-Intracompany Allocation"/>
    <s v="Gastro Intestinal (GI) Svcs"/>
    <x v="0"/>
    <m/>
    <n v="1203.33"/>
    <n v="1325.34"/>
    <n v="1189.3800000000001"/>
    <n v="1309.32"/>
    <n v="1071.6400000000001"/>
    <n v="1128.98"/>
    <n v="1209.93"/>
    <n v="1123.6099999999999"/>
    <n v="1217.67"/>
    <n v="1209.4000000000001"/>
    <n v="1146.08"/>
    <n v="1254.56"/>
    <n v="14389.24"/>
    <n v="-108.48000000000002"/>
  </r>
  <r>
    <x v="11"/>
    <x v="0"/>
    <x v="0"/>
    <s v="4600102"/>
    <n v="721010"/>
    <s v="Supplies-Medical - Billable"/>
    <s v="Gastro Intestinal (GI) Svcs"/>
    <x v="0"/>
    <m/>
    <n v="343.08"/>
    <n v="267"/>
    <n v="206.8"/>
    <n v="11.93"/>
    <n v="1057.8"/>
    <n v="142.03"/>
    <n v="205.5"/>
    <n v="158.85"/>
    <n v="51.83"/>
    <n v="777.5"/>
    <n v="232.5"/>
    <n v="374.28"/>
    <n v="3829.0999999999995"/>
    <n v="-141.77999999999997"/>
  </r>
  <r>
    <x v="11"/>
    <x v="0"/>
    <x v="0"/>
    <s v="4600102"/>
    <n v="721010"/>
    <s v="Patient Monitoring"/>
    <s v="Gastro Intestinal (GI) Svcs"/>
    <x v="0"/>
    <n v="1000"/>
    <n v="38.659999999999997"/>
    <n v="9.5399999999999991"/>
    <n v="12.72"/>
    <n v="12.72"/>
    <n v="31.8"/>
    <n v="64.180000000000007"/>
    <n v="12.72"/>
    <n v="19.079999999999998"/>
    <n v="12.72"/>
    <n v="76.900000000000006"/>
    <n v="12.72"/>
    <n v="13.82"/>
    <n v="317.58000000000004"/>
    <n v="-1.0999999999999996"/>
  </r>
  <r>
    <x v="11"/>
    <x v="0"/>
    <x v="0"/>
    <s v="4600102"/>
    <n v="721020"/>
    <s v="Supplies-Surgical - Billable"/>
    <s v="Gastro Intestinal (GI) Svcs"/>
    <x v="0"/>
    <m/>
    <n v="5564.77"/>
    <n v="2241.02"/>
    <n v="3265.99"/>
    <n v="1555.4"/>
    <n v="2457.77"/>
    <n v="1142.28"/>
    <n v="2808.78"/>
    <n v="1988.32"/>
    <n v="3461.07"/>
    <n v="4297.1000000000004"/>
    <n v="2542.1999999999998"/>
    <n v="2105.8200000000002"/>
    <n v="33430.520000000004"/>
    <n v="436.37999999999965"/>
  </r>
  <r>
    <x v="11"/>
    <x v="0"/>
    <x v="0"/>
    <s v="4600102"/>
    <n v="721020"/>
    <s v="Endomechanical Supplies &amp; Instruments"/>
    <s v="Gastro Intestinal (GI) Svcs"/>
    <x v="0"/>
    <n v="1003"/>
    <n v="2580.3000000000002"/>
    <n v="1628.71"/>
    <n v="1917.23"/>
    <n v="350.78"/>
    <n v="2743.18"/>
    <n v="22.51"/>
    <n v="1010.08"/>
    <n v="941.55"/>
    <n v="1218.04"/>
    <n v="1952.63"/>
    <n v="1849.65"/>
    <n v="342.38"/>
    <n v="16557.039999999997"/>
    <n v="1507.27"/>
  </r>
  <r>
    <x v="11"/>
    <x v="0"/>
    <x v="0"/>
    <s v="4600102"/>
    <n v="721020"/>
    <s v="Urological Supplies"/>
    <s v="Gastro Intestinal (GI) Svcs"/>
    <x v="0"/>
    <n v="1006"/>
    <n v="571"/>
    <n v="1100.4000000000001"/>
    <n v="364"/>
    <n v="691.6"/>
    <n v="727"/>
    <n v="358.5"/>
    <n v="524.20000000000005"/>
    <n v="555.79999999999995"/>
    <n v="836.2"/>
    <n v="46.8"/>
    <n v="52"/>
    <n v="0"/>
    <n v="5827.5"/>
    <n v="52"/>
  </r>
  <r>
    <x v="11"/>
    <x v="0"/>
    <x v="0"/>
    <s v="4600102"/>
    <n v="721020"/>
    <s v="Tubes Drains &amp; Related Supplies"/>
    <s v="Gastro Intestinal (GI) Svcs"/>
    <x v="0"/>
    <n v="1008"/>
    <n v="840"/>
    <n v="0"/>
    <n v="1680"/>
    <n v="135"/>
    <n v="0"/>
    <n v="1260"/>
    <n v="93.6"/>
    <n v="0"/>
    <n v="438.98"/>
    <n v="420"/>
    <n v="0"/>
    <n v="1260"/>
    <n v="6127.58"/>
    <n v="-1260"/>
  </r>
  <r>
    <x v="11"/>
    <x v="0"/>
    <x v="0"/>
    <s v="4600102"/>
    <n v="721050"/>
    <s v="Supplies-Cardiac Rhythm - Billable"/>
    <s v="Gastro Intestinal (GI) Svcs"/>
    <x v="0"/>
    <m/>
    <n v="3455.2"/>
    <n v="2329.1999999999998"/>
    <n v="4543.8"/>
    <n v="3827"/>
    <n v="6402.6"/>
    <n v="3617.9"/>
    <n v="3805.08"/>
    <n v="3048.22"/>
    <n v="3684.1"/>
    <n v="2647.1"/>
    <n v="4940.6000000000004"/>
    <n v="5259.8"/>
    <n v="47560.600000000006"/>
    <n v="-319.19999999999982"/>
  </r>
  <r>
    <x v="11"/>
    <x v="0"/>
    <x v="0"/>
    <s v="4600102"/>
    <n v="721070"/>
    <s v="Peripheral Stents"/>
    <s v="Gastro Intestinal (GI) Svcs"/>
    <x v="0"/>
    <n v="1001"/>
    <n v="0"/>
    <n v="0"/>
    <n v="0"/>
    <n v="0"/>
    <n v="0"/>
    <n v="0"/>
    <n v="0"/>
    <n v="104"/>
    <n v="0"/>
    <n v="0"/>
    <n v="0"/>
    <n v="0"/>
    <n v="104"/>
    <n v="0"/>
  </r>
  <r>
    <x v="11"/>
    <x v="0"/>
    <x v="0"/>
    <s v="4600102"/>
    <n v="721240"/>
    <s v="Supplies-IV Solutions/Supplies - Billable"/>
    <s v="Gastro Intestinal (GI) Svcs"/>
    <x v="0"/>
    <m/>
    <n v="120.03"/>
    <n v="145.19999999999999"/>
    <n v="0"/>
    <n v="5.85"/>
    <n v="50.35"/>
    <n v="5.85"/>
    <n v="72.599999999999994"/>
    <n v="5.85"/>
    <n v="155.75"/>
    <n v="5.85"/>
    <n v="0"/>
    <n v="13.35"/>
    <n v="580.68000000000018"/>
    <n v="-13.35"/>
  </r>
  <r>
    <x v="11"/>
    <x v="0"/>
    <x v="0"/>
    <s v="4600102"/>
    <n v="721250"/>
    <s v="Supplies-Pharmacy Drugs - Billable"/>
    <s v="Gastro Intestinal (GI) Svcs"/>
    <x v="0"/>
    <m/>
    <n v="27.2"/>
    <n v="13.6"/>
    <n v="54.4"/>
    <n v="54.4"/>
    <n v="27.2"/>
    <n v="27.2"/>
    <n v="27.2"/>
    <n v="27.2"/>
    <n v="27.2"/>
    <n v="27.2"/>
    <n v="27.2"/>
    <n v="0"/>
    <n v="339.99999999999994"/>
    <n v="27.2"/>
  </r>
  <r>
    <x v="11"/>
    <x v="0"/>
    <x v="0"/>
    <s v="4600102"/>
    <n v="721410"/>
    <s v="Supplies-Medical - Nonbillable"/>
    <s v="Gastro Intestinal (GI) Svcs"/>
    <x v="0"/>
    <m/>
    <n v="894.49"/>
    <n v="965.58"/>
    <n v="1041.32"/>
    <n v="1147.26"/>
    <n v="967.81"/>
    <n v="820.56"/>
    <n v="794.2"/>
    <n v="878.68"/>
    <n v="1165.9000000000001"/>
    <n v="37980.36"/>
    <n v="769.5"/>
    <n v="1001.19"/>
    <n v="48426.850000000006"/>
    <n v="-231.69000000000005"/>
  </r>
  <r>
    <x v="11"/>
    <x v="0"/>
    <x v="0"/>
    <s v="4600102"/>
    <n v="721410"/>
    <s v="Patient Monitoring"/>
    <s v="Gastro Intestinal (GI) Svcs"/>
    <x v="0"/>
    <n v="1000"/>
    <n v="0"/>
    <n v="4.4400000000000004"/>
    <n v="0"/>
    <n v="0"/>
    <n v="0"/>
    <n v="0"/>
    <n v="0"/>
    <n v="0"/>
    <n v="0"/>
    <n v="0"/>
    <n v="0"/>
    <n v="0"/>
    <n v="4.4400000000000004"/>
    <n v="0"/>
  </r>
  <r>
    <x v="11"/>
    <x v="0"/>
    <x v="0"/>
    <s v="4600102"/>
    <n v="721420"/>
    <s v="Supplies-Surgical Nonbillable"/>
    <s v="Gastro Intestinal (GI) Svcs"/>
    <x v="0"/>
    <m/>
    <n v="2402.7399999999998"/>
    <n v="5026.7"/>
    <n v="7759.21"/>
    <n v="2454.0500000000002"/>
    <n v="2999.17"/>
    <n v="4159.25"/>
    <n v="2904.65"/>
    <n v="2574.94"/>
    <n v="2533.0300000000002"/>
    <n v="749.27"/>
    <n v="1169.74"/>
    <n v="5294.99"/>
    <n v="40027.74"/>
    <n v="-4125.25"/>
  </r>
  <r>
    <x v="11"/>
    <x v="0"/>
    <x v="0"/>
    <s v="4600102"/>
    <n v="721420"/>
    <s v="Tubes Drains &amp; Related Supplies"/>
    <s v="Gastro Intestinal (GI) Svcs"/>
    <x v="0"/>
    <n v="1008"/>
    <n v="165"/>
    <n v="183.8"/>
    <n v="65.37"/>
    <n v="335.41"/>
    <n v="330"/>
    <n v="11.75"/>
    <n v="33"/>
    <n v="96"/>
    <n v="-9"/>
    <n v="33"/>
    <n v="96"/>
    <n v="47.2"/>
    <n v="1387.53"/>
    <n v="48.8"/>
  </r>
  <r>
    <x v="11"/>
    <x v="0"/>
    <x v="0"/>
    <s v="4600102"/>
    <n v="721420"/>
    <s v="Sterilization Process Products"/>
    <s v="Gastro Intestinal (GI) Svcs"/>
    <x v="0"/>
    <n v="1009"/>
    <n v="1035.8800000000001"/>
    <n v="1711.64"/>
    <n v="700.65"/>
    <n v="839.95"/>
    <n v="768.17"/>
    <n v="1138.08"/>
    <n v="1547.39"/>
    <n v="596.52"/>
    <n v="1562.35"/>
    <n v="771.06"/>
    <n v="1130.67"/>
    <n v="1187.19"/>
    <n v="12989.550000000001"/>
    <n v="-56.519999999999982"/>
  </r>
  <r>
    <x v="11"/>
    <x v="0"/>
    <x v="0"/>
    <s v="4600102"/>
    <n v="721610"/>
    <s v="Supplies-Anesthesia - Nonbillable"/>
    <s v="Gastro Intestinal (GI) Svcs"/>
    <x v="0"/>
    <m/>
    <n v="182.16"/>
    <n v="176.66"/>
    <n v="110.11"/>
    <n v="179.86"/>
    <n v="137.01"/>
    <n v="77.28"/>
    <n v="177.1"/>
    <n v="102.95"/>
    <n v="144.43"/>
    <n v="168.26"/>
    <n v="115.56"/>
    <n v="159.51"/>
    <n v="1730.8899999999999"/>
    <n v="-43.949999999999989"/>
  </r>
  <r>
    <x v="11"/>
    <x v="0"/>
    <x v="0"/>
    <s v="4600102"/>
    <n v="721640"/>
    <s v="Supplies-IV Solutions/Supplies - Nonbillable"/>
    <s v="Gastro Intestinal (GI) Svcs"/>
    <x v="0"/>
    <m/>
    <n v="120.25"/>
    <n v="169.1"/>
    <n v="59.25"/>
    <n v="102.93"/>
    <n v="101.3"/>
    <n v="82.95"/>
    <n v="82.95"/>
    <n v="79.959999999999994"/>
    <n v="90.06"/>
    <n v="116.7"/>
    <n v="93.56"/>
    <n v="88.62"/>
    <n v="1187.6300000000001"/>
    <n v="4.9399999999999977"/>
  </r>
  <r>
    <x v="11"/>
    <x v="0"/>
    <x v="0"/>
    <s v="4600102"/>
    <n v="721650"/>
    <s v="Supplies-Pharmacy Drugs - Nonbillable"/>
    <s v="Gastro Intestinal (GI) Svcs"/>
    <x v="0"/>
    <m/>
    <n v="22.05"/>
    <n v="6.68"/>
    <n v="0"/>
    <n v="411.01"/>
    <n v="8.02"/>
    <n v="4.01"/>
    <n v="4.01"/>
    <n v="96.71"/>
    <n v="4.01"/>
    <n v="4.01"/>
    <n v="4.01"/>
    <n v="9.08"/>
    <n v="573.6"/>
    <n v="-5.07"/>
  </r>
  <r>
    <x v="11"/>
    <x v="0"/>
    <x v="0"/>
    <s v="4600102"/>
    <n v="721710"/>
    <s v="Supplies-Laboratory - Nonbillable"/>
    <s v="Gastro Intestinal (GI) Svcs"/>
    <x v="0"/>
    <m/>
    <n v="179.06"/>
    <n v="32.71"/>
    <n v="54.54"/>
    <n v="-28.12"/>
    <n v="55.04"/>
    <n v="42.49"/>
    <n v="59.2"/>
    <n v="46.47"/>
    <n v="58.65"/>
    <n v="47.84"/>
    <n v="58.47"/>
    <n v="234.7"/>
    <n v="841.05"/>
    <n v="-176.23"/>
  </r>
  <r>
    <x v="11"/>
    <x v="0"/>
    <x v="0"/>
    <s v="4600102"/>
    <n v="721750"/>
    <s v="Supplies-Film/Radiographic - Nonbillable"/>
    <s v="Gastro Intestinal (GI) Svcs"/>
    <x v="0"/>
    <m/>
    <n v="0"/>
    <n v="0"/>
    <n v="0"/>
    <n v="0"/>
    <n v="0"/>
    <n v="0"/>
    <n v="0"/>
    <n v="0"/>
    <n v="0"/>
    <n v="49.5"/>
    <n v="-4.5"/>
    <n v="0"/>
    <n v="45"/>
    <n v="-4.5"/>
  </r>
  <r>
    <x v="11"/>
    <x v="0"/>
    <x v="0"/>
    <s v="4600102"/>
    <n v="721830"/>
    <s v="Supplies-Office"/>
    <s v="Gastro Intestinal (GI) Svcs"/>
    <x v="0"/>
    <m/>
    <n v="0"/>
    <n v="46.2"/>
    <n v="0"/>
    <n v="92.4"/>
    <n v="0"/>
    <n v="0"/>
    <n v="0"/>
    <n v="46.2"/>
    <n v="0"/>
    <n v="0"/>
    <n v="69.3"/>
    <n v="0"/>
    <n v="254.10000000000002"/>
    <n v="69.3"/>
  </r>
  <r>
    <x v="11"/>
    <x v="0"/>
    <x v="0"/>
    <s v="4600102"/>
    <n v="721870"/>
    <s v="Supplies-Environmental Services"/>
    <s v="Gastro Intestinal (GI) Svcs"/>
    <x v="0"/>
    <m/>
    <n v="201.79"/>
    <n v="345.08"/>
    <n v="334.28"/>
    <n v="127.79"/>
    <n v="90.77"/>
    <n v="121.65"/>
    <n v="351.04"/>
    <n v="75.650000000000006"/>
    <n v="346.13"/>
    <n v="53.85"/>
    <n v="334.42"/>
    <n v="329.6"/>
    <n v="2712.05"/>
    <n v="4.8199999999999932"/>
  </r>
  <r>
    <x v="11"/>
    <x v="0"/>
    <x v="0"/>
    <s v="4600102"/>
    <n v="721910"/>
    <s v="Supplies-Small Equipment"/>
    <s v="Gastro Intestinal (GI) Svcs"/>
    <x v="0"/>
    <m/>
    <n v="978.62"/>
    <n v="769.56"/>
    <n v="594"/>
    <n v="1336.71"/>
    <n v="150.43"/>
    <n v="812.01"/>
    <n v="2450.66"/>
    <n v="25.63"/>
    <n v="795.34"/>
    <n v="962.47"/>
    <n v="568.70000000000005"/>
    <n v="602.11"/>
    <n v="10046.240000000002"/>
    <n v="-33.409999999999968"/>
  </r>
  <r>
    <x v="11"/>
    <x v="0"/>
    <x v="0"/>
    <s v="4600102"/>
    <n v="721910"/>
    <s v="Instruments"/>
    <s v="Gastro Intestinal (GI) Svcs"/>
    <x v="0"/>
    <n v="1000"/>
    <n v="60.5"/>
    <n v="2218.54"/>
    <n v="116.63"/>
    <n v="53.55"/>
    <n v="2826.3"/>
    <n v="432.6"/>
    <n v="-8.25"/>
    <n v="0"/>
    <n v="24.01"/>
    <n v="814.69"/>
    <n v="679.8"/>
    <n v="52.25"/>
    <n v="7270.6200000000017"/>
    <n v="627.54999999999995"/>
  </r>
  <r>
    <x v="11"/>
    <x v="0"/>
    <x v="0"/>
    <s v="4600102"/>
    <n v="721980"/>
    <s v="Supplies-Other"/>
    <s v="Gastro Intestinal (GI) Svcs"/>
    <x v="0"/>
    <m/>
    <n v="0"/>
    <n v="0"/>
    <n v="0"/>
    <n v="0"/>
    <n v="0"/>
    <n v="0"/>
    <n v="105.5"/>
    <n v="144.15"/>
    <n v="0"/>
    <n v="14.42"/>
    <n v="0"/>
    <n v="0"/>
    <n v="264.07"/>
    <n v="0"/>
  </r>
  <r>
    <x v="11"/>
    <x v="0"/>
    <x v="0"/>
    <s v="4600102"/>
    <n v="722000"/>
    <s v="Supplies-Freight Expense"/>
    <s v="Gastro Intestinal (GI) Svcs"/>
    <x v="0"/>
    <m/>
    <n v="138.71"/>
    <n v="176.56"/>
    <n v="121.75"/>
    <n v="383.38"/>
    <n v="73.819999999999993"/>
    <n v="187.19"/>
    <n v="175.82"/>
    <n v="194.6"/>
    <n v="29.01"/>
    <n v="226.16"/>
    <n v="185.41"/>
    <n v="139.99"/>
    <n v="2032.4"/>
    <n v="45.419999999999987"/>
  </r>
  <r>
    <x v="12"/>
    <x v="0"/>
    <x v="0"/>
    <s v="4600102"/>
    <n v="730020"/>
    <s v="Rental and Leases-Copier Usage Fees (DO NOT USE)"/>
    <s v="Gastro Intestinal (GI) Svcs"/>
    <x v="0"/>
    <n v="5100"/>
    <n v="-9.6"/>
    <n v="-17.46"/>
    <n v="-13.53"/>
    <n v="-13.53"/>
    <n v="-13.53"/>
    <n v="-13.53"/>
    <n v="2023.47"/>
    <n v="58.25"/>
    <n v="58.13"/>
    <n v="348.69"/>
    <n v="58.25"/>
    <n v="58.25"/>
    <n v="2523.86"/>
    <n v="0"/>
  </r>
  <r>
    <x v="15"/>
    <x v="0"/>
    <x v="0"/>
    <s v="4600102"/>
    <n v="731060"/>
    <s v="Pagers"/>
    <s v="Gastro Intestinal (GI) Svcs"/>
    <x v="0"/>
    <n v="1002"/>
    <n v="11.01"/>
    <n v="0"/>
    <n v="0"/>
    <n v="0"/>
    <n v="0"/>
    <n v="0"/>
    <n v="0"/>
    <n v="0"/>
    <n v="0"/>
    <n v="0"/>
    <n v="0"/>
    <n v="0"/>
    <n v="11.01"/>
    <n v="0"/>
  </r>
  <r>
    <x v="16"/>
    <x v="0"/>
    <x v="0"/>
    <s v="4600102"/>
    <n v="732030"/>
    <s v="Repairs---Other"/>
    <s v="Gastro Intestinal (GI) Svcs"/>
    <x v="0"/>
    <m/>
    <n v="0"/>
    <n v="0"/>
    <n v="0"/>
    <n v="0"/>
    <n v="1528.03"/>
    <n v="0"/>
    <n v="0"/>
    <n v="0"/>
    <n v="0"/>
    <n v="0"/>
    <n v="0"/>
    <n v="0"/>
    <n v="1528.03"/>
    <n v="0"/>
  </r>
  <r>
    <x v="13"/>
    <x v="0"/>
    <x v="0"/>
    <s v="4600102"/>
    <n v="735070"/>
    <s v="Depreciation-Movable Equipment"/>
    <s v="Gastro Intestinal (GI) Svcs"/>
    <x v="0"/>
    <m/>
    <n v="2586.4699999999998"/>
    <n v="2586.46"/>
    <n v="2586.48"/>
    <n v="2586.46"/>
    <n v="2533.3000000000002"/>
    <n v="2533.29"/>
    <n v="2533.3000000000002"/>
    <n v="2533.2600000000002"/>
    <n v="2533.3000000000002"/>
    <n v="2533.2600000000002"/>
    <n v="2533.3000000000002"/>
    <n v="2533.2600000000002"/>
    <n v="30612.139999999992"/>
    <n v="3.999999999996362E-2"/>
  </r>
  <r>
    <x v="0"/>
    <x v="0"/>
    <x v="0"/>
    <s v="4600102"/>
    <n v="749510"/>
    <s v="RICE Rewards"/>
    <s v="Gastro Intestinal (GI) Svcs"/>
    <x v="0"/>
    <n v="5100"/>
    <n v="0"/>
    <n v="0"/>
    <n v="0"/>
    <n v="0"/>
    <n v="0"/>
    <n v="0"/>
    <n v="0"/>
    <n v="0"/>
    <n v="0"/>
    <n v="0"/>
    <n v="151"/>
    <n v="0"/>
    <n v="151"/>
    <n v="151"/>
  </r>
  <r>
    <x v="18"/>
    <x v="4"/>
    <x v="0"/>
    <s v="4600103"/>
    <n v="400010"/>
    <s v="Acute I/P Svcs Rev--Medicare"/>
    <s v="Gastro Intestinal (GI) Svcs"/>
    <x v="0"/>
    <n v="1100"/>
    <n v="-93928.95"/>
    <n v="-128966.5"/>
    <n v="-71579.16"/>
    <n v="-58776.36"/>
    <n v="-83965.39"/>
    <n v="-87873.42"/>
    <n v="-105175.22"/>
    <n v="-93728.71"/>
    <n v="-102089.21"/>
    <n v="-95247.27"/>
    <n v="-127288.11"/>
    <n v="-75854.740000000005"/>
    <n v="-1124473.04"/>
    <n v="-51433.369999999995"/>
  </r>
  <r>
    <x v="18"/>
    <x v="4"/>
    <x v="0"/>
    <s v="4600103"/>
    <n v="400010"/>
    <s v="Acute I/P Svcs Rev--Medicaid"/>
    <s v="Gastro Intestinal (GI) Svcs"/>
    <x v="0"/>
    <n v="1200"/>
    <n v="-35223.129999999997"/>
    <n v="-27996.45"/>
    <n v="-19231.169999999998"/>
    <n v="-17452.41"/>
    <n v="-17727.43"/>
    <n v="-23560.13"/>
    <n v="-52489.86"/>
    <n v="-104242.92"/>
    <n v="-37064.83"/>
    <n v="-38966.449999999997"/>
    <n v="-31945.87"/>
    <n v="-8968.5300000000007"/>
    <n v="-414869.18000000005"/>
    <n v="-22977.339999999997"/>
  </r>
  <r>
    <x v="18"/>
    <x v="4"/>
    <x v="0"/>
    <s v="4600103"/>
    <n v="400010"/>
    <s v="Acute I/P Svcs Rev--Comm Insurance"/>
    <s v="Gastro Intestinal (GI) Svcs"/>
    <x v="0"/>
    <n v="1300"/>
    <n v="-13633.68"/>
    <n v="0"/>
    <n v="-45.1"/>
    <n v="0"/>
    <n v="0"/>
    <n v="-3859.53"/>
    <n v="-1865.43"/>
    <n v="0"/>
    <n v="0"/>
    <n v="-5914.81"/>
    <n v="0"/>
    <n v="-4199.03"/>
    <n v="-29517.58"/>
    <n v="4199.03"/>
  </r>
  <r>
    <x v="18"/>
    <x v="4"/>
    <x v="0"/>
    <s v="4600103"/>
    <n v="400010"/>
    <s v="Acute I/P Svcs Rev--BCBS Comm"/>
    <s v="Gastro Intestinal (GI) Svcs"/>
    <x v="0"/>
    <n v="1301"/>
    <n v="-4756.17"/>
    <n v="-10827.95"/>
    <n v="0"/>
    <n v="-4313.08"/>
    <n v="0"/>
    <n v="-4566"/>
    <n v="-10167.879999999999"/>
    <n v="0"/>
    <n v="-10023.01"/>
    <n v="-10519.05"/>
    <n v="-9807.32"/>
    <n v="0"/>
    <n v="-64980.46"/>
    <n v="-9807.32"/>
  </r>
  <r>
    <x v="18"/>
    <x v="4"/>
    <x v="0"/>
    <s v="4600103"/>
    <n v="400010"/>
    <s v="Acute I/P Svcs Rev--Managed Care"/>
    <s v="Gastro Intestinal (GI) Svcs"/>
    <x v="0"/>
    <n v="1400"/>
    <n v="-6011.78"/>
    <n v="-33892.120000000003"/>
    <n v="-22633.54"/>
    <n v="-9288.7900000000009"/>
    <n v="-24353.91"/>
    <n v="-24510.14"/>
    <n v="-17448.080000000002"/>
    <n v="-37851.660000000003"/>
    <n v="-17807.61"/>
    <n v="-6502.61"/>
    <n v="-9196.7199999999993"/>
    <n v="-9582.15"/>
    <n v="-219079.11"/>
    <n v="385.43000000000029"/>
  </r>
  <r>
    <x v="18"/>
    <x v="4"/>
    <x v="0"/>
    <s v="4600103"/>
    <n v="400010"/>
    <s v="Acute I/P Svcs Rev--Self Pay"/>
    <s v="Gastro Intestinal (GI) Svcs"/>
    <x v="0"/>
    <n v="1500"/>
    <n v="0"/>
    <n v="-4348.8100000000004"/>
    <n v="0"/>
    <n v="-6380.28"/>
    <n v="4364.29"/>
    <n v="0"/>
    <n v="-8581.93"/>
    <n v="0"/>
    <n v="0"/>
    <n v="-47.25"/>
    <n v="0"/>
    <n v="0"/>
    <n v="-14993.98"/>
    <n v="0"/>
  </r>
  <r>
    <x v="18"/>
    <x v="4"/>
    <x v="0"/>
    <s v="4600103"/>
    <n v="400010"/>
    <s v="Acute I/P Svcs Rev--Other"/>
    <s v="Gastro Intestinal (GI) Svcs"/>
    <x v="0"/>
    <n v="1700"/>
    <n v="-12165.08"/>
    <n v="-11913.68"/>
    <n v="0"/>
    <n v="-14871.51"/>
    <n v="-8045.16"/>
    <n v="0"/>
    <n v="0"/>
    <n v="4185.63"/>
    <n v="-12582.34"/>
    <n v="-23246.63"/>
    <n v="0"/>
    <n v="0"/>
    <n v="-78638.770000000019"/>
    <n v="0"/>
  </r>
  <r>
    <x v="19"/>
    <x v="4"/>
    <x v="0"/>
    <s v="4600103"/>
    <n v="400020"/>
    <s v="O/P Care Svcs Rev--Medicare"/>
    <s v="Gastro Intestinal (GI) Svcs"/>
    <x v="0"/>
    <n v="1100"/>
    <n v="-22314.43"/>
    <n v="-27294.799999999999"/>
    <n v="-72540.58"/>
    <n v="-49655.1"/>
    <n v="-74676.09"/>
    <n v="-34180.839999999997"/>
    <n v="-51785.59"/>
    <n v="-27712.6"/>
    <n v="-44909.440000000002"/>
    <n v="-44979.68"/>
    <n v="-88341.58"/>
    <n v="-65698.36"/>
    <n v="-604089.08999999985"/>
    <n v="-22643.22"/>
  </r>
  <r>
    <x v="19"/>
    <x v="4"/>
    <x v="0"/>
    <s v="4600103"/>
    <n v="400020"/>
    <s v="O/P Care Svcs Rev--Medicaid"/>
    <s v="Gastro Intestinal (GI) Svcs"/>
    <x v="0"/>
    <n v="1200"/>
    <n v="-17916.39"/>
    <n v="-30041.07"/>
    <n v="-30670.93"/>
    <n v="-63372.88"/>
    <n v="-15846.56"/>
    <n v="-22998.6"/>
    <n v="-43318.75"/>
    <n v="-31502.95"/>
    <n v="-37310.53"/>
    <n v="-45598.28"/>
    <n v="-29527.17"/>
    <n v="-19093.63"/>
    <n v="-387197.74000000005"/>
    <n v="-10433.539999999997"/>
  </r>
  <r>
    <x v="19"/>
    <x v="4"/>
    <x v="0"/>
    <s v="4600103"/>
    <n v="400020"/>
    <s v="O/P Care Svcs Rev--Comm Insurance"/>
    <s v="Gastro Intestinal (GI) Svcs"/>
    <x v="0"/>
    <n v="1300"/>
    <n v="-23737.1"/>
    <n v="-10821.04"/>
    <n v="-33420.14"/>
    <n v="-34341.06"/>
    <n v="-40780.19"/>
    <n v="-58585.26"/>
    <n v="-57235.32"/>
    <n v="-29350.71"/>
    <n v="-40126.19"/>
    <n v="-10933.84"/>
    <n v="-11363.72"/>
    <n v="0"/>
    <n v="-350694.57"/>
    <n v="-11363.72"/>
  </r>
  <r>
    <x v="19"/>
    <x v="4"/>
    <x v="0"/>
    <s v="4600103"/>
    <n v="400020"/>
    <s v="O/P Care Svcs Rev--BCBS Comm"/>
    <s v="Gastro Intestinal (GI) Svcs"/>
    <x v="0"/>
    <n v="1301"/>
    <n v="-4350.72"/>
    <n v="-4976.5600000000004"/>
    <n v="0"/>
    <n v="-11796.11"/>
    <n v="-4756.17"/>
    <n v="0"/>
    <n v="0"/>
    <n v="-4076.72"/>
    <n v="-4638.0600000000004"/>
    <n v="-14089.9"/>
    <n v="-16853.45"/>
    <n v="-4758.88"/>
    <n v="-70296.570000000007"/>
    <n v="-12094.57"/>
  </r>
  <r>
    <x v="19"/>
    <x v="4"/>
    <x v="0"/>
    <s v="4600103"/>
    <n v="400020"/>
    <s v="O/P Care Svcs Rev--Managed Care"/>
    <s v="Gastro Intestinal (GI) Svcs"/>
    <x v="0"/>
    <n v="1400"/>
    <n v="-10960.59"/>
    <n v="-10112.08"/>
    <n v="-8730.89"/>
    <n v="-16857.46"/>
    <n v="-10206.219999999999"/>
    <n v="-17791.7"/>
    <n v="-55930.22"/>
    <n v="-9327.35"/>
    <n v="-41231.339999999997"/>
    <n v="-30178.34"/>
    <n v="-38441.51"/>
    <n v="-44461.91"/>
    <n v="-294229.61"/>
    <n v="6020.4000000000015"/>
  </r>
  <r>
    <x v="19"/>
    <x v="4"/>
    <x v="0"/>
    <s v="4600103"/>
    <n v="400020"/>
    <s v="O/P Care Svcs Rev--Self Pay"/>
    <s v="Gastro Intestinal (GI) Svcs"/>
    <x v="0"/>
    <n v="1500"/>
    <n v="0"/>
    <n v="-4756.17"/>
    <n v="0"/>
    <n v="-4511.41"/>
    <n v="-5384.08"/>
    <n v="4511.41"/>
    <n v="0"/>
    <n v="0"/>
    <n v="-4638.0600000000004"/>
    <n v="-4638.0600000000004"/>
    <n v="-3975.32"/>
    <n v="-5698.48"/>
    <n v="-29090.170000000002"/>
    <n v="1723.1599999999994"/>
  </r>
  <r>
    <x v="19"/>
    <x v="4"/>
    <x v="0"/>
    <s v="4600103"/>
    <n v="400020"/>
    <s v="O/P Care Svcs Rev--Other"/>
    <s v="Gastro Intestinal (GI) Svcs"/>
    <x v="0"/>
    <n v="1700"/>
    <n v="-9285.51"/>
    <n v="-8489.34"/>
    <n v="-11001.01"/>
    <n v="0"/>
    <n v="-9817.92"/>
    <n v="-15141.41"/>
    <n v="-17860.39"/>
    <n v="-15355.65"/>
    <n v="-18386.849999999999"/>
    <n v="-14100.05"/>
    <n v="-26801.41"/>
    <n v="-21574.7"/>
    <n v="-167814.24"/>
    <n v="-5226.7099999999991"/>
  </r>
  <r>
    <x v="5"/>
    <x v="4"/>
    <x v="0"/>
    <s v="4600103"/>
    <n v="700026"/>
    <s v="Salaries-RN-Productive"/>
    <s v="Gastro Intestinal (GI) Svcs"/>
    <x v="0"/>
    <m/>
    <n v="7418.9"/>
    <n v="10845.7"/>
    <n v="10857.7"/>
    <n v="8349.2900000000009"/>
    <n v="11440.97"/>
    <n v="9162.65"/>
    <n v="16009.92"/>
    <n v="10203.02"/>
    <n v="13680.21"/>
    <n v="11434.13"/>
    <n v="8216.7999999999993"/>
    <n v="12872.16"/>
    <n v="130491.45000000003"/>
    <n v="-4655.3600000000006"/>
  </r>
  <r>
    <x v="5"/>
    <x v="4"/>
    <x v="0"/>
    <s v="4600103"/>
    <n v="700026"/>
    <s v="Salaries-RN-OT"/>
    <s v="Gastro Intestinal (GI) Svcs"/>
    <x v="0"/>
    <n v="1000"/>
    <n v="210.77"/>
    <n v="412.88"/>
    <n v="-117.74"/>
    <n v="168.89"/>
    <n v="1522.47"/>
    <n v="-172.42"/>
    <n v="-38.630000000000003"/>
    <n v="1190.77"/>
    <n v="324.08999999999997"/>
    <n v="668.51"/>
    <n v="159.59"/>
    <n v="510.52"/>
    <n v="4839.7000000000007"/>
    <n v="-350.92999999999995"/>
  </r>
  <r>
    <x v="5"/>
    <x v="4"/>
    <x v="0"/>
    <s v="4600103"/>
    <n v="700026"/>
    <s v="Salaries-RN-Other"/>
    <s v="Gastro Intestinal (GI) Svcs"/>
    <x v="0"/>
    <n v="2000"/>
    <n v="133.28"/>
    <n v="172.94"/>
    <n v="155.43"/>
    <n v="75.92"/>
    <n v="312.45999999999998"/>
    <n v="5.29"/>
    <n v="161.15"/>
    <n v="197.47"/>
    <n v="225.81"/>
    <n v="205.96"/>
    <n v="45.26"/>
    <n v="176.86"/>
    <n v="1867.83"/>
    <n v="-131.60000000000002"/>
  </r>
  <r>
    <x v="5"/>
    <x v="4"/>
    <x v="0"/>
    <s v="4600103"/>
    <n v="700030"/>
    <s v="Salaries-LPN-Productive"/>
    <s v="Gastro Intestinal (GI) Svcs"/>
    <x v="0"/>
    <m/>
    <n v="1455.65"/>
    <n v="1436.63"/>
    <n v="366.03"/>
    <n v="113.12"/>
    <n v="342.38"/>
    <n v="263.94"/>
    <n v="299.92"/>
    <n v="1003.12"/>
    <n v="827.75"/>
    <n v="1752.99"/>
    <n v="938.15"/>
    <n v="709.09"/>
    <n v="9508.77"/>
    <n v="229.05999999999995"/>
  </r>
  <r>
    <x v="5"/>
    <x v="4"/>
    <x v="0"/>
    <s v="4600103"/>
    <n v="700030"/>
    <s v="Salaries-LPN-OT"/>
    <s v="Gastro Intestinal (GI) Svcs"/>
    <x v="0"/>
    <n v="1000"/>
    <n v="62.81"/>
    <n v="7.33"/>
    <n v="-5.52"/>
    <n v="0"/>
    <n v="0"/>
    <n v="0"/>
    <n v="17.559999999999999"/>
    <n v="-4.6100000000000003"/>
    <n v="81.37"/>
    <n v="36.94"/>
    <n v="-27.71"/>
    <n v="0"/>
    <n v="168.17"/>
    <n v="-27.71"/>
  </r>
  <r>
    <x v="5"/>
    <x v="4"/>
    <x v="0"/>
    <s v="4600103"/>
    <n v="700030"/>
    <s v="Salaries-LPN-Other"/>
    <s v="Gastro Intestinal (GI) Svcs"/>
    <x v="0"/>
    <n v="2000"/>
    <n v="28.01"/>
    <n v="-2.77"/>
    <n v="0"/>
    <n v="7.03"/>
    <n v="-3.09"/>
    <n v="12.21"/>
    <n v="-1.52"/>
    <n v="25.96"/>
    <n v="7.33"/>
    <n v="8.9499999999999993"/>
    <n v="22.8"/>
    <n v="-5.33"/>
    <n v="99.58"/>
    <n v="28.130000000000003"/>
  </r>
  <r>
    <x v="5"/>
    <x v="4"/>
    <x v="0"/>
    <s v="4600103"/>
    <n v="700032"/>
    <s v="Salaries-Other Pat Care Providers-Productive"/>
    <s v="Gastro Intestinal (GI) Svcs"/>
    <x v="0"/>
    <m/>
    <n v="1273.1300000000001"/>
    <n v="3072.39"/>
    <n v="1489.11"/>
    <n v="1811.4"/>
    <n v="1325.9"/>
    <n v="1594.13"/>
    <n v="2994.32"/>
    <n v="1906.71"/>
    <n v="2244.5"/>
    <n v="2380.2399999999998"/>
    <n v="1771.3"/>
    <n v="1289.3800000000001"/>
    <n v="23152.510000000002"/>
    <n v="481.91999999999985"/>
  </r>
  <r>
    <x v="5"/>
    <x v="4"/>
    <x v="0"/>
    <s v="4600103"/>
    <n v="700032"/>
    <s v="Salaries-Other Pat Care Providers-OT"/>
    <s v="Gastro Intestinal (GI) Svcs"/>
    <x v="0"/>
    <n v="1000"/>
    <n v="0"/>
    <n v="6.43"/>
    <n v="0"/>
    <n v="56.23"/>
    <n v="0"/>
    <n v="0"/>
    <n v="0"/>
    <n v="0"/>
    <n v="113.13"/>
    <n v="22.2"/>
    <n v="35.299999999999997"/>
    <n v="96.84"/>
    <n v="330.13"/>
    <n v="-61.540000000000006"/>
  </r>
  <r>
    <x v="5"/>
    <x v="4"/>
    <x v="0"/>
    <s v="4600103"/>
    <n v="700032"/>
    <s v="Salaries-Other Pat Care Providers-Other"/>
    <s v="Gastro Intestinal (GI) Svcs"/>
    <x v="0"/>
    <n v="2000"/>
    <n v="0"/>
    <n v="2.81"/>
    <n v="0"/>
    <n v="0"/>
    <n v="0"/>
    <n v="18.88"/>
    <n v="35.11"/>
    <n v="31.5"/>
    <n v="28.31"/>
    <n v="26.07"/>
    <n v="-7.74"/>
    <n v="14.97"/>
    <n v="149.91"/>
    <n v="-22.71"/>
  </r>
  <r>
    <x v="5"/>
    <x v="4"/>
    <x v="0"/>
    <s v="4600103"/>
    <n v="700066"/>
    <s v="Salaries-RN-NonProd-Other"/>
    <s v="Gastro Intestinal (GI) Svcs"/>
    <x v="0"/>
    <n v="2000"/>
    <n v="74.11"/>
    <n v="245.72"/>
    <n v="-77.62"/>
    <n v="84.25"/>
    <n v="0"/>
    <n v="222.36"/>
    <n v="218.91"/>
    <n v="56.4"/>
    <n v="499.33"/>
    <n v="189.44"/>
    <n v="119"/>
    <n v="261.39999999999998"/>
    <n v="1893.2999999999997"/>
    <n v="-142.39999999999998"/>
  </r>
  <r>
    <x v="5"/>
    <x v="4"/>
    <x v="0"/>
    <s v="4600103"/>
    <n v="700070"/>
    <s v="Salaries-LPN-NonProd-Other"/>
    <s v="Gastro Intestinal (GI) Svcs"/>
    <x v="0"/>
    <n v="2000"/>
    <n v="52.95"/>
    <n v="0"/>
    <n v="0"/>
    <n v="0"/>
    <n v="0"/>
    <n v="0"/>
    <n v="0"/>
    <n v="0"/>
    <n v="0"/>
    <n v="65.349999999999994"/>
    <n v="0"/>
    <n v="0"/>
    <n v="118.3"/>
    <n v="0"/>
  </r>
  <r>
    <x v="5"/>
    <x v="4"/>
    <x v="0"/>
    <s v="4600103"/>
    <n v="700072"/>
    <s v="Salaries-Other Pat Care Providers-NonProd-Other"/>
    <s v="Gastro Intestinal (GI) Svcs"/>
    <x v="0"/>
    <n v="2000"/>
    <n v="0"/>
    <n v="0"/>
    <n v="0"/>
    <n v="0"/>
    <n v="0"/>
    <n v="0"/>
    <n v="14.32"/>
    <n v="0"/>
    <n v="33.85"/>
    <n v="-12.3"/>
    <n v="0"/>
    <n v="0"/>
    <n v="35.870000000000005"/>
    <n v="0"/>
  </r>
  <r>
    <x v="6"/>
    <x v="4"/>
    <x v="0"/>
    <s v="4600103"/>
    <n v="713010"/>
    <s v="Benefits-FICA/Medicare"/>
    <s v="Gastro Intestinal (GI) Svcs"/>
    <x v="0"/>
    <m/>
    <n v="808.43"/>
    <n v="1222.33"/>
    <n v="956.43"/>
    <n v="805.89"/>
    <n v="1087.3599999999999"/>
    <n v="822.23"/>
    <n v="1467.33"/>
    <n v="1088.7"/>
    <n v="1354.89"/>
    <n v="1260.82"/>
    <n v="842.48"/>
    <n v="1200.24"/>
    <n v="12917.13"/>
    <n v="-357.76"/>
  </r>
  <r>
    <x v="6"/>
    <x v="4"/>
    <x v="0"/>
    <s v="4600103"/>
    <n v="713090"/>
    <s v="Benefits-Allocated Amounts"/>
    <s v="Gastro Intestinal (GI) Svcs"/>
    <x v="0"/>
    <m/>
    <n v="2000.46"/>
    <n v="2851.57"/>
    <n v="1952.97"/>
    <n v="1696.73"/>
    <n v="2272.09"/>
    <n v="1678.44"/>
    <n v="3581.15"/>
    <n v="2434.02"/>
    <n v="2976.7"/>
    <n v="3106.28"/>
    <n v="2079.9299999999998"/>
    <n v="3076.57"/>
    <n v="29706.91"/>
    <n v="-996.64000000000033"/>
  </r>
  <r>
    <x v="17"/>
    <x v="4"/>
    <x v="0"/>
    <s v="4600103"/>
    <n v="714530"/>
    <s v="Medical Prof Fees-Intracompany"/>
    <s v="Gastro Intestinal (GI) Svcs"/>
    <x v="0"/>
    <m/>
    <n v="0"/>
    <n v="0"/>
    <n v="0"/>
    <n v="0"/>
    <n v="0"/>
    <n v="0"/>
    <n v="0"/>
    <n v="0"/>
    <n v="0"/>
    <n v="0"/>
    <n v="0"/>
    <n v="107248.07"/>
    <n v="107248.07"/>
    <n v="-107248.07"/>
  </r>
  <r>
    <x v="7"/>
    <x v="4"/>
    <x v="0"/>
    <s v="4600103"/>
    <n v="718050"/>
    <s v="Contract Svcs-Other"/>
    <s v="Gastro Intestinal (GI) Svcs"/>
    <x v="0"/>
    <m/>
    <n v="0"/>
    <n v="0"/>
    <n v="0"/>
    <n v="0"/>
    <n v="0"/>
    <n v="0"/>
    <n v="0"/>
    <n v="88"/>
    <n v="0"/>
    <n v="0"/>
    <n v="0"/>
    <n v="0"/>
    <n v="88"/>
    <n v="0"/>
  </r>
  <r>
    <x v="7"/>
    <x v="4"/>
    <x v="0"/>
    <s v="4600103"/>
    <n v="718050"/>
    <s v="Miscellaneous Purchased Svcs"/>
    <s v="Gastro Intestinal (GI) Svcs"/>
    <x v="0"/>
    <n v="1020"/>
    <n v="0"/>
    <n v="192"/>
    <n v="0"/>
    <n v="0"/>
    <n v="0"/>
    <n v="0"/>
    <n v="0"/>
    <n v="0"/>
    <n v="0"/>
    <n v="0"/>
    <n v="0"/>
    <n v="0"/>
    <n v="192"/>
    <n v="0"/>
  </r>
  <r>
    <x v="7"/>
    <x v="4"/>
    <x v="0"/>
    <s v="4600103"/>
    <n v="718050"/>
    <s v="Translation Services"/>
    <s v="Gastro Intestinal (GI) Svcs"/>
    <x v="0"/>
    <n v="1025"/>
    <n v="0"/>
    <n v="0"/>
    <n v="0"/>
    <n v="64"/>
    <n v="-64"/>
    <n v="64"/>
    <n v="32"/>
    <n v="88"/>
    <n v="0"/>
    <n v="483"/>
    <n v="0"/>
    <n v="240"/>
    <n v="907"/>
    <n v="-240"/>
  </r>
  <r>
    <x v="7"/>
    <x v="4"/>
    <x v="0"/>
    <s v="4600103"/>
    <n v="718070"/>
    <s v="Contract Srvcs-CHI Clinical Engineering"/>
    <s v="Gastro Intestinal (GI) Svcs"/>
    <x v="0"/>
    <m/>
    <n v="1728.32"/>
    <n v="1761.54"/>
    <n v="1761.54"/>
    <n v="1761.54"/>
    <n v="1583.02"/>
    <n v="1583.02"/>
    <n v="1583.02"/>
    <n v="1583.02"/>
    <n v="1584.07"/>
    <n v="1584.07"/>
    <n v="1584.07"/>
    <n v="1584.07"/>
    <n v="19681.3"/>
    <n v="0"/>
  </r>
  <r>
    <x v="7"/>
    <x v="4"/>
    <x v="0"/>
    <s v="4600103"/>
    <n v="718091"/>
    <s v="Contract Services-Intracompany Allocation"/>
    <s v="Gastro Intestinal (GI) Svcs"/>
    <x v="0"/>
    <m/>
    <n v="844.89"/>
    <n v="930.56"/>
    <n v="835.1"/>
    <n v="919.31"/>
    <n v="752.42"/>
    <n v="792.69"/>
    <n v="849.53"/>
    <n v="788.91"/>
    <n v="854.96"/>
    <n v="849.16"/>
    <n v="804.69"/>
    <n v="880.86"/>
    <n v="10103.08"/>
    <n v="-76.169999999999959"/>
  </r>
  <r>
    <x v="11"/>
    <x v="4"/>
    <x v="0"/>
    <s v="4600103"/>
    <n v="721010"/>
    <s v="Supplies-Medical - Billable"/>
    <s v="Gastro Intestinal (GI) Svcs"/>
    <x v="0"/>
    <m/>
    <n v="206.8"/>
    <n v="291.33999999999997"/>
    <n v="221.16"/>
    <n v="156.4"/>
    <n v="0"/>
    <n v="61.8"/>
    <n v="623.19000000000005"/>
    <n v="-9.32"/>
    <n v="206.8"/>
    <n v="496.8"/>
    <n v="402.05"/>
    <n v="145"/>
    <n v="2802.0200000000004"/>
    <n v="257.05"/>
  </r>
  <r>
    <x v="11"/>
    <x v="4"/>
    <x v="0"/>
    <s v="4600103"/>
    <n v="721010"/>
    <s v="Patient Monitoring"/>
    <s v="Gastro Intestinal (GI) Svcs"/>
    <x v="0"/>
    <n v="1000"/>
    <n v="10.57"/>
    <n v="12.33"/>
    <n v="0"/>
    <n v="26.43"/>
    <n v="0"/>
    <n v="21.14"/>
    <n v="22.9"/>
    <n v="10.57"/>
    <n v="10.57"/>
    <n v="29.07"/>
    <n v="0"/>
    <n v="8.81"/>
    <n v="152.38999999999999"/>
    <n v="-8.81"/>
  </r>
  <r>
    <x v="11"/>
    <x v="4"/>
    <x v="0"/>
    <s v="4600103"/>
    <n v="721020"/>
    <s v="Supplies-Surgical - Billable"/>
    <s v="Gastro Intestinal (GI) Svcs"/>
    <x v="0"/>
    <m/>
    <n v="711.51"/>
    <n v="3210.15"/>
    <n v="560.49"/>
    <n v="307.72000000000003"/>
    <n v="368.97"/>
    <n v="0"/>
    <n v="3632.52"/>
    <n v="1069.79"/>
    <n v="3105.93"/>
    <n v="7227.87"/>
    <n v="44.28"/>
    <n v="457.18"/>
    <n v="20696.41"/>
    <n v="-412.9"/>
  </r>
  <r>
    <x v="11"/>
    <x v="4"/>
    <x v="0"/>
    <s v="4600103"/>
    <n v="721020"/>
    <s v="Endomechanical Supplies &amp; Instruments"/>
    <s v="Gastro Intestinal (GI) Svcs"/>
    <x v="0"/>
    <n v="1003"/>
    <n v="3403.51"/>
    <n v="2481.46"/>
    <n v="533.59"/>
    <n v="621.17999999999995"/>
    <n v="1013.17"/>
    <n v="1271.02"/>
    <n v="2614.7399999999998"/>
    <n v="11.98"/>
    <n v="3584.18"/>
    <n v="1543.67"/>
    <n v="164.85"/>
    <n v="2009.41"/>
    <n v="19252.759999999998"/>
    <n v="-1844.5600000000002"/>
  </r>
  <r>
    <x v="11"/>
    <x v="4"/>
    <x v="0"/>
    <s v="4600103"/>
    <n v="721020"/>
    <s v="Urological Supplies"/>
    <s v="Gastro Intestinal (GI) Svcs"/>
    <x v="0"/>
    <n v="1006"/>
    <n v="0"/>
    <n v="-15.45"/>
    <n v="0"/>
    <n v="0"/>
    <n v="0"/>
    <n v="0"/>
    <n v="0"/>
    <n v="0"/>
    <n v="2409.48"/>
    <n v="1340.85"/>
    <n v="1637.24"/>
    <n v="-77.239999999999995"/>
    <n v="5294.88"/>
    <n v="1714.48"/>
  </r>
  <r>
    <x v="11"/>
    <x v="4"/>
    <x v="0"/>
    <s v="4600103"/>
    <n v="721020"/>
    <s v="Tubes Drains &amp; Related Supplies"/>
    <s v="Gastro Intestinal (GI) Svcs"/>
    <x v="0"/>
    <n v="1008"/>
    <n v="0"/>
    <n v="0"/>
    <n v="46.8"/>
    <n v="0"/>
    <n v="0"/>
    <n v="0"/>
    <n v="0"/>
    <n v="0"/>
    <n v="0"/>
    <n v="0"/>
    <n v="0"/>
    <n v="0"/>
    <n v="46.8"/>
    <n v="0"/>
  </r>
  <r>
    <x v="11"/>
    <x v="4"/>
    <x v="0"/>
    <s v="4600103"/>
    <n v="721050"/>
    <s v="Supplies-Cardiac Rhythm - Billable"/>
    <s v="Gastro Intestinal (GI) Svcs"/>
    <x v="0"/>
    <m/>
    <n v="963.35"/>
    <n v="293.08"/>
    <n v="250.99"/>
    <n v="160.44999999999999"/>
    <n v="387.18"/>
    <n v="-30.09"/>
    <n v="3734.83"/>
    <n v="7644.16"/>
    <n v="1748.83"/>
    <n v="1416.72"/>
    <n v="276.77999999999997"/>
    <n v="211.88"/>
    <n v="17058.16"/>
    <n v="64.899999999999977"/>
  </r>
  <r>
    <x v="11"/>
    <x v="4"/>
    <x v="0"/>
    <s v="4600103"/>
    <n v="721070"/>
    <s v="Peripheral Stents"/>
    <s v="Gastro Intestinal (GI) Svcs"/>
    <x v="0"/>
    <n v="1001"/>
    <n v="0"/>
    <n v="0"/>
    <n v="0"/>
    <n v="0"/>
    <n v="0"/>
    <n v="0"/>
    <n v="0"/>
    <n v="0"/>
    <n v="0"/>
    <n v="0"/>
    <n v="104"/>
    <n v="0"/>
    <n v="104"/>
    <n v="104"/>
  </r>
  <r>
    <x v="11"/>
    <x v="4"/>
    <x v="0"/>
    <s v="4600103"/>
    <n v="721240"/>
    <s v="Supplies-IV Solutions/Supplies - Billable"/>
    <s v="Gastro Intestinal (GI) Svcs"/>
    <x v="0"/>
    <m/>
    <n v="0"/>
    <n v="0"/>
    <n v="0"/>
    <n v="0"/>
    <n v="0"/>
    <n v="9.75"/>
    <n v="0"/>
    <n v="0"/>
    <n v="24.38"/>
    <n v="37.5"/>
    <n v="0"/>
    <n v="98.75"/>
    <n v="170.38"/>
    <n v="-98.75"/>
  </r>
  <r>
    <x v="11"/>
    <x v="4"/>
    <x v="0"/>
    <s v="4600103"/>
    <n v="721250"/>
    <s v="Supplies-Pharmacy Drugs - Billable"/>
    <s v="Gastro Intestinal (GI) Svcs"/>
    <x v="0"/>
    <m/>
    <n v="0"/>
    <n v="41.42"/>
    <n v="41.42"/>
    <n v="57.84"/>
    <n v="0"/>
    <n v="41.42"/>
    <n v="41.42"/>
    <n v="38.56"/>
    <n v="0"/>
    <n v="45.36"/>
    <n v="38.56"/>
    <n v="0"/>
    <n v="346.00000000000006"/>
    <n v="38.56"/>
  </r>
  <r>
    <x v="11"/>
    <x v="4"/>
    <x v="0"/>
    <s v="4600103"/>
    <n v="721410"/>
    <s v="Supplies-Medical - Nonbillable"/>
    <s v="Gastro Intestinal (GI) Svcs"/>
    <x v="0"/>
    <m/>
    <n v="645.46"/>
    <n v="1091.94"/>
    <n v="633.77"/>
    <n v="912.73"/>
    <n v="669.44"/>
    <n v="839.98"/>
    <n v="1190.73"/>
    <n v="1169.22"/>
    <n v="789.02"/>
    <n v="13760.17"/>
    <n v="1657.47"/>
    <n v="1203.9000000000001"/>
    <n v="24563.83"/>
    <n v="453.56999999999994"/>
  </r>
  <r>
    <x v="11"/>
    <x v="4"/>
    <x v="0"/>
    <s v="4600103"/>
    <n v="721420"/>
    <s v="Supplies-Surgical Nonbillable"/>
    <s v="Gastro Intestinal (GI) Svcs"/>
    <x v="0"/>
    <m/>
    <n v="1250.81"/>
    <n v="4882.62"/>
    <n v="2822.09"/>
    <n v="1178.51"/>
    <n v="1652.47"/>
    <n v="83.05"/>
    <n v="1908.77"/>
    <n v="297.63"/>
    <n v="5404.53"/>
    <n v="5561.02"/>
    <n v="1350.11"/>
    <n v="577.99"/>
    <n v="26969.600000000002"/>
    <n v="772.11999999999989"/>
  </r>
  <r>
    <x v="11"/>
    <x v="4"/>
    <x v="0"/>
    <s v="4600103"/>
    <n v="721420"/>
    <s v="Tubes Drains &amp; Related Supplies"/>
    <s v="Gastro Intestinal (GI) Svcs"/>
    <x v="0"/>
    <n v="1008"/>
    <n v="27.6"/>
    <n v="24"/>
    <n v="30.6"/>
    <n v="23.4"/>
    <n v="20.399999999999999"/>
    <n v="27.6"/>
    <n v="42.93"/>
    <n v="31.8"/>
    <n v="24"/>
    <n v="24"/>
    <n v="28.8"/>
    <n v="20.399999999999999"/>
    <n v="325.53000000000003"/>
    <n v="8.4000000000000021"/>
  </r>
  <r>
    <x v="11"/>
    <x v="4"/>
    <x v="0"/>
    <s v="4600103"/>
    <n v="721420"/>
    <s v="Sterilization Process Products"/>
    <s v="Gastro Intestinal (GI) Svcs"/>
    <x v="0"/>
    <n v="1009"/>
    <n v="526.53"/>
    <n v="1568.52"/>
    <n v="749.54"/>
    <n v="781.97"/>
    <n v="1091.69"/>
    <n v="1138.46"/>
    <n v="1720.62"/>
    <n v="568.39"/>
    <n v="1369.7"/>
    <n v="780.55"/>
    <n v="970.2"/>
    <n v="918.16"/>
    <n v="12184.33"/>
    <n v="52.040000000000077"/>
  </r>
  <r>
    <x v="11"/>
    <x v="4"/>
    <x v="0"/>
    <s v="4600103"/>
    <n v="721610"/>
    <s v="Supplies-Anesthesia - Nonbillable"/>
    <s v="Gastro Intestinal (GI) Svcs"/>
    <x v="0"/>
    <m/>
    <n v="26.15"/>
    <n v="71.45"/>
    <n v="59.77"/>
    <n v="21.28"/>
    <n v="25.28"/>
    <n v="31.92"/>
    <n v="43.9"/>
    <n v="36.049999999999997"/>
    <n v="26.6"/>
    <n v="45.24"/>
    <n v="33.520000000000003"/>
    <n v="50.57"/>
    <n v="471.73"/>
    <n v="-17.049999999999997"/>
  </r>
  <r>
    <x v="11"/>
    <x v="4"/>
    <x v="0"/>
    <s v="4600103"/>
    <n v="721640"/>
    <s v="Supplies-IV Solutions/Supplies - Nonbillable"/>
    <s v="Gastro Intestinal (GI) Svcs"/>
    <x v="0"/>
    <m/>
    <n v="37.92"/>
    <n v="118.5"/>
    <n v="72.2"/>
    <n v="59.25"/>
    <n v="31.39"/>
    <n v="71.099999999999994"/>
    <n v="71.099999999999994"/>
    <n v="106.65"/>
    <n v="71.099999999999994"/>
    <n v="71.099999999999994"/>
    <n v="47.4"/>
    <n v="48.5"/>
    <n v="806.21"/>
    <n v="-1.1000000000000014"/>
  </r>
  <r>
    <x v="11"/>
    <x v="4"/>
    <x v="0"/>
    <s v="4600103"/>
    <n v="721650"/>
    <s v="Supplies-Pharmacy Drugs - Nonbillable"/>
    <s v="Gastro Intestinal (GI) Svcs"/>
    <x v="0"/>
    <m/>
    <n v="11.36"/>
    <n v="10.02"/>
    <n v="0"/>
    <n v="457.39"/>
    <n v="0"/>
    <n v="4.01"/>
    <n v="4.01"/>
    <n v="0"/>
    <n v="0"/>
    <n v="810"/>
    <n v="411.68"/>
    <n v="0"/>
    <n v="1708.47"/>
    <n v="411.68"/>
  </r>
  <r>
    <x v="11"/>
    <x v="4"/>
    <x v="0"/>
    <s v="4600103"/>
    <n v="721710"/>
    <s v="Supplies-Laboratory - Nonbillable"/>
    <s v="Gastro Intestinal (GI) Svcs"/>
    <x v="0"/>
    <m/>
    <n v="89.6"/>
    <n v="-0.25"/>
    <n v="31.39"/>
    <n v="-20.58"/>
    <n v="3.98"/>
    <n v="19.579999999999998"/>
    <n v="5.04"/>
    <n v="6.08"/>
    <n v="107.67"/>
    <n v="5.28"/>
    <n v="29.73"/>
    <n v="30.33"/>
    <n v="307.84999999999997"/>
    <n v="-0.59999999999999787"/>
  </r>
  <r>
    <x v="11"/>
    <x v="4"/>
    <x v="0"/>
    <s v="4600103"/>
    <n v="721870"/>
    <s v="Supplies-Environmental Services"/>
    <s v="Gastro Intestinal (GI) Svcs"/>
    <x v="0"/>
    <m/>
    <n v="76.63"/>
    <n v="265.7"/>
    <n v="272.16000000000003"/>
    <n v="75"/>
    <n v="17.84"/>
    <n v="334.12"/>
    <n v="276"/>
    <n v="168.67"/>
    <n v="313.38"/>
    <n v="540.35"/>
    <n v="27.07"/>
    <n v="260.39999999999998"/>
    <n v="2627.32"/>
    <n v="-233.32999999999998"/>
  </r>
  <r>
    <x v="11"/>
    <x v="4"/>
    <x v="0"/>
    <s v="4600103"/>
    <n v="721910"/>
    <s v="Supplies-Small Equipment"/>
    <s v="Gastro Intestinal (GI) Svcs"/>
    <x v="0"/>
    <m/>
    <n v="197.82"/>
    <n v="688.39"/>
    <n v="90.12"/>
    <n v="797.89"/>
    <n v="10.72"/>
    <n v="296.74"/>
    <n v="1425.41"/>
    <n v="26.24"/>
    <n v="100.62"/>
    <n v="696.52"/>
    <n v="715.86"/>
    <n v="600.66"/>
    <n v="5646.9899999999989"/>
    <n v="115.20000000000005"/>
  </r>
  <r>
    <x v="11"/>
    <x v="4"/>
    <x v="0"/>
    <s v="4600103"/>
    <n v="721910"/>
    <s v="Instruments"/>
    <s v="Gastro Intestinal (GI) Svcs"/>
    <x v="0"/>
    <n v="1000"/>
    <n v="0"/>
    <n v="60.45"/>
    <n v="0"/>
    <n v="0"/>
    <n v="0"/>
    <n v="0"/>
    <n v="0"/>
    <n v="0"/>
    <n v="94.5"/>
    <n v="0"/>
    <n v="57.15"/>
    <n v="-5.15"/>
    <n v="206.95"/>
    <n v="62.3"/>
  </r>
  <r>
    <x v="11"/>
    <x v="4"/>
    <x v="0"/>
    <s v="4600103"/>
    <n v="721980"/>
    <s v="Supplies-Other"/>
    <s v="Gastro Intestinal (GI) Svcs"/>
    <x v="0"/>
    <m/>
    <n v="0"/>
    <n v="0"/>
    <n v="0"/>
    <n v="0"/>
    <n v="0"/>
    <n v="0"/>
    <n v="0"/>
    <n v="144.15"/>
    <n v="0"/>
    <n v="14.27"/>
    <n v="540"/>
    <n v="0"/>
    <n v="698.42000000000007"/>
    <n v="540"/>
  </r>
  <r>
    <x v="11"/>
    <x v="4"/>
    <x v="0"/>
    <s v="4600103"/>
    <n v="722000"/>
    <s v="Supplies-Freight Expense"/>
    <s v="Gastro Intestinal (GI) Svcs"/>
    <x v="0"/>
    <m/>
    <n v="42.93"/>
    <n v="134.96"/>
    <n v="140.18"/>
    <n v="67.819999999999993"/>
    <n v="54.22"/>
    <n v="97.34"/>
    <n v="139.58000000000001"/>
    <n v="214.79"/>
    <n v="37.07"/>
    <n v="63.94"/>
    <n v="140.80000000000001"/>
    <n v="82.55"/>
    <n v="1216.18"/>
    <n v="58.250000000000014"/>
  </r>
  <r>
    <x v="12"/>
    <x v="4"/>
    <x v="0"/>
    <s v="4600103"/>
    <n v="730020"/>
    <s v="Rental and Leases-Copier Usage Fees (DO NOT USE)"/>
    <s v="Gastro Intestinal (GI) Svcs"/>
    <x v="0"/>
    <n v="5100"/>
    <n v="48.65"/>
    <n v="51.98"/>
    <n v="50.31"/>
    <n v="50.31"/>
    <n v="50.31"/>
    <n v="50.31"/>
    <n v="-162.32"/>
    <n v="36.5"/>
    <n v="36.43"/>
    <n v="36.57"/>
    <n v="36.5"/>
    <n v="36.5"/>
    <n v="322.05"/>
    <n v="0"/>
  </r>
  <r>
    <x v="13"/>
    <x v="4"/>
    <x v="0"/>
    <s v="4600103"/>
    <n v="735070"/>
    <s v="Depreciation-Movable Equipment"/>
    <s v="Gastro Intestinal (GI) Svcs"/>
    <x v="0"/>
    <m/>
    <n v="13279.5"/>
    <n v="13279.49"/>
    <n v="13279.5"/>
    <n v="13279.48"/>
    <n v="13226.38"/>
    <n v="13226.35"/>
    <n v="13226.39"/>
    <n v="13226.35"/>
    <n v="13226.39"/>
    <n v="13226.35"/>
    <n v="13226.39"/>
    <n v="13226.34"/>
    <n v="158928.91"/>
    <n v="4.9999999999272404E-2"/>
  </r>
  <r>
    <x v="0"/>
    <x v="4"/>
    <x v="0"/>
    <s v="4600103"/>
    <n v="749510"/>
    <s v="Miscellaneous Expenses"/>
    <s v="Gastro Intestinal (GI) Svcs"/>
    <x v="0"/>
    <m/>
    <n v="0"/>
    <n v="0"/>
    <n v="450"/>
    <n v="0"/>
    <n v="0"/>
    <n v="0"/>
    <n v="0"/>
    <n v="0"/>
    <n v="0"/>
    <n v="0"/>
    <n v="0"/>
    <n v="0"/>
    <n v="450"/>
    <n v="0"/>
  </r>
  <r>
    <x v="0"/>
    <x v="4"/>
    <x v="0"/>
    <s v="4600103"/>
    <n v="749510"/>
    <s v="RICE Rewards"/>
    <s v="Gastro Intestinal (GI) Svcs"/>
    <x v="0"/>
    <n v="5100"/>
    <n v="0"/>
    <n v="0"/>
    <n v="0"/>
    <n v="0"/>
    <n v="0"/>
    <n v="0"/>
    <n v="0"/>
    <n v="0"/>
    <n v="0"/>
    <n v="0"/>
    <n v="94"/>
    <n v="0"/>
    <n v="94"/>
    <n v="94"/>
  </r>
  <r>
    <x v="18"/>
    <x v="8"/>
    <x v="0"/>
    <s v="4600104"/>
    <n v="400010"/>
    <s v="Acute I/P Svcs Rev--Medicare"/>
    <s v="Gastro Intestinal (GI) Svcs"/>
    <x v="0"/>
    <n v="1100"/>
    <n v="-78016.7"/>
    <n v="-124568.53"/>
    <n v="-153854.18"/>
    <n v="-140990.5"/>
    <n v="-100029.66"/>
    <n v="-82940.210000000006"/>
    <n v="-124088.22"/>
    <n v="-157769.67000000001"/>
    <n v="-85083.64"/>
    <n v="-74436.55"/>
    <n v="-128976.05"/>
    <n v="-109260.98"/>
    <n v="-1360014.89"/>
    <n v="-19715.070000000007"/>
  </r>
  <r>
    <x v="18"/>
    <x v="8"/>
    <x v="0"/>
    <s v="4600104"/>
    <n v="400010"/>
    <s v="Acute I/P Svcs Rev--Medicaid"/>
    <s v="Gastro Intestinal (GI) Svcs"/>
    <x v="0"/>
    <n v="1200"/>
    <n v="-1865.43"/>
    <n v="-20392.77"/>
    <n v="-28176.04"/>
    <n v="-40674.68"/>
    <n v="-28650.89"/>
    <n v="-14700.64"/>
    <n v="-9404.09"/>
    <n v="-12749.41"/>
    <n v="-44512.43"/>
    <n v="-25540.720000000001"/>
    <n v="-45850.35"/>
    <n v="-39764.65"/>
    <n v="-312282.10000000003"/>
    <n v="-6085.6999999999971"/>
  </r>
  <r>
    <x v="18"/>
    <x v="8"/>
    <x v="0"/>
    <s v="4600104"/>
    <n v="400010"/>
    <s v="Acute I/P Svcs Rev--Comm Insurance"/>
    <s v="Gastro Intestinal (GI) Svcs"/>
    <x v="0"/>
    <n v="1300"/>
    <n v="-4140.53"/>
    <n v="4140.53"/>
    <n v="-4502.1899999999996"/>
    <n v="-4756.17"/>
    <n v="-5899.42"/>
    <n v="-2752.84"/>
    <n v="0"/>
    <n v="0"/>
    <n v="0"/>
    <n v="0"/>
    <n v="0"/>
    <n v="0"/>
    <n v="-17910.620000000003"/>
    <n v="0"/>
  </r>
  <r>
    <x v="18"/>
    <x v="8"/>
    <x v="0"/>
    <s v="4600104"/>
    <n v="400010"/>
    <s v="Acute I/P Svcs Rev--BCBS Comm"/>
    <s v="Gastro Intestinal (GI) Svcs"/>
    <x v="0"/>
    <n v="1301"/>
    <n v="0"/>
    <n v="-14373.19"/>
    <n v="-9315.7000000000007"/>
    <n v="-3923.34"/>
    <n v="0"/>
    <n v="-30390.77"/>
    <n v="-25531.39"/>
    <n v="-5633.75"/>
    <n v="-7030.79"/>
    <n v="0"/>
    <n v="-23827.5"/>
    <n v="-21745.13"/>
    <n v="-141771.56"/>
    <n v="-2082.369999999999"/>
  </r>
  <r>
    <x v="18"/>
    <x v="8"/>
    <x v="0"/>
    <s v="4600104"/>
    <n v="400010"/>
    <s v="Acute I/P Svcs Rev--Managed Care"/>
    <s v="Gastro Intestinal (GI) Svcs"/>
    <x v="0"/>
    <n v="1400"/>
    <n v="-10779.7"/>
    <n v="-6037.33"/>
    <n v="-30133.48"/>
    <n v="-32884.01"/>
    <n v="-23047.599999999999"/>
    <n v="-26079.54"/>
    <n v="-17262.48"/>
    <n v="-17874.3"/>
    <n v="-22985.53"/>
    <n v="-15376.1"/>
    <n v="-4312"/>
    <n v="-31501.51"/>
    <n v="-238273.58000000002"/>
    <n v="27189.51"/>
  </r>
  <r>
    <x v="18"/>
    <x v="8"/>
    <x v="0"/>
    <s v="4600104"/>
    <n v="400010"/>
    <s v="Acute I/P Svcs Rev--Self Pay"/>
    <s v="Gastro Intestinal (GI) Svcs"/>
    <x v="0"/>
    <n v="1500"/>
    <n v="0"/>
    <n v="-3923.34"/>
    <n v="-12557.22"/>
    <n v="0"/>
    <n v="0"/>
    <n v="0"/>
    <n v="0"/>
    <n v="0"/>
    <n v="0"/>
    <n v="0"/>
    <n v="-15335.35"/>
    <n v="-10049.35"/>
    <n v="-41865.259999999995"/>
    <n v="-5286"/>
  </r>
  <r>
    <x v="18"/>
    <x v="8"/>
    <x v="0"/>
    <s v="4600104"/>
    <n v="400010"/>
    <s v="Acute I/P Svcs Rev--Other"/>
    <s v="Gastro Intestinal (GI) Svcs"/>
    <x v="0"/>
    <n v="1700"/>
    <n v="-14346.18"/>
    <n v="-9231.2900000000009"/>
    <n v="0"/>
    <n v="-17591.14"/>
    <n v="-8697.6200000000008"/>
    <n v="-5817.27"/>
    <n v="-13193.36"/>
    <n v="-4041.04"/>
    <n v="-9407.56"/>
    <n v="-1792.82"/>
    <n v="-3975.32"/>
    <n v="-289.43"/>
    <n v="-88383.03"/>
    <n v="-3685.8900000000003"/>
  </r>
  <r>
    <x v="19"/>
    <x v="8"/>
    <x v="0"/>
    <s v="4600104"/>
    <n v="400020"/>
    <s v="O/P Care Svcs Rev--Medicare"/>
    <s v="Gastro Intestinal (GI) Svcs"/>
    <x v="0"/>
    <n v="1100"/>
    <n v="-39528.35"/>
    <n v="-50763.25"/>
    <n v="-39176.99"/>
    <n v="-21903.53"/>
    <n v="-17958.84"/>
    <n v="-30705.68"/>
    <n v="-23508.36"/>
    <n v="-22894.61"/>
    <n v="-40940.720000000001"/>
    <n v="-46602.37"/>
    <n v="-121116.96"/>
    <n v="-49837.43"/>
    <n v="-504937.08999999997"/>
    <n v="-71279.53"/>
  </r>
  <r>
    <x v="19"/>
    <x v="8"/>
    <x v="0"/>
    <s v="4600104"/>
    <n v="400020"/>
    <s v="O/P Care Svcs Rev--Medicaid"/>
    <s v="Gastro Intestinal (GI) Svcs"/>
    <x v="0"/>
    <n v="1200"/>
    <n v="-2879.75"/>
    <n v="-10703.71"/>
    <n v="-8169.21"/>
    <n v="-9673.77"/>
    <n v="-21135.56"/>
    <n v="-20389.89"/>
    <n v="-11780.84"/>
    <n v="-12190.12"/>
    <n v="-6352.64"/>
    <n v="-17288.68"/>
    <n v="-16270.74"/>
    <n v="-10248.719999999999"/>
    <n v="-147083.62999999998"/>
    <n v="-6022.02"/>
  </r>
  <r>
    <x v="19"/>
    <x v="8"/>
    <x v="0"/>
    <s v="4600104"/>
    <n v="400020"/>
    <s v="O/P Care Svcs Rev--Comm Insurance"/>
    <s v="Gastro Intestinal (GI) Svcs"/>
    <x v="0"/>
    <n v="1300"/>
    <n v="0"/>
    <n v="0"/>
    <n v="0"/>
    <n v="-320.35000000000002"/>
    <n v="0"/>
    <n v="-750"/>
    <n v="-375"/>
    <n v="0"/>
    <n v="-772.5"/>
    <n v="-221"/>
    <n v="-808.01"/>
    <n v="-386.25"/>
    <n v="-3633.1099999999997"/>
    <n v="-421.76"/>
  </r>
  <r>
    <x v="19"/>
    <x v="8"/>
    <x v="0"/>
    <s v="4600104"/>
    <n v="400020"/>
    <s v="O/P Care Svcs Rev--BCBS Comm"/>
    <s v="Gastro Intestinal (GI) Svcs"/>
    <x v="0"/>
    <n v="1301"/>
    <n v="-13528.81"/>
    <n v="-13717.74"/>
    <n v="-4598.4799999999996"/>
    <n v="-101.59"/>
    <n v="-135.4"/>
    <n v="-750"/>
    <n v="-4234.53"/>
    <n v="-1741.64"/>
    <n v="0"/>
    <n v="-3549.19"/>
    <n v="-1194.26"/>
    <n v="-8208.6"/>
    <n v="-51760.240000000005"/>
    <n v="7014.34"/>
  </r>
  <r>
    <x v="19"/>
    <x v="8"/>
    <x v="0"/>
    <s v="4600104"/>
    <n v="400020"/>
    <s v="O/P Care Svcs Rev--Managed Care"/>
    <s v="Gastro Intestinal (GI) Svcs"/>
    <x v="0"/>
    <n v="1400"/>
    <n v="-1757.63"/>
    <n v="-17495.34"/>
    <n v="-10942.86"/>
    <n v="-16483.5"/>
    <n v="-9878.36"/>
    <n v="-7731"/>
    <n v="-34798.85"/>
    <n v="0"/>
    <n v="-5454.18"/>
    <n v="-5506.86"/>
    <n v="-13454.07"/>
    <n v="-9852.9"/>
    <n v="-133355.54999999999"/>
    <n v="-3601.17"/>
  </r>
  <r>
    <x v="19"/>
    <x v="8"/>
    <x v="0"/>
    <s v="4600104"/>
    <n v="400020"/>
    <s v="O/P Care Svcs Rev--Self Pay"/>
    <s v="Gastro Intestinal (GI) Svcs"/>
    <x v="0"/>
    <n v="1500"/>
    <n v="0"/>
    <n v="0"/>
    <n v="0"/>
    <n v="0"/>
    <n v="0"/>
    <n v="-442.7"/>
    <n v="375"/>
    <n v="-4477.92"/>
    <n v="0"/>
    <n v="-2393.5700000000002"/>
    <n v="0"/>
    <n v="-4480.07"/>
    <n v="-11419.26"/>
    <n v="4480.07"/>
  </r>
  <r>
    <x v="19"/>
    <x v="8"/>
    <x v="0"/>
    <s v="4600104"/>
    <n v="400020"/>
    <s v="O/P Care Svcs Rev--Other"/>
    <s v="Gastro Intestinal (GI) Svcs"/>
    <x v="0"/>
    <n v="1700"/>
    <n v="0"/>
    <n v="-2879.75"/>
    <n v="0"/>
    <n v="0"/>
    <n v="-4751.78"/>
    <n v="-783.89"/>
    <n v="-320.35000000000002"/>
    <n v="-11452.19"/>
    <n v="-1902.88"/>
    <n v="-5881.75"/>
    <n v="-2031.28"/>
    <n v="-5775.31"/>
    <n v="-35779.18"/>
    <n v="3744.0300000000007"/>
  </r>
  <r>
    <x v="14"/>
    <x v="8"/>
    <x v="0"/>
    <s v="4600104"/>
    <n v="600060"/>
    <s v="Gain/Loss--Sale of Fixed Assets"/>
    <s v="Gastro Intestinal (GI) Svcs"/>
    <x v="0"/>
    <m/>
    <n v="0"/>
    <n v="0"/>
    <n v="0"/>
    <n v="66.72"/>
    <n v="0"/>
    <n v="0"/>
    <n v="0"/>
    <n v="0"/>
    <n v="0"/>
    <n v="0"/>
    <n v="0"/>
    <n v="0"/>
    <n v="66.72"/>
    <n v="0"/>
  </r>
  <r>
    <x v="5"/>
    <x v="8"/>
    <x v="0"/>
    <s v="4600104"/>
    <n v="700026"/>
    <s v="Salaries-RN-Productive"/>
    <s v="Gastro Intestinal (GI) Svcs"/>
    <x v="0"/>
    <m/>
    <n v="5095.74"/>
    <n v="9891.86"/>
    <n v="11088.93"/>
    <n v="9093.81"/>
    <n v="7986.89"/>
    <n v="9241.17"/>
    <n v="8435.33"/>
    <n v="7650.03"/>
    <n v="10265.11"/>
    <n v="6138.71"/>
    <n v="5270.04"/>
    <n v="11609.27"/>
    <n v="101766.89"/>
    <n v="-6339.2300000000005"/>
  </r>
  <r>
    <x v="5"/>
    <x v="8"/>
    <x v="0"/>
    <s v="4600104"/>
    <n v="700026"/>
    <s v="Salaries-RN-OT"/>
    <s v="Gastro Intestinal (GI) Svcs"/>
    <x v="0"/>
    <n v="1000"/>
    <n v="384.79"/>
    <n v="1572.55"/>
    <n v="2025.3"/>
    <n v="1452.24"/>
    <n v="300.92"/>
    <n v="911.24"/>
    <n v="968.3"/>
    <n v="392.64"/>
    <n v="1837.21"/>
    <n v="840.68"/>
    <n v="499.69"/>
    <n v="462.99"/>
    <n v="11648.550000000001"/>
    <n v="36.699999999999989"/>
  </r>
  <r>
    <x v="5"/>
    <x v="8"/>
    <x v="0"/>
    <s v="4600104"/>
    <n v="700026"/>
    <s v="Salaries-RN-Other"/>
    <s v="Gastro Intestinal (GI) Svcs"/>
    <x v="0"/>
    <n v="2000"/>
    <n v="59.63"/>
    <n v="173.74"/>
    <n v="228.88"/>
    <n v="188.45"/>
    <n v="227.22"/>
    <n v="213.26"/>
    <n v="174.23"/>
    <n v="80.02"/>
    <n v="306.99"/>
    <n v="92.78"/>
    <n v="174.21"/>
    <n v="201.36"/>
    <n v="2120.77"/>
    <n v="-27.150000000000006"/>
  </r>
  <r>
    <x v="5"/>
    <x v="8"/>
    <x v="0"/>
    <s v="4600104"/>
    <n v="700030"/>
    <s v="Salaries-LPN-Productive"/>
    <s v="Gastro Intestinal (GI) Svcs"/>
    <x v="0"/>
    <m/>
    <n v="583.85"/>
    <n v="992.56"/>
    <n v="556.98"/>
    <n v="573.32000000000005"/>
    <n v="847.95"/>
    <n v="113.09"/>
    <n v="428.63"/>
    <n v="1036.6600000000001"/>
    <n v="133.43"/>
    <n v="147.84"/>
    <n v="558.79"/>
    <n v="1048.45"/>
    <n v="7021.55"/>
    <n v="-489.66000000000008"/>
  </r>
  <r>
    <x v="5"/>
    <x v="8"/>
    <x v="0"/>
    <s v="4600104"/>
    <n v="700030"/>
    <s v="Salaries-LPN-OT"/>
    <s v="Gastro Intestinal (GI) Svcs"/>
    <x v="0"/>
    <n v="1000"/>
    <n v="12.77"/>
    <n v="0"/>
    <n v="0"/>
    <n v="25.43"/>
    <n v="0"/>
    <n v="90.44"/>
    <n v="39.11"/>
    <n v="83.92"/>
    <n v="-18.670000000000002"/>
    <n v="0"/>
    <n v="49.63"/>
    <n v="-23.89"/>
    <n v="258.74"/>
    <n v="73.52000000000001"/>
  </r>
  <r>
    <x v="5"/>
    <x v="8"/>
    <x v="0"/>
    <s v="4600104"/>
    <n v="700030"/>
    <s v="Salaries-LPN-Other"/>
    <s v="Gastro Intestinal (GI) Svcs"/>
    <x v="0"/>
    <n v="2000"/>
    <n v="14.38"/>
    <n v="-1.44"/>
    <n v="5.63"/>
    <n v="14.36"/>
    <n v="0"/>
    <n v="0"/>
    <n v="5.64"/>
    <n v="0"/>
    <n v="15.03"/>
    <n v="-5.46"/>
    <n v="0"/>
    <n v="6.76"/>
    <n v="54.9"/>
    <n v="-6.76"/>
  </r>
  <r>
    <x v="5"/>
    <x v="8"/>
    <x v="0"/>
    <s v="4600104"/>
    <n v="700032"/>
    <s v="Salaries-Other Pat Care Providers-Productive"/>
    <s v="Gastro Intestinal (GI) Svcs"/>
    <x v="0"/>
    <m/>
    <n v="878.05"/>
    <n v="1591.58"/>
    <n v="1062.83"/>
    <n v="2288.35"/>
    <n v="1496.88"/>
    <n v="1889.27"/>
    <n v="1772.73"/>
    <n v="870.68"/>
    <n v="1447.22"/>
    <n v="1649.91"/>
    <n v="1425.52"/>
    <n v="771.13"/>
    <n v="17144.149999999998"/>
    <n v="654.39"/>
  </r>
  <r>
    <x v="5"/>
    <x v="8"/>
    <x v="0"/>
    <s v="4600104"/>
    <n v="700032"/>
    <s v="Salaries-Other Pat Care Providers-OT"/>
    <s v="Gastro Intestinal (GI) Svcs"/>
    <x v="0"/>
    <n v="1000"/>
    <n v="68.510000000000005"/>
    <n v="17.11"/>
    <n v="40.090000000000003"/>
    <n v="17.37"/>
    <n v="0"/>
    <n v="208.24"/>
    <n v="-2.93"/>
    <n v="38.770000000000003"/>
    <n v="125.95"/>
    <n v="-46.77"/>
    <n v="53.98"/>
    <n v="-6.99"/>
    <n v="513.33000000000004"/>
    <n v="60.97"/>
  </r>
  <r>
    <x v="5"/>
    <x v="8"/>
    <x v="0"/>
    <s v="4600104"/>
    <n v="700032"/>
    <s v="Salaries-Other Pat Care Providers-Other"/>
    <s v="Gastro Intestinal (GI) Svcs"/>
    <x v="0"/>
    <n v="2000"/>
    <n v="0"/>
    <n v="0"/>
    <n v="12.6"/>
    <n v="53.49"/>
    <n v="32.19"/>
    <n v="37.729999999999997"/>
    <n v="46.86"/>
    <n v="14.29"/>
    <n v="15.12"/>
    <n v="32.950000000000003"/>
    <n v="-8.3699999999999992"/>
    <n v="13.69"/>
    <n v="250.55"/>
    <n v="-22.06"/>
  </r>
  <r>
    <x v="5"/>
    <x v="8"/>
    <x v="0"/>
    <s v="4600104"/>
    <n v="700066"/>
    <s v="Salaries-RN-NonProd-Other"/>
    <s v="Gastro Intestinal (GI) Svcs"/>
    <x v="0"/>
    <n v="2000"/>
    <n v="82.9"/>
    <n v="4.5"/>
    <n v="0"/>
    <n v="7.88"/>
    <n v="33.659999999999997"/>
    <n v="184.25"/>
    <n v="114.52"/>
    <n v="64.64"/>
    <n v="-1.55"/>
    <n v="11.61"/>
    <n v="0"/>
    <n v="0"/>
    <n v="502.40999999999997"/>
    <n v="0"/>
  </r>
  <r>
    <x v="5"/>
    <x v="8"/>
    <x v="0"/>
    <s v="4600104"/>
    <n v="700072"/>
    <s v="Salaries-Other Pat Care Providers-NonProd-Other"/>
    <s v="Gastro Intestinal (GI) Svcs"/>
    <x v="0"/>
    <n v="2000"/>
    <n v="0"/>
    <n v="0"/>
    <n v="0"/>
    <n v="0"/>
    <n v="21.04"/>
    <n v="46.3"/>
    <n v="-2.09"/>
    <n v="29.94"/>
    <n v="-7.87"/>
    <n v="0"/>
    <n v="0"/>
    <n v="37.229999999999997"/>
    <n v="124.54999999999998"/>
    <n v="-37.229999999999997"/>
  </r>
  <r>
    <x v="6"/>
    <x v="8"/>
    <x v="0"/>
    <s v="4600104"/>
    <n v="713010"/>
    <s v="Benefits-FICA/Medicare"/>
    <s v="Gastro Intestinal (GI) Svcs"/>
    <x v="0"/>
    <m/>
    <n v="539.58000000000004"/>
    <n v="1074.6600000000001"/>
    <n v="1133.5999999999999"/>
    <n v="1034.8800000000001"/>
    <n v="806.64"/>
    <n v="938.65"/>
    <n v="896.95"/>
    <n v="772.26"/>
    <n v="1060.47"/>
    <n v="670.61"/>
    <n v="603.69000000000005"/>
    <n v="1057.96"/>
    <n v="10589.95"/>
    <n v="-454.27"/>
  </r>
  <r>
    <x v="6"/>
    <x v="8"/>
    <x v="0"/>
    <s v="4600104"/>
    <n v="713090"/>
    <s v="Benefits-Allocated Amounts"/>
    <s v="Gastro Intestinal (GI) Svcs"/>
    <x v="0"/>
    <m/>
    <n v="1320.51"/>
    <n v="2391.4899999999998"/>
    <n v="2135.3000000000002"/>
    <n v="2314.64"/>
    <n v="1610.87"/>
    <n v="1856.49"/>
    <n v="1990.93"/>
    <n v="1978.27"/>
    <n v="2133.39"/>
    <n v="1679.84"/>
    <n v="1510.02"/>
    <n v="2609.02"/>
    <n v="23530.770000000004"/>
    <n v="-1099"/>
  </r>
  <r>
    <x v="17"/>
    <x v="8"/>
    <x v="0"/>
    <s v="4600104"/>
    <n v="714530"/>
    <s v="Medical Prof Fees-Intracompany"/>
    <s v="Gastro Intestinal (GI) Svcs"/>
    <x v="0"/>
    <m/>
    <n v="0"/>
    <n v="0"/>
    <n v="0"/>
    <n v="0"/>
    <n v="0"/>
    <n v="0"/>
    <n v="0"/>
    <n v="0"/>
    <n v="0"/>
    <n v="0"/>
    <n v="0"/>
    <n v="53624.04"/>
    <n v="53624.04"/>
    <n v="-53624.04"/>
  </r>
  <r>
    <x v="7"/>
    <x v="8"/>
    <x v="0"/>
    <s v="4600104"/>
    <n v="718050"/>
    <s v="Contract Management--Linen"/>
    <s v="Gastro Intestinal (GI) Svcs"/>
    <x v="0"/>
    <n v="1026"/>
    <n v="0"/>
    <n v="0"/>
    <n v="0"/>
    <n v="0"/>
    <n v="0"/>
    <n v="0"/>
    <n v="33.89"/>
    <n v="4.96"/>
    <n v="16.57"/>
    <n v="32.94"/>
    <n v="21.08"/>
    <n v="20.57"/>
    <n v="130.01"/>
    <n v="0.50999999999999801"/>
  </r>
  <r>
    <x v="7"/>
    <x v="8"/>
    <x v="0"/>
    <s v="4600104"/>
    <n v="718070"/>
    <s v="Contract Srvcs-CHI Clinical Engineering"/>
    <s v="Gastro Intestinal (GI) Svcs"/>
    <x v="0"/>
    <m/>
    <n v="1780.63"/>
    <n v="1810.21"/>
    <n v="1810.21"/>
    <n v="1810.21"/>
    <n v="1731.61"/>
    <n v="1731.61"/>
    <n v="1731.61"/>
    <n v="1731.61"/>
    <n v="1732.57"/>
    <n v="1732.57"/>
    <n v="1732.57"/>
    <n v="1732.57"/>
    <n v="21067.980000000003"/>
    <n v="0"/>
  </r>
  <r>
    <x v="7"/>
    <x v="8"/>
    <x v="0"/>
    <s v="4600104"/>
    <n v="718091"/>
    <s v="Contract Services-Intracompany Allocation"/>
    <s v="Gastro Intestinal (GI) Svcs"/>
    <x v="0"/>
    <m/>
    <n v="716.88"/>
    <n v="789.56"/>
    <n v="708.57"/>
    <n v="780.02"/>
    <n v="638.41999999999996"/>
    <n v="672.59"/>
    <n v="720.81"/>
    <n v="669.38"/>
    <n v="725.42"/>
    <n v="720.5"/>
    <n v="682.77"/>
    <n v="747.39"/>
    <n v="8572.31"/>
    <n v="-64.62"/>
  </r>
  <r>
    <x v="11"/>
    <x v="8"/>
    <x v="0"/>
    <s v="4600104"/>
    <n v="721010"/>
    <s v="Supplies-Medical - Billable"/>
    <s v="Gastro Intestinal (GI) Svcs"/>
    <x v="0"/>
    <m/>
    <n v="253.94"/>
    <n v="87.78"/>
    <n v="145"/>
    <n v="292.33999999999997"/>
    <n v="581.26"/>
    <n v="315.69"/>
    <n v="664.29"/>
    <n v="-12.17"/>
    <n v="458.9"/>
    <n v="368.92"/>
    <n v="385.44"/>
    <n v="411.48"/>
    <n v="3952.8700000000003"/>
    <n v="-26.04000000000002"/>
  </r>
  <r>
    <x v="11"/>
    <x v="8"/>
    <x v="0"/>
    <s v="4600104"/>
    <n v="721010"/>
    <s v="Patient Monitoring"/>
    <s v="Gastro Intestinal (GI) Svcs"/>
    <x v="0"/>
    <n v="1000"/>
    <n v="8.81"/>
    <n v="11.02"/>
    <n v="7.93"/>
    <n v="136.16"/>
    <n v="4.41"/>
    <n v="8.82"/>
    <n v="118.47"/>
    <n v="8.82"/>
    <n v="8.81"/>
    <n v="0"/>
    <n v="129.93"/>
    <n v="5.73"/>
    <n v="448.91"/>
    <n v="124.2"/>
  </r>
  <r>
    <x v="11"/>
    <x v="8"/>
    <x v="0"/>
    <s v="4600104"/>
    <n v="721020"/>
    <s v="Supplies-Surgical - Billable"/>
    <s v="Gastro Intestinal (GI) Svcs"/>
    <x v="0"/>
    <m/>
    <n v="553.35"/>
    <n v="3201.7"/>
    <n v="2266.54"/>
    <n v="2198.65"/>
    <n v="542.58000000000004"/>
    <n v="894.6"/>
    <n v="1460.71"/>
    <n v="1569.14"/>
    <n v="656.72"/>
    <n v="1521.13"/>
    <n v="1728.3"/>
    <n v="1230.6500000000001"/>
    <n v="17824.07"/>
    <n v="497.64999999999986"/>
  </r>
  <r>
    <x v="11"/>
    <x v="8"/>
    <x v="0"/>
    <s v="4600104"/>
    <n v="721020"/>
    <s v="Endomechanical Supplies &amp; Instruments"/>
    <s v="Gastro Intestinal (GI) Svcs"/>
    <x v="0"/>
    <n v="1003"/>
    <n v="2023.92"/>
    <n v="931.59"/>
    <n v="600.1"/>
    <n v="2007.35"/>
    <n v="1353.76"/>
    <n v="166.71"/>
    <n v="2767.61"/>
    <n v="731.44"/>
    <n v="829.6"/>
    <n v="1160.1099999999999"/>
    <n v="403.21"/>
    <n v="2487.36"/>
    <n v="15462.760000000002"/>
    <n v="-2084.15"/>
  </r>
  <r>
    <x v="11"/>
    <x v="8"/>
    <x v="0"/>
    <s v="4600104"/>
    <n v="721020"/>
    <s v="Urological Supplies"/>
    <s v="Gastro Intestinal (GI) Svcs"/>
    <x v="0"/>
    <n v="1006"/>
    <n v="112.84"/>
    <n v="56.42"/>
    <n v="-8.84"/>
    <n v="613.63"/>
    <n v="212.42"/>
    <n v="203.58"/>
    <n v="260"/>
    <n v="358.05"/>
    <n v="1207.29"/>
    <n v="995.31"/>
    <n v="29.9"/>
    <n v="468"/>
    <n v="4508.6000000000004"/>
    <n v="-438.1"/>
  </r>
  <r>
    <x v="11"/>
    <x v="8"/>
    <x v="0"/>
    <s v="4600104"/>
    <n v="721020"/>
    <s v="Tubes Drains &amp; Related Supplies"/>
    <s v="Gastro Intestinal (GI) Svcs"/>
    <x v="0"/>
    <n v="1008"/>
    <n v="1027.2"/>
    <n v="118.8"/>
    <n v="602"/>
    <n v="135"/>
    <n v="1442"/>
    <n v="122.4"/>
    <n v="1260"/>
    <n v="0"/>
    <n v="317"/>
    <n v="0"/>
    <n v="840"/>
    <n v="840"/>
    <n v="6704.4"/>
    <n v="0"/>
  </r>
  <r>
    <x v="11"/>
    <x v="8"/>
    <x v="0"/>
    <s v="4600104"/>
    <n v="721050"/>
    <s v="Supplies-Cardiac Rhythm - Billable"/>
    <s v="Gastro Intestinal (GI) Svcs"/>
    <x v="0"/>
    <m/>
    <n v="4382.13"/>
    <n v="5130.7299999999996"/>
    <n v="876.04"/>
    <n v="5108.22"/>
    <n v="5040.8900000000003"/>
    <n v="4711.47"/>
    <n v="553"/>
    <n v="941.05"/>
    <n v="274.68"/>
    <n v="1169.45"/>
    <n v="-16.95"/>
    <n v="4955.6499999999996"/>
    <n v="33126.36"/>
    <n v="-4972.5999999999995"/>
  </r>
  <r>
    <x v="11"/>
    <x v="8"/>
    <x v="0"/>
    <s v="4600104"/>
    <n v="721070"/>
    <s v="Peripheral Stents"/>
    <s v="Gastro Intestinal (GI) Svcs"/>
    <x v="0"/>
    <n v="1001"/>
    <n v="0"/>
    <n v="0"/>
    <n v="0"/>
    <n v="0"/>
    <n v="0"/>
    <n v="0"/>
    <n v="0"/>
    <n v="0"/>
    <n v="52"/>
    <n v="0"/>
    <n v="0"/>
    <n v="0"/>
    <n v="52"/>
    <n v="0"/>
  </r>
  <r>
    <x v="11"/>
    <x v="8"/>
    <x v="0"/>
    <s v="4600104"/>
    <n v="721240"/>
    <s v="Supplies-IV Solutions/Supplies - Billable"/>
    <s v="Gastro Intestinal (GI) Svcs"/>
    <x v="0"/>
    <m/>
    <n v="5.86"/>
    <n v="16.28"/>
    <n v="31.15"/>
    <n v="39.5"/>
    <n v="17.8"/>
    <n v="68.16"/>
    <n v="62.61"/>
    <n v="56.84"/>
    <n v="1.95"/>
    <n v="1.95"/>
    <n v="13.35"/>
    <n v="17.8"/>
    <n v="333.25000000000006"/>
    <n v="-4.4500000000000011"/>
  </r>
  <r>
    <x v="11"/>
    <x v="8"/>
    <x v="0"/>
    <s v="4600104"/>
    <n v="721250"/>
    <s v="Supplies-Pharmacy Drugs - Billable"/>
    <s v="Gastro Intestinal (GI) Svcs"/>
    <x v="0"/>
    <m/>
    <n v="0"/>
    <n v="27.2"/>
    <n v="27.2"/>
    <n v="27.2"/>
    <n v="27.2"/>
    <n v="40.799999999999997"/>
    <n v="27.2"/>
    <n v="0"/>
    <n v="27.2"/>
    <n v="7.7"/>
    <n v="0"/>
    <n v="27.2"/>
    <n v="238.89999999999995"/>
    <n v="-27.2"/>
  </r>
  <r>
    <x v="11"/>
    <x v="8"/>
    <x v="0"/>
    <s v="4600104"/>
    <n v="721410"/>
    <s v="Supplies-Medical - Nonbillable"/>
    <s v="Gastro Intestinal (GI) Svcs"/>
    <x v="0"/>
    <m/>
    <n v="455.88"/>
    <n v="872.28"/>
    <n v="909.29"/>
    <n v="984.9"/>
    <n v="650.99"/>
    <n v="704.96"/>
    <n v="824.73"/>
    <n v="552.53"/>
    <n v="750.56"/>
    <n v="4042.49"/>
    <n v="805.34"/>
    <n v="1007.01"/>
    <n v="12560.960000000001"/>
    <n v="-201.66999999999996"/>
  </r>
  <r>
    <x v="11"/>
    <x v="8"/>
    <x v="0"/>
    <s v="4600104"/>
    <n v="721410"/>
    <s v="Patient Monitoring"/>
    <s v="Gastro Intestinal (GI) Svcs"/>
    <x v="0"/>
    <n v="1000"/>
    <n v="0"/>
    <n v="0"/>
    <n v="0"/>
    <n v="0"/>
    <n v="0"/>
    <n v="147.32"/>
    <n v="0"/>
    <n v="0"/>
    <n v="0"/>
    <n v="0"/>
    <n v="79.430000000000007"/>
    <n v="0"/>
    <n v="226.75"/>
    <n v="79.430000000000007"/>
  </r>
  <r>
    <x v="11"/>
    <x v="8"/>
    <x v="0"/>
    <s v="4600104"/>
    <n v="721420"/>
    <s v="Supplies-Surgical Nonbillable"/>
    <s v="Gastro Intestinal (GI) Svcs"/>
    <x v="0"/>
    <m/>
    <n v="226.73"/>
    <n v="750.17"/>
    <n v="1567.7"/>
    <n v="2308.29"/>
    <n v="1029.5"/>
    <n v="4552.8900000000003"/>
    <n v="2400.63"/>
    <n v="1214.69"/>
    <n v="1135.3399999999999"/>
    <n v="1679.2"/>
    <n v="2313.1799999999998"/>
    <n v="1528.97"/>
    <n v="20707.29"/>
    <n v="784.20999999999981"/>
  </r>
  <r>
    <x v="11"/>
    <x v="8"/>
    <x v="0"/>
    <s v="4600104"/>
    <n v="721420"/>
    <s v="Tubes Drains &amp; Related Supplies"/>
    <s v="Gastro Intestinal (GI) Svcs"/>
    <x v="0"/>
    <n v="1008"/>
    <n v="18"/>
    <n v="15"/>
    <n v="24"/>
    <n v="21"/>
    <n v="27"/>
    <n v="18"/>
    <n v="27"/>
    <n v="18"/>
    <n v="18"/>
    <n v="12"/>
    <n v="24"/>
    <n v="21"/>
    <n v="243"/>
    <n v="3"/>
  </r>
  <r>
    <x v="11"/>
    <x v="8"/>
    <x v="0"/>
    <s v="4600104"/>
    <n v="721420"/>
    <s v="Sterilization Process Products"/>
    <s v="Gastro Intestinal (GI) Svcs"/>
    <x v="0"/>
    <n v="1009"/>
    <n v="1050.07"/>
    <n v="1501.37"/>
    <n v="1198.58"/>
    <n v="1604.1"/>
    <n v="994.07"/>
    <n v="1168.3900000000001"/>
    <n v="1300.0999999999999"/>
    <n v="515.36"/>
    <n v="1040.78"/>
    <n v="1067.1500000000001"/>
    <n v="664.11"/>
    <n v="1982.45"/>
    <n v="14086.53"/>
    <n v="-1318.3400000000001"/>
  </r>
  <r>
    <x v="11"/>
    <x v="8"/>
    <x v="0"/>
    <s v="4600104"/>
    <n v="721610"/>
    <s v="Supplies-Anesthesia - Nonbillable"/>
    <s v="Gastro Intestinal (GI) Svcs"/>
    <x v="0"/>
    <m/>
    <n v="481.13"/>
    <n v="32.82"/>
    <n v="268.92"/>
    <n v="33.26"/>
    <n v="18.899999999999999"/>
    <n v="18.62"/>
    <n v="198.58"/>
    <n v="13.83"/>
    <n v="10.64"/>
    <n v="10.64"/>
    <n v="17.3"/>
    <n v="17.559999999999999"/>
    <n v="1122.2"/>
    <n v="-0.25999999999999801"/>
  </r>
  <r>
    <x v="11"/>
    <x v="8"/>
    <x v="0"/>
    <s v="4600104"/>
    <n v="721640"/>
    <s v="Supplies-IV Solutions/Supplies - Nonbillable"/>
    <s v="Gastro Intestinal (GI) Svcs"/>
    <x v="0"/>
    <m/>
    <n v="71.86"/>
    <n v="58.4"/>
    <n v="107.25"/>
    <n v="108.17"/>
    <n v="85.99"/>
    <n v="104.39"/>
    <n v="61.53"/>
    <n v="60.01"/>
    <n v="63.99"/>
    <n v="37.07"/>
    <n v="48.16"/>
    <n v="89.12"/>
    <n v="895.94"/>
    <n v="-40.960000000000008"/>
  </r>
  <r>
    <x v="11"/>
    <x v="8"/>
    <x v="0"/>
    <s v="4600104"/>
    <n v="721650"/>
    <s v="Supplies-Pharmacy Drugs - Nonbillable"/>
    <s v="Gastro Intestinal (GI) Svcs"/>
    <x v="0"/>
    <m/>
    <n v="4.01"/>
    <n v="7.57"/>
    <n v="18.559999999999999"/>
    <n v="407"/>
    <n v="2.67"/>
    <n v="0"/>
    <n v="2"/>
    <n v="0"/>
    <n v="6.68"/>
    <n v="0"/>
    <n v="3.34"/>
    <n v="19.34"/>
    <n v="471.16999999999996"/>
    <n v="-16"/>
  </r>
  <r>
    <x v="11"/>
    <x v="8"/>
    <x v="0"/>
    <s v="4600104"/>
    <n v="721710"/>
    <s v="Supplies-Laboratory - Nonbillable"/>
    <s v="Gastro Intestinal (GI) Svcs"/>
    <x v="0"/>
    <m/>
    <n v="-6.23"/>
    <n v="0"/>
    <n v="20.239999999999998"/>
    <n v="11.12"/>
    <n v="0"/>
    <n v="6.63"/>
    <n v="17.64"/>
    <n v="17.64"/>
    <n v="0"/>
    <n v="0"/>
    <n v="0"/>
    <n v="6"/>
    <n v="73.039999999999992"/>
    <n v="-6"/>
  </r>
  <r>
    <x v="11"/>
    <x v="8"/>
    <x v="0"/>
    <s v="4600104"/>
    <n v="721830"/>
    <s v="Supplies-Office"/>
    <s v="Gastro Intestinal (GI) Svcs"/>
    <x v="0"/>
    <m/>
    <n v="0"/>
    <n v="0"/>
    <n v="30.08"/>
    <n v="0"/>
    <n v="17.3"/>
    <n v="0"/>
    <n v="34.6"/>
    <n v="17.600000000000001"/>
    <n v="28.16"/>
    <n v="0"/>
    <n v="0"/>
    <n v="0"/>
    <n v="127.73999999999998"/>
    <n v="0"/>
  </r>
  <r>
    <x v="11"/>
    <x v="8"/>
    <x v="0"/>
    <s v="4600104"/>
    <n v="721870"/>
    <s v="Supplies-Environmental Services"/>
    <s v="Gastro Intestinal (GI) Svcs"/>
    <x v="0"/>
    <m/>
    <n v="14.4"/>
    <n v="19.68"/>
    <n v="190.4"/>
    <n v="329.08"/>
    <n v="293.56"/>
    <n v="4.12"/>
    <n v="169.1"/>
    <n v="290.91000000000003"/>
    <n v="28.8"/>
    <n v="162.41"/>
    <n v="299.14999999999998"/>
    <n v="43.03"/>
    <n v="1844.64"/>
    <n v="256.12"/>
  </r>
  <r>
    <x v="11"/>
    <x v="8"/>
    <x v="0"/>
    <s v="4600104"/>
    <n v="721910"/>
    <s v="Supplies-Small Equipment"/>
    <s v="Gastro Intestinal (GI) Svcs"/>
    <x v="0"/>
    <m/>
    <n v="244.13"/>
    <n v="195.3"/>
    <n v="0"/>
    <n v="146.47999999999999"/>
    <n v="10.58"/>
    <n v="258.77999999999997"/>
    <n v="625.91999999999996"/>
    <n v="0"/>
    <n v="134.15"/>
    <n v="302.85000000000002"/>
    <n v="0"/>
    <n v="488.25"/>
    <n v="2406.44"/>
    <n v="-488.25"/>
  </r>
  <r>
    <x v="11"/>
    <x v="8"/>
    <x v="0"/>
    <s v="4600104"/>
    <n v="721910"/>
    <s v="Instruments"/>
    <s v="Gastro Intestinal (GI) Svcs"/>
    <x v="0"/>
    <n v="1000"/>
    <n v="53.55"/>
    <n v="3.67"/>
    <n v="53.55"/>
    <n v="0"/>
    <n v="226.45"/>
    <n v="0"/>
    <n v="0"/>
    <n v="160.65"/>
    <n v="166.78"/>
    <n v="53.55"/>
    <n v="201.6"/>
    <n v="217"/>
    <n v="1136.8"/>
    <n v="-15.400000000000006"/>
  </r>
  <r>
    <x v="11"/>
    <x v="8"/>
    <x v="0"/>
    <s v="4600104"/>
    <n v="721980"/>
    <s v="Supplies-Other"/>
    <s v="Gastro Intestinal (GI) Svcs"/>
    <x v="0"/>
    <m/>
    <n v="0"/>
    <n v="209.6"/>
    <n v="17.82"/>
    <n v="0"/>
    <n v="0"/>
    <n v="0"/>
    <n v="0"/>
    <n v="144.15"/>
    <n v="0"/>
    <n v="12.25"/>
    <n v="0"/>
    <n v="0"/>
    <n v="383.82"/>
    <n v="0"/>
  </r>
  <r>
    <x v="11"/>
    <x v="8"/>
    <x v="0"/>
    <s v="4600104"/>
    <n v="722000"/>
    <s v="Supplies-Freight Expense"/>
    <s v="Gastro Intestinal (GI) Svcs"/>
    <x v="0"/>
    <m/>
    <n v="-13.39"/>
    <n v="222.76"/>
    <n v="80.67"/>
    <n v="125.62"/>
    <n v="130.49"/>
    <n v="42.61"/>
    <n v="149.46"/>
    <n v="75.599999999999994"/>
    <n v="50.8"/>
    <n v="100.56"/>
    <n v="97.45"/>
    <n v="94.07"/>
    <n v="1156.7"/>
    <n v="3.3800000000000097"/>
  </r>
  <r>
    <x v="12"/>
    <x v="8"/>
    <x v="0"/>
    <s v="4600104"/>
    <n v="730020"/>
    <s v="Rental and Leases-Copier Usage Fees (DO NOT USE)"/>
    <s v="Gastro Intestinal (GI) Svcs"/>
    <x v="0"/>
    <n v="5100"/>
    <n v="44.51"/>
    <n v="44.93"/>
    <n v="44.72"/>
    <n v="44.72"/>
    <n v="44.72"/>
    <n v="44.72"/>
    <n v="336.35"/>
    <n v="67.989999999999995"/>
    <n v="67.849999999999994"/>
    <n v="68.13"/>
    <n v="67.989999999999995"/>
    <n v="67.989999999999995"/>
    <n v="944.62000000000012"/>
    <n v="0"/>
  </r>
  <r>
    <x v="16"/>
    <x v="8"/>
    <x v="0"/>
    <s v="4600104"/>
    <n v="732020"/>
    <s v="Repairs--Clin Equip-Parts-Internal to CHI Programs"/>
    <s v="Gastro Intestinal (GI) Svcs"/>
    <x v="0"/>
    <m/>
    <n v="0"/>
    <n v="0"/>
    <n v="0"/>
    <n v="0"/>
    <n v="0"/>
    <n v="0"/>
    <n v="0"/>
    <n v="0"/>
    <n v="30.36"/>
    <n v="21.91"/>
    <n v="0"/>
    <n v="0"/>
    <n v="52.269999999999996"/>
    <n v="0"/>
  </r>
  <r>
    <x v="13"/>
    <x v="8"/>
    <x v="0"/>
    <s v="4600104"/>
    <n v="735070"/>
    <s v="Depreciation-Movable Equipment"/>
    <s v="Gastro Intestinal (GI) Svcs"/>
    <x v="0"/>
    <m/>
    <n v="14247.94"/>
    <n v="14247.95"/>
    <n v="14247.94"/>
    <n v="14463.97"/>
    <n v="14463.88"/>
    <n v="14463.97"/>
    <n v="14463.89"/>
    <n v="14463.96"/>
    <n v="14463.9"/>
    <n v="11649.76"/>
    <n v="11649.82"/>
    <n v="11649.76"/>
    <n v="164476.74000000002"/>
    <n v="5.9999999999490683E-2"/>
  </r>
  <r>
    <x v="0"/>
    <x v="8"/>
    <x v="0"/>
    <s v="4600104"/>
    <n v="749510"/>
    <s v="RICE Rewards"/>
    <s v="Gastro Intestinal (GI) Svcs"/>
    <x v="0"/>
    <n v="5100"/>
    <n v="0"/>
    <n v="0"/>
    <n v="0"/>
    <n v="0"/>
    <n v="0"/>
    <n v="0"/>
    <n v="0"/>
    <n v="0"/>
    <n v="0"/>
    <n v="0"/>
    <n v="59"/>
    <n v="0"/>
    <n v="59"/>
    <n v="59"/>
  </r>
  <r>
    <x v="18"/>
    <x v="5"/>
    <x v="0"/>
    <s v="4600106"/>
    <n v="400010"/>
    <s v="Acute I/P Svcs Rev--Medicare"/>
    <s v="Endoscopy"/>
    <x v="0"/>
    <n v="1100"/>
    <n v="-78443.33"/>
    <n v="-106603.9"/>
    <n v="-96984.01"/>
    <n v="-80490.100000000006"/>
    <n v="-32952.639999999999"/>
    <n v="-118718.11"/>
    <n v="-116272.78"/>
    <n v="-138996.82"/>
    <n v="-111836.91"/>
    <n v="-135789.39000000001"/>
    <n v="-52534.59"/>
    <n v="-121950.15"/>
    <n v="-1191572.73"/>
    <n v="69415.56"/>
  </r>
  <r>
    <x v="18"/>
    <x v="5"/>
    <x v="0"/>
    <s v="4600106"/>
    <n v="400010"/>
    <s v="Acute I/P Svcs Rev--Medicaid"/>
    <s v="Endoscopy"/>
    <x v="0"/>
    <n v="1200"/>
    <n v="-33937.5"/>
    <n v="-28679.16"/>
    <n v="-16259.36"/>
    <n v="-25611.64"/>
    <n v="-18336.75"/>
    <n v="-29681.35"/>
    <n v="-31226.46"/>
    <n v="-18671.53"/>
    <n v="-33293.72"/>
    <n v="-35203.51"/>
    <n v="-40956.129999999997"/>
    <n v="-65928.42"/>
    <n v="-377785.52999999997"/>
    <n v="24972.29"/>
  </r>
  <r>
    <x v="18"/>
    <x v="5"/>
    <x v="0"/>
    <s v="4600106"/>
    <n v="400010"/>
    <s v="Acute I/P Svcs Rev--Comm Insurance"/>
    <s v="Endoscopy"/>
    <x v="0"/>
    <n v="1300"/>
    <n v="-7197.39"/>
    <n v="-4925.1000000000004"/>
    <n v="2077.2199999999998"/>
    <n v="0"/>
    <n v="0"/>
    <n v="0"/>
    <n v="-5280.67"/>
    <n v="-8020.75"/>
    <n v="982.8"/>
    <n v="0"/>
    <n v="-5888.28"/>
    <n v="0"/>
    <n v="-28252.170000000002"/>
    <n v="-5888.28"/>
  </r>
  <r>
    <x v="18"/>
    <x v="5"/>
    <x v="0"/>
    <s v="4600106"/>
    <n v="400010"/>
    <s v="Acute I/P Svcs Rev--BCBS Comm"/>
    <s v="Endoscopy"/>
    <x v="0"/>
    <n v="1301"/>
    <n v="0"/>
    <n v="0"/>
    <n v="-4137.37"/>
    <n v="-8057.55"/>
    <n v="-3920.18"/>
    <n v="-11778.29"/>
    <n v="-15032.6"/>
    <n v="-13295.96"/>
    <n v="-12842.87"/>
    <n v="-4023.52"/>
    <n v="-31346.47"/>
    <n v="-7575.74"/>
    <n v="-112010.55"/>
    <n v="-23770.730000000003"/>
  </r>
  <r>
    <x v="18"/>
    <x v="5"/>
    <x v="0"/>
    <s v="4600106"/>
    <n v="400010"/>
    <s v="Acute I/P Svcs Rev--Managed Care"/>
    <s v="Endoscopy"/>
    <x v="0"/>
    <n v="1400"/>
    <n v="-13472.56"/>
    <n v="-22903.1"/>
    <n v="-35647.5"/>
    <n v="-1576.14"/>
    <n v="-38115.879999999997"/>
    <n v="-27463.86"/>
    <n v="-20448.599999999999"/>
    <n v="-42555.28"/>
    <n v="-11673.16"/>
    <n v="-25931.119999999999"/>
    <n v="-48477.81"/>
    <n v="-10483.48"/>
    <n v="-298748.49"/>
    <n v="-37994.33"/>
  </r>
  <r>
    <x v="18"/>
    <x v="5"/>
    <x v="0"/>
    <s v="4600106"/>
    <n v="400010"/>
    <s v="Acute I/P Svcs Rev--Self Pay"/>
    <s v="Endoscopy"/>
    <x v="0"/>
    <n v="1500"/>
    <n v="-4137.37"/>
    <n v="-10769.1"/>
    <n v="-16657.91"/>
    <n v="-11036.09"/>
    <n v="-6251.18"/>
    <n v="-7387.06"/>
    <n v="-7441.88"/>
    <n v="-6743.37"/>
    <n v="-10959.44"/>
    <n v="-6959.96"/>
    <n v="-5888.28"/>
    <n v="-7537.67"/>
    <n v="-101769.31"/>
    <n v="1649.3900000000003"/>
  </r>
  <r>
    <x v="18"/>
    <x v="5"/>
    <x v="0"/>
    <s v="4600106"/>
    <n v="400010"/>
    <s v="Acute I/P Svcs Rev--Other"/>
    <s v="Endoscopy"/>
    <x v="0"/>
    <n v="1700"/>
    <n v="982.8"/>
    <n v="-3170.89"/>
    <n v="0"/>
    <n v="-5909.33"/>
    <n v="0"/>
    <n v="0"/>
    <n v="-1083.54"/>
    <n v="0"/>
    <n v="0"/>
    <n v="-13128.12"/>
    <n v="-5888.28"/>
    <n v="-9365.07"/>
    <n v="-37562.43"/>
    <n v="3476.79"/>
  </r>
  <r>
    <x v="19"/>
    <x v="5"/>
    <x v="0"/>
    <s v="4600106"/>
    <n v="400020"/>
    <s v="O/P Care Svcs Rev--Medicare"/>
    <s v="Endoscopy"/>
    <x v="0"/>
    <n v="1100"/>
    <n v="-418581.02"/>
    <n v="-658492.93000000005"/>
    <n v="-409055.02"/>
    <n v="-661937.39"/>
    <n v="-511993.36"/>
    <n v="-643778.13"/>
    <n v="-822897.64"/>
    <n v="-592165.4"/>
    <n v="-843620.96"/>
    <n v="-915489.65"/>
    <n v="-973948.52"/>
    <n v="-883943.55"/>
    <n v="-8335903.5700000012"/>
    <n v="-90004.969999999972"/>
  </r>
  <r>
    <x v="19"/>
    <x v="5"/>
    <x v="0"/>
    <s v="4600106"/>
    <n v="400020"/>
    <s v="O/P Care Svcs Rev--Medicaid"/>
    <s v="Endoscopy"/>
    <x v="0"/>
    <n v="1200"/>
    <n v="-267560.96000000002"/>
    <n v="-305521.52"/>
    <n v="-225218.8"/>
    <n v="-326927.49"/>
    <n v="-198034.32"/>
    <n v="-251498.81"/>
    <n v="-454127.16"/>
    <n v="-357510.39"/>
    <n v="-495918.18"/>
    <n v="-414571.53"/>
    <n v="-426537.6"/>
    <n v="-257980.36"/>
    <n v="-3981407.12"/>
    <n v="-168557.24"/>
  </r>
  <r>
    <x v="19"/>
    <x v="5"/>
    <x v="0"/>
    <s v="4600106"/>
    <n v="400020"/>
    <s v="O/P Care Svcs Rev--Comm Insurance"/>
    <s v="Endoscopy"/>
    <x v="0"/>
    <n v="1300"/>
    <n v="-34451.589999999997"/>
    <n v="-23235.77"/>
    <n v="-35499.96"/>
    <n v="-26380.09"/>
    <n v="-39067.279999999999"/>
    <n v="-43556.37"/>
    <n v="-48829.62"/>
    <n v="-80094.759999999995"/>
    <n v="-83744.600000000006"/>
    <n v="-59581.21"/>
    <n v="-68465.11"/>
    <n v="-99795.67"/>
    <n v="-642702.03000000014"/>
    <n v="31330.559999999998"/>
  </r>
  <r>
    <x v="19"/>
    <x v="5"/>
    <x v="0"/>
    <s v="4600106"/>
    <n v="400020"/>
    <s v="O/P Care Svcs Rev--BCBS Comm"/>
    <s v="Endoscopy"/>
    <x v="0"/>
    <n v="1301"/>
    <n v="-190655.46"/>
    <n v="-144260.82999999999"/>
    <n v="-129267.6"/>
    <n v="-225160.79"/>
    <n v="-163989.76999999999"/>
    <n v="-219298.31"/>
    <n v="-241125.71"/>
    <n v="-206030.73"/>
    <n v="-274429.92"/>
    <n v="-199995.28"/>
    <n v="-239176.86"/>
    <n v="-274304.15999999997"/>
    <n v="-2507695.42"/>
    <n v="35127.299999999988"/>
  </r>
  <r>
    <x v="19"/>
    <x v="5"/>
    <x v="0"/>
    <s v="4600106"/>
    <n v="400020"/>
    <s v="O/P Care Svcs Rev--Managed Care"/>
    <s v="Endoscopy"/>
    <x v="0"/>
    <n v="1400"/>
    <n v="-487969.45"/>
    <n v="-536695.63"/>
    <n v="-488899.01"/>
    <n v="-701914.5"/>
    <n v="-625492.61"/>
    <n v="-732227.42"/>
    <n v="-709516.02"/>
    <n v="-610822.9"/>
    <n v="-696127.48"/>
    <n v="-725591.99"/>
    <n v="-811652.88"/>
    <n v="-758404.61"/>
    <n v="-7885314.5"/>
    <n v="-53248.270000000019"/>
  </r>
  <r>
    <x v="19"/>
    <x v="5"/>
    <x v="0"/>
    <s v="4600106"/>
    <n v="400020"/>
    <s v="O/P Care Svcs Rev--Self Pay"/>
    <s v="Endoscopy"/>
    <x v="0"/>
    <n v="1500"/>
    <n v="-21870.97"/>
    <n v="-40035.11"/>
    <n v="-15892.42"/>
    <n v="-4239.8999999999996"/>
    <n v="-8764.65"/>
    <n v="-33288.400000000001"/>
    <n v="-28450.31"/>
    <n v="-15656.59"/>
    <n v="-18.52"/>
    <n v="-6084.15"/>
    <n v="-25370.75"/>
    <n v="-21014.36"/>
    <n v="-220686.12999999995"/>
    <n v="-4356.3899999999994"/>
  </r>
  <r>
    <x v="19"/>
    <x v="5"/>
    <x v="0"/>
    <s v="4600106"/>
    <n v="400020"/>
    <s v="O/P Care Svcs Rev--Other"/>
    <s v="Endoscopy"/>
    <x v="0"/>
    <n v="1700"/>
    <n v="-4172.1099999999997"/>
    <n v="-17869"/>
    <n v="-28650.81"/>
    <n v="-33306.32"/>
    <n v="-4496.4399999999996"/>
    <n v="-44190.81"/>
    <n v="-27212.91"/>
    <n v="-10813.51"/>
    <n v="-21302.84"/>
    <n v="-5150.68"/>
    <n v="-21685.83"/>
    <n v="-27566.48"/>
    <n v="-246417.74000000002"/>
    <n v="5880.6499999999978"/>
  </r>
  <r>
    <x v="14"/>
    <x v="5"/>
    <x v="0"/>
    <s v="4600106"/>
    <n v="600050"/>
    <s v="Miscellaneous Revenue"/>
    <s v="Endoscopy"/>
    <x v="0"/>
    <m/>
    <n v="0"/>
    <n v="0"/>
    <n v="0"/>
    <n v="-968.36"/>
    <n v="-467.68"/>
    <n v="0"/>
    <n v="0"/>
    <n v="0"/>
    <n v="0"/>
    <n v="0"/>
    <n v="0"/>
    <n v="0"/>
    <n v="-1436.04"/>
    <n v="0"/>
  </r>
  <r>
    <x v="14"/>
    <x v="5"/>
    <x v="0"/>
    <s v="4600106"/>
    <n v="600050"/>
    <s v="Misc.Revenue-Contract Services"/>
    <s v="Endoscopy"/>
    <x v="0"/>
    <n v="1017"/>
    <n v="-547.96"/>
    <n v="-632.6"/>
    <n v="-563.63"/>
    <n v="-806.02"/>
    <n v="0"/>
    <n v="0"/>
    <n v="-831.78"/>
    <n v="-1464.25"/>
    <n v="-2266.6"/>
    <n v="0"/>
    <n v="-8.07"/>
    <n v="0"/>
    <n v="-7120.91"/>
    <n v="-8.07"/>
  </r>
  <r>
    <x v="5"/>
    <x v="5"/>
    <x v="0"/>
    <s v="4600106"/>
    <n v="700014"/>
    <s v="Salaries-Management-Productive"/>
    <s v="Endoscopy"/>
    <x v="0"/>
    <m/>
    <n v="0"/>
    <n v="0"/>
    <n v="0"/>
    <n v="9172.7800000000007"/>
    <n v="11007.13"/>
    <n v="9246.35"/>
    <n v="10951.08"/>
    <n v="9590.5300000000007"/>
    <n v="11574.79"/>
    <n v="11160.28"/>
    <n v="11502.87"/>
    <n v="7829.63"/>
    <n v="92035.44"/>
    <n v="3673.2400000000007"/>
  </r>
  <r>
    <x v="5"/>
    <x v="5"/>
    <x v="0"/>
    <s v="4600106"/>
    <n v="700026"/>
    <s v="Salaries-RN-Productive"/>
    <s v="Endoscopy"/>
    <x v="0"/>
    <m/>
    <n v="14952.86"/>
    <n v="13611.89"/>
    <n v="19010.53"/>
    <n v="9095.16"/>
    <n v="13470.79"/>
    <n v="17651.96"/>
    <n v="14820.14"/>
    <n v="22850.34"/>
    <n v="26702.59"/>
    <n v="26799.25"/>
    <n v="21748.48"/>
    <n v="23344.01"/>
    <n v="224058.00000000003"/>
    <n v="-1595.5299999999988"/>
  </r>
  <r>
    <x v="5"/>
    <x v="5"/>
    <x v="0"/>
    <s v="4600106"/>
    <n v="700026"/>
    <s v="Salaries-RN-OT"/>
    <s v="Endoscopy"/>
    <x v="0"/>
    <n v="1000"/>
    <n v="578.17999999999995"/>
    <n v="219.75"/>
    <n v="376.36"/>
    <n v="618.89"/>
    <n v="544.66"/>
    <n v="484.41"/>
    <n v="929.62"/>
    <n v="950.7"/>
    <n v="398.53"/>
    <n v="989.84"/>
    <n v="1438.22"/>
    <n v="1186.23"/>
    <n v="8715.39"/>
    <n v="251.99"/>
  </r>
  <r>
    <x v="5"/>
    <x v="5"/>
    <x v="0"/>
    <s v="4600106"/>
    <n v="700026"/>
    <s v="Salaries-RN-Other"/>
    <s v="Endoscopy"/>
    <x v="0"/>
    <n v="2000"/>
    <n v="2822.71"/>
    <n v="3833.64"/>
    <n v="3094.24"/>
    <n v="2827.07"/>
    <n v="1908.09"/>
    <n v="3143.33"/>
    <n v="1904.67"/>
    <n v="3114.07"/>
    <n v="2313.36"/>
    <n v="4123.3599999999997"/>
    <n v="3336.41"/>
    <n v="2455.4"/>
    <n v="34876.35"/>
    <n v="881.00999999999976"/>
  </r>
  <r>
    <x v="5"/>
    <x v="5"/>
    <x v="0"/>
    <s v="4600106"/>
    <n v="700032"/>
    <s v="Salaries-Other Pat Care Providers-Productive"/>
    <s v="Endoscopy"/>
    <x v="0"/>
    <m/>
    <n v="13239.96"/>
    <n v="13485.06"/>
    <n v="15502.24"/>
    <n v="19073.88"/>
    <n v="10841.71"/>
    <n v="9081.69"/>
    <n v="23364.41"/>
    <n v="18005.060000000001"/>
    <n v="18100.28"/>
    <n v="16793.47"/>
    <n v="12988.88"/>
    <n v="15357.42"/>
    <n v="185834.06000000003"/>
    <n v="-2368.5400000000009"/>
  </r>
  <r>
    <x v="5"/>
    <x v="5"/>
    <x v="0"/>
    <s v="4600106"/>
    <n v="700032"/>
    <s v="Salaries-Other Pat Care Providers-OT"/>
    <s v="Endoscopy"/>
    <x v="0"/>
    <n v="1000"/>
    <n v="1176.53"/>
    <n v="608.6"/>
    <n v="1081.54"/>
    <n v="2464.92"/>
    <n v="669.16"/>
    <n v="41.39"/>
    <n v="1724.74"/>
    <n v="-161.9"/>
    <n v="316.94"/>
    <n v="798.55"/>
    <n v="644.27"/>
    <n v="1304.6400000000001"/>
    <n v="10669.38"/>
    <n v="-660.37000000000012"/>
  </r>
  <r>
    <x v="5"/>
    <x v="5"/>
    <x v="0"/>
    <s v="4600106"/>
    <n v="700032"/>
    <s v="Salaries-Other Pat Care Providers-Other"/>
    <s v="Endoscopy"/>
    <x v="0"/>
    <n v="2000"/>
    <n v="2715.85"/>
    <n v="2557.9699999999998"/>
    <n v="2576.96"/>
    <n v="2937.5"/>
    <n v="2192.77"/>
    <n v="2722.77"/>
    <n v="4510.05"/>
    <n v="4330.7299999999996"/>
    <n v="4073.19"/>
    <n v="2547.0100000000002"/>
    <n v="2409.62"/>
    <n v="2594.8200000000002"/>
    <n v="36169.24"/>
    <n v="-185.20000000000027"/>
  </r>
  <r>
    <x v="5"/>
    <x v="5"/>
    <x v="0"/>
    <s v="4600106"/>
    <n v="700054"/>
    <s v="Salaries-Management-Non-productive"/>
    <s v="Endoscopy"/>
    <x v="0"/>
    <m/>
    <n v="0"/>
    <n v="0"/>
    <n v="0"/>
    <n v="0"/>
    <n v="0"/>
    <n v="2128.0700000000002"/>
    <n v="441.08"/>
    <n v="698.12"/>
    <n v="-183.69"/>
    <n v="0"/>
    <n v="0"/>
    <n v="3302.33"/>
    <n v="6385.91"/>
    <n v="-3302.33"/>
  </r>
  <r>
    <x v="5"/>
    <x v="5"/>
    <x v="0"/>
    <s v="4600106"/>
    <n v="700054"/>
    <s v="Salaries-Management-NonProd-Other"/>
    <s v="Endoscopy"/>
    <x v="0"/>
    <n v="2000"/>
    <n v="0"/>
    <n v="0"/>
    <n v="0"/>
    <n v="0"/>
    <n v="0"/>
    <n v="838.47"/>
    <n v="-838.47"/>
    <n v="0"/>
    <n v="0"/>
    <n v="0"/>
    <n v="0"/>
    <n v="0"/>
    <n v="0"/>
    <n v="0"/>
  </r>
  <r>
    <x v="5"/>
    <x v="5"/>
    <x v="0"/>
    <s v="4600106"/>
    <n v="700066"/>
    <s v="Salaries-RN-Non-productive"/>
    <s v="Endoscopy"/>
    <x v="0"/>
    <m/>
    <n v="611.41999999999996"/>
    <n v="1020.74"/>
    <n v="1774.66"/>
    <n v="4965.4399999999996"/>
    <n v="945.17"/>
    <n v="37.85"/>
    <n v="10035.86"/>
    <n v="2378.4899999999998"/>
    <n v="3451.67"/>
    <n v="2634.04"/>
    <n v="4329.74"/>
    <n v="3541.75"/>
    <n v="35726.829999999994"/>
    <n v="787.98999999999978"/>
  </r>
  <r>
    <x v="5"/>
    <x v="5"/>
    <x v="0"/>
    <s v="4600106"/>
    <n v="700066"/>
    <s v="Salaries-RN-NonProd-Other"/>
    <s v="Endoscopy"/>
    <x v="0"/>
    <n v="2000"/>
    <n v="152.9"/>
    <n v="211.43"/>
    <n v="441.88"/>
    <n v="129.93"/>
    <n v="49.26"/>
    <n v="779.3"/>
    <n v="133.01"/>
    <n v="579.51"/>
    <n v="879.77"/>
    <n v="257.33"/>
    <n v="83"/>
    <n v="387.59"/>
    <n v="4084.9100000000003"/>
    <n v="-304.58999999999997"/>
  </r>
  <r>
    <x v="5"/>
    <x v="5"/>
    <x v="0"/>
    <s v="4600106"/>
    <n v="700072"/>
    <s v="Salaries-Other Pat Care Providers-Non-productive"/>
    <s v="Endoscopy"/>
    <x v="0"/>
    <m/>
    <n v="1130.06"/>
    <n v="2343.0100000000002"/>
    <n v="1016.9"/>
    <n v="706.3"/>
    <n v="3443.62"/>
    <n v="4705.6400000000003"/>
    <n v="1627.46"/>
    <n v="5123.63"/>
    <n v="2712.07"/>
    <n v="1907.03"/>
    <n v="1698.2"/>
    <n v="345.23"/>
    <n v="26759.149999999998"/>
    <n v="1352.97"/>
  </r>
  <r>
    <x v="5"/>
    <x v="5"/>
    <x v="0"/>
    <s v="4600106"/>
    <n v="700072"/>
    <s v="Salaries-Other Pat Care Providers-NonProd-Other"/>
    <s v="Endoscopy"/>
    <x v="0"/>
    <n v="2000"/>
    <n v="242.27"/>
    <n v="200.09"/>
    <n v="192.79"/>
    <n v="373.83"/>
    <n v="118.76"/>
    <n v="627.48"/>
    <n v="416.59"/>
    <n v="721.68"/>
    <n v="713.8"/>
    <n v="155.47"/>
    <n v="71.08"/>
    <n v="224.85"/>
    <n v="4058.6899999999996"/>
    <n v="-153.76999999999998"/>
  </r>
  <r>
    <x v="5"/>
    <x v="5"/>
    <x v="0"/>
    <s v="4600106"/>
    <n v="700084"/>
    <s v="Accrued PTO"/>
    <s v="Endoscopy"/>
    <x v="0"/>
    <m/>
    <n v="1084.6199999999999"/>
    <n v="811.96"/>
    <n v="997.27"/>
    <n v="1546.62"/>
    <n v="140.12"/>
    <n v="518.85"/>
    <n v="-3695.28"/>
    <n v="241.76"/>
    <n v="1154.01"/>
    <n v="692.85"/>
    <n v="2722.25"/>
    <n v="-3554.79"/>
    <n v="2660.2399999999989"/>
    <n v="6277.04"/>
  </r>
  <r>
    <x v="10"/>
    <x v="5"/>
    <x v="0"/>
    <s v="4600106"/>
    <n v="710060"/>
    <s v="Contract Labor-Other"/>
    <s v="Endoscopy"/>
    <x v="0"/>
    <m/>
    <n v="43633.99"/>
    <n v="44668.14"/>
    <n v="20162.759999999998"/>
    <n v="49731.12"/>
    <n v="34850.85"/>
    <n v="33417.9"/>
    <n v="26903.51"/>
    <n v="10420.879999999999"/>
    <n v="0"/>
    <n v="2281.5"/>
    <n v="8402.6299999999992"/>
    <n v="3237.38"/>
    <n v="277710.66000000003"/>
    <n v="5165.2499999999991"/>
  </r>
  <r>
    <x v="10"/>
    <x v="5"/>
    <x v="0"/>
    <s v="4600106"/>
    <n v="710060"/>
    <s v="Contract Labor-Overtime"/>
    <s v="Endoscopy"/>
    <x v="0"/>
    <n v="5100"/>
    <n v="939.96"/>
    <n v="659.48"/>
    <n v="351"/>
    <n v="3562.84"/>
    <n v="1712.91"/>
    <n v="1370.59"/>
    <n v="2502.2199999999998"/>
    <n v="383.4"/>
    <n v="0"/>
    <n v="0"/>
    <n v="0"/>
    <n v="0"/>
    <n v="11482.4"/>
    <n v="0"/>
  </r>
  <r>
    <x v="10"/>
    <x v="5"/>
    <x v="0"/>
    <s v="4600106"/>
    <n v="710060"/>
    <s v="Contract Labor-Standby Wages"/>
    <s v="Endoscopy"/>
    <x v="0"/>
    <n v="5101"/>
    <n v="681.81"/>
    <n v="2114.19"/>
    <n v="416"/>
    <n v="1402"/>
    <n v="2228"/>
    <n v="574"/>
    <n v="348.75"/>
    <n v="1149.25"/>
    <n v="436"/>
    <n v="192"/>
    <n v="0"/>
    <n v="0"/>
    <n v="9542"/>
    <n v="0"/>
  </r>
  <r>
    <x v="6"/>
    <x v="5"/>
    <x v="0"/>
    <s v="4600106"/>
    <n v="713010"/>
    <s v="Benefits-FICA/Medicare"/>
    <s v="Endoscopy"/>
    <x v="0"/>
    <m/>
    <n v="2821.04"/>
    <n v="2876.56"/>
    <n v="3402.89"/>
    <n v="3939.52"/>
    <n v="3406.77"/>
    <n v="3868.1"/>
    <n v="5419.9"/>
    <n v="5128.32"/>
    <n v="5338.1"/>
    <n v="5122.9799999999996"/>
    <n v="4516.1099999999997"/>
    <n v="4643.79"/>
    <n v="50484.079999999994"/>
    <n v="-127.68000000000029"/>
  </r>
  <r>
    <x v="6"/>
    <x v="5"/>
    <x v="0"/>
    <s v="4600106"/>
    <n v="713090"/>
    <s v="Benefits-Allocated Amounts"/>
    <s v="Endoscopy"/>
    <x v="0"/>
    <m/>
    <n v="7711.51"/>
    <n v="7977.56"/>
    <n v="9076.11"/>
    <n v="10541.35"/>
    <n v="9370.49"/>
    <n v="9608.34"/>
    <n v="14940.12"/>
    <n v="14573.39"/>
    <n v="14062.15"/>
    <n v="14191.4"/>
    <n v="12479.16"/>
    <n v="12224.88"/>
    <n v="136756.46"/>
    <n v="254.28000000000065"/>
  </r>
  <r>
    <x v="17"/>
    <x v="5"/>
    <x v="0"/>
    <s v="4600106"/>
    <n v="714530"/>
    <s v="Medical Prof Fees-Intracompany"/>
    <s v="Endoscopy"/>
    <x v="0"/>
    <m/>
    <n v="0"/>
    <n v="0"/>
    <n v="0"/>
    <n v="0"/>
    <n v="0"/>
    <n v="0"/>
    <n v="0"/>
    <n v="0"/>
    <n v="0"/>
    <n v="0"/>
    <n v="0"/>
    <n v="428992.28"/>
    <n v="428992.28"/>
    <n v="-428992.28"/>
  </r>
  <r>
    <x v="7"/>
    <x v="5"/>
    <x v="0"/>
    <s v="4600106"/>
    <n v="718050"/>
    <s v="Miscellaneous Purchased Svcs"/>
    <s v="Endoscopy"/>
    <x v="0"/>
    <n v="1020"/>
    <n v="0"/>
    <n v="0"/>
    <n v="405"/>
    <n v="0"/>
    <n v="0"/>
    <n v="0"/>
    <n v="0"/>
    <n v="0"/>
    <n v="354.75"/>
    <n v="2178"/>
    <n v="0"/>
    <n v="0"/>
    <n v="2937.75"/>
    <n v="0"/>
  </r>
  <r>
    <x v="7"/>
    <x v="5"/>
    <x v="0"/>
    <s v="4600106"/>
    <n v="718050"/>
    <s v="Translation Services"/>
    <s v="Endoscopy"/>
    <x v="0"/>
    <n v="1025"/>
    <n v="208"/>
    <n v="204"/>
    <n v="134"/>
    <n v="519.5"/>
    <n v="-351.5"/>
    <n v="351.5"/>
    <n v="789"/>
    <n v="901.5"/>
    <n v="0"/>
    <n v="1385"/>
    <n v="0"/>
    <n v="321"/>
    <n v="4462"/>
    <n v="-321"/>
  </r>
  <r>
    <x v="7"/>
    <x v="5"/>
    <x v="0"/>
    <s v="4600106"/>
    <n v="718070"/>
    <s v="Contract Srvcs-CHI Clinical Engineering"/>
    <s v="Endoscopy"/>
    <x v="0"/>
    <m/>
    <n v="5094.74"/>
    <n v="5094.7299999999996"/>
    <n v="5225.91"/>
    <n v="4224.5"/>
    <n v="5094.7299999999996"/>
    <n v="5196.3900000000003"/>
    <n v="5196.41"/>
    <n v="5196.3999999999996"/>
    <n v="5196.3999999999996"/>
    <n v="5196.3999999999996"/>
    <n v="4825.68"/>
    <n v="4825.66"/>
    <n v="60367.95"/>
    <n v="2.0000000000436557E-2"/>
  </r>
  <r>
    <x v="7"/>
    <x v="5"/>
    <x v="0"/>
    <s v="4600106"/>
    <n v="718091"/>
    <s v="Contract Services-Intracompany Allocation"/>
    <s v="Endoscopy"/>
    <x v="0"/>
    <m/>
    <n v="2918.71"/>
    <n v="3214.65"/>
    <n v="2884.9"/>
    <n v="3175.79"/>
    <n v="2599.2800000000002"/>
    <n v="2738.39"/>
    <n v="2934.72"/>
    <n v="2725.35"/>
    <n v="2953.5"/>
    <n v="2933.44"/>
    <n v="2779.86"/>
    <n v="3042.96"/>
    <n v="34901.550000000003"/>
    <n v="-263.09999999999991"/>
  </r>
  <r>
    <x v="11"/>
    <x v="5"/>
    <x v="0"/>
    <s v="4600106"/>
    <n v="721010"/>
    <s v="Supplies-Medical - Billable"/>
    <s v="Endoscopy"/>
    <x v="0"/>
    <m/>
    <n v="248.34"/>
    <n v="247.2"/>
    <n v="141.97999999999999"/>
    <n v="247.2"/>
    <n v="1370.4"/>
    <n v="1201.8499999999999"/>
    <n v="128"/>
    <n v="1482.05"/>
    <n v="-63.42"/>
    <n v="149.27000000000001"/>
    <n v="3116.8"/>
    <n v="588.74"/>
    <n v="8858.41"/>
    <n v="2528.0600000000004"/>
  </r>
  <r>
    <x v="11"/>
    <x v="5"/>
    <x v="0"/>
    <s v="4600106"/>
    <n v="721010"/>
    <s v="Patient Monitoring"/>
    <s v="Endoscopy"/>
    <x v="0"/>
    <n v="1000"/>
    <n v="56.41"/>
    <n v="67.87"/>
    <n v="55.53"/>
    <n v="74.05"/>
    <n v="55.58"/>
    <n v="61.7"/>
    <n v="55.54"/>
    <n v="46.28"/>
    <n v="83.3"/>
    <n v="77.14"/>
    <n v="80.209999999999994"/>
    <n v="55.53"/>
    <n v="769.14"/>
    <n v="24.679999999999993"/>
  </r>
  <r>
    <x v="11"/>
    <x v="5"/>
    <x v="0"/>
    <s v="4600106"/>
    <n v="721020"/>
    <s v="Supplies-Surgical - Billable"/>
    <s v="Endoscopy"/>
    <x v="0"/>
    <m/>
    <n v="9864.99"/>
    <n v="10892.66"/>
    <n v="7769.73"/>
    <n v="14645.64"/>
    <n v="7492.47"/>
    <n v="8185.13"/>
    <n v="7759.74"/>
    <n v="7627.01"/>
    <n v="4257.9799999999996"/>
    <n v="7863.94"/>
    <n v="9822.32"/>
    <n v="4524.4799999999996"/>
    <n v="100706.08999999998"/>
    <n v="5297.84"/>
  </r>
  <r>
    <x v="11"/>
    <x v="5"/>
    <x v="0"/>
    <s v="4600106"/>
    <n v="721020"/>
    <s v="Endomechanical Supplies &amp; Instruments"/>
    <s v="Endoscopy"/>
    <x v="0"/>
    <n v="1003"/>
    <n v="6610.48"/>
    <n v="4394.37"/>
    <n v="8445.61"/>
    <n v="5516.74"/>
    <n v="4853.5600000000004"/>
    <n v="4080.18"/>
    <n v="8138.11"/>
    <n v="2578.79"/>
    <n v="6337.39"/>
    <n v="6507.85"/>
    <n v="4479.7700000000004"/>
    <n v="5723.95"/>
    <n v="67666.799999999988"/>
    <n v="-1244.1799999999994"/>
  </r>
  <r>
    <x v="11"/>
    <x v="5"/>
    <x v="0"/>
    <s v="4600106"/>
    <n v="721020"/>
    <s v="Urological Supplies"/>
    <s v="Endoscopy"/>
    <x v="0"/>
    <n v="1006"/>
    <n v="280.5"/>
    <n v="0"/>
    <n v="0"/>
    <n v="9.6"/>
    <n v="0"/>
    <n v="0"/>
    <n v="570.6"/>
    <n v="-39"/>
    <n v="40.32"/>
    <n v="9.6"/>
    <n v="0"/>
    <n v="9.6"/>
    <n v="881.22000000000014"/>
    <n v="-9.6"/>
  </r>
  <r>
    <x v="11"/>
    <x v="5"/>
    <x v="0"/>
    <s v="4600106"/>
    <n v="721020"/>
    <s v="Tubes Drains &amp; Related Supplies"/>
    <s v="Endoscopy"/>
    <x v="0"/>
    <n v="1008"/>
    <n v="304"/>
    <n v="0"/>
    <n v="1216"/>
    <n v="12.77"/>
    <n v="0"/>
    <n v="784"/>
    <n v="608"/>
    <n v="2172"/>
    <n v="1617.9"/>
    <n v="1009.08"/>
    <n v="0"/>
    <n v="70"/>
    <n v="7793.75"/>
    <n v="-70"/>
  </r>
  <r>
    <x v="11"/>
    <x v="5"/>
    <x v="0"/>
    <s v="4600106"/>
    <n v="721050"/>
    <s v="Supplies-Cardiac Rhythm - Billable"/>
    <s v="Endoscopy"/>
    <x v="0"/>
    <m/>
    <n v="10211.799999999999"/>
    <n v="10210"/>
    <n v="1266"/>
    <n v="14068.8"/>
    <n v="10730.38"/>
    <n v="16350.6"/>
    <n v="4529"/>
    <n v="14967.2"/>
    <n v="13839.4"/>
    <n v="24407.4"/>
    <n v="8638.6"/>
    <n v="16302.6"/>
    <n v="145521.78"/>
    <n v="-7664"/>
  </r>
  <r>
    <x v="11"/>
    <x v="5"/>
    <x v="0"/>
    <s v="4600106"/>
    <n v="721070"/>
    <s v="Peripheral Stents"/>
    <s v="Endoscopy"/>
    <x v="0"/>
    <n v="1001"/>
    <n v="389.4"/>
    <n v="448.8"/>
    <n v="-4.8"/>
    <n v="2250"/>
    <n v="224.4"/>
    <n v="224.4"/>
    <n v="561"/>
    <n v="112.2"/>
    <n v="112.2"/>
    <n v="224.4"/>
    <n v="336.6"/>
    <n v="0"/>
    <n v="4878.6000000000004"/>
    <n v="336.6"/>
  </r>
  <r>
    <x v="11"/>
    <x v="5"/>
    <x v="0"/>
    <s v="4600106"/>
    <n v="721150"/>
    <s v="Fracture Management"/>
    <s v="Endoscopy"/>
    <x v="0"/>
    <n v="1001"/>
    <n v="0"/>
    <n v="0"/>
    <n v="0"/>
    <n v="0"/>
    <n v="0"/>
    <n v="450"/>
    <n v="0"/>
    <n v="0"/>
    <n v="0"/>
    <n v="0"/>
    <n v="0"/>
    <n v="0"/>
    <n v="450"/>
    <n v="0"/>
  </r>
  <r>
    <x v="11"/>
    <x v="5"/>
    <x v="0"/>
    <s v="4600106"/>
    <n v="721240"/>
    <s v="Supplies-IV Solutions/Supplies - Billable"/>
    <s v="Endoscopy"/>
    <x v="0"/>
    <m/>
    <n v="357"/>
    <n v="942"/>
    <n v="351"/>
    <n v="1131"/>
    <n v="240"/>
    <n v="521.17999999999995"/>
    <n v="596.16"/>
    <n v="319.52"/>
    <n v="1123.5"/>
    <n v="207"/>
    <n v="1084.5"/>
    <n v="270"/>
    <n v="7142.8600000000006"/>
    <n v="814.5"/>
  </r>
  <r>
    <x v="11"/>
    <x v="5"/>
    <x v="0"/>
    <s v="4600106"/>
    <n v="721250"/>
    <s v="Supplies-Pharmacy Drugs - Billable"/>
    <s v="Endoscopy"/>
    <x v="0"/>
    <m/>
    <n v="0"/>
    <n v="87.76"/>
    <n v="130.35"/>
    <n v="87.76"/>
    <n v="86.47"/>
    <n v="127.94"/>
    <n v="0"/>
    <n v="87.92"/>
    <n v="261.16000000000003"/>
    <n v="43.96"/>
    <n v="0"/>
    <n v="87.92"/>
    <n v="1001.2399999999999"/>
    <n v="-87.92"/>
  </r>
  <r>
    <x v="11"/>
    <x v="5"/>
    <x v="0"/>
    <s v="4600106"/>
    <n v="721410"/>
    <s v="Supplies-Medical - Nonbillable"/>
    <s v="Endoscopy"/>
    <x v="0"/>
    <m/>
    <n v="2397.59"/>
    <n v="4305.13"/>
    <n v="3002.64"/>
    <n v="-1583.92"/>
    <n v="-6101.05"/>
    <n v="3988.75"/>
    <n v="3235.8"/>
    <n v="2577.7199999999998"/>
    <n v="3255.99"/>
    <n v="3525.02"/>
    <n v="2418.61"/>
    <n v="3415.29"/>
    <n v="24437.57"/>
    <n v="-996.67999999999984"/>
  </r>
  <r>
    <x v="11"/>
    <x v="5"/>
    <x v="0"/>
    <s v="4600106"/>
    <n v="721420"/>
    <s v="Supplies-Surgical Nonbillable"/>
    <s v="Endoscopy"/>
    <x v="0"/>
    <m/>
    <n v="4703.88"/>
    <n v="5995.32"/>
    <n v="2474"/>
    <n v="5630.08"/>
    <n v="5493.48"/>
    <n v="8055.81"/>
    <n v="11339.28"/>
    <n v="4376.8"/>
    <n v="4715.8100000000004"/>
    <n v="6261.27"/>
    <n v="5477.97"/>
    <n v="3976.04"/>
    <n v="68499.739999999991"/>
    <n v="1501.9300000000003"/>
  </r>
  <r>
    <x v="11"/>
    <x v="5"/>
    <x v="0"/>
    <s v="4600106"/>
    <n v="721420"/>
    <s v="Tubes Drains &amp; Related Supplies"/>
    <s v="Endoscopy"/>
    <x v="0"/>
    <n v="1008"/>
    <n v="104.27"/>
    <n v="50.43"/>
    <n v="0"/>
    <n v="0.71"/>
    <n v="13.76"/>
    <n v="13.76"/>
    <n v="0"/>
    <n v="109.15"/>
    <n v="27.14"/>
    <n v="-11.27"/>
    <n v="26.29"/>
    <n v="-147.53"/>
    <n v="186.71"/>
    <n v="173.82"/>
  </r>
  <r>
    <x v="11"/>
    <x v="5"/>
    <x v="0"/>
    <s v="4600106"/>
    <n v="721420"/>
    <s v="Sterilization Process Products"/>
    <s v="Endoscopy"/>
    <x v="0"/>
    <n v="1009"/>
    <n v="2946.72"/>
    <n v="3223.27"/>
    <n v="2742.45"/>
    <n v="3054.68"/>
    <n v="3948.96"/>
    <n v="3924.14"/>
    <n v="3942.8"/>
    <n v="2300.94"/>
    <n v="5428.54"/>
    <n v="6753.6"/>
    <n v="4104.0200000000004"/>
    <n v="4671.45"/>
    <n v="47041.569999999992"/>
    <n v="-567.42999999999938"/>
  </r>
  <r>
    <x v="11"/>
    <x v="5"/>
    <x v="0"/>
    <s v="4600106"/>
    <n v="721610"/>
    <s v="Supplies-Anesthesia - Nonbillable"/>
    <s v="Endoscopy"/>
    <x v="0"/>
    <m/>
    <n v="183.15"/>
    <n v="150.21"/>
    <n v="154.35"/>
    <n v="196.59"/>
    <n v="173.92"/>
    <n v="2247.89"/>
    <n v="5011.6499999999996"/>
    <n v="4652.95"/>
    <n v="6261.92"/>
    <n v="6428.3"/>
    <n v="4761.16"/>
    <n v="4610.2"/>
    <n v="34832.289999999994"/>
    <n v="150.96000000000004"/>
  </r>
  <r>
    <x v="11"/>
    <x v="5"/>
    <x v="0"/>
    <s v="4600106"/>
    <n v="721640"/>
    <s v="Supplies-IV Solutions/Supplies - Nonbillable"/>
    <s v="Endoscopy"/>
    <x v="0"/>
    <m/>
    <n v="2430.54"/>
    <n v="3387.82"/>
    <n v="1648.9"/>
    <n v="2630.23"/>
    <n v="3343.91"/>
    <n v="3392.46"/>
    <n v="953.11"/>
    <n v="735.51"/>
    <n v="1341.65"/>
    <n v="1256.7"/>
    <n v="841.35"/>
    <n v="948"/>
    <n v="22910.18"/>
    <n v="-106.64999999999998"/>
  </r>
  <r>
    <x v="11"/>
    <x v="5"/>
    <x v="0"/>
    <s v="4600106"/>
    <n v="721650"/>
    <s v="Supplies-Pharmacy Drugs - Nonbillable"/>
    <s v="Endoscopy"/>
    <x v="0"/>
    <m/>
    <n v="7.25"/>
    <n v="0"/>
    <n v="0"/>
    <n v="405"/>
    <n v="40.5"/>
    <n v="0"/>
    <n v="0"/>
    <n v="0"/>
    <n v="405"/>
    <n v="40.5"/>
    <n v="30.45"/>
    <n v="0"/>
    <n v="928.7"/>
    <n v="30.45"/>
  </r>
  <r>
    <x v="11"/>
    <x v="5"/>
    <x v="0"/>
    <s v="4600106"/>
    <n v="721710"/>
    <s v="Supplies-Laboratory - Nonbillable"/>
    <s v="Endoscopy"/>
    <x v="0"/>
    <m/>
    <n v="446.74"/>
    <n v="231.86"/>
    <n v="446.87"/>
    <n v="236.45"/>
    <n v="241.46"/>
    <n v="681.72"/>
    <n v="694.85"/>
    <n v="228.91"/>
    <n v="443.18"/>
    <n v="234.31"/>
    <n v="665.06"/>
    <n v="205.39"/>
    <n v="4756.8"/>
    <n v="459.66999999999996"/>
  </r>
  <r>
    <x v="11"/>
    <x v="5"/>
    <x v="0"/>
    <s v="4600106"/>
    <n v="721710"/>
    <s v="Reagents"/>
    <s v="Endoscopy"/>
    <x v="0"/>
    <n v="1000"/>
    <n v="0"/>
    <n v="0"/>
    <n v="745"/>
    <n v="0"/>
    <n v="0"/>
    <n v="0"/>
    <n v="750"/>
    <n v="0"/>
    <n v="0"/>
    <n v="0"/>
    <n v="0"/>
    <n v="680"/>
    <n v="2175"/>
    <n v="-680"/>
  </r>
  <r>
    <x v="11"/>
    <x v="5"/>
    <x v="0"/>
    <s v="4600106"/>
    <n v="721750"/>
    <s v="Supplies-Film/Radiographic - Nonbillable"/>
    <s v="Endoscopy"/>
    <x v="0"/>
    <m/>
    <n v="0"/>
    <n v="0"/>
    <n v="0"/>
    <n v="99"/>
    <n v="0"/>
    <n v="-9"/>
    <n v="180"/>
    <n v="0"/>
    <n v="99"/>
    <n v="-9"/>
    <n v="0"/>
    <n v="0"/>
    <n v="360"/>
    <n v="0"/>
  </r>
  <r>
    <x v="11"/>
    <x v="5"/>
    <x v="0"/>
    <s v="4600106"/>
    <n v="721810"/>
    <s v="Supplies-Dietary/Cafeteria"/>
    <s v="Endoscopy"/>
    <x v="0"/>
    <m/>
    <n v="31.8"/>
    <n v="31.8"/>
    <n v="19.079999999999998"/>
    <n v="23"/>
    <n v="54.8"/>
    <n v="19.079999999999998"/>
    <n v="31.8"/>
    <n v="39.799999999999997"/>
    <n v="25.44"/>
    <n v="51.15"/>
    <n v="19.079999999999998"/>
    <n v="19.079999999999998"/>
    <n v="365.90999999999997"/>
    <n v="0"/>
  </r>
  <r>
    <x v="11"/>
    <x v="5"/>
    <x v="0"/>
    <s v="4600106"/>
    <n v="721830"/>
    <s v="Supplies-Office"/>
    <s v="Endoscopy"/>
    <x v="0"/>
    <m/>
    <n v="517.14"/>
    <n v="3.3"/>
    <n v="0"/>
    <n v="710.09"/>
    <n v="0"/>
    <n v="0"/>
    <n v="234.55"/>
    <n v="148.78"/>
    <n v="0"/>
    <n v="334.07"/>
    <n v="93.47"/>
    <n v="0"/>
    <n v="2041.3999999999999"/>
    <n v="93.47"/>
  </r>
  <r>
    <x v="11"/>
    <x v="5"/>
    <x v="0"/>
    <s v="4600106"/>
    <n v="721835"/>
    <s v="Supplies-Forms"/>
    <s v="Endoscopy"/>
    <x v="0"/>
    <m/>
    <n v="0"/>
    <n v="0"/>
    <n v="0"/>
    <n v="0"/>
    <n v="0"/>
    <n v="0"/>
    <n v="61.5"/>
    <n v="0"/>
    <n v="0"/>
    <n v="0"/>
    <n v="0"/>
    <n v="0"/>
    <n v="61.5"/>
    <n v="0"/>
  </r>
  <r>
    <x v="11"/>
    <x v="5"/>
    <x v="0"/>
    <s v="4600106"/>
    <n v="721870"/>
    <s v="Supplies-Environmental Services"/>
    <s v="Endoscopy"/>
    <x v="0"/>
    <m/>
    <n v="130.47"/>
    <n v="842.36"/>
    <n v="423.91"/>
    <n v="614.48"/>
    <n v="207.36"/>
    <n v="1605.48"/>
    <n v="151.47"/>
    <n v="462.17"/>
    <n v="101.11"/>
    <n v="404.69"/>
    <n v="271.86"/>
    <n v="627.24"/>
    <n v="5842.5999999999985"/>
    <n v="-355.38"/>
  </r>
  <r>
    <x v="11"/>
    <x v="5"/>
    <x v="0"/>
    <s v="4600106"/>
    <n v="721880"/>
    <s v="Supplies-Linen"/>
    <s v="Endoscopy"/>
    <x v="0"/>
    <m/>
    <n v="0"/>
    <n v="0"/>
    <n v="0"/>
    <n v="0"/>
    <n v="0"/>
    <n v="45.12"/>
    <n v="0"/>
    <n v="0"/>
    <n v="0"/>
    <n v="0"/>
    <n v="0"/>
    <n v="45.12"/>
    <n v="90.24"/>
    <n v="-45.12"/>
  </r>
  <r>
    <x v="11"/>
    <x v="5"/>
    <x v="0"/>
    <s v="4600106"/>
    <n v="721910"/>
    <s v="Supplies-Small Equipment"/>
    <s v="Endoscopy"/>
    <x v="0"/>
    <m/>
    <n v="679.46"/>
    <n v="489.78"/>
    <n v="829.78"/>
    <n v="152.55000000000001"/>
    <n v="72.55"/>
    <n v="129.66"/>
    <n v="451.38"/>
    <n v="140.51"/>
    <n v="-1.05"/>
    <n v="128.69999999999999"/>
    <n v="3326.08"/>
    <n v="-2947.88"/>
    <n v="3451.5199999999995"/>
    <n v="6273.96"/>
  </r>
  <r>
    <x v="11"/>
    <x v="5"/>
    <x v="0"/>
    <s v="4600106"/>
    <n v="721980"/>
    <s v="Supplies-Other"/>
    <s v="Endoscopy"/>
    <x v="0"/>
    <m/>
    <n v="0"/>
    <n v="535"/>
    <n v="306.5"/>
    <n v="0"/>
    <n v="0"/>
    <n v="0"/>
    <n v="2743.04"/>
    <n v="33"/>
    <n v="593.9"/>
    <n v="56.16"/>
    <n v="0"/>
    <n v="0"/>
    <n v="4267.5999999999995"/>
    <n v="0"/>
  </r>
  <r>
    <x v="11"/>
    <x v="5"/>
    <x v="0"/>
    <s v="4600106"/>
    <n v="722000"/>
    <s v="Supplies-Freight Expense"/>
    <s v="Endoscopy"/>
    <x v="0"/>
    <m/>
    <n v="389.68"/>
    <n v="325.38"/>
    <n v="509.8"/>
    <n v="356.1"/>
    <n v="87.54"/>
    <n v="134.65"/>
    <n v="606.94000000000005"/>
    <n v="180.86"/>
    <n v="180.62"/>
    <n v="116.04"/>
    <n v="123.24"/>
    <n v="192.49"/>
    <n v="3203.34"/>
    <n v="-69.250000000000014"/>
  </r>
  <r>
    <x v="12"/>
    <x v="5"/>
    <x v="0"/>
    <s v="4600106"/>
    <n v="730010"/>
    <s v="Rental and Leases-Building (DO NOT USE)"/>
    <s v="Endoscopy"/>
    <x v="0"/>
    <m/>
    <n v="14493.75"/>
    <n v="14493.75"/>
    <n v="14493.75"/>
    <n v="14493.75"/>
    <n v="14493.75"/>
    <n v="-16961.13"/>
    <n v="9251.27"/>
    <n v="9251.27"/>
    <n v="9251.27"/>
    <n v="16952.11"/>
    <n v="-2846.9"/>
    <n v="0"/>
    <n v="97366.640000000014"/>
    <n v="-2846.9"/>
  </r>
  <r>
    <x v="12"/>
    <x v="5"/>
    <x v="0"/>
    <s v="4600106"/>
    <n v="730010"/>
    <s v="Rental-Common Area Maint (DO NOT USE)"/>
    <s v="Endoscopy"/>
    <x v="0"/>
    <n v="2200"/>
    <n v="0"/>
    <n v="0"/>
    <n v="0"/>
    <n v="0"/>
    <n v="0"/>
    <n v="31454.880000000001"/>
    <n v="5194.96"/>
    <n v="5218.72"/>
    <n v="5218.72"/>
    <n v="9562.85"/>
    <n v="874.59"/>
    <n v="0"/>
    <n v="57524.72"/>
    <n v="874.59"/>
  </r>
  <r>
    <x v="12"/>
    <x v="5"/>
    <x v="0"/>
    <s v="4600106"/>
    <n v="730020"/>
    <s v="Rental and Leases-Copier Usage Fees (DO NOT USE)"/>
    <s v="Endoscopy"/>
    <x v="0"/>
    <n v="5100"/>
    <n v="378.73"/>
    <n v="384.27"/>
    <n v="381.5"/>
    <n v="381.5"/>
    <n v="381.5"/>
    <n v="381.5"/>
    <n v="-979.41"/>
    <n v="179.96"/>
    <n v="179.58"/>
    <n v="884.71"/>
    <n v="179.96"/>
    <n v="182.67"/>
    <n v="2916.4700000000003"/>
    <n v="-2.7099999999999795"/>
  </r>
  <r>
    <x v="12"/>
    <x v="5"/>
    <x v="0"/>
    <s v="4600106"/>
    <n v="730040"/>
    <s v="LT Lease-Real Estate"/>
    <s v="Endoscopy"/>
    <x v="0"/>
    <m/>
    <n v="0"/>
    <n v="0"/>
    <n v="0"/>
    <n v="0"/>
    <n v="0"/>
    <n v="0"/>
    <n v="0"/>
    <n v="0"/>
    <n v="0"/>
    <n v="0"/>
    <n v="0"/>
    <n v="14746.45"/>
    <n v="14746.45"/>
    <n v="-14746.45"/>
  </r>
  <r>
    <x v="15"/>
    <x v="5"/>
    <x v="0"/>
    <s v="4600106"/>
    <n v="731060"/>
    <s v="Telephone"/>
    <s v="Endoscopy"/>
    <x v="0"/>
    <m/>
    <n v="0"/>
    <n v="0"/>
    <n v="0"/>
    <n v="0"/>
    <n v="0"/>
    <n v="0"/>
    <n v="344"/>
    <n v="34.4"/>
    <n v="0"/>
    <n v="0"/>
    <n v="52"/>
    <n v="0"/>
    <n v="430.4"/>
    <n v="52"/>
  </r>
  <r>
    <x v="15"/>
    <x v="5"/>
    <x v="0"/>
    <s v="4600106"/>
    <n v="731060"/>
    <s v="Pagers"/>
    <s v="Endoscopy"/>
    <x v="0"/>
    <n v="1002"/>
    <n v="7.99"/>
    <n v="7.99"/>
    <n v="7.99"/>
    <n v="8.02"/>
    <n v="20.04"/>
    <n v="0"/>
    <n v="32.08"/>
    <n v="25.32"/>
    <n v="38.47"/>
    <n v="31.76"/>
    <n v="31.76"/>
    <n v="31.76"/>
    <n v="243.17999999999998"/>
    <n v="0"/>
  </r>
  <r>
    <x v="16"/>
    <x v="5"/>
    <x v="0"/>
    <s v="4600106"/>
    <n v="732020"/>
    <s v="Repairs--Clin Equip-Parts-Internal to CHI Programs"/>
    <s v="Endoscopy"/>
    <x v="0"/>
    <m/>
    <n v="0"/>
    <n v="290.13"/>
    <n v="0"/>
    <n v="1008.73"/>
    <n v="0"/>
    <n v="870.39"/>
    <n v="32.67"/>
    <n v="0"/>
    <n v="580.27"/>
    <n v="0"/>
    <n v="0"/>
    <n v="580.27"/>
    <n v="3362.46"/>
    <n v="-580.27"/>
  </r>
  <r>
    <x v="16"/>
    <x v="5"/>
    <x v="0"/>
    <s v="4600106"/>
    <n v="732030"/>
    <s v="Repairs---Other"/>
    <s v="Endoscopy"/>
    <x v="0"/>
    <m/>
    <n v="0"/>
    <n v="0"/>
    <n v="0"/>
    <n v="16.84"/>
    <n v="0"/>
    <n v="0"/>
    <n v="0"/>
    <n v="0"/>
    <n v="0"/>
    <n v="0"/>
    <n v="0"/>
    <n v="0"/>
    <n v="16.84"/>
    <n v="0"/>
  </r>
  <r>
    <x v="13"/>
    <x v="5"/>
    <x v="0"/>
    <s v="4600106"/>
    <n v="735040"/>
    <s v="Depreciation-Building Improvements"/>
    <s v="Endoscopy"/>
    <x v="0"/>
    <m/>
    <n v="71.78"/>
    <n v="71.77"/>
    <n v="71.78"/>
    <n v="71.77"/>
    <n v="71.78"/>
    <n v="71.77"/>
    <n v="71.78"/>
    <n v="71.77"/>
    <n v="71.78"/>
    <n v="71.77"/>
    <n v="71.78"/>
    <n v="71.77"/>
    <n v="861.29999999999984"/>
    <n v="1.0000000000005116E-2"/>
  </r>
  <r>
    <x v="13"/>
    <x v="5"/>
    <x v="0"/>
    <s v="4600106"/>
    <n v="735060"/>
    <s v="Depreciation-Fixed Equipment"/>
    <s v="Endoscopy"/>
    <x v="0"/>
    <m/>
    <n v="7.37"/>
    <n v="7.37"/>
    <n v="7.37"/>
    <n v="7.37"/>
    <n v="7.37"/>
    <n v="7.37"/>
    <n v="7.37"/>
    <n v="7.36"/>
    <n v="7.37"/>
    <n v="7.36"/>
    <n v="7.37"/>
    <n v="7.36"/>
    <n v="88.41"/>
    <n v="9.9999999999997868E-3"/>
  </r>
  <r>
    <x v="13"/>
    <x v="5"/>
    <x v="0"/>
    <s v="4600106"/>
    <n v="735070"/>
    <s v="Depreciation-Movable Equipment"/>
    <s v="Endoscopy"/>
    <x v="0"/>
    <m/>
    <n v="1577.01"/>
    <n v="1576.96"/>
    <n v="1913.57"/>
    <n v="1913.4"/>
    <n v="1913.6"/>
    <n v="1913.38"/>
    <n v="1913.62"/>
    <n v="1913.37"/>
    <n v="1913.71"/>
    <n v="1913.33"/>
    <n v="1913.73"/>
    <n v="1913.3"/>
    <n v="22288.979999999996"/>
    <n v="0.43000000000006366"/>
  </r>
  <r>
    <x v="0"/>
    <x v="5"/>
    <x v="0"/>
    <s v="4600106"/>
    <n v="740020"/>
    <s v="Education-Registration Fees"/>
    <s v="Endoscopy"/>
    <x v="0"/>
    <m/>
    <n v="0"/>
    <n v="175"/>
    <n v="0"/>
    <n v="0"/>
    <n v="165"/>
    <n v="0"/>
    <n v="0"/>
    <n v="0"/>
    <n v="0"/>
    <n v="0"/>
    <n v="0"/>
    <n v="0"/>
    <n v="340"/>
    <n v="0"/>
  </r>
  <r>
    <x v="0"/>
    <x v="5"/>
    <x v="0"/>
    <s v="4600106"/>
    <n v="743030"/>
    <s v="Subscriptions--Institutional"/>
    <s v="Endoscopy"/>
    <x v="0"/>
    <m/>
    <n v="210"/>
    <n v="0"/>
    <n v="0"/>
    <n v="0"/>
    <n v="0"/>
    <n v="0"/>
    <n v="0"/>
    <n v="0"/>
    <n v="0"/>
    <n v="0"/>
    <n v="0"/>
    <n v="0"/>
    <n v="210"/>
    <n v="0"/>
  </r>
  <r>
    <x v="0"/>
    <x v="5"/>
    <x v="0"/>
    <s v="4600106"/>
    <n v="749510"/>
    <s v="Miscellaneous Expenses"/>
    <s v="Endoscopy"/>
    <x v="0"/>
    <m/>
    <n v="369"/>
    <n v="-80"/>
    <n v="-289"/>
    <n v="0"/>
    <n v="0"/>
    <n v="0"/>
    <n v="49.3"/>
    <n v="273.2"/>
    <n v="1168.54"/>
    <n v="33.06"/>
    <n v="-33.06"/>
    <n v="0"/>
    <n v="1491.04"/>
    <n v="-33.06"/>
  </r>
  <r>
    <x v="0"/>
    <x v="5"/>
    <x v="0"/>
    <s v="4600106"/>
    <n v="749510"/>
    <s v="Licenses"/>
    <s v="Endoscopy"/>
    <x v="0"/>
    <n v="1002"/>
    <n v="0"/>
    <n v="0"/>
    <n v="289"/>
    <n v="0"/>
    <n v="0"/>
    <n v="0"/>
    <n v="0"/>
    <n v="0"/>
    <n v="0"/>
    <n v="0"/>
    <n v="0"/>
    <n v="0"/>
    <n v="289"/>
    <n v="0"/>
  </r>
  <r>
    <x v="0"/>
    <x v="5"/>
    <x v="0"/>
    <s v="4600106"/>
    <n v="749510"/>
    <s v="RICE Rewards"/>
    <s v="Endoscopy"/>
    <x v="0"/>
    <n v="5100"/>
    <n v="0"/>
    <n v="0"/>
    <n v="0"/>
    <n v="0"/>
    <n v="0"/>
    <n v="0"/>
    <n v="0"/>
    <n v="0"/>
    <n v="0"/>
    <n v="0"/>
    <n v="300"/>
    <n v="222.2"/>
    <n v="522.20000000000005"/>
    <n v="77.800000000000011"/>
  </r>
  <r>
    <x v="0"/>
    <x v="5"/>
    <x v="0"/>
    <s v="4600106"/>
    <n v="749530"/>
    <s v="Mileage"/>
    <s v="Endoscopy"/>
    <x v="0"/>
    <n v="1001"/>
    <n v="0"/>
    <n v="0"/>
    <n v="0"/>
    <n v="0"/>
    <n v="0"/>
    <n v="45.78"/>
    <n v="0"/>
    <n v="49.3"/>
    <n v="41.18"/>
    <n v="33.06"/>
    <n v="33.06"/>
    <n v="0"/>
    <n v="202.38"/>
    <n v="33.06"/>
  </r>
  <r>
    <x v="18"/>
    <x v="6"/>
    <x v="0"/>
    <s v="4600107"/>
    <n v="400010"/>
    <s v="Acute I/P Svcs Rev--Medicare"/>
    <s v="GI Lab"/>
    <x v="0"/>
    <n v="1100"/>
    <n v="-349743.67"/>
    <n v="-425818.28"/>
    <n v="-363213.39"/>
    <n v="-320572.53999999998"/>
    <n v="-336133.08"/>
    <n v="-404348.4"/>
    <n v="-398676.39"/>
    <n v="-347536.93"/>
    <n v="-335486.8"/>
    <n v="-249824.13"/>
    <n v="-410560.35"/>
    <n v="-374628.22"/>
    <n v="-4316542.18"/>
    <n v="-35932.130000000005"/>
  </r>
  <r>
    <x v="18"/>
    <x v="6"/>
    <x v="0"/>
    <s v="4600107"/>
    <n v="400010"/>
    <s v="Acute I/P Svcs Rev--Medicaid"/>
    <s v="GI Lab"/>
    <x v="0"/>
    <n v="1200"/>
    <n v="-77055.259999999995"/>
    <n v="-80727.11"/>
    <n v="-17897.61"/>
    <n v="-29392.58"/>
    <n v="-45110.14"/>
    <n v="-120681.55"/>
    <n v="-64060.22"/>
    <n v="-48616.800000000003"/>
    <n v="-70928.25"/>
    <n v="-69753.289999999994"/>
    <n v="-70165.42"/>
    <n v="-143404.13"/>
    <n v="-837792.3600000001"/>
    <n v="73238.710000000006"/>
  </r>
  <r>
    <x v="18"/>
    <x v="6"/>
    <x v="0"/>
    <s v="4600107"/>
    <n v="400010"/>
    <s v="Acute I/P Svcs Rev--Comm Insurance"/>
    <s v="GI Lab"/>
    <x v="0"/>
    <n v="1300"/>
    <n v="0"/>
    <n v="7409.23"/>
    <n v="1639.2"/>
    <n v="-1721.17"/>
    <n v="-4995.2299999999996"/>
    <n v="4995.2299999999996"/>
    <n v="-8590.92"/>
    <n v="-2214.62"/>
    <n v="0"/>
    <n v="-3975.32"/>
    <n v="2152.12"/>
    <n v="0"/>
    <n v="-5301.4800000000005"/>
    <n v="2152.12"/>
  </r>
  <r>
    <x v="18"/>
    <x v="6"/>
    <x v="0"/>
    <s v="4600107"/>
    <n v="400010"/>
    <s v="Acute I/P Svcs Rev--BCBS Comm"/>
    <s v="GI Lab"/>
    <x v="0"/>
    <n v="1301"/>
    <n v="-4262.45"/>
    <n v="-53174.7"/>
    <n v="-43083.82"/>
    <n v="-8715.5499999999993"/>
    <n v="-27467.360000000001"/>
    <n v="-42550.28"/>
    <n v="-12569.41"/>
    <n v="-51062.38"/>
    <n v="-15019.56"/>
    <n v="-22333.919999999998"/>
    <n v="-45279.4"/>
    <n v="-42479.1"/>
    <n v="-367997.93"/>
    <n v="-2800.3000000000029"/>
  </r>
  <r>
    <x v="18"/>
    <x v="6"/>
    <x v="0"/>
    <s v="4600107"/>
    <n v="400010"/>
    <s v="Acute I/P Svcs Rev--Managed Care"/>
    <s v="GI Lab"/>
    <x v="0"/>
    <n v="1400"/>
    <n v="-22255.69"/>
    <n v="-112950.47"/>
    <n v="-62537.96"/>
    <n v="-32461.85"/>
    <n v="-49331.75"/>
    <n v="-92535.08"/>
    <n v="-37713.39"/>
    <n v="-28838.53"/>
    <n v="-93055.77"/>
    <n v="-70918.2"/>
    <n v="-41662.81"/>
    <n v="-28433.57"/>
    <n v="-672695.07"/>
    <n v="-13229.239999999998"/>
  </r>
  <r>
    <x v="18"/>
    <x v="6"/>
    <x v="0"/>
    <s v="4600107"/>
    <n v="400010"/>
    <s v="Acute I/P Svcs Rev--Self Pay"/>
    <s v="GI Lab"/>
    <x v="0"/>
    <n v="1500"/>
    <n v="0"/>
    <n v="0"/>
    <n v="-35193.06"/>
    <n v="-1680.05"/>
    <n v="0"/>
    <n v="-16694.62"/>
    <n v="-14066.68"/>
    <n v="-11602.92"/>
    <n v="-8342.42"/>
    <n v="8342.42"/>
    <n v="-9825.31"/>
    <n v="-3435.17"/>
    <n v="-92497.81"/>
    <n v="-6390.1399999999994"/>
  </r>
  <r>
    <x v="18"/>
    <x v="6"/>
    <x v="0"/>
    <s v="4600107"/>
    <n v="400010"/>
    <s v="Acute I/P Svcs Rev--Other"/>
    <s v="GI Lab"/>
    <x v="0"/>
    <n v="1700"/>
    <n v="-10970.59"/>
    <n v="-13327.13"/>
    <n v="-26801.18"/>
    <n v="-56540.01"/>
    <n v="-37396.15"/>
    <n v="-7691.49"/>
    <n v="-8408.6200000000008"/>
    <n v="-63639.12"/>
    <n v="-51809.55"/>
    <n v="-6962.29"/>
    <n v="-25016.31"/>
    <n v="-23829.48"/>
    <n v="-332391.91999999993"/>
    <n v="-1186.8300000000017"/>
  </r>
  <r>
    <x v="19"/>
    <x v="6"/>
    <x v="0"/>
    <s v="4600107"/>
    <n v="400020"/>
    <s v="O/P Care Svcs Rev--Medicare"/>
    <s v="GI Lab"/>
    <x v="0"/>
    <n v="1100"/>
    <n v="-157194.07"/>
    <n v="-93784.71"/>
    <n v="-139032.99"/>
    <n v="-202439.14"/>
    <n v="-219165.68"/>
    <n v="-195410.88"/>
    <n v="-210373.7"/>
    <n v="-207718.6"/>
    <n v="-253805.91"/>
    <n v="-247672.05"/>
    <n v="-201721.85"/>
    <n v="-220403.08"/>
    <n v="-2348722.66"/>
    <n v="18681.229999999981"/>
  </r>
  <r>
    <x v="19"/>
    <x v="6"/>
    <x v="0"/>
    <s v="4600107"/>
    <n v="400020"/>
    <s v="O/P Care Svcs Rev--Medicaid"/>
    <s v="GI Lab"/>
    <x v="0"/>
    <n v="1200"/>
    <n v="-60444.26"/>
    <n v="-97453.54"/>
    <n v="-90057.9"/>
    <n v="-77685.279999999999"/>
    <n v="-136788.81"/>
    <n v="-69074.240000000005"/>
    <n v="-100049.4"/>
    <n v="-60331.01"/>
    <n v="-145751.19"/>
    <n v="-97404.75"/>
    <n v="-83534.89"/>
    <n v="-150309.07"/>
    <n v="-1168884.3400000001"/>
    <n v="66774.180000000008"/>
  </r>
  <r>
    <x v="19"/>
    <x v="6"/>
    <x v="0"/>
    <s v="4600107"/>
    <n v="400020"/>
    <s v="O/P Care Svcs Rev--Comm Insurance"/>
    <s v="GI Lab"/>
    <x v="0"/>
    <n v="1300"/>
    <n v="2738.67"/>
    <n v="0"/>
    <n v="-6901.98"/>
    <n v="-1603.22"/>
    <n v="510.15"/>
    <n v="-4615.8"/>
    <n v="-2418.0300000000002"/>
    <n v="-6003.9"/>
    <n v="4615.8"/>
    <n v="-6324.81"/>
    <n v="-4486.9799999999996"/>
    <n v="-1390.41"/>
    <n v="-25880.510000000002"/>
    <n v="-3096.5699999999997"/>
  </r>
  <r>
    <x v="19"/>
    <x v="6"/>
    <x v="0"/>
    <s v="4600107"/>
    <n v="400020"/>
    <s v="O/P Care Svcs Rev--BCBS Comm"/>
    <s v="GI Lab"/>
    <x v="0"/>
    <n v="1301"/>
    <n v="-30126.66"/>
    <n v="-32356.89"/>
    <n v="-9130.66"/>
    <n v="-7980.14"/>
    <n v="-29655.37"/>
    <n v="-22386.45"/>
    <n v="-30926.47"/>
    <n v="-23453.9"/>
    <n v="-6324.81"/>
    <n v="-13100.33"/>
    <n v="-42506.7"/>
    <n v="-16116.02"/>
    <n v="-264064.40000000002"/>
    <n v="-26390.679999999997"/>
  </r>
  <r>
    <x v="19"/>
    <x v="6"/>
    <x v="0"/>
    <s v="4600107"/>
    <n v="400020"/>
    <s v="O/P Care Svcs Rev--Managed Care"/>
    <s v="GI Lab"/>
    <x v="0"/>
    <n v="1400"/>
    <n v="-65578.149999999994"/>
    <n v="-39321.57"/>
    <n v="-99099.45"/>
    <n v="-84957.08"/>
    <n v="-53825.35"/>
    <n v="-55807.03"/>
    <n v="-44891.56"/>
    <n v="-59119.21"/>
    <n v="-76901.8"/>
    <n v="-57327.03"/>
    <n v="-48709.1"/>
    <n v="-49724.6"/>
    <n v="-735261.93"/>
    <n v="1015.5"/>
  </r>
  <r>
    <x v="19"/>
    <x v="6"/>
    <x v="0"/>
    <s v="4600107"/>
    <n v="400020"/>
    <s v="O/P Care Svcs Rev--Self Pay"/>
    <s v="GI Lab"/>
    <x v="0"/>
    <n v="1500"/>
    <n v="0"/>
    <n v="0"/>
    <n v="0"/>
    <n v="0"/>
    <n v="-6184.9"/>
    <n v="0"/>
    <n v="0"/>
    <n v="-19543.419999999998"/>
    <n v="-1390.41"/>
    <n v="-6377.87"/>
    <n v="0"/>
    <n v="-2813.96"/>
    <n v="-36310.559999999998"/>
    <n v="2813.96"/>
  </r>
  <r>
    <x v="19"/>
    <x v="6"/>
    <x v="0"/>
    <s v="4600107"/>
    <n v="400020"/>
    <s v="O/P Care Svcs Rev--Other"/>
    <s v="GI Lab"/>
    <x v="0"/>
    <n v="1700"/>
    <n v="-16264.99"/>
    <n v="-16568.5"/>
    <n v="-28734.97"/>
    <n v="-21889.49"/>
    <n v="-11485.96"/>
    <n v="-20134.560000000001"/>
    <n v="-3123.1"/>
    <n v="-1991"/>
    <n v="-10857.97"/>
    <n v="-14292.06"/>
    <n v="-30461.599999999999"/>
    <n v="-5080.92"/>
    <n v="-180885.12000000002"/>
    <n v="-25380.68"/>
  </r>
  <r>
    <x v="5"/>
    <x v="6"/>
    <x v="0"/>
    <s v="4600107"/>
    <n v="700014"/>
    <s v="Salaries-Management-Productive"/>
    <s v="GI Lab"/>
    <x v="0"/>
    <m/>
    <n v="7163.17"/>
    <n v="6272.89"/>
    <n v="1159.76"/>
    <n v="9261.9"/>
    <n v="3298.25"/>
    <n v="2239.29"/>
    <n v="2896.89"/>
    <n v="1728.66"/>
    <n v="3130.18"/>
    <n v="2803.12"/>
    <n v="2242.54"/>
    <n v="2149.15"/>
    <n v="44345.80000000001"/>
    <n v="93.389999999999873"/>
  </r>
  <r>
    <x v="5"/>
    <x v="6"/>
    <x v="0"/>
    <s v="4600107"/>
    <n v="700026"/>
    <s v="Salaries-RN-Productive"/>
    <s v="GI Lab"/>
    <x v="0"/>
    <m/>
    <n v="19966.939999999999"/>
    <n v="22580.65"/>
    <n v="20554.36"/>
    <n v="21408.94"/>
    <n v="26095.759999999998"/>
    <n v="22794.82"/>
    <n v="28938.06"/>
    <n v="19323.96"/>
    <n v="26204.58"/>
    <n v="29712.66"/>
    <n v="32541.34"/>
    <n v="25604.54"/>
    <n v="295726.61"/>
    <n v="6936.7999999999993"/>
  </r>
  <r>
    <x v="5"/>
    <x v="6"/>
    <x v="0"/>
    <s v="4600107"/>
    <n v="700026"/>
    <s v="Salaries-RN-OT"/>
    <s v="GI Lab"/>
    <x v="0"/>
    <n v="1000"/>
    <n v="353.92"/>
    <n v="1504.04"/>
    <n v="650.89"/>
    <n v="507.48"/>
    <n v="1022.36"/>
    <n v="2871.67"/>
    <n v="1996.34"/>
    <n v="1487.16"/>
    <n v="2392.77"/>
    <n v="957.05"/>
    <n v="1710.03"/>
    <n v="2398.33"/>
    <n v="17852.04"/>
    <n v="-688.3"/>
  </r>
  <r>
    <x v="5"/>
    <x v="6"/>
    <x v="0"/>
    <s v="4600107"/>
    <n v="700026"/>
    <s v="Salaries-RN-Other"/>
    <s v="GI Lab"/>
    <x v="0"/>
    <n v="2000"/>
    <n v="2976.96"/>
    <n v="3215.88"/>
    <n v="2681.9"/>
    <n v="2856.07"/>
    <n v="4533.6400000000003"/>
    <n v="3659.02"/>
    <n v="3406.02"/>
    <n v="3146.26"/>
    <n v="3582.16"/>
    <n v="2769.31"/>
    <n v="2990.28"/>
    <n v="3147.68"/>
    <n v="38965.18"/>
    <n v="-157.39999999999964"/>
  </r>
  <r>
    <x v="5"/>
    <x v="6"/>
    <x v="0"/>
    <s v="4600107"/>
    <n v="700030"/>
    <s v="Salaries-LPN-Productive"/>
    <s v="GI Lab"/>
    <x v="0"/>
    <m/>
    <n v="6704.97"/>
    <n v="7462.31"/>
    <n v="4589.62"/>
    <n v="5398.34"/>
    <n v="5918.41"/>
    <n v="6071.72"/>
    <n v="6128.56"/>
    <n v="5990.78"/>
    <n v="7341.23"/>
    <n v="5091.78"/>
    <n v="7357.65"/>
    <n v="5299.98"/>
    <n v="73355.349999999991"/>
    <n v="2057.67"/>
  </r>
  <r>
    <x v="5"/>
    <x v="6"/>
    <x v="0"/>
    <s v="4600107"/>
    <n v="700030"/>
    <s v="Salaries-LPN-OT"/>
    <s v="GI Lab"/>
    <x v="0"/>
    <n v="1000"/>
    <n v="146.66999999999999"/>
    <n v="238.84"/>
    <n v="354.41"/>
    <n v="13.99"/>
    <n v="196.05"/>
    <n v="279.49"/>
    <n v="74.09"/>
    <n v="352.04"/>
    <n v="183.38"/>
    <n v="12.27"/>
    <n v="192.6"/>
    <n v="449.81"/>
    <n v="2493.64"/>
    <n v="-257.21000000000004"/>
  </r>
  <r>
    <x v="5"/>
    <x v="6"/>
    <x v="0"/>
    <s v="4600107"/>
    <n v="700030"/>
    <s v="Salaries-LPN-Other"/>
    <s v="GI Lab"/>
    <x v="0"/>
    <n v="2000"/>
    <n v="1486.56"/>
    <n v="1460.23"/>
    <n v="1117.74"/>
    <n v="1300.04"/>
    <n v="1181.43"/>
    <n v="1182.1199999999999"/>
    <n v="1276.3599999999999"/>
    <n v="1274.97"/>
    <n v="1508.01"/>
    <n v="942.51"/>
    <n v="1802.63"/>
    <n v="623.95000000000005"/>
    <n v="15156.55"/>
    <n v="1178.68"/>
  </r>
  <r>
    <x v="5"/>
    <x v="6"/>
    <x v="0"/>
    <s v="4600107"/>
    <n v="700032"/>
    <s v="Salaries-Other Pat Care Providers-Productive"/>
    <s v="GI Lab"/>
    <x v="0"/>
    <m/>
    <n v="0"/>
    <n v="0"/>
    <n v="0"/>
    <n v="0"/>
    <n v="0"/>
    <n v="0"/>
    <n v="850.75"/>
    <n v="2521.0700000000002"/>
    <n v="3723.59"/>
    <n v="3227.16"/>
    <n v="3446.99"/>
    <n v="2822.18"/>
    <n v="16591.739999999998"/>
    <n v="624.80999999999995"/>
  </r>
  <r>
    <x v="5"/>
    <x v="6"/>
    <x v="0"/>
    <s v="4600107"/>
    <n v="700032"/>
    <s v="Salaries-Other Pat Care Providers-OT"/>
    <s v="GI Lab"/>
    <x v="0"/>
    <n v="1000"/>
    <n v="0"/>
    <n v="0"/>
    <n v="0"/>
    <n v="0"/>
    <n v="0"/>
    <n v="0"/>
    <n v="8.73"/>
    <n v="246.62"/>
    <n v="433.95"/>
    <n v="33.25"/>
    <n v="602.79999999999995"/>
    <n v="-1.4"/>
    <n v="1323.9499999999998"/>
    <n v="604.19999999999993"/>
  </r>
  <r>
    <x v="5"/>
    <x v="6"/>
    <x v="0"/>
    <s v="4600107"/>
    <n v="700032"/>
    <s v="Salaries-Other Pat Care Providers-Other"/>
    <s v="GI Lab"/>
    <x v="0"/>
    <n v="2000"/>
    <n v="0"/>
    <n v="0"/>
    <n v="0"/>
    <n v="0"/>
    <n v="0"/>
    <n v="0"/>
    <n v="0"/>
    <n v="30.04"/>
    <n v="538.29999999999995"/>
    <n v="267.32"/>
    <n v="576.65"/>
    <n v="488.04"/>
    <n v="1900.35"/>
    <n v="88.609999999999957"/>
  </r>
  <r>
    <x v="5"/>
    <x v="6"/>
    <x v="0"/>
    <s v="4600107"/>
    <n v="700034"/>
    <s v="Salaries-Tech/Professional-Productive"/>
    <s v="GI Lab"/>
    <x v="0"/>
    <m/>
    <n v="4379.5"/>
    <n v="4932.45"/>
    <n v="5976.41"/>
    <n v="5314.4"/>
    <n v="5122.17"/>
    <n v="6252.13"/>
    <n v="5901.01"/>
    <n v="4759.08"/>
    <n v="5495.79"/>
    <n v="7732.64"/>
    <n v="-145.47999999999999"/>
    <n v="0"/>
    <n v="55720.1"/>
    <n v="-145.47999999999999"/>
  </r>
  <r>
    <x v="5"/>
    <x v="6"/>
    <x v="0"/>
    <s v="4600107"/>
    <n v="700034"/>
    <s v="Salaries-Tech/Professional-OT"/>
    <s v="GI Lab"/>
    <x v="0"/>
    <n v="1000"/>
    <n v="334.25"/>
    <n v="184.32"/>
    <n v="279.63"/>
    <n v="208.35"/>
    <n v="147.31"/>
    <n v="120.05"/>
    <n v="845.25"/>
    <n v="207.86"/>
    <n v="205.57"/>
    <n v="144.18"/>
    <n v="7.89"/>
    <n v="0"/>
    <n v="2684.66"/>
    <n v="7.89"/>
  </r>
  <r>
    <x v="5"/>
    <x v="6"/>
    <x v="0"/>
    <s v="4600107"/>
    <n v="700034"/>
    <s v="Salaries-Tech/Professional-Other"/>
    <s v="GI Lab"/>
    <x v="0"/>
    <n v="2000"/>
    <n v="1265.72"/>
    <n v="1136.06"/>
    <n v="1319.27"/>
    <n v="1303.1099999999999"/>
    <n v="1104.5"/>
    <n v="1399.1"/>
    <n v="1314.26"/>
    <n v="932.24"/>
    <n v="1083.17"/>
    <n v="1540.89"/>
    <n v="-72.349999999999994"/>
    <n v="0"/>
    <n v="12325.97"/>
    <n v="-72.349999999999994"/>
  </r>
  <r>
    <x v="5"/>
    <x v="6"/>
    <x v="0"/>
    <s v="4600107"/>
    <n v="700038"/>
    <s v="Salaries-Service/Support-Productive"/>
    <s v="GI Lab"/>
    <x v="0"/>
    <m/>
    <n v="95.63"/>
    <n v="0"/>
    <n v="0"/>
    <n v="3394.64"/>
    <n v="-1493.62"/>
    <n v="478.97"/>
    <n v="848.39"/>
    <n v="609.9"/>
    <n v="808.76"/>
    <n v="954.37"/>
    <n v="1708.92"/>
    <n v="1517.47"/>
    <n v="8923.43"/>
    <n v="191.45000000000005"/>
  </r>
  <r>
    <x v="5"/>
    <x v="6"/>
    <x v="0"/>
    <s v="4600107"/>
    <n v="700038"/>
    <s v="Salaries-Service/Support-OT"/>
    <s v="GI Lab"/>
    <x v="0"/>
    <n v="1000"/>
    <n v="0"/>
    <n v="0"/>
    <n v="0"/>
    <n v="92.3"/>
    <n v="-40.61"/>
    <n v="0"/>
    <n v="82.11"/>
    <n v="67.290000000000006"/>
    <n v="74.680000000000007"/>
    <n v="-27.92"/>
    <n v="20.57"/>
    <n v="150.44"/>
    <n v="418.86"/>
    <n v="-129.87"/>
  </r>
  <r>
    <x v="5"/>
    <x v="6"/>
    <x v="0"/>
    <s v="4600107"/>
    <n v="700038"/>
    <s v="Salaries-Service/Support-Other"/>
    <s v="GI Lab"/>
    <x v="0"/>
    <n v="2000"/>
    <n v="6.08"/>
    <n v="0"/>
    <n v="0"/>
    <n v="154.29"/>
    <n v="-67.88"/>
    <n v="223.41"/>
    <n v="66.55"/>
    <n v="187.4"/>
    <n v="215.85"/>
    <n v="115.61"/>
    <n v="302.83"/>
    <n v="168.42"/>
    <n v="1372.5600000000002"/>
    <n v="134.41"/>
  </r>
  <r>
    <x v="5"/>
    <x v="6"/>
    <x v="0"/>
    <s v="4600107"/>
    <n v="700054"/>
    <s v="Salaries-Management-Non-productive"/>
    <s v="GI Lab"/>
    <x v="0"/>
    <m/>
    <n v="2662.56"/>
    <n v="0"/>
    <n v="0"/>
    <n v="0"/>
    <n v="0"/>
    <n v="0"/>
    <n v="0"/>
    <n v="0"/>
    <n v="0"/>
    <n v="0"/>
    <n v="0"/>
    <n v="0"/>
    <n v="2662.56"/>
    <n v="0"/>
  </r>
  <r>
    <x v="5"/>
    <x v="6"/>
    <x v="0"/>
    <s v="4600107"/>
    <n v="700066"/>
    <s v="Salaries-RN-Non-productive"/>
    <s v="GI Lab"/>
    <x v="0"/>
    <m/>
    <n v="2834.7"/>
    <n v="1856.39"/>
    <n v="2128.65"/>
    <n v="980.42"/>
    <n v="2724.22"/>
    <n v="3751.21"/>
    <n v="4187.2700000000004"/>
    <n v="4983.82"/>
    <n v="1865.63"/>
    <n v="-260.83999999999997"/>
    <n v="1645.49"/>
    <n v="487.63"/>
    <n v="27184.590000000004"/>
    <n v="1157.8600000000001"/>
  </r>
  <r>
    <x v="5"/>
    <x v="6"/>
    <x v="0"/>
    <s v="4600107"/>
    <n v="700066"/>
    <s v="Salaries-RN-NonProd-Other"/>
    <s v="GI Lab"/>
    <x v="0"/>
    <n v="2000"/>
    <n v="1263.6300000000001"/>
    <n v="1177.32"/>
    <n v="1338.63"/>
    <n v="628.34"/>
    <n v="2574.84"/>
    <n v="-194.98"/>
    <n v="720.64"/>
    <n v="238.56"/>
    <n v="377.67"/>
    <n v="581.47"/>
    <n v="241.97"/>
    <n v="454.87"/>
    <n v="9402.9600000000009"/>
    <n v="-212.9"/>
  </r>
  <r>
    <x v="5"/>
    <x v="6"/>
    <x v="0"/>
    <s v="4600107"/>
    <n v="700070"/>
    <s v="Salaries-LPN-Non-productive"/>
    <s v="GI Lab"/>
    <x v="0"/>
    <m/>
    <n v="318.12"/>
    <n v="205.88"/>
    <n v="524"/>
    <n v="935.7"/>
    <n v="-149.69999999999999"/>
    <n v="299.41000000000003"/>
    <n v="581.04"/>
    <n v="168.69"/>
    <n v="262.38"/>
    <n v="721.22"/>
    <n v="452.93"/>
    <n v="789.87"/>
    <n v="5109.54"/>
    <n v="-336.94"/>
  </r>
  <r>
    <x v="5"/>
    <x v="6"/>
    <x v="0"/>
    <s v="4600107"/>
    <n v="700070"/>
    <s v="Salaries-LPN-NonProd-Other"/>
    <s v="GI Lab"/>
    <x v="0"/>
    <n v="2000"/>
    <n v="315.33"/>
    <n v="399.22"/>
    <n v="-3.16"/>
    <n v="165.21"/>
    <n v="212"/>
    <n v="228.12"/>
    <n v="272.32"/>
    <n v="71.599999999999994"/>
    <n v="345.52"/>
    <n v="-76.62"/>
    <n v="289.7"/>
    <n v="111.02"/>
    <n v="2330.2599999999993"/>
    <n v="178.68"/>
  </r>
  <r>
    <x v="5"/>
    <x v="6"/>
    <x v="0"/>
    <s v="4600107"/>
    <n v="700072"/>
    <s v="Salaries-Other Pat Care Providers-Non-productive"/>
    <s v="GI Lab"/>
    <x v="0"/>
    <m/>
    <n v="0"/>
    <n v="0"/>
    <n v="0"/>
    <n v="0"/>
    <n v="0"/>
    <n v="0"/>
    <n v="0"/>
    <n v="0"/>
    <n v="0"/>
    <n v="0"/>
    <n v="337.02"/>
    <n v="-87.37"/>
    <n v="249.64999999999998"/>
    <n v="424.39"/>
  </r>
  <r>
    <x v="5"/>
    <x v="6"/>
    <x v="0"/>
    <s v="4600107"/>
    <n v="700072"/>
    <s v="Salaries-Other Pat Care Providers-NonProd-Other"/>
    <s v="GI Lab"/>
    <x v="0"/>
    <n v="2000"/>
    <n v="0"/>
    <n v="0"/>
    <n v="0"/>
    <n v="0"/>
    <n v="0"/>
    <n v="0"/>
    <n v="0"/>
    <n v="27.5"/>
    <n v="110.3"/>
    <n v="55.01"/>
    <n v="37.61"/>
    <n v="265.11"/>
    <n v="495.53000000000003"/>
    <n v="-227.5"/>
  </r>
  <r>
    <x v="5"/>
    <x v="6"/>
    <x v="0"/>
    <s v="4600107"/>
    <n v="700074"/>
    <s v="Salaries-Tech/Professional-Non-productive"/>
    <s v="GI Lab"/>
    <x v="0"/>
    <m/>
    <n v="0"/>
    <n v="565.35"/>
    <n v="365.85"/>
    <n v="895.34"/>
    <n v="951.43"/>
    <n v="245.3"/>
    <n v="849.35"/>
    <n v="191.54"/>
    <n v="1382.18"/>
    <n v="-532.86"/>
    <n v="2292.86"/>
    <n v="-1103.92"/>
    <n v="6102.42"/>
    <n v="3396.78"/>
  </r>
  <r>
    <x v="5"/>
    <x v="6"/>
    <x v="0"/>
    <s v="4600107"/>
    <n v="700074"/>
    <s v="Salaries-Tech/Professional-NonProd-Other"/>
    <s v="GI Lab"/>
    <x v="0"/>
    <n v="2000"/>
    <n v="180.9"/>
    <n v="330.67"/>
    <n v="205.99"/>
    <n v="-51.75"/>
    <n v="273.7"/>
    <n v="253"/>
    <n v="105.45"/>
    <n v="222.82"/>
    <n v="34.65"/>
    <n v="416.76"/>
    <n v="-142.25"/>
    <n v="0"/>
    <n v="1829.94"/>
    <n v="-142.25"/>
  </r>
  <r>
    <x v="5"/>
    <x v="6"/>
    <x v="0"/>
    <s v="4600107"/>
    <n v="700078"/>
    <s v="Salaries-Service/Support-NonProd-Other"/>
    <s v="GI Lab"/>
    <x v="0"/>
    <n v="2000"/>
    <n v="0"/>
    <n v="0"/>
    <n v="0"/>
    <n v="0"/>
    <n v="0"/>
    <n v="0"/>
    <n v="0"/>
    <n v="0"/>
    <n v="0"/>
    <n v="35.92"/>
    <n v="-14.96"/>
    <n v="0"/>
    <n v="20.96"/>
    <n v="-14.96"/>
  </r>
  <r>
    <x v="5"/>
    <x v="6"/>
    <x v="0"/>
    <s v="4600107"/>
    <n v="700084"/>
    <s v="Accrued PTO"/>
    <s v="GI Lab"/>
    <x v="0"/>
    <m/>
    <n v="661.97"/>
    <n v="1112.0899999999999"/>
    <n v="791.69"/>
    <n v="996.59"/>
    <n v="622.37"/>
    <n v="-1979.9"/>
    <n v="10005.709999999999"/>
    <n v="308.61"/>
    <n v="3619.19"/>
    <n v="3175.73"/>
    <n v="754.53"/>
    <n v="3068.66"/>
    <n v="23137.239999999998"/>
    <n v="-2314.13"/>
  </r>
  <r>
    <x v="10"/>
    <x v="6"/>
    <x v="0"/>
    <s v="4600107"/>
    <n v="710060"/>
    <s v="Contract Labor-Other"/>
    <s v="GI Lab"/>
    <x v="0"/>
    <m/>
    <n v="0"/>
    <n v="0"/>
    <n v="0"/>
    <n v="0"/>
    <n v="0"/>
    <n v="0"/>
    <n v="0"/>
    <n v="0"/>
    <n v="13812.5"/>
    <n v="12240"/>
    <n v="20780.240000000002"/>
    <n v="9987.5"/>
    <n v="56820.240000000005"/>
    <n v="10792.740000000002"/>
  </r>
  <r>
    <x v="10"/>
    <x v="6"/>
    <x v="0"/>
    <s v="4600107"/>
    <n v="710060"/>
    <s v="Contract Labor-Overtime"/>
    <s v="GI Lab"/>
    <x v="0"/>
    <n v="5100"/>
    <n v="0"/>
    <n v="0"/>
    <n v="0"/>
    <n v="0"/>
    <n v="0"/>
    <n v="0"/>
    <n v="0"/>
    <n v="0"/>
    <n v="4131"/>
    <n v="229.5"/>
    <n v="11800.38"/>
    <n v="2686.82"/>
    <n v="18847.7"/>
    <n v="9113.56"/>
  </r>
  <r>
    <x v="10"/>
    <x v="6"/>
    <x v="0"/>
    <s v="4600107"/>
    <n v="710060"/>
    <s v="Contract Labor-Standby Wages"/>
    <s v="GI Lab"/>
    <x v="0"/>
    <n v="5101"/>
    <n v="0"/>
    <n v="0"/>
    <n v="0"/>
    <n v="0"/>
    <n v="0"/>
    <n v="0"/>
    <n v="0"/>
    <n v="0"/>
    <n v="724"/>
    <n v="652"/>
    <n v="2034"/>
    <n v="1294"/>
    <n v="4704"/>
    <n v="740"/>
  </r>
  <r>
    <x v="6"/>
    <x v="6"/>
    <x v="0"/>
    <s v="4600107"/>
    <n v="713010"/>
    <s v="Benefits-FICA/Medicare"/>
    <s v="GI Lab"/>
    <x v="0"/>
    <m/>
    <n v="3910.63"/>
    <n v="4000.69"/>
    <n v="3234.87"/>
    <n v="3739.55"/>
    <n v="2662.33"/>
    <n v="3509.49"/>
    <n v="4595.55"/>
    <n v="3634.05"/>
    <n v="4580.63"/>
    <n v="4300.07"/>
    <n v="4514.18"/>
    <n v="3401.33"/>
    <n v="46083.369999999995"/>
    <n v="1112.8500000000004"/>
  </r>
  <r>
    <x v="6"/>
    <x v="6"/>
    <x v="0"/>
    <s v="4600107"/>
    <n v="713090"/>
    <s v="Benefits-Allocated Amounts"/>
    <s v="GI Lab"/>
    <x v="0"/>
    <m/>
    <n v="6125.67"/>
    <n v="5551.28"/>
    <n v="5049.7299999999996"/>
    <n v="6893.59"/>
    <n v="6472.3"/>
    <n v="6192.99"/>
    <n v="8274.94"/>
    <n v="7018.42"/>
    <n v="7332.01"/>
    <n v="8840.42"/>
    <n v="8636.42"/>
    <n v="7420.96"/>
    <n v="83808.73000000001"/>
    <n v="1215.46"/>
  </r>
  <r>
    <x v="7"/>
    <x v="6"/>
    <x v="0"/>
    <s v="4600107"/>
    <n v="718050"/>
    <s v="Contract Management--Linen"/>
    <s v="GI Lab"/>
    <x v="0"/>
    <n v="1026"/>
    <n v="803.24"/>
    <n v="771.97"/>
    <n v="700.48"/>
    <n v="635.34"/>
    <n v="476.48"/>
    <n v="629.33000000000004"/>
    <n v="512.29999999999995"/>
    <n v="774.66"/>
    <n v="613.36"/>
    <n v="598.65"/>
    <n v="1032.82"/>
    <n v="557.44000000000005"/>
    <n v="8106.07"/>
    <n v="475.37999999999988"/>
  </r>
  <r>
    <x v="7"/>
    <x v="6"/>
    <x v="0"/>
    <s v="4600107"/>
    <n v="718070"/>
    <s v="Contract Srvcs-CHI Clinical Engineering"/>
    <s v="GI Lab"/>
    <x v="0"/>
    <m/>
    <n v="2734.4"/>
    <n v="2734.4"/>
    <n v="2235.59"/>
    <n v="2734.4"/>
    <n v="2734.4"/>
    <n v="2308.96"/>
    <n v="2734.4"/>
    <n v="1883.55"/>
    <n v="2734.4"/>
    <n v="2734.4"/>
    <n v="2665.11"/>
    <n v="2734.44"/>
    <n v="30968.450000000004"/>
    <n v="-69.329999999999927"/>
  </r>
  <r>
    <x v="11"/>
    <x v="6"/>
    <x v="0"/>
    <s v="4600107"/>
    <n v="721010"/>
    <s v="Supplies-Medical - Billable"/>
    <s v="GI Lab"/>
    <x v="0"/>
    <m/>
    <n v="79.739999999999995"/>
    <n v="169.35"/>
    <n v="275.33999999999997"/>
    <n v="306.13"/>
    <n v="74.38"/>
    <n v="3222.82"/>
    <n v="-107.66"/>
    <n v="258.52999999999997"/>
    <n v="181.14"/>
    <n v="411.8"/>
    <n v="460.82"/>
    <n v="221.32"/>
    <n v="5553.71"/>
    <n v="239.5"/>
  </r>
  <r>
    <x v="11"/>
    <x v="6"/>
    <x v="0"/>
    <s v="4600107"/>
    <n v="721010"/>
    <s v="Patient Monitoring"/>
    <s v="GI Lab"/>
    <x v="0"/>
    <n v="1000"/>
    <n v="0"/>
    <n v="15.43"/>
    <n v="0"/>
    <n v="0"/>
    <n v="0"/>
    <n v="0"/>
    <n v="12.34"/>
    <n v="0"/>
    <n v="15.43"/>
    <n v="0"/>
    <n v="0"/>
    <n v="0"/>
    <n v="43.2"/>
    <n v="0"/>
  </r>
  <r>
    <x v="11"/>
    <x v="6"/>
    <x v="0"/>
    <s v="4600107"/>
    <n v="721020"/>
    <s v="Supplies-Surgical - Billable"/>
    <s v="GI Lab"/>
    <x v="0"/>
    <m/>
    <n v="6477.08"/>
    <n v="7590.1"/>
    <n v="4490.2299999999996"/>
    <n v="4667.88"/>
    <n v="5681.7"/>
    <n v="11936.62"/>
    <n v="9662.02"/>
    <n v="6181.12"/>
    <n v="16141.56"/>
    <n v="14731.83"/>
    <n v="10551.7"/>
    <n v="6506.19"/>
    <n v="104618.03000000001"/>
    <n v="4045.5100000000011"/>
  </r>
  <r>
    <x v="11"/>
    <x v="6"/>
    <x v="0"/>
    <s v="4600107"/>
    <n v="721020"/>
    <s v="Endomechanical Supplies &amp; Instruments"/>
    <s v="GI Lab"/>
    <x v="0"/>
    <n v="1003"/>
    <n v="2256.8000000000002"/>
    <n v="4202.62"/>
    <n v="9532.0499999999993"/>
    <n v="2038.92"/>
    <n v="1143.9000000000001"/>
    <n v="2542.98"/>
    <n v="1236.25"/>
    <n v="6169.11"/>
    <n v="1071.18"/>
    <n v="2915.79"/>
    <n v="3628.44"/>
    <n v="853.16"/>
    <n v="37591.200000000004"/>
    <n v="2775.28"/>
  </r>
  <r>
    <x v="11"/>
    <x v="6"/>
    <x v="0"/>
    <s v="4600107"/>
    <n v="721020"/>
    <s v="Urological Supplies"/>
    <s v="GI Lab"/>
    <x v="0"/>
    <n v="1006"/>
    <n v="0"/>
    <n v="52"/>
    <n v="104"/>
    <n v="190.98"/>
    <n v="138.97999999999999"/>
    <n v="-22.96"/>
    <n v="393.98"/>
    <n v="-11.48"/>
    <n v="104"/>
    <n v="0"/>
    <n v="52"/>
    <n v="0"/>
    <n v="1001.5"/>
    <n v="52"/>
  </r>
  <r>
    <x v="11"/>
    <x v="6"/>
    <x v="0"/>
    <s v="4600107"/>
    <n v="721020"/>
    <s v="Tubes Drains &amp; Related Supplies"/>
    <s v="GI Lab"/>
    <x v="0"/>
    <n v="1008"/>
    <n v="0"/>
    <n v="1621.78"/>
    <n v="423.92"/>
    <n v="2010.08"/>
    <n v="1856.72"/>
    <n v="2735.18"/>
    <n v="1019.44"/>
    <n v="2923.36"/>
    <n v="1746.56"/>
    <n v="1414.08"/>
    <n v="4.92"/>
    <n v="1325.44"/>
    <n v="17081.48"/>
    <n v="-1320.52"/>
  </r>
  <r>
    <x v="11"/>
    <x v="6"/>
    <x v="0"/>
    <s v="4600107"/>
    <n v="721050"/>
    <s v="Supplies-Cardiac Rhythm - Billable"/>
    <s v="GI Lab"/>
    <x v="0"/>
    <m/>
    <n v="1798.5"/>
    <n v="9288.65"/>
    <n v="4549.7299999999996"/>
    <n v="4676.1099999999997"/>
    <n v="10685.84"/>
    <n v="13066.46"/>
    <n v="1763.5"/>
    <n v="4147.6400000000003"/>
    <n v="3480.86"/>
    <n v="4083.54"/>
    <n v="5640.22"/>
    <n v="2498.89"/>
    <n v="65679.94"/>
    <n v="3141.3300000000004"/>
  </r>
  <r>
    <x v="11"/>
    <x v="6"/>
    <x v="0"/>
    <s v="4600107"/>
    <n v="721070"/>
    <s v="Peripheral Stents"/>
    <s v="GI Lab"/>
    <x v="0"/>
    <n v="1001"/>
    <n v="0"/>
    <n v="112.2"/>
    <n v="112.2"/>
    <n v="1874.4"/>
    <n v="0"/>
    <n v="6412.2"/>
    <n v="224.4"/>
    <n v="0"/>
    <n v="0"/>
    <n v="336.6"/>
    <n v="336.6"/>
    <n v="0"/>
    <n v="9408.6"/>
    <n v="336.6"/>
  </r>
  <r>
    <x v="11"/>
    <x v="6"/>
    <x v="0"/>
    <s v="4600107"/>
    <n v="721240"/>
    <s v="Supplies-IV Solutions/Supplies - Billable"/>
    <s v="GI Lab"/>
    <x v="0"/>
    <m/>
    <n v="627.79999999999995"/>
    <n v="795"/>
    <n v="720.88"/>
    <n v="615"/>
    <n v="714"/>
    <n v="600"/>
    <n v="658.49"/>
    <n v="585.03"/>
    <n v="747.02"/>
    <n v="712.53"/>
    <n v="1025.3800000000001"/>
    <n v="854"/>
    <n v="8655.1299999999992"/>
    <n v="171.38000000000011"/>
  </r>
  <r>
    <x v="11"/>
    <x v="6"/>
    <x v="0"/>
    <s v="4600107"/>
    <n v="721410"/>
    <s v="Supplies-Medical - Nonbillable"/>
    <s v="GI Lab"/>
    <x v="0"/>
    <m/>
    <n v="560.4"/>
    <n v="788.67"/>
    <n v="951.67"/>
    <n v="568.88"/>
    <n v="708.49"/>
    <n v="735.06"/>
    <n v="988.46"/>
    <n v="768.54"/>
    <n v="949.37"/>
    <n v="-146877.24"/>
    <n v="1509.06"/>
    <n v="1177.75"/>
    <n v="-137170.88999999998"/>
    <n v="331.30999999999995"/>
  </r>
  <r>
    <x v="11"/>
    <x v="6"/>
    <x v="0"/>
    <s v="4600107"/>
    <n v="721420"/>
    <s v="Supplies-Surgical Nonbillable"/>
    <s v="GI Lab"/>
    <x v="0"/>
    <m/>
    <n v="3099.96"/>
    <n v="14215.13"/>
    <n v="7355.04"/>
    <n v="815.1"/>
    <n v="10176.040000000001"/>
    <n v="7989.2"/>
    <n v="2545.27"/>
    <n v="2084.1999999999998"/>
    <n v="8055.77"/>
    <n v="1898.08"/>
    <n v="6864.99"/>
    <n v="2602.02"/>
    <n v="67700.799999999988"/>
    <n v="4262.9699999999993"/>
  </r>
  <r>
    <x v="11"/>
    <x v="6"/>
    <x v="0"/>
    <s v="4600107"/>
    <n v="721420"/>
    <s v="Tubes Drains &amp; Related Supplies"/>
    <s v="GI Lab"/>
    <x v="0"/>
    <n v="1008"/>
    <n v="0"/>
    <n v="0"/>
    <n v="32.700000000000003"/>
    <n v="65.400000000000006"/>
    <n v="98.1"/>
    <n v="65.400000000000006"/>
    <n v="51.9"/>
    <n v="-5.4"/>
    <n v="98.1"/>
    <n v="147.30000000000001"/>
    <n v="27.3"/>
    <n v="30"/>
    <n v="610.79999999999995"/>
    <n v="-2.6999999999999993"/>
  </r>
  <r>
    <x v="11"/>
    <x v="6"/>
    <x v="0"/>
    <s v="4600107"/>
    <n v="721420"/>
    <s v="Sterilization Process Products"/>
    <s v="GI Lab"/>
    <x v="0"/>
    <n v="1009"/>
    <n v="1552"/>
    <n v="1798.81"/>
    <n v="1391.23"/>
    <n v="1730.84"/>
    <n v="1261.1500000000001"/>
    <n v="2838.77"/>
    <n v="2138.73"/>
    <n v="1469.66"/>
    <n v="4273.4399999999996"/>
    <n v="1551.65"/>
    <n v="3513.75"/>
    <n v="795.63"/>
    <n v="24315.660000000003"/>
    <n v="2718.12"/>
  </r>
  <r>
    <x v="11"/>
    <x v="6"/>
    <x v="0"/>
    <s v="4600107"/>
    <n v="721610"/>
    <s v="Supplies-Anesthesia - Nonbillable"/>
    <s v="GI Lab"/>
    <x v="0"/>
    <m/>
    <n v="246.86"/>
    <n v="1370.48"/>
    <n v="398.8"/>
    <n v="1234.25"/>
    <n v="409.13"/>
    <n v="791.9"/>
    <n v="1325.27"/>
    <n v="1315.18"/>
    <n v="1580.58"/>
    <n v="209.94"/>
    <n v="847.08"/>
    <n v="286.24"/>
    <n v="10015.710000000001"/>
    <n v="560.84"/>
  </r>
  <r>
    <x v="11"/>
    <x v="6"/>
    <x v="0"/>
    <s v="4600107"/>
    <n v="721640"/>
    <s v="Supplies-IV Solutions/Supplies - Nonbillable"/>
    <s v="GI Lab"/>
    <x v="0"/>
    <m/>
    <n v="110.8"/>
    <n v="217.86"/>
    <n v="114.75"/>
    <n v="148.1"/>
    <n v="295.93"/>
    <n v="171.05"/>
    <n v="107.1"/>
    <n v="107.1"/>
    <n v="68.849999999999994"/>
    <n v="155.35"/>
    <n v="71.2"/>
    <n v="114.75"/>
    <n v="1682.8399999999997"/>
    <n v="-43.55"/>
  </r>
  <r>
    <x v="11"/>
    <x v="6"/>
    <x v="0"/>
    <s v="4600107"/>
    <n v="721650"/>
    <s v="Supplies-Pharmacy Drugs - Nonbillable"/>
    <s v="GI Lab"/>
    <x v="0"/>
    <m/>
    <n v="0"/>
    <n v="0"/>
    <n v="1215"/>
    <n v="0"/>
    <n v="0"/>
    <n v="0"/>
    <n v="0"/>
    <n v="0"/>
    <n v="0"/>
    <n v="0"/>
    <n v="0"/>
    <n v="0"/>
    <n v="1215"/>
    <n v="0"/>
  </r>
  <r>
    <x v="11"/>
    <x v="6"/>
    <x v="0"/>
    <s v="4600107"/>
    <n v="721710"/>
    <s v="Supplies-Laboratory - Nonbillable"/>
    <s v="GI Lab"/>
    <x v="0"/>
    <m/>
    <n v="0"/>
    <n v="0"/>
    <n v="0"/>
    <n v="0"/>
    <n v="0"/>
    <n v="0"/>
    <n v="0"/>
    <n v="2.61"/>
    <n v="0"/>
    <n v="0"/>
    <n v="1.63"/>
    <n v="1.63"/>
    <n v="5.87"/>
    <n v="0"/>
  </r>
  <r>
    <x v="11"/>
    <x v="6"/>
    <x v="0"/>
    <s v="4600107"/>
    <n v="721810"/>
    <s v="Supplies-Dietary/Cafeteria"/>
    <s v="GI Lab"/>
    <x v="0"/>
    <m/>
    <n v="0"/>
    <n v="0"/>
    <n v="2.2599999999999998"/>
    <n v="0"/>
    <n v="0"/>
    <n v="0"/>
    <n v="0"/>
    <n v="0"/>
    <n v="0"/>
    <n v="2.2599999999999998"/>
    <n v="0"/>
    <n v="0"/>
    <n v="4.5199999999999996"/>
    <n v="0"/>
  </r>
  <r>
    <x v="11"/>
    <x v="6"/>
    <x v="0"/>
    <s v="4600107"/>
    <n v="721830"/>
    <s v="Supplies-Office"/>
    <s v="GI Lab"/>
    <x v="0"/>
    <m/>
    <n v="29.54"/>
    <n v="655.78"/>
    <n v="0"/>
    <n v="0"/>
    <n v="83.47"/>
    <n v="33.96"/>
    <n v="30.27"/>
    <n v="30.27"/>
    <n v="30.27"/>
    <n v="625.39"/>
    <n v="31.95"/>
    <n v="0"/>
    <n v="1550.8999999999999"/>
    <n v="31.95"/>
  </r>
  <r>
    <x v="11"/>
    <x v="6"/>
    <x v="0"/>
    <s v="4600107"/>
    <n v="721835"/>
    <s v="Supplies-Forms"/>
    <s v="GI Lab"/>
    <x v="0"/>
    <m/>
    <n v="0"/>
    <n v="0"/>
    <n v="0"/>
    <n v="0"/>
    <n v="125.8"/>
    <n v="0"/>
    <n v="0"/>
    <n v="0"/>
    <n v="0"/>
    <n v="0"/>
    <n v="0"/>
    <n v="0"/>
    <n v="125.8"/>
    <n v="0"/>
  </r>
  <r>
    <x v="11"/>
    <x v="6"/>
    <x v="0"/>
    <s v="4600107"/>
    <n v="721870"/>
    <s v="Supplies-Environmental Services"/>
    <s v="GI Lab"/>
    <x v="0"/>
    <m/>
    <n v="163.5"/>
    <n v="0"/>
    <n v="0"/>
    <n v="0"/>
    <n v="0"/>
    <n v="40.549999999999997"/>
    <n v="15.76"/>
    <n v="3.94"/>
    <n v="0"/>
    <n v="0"/>
    <n v="451.77"/>
    <n v="0"/>
    <n v="675.52"/>
    <n v="451.77"/>
  </r>
  <r>
    <x v="11"/>
    <x v="6"/>
    <x v="0"/>
    <s v="4600107"/>
    <n v="721910"/>
    <s v="Supplies-Small Equipment"/>
    <s v="GI Lab"/>
    <x v="0"/>
    <m/>
    <n v="944.89"/>
    <n v="688.96"/>
    <n v="0"/>
    <n v="1678.6"/>
    <n v="221.05"/>
    <n v="65.400000000000006"/>
    <n v="117.5"/>
    <n v="158.1"/>
    <n v="-13.5"/>
    <n v="2321.6999999999998"/>
    <n v="21.8"/>
    <n v="310.64999999999998"/>
    <n v="6515.15"/>
    <n v="-288.84999999999997"/>
  </r>
  <r>
    <x v="11"/>
    <x v="6"/>
    <x v="0"/>
    <s v="4600107"/>
    <n v="721910"/>
    <s v="Instruments"/>
    <s v="GI Lab"/>
    <x v="0"/>
    <n v="1000"/>
    <n v="468.2"/>
    <n v="1512.2"/>
    <n v="1112.0999999999999"/>
    <n v="89"/>
    <n v="89"/>
    <n v="0"/>
    <n v="1067.2"/>
    <n v="1562.82"/>
    <n v="974"/>
    <n v="33.380000000000003"/>
    <n v="201.2"/>
    <n v="89"/>
    <n v="7198.0999999999995"/>
    <n v="112.19999999999999"/>
  </r>
  <r>
    <x v="11"/>
    <x v="6"/>
    <x v="0"/>
    <s v="4600107"/>
    <n v="722000"/>
    <s v="Supplies-Freight Expense"/>
    <s v="GI Lab"/>
    <x v="0"/>
    <m/>
    <n v="78.38"/>
    <n v="184.3"/>
    <n v="138.81"/>
    <n v="50.1"/>
    <n v="72.92"/>
    <n v="243.7"/>
    <n v="453.38"/>
    <n v="47.12"/>
    <n v="127.16"/>
    <n v="176.68"/>
    <n v="143.54"/>
    <n v="167.46"/>
    <n v="1883.5500000000002"/>
    <n v="-23.920000000000016"/>
  </r>
  <r>
    <x v="12"/>
    <x v="6"/>
    <x v="0"/>
    <s v="4600107"/>
    <n v="730020"/>
    <s v="Rental and Leases-Equipment (DO NOT USE)"/>
    <s v="GI Lab"/>
    <x v="0"/>
    <m/>
    <n v="0"/>
    <n v="0"/>
    <n v="0"/>
    <n v="0"/>
    <n v="0"/>
    <n v="0"/>
    <n v="9075.5"/>
    <n v="4033"/>
    <n v="0"/>
    <n v="4033"/>
    <n v="0"/>
    <n v="0"/>
    <n v="17141.5"/>
    <n v="0"/>
  </r>
  <r>
    <x v="15"/>
    <x v="6"/>
    <x v="0"/>
    <s v="4600107"/>
    <n v="731060"/>
    <s v="Pagers"/>
    <s v="GI Lab"/>
    <x v="0"/>
    <n v="1002"/>
    <n v="22.42"/>
    <n v="16.2"/>
    <n v="16.2"/>
    <n v="16.239999999999998"/>
    <n v="0"/>
    <n v="16.239999999999998"/>
    <n v="4.95"/>
    <n v="16.239999999999998"/>
    <n v="16.239999999999998"/>
    <n v="35.65"/>
    <n v="8.1199999999999992"/>
    <n v="8.1199999999999992"/>
    <n v="176.62"/>
    <n v="0"/>
  </r>
  <r>
    <x v="16"/>
    <x v="6"/>
    <x v="0"/>
    <s v="4600107"/>
    <n v="732020"/>
    <s v="Repairs--Clin Equip-Parts-Internal to CHI Programs"/>
    <s v="GI Lab"/>
    <x v="0"/>
    <m/>
    <n v="0"/>
    <n v="0"/>
    <n v="0"/>
    <n v="109"/>
    <n v="-9"/>
    <n v="2574.5"/>
    <n v="0"/>
    <n v="131.75"/>
    <n v="-11.25"/>
    <n v="0"/>
    <n v="0"/>
    <n v="0"/>
    <n v="2795"/>
    <n v="0"/>
  </r>
  <r>
    <x v="13"/>
    <x v="6"/>
    <x v="0"/>
    <s v="4600107"/>
    <n v="735070"/>
    <s v="Depreciation-Movable Equipment"/>
    <s v="GI Lab"/>
    <x v="0"/>
    <m/>
    <n v="500"/>
    <n v="2566"/>
    <n v="2566"/>
    <n v="2566"/>
    <n v="2566"/>
    <n v="2566"/>
    <n v="2566.0100000000002"/>
    <n v="2565.9899999999998"/>
    <n v="2566.0100000000002"/>
    <n v="2565.98"/>
    <n v="2566.0100000000002"/>
    <n v="2565.98"/>
    <n v="28725.98"/>
    <n v="3.0000000000200089E-2"/>
  </r>
  <r>
    <x v="0"/>
    <x v="6"/>
    <x v="0"/>
    <s v="4600107"/>
    <n v="740020"/>
    <s v="Education-Registration Fees"/>
    <s v="GI Lab"/>
    <x v="0"/>
    <m/>
    <n v="0"/>
    <n v="0"/>
    <n v="0"/>
    <n v="0"/>
    <n v="0"/>
    <n v="0"/>
    <n v="0"/>
    <n v="0"/>
    <n v="0"/>
    <n v="700"/>
    <n v="0"/>
    <n v="595"/>
    <n v="1295"/>
    <n v="-595"/>
  </r>
  <r>
    <x v="0"/>
    <x v="6"/>
    <x v="0"/>
    <s v="4600107"/>
    <n v="743040"/>
    <s v="Subscriptions--Individual"/>
    <s v="GI Lab"/>
    <x v="0"/>
    <m/>
    <n v="0"/>
    <n v="0"/>
    <n v="0"/>
    <n v="0"/>
    <n v="0"/>
    <n v="0"/>
    <n v="0"/>
    <n v="0"/>
    <n v="0"/>
    <n v="0"/>
    <n v="0"/>
    <n v="100"/>
    <n v="100"/>
    <n v="-100"/>
  </r>
  <r>
    <x v="0"/>
    <x v="6"/>
    <x v="0"/>
    <s v="4600107"/>
    <n v="749510"/>
    <s v="Miscellaneous Expenses"/>
    <s v="GI Lab"/>
    <x v="0"/>
    <m/>
    <n v="0"/>
    <n v="0"/>
    <n v="0"/>
    <n v="0"/>
    <n v="0"/>
    <n v="0"/>
    <n v="0"/>
    <n v="0"/>
    <n v="0"/>
    <n v="0"/>
    <n v="1330.46"/>
    <n v="-1297.4000000000001"/>
    <n v="33.059999999999945"/>
    <n v="2627.86"/>
  </r>
  <r>
    <x v="0"/>
    <x v="6"/>
    <x v="0"/>
    <s v="4600107"/>
    <n v="749530"/>
    <s v="Travel"/>
    <s v="GI Lab"/>
    <x v="0"/>
    <m/>
    <n v="0"/>
    <n v="0"/>
    <n v="0"/>
    <n v="0"/>
    <n v="0"/>
    <n v="0"/>
    <n v="0"/>
    <n v="30"/>
    <n v="0"/>
    <n v="376.91"/>
    <n v="0"/>
    <n v="434.78"/>
    <n v="841.69"/>
    <n v="-434.78"/>
  </r>
  <r>
    <x v="0"/>
    <x v="6"/>
    <x v="0"/>
    <s v="4600107"/>
    <n v="749530"/>
    <s v="Mileage"/>
    <s v="GI Lab"/>
    <x v="0"/>
    <n v="1001"/>
    <n v="0"/>
    <n v="0"/>
    <n v="0"/>
    <n v="0"/>
    <n v="0"/>
    <n v="0"/>
    <n v="0"/>
    <n v="197.2"/>
    <n v="0"/>
    <n v="195.46"/>
    <n v="0"/>
    <n v="200.68"/>
    <n v="593.33999999999992"/>
    <n v="-200.68"/>
  </r>
  <r>
    <x v="18"/>
    <x v="7"/>
    <x v="0"/>
    <s v="4600150"/>
    <n v="400010"/>
    <s v="Acute I/P Svcs Rev--Medicare"/>
    <s v="Gastro Intestinal (GI) Svcs"/>
    <x v="0"/>
    <n v="1100"/>
    <n v="-7435.53"/>
    <n v="-14286.84"/>
    <n v="-4515.57"/>
    <n v="-4890.87"/>
    <n v="-3660.46"/>
    <n v="-30719.64"/>
    <n v="-18248.939999999999"/>
    <n v="-41792.620000000003"/>
    <n v="-19027.330000000002"/>
    <n v="-9059.59"/>
    <n v="-4148.37"/>
    <n v="-19345.22"/>
    <n v="-177130.97999999998"/>
    <n v="15196.850000000002"/>
  </r>
  <r>
    <x v="18"/>
    <x v="7"/>
    <x v="0"/>
    <s v="4600150"/>
    <n v="400010"/>
    <s v="Acute I/P Svcs Rev--Medicaid"/>
    <s v="Gastro Intestinal (GI) Svcs"/>
    <x v="0"/>
    <n v="1200"/>
    <n v="0"/>
    <n v="0"/>
    <n v="-2580.0100000000002"/>
    <n v="0"/>
    <n v="0"/>
    <n v="-4026.74"/>
    <n v="0"/>
    <n v="0"/>
    <n v="-782.01"/>
    <n v="-7865.74"/>
    <n v="0"/>
    <n v="-4588.97"/>
    <n v="-19843.47"/>
    <n v="4588.97"/>
  </r>
  <r>
    <x v="18"/>
    <x v="7"/>
    <x v="0"/>
    <s v="4600150"/>
    <n v="400010"/>
    <s v="Acute I/P Svcs Rev--BCBS Comm"/>
    <s v="Gastro Intestinal (GI) Svcs"/>
    <x v="0"/>
    <n v="1301"/>
    <n v="0"/>
    <n v="0"/>
    <n v="0"/>
    <n v="0"/>
    <n v="0"/>
    <n v="-4306.78"/>
    <n v="0"/>
    <n v="0"/>
    <n v="0"/>
    <n v="0"/>
    <n v="0"/>
    <n v="0"/>
    <n v="-4306.78"/>
    <n v="0"/>
  </r>
  <r>
    <x v="18"/>
    <x v="7"/>
    <x v="0"/>
    <s v="4600150"/>
    <n v="400010"/>
    <s v="Acute I/P Svcs Rev--Managed Care"/>
    <s v="Gastro Intestinal (GI) Svcs"/>
    <x v="0"/>
    <n v="1400"/>
    <n v="0"/>
    <n v="0"/>
    <n v="0"/>
    <n v="0"/>
    <n v="-6537.16"/>
    <n v="0"/>
    <n v="0"/>
    <n v="0"/>
    <n v="-7006.75"/>
    <n v="2858.38"/>
    <n v="-4588.97"/>
    <n v="-17892.34"/>
    <n v="-33166.839999999997"/>
    <n v="13303.369999999999"/>
  </r>
  <r>
    <x v="18"/>
    <x v="7"/>
    <x v="0"/>
    <s v="4600150"/>
    <n v="400010"/>
    <s v="Acute I/P Svcs Rev--Self Pay"/>
    <s v="Gastro Intestinal (GI) Svcs"/>
    <x v="0"/>
    <n v="1500"/>
    <n v="0"/>
    <n v="0"/>
    <n v="0"/>
    <n v="0"/>
    <n v="0"/>
    <n v="0"/>
    <n v="0"/>
    <n v="0"/>
    <n v="0"/>
    <n v="0"/>
    <n v="0"/>
    <n v="0"/>
    <n v="0"/>
    <n v="0"/>
  </r>
  <r>
    <x v="19"/>
    <x v="7"/>
    <x v="0"/>
    <s v="4600150"/>
    <n v="400020"/>
    <s v="O/P Care Svcs Rev--Medicare"/>
    <s v="Gastro Intestinal (GI) Svcs"/>
    <x v="0"/>
    <n v="1100"/>
    <n v="-273771.21999999997"/>
    <n v="-308363.89"/>
    <n v="-201899.79"/>
    <n v="-430737.46"/>
    <n v="-355156.95"/>
    <n v="-381749.48"/>
    <n v="-417920.4"/>
    <n v="-376038.81"/>
    <n v="-392108.26"/>
    <n v="-474366.14"/>
    <n v="-456942.19"/>
    <n v="-371807.71"/>
    <n v="-4440862.3"/>
    <n v="-85134.479999999981"/>
  </r>
  <r>
    <x v="19"/>
    <x v="7"/>
    <x v="0"/>
    <s v="4600150"/>
    <n v="400020"/>
    <s v="O/P Care Svcs Rev--Medicaid"/>
    <s v="Gastro Intestinal (GI) Svcs"/>
    <x v="0"/>
    <n v="1200"/>
    <n v="-109643.42"/>
    <n v="-96301.94"/>
    <n v="-41126.050000000003"/>
    <n v="-131866.96"/>
    <n v="-98337.81"/>
    <n v="-171214.5"/>
    <n v="-164812.29999999999"/>
    <n v="-128122.83"/>
    <n v="-136947.48000000001"/>
    <n v="-112258.39"/>
    <n v="-188683.53"/>
    <n v="-120231.94"/>
    <n v="-1499547.15"/>
    <n v="-68451.59"/>
  </r>
  <r>
    <x v="19"/>
    <x v="7"/>
    <x v="0"/>
    <s v="4600150"/>
    <n v="400020"/>
    <s v="O/P Care Svcs Rev--Comm Insurance"/>
    <s v="Gastro Intestinal (GI) Svcs"/>
    <x v="0"/>
    <n v="1300"/>
    <n v="-29572.560000000001"/>
    <n v="-23759.4"/>
    <n v="-16439.2"/>
    <n v="-25726.93"/>
    <n v="-23771.63"/>
    <n v="-34167.19"/>
    <n v="-16501.349999999999"/>
    <n v="-9478.41"/>
    <n v="-49738.21"/>
    <n v="-71472.179999999993"/>
    <n v="-64482.92"/>
    <n v="-42534.400000000001"/>
    <n v="-407644.38"/>
    <n v="-21948.519999999997"/>
  </r>
  <r>
    <x v="19"/>
    <x v="7"/>
    <x v="0"/>
    <s v="4600150"/>
    <n v="400020"/>
    <s v="O/P Care Svcs Rev--BCBS Comm"/>
    <s v="Gastro Intestinal (GI) Svcs"/>
    <x v="0"/>
    <n v="1301"/>
    <n v="-94143.39"/>
    <n v="-165372.25"/>
    <n v="-82581.27"/>
    <n v="-152107.32999999999"/>
    <n v="-86653.95"/>
    <n v="-92672.17"/>
    <n v="-133320.43"/>
    <n v="-153100.89000000001"/>
    <n v="-178250.03"/>
    <n v="-188218.94"/>
    <n v="-197118.82"/>
    <n v="-107945.78"/>
    <n v="-1631485.25"/>
    <n v="-89173.040000000008"/>
  </r>
  <r>
    <x v="19"/>
    <x v="7"/>
    <x v="0"/>
    <s v="4600150"/>
    <n v="400020"/>
    <s v="O/P Care Svcs Rev--Managed Care"/>
    <s v="Gastro Intestinal (GI) Svcs"/>
    <x v="0"/>
    <n v="1400"/>
    <n v="-215763.71"/>
    <n v="-245672.05"/>
    <n v="-192829.32"/>
    <n v="-323763.98"/>
    <n v="-342597.34"/>
    <n v="-410457.52"/>
    <n v="-388356.69"/>
    <n v="-290126.25"/>
    <n v="-473521.31"/>
    <n v="-432985.61"/>
    <n v="-327425.91999999998"/>
    <n v="-456168.12"/>
    <n v="-4099667.8200000003"/>
    <n v="128742.20000000001"/>
  </r>
  <r>
    <x v="19"/>
    <x v="7"/>
    <x v="0"/>
    <s v="4600150"/>
    <n v="400020"/>
    <s v="O/P Care Svcs Rev--Self Pay"/>
    <s v="Gastro Intestinal (GI) Svcs"/>
    <x v="0"/>
    <n v="1500"/>
    <n v="-5091.75"/>
    <n v="-17179.740000000002"/>
    <n v="0"/>
    <n v="-5082.9399999999996"/>
    <n v="-5449.46"/>
    <n v="3266.57"/>
    <n v="-9413.3799999999992"/>
    <n v="-9731.7999999999993"/>
    <n v="-8007.26"/>
    <n v="-21815.88"/>
    <n v="-8521.77"/>
    <n v="-9117.17"/>
    <n v="-96144.58"/>
    <n v="595.39999999999964"/>
  </r>
  <r>
    <x v="19"/>
    <x v="7"/>
    <x v="0"/>
    <s v="4600150"/>
    <n v="400020"/>
    <s v="O/P Care Svcs Rev--Other"/>
    <s v="Gastro Intestinal (GI) Svcs"/>
    <x v="0"/>
    <n v="1700"/>
    <n v="-14875.34"/>
    <n v="-23670.59"/>
    <n v="-7579.88"/>
    <n v="-35411.96"/>
    <n v="-22935.47"/>
    <n v="-21049.23"/>
    <n v="-20165.939999999999"/>
    <n v="-36428.67"/>
    <n v="-24470.15"/>
    <n v="-41598.089999999997"/>
    <n v="-50622.45"/>
    <n v="-27720.92"/>
    <n v="-326528.68999999994"/>
    <n v="-22901.53"/>
  </r>
  <r>
    <x v="5"/>
    <x v="7"/>
    <x v="0"/>
    <s v="4600150"/>
    <n v="700026"/>
    <s v="Salaries-RN-Productive"/>
    <s v="Gastro Intestinal (GI) Svcs"/>
    <x v="0"/>
    <m/>
    <n v="29435.85"/>
    <n v="31902.9"/>
    <n v="20917.73"/>
    <n v="34230.85"/>
    <n v="28710.35"/>
    <n v="28242.9"/>
    <n v="31902.95"/>
    <n v="24412.84"/>
    <n v="35545.94"/>
    <n v="30133.72"/>
    <n v="35633.49"/>
    <n v="18686.61"/>
    <n v="349756.13"/>
    <n v="16946.879999999997"/>
  </r>
  <r>
    <x v="5"/>
    <x v="7"/>
    <x v="0"/>
    <s v="4600150"/>
    <n v="700026"/>
    <s v="Salaries-RN-OT"/>
    <s v="Gastro Intestinal (GI) Svcs"/>
    <x v="0"/>
    <n v="1000"/>
    <n v="1481.25"/>
    <n v="1004.43"/>
    <n v="804.41"/>
    <n v="925.29"/>
    <n v="307.37"/>
    <n v="643.47"/>
    <n v="659.5"/>
    <n v="464.6"/>
    <n v="3773.68"/>
    <n v="1916.8"/>
    <n v="4726.96"/>
    <n v="3062.71"/>
    <n v="19770.469999999998"/>
    <n v="1664.25"/>
  </r>
  <r>
    <x v="5"/>
    <x v="7"/>
    <x v="0"/>
    <s v="4600150"/>
    <n v="700026"/>
    <s v="Salaries-RN-Other"/>
    <s v="Gastro Intestinal (GI) Svcs"/>
    <x v="0"/>
    <n v="2000"/>
    <n v="577.29999999999995"/>
    <n v="258.88"/>
    <n v="349.97"/>
    <n v="567.63"/>
    <n v="961.1"/>
    <n v="750.38"/>
    <n v="225.11"/>
    <n v="391.1"/>
    <n v="717.45"/>
    <n v="856.9"/>
    <n v="1582.71"/>
    <n v="807.02"/>
    <n v="8045.5499999999993"/>
    <n v="775.69"/>
  </r>
  <r>
    <x v="5"/>
    <x v="7"/>
    <x v="0"/>
    <s v="4600150"/>
    <n v="700032"/>
    <s v="Salaries-Other Pat Care Providers-Productive"/>
    <s v="Gastro Intestinal (GI) Svcs"/>
    <x v="0"/>
    <m/>
    <n v="5025.78"/>
    <n v="7305.13"/>
    <n v="4447.43"/>
    <n v="8450.7199999999993"/>
    <n v="6020.46"/>
    <n v="6122.26"/>
    <n v="7732.45"/>
    <n v="5951.35"/>
    <n v="8623.3700000000008"/>
    <n v="7743.68"/>
    <n v="9259.18"/>
    <n v="8305.52"/>
    <n v="84987.33"/>
    <n v="953.65999999999985"/>
  </r>
  <r>
    <x v="5"/>
    <x v="7"/>
    <x v="0"/>
    <s v="4600150"/>
    <n v="700032"/>
    <s v="Salaries-Other Pat Care Providers-OT"/>
    <s v="Gastro Intestinal (GI) Svcs"/>
    <x v="0"/>
    <n v="1000"/>
    <n v="198.8"/>
    <n v="219.74"/>
    <n v="72.010000000000005"/>
    <n v="207.32"/>
    <n v="-15.41"/>
    <n v="85.64"/>
    <n v="273.23"/>
    <n v="22.26"/>
    <n v="449.59"/>
    <n v="290.75"/>
    <n v="438.51"/>
    <n v="373.32"/>
    <n v="2615.7599999999998"/>
    <n v="65.19"/>
  </r>
  <r>
    <x v="5"/>
    <x v="7"/>
    <x v="0"/>
    <s v="4600150"/>
    <n v="700032"/>
    <s v="Salaries-Other Pat Care Providers-Other"/>
    <s v="Gastro Intestinal (GI) Svcs"/>
    <x v="0"/>
    <n v="2000"/>
    <n v="0"/>
    <n v="0"/>
    <n v="7.06"/>
    <n v="117.09"/>
    <n v="42.36"/>
    <n v="13.75"/>
    <n v="111.02"/>
    <n v="48.29"/>
    <n v="99.06"/>
    <n v="40.67"/>
    <n v="192.95"/>
    <n v="175.94"/>
    <n v="848.19"/>
    <n v="17.009999999999991"/>
  </r>
  <r>
    <x v="5"/>
    <x v="7"/>
    <x v="0"/>
    <s v="4600150"/>
    <n v="700054"/>
    <s v="Salaries-Management-NonProd-Other"/>
    <s v="Gastro Intestinal (GI) Svcs"/>
    <x v="0"/>
    <n v="2000"/>
    <n v="0"/>
    <n v="0"/>
    <n v="0"/>
    <n v="0"/>
    <n v="0"/>
    <n v="542.52"/>
    <n v="-542.52"/>
    <n v="0"/>
    <n v="0"/>
    <n v="0"/>
    <n v="0"/>
    <n v="0"/>
    <n v="0"/>
    <n v="0"/>
  </r>
  <r>
    <x v="5"/>
    <x v="7"/>
    <x v="0"/>
    <s v="4600150"/>
    <n v="700066"/>
    <s v="Salaries-RN-Non-productive"/>
    <s v="Gastro Intestinal (GI) Svcs"/>
    <x v="0"/>
    <m/>
    <n v="5820.35"/>
    <n v="3545.8"/>
    <n v="6210.53"/>
    <n v="8955.91"/>
    <n v="6285.61"/>
    <n v="6816.9"/>
    <n v="1379.25"/>
    <n v="5884.39"/>
    <n v="1951.23"/>
    <n v="5373.81"/>
    <n v="1472.31"/>
    <n v="9047.83"/>
    <n v="62743.92"/>
    <n v="-7575.52"/>
  </r>
  <r>
    <x v="5"/>
    <x v="7"/>
    <x v="0"/>
    <s v="4600150"/>
    <n v="700066"/>
    <s v="Salaries-RN-NonProd-Other"/>
    <s v="Gastro Intestinal (GI) Svcs"/>
    <x v="0"/>
    <n v="2000"/>
    <n v="371.3"/>
    <n v="439.18"/>
    <n v="23.03"/>
    <n v="111.62"/>
    <n v="76.64"/>
    <n v="453.17"/>
    <n v="0"/>
    <n v="-376.31"/>
    <n v="158.94"/>
    <n v="454.21"/>
    <n v="-8.6300000000000008"/>
    <n v="653.08000000000004"/>
    <n v="2356.23"/>
    <n v="-661.71"/>
  </r>
  <r>
    <x v="5"/>
    <x v="7"/>
    <x v="0"/>
    <s v="4600150"/>
    <n v="700072"/>
    <s v="Salaries-Other Pat Care Providers-Non-productive"/>
    <s v="Gastro Intestinal (GI) Svcs"/>
    <x v="0"/>
    <m/>
    <n v="2313.54"/>
    <n v="-206.82"/>
    <n v="503.73"/>
    <n v="446.1"/>
    <n v="43.47"/>
    <n v="980.72"/>
    <n v="772.91"/>
    <n v="683.41"/>
    <n v="58.06"/>
    <n v="348.12"/>
    <n v="58.07"/>
    <n v="406.2"/>
    <n v="6407.5099999999993"/>
    <n v="-348.13"/>
  </r>
  <r>
    <x v="5"/>
    <x v="7"/>
    <x v="0"/>
    <s v="4600150"/>
    <n v="700072"/>
    <s v="Salaries-Other Pat Care Providers-NonProd-Other"/>
    <s v="Gastro Intestinal (GI) Svcs"/>
    <x v="0"/>
    <n v="2000"/>
    <n v="30.43"/>
    <n v="20.53"/>
    <n v="13.25"/>
    <n v="37.07"/>
    <n v="-1.1000000000000001"/>
    <n v="0.37"/>
    <n v="0"/>
    <n v="23.51"/>
    <n v="13.54"/>
    <n v="25.53"/>
    <n v="15.52"/>
    <n v="0.76"/>
    <n v="179.41000000000003"/>
    <n v="14.76"/>
  </r>
  <r>
    <x v="5"/>
    <x v="7"/>
    <x v="0"/>
    <s v="4600150"/>
    <n v="700084"/>
    <s v="Accrued PTO"/>
    <s v="Gastro Intestinal (GI) Svcs"/>
    <x v="0"/>
    <m/>
    <n v="-766.77"/>
    <n v="1711.43"/>
    <n v="-1511.68"/>
    <n v="605.70000000000005"/>
    <n v="-2472.4499999999998"/>
    <n v="-1187.28"/>
    <n v="2795.38"/>
    <n v="835.02"/>
    <n v="2531.41"/>
    <n v="970.31"/>
    <n v="2693.69"/>
    <n v="-3640.91"/>
    <n v="2563.8500000000004"/>
    <n v="6334.6"/>
  </r>
  <r>
    <x v="6"/>
    <x v="7"/>
    <x v="0"/>
    <s v="4600150"/>
    <n v="713010"/>
    <s v="Benefits-FICA/Medicare"/>
    <s v="Gastro Intestinal (GI) Svcs"/>
    <x v="0"/>
    <m/>
    <n v="3347.62"/>
    <n v="3289.34"/>
    <n v="2440.9499999999998"/>
    <n v="4020.41"/>
    <n v="3169.06"/>
    <n v="3767.21"/>
    <n v="3220.05"/>
    <n v="2804.68"/>
    <n v="3821.83"/>
    <n v="3504.25"/>
    <n v="4314.91"/>
    <n v="3101.89"/>
    <n v="40802.199999999997"/>
    <n v="1213.02"/>
  </r>
  <r>
    <x v="6"/>
    <x v="7"/>
    <x v="0"/>
    <s v="4600150"/>
    <n v="713090"/>
    <s v="Benefits-Allocated Amounts"/>
    <s v="Gastro Intestinal (GI) Svcs"/>
    <x v="0"/>
    <m/>
    <n v="8771.34"/>
    <n v="7691.6"/>
    <n v="6296.59"/>
    <n v="10386.780000000001"/>
    <n v="7809.91"/>
    <n v="8019.85"/>
    <n v="8763.16"/>
    <n v="6985.5"/>
    <n v="8876.86"/>
    <n v="9264.8700000000008"/>
    <n v="9899.94"/>
    <n v="8531.0400000000009"/>
    <n v="101297.44"/>
    <n v="1368.8999999999996"/>
  </r>
  <r>
    <x v="7"/>
    <x v="7"/>
    <x v="0"/>
    <s v="4600150"/>
    <n v="718050"/>
    <s v="Miscellaneous Purchased Svcs"/>
    <s v="Gastro Intestinal (GI) Svcs"/>
    <x v="0"/>
    <n v="1020"/>
    <n v="37.590000000000003"/>
    <n v="270.58999999999997"/>
    <n v="0"/>
    <n v="75.180000000000007"/>
    <n v="37.590000000000003"/>
    <n v="454.59"/>
    <n v="37.590000000000003"/>
    <n v="37.590000000000003"/>
    <n v="37.590000000000003"/>
    <n v="37.590000000000003"/>
    <n v="37.590000000000003"/>
    <n v="37.590000000000003"/>
    <n v="1101.08"/>
    <n v="0"/>
  </r>
  <r>
    <x v="7"/>
    <x v="7"/>
    <x v="0"/>
    <s v="4600150"/>
    <n v="718050"/>
    <s v="Translation Services"/>
    <s v="Gastro Intestinal (GI) Svcs"/>
    <x v="0"/>
    <n v="1025"/>
    <n v="0"/>
    <n v="0"/>
    <n v="0"/>
    <n v="884.75"/>
    <n v="201"/>
    <n v="0"/>
    <n v="72"/>
    <n v="293.04000000000002"/>
    <n v="0"/>
    <n v="147.5"/>
    <n v="0"/>
    <n v="152"/>
    <n v="1750.29"/>
    <n v="-152"/>
  </r>
  <r>
    <x v="7"/>
    <x v="7"/>
    <x v="0"/>
    <s v="4600150"/>
    <n v="718050"/>
    <s v="Contract Management--Linen"/>
    <s v="Gastro Intestinal (GI) Svcs"/>
    <x v="0"/>
    <n v="1026"/>
    <n v="1156.07"/>
    <n v="1314.39"/>
    <n v="973.18"/>
    <n v="1254.01"/>
    <n v="993.61"/>
    <n v="1128.44"/>
    <n v="1092.5899999999999"/>
    <n v="1266.33"/>
    <n v="1248.17"/>
    <n v="1547.23"/>
    <n v="1028.22"/>
    <n v="1932.22"/>
    <n v="14934.459999999997"/>
    <n v="-904"/>
  </r>
  <r>
    <x v="7"/>
    <x v="7"/>
    <x v="0"/>
    <s v="4600150"/>
    <n v="718070"/>
    <s v="Contract Srvcs-CHI Clinical Engineering"/>
    <s v="Gastro Intestinal (GI) Svcs"/>
    <x v="0"/>
    <m/>
    <n v="1202.58"/>
    <n v="1297.3800000000001"/>
    <n v="630.78"/>
    <n v="630.78"/>
    <n v="1068.3699999999999"/>
    <n v="634.76"/>
    <n v="1068.3699999999999"/>
    <n v="1068.3699999999999"/>
    <n v="1069.08"/>
    <n v="1069.08"/>
    <n v="1069.08"/>
    <n v="1069.08"/>
    <n v="11877.71"/>
    <n v="0"/>
  </r>
  <r>
    <x v="7"/>
    <x v="7"/>
    <x v="0"/>
    <s v="4600150"/>
    <n v="718091"/>
    <s v="Contract Services-Intracompany Allocation"/>
    <s v="Gastro Intestinal (GI) Svcs"/>
    <x v="0"/>
    <m/>
    <n v="2278.64"/>
    <n v="2509.69"/>
    <n v="2252.2399999999998"/>
    <n v="2479.35"/>
    <n v="2029.26"/>
    <n v="2137.87"/>
    <n v="2291.14"/>
    <n v="2127.6799999999998"/>
    <n v="2305.8000000000002"/>
    <n v="2290.15"/>
    <n v="2170.23"/>
    <n v="2375.65"/>
    <n v="27247.7"/>
    <n v="-205.42000000000007"/>
  </r>
  <r>
    <x v="11"/>
    <x v="7"/>
    <x v="0"/>
    <s v="4600150"/>
    <n v="721010"/>
    <s v="Supplies-Medical - Billable"/>
    <s v="Gastro Intestinal (GI) Svcs"/>
    <x v="0"/>
    <m/>
    <n v="611.85"/>
    <n v="667.93"/>
    <n v="290"/>
    <n v="558.71"/>
    <n v="87"/>
    <n v="234.57"/>
    <n v="464"/>
    <n v="349.43"/>
    <n v="290"/>
    <n v="1320.83"/>
    <n v="378.43"/>
    <n v="183.19"/>
    <n v="5435.94"/>
    <n v="195.24"/>
  </r>
  <r>
    <x v="11"/>
    <x v="7"/>
    <x v="0"/>
    <s v="4600150"/>
    <n v="721010"/>
    <s v="Patient Monitoring"/>
    <s v="Gastro Intestinal (GI) Svcs"/>
    <x v="0"/>
    <n v="1000"/>
    <n v="38.880000000000003"/>
    <n v="72.14"/>
    <n v="38.19"/>
    <n v="178.92"/>
    <n v="48.23"/>
    <n v="39.68"/>
    <n v="90.55"/>
    <n v="40.909999999999997"/>
    <n v="48.17"/>
    <n v="62.06"/>
    <n v="66.39"/>
    <n v="58.9"/>
    <n v="783.02"/>
    <n v="7.490000000000002"/>
  </r>
  <r>
    <x v="11"/>
    <x v="7"/>
    <x v="0"/>
    <s v="4600150"/>
    <n v="721020"/>
    <s v="Supplies-Surgical - Billable"/>
    <s v="Gastro Intestinal (GI) Svcs"/>
    <x v="0"/>
    <m/>
    <n v="5277.55"/>
    <n v="7029.41"/>
    <n v="5543.23"/>
    <n v="8033"/>
    <n v="9510.6200000000008"/>
    <n v="5880.06"/>
    <n v="7035.13"/>
    <n v="6424.63"/>
    <n v="4680.08"/>
    <n v="6251.74"/>
    <n v="3153.34"/>
    <n v="4718.3500000000004"/>
    <n v="73537.14"/>
    <n v="-1565.0100000000002"/>
  </r>
  <r>
    <x v="11"/>
    <x v="7"/>
    <x v="0"/>
    <s v="4600150"/>
    <n v="721020"/>
    <s v="Endomechanical Supplies &amp; Instruments"/>
    <s v="Gastro Intestinal (GI) Svcs"/>
    <x v="0"/>
    <n v="1003"/>
    <n v="1723.39"/>
    <n v="1057.4000000000001"/>
    <n v="798.9"/>
    <n v="1390.7"/>
    <n v="1314.09"/>
    <n v="1154.44"/>
    <n v="2027.1"/>
    <n v="985.24"/>
    <n v="1025.99"/>
    <n v="1430.72"/>
    <n v="8330.2199999999993"/>
    <n v="2344.0300000000002"/>
    <n v="23582.219999999998"/>
    <n v="5986.1899999999987"/>
  </r>
  <r>
    <x v="11"/>
    <x v="7"/>
    <x v="0"/>
    <s v="4600150"/>
    <n v="721020"/>
    <s v="Tubes Drains &amp; Related Supplies"/>
    <s v="Gastro Intestinal (GI) Svcs"/>
    <x v="0"/>
    <n v="1008"/>
    <n v="0"/>
    <n v="0"/>
    <n v="99"/>
    <n v="99"/>
    <n v="0"/>
    <n v="99"/>
    <n v="0"/>
    <n v="0"/>
    <n v="99"/>
    <n v="1727.71"/>
    <n v="-23.49"/>
    <n v="-91.35"/>
    <n v="2008.8700000000003"/>
    <n v="67.86"/>
  </r>
  <r>
    <x v="11"/>
    <x v="7"/>
    <x v="0"/>
    <s v="4600150"/>
    <n v="721050"/>
    <s v="Supplies-Cardiac Rhythm - Billable"/>
    <s v="Gastro Intestinal (GI) Svcs"/>
    <x v="0"/>
    <m/>
    <n v="1150.8"/>
    <n v="1224.21"/>
    <n v="292"/>
    <n v="763.2"/>
    <n v="1363.2"/>
    <n v="1359.2"/>
    <n v="1596.8"/>
    <n v="671.6"/>
    <n v="2051"/>
    <n v="2583.6"/>
    <n v="467.2"/>
    <n v="1071.2"/>
    <n v="14594.010000000002"/>
    <n v="-604"/>
  </r>
  <r>
    <x v="11"/>
    <x v="7"/>
    <x v="0"/>
    <s v="4600150"/>
    <n v="721240"/>
    <s v="Supplies-IV Solutions/Supplies - Billable"/>
    <s v="Gastro Intestinal (GI) Svcs"/>
    <x v="0"/>
    <m/>
    <n v="1177.44"/>
    <n v="1549.9"/>
    <n v="896.9"/>
    <n v="1544.42"/>
    <n v="1277.1500000000001"/>
    <n v="1434.11"/>
    <n v="1327.72"/>
    <n v="1188.77"/>
    <n v="1574.19"/>
    <n v="2016.06"/>
    <n v="1816.47"/>
    <n v="1573.47"/>
    <n v="17376.599999999999"/>
    <n v="243"/>
  </r>
  <r>
    <x v="11"/>
    <x v="7"/>
    <x v="0"/>
    <s v="4600150"/>
    <n v="721250"/>
    <s v="Supplies-Pharmacy Drugs - Billable"/>
    <s v="Gastro Intestinal (GI) Svcs"/>
    <x v="0"/>
    <m/>
    <n v="3.4"/>
    <n v="0"/>
    <n v="4.8600000000000003"/>
    <n v="0"/>
    <n v="1.71"/>
    <n v="9.7200000000000006"/>
    <n v="6.84"/>
    <n v="0"/>
    <n v="8.1"/>
    <n v="10.26"/>
    <n v="22.23"/>
    <n v="0"/>
    <n v="67.11999999999999"/>
    <n v="22.23"/>
  </r>
  <r>
    <x v="11"/>
    <x v="7"/>
    <x v="0"/>
    <s v="4600150"/>
    <n v="721410"/>
    <s v="Supplies-Medical - Nonbillable"/>
    <s v="Gastro Intestinal (GI) Svcs"/>
    <x v="0"/>
    <m/>
    <n v="4488.04"/>
    <n v="2960.61"/>
    <n v="2145.6999999999998"/>
    <n v="5662.66"/>
    <n v="3012.23"/>
    <n v="3618.31"/>
    <n v="4121.93"/>
    <n v="2969.59"/>
    <n v="3751.03"/>
    <n v="137.35"/>
    <n v="3669.1"/>
    <n v="3837.63"/>
    <n v="40374.179999999993"/>
    <n v="-168.5300000000002"/>
  </r>
  <r>
    <x v="11"/>
    <x v="7"/>
    <x v="0"/>
    <s v="4600150"/>
    <n v="721410"/>
    <s v="Patient Monitoring"/>
    <s v="Gastro Intestinal (GI) Svcs"/>
    <x v="0"/>
    <n v="1000"/>
    <n v="14.55"/>
    <n v="0"/>
    <n v="0"/>
    <n v="0"/>
    <n v="0"/>
    <n v="0"/>
    <n v="0"/>
    <n v="357.22"/>
    <n v="832.39"/>
    <n v="441.61"/>
    <n v="0"/>
    <n v="0"/>
    <n v="1645.77"/>
    <n v="0"/>
  </r>
  <r>
    <x v="11"/>
    <x v="7"/>
    <x v="0"/>
    <s v="4600150"/>
    <n v="721420"/>
    <s v="Supplies-Surgical Nonbillable"/>
    <s v="Gastro Intestinal (GI) Svcs"/>
    <x v="0"/>
    <m/>
    <n v="1439.19"/>
    <n v="739.57"/>
    <n v="2422.23"/>
    <n v="1934.65"/>
    <n v="837.66"/>
    <n v="963.17"/>
    <n v="2417.4899999999998"/>
    <n v="931.75"/>
    <n v="1602.47"/>
    <n v="1411.55"/>
    <n v="1459.15"/>
    <n v="1413.2"/>
    <n v="17572.079999999998"/>
    <n v="45.950000000000045"/>
  </r>
  <r>
    <x v="11"/>
    <x v="7"/>
    <x v="0"/>
    <s v="4600150"/>
    <n v="721420"/>
    <s v="Tubes Drains &amp; Related Supplies"/>
    <s v="Gastro Intestinal (GI) Svcs"/>
    <x v="0"/>
    <n v="1008"/>
    <n v="59.4"/>
    <n v="57"/>
    <n v="37.799999999999997"/>
    <n v="67.2"/>
    <n v="49.8"/>
    <n v="52.2"/>
    <n v="77.58"/>
    <n v="62.4"/>
    <n v="60"/>
    <n v="52.8"/>
    <n v="69.599999999999994"/>
    <n v="46.8"/>
    <n v="692.57999999999981"/>
    <n v="22.799999999999997"/>
  </r>
  <r>
    <x v="11"/>
    <x v="7"/>
    <x v="0"/>
    <s v="4600150"/>
    <n v="721420"/>
    <s v="Sterilization Process Products"/>
    <s v="Gastro Intestinal (GI) Svcs"/>
    <x v="0"/>
    <n v="1009"/>
    <n v="893.63"/>
    <n v="1955.55"/>
    <n v="1688.12"/>
    <n v="2434.83"/>
    <n v="2001.23"/>
    <n v="2657.42"/>
    <n v="2220.42"/>
    <n v="1904.08"/>
    <n v="2819.11"/>
    <n v="2556.54"/>
    <n v="2915.26"/>
    <n v="2691.31"/>
    <n v="26737.500000000004"/>
    <n v="223.95000000000027"/>
  </r>
  <r>
    <x v="11"/>
    <x v="7"/>
    <x v="0"/>
    <s v="4600150"/>
    <n v="721610"/>
    <s v="Supplies-Anesthesia - Nonbillable"/>
    <s v="Gastro Intestinal (GI) Svcs"/>
    <x v="0"/>
    <m/>
    <n v="144.58000000000001"/>
    <n v="174.09"/>
    <n v="86.47"/>
    <n v="14.8"/>
    <n v="-6.34"/>
    <n v="10.57"/>
    <n v="0.98"/>
    <n v="26.93"/>
    <n v="0.49"/>
    <n v="9.11"/>
    <n v="0.98"/>
    <n v="0"/>
    <n v="462.66000000000008"/>
    <n v="0.98"/>
  </r>
  <r>
    <x v="11"/>
    <x v="7"/>
    <x v="0"/>
    <s v="4600150"/>
    <n v="721640"/>
    <s v="Supplies-IV Solutions/Supplies - Nonbillable"/>
    <s v="Gastro Intestinal (GI) Svcs"/>
    <x v="0"/>
    <m/>
    <n v="416.1"/>
    <n v="578.09"/>
    <n v="332.55"/>
    <n v="545.1"/>
    <n v="500.24"/>
    <n v="524.87"/>
    <n v="509.78"/>
    <n v="450.3"/>
    <n v="1163.9000000000001"/>
    <n v="580.41999999999996"/>
    <n v="609.09"/>
    <n v="556.95000000000005"/>
    <n v="6767.39"/>
    <n v="52.139999999999986"/>
  </r>
  <r>
    <x v="11"/>
    <x v="7"/>
    <x v="0"/>
    <s v="4600150"/>
    <n v="721650"/>
    <s v="Supplies-Pharmacy Drugs - Nonbillable"/>
    <s v="Gastro Intestinal (GI) Svcs"/>
    <x v="0"/>
    <m/>
    <n v="100.17"/>
    <n v="111.57"/>
    <n v="-45.2"/>
    <n v="0.53"/>
    <n v="2.42"/>
    <n v="5.33"/>
    <n v="2.16"/>
    <n v="2.91"/>
    <n v="0.97"/>
    <n v="0"/>
    <n v="0"/>
    <n v="0.62"/>
    <n v="181.48000000000002"/>
    <n v="-0.62"/>
  </r>
  <r>
    <x v="11"/>
    <x v="7"/>
    <x v="0"/>
    <s v="4600150"/>
    <n v="721710"/>
    <s v="Supplies-Laboratory - Nonbillable"/>
    <s v="Gastro Intestinal (GI) Svcs"/>
    <x v="0"/>
    <m/>
    <n v="723.96"/>
    <n v="756.95"/>
    <n v="595.69000000000005"/>
    <n v="230.25"/>
    <n v="203.54"/>
    <n v="532.67999999999995"/>
    <n v="-23.44"/>
    <n v="209.47"/>
    <n v="270.49"/>
    <n v="261.54000000000002"/>
    <n v="525.22"/>
    <n v="472.31"/>
    <n v="4758.6600000000008"/>
    <n v="52.910000000000025"/>
  </r>
  <r>
    <x v="11"/>
    <x v="7"/>
    <x v="0"/>
    <s v="4600150"/>
    <n v="721710"/>
    <s v="Reagents"/>
    <s v="Gastro Intestinal (GI) Svcs"/>
    <x v="0"/>
    <n v="1000"/>
    <n v="0"/>
    <n v="106.32"/>
    <n v="9.01"/>
    <n v="78.540000000000006"/>
    <n v="39.15"/>
    <n v="28.72"/>
    <n v="111.17"/>
    <n v="53.17"/>
    <n v="53.16"/>
    <n v="57.44"/>
    <n v="83.43"/>
    <n v="84.69"/>
    <n v="704.80000000000018"/>
    <n v="-1.2599999999999909"/>
  </r>
  <r>
    <x v="11"/>
    <x v="7"/>
    <x v="0"/>
    <s v="4600150"/>
    <n v="721810"/>
    <s v="Supplies-Dietary/Cafeteria"/>
    <s v="Gastro Intestinal (GI) Svcs"/>
    <x v="0"/>
    <m/>
    <n v="74.349999999999994"/>
    <n v="103.95"/>
    <n v="38.18"/>
    <n v="81.89"/>
    <n v="65.05"/>
    <n v="70"/>
    <n v="66.33"/>
    <n v="65.099999999999994"/>
    <n v="109.11"/>
    <n v="81.3"/>
    <n v="100.03"/>
    <n v="45.35"/>
    <n v="900.64"/>
    <n v="54.68"/>
  </r>
  <r>
    <x v="11"/>
    <x v="7"/>
    <x v="0"/>
    <s v="4600150"/>
    <n v="721830"/>
    <s v="Supplies-Office"/>
    <s v="Gastro Intestinal (GI) Svcs"/>
    <x v="0"/>
    <m/>
    <n v="95.94"/>
    <n v="0"/>
    <n v="38.31"/>
    <n v="61.08"/>
    <n v="0"/>
    <n v="146.04"/>
    <n v="1542.59"/>
    <n v="688.48"/>
    <n v="0"/>
    <n v="0"/>
    <n v="1067.55"/>
    <n v="75.540000000000006"/>
    <n v="3715.5299999999997"/>
    <n v="992.01"/>
  </r>
  <r>
    <x v="11"/>
    <x v="7"/>
    <x v="0"/>
    <s v="4600150"/>
    <n v="721870"/>
    <s v="Supplies-Environmental Services"/>
    <s v="Gastro Intestinal (GI) Svcs"/>
    <x v="0"/>
    <m/>
    <n v="256.83999999999997"/>
    <n v="405.89"/>
    <n v="235.08"/>
    <n v="335.59"/>
    <n v="235.03"/>
    <n v="224.82"/>
    <n v="535.62"/>
    <n v="566.77"/>
    <n v="577.32000000000005"/>
    <n v="626.01"/>
    <n v="812.32"/>
    <n v="532.26"/>
    <n v="5343.55"/>
    <n v="280.06000000000006"/>
  </r>
  <r>
    <x v="11"/>
    <x v="7"/>
    <x v="0"/>
    <s v="4600150"/>
    <n v="721880"/>
    <s v="Supplies-Linen"/>
    <s v="Gastro Intestinal (GI) Svcs"/>
    <x v="0"/>
    <m/>
    <n v="0"/>
    <n v="6.42"/>
    <n v="0"/>
    <n v="6.42"/>
    <n v="0"/>
    <n v="9.6300000000000008"/>
    <n v="3.21"/>
    <n v="12.84"/>
    <n v="9.6300000000000008"/>
    <n v="9.6300000000000008"/>
    <n v="0"/>
    <n v="6.42"/>
    <n v="64.2"/>
    <n v="-6.42"/>
  </r>
  <r>
    <x v="11"/>
    <x v="7"/>
    <x v="0"/>
    <s v="4600150"/>
    <n v="721910"/>
    <s v="Supplies-Small Equipment"/>
    <s v="Gastro Intestinal (GI) Svcs"/>
    <x v="0"/>
    <m/>
    <n v="196.66"/>
    <n v="1228.04"/>
    <n v="-0.01"/>
    <n v="69.92"/>
    <n v="47.12"/>
    <n v="254.36"/>
    <n v="923.96"/>
    <n v="102.82"/>
    <n v="341.06"/>
    <n v="194.44"/>
    <n v="4.32"/>
    <n v="358.86"/>
    <n v="3721.5500000000006"/>
    <n v="-354.54"/>
  </r>
  <r>
    <x v="11"/>
    <x v="7"/>
    <x v="0"/>
    <s v="4600150"/>
    <n v="721980"/>
    <s v="Supplies-Other"/>
    <s v="Gastro Intestinal (GI) Svcs"/>
    <x v="0"/>
    <m/>
    <n v="0"/>
    <n v="221.35"/>
    <n v="0"/>
    <n v="0"/>
    <n v="0"/>
    <n v="0"/>
    <n v="19.260000000000002"/>
    <n v="74.52"/>
    <n v="0"/>
    <n v="54.95"/>
    <n v="0"/>
    <n v="2279.15"/>
    <n v="2649.23"/>
    <n v="-2279.15"/>
  </r>
  <r>
    <x v="11"/>
    <x v="7"/>
    <x v="0"/>
    <s v="4600150"/>
    <n v="722000"/>
    <s v="Supplies-Freight Expense"/>
    <s v="Gastro Intestinal (GI) Svcs"/>
    <x v="0"/>
    <m/>
    <n v="12.05"/>
    <n v="85.75"/>
    <n v="48.82"/>
    <n v="0"/>
    <n v="54.55"/>
    <n v="11.71"/>
    <n v="14.68"/>
    <n v="13.38"/>
    <n v="133.16999999999999"/>
    <n v="8.26"/>
    <n v="11.11"/>
    <n v="158.94"/>
    <n v="552.42000000000007"/>
    <n v="-147.82999999999998"/>
  </r>
  <r>
    <x v="12"/>
    <x v="7"/>
    <x v="0"/>
    <s v="4600150"/>
    <n v="730020"/>
    <s v="Rental and Leases-Copier Usage Fees (DO NOT USE)"/>
    <s v="Gastro Intestinal (GI) Svcs"/>
    <x v="0"/>
    <n v="5100"/>
    <n v="235.97"/>
    <n v="220.24"/>
    <n v="228.11"/>
    <n v="228.11"/>
    <n v="228.11"/>
    <n v="228.11"/>
    <n v="1227.73"/>
    <n v="105.29"/>
    <n v="105.07"/>
    <n v="583.82000000000005"/>
    <n v="105.29"/>
    <n v="125.54"/>
    <n v="3621.3900000000003"/>
    <n v="-20.25"/>
  </r>
  <r>
    <x v="13"/>
    <x v="7"/>
    <x v="0"/>
    <s v="4600150"/>
    <n v="735070"/>
    <s v="Depreciation-Movable Equipment"/>
    <s v="Gastro Intestinal (GI) Svcs"/>
    <x v="0"/>
    <m/>
    <n v="1622.15"/>
    <n v="1622.15"/>
    <n v="1622.15"/>
    <n v="1622.14"/>
    <n v="1622.15"/>
    <n v="1622.14"/>
    <n v="1622.17"/>
    <n v="1200.93"/>
    <n v="1200.97"/>
    <n v="1200.93"/>
    <n v="1200.97"/>
    <n v="1200.93"/>
    <n v="17359.78"/>
    <n v="3.999999999996362E-2"/>
  </r>
  <r>
    <x v="0"/>
    <x v="7"/>
    <x v="0"/>
    <s v="4600150"/>
    <n v="740020"/>
    <s v="Education-Registration Fees"/>
    <s v="Gastro Intestinal (GI) Svcs"/>
    <x v="0"/>
    <m/>
    <n v="180"/>
    <n v="0"/>
    <n v="0"/>
    <n v="160"/>
    <n v="0"/>
    <n v="0"/>
    <n v="0"/>
    <n v="0"/>
    <n v="0"/>
    <n v="0"/>
    <n v="1400"/>
    <n v="1700"/>
    <n v="3440"/>
    <n v="-300"/>
  </r>
  <r>
    <x v="0"/>
    <x v="7"/>
    <x v="0"/>
    <s v="4600150"/>
    <n v="749510"/>
    <s v="Miscellaneous Expenses"/>
    <s v="Gastro Intestinal (GI) Svcs"/>
    <x v="0"/>
    <m/>
    <n v="0"/>
    <n v="0"/>
    <n v="0"/>
    <n v="0"/>
    <n v="0"/>
    <n v="0"/>
    <n v="0"/>
    <n v="0"/>
    <n v="0"/>
    <n v="0"/>
    <n v="300"/>
    <n v="0"/>
    <n v="300"/>
    <n v="300"/>
  </r>
  <r>
    <x v="0"/>
    <x v="7"/>
    <x v="0"/>
    <s v="4600150"/>
    <n v="749510"/>
    <s v="RICE Rewards"/>
    <s v="Gastro Intestinal (GI) Svcs"/>
    <x v="0"/>
    <n v="5100"/>
    <n v="0"/>
    <n v="0"/>
    <n v="0"/>
    <n v="0"/>
    <n v="0"/>
    <n v="0"/>
    <n v="0"/>
    <n v="0"/>
    <n v="0"/>
    <n v="70.83"/>
    <n v="0"/>
    <n v="302"/>
    <n v="372.83"/>
    <n v="-302"/>
  </r>
  <r>
    <x v="18"/>
    <x v="10"/>
    <x v="0"/>
    <s v="4600306"/>
    <n v="400010"/>
    <s v="Acute I/P Svcs Rev--Medicare"/>
    <s v="Endoscopy"/>
    <x v="0"/>
    <n v="1100"/>
    <n v="-4620.2700000000004"/>
    <n v="-5333.93"/>
    <n v="-4752.43"/>
    <n v="0"/>
    <n v="0"/>
    <n v="0"/>
    <n v="0"/>
    <n v="-6185.67"/>
    <n v="-9822.7000000000007"/>
    <n v="0"/>
    <n v="-65.72"/>
    <n v="0"/>
    <n v="-30780.720000000005"/>
    <n v="-65.72"/>
  </r>
  <r>
    <x v="18"/>
    <x v="10"/>
    <x v="0"/>
    <s v="4600306"/>
    <n v="400010"/>
    <s v="Acute I/P Svcs Rev--Medicaid"/>
    <s v="Endoscopy"/>
    <x v="0"/>
    <n v="1200"/>
    <n v="0"/>
    <n v="0"/>
    <n v="0"/>
    <n v="-6796.19"/>
    <n v="0"/>
    <n v="0"/>
    <n v="-7013.38"/>
    <n v="0"/>
    <n v="0"/>
    <n v="0"/>
    <n v="0"/>
    <n v="0"/>
    <n v="-13809.57"/>
    <n v="0"/>
  </r>
  <r>
    <x v="18"/>
    <x v="10"/>
    <x v="0"/>
    <s v="4600306"/>
    <n v="400010"/>
    <s v="Acute I/P Svcs Rev--BCBS Comm"/>
    <s v="Endoscopy"/>
    <x v="0"/>
    <n v="1301"/>
    <n v="0"/>
    <n v="0"/>
    <n v="0"/>
    <n v="0"/>
    <n v="0"/>
    <n v="0"/>
    <n v="0"/>
    <n v="-5738.25"/>
    <n v="0"/>
    <n v="0"/>
    <n v="0"/>
    <n v="0"/>
    <n v="-5738.25"/>
    <n v="0"/>
  </r>
  <r>
    <x v="18"/>
    <x v="10"/>
    <x v="0"/>
    <s v="4600306"/>
    <n v="400010"/>
    <s v="Acute I/P Svcs Rev--Managed Care"/>
    <s v="Endoscopy"/>
    <x v="0"/>
    <n v="1400"/>
    <n v="0"/>
    <n v="0"/>
    <n v="0"/>
    <n v="0"/>
    <n v="0"/>
    <n v="0"/>
    <n v="0"/>
    <n v="0"/>
    <n v="-8635"/>
    <n v="0"/>
    <n v="0"/>
    <n v="0"/>
    <n v="-8635"/>
    <n v="0"/>
  </r>
  <r>
    <x v="7"/>
    <x v="10"/>
    <x v="0"/>
    <s v="4600306"/>
    <n v="718050"/>
    <s v="Miscellaneous Purchased Svcs"/>
    <s v="Endoscopy"/>
    <x v="0"/>
    <n v="1020"/>
    <n v="547.96"/>
    <n v="632.6"/>
    <n v="563.63"/>
    <n v="806.02"/>
    <n v="0"/>
    <n v="0"/>
    <n v="831.78"/>
    <n v="1464.25"/>
    <n v="2266.6"/>
    <n v="0"/>
    <n v="8.07"/>
    <n v="0"/>
    <n v="7120.91"/>
    <n v="8.07"/>
  </r>
  <r>
    <x v="18"/>
    <x v="0"/>
    <x v="0"/>
    <s v="4601102"/>
    <n v="400010"/>
    <s v="Acute I/P Svcs Rev--Medicare"/>
    <s v="Tacoma Endoscopy Center"/>
    <x v="0"/>
    <n v="1100"/>
    <n v="0"/>
    <n v="0"/>
    <n v="0"/>
    <n v="0"/>
    <n v="0"/>
    <n v="0"/>
    <n v="0"/>
    <n v="0"/>
    <n v="-6604.53"/>
    <n v="0"/>
    <n v="0"/>
    <n v="0"/>
    <n v="-6604.53"/>
    <n v="0"/>
  </r>
  <r>
    <x v="19"/>
    <x v="0"/>
    <x v="0"/>
    <s v="4601102"/>
    <n v="400020"/>
    <s v="O/P Care Svcs Rev--Medicare"/>
    <s v="Tacoma Endoscopy Center"/>
    <x v="0"/>
    <n v="1100"/>
    <n v="-1052176.95"/>
    <n v="-991239.48"/>
    <n v="-1099195.1200000001"/>
    <n v="-1457564.75"/>
    <n v="-1210436.54"/>
    <n v="-1431246.02"/>
    <n v="-1734560.93"/>
    <n v="-1530952.64"/>
    <n v="-2263268.13"/>
    <n v="-1990731.74"/>
    <n v="-1937982.69"/>
    <n v="-2294913.2000000002"/>
    <n v="-18994268.189999998"/>
    <n v="356930.51000000024"/>
  </r>
  <r>
    <x v="19"/>
    <x v="0"/>
    <x v="0"/>
    <s v="4601102"/>
    <n v="400020"/>
    <s v="O/P Care Svcs Rev--Medicaid"/>
    <s v="Tacoma Endoscopy Center"/>
    <x v="0"/>
    <n v="1200"/>
    <n v="-799256.38"/>
    <n v="-614017.9"/>
    <n v="-655364.65"/>
    <n v="-783682.47"/>
    <n v="-811183.81"/>
    <n v="-1015483.98"/>
    <n v="-1592019.43"/>
    <n v="-1180154.03"/>
    <n v="-1532241.5"/>
    <n v="-1610243.25"/>
    <n v="-1609800.8"/>
    <n v="-1441416.15"/>
    <n v="-13644864.350000001"/>
    <n v="-168384.65000000014"/>
  </r>
  <r>
    <x v="19"/>
    <x v="0"/>
    <x v="0"/>
    <s v="4601102"/>
    <n v="400020"/>
    <s v="O/P Care Svcs Rev--Comm Insurance"/>
    <s v="Tacoma Endoscopy Center"/>
    <x v="0"/>
    <n v="1300"/>
    <n v="-67186.81"/>
    <n v="-64983.56"/>
    <n v="-53078.6"/>
    <n v="-60578.74"/>
    <n v="-99997.46"/>
    <n v="-55956.26"/>
    <n v="-87617.03"/>
    <n v="-146709.12"/>
    <n v="-166218.91"/>
    <n v="-279640.8"/>
    <n v="-226463.04"/>
    <n v="-202526.44"/>
    <n v="-1510956.77"/>
    <n v="-23936.600000000006"/>
  </r>
  <r>
    <x v="19"/>
    <x v="0"/>
    <x v="0"/>
    <s v="4601102"/>
    <n v="400020"/>
    <s v="O/P Care Svcs Rev--BCBS Comm"/>
    <s v="Tacoma Endoscopy Center"/>
    <x v="0"/>
    <n v="1301"/>
    <n v="-196797.58"/>
    <n v="-267058.01"/>
    <n v="-112632.42"/>
    <n v="-255856.51"/>
    <n v="-329697.56"/>
    <n v="-371538.51"/>
    <n v="-410290.91"/>
    <n v="-373775.2"/>
    <n v="-421761.76"/>
    <n v="-497998.81"/>
    <n v="-552483.42000000004"/>
    <n v="-521016.17"/>
    <n v="-4310906.8600000003"/>
    <n v="-31467.250000000058"/>
  </r>
  <r>
    <x v="19"/>
    <x v="0"/>
    <x v="0"/>
    <s v="4601102"/>
    <n v="400020"/>
    <s v="O/P Care Svcs Rev--Managed Care"/>
    <s v="Tacoma Endoscopy Center"/>
    <x v="0"/>
    <n v="1400"/>
    <n v="-879642.96"/>
    <n v="-967062.11"/>
    <n v="-754304.98"/>
    <n v="-1087671.8"/>
    <n v="-1068065.04"/>
    <n v="-1536155.87"/>
    <n v="-1546404.53"/>
    <n v="-1028742.43"/>
    <n v="-1571543.1"/>
    <n v="-1868640.69"/>
    <n v="-1525048.64"/>
    <n v="-1645433.59"/>
    <n v="-15478715.74"/>
    <n v="120384.95000000019"/>
  </r>
  <r>
    <x v="19"/>
    <x v="0"/>
    <x v="0"/>
    <s v="4601102"/>
    <n v="400020"/>
    <s v="O/P Care Svcs Rev--Self Pay"/>
    <s v="Tacoma Endoscopy Center"/>
    <x v="0"/>
    <n v="1500"/>
    <n v="-24116.21"/>
    <n v="-14440.06"/>
    <n v="-26583.16"/>
    <n v="-37306.339999999997"/>
    <n v="-52754.32"/>
    <n v="-79237.009999999995"/>
    <n v="-54359.3"/>
    <n v="-49550.71"/>
    <n v="-66351.08"/>
    <n v="-42890.7"/>
    <n v="-67303.81"/>
    <n v="-49529.24"/>
    <n v="-564421.94000000006"/>
    <n v="-17774.57"/>
  </r>
  <r>
    <x v="19"/>
    <x v="0"/>
    <x v="0"/>
    <s v="4601102"/>
    <n v="400020"/>
    <s v="O/P Care Svcs Rev--Other"/>
    <s v="Tacoma Endoscopy Center"/>
    <x v="0"/>
    <n v="1700"/>
    <n v="-261215.79"/>
    <n v="-292756.5"/>
    <n v="-313220.82"/>
    <n v="-340558.54"/>
    <n v="-260335.7"/>
    <n v="-331414.31"/>
    <n v="-435272.63"/>
    <n v="-370972.61"/>
    <n v="-374809.12"/>
    <n v="-565590.34"/>
    <n v="-468739.19"/>
    <n v="-412967.87"/>
    <n v="-4427853.42"/>
    <n v="-55771.320000000007"/>
  </r>
  <r>
    <x v="1"/>
    <x v="0"/>
    <x v="0"/>
    <s v="4601102"/>
    <n v="400029"/>
    <s v="MD Practice Other Rev--Medicare"/>
    <s v="Tacoma Endoscopy Center"/>
    <x v="0"/>
    <n v="1100"/>
    <n v="0"/>
    <n v="0"/>
    <n v="0"/>
    <n v="-18"/>
    <n v="0"/>
    <n v="0"/>
    <n v="0"/>
    <n v="0"/>
    <n v="0"/>
    <n v="0"/>
    <n v="0"/>
    <n v="0"/>
    <n v="-18"/>
    <n v="0"/>
  </r>
  <r>
    <x v="1"/>
    <x v="0"/>
    <x v="0"/>
    <s v="4601102"/>
    <n v="400029"/>
    <s v="MD Practice Other Rev--Managed Care"/>
    <s v="Tacoma Endoscopy Center"/>
    <x v="0"/>
    <n v="1400"/>
    <n v="0"/>
    <n v="0"/>
    <n v="0"/>
    <n v="0"/>
    <n v="0"/>
    <n v="-9"/>
    <n v="9"/>
    <n v="0"/>
    <n v="0"/>
    <n v="0"/>
    <n v="0"/>
    <n v="0"/>
    <n v="0"/>
    <n v="0"/>
  </r>
  <r>
    <x v="1"/>
    <x v="0"/>
    <x v="0"/>
    <s v="4601102"/>
    <n v="400040"/>
    <s v="Physician Svcs Rev--Medicare"/>
    <s v="Tacoma Endoscopy Center"/>
    <x v="0"/>
    <n v="1100"/>
    <n v="0"/>
    <n v="0"/>
    <n v="0"/>
    <n v="0"/>
    <n v="0"/>
    <n v="0"/>
    <n v="0"/>
    <n v="0"/>
    <n v="0"/>
    <n v="-1334"/>
    <n v="1334"/>
    <n v="0"/>
    <n v="0"/>
    <n v="1334"/>
  </r>
  <r>
    <x v="1"/>
    <x v="0"/>
    <x v="0"/>
    <s v="4601102"/>
    <n v="400040"/>
    <s v="Physician Svcs Rev--Managed Care"/>
    <s v="Tacoma Endoscopy Center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0"/>
    <x v="0"/>
    <s v="4601102"/>
    <n v="450029"/>
    <s v="Contr Allow--MD Other-Medicare"/>
    <s v="Tacoma Endoscopy Center"/>
    <x v="0"/>
    <n v="1100"/>
    <n v="0"/>
    <n v="0"/>
    <n v="0"/>
    <n v="0"/>
    <n v="18"/>
    <n v="0"/>
    <n v="0"/>
    <n v="0"/>
    <n v="0"/>
    <n v="0"/>
    <n v="0"/>
    <n v="0"/>
    <n v="18"/>
    <n v="0"/>
  </r>
  <r>
    <x v="2"/>
    <x v="0"/>
    <x v="0"/>
    <s v="4601102"/>
    <n v="450040"/>
    <s v="Contr Allow--Phys Svcs--BCBS Mgnd Care"/>
    <s v="Tacoma Endoscopy Center"/>
    <x v="0"/>
    <n v="1401"/>
    <n v="0"/>
    <n v="0"/>
    <n v="0"/>
    <n v="0"/>
    <n v="0"/>
    <n v="0"/>
    <n v="0"/>
    <n v="0"/>
    <n v="0"/>
    <n v="667.34"/>
    <n v="-667.34"/>
    <n v="0"/>
    <n v="0"/>
    <n v="-667.34"/>
  </r>
  <r>
    <x v="3"/>
    <x v="0"/>
    <x v="0"/>
    <s v="4601102"/>
    <n v="470040"/>
    <s v="Charity Care-Physician Svcs"/>
    <s v="Tacoma Endoscopy Center"/>
    <x v="0"/>
    <m/>
    <n v="0"/>
    <n v="0"/>
    <n v="0"/>
    <n v="0"/>
    <n v="0"/>
    <n v="0"/>
    <n v="0"/>
    <n v="0"/>
    <n v="0"/>
    <n v="20.81"/>
    <n v="-20.81"/>
    <n v="0"/>
    <n v="0"/>
    <n v="-20.81"/>
  </r>
  <r>
    <x v="4"/>
    <x v="0"/>
    <x v="0"/>
    <s v="4601102"/>
    <n v="490010"/>
    <s v="Provision for Bad Debts"/>
    <s v="Tacoma Endoscopy Center"/>
    <x v="0"/>
    <m/>
    <n v="0"/>
    <n v="0"/>
    <n v="0"/>
    <n v="1.04"/>
    <n v="-1.04"/>
    <n v="0"/>
    <n v="0"/>
    <n v="0"/>
    <n v="0"/>
    <n v="68.06"/>
    <n v="-68.06"/>
    <n v="0"/>
    <n v="0"/>
    <n v="-68.06"/>
  </r>
  <r>
    <x v="5"/>
    <x v="0"/>
    <x v="0"/>
    <s v="4601102"/>
    <n v="700014"/>
    <s v="Salaries-Management-Productive"/>
    <s v="Tacoma Endoscopy Center"/>
    <x v="0"/>
    <m/>
    <n v="5482.12"/>
    <n v="5111.97"/>
    <n v="5408.35"/>
    <n v="5486.77"/>
    <n v="5775.43"/>
    <n v="4550.55"/>
    <n v="5511.82"/>
    <n v="4070.31"/>
    <n v="2999.2"/>
    <n v="7088.68"/>
    <n v="5511.49"/>
    <n v="2901.96"/>
    <n v="59898.649999999987"/>
    <n v="2609.5299999999997"/>
  </r>
  <r>
    <x v="5"/>
    <x v="0"/>
    <x v="0"/>
    <s v="4601102"/>
    <n v="700026"/>
    <s v="Salaries-RN-Productive"/>
    <s v="Tacoma Endoscopy Center"/>
    <x v="0"/>
    <m/>
    <n v="45484.27"/>
    <n v="43276.6"/>
    <n v="42603.02"/>
    <n v="58830.71"/>
    <n v="53463.17"/>
    <n v="48609.41"/>
    <n v="58367.48"/>
    <n v="42998.7"/>
    <n v="70440.429999999993"/>
    <n v="65593.95"/>
    <n v="72201.240000000005"/>
    <n v="58237.96"/>
    <n v="660106.93999999983"/>
    <n v="13963.280000000006"/>
  </r>
  <r>
    <x v="5"/>
    <x v="0"/>
    <x v="0"/>
    <s v="4601102"/>
    <n v="700026"/>
    <s v="Salaries-RN-OT"/>
    <s v="Tacoma Endoscopy Center"/>
    <x v="0"/>
    <n v="1000"/>
    <n v="862.93"/>
    <n v="355.16"/>
    <n v="377.21"/>
    <n v="259.14"/>
    <n v="1390.28"/>
    <n v="1936.28"/>
    <n v="2000.24"/>
    <n v="137.96"/>
    <n v="2903.99"/>
    <n v="3377.62"/>
    <n v="2131.81"/>
    <n v="1511.68"/>
    <n v="17244.299999999996"/>
    <n v="620.12999999999988"/>
  </r>
  <r>
    <x v="5"/>
    <x v="0"/>
    <x v="0"/>
    <s v="4601102"/>
    <n v="700026"/>
    <s v="Salaries-RN-Other"/>
    <s v="Tacoma Endoscopy Center"/>
    <x v="0"/>
    <n v="2000"/>
    <n v="1498.06"/>
    <n v="546.16"/>
    <n v="873.55"/>
    <n v="543.70000000000005"/>
    <n v="1005.71"/>
    <n v="1011.04"/>
    <n v="1822.22"/>
    <n v="1425.88"/>
    <n v="2060.14"/>
    <n v="1723.88"/>
    <n v="2065.08"/>
    <n v="1275.8900000000001"/>
    <n v="15851.31"/>
    <n v="789.18999999999983"/>
  </r>
  <r>
    <x v="5"/>
    <x v="0"/>
    <x v="0"/>
    <s v="4601102"/>
    <n v="700030"/>
    <s v="Salaries-LPN-Productive"/>
    <s v="Tacoma Endoscopy Center"/>
    <x v="0"/>
    <m/>
    <n v="12563.13"/>
    <n v="13260.24"/>
    <n v="8980.43"/>
    <n v="15644.11"/>
    <n v="6369.95"/>
    <n v="11454.7"/>
    <n v="19213.89"/>
    <n v="12080.63"/>
    <n v="17962.310000000001"/>
    <n v="18455.32"/>
    <n v="18434.349999999999"/>
    <n v="17514.16"/>
    <n v="171933.22"/>
    <n v="920.18999999999869"/>
  </r>
  <r>
    <x v="5"/>
    <x v="0"/>
    <x v="0"/>
    <s v="4601102"/>
    <n v="700030"/>
    <s v="Salaries-LPN-OT"/>
    <s v="Tacoma Endoscopy Center"/>
    <x v="0"/>
    <n v="1000"/>
    <n v="44"/>
    <n v="-7.76"/>
    <n v="0"/>
    <n v="27.61"/>
    <n v="490.01"/>
    <n v="2878.24"/>
    <n v="17.079999999999998"/>
    <n v="-17.91"/>
    <n v="1315.51"/>
    <n v="824.48"/>
    <n v="-268.95999999999998"/>
    <n v="382.85"/>
    <n v="5685.1500000000005"/>
    <n v="-651.80999999999995"/>
  </r>
  <r>
    <x v="5"/>
    <x v="0"/>
    <x v="0"/>
    <s v="4601102"/>
    <n v="700030"/>
    <s v="Salaries-LPN-Other"/>
    <s v="Tacoma Endoscopy Center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0"/>
    <x v="0"/>
    <s v="4601102"/>
    <n v="700032"/>
    <s v="Salaries-Other Pat Care Providers-Productive"/>
    <s v="Tacoma Endoscopy Center"/>
    <x v="0"/>
    <m/>
    <n v="16194.33"/>
    <n v="20750"/>
    <n v="17649.14"/>
    <n v="17861.419999999998"/>
    <n v="24416.58"/>
    <n v="10659.54"/>
    <n v="17176.919999999998"/>
    <n v="16900.97"/>
    <n v="21616.59"/>
    <n v="21053.56"/>
    <n v="14642.58"/>
    <n v="15022.64"/>
    <n v="213944.27000000002"/>
    <n v="-380.05999999999949"/>
  </r>
  <r>
    <x v="5"/>
    <x v="0"/>
    <x v="0"/>
    <s v="4601102"/>
    <n v="700032"/>
    <s v="Salaries-Other Pat Care Providers-OT"/>
    <s v="Tacoma Endoscopy Center"/>
    <x v="0"/>
    <n v="1000"/>
    <n v="265.3"/>
    <n v="146.35"/>
    <n v="549.74"/>
    <n v="1013.53"/>
    <n v="734.38"/>
    <n v="1693.52"/>
    <n v="1067.5899999999999"/>
    <n v="-117.66"/>
    <n v="1700.6"/>
    <n v="2426.4499999999998"/>
    <n v="422.89"/>
    <n v="-15.19"/>
    <n v="9887.4999999999982"/>
    <n v="438.08"/>
  </r>
  <r>
    <x v="5"/>
    <x v="0"/>
    <x v="0"/>
    <s v="4601102"/>
    <n v="700032"/>
    <s v="Salaries-Other Pat Care Providers-Other"/>
    <s v="Tacoma Endoscopy Center"/>
    <x v="0"/>
    <n v="2000"/>
    <n v="39.340000000000003"/>
    <n v="125.35"/>
    <n v="136.41999999999999"/>
    <n v="37.299999999999997"/>
    <n v="339.51"/>
    <n v="39.840000000000003"/>
    <n v="106.96"/>
    <n v="151.19"/>
    <n v="114.15"/>
    <n v="263.45"/>
    <n v="67.67"/>
    <n v="105.68"/>
    <n v="1526.8600000000004"/>
    <n v="-38.010000000000005"/>
  </r>
  <r>
    <x v="5"/>
    <x v="0"/>
    <x v="0"/>
    <s v="4601102"/>
    <n v="700038"/>
    <s v="Salaries-Service/Support-Productive"/>
    <s v="Tacoma Endoscopy Center"/>
    <x v="0"/>
    <m/>
    <n v="0"/>
    <n v="2293.54"/>
    <n v="3887.69"/>
    <n v="4281.09"/>
    <n v="4191.1099999999997"/>
    <n v="3922.66"/>
    <n v="6031.86"/>
    <n v="1480.57"/>
    <n v="2056.13"/>
    <n v="2020.38"/>
    <n v="2059.8000000000002"/>
    <n v="1910.87"/>
    <n v="34135.700000000004"/>
    <n v="148.93000000000029"/>
  </r>
  <r>
    <x v="5"/>
    <x v="0"/>
    <x v="0"/>
    <s v="4601102"/>
    <n v="700038"/>
    <s v="Salaries-Service/Support-OT"/>
    <s v="Tacoma Endoscopy Center"/>
    <x v="0"/>
    <n v="1000"/>
    <n v="0"/>
    <n v="0"/>
    <n v="0"/>
    <n v="17.399999999999999"/>
    <n v="0"/>
    <n v="60.51"/>
    <n v="11.49"/>
    <n v="-5.01"/>
    <n v="0"/>
    <n v="0"/>
    <n v="0"/>
    <n v="0"/>
    <n v="84.389999999999986"/>
    <n v="0"/>
  </r>
  <r>
    <x v="5"/>
    <x v="0"/>
    <x v="0"/>
    <s v="4601102"/>
    <n v="700038"/>
    <s v="Salaries-Service/Support-Other"/>
    <s v="Tacoma Endoscopy Center"/>
    <x v="0"/>
    <n v="2000"/>
    <n v="0"/>
    <n v="85.82"/>
    <n v="47.45"/>
    <n v="71.05"/>
    <n v="47.12"/>
    <n v="85.31"/>
    <n v="7.32"/>
    <n v="0"/>
    <n v="0"/>
    <n v="0"/>
    <n v="0"/>
    <n v="0"/>
    <n v="344.07"/>
    <n v="0"/>
  </r>
  <r>
    <x v="5"/>
    <x v="0"/>
    <x v="0"/>
    <s v="4601102"/>
    <n v="700054"/>
    <s v="Salaries-Management-Non-productive"/>
    <s v="Tacoma Endoscopy Center"/>
    <x v="0"/>
    <m/>
    <n v="414.88"/>
    <n v="1007.53"/>
    <n v="237.11"/>
    <n v="777.85"/>
    <n v="93.35"/>
    <n v="2364.61"/>
    <n v="841.6"/>
    <n v="2212.27"/>
    <n v="4860.92"/>
    <n v="-1994.12"/>
    <n v="841.24"/>
    <n v="4705.04"/>
    <n v="16362.279999999999"/>
    <n v="-3863.8"/>
  </r>
  <r>
    <x v="5"/>
    <x v="0"/>
    <x v="0"/>
    <s v="4601102"/>
    <n v="700054"/>
    <s v="Salaries-Management-NonProd-Other"/>
    <s v="Tacoma Endoscopy Center"/>
    <x v="0"/>
    <n v="2000"/>
    <n v="0"/>
    <n v="0"/>
    <n v="0"/>
    <n v="0"/>
    <n v="0"/>
    <n v="1731.51"/>
    <n v="-1731.51"/>
    <n v="0"/>
    <n v="0"/>
    <n v="0"/>
    <n v="0"/>
    <n v="0"/>
    <n v="0"/>
    <n v="0"/>
  </r>
  <r>
    <x v="5"/>
    <x v="0"/>
    <x v="0"/>
    <s v="4601102"/>
    <n v="700066"/>
    <s v="Salaries-RN-Non-productive"/>
    <s v="Tacoma Endoscopy Center"/>
    <x v="0"/>
    <m/>
    <n v="11472.37"/>
    <n v="12186.62"/>
    <n v="5479.09"/>
    <n v="4061.55"/>
    <n v="9822.4"/>
    <n v="12681.91"/>
    <n v="2802.2"/>
    <n v="6143.65"/>
    <n v="3269.02"/>
    <n v="10688.23"/>
    <n v="1335.45"/>
    <n v="6141.03"/>
    <n v="86083.51999999999"/>
    <n v="-4805.58"/>
  </r>
  <r>
    <x v="5"/>
    <x v="0"/>
    <x v="0"/>
    <s v="4601102"/>
    <n v="700066"/>
    <s v="Salaries-RN-NonProd-Other"/>
    <s v="Tacoma Endoscopy Center"/>
    <x v="0"/>
    <n v="2000"/>
    <n v="176.18"/>
    <n v="233.59"/>
    <n v="138.41999999999999"/>
    <n v="167.3"/>
    <n v="94.86"/>
    <n v="290.64"/>
    <n v="84.87"/>
    <n v="173.56"/>
    <n v="199.41"/>
    <n v="237.5"/>
    <n v="239.88"/>
    <n v="80.819999999999993"/>
    <n v="2117.0300000000002"/>
    <n v="159.06"/>
  </r>
  <r>
    <x v="5"/>
    <x v="0"/>
    <x v="0"/>
    <s v="4601102"/>
    <n v="700070"/>
    <s v="Salaries-LPN-Non-productive"/>
    <s v="Tacoma Endoscopy Center"/>
    <x v="0"/>
    <m/>
    <n v="1331.66"/>
    <n v="3117.1"/>
    <n v="1633.02"/>
    <n v="158.94999999999999"/>
    <n v="5835.66"/>
    <n v="1416.93"/>
    <n v="621.35"/>
    <n v="1527.19"/>
    <n v="638.26"/>
    <n v="218.29"/>
    <n v="696.02"/>
    <n v="2327.25"/>
    <n v="19521.68"/>
    <n v="-1631.23"/>
  </r>
  <r>
    <x v="5"/>
    <x v="0"/>
    <x v="0"/>
    <s v="4601102"/>
    <n v="700070"/>
    <s v="Salaries-LPN-NonProd-Other"/>
    <s v="Tacoma Endoscopy Center"/>
    <x v="0"/>
    <n v="2000"/>
    <n v="23.64"/>
    <n v="17.7"/>
    <n v="47.34"/>
    <n v="18.989999999999998"/>
    <n v="8.9700000000000006"/>
    <n v="26.01"/>
    <n v="30.27"/>
    <n v="24.76"/>
    <n v="9.64"/>
    <n v="0"/>
    <n v="45.29"/>
    <n v="-21.8"/>
    <n v="230.80999999999997"/>
    <n v="67.09"/>
  </r>
  <r>
    <x v="5"/>
    <x v="0"/>
    <x v="0"/>
    <s v="4601102"/>
    <n v="700072"/>
    <s v="Salaries-Other Pat Care Providers-Non-productive"/>
    <s v="Tacoma Endoscopy Center"/>
    <x v="0"/>
    <m/>
    <n v="3089.63"/>
    <n v="3592.74"/>
    <n v="2798.9"/>
    <n v="4959.34"/>
    <n v="-419.52"/>
    <n v="11130.04"/>
    <n v="4790.6499999999996"/>
    <n v="2520.5300000000002"/>
    <n v="2862.47"/>
    <n v="4178.43"/>
    <n v="2587.11"/>
    <n v="389.76"/>
    <n v="42480.08"/>
    <n v="2197.3500000000004"/>
  </r>
  <r>
    <x v="5"/>
    <x v="0"/>
    <x v="0"/>
    <s v="4601102"/>
    <n v="700072"/>
    <s v="Salaries-Other Pat Care Providers-NonProd-Other"/>
    <s v="Tacoma Endoscopy Center"/>
    <x v="0"/>
    <n v="2000"/>
    <n v="39.909999999999997"/>
    <n v="-2.57"/>
    <n v="81.89"/>
    <n v="70.209999999999994"/>
    <n v="34.06"/>
    <n v="42.08"/>
    <n v="105.95"/>
    <n v="144.43"/>
    <n v="180.33"/>
    <n v="24.97"/>
    <n v="109.43"/>
    <n v="247.57"/>
    <n v="1078.26"/>
    <n v="-138.13999999999999"/>
  </r>
  <r>
    <x v="5"/>
    <x v="0"/>
    <x v="0"/>
    <s v="4601102"/>
    <n v="700078"/>
    <s v="Salaries-Service/Support-Non-productive"/>
    <s v="Tacoma Endoscopy Center"/>
    <x v="0"/>
    <m/>
    <n v="4107.78"/>
    <n v="2170.0300000000002"/>
    <n v="217.86"/>
    <n v="36.61"/>
    <n v="281.51"/>
    <n v="831.96"/>
    <n v="222.68"/>
    <n v="246.16"/>
    <n v="-31.72"/>
    <n v="28.04"/>
    <n v="0"/>
    <n v="149.66999999999999"/>
    <n v="8260.5799999999981"/>
    <n v="-149.66999999999999"/>
  </r>
  <r>
    <x v="5"/>
    <x v="0"/>
    <x v="0"/>
    <s v="4601102"/>
    <n v="700078"/>
    <s v="Salaries-Service/Support-NonProd-Other"/>
    <s v="Tacoma Endoscopy Center"/>
    <x v="0"/>
    <n v="2000"/>
    <n v="0"/>
    <n v="16.57"/>
    <n v="-4.97"/>
    <n v="0"/>
    <n v="0"/>
    <n v="0"/>
    <n v="0"/>
    <n v="0"/>
    <n v="0"/>
    <n v="0"/>
    <n v="0"/>
    <n v="0"/>
    <n v="11.600000000000001"/>
    <n v="0"/>
  </r>
  <r>
    <x v="5"/>
    <x v="0"/>
    <x v="0"/>
    <s v="4601102"/>
    <n v="700084"/>
    <s v="Accrued PTO"/>
    <s v="Tacoma Endoscopy Center"/>
    <x v="0"/>
    <m/>
    <n v="3242.74"/>
    <n v="-4070.84"/>
    <n v="-1376.01"/>
    <n v="6477.17"/>
    <n v="4363.07"/>
    <n v="-7561.75"/>
    <n v="5341.45"/>
    <n v="3913.94"/>
    <n v="4969.76"/>
    <n v="1141.28"/>
    <n v="7367.45"/>
    <n v="1451.06"/>
    <n v="25259.32"/>
    <n v="5916.3899999999994"/>
  </r>
  <r>
    <x v="6"/>
    <x v="0"/>
    <x v="0"/>
    <s v="4601102"/>
    <n v="713010"/>
    <s v="Benefits-FICA/Medicare"/>
    <s v="Tacoma Endoscopy Center"/>
    <x v="0"/>
    <m/>
    <n v="7553.27"/>
    <n v="7962.76"/>
    <n v="6697.29"/>
    <n v="8396.51"/>
    <n v="8385.4500000000007"/>
    <n v="8826.85"/>
    <n v="8947.6"/>
    <n v="7010.87"/>
    <n v="9878.41"/>
    <n v="9850.5499999999993"/>
    <n v="9026.5300000000007"/>
    <n v="8259.86"/>
    <n v="100795.95"/>
    <n v="766.67000000000007"/>
  </r>
  <r>
    <x v="6"/>
    <x v="0"/>
    <x v="0"/>
    <s v="4601102"/>
    <n v="713090"/>
    <s v="Benefits-Allocated Amounts"/>
    <s v="Tacoma Endoscopy Center"/>
    <x v="0"/>
    <m/>
    <n v="24858.65"/>
    <n v="23263.22"/>
    <n v="21452.25"/>
    <n v="25733.16"/>
    <n v="25843.07"/>
    <n v="25392.34"/>
    <n v="28376.03"/>
    <n v="23461.19"/>
    <n v="29729.41"/>
    <n v="32218.36"/>
    <n v="28516.57"/>
    <n v="26992.91"/>
    <n v="315837.15999999997"/>
    <n v="1523.6599999999999"/>
  </r>
  <r>
    <x v="6"/>
    <x v="0"/>
    <x v="0"/>
    <s v="4601102"/>
    <n v="713096"/>
    <s v="Employee Recognition"/>
    <s v="Tacoma Endoscopy Center"/>
    <x v="0"/>
    <n v="1017"/>
    <n v="0"/>
    <n v="0"/>
    <n v="0"/>
    <n v="0"/>
    <n v="0"/>
    <n v="0"/>
    <n v="0"/>
    <n v="0"/>
    <n v="0"/>
    <n v="68.97"/>
    <n v="0"/>
    <n v="0"/>
    <n v="68.97"/>
    <n v="0"/>
  </r>
  <r>
    <x v="17"/>
    <x v="0"/>
    <x v="0"/>
    <s v="4601102"/>
    <n v="714530"/>
    <s v="Medical Prof Fees-Intracompany"/>
    <s v="Tacoma Endoscopy Center"/>
    <x v="0"/>
    <m/>
    <n v="0"/>
    <n v="0"/>
    <n v="0"/>
    <n v="0"/>
    <n v="0"/>
    <n v="0"/>
    <n v="158455.51"/>
    <n v="12199.77"/>
    <n v="39373"/>
    <n v="13282.18"/>
    <n v="-10382.17"/>
    <n v="9816.58"/>
    <n v="222744.86999999997"/>
    <n v="-20198.75"/>
  </r>
  <r>
    <x v="7"/>
    <x v="0"/>
    <x v="0"/>
    <s v="4601102"/>
    <n v="718050"/>
    <s v="Contract Svcs-Other"/>
    <s v="Tacoma Endoscopy Center"/>
    <x v="0"/>
    <m/>
    <n v="7682.97"/>
    <n v="2285.5"/>
    <n v="1815.36"/>
    <n v="206.99"/>
    <n v="0"/>
    <n v="28.79"/>
    <n v="0"/>
    <n v="0"/>
    <n v="0"/>
    <n v="0"/>
    <n v="0"/>
    <n v="0"/>
    <n v="12019.610000000002"/>
    <n v="0"/>
  </r>
  <r>
    <x v="7"/>
    <x v="0"/>
    <x v="0"/>
    <s v="4601102"/>
    <n v="718050"/>
    <s v="Cleaning Services"/>
    <s v="Tacoma Endoscopy Center"/>
    <x v="0"/>
    <n v="1011"/>
    <n v="0"/>
    <n v="0"/>
    <n v="1543"/>
    <n v="1543"/>
    <n v="1543"/>
    <n v="2518"/>
    <n v="2068"/>
    <n v="0"/>
    <n v="3236"/>
    <n v="0"/>
    <n v="2061.67"/>
    <n v="1949.5"/>
    <n v="16462.169999999998"/>
    <n v="112.17000000000007"/>
  </r>
  <r>
    <x v="7"/>
    <x v="0"/>
    <x v="0"/>
    <s v="4601102"/>
    <n v="718050"/>
    <s v="Miscellaneous Purchased Svcs"/>
    <s v="Tacoma Endoscopy Center"/>
    <x v="0"/>
    <n v="1020"/>
    <n v="148.87"/>
    <n v="0"/>
    <n v="147.51"/>
    <n v="112.88"/>
    <n v="71.569999999999993"/>
    <n v="173.55"/>
    <n v="228.65"/>
    <n v="0"/>
    <n v="630.64"/>
    <n v="120.5"/>
    <n v="1105.3"/>
    <n v="35.81"/>
    <n v="2775.28"/>
    <n v="1069.49"/>
  </r>
  <r>
    <x v="7"/>
    <x v="0"/>
    <x v="0"/>
    <s v="4601102"/>
    <n v="718050"/>
    <s v="Translation Services"/>
    <s v="Tacoma Endoscopy Center"/>
    <x v="0"/>
    <n v="1025"/>
    <n v="1844"/>
    <n v="2124"/>
    <n v="1634.5"/>
    <n v="6742"/>
    <n v="-4059.5"/>
    <n v="4182"/>
    <n v="904"/>
    <n v="2108.5"/>
    <n v="0"/>
    <n v="7239.5"/>
    <n v="109.95"/>
    <n v="2325"/>
    <n v="25153.95"/>
    <n v="-2215.0500000000002"/>
  </r>
  <r>
    <x v="7"/>
    <x v="0"/>
    <x v="0"/>
    <s v="4601102"/>
    <n v="718050"/>
    <s v="Contract Management--Linen"/>
    <s v="Tacoma Endoscopy Center"/>
    <x v="0"/>
    <n v="1026"/>
    <n v="2669.14"/>
    <n v="1774.33"/>
    <n v="1339.79"/>
    <n v="875.8"/>
    <n v="2836.26"/>
    <n v="1129.74"/>
    <n v="2930.24"/>
    <n v="0"/>
    <n v="5730.62"/>
    <n v="1949.93"/>
    <n v="4668.5200000000004"/>
    <n v="3195.26"/>
    <n v="29099.629999999997"/>
    <n v="1473.2600000000002"/>
  </r>
  <r>
    <x v="7"/>
    <x v="0"/>
    <x v="0"/>
    <s v="4601102"/>
    <n v="718070"/>
    <s v="Contract Srvcs-CHI Clinical Engineering"/>
    <s v="Tacoma Endoscopy Center"/>
    <x v="0"/>
    <m/>
    <n v="2450.7399999999998"/>
    <n v="2497.98"/>
    <n v="2497.98"/>
    <n v="2497.98"/>
    <n v="2372.69"/>
    <n v="2372.69"/>
    <n v="2372.69"/>
    <n v="2372.69"/>
    <n v="2374.2199999999998"/>
    <n v="2374.2199999999998"/>
    <n v="2374.2199999999998"/>
    <n v="2515.84"/>
    <n v="29073.940000000002"/>
    <n v="-141.62000000000035"/>
  </r>
  <r>
    <x v="7"/>
    <x v="0"/>
    <x v="0"/>
    <s v="4601102"/>
    <n v="718091"/>
    <s v="Contract Services-Intracompany Allocation"/>
    <s v="Tacoma Endoscopy Center"/>
    <x v="0"/>
    <m/>
    <n v="5914.23"/>
    <n v="6513.9"/>
    <n v="5845.7"/>
    <n v="6435.16"/>
    <n v="5266.97"/>
    <n v="5548.84"/>
    <n v="5946.68"/>
    <n v="5522.4"/>
    <n v="5984.74"/>
    <n v="5944.08"/>
    <n v="5632.86"/>
    <n v="6166"/>
    <n v="70721.56"/>
    <n v="-533.14000000000033"/>
  </r>
  <r>
    <x v="11"/>
    <x v="0"/>
    <x v="0"/>
    <s v="4601102"/>
    <n v="721010"/>
    <s v="Supplies-Medical - Billable"/>
    <s v="Tacoma Endoscopy Center"/>
    <x v="0"/>
    <m/>
    <n v="484.65"/>
    <n v="1019.25"/>
    <n v="1779.15"/>
    <n v="599"/>
    <n v="765.4"/>
    <n v="1407.2"/>
    <n v="580"/>
    <n v="2175"/>
    <n v="0"/>
    <n v="123.6"/>
    <n v="0"/>
    <n v="1305"/>
    <n v="10238.25"/>
    <n v="-1305"/>
  </r>
  <r>
    <x v="11"/>
    <x v="0"/>
    <x v="0"/>
    <s v="4601102"/>
    <n v="721010"/>
    <s v="Patient Monitoring"/>
    <s v="Tacoma Endoscopy Center"/>
    <x v="0"/>
    <n v="1000"/>
    <n v="15.9"/>
    <n v="3.18"/>
    <n v="19.079999999999998"/>
    <n v="22.26"/>
    <n v="323.52"/>
    <n v="264.3"/>
    <n v="390.05"/>
    <n v="167.39"/>
    <n v="548.64"/>
    <n v="126.86"/>
    <n v="211.44"/>
    <n v="280.05"/>
    <n v="2372.6699999999996"/>
    <n v="-68.610000000000014"/>
  </r>
  <r>
    <x v="11"/>
    <x v="0"/>
    <x v="0"/>
    <s v="4601102"/>
    <n v="721020"/>
    <s v="Supplies-Surgical - Billable"/>
    <s v="Tacoma Endoscopy Center"/>
    <x v="0"/>
    <m/>
    <n v="4783.33"/>
    <n v="8537.93"/>
    <n v="6688.02"/>
    <n v="6512.47"/>
    <n v="12619.93"/>
    <n v="8761.15"/>
    <n v="18961.080000000002"/>
    <n v="9293.7999999999993"/>
    <n v="15592.69"/>
    <n v="9981.5499999999993"/>
    <n v="13270.66"/>
    <n v="11917.57"/>
    <n v="126920.18000000002"/>
    <n v="1353.0900000000001"/>
  </r>
  <r>
    <x v="11"/>
    <x v="0"/>
    <x v="0"/>
    <s v="4601102"/>
    <n v="721020"/>
    <s v="Endoscopy - Trocars &amp; Accessories"/>
    <s v="Tacoma Endoscopy Center"/>
    <x v="0"/>
    <n v="1002"/>
    <n v="1229.57"/>
    <n v="0"/>
    <n v="422.78"/>
    <n v="38.78"/>
    <n v="0"/>
    <n v="1248.96"/>
    <n v="95.04"/>
    <n v="0"/>
    <n v="0"/>
    <n v="1152"/>
    <n v="0"/>
    <n v="0"/>
    <n v="4187.13"/>
    <n v="0"/>
  </r>
  <r>
    <x v="11"/>
    <x v="0"/>
    <x v="0"/>
    <s v="4601102"/>
    <n v="721020"/>
    <s v="Endomechanical Supplies &amp; Instruments"/>
    <s v="Tacoma Endoscopy Center"/>
    <x v="0"/>
    <n v="1003"/>
    <n v="1624.52"/>
    <n v="483.78"/>
    <n v="1688.82"/>
    <n v="520.36"/>
    <n v="2289.0700000000002"/>
    <n v="1185.73"/>
    <n v="192"/>
    <n v="1465.47"/>
    <n v="2958.88"/>
    <n v="705"/>
    <n v="480"/>
    <n v="5060.47"/>
    <n v="18654.099999999999"/>
    <n v="-4580.47"/>
  </r>
  <r>
    <x v="11"/>
    <x v="0"/>
    <x v="0"/>
    <s v="4601102"/>
    <n v="721050"/>
    <s v="Supplies-Cardiac Rhythm - Billable"/>
    <s v="Tacoma Endoscopy Center"/>
    <x v="0"/>
    <m/>
    <n v="4419.08"/>
    <n v="6071.41"/>
    <n v="4419.08"/>
    <n v="4799.37"/>
    <n v="5677.53"/>
    <n v="11543.1"/>
    <n v="8865.73"/>
    <n v="5052.03"/>
    <n v="11434.97"/>
    <n v="11439.01"/>
    <n v="11218.49"/>
    <n v="3761.17"/>
    <n v="88700.97"/>
    <n v="7457.32"/>
  </r>
  <r>
    <x v="11"/>
    <x v="0"/>
    <x v="0"/>
    <s v="4601102"/>
    <n v="721240"/>
    <s v="Supplies-IV Solutions/Supplies - Billable"/>
    <s v="Tacoma Endoscopy Center"/>
    <x v="0"/>
    <m/>
    <n v="4954.5"/>
    <n v="2161.5"/>
    <n v="4056"/>
    <n v="4429"/>
    <n v="5310.5"/>
    <n v="4242.5"/>
    <n v="4891"/>
    <n v="4581.5"/>
    <n v="5737.52"/>
    <n v="6775.64"/>
    <n v="5700.5"/>
    <n v="5408.01"/>
    <n v="58248.170000000006"/>
    <n v="292.48999999999978"/>
  </r>
  <r>
    <x v="11"/>
    <x v="0"/>
    <x v="0"/>
    <s v="4601102"/>
    <n v="721250"/>
    <s v="Supplies-Pharmacy Drugs - Billable"/>
    <s v="Tacoma Endoscopy Center"/>
    <x v="0"/>
    <m/>
    <n v="19.28"/>
    <n v="0"/>
    <n v="0"/>
    <n v="0"/>
    <n v="19.28"/>
    <n v="0"/>
    <n v="0"/>
    <n v="19.28"/>
    <n v="0"/>
    <n v="19.28"/>
    <n v="19.28"/>
    <n v="19.28"/>
    <n v="115.68"/>
    <n v="0"/>
  </r>
  <r>
    <x v="11"/>
    <x v="0"/>
    <x v="0"/>
    <s v="4601102"/>
    <n v="721410"/>
    <s v="Supplies-Medical - Nonbillable"/>
    <s v="Tacoma Endoscopy Center"/>
    <x v="0"/>
    <m/>
    <n v="4436.43"/>
    <n v="5602.1"/>
    <n v="4330.82"/>
    <n v="7607.08"/>
    <n v="9019.25"/>
    <n v="8495.7000000000007"/>
    <n v="9491.44"/>
    <n v="8538.89"/>
    <n v="7943.43"/>
    <n v="-61595.44"/>
    <n v="8695.34"/>
    <n v="7519.77"/>
    <n v="20084.810000000005"/>
    <n v="1175.5699999999997"/>
  </r>
  <r>
    <x v="11"/>
    <x v="0"/>
    <x v="0"/>
    <s v="4601102"/>
    <n v="721410"/>
    <s v="Patient Monitoring"/>
    <s v="Tacoma Endoscopy Center"/>
    <x v="0"/>
    <n v="1000"/>
    <n v="0"/>
    <n v="0"/>
    <n v="0"/>
    <n v="0"/>
    <n v="0"/>
    <n v="0"/>
    <n v="0"/>
    <n v="123.78"/>
    <n v="373.73"/>
    <n v="0"/>
    <n v="0"/>
    <n v="0"/>
    <n v="497.51"/>
    <n v="0"/>
  </r>
  <r>
    <x v="11"/>
    <x v="0"/>
    <x v="0"/>
    <s v="4601102"/>
    <n v="721420"/>
    <s v="Supplies-Surgical Nonbillable"/>
    <s v="Tacoma Endoscopy Center"/>
    <x v="0"/>
    <m/>
    <n v="137.5"/>
    <n v="437.44"/>
    <n v="239.2"/>
    <n v="0"/>
    <n v="476.76"/>
    <n v="93.76"/>
    <n v="1159.27"/>
    <n v="0"/>
    <n v="151.94"/>
    <n v="384.05"/>
    <n v="618.6"/>
    <n v="313.97000000000003"/>
    <n v="4012.4900000000007"/>
    <n v="304.63"/>
  </r>
  <r>
    <x v="11"/>
    <x v="0"/>
    <x v="0"/>
    <s v="4601102"/>
    <n v="721420"/>
    <s v="Tubes Drains &amp; Related Supplies"/>
    <s v="Tacoma Endoscopy Center"/>
    <x v="0"/>
    <n v="1008"/>
    <n v="214.7"/>
    <n v="297.27"/>
    <n v="179.2"/>
    <n v="250"/>
    <n v="166.92"/>
    <n v="153.06"/>
    <n v="384.53"/>
    <n v="228.35"/>
    <n v="297.27"/>
    <n v="249.67"/>
    <n v="387.13"/>
    <n v="158.69999999999999"/>
    <n v="2966.7999999999997"/>
    <n v="228.43"/>
  </r>
  <r>
    <x v="11"/>
    <x v="0"/>
    <x v="0"/>
    <s v="4601102"/>
    <n v="721420"/>
    <s v="Sterilization Process Products"/>
    <s v="Tacoma Endoscopy Center"/>
    <x v="0"/>
    <n v="1009"/>
    <n v="6872.68"/>
    <n v="7564.11"/>
    <n v="8679.3799999999992"/>
    <n v="11828.46"/>
    <n v="9352.56"/>
    <n v="11282.81"/>
    <n v="13136.81"/>
    <n v="6695.04"/>
    <n v="15138.02"/>
    <n v="12844.42"/>
    <n v="12317.34"/>
    <n v="11356.19"/>
    <n v="127067.81999999999"/>
    <n v="961.14999999999964"/>
  </r>
  <r>
    <x v="11"/>
    <x v="0"/>
    <x v="0"/>
    <s v="4601102"/>
    <n v="721610"/>
    <s v="Supplies-Anesthesia - Nonbillable"/>
    <s v="Tacoma Endoscopy Center"/>
    <x v="0"/>
    <m/>
    <n v="720.2"/>
    <n v="514.29"/>
    <n v="641.21"/>
    <n v="1040.4100000000001"/>
    <n v="9779.19"/>
    <n v="9354.94"/>
    <n v="6999.13"/>
    <n v="3428.33"/>
    <n v="10946.58"/>
    <n v="8421.7900000000009"/>
    <n v="12630.24"/>
    <n v="10173.33"/>
    <n v="74649.64"/>
    <n v="2456.91"/>
  </r>
  <r>
    <x v="11"/>
    <x v="0"/>
    <x v="0"/>
    <s v="4601102"/>
    <n v="721640"/>
    <s v="Supplies-IV Solutions/Supplies - Nonbillable"/>
    <s v="Tacoma Endoscopy Center"/>
    <x v="0"/>
    <m/>
    <n v="1185"/>
    <n v="948"/>
    <n v="1185"/>
    <n v="1303.5"/>
    <n v="1484.21"/>
    <n v="1659"/>
    <n v="2032.68"/>
    <n v="1896"/>
    <n v="2014.5"/>
    <n v="2638.5"/>
    <n v="2258.16"/>
    <n v="1896"/>
    <n v="20500.55"/>
    <n v="362.15999999999985"/>
  </r>
  <r>
    <x v="11"/>
    <x v="0"/>
    <x v="0"/>
    <s v="4601102"/>
    <n v="721650"/>
    <s v="Supplies-Pharmacy Drugs - Nonbillable"/>
    <s v="Tacoma Endoscopy Center"/>
    <x v="0"/>
    <m/>
    <n v="177.05"/>
    <n v="114.59"/>
    <n v="152.24"/>
    <n v="1559.2"/>
    <n v="0"/>
    <n v="0.5"/>
    <n v="241.77"/>
    <n v="0"/>
    <n v="0"/>
    <n v="501.71"/>
    <n v="145.06"/>
    <n v="550.05999999999995"/>
    <n v="3442.18"/>
    <n v="-404.99999999999994"/>
  </r>
  <r>
    <x v="11"/>
    <x v="0"/>
    <x v="0"/>
    <s v="4601102"/>
    <n v="721710"/>
    <s v="Supplies-Laboratory - Nonbillable"/>
    <s v="Tacoma Endoscopy Center"/>
    <x v="0"/>
    <m/>
    <n v="5.8"/>
    <n v="131.32"/>
    <n v="67.459999999999994"/>
    <n v="18.27"/>
    <n v="19.28"/>
    <n v="39.03"/>
    <n v="44.92"/>
    <n v="39.58"/>
    <n v="40.299999999999997"/>
    <n v="165.27"/>
    <n v="350.27"/>
    <n v="183.14"/>
    <n v="1104.6399999999999"/>
    <n v="167.13"/>
  </r>
  <r>
    <x v="11"/>
    <x v="0"/>
    <x v="0"/>
    <s v="4601102"/>
    <n v="721710"/>
    <s v="Reagents"/>
    <s v="Tacoma Endoscopy Center"/>
    <x v="0"/>
    <n v="1000"/>
    <n v="0"/>
    <n v="297.27"/>
    <n v="99.09"/>
    <n v="390.03"/>
    <n v="436.41"/>
    <n v="492.78"/>
    <n v="290.94"/>
    <n v="390.03"/>
    <n v="290.94"/>
    <n v="1529.14"/>
    <n v="185.79"/>
    <n v="245.46"/>
    <n v="4647.88"/>
    <n v="-59.670000000000016"/>
  </r>
  <r>
    <x v="11"/>
    <x v="0"/>
    <x v="0"/>
    <s v="4601102"/>
    <n v="721810"/>
    <s v="Supplies-Dietary/Cafeteria"/>
    <s v="Tacoma Endoscopy Center"/>
    <x v="0"/>
    <m/>
    <n v="244.63"/>
    <n v="188.33"/>
    <n v="300.18"/>
    <n v="163.32"/>
    <n v="197.66"/>
    <n v="81.96"/>
    <n v="172.4"/>
    <n v="149.96"/>
    <n v="240.87"/>
    <n v="172.78"/>
    <n v="192.51"/>
    <n v="408.85"/>
    <n v="2513.4500000000003"/>
    <n v="-216.34000000000003"/>
  </r>
  <r>
    <x v="11"/>
    <x v="0"/>
    <x v="0"/>
    <s v="4601102"/>
    <n v="721830"/>
    <s v="Supplies-Office"/>
    <s v="Tacoma Endoscopy Center"/>
    <x v="0"/>
    <m/>
    <n v="0"/>
    <n v="412.12"/>
    <n v="224.34"/>
    <n v="238.21"/>
    <n v="342.26"/>
    <n v="309.94"/>
    <n v="331.5"/>
    <n v="19.38"/>
    <n v="54.96"/>
    <n v="69.36"/>
    <n v="281.02"/>
    <n v="54.39"/>
    <n v="2337.48"/>
    <n v="226.63"/>
  </r>
  <r>
    <x v="11"/>
    <x v="0"/>
    <x v="0"/>
    <s v="4601102"/>
    <n v="721835"/>
    <s v="Supplies-Forms"/>
    <s v="Tacoma Endoscopy Center"/>
    <x v="0"/>
    <m/>
    <n v="0"/>
    <n v="0"/>
    <n v="0"/>
    <n v="0"/>
    <n v="185.75"/>
    <n v="30"/>
    <n v="54.8"/>
    <n v="0"/>
    <n v="156"/>
    <n v="68"/>
    <n v="254.8"/>
    <n v="147.5"/>
    <n v="896.85"/>
    <n v="107.30000000000001"/>
  </r>
  <r>
    <x v="11"/>
    <x v="0"/>
    <x v="0"/>
    <s v="4601102"/>
    <n v="721870"/>
    <s v="Supplies-Environmental Services"/>
    <s v="Tacoma Endoscopy Center"/>
    <x v="0"/>
    <m/>
    <n v="948.36"/>
    <n v="891.87"/>
    <n v="1222.1199999999999"/>
    <n v="1132.8699999999999"/>
    <n v="1237.1199999999999"/>
    <n v="1314.04"/>
    <n v="1013.21"/>
    <n v="1287.5899999999999"/>
    <n v="1705.88"/>
    <n v="1121.3699999999999"/>
    <n v="1303.5"/>
    <n v="824.54"/>
    <n v="14002.469999999998"/>
    <n v="478.96000000000004"/>
  </r>
  <r>
    <x v="11"/>
    <x v="0"/>
    <x v="0"/>
    <s v="4601102"/>
    <n v="721880"/>
    <s v="Supplies-Linen"/>
    <s v="Tacoma Endoscopy Center"/>
    <x v="0"/>
    <m/>
    <n v="12.05"/>
    <n v="19.899999999999999"/>
    <n v="5.24"/>
    <n v="2.62"/>
    <n v="7.86"/>
    <n v="3.93"/>
    <n v="15.72"/>
    <n v="0"/>
    <n v="7.86"/>
    <n v="0"/>
    <n v="9.17"/>
    <n v="3.93"/>
    <n v="88.28"/>
    <n v="5.24"/>
  </r>
  <r>
    <x v="11"/>
    <x v="0"/>
    <x v="0"/>
    <s v="4601102"/>
    <n v="721910"/>
    <s v="Supplies-Small Equipment"/>
    <s v="Tacoma Endoscopy Center"/>
    <x v="0"/>
    <m/>
    <n v="0"/>
    <n v="40.43"/>
    <n v="121.62"/>
    <n v="833.66"/>
    <n v="17.48"/>
    <n v="288.64999999999998"/>
    <n v="141.76"/>
    <n v="25.6"/>
    <n v="204.51"/>
    <n v="-8.56"/>
    <n v="280.12"/>
    <n v="294.51"/>
    <n v="2239.7799999999997"/>
    <n v="-14.389999999999986"/>
  </r>
  <r>
    <x v="11"/>
    <x v="0"/>
    <x v="0"/>
    <s v="4601102"/>
    <n v="721910"/>
    <s v="Instruments"/>
    <s v="Tacoma Endoscopy Center"/>
    <x v="0"/>
    <n v="1000"/>
    <n v="0"/>
    <n v="0"/>
    <n v="0"/>
    <n v="0"/>
    <n v="0"/>
    <n v="0"/>
    <n v="0"/>
    <n v="0"/>
    <n v="154.32"/>
    <n v="7.22"/>
    <n v="0"/>
    <n v="0"/>
    <n v="161.54"/>
    <n v="0"/>
  </r>
  <r>
    <x v="11"/>
    <x v="0"/>
    <x v="0"/>
    <s v="4601102"/>
    <n v="721980"/>
    <s v="Supplies-Other"/>
    <s v="Tacoma Endoscopy Center"/>
    <x v="0"/>
    <m/>
    <n v="122.5"/>
    <n v="464.09"/>
    <n v="189.11"/>
    <n v="1885.51"/>
    <n v="350.51"/>
    <n v="14.53"/>
    <n v="76.48"/>
    <n v="594.87"/>
    <n v="1431.52"/>
    <n v="147.94"/>
    <n v="-11.25"/>
    <n v="68.7"/>
    <n v="5334.51"/>
    <n v="-79.95"/>
  </r>
  <r>
    <x v="11"/>
    <x v="0"/>
    <x v="0"/>
    <s v="4601102"/>
    <n v="722000"/>
    <s v="Supplies-Freight Expense"/>
    <s v="Tacoma Endoscopy Center"/>
    <x v="0"/>
    <m/>
    <n v="680.51"/>
    <n v="502.63"/>
    <n v="493.14"/>
    <n v="186.5"/>
    <n v="205.36"/>
    <n v="102.2"/>
    <n v="294.97000000000003"/>
    <n v="119.87"/>
    <n v="428.94"/>
    <n v="59.89"/>
    <n v="85.62"/>
    <n v="73.989999999999995"/>
    <n v="3233.619999999999"/>
    <n v="11.63000000000001"/>
  </r>
  <r>
    <x v="11"/>
    <x v="0"/>
    <x v="0"/>
    <s v="4601102"/>
    <n v="723000"/>
    <s v="Supply Rebates/Patronage Dividend"/>
    <s v="Tacoma Endoscopy Center"/>
    <x v="0"/>
    <m/>
    <n v="0"/>
    <n v="0"/>
    <n v="-768.9"/>
    <n v="0"/>
    <n v="0"/>
    <n v="0"/>
    <n v="0"/>
    <n v="0"/>
    <n v="0"/>
    <n v="0"/>
    <n v="0"/>
    <n v="0"/>
    <n v="-768.9"/>
    <n v="0"/>
  </r>
  <r>
    <x v="12"/>
    <x v="0"/>
    <x v="0"/>
    <s v="4601102"/>
    <n v="730010"/>
    <s v="Rental and Leases-Building (DO NOT USE)"/>
    <s v="Tacoma Endoscopy Center"/>
    <x v="0"/>
    <m/>
    <n v="20467.740000000002"/>
    <n v="20467.740000000002"/>
    <n v="20885.28"/>
    <n v="20885.28"/>
    <n v="20885.28"/>
    <n v="-16062.62"/>
    <n v="14859.49"/>
    <n v="14859.49"/>
    <n v="14859.49"/>
    <n v="10644.02"/>
    <n v="14859.68"/>
    <n v="0"/>
    <n v="157610.87"/>
    <n v="14859.68"/>
  </r>
  <r>
    <x v="12"/>
    <x v="0"/>
    <x v="0"/>
    <s v="4601102"/>
    <n v="730010"/>
    <s v="Rental-Common Area Maint (DO NOT USE)"/>
    <s v="Tacoma Endoscopy Center"/>
    <x v="0"/>
    <n v="2200"/>
    <n v="0"/>
    <n v="0"/>
    <n v="0"/>
    <n v="0"/>
    <n v="0"/>
    <n v="36947.9"/>
    <n v="6025.79"/>
    <n v="5947.87"/>
    <n v="5999.82"/>
    <n v="5999.9"/>
    <n v="5999.9"/>
    <n v="0"/>
    <n v="66921.180000000008"/>
    <n v="5999.9"/>
  </r>
  <r>
    <x v="12"/>
    <x v="0"/>
    <x v="0"/>
    <s v="4601102"/>
    <n v="730020"/>
    <s v="Rental and Leases-Equipment (DO NOT USE)"/>
    <s v="Tacoma Endoscopy Center"/>
    <x v="0"/>
    <m/>
    <n v="1113.95"/>
    <n v="414.39"/>
    <n v="621.66"/>
    <n v="721.69"/>
    <n v="565.54"/>
    <n v="608.32000000000005"/>
    <n v="305.01"/>
    <n v="0"/>
    <n v="2021.69"/>
    <n v="398.39"/>
    <n v="451.83"/>
    <n v="586.16999999999996"/>
    <n v="7808.64"/>
    <n v="-134.33999999999997"/>
  </r>
  <r>
    <x v="12"/>
    <x v="0"/>
    <x v="0"/>
    <s v="4601102"/>
    <n v="730020"/>
    <s v="Rental and Leases-Copier Usage Fees (DO NOT USE)"/>
    <s v="Tacoma Endoscopy Center"/>
    <x v="0"/>
    <n v="5100"/>
    <n v="442.82"/>
    <n v="432.09"/>
    <n v="437.45"/>
    <n v="437.45"/>
    <n v="437.45"/>
    <n v="437.45"/>
    <n v="-1896.41"/>
    <n v="150.94999999999999"/>
    <n v="150.63999999999999"/>
    <n v="417.84"/>
    <n v="150.94999999999999"/>
    <n v="203.23"/>
    <n v="1801.9099999999994"/>
    <n v="-52.28"/>
  </r>
  <r>
    <x v="12"/>
    <x v="0"/>
    <x v="0"/>
    <s v="4601102"/>
    <n v="730040"/>
    <s v="LT Lease-Real Estate"/>
    <s v="Tacoma Endoscopy Center"/>
    <x v="0"/>
    <m/>
    <n v="0"/>
    <n v="0"/>
    <n v="0"/>
    <n v="0"/>
    <n v="0"/>
    <n v="0"/>
    <n v="0"/>
    <n v="0"/>
    <n v="0"/>
    <n v="0"/>
    <n v="0"/>
    <n v="20859.580000000002"/>
    <n v="20859.580000000002"/>
    <n v="-20859.580000000002"/>
  </r>
  <r>
    <x v="15"/>
    <x v="0"/>
    <x v="0"/>
    <s v="4601102"/>
    <n v="731050"/>
    <s v="Refuse Disposal"/>
    <s v="Tacoma Endoscopy Center"/>
    <x v="0"/>
    <m/>
    <n v="1705.11"/>
    <n v="697.39"/>
    <n v="249.02"/>
    <n v="465.84"/>
    <n v="599.67999999999995"/>
    <n v="78.12"/>
    <n v="529.85"/>
    <n v="0"/>
    <n v="1179.55"/>
    <n v="1509.25"/>
    <n v="176.5"/>
    <n v="612.01"/>
    <n v="7802.3200000000006"/>
    <n v="-435.51"/>
  </r>
  <r>
    <x v="16"/>
    <x v="0"/>
    <x v="0"/>
    <s v="4601102"/>
    <n v="732030"/>
    <s v="Repairs---Other"/>
    <s v="Tacoma Endoscopy Center"/>
    <x v="0"/>
    <m/>
    <n v="207.25"/>
    <n v="222.95"/>
    <n v="0"/>
    <n v="83.23"/>
    <n v="207.25"/>
    <n v="310.99"/>
    <n v="14.8"/>
    <n v="5681.82"/>
    <n v="0"/>
    <n v="0"/>
    <n v="0"/>
    <n v="0"/>
    <n v="6728.29"/>
    <n v="0"/>
  </r>
  <r>
    <x v="16"/>
    <x v="0"/>
    <x v="0"/>
    <s v="4601102"/>
    <n v="732030"/>
    <s v="Repairs&amp;Maintenance-Bldg Routine"/>
    <s v="Tacoma Endoscopy Center"/>
    <x v="0"/>
    <n v="2300"/>
    <n v="0"/>
    <n v="0"/>
    <n v="532.41999999999996"/>
    <n v="0"/>
    <n v="0"/>
    <n v="0"/>
    <n v="0"/>
    <n v="0"/>
    <n v="0"/>
    <n v="0"/>
    <n v="0"/>
    <n v="0"/>
    <n v="532.41999999999996"/>
    <n v="0"/>
  </r>
  <r>
    <x v="16"/>
    <x v="0"/>
    <x v="0"/>
    <s v="4601102"/>
    <n v="733030"/>
    <s v="Maintenance Contracts-Other"/>
    <s v="Tacoma Endoscopy Center"/>
    <x v="0"/>
    <m/>
    <n v="0"/>
    <n v="12948.12"/>
    <n v="4700"/>
    <n v="0"/>
    <n v="0"/>
    <n v="0"/>
    <n v="0"/>
    <n v="0"/>
    <n v="0"/>
    <n v="0"/>
    <n v="0"/>
    <n v="0"/>
    <n v="17648.120000000003"/>
    <n v="0"/>
  </r>
  <r>
    <x v="13"/>
    <x v="0"/>
    <x v="0"/>
    <s v="4601102"/>
    <n v="735050"/>
    <s v="Amortization-Leasehold Improvements"/>
    <s v="Tacoma Endoscopy Center"/>
    <x v="0"/>
    <m/>
    <n v="11720.99"/>
    <n v="11720.98"/>
    <n v="11720.99"/>
    <n v="11720.96"/>
    <n v="11721"/>
    <n v="11720.96"/>
    <n v="11721"/>
    <n v="11720.94"/>
    <n v="11721"/>
    <n v="11720.93"/>
    <n v="11721.02"/>
    <n v="11720.91"/>
    <n v="140651.68"/>
    <n v="0.11000000000058208"/>
  </r>
  <r>
    <x v="13"/>
    <x v="0"/>
    <x v="0"/>
    <s v="4601102"/>
    <n v="735070"/>
    <s v="Depreciation-Movable Equipment"/>
    <s v="Tacoma Endoscopy Center"/>
    <x v="0"/>
    <m/>
    <n v="11775.54"/>
    <n v="11917.06"/>
    <n v="11625.1"/>
    <n v="11625.01"/>
    <n v="11625.15"/>
    <n v="11624.99"/>
    <n v="11625.15"/>
    <n v="11624.96"/>
    <n v="11625.17"/>
    <n v="11624.92"/>
    <n v="11625.17"/>
    <n v="11624.91"/>
    <n v="139943.12999999998"/>
    <n v="0.26000000000021828"/>
  </r>
  <r>
    <x v="13"/>
    <x v="0"/>
    <x v="0"/>
    <s v="4601102"/>
    <n v="736000"/>
    <s v="General Amortization Expense"/>
    <s v="Tacoma Endoscopy Center"/>
    <x v="0"/>
    <n v="5000"/>
    <n v="1033.33"/>
    <n v="1033.33"/>
    <n v="1033.33"/>
    <n v="1033.33"/>
    <n v="1033.33"/>
    <n v="1033.33"/>
    <n v="1033.33"/>
    <n v="1033.33"/>
    <n v="1033.33"/>
    <n v="1033.33"/>
    <n v="1033.33"/>
    <n v="1033.33"/>
    <n v="12399.96"/>
    <n v="0"/>
  </r>
  <r>
    <x v="0"/>
    <x v="0"/>
    <x v="0"/>
    <s v="4601102"/>
    <n v="740020"/>
    <s v="Education-Registration Fees"/>
    <s v="Tacoma Endoscopy Center"/>
    <x v="0"/>
    <m/>
    <n v="210"/>
    <n v="0"/>
    <n v="200"/>
    <n v="210"/>
    <n v="380"/>
    <n v="0"/>
    <n v="0"/>
    <n v="300"/>
    <n v="345"/>
    <n v="210"/>
    <n v="0"/>
    <n v="90"/>
    <n v="1945"/>
    <n v="-90"/>
  </r>
  <r>
    <x v="0"/>
    <x v="0"/>
    <x v="0"/>
    <s v="4601102"/>
    <n v="742010"/>
    <s v="Postage-Regular"/>
    <s v="Tacoma Endoscopy Center"/>
    <x v="0"/>
    <m/>
    <n v="0"/>
    <n v="230"/>
    <n v="66"/>
    <n v="0"/>
    <n v="0"/>
    <n v="0"/>
    <n v="0"/>
    <n v="0"/>
    <n v="0"/>
    <n v="0"/>
    <n v="0"/>
    <n v="0"/>
    <n v="296"/>
    <n v="0"/>
  </r>
  <r>
    <x v="0"/>
    <x v="0"/>
    <x v="0"/>
    <s v="4601102"/>
    <n v="742040"/>
    <s v="Freight-Other"/>
    <s v="Tacoma Endoscopy Center"/>
    <x v="0"/>
    <m/>
    <n v="0"/>
    <n v="0"/>
    <n v="0"/>
    <n v="25.15"/>
    <n v="0"/>
    <n v="0"/>
    <n v="0"/>
    <n v="0"/>
    <n v="0"/>
    <n v="0"/>
    <n v="0"/>
    <n v="121.87"/>
    <n v="147.02000000000001"/>
    <n v="-121.87"/>
  </r>
  <r>
    <x v="0"/>
    <x v="0"/>
    <x v="0"/>
    <s v="4601102"/>
    <n v="743030"/>
    <s v="Subscriptions--Institutional"/>
    <s v="Tacoma Endoscopy Center"/>
    <x v="0"/>
    <m/>
    <n v="0"/>
    <n v="0"/>
    <n v="0"/>
    <n v="180"/>
    <n v="0"/>
    <n v="0"/>
    <n v="0"/>
    <n v="0"/>
    <n v="0"/>
    <n v="0"/>
    <n v="0"/>
    <n v="0"/>
    <n v="180"/>
    <n v="0"/>
  </r>
  <r>
    <x v="0"/>
    <x v="0"/>
    <x v="0"/>
    <s v="4601102"/>
    <n v="749510"/>
    <s v="Miscellaneous Expenses"/>
    <s v="Tacoma Endoscopy Center"/>
    <x v="0"/>
    <m/>
    <n v="0"/>
    <n v="0"/>
    <n v="0"/>
    <n v="1881"/>
    <n v="189.98"/>
    <n v="-8959"/>
    <n v="270.45999999999998"/>
    <n v="246.14"/>
    <n v="246.61"/>
    <n v="-197.61"/>
    <n v="0"/>
    <n v="31.9"/>
    <n v="-6290.52"/>
    <n v="-31.9"/>
  </r>
  <r>
    <x v="0"/>
    <x v="0"/>
    <x v="0"/>
    <s v="4601102"/>
    <n v="749510"/>
    <s v="Licenses"/>
    <s v="Tacoma Endoscopy Center"/>
    <x v="0"/>
    <n v="1002"/>
    <n v="0"/>
    <n v="330"/>
    <n v="731"/>
    <n v="0"/>
    <n v="0"/>
    <n v="0"/>
    <n v="0"/>
    <n v="0"/>
    <n v="0"/>
    <n v="150"/>
    <n v="0"/>
    <n v="0"/>
    <n v="1211"/>
    <n v="0"/>
  </r>
  <r>
    <x v="0"/>
    <x v="0"/>
    <x v="0"/>
    <s v="4601102"/>
    <n v="749510"/>
    <s v="Casualty Loss/Patient Property"/>
    <s v="Tacoma Endoscopy Center"/>
    <x v="0"/>
    <n v="4601"/>
    <n v="0"/>
    <n v="0"/>
    <n v="0"/>
    <n v="0"/>
    <n v="0"/>
    <n v="1472"/>
    <n v="0"/>
    <n v="0"/>
    <n v="0"/>
    <n v="0"/>
    <n v="0"/>
    <n v="0"/>
    <n v="1472"/>
    <n v="0"/>
  </r>
  <r>
    <x v="0"/>
    <x v="0"/>
    <x v="0"/>
    <s v="4601102"/>
    <n v="749510"/>
    <s v="RICE Rewards"/>
    <s v="Tacoma Endoscopy Center"/>
    <x v="0"/>
    <n v="5100"/>
    <n v="0"/>
    <n v="0"/>
    <n v="0"/>
    <n v="0"/>
    <n v="0"/>
    <n v="0"/>
    <n v="0"/>
    <n v="0"/>
    <n v="0"/>
    <n v="0"/>
    <n v="121.22"/>
    <n v="1019.82"/>
    <n v="1141.04"/>
    <n v="-898.6"/>
  </r>
  <r>
    <x v="0"/>
    <x v="0"/>
    <x v="0"/>
    <s v="4601102"/>
    <n v="749530"/>
    <s v="Travel"/>
    <s v="Tacoma Endoscopy Center"/>
    <x v="0"/>
    <m/>
    <n v="0"/>
    <n v="15"/>
    <n v="5"/>
    <n v="10"/>
    <n v="0"/>
    <n v="10"/>
    <n v="25"/>
    <n v="35.5"/>
    <n v="0"/>
    <n v="15"/>
    <n v="10"/>
    <n v="5"/>
    <n v="130.5"/>
    <n v="5"/>
  </r>
  <r>
    <x v="0"/>
    <x v="0"/>
    <x v="0"/>
    <s v="4601102"/>
    <n v="749530"/>
    <s v="Mileage"/>
    <s v="Tacoma Endoscopy Center"/>
    <x v="0"/>
    <n v="1001"/>
    <n v="0"/>
    <n v="86.67"/>
    <n v="62.13"/>
    <n v="64.87"/>
    <n v="0"/>
    <n v="125.92"/>
    <n v="66.14"/>
    <n v="106.72"/>
    <n v="0"/>
    <n v="67.86"/>
    <n v="66.12"/>
    <n v="74.819999999999993"/>
    <n v="721.25"/>
    <n v="-8.6999999999999886"/>
  </r>
  <r>
    <x v="0"/>
    <x v="0"/>
    <x v="0"/>
    <s v="4601102"/>
    <n v="749535"/>
    <s v="Meetings"/>
    <s v="Tacoma Endoscopy Center"/>
    <x v="0"/>
    <m/>
    <n v="0"/>
    <n v="0"/>
    <n v="0"/>
    <n v="0"/>
    <n v="0"/>
    <n v="87.53"/>
    <n v="93.51"/>
    <n v="0"/>
    <n v="0"/>
    <n v="147.55000000000001"/>
    <n v="0"/>
    <n v="0"/>
    <n v="328.59000000000003"/>
    <n v="0"/>
  </r>
  <r>
    <x v="19"/>
    <x v="0"/>
    <x v="0"/>
    <s v="4602102"/>
    <n v="400020"/>
    <s v="O/P Care Svcs Rev--Medicare"/>
    <s v="Harbor Endoscopy Center"/>
    <x v="0"/>
    <n v="1100"/>
    <n v="-734001.28"/>
    <n v="-602489.39"/>
    <n v="-527855.87"/>
    <n v="-667020.25"/>
    <n v="-574738.23"/>
    <n v="-479015.91"/>
    <n v="-656975.35999999999"/>
    <n v="-713020.09"/>
    <n v="-1076283.73"/>
    <n v="-774491.6"/>
    <n v="-1008159.91"/>
    <n v="-956821.67"/>
    <n v="-8770873.2899999991"/>
    <n v="-51338.239999999991"/>
  </r>
  <r>
    <x v="19"/>
    <x v="0"/>
    <x v="0"/>
    <s v="4602102"/>
    <n v="400020"/>
    <s v="O/P Care Svcs Rev--Medicaid"/>
    <s v="Harbor Endoscopy Center"/>
    <x v="0"/>
    <n v="1200"/>
    <n v="-289363.55"/>
    <n v="-140973.82999999999"/>
    <n v="-230479.85"/>
    <n v="-196389.22"/>
    <n v="-225684.5"/>
    <n v="-150170.76"/>
    <n v="-215087.84"/>
    <n v="-152529.99"/>
    <n v="-370091.95"/>
    <n v="-256045.67"/>
    <n v="-357537.82"/>
    <n v="-390333.9"/>
    <n v="-2974688.88"/>
    <n v="32796.080000000016"/>
  </r>
  <r>
    <x v="19"/>
    <x v="0"/>
    <x v="0"/>
    <s v="4602102"/>
    <n v="400020"/>
    <s v="O/P Care Svcs Rev--Comm Insurance"/>
    <s v="Harbor Endoscopy Center"/>
    <x v="0"/>
    <n v="1300"/>
    <n v="-82601.279999999999"/>
    <n v="-38046.89"/>
    <n v="-27434.3"/>
    <n v="-33450.120000000003"/>
    <n v="-36760.589999999997"/>
    <n v="-58805.73"/>
    <n v="-28575.58"/>
    <n v="-71762.92"/>
    <n v="-73497.240000000005"/>
    <n v="-82033.42"/>
    <n v="-39413.629999999997"/>
    <n v="-91546.85"/>
    <n v="-663928.54999999993"/>
    <n v="52133.220000000008"/>
  </r>
  <r>
    <x v="19"/>
    <x v="0"/>
    <x v="0"/>
    <s v="4602102"/>
    <n v="400020"/>
    <s v="O/P Care Svcs Rev--BCBS Comm"/>
    <s v="Harbor Endoscopy Center"/>
    <x v="0"/>
    <n v="1301"/>
    <n v="-122188.14"/>
    <n v="-131067.57"/>
    <n v="-123356.17"/>
    <n v="-130062.84"/>
    <n v="-158173.07999999999"/>
    <n v="-128284.77"/>
    <n v="-185333.46"/>
    <n v="-183561.82"/>
    <n v="-174704.76"/>
    <n v="-223680.16"/>
    <n v="-290066.53000000003"/>
    <n v="-248361.02"/>
    <n v="-2098840.3199999998"/>
    <n v="-41705.510000000038"/>
  </r>
  <r>
    <x v="19"/>
    <x v="0"/>
    <x v="0"/>
    <s v="4602102"/>
    <n v="400020"/>
    <s v="O/P Care Svcs Rev--Managed Care"/>
    <s v="Harbor Endoscopy Center"/>
    <x v="0"/>
    <n v="1400"/>
    <n v="-485367.1"/>
    <n v="-386035.53"/>
    <n v="-302355.83"/>
    <n v="-509658.76"/>
    <n v="-538208.48"/>
    <n v="-379877.93"/>
    <n v="-585051.43999999994"/>
    <n v="-555319.17000000004"/>
    <n v="-633737.18000000005"/>
    <n v="-632727.18000000005"/>
    <n v="-561949.54"/>
    <n v="-561482.05000000005"/>
    <n v="-6131770.1899999995"/>
    <n v="-467.48999999999069"/>
  </r>
  <r>
    <x v="19"/>
    <x v="0"/>
    <x v="0"/>
    <s v="4602102"/>
    <n v="400020"/>
    <s v="O/P Care Svcs Rev--Self Pay"/>
    <s v="Harbor Endoscopy Center"/>
    <x v="0"/>
    <n v="1500"/>
    <n v="-4430.07"/>
    <n v="-19538.52"/>
    <n v="0"/>
    <n v="-8471.52"/>
    <n v="-23715.22"/>
    <n v="0"/>
    <n v="1010.71"/>
    <n v="-17110.03"/>
    <n v="-12027.16"/>
    <n v="-5531.18"/>
    <n v="-3255.16"/>
    <n v="470.62"/>
    <n v="-92597.53"/>
    <n v="-3725.7799999999997"/>
  </r>
  <r>
    <x v="19"/>
    <x v="0"/>
    <x v="0"/>
    <s v="4602102"/>
    <n v="400020"/>
    <s v="O/P Care Svcs Rev--Other"/>
    <s v="Harbor Endoscopy Center"/>
    <x v="0"/>
    <n v="1700"/>
    <n v="-82018.19"/>
    <n v="-100459.95"/>
    <n v="-62331.09"/>
    <n v="-110412.99"/>
    <n v="-54385.27"/>
    <n v="-52340.89"/>
    <n v="-70631.94"/>
    <n v="-79641.850000000006"/>
    <n v="-139243.32"/>
    <n v="-103410.8"/>
    <n v="-85041.35"/>
    <n v="-166000.47"/>
    <n v="-1105918.1100000001"/>
    <n v="80959.12"/>
  </r>
  <r>
    <x v="5"/>
    <x v="0"/>
    <x v="0"/>
    <s v="4602102"/>
    <n v="700014"/>
    <s v="Salaries-Management-Productive"/>
    <s v="Harbor Endoscopy Center"/>
    <x v="0"/>
    <m/>
    <n v="1644.63"/>
    <n v="1533.59"/>
    <n v="1622.51"/>
    <n v="1646.04"/>
    <n v="1732.65"/>
    <n v="1365.18"/>
    <n v="1653.55"/>
    <n v="1221.0999999999999"/>
    <n v="899.77"/>
    <n v="2126.63"/>
    <n v="1653.47"/>
    <n v="870.6"/>
    <n v="17969.72"/>
    <n v="782.87"/>
  </r>
  <r>
    <x v="5"/>
    <x v="0"/>
    <x v="0"/>
    <s v="4602102"/>
    <n v="700026"/>
    <s v="Salaries-RN-Productive"/>
    <s v="Harbor Endoscopy Center"/>
    <x v="0"/>
    <m/>
    <n v="23211.57"/>
    <n v="16636.61"/>
    <n v="21953.9"/>
    <n v="17936.099999999999"/>
    <n v="22025.200000000001"/>
    <n v="16655.79"/>
    <n v="24738.1"/>
    <n v="21237.759999999998"/>
    <n v="27606.77"/>
    <n v="27135.97"/>
    <n v="25259.56"/>
    <n v="25336.12"/>
    <n v="269733.45"/>
    <n v="-76.559999999997672"/>
  </r>
  <r>
    <x v="5"/>
    <x v="0"/>
    <x v="0"/>
    <s v="4602102"/>
    <n v="700026"/>
    <s v="Salaries-RN-OT"/>
    <s v="Harbor Endoscopy Center"/>
    <x v="0"/>
    <n v="1000"/>
    <n v="0"/>
    <n v="89.08"/>
    <n v="22.81"/>
    <n v="-8.2899999999999991"/>
    <n v="927.39"/>
    <n v="1449.95"/>
    <n v="494.51"/>
    <n v="79.13"/>
    <n v="1159.9100000000001"/>
    <n v="-312.64"/>
    <n v="29.46"/>
    <n v="533.52"/>
    <n v="4464.83"/>
    <n v="-504.06"/>
  </r>
  <r>
    <x v="5"/>
    <x v="0"/>
    <x v="0"/>
    <s v="4602102"/>
    <n v="700026"/>
    <s v="Salaries-RN-Other"/>
    <s v="Harbor Endoscopy Center"/>
    <x v="0"/>
    <n v="2000"/>
    <n v="757.15"/>
    <n v="803.17"/>
    <n v="674.97"/>
    <n v="914.42"/>
    <n v="1014.63"/>
    <n v="660"/>
    <n v="1152.02"/>
    <n v="800.1"/>
    <n v="1012.21"/>
    <n v="695.95"/>
    <n v="828.18"/>
    <n v="478.44"/>
    <n v="9791.2400000000016"/>
    <n v="349.73999999999995"/>
  </r>
  <r>
    <x v="5"/>
    <x v="0"/>
    <x v="0"/>
    <s v="4602102"/>
    <n v="700030"/>
    <s v="Salaries-LPN-Productive"/>
    <s v="Harbor Endoscopy Center"/>
    <x v="0"/>
    <m/>
    <n v="9197.39"/>
    <n v="7373.76"/>
    <n v="8743.9500000000007"/>
    <n v="7147.74"/>
    <n v="7757.1"/>
    <n v="4348.8900000000003"/>
    <n v="6295.07"/>
    <n v="5631.68"/>
    <n v="8638.7099999999991"/>
    <n v="6213.27"/>
    <n v="7728.92"/>
    <n v="7654.55"/>
    <n v="86731.03"/>
    <n v="74.369999999999891"/>
  </r>
  <r>
    <x v="5"/>
    <x v="0"/>
    <x v="0"/>
    <s v="4602102"/>
    <n v="700030"/>
    <s v="Salaries-LPN-OT"/>
    <s v="Harbor Endoscopy Center"/>
    <x v="0"/>
    <n v="1000"/>
    <n v="0"/>
    <n v="0"/>
    <n v="0"/>
    <n v="0"/>
    <n v="37.65"/>
    <n v="99.36"/>
    <n v="-4.18"/>
    <n v="0"/>
    <n v="663.45"/>
    <n v="-234.11"/>
    <n v="18.87"/>
    <n v="-9.08"/>
    <n v="571.95999999999992"/>
    <n v="27.950000000000003"/>
  </r>
  <r>
    <x v="5"/>
    <x v="0"/>
    <x v="0"/>
    <s v="4602102"/>
    <n v="700030"/>
    <s v="Salaries-LPN-Other"/>
    <s v="Harbor Endoscopy Center"/>
    <x v="0"/>
    <n v="2000"/>
    <n v="0"/>
    <n v="0"/>
    <n v="0"/>
    <n v="0"/>
    <n v="0"/>
    <n v="30"/>
    <n v="0"/>
    <n v="0"/>
    <n v="0"/>
    <n v="0"/>
    <n v="0"/>
    <n v="0"/>
    <n v="30"/>
    <n v="0"/>
  </r>
  <r>
    <x v="5"/>
    <x v="0"/>
    <x v="0"/>
    <s v="4602102"/>
    <n v="700032"/>
    <s v="Salaries-Other Pat Care Providers-Productive"/>
    <s v="Harbor Endoscopy Center"/>
    <x v="0"/>
    <m/>
    <n v="6554.54"/>
    <n v="5549.82"/>
    <n v="6917.75"/>
    <n v="5155.2"/>
    <n v="9053.4500000000007"/>
    <n v="5148.63"/>
    <n v="7320.13"/>
    <n v="4793.93"/>
    <n v="6577.18"/>
    <n v="7136.43"/>
    <n v="8430.44"/>
    <n v="6482.05"/>
    <n v="79119.55"/>
    <n v="1948.3900000000003"/>
  </r>
  <r>
    <x v="5"/>
    <x v="0"/>
    <x v="0"/>
    <s v="4602102"/>
    <n v="700032"/>
    <s v="Salaries-Other Pat Care Providers-OT"/>
    <s v="Harbor Endoscopy Center"/>
    <x v="0"/>
    <n v="1000"/>
    <n v="26.78"/>
    <n v="0"/>
    <n v="38.68"/>
    <n v="76.510000000000005"/>
    <n v="72.37"/>
    <n v="529.44000000000005"/>
    <n v="-4.0999999999999996"/>
    <n v="0"/>
    <n v="41.24"/>
    <n v="124.39"/>
    <n v="165.68"/>
    <n v="209.77"/>
    <n v="1280.76"/>
    <n v="-44.09"/>
  </r>
  <r>
    <x v="5"/>
    <x v="0"/>
    <x v="0"/>
    <s v="4602102"/>
    <n v="700038"/>
    <s v="Salaries-Service/Support-Productive"/>
    <s v="Harbor Endoscopy Center"/>
    <x v="0"/>
    <m/>
    <n v="0"/>
    <n v="0"/>
    <n v="0"/>
    <n v="0"/>
    <n v="0"/>
    <n v="0"/>
    <n v="0"/>
    <n v="291.95"/>
    <n v="644.75"/>
    <n v="537.15"/>
    <n v="648.11"/>
    <n v="573.26"/>
    <n v="2695.2200000000003"/>
    <n v="74.850000000000023"/>
  </r>
  <r>
    <x v="5"/>
    <x v="0"/>
    <x v="0"/>
    <s v="4602102"/>
    <n v="700038"/>
    <s v="Salaries-Service/Support-OT"/>
    <s v="Harbor Endoscopy Center"/>
    <x v="0"/>
    <n v="1000"/>
    <n v="0"/>
    <n v="0"/>
    <n v="0"/>
    <n v="0"/>
    <n v="0"/>
    <n v="0"/>
    <n v="0"/>
    <n v="0"/>
    <n v="0"/>
    <n v="84.17"/>
    <n v="-35.06"/>
    <n v="0"/>
    <n v="49.11"/>
    <n v="-35.06"/>
  </r>
  <r>
    <x v="5"/>
    <x v="0"/>
    <x v="0"/>
    <s v="4602102"/>
    <n v="700054"/>
    <s v="Salaries-Management-NonProd-Other"/>
    <s v="Harbor Endoscopy Center"/>
    <x v="0"/>
    <n v="2000"/>
    <n v="0"/>
    <n v="0"/>
    <n v="0"/>
    <n v="0"/>
    <n v="0"/>
    <n v="124.8"/>
    <n v="-124.8"/>
    <n v="0"/>
    <n v="0"/>
    <n v="0"/>
    <n v="0"/>
    <n v="0"/>
    <n v="0"/>
    <n v="0"/>
  </r>
  <r>
    <x v="5"/>
    <x v="0"/>
    <x v="0"/>
    <s v="4602102"/>
    <n v="700066"/>
    <s v="Salaries-RN-Non-productive"/>
    <s v="Harbor Endoscopy Center"/>
    <x v="0"/>
    <m/>
    <n v="2964.51"/>
    <n v="3795.96"/>
    <n v="890.09"/>
    <n v="1194.6600000000001"/>
    <n v="115.92"/>
    <n v="3981.49"/>
    <n v="1656.94"/>
    <n v="1989.41"/>
    <n v="1191.04"/>
    <n v="172.25"/>
    <n v="3017.93"/>
    <n v="2511.4699999999998"/>
    <n v="23481.670000000006"/>
    <n v="506.46000000000004"/>
  </r>
  <r>
    <x v="5"/>
    <x v="0"/>
    <x v="0"/>
    <s v="4602102"/>
    <n v="700066"/>
    <s v="Salaries-RN-NonProd-Other"/>
    <s v="Harbor Endoscopy Center"/>
    <x v="0"/>
    <n v="2000"/>
    <n v="33.799999999999997"/>
    <n v="65.89"/>
    <n v="96.19"/>
    <n v="79.209999999999994"/>
    <n v="488.46"/>
    <n v="142.22999999999999"/>
    <n v="21.85"/>
    <n v="-164.84"/>
    <n v="70.11"/>
    <n v="31.56"/>
    <n v="5.9"/>
    <n v="34.43"/>
    <n v="904.78999999999985"/>
    <n v="-28.53"/>
  </r>
  <r>
    <x v="5"/>
    <x v="0"/>
    <x v="0"/>
    <s v="4602102"/>
    <n v="700070"/>
    <s v="Salaries-LPN-Non-productive"/>
    <s v="Harbor Endoscopy Center"/>
    <x v="0"/>
    <m/>
    <n v="1385.6"/>
    <n v="221.86"/>
    <n v="318.98"/>
    <n v="92.51"/>
    <n v="280.62"/>
    <n v="1502.13"/>
    <n v="397.28"/>
    <n v="1144.57"/>
    <n v="-279.58"/>
    <n v="478.13"/>
    <n v="-63.8"/>
    <n v="578.84"/>
    <n v="6057.14"/>
    <n v="-642.64"/>
  </r>
  <r>
    <x v="5"/>
    <x v="0"/>
    <x v="0"/>
    <s v="4602102"/>
    <n v="700070"/>
    <s v="Salaries-LPN-NonProd-Other"/>
    <s v="Harbor Endoscopy Center"/>
    <x v="0"/>
    <n v="2000"/>
    <n v="15.35"/>
    <n v="18.989999999999998"/>
    <n v="23.51"/>
    <n v="11.75"/>
    <n v="45.15"/>
    <n v="0.47"/>
    <n v="13.05"/>
    <n v="46.15"/>
    <n v="26.64"/>
    <n v="7.34"/>
    <n v="29.35"/>
    <n v="0.94"/>
    <n v="238.69"/>
    <n v="28.41"/>
  </r>
  <r>
    <x v="5"/>
    <x v="0"/>
    <x v="0"/>
    <s v="4602102"/>
    <n v="700072"/>
    <s v="Salaries-Other Pat Care Providers-Non-productive"/>
    <s v="Harbor Endoscopy Center"/>
    <x v="0"/>
    <m/>
    <n v="412.06"/>
    <n v="1023.51"/>
    <n v="-132.87"/>
    <n v="176.8"/>
    <n v="0"/>
    <n v="1040.6199999999999"/>
    <n v="109.86"/>
    <n v="2468.25"/>
    <n v="-548.44000000000005"/>
    <n v="0"/>
    <n v="0"/>
    <n v="512.67999999999995"/>
    <n v="5062.4699999999993"/>
    <n v="-512.67999999999995"/>
  </r>
  <r>
    <x v="5"/>
    <x v="0"/>
    <x v="0"/>
    <s v="4602102"/>
    <n v="700072"/>
    <s v="Salaries-Other Pat Care Providers-NonProd-Other"/>
    <s v="Harbor Endoscopy Center"/>
    <x v="0"/>
    <n v="2000"/>
    <n v="0"/>
    <n v="0"/>
    <n v="0"/>
    <n v="0"/>
    <n v="1487.5"/>
    <n v="2979.79"/>
    <n v="0"/>
    <n v="-4462.5"/>
    <n v="0"/>
    <n v="0"/>
    <n v="0"/>
    <n v="0"/>
    <n v="4.7899999999999636"/>
    <n v="0"/>
  </r>
  <r>
    <x v="5"/>
    <x v="0"/>
    <x v="0"/>
    <s v="4602102"/>
    <n v="700084"/>
    <s v="Accrued PTO"/>
    <s v="Harbor Endoscopy Center"/>
    <x v="0"/>
    <m/>
    <n v="-1933.32"/>
    <n v="-2612.11"/>
    <n v="579.48"/>
    <n v="1416.58"/>
    <n v="1234.82"/>
    <n v="-2116.59"/>
    <n v="244"/>
    <n v="-1771.04"/>
    <n v="1747.28"/>
    <n v="2115.46"/>
    <n v="958.84"/>
    <n v="-675.71"/>
    <n v="-812.31000000000051"/>
    <n v="1634.5500000000002"/>
  </r>
  <r>
    <x v="6"/>
    <x v="0"/>
    <x v="0"/>
    <s v="4602102"/>
    <n v="713010"/>
    <s v="Benefits-FICA/Medicare"/>
    <s v="Harbor Endoscopy Center"/>
    <x v="0"/>
    <m/>
    <n v="3434.26"/>
    <n v="2746.84"/>
    <n v="3052.61"/>
    <n v="2548.77"/>
    <n v="3628.65"/>
    <n v="2861.15"/>
    <n v="3259.7"/>
    <n v="2939.31"/>
    <n v="3537.32"/>
    <n v="3271.91"/>
    <n v="3528.97"/>
    <n v="3384.64"/>
    <n v="38194.130000000005"/>
    <n v="144.32999999999993"/>
  </r>
  <r>
    <x v="6"/>
    <x v="0"/>
    <x v="0"/>
    <s v="4602102"/>
    <n v="713090"/>
    <s v="Benefits-Allocated Amounts"/>
    <s v="Harbor Endoscopy Center"/>
    <x v="0"/>
    <m/>
    <n v="10804.66"/>
    <n v="7217.86"/>
    <n v="9253.85"/>
    <n v="7319.11"/>
    <n v="9583.06"/>
    <n v="7951.02"/>
    <n v="9779.7000000000007"/>
    <n v="9254.25"/>
    <n v="10006.969999999999"/>
    <n v="10224.16"/>
    <n v="10759.4"/>
    <n v="10655.11"/>
    <n v="112809.15"/>
    <n v="104.28999999999905"/>
  </r>
  <r>
    <x v="7"/>
    <x v="0"/>
    <x v="0"/>
    <s v="4602102"/>
    <n v="718050"/>
    <s v="Contract Svcs-Other"/>
    <s v="Harbor Endoscopy Center"/>
    <x v="0"/>
    <m/>
    <n v="2196"/>
    <n v="0"/>
    <n v="2030.74"/>
    <n v="0"/>
    <n v="0"/>
    <n v="0"/>
    <n v="72.52"/>
    <n v="0"/>
    <n v="0"/>
    <n v="0"/>
    <n v="0"/>
    <n v="0"/>
    <n v="4299.26"/>
    <n v="0"/>
  </r>
  <r>
    <x v="7"/>
    <x v="0"/>
    <x v="0"/>
    <s v="4602102"/>
    <n v="718050"/>
    <s v="Cleaning Services"/>
    <s v="Harbor Endoscopy Center"/>
    <x v="0"/>
    <n v="1011"/>
    <n v="0"/>
    <n v="1098"/>
    <n v="1098"/>
    <n v="1098"/>
    <n v="1098"/>
    <n v="1098"/>
    <n v="1997"/>
    <n v="1098"/>
    <n v="1098"/>
    <n v="0"/>
    <n v="2320"/>
    <n v="2780"/>
    <n v="14783"/>
    <n v="-460"/>
  </r>
  <r>
    <x v="7"/>
    <x v="0"/>
    <x v="0"/>
    <s v="4602102"/>
    <n v="718050"/>
    <s v="Miscellaneous Purchased Svcs"/>
    <s v="Harbor Endoscopy Center"/>
    <x v="0"/>
    <n v="1020"/>
    <n v="79.83"/>
    <n v="34.56"/>
    <n v="80.13"/>
    <n v="21.95"/>
    <n v="120.36"/>
    <n v="117.02"/>
    <n v="54.64"/>
    <n v="57.87"/>
    <n v="394.42"/>
    <n v="175"/>
    <n v="158.1"/>
    <n v="35.26"/>
    <n v="1329.1399999999999"/>
    <n v="122.84"/>
  </r>
  <r>
    <x v="7"/>
    <x v="0"/>
    <x v="0"/>
    <s v="4602102"/>
    <n v="718050"/>
    <s v="Translation Services"/>
    <s v="Harbor Endoscopy Center"/>
    <x v="0"/>
    <n v="1025"/>
    <n v="0"/>
    <n v="128"/>
    <n v="166"/>
    <n v="80"/>
    <n v="0"/>
    <n v="0"/>
    <n v="139.5"/>
    <n v="32"/>
    <n v="0"/>
    <n v="235"/>
    <n v="0"/>
    <n v="176"/>
    <n v="956.5"/>
    <n v="-176"/>
  </r>
  <r>
    <x v="7"/>
    <x v="0"/>
    <x v="0"/>
    <s v="4602102"/>
    <n v="718050"/>
    <s v="Contract Management--Linen"/>
    <s v="Harbor Endoscopy Center"/>
    <x v="0"/>
    <n v="1026"/>
    <n v="2231.1999999999998"/>
    <n v="2058.9299999999998"/>
    <n v="2041.26"/>
    <n v="1067.33"/>
    <n v="2267.63"/>
    <n v="822.88"/>
    <n v="2271.52"/>
    <n v="1314.6"/>
    <n v="3714.45"/>
    <n v="1001.41"/>
    <n v="745.16"/>
    <n v="2288.6999999999998"/>
    <n v="21825.07"/>
    <n v="-1543.54"/>
  </r>
  <r>
    <x v="7"/>
    <x v="0"/>
    <x v="0"/>
    <s v="4602102"/>
    <n v="718070"/>
    <s v="Contract Srvcs-CHI Clinical Engineering"/>
    <s v="Harbor Endoscopy Center"/>
    <x v="0"/>
    <m/>
    <n v="-1513.9"/>
    <n v="1025.5"/>
    <n v="1025.5"/>
    <n v="1174.49"/>
    <n v="1115.58"/>
    <n v="1115.58"/>
    <n v="1115.58"/>
    <n v="1115.58"/>
    <n v="1116.31"/>
    <n v="1116.31"/>
    <n v="1116.31"/>
    <n v="1116.31"/>
    <n v="10639.149999999998"/>
    <n v="0"/>
  </r>
  <r>
    <x v="7"/>
    <x v="0"/>
    <x v="0"/>
    <s v="4602102"/>
    <n v="718091"/>
    <s v="Contract Services-Intracompany Allocation"/>
    <s v="Harbor Endoscopy Center"/>
    <x v="0"/>
    <m/>
    <n v="2457.86"/>
    <n v="2707.08"/>
    <n v="2429.38"/>
    <n v="2674.35"/>
    <n v="2188.87"/>
    <n v="2306.0100000000002"/>
    <n v="2471.35"/>
    <n v="2295.0300000000002"/>
    <n v="2487.16"/>
    <n v="2470.2600000000002"/>
    <n v="2340.9299999999998"/>
    <n v="2562.5"/>
    <n v="29390.78"/>
    <n v="-221.57000000000016"/>
  </r>
  <r>
    <x v="11"/>
    <x v="0"/>
    <x v="0"/>
    <s v="4602102"/>
    <n v="721010"/>
    <s v="Supplies-Medical - Billable"/>
    <s v="Harbor Endoscopy Center"/>
    <x v="0"/>
    <m/>
    <n v="206.8"/>
    <n v="123.6"/>
    <n v="123.6"/>
    <n v="392.2"/>
    <n v="145"/>
    <n v="61.8"/>
    <n v="537.20000000000005"/>
    <n v="0"/>
    <n v="0"/>
    <n v="0"/>
    <n v="290"/>
    <n v="0"/>
    <n v="1880.2"/>
    <n v="290"/>
  </r>
  <r>
    <x v="11"/>
    <x v="0"/>
    <x v="0"/>
    <s v="4602102"/>
    <n v="721010"/>
    <s v="Patient Monitoring"/>
    <s v="Harbor Endoscopy Center"/>
    <x v="0"/>
    <n v="1000"/>
    <n v="6.36"/>
    <n v="153.06"/>
    <n v="6.36"/>
    <n v="12.72"/>
    <n v="0"/>
    <n v="15.9"/>
    <n v="25.44"/>
    <n v="76.319999999999993"/>
    <n v="38.159999999999997"/>
    <n v="158.58000000000001"/>
    <n v="158.6"/>
    <n v="68.62"/>
    <n v="720.12000000000012"/>
    <n v="89.97999999999999"/>
  </r>
  <r>
    <x v="11"/>
    <x v="0"/>
    <x v="0"/>
    <s v="4602102"/>
    <n v="721020"/>
    <s v="Supplies-Surgical - Billable"/>
    <s v="Harbor Endoscopy Center"/>
    <x v="0"/>
    <m/>
    <n v="2351.19"/>
    <n v="2342.9299999999998"/>
    <n v="3401.84"/>
    <n v="3068.89"/>
    <n v="1417.28"/>
    <n v="4738.3999999999996"/>
    <n v="2602.5700000000002"/>
    <n v="1787.21"/>
    <n v="2970.35"/>
    <n v="3753.47"/>
    <n v="4020.55"/>
    <n v="3405.9"/>
    <n v="35860.579999999994"/>
    <n v="614.65000000000009"/>
  </r>
  <r>
    <x v="11"/>
    <x v="0"/>
    <x v="0"/>
    <s v="4602102"/>
    <n v="721020"/>
    <s v="Endomechanical Supplies &amp; Instruments"/>
    <s v="Harbor Endoscopy Center"/>
    <x v="0"/>
    <n v="1003"/>
    <n v="898.72"/>
    <n v="770.72"/>
    <n v="96"/>
    <n v="454.58"/>
    <n v="227.76"/>
    <n v="210.82"/>
    <n v="770.72"/>
    <n v="233"/>
    <n v="300"/>
    <n v="210"/>
    <n v="360"/>
    <n v="5174.1400000000003"/>
    <n v="9706.4599999999991"/>
    <n v="-4814.1400000000003"/>
  </r>
  <r>
    <x v="11"/>
    <x v="0"/>
    <x v="0"/>
    <s v="4602102"/>
    <n v="721050"/>
    <s v="Supplies-Cardiac Rhythm - Billable"/>
    <s v="Harbor Endoscopy Center"/>
    <x v="0"/>
    <m/>
    <n v="439.08"/>
    <n v="380.29"/>
    <n v="658.62"/>
    <n v="1917.07"/>
    <n v="418.94"/>
    <n v="-36.89"/>
    <n v="4724.2"/>
    <n v="1179.52"/>
    <n v="109.48"/>
    <n v="638.48"/>
    <n v="159.32"/>
    <n v="3959.66"/>
    <n v="14547.769999999999"/>
    <n v="-3800.3399999999997"/>
  </r>
  <r>
    <x v="11"/>
    <x v="0"/>
    <x v="0"/>
    <s v="4602102"/>
    <n v="721240"/>
    <s v="Supplies-IV Solutions/Supplies - Billable"/>
    <s v="Harbor Endoscopy Center"/>
    <x v="0"/>
    <m/>
    <n v="2170"/>
    <n v="1263"/>
    <n v="1894.5"/>
    <n v="2526"/>
    <n v="2072.5"/>
    <n v="1208"/>
    <n v="2428.5"/>
    <n v="1449.5"/>
    <n v="2754.83"/>
    <n v="1538.5"/>
    <n v="2831.4"/>
    <n v="1894.5"/>
    <n v="24031.230000000003"/>
    <n v="936.90000000000009"/>
  </r>
  <r>
    <x v="11"/>
    <x v="0"/>
    <x v="0"/>
    <s v="4602102"/>
    <n v="721250"/>
    <s v="Supplies-Pharmacy Drugs - Billable"/>
    <s v="Harbor Endoscopy Center"/>
    <x v="0"/>
    <m/>
    <n v="19.28"/>
    <n v="0"/>
    <n v="0"/>
    <n v="0"/>
    <n v="19.28"/>
    <n v="0"/>
    <n v="0"/>
    <n v="19.28"/>
    <n v="0"/>
    <n v="0"/>
    <n v="19.28"/>
    <n v="0"/>
    <n v="77.12"/>
    <n v="19.28"/>
  </r>
  <r>
    <x v="11"/>
    <x v="0"/>
    <x v="0"/>
    <s v="4602102"/>
    <n v="721410"/>
    <s v="Supplies-Medical - Nonbillable"/>
    <s v="Harbor Endoscopy Center"/>
    <x v="0"/>
    <m/>
    <n v="3021.99"/>
    <n v="2001.54"/>
    <n v="3795.36"/>
    <n v="2581.6799999999998"/>
    <n v="3005.92"/>
    <n v="4126.37"/>
    <n v="4623.04"/>
    <n v="1559.69"/>
    <n v="4515.09"/>
    <n v="-51560.83"/>
    <n v="4646.0200000000004"/>
    <n v="3129.57"/>
    <n v="-14554.560000000001"/>
    <n v="1516.4500000000003"/>
  </r>
  <r>
    <x v="11"/>
    <x v="0"/>
    <x v="0"/>
    <s v="4602102"/>
    <n v="721410"/>
    <s v="Patient Monitoring"/>
    <s v="Harbor Endoscopy Center"/>
    <x v="0"/>
    <n v="1000"/>
    <n v="0"/>
    <n v="209.59"/>
    <n v="0"/>
    <n v="0"/>
    <n v="0"/>
    <n v="0"/>
    <n v="0"/>
    <n v="0"/>
    <n v="0"/>
    <n v="0"/>
    <n v="0"/>
    <n v="0"/>
    <n v="209.59"/>
    <n v="0"/>
  </r>
  <r>
    <x v="11"/>
    <x v="0"/>
    <x v="0"/>
    <s v="4602102"/>
    <n v="721420"/>
    <s v="Supplies-Surgical Nonbillable"/>
    <s v="Harbor Endoscopy Center"/>
    <x v="0"/>
    <m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4602102"/>
    <n v="721420"/>
    <s v="Tubes Drains &amp; Related Supplies"/>
    <s v="Harbor Endoscopy Center"/>
    <x v="0"/>
    <n v="1008"/>
    <n v="137.52000000000001"/>
    <n v="33.03"/>
    <n v="132.12"/>
    <n v="66.06"/>
    <n v="33.03"/>
    <n v="46.89"/>
    <n v="86.24"/>
    <n v="66.06"/>
    <n v="91.05"/>
    <n v="66.06"/>
    <n v="76.430000000000007"/>
    <n v="67.459999999999994"/>
    <n v="901.95"/>
    <n v="8.9700000000000131"/>
  </r>
  <r>
    <x v="11"/>
    <x v="0"/>
    <x v="0"/>
    <s v="4602102"/>
    <n v="721420"/>
    <s v="Sterilization Process Products"/>
    <s v="Harbor Endoscopy Center"/>
    <x v="0"/>
    <n v="1009"/>
    <n v="4972.57"/>
    <n v="3672.1"/>
    <n v="6230.9"/>
    <n v="4394.5200000000004"/>
    <n v="4043.26"/>
    <n v="5177.9399999999996"/>
    <n v="3650.21"/>
    <n v="3365.32"/>
    <n v="4485.1400000000003"/>
    <n v="5044.2"/>
    <n v="4931.18"/>
    <n v="4576.9799999999996"/>
    <n v="54544.319999999992"/>
    <n v="354.20000000000073"/>
  </r>
  <r>
    <x v="11"/>
    <x v="0"/>
    <x v="0"/>
    <s v="4602102"/>
    <n v="721610"/>
    <s v="Supplies-Anesthesia - Nonbillable"/>
    <s v="Harbor Endoscopy Center"/>
    <x v="0"/>
    <m/>
    <n v="341.88"/>
    <n v="244.9"/>
    <n v="306.54000000000002"/>
    <n v="133"/>
    <n v="106.4"/>
    <n v="296.60000000000002"/>
    <n v="3488.5"/>
    <n v="2463.84"/>
    <n v="4649.43"/>
    <n v="3991.56"/>
    <n v="4718.84"/>
    <n v="3610.71"/>
    <n v="24352.199999999997"/>
    <n v="1108.1300000000001"/>
  </r>
  <r>
    <x v="11"/>
    <x v="0"/>
    <x v="0"/>
    <s v="4602102"/>
    <n v="721640"/>
    <s v="Supplies-IV Solutions/Supplies - Nonbillable"/>
    <s v="Harbor Endoscopy Center"/>
    <x v="0"/>
    <m/>
    <n v="711"/>
    <n v="355.5"/>
    <n v="474"/>
    <n v="566.65"/>
    <n v="592.5"/>
    <n v="829.5"/>
    <n v="474"/>
    <n v="592.5"/>
    <n v="1185"/>
    <n v="829.5"/>
    <n v="1066.5"/>
    <n v="711"/>
    <n v="8387.65"/>
    <n v="355.5"/>
  </r>
  <r>
    <x v="11"/>
    <x v="0"/>
    <x v="0"/>
    <s v="4602102"/>
    <n v="721650"/>
    <s v="Supplies-Pharmacy Drugs - Nonbillable"/>
    <s v="Harbor Endoscopy Center"/>
    <x v="0"/>
    <m/>
    <n v="16.04"/>
    <n v="0"/>
    <n v="0"/>
    <n v="405"/>
    <n v="0"/>
    <n v="0"/>
    <n v="0"/>
    <n v="0"/>
    <n v="0"/>
    <n v="0"/>
    <n v="0"/>
    <n v="0"/>
    <n v="421.04"/>
    <n v="0"/>
  </r>
  <r>
    <x v="11"/>
    <x v="0"/>
    <x v="0"/>
    <s v="4602102"/>
    <n v="721710"/>
    <s v="Supplies-Laboratory - Nonbillable"/>
    <s v="Harbor Endoscopy Center"/>
    <x v="0"/>
    <m/>
    <n v="0"/>
    <n v="0"/>
    <n v="84.78"/>
    <n v="5.14"/>
    <n v="5.14"/>
    <n v="32.43"/>
    <n v="0"/>
    <n v="5.8"/>
    <n v="117.42"/>
    <n v="64.83"/>
    <n v="6.52"/>
    <n v="0"/>
    <n v="322.06"/>
    <n v="6.52"/>
  </r>
  <r>
    <x v="11"/>
    <x v="0"/>
    <x v="0"/>
    <s v="4602102"/>
    <n v="721710"/>
    <s v="Reagents"/>
    <s v="Harbor Endoscopy Center"/>
    <x v="0"/>
    <n v="1000"/>
    <n v="221.37"/>
    <n v="198.18"/>
    <n v="198.18"/>
    <n v="23.19"/>
    <n v="198.18"/>
    <n v="446.4"/>
    <n v="23.19"/>
    <n v="46.38"/>
    <n v="198.18"/>
    <n v="23.19"/>
    <n v="23.19"/>
    <n v="396.72"/>
    <n v="1996.3500000000004"/>
    <n v="-373.53000000000003"/>
  </r>
  <r>
    <x v="11"/>
    <x v="0"/>
    <x v="0"/>
    <s v="4602102"/>
    <n v="721810"/>
    <s v="Supplies-Dietary/Cafeteria"/>
    <s v="Harbor Endoscopy Center"/>
    <x v="0"/>
    <m/>
    <n v="0"/>
    <n v="62.71"/>
    <n v="81.36"/>
    <n v="39.24"/>
    <n v="50.55"/>
    <n v="101.93"/>
    <n v="39.24"/>
    <n v="51.41"/>
    <n v="81.36"/>
    <n v="84.84"/>
    <n v="78.48"/>
    <n v="78.48"/>
    <n v="749.60000000000014"/>
    <n v="0"/>
  </r>
  <r>
    <x v="11"/>
    <x v="0"/>
    <x v="0"/>
    <s v="4602102"/>
    <n v="721830"/>
    <s v="Supplies-Office"/>
    <s v="Harbor Endoscopy Center"/>
    <x v="0"/>
    <m/>
    <n v="4.6500000000000004"/>
    <n v="104.77"/>
    <n v="85.7"/>
    <n v="138.75"/>
    <n v="161.82"/>
    <n v="111.87"/>
    <n v="130.43"/>
    <n v="54.39"/>
    <n v="0"/>
    <n v="54.39"/>
    <n v="0"/>
    <n v="0"/>
    <n v="846.77"/>
    <n v="0"/>
  </r>
  <r>
    <x v="11"/>
    <x v="0"/>
    <x v="0"/>
    <s v="4602102"/>
    <n v="721835"/>
    <s v="Supplies-Forms"/>
    <s v="Harbor Endoscopy Center"/>
    <x v="0"/>
    <m/>
    <n v="0"/>
    <n v="0"/>
    <n v="0"/>
    <n v="0"/>
    <n v="10.5"/>
    <n v="0"/>
    <n v="0"/>
    <n v="0"/>
    <n v="0"/>
    <n v="0"/>
    <n v="0"/>
    <n v="0"/>
    <n v="10.5"/>
    <n v="0"/>
  </r>
  <r>
    <x v="11"/>
    <x v="0"/>
    <x v="0"/>
    <s v="4602102"/>
    <n v="721870"/>
    <s v="Supplies-Environmental Services"/>
    <s v="Harbor Endoscopy Center"/>
    <x v="0"/>
    <m/>
    <n v="612.45000000000005"/>
    <n v="346.95"/>
    <n v="334.7"/>
    <n v="768.02"/>
    <n v="389.97"/>
    <n v="414.07"/>
    <n v="801.5"/>
    <n v="555.61"/>
    <n v="476.54"/>
    <n v="851.31"/>
    <n v="549.4"/>
    <n v="597.1"/>
    <n v="6697.6200000000008"/>
    <n v="-47.700000000000045"/>
  </r>
  <r>
    <x v="11"/>
    <x v="0"/>
    <x v="0"/>
    <s v="4602102"/>
    <n v="721880"/>
    <s v="Supplies-Linen"/>
    <s v="Harbor Endoscopy Center"/>
    <x v="0"/>
    <m/>
    <n v="0"/>
    <n v="0"/>
    <n v="7.86"/>
    <n v="0"/>
    <n v="0"/>
    <n v="0"/>
    <n v="0"/>
    <n v="0"/>
    <n v="0"/>
    <n v="0"/>
    <n v="0"/>
    <n v="0"/>
    <n v="7.86"/>
    <n v="0"/>
  </r>
  <r>
    <x v="11"/>
    <x v="0"/>
    <x v="0"/>
    <s v="4602102"/>
    <n v="721910"/>
    <s v="Supplies-Small Equipment"/>
    <s v="Harbor Endoscopy Center"/>
    <x v="0"/>
    <m/>
    <n v="6.24"/>
    <n v="0"/>
    <n v="32.75"/>
    <n v="201.57"/>
    <n v="0"/>
    <n v="181.67"/>
    <n v="0"/>
    <n v="56.13"/>
    <n v="32.75"/>
    <n v="14.4"/>
    <n v="0"/>
    <n v="0"/>
    <n v="525.51"/>
    <n v="0"/>
  </r>
  <r>
    <x v="11"/>
    <x v="0"/>
    <x v="0"/>
    <s v="4602102"/>
    <n v="721980"/>
    <s v="Supplies-Other"/>
    <s v="Harbor Endoscopy Center"/>
    <x v="0"/>
    <m/>
    <n v="0"/>
    <n v="0"/>
    <n v="0"/>
    <n v="159.47999999999999"/>
    <n v="-8.48"/>
    <n v="40.94"/>
    <n v="0"/>
    <n v="29.98"/>
    <n v="0"/>
    <n v="0"/>
    <n v="0"/>
    <n v="1.82"/>
    <n v="223.73999999999998"/>
    <n v="-1.82"/>
  </r>
  <r>
    <x v="11"/>
    <x v="0"/>
    <x v="0"/>
    <s v="4602102"/>
    <n v="722000"/>
    <s v="Supplies-Freight Expense"/>
    <s v="Harbor Endoscopy Center"/>
    <x v="0"/>
    <m/>
    <n v="203.58"/>
    <n v="458.78"/>
    <n v="109.9"/>
    <n v="102.41"/>
    <n v="7.99"/>
    <n v="212.11"/>
    <n v="151.5"/>
    <n v="73.88"/>
    <n v="28.34"/>
    <n v="8.24"/>
    <n v="39.340000000000003"/>
    <n v="0"/>
    <n v="1396.07"/>
    <n v="39.340000000000003"/>
  </r>
  <r>
    <x v="11"/>
    <x v="0"/>
    <x v="0"/>
    <s v="4602102"/>
    <n v="723000"/>
    <s v="Supply Rebates/Patronage Dividend"/>
    <s v="Harbor Endoscopy Center"/>
    <x v="0"/>
    <m/>
    <n v="0"/>
    <n v="0"/>
    <n v="-1153.3499999999999"/>
    <n v="0"/>
    <n v="0"/>
    <n v="0"/>
    <n v="0"/>
    <n v="0"/>
    <n v="0"/>
    <n v="0"/>
    <n v="0"/>
    <n v="0"/>
    <n v="-1153.3499999999999"/>
    <n v="0"/>
  </r>
  <r>
    <x v="12"/>
    <x v="0"/>
    <x v="0"/>
    <s v="4602102"/>
    <n v="730010"/>
    <s v="Rental and Leases-Building (DO NOT USE)"/>
    <s v="Harbor Endoscopy Center"/>
    <x v="0"/>
    <m/>
    <n v="8624.1200000000008"/>
    <n v="8624.1200000000008"/>
    <n v="8624.1200000000008"/>
    <n v="8624.1200000000008"/>
    <n v="8624.1200000000008"/>
    <n v="-5556.85"/>
    <n v="6390.5"/>
    <n v="6390.5"/>
    <n v="6390.5"/>
    <n v="6390.5"/>
    <n v="6390.5"/>
    <n v="0"/>
    <n v="69516.25"/>
    <n v="6390.5"/>
  </r>
  <r>
    <x v="12"/>
    <x v="0"/>
    <x v="0"/>
    <s v="4602102"/>
    <n v="730010"/>
    <s v="Rental-Common Area Maint (DO NOT USE)"/>
    <s v="Harbor Endoscopy Center"/>
    <x v="0"/>
    <n v="2200"/>
    <n v="0"/>
    <n v="0"/>
    <n v="0"/>
    <n v="0"/>
    <n v="0"/>
    <n v="14336.83"/>
    <n v="2389.48"/>
    <n v="2389.48"/>
    <n v="3062.11"/>
    <n v="2411.7399999999998"/>
    <n v="2411.7399999999998"/>
    <n v="0"/>
    <n v="27001.379999999997"/>
    <n v="2411.7399999999998"/>
  </r>
  <r>
    <x v="12"/>
    <x v="0"/>
    <x v="0"/>
    <s v="4602102"/>
    <n v="730020"/>
    <s v="Rental and Leases-Equipment (DO NOT USE)"/>
    <s v="Harbor Endoscopy Center"/>
    <x v="0"/>
    <m/>
    <n v="660.04"/>
    <n v="225.76"/>
    <n v="301.42"/>
    <n v="261.63"/>
    <n v="393.89"/>
    <n v="475.18"/>
    <n v="518.41"/>
    <n v="620.71"/>
    <n v="454.01"/>
    <n v="160.58000000000001"/>
    <n v="297.99"/>
    <n v="257.79000000000002"/>
    <n v="4627.4099999999989"/>
    <n v="40.199999999999989"/>
  </r>
  <r>
    <x v="12"/>
    <x v="0"/>
    <x v="0"/>
    <s v="4602102"/>
    <n v="730020"/>
    <s v="Rental and Leases-Copier Usage Fees (DO NOT USE)"/>
    <s v="Harbor Endoscopy Center"/>
    <x v="0"/>
    <n v="5100"/>
    <n v="89.21"/>
    <n v="90.34"/>
    <n v="89.77"/>
    <n v="89.77"/>
    <n v="89.77"/>
    <n v="89.77"/>
    <n v="-359.92"/>
    <n v="39.07"/>
    <n v="38.979999999999997"/>
    <n v="39.159999999999997"/>
    <n v="39.07"/>
    <n v="60.19"/>
    <n v="395.17999999999995"/>
    <n v="-21.119999999999997"/>
  </r>
  <r>
    <x v="12"/>
    <x v="0"/>
    <x v="0"/>
    <s v="4602102"/>
    <n v="730040"/>
    <s v="LT Lease-Real Estate"/>
    <s v="Harbor Endoscopy Center"/>
    <x v="0"/>
    <m/>
    <n v="0"/>
    <n v="0"/>
    <n v="0"/>
    <n v="0"/>
    <n v="0"/>
    <n v="0"/>
    <n v="0"/>
    <n v="0"/>
    <n v="0"/>
    <n v="0"/>
    <n v="0"/>
    <n v="8802.24"/>
    <n v="8802.24"/>
    <n v="-8802.24"/>
  </r>
  <r>
    <x v="15"/>
    <x v="0"/>
    <x v="0"/>
    <s v="4602102"/>
    <n v="731050"/>
    <s v="Refuse Disposal"/>
    <s v="Harbor Endoscopy Center"/>
    <x v="0"/>
    <m/>
    <n v="229"/>
    <n v="609.28"/>
    <n v="53.43"/>
    <n v="315.38"/>
    <n v="145.04"/>
    <n v="529.91"/>
    <n v="187.33"/>
    <n v="182.64"/>
    <n v="0"/>
    <n v="106.86"/>
    <n v="0"/>
    <n v="465.02"/>
    <n v="2823.89"/>
    <n v="-465.02"/>
  </r>
  <r>
    <x v="15"/>
    <x v="0"/>
    <x v="0"/>
    <s v="4602102"/>
    <n v="731060"/>
    <s v="Telephone"/>
    <s v="Harbor Endoscopy Center"/>
    <x v="0"/>
    <m/>
    <n v="259.74"/>
    <n v="260.95"/>
    <n v="259.73"/>
    <n v="220.61"/>
    <n v="220.28"/>
    <n v="220.51"/>
    <n v="221.52"/>
    <n v="337.81"/>
    <n v="246.48"/>
    <n v="245.98"/>
    <n v="245.88"/>
    <n v="251.31"/>
    <n v="2990.8"/>
    <n v="-5.4300000000000068"/>
  </r>
  <r>
    <x v="16"/>
    <x v="0"/>
    <x v="0"/>
    <s v="4602102"/>
    <n v="732030"/>
    <s v="Repairs---Other"/>
    <s v="Harbor Endoscopy Center"/>
    <x v="0"/>
    <m/>
    <n v="0"/>
    <n v="0"/>
    <n v="0"/>
    <n v="0"/>
    <n v="0"/>
    <n v="3016.3"/>
    <n v="0"/>
    <n v="0"/>
    <n v="909.45"/>
    <n v="0"/>
    <n v="1212.28"/>
    <n v="0"/>
    <n v="5138.03"/>
    <n v="1212.28"/>
  </r>
  <r>
    <x v="16"/>
    <x v="0"/>
    <x v="0"/>
    <s v="4602102"/>
    <n v="733030"/>
    <s v="Maintenance Contracts-Other"/>
    <s v="Harbor Endoscopy Center"/>
    <x v="0"/>
    <m/>
    <n v="0"/>
    <n v="5999.99"/>
    <n v="1600"/>
    <n v="0"/>
    <n v="0"/>
    <n v="0"/>
    <n v="0"/>
    <n v="0"/>
    <n v="0"/>
    <n v="0"/>
    <n v="0"/>
    <n v="0"/>
    <n v="7599.99"/>
    <n v="0"/>
  </r>
  <r>
    <x v="13"/>
    <x v="0"/>
    <x v="0"/>
    <s v="4602102"/>
    <n v="735050"/>
    <s v="Amortization-Leasehold Improvements"/>
    <s v="Harbor Endoscopy Center"/>
    <x v="0"/>
    <m/>
    <n v="8314.06"/>
    <n v="8314.06"/>
    <n v="8314.07"/>
    <n v="8314.06"/>
    <n v="8314.08"/>
    <n v="8314.0499999999993"/>
    <n v="8314.09"/>
    <n v="8314.0400000000009"/>
    <n v="8314.09"/>
    <n v="8314.0400000000009"/>
    <n v="8314.09"/>
    <n v="8314.0300000000007"/>
    <n v="99768.760000000009"/>
    <n v="5.9999999999490683E-2"/>
  </r>
  <r>
    <x v="13"/>
    <x v="0"/>
    <x v="0"/>
    <s v="4602102"/>
    <n v="735070"/>
    <s v="Depreciation-Movable Equipment"/>
    <s v="Harbor Endoscopy Center"/>
    <x v="0"/>
    <m/>
    <n v="1718.56"/>
    <n v="1718.55"/>
    <n v="1718.56"/>
    <n v="1718.55"/>
    <n v="1718.59"/>
    <n v="1718.53"/>
    <n v="1718.59"/>
    <n v="1718.52"/>
    <n v="1718.61"/>
    <n v="1718.51"/>
    <n v="1718.63"/>
    <n v="1718.49"/>
    <n v="20622.690000000002"/>
    <n v="0.14000000000010004"/>
  </r>
  <r>
    <x v="13"/>
    <x v="0"/>
    <x v="0"/>
    <s v="4602102"/>
    <n v="736000"/>
    <s v="General Amortization Expense"/>
    <s v="Harbor Endoscopy Center"/>
    <x v="0"/>
    <n v="5000"/>
    <n v="511.11"/>
    <n v="511.11"/>
    <n v="511.11"/>
    <n v="511.11"/>
    <n v="511.11"/>
    <n v="511.11"/>
    <n v="511.11"/>
    <n v="511.11"/>
    <n v="511.11"/>
    <n v="511.11"/>
    <n v="511.11"/>
    <n v="511.11"/>
    <n v="6133.32"/>
    <n v="0"/>
  </r>
  <r>
    <x v="0"/>
    <x v="0"/>
    <x v="0"/>
    <s v="4602102"/>
    <n v="740020"/>
    <s v="Education-Registration Fees"/>
    <s v="Harbor Endoscopy Center"/>
    <x v="0"/>
    <m/>
    <n v="175"/>
    <n v="0"/>
    <n v="0"/>
    <n v="0"/>
    <n v="210"/>
    <n v="0"/>
    <n v="0"/>
    <n v="0"/>
    <n v="0"/>
    <n v="300"/>
    <n v="0"/>
    <n v="0"/>
    <n v="685"/>
    <n v="0"/>
  </r>
  <r>
    <x v="0"/>
    <x v="0"/>
    <x v="0"/>
    <s v="4602102"/>
    <n v="742010"/>
    <s v="Postage-Regular"/>
    <s v="Harbor Endoscopy Center"/>
    <x v="0"/>
    <m/>
    <n v="0"/>
    <n v="80"/>
    <n v="43.5"/>
    <n v="0"/>
    <n v="0"/>
    <n v="0"/>
    <n v="0"/>
    <n v="0"/>
    <n v="0"/>
    <n v="0"/>
    <n v="0"/>
    <n v="0"/>
    <n v="123.5"/>
    <n v="0"/>
  </r>
  <r>
    <x v="0"/>
    <x v="0"/>
    <x v="0"/>
    <s v="4602102"/>
    <n v="742040"/>
    <s v="Freight-Other"/>
    <s v="Harbor Endoscopy Center"/>
    <x v="0"/>
    <m/>
    <n v="0"/>
    <n v="0"/>
    <n v="0"/>
    <n v="48.45"/>
    <n v="0"/>
    <n v="0"/>
    <n v="0"/>
    <n v="0"/>
    <n v="0"/>
    <n v="0"/>
    <n v="0"/>
    <n v="50.3"/>
    <n v="98.75"/>
    <n v="-50.3"/>
  </r>
  <r>
    <x v="0"/>
    <x v="0"/>
    <x v="0"/>
    <s v="4602102"/>
    <n v="749510"/>
    <s v="Miscellaneous Expenses"/>
    <s v="Harbor Endoscopy Center"/>
    <x v="0"/>
    <m/>
    <n v="0"/>
    <n v="0"/>
    <n v="0"/>
    <n v="-1"/>
    <n v="0"/>
    <n v="0"/>
    <n v="0"/>
    <n v="816"/>
    <n v="0"/>
    <n v="716.5"/>
    <n v="0"/>
    <n v="411.45"/>
    <n v="1942.95"/>
    <n v="-411.45"/>
  </r>
  <r>
    <x v="0"/>
    <x v="0"/>
    <x v="0"/>
    <s v="4602102"/>
    <n v="749510"/>
    <s v="Licenses"/>
    <s v="Harbor Endoscopy Center"/>
    <x v="0"/>
    <n v="1002"/>
    <n v="0"/>
    <n v="330"/>
    <n v="731"/>
    <n v="0"/>
    <n v="0"/>
    <n v="0"/>
    <n v="0"/>
    <n v="0"/>
    <n v="0"/>
    <n v="0"/>
    <n v="0"/>
    <n v="0"/>
    <n v="1061"/>
    <n v="0"/>
  </r>
  <r>
    <x v="0"/>
    <x v="0"/>
    <x v="0"/>
    <s v="4602102"/>
    <n v="749510"/>
    <s v="RICE Rewards"/>
    <s v="Harbor Endoscopy Center"/>
    <x v="0"/>
    <n v="5100"/>
    <n v="0"/>
    <n v="0"/>
    <n v="0"/>
    <n v="0"/>
    <n v="0"/>
    <n v="0"/>
    <n v="0"/>
    <n v="0"/>
    <n v="0"/>
    <n v="0"/>
    <n v="371.04"/>
    <n v="102.96"/>
    <n v="474"/>
    <n v="268.08000000000004"/>
  </r>
  <r>
    <x v="0"/>
    <x v="0"/>
    <x v="0"/>
    <s v="4602102"/>
    <n v="749530"/>
    <s v="Travel"/>
    <s v="Harbor Endoscopy Center"/>
    <x v="0"/>
    <m/>
    <n v="0"/>
    <n v="0"/>
    <n v="0"/>
    <n v="0"/>
    <n v="15"/>
    <n v="0"/>
    <n v="5"/>
    <n v="0"/>
    <n v="5"/>
    <n v="0"/>
    <n v="0"/>
    <n v="0"/>
    <n v="25"/>
    <n v="0"/>
  </r>
  <r>
    <x v="0"/>
    <x v="0"/>
    <x v="0"/>
    <s v="4602102"/>
    <n v="749530"/>
    <s v="Mileage"/>
    <s v="Harbor Endoscopy Center"/>
    <x v="0"/>
    <n v="1001"/>
    <n v="0"/>
    <n v="0"/>
    <n v="0"/>
    <n v="0"/>
    <n v="18"/>
    <n v="0"/>
    <n v="6.38"/>
    <n v="0"/>
    <n v="5.8"/>
    <n v="0"/>
    <n v="0"/>
    <n v="0"/>
    <n v="30.18"/>
    <n v="0"/>
  </r>
  <r>
    <x v="5"/>
    <x v="0"/>
    <x v="0"/>
    <s v="4603102"/>
    <n v="700054"/>
    <s v="Salaries-Management-NonProd-Other"/>
    <s v="TEC Pathology Services"/>
    <x v="0"/>
    <n v="2000"/>
    <n v="0"/>
    <n v="0"/>
    <n v="0"/>
    <n v="0"/>
    <n v="0"/>
    <n v="404.68"/>
    <n v="-404.68"/>
    <n v="0"/>
    <n v="0"/>
    <n v="0"/>
    <n v="0"/>
    <n v="0"/>
    <n v="0"/>
    <n v="0"/>
  </r>
  <r>
    <x v="6"/>
    <x v="0"/>
    <x v="0"/>
    <s v="4603102"/>
    <n v="713010"/>
    <s v="Benefits-FICA/Medicare"/>
    <s v="TEC Pathology Services"/>
    <x v="0"/>
    <m/>
    <n v="0"/>
    <n v="0"/>
    <n v="0"/>
    <n v="0"/>
    <n v="0"/>
    <n v="30.96"/>
    <n v="30.96"/>
    <n v="0"/>
    <n v="0"/>
    <n v="0"/>
    <n v="0"/>
    <n v="0"/>
    <n v="61.92"/>
    <n v="0"/>
  </r>
  <r>
    <x v="6"/>
    <x v="0"/>
    <x v="0"/>
    <s v="4603102"/>
    <n v="713090"/>
    <s v="Benefits-Allocated Amounts"/>
    <s v="TEC Pathology Services"/>
    <x v="0"/>
    <m/>
    <n v="0"/>
    <n v="0"/>
    <n v="0"/>
    <n v="0"/>
    <n v="0"/>
    <n v="16.850000000000001"/>
    <n v="2.93"/>
    <n v="-19.78"/>
    <n v="0"/>
    <n v="0"/>
    <n v="0"/>
    <n v="0"/>
    <n v="0"/>
    <n v="0"/>
  </r>
  <r>
    <x v="0"/>
    <x v="0"/>
    <x v="0"/>
    <s v="4603102"/>
    <n v="749510"/>
    <s v="RICE Rewards"/>
    <s v="TEC Pathology Services"/>
    <x v="0"/>
    <n v="5100"/>
    <n v="0"/>
    <n v="0"/>
    <n v="0"/>
    <n v="0"/>
    <n v="0"/>
    <n v="0"/>
    <n v="0"/>
    <n v="0"/>
    <n v="0"/>
    <n v="0"/>
    <n v="359"/>
    <n v="-359"/>
    <n v="0"/>
    <n v="718"/>
  </r>
  <r>
    <x v="18"/>
    <x v="0"/>
    <x v="0"/>
    <s v="4604102"/>
    <n v="400010"/>
    <s v="Acute I/P Svcs Rev--Medicare"/>
    <s v="Fran Endoscopy Ctr-Federal Way"/>
    <x v="0"/>
    <n v="1100"/>
    <n v="0"/>
    <n v="0"/>
    <n v="0"/>
    <n v="0"/>
    <n v="-9980.32"/>
    <n v="0"/>
    <n v="-5805.67"/>
    <n v="0"/>
    <n v="0"/>
    <n v="0"/>
    <n v="0"/>
    <n v="0"/>
    <n v="-15785.99"/>
    <n v="0"/>
  </r>
  <r>
    <x v="19"/>
    <x v="0"/>
    <x v="0"/>
    <s v="4604102"/>
    <n v="400020"/>
    <s v="O/P Care Svcs Rev--Medicare"/>
    <s v="Fran Endoscopy Ctr-Federal Way"/>
    <x v="0"/>
    <n v="1100"/>
    <n v="-470566.98"/>
    <n v="-377400.93"/>
    <n v="-334130.18"/>
    <n v="-404050.04"/>
    <n v="-310629.87"/>
    <n v="-293894.61"/>
    <n v="-413695.06"/>
    <n v="-325885.81"/>
    <n v="-419225.56"/>
    <n v="-399537.19"/>
    <n v="-666838.37"/>
    <n v="-356447.15"/>
    <n v="-4772301.75"/>
    <n v="-310391.21999999997"/>
  </r>
  <r>
    <x v="19"/>
    <x v="0"/>
    <x v="0"/>
    <s v="4604102"/>
    <n v="400020"/>
    <s v="O/P Care Svcs Rev--Medicaid"/>
    <s v="Fran Endoscopy Ctr-Federal Way"/>
    <x v="0"/>
    <n v="1200"/>
    <n v="-239060.33"/>
    <n v="-196271.1"/>
    <n v="-296515.34999999998"/>
    <n v="-255323.07"/>
    <n v="-299726.3"/>
    <n v="-208901.83"/>
    <n v="-310809.05"/>
    <n v="-279169.5"/>
    <n v="-327051.02"/>
    <n v="-347193.2"/>
    <n v="-622059.72"/>
    <n v="-60063.49"/>
    <n v="-3442143.9600000009"/>
    <n v="-561996.23"/>
  </r>
  <r>
    <x v="19"/>
    <x v="0"/>
    <x v="0"/>
    <s v="4604102"/>
    <n v="400020"/>
    <s v="O/P Care Svcs Rev--Comm Insurance"/>
    <s v="Fran Endoscopy Ctr-Federal Way"/>
    <x v="0"/>
    <n v="1300"/>
    <n v="-18209.939999999999"/>
    <n v="-28669.06"/>
    <n v="-62449.82"/>
    <n v="-23687.32"/>
    <n v="-29415.66"/>
    <n v="-28794.33"/>
    <n v="-59334.5"/>
    <n v="-37669.03"/>
    <n v="-35453.72"/>
    <n v="-91090.3"/>
    <n v="-111275.16"/>
    <n v="-40141.71"/>
    <n v="-566190.54999999993"/>
    <n v="-71133.450000000012"/>
  </r>
  <r>
    <x v="19"/>
    <x v="0"/>
    <x v="0"/>
    <s v="4604102"/>
    <n v="400020"/>
    <s v="O/P Care Svcs Rev--BCBS Comm"/>
    <s v="Fran Endoscopy Ctr-Federal Way"/>
    <x v="0"/>
    <n v="1301"/>
    <n v="-124744.63"/>
    <n v="-95202.98"/>
    <n v="-100318.63"/>
    <n v="-107202.3"/>
    <n v="-99252.32"/>
    <n v="-128210.67"/>
    <n v="-172921.82"/>
    <n v="-113324.74"/>
    <n v="-164520.01999999999"/>
    <n v="-127505.5"/>
    <n v="-190209.49"/>
    <n v="-129990.52"/>
    <n v="-1553403.62"/>
    <n v="-60218.969999999987"/>
  </r>
  <r>
    <x v="19"/>
    <x v="0"/>
    <x v="0"/>
    <s v="4604102"/>
    <n v="400020"/>
    <s v="O/P Care Svcs Rev--Managed Care"/>
    <s v="Fran Endoscopy Ctr-Federal Way"/>
    <x v="0"/>
    <n v="1400"/>
    <n v="-489438.21"/>
    <n v="-355745.86"/>
    <n v="-409732.79"/>
    <n v="-526650.11"/>
    <n v="-401431.49"/>
    <n v="-549188.06000000006"/>
    <n v="-501736.88"/>
    <n v="-409727.86"/>
    <n v="-477506"/>
    <n v="-411255.42"/>
    <n v="-632946.80000000005"/>
    <n v="-258789.63"/>
    <n v="-5424149.1099999994"/>
    <n v="-374157.17000000004"/>
  </r>
  <r>
    <x v="19"/>
    <x v="0"/>
    <x v="0"/>
    <s v="4604102"/>
    <n v="400020"/>
    <s v="O/P Care Svcs Rev--Self Pay"/>
    <s v="Fran Endoscopy Ctr-Federal Way"/>
    <x v="0"/>
    <n v="1500"/>
    <n v="-8905.7199999999993"/>
    <n v="-8425.5300000000007"/>
    <n v="-14277.58"/>
    <n v="-27124.75"/>
    <n v="-21689.15"/>
    <n v="-9387.49"/>
    <n v="-22116.1"/>
    <n v="-8453.24"/>
    <n v="-60362.26"/>
    <n v="-4899.6499999999996"/>
    <n v="-37048.61"/>
    <n v="4205.54"/>
    <n v="-218484.54"/>
    <n v="-41254.15"/>
  </r>
  <r>
    <x v="19"/>
    <x v="0"/>
    <x v="0"/>
    <s v="4604102"/>
    <n v="400020"/>
    <s v="O/P Care Svcs Rev--Other"/>
    <s v="Fran Endoscopy Ctr-Federal Way"/>
    <x v="0"/>
    <n v="1700"/>
    <n v="-96850.43"/>
    <n v="-72287.41"/>
    <n v="-61327.06"/>
    <n v="-57318.69"/>
    <n v="-57388.35"/>
    <n v="-40730.75"/>
    <n v="-86567.54"/>
    <n v="-95582.32"/>
    <n v="-64334.89"/>
    <n v="-91591.17"/>
    <n v="-84506.58"/>
    <n v="-13855.3"/>
    <n v="-822340.49"/>
    <n v="-70651.28"/>
  </r>
  <r>
    <x v="5"/>
    <x v="0"/>
    <x v="0"/>
    <s v="4604102"/>
    <n v="700014"/>
    <s v="Salaries-Management-Productive"/>
    <s v="Fran Endoscopy Ctr-Federal Way"/>
    <x v="0"/>
    <m/>
    <n v="1644.63"/>
    <n v="1533.59"/>
    <n v="1622.51"/>
    <n v="1646.04"/>
    <n v="1732.65"/>
    <n v="1365.18"/>
    <n v="1653.55"/>
    <n v="1221.08"/>
    <n v="899.75"/>
    <n v="2126.58"/>
    <n v="1653.46"/>
    <n v="870.58"/>
    <n v="17969.600000000002"/>
    <n v="782.88"/>
  </r>
  <r>
    <x v="5"/>
    <x v="0"/>
    <x v="0"/>
    <s v="4604102"/>
    <n v="700026"/>
    <s v="Salaries-RN-Productive"/>
    <s v="Fran Endoscopy Ctr-Federal Way"/>
    <x v="0"/>
    <m/>
    <n v="20663.13"/>
    <n v="17218.650000000001"/>
    <n v="23648.67"/>
    <n v="21581.96"/>
    <n v="20327.82"/>
    <n v="21791.87"/>
    <n v="26259.95"/>
    <n v="20193.14"/>
    <n v="23202.41"/>
    <n v="15365.26"/>
    <n v="28711.62"/>
    <n v="26134.19"/>
    <n v="265098.67"/>
    <n v="2577.4300000000003"/>
  </r>
  <r>
    <x v="5"/>
    <x v="0"/>
    <x v="0"/>
    <s v="4604102"/>
    <n v="700026"/>
    <s v="Salaries-RN-OT"/>
    <s v="Fran Endoscopy Ctr-Federal Way"/>
    <x v="0"/>
    <n v="1000"/>
    <n v="0"/>
    <n v="0"/>
    <n v="0"/>
    <n v="0"/>
    <n v="934.93"/>
    <n v="233.17"/>
    <n v="367.76"/>
    <n v="0"/>
    <n v="437.23"/>
    <n v="36.47"/>
    <n v="953.15"/>
    <n v="279.23"/>
    <n v="3241.94"/>
    <n v="673.92"/>
  </r>
  <r>
    <x v="5"/>
    <x v="0"/>
    <x v="0"/>
    <s v="4604102"/>
    <n v="700026"/>
    <s v="Salaries-RN-Other"/>
    <s v="Fran Endoscopy Ctr-Federal Way"/>
    <x v="0"/>
    <n v="2000"/>
    <n v="202.06"/>
    <n v="177.32"/>
    <n v="404.62"/>
    <n v="332.34"/>
    <n v="143"/>
    <n v="237.06"/>
    <n v="313.76"/>
    <n v="272.45999999999998"/>
    <n v="247.95"/>
    <n v="174.87"/>
    <n v="387.76"/>
    <n v="261.23"/>
    <n v="3154.43"/>
    <n v="126.52999999999997"/>
  </r>
  <r>
    <x v="5"/>
    <x v="0"/>
    <x v="0"/>
    <s v="4604102"/>
    <n v="700030"/>
    <s v="Salaries-LPN-Productive"/>
    <s v="Fran Endoscopy Ctr-Federal Way"/>
    <x v="0"/>
    <m/>
    <n v="5245.44"/>
    <n v="6019.71"/>
    <n v="7536.42"/>
    <n v="4483.46"/>
    <n v="7231.47"/>
    <n v="3271.68"/>
    <n v="6505.03"/>
    <n v="5105.16"/>
    <n v="8010.87"/>
    <n v="5802.86"/>
    <n v="6555.75"/>
    <n v="4667.01"/>
    <n v="70434.86"/>
    <n v="1888.7399999999998"/>
  </r>
  <r>
    <x v="5"/>
    <x v="0"/>
    <x v="0"/>
    <s v="4604102"/>
    <n v="700030"/>
    <s v="Salaries-LPN-OT"/>
    <s v="Fran Endoscopy Ctr-Federal Way"/>
    <x v="0"/>
    <n v="1000"/>
    <n v="0"/>
    <n v="0"/>
    <n v="14.23"/>
    <n v="-5.17"/>
    <n v="525.78"/>
    <n v="-253.14"/>
    <n v="0"/>
    <n v="0"/>
    <n v="0"/>
    <n v="0"/>
    <n v="326.83999999999997"/>
    <n v="-157.36000000000001"/>
    <n v="451.17999999999995"/>
    <n v="484.2"/>
  </r>
  <r>
    <x v="5"/>
    <x v="0"/>
    <x v="0"/>
    <s v="4604102"/>
    <n v="700032"/>
    <s v="Salaries-Other Pat Care Providers-Productive"/>
    <s v="Fran Endoscopy Ctr-Federal Way"/>
    <x v="0"/>
    <m/>
    <n v="8573.4599999999991"/>
    <n v="5110.74"/>
    <n v="8108.24"/>
    <n v="6272.54"/>
    <n v="7054.91"/>
    <n v="5382.31"/>
    <n v="6868.26"/>
    <n v="4307.6000000000004"/>
    <n v="9414.5400000000009"/>
    <n v="6140.4"/>
    <n v="8891.64"/>
    <n v="6265.92"/>
    <n v="82390.559999999998"/>
    <n v="2625.7199999999993"/>
  </r>
  <r>
    <x v="5"/>
    <x v="0"/>
    <x v="0"/>
    <s v="4604102"/>
    <n v="700032"/>
    <s v="Salaries-Other Pat Care Providers-OT"/>
    <s v="Fran Endoscopy Ctr-Federal Way"/>
    <x v="0"/>
    <n v="1000"/>
    <n v="65.56"/>
    <n v="-11.56"/>
    <n v="36.36"/>
    <n v="17.64"/>
    <n v="32.020000000000003"/>
    <n v="454.95"/>
    <n v="336.82"/>
    <n v="126.97"/>
    <n v="83.83"/>
    <n v="83.17"/>
    <n v="25.16"/>
    <n v="764.59"/>
    <n v="2015.5100000000002"/>
    <n v="-739.43000000000006"/>
  </r>
  <r>
    <x v="5"/>
    <x v="0"/>
    <x v="0"/>
    <s v="4604102"/>
    <n v="700032"/>
    <s v="Salaries-Other Pat Care Providers-Other"/>
    <s v="Fran Endoscopy Ctr-Federal Wa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4604102"/>
    <n v="700038"/>
    <s v="Salaries-Service/Support-Productive"/>
    <s v="Fran Endoscopy Ctr-Federal Way"/>
    <x v="0"/>
    <m/>
    <n v="0"/>
    <n v="0"/>
    <n v="0"/>
    <n v="0"/>
    <n v="0"/>
    <n v="0"/>
    <n v="0"/>
    <n v="298.29000000000002"/>
    <n v="643.09"/>
    <n v="626.02"/>
    <n v="605.99"/>
    <n v="582.62"/>
    <n v="2756.01"/>
    <n v="23.370000000000005"/>
  </r>
  <r>
    <x v="5"/>
    <x v="0"/>
    <x v="0"/>
    <s v="4604102"/>
    <n v="700038"/>
    <s v="Salaries-Service/Support-OT"/>
    <s v="Fran Endoscopy Ctr-Federal Way"/>
    <x v="0"/>
    <n v="1000"/>
    <n v="0"/>
    <n v="0"/>
    <n v="0"/>
    <n v="0"/>
    <n v="0"/>
    <n v="0"/>
    <n v="0"/>
    <n v="0"/>
    <n v="46.08"/>
    <n v="180.4"/>
    <n v="-38.090000000000003"/>
    <n v="60.11"/>
    <n v="248.5"/>
    <n v="-98.2"/>
  </r>
  <r>
    <x v="5"/>
    <x v="0"/>
    <x v="0"/>
    <s v="4604102"/>
    <n v="700054"/>
    <s v="Salaries-Management-NonProd-Other"/>
    <s v="Fran Endoscopy Ctr-Federal Way"/>
    <x v="0"/>
    <n v="2000"/>
    <n v="0"/>
    <n v="0"/>
    <n v="0"/>
    <n v="0"/>
    <n v="0"/>
    <n v="1072.53"/>
    <n v="-1072.53"/>
    <n v="0"/>
    <n v="0"/>
    <n v="0"/>
    <n v="0"/>
    <n v="0"/>
    <n v="0"/>
    <n v="0"/>
  </r>
  <r>
    <x v="5"/>
    <x v="0"/>
    <x v="0"/>
    <s v="4604102"/>
    <n v="700066"/>
    <s v="Salaries-RN-Non-productive"/>
    <s v="Fran Endoscopy Ctr-Federal Way"/>
    <x v="0"/>
    <m/>
    <n v="1787.57"/>
    <n v="170.09"/>
    <n v="1349.05"/>
    <n v="1234.83"/>
    <n v="907.34"/>
    <n v="2279.5"/>
    <n v="4829.33"/>
    <n v="3529.86"/>
    <n v="-556.03"/>
    <n v="317.13"/>
    <n v="854.81"/>
    <n v="3205.06"/>
    <n v="19908.54"/>
    <n v="-2350.25"/>
  </r>
  <r>
    <x v="5"/>
    <x v="0"/>
    <x v="0"/>
    <s v="4604102"/>
    <n v="700066"/>
    <s v="Salaries-RN-NonProd-Other"/>
    <s v="Fran Endoscopy Ctr-Federal Way"/>
    <x v="0"/>
    <n v="2000"/>
    <n v="40.5"/>
    <n v="37.53"/>
    <n v="10.19"/>
    <n v="37.520000000000003"/>
    <n v="40.4"/>
    <n v="82.03"/>
    <n v="30.22"/>
    <n v="39.340000000000003"/>
    <n v="33.58"/>
    <n v="14.91"/>
    <n v="29.91"/>
    <n v="86.63"/>
    <n v="482.76000000000005"/>
    <n v="-56.72"/>
  </r>
  <r>
    <x v="5"/>
    <x v="0"/>
    <x v="0"/>
    <s v="4604102"/>
    <n v="700070"/>
    <s v="Salaries-LPN-Non-productive"/>
    <s v="Fran Endoscopy Ctr-Federal Way"/>
    <x v="0"/>
    <m/>
    <n v="1022.68"/>
    <n v="542.78"/>
    <n v="1477.79"/>
    <n v="261.77999999999997"/>
    <n v="720.89"/>
    <n v="1971.22"/>
    <n v="1271.45"/>
    <n v="1425.24"/>
    <n v="360.4"/>
    <n v="-279.74"/>
    <n v="1206.98"/>
    <n v="1269.5999999999999"/>
    <n v="11251.07"/>
    <n v="-62.619999999999891"/>
  </r>
  <r>
    <x v="5"/>
    <x v="0"/>
    <x v="0"/>
    <s v="4604102"/>
    <n v="700070"/>
    <s v="Salaries-LPN-NonProd-Other"/>
    <s v="Fran Endoscopy Ctr-Federal Way"/>
    <x v="0"/>
    <n v="2000"/>
    <n v="7.33"/>
    <n v="16.829999999999998"/>
    <n v="0"/>
    <n v="0"/>
    <n v="401.75"/>
    <n v="802.85"/>
    <n v="59.11"/>
    <n v="-1152.99"/>
    <n v="44.11"/>
    <n v="19.02"/>
    <n v="2.1"/>
    <n v="16.22"/>
    <n v="216.3299999999999"/>
    <n v="-14.12"/>
  </r>
  <r>
    <x v="5"/>
    <x v="0"/>
    <x v="0"/>
    <s v="4604102"/>
    <n v="700072"/>
    <s v="Salaries-Other Pat Care Providers-Non-productive"/>
    <s v="Fran Endoscopy Ctr-Federal Way"/>
    <x v="0"/>
    <m/>
    <n v="491.68"/>
    <n v="745.9"/>
    <n v="417.82"/>
    <n v="781.57"/>
    <n v="1076.47"/>
    <n v="1802.09"/>
    <n v="1072.96"/>
    <n v="1933.53"/>
    <n v="594.95000000000005"/>
    <n v="470.81"/>
    <n v="439.63"/>
    <n v="3068.65"/>
    <n v="12896.06"/>
    <n v="-2629.02"/>
  </r>
  <r>
    <x v="5"/>
    <x v="0"/>
    <x v="0"/>
    <s v="4604102"/>
    <n v="700072"/>
    <s v="Salaries-Other Pat Care Providers-NonProd-Other"/>
    <s v="Fran Endoscopy Ctr-Federal Way"/>
    <x v="0"/>
    <n v="2000"/>
    <n v="0"/>
    <n v="27.3"/>
    <n v="22.98"/>
    <n v="-6.34"/>
    <n v="40.159999999999997"/>
    <n v="42.75"/>
    <n v="18.16"/>
    <n v="8.7899999999999991"/>
    <n v="23.35"/>
    <n v="-3.05"/>
    <n v="15.65"/>
    <n v="22.55"/>
    <n v="212.29999999999998"/>
    <n v="-6.9"/>
  </r>
  <r>
    <x v="5"/>
    <x v="0"/>
    <x v="0"/>
    <s v="4604102"/>
    <n v="700084"/>
    <s v="Accrued PTO"/>
    <s v="Fran Endoscopy Ctr-Federal Way"/>
    <x v="0"/>
    <m/>
    <n v="1101.52"/>
    <n v="2660.17"/>
    <n v="929.92"/>
    <n v="1855.67"/>
    <n v="496.39"/>
    <n v="935.02"/>
    <n v="1599.16"/>
    <n v="-1476.55"/>
    <n v="3764.93"/>
    <n v="3550.03"/>
    <n v="3065.29"/>
    <n v="1778.09"/>
    <n v="20259.64"/>
    <n v="1287.2"/>
  </r>
  <r>
    <x v="6"/>
    <x v="0"/>
    <x v="0"/>
    <s v="4604102"/>
    <n v="713010"/>
    <s v="Benefits-FICA/Medicare"/>
    <s v="Fran Endoscopy Ctr-Federal Way"/>
    <x v="0"/>
    <m/>
    <n v="2918.03"/>
    <n v="2316.2600000000002"/>
    <n v="3268.47"/>
    <n v="2704.61"/>
    <n v="3049.89"/>
    <n v="2880.91"/>
    <n v="3716.81"/>
    <n v="2800.99"/>
    <n v="3212.99"/>
    <n v="2259.2399999999998"/>
    <n v="3713.57"/>
    <n v="3430.9"/>
    <n v="36272.67"/>
    <n v="282.67000000000007"/>
  </r>
  <r>
    <x v="6"/>
    <x v="0"/>
    <x v="0"/>
    <s v="4604102"/>
    <n v="713090"/>
    <s v="Benefits-Allocated Amounts"/>
    <s v="Fran Endoscopy Ctr-Federal Way"/>
    <x v="0"/>
    <m/>
    <n v="9711.5499999999993"/>
    <n v="6585.54"/>
    <n v="10409.780000000001"/>
    <n v="7878.13"/>
    <n v="9121.67"/>
    <n v="8507.15"/>
    <n v="11226.33"/>
    <n v="9116.84"/>
    <n v="10109.290000000001"/>
    <n v="7830.03"/>
    <n v="11899.76"/>
    <n v="11376.45"/>
    <n v="113772.51999999999"/>
    <n v="523.30999999999949"/>
  </r>
  <r>
    <x v="7"/>
    <x v="0"/>
    <x v="0"/>
    <s v="4604102"/>
    <n v="718050"/>
    <s v="Contract Svcs-Other"/>
    <s v="Fran Endoscopy Ctr-Federal Way"/>
    <x v="0"/>
    <m/>
    <n v="93.5"/>
    <n v="283.3"/>
    <n v="2108.64"/>
    <n v="2706.5"/>
    <n v="58.63"/>
    <n v="146.47999999999999"/>
    <n v="58.65"/>
    <n v="58.65"/>
    <n v="1627.53"/>
    <n v="146.47999999999999"/>
    <n v="0"/>
    <n v="5.94"/>
    <n v="7294.2999999999984"/>
    <n v="-5.94"/>
  </r>
  <r>
    <x v="7"/>
    <x v="0"/>
    <x v="0"/>
    <s v="4604102"/>
    <n v="718050"/>
    <s v="Cleaning Services"/>
    <s v="Fran Endoscopy Ctr-Federal Way"/>
    <x v="0"/>
    <n v="1011"/>
    <n v="0"/>
    <n v="0"/>
    <n v="0"/>
    <n v="0"/>
    <n v="0"/>
    <n v="0"/>
    <n v="0"/>
    <n v="0"/>
    <n v="0"/>
    <n v="0"/>
    <n v="1390"/>
    <n v="-1390"/>
    <n v="0"/>
    <n v="2780"/>
  </r>
  <r>
    <x v="7"/>
    <x v="0"/>
    <x v="0"/>
    <s v="4604102"/>
    <n v="718050"/>
    <s v="Translation Services"/>
    <s v="Fran Endoscopy Ctr-Federal Way"/>
    <x v="0"/>
    <n v="1025"/>
    <n v="1611.5"/>
    <n v="950.5"/>
    <n v="1102.5"/>
    <n v="1026.5"/>
    <n v="0"/>
    <n v="122.5"/>
    <n v="2674.5"/>
    <n v="714"/>
    <n v="0"/>
    <n v="1796"/>
    <n v="0"/>
    <n v="894"/>
    <n v="10892"/>
    <n v="-894"/>
  </r>
  <r>
    <x v="7"/>
    <x v="0"/>
    <x v="0"/>
    <s v="4604102"/>
    <n v="718050"/>
    <s v="Contract Management--Linen"/>
    <s v="Fran Endoscopy Ctr-Federal Way"/>
    <x v="0"/>
    <n v="1026"/>
    <n v="982.87"/>
    <n v="752.99"/>
    <n v="157.53"/>
    <n v="241.37"/>
    <n v="976.17"/>
    <n v="338.77"/>
    <n v="1181.74"/>
    <n v="0"/>
    <n v="2109.16"/>
    <n v="0"/>
    <n v="579.66999999999996"/>
    <n v="637.63"/>
    <n v="7957.9000000000005"/>
    <n v="-57.960000000000036"/>
  </r>
  <r>
    <x v="7"/>
    <x v="0"/>
    <x v="0"/>
    <s v="4604102"/>
    <n v="718070"/>
    <s v="Contract Srvcs-CHI Clinical Engineering"/>
    <s v="Fran Endoscopy Ctr-Federal Way"/>
    <x v="0"/>
    <m/>
    <n v="1315.62"/>
    <n v="1340.91"/>
    <n v="1340.91"/>
    <n v="1191.92"/>
    <n v="1132.1600000000001"/>
    <n v="1132.1600000000001"/>
    <n v="1132.1600000000001"/>
    <n v="1132.1600000000001"/>
    <n v="1132.96"/>
    <n v="1132.96"/>
    <n v="1132.96"/>
    <n v="991.34"/>
    <n v="14108.219999999998"/>
    <n v="141.62"/>
  </r>
  <r>
    <x v="7"/>
    <x v="0"/>
    <x v="0"/>
    <s v="4604102"/>
    <n v="718091"/>
    <s v="Contract Services-Intracompany Allocation"/>
    <s v="Fran Endoscopy Ctr-Federal Way"/>
    <x v="0"/>
    <m/>
    <n v="2841.9"/>
    <n v="3130.06"/>
    <n v="2808.97"/>
    <n v="3092.22"/>
    <n v="2530.88"/>
    <n v="2666.33"/>
    <n v="2857.49"/>
    <n v="2653.63"/>
    <n v="2875.78"/>
    <n v="2856.24"/>
    <n v="2706.7"/>
    <n v="2962.89"/>
    <n v="33983.090000000004"/>
    <n v="-256.19000000000005"/>
  </r>
  <r>
    <x v="11"/>
    <x v="0"/>
    <x v="0"/>
    <s v="4604102"/>
    <n v="721010"/>
    <s v="Supplies-Medical - Billable"/>
    <s v="Fran Endoscopy Ctr-Federal Way"/>
    <x v="0"/>
    <m/>
    <n v="351.8"/>
    <n v="679.8"/>
    <n v="512.48"/>
    <n v="145"/>
    <n v="433.23"/>
    <n v="351.8"/>
    <n v="330.4"/>
    <n v="413.6"/>
    <n v="351.8"/>
    <n v="507.39"/>
    <n v="303.85000000000002"/>
    <n v="580"/>
    <n v="4961.1500000000005"/>
    <n v="-276.14999999999998"/>
  </r>
  <r>
    <x v="11"/>
    <x v="0"/>
    <x v="0"/>
    <s v="4604102"/>
    <n v="721010"/>
    <s v="Patient Monitoring"/>
    <s v="Fran Endoscopy Ctr-Federal Way"/>
    <x v="0"/>
    <n v="1000"/>
    <n v="6.36"/>
    <n v="0"/>
    <n v="0"/>
    <n v="0"/>
    <n v="6.36"/>
    <n v="0"/>
    <n v="0"/>
    <n v="0"/>
    <n v="50.88"/>
    <n v="243.24"/>
    <n v="0"/>
    <n v="15.75"/>
    <n v="322.59000000000003"/>
    <n v="-15.75"/>
  </r>
  <r>
    <x v="11"/>
    <x v="0"/>
    <x v="0"/>
    <s v="4604102"/>
    <n v="721020"/>
    <s v="Supplies-Surgical - Billable"/>
    <s v="Fran Endoscopy Ctr-Federal Way"/>
    <x v="0"/>
    <m/>
    <n v="5047.8100000000004"/>
    <n v="1324.47"/>
    <n v="2601.62"/>
    <n v="2275.98"/>
    <n v="5043.91"/>
    <n v="2811.76"/>
    <n v="6446.09"/>
    <n v="2646.05"/>
    <n v="2820.78"/>
    <n v="1664.72"/>
    <n v="2533.04"/>
    <n v="2506.61"/>
    <n v="37722.840000000004"/>
    <n v="26.429999999999836"/>
  </r>
  <r>
    <x v="11"/>
    <x v="0"/>
    <x v="0"/>
    <s v="4604102"/>
    <n v="721020"/>
    <s v="Endomechanical Supplies &amp; Instruments"/>
    <s v="Fran Endoscopy Ctr-Federal Way"/>
    <x v="0"/>
    <n v="1003"/>
    <n v="1029.44"/>
    <n v="0"/>
    <n v="0"/>
    <n v="0"/>
    <n v="209.88"/>
    <n v="1095.32"/>
    <n v="352.94"/>
    <n v="126"/>
    <n v="739.72"/>
    <n v="180"/>
    <n v="210"/>
    <n v="1561.91"/>
    <n v="5505.21"/>
    <n v="-1351.91"/>
  </r>
  <r>
    <x v="11"/>
    <x v="0"/>
    <x v="0"/>
    <s v="4604102"/>
    <n v="721050"/>
    <s v="Supplies-Cardiac Rhythm - Billable"/>
    <s v="Fran Endoscopy Ctr-Federal Way"/>
    <x v="0"/>
    <m/>
    <n v="0"/>
    <n v="4799.37"/>
    <n v="4199.54"/>
    <n v="1697.53"/>
    <n v="4579.83"/>
    <n v="4740.04"/>
    <n v="5303.89"/>
    <n v="1567.33"/>
    <n v="9666.31"/>
    <n v="4517.78"/>
    <n v="4100.47"/>
    <n v="6244.55"/>
    <n v="51416.639999999999"/>
    <n v="-2144.08"/>
  </r>
  <r>
    <x v="11"/>
    <x v="0"/>
    <x v="0"/>
    <s v="4604102"/>
    <n v="721240"/>
    <s v="Supplies-IV Solutions/Supplies - Billable"/>
    <s v="Fran Endoscopy Ctr-Federal Way"/>
    <x v="0"/>
    <m/>
    <n v="1894.5"/>
    <n v="1271.5"/>
    <n v="2161.5"/>
    <n v="1449.5"/>
    <n v="2064"/>
    <n v="826.5"/>
    <n v="2161.5"/>
    <n v="1174"/>
    <n v="2540.9499999999998"/>
    <n v="1107.4100000000001"/>
    <n v="1360.5"/>
    <n v="1311.11"/>
    <n v="19322.97"/>
    <n v="49.3900000000001"/>
  </r>
  <r>
    <x v="11"/>
    <x v="0"/>
    <x v="0"/>
    <s v="4604102"/>
    <n v="721250"/>
    <s v="Supplies-Pharmacy Drugs - Billable"/>
    <s v="Fran Endoscopy Ctr-Federal Way"/>
    <x v="0"/>
    <m/>
    <n v="0"/>
    <n v="0"/>
    <n v="0"/>
    <n v="19.28"/>
    <n v="19.28"/>
    <n v="0"/>
    <n v="0"/>
    <n v="0"/>
    <n v="0"/>
    <n v="0"/>
    <n v="149.6"/>
    <n v="-103.12"/>
    <n v="85.039999999999992"/>
    <n v="252.72"/>
  </r>
  <r>
    <x v="11"/>
    <x v="0"/>
    <x v="0"/>
    <s v="4604102"/>
    <n v="721410"/>
    <s v="Supplies-Medical - Nonbillable"/>
    <s v="Fran Endoscopy Ctr-Federal Way"/>
    <x v="0"/>
    <m/>
    <n v="3063.8"/>
    <n v="4423.68"/>
    <n v="3893.07"/>
    <n v="2480.64"/>
    <n v="2768.89"/>
    <n v="2743.46"/>
    <n v="2431.67"/>
    <n v="4583.54"/>
    <n v="2357.94"/>
    <n v="-35837.31"/>
    <n v="3391.16"/>
    <n v="2690.06"/>
    <n v="-1009.3999999999992"/>
    <n v="701.09999999999991"/>
  </r>
  <r>
    <x v="11"/>
    <x v="0"/>
    <x v="0"/>
    <s v="4604102"/>
    <n v="721420"/>
    <s v="Supplies-Surgical Nonbillable"/>
    <s v="Fran Endoscopy Ctr-Federal Way"/>
    <x v="0"/>
    <m/>
    <n v="0"/>
    <n v="158.91999999999999"/>
    <n v="0"/>
    <n v="69.05"/>
    <n v="158.91999999999999"/>
    <n v="224.62"/>
    <n v="0"/>
    <n v="0"/>
    <n v="0"/>
    <n v="107.73"/>
    <n v="385.43"/>
    <n v="137.5"/>
    <n v="1242.17"/>
    <n v="247.93"/>
  </r>
  <r>
    <x v="11"/>
    <x v="0"/>
    <x v="0"/>
    <s v="4604102"/>
    <n v="721420"/>
    <s v="Tubes Drains &amp; Related Supplies"/>
    <s v="Fran Endoscopy Ctr-Federal Way"/>
    <x v="0"/>
    <n v="1008"/>
    <n v="52.85"/>
    <n v="0"/>
    <n v="0"/>
    <n v="0"/>
    <n v="0"/>
    <n v="0"/>
    <n v="0"/>
    <n v="198.17"/>
    <n v="73.98"/>
    <n v="60.82"/>
    <n v="237.54"/>
    <n v="154.65"/>
    <n v="778.01"/>
    <n v="82.889999999999986"/>
  </r>
  <r>
    <x v="11"/>
    <x v="0"/>
    <x v="0"/>
    <s v="4604102"/>
    <n v="721420"/>
    <s v="Sterilization Process Products"/>
    <s v="Fran Endoscopy Ctr-Federal Way"/>
    <x v="0"/>
    <n v="1009"/>
    <n v="5509.16"/>
    <n v="3164.13"/>
    <n v="3933.53"/>
    <n v="3093.99"/>
    <n v="3102.89"/>
    <n v="4720.54"/>
    <n v="3601.51"/>
    <n v="2946.87"/>
    <n v="4539.17"/>
    <n v="3037.25"/>
    <n v="5214.42"/>
    <n v="6012.69"/>
    <n v="48876.15"/>
    <n v="-798.26999999999953"/>
  </r>
  <r>
    <x v="11"/>
    <x v="0"/>
    <x v="0"/>
    <s v="4604102"/>
    <n v="721610"/>
    <s v="Supplies-Anesthesia - Nonbillable"/>
    <s v="Fran Endoscopy Ctr-Federal Way"/>
    <x v="0"/>
    <m/>
    <n v="342.86"/>
    <n v="269.39"/>
    <n v="226.74"/>
    <n v="159.6"/>
    <n v="106.4"/>
    <n v="133"/>
    <n v="192.88"/>
    <n v="106.4"/>
    <n v="117.56"/>
    <n v="161.62"/>
    <n v="1987.43"/>
    <n v="1905.21"/>
    <n v="5709.09"/>
    <n v="82.220000000000027"/>
  </r>
  <r>
    <x v="11"/>
    <x v="0"/>
    <x v="0"/>
    <s v="4604102"/>
    <n v="721640"/>
    <s v="Supplies-IV Solutions/Supplies - Nonbillable"/>
    <s v="Fran Endoscopy Ctr-Federal Way"/>
    <x v="0"/>
    <m/>
    <n v="474"/>
    <n v="355.5"/>
    <n v="474"/>
    <n v="474"/>
    <n v="474"/>
    <n v="355.5"/>
    <n v="515.66999999999996"/>
    <n v="237"/>
    <n v="474"/>
    <n v="592.5"/>
    <n v="592.5"/>
    <n v="474"/>
    <n v="5492.67"/>
    <n v="118.5"/>
  </r>
  <r>
    <x v="11"/>
    <x v="0"/>
    <x v="0"/>
    <s v="4604102"/>
    <n v="721650"/>
    <s v="Supplies-Pharmacy Drugs - Nonbillable"/>
    <s v="Fran Endoscopy Ctr-Federal Way"/>
    <x v="0"/>
    <m/>
    <n v="76.12"/>
    <n v="274.02999999999997"/>
    <n v="38.06"/>
    <n v="601.59"/>
    <n v="0"/>
    <n v="107.38"/>
    <n v="319.13"/>
    <n v="154.72999999999999"/>
    <n v="1224.2"/>
    <n v="473.87"/>
    <n v="193.42"/>
    <n v="772.49"/>
    <n v="4235.0199999999995"/>
    <n v="-579.07000000000005"/>
  </r>
  <r>
    <x v="11"/>
    <x v="0"/>
    <x v="0"/>
    <s v="4604102"/>
    <n v="721710"/>
    <s v="Supplies-Laboratory - Nonbillable"/>
    <s v="Fran Endoscopy Ctr-Federal Way"/>
    <x v="0"/>
    <m/>
    <n v="0"/>
    <n v="0"/>
    <n v="84.78"/>
    <n v="136.25"/>
    <n v="211.26"/>
    <n v="37.43"/>
    <n v="8.15"/>
    <n v="6.52"/>
    <n v="26.08"/>
    <n v="8.15"/>
    <n v="14.67"/>
    <n v="14.67"/>
    <n v="547.95999999999981"/>
    <n v="0"/>
  </r>
  <r>
    <x v="11"/>
    <x v="0"/>
    <x v="0"/>
    <s v="4604102"/>
    <n v="721710"/>
    <s v="Reagents"/>
    <s v="Fran Endoscopy Ctr-Federal Way"/>
    <x v="0"/>
    <n v="1000"/>
    <n v="0"/>
    <n v="253.18"/>
    <n v="0"/>
    <n v="145.47"/>
    <n v="248.22"/>
    <n v="343.65"/>
    <n v="122.28"/>
    <n v="99.09"/>
    <n v="122.28"/>
    <n v="322.75"/>
    <n v="69.569999999999993"/>
    <n v="198.54"/>
    <n v="1925.0299999999997"/>
    <n v="-128.97"/>
  </r>
  <r>
    <x v="11"/>
    <x v="0"/>
    <x v="0"/>
    <s v="4604102"/>
    <n v="721750"/>
    <s v="Supplies-Film/Radiographic - Nonbillable"/>
    <s v="Fran Endoscopy Ctr-Federal Way"/>
    <x v="0"/>
    <m/>
    <n v="0"/>
    <n v="0"/>
    <n v="0"/>
    <n v="0"/>
    <n v="0"/>
    <n v="0"/>
    <n v="0"/>
    <n v="12.38"/>
    <n v="0"/>
    <n v="0"/>
    <n v="0"/>
    <n v="0"/>
    <n v="12.38"/>
    <n v="0"/>
  </r>
  <r>
    <x v="11"/>
    <x v="0"/>
    <x v="0"/>
    <s v="4604102"/>
    <n v="721810"/>
    <s v="Supplies-Dietary/Cafeteria"/>
    <s v="Fran Endoscopy Ctr-Federal Way"/>
    <x v="0"/>
    <m/>
    <n v="0"/>
    <n v="33.69"/>
    <n v="30.12"/>
    <n v="122.98"/>
    <n v="141.9"/>
    <n v="54.41"/>
    <n v="125.14"/>
    <n v="66.17"/>
    <n v="87.6"/>
    <n v="82.42"/>
    <n v="48.36"/>
    <n v="39.4"/>
    <n v="832.18999999999994"/>
    <n v="8.9600000000000009"/>
  </r>
  <r>
    <x v="11"/>
    <x v="0"/>
    <x v="0"/>
    <s v="4604102"/>
    <n v="721830"/>
    <s v="Supplies-Office"/>
    <s v="Fran Endoscopy Ctr-Federal Way"/>
    <x v="0"/>
    <m/>
    <n v="101.93"/>
    <n v="20"/>
    <n v="153.88"/>
    <n v="396.71"/>
    <n v="321.39"/>
    <n v="197.84"/>
    <n v="240.19"/>
    <n v="0"/>
    <n v="0"/>
    <n v="54.39"/>
    <n v="4.5"/>
    <n v="6.92"/>
    <n v="1497.7500000000002"/>
    <n v="-2.42"/>
  </r>
  <r>
    <x v="11"/>
    <x v="0"/>
    <x v="0"/>
    <s v="4604102"/>
    <n v="721870"/>
    <s v="Supplies-Environmental Services"/>
    <s v="Fran Endoscopy Ctr-Federal Way"/>
    <x v="0"/>
    <m/>
    <n v="418.17"/>
    <n v="283.51"/>
    <n v="271.39999999999998"/>
    <n v="350.52"/>
    <n v="320.43"/>
    <n v="490.92"/>
    <n v="932.35"/>
    <n v="530.99"/>
    <n v="418.23"/>
    <n v="426.72"/>
    <n v="406.69"/>
    <n v="188.47"/>
    <n v="5038.3999999999996"/>
    <n v="218.22"/>
  </r>
  <r>
    <x v="11"/>
    <x v="0"/>
    <x v="0"/>
    <s v="4604102"/>
    <n v="721880"/>
    <s v="Supplies-Linen"/>
    <s v="Fran Endoscopy Ctr-Federal Way"/>
    <x v="0"/>
    <m/>
    <n v="0"/>
    <n v="8.58"/>
    <n v="0"/>
    <n v="0"/>
    <n v="0"/>
    <n v="2.62"/>
    <n v="5.24"/>
    <n v="0"/>
    <n v="5.24"/>
    <n v="2.62"/>
    <n v="5.24"/>
    <n v="5.24"/>
    <n v="34.78"/>
    <n v="0"/>
  </r>
  <r>
    <x v="11"/>
    <x v="0"/>
    <x v="0"/>
    <s v="4604102"/>
    <n v="721910"/>
    <s v="Supplies-Small Equipment"/>
    <s v="Fran Endoscopy Ctr-Federal Way"/>
    <x v="0"/>
    <m/>
    <n v="437.84"/>
    <n v="0"/>
    <n v="11.52"/>
    <n v="344.59"/>
    <n v="879.52"/>
    <n v="941.49"/>
    <n v="-15.76"/>
    <n v="36.83"/>
    <n v="0"/>
    <n v="0"/>
    <n v="156"/>
    <n v="377.15"/>
    <n v="3169.18"/>
    <n v="-221.14999999999998"/>
  </r>
  <r>
    <x v="11"/>
    <x v="0"/>
    <x v="0"/>
    <s v="4604102"/>
    <n v="721910"/>
    <s v="Instruments"/>
    <s v="Fran Endoscopy Ctr-Federal Way"/>
    <x v="0"/>
    <n v="1000"/>
    <n v="308.63"/>
    <n v="0"/>
    <n v="0"/>
    <n v="0"/>
    <n v="0"/>
    <n v="0"/>
    <n v="0"/>
    <n v="0"/>
    <n v="0"/>
    <n v="0"/>
    <n v="0"/>
    <n v="0"/>
    <n v="308.63"/>
    <n v="0"/>
  </r>
  <r>
    <x v="11"/>
    <x v="0"/>
    <x v="0"/>
    <s v="4604102"/>
    <n v="721980"/>
    <s v="Supplies-Other"/>
    <s v="Fran Endoscopy Ctr-Federal Way"/>
    <x v="0"/>
    <m/>
    <n v="47.5"/>
    <n v="17.34"/>
    <n v="198.99"/>
    <n v="52.13"/>
    <n v="1205.56"/>
    <n v="112.57"/>
    <n v="30.92"/>
    <n v="0"/>
    <n v="0"/>
    <n v="0"/>
    <n v="0"/>
    <n v="-17.45"/>
    <n v="1647.56"/>
    <n v="17.45"/>
  </r>
  <r>
    <x v="11"/>
    <x v="0"/>
    <x v="0"/>
    <s v="4604102"/>
    <n v="722000"/>
    <s v="Supplies-Freight Expense"/>
    <s v="Fran Endoscopy Ctr-Federal Way"/>
    <x v="0"/>
    <m/>
    <n v="23.96"/>
    <n v="490.49"/>
    <n v="85.88"/>
    <n v="115.89"/>
    <n v="57.85"/>
    <n v="127.12"/>
    <n v="135.15"/>
    <n v="55.77"/>
    <n v="48"/>
    <n v="139.84"/>
    <n v="62.98"/>
    <n v="78.48"/>
    <n v="1421.41"/>
    <n v="-15.500000000000007"/>
  </r>
  <r>
    <x v="12"/>
    <x v="0"/>
    <x v="0"/>
    <s v="4604102"/>
    <n v="730010"/>
    <s v="Rental and Leases-Building (DO NOT USE)"/>
    <s v="Fran Endoscopy Ctr-Federal Way"/>
    <x v="0"/>
    <m/>
    <n v="19945.59"/>
    <n v="19945.59"/>
    <n v="19945.59"/>
    <n v="20358.439999999999"/>
    <n v="20358.439999999999"/>
    <n v="-16745.560000000001"/>
    <n v="14174.44"/>
    <n v="14174.44"/>
    <n v="14174.44"/>
    <n v="14714.44"/>
    <n v="14174.44"/>
    <n v="0"/>
    <n v="155220.29"/>
    <n v="14174.44"/>
  </r>
  <r>
    <x v="12"/>
    <x v="0"/>
    <x v="0"/>
    <s v="4604102"/>
    <n v="730010"/>
    <s v="Rental-Common Area Maint (DO NOT USE)"/>
    <s v="Fran Endoscopy Ctr-Federal Way"/>
    <x v="0"/>
    <n v="2200"/>
    <n v="0"/>
    <n v="0"/>
    <n v="0"/>
    <n v="0"/>
    <n v="0"/>
    <n v="37104"/>
    <n v="6606"/>
    <n v="6395"/>
    <n v="6395"/>
    <n v="6071.5"/>
    <n v="6611.5"/>
    <n v="0"/>
    <n v="69183"/>
    <n v="6611.5"/>
  </r>
  <r>
    <x v="12"/>
    <x v="0"/>
    <x v="0"/>
    <s v="4604102"/>
    <n v="730020"/>
    <s v="Rental and Leases-Equipment (DO NOT USE)"/>
    <s v="Fran Endoscopy Ctr-Federal Way"/>
    <x v="0"/>
    <m/>
    <n v="301.98"/>
    <n v="49.43"/>
    <n v="142.51"/>
    <n v="686.04"/>
    <n v="659.02"/>
    <n v="233.88"/>
    <n v="89.81"/>
    <n v="0"/>
    <n v="403.53"/>
    <n v="120.16"/>
    <n v="81.94"/>
    <n v="191.75"/>
    <n v="2960.0499999999997"/>
    <n v="-109.81"/>
  </r>
  <r>
    <x v="12"/>
    <x v="0"/>
    <x v="0"/>
    <s v="4604102"/>
    <n v="730020"/>
    <s v="Rental and Leases-Copier Usage Fees (DO NOT USE)"/>
    <s v="Fran Endoscopy Ctr-Federal Way"/>
    <x v="0"/>
    <n v="5100"/>
    <n v="316.99"/>
    <n v="343.72"/>
    <n v="330.35"/>
    <n v="330.35"/>
    <n v="330.35"/>
    <n v="330.35"/>
    <n v="495.12"/>
    <n v="238.07"/>
    <n v="252.3"/>
    <n v="606.73"/>
    <n v="238.07"/>
    <n v="254.55"/>
    <n v="4066.9500000000007"/>
    <n v="-16.480000000000018"/>
  </r>
  <r>
    <x v="12"/>
    <x v="0"/>
    <x v="0"/>
    <s v="4604102"/>
    <n v="730040"/>
    <s v="LT Lease-Real Estate"/>
    <s v="Fran Endoscopy Ctr-Federal Way"/>
    <x v="0"/>
    <m/>
    <n v="0"/>
    <n v="0"/>
    <n v="0"/>
    <n v="0"/>
    <n v="0"/>
    <n v="0"/>
    <n v="0"/>
    <n v="0"/>
    <n v="0"/>
    <n v="0"/>
    <n v="0"/>
    <n v="18743.939999999999"/>
    <n v="18743.939999999999"/>
    <n v="-18743.939999999999"/>
  </r>
  <r>
    <x v="15"/>
    <x v="0"/>
    <x v="0"/>
    <s v="4604102"/>
    <n v="731050"/>
    <s v="Refuse Disposal"/>
    <s v="Fran Endoscopy Ctr-Federal Way"/>
    <x v="0"/>
    <m/>
    <n v="1047.3599999999999"/>
    <n v="105.82"/>
    <n v="101.55"/>
    <n v="390.04"/>
    <n v="267.05"/>
    <n v="0"/>
    <n v="151.52000000000001"/>
    <n v="0"/>
    <n v="0"/>
    <n v="0"/>
    <n v="0"/>
    <n v="0"/>
    <n v="2063.3399999999997"/>
    <n v="0"/>
  </r>
  <r>
    <x v="16"/>
    <x v="0"/>
    <x v="0"/>
    <s v="4604102"/>
    <n v="732020"/>
    <s v="Repairs--Clin Equip-Parts-Internal to CHI Programs"/>
    <s v="Fran Endoscopy Ctr-Federal Way"/>
    <x v="0"/>
    <m/>
    <n v="0"/>
    <n v="0"/>
    <n v="43.35"/>
    <n v="0"/>
    <n v="0"/>
    <n v="0"/>
    <n v="0"/>
    <n v="0"/>
    <n v="0"/>
    <n v="0"/>
    <n v="660"/>
    <n v="0"/>
    <n v="703.35"/>
    <n v="660"/>
  </r>
  <r>
    <x v="16"/>
    <x v="0"/>
    <x v="0"/>
    <s v="4604102"/>
    <n v="732030"/>
    <s v="Repairs&amp;Maintenance-Bldg Routine"/>
    <s v="Fran Endoscopy Ctr-Federal Way"/>
    <x v="0"/>
    <n v="2300"/>
    <n v="216.5"/>
    <n v="216.5"/>
    <n v="216.5"/>
    <n v="216.5"/>
    <n v="216.5"/>
    <n v="216.5"/>
    <n v="216.5"/>
    <n v="216.5"/>
    <n v="216.5"/>
    <n v="0"/>
    <n v="100"/>
    <n v="0"/>
    <n v="2048.5"/>
    <n v="100"/>
  </r>
  <r>
    <x v="16"/>
    <x v="0"/>
    <x v="0"/>
    <s v="4604102"/>
    <n v="733030"/>
    <s v="Maintenance Contracts-Other"/>
    <s v="Fran Endoscopy Ctr-Federal Way"/>
    <x v="0"/>
    <m/>
    <n v="0"/>
    <n v="3826.08"/>
    <n v="1218.73"/>
    <n v="0"/>
    <n v="0"/>
    <n v="0"/>
    <n v="0"/>
    <n v="0"/>
    <n v="0"/>
    <n v="0"/>
    <n v="0"/>
    <n v="0"/>
    <n v="5044.8099999999995"/>
    <n v="0"/>
  </r>
  <r>
    <x v="13"/>
    <x v="0"/>
    <x v="0"/>
    <s v="4604102"/>
    <n v="735050"/>
    <s v="Amortization-Leasehold Improvements"/>
    <s v="Fran Endoscopy Ctr-Federal Way"/>
    <x v="0"/>
    <m/>
    <n v="12733.33"/>
    <n v="12733.33"/>
    <n v="12733.34"/>
    <n v="12733.33"/>
    <n v="12733.34"/>
    <n v="12733.33"/>
    <n v="12733.34"/>
    <n v="12733.33"/>
    <n v="12733.34"/>
    <n v="12733.33"/>
    <n v="12733.34"/>
    <n v="12733.33"/>
    <n v="152800.00999999998"/>
    <n v="1.0000000000218279E-2"/>
  </r>
  <r>
    <x v="13"/>
    <x v="0"/>
    <x v="0"/>
    <s v="4604102"/>
    <n v="735070"/>
    <s v="Depreciation-Movable Equipment"/>
    <s v="Fran Endoscopy Ctr-Federal Way"/>
    <x v="0"/>
    <m/>
    <n v="25785.47"/>
    <n v="26208.37"/>
    <n v="26208.39"/>
    <n v="26208.36"/>
    <n v="26208.39"/>
    <n v="26208.34"/>
    <n v="26208.39"/>
    <n v="26208.33"/>
    <n v="26208.400000000001"/>
    <n v="26208.31"/>
    <n v="26208.400000000001"/>
    <n v="30803.66"/>
    <n v="318672.81"/>
    <n v="-4595.2599999999984"/>
  </r>
  <r>
    <x v="0"/>
    <x v="0"/>
    <x v="0"/>
    <s v="4604102"/>
    <n v="740020"/>
    <s v="Education-Registration Fees"/>
    <s v="Fran Endoscopy Ctr-Federal Way"/>
    <x v="0"/>
    <m/>
    <n v="0"/>
    <n v="0"/>
    <n v="90"/>
    <n v="210"/>
    <n v="385"/>
    <n v="0"/>
    <n v="210"/>
    <n v="0"/>
    <n v="420"/>
    <n v="215"/>
    <n v="0"/>
    <n v="0"/>
    <n v="1530"/>
    <n v="0"/>
  </r>
  <r>
    <x v="0"/>
    <x v="0"/>
    <x v="0"/>
    <s v="4604102"/>
    <n v="742010"/>
    <s v="Postage-Regular"/>
    <s v="Fran Endoscopy Ctr-Federal Way"/>
    <x v="0"/>
    <m/>
    <n v="0"/>
    <n v="33.75"/>
    <n v="23.6"/>
    <n v="0"/>
    <n v="0"/>
    <n v="0"/>
    <n v="0"/>
    <n v="0"/>
    <n v="0"/>
    <n v="0"/>
    <n v="0"/>
    <n v="0"/>
    <n v="57.35"/>
    <n v="0"/>
  </r>
  <r>
    <x v="0"/>
    <x v="0"/>
    <x v="0"/>
    <s v="4604102"/>
    <n v="742040"/>
    <s v="Freight-Other"/>
    <s v="Fran Endoscopy Ctr-Federal Way"/>
    <x v="0"/>
    <m/>
    <n v="0"/>
    <n v="0"/>
    <n v="0"/>
    <n v="0"/>
    <n v="0"/>
    <n v="0"/>
    <n v="0"/>
    <n v="0"/>
    <n v="0"/>
    <n v="0"/>
    <n v="0"/>
    <n v="25.15"/>
    <n v="25.15"/>
    <n v="-25.15"/>
  </r>
  <r>
    <x v="0"/>
    <x v="0"/>
    <x v="0"/>
    <s v="4604102"/>
    <n v="749510"/>
    <s v="Miscellaneous Expenses"/>
    <s v="Fran Endoscopy Ctr-Federal Way"/>
    <x v="0"/>
    <m/>
    <n v="0"/>
    <n v="0"/>
    <n v="0"/>
    <n v="-1"/>
    <n v="0"/>
    <n v="0"/>
    <n v="0"/>
    <n v="0"/>
    <n v="0"/>
    <n v="0"/>
    <n v="0"/>
    <n v="0"/>
    <n v="-1"/>
    <n v="0"/>
  </r>
  <r>
    <x v="0"/>
    <x v="0"/>
    <x v="0"/>
    <s v="4604102"/>
    <n v="749510"/>
    <s v="Licenses"/>
    <s v="Fran Endoscopy Ctr-Federal Way"/>
    <x v="0"/>
    <n v="1002"/>
    <n v="0"/>
    <n v="330"/>
    <n v="0"/>
    <n v="0"/>
    <n v="0"/>
    <n v="0"/>
    <n v="0"/>
    <n v="0"/>
    <n v="0"/>
    <n v="150"/>
    <n v="0"/>
    <n v="0"/>
    <n v="480"/>
    <n v="0"/>
  </r>
  <r>
    <x v="0"/>
    <x v="0"/>
    <x v="0"/>
    <s v="4604102"/>
    <n v="749510"/>
    <s v="RICE Rewards"/>
    <s v="Fran Endoscopy Ctr-Federal Way"/>
    <x v="0"/>
    <n v="5100"/>
    <n v="0"/>
    <n v="0"/>
    <n v="0"/>
    <n v="0"/>
    <n v="0"/>
    <n v="0"/>
    <n v="0"/>
    <n v="0"/>
    <n v="0"/>
    <n v="0"/>
    <n v="16.559999999999999"/>
    <n v="359"/>
    <n v="375.56"/>
    <n v="-342.44"/>
  </r>
  <r>
    <x v="0"/>
    <x v="0"/>
    <x v="0"/>
    <s v="4604102"/>
    <n v="749530"/>
    <s v="Mileage"/>
    <s v="Fran Endoscopy Ctr-Federal Way"/>
    <x v="0"/>
    <n v="1001"/>
    <n v="0"/>
    <n v="6.54"/>
    <n v="3.82"/>
    <n v="0"/>
    <n v="0"/>
    <n v="0"/>
    <n v="6.54"/>
    <n v="0"/>
    <n v="0"/>
    <n v="0"/>
    <n v="0"/>
    <n v="0"/>
    <n v="16.899999999999999"/>
    <n v="0"/>
  </r>
  <r>
    <x v="18"/>
    <x v="5"/>
    <x v="0"/>
    <s v="4606106"/>
    <n v="400010"/>
    <s v="Acute I/P Svcs Rev--Medicare"/>
    <s v="Special Procedures"/>
    <x v="0"/>
    <n v="1100"/>
    <n v="-638.05999999999995"/>
    <n v="-1651.35"/>
    <n v="-1403.74"/>
    <n v="-765.68"/>
    <n v="-988.95"/>
    <n v="-14679.33"/>
    <n v="-12630.4"/>
    <n v="-13139.54"/>
    <n v="-4543.6899999999996"/>
    <n v="-11618.24"/>
    <n v="-3577.01"/>
    <n v="-7095.91"/>
    <n v="-72731.900000000009"/>
    <n v="3518.8999999999996"/>
  </r>
  <r>
    <x v="18"/>
    <x v="5"/>
    <x v="0"/>
    <s v="4606106"/>
    <n v="400010"/>
    <s v="Acute I/P Svcs Rev--Medicaid"/>
    <s v="Special Procedures"/>
    <x v="0"/>
    <n v="1200"/>
    <n v="-319.02999999999997"/>
    <n v="-6.09"/>
    <n v="-223.32"/>
    <n v="-319.02999999999997"/>
    <n v="-191.42"/>
    <n v="-3956.08"/>
    <n v="-4293.8599999999997"/>
    <n v="-2650.8"/>
    <n v="-1028.95"/>
    <n v="-3976.2"/>
    <n v="-4991.24"/>
    <n v="-4107.6400000000003"/>
    <n v="-26063.659999999996"/>
    <n v="-883.59999999999945"/>
  </r>
  <r>
    <x v="18"/>
    <x v="5"/>
    <x v="0"/>
    <s v="4606106"/>
    <n v="400010"/>
    <s v="Acute I/P Svcs Rev--Comm Insurance"/>
    <s v="Special Procedures"/>
    <x v="0"/>
    <n v="1300"/>
    <n v="-857.86"/>
    <n v="-223.31"/>
    <n v="762.15"/>
    <n v="0"/>
    <n v="0"/>
    <n v="0"/>
    <n v="-3431.44"/>
    <n v="0"/>
    <n v="0"/>
    <n v="0"/>
    <n v="0"/>
    <n v="0"/>
    <n v="-3750.46"/>
    <n v="0"/>
  </r>
  <r>
    <x v="18"/>
    <x v="5"/>
    <x v="0"/>
    <s v="4606106"/>
    <n v="400010"/>
    <s v="Acute I/P Svcs Rev--BCBS Comm"/>
    <s v="Special Procedures"/>
    <x v="0"/>
    <n v="1301"/>
    <n v="0"/>
    <n v="0"/>
    <n v="-63.81"/>
    <n v="-255.22"/>
    <n v="0"/>
    <n v="-1286.79"/>
    <n v="-492.74"/>
    <n v="-2170.39"/>
    <n v="0"/>
    <n v="0"/>
    <n v="-1767.2"/>
    <n v="403.19"/>
    <n v="-5632.96"/>
    <n v="-2170.39"/>
  </r>
  <r>
    <x v="18"/>
    <x v="5"/>
    <x v="0"/>
    <s v="4606106"/>
    <n v="400010"/>
    <s v="Acute I/P Svcs Rev--Managed Care"/>
    <s v="Special Procedures"/>
    <x v="0"/>
    <n v="1400"/>
    <n v="-319.02999999999997"/>
    <n v="-127.62"/>
    <n v="-606.16"/>
    <n v="63.8"/>
    <n v="-319.04000000000002"/>
    <n v="-2701.2"/>
    <n v="-27.34"/>
    <n v="-4524.74"/>
    <n v="0"/>
    <n v="-1391.12"/>
    <n v="-6095.11"/>
    <n v="-883.6"/>
    <n v="-16931.16"/>
    <n v="-5211.5099999999993"/>
  </r>
  <r>
    <x v="18"/>
    <x v="5"/>
    <x v="0"/>
    <s v="4606106"/>
    <n v="400010"/>
    <s v="Acute I/P Svcs Rev--Self Pay"/>
    <s v="Special Procedures"/>
    <x v="0"/>
    <n v="1500"/>
    <n v="0"/>
    <n v="-121.53"/>
    <n v="-1081.18"/>
    <n v="0"/>
    <n v="0"/>
    <n v="0"/>
    <n v="0"/>
    <n v="-883.6"/>
    <n v="-65.72"/>
    <n v="0"/>
    <n v="0"/>
    <n v="0"/>
    <n v="-2152.0299999999997"/>
    <n v="0"/>
  </r>
  <r>
    <x v="18"/>
    <x v="5"/>
    <x v="0"/>
    <s v="4606106"/>
    <n v="400010"/>
    <s v="Acute I/P Svcs Rev--Other"/>
    <s v="Special Procedures"/>
    <x v="0"/>
    <n v="1700"/>
    <n v="0"/>
    <n v="56.2"/>
    <n v="0"/>
    <n v="0"/>
    <n v="0"/>
    <n v="0"/>
    <n v="0"/>
    <n v="0"/>
    <n v="0"/>
    <n v="-65.72"/>
    <n v="-883.6"/>
    <n v="0"/>
    <n v="-893.12"/>
    <n v="-883.6"/>
  </r>
  <r>
    <x v="19"/>
    <x v="5"/>
    <x v="0"/>
    <s v="4606106"/>
    <n v="400020"/>
    <s v="O/P Care Svcs Rev--Medicare"/>
    <s v="Special Procedures"/>
    <x v="0"/>
    <n v="1100"/>
    <n v="-16071.86"/>
    <n v="-23705.19"/>
    <n v="-14630.38"/>
    <n v="-18088.54"/>
    <n v="-19087.38"/>
    <n v="-113853.69"/>
    <n v="-155225.79999999999"/>
    <n v="-110460.27"/>
    <n v="-151831.57999999999"/>
    <n v="-145300.96"/>
    <n v="-178222.01"/>
    <n v="-182292.63"/>
    <n v="-1128770.29"/>
    <n v="4070.6199999999953"/>
  </r>
  <r>
    <x v="19"/>
    <x v="5"/>
    <x v="0"/>
    <s v="4606106"/>
    <n v="400020"/>
    <s v="O/P Care Svcs Rev--Medicaid"/>
    <s v="Special Procedures"/>
    <x v="0"/>
    <n v="1200"/>
    <n v="-6486.8"/>
    <n v="-7853.99"/>
    <n v="-5678.6"/>
    <n v="-7506.71"/>
    <n v="-8006.68"/>
    <n v="-41567.06"/>
    <n v="-76739.5"/>
    <n v="-58673.31"/>
    <n v="-86401.67"/>
    <n v="-64210.68"/>
    <n v="-73320.679999999993"/>
    <n v="-47477.21"/>
    <n v="-483922.89"/>
    <n v="-25843.469999999994"/>
  </r>
  <r>
    <x v="19"/>
    <x v="5"/>
    <x v="0"/>
    <s v="4606106"/>
    <n v="400020"/>
    <s v="O/P Care Svcs Rev--Comm Insurance"/>
    <s v="Special Procedures"/>
    <x v="0"/>
    <n v="1300"/>
    <n v="-726.16"/>
    <n v="-701.85"/>
    <n v="-1316.07"/>
    <n v="-765.66"/>
    <n v="-1084.6600000000001"/>
    <n v="-7515.13"/>
    <n v="-8149.67"/>
    <n v="-15126.19"/>
    <n v="-13781.13"/>
    <n v="-10161.4"/>
    <n v="-8102.08"/>
    <n v="-18997.400000000001"/>
    <n v="-86427.4"/>
    <n v="10895.320000000002"/>
  </r>
  <r>
    <x v="19"/>
    <x v="5"/>
    <x v="0"/>
    <s v="4606106"/>
    <n v="400020"/>
    <s v="O/P Care Svcs Rev--BCBS Comm"/>
    <s v="Special Procedures"/>
    <x v="0"/>
    <n v="1301"/>
    <n v="-5171.6899999999996"/>
    <n v="-4530.1099999999997"/>
    <n v="-3317.87"/>
    <n v="-6699.41"/>
    <n v="-5679.72"/>
    <n v="-31574.080000000002"/>
    <n v="-43339.61"/>
    <n v="-38589.4"/>
    <n v="-39319.49"/>
    <n v="-34102.559999999998"/>
    <n v="-45165.8"/>
    <n v="-49673.53"/>
    <n v="-307163.27"/>
    <n v="4507.7299999999959"/>
  </r>
  <r>
    <x v="19"/>
    <x v="5"/>
    <x v="0"/>
    <s v="4606106"/>
    <n v="400020"/>
    <s v="O/P Care Svcs Rev--Managed Care"/>
    <s v="Special Procedures"/>
    <x v="0"/>
    <n v="1400"/>
    <n v="-12401.75"/>
    <n v="-15317.61"/>
    <n v="-17290.38"/>
    <n v="-16515.88"/>
    <n v="-16019.64"/>
    <n v="-123134.6"/>
    <n v="-123294.06"/>
    <n v="-117007.96"/>
    <n v="-125317.26"/>
    <n v="-134379.07"/>
    <n v="-129828.73"/>
    <n v="-130396.79"/>
    <n v="-960903.73"/>
    <n v="568.05999999999767"/>
  </r>
  <r>
    <x v="19"/>
    <x v="5"/>
    <x v="0"/>
    <s v="4606106"/>
    <n v="400020"/>
    <s v="O/P Care Svcs Rev--Self Pay"/>
    <s v="Special Procedures"/>
    <x v="0"/>
    <n v="1500"/>
    <n v="-319.02999999999997"/>
    <n v="-988.96"/>
    <n v="-483.1"/>
    <n v="0"/>
    <n v="-255.22"/>
    <n v="-4657.8900000000003"/>
    <n v="-3590.95"/>
    <n v="-2144.65"/>
    <n v="542.46"/>
    <n v="-1423.98"/>
    <n v="-3976.2"/>
    <n v="-2650.8"/>
    <n v="-19948.32"/>
    <n v="-1325.3999999999996"/>
  </r>
  <r>
    <x v="19"/>
    <x v="5"/>
    <x v="0"/>
    <s v="4606106"/>
    <n v="400020"/>
    <s v="O/P Care Svcs Rev--Other"/>
    <s v="Special Procedures"/>
    <x v="0"/>
    <n v="1700"/>
    <n v="-230.91"/>
    <n v="-319.02"/>
    <n v="-638.05999999999995"/>
    <n v="-765.66"/>
    <n v="-95.71"/>
    <n v="-4385.01"/>
    <n v="-5576.09"/>
    <n v="-2689.41"/>
    <n v="-2650.8"/>
    <n v="-1489.7"/>
    <n v="-3092.6"/>
    <n v="-4859.8"/>
    <n v="-26792.769999999997"/>
    <n v="1767.2000000000003"/>
  </r>
  <r>
    <x v="5"/>
    <x v="5"/>
    <x v="0"/>
    <s v="4606106"/>
    <n v="700026"/>
    <s v="Salaries-RN-Productive"/>
    <s v="Special Procedures"/>
    <x v="0"/>
    <m/>
    <n v="46845.43"/>
    <n v="49180.59"/>
    <n v="42332.58"/>
    <n v="50265.08"/>
    <n v="45862.239999999998"/>
    <n v="38258.71"/>
    <n v="49198.879999999997"/>
    <n v="39111.89"/>
    <n v="49400.41"/>
    <n v="54771.25"/>
    <n v="52288.160000000003"/>
    <n v="47836.39"/>
    <n v="565351.6100000001"/>
    <n v="4451.7700000000041"/>
  </r>
  <r>
    <x v="5"/>
    <x v="5"/>
    <x v="0"/>
    <s v="4606106"/>
    <n v="700026"/>
    <s v="Salaries-RN-OT"/>
    <s v="Special Procedures"/>
    <x v="0"/>
    <n v="1000"/>
    <n v="1345.03"/>
    <n v="2404.75"/>
    <n v="950.7"/>
    <n v="5319.94"/>
    <n v="1005.07"/>
    <n v="1207.68"/>
    <n v="880.49"/>
    <n v="1055.6500000000001"/>
    <n v="1662.94"/>
    <n v="2454.02"/>
    <n v="1489.85"/>
    <n v="1055.76"/>
    <n v="20831.879999999994"/>
    <n v="434.08999999999992"/>
  </r>
  <r>
    <x v="5"/>
    <x v="5"/>
    <x v="0"/>
    <s v="4606106"/>
    <n v="700026"/>
    <s v="Salaries-RN-Other"/>
    <s v="Special Procedures"/>
    <x v="0"/>
    <n v="2000"/>
    <n v="1141.6099999999999"/>
    <n v="1557.55"/>
    <n v="1123.48"/>
    <n v="2001.9"/>
    <n v="1658.72"/>
    <n v="879.81"/>
    <n v="1294.01"/>
    <n v="1088.21"/>
    <n v="1266.78"/>
    <n v="1254.3900000000001"/>
    <n v="1032.01"/>
    <n v="1030.43"/>
    <n v="15328.900000000001"/>
    <n v="1.5799999999999272"/>
  </r>
  <r>
    <x v="5"/>
    <x v="5"/>
    <x v="0"/>
    <s v="4606106"/>
    <n v="700032"/>
    <s v="Salaries-Other Pat Care Providers-Productive"/>
    <s v="Special Procedures"/>
    <x v="0"/>
    <m/>
    <n v="0"/>
    <n v="0"/>
    <n v="0"/>
    <n v="1009.98"/>
    <n v="-284.86"/>
    <n v="0"/>
    <n v="104"/>
    <n v="-27.36"/>
    <n v="0"/>
    <n v="94.32"/>
    <n v="0"/>
    <n v="0"/>
    <n v="896.07999999999993"/>
    <n v="0"/>
  </r>
  <r>
    <x v="5"/>
    <x v="5"/>
    <x v="0"/>
    <s v="4606106"/>
    <n v="700032"/>
    <s v="Salaries-Other Pat Care Providers-OT"/>
    <s v="Special Procedures"/>
    <x v="0"/>
    <n v="1000"/>
    <n v="0"/>
    <n v="0"/>
    <n v="0"/>
    <n v="275.74"/>
    <n v="-80.19"/>
    <n v="0"/>
    <n v="0"/>
    <n v="0"/>
    <n v="0"/>
    <n v="0"/>
    <n v="0"/>
    <n v="0"/>
    <n v="195.55"/>
    <n v="0"/>
  </r>
  <r>
    <x v="5"/>
    <x v="5"/>
    <x v="0"/>
    <s v="4606106"/>
    <n v="700066"/>
    <s v="Salaries-RN-Non-productive"/>
    <s v="Special Procedures"/>
    <x v="0"/>
    <m/>
    <n v="8715.48"/>
    <n v="16098.87"/>
    <n v="17787.599999999999"/>
    <n v="14777.02"/>
    <n v="13421.35"/>
    <n v="19654.53"/>
    <n v="3031.32"/>
    <n v="10487.95"/>
    <n v="7205.85"/>
    <n v="6839.97"/>
    <n v="4673"/>
    <n v="12075.81"/>
    <n v="134768.75000000003"/>
    <n v="-7402.8099999999995"/>
  </r>
  <r>
    <x v="5"/>
    <x v="5"/>
    <x v="0"/>
    <s v="4606106"/>
    <n v="700066"/>
    <s v="Salaries-RN-NonProd-Other"/>
    <s v="Special Procedures"/>
    <x v="0"/>
    <n v="2000"/>
    <n v="119.27"/>
    <n v="10.27"/>
    <n v="46.94"/>
    <n v="226.76"/>
    <n v="140.86000000000001"/>
    <n v="218.66"/>
    <n v="38.08"/>
    <n v="36.07"/>
    <n v="-3.57"/>
    <n v="10"/>
    <n v="5"/>
    <n v="20"/>
    <n v="868.34"/>
    <n v="-15"/>
  </r>
  <r>
    <x v="5"/>
    <x v="5"/>
    <x v="0"/>
    <s v="4606106"/>
    <n v="700084"/>
    <s v="Accrued PTO"/>
    <s v="Special Procedures"/>
    <x v="0"/>
    <m/>
    <n v="427.05"/>
    <n v="-524.04999999999995"/>
    <n v="-2741.29"/>
    <n v="-5050.16"/>
    <n v="-3080.57"/>
    <n v="3764.86"/>
    <n v="4649"/>
    <n v="-4537.74"/>
    <n v="928.87"/>
    <n v="390.55"/>
    <n v="1645.96"/>
    <n v="-4398.0200000000004"/>
    <n v="-8525.5400000000009"/>
    <n v="6043.9800000000005"/>
  </r>
  <r>
    <x v="10"/>
    <x v="5"/>
    <x v="0"/>
    <s v="4606106"/>
    <n v="710060"/>
    <s v="Contract Labor-Other"/>
    <s v="Special Procedures"/>
    <x v="0"/>
    <m/>
    <n v="8520"/>
    <n v="0"/>
    <n v="0"/>
    <n v="0"/>
    <n v="0"/>
    <n v="0"/>
    <n v="0"/>
    <n v="0"/>
    <n v="0"/>
    <n v="0"/>
    <n v="0"/>
    <n v="0"/>
    <n v="8520"/>
    <n v="0"/>
  </r>
  <r>
    <x v="10"/>
    <x v="5"/>
    <x v="0"/>
    <s v="4606106"/>
    <n v="710060"/>
    <s v="Contract Labor-Overtime"/>
    <s v="Special Procedures"/>
    <x v="0"/>
    <n v="5100"/>
    <n v="215.66"/>
    <n v="0"/>
    <n v="0"/>
    <n v="0"/>
    <n v="0"/>
    <n v="0"/>
    <n v="0"/>
    <n v="0"/>
    <n v="0"/>
    <n v="0"/>
    <n v="0"/>
    <n v="0"/>
    <n v="215.66"/>
    <n v="0"/>
  </r>
  <r>
    <x v="10"/>
    <x v="5"/>
    <x v="0"/>
    <s v="4606106"/>
    <n v="710060"/>
    <s v="Contract Labor-Standby Wages"/>
    <s v="Special Procedures"/>
    <x v="0"/>
    <n v="5101"/>
    <n v="248"/>
    <n v="0"/>
    <n v="0"/>
    <n v="0"/>
    <n v="0"/>
    <n v="0"/>
    <n v="0"/>
    <n v="0"/>
    <n v="0"/>
    <n v="0"/>
    <n v="0"/>
    <n v="0"/>
    <n v="248"/>
    <n v="0"/>
  </r>
  <r>
    <x v="6"/>
    <x v="5"/>
    <x v="0"/>
    <s v="4606106"/>
    <n v="713010"/>
    <s v="Benefits-FICA/Medicare"/>
    <s v="Special Procedures"/>
    <x v="0"/>
    <m/>
    <n v="4356.72"/>
    <n v="5216.82"/>
    <n v="4682.6000000000004"/>
    <n v="5575.81"/>
    <n v="4681.3599999999997"/>
    <n v="4527.57"/>
    <n v="4236.2299999999996"/>
    <n v="3967.88"/>
    <n v="4472"/>
    <n v="4938.6400000000003"/>
    <n v="4480.7"/>
    <n v="4677.49"/>
    <n v="55813.819999999992"/>
    <n v="-196.78999999999996"/>
  </r>
  <r>
    <x v="6"/>
    <x v="5"/>
    <x v="0"/>
    <s v="4606106"/>
    <n v="713090"/>
    <s v="Benefits-Allocated Amounts"/>
    <s v="Special Procedures"/>
    <x v="0"/>
    <m/>
    <n v="9856.02"/>
    <n v="11934.32"/>
    <n v="10254.52"/>
    <n v="11643.57"/>
    <n v="10235.91"/>
    <n v="10288.08"/>
    <n v="9397.48"/>
    <n v="8845.49"/>
    <n v="9667.0400000000009"/>
    <n v="11237.08"/>
    <n v="9906.59"/>
    <n v="10248.209999999999"/>
    <n v="123514.31"/>
    <n v="-341.61999999999898"/>
  </r>
  <r>
    <x v="7"/>
    <x v="5"/>
    <x v="0"/>
    <s v="4606106"/>
    <n v="718050"/>
    <s v="Contract Svcs-Other"/>
    <s v="Special Procedures"/>
    <x v="0"/>
    <m/>
    <n v="0"/>
    <n v="0"/>
    <n v="0"/>
    <n v="0"/>
    <n v="0"/>
    <n v="16.8"/>
    <n v="0"/>
    <n v="0"/>
    <n v="126.5"/>
    <n v="0"/>
    <n v="25.6"/>
    <n v="25.6"/>
    <n v="194.5"/>
    <n v="0"/>
  </r>
  <r>
    <x v="7"/>
    <x v="5"/>
    <x v="0"/>
    <s v="4606106"/>
    <n v="718050"/>
    <s v="Miscellaneous Purchased Svcs"/>
    <s v="Special Procedures"/>
    <x v="0"/>
    <n v="1020"/>
    <n v="0"/>
    <n v="0"/>
    <n v="104.4"/>
    <n v="0"/>
    <n v="0"/>
    <n v="0"/>
    <n v="48.5"/>
    <n v="0"/>
    <n v="0"/>
    <n v="0"/>
    <n v="0"/>
    <n v="0"/>
    <n v="152.9"/>
    <n v="0"/>
  </r>
  <r>
    <x v="7"/>
    <x v="5"/>
    <x v="0"/>
    <s v="4606106"/>
    <n v="718050"/>
    <s v="Translation Services"/>
    <s v="Special Procedures"/>
    <x v="0"/>
    <n v="1025"/>
    <n v="0"/>
    <n v="0"/>
    <n v="93.77"/>
    <n v="177.9"/>
    <n v="0"/>
    <n v="0"/>
    <n v="0"/>
    <n v="88"/>
    <n v="0"/>
    <n v="0"/>
    <n v="108.23"/>
    <n v="0"/>
    <n v="467.90000000000003"/>
    <n v="108.23"/>
  </r>
  <r>
    <x v="7"/>
    <x v="5"/>
    <x v="0"/>
    <s v="4606106"/>
    <n v="718050"/>
    <s v="Contract Management--Linen"/>
    <s v="Special Procedures"/>
    <x v="0"/>
    <n v="1026"/>
    <n v="334.28"/>
    <n v="1408.49"/>
    <n v="1702.57"/>
    <n v="2272.87"/>
    <n v="1822"/>
    <n v="2026.72"/>
    <n v="1991.3"/>
    <n v="2122.23"/>
    <n v="2149.44"/>
    <n v="2139.04"/>
    <n v="2622.3"/>
    <n v="1565.56"/>
    <n v="22156.799999999999"/>
    <n v="1056.7400000000002"/>
  </r>
  <r>
    <x v="11"/>
    <x v="5"/>
    <x v="0"/>
    <s v="4606106"/>
    <n v="721010"/>
    <s v="Supplies-Medical - Billable"/>
    <s v="Special Procedures"/>
    <x v="0"/>
    <m/>
    <n v="8.15"/>
    <n v="3.14"/>
    <n v="35.65"/>
    <n v="6.58"/>
    <n v="12.85"/>
    <n v="6.58"/>
    <n v="92.18"/>
    <n v="17.48"/>
    <n v="59.41"/>
    <n v="31.81"/>
    <n v="4.71"/>
    <n v="27.31"/>
    <n v="305.84999999999997"/>
    <n v="-22.599999999999998"/>
  </r>
  <r>
    <x v="11"/>
    <x v="5"/>
    <x v="0"/>
    <s v="4606106"/>
    <n v="721010"/>
    <s v="Patient Monitoring"/>
    <s v="Special Procedures"/>
    <x v="0"/>
    <n v="1000"/>
    <n v="3.52"/>
    <n v="0.88"/>
    <n v="1.76"/>
    <n v="39.119999999999997"/>
    <n v="4.8499999999999996"/>
    <n v="5.28"/>
    <n v="7.06"/>
    <n v="7.94"/>
    <n v="2.64"/>
    <n v="3.97"/>
    <n v="1.76"/>
    <n v="0"/>
    <n v="78.780000000000015"/>
    <n v="1.76"/>
  </r>
  <r>
    <x v="11"/>
    <x v="5"/>
    <x v="0"/>
    <s v="4606106"/>
    <n v="721020"/>
    <s v="Urological Supplies"/>
    <s v="Special Procedures"/>
    <x v="0"/>
    <n v="1006"/>
    <n v="0"/>
    <n v="1.92"/>
    <n v="0"/>
    <n v="0"/>
    <n v="0"/>
    <n v="0"/>
    <n v="0"/>
    <n v="0"/>
    <n v="0"/>
    <n v="0"/>
    <n v="1.92"/>
    <n v="0"/>
    <n v="3.84"/>
    <n v="1.92"/>
  </r>
  <r>
    <x v="11"/>
    <x v="5"/>
    <x v="0"/>
    <s v="4606106"/>
    <n v="721050"/>
    <s v="Supplies-Cardiac Rhythm - Billable"/>
    <s v="Special Procedures"/>
    <x v="0"/>
    <m/>
    <n v="0"/>
    <n v="0"/>
    <n v="0"/>
    <n v="0"/>
    <n v="0"/>
    <n v="0"/>
    <n v="0"/>
    <n v="0"/>
    <n v="0"/>
    <n v="0"/>
    <n v="25"/>
    <n v="0"/>
    <n v="25"/>
    <n v="25"/>
  </r>
  <r>
    <x v="11"/>
    <x v="5"/>
    <x v="0"/>
    <s v="4606106"/>
    <n v="721240"/>
    <s v="Supplies-IV Solutions/Supplies - Billable"/>
    <s v="Special Procedures"/>
    <x v="0"/>
    <m/>
    <n v="2131.2800000000002"/>
    <n v="2723.37"/>
    <n v="2675.75"/>
    <n v="3311.98"/>
    <n v="2984.84"/>
    <n v="2767.05"/>
    <n v="2731"/>
    <n v="2731.82"/>
    <n v="2643.03"/>
    <n v="2952.92"/>
    <n v="3350.84"/>
    <n v="3390.71"/>
    <n v="34394.590000000004"/>
    <n v="-39.869999999999891"/>
  </r>
  <r>
    <x v="11"/>
    <x v="5"/>
    <x v="0"/>
    <s v="4606106"/>
    <n v="721410"/>
    <s v="Supplies-Medical - Nonbillable"/>
    <s v="Special Procedures"/>
    <x v="0"/>
    <m/>
    <n v="640.54"/>
    <n v="793.69"/>
    <n v="615.29"/>
    <n v="841.17"/>
    <n v="689.95"/>
    <n v="834.56"/>
    <n v="853.19"/>
    <n v="645.13"/>
    <n v="729.47"/>
    <n v="776.14"/>
    <n v="921.04"/>
    <n v="833.05"/>
    <n v="9173.2200000000012"/>
    <n v="87.990000000000009"/>
  </r>
  <r>
    <x v="11"/>
    <x v="5"/>
    <x v="0"/>
    <s v="4606106"/>
    <n v="721420"/>
    <s v="Supplies-Surgical Nonbillable"/>
    <s v="Special Procedures"/>
    <x v="0"/>
    <m/>
    <n v="0"/>
    <n v="13.05"/>
    <n v="4.25"/>
    <n v="5.18"/>
    <n v="10.6"/>
    <n v="9.1999999999999993"/>
    <n v="9.5"/>
    <n v="4.75"/>
    <n v="9"/>
    <n v="4.82"/>
    <n v="14.46"/>
    <n v="9.64"/>
    <n v="94.45"/>
    <n v="4.82"/>
  </r>
  <r>
    <x v="11"/>
    <x v="5"/>
    <x v="0"/>
    <s v="4606106"/>
    <n v="721420"/>
    <s v="Tubes Drains &amp; Related Supplies"/>
    <s v="Special Procedures"/>
    <x v="0"/>
    <n v="1008"/>
    <n v="0"/>
    <n v="0"/>
    <n v="0"/>
    <n v="0"/>
    <n v="0"/>
    <n v="0"/>
    <n v="0"/>
    <n v="0"/>
    <n v="0"/>
    <n v="0"/>
    <n v="0"/>
    <n v="4.8"/>
    <n v="4.8"/>
    <n v="-4.8"/>
  </r>
  <r>
    <x v="11"/>
    <x v="5"/>
    <x v="0"/>
    <s v="4606106"/>
    <n v="721610"/>
    <s v="Supplies-Anesthesia - Nonbillable"/>
    <s v="Special Procedures"/>
    <x v="0"/>
    <m/>
    <n v="0"/>
    <n v="2.2999999999999998"/>
    <n v="0"/>
    <n v="0.96"/>
    <n v="0"/>
    <n v="1.88"/>
    <n v="0"/>
    <n v="-21.28"/>
    <n v="0.88"/>
    <n v="0"/>
    <n v="0"/>
    <n v="0.44"/>
    <n v="-14.82"/>
    <n v="-0.44"/>
  </r>
  <r>
    <x v="11"/>
    <x v="5"/>
    <x v="0"/>
    <s v="4606106"/>
    <n v="721640"/>
    <s v="Supplies-IV Solutions/Supplies - Nonbillable"/>
    <s v="Special Procedures"/>
    <x v="0"/>
    <m/>
    <n v="70.5"/>
    <n v="70.5"/>
    <n v="66.22"/>
    <n v="100.05"/>
    <n v="157.62"/>
    <n v="42.8"/>
    <n v="90.08"/>
    <n v="130.30000000000001"/>
    <n v="48"/>
    <n v="131.22999999999999"/>
    <n v="104.62"/>
    <n v="85.6"/>
    <n v="1097.52"/>
    <n v="19.02000000000001"/>
  </r>
  <r>
    <x v="11"/>
    <x v="5"/>
    <x v="0"/>
    <s v="4606106"/>
    <n v="721710"/>
    <s v="Supplies-Laboratory - Nonbillable"/>
    <s v="Special Procedures"/>
    <x v="0"/>
    <m/>
    <n v="8.73"/>
    <n v="17.66"/>
    <n v="12.47"/>
    <n v="11.52"/>
    <n v="14.08"/>
    <n v="18.600000000000001"/>
    <n v="14.26"/>
    <n v="17.86"/>
    <n v="19.899999999999999"/>
    <n v="18.260000000000002"/>
    <n v="17.920000000000002"/>
    <n v="17.09"/>
    <n v="188.35"/>
    <n v="0.83000000000000185"/>
  </r>
  <r>
    <x v="11"/>
    <x v="5"/>
    <x v="0"/>
    <s v="4606106"/>
    <n v="721750"/>
    <s v="Supplies-Film/Radiographic - Nonbillable"/>
    <s v="Special Procedures"/>
    <x v="0"/>
    <m/>
    <n v="0"/>
    <n v="0"/>
    <n v="0"/>
    <n v="0"/>
    <n v="0"/>
    <n v="0"/>
    <n v="0"/>
    <n v="0"/>
    <n v="0"/>
    <n v="0"/>
    <n v="1.87"/>
    <n v="0"/>
    <n v="1.87"/>
    <n v="1.87"/>
  </r>
  <r>
    <x v="11"/>
    <x v="5"/>
    <x v="0"/>
    <s v="4606106"/>
    <n v="721810"/>
    <s v="Supplies-Dietary/Cafeteria"/>
    <s v="Special Procedures"/>
    <x v="0"/>
    <m/>
    <n v="34.619999999999997"/>
    <n v="68.84"/>
    <n v="42.08"/>
    <n v="60.9"/>
    <n v="48.27"/>
    <n v="44.23"/>
    <n v="43.14"/>
    <n v="46.54"/>
    <n v="112.33"/>
    <n v="236.95"/>
    <n v="187.36"/>
    <n v="54.8"/>
    <n v="980.06000000000006"/>
    <n v="132.56"/>
  </r>
  <r>
    <x v="11"/>
    <x v="5"/>
    <x v="0"/>
    <s v="4606106"/>
    <n v="721830"/>
    <s v="Supplies-Office"/>
    <s v="Special Procedures"/>
    <x v="0"/>
    <m/>
    <n v="3.3"/>
    <n v="236.46"/>
    <n v="0"/>
    <n v="129.80000000000001"/>
    <n v="0"/>
    <n v="0"/>
    <n v="0"/>
    <n v="9.36"/>
    <n v="0"/>
    <n v="74.55"/>
    <n v="6.8"/>
    <n v="0"/>
    <n v="460.2700000000001"/>
    <n v="6.8"/>
  </r>
  <r>
    <x v="11"/>
    <x v="5"/>
    <x v="0"/>
    <s v="4606106"/>
    <n v="721870"/>
    <s v="Supplies-Environmental Services"/>
    <s v="Special Procedures"/>
    <x v="0"/>
    <m/>
    <n v="109.22"/>
    <n v="78.08"/>
    <n v="68.28"/>
    <n v="95.74"/>
    <n v="92.92"/>
    <n v="116.03"/>
    <n v="117.62"/>
    <n v="76.78"/>
    <n v="83.3"/>
    <n v="55.39"/>
    <n v="62.37"/>
    <n v="52.12"/>
    <n v="1007.8499999999999"/>
    <n v="10.25"/>
  </r>
  <r>
    <x v="11"/>
    <x v="5"/>
    <x v="0"/>
    <s v="4606106"/>
    <n v="721880"/>
    <s v="Supplies-Linen"/>
    <s v="Special Procedures"/>
    <x v="0"/>
    <m/>
    <n v="45.12"/>
    <n v="0"/>
    <n v="45.12"/>
    <n v="0"/>
    <n v="45.12"/>
    <n v="0"/>
    <n v="0"/>
    <n v="45.12"/>
    <n v="0"/>
    <n v="0"/>
    <n v="45.12"/>
    <n v="0"/>
    <n v="225.6"/>
    <n v="45.12"/>
  </r>
  <r>
    <x v="11"/>
    <x v="5"/>
    <x v="0"/>
    <s v="4606106"/>
    <n v="721910"/>
    <s v="Supplies-Small Equipment"/>
    <s v="Special Procedures"/>
    <x v="0"/>
    <m/>
    <n v="0"/>
    <n v="0"/>
    <n v="3.1"/>
    <n v="1.95"/>
    <n v="0"/>
    <n v="1.36"/>
    <n v="3.65"/>
    <n v="0"/>
    <n v="0"/>
    <n v="0"/>
    <n v="0"/>
    <n v="0"/>
    <n v="10.06"/>
    <n v="0"/>
  </r>
  <r>
    <x v="11"/>
    <x v="5"/>
    <x v="0"/>
    <s v="4606106"/>
    <n v="721980"/>
    <s v="Supplies-Other"/>
    <s v="Special Procedures"/>
    <x v="0"/>
    <m/>
    <n v="0"/>
    <n v="0"/>
    <n v="0"/>
    <n v="0"/>
    <n v="0"/>
    <n v="2887"/>
    <n v="0"/>
    <n v="-2887"/>
    <n v="0"/>
    <n v="0"/>
    <n v="0"/>
    <n v="0"/>
    <n v="0"/>
    <n v="0"/>
  </r>
  <r>
    <x v="11"/>
    <x v="5"/>
    <x v="0"/>
    <s v="4606106"/>
    <n v="722000"/>
    <s v="Supplies-Freight Expense"/>
    <s v="Special Procedures"/>
    <x v="0"/>
    <m/>
    <n v="0"/>
    <n v="0"/>
    <n v="0"/>
    <n v="0"/>
    <n v="0"/>
    <n v="0"/>
    <n v="0"/>
    <n v="65.459999999999994"/>
    <n v="0"/>
    <n v="0"/>
    <n v="0"/>
    <n v="0"/>
    <n v="65.459999999999994"/>
    <n v="0"/>
  </r>
  <r>
    <x v="15"/>
    <x v="5"/>
    <x v="0"/>
    <s v="4606106"/>
    <n v="731060"/>
    <s v="Telephone"/>
    <s v="Special Procedures"/>
    <x v="0"/>
    <m/>
    <n v="0"/>
    <n v="0"/>
    <n v="0"/>
    <n v="0"/>
    <n v="0"/>
    <n v="0"/>
    <n v="264.5"/>
    <n v="25.8"/>
    <n v="0"/>
    <n v="0"/>
    <n v="0"/>
    <n v="14.3"/>
    <n v="304.60000000000002"/>
    <n v="-14.3"/>
  </r>
  <r>
    <x v="16"/>
    <x v="5"/>
    <x v="0"/>
    <s v="4606106"/>
    <n v="732030"/>
    <s v="Repairs---Other"/>
    <s v="Special Procedures"/>
    <x v="0"/>
    <m/>
    <n v="0"/>
    <n v="0"/>
    <n v="0"/>
    <n v="0"/>
    <n v="0"/>
    <n v="0"/>
    <n v="1006.5"/>
    <n v="0"/>
    <n v="103.43"/>
    <n v="-103.43"/>
    <n v="443.8"/>
    <n v="0"/>
    <n v="1450.3"/>
    <n v="443.8"/>
  </r>
  <r>
    <x v="13"/>
    <x v="5"/>
    <x v="0"/>
    <s v="4606106"/>
    <n v="735040"/>
    <s v="Depreciation-Building Improvements"/>
    <s v="Special Procedures"/>
    <x v="0"/>
    <m/>
    <n v="71.78"/>
    <n v="71.77"/>
    <n v="71.78"/>
    <n v="71.77"/>
    <n v="71.78"/>
    <n v="71.77"/>
    <n v="71.78"/>
    <n v="71.77"/>
    <n v="71.78"/>
    <n v="71.77"/>
    <n v="71.78"/>
    <n v="71.77"/>
    <n v="861.29999999999984"/>
    <n v="1.0000000000005116E-2"/>
  </r>
  <r>
    <x v="13"/>
    <x v="5"/>
    <x v="0"/>
    <s v="4606106"/>
    <n v="735070"/>
    <s v="Depreciation-Movable Equipment"/>
    <s v="Special Procedures"/>
    <x v="0"/>
    <m/>
    <n v="489.5"/>
    <n v="489.47"/>
    <n v="489.54"/>
    <n v="489.45"/>
    <n v="489.6"/>
    <n v="489.45"/>
    <n v="489.6"/>
    <n v="489.35"/>
    <n v="489.64"/>
    <n v="569.54"/>
    <n v="569.91999999999996"/>
    <n v="569.51"/>
    <n v="6114.57"/>
    <n v="0.40999999999996817"/>
  </r>
  <r>
    <x v="0"/>
    <x v="5"/>
    <x v="0"/>
    <s v="4606106"/>
    <n v="740020"/>
    <s v="Education-Registration Fees"/>
    <s v="Special Procedures"/>
    <x v="0"/>
    <m/>
    <n v="0"/>
    <n v="0"/>
    <n v="0"/>
    <n v="175"/>
    <n v="175"/>
    <n v="0"/>
    <n v="0"/>
    <n v="0"/>
    <n v="350"/>
    <n v="0"/>
    <n v="175"/>
    <n v="0"/>
    <n v="875"/>
    <n v="175"/>
  </r>
  <r>
    <x v="5"/>
    <x v="9"/>
    <x v="0"/>
    <s v="4690501"/>
    <n v="700014"/>
    <s v="Salaries-Management-Productive"/>
    <s v="Regional Digestive Care Admin"/>
    <x v="0"/>
    <m/>
    <n v="10560.19"/>
    <n v="12580.24"/>
    <n v="11444.46"/>
    <n v="12153.6"/>
    <n v="12363.03"/>
    <n v="5620.01"/>
    <n v="12728.2"/>
    <n v="8831.68"/>
    <n v="13333.92"/>
    <n v="11688.52"/>
    <n v="11429.11"/>
    <n v="11169.59"/>
    <n v="133902.55000000002"/>
    <n v="259.52000000000044"/>
  </r>
  <r>
    <x v="5"/>
    <x v="9"/>
    <x v="0"/>
    <s v="4690501"/>
    <n v="700034"/>
    <s v="Salaries-Tech/Professional-Productive"/>
    <s v="Regional Digestive Care Admin"/>
    <x v="0"/>
    <m/>
    <n v="6799.16"/>
    <n v="7664.88"/>
    <n v="6985.05"/>
    <n v="7819.56"/>
    <n v="2407.61"/>
    <n v="7032.98"/>
    <n v="6789.79"/>
    <n v="6662.56"/>
    <n v="5076.33"/>
    <n v="7867.95"/>
    <n v="6408.77"/>
    <n v="6694.45"/>
    <n v="78209.09"/>
    <n v="-285.67999999999938"/>
  </r>
  <r>
    <x v="5"/>
    <x v="9"/>
    <x v="0"/>
    <s v="4690501"/>
    <n v="700054"/>
    <s v="Salaries-Management-Non-productive"/>
    <s v="Regional Digestive Care Admin"/>
    <x v="0"/>
    <m/>
    <n v="2482.33"/>
    <n v="462.87"/>
    <n v="1178.08"/>
    <n v="1178.08"/>
    <n v="605.20000000000005"/>
    <n v="7780.93"/>
    <n v="693.64"/>
    <n v="3290.06"/>
    <n v="86.67"/>
    <n v="1298.7"/>
    <n v="1991.49"/>
    <n v="1818.25"/>
    <n v="22866.3"/>
    <n v="173.24"/>
  </r>
  <r>
    <x v="5"/>
    <x v="9"/>
    <x v="0"/>
    <s v="4690501"/>
    <n v="700074"/>
    <s v="Salaries-Tech/Professional-Non-productive"/>
    <s v="Regional Digestive Care Admin"/>
    <x v="0"/>
    <m/>
    <n v="865.39"/>
    <n v="0"/>
    <n v="432.69"/>
    <n v="0"/>
    <n v="5195.38"/>
    <n v="823.71"/>
    <n v="1079.19"/>
    <n v="444.18"/>
    <n v="2791.88"/>
    <n v="-253.78"/>
    <n v="1459.46"/>
    <n v="920.06"/>
    <n v="13758.160000000002"/>
    <n v="539.40000000000009"/>
  </r>
  <r>
    <x v="5"/>
    <x v="9"/>
    <x v="0"/>
    <s v="4690501"/>
    <n v="700084"/>
    <s v="Accrued PTO"/>
    <s v="Regional Digestive Care Admin"/>
    <x v="0"/>
    <m/>
    <n v="-285.98"/>
    <n v="1883.21"/>
    <n v="861.48"/>
    <n v="2167.4499999999998"/>
    <n v="-1099.93"/>
    <n v="-1437.14"/>
    <n v="-3.13"/>
    <n v="373.07"/>
    <n v="-399.74"/>
    <n v="511.71"/>
    <n v="-1657.06"/>
    <n v="1103.83"/>
    <n v="2017.7699999999991"/>
    <n v="-2760.89"/>
  </r>
  <r>
    <x v="6"/>
    <x v="9"/>
    <x v="0"/>
    <s v="4690501"/>
    <n v="713010"/>
    <s v="Benefits-FICA/Medicare"/>
    <s v="Regional Digestive Care Admin"/>
    <x v="0"/>
    <m/>
    <n v="1534.56"/>
    <n v="1534.64"/>
    <n v="1485.15"/>
    <n v="1563.72"/>
    <n v="430.82"/>
    <n v="1173.44"/>
    <n v="1573.24"/>
    <n v="1420.98"/>
    <n v="1573.23"/>
    <n v="1522.45"/>
    <n v="1573.23"/>
    <n v="1522.52"/>
    <n v="16907.98"/>
    <n v="50.710000000000036"/>
  </r>
  <r>
    <x v="6"/>
    <x v="9"/>
    <x v="0"/>
    <s v="4690501"/>
    <n v="713090"/>
    <s v="Benefits-Allocated Amounts"/>
    <s v="Regional Digestive Care Admin"/>
    <x v="0"/>
    <m/>
    <n v="2773.87"/>
    <n v="2676.07"/>
    <n v="2714.24"/>
    <n v="2634.05"/>
    <n v="2348"/>
    <n v="2754.26"/>
    <n v="2991.29"/>
    <n v="2787.14"/>
    <n v="3342.98"/>
    <n v="2940.02"/>
    <n v="2906.48"/>
    <n v="2943.75"/>
    <n v="33812.149999999994"/>
    <n v="-37.269999999999982"/>
  </r>
  <r>
    <x v="11"/>
    <x v="9"/>
    <x v="0"/>
    <s v="4690501"/>
    <n v="721830"/>
    <s v="Supplies-Office"/>
    <s v="Regional Digestive Care Admin"/>
    <x v="0"/>
    <m/>
    <n v="567.86"/>
    <n v="506.77"/>
    <n v="0"/>
    <n v="0"/>
    <n v="0"/>
    <n v="0"/>
    <n v="0"/>
    <n v="0"/>
    <n v="0"/>
    <n v="0"/>
    <n v="0"/>
    <n v="0"/>
    <n v="1074.6300000000001"/>
    <n v="0"/>
  </r>
  <r>
    <x v="0"/>
    <x v="9"/>
    <x v="0"/>
    <s v="4690501"/>
    <n v="740020"/>
    <s v="Education-Registration Fees"/>
    <s v="Regional Digestive Care Admin"/>
    <x v="0"/>
    <m/>
    <n v="0"/>
    <n v="890"/>
    <n v="0"/>
    <n v="0"/>
    <n v="0"/>
    <n v="0"/>
    <n v="0"/>
    <n v="0"/>
    <n v="0"/>
    <n v="0"/>
    <n v="0"/>
    <n v="0"/>
    <n v="890"/>
    <n v="0"/>
  </r>
  <r>
    <x v="0"/>
    <x v="9"/>
    <x v="0"/>
    <s v="4690501"/>
    <n v="743030"/>
    <s v="Subscriptions--Institutional"/>
    <s v="Regional Digestive Care Admin"/>
    <x v="0"/>
    <m/>
    <n v="0"/>
    <n v="0"/>
    <n v="0"/>
    <n v="69.180000000000007"/>
    <n v="0"/>
    <n v="0"/>
    <n v="0"/>
    <n v="0"/>
    <n v="0"/>
    <n v="0"/>
    <n v="0"/>
    <n v="0"/>
    <n v="69.180000000000007"/>
    <n v="0"/>
  </r>
  <r>
    <x v="0"/>
    <x v="9"/>
    <x v="0"/>
    <s v="4690501"/>
    <n v="749510"/>
    <s v="Miscellaneous Expenses"/>
    <s v="Regional Digestive Care Admin"/>
    <x v="0"/>
    <m/>
    <n v="305.35000000000002"/>
    <n v="-315.70999999999998"/>
    <n v="0"/>
    <n v="0"/>
    <n v="283.55"/>
    <n v="-10.79"/>
    <n v="-272.76"/>
    <n v="0"/>
    <n v="0"/>
    <n v="0"/>
    <n v="134.69999999999999"/>
    <n v="385.52"/>
    <n v="509.86"/>
    <n v="-250.82"/>
  </r>
  <r>
    <x v="0"/>
    <x v="9"/>
    <x v="0"/>
    <s v="4690501"/>
    <n v="749510"/>
    <s v="RICE Rewards"/>
    <s v="Regional Digestive Care Admin"/>
    <x v="0"/>
    <n v="5100"/>
    <n v="0"/>
    <n v="0"/>
    <n v="0"/>
    <n v="0"/>
    <n v="0"/>
    <n v="0"/>
    <n v="0"/>
    <n v="0"/>
    <n v="0"/>
    <n v="0"/>
    <n v="90"/>
    <n v="0"/>
    <n v="90"/>
    <n v="90"/>
  </r>
  <r>
    <x v="0"/>
    <x v="9"/>
    <x v="0"/>
    <s v="4690501"/>
    <n v="749530"/>
    <s v="Travel"/>
    <s v="Regional Digestive Care Admin"/>
    <x v="0"/>
    <m/>
    <n v="0"/>
    <n v="5"/>
    <n v="0"/>
    <n v="10"/>
    <n v="0"/>
    <n v="10"/>
    <n v="10"/>
    <n v="0"/>
    <n v="0"/>
    <n v="5"/>
    <n v="5"/>
    <n v="10"/>
    <n v="55"/>
    <n v="-5"/>
  </r>
  <r>
    <x v="0"/>
    <x v="9"/>
    <x v="0"/>
    <s v="4690501"/>
    <n v="749530"/>
    <s v="Mileage"/>
    <s v="Regional Digestive Care Admin"/>
    <x v="0"/>
    <n v="1001"/>
    <n v="0"/>
    <n v="310.70999999999998"/>
    <n v="204.95"/>
    <n v="262.19"/>
    <n v="267.08"/>
    <n v="174.97"/>
    <n v="153.71"/>
    <n v="96.86"/>
    <n v="102.66"/>
    <n v="151.38"/>
    <n v="43.5"/>
    <n v="124.7"/>
    <n v="1892.7099999999998"/>
    <n v="-81.2"/>
  </r>
  <r>
    <x v="0"/>
    <x v="9"/>
    <x v="0"/>
    <s v="4690501"/>
    <n v="749535"/>
    <s v="Meetings"/>
    <s v="Regional Digestive Care Admin"/>
    <x v="0"/>
    <m/>
    <n v="0"/>
    <n v="0"/>
    <n v="0"/>
    <n v="0"/>
    <n v="0"/>
    <n v="98.58"/>
    <n v="0"/>
    <n v="0"/>
    <n v="0"/>
    <n v="0"/>
    <n v="0"/>
    <n v="0"/>
    <n v="98.58"/>
    <n v="0"/>
  </r>
  <r>
    <x v="18"/>
    <x v="3"/>
    <x v="0"/>
    <s v="4700101"/>
    <n v="400010"/>
    <s v="Acute I/P Svcs Rev--Medicare"/>
    <s v="Clinical Laboratory Service"/>
    <x v="0"/>
    <n v="1100"/>
    <n v="-3971264.19"/>
    <n v="-4345599.8499999996"/>
    <n v="-4250053.59"/>
    <n v="-4939544.1100000003"/>
    <n v="-4462336.28"/>
    <n v="-4307596.59"/>
    <n v="-4624592.0599999996"/>
    <n v="-4525143.71"/>
    <n v="-5213387.5599999996"/>
    <n v="-4891071.66"/>
    <n v="-4769094.1100000003"/>
    <n v="-4605140.9800000004"/>
    <n v="-54904824.689999998"/>
    <n v="-163953.12999999989"/>
  </r>
  <r>
    <x v="18"/>
    <x v="3"/>
    <x v="0"/>
    <s v="4700101"/>
    <n v="400010"/>
    <s v="Acute I/P Svcs Rev--Medicaid"/>
    <s v="Clinical Laboratory Service"/>
    <x v="0"/>
    <n v="1200"/>
    <n v="-1799083.32"/>
    <n v="-1738380.34"/>
    <n v="-1613980"/>
    <n v="-1509331.4"/>
    <n v="-1799962.05"/>
    <n v="-1739562.72"/>
    <n v="-1853437.35"/>
    <n v="-1761257.26"/>
    <n v="-2261310.63"/>
    <n v="-1866576.54"/>
    <n v="-2021516.2"/>
    <n v="-2032008.1"/>
    <n v="-21996405.91"/>
    <n v="10491.90000000014"/>
  </r>
  <r>
    <x v="18"/>
    <x v="3"/>
    <x v="0"/>
    <s v="4700101"/>
    <n v="400010"/>
    <s v="Acute I/P Svcs Rev--Comm Insurance"/>
    <s v="Clinical Laboratory Service"/>
    <x v="0"/>
    <n v="1300"/>
    <n v="-239386.35"/>
    <n v="10474.120000000001"/>
    <n v="-113363.74"/>
    <n v="-128661.27"/>
    <n v="-102653.01"/>
    <n v="-149156.5"/>
    <n v="-114705.42"/>
    <n v="-73948.960000000006"/>
    <n v="-143339.97"/>
    <n v="-46502.89"/>
    <n v="-100832.77"/>
    <n v="-106332.23"/>
    <n v="-1308408.99"/>
    <n v="5499.4599999999919"/>
  </r>
  <r>
    <x v="18"/>
    <x v="3"/>
    <x v="0"/>
    <s v="4700101"/>
    <n v="400010"/>
    <s v="Acute I/P Svcs Rev--BCBS Comm"/>
    <s v="Clinical Laboratory Service"/>
    <x v="0"/>
    <n v="1301"/>
    <n v="-166017.63"/>
    <n v="-317529.82"/>
    <n v="-231523.34"/>
    <n v="-233509.99"/>
    <n v="-201419.47"/>
    <n v="-310317.44"/>
    <n v="-336723.83"/>
    <n v="-217286"/>
    <n v="-234722.7"/>
    <n v="-322474.34000000003"/>
    <n v="-294544.62"/>
    <n v="-446994.17"/>
    <n v="-3313063.35"/>
    <n v="152449.54999999999"/>
  </r>
  <r>
    <x v="18"/>
    <x v="3"/>
    <x v="0"/>
    <s v="4700101"/>
    <n v="400010"/>
    <s v="Acute I/P Svcs Rev--Managed Care"/>
    <s v="Clinical Laboratory Service"/>
    <x v="0"/>
    <n v="1400"/>
    <n v="-1313338.81"/>
    <n v="-1433066.36"/>
    <n v="-1394914.93"/>
    <n v="-1484410.51"/>
    <n v="-1082691.43"/>
    <n v="-1287056.46"/>
    <n v="-1439844.04"/>
    <n v="-1311216.78"/>
    <n v="-1437365.56"/>
    <n v="-1139306.82"/>
    <n v="-1377387.42"/>
    <n v="-1378782.32"/>
    <n v="-16079381.439999999"/>
    <n v="1394.9000000001397"/>
  </r>
  <r>
    <x v="18"/>
    <x v="3"/>
    <x v="0"/>
    <s v="4700101"/>
    <n v="400010"/>
    <s v="Acute I/P Svcs Rev--Self Pay"/>
    <s v="Clinical Laboratory Service"/>
    <x v="0"/>
    <n v="1500"/>
    <n v="-112213.97"/>
    <n v="-132234.06"/>
    <n v="-137095.43"/>
    <n v="-66826.91"/>
    <n v="-100468.55"/>
    <n v="-1389.19"/>
    <n v="-106185.61"/>
    <n v="-21259.19"/>
    <n v="-100801.65"/>
    <n v="-73554.710000000006"/>
    <n v="-44006.32"/>
    <n v="-55314.63"/>
    <n v="-951350.21999999986"/>
    <n v="11308.309999999998"/>
  </r>
  <r>
    <x v="18"/>
    <x v="3"/>
    <x v="0"/>
    <s v="4700101"/>
    <n v="400010"/>
    <s v="Acute I/P Svcs Rev--Other"/>
    <s v="Clinical Laboratory Service"/>
    <x v="0"/>
    <n v="1700"/>
    <n v="-220465.61"/>
    <n v="-294320.14"/>
    <n v="-280886.28000000003"/>
    <n v="-237431.09"/>
    <n v="-211465.39"/>
    <n v="-455568.21"/>
    <n v="-364896.26"/>
    <n v="-339624.78"/>
    <n v="-232567.79"/>
    <n v="-318213.17"/>
    <n v="-372742.96"/>
    <n v="-330021.23"/>
    <n v="-3658202.9099999997"/>
    <n v="-42721.73000000004"/>
  </r>
  <r>
    <x v="19"/>
    <x v="3"/>
    <x v="0"/>
    <s v="4700101"/>
    <n v="400020"/>
    <s v="O/P Care Svcs Rev--Medicare"/>
    <s v="Clinical Laboratory Service"/>
    <x v="0"/>
    <n v="1100"/>
    <n v="-1195320.5900000001"/>
    <n v="-1318736.33"/>
    <n v="-1197338.55"/>
    <n v="-1331015.43"/>
    <n v="-1256748.32"/>
    <n v="-1165592.1200000001"/>
    <n v="-1436773.67"/>
    <n v="-1052959.3700000001"/>
    <n v="-1537262.33"/>
    <n v="-1427309.6"/>
    <n v="-1337858.28"/>
    <n v="-1299809.3700000001"/>
    <n v="-15556723.959999997"/>
    <n v="-38048.909999999916"/>
  </r>
  <r>
    <x v="19"/>
    <x v="3"/>
    <x v="0"/>
    <s v="4700101"/>
    <n v="400020"/>
    <s v="O/P Care Svcs Rev--Medicaid"/>
    <s v="Clinical Laboratory Service"/>
    <x v="0"/>
    <n v="1200"/>
    <n v="-797766.98"/>
    <n v="-919567.76"/>
    <n v="-758567.27"/>
    <n v="-861160.6"/>
    <n v="-782323.21"/>
    <n v="-805797.07"/>
    <n v="-937567.86"/>
    <n v="-744498.46"/>
    <n v="-913396.06"/>
    <n v="-868810.28"/>
    <n v="-960652.73"/>
    <n v="-895259.3"/>
    <n v="-10245367.58"/>
    <n v="-65393.429999999935"/>
  </r>
  <r>
    <x v="19"/>
    <x v="3"/>
    <x v="0"/>
    <s v="4700101"/>
    <n v="400020"/>
    <s v="O/P Care Svcs Rev--Comm Insurance"/>
    <s v="Clinical Laboratory Service"/>
    <x v="0"/>
    <n v="1300"/>
    <n v="-55507.93"/>
    <n v="-34486.480000000003"/>
    <n v="-59972.73"/>
    <n v="-64359.8"/>
    <n v="-81175.09"/>
    <n v="-72913.97"/>
    <n v="-35435.370000000003"/>
    <n v="-59436.95"/>
    <n v="-66499.070000000007"/>
    <n v="-111899.57"/>
    <n v="-59631.61"/>
    <n v="-70023.41"/>
    <n v="-771341.98"/>
    <n v="10391.800000000003"/>
  </r>
  <r>
    <x v="19"/>
    <x v="3"/>
    <x v="0"/>
    <s v="4700101"/>
    <n v="400020"/>
    <s v="O/P Care Svcs Rev--BCBS Comm"/>
    <s v="Clinical Laboratory Service"/>
    <x v="0"/>
    <n v="1301"/>
    <n v="-124929.1"/>
    <n v="-116806.51"/>
    <n v="-110285.48"/>
    <n v="-121972.43"/>
    <n v="-115179.54"/>
    <n v="-104747.31"/>
    <n v="-116724.86"/>
    <n v="-112292.62"/>
    <n v="-137537.93"/>
    <n v="-167676.87"/>
    <n v="-172918.47"/>
    <n v="-148501.4"/>
    <n v="-1549572.5199999998"/>
    <n v="-24417.070000000007"/>
  </r>
  <r>
    <x v="19"/>
    <x v="3"/>
    <x v="0"/>
    <s v="4700101"/>
    <n v="400020"/>
    <s v="O/P Care Svcs Rev--Managed Care"/>
    <s v="Clinical Laboratory Service"/>
    <x v="0"/>
    <n v="1400"/>
    <n v="-510941.39"/>
    <n v="-551765.01"/>
    <n v="-446899.05"/>
    <n v="-499240.39"/>
    <n v="-442898.23"/>
    <n v="-506409"/>
    <n v="-572860.62"/>
    <n v="-417165.11"/>
    <n v="-519248.71"/>
    <n v="-567585.5"/>
    <n v="-527897.03"/>
    <n v="-482213.74"/>
    <n v="-6045123.7800000003"/>
    <n v="-45683.290000000037"/>
  </r>
  <r>
    <x v="19"/>
    <x v="3"/>
    <x v="0"/>
    <s v="4700101"/>
    <n v="400020"/>
    <s v="O/P Care Svcs Rev--Self Pay"/>
    <s v="Clinical Laboratory Service"/>
    <x v="0"/>
    <n v="1500"/>
    <n v="-122012.58"/>
    <n v="-109817.37"/>
    <n v="-117197.3"/>
    <n v="-110854.47"/>
    <n v="-96896.86"/>
    <n v="-86619.35"/>
    <n v="-99972.82"/>
    <n v="-105826.5"/>
    <n v="-114917.67"/>
    <n v="-80825.87"/>
    <n v="-107454.44"/>
    <n v="-125482.18"/>
    <n v="-1277877.4099999999"/>
    <n v="18027.739999999991"/>
  </r>
  <r>
    <x v="19"/>
    <x v="3"/>
    <x v="0"/>
    <s v="4700101"/>
    <n v="400020"/>
    <s v="O/P Care Svcs Rev--Other"/>
    <s v="Clinical Laboratory Service"/>
    <x v="0"/>
    <n v="1700"/>
    <n v="-115502.3"/>
    <n v="-109306.75"/>
    <n v="-172742.94"/>
    <n v="-137752.48000000001"/>
    <n v="-141551.96"/>
    <n v="-118783.3"/>
    <n v="-117599.03"/>
    <n v="-145856.75"/>
    <n v="-142957.84"/>
    <n v="-89183.97"/>
    <n v="-104785.08"/>
    <n v="-105205.13"/>
    <n v="-1501227.5300000003"/>
    <n v="420.05000000000291"/>
  </r>
  <r>
    <x v="14"/>
    <x v="3"/>
    <x v="0"/>
    <s v="4700101"/>
    <n v="600050"/>
    <s v="Miscellaneous Revenue"/>
    <s v="Clinical Laboratory Service"/>
    <x v="0"/>
    <m/>
    <n v="-96773.56"/>
    <n v="-106740.1"/>
    <n v="-67584.28"/>
    <n v="-83974.62"/>
    <n v="42584.17"/>
    <n v="-90899.94"/>
    <n v="-122768.04"/>
    <n v="-97006.91"/>
    <n v="-113359.6"/>
    <n v="-32244.26"/>
    <n v="-72767.820000000007"/>
    <n v="-110615.85"/>
    <n v="-952150.80999999994"/>
    <n v="37848.03"/>
  </r>
  <r>
    <x v="5"/>
    <x v="3"/>
    <x v="0"/>
    <s v="4700101"/>
    <n v="700014"/>
    <s v="Salaries-Management-Productive"/>
    <s v="Clinical Laboratory Service"/>
    <x v="0"/>
    <m/>
    <n v="20476.84"/>
    <n v="25834.84"/>
    <n v="21817.53"/>
    <n v="27375.16"/>
    <n v="28049.75"/>
    <n v="13188.52"/>
    <n v="9841.5499999999993"/>
    <n v="4520.91"/>
    <n v="7780.62"/>
    <n v="9471.86"/>
    <n v="9533.69"/>
    <n v="9226.2900000000009"/>
    <n v="187117.55999999997"/>
    <n v="307.39999999999964"/>
  </r>
  <r>
    <x v="5"/>
    <x v="3"/>
    <x v="0"/>
    <s v="4700101"/>
    <n v="700026"/>
    <s v="Salaries-RN-Productive"/>
    <s v="Clinical Laboratory Service"/>
    <x v="0"/>
    <m/>
    <n v="0"/>
    <n v="0"/>
    <n v="0"/>
    <n v="0"/>
    <n v="0"/>
    <n v="0"/>
    <n v="0"/>
    <n v="0"/>
    <n v="0"/>
    <n v="50.45"/>
    <n v="0"/>
    <n v="0"/>
    <n v="50.45"/>
    <n v="0"/>
  </r>
  <r>
    <x v="5"/>
    <x v="3"/>
    <x v="0"/>
    <s v="4700101"/>
    <n v="700026"/>
    <s v="Salaries-RN-Other"/>
    <s v="Clinical Laboratory Service"/>
    <x v="0"/>
    <n v="2000"/>
    <n v="0"/>
    <n v="0"/>
    <n v="0"/>
    <n v="0"/>
    <n v="0"/>
    <n v="0"/>
    <n v="0"/>
    <n v="0"/>
    <n v="0"/>
    <n v="6.25"/>
    <n v="0"/>
    <n v="0"/>
    <n v="6.25"/>
    <n v="0"/>
  </r>
  <r>
    <x v="5"/>
    <x v="3"/>
    <x v="0"/>
    <s v="4700101"/>
    <n v="700032"/>
    <s v="Salaries-Other Pat Care Providers-Productive"/>
    <s v="Clinical Laboratory Service"/>
    <x v="0"/>
    <m/>
    <n v="283019.32"/>
    <n v="277488.63"/>
    <n v="256371.05"/>
    <n v="277053.65999999997"/>
    <n v="278183.99"/>
    <n v="268031.94"/>
    <n v="274228.40999999997"/>
    <n v="244999.3"/>
    <n v="274078.71000000002"/>
    <n v="259783.99"/>
    <n v="280256.21000000002"/>
    <n v="269900.40000000002"/>
    <n v="3243395.61"/>
    <n v="10355.809999999998"/>
  </r>
  <r>
    <x v="5"/>
    <x v="3"/>
    <x v="0"/>
    <s v="4700101"/>
    <n v="700032"/>
    <s v="Salaries-Other Pat Care Providers-OT"/>
    <s v="Clinical Laboratory Service"/>
    <x v="0"/>
    <n v="1000"/>
    <n v="10077.93"/>
    <n v="13732.08"/>
    <n v="10576.11"/>
    <n v="14576.65"/>
    <n v="15231.9"/>
    <n v="13010.93"/>
    <n v="13382.22"/>
    <n v="18778.080000000002"/>
    <n v="21813.02"/>
    <n v="13658.58"/>
    <n v="14201.83"/>
    <n v="13300.84"/>
    <n v="172340.16999999998"/>
    <n v="900.98999999999978"/>
  </r>
  <r>
    <x v="5"/>
    <x v="3"/>
    <x v="0"/>
    <s v="4700101"/>
    <n v="700032"/>
    <s v="Salaries-Other Pat Care Providers-Other"/>
    <s v="Clinical Laboratory Service"/>
    <x v="0"/>
    <n v="2000"/>
    <n v="14048.53"/>
    <n v="14074.3"/>
    <n v="11854.27"/>
    <n v="13978.72"/>
    <n v="13505.38"/>
    <n v="14190.3"/>
    <n v="13304.44"/>
    <n v="11943.58"/>
    <n v="12839.6"/>
    <n v="11539.6"/>
    <n v="12963.82"/>
    <n v="12605.6"/>
    <n v="156848.14000000004"/>
    <n v="358.21999999999935"/>
  </r>
  <r>
    <x v="5"/>
    <x v="3"/>
    <x v="0"/>
    <s v="4700101"/>
    <n v="700034"/>
    <s v="Salaries-Tech/Professional-Productive"/>
    <s v="Clinical Laboratory Service"/>
    <x v="0"/>
    <m/>
    <n v="73153.8"/>
    <n v="78145.05"/>
    <n v="84927.05"/>
    <n v="71744.06"/>
    <n v="82011.399999999994"/>
    <n v="82461.119999999995"/>
    <n v="82069.899999999994"/>
    <n v="74241.070000000007"/>
    <n v="84738.23"/>
    <n v="77335.25"/>
    <n v="72258.929999999993"/>
    <n v="75904.399999999994"/>
    <n v="938990.25999999989"/>
    <n v="-3645.4700000000012"/>
  </r>
  <r>
    <x v="5"/>
    <x v="3"/>
    <x v="0"/>
    <s v="4700101"/>
    <n v="700034"/>
    <s v="Salaries-Tech/Professional-OT"/>
    <s v="Clinical Laboratory Service"/>
    <x v="0"/>
    <n v="1000"/>
    <n v="2440.1999999999998"/>
    <n v="1499.48"/>
    <n v="4298.6499999999996"/>
    <n v="3312.05"/>
    <n v="3750.89"/>
    <n v="3471.41"/>
    <n v="2886.45"/>
    <n v="3148.49"/>
    <n v="6182.85"/>
    <n v="4109.25"/>
    <n v="5606.39"/>
    <n v="2632.66"/>
    <n v="43338.770000000004"/>
    <n v="2973.7300000000005"/>
  </r>
  <r>
    <x v="5"/>
    <x v="3"/>
    <x v="0"/>
    <s v="4700101"/>
    <n v="700034"/>
    <s v="Salaries-Tech/Professional-Other"/>
    <s v="Clinical Laboratory Service"/>
    <x v="0"/>
    <n v="2000"/>
    <n v="5788.14"/>
    <n v="5681.78"/>
    <n v="6025.27"/>
    <n v="5446.97"/>
    <n v="5323.27"/>
    <n v="7080.96"/>
    <n v="6785.1"/>
    <n v="5235.57"/>
    <n v="7060.48"/>
    <n v="6358.71"/>
    <n v="5198.01"/>
    <n v="5965.52"/>
    <n v="71949.780000000013"/>
    <n v="-767.51000000000022"/>
  </r>
  <r>
    <x v="5"/>
    <x v="3"/>
    <x v="0"/>
    <s v="4700101"/>
    <n v="700054"/>
    <s v="Salaries-Management-Non-productive"/>
    <s v="Clinical Laboratory Service"/>
    <x v="0"/>
    <m/>
    <n v="6995.15"/>
    <n v="1638.43"/>
    <n v="4769.8500000000004"/>
    <n v="838.1"/>
    <n v="-575.61"/>
    <n v="5462.96"/>
    <n v="-306.95999999999998"/>
    <n v="4090.1"/>
    <n v="1753.06"/>
    <n v="-246"/>
    <n v="0"/>
    <n v="0"/>
    <n v="24419.08"/>
    <n v="0"/>
  </r>
  <r>
    <x v="5"/>
    <x v="3"/>
    <x v="0"/>
    <s v="4700101"/>
    <n v="700054"/>
    <s v="Salaries-Management-NonProd-Other"/>
    <s v="Clinical Laboratory Service"/>
    <x v="0"/>
    <n v="2000"/>
    <n v="0"/>
    <n v="0"/>
    <n v="0"/>
    <n v="0"/>
    <n v="0"/>
    <n v="3761.89"/>
    <n v="-3748.32"/>
    <n v="0"/>
    <n v="0"/>
    <n v="0"/>
    <n v="0"/>
    <n v="0"/>
    <n v="13.569999999999709"/>
    <n v="0"/>
  </r>
  <r>
    <x v="5"/>
    <x v="3"/>
    <x v="0"/>
    <s v="4700101"/>
    <n v="700072"/>
    <s v="Salaries-Other Pat Care Providers-Non-productive"/>
    <s v="Clinical Laboratory Service"/>
    <x v="0"/>
    <m/>
    <n v="44897.06"/>
    <n v="42300.12"/>
    <n v="61096.73"/>
    <n v="42939.46"/>
    <n v="32211.69"/>
    <n v="61260.15"/>
    <n v="45958.46"/>
    <n v="39651.46"/>
    <n v="29729.759999999998"/>
    <n v="47604.58"/>
    <n v="33313.360000000001"/>
    <n v="29087.54"/>
    <n v="510050.37000000005"/>
    <n v="4225.82"/>
  </r>
  <r>
    <x v="5"/>
    <x v="3"/>
    <x v="0"/>
    <s v="4700101"/>
    <n v="700072"/>
    <s v="Salaries-Other Pat Care Providers-NonProd-Other"/>
    <s v="Clinical Laboratory Service"/>
    <x v="0"/>
    <n v="2000"/>
    <n v="2000.84"/>
    <n v="2136.3000000000002"/>
    <n v="2938.68"/>
    <n v="1867.24"/>
    <n v="3720.37"/>
    <n v="3146.74"/>
    <n v="1902.23"/>
    <n v="-353.02"/>
    <n v="2120.6799999999998"/>
    <n v="3265.01"/>
    <n v="1205.81"/>
    <n v="1679.18"/>
    <n v="25630.06"/>
    <n v="-473.37000000000012"/>
  </r>
  <r>
    <x v="5"/>
    <x v="3"/>
    <x v="0"/>
    <s v="4700101"/>
    <n v="700074"/>
    <s v="Salaries-Tech/Professional-Non-productive"/>
    <s v="Clinical Laboratory Service"/>
    <x v="0"/>
    <m/>
    <n v="19258.98"/>
    <n v="12589.15"/>
    <n v="6731.21"/>
    <n v="21104.28"/>
    <n v="13141.77"/>
    <n v="16783.18"/>
    <n v="14036.93"/>
    <n v="16258.6"/>
    <n v="5103.42"/>
    <n v="10406.5"/>
    <n v="8750.64"/>
    <n v="8338.1299999999992"/>
    <n v="152502.79000000004"/>
    <n v="412.51000000000022"/>
  </r>
  <r>
    <x v="5"/>
    <x v="3"/>
    <x v="0"/>
    <s v="4700101"/>
    <n v="700074"/>
    <s v="Salaries-Tech/Professional-NonProd-Other"/>
    <s v="Clinical Laboratory Service"/>
    <x v="0"/>
    <n v="2000"/>
    <n v="1692.3"/>
    <n v="978.44"/>
    <n v="600.14"/>
    <n v="1067.58"/>
    <n v="2897.14"/>
    <n v="2779.22"/>
    <n v="1134.22"/>
    <n v="-1637.23"/>
    <n v="1314.01"/>
    <n v="1356.56"/>
    <n v="1169.6300000000001"/>
    <n v="909.88"/>
    <n v="14261.889999999998"/>
    <n v="259.75000000000011"/>
  </r>
  <r>
    <x v="5"/>
    <x v="3"/>
    <x v="0"/>
    <s v="4700101"/>
    <n v="700078"/>
    <s v="Salaries-Service/Support-NonProd-Other"/>
    <s v="Clinical Laboratory Service"/>
    <x v="0"/>
    <n v="2000"/>
    <n v="92.81"/>
    <n v="0"/>
    <n v="0"/>
    <n v="0"/>
    <n v="0"/>
    <n v="0"/>
    <n v="0"/>
    <n v="0"/>
    <n v="0"/>
    <n v="0"/>
    <n v="0"/>
    <n v="0"/>
    <n v="92.81"/>
    <n v="0"/>
  </r>
  <r>
    <x v="5"/>
    <x v="3"/>
    <x v="0"/>
    <s v="4700101"/>
    <n v="700084"/>
    <s v="Accrued PTO"/>
    <s v="Clinical Laboratory Service"/>
    <x v="0"/>
    <m/>
    <n v="-8542.08"/>
    <n v="470.18"/>
    <n v="-15916.1"/>
    <n v="4071.79"/>
    <n v="12406.19"/>
    <n v="8424.07"/>
    <n v="-2168.87"/>
    <n v="-12130.15"/>
    <n v="13601.06"/>
    <n v="9728.77"/>
    <n v="25754.23"/>
    <n v="16291.98"/>
    <n v="51991.070000000007"/>
    <n v="9462.25"/>
  </r>
  <r>
    <x v="10"/>
    <x v="3"/>
    <x v="0"/>
    <s v="4700101"/>
    <n v="710060"/>
    <s v="Contract Labor-Other"/>
    <s v="Clinical Laboratory Service"/>
    <x v="0"/>
    <m/>
    <n v="33002.53"/>
    <n v="35309.839999999997"/>
    <n v="35217.56"/>
    <n v="22831.24"/>
    <n v="46481.25"/>
    <n v="25955.72"/>
    <n v="44876.31"/>
    <n v="36572.449999999997"/>
    <n v="67770.320000000007"/>
    <n v="67069.48"/>
    <n v="119705.22"/>
    <n v="143430"/>
    <n v="678221.91999999993"/>
    <n v="-23724.78"/>
  </r>
  <r>
    <x v="10"/>
    <x v="3"/>
    <x v="0"/>
    <s v="4700101"/>
    <n v="710060"/>
    <s v="Contract Labor-Overtime"/>
    <s v="Clinical Laboratory Service"/>
    <x v="0"/>
    <n v="5100"/>
    <n v="3437.2"/>
    <n v="1718.6"/>
    <n v="2534.94"/>
    <n v="1933.42"/>
    <n v="903.39"/>
    <n v="3744.73"/>
    <n v="1719.69"/>
    <n v="1921.69"/>
    <n v="2402.11"/>
    <n v="1771.48"/>
    <n v="1658.1"/>
    <n v="3851.51"/>
    <n v="27596.86"/>
    <n v="-2193.4100000000003"/>
  </r>
  <r>
    <x v="6"/>
    <x v="3"/>
    <x v="0"/>
    <s v="4700101"/>
    <n v="713010"/>
    <s v="Benefits-FICA/Medicare"/>
    <s v="Clinical Laboratory Service"/>
    <x v="0"/>
    <m/>
    <n v="37002.29"/>
    <n v="35563.08"/>
    <n v="35145.46"/>
    <n v="35796.42"/>
    <n v="36125.879999999997"/>
    <n v="39871.33"/>
    <n v="35619.39"/>
    <n v="32275.95"/>
    <n v="34248.51"/>
    <n v="32915.089999999997"/>
    <n v="32828.629999999997"/>
    <n v="34051.019999999997"/>
    <n v="421443.05000000005"/>
    <n v="-1222.3899999999994"/>
  </r>
  <r>
    <x v="6"/>
    <x v="3"/>
    <x v="0"/>
    <s v="4700101"/>
    <n v="713090"/>
    <s v="Benefits-Allocated Amounts"/>
    <s v="Clinical Laboratory Service"/>
    <x v="0"/>
    <m/>
    <n v="119285.9"/>
    <n v="107772.6"/>
    <n v="116648.07"/>
    <n v="115672.21"/>
    <n v="116732.97"/>
    <n v="114851.83"/>
    <n v="117940.99"/>
    <n v="112905.16"/>
    <n v="92564.34"/>
    <n v="113850.16"/>
    <n v="118979.35"/>
    <n v="112160.87"/>
    <n v="1359364.4500000002"/>
    <n v="6818.4800000000105"/>
  </r>
  <r>
    <x v="6"/>
    <x v="3"/>
    <x v="0"/>
    <s v="4700101"/>
    <n v="713096"/>
    <s v="Employee Recognition"/>
    <s v="Clinical Laboratory Service"/>
    <x v="0"/>
    <n v="1017"/>
    <n v="0"/>
    <n v="0"/>
    <n v="53.5"/>
    <n v="268.63"/>
    <n v="49.52"/>
    <n v="146.09"/>
    <n v="0"/>
    <n v="41.05"/>
    <n v="0"/>
    <n v="135.9"/>
    <n v="0"/>
    <n v="362.15"/>
    <n v="1056.8399999999999"/>
    <n v="-362.15"/>
  </r>
  <r>
    <x v="17"/>
    <x v="3"/>
    <x v="0"/>
    <s v="4700101"/>
    <n v="714510"/>
    <s v="Medical Director Fees"/>
    <s v="Clinical Laboratory Service"/>
    <x v="0"/>
    <m/>
    <n v="12606.85"/>
    <n v="12917.95"/>
    <n v="7301.04"/>
    <n v="7435.99"/>
    <n v="0"/>
    <n v="13589.96"/>
    <n v="6994.39"/>
    <n v="0"/>
    <n v="13655.1"/>
    <n v="6742.4"/>
    <n v="7120.8"/>
    <n v="7323.94"/>
    <n v="95688.42"/>
    <n v="-203.13999999999942"/>
  </r>
  <r>
    <x v="7"/>
    <x v="3"/>
    <x v="0"/>
    <s v="4700101"/>
    <n v="718040"/>
    <s v="Contract Svcs-Laboratory"/>
    <s v="Clinical Laboratory Service"/>
    <x v="0"/>
    <m/>
    <n v="49401.83"/>
    <n v="82758.58"/>
    <n v="169949.77"/>
    <n v="54335.08"/>
    <n v="80106.77"/>
    <n v="73241.81"/>
    <n v="118078.63"/>
    <n v="94889.26"/>
    <n v="107259.31"/>
    <n v="88422.7"/>
    <n v="51807.5"/>
    <n v="183208.22"/>
    <n v="1153459.46"/>
    <n v="-131400.72"/>
  </r>
  <r>
    <x v="7"/>
    <x v="3"/>
    <x v="0"/>
    <s v="4700101"/>
    <n v="718040"/>
    <s v="Contract Svcs-Reference Lab Fees"/>
    <s v="Clinical Laboratory Service"/>
    <x v="0"/>
    <n v="1001"/>
    <n v="0"/>
    <n v="0"/>
    <n v="0"/>
    <n v="0"/>
    <n v="0"/>
    <n v="0"/>
    <n v="253985.67"/>
    <n v="77764.19"/>
    <n v="116849.79"/>
    <n v="134150.60999999999"/>
    <n v="80525.38"/>
    <n v="131627.53"/>
    <n v="794903.17"/>
    <n v="-51102.149999999994"/>
  </r>
  <r>
    <x v="7"/>
    <x v="3"/>
    <x v="0"/>
    <s v="4700101"/>
    <n v="718050"/>
    <s v="Contract Svcs-Other"/>
    <s v="Clinical Laboratory Service"/>
    <x v="0"/>
    <m/>
    <n v="6603.25"/>
    <n v="4767.0600000000004"/>
    <n v="7715.6"/>
    <n v="-4150.5"/>
    <n v="0"/>
    <n v="62.8"/>
    <n v="0"/>
    <n v="275.25"/>
    <n v="0"/>
    <n v="472.5"/>
    <n v="1427.88"/>
    <n v="-4767.0600000000004"/>
    <n v="12406.780000000002"/>
    <n v="6194.9400000000005"/>
  </r>
  <r>
    <x v="7"/>
    <x v="3"/>
    <x v="0"/>
    <s v="4700101"/>
    <n v="718050"/>
    <s v="Speech Therapy"/>
    <s v="Clinical Laboratory Service"/>
    <x v="0"/>
    <n v="1001"/>
    <n v="0"/>
    <n v="0"/>
    <n v="0"/>
    <n v="0"/>
    <n v="0"/>
    <n v="0"/>
    <n v="0"/>
    <n v="0"/>
    <n v="0"/>
    <n v="0"/>
    <n v="0"/>
    <n v="0"/>
    <n v="0"/>
    <n v="0"/>
  </r>
  <r>
    <x v="7"/>
    <x v="3"/>
    <x v="0"/>
    <s v="4700101"/>
    <n v="718050"/>
    <s v="Document Shredding/Storage"/>
    <s v="Clinical Laboratory Service"/>
    <x v="0"/>
    <n v="1012"/>
    <n v="879.27"/>
    <n v="-66.63"/>
    <n v="892.95"/>
    <n v="715.93"/>
    <n v="199.29"/>
    <n v="597.08000000000004"/>
    <n v="581.20000000000005"/>
    <n v="645.21"/>
    <n v="556.38"/>
    <n v="564.99"/>
    <n v="569.16"/>
    <n v="590.63"/>
    <n v="6725.46"/>
    <n v="-21.470000000000027"/>
  </r>
  <r>
    <x v="7"/>
    <x v="3"/>
    <x v="0"/>
    <s v="4700101"/>
    <n v="718050"/>
    <s v="Miscellaneous Purchased Svcs"/>
    <s v="Clinical Laboratory Service"/>
    <x v="0"/>
    <n v="1020"/>
    <n v="-42929.31"/>
    <n v="-53192.59"/>
    <n v="-44703.18"/>
    <n v="-44073.77"/>
    <n v="-53867.79"/>
    <n v="-52622.66"/>
    <n v="1445.55"/>
    <n v="-53233.51"/>
    <n v="-52499.88"/>
    <n v="-20880.03"/>
    <n v="-48198.57"/>
    <n v="-46992.07"/>
    <n v="-511747.81000000006"/>
    <n v="-1206.5"/>
  </r>
  <r>
    <x v="7"/>
    <x v="3"/>
    <x v="0"/>
    <s v="4700101"/>
    <n v="718050"/>
    <s v="Contract Svcs--Medical/Dental"/>
    <s v="Clinical Laboratory Service"/>
    <x v="0"/>
    <n v="1024"/>
    <n v="235083.36"/>
    <n v="137405.49"/>
    <n v="210833.92000000001"/>
    <n v="239810.09"/>
    <n v="227608.41"/>
    <n v="147169.67000000001"/>
    <n v="-128660.51"/>
    <n v="0"/>
    <n v="-32500"/>
    <n v="0"/>
    <n v="0"/>
    <n v="-124000"/>
    <n v="912750.42999999993"/>
    <n v="124000"/>
  </r>
  <r>
    <x v="7"/>
    <x v="3"/>
    <x v="0"/>
    <s v="4700101"/>
    <n v="718050"/>
    <s v="Contract Management--Linen"/>
    <s v="Clinical Laboratory Service"/>
    <x v="0"/>
    <n v="1026"/>
    <n v="53.92"/>
    <n v="79.83"/>
    <n v="77.319999999999993"/>
    <n v="33.22"/>
    <n v="93.99"/>
    <n v="62.21"/>
    <n v="56.11"/>
    <n v="81.55"/>
    <n v="89.49"/>
    <n v="3.58"/>
    <n v="239.65"/>
    <n v="-114.59"/>
    <n v="756.28"/>
    <n v="354.24"/>
  </r>
  <r>
    <x v="7"/>
    <x v="3"/>
    <x v="0"/>
    <s v="4700101"/>
    <n v="718050"/>
    <s v="Purchased Srvcs-Medical/Clinical Review"/>
    <s v="Clinical Laboratory Service"/>
    <x v="0"/>
    <n v="1032"/>
    <n v="360"/>
    <n v="750"/>
    <n v="1230"/>
    <n v="780"/>
    <n v="1630"/>
    <n v="750"/>
    <n v="1510"/>
    <n v="5045"/>
    <n v="5215"/>
    <n v="600"/>
    <n v="6635"/>
    <n v="300"/>
    <n v="24805"/>
    <n v="6335"/>
  </r>
  <r>
    <x v="7"/>
    <x v="3"/>
    <x v="0"/>
    <s v="4700101"/>
    <n v="718070"/>
    <s v="Contract Srvcs-CHI Clinical Engineering"/>
    <s v="Clinical Laboratory Service"/>
    <x v="0"/>
    <m/>
    <n v="32675.68"/>
    <n v="31360.21"/>
    <n v="31360.21"/>
    <n v="29872.07"/>
    <n v="29880.14"/>
    <n v="29903.15"/>
    <n v="29903.14"/>
    <n v="29903.75"/>
    <n v="32734.9"/>
    <n v="32109.99"/>
    <n v="30371.78"/>
    <n v="31282.32"/>
    <n v="371357.34"/>
    <n v="-910.54000000000087"/>
  </r>
  <r>
    <x v="7"/>
    <x v="3"/>
    <x v="0"/>
    <s v="4700101"/>
    <n v="718091"/>
    <s v="Contract Services-Intracompany Allocation"/>
    <s v="Clinical Laboratory Service"/>
    <x v="0"/>
    <m/>
    <n v="72583.06"/>
    <n v="76898.559999999998"/>
    <n v="74572.429999999993"/>
    <n v="85288.93"/>
    <n v="80244.41"/>
    <n v="83072.850000000006"/>
    <n v="102325.06"/>
    <n v="91675.3"/>
    <n v="103705.3"/>
    <n v="96781.79"/>
    <n v="107951.57"/>
    <n v="102304.98"/>
    <n v="1077404.2400000002"/>
    <n v="5646.5900000000111"/>
  </r>
  <r>
    <x v="11"/>
    <x v="3"/>
    <x v="0"/>
    <s v="4700101"/>
    <n v="721010"/>
    <s v="Supplies-Medical - Billable"/>
    <s v="Clinical Laboratory Service"/>
    <x v="0"/>
    <m/>
    <n v="0"/>
    <n v="0"/>
    <n v="0"/>
    <n v="0"/>
    <n v="0"/>
    <n v="0"/>
    <n v="941.38"/>
    <n v="0"/>
    <n v="0"/>
    <n v="0"/>
    <n v="141"/>
    <n v="0"/>
    <n v="1082.3800000000001"/>
    <n v="141"/>
  </r>
  <r>
    <x v="11"/>
    <x v="3"/>
    <x v="0"/>
    <s v="4700101"/>
    <n v="721010"/>
    <s v="Patient Monitoring"/>
    <s v="Clinical Laboratory Service"/>
    <x v="0"/>
    <n v="1000"/>
    <n v="0"/>
    <n v="0"/>
    <n v="0"/>
    <n v="0"/>
    <n v="0"/>
    <n v="0"/>
    <n v="946.33"/>
    <n v="0"/>
    <n v="0"/>
    <n v="-0.04"/>
    <n v="0"/>
    <n v="0"/>
    <n v="946.29000000000008"/>
    <n v="0"/>
  </r>
  <r>
    <x v="11"/>
    <x v="3"/>
    <x v="0"/>
    <s v="4700101"/>
    <n v="721050"/>
    <s v="Supplies-Cardiac Rhythm - Billable"/>
    <s v="Clinical Laboratory Service"/>
    <x v="0"/>
    <m/>
    <n v="0"/>
    <n v="181.26"/>
    <n v="-16.62"/>
    <n v="0"/>
    <n v="0"/>
    <n v="0"/>
    <n v="0"/>
    <n v="0"/>
    <n v="0"/>
    <n v="0"/>
    <n v="0"/>
    <n v="0"/>
    <n v="164.64"/>
    <n v="0"/>
  </r>
  <r>
    <x v="11"/>
    <x v="3"/>
    <x v="0"/>
    <s v="4700101"/>
    <n v="721240"/>
    <s v="Supplies-IV Solutions/Supplies - Billable"/>
    <s v="Clinical Laboratory Service"/>
    <x v="0"/>
    <m/>
    <n v="22.89"/>
    <n v="22.89"/>
    <n v="25.25"/>
    <n v="0"/>
    <n v="45.78"/>
    <n v="23.17"/>
    <n v="0"/>
    <n v="22.89"/>
    <n v="22.89"/>
    <n v="21.33"/>
    <n v="-1.56"/>
    <n v="21.33"/>
    <n v="226.85999999999996"/>
    <n v="-22.889999999999997"/>
  </r>
  <r>
    <x v="11"/>
    <x v="3"/>
    <x v="0"/>
    <s v="4700101"/>
    <n v="721250"/>
    <s v="Supplies-Pharmacy Drugs - Billable"/>
    <s v="Clinical Laboratory Service"/>
    <x v="0"/>
    <m/>
    <n v="4212"/>
    <n v="2106"/>
    <n v="4914"/>
    <n v="2808"/>
    <n v="2835"/>
    <n v="2613"/>
    <n v="1959.75"/>
    <n v="3919.5"/>
    <n v="5226"/>
    <n v="2613"/>
    <n v="2613"/>
    <n v="1959.75"/>
    <n v="37779"/>
    <n v="653.25"/>
  </r>
  <r>
    <x v="11"/>
    <x v="3"/>
    <x v="0"/>
    <s v="4700101"/>
    <n v="721320"/>
    <s v="Supplies-Purchased Blood - Billable"/>
    <s v="Clinical Laboratory Service"/>
    <x v="0"/>
    <m/>
    <n v="164572.32999999999"/>
    <n v="156000"/>
    <n v="156000"/>
    <n v="256116.5"/>
    <n v="164000"/>
    <n v="164000"/>
    <n v="278973.78000000003"/>
    <n v="202000"/>
    <n v="194075.16"/>
    <n v="261599.34"/>
    <n v="203533.33"/>
    <n v="209031.05"/>
    <n v="2409901.4899999998"/>
    <n v="-5497.7200000000012"/>
  </r>
  <r>
    <x v="11"/>
    <x v="3"/>
    <x v="0"/>
    <s v="4700101"/>
    <n v="721410"/>
    <s v="Supplies-Medical - Nonbillable"/>
    <s v="Clinical Laboratory Service"/>
    <x v="0"/>
    <m/>
    <n v="3503.27"/>
    <n v="17456.599999999999"/>
    <n v="4702.84"/>
    <n v="17722.47"/>
    <n v="3742.08"/>
    <n v="17134.080000000002"/>
    <n v="3814.4"/>
    <n v="3339.7"/>
    <n v="17577.03"/>
    <n v="1639.11"/>
    <n v="4235.78"/>
    <n v="4080.26"/>
    <n v="98947.62"/>
    <n v="155.51999999999953"/>
  </r>
  <r>
    <x v="11"/>
    <x v="3"/>
    <x v="0"/>
    <s v="4700101"/>
    <n v="721420"/>
    <s v="Supplies-Surgical Nonbillable"/>
    <s v="Clinical Laboratory Service"/>
    <x v="0"/>
    <m/>
    <n v="92.95"/>
    <n v="0"/>
    <n v="0"/>
    <n v="71.5"/>
    <n v="42.9"/>
    <n v="42.9"/>
    <n v="18.579999999999998"/>
    <n v="28.6"/>
    <n v="42.9"/>
    <n v="0"/>
    <n v="57.2"/>
    <n v="42.9"/>
    <n v="440.42999999999995"/>
    <n v="14.300000000000004"/>
  </r>
  <r>
    <x v="11"/>
    <x v="3"/>
    <x v="0"/>
    <s v="4700101"/>
    <n v="721610"/>
    <s v="Supplies-Anesthesia - Nonbillable"/>
    <s v="Clinical Laboratory Service"/>
    <x v="0"/>
    <m/>
    <n v="0"/>
    <n v="0"/>
    <n v="0"/>
    <n v="0"/>
    <n v="0"/>
    <n v="83.68"/>
    <n v="0"/>
    <n v="0"/>
    <n v="0"/>
    <n v="0"/>
    <n v="0"/>
    <n v="0"/>
    <n v="83.68"/>
    <n v="0"/>
  </r>
  <r>
    <x v="11"/>
    <x v="3"/>
    <x v="0"/>
    <s v="4700101"/>
    <n v="721640"/>
    <s v="Supplies-IV Solutions/Supplies - Nonbillable"/>
    <s v="Clinical Laboratory Service"/>
    <x v="0"/>
    <m/>
    <n v="2458.9299999999998"/>
    <n v="3315.46"/>
    <n v="3001.59"/>
    <n v="2883.61"/>
    <n v="3202.22"/>
    <n v="3067.47"/>
    <n v="3472.16"/>
    <n v="3494.74"/>
    <n v="3962.52"/>
    <n v="2355.0700000000002"/>
    <n v="5195.8999999999996"/>
    <n v="4442.29"/>
    <n v="40851.96"/>
    <n v="753.60999999999967"/>
  </r>
  <r>
    <x v="11"/>
    <x v="3"/>
    <x v="0"/>
    <s v="4700101"/>
    <n v="721650"/>
    <s v="Supplies-Pharmacy Drugs - Nonbillable"/>
    <s v="Clinical Laboratory Service"/>
    <x v="0"/>
    <m/>
    <n v="0"/>
    <n v="86.22"/>
    <n v="401.64"/>
    <n v="0"/>
    <n v="86.22"/>
    <n v="244.42"/>
    <n v="301.49"/>
    <n v="0"/>
    <n v="106.58"/>
    <n v="92.56"/>
    <n v="181.65"/>
    <n v="112.92"/>
    <n v="1613.7"/>
    <n v="68.73"/>
  </r>
  <r>
    <x v="11"/>
    <x v="3"/>
    <x v="0"/>
    <s v="4700101"/>
    <n v="721710"/>
    <s v="Supplies-Laboratory - Nonbillable"/>
    <s v="Clinical Laboratory Service"/>
    <x v="0"/>
    <m/>
    <n v="-7136.9"/>
    <n v="47181.06"/>
    <n v="11646.15"/>
    <n v="80055.17"/>
    <n v="24599.95"/>
    <n v="-2846.18"/>
    <n v="35262.61"/>
    <n v="48986.61"/>
    <n v="28703.14"/>
    <n v="18545.21"/>
    <n v="46890.39"/>
    <n v="97997.65"/>
    <n v="429884.86"/>
    <n v="-51107.259999999995"/>
  </r>
  <r>
    <x v="11"/>
    <x v="3"/>
    <x v="0"/>
    <s v="4700101"/>
    <n v="721710"/>
    <s v="Reagents"/>
    <s v="Clinical Laboratory Service"/>
    <x v="0"/>
    <n v="1000"/>
    <n v="269131.48"/>
    <n v="319203.78999999998"/>
    <n v="239769.46"/>
    <n v="247397.07"/>
    <n v="307634.25"/>
    <n v="349695.17"/>
    <n v="306972.53999999998"/>
    <n v="272153.48"/>
    <n v="366505.62"/>
    <n v="303548.09999999998"/>
    <n v="396351.06"/>
    <n v="263811.7"/>
    <n v="3642173.7200000007"/>
    <n v="132539.35999999999"/>
  </r>
  <r>
    <x v="11"/>
    <x v="3"/>
    <x v="0"/>
    <s v="4700101"/>
    <n v="721810"/>
    <s v="Supplies-Dietary/Cafeteria"/>
    <s v="Clinical Laboratory Service"/>
    <x v="0"/>
    <m/>
    <n v="63.25"/>
    <n v="165.78"/>
    <n v="174.92"/>
    <n v="310.91000000000003"/>
    <n v="252.54"/>
    <n v="236.89"/>
    <n v="118.66"/>
    <n v="34.5"/>
    <n v="81.47"/>
    <n v="80.790000000000006"/>
    <n v="156.44999999999999"/>
    <n v="134.16999999999999"/>
    <n v="1810.3300000000002"/>
    <n v="22.28"/>
  </r>
  <r>
    <x v="11"/>
    <x v="3"/>
    <x v="0"/>
    <s v="4700101"/>
    <n v="721830"/>
    <s v="Supplies-Office"/>
    <s v="Clinical Laboratory Service"/>
    <x v="0"/>
    <m/>
    <n v="1655.66"/>
    <n v="2267.54"/>
    <n v="2685.01"/>
    <n v="3061.06"/>
    <n v="3031.49"/>
    <n v="2142.4899999999998"/>
    <n v="3983.35"/>
    <n v="1854.81"/>
    <n v="1936.71"/>
    <n v="4503.91"/>
    <n v="1878.46"/>
    <n v="1378.94"/>
    <n v="30379.429999999997"/>
    <n v="499.52"/>
  </r>
  <r>
    <x v="11"/>
    <x v="3"/>
    <x v="0"/>
    <s v="4700101"/>
    <n v="721835"/>
    <s v="Supplies-Forms"/>
    <s v="Clinical Laboratory Service"/>
    <x v="0"/>
    <m/>
    <n v="2229.5300000000002"/>
    <n v="5041.84"/>
    <n v="0"/>
    <n v="0"/>
    <n v="165.13"/>
    <n v="30.2"/>
    <n v="32"/>
    <n v="0"/>
    <n v="146.25"/>
    <n v="55.2"/>
    <n v="0.51"/>
    <n v="179.54"/>
    <n v="7880.2000000000007"/>
    <n v="-179.03"/>
  </r>
  <r>
    <x v="11"/>
    <x v="3"/>
    <x v="0"/>
    <s v="4700101"/>
    <n v="721870"/>
    <s v="Supplies-Environmental Services"/>
    <s v="Clinical Laboratory Service"/>
    <x v="0"/>
    <m/>
    <n v="723.89"/>
    <n v="820.51"/>
    <n v="649.17999999999995"/>
    <n v="642.04999999999995"/>
    <n v="531.54999999999995"/>
    <n v="630.99"/>
    <n v="888.98"/>
    <n v="499.02"/>
    <n v="563.47"/>
    <n v="663.77"/>
    <n v="700.45"/>
    <n v="591.03"/>
    <n v="7904.8899999999994"/>
    <n v="109.42000000000007"/>
  </r>
  <r>
    <x v="11"/>
    <x v="3"/>
    <x v="0"/>
    <s v="4700101"/>
    <n v="721910"/>
    <s v="Supplies-Small Equipment"/>
    <s v="Clinical Laboratory Service"/>
    <x v="0"/>
    <m/>
    <n v="4051.84"/>
    <n v="1543.7"/>
    <n v="4075.88"/>
    <n v="1472.22"/>
    <n v="5892.87"/>
    <n v="3724.21"/>
    <n v="2271.9"/>
    <n v="1532.04"/>
    <n v="1877.89"/>
    <n v="7102.42"/>
    <n v="4514.28"/>
    <n v="5681.09"/>
    <n v="43740.34"/>
    <n v="-1166.8100000000004"/>
  </r>
  <r>
    <x v="11"/>
    <x v="3"/>
    <x v="0"/>
    <s v="4700101"/>
    <n v="721910"/>
    <s v="Instruments"/>
    <s v="Clinical Laboratory Service"/>
    <x v="0"/>
    <n v="1000"/>
    <n v="0"/>
    <n v="0"/>
    <n v="124.53"/>
    <n v="0"/>
    <n v="0"/>
    <n v="0"/>
    <n v="0"/>
    <n v="0"/>
    <n v="72.209999999999994"/>
    <n v="23.43"/>
    <n v="-7.0000000000000007E-2"/>
    <n v="128.05000000000001"/>
    <n v="348.15000000000003"/>
    <n v="-128.12"/>
  </r>
  <r>
    <x v="11"/>
    <x v="3"/>
    <x v="0"/>
    <s v="4700101"/>
    <n v="721980"/>
    <s v="Supplies-Other"/>
    <s v="Clinical Laboratory Service"/>
    <x v="0"/>
    <m/>
    <n v="1427.92"/>
    <n v="5807.3"/>
    <n v="862.36"/>
    <n v="1429.16"/>
    <n v="-230"/>
    <n v="5293.08"/>
    <n v="698.78"/>
    <n v="2198.36"/>
    <n v="2403.8200000000002"/>
    <n v="283.18"/>
    <n v="725.76"/>
    <n v="2146.8200000000002"/>
    <n v="23046.539999999997"/>
    <n v="-1421.0600000000002"/>
  </r>
  <r>
    <x v="11"/>
    <x v="3"/>
    <x v="0"/>
    <s v="4700101"/>
    <n v="722000"/>
    <s v="Supplies-Freight Expense"/>
    <s v="Clinical Laboratory Service"/>
    <x v="0"/>
    <m/>
    <n v="6076.92"/>
    <n v="5436.86"/>
    <n v="11376.87"/>
    <n v="7795.36"/>
    <n v="5350.37"/>
    <n v="7859.48"/>
    <n v="10018.299999999999"/>
    <n v="5288"/>
    <n v="12024.44"/>
    <n v="7673.06"/>
    <n v="10096.25"/>
    <n v="7015.8"/>
    <n v="96011.71"/>
    <n v="3080.45"/>
  </r>
  <r>
    <x v="11"/>
    <x v="3"/>
    <x v="0"/>
    <s v="4700101"/>
    <n v="723000"/>
    <s v="Supply Rebates/Patronage Dividend"/>
    <s v="Clinical Laboratory Service"/>
    <x v="0"/>
    <m/>
    <n v="0"/>
    <n v="0"/>
    <n v="-24077.71"/>
    <n v="0"/>
    <n v="0"/>
    <n v="-13621.8"/>
    <n v="0"/>
    <n v="0"/>
    <n v="-16449.7"/>
    <n v="0"/>
    <n v="0"/>
    <n v="0"/>
    <n v="-54149.209999999992"/>
    <n v="0"/>
  </r>
  <r>
    <x v="12"/>
    <x v="3"/>
    <x v="0"/>
    <s v="4700101"/>
    <n v="730020"/>
    <s v="Rental and Leases-Equipment (DO NOT USE)"/>
    <s v="Clinical Laboratory Service"/>
    <x v="0"/>
    <m/>
    <n v="-1819.82"/>
    <n v="20258.11"/>
    <n v="63127.68"/>
    <n v="-2399.65"/>
    <n v="6788.21"/>
    <n v="13749.01"/>
    <n v="4851.57"/>
    <n v="13552.02"/>
    <n v="-6063.12"/>
    <n v="30749.22"/>
    <n v="-6063.12"/>
    <n v="19165.29"/>
    <n v="155895.40000000005"/>
    <n v="-25228.41"/>
  </r>
  <r>
    <x v="12"/>
    <x v="3"/>
    <x v="0"/>
    <s v="4700101"/>
    <n v="730020"/>
    <s v="Rental and Leases-Copier Usage Fees (DO NOT USE)"/>
    <s v="Clinical Laboratory Service"/>
    <x v="0"/>
    <n v="5100"/>
    <n v="1024.51"/>
    <n v="1052.74"/>
    <n v="1038.6199999999999"/>
    <n v="1038.6199999999999"/>
    <n v="1038.6199999999999"/>
    <n v="1038.6199999999999"/>
    <n v="629.07000000000005"/>
    <n v="1139.17"/>
    <n v="1066.0899999999999"/>
    <n v="927.97"/>
    <n v="1331.86"/>
    <n v="1120.19"/>
    <n v="12446.08"/>
    <n v="211.66999999999985"/>
  </r>
  <r>
    <x v="15"/>
    <x v="3"/>
    <x v="0"/>
    <s v="4700101"/>
    <n v="731060"/>
    <s v="Telephone"/>
    <s v="Clinical Laboratory Service"/>
    <x v="0"/>
    <m/>
    <n v="49.58"/>
    <n v="49.58"/>
    <n v="49.58"/>
    <n v="49.58"/>
    <n v="51.78"/>
    <n v="61.78"/>
    <n v="61.78"/>
    <n v="61.86"/>
    <n v="61.86"/>
    <n v="61.86"/>
    <n v="61.86"/>
    <n v="61.86"/>
    <n v="682.96"/>
    <n v="0"/>
  </r>
  <r>
    <x v="15"/>
    <x v="3"/>
    <x v="0"/>
    <s v="4700101"/>
    <n v="731060"/>
    <s v="Cell Phones"/>
    <s v="Clinical Laboratory Service"/>
    <x v="0"/>
    <n v="1001"/>
    <n v="0"/>
    <n v="18.11"/>
    <n v="37.93"/>
    <n v="0"/>
    <n v="30.58"/>
    <n v="22.82"/>
    <n v="72.459999999999994"/>
    <n v="0"/>
    <n v="36.28"/>
    <n v="70.11"/>
    <n v="34.47"/>
    <n v="35.76"/>
    <n v="358.52"/>
    <n v="-1.2899999999999991"/>
  </r>
  <r>
    <x v="15"/>
    <x v="3"/>
    <x v="0"/>
    <s v="4700101"/>
    <n v="731060"/>
    <s v="Pagers"/>
    <s v="Clinical Laboratory Service"/>
    <x v="0"/>
    <n v="1002"/>
    <n v="137.47"/>
    <n v="131.38999999999999"/>
    <n v="111.53"/>
    <n v="100.74"/>
    <n v="100.74"/>
    <n v="0"/>
    <n v="183.1"/>
    <n v="75.17"/>
    <n v="75.17"/>
    <n v="75.17"/>
    <n v="75.17"/>
    <n v="75.17"/>
    <n v="1140.82"/>
    <n v="0"/>
  </r>
  <r>
    <x v="16"/>
    <x v="3"/>
    <x v="0"/>
    <s v="4700101"/>
    <n v="732020"/>
    <s v="Repairs--Clin Equip-Parts-Internal to CHI Programs"/>
    <s v="Clinical Laboratory Service"/>
    <x v="0"/>
    <m/>
    <n v="943.58"/>
    <n v="1288.7"/>
    <n v="1318.81"/>
    <n v="1432.61"/>
    <n v="734.26"/>
    <n v="950.55"/>
    <n v="638.80999999999995"/>
    <n v="1733.01"/>
    <n v="635.39"/>
    <n v="1678.84"/>
    <n v="2044.15"/>
    <n v="2019.97"/>
    <n v="15418.679999999998"/>
    <n v="24.180000000000064"/>
  </r>
  <r>
    <x v="16"/>
    <x v="3"/>
    <x v="0"/>
    <s v="4700101"/>
    <n v="732030"/>
    <s v="Repairs---Other"/>
    <s v="Clinical Laboratory Service"/>
    <x v="0"/>
    <m/>
    <n v="0"/>
    <n v="0"/>
    <n v="0"/>
    <n v="0"/>
    <n v="253.23"/>
    <n v="1266.1500000000001"/>
    <n v="875.3"/>
    <n v="0"/>
    <n v="253.23"/>
    <n v="161.02000000000001"/>
    <n v="0"/>
    <n v="800.04"/>
    <n v="3608.9700000000003"/>
    <n v="-800.04"/>
  </r>
  <r>
    <x v="16"/>
    <x v="3"/>
    <x v="0"/>
    <s v="4700101"/>
    <n v="733030"/>
    <s v="Maintenance Contracts-Other"/>
    <s v="Clinical Laboratory Service"/>
    <x v="0"/>
    <m/>
    <n v="0"/>
    <n v="0"/>
    <n v="0"/>
    <n v="5284.8"/>
    <n v="0"/>
    <n v="0"/>
    <n v="0"/>
    <n v="0"/>
    <n v="0"/>
    <n v="0"/>
    <n v="0"/>
    <n v="0"/>
    <n v="5284.8"/>
    <n v="0"/>
  </r>
  <r>
    <x v="13"/>
    <x v="3"/>
    <x v="0"/>
    <s v="4700101"/>
    <n v="735040"/>
    <s v="Depreciation-Building Improvements"/>
    <s v="Clinical Laboratory Service"/>
    <x v="0"/>
    <m/>
    <n v="6625.94"/>
    <n v="6625.93"/>
    <n v="6625.94"/>
    <n v="6625.93"/>
    <n v="6625.94"/>
    <n v="6625.93"/>
    <n v="6659.53"/>
    <n v="6659.52"/>
    <n v="6659.54"/>
    <n v="6659.52"/>
    <n v="6659.54"/>
    <n v="6659.52"/>
    <n v="79712.78"/>
    <n v="1.9999999999527063E-2"/>
  </r>
  <r>
    <x v="13"/>
    <x v="3"/>
    <x v="0"/>
    <s v="4700101"/>
    <n v="735070"/>
    <s v="Depreciation-Movable Equipment"/>
    <s v="Clinical Laboratory Service"/>
    <x v="0"/>
    <m/>
    <n v="26585.74"/>
    <n v="31123.56"/>
    <n v="31123.61"/>
    <n v="31123.56"/>
    <n v="31123.64"/>
    <n v="31123.54"/>
    <n v="35031.43"/>
    <n v="34545.5"/>
    <n v="34545.65"/>
    <n v="34545.480000000003"/>
    <n v="34545.67"/>
    <n v="34545.46"/>
    <n v="389962.83999999997"/>
    <n v="0.20999999999912689"/>
  </r>
  <r>
    <x v="0"/>
    <x v="3"/>
    <x v="0"/>
    <s v="4700101"/>
    <n v="740010"/>
    <s v="Education-Materials"/>
    <s v="Clinical Laboratory Service"/>
    <x v="0"/>
    <m/>
    <n v="0"/>
    <n v="0"/>
    <n v="5.96"/>
    <n v="0"/>
    <n v="0"/>
    <n v="0"/>
    <n v="0"/>
    <n v="0"/>
    <n v="0"/>
    <n v="0"/>
    <n v="0"/>
    <n v="0"/>
    <n v="5.96"/>
    <n v="0"/>
  </r>
  <r>
    <x v="0"/>
    <x v="3"/>
    <x v="0"/>
    <s v="4700101"/>
    <n v="740020"/>
    <s v="Education-Registration Fees"/>
    <s v="Clinical Laboratory Service"/>
    <x v="0"/>
    <m/>
    <n v="0"/>
    <n v="0"/>
    <n v="0"/>
    <n v="0"/>
    <n v="0"/>
    <n v="130"/>
    <n v="0"/>
    <n v="0"/>
    <n v="0"/>
    <n v="0"/>
    <n v="0"/>
    <n v="0"/>
    <n v="130"/>
    <n v="0"/>
  </r>
  <r>
    <x v="0"/>
    <x v="3"/>
    <x v="0"/>
    <s v="4700101"/>
    <n v="742030"/>
    <s v="Freight-Courier"/>
    <s v="Clinical Laboratory Service"/>
    <x v="0"/>
    <m/>
    <n v="0"/>
    <n v="0"/>
    <n v="0"/>
    <n v="6651.36"/>
    <n v="2944.9"/>
    <n v="4819.3999999999996"/>
    <n v="9386.65"/>
    <n v="8800.06"/>
    <n v="1355.62"/>
    <n v="7229.9"/>
    <n v="6067.2"/>
    <n v="11367.11"/>
    <n v="58622.2"/>
    <n v="-5299.9100000000008"/>
  </r>
  <r>
    <x v="0"/>
    <x v="3"/>
    <x v="0"/>
    <s v="4700101"/>
    <n v="743010"/>
    <s v="Dues--Institutional"/>
    <s v="Clinical Laboratory Service"/>
    <x v="0"/>
    <m/>
    <n v="9.09"/>
    <n v="0"/>
    <n v="0"/>
    <n v="0"/>
    <n v="6199"/>
    <n v="0"/>
    <n v="0"/>
    <n v="967.57"/>
    <n v="44429.86"/>
    <n v="223.56"/>
    <n v="1088.5999999999999"/>
    <n v="547.41999999999996"/>
    <n v="53465.1"/>
    <n v="541.17999999999995"/>
  </r>
  <r>
    <x v="0"/>
    <x v="3"/>
    <x v="0"/>
    <s v="4700101"/>
    <n v="743030"/>
    <s v="Subscriptions--Institutional"/>
    <s v="Clinical Laboratory Service"/>
    <x v="0"/>
    <m/>
    <n v="117.4"/>
    <n v="0"/>
    <n v="88.54"/>
    <n v="0"/>
    <n v="0"/>
    <n v="0"/>
    <n v="0"/>
    <n v="284.86"/>
    <n v="0"/>
    <n v="0"/>
    <n v="0"/>
    <n v="0"/>
    <n v="490.8"/>
    <n v="0"/>
  </r>
  <r>
    <x v="0"/>
    <x v="3"/>
    <x v="0"/>
    <s v="4700101"/>
    <n v="749510"/>
    <s v="Miscellaneous Expenses"/>
    <s v="Clinical Laboratory Service"/>
    <x v="0"/>
    <m/>
    <n v="-167.89"/>
    <n v="-8.19"/>
    <n v="0"/>
    <n v="265.48"/>
    <n v="851.36"/>
    <n v="-242.54"/>
    <n v="-1500"/>
    <n v="37.119999999999997"/>
    <n v="1571.88"/>
    <n v="10003"/>
    <n v="26.1"/>
    <n v="112.87"/>
    <n v="10949.19"/>
    <n v="-86.77000000000001"/>
  </r>
  <r>
    <x v="0"/>
    <x v="3"/>
    <x v="0"/>
    <s v="4700101"/>
    <n v="749510"/>
    <s v="Licenses"/>
    <s v="Clinical Laboratory Service"/>
    <x v="0"/>
    <n v="1002"/>
    <n v="0"/>
    <n v="0"/>
    <n v="7664"/>
    <n v="0"/>
    <n v="0"/>
    <n v="0"/>
    <n v="0"/>
    <n v="10807"/>
    <n v="0"/>
    <n v="8168"/>
    <n v="0"/>
    <n v="0"/>
    <n v="26639"/>
    <n v="0"/>
  </r>
  <r>
    <x v="0"/>
    <x v="3"/>
    <x v="0"/>
    <s v="4700101"/>
    <n v="749510"/>
    <s v="RICE Rewards"/>
    <s v="Clinical Laboratory Service"/>
    <x v="0"/>
    <n v="5100"/>
    <n v="0"/>
    <n v="0"/>
    <n v="0"/>
    <n v="0"/>
    <n v="0"/>
    <n v="164.87"/>
    <n v="0"/>
    <n v="80.540000000000006"/>
    <n v="208.28"/>
    <n v="145.43"/>
    <n v="1067.3900000000001"/>
    <n v="104.52"/>
    <n v="1771.0300000000002"/>
    <n v="962.87000000000012"/>
  </r>
  <r>
    <x v="0"/>
    <x v="3"/>
    <x v="0"/>
    <s v="4700101"/>
    <n v="749530"/>
    <s v="Travel"/>
    <s v="Clinical Laboratory Service"/>
    <x v="0"/>
    <m/>
    <n v="0"/>
    <n v="36"/>
    <n v="24"/>
    <n v="24"/>
    <n v="24"/>
    <n v="29"/>
    <n v="0"/>
    <n v="365.39"/>
    <n v="14.99"/>
    <n v="11"/>
    <n v="0"/>
    <n v="0"/>
    <n v="528.38"/>
    <n v="0"/>
  </r>
  <r>
    <x v="0"/>
    <x v="3"/>
    <x v="0"/>
    <s v="4700101"/>
    <n v="749530"/>
    <s v="Mileage"/>
    <s v="Clinical Laboratory Service"/>
    <x v="0"/>
    <n v="1001"/>
    <n v="0"/>
    <n v="250.19"/>
    <n v="238.21"/>
    <n v="150.44"/>
    <n v="192.96"/>
    <n v="246.38"/>
    <n v="0"/>
    <n v="0"/>
    <n v="37.119999999999997"/>
    <n v="14.5"/>
    <n v="0"/>
    <n v="26.1"/>
    <n v="1155.8999999999996"/>
    <n v="-26.1"/>
  </r>
  <r>
    <x v="0"/>
    <x v="3"/>
    <x v="0"/>
    <s v="4700101"/>
    <n v="766010"/>
    <s v="Property Tax"/>
    <s v="Clinical Laboratory Service"/>
    <x v="0"/>
    <m/>
    <n v="0"/>
    <n v="0"/>
    <n v="0"/>
    <n v="0"/>
    <n v="0"/>
    <n v="0"/>
    <n v="0"/>
    <n v="0"/>
    <n v="0"/>
    <n v="0"/>
    <n v="1228.9000000000001"/>
    <n v="960.11"/>
    <n v="2189.0100000000002"/>
    <n v="268.79000000000008"/>
  </r>
  <r>
    <x v="18"/>
    <x v="0"/>
    <x v="0"/>
    <s v="4700102"/>
    <n v="400010"/>
    <s v="Acute I/P Svcs Rev--Medicare"/>
    <s v="Clinical Laboratory Service"/>
    <x v="0"/>
    <n v="1100"/>
    <n v="-1345324.6"/>
    <n v="-1381746.01"/>
    <n v="-1469446.81"/>
    <n v="-1650726.4"/>
    <n v="-1496675.92"/>
    <n v="-1530111.99"/>
    <n v="-1490396.41"/>
    <n v="-1359668.39"/>
    <n v="-1829661.38"/>
    <n v="-1705002.28"/>
    <n v="-1360554.9"/>
    <n v="-1388668.59"/>
    <n v="-18007983.68"/>
    <n v="28113.690000000177"/>
  </r>
  <r>
    <x v="18"/>
    <x v="0"/>
    <x v="0"/>
    <s v="4700102"/>
    <n v="400010"/>
    <s v="Acute I/P Svcs Rev--Medicaid"/>
    <s v="Clinical Laboratory Service"/>
    <x v="0"/>
    <n v="1200"/>
    <n v="-623983.55000000005"/>
    <n v="-751426.28"/>
    <n v="-532764.86"/>
    <n v="-560849.84"/>
    <n v="-484609.07"/>
    <n v="-675255.04"/>
    <n v="-614840.84"/>
    <n v="-586208.69999999995"/>
    <n v="-549240.6"/>
    <n v="-538506.57999999996"/>
    <n v="-740765.38"/>
    <n v="-718154.79"/>
    <n v="-7376605.5299999993"/>
    <n v="-22610.589999999967"/>
  </r>
  <r>
    <x v="18"/>
    <x v="0"/>
    <x v="0"/>
    <s v="4700102"/>
    <n v="400010"/>
    <s v="Acute I/P Svcs Rev--Comm Insurance"/>
    <s v="Clinical Laboratory Service"/>
    <x v="0"/>
    <n v="1300"/>
    <n v="-818.38"/>
    <n v="-24161.02"/>
    <n v="-19698.09"/>
    <n v="-9125.48"/>
    <n v="-28765.59"/>
    <n v="-14871.53"/>
    <n v="-38734.480000000003"/>
    <n v="-41402.89"/>
    <n v="-50219.51"/>
    <n v="-56271.05"/>
    <n v="-49590.59"/>
    <n v="-35832.980000000003"/>
    <n v="-369491.58999999997"/>
    <n v="-13757.609999999993"/>
  </r>
  <r>
    <x v="18"/>
    <x v="0"/>
    <x v="0"/>
    <s v="4700102"/>
    <n v="400010"/>
    <s v="Acute I/P Svcs Rev--BCBS Comm"/>
    <s v="Clinical Laboratory Service"/>
    <x v="0"/>
    <n v="1301"/>
    <n v="-146725.47"/>
    <n v="-133200.12"/>
    <n v="-102985.12"/>
    <n v="-115908.12"/>
    <n v="-132957.06"/>
    <n v="-122767.24"/>
    <n v="-139596.15"/>
    <n v="-207263.05"/>
    <n v="-109029.06"/>
    <n v="-111923.39"/>
    <n v="-171165.33"/>
    <n v="-247560.09"/>
    <n v="-1741080.2"/>
    <n v="76394.760000000009"/>
  </r>
  <r>
    <x v="18"/>
    <x v="0"/>
    <x v="0"/>
    <s v="4700102"/>
    <n v="400010"/>
    <s v="Acute I/P Svcs Rev--Managed Care"/>
    <s v="Clinical Laboratory Service"/>
    <x v="0"/>
    <n v="1400"/>
    <n v="-416903.75"/>
    <n v="-376636.68"/>
    <n v="-285884.89"/>
    <n v="-304061.83"/>
    <n v="-373103.96"/>
    <n v="-306830.5"/>
    <n v="-443434.04"/>
    <n v="-312955.68"/>
    <n v="-370734.65"/>
    <n v="-284896.55"/>
    <n v="-335279.49"/>
    <n v="-244222.73"/>
    <n v="-4054944.7499999995"/>
    <n v="-91056.75999999998"/>
  </r>
  <r>
    <x v="18"/>
    <x v="0"/>
    <x v="0"/>
    <s v="4700102"/>
    <n v="400010"/>
    <s v="Acute I/P Svcs Rev--Self Pay"/>
    <s v="Clinical Laboratory Service"/>
    <x v="0"/>
    <n v="1500"/>
    <n v="-61567.08"/>
    <n v="-89098.93"/>
    <n v="-86207.78"/>
    <n v="19031.47"/>
    <n v="-56808.04"/>
    <n v="-13271.22"/>
    <n v="-18509.310000000001"/>
    <n v="-47769.56"/>
    <n v="-58964.09"/>
    <n v="-61398.01"/>
    <n v="-84652.83"/>
    <n v="-55414.8"/>
    <n v="-614630.17999999993"/>
    <n v="-29238.03"/>
  </r>
  <r>
    <x v="18"/>
    <x v="0"/>
    <x v="0"/>
    <s v="4700102"/>
    <n v="400010"/>
    <s v="Acute I/P Svcs Rev--Other"/>
    <s v="Clinical Laboratory Service"/>
    <x v="0"/>
    <n v="1700"/>
    <n v="-33944.18"/>
    <n v="-45508.92"/>
    <n v="-36503.82"/>
    <n v="-32048.95"/>
    <n v="-44204.37"/>
    <n v="-29491.22"/>
    <n v="-25144.73"/>
    <n v="-37616.68"/>
    <n v="-52765.29"/>
    <n v="-37373.64"/>
    <n v="-35139.85"/>
    <n v="-68339.78"/>
    <n v="-478081.43000000005"/>
    <n v="33199.93"/>
  </r>
  <r>
    <x v="19"/>
    <x v="0"/>
    <x v="0"/>
    <s v="4700102"/>
    <n v="400020"/>
    <s v="O/P Care Svcs Rev--Medicare"/>
    <s v="Clinical Laboratory Service"/>
    <x v="0"/>
    <n v="1100"/>
    <n v="-941179.11"/>
    <n v="-1017073.83"/>
    <n v="-997878.95"/>
    <n v="-1101878.23"/>
    <n v="-1018668.29"/>
    <n v="-952444.74"/>
    <n v="-1059380.3600000001"/>
    <n v="-921112.42"/>
    <n v="-1178739.3400000001"/>
    <n v="-937705.08"/>
    <n v="-1073166.3400000001"/>
    <n v="-1127729.58"/>
    <n v="-12326956.270000001"/>
    <n v="54563.239999999991"/>
  </r>
  <r>
    <x v="19"/>
    <x v="0"/>
    <x v="0"/>
    <s v="4700102"/>
    <n v="400020"/>
    <s v="O/P Care Svcs Rev--Medicaid"/>
    <s v="Clinical Laboratory Service"/>
    <x v="0"/>
    <n v="1200"/>
    <n v="-769270.46"/>
    <n v="-732555.26"/>
    <n v="-712543.99"/>
    <n v="-806966.42"/>
    <n v="-780773.44"/>
    <n v="-785317.32"/>
    <n v="-820868.04"/>
    <n v="-762129.6"/>
    <n v="-912009.3"/>
    <n v="-791012.77"/>
    <n v="-866471.41"/>
    <n v="-814500.64"/>
    <n v="-9554418.6500000004"/>
    <n v="-51970.770000000019"/>
  </r>
  <r>
    <x v="19"/>
    <x v="0"/>
    <x v="0"/>
    <s v="4700102"/>
    <n v="400020"/>
    <s v="O/P Care Svcs Rev--Comm Insurance"/>
    <s v="Clinical Laboratory Service"/>
    <x v="0"/>
    <n v="1300"/>
    <n v="-47891.8"/>
    <n v="-47783.56"/>
    <n v="-34083.480000000003"/>
    <n v="-39875.660000000003"/>
    <n v="-29182.880000000001"/>
    <n v="-28522.45"/>
    <n v="-61392.14"/>
    <n v="-37042.14"/>
    <n v="-48523.83"/>
    <n v="-25030.61"/>
    <n v="-40409.129999999997"/>
    <n v="-34763.29"/>
    <n v="-474500.97000000003"/>
    <n v="-5645.8399999999965"/>
  </r>
  <r>
    <x v="19"/>
    <x v="0"/>
    <x v="0"/>
    <s v="4700102"/>
    <n v="400020"/>
    <s v="O/P Care Svcs Rev--BCBS Comm"/>
    <s v="Clinical Laboratory Service"/>
    <x v="0"/>
    <n v="1301"/>
    <n v="-121290.58"/>
    <n v="-151823.70000000001"/>
    <n v="-127480.85"/>
    <n v="-137644.19"/>
    <n v="-160463.71"/>
    <n v="-117060.71"/>
    <n v="-159263.48000000001"/>
    <n v="-113115.22"/>
    <n v="-143527.26"/>
    <n v="-135706.59"/>
    <n v="-160971.73000000001"/>
    <n v="-135759.82999999999"/>
    <n v="-1664107.85"/>
    <n v="-25211.900000000023"/>
  </r>
  <r>
    <x v="19"/>
    <x v="0"/>
    <x v="0"/>
    <s v="4700102"/>
    <n v="400020"/>
    <s v="O/P Care Svcs Rev--Managed Care"/>
    <s v="Clinical Laboratory Service"/>
    <x v="0"/>
    <n v="1400"/>
    <n v="-388023.59"/>
    <n v="-362357.87"/>
    <n v="-311237.49"/>
    <n v="-355526.68"/>
    <n v="-395977.5"/>
    <n v="-313210.87"/>
    <n v="-389053.25"/>
    <n v="-321412.56"/>
    <n v="-411608.96"/>
    <n v="-365052.57"/>
    <n v="-386039.03"/>
    <n v="-327701.34999999998"/>
    <n v="-4327201.72"/>
    <n v="-58337.680000000051"/>
  </r>
  <r>
    <x v="19"/>
    <x v="0"/>
    <x v="0"/>
    <s v="4700102"/>
    <n v="400020"/>
    <s v="O/P Care Svcs Rev--Self Pay"/>
    <s v="Clinical Laboratory Service"/>
    <x v="0"/>
    <n v="1500"/>
    <n v="-118876.45"/>
    <n v="-111037.63"/>
    <n v="-108176.37"/>
    <n v="-112693.5"/>
    <n v="-120576.19"/>
    <n v="-115742.89"/>
    <n v="-111291.17"/>
    <n v="-121420.46"/>
    <n v="-140155.35"/>
    <n v="-96969.01"/>
    <n v="-147497.01"/>
    <n v="-118175.53"/>
    <n v="-1422611.56"/>
    <n v="-29321.48000000001"/>
  </r>
  <r>
    <x v="19"/>
    <x v="0"/>
    <x v="0"/>
    <s v="4700102"/>
    <n v="400020"/>
    <s v="O/P Care Svcs Rev--Other"/>
    <s v="Clinical Laboratory Service"/>
    <x v="0"/>
    <n v="1700"/>
    <n v="-85345.54"/>
    <n v="-89178.87"/>
    <n v="-73456.820000000007"/>
    <n v="-98946.65"/>
    <n v="-54792.81"/>
    <n v="-90320.79"/>
    <n v="-69017.95"/>
    <n v="-75104.600000000006"/>
    <n v="-90072.18"/>
    <n v="-93428.32"/>
    <n v="-95632.639999999999"/>
    <n v="-83065.36"/>
    <n v="-998362.53"/>
    <n v="-12567.279999999999"/>
  </r>
  <r>
    <x v="14"/>
    <x v="0"/>
    <x v="0"/>
    <s v="4700102"/>
    <n v="600050"/>
    <s v="Miscellaneous Revenue"/>
    <s v="Clinical Laboratory Service"/>
    <x v="0"/>
    <m/>
    <n v="-11516.59"/>
    <n v="-9300.42"/>
    <n v="-9441.06"/>
    <n v="-12798.28"/>
    <n v="-13711.37"/>
    <n v="-10942.43"/>
    <n v="-10136.950000000001"/>
    <n v="-6478.32"/>
    <n v="-19496.82"/>
    <n v="-6658.85"/>
    <n v="-8831.69"/>
    <n v="-10067.969999999999"/>
    <n v="-129380.75"/>
    <n v="1236.2799999999988"/>
  </r>
  <r>
    <x v="5"/>
    <x v="0"/>
    <x v="0"/>
    <s v="4700102"/>
    <n v="700014"/>
    <s v="Salaries-Management-Productive"/>
    <s v="Clinical Laboratory Service"/>
    <x v="0"/>
    <m/>
    <n v="4016.31"/>
    <n v="8118.37"/>
    <n v="8887.66"/>
    <n v="9026.34"/>
    <n v="8780.34"/>
    <n v="8195.2800000000007"/>
    <n v="8735.6299999999992"/>
    <n v="6008.88"/>
    <n v="9233.16"/>
    <n v="8793.2199999999993"/>
    <n v="9086.6299999999992"/>
    <n v="8383.25"/>
    <n v="97265.07"/>
    <n v="703.3799999999992"/>
  </r>
  <r>
    <x v="5"/>
    <x v="0"/>
    <x v="0"/>
    <s v="4700102"/>
    <n v="700032"/>
    <s v="Salaries-Other Pat Care Providers-Productive"/>
    <s v="Clinical Laboratory Service"/>
    <x v="0"/>
    <m/>
    <n v="104332.43"/>
    <n v="102126.15"/>
    <n v="97835"/>
    <n v="102882.96"/>
    <n v="99166.62"/>
    <n v="101657.82"/>
    <n v="102840.26"/>
    <n v="90541.58"/>
    <n v="105340.51"/>
    <n v="95188.4"/>
    <n v="85796.78"/>
    <n v="92447.16"/>
    <n v="1180155.67"/>
    <n v="-6650.3800000000047"/>
  </r>
  <r>
    <x v="5"/>
    <x v="0"/>
    <x v="0"/>
    <s v="4700102"/>
    <n v="700032"/>
    <s v="Salaries-Other Pat Care Providers-OT"/>
    <s v="Clinical Laboratory Service"/>
    <x v="0"/>
    <n v="1000"/>
    <n v="5283.86"/>
    <n v="6874.51"/>
    <n v="2745.27"/>
    <n v="3214.36"/>
    <n v="5592.14"/>
    <n v="4606.51"/>
    <n v="3782.45"/>
    <n v="3705.16"/>
    <n v="1830.39"/>
    <n v="3996.46"/>
    <n v="6688.33"/>
    <n v="4624.76"/>
    <n v="52944.200000000004"/>
    <n v="2063.5699999999997"/>
  </r>
  <r>
    <x v="5"/>
    <x v="0"/>
    <x v="0"/>
    <s v="4700102"/>
    <n v="700032"/>
    <s v="Salaries-Other Pat Care Providers-Other"/>
    <s v="Clinical Laboratory Service"/>
    <x v="0"/>
    <n v="2000"/>
    <n v="7295.36"/>
    <n v="7393.43"/>
    <n v="6616.5"/>
    <n v="6691.42"/>
    <n v="6574.06"/>
    <n v="6566.23"/>
    <n v="6444.95"/>
    <n v="5842.39"/>
    <n v="7084.81"/>
    <n v="6613.89"/>
    <n v="6135.21"/>
    <n v="6484.42"/>
    <n v="79742.67"/>
    <n v="-349.21000000000004"/>
  </r>
  <r>
    <x v="5"/>
    <x v="0"/>
    <x v="0"/>
    <s v="4700102"/>
    <n v="700034"/>
    <s v="Salaries-Tech/Professional-Productive"/>
    <s v="Clinical Laboratory Service"/>
    <x v="0"/>
    <m/>
    <n v="4951.79"/>
    <n v="8124.7"/>
    <n v="7429.18"/>
    <n v="10984.88"/>
    <n v="8066.32"/>
    <n v="7977.03"/>
    <n v="8310.1299999999992"/>
    <n v="9407.9"/>
    <n v="9794"/>
    <n v="10219.74"/>
    <n v="10772.53"/>
    <n v="8240.6200000000008"/>
    <n v="104278.81999999999"/>
    <n v="2531.91"/>
  </r>
  <r>
    <x v="5"/>
    <x v="0"/>
    <x v="0"/>
    <s v="4700102"/>
    <n v="700034"/>
    <s v="Salaries-Tech/Professional-OT"/>
    <s v="Clinical Laboratory Service"/>
    <x v="0"/>
    <n v="1000"/>
    <n v="31.32"/>
    <n v="20.27"/>
    <n v="15.03"/>
    <n v="53.48"/>
    <n v="332.82"/>
    <n v="203.26"/>
    <n v="42.91"/>
    <n v="137.81"/>
    <n v="186.09"/>
    <n v="304.36"/>
    <n v="949.68"/>
    <n v="-62.5"/>
    <n v="2214.5299999999997"/>
    <n v="1012.18"/>
  </r>
  <r>
    <x v="5"/>
    <x v="0"/>
    <x v="0"/>
    <s v="4700102"/>
    <n v="700034"/>
    <s v="Salaries-Tech/Professional-Other"/>
    <s v="Clinical Laboratory Service"/>
    <x v="0"/>
    <n v="2000"/>
    <n v="402.94"/>
    <n v="653.77"/>
    <n v="532.14"/>
    <n v="679.54"/>
    <n v="468.46"/>
    <n v="578.92999999999995"/>
    <n v="615.70000000000005"/>
    <n v="553.64"/>
    <n v="607.87"/>
    <n v="709.81"/>
    <n v="605.91999999999996"/>
    <n v="578.25"/>
    <n v="6986.9699999999993"/>
    <n v="27.669999999999959"/>
  </r>
  <r>
    <x v="5"/>
    <x v="0"/>
    <x v="0"/>
    <s v="4700102"/>
    <n v="700054"/>
    <s v="Salaries-Management-Non-productive"/>
    <s v="Clinical Laboratory Service"/>
    <x v="0"/>
    <m/>
    <n v="4813.91"/>
    <n v="712.26"/>
    <n v="-341.77"/>
    <n v="0"/>
    <n v="0"/>
    <n v="878.03"/>
    <n v="351.85"/>
    <n v="2198.33"/>
    <n v="-146.53"/>
    <n v="0"/>
    <n v="0"/>
    <n v="410.36"/>
    <n v="8876.44"/>
    <n v="-410.36"/>
  </r>
  <r>
    <x v="5"/>
    <x v="0"/>
    <x v="0"/>
    <s v="4700102"/>
    <n v="700054"/>
    <s v="Salaries-Management-NonProd-Other"/>
    <s v="Clinical Laboratory Service"/>
    <x v="0"/>
    <n v="2000"/>
    <n v="0"/>
    <n v="0"/>
    <n v="0"/>
    <n v="0"/>
    <n v="0"/>
    <n v="6151.47"/>
    <n v="0"/>
    <n v="-6151.47"/>
    <n v="0"/>
    <n v="0"/>
    <n v="0"/>
    <n v="0"/>
    <n v="0"/>
    <n v="0"/>
  </r>
  <r>
    <x v="5"/>
    <x v="0"/>
    <x v="0"/>
    <s v="4700102"/>
    <n v="700072"/>
    <s v="Salaries-Other Pat Care Providers-Non-productive"/>
    <s v="Clinical Laboratory Service"/>
    <x v="0"/>
    <m/>
    <n v="15310.47"/>
    <n v="15528.67"/>
    <n v="12039.1"/>
    <n v="8141.89"/>
    <n v="6636.67"/>
    <n v="18363.259999999998"/>
    <n v="13723.86"/>
    <n v="15316.06"/>
    <n v="7779.06"/>
    <n v="17353.650000000001"/>
    <n v="19826.2"/>
    <n v="10794.36"/>
    <n v="160813.25"/>
    <n v="9031.84"/>
  </r>
  <r>
    <x v="5"/>
    <x v="0"/>
    <x v="0"/>
    <s v="4700102"/>
    <n v="700072"/>
    <s v="Salaries-Other Pat Care Providers-NonProd-Other"/>
    <s v="Clinical Laboratory Service"/>
    <x v="0"/>
    <n v="2000"/>
    <n v="499.83"/>
    <n v="728.98"/>
    <n v="480.04"/>
    <n v="530.95000000000005"/>
    <n v="641.30999999999995"/>
    <n v="1162.3499999999999"/>
    <n v="552.96"/>
    <n v="-118.08"/>
    <n v="333.89"/>
    <n v="1040.6400000000001"/>
    <n v="1270.27"/>
    <n v="138.59"/>
    <n v="7261.7300000000014"/>
    <n v="1131.68"/>
  </r>
  <r>
    <x v="5"/>
    <x v="0"/>
    <x v="0"/>
    <s v="4700102"/>
    <n v="700074"/>
    <s v="Salaries-Tech/Professional-Non-productive"/>
    <s v="Clinical Laboratory Service"/>
    <x v="0"/>
    <m/>
    <n v="5189.1099999999997"/>
    <n v="-529.09"/>
    <n v="623.57000000000005"/>
    <n v="281.86"/>
    <n v="2303.34"/>
    <n v="726.03"/>
    <n v="1137.1500000000001"/>
    <n v="834.53"/>
    <n v="775.39"/>
    <n v="253.69"/>
    <n v="169.78"/>
    <n v="1847.32"/>
    <n v="13612.68"/>
    <n v="-1677.54"/>
  </r>
  <r>
    <x v="5"/>
    <x v="0"/>
    <x v="0"/>
    <s v="4700102"/>
    <n v="700074"/>
    <s v="Salaries-Tech/Professional-NonProd-Other"/>
    <s v="Clinical Laboratory Service"/>
    <x v="0"/>
    <n v="2000"/>
    <n v="292.58999999999997"/>
    <n v="-27.32"/>
    <n v="73.17"/>
    <n v="31.86"/>
    <n v="56.16"/>
    <n v="26.9"/>
    <n v="50.09"/>
    <n v="37.03"/>
    <n v="75.98"/>
    <n v="-4.9800000000000004"/>
    <n v="20.6"/>
    <n v="153.69"/>
    <n v="785.77"/>
    <n v="-133.09"/>
  </r>
  <r>
    <x v="5"/>
    <x v="0"/>
    <x v="0"/>
    <s v="4700102"/>
    <n v="700084"/>
    <s v="Accrued PTO"/>
    <s v="Clinical Laboratory Service"/>
    <x v="0"/>
    <m/>
    <n v="-4356.51"/>
    <n v="-125.07"/>
    <n v="-3599.73"/>
    <n v="10279.68"/>
    <n v="7631.86"/>
    <n v="3890.98"/>
    <n v="1179.5"/>
    <n v="-1071.96"/>
    <n v="3569.75"/>
    <n v="1253.54"/>
    <n v="2050.23"/>
    <n v="3256.43"/>
    <n v="23958.7"/>
    <n v="-1206.1999999999998"/>
  </r>
  <r>
    <x v="6"/>
    <x v="0"/>
    <x v="0"/>
    <s v="4700102"/>
    <n v="713010"/>
    <s v="Benefits-FICA/Medicare"/>
    <s v="Clinical Laboratory Service"/>
    <x v="0"/>
    <m/>
    <n v="11305.43"/>
    <n v="11111.57"/>
    <n v="10164.950000000001"/>
    <n v="10574.75"/>
    <n v="10419.48"/>
    <n v="11864.37"/>
    <n v="10835.65"/>
    <n v="10497.85"/>
    <n v="10547.73"/>
    <n v="10534.43"/>
    <n v="10499.43"/>
    <n v="9974.11"/>
    <n v="128329.74999999999"/>
    <n v="525.31999999999971"/>
  </r>
  <r>
    <x v="6"/>
    <x v="0"/>
    <x v="0"/>
    <s v="4700102"/>
    <n v="713090"/>
    <s v="Benefits-Allocated Amounts"/>
    <s v="Clinical Laboratory Service"/>
    <x v="0"/>
    <m/>
    <n v="36685.440000000002"/>
    <n v="31192.11"/>
    <n v="31067.46"/>
    <n v="31317.27"/>
    <n v="30622.1"/>
    <n v="33229.54"/>
    <n v="33992.21"/>
    <n v="32332.94"/>
    <n v="31816.86"/>
    <n v="34732.639999999999"/>
    <n v="32524.29"/>
    <n v="32188.03"/>
    <n v="391700.89"/>
    <n v="336.26000000000204"/>
  </r>
  <r>
    <x v="6"/>
    <x v="0"/>
    <x v="0"/>
    <s v="4700102"/>
    <n v="713096"/>
    <s v="Employee Recognition"/>
    <s v="Clinical Laboratory Service"/>
    <x v="0"/>
    <n v="1017"/>
    <n v="0"/>
    <n v="0"/>
    <n v="39.94"/>
    <n v="0"/>
    <n v="110.19"/>
    <n v="17.95"/>
    <n v="0"/>
    <n v="0"/>
    <n v="0"/>
    <n v="0"/>
    <n v="0"/>
    <n v="149.1"/>
    <n v="317.17999999999995"/>
    <n v="-149.1"/>
  </r>
  <r>
    <x v="17"/>
    <x v="0"/>
    <x v="0"/>
    <s v="4700102"/>
    <n v="714510"/>
    <s v="Medical Director Fees"/>
    <s v="Clinical Laboratory Service"/>
    <x v="0"/>
    <m/>
    <n v="4622.5200000000004"/>
    <n v="4736.55"/>
    <n v="2677.04"/>
    <n v="2726.53"/>
    <n v="0"/>
    <n v="4982.9799999999996"/>
    <n v="2564.61"/>
    <n v="0"/>
    <n v="5006.87"/>
    <n v="2472.21"/>
    <n v="2610.96"/>
    <n v="2685.44"/>
    <n v="35085.71"/>
    <n v="-74.480000000000018"/>
  </r>
  <r>
    <x v="7"/>
    <x v="0"/>
    <x v="0"/>
    <s v="4700102"/>
    <n v="718040"/>
    <s v="Contract Svcs-Laboratory"/>
    <s v="Clinical Laboratory Service"/>
    <x v="0"/>
    <m/>
    <n v="35849.699999999997"/>
    <n v="16102.18"/>
    <n v="46958.01"/>
    <n v="17285.32"/>
    <n v="28606.18"/>
    <n v="13971.55"/>
    <n v="45871.09"/>
    <n v="34628.980000000003"/>
    <n v="23759.75"/>
    <n v="8510.2800000000007"/>
    <n v="23488.55"/>
    <n v="75664.600000000006"/>
    <n v="370696.19000000006"/>
    <n v="-52176.05"/>
  </r>
  <r>
    <x v="7"/>
    <x v="0"/>
    <x v="0"/>
    <s v="4700102"/>
    <n v="718040"/>
    <s v="Contract Svcs-Reference Lab Fees"/>
    <s v="Clinical Laboratory Service"/>
    <x v="0"/>
    <n v="1001"/>
    <n v="0"/>
    <n v="0"/>
    <n v="0"/>
    <n v="0"/>
    <n v="0"/>
    <n v="0"/>
    <n v="35350.720000000001"/>
    <n v="14396.43"/>
    <n v="11767.85"/>
    <n v="20093.939999999999"/>
    <n v="308.16000000000003"/>
    <n v="33108.18"/>
    <n v="115025.28"/>
    <n v="-32800.019999999997"/>
  </r>
  <r>
    <x v="7"/>
    <x v="0"/>
    <x v="0"/>
    <s v="4700102"/>
    <n v="718050"/>
    <s v="Contract Svcs-Other"/>
    <s v="Clinical Laboratory Service"/>
    <x v="0"/>
    <m/>
    <n v="11244.5"/>
    <n v="4736"/>
    <n v="5579"/>
    <n v="-11244.5"/>
    <n v="0"/>
    <n v="0"/>
    <n v="0"/>
    <n v="0"/>
    <n v="0"/>
    <n v="0"/>
    <n v="0"/>
    <n v="-4736"/>
    <n v="5579"/>
    <n v="4736"/>
  </r>
  <r>
    <x v="7"/>
    <x v="0"/>
    <x v="0"/>
    <s v="4700102"/>
    <n v="718050"/>
    <s v="Document Shredding/Storage"/>
    <s v="Clinical Laboratory Service"/>
    <x v="0"/>
    <n v="1012"/>
    <n v="122.56"/>
    <n v="122.65"/>
    <n v="114.63"/>
    <n v="118.61"/>
    <n v="122.59"/>
    <n v="122.59"/>
    <n v="121.36"/>
    <n v="104.06"/>
    <n v="107.85"/>
    <n v="141.24"/>
    <n v="118.61"/>
    <n v="229.05"/>
    <n v="1545.8"/>
    <n v="-110.44000000000001"/>
  </r>
  <r>
    <x v="7"/>
    <x v="0"/>
    <x v="0"/>
    <s v="4700102"/>
    <n v="718050"/>
    <s v="Miscellaneous Purchased Svcs"/>
    <s v="Clinical Laboratory Service"/>
    <x v="0"/>
    <n v="1020"/>
    <n v="16484.78"/>
    <n v="16357.21"/>
    <n v="16304.78"/>
    <n v="16192.51"/>
    <n v="15944.78"/>
    <n v="18599.78"/>
    <n v="15956.12"/>
    <n v="15944.78"/>
    <n v="15944.78"/>
    <n v="15944.78"/>
    <n v="18269.78"/>
    <n v="15932.35"/>
    <n v="197876.43"/>
    <n v="2337.4299999999985"/>
  </r>
  <r>
    <x v="7"/>
    <x v="0"/>
    <x v="0"/>
    <s v="4700102"/>
    <n v="718050"/>
    <s v="Contract Svcs--Medical/Dental"/>
    <s v="Clinical Laboratory Service"/>
    <x v="0"/>
    <n v="1024"/>
    <n v="29224.68"/>
    <n v="1784.29"/>
    <n v="12571.66"/>
    <n v="15939.3"/>
    <n v="44391.02"/>
    <n v="21196.66"/>
    <n v="-10483.06"/>
    <n v="0"/>
    <n v="0"/>
    <n v="0"/>
    <n v="0"/>
    <n v="0"/>
    <n v="114624.55000000002"/>
    <n v="0"/>
  </r>
  <r>
    <x v="7"/>
    <x v="0"/>
    <x v="0"/>
    <s v="4700102"/>
    <n v="718050"/>
    <s v="Purchased Srvcs-Medical/Clinical Review"/>
    <s v="Clinical Laboratory Service"/>
    <x v="0"/>
    <n v="1032"/>
    <n v="0"/>
    <n v="0"/>
    <n v="0"/>
    <n v="0"/>
    <n v="0"/>
    <n v="180"/>
    <n v="0"/>
    <n v="180"/>
    <n v="0"/>
    <n v="540"/>
    <n v="2000"/>
    <n v="540"/>
    <n v="3440"/>
    <n v="1460"/>
  </r>
  <r>
    <x v="7"/>
    <x v="0"/>
    <x v="0"/>
    <s v="4700102"/>
    <n v="718070"/>
    <s v="Contract Srvcs-CHI Clinical Engineering"/>
    <s v="Clinical Laboratory Service"/>
    <x v="0"/>
    <m/>
    <n v="9069.93"/>
    <n v="8980.7900000000009"/>
    <n v="9001.2199999999993"/>
    <n v="9001.2199999999993"/>
    <n v="9001.2199999999993"/>
    <n v="9001.2199999999993"/>
    <n v="9001.2000000000007"/>
    <n v="9001.2000000000007"/>
    <n v="9001.2199999999993"/>
    <n v="9001.25"/>
    <n v="9001.2199999999993"/>
    <n v="7328.75"/>
    <n v="106390.44"/>
    <n v="1672.4699999999993"/>
  </r>
  <r>
    <x v="7"/>
    <x v="0"/>
    <x v="0"/>
    <s v="4700102"/>
    <n v="718091"/>
    <s v="Contract Services-Intracompany Allocation"/>
    <s v="Clinical Laboratory Service"/>
    <x v="0"/>
    <m/>
    <n v="18680.900000000001"/>
    <n v="19791.580000000002"/>
    <n v="19192.91"/>
    <n v="21951.03"/>
    <n v="20652.72"/>
    <n v="21380.68"/>
    <n v="26335.67"/>
    <n v="23594.720000000001"/>
    <n v="26690.91"/>
    <n v="24908.98"/>
    <n v="27783.79"/>
    <n v="26330.5"/>
    <n v="277294.39"/>
    <n v="1453.2900000000009"/>
  </r>
  <r>
    <x v="11"/>
    <x v="0"/>
    <x v="0"/>
    <s v="4700102"/>
    <n v="721320"/>
    <s v="Supplies-Purchased Blood - Billable"/>
    <s v="Clinical Laboratory Service"/>
    <x v="0"/>
    <m/>
    <n v="53175"/>
    <n v="59000"/>
    <n v="58000"/>
    <n v="86467.25"/>
    <n v="58000"/>
    <n v="59000"/>
    <n v="44478.25"/>
    <n v="56461.75"/>
    <n v="63796.63"/>
    <n v="51273.09"/>
    <n v="53452.17"/>
    <n v="58769.03"/>
    <n v="701873.17"/>
    <n v="-5316.8600000000006"/>
  </r>
  <r>
    <x v="11"/>
    <x v="0"/>
    <x v="0"/>
    <s v="4700102"/>
    <n v="721410"/>
    <s v="Supplies-Medical - Nonbillable"/>
    <s v="Clinical Laboratory Service"/>
    <x v="0"/>
    <m/>
    <n v="22494.34"/>
    <n v="22003.66"/>
    <n v="19854.75"/>
    <n v="22452.75"/>
    <n v="24572.06"/>
    <n v="21620.41"/>
    <n v="23894.3"/>
    <n v="15590.55"/>
    <n v="19024.169999999998"/>
    <n v="12781.91"/>
    <n v="19350.259999999998"/>
    <n v="20710.53"/>
    <n v="244349.69"/>
    <n v="-1360.2700000000004"/>
  </r>
  <r>
    <x v="11"/>
    <x v="0"/>
    <x v="0"/>
    <s v="4700102"/>
    <n v="721420"/>
    <s v="Supplies-Surgical Nonbillable"/>
    <s v="Clinical Laboratory Service"/>
    <x v="0"/>
    <m/>
    <n v="0"/>
    <n v="0"/>
    <n v="0"/>
    <n v="0"/>
    <n v="0"/>
    <n v="0"/>
    <n v="0"/>
    <n v="0"/>
    <n v="14.3"/>
    <n v="0"/>
    <n v="0"/>
    <n v="0"/>
    <n v="14.3"/>
    <n v="0"/>
  </r>
  <r>
    <x v="11"/>
    <x v="0"/>
    <x v="0"/>
    <s v="4700102"/>
    <n v="721420"/>
    <s v="Sterilization Process Products"/>
    <s v="Clinical Laboratory Service"/>
    <x v="0"/>
    <n v="1009"/>
    <n v="0"/>
    <n v="27.23"/>
    <n v="0"/>
    <n v="0"/>
    <n v="62.41"/>
    <n v="0"/>
    <n v="35.18"/>
    <n v="0"/>
    <n v="27.23"/>
    <n v="0"/>
    <n v="70.849999999999994"/>
    <n v="0"/>
    <n v="222.89999999999998"/>
    <n v="70.849999999999994"/>
  </r>
  <r>
    <x v="11"/>
    <x v="0"/>
    <x v="0"/>
    <s v="4700102"/>
    <n v="721640"/>
    <s v="Supplies-IV Solutions/Supplies - Nonbillable"/>
    <s v="Clinical Laboratory Service"/>
    <x v="0"/>
    <m/>
    <n v="2148.87"/>
    <n v="2494.17"/>
    <n v="1997.67"/>
    <n v="2261.6999999999998"/>
    <n v="2117.2199999999998"/>
    <n v="2154"/>
    <n v="2080.44"/>
    <n v="2117.2199999999998"/>
    <n v="2425.4"/>
    <n v="2520.1799999999998"/>
    <n v="2485.59"/>
    <n v="1993.53"/>
    <n v="26795.99"/>
    <n v="492.06000000000017"/>
  </r>
  <r>
    <x v="11"/>
    <x v="0"/>
    <x v="0"/>
    <s v="4700102"/>
    <n v="721710"/>
    <s v="Supplies-Laboratory - Nonbillable"/>
    <s v="Clinical Laboratory Service"/>
    <x v="0"/>
    <m/>
    <n v="24865.360000000001"/>
    <n v="34725.980000000003"/>
    <n v="22267.69"/>
    <n v="21391.18"/>
    <n v="31552.28"/>
    <n v="15878.05"/>
    <n v="29099.77"/>
    <n v="6450.03"/>
    <n v="33356.61"/>
    <n v="19429.75"/>
    <n v="33758"/>
    <n v="69599.789999999994"/>
    <n v="342374.48999999993"/>
    <n v="-35841.789999999994"/>
  </r>
  <r>
    <x v="11"/>
    <x v="0"/>
    <x v="0"/>
    <s v="4700102"/>
    <n v="721710"/>
    <s v="Reagents"/>
    <s v="Clinical Laboratory Service"/>
    <x v="0"/>
    <n v="1000"/>
    <n v="20751.04"/>
    <n v="29747.29"/>
    <n v="40681.449999999997"/>
    <n v="32447.200000000001"/>
    <n v="29425.1"/>
    <n v="24036.720000000001"/>
    <n v="33544.93"/>
    <n v="26700.44"/>
    <n v="47011.03"/>
    <n v="20643.330000000002"/>
    <n v="24584.41"/>
    <n v="58344.54"/>
    <n v="387917.47999999992"/>
    <n v="-33760.130000000005"/>
  </r>
  <r>
    <x v="11"/>
    <x v="0"/>
    <x v="0"/>
    <s v="4700102"/>
    <n v="721810"/>
    <s v="Supplies-Dietary/Cafeteria"/>
    <s v="Clinical Laboratory Service"/>
    <x v="0"/>
    <m/>
    <n v="25.3"/>
    <n v="77.87"/>
    <n v="7.15"/>
    <n v="24"/>
    <n v="137.47"/>
    <n v="74.31"/>
    <n v="31.15"/>
    <n v="62.33"/>
    <n v="15.04"/>
    <n v="229.66"/>
    <n v="92.46"/>
    <n v="55.4"/>
    <n v="832.14"/>
    <n v="37.059999999999995"/>
  </r>
  <r>
    <x v="11"/>
    <x v="0"/>
    <x v="0"/>
    <s v="4700102"/>
    <n v="721830"/>
    <s v="Supplies-Office"/>
    <s v="Clinical Laboratory Service"/>
    <x v="0"/>
    <m/>
    <n v="550.96"/>
    <n v="501.33"/>
    <n v="309.87"/>
    <n v="474.1"/>
    <n v="744.43"/>
    <n v="257.87"/>
    <n v="490.22"/>
    <n v="278.45"/>
    <n v="372.46"/>
    <n v="551.80999999999995"/>
    <n v="363.01"/>
    <n v="864.62"/>
    <n v="5759.13"/>
    <n v="-501.61"/>
  </r>
  <r>
    <x v="11"/>
    <x v="0"/>
    <x v="0"/>
    <s v="4700102"/>
    <n v="721835"/>
    <s v="Supplies-Forms"/>
    <s v="Clinical Laboratory Service"/>
    <x v="0"/>
    <m/>
    <n v="0"/>
    <n v="0"/>
    <n v="0"/>
    <n v="0"/>
    <n v="0.5"/>
    <n v="0"/>
    <n v="0.5"/>
    <n v="0"/>
    <n v="45"/>
    <n v="0"/>
    <n v="0"/>
    <n v="112.5"/>
    <n v="158.5"/>
    <n v="-112.5"/>
  </r>
  <r>
    <x v="11"/>
    <x v="0"/>
    <x v="0"/>
    <s v="4700102"/>
    <n v="721870"/>
    <s v="Supplies-Environmental Services"/>
    <s v="Clinical Laboratory Service"/>
    <x v="0"/>
    <m/>
    <n v="211.41"/>
    <n v="-2.4900000000000002"/>
    <n v="185.6"/>
    <n v="109.02"/>
    <n v="71.28"/>
    <n v="159.30000000000001"/>
    <n v="123.88"/>
    <n v="190.06"/>
    <n v="109.04"/>
    <n v="127.69"/>
    <n v="105.65"/>
    <n v="151.56"/>
    <n v="1542"/>
    <n v="-45.91"/>
  </r>
  <r>
    <x v="11"/>
    <x v="0"/>
    <x v="0"/>
    <s v="4700102"/>
    <n v="721910"/>
    <s v="Supplies-Small Equipment"/>
    <s v="Clinical Laboratory Service"/>
    <x v="0"/>
    <m/>
    <n v="83.92"/>
    <n v="434.96"/>
    <n v="172.8"/>
    <n v="-43.1"/>
    <n v="1353.1"/>
    <n v="0.68"/>
    <n v="73.94"/>
    <n v="996.21"/>
    <n v="86.06"/>
    <n v="-5.5"/>
    <n v="1369.66"/>
    <n v="327.64999999999998"/>
    <n v="4850.3799999999992"/>
    <n v="1042.0100000000002"/>
  </r>
  <r>
    <x v="11"/>
    <x v="0"/>
    <x v="0"/>
    <s v="4700102"/>
    <n v="721980"/>
    <s v="Supplies-Other"/>
    <s v="Clinical Laboratory Service"/>
    <x v="0"/>
    <m/>
    <n v="556.79999999999995"/>
    <n v="7.38"/>
    <n v="58.26"/>
    <n v="0"/>
    <n v="0"/>
    <n v="3417.04"/>
    <n v="0"/>
    <n v="913.72"/>
    <n v="3683.45"/>
    <n v="1317.36"/>
    <n v="1296.83"/>
    <n v="2237.29"/>
    <n v="13488.130000000001"/>
    <n v="-940.46"/>
  </r>
  <r>
    <x v="11"/>
    <x v="0"/>
    <x v="0"/>
    <s v="4700102"/>
    <n v="722000"/>
    <s v="Supplies-Freight Expense"/>
    <s v="Clinical Laboratory Service"/>
    <x v="0"/>
    <m/>
    <n v="1687.32"/>
    <n v="2234.6999999999998"/>
    <n v="1926.83"/>
    <n v="1889.68"/>
    <n v="2263.75"/>
    <n v="1880.74"/>
    <n v="3022.5"/>
    <n v="727.33"/>
    <n v="1697.94"/>
    <n v="1347.37"/>
    <n v="2150.13"/>
    <n v="563.09"/>
    <n v="21391.379999999997"/>
    <n v="1587.04"/>
  </r>
  <r>
    <x v="11"/>
    <x v="0"/>
    <x v="0"/>
    <s v="4700102"/>
    <n v="723000"/>
    <s v="Supply Rebates/Patronage Dividend"/>
    <s v="Clinical Laboratory Service"/>
    <x v="0"/>
    <m/>
    <n v="0"/>
    <n v="0"/>
    <n v="0"/>
    <n v="0"/>
    <n v="0"/>
    <n v="-71.099999999999994"/>
    <n v="0"/>
    <n v="0"/>
    <n v="-2787.32"/>
    <n v="0"/>
    <n v="0"/>
    <n v="0"/>
    <n v="-2858.42"/>
    <n v="0"/>
  </r>
  <r>
    <x v="12"/>
    <x v="0"/>
    <x v="0"/>
    <s v="4700102"/>
    <n v="730020"/>
    <s v="Rental and Leases-Equipment (DO NOT USE)"/>
    <s v="Clinical Laboratory Service"/>
    <x v="0"/>
    <m/>
    <n v="3045.38"/>
    <n v="6922.05"/>
    <n v="45702.58"/>
    <n v="17320.509999999998"/>
    <n v="20535.21"/>
    <n v="30779.97"/>
    <n v="14623.87"/>
    <n v="12589.71"/>
    <n v="-1205.07"/>
    <n v="14193.59"/>
    <n v="1749.42"/>
    <n v="16493.830000000002"/>
    <n v="182751.05"/>
    <n v="-14744.410000000002"/>
  </r>
  <r>
    <x v="12"/>
    <x v="0"/>
    <x v="0"/>
    <s v="4700102"/>
    <n v="730020"/>
    <s v="Rental and Leases-Copier Usage Fees (DO NOT USE)"/>
    <s v="Clinical Laboratory Service"/>
    <x v="0"/>
    <n v="5100"/>
    <n v="376.08"/>
    <n v="385.98"/>
    <n v="381.03"/>
    <n v="381.03"/>
    <n v="381.03"/>
    <n v="381.03"/>
    <n v="365.02"/>
    <n v="360.1"/>
    <n v="356.33"/>
    <n v="443.12"/>
    <n v="371.38"/>
    <n v="424.82"/>
    <n v="4606.9499999999989"/>
    <n v="-53.44"/>
  </r>
  <r>
    <x v="15"/>
    <x v="0"/>
    <x v="0"/>
    <s v="4700102"/>
    <n v="731060"/>
    <s v="Pagers"/>
    <s v="Clinical Laboratory Service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0"/>
    <x v="0"/>
    <s v="4700102"/>
    <n v="732020"/>
    <s v="Repairs--Clin Equip-Parts-Internal to CHI Programs"/>
    <s v="Clinical Laboratory Service"/>
    <x v="0"/>
    <m/>
    <n v="2243.12"/>
    <n v="1216.02"/>
    <n v="1215.76"/>
    <n v="280.41000000000003"/>
    <n v="30.36"/>
    <n v="608.01"/>
    <n v="608.01"/>
    <n v="608.01"/>
    <n v="608.01"/>
    <n v="608.01"/>
    <n v="636.11"/>
    <n v="1257.29"/>
    <n v="9919.119999999999"/>
    <n v="-621.17999999999995"/>
  </r>
  <r>
    <x v="13"/>
    <x v="0"/>
    <x v="0"/>
    <s v="4700102"/>
    <n v="735050"/>
    <s v="Amortization-Leasehold Improvements"/>
    <s v="Clinical Laboratory Service"/>
    <x v="0"/>
    <m/>
    <n v="1340.91"/>
    <n v="1340.9"/>
    <n v="1340.91"/>
    <n v="1340.88"/>
    <n v="1340.95"/>
    <n v="1340.86"/>
    <n v="1340.95"/>
    <n v="1340.85"/>
    <n v="1340.97"/>
    <n v="1340.83"/>
    <n v="1340.98"/>
    <n v="1340.81"/>
    <n v="16090.8"/>
    <n v="0.17000000000007276"/>
  </r>
  <r>
    <x v="13"/>
    <x v="0"/>
    <x v="0"/>
    <s v="4700102"/>
    <n v="735060"/>
    <s v="Depreciation-Fixed Equipment"/>
    <s v="Clinical Laboratory Service"/>
    <x v="0"/>
    <m/>
    <n v="161.38"/>
    <n v="161.37"/>
    <n v="161.38"/>
    <n v="161.37"/>
    <n v="161.38"/>
    <n v="161.37"/>
    <n v="161.38"/>
    <n v="161.37"/>
    <n v="161.38"/>
    <n v="161.37"/>
    <n v="161.38"/>
    <n v="161.37"/>
    <n v="1936.5"/>
    <n v="9.9999999999909051E-3"/>
  </r>
  <r>
    <x v="13"/>
    <x v="0"/>
    <x v="0"/>
    <s v="4700102"/>
    <n v="735070"/>
    <s v="Depreciation-Movable Equipment"/>
    <s v="Clinical Laboratory Service"/>
    <x v="0"/>
    <m/>
    <n v="6747"/>
    <n v="6698.78"/>
    <n v="6698.81"/>
    <n v="6698.76"/>
    <n v="6698.82"/>
    <n v="6698.73"/>
    <n v="6698.82"/>
    <n v="6685.43"/>
    <n v="6732.55"/>
    <n v="6732.44"/>
    <n v="6732.57"/>
    <n v="9692.77"/>
    <n v="83515.48"/>
    <n v="-2960.2000000000007"/>
  </r>
  <r>
    <x v="0"/>
    <x v="0"/>
    <x v="0"/>
    <s v="4700102"/>
    <n v="742030"/>
    <s v="Freight-Courier"/>
    <s v="Clinical Laboratory Service"/>
    <x v="0"/>
    <m/>
    <n v="0"/>
    <n v="0"/>
    <n v="0"/>
    <n v="11244.5"/>
    <n v="7431"/>
    <n v="2402"/>
    <n v="7605.5"/>
    <n v="4912.5"/>
    <n v="6235.25"/>
    <n v="6077.25"/>
    <n v="3155"/>
    <n v="13689"/>
    <n v="62752"/>
    <n v="-10534"/>
  </r>
  <r>
    <x v="0"/>
    <x v="0"/>
    <x v="0"/>
    <s v="4700102"/>
    <n v="742040"/>
    <s v="Freight-Other"/>
    <s v="Clinical Laboratory Service"/>
    <x v="0"/>
    <m/>
    <n v="0"/>
    <n v="0"/>
    <n v="0"/>
    <n v="16.5"/>
    <n v="0"/>
    <n v="0"/>
    <n v="0"/>
    <n v="0"/>
    <n v="0"/>
    <n v="0"/>
    <n v="0"/>
    <n v="0"/>
    <n v="16.5"/>
    <n v="0"/>
  </r>
  <r>
    <x v="0"/>
    <x v="0"/>
    <x v="0"/>
    <s v="4700102"/>
    <n v="743010"/>
    <s v="Dues--Institutional"/>
    <s v="Clinical Laboratory Service"/>
    <x v="0"/>
    <m/>
    <n v="526.64"/>
    <n v="0"/>
    <n v="0"/>
    <n v="-16.5"/>
    <n v="4058"/>
    <n v="14207.18"/>
    <n v="0"/>
    <n v="635.79999999999995"/>
    <n v="0"/>
    <n v="208.56"/>
    <n v="253.44"/>
    <n v="0"/>
    <n v="19873.12"/>
    <n v="253.44"/>
  </r>
  <r>
    <x v="0"/>
    <x v="0"/>
    <x v="0"/>
    <s v="4700102"/>
    <n v="749510"/>
    <s v="Miscellaneous Expenses"/>
    <s v="Clinical Laboratory Service"/>
    <x v="0"/>
    <m/>
    <n v="-107.87"/>
    <n v="0"/>
    <n v="0"/>
    <n v="0"/>
    <n v="0"/>
    <n v="831.93"/>
    <n v="-281.76"/>
    <n v="100.43"/>
    <n v="-81.86"/>
    <n v="0"/>
    <n v="155.47999999999999"/>
    <n v="-155.47999999999999"/>
    <n v="460.87"/>
    <n v="310.95999999999998"/>
  </r>
  <r>
    <x v="0"/>
    <x v="0"/>
    <x v="0"/>
    <s v="4700102"/>
    <n v="749510"/>
    <s v="Licenses"/>
    <s v="Clinical Laboratory Service"/>
    <x v="0"/>
    <n v="1002"/>
    <n v="0"/>
    <n v="0"/>
    <n v="0"/>
    <n v="0"/>
    <n v="0"/>
    <n v="0"/>
    <n v="0"/>
    <n v="0"/>
    <n v="0"/>
    <n v="14003"/>
    <n v="0"/>
    <n v="0"/>
    <n v="14003"/>
    <n v="0"/>
  </r>
  <r>
    <x v="0"/>
    <x v="0"/>
    <x v="0"/>
    <s v="4700102"/>
    <n v="749510"/>
    <s v="RICE Rewards"/>
    <s v="Clinical Laboratory Service"/>
    <x v="0"/>
    <n v="5100"/>
    <n v="0"/>
    <n v="0"/>
    <n v="0"/>
    <n v="0"/>
    <n v="0"/>
    <n v="0"/>
    <n v="560.36"/>
    <n v="0"/>
    <n v="81.86"/>
    <n v="0"/>
    <n v="0"/>
    <n v="0"/>
    <n v="642.22"/>
    <n v="0"/>
  </r>
  <r>
    <x v="0"/>
    <x v="0"/>
    <x v="0"/>
    <s v="4700102"/>
    <n v="749530"/>
    <s v="Travel"/>
    <s v="Clinical Laboratory Service"/>
    <x v="0"/>
    <m/>
    <n v="0"/>
    <n v="0"/>
    <n v="0"/>
    <n v="0"/>
    <n v="0"/>
    <n v="16.52"/>
    <n v="0"/>
    <n v="0"/>
    <n v="0"/>
    <n v="0"/>
    <n v="0"/>
    <n v="0"/>
    <n v="16.52"/>
    <n v="0"/>
  </r>
  <r>
    <x v="0"/>
    <x v="0"/>
    <x v="0"/>
    <s v="4700102"/>
    <n v="749530"/>
    <s v="Mileage"/>
    <s v="Clinical Laboratory Service"/>
    <x v="0"/>
    <n v="1001"/>
    <n v="0"/>
    <n v="0"/>
    <n v="56.16"/>
    <n v="0"/>
    <n v="32.159999999999997"/>
    <n v="0"/>
    <n v="0"/>
    <n v="6.38"/>
    <n v="0"/>
    <n v="0"/>
    <n v="0"/>
    <n v="6.38"/>
    <n v="101.07999999999998"/>
    <n v="-6.38"/>
  </r>
  <r>
    <x v="0"/>
    <x v="0"/>
    <x v="0"/>
    <s v="4700102"/>
    <n v="766010"/>
    <s v="Property Tax"/>
    <s v="Clinical Laboratory Service"/>
    <x v="0"/>
    <m/>
    <n v="4209.1400000000003"/>
    <n v="0"/>
    <n v="0"/>
    <n v="0"/>
    <n v="0"/>
    <n v="0"/>
    <n v="0"/>
    <n v="0"/>
    <n v="0"/>
    <n v="411.01"/>
    <n v="0"/>
    <n v="0"/>
    <n v="4620.1500000000005"/>
    <n v="0"/>
  </r>
  <r>
    <x v="18"/>
    <x v="4"/>
    <x v="0"/>
    <s v="4700103"/>
    <n v="400010"/>
    <s v="Acute I/P Svcs Rev--Medicare"/>
    <s v="Clinical Laboratory Service"/>
    <x v="0"/>
    <n v="1100"/>
    <n v="-1245979.1599999999"/>
    <n v="-1611400.99"/>
    <n v="-1398633.99"/>
    <n v="-1564726.47"/>
    <n v="-1449906.33"/>
    <n v="-1618924.88"/>
    <n v="-1693320.52"/>
    <n v="-1434383.66"/>
    <n v="-1730194.03"/>
    <n v="-1525864.28"/>
    <n v="-1576619.76"/>
    <n v="-1403517.27"/>
    <n v="-18253471.34"/>
    <n v="-173102.49"/>
  </r>
  <r>
    <x v="18"/>
    <x v="4"/>
    <x v="0"/>
    <s v="4700103"/>
    <n v="400010"/>
    <s v="Acute I/P Svcs Rev--Medicaid"/>
    <s v="Clinical Laboratory Service"/>
    <x v="0"/>
    <n v="1200"/>
    <n v="-923827.1"/>
    <n v="-610786.18999999994"/>
    <n v="-692734.75"/>
    <n v="-746650.57"/>
    <n v="-549245.16"/>
    <n v="-809501.54"/>
    <n v="-751700.38"/>
    <n v="-895095.55"/>
    <n v="-866855.96"/>
    <n v="-789314.7"/>
    <n v="-863231.05"/>
    <n v="-738419.63"/>
    <n v="-9237362.5800000019"/>
    <n v="-124811.42000000004"/>
  </r>
  <r>
    <x v="18"/>
    <x v="4"/>
    <x v="0"/>
    <s v="4700103"/>
    <n v="400010"/>
    <s v="Acute I/P Svcs Rev--Comm Insurance"/>
    <s v="Clinical Laboratory Service"/>
    <x v="0"/>
    <n v="1300"/>
    <n v="-32928.76"/>
    <n v="-49798.45"/>
    <n v="302.44"/>
    <n v="-25173.29"/>
    <n v="-13330.47"/>
    <n v="-45411.11"/>
    <n v="-26924.25"/>
    <n v="-8565.92"/>
    <n v="1118.1400000000001"/>
    <n v="-16992"/>
    <n v="-40159.14"/>
    <n v="-46277.75"/>
    <n v="-304140.56"/>
    <n v="6118.6100000000006"/>
  </r>
  <r>
    <x v="18"/>
    <x v="4"/>
    <x v="0"/>
    <s v="4700103"/>
    <n v="400010"/>
    <s v="Acute I/P Svcs Rev--BCBS Comm"/>
    <s v="Clinical Laboratory Service"/>
    <x v="0"/>
    <n v="1301"/>
    <n v="-46778.47"/>
    <n v="-35926.769999999997"/>
    <n v="-86019.58"/>
    <n v="-81946.92"/>
    <n v="-28059.62"/>
    <n v="-15821.63"/>
    <n v="-65551.38"/>
    <n v="-60916.29"/>
    <n v="-69238.080000000002"/>
    <n v="-75608.490000000005"/>
    <n v="-47886.01"/>
    <n v="-62694.559999999998"/>
    <n v="-676447.8"/>
    <n v="14808.549999999996"/>
  </r>
  <r>
    <x v="18"/>
    <x v="4"/>
    <x v="0"/>
    <s v="4700103"/>
    <n v="400010"/>
    <s v="Acute I/P Svcs Rev--Managed Care"/>
    <s v="Clinical Laboratory Service"/>
    <x v="0"/>
    <n v="1400"/>
    <n v="-184837.84"/>
    <n v="-190484.43"/>
    <n v="-227785.4"/>
    <n v="-206567.78"/>
    <n v="-125298.02"/>
    <n v="-121912.91"/>
    <n v="-176327.4"/>
    <n v="-207689.24"/>
    <n v="-175795.22"/>
    <n v="-55573.05"/>
    <n v="-88332.57"/>
    <n v="-160771.69"/>
    <n v="-1921375.55"/>
    <n v="72439.12"/>
  </r>
  <r>
    <x v="18"/>
    <x v="4"/>
    <x v="0"/>
    <s v="4700103"/>
    <n v="400010"/>
    <s v="Acute I/P Svcs Rev--Self Pay"/>
    <s v="Clinical Laboratory Service"/>
    <x v="0"/>
    <n v="1500"/>
    <n v="-40632.089999999997"/>
    <n v="-52051.67"/>
    <n v="-7571.43"/>
    <n v="-24617.23"/>
    <n v="-34775.82"/>
    <n v="-38792.17"/>
    <n v="-31677.69"/>
    <n v="-25851.55"/>
    <n v="-77953.38"/>
    <n v="-15562.61"/>
    <n v="-36485.14"/>
    <n v="4971.21"/>
    <n v="-380999.56999999995"/>
    <n v="-41456.35"/>
  </r>
  <r>
    <x v="18"/>
    <x v="4"/>
    <x v="0"/>
    <s v="4700103"/>
    <n v="400010"/>
    <s v="Acute I/P Svcs Rev--Other"/>
    <s v="Clinical Laboratory Service"/>
    <x v="0"/>
    <n v="1700"/>
    <n v="-67979.899999999994"/>
    <n v="-109494.34"/>
    <n v="-94996"/>
    <n v="-109509.14"/>
    <n v="-65838.84"/>
    <n v="-174158.69"/>
    <n v="-219593.82"/>
    <n v="-99985.5"/>
    <n v="-128459.18"/>
    <n v="-162284.95000000001"/>
    <n v="-168992.61"/>
    <n v="-129351.64"/>
    <n v="-1530644.6099999996"/>
    <n v="-39640.969999999987"/>
  </r>
  <r>
    <x v="19"/>
    <x v="4"/>
    <x v="0"/>
    <s v="4700103"/>
    <n v="400020"/>
    <s v="O/P Care Svcs Rev--Medicare"/>
    <s v="Clinical Laboratory Service"/>
    <x v="0"/>
    <n v="1100"/>
    <n v="-619463.6"/>
    <n v="-696504.61"/>
    <n v="-616107.31999999995"/>
    <n v="-695119.65"/>
    <n v="-625277.04"/>
    <n v="-572580.1"/>
    <n v="-742948.35"/>
    <n v="-660793.25"/>
    <n v="-667950.02"/>
    <n v="-726227.46"/>
    <n v="-793735.84"/>
    <n v="-656703.51"/>
    <n v="-8073410.7499999991"/>
    <n v="-137032.32999999996"/>
  </r>
  <r>
    <x v="19"/>
    <x v="4"/>
    <x v="0"/>
    <s v="4700103"/>
    <n v="400020"/>
    <s v="O/P Care Svcs Rev--Medicaid"/>
    <s v="Clinical Laboratory Service"/>
    <x v="0"/>
    <n v="1200"/>
    <n v="-810079.07"/>
    <n v="-901352.82"/>
    <n v="-799470.63"/>
    <n v="-918644.07"/>
    <n v="-866266.49"/>
    <n v="-816072.92"/>
    <n v="-879798.42"/>
    <n v="-686891.2"/>
    <n v="-911811.66"/>
    <n v="-850171.15"/>
    <n v="-851013.47"/>
    <n v="-855217.63"/>
    <n v="-10146789.530000001"/>
    <n v="4204.1600000000326"/>
  </r>
  <r>
    <x v="19"/>
    <x v="4"/>
    <x v="0"/>
    <s v="4700103"/>
    <n v="400020"/>
    <s v="O/P Care Svcs Rev--Comm Insurance"/>
    <s v="Clinical Laboratory Service"/>
    <x v="0"/>
    <n v="1300"/>
    <n v="-39800.17"/>
    <n v="-28675.48"/>
    <n v="-32764.639999999999"/>
    <n v="-27710.66"/>
    <n v="-33803.49"/>
    <n v="-27018.1"/>
    <n v="-24897.63"/>
    <n v="-26060.35"/>
    <n v="-49053.58"/>
    <n v="-28461.93"/>
    <n v="-49024.9"/>
    <n v="-39420.160000000003"/>
    <n v="-406691.09000000008"/>
    <n v="-9604.739999999998"/>
  </r>
  <r>
    <x v="19"/>
    <x v="4"/>
    <x v="0"/>
    <s v="4700103"/>
    <n v="400020"/>
    <s v="O/P Care Svcs Rev--BCBS Comm"/>
    <s v="Clinical Laboratory Service"/>
    <x v="0"/>
    <n v="1301"/>
    <n v="-103243.01"/>
    <n v="-84620.4"/>
    <n v="-91709.01"/>
    <n v="-105659.54"/>
    <n v="-87779.34"/>
    <n v="-102073.65"/>
    <n v="-96488.19"/>
    <n v="-57897.36"/>
    <n v="-112550.52"/>
    <n v="-79594.31"/>
    <n v="-94563.11"/>
    <n v="-73222.55"/>
    <n v="-1089400.9899999998"/>
    <n v="-21340.559999999998"/>
  </r>
  <r>
    <x v="19"/>
    <x v="4"/>
    <x v="0"/>
    <s v="4700103"/>
    <n v="400020"/>
    <s v="O/P Care Svcs Rev--Managed Care"/>
    <s v="Clinical Laboratory Service"/>
    <x v="0"/>
    <n v="1400"/>
    <n v="-231491.49"/>
    <n v="-235067.91"/>
    <n v="-269588.52"/>
    <n v="-283500.90999999997"/>
    <n v="-235770.82"/>
    <n v="-249449.62"/>
    <n v="-267853.40999999997"/>
    <n v="-283499.03999999998"/>
    <n v="-295810.21000000002"/>
    <n v="-271244.83"/>
    <n v="-231762.22"/>
    <n v="-235224.33"/>
    <n v="-3090263.3100000005"/>
    <n v="3462.109999999986"/>
  </r>
  <r>
    <x v="19"/>
    <x v="4"/>
    <x v="0"/>
    <s v="4700103"/>
    <n v="400020"/>
    <s v="O/P Care Svcs Rev--Self Pay"/>
    <s v="Clinical Laboratory Service"/>
    <x v="0"/>
    <n v="1500"/>
    <n v="-98712.29"/>
    <n v="-151828.82"/>
    <n v="-88193.35"/>
    <n v="-75455.179999999993"/>
    <n v="-103759.65"/>
    <n v="-93407.86"/>
    <n v="-97307.99"/>
    <n v="-89713.71"/>
    <n v="-102021.98"/>
    <n v="-91910.54"/>
    <n v="-79477.75"/>
    <n v="-70852.25"/>
    <n v="-1142641.3699999999"/>
    <n v="-8625.5"/>
  </r>
  <r>
    <x v="19"/>
    <x v="4"/>
    <x v="0"/>
    <s v="4700103"/>
    <n v="400020"/>
    <s v="O/P Care Svcs Rev--Other"/>
    <s v="Clinical Laboratory Service"/>
    <x v="0"/>
    <n v="1700"/>
    <n v="-148460.17000000001"/>
    <n v="-191652.95"/>
    <n v="-157446.70000000001"/>
    <n v="-142843.46"/>
    <n v="-124297.24"/>
    <n v="-157590.1"/>
    <n v="-167378.85"/>
    <n v="-136497.66"/>
    <n v="-179529.55"/>
    <n v="-154480.88"/>
    <n v="-158741.87"/>
    <n v="-163169.32999999999"/>
    <n v="-1882088.7600000002"/>
    <n v="4427.4599999999919"/>
  </r>
  <r>
    <x v="14"/>
    <x v="4"/>
    <x v="0"/>
    <s v="4700103"/>
    <n v="600050"/>
    <s v="Miscellaneous Revenue"/>
    <s v="Clinical Laboratory Service"/>
    <x v="0"/>
    <m/>
    <n v="-2320.4699999999998"/>
    <n v="-2460.5500000000002"/>
    <n v="-2523.71"/>
    <n v="-2005.62"/>
    <n v="-2632.4"/>
    <n v="-1610.56"/>
    <n v="-2132.42"/>
    <n v="-2032.68"/>
    <n v="-2161.37"/>
    <n v="-2213.7199999999998"/>
    <n v="-1036.0999999999999"/>
    <n v="-557.84"/>
    <n v="-23687.439999999999"/>
    <n v="-478.25999999999988"/>
  </r>
  <r>
    <x v="5"/>
    <x v="4"/>
    <x v="0"/>
    <s v="4700103"/>
    <n v="700014"/>
    <s v="Salaries-Management-Productive"/>
    <s v="Clinical Laboratory Service"/>
    <x v="0"/>
    <m/>
    <n v="6013.76"/>
    <n v="7288.82"/>
    <n v="7926.45"/>
    <n v="7357.78"/>
    <n v="9168.48"/>
    <n v="6720.03"/>
    <n v="6958.59"/>
    <n v="6900.93"/>
    <n v="9125.16"/>
    <n v="4448.49"/>
    <n v="9010.9599999999991"/>
    <n v="8469.4"/>
    <n v="89388.849999999977"/>
    <n v="541.55999999999949"/>
  </r>
  <r>
    <x v="5"/>
    <x v="4"/>
    <x v="0"/>
    <s v="4700103"/>
    <n v="700032"/>
    <s v="Salaries-Other Pat Care Providers-Productive"/>
    <s v="Clinical Laboratory Service"/>
    <x v="0"/>
    <m/>
    <n v="72833.149999999994"/>
    <n v="72955.53"/>
    <n v="73361.58"/>
    <n v="74321.53"/>
    <n v="73209.73"/>
    <n v="68888.42"/>
    <n v="75124.78"/>
    <n v="62785.36"/>
    <n v="75411.39"/>
    <n v="71853.77"/>
    <n v="72285.03"/>
    <n v="66542.86"/>
    <n v="859573.13"/>
    <n v="5742.1699999999983"/>
  </r>
  <r>
    <x v="5"/>
    <x v="4"/>
    <x v="0"/>
    <s v="4700103"/>
    <n v="700032"/>
    <s v="Salaries-Other Pat Care Providers-OT"/>
    <s v="Clinical Laboratory Service"/>
    <x v="0"/>
    <n v="1000"/>
    <n v="1760.64"/>
    <n v="2880"/>
    <n v="3268.38"/>
    <n v="4432.72"/>
    <n v="3951.54"/>
    <n v="5281.51"/>
    <n v="1804.49"/>
    <n v="2474.2199999999998"/>
    <n v="2317.46"/>
    <n v="5689.79"/>
    <n v="2503.7800000000002"/>
    <n v="7132.31"/>
    <n v="43496.84"/>
    <n v="-4628.5300000000007"/>
  </r>
  <r>
    <x v="5"/>
    <x v="4"/>
    <x v="0"/>
    <s v="4700103"/>
    <n v="700032"/>
    <s v="Salaries-Other Pat Care Providers-Other"/>
    <s v="Clinical Laboratory Service"/>
    <x v="0"/>
    <n v="2000"/>
    <n v="5080.3100000000004"/>
    <n v="5780.76"/>
    <n v="5063.6000000000004"/>
    <n v="5506.07"/>
    <n v="5730.29"/>
    <n v="5568.12"/>
    <n v="5630.78"/>
    <n v="4685.53"/>
    <n v="5457.22"/>
    <n v="5441.13"/>
    <n v="5735.87"/>
    <n v="4708.37"/>
    <n v="64388.05"/>
    <n v="1027.5"/>
  </r>
  <r>
    <x v="5"/>
    <x v="4"/>
    <x v="0"/>
    <s v="4700103"/>
    <n v="700034"/>
    <s v="Salaries-Tech/Professional-Productive"/>
    <s v="Clinical Laboratory Service"/>
    <x v="0"/>
    <m/>
    <n v="23931.69"/>
    <n v="20897.05"/>
    <n v="20779.169999999998"/>
    <n v="24574.16"/>
    <n v="20242.75"/>
    <n v="26263.68"/>
    <n v="23187.46"/>
    <n v="21285.279999999999"/>
    <n v="20912.599999999999"/>
    <n v="23201.8"/>
    <n v="28983.68"/>
    <n v="20006.79"/>
    <n v="274266.11"/>
    <n v="8976.89"/>
  </r>
  <r>
    <x v="5"/>
    <x v="4"/>
    <x v="0"/>
    <s v="4700103"/>
    <n v="700034"/>
    <s v="Salaries-Tech/Professional-OT"/>
    <s v="Clinical Laboratory Service"/>
    <x v="0"/>
    <n v="1000"/>
    <n v="941.52"/>
    <n v="-15.75"/>
    <n v="737.56"/>
    <n v="917.05"/>
    <n v="882.96"/>
    <n v="403.75"/>
    <n v="714.66"/>
    <n v="1806.15"/>
    <n v="2562.9499999999998"/>
    <n v="1711.96"/>
    <n v="2361.87"/>
    <n v="1206.24"/>
    <n v="14230.919999999996"/>
    <n v="1155.6299999999999"/>
  </r>
  <r>
    <x v="5"/>
    <x v="4"/>
    <x v="0"/>
    <s v="4700103"/>
    <n v="700034"/>
    <s v="Salaries-Tech/Professional-Other"/>
    <s v="Clinical Laboratory Service"/>
    <x v="0"/>
    <n v="2000"/>
    <n v="2477.4899999999998"/>
    <n v="2256.15"/>
    <n v="2229.23"/>
    <n v="2692.2"/>
    <n v="2444.1"/>
    <n v="2552.2600000000002"/>
    <n v="2896.77"/>
    <n v="2046.39"/>
    <n v="2606.66"/>
    <n v="2630.91"/>
    <n v="2915.25"/>
    <n v="2578.17"/>
    <n v="30325.58"/>
    <n v="337.07999999999993"/>
  </r>
  <r>
    <x v="5"/>
    <x v="4"/>
    <x v="0"/>
    <s v="4700103"/>
    <n v="700054"/>
    <s v="Salaries-Management-Non-productive"/>
    <s v="Clinical Laboratory Service"/>
    <x v="0"/>
    <m/>
    <n v="2577.3200000000002"/>
    <n v="1302.68"/>
    <n v="388"/>
    <n v="1423.7"/>
    <n v="-626.41999999999996"/>
    <n v="2107.0500000000002"/>
    <n v="1882.28"/>
    <n v="1083.56"/>
    <n v="-285.11"/>
    <n v="4106.1000000000004"/>
    <n v="-170.93"/>
    <n v="85.6"/>
    <n v="13873.83"/>
    <n v="-256.52999999999997"/>
  </r>
  <r>
    <x v="5"/>
    <x v="4"/>
    <x v="0"/>
    <s v="4700103"/>
    <n v="700054"/>
    <s v="Salaries-Management-NonProd-Other"/>
    <s v="Clinical Laboratory Service"/>
    <x v="0"/>
    <n v="2000"/>
    <n v="0"/>
    <n v="0"/>
    <n v="0"/>
    <n v="0"/>
    <n v="0"/>
    <n v="3749.58"/>
    <n v="0"/>
    <n v="-3749.58"/>
    <n v="0"/>
    <n v="0"/>
    <n v="0"/>
    <n v="0"/>
    <n v="0"/>
    <n v="0"/>
  </r>
  <r>
    <x v="5"/>
    <x v="4"/>
    <x v="0"/>
    <s v="4700103"/>
    <n v="700072"/>
    <s v="Salaries-Other Pat Care Providers-Non-productive"/>
    <s v="Clinical Laboratory Service"/>
    <x v="0"/>
    <m/>
    <n v="8647.31"/>
    <n v="12284.96"/>
    <n v="4523.6899999999996"/>
    <n v="5794.22"/>
    <n v="4709.71"/>
    <n v="10679.64"/>
    <n v="4190.88"/>
    <n v="9068.19"/>
    <n v="4685.96"/>
    <n v="10330.91"/>
    <n v="10696.97"/>
    <n v="9460.81"/>
    <n v="95073.25"/>
    <n v="1236.1599999999999"/>
  </r>
  <r>
    <x v="5"/>
    <x v="4"/>
    <x v="0"/>
    <s v="4700103"/>
    <n v="700072"/>
    <s v="Salaries-Other Pat Care Providers-NonProd-Other"/>
    <s v="Clinical Laboratory Service"/>
    <x v="0"/>
    <n v="2000"/>
    <n v="456.85"/>
    <n v="97.56"/>
    <n v="314.45"/>
    <n v="111.33"/>
    <n v="929.66"/>
    <n v="364.99"/>
    <n v="191.24"/>
    <n v="-428.2"/>
    <n v="92.93"/>
    <n v="454.26"/>
    <n v="642.87"/>
    <n v="487.01"/>
    <n v="3714.95"/>
    <n v="155.86000000000001"/>
  </r>
  <r>
    <x v="5"/>
    <x v="4"/>
    <x v="0"/>
    <s v="4700103"/>
    <n v="700074"/>
    <s v="Salaries-Tech/Professional-Non-productive"/>
    <s v="Clinical Laboratory Service"/>
    <x v="0"/>
    <m/>
    <n v="1788.94"/>
    <n v="4560.32"/>
    <n v="5511.22"/>
    <n v="2019.13"/>
    <n v="6267.98"/>
    <n v="-1612.39"/>
    <n v="2578.7199999999998"/>
    <n v="1543.7"/>
    <n v="915.74"/>
    <n v="1159.6400000000001"/>
    <n v="3846.67"/>
    <n v="3773.2"/>
    <n v="32352.870000000006"/>
    <n v="73.470000000000255"/>
  </r>
  <r>
    <x v="5"/>
    <x v="4"/>
    <x v="0"/>
    <s v="4700103"/>
    <n v="700074"/>
    <s v="Salaries-Tech/Professional-NonProd-Other"/>
    <s v="Clinical Laboratory Service"/>
    <x v="0"/>
    <n v="2000"/>
    <n v="118.48"/>
    <n v="314.06"/>
    <n v="550.78"/>
    <n v="65.52"/>
    <n v="949.01"/>
    <n v="-196.53"/>
    <n v="150.51"/>
    <n v="-191.99"/>
    <n v="872.32"/>
    <n v="-217.71"/>
    <n v="271.63"/>
    <n v="247.04"/>
    <n v="2933.12"/>
    <n v="24.590000000000003"/>
  </r>
  <r>
    <x v="5"/>
    <x v="4"/>
    <x v="0"/>
    <s v="4700103"/>
    <n v="700084"/>
    <s v="Accrued PTO"/>
    <s v="Clinical Laboratory Service"/>
    <x v="0"/>
    <m/>
    <n v="2598.69"/>
    <n v="-4676.9799999999996"/>
    <n v="43.49"/>
    <n v="4746.58"/>
    <n v="3694.48"/>
    <n v="3983.21"/>
    <n v="3056.5"/>
    <n v="2537.7800000000002"/>
    <n v="6190.87"/>
    <n v="488.17"/>
    <n v="576.6"/>
    <n v="-1736.16"/>
    <n v="21503.23"/>
    <n v="2312.7600000000002"/>
  </r>
  <r>
    <x v="6"/>
    <x v="4"/>
    <x v="0"/>
    <s v="4700103"/>
    <n v="713010"/>
    <s v="Benefits-FICA/Medicare"/>
    <s v="Clinical Laboratory Service"/>
    <x v="0"/>
    <m/>
    <n v="9635.7800000000007"/>
    <n v="9726.2099999999991"/>
    <n v="9408.2199999999993"/>
    <n v="9652.9599999999991"/>
    <n v="9901.32"/>
    <n v="9751.59"/>
    <n v="9342.27"/>
    <n v="8902.5499999999993"/>
    <n v="9848.17"/>
    <n v="9280.86"/>
    <n v="10352.01"/>
    <n v="9350.8799999999992"/>
    <n v="115152.82"/>
    <n v="1001.130000000001"/>
  </r>
  <r>
    <x v="6"/>
    <x v="4"/>
    <x v="0"/>
    <s v="4700103"/>
    <n v="713090"/>
    <s v="Benefits-Allocated Amounts"/>
    <s v="Clinical Laboratory Service"/>
    <x v="0"/>
    <m/>
    <n v="32320.58"/>
    <n v="26945.17"/>
    <n v="27462.91"/>
    <n v="28104.68"/>
    <n v="27927.919999999998"/>
    <n v="27193.13"/>
    <n v="29513.46"/>
    <n v="27847.61"/>
    <n v="27789.17"/>
    <n v="32264"/>
    <n v="32680.14"/>
    <n v="29468.69"/>
    <n v="349517.46"/>
    <n v="3211.4500000000007"/>
  </r>
  <r>
    <x v="6"/>
    <x v="4"/>
    <x v="0"/>
    <s v="4700103"/>
    <n v="713096"/>
    <s v="Employee Recognition"/>
    <s v="Clinical Laboratory Service"/>
    <x v="0"/>
    <n v="1017"/>
    <n v="0"/>
    <n v="0"/>
    <n v="35.99"/>
    <n v="0"/>
    <n v="0"/>
    <n v="0"/>
    <n v="0"/>
    <n v="0"/>
    <n v="0"/>
    <n v="50"/>
    <n v="0"/>
    <n v="0"/>
    <n v="85.990000000000009"/>
    <n v="0"/>
  </r>
  <r>
    <x v="17"/>
    <x v="4"/>
    <x v="0"/>
    <s v="4700103"/>
    <n v="714510"/>
    <s v="Medical Director Fees"/>
    <s v="Clinical Laboratory Service"/>
    <x v="0"/>
    <m/>
    <n v="5462.97"/>
    <n v="5597.75"/>
    <n v="3163.77"/>
    <n v="3222.27"/>
    <n v="0"/>
    <n v="5888.98"/>
    <n v="3030.9"/>
    <n v="0"/>
    <n v="5917.21"/>
    <n v="2921.71"/>
    <n v="3085.68"/>
    <n v="3173.71"/>
    <n v="41464.950000000004"/>
    <n v="-88.0300000000002"/>
  </r>
  <r>
    <x v="7"/>
    <x v="4"/>
    <x v="0"/>
    <s v="4700103"/>
    <n v="718040"/>
    <s v="Contract Svcs-Laboratory"/>
    <s v="Clinical Laboratory Service"/>
    <x v="0"/>
    <m/>
    <n v="4911.82"/>
    <n v="3514.75"/>
    <n v="12500.31"/>
    <n v="5910.37"/>
    <n v="9047.16"/>
    <n v="6785"/>
    <n v="13413.5"/>
    <n v="9477.52"/>
    <n v="9713.92"/>
    <n v="3172.55"/>
    <n v="8842.58"/>
    <n v="28784.26"/>
    <n v="116073.73999999999"/>
    <n v="-19941.68"/>
  </r>
  <r>
    <x v="7"/>
    <x v="4"/>
    <x v="0"/>
    <s v="4700103"/>
    <n v="718040"/>
    <s v="Contract Svcs-Reference Lab Fees"/>
    <s v="Clinical Laboratory Service"/>
    <x v="0"/>
    <n v="1001"/>
    <n v="0"/>
    <n v="0"/>
    <n v="0"/>
    <n v="0"/>
    <n v="0"/>
    <n v="0"/>
    <n v="208.02"/>
    <n v="10298"/>
    <n v="296"/>
    <n v="17506.400000000001"/>
    <n v="168.3"/>
    <n v="11300.11"/>
    <n v="39776.83"/>
    <n v="-11131.810000000001"/>
  </r>
  <r>
    <x v="7"/>
    <x v="4"/>
    <x v="0"/>
    <s v="4700103"/>
    <n v="718050"/>
    <s v="Contract Svcs-Other"/>
    <s v="Clinical Laboratory Service"/>
    <x v="0"/>
    <m/>
    <n v="3213"/>
    <n v="6001"/>
    <n v="3128"/>
    <n v="-3213"/>
    <n v="0"/>
    <n v="0"/>
    <n v="0"/>
    <n v="0"/>
    <n v="0"/>
    <n v="0"/>
    <n v="0"/>
    <n v="-6001"/>
    <n v="3128"/>
    <n v="6001"/>
  </r>
  <r>
    <x v="7"/>
    <x v="4"/>
    <x v="0"/>
    <s v="4700103"/>
    <n v="718050"/>
    <s v="Document Shredding/Storage"/>
    <s v="Clinical Laboratory Service"/>
    <x v="0"/>
    <n v="1012"/>
    <n v="100.27"/>
    <n v="152.44"/>
    <n v="95.65"/>
    <n v="98.96"/>
    <n v="102.27"/>
    <n v="102.27"/>
    <n v="101.24"/>
    <n v="196.63"/>
    <n v="143.46"/>
    <n v="14.04"/>
    <n v="100.47"/>
    <n v="197.66"/>
    <n v="1405.3600000000001"/>
    <n v="-97.19"/>
  </r>
  <r>
    <x v="7"/>
    <x v="4"/>
    <x v="0"/>
    <s v="4700103"/>
    <n v="718050"/>
    <s v="Miscellaneous Purchased Svcs"/>
    <s v="Clinical Laboratory Service"/>
    <x v="0"/>
    <n v="1020"/>
    <n v="14555.4"/>
    <n v="15011.92"/>
    <n v="15421.08"/>
    <n v="15180.67"/>
    <n v="14783.66"/>
    <n v="14783.66"/>
    <n v="15139.84"/>
    <n v="14783.66"/>
    <n v="14783.66"/>
    <n v="14784.08"/>
    <n v="17765.25"/>
    <n v="14784.29"/>
    <n v="181777.16999999998"/>
    <n v="2980.9599999999991"/>
  </r>
  <r>
    <x v="7"/>
    <x v="4"/>
    <x v="0"/>
    <s v="4700103"/>
    <n v="718050"/>
    <s v="Contract Svcs--Medical/Dental"/>
    <s v="Clinical Laboratory Service"/>
    <x v="0"/>
    <n v="1024"/>
    <n v="3835.92"/>
    <n v="10897.88"/>
    <n v="142.85"/>
    <n v="8757.0499999999993"/>
    <n v="17758.07"/>
    <n v="18661.73"/>
    <n v="10000"/>
    <n v="6000"/>
    <n v="14000"/>
    <n v="-17000"/>
    <n v="11000"/>
    <n v="0"/>
    <n v="84053.5"/>
    <n v="11000"/>
  </r>
  <r>
    <x v="7"/>
    <x v="4"/>
    <x v="0"/>
    <s v="4700103"/>
    <n v="718050"/>
    <s v="Purchased Srvcs-Medical/Clinical Review"/>
    <s v="Clinical Laboratory Service"/>
    <x v="0"/>
    <n v="1032"/>
    <n v="0"/>
    <n v="0"/>
    <n v="0"/>
    <n v="0"/>
    <n v="0"/>
    <n v="0"/>
    <n v="0"/>
    <n v="180"/>
    <n v="0"/>
    <n v="0"/>
    <n v="0"/>
    <n v="0"/>
    <n v="180"/>
    <n v="0"/>
  </r>
  <r>
    <x v="7"/>
    <x v="4"/>
    <x v="0"/>
    <s v="4700103"/>
    <n v="718070"/>
    <s v="Contract Srvcs-CHI Clinical Engineering"/>
    <s v="Clinical Laboratory Service"/>
    <x v="0"/>
    <m/>
    <n v="5470.25"/>
    <n v="9029.81"/>
    <n v="9050.24"/>
    <n v="9050.24"/>
    <n v="9050.24"/>
    <n v="9067.94"/>
    <n v="9067.94"/>
    <n v="9067.92"/>
    <n v="9067.94"/>
    <n v="6907.55"/>
    <n v="6907.52"/>
    <n v="6907.58"/>
    <n v="98645.170000000013"/>
    <n v="-5.9999999999490683E-2"/>
  </r>
  <r>
    <x v="7"/>
    <x v="4"/>
    <x v="0"/>
    <s v="4700103"/>
    <n v="718091"/>
    <s v="Contract Services-Intracompany Allocation"/>
    <s v="Clinical Laboratory Service"/>
    <x v="0"/>
    <m/>
    <n v="14789.04"/>
    <n v="15668.34"/>
    <n v="15194.38"/>
    <n v="17377.91"/>
    <n v="16350.07"/>
    <n v="16926.37"/>
    <n v="20849.07"/>
    <n v="18679.150000000001"/>
    <n v="21130.3"/>
    <n v="19719.62"/>
    <n v="21995.49"/>
    <n v="20844.990000000002"/>
    <n v="219524.72999999995"/>
    <n v="1150.5"/>
  </r>
  <r>
    <x v="11"/>
    <x v="4"/>
    <x v="0"/>
    <s v="4700103"/>
    <n v="721220"/>
    <s v="Supplies-Medical Gases - Billable"/>
    <s v="Clinical Laboratory Service"/>
    <x v="0"/>
    <m/>
    <n v="11"/>
    <n v="11"/>
    <n v="0"/>
    <n v="22"/>
    <n v="11"/>
    <n v="11"/>
    <n v="11"/>
    <n v="22"/>
    <n v="11"/>
    <n v="11"/>
    <n v="0"/>
    <n v="22"/>
    <n v="143"/>
    <n v="-22"/>
  </r>
  <r>
    <x v="11"/>
    <x v="4"/>
    <x v="0"/>
    <s v="4700103"/>
    <n v="721240"/>
    <s v="Supplies-IV Solutions/Supplies - Billable"/>
    <s v="Clinical Laboratory Service"/>
    <x v="0"/>
    <m/>
    <n v="0"/>
    <n v="0"/>
    <n v="0"/>
    <n v="0"/>
    <n v="180"/>
    <n v="0"/>
    <n v="0"/>
    <n v="0"/>
    <n v="0"/>
    <n v="0"/>
    <n v="0"/>
    <n v="0"/>
    <n v="180"/>
    <n v="0"/>
  </r>
  <r>
    <x v="11"/>
    <x v="4"/>
    <x v="0"/>
    <s v="4700103"/>
    <n v="721320"/>
    <s v="Supplies-Purchased Blood - Billable"/>
    <s v="Clinical Laboratory Service"/>
    <x v="0"/>
    <m/>
    <n v="24646.5"/>
    <n v="23000"/>
    <n v="26000"/>
    <n v="34689.25"/>
    <n v="27000"/>
    <n v="27000"/>
    <n v="47528.25"/>
    <n v="29675.5"/>
    <n v="42684.01"/>
    <n v="75093.899999999994"/>
    <n v="-466.67"/>
    <n v="37288.629999999997"/>
    <n v="394139.37000000005"/>
    <n v="-37755.299999999996"/>
  </r>
  <r>
    <x v="11"/>
    <x v="4"/>
    <x v="0"/>
    <s v="4700103"/>
    <n v="721410"/>
    <s v="Supplies-Medical - Nonbillable"/>
    <s v="Clinical Laboratory Service"/>
    <x v="0"/>
    <m/>
    <n v="14147.84"/>
    <n v="15821.19"/>
    <n v="11965.57"/>
    <n v="15944.77"/>
    <n v="15688.49"/>
    <n v="12121.22"/>
    <n v="15948.47"/>
    <n v="14690.79"/>
    <n v="13516.3"/>
    <n v="20966.72"/>
    <n v="14671.29"/>
    <n v="12723.44"/>
    <n v="178206.09"/>
    <n v="1947.8500000000004"/>
  </r>
  <r>
    <x v="11"/>
    <x v="4"/>
    <x v="0"/>
    <s v="4700103"/>
    <n v="721640"/>
    <s v="Supplies-IV Solutions/Supplies - Nonbillable"/>
    <s v="Clinical Laboratory Service"/>
    <x v="0"/>
    <m/>
    <n v="2891.39"/>
    <n v="2818.07"/>
    <n v="2862.39"/>
    <n v="3036.12"/>
    <n v="3142.49"/>
    <n v="2911.06"/>
    <n v="3477.59"/>
    <n v="2986.66"/>
    <n v="3158.73"/>
    <n v="2998.25"/>
    <n v="3118.65"/>
    <n v="3084.44"/>
    <n v="36485.840000000004"/>
    <n v="34.210000000000036"/>
  </r>
  <r>
    <x v="11"/>
    <x v="4"/>
    <x v="0"/>
    <s v="4700103"/>
    <n v="721710"/>
    <s v="Supplies-Laboratory - Nonbillable"/>
    <s v="Clinical Laboratory Service"/>
    <x v="0"/>
    <m/>
    <n v="34804.620000000003"/>
    <n v="40834.980000000003"/>
    <n v="23220.52"/>
    <n v="26936.720000000001"/>
    <n v="13867.11"/>
    <n v="32599.48"/>
    <n v="32165.91"/>
    <n v="26791.89"/>
    <n v="19843.63"/>
    <n v="32003.95"/>
    <n v="26789.88"/>
    <n v="42917.1"/>
    <n v="352775.79000000004"/>
    <n v="-16127.219999999998"/>
  </r>
  <r>
    <x v="11"/>
    <x v="4"/>
    <x v="0"/>
    <s v="4700103"/>
    <n v="721710"/>
    <s v="Reagents"/>
    <s v="Clinical Laboratory Service"/>
    <x v="0"/>
    <n v="1000"/>
    <n v="22766.94"/>
    <n v="70461.22"/>
    <n v="31493.77"/>
    <n v="54698.94"/>
    <n v="40455.97"/>
    <n v="16171.97"/>
    <n v="39472.51"/>
    <n v="41098.28"/>
    <n v="29771.58"/>
    <n v="49360.160000000003"/>
    <n v="43912.01"/>
    <n v="45814.74"/>
    <n v="485478.08999999997"/>
    <n v="-1902.7299999999959"/>
  </r>
  <r>
    <x v="11"/>
    <x v="4"/>
    <x v="0"/>
    <s v="4700103"/>
    <n v="721810"/>
    <s v="Supplies-Dietary/Cafeteria"/>
    <s v="Clinical Laboratory Service"/>
    <x v="0"/>
    <m/>
    <n v="15.75"/>
    <n v="18"/>
    <n v="18"/>
    <n v="122.02"/>
    <n v="15.75"/>
    <n v="22.5"/>
    <n v="169.58"/>
    <n v="18"/>
    <n v="19.059999999999999"/>
    <n v="139.53"/>
    <n v="16.55"/>
    <n v="13.5"/>
    <n v="588.24"/>
    <n v="3.0500000000000007"/>
  </r>
  <r>
    <x v="11"/>
    <x v="4"/>
    <x v="0"/>
    <s v="4700103"/>
    <n v="721830"/>
    <s v="Supplies-Office"/>
    <s v="Clinical Laboratory Service"/>
    <x v="0"/>
    <m/>
    <n v="318.98"/>
    <n v="402.61"/>
    <n v="196.39"/>
    <n v="267.58999999999997"/>
    <n v="410.78"/>
    <n v="207.7"/>
    <n v="655.95"/>
    <n v="298.06"/>
    <n v="281.27999999999997"/>
    <n v="720.38"/>
    <n v="197.77"/>
    <n v="293.02"/>
    <n v="4250.51"/>
    <n v="-95.249999999999972"/>
  </r>
  <r>
    <x v="11"/>
    <x v="4"/>
    <x v="0"/>
    <s v="4700103"/>
    <n v="721835"/>
    <s v="Supplies-Forms"/>
    <s v="Clinical Laboratory Service"/>
    <x v="0"/>
    <m/>
    <n v="0"/>
    <n v="0"/>
    <n v="0"/>
    <n v="0"/>
    <n v="7.05"/>
    <n v="12.9"/>
    <n v="0"/>
    <n v="0"/>
    <n v="1"/>
    <n v="0"/>
    <n v="0"/>
    <n v="0"/>
    <n v="20.95"/>
    <n v="0"/>
  </r>
  <r>
    <x v="11"/>
    <x v="4"/>
    <x v="0"/>
    <s v="4700103"/>
    <n v="721870"/>
    <s v="Supplies-Environmental Services"/>
    <s v="Clinical Laboratory Service"/>
    <x v="0"/>
    <m/>
    <n v="90.26"/>
    <n v="67.569999999999993"/>
    <n v="96.93"/>
    <n v="90.14"/>
    <n v="97.07"/>
    <n v="125.48"/>
    <n v="83.36"/>
    <n v="83.9"/>
    <n v="148.01"/>
    <n v="40.75"/>
    <n v="93.12"/>
    <n v="83.57"/>
    <n v="1100.1599999999999"/>
    <n v="9.5500000000000114"/>
  </r>
  <r>
    <x v="11"/>
    <x v="4"/>
    <x v="0"/>
    <s v="4700103"/>
    <n v="721910"/>
    <s v="Supplies-Small Equipment"/>
    <s v="Clinical Laboratory Service"/>
    <x v="0"/>
    <m/>
    <n v="712.56"/>
    <n v="71.650000000000006"/>
    <n v="0"/>
    <n v="0"/>
    <n v="1019.5"/>
    <n v="28.89"/>
    <n v="28.73"/>
    <n v="0"/>
    <n v="0"/>
    <n v="559.99"/>
    <n v="-14.57"/>
    <n v="7281.83"/>
    <n v="9688.58"/>
    <n v="-7296.4"/>
  </r>
  <r>
    <x v="11"/>
    <x v="4"/>
    <x v="0"/>
    <s v="4700103"/>
    <n v="721980"/>
    <s v="Supplies-Other"/>
    <s v="Clinical Laboratory Service"/>
    <x v="0"/>
    <m/>
    <n v="132"/>
    <n v="88"/>
    <n v="210.99"/>
    <n v="-215.64"/>
    <n v="374.04"/>
    <n v="0"/>
    <n v="0"/>
    <n v="0"/>
    <n v="532"/>
    <n v="80.89"/>
    <n v="294"/>
    <n v="47.08"/>
    <n v="1543.3600000000001"/>
    <n v="246.92000000000002"/>
  </r>
  <r>
    <x v="11"/>
    <x v="4"/>
    <x v="0"/>
    <s v="4700103"/>
    <n v="722000"/>
    <s v="Supplies-Freight Expense"/>
    <s v="Clinical Laboratory Service"/>
    <x v="0"/>
    <m/>
    <n v="1696.93"/>
    <n v="3138.57"/>
    <n v="2476.9499999999998"/>
    <n v="2049.29"/>
    <n v="1681.19"/>
    <n v="2055.11"/>
    <n v="3281.88"/>
    <n v="656.35"/>
    <n v="2264.8200000000002"/>
    <n v="2443.06"/>
    <n v="2523.4"/>
    <n v="1291.58"/>
    <n v="25559.130000000005"/>
    <n v="1231.8200000000002"/>
  </r>
  <r>
    <x v="11"/>
    <x v="4"/>
    <x v="0"/>
    <s v="4700103"/>
    <n v="723000"/>
    <s v="Supply Rebates/Patronage Dividend"/>
    <s v="Clinical Laboratory Service"/>
    <x v="0"/>
    <m/>
    <n v="0"/>
    <n v="0"/>
    <n v="0"/>
    <n v="0"/>
    <n v="0"/>
    <n v="-117.01"/>
    <n v="0"/>
    <n v="0"/>
    <n v="-2885.77"/>
    <n v="0"/>
    <n v="0"/>
    <n v="-21.65"/>
    <n v="-3024.4300000000003"/>
    <n v="21.65"/>
  </r>
  <r>
    <x v="12"/>
    <x v="4"/>
    <x v="0"/>
    <s v="4700103"/>
    <n v="730020"/>
    <s v="Rental and Leases-Equipment (DO NOT USE)"/>
    <s v="Clinical Laboratory Service"/>
    <x v="0"/>
    <m/>
    <n v="5827.49"/>
    <n v="8278.26"/>
    <n v="33311.58"/>
    <n v="5247.88"/>
    <n v="12561.45"/>
    <n v="32617.95"/>
    <n v="19311.8"/>
    <n v="15526.66"/>
    <n v="-11446.08"/>
    <n v="14923.61"/>
    <n v="1517.91"/>
    <n v="18634.830000000002"/>
    <n v="156313.34000000003"/>
    <n v="-17116.920000000002"/>
  </r>
  <r>
    <x v="12"/>
    <x v="4"/>
    <x v="0"/>
    <s v="4700103"/>
    <n v="730020"/>
    <s v="Rental and Leases-Copier Usage Fees (DO NOT USE)"/>
    <s v="Clinical Laboratory Service"/>
    <x v="0"/>
    <n v="5100"/>
    <n v="245.88"/>
    <n v="250.64"/>
    <n v="248.26"/>
    <n v="248.26"/>
    <n v="248.26"/>
    <n v="248.26"/>
    <n v="396.94"/>
    <n v="241.92"/>
    <n v="241.41"/>
    <n v="301.45999999999998"/>
    <n v="369.58"/>
    <n v="245.02"/>
    <n v="3285.89"/>
    <n v="124.55999999999997"/>
  </r>
  <r>
    <x v="15"/>
    <x v="4"/>
    <x v="0"/>
    <s v="4700103"/>
    <n v="731060"/>
    <s v="Pagers"/>
    <s v="Clinical Laboratory Service"/>
    <x v="0"/>
    <n v="1002"/>
    <n v="35.630000000000003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124.91000000000003"/>
    <n v="0"/>
  </r>
  <r>
    <x v="13"/>
    <x v="4"/>
    <x v="0"/>
    <s v="4700103"/>
    <n v="735060"/>
    <s v="Depreciation-Fixed Equipment"/>
    <s v="Clinical Laboratory Service"/>
    <x v="0"/>
    <m/>
    <n v="34.9"/>
    <n v="34.9"/>
    <n v="34.9"/>
    <n v="34.9"/>
    <n v="34.9"/>
    <n v="34.9"/>
    <n v="34.9"/>
    <n v="34.9"/>
    <n v="34.9"/>
    <n v="34.89"/>
    <n v="34.9"/>
    <n v="34.89"/>
    <n v="418.77999999999992"/>
    <n v="9.9999999999980105E-3"/>
  </r>
  <r>
    <x v="13"/>
    <x v="4"/>
    <x v="0"/>
    <s v="4700103"/>
    <n v="735070"/>
    <s v="Depreciation-Movable Equipment"/>
    <s v="Clinical Laboratory Service"/>
    <x v="0"/>
    <m/>
    <n v="9921.93"/>
    <n v="9921.92"/>
    <n v="9921.94"/>
    <n v="9866.1"/>
    <n v="9866.17"/>
    <n v="9866.09"/>
    <n v="9809.33"/>
    <n v="10311.34"/>
    <n v="10311.450000000001"/>
    <n v="10848.45"/>
    <n v="9332.2999999999993"/>
    <n v="9332.19"/>
    <n v="119309.20999999999"/>
    <n v="0.10999999999876309"/>
  </r>
  <r>
    <x v="0"/>
    <x v="4"/>
    <x v="0"/>
    <s v="4700103"/>
    <n v="742030"/>
    <s v="Freight-Courier"/>
    <s v="Clinical Laboratory Service"/>
    <x v="0"/>
    <m/>
    <n v="0"/>
    <n v="0"/>
    <n v="0"/>
    <n v="3213"/>
    <n v="4339"/>
    <n v="1860.5"/>
    <n v="6715.5"/>
    <n v="1364.5"/>
    <n v="3090"/>
    <n v="3639.25"/>
    <n v="1671"/>
    <n v="13206.85"/>
    <n v="39099.599999999999"/>
    <n v="-11535.85"/>
  </r>
  <r>
    <x v="0"/>
    <x v="4"/>
    <x v="0"/>
    <s v="4700103"/>
    <n v="743010"/>
    <s v="Dues--Institutional"/>
    <s v="Clinical Laboratory Service"/>
    <x v="0"/>
    <m/>
    <n v="0"/>
    <n v="0"/>
    <n v="0"/>
    <n v="0"/>
    <n v="1049"/>
    <n v="0"/>
    <n v="0"/>
    <n v="635.79999999999995"/>
    <n v="0"/>
    <n v="0"/>
    <n v="0"/>
    <n v="0"/>
    <n v="1684.8"/>
    <n v="0"/>
  </r>
  <r>
    <x v="0"/>
    <x v="4"/>
    <x v="0"/>
    <s v="4700103"/>
    <n v="743030"/>
    <s v="Subscriptions--Institutional"/>
    <s v="Clinical Laboratory Service"/>
    <x v="0"/>
    <m/>
    <n v="0"/>
    <n v="0"/>
    <n v="0"/>
    <n v="0"/>
    <n v="0"/>
    <n v="0"/>
    <n v="0"/>
    <n v="0"/>
    <n v="0"/>
    <n v="0"/>
    <n v="88.35"/>
    <n v="0"/>
    <n v="88.35"/>
    <n v="88.35"/>
  </r>
  <r>
    <x v="0"/>
    <x v="4"/>
    <x v="0"/>
    <s v="4700103"/>
    <n v="749510"/>
    <s v="Miscellaneous Expenses"/>
    <s v="Clinical Laboratory Service"/>
    <x v="0"/>
    <m/>
    <n v="0"/>
    <n v="0"/>
    <n v="1219.97"/>
    <n v="33.97"/>
    <n v="115.43"/>
    <n v="-28.62"/>
    <n v="0"/>
    <n v="37.979999999999997"/>
    <n v="-15.13"/>
    <n v="487.12"/>
    <n v="-170.52"/>
    <n v="0"/>
    <n v="1680.2000000000003"/>
    <n v="-170.52"/>
  </r>
  <r>
    <x v="0"/>
    <x v="4"/>
    <x v="0"/>
    <s v="4700103"/>
    <n v="749510"/>
    <s v="Licenses"/>
    <s v="Clinical Laboratory Service"/>
    <x v="0"/>
    <n v="1002"/>
    <n v="0"/>
    <n v="0"/>
    <n v="5033"/>
    <n v="0"/>
    <n v="0"/>
    <n v="0"/>
    <n v="0"/>
    <n v="0"/>
    <n v="0"/>
    <n v="10622"/>
    <n v="0"/>
    <n v="0"/>
    <n v="15655"/>
    <n v="0"/>
  </r>
  <r>
    <x v="0"/>
    <x v="4"/>
    <x v="0"/>
    <s v="4700103"/>
    <n v="749510"/>
    <s v="RICE Rewards"/>
    <s v="Clinical Laboratory Service"/>
    <x v="0"/>
    <n v="5100"/>
    <n v="0"/>
    <n v="0"/>
    <n v="0"/>
    <n v="0"/>
    <n v="54.39"/>
    <n v="224.26"/>
    <n v="0"/>
    <n v="0"/>
    <n v="37.979999999999997"/>
    <n v="12.41"/>
    <n v="199.28"/>
    <n v="823.59"/>
    <n v="1351.91"/>
    <n v="-624.31000000000006"/>
  </r>
  <r>
    <x v="0"/>
    <x v="4"/>
    <x v="0"/>
    <s v="4700103"/>
    <n v="749530"/>
    <s v="Mileage"/>
    <s v="Clinical Laboratory Service"/>
    <x v="0"/>
    <n v="1001"/>
    <n v="9.82"/>
    <n v="0"/>
    <n v="25.09"/>
    <n v="0"/>
    <n v="14.73"/>
    <n v="14.73"/>
    <n v="10.44"/>
    <n v="0"/>
    <n v="10.44"/>
    <n v="10.44"/>
    <n v="10.44"/>
    <n v="0"/>
    <n v="106.13"/>
    <n v="10.44"/>
  </r>
  <r>
    <x v="0"/>
    <x v="4"/>
    <x v="0"/>
    <s v="4700103"/>
    <n v="766010"/>
    <s v="Property Tax"/>
    <s v="Clinical Laboratory Service"/>
    <x v="0"/>
    <m/>
    <n v="0"/>
    <n v="0"/>
    <n v="0"/>
    <n v="0"/>
    <n v="0"/>
    <n v="0"/>
    <n v="0"/>
    <n v="0"/>
    <n v="0"/>
    <n v="0"/>
    <n v="5166.3599999999997"/>
    <n v="0"/>
    <n v="5166.3599999999997"/>
    <n v="5166.3599999999997"/>
  </r>
  <r>
    <x v="18"/>
    <x v="8"/>
    <x v="0"/>
    <s v="4700104"/>
    <n v="400010"/>
    <s v="Acute I/P Svcs Rev--Medicare"/>
    <s v="Clinical Laboratory Service"/>
    <x v="0"/>
    <n v="1100"/>
    <n v="-1220083.99"/>
    <n v="-1326859.77"/>
    <n v="-1344754.18"/>
    <n v="-1218163.6000000001"/>
    <n v="-1185175.1399999999"/>
    <n v="-1485254.77"/>
    <n v="-1571631.85"/>
    <n v="-1412725.07"/>
    <n v="-1650174.71"/>
    <n v="-1414918.22"/>
    <n v="-1384636.32"/>
    <n v="-1312589.5900000001"/>
    <n v="-16526967.209999999"/>
    <n v="-72046.729999999981"/>
  </r>
  <r>
    <x v="18"/>
    <x v="8"/>
    <x v="0"/>
    <s v="4700104"/>
    <n v="400010"/>
    <s v="Acute I/P Svcs Rev--Medicaid"/>
    <s v="Clinical Laboratory Service"/>
    <x v="0"/>
    <n v="1200"/>
    <n v="-322498.95"/>
    <n v="-321574.08"/>
    <n v="-386251.59"/>
    <n v="-380940.21"/>
    <n v="-318056.38"/>
    <n v="-276121.76"/>
    <n v="-265080.90000000002"/>
    <n v="-331090.61"/>
    <n v="-303370.95"/>
    <n v="-310909.11"/>
    <n v="-400766.27"/>
    <n v="-382441.06"/>
    <n v="-3999101.87"/>
    <n v="-18325.210000000021"/>
  </r>
  <r>
    <x v="18"/>
    <x v="8"/>
    <x v="0"/>
    <s v="4700104"/>
    <n v="400010"/>
    <s v="Acute I/P Svcs Rev--Comm Insurance"/>
    <s v="Clinical Laboratory Service"/>
    <x v="0"/>
    <n v="1300"/>
    <n v="-42269.69"/>
    <n v="20315.93"/>
    <n v="-17606.009999999998"/>
    <n v="-24286.59"/>
    <n v="-77921.100000000006"/>
    <n v="-17699.919999999998"/>
    <n v="-26939.65"/>
    <n v="-8658.18"/>
    <n v="-18639.16"/>
    <n v="-19130.29"/>
    <n v="-23429.51"/>
    <n v="-42776.35"/>
    <n v="-299040.52"/>
    <n v="19346.84"/>
  </r>
  <r>
    <x v="18"/>
    <x v="8"/>
    <x v="0"/>
    <s v="4700104"/>
    <n v="400010"/>
    <s v="Acute I/P Svcs Rev--BCBS Comm"/>
    <s v="Clinical Laboratory Service"/>
    <x v="0"/>
    <n v="1301"/>
    <n v="-66049.7"/>
    <n v="-78742.62"/>
    <n v="-108626.13"/>
    <n v="-54394.07"/>
    <n v="-79896.12"/>
    <n v="-79948.67"/>
    <n v="-129233.54"/>
    <n v="-98072.74"/>
    <n v="-114948.7"/>
    <n v="-131714.17000000001"/>
    <n v="-121716.3"/>
    <n v="-128465.15"/>
    <n v="-1191807.9099999999"/>
    <n v="6748.8499999999913"/>
  </r>
  <r>
    <x v="18"/>
    <x v="8"/>
    <x v="0"/>
    <s v="4700104"/>
    <n v="400010"/>
    <s v="Acute I/P Svcs Rev--Managed Care"/>
    <s v="Clinical Laboratory Service"/>
    <x v="0"/>
    <n v="1400"/>
    <n v="-118669.92"/>
    <n v="-200038.34"/>
    <n v="-264723.78000000003"/>
    <n v="-223019.35"/>
    <n v="-192136.88"/>
    <n v="-235088.24"/>
    <n v="-232081.56"/>
    <n v="-297420.31"/>
    <n v="-195124.08"/>
    <n v="-141371.59"/>
    <n v="-174094.04"/>
    <n v="-152332.19"/>
    <n v="-2426100.2800000003"/>
    <n v="-21761.850000000006"/>
  </r>
  <r>
    <x v="18"/>
    <x v="8"/>
    <x v="0"/>
    <s v="4700104"/>
    <n v="400010"/>
    <s v="Acute I/P Svcs Rev--Self Pay"/>
    <s v="Clinical Laboratory Service"/>
    <x v="0"/>
    <n v="1500"/>
    <n v="-9353.52"/>
    <n v="-30261.29"/>
    <n v="-44035.89"/>
    <n v="-36640.61"/>
    <n v="-1633.96"/>
    <n v="-33666.07"/>
    <n v="-26681.7"/>
    <n v="392.7"/>
    <n v="-24469.06"/>
    <n v="-19291.490000000002"/>
    <n v="-75972.66"/>
    <n v="-30217.26"/>
    <n v="-331830.81"/>
    <n v="-45755.400000000009"/>
  </r>
  <r>
    <x v="18"/>
    <x v="8"/>
    <x v="0"/>
    <s v="4700104"/>
    <n v="400010"/>
    <s v="Acute I/P Svcs Rev--Other"/>
    <s v="Clinical Laboratory Service"/>
    <x v="0"/>
    <n v="1700"/>
    <n v="-79678.039999999994"/>
    <n v="-104758.27"/>
    <n v="-88713.34"/>
    <n v="-161334.15"/>
    <n v="-71084.289999999994"/>
    <n v="-93462.59"/>
    <n v="-141108.79999999999"/>
    <n v="-104934.55"/>
    <n v="-108784.85"/>
    <n v="-124960.19"/>
    <n v="-148100.57"/>
    <n v="-184338.25"/>
    <n v="-1411257.8900000001"/>
    <n v="36237.679999999993"/>
  </r>
  <r>
    <x v="19"/>
    <x v="8"/>
    <x v="0"/>
    <s v="4700104"/>
    <n v="400020"/>
    <s v="O/P Care Svcs Rev--Medicare"/>
    <s v="Clinical Laboratory Service"/>
    <x v="0"/>
    <n v="1100"/>
    <n v="-536903.87"/>
    <n v="-574225.21"/>
    <n v="-541048.39"/>
    <n v="-551396.24"/>
    <n v="-604224.94999999995"/>
    <n v="-569070.64"/>
    <n v="-534106.09"/>
    <n v="-545831.29"/>
    <n v="-708229.99"/>
    <n v="-623341.98"/>
    <n v="-697105.03"/>
    <n v="-595873.22"/>
    <n v="-7081356.9000000004"/>
    <n v="-101231.81000000006"/>
  </r>
  <r>
    <x v="19"/>
    <x v="8"/>
    <x v="0"/>
    <s v="4700104"/>
    <n v="400020"/>
    <s v="O/P Care Svcs Rev--Medicaid"/>
    <s v="Clinical Laboratory Service"/>
    <x v="0"/>
    <n v="1200"/>
    <n v="-273670.14"/>
    <n v="-262022.72"/>
    <n v="-234295.23"/>
    <n v="-279788.05"/>
    <n v="-312505.17"/>
    <n v="-320458.68"/>
    <n v="-326773.71000000002"/>
    <n v="-250673.84"/>
    <n v="-356729.44"/>
    <n v="-327967.46000000002"/>
    <n v="-299948.77"/>
    <n v="-291869.5"/>
    <n v="-3536702.7099999995"/>
    <n v="-8079.2700000000186"/>
  </r>
  <r>
    <x v="19"/>
    <x v="8"/>
    <x v="0"/>
    <s v="4700104"/>
    <n v="400020"/>
    <s v="O/P Care Svcs Rev--Comm Insurance"/>
    <s v="Clinical Laboratory Service"/>
    <x v="0"/>
    <n v="1300"/>
    <n v="-41383.69"/>
    <n v="-28281.05"/>
    <n v="-22872.5"/>
    <n v="-33468.629999999997"/>
    <n v="-39737.89"/>
    <n v="-36754.660000000003"/>
    <n v="-23276.5"/>
    <n v="-24419.27"/>
    <n v="-48220.88"/>
    <n v="-42717.07"/>
    <n v="-30248.85"/>
    <n v="-34977.949999999997"/>
    <n v="-406358.94"/>
    <n v="4729.0999999999985"/>
  </r>
  <r>
    <x v="19"/>
    <x v="8"/>
    <x v="0"/>
    <s v="4700104"/>
    <n v="400020"/>
    <s v="O/P Care Svcs Rev--BCBS Comm"/>
    <s v="Clinical Laboratory Service"/>
    <x v="0"/>
    <n v="1301"/>
    <n v="-104095.83"/>
    <n v="-104406.3"/>
    <n v="-116724.68"/>
    <n v="-127470.02"/>
    <n v="-112124.58"/>
    <n v="-121739.9"/>
    <n v="-123135.43"/>
    <n v="-122514.29"/>
    <n v="-132817.35"/>
    <n v="-130105.71"/>
    <n v="-146899.89000000001"/>
    <n v="-171828.92"/>
    <n v="-1513862.9"/>
    <n v="24929.03"/>
  </r>
  <r>
    <x v="19"/>
    <x v="8"/>
    <x v="0"/>
    <s v="4700104"/>
    <n v="400020"/>
    <s v="O/P Care Svcs Rev--Managed Care"/>
    <s v="Clinical Laboratory Service"/>
    <x v="0"/>
    <n v="1400"/>
    <n v="-204342.49"/>
    <n v="-212772.18"/>
    <n v="-231171.15"/>
    <n v="-281780.82"/>
    <n v="-256762.26"/>
    <n v="-231531.09"/>
    <n v="-268452.84999999998"/>
    <n v="-234278.53"/>
    <n v="-284092.98"/>
    <n v="-250809.14"/>
    <n v="-241888.35"/>
    <n v="-260008.07"/>
    <n v="-2957889.9099999997"/>
    <n v="18119.72"/>
  </r>
  <r>
    <x v="19"/>
    <x v="8"/>
    <x v="0"/>
    <s v="4700104"/>
    <n v="400020"/>
    <s v="O/P Care Svcs Rev--Self Pay"/>
    <s v="Clinical Laboratory Service"/>
    <x v="0"/>
    <n v="1500"/>
    <n v="-35205.35"/>
    <n v="-28745.05"/>
    <n v="-32039.63"/>
    <n v="-19899.66"/>
    <n v="-47170.07"/>
    <n v="-45084.800000000003"/>
    <n v="-39629.74"/>
    <n v="-46811.95"/>
    <n v="-44051.78"/>
    <n v="-25159.32"/>
    <n v="-45240.37"/>
    <n v="-34096.36"/>
    <n v="-443134.08"/>
    <n v="-11144.010000000002"/>
  </r>
  <r>
    <x v="19"/>
    <x v="8"/>
    <x v="0"/>
    <s v="4700104"/>
    <n v="400020"/>
    <s v="O/P Care Svcs Rev--Other"/>
    <s v="Clinical Laboratory Service"/>
    <x v="0"/>
    <n v="1700"/>
    <n v="-47384.41"/>
    <n v="-66091.31"/>
    <n v="-58107.79"/>
    <n v="-80025.89"/>
    <n v="-71236.87"/>
    <n v="-79970.48"/>
    <n v="-87381.59"/>
    <n v="-81235.39"/>
    <n v="-102644.55"/>
    <n v="-88395.91"/>
    <n v="-88476.07"/>
    <n v="-63498.96"/>
    <n v="-914449.22"/>
    <n v="-24977.110000000008"/>
  </r>
  <r>
    <x v="14"/>
    <x v="8"/>
    <x v="0"/>
    <s v="4700104"/>
    <n v="600050"/>
    <s v="Miscellaneous Revenue"/>
    <s v="Clinical Laboratory Service"/>
    <x v="0"/>
    <m/>
    <n v="-8020.59"/>
    <n v="-7518.95"/>
    <n v="-5957.45"/>
    <n v="-6899.43"/>
    <n v="-7331.92"/>
    <n v="-7642.21"/>
    <n v="-9089.61"/>
    <n v="-5348.66"/>
    <n v="-4984.53"/>
    <n v="-5159.1000000000004"/>
    <n v="-6608.08"/>
    <n v="-11628.1"/>
    <n v="-86188.630000000019"/>
    <n v="5020.0200000000004"/>
  </r>
  <r>
    <x v="5"/>
    <x v="8"/>
    <x v="0"/>
    <s v="4700104"/>
    <n v="700014"/>
    <s v="Salaries-Management-Productive"/>
    <s v="Clinical Laboratory Service"/>
    <x v="0"/>
    <m/>
    <n v="8458.49"/>
    <n v="8287.4500000000007"/>
    <n v="8744.75"/>
    <n v="8973.26"/>
    <n v="8710.0499999999993"/>
    <n v="7723.2"/>
    <n v="1105.9100000000001"/>
    <n v="7821.51"/>
    <n v="9159.2800000000007"/>
    <n v="8722.85"/>
    <n v="9013.9"/>
    <n v="7909.09"/>
    <n v="94629.74"/>
    <n v="1104.8099999999995"/>
  </r>
  <r>
    <x v="5"/>
    <x v="8"/>
    <x v="0"/>
    <s v="4700104"/>
    <n v="700032"/>
    <s v="Salaries-Other Pat Care Providers-Productive"/>
    <s v="Clinical Laboratory Service"/>
    <x v="0"/>
    <m/>
    <n v="65243.94"/>
    <n v="65598.570000000007"/>
    <n v="60818"/>
    <n v="70832.14"/>
    <n v="79079.89"/>
    <n v="82305.5"/>
    <n v="83369.399999999994"/>
    <n v="70044.67"/>
    <n v="76825.59"/>
    <n v="81319"/>
    <n v="75851.95"/>
    <n v="79383.679999999993"/>
    <n v="890672.33000000007"/>
    <n v="-3531.7299999999959"/>
  </r>
  <r>
    <x v="5"/>
    <x v="8"/>
    <x v="0"/>
    <s v="4700104"/>
    <n v="700032"/>
    <s v="Salaries-Other Pat Care Providers-OT"/>
    <s v="Clinical Laboratory Service"/>
    <x v="0"/>
    <n v="1000"/>
    <n v="1350.94"/>
    <n v="1117.55"/>
    <n v="2726.78"/>
    <n v="1961.19"/>
    <n v="2088.6999999999998"/>
    <n v="3271.57"/>
    <n v="2807.55"/>
    <n v="6950.08"/>
    <n v="6695.41"/>
    <n v="5823.37"/>
    <n v="12045.28"/>
    <n v="8947.0300000000007"/>
    <n v="55785.45"/>
    <n v="3098.25"/>
  </r>
  <r>
    <x v="5"/>
    <x v="8"/>
    <x v="0"/>
    <s v="4700104"/>
    <n v="700032"/>
    <s v="Salaries-Other Pat Care Providers-Other"/>
    <s v="Clinical Laboratory Service"/>
    <x v="0"/>
    <n v="2000"/>
    <n v="4007.78"/>
    <n v="4246.95"/>
    <n v="4157.76"/>
    <n v="5000.7"/>
    <n v="5820.1"/>
    <n v="5987.34"/>
    <n v="6380.57"/>
    <n v="5503.59"/>
    <n v="5984.99"/>
    <n v="5193.58"/>
    <n v="5091.42"/>
    <n v="6160.8"/>
    <n v="63535.579999999994"/>
    <n v="-1069.3800000000001"/>
  </r>
  <r>
    <x v="5"/>
    <x v="8"/>
    <x v="0"/>
    <s v="4700104"/>
    <n v="700034"/>
    <s v="Salaries-Tech/Professional-Productive"/>
    <s v="Clinical Laboratory Service"/>
    <x v="0"/>
    <m/>
    <n v="4292.9799999999996"/>
    <n v="3647.74"/>
    <n v="3709.79"/>
    <n v="3714.94"/>
    <n v="-1319.98"/>
    <n v="0"/>
    <n v="0"/>
    <n v="0"/>
    <n v="0"/>
    <n v="0"/>
    <n v="0"/>
    <n v="0"/>
    <n v="14045.47"/>
    <n v="0"/>
  </r>
  <r>
    <x v="5"/>
    <x v="8"/>
    <x v="0"/>
    <s v="4700104"/>
    <n v="700034"/>
    <s v="Salaries-Tech/Professional-OT"/>
    <s v="Clinical Laboratory Service"/>
    <x v="0"/>
    <n v="1000"/>
    <n v="22.64"/>
    <n v="264.88"/>
    <n v="-61.96"/>
    <n v="0"/>
    <n v="0"/>
    <n v="0"/>
    <n v="0"/>
    <n v="0"/>
    <n v="0"/>
    <n v="0"/>
    <n v="0"/>
    <n v="0"/>
    <n v="225.55999999999997"/>
    <n v="0"/>
  </r>
  <r>
    <x v="5"/>
    <x v="8"/>
    <x v="0"/>
    <s v="4700104"/>
    <n v="700034"/>
    <s v="Salaries-Tech/Professional-Other"/>
    <s v="Clinical Laboratory Service"/>
    <x v="0"/>
    <n v="2000"/>
    <n v="531.45000000000005"/>
    <n v="591.41999999999996"/>
    <n v="554.58000000000004"/>
    <n v="574.37"/>
    <n v="-203.68"/>
    <n v="0"/>
    <n v="0"/>
    <n v="0"/>
    <n v="0"/>
    <n v="0"/>
    <n v="0"/>
    <n v="0"/>
    <n v="2048.14"/>
    <n v="0"/>
  </r>
  <r>
    <x v="5"/>
    <x v="8"/>
    <x v="0"/>
    <s v="4700104"/>
    <n v="700054"/>
    <s v="Salaries-Management-Non-productive"/>
    <s v="Clinical Laboratory Service"/>
    <x v="0"/>
    <m/>
    <n v="400.08"/>
    <n v="571.51"/>
    <n v="-171.43"/>
    <n v="0"/>
    <n v="0"/>
    <n v="1277.48"/>
    <n v="7908.86"/>
    <n v="320.01"/>
    <n v="-145.36000000000001"/>
    <n v="0"/>
    <n v="0"/>
    <n v="814.16"/>
    <n v="10975.31"/>
    <n v="-814.16"/>
  </r>
  <r>
    <x v="5"/>
    <x v="8"/>
    <x v="0"/>
    <s v="4700104"/>
    <n v="700054"/>
    <s v="Salaries-Management-NonProd-Other"/>
    <s v="Clinical Laboratory Service"/>
    <x v="0"/>
    <n v="2000"/>
    <n v="0"/>
    <n v="0"/>
    <n v="0"/>
    <n v="0"/>
    <n v="0"/>
    <n v="643.62"/>
    <n v="0"/>
    <n v="-643.62"/>
    <n v="0"/>
    <n v="0"/>
    <n v="0"/>
    <n v="0"/>
    <n v="0"/>
    <n v="0"/>
  </r>
  <r>
    <x v="5"/>
    <x v="8"/>
    <x v="0"/>
    <s v="4700104"/>
    <n v="700072"/>
    <s v="Salaries-Other Pat Care Providers-Non-productive"/>
    <s v="Clinical Laboratory Service"/>
    <x v="0"/>
    <m/>
    <n v="8981.69"/>
    <n v="8064.09"/>
    <n v="12514.58"/>
    <n v="5389.4"/>
    <n v="6213.83"/>
    <n v="7062.46"/>
    <n v="4332.34"/>
    <n v="11446.45"/>
    <n v="6625.52"/>
    <n v="7275.05"/>
    <n v="3709.4"/>
    <n v="8090.25"/>
    <n v="89705.06"/>
    <n v="-4380.8500000000004"/>
  </r>
  <r>
    <x v="5"/>
    <x v="8"/>
    <x v="0"/>
    <s v="4700104"/>
    <n v="700072"/>
    <s v="Salaries-Other Pat Care Providers-NonProd-Other"/>
    <s v="Clinical Laboratory Service"/>
    <x v="0"/>
    <n v="2000"/>
    <n v="625.57000000000005"/>
    <n v="352.13"/>
    <n v="624.97"/>
    <n v="427.43"/>
    <n v="1155.1400000000001"/>
    <n v="958.52"/>
    <n v="323.87"/>
    <n v="-376.86"/>
    <n v="306.02999999999997"/>
    <n v="611.74"/>
    <n v="699"/>
    <n v="633.36"/>
    <n v="6340.9"/>
    <n v="65.639999999999986"/>
  </r>
  <r>
    <x v="5"/>
    <x v="8"/>
    <x v="0"/>
    <s v="4700104"/>
    <n v="700074"/>
    <s v="Salaries-Tech/Professional-Non-productive"/>
    <s v="Clinical Laboratory Service"/>
    <x v="0"/>
    <m/>
    <n v="0"/>
    <n v="0"/>
    <n v="0"/>
    <n v="10.64"/>
    <n v="-4.68"/>
    <n v="0"/>
    <n v="0"/>
    <n v="0"/>
    <n v="0"/>
    <n v="0"/>
    <n v="0"/>
    <n v="0"/>
    <n v="5.9600000000000009"/>
    <n v="0"/>
  </r>
  <r>
    <x v="5"/>
    <x v="8"/>
    <x v="0"/>
    <s v="4700104"/>
    <n v="700074"/>
    <s v="Salaries-Tech/Professional-NonProd-Other"/>
    <s v="Clinical Laboratory Service"/>
    <x v="0"/>
    <n v="2000"/>
    <n v="28.94"/>
    <n v="-5.0999999999999996"/>
    <n v="0"/>
    <n v="1.33"/>
    <n v="-0.57999999999999996"/>
    <n v="0"/>
    <n v="0"/>
    <n v="0"/>
    <n v="0"/>
    <n v="0"/>
    <n v="0"/>
    <n v="0"/>
    <n v="24.590000000000003"/>
    <n v="0"/>
  </r>
  <r>
    <x v="5"/>
    <x v="8"/>
    <x v="0"/>
    <s v="4700104"/>
    <n v="700084"/>
    <s v="Accrued PTO"/>
    <s v="Clinical Laboratory Service"/>
    <x v="0"/>
    <m/>
    <n v="1324.34"/>
    <n v="644.71"/>
    <n v="9988.9500000000007"/>
    <n v="6524.38"/>
    <n v="2935.3"/>
    <n v="-7232.17"/>
    <n v="-1747.73"/>
    <n v="437.73"/>
    <n v="2753.52"/>
    <n v="451.15"/>
    <n v="4017.18"/>
    <n v="4576.5200000000004"/>
    <n v="24673.88"/>
    <n v="-559.3400000000006"/>
  </r>
  <r>
    <x v="10"/>
    <x v="8"/>
    <x v="0"/>
    <s v="4700104"/>
    <n v="710060"/>
    <s v="Contract Labor-Other"/>
    <s v="Clinical Laboratory Service"/>
    <x v="0"/>
    <m/>
    <n v="19763.330000000002"/>
    <n v="7383.4"/>
    <n v="4869.24"/>
    <n v="20240.71"/>
    <n v="9292.89"/>
    <n v="2355.06"/>
    <n v="2434.62"/>
    <n v="0"/>
    <n v="0"/>
    <n v="0"/>
    <n v="0"/>
    <n v="0"/>
    <n v="66339.25"/>
    <n v="0"/>
  </r>
  <r>
    <x v="10"/>
    <x v="8"/>
    <x v="0"/>
    <s v="4700104"/>
    <n v="710060"/>
    <s v="Contract Labor-Overtime"/>
    <s v="Clinical Laboratory Service"/>
    <x v="0"/>
    <n v="5100"/>
    <n v="0"/>
    <n v="0"/>
    <n v="0"/>
    <n v="687.44"/>
    <n v="0"/>
    <n v="0"/>
    <n v="0"/>
    <n v="0"/>
    <n v="0"/>
    <n v="0"/>
    <n v="0"/>
    <n v="0"/>
    <n v="687.44"/>
    <n v="0"/>
  </r>
  <r>
    <x v="6"/>
    <x v="8"/>
    <x v="0"/>
    <s v="4700104"/>
    <n v="713010"/>
    <s v="Benefits-FICA/Medicare"/>
    <s v="Clinical Laboratory Service"/>
    <x v="0"/>
    <m/>
    <n v="7104.57"/>
    <n v="7036.53"/>
    <n v="6968.81"/>
    <n v="7226.64"/>
    <n v="7690.75"/>
    <n v="8374.17"/>
    <n v="7919.88"/>
    <n v="7804.4"/>
    <n v="7838.78"/>
    <n v="8225.85"/>
    <n v="8268.1299999999992"/>
    <n v="8538.11"/>
    <n v="92996.62000000001"/>
    <n v="-269.98000000000138"/>
  </r>
  <r>
    <x v="6"/>
    <x v="8"/>
    <x v="0"/>
    <s v="4700104"/>
    <n v="713090"/>
    <s v="Benefits-Allocated Amounts"/>
    <s v="Clinical Laboratory Service"/>
    <x v="0"/>
    <m/>
    <n v="23298.14"/>
    <n v="19523.78"/>
    <n v="21405.15"/>
    <n v="21449.279999999999"/>
    <n v="22739.05"/>
    <n v="22225.97"/>
    <n v="23179.5"/>
    <n v="23971.32"/>
    <n v="22409.52"/>
    <n v="25612.84"/>
    <n v="24057.24"/>
    <n v="24717.599999999999"/>
    <n v="274589.38999999996"/>
    <n v="-660.35999999999694"/>
  </r>
  <r>
    <x v="17"/>
    <x v="8"/>
    <x v="0"/>
    <s v="4700104"/>
    <n v="714510"/>
    <s v="Medical Director Fees"/>
    <s v="Clinical Laboratory Service"/>
    <x v="0"/>
    <m/>
    <n v="2101.14"/>
    <n v="2152.9699999999998"/>
    <n v="1216.83"/>
    <n v="1239.3399999999999"/>
    <n v="0"/>
    <n v="2264.9899999999998"/>
    <n v="1165.73"/>
    <n v="0"/>
    <n v="2275.85"/>
    <n v="1123.73"/>
    <n v="1186.8"/>
    <n v="1220.6500000000001"/>
    <n v="15948.029999999999"/>
    <n v="-33.850000000000136"/>
  </r>
  <r>
    <x v="7"/>
    <x v="8"/>
    <x v="0"/>
    <s v="4700104"/>
    <n v="718040"/>
    <s v="Contract Svcs-Laboratory"/>
    <s v="Clinical Laboratory Service"/>
    <x v="0"/>
    <m/>
    <n v="15615.34"/>
    <n v="14759.89"/>
    <n v="20125.919999999998"/>
    <n v="15105.94"/>
    <n v="13064.59"/>
    <n v="14380.7"/>
    <n v="17599.650000000001"/>
    <n v="9704.75"/>
    <n v="13209.14"/>
    <n v="7993.33"/>
    <n v="11515.37"/>
    <n v="35684.230000000003"/>
    <n v="188758.84999999998"/>
    <n v="-24168.86"/>
  </r>
  <r>
    <x v="7"/>
    <x v="8"/>
    <x v="0"/>
    <s v="4700104"/>
    <n v="718040"/>
    <s v="Contract Svcs-Reference Lab Fees"/>
    <s v="Clinical Laboratory Service"/>
    <x v="0"/>
    <n v="1001"/>
    <n v="0"/>
    <n v="0"/>
    <n v="0"/>
    <n v="0"/>
    <n v="0"/>
    <n v="0"/>
    <n v="6382.3"/>
    <n v="17564.810000000001"/>
    <n v="12.22"/>
    <n v="10677.31"/>
    <n v="0"/>
    <n v="1077.5899999999999"/>
    <n v="35714.229999999996"/>
    <n v="-1077.5899999999999"/>
  </r>
  <r>
    <x v="7"/>
    <x v="8"/>
    <x v="0"/>
    <s v="4700104"/>
    <n v="718050"/>
    <s v="Contract Svcs-Other"/>
    <s v="Clinical Laboratory Service"/>
    <x v="0"/>
    <m/>
    <n v="7836.5"/>
    <n v="2856.8"/>
    <n v="3111.9"/>
    <n v="-7178.18"/>
    <n v="157"/>
    <n v="650.35"/>
    <n v="188.4"/>
    <n v="31.4"/>
    <n v="0"/>
    <n v="0"/>
    <n v="276"/>
    <n v="-2668.4"/>
    <n v="5261.7699999999986"/>
    <n v="2944.4"/>
  </r>
  <r>
    <x v="7"/>
    <x v="8"/>
    <x v="0"/>
    <s v="4700104"/>
    <n v="718050"/>
    <s v="Document Shredding/Storage"/>
    <s v="Clinical Laboratory Service"/>
    <x v="0"/>
    <n v="1012"/>
    <n v="24.97"/>
    <n v="29.75"/>
    <n v="24.84"/>
    <n v="25.7"/>
    <n v="26.56"/>
    <n v="26.56"/>
    <n v="26.29"/>
    <n v="22.57"/>
    <n v="23.37"/>
    <n v="101"/>
    <n v="27.22"/>
    <n v="28.13"/>
    <n v="386.96000000000004"/>
    <n v="-0.91000000000000014"/>
  </r>
  <r>
    <x v="7"/>
    <x v="8"/>
    <x v="0"/>
    <s v="4700104"/>
    <n v="718050"/>
    <s v="Miscellaneous Purchased Svcs"/>
    <s v="Clinical Laboratory Service"/>
    <x v="0"/>
    <n v="1020"/>
    <n v="9310.1299999999992"/>
    <n v="10123.49"/>
    <n v="9723.0300000000007"/>
    <n v="11324.05"/>
    <n v="9524.31"/>
    <n v="9530.17"/>
    <n v="9525.2999999999993"/>
    <n v="9525.2999999999993"/>
    <n v="9525.2999999999993"/>
    <n v="9525.2999999999993"/>
    <n v="9525.2999999999993"/>
    <n v="9310.1299999999992"/>
    <n v="116471.81000000001"/>
    <n v="215.17000000000007"/>
  </r>
  <r>
    <x v="7"/>
    <x v="8"/>
    <x v="0"/>
    <s v="4700104"/>
    <n v="718050"/>
    <s v="Contract Svcs--Medical/Dental"/>
    <s v="Clinical Laboratory Service"/>
    <x v="0"/>
    <n v="1024"/>
    <n v="-10937.7"/>
    <n v="1.94"/>
    <n v="0"/>
    <n v="7687.04"/>
    <n v="23455.13"/>
    <n v="170.11"/>
    <n v="0"/>
    <n v="0"/>
    <n v="0"/>
    <n v="0"/>
    <n v="0"/>
    <n v="0"/>
    <n v="20376.52"/>
    <n v="0"/>
  </r>
  <r>
    <x v="7"/>
    <x v="8"/>
    <x v="0"/>
    <s v="4700104"/>
    <n v="718050"/>
    <s v="Contract Management--Linen"/>
    <s v="Clinical Laboratory Service"/>
    <x v="0"/>
    <n v="1026"/>
    <n v="5.83"/>
    <n v="0.09"/>
    <n v="5.37"/>
    <n v="2.3199999999999998"/>
    <n v="6.23"/>
    <n v="7.36"/>
    <n v="7.24"/>
    <n v="2.29"/>
    <n v="3.18"/>
    <n v="3.74"/>
    <n v="6.33"/>
    <n v="4.5999999999999996"/>
    <n v="54.58"/>
    <n v="1.7300000000000004"/>
  </r>
  <r>
    <x v="7"/>
    <x v="8"/>
    <x v="0"/>
    <s v="4700104"/>
    <n v="718050"/>
    <s v="Purchased Srvcs-Medical/Clinical Review"/>
    <s v="Clinical Laboratory Service"/>
    <x v="0"/>
    <n v="1032"/>
    <n v="0"/>
    <n v="0"/>
    <n v="0"/>
    <n v="0"/>
    <n v="0"/>
    <n v="0"/>
    <n v="0"/>
    <n v="0"/>
    <n v="0"/>
    <n v="0"/>
    <n v="0"/>
    <n v="2000"/>
    <n v="2000"/>
    <n v="-2000"/>
  </r>
  <r>
    <x v="7"/>
    <x v="8"/>
    <x v="0"/>
    <s v="4700104"/>
    <n v="718070"/>
    <s v="Contract Srvcs-CHI Clinical Engineering"/>
    <s v="Clinical Laboratory Service"/>
    <x v="0"/>
    <m/>
    <n v="8293.86"/>
    <n v="8350.66"/>
    <n v="8350.66"/>
    <n v="8350.66"/>
    <n v="8350.66"/>
    <n v="8350.66"/>
    <n v="8350.66"/>
    <n v="8350.66"/>
    <n v="8350.66"/>
    <n v="8408.7199999999993"/>
    <n v="9077.36"/>
    <n v="8710.4699999999993"/>
    <n v="101295.69000000002"/>
    <n v="366.89000000000124"/>
  </r>
  <r>
    <x v="7"/>
    <x v="8"/>
    <x v="0"/>
    <s v="4700104"/>
    <n v="718091"/>
    <s v="Contract Services-Intracompany Allocation"/>
    <s v="Clinical Laboratory Service"/>
    <x v="0"/>
    <m/>
    <n v="12843.12"/>
    <n v="13606.71"/>
    <n v="13195.12"/>
    <n v="15091.34"/>
    <n v="14198.74"/>
    <n v="14699.22"/>
    <n v="18105.78"/>
    <n v="16221.36"/>
    <n v="18350"/>
    <n v="17124.93"/>
    <n v="19101.349999999999"/>
    <n v="18102.22"/>
    <n v="190639.89"/>
    <n v="999.12999999999738"/>
  </r>
  <r>
    <x v="11"/>
    <x v="8"/>
    <x v="0"/>
    <s v="4700104"/>
    <n v="721010"/>
    <s v="Supplies-Medical - Billable"/>
    <s v="Clinical Laboratory Service"/>
    <x v="0"/>
    <m/>
    <n v="0"/>
    <n v="0"/>
    <n v="23.8"/>
    <n v="0"/>
    <n v="19.079999999999998"/>
    <n v="0"/>
    <n v="0"/>
    <n v="0"/>
    <n v="0"/>
    <n v="-340.69"/>
    <n v="-24"/>
    <n v="0"/>
    <n v="-321.81"/>
    <n v="-24"/>
  </r>
  <r>
    <x v="11"/>
    <x v="8"/>
    <x v="0"/>
    <s v="4700104"/>
    <n v="721240"/>
    <s v="Supplies-IV Solutions/Supplies - Billable"/>
    <s v="Clinical Laboratory Service"/>
    <x v="0"/>
    <m/>
    <n v="0"/>
    <n v="0.93"/>
    <n v="34.299999999999997"/>
    <n v="3.24"/>
    <n v="168.22"/>
    <n v="0"/>
    <n v="0"/>
    <n v="0.81"/>
    <n v="0"/>
    <n v="0"/>
    <n v="0"/>
    <n v="0"/>
    <n v="207.5"/>
    <n v="0"/>
  </r>
  <r>
    <x v="11"/>
    <x v="8"/>
    <x v="0"/>
    <s v="4700104"/>
    <n v="721320"/>
    <s v="Supplies-Purchased Blood - Billable"/>
    <s v="Clinical Laboratory Service"/>
    <x v="0"/>
    <m/>
    <n v="27458.75"/>
    <n v="0"/>
    <n v="27000"/>
    <n v="60454.25"/>
    <n v="27000"/>
    <n v="27000"/>
    <n v="31975"/>
    <n v="27952"/>
    <n v="44670.97"/>
    <n v="57553.36"/>
    <n v="36616.97"/>
    <n v="61918.48"/>
    <n v="429599.77999999991"/>
    <n v="-25301.510000000002"/>
  </r>
  <r>
    <x v="11"/>
    <x v="8"/>
    <x v="0"/>
    <s v="4700104"/>
    <n v="721410"/>
    <s v="Supplies-Medical - Nonbillable"/>
    <s v="Clinical Laboratory Service"/>
    <x v="0"/>
    <m/>
    <n v="11089.09"/>
    <n v="18019.509999999998"/>
    <n v="11216.16"/>
    <n v="13197.59"/>
    <n v="16670.439999999999"/>
    <n v="13635.06"/>
    <n v="17681.259999999998"/>
    <n v="14702.42"/>
    <n v="17403.310000000001"/>
    <n v="21054.9"/>
    <n v="15502.63"/>
    <n v="15219.07"/>
    <n v="185391.44"/>
    <n v="283.55999999999949"/>
  </r>
  <r>
    <x v="11"/>
    <x v="8"/>
    <x v="0"/>
    <s v="4700104"/>
    <n v="721420"/>
    <s v="Supplies-Surgical Nonbillable"/>
    <s v="Clinical Laboratory Service"/>
    <x v="0"/>
    <m/>
    <n v="25.77"/>
    <n v="26.69"/>
    <n v="0"/>
    <n v="0"/>
    <n v="0"/>
    <n v="0"/>
    <n v="0"/>
    <n v="26.69"/>
    <n v="14.3"/>
    <n v="0"/>
    <n v="0"/>
    <n v="0"/>
    <n v="93.45"/>
    <n v="0"/>
  </r>
  <r>
    <x v="11"/>
    <x v="8"/>
    <x v="0"/>
    <s v="4700104"/>
    <n v="721640"/>
    <s v="Supplies-IV Solutions/Supplies - Nonbillable"/>
    <s v="Clinical Laboratory Service"/>
    <x v="0"/>
    <m/>
    <n v="2449.1"/>
    <n v="2625.2"/>
    <n v="2441.6799999999998"/>
    <n v="2940.5"/>
    <n v="2139.54"/>
    <n v="2513.9499999999998"/>
    <n v="3293.46"/>
    <n v="2613.15"/>
    <n v="2426.8000000000002"/>
    <n v="2605"/>
    <n v="3039.7"/>
    <n v="2602.52"/>
    <n v="31690.600000000002"/>
    <n v="437.17999999999984"/>
  </r>
  <r>
    <x v="11"/>
    <x v="8"/>
    <x v="0"/>
    <s v="4700104"/>
    <n v="721710"/>
    <s v="Supplies-Laboratory - Nonbillable"/>
    <s v="Clinical Laboratory Service"/>
    <x v="0"/>
    <m/>
    <n v="8060.3"/>
    <n v="36704.93"/>
    <n v="20607.38"/>
    <n v="7603.36"/>
    <n v="20487.71"/>
    <n v="15393.62"/>
    <n v="14428.23"/>
    <n v="13157.01"/>
    <n v="20980.84"/>
    <n v="22510.93"/>
    <n v="28976.09"/>
    <n v="40915.93"/>
    <n v="249826.32999999996"/>
    <n v="-11939.84"/>
  </r>
  <r>
    <x v="11"/>
    <x v="8"/>
    <x v="0"/>
    <s v="4700104"/>
    <n v="721710"/>
    <s v="Reagents"/>
    <s v="Clinical Laboratory Service"/>
    <x v="0"/>
    <n v="1000"/>
    <n v="22896.31"/>
    <n v="25751.61"/>
    <n v="36218.129999999997"/>
    <n v="26807.48"/>
    <n v="28364.18"/>
    <n v="46987.77"/>
    <n v="20546.82"/>
    <n v="26516.43"/>
    <n v="23595.81"/>
    <n v="19010.830000000002"/>
    <n v="41434.33"/>
    <n v="26986.84"/>
    <n v="345116.54000000004"/>
    <n v="14447.490000000002"/>
  </r>
  <r>
    <x v="11"/>
    <x v="8"/>
    <x v="0"/>
    <s v="4700104"/>
    <n v="721810"/>
    <s v="Supplies-Dietary/Cafeteria"/>
    <s v="Clinical Laboratory Service"/>
    <x v="0"/>
    <m/>
    <n v="17"/>
    <n v="111.21"/>
    <n v="16.5"/>
    <n v="31"/>
    <n v="174.05"/>
    <n v="267.87"/>
    <n v="11.25"/>
    <n v="10.25"/>
    <n v="22.27"/>
    <n v="385.02"/>
    <n v="11.79"/>
    <n v="30.03"/>
    <n v="1088.24"/>
    <n v="-18.240000000000002"/>
  </r>
  <r>
    <x v="11"/>
    <x v="8"/>
    <x v="0"/>
    <s v="4700104"/>
    <n v="721830"/>
    <s v="Supplies-Office"/>
    <s v="Clinical Laboratory Service"/>
    <x v="0"/>
    <m/>
    <n v="299.70999999999998"/>
    <n v="1164.18"/>
    <n v="281.58999999999997"/>
    <n v="513.15"/>
    <n v="234.05"/>
    <n v="1988.73"/>
    <n v="485.59"/>
    <n v="224.25"/>
    <n v="92.93"/>
    <n v="680.25"/>
    <n v="106.69"/>
    <n v="384.45"/>
    <n v="6455.57"/>
    <n v="-277.76"/>
  </r>
  <r>
    <x v="11"/>
    <x v="8"/>
    <x v="0"/>
    <s v="4700104"/>
    <n v="721835"/>
    <s v="Supplies-Forms"/>
    <s v="Clinical Laboratory Service"/>
    <x v="0"/>
    <m/>
    <n v="0"/>
    <n v="0"/>
    <n v="0"/>
    <n v="0"/>
    <n v="8.5"/>
    <n v="0"/>
    <n v="16.5"/>
    <n v="0"/>
    <n v="0"/>
    <n v="0.75"/>
    <n v="0.75"/>
    <n v="40.5"/>
    <n v="67"/>
    <n v="-39.75"/>
  </r>
  <r>
    <x v="11"/>
    <x v="8"/>
    <x v="0"/>
    <s v="4700104"/>
    <n v="721870"/>
    <s v="Supplies-Environmental Services"/>
    <s v="Clinical Laboratory Service"/>
    <x v="0"/>
    <m/>
    <n v="105.16"/>
    <n v="98.31"/>
    <n v="107.75"/>
    <n v="142.41"/>
    <n v="248.43"/>
    <n v="62.56"/>
    <n v="97.9"/>
    <n v="77.19"/>
    <n v="100.77"/>
    <n v="40.880000000000003"/>
    <n v="53.17"/>
    <n v="58.39"/>
    <n v="1192.92"/>
    <n v="-5.2199999999999989"/>
  </r>
  <r>
    <x v="11"/>
    <x v="8"/>
    <x v="0"/>
    <s v="4700104"/>
    <n v="721910"/>
    <s v="Supplies-Small Equipment"/>
    <s v="Clinical Laboratory Service"/>
    <x v="0"/>
    <m/>
    <n v="0"/>
    <n v="301.68"/>
    <n v="0"/>
    <n v="-1.02"/>
    <n v="1023.58"/>
    <n v="1.36"/>
    <n v="0"/>
    <n v="244"/>
    <n v="161.37"/>
    <n v="43.91"/>
    <n v="177.68"/>
    <n v="-13.6"/>
    <n v="1938.96"/>
    <n v="191.28"/>
  </r>
  <r>
    <x v="11"/>
    <x v="8"/>
    <x v="0"/>
    <s v="4700104"/>
    <n v="721910"/>
    <s v="Instruments"/>
    <s v="Clinical Laboratory Service"/>
    <x v="0"/>
    <n v="1000"/>
    <n v="0"/>
    <n v="0"/>
    <n v="49.09"/>
    <n v="9.31"/>
    <n v="0"/>
    <n v="0"/>
    <n v="0"/>
    <n v="0"/>
    <n v="37.83"/>
    <n v="50.43"/>
    <n v="46.55"/>
    <n v="16.489999999999998"/>
    <n v="209.7"/>
    <n v="30.06"/>
  </r>
  <r>
    <x v="11"/>
    <x v="8"/>
    <x v="0"/>
    <s v="4700104"/>
    <n v="721980"/>
    <s v="Supplies-Other"/>
    <s v="Clinical Laboratory Service"/>
    <x v="0"/>
    <m/>
    <n v="0"/>
    <n v="0"/>
    <n v="253.23"/>
    <n v="-231.77"/>
    <n v="0"/>
    <n v="0"/>
    <n v="0"/>
    <n v="0"/>
    <n v="0"/>
    <n v="1985.45"/>
    <n v="0"/>
    <n v="0"/>
    <n v="2006.91"/>
    <n v="0"/>
  </r>
  <r>
    <x v="11"/>
    <x v="8"/>
    <x v="0"/>
    <s v="4700104"/>
    <n v="722000"/>
    <s v="Supplies-Freight Expense"/>
    <s v="Clinical Laboratory Service"/>
    <x v="0"/>
    <m/>
    <n v="1135.77"/>
    <n v="3928.86"/>
    <n v="1708.41"/>
    <n v="1451.18"/>
    <n v="3137.82"/>
    <n v="1955.22"/>
    <n v="3482.19"/>
    <n v="1124.6400000000001"/>
    <n v="2531.6"/>
    <n v="2422.06"/>
    <n v="2078.5500000000002"/>
    <n v="1281.3399999999999"/>
    <n v="26237.639999999996"/>
    <n v="797.21000000000026"/>
  </r>
  <r>
    <x v="11"/>
    <x v="8"/>
    <x v="0"/>
    <s v="4700104"/>
    <n v="723000"/>
    <s v="Supply Rebates/Patronage Dividend"/>
    <s v="Clinical Laboratory Service"/>
    <x v="0"/>
    <m/>
    <n v="0"/>
    <n v="0"/>
    <n v="0"/>
    <n v="0"/>
    <n v="0"/>
    <n v="0"/>
    <n v="0"/>
    <n v="0"/>
    <n v="-2258.6799999999998"/>
    <n v="0"/>
    <n v="0"/>
    <n v="0"/>
    <n v="-2258.6799999999998"/>
    <n v="0"/>
  </r>
  <r>
    <x v="12"/>
    <x v="8"/>
    <x v="0"/>
    <s v="4700104"/>
    <n v="730020"/>
    <s v="Rental and Leases-Equipment (DO NOT USE)"/>
    <s v="Clinical Laboratory Service"/>
    <x v="0"/>
    <m/>
    <n v="-819.9"/>
    <n v="-1117.05"/>
    <n v="13735.34"/>
    <n v="-1117.06"/>
    <n v="11586.87"/>
    <n v="15424.1"/>
    <n v="9864.4"/>
    <n v="5605.17"/>
    <n v="-1566.6"/>
    <n v="6073.2"/>
    <n v="-1566.59"/>
    <n v="14454.33"/>
    <n v="70556.210000000006"/>
    <n v="-16020.92"/>
  </r>
  <r>
    <x v="12"/>
    <x v="8"/>
    <x v="0"/>
    <s v="4700104"/>
    <n v="730020"/>
    <s v="Rental and Leases-Copier Usage Fees (DO NOT USE)"/>
    <s v="Clinical Laboratory Service"/>
    <x v="0"/>
    <n v="5100"/>
    <n v="485.02"/>
    <n v="503.3"/>
    <n v="494.16"/>
    <n v="494.16"/>
    <n v="494.16"/>
    <n v="494.16"/>
    <n v="119.14"/>
    <n v="720.46"/>
    <n v="50.13"/>
    <n v="92.12"/>
    <n v="639.54999999999995"/>
    <n v="349.41"/>
    <n v="4935.7699999999995"/>
    <n v="290.13999999999993"/>
  </r>
  <r>
    <x v="15"/>
    <x v="8"/>
    <x v="0"/>
    <s v="4700104"/>
    <n v="731060"/>
    <s v="Pagers"/>
    <s v="Clinical Laboratory Service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8"/>
    <x v="0"/>
    <s v="4700104"/>
    <n v="732020"/>
    <s v="Repairs--Clin Equip-Parts-Internal to CHI Programs"/>
    <s v="Clinical Laboratory Service"/>
    <x v="0"/>
    <m/>
    <n v="428.81"/>
    <n v="1197.56"/>
    <n v="1108.69"/>
    <n v="1108.69"/>
    <n v="144.72"/>
    <n v="757.41"/>
    <n v="768.75"/>
    <n v="798.7"/>
    <n v="768.75"/>
    <n v="811.92"/>
    <n v="1197.56"/>
    <n v="1537.5"/>
    <n v="10629.06"/>
    <n v="-339.94000000000005"/>
  </r>
  <r>
    <x v="16"/>
    <x v="8"/>
    <x v="0"/>
    <s v="4700104"/>
    <n v="732030"/>
    <s v="Repairs---Other"/>
    <s v="Clinical Laboratory Service"/>
    <x v="0"/>
    <m/>
    <n v="0"/>
    <n v="470.23"/>
    <n v="0"/>
    <n v="0"/>
    <n v="1308.01"/>
    <n v="2622.04"/>
    <n v="0"/>
    <n v="0"/>
    <n v="0"/>
    <n v="0"/>
    <n v="0"/>
    <n v="0"/>
    <n v="4400.28"/>
    <n v="0"/>
  </r>
  <r>
    <x v="13"/>
    <x v="8"/>
    <x v="0"/>
    <s v="4700104"/>
    <n v="735030"/>
    <s v="Depreciation-Buildings"/>
    <s v="Clinical Laboratory Service"/>
    <x v="0"/>
    <m/>
    <n v="2821.86"/>
    <n v="2821.83"/>
    <n v="2821.88"/>
    <n v="2821.8"/>
    <n v="2821.93"/>
    <n v="2821.74"/>
    <n v="2821.95"/>
    <n v="2821.73"/>
    <n v="2821.99"/>
    <n v="2751.86"/>
    <n v="2752.14"/>
    <n v="2751.84"/>
    <n v="33652.550000000003"/>
    <n v="0.29999999999972715"/>
  </r>
  <r>
    <x v="13"/>
    <x v="8"/>
    <x v="0"/>
    <s v="4700104"/>
    <n v="735050"/>
    <s v="Amortization-Leasehold Improvements"/>
    <s v="Clinical Laboratory Service"/>
    <x v="0"/>
    <m/>
    <n v="1264.1199999999999"/>
    <n v="1264.1300000000001"/>
    <n v="1264.1099999999999"/>
    <n v="1264.19"/>
    <n v="1264.06"/>
    <n v="1264.17"/>
    <n v="1264.04"/>
    <n v="1264.21"/>
    <n v="1264.03"/>
    <n v="-218.43"/>
    <n v="-218.42"/>
    <n v="-218.44"/>
    <n v="10721.769999999999"/>
    <n v="2.0000000000010232E-2"/>
  </r>
  <r>
    <x v="13"/>
    <x v="8"/>
    <x v="0"/>
    <s v="4700104"/>
    <n v="735060"/>
    <s v="Depreciation-Fixed Equipment"/>
    <s v="Clinical Laboratory Service"/>
    <x v="0"/>
    <m/>
    <n v="26.76"/>
    <n v="26.76"/>
    <n v="26.76"/>
    <n v="26.76"/>
    <n v="26.76"/>
    <n v="26.75"/>
    <n v="26.76"/>
    <n v="26.75"/>
    <n v="26.76"/>
    <n v="26.75"/>
    <n v="26.76"/>
    <n v="26.75"/>
    <n v="321.08"/>
    <n v="1.0000000000001563E-2"/>
  </r>
  <r>
    <x v="13"/>
    <x v="8"/>
    <x v="0"/>
    <s v="4700104"/>
    <n v="735070"/>
    <s v="Depreciation-Movable Equipment"/>
    <s v="Clinical Laboratory Service"/>
    <x v="0"/>
    <m/>
    <n v="12865.33"/>
    <n v="12865.36"/>
    <n v="12865.32"/>
    <n v="13097.21"/>
    <n v="13097.13"/>
    <n v="13097.24"/>
    <n v="13180.76"/>
    <n v="13181.31"/>
    <n v="13181.08"/>
    <n v="9486.4699999999993"/>
    <n v="9486.58"/>
    <n v="9716.24"/>
    <n v="146120.02999999997"/>
    <n v="-229.65999999999985"/>
  </r>
  <r>
    <x v="0"/>
    <x v="8"/>
    <x v="0"/>
    <s v="4700104"/>
    <n v="742030"/>
    <s v="Freight-Courier"/>
    <s v="Clinical Laboratory Service"/>
    <x v="0"/>
    <m/>
    <n v="0"/>
    <n v="0"/>
    <n v="0"/>
    <n v="7522.5"/>
    <n v="5548"/>
    <n v="1631"/>
    <n v="5486.4"/>
    <n v="2366.8000000000002"/>
    <n v="5796.44"/>
    <n v="3284.4"/>
    <n v="3665.55"/>
    <n v="7329.4"/>
    <n v="42630.490000000005"/>
    <n v="-3663.8499999999995"/>
  </r>
  <r>
    <x v="0"/>
    <x v="8"/>
    <x v="0"/>
    <s v="4700104"/>
    <n v="743010"/>
    <s v="Dues--Institutional"/>
    <s v="Clinical Laboratory Service"/>
    <x v="0"/>
    <m/>
    <n v="1475.01"/>
    <n v="3.06"/>
    <n v="0"/>
    <n v="-872.96"/>
    <n v="1681"/>
    <n v="0"/>
    <n v="0"/>
    <n v="635.79999999999995"/>
    <n v="14851.38"/>
    <n v="208.56"/>
    <n v="372.24"/>
    <n v="1353.44"/>
    <n v="19707.530000000002"/>
    <n v="-981.2"/>
  </r>
  <r>
    <x v="0"/>
    <x v="8"/>
    <x v="0"/>
    <s v="4700104"/>
    <n v="749510"/>
    <s v="Miscellaneous Expenses"/>
    <s v="Clinical Laboratory Service"/>
    <x v="0"/>
    <m/>
    <n v="0"/>
    <n v="0"/>
    <n v="0"/>
    <n v="-759.05"/>
    <n v="0"/>
    <n v="0"/>
    <n v="84.23"/>
    <n v="-21.82"/>
    <n v="21.82"/>
    <n v="-415.82"/>
    <n v="60.7"/>
    <n v="-60.7"/>
    <n v="-1090.6399999999999"/>
    <n v="121.4"/>
  </r>
  <r>
    <x v="0"/>
    <x v="8"/>
    <x v="0"/>
    <s v="4700104"/>
    <n v="749510"/>
    <s v="Licenses"/>
    <s v="Clinical Laboratory Service"/>
    <x v="0"/>
    <n v="1002"/>
    <n v="0"/>
    <n v="0"/>
    <n v="0"/>
    <n v="0"/>
    <n v="0"/>
    <n v="0"/>
    <n v="5189"/>
    <n v="0"/>
    <n v="0"/>
    <n v="9810"/>
    <n v="0"/>
    <n v="0"/>
    <n v="14999"/>
    <n v="0"/>
  </r>
  <r>
    <x v="0"/>
    <x v="8"/>
    <x v="0"/>
    <s v="4700104"/>
    <n v="749510"/>
    <s v="RICE Rewards"/>
    <s v="Clinical Laboratory Service"/>
    <x v="0"/>
    <n v="5100"/>
    <n v="0"/>
    <n v="0"/>
    <n v="0"/>
    <n v="0"/>
    <n v="0"/>
    <n v="48.12"/>
    <n v="0"/>
    <n v="0"/>
    <n v="0"/>
    <n v="0"/>
    <n v="0"/>
    <n v="60.7"/>
    <n v="108.82"/>
    <n v="-60.7"/>
  </r>
  <r>
    <x v="0"/>
    <x v="8"/>
    <x v="0"/>
    <s v="4700104"/>
    <n v="749530"/>
    <s v="Travel"/>
    <s v="Clinical Laboratory Service"/>
    <x v="0"/>
    <m/>
    <n v="5"/>
    <n v="5"/>
    <n v="5"/>
    <n v="0"/>
    <n v="0"/>
    <n v="0"/>
    <n v="0"/>
    <n v="5"/>
    <n v="0"/>
    <n v="5"/>
    <n v="5"/>
    <n v="5"/>
    <n v="35"/>
    <n v="0"/>
  </r>
  <r>
    <x v="0"/>
    <x v="8"/>
    <x v="0"/>
    <s v="4700104"/>
    <n v="749530"/>
    <s v="Mileage"/>
    <s v="Clinical Laboratory Service"/>
    <x v="0"/>
    <n v="1001"/>
    <n v="15.81"/>
    <n v="15.81"/>
    <n v="15.81"/>
    <n v="0"/>
    <n v="0"/>
    <n v="0"/>
    <n v="0"/>
    <n v="16.82"/>
    <n v="0"/>
    <n v="16.82"/>
    <n v="16.82"/>
    <n v="16.82"/>
    <n v="114.70999999999998"/>
    <n v="0"/>
  </r>
  <r>
    <x v="18"/>
    <x v="5"/>
    <x v="0"/>
    <s v="4700106"/>
    <n v="400010"/>
    <s v="Acute I/P Svcs Rev--Medicare"/>
    <s v="Clinical Laboratory Service"/>
    <x v="0"/>
    <n v="1100"/>
    <n v="-1355917.91"/>
    <n v="-1431440.33"/>
    <n v="-1471588.26"/>
    <n v="-1456106.73"/>
    <n v="-1342078.92"/>
    <n v="-1516348.92"/>
    <n v="-1838095.53"/>
    <n v="-1587833.68"/>
    <n v="-1703718.6"/>
    <n v="-1604669.84"/>
    <n v="-1506503.45"/>
    <n v="-1508354.86"/>
    <n v="-18322657.029999997"/>
    <n v="1851.410000000149"/>
  </r>
  <r>
    <x v="18"/>
    <x v="5"/>
    <x v="0"/>
    <s v="4700106"/>
    <n v="400010"/>
    <s v="Acute I/P Svcs Rev--Medicaid"/>
    <s v="Clinical Laboratory Service"/>
    <x v="0"/>
    <n v="1200"/>
    <n v="-719861.97"/>
    <n v="-515600.85"/>
    <n v="-550138.4"/>
    <n v="-559376.13"/>
    <n v="-525208.14"/>
    <n v="-571126.89"/>
    <n v="-665299.44999999995"/>
    <n v="-688068.77"/>
    <n v="-686543.51"/>
    <n v="-614714.56000000006"/>
    <n v="-682291.59"/>
    <n v="-685900.24"/>
    <n v="-7464130.5"/>
    <n v="3608.6500000000233"/>
  </r>
  <r>
    <x v="18"/>
    <x v="5"/>
    <x v="0"/>
    <s v="4700106"/>
    <n v="400010"/>
    <s v="Acute I/P Svcs Rev--Comm Insurance"/>
    <s v="Clinical Laboratory Service"/>
    <x v="0"/>
    <n v="1300"/>
    <n v="-16267.64"/>
    <n v="-62268.7"/>
    <n v="49447.78"/>
    <n v="-11699.24"/>
    <n v="-41179.58"/>
    <n v="-44045.03"/>
    <n v="-9823.8799999999992"/>
    <n v="-87212.91"/>
    <n v="-30890.14"/>
    <n v="-78308.34"/>
    <n v="-15415.21"/>
    <n v="-38306.67"/>
    <n v="-385969.56000000006"/>
    <n v="22891.46"/>
  </r>
  <r>
    <x v="18"/>
    <x v="5"/>
    <x v="0"/>
    <s v="4700106"/>
    <n v="400010"/>
    <s v="Acute I/P Svcs Rev--BCBS Comm"/>
    <s v="Clinical Laboratory Service"/>
    <x v="0"/>
    <n v="1301"/>
    <n v="-93531.34"/>
    <n v="-87258.97"/>
    <n v="-60502.65"/>
    <n v="-68792.97"/>
    <n v="-73193.45"/>
    <n v="-166826.65"/>
    <n v="-139600.04"/>
    <n v="-99419.51"/>
    <n v="-84663.03"/>
    <n v="-135641.48000000001"/>
    <n v="-124500.9"/>
    <n v="-80404.42"/>
    <n v="-1214335.4099999999"/>
    <n v="-44096.479999999996"/>
  </r>
  <r>
    <x v="18"/>
    <x v="5"/>
    <x v="0"/>
    <s v="4700106"/>
    <n v="400010"/>
    <s v="Acute I/P Svcs Rev--Managed Care"/>
    <s v="Clinical Laboratory Service"/>
    <x v="0"/>
    <n v="1400"/>
    <n v="-286919.89"/>
    <n v="-268538.40999999997"/>
    <n v="-249560.08"/>
    <n v="-281379"/>
    <n v="-266717.03999999998"/>
    <n v="-340273.29"/>
    <n v="-237379.92"/>
    <n v="-303331.37"/>
    <n v="-353664.83"/>
    <n v="-240901.14"/>
    <n v="-174597.82"/>
    <n v="-234705.17"/>
    <n v="-3237967.96"/>
    <n v="60107.350000000006"/>
  </r>
  <r>
    <x v="18"/>
    <x v="5"/>
    <x v="0"/>
    <s v="4700106"/>
    <n v="400010"/>
    <s v="Acute I/P Svcs Rev--Self Pay"/>
    <s v="Clinical Laboratory Service"/>
    <x v="0"/>
    <n v="1500"/>
    <n v="-16502.560000000001"/>
    <n v="-83033.929999999993"/>
    <n v="-85764.09"/>
    <n v="-5642.8"/>
    <n v="-110974.58"/>
    <n v="-31064.76"/>
    <n v="-109216.28"/>
    <n v="-64637.16"/>
    <n v="1771.67"/>
    <n v="-52840.25"/>
    <n v="-74637.570000000007"/>
    <n v="-55347.11"/>
    <n v="-687889.42"/>
    <n v="-19290.460000000006"/>
  </r>
  <r>
    <x v="18"/>
    <x v="5"/>
    <x v="0"/>
    <s v="4700106"/>
    <n v="400010"/>
    <s v="Acute I/P Svcs Rev--Other"/>
    <s v="Clinical Laboratory Service"/>
    <x v="0"/>
    <n v="1700"/>
    <n v="-17536.73"/>
    <n v="-13487.78"/>
    <n v="-45039.92"/>
    <n v="-1694.42"/>
    <n v="-19511.63"/>
    <n v="-37920.44"/>
    <n v="-34277.730000000003"/>
    <n v="-47220.35"/>
    <n v="-67983.41"/>
    <n v="-26600.45"/>
    <n v="-75361.61"/>
    <n v="-63560.639999999999"/>
    <n v="-450195.11000000004"/>
    <n v="-11800.970000000001"/>
  </r>
  <r>
    <x v="19"/>
    <x v="5"/>
    <x v="0"/>
    <s v="4700106"/>
    <n v="400020"/>
    <s v="O/P Care Svcs Rev--Medicare"/>
    <s v="Clinical Laboratory Service"/>
    <x v="0"/>
    <n v="1100"/>
    <n v="-775055.71"/>
    <n v="-737264.85"/>
    <n v="-789181.95"/>
    <n v="-828349.11"/>
    <n v="-723019.21"/>
    <n v="-726087.27"/>
    <n v="-856541.72"/>
    <n v="-735528.9"/>
    <n v="-917112.56"/>
    <n v="-865387.05"/>
    <n v="-840384.45"/>
    <n v="-939154.99"/>
    <n v="-9733067.7699999996"/>
    <n v="98770.540000000037"/>
  </r>
  <r>
    <x v="19"/>
    <x v="5"/>
    <x v="0"/>
    <s v="4700106"/>
    <n v="400020"/>
    <s v="O/P Care Svcs Rev--Medicaid"/>
    <s v="Clinical Laboratory Service"/>
    <x v="0"/>
    <n v="1200"/>
    <n v="-755698.16"/>
    <n v="-768973.1"/>
    <n v="-789737.94"/>
    <n v="-748588.27"/>
    <n v="-687187.15"/>
    <n v="-787814.88"/>
    <n v="-776162.25"/>
    <n v="-632658.06000000006"/>
    <n v="-792330.09"/>
    <n v="-770387.44"/>
    <n v="-706131.38"/>
    <n v="-743521.89"/>
    <n v="-8959190.6099999994"/>
    <n v="37390.510000000009"/>
  </r>
  <r>
    <x v="19"/>
    <x v="5"/>
    <x v="0"/>
    <s v="4700106"/>
    <n v="400020"/>
    <s v="O/P Care Svcs Rev--Comm Insurance"/>
    <s v="Clinical Laboratory Service"/>
    <x v="0"/>
    <n v="1300"/>
    <n v="-56795.47"/>
    <n v="-67656.960000000006"/>
    <n v="-35030.9"/>
    <n v="-50650.83"/>
    <n v="-66749.78"/>
    <n v="-24121.16"/>
    <n v="-44502.34"/>
    <n v="-54844.89"/>
    <n v="-55529.62"/>
    <n v="-55172.3"/>
    <n v="-68094.100000000006"/>
    <n v="-51995.21"/>
    <n v="-631143.56000000006"/>
    <n v="-16098.890000000007"/>
  </r>
  <r>
    <x v="19"/>
    <x v="5"/>
    <x v="0"/>
    <s v="4700106"/>
    <n v="400020"/>
    <s v="O/P Care Svcs Rev--BCBS Comm"/>
    <s v="Clinical Laboratory Service"/>
    <x v="0"/>
    <n v="1301"/>
    <n v="-148022.25"/>
    <n v="-145602.49"/>
    <n v="-130708.62"/>
    <n v="-121131.27"/>
    <n v="-145453.29999999999"/>
    <n v="-143368.79999999999"/>
    <n v="-156071.4"/>
    <n v="-119487.37"/>
    <n v="-160459.82"/>
    <n v="-136494.23000000001"/>
    <n v="-179328.47"/>
    <n v="-169203.17"/>
    <n v="-1755331.19"/>
    <n v="-10125.299999999988"/>
  </r>
  <r>
    <x v="19"/>
    <x v="5"/>
    <x v="0"/>
    <s v="4700106"/>
    <n v="400020"/>
    <s v="O/P Care Svcs Rev--Managed Care"/>
    <s v="Clinical Laboratory Service"/>
    <x v="0"/>
    <n v="1400"/>
    <n v="-376259.05"/>
    <n v="-391933.51"/>
    <n v="-354245.35"/>
    <n v="-357573.81"/>
    <n v="-317489.14"/>
    <n v="-316642.5"/>
    <n v="-322006.53999999998"/>
    <n v="-317271.40000000002"/>
    <n v="-402952.01"/>
    <n v="-371707.03"/>
    <n v="-396861"/>
    <n v="-356891.34"/>
    <n v="-4281832.6800000006"/>
    <n v="-39969.659999999974"/>
  </r>
  <r>
    <x v="19"/>
    <x v="5"/>
    <x v="0"/>
    <s v="4700106"/>
    <n v="400020"/>
    <s v="O/P Care Svcs Rev--Self Pay"/>
    <s v="Clinical Laboratory Service"/>
    <x v="0"/>
    <n v="1500"/>
    <n v="-145451.93"/>
    <n v="-190079.07"/>
    <n v="-158347.81"/>
    <n v="-159898.67000000001"/>
    <n v="-146421.06"/>
    <n v="-194702.62"/>
    <n v="-191909.19"/>
    <n v="-124291.44"/>
    <n v="-158067.82999999999"/>
    <n v="-106938.9"/>
    <n v="-140722.51"/>
    <n v="-145378.01999999999"/>
    <n v="-1862209.05"/>
    <n v="4655.5099999999802"/>
  </r>
  <r>
    <x v="19"/>
    <x v="5"/>
    <x v="0"/>
    <s v="4700106"/>
    <n v="400020"/>
    <s v="O/P Care Svcs Rev--Other"/>
    <s v="Clinical Laboratory Service"/>
    <x v="0"/>
    <n v="1700"/>
    <n v="-36804.120000000003"/>
    <n v="-39749.440000000002"/>
    <n v="-39093.760000000002"/>
    <n v="-39008"/>
    <n v="-39790.980000000003"/>
    <n v="-45264.24"/>
    <n v="-41225.31"/>
    <n v="-45311.77"/>
    <n v="-42665.73"/>
    <n v="-32607.43"/>
    <n v="-33484.94"/>
    <n v="-27946.79"/>
    <n v="-462952.50999999995"/>
    <n v="-5538.1500000000015"/>
  </r>
  <r>
    <x v="14"/>
    <x v="5"/>
    <x v="0"/>
    <s v="4700106"/>
    <n v="600050"/>
    <s v="Miscellaneous Revenue"/>
    <s v="Clinical Laboratory Service"/>
    <x v="0"/>
    <m/>
    <n v="-7428.73"/>
    <n v="-7756.08"/>
    <n v="-7791.37"/>
    <n v="-3040.07"/>
    <n v="-3524.2"/>
    <n v="-6180.52"/>
    <n v="-6293.53"/>
    <n v="-4758.6000000000004"/>
    <n v="-6003.57"/>
    <n v="-5814.79"/>
    <n v="-6663.22"/>
    <n v="-4030.39"/>
    <n v="-69285.070000000007"/>
    <n v="-2632.8300000000004"/>
  </r>
  <r>
    <x v="14"/>
    <x v="5"/>
    <x v="0"/>
    <s v="4700106"/>
    <n v="600050"/>
    <s v="Misc.Revenue-Contract Services"/>
    <s v="Clinical Laboratory Service"/>
    <x v="0"/>
    <n v="1017"/>
    <n v="-38539.089999999997"/>
    <n v="-38985.269999999997"/>
    <n v="-33995.49"/>
    <n v="-43049.89"/>
    <n v="-43604"/>
    <n v="-31590.29"/>
    <n v="-43328.55"/>
    <n v="-42355.27"/>
    <n v="-48519.42"/>
    <n v="-38211.31"/>
    <n v="-38070.99"/>
    <n v="-28333.52"/>
    <n v="-468583.09"/>
    <n v="-9737.4699999999975"/>
  </r>
  <r>
    <x v="5"/>
    <x v="5"/>
    <x v="0"/>
    <s v="4700106"/>
    <n v="700014"/>
    <s v="Salaries-Management-Productive"/>
    <s v="Clinical Laboratory Service"/>
    <x v="0"/>
    <m/>
    <n v="9278.51"/>
    <n v="4847.4399999999996"/>
    <n v="10456.14"/>
    <n v="10906.01"/>
    <n v="10594"/>
    <n v="5438.5"/>
    <n v="10540.06"/>
    <n v="9230.58"/>
    <n v="11140.36"/>
    <n v="10609.53"/>
    <n v="10963.56"/>
    <n v="8028.37"/>
    <n v="112033.05999999998"/>
    <n v="2935.1899999999996"/>
  </r>
  <r>
    <x v="5"/>
    <x v="5"/>
    <x v="0"/>
    <s v="4700106"/>
    <n v="700032"/>
    <s v="Salaries-Other Pat Care Providers-Productive"/>
    <s v="Clinical Laboratory Service"/>
    <x v="0"/>
    <m/>
    <n v="124393.06"/>
    <n v="131855.57"/>
    <n v="111629.16"/>
    <n v="135048.60999999999"/>
    <n v="118116.82"/>
    <n v="132916.85"/>
    <n v="128158.68"/>
    <n v="122078.59"/>
    <n v="125183.47"/>
    <n v="124538.22"/>
    <n v="112217.65"/>
    <n v="128007.55"/>
    <n v="1494144.23"/>
    <n v="-15789.900000000009"/>
  </r>
  <r>
    <x v="5"/>
    <x v="5"/>
    <x v="0"/>
    <s v="4700106"/>
    <n v="700032"/>
    <s v="Salaries-Other Pat Care Providers-OT"/>
    <s v="Clinical Laboratory Service"/>
    <x v="0"/>
    <n v="1000"/>
    <n v="2676.97"/>
    <n v="3866.82"/>
    <n v="2642.96"/>
    <n v="3088.77"/>
    <n v="6451.31"/>
    <n v="1779.59"/>
    <n v="3944.92"/>
    <n v="4020.53"/>
    <n v="2356.08"/>
    <n v="2442.79"/>
    <n v="2829.7"/>
    <n v="2806.67"/>
    <n v="38907.11"/>
    <n v="23.029999999999745"/>
  </r>
  <r>
    <x v="5"/>
    <x v="5"/>
    <x v="0"/>
    <s v="4700106"/>
    <n v="700032"/>
    <s v="Salaries-Other Pat Care Providers-Other"/>
    <s v="Clinical Laboratory Service"/>
    <x v="0"/>
    <n v="2000"/>
    <n v="8711.1"/>
    <n v="8975.66"/>
    <n v="7816.49"/>
    <n v="8569.92"/>
    <n v="7728.69"/>
    <n v="8941.11"/>
    <n v="8393.5499999999993"/>
    <n v="7493.01"/>
    <n v="7878.81"/>
    <n v="7870.9"/>
    <n v="8244.18"/>
    <n v="8406.4500000000007"/>
    <n v="99029.869999999981"/>
    <n v="-162.27000000000044"/>
  </r>
  <r>
    <x v="5"/>
    <x v="5"/>
    <x v="0"/>
    <s v="4700106"/>
    <n v="700034"/>
    <s v="Salaries-Tech/Professional-Productive"/>
    <s v="Clinical Laboratory Service"/>
    <x v="0"/>
    <m/>
    <n v="12909.11"/>
    <n v="6047.28"/>
    <n v="16314.33"/>
    <n v="12039.11"/>
    <n v="11060.52"/>
    <n v="9281.49"/>
    <n v="17772.46"/>
    <n v="14390.37"/>
    <n v="18152.439999999999"/>
    <n v="17252.259999999998"/>
    <n v="20695.02"/>
    <n v="13138.03"/>
    <n v="169052.42"/>
    <n v="7556.99"/>
  </r>
  <r>
    <x v="5"/>
    <x v="5"/>
    <x v="0"/>
    <s v="4700106"/>
    <n v="700034"/>
    <s v="Salaries-Tech/Professional-OT"/>
    <s v="Clinical Laboratory Service"/>
    <x v="0"/>
    <n v="1000"/>
    <n v="84.42"/>
    <n v="309.39999999999998"/>
    <n v="296.95999999999998"/>
    <n v="227.43"/>
    <n v="522.71"/>
    <n v="-127.78"/>
    <n v="17.72"/>
    <n v="261.87"/>
    <n v="456.38"/>
    <n v="705.61"/>
    <n v="167.49"/>
    <n v="59.99"/>
    <n v="2982.2"/>
    <n v="107.5"/>
  </r>
  <r>
    <x v="5"/>
    <x v="5"/>
    <x v="0"/>
    <s v="4700106"/>
    <n v="700034"/>
    <s v="Salaries-Tech/Professional-Other"/>
    <s v="Clinical Laboratory Service"/>
    <x v="0"/>
    <n v="2000"/>
    <n v="922.9"/>
    <n v="350.56"/>
    <n v="1282.23"/>
    <n v="1573.19"/>
    <n v="1340.88"/>
    <n v="995.63"/>
    <n v="1587.28"/>
    <n v="1777"/>
    <n v="3579.83"/>
    <n v="1695.89"/>
    <n v="2733.1"/>
    <n v="1602.21"/>
    <n v="19440.699999999997"/>
    <n v="1130.8899999999999"/>
  </r>
  <r>
    <x v="5"/>
    <x v="5"/>
    <x v="0"/>
    <s v="4700106"/>
    <n v="700054"/>
    <s v="Salaries-Management-Non-productive"/>
    <s v="Clinical Laboratory Service"/>
    <x v="0"/>
    <m/>
    <n v="1454.16"/>
    <n v="5885.71"/>
    <n v="-69.069999999999993"/>
    <n v="0"/>
    <n v="0"/>
    <n v="5509"/>
    <n v="424.52"/>
    <n v="671.92"/>
    <n v="-176.8"/>
    <n v="0"/>
    <n v="0"/>
    <n v="2581.66"/>
    <n v="16281.1"/>
    <n v="-2581.66"/>
  </r>
  <r>
    <x v="5"/>
    <x v="5"/>
    <x v="0"/>
    <s v="4700106"/>
    <n v="700054"/>
    <s v="Salaries-Management-NonProd-Other"/>
    <s v="Clinical Laboratory Service"/>
    <x v="0"/>
    <n v="2000"/>
    <n v="0"/>
    <n v="0"/>
    <n v="0"/>
    <n v="0"/>
    <n v="0"/>
    <n v="1247.82"/>
    <n v="-1247.82"/>
    <n v="0"/>
    <n v="0"/>
    <n v="0"/>
    <n v="0"/>
    <n v="0"/>
    <n v="0"/>
    <n v="0"/>
  </r>
  <r>
    <x v="5"/>
    <x v="5"/>
    <x v="0"/>
    <s v="4700106"/>
    <n v="700072"/>
    <s v="Salaries-Other Pat Care Providers-Non-productive"/>
    <s v="Clinical Laboratory Service"/>
    <x v="0"/>
    <m/>
    <n v="22386.46"/>
    <n v="15050.21"/>
    <n v="33595.11"/>
    <n v="12087.23"/>
    <n v="23644.05"/>
    <n v="20709.86"/>
    <n v="21013.71"/>
    <n v="11872.28"/>
    <n v="22367.02"/>
    <n v="13408.57"/>
    <n v="32545.67"/>
    <n v="6945.24"/>
    <n v="235625.40999999997"/>
    <n v="25600.43"/>
  </r>
  <r>
    <x v="5"/>
    <x v="5"/>
    <x v="0"/>
    <s v="4700106"/>
    <n v="700072"/>
    <s v="Salaries-Other Pat Care Providers-NonProd-Other"/>
    <s v="Clinical Laboratory Service"/>
    <x v="0"/>
    <n v="2000"/>
    <n v="983.49"/>
    <n v="1009"/>
    <n v="1132.02"/>
    <n v="708.25"/>
    <n v="1144.25"/>
    <n v="655.65"/>
    <n v="797.65"/>
    <n v="138.51"/>
    <n v="889.16"/>
    <n v="781.48"/>
    <n v="1252.67"/>
    <n v="475.48"/>
    <n v="9967.6099999999988"/>
    <n v="777.19"/>
  </r>
  <r>
    <x v="5"/>
    <x v="5"/>
    <x v="0"/>
    <s v="4700106"/>
    <n v="700074"/>
    <s v="Salaries-Tech/Professional-Non-productive"/>
    <s v="Clinical Laboratory Service"/>
    <x v="0"/>
    <m/>
    <n v="2772.37"/>
    <n v="8847.32"/>
    <n v="851.52"/>
    <n v="4181.72"/>
    <n v="3530.73"/>
    <n v="4089.59"/>
    <n v="429.33"/>
    <n v="1967.95"/>
    <n v="-288.82"/>
    <n v="252.77"/>
    <n v="659.25"/>
    <n v="3347.81"/>
    <n v="30641.540000000005"/>
    <n v="-2688.56"/>
  </r>
  <r>
    <x v="5"/>
    <x v="5"/>
    <x v="0"/>
    <s v="4700106"/>
    <n v="700074"/>
    <s v="Salaries-Tech/Professional-NonProd-Other"/>
    <s v="Clinical Laboratory Service"/>
    <x v="0"/>
    <n v="2000"/>
    <n v="194.26"/>
    <n v="742.86"/>
    <n v="-137.12"/>
    <n v="160.71"/>
    <n v="514.52"/>
    <n v="199.72"/>
    <n v="-4.28"/>
    <n v="-312.67"/>
    <n v="292.67"/>
    <n v="-106.42"/>
    <n v="57.92"/>
    <n v="269.04000000000002"/>
    <n v="1871.21"/>
    <n v="-211.12"/>
  </r>
  <r>
    <x v="5"/>
    <x v="5"/>
    <x v="0"/>
    <s v="4700106"/>
    <n v="700084"/>
    <s v="Accrued PTO"/>
    <s v="Clinical Laboratory Service"/>
    <x v="0"/>
    <m/>
    <n v="-6058.58"/>
    <n v="-6408.77"/>
    <n v="-12882.13"/>
    <n v="2762.14"/>
    <n v="365.5"/>
    <n v="-9023.57"/>
    <n v="1351.31"/>
    <n v="4794.8"/>
    <n v="3397.86"/>
    <n v="6577.68"/>
    <n v="-1291.8699999999999"/>
    <n v="1985.53"/>
    <n v="-14430.099999999997"/>
    <n v="-3277.3999999999996"/>
  </r>
  <r>
    <x v="10"/>
    <x v="5"/>
    <x v="0"/>
    <s v="4700106"/>
    <n v="710060"/>
    <s v="Contract Labor-Other"/>
    <s v="Clinical Laboratory Service"/>
    <x v="0"/>
    <m/>
    <n v="0"/>
    <n v="0"/>
    <n v="25364.54"/>
    <n v="12220.8"/>
    <n v="7638"/>
    <n v="0"/>
    <n v="17440.099999999999"/>
    <n v="0"/>
    <n v="0"/>
    <n v="0"/>
    <n v="0"/>
    <n v="0"/>
    <n v="62663.439999999995"/>
    <n v="0"/>
  </r>
  <r>
    <x v="10"/>
    <x v="5"/>
    <x v="0"/>
    <s v="4700106"/>
    <n v="710060"/>
    <s v="Contract Labor-Overtime"/>
    <s v="Clinical Laboratory Service"/>
    <x v="0"/>
    <n v="5100"/>
    <n v="0"/>
    <n v="0"/>
    <n v="85.92"/>
    <n v="988.2"/>
    <n v="0"/>
    <n v="0"/>
    <n v="42.96"/>
    <n v="0"/>
    <n v="0"/>
    <n v="0"/>
    <n v="0"/>
    <n v="0"/>
    <n v="1117.0800000000002"/>
    <n v="0"/>
  </r>
  <r>
    <x v="6"/>
    <x v="5"/>
    <x v="0"/>
    <s v="4700106"/>
    <n v="713010"/>
    <s v="Benefits-FICA/Medicare"/>
    <s v="Clinical Laboratory Service"/>
    <x v="0"/>
    <m/>
    <n v="14662.31"/>
    <n v="13792.23"/>
    <n v="13375.39"/>
    <n v="13896.24"/>
    <n v="13752.44"/>
    <n v="14023.97"/>
    <n v="14323.5"/>
    <n v="12851.66"/>
    <n v="14188.85"/>
    <n v="13170.93"/>
    <n v="14290.24"/>
    <n v="13046.49"/>
    <n v="165374.25"/>
    <n v="1243.75"/>
  </r>
  <r>
    <x v="6"/>
    <x v="5"/>
    <x v="0"/>
    <s v="4700106"/>
    <n v="713090"/>
    <s v="Benefits-Allocated Amounts"/>
    <s v="Clinical Laboratory Service"/>
    <x v="0"/>
    <m/>
    <n v="48932.24"/>
    <n v="46724.11"/>
    <n v="46421.79"/>
    <n v="46320.89"/>
    <n v="47663.29"/>
    <n v="46522.33"/>
    <n v="49858.59"/>
    <n v="46341.75"/>
    <n v="47187.45"/>
    <n v="47085.03"/>
    <n v="49170.1"/>
    <n v="45395"/>
    <n v="567622.56999999995"/>
    <n v="3775.0999999999985"/>
  </r>
  <r>
    <x v="6"/>
    <x v="5"/>
    <x v="0"/>
    <s v="4700106"/>
    <n v="713096"/>
    <s v="Employee Recognition"/>
    <s v="Clinical Laboratory Service"/>
    <x v="0"/>
    <n v="1017"/>
    <n v="0"/>
    <n v="0"/>
    <n v="213.58"/>
    <n v="0"/>
    <n v="0"/>
    <n v="0"/>
    <n v="0"/>
    <n v="0"/>
    <n v="28.94"/>
    <n v="0"/>
    <n v="0"/>
    <n v="0"/>
    <n v="242.52"/>
    <n v="0"/>
  </r>
  <r>
    <x v="17"/>
    <x v="5"/>
    <x v="0"/>
    <s v="4700106"/>
    <n v="714510"/>
    <s v="Medical Director Fees"/>
    <s v="Clinical Laboratory Service"/>
    <x v="0"/>
    <m/>
    <n v="3842.74"/>
    <n v="5117.1499999999996"/>
    <n v="3820.41"/>
    <n v="4374.3900000000003"/>
    <n v="4530"/>
    <n v="6335.98"/>
    <n v="697.75"/>
    <n v="3900"/>
    <n v="6899.54"/>
    <n v="596.96"/>
    <n v="3848.32"/>
    <n v="3954.58"/>
    <n v="47917.82"/>
    <n v="-106.25999999999976"/>
  </r>
  <r>
    <x v="7"/>
    <x v="5"/>
    <x v="0"/>
    <s v="4700106"/>
    <n v="718040"/>
    <s v="Contract Svcs-Laboratory"/>
    <s v="Clinical Laboratory Service"/>
    <x v="0"/>
    <m/>
    <n v="0"/>
    <n v="2210"/>
    <n v="0"/>
    <n v="7800"/>
    <n v="0"/>
    <n v="11210"/>
    <n v="0"/>
    <n v="10130"/>
    <n v="0"/>
    <n v="7027.57"/>
    <n v="14254.06"/>
    <n v="46042.16"/>
    <n v="98673.790000000008"/>
    <n v="-31788.100000000006"/>
  </r>
  <r>
    <x v="7"/>
    <x v="5"/>
    <x v="0"/>
    <s v="4700106"/>
    <n v="718040"/>
    <s v="Contract Svcs-Reference Lab Fees"/>
    <s v="Clinical Laboratory Service"/>
    <x v="0"/>
    <n v="1001"/>
    <n v="0"/>
    <n v="0"/>
    <n v="0"/>
    <n v="0"/>
    <n v="0"/>
    <n v="0"/>
    <n v="0"/>
    <n v="260"/>
    <n v="65"/>
    <n v="11047.61"/>
    <n v="30855.64"/>
    <n v="31238.37"/>
    <n v="73466.62"/>
    <n v="-382.72999999999956"/>
  </r>
  <r>
    <x v="7"/>
    <x v="5"/>
    <x v="0"/>
    <s v="4700106"/>
    <n v="718050"/>
    <s v="Contract Svcs-Other"/>
    <s v="Clinical Laboratory Service"/>
    <x v="0"/>
    <m/>
    <n v="0"/>
    <n v="0"/>
    <n v="0"/>
    <n v="-53.29"/>
    <n v="0"/>
    <n v="0"/>
    <n v="0"/>
    <n v="0"/>
    <n v="0"/>
    <n v="0"/>
    <n v="990"/>
    <n v="0"/>
    <n v="936.71"/>
    <n v="990"/>
  </r>
  <r>
    <x v="7"/>
    <x v="5"/>
    <x v="0"/>
    <s v="4700106"/>
    <n v="718050"/>
    <s v="Document Shredding/Storage"/>
    <s v="Clinical Laboratory Service"/>
    <x v="0"/>
    <n v="1012"/>
    <n v="225.53"/>
    <n v="219.5"/>
    <n v="70.260000000000005"/>
    <n v="148.01"/>
    <n v="221.08"/>
    <n v="207.06"/>
    <n v="201.98"/>
    <n v="185.06"/>
    <n v="106.34"/>
    <n v="235.62"/>
    <n v="155.06"/>
    <n v="297.10000000000002"/>
    <n v="2272.6"/>
    <n v="-142.04000000000002"/>
  </r>
  <r>
    <x v="7"/>
    <x v="5"/>
    <x v="0"/>
    <s v="4700106"/>
    <n v="718050"/>
    <s v="Miscellaneous Purchased Svcs"/>
    <s v="Clinical Laboratory Service"/>
    <x v="0"/>
    <n v="1020"/>
    <n v="42177.21"/>
    <n v="57667.51"/>
    <n v="71291.64"/>
    <n v="36735.74"/>
    <n v="46938.52"/>
    <n v="46023.88"/>
    <n v="68348.12"/>
    <n v="67968.05"/>
    <n v="58979.57"/>
    <n v="45994.04"/>
    <n v="51735.35"/>
    <n v="50560.47"/>
    <n v="644420.09999999986"/>
    <n v="1174.8799999999974"/>
  </r>
  <r>
    <x v="7"/>
    <x v="5"/>
    <x v="0"/>
    <s v="4700106"/>
    <n v="718050"/>
    <s v="Contract Svcs--Medical/Dental"/>
    <s v="Clinical Laboratory Service"/>
    <x v="0"/>
    <n v="1024"/>
    <n v="0"/>
    <n v="0"/>
    <n v="24737.82"/>
    <n v="-24691.31"/>
    <n v="0"/>
    <n v="0"/>
    <n v="0"/>
    <n v="0"/>
    <n v="0"/>
    <n v="0"/>
    <n v="0"/>
    <n v="0"/>
    <n v="46.509999999998399"/>
    <n v="0"/>
  </r>
  <r>
    <x v="7"/>
    <x v="5"/>
    <x v="0"/>
    <s v="4700106"/>
    <n v="718050"/>
    <s v="Contract Management--Linen"/>
    <s v="Clinical Laboratory Service"/>
    <x v="0"/>
    <n v="1026"/>
    <n v="6.08"/>
    <n v="-1.1399999999999999"/>
    <n v="0"/>
    <n v="0"/>
    <n v="0"/>
    <n v="0"/>
    <n v="0"/>
    <n v="0"/>
    <n v="0"/>
    <n v="2.87"/>
    <n v="-2.87"/>
    <n v="2.72"/>
    <n v="7.66"/>
    <n v="-5.59"/>
  </r>
  <r>
    <x v="7"/>
    <x v="5"/>
    <x v="0"/>
    <s v="4700106"/>
    <n v="718050"/>
    <s v="Purchased Srvcs--Medical Waste"/>
    <s v="Clinical Laboratory Service"/>
    <x v="0"/>
    <n v="1027"/>
    <n v="61.6"/>
    <n v="30.8"/>
    <n v="116.43"/>
    <n v="248.25"/>
    <n v="30.8"/>
    <n v="30.8"/>
    <n v="72.66"/>
    <n v="178.79"/>
    <n v="61.6"/>
    <n v="310.2"/>
    <n v="266.82"/>
    <n v="0"/>
    <n v="1408.75"/>
    <n v="266.82"/>
  </r>
  <r>
    <x v="7"/>
    <x v="5"/>
    <x v="0"/>
    <s v="4700106"/>
    <n v="718070"/>
    <s v="Contract Srvcs-CHI Clinical Engineering"/>
    <s v="Clinical Laboratory Service"/>
    <x v="0"/>
    <m/>
    <n v="10173.379999999999"/>
    <n v="12093.17"/>
    <n v="12093.17"/>
    <n v="12093.17"/>
    <n v="12093.14"/>
    <n v="12095.8"/>
    <n v="12170.71"/>
    <n v="12170.7"/>
    <n v="9168.35"/>
    <n v="9168.3799999999992"/>
    <n v="9168.61"/>
    <n v="9168.67"/>
    <n v="131657.25000000003"/>
    <n v="-5.9999999999490683E-2"/>
  </r>
  <r>
    <x v="7"/>
    <x v="5"/>
    <x v="0"/>
    <s v="4700106"/>
    <n v="718091"/>
    <s v="Contract Services-Intracompany Allocation"/>
    <s v="Clinical Laboratory Service"/>
    <x v="0"/>
    <m/>
    <n v="22961.93"/>
    <n v="24327.16"/>
    <n v="23591.279999999999"/>
    <n v="26981.49"/>
    <n v="25385.63"/>
    <n v="26280.41"/>
    <n v="32370.94"/>
    <n v="29001.83"/>
    <n v="32807.58"/>
    <n v="30617.29"/>
    <n v="34150.9"/>
    <n v="32364.58"/>
    <n v="340841.02"/>
    <n v="1786.3199999999997"/>
  </r>
  <r>
    <x v="11"/>
    <x v="5"/>
    <x v="0"/>
    <s v="4700106"/>
    <n v="721010"/>
    <s v="Supplies-Medical - Billable"/>
    <s v="Clinical Laboratory Service"/>
    <x v="0"/>
    <m/>
    <n v="6320.83"/>
    <n v="22929.360000000001"/>
    <n v="11901.26"/>
    <n v="12051.6"/>
    <n v="0"/>
    <n v="0"/>
    <n v="0"/>
    <n v="0"/>
    <n v="1800"/>
    <n v="0"/>
    <n v="0"/>
    <n v="70.319999999999993"/>
    <n v="55073.37"/>
    <n v="-70.319999999999993"/>
  </r>
  <r>
    <x v="11"/>
    <x v="5"/>
    <x v="0"/>
    <s v="4700106"/>
    <n v="721220"/>
    <s v="Supplies-Medical Gases - Billable"/>
    <s v="Clinical Laboratory Service"/>
    <x v="0"/>
    <m/>
    <n v="0"/>
    <n v="8.73"/>
    <n v="8.73"/>
    <n v="0"/>
    <n v="0"/>
    <n v="0"/>
    <n v="0"/>
    <n v="10.210000000000001"/>
    <n v="0"/>
    <n v="0"/>
    <n v="0"/>
    <n v="72.8"/>
    <n v="100.47"/>
    <n v="-72.8"/>
  </r>
  <r>
    <x v="11"/>
    <x v="5"/>
    <x v="0"/>
    <s v="4700106"/>
    <n v="721240"/>
    <s v="Supplies-IV Solutions/Supplies - Billable"/>
    <s v="Clinical Laboratory Service"/>
    <x v="0"/>
    <m/>
    <n v="0"/>
    <n v="6"/>
    <n v="6"/>
    <n v="24"/>
    <n v="9"/>
    <n v="0"/>
    <n v="2.58"/>
    <n v="6"/>
    <n v="3"/>
    <n v="9"/>
    <n v="6"/>
    <n v="9"/>
    <n v="80.58"/>
    <n v="-3"/>
  </r>
  <r>
    <x v="11"/>
    <x v="5"/>
    <x v="0"/>
    <s v="4700106"/>
    <n v="721250"/>
    <s v="Supplies-Pharmacy Drugs - Billable"/>
    <s v="Clinical Laboratory Service"/>
    <x v="0"/>
    <m/>
    <n v="702"/>
    <n v="0"/>
    <n v="702"/>
    <n v="709.84"/>
    <n v="716.39"/>
    <n v="0"/>
    <n v="0"/>
    <n v="653.25"/>
    <n v="0"/>
    <n v="653.25"/>
    <n v="150.5"/>
    <n v="-135.44999999999999"/>
    <n v="4151.78"/>
    <n v="285.95"/>
  </r>
  <r>
    <x v="11"/>
    <x v="5"/>
    <x v="0"/>
    <s v="4700106"/>
    <n v="721320"/>
    <s v="Supplies-Purchased Blood - Billable"/>
    <s v="Clinical Laboratory Service"/>
    <x v="0"/>
    <m/>
    <n v="36132.44"/>
    <n v="53194.64"/>
    <n v="84776.89"/>
    <n v="64922.98"/>
    <n v="86400.44"/>
    <n v="50000"/>
    <n v="52434.84"/>
    <n v="70000"/>
    <n v="104174.32"/>
    <n v="69408.479999999996"/>
    <n v="69837.3"/>
    <n v="70000"/>
    <n v="811282.33000000007"/>
    <n v="-162.69999999999709"/>
  </r>
  <r>
    <x v="11"/>
    <x v="5"/>
    <x v="0"/>
    <s v="4700106"/>
    <n v="721410"/>
    <s v="Supplies-Medical - Nonbillable"/>
    <s v="Clinical Laboratory Service"/>
    <x v="0"/>
    <m/>
    <n v="1827.61"/>
    <n v="2149.04"/>
    <n v="1606.38"/>
    <n v="9969.3700000000008"/>
    <n v="2521.96"/>
    <n v="1894.78"/>
    <n v="1938.71"/>
    <n v="1875.56"/>
    <n v="1702.1"/>
    <n v="-20454.55"/>
    <n v="1664.6"/>
    <n v="1991.33"/>
    <n v="8686.89"/>
    <n v="-326.73"/>
  </r>
  <r>
    <x v="11"/>
    <x v="5"/>
    <x v="0"/>
    <s v="4700106"/>
    <n v="721420"/>
    <s v="Sterilization Process Products"/>
    <s v="Clinical Laboratory Service"/>
    <x v="0"/>
    <n v="1009"/>
    <n v="0"/>
    <n v="0"/>
    <n v="0"/>
    <n v="0"/>
    <n v="88"/>
    <n v="0"/>
    <n v="0"/>
    <n v="0"/>
    <n v="0"/>
    <n v="0"/>
    <n v="0"/>
    <n v="0"/>
    <n v="88"/>
    <n v="0"/>
  </r>
  <r>
    <x v="11"/>
    <x v="5"/>
    <x v="0"/>
    <s v="4700106"/>
    <n v="721640"/>
    <s v="Supplies-IV Solutions/Supplies - Nonbillable"/>
    <s v="Clinical Laboratory Service"/>
    <x v="0"/>
    <m/>
    <n v="68.290000000000006"/>
    <n v="68.290000000000006"/>
    <n v="204.87"/>
    <n v="0"/>
    <n v="34.14"/>
    <n v="136.58000000000001"/>
    <n v="0"/>
    <n v="136.58000000000001"/>
    <n v="136.58000000000001"/>
    <n v="68.290000000000006"/>
    <n v="68.290000000000006"/>
    <n v="68.290000000000006"/>
    <n v="990.2"/>
    <n v="0"/>
  </r>
  <r>
    <x v="11"/>
    <x v="5"/>
    <x v="0"/>
    <s v="4700106"/>
    <n v="721710"/>
    <s v="Supplies-Laboratory - Nonbillable"/>
    <s v="Clinical Laboratory Service"/>
    <x v="0"/>
    <m/>
    <n v="23636.880000000001"/>
    <n v="27300.43"/>
    <n v="17777.39"/>
    <n v="27794.93"/>
    <n v="53796.78"/>
    <n v="15841.48"/>
    <n v="54272.88"/>
    <n v="32141.16"/>
    <n v="48940.54"/>
    <n v="36115.910000000003"/>
    <n v="51156.33"/>
    <n v="42882.42"/>
    <n v="431657.13"/>
    <n v="8273.9100000000035"/>
  </r>
  <r>
    <x v="11"/>
    <x v="5"/>
    <x v="0"/>
    <s v="4700106"/>
    <n v="721710"/>
    <s v="Reagents"/>
    <s v="Clinical Laboratory Service"/>
    <x v="0"/>
    <n v="1000"/>
    <n v="55363.54"/>
    <n v="60556.3"/>
    <n v="29121.25"/>
    <n v="14093.09"/>
    <n v="78710.97"/>
    <n v="66016.63"/>
    <n v="61316.32"/>
    <n v="62043.78"/>
    <n v="-54671.24"/>
    <n v="56983.03"/>
    <n v="56311.67"/>
    <n v="45169.55"/>
    <n v="531014.89"/>
    <n v="11142.119999999995"/>
  </r>
  <r>
    <x v="11"/>
    <x v="5"/>
    <x v="0"/>
    <s v="4700106"/>
    <n v="721810"/>
    <s v="Supplies-Dietary/Cafeteria"/>
    <s v="Clinical Laboratory Service"/>
    <x v="0"/>
    <m/>
    <n v="42.27"/>
    <n v="53.1"/>
    <n v="64.91"/>
    <n v="56.99"/>
    <n v="721.37"/>
    <n v="114.35"/>
    <n v="19.79"/>
    <n v="48.44"/>
    <n v="59.98"/>
    <n v="403.72"/>
    <n v="81.010000000000005"/>
    <n v="46.55"/>
    <n v="1712.48"/>
    <n v="34.460000000000008"/>
  </r>
  <r>
    <x v="11"/>
    <x v="5"/>
    <x v="0"/>
    <s v="4700106"/>
    <n v="721830"/>
    <s v="Supplies-Office"/>
    <s v="Clinical Laboratory Service"/>
    <x v="0"/>
    <m/>
    <n v="370.06"/>
    <n v="526.99"/>
    <n v="764.57"/>
    <n v="938.53"/>
    <n v="185.85"/>
    <n v="316.3"/>
    <n v="3419.13"/>
    <n v="410.44"/>
    <n v="123.9"/>
    <n v="1554.62"/>
    <n v="433.28"/>
    <n v="377.77"/>
    <n v="9421.44"/>
    <n v="55.509999999999991"/>
  </r>
  <r>
    <x v="11"/>
    <x v="5"/>
    <x v="0"/>
    <s v="4700106"/>
    <n v="721835"/>
    <s v="Supplies-Forms"/>
    <s v="Clinical Laboratory Service"/>
    <x v="0"/>
    <m/>
    <n v="0"/>
    <n v="0"/>
    <n v="0"/>
    <n v="0"/>
    <n v="0"/>
    <n v="0"/>
    <n v="0"/>
    <n v="0"/>
    <n v="0"/>
    <n v="0.5"/>
    <n v="0"/>
    <n v="0"/>
    <n v="0.5"/>
    <n v="0"/>
  </r>
  <r>
    <x v="11"/>
    <x v="5"/>
    <x v="0"/>
    <s v="4700106"/>
    <n v="721870"/>
    <s v="Supplies-Environmental Services"/>
    <s v="Clinical Laboratory Service"/>
    <x v="0"/>
    <m/>
    <n v="232.55"/>
    <n v="76.180000000000007"/>
    <n v="283.12"/>
    <n v="363.69"/>
    <n v="106.39"/>
    <n v="301.85000000000002"/>
    <n v="350.26"/>
    <n v="354.99"/>
    <n v="336.95"/>
    <n v="185.01"/>
    <n v="78.319999999999993"/>
    <n v="127.98"/>
    <n v="2797.29"/>
    <n v="-49.660000000000011"/>
  </r>
  <r>
    <x v="11"/>
    <x v="5"/>
    <x v="0"/>
    <s v="4700106"/>
    <n v="721880"/>
    <s v="Supplies-Linen"/>
    <s v="Clinical Laboratory Service"/>
    <x v="0"/>
    <m/>
    <n v="0"/>
    <n v="23.93"/>
    <n v="0"/>
    <n v="0"/>
    <n v="0"/>
    <n v="0"/>
    <n v="0"/>
    <n v="0"/>
    <n v="0"/>
    <n v="0"/>
    <n v="0"/>
    <n v="0"/>
    <n v="23.93"/>
    <n v="0"/>
  </r>
  <r>
    <x v="11"/>
    <x v="5"/>
    <x v="0"/>
    <s v="4700106"/>
    <n v="721910"/>
    <s v="Supplies-Small Equipment"/>
    <s v="Clinical Laboratory Service"/>
    <x v="0"/>
    <m/>
    <n v="2747.93"/>
    <n v="1215.1199999999999"/>
    <n v="804.23"/>
    <n v="11.32"/>
    <n v="1574.28"/>
    <n v="0"/>
    <n v="78.02"/>
    <n v="1020.93"/>
    <n v="1723.18"/>
    <n v="0"/>
    <n v="0"/>
    <n v="3394.69"/>
    <n v="12569.7"/>
    <n v="-3394.69"/>
  </r>
  <r>
    <x v="11"/>
    <x v="5"/>
    <x v="0"/>
    <s v="4700106"/>
    <n v="721980"/>
    <s v="Supplies-Other"/>
    <s v="Clinical Laboratory Service"/>
    <x v="0"/>
    <m/>
    <n v="0"/>
    <n v="502.49"/>
    <n v="1480.69"/>
    <n v="0"/>
    <n v="2500"/>
    <n v="88.64"/>
    <n v="1156.78"/>
    <n v="540.35"/>
    <n v="1173.8800000000001"/>
    <n v="4797.12"/>
    <n v="50.08"/>
    <n v="29.81"/>
    <n v="12319.84"/>
    <n v="20.27"/>
  </r>
  <r>
    <x v="11"/>
    <x v="5"/>
    <x v="0"/>
    <s v="4700106"/>
    <n v="722000"/>
    <s v="Supplies-Freight Expense"/>
    <s v="Clinical Laboratory Service"/>
    <x v="0"/>
    <m/>
    <n v="2180.41"/>
    <n v="3771.37"/>
    <n v="2458.75"/>
    <n v="1600.51"/>
    <n v="1801.29"/>
    <n v="1522.49"/>
    <n v="2544.4"/>
    <n v="1831.78"/>
    <n v="2737.33"/>
    <n v="2087.3000000000002"/>
    <n v="2458.75"/>
    <n v="1259.9100000000001"/>
    <n v="26254.289999999994"/>
    <n v="1198.8399999999999"/>
  </r>
  <r>
    <x v="11"/>
    <x v="5"/>
    <x v="0"/>
    <s v="4700106"/>
    <n v="723000"/>
    <s v="Supply Rebates/Patronage Dividend"/>
    <s v="Clinical Laboratory Service"/>
    <x v="0"/>
    <m/>
    <n v="0"/>
    <n v="0"/>
    <n v="0"/>
    <n v="0"/>
    <n v="0"/>
    <n v="-166.92"/>
    <n v="0"/>
    <n v="0"/>
    <n v="-2231.14"/>
    <n v="0"/>
    <n v="0"/>
    <n v="0"/>
    <n v="-2398.06"/>
    <n v="0"/>
  </r>
  <r>
    <x v="12"/>
    <x v="5"/>
    <x v="0"/>
    <s v="4700106"/>
    <n v="730020"/>
    <s v="Rental and Leases-Equipment (DO NOT USE)"/>
    <s v="Clinical Laboratory Service"/>
    <x v="0"/>
    <m/>
    <n v="-1106.31"/>
    <n v="2054.38"/>
    <n v="13988.27"/>
    <n v="9554.3700000000008"/>
    <n v="11142.38"/>
    <n v="11229.94"/>
    <n v="11178.72"/>
    <n v="14491.76"/>
    <n v="5638.48"/>
    <n v="7323.08"/>
    <n v="2638.48"/>
    <n v="3471.99"/>
    <n v="91605.54"/>
    <n v="-833.50999999999976"/>
  </r>
  <r>
    <x v="12"/>
    <x v="5"/>
    <x v="0"/>
    <s v="4700106"/>
    <n v="730020"/>
    <s v="Rental and Leases-Copier Usage Fees (DO NOT USE)"/>
    <s v="Clinical Laboratory Service"/>
    <x v="0"/>
    <n v="5100"/>
    <n v="603.52"/>
    <n v="617.71"/>
    <n v="610.61"/>
    <n v="610.61"/>
    <n v="610.61"/>
    <n v="610.61"/>
    <n v="725.25"/>
    <n v="555.84"/>
    <n v="554.66999999999996"/>
    <n v="859.02"/>
    <n v="555.84"/>
    <n v="733.35"/>
    <n v="7647.6400000000012"/>
    <n v="-177.51"/>
  </r>
  <r>
    <x v="15"/>
    <x v="5"/>
    <x v="0"/>
    <s v="4700106"/>
    <n v="731060"/>
    <s v="Telephone"/>
    <s v="Clinical Laboratory Service"/>
    <x v="0"/>
    <m/>
    <n v="0"/>
    <n v="0"/>
    <n v="0"/>
    <n v="0"/>
    <n v="0"/>
    <n v="0"/>
    <n v="0"/>
    <n v="0"/>
    <n v="86"/>
    <n v="103.2"/>
    <n v="0"/>
    <n v="0"/>
    <n v="189.2"/>
    <n v="0"/>
  </r>
  <r>
    <x v="15"/>
    <x v="5"/>
    <x v="0"/>
    <s v="4700106"/>
    <n v="731060"/>
    <s v="Pagers"/>
    <s v="Clinical Laboratory Service"/>
    <x v="0"/>
    <n v="1002"/>
    <n v="7.99"/>
    <n v="7.99"/>
    <n v="7.99"/>
    <n v="8.02"/>
    <n v="8.02"/>
    <n v="0"/>
    <n v="16.04"/>
    <n v="8.02"/>
    <n v="8.02"/>
    <n v="8.01"/>
    <n v="8.01"/>
    <n v="8.01"/>
    <n v="96.12"/>
    <n v="0"/>
  </r>
  <r>
    <x v="16"/>
    <x v="5"/>
    <x v="0"/>
    <s v="4700106"/>
    <n v="732020"/>
    <s v="Repairs--Clin Equip-Parts-Internal to CHI Programs"/>
    <s v="Clinical Laboratory Service"/>
    <x v="0"/>
    <m/>
    <n v="468.19"/>
    <n v="600.79999999999995"/>
    <n v="384.32"/>
    <n v="72.64"/>
    <n v="0"/>
    <n v="315.54000000000002"/>
    <n v="874.41"/>
    <n v="323.12"/>
    <n v="315.54000000000002"/>
    <n v="68.849999999999994"/>
    <n v="562.29999999999995"/>
    <n v="455.02"/>
    <n v="4440.7299999999996"/>
    <n v="107.27999999999997"/>
  </r>
  <r>
    <x v="16"/>
    <x v="5"/>
    <x v="0"/>
    <s v="4700106"/>
    <n v="732030"/>
    <s v="Repairs---Other"/>
    <s v="Clinical Laboratory Service"/>
    <x v="0"/>
    <m/>
    <n v="0"/>
    <n v="0"/>
    <n v="1584.06"/>
    <n v="3395.46"/>
    <n v="0"/>
    <n v="1603.21"/>
    <n v="0"/>
    <n v="1798.17"/>
    <n v="250"/>
    <n v="59.57"/>
    <n v="3844.4"/>
    <n v="2295.15"/>
    <n v="14830.02"/>
    <n v="1549.25"/>
  </r>
  <r>
    <x v="16"/>
    <x v="5"/>
    <x v="0"/>
    <s v="4700106"/>
    <n v="733030"/>
    <s v="Maintenance Contracts-Other"/>
    <s v="Clinical Laboratory Service"/>
    <x v="0"/>
    <m/>
    <n v="421.83"/>
    <n v="0"/>
    <n v="0"/>
    <n v="4717.8999999999996"/>
    <n v="0"/>
    <n v="0"/>
    <n v="0"/>
    <n v="0"/>
    <n v="0"/>
    <n v="0"/>
    <n v="0"/>
    <n v="3855.85"/>
    <n v="8995.58"/>
    <n v="-3855.85"/>
  </r>
  <r>
    <x v="13"/>
    <x v="5"/>
    <x v="0"/>
    <s v="4700106"/>
    <n v="735040"/>
    <s v="Depreciation-Building Improvements"/>
    <s v="Clinical Laboratory Service"/>
    <x v="0"/>
    <m/>
    <n v="21.04"/>
    <n v="21.03"/>
    <n v="181.01"/>
    <n v="180.99"/>
    <n v="181.01"/>
    <n v="180.99"/>
    <n v="181.01"/>
    <n v="180.99"/>
    <n v="181.01"/>
    <n v="180.98"/>
    <n v="181.01"/>
    <n v="180.98"/>
    <n v="1852.05"/>
    <n v="3.0000000000001137E-2"/>
  </r>
  <r>
    <x v="13"/>
    <x v="5"/>
    <x v="0"/>
    <s v="4700106"/>
    <n v="735050"/>
    <s v="Amortization-Leasehold Improvements"/>
    <s v="Clinical Laboratory Service"/>
    <x v="0"/>
    <m/>
    <n v="11.55"/>
    <n v="11.54"/>
    <n v="11.55"/>
    <n v="11.54"/>
    <n v="11.55"/>
    <n v="11.54"/>
    <n v="11.55"/>
    <n v="11.53"/>
    <n v="11.57"/>
    <n v="11.53"/>
    <n v="11.57"/>
    <n v="11.52"/>
    <n v="138.54000000000002"/>
    <n v="5.0000000000000711E-2"/>
  </r>
  <r>
    <x v="13"/>
    <x v="5"/>
    <x v="0"/>
    <s v="4700106"/>
    <n v="735060"/>
    <s v="Depreciation-Fixed Equipment"/>
    <s v="Clinical Laboratory Service"/>
    <x v="0"/>
    <m/>
    <n v="111.94"/>
    <n v="111.91"/>
    <n v="111.95"/>
    <n v="111.91"/>
    <n v="111.95"/>
    <n v="111.91"/>
    <n v="111.96"/>
    <n v="111.9"/>
    <n v="111.98"/>
    <n v="111.89"/>
    <n v="112"/>
    <n v="111.88"/>
    <n v="1343.1800000000003"/>
    <n v="0.12000000000000455"/>
  </r>
  <r>
    <x v="13"/>
    <x v="5"/>
    <x v="0"/>
    <s v="4700106"/>
    <n v="735070"/>
    <s v="Depreciation-Movable Equipment"/>
    <s v="Clinical Laboratory Service"/>
    <x v="0"/>
    <m/>
    <n v="9689.86"/>
    <n v="9689.76"/>
    <n v="9689.93"/>
    <n v="9689.75"/>
    <n v="9689.98"/>
    <n v="9689.69"/>
    <n v="9690.01"/>
    <n v="9689.59"/>
    <n v="9690.16"/>
    <n v="10420.57"/>
    <n v="10421.67"/>
    <n v="10420.530000000001"/>
    <n v="118471.49999999999"/>
    <n v="1.1399999999994179"/>
  </r>
  <r>
    <x v="0"/>
    <x v="5"/>
    <x v="0"/>
    <s v="4700106"/>
    <n v="740020"/>
    <s v="Education-Registration Fees"/>
    <s v="Clinical Laboratory Service"/>
    <x v="0"/>
    <m/>
    <n v="0"/>
    <n v="0"/>
    <n v="0"/>
    <n v="0"/>
    <n v="0"/>
    <n v="0"/>
    <n v="0"/>
    <n v="0"/>
    <n v="0"/>
    <n v="160"/>
    <n v="0"/>
    <n v="160"/>
    <n v="320"/>
    <n v="-160"/>
  </r>
  <r>
    <x v="0"/>
    <x v="5"/>
    <x v="0"/>
    <s v="4700106"/>
    <n v="742030"/>
    <s v="Freight-Courier"/>
    <s v="Clinical Laboratory Service"/>
    <x v="0"/>
    <m/>
    <n v="8147.43"/>
    <n v="7992.54"/>
    <n v="11160.04"/>
    <n v="5222.71"/>
    <n v="6982.82"/>
    <n v="3943.09"/>
    <n v="5182.67"/>
    <n v="15520.06"/>
    <n v="15828.87"/>
    <n v="12864.62"/>
    <n v="8013.37"/>
    <n v="9089.42"/>
    <n v="109947.63999999998"/>
    <n v="-1076.0500000000002"/>
  </r>
  <r>
    <x v="0"/>
    <x v="5"/>
    <x v="0"/>
    <s v="4700106"/>
    <n v="742040"/>
    <s v="Freight-Other"/>
    <s v="Clinical Laboratory Service"/>
    <x v="0"/>
    <m/>
    <n v="0"/>
    <n v="0"/>
    <n v="0"/>
    <n v="258.5"/>
    <n v="0"/>
    <n v="0"/>
    <n v="0"/>
    <n v="0"/>
    <n v="0"/>
    <n v="0"/>
    <n v="0"/>
    <n v="38.5"/>
    <n v="297"/>
    <n v="-38.5"/>
  </r>
  <r>
    <x v="0"/>
    <x v="5"/>
    <x v="0"/>
    <s v="4700106"/>
    <n v="743010"/>
    <s v="Dues--Institutional"/>
    <s v="Clinical Laboratory Service"/>
    <x v="0"/>
    <m/>
    <n v="0"/>
    <n v="533"/>
    <n v="120"/>
    <n v="0"/>
    <n v="2151"/>
    <n v="60"/>
    <n v="0"/>
    <n v="0"/>
    <n v="14564.01"/>
    <n v="0"/>
    <n v="-922"/>
    <n v="3735.85"/>
    <n v="20241.86"/>
    <n v="-4657.8500000000004"/>
  </r>
  <r>
    <x v="0"/>
    <x v="5"/>
    <x v="0"/>
    <s v="4700106"/>
    <n v="743030"/>
    <s v="Subscriptions--Institutional"/>
    <s v="Clinical Laboratory Service"/>
    <x v="0"/>
    <m/>
    <n v="0"/>
    <n v="0"/>
    <n v="0"/>
    <n v="0"/>
    <n v="0"/>
    <n v="0"/>
    <n v="0"/>
    <n v="0"/>
    <n v="97.9"/>
    <n v="0"/>
    <n v="0"/>
    <n v="0"/>
    <n v="97.9"/>
    <n v="0"/>
  </r>
  <r>
    <x v="0"/>
    <x v="5"/>
    <x v="0"/>
    <s v="4700106"/>
    <n v="749510"/>
    <s v="Miscellaneous Expenses"/>
    <s v="Clinical Laboratory Service"/>
    <x v="0"/>
    <m/>
    <n v="18.21"/>
    <n v="331.25"/>
    <n v="-213.58"/>
    <n v="0"/>
    <n v="27.8"/>
    <n v="0"/>
    <n v="-27.8"/>
    <n v="334.58"/>
    <n v="-220.6"/>
    <n v="-98.97"/>
    <n v="180.88"/>
    <n v="626.25"/>
    <n v="958.02"/>
    <n v="-445.37"/>
  </r>
  <r>
    <x v="0"/>
    <x v="5"/>
    <x v="0"/>
    <s v="4700106"/>
    <n v="749510"/>
    <s v="Licenses"/>
    <s v="Clinical Laboratory Service"/>
    <x v="0"/>
    <n v="1002"/>
    <n v="0"/>
    <n v="0"/>
    <n v="95"/>
    <n v="0"/>
    <n v="0"/>
    <n v="0"/>
    <n v="89"/>
    <n v="0"/>
    <n v="0"/>
    <n v="0"/>
    <n v="8168"/>
    <n v="3382"/>
    <n v="11734"/>
    <n v="4786"/>
  </r>
  <r>
    <x v="0"/>
    <x v="5"/>
    <x v="0"/>
    <s v="4700106"/>
    <n v="749510"/>
    <s v="Uniforms"/>
    <s v="Clinical Laboratory Service"/>
    <x v="0"/>
    <n v="1028"/>
    <n v="1451.2"/>
    <n v="1305.31"/>
    <n v="556.66"/>
    <n v="564.51"/>
    <n v="758.16"/>
    <n v="377.82"/>
    <n v="1163.9100000000001"/>
    <n v="395.86"/>
    <n v="1416.81"/>
    <n v="1033.6199999999999"/>
    <n v="402.57"/>
    <n v="629.52"/>
    <n v="10055.950000000001"/>
    <n v="-226.95"/>
  </r>
  <r>
    <x v="0"/>
    <x v="5"/>
    <x v="0"/>
    <s v="4700106"/>
    <n v="749510"/>
    <s v="RICE Rewards"/>
    <s v="Clinical Laboratory Service"/>
    <x v="0"/>
    <n v="5100"/>
    <n v="0"/>
    <n v="0"/>
    <n v="0"/>
    <n v="0"/>
    <n v="0"/>
    <n v="0"/>
    <n v="0"/>
    <n v="388.48"/>
    <n v="192.5"/>
    <n v="182.84"/>
    <n v="0"/>
    <n v="0"/>
    <n v="763.82"/>
    <n v="0"/>
  </r>
  <r>
    <x v="0"/>
    <x v="5"/>
    <x v="0"/>
    <s v="4700106"/>
    <n v="749530"/>
    <s v="Travel"/>
    <s v="Clinical Laboratory Service"/>
    <x v="0"/>
    <m/>
    <n v="0"/>
    <n v="0"/>
    <n v="0"/>
    <n v="0"/>
    <n v="0"/>
    <n v="0"/>
    <n v="6"/>
    <n v="0"/>
    <n v="0"/>
    <n v="0"/>
    <n v="0"/>
    <n v="0"/>
    <n v="6"/>
    <n v="0"/>
  </r>
  <r>
    <x v="0"/>
    <x v="5"/>
    <x v="0"/>
    <s v="4700106"/>
    <n v="749530"/>
    <s v="Mileage"/>
    <s v="Clinical Laboratory Service"/>
    <x v="0"/>
    <n v="1001"/>
    <n v="45.78"/>
    <n v="0"/>
    <n v="0"/>
    <n v="0"/>
    <n v="0"/>
    <n v="0"/>
    <n v="38.04"/>
    <n v="94.5"/>
    <n v="16.239999999999998"/>
    <n v="270.86"/>
    <n v="0"/>
    <n v="37.119999999999997"/>
    <n v="502.54"/>
    <n v="-37.119999999999997"/>
  </r>
  <r>
    <x v="18"/>
    <x v="6"/>
    <x v="0"/>
    <s v="4700107"/>
    <n v="400010"/>
    <s v="Acute I/P Svcs Rev--Medicare"/>
    <s v="Clinical Lab-Bremerton"/>
    <x v="0"/>
    <n v="1100"/>
    <n v="-3316861.01"/>
    <n v="-3223829.14"/>
    <n v="-3157082.81"/>
    <n v="-2985242.03"/>
    <n v="-3175387.54"/>
    <n v="-3231409.91"/>
    <n v="-3700185.8"/>
    <n v="-3282887.11"/>
    <n v="-3571207.1"/>
    <n v="-3231796.58"/>
    <n v="-3354286.02"/>
    <n v="-3252982.37"/>
    <n v="-39483157.420000002"/>
    <n v="-101303.64999999991"/>
  </r>
  <r>
    <x v="18"/>
    <x v="6"/>
    <x v="0"/>
    <s v="4700107"/>
    <n v="400010"/>
    <s v="Acute I/P Svcs Rev--Medicaid"/>
    <s v="Clinical Lab-Bremerton"/>
    <x v="0"/>
    <n v="1200"/>
    <n v="-634895.68999999994"/>
    <n v="-812474.28"/>
    <n v="-611592.64"/>
    <n v="-711305.35"/>
    <n v="-591694.13"/>
    <n v="-699602.72"/>
    <n v="-713217.61"/>
    <n v="-817581.92"/>
    <n v="-758426.89"/>
    <n v="-702750.44"/>
    <n v="-755959.48"/>
    <n v="-1023417.52"/>
    <n v="-8832918.6699999999"/>
    <n v="267458.04000000004"/>
  </r>
  <r>
    <x v="18"/>
    <x v="6"/>
    <x v="0"/>
    <s v="4700107"/>
    <n v="400010"/>
    <s v="Acute I/P Svcs Rev--Comm Insurance"/>
    <s v="Clinical Lab-Bremerton"/>
    <x v="0"/>
    <n v="1300"/>
    <n v="22851.84"/>
    <n v="-16519.82"/>
    <n v="-5731.85"/>
    <n v="-46785.4"/>
    <n v="-45799.25"/>
    <n v="-61304.43"/>
    <n v="8715.94"/>
    <n v="-117056.16"/>
    <n v="-85309.73"/>
    <n v="-40834.480000000003"/>
    <n v="60837.26"/>
    <n v="-6703.61"/>
    <n v="-333639.68999999994"/>
    <n v="67540.87"/>
  </r>
  <r>
    <x v="18"/>
    <x v="6"/>
    <x v="0"/>
    <s v="4700107"/>
    <n v="400010"/>
    <s v="Acute I/P Svcs Rev--BCBS Comm"/>
    <s v="Clinical Lab-Bremerton"/>
    <x v="0"/>
    <n v="1301"/>
    <n v="-140668.76"/>
    <n v="-223957.47"/>
    <n v="-237488.41"/>
    <n v="-116698.23"/>
    <n v="-210604.89"/>
    <n v="-164878.73000000001"/>
    <n v="-244630.15"/>
    <n v="-144437.15"/>
    <n v="-195472.79"/>
    <n v="-290378.27"/>
    <n v="-461459.76"/>
    <n v="-176738.98"/>
    <n v="-2607413.59"/>
    <n v="-284720.78000000003"/>
  </r>
  <r>
    <x v="18"/>
    <x v="6"/>
    <x v="0"/>
    <s v="4700107"/>
    <n v="400010"/>
    <s v="Acute I/P Svcs Rev--Managed Care"/>
    <s v="Clinical Lab-Bremerton"/>
    <x v="0"/>
    <n v="1400"/>
    <n v="-338978.04"/>
    <n v="-355980.82"/>
    <n v="-371001.3"/>
    <n v="-295626.27"/>
    <n v="-321773.44"/>
    <n v="-342769.77"/>
    <n v="-405708.03"/>
    <n v="-349136.7"/>
    <n v="-404847.94"/>
    <n v="-382730.65"/>
    <n v="-423006.77"/>
    <n v="-489320.4"/>
    <n v="-4480880.13"/>
    <n v="66313.63"/>
  </r>
  <r>
    <x v="18"/>
    <x v="6"/>
    <x v="0"/>
    <s v="4700107"/>
    <n v="400010"/>
    <s v="Acute I/P Svcs Rev--Self Pay"/>
    <s v="Clinical Lab-Bremerton"/>
    <x v="0"/>
    <n v="1500"/>
    <n v="-17698.240000000002"/>
    <n v="-41785.93"/>
    <n v="-87704.37"/>
    <n v="38064.89"/>
    <n v="-17936.2"/>
    <n v="-67915.27"/>
    <n v="-40590.230000000003"/>
    <n v="-57511.75"/>
    <n v="-11506.6"/>
    <n v="-12592.35"/>
    <n v="-62282.75"/>
    <n v="-50972.19"/>
    <n v="-430430.98999999993"/>
    <n v="-11310.559999999998"/>
  </r>
  <r>
    <x v="18"/>
    <x v="6"/>
    <x v="0"/>
    <s v="4700107"/>
    <n v="400010"/>
    <s v="Acute I/P Svcs Rev--Other"/>
    <s v="Clinical Lab-Bremerton"/>
    <x v="0"/>
    <n v="1700"/>
    <n v="-182646.93"/>
    <n v="-242970.63"/>
    <n v="-369952.04"/>
    <n v="-244971.51999999999"/>
    <n v="-247660.14"/>
    <n v="-153325.79999999999"/>
    <n v="-157076.92000000001"/>
    <n v="-209885.65"/>
    <n v="-307772.99"/>
    <n v="-158931.63"/>
    <n v="-305647.92"/>
    <n v="-214438.47"/>
    <n v="-2795280.64"/>
    <n v="-91209.449999999983"/>
  </r>
  <r>
    <x v="19"/>
    <x v="6"/>
    <x v="0"/>
    <s v="4700107"/>
    <n v="400020"/>
    <s v="O/P Care Svcs Rev--Medicare"/>
    <s v="Clinical Lab-Bremerton"/>
    <x v="0"/>
    <n v="1100"/>
    <n v="-923988.12"/>
    <n v="-911511.62"/>
    <n v="-940732.29"/>
    <n v="-1011391.84"/>
    <n v="-1073865.49"/>
    <n v="-1113311.5900000001"/>
    <n v="-784773.7"/>
    <n v="-822746.6"/>
    <n v="-1049104.1599999999"/>
    <n v="-971097.92"/>
    <n v="-984456.94"/>
    <n v="-1014957.45"/>
    <n v="-11601937.719999999"/>
    <n v="30500.510000000009"/>
  </r>
  <r>
    <x v="19"/>
    <x v="6"/>
    <x v="0"/>
    <s v="4700107"/>
    <n v="400020"/>
    <s v="O/P Care Svcs Rev--Medicaid"/>
    <s v="Clinical Lab-Bremerton"/>
    <x v="0"/>
    <n v="1200"/>
    <n v="-545768.17000000004"/>
    <n v="-534268.81000000006"/>
    <n v="-547676.75"/>
    <n v="-525003.68999999994"/>
    <n v="-570161.17000000004"/>
    <n v="-582001.93999999994"/>
    <n v="-456212.43"/>
    <n v="-494301.7"/>
    <n v="-589364.44999999995"/>
    <n v="-550116.16"/>
    <n v="-504050.4"/>
    <n v="-531474.6"/>
    <n v="-6430400.2700000005"/>
    <n v="27424.199999999953"/>
  </r>
  <r>
    <x v="19"/>
    <x v="6"/>
    <x v="0"/>
    <s v="4700107"/>
    <n v="400020"/>
    <s v="O/P Care Svcs Rev--Comm Insurance"/>
    <s v="Clinical Lab-Bremerton"/>
    <x v="0"/>
    <n v="1300"/>
    <n v="-31773.15"/>
    <n v="-13065.55"/>
    <n v="-29762.48"/>
    <n v="-25539.23"/>
    <n v="-60457.65"/>
    <n v="-38119.68"/>
    <n v="-13120.7"/>
    <n v="-18116.36"/>
    <n v="-30944.78"/>
    <n v="-41950.65"/>
    <n v="-55609.21"/>
    <n v="-35585.11"/>
    <n v="-394044.55"/>
    <n v="-20024.099999999999"/>
  </r>
  <r>
    <x v="19"/>
    <x v="6"/>
    <x v="0"/>
    <s v="4700107"/>
    <n v="400020"/>
    <s v="O/P Care Svcs Rev--BCBS Comm"/>
    <s v="Clinical Lab-Bremerton"/>
    <x v="0"/>
    <n v="1301"/>
    <n v="-119066.03"/>
    <n v="-148798.81"/>
    <n v="-121534.58"/>
    <n v="-140558.51"/>
    <n v="-175609.48"/>
    <n v="-200889.09"/>
    <n v="-55860.9"/>
    <n v="-148203.98000000001"/>
    <n v="-163270.15"/>
    <n v="-148544.22"/>
    <n v="-155461.64000000001"/>
    <n v="-140771.07"/>
    <n v="-1718568.4599999997"/>
    <n v="-14690.570000000007"/>
  </r>
  <r>
    <x v="19"/>
    <x v="6"/>
    <x v="0"/>
    <s v="4700107"/>
    <n v="400020"/>
    <s v="O/P Care Svcs Rev--Managed Care"/>
    <s v="Clinical Lab-Bremerton"/>
    <x v="0"/>
    <n v="1400"/>
    <n v="-278812.51"/>
    <n v="-304372.28000000003"/>
    <n v="-291219.63"/>
    <n v="-264545.75"/>
    <n v="-345071.09"/>
    <n v="-388726.18"/>
    <n v="-115925.85"/>
    <n v="-230755.61"/>
    <n v="-266572.13"/>
    <n v="-257795.63"/>
    <n v="-288145.31"/>
    <n v="-238292.8"/>
    <n v="-3270234.7699999996"/>
    <n v="-49852.510000000009"/>
  </r>
  <r>
    <x v="19"/>
    <x v="6"/>
    <x v="0"/>
    <s v="4700107"/>
    <n v="400020"/>
    <s v="O/P Care Svcs Rev--Self Pay"/>
    <s v="Clinical Lab-Bremerton"/>
    <x v="0"/>
    <n v="1500"/>
    <n v="-39491.43"/>
    <n v="-54130.23"/>
    <n v="-37162.94"/>
    <n v="-53872.24"/>
    <n v="-46013.23"/>
    <n v="-54185.45"/>
    <n v="-60164.07"/>
    <n v="-34341.68"/>
    <n v="-49503.75"/>
    <n v="-43320.85"/>
    <n v="-62306.91"/>
    <n v="-63642.239999999998"/>
    <n v="-598135.02"/>
    <n v="1335.3299999999945"/>
  </r>
  <r>
    <x v="19"/>
    <x v="6"/>
    <x v="0"/>
    <s v="4700107"/>
    <n v="400020"/>
    <s v="O/P Care Svcs Rev--Other"/>
    <s v="Clinical Lab-Bremerton"/>
    <x v="0"/>
    <n v="1700"/>
    <n v="-117986.44"/>
    <n v="-118326.19"/>
    <n v="-151544.35"/>
    <n v="-160196.19"/>
    <n v="-162338.76"/>
    <n v="-192797.9"/>
    <n v="-78618.81"/>
    <n v="-167173.13"/>
    <n v="-184848.73"/>
    <n v="-154673.93"/>
    <n v="-180843.13"/>
    <n v="-180784.61"/>
    <n v="-1850132.17"/>
    <n v="-58.520000000018626"/>
  </r>
  <r>
    <x v="14"/>
    <x v="6"/>
    <x v="0"/>
    <s v="4700107"/>
    <n v="600050"/>
    <s v="Miscellaneous Revenue"/>
    <s v="Clinical Lab-Bremerton"/>
    <x v="0"/>
    <m/>
    <n v="43.26"/>
    <n v="-5206.87"/>
    <n v="-41308.15"/>
    <n v="-7891.07"/>
    <n v="-5551.41"/>
    <n v="-3911.35"/>
    <n v="-2060.2399999999998"/>
    <n v="-27881.599999999999"/>
    <n v="1299.83"/>
    <n v="-9384.35"/>
    <n v="-18742.580000000002"/>
    <n v="-2320.56"/>
    <n v="-122915.09"/>
    <n v="-16422.02"/>
  </r>
  <r>
    <x v="5"/>
    <x v="6"/>
    <x v="0"/>
    <s v="4700107"/>
    <n v="700014"/>
    <s v="Salaries-Management-Productive"/>
    <s v="Clinical Lab-Bremerton"/>
    <x v="0"/>
    <m/>
    <n v="15074.06"/>
    <n v="11219.68"/>
    <n v="12557.44"/>
    <n v="15032.28"/>
    <n v="17235.900000000001"/>
    <n v="10181.49"/>
    <n v="13740.68"/>
    <n v="13004.11"/>
    <n v="16525.080000000002"/>
    <n v="15836.5"/>
    <n v="15162.29"/>
    <n v="14190.8"/>
    <n v="169760.31"/>
    <n v="971.4900000000016"/>
  </r>
  <r>
    <x v="5"/>
    <x v="6"/>
    <x v="0"/>
    <s v="4700107"/>
    <n v="700014"/>
    <s v="Salaries-Management-OT"/>
    <s v="Clinical Lab-Bremerton"/>
    <x v="0"/>
    <n v="1000"/>
    <n v="0"/>
    <n v="0"/>
    <n v="0"/>
    <n v="0"/>
    <n v="0"/>
    <n v="0"/>
    <n v="0"/>
    <n v="0"/>
    <n v="0"/>
    <n v="0"/>
    <n v="0"/>
    <n v="0.02"/>
    <n v="0.02"/>
    <n v="-0.02"/>
  </r>
  <r>
    <x v="5"/>
    <x v="6"/>
    <x v="0"/>
    <s v="4700107"/>
    <n v="700032"/>
    <s v="Salaries-Other Pat Care Providers-Productive"/>
    <s v="Clinical Lab-Bremerton"/>
    <x v="0"/>
    <m/>
    <n v="135624.03"/>
    <n v="133028.49"/>
    <n v="130836.43"/>
    <n v="155390.01"/>
    <n v="140915.22"/>
    <n v="136452.17000000001"/>
    <n v="127134.04"/>
    <n v="132227.13"/>
    <n v="150473.28"/>
    <n v="140861.10999999999"/>
    <n v="142338.84"/>
    <n v="143177.35999999999"/>
    <n v="1668458.1100000003"/>
    <n v="-838.51999999998952"/>
  </r>
  <r>
    <x v="5"/>
    <x v="6"/>
    <x v="0"/>
    <s v="4700107"/>
    <n v="700032"/>
    <s v="Salaries-Other Pat Care Providers-OT"/>
    <s v="Clinical Lab-Bremerton"/>
    <x v="0"/>
    <n v="1000"/>
    <n v="5552.34"/>
    <n v="5328.01"/>
    <n v="6330.87"/>
    <n v="5715.55"/>
    <n v="8607.49"/>
    <n v="3854.52"/>
    <n v="5310.19"/>
    <n v="7590.49"/>
    <n v="8686.69"/>
    <n v="8988.92"/>
    <n v="5106.21"/>
    <n v="7647.53"/>
    <n v="78718.810000000012"/>
    <n v="-2541.3199999999997"/>
  </r>
  <r>
    <x v="5"/>
    <x v="6"/>
    <x v="0"/>
    <s v="4700107"/>
    <n v="700032"/>
    <s v="Salaries-Other Pat Care Providers-Other"/>
    <s v="Clinical Lab-Bremerton"/>
    <x v="0"/>
    <n v="2000"/>
    <n v="8952.1"/>
    <n v="8920.06"/>
    <n v="8855.1"/>
    <n v="9894.1299999999992"/>
    <n v="9929.8799999999992"/>
    <n v="8442.52"/>
    <n v="7560.35"/>
    <n v="7623.61"/>
    <n v="8903.26"/>
    <n v="6719.59"/>
    <n v="6857.27"/>
    <n v="8516.59"/>
    <n v="101174.45999999998"/>
    <n v="-1659.3199999999997"/>
  </r>
  <r>
    <x v="5"/>
    <x v="6"/>
    <x v="0"/>
    <s v="4700107"/>
    <n v="700034"/>
    <s v="Salaries-Tech/Professional-Productive"/>
    <s v="Clinical Lab-Bremerton"/>
    <x v="0"/>
    <m/>
    <n v="39928.15"/>
    <n v="39251.08"/>
    <n v="36685.14"/>
    <n v="28157.91"/>
    <n v="39681.769999999997"/>
    <n v="43735.99"/>
    <n v="45331.21"/>
    <n v="34245.879999999997"/>
    <n v="50544.67"/>
    <n v="42687.15"/>
    <n v="43798.59"/>
    <n v="43935.46"/>
    <n v="487983.00000000006"/>
    <n v="-136.87000000000262"/>
  </r>
  <r>
    <x v="5"/>
    <x v="6"/>
    <x v="0"/>
    <s v="4700107"/>
    <n v="700034"/>
    <s v="Salaries-Tech/Professional-OT"/>
    <s v="Clinical Lab-Bremerton"/>
    <x v="0"/>
    <n v="1000"/>
    <n v="2034.14"/>
    <n v="2154.3200000000002"/>
    <n v="2843.97"/>
    <n v="1485.53"/>
    <n v="2577.31"/>
    <n v="1544.74"/>
    <n v="2272.6999999999998"/>
    <n v="3873.67"/>
    <n v="3059.95"/>
    <n v="1742.14"/>
    <n v="1776.39"/>
    <n v="2010.59"/>
    <n v="27375.449999999997"/>
    <n v="-234.19999999999982"/>
  </r>
  <r>
    <x v="5"/>
    <x v="6"/>
    <x v="0"/>
    <s v="4700107"/>
    <n v="700034"/>
    <s v="Salaries-Tech/Professional-Other"/>
    <s v="Clinical Lab-Bremerton"/>
    <x v="0"/>
    <n v="2000"/>
    <n v="2368.09"/>
    <n v="2985.81"/>
    <n v="3463.11"/>
    <n v="3004.18"/>
    <n v="3291.09"/>
    <n v="2674.25"/>
    <n v="3571.25"/>
    <n v="3144.91"/>
    <n v="3611.21"/>
    <n v="3432.92"/>
    <n v="3277.33"/>
    <n v="3871.1"/>
    <n v="38695.25"/>
    <n v="-593.77"/>
  </r>
  <r>
    <x v="5"/>
    <x v="6"/>
    <x v="0"/>
    <s v="4700107"/>
    <n v="700038"/>
    <s v="Salaries-Service/Support-Productive"/>
    <s v="Clinical Lab-Bremerton"/>
    <x v="0"/>
    <m/>
    <n v="3774.18"/>
    <n v="3826.17"/>
    <n v="3645.77"/>
    <n v="4018.87"/>
    <n v="3555.63"/>
    <n v="1838.44"/>
    <n v="0"/>
    <n v="0"/>
    <n v="0"/>
    <n v="0"/>
    <n v="0"/>
    <n v="0"/>
    <n v="20659.060000000001"/>
    <n v="0"/>
  </r>
  <r>
    <x v="5"/>
    <x v="6"/>
    <x v="0"/>
    <s v="4700107"/>
    <n v="700038"/>
    <s v="Salaries-Service/Support-OT"/>
    <s v="Clinical Lab-Bremerton"/>
    <x v="0"/>
    <n v="1000"/>
    <n v="0"/>
    <n v="0"/>
    <n v="0"/>
    <n v="57.27"/>
    <n v="165.63"/>
    <n v="-12.93"/>
    <n v="0"/>
    <n v="0"/>
    <n v="0"/>
    <n v="0"/>
    <n v="0"/>
    <n v="0"/>
    <n v="209.97"/>
    <n v="0"/>
  </r>
  <r>
    <x v="5"/>
    <x v="6"/>
    <x v="0"/>
    <s v="4700107"/>
    <n v="700038"/>
    <s v="Salaries-Service/Support-Other"/>
    <s v="Clinical Lab-Bremerton"/>
    <x v="0"/>
    <n v="2000"/>
    <n v="0"/>
    <n v="0"/>
    <n v="0"/>
    <n v="0"/>
    <n v="21.73"/>
    <n v="0"/>
    <n v="0"/>
    <n v="0"/>
    <n v="0"/>
    <n v="0"/>
    <n v="0"/>
    <n v="0"/>
    <n v="21.73"/>
    <n v="0"/>
  </r>
  <r>
    <x v="5"/>
    <x v="6"/>
    <x v="0"/>
    <s v="4700107"/>
    <n v="700054"/>
    <s v="Salaries-Management-Non-productive"/>
    <s v="Clinical Lab-Bremerton"/>
    <x v="0"/>
    <m/>
    <n v="1915.04"/>
    <n v="5770.2"/>
    <n v="3884.61"/>
    <n v="2838.61"/>
    <n v="-179.23"/>
    <n v="7444.35"/>
    <n v="3912.63"/>
    <n v="2939.24"/>
    <n v="1126.5999999999999"/>
    <n v="1245.19"/>
    <n v="2489.36"/>
    <n v="2891.7"/>
    <n v="36278.299999999996"/>
    <n v="-402.33999999999969"/>
  </r>
  <r>
    <x v="5"/>
    <x v="6"/>
    <x v="0"/>
    <s v="4700107"/>
    <n v="700054"/>
    <s v="Salaries-Management-NonProd-Other"/>
    <s v="Clinical Lab-Bremert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700107"/>
    <n v="700072"/>
    <s v="Salaries-Other Pat Care Providers-Non-productive"/>
    <s v="Clinical Lab-Bremerton"/>
    <x v="0"/>
    <m/>
    <n v="12525.58"/>
    <n v="17480.07"/>
    <n v="18023.21"/>
    <n v="15790.44"/>
    <n v="23960.84"/>
    <n v="18002.72"/>
    <n v="14529.09"/>
    <n v="15872.58"/>
    <n v="8027.23"/>
    <n v="14044.5"/>
    <n v="16202.41"/>
    <n v="17454.59"/>
    <n v="191913.26"/>
    <n v="-1252.1800000000003"/>
  </r>
  <r>
    <x v="5"/>
    <x v="6"/>
    <x v="0"/>
    <s v="4700107"/>
    <n v="700072"/>
    <s v="Salaries-Other Pat Care Providers-NonProd-Other"/>
    <s v="Clinical Lab-Bremerton"/>
    <x v="0"/>
    <n v="2000"/>
    <n v="909.56"/>
    <n v="569.17999999999995"/>
    <n v="535.91"/>
    <n v="831.12"/>
    <n v="460.75"/>
    <n v="410.98"/>
    <n v="428.12"/>
    <n v="861.75"/>
    <n v="547.27"/>
    <n v="313.41000000000003"/>
    <n v="741.2"/>
    <n v="746.74"/>
    <n v="7355.9899999999989"/>
    <n v="-5.5399999999999636"/>
  </r>
  <r>
    <x v="5"/>
    <x v="6"/>
    <x v="0"/>
    <s v="4700107"/>
    <n v="700074"/>
    <s v="Salaries-Tech/Professional-Non-productive"/>
    <s v="Clinical Lab-Bremerton"/>
    <x v="0"/>
    <m/>
    <n v="4721.01"/>
    <n v="5247.3"/>
    <n v="1171.28"/>
    <n v="9052.81"/>
    <n v="3462.43"/>
    <n v="6352.83"/>
    <n v="3314.52"/>
    <n v="10591.35"/>
    <n v="241.31"/>
    <n v="6127.18"/>
    <n v="6056.97"/>
    <n v="5973.86"/>
    <n v="62312.85"/>
    <n v="83.110000000000582"/>
  </r>
  <r>
    <x v="5"/>
    <x v="6"/>
    <x v="0"/>
    <s v="4700107"/>
    <n v="700074"/>
    <s v="Salaries-Tech/Professional-NonProd-Other"/>
    <s v="Clinical Lab-Bremerton"/>
    <x v="0"/>
    <n v="2000"/>
    <n v="933.33"/>
    <n v="165.58"/>
    <n v="211.64"/>
    <n v="202.54"/>
    <n v="316.19"/>
    <n v="608.14"/>
    <n v="256.91000000000003"/>
    <n v="642.54999999999995"/>
    <n v="167.39"/>
    <n v="519.88"/>
    <n v="432.46"/>
    <n v="510.21"/>
    <n v="4966.82"/>
    <n v="-77.75"/>
  </r>
  <r>
    <x v="5"/>
    <x v="6"/>
    <x v="0"/>
    <s v="4700107"/>
    <n v="700078"/>
    <s v="Salaries-Service/Support-Non-productive"/>
    <s v="Clinical Lab-Bremerton"/>
    <x v="0"/>
    <m/>
    <n v="772.1"/>
    <n v="693.97"/>
    <n v="711.72"/>
    <n v="603.08000000000004"/>
    <n v="873.91"/>
    <n v="315.43"/>
    <n v="0"/>
    <n v="0"/>
    <n v="0"/>
    <n v="0"/>
    <n v="0"/>
    <n v="0"/>
    <n v="3970.2099999999996"/>
    <n v="0"/>
  </r>
  <r>
    <x v="5"/>
    <x v="6"/>
    <x v="0"/>
    <s v="4700107"/>
    <n v="700084"/>
    <s v="Accrued PTO"/>
    <s v="Clinical Lab-Bremerton"/>
    <x v="0"/>
    <m/>
    <n v="3282.1"/>
    <n v="1113.7"/>
    <n v="811.01"/>
    <n v="2082.33"/>
    <n v="4713.1400000000003"/>
    <n v="-6372.73"/>
    <n v="4345.45"/>
    <n v="1273.0999999999999"/>
    <n v="10646.58"/>
    <n v="5871.88"/>
    <n v="4379.54"/>
    <n v="-1479.03"/>
    <n v="30667.070000000003"/>
    <n v="5858.57"/>
  </r>
  <r>
    <x v="10"/>
    <x v="6"/>
    <x v="0"/>
    <s v="4700107"/>
    <n v="710060"/>
    <s v="Contract Labor-Other"/>
    <s v="Clinical Lab-Bremerton"/>
    <x v="0"/>
    <m/>
    <n v="56352.82"/>
    <n v="70321.95"/>
    <n v="48321.599999999999"/>
    <n v="74553.02"/>
    <n v="57595.56"/>
    <n v="38622.589999999997"/>
    <n v="49044.639999999999"/>
    <n v="47842.55"/>
    <n v="27667.03"/>
    <n v="50628.53"/>
    <n v="59788.18"/>
    <n v="27994.73"/>
    <n v="608733.20000000007"/>
    <n v="31793.45"/>
  </r>
  <r>
    <x v="10"/>
    <x v="6"/>
    <x v="0"/>
    <s v="4700107"/>
    <n v="710060"/>
    <s v="Contract Labor-Overtime"/>
    <s v="Clinical Lab-Bremerton"/>
    <x v="0"/>
    <n v="5100"/>
    <n v="3763.46"/>
    <n v="2243.84"/>
    <n v="1353.39"/>
    <n v="1674.05"/>
    <n v="2610.08"/>
    <n v="2240.98"/>
    <n v="7600.94"/>
    <n v="1954.89"/>
    <n v="561.28"/>
    <n v="3491.53"/>
    <n v="2720.57"/>
    <n v="1981.46"/>
    <n v="32196.469999999994"/>
    <n v="739.11000000000013"/>
  </r>
  <r>
    <x v="6"/>
    <x v="6"/>
    <x v="0"/>
    <s v="4700107"/>
    <n v="713010"/>
    <s v="Benefits-FICA/Medicare"/>
    <s v="Clinical Lab-Bremerton"/>
    <x v="0"/>
    <m/>
    <n v="17730.48"/>
    <n v="17922.53"/>
    <n v="17316.28"/>
    <n v="19013.349999999999"/>
    <n v="20035.830000000002"/>
    <n v="18236.22"/>
    <n v="17193.12"/>
    <n v="17539.39"/>
    <n v="19051.43"/>
    <n v="18241.16"/>
    <n v="18370.96"/>
    <n v="18892.2"/>
    <n v="219542.94999999998"/>
    <n v="-521.2400000000016"/>
  </r>
  <r>
    <x v="6"/>
    <x v="6"/>
    <x v="0"/>
    <s v="4700107"/>
    <n v="713090"/>
    <s v="Benefits-Allocated Amounts"/>
    <s v="Clinical Lab-Bremerton"/>
    <x v="0"/>
    <m/>
    <n v="49504.89"/>
    <n v="44343.47"/>
    <n v="47447.040000000001"/>
    <n v="50526.720000000001"/>
    <n v="60155.360000000001"/>
    <n v="51407.95"/>
    <n v="49075.07"/>
    <n v="52673.04"/>
    <n v="47710.94"/>
    <n v="58092.22"/>
    <n v="52625.1"/>
    <n v="63092.93"/>
    <n v="626654.73"/>
    <n v="-10467.830000000002"/>
  </r>
  <r>
    <x v="6"/>
    <x v="6"/>
    <x v="0"/>
    <s v="4700107"/>
    <n v="713096"/>
    <s v="Employee Recognition"/>
    <s v="Clinical Lab-Bremerton"/>
    <x v="0"/>
    <n v="1017"/>
    <n v="35.090000000000003"/>
    <n v="0"/>
    <n v="0"/>
    <n v="0"/>
    <n v="-59.16"/>
    <n v="0"/>
    <n v="0"/>
    <n v="0"/>
    <n v="0"/>
    <n v="0"/>
    <n v="246.61"/>
    <n v="0"/>
    <n v="222.54000000000002"/>
    <n v="246.61"/>
  </r>
  <r>
    <x v="17"/>
    <x v="6"/>
    <x v="0"/>
    <s v="4700107"/>
    <n v="714510"/>
    <s v="Medical Director Fees"/>
    <s v="Clinical Lab-Bremerton"/>
    <x v="0"/>
    <m/>
    <n v="14245.02"/>
    <n v="-5526.86"/>
    <n v="5354.1"/>
    <n v="5453.06"/>
    <n v="5000"/>
    <n v="4965.97"/>
    <n v="5129.22"/>
    <n v="5000"/>
    <n v="5013.74"/>
    <n v="4944.43"/>
    <n v="5221.92"/>
    <n v="5370.89"/>
    <n v="60171.49"/>
    <n v="-148.97000000000025"/>
  </r>
  <r>
    <x v="7"/>
    <x v="6"/>
    <x v="0"/>
    <s v="4700107"/>
    <n v="718040"/>
    <s v="Contract Svcs-Laboratory"/>
    <s v="Clinical Lab-Bremerton"/>
    <x v="0"/>
    <m/>
    <n v="37184.93"/>
    <n v="51247.839999999997"/>
    <n v="49186.42"/>
    <n v="77039.960000000006"/>
    <n v="60842.34"/>
    <n v="38250"/>
    <n v="31402.02"/>
    <n v="70245.679999999993"/>
    <n v="60535.81"/>
    <n v="30596.87"/>
    <n v="29792.71"/>
    <n v="117290.26"/>
    <n v="653614.84"/>
    <n v="-87497.549999999988"/>
  </r>
  <r>
    <x v="7"/>
    <x v="6"/>
    <x v="0"/>
    <s v="4700107"/>
    <n v="718040"/>
    <s v="Contract Svcs-Reference Lab Fees"/>
    <s v="Clinical Lab-Bremerton"/>
    <x v="0"/>
    <n v="1001"/>
    <n v="0"/>
    <n v="0"/>
    <n v="0"/>
    <n v="0"/>
    <n v="650654.4"/>
    <n v="72504.02"/>
    <n v="264236.36"/>
    <n v="85444.65"/>
    <n v="184621.78"/>
    <n v="126856.3"/>
    <n v="90716.64"/>
    <n v="160137.91"/>
    <n v="1635172.0599999998"/>
    <n v="-69421.27"/>
  </r>
  <r>
    <x v="7"/>
    <x v="6"/>
    <x v="0"/>
    <s v="4700107"/>
    <n v="718050"/>
    <s v="Contract Svcs-Other"/>
    <s v="Clinical Lab-Bremerton"/>
    <x v="0"/>
    <m/>
    <n v="18968.75"/>
    <n v="40407.019999999997"/>
    <n v="29080.95"/>
    <n v="10144.41"/>
    <n v="25890.34"/>
    <n v="6741.75"/>
    <n v="0"/>
    <n v="0"/>
    <n v="0"/>
    <n v="0"/>
    <n v="952"/>
    <n v="-39192.22"/>
    <n v="92993"/>
    <n v="40144.22"/>
  </r>
  <r>
    <x v="7"/>
    <x v="6"/>
    <x v="0"/>
    <s v="4700107"/>
    <n v="718050"/>
    <s v="Miscellaneous Purchased Svcs"/>
    <s v="Clinical Lab-Bremerton"/>
    <x v="0"/>
    <n v="1020"/>
    <n v="15787.76"/>
    <n v="16395.919999999998"/>
    <n v="3539.05"/>
    <n v="2607.3200000000002"/>
    <n v="1641.17"/>
    <n v="2564.84"/>
    <n v="68293.100000000006"/>
    <n v="-65010.76"/>
    <n v="46625.11"/>
    <n v="6467"/>
    <n v="2135.16"/>
    <n v="1632.76"/>
    <n v="102678.43000000001"/>
    <n v="502.39999999999986"/>
  </r>
  <r>
    <x v="7"/>
    <x v="6"/>
    <x v="0"/>
    <s v="4700107"/>
    <n v="718050"/>
    <s v="Contract Svcs--Medical/Dental"/>
    <s v="Clinical Lab-Bremerton"/>
    <x v="0"/>
    <n v="1024"/>
    <n v="180969.5"/>
    <n v="106425.08"/>
    <n v="116224.86"/>
    <n v="45129.21"/>
    <n v="-448748.65"/>
    <n v="0"/>
    <n v="0"/>
    <n v="0"/>
    <n v="0"/>
    <n v="0"/>
    <n v="0"/>
    <n v="0"/>
    <n v="0"/>
    <n v="0"/>
  </r>
  <r>
    <x v="7"/>
    <x v="6"/>
    <x v="0"/>
    <s v="4700107"/>
    <n v="718050"/>
    <s v="Contract Management--Linen"/>
    <s v="Clinical Lab-Bremerton"/>
    <x v="0"/>
    <n v="1026"/>
    <n v="767.85"/>
    <n v="1535.7"/>
    <n v="1023.8"/>
    <n v="767.72"/>
    <n v="1023.54"/>
    <n v="255.82"/>
    <n v="2296.23"/>
    <n v="763.36"/>
    <n v="1345"/>
    <n v="877.33"/>
    <n v="864.87"/>
    <n v="1431.08"/>
    <n v="12952.300000000001"/>
    <n v="-566.20999999999992"/>
  </r>
  <r>
    <x v="7"/>
    <x v="6"/>
    <x v="0"/>
    <s v="4700107"/>
    <n v="718050"/>
    <s v="Purchased Srvcs-Medical/Clinical Review"/>
    <s v="Clinical Lab-Bremerton"/>
    <x v="0"/>
    <n v="1032"/>
    <n v="0"/>
    <n v="0"/>
    <n v="0"/>
    <n v="226"/>
    <n v="0"/>
    <n v="1130"/>
    <n v="1582"/>
    <n v="2000"/>
    <n v="904"/>
    <n v="1310"/>
    <n v="904"/>
    <n v="0"/>
    <n v="8056"/>
    <n v="904"/>
  </r>
  <r>
    <x v="7"/>
    <x v="6"/>
    <x v="0"/>
    <s v="4700107"/>
    <n v="718070"/>
    <s v="Contract Srvcs-CHI Clinical Engineering"/>
    <s v="Clinical Lab-Bremerton"/>
    <x v="0"/>
    <m/>
    <n v="4984.54"/>
    <n v="12792.55"/>
    <n v="12924.72"/>
    <n v="10390.27"/>
    <n v="12739.04"/>
    <n v="12777.28"/>
    <n v="12779.01"/>
    <n v="12362.65"/>
    <n v="12179.25"/>
    <n v="12352.79"/>
    <n v="12780.27"/>
    <n v="12808.94"/>
    <n v="141871.31"/>
    <n v="-28.670000000000073"/>
  </r>
  <r>
    <x v="7"/>
    <x v="6"/>
    <x v="0"/>
    <s v="4700107"/>
    <n v="718091"/>
    <s v="Contract Services-Intracompany Allocation"/>
    <s v="Clinical Lab-Bremerton"/>
    <x v="0"/>
    <m/>
    <n v="36778.01"/>
    <n v="38964.69"/>
    <n v="37786.03"/>
    <n v="43216.11"/>
    <n v="40660.03"/>
    <n v="42093.21"/>
    <n v="51848.36"/>
    <n v="46452.1"/>
    <n v="52547.72"/>
    <n v="49039.57"/>
    <n v="54699.32"/>
    <n v="51838.18"/>
    <n v="545923.33000000007"/>
    <n v="2861.1399999999994"/>
  </r>
  <r>
    <x v="11"/>
    <x v="6"/>
    <x v="0"/>
    <s v="4700107"/>
    <n v="721010"/>
    <s v="Supplies-Medical - Billable"/>
    <s v="Clinical Lab-Bremerton"/>
    <x v="0"/>
    <m/>
    <n v="801"/>
    <n v="1021.95"/>
    <n v="675"/>
    <n v="720"/>
    <n v="874.71"/>
    <n v="567.61"/>
    <n v="810.23"/>
    <n v="1046.25"/>
    <n v="856.35"/>
    <n v="765.3"/>
    <n v="945"/>
    <n v="791.76"/>
    <n v="9875.1600000000017"/>
    <n v="153.24"/>
  </r>
  <r>
    <x v="11"/>
    <x v="6"/>
    <x v="0"/>
    <s v="4700107"/>
    <n v="721150"/>
    <s v="Supplies-Other Implants - Billable"/>
    <s v="Clinical Lab-Bremerton"/>
    <x v="0"/>
    <m/>
    <n v="-33.630000000000003"/>
    <n v="7.45"/>
    <n v="0"/>
    <n v="0"/>
    <n v="0"/>
    <n v="0"/>
    <n v="0"/>
    <n v="0"/>
    <n v="0"/>
    <n v="0"/>
    <n v="0"/>
    <n v="0"/>
    <n v="-26.180000000000003"/>
    <n v="0"/>
  </r>
  <r>
    <x v="11"/>
    <x v="6"/>
    <x v="0"/>
    <s v="4700107"/>
    <n v="721150"/>
    <s v="Fracture Management"/>
    <s v="Clinical Lab-Bremerton"/>
    <x v="0"/>
    <n v="1001"/>
    <n v="0"/>
    <n v="0"/>
    <n v="0"/>
    <n v="0"/>
    <n v="0"/>
    <n v="0"/>
    <n v="0"/>
    <n v="0"/>
    <n v="0"/>
    <n v="395"/>
    <n v="0"/>
    <n v="0"/>
    <n v="395"/>
    <n v="0"/>
  </r>
  <r>
    <x v="11"/>
    <x v="6"/>
    <x v="0"/>
    <s v="4700107"/>
    <n v="721240"/>
    <s v="Supplies-IV Solutions/Supplies - Billable"/>
    <s v="Clinical Lab-Bremerton"/>
    <x v="0"/>
    <m/>
    <n v="88.87"/>
    <n v="194.27"/>
    <n v="0"/>
    <n v="74.34"/>
    <n v="0"/>
    <n v="0"/>
    <n v="74.34"/>
    <n v="0"/>
    <n v="0"/>
    <n v="0"/>
    <n v="88.87"/>
    <n v="-14.53"/>
    <n v="506.16000000000008"/>
    <n v="103.4"/>
  </r>
  <r>
    <x v="11"/>
    <x v="6"/>
    <x v="0"/>
    <s v="4700107"/>
    <n v="721250"/>
    <s v="Supplies-Pharmacy Drugs - Billable"/>
    <s v="Clinical Lab-Bremerton"/>
    <x v="0"/>
    <m/>
    <n v="4212"/>
    <n v="0"/>
    <n v="0"/>
    <n v="2527.1999999999998"/>
    <n v="0"/>
    <n v="0"/>
    <n v="0"/>
    <n v="0"/>
    <n v="2613"/>
    <n v="3919.5"/>
    <n v="0"/>
    <n v="0"/>
    <n v="13271.7"/>
    <n v="0"/>
  </r>
  <r>
    <x v="11"/>
    <x v="6"/>
    <x v="0"/>
    <s v="4700107"/>
    <n v="721320"/>
    <s v="Supplies-Purchased Blood - Billable"/>
    <s v="Clinical Lab-Bremerton"/>
    <x v="0"/>
    <m/>
    <n v="147583.75"/>
    <n v="184812.25"/>
    <n v="139507"/>
    <n v="162843.65"/>
    <n v="156237.6"/>
    <n v="160000"/>
    <n v="155337.9"/>
    <n v="152728.26999999999"/>
    <n v="153688.89000000001"/>
    <n v="153374.37"/>
    <n v="159540.29"/>
    <n v="189308.79999999999"/>
    <n v="1914962.7700000003"/>
    <n v="-29768.50999999998"/>
  </r>
  <r>
    <x v="11"/>
    <x v="6"/>
    <x v="0"/>
    <s v="4700107"/>
    <n v="721410"/>
    <s v="Supplies-Medical - Nonbillable"/>
    <s v="Clinical Lab-Bremerton"/>
    <x v="0"/>
    <m/>
    <n v="2287.4499999999998"/>
    <n v="2467.4"/>
    <n v="2260.8000000000002"/>
    <n v="2131.81"/>
    <n v="3951.12"/>
    <n v="2523.19"/>
    <n v="3530.48"/>
    <n v="3848.17"/>
    <n v="3775.13"/>
    <n v="6469.24"/>
    <n v="4008.76"/>
    <n v="2623.44"/>
    <n v="39876.990000000013"/>
    <n v="1385.3200000000002"/>
  </r>
  <r>
    <x v="11"/>
    <x v="6"/>
    <x v="0"/>
    <s v="4700107"/>
    <n v="721420"/>
    <s v="Supplies-Surgical Nonbillable"/>
    <s v="Clinical Lab-Bremerton"/>
    <x v="0"/>
    <m/>
    <n v="0"/>
    <n v="0"/>
    <n v="0"/>
    <n v="0"/>
    <n v="0"/>
    <n v="187.04"/>
    <n v="0"/>
    <n v="0"/>
    <n v="0"/>
    <n v="31.63"/>
    <n v="0"/>
    <n v="0"/>
    <n v="218.67"/>
    <n v="0"/>
  </r>
  <r>
    <x v="11"/>
    <x v="6"/>
    <x v="0"/>
    <s v="4700107"/>
    <n v="721640"/>
    <s v="Supplies-IV Solutions/Supplies - Nonbillable"/>
    <s v="Clinical Lab-Bremerton"/>
    <x v="0"/>
    <m/>
    <n v="16.920000000000002"/>
    <n v="0"/>
    <n v="16.920000000000002"/>
    <n v="33.83"/>
    <n v="118.42"/>
    <n v="118.42"/>
    <n v="152.25"/>
    <n v="101.5"/>
    <n v="203.01"/>
    <n v="84.58"/>
    <n v="219.92"/>
    <n v="152.25"/>
    <n v="1218.02"/>
    <n v="67.669999999999987"/>
  </r>
  <r>
    <x v="11"/>
    <x v="6"/>
    <x v="0"/>
    <s v="4700107"/>
    <n v="721650"/>
    <s v="Supplies-Pharmacy Drugs - Nonbillable"/>
    <s v="Clinical Lab-Bremerton"/>
    <x v="0"/>
    <m/>
    <n v="0"/>
    <n v="0"/>
    <n v="0.49"/>
    <n v="0"/>
    <n v="0"/>
    <n v="0"/>
    <n v="0"/>
    <n v="0"/>
    <n v="0"/>
    <n v="0.56000000000000005"/>
    <n v="0"/>
    <n v="0"/>
    <n v="1.05"/>
    <n v="0"/>
  </r>
  <r>
    <x v="11"/>
    <x v="6"/>
    <x v="0"/>
    <s v="4700107"/>
    <n v="721710"/>
    <s v="Supplies-Laboratory - Nonbillable"/>
    <s v="Clinical Lab-Bremerton"/>
    <x v="0"/>
    <m/>
    <n v="26526.58"/>
    <n v="33438.25"/>
    <n v="13428.92"/>
    <n v="41949.37"/>
    <n v="45785.4"/>
    <n v="25084.48"/>
    <n v="-93263.87"/>
    <n v="48423.81"/>
    <n v="45218.41"/>
    <n v="25987.06"/>
    <n v="47524.12"/>
    <n v="47540.37"/>
    <n v="307642.90000000002"/>
    <n v="-16.25"/>
  </r>
  <r>
    <x v="11"/>
    <x v="6"/>
    <x v="0"/>
    <s v="4700107"/>
    <n v="721710"/>
    <s v="Reagents"/>
    <s v="Clinical Lab-Bremerton"/>
    <x v="0"/>
    <n v="1000"/>
    <n v="108271.14"/>
    <n v="126898.56"/>
    <n v="86424.74"/>
    <n v="120866.15"/>
    <n v="131747.42000000001"/>
    <n v="133148.76999999999"/>
    <n v="106238.52"/>
    <n v="163316.32999999999"/>
    <n v="178636.83"/>
    <n v="110493.94"/>
    <n v="188270.4"/>
    <n v="134023.92000000001"/>
    <n v="1588336.7199999997"/>
    <n v="54246.479999999981"/>
  </r>
  <r>
    <x v="11"/>
    <x v="6"/>
    <x v="0"/>
    <s v="4700107"/>
    <n v="721810"/>
    <s v="Supplies-Dietary/Cafeteria"/>
    <s v="Clinical Lab-Bremerton"/>
    <x v="0"/>
    <m/>
    <n v="232.85"/>
    <n v="13.92"/>
    <n v="13.66"/>
    <n v="98.82"/>
    <n v="13.53"/>
    <n v="95.49"/>
    <n v="14.5"/>
    <n v="11.83"/>
    <n v="42.39"/>
    <n v="16.71"/>
    <n v="13.92"/>
    <n v="94.64"/>
    <n v="662.26"/>
    <n v="-80.72"/>
  </r>
  <r>
    <x v="11"/>
    <x v="6"/>
    <x v="0"/>
    <s v="4700107"/>
    <n v="721830"/>
    <s v="Supplies-Office"/>
    <s v="Clinical Lab-Bremerton"/>
    <x v="0"/>
    <m/>
    <n v="2291.84"/>
    <n v="2405.5100000000002"/>
    <n v="2211.85"/>
    <n v="1913.36"/>
    <n v="2144.3000000000002"/>
    <n v="843.07"/>
    <n v="1146.8699999999999"/>
    <n v="2647.33"/>
    <n v="1172.74"/>
    <n v="1380.26"/>
    <n v="788.15"/>
    <n v="1007.82"/>
    <n v="19953.099999999999"/>
    <n v="-219.67000000000007"/>
  </r>
  <r>
    <x v="11"/>
    <x v="6"/>
    <x v="0"/>
    <s v="4700107"/>
    <n v="721835"/>
    <s v="Supplies-Forms"/>
    <s v="Clinical Lab-Bremerton"/>
    <x v="0"/>
    <m/>
    <n v="0"/>
    <n v="0"/>
    <n v="0"/>
    <n v="0"/>
    <n v="9.85"/>
    <n v="0.95"/>
    <n v="0"/>
    <n v="0"/>
    <n v="0"/>
    <n v="70.5"/>
    <n v="0"/>
    <n v="0.5"/>
    <n v="81.8"/>
    <n v="-0.5"/>
  </r>
  <r>
    <x v="11"/>
    <x v="6"/>
    <x v="0"/>
    <s v="4700107"/>
    <n v="721870"/>
    <s v="Supplies-Environmental Services"/>
    <s v="Clinical Lab-Bremerton"/>
    <x v="0"/>
    <m/>
    <n v="342.81"/>
    <n v="227.91"/>
    <n v="280.87"/>
    <n v="381.47"/>
    <n v="226.1"/>
    <n v="437.34"/>
    <n v="255.81"/>
    <n v="239.6"/>
    <n v="192.73"/>
    <n v="228.17"/>
    <n v="321.77999999999997"/>
    <n v="240.86"/>
    <n v="3375.4500000000003"/>
    <n v="80.919999999999959"/>
  </r>
  <r>
    <x v="11"/>
    <x v="6"/>
    <x v="0"/>
    <s v="4700107"/>
    <n v="721880"/>
    <s v="Supplies-Linen"/>
    <s v="Clinical Lab-Bremerton"/>
    <x v="0"/>
    <m/>
    <n v="0"/>
    <n v="0"/>
    <n v="16.57"/>
    <n v="0"/>
    <n v="0"/>
    <n v="0"/>
    <n v="17.36"/>
    <n v="0"/>
    <n v="0"/>
    <n v="17.36"/>
    <n v="0"/>
    <n v="0"/>
    <n v="51.29"/>
    <n v="0"/>
  </r>
  <r>
    <x v="11"/>
    <x v="6"/>
    <x v="0"/>
    <s v="4700107"/>
    <n v="721910"/>
    <s v="Supplies-Small Equipment"/>
    <s v="Clinical Lab-Bremerton"/>
    <x v="0"/>
    <m/>
    <n v="209.85"/>
    <n v="3081.34"/>
    <n v="192.59"/>
    <n v="1967.98"/>
    <n v="628.21"/>
    <n v="1724.49"/>
    <n v="309.20999999999998"/>
    <n v="608.4"/>
    <n v="3299.79"/>
    <n v="2351.59"/>
    <n v="-229.41"/>
    <n v="3609"/>
    <n v="17753.04"/>
    <n v="-3838.41"/>
  </r>
  <r>
    <x v="11"/>
    <x v="6"/>
    <x v="0"/>
    <s v="4700107"/>
    <n v="721980"/>
    <s v="Supplies-Other"/>
    <s v="Clinical Lab-Bremerton"/>
    <x v="0"/>
    <m/>
    <n v="1015.86"/>
    <n v="777.17"/>
    <n v="1371.09"/>
    <n v="5941.93"/>
    <n v="-5302.06"/>
    <n v="257.39999999999998"/>
    <n v="726.37"/>
    <n v="92.56"/>
    <n v="0"/>
    <n v="473.7"/>
    <n v="42.63"/>
    <n v="-16.3"/>
    <n v="5380.3499999999995"/>
    <n v="58.930000000000007"/>
  </r>
  <r>
    <x v="11"/>
    <x v="6"/>
    <x v="0"/>
    <s v="4700107"/>
    <n v="722000"/>
    <s v="Supplies-Freight Expense"/>
    <s v="Clinical Lab-Bremerton"/>
    <x v="0"/>
    <m/>
    <n v="587.70000000000005"/>
    <n v="2357.96"/>
    <n v="1074.4100000000001"/>
    <n v="896.42"/>
    <n v="16.14"/>
    <n v="708.23"/>
    <n v="1406.31"/>
    <n v="413.88"/>
    <n v="774.09"/>
    <n v="640.27"/>
    <n v="975.39"/>
    <n v="3864.22"/>
    <n v="13715.019999999999"/>
    <n v="-2888.83"/>
  </r>
  <r>
    <x v="11"/>
    <x v="6"/>
    <x v="0"/>
    <s v="4700107"/>
    <n v="723000"/>
    <s v="Supply Rebates/Patronage Dividend"/>
    <s v="Clinical Lab-Bremerton"/>
    <x v="0"/>
    <m/>
    <n v="0"/>
    <n v="0"/>
    <n v="-37.74"/>
    <n v="0"/>
    <n v="0"/>
    <n v="-43.11"/>
    <n v="0"/>
    <n v="0"/>
    <n v="-1585.12"/>
    <n v="0"/>
    <n v="0"/>
    <n v="-30.09"/>
    <n v="-1696.0599999999997"/>
    <n v="30.09"/>
  </r>
  <r>
    <x v="12"/>
    <x v="6"/>
    <x v="0"/>
    <s v="4700107"/>
    <n v="730020"/>
    <s v="Rental and Leases-Equipment (DO NOT USE)"/>
    <s v="Clinical Lab-Bremerton"/>
    <x v="0"/>
    <m/>
    <n v="0"/>
    <n v="84.34"/>
    <n v="42.01"/>
    <n v="42.33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6"/>
    <x v="0"/>
    <s v="4700107"/>
    <n v="730020"/>
    <s v="Rental and Leases-Copier Usage Fees (DO NOT USE)"/>
    <s v="Clinical Lab-Bremerton"/>
    <x v="0"/>
    <n v="5100"/>
    <n v="1015.61"/>
    <n v="1040.6199999999999"/>
    <n v="1028.1099999999999"/>
    <n v="1028.1099999999999"/>
    <n v="1028.1099999999999"/>
    <n v="1028.1099999999999"/>
    <n v="-162.84"/>
    <n v="701.98"/>
    <n v="700.5"/>
    <n v="2029.53"/>
    <n v="701.98"/>
    <n v="776.2"/>
    <n v="10916.02"/>
    <n v="-74.220000000000027"/>
  </r>
  <r>
    <x v="15"/>
    <x v="6"/>
    <x v="0"/>
    <s v="4700107"/>
    <n v="731060"/>
    <s v="Pagers"/>
    <s v="Clinical Lab-Bremerton"/>
    <x v="0"/>
    <n v="1002"/>
    <n v="0"/>
    <n v="0"/>
    <n v="0"/>
    <n v="0"/>
    <n v="0"/>
    <n v="0"/>
    <n v="0"/>
    <n v="0"/>
    <n v="0"/>
    <n v="15.7"/>
    <n v="8.1199999999999992"/>
    <n v="8.1199999999999992"/>
    <n v="31.939999999999998"/>
    <n v="0"/>
  </r>
  <r>
    <x v="16"/>
    <x v="6"/>
    <x v="0"/>
    <s v="4700107"/>
    <n v="732020"/>
    <s v="Repairs--Clin Equip-Parts-Internal to CHI Programs"/>
    <s v="Clinical Lab-Bremerton"/>
    <x v="0"/>
    <m/>
    <n v="0"/>
    <n v="390.82"/>
    <n v="-188.19"/>
    <n v="0"/>
    <n v="40.11"/>
    <n v="0"/>
    <n v="576.61"/>
    <n v="0"/>
    <n v="0"/>
    <n v="0"/>
    <n v="0"/>
    <n v="0"/>
    <n v="819.35"/>
    <n v="0"/>
  </r>
  <r>
    <x v="16"/>
    <x v="6"/>
    <x v="0"/>
    <s v="4700107"/>
    <n v="732030"/>
    <s v="Repairs---Other"/>
    <s v="Clinical Lab-Bremerton"/>
    <x v="0"/>
    <m/>
    <n v="0"/>
    <n v="0"/>
    <n v="63.93"/>
    <n v="0"/>
    <n v="0"/>
    <n v="0"/>
    <n v="0"/>
    <n v="0"/>
    <n v="0"/>
    <n v="0"/>
    <n v="0"/>
    <n v="364.14"/>
    <n v="428.07"/>
    <n v="-364.14"/>
  </r>
  <r>
    <x v="16"/>
    <x v="6"/>
    <x v="0"/>
    <s v="4700107"/>
    <n v="733030"/>
    <s v="Maintenance Contracts-Software"/>
    <s v="Clinical Lab-Bremerton"/>
    <x v="0"/>
    <n v="1002"/>
    <n v="6815.65"/>
    <n v="0"/>
    <n v="6949.32"/>
    <n v="6949.32"/>
    <n v="0"/>
    <n v="3474.66"/>
    <n v="3474.66"/>
    <n v="6949.32"/>
    <n v="0"/>
    <n v="6949.32"/>
    <n v="0"/>
    <n v="0"/>
    <n v="41562.25"/>
    <n v="0"/>
  </r>
  <r>
    <x v="13"/>
    <x v="6"/>
    <x v="0"/>
    <s v="4700107"/>
    <n v="735070"/>
    <s v="Depreciation-Movable Equipment"/>
    <s v="Clinical Lab-Bremerton"/>
    <x v="0"/>
    <m/>
    <n v="9595.11"/>
    <n v="5948.42"/>
    <n v="5948.45"/>
    <n v="5948.38"/>
    <n v="5948.49"/>
    <n v="5948.36"/>
    <n v="5948.51"/>
    <n v="5948.32"/>
    <n v="5948.56"/>
    <n v="5948.3"/>
    <n v="5948.61"/>
    <n v="5429.12"/>
    <n v="74508.62999999999"/>
    <n v="519.48999999999978"/>
  </r>
  <r>
    <x v="0"/>
    <x v="6"/>
    <x v="0"/>
    <s v="4700107"/>
    <n v="740010"/>
    <s v="Education-Materials"/>
    <s v="Clinical Lab-Bremerton"/>
    <x v="0"/>
    <m/>
    <n v="0"/>
    <n v="0"/>
    <n v="664.9"/>
    <n v="0"/>
    <n v="0"/>
    <n v="0"/>
    <n v="0"/>
    <n v="0"/>
    <n v="0"/>
    <n v="0"/>
    <n v="0"/>
    <n v="0"/>
    <n v="664.9"/>
    <n v="0"/>
  </r>
  <r>
    <x v="0"/>
    <x v="6"/>
    <x v="0"/>
    <s v="4700107"/>
    <n v="742030"/>
    <s v="Freight-Courier"/>
    <s v="Clinical Lab-Bremerton"/>
    <x v="0"/>
    <m/>
    <n v="0"/>
    <n v="0"/>
    <n v="0"/>
    <n v="37820.800000000003"/>
    <n v="20890.95"/>
    <n v="41682.42"/>
    <n v="53437.97"/>
    <n v="87820.11"/>
    <n v="38993.629999999997"/>
    <n v="34093.06"/>
    <n v="62889.01"/>
    <n v="158048.56"/>
    <n v="535676.51"/>
    <n v="-95159.549999999988"/>
  </r>
  <r>
    <x v="0"/>
    <x v="6"/>
    <x v="0"/>
    <s v="4700107"/>
    <n v="743010"/>
    <s v="Dues--Institutional"/>
    <s v="Clinical Lab-Bremerton"/>
    <x v="0"/>
    <m/>
    <n v="0"/>
    <n v="0"/>
    <n v="0"/>
    <n v="0"/>
    <n v="0"/>
    <n v="0"/>
    <n v="0"/>
    <n v="1327.1"/>
    <n v="0"/>
    <n v="0"/>
    <n v="0"/>
    <n v="0"/>
    <n v="1327.1"/>
    <n v="0"/>
  </r>
  <r>
    <x v="0"/>
    <x v="6"/>
    <x v="0"/>
    <s v="4700107"/>
    <n v="749510"/>
    <s v="Miscellaneous Expenses"/>
    <s v="Clinical Lab-Bremerton"/>
    <x v="0"/>
    <m/>
    <n v="155.63999999999999"/>
    <n v="-170.36"/>
    <n v="84.28"/>
    <n v="-80.09"/>
    <n v="10.029999999999999"/>
    <n v="746.32"/>
    <n v="470.57"/>
    <n v="-518.85"/>
    <n v="-46.02"/>
    <n v="873.61"/>
    <n v="-2328.59"/>
    <n v="-1447.94"/>
    <n v="-2251.4"/>
    <n v="-880.65000000000009"/>
  </r>
  <r>
    <x v="0"/>
    <x v="6"/>
    <x v="0"/>
    <s v="4700107"/>
    <n v="749510"/>
    <s v="Licenses"/>
    <s v="Clinical Lab-Bremerton"/>
    <x v="0"/>
    <n v="1002"/>
    <n v="0"/>
    <n v="0"/>
    <n v="0"/>
    <n v="0"/>
    <n v="6160"/>
    <n v="0"/>
    <n v="0"/>
    <n v="0"/>
    <n v="0"/>
    <n v="17594"/>
    <n v="0"/>
    <n v="0"/>
    <n v="23754"/>
    <n v="0"/>
  </r>
  <r>
    <x v="0"/>
    <x v="6"/>
    <x v="0"/>
    <s v="4700107"/>
    <n v="749510"/>
    <s v="RICE Rewards"/>
    <s v="Clinical Lab-Bremerton"/>
    <x v="0"/>
    <n v="5100"/>
    <n v="0"/>
    <n v="0"/>
    <n v="0"/>
    <n v="0"/>
    <n v="0"/>
    <n v="79.16"/>
    <n v="0"/>
    <n v="383.9"/>
    <n v="0"/>
    <n v="384.45"/>
    <n v="873.61"/>
    <n v="0"/>
    <n v="1721.12"/>
    <n v="873.61"/>
  </r>
  <r>
    <x v="0"/>
    <x v="6"/>
    <x v="0"/>
    <s v="4700107"/>
    <n v="749530"/>
    <s v="Travel"/>
    <s v="Clinical Lab-Bremerton"/>
    <x v="0"/>
    <m/>
    <n v="26"/>
    <n v="33"/>
    <n v="0"/>
    <n v="73.400000000000006"/>
    <n v="23"/>
    <n v="15"/>
    <n v="0"/>
    <n v="38"/>
    <n v="6"/>
    <n v="0"/>
    <n v="0"/>
    <n v="10"/>
    <n v="224.4"/>
    <n v="-10"/>
  </r>
  <r>
    <x v="0"/>
    <x v="6"/>
    <x v="0"/>
    <s v="4700107"/>
    <n v="749530"/>
    <s v="Mileage"/>
    <s v="Clinical Lab-Bremerton"/>
    <x v="0"/>
    <n v="1001"/>
    <n v="223.48"/>
    <n v="167.88"/>
    <n v="35.99"/>
    <n v="346.14"/>
    <n v="150.97"/>
    <n v="112.83"/>
    <n v="0"/>
    <n v="189.57"/>
    <n v="40.020000000000003"/>
    <n v="0"/>
    <n v="0"/>
    <n v="80.040000000000006"/>
    <n v="1346.9199999999998"/>
    <n v="-80.040000000000006"/>
  </r>
  <r>
    <x v="0"/>
    <x v="6"/>
    <x v="0"/>
    <s v="4700107"/>
    <n v="749535"/>
    <s v="Meetings"/>
    <s v="Clinical Lab-Bremerton"/>
    <x v="0"/>
    <m/>
    <n v="0"/>
    <n v="0"/>
    <n v="0"/>
    <n v="0"/>
    <n v="0"/>
    <n v="0"/>
    <n v="0"/>
    <n v="0"/>
    <n v="0"/>
    <n v="0"/>
    <n v="27.37"/>
    <n v="0"/>
    <n v="27.37"/>
    <n v="27.37"/>
  </r>
  <r>
    <x v="18"/>
    <x v="7"/>
    <x v="0"/>
    <s v="4700150"/>
    <n v="400010"/>
    <s v="Acute I/P Svcs Rev--Medicare"/>
    <s v="Clinical Laboratory Service"/>
    <x v="0"/>
    <n v="1100"/>
    <n v="-141339.45000000001"/>
    <n v="-149403.04"/>
    <n v="-148900.85999999999"/>
    <n v="-120000.47"/>
    <n v="-126734.04"/>
    <n v="-170880.99"/>
    <n v="-208098.65"/>
    <n v="-118435.49"/>
    <n v="-225251.34"/>
    <n v="-176129.7"/>
    <n v="-185621.09"/>
    <n v="-167006.57"/>
    <n v="-1937801.6900000002"/>
    <n v="-18614.51999999999"/>
  </r>
  <r>
    <x v="18"/>
    <x v="7"/>
    <x v="0"/>
    <s v="4700150"/>
    <n v="400010"/>
    <s v="Acute I/P Svcs Rev--Medicaid"/>
    <s v="Clinical Laboratory Service"/>
    <x v="0"/>
    <n v="1200"/>
    <n v="-64299.83"/>
    <n v="-59636.55"/>
    <n v="-76073.75"/>
    <n v="-65888.03"/>
    <n v="-40965.15"/>
    <n v="-72397.39"/>
    <n v="-77856.399999999994"/>
    <n v="-39840.699999999997"/>
    <n v="-74544.81"/>
    <n v="-61287.33"/>
    <n v="-46764.43"/>
    <n v="-70964.97"/>
    <n v="-750519.34000000008"/>
    <n v="24200.54"/>
  </r>
  <r>
    <x v="18"/>
    <x v="7"/>
    <x v="0"/>
    <s v="4700150"/>
    <n v="400010"/>
    <s v="Acute I/P Svcs Rev--Comm Insurance"/>
    <s v="Clinical Laboratory Service"/>
    <x v="0"/>
    <n v="1300"/>
    <n v="4595.09"/>
    <n v="-10930.11"/>
    <n v="-13338.12"/>
    <n v="-26624.62"/>
    <n v="9177.2199999999993"/>
    <n v="-4911.78"/>
    <n v="-1920.65"/>
    <n v="-9013.11"/>
    <n v="-6203.31"/>
    <n v="-7004.73"/>
    <n v="-6767.38"/>
    <n v="-2094.1"/>
    <n v="-75035.600000000006"/>
    <n v="-4673.2800000000007"/>
  </r>
  <r>
    <x v="18"/>
    <x v="7"/>
    <x v="0"/>
    <s v="4700150"/>
    <n v="400010"/>
    <s v="Acute I/P Svcs Rev--BCBS Comm"/>
    <s v="Clinical Laboratory Service"/>
    <x v="0"/>
    <n v="1301"/>
    <n v="-17528.060000000001"/>
    <n v="-26029.87"/>
    <n v="-6934.77"/>
    <n v="-21291.85"/>
    <n v="-15501.42"/>
    <n v="-22179.599999999999"/>
    <n v="-12065.44"/>
    <n v="-22744.34"/>
    <n v="-37576.519999999997"/>
    <n v="-24848.62"/>
    <n v="-18204.95"/>
    <n v="-25489.27"/>
    <n v="-250394.70999999996"/>
    <n v="7284.32"/>
  </r>
  <r>
    <x v="18"/>
    <x v="7"/>
    <x v="0"/>
    <s v="4700150"/>
    <n v="400010"/>
    <s v="Acute I/P Svcs Rev--Managed Care"/>
    <s v="Clinical Laboratory Service"/>
    <x v="0"/>
    <n v="1400"/>
    <n v="-85305.81"/>
    <n v="-42676.36"/>
    <n v="-38708.699999999997"/>
    <n v="-19071.16"/>
    <n v="-62437.02"/>
    <n v="-70818.509999999995"/>
    <n v="-37396.370000000003"/>
    <n v="-66666.12"/>
    <n v="-62508.78"/>
    <n v="-47052.13"/>
    <n v="-37861.230000000003"/>
    <n v="-44023.54"/>
    <n v="-614525.73"/>
    <n v="6162.3099999999977"/>
  </r>
  <r>
    <x v="18"/>
    <x v="7"/>
    <x v="0"/>
    <s v="4700150"/>
    <n v="400010"/>
    <s v="Acute I/P Svcs Rev--Self Pay"/>
    <s v="Clinical Laboratory Service"/>
    <x v="0"/>
    <n v="1500"/>
    <n v="-16260.08"/>
    <n v="6421.48"/>
    <n v="-5136.24"/>
    <n v="-1680.09"/>
    <n v="-9031.2199999999993"/>
    <n v="-6246.45"/>
    <n v="-2432.41"/>
    <n v="-12815.32"/>
    <n v="-296.57"/>
    <n v="-6615.32"/>
    <n v="-1735.68"/>
    <n v="-12549.53"/>
    <n v="-68377.430000000008"/>
    <n v="10813.85"/>
  </r>
  <r>
    <x v="18"/>
    <x v="7"/>
    <x v="0"/>
    <s v="4700150"/>
    <n v="400010"/>
    <s v="Acute I/P Svcs Rev--Other"/>
    <s v="Clinical Laboratory Service"/>
    <x v="0"/>
    <n v="1700"/>
    <n v="3594.36"/>
    <n v="-6748"/>
    <n v="2761.96"/>
    <n v="-1519.08"/>
    <n v="-6699.38"/>
    <n v="-9525.15"/>
    <n v="-5373.88"/>
    <n v="-7970.76"/>
    <n v="-8847.23"/>
    <n v="-7129.48"/>
    <n v="-18625.07"/>
    <n v="3086.19"/>
    <n v="-62995.51999999999"/>
    <n v="-21711.26"/>
  </r>
  <r>
    <x v="19"/>
    <x v="7"/>
    <x v="0"/>
    <s v="4700150"/>
    <n v="400020"/>
    <s v="O/P Care Svcs Rev--Medicare"/>
    <s v="Clinical Laboratory Service"/>
    <x v="0"/>
    <n v="1100"/>
    <n v="-287908.58"/>
    <n v="-358074.86"/>
    <n v="-326174.08000000002"/>
    <n v="-316351.96000000002"/>
    <n v="-279206.40000000002"/>
    <n v="-342689.93"/>
    <n v="-373711.44"/>
    <n v="-376938.7"/>
    <n v="-353017.55"/>
    <n v="-361939.12"/>
    <n v="-379168.3"/>
    <n v="-316595.78000000003"/>
    <n v="-4071776.7"/>
    <n v="-62572.51999999996"/>
  </r>
  <r>
    <x v="19"/>
    <x v="7"/>
    <x v="0"/>
    <s v="4700150"/>
    <n v="400020"/>
    <s v="O/P Care Svcs Rev--Medicaid"/>
    <s v="Clinical Laboratory Service"/>
    <x v="0"/>
    <n v="1200"/>
    <n v="-128556.45"/>
    <n v="-152972.18"/>
    <n v="-117509.08"/>
    <n v="-172717.79"/>
    <n v="-119773.86"/>
    <n v="-173165.82"/>
    <n v="-207087.5"/>
    <n v="-128543.34"/>
    <n v="-191758.32"/>
    <n v="-164354.23000000001"/>
    <n v="-179174.63"/>
    <n v="-159187.4"/>
    <n v="-1894800.6"/>
    <n v="-19987.23000000001"/>
  </r>
  <r>
    <x v="19"/>
    <x v="7"/>
    <x v="0"/>
    <s v="4700150"/>
    <n v="400020"/>
    <s v="O/P Care Svcs Rev--Comm Insurance"/>
    <s v="Clinical Laboratory Service"/>
    <x v="0"/>
    <n v="1300"/>
    <n v="-11912.6"/>
    <n v="-1443.02"/>
    <n v="-18398.25"/>
    <n v="-11223.01"/>
    <n v="-20246.3"/>
    <n v="-9656.93"/>
    <n v="-20412.78"/>
    <n v="-5231.0200000000004"/>
    <n v="-16335.73"/>
    <n v="-19989.45"/>
    <n v="-18308.86"/>
    <n v="-17161.3"/>
    <n v="-170319.25"/>
    <n v="-1147.5600000000013"/>
  </r>
  <r>
    <x v="19"/>
    <x v="7"/>
    <x v="0"/>
    <s v="4700150"/>
    <n v="400020"/>
    <s v="O/P Care Svcs Rev--BCBS Comm"/>
    <s v="Clinical Laboratory Service"/>
    <x v="0"/>
    <n v="1301"/>
    <n v="-56201.94"/>
    <n v="-55958.94"/>
    <n v="-59981.84"/>
    <n v="-39186.07"/>
    <n v="-54786.66"/>
    <n v="-48393.88"/>
    <n v="-59607.96"/>
    <n v="-54611.28"/>
    <n v="-63815.86"/>
    <n v="-83505.61"/>
    <n v="-67256.44"/>
    <n v="-54314.71"/>
    <n v="-697621.19"/>
    <n v="-12941.730000000003"/>
  </r>
  <r>
    <x v="19"/>
    <x v="7"/>
    <x v="0"/>
    <s v="4700150"/>
    <n v="400020"/>
    <s v="O/P Care Svcs Rev--Managed Care"/>
    <s v="Clinical Laboratory Service"/>
    <x v="0"/>
    <n v="1400"/>
    <n v="-104397.34"/>
    <n v="-98049.1"/>
    <n v="-99142.78"/>
    <n v="-113458.1"/>
    <n v="-123611.15"/>
    <n v="-122950.46"/>
    <n v="-111651.9"/>
    <n v="-97338.8"/>
    <n v="-137059.51999999999"/>
    <n v="-122538.5"/>
    <n v="-138160.07"/>
    <n v="-113075.74"/>
    <n v="-1381433.46"/>
    <n v="-25084.33"/>
  </r>
  <r>
    <x v="19"/>
    <x v="7"/>
    <x v="0"/>
    <s v="4700150"/>
    <n v="400020"/>
    <s v="O/P Care Svcs Rev--Self Pay"/>
    <s v="Clinical Laboratory Service"/>
    <x v="0"/>
    <n v="1500"/>
    <n v="-15161.82"/>
    <n v="-16984.73"/>
    <n v="-22908.41"/>
    <n v="-8395.2999999999993"/>
    <n v="-15194.38"/>
    <n v="-25592.959999999999"/>
    <n v="-31656.77"/>
    <n v="-16466.09"/>
    <n v="-18394.169999999998"/>
    <n v="-21812.17"/>
    <n v="-15955.17"/>
    <n v="-27373.46"/>
    <n v="-235895.43"/>
    <n v="11418.289999999999"/>
  </r>
  <r>
    <x v="19"/>
    <x v="7"/>
    <x v="0"/>
    <s v="4700150"/>
    <n v="400020"/>
    <s v="O/P Care Svcs Rev--Other"/>
    <s v="Clinical Laboratory Service"/>
    <x v="0"/>
    <n v="1700"/>
    <n v="-7206.17"/>
    <n v="-21586.5"/>
    <n v="-18743.29"/>
    <n v="-12964.6"/>
    <n v="-7176.54"/>
    <n v="-9242.76"/>
    <n v="-11938.35"/>
    <n v="-21545.07"/>
    <n v="-12782.91"/>
    <n v="-15496.48"/>
    <n v="-11805.88"/>
    <n v="-31466.560000000001"/>
    <n v="-181955.11000000002"/>
    <n v="19660.68"/>
  </r>
  <r>
    <x v="14"/>
    <x v="7"/>
    <x v="0"/>
    <s v="4700150"/>
    <n v="600050"/>
    <s v="Miscellaneous Revenue"/>
    <s v="Clinical Laboratory Service"/>
    <x v="0"/>
    <m/>
    <n v="-4078.59"/>
    <n v="-4578.1000000000004"/>
    <n v="-4044.09"/>
    <n v="-4297.26"/>
    <n v="-3252.11"/>
    <n v="-3056.72"/>
    <n v="-3692.4"/>
    <n v="-2754.81"/>
    <n v="-4162.24"/>
    <n v="-3559.88"/>
    <n v="-3341.36"/>
    <n v="-2578.96"/>
    <n v="-43396.520000000004"/>
    <n v="-762.40000000000009"/>
  </r>
  <r>
    <x v="5"/>
    <x v="7"/>
    <x v="0"/>
    <s v="4700150"/>
    <n v="700014"/>
    <s v="Salaries-Management-Productive"/>
    <s v="Clinical Laboratory Service"/>
    <x v="0"/>
    <m/>
    <n v="3113.8"/>
    <n v="8718.92"/>
    <n v="6850.83"/>
    <n v="9267.8799999999992"/>
    <n v="8811.2000000000007"/>
    <n v="-3817.99"/>
    <n v="0"/>
    <n v="0"/>
    <n v="0"/>
    <n v="0"/>
    <n v="0"/>
    <n v="0"/>
    <n v="32944.640000000007"/>
    <n v="0"/>
  </r>
  <r>
    <x v="5"/>
    <x v="7"/>
    <x v="0"/>
    <s v="4700150"/>
    <n v="700018"/>
    <s v="Salaries-Supervisory-Productive"/>
    <s v="Clinical Laboratory Service"/>
    <x v="0"/>
    <m/>
    <n v="0"/>
    <n v="0"/>
    <n v="0"/>
    <n v="5339.52"/>
    <n v="6407.32"/>
    <n v="6621.11"/>
    <n v="3470.64"/>
    <n v="-237.62"/>
    <n v="0"/>
    <n v="7367.25"/>
    <n v="5442.61"/>
    <n v="7724.1"/>
    <n v="42134.93"/>
    <n v="-2281.4900000000007"/>
  </r>
  <r>
    <x v="5"/>
    <x v="7"/>
    <x v="0"/>
    <s v="4700150"/>
    <n v="700032"/>
    <s v="Salaries-Other Pat Care Providers-Productive"/>
    <s v="Clinical Laboratory Service"/>
    <x v="0"/>
    <m/>
    <n v="43639.98"/>
    <n v="35283.65"/>
    <n v="35431.75"/>
    <n v="44157.63"/>
    <n v="43919.82"/>
    <n v="47213.32"/>
    <n v="49089.8"/>
    <n v="43199.63"/>
    <n v="48989.3"/>
    <n v="47896.39"/>
    <n v="47750.13"/>
    <n v="45499.62"/>
    <n v="532071.02"/>
    <n v="2250.5099999999948"/>
  </r>
  <r>
    <x v="5"/>
    <x v="7"/>
    <x v="0"/>
    <s v="4700150"/>
    <n v="700032"/>
    <s v="Salaries-Other Pat Care Providers-OT"/>
    <s v="Clinical Laboratory Service"/>
    <x v="0"/>
    <n v="1000"/>
    <n v="1295.48"/>
    <n v="918.86"/>
    <n v="943.15"/>
    <n v="1212.73"/>
    <n v="819.4"/>
    <n v="3089.75"/>
    <n v="1725.32"/>
    <n v="1081.3699999999999"/>
    <n v="1563.85"/>
    <n v="288.79000000000002"/>
    <n v="162.33000000000001"/>
    <n v="1887.11"/>
    <n v="14988.14"/>
    <n v="-1724.78"/>
  </r>
  <r>
    <x v="5"/>
    <x v="7"/>
    <x v="0"/>
    <s v="4700150"/>
    <n v="700032"/>
    <s v="Salaries-Other Pat Care Providers-Other"/>
    <s v="Clinical Laboratory Service"/>
    <x v="0"/>
    <n v="2000"/>
    <n v="2783.05"/>
    <n v="2686.19"/>
    <n v="2125.6999999999998"/>
    <n v="2563.64"/>
    <n v="2172.12"/>
    <n v="2495.11"/>
    <n v="3489.75"/>
    <n v="3692.85"/>
    <n v="4438.55"/>
    <n v="2672.46"/>
    <n v="2543.1999999999998"/>
    <n v="2637.92"/>
    <n v="34300.54"/>
    <n v="-94.720000000000255"/>
  </r>
  <r>
    <x v="5"/>
    <x v="7"/>
    <x v="0"/>
    <s v="4700150"/>
    <n v="700034"/>
    <s v="Salaries-Tech/Professional-Productive"/>
    <s v="Clinical Laboratory Service"/>
    <x v="0"/>
    <m/>
    <n v="4397.82"/>
    <n v="4529.7299999999996"/>
    <n v="4639.66"/>
    <n v="4689.7299999999996"/>
    <n v="4501.33"/>
    <n v="3095.96"/>
    <n v="4875.8"/>
    <n v="4631.0200000000004"/>
    <n v="4819.76"/>
    <n v="4821.67"/>
    <n v="4704.96"/>
    <n v="2437.2399999999998"/>
    <n v="52144.679999999993"/>
    <n v="2267.7200000000003"/>
  </r>
  <r>
    <x v="5"/>
    <x v="7"/>
    <x v="0"/>
    <s v="4700150"/>
    <n v="700034"/>
    <s v="Salaries-Tech/Professional-OT"/>
    <s v="Clinical Laboratory Service"/>
    <x v="0"/>
    <n v="1000"/>
    <n v="614.21"/>
    <n v="331.67"/>
    <n v="133.31"/>
    <n v="78.55"/>
    <n v="0"/>
    <n v="12.26"/>
    <n v="13.24"/>
    <n v="17.77"/>
    <n v="78.34"/>
    <n v="13.02"/>
    <n v="-4.5599999999999996"/>
    <n v="23.48"/>
    <n v="1311.29"/>
    <n v="-28.04"/>
  </r>
  <r>
    <x v="5"/>
    <x v="7"/>
    <x v="0"/>
    <s v="4700150"/>
    <n v="700034"/>
    <s v="Salaries-Tech/Professional-Other"/>
    <s v="Clinical Laboratory Service"/>
    <x v="0"/>
    <n v="2000"/>
    <n v="665.76"/>
    <n v="663.22"/>
    <n v="651.22"/>
    <n v="665.77"/>
    <n v="607.03"/>
    <n v="356.95"/>
    <n v="644.25"/>
    <n v="582.09"/>
    <n v="645.22"/>
    <n v="625.48"/>
    <n v="610.91999999999996"/>
    <n v="301.89999999999998"/>
    <n v="7019.8099999999995"/>
    <n v="309.02"/>
  </r>
  <r>
    <x v="5"/>
    <x v="7"/>
    <x v="0"/>
    <s v="4700150"/>
    <n v="700054"/>
    <s v="Salaries-Management-Non-productive"/>
    <s v="Clinical Laboratory Service"/>
    <x v="0"/>
    <m/>
    <n v="5661.51"/>
    <n v="56.79"/>
    <n v="1641.91"/>
    <n v="-226.45"/>
    <n v="0"/>
    <n v="0"/>
    <n v="0"/>
    <n v="0"/>
    <n v="0"/>
    <n v="0"/>
    <n v="0"/>
    <n v="0"/>
    <n v="7133.76"/>
    <n v="0"/>
  </r>
  <r>
    <x v="5"/>
    <x v="7"/>
    <x v="0"/>
    <s v="4700150"/>
    <n v="700054"/>
    <s v="Salaries-Management-NonProd-Other"/>
    <s v="Clinical Laboratory Service"/>
    <x v="0"/>
    <n v="2000"/>
    <n v="0"/>
    <n v="0"/>
    <n v="0"/>
    <n v="0"/>
    <n v="0"/>
    <n v="352.6"/>
    <n v="0"/>
    <n v="-352.6"/>
    <n v="0"/>
    <n v="0"/>
    <n v="0"/>
    <n v="0"/>
    <n v="0"/>
    <n v="0"/>
  </r>
  <r>
    <x v="5"/>
    <x v="7"/>
    <x v="0"/>
    <s v="4700150"/>
    <n v="700058"/>
    <s v="Salaries-Supervisory-Non-productive"/>
    <s v="Clinical Laboratory Service"/>
    <x v="0"/>
    <m/>
    <n v="0"/>
    <n v="0"/>
    <n v="0"/>
    <n v="593.28"/>
    <n v="711.92"/>
    <n v="735.68"/>
    <n v="3897.63"/>
    <n v="2056.62"/>
    <n v="-58.63"/>
    <n v="-5.94"/>
    <n v="1924.98"/>
    <n v="-594.07000000000005"/>
    <n v="9261.4700000000012"/>
    <n v="2519.0500000000002"/>
  </r>
  <r>
    <x v="5"/>
    <x v="7"/>
    <x v="0"/>
    <s v="4700150"/>
    <n v="700072"/>
    <s v="Salaries-Other Pat Care Providers-Non-productive"/>
    <s v="Clinical Laboratory Service"/>
    <x v="0"/>
    <m/>
    <n v="1615.4"/>
    <n v="1767.96"/>
    <n v="2399.87"/>
    <n v="2238.14"/>
    <n v="6754.59"/>
    <n v="4807.55"/>
    <n v="2585.79"/>
    <n v="1671.34"/>
    <n v="1868.06"/>
    <n v="573.76"/>
    <n v="8853.42"/>
    <n v="6604.85"/>
    <n v="41740.729999999996"/>
    <n v="2248.5699999999997"/>
  </r>
  <r>
    <x v="5"/>
    <x v="7"/>
    <x v="0"/>
    <s v="4700150"/>
    <n v="700072"/>
    <s v="Salaries-Other Pat Care Providers-NonProd-Other"/>
    <s v="Clinical Laboratory Service"/>
    <x v="0"/>
    <n v="2000"/>
    <n v="133.63999999999999"/>
    <n v="41.78"/>
    <n v="98.92"/>
    <n v="93.66"/>
    <n v="773.72"/>
    <n v="160.08000000000001"/>
    <n v="84.49"/>
    <n v="-188.52"/>
    <n v="2.41"/>
    <n v="12.66"/>
    <n v="284.95"/>
    <n v="128.56"/>
    <n v="1626.3500000000001"/>
    <n v="156.38999999999999"/>
  </r>
  <r>
    <x v="5"/>
    <x v="7"/>
    <x v="0"/>
    <s v="4700150"/>
    <n v="700074"/>
    <s v="Salaries-Tech/Professional-Non-productive"/>
    <s v="Clinical Laboratory Service"/>
    <x v="0"/>
    <m/>
    <n v="8.14"/>
    <n v="8.15"/>
    <n v="3.84"/>
    <n v="47.89"/>
    <n v="96.27"/>
    <n v="2186.1"/>
    <n v="-0.98"/>
    <n v="0"/>
    <n v="21.71"/>
    <n v="-7.89"/>
    <n v="281.91000000000003"/>
    <n v="2537.21"/>
    <n v="5182.3500000000004"/>
    <n v="-2255.3000000000002"/>
  </r>
  <r>
    <x v="5"/>
    <x v="7"/>
    <x v="0"/>
    <s v="4700150"/>
    <n v="700074"/>
    <s v="Salaries-Tech/Professional-NonProd-Other"/>
    <s v="Clinical Laboratory Service"/>
    <x v="0"/>
    <n v="2000"/>
    <n v="0.91"/>
    <n v="0.91"/>
    <n v="0.43"/>
    <n v="5.35"/>
    <n v="10.77"/>
    <n v="237.48"/>
    <n v="-0.1"/>
    <n v="0"/>
    <n v="2.35"/>
    <n v="-0.85"/>
    <n v="30.03"/>
    <n v="270.41000000000003"/>
    <n v="557.69000000000005"/>
    <n v="-240.38000000000002"/>
  </r>
  <r>
    <x v="5"/>
    <x v="7"/>
    <x v="0"/>
    <s v="4700150"/>
    <n v="700084"/>
    <s v="Accrued PTO"/>
    <s v="Clinical Laboratory Service"/>
    <x v="0"/>
    <m/>
    <n v="-885.16"/>
    <n v="2672.04"/>
    <n v="1058.48"/>
    <n v="5868.5"/>
    <n v="-3525.98"/>
    <n v="-230.16"/>
    <n v="2780.51"/>
    <n v="498.53"/>
    <n v="3613.5"/>
    <n v="8362.5"/>
    <n v="-2693.42"/>
    <n v="-2054.0500000000002"/>
    <n v="15465.290000000005"/>
    <n v="-639.36999999999989"/>
  </r>
  <r>
    <x v="10"/>
    <x v="7"/>
    <x v="0"/>
    <s v="4700150"/>
    <n v="710060"/>
    <s v="Contract Labor-Other"/>
    <s v="Clinical Laboratory Service"/>
    <x v="0"/>
    <m/>
    <n v="3628.05"/>
    <n v="12730"/>
    <n v="10184"/>
    <n v="10184"/>
    <n v="7001.5"/>
    <n v="12730"/>
    <n v="3087.02"/>
    <n v="0"/>
    <n v="0"/>
    <n v="0"/>
    <n v="0"/>
    <n v="0"/>
    <n v="59544.57"/>
    <n v="0"/>
  </r>
  <r>
    <x v="10"/>
    <x v="7"/>
    <x v="0"/>
    <s v="4700150"/>
    <n v="710060"/>
    <s v="Contract Labor-Overtime"/>
    <s v="Clinical Laboratory Service"/>
    <x v="0"/>
    <n v="5100"/>
    <n v="0"/>
    <n v="0"/>
    <n v="0"/>
    <n v="0"/>
    <n v="0"/>
    <n v="0"/>
    <n v="988.2"/>
    <n v="0"/>
    <n v="0"/>
    <n v="0"/>
    <n v="0"/>
    <n v="0"/>
    <n v="988.2"/>
    <n v="0"/>
  </r>
  <r>
    <x v="6"/>
    <x v="7"/>
    <x v="0"/>
    <s v="4700150"/>
    <n v="713010"/>
    <s v="Benefits-FICA/Medicare"/>
    <s v="Clinical Laboratory Service"/>
    <x v="0"/>
    <m/>
    <n v="4717.75"/>
    <n v="4127.01"/>
    <n v="4038.36"/>
    <n v="5220.29"/>
    <n v="5670.24"/>
    <n v="5070.38"/>
    <n v="5190.3599999999997"/>
    <n v="4229.47"/>
    <n v="4638.22"/>
    <n v="4719.2700000000004"/>
    <n v="5398.6"/>
    <n v="5163.41"/>
    <n v="58183.360000000001"/>
    <n v="235.19000000000051"/>
  </r>
  <r>
    <x v="6"/>
    <x v="7"/>
    <x v="0"/>
    <s v="4700150"/>
    <n v="713090"/>
    <s v="Benefits-Allocated Amounts"/>
    <s v="Clinical Laboratory Service"/>
    <x v="0"/>
    <m/>
    <n v="14641.01"/>
    <n v="11366.2"/>
    <n v="12519.59"/>
    <n v="16008.57"/>
    <n v="16626.310000000001"/>
    <n v="14080.03"/>
    <n v="15668.5"/>
    <n v="11932.62"/>
    <n v="12598.12"/>
    <n v="15319.77"/>
    <n v="15522.46"/>
    <n v="15941.46"/>
    <n v="172224.63999999998"/>
    <n v="-419"/>
  </r>
  <r>
    <x v="6"/>
    <x v="7"/>
    <x v="0"/>
    <s v="4700150"/>
    <n v="713096"/>
    <s v="Employee Recognition"/>
    <s v="Clinical Laboratory Service"/>
    <x v="0"/>
    <n v="1017"/>
    <n v="0"/>
    <n v="148.47999999999999"/>
    <n v="30.7"/>
    <n v="0"/>
    <n v="45.62"/>
    <n v="0"/>
    <n v="0"/>
    <n v="0"/>
    <n v="0"/>
    <n v="0"/>
    <n v="108.37"/>
    <n v="0"/>
    <n v="333.16999999999996"/>
    <n v="108.37"/>
  </r>
  <r>
    <x v="17"/>
    <x v="7"/>
    <x v="0"/>
    <s v="4700150"/>
    <n v="714510"/>
    <s v="Medical Director Fees"/>
    <s v="Clinical Laboratory Service"/>
    <x v="0"/>
    <m/>
    <n v="2941.6"/>
    <n v="3014.17"/>
    <n v="1703.57"/>
    <n v="1735.06"/>
    <n v="0"/>
    <n v="3171.02"/>
    <n v="1632.04"/>
    <n v="0"/>
    <n v="3186.19"/>
    <n v="1573.24"/>
    <n v="1661.52"/>
    <n v="1708.91"/>
    <n v="22327.32"/>
    <n v="-47.3900000000001"/>
  </r>
  <r>
    <x v="7"/>
    <x v="7"/>
    <x v="0"/>
    <s v="4700150"/>
    <n v="718040"/>
    <s v="Contract Svcs-Laboratory"/>
    <s v="Clinical Laboratory Service"/>
    <x v="0"/>
    <m/>
    <n v="6059.81"/>
    <n v="3187.83"/>
    <n v="12621.47"/>
    <n v="4796.45"/>
    <n v="8922.5300000000007"/>
    <n v="2028.43"/>
    <n v="5556.52"/>
    <n v="11377.38"/>
    <n v="10652.46"/>
    <n v="2148.2399999999998"/>
    <n v="7493.08"/>
    <n v="19179.48"/>
    <n v="94023.680000000008"/>
    <n v="-11686.4"/>
  </r>
  <r>
    <x v="7"/>
    <x v="7"/>
    <x v="0"/>
    <s v="4700150"/>
    <n v="718040"/>
    <s v="Contract Svcs-Reference Lab Fees"/>
    <s v="Clinical Laboratory Service"/>
    <x v="0"/>
    <n v="1001"/>
    <n v="0"/>
    <n v="0"/>
    <n v="0"/>
    <n v="0"/>
    <n v="0"/>
    <n v="0"/>
    <n v="1759.4"/>
    <n v="1390.78"/>
    <n v="6804.19"/>
    <n v="7666.69"/>
    <n v="3352.94"/>
    <n v="-1896.33"/>
    <n v="19077.669999999998"/>
    <n v="5249.27"/>
  </r>
  <r>
    <x v="7"/>
    <x v="7"/>
    <x v="0"/>
    <s v="4700150"/>
    <n v="718050"/>
    <s v="Contract Svcs-Other"/>
    <s v="Clinical Laboratory Service"/>
    <x v="0"/>
    <m/>
    <n v="5034"/>
    <n v="3283.4"/>
    <n v="3832.4"/>
    <n v="-2980.8"/>
    <n v="767"/>
    <n v="613.6"/>
    <n v="920.4"/>
    <n v="153.4"/>
    <n v="0"/>
    <n v="0"/>
    <n v="0"/>
    <n v="-2363"/>
    <n v="9260.4"/>
    <n v="2363"/>
  </r>
  <r>
    <x v="7"/>
    <x v="7"/>
    <x v="0"/>
    <s v="4700150"/>
    <n v="718050"/>
    <s v="Document Shredding/Storage"/>
    <s v="Clinical Laboratory Service"/>
    <x v="0"/>
    <n v="1012"/>
    <n v="37.479999999999997"/>
    <n v="8.8699999999999992"/>
    <n v="27.53"/>
    <n v="32.03"/>
    <n v="108.79"/>
    <n v="11.81"/>
    <n v="11.69"/>
    <n v="-33.14"/>
    <n v="10.68"/>
    <n v="14.04"/>
    <n v="11.77"/>
    <n v="96.65"/>
    <n v="338.20000000000005"/>
    <n v="-84.88000000000001"/>
  </r>
  <r>
    <x v="7"/>
    <x v="7"/>
    <x v="0"/>
    <s v="4700150"/>
    <n v="718050"/>
    <s v="Miscellaneous Purchased Svcs"/>
    <s v="Clinical Laboratory Service"/>
    <x v="0"/>
    <n v="1020"/>
    <n v="1937.29"/>
    <n v="3105.82"/>
    <n v="1937.29"/>
    <n v="2185.02"/>
    <n v="1937.29"/>
    <n v="1937.29"/>
    <n v="2306.7399999999998"/>
    <n v="2054.34"/>
    <n v="1937.29"/>
    <n v="1937.29"/>
    <n v="1937.29"/>
    <n v="2152.46"/>
    <n v="25365.410000000003"/>
    <n v="-215.17000000000007"/>
  </r>
  <r>
    <x v="7"/>
    <x v="7"/>
    <x v="0"/>
    <s v="4700150"/>
    <n v="718050"/>
    <s v="Contract Svcs--Medical/Dental"/>
    <s v="Clinical Laboratory Service"/>
    <x v="0"/>
    <n v="1024"/>
    <n v="3454.25"/>
    <n v="5918.24"/>
    <n v="5902.07"/>
    <n v="2544.33"/>
    <n v="5523.04"/>
    <n v="-187.69"/>
    <n v="979.51"/>
    <n v="2400.0500000000002"/>
    <n v="-9159.18"/>
    <n v="0"/>
    <n v="0"/>
    <n v="8328.76"/>
    <n v="25703.379999999997"/>
    <n v="-8328.76"/>
  </r>
  <r>
    <x v="7"/>
    <x v="7"/>
    <x v="0"/>
    <s v="4700150"/>
    <n v="718070"/>
    <s v="Contract Srvcs-CHI Clinical Engineering"/>
    <s v="Clinical Laboratory Service"/>
    <x v="0"/>
    <m/>
    <n v="1166.2"/>
    <n v="2077.12"/>
    <n v="1823.79"/>
    <n v="1823.79"/>
    <n v="1823.79"/>
    <n v="1823.79"/>
    <n v="1823.8"/>
    <n v="1823.8"/>
    <n v="1823.79"/>
    <n v="1951.26"/>
    <n v="2811.64"/>
    <n v="2811.65"/>
    <n v="23584.42"/>
    <n v="-1.0000000000218279E-2"/>
  </r>
  <r>
    <x v="7"/>
    <x v="7"/>
    <x v="0"/>
    <s v="4700150"/>
    <n v="718091"/>
    <s v="Contract Services-Intracompany Allocation"/>
    <s v="Clinical Laboratory Service"/>
    <x v="0"/>
    <m/>
    <n v="6616.15"/>
    <n v="7009.52"/>
    <n v="6797.49"/>
    <n v="7774.32"/>
    <n v="7314.51"/>
    <n v="7572.32"/>
    <n v="9327.2199999999993"/>
    <n v="8356.4599999999991"/>
    <n v="9453.0300000000007"/>
    <n v="8821.93"/>
    <n v="9840.09"/>
    <n v="9325.39"/>
    <n v="98208.430000000008"/>
    <n v="514.70000000000073"/>
  </r>
  <r>
    <x v="11"/>
    <x v="7"/>
    <x v="0"/>
    <s v="4700150"/>
    <n v="721010"/>
    <s v="Supplies-Medical - Billable"/>
    <s v="Clinical Laboratory Service"/>
    <x v="0"/>
    <m/>
    <n v="168.75"/>
    <n v="144"/>
    <n v="146.25"/>
    <n v="146.69999999999999"/>
    <n v="168.58"/>
    <n v="183.02"/>
    <n v="203.91"/>
    <n v="166.15"/>
    <n v="203.32"/>
    <n v="171.88"/>
    <n v="186.59"/>
    <n v="155.94"/>
    <n v="2045.09"/>
    <n v="30.650000000000006"/>
  </r>
  <r>
    <x v="11"/>
    <x v="7"/>
    <x v="0"/>
    <s v="4700150"/>
    <n v="721320"/>
    <s v="Supplies-Purchased Blood - Billable"/>
    <s v="Clinical Laboratory Service"/>
    <x v="0"/>
    <m/>
    <n v="20787.03"/>
    <n v="11963.09"/>
    <n v="10385.25"/>
    <n v="39422.49"/>
    <n v="10385.26"/>
    <n v="12512.65"/>
    <n v="24477.87"/>
    <n v="15739.54"/>
    <n v="18737.259999999998"/>
    <n v="28230.44"/>
    <n v="10235.77"/>
    <n v="4891.0200000000004"/>
    <n v="207767.66999999995"/>
    <n v="5344.75"/>
  </r>
  <r>
    <x v="11"/>
    <x v="7"/>
    <x v="0"/>
    <s v="4700150"/>
    <n v="721410"/>
    <s v="Supplies-Medical - Nonbillable"/>
    <s v="Clinical Laboratory Service"/>
    <x v="0"/>
    <m/>
    <n v="404.82"/>
    <n v="304.29000000000002"/>
    <n v="297.19"/>
    <n v="2365.41"/>
    <n v="376.72"/>
    <n v="548.29999999999995"/>
    <n v="378.29"/>
    <n v="829.24"/>
    <n v="319.49"/>
    <n v="-39418.400000000001"/>
    <n v="406.32"/>
    <n v="503.21"/>
    <n v="-32685.120000000003"/>
    <n v="-96.889999999999986"/>
  </r>
  <r>
    <x v="11"/>
    <x v="7"/>
    <x v="0"/>
    <s v="4700150"/>
    <n v="721710"/>
    <s v="Supplies-Laboratory - Nonbillable"/>
    <s v="Clinical Laboratory Service"/>
    <x v="0"/>
    <m/>
    <n v="2325.71"/>
    <n v="11376.65"/>
    <n v="4587.24"/>
    <n v="9358.2000000000007"/>
    <n v="8173.61"/>
    <n v="6811.31"/>
    <n v="10477.35"/>
    <n v="8904.9699999999993"/>
    <n v="14757.26"/>
    <n v="6274.74"/>
    <n v="11129.71"/>
    <n v="8853.7099999999991"/>
    <n v="103030.45999999999"/>
    <n v="2276"/>
  </r>
  <r>
    <x v="11"/>
    <x v="7"/>
    <x v="0"/>
    <s v="4700150"/>
    <n v="721710"/>
    <s v="Reagents"/>
    <s v="Clinical Laboratory Service"/>
    <x v="0"/>
    <n v="1000"/>
    <n v="9746.35"/>
    <n v="10077.34"/>
    <n v="25885.45"/>
    <n v="9659.83"/>
    <n v="25712.1"/>
    <n v="10913.97"/>
    <n v="22444.35"/>
    <n v="10377.25"/>
    <n v="16772.11"/>
    <n v="10523.4"/>
    <n v="10022.290000000001"/>
    <n v="32188.53"/>
    <n v="194322.97"/>
    <n v="-22166.239999999998"/>
  </r>
  <r>
    <x v="11"/>
    <x v="7"/>
    <x v="0"/>
    <s v="4700150"/>
    <n v="721810"/>
    <s v="Supplies-Dietary/Cafeteria"/>
    <s v="Clinical Laboratory Service"/>
    <x v="0"/>
    <m/>
    <n v="14.34"/>
    <n v="0"/>
    <n v="0"/>
    <n v="0"/>
    <n v="0"/>
    <n v="0"/>
    <n v="0"/>
    <n v="0"/>
    <n v="0"/>
    <n v="0"/>
    <n v="12.56"/>
    <n v="0"/>
    <n v="26.9"/>
    <n v="12.56"/>
  </r>
  <r>
    <x v="11"/>
    <x v="7"/>
    <x v="0"/>
    <s v="4700150"/>
    <n v="721830"/>
    <s v="Supplies-Office"/>
    <s v="Clinical Laboratory Service"/>
    <x v="0"/>
    <m/>
    <n v="130.84"/>
    <n v="82.61"/>
    <n v="1247.4100000000001"/>
    <n v="163.05000000000001"/>
    <n v="7.26"/>
    <n v="111.54"/>
    <n v="350.42"/>
    <n v="206.76"/>
    <n v="225.34"/>
    <n v="208.66"/>
    <n v="204.19"/>
    <n v="42.3"/>
    <n v="2980.3800000000006"/>
    <n v="161.88999999999999"/>
  </r>
  <r>
    <x v="11"/>
    <x v="7"/>
    <x v="0"/>
    <s v="4700150"/>
    <n v="721835"/>
    <s v="Supplies-Forms"/>
    <s v="Clinical Laboratory Service"/>
    <x v="0"/>
    <m/>
    <n v="0"/>
    <n v="0"/>
    <n v="0"/>
    <n v="0"/>
    <n v="0"/>
    <n v="0"/>
    <n v="0"/>
    <n v="0"/>
    <n v="0"/>
    <n v="0"/>
    <n v="0"/>
    <n v="3.68"/>
    <n v="3.68"/>
    <n v="-3.68"/>
  </r>
  <r>
    <x v="11"/>
    <x v="7"/>
    <x v="0"/>
    <s v="4700150"/>
    <n v="721870"/>
    <s v="Supplies-Environmental Services"/>
    <s v="Clinical Laboratory Service"/>
    <x v="0"/>
    <m/>
    <n v="17.09"/>
    <n v="16.809999999999999"/>
    <n v="33.130000000000003"/>
    <n v="17.93"/>
    <n v="16.55"/>
    <n v="12.95"/>
    <n v="15.95"/>
    <n v="37.51"/>
    <n v="110.2"/>
    <n v="30.41"/>
    <n v="139.28"/>
    <n v="-26.5"/>
    <n v="421.31000000000006"/>
    <n v="165.78"/>
  </r>
  <r>
    <x v="11"/>
    <x v="7"/>
    <x v="0"/>
    <s v="4700150"/>
    <n v="721880"/>
    <s v="Supplies-Linen"/>
    <s v="Clinical Laboratory Service"/>
    <x v="0"/>
    <m/>
    <n v="0.3"/>
    <n v="0"/>
    <n v="0"/>
    <n v="0"/>
    <n v="0.37"/>
    <n v="0"/>
    <n v="1.17"/>
    <n v="0"/>
    <n v="0"/>
    <n v="0"/>
    <n v="0"/>
    <n v="0"/>
    <n v="1.8399999999999999"/>
    <n v="0"/>
  </r>
  <r>
    <x v="11"/>
    <x v="7"/>
    <x v="0"/>
    <s v="4700150"/>
    <n v="721910"/>
    <s v="Supplies-Small Equipment"/>
    <s v="Clinical Laboratory Service"/>
    <x v="0"/>
    <m/>
    <n v="70.56"/>
    <n v="83.9"/>
    <n v="0"/>
    <n v="4.97"/>
    <n v="114.51"/>
    <n v="1134.3499999999999"/>
    <n v="-139.19999999999999"/>
    <n v="0"/>
    <n v="0"/>
    <n v="0.34"/>
    <n v="0"/>
    <n v="86.7"/>
    <n v="1356.1299999999999"/>
    <n v="-86.7"/>
  </r>
  <r>
    <x v="11"/>
    <x v="7"/>
    <x v="0"/>
    <s v="4700150"/>
    <n v="722000"/>
    <s v="Supplies-Freight Expense"/>
    <s v="Clinical Laboratory Service"/>
    <x v="0"/>
    <m/>
    <n v="1053.81"/>
    <n v="1399.93"/>
    <n v="1161.18"/>
    <n v="1037.1600000000001"/>
    <n v="950.95"/>
    <n v="130.36000000000001"/>
    <n v="1300.68"/>
    <n v="1057.43"/>
    <n v="2063.4299999999998"/>
    <n v="1209.07"/>
    <n v="1206.21"/>
    <n v="501.04"/>
    <n v="13071.25"/>
    <n v="705.17000000000007"/>
  </r>
  <r>
    <x v="11"/>
    <x v="7"/>
    <x v="0"/>
    <s v="4700150"/>
    <n v="723000"/>
    <s v="Supply Rebates/Patronage Dividend"/>
    <s v="Clinical Laboratory Service"/>
    <x v="0"/>
    <m/>
    <n v="0"/>
    <n v="0"/>
    <n v="0"/>
    <n v="0"/>
    <n v="0"/>
    <n v="0"/>
    <n v="0"/>
    <n v="0"/>
    <n v="-370.23"/>
    <n v="0"/>
    <n v="0"/>
    <n v="0"/>
    <n v="-370.23"/>
    <n v="0"/>
  </r>
  <r>
    <x v="12"/>
    <x v="7"/>
    <x v="0"/>
    <s v="4700150"/>
    <n v="730020"/>
    <s v="Rental and Leases-Equipment (DO NOT USE)"/>
    <s v="Clinical Laboratory Service"/>
    <x v="0"/>
    <m/>
    <n v="-19.5"/>
    <n v="5830.9"/>
    <n v="19022.580000000002"/>
    <n v="1745.58"/>
    <n v="6570.16"/>
    <n v="6614.53"/>
    <n v="8637.52"/>
    <n v="4379.97"/>
    <n v="-241.01"/>
    <n v="2208.1799999999998"/>
    <n v="-241.01"/>
    <n v="12225.81"/>
    <n v="66733.710000000006"/>
    <n v="-12466.82"/>
  </r>
  <r>
    <x v="12"/>
    <x v="7"/>
    <x v="0"/>
    <s v="4700150"/>
    <n v="730020"/>
    <s v="Rental and Leases-Copier Usage Fees (DO NOT USE)"/>
    <s v="Clinical Laboratory Service"/>
    <x v="0"/>
    <n v="5100"/>
    <n v="182.37"/>
    <n v="189.3"/>
    <n v="185.83"/>
    <n v="185.83"/>
    <n v="185.83"/>
    <n v="185.83"/>
    <n v="166.57"/>
    <n v="191.32"/>
    <n v="190.92"/>
    <n v="191.72"/>
    <n v="191.32"/>
    <n v="221.19"/>
    <n v="2268.0299999999997"/>
    <n v="-29.870000000000005"/>
  </r>
  <r>
    <x v="15"/>
    <x v="7"/>
    <x v="0"/>
    <s v="4700150"/>
    <n v="731060"/>
    <s v="Pagers"/>
    <s v="Clinical Laboratory Service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6"/>
    <x v="7"/>
    <x v="0"/>
    <s v="4700150"/>
    <n v="732030"/>
    <s v="Repairs---Other"/>
    <s v="Clinical Laboratory Service"/>
    <x v="0"/>
    <m/>
    <n v="0"/>
    <n v="0"/>
    <n v="0"/>
    <n v="91.86"/>
    <n v="0"/>
    <n v="0"/>
    <n v="0"/>
    <n v="0"/>
    <n v="0"/>
    <n v="0"/>
    <n v="0"/>
    <n v="0"/>
    <n v="91.86"/>
    <n v="0"/>
  </r>
  <r>
    <x v="13"/>
    <x v="7"/>
    <x v="0"/>
    <s v="4700150"/>
    <n v="735070"/>
    <s v="Depreciation-Movable Equipment"/>
    <s v="Clinical Laboratory Service"/>
    <x v="0"/>
    <m/>
    <n v="2311.36"/>
    <n v="2375.5700000000002"/>
    <n v="2375.62"/>
    <n v="2375.5500000000002"/>
    <n v="2356.7199999999998"/>
    <n v="2470.94"/>
    <n v="2471.0100000000002"/>
    <n v="2272.9699999999998"/>
    <n v="2273.08"/>
    <n v="2272.96"/>
    <n v="2273.08"/>
    <n v="2539.38"/>
    <n v="28368.240000000002"/>
    <n v="-266.30000000000018"/>
  </r>
  <r>
    <x v="0"/>
    <x v="7"/>
    <x v="0"/>
    <s v="4700150"/>
    <n v="742030"/>
    <s v="Freight-Courier"/>
    <s v="Clinical Laboratory Service"/>
    <x v="0"/>
    <m/>
    <n v="0"/>
    <n v="0"/>
    <n v="0"/>
    <n v="3500"/>
    <n v="2630"/>
    <n v="0"/>
    <n v="3576.2"/>
    <n v="3771.4"/>
    <n v="1444.4"/>
    <n v="2041.8"/>
    <n v="3794.6"/>
    <n v="6736.8"/>
    <n v="27495.199999999997"/>
    <n v="-2942.2000000000003"/>
  </r>
  <r>
    <x v="0"/>
    <x v="7"/>
    <x v="0"/>
    <s v="4700150"/>
    <n v="743010"/>
    <s v="Dues--Institutional"/>
    <s v="Clinical Laboratory Service"/>
    <x v="0"/>
    <m/>
    <n v="0"/>
    <n v="0"/>
    <n v="0"/>
    <n v="0"/>
    <n v="1271"/>
    <n v="0"/>
    <n v="9703.59"/>
    <n v="635.79999999999995"/>
    <n v="0"/>
    <n v="0"/>
    <n v="0"/>
    <n v="0"/>
    <n v="11610.39"/>
    <n v="0"/>
  </r>
  <r>
    <x v="0"/>
    <x v="7"/>
    <x v="0"/>
    <s v="4700150"/>
    <n v="749510"/>
    <s v="Miscellaneous Expenses"/>
    <s v="Clinical Laboratory Service"/>
    <x v="0"/>
    <m/>
    <n v="0"/>
    <n v="0"/>
    <n v="15.81"/>
    <n v="76.14"/>
    <n v="-91.95"/>
    <n v="15.81"/>
    <n v="-15.81"/>
    <n v="0"/>
    <n v="0"/>
    <n v="0"/>
    <n v="0"/>
    <n v="0"/>
    <n v="0"/>
    <n v="0"/>
  </r>
  <r>
    <x v="0"/>
    <x v="7"/>
    <x v="0"/>
    <s v="4700150"/>
    <n v="749510"/>
    <s v="Licenses"/>
    <s v="Clinical Laboratory Service"/>
    <x v="0"/>
    <n v="1002"/>
    <n v="0"/>
    <n v="0"/>
    <n v="0"/>
    <n v="0"/>
    <n v="0"/>
    <n v="0"/>
    <n v="0"/>
    <n v="0"/>
    <n v="0"/>
    <n v="0"/>
    <n v="5835"/>
    <n v="150"/>
    <n v="5985"/>
    <n v="5685"/>
  </r>
  <r>
    <x v="0"/>
    <x v="7"/>
    <x v="0"/>
    <s v="4700150"/>
    <n v="749510"/>
    <s v="RICE Rewards"/>
    <s v="Clinical Laboratory Service"/>
    <x v="0"/>
    <n v="5100"/>
    <n v="0"/>
    <n v="0"/>
    <n v="0"/>
    <n v="0"/>
    <n v="0"/>
    <n v="0"/>
    <n v="0"/>
    <n v="0"/>
    <n v="0"/>
    <n v="0"/>
    <n v="0"/>
    <n v="611.04"/>
    <n v="611.04"/>
    <n v="-611.04"/>
  </r>
  <r>
    <x v="0"/>
    <x v="7"/>
    <x v="0"/>
    <s v="4700150"/>
    <n v="749530"/>
    <s v="Travel"/>
    <s v="Clinical Laboratory Service"/>
    <x v="0"/>
    <m/>
    <n v="0"/>
    <n v="0"/>
    <n v="0"/>
    <n v="5"/>
    <n v="0"/>
    <n v="0"/>
    <n v="0"/>
    <n v="0"/>
    <n v="0"/>
    <n v="0"/>
    <n v="0"/>
    <n v="0"/>
    <n v="5"/>
    <n v="0"/>
  </r>
  <r>
    <x v="0"/>
    <x v="7"/>
    <x v="0"/>
    <s v="4700150"/>
    <n v="749530"/>
    <s v="Mileage"/>
    <s v="Clinical Laboratory Service"/>
    <x v="0"/>
    <n v="1001"/>
    <n v="0"/>
    <n v="30.53"/>
    <n v="30.53"/>
    <n v="31.62"/>
    <n v="46.33"/>
    <n v="0"/>
    <n v="32.630000000000003"/>
    <n v="16.82"/>
    <n v="0"/>
    <n v="16.82"/>
    <n v="0"/>
    <n v="0"/>
    <n v="205.27999999999997"/>
    <n v="0"/>
  </r>
  <r>
    <x v="0"/>
    <x v="7"/>
    <x v="0"/>
    <s v="4700150"/>
    <n v="766010"/>
    <s v="Property Tax"/>
    <s v="Clinical Laboratory Service"/>
    <x v="0"/>
    <m/>
    <n v="0"/>
    <n v="0"/>
    <n v="0"/>
    <n v="0"/>
    <n v="0"/>
    <n v="0"/>
    <n v="0"/>
    <n v="0"/>
    <n v="0"/>
    <n v="122.12"/>
    <n v="0"/>
    <n v="0"/>
    <n v="122.12"/>
    <n v="0"/>
  </r>
  <r>
    <x v="18"/>
    <x v="10"/>
    <x v="0"/>
    <s v="4700306"/>
    <n v="400010"/>
    <s v="Acute I/P Svcs Rev--Medicare"/>
    <s v="Clinical Laboratory Service"/>
    <x v="0"/>
    <n v="1100"/>
    <n v="-269193.46999999997"/>
    <n v="-187711.66"/>
    <n v="-124775.88"/>
    <n v="-167102.45000000001"/>
    <n v="-217441.05"/>
    <n v="-110094.69"/>
    <n v="-149034.87"/>
    <n v="-129354.53"/>
    <n v="-157831.51"/>
    <n v="-123655.8"/>
    <n v="-171804.52"/>
    <n v="-130807.95"/>
    <n v="-1938808.38"/>
    <n v="-40996.569999999992"/>
  </r>
  <r>
    <x v="18"/>
    <x v="10"/>
    <x v="0"/>
    <s v="4700306"/>
    <n v="400010"/>
    <s v="Acute I/P Svcs Rev--Medicaid"/>
    <s v="Clinical Laboratory Service"/>
    <x v="0"/>
    <n v="1200"/>
    <n v="-27920.87"/>
    <n v="-19281.310000000001"/>
    <n v="0"/>
    <n v="-12018.5"/>
    <n v="15146.73"/>
    <n v="-38088.42"/>
    <n v="-53220.23"/>
    <n v="-17498.37"/>
    <n v="-32148.77"/>
    <n v="-48992.41"/>
    <n v="-40670.629999999997"/>
    <n v="0"/>
    <n v="-274692.77999999997"/>
    <n v="-40670.629999999997"/>
  </r>
  <r>
    <x v="18"/>
    <x v="10"/>
    <x v="0"/>
    <s v="4700306"/>
    <n v="400010"/>
    <s v="Acute I/P Svcs Rev--Comm Insurance"/>
    <s v="Clinical Laboratory Service"/>
    <x v="0"/>
    <n v="1300"/>
    <n v="0"/>
    <n v="0"/>
    <n v="0"/>
    <n v="0"/>
    <n v="0"/>
    <n v="0"/>
    <n v="0"/>
    <n v="-37738.300000000003"/>
    <n v="0"/>
    <n v="0"/>
    <n v="0"/>
    <n v="0"/>
    <n v="-37738.300000000003"/>
    <n v="0"/>
  </r>
  <r>
    <x v="18"/>
    <x v="10"/>
    <x v="0"/>
    <s v="4700306"/>
    <n v="400010"/>
    <s v="Acute I/P Svcs Rev--BCBS Comm"/>
    <s v="Clinical Laboratory Service"/>
    <x v="0"/>
    <n v="1301"/>
    <n v="-7415.6"/>
    <n v="-826.88"/>
    <n v="-9199.15"/>
    <n v="-1777.43"/>
    <n v="-12608.42"/>
    <n v="0"/>
    <n v="-12342.52"/>
    <n v="-27365.37"/>
    <n v="-36825.26"/>
    <n v="-27785.51"/>
    <n v="-4409.6099999999997"/>
    <n v="-7554"/>
    <n v="-148109.75"/>
    <n v="3144.3900000000003"/>
  </r>
  <r>
    <x v="18"/>
    <x v="10"/>
    <x v="0"/>
    <s v="4700306"/>
    <n v="400010"/>
    <s v="Acute I/P Svcs Rev--Managed Care"/>
    <s v="Clinical Laboratory Service"/>
    <x v="0"/>
    <n v="1400"/>
    <n v="95301.63"/>
    <n v="-10288.120000000001"/>
    <n v="-55587.32"/>
    <n v="-60462.55"/>
    <n v="-29628.2"/>
    <n v="-27619.48"/>
    <n v="-25781.97"/>
    <n v="-44279.68"/>
    <n v="-75485.77"/>
    <n v="-37350.300000000003"/>
    <n v="-20004.95"/>
    <n v="-36466.11"/>
    <n v="-327652.82"/>
    <n v="16461.16"/>
  </r>
  <r>
    <x v="18"/>
    <x v="10"/>
    <x v="0"/>
    <s v="4700306"/>
    <n v="400010"/>
    <s v="Acute I/P Svcs Rev--Self Pay"/>
    <s v="Clinical Laboratory Service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4700306"/>
    <n v="400010"/>
    <s v="Acute I/P Svcs Rev--Other"/>
    <s v="Clinical Laboratory Service"/>
    <x v="0"/>
    <n v="1700"/>
    <n v="-6327.14"/>
    <n v="0"/>
    <n v="0"/>
    <n v="0"/>
    <n v="0"/>
    <n v="0"/>
    <n v="-2575.5300000000002"/>
    <n v="-6040.86"/>
    <n v="-1191.32"/>
    <n v="0"/>
    <n v="0"/>
    <n v="0"/>
    <n v="-16134.849999999999"/>
    <n v="0"/>
  </r>
  <r>
    <x v="7"/>
    <x v="10"/>
    <x v="0"/>
    <s v="4700306"/>
    <n v="718050"/>
    <s v="Miscellaneous Purchased Svcs"/>
    <s v="Clinical Laboratory Service"/>
    <x v="0"/>
    <n v="1020"/>
    <n v="37679.089999999997"/>
    <n v="38125.269999999997"/>
    <n v="33135.49"/>
    <n v="42189.89"/>
    <n v="42744"/>
    <n v="30730.29"/>
    <n v="42468.55"/>
    <n v="41151.269999999997"/>
    <n v="47616.42"/>
    <n v="37308.31"/>
    <n v="37167.99"/>
    <n v="27430.52"/>
    <n v="457747.09"/>
    <n v="9737.4699999999975"/>
  </r>
  <r>
    <x v="14"/>
    <x v="3"/>
    <x v="0"/>
    <s v="4701101"/>
    <n v="600026"/>
    <s v="POB Rental"/>
    <s v="SJH Lab Outreach"/>
    <x v="0"/>
    <n v="1001"/>
    <n v="0"/>
    <n v="-13983.58"/>
    <n v="-13983.58"/>
    <n v="-13983.58"/>
    <n v="-13983.58"/>
    <n v="-13983.58"/>
    <n v="-13983.58"/>
    <n v="-13983.58"/>
    <n v="-265801.17"/>
    <n v="-21993.59"/>
    <n v="-21943.8"/>
    <n v="-14686.52"/>
    <n v="-422310.14"/>
    <n v="-7257.2799999999988"/>
  </r>
  <r>
    <x v="14"/>
    <x v="3"/>
    <x v="0"/>
    <s v="4701101"/>
    <n v="600026"/>
    <s v="Other Rental"/>
    <s v="SJH Lab Outreach"/>
    <x v="0"/>
    <n v="1002"/>
    <n v="0"/>
    <n v="-4859.1000000000004"/>
    <n v="-4859.1000000000004"/>
    <n v="-4859.1000000000004"/>
    <n v="-5174.29"/>
    <n v="-5174.29"/>
    <n v="-5174.29"/>
    <n v="-5174.29"/>
    <n v="-48148.07"/>
    <n v="-7943.57"/>
    <n v="-8097.83"/>
    <n v="-8124.02"/>
    <n v="-107587.95000000001"/>
    <n v="26.190000000000509"/>
  </r>
  <r>
    <x v="14"/>
    <x v="3"/>
    <x v="0"/>
    <s v="4701101"/>
    <n v="600050"/>
    <s v="Miscellaneous Revenue"/>
    <s v="SJH Lab Outreach"/>
    <x v="0"/>
    <m/>
    <n v="0"/>
    <n v="-213552.09"/>
    <n v="0"/>
    <n v="0"/>
    <n v="0"/>
    <n v="0"/>
    <n v="0"/>
    <n v="0"/>
    <n v="0"/>
    <n v="0"/>
    <n v="-725.77"/>
    <n v="-33.92"/>
    <n v="-214311.78"/>
    <n v="-691.85"/>
  </r>
  <r>
    <x v="5"/>
    <x v="3"/>
    <x v="0"/>
    <s v="4701101"/>
    <n v="700026"/>
    <s v="Salaries-RN-Productive"/>
    <s v="SJH Lab Outreach"/>
    <x v="0"/>
    <m/>
    <n v="0"/>
    <n v="55.32"/>
    <n v="0"/>
    <n v="0"/>
    <n v="0"/>
    <n v="0"/>
    <n v="0"/>
    <n v="0"/>
    <n v="0"/>
    <n v="0"/>
    <n v="0"/>
    <n v="0"/>
    <n v="55.32"/>
    <n v="0"/>
  </r>
  <r>
    <x v="5"/>
    <x v="3"/>
    <x v="0"/>
    <s v="4701101"/>
    <n v="700026"/>
    <s v="Salaries-RN-Other"/>
    <s v="SJH Lab Outreach"/>
    <x v="0"/>
    <n v="2000"/>
    <n v="0"/>
    <n v="3.25"/>
    <n v="0"/>
    <n v="0"/>
    <n v="0"/>
    <n v="0"/>
    <n v="0"/>
    <n v="0"/>
    <n v="0"/>
    <n v="0"/>
    <n v="0"/>
    <n v="0"/>
    <n v="3.25"/>
    <n v="0"/>
  </r>
  <r>
    <x v="5"/>
    <x v="3"/>
    <x v="0"/>
    <s v="4701101"/>
    <n v="700032"/>
    <s v="Salaries-Other Pat Care Providers-Productive"/>
    <s v="SJH Lab Outreach"/>
    <x v="0"/>
    <m/>
    <n v="0"/>
    <n v="0"/>
    <n v="0"/>
    <n v="0"/>
    <n v="0"/>
    <n v="0"/>
    <n v="0"/>
    <n v="54.66"/>
    <n v="0"/>
    <n v="0"/>
    <n v="0"/>
    <n v="0"/>
    <n v="54.66"/>
    <n v="0"/>
  </r>
  <r>
    <x v="5"/>
    <x v="3"/>
    <x v="0"/>
    <s v="4701101"/>
    <n v="700032"/>
    <s v="Salaries-Other Pat Care Providers-Other"/>
    <s v="SJH Lab Outreach"/>
    <x v="0"/>
    <n v="2000"/>
    <n v="0"/>
    <n v="0"/>
    <n v="0"/>
    <n v="0"/>
    <n v="0"/>
    <n v="0"/>
    <n v="0"/>
    <n v="3.76"/>
    <n v="0"/>
    <n v="0"/>
    <n v="0"/>
    <n v="0"/>
    <n v="3.76"/>
    <n v="0"/>
  </r>
  <r>
    <x v="5"/>
    <x v="3"/>
    <x v="0"/>
    <s v="4701101"/>
    <n v="700054"/>
    <s v="Salaries-Management-NonProd-Other"/>
    <s v="SJH Lab Outreach"/>
    <x v="0"/>
    <n v="2000"/>
    <n v="0"/>
    <n v="0"/>
    <n v="0"/>
    <n v="0"/>
    <n v="0"/>
    <n v="10441.74"/>
    <n v="-10441.74"/>
    <n v="0"/>
    <n v="0"/>
    <n v="0"/>
    <n v="0"/>
    <n v="0"/>
    <n v="0"/>
    <n v="0"/>
  </r>
  <r>
    <x v="5"/>
    <x v="3"/>
    <x v="0"/>
    <s v="4701101"/>
    <n v="700058"/>
    <s v="Salaries-Supervisory-NonProd-Other"/>
    <s v="SJH Lab Outreac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701101"/>
    <n v="700072"/>
    <s v="Salaries-Other Pat Care Providers-NonProd-Other"/>
    <s v="SJH Lab Outreach"/>
    <x v="0"/>
    <n v="2000"/>
    <n v="329.71"/>
    <n v="248.51"/>
    <n v="16.59"/>
    <n v="0"/>
    <n v="0"/>
    <n v="0"/>
    <n v="0"/>
    <n v="0"/>
    <n v="0"/>
    <n v="0"/>
    <n v="0"/>
    <n v="0"/>
    <n v="594.81000000000006"/>
    <n v="0"/>
  </r>
  <r>
    <x v="5"/>
    <x v="3"/>
    <x v="0"/>
    <s v="4701101"/>
    <n v="700078"/>
    <s v="Salaries-Service/Support-NonProd-Other"/>
    <s v="SJH Lab Outreach"/>
    <x v="0"/>
    <n v="2000"/>
    <n v="766.39"/>
    <n v="788.32"/>
    <n v="-827.86"/>
    <n v="0"/>
    <n v="0"/>
    <n v="0"/>
    <n v="0"/>
    <n v="0"/>
    <n v="0"/>
    <n v="0"/>
    <n v="0"/>
    <n v="0"/>
    <n v="726.85"/>
    <n v="0"/>
  </r>
  <r>
    <x v="5"/>
    <x v="3"/>
    <x v="0"/>
    <s v="4701101"/>
    <n v="700084"/>
    <s v="Accrued PTO"/>
    <s v="SJH Lab Outreach"/>
    <x v="0"/>
    <m/>
    <n v="413.71"/>
    <n v="0"/>
    <n v="0"/>
    <n v="214.4"/>
    <n v="0"/>
    <n v="0"/>
    <n v="0"/>
    <n v="0"/>
    <n v="0"/>
    <n v="0"/>
    <n v="0"/>
    <n v="0"/>
    <n v="628.11"/>
    <n v="0"/>
  </r>
  <r>
    <x v="6"/>
    <x v="3"/>
    <x v="0"/>
    <s v="4701101"/>
    <n v="713010"/>
    <s v="Benefits-FICA/Medicare"/>
    <s v="SJH Lab Outreach"/>
    <x v="0"/>
    <m/>
    <n v="83.88"/>
    <n v="83.51"/>
    <n v="-107.17"/>
    <n v="0"/>
    <n v="0"/>
    <n v="798.81"/>
    <n v="1169.8499999999999"/>
    <n v="4.45"/>
    <n v="0"/>
    <n v="0"/>
    <n v="0"/>
    <n v="0"/>
    <n v="2033.33"/>
    <n v="0"/>
  </r>
  <r>
    <x v="6"/>
    <x v="3"/>
    <x v="0"/>
    <s v="4701101"/>
    <n v="713090"/>
    <s v="Benefits-Allocated Amounts"/>
    <s v="SJH Lab Outreach"/>
    <x v="0"/>
    <m/>
    <n v="85.76"/>
    <n v="50.47"/>
    <n v="-34.32"/>
    <n v="0.08"/>
    <n v="-17.21"/>
    <n v="584.61"/>
    <n v="-5.65"/>
    <n v="-526.37"/>
    <n v="-63.43"/>
    <n v="9.09"/>
    <n v="9.2799999999999994"/>
    <n v="9.1199999999999992"/>
    <n v="101.43000000000012"/>
    <n v="0.16000000000000014"/>
  </r>
  <r>
    <x v="7"/>
    <x v="3"/>
    <x v="0"/>
    <s v="4701101"/>
    <n v="718050"/>
    <s v="Contract Svcs-Other"/>
    <s v="SJH Lab Outreach"/>
    <x v="0"/>
    <m/>
    <n v="13545.63"/>
    <n v="2955.74"/>
    <n v="118.5"/>
    <n v="-13468.91"/>
    <n v="48.59"/>
    <n v="49.21"/>
    <n v="51.04"/>
    <n v="304.61"/>
    <n v="127.41"/>
    <n v="86.59"/>
    <n v="18.29"/>
    <n v="-2843.94"/>
    <n v="992.75999999999931"/>
    <n v="2862.23"/>
  </r>
  <r>
    <x v="7"/>
    <x v="3"/>
    <x v="0"/>
    <s v="4701101"/>
    <n v="718050"/>
    <s v="Cleaning Services"/>
    <s v="SJH Lab Outreach"/>
    <x v="0"/>
    <n v="1011"/>
    <n v="0"/>
    <n v="354.75"/>
    <n v="354.75"/>
    <n v="236.5"/>
    <n v="0"/>
    <n v="0"/>
    <n v="0"/>
    <n v="0"/>
    <n v="0"/>
    <n v="0"/>
    <n v="0"/>
    <n v="0"/>
    <n v="946"/>
    <n v="0"/>
  </r>
  <r>
    <x v="7"/>
    <x v="3"/>
    <x v="0"/>
    <s v="4701101"/>
    <n v="718050"/>
    <s v="Document Shredding/Storage"/>
    <s v="SJH Lab Outreach"/>
    <x v="0"/>
    <n v="1012"/>
    <n v="0"/>
    <n v="0"/>
    <n v="0"/>
    <n v="0"/>
    <n v="0"/>
    <n v="0"/>
    <n v="0"/>
    <n v="0"/>
    <n v="71.599999999999994"/>
    <n v="0"/>
    <n v="0"/>
    <n v="0"/>
    <n v="71.599999999999994"/>
    <n v="0"/>
  </r>
  <r>
    <x v="7"/>
    <x v="3"/>
    <x v="0"/>
    <s v="4701101"/>
    <n v="718050"/>
    <s v="Miscellaneous Purchased Svcs"/>
    <s v="SJH Lab Outreach"/>
    <x v="0"/>
    <n v="1020"/>
    <n v="0"/>
    <n v="0"/>
    <n v="214.8"/>
    <n v="0"/>
    <n v="45"/>
    <n v="71.599999999999994"/>
    <n v="0"/>
    <n v="71.599999999999994"/>
    <n v="0"/>
    <n v="0"/>
    <n v="0"/>
    <n v="0"/>
    <n v="403"/>
    <n v="0"/>
  </r>
  <r>
    <x v="7"/>
    <x v="3"/>
    <x v="0"/>
    <s v="4701101"/>
    <n v="718050"/>
    <s v="Translation Services"/>
    <s v="SJH Lab Outreach"/>
    <x v="0"/>
    <n v="1025"/>
    <n v="196.7"/>
    <n v="139.5"/>
    <n v="252.99"/>
    <n v="236.77"/>
    <n v="38.5"/>
    <n v="299.68"/>
    <n v="356.2"/>
    <n v="181.2"/>
    <n v="205"/>
    <n v="48.95"/>
    <n v="294.23"/>
    <n v="105.86"/>
    <n v="2355.5800000000004"/>
    <n v="188.37"/>
  </r>
  <r>
    <x v="7"/>
    <x v="3"/>
    <x v="0"/>
    <s v="4701101"/>
    <n v="718050"/>
    <s v="Purchased Srvcs--Medical Waste"/>
    <s v="SJH Lab Outreach"/>
    <x v="0"/>
    <n v="1027"/>
    <n v="0"/>
    <n v="253.62"/>
    <n v="148.91999999999999"/>
    <n v="157.68"/>
    <n v="131.78"/>
    <n v="131.78"/>
    <n v="131.78"/>
    <n v="147.81"/>
    <n v="137.22999999999999"/>
    <n v="131.78"/>
    <n v="161.72"/>
    <n v="0"/>
    <n v="1534.1"/>
    <n v="161.72"/>
  </r>
  <r>
    <x v="11"/>
    <x v="3"/>
    <x v="0"/>
    <s v="4701101"/>
    <n v="721810"/>
    <s v="Supplies-Dietary/Cafeteria"/>
    <s v="SJH Lab Outreach"/>
    <x v="0"/>
    <m/>
    <n v="0"/>
    <n v="0"/>
    <n v="0"/>
    <n v="0"/>
    <n v="0"/>
    <n v="16.82"/>
    <n v="0"/>
    <n v="0"/>
    <n v="0"/>
    <n v="0"/>
    <n v="0"/>
    <n v="0"/>
    <n v="16.82"/>
    <n v="0"/>
  </r>
  <r>
    <x v="11"/>
    <x v="3"/>
    <x v="0"/>
    <s v="4701101"/>
    <n v="721830"/>
    <s v="Supplies-Office"/>
    <s v="SJH Lab Outreach"/>
    <x v="0"/>
    <m/>
    <n v="0"/>
    <n v="4357.26"/>
    <n v="-634.17999999999995"/>
    <n v="634.17999999999995"/>
    <n v="-2745"/>
    <n v="0"/>
    <n v="0"/>
    <n v="0"/>
    <n v="0"/>
    <n v="0"/>
    <n v="0"/>
    <n v="0"/>
    <n v="1612.2600000000002"/>
    <n v="0"/>
  </r>
  <r>
    <x v="11"/>
    <x v="3"/>
    <x v="0"/>
    <s v="4701101"/>
    <n v="721835"/>
    <s v="Supplies-Forms"/>
    <s v="SJH Lab Outreach"/>
    <x v="0"/>
    <m/>
    <n v="0"/>
    <n v="0"/>
    <n v="0"/>
    <n v="0"/>
    <n v="0"/>
    <n v="0"/>
    <n v="0"/>
    <n v="0"/>
    <n v="0"/>
    <n v="0"/>
    <n v="0"/>
    <n v="0.5"/>
    <n v="0.5"/>
    <n v="-0.5"/>
  </r>
  <r>
    <x v="11"/>
    <x v="3"/>
    <x v="0"/>
    <s v="4701101"/>
    <n v="721870"/>
    <s v="Supplies-Environmental Services"/>
    <s v="SJH Lab Outreach"/>
    <x v="0"/>
    <m/>
    <n v="62.2"/>
    <n v="62.88"/>
    <n v="36.36"/>
    <n v="0"/>
    <n v="51.83"/>
    <n v="0"/>
    <n v="75.72"/>
    <n v="0"/>
    <n v="53.04"/>
    <n v="19.579999999999998"/>
    <n v="42.86"/>
    <n v="0"/>
    <n v="404.47"/>
    <n v="42.86"/>
  </r>
  <r>
    <x v="11"/>
    <x v="3"/>
    <x v="0"/>
    <s v="4701101"/>
    <n v="721980"/>
    <s v="Supplies-Other"/>
    <s v="SJH Lab Outreach"/>
    <x v="0"/>
    <m/>
    <n v="0"/>
    <n v="0"/>
    <n v="0"/>
    <n v="0"/>
    <n v="0"/>
    <n v="0"/>
    <n v="0"/>
    <n v="0"/>
    <n v="0"/>
    <n v="0"/>
    <n v="0"/>
    <n v="163.18"/>
    <n v="163.18"/>
    <n v="-163.18"/>
  </r>
  <r>
    <x v="12"/>
    <x v="3"/>
    <x v="0"/>
    <s v="4701101"/>
    <n v="730010"/>
    <s v="Rental and Leases-Building (DO NOT USE)"/>
    <s v="SJH Lab Outreach"/>
    <x v="0"/>
    <m/>
    <n v="67848.5"/>
    <n v="34355.379999999997"/>
    <n v="52949.440000000002"/>
    <n v="43501.39"/>
    <n v="35051.39"/>
    <n v="-11026.01"/>
    <n v="23747.279999999999"/>
    <n v="-246252.72"/>
    <n v="293747.28000000003"/>
    <n v="17833.22"/>
    <n v="23751.759999999998"/>
    <n v="4442.04"/>
    <n v="339948.95"/>
    <n v="19309.719999999998"/>
  </r>
  <r>
    <x v="12"/>
    <x v="3"/>
    <x v="0"/>
    <s v="4701101"/>
    <n v="730010"/>
    <s v="Rental-Common Area Maint (DO NOT USE)"/>
    <s v="SJH Lab Outreach"/>
    <x v="0"/>
    <n v="2200"/>
    <n v="0"/>
    <n v="0"/>
    <n v="0"/>
    <n v="0"/>
    <n v="0"/>
    <n v="42392.83"/>
    <n v="7987.91"/>
    <n v="7873.4"/>
    <n v="7922.99"/>
    <n v="11210.18"/>
    <n v="7926.27"/>
    <n v="3046.43"/>
    <n v="88360.01"/>
    <n v="4879.84"/>
  </r>
  <r>
    <x v="12"/>
    <x v="3"/>
    <x v="0"/>
    <s v="4701101"/>
    <n v="730020"/>
    <s v="Rental and Leases-Copier Usage Fees (DO NOT USE)"/>
    <s v="SJH Lab Outreach"/>
    <x v="0"/>
    <n v="5100"/>
    <n v="2900.05"/>
    <n v="2961.43"/>
    <n v="2930.74"/>
    <n v="2930.74"/>
    <n v="2930.74"/>
    <n v="2930.74"/>
    <n v="897.17"/>
    <n v="2347.19"/>
    <n v="2342.2600000000002"/>
    <n v="2492.0500000000002"/>
    <n v="2333.64"/>
    <n v="2487"/>
    <n v="30483.749999999996"/>
    <n v="-153.36000000000013"/>
  </r>
  <r>
    <x v="12"/>
    <x v="3"/>
    <x v="0"/>
    <s v="4701101"/>
    <n v="730040"/>
    <s v="LT Lease-Real Estate"/>
    <s v="SJH Lab Outreach"/>
    <x v="0"/>
    <m/>
    <n v="0"/>
    <n v="0"/>
    <n v="0"/>
    <n v="0"/>
    <n v="0"/>
    <n v="0"/>
    <n v="0"/>
    <n v="0"/>
    <n v="0"/>
    <n v="0"/>
    <n v="0"/>
    <n v="23821.74"/>
    <n v="23821.74"/>
    <n v="-23821.74"/>
  </r>
  <r>
    <x v="15"/>
    <x v="3"/>
    <x v="0"/>
    <s v="4701101"/>
    <n v="731010"/>
    <s v="Natural Gas"/>
    <s v="SJH Lab Outreach"/>
    <x v="0"/>
    <m/>
    <n v="3.21"/>
    <n v="0.9"/>
    <n v="1.1499999999999999"/>
    <n v="4.12"/>
    <n v="6.92"/>
    <n v="10.029999999999999"/>
    <n v="11.75"/>
    <n v="10.77"/>
    <n v="14.05"/>
    <n v="5.39"/>
    <n v="4.46"/>
    <n v="1.82"/>
    <n v="74.569999999999979"/>
    <n v="2.6399999999999997"/>
  </r>
  <r>
    <x v="15"/>
    <x v="3"/>
    <x v="0"/>
    <s v="4701101"/>
    <n v="731020"/>
    <s v="Electricity"/>
    <s v="SJH Lab Outreach"/>
    <x v="0"/>
    <m/>
    <n v="61.49"/>
    <n v="74.5"/>
    <n v="69.19"/>
    <n v="57.8"/>
    <n v="60.07"/>
    <n v="66.42"/>
    <n v="64.569999999999993"/>
    <n v="66.03"/>
    <n v="71.739999999999995"/>
    <n v="61.79"/>
    <n v="60.22"/>
    <n v="61.89"/>
    <n v="775.71"/>
    <n v="-1.6700000000000017"/>
  </r>
  <r>
    <x v="15"/>
    <x v="3"/>
    <x v="0"/>
    <s v="4701101"/>
    <n v="731060"/>
    <s v="Telephone"/>
    <s v="SJH Lab Outreach"/>
    <x v="0"/>
    <m/>
    <n v="4734.07"/>
    <n v="9615.82"/>
    <n v="1661.76"/>
    <n v="4549.2299999999996"/>
    <n v="4114.08"/>
    <n v="4616.71"/>
    <n v="6012.45"/>
    <n v="1826.93"/>
    <n v="5286.78"/>
    <n v="4565.5"/>
    <n v="5113.04"/>
    <n v="3425.57"/>
    <n v="55521.939999999995"/>
    <n v="1687.4699999999998"/>
  </r>
  <r>
    <x v="15"/>
    <x v="3"/>
    <x v="0"/>
    <s v="4701101"/>
    <n v="731060"/>
    <s v="Pagers"/>
    <s v="SJH Lab Outreach"/>
    <x v="0"/>
    <n v="1002"/>
    <n v="8.1"/>
    <n v="8.1"/>
    <n v="8.1"/>
    <n v="8.1199999999999992"/>
    <n v="8.1199999999999992"/>
    <n v="0"/>
    <n v="0"/>
    <n v="0"/>
    <n v="0"/>
    <n v="0"/>
    <n v="0"/>
    <n v="0"/>
    <n v="40.539999999999992"/>
    <n v="0"/>
  </r>
  <r>
    <x v="16"/>
    <x v="3"/>
    <x v="0"/>
    <s v="4701101"/>
    <n v="732030"/>
    <s v="Repairs---Other"/>
    <s v="SJH Lab Outreach"/>
    <x v="0"/>
    <m/>
    <n v="0"/>
    <n v="0"/>
    <n v="0"/>
    <n v="0"/>
    <n v="0"/>
    <n v="0"/>
    <n v="0"/>
    <n v="0"/>
    <n v="0"/>
    <n v="0"/>
    <n v="0"/>
    <n v="163.18"/>
    <n v="163.18"/>
    <n v="-163.18"/>
  </r>
  <r>
    <x v="16"/>
    <x v="3"/>
    <x v="0"/>
    <s v="4701101"/>
    <n v="732030"/>
    <s v="Repairs&amp;Maintenance-Bldg Routine"/>
    <s v="SJH Lab Outreach"/>
    <x v="0"/>
    <n v="2300"/>
    <n v="630"/>
    <n v="0"/>
    <n v="0"/>
    <n v="0"/>
    <n v="0"/>
    <n v="0"/>
    <n v="0"/>
    <n v="423.52"/>
    <n v="694.39"/>
    <n v="0"/>
    <n v="3.37"/>
    <n v="6.74"/>
    <n v="1758.0199999999998"/>
    <n v="-3.37"/>
  </r>
  <r>
    <x v="0"/>
    <x v="3"/>
    <x v="0"/>
    <s v="4701101"/>
    <n v="742030"/>
    <s v="Freight-Courier"/>
    <s v="SJH Lab Outreach"/>
    <x v="0"/>
    <m/>
    <n v="0"/>
    <n v="0"/>
    <n v="0"/>
    <n v="13495.07"/>
    <n v="0"/>
    <n v="0"/>
    <n v="0"/>
    <n v="0"/>
    <n v="0"/>
    <n v="0"/>
    <n v="0"/>
    <n v="2843.94"/>
    <n v="16339.01"/>
    <n v="-2843.94"/>
  </r>
  <r>
    <x v="0"/>
    <x v="3"/>
    <x v="0"/>
    <s v="4701101"/>
    <n v="749510"/>
    <s v="Miscellaneous Expenses"/>
    <s v="SJH Lab Outreach"/>
    <x v="0"/>
    <m/>
    <n v="70.400000000000006"/>
    <n v="0"/>
    <n v="-214.41"/>
    <n v="17.600000000000001"/>
    <n v="0"/>
    <n v="0"/>
    <n v="0"/>
    <n v="0"/>
    <n v="0"/>
    <n v="0"/>
    <n v="0"/>
    <n v="0"/>
    <n v="-126.41"/>
    <n v="0"/>
  </r>
  <r>
    <x v="0"/>
    <x v="3"/>
    <x v="0"/>
    <s v="4701101"/>
    <n v="749530"/>
    <s v="Mileage"/>
    <s v="SJH Lab Outreach"/>
    <x v="0"/>
    <n v="1001"/>
    <n v="0"/>
    <n v="0"/>
    <n v="249.61"/>
    <n v="0"/>
    <n v="0"/>
    <n v="0"/>
    <n v="0"/>
    <n v="0"/>
    <n v="0"/>
    <n v="0"/>
    <n v="0"/>
    <n v="0"/>
    <n v="249.61"/>
    <n v="0"/>
  </r>
  <r>
    <x v="12"/>
    <x v="5"/>
    <x v="0"/>
    <s v="4701106"/>
    <n v="730020"/>
    <s v="Rental and Leases-Copier Usage Fees (DO NOT USE)"/>
    <s v="Lab Outreach"/>
    <x v="0"/>
    <n v="5100"/>
    <n v="10.98"/>
    <n v="8.5500000000000007"/>
    <n v="9.77"/>
    <n v="9.77"/>
    <n v="9.77"/>
    <n v="9.77"/>
    <n v="92.5"/>
    <n v="9.69"/>
    <n v="9.67"/>
    <n v="9.7100000000000009"/>
    <n v="9.69"/>
    <n v="9.69"/>
    <n v="199.56"/>
    <n v="0"/>
  </r>
  <r>
    <x v="16"/>
    <x v="5"/>
    <x v="0"/>
    <s v="4701106"/>
    <n v="732030"/>
    <s v="Repairs---Other"/>
    <s v="Lab Outreach"/>
    <x v="0"/>
    <m/>
    <n v="0"/>
    <n v="0"/>
    <n v="0"/>
    <n v="0"/>
    <n v="53.88"/>
    <n v="0"/>
    <n v="0"/>
    <n v="0"/>
    <n v="0"/>
    <n v="0"/>
    <n v="0"/>
    <n v="0"/>
    <n v="53.88"/>
    <n v="0"/>
  </r>
  <r>
    <x v="18"/>
    <x v="6"/>
    <x v="0"/>
    <s v="4701107"/>
    <n v="400010"/>
    <s v="Acute I/P Svcs Rev--Medicare"/>
    <s v="Clinical Lab-Silverdale"/>
    <x v="0"/>
    <n v="1100"/>
    <n v="-109981.73"/>
    <n v="-126054.06"/>
    <n v="-139295.82999999999"/>
    <n v="-104462.12"/>
    <n v="-102644.51"/>
    <n v="-85081.06"/>
    <n v="-130437.05"/>
    <n v="-134714.01999999999"/>
    <n v="-140698.75"/>
    <n v="-147468.85"/>
    <n v="-141522.1"/>
    <n v="-127853.79"/>
    <n v="-1490213.8700000003"/>
    <n v="-13668.310000000012"/>
  </r>
  <r>
    <x v="18"/>
    <x v="6"/>
    <x v="0"/>
    <s v="4701107"/>
    <n v="400010"/>
    <s v="Acute I/P Svcs Rev--Medicaid"/>
    <s v="Clinical Lab-Silverdale"/>
    <x v="0"/>
    <n v="1200"/>
    <n v="-167683.78"/>
    <n v="-165859.35999999999"/>
    <n v="-160399.32999999999"/>
    <n v="-128799.21"/>
    <n v="-127409.81"/>
    <n v="-147254.46"/>
    <n v="-165552.45000000001"/>
    <n v="-130991.4"/>
    <n v="-187723.33"/>
    <n v="-190856.66"/>
    <n v="-145396.94"/>
    <n v="-152123.82999999999"/>
    <n v="-1870050.5599999998"/>
    <n v="6726.8899999999849"/>
  </r>
  <r>
    <x v="18"/>
    <x v="6"/>
    <x v="0"/>
    <s v="4701107"/>
    <n v="400010"/>
    <s v="Acute I/P Svcs Rev--Comm Insurance"/>
    <s v="Clinical Lab-Silverdale"/>
    <x v="0"/>
    <n v="1300"/>
    <n v="-5525.91"/>
    <n v="-18174.18"/>
    <n v="-18693.05"/>
    <n v="-13104.36"/>
    <n v="-19622.98"/>
    <n v="-9516.7900000000009"/>
    <n v="-5996.96"/>
    <n v="-9181.33"/>
    <n v="-21732.28"/>
    <n v="-8918.18"/>
    <n v="-19567.14"/>
    <n v="-18616.36"/>
    <n v="-168649.51999999996"/>
    <n v="-950.77999999999884"/>
  </r>
  <r>
    <x v="18"/>
    <x v="6"/>
    <x v="0"/>
    <s v="4701107"/>
    <n v="400010"/>
    <s v="Acute I/P Svcs Rev--BCBS Comm"/>
    <s v="Clinical Lab-Silverdale"/>
    <x v="0"/>
    <n v="1301"/>
    <n v="-62088.98"/>
    <n v="-61362.2"/>
    <n v="-65962.84"/>
    <n v="-70651.41"/>
    <n v="-85659.89"/>
    <n v="-46703.97"/>
    <n v="-61868.92"/>
    <n v="-65011.35"/>
    <n v="-79764.28"/>
    <n v="-59890.41"/>
    <n v="-59303.75"/>
    <n v="-64175.32"/>
    <n v="-782443.32"/>
    <n v="4871.57"/>
  </r>
  <r>
    <x v="18"/>
    <x v="6"/>
    <x v="0"/>
    <s v="4701107"/>
    <n v="400010"/>
    <s v="Acute I/P Svcs Rev--Managed Care"/>
    <s v="Clinical Lab-Silverdale"/>
    <x v="0"/>
    <n v="1400"/>
    <n v="-106108.39"/>
    <n v="-88128.95"/>
    <n v="-106801.85"/>
    <n v="-109700.29"/>
    <n v="-89136.95"/>
    <n v="-112609.55"/>
    <n v="-107513.74"/>
    <n v="-94363.71"/>
    <n v="-72791.8"/>
    <n v="-61631.75"/>
    <n v="-82593.240000000005"/>
    <n v="-112700.04"/>
    <n v="-1144080.26"/>
    <n v="30106.799999999988"/>
  </r>
  <r>
    <x v="18"/>
    <x v="6"/>
    <x v="0"/>
    <s v="4701107"/>
    <n v="400010"/>
    <s v="Acute I/P Svcs Rev--Self Pay"/>
    <s v="Clinical Lab-Silverdale"/>
    <x v="0"/>
    <n v="1500"/>
    <n v="-4916.8599999999997"/>
    <n v="-6245.91"/>
    <n v="-6355.93"/>
    <n v="1017.83"/>
    <n v="-4457.3999999999996"/>
    <n v="-4951.59"/>
    <n v="-1481.54"/>
    <n v="-8959.0300000000007"/>
    <n v="-12335.29"/>
    <n v="-4120.3900000000003"/>
    <n v="-5027.25"/>
    <n v="-1767.81"/>
    <n v="-59601.17"/>
    <n v="-3259.44"/>
  </r>
  <r>
    <x v="18"/>
    <x v="6"/>
    <x v="0"/>
    <s v="4701107"/>
    <n v="400010"/>
    <s v="Acute I/P Svcs Rev--Other"/>
    <s v="Clinical Lab-Silverdale"/>
    <x v="0"/>
    <n v="1700"/>
    <n v="-49761.13"/>
    <n v="-57954.7"/>
    <n v="-71007.38"/>
    <n v="-61324.42"/>
    <n v="-53465.2"/>
    <n v="-45855.15"/>
    <n v="-52570.43"/>
    <n v="-30279.360000000001"/>
    <n v="-55639.48"/>
    <n v="-45631.12"/>
    <n v="-42971.25"/>
    <n v="-40581.72"/>
    <n v="-607041.34"/>
    <n v="-2389.5299999999988"/>
  </r>
  <r>
    <x v="19"/>
    <x v="6"/>
    <x v="0"/>
    <s v="4701107"/>
    <n v="400020"/>
    <s v="O/P Care Svcs Rev--Medicare"/>
    <s v="Clinical Lab-Silverdale"/>
    <x v="0"/>
    <n v="1100"/>
    <n v="-224971.11"/>
    <n v="-219122.07"/>
    <n v="-214605.94"/>
    <n v="-231555.02"/>
    <n v="-217501.77"/>
    <n v="-247665.32"/>
    <n v="-204428.49"/>
    <n v="-214698.25"/>
    <n v="-296161.34000000003"/>
    <n v="-262498.64"/>
    <n v="-261063.15"/>
    <n v="-282470.17"/>
    <n v="-2876741.27"/>
    <n v="21407.01999999999"/>
  </r>
  <r>
    <x v="19"/>
    <x v="6"/>
    <x v="0"/>
    <s v="4701107"/>
    <n v="400020"/>
    <s v="O/P Care Svcs Rev--Medicaid"/>
    <s v="Clinical Lab-Silverdale"/>
    <x v="0"/>
    <n v="1200"/>
    <n v="-214105.52"/>
    <n v="-231602.54"/>
    <n v="-207427.25"/>
    <n v="-208206.19"/>
    <n v="-236338.43"/>
    <n v="-232852.47"/>
    <n v="-248817.2"/>
    <n v="-249495.72"/>
    <n v="-292154.11"/>
    <n v="-251557.07"/>
    <n v="-266220.55"/>
    <n v="-261904.63"/>
    <n v="-2900681.6799999992"/>
    <n v="-4315.9199999999837"/>
  </r>
  <r>
    <x v="19"/>
    <x v="6"/>
    <x v="0"/>
    <s v="4701107"/>
    <n v="400020"/>
    <s v="O/P Care Svcs Rev--Comm Insurance"/>
    <s v="Clinical Lab-Silverdale"/>
    <x v="0"/>
    <n v="1300"/>
    <n v="-21213.38"/>
    <n v="-11228.87"/>
    <n v="-12367.26"/>
    <n v="-19129.28"/>
    <n v="-20709.88"/>
    <n v="-14771.3"/>
    <n v="-17408.09"/>
    <n v="-27882.51"/>
    <n v="-20471.259999999998"/>
    <n v="-18392.79"/>
    <n v="-20108.48"/>
    <n v="-18748.400000000001"/>
    <n v="-222431.50000000003"/>
    <n v="-1360.0799999999981"/>
  </r>
  <r>
    <x v="19"/>
    <x v="6"/>
    <x v="0"/>
    <s v="4701107"/>
    <n v="400020"/>
    <s v="O/P Care Svcs Rev--BCBS Comm"/>
    <s v="Clinical Lab-Silverdale"/>
    <x v="0"/>
    <n v="1301"/>
    <n v="-72819.899999999994"/>
    <n v="-64323.15"/>
    <n v="-62110.52"/>
    <n v="-81508.41"/>
    <n v="-81975.5"/>
    <n v="-99075.69"/>
    <n v="-72931.490000000005"/>
    <n v="-82045.97"/>
    <n v="-75240.36"/>
    <n v="-90823.679999999993"/>
    <n v="-90553.3"/>
    <n v="-92830.14"/>
    <n v="-966238.11"/>
    <n v="2276.8399999999965"/>
  </r>
  <r>
    <x v="19"/>
    <x v="6"/>
    <x v="0"/>
    <s v="4701107"/>
    <n v="400020"/>
    <s v="O/P Care Svcs Rev--Managed Care"/>
    <s v="Clinical Lab-Silverdale"/>
    <x v="0"/>
    <n v="1400"/>
    <n v="-134015.04999999999"/>
    <n v="-148968.25"/>
    <n v="-157779.01999999999"/>
    <n v="-168556.38"/>
    <n v="-139466.63"/>
    <n v="-173573.67"/>
    <n v="-150318.10999999999"/>
    <n v="-133021.91"/>
    <n v="-164594.09"/>
    <n v="-163243.48000000001"/>
    <n v="-180514.45"/>
    <n v="-147462.81"/>
    <n v="-1861513.8499999999"/>
    <n v="-33051.640000000014"/>
  </r>
  <r>
    <x v="19"/>
    <x v="6"/>
    <x v="0"/>
    <s v="4701107"/>
    <n v="400020"/>
    <s v="O/P Care Svcs Rev--Self Pay"/>
    <s v="Clinical Lab-Silverdale"/>
    <x v="0"/>
    <n v="1500"/>
    <n v="-23546.12"/>
    <n v="-31557.38"/>
    <n v="-15901.9"/>
    <n v="-31045.29"/>
    <n v="-24945.77"/>
    <n v="-22836.69"/>
    <n v="-19778.68"/>
    <n v="-28558.85"/>
    <n v="-31668.080000000002"/>
    <n v="-26568.57"/>
    <n v="-29167.98"/>
    <n v="-25796.98"/>
    <n v="-311372.28999999998"/>
    <n v="-3371"/>
  </r>
  <r>
    <x v="19"/>
    <x v="6"/>
    <x v="0"/>
    <s v="4701107"/>
    <n v="400020"/>
    <s v="O/P Care Svcs Rev--Other"/>
    <s v="Clinical Lab-Silverdale"/>
    <x v="0"/>
    <n v="1700"/>
    <n v="-119050.35"/>
    <n v="-98494.52"/>
    <n v="-113570.98"/>
    <n v="-89622.97"/>
    <n v="-103576.75"/>
    <n v="-130977.19"/>
    <n v="-88643.26"/>
    <n v="-151609.06"/>
    <n v="-155060.29"/>
    <n v="-117153.45"/>
    <n v="-113773.09"/>
    <n v="-117116.59"/>
    <n v="-1398648.5000000002"/>
    <n v="3343.5"/>
  </r>
  <r>
    <x v="5"/>
    <x v="6"/>
    <x v="0"/>
    <s v="4701107"/>
    <n v="700018"/>
    <s v="Salaries-Supervisory-Productive"/>
    <s v="Clinical Lab-Silverdale"/>
    <x v="0"/>
    <m/>
    <n v="5281.49"/>
    <n v="3160.84"/>
    <n v="6321.52"/>
    <n v="6640.56"/>
    <n v="6471.26"/>
    <n v="4055.55"/>
    <n v="5487.47"/>
    <n v="5854.41"/>
    <n v="6329.73"/>
    <n v="5746.24"/>
    <n v="6092.11"/>
    <n v="5832.97"/>
    <n v="67274.14999999998"/>
    <n v="259.13999999999942"/>
  </r>
  <r>
    <x v="5"/>
    <x v="6"/>
    <x v="0"/>
    <s v="4701107"/>
    <n v="700032"/>
    <s v="Salaries-Other Pat Care Providers-Productive"/>
    <s v="Clinical Lab-Silverdale"/>
    <x v="0"/>
    <m/>
    <n v="37275.22"/>
    <n v="37333.22"/>
    <n v="39198.28"/>
    <n v="44028.88"/>
    <n v="46875.93"/>
    <n v="49759.38"/>
    <n v="51684.29"/>
    <n v="46895.95"/>
    <n v="47784.73"/>
    <n v="45596.5"/>
    <n v="48022.71"/>
    <n v="42932.66"/>
    <n v="537387.75"/>
    <n v="5090.0499999999956"/>
  </r>
  <r>
    <x v="5"/>
    <x v="6"/>
    <x v="0"/>
    <s v="4701107"/>
    <n v="700032"/>
    <s v="Salaries-Other Pat Care Providers-OT"/>
    <s v="Clinical Lab-Silverdale"/>
    <x v="0"/>
    <n v="1000"/>
    <n v="500.96"/>
    <n v="381.11"/>
    <n v="467.16"/>
    <n v="454.48"/>
    <n v="996.73"/>
    <n v="317.41000000000003"/>
    <n v="320.75"/>
    <n v="356.26"/>
    <n v="291.64"/>
    <n v="1501.82"/>
    <n v="780.53"/>
    <n v="333.19"/>
    <n v="6702.0399999999991"/>
    <n v="447.34"/>
  </r>
  <r>
    <x v="5"/>
    <x v="6"/>
    <x v="0"/>
    <s v="4701107"/>
    <n v="700032"/>
    <s v="Salaries-Other Pat Care Providers-Other"/>
    <s v="Clinical Lab-Silverdale"/>
    <x v="0"/>
    <n v="2000"/>
    <n v="2199.9699999999998"/>
    <n v="1747.63"/>
    <n v="1822.3"/>
    <n v="1862.94"/>
    <n v="2132.65"/>
    <n v="2594.59"/>
    <n v="2691.58"/>
    <n v="2237.7600000000002"/>
    <n v="2583.35"/>
    <n v="2275.11"/>
    <n v="2097.13"/>
    <n v="1829.3"/>
    <n v="26074.309999999998"/>
    <n v="267.83000000000015"/>
  </r>
  <r>
    <x v="5"/>
    <x v="6"/>
    <x v="0"/>
    <s v="4701107"/>
    <n v="700034"/>
    <s v="Salaries-Tech/Professional-Productive"/>
    <s v="Clinical Lab-Silverdale"/>
    <x v="0"/>
    <m/>
    <n v="3942.4"/>
    <n v="4621.51"/>
    <n v="8176.67"/>
    <n v="8897.09"/>
    <n v="6879.8"/>
    <n v="8942.9699999999993"/>
    <n v="8079.85"/>
    <n v="7457.1"/>
    <n v="7764.05"/>
    <n v="8838.94"/>
    <n v="8700.15"/>
    <n v="8126.67"/>
    <n v="90427.199999999997"/>
    <n v="573.47999999999956"/>
  </r>
  <r>
    <x v="5"/>
    <x v="6"/>
    <x v="0"/>
    <s v="4701107"/>
    <n v="700034"/>
    <s v="Salaries-Tech/Professional-OT"/>
    <s v="Clinical Lab-Silverdale"/>
    <x v="0"/>
    <n v="1000"/>
    <n v="35.75"/>
    <n v="355.51"/>
    <n v="1112.3499999999999"/>
    <n v="-183.87"/>
    <n v="355.11"/>
    <n v="379.69"/>
    <n v="146.80000000000001"/>
    <n v="397.48"/>
    <n v="441.63"/>
    <n v="1061.3"/>
    <n v="407.22"/>
    <n v="685.84"/>
    <n v="5194.8100000000004"/>
    <n v="-278.62"/>
  </r>
  <r>
    <x v="5"/>
    <x v="6"/>
    <x v="0"/>
    <s v="4701107"/>
    <n v="700034"/>
    <s v="Salaries-Tech/Professional-Other"/>
    <s v="Clinical Lab-Silverdale"/>
    <x v="0"/>
    <n v="2000"/>
    <n v="344.04"/>
    <n v="564.11"/>
    <n v="501.07"/>
    <n v="549.46"/>
    <n v="767.94"/>
    <n v="630.44000000000005"/>
    <n v="481.59"/>
    <n v="553.67999999999995"/>
    <n v="531.79999999999995"/>
    <n v="556.79999999999995"/>
    <n v="591.78"/>
    <n v="736.25"/>
    <n v="6808.96"/>
    <n v="-144.47000000000003"/>
  </r>
  <r>
    <x v="5"/>
    <x v="6"/>
    <x v="0"/>
    <s v="4701107"/>
    <n v="700054"/>
    <s v="Salaries-Management-NonProd-Other"/>
    <s v="Clinical Lab-Silverdale"/>
    <x v="0"/>
    <n v="2000"/>
    <n v="0"/>
    <n v="0"/>
    <n v="0"/>
    <n v="0"/>
    <n v="0"/>
    <n v="2141.0500000000002"/>
    <n v="-2141.0500000000002"/>
    <n v="0"/>
    <n v="0"/>
    <n v="0"/>
    <n v="0"/>
    <n v="0"/>
    <n v="0"/>
    <n v="0"/>
  </r>
  <r>
    <x v="5"/>
    <x v="6"/>
    <x v="0"/>
    <s v="4701107"/>
    <n v="700058"/>
    <s v="Salaries-Supervisory-Non-productive"/>
    <s v="Clinical Lab-Silverdale"/>
    <x v="0"/>
    <m/>
    <n v="1164.48"/>
    <n v="3285.43"/>
    <n v="-83.11"/>
    <n v="0"/>
    <n v="0"/>
    <n v="2631.62"/>
    <n v="1210.1500000000001"/>
    <n v="194.46"/>
    <n v="367.26"/>
    <n v="734.52"/>
    <n v="604.89"/>
    <n v="648.07000000000005"/>
    <n v="10757.769999999999"/>
    <n v="-43.180000000000064"/>
  </r>
  <r>
    <x v="5"/>
    <x v="6"/>
    <x v="0"/>
    <s v="4701107"/>
    <n v="700058"/>
    <s v="Salaries-Supervisory-NonProd-Other"/>
    <s v="Clinical Lab-Silverdale"/>
    <x v="0"/>
    <n v="2000"/>
    <n v="0"/>
    <n v="0"/>
    <n v="0"/>
    <n v="0"/>
    <n v="435"/>
    <n v="0"/>
    <n v="0"/>
    <n v="-435"/>
    <n v="0"/>
    <n v="0"/>
    <n v="0"/>
    <n v="0"/>
    <n v="0"/>
    <n v="0"/>
  </r>
  <r>
    <x v="5"/>
    <x v="6"/>
    <x v="0"/>
    <s v="4701107"/>
    <n v="700072"/>
    <s v="Salaries-Other Pat Care Providers-Non-productive"/>
    <s v="Clinical Lab-Silverdale"/>
    <x v="0"/>
    <m/>
    <n v="3514.04"/>
    <n v="3028.85"/>
    <n v="4034.77"/>
    <n v="2128.84"/>
    <n v="12687.72"/>
    <n v="6169.68"/>
    <n v="2360.33"/>
    <n v="2619.4499999999998"/>
    <n v="6953.58"/>
    <n v="4979.3999999999996"/>
    <n v="2379.8200000000002"/>
    <n v="5859.09"/>
    <n v="56715.570000000007"/>
    <n v="-3479.27"/>
  </r>
  <r>
    <x v="5"/>
    <x v="6"/>
    <x v="0"/>
    <s v="4701107"/>
    <n v="700072"/>
    <s v="Salaries-Other Pat Care Providers-NonProd-Other"/>
    <s v="Clinical Lab-Silverdale"/>
    <x v="0"/>
    <n v="2000"/>
    <n v="43.2"/>
    <n v="233.48"/>
    <n v="116.9"/>
    <n v="23.5"/>
    <n v="157.02000000000001"/>
    <n v="149.66999999999999"/>
    <n v="37.17"/>
    <n v="83.77"/>
    <n v="-1.55"/>
    <n v="104.91"/>
    <n v="36.369999999999997"/>
    <n v="93.21"/>
    <n v="1077.6499999999999"/>
    <n v="-56.839999999999996"/>
  </r>
  <r>
    <x v="5"/>
    <x v="6"/>
    <x v="0"/>
    <s v="4701107"/>
    <n v="700074"/>
    <s v="Salaries-Tech/Professional-Non-productive"/>
    <s v="Clinical Lab-Silverdale"/>
    <x v="0"/>
    <m/>
    <n v="956.18"/>
    <n v="278.11"/>
    <n v="473.15"/>
    <n v="-126.16"/>
    <n v="1513.43"/>
    <n v="493.17"/>
    <n v="2164.4299999999998"/>
    <n v="432.32"/>
    <n v="157.41"/>
    <n v="0"/>
    <n v="312.60000000000002"/>
    <n v="910.09"/>
    <n v="7564.73"/>
    <n v="-597.49"/>
  </r>
  <r>
    <x v="5"/>
    <x v="6"/>
    <x v="0"/>
    <s v="4701107"/>
    <n v="700074"/>
    <s v="Salaries-Tech/Professional-NonProd-Other"/>
    <s v="Clinical Lab-Silverdale"/>
    <x v="0"/>
    <n v="2000"/>
    <n v="0"/>
    <n v="24.84"/>
    <n v="31.71"/>
    <n v="-8.4499999999999993"/>
    <n v="85.62"/>
    <n v="-14"/>
    <n v="60.23"/>
    <n v="18.850000000000001"/>
    <n v="-5.29"/>
    <n v="0"/>
    <n v="20.52"/>
    <n v="42"/>
    <n v="256.02999999999997"/>
    <n v="-21.48"/>
  </r>
  <r>
    <x v="5"/>
    <x v="6"/>
    <x v="0"/>
    <s v="4701107"/>
    <n v="700084"/>
    <s v="Accrued PTO"/>
    <s v="Clinical Lab-Silverdale"/>
    <x v="0"/>
    <m/>
    <n v="369.09"/>
    <n v="2080.27"/>
    <n v="1704.36"/>
    <n v="3391.17"/>
    <n v="233.98"/>
    <n v="-2972.86"/>
    <n v="941.74"/>
    <n v="3525.51"/>
    <n v="372.59"/>
    <n v="756.47"/>
    <n v="3498.28"/>
    <n v="1533.58"/>
    <n v="15434.18"/>
    <n v="1964.7000000000003"/>
  </r>
  <r>
    <x v="10"/>
    <x v="6"/>
    <x v="0"/>
    <s v="4701107"/>
    <n v="710060"/>
    <s v="Contract Labor-Other"/>
    <s v="Clinical Lab-Silverdale"/>
    <x v="0"/>
    <m/>
    <n v="23612.81"/>
    <n v="22041.5"/>
    <n v="14664.68"/>
    <n v="15822.07"/>
    <n v="13970"/>
    <n v="3937.5"/>
    <n v="15174.98"/>
    <n v="8300.01"/>
    <n v="5850"/>
    <n v="6000"/>
    <n v="-4000"/>
    <n v="5667.5"/>
    <n v="131041.04999999999"/>
    <n v="-9667.5"/>
  </r>
  <r>
    <x v="10"/>
    <x v="6"/>
    <x v="0"/>
    <s v="4701107"/>
    <n v="710060"/>
    <s v="Contract Labor-Overtime"/>
    <s v="Clinical Lab-Silverdale"/>
    <x v="0"/>
    <n v="5100"/>
    <n v="731.68"/>
    <n v="67.510000000000005"/>
    <n v="236.25"/>
    <n v="697.93"/>
    <n v="226.46"/>
    <n v="50.62"/>
    <n v="1063.1300000000001"/>
    <n v="0"/>
    <n v="540.01"/>
    <n v="388.13"/>
    <n v="-354.38"/>
    <n v="174.15"/>
    <n v="3821.4900000000002"/>
    <n v="-528.53"/>
  </r>
  <r>
    <x v="6"/>
    <x v="6"/>
    <x v="0"/>
    <s v="4701107"/>
    <n v="713010"/>
    <s v="Benefits-FICA/Medicare"/>
    <s v="Clinical Lab-Silverdale"/>
    <x v="0"/>
    <m/>
    <n v="4157.04"/>
    <n v="4221.43"/>
    <n v="4719.9399999999996"/>
    <n v="4871.59"/>
    <n v="6029.07"/>
    <n v="6059.99"/>
    <n v="5780.59"/>
    <n v="5044.43"/>
    <n v="5500.26"/>
    <n v="5366.62"/>
    <n v="5259.83"/>
    <n v="5220.92"/>
    <n v="62231.71"/>
    <n v="38.909999999999854"/>
  </r>
  <r>
    <x v="6"/>
    <x v="6"/>
    <x v="0"/>
    <s v="4701107"/>
    <n v="713090"/>
    <s v="Benefits-Allocated Amounts"/>
    <s v="Clinical Lab-Silverdale"/>
    <x v="0"/>
    <m/>
    <n v="11037.54"/>
    <n v="9653.59"/>
    <n v="12223.15"/>
    <n v="12296.35"/>
    <n v="16966.78"/>
    <n v="14794.41"/>
    <n v="14922.92"/>
    <n v="14140.43"/>
    <n v="12369.03"/>
    <n v="15322.17"/>
    <n v="13389.38"/>
    <n v="15269.89"/>
    <n v="162385.64000000001"/>
    <n v="-1880.5100000000002"/>
  </r>
  <r>
    <x v="6"/>
    <x v="6"/>
    <x v="0"/>
    <s v="4701107"/>
    <n v="713096"/>
    <s v="Employee Recognition"/>
    <s v="Clinical Lab-Silverdale"/>
    <x v="0"/>
    <n v="1017"/>
    <n v="0"/>
    <n v="0"/>
    <n v="0"/>
    <n v="81.13"/>
    <n v="0"/>
    <n v="21.99"/>
    <n v="0"/>
    <n v="15.99"/>
    <n v="0"/>
    <n v="0"/>
    <n v="0"/>
    <n v="41.27"/>
    <n v="160.38"/>
    <n v="-41.27"/>
  </r>
  <r>
    <x v="7"/>
    <x v="6"/>
    <x v="0"/>
    <s v="4701107"/>
    <n v="718040"/>
    <s v="Contract Svcs-Laboratory"/>
    <s v="Clinical Lab-Silverdale"/>
    <x v="0"/>
    <m/>
    <n v="0"/>
    <n v="0"/>
    <n v="0"/>
    <n v="0"/>
    <n v="13643.27"/>
    <n v="0"/>
    <n v="21796.47"/>
    <n v="9158.99"/>
    <n v="9722.1299999999992"/>
    <n v="2258.7800000000002"/>
    <n v="7102.23"/>
    <n v="21854.42"/>
    <n v="85536.29"/>
    <n v="-14752.189999999999"/>
  </r>
  <r>
    <x v="7"/>
    <x v="6"/>
    <x v="0"/>
    <s v="4701107"/>
    <n v="718040"/>
    <s v="Contract Svcs-Reference Lab Fees"/>
    <s v="Clinical Lab-Silverdale"/>
    <x v="0"/>
    <n v="1001"/>
    <n v="0"/>
    <n v="0"/>
    <n v="0"/>
    <n v="0"/>
    <n v="485.54"/>
    <n v="2952.95"/>
    <n v="2801.22"/>
    <n v="0"/>
    <n v="2297.6999999999998"/>
    <n v="0"/>
    <n v="0"/>
    <n v="0"/>
    <n v="8537.41"/>
    <n v="0"/>
  </r>
  <r>
    <x v="7"/>
    <x v="6"/>
    <x v="0"/>
    <s v="4701107"/>
    <n v="718050"/>
    <s v="Miscellaneous Purchased Svcs"/>
    <s v="Clinical Lab-Silverdale"/>
    <x v="0"/>
    <n v="1020"/>
    <n v="12496.47"/>
    <n v="5835.8"/>
    <n v="20972.7"/>
    <n v="6998.54"/>
    <n v="10020.709999999999"/>
    <n v="9590.36"/>
    <n v="1124.8699999999999"/>
    <n v="1817.02"/>
    <n v="2898.63"/>
    <n v="1638.32"/>
    <n v="1248.3699999999999"/>
    <n v="1248.3699999999999"/>
    <n v="75890.16"/>
    <n v="0"/>
  </r>
  <r>
    <x v="7"/>
    <x v="6"/>
    <x v="0"/>
    <s v="4701107"/>
    <n v="718050"/>
    <s v="Contract Management--Linen"/>
    <s v="Clinical Lab-Silverdale"/>
    <x v="0"/>
    <n v="1026"/>
    <n v="0"/>
    <n v="0"/>
    <n v="887.76"/>
    <n v="295.92"/>
    <n v="199.1"/>
    <n v="295.63"/>
    <n v="789.12"/>
    <n v="295.92"/>
    <n v="496.95"/>
    <n v="99.57"/>
    <n v="497.85"/>
    <n v="497.85"/>
    <n v="4355.67"/>
    <n v="0"/>
  </r>
  <r>
    <x v="7"/>
    <x v="6"/>
    <x v="0"/>
    <s v="4701107"/>
    <n v="718070"/>
    <s v="Contract Srvcs-CHI Clinical Engineering"/>
    <s v="Clinical Lab-Silverdale"/>
    <x v="0"/>
    <m/>
    <n v="4106.12"/>
    <n v="4847.5600000000004"/>
    <n v="4999.5600000000004"/>
    <n v="4999.57"/>
    <n v="4999.57"/>
    <n v="5059.88"/>
    <n v="5059.88"/>
    <n v="5064.93"/>
    <n v="6020.45"/>
    <n v="4814.1499999999996"/>
    <n v="5101.2700000000004"/>
    <n v="5101.2700000000004"/>
    <n v="60174.210000000006"/>
    <n v="0"/>
  </r>
  <r>
    <x v="7"/>
    <x v="6"/>
    <x v="0"/>
    <s v="4701107"/>
    <n v="718091"/>
    <s v="Contract Services-Intracompany Allocation"/>
    <s v="Clinical Lab-Silverdale"/>
    <x v="0"/>
    <m/>
    <n v="6226.97"/>
    <n v="6597.19"/>
    <n v="6397.64"/>
    <n v="7317.01"/>
    <n v="6884.24"/>
    <n v="7126.89"/>
    <n v="8778.56"/>
    <n v="7864.9"/>
    <n v="8896.9699999999993"/>
    <n v="8303"/>
    <n v="9261.26"/>
    <n v="8776.83"/>
    <n v="92431.459999999992"/>
    <n v="484.43000000000029"/>
  </r>
  <r>
    <x v="11"/>
    <x v="6"/>
    <x v="0"/>
    <s v="4701107"/>
    <n v="721010"/>
    <s v="Supplies-Medical - Billable"/>
    <s v="Clinical Lab-Silverdale"/>
    <x v="0"/>
    <m/>
    <n v="33.75"/>
    <n v="4.5"/>
    <n v="11.25"/>
    <n v="20.25"/>
    <n v="4.5"/>
    <n v="9"/>
    <n v="11.25"/>
    <n v="9"/>
    <n v="11.25"/>
    <n v="18"/>
    <n v="11.25"/>
    <n v="6.75"/>
    <n v="150.75"/>
    <n v="4.5"/>
  </r>
  <r>
    <x v="11"/>
    <x v="6"/>
    <x v="0"/>
    <s v="4701107"/>
    <n v="721410"/>
    <s v="Supplies-Medical - Nonbillable"/>
    <s v="Clinical Lab-Silverdale"/>
    <x v="0"/>
    <m/>
    <n v="350.04"/>
    <n v="360.6"/>
    <n v="292.22000000000003"/>
    <n v="512.16"/>
    <n v="317.70999999999998"/>
    <n v="413.63"/>
    <n v="1153.44"/>
    <n v="403.5"/>
    <n v="560.34"/>
    <n v="-234.01"/>
    <n v="205.16"/>
    <n v="625.77"/>
    <n v="4960.5599999999995"/>
    <n v="-420.61"/>
  </r>
  <r>
    <x v="11"/>
    <x v="6"/>
    <x v="0"/>
    <s v="4701107"/>
    <n v="721640"/>
    <s v="Supplies-IV Solutions/Supplies - Nonbillable"/>
    <s v="Clinical Lab-Silverdale"/>
    <x v="0"/>
    <m/>
    <n v="0"/>
    <n v="0"/>
    <n v="0"/>
    <n v="16.920000000000002"/>
    <n v="16.920000000000002"/>
    <n v="0"/>
    <n v="0"/>
    <n v="16.920000000000002"/>
    <n v="0"/>
    <n v="0"/>
    <n v="0"/>
    <n v="0"/>
    <n v="50.760000000000005"/>
    <n v="0"/>
  </r>
  <r>
    <x v="11"/>
    <x v="6"/>
    <x v="0"/>
    <s v="4701107"/>
    <n v="721710"/>
    <s v="Supplies-Laboratory - Nonbillable"/>
    <s v="Clinical Lab-Silverdale"/>
    <x v="0"/>
    <m/>
    <n v="4887.2700000000004"/>
    <n v="16760.740000000002"/>
    <n v="1515.28"/>
    <n v="5264.15"/>
    <n v="24716.63"/>
    <n v="6285.76"/>
    <n v="4781.01"/>
    <n v="4325.49"/>
    <n v="18856.580000000002"/>
    <n v="4026.83"/>
    <n v="4866.6099999999997"/>
    <n v="13366.37"/>
    <n v="109652.72000000002"/>
    <n v="-8499.760000000002"/>
  </r>
  <r>
    <x v="11"/>
    <x v="6"/>
    <x v="0"/>
    <s v="4701107"/>
    <n v="721710"/>
    <s v="Reagents"/>
    <s v="Clinical Lab-Silverdale"/>
    <x v="0"/>
    <n v="1000"/>
    <n v="7681.92"/>
    <n v="12529.14"/>
    <n v="10635.3"/>
    <n v="12723.68"/>
    <n v="10456.98"/>
    <n v="31597.96"/>
    <n v="14833.41"/>
    <n v="17219.72"/>
    <n v="16834.46"/>
    <n v="14904.98"/>
    <n v="14670.14"/>
    <n v="19747.03"/>
    <n v="183834.72"/>
    <n v="-5076.8899999999994"/>
  </r>
  <r>
    <x v="11"/>
    <x v="6"/>
    <x v="0"/>
    <s v="4701107"/>
    <n v="721810"/>
    <s v="Supplies-Dietary/Cafeteria"/>
    <s v="Clinical Lab-Silverdale"/>
    <x v="0"/>
    <m/>
    <n v="26.99"/>
    <n v="0"/>
    <n v="0"/>
    <n v="0"/>
    <n v="0"/>
    <n v="0"/>
    <n v="0"/>
    <n v="0"/>
    <n v="0"/>
    <n v="38.450000000000003"/>
    <n v="0"/>
    <n v="0"/>
    <n v="65.44"/>
    <n v="0"/>
  </r>
  <r>
    <x v="11"/>
    <x v="6"/>
    <x v="0"/>
    <s v="4701107"/>
    <n v="721830"/>
    <s v="Supplies-Office"/>
    <s v="Clinical Lab-Silverdale"/>
    <x v="0"/>
    <m/>
    <n v="59.08"/>
    <n v="619.85"/>
    <n v="210.73"/>
    <n v="190.26"/>
    <n v="275.67"/>
    <n v="413.28"/>
    <n v="138.97"/>
    <n v="360.97"/>
    <n v="248.17"/>
    <n v="155.93"/>
    <n v="687.95"/>
    <n v="147.69999999999999"/>
    <n v="3508.5600000000004"/>
    <n v="540.25"/>
  </r>
  <r>
    <x v="11"/>
    <x v="6"/>
    <x v="0"/>
    <s v="4701107"/>
    <n v="721835"/>
    <s v="Supplies-Forms"/>
    <s v="Clinical Lab-Silverdale"/>
    <x v="0"/>
    <m/>
    <n v="0"/>
    <n v="0"/>
    <n v="0"/>
    <n v="0"/>
    <n v="0.5"/>
    <n v="1.45"/>
    <n v="0"/>
    <n v="0"/>
    <n v="0"/>
    <n v="0"/>
    <n v="0"/>
    <n v="0.5"/>
    <n v="2.4500000000000002"/>
    <n v="-0.5"/>
  </r>
  <r>
    <x v="11"/>
    <x v="6"/>
    <x v="0"/>
    <s v="4701107"/>
    <n v="721870"/>
    <s v="Supplies-Environmental Services"/>
    <s v="Clinical Lab-Silverdale"/>
    <x v="0"/>
    <m/>
    <n v="78.28"/>
    <n v="64.489999999999995"/>
    <n v="59.51"/>
    <n v="96.16"/>
    <n v="55.46"/>
    <n v="131.99"/>
    <n v="220.71"/>
    <n v="31"/>
    <n v="71.28"/>
    <n v="103.7"/>
    <n v="81.95"/>
    <n v="0"/>
    <n v="994.53"/>
    <n v="81.95"/>
  </r>
  <r>
    <x v="11"/>
    <x v="6"/>
    <x v="0"/>
    <s v="4701107"/>
    <n v="721880"/>
    <s v="Supplies-Linen"/>
    <s v="Clinical Lab-Silverdale"/>
    <x v="0"/>
    <m/>
    <n v="295.92"/>
    <n v="394.56"/>
    <n v="-394.56"/>
    <n v="0"/>
    <n v="0"/>
    <n v="0"/>
    <n v="0"/>
    <n v="0"/>
    <n v="0"/>
    <n v="0"/>
    <n v="0"/>
    <n v="0"/>
    <n v="295.92"/>
    <n v="0"/>
  </r>
  <r>
    <x v="11"/>
    <x v="6"/>
    <x v="0"/>
    <s v="4701107"/>
    <n v="721910"/>
    <s v="Supplies-Small Equipment"/>
    <s v="Clinical Lab-Silverdale"/>
    <x v="0"/>
    <m/>
    <n v="0"/>
    <n v="0"/>
    <n v="0"/>
    <n v="1051.1400000000001"/>
    <n v="167.58"/>
    <n v="1018.32"/>
    <n v="190.18"/>
    <n v="514.34"/>
    <n v="0"/>
    <n v="0"/>
    <n v="271.55"/>
    <n v="0"/>
    <n v="3213.11"/>
    <n v="271.55"/>
  </r>
  <r>
    <x v="11"/>
    <x v="6"/>
    <x v="0"/>
    <s v="4701107"/>
    <n v="721980"/>
    <s v="Supplies-Other"/>
    <s v="Clinical Lab-Silverdale"/>
    <x v="0"/>
    <m/>
    <n v="0"/>
    <n v="0"/>
    <n v="0"/>
    <n v="0"/>
    <n v="1686"/>
    <n v="0"/>
    <n v="42"/>
    <n v="143"/>
    <n v="58.42"/>
    <n v="0"/>
    <n v="0"/>
    <n v="0"/>
    <n v="1929.42"/>
    <n v="0"/>
  </r>
  <r>
    <x v="11"/>
    <x v="6"/>
    <x v="0"/>
    <s v="4701107"/>
    <n v="722000"/>
    <s v="Supplies-Freight Expense"/>
    <s v="Clinical Lab-Silverdale"/>
    <x v="0"/>
    <m/>
    <n v="98.74"/>
    <n v="515.66"/>
    <n v="410.77"/>
    <n v="294.98"/>
    <n v="84.33"/>
    <n v="172.41"/>
    <n v="160.4"/>
    <n v="94.14"/>
    <n v="124.61"/>
    <n v="196.2"/>
    <n v="145.86000000000001"/>
    <n v="749.79"/>
    <n v="3047.8900000000003"/>
    <n v="-603.92999999999995"/>
  </r>
  <r>
    <x v="11"/>
    <x v="6"/>
    <x v="0"/>
    <s v="4701107"/>
    <n v="722000"/>
    <s v="Rush Order Fees"/>
    <s v="Clinical Lab-Silverdale"/>
    <x v="0"/>
    <n v="1005"/>
    <n v="0"/>
    <n v="30"/>
    <n v="0"/>
    <n v="0"/>
    <n v="0"/>
    <n v="0"/>
    <n v="0"/>
    <n v="0"/>
    <n v="0"/>
    <n v="0"/>
    <n v="0"/>
    <n v="65.400000000000006"/>
    <n v="95.4"/>
    <n v="-65.400000000000006"/>
  </r>
  <r>
    <x v="12"/>
    <x v="6"/>
    <x v="0"/>
    <s v="4701107"/>
    <n v="730010"/>
    <s v="Rental and Leases-Building (DO NOT USE)"/>
    <s v="Clinical Lab-Silverdale"/>
    <x v="0"/>
    <m/>
    <n v="5044.74"/>
    <n v="5044.74"/>
    <n v="5044.74"/>
    <n v="5044.74"/>
    <n v="5044.74"/>
    <n v="-3642.5"/>
    <n v="3776.5"/>
    <n v="3776.5"/>
    <n v="3776.5"/>
    <n v="3777.61"/>
    <n v="3777.61"/>
    <n v="0"/>
    <n v="40465.919999999998"/>
    <n v="3777.61"/>
  </r>
  <r>
    <x v="12"/>
    <x v="6"/>
    <x v="0"/>
    <s v="4701107"/>
    <n v="730010"/>
    <s v="Rental-Common Area Maint (DO NOT USE)"/>
    <s v="Clinical Lab-Silverdale"/>
    <x v="0"/>
    <n v="2200"/>
    <n v="0"/>
    <n v="0"/>
    <n v="0"/>
    <n v="0"/>
    <n v="0"/>
    <n v="8819.5300000000007"/>
    <n v="1400.53"/>
    <n v="1400.53"/>
    <n v="1400.53"/>
    <n v="1302.94"/>
    <n v="1302.94"/>
    <n v="0"/>
    <n v="15627.000000000004"/>
    <n v="1302.94"/>
  </r>
  <r>
    <x v="12"/>
    <x v="6"/>
    <x v="0"/>
    <s v="4701107"/>
    <n v="730020"/>
    <s v="Rental and Leases-Copier Usage Fees (DO NOT USE)"/>
    <s v="Clinical Lab-Silverdale"/>
    <x v="0"/>
    <n v="5100"/>
    <n v="383.05"/>
    <n v="392.2"/>
    <n v="387.62"/>
    <n v="387.62"/>
    <n v="387.62"/>
    <n v="387.62"/>
    <n v="-116.21"/>
    <n v="276.11"/>
    <n v="275.52999999999997"/>
    <n v="477.95"/>
    <n v="276.11"/>
    <n v="296.26"/>
    <n v="3811.4799999999996"/>
    <n v="-20.149999999999977"/>
  </r>
  <r>
    <x v="12"/>
    <x v="6"/>
    <x v="0"/>
    <s v="4701107"/>
    <n v="730040"/>
    <s v="LT Lease-Real Estate"/>
    <s v="Clinical Lab-Silverdale"/>
    <x v="0"/>
    <m/>
    <n v="0"/>
    <n v="0"/>
    <n v="0"/>
    <n v="0"/>
    <n v="0"/>
    <n v="0"/>
    <n v="0"/>
    <n v="0"/>
    <n v="0"/>
    <n v="0"/>
    <n v="0"/>
    <n v="5080.55"/>
    <n v="5080.55"/>
    <n v="-5080.55"/>
  </r>
  <r>
    <x v="15"/>
    <x v="6"/>
    <x v="0"/>
    <s v="4701107"/>
    <n v="731060"/>
    <s v="Pagers"/>
    <s v="Clinical Lab-Silverdale"/>
    <x v="0"/>
    <n v="1002"/>
    <n v="0"/>
    <n v="0"/>
    <n v="0"/>
    <n v="0"/>
    <n v="0"/>
    <n v="0"/>
    <n v="0"/>
    <n v="0"/>
    <n v="0"/>
    <n v="15.7"/>
    <n v="8.1199999999999992"/>
    <n v="8.1199999999999992"/>
    <n v="31.939999999999998"/>
    <n v="0"/>
  </r>
  <r>
    <x v="16"/>
    <x v="6"/>
    <x v="0"/>
    <s v="4701107"/>
    <n v="732020"/>
    <s v="Repairs--Clin Equip-Parts-Internal to CHI Programs"/>
    <s v="Clinical Lab-Silverdale"/>
    <x v="0"/>
    <m/>
    <n v="0"/>
    <n v="0"/>
    <n v="0"/>
    <n v="0"/>
    <n v="0"/>
    <n v="288.31"/>
    <n v="288.31"/>
    <n v="0"/>
    <n v="0"/>
    <n v="0"/>
    <n v="0"/>
    <n v="0"/>
    <n v="576.62"/>
    <n v="0"/>
  </r>
  <r>
    <x v="13"/>
    <x v="6"/>
    <x v="0"/>
    <s v="4701107"/>
    <n v="735070"/>
    <s v="Depreciation-Movable Equipment"/>
    <s v="Clinical Lab-Silverdale"/>
    <x v="0"/>
    <m/>
    <n v="585.94000000000005"/>
    <n v="585.92999999999995"/>
    <n v="585.94000000000005"/>
    <n v="585.92999999999995"/>
    <n v="585.94000000000005"/>
    <n v="585.91999999999996"/>
    <n v="585.94000000000005"/>
    <n v="585.91999999999996"/>
    <n v="585.95000000000005"/>
    <n v="585.91999999999996"/>
    <n v="585.95000000000005"/>
    <n v="585.91"/>
    <n v="7031.19"/>
    <n v="4.0000000000077307E-2"/>
  </r>
  <r>
    <x v="0"/>
    <x v="6"/>
    <x v="0"/>
    <s v="4701107"/>
    <n v="749510"/>
    <s v="Miscellaneous Expenses"/>
    <s v="Clinical Lab-Silverdale"/>
    <x v="0"/>
    <m/>
    <n v="70.849999999999994"/>
    <n v="-115"/>
    <n v="233.47"/>
    <n v="-271.89"/>
    <n v="0"/>
    <n v="0"/>
    <n v="0"/>
    <n v="0"/>
    <n v="0"/>
    <n v="0"/>
    <n v="0"/>
    <n v="1700"/>
    <n v="1617.43"/>
    <n v="-1700"/>
  </r>
  <r>
    <x v="0"/>
    <x v="6"/>
    <x v="0"/>
    <s v="4701107"/>
    <n v="749510"/>
    <s v="Licenses"/>
    <s v="Clinical Lab-Silverdale"/>
    <x v="0"/>
    <n v="1002"/>
    <n v="115"/>
    <n v="0"/>
    <n v="0"/>
    <n v="147.5"/>
    <n v="0"/>
    <n v="0"/>
    <n v="0"/>
    <n v="0"/>
    <n v="147.5"/>
    <n v="0"/>
    <n v="0"/>
    <n v="0"/>
    <n v="410"/>
    <n v="0"/>
  </r>
  <r>
    <x v="0"/>
    <x v="6"/>
    <x v="0"/>
    <s v="4701107"/>
    <n v="749510"/>
    <s v="RICE Rewards"/>
    <s v="Clinical Lab-Silverdale"/>
    <x v="0"/>
    <n v="5100"/>
    <n v="0"/>
    <n v="0"/>
    <n v="0"/>
    <n v="0"/>
    <n v="0"/>
    <n v="0"/>
    <n v="0"/>
    <n v="0"/>
    <n v="0"/>
    <n v="0"/>
    <n v="348.61"/>
    <n v="0"/>
    <n v="348.61"/>
    <n v="348.61"/>
  </r>
  <r>
    <x v="0"/>
    <x v="6"/>
    <x v="0"/>
    <s v="4701107"/>
    <n v="749530"/>
    <s v="Travel"/>
    <s v="Clinical Lab-Silverdale"/>
    <x v="0"/>
    <m/>
    <n v="0"/>
    <n v="0"/>
    <n v="0"/>
    <n v="27"/>
    <n v="5"/>
    <n v="5"/>
    <n v="5"/>
    <n v="10"/>
    <n v="5"/>
    <n v="15"/>
    <n v="11"/>
    <n v="10"/>
    <n v="93"/>
    <n v="1"/>
  </r>
  <r>
    <x v="0"/>
    <x v="6"/>
    <x v="0"/>
    <s v="4701107"/>
    <n v="749530"/>
    <s v="Mileage"/>
    <s v="Clinical Lab-Silverdale"/>
    <x v="0"/>
    <n v="1001"/>
    <n v="0"/>
    <n v="0"/>
    <n v="37.06"/>
    <n v="227.82"/>
    <n v="44.15"/>
    <n v="44.69"/>
    <n v="44.69"/>
    <n v="103.82"/>
    <n v="47.56"/>
    <n v="143.84"/>
    <n v="112.52"/>
    <n v="95.12"/>
    <n v="901.27"/>
    <n v="17.399999999999991"/>
  </r>
  <r>
    <x v="7"/>
    <x v="10"/>
    <x v="0"/>
    <s v="4705306"/>
    <n v="718050"/>
    <s v="Miscellaneous Purchased Svcs"/>
    <s v="Blood Bank"/>
    <x v="0"/>
    <n v="1020"/>
    <n v="10100.969999999999"/>
    <n v="10198.280000000001"/>
    <n v="3323.56"/>
    <n v="10561.13"/>
    <n v="-3640.43"/>
    <n v="860"/>
    <n v="20695.41"/>
    <n v="1204"/>
    <n v="12584.41"/>
    <n v="7177.99"/>
    <n v="903"/>
    <n v="903"/>
    <n v="74871.320000000007"/>
    <n v="0"/>
  </r>
  <r>
    <x v="18"/>
    <x v="6"/>
    <x v="0"/>
    <s v="4708107"/>
    <n v="400010"/>
    <s v="Acute I/P Svcs Rev--Medicare"/>
    <s v="Bremerton-Med Oncology Lab"/>
    <x v="0"/>
    <n v="1100"/>
    <n v="-4978.6099999999997"/>
    <n v="-2111.2800000000002"/>
    <n v="-1152.3699999999999"/>
    <n v="-5707.88"/>
    <n v="-8529.44"/>
    <n v="-482.89"/>
    <n v="-4106.09"/>
    <n v="-1581.32"/>
    <n v="-9079.4"/>
    <n v="-3574.68"/>
    <n v="-3294.47"/>
    <n v="-1609.14"/>
    <n v="-46207.57"/>
    <n v="-1685.3299999999997"/>
  </r>
  <r>
    <x v="18"/>
    <x v="6"/>
    <x v="0"/>
    <s v="4708107"/>
    <n v="400010"/>
    <s v="Acute I/P Svcs Rev--Medicaid"/>
    <s v="Bremerton-Med Oncology Lab"/>
    <x v="0"/>
    <n v="1200"/>
    <n v="0"/>
    <n v="0"/>
    <n v="0"/>
    <n v="0"/>
    <n v="0"/>
    <n v="0"/>
    <n v="-375.95"/>
    <n v="0"/>
    <n v="-1213.3"/>
    <n v="-110.15"/>
    <n v="0"/>
    <n v="-3894.29"/>
    <n v="-5593.6900000000005"/>
    <n v="3894.29"/>
  </r>
  <r>
    <x v="18"/>
    <x v="6"/>
    <x v="0"/>
    <s v="4708107"/>
    <n v="400010"/>
    <s v="Acute I/P Svcs Rev--Managed Care"/>
    <s v="Bremerton-Med Oncology Lab"/>
    <x v="0"/>
    <n v="1400"/>
    <n v="0"/>
    <n v="0"/>
    <n v="0"/>
    <n v="0"/>
    <n v="0"/>
    <n v="-317.52"/>
    <n v="0"/>
    <n v="0"/>
    <n v="-958.18"/>
    <n v="0"/>
    <n v="0"/>
    <n v="0"/>
    <n v="-1275.6999999999998"/>
    <n v="0"/>
  </r>
  <r>
    <x v="19"/>
    <x v="6"/>
    <x v="0"/>
    <s v="4708107"/>
    <n v="400020"/>
    <s v="O/P Care Svcs Rev--Medicare"/>
    <s v="Bremerton-Med Oncology Lab"/>
    <x v="0"/>
    <n v="1100"/>
    <n v="-453751.63"/>
    <n v="-466903.99"/>
    <n v="-425389.8"/>
    <n v="-479550.69"/>
    <n v="-465733.39"/>
    <n v="-391543.5"/>
    <n v="-484546.49"/>
    <n v="-366779.67"/>
    <n v="-435882.02"/>
    <n v="-492046.57"/>
    <n v="-460838.52"/>
    <n v="-441424.15"/>
    <n v="-5364390.42"/>
    <n v="-19414.369999999995"/>
  </r>
  <r>
    <x v="19"/>
    <x v="6"/>
    <x v="0"/>
    <s v="4708107"/>
    <n v="400020"/>
    <s v="O/P Care Svcs Rev--Medicaid"/>
    <s v="Bremerton-Med Oncology Lab"/>
    <x v="0"/>
    <n v="1200"/>
    <n v="-82643.28"/>
    <n v="-70855.75"/>
    <n v="-90698.71"/>
    <n v="-99863.5"/>
    <n v="-69877.53"/>
    <n v="-70829.8"/>
    <n v="-93391.679999999993"/>
    <n v="-69055.72"/>
    <n v="-82501.08"/>
    <n v="-87294.29"/>
    <n v="-84818.37"/>
    <n v="-92574.62"/>
    <n v="-994404.33"/>
    <n v="7756.25"/>
  </r>
  <r>
    <x v="19"/>
    <x v="6"/>
    <x v="0"/>
    <s v="4708107"/>
    <n v="400020"/>
    <s v="O/P Care Svcs Rev--Comm Insurance"/>
    <s v="Bremerton-Med Oncology Lab"/>
    <x v="0"/>
    <n v="1300"/>
    <n v="-10989.96"/>
    <n v="-8387.08"/>
    <n v="-8301.89"/>
    <n v="-9315.44"/>
    <n v="-13731.46"/>
    <n v="-4624.62"/>
    <n v="-7182.16"/>
    <n v="-11527.19"/>
    <n v="-17692.650000000001"/>
    <n v="-13152.19"/>
    <n v="-16902.310000000001"/>
    <n v="-13025.42"/>
    <n v="-134832.37000000002"/>
    <n v="-3876.8900000000012"/>
  </r>
  <r>
    <x v="19"/>
    <x v="6"/>
    <x v="0"/>
    <s v="4708107"/>
    <n v="400020"/>
    <s v="O/P Care Svcs Rev--BCBS Comm"/>
    <s v="Bremerton-Med Oncology Lab"/>
    <x v="0"/>
    <n v="1301"/>
    <n v="-61420.98"/>
    <n v="-66382.19"/>
    <n v="-60147.79"/>
    <n v="-63751.99"/>
    <n v="-64973.58"/>
    <n v="-53569.599999999999"/>
    <n v="-68232.59"/>
    <n v="-56878.76"/>
    <n v="-47526.46"/>
    <n v="-62484.11"/>
    <n v="-64533.760000000002"/>
    <n v="-60843.99"/>
    <n v="-730745.79999999993"/>
    <n v="-3689.7700000000041"/>
  </r>
  <r>
    <x v="19"/>
    <x v="6"/>
    <x v="0"/>
    <s v="4708107"/>
    <n v="400020"/>
    <s v="O/P Care Svcs Rev--Managed Care"/>
    <s v="Bremerton-Med Oncology Lab"/>
    <x v="0"/>
    <n v="1400"/>
    <n v="-95473.63"/>
    <n v="-96255.27"/>
    <n v="-95416.02"/>
    <n v="-83761.73"/>
    <n v="-96214.31"/>
    <n v="-88811.25"/>
    <n v="-111863.17"/>
    <n v="-89147.59"/>
    <n v="-90940.84"/>
    <n v="-91260.71"/>
    <n v="-114643.08"/>
    <n v="-100427.83"/>
    <n v="-1154215.43"/>
    <n v="-14215.25"/>
  </r>
  <r>
    <x v="19"/>
    <x v="6"/>
    <x v="0"/>
    <s v="4708107"/>
    <n v="400020"/>
    <s v="O/P Care Svcs Rev--Self Pay"/>
    <s v="Bremerton-Med Oncology Lab"/>
    <x v="0"/>
    <n v="1500"/>
    <n v="-4433.58"/>
    <n v="-4836.28"/>
    <n v="-5863.65"/>
    <n v="-12868.84"/>
    <n v="-5634.31"/>
    <n v="-5827.32"/>
    <n v="-4904.01"/>
    <n v="-1129.08"/>
    <n v="-86.01"/>
    <n v="-5364.76"/>
    <n v="-3704.42"/>
    <n v="-5027.8900000000003"/>
    <n v="-59680.15"/>
    <n v="1323.4700000000003"/>
  </r>
  <r>
    <x v="19"/>
    <x v="6"/>
    <x v="0"/>
    <s v="4708107"/>
    <n v="400020"/>
    <s v="O/P Care Svcs Rev--Other"/>
    <s v="Bremerton-Med Oncology Lab"/>
    <x v="0"/>
    <n v="1700"/>
    <n v="-54009.14"/>
    <n v="-45354.2"/>
    <n v="-31133.67"/>
    <n v="-39828.74"/>
    <n v="-48441.29"/>
    <n v="-28430.52"/>
    <n v="-35986.14"/>
    <n v="-26735.43"/>
    <n v="-40588.5"/>
    <n v="-47911.02"/>
    <n v="-44543.89"/>
    <n v="-33851.83"/>
    <n v="-476814.37000000005"/>
    <n v="-10692.059999999998"/>
  </r>
  <r>
    <x v="5"/>
    <x v="6"/>
    <x v="0"/>
    <s v="4708107"/>
    <n v="700032"/>
    <s v="Salaries-Other Pat Care Providers-Productive"/>
    <s v="Bremerton-Med Oncology Lab"/>
    <x v="0"/>
    <m/>
    <n v="7259.03"/>
    <n v="5854.4"/>
    <n v="6791.04"/>
    <n v="6805.08"/>
    <n v="5519.88"/>
    <n v="6216.03"/>
    <n v="7259.09"/>
    <n v="6273.2"/>
    <n v="7042.36"/>
    <n v="7402.65"/>
    <n v="7450.96"/>
    <n v="3725.66"/>
    <n v="77599.38"/>
    <n v="3725.3"/>
  </r>
  <r>
    <x v="5"/>
    <x v="6"/>
    <x v="0"/>
    <s v="4708107"/>
    <n v="700034"/>
    <s v="Salaries-Tech/Professional-Productive"/>
    <s v="Bremerton-Med Oncology Lab"/>
    <x v="0"/>
    <m/>
    <n v="1757.45"/>
    <n v="2743.45"/>
    <n v="1963.11"/>
    <n v="2089.98"/>
    <n v="2460.59"/>
    <n v="847.86"/>
    <n v="1710.88"/>
    <n v="909.72"/>
    <n v="2646.67"/>
    <n v="1851.71"/>
    <n v="501.92"/>
    <n v="2764.43"/>
    <n v="22247.769999999997"/>
    <n v="-2262.5099999999998"/>
  </r>
  <r>
    <x v="5"/>
    <x v="6"/>
    <x v="0"/>
    <s v="4708107"/>
    <n v="700034"/>
    <s v="Salaries-Tech/Professional-OT"/>
    <s v="Bremerton-Med Oncology Lab"/>
    <x v="0"/>
    <n v="1000"/>
    <n v="0"/>
    <n v="0"/>
    <n v="0"/>
    <n v="0"/>
    <n v="0"/>
    <n v="0"/>
    <n v="0"/>
    <n v="0"/>
    <n v="0"/>
    <n v="0"/>
    <n v="0"/>
    <n v="295.63"/>
    <n v="295.63"/>
    <n v="-295.63"/>
  </r>
  <r>
    <x v="5"/>
    <x v="6"/>
    <x v="0"/>
    <s v="4708107"/>
    <n v="700034"/>
    <s v="Salaries-Tech/Professional-Other"/>
    <s v="Bremerton-Med Oncology Lab"/>
    <x v="0"/>
    <n v="2000"/>
    <n v="0"/>
    <n v="0"/>
    <n v="15.36"/>
    <n v="-5.58"/>
    <n v="0"/>
    <n v="0"/>
    <n v="0"/>
    <n v="0"/>
    <n v="0"/>
    <n v="0"/>
    <n v="0"/>
    <n v="0"/>
    <n v="9.7799999999999994"/>
    <n v="0"/>
  </r>
  <r>
    <x v="5"/>
    <x v="6"/>
    <x v="0"/>
    <s v="4708107"/>
    <n v="700072"/>
    <s v="Salaries-Other Pat Care Providers-Non-productive"/>
    <s v="Bremerton-Med Oncology Lab"/>
    <x v="0"/>
    <m/>
    <n v="0"/>
    <n v="1404.95"/>
    <n v="234.25"/>
    <n v="599.99"/>
    <n v="1679.93"/>
    <n v="1224.02"/>
    <n v="192.55"/>
    <n v="456.64"/>
    <n v="408.6"/>
    <n v="-192.26"/>
    <n v="0"/>
    <n v="3485.04"/>
    <n v="9493.7099999999991"/>
    <n v="-3485.04"/>
  </r>
  <r>
    <x v="5"/>
    <x v="6"/>
    <x v="0"/>
    <s v="4708107"/>
    <n v="700084"/>
    <s v="Accrued PTO"/>
    <s v="Bremerton-Med Oncology Lab"/>
    <x v="0"/>
    <m/>
    <n v="1016.83"/>
    <n v="-54.35"/>
    <n v="-741.08"/>
    <n v="610.66"/>
    <n v="-103.32"/>
    <n v="-659.4"/>
    <n v="568.67999999999995"/>
    <n v="568.67999999999995"/>
    <n v="568.67999999999995"/>
    <n v="904.68"/>
    <n v="904.68"/>
    <n v="-2003.4"/>
    <n v="1581.3399999999992"/>
    <n v="2908.08"/>
  </r>
  <r>
    <x v="10"/>
    <x v="6"/>
    <x v="0"/>
    <s v="4708107"/>
    <n v="710060"/>
    <s v="Contract Labor-Other"/>
    <s v="Bremerton-Med Oncology Lab"/>
    <x v="0"/>
    <m/>
    <n v="-2546.0100000000002"/>
    <n v="0"/>
    <n v="0"/>
    <n v="0"/>
    <n v="0"/>
    <n v="0"/>
    <n v="0"/>
    <n v="0"/>
    <n v="0"/>
    <n v="0"/>
    <n v="0"/>
    <n v="0"/>
    <n v="-2546.0100000000002"/>
    <n v="0"/>
  </r>
  <r>
    <x v="10"/>
    <x v="6"/>
    <x v="0"/>
    <s v="4708107"/>
    <n v="710060"/>
    <s v="Contract Labor-Overtime"/>
    <s v="Bremerton-Med Oncology Lab"/>
    <x v="0"/>
    <n v="5100"/>
    <n v="-429.65"/>
    <n v="0"/>
    <n v="0"/>
    <n v="0"/>
    <n v="0"/>
    <n v="0"/>
    <n v="0"/>
    <n v="0"/>
    <n v="0"/>
    <n v="0"/>
    <n v="0"/>
    <n v="0"/>
    <n v="-429.65"/>
    <n v="0"/>
  </r>
  <r>
    <x v="6"/>
    <x v="6"/>
    <x v="0"/>
    <s v="4708107"/>
    <n v="713010"/>
    <s v="Benefits-FICA/Medicare"/>
    <s v="Bremerton-Med Oncology Lab"/>
    <x v="0"/>
    <m/>
    <n v="672.39"/>
    <n v="747.84"/>
    <n v="671.98"/>
    <n v="708.61"/>
    <n v="722.22"/>
    <n v="621.24"/>
    <n v="679.14"/>
    <n v="564.86"/>
    <n v="740.75"/>
    <n v="666.25"/>
    <n v="580.64"/>
    <n v="758.57"/>
    <n v="8134.49"/>
    <n v="-177.93000000000006"/>
  </r>
  <r>
    <x v="6"/>
    <x v="6"/>
    <x v="0"/>
    <s v="4708107"/>
    <n v="713090"/>
    <s v="Benefits-Allocated Amounts"/>
    <s v="Bremerton-Med Oncology Lab"/>
    <x v="0"/>
    <m/>
    <n v="1614.58"/>
    <n v="1629.89"/>
    <n v="1531.26"/>
    <n v="1639.18"/>
    <n v="1912.67"/>
    <n v="1398.13"/>
    <n v="1593.44"/>
    <n v="1480.18"/>
    <n v="1528.65"/>
    <n v="1763.46"/>
    <n v="1330.25"/>
    <n v="2044.73"/>
    <n v="19466.420000000002"/>
    <n v="-714.48"/>
  </r>
  <r>
    <x v="11"/>
    <x v="6"/>
    <x v="0"/>
    <s v="4708107"/>
    <n v="721010"/>
    <s v="Supplies-Medical - Billable"/>
    <s v="Bremerton-Med Oncology Lab"/>
    <x v="0"/>
    <m/>
    <n v="45"/>
    <n v="45"/>
    <n v="33.75"/>
    <n v="0"/>
    <n v="22.5"/>
    <n v="22.5"/>
    <n v="580.02"/>
    <n v="22.5"/>
    <n v="22.5"/>
    <n v="0"/>
    <n v="9"/>
    <n v="22.5"/>
    <n v="825.27"/>
    <n v="-13.5"/>
  </r>
  <r>
    <x v="11"/>
    <x v="6"/>
    <x v="0"/>
    <s v="4708107"/>
    <n v="721240"/>
    <s v="Supplies-IV Solutions/Supplies - Billable"/>
    <s v="Bremerton-Med Oncology Lab"/>
    <x v="0"/>
    <m/>
    <n v="0"/>
    <n v="144"/>
    <n v="0"/>
    <n v="0"/>
    <n v="0"/>
    <n v="0"/>
    <n v="0"/>
    <n v="0"/>
    <n v="0"/>
    <n v="0"/>
    <n v="0"/>
    <n v="0"/>
    <n v="144"/>
    <n v="0"/>
  </r>
  <r>
    <x v="11"/>
    <x v="6"/>
    <x v="0"/>
    <s v="4708107"/>
    <n v="721410"/>
    <s v="Supplies-Medical - Nonbillable"/>
    <s v="Bremerton-Med Oncology Lab"/>
    <x v="0"/>
    <m/>
    <n v="1107.31"/>
    <n v="-2839.73"/>
    <n v="1414.04"/>
    <n v="418.46"/>
    <n v="1022.25"/>
    <n v="84.9"/>
    <n v="685.08"/>
    <n v="121.33"/>
    <n v="868.13"/>
    <n v="438.94"/>
    <n v="61.13"/>
    <n v="650.84"/>
    <n v="4032.6800000000003"/>
    <n v="-589.71"/>
  </r>
  <r>
    <x v="11"/>
    <x v="6"/>
    <x v="0"/>
    <s v="4708107"/>
    <n v="721640"/>
    <s v="Supplies-IV Solutions/Supplies - Nonbillable"/>
    <s v="Bremerton-Med Oncology Lab"/>
    <x v="0"/>
    <m/>
    <n v="0"/>
    <n v="0"/>
    <n v="0"/>
    <n v="0"/>
    <n v="0"/>
    <n v="0"/>
    <n v="0"/>
    <n v="0"/>
    <n v="0"/>
    <n v="0"/>
    <n v="16.920000000000002"/>
    <n v="0"/>
    <n v="16.920000000000002"/>
    <n v="16.920000000000002"/>
  </r>
  <r>
    <x v="11"/>
    <x v="6"/>
    <x v="0"/>
    <s v="4708107"/>
    <n v="721710"/>
    <s v="Supplies-Laboratory - Nonbillable"/>
    <s v="Bremerton-Med Oncology Lab"/>
    <x v="0"/>
    <m/>
    <n v="468.63"/>
    <n v="1088.31"/>
    <n v="1072.19"/>
    <n v="951.28"/>
    <n v="294.33"/>
    <n v="835.94"/>
    <n v="696.16"/>
    <n v="931.82"/>
    <n v="636.66999999999996"/>
    <n v="443.72"/>
    <n v="526.29999999999995"/>
    <n v="1102.72"/>
    <n v="9048.07"/>
    <n v="-576.42000000000007"/>
  </r>
  <r>
    <x v="11"/>
    <x v="6"/>
    <x v="0"/>
    <s v="4708107"/>
    <n v="721710"/>
    <s v="Reagents"/>
    <s v="Bremerton-Med Oncology Lab"/>
    <x v="0"/>
    <n v="1000"/>
    <n v="276.04000000000002"/>
    <n v="1821.47"/>
    <n v="1809.73"/>
    <n v="341.86"/>
    <n v="3400.67"/>
    <n v="1858.79"/>
    <n v="673.96"/>
    <n v="1497.36"/>
    <n v="1606.48"/>
    <n v="598.5"/>
    <n v="294.3"/>
    <n v="3777.28"/>
    <n v="17956.439999999999"/>
    <n v="-3482.98"/>
  </r>
  <r>
    <x v="11"/>
    <x v="6"/>
    <x v="0"/>
    <s v="4708107"/>
    <n v="721830"/>
    <s v="Supplies-Office"/>
    <s v="Bremerton-Med Oncology Lab"/>
    <x v="0"/>
    <m/>
    <n v="0"/>
    <n v="0"/>
    <n v="0"/>
    <n v="0"/>
    <n v="0"/>
    <n v="0"/>
    <n v="39.880000000000003"/>
    <n v="0"/>
    <n v="0"/>
    <n v="38.61"/>
    <n v="38.61"/>
    <n v="55.59"/>
    <n v="172.69"/>
    <n v="-16.980000000000004"/>
  </r>
  <r>
    <x v="11"/>
    <x v="6"/>
    <x v="0"/>
    <s v="4708107"/>
    <n v="721870"/>
    <s v="Supplies-Environmental Services"/>
    <s v="Bremerton-Med Oncology Lab"/>
    <x v="0"/>
    <m/>
    <n v="21.7"/>
    <n v="0"/>
    <n v="0"/>
    <n v="0"/>
    <n v="0"/>
    <n v="31"/>
    <n v="0"/>
    <n v="0"/>
    <n v="0"/>
    <n v="0"/>
    <n v="19.2"/>
    <n v="0"/>
    <n v="71.900000000000006"/>
    <n v="19.2"/>
  </r>
  <r>
    <x v="11"/>
    <x v="6"/>
    <x v="0"/>
    <s v="4708107"/>
    <n v="721910"/>
    <s v="Supplies-Small Equipment"/>
    <s v="Bremerton-Med Oncology Lab"/>
    <x v="0"/>
    <m/>
    <n v="83.79"/>
    <n v="0"/>
    <n v="0"/>
    <n v="0"/>
    <n v="0"/>
    <n v="0"/>
    <n v="21.32"/>
    <n v="0"/>
    <n v="0"/>
    <n v="0"/>
    <n v="0"/>
    <n v="0"/>
    <n v="105.11000000000001"/>
    <n v="0"/>
  </r>
  <r>
    <x v="11"/>
    <x v="6"/>
    <x v="0"/>
    <s v="4708107"/>
    <n v="721980"/>
    <s v="Supplies-Other"/>
    <s v="Bremerton-Med Oncology Lab"/>
    <x v="0"/>
    <m/>
    <n v="67.66"/>
    <n v="63.39"/>
    <n v="0"/>
    <n v="-194"/>
    <n v="0"/>
    <n v="0"/>
    <n v="0"/>
    <n v="209.95"/>
    <n v="0"/>
    <n v="0"/>
    <n v="0"/>
    <n v="-57.3"/>
    <n v="89.7"/>
    <n v="57.3"/>
  </r>
  <r>
    <x v="11"/>
    <x v="6"/>
    <x v="0"/>
    <s v="4708107"/>
    <n v="722000"/>
    <s v="Supplies-Freight Expense"/>
    <s v="Bremerton-Med Oncology Lab"/>
    <x v="0"/>
    <m/>
    <n v="0"/>
    <n v="0"/>
    <n v="0"/>
    <n v="41.07"/>
    <n v="0"/>
    <n v="11"/>
    <n v="12.38"/>
    <n v="0"/>
    <n v="33.020000000000003"/>
    <n v="0"/>
    <n v="0"/>
    <n v="149.59"/>
    <n v="247.06"/>
    <n v="-149.59"/>
  </r>
  <r>
    <x v="12"/>
    <x v="6"/>
    <x v="0"/>
    <s v="4708107"/>
    <n v="730020"/>
    <s v="Rental and Leases-Copier Usage Fees (DO NOT USE)"/>
    <s v="Bremerton-Med Oncology Lab"/>
    <x v="0"/>
    <n v="5100"/>
    <n v="23.49"/>
    <n v="24.3"/>
    <n v="23.89"/>
    <n v="23.89"/>
    <n v="23.89"/>
    <n v="23.89"/>
    <n v="21.41"/>
    <n v="24.32"/>
    <n v="24.27"/>
    <n v="24.37"/>
    <n v="24.32"/>
    <n v="26.45"/>
    <n v="288.49"/>
    <n v="-2.129999999999999"/>
  </r>
  <r>
    <x v="0"/>
    <x v="6"/>
    <x v="0"/>
    <s v="4708107"/>
    <n v="749510"/>
    <s v="Licenses"/>
    <s v="Bremerton-Med Oncology Lab"/>
    <x v="0"/>
    <n v="1002"/>
    <n v="0"/>
    <n v="0"/>
    <n v="0"/>
    <n v="0"/>
    <n v="0"/>
    <n v="1027"/>
    <n v="0"/>
    <n v="0"/>
    <n v="0"/>
    <n v="0"/>
    <n v="5835"/>
    <n v="0"/>
    <n v="6862"/>
    <n v="5835"/>
  </r>
  <r>
    <x v="18"/>
    <x v="6"/>
    <x v="0"/>
    <s v="4709107"/>
    <n v="400010"/>
    <s v="Acute I/P Svcs Rev--Medicare"/>
    <s v="Poulsbo-Med Oncology Lab"/>
    <x v="0"/>
    <n v="1100"/>
    <n v="0"/>
    <n v="-852.23"/>
    <n v="-375.95"/>
    <n v="-3918.88"/>
    <n v="-3790.38"/>
    <n v="-8015.16"/>
    <n v="-2709.39"/>
    <n v="-1085.6400000000001"/>
    <n v="-379.16"/>
    <n v="-2024.38"/>
    <n v="-379.16"/>
    <n v="0"/>
    <n v="-23530.329999999998"/>
    <n v="-379.16"/>
  </r>
  <r>
    <x v="18"/>
    <x v="6"/>
    <x v="0"/>
    <s v="4709107"/>
    <n v="400010"/>
    <s v="Acute I/P Svcs Rev--Medicaid"/>
    <s v="Poulsbo-Med Oncology Lab"/>
    <x v="0"/>
    <n v="1200"/>
    <n v="0"/>
    <n v="0"/>
    <n v="0"/>
    <n v="0"/>
    <n v="0"/>
    <n v="0"/>
    <n v="0"/>
    <n v="0"/>
    <n v="-106.94"/>
    <n v="0"/>
    <n v="-2803.38"/>
    <n v="-4688.1000000000004"/>
    <n v="-7598.42"/>
    <n v="1884.7200000000003"/>
  </r>
  <r>
    <x v="18"/>
    <x v="6"/>
    <x v="0"/>
    <s v="4709107"/>
    <n v="400010"/>
    <s v="Acute I/P Svcs Rev--Comm Insurance"/>
    <s v="Poulsbo-Med Oncology Lab"/>
    <x v="0"/>
    <n v="1300"/>
    <n v="0"/>
    <n v="0"/>
    <n v="0"/>
    <n v="0"/>
    <n v="0"/>
    <n v="0"/>
    <n v="0"/>
    <n v="0"/>
    <n v="-154.44"/>
    <n v="0"/>
    <n v="0"/>
    <n v="0"/>
    <n v="-154.44"/>
    <n v="0"/>
  </r>
  <r>
    <x v="18"/>
    <x v="6"/>
    <x v="0"/>
    <s v="4709107"/>
    <n v="400010"/>
    <s v="Acute I/P Svcs Rev--BCBS Comm"/>
    <s v="Poulsbo-Med Oncology Lab"/>
    <x v="0"/>
    <n v="1301"/>
    <n v="0"/>
    <n v="0"/>
    <n v="0"/>
    <n v="0"/>
    <n v="0"/>
    <n v="0"/>
    <n v="-293.52999999999997"/>
    <n v="-1019.26"/>
    <n v="0"/>
    <n v="0"/>
    <n v="0"/>
    <n v="-938.62"/>
    <n v="-2251.41"/>
    <n v="938.62"/>
  </r>
  <r>
    <x v="19"/>
    <x v="6"/>
    <x v="0"/>
    <s v="4709107"/>
    <n v="400020"/>
    <s v="O/P Care Svcs Rev--Medicare"/>
    <s v="Poulsbo-Med Oncology Lab"/>
    <x v="0"/>
    <n v="1100"/>
    <n v="-308075.19"/>
    <n v="-277382.83"/>
    <n v="-264133.65999999997"/>
    <n v="-288866.92"/>
    <n v="-290997.44"/>
    <n v="-299039.84000000003"/>
    <n v="-325470.48"/>
    <n v="-281870.46000000002"/>
    <n v="-290377.08"/>
    <n v="-363583.81"/>
    <n v="-331011.57"/>
    <n v="-348760.25"/>
    <n v="-3669569.53"/>
    <n v="17748.679999999993"/>
  </r>
  <r>
    <x v="19"/>
    <x v="6"/>
    <x v="0"/>
    <s v="4709107"/>
    <n v="400020"/>
    <s v="O/P Care Svcs Rev--Medicaid"/>
    <s v="Poulsbo-Med Oncology Lab"/>
    <x v="0"/>
    <n v="1200"/>
    <n v="-31919.59"/>
    <n v="-51614.79"/>
    <n v="-42133.68"/>
    <n v="-36326.339999999997"/>
    <n v="-42424.83"/>
    <n v="-26227.69"/>
    <n v="-39124.699999999997"/>
    <n v="-34520.97"/>
    <n v="-41932.74"/>
    <n v="-45042.36"/>
    <n v="-32441.21"/>
    <n v="-36917.74"/>
    <n v="-460626.63999999996"/>
    <n v="4476.5299999999988"/>
  </r>
  <r>
    <x v="19"/>
    <x v="6"/>
    <x v="0"/>
    <s v="4709107"/>
    <n v="400020"/>
    <s v="O/P Care Svcs Rev--Comm Insurance"/>
    <s v="Poulsbo-Med Oncology Lab"/>
    <x v="0"/>
    <n v="1300"/>
    <n v="-3598.53"/>
    <n v="-1450.88"/>
    <n v="-1496.95"/>
    <n v="-4512.1499999999996"/>
    <n v="-1496.08"/>
    <n v="-3372.34"/>
    <n v="-3228.1"/>
    <n v="-629.66"/>
    <n v="-3274.4"/>
    <n v="-4035.97"/>
    <n v="-6188.98"/>
    <n v="-2672.52"/>
    <n v="-35956.559999999998"/>
    <n v="-3516.4599999999996"/>
  </r>
  <r>
    <x v="19"/>
    <x v="6"/>
    <x v="0"/>
    <s v="4709107"/>
    <n v="400020"/>
    <s v="O/P Care Svcs Rev--BCBS Comm"/>
    <s v="Poulsbo-Med Oncology Lab"/>
    <x v="0"/>
    <n v="1301"/>
    <n v="-52700.13"/>
    <n v="-35725.64"/>
    <n v="-39232.71"/>
    <n v="-47083.63"/>
    <n v="-41725.839999999997"/>
    <n v="-29357.29"/>
    <n v="-49344.83"/>
    <n v="-33656.65"/>
    <n v="-55076.21"/>
    <n v="-51082.48"/>
    <n v="-50325.33"/>
    <n v="-45521.37"/>
    <n v="-530832.1100000001"/>
    <n v="-4803.9599999999991"/>
  </r>
  <r>
    <x v="19"/>
    <x v="6"/>
    <x v="0"/>
    <s v="4709107"/>
    <n v="400020"/>
    <s v="O/P Care Svcs Rev--Managed Care"/>
    <s v="Poulsbo-Med Oncology Lab"/>
    <x v="0"/>
    <n v="1400"/>
    <n v="-69509.53"/>
    <n v="-73243.55"/>
    <n v="-85476.95"/>
    <n v="-88490.93"/>
    <n v="-73548.149999999994"/>
    <n v="-61898.46"/>
    <n v="-71330.62"/>
    <n v="-65961.7"/>
    <n v="-60702.83"/>
    <n v="-70717.39"/>
    <n v="-77472"/>
    <n v="-72775.55"/>
    <n v="-871127.66"/>
    <n v="-4696.4499999999971"/>
  </r>
  <r>
    <x v="19"/>
    <x v="6"/>
    <x v="0"/>
    <s v="4709107"/>
    <n v="400020"/>
    <s v="O/P Care Svcs Rev--Self Pay"/>
    <s v="Poulsbo-Med Oncology Lab"/>
    <x v="0"/>
    <n v="1500"/>
    <n v="-2738.6"/>
    <n v="-2817.98"/>
    <n v="-1621.77"/>
    <n v="758.52"/>
    <n v="-1657.05"/>
    <n v="-375.95"/>
    <n v="-3130.64"/>
    <n v="-1807.12"/>
    <n v="-3621.38"/>
    <n v="4646.58"/>
    <n v="-1969.59"/>
    <n v="0"/>
    <n v="-14334.980000000001"/>
    <n v="-1969.59"/>
  </r>
  <r>
    <x v="19"/>
    <x v="6"/>
    <x v="0"/>
    <s v="4709107"/>
    <n v="400020"/>
    <s v="O/P Care Svcs Rev--Other"/>
    <s v="Poulsbo-Med Oncology Lab"/>
    <x v="0"/>
    <n v="1700"/>
    <n v="-20691.36"/>
    <n v="-20261.39"/>
    <n v="-19228.91"/>
    <n v="-18523.53"/>
    <n v="-38011.21"/>
    <n v="-45594.13"/>
    <n v="-24681.57"/>
    <n v="-11952.84"/>
    <n v="-16438.07"/>
    <n v="-27017"/>
    <n v="-17202.8"/>
    <n v="-33605.21"/>
    <n v="-293208.02"/>
    <n v="16402.41"/>
  </r>
  <r>
    <x v="5"/>
    <x v="6"/>
    <x v="0"/>
    <s v="4709107"/>
    <n v="700032"/>
    <s v="Salaries-Other Pat Care Providers-Productive"/>
    <s v="Poulsbo-Med Oncology Lab"/>
    <x v="0"/>
    <m/>
    <n v="0"/>
    <n v="1766.19"/>
    <n v="5054.93"/>
    <n v="5115.1400000000003"/>
    <n v="4609.3"/>
    <n v="3435.04"/>
    <n v="5064.8900000000003"/>
    <n v="2832.46"/>
    <n v="5431.4"/>
    <n v="4029.65"/>
    <n v="5121.9399999999996"/>
    <n v="4019.02"/>
    <n v="46479.96"/>
    <n v="1102.9199999999996"/>
  </r>
  <r>
    <x v="5"/>
    <x v="6"/>
    <x v="0"/>
    <s v="4709107"/>
    <n v="700032"/>
    <s v="Salaries-Other Pat Care Providers-OT"/>
    <s v="Poulsbo-Med Oncology Lab"/>
    <x v="0"/>
    <n v="1000"/>
    <n v="0"/>
    <n v="314.58999999999997"/>
    <n v="-94.36"/>
    <n v="0"/>
    <n v="0"/>
    <n v="0"/>
    <n v="0"/>
    <n v="0"/>
    <n v="0"/>
    <n v="0"/>
    <n v="204.24"/>
    <n v="205.93"/>
    <n v="630.4"/>
    <n v="-1.6899999999999977"/>
  </r>
  <r>
    <x v="5"/>
    <x v="6"/>
    <x v="0"/>
    <s v="4709107"/>
    <n v="700034"/>
    <s v="Salaries-Tech/Professional-Productive"/>
    <s v="Poulsbo-Med Oncology Lab"/>
    <x v="0"/>
    <m/>
    <n v="241.24"/>
    <n v="452.01"/>
    <n v="1890.77"/>
    <n v="1089.93"/>
    <n v="1321.14"/>
    <n v="2396.02"/>
    <n v="1478.07"/>
    <n v="2070.52"/>
    <n v="1092.2"/>
    <n v="1694.01"/>
    <n v="1125.5"/>
    <n v="1437.35"/>
    <n v="16288.760000000002"/>
    <n v="-311.84999999999991"/>
  </r>
  <r>
    <x v="5"/>
    <x v="6"/>
    <x v="0"/>
    <s v="4709107"/>
    <n v="700034"/>
    <s v="Salaries-Tech/Professional-OT"/>
    <s v="Poulsbo-Med Oncology Lab"/>
    <x v="0"/>
    <n v="1000"/>
    <n v="0"/>
    <n v="0"/>
    <n v="0"/>
    <n v="0"/>
    <n v="0"/>
    <n v="148.37"/>
    <n v="0"/>
    <n v="0"/>
    <n v="0"/>
    <n v="244.11"/>
    <n v="0"/>
    <n v="265.33"/>
    <n v="657.81"/>
    <n v="-265.33"/>
  </r>
  <r>
    <x v="5"/>
    <x v="6"/>
    <x v="0"/>
    <s v="4709107"/>
    <n v="700034"/>
    <s v="Salaries-Tech/Professional-Other"/>
    <s v="Poulsbo-Med Oncology Lab"/>
    <x v="0"/>
    <n v="2000"/>
    <n v="299.79000000000002"/>
    <n v="479.28"/>
    <n v="578.07000000000005"/>
    <n v="476.96"/>
    <n v="567.24"/>
    <n v="508.82"/>
    <n v="478.3"/>
    <n v="447.04"/>
    <n v="560.82000000000005"/>
    <n v="568.46"/>
    <n v="244.09"/>
    <n v="714.41"/>
    <n v="5923.2800000000007"/>
    <n v="-470.31999999999994"/>
  </r>
  <r>
    <x v="5"/>
    <x v="6"/>
    <x v="0"/>
    <s v="4709107"/>
    <n v="700072"/>
    <s v="Salaries-Other Pat Care Providers-Non-productive"/>
    <s v="Poulsbo-Med Oncology Lab"/>
    <x v="0"/>
    <m/>
    <n v="0"/>
    <n v="1766.19"/>
    <n v="-251.6"/>
    <n v="0"/>
    <n v="511.84"/>
    <n v="1856.49"/>
    <n v="103.33"/>
    <n v="1782.56"/>
    <n v="-180.71"/>
    <n v="961.12"/>
    <n v="0"/>
    <n v="1281.48"/>
    <n v="7830.6999999999989"/>
    <n v="-1281.48"/>
  </r>
  <r>
    <x v="5"/>
    <x v="6"/>
    <x v="0"/>
    <s v="4709107"/>
    <n v="700072"/>
    <s v="Salaries-Other Pat Care Providers-NonProd-Other"/>
    <s v="Poulsbo-Med Oncology Lab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709107"/>
    <n v="700074"/>
    <s v="Salaries-Tech/Professional-Non-productive"/>
    <s v="Poulsbo-Med Oncology Lab"/>
    <x v="0"/>
    <m/>
    <n v="220.56"/>
    <n v="0"/>
    <n v="0"/>
    <n v="0"/>
    <n v="0"/>
    <n v="0"/>
    <n v="226.52"/>
    <n v="-0.11"/>
    <n v="0"/>
    <n v="0"/>
    <n v="0"/>
    <n v="0"/>
    <n v="446.97"/>
    <n v="0"/>
  </r>
  <r>
    <x v="5"/>
    <x v="6"/>
    <x v="0"/>
    <s v="4709107"/>
    <n v="700074"/>
    <s v="Salaries-Tech/Professional-NonProd-Other"/>
    <s v="Poulsbo-Med Oncology Lab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4709107"/>
    <n v="700084"/>
    <s v="Accrued PTO"/>
    <s v="Poulsbo-Med Oncology Lab"/>
    <x v="0"/>
    <m/>
    <n v="0"/>
    <n v="-674.76"/>
    <n v="246.97"/>
    <n v="663.17"/>
    <n v="707.3"/>
    <n v="-690.67"/>
    <n v="397"/>
    <n v="-639.79999999999995"/>
    <n v="396.67"/>
    <n v="-270.63"/>
    <n v="684.58"/>
    <n v="-227.76"/>
    <n v="592.07000000000016"/>
    <n v="912.34"/>
  </r>
  <r>
    <x v="10"/>
    <x v="6"/>
    <x v="0"/>
    <s v="4709107"/>
    <n v="710060"/>
    <s v="Contract Labor-Other"/>
    <s v="Poulsbo-Med Oncology Lab"/>
    <x v="0"/>
    <m/>
    <n v="18808.55"/>
    <n v="10184"/>
    <n v="4821.4799999999996"/>
    <n v="0"/>
    <n v="0"/>
    <n v="0"/>
    <n v="0"/>
    <n v="0"/>
    <n v="0"/>
    <n v="0"/>
    <n v="0"/>
    <n v="0"/>
    <n v="33814.03"/>
    <n v="0"/>
  </r>
  <r>
    <x v="10"/>
    <x v="6"/>
    <x v="0"/>
    <s v="4709107"/>
    <n v="710060"/>
    <s v="Contract Labor-Overtime"/>
    <s v="Poulsbo-Med Oncology Lab"/>
    <x v="0"/>
    <n v="5100"/>
    <n v="1482.29"/>
    <n v="1353.38"/>
    <n v="429.65"/>
    <n v="0"/>
    <n v="0"/>
    <n v="0"/>
    <n v="0"/>
    <n v="0"/>
    <n v="0"/>
    <n v="0"/>
    <n v="0"/>
    <n v="0"/>
    <n v="3265.32"/>
    <n v="0"/>
  </r>
  <r>
    <x v="6"/>
    <x v="6"/>
    <x v="0"/>
    <s v="4709107"/>
    <n v="713010"/>
    <s v="Benefits-FICA/Medicare"/>
    <s v="Poulsbo-Med Oncology Lab"/>
    <x v="0"/>
    <m/>
    <n v="58.24"/>
    <n v="354.92"/>
    <n v="533.21"/>
    <n v="494.71"/>
    <n v="522.83000000000004"/>
    <n v="621.77"/>
    <n v="551.01"/>
    <n v="523.62"/>
    <n v="510.7"/>
    <n v="556.55999999999995"/>
    <n v="494.81"/>
    <n v="589.12"/>
    <n v="5811.5"/>
    <n v="-94.31"/>
  </r>
  <r>
    <x v="6"/>
    <x v="6"/>
    <x v="0"/>
    <s v="4709107"/>
    <n v="713090"/>
    <s v="Benefits-Allocated Amounts"/>
    <s v="Poulsbo-Med Oncology Lab"/>
    <x v="0"/>
    <m/>
    <n v="104.12"/>
    <n v="809.3"/>
    <n v="1345.92"/>
    <n v="1271.52"/>
    <n v="1408.52"/>
    <n v="1611.94"/>
    <n v="1525.5"/>
    <n v="1426.36"/>
    <n v="1167.08"/>
    <n v="1465.82"/>
    <n v="1305.72"/>
    <n v="1868.81"/>
    <n v="15310.609999999999"/>
    <n v="-563.08999999999992"/>
  </r>
  <r>
    <x v="11"/>
    <x v="6"/>
    <x v="0"/>
    <s v="4709107"/>
    <n v="721240"/>
    <s v="Supplies-IV Solutions/Supplies - Billable"/>
    <s v="Poulsbo-Med Oncology Lab"/>
    <x v="0"/>
    <m/>
    <n v="0"/>
    <n v="0"/>
    <n v="0"/>
    <n v="0"/>
    <n v="0"/>
    <n v="0"/>
    <n v="0.86"/>
    <n v="0"/>
    <n v="0"/>
    <n v="0"/>
    <n v="0"/>
    <n v="0"/>
    <n v="0.86"/>
    <n v="0"/>
  </r>
  <r>
    <x v="11"/>
    <x v="6"/>
    <x v="0"/>
    <s v="4709107"/>
    <n v="721410"/>
    <s v="Supplies-Medical - Nonbillable"/>
    <s v="Poulsbo-Med Oncology Lab"/>
    <x v="0"/>
    <m/>
    <n v="603.79"/>
    <n v="-2264.71"/>
    <n v="0"/>
    <n v="1544.17"/>
    <n v="463.12"/>
    <n v="150"/>
    <n v="563.80999999999995"/>
    <n v="955.7"/>
    <n v="672.66"/>
    <n v="597.98"/>
    <n v="220"/>
    <n v="748.46"/>
    <n v="4254.9799999999996"/>
    <n v="-528.46"/>
  </r>
  <r>
    <x v="11"/>
    <x v="6"/>
    <x v="0"/>
    <s v="4709107"/>
    <n v="721710"/>
    <s v="Supplies-Laboratory - Nonbillable"/>
    <s v="Poulsbo-Med Oncology Lab"/>
    <x v="0"/>
    <m/>
    <n v="0"/>
    <n v="474.8"/>
    <n v="128.44"/>
    <n v="148.72"/>
    <n v="9.3800000000000008"/>
    <n v="311.45999999999998"/>
    <n v="36.69"/>
    <n v="0"/>
    <n v="351.61"/>
    <n v="266.02999999999997"/>
    <n v="107.77"/>
    <n v="357.36"/>
    <n v="2192.2599999999998"/>
    <n v="-249.59000000000003"/>
  </r>
  <r>
    <x v="11"/>
    <x v="6"/>
    <x v="0"/>
    <s v="4709107"/>
    <n v="721710"/>
    <s v="Reagents"/>
    <s v="Poulsbo-Med Oncology Lab"/>
    <x v="0"/>
    <n v="1000"/>
    <n v="1773.17"/>
    <n v="4895.88"/>
    <n v="2087.1"/>
    <n v="579.42999999999995"/>
    <n v="390.83"/>
    <n v="2639.93"/>
    <n v="374.2"/>
    <n v="2395.13"/>
    <n v="474.4"/>
    <n v="1162.0899999999999"/>
    <n v="1815.56"/>
    <n v="1865.8"/>
    <n v="20453.52"/>
    <n v="-50.240000000000009"/>
  </r>
  <r>
    <x v="11"/>
    <x v="6"/>
    <x v="0"/>
    <s v="4709107"/>
    <n v="721830"/>
    <s v="Supplies-Office"/>
    <s v="Poulsbo-Med Oncology Lab"/>
    <x v="0"/>
    <m/>
    <n v="0"/>
    <n v="0"/>
    <n v="6.34"/>
    <n v="237.76"/>
    <n v="55.38"/>
    <n v="0"/>
    <n v="48.91"/>
    <n v="0"/>
    <n v="0"/>
    <n v="168.19"/>
    <n v="0"/>
    <n v="36.619999999999997"/>
    <n v="553.19999999999993"/>
    <n v="-36.619999999999997"/>
  </r>
  <r>
    <x v="11"/>
    <x v="6"/>
    <x v="0"/>
    <s v="4709107"/>
    <n v="721870"/>
    <s v="Supplies-Environmental Services"/>
    <s v="Poulsbo-Med Oncology Lab"/>
    <x v="0"/>
    <m/>
    <n v="90.2"/>
    <n v="0"/>
    <n v="0"/>
    <n v="3.1"/>
    <n v="80.239999999999995"/>
    <n v="0"/>
    <n v="0"/>
    <n v="0"/>
    <n v="0"/>
    <n v="0"/>
    <n v="24"/>
    <n v="0"/>
    <n v="197.54"/>
    <n v="24"/>
  </r>
  <r>
    <x v="11"/>
    <x v="6"/>
    <x v="0"/>
    <s v="4709107"/>
    <n v="721910"/>
    <s v="Supplies-Small Equipment"/>
    <s v="Poulsbo-Med Oncology Lab"/>
    <x v="0"/>
    <m/>
    <n v="0"/>
    <n v="0"/>
    <n v="0"/>
    <n v="0"/>
    <n v="40.33"/>
    <n v="0"/>
    <n v="0"/>
    <n v="0"/>
    <n v="0"/>
    <n v="5.04"/>
    <n v="0"/>
    <n v="6.8"/>
    <n v="52.169999999999995"/>
    <n v="-6.8"/>
  </r>
  <r>
    <x v="11"/>
    <x v="6"/>
    <x v="0"/>
    <s v="4709107"/>
    <n v="722000"/>
    <s v="Supplies-Freight Expense"/>
    <s v="Poulsbo-Med Oncology Lab"/>
    <x v="0"/>
    <m/>
    <n v="0"/>
    <n v="0"/>
    <n v="0"/>
    <n v="69.27"/>
    <n v="0"/>
    <n v="0"/>
    <n v="0"/>
    <n v="0"/>
    <n v="0"/>
    <n v="0"/>
    <n v="0"/>
    <n v="174.98"/>
    <n v="244.25"/>
    <n v="-174.98"/>
  </r>
  <r>
    <x v="16"/>
    <x v="6"/>
    <x v="0"/>
    <s v="4709107"/>
    <n v="732020"/>
    <s v="Repairs--Clin Equip-Parts-Internal to CHI Programs"/>
    <s v="Poulsbo-Med Oncology Lab"/>
    <x v="0"/>
    <m/>
    <n v="0"/>
    <n v="0"/>
    <n v="0"/>
    <n v="0"/>
    <n v="0"/>
    <n v="0"/>
    <n v="0"/>
    <n v="0"/>
    <n v="167.32"/>
    <n v="0"/>
    <n v="0"/>
    <n v="0"/>
    <n v="167.32"/>
    <n v="0"/>
  </r>
  <r>
    <x v="0"/>
    <x v="6"/>
    <x v="0"/>
    <s v="4709107"/>
    <n v="749510"/>
    <s v="Licenses"/>
    <s v="Poulsbo-Med Oncology Lab"/>
    <x v="0"/>
    <n v="1002"/>
    <n v="0"/>
    <n v="0"/>
    <n v="0"/>
    <n v="0"/>
    <n v="0"/>
    <n v="0"/>
    <n v="1027"/>
    <n v="0"/>
    <n v="0"/>
    <n v="0"/>
    <n v="5835"/>
    <n v="0"/>
    <n v="6862"/>
    <n v="5835"/>
  </r>
  <r>
    <x v="12"/>
    <x v="6"/>
    <x v="0"/>
    <s v="4711107"/>
    <n v="730020"/>
    <s v="Rental and Leases-Copier Usage Fees (DO NOT USE)"/>
    <s v="Belfair-Urgent Care Lab"/>
    <x v="0"/>
    <n v="5100"/>
    <n v="33.869999999999997"/>
    <n v="35.03"/>
    <n v="34.450000000000003"/>
    <n v="34.46"/>
    <n v="34.450000000000003"/>
    <n v="34.46"/>
    <n v="37.31"/>
    <n v="35.15"/>
    <n v="35.08"/>
    <n v="35.22"/>
    <n v="35.15"/>
    <n v="39.42"/>
    <n v="424.05"/>
    <n v="-4.2700000000000031"/>
  </r>
  <r>
    <x v="18"/>
    <x v="6"/>
    <x v="0"/>
    <s v="4712107"/>
    <n v="400010"/>
    <s v="Acute I/P Svcs Rev--Medicare"/>
    <s v="Bainbridge-Urgent Care Lab"/>
    <x v="0"/>
    <n v="1100"/>
    <n v="-505.05"/>
    <n v="0"/>
    <n v="0"/>
    <n v="0"/>
    <n v="0"/>
    <n v="0"/>
    <n v="0"/>
    <n v="0"/>
    <n v="0"/>
    <n v="0"/>
    <n v="0"/>
    <n v="0"/>
    <n v="-505.05"/>
    <n v="0"/>
  </r>
  <r>
    <x v="19"/>
    <x v="6"/>
    <x v="0"/>
    <s v="4712107"/>
    <n v="400020"/>
    <s v="O/P Care Svcs Rev--Medicaid"/>
    <s v="Bainbridge-Urgent Care Lab"/>
    <x v="0"/>
    <n v="1200"/>
    <n v="180.6"/>
    <n v="0"/>
    <n v="0"/>
    <n v="0"/>
    <n v="0"/>
    <n v="-332.35"/>
    <n v="0"/>
    <n v="0"/>
    <n v="0"/>
    <n v="0"/>
    <n v="0"/>
    <n v="0"/>
    <n v="-151.75000000000003"/>
    <n v="0"/>
  </r>
  <r>
    <x v="19"/>
    <x v="6"/>
    <x v="0"/>
    <s v="4712107"/>
    <n v="400020"/>
    <s v="O/P Care Svcs Rev--Managed Care"/>
    <s v="Bainbridge-Urgent Care Lab"/>
    <x v="0"/>
    <n v="1400"/>
    <n v="180.6"/>
    <n v="0"/>
    <n v="0"/>
    <n v="0"/>
    <n v="0"/>
    <n v="332.35"/>
    <n v="-187.1"/>
    <n v="0"/>
    <n v="0"/>
    <n v="0"/>
    <n v="0"/>
    <n v="0"/>
    <n v="325.85000000000002"/>
    <n v="0"/>
  </r>
  <r>
    <x v="19"/>
    <x v="6"/>
    <x v="0"/>
    <s v="4712107"/>
    <n v="400020"/>
    <s v="O/P Care Svcs Rev--Self Pay"/>
    <s v="Bainbridge-Urgent Care Lab"/>
    <x v="0"/>
    <n v="1500"/>
    <n v="0"/>
    <n v="0"/>
    <n v="0"/>
    <n v="0"/>
    <n v="0"/>
    <n v="0"/>
    <n v="187.1"/>
    <n v="0"/>
    <n v="0"/>
    <n v="0"/>
    <n v="0"/>
    <n v="0"/>
    <n v="187.1"/>
    <n v="0"/>
  </r>
  <r>
    <x v="5"/>
    <x v="6"/>
    <x v="0"/>
    <s v="4712107"/>
    <n v="700032"/>
    <s v="Salaries-Other Pat Care Providers-Productive"/>
    <s v="Bainbridge-Urgent Care Lab"/>
    <x v="0"/>
    <m/>
    <n v="11924.42"/>
    <n v="3634.65"/>
    <n v="555.25"/>
    <n v="-13.02"/>
    <n v="0"/>
    <n v="0"/>
    <n v="0"/>
    <n v="0"/>
    <n v="0"/>
    <n v="0"/>
    <n v="0"/>
    <n v="0"/>
    <n v="16101.3"/>
    <n v="0"/>
  </r>
  <r>
    <x v="5"/>
    <x v="6"/>
    <x v="0"/>
    <s v="4712107"/>
    <n v="700032"/>
    <s v="Salaries-Other Pat Care Providers-OT"/>
    <s v="Bainbridge-Urgent Care Lab"/>
    <x v="0"/>
    <n v="1000"/>
    <n v="352.54"/>
    <n v="585.47"/>
    <n v="0"/>
    <n v="35.42"/>
    <n v="0"/>
    <n v="0"/>
    <n v="0"/>
    <n v="0"/>
    <n v="0"/>
    <n v="0"/>
    <n v="0"/>
    <n v="0"/>
    <n v="973.43"/>
    <n v="0"/>
  </r>
  <r>
    <x v="5"/>
    <x v="6"/>
    <x v="0"/>
    <s v="4712107"/>
    <n v="700032"/>
    <s v="Salaries-Other Pat Care Providers-Other"/>
    <s v="Bainbridge-Urgent Care Lab"/>
    <x v="0"/>
    <n v="2000"/>
    <n v="184.02"/>
    <n v="56.98"/>
    <n v="0"/>
    <n v="0"/>
    <n v="0"/>
    <n v="0"/>
    <n v="0"/>
    <n v="0"/>
    <n v="0"/>
    <n v="0"/>
    <n v="0"/>
    <n v="0"/>
    <n v="241"/>
    <n v="0"/>
  </r>
  <r>
    <x v="5"/>
    <x v="6"/>
    <x v="0"/>
    <s v="4712107"/>
    <n v="700072"/>
    <s v="Salaries-Other Pat Care Providers-Non-productive"/>
    <s v="Bainbridge-Urgent Care Lab"/>
    <x v="0"/>
    <m/>
    <n v="900.74"/>
    <n v="-76.7"/>
    <n v="0"/>
    <n v="0"/>
    <n v="0"/>
    <n v="0"/>
    <n v="0"/>
    <n v="0"/>
    <n v="0"/>
    <n v="0"/>
    <n v="0"/>
    <n v="0"/>
    <n v="824.04"/>
    <n v="0"/>
  </r>
  <r>
    <x v="5"/>
    <x v="6"/>
    <x v="0"/>
    <s v="4712107"/>
    <n v="700072"/>
    <s v="Salaries-Other Pat Care Providers-NonProd-Other"/>
    <s v="Bainbridge-Urgent Care Lab"/>
    <x v="0"/>
    <n v="2000"/>
    <n v="0"/>
    <n v="595.52"/>
    <n v="174.86"/>
    <n v="180.69"/>
    <n v="-64.11"/>
    <n v="0"/>
    <n v="0"/>
    <n v="0"/>
    <n v="0"/>
    <n v="0"/>
    <n v="0"/>
    <n v="0"/>
    <n v="886.95999999999992"/>
    <n v="0"/>
  </r>
  <r>
    <x v="5"/>
    <x v="6"/>
    <x v="0"/>
    <s v="4712107"/>
    <n v="700084"/>
    <s v="Accrued PTO"/>
    <s v="Bainbridge-Urgent Care Lab"/>
    <x v="0"/>
    <m/>
    <n v="377.2"/>
    <n v="111.79"/>
    <n v="0"/>
    <n v="0"/>
    <n v="0"/>
    <n v="0"/>
    <n v="0"/>
    <n v="0"/>
    <n v="0"/>
    <n v="0"/>
    <n v="0"/>
    <n v="0"/>
    <n v="488.99"/>
    <n v="0"/>
  </r>
  <r>
    <x v="6"/>
    <x v="6"/>
    <x v="0"/>
    <s v="4712107"/>
    <n v="713010"/>
    <s v="Benefits-FICA/Medicare"/>
    <s v="Bainbridge-Urgent Care Lab"/>
    <x v="0"/>
    <m/>
    <n v="1895.26"/>
    <n v="988.35"/>
    <n v="54.42"/>
    <n v="16.14"/>
    <n v="-4.8899999999999997"/>
    <n v="0"/>
    <n v="0"/>
    <n v="0"/>
    <n v="0"/>
    <n v="0"/>
    <n v="0"/>
    <n v="0"/>
    <n v="2949.28"/>
    <n v="0"/>
  </r>
  <r>
    <x v="6"/>
    <x v="6"/>
    <x v="0"/>
    <s v="4712107"/>
    <n v="713090"/>
    <s v="Benefits-Allocated Amounts"/>
    <s v="Bainbridge-Urgent Care Lab"/>
    <x v="0"/>
    <m/>
    <n v="2537.2800000000002"/>
    <n v="579.91"/>
    <n v="155.27000000000001"/>
    <n v="0.67"/>
    <n v="117.14"/>
    <n v="52.07"/>
    <n v="-34.299999999999997"/>
    <n v="53.84"/>
    <n v="-81.96"/>
    <n v="47.43"/>
    <n v="-38.51"/>
    <n v="109.89"/>
    <n v="3498.7299999999996"/>
    <n v="-148.4"/>
  </r>
  <r>
    <x v="7"/>
    <x v="6"/>
    <x v="0"/>
    <s v="4712107"/>
    <n v="718050"/>
    <s v="Contract Management--Linen"/>
    <s v="Bainbridge-Urgent Care Lab"/>
    <x v="0"/>
    <n v="1026"/>
    <n v="0"/>
    <n v="0"/>
    <n v="450.38"/>
    <n v="0"/>
    <n v="0"/>
    <n v="0"/>
    <n v="0"/>
    <n v="0"/>
    <n v="0"/>
    <n v="0"/>
    <n v="0"/>
    <n v="0"/>
    <n v="450.38"/>
    <n v="0"/>
  </r>
  <r>
    <x v="7"/>
    <x v="6"/>
    <x v="0"/>
    <s v="4712107"/>
    <n v="718070"/>
    <s v="Contract Srvcs-CHI Clinical Engineering"/>
    <s v="Bainbridge-Urgent Care Lab"/>
    <x v="0"/>
    <m/>
    <n v="207.62"/>
    <n v="331.07"/>
    <n v="356.38"/>
    <n v="356.38"/>
    <n v="356.38"/>
    <n v="355.53"/>
    <n v="355.53"/>
    <n v="356.38"/>
    <n v="250.91"/>
    <n v="356.38"/>
    <n v="356.38"/>
    <n v="356.38"/>
    <n v="3995.32"/>
    <n v="0"/>
  </r>
  <r>
    <x v="11"/>
    <x v="6"/>
    <x v="0"/>
    <s v="4712107"/>
    <n v="721410"/>
    <s v="Supplies-Medical - Nonbillable"/>
    <s v="Bainbridge-Urgent Care Lab"/>
    <x v="0"/>
    <m/>
    <n v="0"/>
    <n v="8.56"/>
    <n v="0"/>
    <n v="0"/>
    <n v="0"/>
    <n v="0"/>
    <n v="0"/>
    <n v="0"/>
    <n v="0"/>
    <n v="0"/>
    <n v="0"/>
    <n v="0"/>
    <n v="8.56"/>
    <n v="0"/>
  </r>
  <r>
    <x v="11"/>
    <x v="6"/>
    <x v="0"/>
    <s v="4712107"/>
    <n v="721640"/>
    <s v="Supplies-IV Solutions/Supplies - Nonbillable"/>
    <s v="Bainbridge-Urgent Care Lab"/>
    <x v="0"/>
    <m/>
    <n v="0"/>
    <n v="33.83"/>
    <n v="0"/>
    <n v="0"/>
    <n v="0"/>
    <n v="0"/>
    <n v="0"/>
    <n v="0"/>
    <n v="0"/>
    <n v="0"/>
    <n v="0"/>
    <n v="0"/>
    <n v="33.83"/>
    <n v="0"/>
  </r>
  <r>
    <x v="11"/>
    <x v="6"/>
    <x v="0"/>
    <s v="4712107"/>
    <n v="721710"/>
    <s v="Supplies-Laboratory - Nonbillable"/>
    <s v="Bainbridge-Urgent Care Lab"/>
    <x v="0"/>
    <m/>
    <n v="263.14999999999998"/>
    <n v="141.56"/>
    <n v="0"/>
    <n v="-343.38"/>
    <n v="26.15"/>
    <n v="0"/>
    <n v="0"/>
    <n v="208.56"/>
    <n v="0"/>
    <n v="47.67"/>
    <n v="0"/>
    <n v="0"/>
    <n v="343.71"/>
    <n v="0"/>
  </r>
  <r>
    <x v="11"/>
    <x v="6"/>
    <x v="0"/>
    <s v="4712107"/>
    <n v="721710"/>
    <s v="Reagents"/>
    <s v="Bainbridge-Urgent Care Lab"/>
    <x v="0"/>
    <n v="1000"/>
    <n v="2880.26"/>
    <n v="0"/>
    <n v="130.24"/>
    <n v="-183.83"/>
    <n v="-661.79"/>
    <n v="263.73"/>
    <n v="0"/>
    <n v="163.09"/>
    <n v="0"/>
    <n v="0"/>
    <n v="0"/>
    <n v="0"/>
    <n v="2591.7000000000003"/>
    <n v="0"/>
  </r>
  <r>
    <x v="11"/>
    <x v="6"/>
    <x v="0"/>
    <s v="4712107"/>
    <n v="721830"/>
    <s v="Supplies-Office"/>
    <s v="Bainbridge-Urgent Care Lab"/>
    <x v="0"/>
    <m/>
    <n v="0"/>
    <n v="62.05"/>
    <n v="0"/>
    <n v="0"/>
    <n v="0"/>
    <n v="0"/>
    <n v="0"/>
    <n v="0"/>
    <n v="0"/>
    <n v="129.94"/>
    <n v="0"/>
    <n v="0"/>
    <n v="191.99"/>
    <n v="0"/>
  </r>
  <r>
    <x v="11"/>
    <x v="6"/>
    <x v="0"/>
    <s v="4712107"/>
    <n v="721870"/>
    <s v="Supplies-Environmental Services"/>
    <s v="Bainbridge-Urgent Care Lab"/>
    <x v="0"/>
    <m/>
    <n v="6.2"/>
    <n v="0"/>
    <n v="0"/>
    <n v="0"/>
    <n v="0"/>
    <n v="0"/>
    <n v="0"/>
    <n v="0"/>
    <n v="0"/>
    <n v="0"/>
    <n v="0"/>
    <n v="0"/>
    <n v="6.2"/>
    <n v="0"/>
  </r>
  <r>
    <x v="11"/>
    <x v="6"/>
    <x v="0"/>
    <s v="4712107"/>
    <n v="721880"/>
    <s v="Supplies-Linen"/>
    <s v="Bainbridge-Urgent Care Lab"/>
    <x v="0"/>
    <m/>
    <n v="205.53"/>
    <n v="274.04000000000002"/>
    <n v="-274.04000000000002"/>
    <n v="0"/>
    <n v="0"/>
    <n v="0"/>
    <n v="0"/>
    <n v="0"/>
    <n v="0"/>
    <n v="0"/>
    <n v="0"/>
    <n v="0"/>
    <n v="205.53000000000003"/>
    <n v="0"/>
  </r>
  <r>
    <x v="11"/>
    <x v="6"/>
    <x v="0"/>
    <s v="4712107"/>
    <n v="722000"/>
    <s v="Supplies-Freight Expense"/>
    <s v="Bainbridge-Urgent Care Lab"/>
    <x v="0"/>
    <m/>
    <n v="0"/>
    <n v="0"/>
    <n v="0"/>
    <n v="139.86000000000001"/>
    <n v="0"/>
    <n v="0"/>
    <n v="0"/>
    <n v="0"/>
    <n v="0"/>
    <n v="0"/>
    <n v="0"/>
    <n v="0"/>
    <n v="139.86000000000001"/>
    <n v="0"/>
  </r>
  <r>
    <x v="12"/>
    <x v="6"/>
    <x v="0"/>
    <s v="4712107"/>
    <n v="730020"/>
    <s v="Rental and Leases-Copier Usage Fees (DO NOT USE)"/>
    <s v="Bainbridge-Urgent Care Lab"/>
    <x v="0"/>
    <n v="5100"/>
    <n v="61.01"/>
    <n v="63.14"/>
    <n v="62.07"/>
    <n v="62.07"/>
    <n v="62.07"/>
    <n v="62.07"/>
    <n v="56.32"/>
    <n v="63.18"/>
    <n v="63.05"/>
    <n v="63.31"/>
    <n v="63.18"/>
    <n v="69.7"/>
    <n v="751.17"/>
    <n v="-6.5200000000000031"/>
  </r>
  <r>
    <x v="13"/>
    <x v="6"/>
    <x v="0"/>
    <s v="4712107"/>
    <n v="735070"/>
    <s v="Depreciation-Movable Equipment"/>
    <s v="Bainbridge-Urgent Care Lab"/>
    <x v="0"/>
    <m/>
    <n v="808.3"/>
    <n v="808.29"/>
    <n v="808.3"/>
    <n v="808.28"/>
    <n v="808.31"/>
    <n v="808.28"/>
    <n v="808.31"/>
    <n v="808.28"/>
    <n v="808.31"/>
    <n v="808.28"/>
    <n v="808.32"/>
    <n v="808.28"/>
    <n v="9699.5400000000009"/>
    <n v="4.0000000000077307E-2"/>
  </r>
  <r>
    <x v="0"/>
    <x v="6"/>
    <x v="0"/>
    <s v="4712107"/>
    <n v="749510"/>
    <s v="Miscellaneous Expenses"/>
    <s v="Bainbridge-Urgent Care Lab"/>
    <x v="0"/>
    <m/>
    <n v="0"/>
    <n v="327"/>
    <n v="0"/>
    <n v="-18.34"/>
    <n v="0"/>
    <n v="0"/>
    <n v="0"/>
    <n v="0"/>
    <n v="0"/>
    <n v="0"/>
    <n v="0"/>
    <n v="0"/>
    <n v="308.66000000000003"/>
    <n v="0"/>
  </r>
  <r>
    <x v="7"/>
    <x v="3"/>
    <x v="0"/>
    <s v="4740101"/>
    <n v="718050"/>
    <s v="Document Shredding/Storage"/>
    <s v="PACLAB Reference Lab"/>
    <x v="0"/>
    <n v="1012"/>
    <n v="211.33"/>
    <n v="53.2"/>
    <n v="148.32"/>
    <n v="153.47"/>
    <n v="158.62"/>
    <n v="158.62"/>
    <n v="157.03"/>
    <n v="134.66"/>
    <n v="139.56"/>
    <n v="182.71"/>
    <n v="153.46"/>
    <n v="4498.93"/>
    <n v="6149.9100000000008"/>
    <n v="-4345.47"/>
  </r>
  <r>
    <x v="11"/>
    <x v="3"/>
    <x v="0"/>
    <s v="4740101"/>
    <n v="723000"/>
    <s v="Supply Rebates/Patronage Dividend"/>
    <s v="PACLAB Reference Lab"/>
    <x v="0"/>
    <m/>
    <n v="0"/>
    <n v="0"/>
    <n v="0"/>
    <n v="0"/>
    <n v="0"/>
    <n v="0"/>
    <n v="0"/>
    <n v="0"/>
    <n v="-1.59"/>
    <n v="0"/>
    <n v="0"/>
    <n v="0"/>
    <n v="-1.59"/>
    <n v="0"/>
  </r>
  <r>
    <x v="12"/>
    <x v="3"/>
    <x v="0"/>
    <s v="4740101"/>
    <n v="730020"/>
    <s v="Rental and Leases-Copier Usage Fees (DO NOT USE)"/>
    <s v="PACLAB Reference Lab"/>
    <x v="0"/>
    <n v="5100"/>
    <n v="38.340000000000003"/>
    <n v="39.409999999999997"/>
    <n v="38.869999999999997"/>
    <n v="38.869999999999997"/>
    <n v="38.869999999999997"/>
    <n v="38.869999999999997"/>
    <n v="-53.34"/>
    <n v="35.64"/>
    <n v="35.56"/>
    <n v="35.72"/>
    <n v="35.64"/>
    <n v="0"/>
    <n v="322.45000000000005"/>
    <n v="35.64"/>
  </r>
  <r>
    <x v="18"/>
    <x v="6"/>
    <x v="0"/>
    <s v="4741107"/>
    <n v="400010"/>
    <s v="Acute I/P Svcs Rev--Medicare"/>
    <s v="Outreach Laboratory"/>
    <x v="0"/>
    <n v="1100"/>
    <n v="0"/>
    <n v="0"/>
    <n v="-1470.54"/>
    <n v="-5248.8"/>
    <n v="-1727.58"/>
    <n v="-5195.22"/>
    <n v="-2309.2199999999998"/>
    <n v="-2551.6799999999998"/>
    <n v="-3334.74"/>
    <n v="-2182.14"/>
    <n v="-4308.6000000000004"/>
    <n v="-4375.8599999999997"/>
    <n v="-32704.379999999997"/>
    <n v="67.259999999999309"/>
  </r>
  <r>
    <x v="18"/>
    <x v="6"/>
    <x v="0"/>
    <s v="4741107"/>
    <n v="400010"/>
    <s v="Acute I/P Svcs Rev--Medicaid"/>
    <s v="Outreach Laboratory"/>
    <x v="0"/>
    <n v="1200"/>
    <n v="0"/>
    <n v="0"/>
    <n v="-75.239999999999995"/>
    <n v="-108.24"/>
    <n v="-347.22"/>
    <n v="-267.48"/>
    <n v="-555.96"/>
    <n v="-417.98"/>
    <n v="-269.82"/>
    <n v="-112.5"/>
    <n v="-695.22"/>
    <n v="-1293.1600000000001"/>
    <n v="-4142.82"/>
    <n v="597.94000000000005"/>
  </r>
  <r>
    <x v="18"/>
    <x v="6"/>
    <x v="0"/>
    <s v="4741107"/>
    <n v="400010"/>
    <s v="Acute I/P Svcs Rev--Comm Insurance"/>
    <s v="Outreach Laboratory"/>
    <x v="0"/>
    <n v="1300"/>
    <n v="0"/>
    <n v="0"/>
    <n v="0"/>
    <n v="0"/>
    <n v="-93.24"/>
    <n v="0"/>
    <n v="0"/>
    <n v="0"/>
    <n v="0"/>
    <n v="0"/>
    <n v="-377.34"/>
    <n v="377.34"/>
    <n v="-93.240000000000009"/>
    <n v="-754.68"/>
  </r>
  <r>
    <x v="18"/>
    <x v="6"/>
    <x v="0"/>
    <s v="4741107"/>
    <n v="400010"/>
    <s v="Acute I/P Svcs Rev--BCBS Comm"/>
    <s v="Outreach Laboratory"/>
    <x v="0"/>
    <n v="1301"/>
    <n v="0"/>
    <n v="0"/>
    <n v="-93.24"/>
    <n v="-322.8"/>
    <n v="-54.12"/>
    <n v="0"/>
    <n v="-358.08"/>
    <n v="0"/>
    <n v="-856.32"/>
    <n v="-145.38"/>
    <n v="-1236.3599999999999"/>
    <n v="-152.52000000000001"/>
    <n v="-3218.82"/>
    <n v="-1083.8399999999999"/>
  </r>
  <r>
    <x v="18"/>
    <x v="6"/>
    <x v="0"/>
    <s v="4741107"/>
    <n v="400010"/>
    <s v="Acute I/P Svcs Rev--Managed Care"/>
    <s v="Outreach Laboratory"/>
    <x v="0"/>
    <n v="1400"/>
    <n v="0"/>
    <n v="0"/>
    <n v="-37.619999999999997"/>
    <n v="-87.66"/>
    <n v="-575.64"/>
    <n v="-273.72000000000003"/>
    <n v="-512.34"/>
    <n v="-430.98"/>
    <n v="0"/>
    <n v="0"/>
    <n v="-533.64"/>
    <n v="0"/>
    <n v="-2451.6"/>
    <n v="-533.64"/>
  </r>
  <r>
    <x v="18"/>
    <x v="6"/>
    <x v="0"/>
    <s v="4741107"/>
    <n v="400010"/>
    <s v="Acute I/P Svcs Rev--Other"/>
    <s v="Outreach Laboratory"/>
    <x v="0"/>
    <n v="1700"/>
    <n v="0"/>
    <n v="0"/>
    <n v="0"/>
    <n v="0"/>
    <n v="0"/>
    <n v="0"/>
    <n v="0"/>
    <n v="0"/>
    <n v="0"/>
    <n v="-168.96"/>
    <n v="0"/>
    <n v="0"/>
    <n v="-168.96"/>
    <n v="0"/>
  </r>
  <r>
    <x v="19"/>
    <x v="6"/>
    <x v="0"/>
    <s v="4741107"/>
    <n v="400020"/>
    <s v="O/P Care Svcs Rev--Medicare"/>
    <s v="Outreach Laboratory"/>
    <x v="0"/>
    <n v="1100"/>
    <n v="-548257.63"/>
    <n v="-633640.02"/>
    <n v="-660810.93999999994"/>
    <n v="-548041.4"/>
    <n v="-678025.99"/>
    <n v="-611776.9"/>
    <n v="-1339786.23"/>
    <n v="-798494.9"/>
    <n v="-1084741.75"/>
    <n v="-1093051.3899999999"/>
    <n v="-1204889.29"/>
    <n v="-1132587.51"/>
    <n v="-10334103.949999999"/>
    <n v="-72301.780000000028"/>
  </r>
  <r>
    <x v="19"/>
    <x v="6"/>
    <x v="0"/>
    <s v="4741107"/>
    <n v="400020"/>
    <s v="O/P Care Svcs Rev--Medicaid"/>
    <s v="Outreach Laboratory"/>
    <x v="0"/>
    <n v="1200"/>
    <n v="-152276.81"/>
    <n v="-215099.73"/>
    <n v="-272108.5"/>
    <n v="-304375.83"/>
    <n v="-181822.1"/>
    <n v="-202661.03"/>
    <n v="-560330.68999999994"/>
    <n v="-322392.28999999998"/>
    <n v="-436059.24"/>
    <n v="-430746.5"/>
    <n v="-463386.65"/>
    <n v="-431201.96"/>
    <n v="-3972461.3299999996"/>
    <n v="-32184.690000000002"/>
  </r>
  <r>
    <x v="19"/>
    <x v="6"/>
    <x v="0"/>
    <s v="4741107"/>
    <n v="400020"/>
    <s v="O/P Care Svcs Rev--Comm Insurance"/>
    <s v="Outreach Laboratory"/>
    <x v="0"/>
    <n v="1300"/>
    <n v="-71632.41"/>
    <n v="-70884.73"/>
    <n v="-21226.799999999999"/>
    <n v="-33028.58"/>
    <n v="-51798.26"/>
    <n v="-65179.96"/>
    <n v="-119041.16"/>
    <n v="-68411.11"/>
    <n v="-92286.15"/>
    <n v="-97866.29"/>
    <n v="-117221.44"/>
    <n v="-94713.79"/>
    <n v="-903290.68000000017"/>
    <n v="-22507.650000000009"/>
  </r>
  <r>
    <x v="19"/>
    <x v="6"/>
    <x v="0"/>
    <s v="4741107"/>
    <n v="400020"/>
    <s v="O/P Care Svcs Rev--BCBS Comm"/>
    <s v="Outreach Laboratory"/>
    <x v="0"/>
    <n v="1301"/>
    <n v="0"/>
    <n v="0"/>
    <n v="-157072.6"/>
    <n v="-189745.99"/>
    <n v="-250551.83"/>
    <n v="-277993.62"/>
    <n v="-522598.57"/>
    <n v="-330006.62"/>
    <n v="-480689.12"/>
    <n v="-493715.84"/>
    <n v="-528498.29"/>
    <n v="-479989.58"/>
    <n v="-3710862.06"/>
    <n v="-48508.710000000021"/>
  </r>
  <r>
    <x v="19"/>
    <x v="6"/>
    <x v="0"/>
    <s v="4741107"/>
    <n v="400020"/>
    <s v="O/P Care Svcs Rev--Managed Care"/>
    <s v="Outreach Laboratory"/>
    <x v="0"/>
    <n v="1400"/>
    <n v="-447165.34"/>
    <n v="-545629.11"/>
    <n v="-364336.81"/>
    <n v="-317607.65000000002"/>
    <n v="-346308.81"/>
    <n v="-338305.24"/>
    <n v="-715379.78"/>
    <n v="-419435.05"/>
    <n v="-648454.06000000006"/>
    <n v="-586522.88"/>
    <n v="-676183.64"/>
    <n v="-575223.59"/>
    <n v="-5980551.96"/>
    <n v="-100960.05000000005"/>
  </r>
  <r>
    <x v="19"/>
    <x v="6"/>
    <x v="0"/>
    <s v="4741107"/>
    <n v="400020"/>
    <s v="O/P Care Svcs Rev--Self Pay"/>
    <s v="Outreach Laboratory"/>
    <x v="0"/>
    <n v="1500"/>
    <n v="-29808.58"/>
    <n v="-17114.79"/>
    <n v="-22519.71"/>
    <n v="-15192.12"/>
    <n v="-153805.26"/>
    <n v="-198976.8"/>
    <n v="-144660.78"/>
    <n v="-108145.84"/>
    <n v="-9105.52"/>
    <n v="-70240.77"/>
    <n v="69486.16"/>
    <n v="-1552.59"/>
    <n v="-701636.6"/>
    <n v="71038.75"/>
  </r>
  <r>
    <x v="19"/>
    <x v="6"/>
    <x v="0"/>
    <s v="4741107"/>
    <n v="400020"/>
    <s v="O/P Care Svcs Rev--Other"/>
    <s v="Outreach Laboratory"/>
    <x v="0"/>
    <n v="1700"/>
    <n v="-104537.21"/>
    <n v="-109651.93"/>
    <n v="-156870.82999999999"/>
    <n v="-126381.21"/>
    <n v="-92309.19"/>
    <n v="-93094.07"/>
    <n v="-240179.93"/>
    <n v="-131171.21"/>
    <n v="-175562.9"/>
    <n v="-182463.68"/>
    <n v="-195283.07"/>
    <n v="-167917.57"/>
    <n v="-1775422.7999999998"/>
    <n v="-27365.5"/>
  </r>
  <r>
    <x v="5"/>
    <x v="6"/>
    <x v="0"/>
    <s v="4741107"/>
    <n v="700018"/>
    <s v="Salaries-Supervisory-Productive"/>
    <s v="Outreach Laboratory"/>
    <x v="0"/>
    <m/>
    <n v="0"/>
    <n v="2615.1999999999998"/>
    <n v="6463.2"/>
    <n v="5966.55"/>
    <n v="4768.07"/>
    <n v="5349.7"/>
    <n v="6095.6"/>
    <n v="4522.83"/>
    <n v="6114.59"/>
    <n v="5823.23"/>
    <n v="5202.26"/>
    <n v="4988.82"/>
    <n v="57910.05"/>
    <n v="213.44000000000051"/>
  </r>
  <r>
    <x v="5"/>
    <x v="6"/>
    <x v="0"/>
    <s v="4741107"/>
    <n v="700032"/>
    <s v="Salaries-Other Pat Care Providers-Productive"/>
    <s v="Outreach Laboratory"/>
    <x v="0"/>
    <m/>
    <n v="32210.94"/>
    <n v="35324.03"/>
    <n v="30938.44"/>
    <n v="30411.99"/>
    <n v="31428.82"/>
    <n v="33155.019999999997"/>
    <n v="36657.79"/>
    <n v="28685.84"/>
    <n v="33061.97"/>
    <n v="27929.26"/>
    <n v="32998.660000000003"/>
    <n v="33584.730000000003"/>
    <n v="386387.49"/>
    <n v="-586.06999999999971"/>
  </r>
  <r>
    <x v="5"/>
    <x v="6"/>
    <x v="0"/>
    <s v="4741107"/>
    <n v="700032"/>
    <s v="Salaries-Other Pat Care Providers-OT"/>
    <s v="Outreach Laboratory"/>
    <x v="0"/>
    <n v="1000"/>
    <n v="1447.99"/>
    <n v="1959.83"/>
    <n v="1762.03"/>
    <n v="1399.18"/>
    <n v="2288.8000000000002"/>
    <n v="1929.25"/>
    <n v="2521.1999999999998"/>
    <n v="2548.69"/>
    <n v="3569.58"/>
    <n v="2205.61"/>
    <n v="2968.87"/>
    <n v="2051.46"/>
    <n v="26652.489999999998"/>
    <n v="917.40999999999985"/>
  </r>
  <r>
    <x v="5"/>
    <x v="6"/>
    <x v="0"/>
    <s v="4741107"/>
    <n v="700032"/>
    <s v="Salaries-Other Pat Care Providers-Other"/>
    <s v="Outreach Laboratory"/>
    <x v="0"/>
    <n v="2000"/>
    <n v="114.17"/>
    <n v="153.13999999999999"/>
    <n v="119.54"/>
    <n v="141.49"/>
    <n v="404.21"/>
    <n v="790.71"/>
    <n v="579.92999999999995"/>
    <n v="617.02"/>
    <n v="729.27"/>
    <n v="451.88"/>
    <n v="491.22"/>
    <n v="587.80999999999995"/>
    <n v="5180.3899999999994"/>
    <n v="-96.589999999999918"/>
  </r>
  <r>
    <x v="5"/>
    <x v="6"/>
    <x v="0"/>
    <s v="4741107"/>
    <n v="700054"/>
    <s v="Salaries-Management-NonProd-Other"/>
    <s v="Outreach Laboratory"/>
    <x v="0"/>
    <n v="2000"/>
    <n v="0"/>
    <n v="0"/>
    <n v="0"/>
    <n v="0"/>
    <n v="0"/>
    <n v="1024"/>
    <n v="-1024"/>
    <n v="0"/>
    <n v="0"/>
    <n v="0"/>
    <n v="0"/>
    <n v="0"/>
    <n v="0"/>
    <n v="0"/>
  </r>
  <r>
    <x v="5"/>
    <x v="6"/>
    <x v="0"/>
    <s v="4741107"/>
    <n v="700058"/>
    <s v="Salaries-Supervisory-Non-productive"/>
    <s v="Outreach Laboratory"/>
    <x v="0"/>
    <m/>
    <n v="0"/>
    <n v="0"/>
    <n v="261.52"/>
    <n v="0"/>
    <n v="1046.6300000000001"/>
    <n v="659.03"/>
    <n v="-77.5"/>
    <n v="912.32"/>
    <n v="-97.04"/>
    <n v="0"/>
    <n v="815.27"/>
    <n v="834.67"/>
    <n v="4354.8999999999996"/>
    <n v="-19.399999999999977"/>
  </r>
  <r>
    <x v="5"/>
    <x v="6"/>
    <x v="0"/>
    <s v="4741107"/>
    <n v="700072"/>
    <s v="Salaries-Other Pat Care Providers-Non-productive"/>
    <s v="Outreach Laboratory"/>
    <x v="0"/>
    <m/>
    <n v="4552.5600000000004"/>
    <n v="2858.44"/>
    <n v="4808.47"/>
    <n v="5363.79"/>
    <n v="5053.6899999999996"/>
    <n v="8461.32"/>
    <n v="5125.8900000000003"/>
    <n v="5499.29"/>
    <n v="1585.07"/>
    <n v="1429.8"/>
    <n v="4585.45"/>
    <n v="3452.85"/>
    <n v="52776.62"/>
    <n v="1132.5999999999999"/>
  </r>
  <r>
    <x v="5"/>
    <x v="6"/>
    <x v="0"/>
    <s v="4741107"/>
    <n v="700072"/>
    <s v="Salaries-Other Pat Care Providers-NonProd-Other"/>
    <s v="Outreach Laboratory"/>
    <x v="0"/>
    <n v="2000"/>
    <n v="127.71"/>
    <n v="6.59"/>
    <n v="42.94"/>
    <n v="72.430000000000007"/>
    <n v="70.41"/>
    <n v="170.86"/>
    <n v="205.59"/>
    <n v="97.52"/>
    <n v="79.02"/>
    <n v="-2.0699999999999998"/>
    <n v="89.74"/>
    <n v="165.8"/>
    <n v="1126.54"/>
    <n v="-76.060000000000016"/>
  </r>
  <r>
    <x v="5"/>
    <x v="6"/>
    <x v="0"/>
    <s v="4741107"/>
    <n v="700084"/>
    <s v="Accrued PTO"/>
    <s v="Outreach Laboratory"/>
    <x v="0"/>
    <m/>
    <n v="-690.74"/>
    <n v="975.28"/>
    <n v="219.67"/>
    <n v="693.87"/>
    <n v="918.16"/>
    <n v="-2907.92"/>
    <n v="-465.76"/>
    <n v="-1006.39"/>
    <n v="2420.3000000000002"/>
    <n v="2744.27"/>
    <n v="688.35"/>
    <n v="295.64999999999998"/>
    <n v="3884.74"/>
    <n v="392.70000000000005"/>
  </r>
  <r>
    <x v="6"/>
    <x v="6"/>
    <x v="0"/>
    <s v="4741107"/>
    <n v="713010"/>
    <s v="Benefits-FICA/Medicare"/>
    <s v="Outreach Laboratory"/>
    <x v="0"/>
    <m/>
    <n v="2921.9"/>
    <n v="3264.42"/>
    <n v="3332.84"/>
    <n v="3269.35"/>
    <n v="3417.2"/>
    <n v="3893.66"/>
    <n v="3938.75"/>
    <n v="3672.43"/>
    <n v="3398.91"/>
    <n v="2919.72"/>
    <n v="3551.22"/>
    <n v="3438.61"/>
    <n v="41019.01"/>
    <n v="112.60999999999967"/>
  </r>
  <r>
    <x v="6"/>
    <x v="6"/>
    <x v="0"/>
    <s v="4741107"/>
    <n v="713090"/>
    <s v="Benefits-Allocated Amounts"/>
    <s v="Outreach Laboratory"/>
    <x v="0"/>
    <m/>
    <n v="11057.55"/>
    <n v="10865.49"/>
    <n v="11992.13"/>
    <n v="11557.67"/>
    <n v="13595.39"/>
    <n v="13935.05"/>
    <n v="14151.16"/>
    <n v="12300.07"/>
    <n v="10410.73"/>
    <n v="11260.34"/>
    <n v="12806.04"/>
    <n v="15168.75"/>
    <n v="149100.37"/>
    <n v="-2362.7099999999991"/>
  </r>
  <r>
    <x v="7"/>
    <x v="6"/>
    <x v="0"/>
    <s v="4741107"/>
    <n v="718040"/>
    <s v="Contract Svcs-Reference Lab Fees"/>
    <s v="Outreach Laboratory"/>
    <x v="0"/>
    <n v="1001"/>
    <n v="0"/>
    <n v="0"/>
    <n v="0"/>
    <n v="0"/>
    <n v="0"/>
    <n v="0"/>
    <n v="1144.3599999999999"/>
    <n v="0"/>
    <n v="0"/>
    <n v="0"/>
    <n v="0"/>
    <n v="0"/>
    <n v="1144.3599999999999"/>
    <n v="0"/>
  </r>
  <r>
    <x v="7"/>
    <x v="6"/>
    <x v="0"/>
    <s v="4741107"/>
    <n v="718050"/>
    <s v="Miscellaneous Purchased Svcs"/>
    <s v="Outreach Laboratory"/>
    <x v="0"/>
    <n v="1020"/>
    <n v="23939.87"/>
    <n v="29668.959999999999"/>
    <n v="558.6"/>
    <n v="50065.39"/>
    <n v="52711.19"/>
    <n v="9294.64"/>
    <n v="40628.870000000003"/>
    <n v="98930.13"/>
    <n v="31888.81"/>
    <n v="43680.37"/>
    <n v="38847.089999999997"/>
    <n v="38395.81"/>
    <n v="458609.73000000004"/>
    <n v="451.27999999999884"/>
  </r>
  <r>
    <x v="7"/>
    <x v="6"/>
    <x v="0"/>
    <s v="4741107"/>
    <n v="718060"/>
    <s v="Contract Services-CHI RRC Fees"/>
    <s v="Outreach Laboratory"/>
    <x v="0"/>
    <m/>
    <n v="0"/>
    <n v="0"/>
    <n v="0"/>
    <n v="0"/>
    <n v="87269"/>
    <n v="24468"/>
    <n v="24468"/>
    <n v="24933"/>
    <n v="24933"/>
    <n v="24933"/>
    <n v="24933"/>
    <n v="24932"/>
    <n v="260869"/>
    <n v="1"/>
  </r>
  <r>
    <x v="7"/>
    <x v="6"/>
    <x v="0"/>
    <s v="4741107"/>
    <n v="718091"/>
    <s v="Contract Services-Intracompany Allocation"/>
    <s v="Outreach Laboratory"/>
    <x v="0"/>
    <m/>
    <n v="3113.48"/>
    <n v="3298.6"/>
    <n v="3198.82"/>
    <n v="3658.5"/>
    <n v="3442.12"/>
    <n v="3563.45"/>
    <n v="4389.28"/>
    <n v="3932.45"/>
    <n v="4448.49"/>
    <n v="4151.49"/>
    <n v="4630.63"/>
    <n v="4388.42"/>
    <n v="46215.729999999996"/>
    <n v="242.21000000000004"/>
  </r>
  <r>
    <x v="11"/>
    <x v="6"/>
    <x v="0"/>
    <s v="4741107"/>
    <n v="721010"/>
    <s v="Supplies-Medical - Billable"/>
    <s v="Outreach Laboratory"/>
    <x v="0"/>
    <m/>
    <n v="45"/>
    <n v="67.5"/>
    <n v="22.5"/>
    <n v="45"/>
    <n v="68.959999999999994"/>
    <n v="67.5"/>
    <n v="112.5"/>
    <n v="112.5"/>
    <n v="0"/>
    <n v="23.23"/>
    <n v="45"/>
    <n v="22.5"/>
    <n v="632.19000000000005"/>
    <n v="22.5"/>
  </r>
  <r>
    <x v="11"/>
    <x v="6"/>
    <x v="0"/>
    <s v="4741107"/>
    <n v="721240"/>
    <s v="Supplies-IV Solutions/Supplies - Billable"/>
    <s v="Outreach Laboratory"/>
    <x v="0"/>
    <m/>
    <n v="0"/>
    <n v="0"/>
    <n v="0"/>
    <n v="0"/>
    <n v="0"/>
    <n v="0"/>
    <n v="0"/>
    <n v="0.76"/>
    <n v="0"/>
    <n v="0"/>
    <n v="0"/>
    <n v="0"/>
    <n v="0.76"/>
    <n v="0"/>
  </r>
  <r>
    <x v="11"/>
    <x v="6"/>
    <x v="0"/>
    <s v="4741107"/>
    <n v="721410"/>
    <s v="Supplies-Medical - Nonbillable"/>
    <s v="Outreach Laboratory"/>
    <x v="0"/>
    <m/>
    <n v="620.51"/>
    <n v="537.29999999999995"/>
    <n v="442.84"/>
    <n v="729.21"/>
    <n v="884.83"/>
    <n v="698.42"/>
    <n v="673.87"/>
    <n v="531.87"/>
    <n v="580.65"/>
    <n v="682.71"/>
    <n v="590.15"/>
    <n v="813.2"/>
    <n v="7785.5599999999986"/>
    <n v="-223.05000000000007"/>
  </r>
  <r>
    <x v="11"/>
    <x v="6"/>
    <x v="0"/>
    <s v="4741107"/>
    <n v="721640"/>
    <s v="Supplies-IV Solutions/Supplies - Nonbillable"/>
    <s v="Outreach Laboratory"/>
    <x v="0"/>
    <m/>
    <n v="67.66"/>
    <n v="50.75"/>
    <n v="33.83"/>
    <n v="0.16"/>
    <n v="50.75"/>
    <n v="0"/>
    <n v="84.59"/>
    <n v="16.920000000000002"/>
    <n v="50.75"/>
    <n v="3434.11"/>
    <n v="33.83"/>
    <n v="-2717.69"/>
    <n v="1105.6599999999999"/>
    <n v="2751.52"/>
  </r>
  <r>
    <x v="11"/>
    <x v="6"/>
    <x v="0"/>
    <s v="4741107"/>
    <n v="721710"/>
    <s v="Supplies-Laboratory - Nonbillable"/>
    <s v="Outreach Laboratory"/>
    <x v="0"/>
    <m/>
    <n v="2232.3200000000002"/>
    <n v="2198.1799999999998"/>
    <n v="1930.48"/>
    <n v="2128.8000000000002"/>
    <n v="2293.69"/>
    <n v="2241.42"/>
    <n v="2361.98"/>
    <n v="1929.28"/>
    <n v="2022.91"/>
    <n v="3066.56"/>
    <n v="2393.16"/>
    <n v="1977.91"/>
    <n v="26776.69"/>
    <n v="415.24999999999977"/>
  </r>
  <r>
    <x v="11"/>
    <x v="6"/>
    <x v="0"/>
    <s v="4741107"/>
    <n v="721710"/>
    <s v="Reagents"/>
    <s v="Outreach Laboratory"/>
    <x v="0"/>
    <n v="1000"/>
    <n v="3.85"/>
    <n v="3.85"/>
    <n v="0"/>
    <n v="0"/>
    <n v="3.85"/>
    <n v="0"/>
    <n v="0"/>
    <n v="3.85"/>
    <n v="0"/>
    <n v="0"/>
    <n v="0"/>
    <n v="0"/>
    <n v="15.4"/>
    <n v="0"/>
  </r>
  <r>
    <x v="11"/>
    <x v="6"/>
    <x v="0"/>
    <s v="4741107"/>
    <n v="721830"/>
    <s v="Supplies-Office"/>
    <s v="Outreach Laboratory"/>
    <x v="0"/>
    <m/>
    <n v="19.02"/>
    <n v="76.08"/>
    <n v="17.75"/>
    <n v="38.04"/>
    <n v="122.94"/>
    <n v="12.68"/>
    <n v="12.68"/>
    <n v="101.44"/>
    <n v="279.42"/>
    <n v="84.6"/>
    <n v="44.43"/>
    <n v="6.35"/>
    <n v="815.43"/>
    <n v="38.08"/>
  </r>
  <r>
    <x v="11"/>
    <x v="6"/>
    <x v="0"/>
    <s v="4741107"/>
    <n v="721835"/>
    <s v="Supplies-Forms"/>
    <s v="Outreach Laboratory"/>
    <x v="0"/>
    <m/>
    <n v="0"/>
    <n v="0"/>
    <n v="0"/>
    <n v="0"/>
    <n v="0.5"/>
    <n v="0"/>
    <n v="0"/>
    <n v="0"/>
    <n v="0"/>
    <n v="0"/>
    <n v="0"/>
    <n v="0.5"/>
    <n v="1"/>
    <n v="-0.5"/>
  </r>
  <r>
    <x v="11"/>
    <x v="6"/>
    <x v="0"/>
    <s v="4741107"/>
    <n v="721870"/>
    <s v="Supplies-Environmental Services"/>
    <s v="Outreach Laboratory"/>
    <x v="0"/>
    <m/>
    <n v="25.06"/>
    <n v="52.21"/>
    <n v="21.7"/>
    <n v="33.49"/>
    <n v="20.05"/>
    <n v="54.76"/>
    <n v="49.6"/>
    <n v="21.08"/>
    <n v="0"/>
    <n v="38.4"/>
    <n v="16.8"/>
    <n v="24"/>
    <n v="357.15"/>
    <n v="-7.1999999999999993"/>
  </r>
  <r>
    <x v="11"/>
    <x v="6"/>
    <x v="0"/>
    <s v="4741107"/>
    <n v="721910"/>
    <s v="Supplies-Small Equipment"/>
    <s v="Outreach Laboratory"/>
    <x v="0"/>
    <m/>
    <n v="0"/>
    <n v="11.28"/>
    <n v="0"/>
    <n v="0"/>
    <n v="342.82"/>
    <n v="152.96"/>
    <n v="23.52"/>
    <n v="0"/>
    <n v="1331.4"/>
    <n v="992.07"/>
    <n v="0"/>
    <n v="21.09"/>
    <n v="2875.1400000000003"/>
    <n v="-21.09"/>
  </r>
  <r>
    <x v="11"/>
    <x v="6"/>
    <x v="0"/>
    <s v="4741107"/>
    <n v="721980"/>
    <s v="Supplies-Other"/>
    <s v="Outreach Laboratory"/>
    <x v="0"/>
    <m/>
    <n v="0"/>
    <n v="0"/>
    <n v="9.08"/>
    <n v="20.28"/>
    <n v="0"/>
    <n v="0"/>
    <n v="0"/>
    <n v="0"/>
    <n v="17.54"/>
    <n v="0"/>
    <n v="1800"/>
    <n v="-1800"/>
    <n v="46.900000000000091"/>
    <n v="3600"/>
  </r>
  <r>
    <x v="11"/>
    <x v="6"/>
    <x v="0"/>
    <s v="4741107"/>
    <n v="722000"/>
    <s v="Supplies-Freight Expense"/>
    <s v="Outreach Laboratory"/>
    <x v="0"/>
    <m/>
    <n v="48.51"/>
    <n v="0"/>
    <n v="0"/>
    <n v="30"/>
    <n v="0"/>
    <n v="0"/>
    <n v="0"/>
    <n v="0"/>
    <n v="0"/>
    <n v="0"/>
    <n v="0"/>
    <n v="0"/>
    <n v="78.509999999999991"/>
    <n v="0"/>
  </r>
  <r>
    <x v="12"/>
    <x v="6"/>
    <x v="0"/>
    <s v="4741107"/>
    <n v="730020"/>
    <s v="Rental and Leases-Copier Usage Fees (DO NOT USE)"/>
    <s v="Outreach Laboratory"/>
    <x v="0"/>
    <n v="5100"/>
    <n v="307.56"/>
    <n v="317.52"/>
    <n v="312.54000000000002"/>
    <n v="312.54000000000002"/>
    <n v="312.54000000000002"/>
    <n v="312.54000000000002"/>
    <n v="498.87"/>
    <n v="328.76"/>
    <n v="328.07"/>
    <n v="329.45"/>
    <n v="328.76"/>
    <n v="384.1"/>
    <n v="4073.2499999999995"/>
    <n v="-55.340000000000032"/>
  </r>
  <r>
    <x v="15"/>
    <x v="6"/>
    <x v="0"/>
    <s v="4741107"/>
    <n v="731060"/>
    <s v="Telephone"/>
    <s v="Outreach Laboratory"/>
    <x v="0"/>
    <m/>
    <n v="0"/>
    <n v="0"/>
    <n v="0"/>
    <n v="0"/>
    <n v="0"/>
    <n v="0"/>
    <n v="0"/>
    <n v="0"/>
    <n v="0"/>
    <n v="0"/>
    <n v="0"/>
    <n v="39"/>
    <n v="39"/>
    <n v="-39"/>
  </r>
  <r>
    <x v="16"/>
    <x v="6"/>
    <x v="0"/>
    <s v="4741107"/>
    <n v="733030"/>
    <s v="Maintenance Contracts-Other"/>
    <s v="Outreach Laboratory"/>
    <x v="0"/>
    <m/>
    <n v="0"/>
    <n v="0"/>
    <n v="0"/>
    <n v="0"/>
    <n v="0"/>
    <n v="0"/>
    <n v="0"/>
    <n v="0"/>
    <n v="0"/>
    <n v="0"/>
    <n v="0"/>
    <n v="1800"/>
    <n v="1800"/>
    <n v="-1800"/>
  </r>
  <r>
    <x v="16"/>
    <x v="6"/>
    <x v="0"/>
    <s v="4741107"/>
    <n v="733030"/>
    <s v="Maintenance Contracts-Software"/>
    <s v="Outreach Laboratory"/>
    <x v="0"/>
    <n v="1002"/>
    <n v="0"/>
    <n v="0"/>
    <n v="0"/>
    <n v="0"/>
    <n v="0"/>
    <n v="0"/>
    <n v="0"/>
    <n v="0"/>
    <n v="0"/>
    <n v="0"/>
    <n v="0"/>
    <n v="0"/>
    <n v="0"/>
    <n v="0"/>
  </r>
  <r>
    <x v="13"/>
    <x v="6"/>
    <x v="0"/>
    <s v="4741107"/>
    <n v="735050"/>
    <s v="Amortization-Leasehold Improvements"/>
    <s v="Outreach Laboratory"/>
    <x v="0"/>
    <m/>
    <n v="604.4"/>
    <n v="604.39"/>
    <n v="604.4"/>
    <n v="604.39"/>
    <n v="604.4"/>
    <n v="604.39"/>
    <n v="604.4"/>
    <n v="604.39"/>
    <n v="604.4"/>
    <n v="604.39"/>
    <n v="604.4"/>
    <n v="604.39"/>
    <n v="7252.74"/>
    <n v="9.9999999999909051E-3"/>
  </r>
  <r>
    <x v="13"/>
    <x v="6"/>
    <x v="0"/>
    <s v="4741107"/>
    <n v="735070"/>
    <s v="Depreciation-Movable Equipment"/>
    <s v="Outreach Laboratory"/>
    <x v="0"/>
    <m/>
    <n v="41.77"/>
    <n v="41.77"/>
    <n v="41.77"/>
    <n v="41.77"/>
    <n v="41.77"/>
    <n v="41.77"/>
    <n v="41.77"/>
    <n v="41.77"/>
    <n v="41.78"/>
    <n v="41.77"/>
    <n v="41.78"/>
    <n v="41.77"/>
    <n v="501.26"/>
    <n v="9.9999999999980105E-3"/>
  </r>
  <r>
    <x v="0"/>
    <x v="6"/>
    <x v="0"/>
    <s v="4741107"/>
    <n v="746020"/>
    <s v="Bank Fees--Ext to CHI Programs"/>
    <s v="Outreach Laboratory"/>
    <x v="0"/>
    <m/>
    <n v="1451.34"/>
    <n v="1531.81"/>
    <n v="1623.3"/>
    <n v="1229.18"/>
    <n v="1290.32"/>
    <n v="1034.53"/>
    <n v="850.17"/>
    <n v="725.41"/>
    <n v="605.24"/>
    <n v="578.30999999999995"/>
    <n v="545.91999999999996"/>
    <n v="552.34"/>
    <n v="12017.869999999999"/>
    <n v="-6.4200000000000728"/>
  </r>
  <r>
    <x v="0"/>
    <x v="6"/>
    <x v="0"/>
    <s v="4741107"/>
    <n v="749510"/>
    <s v="Miscellaneous Expenses"/>
    <s v="Outreach Laboratory"/>
    <x v="0"/>
    <m/>
    <n v="37.44"/>
    <n v="-15.66"/>
    <n v="21.83"/>
    <n v="79.599999999999994"/>
    <n v="-123.21"/>
    <n v="0"/>
    <n v="252.07"/>
    <n v="-198.57"/>
    <n v="6.82"/>
    <n v="-60.32"/>
    <n v="33.06"/>
    <n v="-33.06"/>
    <n v="0"/>
    <n v="66.12"/>
  </r>
  <r>
    <x v="0"/>
    <x v="6"/>
    <x v="0"/>
    <s v="4741107"/>
    <n v="749510"/>
    <s v="RICE Rewards"/>
    <s v="Outreach Laboratory"/>
    <x v="0"/>
    <n v="5100"/>
    <n v="0"/>
    <n v="0"/>
    <n v="0"/>
    <n v="0"/>
    <n v="0"/>
    <n v="0"/>
    <n v="0"/>
    <n v="0"/>
    <n v="0"/>
    <n v="82.18"/>
    <n v="0"/>
    <n v="120.04"/>
    <n v="202.22000000000003"/>
    <n v="-120.04"/>
  </r>
  <r>
    <x v="0"/>
    <x v="6"/>
    <x v="0"/>
    <s v="4741107"/>
    <n v="749530"/>
    <s v="Travel"/>
    <s v="Outreach Laboratory"/>
    <x v="0"/>
    <m/>
    <n v="0"/>
    <n v="0"/>
    <n v="22"/>
    <n v="12"/>
    <n v="6"/>
    <n v="6"/>
    <n v="0"/>
    <n v="24"/>
    <n v="0"/>
    <n v="6"/>
    <n v="18"/>
    <n v="12"/>
    <n v="106"/>
    <n v="6"/>
  </r>
  <r>
    <x v="0"/>
    <x v="6"/>
    <x v="0"/>
    <s v="4741107"/>
    <n v="749530"/>
    <s v="Mileage"/>
    <s v="Outreach Laboratory"/>
    <x v="0"/>
    <n v="1001"/>
    <n v="51.24"/>
    <n v="11.46"/>
    <n v="209.3"/>
    <n v="397.88"/>
    <n v="317.8"/>
    <n v="331.98"/>
    <n v="201.13"/>
    <n v="261.13"/>
    <n v="71.92"/>
    <n v="211.12"/>
    <n v="118.32"/>
    <n v="183.28"/>
    <n v="2366.5600000000004"/>
    <n v="-64.960000000000008"/>
  </r>
  <r>
    <x v="13"/>
    <x v="5"/>
    <x v="0"/>
    <s v="4745106"/>
    <n v="735070"/>
    <s v="Depreciation-Movable Equipment"/>
    <s v="Pathology"/>
    <x v="0"/>
    <m/>
    <n v="115.11"/>
    <n v="115.1"/>
    <n v="115.11"/>
    <n v="115.1"/>
    <n v="115.11"/>
    <n v="115.1"/>
    <n v="115.11"/>
    <n v="115.09"/>
    <n v="115.14"/>
    <n v="115.07"/>
    <n v="115.14"/>
    <n v="115.07"/>
    <n v="1381.25"/>
    <n v="7.000000000000739E-2"/>
  </r>
  <r>
    <x v="11"/>
    <x v="6"/>
    <x v="0"/>
    <s v="4745107"/>
    <n v="721010"/>
    <s v="Supplies-Medical - Billable"/>
    <s v="Med Onc Pathology-Bremerton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4745107"/>
    <n v="721410"/>
    <s v="Supplies-Medical - Nonbillable"/>
    <s v="Med Onc Pathology-Bremerton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4745107"/>
    <n v="721640"/>
    <s v="Supplies-IV Solutions/Supplies - Nonbillable"/>
    <s v="Med Onc Pathology-Bremerton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4745107"/>
    <n v="721710"/>
    <s v="Supplies-Laboratory - Nonbillable"/>
    <s v="Med Onc Pathology-Bremerton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4745107"/>
    <n v="721870"/>
    <s v="Supplies-Environmental Services"/>
    <s v="Med Onc Pathology-Bremert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4790501"/>
    <n v="700014"/>
    <s v="Salaries-Management-Productive"/>
    <s v="Regional Lab Administration"/>
    <x v="0"/>
    <m/>
    <n v="24901.919999999998"/>
    <n v="32108.02"/>
    <n v="27681.14"/>
    <n v="29796.94"/>
    <n v="29600.34"/>
    <n v="29620.43"/>
    <n v="48359.360000000001"/>
    <n v="39310.74"/>
    <n v="45933.83"/>
    <n v="38324.07"/>
    <n v="52788.73"/>
    <n v="42598.81"/>
    <n v="441024.33"/>
    <n v="10189.920000000006"/>
  </r>
  <r>
    <x v="5"/>
    <x v="9"/>
    <x v="0"/>
    <s v="4790501"/>
    <n v="700014"/>
    <s v="Salaries-Management-Other"/>
    <s v="Regional Lab Administration"/>
    <x v="0"/>
    <n v="2000"/>
    <n v="0"/>
    <n v="0"/>
    <n v="0"/>
    <n v="0"/>
    <n v="0"/>
    <n v="60"/>
    <n v="0"/>
    <n v="0"/>
    <n v="0"/>
    <n v="0"/>
    <n v="0"/>
    <n v="0"/>
    <n v="60"/>
    <n v="0"/>
  </r>
  <r>
    <x v="5"/>
    <x v="9"/>
    <x v="0"/>
    <s v="4790501"/>
    <n v="700032"/>
    <s v="Salaries-Other Pat Care Providers-Productive"/>
    <s v="Regional Lab Administration"/>
    <x v="0"/>
    <m/>
    <n v="21519.64"/>
    <n v="20910.650000000001"/>
    <n v="21083.74"/>
    <n v="26460.9"/>
    <n v="23572.12"/>
    <n v="26472.97"/>
    <n v="43343.24"/>
    <n v="36421.11"/>
    <n v="46824.19"/>
    <n v="41015.660000000003"/>
    <n v="46658.95"/>
    <n v="42082.04"/>
    <n v="396365.20999999996"/>
    <n v="4576.9099999999962"/>
  </r>
  <r>
    <x v="5"/>
    <x v="9"/>
    <x v="0"/>
    <s v="4790501"/>
    <n v="700032"/>
    <s v="Salaries-Other Pat Care Providers-OT"/>
    <s v="Regional Lab Administration"/>
    <x v="0"/>
    <n v="1000"/>
    <n v="645.03"/>
    <n v="432.23"/>
    <n v="1294.98"/>
    <n v="793.61"/>
    <n v="642.38"/>
    <n v="254.39"/>
    <n v="829.14"/>
    <n v="1090.24"/>
    <n v="223.89"/>
    <n v="257.41000000000003"/>
    <n v="1169.95"/>
    <n v="328.6"/>
    <n v="7961.85"/>
    <n v="841.35"/>
  </r>
  <r>
    <x v="5"/>
    <x v="9"/>
    <x v="0"/>
    <s v="4790501"/>
    <n v="700032"/>
    <s v="Salaries-Other Pat Care Providers-Other"/>
    <s v="Regional Lab Administration"/>
    <x v="0"/>
    <n v="2000"/>
    <n v="887.12"/>
    <n v="797.16"/>
    <n v="951.43"/>
    <n v="797.15"/>
    <n v="771.42"/>
    <n v="1158.77"/>
    <n v="875.65"/>
    <n v="843.35"/>
    <n v="766.12"/>
    <n v="772.52"/>
    <n v="798.34"/>
    <n v="862.67"/>
    <n v="10281.699999999999"/>
    <n v="-64.329999999999927"/>
  </r>
  <r>
    <x v="5"/>
    <x v="9"/>
    <x v="0"/>
    <s v="4790501"/>
    <n v="700034"/>
    <s v="Salaries-Tech/Professional-Productive"/>
    <s v="Regional Lab Administration"/>
    <x v="0"/>
    <m/>
    <n v="11814.43"/>
    <n v="8182.95"/>
    <n v="9948.15"/>
    <n v="10580.46"/>
    <n v="10339.26"/>
    <n v="11431.54"/>
    <n v="12495.98"/>
    <n v="10474.93"/>
    <n v="12438.47"/>
    <n v="11833.75"/>
    <n v="13458.89"/>
    <n v="8600.35"/>
    <n v="131599.16"/>
    <n v="4858.5399999999991"/>
  </r>
  <r>
    <x v="5"/>
    <x v="9"/>
    <x v="0"/>
    <s v="4790501"/>
    <n v="700038"/>
    <s v="Salaries-Service/Support-Productive"/>
    <s v="Regional Lab Administration"/>
    <x v="0"/>
    <m/>
    <n v="62091.65"/>
    <n v="76030.83"/>
    <n v="67070.240000000005"/>
    <n v="78467"/>
    <n v="69438.38"/>
    <n v="65186.37"/>
    <n v="78845.56"/>
    <n v="64917.279999999999"/>
    <n v="70982.52"/>
    <n v="68993.600000000006"/>
    <n v="91117.78"/>
    <n v="73441.13"/>
    <n v="866582.34000000008"/>
    <n v="17676.649999999994"/>
  </r>
  <r>
    <x v="5"/>
    <x v="9"/>
    <x v="0"/>
    <s v="4790501"/>
    <n v="700038"/>
    <s v="Salaries-Service/Support-OT"/>
    <s v="Regional Lab Administration"/>
    <x v="0"/>
    <n v="1000"/>
    <n v="1034.83"/>
    <n v="2174.37"/>
    <n v="801.84"/>
    <n v="2573.62"/>
    <n v="1629.8"/>
    <n v="3299.65"/>
    <n v="1479.79"/>
    <n v="2293.21"/>
    <n v="1190.31"/>
    <n v="2324.06"/>
    <n v="2236.87"/>
    <n v="1493.3"/>
    <n v="22531.649999999998"/>
    <n v="743.56999999999994"/>
  </r>
  <r>
    <x v="5"/>
    <x v="9"/>
    <x v="0"/>
    <s v="4790501"/>
    <n v="700038"/>
    <s v="Salaries-Service/Support-Other"/>
    <s v="Regional Lab Administration"/>
    <x v="0"/>
    <n v="2000"/>
    <n v="2057.64"/>
    <n v="2656.71"/>
    <n v="2318.6799999999998"/>
    <n v="1994.49"/>
    <n v="2548.3200000000002"/>
    <n v="3701.18"/>
    <n v="3364.78"/>
    <n v="3493.66"/>
    <n v="3441.34"/>
    <n v="2851.1"/>
    <n v="3735.9"/>
    <n v="3439.33"/>
    <n v="35603.129999999997"/>
    <n v="296.57000000000016"/>
  </r>
  <r>
    <x v="5"/>
    <x v="9"/>
    <x v="0"/>
    <s v="4790501"/>
    <n v="700054"/>
    <s v="Salaries-Management-Non-productive"/>
    <s v="Regional Lab Administration"/>
    <x v="0"/>
    <m/>
    <n v="8606.07"/>
    <n v="1401.5"/>
    <n v="4747.88"/>
    <n v="4364.6499999999996"/>
    <n v="3609.63"/>
    <n v="14437.06"/>
    <n v="4912.88"/>
    <n v="8801.25"/>
    <n v="7333.39"/>
    <n v="13223.2"/>
    <n v="478.53"/>
    <n v="8950.7999999999993"/>
    <n v="80866.84"/>
    <n v="-8472.2699999999986"/>
  </r>
  <r>
    <x v="5"/>
    <x v="9"/>
    <x v="0"/>
    <s v="4790501"/>
    <n v="700054"/>
    <s v="Salaries-Management-NonProd-Other"/>
    <s v="Regional Lab Administration"/>
    <x v="0"/>
    <n v="2000"/>
    <n v="0"/>
    <n v="0"/>
    <n v="0"/>
    <n v="0"/>
    <n v="0"/>
    <n v="889.98"/>
    <n v="-889.98"/>
    <n v="0"/>
    <n v="0"/>
    <n v="0"/>
    <n v="0"/>
    <n v="0"/>
    <n v="0"/>
    <n v="0"/>
  </r>
  <r>
    <x v="5"/>
    <x v="9"/>
    <x v="0"/>
    <s v="4790501"/>
    <n v="700072"/>
    <s v="Salaries-Other Pat Care Providers-Non-productive"/>
    <s v="Regional Lab Administration"/>
    <x v="0"/>
    <m/>
    <n v="4845.42"/>
    <n v="5372.21"/>
    <n v="4496.83"/>
    <n v="618.29999999999995"/>
    <n v="2877.21"/>
    <n v="11705.72"/>
    <n v="5698.32"/>
    <n v="8062.05"/>
    <n v="2062.62"/>
    <n v="6372.05"/>
    <n v="2251.35"/>
    <n v="5397.07"/>
    <n v="59759.150000000009"/>
    <n v="-3145.72"/>
  </r>
  <r>
    <x v="5"/>
    <x v="9"/>
    <x v="0"/>
    <s v="4790501"/>
    <n v="700072"/>
    <s v="Salaries-Other Pat Care Providers-NonProd-Other"/>
    <s v="Regional Lab Administration"/>
    <x v="0"/>
    <n v="2000"/>
    <n v="0"/>
    <n v="0"/>
    <n v="17.920000000000002"/>
    <n v="4.9000000000000004"/>
    <n v="0"/>
    <n v="161.02000000000001"/>
    <n v="0"/>
    <n v="0"/>
    <n v="0"/>
    <n v="0"/>
    <n v="0"/>
    <n v="0"/>
    <n v="183.84"/>
    <n v="0"/>
  </r>
  <r>
    <x v="5"/>
    <x v="9"/>
    <x v="0"/>
    <s v="4790501"/>
    <n v="700074"/>
    <s v="Salaries-Tech/Professional-Non-productive"/>
    <s v="Regional Lab Administration"/>
    <x v="0"/>
    <m/>
    <n v="1567.28"/>
    <n v="5279.88"/>
    <n v="3229.02"/>
    <n v="3542.77"/>
    <n v="3129.62"/>
    <n v="2273.4699999999998"/>
    <n v="1177.82"/>
    <n v="1874.36"/>
    <n v="1234.06"/>
    <n v="1565.52"/>
    <n v="143.55000000000001"/>
    <n v="4680.3999999999996"/>
    <n v="29697.75"/>
    <n v="-4536.8499999999995"/>
  </r>
  <r>
    <x v="5"/>
    <x v="9"/>
    <x v="0"/>
    <s v="4790501"/>
    <n v="700074"/>
    <s v="Salaries-Tech/Professional-NonProd-Other"/>
    <s v="Regional Lab Administration"/>
    <x v="0"/>
    <n v="2000"/>
    <n v="0"/>
    <n v="0"/>
    <n v="0"/>
    <n v="0"/>
    <n v="260.86"/>
    <n v="0"/>
    <n v="0"/>
    <n v="-260.86"/>
    <n v="0"/>
    <n v="0"/>
    <n v="0"/>
    <n v="0"/>
    <n v="0"/>
    <n v="0"/>
  </r>
  <r>
    <x v="5"/>
    <x v="9"/>
    <x v="0"/>
    <s v="4790501"/>
    <n v="700078"/>
    <s v="Salaries-Service/Support-Non-productive"/>
    <s v="Regional Lab Administration"/>
    <x v="0"/>
    <m/>
    <n v="19309.84"/>
    <n v="6152.48"/>
    <n v="13540.8"/>
    <n v="6253.68"/>
    <n v="14731.92"/>
    <n v="25803.99"/>
    <n v="8516.33"/>
    <n v="16140.99"/>
    <n v="11118.52"/>
    <n v="14700.97"/>
    <n v="124.06"/>
    <n v="14896.92"/>
    <n v="151290.5"/>
    <n v="-14772.86"/>
  </r>
  <r>
    <x v="5"/>
    <x v="9"/>
    <x v="0"/>
    <s v="4790501"/>
    <n v="700078"/>
    <s v="Salaries-Service/Support-NonProd-Other"/>
    <s v="Regional Lab Administration"/>
    <x v="0"/>
    <n v="2000"/>
    <n v="47.33"/>
    <n v="478.03"/>
    <n v="-18.66"/>
    <n v="-28.84"/>
    <n v="2045.48"/>
    <n v="1149.47"/>
    <n v="248.05"/>
    <n v="-1596.74"/>
    <n v="1047.57"/>
    <n v="58.7"/>
    <n v="304.61"/>
    <n v="324.39"/>
    <n v="4059.3900000000003"/>
    <n v="-19.779999999999973"/>
  </r>
  <r>
    <x v="5"/>
    <x v="9"/>
    <x v="0"/>
    <s v="4790501"/>
    <n v="700084"/>
    <s v="Accrued PTO"/>
    <s v="Regional Lab Administration"/>
    <x v="0"/>
    <m/>
    <n v="-10812.19"/>
    <n v="-352.39"/>
    <n v="-3333.05"/>
    <n v="14149.63"/>
    <n v="3794.43"/>
    <n v="-29655.73"/>
    <n v="3167.79"/>
    <n v="-1913.54"/>
    <n v="11090.62"/>
    <n v="-3124.67"/>
    <n v="10554.24"/>
    <n v="3572.72"/>
    <n v="-2862.1400000000026"/>
    <n v="6981.52"/>
  </r>
  <r>
    <x v="6"/>
    <x v="9"/>
    <x v="0"/>
    <s v="4790501"/>
    <n v="713010"/>
    <s v="Benefits-FICA/Medicare"/>
    <s v="Regional Lab Administration"/>
    <x v="0"/>
    <m/>
    <n v="11741.81"/>
    <n v="11945.72"/>
    <n v="11587.15"/>
    <n v="12253.07"/>
    <n v="12475.51"/>
    <n v="14446.83"/>
    <n v="15606.24"/>
    <n v="14379.52"/>
    <n v="15386.41"/>
    <n v="14850.69"/>
    <n v="15881.5"/>
    <n v="15294.61"/>
    <n v="165849.06"/>
    <n v="586.88999999999942"/>
  </r>
  <r>
    <x v="6"/>
    <x v="9"/>
    <x v="0"/>
    <s v="4790501"/>
    <n v="713090"/>
    <s v="Benefits-Allocated Amounts"/>
    <s v="Regional Lab Administration"/>
    <x v="0"/>
    <m/>
    <n v="33720.089999999997"/>
    <n v="31649.51"/>
    <n v="33516.85"/>
    <n v="33804.89"/>
    <n v="31944.73"/>
    <n v="39360.199999999997"/>
    <n v="44302.48"/>
    <n v="41847.730000000003"/>
    <n v="45353.04"/>
    <n v="43590.11"/>
    <n v="46370.63"/>
    <n v="45191.55"/>
    <n v="470651.80999999994"/>
    <n v="1179.0799999999945"/>
  </r>
  <r>
    <x v="6"/>
    <x v="9"/>
    <x v="0"/>
    <s v="4790501"/>
    <n v="713096"/>
    <s v="Employee Recognition"/>
    <s v="Regional Lab Administration"/>
    <x v="0"/>
    <n v="1017"/>
    <n v="0"/>
    <n v="0"/>
    <n v="0"/>
    <n v="440.4"/>
    <n v="0"/>
    <n v="0"/>
    <n v="0"/>
    <n v="0"/>
    <n v="0"/>
    <n v="0"/>
    <n v="0"/>
    <n v="97.01"/>
    <n v="537.41"/>
    <n v="-97.01"/>
  </r>
  <r>
    <x v="7"/>
    <x v="9"/>
    <x v="0"/>
    <s v="4790501"/>
    <n v="718050"/>
    <s v="Miscellaneous Purchased Svcs"/>
    <s v="Regional Lab Administration"/>
    <x v="0"/>
    <n v="1020"/>
    <n v="0"/>
    <n v="0"/>
    <n v="0"/>
    <n v="0"/>
    <n v="0"/>
    <n v="0"/>
    <n v="0"/>
    <n v="0"/>
    <n v="0"/>
    <n v="1008.23"/>
    <n v="0"/>
    <n v="0"/>
    <n v="1008.23"/>
    <n v="0"/>
  </r>
  <r>
    <x v="11"/>
    <x v="9"/>
    <x v="0"/>
    <s v="4790501"/>
    <n v="721810"/>
    <s v="Supplies-Dietary/Cafeteria"/>
    <s v="Regional Lab Administration"/>
    <x v="0"/>
    <m/>
    <n v="0"/>
    <n v="8"/>
    <n v="0"/>
    <n v="5.16"/>
    <n v="0"/>
    <n v="0"/>
    <n v="0"/>
    <n v="0"/>
    <n v="0"/>
    <n v="8"/>
    <n v="0"/>
    <n v="8"/>
    <n v="29.16"/>
    <n v="-8"/>
  </r>
  <r>
    <x v="11"/>
    <x v="9"/>
    <x v="0"/>
    <s v="4790501"/>
    <n v="721830"/>
    <s v="Supplies-Office"/>
    <s v="Regional Lab Administration"/>
    <x v="0"/>
    <m/>
    <n v="0"/>
    <n v="302.38"/>
    <n v="27.46"/>
    <n v="0"/>
    <n v="0"/>
    <n v="0"/>
    <n v="72.650000000000006"/>
    <n v="0"/>
    <n v="0"/>
    <n v="72.650000000000006"/>
    <n v="0"/>
    <n v="0"/>
    <n v="475.14"/>
    <n v="0"/>
  </r>
  <r>
    <x v="11"/>
    <x v="9"/>
    <x v="0"/>
    <s v="4790501"/>
    <n v="721835"/>
    <s v="Supplies-Forms"/>
    <s v="Regional Lab Administration"/>
    <x v="0"/>
    <m/>
    <n v="0"/>
    <n v="0"/>
    <n v="0"/>
    <n v="0"/>
    <n v="0"/>
    <n v="112"/>
    <n v="0"/>
    <n v="0"/>
    <n v="229.3"/>
    <n v="0"/>
    <n v="6"/>
    <n v="128.24"/>
    <n v="475.54"/>
    <n v="-122.24000000000001"/>
  </r>
  <r>
    <x v="11"/>
    <x v="9"/>
    <x v="0"/>
    <s v="4790501"/>
    <n v="721980"/>
    <s v="Supplies-Other"/>
    <s v="Regional Lab Administration"/>
    <x v="0"/>
    <m/>
    <n v="0"/>
    <n v="0"/>
    <n v="0"/>
    <n v="0"/>
    <n v="28.61"/>
    <n v="21.91"/>
    <n v="0"/>
    <n v="0"/>
    <n v="54.49"/>
    <n v="28.64"/>
    <n v="0"/>
    <n v="785.02"/>
    <n v="918.67"/>
    <n v="-785.02"/>
  </r>
  <r>
    <x v="15"/>
    <x v="9"/>
    <x v="0"/>
    <s v="4790501"/>
    <n v="731060"/>
    <s v="Pagers"/>
    <s v="Regional Lab Administration"/>
    <x v="0"/>
    <n v="1002"/>
    <n v="0"/>
    <n v="0"/>
    <n v="0"/>
    <n v="0"/>
    <n v="0"/>
    <n v="0"/>
    <n v="16.239999999999998"/>
    <n v="8.1199999999999992"/>
    <n v="8.1199999999999992"/>
    <n v="8.1199999999999992"/>
    <n v="8.1199999999999992"/>
    <n v="8.1199999999999992"/>
    <n v="56.839999999999989"/>
    <n v="0"/>
  </r>
  <r>
    <x v="16"/>
    <x v="9"/>
    <x v="0"/>
    <s v="4790501"/>
    <n v="732030"/>
    <s v="Repairs---Other"/>
    <s v="Regional Lab Administration"/>
    <x v="0"/>
    <m/>
    <n v="0"/>
    <n v="0"/>
    <n v="6.59"/>
    <n v="0"/>
    <n v="13.66"/>
    <n v="0"/>
    <n v="16.399999999999999"/>
    <n v="0"/>
    <n v="0"/>
    <n v="0"/>
    <n v="0"/>
    <n v="0"/>
    <n v="36.65"/>
    <n v="0"/>
  </r>
  <r>
    <x v="0"/>
    <x v="9"/>
    <x v="0"/>
    <s v="4790501"/>
    <n v="749510"/>
    <s v="Miscellaneous Expenses"/>
    <s v="Regional Lab Administration"/>
    <x v="0"/>
    <m/>
    <n v="453.3"/>
    <n v="-426.9"/>
    <n v="-577.04"/>
    <n v="1045.0999999999999"/>
    <n v="-99.66"/>
    <n v="-738.86"/>
    <n v="284.38"/>
    <n v="-472.14"/>
    <n v="593.87"/>
    <n v="-417.99"/>
    <n v="559.89"/>
    <n v="66.98"/>
    <n v="270.93000000000006"/>
    <n v="492.90999999999997"/>
  </r>
  <r>
    <x v="0"/>
    <x v="9"/>
    <x v="0"/>
    <s v="4790501"/>
    <n v="749510"/>
    <s v="RICE Rewards"/>
    <s v="Regional Lab Administration"/>
    <x v="0"/>
    <n v="5100"/>
    <n v="0"/>
    <n v="0"/>
    <n v="0"/>
    <n v="0"/>
    <n v="630.77"/>
    <n v="0"/>
    <n v="0"/>
    <n v="0"/>
    <n v="0"/>
    <n v="9.5"/>
    <n v="0"/>
    <n v="185"/>
    <n v="825.27"/>
    <n v="-185"/>
  </r>
  <r>
    <x v="0"/>
    <x v="9"/>
    <x v="0"/>
    <s v="4790501"/>
    <n v="749530"/>
    <s v="Travel"/>
    <s v="Regional Lab Administration"/>
    <x v="0"/>
    <m/>
    <n v="11"/>
    <n v="77.31"/>
    <n v="124"/>
    <n v="34"/>
    <n v="88"/>
    <n v="130"/>
    <n v="101"/>
    <n v="59"/>
    <n v="57"/>
    <n v="90"/>
    <n v="74"/>
    <n v="161"/>
    <n v="1006.31"/>
    <n v="-87"/>
  </r>
  <r>
    <x v="0"/>
    <x v="9"/>
    <x v="0"/>
    <s v="4790501"/>
    <n v="749530"/>
    <s v="Mileage"/>
    <s v="Regional Lab Administration"/>
    <x v="0"/>
    <n v="1001"/>
    <n v="150.44999999999999"/>
    <n v="981.7"/>
    <n v="1410.15"/>
    <n v="704.77"/>
    <n v="1059.67"/>
    <n v="1205.72"/>
    <n v="683.93"/>
    <n v="825.92"/>
    <n v="660.62"/>
    <n v="1052.7"/>
    <n v="692.52"/>
    <n v="1572.38"/>
    <n v="11000.530000000002"/>
    <n v="-879.86000000000013"/>
  </r>
  <r>
    <x v="0"/>
    <x v="9"/>
    <x v="0"/>
    <s v="4790501"/>
    <n v="749535"/>
    <s v="Meetings"/>
    <s v="Regional Lab Administration"/>
    <x v="0"/>
    <m/>
    <n v="0"/>
    <n v="0"/>
    <n v="0"/>
    <n v="0"/>
    <n v="0"/>
    <n v="227.33"/>
    <n v="0"/>
    <n v="0"/>
    <n v="0"/>
    <n v="0"/>
    <n v="0"/>
    <n v="109.65"/>
    <n v="336.98"/>
    <n v="-109.65"/>
  </r>
  <r>
    <x v="18"/>
    <x v="3"/>
    <x v="0"/>
    <s v="4800101"/>
    <n v="400010"/>
    <s v="Acute I/P Svcs Rev--Medicare"/>
    <s v="OP Imaging Center"/>
    <x v="0"/>
    <n v="1100"/>
    <n v="-6359.45"/>
    <n v="-28773.65"/>
    <n v="0"/>
    <n v="0"/>
    <n v="35133.1"/>
    <n v="-57175.199999999997"/>
    <n v="0"/>
    <n v="0"/>
    <n v="0"/>
    <n v="0"/>
    <n v="0"/>
    <n v="57175.199999999997"/>
    <n v="0"/>
    <n v="-57175.199999999997"/>
  </r>
  <r>
    <x v="18"/>
    <x v="3"/>
    <x v="0"/>
    <s v="4800101"/>
    <n v="400010"/>
    <s v="Acute I/P Svcs Rev--Medicaid"/>
    <s v="OP Imaging Center"/>
    <x v="0"/>
    <n v="1200"/>
    <n v="7412.4"/>
    <n v="4790.3999999999996"/>
    <n v="0"/>
    <n v="0"/>
    <n v="-12202.8"/>
    <n v="57175.199999999997"/>
    <n v="0"/>
    <n v="0"/>
    <n v="0"/>
    <n v="0"/>
    <n v="0"/>
    <n v="-57175.199999999997"/>
    <n v="0"/>
    <n v="57175.199999999997"/>
  </r>
  <r>
    <x v="18"/>
    <x v="3"/>
    <x v="0"/>
    <s v="4800101"/>
    <n v="400010"/>
    <s v="Acute I/P Svcs Rev--Comm Insurance"/>
    <s v="OP Imaging Center"/>
    <x v="0"/>
    <n v="1300"/>
    <n v="-38859"/>
    <n v="24248.45"/>
    <n v="0"/>
    <n v="0"/>
    <n v="14610.55"/>
    <n v="0"/>
    <n v="0"/>
    <n v="0"/>
    <n v="0"/>
    <n v="0"/>
    <n v="0"/>
    <n v="0"/>
    <n v="0"/>
    <n v="0"/>
  </r>
  <r>
    <x v="18"/>
    <x v="3"/>
    <x v="0"/>
    <s v="4800101"/>
    <n v="400010"/>
    <s v="Acute I/P Svcs Rev--BCBS Comm"/>
    <s v="OP Imaging Center"/>
    <x v="0"/>
    <n v="1301"/>
    <n v="11122.95"/>
    <n v="0"/>
    <n v="0"/>
    <n v="0"/>
    <n v="-11122.95"/>
    <n v="0"/>
    <n v="0"/>
    <n v="0"/>
    <n v="0"/>
    <n v="0"/>
    <n v="0"/>
    <n v="0"/>
    <n v="0"/>
    <n v="0"/>
  </r>
  <r>
    <x v="18"/>
    <x v="3"/>
    <x v="0"/>
    <s v="4800101"/>
    <n v="400010"/>
    <s v="Acute I/P Svcs Rev--Managed Care"/>
    <s v="OP Imaging Center"/>
    <x v="0"/>
    <n v="1400"/>
    <n v="20855.349999999999"/>
    <n v="2812.8"/>
    <n v="0"/>
    <n v="14284.95"/>
    <n v="-37953.1"/>
    <n v="-14284.95"/>
    <n v="0"/>
    <n v="0"/>
    <n v="14284.95"/>
    <n v="-14284.95"/>
    <n v="0"/>
    <n v="14284.95"/>
    <n v="0"/>
    <n v="-14284.95"/>
  </r>
  <r>
    <x v="18"/>
    <x v="3"/>
    <x v="0"/>
    <s v="4800101"/>
    <n v="400010"/>
    <s v="Acute I/P Svcs Rev--Other"/>
    <s v="OP Imaging Center"/>
    <x v="0"/>
    <n v="1700"/>
    <n v="9593.35"/>
    <n v="-3640.8"/>
    <n v="0"/>
    <n v="-14284.95"/>
    <n v="8332.4"/>
    <n v="14284.95"/>
    <n v="0"/>
    <n v="0"/>
    <n v="-14284.95"/>
    <n v="14284.95"/>
    <n v="0"/>
    <n v="-14284.95"/>
    <n v="0"/>
    <n v="14284.95"/>
  </r>
  <r>
    <x v="19"/>
    <x v="3"/>
    <x v="0"/>
    <s v="4800101"/>
    <n v="400020"/>
    <s v="O/P Care Svcs Rev--Medicare"/>
    <s v="OP Imaging Center"/>
    <x v="0"/>
    <n v="1100"/>
    <n v="-6623.21"/>
    <n v="-22415.14"/>
    <n v="5458.75"/>
    <n v="-28099.5"/>
    <n v="56667.65"/>
    <n v="13402.65"/>
    <n v="-8727.4699999999993"/>
    <n v="-8875.4699999999993"/>
    <n v="-12369.75"/>
    <n v="3619.1"/>
    <n v="3046.55"/>
    <n v="4915.8500000000004"/>
    <n v="1.0000000006584742E-2"/>
    <n v="-1869.3000000000002"/>
  </r>
  <r>
    <x v="19"/>
    <x v="3"/>
    <x v="0"/>
    <s v="4800101"/>
    <n v="400020"/>
    <s v="O/P Care Svcs Rev--Medicaid"/>
    <s v="OP Imaging Center"/>
    <x v="0"/>
    <n v="1200"/>
    <n v="18793.8"/>
    <n v="14921.93"/>
    <n v="-4362.57"/>
    <n v="7449.25"/>
    <n v="-33131.589999999997"/>
    <n v="7049"/>
    <n v="9489.4699999999993"/>
    <n v="8875.4699999999993"/>
    <n v="6710.6"/>
    <n v="4987"/>
    <n v="0"/>
    <n v="-40782.36"/>
    <n v="0"/>
    <n v="40782.36"/>
  </r>
  <r>
    <x v="19"/>
    <x v="3"/>
    <x v="0"/>
    <s v="4800101"/>
    <n v="400020"/>
    <s v="O/P Care Svcs Rev--Comm Insurance"/>
    <s v="OP Imaging Center"/>
    <x v="0"/>
    <n v="1300"/>
    <n v="-11695.47"/>
    <n v="14329.49"/>
    <n v="105"/>
    <n v="1294.4000000000001"/>
    <n v="-1191.42"/>
    <n v="-2382"/>
    <n v="0"/>
    <n v="0"/>
    <n v="0"/>
    <n v="0"/>
    <n v="-1173"/>
    <n v="713"/>
    <n v="0"/>
    <n v="-1886"/>
  </r>
  <r>
    <x v="19"/>
    <x v="3"/>
    <x v="0"/>
    <s v="4800101"/>
    <n v="400020"/>
    <s v="O/P Care Svcs Rev--BCBS Comm"/>
    <s v="OP Imaging Center"/>
    <x v="0"/>
    <n v="1301"/>
    <n v="-5875"/>
    <n v="4889.32"/>
    <n v="-3"/>
    <n v="-304.05"/>
    <n v="-5579.47"/>
    <n v="-6148.15"/>
    <n v="-3050"/>
    <n v="0"/>
    <n v="1503.15"/>
    <n v="0"/>
    <n v="0"/>
    <n v="14567.2"/>
    <n v="0"/>
    <n v="-14567.2"/>
  </r>
  <r>
    <x v="19"/>
    <x v="3"/>
    <x v="0"/>
    <s v="4800101"/>
    <n v="400020"/>
    <s v="O/P Care Svcs Rev--Managed Care"/>
    <s v="OP Imaging Center"/>
    <x v="0"/>
    <n v="1400"/>
    <n v="-15639.67"/>
    <n v="-1792.7"/>
    <n v="14647.37"/>
    <n v="3832.2"/>
    <n v="3344.63"/>
    <n v="-4571"/>
    <n v="-4422"/>
    <n v="-1173"/>
    <n v="3771"/>
    <n v="-14706.1"/>
    <n v="4632.12"/>
    <n v="12077.15"/>
    <n v="0"/>
    <n v="-7445.03"/>
  </r>
  <r>
    <x v="19"/>
    <x v="3"/>
    <x v="0"/>
    <s v="4800101"/>
    <n v="400020"/>
    <s v="O/P Care Svcs Rev--Self Pay"/>
    <s v="OP Imaging Center"/>
    <x v="0"/>
    <n v="1500"/>
    <n v="15054.15"/>
    <n v="-10005.450000000001"/>
    <n v="-10294.549999999999"/>
    <n v="6016.15"/>
    <n v="-770.3"/>
    <n v="-668"/>
    <n v="3050"/>
    <n v="1173"/>
    <n v="0"/>
    <n v="0"/>
    <n v="0"/>
    <n v="-3555"/>
    <n v="0"/>
    <n v="3555"/>
  </r>
  <r>
    <x v="19"/>
    <x v="3"/>
    <x v="0"/>
    <s v="4800101"/>
    <n v="400020"/>
    <s v="O/P Care Svcs Rev--Other"/>
    <s v="OP Imaging Center"/>
    <x v="0"/>
    <n v="1700"/>
    <n v="2126"/>
    <n v="1304.55"/>
    <n v="-5551"/>
    <n v="9811.5499999999993"/>
    <n v="-16712.099999999999"/>
    <n v="-6682.5"/>
    <n v="3660"/>
    <n v="0"/>
    <n v="385"/>
    <n v="6100"/>
    <n v="-6505.67"/>
    <n v="12064.17"/>
    <n v="0"/>
    <n v="-18569.84"/>
  </r>
  <r>
    <x v="5"/>
    <x v="3"/>
    <x v="0"/>
    <s v="4800101"/>
    <n v="700032"/>
    <s v="Salaries-Other Pat Care Providers-Productive"/>
    <s v="OP Imaging Center"/>
    <x v="0"/>
    <m/>
    <n v="480.89"/>
    <n v="0"/>
    <n v="0"/>
    <n v="0"/>
    <n v="-480.89"/>
    <n v="0"/>
    <n v="0"/>
    <n v="0"/>
    <n v="0"/>
    <n v="0"/>
    <n v="0"/>
    <n v="0"/>
    <n v="0"/>
    <n v="0"/>
  </r>
  <r>
    <x v="5"/>
    <x v="3"/>
    <x v="0"/>
    <s v="4800101"/>
    <n v="700032"/>
    <s v="Salaries-Other Pat Care Providers-Other"/>
    <s v="OP Imaging Center"/>
    <x v="0"/>
    <n v="2000"/>
    <n v="39.31"/>
    <n v="0"/>
    <n v="0"/>
    <n v="0"/>
    <n v="-39.31"/>
    <n v="0"/>
    <n v="0"/>
    <n v="0"/>
    <n v="0"/>
    <n v="0"/>
    <n v="0"/>
    <n v="0"/>
    <n v="0"/>
    <n v="0"/>
  </r>
  <r>
    <x v="5"/>
    <x v="3"/>
    <x v="0"/>
    <s v="4800101"/>
    <n v="700034"/>
    <s v="Salaries-Tech/Professional-Productive"/>
    <s v="OP Imaging Center"/>
    <x v="0"/>
    <m/>
    <n v="144.93"/>
    <n v="-200.76"/>
    <n v="60.22"/>
    <n v="0"/>
    <n v="-4.3899999999999997"/>
    <n v="0"/>
    <n v="0"/>
    <n v="0"/>
    <n v="0"/>
    <n v="0"/>
    <n v="0"/>
    <n v="0"/>
    <n v="1.5099033134902129E-14"/>
    <n v="0"/>
  </r>
  <r>
    <x v="5"/>
    <x v="3"/>
    <x v="0"/>
    <s v="4800101"/>
    <n v="700034"/>
    <s v="Salaries-Tech/Professional-Other"/>
    <s v="OP Imaging Center"/>
    <x v="0"/>
    <n v="2000"/>
    <n v="478.8"/>
    <n v="87.93"/>
    <n v="92.29"/>
    <n v="0"/>
    <n v="-659.02"/>
    <n v="0"/>
    <n v="0"/>
    <n v="0"/>
    <n v="0"/>
    <n v="0"/>
    <n v="0"/>
    <n v="0"/>
    <n v="0"/>
    <n v="0"/>
  </r>
  <r>
    <x v="5"/>
    <x v="3"/>
    <x v="0"/>
    <s v="4800101"/>
    <n v="700074"/>
    <s v="Salaries-Tech/Professional-Non-productive"/>
    <s v="OP Imaging Center"/>
    <x v="0"/>
    <m/>
    <n v="12208.73"/>
    <n v="-708.88"/>
    <n v="175.32"/>
    <n v="0"/>
    <n v="-11675.17"/>
    <n v="0"/>
    <n v="0"/>
    <n v="0"/>
    <n v="0"/>
    <n v="0"/>
    <n v="0"/>
    <n v="0"/>
    <n v="0"/>
    <n v="0"/>
  </r>
  <r>
    <x v="5"/>
    <x v="3"/>
    <x v="0"/>
    <s v="4800101"/>
    <n v="700074"/>
    <s v="Salaries-Tech/Professional-NonProd-Other"/>
    <s v="OP Imaging Center"/>
    <x v="0"/>
    <n v="2000"/>
    <n v="1033.98"/>
    <n v="-727.99"/>
    <n v="275.36"/>
    <n v="0"/>
    <n v="-581.35"/>
    <n v="0"/>
    <n v="0"/>
    <n v="0"/>
    <n v="0"/>
    <n v="0"/>
    <n v="0"/>
    <n v="0"/>
    <n v="0"/>
    <n v="0"/>
  </r>
  <r>
    <x v="5"/>
    <x v="3"/>
    <x v="0"/>
    <s v="4800101"/>
    <n v="700084"/>
    <s v="Accrued PTO"/>
    <s v="OP Imaging Center"/>
    <x v="0"/>
    <m/>
    <n v="-2237.85"/>
    <n v="-25964.92"/>
    <n v="2876.41"/>
    <n v="0"/>
    <n v="25326.36"/>
    <n v="0"/>
    <n v="0"/>
    <n v="0"/>
    <n v="0"/>
    <n v="0"/>
    <n v="0"/>
    <n v="0"/>
    <n v="3.637978807091713E-12"/>
    <n v="0"/>
  </r>
  <r>
    <x v="10"/>
    <x v="3"/>
    <x v="0"/>
    <s v="4800101"/>
    <n v="710060"/>
    <s v="Contract Labor-Other"/>
    <s v="OP Imaging Center"/>
    <x v="0"/>
    <m/>
    <n v="0"/>
    <n v="0"/>
    <n v="0"/>
    <n v="0"/>
    <n v="0"/>
    <n v="0"/>
    <n v="0"/>
    <n v="0"/>
    <n v="0"/>
    <n v="0"/>
    <n v="0"/>
    <n v="0"/>
    <n v="0"/>
    <n v="0"/>
  </r>
  <r>
    <x v="10"/>
    <x v="3"/>
    <x v="0"/>
    <s v="4800101"/>
    <n v="710060"/>
    <s v="Contract Labor-Standby Wages"/>
    <s v="OP Imaging Center"/>
    <x v="0"/>
    <n v="5101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4800101"/>
    <n v="713010"/>
    <s v="Benefits-FICA/Medicare"/>
    <s v="OP Imaging Center"/>
    <x v="0"/>
    <m/>
    <n v="1075.76"/>
    <n v="-117.03"/>
    <n v="45.71"/>
    <n v="0"/>
    <n v="-1004.44"/>
    <n v="0"/>
    <n v="0"/>
    <n v="0"/>
    <n v="0"/>
    <n v="0"/>
    <n v="0"/>
    <n v="0"/>
    <n v="0"/>
    <n v="0"/>
  </r>
  <r>
    <x v="6"/>
    <x v="3"/>
    <x v="0"/>
    <s v="4800101"/>
    <n v="713090"/>
    <s v="Benefits-Allocated Amounts"/>
    <s v="OP Imaging Center"/>
    <x v="0"/>
    <m/>
    <n v="2317.6799999999998"/>
    <n v="-1666.65"/>
    <n v="252.45"/>
    <n v="37.880000000000003"/>
    <n v="-941.36"/>
    <n v="0"/>
    <n v="0"/>
    <n v="0"/>
    <n v="0"/>
    <n v="0"/>
    <n v="0"/>
    <n v="0"/>
    <n v="-2.2737367544323206E-13"/>
    <n v="0"/>
  </r>
  <r>
    <x v="7"/>
    <x v="3"/>
    <x v="0"/>
    <s v="4800101"/>
    <n v="718050"/>
    <s v="Miscellaneous Purchased Svcs"/>
    <s v="OP Imaging Center"/>
    <x v="0"/>
    <n v="1020"/>
    <n v="0"/>
    <n v="0"/>
    <n v="47.76"/>
    <n v="0"/>
    <n v="-47.76"/>
    <n v="0"/>
    <n v="0"/>
    <n v="0"/>
    <n v="0"/>
    <n v="0"/>
    <n v="0"/>
    <n v="0"/>
    <n v="0"/>
    <n v="0"/>
  </r>
  <r>
    <x v="7"/>
    <x v="3"/>
    <x v="0"/>
    <s v="4800101"/>
    <n v="718050"/>
    <s v="Contract Management--Linen"/>
    <s v="OP Imaging Center"/>
    <x v="0"/>
    <n v="1026"/>
    <n v="1527.09"/>
    <n v="1334.5"/>
    <n v="1329.27"/>
    <n v="-1426.56"/>
    <n v="-2764.3"/>
    <n v="0"/>
    <n v="0"/>
    <n v="0"/>
    <n v="0"/>
    <n v="0"/>
    <n v="0"/>
    <n v="0"/>
    <n v="4.5474735088646412E-13"/>
    <n v="0"/>
  </r>
  <r>
    <x v="7"/>
    <x v="3"/>
    <x v="0"/>
    <s v="4800101"/>
    <n v="718070"/>
    <s v="Contract Srvcs-CHI Clinical Engineering"/>
    <s v="OP Imaging Center"/>
    <x v="0"/>
    <m/>
    <n v="26662.65"/>
    <n v="26552.85"/>
    <n v="26552.85"/>
    <n v="0"/>
    <n v="-79768.350000000006"/>
    <n v="0"/>
    <n v="0"/>
    <n v="0"/>
    <n v="0"/>
    <n v="0"/>
    <n v="0"/>
    <n v="0"/>
    <n v="0"/>
    <n v="0"/>
  </r>
  <r>
    <x v="11"/>
    <x v="3"/>
    <x v="0"/>
    <s v="4800101"/>
    <n v="721010"/>
    <s v="Supplies-Medical - Billable"/>
    <s v="OP Imaging Center"/>
    <x v="0"/>
    <m/>
    <n v="46.16"/>
    <n v="100.68"/>
    <n v="64.680000000000007"/>
    <n v="0"/>
    <n v="-211.52"/>
    <n v="0"/>
    <n v="0"/>
    <n v="0"/>
    <n v="0"/>
    <n v="0"/>
    <n v="0"/>
    <n v="0"/>
    <n v="0"/>
    <n v="0"/>
  </r>
  <r>
    <x v="11"/>
    <x v="3"/>
    <x v="0"/>
    <s v="4800101"/>
    <n v="721010"/>
    <s v="Patient Monitoring"/>
    <s v="OP Imaging Center"/>
    <x v="0"/>
    <n v="1000"/>
    <n v="83.04"/>
    <n v="6.36"/>
    <n v="29.4"/>
    <n v="0"/>
    <n v="-118.8"/>
    <n v="0"/>
    <n v="0"/>
    <n v="0"/>
    <n v="0"/>
    <n v="0"/>
    <n v="0"/>
    <n v="0"/>
    <n v="1.4210854715202004E-14"/>
    <n v="0"/>
  </r>
  <r>
    <x v="11"/>
    <x v="3"/>
    <x v="0"/>
    <s v="4800101"/>
    <n v="721020"/>
    <s v="Supplies-Surgical - Billable"/>
    <s v="OP Imaging Center"/>
    <x v="0"/>
    <m/>
    <n v="0"/>
    <n v="3.11"/>
    <n v="0"/>
    <n v="0"/>
    <n v="-3.11"/>
    <n v="0"/>
    <n v="0"/>
    <n v="0"/>
    <n v="0"/>
    <n v="0"/>
    <n v="0"/>
    <n v="0"/>
    <n v="0"/>
    <n v="0"/>
  </r>
  <r>
    <x v="11"/>
    <x v="3"/>
    <x v="0"/>
    <s v="4800101"/>
    <n v="721050"/>
    <s v="Supplies-Cardiac Rhythm - Billable"/>
    <s v="OP Imaging Center"/>
    <x v="0"/>
    <m/>
    <n v="841.38"/>
    <n v="3083.4"/>
    <n v="295.32"/>
    <n v="0"/>
    <n v="-4220.1000000000004"/>
    <n v="0"/>
    <n v="0"/>
    <n v="0"/>
    <n v="0"/>
    <n v="0"/>
    <n v="0"/>
    <n v="0"/>
    <n v="0"/>
    <n v="0"/>
  </r>
  <r>
    <x v="11"/>
    <x v="3"/>
    <x v="0"/>
    <s v="4800101"/>
    <n v="721240"/>
    <s v="Supplies-IV Solutions/Supplies - Billable"/>
    <s v="OP Imaging Center"/>
    <x v="0"/>
    <m/>
    <n v="751.23"/>
    <n v="981.35"/>
    <n v="813.11"/>
    <n v="0"/>
    <n v="-2545.69"/>
    <n v="0"/>
    <n v="0"/>
    <n v="0"/>
    <n v="0"/>
    <n v="0"/>
    <n v="0"/>
    <n v="0"/>
    <n v="0"/>
    <n v="0"/>
  </r>
  <r>
    <x v="11"/>
    <x v="3"/>
    <x v="0"/>
    <s v="4800101"/>
    <n v="721250"/>
    <s v="Supplies-Pharmacy Drugs - Billable"/>
    <s v="OP Imaging Center"/>
    <x v="0"/>
    <m/>
    <n v="6579.84"/>
    <n v="12164.6"/>
    <n v="0"/>
    <n v="2718.3"/>
    <n v="-21462.74"/>
    <n v="0"/>
    <n v="0"/>
    <n v="0"/>
    <n v="0"/>
    <n v="0"/>
    <n v="0"/>
    <n v="0"/>
    <n v="0"/>
    <n v="0"/>
  </r>
  <r>
    <x v="11"/>
    <x v="3"/>
    <x v="0"/>
    <s v="4800101"/>
    <n v="721350"/>
    <s v="Radiology Imaging - Contrast Media"/>
    <s v="OP Imaging Center"/>
    <x v="0"/>
    <n v="1000"/>
    <n v="0.01"/>
    <n v="154.82"/>
    <n v="0"/>
    <n v="0"/>
    <n v="-154.83000000000001"/>
    <n v="0"/>
    <n v="0"/>
    <n v="0"/>
    <n v="0"/>
    <n v="0"/>
    <n v="0"/>
    <n v="0"/>
    <n v="-2.8421709430404007E-14"/>
    <n v="0"/>
  </r>
  <r>
    <x v="11"/>
    <x v="3"/>
    <x v="0"/>
    <s v="4800101"/>
    <n v="721410"/>
    <s v="Supplies-Medical - Nonbillable"/>
    <s v="OP Imaging Center"/>
    <x v="0"/>
    <m/>
    <n v="729.24"/>
    <n v="635.95000000000005"/>
    <n v="438.4"/>
    <n v="0"/>
    <n v="-1803.59"/>
    <n v="0"/>
    <n v="0"/>
    <n v="0"/>
    <n v="0"/>
    <n v="0"/>
    <n v="0"/>
    <n v="0"/>
    <n v="2.2737367544323206E-13"/>
    <n v="0"/>
  </r>
  <r>
    <x v="11"/>
    <x v="3"/>
    <x v="0"/>
    <s v="4800101"/>
    <n v="721420"/>
    <s v="Supplies-Surgical Nonbillable"/>
    <s v="OP Imaging Center"/>
    <x v="0"/>
    <m/>
    <n v="0"/>
    <n v="0"/>
    <n v="18.850000000000001"/>
    <n v="0"/>
    <n v="-18.850000000000001"/>
    <n v="0"/>
    <n v="0"/>
    <n v="0"/>
    <n v="0"/>
    <n v="0"/>
    <n v="0"/>
    <n v="0"/>
    <n v="0"/>
    <n v="0"/>
  </r>
  <r>
    <x v="11"/>
    <x v="3"/>
    <x v="0"/>
    <s v="4800101"/>
    <n v="721420"/>
    <s v="Sterilization Process Products"/>
    <s v="OP Imaging Center"/>
    <x v="0"/>
    <n v="1009"/>
    <n v="266.48"/>
    <n v="125.52"/>
    <n v="17.52"/>
    <n v="-16.46"/>
    <n v="-393.06"/>
    <n v="0"/>
    <n v="0"/>
    <n v="0"/>
    <n v="0"/>
    <n v="0"/>
    <n v="0"/>
    <n v="0"/>
    <n v="0"/>
    <n v="0"/>
  </r>
  <r>
    <x v="11"/>
    <x v="3"/>
    <x v="0"/>
    <s v="4800101"/>
    <n v="721610"/>
    <s v="Supplies-Anesthesia - Nonbillable"/>
    <s v="OP Imaging Center"/>
    <x v="0"/>
    <m/>
    <n v="8.94"/>
    <n v="23.53"/>
    <n v="22.53"/>
    <n v="0"/>
    <n v="-55"/>
    <n v="0"/>
    <n v="0"/>
    <n v="0"/>
    <n v="0"/>
    <n v="0"/>
    <n v="0"/>
    <n v="0"/>
    <n v="0"/>
    <n v="0"/>
  </r>
  <r>
    <x v="11"/>
    <x v="3"/>
    <x v="0"/>
    <s v="4800101"/>
    <n v="721640"/>
    <s v="Supplies-IV Solutions/Supplies - Nonbillable"/>
    <s v="OP Imaging Center"/>
    <x v="0"/>
    <m/>
    <n v="851.14"/>
    <n v="871.68"/>
    <n v="-155.94"/>
    <n v="0"/>
    <n v="-1566.88"/>
    <n v="0"/>
    <n v="0"/>
    <n v="0"/>
    <n v="0"/>
    <n v="0"/>
    <n v="0"/>
    <n v="0"/>
    <n v="-2.2737367544323206E-13"/>
    <n v="0"/>
  </r>
  <r>
    <x v="11"/>
    <x v="3"/>
    <x v="0"/>
    <s v="4800101"/>
    <n v="721650"/>
    <s v="Supplies-Pharmacy Drugs - Nonbillable"/>
    <s v="OP Imaging Center"/>
    <x v="0"/>
    <m/>
    <n v="7.25"/>
    <n v="8.59"/>
    <n v="0"/>
    <n v="0"/>
    <n v="-15.84"/>
    <n v="0"/>
    <n v="0"/>
    <n v="0"/>
    <n v="0"/>
    <n v="0"/>
    <n v="0"/>
    <n v="0"/>
    <n v="0"/>
    <n v="0"/>
  </r>
  <r>
    <x v="11"/>
    <x v="3"/>
    <x v="0"/>
    <s v="4800101"/>
    <n v="721710"/>
    <s v="Supplies-Laboratory - Nonbillable"/>
    <s v="OP Imaging Center"/>
    <x v="0"/>
    <m/>
    <n v="363.8"/>
    <n v="224.7"/>
    <n v="160.5"/>
    <n v="0"/>
    <n v="-749"/>
    <n v="0"/>
    <n v="0"/>
    <n v="0"/>
    <n v="0"/>
    <n v="0"/>
    <n v="0"/>
    <n v="0"/>
    <n v="0"/>
    <n v="0"/>
  </r>
  <r>
    <x v="11"/>
    <x v="3"/>
    <x v="0"/>
    <s v="4800101"/>
    <n v="721750"/>
    <s v="Supplies-Film/Radiographic - Nonbillable"/>
    <s v="OP Imaging Center"/>
    <x v="0"/>
    <m/>
    <n v="22.49"/>
    <n v="37.46"/>
    <n v="16.86"/>
    <n v="0"/>
    <n v="-76.81"/>
    <n v="0"/>
    <n v="0"/>
    <n v="0"/>
    <n v="0"/>
    <n v="0"/>
    <n v="0"/>
    <n v="0"/>
    <n v="0"/>
    <n v="0"/>
  </r>
  <r>
    <x v="11"/>
    <x v="3"/>
    <x v="0"/>
    <s v="4800101"/>
    <n v="721810"/>
    <s v="Supplies-Dietary/Cafeteria"/>
    <s v="OP Imaging Center"/>
    <x v="0"/>
    <m/>
    <n v="95.87"/>
    <n v="55.81"/>
    <n v="24.53"/>
    <n v="77.98"/>
    <n v="-254.19"/>
    <n v="0"/>
    <n v="0"/>
    <n v="0"/>
    <n v="0"/>
    <n v="0"/>
    <n v="0"/>
    <n v="0"/>
    <n v="0"/>
    <n v="0"/>
  </r>
  <r>
    <x v="11"/>
    <x v="3"/>
    <x v="0"/>
    <s v="4800101"/>
    <n v="721870"/>
    <s v="Supplies-Environmental Services"/>
    <s v="OP Imaging Center"/>
    <x v="0"/>
    <m/>
    <n v="148.96"/>
    <n v="63.06"/>
    <n v="82.4"/>
    <n v="-73.459999999999994"/>
    <n v="-220.96"/>
    <n v="0"/>
    <n v="0"/>
    <n v="0"/>
    <n v="0"/>
    <n v="0"/>
    <n v="0"/>
    <n v="0"/>
    <n v="2.8421709430404007E-14"/>
    <n v="0"/>
  </r>
  <r>
    <x v="11"/>
    <x v="3"/>
    <x v="0"/>
    <s v="4800101"/>
    <n v="721910"/>
    <s v="Supplies-Small Equipment"/>
    <s v="OP Imaging Center"/>
    <x v="0"/>
    <m/>
    <n v="5.76"/>
    <n v="0"/>
    <n v="1.28"/>
    <n v="0"/>
    <n v="-7.04"/>
    <n v="0"/>
    <n v="0"/>
    <n v="0"/>
    <n v="0"/>
    <n v="0"/>
    <n v="0"/>
    <n v="0"/>
    <n v="0"/>
    <n v="0"/>
  </r>
  <r>
    <x v="11"/>
    <x v="3"/>
    <x v="0"/>
    <s v="4800101"/>
    <n v="721980"/>
    <s v="Supplies-Other"/>
    <s v="OP Imaging Cente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4800101"/>
    <n v="722000"/>
    <s v="Supplies-Freight Expense"/>
    <s v="OP Imaging Center"/>
    <x v="0"/>
    <m/>
    <n v="38.43"/>
    <n v="31.85"/>
    <n v="22.83"/>
    <n v="57.46"/>
    <n v="-150.57"/>
    <n v="0"/>
    <n v="0"/>
    <n v="0"/>
    <n v="0"/>
    <n v="0"/>
    <n v="0"/>
    <n v="0"/>
    <n v="0"/>
    <n v="0"/>
  </r>
  <r>
    <x v="12"/>
    <x v="3"/>
    <x v="0"/>
    <s v="4800101"/>
    <n v="730020"/>
    <s v="Rental and Leases-Copier Usage Fees (DO NOT USE)"/>
    <s v="OP Imaging Center"/>
    <x v="0"/>
    <n v="5100"/>
    <n v="366.42"/>
    <n v="369.99"/>
    <n v="368.21"/>
    <n v="34.75"/>
    <n v="-1139.3699999999999"/>
    <n v="0"/>
    <n v="0"/>
    <n v="0"/>
    <n v="0"/>
    <n v="0"/>
    <n v="0"/>
    <n v="0"/>
    <n v="2.2737367544323206E-13"/>
    <n v="0"/>
  </r>
  <r>
    <x v="13"/>
    <x v="3"/>
    <x v="0"/>
    <s v="4800101"/>
    <n v="735070"/>
    <s v="Depreciation-Movable Equipment"/>
    <s v="OP Imaging Center"/>
    <x v="0"/>
    <m/>
    <n v="9614.36"/>
    <n v="9614.36"/>
    <n v="9614.36"/>
    <n v="0"/>
    <n v="-28843.08"/>
    <n v="0"/>
    <n v="0"/>
    <n v="0"/>
    <n v="0"/>
    <n v="0"/>
    <n v="0"/>
    <n v="0"/>
    <n v="0"/>
    <n v="0"/>
  </r>
  <r>
    <x v="18"/>
    <x v="0"/>
    <x v="0"/>
    <s v="4800102"/>
    <n v="400010"/>
    <s v="Acute I/P Svcs Rev--Medicare"/>
    <s v="OP Imaging Center"/>
    <x v="0"/>
    <n v="1100"/>
    <n v="-7281.6"/>
    <n v="-3640.8"/>
    <n v="4762.8"/>
    <n v="0"/>
    <n v="0"/>
    <n v="0"/>
    <n v="0"/>
    <n v="0"/>
    <n v="0"/>
    <n v="0"/>
    <n v="0"/>
    <n v="6159.6"/>
    <n v="0"/>
    <n v="-6159.6"/>
  </r>
  <r>
    <x v="18"/>
    <x v="0"/>
    <x v="0"/>
    <s v="4800102"/>
    <n v="400010"/>
    <s v="Acute I/P Svcs Rev--Medicaid"/>
    <s v="OP Imaging Center"/>
    <x v="0"/>
    <n v="1200"/>
    <n v="3640.8"/>
    <n v="3640.8"/>
    <n v="0"/>
    <n v="0"/>
    <n v="0"/>
    <n v="0"/>
    <n v="3832.92"/>
    <n v="0"/>
    <n v="582.39"/>
    <n v="0"/>
    <n v="0"/>
    <n v="-11696.91"/>
    <n v="0"/>
    <n v="11696.91"/>
  </r>
  <r>
    <x v="18"/>
    <x v="0"/>
    <x v="0"/>
    <s v="4800102"/>
    <n v="400010"/>
    <s v="Acute I/P Svcs Rev--Comm Insurance"/>
    <s v="OP Imaging Center"/>
    <x v="0"/>
    <n v="1300"/>
    <n v="3640.8"/>
    <n v="0"/>
    <n v="-4762.8"/>
    <n v="0"/>
    <n v="0"/>
    <n v="0"/>
    <n v="0"/>
    <n v="0"/>
    <n v="0"/>
    <n v="0"/>
    <n v="0"/>
    <n v="1122"/>
    <n v="0"/>
    <n v="-1122"/>
  </r>
  <r>
    <x v="18"/>
    <x v="0"/>
    <x v="0"/>
    <s v="4800102"/>
    <n v="400010"/>
    <s v="Acute I/P Svcs Rev--BCBS Comm"/>
    <s v="OP Imaging Center"/>
    <x v="0"/>
    <n v="1301"/>
    <n v="-6192.15"/>
    <n v="-6906.55"/>
    <n v="0"/>
    <n v="0"/>
    <n v="0"/>
    <n v="0"/>
    <n v="0"/>
    <n v="0"/>
    <n v="0"/>
    <n v="0"/>
    <n v="0"/>
    <n v="13098.7"/>
    <n v="0"/>
    <n v="-13098.7"/>
  </r>
  <r>
    <x v="18"/>
    <x v="0"/>
    <x v="0"/>
    <s v="4800102"/>
    <n v="400010"/>
    <s v="Acute I/P Svcs Rev--Managed Care"/>
    <s v="OP Imaging Center"/>
    <x v="0"/>
    <n v="1400"/>
    <n v="6192.15"/>
    <n v="6906.55"/>
    <n v="0"/>
    <n v="0"/>
    <n v="0"/>
    <n v="0"/>
    <n v="0"/>
    <n v="0"/>
    <n v="0"/>
    <n v="0"/>
    <n v="0"/>
    <n v="-13098.7"/>
    <n v="0"/>
    <n v="13098.7"/>
  </r>
  <r>
    <x v="19"/>
    <x v="0"/>
    <x v="0"/>
    <s v="4800102"/>
    <n v="400020"/>
    <s v="O/P Care Svcs Rev--Medicare"/>
    <s v="OP Imaging Center"/>
    <x v="0"/>
    <n v="1100"/>
    <n v="-1804.47"/>
    <n v="-28871.24"/>
    <n v="-1636.9"/>
    <n v="15813.15"/>
    <n v="2298"/>
    <n v="0"/>
    <n v="-5140"/>
    <n v="-3491.03"/>
    <n v="0"/>
    <n v="2298"/>
    <n v="0"/>
    <n v="20534.490000000002"/>
    <n v="0"/>
    <n v="-20534.490000000002"/>
  </r>
  <r>
    <x v="19"/>
    <x v="0"/>
    <x v="0"/>
    <s v="4800102"/>
    <n v="400020"/>
    <s v="O/P Care Svcs Rev--Medicaid"/>
    <s v="OP Imaging Center"/>
    <x v="0"/>
    <n v="1200"/>
    <n v="-14098.4"/>
    <n v="5690.47"/>
    <n v="2186"/>
    <n v="1117"/>
    <n v="1221.83"/>
    <n v="0"/>
    <n v="-1475.92"/>
    <n v="283.07"/>
    <n v="-215.26"/>
    <n v="0"/>
    <n v="-2557.1999999999998"/>
    <n v="7848.41"/>
    <n v="0"/>
    <n v="-10405.61"/>
  </r>
  <r>
    <x v="19"/>
    <x v="0"/>
    <x v="0"/>
    <s v="4800102"/>
    <n v="400020"/>
    <s v="O/P Care Svcs Rev--Comm Insurance"/>
    <s v="OP Imaging Center"/>
    <x v="0"/>
    <n v="1300"/>
    <n v="10784.27"/>
    <n v="24663.58"/>
    <n v="-16631.650000000001"/>
    <n v="-12303.55"/>
    <n v="-1221.83"/>
    <n v="0"/>
    <n v="485"/>
    <n v="2090.96"/>
    <n v="0"/>
    <n v="30.63"/>
    <n v="4525.2"/>
    <n v="-12422.61"/>
    <n v="0"/>
    <n v="16947.810000000001"/>
  </r>
  <r>
    <x v="19"/>
    <x v="0"/>
    <x v="0"/>
    <s v="4800102"/>
    <n v="400020"/>
    <s v="O/P Care Svcs Rev--BCBS Comm"/>
    <s v="OP Imaging Center"/>
    <x v="0"/>
    <n v="1301"/>
    <n v="-518.1"/>
    <n v="-554.67999999999995"/>
    <n v="-4879.66"/>
    <n v="0"/>
    <n v="-485"/>
    <n v="0"/>
    <n v="-703"/>
    <n v="0"/>
    <n v="-13557.2"/>
    <n v="0"/>
    <n v="0"/>
    <n v="20697.64"/>
    <n v="0"/>
    <n v="-20697.64"/>
  </r>
  <r>
    <x v="19"/>
    <x v="0"/>
    <x v="0"/>
    <s v="4800102"/>
    <n v="400020"/>
    <s v="O/P Care Svcs Rev--Managed Care"/>
    <s v="OP Imaging Center"/>
    <x v="0"/>
    <n v="1400"/>
    <n v="5864.96"/>
    <n v="-6848.31"/>
    <n v="13493.8"/>
    <n v="-752"/>
    <n v="-1813"/>
    <n v="0"/>
    <n v="2298"/>
    <n v="703"/>
    <n v="0"/>
    <n v="-3031.63"/>
    <n v="0"/>
    <n v="-9914.82"/>
    <n v="0"/>
    <n v="9914.82"/>
  </r>
  <r>
    <x v="19"/>
    <x v="0"/>
    <x v="0"/>
    <s v="4800102"/>
    <n v="400020"/>
    <s v="O/P Care Svcs Rev--Self Pay"/>
    <s v="OP Imaging Center"/>
    <x v="0"/>
    <n v="1500"/>
    <n v="2859.8"/>
    <n v="-3050"/>
    <n v="-5954.04"/>
    <n v="-3874.6"/>
    <n v="0"/>
    <n v="0"/>
    <n v="703"/>
    <n v="1117"/>
    <n v="2417"/>
    <n v="0"/>
    <n v="-1968"/>
    <n v="7749.84"/>
    <n v="0"/>
    <n v="-9717.84"/>
  </r>
  <r>
    <x v="19"/>
    <x v="0"/>
    <x v="0"/>
    <s v="4800102"/>
    <n v="400020"/>
    <s v="O/P Care Svcs Rev--Other"/>
    <s v="OP Imaging Center"/>
    <x v="0"/>
    <n v="1700"/>
    <n v="3935.84"/>
    <n v="8970.18"/>
    <n v="6398.55"/>
    <n v="0"/>
    <n v="0"/>
    <n v="0"/>
    <n v="0"/>
    <n v="-703"/>
    <n v="10773.07"/>
    <n v="703"/>
    <n v="0"/>
    <n v="-30077.64"/>
    <n v="0"/>
    <n v="30077.64"/>
  </r>
  <r>
    <x v="5"/>
    <x v="0"/>
    <x v="0"/>
    <s v="4800102"/>
    <n v="700026"/>
    <s v="Salaries-RN-Productive"/>
    <s v="OP Imaging Center"/>
    <x v="0"/>
    <m/>
    <n v="0"/>
    <n v="0"/>
    <n v="0"/>
    <n v="0"/>
    <n v="0"/>
    <n v="0"/>
    <n v="0"/>
    <n v="0"/>
    <n v="0"/>
    <n v="0"/>
    <n v="0"/>
    <n v="178.73"/>
    <n v="178.73"/>
    <n v="-178.73"/>
  </r>
  <r>
    <x v="5"/>
    <x v="0"/>
    <x v="0"/>
    <s v="4800102"/>
    <n v="700026"/>
    <s v="Salaries-RN-Other"/>
    <s v="OP Imaging Center"/>
    <x v="0"/>
    <n v="2000"/>
    <n v="0"/>
    <n v="0"/>
    <n v="0"/>
    <n v="0"/>
    <n v="0"/>
    <n v="0"/>
    <n v="0"/>
    <n v="0"/>
    <n v="0"/>
    <n v="0"/>
    <n v="0"/>
    <n v="10.52"/>
    <n v="10.52"/>
    <n v="-10.52"/>
  </r>
  <r>
    <x v="5"/>
    <x v="0"/>
    <x v="0"/>
    <s v="4800102"/>
    <n v="700032"/>
    <s v="Salaries-Other Pat Care Providers-Productive"/>
    <s v="OP Imaging Center"/>
    <x v="0"/>
    <m/>
    <n v="0"/>
    <n v="0"/>
    <n v="47.04"/>
    <n v="-17.100000000000001"/>
    <n v="0"/>
    <n v="0"/>
    <n v="0"/>
    <n v="0"/>
    <n v="0"/>
    <n v="0"/>
    <n v="0"/>
    <n v="0"/>
    <n v="29.939999999999998"/>
    <n v="0"/>
  </r>
  <r>
    <x v="6"/>
    <x v="0"/>
    <x v="0"/>
    <s v="4800102"/>
    <n v="713010"/>
    <s v="Benefits-FICA/Medicare"/>
    <s v="OP Imaging Center"/>
    <x v="0"/>
    <m/>
    <n v="0"/>
    <n v="0"/>
    <n v="3.44"/>
    <n v="-1.24"/>
    <n v="0"/>
    <n v="0"/>
    <n v="0"/>
    <n v="0"/>
    <n v="0"/>
    <n v="0"/>
    <n v="0"/>
    <n v="14.26"/>
    <n v="16.46"/>
    <n v="-14.26"/>
  </r>
  <r>
    <x v="7"/>
    <x v="0"/>
    <x v="0"/>
    <s v="4800102"/>
    <n v="718050"/>
    <s v="Miscellaneous Purchased Svcs"/>
    <s v="OP Imaging Center"/>
    <x v="0"/>
    <n v="1020"/>
    <n v="252"/>
    <n v="0"/>
    <n v="0"/>
    <n v="0"/>
    <n v="0"/>
    <n v="0"/>
    <n v="0"/>
    <n v="0"/>
    <n v="0"/>
    <n v="0"/>
    <n v="0"/>
    <n v="0"/>
    <n v="252"/>
    <n v="0"/>
  </r>
  <r>
    <x v="7"/>
    <x v="0"/>
    <x v="0"/>
    <s v="4800102"/>
    <n v="718050"/>
    <s v="Contract Management--Linen"/>
    <s v="OP Imaging Center"/>
    <x v="0"/>
    <n v="1026"/>
    <n v="1717.11"/>
    <n v="1256.6300000000001"/>
    <n v="1404.24"/>
    <n v="1492.02"/>
    <n v="1720.65"/>
    <n v="1697.05"/>
    <n v="1295.7"/>
    <n v="-1180.42"/>
    <n v="1465.39"/>
    <n v="1828.73"/>
    <n v="-1640.63"/>
    <n v="1694.28"/>
    <n v="12750.749999999998"/>
    <n v="-3334.91"/>
  </r>
  <r>
    <x v="7"/>
    <x v="0"/>
    <x v="0"/>
    <s v="4800102"/>
    <n v="718070"/>
    <s v="Contract Srvcs-CHI Clinical Engineering"/>
    <s v="OP Imaging Center"/>
    <x v="0"/>
    <m/>
    <n v="8478.83"/>
    <n v="8478.83"/>
    <n v="8478.83"/>
    <n v="0"/>
    <n v="0"/>
    <n v="0"/>
    <n v="0"/>
    <n v="0"/>
    <n v="0"/>
    <n v="0"/>
    <n v="0"/>
    <n v="0"/>
    <n v="25436.489999999998"/>
    <n v="0"/>
  </r>
  <r>
    <x v="11"/>
    <x v="0"/>
    <x v="0"/>
    <s v="4800102"/>
    <n v="721010"/>
    <s v="Supplies-Medical - Billable"/>
    <s v="OP Imaging Center"/>
    <x v="0"/>
    <m/>
    <n v="0.02"/>
    <n v="18.989999999999998"/>
    <n v="42.88"/>
    <n v="5.32"/>
    <n v="0"/>
    <n v="0"/>
    <n v="0"/>
    <n v="0"/>
    <n v="0"/>
    <n v="0"/>
    <n v="0.25"/>
    <n v="70.5"/>
    <n v="137.96"/>
    <n v="-70.25"/>
  </r>
  <r>
    <x v="11"/>
    <x v="0"/>
    <x v="0"/>
    <s v="4800102"/>
    <n v="721010"/>
    <s v="Patient Monitoring"/>
    <s v="OP Imaging Center"/>
    <x v="0"/>
    <n v="1000"/>
    <n v="160.11000000000001"/>
    <n v="4.41"/>
    <n v="0"/>
    <n v="19.079999999999998"/>
    <n v="0"/>
    <n v="0"/>
    <n v="63.6"/>
    <n v="0"/>
    <n v="3.18"/>
    <n v="0"/>
    <n v="73.39"/>
    <n v="0"/>
    <n v="323.77000000000004"/>
    <n v="73.39"/>
  </r>
  <r>
    <x v="11"/>
    <x v="0"/>
    <x v="0"/>
    <s v="4800102"/>
    <n v="721020"/>
    <s v="Supplies-Surgical - Billable"/>
    <s v="OP Imaging Center"/>
    <x v="0"/>
    <m/>
    <n v="0"/>
    <n v="0"/>
    <n v="0"/>
    <n v="0"/>
    <n v="0"/>
    <n v="0"/>
    <n v="0"/>
    <n v="0"/>
    <n v="0"/>
    <n v="0"/>
    <n v="0"/>
    <n v="25.99"/>
    <n v="25.99"/>
    <n v="-25.99"/>
  </r>
  <r>
    <x v="11"/>
    <x v="0"/>
    <x v="0"/>
    <s v="4800102"/>
    <n v="721050"/>
    <s v="Supplies-Cardiac Rhythm - Billable"/>
    <s v="OP Imaging Center"/>
    <x v="0"/>
    <m/>
    <n v="1226.5"/>
    <n v="321"/>
    <n v="0"/>
    <n v="0"/>
    <n v="0"/>
    <n v="0"/>
    <n v="0"/>
    <n v="0"/>
    <n v="642"/>
    <n v="0"/>
    <n v="0"/>
    <n v="321"/>
    <n v="2510.5"/>
    <n v="-321"/>
  </r>
  <r>
    <x v="11"/>
    <x v="0"/>
    <x v="0"/>
    <s v="4800102"/>
    <n v="721240"/>
    <s v="Supplies-IV Solutions/Supplies - Billable"/>
    <s v="OP Imaging Center"/>
    <x v="0"/>
    <m/>
    <n v="655.88"/>
    <n v="0"/>
    <n v="108.5"/>
    <n v="64"/>
    <n v="0"/>
    <n v="178"/>
    <n v="0"/>
    <n v="0"/>
    <n v="34.130000000000003"/>
    <n v="44.5"/>
    <n v="149.47999999999999"/>
    <n v="0"/>
    <n v="1234.49"/>
    <n v="149.47999999999999"/>
  </r>
  <r>
    <x v="11"/>
    <x v="0"/>
    <x v="0"/>
    <s v="4800102"/>
    <n v="721250"/>
    <s v="Supplies-Pharmacy Drugs - Billable"/>
    <s v="OP Imaging Center"/>
    <x v="0"/>
    <m/>
    <n v="5349.03"/>
    <n v="5152.2"/>
    <n v="3916.7"/>
    <n v="2376.5100000000002"/>
    <n v="0"/>
    <n v="2097"/>
    <n v="0"/>
    <n v="1006.38"/>
    <n v="0"/>
    <n v="2333.8000000000002"/>
    <n v="0"/>
    <n v="2294.9299999999998"/>
    <n v="24526.550000000003"/>
    <n v="-2294.9299999999998"/>
  </r>
  <r>
    <x v="11"/>
    <x v="0"/>
    <x v="0"/>
    <s v="4800102"/>
    <n v="721350"/>
    <s v="Radiology Imaging - Contrast Media"/>
    <s v="OP Imaging Center"/>
    <x v="0"/>
    <n v="1000"/>
    <n v="0.01"/>
    <n v="0"/>
    <n v="0"/>
    <n v="0"/>
    <n v="0"/>
    <n v="0"/>
    <n v="0"/>
    <n v="0"/>
    <n v="0"/>
    <n v="0"/>
    <n v="0"/>
    <n v="0"/>
    <n v="0.01"/>
    <n v="0"/>
  </r>
  <r>
    <x v="11"/>
    <x v="0"/>
    <x v="0"/>
    <s v="4800102"/>
    <n v="721410"/>
    <s v="Supplies-Medical - Nonbillable"/>
    <s v="OP Imaging Center"/>
    <x v="0"/>
    <m/>
    <n v="217.91"/>
    <n v="45.9"/>
    <n v="37.53"/>
    <n v="22.53"/>
    <n v="11.22"/>
    <n v="57.22"/>
    <n v="0"/>
    <n v="180.28"/>
    <n v="93.9"/>
    <n v="25.47"/>
    <n v="46"/>
    <n v="225.88"/>
    <n v="963.84"/>
    <n v="-179.88"/>
  </r>
  <r>
    <x v="11"/>
    <x v="0"/>
    <x v="0"/>
    <s v="4800102"/>
    <n v="721410"/>
    <s v="Patient Monitoring"/>
    <s v="OP Imaging Center"/>
    <x v="0"/>
    <n v="1000"/>
    <n v="0"/>
    <n v="0"/>
    <n v="0"/>
    <n v="0"/>
    <n v="0"/>
    <n v="0"/>
    <n v="0"/>
    <n v="2.2200000000000002"/>
    <n v="0"/>
    <n v="0"/>
    <n v="0"/>
    <n v="0"/>
    <n v="2.2200000000000002"/>
    <n v="0"/>
  </r>
  <r>
    <x v="11"/>
    <x v="0"/>
    <x v="0"/>
    <s v="4800102"/>
    <n v="721420"/>
    <s v="Supplies-Surgical Nonbillable"/>
    <s v="OP Imaging Center"/>
    <x v="0"/>
    <m/>
    <n v="0"/>
    <n v="0"/>
    <n v="5.67"/>
    <n v="0"/>
    <n v="0"/>
    <n v="0"/>
    <n v="0"/>
    <n v="0"/>
    <n v="0"/>
    <n v="0.42"/>
    <n v="0"/>
    <n v="0"/>
    <n v="6.09"/>
    <n v="0"/>
  </r>
  <r>
    <x v="11"/>
    <x v="0"/>
    <x v="0"/>
    <s v="4800102"/>
    <n v="721610"/>
    <s v="Supplies-Anesthesia - Nonbillable"/>
    <s v="OP Imaging Center"/>
    <x v="0"/>
    <m/>
    <n v="0"/>
    <n v="21.85"/>
    <n v="0"/>
    <n v="0"/>
    <n v="0"/>
    <n v="0"/>
    <n v="0"/>
    <n v="0.06"/>
    <n v="0"/>
    <n v="0"/>
    <n v="0"/>
    <n v="0"/>
    <n v="21.91"/>
    <n v="0"/>
  </r>
  <r>
    <x v="11"/>
    <x v="0"/>
    <x v="0"/>
    <s v="4800102"/>
    <n v="721640"/>
    <s v="Supplies-IV Solutions/Supplies - Nonbillable"/>
    <s v="OP Imaging Center"/>
    <x v="0"/>
    <m/>
    <n v="9"/>
    <n v="6.66"/>
    <n v="8.8800000000000008"/>
    <n v="0"/>
    <n v="15.54"/>
    <n v="0"/>
    <n v="0"/>
    <n v="0"/>
    <n v="53.69"/>
    <n v="-22.99"/>
    <n v="63"/>
    <n v="0"/>
    <n v="133.78"/>
    <n v="63"/>
  </r>
  <r>
    <x v="11"/>
    <x v="0"/>
    <x v="0"/>
    <s v="4800102"/>
    <n v="721650"/>
    <s v="Supplies-Pharmacy Drugs - Nonbillable"/>
    <s v="OP Imaging Center"/>
    <x v="0"/>
    <m/>
    <n v="0"/>
    <n v="0"/>
    <n v="0"/>
    <n v="0"/>
    <n v="0"/>
    <n v="-3.34"/>
    <n v="0"/>
    <n v="0"/>
    <n v="0"/>
    <n v="0"/>
    <n v="0"/>
    <n v="0"/>
    <n v="-3.34"/>
    <n v="0"/>
  </r>
  <r>
    <x v="11"/>
    <x v="0"/>
    <x v="0"/>
    <s v="4800102"/>
    <n v="721710"/>
    <s v="Supplies-Laboratory - Nonbillable"/>
    <s v="OP Imaging Center"/>
    <x v="0"/>
    <m/>
    <n v="214"/>
    <n v="214"/>
    <n v="0"/>
    <n v="0"/>
    <n v="0"/>
    <n v="214"/>
    <n v="0"/>
    <n v="0"/>
    <n v="428"/>
    <n v="0"/>
    <n v="0"/>
    <n v="214"/>
    <n v="1284"/>
    <n v="-214"/>
  </r>
  <r>
    <x v="11"/>
    <x v="0"/>
    <x v="0"/>
    <s v="4800102"/>
    <n v="721750"/>
    <s v="Supplies-Film/Radiographic - Nonbillable"/>
    <s v="OP Imaging Center"/>
    <x v="0"/>
    <m/>
    <n v="16.86"/>
    <n v="22.48"/>
    <n v="11.24"/>
    <n v="0"/>
    <n v="0"/>
    <n v="22.48"/>
    <n v="0"/>
    <n v="0"/>
    <n v="11.24"/>
    <n v="0"/>
    <n v="3.75"/>
    <n v="0"/>
    <n v="88.05"/>
    <n v="3.75"/>
  </r>
  <r>
    <x v="11"/>
    <x v="0"/>
    <x v="0"/>
    <s v="4800102"/>
    <n v="721810"/>
    <s v="Supplies-Dietary/Cafeteria"/>
    <s v="OP Imaging Center"/>
    <x v="0"/>
    <m/>
    <n v="0.6"/>
    <n v="129.69"/>
    <n v="13.5"/>
    <n v="132.77000000000001"/>
    <n v="129.18"/>
    <n v="140.43"/>
    <n v="129.18"/>
    <n v="0"/>
    <n v="143.58000000000001"/>
    <n v="123.11"/>
    <n v="0"/>
    <n v="119.21"/>
    <n v="1061.2500000000002"/>
    <n v="-119.21"/>
  </r>
  <r>
    <x v="11"/>
    <x v="0"/>
    <x v="0"/>
    <s v="4800102"/>
    <n v="721870"/>
    <s v="Supplies-Environmental Services"/>
    <s v="OP Imaging Center"/>
    <x v="0"/>
    <m/>
    <n v="0"/>
    <n v="3.54"/>
    <n v="0"/>
    <n v="0"/>
    <n v="0"/>
    <n v="15.74"/>
    <n v="0"/>
    <n v="0"/>
    <n v="0"/>
    <n v="0"/>
    <n v="0"/>
    <n v="0"/>
    <n v="19.28"/>
    <n v="0"/>
  </r>
  <r>
    <x v="11"/>
    <x v="0"/>
    <x v="0"/>
    <s v="4800102"/>
    <n v="722000"/>
    <s v="Supplies-Freight Expense"/>
    <s v="OP Imaging Center"/>
    <x v="0"/>
    <m/>
    <n v="0"/>
    <n v="36"/>
    <n v="0"/>
    <n v="36"/>
    <n v="0"/>
    <n v="0"/>
    <n v="0"/>
    <n v="0"/>
    <n v="0"/>
    <n v="0"/>
    <n v="0"/>
    <n v="0"/>
    <n v="72"/>
    <n v="0"/>
  </r>
  <r>
    <x v="12"/>
    <x v="0"/>
    <x v="0"/>
    <s v="4800102"/>
    <n v="730020"/>
    <s v="Rental and Leases-Copier Usage Fees (DO NOT USE)"/>
    <s v="OP Imaging Center"/>
    <x v="0"/>
    <n v="5100"/>
    <n v="21.72"/>
    <n v="22.49"/>
    <n v="22.1"/>
    <n v="22.1"/>
    <n v="22.1"/>
    <n v="22.1"/>
    <n v="17.329999999999998"/>
    <n v="22.63"/>
    <n v="51.35"/>
    <n v="28.79"/>
    <n v="25.69"/>
    <n v="25.69"/>
    <n v="304.08999999999997"/>
    <n v="0"/>
  </r>
  <r>
    <x v="15"/>
    <x v="0"/>
    <x v="0"/>
    <s v="4800102"/>
    <n v="731060"/>
    <s v="Pagers"/>
    <s v="OP Imaging Center"/>
    <x v="0"/>
    <n v="1002"/>
    <n v="9"/>
    <n v="9"/>
    <n v="9"/>
    <n v="9"/>
    <n v="9"/>
    <n v="0"/>
    <n v="18"/>
    <n v="9"/>
    <n v="9"/>
    <n v="9"/>
    <n v="9"/>
    <n v="9"/>
    <n v="108"/>
    <n v="0"/>
  </r>
  <r>
    <x v="13"/>
    <x v="0"/>
    <x v="0"/>
    <s v="4800102"/>
    <n v="735070"/>
    <s v="Depreciation-Movable Equipment"/>
    <s v="OP Imaging Center"/>
    <x v="0"/>
    <m/>
    <n v="406.74"/>
    <n v="406.74"/>
    <n v="406.74"/>
    <n v="406.74"/>
    <n v="406.74"/>
    <n v="406.74"/>
    <n v="406.74"/>
    <n v="406.73"/>
    <n v="406.74"/>
    <n v="406.73"/>
    <n v="406.74"/>
    <n v="406.73"/>
    <n v="4880.8500000000004"/>
    <n v="9.9999999999909051E-3"/>
  </r>
  <r>
    <x v="0"/>
    <x v="0"/>
    <x v="0"/>
    <s v="4800102"/>
    <n v="749510"/>
    <s v="Miscellaneous Expenses"/>
    <s v="OP Imaging Center"/>
    <x v="0"/>
    <m/>
    <n v="0"/>
    <n v="0"/>
    <n v="0"/>
    <n v="0"/>
    <n v="0"/>
    <n v="0"/>
    <n v="0"/>
    <n v="0"/>
    <n v="0"/>
    <n v="0"/>
    <n v="0"/>
    <n v="0"/>
    <n v="0"/>
    <n v="0"/>
  </r>
  <r>
    <x v="18"/>
    <x v="4"/>
    <x v="0"/>
    <s v="4800103"/>
    <n v="400010"/>
    <s v="Acute I/P Svcs Rev--Medicare"/>
    <s v="OP Imaging Center"/>
    <x v="0"/>
    <n v="1100"/>
    <n v="6304.15"/>
    <n v="-20569.830000000002"/>
    <n v="0"/>
    <n v="0"/>
    <n v="6885.2"/>
    <n v="0"/>
    <n v="0"/>
    <n v="0"/>
    <n v="0"/>
    <n v="0"/>
    <n v="0"/>
    <n v="0"/>
    <n v="-7380.4800000000023"/>
    <n v="0"/>
  </r>
  <r>
    <x v="18"/>
    <x v="4"/>
    <x v="0"/>
    <s v="4800103"/>
    <n v="400010"/>
    <s v="Acute I/P Svcs Rev--Medicaid"/>
    <s v="OP Imaging Center"/>
    <x v="0"/>
    <n v="1200"/>
    <n v="0"/>
    <n v="20569.830000000002"/>
    <n v="0"/>
    <n v="0"/>
    <n v="0"/>
    <n v="0"/>
    <n v="0"/>
    <n v="0"/>
    <n v="0"/>
    <n v="0"/>
    <n v="0"/>
    <n v="0"/>
    <n v="20569.830000000002"/>
    <n v="0"/>
  </r>
  <r>
    <x v="18"/>
    <x v="4"/>
    <x v="0"/>
    <s v="4800103"/>
    <n v="400010"/>
    <s v="Acute I/P Svcs Rev--Comm Insurance"/>
    <s v="OP Imaging Center"/>
    <x v="0"/>
    <n v="1300"/>
    <n v="0"/>
    <n v="0"/>
    <n v="0"/>
    <n v="0"/>
    <n v="-6885.2"/>
    <n v="0"/>
    <n v="0"/>
    <n v="0"/>
    <n v="0"/>
    <n v="0"/>
    <n v="0"/>
    <n v="0"/>
    <n v="-6885.2"/>
    <n v="0"/>
  </r>
  <r>
    <x v="18"/>
    <x v="4"/>
    <x v="0"/>
    <s v="4800103"/>
    <n v="400010"/>
    <s v="Acute I/P Svcs Rev--BCBS Comm"/>
    <s v="OP Imaging Center"/>
    <x v="0"/>
    <n v="1301"/>
    <n v="-13880.95"/>
    <n v="0"/>
    <n v="0"/>
    <n v="0"/>
    <n v="0"/>
    <n v="0"/>
    <n v="0"/>
    <n v="0"/>
    <n v="0"/>
    <n v="0"/>
    <n v="0"/>
    <n v="0"/>
    <n v="-13880.95"/>
    <n v="0"/>
  </r>
  <r>
    <x v="18"/>
    <x v="4"/>
    <x v="0"/>
    <s v="4800103"/>
    <n v="400010"/>
    <s v="Acute I/P Svcs Rev--Managed Care"/>
    <s v="OP Imaging Center"/>
    <x v="0"/>
    <n v="1400"/>
    <n v="7576.8"/>
    <n v="0"/>
    <n v="0"/>
    <n v="0"/>
    <n v="0"/>
    <n v="0"/>
    <n v="0"/>
    <n v="0"/>
    <n v="0"/>
    <n v="0"/>
    <n v="0"/>
    <n v="0"/>
    <n v="7576.8"/>
    <n v="0"/>
  </r>
  <r>
    <x v="19"/>
    <x v="4"/>
    <x v="0"/>
    <s v="4800103"/>
    <n v="400020"/>
    <s v="O/P Care Svcs Rev--Medicare"/>
    <s v="OP Imaging Center"/>
    <x v="0"/>
    <n v="1100"/>
    <n v="11375.99"/>
    <n v="-20079.03"/>
    <n v="-811"/>
    <n v="-6371.57"/>
    <n v="-469"/>
    <n v="0"/>
    <n v="0"/>
    <n v="0"/>
    <n v="0"/>
    <n v="0"/>
    <n v="0"/>
    <n v="0"/>
    <n v="-16354.609999999999"/>
    <n v="0"/>
  </r>
  <r>
    <x v="19"/>
    <x v="4"/>
    <x v="0"/>
    <s v="4800103"/>
    <n v="400020"/>
    <s v="O/P Care Svcs Rev--Medicaid"/>
    <s v="OP Imaging Center"/>
    <x v="0"/>
    <n v="1200"/>
    <n v="-8631.4"/>
    <n v="2243.79"/>
    <n v="3321.3"/>
    <n v="5002.2700000000004"/>
    <n v="8461.69"/>
    <n v="0"/>
    <n v="0"/>
    <n v="0"/>
    <n v="0"/>
    <n v="0"/>
    <n v="0"/>
    <n v="0"/>
    <n v="10397.650000000001"/>
    <n v="0"/>
  </r>
  <r>
    <x v="19"/>
    <x v="4"/>
    <x v="0"/>
    <s v="4800103"/>
    <n v="400020"/>
    <s v="O/P Care Svcs Rev--Comm Insurance"/>
    <s v="OP Imaging Center"/>
    <x v="0"/>
    <n v="1300"/>
    <n v="-10730.57"/>
    <n v="25403.88"/>
    <n v="485"/>
    <n v="-4086"/>
    <n v="6805"/>
    <n v="0"/>
    <n v="0"/>
    <n v="0"/>
    <n v="0"/>
    <n v="0"/>
    <n v="0"/>
    <n v="0"/>
    <n v="17877.310000000001"/>
    <n v="0"/>
  </r>
  <r>
    <x v="19"/>
    <x v="4"/>
    <x v="0"/>
    <s v="4800103"/>
    <n v="400020"/>
    <s v="O/P Care Svcs Rev--BCBS Comm"/>
    <s v="OP Imaging Center"/>
    <x v="0"/>
    <n v="1301"/>
    <n v="3050"/>
    <n v="-2017.1"/>
    <n v="-3050"/>
    <n v="2460"/>
    <n v="-3050"/>
    <n v="0"/>
    <n v="0"/>
    <n v="0"/>
    <n v="0"/>
    <n v="0"/>
    <n v="0"/>
    <n v="0"/>
    <n v="-2607.1"/>
    <n v="0"/>
  </r>
  <r>
    <x v="19"/>
    <x v="4"/>
    <x v="0"/>
    <s v="4800103"/>
    <n v="400020"/>
    <s v="O/P Care Svcs Rev--Managed Care"/>
    <s v="OP Imaging Center"/>
    <x v="0"/>
    <n v="1400"/>
    <n v="14027.69"/>
    <n v="6833.25"/>
    <n v="-179.58"/>
    <n v="-3771"/>
    <n v="-14200.69"/>
    <n v="0"/>
    <n v="0"/>
    <n v="0"/>
    <n v="0"/>
    <n v="0"/>
    <n v="0"/>
    <n v="0"/>
    <n v="2709.67"/>
    <n v="0"/>
  </r>
  <r>
    <x v="19"/>
    <x v="4"/>
    <x v="0"/>
    <s v="4800103"/>
    <n v="400020"/>
    <s v="O/P Care Svcs Rev--Self Pay"/>
    <s v="OP Imaging Center"/>
    <x v="0"/>
    <n v="1500"/>
    <n v="-2270.71"/>
    <n v="-1774.79"/>
    <n v="-2157.7199999999998"/>
    <n v="2995.3"/>
    <n v="0"/>
    <n v="0"/>
    <n v="0"/>
    <n v="0"/>
    <n v="0"/>
    <n v="0"/>
    <n v="0"/>
    <n v="0"/>
    <n v="-3207.9199999999992"/>
    <n v="0"/>
  </r>
  <r>
    <x v="19"/>
    <x v="4"/>
    <x v="0"/>
    <s v="4800103"/>
    <n v="400020"/>
    <s v="O/P Care Svcs Rev--Other"/>
    <s v="OP Imaging Center"/>
    <x v="0"/>
    <n v="1700"/>
    <n v="-3771"/>
    <n v="-10610"/>
    <n v="-658"/>
    <n v="3771"/>
    <n v="2453"/>
    <n v="0"/>
    <n v="0"/>
    <n v="0"/>
    <n v="0"/>
    <n v="0"/>
    <n v="0"/>
    <n v="0"/>
    <n v="-8815"/>
    <n v="0"/>
  </r>
  <r>
    <x v="14"/>
    <x v="4"/>
    <x v="0"/>
    <s v="4800103"/>
    <n v="600060"/>
    <s v="Gain/Loss--Sale of Fixed Assets"/>
    <s v="OP Imaging Center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4800103"/>
    <n v="700032"/>
    <s v="Salaries-Other Pat Care Providers-Productive"/>
    <s v="OP Imaging Center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4800103"/>
    <n v="700034"/>
    <s v="Salaries-Tech/Professional-Productive"/>
    <s v="OP Imaging Center"/>
    <x v="0"/>
    <m/>
    <n v="12212.38"/>
    <n v="420.14"/>
    <n v="-12632.52"/>
    <n v="0"/>
    <n v="0"/>
    <n v="0"/>
    <n v="0"/>
    <n v="0"/>
    <n v="0"/>
    <n v="0"/>
    <n v="0"/>
    <n v="0"/>
    <n v="-1.8189894035458565E-12"/>
    <n v="0"/>
  </r>
  <r>
    <x v="5"/>
    <x v="4"/>
    <x v="0"/>
    <s v="4800103"/>
    <n v="700034"/>
    <s v="Salaries-Tech/Professional-OT"/>
    <s v="OP Imaging Center"/>
    <x v="0"/>
    <n v="1000"/>
    <n v="419.59"/>
    <n v="-6.79"/>
    <n v="-412.8"/>
    <n v="0"/>
    <n v="0"/>
    <n v="0"/>
    <n v="0"/>
    <n v="0"/>
    <n v="0"/>
    <n v="0"/>
    <n v="0"/>
    <n v="0"/>
    <n v="-5.6843418860808015E-14"/>
    <n v="0"/>
  </r>
  <r>
    <x v="5"/>
    <x v="4"/>
    <x v="0"/>
    <s v="4800103"/>
    <n v="700034"/>
    <s v="Salaries-Tech/Professional-Other"/>
    <s v="OP Imaging Center"/>
    <x v="0"/>
    <n v="2000"/>
    <n v="448.2"/>
    <n v="-2.04"/>
    <n v="-446.16"/>
    <n v="0"/>
    <n v="0"/>
    <n v="0"/>
    <n v="0"/>
    <n v="0"/>
    <n v="0"/>
    <n v="0"/>
    <n v="0"/>
    <n v="0"/>
    <n v="-5.6843418860808015E-14"/>
    <n v="0"/>
  </r>
  <r>
    <x v="5"/>
    <x v="4"/>
    <x v="0"/>
    <s v="4800103"/>
    <n v="700074"/>
    <s v="Salaries-Tech/Professional-NonProd-Other"/>
    <s v="OP Imaging Center"/>
    <x v="0"/>
    <n v="2000"/>
    <n v="196.49"/>
    <n v="-34.659999999999997"/>
    <n v="-161.83000000000001"/>
    <n v="0"/>
    <n v="0"/>
    <n v="0"/>
    <n v="0"/>
    <n v="0"/>
    <n v="0"/>
    <n v="0"/>
    <n v="0"/>
    <n v="0"/>
    <n v="0"/>
    <n v="0"/>
  </r>
  <r>
    <x v="5"/>
    <x v="4"/>
    <x v="0"/>
    <s v="4800103"/>
    <n v="700084"/>
    <s v="Accrued PTO"/>
    <s v="OP Imaging Center"/>
    <x v="0"/>
    <m/>
    <n v="0.69"/>
    <n v="0"/>
    <n v="-0.69"/>
    <n v="0"/>
    <n v="0"/>
    <n v="0"/>
    <n v="0"/>
    <n v="0"/>
    <n v="0"/>
    <n v="0"/>
    <n v="0"/>
    <n v="0"/>
    <n v="0"/>
    <n v="0"/>
  </r>
  <r>
    <x v="6"/>
    <x v="4"/>
    <x v="0"/>
    <s v="4800103"/>
    <n v="713010"/>
    <s v="Benefits-FICA/Medicare"/>
    <s v="OP Imaging Center"/>
    <x v="0"/>
    <m/>
    <n v="1013.99"/>
    <n v="28.84"/>
    <n v="-1042.83"/>
    <n v="0"/>
    <n v="0"/>
    <n v="0"/>
    <n v="0"/>
    <n v="0"/>
    <n v="0"/>
    <n v="0"/>
    <n v="0"/>
    <n v="0"/>
    <n v="0"/>
    <n v="0"/>
  </r>
  <r>
    <x v="6"/>
    <x v="4"/>
    <x v="0"/>
    <s v="4800103"/>
    <n v="713090"/>
    <s v="Benefits-Allocated Amounts"/>
    <s v="OP Imaging Center"/>
    <x v="0"/>
    <m/>
    <n v="2205.6"/>
    <n v="-62.07"/>
    <n v="-2143.5300000000002"/>
    <n v="0"/>
    <n v="0"/>
    <n v="0"/>
    <n v="0"/>
    <n v="0"/>
    <n v="0"/>
    <n v="0"/>
    <n v="0"/>
    <n v="0"/>
    <n v="-4.5474735088646412E-13"/>
    <n v="0"/>
  </r>
  <r>
    <x v="7"/>
    <x v="4"/>
    <x v="0"/>
    <s v="4800103"/>
    <n v="718050"/>
    <s v="Document Shredding/Storage"/>
    <s v="OP Imaging Center"/>
    <x v="0"/>
    <n v="1012"/>
    <n v="310.3"/>
    <n v="304.14999999999998"/>
    <n v="446.33"/>
    <n v="-1060.78"/>
    <n v="0"/>
    <n v="0"/>
    <n v="0"/>
    <n v="0"/>
    <n v="0"/>
    <n v="0"/>
    <n v="0"/>
    <n v="0"/>
    <n v="0"/>
    <n v="0"/>
  </r>
  <r>
    <x v="7"/>
    <x v="4"/>
    <x v="0"/>
    <s v="4800103"/>
    <n v="718050"/>
    <s v="Translation Services"/>
    <s v="OP Imaging Center"/>
    <x v="0"/>
    <n v="1025"/>
    <n v="21.87"/>
    <n v="7.29"/>
    <n v="260.82"/>
    <n v="-289.98"/>
    <n v="0"/>
    <n v="0"/>
    <n v="0"/>
    <n v="0"/>
    <n v="0"/>
    <n v="0"/>
    <n v="0"/>
    <n v="0"/>
    <n v="0"/>
    <n v="0"/>
  </r>
  <r>
    <x v="7"/>
    <x v="4"/>
    <x v="0"/>
    <s v="4800103"/>
    <n v="718070"/>
    <s v="Contract Srvcs-CHI Clinical Engineering"/>
    <s v="OP Imaging Center"/>
    <x v="0"/>
    <m/>
    <n v="16104.59"/>
    <n v="13954.89"/>
    <n v="13561.69"/>
    <n v="-43621.17"/>
    <n v="0"/>
    <n v="0"/>
    <n v="0"/>
    <n v="0"/>
    <n v="0"/>
    <n v="0"/>
    <n v="0"/>
    <n v="0"/>
    <n v="0"/>
    <n v="0"/>
  </r>
  <r>
    <x v="11"/>
    <x v="4"/>
    <x v="0"/>
    <s v="4800103"/>
    <n v="721010"/>
    <s v="Supplies-Medical - Billable"/>
    <s v="OP Imaging Center"/>
    <x v="0"/>
    <m/>
    <n v="43.48"/>
    <n v="57.26"/>
    <n v="9.2100000000000009"/>
    <n v="-109.95"/>
    <n v="0"/>
    <n v="0"/>
    <n v="0"/>
    <n v="0"/>
    <n v="0"/>
    <n v="0"/>
    <n v="0"/>
    <n v="0"/>
    <n v="-1.4210854715202004E-14"/>
    <n v="0"/>
  </r>
  <r>
    <x v="11"/>
    <x v="4"/>
    <x v="0"/>
    <s v="4800103"/>
    <n v="721010"/>
    <s v="Patient Monitoring"/>
    <s v="OP Imaging Center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4800103"/>
    <n v="721050"/>
    <s v="Supplies-Cardiac Rhythm - Billable"/>
    <s v="OP Imaging Center"/>
    <x v="0"/>
    <m/>
    <n v="0"/>
    <n v="591"/>
    <n v="0"/>
    <n v="-591"/>
    <n v="0"/>
    <n v="0"/>
    <n v="0"/>
    <n v="0"/>
    <n v="0"/>
    <n v="0"/>
    <n v="0"/>
    <n v="0"/>
    <n v="0"/>
    <n v="0"/>
  </r>
  <r>
    <x v="11"/>
    <x v="4"/>
    <x v="0"/>
    <s v="4800103"/>
    <n v="721240"/>
    <s v="Supplies-IV Solutions/Supplies - Billable"/>
    <s v="OP Imaging Center"/>
    <x v="0"/>
    <m/>
    <n v="556.25"/>
    <n v="762.35"/>
    <n v="97.46"/>
    <n v="-1416.06"/>
    <n v="0"/>
    <n v="0"/>
    <n v="0"/>
    <n v="0"/>
    <n v="0"/>
    <n v="0"/>
    <n v="0"/>
    <n v="0"/>
    <n v="0"/>
    <n v="0"/>
  </r>
  <r>
    <x v="11"/>
    <x v="4"/>
    <x v="0"/>
    <s v="4800103"/>
    <n v="721250"/>
    <s v="Supplies-Pharmacy Drugs - Billable"/>
    <s v="OP Imaging Center"/>
    <x v="0"/>
    <m/>
    <n v="4574.2700000000004"/>
    <n v="5550.47"/>
    <n v="1190.54"/>
    <n v="-11315.28"/>
    <n v="0"/>
    <n v="0"/>
    <n v="0"/>
    <n v="0"/>
    <n v="0"/>
    <n v="0"/>
    <n v="0"/>
    <n v="0"/>
    <n v="1.8189894035458565E-12"/>
    <n v="0"/>
  </r>
  <r>
    <x v="11"/>
    <x v="4"/>
    <x v="0"/>
    <s v="4800103"/>
    <n v="721350"/>
    <s v="Radiology Imaging - Contrast Media"/>
    <s v="OP Imaging Center"/>
    <x v="0"/>
    <n v="1000"/>
    <n v="154.82"/>
    <n v="127.58"/>
    <n v="0"/>
    <n v="-282.39999999999998"/>
    <n v="0"/>
    <n v="0"/>
    <n v="0"/>
    <n v="0"/>
    <n v="0"/>
    <n v="0"/>
    <n v="0"/>
    <n v="0"/>
    <n v="0"/>
    <n v="0"/>
  </r>
  <r>
    <x v="11"/>
    <x v="4"/>
    <x v="0"/>
    <s v="4800103"/>
    <n v="721410"/>
    <s v="Supplies-Medical - Nonbillable"/>
    <s v="OP Imaging Center"/>
    <x v="0"/>
    <m/>
    <n v="1517.15"/>
    <n v="1461.55"/>
    <n v="1.4"/>
    <n v="-2977.76"/>
    <n v="0"/>
    <n v="0"/>
    <n v="0"/>
    <n v="0"/>
    <n v="0"/>
    <n v="0"/>
    <n v="0"/>
    <n v="0"/>
    <n v="2.3399999999996908"/>
    <n v="0"/>
  </r>
  <r>
    <x v="11"/>
    <x v="4"/>
    <x v="0"/>
    <s v="4800103"/>
    <n v="721420"/>
    <s v="Supplies-Surgical Nonbillable"/>
    <s v="OP Imaging Center"/>
    <x v="0"/>
    <m/>
    <n v="0"/>
    <n v="3.01"/>
    <n v="33.08"/>
    <n v="-36.090000000000003"/>
    <n v="0"/>
    <n v="0"/>
    <n v="0"/>
    <n v="0"/>
    <n v="0"/>
    <n v="0"/>
    <n v="0"/>
    <n v="0"/>
    <n v="-7.1054273576010019E-15"/>
    <n v="0"/>
  </r>
  <r>
    <x v="11"/>
    <x v="4"/>
    <x v="0"/>
    <s v="4800103"/>
    <n v="721420"/>
    <s v="Sterilization Process Products"/>
    <s v="OP Imaging Center"/>
    <x v="0"/>
    <n v="1009"/>
    <n v="130.78"/>
    <n v="0"/>
    <n v="0"/>
    <n v="-130.78"/>
    <n v="0"/>
    <n v="0"/>
    <n v="0"/>
    <n v="0"/>
    <n v="0"/>
    <n v="0"/>
    <n v="0"/>
    <n v="0"/>
    <n v="0"/>
    <n v="0"/>
  </r>
  <r>
    <x v="11"/>
    <x v="4"/>
    <x v="0"/>
    <s v="4800103"/>
    <n v="721640"/>
    <s v="Supplies-IV Solutions/Supplies - Nonbillable"/>
    <s v="OP Imaging Center"/>
    <x v="0"/>
    <m/>
    <n v="20.07"/>
    <n v="4.96"/>
    <n v="0"/>
    <n v="-25.03"/>
    <n v="0"/>
    <n v="0"/>
    <n v="0"/>
    <n v="0"/>
    <n v="0"/>
    <n v="0"/>
    <n v="0"/>
    <n v="0"/>
    <n v="0"/>
    <n v="0"/>
  </r>
  <r>
    <x v="11"/>
    <x v="4"/>
    <x v="0"/>
    <s v="4800103"/>
    <n v="721650"/>
    <s v="Supplies-Pharmacy Drugs - Nonbillable"/>
    <s v="OP Imaging Center"/>
    <x v="0"/>
    <m/>
    <n v="0"/>
    <n v="3.34"/>
    <n v="0"/>
    <n v="-3.34"/>
    <n v="0"/>
    <n v="0"/>
    <n v="0"/>
    <n v="0"/>
    <n v="0"/>
    <n v="0"/>
    <n v="0"/>
    <n v="0"/>
    <n v="0"/>
    <n v="0"/>
  </r>
  <r>
    <x v="11"/>
    <x v="4"/>
    <x v="0"/>
    <s v="4800103"/>
    <n v="721710"/>
    <s v="Supplies-Laboratory - Nonbillable"/>
    <s v="OP Imaging Center"/>
    <x v="0"/>
    <m/>
    <n v="22.02"/>
    <n v="17.78"/>
    <n v="5"/>
    <n v="-44.8"/>
    <n v="0"/>
    <n v="0"/>
    <n v="0"/>
    <n v="0"/>
    <n v="0"/>
    <n v="0"/>
    <n v="0"/>
    <n v="0"/>
    <n v="0"/>
    <n v="0"/>
  </r>
  <r>
    <x v="11"/>
    <x v="4"/>
    <x v="0"/>
    <s v="4800103"/>
    <n v="721750"/>
    <s v="Supplies-Film/Radiographic - Nonbillable"/>
    <s v="OP Imaging Center"/>
    <x v="0"/>
    <m/>
    <n v="121.88"/>
    <n v="143.58000000000001"/>
    <n v="26.38"/>
    <n v="-291.83999999999997"/>
    <n v="0"/>
    <n v="0"/>
    <n v="0"/>
    <n v="0"/>
    <n v="0"/>
    <n v="0"/>
    <n v="0"/>
    <n v="0"/>
    <n v="5.6843418860808015E-14"/>
    <n v="0"/>
  </r>
  <r>
    <x v="11"/>
    <x v="4"/>
    <x v="0"/>
    <s v="4800103"/>
    <n v="721810"/>
    <s v="Supplies-Dietary/Cafeteria"/>
    <s v="OP Imaging Center"/>
    <x v="0"/>
    <m/>
    <n v="50.53"/>
    <n v="77.33"/>
    <n v="33.04"/>
    <n v="-160.9"/>
    <n v="0"/>
    <n v="0"/>
    <n v="0"/>
    <n v="0"/>
    <n v="0"/>
    <n v="0"/>
    <n v="0"/>
    <n v="0"/>
    <n v="0"/>
    <n v="0"/>
  </r>
  <r>
    <x v="11"/>
    <x v="4"/>
    <x v="0"/>
    <s v="4800103"/>
    <n v="721870"/>
    <s v="Supplies-Environmental Services"/>
    <s v="OP Imaging Center"/>
    <x v="0"/>
    <m/>
    <n v="73.27"/>
    <n v="70.47"/>
    <n v="0"/>
    <n v="-143.74"/>
    <n v="0"/>
    <n v="0"/>
    <n v="0"/>
    <n v="0"/>
    <n v="0"/>
    <n v="0"/>
    <n v="0"/>
    <n v="0"/>
    <n v="0"/>
    <n v="0"/>
  </r>
  <r>
    <x v="11"/>
    <x v="4"/>
    <x v="0"/>
    <s v="4800103"/>
    <n v="721910"/>
    <s v="Supplies-Small Equipment"/>
    <s v="OP Imaging Center"/>
    <x v="0"/>
    <m/>
    <n v="0.64"/>
    <n v="3.84"/>
    <n v="6.24"/>
    <n v="-10.72"/>
    <n v="0"/>
    <n v="0"/>
    <n v="0"/>
    <n v="0"/>
    <n v="0"/>
    <n v="0"/>
    <n v="0"/>
    <n v="0"/>
    <n v="-1.7763568394002505E-15"/>
    <n v="0"/>
  </r>
  <r>
    <x v="11"/>
    <x v="4"/>
    <x v="0"/>
    <s v="4800103"/>
    <n v="721980"/>
    <s v="Supplies-Other"/>
    <s v="OP Imaging Center"/>
    <x v="0"/>
    <m/>
    <n v="0"/>
    <n v="74.680000000000007"/>
    <n v="0"/>
    <n v="-74.680000000000007"/>
    <n v="0"/>
    <n v="0"/>
    <n v="0"/>
    <n v="0"/>
    <n v="0"/>
    <n v="0"/>
    <n v="0"/>
    <n v="0"/>
    <n v="0"/>
    <n v="0"/>
  </r>
  <r>
    <x v="11"/>
    <x v="4"/>
    <x v="0"/>
    <s v="4800103"/>
    <n v="722000"/>
    <s v="Supplies-Freight Expense"/>
    <s v="OP Imaging Center"/>
    <x v="0"/>
    <m/>
    <n v="7.94"/>
    <n v="28.11"/>
    <n v="10.8"/>
    <n v="-46.85"/>
    <n v="0"/>
    <n v="0"/>
    <n v="0"/>
    <n v="0"/>
    <n v="0"/>
    <n v="0"/>
    <n v="0"/>
    <n v="0"/>
    <n v="-7.1054273576010019E-15"/>
    <n v="0"/>
  </r>
  <r>
    <x v="12"/>
    <x v="4"/>
    <x v="0"/>
    <s v="4800103"/>
    <n v="730010"/>
    <s v="Rental and Leases-Building (DO NOT USE)"/>
    <s v="OP Imaging Center"/>
    <x v="0"/>
    <m/>
    <n v="28040"/>
    <n v="28014.09"/>
    <n v="28040"/>
    <n v="-84094.09"/>
    <n v="0"/>
    <n v="0"/>
    <n v="0"/>
    <n v="0"/>
    <n v="0"/>
    <n v="0"/>
    <n v="0"/>
    <n v="0"/>
    <n v="0"/>
    <n v="0"/>
  </r>
  <r>
    <x v="15"/>
    <x v="4"/>
    <x v="0"/>
    <s v="4800103"/>
    <n v="731020"/>
    <s v="Electricity"/>
    <s v="OP Imaging Center"/>
    <x v="0"/>
    <m/>
    <n v="0"/>
    <n v="3485.96"/>
    <n v="0"/>
    <n v="-3485.96"/>
    <n v="0"/>
    <n v="0"/>
    <n v="0"/>
    <n v="0"/>
    <n v="0"/>
    <n v="0"/>
    <n v="0"/>
    <n v="0"/>
    <n v="0"/>
    <n v="0"/>
  </r>
  <r>
    <x v="15"/>
    <x v="4"/>
    <x v="0"/>
    <s v="4800103"/>
    <n v="731060"/>
    <s v="Pagers"/>
    <s v="OP Imaging Center"/>
    <x v="0"/>
    <n v="1002"/>
    <n v="11.1"/>
    <n v="30.53"/>
    <n v="3"/>
    <n v="-41.63"/>
    <n v="0"/>
    <n v="0"/>
    <n v="0"/>
    <n v="0"/>
    <n v="0"/>
    <n v="0"/>
    <n v="0"/>
    <n v="0"/>
    <n v="3"/>
    <n v="0"/>
  </r>
  <r>
    <x v="13"/>
    <x v="4"/>
    <x v="0"/>
    <s v="4800103"/>
    <n v="735070"/>
    <s v="Depreciation-Movable Equipment"/>
    <s v="OP Imaging Center"/>
    <x v="0"/>
    <m/>
    <n v="620.4"/>
    <n v="620.44000000000005"/>
    <n v="620.39"/>
    <n v="-1861.23"/>
    <n v="0"/>
    <n v="0"/>
    <n v="0"/>
    <n v="0"/>
    <n v="0"/>
    <n v="0"/>
    <n v="0"/>
    <n v="0"/>
    <n v="0"/>
    <n v="0"/>
  </r>
  <r>
    <x v="0"/>
    <x v="4"/>
    <x v="0"/>
    <s v="4800103"/>
    <n v="749510"/>
    <s v="Miscellaneous Expenses"/>
    <s v="OP Imaging Center"/>
    <x v="0"/>
    <m/>
    <n v="0"/>
    <n v="203.54"/>
    <n v="0"/>
    <n v="-203.54"/>
    <n v="0"/>
    <n v="0"/>
    <n v="0"/>
    <n v="0"/>
    <n v="0"/>
    <n v="0"/>
    <n v="0"/>
    <n v="0"/>
    <n v="0"/>
    <n v="0"/>
  </r>
  <r>
    <x v="7"/>
    <x v="1"/>
    <x v="0"/>
    <s v="4800200"/>
    <n v="718050"/>
    <s v="Miscellaneous Purchased Svcs"/>
    <s v="Contracted Imaging Services"/>
    <x v="0"/>
    <n v="1020"/>
    <n v="0"/>
    <n v="0"/>
    <n v="0"/>
    <n v="-0.13"/>
    <n v="0"/>
    <n v="0.13"/>
    <n v="0"/>
    <n v="0"/>
    <n v="0"/>
    <n v="0"/>
    <n v="0"/>
    <n v="0"/>
    <n v="0"/>
    <n v="0"/>
  </r>
  <r>
    <x v="16"/>
    <x v="1"/>
    <x v="0"/>
    <s v="4800200"/>
    <n v="732030"/>
    <s v="Repairs---Other"/>
    <s v="Contracted Imaging Services"/>
    <x v="0"/>
    <m/>
    <n v="0"/>
    <n v="666.59"/>
    <n v="0"/>
    <n v="0"/>
    <n v="0"/>
    <n v="0"/>
    <n v="0"/>
    <n v="0"/>
    <n v="0"/>
    <n v="0"/>
    <n v="0"/>
    <n v="0"/>
    <n v="666.59"/>
    <n v="0"/>
  </r>
  <r>
    <x v="18"/>
    <x v="5"/>
    <x v="0"/>
    <s v="4801106"/>
    <n v="400010"/>
    <s v="Acute I/P Svcs Rev--Medicare"/>
    <s v="OP Radiology-Burien"/>
    <x v="0"/>
    <n v="1100"/>
    <n v="-590.94000000000005"/>
    <n v="-1735.02"/>
    <n v="0"/>
    <n v="-1181.8800000000001"/>
    <n v="-590.94000000000005"/>
    <n v="-590.94000000000005"/>
    <n v="-590.94000000000005"/>
    <n v="-541.26"/>
    <n v="-608.66999999999996"/>
    <n v="-2939.71"/>
    <n v="-1166.17"/>
    <n v="-1103.1300000000001"/>
    <n v="-11639.600000000002"/>
    <n v="-63.039999999999964"/>
  </r>
  <r>
    <x v="18"/>
    <x v="5"/>
    <x v="0"/>
    <s v="4801106"/>
    <n v="400010"/>
    <s v="Acute I/P Svcs Rev--Managed Care"/>
    <s v="OP Radiology-Burien"/>
    <x v="0"/>
    <n v="1400"/>
    <n v="0"/>
    <n v="0"/>
    <n v="-2755.98"/>
    <n v="0"/>
    <n v="-590.94000000000005"/>
    <n v="0"/>
    <n v="0"/>
    <n v="0"/>
    <n v="0"/>
    <n v="0"/>
    <n v="0"/>
    <n v="0"/>
    <n v="-3346.92"/>
    <n v="0"/>
  </r>
  <r>
    <x v="19"/>
    <x v="5"/>
    <x v="0"/>
    <s v="4801106"/>
    <n v="400020"/>
    <s v="O/P Care Svcs Rev--Medicare"/>
    <s v="OP Radiology-Burien"/>
    <x v="0"/>
    <n v="1100"/>
    <n v="-107391.46"/>
    <n v="-144855.20000000001"/>
    <n v="-114167.32"/>
    <n v="-120594.86"/>
    <n v="-110123.91"/>
    <n v="-104761.49"/>
    <n v="-126212.39"/>
    <n v="-92687.74"/>
    <n v="-115420.89"/>
    <n v="-135273.09"/>
    <n v="-138374.89000000001"/>
    <n v="-103784.52"/>
    <n v="-1413647.7600000002"/>
    <n v="-34590.37000000001"/>
  </r>
  <r>
    <x v="19"/>
    <x v="5"/>
    <x v="0"/>
    <s v="4801106"/>
    <n v="400020"/>
    <s v="O/P Care Svcs Rev--Medicaid"/>
    <s v="OP Radiology-Burien"/>
    <x v="0"/>
    <n v="1200"/>
    <n v="-60794.26"/>
    <n v="-59650.31"/>
    <n v="-64621.3"/>
    <n v="-71516.539999999994"/>
    <n v="-47328.88"/>
    <n v="-41089.61"/>
    <n v="-58526.02"/>
    <n v="-47250.62"/>
    <n v="-49279.26"/>
    <n v="-65267.63"/>
    <n v="-41086.639999999999"/>
    <n v="-52866.16"/>
    <n v="-659277.23"/>
    <n v="11779.520000000004"/>
  </r>
  <r>
    <x v="19"/>
    <x v="5"/>
    <x v="0"/>
    <s v="4801106"/>
    <n v="400020"/>
    <s v="O/P Care Svcs Rev--Comm Insurance"/>
    <s v="OP Radiology-Burien"/>
    <x v="0"/>
    <n v="1300"/>
    <n v="-6769.42"/>
    <n v="-4205.01"/>
    <n v="-2877.95"/>
    <n v="-8179.36"/>
    <n v="-5967.33"/>
    <n v="-7808.89"/>
    <n v="-7239.84"/>
    <n v="-7660.96"/>
    <n v="-7644.17"/>
    <n v="-5128.24"/>
    <n v="-9388.67"/>
    <n v="-6790.43"/>
    <n v="-79660.26999999999"/>
    <n v="-2598.2399999999998"/>
  </r>
  <r>
    <x v="19"/>
    <x v="5"/>
    <x v="0"/>
    <s v="4801106"/>
    <n v="400020"/>
    <s v="O/P Care Svcs Rev--BCBS Comm"/>
    <s v="OP Radiology-Burien"/>
    <x v="0"/>
    <n v="1301"/>
    <n v="-43402.35"/>
    <n v="-43528"/>
    <n v="-38578.76"/>
    <n v="-51171.7"/>
    <n v="-39333.360000000001"/>
    <n v="-46399.59"/>
    <n v="-44192.99"/>
    <n v="-39140.160000000003"/>
    <n v="-41230.69"/>
    <n v="-39618.28"/>
    <n v="-42950.080000000002"/>
    <n v="-44403.74"/>
    <n v="-513949.7"/>
    <n v="1453.6599999999962"/>
  </r>
  <r>
    <x v="19"/>
    <x v="5"/>
    <x v="0"/>
    <s v="4801106"/>
    <n v="400020"/>
    <s v="O/P Care Svcs Rev--Managed Care"/>
    <s v="OP Radiology-Burien"/>
    <x v="0"/>
    <n v="1400"/>
    <n v="-100103.34"/>
    <n v="-115046.39"/>
    <n v="-101065.5"/>
    <n v="-121655.06"/>
    <n v="-78155.56"/>
    <n v="-99023.82"/>
    <n v="-92099.32"/>
    <n v="-78014.289999999994"/>
    <n v="-111400.1"/>
    <n v="-110994.18"/>
    <n v="-93037.7"/>
    <n v="-101407.48"/>
    <n v="-1202002.74"/>
    <n v="8369.7799999999988"/>
  </r>
  <r>
    <x v="19"/>
    <x v="5"/>
    <x v="0"/>
    <s v="4801106"/>
    <n v="400020"/>
    <s v="O/P Care Svcs Rev--Self Pay"/>
    <s v="OP Radiology-Burien"/>
    <x v="0"/>
    <n v="1500"/>
    <n v="-4074.29"/>
    <n v="-5827.98"/>
    <n v="-4141.99"/>
    <n v="-4500.3"/>
    <n v="-3096.11"/>
    <n v="-3776.75"/>
    <n v="-1631.61"/>
    <n v="-6888.57"/>
    <n v="-1055.74"/>
    <n v="-1679.4"/>
    <n v="-1216.79"/>
    <n v="-1661.79"/>
    <n v="-39551.320000000007"/>
    <n v="445"/>
  </r>
  <r>
    <x v="19"/>
    <x v="5"/>
    <x v="0"/>
    <s v="4801106"/>
    <n v="400020"/>
    <s v="O/P Care Svcs Rev--Other"/>
    <s v="OP Radiology-Burien"/>
    <x v="0"/>
    <n v="1700"/>
    <n v="-1732.97"/>
    <n v="-7811.51"/>
    <n v="-5765.68"/>
    <n v="-3808.11"/>
    <n v="-5764.74"/>
    <n v="-4632.7299999999996"/>
    <n v="-1581.3"/>
    <n v="-943.94"/>
    <n v="-2909.4"/>
    <n v="-6431.47"/>
    <n v="-5738.2"/>
    <n v="-10910.87"/>
    <n v="-58030.92"/>
    <n v="5172.670000000001"/>
  </r>
  <r>
    <x v="5"/>
    <x v="5"/>
    <x v="0"/>
    <s v="4801106"/>
    <n v="700034"/>
    <s v="Salaries-Tech/Professional-Productive"/>
    <s v="OP Radiology-Burien"/>
    <x v="0"/>
    <m/>
    <n v="8575.7099999999991"/>
    <n v="12816.75"/>
    <n v="12160.43"/>
    <n v="14637.44"/>
    <n v="9716.19"/>
    <n v="6970.43"/>
    <n v="8541.1200000000008"/>
    <n v="6961.28"/>
    <n v="8314.17"/>
    <n v="6078.99"/>
    <n v="9399.64"/>
    <n v="8718.69"/>
    <n v="112890.84000000001"/>
    <n v="680.94999999999891"/>
  </r>
  <r>
    <x v="5"/>
    <x v="5"/>
    <x v="0"/>
    <s v="4801106"/>
    <n v="700034"/>
    <s v="Salaries-Tech/Professional-OT"/>
    <s v="OP Radiology-Burien"/>
    <x v="0"/>
    <n v="1000"/>
    <n v="1493.75"/>
    <n v="1587.38"/>
    <n v="339.63"/>
    <n v="1217.5999999999999"/>
    <n v="2291.62"/>
    <n v="508.52"/>
    <n v="967.57"/>
    <n v="1777.48"/>
    <n v="2968.08"/>
    <n v="4747.25"/>
    <n v="1769.64"/>
    <n v="1380.76"/>
    <n v="21049.279999999995"/>
    <n v="388.88000000000011"/>
  </r>
  <r>
    <x v="5"/>
    <x v="5"/>
    <x v="0"/>
    <s v="4801106"/>
    <n v="700034"/>
    <s v="Salaries-Tech/Professional-Other"/>
    <s v="OP Radiology-Burien"/>
    <x v="0"/>
    <n v="2000"/>
    <n v="324.14"/>
    <n v="1096.1300000000001"/>
    <n v="1208.6600000000001"/>
    <n v="1339.79"/>
    <n v="932.02"/>
    <n v="-26.63"/>
    <n v="324.87"/>
    <n v="289.23"/>
    <n v="387.81"/>
    <n v="329.43"/>
    <n v="338.01"/>
    <n v="362.99"/>
    <n v="6906.45"/>
    <n v="-24.980000000000018"/>
  </r>
  <r>
    <x v="6"/>
    <x v="5"/>
    <x v="0"/>
    <s v="4801106"/>
    <n v="713010"/>
    <s v="Benefits-FICA/Medicare"/>
    <s v="OP Radiology-Burien"/>
    <x v="0"/>
    <m/>
    <n v="791.96"/>
    <n v="1181.3900000000001"/>
    <n v="1047.3900000000001"/>
    <n v="1310.24"/>
    <n v="988.15"/>
    <n v="564.99"/>
    <n v="747.93"/>
    <n v="684.45"/>
    <n v="886.06"/>
    <n v="847.87"/>
    <n v="874.94"/>
    <n v="794.42"/>
    <n v="10719.79"/>
    <n v="80.520000000000095"/>
  </r>
  <r>
    <x v="6"/>
    <x v="5"/>
    <x v="0"/>
    <s v="4801106"/>
    <n v="713090"/>
    <s v="Benefits-Allocated Amounts"/>
    <s v="OP Radiology-Burien"/>
    <x v="0"/>
    <m/>
    <n v="2664.26"/>
    <n v="3720.04"/>
    <n v="3257"/>
    <n v="3959.6"/>
    <n v="3109.65"/>
    <n v="2014.36"/>
    <n v="2496.69"/>
    <n v="2300.5100000000002"/>
    <n v="2776.57"/>
    <n v="2615.52"/>
    <n v="2813.67"/>
    <n v="2494.27"/>
    <n v="34222.14"/>
    <n v="319.40000000000009"/>
  </r>
  <r>
    <x v="11"/>
    <x v="5"/>
    <x v="0"/>
    <s v="4801106"/>
    <n v="721250"/>
    <s v="Supplies-Pharmacy Drugs - Billable"/>
    <s v="OP Radiology-Burien"/>
    <x v="0"/>
    <m/>
    <n v="0"/>
    <n v="0"/>
    <n v="0"/>
    <n v="0"/>
    <n v="0"/>
    <n v="0"/>
    <n v="0"/>
    <n v="0"/>
    <n v="0"/>
    <n v="0"/>
    <n v="0"/>
    <n v="984.8"/>
    <n v="984.8"/>
    <n v="-984.8"/>
  </r>
  <r>
    <x v="11"/>
    <x v="5"/>
    <x v="0"/>
    <s v="4801106"/>
    <n v="721830"/>
    <s v="Supplies-Office"/>
    <s v="OP Radiology-Burien"/>
    <x v="0"/>
    <m/>
    <n v="0"/>
    <n v="0"/>
    <n v="0"/>
    <n v="0"/>
    <n v="0"/>
    <n v="0"/>
    <n v="0"/>
    <n v="0"/>
    <n v="61"/>
    <n v="0"/>
    <n v="0"/>
    <n v="0"/>
    <n v="61"/>
    <n v="0"/>
  </r>
  <r>
    <x v="11"/>
    <x v="5"/>
    <x v="0"/>
    <s v="4801106"/>
    <n v="721835"/>
    <s v="Supplies-Forms"/>
    <s v="OP Radiology-Burien"/>
    <x v="0"/>
    <m/>
    <n v="0"/>
    <n v="0"/>
    <n v="0"/>
    <n v="0"/>
    <n v="0"/>
    <n v="0"/>
    <n v="0"/>
    <n v="0"/>
    <n v="162.5"/>
    <n v="0"/>
    <n v="0"/>
    <n v="0"/>
    <n v="162.5"/>
    <n v="0"/>
  </r>
  <r>
    <x v="12"/>
    <x v="5"/>
    <x v="0"/>
    <s v="4801106"/>
    <n v="730010"/>
    <s v="Rental and Leases-Building (DO NOT USE)"/>
    <s v="OP Radiology-Burien"/>
    <x v="0"/>
    <m/>
    <n v="1605"/>
    <n v="1605"/>
    <n v="1605"/>
    <n v="1605"/>
    <n v="1695.94"/>
    <n v="1281.67"/>
    <n v="1281.67"/>
    <n v="1281.67"/>
    <n v="1281.67"/>
    <n v="-425.92"/>
    <n v="1281.67"/>
    <n v="1281.67"/>
    <n v="15380.04"/>
    <n v="0"/>
  </r>
  <r>
    <x v="12"/>
    <x v="5"/>
    <x v="0"/>
    <s v="4801106"/>
    <n v="730010"/>
    <s v="Rental-Common Area Maint (DO NOT USE)"/>
    <s v="OP Radiology-Burien"/>
    <x v="0"/>
    <n v="2200"/>
    <n v="0"/>
    <n v="0"/>
    <n v="0"/>
    <n v="0"/>
    <n v="0"/>
    <n v="414.27"/>
    <n v="414.27"/>
    <n v="414.27"/>
    <n v="414.27"/>
    <n v="1855.92"/>
    <n v="414.27"/>
    <n v="414.27"/>
    <n v="4341.54"/>
    <n v="0"/>
  </r>
  <r>
    <x v="13"/>
    <x v="5"/>
    <x v="0"/>
    <s v="4801106"/>
    <n v="735060"/>
    <s v="Depreciation-Fixed Equipment"/>
    <s v="OP Radiology-Burien"/>
    <x v="0"/>
    <m/>
    <n v="114.27"/>
    <n v="114.26"/>
    <n v="114.27"/>
    <n v="114.26"/>
    <n v="114.27"/>
    <n v="114.26"/>
    <n v="114.27"/>
    <n v="114.26"/>
    <n v="114.27"/>
    <n v="114.26"/>
    <n v="114.27"/>
    <n v="114.26"/>
    <n v="1371.18"/>
    <n v="9.9999999999909051E-3"/>
  </r>
  <r>
    <x v="13"/>
    <x v="5"/>
    <x v="0"/>
    <s v="4801106"/>
    <n v="735070"/>
    <s v="Depreciation-Movable Equipment"/>
    <s v="OP Radiology-Burien"/>
    <x v="0"/>
    <m/>
    <n v="4569.95"/>
    <n v="4569.95"/>
    <n v="4569.95"/>
    <n v="4569.93"/>
    <n v="4569.95"/>
    <n v="4569.93"/>
    <n v="4569.95"/>
    <n v="4569.92"/>
    <n v="4569.95"/>
    <n v="4569.8999999999996"/>
    <n v="4569.95"/>
    <n v="4569.8900000000003"/>
    <n v="54839.219999999994"/>
    <n v="5.9999999999490683E-2"/>
  </r>
  <r>
    <x v="19"/>
    <x v="6"/>
    <x v="0"/>
    <s v="4801107"/>
    <n v="400020"/>
    <s v="O/P Care Svcs Rev--Medicare"/>
    <s v="Outpatient Imaging-PO"/>
    <x v="0"/>
    <n v="1100"/>
    <n v="0"/>
    <n v="490.95"/>
    <n v="0"/>
    <n v="0"/>
    <n v="0"/>
    <n v="0"/>
    <n v="0"/>
    <n v="0"/>
    <n v="0"/>
    <n v="0"/>
    <n v="0"/>
    <n v="0"/>
    <n v="490.95"/>
    <n v="0"/>
  </r>
  <r>
    <x v="19"/>
    <x v="6"/>
    <x v="0"/>
    <s v="4801107"/>
    <n v="400020"/>
    <s v="O/P Care Svcs Rev--Medicaid"/>
    <s v="Outpatient Imaging-PO"/>
    <x v="0"/>
    <n v="1200"/>
    <n v="0"/>
    <n v="-61.37"/>
    <n v="0"/>
    <n v="0"/>
    <n v="0"/>
    <n v="0"/>
    <n v="0"/>
    <n v="0"/>
    <n v="0"/>
    <n v="0"/>
    <n v="0"/>
    <n v="0"/>
    <n v="-61.37"/>
    <n v="0"/>
  </r>
  <r>
    <x v="19"/>
    <x v="6"/>
    <x v="0"/>
    <s v="4801107"/>
    <n v="400020"/>
    <s v="O/P Care Svcs Rev--Comm Insurance"/>
    <s v="Outpatient Imaging-PO"/>
    <x v="0"/>
    <n v="1300"/>
    <n v="381"/>
    <n v="0"/>
    <n v="0"/>
    <n v="0"/>
    <n v="0"/>
    <n v="0"/>
    <n v="0"/>
    <n v="0"/>
    <n v="0"/>
    <n v="0"/>
    <n v="0"/>
    <n v="0"/>
    <n v="381"/>
    <n v="0"/>
  </r>
  <r>
    <x v="19"/>
    <x v="6"/>
    <x v="0"/>
    <s v="4801107"/>
    <n v="400020"/>
    <s v="O/P Care Svcs Rev--Managed Care"/>
    <s v="Outpatient Imaging-PO"/>
    <x v="0"/>
    <n v="1400"/>
    <n v="-381"/>
    <n v="-429.58"/>
    <n v="0"/>
    <n v="0"/>
    <n v="0"/>
    <n v="-471.45"/>
    <n v="0"/>
    <n v="-341.46"/>
    <n v="0"/>
    <n v="0"/>
    <n v="0"/>
    <n v="0"/>
    <n v="-1623.49"/>
    <n v="0"/>
  </r>
  <r>
    <x v="19"/>
    <x v="6"/>
    <x v="0"/>
    <s v="4801107"/>
    <n v="400020"/>
    <s v="O/P Care Svcs Rev--Self Pay"/>
    <s v="Outpatient Imaging-PO"/>
    <x v="0"/>
    <n v="1500"/>
    <n v="0"/>
    <n v="0"/>
    <n v="0"/>
    <n v="0"/>
    <n v="0"/>
    <n v="0"/>
    <n v="0"/>
    <n v="341.46"/>
    <n v="0"/>
    <n v="0"/>
    <n v="0"/>
    <n v="0"/>
    <n v="341.46"/>
    <n v="0"/>
  </r>
  <r>
    <x v="16"/>
    <x v="6"/>
    <x v="0"/>
    <s v="4801107"/>
    <n v="732030"/>
    <s v="Repairs---Other"/>
    <s v="Outpatient Imaging-PO"/>
    <x v="0"/>
    <m/>
    <n v="0"/>
    <n v="0"/>
    <n v="0"/>
    <n v="0"/>
    <n v="0"/>
    <n v="0"/>
    <n v="12.21"/>
    <n v="0"/>
    <n v="9.81"/>
    <n v="0"/>
    <n v="88.46"/>
    <n v="0"/>
    <n v="110.47999999999999"/>
    <n v="88.46"/>
  </r>
  <r>
    <x v="18"/>
    <x v="0"/>
    <x v="0"/>
    <s v="4802102"/>
    <n v="400010"/>
    <s v="Acute I/P Svcs Rev--Medicare"/>
    <s v="Outpatient Imaging-Bonney Lake"/>
    <x v="0"/>
    <n v="1100"/>
    <n v="0"/>
    <n v="-1404.86"/>
    <n v="-1942.24"/>
    <n v="0"/>
    <n v="0"/>
    <n v="0"/>
    <n v="-1525"/>
    <n v="0"/>
    <n v="0"/>
    <n v="-220.47"/>
    <n v="0"/>
    <n v="0"/>
    <n v="-5092.5700000000006"/>
    <n v="0"/>
  </r>
  <r>
    <x v="18"/>
    <x v="0"/>
    <x v="0"/>
    <s v="4802102"/>
    <n v="400010"/>
    <s v="Acute I/P Svcs Rev--Medicaid"/>
    <s v="Outpatient Imaging-Bonney Lake"/>
    <x v="0"/>
    <n v="1200"/>
    <n v="0"/>
    <n v="0"/>
    <n v="0"/>
    <n v="0"/>
    <n v="0"/>
    <n v="-272.16000000000003"/>
    <n v="0"/>
    <n v="0"/>
    <n v="0"/>
    <n v="0"/>
    <n v="0"/>
    <n v="0"/>
    <n v="-272.16000000000003"/>
    <n v="0"/>
  </r>
  <r>
    <x v="18"/>
    <x v="0"/>
    <x v="0"/>
    <s v="4802102"/>
    <n v="400010"/>
    <s v="Acute I/P Svcs Rev--Managed Care"/>
    <s v="Outpatient Imaging-Bonney Lake"/>
    <x v="0"/>
    <n v="1400"/>
    <n v="0"/>
    <n v="0"/>
    <n v="0"/>
    <n v="0"/>
    <n v="0"/>
    <n v="0"/>
    <n v="0"/>
    <n v="0"/>
    <n v="0"/>
    <n v="0"/>
    <n v="0"/>
    <n v="-220.47"/>
    <n v="-220.47"/>
    <n v="220.47"/>
  </r>
  <r>
    <x v="19"/>
    <x v="0"/>
    <x v="0"/>
    <s v="4802102"/>
    <n v="400020"/>
    <s v="O/P Care Svcs Rev--Medicare"/>
    <s v="Outpatient Imaging-Bonney Lake"/>
    <x v="0"/>
    <n v="1100"/>
    <n v="-165453.18"/>
    <n v="-184643.91"/>
    <n v="-176862.36"/>
    <n v="-199949.94"/>
    <n v="-159534.99"/>
    <n v="-173773.92"/>
    <n v="-189405.16"/>
    <n v="-120509.19"/>
    <n v="-171455.09"/>
    <n v="-189912.13"/>
    <n v="-180369.81"/>
    <n v="-201790.86"/>
    <n v="-2113660.5399999996"/>
    <n v="21421.049999999988"/>
  </r>
  <r>
    <x v="19"/>
    <x v="0"/>
    <x v="0"/>
    <s v="4802102"/>
    <n v="400020"/>
    <s v="O/P Care Svcs Rev--Medicaid"/>
    <s v="Outpatient Imaging-Bonney Lake"/>
    <x v="0"/>
    <n v="1200"/>
    <n v="-88222.01"/>
    <n v="-93430.81"/>
    <n v="-107714.34"/>
    <n v="-95253.4"/>
    <n v="-92362.49"/>
    <n v="-96556.11"/>
    <n v="-111311.12"/>
    <n v="-86974.01"/>
    <n v="-117088.95"/>
    <n v="-139388.91"/>
    <n v="-120372.35"/>
    <n v="-105099.95"/>
    <n v="-1253774.45"/>
    <n v="-15272.400000000009"/>
  </r>
  <r>
    <x v="19"/>
    <x v="0"/>
    <x v="0"/>
    <s v="4802102"/>
    <n v="400020"/>
    <s v="O/P Care Svcs Rev--Comm Insurance"/>
    <s v="Outpatient Imaging-Bonney Lake"/>
    <x v="0"/>
    <n v="1300"/>
    <n v="-32712.55"/>
    <n v="-20270.63"/>
    <n v="-11120.89"/>
    <n v="-28191.08"/>
    <n v="-28638.49"/>
    <n v="-16538.009999999998"/>
    <n v="-16988"/>
    <n v="-21957.46"/>
    <n v="-24252.55"/>
    <n v="-26510.53"/>
    <n v="-33272.6"/>
    <n v="-29166.85"/>
    <n v="-289619.63999999996"/>
    <n v="-4105.75"/>
  </r>
  <r>
    <x v="19"/>
    <x v="0"/>
    <x v="0"/>
    <s v="4802102"/>
    <n v="400020"/>
    <s v="O/P Care Svcs Rev--BCBS Comm"/>
    <s v="Outpatient Imaging-Bonney Lake"/>
    <x v="0"/>
    <n v="1301"/>
    <n v="-73874.14"/>
    <n v="-86896.21"/>
    <n v="-83056.05"/>
    <n v="-79083.710000000006"/>
    <n v="-78353.279999999999"/>
    <n v="-65443.11"/>
    <n v="-83351.37"/>
    <n v="-68898.14"/>
    <n v="-86603.53"/>
    <n v="-87742.399999999994"/>
    <n v="-84587.18"/>
    <n v="-76383.509999999995"/>
    <n v="-954272.63000000012"/>
    <n v="-8203.6699999999983"/>
  </r>
  <r>
    <x v="19"/>
    <x v="0"/>
    <x v="0"/>
    <s v="4802102"/>
    <n v="400020"/>
    <s v="O/P Care Svcs Rev--Managed Care"/>
    <s v="Outpatient Imaging-Bonney Lake"/>
    <x v="0"/>
    <n v="1400"/>
    <n v="-176756.05"/>
    <n v="-216896.87"/>
    <n v="-189698.62"/>
    <n v="-247514.46"/>
    <n v="-234587.63"/>
    <n v="-222159.1"/>
    <n v="-244616.86"/>
    <n v="-197562.45"/>
    <n v="-245623.45"/>
    <n v="-238233.76"/>
    <n v="-243380.42"/>
    <n v="-214864.17"/>
    <n v="-2671893.84"/>
    <n v="-28516.25"/>
  </r>
  <r>
    <x v="19"/>
    <x v="0"/>
    <x v="0"/>
    <s v="4802102"/>
    <n v="400020"/>
    <s v="O/P Care Svcs Rev--Self Pay"/>
    <s v="Outpatient Imaging-Bonney Lake"/>
    <x v="0"/>
    <n v="1500"/>
    <n v="-3402.71"/>
    <n v="-2965.46"/>
    <n v="-8576.25"/>
    <n v="-9886.76"/>
    <n v="-11550.15"/>
    <n v="-9923.9"/>
    <n v="-11589.4"/>
    <n v="-8465.33"/>
    <n v="-12920.56"/>
    <n v="-9023.69"/>
    <n v="-6873.32"/>
    <n v="-5310.68"/>
    <n v="-100488.20999999999"/>
    <n v="-1562.6399999999994"/>
  </r>
  <r>
    <x v="19"/>
    <x v="0"/>
    <x v="0"/>
    <s v="4802102"/>
    <n v="400020"/>
    <s v="O/P Care Svcs Rev--Other"/>
    <s v="Outpatient Imaging-Bonney Lake"/>
    <x v="0"/>
    <n v="1700"/>
    <n v="-25040.18"/>
    <n v="-36961.5"/>
    <n v="-19615.79"/>
    <n v="-33543.440000000002"/>
    <n v="-25525.74"/>
    <n v="-38008.660000000003"/>
    <n v="-38995.82"/>
    <n v="-37083.65"/>
    <n v="-46184.5"/>
    <n v="-36972.33"/>
    <n v="-39611.29"/>
    <n v="-32932.769999999997"/>
    <n v="-410475.67000000004"/>
    <n v="-6678.5200000000041"/>
  </r>
  <r>
    <x v="5"/>
    <x v="0"/>
    <x v="0"/>
    <s v="4802102"/>
    <n v="700034"/>
    <s v="Salaries-Tech/Professional-Productive"/>
    <s v="Outpatient Imaging-Bonney Lake"/>
    <x v="0"/>
    <m/>
    <n v="37316.720000000001"/>
    <n v="37792.89"/>
    <n v="36452.089999999997"/>
    <n v="39198.879999999997"/>
    <n v="39892.82"/>
    <n v="34226.300000000003"/>
    <n v="40740.03"/>
    <n v="32362.36"/>
    <n v="41695.89"/>
    <n v="37932.58"/>
    <n v="41374.089999999997"/>
    <n v="33869.43"/>
    <n v="452854.08"/>
    <n v="7504.6599999999962"/>
  </r>
  <r>
    <x v="5"/>
    <x v="0"/>
    <x v="0"/>
    <s v="4802102"/>
    <n v="700034"/>
    <s v="Salaries-Tech/Professional-OT"/>
    <s v="Outpatient Imaging-Bonney Lake"/>
    <x v="0"/>
    <n v="1000"/>
    <n v="947.37"/>
    <n v="903.26"/>
    <n v="0.84"/>
    <n v="8.36"/>
    <n v="325.35000000000002"/>
    <n v="225.6"/>
    <n v="132.49"/>
    <n v="287.49"/>
    <n v="545.80999999999995"/>
    <n v="2610.33"/>
    <n v="-906.85"/>
    <n v="2018.3"/>
    <n v="7098.3499999999995"/>
    <n v="-2925.15"/>
  </r>
  <r>
    <x v="5"/>
    <x v="0"/>
    <x v="0"/>
    <s v="4802102"/>
    <n v="700034"/>
    <s v="Salaries-Tech/Professional-Other"/>
    <s v="Outpatient Imaging-Bonney Lake"/>
    <x v="0"/>
    <n v="2000"/>
    <n v="595.23"/>
    <n v="746.53"/>
    <n v="598.05999999999995"/>
    <n v="802.38"/>
    <n v="332.16"/>
    <n v="478.5"/>
    <n v="473.39"/>
    <n v="539.94000000000005"/>
    <n v="459.97"/>
    <n v="508.88"/>
    <n v="527.70000000000005"/>
    <n v="825.64"/>
    <n v="6888.38"/>
    <n v="-297.93999999999994"/>
  </r>
  <r>
    <x v="5"/>
    <x v="0"/>
    <x v="0"/>
    <s v="4802102"/>
    <n v="700074"/>
    <s v="Salaries-Tech/Professional-Non-productive"/>
    <s v="Outpatient Imaging-Bonney Lake"/>
    <x v="0"/>
    <m/>
    <n v="9800.86"/>
    <n v="12963.09"/>
    <n v="8415.4"/>
    <n v="7817.6"/>
    <n v="1479.47"/>
    <n v="8732.18"/>
    <n v="2080.92"/>
    <n v="7646.29"/>
    <n v="5156.22"/>
    <n v="4236.29"/>
    <n v="2080.75"/>
    <n v="9392.42"/>
    <n v="79801.489999999991"/>
    <n v="-7311.67"/>
  </r>
  <r>
    <x v="5"/>
    <x v="0"/>
    <x v="0"/>
    <s v="4802102"/>
    <n v="700074"/>
    <s v="Salaries-Tech/Professional-NonProd-Other"/>
    <s v="Outpatient Imaging-Bonney Lak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4802102"/>
    <n v="700084"/>
    <s v="Accrued PTO"/>
    <s v="Outpatient Imaging-Bonney Lake"/>
    <x v="0"/>
    <m/>
    <n v="1157.49"/>
    <n v="-2498.89"/>
    <n v="-4613.9399999999996"/>
    <n v="950.19"/>
    <n v="2094.44"/>
    <n v="-2441.77"/>
    <n v="2362.9899999999998"/>
    <n v="-1472.8"/>
    <n v="2593.2199999999998"/>
    <n v="682.52"/>
    <n v="1377.17"/>
    <n v="-1310.47"/>
    <n v="-1119.8500000000001"/>
    <n v="2687.6400000000003"/>
  </r>
  <r>
    <x v="6"/>
    <x v="0"/>
    <x v="0"/>
    <s v="4802102"/>
    <n v="713010"/>
    <s v="Benefits-FICA/Medicare"/>
    <s v="Outpatient Imaging-Bonney Lake"/>
    <x v="0"/>
    <m/>
    <n v="3605.9"/>
    <n v="3891.54"/>
    <n v="3333.89"/>
    <n v="3536.45"/>
    <n v="3122.77"/>
    <n v="3219.68"/>
    <n v="3196.01"/>
    <n v="3010.08"/>
    <n v="3534.76"/>
    <n v="3370.62"/>
    <n v="3203.45"/>
    <n v="3646.46"/>
    <n v="40671.61"/>
    <n v="-443.01000000000022"/>
  </r>
  <r>
    <x v="6"/>
    <x v="0"/>
    <x v="0"/>
    <s v="4802102"/>
    <n v="713090"/>
    <s v="Benefits-Allocated Amounts"/>
    <s v="Outpatient Imaging-Bonney Lake"/>
    <x v="0"/>
    <m/>
    <n v="9055.11"/>
    <n v="8434.1"/>
    <n v="7892.78"/>
    <n v="8093.15"/>
    <n v="7469.63"/>
    <n v="7487.58"/>
    <n v="7965.85"/>
    <n v="7841.5"/>
    <n v="8511.98"/>
    <n v="8420.4"/>
    <n v="7996.48"/>
    <n v="8557"/>
    <n v="97725.559999999983"/>
    <n v="-560.52000000000044"/>
  </r>
  <r>
    <x v="7"/>
    <x v="0"/>
    <x v="0"/>
    <s v="4802102"/>
    <n v="718050"/>
    <s v="Contract Svcs-Other"/>
    <s v="Outpatient Imaging-Bonney Lake"/>
    <x v="0"/>
    <m/>
    <n v="32.76"/>
    <n v="6394.93"/>
    <n v="83.21"/>
    <n v="26.16"/>
    <n v="28.29"/>
    <n v="31.91"/>
    <n v="51.04"/>
    <n v="103.88"/>
    <n v="0"/>
    <n v="86.59"/>
    <n v="46.66"/>
    <n v="60.4"/>
    <n v="6945.83"/>
    <n v="-13.740000000000002"/>
  </r>
  <r>
    <x v="7"/>
    <x v="0"/>
    <x v="0"/>
    <s v="4802102"/>
    <n v="718050"/>
    <s v="Miscellaneous Purchased Svcs"/>
    <s v="Outpatient Imaging-Bonney Lake"/>
    <x v="0"/>
    <n v="1020"/>
    <n v="1245.17"/>
    <n v="1567.92"/>
    <n v="1654.73"/>
    <n v="3764.02"/>
    <n v="1406.23"/>
    <n v="779.6"/>
    <n v="2026.23"/>
    <n v="1113.77"/>
    <n v="5734.08"/>
    <n v="807.35"/>
    <n v="159.38"/>
    <n v="2560.52"/>
    <n v="22819"/>
    <n v="-2401.14"/>
  </r>
  <r>
    <x v="7"/>
    <x v="0"/>
    <x v="0"/>
    <s v="4802102"/>
    <n v="718050"/>
    <s v="Translation Services"/>
    <s v="Outpatient Imaging-Bonney Lake"/>
    <x v="0"/>
    <n v="1025"/>
    <n v="72"/>
    <n v="0"/>
    <n v="32"/>
    <n v="37.130000000000003"/>
    <n v="0"/>
    <n v="0"/>
    <n v="136"/>
    <n v="79"/>
    <n v="103.5"/>
    <n v="230"/>
    <n v="64"/>
    <n v="0"/>
    <n v="753.63"/>
    <n v="64"/>
  </r>
  <r>
    <x v="7"/>
    <x v="0"/>
    <x v="0"/>
    <s v="4802102"/>
    <n v="718050"/>
    <s v="Purchased Srvcs--Medical Waste"/>
    <s v="Outpatient Imaging-Bonney Lake"/>
    <x v="0"/>
    <n v="1027"/>
    <n v="0"/>
    <n v="84.54"/>
    <n v="64.38"/>
    <n v="73.13"/>
    <n v="43.93"/>
    <n v="43.93"/>
    <n v="43.93"/>
    <n v="49.27"/>
    <n v="45.74"/>
    <n v="43.93"/>
    <n v="53.91"/>
    <n v="43.93"/>
    <n v="590.62"/>
    <n v="9.9799999999999969"/>
  </r>
  <r>
    <x v="7"/>
    <x v="0"/>
    <x v="0"/>
    <s v="4802102"/>
    <n v="718070"/>
    <s v="Contract Srvcs-CHI Clinical Engineering"/>
    <s v="Outpatient Imaging-Bonney Lake"/>
    <x v="0"/>
    <m/>
    <n v="22323.45"/>
    <n v="22323.439999999999"/>
    <n v="22323.45"/>
    <n v="22323.439999999999"/>
    <n v="22323.45"/>
    <n v="20729.75"/>
    <n v="23814.39"/>
    <n v="22220.7"/>
    <n v="22220.7"/>
    <n v="21892.73"/>
    <n v="22220.7"/>
    <n v="22220.7"/>
    <n v="266936.90000000002"/>
    <n v="0"/>
  </r>
  <r>
    <x v="7"/>
    <x v="0"/>
    <x v="0"/>
    <s v="4802102"/>
    <n v="718077"/>
    <s v="PACS"/>
    <s v="Outpatient Imaging-Bonney Lake"/>
    <x v="0"/>
    <n v="1000"/>
    <n v="2369.25"/>
    <n v="2418.75"/>
    <n v="2272.5"/>
    <n v="2679.75"/>
    <n v="2373.75"/>
    <n v="2234.25"/>
    <n v="2700"/>
    <n v="2144.25"/>
    <n v="2720.25"/>
    <n v="2850.75"/>
    <n v="2801.25"/>
    <n v="2362.5"/>
    <n v="29927.25"/>
    <n v="438.75"/>
  </r>
  <r>
    <x v="11"/>
    <x v="0"/>
    <x v="0"/>
    <s v="4802102"/>
    <n v="721010"/>
    <s v="Supplies-Medical - Billable"/>
    <s v="Outpatient Imaging-Bonney Lake"/>
    <x v="0"/>
    <m/>
    <n v="0"/>
    <n v="19.63"/>
    <n v="0"/>
    <n v="23.56"/>
    <n v="19.63"/>
    <n v="7.85"/>
    <n v="19.63"/>
    <n v="19.63"/>
    <n v="27.48"/>
    <n v="0"/>
    <n v="9.82"/>
    <n v="39.26"/>
    <n v="186.48999999999995"/>
    <n v="-29.439999999999998"/>
  </r>
  <r>
    <x v="11"/>
    <x v="0"/>
    <x v="0"/>
    <s v="4802102"/>
    <n v="721010"/>
    <s v="Patient Monitoring"/>
    <s v="Outpatient Imaging-Bonney Lake"/>
    <x v="0"/>
    <n v="1000"/>
    <n v="0"/>
    <n v="0"/>
    <n v="0"/>
    <n v="0"/>
    <n v="0"/>
    <n v="0"/>
    <n v="0"/>
    <n v="0"/>
    <n v="0"/>
    <n v="160.11000000000001"/>
    <n v="0"/>
    <n v="0"/>
    <n v="160.11000000000001"/>
    <n v="0"/>
  </r>
  <r>
    <x v="11"/>
    <x v="0"/>
    <x v="0"/>
    <s v="4802102"/>
    <n v="721020"/>
    <s v="Supplies-Surgical - Billable"/>
    <s v="Outpatient Imaging-Bonney Lake"/>
    <x v="0"/>
    <m/>
    <n v="0"/>
    <n v="0"/>
    <n v="63.8"/>
    <n v="0"/>
    <n v="0"/>
    <n v="0"/>
    <n v="0"/>
    <n v="0"/>
    <n v="0"/>
    <n v="0"/>
    <n v="0"/>
    <n v="0"/>
    <n v="63.8"/>
    <n v="0"/>
  </r>
  <r>
    <x v="11"/>
    <x v="0"/>
    <x v="0"/>
    <s v="4802102"/>
    <n v="721050"/>
    <s v="Supplies-Cardiac Rhythm - Billable"/>
    <s v="Outpatient Imaging-Bonney Lake"/>
    <x v="0"/>
    <m/>
    <n v="0"/>
    <n v="321"/>
    <n v="321"/>
    <n v="0"/>
    <n v="912"/>
    <n v="0"/>
    <n v="321"/>
    <n v="0"/>
    <n v="591"/>
    <n v="912"/>
    <n v="0"/>
    <n v="912"/>
    <n v="4290"/>
    <n v="-912"/>
  </r>
  <r>
    <x v="11"/>
    <x v="0"/>
    <x v="0"/>
    <s v="4802102"/>
    <n v="721240"/>
    <s v="Supplies-IV Solutions/Supplies - Billable"/>
    <s v="Outpatient Imaging-Bonney Lake"/>
    <x v="0"/>
    <m/>
    <n v="267"/>
    <n v="89"/>
    <n v="890"/>
    <n v="271.45"/>
    <n v="356"/>
    <n v="356"/>
    <n v="356"/>
    <n v="178"/>
    <n v="534"/>
    <n v="178"/>
    <n v="356"/>
    <n v="801"/>
    <n v="4632.45"/>
    <n v="-445"/>
  </r>
  <r>
    <x v="11"/>
    <x v="0"/>
    <x v="0"/>
    <s v="4802102"/>
    <n v="721250"/>
    <s v="Supplies-Pharmacy Drugs - Billable"/>
    <s v="Outpatient Imaging-Bonney Lake"/>
    <x v="0"/>
    <m/>
    <n v="1376.01"/>
    <n v="1133.77"/>
    <n v="1287.5"/>
    <n v="1320.32"/>
    <n v="1445.41"/>
    <n v="1690.42"/>
    <n v="1242.6600000000001"/>
    <n v="984.46"/>
    <n v="967.48"/>
    <n v="1622.8"/>
    <n v="1671.02"/>
    <n v="1899.61"/>
    <n v="16641.46"/>
    <n v="-228.58999999999992"/>
  </r>
  <r>
    <x v="11"/>
    <x v="0"/>
    <x v="0"/>
    <s v="4802102"/>
    <n v="721350"/>
    <s v="Supplies-Film/Radiographic - Billable"/>
    <s v="Outpatient Imaging-Bonney Lake"/>
    <x v="0"/>
    <m/>
    <n v="62.12"/>
    <n v="122.19"/>
    <n v="36.729999999999997"/>
    <n v="-11.95"/>
    <n v="476.78"/>
    <n v="0"/>
    <n v="0"/>
    <n v="0"/>
    <n v="0"/>
    <n v="427.8"/>
    <n v="489.8"/>
    <n v="41.59"/>
    <n v="1645.06"/>
    <n v="448.21000000000004"/>
  </r>
  <r>
    <x v="11"/>
    <x v="0"/>
    <x v="0"/>
    <s v="4802102"/>
    <n v="721350"/>
    <s v="Radiology Imaging - Contrast Media"/>
    <s v="Outpatient Imaging-Bonney Lake"/>
    <x v="0"/>
    <n v="1000"/>
    <n v="63.79"/>
    <n v="63.8"/>
    <n v="0.01"/>
    <n v="63.79"/>
    <n v="63.8"/>
    <n v="0"/>
    <n v="0.01"/>
    <n v="70.17"/>
    <n v="0"/>
    <n v="70.17"/>
    <n v="0"/>
    <n v="70.17"/>
    <n v="465.71000000000004"/>
    <n v="-70.17"/>
  </r>
  <r>
    <x v="11"/>
    <x v="0"/>
    <x v="0"/>
    <s v="4802102"/>
    <n v="721410"/>
    <s v="Supplies-Medical - Nonbillable"/>
    <s v="Outpatient Imaging-Bonney Lake"/>
    <x v="0"/>
    <m/>
    <n v="219.66"/>
    <n v="83.76"/>
    <n v="323.43"/>
    <n v="2.42"/>
    <n v="83.4"/>
    <n v="56.01"/>
    <n v="163.06"/>
    <n v="195.53"/>
    <n v="68.739999999999995"/>
    <n v="4.28"/>
    <n v="175.66"/>
    <n v="121.64"/>
    <n v="1497.5900000000001"/>
    <n v="54.019999999999996"/>
  </r>
  <r>
    <x v="11"/>
    <x v="0"/>
    <x v="0"/>
    <s v="4802102"/>
    <n v="721610"/>
    <s v="Supplies-Anesthesia - Nonbillable"/>
    <s v="Outpatient Imaging-Bonney Lake"/>
    <x v="0"/>
    <m/>
    <n v="0"/>
    <n v="0"/>
    <n v="0"/>
    <n v="1.6"/>
    <n v="0"/>
    <n v="2.21"/>
    <n v="0"/>
    <n v="0"/>
    <n v="0"/>
    <n v="0"/>
    <n v="0"/>
    <n v="5.32"/>
    <n v="9.1300000000000008"/>
    <n v="-5.32"/>
  </r>
  <r>
    <x v="11"/>
    <x v="0"/>
    <x v="0"/>
    <s v="4802102"/>
    <n v="721640"/>
    <s v="Supplies-IV Solutions/Supplies - Nonbillable"/>
    <s v="Outpatient Imaging-Bonney Lake"/>
    <x v="0"/>
    <m/>
    <n v="0"/>
    <n v="22.99"/>
    <n v="0"/>
    <n v="0"/>
    <n v="0"/>
    <n v="45.98"/>
    <n v="0"/>
    <n v="22.99"/>
    <n v="0"/>
    <n v="0"/>
    <n v="0"/>
    <n v="0"/>
    <n v="91.96"/>
    <n v="0"/>
  </r>
  <r>
    <x v="11"/>
    <x v="0"/>
    <x v="0"/>
    <s v="4802102"/>
    <n v="721650"/>
    <s v="Supplies-Pharmacy Drugs - Nonbillable"/>
    <s v="Outpatient Imaging-Bonney Lake"/>
    <x v="0"/>
    <m/>
    <n v="0"/>
    <n v="8.02"/>
    <n v="0"/>
    <n v="16.04"/>
    <n v="0"/>
    <n v="6.01"/>
    <n v="32.08"/>
    <n v="16.04"/>
    <n v="0"/>
    <n v="8.86"/>
    <n v="15.62"/>
    <n v="12.7"/>
    <n v="115.37"/>
    <n v="2.92"/>
  </r>
  <r>
    <x v="11"/>
    <x v="0"/>
    <x v="0"/>
    <s v="4802102"/>
    <n v="721710"/>
    <s v="Supplies-Laboratory - Nonbillable"/>
    <s v="Outpatient Imaging-Bonney Lake"/>
    <x v="0"/>
    <m/>
    <n v="0"/>
    <n v="1.98"/>
    <n v="0"/>
    <n v="3.17"/>
    <n v="0"/>
    <n v="0"/>
    <n v="215.98"/>
    <n v="128.38"/>
    <n v="0"/>
    <n v="0"/>
    <n v="3.96"/>
    <n v="41.5"/>
    <n v="394.96999999999997"/>
    <n v="-37.54"/>
  </r>
  <r>
    <x v="11"/>
    <x v="0"/>
    <x v="0"/>
    <s v="4802102"/>
    <n v="721750"/>
    <s v="Supplies-Film/Radiographic - Nonbillable"/>
    <s v="Outpatient Imaging-Bonney Lake"/>
    <x v="0"/>
    <m/>
    <n v="35.700000000000003"/>
    <n v="118.91"/>
    <n v="0"/>
    <n v="-1.91"/>
    <n v="94.82"/>
    <n v="11.24"/>
    <n v="237.82"/>
    <n v="0"/>
    <n v="22.48"/>
    <n v="119.04"/>
    <n v="1.44"/>
    <n v="22.48"/>
    <n v="662.02"/>
    <n v="-21.04"/>
  </r>
  <r>
    <x v="11"/>
    <x v="0"/>
    <x v="0"/>
    <s v="4802102"/>
    <n v="721810"/>
    <s v="Supplies-Dietary/Cafeteria"/>
    <s v="Outpatient Imaging-Bonney Lake"/>
    <x v="0"/>
    <m/>
    <n v="0"/>
    <n v="0"/>
    <n v="0"/>
    <n v="0"/>
    <n v="0"/>
    <n v="50.46"/>
    <n v="0"/>
    <n v="0"/>
    <n v="0"/>
    <n v="0"/>
    <n v="0"/>
    <n v="0"/>
    <n v="50.46"/>
    <n v="0"/>
  </r>
  <r>
    <x v="11"/>
    <x v="0"/>
    <x v="0"/>
    <s v="4802102"/>
    <n v="721830"/>
    <s v="Supplies-Office"/>
    <s v="Outpatient Imaging-Bonney Lake"/>
    <x v="0"/>
    <m/>
    <n v="0"/>
    <n v="165"/>
    <n v="0"/>
    <n v="0"/>
    <n v="300"/>
    <n v="0"/>
    <n v="0"/>
    <n v="330"/>
    <n v="0"/>
    <n v="-30"/>
    <n v="217.92"/>
    <n v="0"/>
    <n v="982.92"/>
    <n v="217.92"/>
  </r>
  <r>
    <x v="11"/>
    <x v="0"/>
    <x v="0"/>
    <s v="4802102"/>
    <n v="721835"/>
    <s v="Supplies-Forms"/>
    <s v="Outpatient Imaging-Bonney Lake"/>
    <x v="0"/>
    <m/>
    <n v="0"/>
    <n v="0"/>
    <n v="0"/>
    <n v="0"/>
    <n v="0"/>
    <n v="0"/>
    <n v="0"/>
    <n v="0"/>
    <n v="10.35"/>
    <n v="15.6"/>
    <n v="10.35"/>
    <n v="0"/>
    <n v="36.299999999999997"/>
    <n v="10.35"/>
  </r>
  <r>
    <x v="11"/>
    <x v="0"/>
    <x v="0"/>
    <s v="4802102"/>
    <n v="721870"/>
    <s v="Supplies-Environmental Services"/>
    <s v="Outpatient Imaging-Bonney Lake"/>
    <x v="0"/>
    <m/>
    <n v="0"/>
    <n v="0"/>
    <n v="28.75"/>
    <n v="28.81"/>
    <n v="9.5399999999999991"/>
    <n v="9.6"/>
    <n v="47.91"/>
    <n v="20.6"/>
    <n v="41.2"/>
    <n v="38.35"/>
    <n v="25.4"/>
    <n v="52.73"/>
    <n v="302.89"/>
    <n v="-27.33"/>
  </r>
  <r>
    <x v="11"/>
    <x v="0"/>
    <x v="0"/>
    <s v="4802102"/>
    <n v="722000"/>
    <s v="Supplies-Freight Expense"/>
    <s v="Outpatient Imaging-Bonney Lake"/>
    <x v="0"/>
    <m/>
    <n v="0"/>
    <n v="0"/>
    <n v="16.239999999999998"/>
    <n v="108.92"/>
    <n v="0"/>
    <n v="57.02"/>
    <n v="8"/>
    <n v="0"/>
    <n v="8.23"/>
    <n v="0"/>
    <n v="8.26"/>
    <n v="1.19"/>
    <n v="207.85999999999999"/>
    <n v="7.07"/>
  </r>
  <r>
    <x v="11"/>
    <x v="0"/>
    <x v="0"/>
    <s v="4802102"/>
    <n v="722000"/>
    <s v="Minimum Order Fees"/>
    <s v="Outpatient Imaging-Bonney Lake"/>
    <x v="0"/>
    <n v="1000"/>
    <n v="0"/>
    <n v="0"/>
    <n v="0"/>
    <n v="0"/>
    <n v="0"/>
    <n v="0"/>
    <n v="0"/>
    <n v="0"/>
    <n v="0"/>
    <n v="0"/>
    <n v="0"/>
    <n v="50"/>
    <n v="50"/>
    <n v="-50"/>
  </r>
  <r>
    <x v="12"/>
    <x v="0"/>
    <x v="0"/>
    <s v="4802102"/>
    <n v="730010"/>
    <s v="Rental and Leases-Building (DO NOT USE)"/>
    <s v="Outpatient Imaging-Bonney Lake"/>
    <x v="0"/>
    <m/>
    <n v="19696.28"/>
    <n v="19696.28"/>
    <n v="19696.28"/>
    <n v="19696.28"/>
    <n v="19696.28"/>
    <n v="-7890.19"/>
    <n v="15147.16"/>
    <n v="15147.16"/>
    <n v="15147.16"/>
    <n v="15086.43"/>
    <n v="15086.43"/>
    <n v="0"/>
    <n v="166205.54999999999"/>
    <n v="15086.43"/>
  </r>
  <r>
    <x v="12"/>
    <x v="0"/>
    <x v="0"/>
    <s v="4802102"/>
    <n v="730010"/>
    <s v="Rental-Common Area Maint (DO NOT USE)"/>
    <s v="Outpatient Imaging-Bonney Lake"/>
    <x v="0"/>
    <n v="2200"/>
    <n v="0"/>
    <n v="0"/>
    <n v="0"/>
    <n v="0"/>
    <n v="0"/>
    <n v="27586.47"/>
    <n v="4549.12"/>
    <n v="4549.12"/>
    <n v="4549.12"/>
    <n v="6251.68"/>
    <n v="4607.47"/>
    <n v="4549.12"/>
    <n v="56642.100000000006"/>
    <n v="58.350000000000364"/>
  </r>
  <r>
    <x v="12"/>
    <x v="0"/>
    <x v="0"/>
    <s v="4802102"/>
    <n v="730020"/>
    <s v="Rental and Leases-Copier Usage Fees (DO NOT USE)"/>
    <s v="Outpatient Imaging-Bonney Lake"/>
    <x v="0"/>
    <n v="5100"/>
    <n v="55.53"/>
    <n v="56.76"/>
    <n v="56.14"/>
    <n v="56.14"/>
    <n v="56.14"/>
    <n v="56.14"/>
    <n v="12.83"/>
    <n v="51.07"/>
    <n v="50.96"/>
    <n v="123.74"/>
    <n v="51.07"/>
    <n v="64.73"/>
    <n v="691.25"/>
    <n v="-13.660000000000004"/>
  </r>
  <r>
    <x v="12"/>
    <x v="0"/>
    <x v="0"/>
    <s v="4802102"/>
    <n v="730040"/>
    <s v="LT Lease-Real Estate"/>
    <s v="Outpatient Imaging-Bonney Lake"/>
    <x v="0"/>
    <m/>
    <n v="0"/>
    <n v="0"/>
    <n v="0"/>
    <n v="0"/>
    <n v="0"/>
    <n v="0"/>
    <n v="0"/>
    <n v="0"/>
    <n v="0"/>
    <n v="0"/>
    <n v="0"/>
    <n v="15144.78"/>
    <n v="15144.78"/>
    <n v="-15144.78"/>
  </r>
  <r>
    <x v="15"/>
    <x v="0"/>
    <x v="0"/>
    <s v="4802102"/>
    <n v="731010"/>
    <s v="Natural Gas"/>
    <s v="Outpatient Imaging-Bonney Lake"/>
    <x v="0"/>
    <m/>
    <n v="17.43"/>
    <n v="4.91"/>
    <n v="6.25"/>
    <n v="22.36"/>
    <n v="37.61"/>
    <n v="67.59"/>
    <n v="50.64"/>
    <n v="58.49"/>
    <n v="76.319999999999993"/>
    <n v="29.25"/>
    <n v="24.21"/>
    <n v="9.89"/>
    <n v="404.95"/>
    <n v="14.32"/>
  </r>
  <r>
    <x v="15"/>
    <x v="0"/>
    <x v="0"/>
    <s v="4802102"/>
    <n v="731020"/>
    <s v="Electricity"/>
    <s v="Outpatient Imaging-Bonney Lake"/>
    <x v="0"/>
    <m/>
    <n v="333.93"/>
    <n v="404.55"/>
    <n v="375.69"/>
    <n v="313.85000000000002"/>
    <n v="326.25"/>
    <n v="421.16"/>
    <n v="290.25"/>
    <n v="358.59"/>
    <n v="389.6"/>
    <n v="335.59"/>
    <n v="327.05"/>
    <n v="336.12"/>
    <n v="4212.63"/>
    <n v="-9.0699999999999932"/>
  </r>
  <r>
    <x v="16"/>
    <x v="0"/>
    <x v="0"/>
    <s v="4802102"/>
    <n v="732030"/>
    <s v="Repairs---Other"/>
    <s v="Outpatient Imaging-Bonney Lake"/>
    <x v="0"/>
    <m/>
    <n v="0"/>
    <n v="0"/>
    <n v="0"/>
    <n v="1615.34"/>
    <n v="0"/>
    <n v="0"/>
    <n v="1139.21"/>
    <n v="0"/>
    <n v="0"/>
    <n v="547.87"/>
    <n v="0"/>
    <n v="0"/>
    <n v="3302.42"/>
    <n v="0"/>
  </r>
  <r>
    <x v="13"/>
    <x v="0"/>
    <x v="0"/>
    <s v="4802102"/>
    <n v="735050"/>
    <s v="Amortization-Leasehold Improvements"/>
    <s v="Outpatient Imaging-Bonney Lake"/>
    <x v="0"/>
    <m/>
    <n v="7303.53"/>
    <n v="7303.52"/>
    <n v="7303.56"/>
    <n v="7303.5"/>
    <n v="7303.57"/>
    <n v="7303.47"/>
    <n v="7303.58"/>
    <n v="7303.46"/>
    <n v="7303.61"/>
    <n v="7303.45"/>
    <n v="7303.63"/>
    <n v="7303.45"/>
    <n v="87642.33"/>
    <n v="0.18000000000029104"/>
  </r>
  <r>
    <x v="13"/>
    <x v="0"/>
    <x v="0"/>
    <s v="4802102"/>
    <n v="735060"/>
    <s v="Depreciation-Fixed Equipment"/>
    <s v="Outpatient Imaging-Bonney Lake"/>
    <x v="0"/>
    <m/>
    <n v="75.150000000000006"/>
    <n v="75.150000000000006"/>
    <n v="75.150000000000006"/>
    <n v="75.150000000000006"/>
    <n v="75.150000000000006"/>
    <n v="75.150000000000006"/>
    <n v="75.150000000000006"/>
    <n v="75.150000000000006"/>
    <n v="75.150000000000006"/>
    <n v="75.150000000000006"/>
    <n v="75.150000000000006"/>
    <n v="75.14"/>
    <n v="901.78999999999985"/>
    <n v="1.0000000000005116E-2"/>
  </r>
  <r>
    <x v="13"/>
    <x v="0"/>
    <x v="0"/>
    <s v="4802102"/>
    <n v="735070"/>
    <s v="Depreciation-Movable Equipment"/>
    <s v="Outpatient Imaging-Bonney Lake"/>
    <x v="0"/>
    <m/>
    <n v="14258.18"/>
    <n v="7703.16"/>
    <n v="7703.17"/>
    <n v="7703.15"/>
    <n v="7703.17"/>
    <n v="7703.16"/>
    <n v="7703.19"/>
    <n v="7628.31"/>
    <n v="7628.4"/>
    <n v="7628.29"/>
    <n v="7628.4"/>
    <n v="7628.28"/>
    <n v="98618.859999999986"/>
    <n v="0.11999999999989086"/>
  </r>
  <r>
    <x v="0"/>
    <x v="0"/>
    <x v="0"/>
    <s v="4802102"/>
    <n v="749510"/>
    <s v="Licenses"/>
    <s v="Outpatient Imaging-Bonney Lake"/>
    <x v="0"/>
    <n v="1002"/>
    <n v="0"/>
    <n v="0"/>
    <n v="480"/>
    <n v="0"/>
    <n v="0"/>
    <n v="0"/>
    <n v="0"/>
    <n v="0"/>
    <n v="0"/>
    <n v="0"/>
    <n v="150"/>
    <n v="0"/>
    <n v="630"/>
    <n v="150"/>
  </r>
  <r>
    <x v="18"/>
    <x v="5"/>
    <x v="0"/>
    <s v="4802106"/>
    <n v="400010"/>
    <s v="Acute I/P Svcs Rev--Medicare"/>
    <s v="OP Radiology-3 Tree"/>
    <x v="0"/>
    <n v="1100"/>
    <n v="-562.79999999999995"/>
    <n v="-590.94000000000005"/>
    <n v="-590.94000000000005"/>
    <n v="0"/>
    <n v="-590.94000000000005"/>
    <n v="0"/>
    <n v="-1078.56"/>
    <n v="-468.51"/>
    <n v="0"/>
    <n v="-608.66999999999996"/>
    <n v="0"/>
    <n v="-892.89"/>
    <n v="-5384.25"/>
    <n v="892.89"/>
  </r>
  <r>
    <x v="18"/>
    <x v="5"/>
    <x v="0"/>
    <s v="4802106"/>
    <n v="400010"/>
    <s v="Acute I/P Svcs Rev--Medicaid"/>
    <s v="OP Radiology-3 Tree"/>
    <x v="0"/>
    <n v="1200"/>
    <n v="0"/>
    <n v="0"/>
    <n v="0"/>
    <n v="0"/>
    <n v="0"/>
    <n v="0"/>
    <n v="0"/>
    <n v="-608.66999999999996"/>
    <n v="0"/>
    <n v="0"/>
    <n v="0"/>
    <n v="0"/>
    <n v="-608.66999999999996"/>
    <n v="0"/>
  </r>
  <r>
    <x v="19"/>
    <x v="5"/>
    <x v="0"/>
    <s v="4802106"/>
    <n v="400020"/>
    <s v="O/P Care Svcs Rev--Medicare"/>
    <s v="OP Radiology-3 Tree"/>
    <x v="0"/>
    <n v="1100"/>
    <n v="-72602.14"/>
    <n v="-88324.77"/>
    <n v="-58525.02"/>
    <n v="-87254.7"/>
    <n v="-67543.289999999994"/>
    <n v="-62093.89"/>
    <n v="-84875.15"/>
    <n v="-68281.820000000007"/>
    <n v="-82268.31"/>
    <n v="-72090.350000000006"/>
    <n v="-95382.1"/>
    <n v="-64492.68"/>
    <n v="-903734.22000000009"/>
    <n v="-30889.420000000006"/>
  </r>
  <r>
    <x v="19"/>
    <x v="5"/>
    <x v="0"/>
    <s v="4802106"/>
    <n v="400020"/>
    <s v="O/P Care Svcs Rev--Medicaid"/>
    <s v="OP Radiology-3 Tree"/>
    <x v="0"/>
    <n v="1200"/>
    <n v="-50695.92"/>
    <n v="-54199.73"/>
    <n v="-57475.360000000001"/>
    <n v="-67680.100000000006"/>
    <n v="-42194.67"/>
    <n v="-51088.1"/>
    <n v="-59534.05"/>
    <n v="-30014.43"/>
    <n v="-83763.149999999994"/>
    <n v="-61680.82"/>
    <n v="-61253.53"/>
    <n v="-45444.81"/>
    <n v="-665024.66999999993"/>
    <n v="-15808.720000000001"/>
  </r>
  <r>
    <x v="19"/>
    <x v="5"/>
    <x v="0"/>
    <s v="4802106"/>
    <n v="400020"/>
    <s v="O/P Care Svcs Rev--Comm Insurance"/>
    <s v="OP Radiology-3 Tree"/>
    <x v="0"/>
    <n v="1300"/>
    <n v="-6023.31"/>
    <n v="-5139.34"/>
    <n v="-4263.97"/>
    <n v="-2140.5100000000002"/>
    <n v="-2242.92"/>
    <n v="-5698.43"/>
    <n v="-9325.73"/>
    <n v="-3383.37"/>
    <n v="-6726.09"/>
    <n v="-9363.23"/>
    <n v="-7193.26"/>
    <n v="-1335.12"/>
    <n v="-62835.280000000013"/>
    <n v="-5858.14"/>
  </r>
  <r>
    <x v="19"/>
    <x v="5"/>
    <x v="0"/>
    <s v="4802106"/>
    <n v="400020"/>
    <s v="O/P Care Svcs Rev--BCBS Comm"/>
    <s v="OP Radiology-3 Tree"/>
    <x v="0"/>
    <n v="1301"/>
    <n v="-17008.849999999999"/>
    <n v="-24414.62"/>
    <n v="-13625.77"/>
    <n v="-11598.51"/>
    <n v="-23106.44"/>
    <n v="-13666.35"/>
    <n v="-19031.84"/>
    <n v="-16293.16"/>
    <n v="-23833.86"/>
    <n v="-17275.79"/>
    <n v="-20231.009999999998"/>
    <n v="-22079.919999999998"/>
    <n v="-222166.12000000005"/>
    <n v="1848.9099999999999"/>
  </r>
  <r>
    <x v="19"/>
    <x v="5"/>
    <x v="0"/>
    <s v="4802106"/>
    <n v="400020"/>
    <s v="O/P Care Svcs Rev--Managed Care"/>
    <s v="OP Radiology-3 Tree"/>
    <x v="0"/>
    <n v="1400"/>
    <n v="-41792.44"/>
    <n v="-38640.97"/>
    <n v="-37280.18"/>
    <n v="-53857.99"/>
    <n v="-35911.410000000003"/>
    <n v="-40076.230000000003"/>
    <n v="-54874.47"/>
    <n v="-41054.199999999997"/>
    <n v="-48558.05"/>
    <n v="-68182.149999999994"/>
    <n v="-40910.68"/>
    <n v="-46219.65"/>
    <n v="-547358.41999999993"/>
    <n v="5308.9700000000012"/>
  </r>
  <r>
    <x v="19"/>
    <x v="5"/>
    <x v="0"/>
    <s v="4802106"/>
    <n v="400020"/>
    <s v="O/P Care Svcs Rev--Self Pay"/>
    <s v="OP Radiology-3 Tree"/>
    <x v="0"/>
    <n v="1500"/>
    <n v="-2107.35"/>
    <n v="-1915.2"/>
    <n v="-1287.26"/>
    <n v="-2828.7"/>
    <n v="-6200.25"/>
    <n v="-3460.36"/>
    <n v="-9029.9599999999991"/>
    <n v="-2028.88"/>
    <n v="-3251.38"/>
    <n v="-7125.01"/>
    <n v="-5534.01"/>
    <n v="-2028.88"/>
    <n v="-46797.24"/>
    <n v="-3505.13"/>
  </r>
  <r>
    <x v="19"/>
    <x v="5"/>
    <x v="0"/>
    <s v="4802106"/>
    <n v="400020"/>
    <s v="O/P Care Svcs Rev--Other"/>
    <s v="OP Radiology-3 Tree"/>
    <x v="0"/>
    <n v="1700"/>
    <n v="-2022.47"/>
    <n v="-10760.24"/>
    <n v="-9699.92"/>
    <n v="-3684.09"/>
    <n v="-4386.54"/>
    <n v="-8040.07"/>
    <n v="-11260.05"/>
    <n v="-8840.4500000000007"/>
    <n v="-14470.48"/>
    <n v="-10089.15"/>
    <n v="-4064.37"/>
    <n v="-3395.62"/>
    <n v="-90713.449999999983"/>
    <n v="-668.75"/>
  </r>
  <r>
    <x v="5"/>
    <x v="5"/>
    <x v="0"/>
    <s v="4802106"/>
    <n v="700034"/>
    <s v="Salaries-Tech/Professional-Productive"/>
    <s v="OP Radiology-3 Tree"/>
    <x v="0"/>
    <m/>
    <n v="4712.67"/>
    <n v="5507.62"/>
    <n v="5324.16"/>
    <n v="6673.52"/>
    <n v="4878.62"/>
    <n v="5036.99"/>
    <n v="4470.74"/>
    <n v="5179.67"/>
    <n v="5469.47"/>
    <n v="3759.22"/>
    <n v="5644.42"/>
    <n v="4552.16"/>
    <n v="61209.259999999995"/>
    <n v="1092.2600000000002"/>
  </r>
  <r>
    <x v="5"/>
    <x v="5"/>
    <x v="0"/>
    <s v="4802106"/>
    <n v="700034"/>
    <s v="Salaries-Tech/Professional-OT"/>
    <s v="OP Radiology-3 Tree"/>
    <x v="0"/>
    <n v="1000"/>
    <n v="2123.1799999999998"/>
    <n v="1554.69"/>
    <n v="2749.6"/>
    <n v="986.6"/>
    <n v="2466.27"/>
    <n v="1590.93"/>
    <n v="917.98"/>
    <n v="918.08"/>
    <n v="1651.57"/>
    <n v="1279.99"/>
    <n v="3543"/>
    <n v="1417.68"/>
    <n v="21199.57"/>
    <n v="2125.3199999999997"/>
  </r>
  <r>
    <x v="5"/>
    <x v="5"/>
    <x v="0"/>
    <s v="4802106"/>
    <n v="700034"/>
    <s v="Salaries-Tech/Professional-Other"/>
    <s v="OP Radiology-3 Tree"/>
    <x v="0"/>
    <n v="2000"/>
    <n v="155.77000000000001"/>
    <n v="139.4"/>
    <n v="196.18"/>
    <n v="143.32"/>
    <n v="162.02000000000001"/>
    <n v="185.32"/>
    <n v="91.32"/>
    <n v="163.53"/>
    <n v="102.92"/>
    <n v="136.05000000000001"/>
    <n v="224.67"/>
    <n v="116.48"/>
    <n v="1816.98"/>
    <n v="108.18999999999998"/>
  </r>
  <r>
    <x v="6"/>
    <x v="5"/>
    <x v="0"/>
    <s v="4802106"/>
    <n v="713010"/>
    <s v="Benefits-FICA/Medicare"/>
    <s v="OP Radiology-3 Tree"/>
    <x v="0"/>
    <m/>
    <n v="534.05999999999995"/>
    <n v="549.26"/>
    <n v="632.72"/>
    <n v="593.82000000000005"/>
    <n v="573.42999999999995"/>
    <n v="520.29"/>
    <n v="417.83"/>
    <n v="478.54"/>
    <n v="548.27"/>
    <n v="395.88"/>
    <n v="717.74"/>
    <n v="463.63"/>
    <n v="6425.4699999999993"/>
    <n v="254.11"/>
  </r>
  <r>
    <x v="6"/>
    <x v="5"/>
    <x v="0"/>
    <s v="4802106"/>
    <n v="713090"/>
    <s v="Benefits-Allocated Amounts"/>
    <s v="OP Radiology-3 Tree"/>
    <x v="0"/>
    <m/>
    <n v="1541.02"/>
    <n v="1637.19"/>
    <n v="1723.38"/>
    <n v="1791.64"/>
    <n v="1622.1"/>
    <n v="1512.18"/>
    <n v="1244.97"/>
    <n v="1459.57"/>
    <n v="1614.87"/>
    <n v="1098.67"/>
    <n v="1977.45"/>
    <n v="1290.1500000000001"/>
    <n v="18513.189999999999"/>
    <n v="687.3"/>
  </r>
  <r>
    <x v="7"/>
    <x v="5"/>
    <x v="0"/>
    <s v="4802106"/>
    <n v="718050"/>
    <s v="Miscellaneous Purchased Svcs"/>
    <s v="OP Radiology-3 Tree"/>
    <x v="0"/>
    <n v="1020"/>
    <n v="0"/>
    <n v="0"/>
    <n v="0"/>
    <n v="0"/>
    <n v="0"/>
    <n v="0"/>
    <n v="0"/>
    <n v="0"/>
    <n v="71.5"/>
    <n v="0"/>
    <n v="0"/>
    <n v="12.43"/>
    <n v="83.93"/>
    <n v="-12.43"/>
  </r>
  <r>
    <x v="7"/>
    <x v="5"/>
    <x v="0"/>
    <s v="4802106"/>
    <n v="718050"/>
    <s v="Translation Services"/>
    <s v="OP Radiology-3 Tree"/>
    <x v="0"/>
    <n v="1025"/>
    <n v="42.5"/>
    <n v="184"/>
    <n v="40"/>
    <n v="158"/>
    <n v="0"/>
    <n v="0"/>
    <n v="98"/>
    <n v="0"/>
    <n v="0"/>
    <n v="0"/>
    <n v="0"/>
    <n v="0"/>
    <n v="522.5"/>
    <n v="0"/>
  </r>
  <r>
    <x v="11"/>
    <x v="5"/>
    <x v="0"/>
    <s v="4802106"/>
    <n v="722000"/>
    <s v="Supplies-Freight Expense"/>
    <s v="OP Radiology-3 Tree"/>
    <x v="0"/>
    <m/>
    <n v="0"/>
    <n v="0"/>
    <n v="0"/>
    <n v="20.59"/>
    <n v="0"/>
    <n v="0"/>
    <n v="0"/>
    <n v="0"/>
    <n v="0"/>
    <n v="0"/>
    <n v="0"/>
    <n v="0"/>
    <n v="20.59"/>
    <n v="0"/>
  </r>
  <r>
    <x v="15"/>
    <x v="5"/>
    <x v="0"/>
    <s v="4802106"/>
    <n v="731060"/>
    <s v="Telephone"/>
    <s v="OP Radiology-3 Tree"/>
    <x v="0"/>
    <m/>
    <n v="0"/>
    <n v="0"/>
    <n v="43"/>
    <n v="4.3"/>
    <n v="0"/>
    <n v="0"/>
    <n v="0"/>
    <n v="0"/>
    <n v="0"/>
    <n v="0"/>
    <n v="0"/>
    <n v="0"/>
    <n v="47.3"/>
    <n v="0"/>
  </r>
  <r>
    <x v="0"/>
    <x v="5"/>
    <x v="0"/>
    <s v="4802106"/>
    <n v="749510"/>
    <s v="Licenses"/>
    <s v="OP Radiology-3 Tree"/>
    <x v="0"/>
    <n v="1002"/>
    <n v="0"/>
    <n v="0"/>
    <n v="0"/>
    <n v="0"/>
    <n v="611"/>
    <n v="0"/>
    <n v="0"/>
    <n v="0"/>
    <n v="0"/>
    <n v="0"/>
    <n v="0"/>
    <n v="0"/>
    <n v="611"/>
    <n v="0"/>
  </r>
  <r>
    <x v="18"/>
    <x v="6"/>
    <x v="0"/>
    <s v="4802107"/>
    <n v="400010"/>
    <s v="Acute I/P Svcs Rev--Medicare"/>
    <s v="Outpatient Imaging-Belfair"/>
    <x v="0"/>
    <n v="1100"/>
    <n v="0"/>
    <n v="-128.06"/>
    <n v="0"/>
    <n v="-256.12"/>
    <n v="0"/>
    <n v="0"/>
    <n v="0"/>
    <n v="0"/>
    <n v="0"/>
    <n v="0"/>
    <n v="-128.06"/>
    <n v="0"/>
    <n v="-512.24"/>
    <n v="-128.06"/>
  </r>
  <r>
    <x v="18"/>
    <x v="6"/>
    <x v="0"/>
    <s v="4802107"/>
    <n v="400010"/>
    <s v="Acute I/P Svcs Rev--Medicaid"/>
    <s v="Outpatient Imaging-Belfair"/>
    <x v="0"/>
    <n v="1200"/>
    <n v="0"/>
    <n v="0"/>
    <n v="0"/>
    <n v="0"/>
    <n v="0"/>
    <n v="0"/>
    <n v="-128.06"/>
    <n v="0"/>
    <n v="0"/>
    <n v="0"/>
    <n v="0"/>
    <n v="0"/>
    <n v="-128.06"/>
    <n v="0"/>
  </r>
  <r>
    <x v="19"/>
    <x v="6"/>
    <x v="0"/>
    <s v="4802107"/>
    <n v="400020"/>
    <s v="O/P Care Svcs Rev--Medicare"/>
    <s v="Outpatient Imaging-Belfair"/>
    <x v="0"/>
    <n v="1100"/>
    <n v="-8559.43"/>
    <n v="-12464.95"/>
    <n v="-12745.89"/>
    <n v="-11410.66"/>
    <n v="-11395.35"/>
    <n v="-13893.09"/>
    <n v="-7453.34"/>
    <n v="-9991.1299999999992"/>
    <n v="-13807.21"/>
    <n v="-9665.6"/>
    <n v="-13796.86"/>
    <n v="-12472.79"/>
    <n v="-137656.30000000002"/>
    <n v="-1324.0699999999997"/>
  </r>
  <r>
    <x v="19"/>
    <x v="6"/>
    <x v="0"/>
    <s v="4802107"/>
    <n v="400020"/>
    <s v="O/P Care Svcs Rev--Medicaid"/>
    <s v="Outpatient Imaging-Belfair"/>
    <x v="0"/>
    <n v="1200"/>
    <n v="-9877.59"/>
    <n v="-10559.24"/>
    <n v="-7720.77"/>
    <n v="-10008.33"/>
    <n v="-9711.19"/>
    <n v="-7167.28"/>
    <n v="-10777.32"/>
    <n v="-8359.0300000000007"/>
    <n v="-11881.37"/>
    <n v="-9227.2000000000007"/>
    <n v="-13207.05"/>
    <n v="-11339.84"/>
    <n v="-119836.20999999999"/>
    <n v="-1867.2099999999991"/>
  </r>
  <r>
    <x v="19"/>
    <x v="6"/>
    <x v="0"/>
    <s v="4802107"/>
    <n v="400020"/>
    <s v="O/P Care Svcs Rev--Comm Insurance"/>
    <s v="Outpatient Imaging-Belfair"/>
    <x v="0"/>
    <n v="1300"/>
    <n v="-314.73"/>
    <n v="-1141.9000000000001"/>
    <n v="812.68"/>
    <n v="-3469.22"/>
    <n v="908.21"/>
    <n v="-656.05"/>
    <n v="-2487.4899999999998"/>
    <n v="8.5399999999999991"/>
    <n v="-1408.98"/>
    <n v="-1615.58"/>
    <n v="-1017.96"/>
    <n v="-2486.42"/>
    <n v="-12868.9"/>
    <n v="1468.46"/>
  </r>
  <r>
    <x v="19"/>
    <x v="6"/>
    <x v="0"/>
    <s v="4802107"/>
    <n v="400020"/>
    <s v="O/P Care Svcs Rev--BCBS Comm"/>
    <s v="Outpatient Imaging-Belfair"/>
    <x v="0"/>
    <n v="1301"/>
    <n v="-4703.1000000000004"/>
    <n v="-3289.58"/>
    <n v="-2329.8000000000002"/>
    <n v="-5000.42"/>
    <n v="-3607.33"/>
    <n v="-5599.76"/>
    <n v="-4802.12"/>
    <n v="-4904.28"/>
    <n v="-6180.77"/>
    <n v="-4493.0600000000004"/>
    <n v="-3804.54"/>
    <n v="-6065.03"/>
    <n v="-54779.79"/>
    <n v="2260.4899999999998"/>
  </r>
  <r>
    <x v="19"/>
    <x v="6"/>
    <x v="0"/>
    <s v="4802107"/>
    <n v="400020"/>
    <s v="O/P Care Svcs Rev--Managed Care"/>
    <s v="Outpatient Imaging-Belfair"/>
    <x v="0"/>
    <n v="1400"/>
    <n v="-5036.0600000000004"/>
    <n v="-5973.38"/>
    <n v="-5809.6"/>
    <n v="-3386.62"/>
    <n v="-5215.4399999999996"/>
    <n v="-6231.54"/>
    <n v="-5984.9"/>
    <n v="-3108.04"/>
    <n v="-7812.44"/>
    <n v="-4162.0600000000004"/>
    <n v="-7973.6"/>
    <n v="-5580.71"/>
    <n v="-66274.39"/>
    <n v="-2392.8900000000003"/>
  </r>
  <r>
    <x v="19"/>
    <x v="6"/>
    <x v="0"/>
    <s v="4802107"/>
    <n v="400020"/>
    <s v="O/P Care Svcs Rev--Self Pay"/>
    <s v="Outpatient Imaging-Belfair"/>
    <x v="0"/>
    <n v="1500"/>
    <n v="-97.94"/>
    <n v="-2198.09"/>
    <n v="-1068.52"/>
    <n v="-461.08"/>
    <n v="-1428.92"/>
    <n v="-1360.37"/>
    <n v="-1485.37"/>
    <n v="-1547.9"/>
    <n v="-351.32"/>
    <n v="-187.8"/>
    <n v="-1383.24"/>
    <n v="-2263.46"/>
    <n v="-13834.009999999998"/>
    <n v="880.22"/>
  </r>
  <r>
    <x v="19"/>
    <x v="6"/>
    <x v="0"/>
    <s v="4802107"/>
    <n v="400020"/>
    <s v="O/P Care Svcs Rev--Other"/>
    <s v="Outpatient Imaging-Belfair"/>
    <x v="0"/>
    <n v="1700"/>
    <n v="-1907.68"/>
    <n v="-1522.7"/>
    <n v="-2350.1999999999998"/>
    <n v="-2636.68"/>
    <n v="-1306.3399999999999"/>
    <n v="-2605.65"/>
    <n v="-3320.32"/>
    <n v="-1632.24"/>
    <n v="-1580.76"/>
    <n v="-1204.02"/>
    <n v="-2412.8000000000002"/>
    <n v="-2076.66"/>
    <n v="-24556.05"/>
    <n v="-336.14000000000033"/>
  </r>
  <r>
    <x v="13"/>
    <x v="6"/>
    <x v="0"/>
    <s v="4802107"/>
    <n v="735070"/>
    <s v="Depreciation-Movable Equipment"/>
    <s v="Outpatient Imaging-Belfair"/>
    <x v="0"/>
    <m/>
    <n v="737.26"/>
    <n v="737.26"/>
    <n v="737.26"/>
    <n v="737.26"/>
    <n v="737.26"/>
    <n v="737.26"/>
    <n v="737.26"/>
    <n v="737.25"/>
    <n v="737.26"/>
    <n v="737.25"/>
    <n v="737.26"/>
    <n v="737.25"/>
    <n v="8847.09"/>
    <n v="9.9999999999909051E-3"/>
  </r>
  <r>
    <x v="18"/>
    <x v="6"/>
    <x v="0"/>
    <s v="4803107"/>
    <n v="400010"/>
    <s v="Acute I/P Svcs Rev--Medicare"/>
    <s v="Outpatient Imaging-Bainbridge"/>
    <x v="0"/>
    <n v="1100"/>
    <n v="0"/>
    <n v="0"/>
    <n v="0"/>
    <n v="-1152.9000000000001"/>
    <n v="0"/>
    <n v="0"/>
    <n v="-590.94000000000005"/>
    <n v="0"/>
    <n v="0"/>
    <n v="0"/>
    <n v="0"/>
    <n v="0"/>
    <n v="-1743.8400000000001"/>
    <n v="0"/>
  </r>
  <r>
    <x v="19"/>
    <x v="6"/>
    <x v="0"/>
    <s v="4803107"/>
    <n v="400020"/>
    <s v="O/P Care Svcs Rev--Medicare"/>
    <s v="Outpatient Imaging-Bainbridge"/>
    <x v="0"/>
    <n v="1100"/>
    <n v="-6879.31"/>
    <n v="-6178.97"/>
    <n v="-5059.6499999999996"/>
    <n v="-6817.98"/>
    <n v="-3762.76"/>
    <n v="-5862.33"/>
    <n v="-6349.88"/>
    <n v="-3949.86"/>
    <n v="-4680.2700000000004"/>
    <n v="-3274"/>
    <n v="-3860.74"/>
    <n v="-3440.15"/>
    <n v="-60115.899999999994"/>
    <n v="-420.58999999999969"/>
  </r>
  <r>
    <x v="19"/>
    <x v="6"/>
    <x v="0"/>
    <s v="4803107"/>
    <n v="400020"/>
    <s v="O/P Care Svcs Rev--Medicaid"/>
    <s v="Outpatient Imaging-Bainbridge"/>
    <x v="0"/>
    <n v="1200"/>
    <n v="-4933.3"/>
    <n v="-3593.49"/>
    <n v="-4454.2299999999996"/>
    <n v="-6723.7"/>
    <n v="-4550.5"/>
    <n v="-6558.18"/>
    <n v="-5945.48"/>
    <n v="-5382.84"/>
    <n v="-4072.88"/>
    <n v="-2911.93"/>
    <n v="-2137.04"/>
    <n v="-3694.02"/>
    <n v="-54957.59"/>
    <n v="1556.98"/>
  </r>
  <r>
    <x v="19"/>
    <x v="6"/>
    <x v="0"/>
    <s v="4803107"/>
    <n v="400020"/>
    <s v="O/P Care Svcs Rev--Comm Insurance"/>
    <s v="Outpatient Imaging-Bainbridge"/>
    <x v="0"/>
    <n v="1300"/>
    <n v="421.84"/>
    <n v="-885.11"/>
    <n v="-666.04"/>
    <n v="-128.06"/>
    <n v="-204.96"/>
    <n v="-416.02"/>
    <n v="0"/>
    <n v="-403.24"/>
    <n v="-349.69"/>
    <n v="-128.06"/>
    <n v="-409.92"/>
    <n v="-128.06"/>
    <n v="-3297.32"/>
    <n v="-281.86"/>
  </r>
  <r>
    <x v="19"/>
    <x v="6"/>
    <x v="0"/>
    <s v="4803107"/>
    <n v="400020"/>
    <s v="O/P Care Svcs Rev--BCBS Comm"/>
    <s v="Outpatient Imaging-Bainbridge"/>
    <x v="0"/>
    <n v="1301"/>
    <n v="-3482.97"/>
    <n v="-3719.76"/>
    <n v="-3566.64"/>
    <n v="-4597.37"/>
    <n v="-1692.79"/>
    <n v="-2510.36"/>
    <n v="-4199.8599999999997"/>
    <n v="-2265.1"/>
    <n v="-2439.56"/>
    <n v="-2721.39"/>
    <n v="-2579.8200000000002"/>
    <n v="-2023.02"/>
    <n v="-35798.639999999999"/>
    <n v="-556.80000000000018"/>
  </r>
  <r>
    <x v="19"/>
    <x v="6"/>
    <x v="0"/>
    <s v="4803107"/>
    <n v="400020"/>
    <s v="O/P Care Svcs Rev--Managed Care"/>
    <s v="Outpatient Imaging-Bainbridge"/>
    <x v="0"/>
    <n v="1400"/>
    <n v="-9312.27"/>
    <n v="-6765.76"/>
    <n v="-8579.42"/>
    <n v="-7749.01"/>
    <n v="-6759.32"/>
    <n v="-5122.09"/>
    <n v="-5417.5"/>
    <n v="-4190.07"/>
    <n v="-4629.72"/>
    <n v="-2623.86"/>
    <n v="-3052.08"/>
    <n v="-3496.5"/>
    <n v="-67697.600000000006"/>
    <n v="444.42000000000007"/>
  </r>
  <r>
    <x v="19"/>
    <x v="6"/>
    <x v="0"/>
    <s v="4803107"/>
    <n v="400020"/>
    <s v="O/P Care Svcs Rev--Self Pay"/>
    <s v="Outpatient Imaging-Bainbridge"/>
    <x v="0"/>
    <n v="1500"/>
    <n v="-415.62"/>
    <n v="-1828.59"/>
    <n v="-822.16"/>
    <n v="-742.94"/>
    <n v="-666.04"/>
    <n v="-164.66"/>
    <n v="153.47"/>
    <n v="-58.6"/>
    <n v="-461.08"/>
    <n v="-488.46"/>
    <n v="-292.72000000000003"/>
    <n v="-128.06"/>
    <n v="-5915.4600000000009"/>
    <n v="-164.66000000000003"/>
  </r>
  <r>
    <x v="19"/>
    <x v="6"/>
    <x v="0"/>
    <s v="4803107"/>
    <n v="400020"/>
    <s v="O/P Care Svcs Rev--Other"/>
    <s v="Outpatient Imaging-Bainbridge"/>
    <x v="0"/>
    <n v="1700"/>
    <n v="-2324.85"/>
    <n v="-2060.46"/>
    <n v="-4224.78"/>
    <n v="-4685.6499999999996"/>
    <n v="-1951.3"/>
    <n v="-2034.72"/>
    <n v="-1410.62"/>
    <n v="-2348.9699999999998"/>
    <n v="-2061.48"/>
    <n v="-1109.74"/>
    <n v="-2366.87"/>
    <n v="-1417.9"/>
    <n v="-27997.34"/>
    <n v="-948.9699999999998"/>
  </r>
  <r>
    <x v="5"/>
    <x v="6"/>
    <x v="0"/>
    <s v="4803107"/>
    <n v="700034"/>
    <s v="Salaries-Tech/Professional-Productive"/>
    <s v="Outpatient Imaging-Bainbridge"/>
    <x v="0"/>
    <m/>
    <n v="0"/>
    <n v="0"/>
    <n v="0"/>
    <n v="0"/>
    <n v="0"/>
    <n v="0"/>
    <n v="0"/>
    <n v="0"/>
    <n v="0"/>
    <n v="0"/>
    <n v="0"/>
    <n v="323.05"/>
    <n v="323.05"/>
    <n v="-323.05"/>
  </r>
  <r>
    <x v="6"/>
    <x v="6"/>
    <x v="0"/>
    <s v="4803107"/>
    <n v="713010"/>
    <s v="Benefits-FICA/Medicare"/>
    <s v="Outpatient Imaging-Bainbridge"/>
    <x v="0"/>
    <m/>
    <n v="0"/>
    <n v="0"/>
    <n v="0"/>
    <n v="0"/>
    <n v="0"/>
    <n v="0"/>
    <n v="0"/>
    <n v="0"/>
    <n v="0"/>
    <n v="0"/>
    <n v="0"/>
    <n v="24.68"/>
    <n v="24.68"/>
    <n v="-24.68"/>
  </r>
  <r>
    <x v="7"/>
    <x v="6"/>
    <x v="0"/>
    <s v="4803107"/>
    <n v="718050"/>
    <s v="Contract Svcs-Other"/>
    <s v="Outpatient Imaging-Bainbridge"/>
    <x v="0"/>
    <m/>
    <n v="0"/>
    <n v="0"/>
    <n v="6"/>
    <n v="0"/>
    <n v="0"/>
    <n v="12"/>
    <n v="0"/>
    <n v="6"/>
    <n v="0"/>
    <n v="585"/>
    <n v="0"/>
    <n v="0"/>
    <n v="609"/>
    <n v="0"/>
  </r>
  <r>
    <x v="12"/>
    <x v="6"/>
    <x v="0"/>
    <s v="4803107"/>
    <n v="730020"/>
    <s v="Rental and Leases-Copier Usage Fees (DO NOT USE)"/>
    <s v="Outpatient Imaging-Bainbridge"/>
    <x v="0"/>
    <n v="5100"/>
    <n v="39.89"/>
    <n v="40.590000000000003"/>
    <n v="40.24"/>
    <n v="40.24"/>
    <n v="40.24"/>
    <n v="40.24"/>
    <n v="32.07"/>
    <n v="38.85"/>
    <n v="38.770000000000003"/>
    <n v="38.93"/>
    <n v="38.85"/>
    <n v="43.25"/>
    <n v="472.16000000000008"/>
    <n v="-4.3999999999999986"/>
  </r>
  <r>
    <x v="13"/>
    <x v="6"/>
    <x v="0"/>
    <s v="4803107"/>
    <n v="735070"/>
    <s v="Depreciation-Movable Equipment"/>
    <s v="Outpatient Imaging-Bainbridge"/>
    <x v="0"/>
    <m/>
    <n v="4119.53"/>
    <n v="4119.53"/>
    <n v="4119.53"/>
    <n v="4119.53"/>
    <n v="4119.55"/>
    <n v="4119.53"/>
    <n v="4119.55"/>
    <n v="4119.5200000000004"/>
    <n v="4119.55"/>
    <n v="4119.51"/>
    <n v="4119.5600000000004"/>
    <n v="4119.51"/>
    <n v="49434.400000000001"/>
    <n v="5.0000000000181899E-2"/>
  </r>
  <r>
    <x v="7"/>
    <x v="5"/>
    <x v="0"/>
    <s v="4804106"/>
    <n v="718050"/>
    <s v="Document Shredding/Storage"/>
    <s v="Highline Imaging IDTF"/>
    <x v="0"/>
    <n v="1012"/>
    <n v="0"/>
    <n v="0"/>
    <n v="2203.36"/>
    <n v="1101.68"/>
    <n v="-2203.36"/>
    <n v="0"/>
    <n v="0"/>
    <n v="0"/>
    <n v="0"/>
    <n v="0"/>
    <n v="0"/>
    <n v="0"/>
    <n v="1101.6799999999998"/>
    <n v="0"/>
  </r>
  <r>
    <x v="12"/>
    <x v="5"/>
    <x v="0"/>
    <s v="4804106"/>
    <n v="730020"/>
    <s v="Rental and Leases-Copier Usage Fees (DO NOT USE)"/>
    <s v="Highline Imaging IDTF"/>
    <x v="0"/>
    <n v="5100"/>
    <n v="-11.84"/>
    <n v="-16.88"/>
    <n v="-14.36"/>
    <n v="-14.36"/>
    <n v="-14.36"/>
    <n v="-14.36"/>
    <n v="194.45"/>
    <n v="0"/>
    <n v="0"/>
    <n v="0"/>
    <n v="0"/>
    <n v="0"/>
    <n v="108.28999999999999"/>
    <n v="0"/>
  </r>
  <r>
    <x v="13"/>
    <x v="5"/>
    <x v="0"/>
    <s v="4804106"/>
    <n v="735070"/>
    <s v="Depreciation-Movable Equipment"/>
    <s v="Highline Imaging IDTF"/>
    <x v="0"/>
    <m/>
    <n v="342.49"/>
    <n v="342.49"/>
    <n v="342.49"/>
    <n v="342.49"/>
    <n v="342.49"/>
    <n v="342.49"/>
    <n v="342.49"/>
    <n v="342.49"/>
    <n v="342.5"/>
    <n v="342.49"/>
    <n v="342.5"/>
    <n v="342.49"/>
    <n v="4109.8999999999996"/>
    <n v="9.9999999999909051E-3"/>
  </r>
  <r>
    <x v="18"/>
    <x v="6"/>
    <x v="0"/>
    <s v="4804107"/>
    <n v="400010"/>
    <s v="Acute I/P Svcs Rev--Medicare"/>
    <s v="HARR Imaging Center BREM"/>
    <x v="0"/>
    <n v="1100"/>
    <n v="-1826.71"/>
    <n v="-3580.92"/>
    <n v="-8948.9"/>
    <n v="0"/>
    <n v="0"/>
    <n v="-590.94000000000005"/>
    <n v="0"/>
    <n v="0"/>
    <n v="0"/>
    <n v="-3788.09"/>
    <n v="0"/>
    <n v="0"/>
    <n v="-18735.559999999998"/>
    <n v="0"/>
  </r>
  <r>
    <x v="19"/>
    <x v="6"/>
    <x v="0"/>
    <s v="4804107"/>
    <n v="400020"/>
    <s v="O/P Care Svcs Rev--Medicare"/>
    <s v="HARR Imaging Center BREM"/>
    <x v="0"/>
    <n v="1100"/>
    <n v="-497713.57"/>
    <n v="-620669.06000000006"/>
    <n v="-547683.78"/>
    <n v="-575624.53"/>
    <n v="-506490.12"/>
    <n v="-422652.12"/>
    <n v="-537113.84"/>
    <n v="-406829.84"/>
    <n v="-618970.1"/>
    <n v="-569997.78"/>
    <n v="-582854.06000000006"/>
    <n v="-528622.48"/>
    <n v="-6415221.2800000012"/>
    <n v="-54231.580000000075"/>
  </r>
  <r>
    <x v="19"/>
    <x v="6"/>
    <x v="0"/>
    <s v="4804107"/>
    <n v="400020"/>
    <s v="O/P Care Svcs Rev--Medicaid"/>
    <s v="HARR Imaging Center BREM"/>
    <x v="0"/>
    <n v="1200"/>
    <n v="-162824.31"/>
    <n v="-167772.6"/>
    <n v="-156690.37"/>
    <n v="-209318.15"/>
    <n v="-125512.89"/>
    <n v="-119201.79"/>
    <n v="-154024.57999999999"/>
    <n v="-89693.38"/>
    <n v="-161873.14000000001"/>
    <n v="-216048.32"/>
    <n v="-165123.51"/>
    <n v="-149531.85"/>
    <n v="-1877614.8900000006"/>
    <n v="-15591.660000000003"/>
  </r>
  <r>
    <x v="19"/>
    <x v="6"/>
    <x v="0"/>
    <s v="4804107"/>
    <n v="400020"/>
    <s v="O/P Care Svcs Rev--Comm Insurance"/>
    <s v="HARR Imaging Center BREM"/>
    <x v="0"/>
    <n v="1300"/>
    <n v="-24705.83"/>
    <n v="-30400.92"/>
    <n v="-25898.26"/>
    <n v="-38450.69"/>
    <n v="-37990.660000000003"/>
    <n v="-29514.2"/>
    <n v="-18859.09"/>
    <n v="-31847.48"/>
    <n v="-21597.439999999999"/>
    <n v="-34243.660000000003"/>
    <n v="-38057.910000000003"/>
    <n v="-31305.63"/>
    <n v="-362871.77"/>
    <n v="-6752.2800000000025"/>
  </r>
  <r>
    <x v="19"/>
    <x v="6"/>
    <x v="0"/>
    <s v="4804107"/>
    <n v="400020"/>
    <s v="O/P Care Svcs Rev--BCBS Comm"/>
    <s v="HARR Imaging Center BREM"/>
    <x v="0"/>
    <n v="1301"/>
    <n v="-114286.48"/>
    <n v="-157354.26"/>
    <n v="-122699.88"/>
    <n v="-142871.71"/>
    <n v="-115943.67999999999"/>
    <n v="-114245.17"/>
    <n v="-134774.89000000001"/>
    <n v="-101741.23"/>
    <n v="-140767.92000000001"/>
    <n v="-125831.55"/>
    <n v="-115461.65"/>
    <n v="-136679.54999999999"/>
    <n v="-1522657.97"/>
    <n v="21217.899999999994"/>
  </r>
  <r>
    <x v="19"/>
    <x v="6"/>
    <x v="0"/>
    <s v="4804107"/>
    <n v="400020"/>
    <s v="O/P Care Svcs Rev--Managed Care"/>
    <s v="HARR Imaging Center BREM"/>
    <x v="0"/>
    <n v="1400"/>
    <n v="-168039.38"/>
    <n v="-194731.02"/>
    <n v="-167924.74"/>
    <n v="-237534.78"/>
    <n v="-160329.73000000001"/>
    <n v="-167213.94"/>
    <n v="-172258.97"/>
    <n v="-112989.85"/>
    <n v="-149970.03"/>
    <n v="-143188.26999999999"/>
    <n v="-145005.26999999999"/>
    <n v="-131257.35999999999"/>
    <n v="-1950443.3400000003"/>
    <n v="-13747.910000000003"/>
  </r>
  <r>
    <x v="19"/>
    <x v="6"/>
    <x v="0"/>
    <s v="4804107"/>
    <n v="400020"/>
    <s v="O/P Care Svcs Rev--Self Pay"/>
    <s v="HARR Imaging Center BREM"/>
    <x v="0"/>
    <n v="1500"/>
    <n v="-1366.44"/>
    <n v="-3267.59"/>
    <n v="-13515.73"/>
    <n v="-4152.3900000000003"/>
    <n v="-6967.83"/>
    <n v="-4101.32"/>
    <n v="-3244.44"/>
    <n v="-6167.88"/>
    <n v="-8004.35"/>
    <n v="583.86"/>
    <n v="-2041.38"/>
    <n v="-6064.28"/>
    <n v="-58309.77"/>
    <n v="4022.8999999999996"/>
  </r>
  <r>
    <x v="19"/>
    <x v="6"/>
    <x v="0"/>
    <s v="4804107"/>
    <n v="400020"/>
    <s v="O/P Care Svcs Rev--Other"/>
    <s v="HARR Imaging Center BREM"/>
    <x v="0"/>
    <n v="1700"/>
    <n v="-125884.67"/>
    <n v="-124405.03"/>
    <n v="-147818.85999999999"/>
    <n v="-132093.14000000001"/>
    <n v="-117393.36"/>
    <n v="-111944.4"/>
    <n v="-143855.35999999999"/>
    <n v="-119187.5"/>
    <n v="-101084.26"/>
    <n v="-94995.9"/>
    <n v="-106603.89"/>
    <n v="-111941.37"/>
    <n v="-1437207.7399999998"/>
    <n v="5337.4799999999959"/>
  </r>
  <r>
    <x v="5"/>
    <x v="6"/>
    <x v="0"/>
    <s v="4804107"/>
    <n v="700030"/>
    <s v="Salaries-LPN-Productive"/>
    <s v="HARR Imaging Center BREM"/>
    <x v="0"/>
    <m/>
    <n v="1225.56"/>
    <n v="-97.84"/>
    <n v="717.81"/>
    <n v="3271.56"/>
    <n v="1282.72"/>
    <n v="-434.68"/>
    <n v="0"/>
    <n v="0"/>
    <n v="0"/>
    <n v="0"/>
    <n v="0"/>
    <n v="0"/>
    <n v="5965.13"/>
    <n v="0"/>
  </r>
  <r>
    <x v="5"/>
    <x v="6"/>
    <x v="0"/>
    <s v="4804107"/>
    <n v="700034"/>
    <s v="Salaries-Tech/Professional-Productive"/>
    <s v="HARR Imaging Center BREM"/>
    <x v="0"/>
    <m/>
    <n v="36936.25"/>
    <n v="42964.39"/>
    <n v="43806.78"/>
    <n v="44086.46"/>
    <n v="43790.13"/>
    <n v="40266.870000000003"/>
    <n v="50891.63"/>
    <n v="37803.120000000003"/>
    <n v="51897.53"/>
    <n v="47445.36"/>
    <n v="50735.71"/>
    <n v="43041.54"/>
    <n v="533665.77"/>
    <n v="7694.1699999999983"/>
  </r>
  <r>
    <x v="5"/>
    <x v="6"/>
    <x v="0"/>
    <s v="4804107"/>
    <n v="700034"/>
    <s v="Salaries-Tech/Professional-OT"/>
    <s v="HARR Imaging Center BREM"/>
    <x v="0"/>
    <n v="1000"/>
    <n v="1070.3499999999999"/>
    <n v="962.1"/>
    <n v="978.81"/>
    <n v="1329.66"/>
    <n v="958.05"/>
    <n v="1132.48"/>
    <n v="1726.85"/>
    <n v="933.13"/>
    <n v="2136.58"/>
    <n v="1379.41"/>
    <n v="1569.63"/>
    <n v="1835.06"/>
    <n v="16012.109999999999"/>
    <n v="-265.42999999999984"/>
  </r>
  <r>
    <x v="5"/>
    <x v="6"/>
    <x v="0"/>
    <s v="4804107"/>
    <n v="700034"/>
    <s v="Salaries-Tech/Professional-Other"/>
    <s v="HARR Imaging Center BREM"/>
    <x v="0"/>
    <n v="2000"/>
    <n v="848.12"/>
    <n v="1236.99"/>
    <n v="1390.86"/>
    <n v="2170.75"/>
    <n v="1112.68"/>
    <n v="590.12"/>
    <n v="1108.81"/>
    <n v="624.79999999999995"/>
    <n v="757.94"/>
    <n v="991.78"/>
    <n v="1092.98"/>
    <n v="898.38"/>
    <n v="12824.21"/>
    <n v="194.60000000000002"/>
  </r>
  <r>
    <x v="5"/>
    <x v="6"/>
    <x v="0"/>
    <s v="4804107"/>
    <n v="700070"/>
    <s v="Salaries-LPN-Non-productive"/>
    <s v="HARR Imaging Center BREM"/>
    <x v="0"/>
    <m/>
    <n v="2363.4"/>
    <n v="5253.16"/>
    <n v="2426.89"/>
    <n v="-60.79"/>
    <n v="1725.24"/>
    <n v="-445.1"/>
    <n v="0"/>
    <n v="0"/>
    <n v="0"/>
    <n v="0"/>
    <n v="0"/>
    <n v="0"/>
    <n v="11262.799999999997"/>
    <n v="0"/>
  </r>
  <r>
    <x v="5"/>
    <x v="6"/>
    <x v="0"/>
    <s v="4804107"/>
    <n v="700074"/>
    <s v="Salaries-Tech/Professional-Non-productive"/>
    <s v="HARR Imaging Center BREM"/>
    <x v="0"/>
    <m/>
    <n v="6392.93"/>
    <n v="6769.72"/>
    <n v="4675.38"/>
    <n v="8968.1200000000008"/>
    <n v="7213.86"/>
    <n v="11373.27"/>
    <n v="7364.45"/>
    <n v="10814.36"/>
    <n v="6607.15"/>
    <n v="8767.1200000000008"/>
    <n v="10618.32"/>
    <n v="7627.76"/>
    <n v="97192.439999999988"/>
    <n v="2990.5599999999995"/>
  </r>
  <r>
    <x v="5"/>
    <x v="6"/>
    <x v="0"/>
    <s v="4804107"/>
    <n v="700074"/>
    <s v="Salaries-Tech/Professional-NonProd-Other"/>
    <s v="HARR Imaging Center BREM"/>
    <x v="0"/>
    <n v="2000"/>
    <n v="96.17"/>
    <n v="4.33"/>
    <n v="0"/>
    <n v="113.56"/>
    <n v="798.19"/>
    <n v="1039.02"/>
    <n v="10.84"/>
    <n v="-1825.05"/>
    <n v="0"/>
    <n v="20.239999999999998"/>
    <n v="-8.43"/>
    <n v="244.72"/>
    <n v="493.59000000000015"/>
    <n v="-253.15"/>
  </r>
  <r>
    <x v="5"/>
    <x v="6"/>
    <x v="0"/>
    <s v="4804107"/>
    <n v="700084"/>
    <s v="Accrued PTO"/>
    <s v="HARR Imaging Center BREM"/>
    <x v="0"/>
    <m/>
    <n v="-959.59"/>
    <n v="-2561.69"/>
    <n v="-1858.41"/>
    <n v="630.49"/>
    <n v="-1142.72"/>
    <n v="-4925.55"/>
    <n v="622.20000000000005"/>
    <n v="-1708.05"/>
    <n v="1854.3"/>
    <n v="2815.06"/>
    <n v="-2105.6999999999998"/>
    <n v="-2730.75"/>
    <n v="-12070.41"/>
    <n v="625.05000000000018"/>
  </r>
  <r>
    <x v="6"/>
    <x v="6"/>
    <x v="0"/>
    <s v="4804107"/>
    <n v="713010"/>
    <s v="Benefits-FICA/Medicare"/>
    <s v="HARR Imaging Center BREM"/>
    <x v="0"/>
    <m/>
    <n v="3715.03"/>
    <n v="4337.21"/>
    <n v="4100.9399999999996"/>
    <n v="4546.99"/>
    <n v="4460.0200000000004"/>
    <n v="4290.84"/>
    <n v="4647.1899999999996"/>
    <n v="3817.12"/>
    <n v="4670.43"/>
    <n v="4456.8"/>
    <n v="4867.71"/>
    <n v="4009.26"/>
    <n v="51919.54"/>
    <n v="858.44999999999982"/>
  </r>
  <r>
    <x v="6"/>
    <x v="6"/>
    <x v="0"/>
    <s v="4804107"/>
    <n v="713090"/>
    <s v="Benefits-Allocated Amounts"/>
    <s v="HARR Imaging Center BREM"/>
    <x v="0"/>
    <m/>
    <n v="8150.61"/>
    <n v="8445.2199999999993"/>
    <n v="8932.1200000000008"/>
    <n v="9623.75"/>
    <n v="10274.219999999999"/>
    <n v="8670.23"/>
    <n v="10192.299999999999"/>
    <n v="8796.41"/>
    <n v="8458.81"/>
    <n v="10227.81"/>
    <n v="10297"/>
    <n v="10396.459999999999"/>
    <n v="112464.94"/>
    <n v="-99.459999999999127"/>
  </r>
  <r>
    <x v="7"/>
    <x v="6"/>
    <x v="0"/>
    <s v="4804107"/>
    <n v="718050"/>
    <s v="Contract Svcs-Other"/>
    <s v="HARR Imaging Center BREM"/>
    <x v="0"/>
    <m/>
    <n v="2252.3200000000002"/>
    <n v="2252.3200000000002"/>
    <n v="4653.16"/>
    <n v="2252.3200000000002"/>
    <n v="2252.3200000000002"/>
    <n v="2252.3200000000002"/>
    <n v="2397.89"/>
    <n v="2252.3200000000002"/>
    <n v="3249.82"/>
    <n v="4089.5"/>
    <n v="4821.5600000000004"/>
    <n v="5270.98"/>
    <n v="37996.83"/>
    <n v="-449.41999999999916"/>
  </r>
  <r>
    <x v="7"/>
    <x v="6"/>
    <x v="0"/>
    <s v="4804107"/>
    <n v="718050"/>
    <s v="Miscellaneous Purchased Svcs"/>
    <s v="HARR Imaging Center BREM"/>
    <x v="0"/>
    <n v="1020"/>
    <n v="0"/>
    <n v="0"/>
    <n v="0"/>
    <n v="0"/>
    <n v="0"/>
    <n v="0"/>
    <n v="937.5"/>
    <n v="149"/>
    <n v="0"/>
    <n v="0"/>
    <n v="0"/>
    <n v="6007.5"/>
    <n v="7094"/>
    <n v="-6007.5"/>
  </r>
  <r>
    <x v="7"/>
    <x v="6"/>
    <x v="0"/>
    <s v="4804107"/>
    <n v="718050"/>
    <s v="Translation Services"/>
    <s v="HARR Imaging Center BREM"/>
    <x v="0"/>
    <n v="1025"/>
    <n v="180"/>
    <n v="165"/>
    <n v="0"/>
    <n v="0"/>
    <n v="0"/>
    <n v="0"/>
    <n v="495"/>
    <n v="0"/>
    <n v="0"/>
    <n v="0"/>
    <n v="0"/>
    <n v="0"/>
    <n v="840"/>
    <n v="0"/>
  </r>
  <r>
    <x v="7"/>
    <x v="6"/>
    <x v="0"/>
    <s v="4804107"/>
    <n v="718050"/>
    <s v="Contract Management--Linen"/>
    <s v="HARR Imaging Center BREM"/>
    <x v="0"/>
    <n v="1026"/>
    <n v="924.19"/>
    <n v="1279.46"/>
    <n v="1835.16"/>
    <n v="913.9"/>
    <n v="2759.89"/>
    <n v="914.27"/>
    <n v="2224.63"/>
    <n v="1924.29"/>
    <n v="6904.98"/>
    <n v="5969.1"/>
    <n v="-4216.3100000000004"/>
    <n v="6239.41"/>
    <n v="27672.97"/>
    <n v="-10455.720000000001"/>
  </r>
  <r>
    <x v="7"/>
    <x v="6"/>
    <x v="0"/>
    <s v="4804107"/>
    <n v="718070"/>
    <s v="Contract Srvcs-CHI Clinical Engineering"/>
    <s v="HARR Imaging Center BREM"/>
    <x v="0"/>
    <m/>
    <n v="24724.35"/>
    <n v="24904.83"/>
    <n v="23925.89"/>
    <n v="25846.27"/>
    <n v="22617.23"/>
    <n v="24299.439999999999"/>
    <n v="24299.439999999999"/>
    <n v="18892.7"/>
    <n v="24755.919999999998"/>
    <n v="25043.73"/>
    <n v="27460.51"/>
    <n v="24381.24"/>
    <n v="291151.55"/>
    <n v="3079.2699999999968"/>
  </r>
  <r>
    <x v="11"/>
    <x v="6"/>
    <x v="0"/>
    <s v="4804107"/>
    <n v="721010"/>
    <s v="Supplies-Medical - Billable"/>
    <s v="HARR Imaging Center BREM"/>
    <x v="0"/>
    <m/>
    <n v="82.42"/>
    <n v="290.97000000000003"/>
    <n v="157.69999999999999"/>
    <n v="-220.9"/>
    <n v="18"/>
    <n v="177.1"/>
    <n v="156.22"/>
    <n v="0"/>
    <n v="152.94"/>
    <n v="156.55000000000001"/>
    <n v="115.99"/>
    <n v="141.86000000000001"/>
    <n v="1228.8499999999999"/>
    <n v="-25.870000000000019"/>
  </r>
  <r>
    <x v="11"/>
    <x v="6"/>
    <x v="0"/>
    <s v="4804107"/>
    <n v="721020"/>
    <s v="Custom Packs"/>
    <s v="HARR Imaging Center BREM"/>
    <x v="0"/>
    <n v="1000"/>
    <n v="888.06"/>
    <n v="0"/>
    <n v="784.21"/>
    <n v="911.07"/>
    <n v="854.73"/>
    <n v="-20.95"/>
    <n v="1004.87"/>
    <n v="812.57"/>
    <n v="354.12"/>
    <n v="1302.47"/>
    <n v="234.17"/>
    <n v="757.73"/>
    <n v="7883.0500000000011"/>
    <n v="-523.56000000000006"/>
  </r>
  <r>
    <x v="11"/>
    <x v="6"/>
    <x v="0"/>
    <s v="4804107"/>
    <n v="721020"/>
    <s v="Urological Supplies"/>
    <s v="HARR Imaging Center BREM"/>
    <x v="0"/>
    <n v="1006"/>
    <n v="380.41"/>
    <n v="0"/>
    <n v="0"/>
    <n v="0"/>
    <n v="0"/>
    <n v="0"/>
    <n v="380.41"/>
    <n v="0"/>
    <n v="0"/>
    <n v="0"/>
    <n v="-31.41"/>
    <n v="0"/>
    <n v="729.41000000000008"/>
    <n v="-31.41"/>
  </r>
  <r>
    <x v="11"/>
    <x v="6"/>
    <x v="0"/>
    <s v="4804107"/>
    <n v="721050"/>
    <s v="Supplies-Cardiac Rhythm - Billable"/>
    <s v="HARR Imaging Center BREM"/>
    <x v="0"/>
    <m/>
    <n v="1104.3599999999999"/>
    <n v="-36.31"/>
    <n v="1100"/>
    <n v="2200"/>
    <n v="1100"/>
    <n v="1100"/>
    <n v="1100"/>
    <n v="0"/>
    <n v="1100"/>
    <n v="1650"/>
    <n v="550"/>
    <n v="0"/>
    <n v="10968.05"/>
    <n v="550"/>
  </r>
  <r>
    <x v="11"/>
    <x v="6"/>
    <x v="0"/>
    <s v="4804107"/>
    <n v="721240"/>
    <s v="Supplies-IV Solutions/Supplies - Billable"/>
    <s v="HARR Imaging Center BREM"/>
    <x v="0"/>
    <m/>
    <n v="1116.6400000000001"/>
    <n v="534"/>
    <n v="356"/>
    <n v="2314"/>
    <n v="0"/>
    <n v="1068"/>
    <n v="817.6"/>
    <n v="995.6"/>
    <n v="1780"/>
    <n v="178"/>
    <n v="832.11"/>
    <n v="534"/>
    <n v="10525.95"/>
    <n v="298.11"/>
  </r>
  <r>
    <x v="11"/>
    <x v="6"/>
    <x v="0"/>
    <s v="4804107"/>
    <n v="721250"/>
    <s v="Supplies-Pharmacy Drugs - Billable"/>
    <s v="HARR Imaging Center BREM"/>
    <x v="0"/>
    <m/>
    <n v="3580.18"/>
    <n v="4997.66"/>
    <n v="8090.22"/>
    <n v="3901.97"/>
    <n v="3889.19"/>
    <n v="13274.05"/>
    <n v="-5051.66"/>
    <n v="3645.68"/>
    <n v="2889.8"/>
    <n v="6322.63"/>
    <n v="2549.98"/>
    <n v="3073.13"/>
    <n v="51162.83"/>
    <n v="-523.15000000000009"/>
  </r>
  <r>
    <x v="11"/>
    <x v="6"/>
    <x v="0"/>
    <s v="4804107"/>
    <n v="721250"/>
    <s v="Radioactive Material"/>
    <s v="HARR Imaging Center BREM"/>
    <x v="0"/>
    <n v="1001"/>
    <n v="3113.44"/>
    <n v="11143.09"/>
    <n v="13838.68"/>
    <n v="1611.68"/>
    <n v="14597.74"/>
    <n v="8927.2000000000007"/>
    <n v="3480.44"/>
    <n v="7444.8"/>
    <n v="5198.1899999999996"/>
    <n v="4621.97"/>
    <n v="1984.19"/>
    <n v="6626.59"/>
    <n v="82588.010000000009"/>
    <n v="-4642.3999999999996"/>
  </r>
  <r>
    <x v="11"/>
    <x v="6"/>
    <x v="0"/>
    <s v="4804107"/>
    <n v="721350"/>
    <s v="Supplies-Film/Radiographic - Billable"/>
    <s v="HARR Imaging Center BREM"/>
    <x v="0"/>
    <m/>
    <n v="0"/>
    <n v="0"/>
    <n v="0"/>
    <n v="60"/>
    <n v="0"/>
    <n v="0"/>
    <n v="0"/>
    <n v="0"/>
    <n v="0"/>
    <n v="0"/>
    <n v="0"/>
    <n v="0"/>
    <n v="60"/>
    <n v="0"/>
  </r>
  <r>
    <x v="11"/>
    <x v="6"/>
    <x v="0"/>
    <s v="4804107"/>
    <n v="721350"/>
    <s v="Radiology Imaging - Contrast Media"/>
    <s v="HARR Imaging Center BREM"/>
    <x v="0"/>
    <n v="1000"/>
    <n v="399.56"/>
    <n v="711.75"/>
    <n v="347.8"/>
    <n v="694.3"/>
    <n v="267.63"/>
    <n v="395.06"/>
    <n v="416.68"/>
    <n v="635.70000000000005"/>
    <n v="606.29"/>
    <n v="1105.1500000000001"/>
    <n v="454.22"/>
    <n v="428.45"/>
    <n v="6462.59"/>
    <n v="25.770000000000039"/>
  </r>
  <r>
    <x v="11"/>
    <x v="6"/>
    <x v="0"/>
    <s v="4804107"/>
    <n v="721410"/>
    <s v="Supplies-Medical - Nonbillable"/>
    <s v="HARR Imaging Center BREM"/>
    <x v="0"/>
    <m/>
    <n v="3157.73"/>
    <n v="550.16"/>
    <n v="2350.39"/>
    <n v="1297.56"/>
    <n v="759.26"/>
    <n v="1336.33"/>
    <n v="1039.24"/>
    <n v="755.3"/>
    <n v="1551.82"/>
    <n v="916.77"/>
    <n v="2033.37"/>
    <n v="400.96"/>
    <n v="16148.89"/>
    <n v="1632.4099999999999"/>
  </r>
  <r>
    <x v="11"/>
    <x v="6"/>
    <x v="0"/>
    <s v="4804107"/>
    <n v="721420"/>
    <s v="Supplies-Surgical Nonbillable"/>
    <s v="HARR Imaging Center BREM"/>
    <x v="0"/>
    <m/>
    <n v="0"/>
    <n v="0"/>
    <n v="0"/>
    <n v="0"/>
    <n v="24.8"/>
    <n v="44.19"/>
    <n v="0"/>
    <n v="0"/>
    <n v="52.38"/>
    <n v="40.68"/>
    <n v="79.28"/>
    <n v="9.92"/>
    <n v="251.25"/>
    <n v="69.36"/>
  </r>
  <r>
    <x v="11"/>
    <x v="6"/>
    <x v="0"/>
    <s v="4804107"/>
    <n v="721420"/>
    <s v="Sterilization Process Products"/>
    <s v="HARR Imaging Center BREM"/>
    <x v="0"/>
    <n v="1009"/>
    <n v="0"/>
    <n v="0"/>
    <n v="0"/>
    <n v="0"/>
    <n v="10.66"/>
    <n v="10.66"/>
    <n v="0"/>
    <n v="0"/>
    <n v="58.43"/>
    <n v="0"/>
    <n v="10.66"/>
    <n v="0"/>
    <n v="90.41"/>
    <n v="10.66"/>
  </r>
  <r>
    <x v="11"/>
    <x v="6"/>
    <x v="0"/>
    <s v="4804107"/>
    <n v="721640"/>
    <s v="Supplies-IV Solutions/Supplies - Nonbillable"/>
    <s v="HARR Imaging Center BREM"/>
    <x v="0"/>
    <m/>
    <n v="31.79"/>
    <n v="24"/>
    <n v="0"/>
    <n v="75.39"/>
    <n v="44.89"/>
    <n v="63"/>
    <n v="21.8"/>
    <n v="63"/>
    <n v="44.89"/>
    <n v="10.9"/>
    <n v="10.9"/>
    <n v="24"/>
    <n v="414.55999999999995"/>
    <n v="-13.1"/>
  </r>
  <r>
    <x v="11"/>
    <x v="6"/>
    <x v="0"/>
    <s v="4804107"/>
    <n v="721710"/>
    <s v="Supplies-Laboratory - Nonbillable"/>
    <s v="HARR Imaging Center BREM"/>
    <x v="0"/>
    <m/>
    <n v="6.1"/>
    <n v="27.23"/>
    <n v="0"/>
    <n v="54.06"/>
    <n v="75.459999999999994"/>
    <n v="1.1599999999999999"/>
    <n v="0"/>
    <n v="19.84"/>
    <n v="16.25"/>
    <n v="46.94"/>
    <n v="16.25"/>
    <n v="26.09"/>
    <n v="289.37999999999994"/>
    <n v="-9.84"/>
  </r>
  <r>
    <x v="11"/>
    <x v="6"/>
    <x v="0"/>
    <s v="4804107"/>
    <n v="721750"/>
    <s v="Supplies-Film/Radiographic - Nonbillable"/>
    <s v="HARR Imaging Center BREM"/>
    <x v="0"/>
    <m/>
    <n v="67.58"/>
    <n v="201.65"/>
    <n v="249.69"/>
    <n v="48.21"/>
    <n v="201.65"/>
    <n v="625.71"/>
    <n v="285.52999999999997"/>
    <n v="6.79"/>
    <n v="-16.649999999999999"/>
    <n v="394.01"/>
    <n v="531.70000000000005"/>
    <n v="-16.649999999999999"/>
    <n v="2579.2199999999998"/>
    <n v="548.35"/>
  </r>
  <r>
    <x v="11"/>
    <x v="6"/>
    <x v="0"/>
    <s v="4804107"/>
    <n v="721810"/>
    <s v="Supplies-Dietary/Cafeteria"/>
    <s v="HARR Imaging Center BREM"/>
    <x v="0"/>
    <m/>
    <n v="558.67999999999995"/>
    <n v="317.45999999999998"/>
    <n v="510.93"/>
    <n v="552.65"/>
    <n v="624.54999999999995"/>
    <n v="516.73"/>
    <n v="343.88"/>
    <n v="186.29"/>
    <n v="1180.04"/>
    <n v="545.24"/>
    <n v="478.38"/>
    <n v="445.96"/>
    <n v="6260.7899999999991"/>
    <n v="32.420000000000016"/>
  </r>
  <r>
    <x v="11"/>
    <x v="6"/>
    <x v="0"/>
    <s v="4804107"/>
    <n v="721830"/>
    <s v="Supplies-Office"/>
    <s v="HARR Imaging Center BREM"/>
    <x v="0"/>
    <m/>
    <n v="321.33"/>
    <n v="494.92"/>
    <n v="1113.6099999999999"/>
    <n v="931.79"/>
    <n v="1549.34"/>
    <n v="1882.57"/>
    <n v="1819.34"/>
    <n v="1369.27"/>
    <n v="693.17"/>
    <n v="639.1"/>
    <n v="1504.18"/>
    <n v="965.49"/>
    <n v="13284.11"/>
    <n v="538.69000000000005"/>
  </r>
  <r>
    <x v="11"/>
    <x v="6"/>
    <x v="0"/>
    <s v="4804107"/>
    <n v="721835"/>
    <s v="Supplies-Forms"/>
    <s v="HARR Imaging Center BREM"/>
    <x v="0"/>
    <m/>
    <n v="0"/>
    <n v="0"/>
    <n v="0"/>
    <n v="0"/>
    <n v="20.8"/>
    <n v="31.2"/>
    <n v="0"/>
    <n v="0"/>
    <n v="0"/>
    <n v="0"/>
    <n v="57.47"/>
    <n v="0"/>
    <n v="109.47"/>
    <n v="57.47"/>
  </r>
  <r>
    <x v="11"/>
    <x v="6"/>
    <x v="0"/>
    <s v="4804107"/>
    <n v="721870"/>
    <s v="Supplies-Environmental Services"/>
    <s v="HARR Imaging Center BREM"/>
    <x v="0"/>
    <m/>
    <n v="3.24"/>
    <n v="117.24"/>
    <n v="102.54"/>
    <n v="0"/>
    <n v="25.5"/>
    <n v="51.99"/>
    <n v="148.32"/>
    <n v="63.41"/>
    <n v="79.209999999999994"/>
    <n v="168.06"/>
    <n v="126.02"/>
    <n v="142.52000000000001"/>
    <n v="1028.05"/>
    <n v="-16.500000000000014"/>
  </r>
  <r>
    <x v="11"/>
    <x v="6"/>
    <x v="0"/>
    <s v="4804107"/>
    <n v="721880"/>
    <s v="Supplies-Linen"/>
    <s v="HARR Imaging Center BREM"/>
    <x v="0"/>
    <m/>
    <n v="912.39"/>
    <n v="651.71"/>
    <n v="912.39"/>
    <n v="782.06"/>
    <n v="782.05"/>
    <n v="782.06"/>
    <n v="651.71"/>
    <n v="521.37"/>
    <n v="912.39"/>
    <n v="782.05"/>
    <n v="933.02"/>
    <n v="521.36"/>
    <n v="9144.5600000000013"/>
    <n v="411.65999999999997"/>
  </r>
  <r>
    <x v="11"/>
    <x v="6"/>
    <x v="0"/>
    <s v="4804107"/>
    <n v="721910"/>
    <s v="Supplies-Small Equipment"/>
    <s v="HARR Imaging Center BREM"/>
    <x v="0"/>
    <m/>
    <n v="0"/>
    <n v="912.75"/>
    <n v="560.76"/>
    <n v="0"/>
    <n v="50.46"/>
    <n v="5047.79"/>
    <n v="-70.260000000000005"/>
    <n v="-4978.93"/>
    <n v="0"/>
    <n v="0"/>
    <n v="0"/>
    <n v="0"/>
    <n v="1522.5699999999997"/>
    <n v="0"/>
  </r>
  <r>
    <x v="11"/>
    <x v="6"/>
    <x v="0"/>
    <s v="4804107"/>
    <n v="721910"/>
    <s v="Instruments"/>
    <s v="HARR Imaging Center BREM"/>
    <x v="0"/>
    <n v="1000"/>
    <n v="0"/>
    <n v="0"/>
    <n v="2623.13"/>
    <n v="0"/>
    <n v="0"/>
    <n v="0"/>
    <n v="0"/>
    <n v="0"/>
    <n v="0"/>
    <n v="0"/>
    <n v="0"/>
    <n v="0"/>
    <n v="2623.13"/>
    <n v="0"/>
  </r>
  <r>
    <x v="11"/>
    <x v="6"/>
    <x v="0"/>
    <s v="4804107"/>
    <n v="721980"/>
    <s v="Supplies-Other"/>
    <s v="HARR Imaging Center BREM"/>
    <x v="0"/>
    <m/>
    <n v="69.239999999999995"/>
    <n v="3404.87"/>
    <n v="-2373.5100000000002"/>
    <n v="314.61"/>
    <n v="401.63"/>
    <n v="0"/>
    <n v="1623.59"/>
    <n v="504.9"/>
    <n v="463.12"/>
    <n v="408"/>
    <n v="479.8"/>
    <n v="3050.62"/>
    <n v="8346.869999999999"/>
    <n v="-2570.8199999999997"/>
  </r>
  <r>
    <x v="11"/>
    <x v="6"/>
    <x v="0"/>
    <s v="4804107"/>
    <n v="722000"/>
    <s v="Supplies-Freight Expense"/>
    <s v="HARR Imaging Center BREM"/>
    <x v="0"/>
    <m/>
    <n v="111.38"/>
    <n v="146.16999999999999"/>
    <n v="80.08"/>
    <n v="465.59"/>
    <n v="80.17"/>
    <n v="201.43"/>
    <n v="21.72"/>
    <n v="196.77"/>
    <n v="245.28"/>
    <n v="17.3"/>
    <n v="85.63"/>
    <n v="128.58000000000001"/>
    <n v="1780.1"/>
    <n v="-42.950000000000017"/>
  </r>
  <r>
    <x v="12"/>
    <x v="6"/>
    <x v="0"/>
    <s v="4804107"/>
    <n v="730010"/>
    <s v="Rental and Leases-Building (DO NOT USE)"/>
    <s v="HARR Imaging Center BREM"/>
    <x v="0"/>
    <m/>
    <n v="20368.66"/>
    <n v="20368.66"/>
    <n v="20368.66"/>
    <n v="20368.66"/>
    <n v="27796.66"/>
    <n v="20368.66"/>
    <n v="20368.66"/>
    <n v="20368.66"/>
    <n v="20368.66"/>
    <n v="20368.66"/>
    <n v="25818.22"/>
    <n v="0"/>
    <n v="236932.82"/>
    <n v="25818.22"/>
  </r>
  <r>
    <x v="12"/>
    <x v="6"/>
    <x v="0"/>
    <s v="4804107"/>
    <n v="730010"/>
    <s v="Rental-Common Area Maint (DO NOT USE)"/>
    <s v="HARR Imaging Center BREM"/>
    <x v="0"/>
    <n v="2200"/>
    <n v="0"/>
    <n v="0"/>
    <n v="0"/>
    <n v="0"/>
    <n v="0"/>
    <n v="0"/>
    <n v="0"/>
    <n v="0"/>
    <n v="0"/>
    <n v="1126"/>
    <n v="8309.0300000000007"/>
    <n v="0"/>
    <n v="9435.0300000000007"/>
    <n v="8309.0300000000007"/>
  </r>
  <r>
    <x v="12"/>
    <x v="6"/>
    <x v="0"/>
    <s v="4804107"/>
    <n v="730020"/>
    <s v="Rental and Leases-Equipment (DO NOT USE)"/>
    <s v="HARR Imaging Center BREM"/>
    <x v="0"/>
    <m/>
    <n v="74.44"/>
    <n v="140.71"/>
    <n v="209.92"/>
    <n v="53.19"/>
    <n v="188.38"/>
    <n v="216.06"/>
    <n v="32.479999999999997"/>
    <n v="365.27"/>
    <n v="0"/>
    <n v="0"/>
    <n v="81.53"/>
    <n v="352.26"/>
    <n v="1714.24"/>
    <n v="-270.73"/>
  </r>
  <r>
    <x v="12"/>
    <x v="6"/>
    <x v="0"/>
    <s v="4804107"/>
    <n v="730020"/>
    <s v="Rental and Leases-Copier Usage Fees (DO NOT USE)"/>
    <s v="HARR Imaging Center BREM"/>
    <x v="0"/>
    <n v="5100"/>
    <n v="928.78"/>
    <n v="906.53"/>
    <n v="917.65"/>
    <n v="917.65"/>
    <n v="917.65"/>
    <n v="917.65"/>
    <n v="-2507.2800000000002"/>
    <n v="412.3"/>
    <n v="411.43"/>
    <n v="1094.47"/>
    <n v="412.3"/>
    <n v="501.22"/>
    <n v="5830.35"/>
    <n v="-88.920000000000016"/>
  </r>
  <r>
    <x v="12"/>
    <x v="6"/>
    <x v="0"/>
    <s v="4804107"/>
    <n v="730040"/>
    <s v="LT Lease-Real Estate"/>
    <s v="HARR Imaging Center BREM"/>
    <x v="0"/>
    <m/>
    <n v="0"/>
    <n v="0"/>
    <n v="0"/>
    <n v="0"/>
    <n v="0"/>
    <n v="0"/>
    <n v="0"/>
    <n v="0"/>
    <n v="0"/>
    <n v="0"/>
    <n v="0"/>
    <n v="22064.92"/>
    <n v="22064.92"/>
    <n v="-22064.92"/>
  </r>
  <r>
    <x v="15"/>
    <x v="6"/>
    <x v="0"/>
    <s v="4804107"/>
    <n v="731010"/>
    <s v="Natural Gas"/>
    <s v="HARR Imaging Center BREM"/>
    <x v="0"/>
    <m/>
    <n v="10.6"/>
    <n v="12.51"/>
    <n v="14.59"/>
    <n v="23.36"/>
    <n v="50.64"/>
    <n v="109.81"/>
    <n v="166.72"/>
    <n v="211.52"/>
    <n v="141.85"/>
    <n v="37.49"/>
    <n v="20.97"/>
    <n v="13.83"/>
    <n v="813.8900000000001"/>
    <n v="7.1399999999999988"/>
  </r>
  <r>
    <x v="15"/>
    <x v="6"/>
    <x v="0"/>
    <s v="4804107"/>
    <n v="731020"/>
    <s v="Electricity"/>
    <s v="HARR Imaging Center BREM"/>
    <x v="0"/>
    <m/>
    <n v="3568.82"/>
    <n v="3706.68"/>
    <n v="4028.12"/>
    <n v="3718.18"/>
    <n v="3345"/>
    <n v="3448.8"/>
    <n v="3322.87"/>
    <n v="3403.43"/>
    <n v="3412.74"/>
    <n v="3547.88"/>
    <n v="3146.66"/>
    <n v="3295.02"/>
    <n v="41944.19999999999"/>
    <n v="-148.36000000000013"/>
  </r>
  <r>
    <x v="15"/>
    <x v="6"/>
    <x v="0"/>
    <s v="4804107"/>
    <n v="731030"/>
    <s v="Water"/>
    <s v="HARR Imaging Center BREM"/>
    <x v="0"/>
    <m/>
    <n v="0"/>
    <n v="387.3"/>
    <n v="0"/>
    <n v="406.29"/>
    <n v="0"/>
    <n v="100.34"/>
    <n v="0"/>
    <n v="101.44"/>
    <n v="0"/>
    <n v="99.21"/>
    <n v="0"/>
    <n v="110.36"/>
    <n v="1204.94"/>
    <n v="-110.36"/>
  </r>
  <r>
    <x v="15"/>
    <x v="6"/>
    <x v="0"/>
    <s v="4804107"/>
    <n v="731040"/>
    <s v="Sewer"/>
    <s v="HARR Imaging Center BREM"/>
    <x v="0"/>
    <m/>
    <n v="0"/>
    <n v="310.82"/>
    <n v="0"/>
    <n v="310.82"/>
    <n v="0"/>
    <n v="310.82"/>
    <n v="0"/>
    <n v="318.52"/>
    <n v="0"/>
    <n v="313.52"/>
    <n v="0"/>
    <n v="338.52"/>
    <n v="1903.02"/>
    <n v="-338.52"/>
  </r>
  <r>
    <x v="15"/>
    <x v="6"/>
    <x v="0"/>
    <s v="4804107"/>
    <n v="731050"/>
    <s v="Refuse Disposal"/>
    <s v="HARR Imaging Center BREM"/>
    <x v="0"/>
    <m/>
    <n v="645.98"/>
    <n v="655.88"/>
    <n v="671.57"/>
    <n v="655.43"/>
    <n v="657.43"/>
    <n v="656.82"/>
    <n v="655.5"/>
    <n v="664.32"/>
    <n v="673.09"/>
    <n v="675.81"/>
    <n v="670.87"/>
    <n v="673.81"/>
    <n v="7956.51"/>
    <n v="-2.9399999999999409"/>
  </r>
  <r>
    <x v="15"/>
    <x v="6"/>
    <x v="0"/>
    <s v="4804107"/>
    <n v="731060"/>
    <s v="Telephone"/>
    <s v="HARR Imaging Center BREM"/>
    <x v="0"/>
    <m/>
    <n v="1167.53"/>
    <n v="1197.42"/>
    <n v="1093.44"/>
    <n v="1139.3"/>
    <n v="1111.69"/>
    <n v="1182.95"/>
    <n v="1207.31"/>
    <n v="1357.42"/>
    <n v="1124.1199999999999"/>
    <n v="1278.43"/>
    <n v="1240.68"/>
    <n v="1377.2"/>
    <n v="14477.490000000002"/>
    <n v="-136.51999999999998"/>
  </r>
  <r>
    <x v="15"/>
    <x v="6"/>
    <x v="0"/>
    <s v="4804107"/>
    <n v="731090"/>
    <s v="Other Utilities"/>
    <s v="HARR Imaging Center BREM"/>
    <x v="0"/>
    <m/>
    <n v="282.39999999999998"/>
    <n v="1195.58"/>
    <n v="0"/>
    <n v="635.63"/>
    <n v="655.67"/>
    <n v="143.38"/>
    <n v="745.67"/>
    <n v="667.5"/>
    <n v="143.38"/>
    <n v="306.76"/>
    <n v="0"/>
    <n v="153.37"/>
    <n v="4929.34"/>
    <n v="-153.37"/>
  </r>
  <r>
    <x v="16"/>
    <x v="6"/>
    <x v="0"/>
    <s v="4804107"/>
    <n v="732020"/>
    <s v="Repairs--Clin Equip-Parts-Internal to CHI Programs"/>
    <s v="HARR Imaging Center BREM"/>
    <x v="0"/>
    <m/>
    <n v="0"/>
    <n v="0"/>
    <n v="0"/>
    <n v="0"/>
    <n v="0"/>
    <n v="0"/>
    <n v="0"/>
    <n v="18.899999999999999"/>
    <n v="0"/>
    <n v="0"/>
    <n v="0"/>
    <n v="28.35"/>
    <n v="47.25"/>
    <n v="-28.35"/>
  </r>
  <r>
    <x v="16"/>
    <x v="6"/>
    <x v="0"/>
    <s v="4804107"/>
    <n v="732030"/>
    <s v="Repairs---Other"/>
    <s v="HARR Imaging Center BREM"/>
    <x v="0"/>
    <m/>
    <n v="0"/>
    <n v="0"/>
    <n v="0"/>
    <n v="0"/>
    <n v="1250.57"/>
    <n v="0"/>
    <n v="1754.31"/>
    <n v="3785.97"/>
    <n v="11079.85"/>
    <n v="0"/>
    <n v="3511.13"/>
    <n v="3474.54"/>
    <n v="24856.370000000003"/>
    <n v="36.590000000000146"/>
  </r>
  <r>
    <x v="16"/>
    <x v="6"/>
    <x v="0"/>
    <s v="4804107"/>
    <n v="732030"/>
    <s v="Repairs&amp;Maintenance-Bldg Routine"/>
    <s v="HARR Imaging Center BREM"/>
    <x v="0"/>
    <n v="2300"/>
    <n v="1037.95"/>
    <n v="2290"/>
    <n v="1682"/>
    <n v="8262.08"/>
    <n v="41000.82"/>
    <n v="799"/>
    <n v="-22804.3"/>
    <n v="52328.74"/>
    <n v="7176.88"/>
    <n v="1355"/>
    <n v="1800"/>
    <n v="1181"/>
    <n v="96109.17"/>
    <n v="619"/>
  </r>
  <r>
    <x v="16"/>
    <x v="6"/>
    <x v="0"/>
    <s v="4804107"/>
    <n v="733030"/>
    <s v="Maintenance Contracts-Software"/>
    <s v="HARR Imaging Center BREM"/>
    <x v="0"/>
    <n v="1002"/>
    <n v="34.17"/>
    <n v="3292.42"/>
    <n v="1754.91"/>
    <n v="67.31"/>
    <n v="34.17"/>
    <n v="34.17"/>
    <n v="167.5"/>
    <n v="68.34"/>
    <n v="0"/>
    <n v="0"/>
    <n v="207.91"/>
    <n v="83.52"/>
    <n v="5744.420000000001"/>
    <n v="124.39"/>
  </r>
  <r>
    <x v="13"/>
    <x v="6"/>
    <x v="0"/>
    <s v="4804107"/>
    <n v="735050"/>
    <s v="Amortization-Leasehold Improvements"/>
    <s v="HARR Imaging Center BREM"/>
    <x v="0"/>
    <m/>
    <n v="2060.6"/>
    <n v="2060.59"/>
    <n v="2060.6"/>
    <n v="2060.59"/>
    <n v="2060.6"/>
    <n v="2060.56"/>
    <n v="2060.6"/>
    <n v="2060.56"/>
    <n v="2060.64"/>
    <n v="2060.56"/>
    <n v="2060.64"/>
    <n v="2060.56"/>
    <n v="24727.100000000002"/>
    <n v="7.999999999992724E-2"/>
  </r>
  <r>
    <x v="13"/>
    <x v="6"/>
    <x v="0"/>
    <s v="4804107"/>
    <n v="735070"/>
    <s v="Depreciation-Movable Equipment"/>
    <s v="HARR Imaging Center BREM"/>
    <x v="0"/>
    <m/>
    <n v="408.14"/>
    <n v="1255.44"/>
    <n v="1255.44"/>
    <n v="1255.44"/>
    <n v="1255.45"/>
    <n v="1255.42"/>
    <n v="1588.65"/>
    <n v="7892.44"/>
    <n v="8233.1200000000008"/>
    <n v="8233.0499999999993"/>
    <n v="8233.1200000000008"/>
    <n v="8233.0400000000009"/>
    <n v="49098.75"/>
    <n v="7.999999999992724E-2"/>
  </r>
  <r>
    <x v="0"/>
    <x v="6"/>
    <x v="0"/>
    <s v="4804107"/>
    <n v="742010"/>
    <s v="Postage-Regular"/>
    <s v="HARR Imaging Center BREM"/>
    <x v="0"/>
    <m/>
    <n v="0"/>
    <n v="0"/>
    <n v="6.18"/>
    <n v="0"/>
    <n v="0"/>
    <n v="0"/>
    <n v="0"/>
    <n v="0"/>
    <n v="0"/>
    <n v="0"/>
    <n v="0"/>
    <n v="0"/>
    <n v="6.18"/>
    <n v="0"/>
  </r>
  <r>
    <x v="0"/>
    <x v="6"/>
    <x v="0"/>
    <s v="4804107"/>
    <n v="749510"/>
    <s v="Miscellaneous Expenses"/>
    <s v="HARR Imaging Center BREM"/>
    <x v="0"/>
    <m/>
    <n v="0"/>
    <n v="0"/>
    <n v="0"/>
    <n v="0"/>
    <n v="128.02000000000001"/>
    <n v="0"/>
    <n v="0"/>
    <n v="0"/>
    <n v="0"/>
    <n v="77.040000000000006"/>
    <n v="0"/>
    <n v="71.89"/>
    <n v="276.95"/>
    <n v="-71.89"/>
  </r>
  <r>
    <x v="0"/>
    <x v="6"/>
    <x v="0"/>
    <s v="4804107"/>
    <n v="749510"/>
    <s v="Licenses"/>
    <s v="HARR Imaging Center BREM"/>
    <x v="0"/>
    <n v="1002"/>
    <n v="0"/>
    <n v="0"/>
    <n v="0"/>
    <n v="0"/>
    <n v="0"/>
    <n v="611"/>
    <n v="0"/>
    <n v="0"/>
    <n v="0"/>
    <n v="0"/>
    <n v="0"/>
    <n v="0"/>
    <n v="611"/>
    <n v="0"/>
  </r>
  <r>
    <x v="18"/>
    <x v="3"/>
    <x v="0"/>
    <s v="4805101"/>
    <n v="400010"/>
    <s v="Acute I/P Svcs Rev--Medicare"/>
    <s v="CT Scan Services"/>
    <x v="0"/>
    <n v="1100"/>
    <n v="-2905542.28"/>
    <n v="-2784789.48"/>
    <n v="-2592083.6"/>
    <n v="-3148806.2"/>
    <n v="-3054247.92"/>
    <n v="-2661023.86"/>
    <n v="-2908996.07"/>
    <n v="-3017823.33"/>
    <n v="-3233123.58"/>
    <n v="-3428497.42"/>
    <n v="-3214185.6"/>
    <n v="-3359622.27"/>
    <n v="-36308741.610000007"/>
    <n v="145436.66999999993"/>
  </r>
  <r>
    <x v="18"/>
    <x v="3"/>
    <x v="0"/>
    <s v="4805101"/>
    <n v="400010"/>
    <s v="Acute I/P Svcs Rev--Medicaid"/>
    <s v="CT Scan Services"/>
    <x v="0"/>
    <n v="1200"/>
    <n v="-1111886.96"/>
    <n v="-1068008.22"/>
    <n v="-859869.09"/>
    <n v="-1077011.24"/>
    <n v="-1203067.99"/>
    <n v="-1033480.48"/>
    <n v="-1125792.55"/>
    <n v="-1228455.3700000001"/>
    <n v="-1165539.98"/>
    <n v="-1414474.74"/>
    <n v="-1350148.28"/>
    <n v="-1301870.25"/>
    <n v="-13939605.15"/>
    <n v="-48278.030000000028"/>
  </r>
  <r>
    <x v="18"/>
    <x v="3"/>
    <x v="0"/>
    <s v="4805101"/>
    <n v="400010"/>
    <s v="Acute I/P Svcs Rev--Comm Insurance"/>
    <s v="CT Scan Services"/>
    <x v="0"/>
    <n v="1300"/>
    <n v="-228843.99"/>
    <n v="-3396.32"/>
    <n v="-195085.27"/>
    <n v="-177862.95"/>
    <n v="-91233.85"/>
    <n v="-180275.72"/>
    <n v="-20456.150000000001"/>
    <n v="-75458.5"/>
    <n v="-174558.76"/>
    <n v="-39623.050000000003"/>
    <n v="-122133.47"/>
    <n v="-223903.57"/>
    <n v="-1532831.6"/>
    <n v="101770.1"/>
  </r>
  <r>
    <x v="18"/>
    <x v="3"/>
    <x v="0"/>
    <s v="4805101"/>
    <n v="400010"/>
    <s v="Acute I/P Svcs Rev--BCBS Comm"/>
    <s v="CT Scan Services"/>
    <x v="0"/>
    <n v="1301"/>
    <n v="-13856.92"/>
    <n v="-203936.43"/>
    <n v="-237498.82"/>
    <n v="-192833.9"/>
    <n v="-94622.93"/>
    <n v="-139385.68"/>
    <n v="-234390.76"/>
    <n v="-158130.14000000001"/>
    <n v="-108370.93"/>
    <n v="-173732.43"/>
    <n v="-246219.14"/>
    <n v="-134218.10999999999"/>
    <n v="-1937196.19"/>
    <n v="-112001.03000000003"/>
  </r>
  <r>
    <x v="18"/>
    <x v="3"/>
    <x v="0"/>
    <s v="4805101"/>
    <n v="400010"/>
    <s v="Acute I/P Svcs Rev--Managed Care"/>
    <s v="CT Scan Services"/>
    <x v="0"/>
    <n v="1400"/>
    <n v="-685867.35"/>
    <n v="-899029.73"/>
    <n v="-708500.55"/>
    <n v="-822738.86"/>
    <n v="-636048.29"/>
    <n v="-735436.67"/>
    <n v="-976682.05"/>
    <n v="-894646.27"/>
    <n v="-827211.53"/>
    <n v="-768193.27"/>
    <n v="-951714.53"/>
    <n v="-658385.94999999995"/>
    <n v="-9564455.0499999989"/>
    <n v="-293328.58000000007"/>
  </r>
  <r>
    <x v="18"/>
    <x v="3"/>
    <x v="0"/>
    <s v="4805101"/>
    <n v="400010"/>
    <s v="Acute I/P Svcs Rev--Self Pay"/>
    <s v="CT Scan Services"/>
    <x v="0"/>
    <n v="1500"/>
    <n v="-99812.69"/>
    <n v="-157137.32"/>
    <n v="-118817.76"/>
    <n v="-23301.88"/>
    <n v="-131487.74"/>
    <n v="-32772.660000000003"/>
    <n v="-131143.21"/>
    <n v="-66748.31"/>
    <n v="-129333.13"/>
    <n v="-16373.48"/>
    <n v="-93797.77"/>
    <n v="-28859.83"/>
    <n v="-1029585.78"/>
    <n v="-64937.94"/>
  </r>
  <r>
    <x v="18"/>
    <x v="3"/>
    <x v="0"/>
    <s v="4805101"/>
    <n v="400010"/>
    <s v="Acute I/P Svcs Rev--Other"/>
    <s v="CT Scan Services"/>
    <x v="0"/>
    <n v="1700"/>
    <n v="-54908.72"/>
    <n v="-237933.81"/>
    <n v="-216155.89"/>
    <n v="-203863.64"/>
    <n v="-180928.11"/>
    <n v="-266389.59000000003"/>
    <n v="-168293.39"/>
    <n v="-175331.4"/>
    <n v="-242010.28"/>
    <n v="-198352.46"/>
    <n v="-278794.59999999998"/>
    <n v="-201411.65"/>
    <n v="-2424373.5399999996"/>
    <n v="-77382.949999999983"/>
  </r>
  <r>
    <x v="19"/>
    <x v="3"/>
    <x v="0"/>
    <s v="4805101"/>
    <n v="400020"/>
    <s v="O/P Care Svcs Rev--Medicare"/>
    <s v="CT Scan Services"/>
    <x v="0"/>
    <n v="1100"/>
    <n v="-2479368.37"/>
    <n v="-2543567.5299999998"/>
    <n v="-2281076.48"/>
    <n v="-2576872.7799999998"/>
    <n v="-2149386.13"/>
    <n v="-2291622.67"/>
    <n v="-2754315.82"/>
    <n v="-2178043.14"/>
    <n v="-2818855.3"/>
    <n v="-2413292.4700000002"/>
    <n v="-3119053.93"/>
    <n v="-2770673.76"/>
    <n v="-30376128.379999995"/>
    <n v="-348380.17000000039"/>
  </r>
  <r>
    <x v="19"/>
    <x v="3"/>
    <x v="0"/>
    <s v="4805101"/>
    <n v="400020"/>
    <s v="O/P Care Svcs Rev--Medicaid"/>
    <s v="CT Scan Services"/>
    <x v="0"/>
    <n v="1200"/>
    <n v="-1352333.5"/>
    <n v="-1470822.93"/>
    <n v="-1517188.94"/>
    <n v="-1715954.86"/>
    <n v="-1479522"/>
    <n v="-1608950.86"/>
    <n v="-1681654.49"/>
    <n v="-1168635.1200000001"/>
    <n v="-1624919.28"/>
    <n v="-1404453.42"/>
    <n v="-1818103.83"/>
    <n v="-1669906.62"/>
    <n v="-18512445.849999998"/>
    <n v="-148197.20999999996"/>
  </r>
  <r>
    <x v="19"/>
    <x v="3"/>
    <x v="0"/>
    <s v="4805101"/>
    <n v="400020"/>
    <s v="O/P Care Svcs Rev--Comm Insurance"/>
    <s v="CT Scan Services"/>
    <x v="0"/>
    <n v="1300"/>
    <n v="-306971.49"/>
    <n v="-154947.66"/>
    <n v="-310531.03000000003"/>
    <n v="-226962.82"/>
    <n v="-309555.18"/>
    <n v="-427514.19"/>
    <n v="-218388.73"/>
    <n v="-171198.2"/>
    <n v="-259311.17"/>
    <n v="-230489.87"/>
    <n v="-312910.99"/>
    <n v="-340951.02"/>
    <n v="-3269732.35"/>
    <n v="28040.030000000028"/>
  </r>
  <r>
    <x v="19"/>
    <x v="3"/>
    <x v="0"/>
    <s v="4805101"/>
    <n v="400020"/>
    <s v="O/P Care Svcs Rev--BCBS Comm"/>
    <s v="CT Scan Services"/>
    <x v="0"/>
    <n v="1301"/>
    <n v="-280274.98"/>
    <n v="-266325.12"/>
    <n v="-197421.49"/>
    <n v="-286000.61"/>
    <n v="-339111.67999999999"/>
    <n v="-264225.63"/>
    <n v="-395967"/>
    <n v="-375440.01"/>
    <n v="-336153.02"/>
    <n v="-374688.25"/>
    <n v="-394786.89"/>
    <n v="-263044.68"/>
    <n v="-3773439.36"/>
    <n v="-131742.21000000002"/>
  </r>
  <r>
    <x v="19"/>
    <x v="3"/>
    <x v="0"/>
    <s v="4805101"/>
    <n v="400020"/>
    <s v="O/P Care Svcs Rev--Managed Care"/>
    <s v="CT Scan Services"/>
    <x v="0"/>
    <n v="1400"/>
    <n v="-1236212.71"/>
    <n v="-1228705.73"/>
    <n v="-992060.94"/>
    <n v="-1349996.82"/>
    <n v="-1097673.74"/>
    <n v="-1397441.85"/>
    <n v="-1328032.57"/>
    <n v="-1124423.52"/>
    <n v="-1214011.43"/>
    <n v="-1258904.8"/>
    <n v="-1249308.1100000001"/>
    <n v="-1198819.69"/>
    <n v="-14675591.91"/>
    <n v="-50488.420000000158"/>
  </r>
  <r>
    <x v="19"/>
    <x v="3"/>
    <x v="0"/>
    <s v="4805101"/>
    <n v="400020"/>
    <s v="O/P Care Svcs Rev--Self Pay"/>
    <s v="CT Scan Services"/>
    <x v="0"/>
    <n v="1500"/>
    <n v="-227396.48000000001"/>
    <n v="-395513.1"/>
    <n v="-413350.31"/>
    <n v="-260168.29"/>
    <n v="-287985.14"/>
    <n v="-190420.59"/>
    <n v="-190354.91"/>
    <n v="-398501.63"/>
    <n v="-359648.6"/>
    <n v="-382166.07"/>
    <n v="-237744.07"/>
    <n v="-377512.59"/>
    <n v="-3720761.7799999993"/>
    <n v="139768.52000000002"/>
  </r>
  <r>
    <x v="19"/>
    <x v="3"/>
    <x v="0"/>
    <s v="4805101"/>
    <n v="400020"/>
    <s v="O/P Care Svcs Rev--Other"/>
    <s v="CT Scan Services"/>
    <x v="0"/>
    <n v="1700"/>
    <n v="-265745.39"/>
    <n v="-138350.46"/>
    <n v="-440018.71"/>
    <n v="-208944.33"/>
    <n v="-445491.87"/>
    <n v="-293575.92"/>
    <n v="-242525.05"/>
    <n v="-303412.61"/>
    <n v="-351754.53"/>
    <n v="-302308.26"/>
    <n v="-293608.52"/>
    <n v="-237932.03"/>
    <n v="-3523667.6799999997"/>
    <n v="-55676.49000000002"/>
  </r>
  <r>
    <x v="1"/>
    <x v="3"/>
    <x v="0"/>
    <s v="4805101"/>
    <n v="400040"/>
    <s v="Physician Svcs Rev--Medicaid"/>
    <s v="CT Scan Services"/>
    <x v="0"/>
    <n v="1200"/>
    <n v="0"/>
    <n v="0"/>
    <n v="0"/>
    <n v="0"/>
    <n v="-4364"/>
    <n v="0"/>
    <n v="0"/>
    <n v="0"/>
    <n v="0"/>
    <n v="0"/>
    <n v="0"/>
    <n v="0"/>
    <n v="-4364"/>
    <n v="0"/>
  </r>
  <r>
    <x v="1"/>
    <x v="3"/>
    <x v="0"/>
    <s v="4805101"/>
    <n v="400040"/>
    <s v="Physician Svcs Rev--Comm Insurance"/>
    <s v="CT Scan Services"/>
    <x v="0"/>
    <n v="1300"/>
    <n v="0"/>
    <n v="-3924"/>
    <n v="0"/>
    <n v="0"/>
    <n v="0"/>
    <n v="0"/>
    <n v="0"/>
    <n v="0"/>
    <n v="0"/>
    <n v="0"/>
    <n v="0"/>
    <n v="0"/>
    <n v="-3924"/>
    <n v="0"/>
  </r>
  <r>
    <x v="1"/>
    <x v="3"/>
    <x v="0"/>
    <s v="4805101"/>
    <n v="400040"/>
    <s v="Physician Svcs Rev--Managed Care"/>
    <s v="CT Scan Services"/>
    <x v="0"/>
    <n v="1400"/>
    <n v="-932"/>
    <n v="0"/>
    <n v="0"/>
    <n v="0"/>
    <n v="0"/>
    <n v="0"/>
    <n v="0"/>
    <n v="0"/>
    <n v="0"/>
    <n v="0"/>
    <n v="-4364"/>
    <n v="0"/>
    <n v="-5296"/>
    <n v="-4364"/>
  </r>
  <r>
    <x v="2"/>
    <x v="3"/>
    <x v="0"/>
    <s v="4805101"/>
    <n v="450040"/>
    <s v="Contr Allow--Phys Svcs--Mcaid"/>
    <s v="CT Scan Services"/>
    <x v="0"/>
    <n v="1200"/>
    <n v="0"/>
    <n v="0"/>
    <n v="0"/>
    <n v="0"/>
    <n v="0"/>
    <n v="3360.32"/>
    <n v="0"/>
    <n v="0"/>
    <n v="0"/>
    <n v="0"/>
    <n v="0"/>
    <n v="0"/>
    <n v="3360.32"/>
    <n v="0"/>
  </r>
  <r>
    <x v="2"/>
    <x v="3"/>
    <x v="0"/>
    <s v="4805101"/>
    <n v="450040"/>
    <s v="Contr Allow--Phys Svcs--Comm Insurance"/>
    <s v="CT Scan Services"/>
    <x v="0"/>
    <n v="1300"/>
    <n v="0"/>
    <n v="0"/>
    <n v="1802.29"/>
    <n v="0"/>
    <n v="0"/>
    <n v="0"/>
    <n v="0"/>
    <n v="0"/>
    <n v="0"/>
    <n v="0"/>
    <n v="0"/>
    <n v="0"/>
    <n v="1802.29"/>
    <n v="0"/>
  </r>
  <r>
    <x v="2"/>
    <x v="3"/>
    <x v="0"/>
    <s v="4805101"/>
    <n v="450040"/>
    <s v="Contr Allow--Phys Svcs--Managed Care"/>
    <s v="CT Scan Services"/>
    <x v="0"/>
    <n v="1400"/>
    <n v="0"/>
    <n v="0"/>
    <n v="0"/>
    <n v="0"/>
    <n v="0"/>
    <n v="0"/>
    <n v="0"/>
    <n v="0"/>
    <n v="0"/>
    <n v="0"/>
    <n v="0"/>
    <n v="1562.72"/>
    <n v="1562.72"/>
    <n v="-1562.72"/>
  </r>
  <r>
    <x v="2"/>
    <x v="3"/>
    <x v="0"/>
    <s v="4805101"/>
    <n v="450040"/>
    <s v="Contr Allow--Phys Svcs--BCBS Mgnd Care"/>
    <s v="CT Scan Services"/>
    <x v="0"/>
    <n v="1401"/>
    <n v="364.65"/>
    <n v="2115.17"/>
    <n v="-1999.86"/>
    <n v="-3.94"/>
    <n v="2228.37"/>
    <n v="-2241.13"/>
    <n v="-32.020000000000003"/>
    <n v="-72.31"/>
    <n v="139.55000000000001"/>
    <n v="-1.33"/>
    <n v="2316.84"/>
    <n v="-2371.9699999999998"/>
    <n v="442.02000000000044"/>
    <n v="4688.8099999999995"/>
  </r>
  <r>
    <x v="3"/>
    <x v="3"/>
    <x v="0"/>
    <s v="4805101"/>
    <n v="470040"/>
    <s v="Charity Care-Physician Svcs"/>
    <s v="CT Scan Services"/>
    <x v="0"/>
    <m/>
    <n v="11.18"/>
    <n v="82.06"/>
    <n v="-76.59"/>
    <n v="-0.31"/>
    <n v="80.37"/>
    <n v="-81.98"/>
    <n v="-1.58"/>
    <n v="-3.06"/>
    <n v="6.28"/>
    <n v="-0.87"/>
    <n v="60.92"/>
    <n v="-61.84"/>
    <n v="14.579999999999998"/>
    <n v="122.76"/>
  </r>
  <r>
    <x v="4"/>
    <x v="3"/>
    <x v="0"/>
    <s v="4805101"/>
    <n v="490010"/>
    <s v="Provision for Bad Debts"/>
    <s v="CT Scan Services"/>
    <x v="0"/>
    <m/>
    <n v="49.72"/>
    <n v="297.10000000000002"/>
    <n v="-284.52999999999997"/>
    <n v="-5.96"/>
    <n v="293.77"/>
    <n v="-296.57"/>
    <n v="-10.14"/>
    <n v="-10.79"/>
    <n v="16.79"/>
    <n v="-1.1399999999999999"/>
    <n v="228.12"/>
    <n v="-233.01"/>
    <n v="43.360000000000127"/>
    <n v="461.13"/>
  </r>
  <r>
    <x v="5"/>
    <x v="3"/>
    <x v="0"/>
    <s v="4805101"/>
    <n v="700034"/>
    <s v="Salaries-Tech/Professional-Productive"/>
    <s v="CT Scan Services"/>
    <x v="0"/>
    <m/>
    <n v="61621.66"/>
    <n v="58880.52"/>
    <n v="55007.22"/>
    <n v="62162.03"/>
    <n v="61895.61"/>
    <n v="59647.17"/>
    <n v="61674.66"/>
    <n v="55091.69"/>
    <n v="64376.23"/>
    <n v="53089.07"/>
    <n v="70296.59"/>
    <n v="71959.149999999994"/>
    <n v="735701.6"/>
    <n v="-1662.5599999999977"/>
  </r>
  <r>
    <x v="5"/>
    <x v="3"/>
    <x v="0"/>
    <s v="4805101"/>
    <n v="700034"/>
    <s v="Salaries-Tech/Professional-OT"/>
    <s v="CT Scan Services"/>
    <x v="0"/>
    <n v="1000"/>
    <n v="7976.3"/>
    <n v="3705.44"/>
    <n v="3988.52"/>
    <n v="5950.82"/>
    <n v="3769.34"/>
    <n v="3871.03"/>
    <n v="3644.19"/>
    <n v="5236.54"/>
    <n v="5389.19"/>
    <n v="6082.54"/>
    <n v="5811.04"/>
    <n v="2747.32"/>
    <n v="58172.270000000004"/>
    <n v="3063.72"/>
  </r>
  <r>
    <x v="5"/>
    <x v="3"/>
    <x v="0"/>
    <s v="4805101"/>
    <n v="700034"/>
    <s v="Salaries-Tech/Professional-Other"/>
    <s v="CT Scan Services"/>
    <x v="0"/>
    <n v="2000"/>
    <n v="5008.99"/>
    <n v="4825.41"/>
    <n v="4723.2"/>
    <n v="4373.6400000000003"/>
    <n v="4439.54"/>
    <n v="4219.8900000000003"/>
    <n v="4322.72"/>
    <n v="3977.84"/>
    <n v="4234.54"/>
    <n v="4152.58"/>
    <n v="4293.74"/>
    <n v="4470.8599999999997"/>
    <n v="53042.95"/>
    <n v="-177.11999999999989"/>
  </r>
  <r>
    <x v="5"/>
    <x v="3"/>
    <x v="0"/>
    <s v="4805101"/>
    <n v="700074"/>
    <s v="Salaries-Tech/Professional-Non-productive"/>
    <s v="CT Scan Services"/>
    <x v="0"/>
    <m/>
    <n v="11526.42"/>
    <n v="10774.58"/>
    <n v="10170.24"/>
    <n v="5318.28"/>
    <n v="10266.34"/>
    <n v="10443.11"/>
    <n v="6911.27"/>
    <n v="10344.57"/>
    <n v="10635.94"/>
    <n v="18904.28"/>
    <n v="14030.95"/>
    <n v="8448.6299999999992"/>
    <n v="127774.61"/>
    <n v="5582.3200000000015"/>
  </r>
  <r>
    <x v="5"/>
    <x v="3"/>
    <x v="0"/>
    <s v="4805101"/>
    <n v="700074"/>
    <s v="Salaries-Tech/Professional-NonProd-Other"/>
    <s v="CT Scan Services"/>
    <x v="0"/>
    <n v="2000"/>
    <n v="1209.73"/>
    <n v="1390.49"/>
    <n v="633.16"/>
    <n v="1202.33"/>
    <n v="1468.07"/>
    <n v="427.56"/>
    <n v="763.52"/>
    <n v="365.23"/>
    <n v="801.57"/>
    <n v="900.98"/>
    <n v="995.47"/>
    <n v="950.16"/>
    <n v="11108.269999999999"/>
    <n v="45.310000000000059"/>
  </r>
  <r>
    <x v="5"/>
    <x v="3"/>
    <x v="0"/>
    <s v="4805101"/>
    <n v="700084"/>
    <s v="Accrued PTO"/>
    <s v="CT Scan Services"/>
    <x v="0"/>
    <m/>
    <n v="-2131.33"/>
    <n v="-2758.45"/>
    <n v="97.2"/>
    <n v="3285.31"/>
    <n v="1183.04"/>
    <n v="1098.42"/>
    <n v="2493.4299999999998"/>
    <n v="1315.74"/>
    <n v="3444.16"/>
    <n v="-306.08"/>
    <n v="369.95"/>
    <n v="-1201.49"/>
    <n v="6889.9"/>
    <n v="1571.44"/>
  </r>
  <r>
    <x v="6"/>
    <x v="3"/>
    <x v="0"/>
    <s v="4805101"/>
    <n v="713010"/>
    <s v="Benefits-FICA/Medicare"/>
    <s v="CT Scan Services"/>
    <x v="0"/>
    <m/>
    <n v="6585.34"/>
    <n v="5991.88"/>
    <n v="5618.43"/>
    <n v="5963.09"/>
    <n v="6324.06"/>
    <n v="5896.32"/>
    <n v="5807.98"/>
    <n v="5683.1"/>
    <n v="6428.59"/>
    <n v="6255.73"/>
    <n v="7202.43"/>
    <n v="6616.45"/>
    <n v="74373.400000000009"/>
    <n v="585.98000000000047"/>
  </r>
  <r>
    <x v="6"/>
    <x v="3"/>
    <x v="0"/>
    <s v="4805101"/>
    <n v="713090"/>
    <s v="Benefits-Allocated Amounts"/>
    <s v="CT Scan Services"/>
    <x v="0"/>
    <m/>
    <n v="15906.33"/>
    <n v="13656.8"/>
    <n v="14164.69"/>
    <n v="14658.95"/>
    <n v="15225.8"/>
    <n v="14404.16"/>
    <n v="15284.99"/>
    <n v="15441.1"/>
    <n v="13239.7"/>
    <n v="16044.37"/>
    <n v="18336.59"/>
    <n v="17089.48"/>
    <n v="183452.96000000002"/>
    <n v="1247.1100000000006"/>
  </r>
  <r>
    <x v="7"/>
    <x v="3"/>
    <x v="0"/>
    <s v="4805101"/>
    <n v="718050"/>
    <s v="Contract Svcs-Other"/>
    <s v="CT Scan Services"/>
    <x v="0"/>
    <m/>
    <n v="0"/>
    <n v="0"/>
    <n v="0"/>
    <n v="0"/>
    <n v="0"/>
    <n v="478.4"/>
    <n v="233.87"/>
    <n v="0"/>
    <n v="0"/>
    <n v="0"/>
    <n v="0"/>
    <n v="0"/>
    <n v="712.27"/>
    <n v="0"/>
  </r>
  <r>
    <x v="7"/>
    <x v="3"/>
    <x v="0"/>
    <s v="4805101"/>
    <n v="718050"/>
    <s v="Miscellaneous Purchased Svcs"/>
    <s v="CT Scan Services"/>
    <x v="0"/>
    <n v="1020"/>
    <n v="0"/>
    <n v="0"/>
    <n v="16.03"/>
    <n v="0"/>
    <n v="0"/>
    <n v="0"/>
    <n v="0"/>
    <n v="0"/>
    <n v="0"/>
    <n v="0"/>
    <n v="0"/>
    <n v="0"/>
    <n v="16.03"/>
    <n v="0"/>
  </r>
  <r>
    <x v="7"/>
    <x v="3"/>
    <x v="0"/>
    <s v="4805101"/>
    <n v="718050"/>
    <s v="Translation Services"/>
    <s v="CT Scan Services"/>
    <x v="0"/>
    <n v="1025"/>
    <n v="0"/>
    <n v="0"/>
    <n v="0"/>
    <n v="9.52"/>
    <n v="0"/>
    <n v="0"/>
    <n v="0"/>
    <n v="0"/>
    <n v="0"/>
    <n v="0"/>
    <n v="0"/>
    <n v="0"/>
    <n v="9.52"/>
    <n v="0"/>
  </r>
  <r>
    <x v="7"/>
    <x v="3"/>
    <x v="0"/>
    <s v="4805101"/>
    <n v="718070"/>
    <s v="Contract Srvcs-CHI Clinical Engineering"/>
    <s v="CT Scan Services"/>
    <x v="0"/>
    <m/>
    <n v="18535.61"/>
    <n v="18535.61"/>
    <n v="18535.61"/>
    <n v="25018.95"/>
    <n v="25018.95"/>
    <n v="21602.74"/>
    <n v="21024.51"/>
    <n v="22180.97"/>
    <n v="21602.74"/>
    <n v="21024.51"/>
    <n v="21616.639999999999"/>
    <n v="19819.57"/>
    <n v="254516.41000000003"/>
    <n v="1797.0699999999997"/>
  </r>
  <r>
    <x v="11"/>
    <x v="3"/>
    <x v="0"/>
    <s v="4805101"/>
    <n v="721010"/>
    <s v="Supplies-Medical - Billable"/>
    <s v="CT Scan Services"/>
    <x v="0"/>
    <m/>
    <n v="2106.38"/>
    <n v="4829.16"/>
    <n v="945.47"/>
    <n v="1763.99"/>
    <n v="864.05"/>
    <n v="6374.16"/>
    <n v="1981.48"/>
    <n v="2625.87"/>
    <n v="2049.6799999999998"/>
    <n v="1353.51"/>
    <n v="1841.11"/>
    <n v="1459.29"/>
    <n v="28194.149999999998"/>
    <n v="381.81999999999994"/>
  </r>
  <r>
    <x v="11"/>
    <x v="3"/>
    <x v="0"/>
    <s v="4805101"/>
    <n v="721010"/>
    <s v="Patient Monitoring"/>
    <s v="CT Scan Services"/>
    <x v="0"/>
    <n v="1000"/>
    <n v="0"/>
    <n v="428.35"/>
    <n v="24.04"/>
    <n v="3.18"/>
    <n v="170"/>
    <n v="524.08000000000004"/>
    <n v="-38.54"/>
    <n v="3.18"/>
    <n v="748.68"/>
    <n v="-62.32"/>
    <n v="374.51"/>
    <n v="156.01"/>
    <n v="2331.17"/>
    <n v="218.5"/>
  </r>
  <r>
    <x v="11"/>
    <x v="3"/>
    <x v="0"/>
    <s v="4805101"/>
    <n v="721020"/>
    <s v="Supplies-Surgical - Billable"/>
    <s v="CT Scan Services"/>
    <x v="0"/>
    <m/>
    <n v="108.85"/>
    <n v="77.75"/>
    <n v="59.09"/>
    <n v="260.24"/>
    <n v="74.64"/>
    <n v="90.19"/>
    <n v="77.75"/>
    <n v="59.09"/>
    <n v="80.86"/>
    <n v="83.97"/>
    <n v="65.31"/>
    <n v="31.1"/>
    <n v="1068.8399999999999"/>
    <n v="34.21"/>
  </r>
  <r>
    <x v="11"/>
    <x v="3"/>
    <x v="0"/>
    <s v="4805101"/>
    <n v="721020"/>
    <s v="Custom Packs"/>
    <s v="CT Scan Services"/>
    <x v="0"/>
    <n v="1000"/>
    <n v="184.25"/>
    <n v="346.4"/>
    <n v="243.21"/>
    <n v="332.31"/>
    <n v="235.55"/>
    <n v="222.09"/>
    <n v="357.21"/>
    <n v="287.44"/>
    <n v="302.19"/>
    <n v="357.63"/>
    <n v="269.2"/>
    <n v="209.91"/>
    <n v="3347.39"/>
    <n v="59.289999999999992"/>
  </r>
  <r>
    <x v="11"/>
    <x v="3"/>
    <x v="0"/>
    <s v="4805101"/>
    <n v="721020"/>
    <s v="Endomechanical Supplies &amp; Instruments"/>
    <s v="CT Scan Services"/>
    <x v="0"/>
    <n v="1003"/>
    <n v="0"/>
    <n v="416"/>
    <n v="156"/>
    <n v="520"/>
    <n v="390.26"/>
    <n v="104"/>
    <n v="237.12"/>
    <n v="902.66"/>
    <n v="509.08"/>
    <n v="389.12"/>
    <n v="370.24"/>
    <n v="231.4"/>
    <n v="4225.8799999999992"/>
    <n v="138.84"/>
  </r>
  <r>
    <x v="11"/>
    <x v="3"/>
    <x v="0"/>
    <s v="4805101"/>
    <n v="721050"/>
    <s v="Supplies-Cardiac Rhythm - Billable"/>
    <s v="CT Scan Services"/>
    <x v="0"/>
    <m/>
    <n v="2728.5"/>
    <n v="3242.1"/>
    <n v="2625.78"/>
    <n v="2728.5"/>
    <n v="2593.6799999999998"/>
    <n v="2856.9"/>
    <n v="3505.32"/>
    <n v="2285.52"/>
    <n v="2933.94"/>
    <n v="3139.38"/>
    <n v="3081.6"/>
    <n v="3190.74"/>
    <n v="34911.96"/>
    <n v="-109.13999999999987"/>
  </r>
  <r>
    <x v="11"/>
    <x v="3"/>
    <x v="0"/>
    <s v="4805101"/>
    <n v="721240"/>
    <s v="Supplies-IV Solutions/Supplies - Billable"/>
    <s v="CT Scan Services"/>
    <x v="0"/>
    <m/>
    <n v="553.39"/>
    <n v="666.88"/>
    <n v="1414.36"/>
    <n v="560.22"/>
    <n v="862.41"/>
    <n v="1334.67"/>
    <n v="1152"/>
    <n v="490.3"/>
    <n v="981.25"/>
    <n v="966.9"/>
    <n v="1037.72"/>
    <n v="847.2"/>
    <n v="10867.300000000001"/>
    <n v="190.51999999999998"/>
  </r>
  <r>
    <x v="11"/>
    <x v="3"/>
    <x v="0"/>
    <s v="4805101"/>
    <n v="721250"/>
    <s v="Supplies-Pharmacy Drugs - Billable"/>
    <s v="CT Scan Services"/>
    <x v="0"/>
    <m/>
    <n v="13324.47"/>
    <n v="10217.52"/>
    <n v="9985.0499999999993"/>
    <n v="11295.45"/>
    <n v="13952.13"/>
    <n v="3731.82"/>
    <n v="1903.86"/>
    <n v="18893.53"/>
    <n v="8512.77"/>
    <n v="7959.01"/>
    <n v="3122.64"/>
    <n v="13517.95"/>
    <n v="116416.19999999998"/>
    <n v="-10395.310000000001"/>
  </r>
  <r>
    <x v="11"/>
    <x v="3"/>
    <x v="0"/>
    <s v="4805101"/>
    <n v="721350"/>
    <s v="Supplies-Film/Radiographic - Billable"/>
    <s v="CT Scan Services"/>
    <x v="0"/>
    <m/>
    <n v="0"/>
    <n v="118"/>
    <n v="17.43"/>
    <n v="0"/>
    <n v="0"/>
    <n v="0"/>
    <n v="0"/>
    <n v="0"/>
    <n v="0"/>
    <n v="0"/>
    <n v="0"/>
    <n v="0"/>
    <n v="135.43"/>
    <n v="0"/>
  </r>
  <r>
    <x v="11"/>
    <x v="3"/>
    <x v="0"/>
    <s v="4805101"/>
    <n v="721350"/>
    <s v="Radiology Imaging - Contrast Media"/>
    <s v="CT Scan Services"/>
    <x v="0"/>
    <n v="1000"/>
    <n v="333.68"/>
    <n v="463.97"/>
    <n v="309.64"/>
    <n v="230.65"/>
    <n v="372.98"/>
    <n v="0"/>
    <n v="1110.99"/>
    <n v="0"/>
    <n v="792.59"/>
    <n v="0"/>
    <n v="1034.54"/>
    <n v="24.39"/>
    <n v="4673.43"/>
    <n v="1010.15"/>
  </r>
  <r>
    <x v="11"/>
    <x v="3"/>
    <x v="0"/>
    <s v="4805101"/>
    <n v="721410"/>
    <s v="Supplies-Medical - Nonbillable"/>
    <s v="CT Scan Services"/>
    <x v="0"/>
    <m/>
    <n v="1884.73"/>
    <n v="2031.65"/>
    <n v="1849.69"/>
    <n v="1965.95"/>
    <n v="1786.18"/>
    <n v="1827.89"/>
    <n v="2161.16"/>
    <n v="4241.3100000000004"/>
    <n v="2234.58"/>
    <n v="-582.62"/>
    <n v="2206.06"/>
    <n v="2321.98"/>
    <n v="23928.560000000001"/>
    <n v="-115.92000000000007"/>
  </r>
  <r>
    <x v="11"/>
    <x v="3"/>
    <x v="0"/>
    <s v="4805101"/>
    <n v="721420"/>
    <s v="Supplies-Surgical Nonbillable"/>
    <s v="CT Scan Services"/>
    <x v="0"/>
    <m/>
    <n v="41.53"/>
    <n v="49.17"/>
    <n v="75.599999999999994"/>
    <n v="34.71"/>
    <n v="19.87"/>
    <n v="62.33"/>
    <n v="28.51"/>
    <n v="105.35"/>
    <n v="24.19"/>
    <n v="69.239999999999995"/>
    <n v="28.51"/>
    <n v="19.440000000000001"/>
    <n v="558.45000000000016"/>
    <n v="9.07"/>
  </r>
  <r>
    <x v="11"/>
    <x v="3"/>
    <x v="0"/>
    <s v="4805101"/>
    <n v="721610"/>
    <s v="Supplies-Anesthesia - Nonbillable"/>
    <s v="CT Scan Services"/>
    <x v="0"/>
    <m/>
    <n v="58.03"/>
    <n v="54.81"/>
    <n v="28.52"/>
    <n v="47.62"/>
    <n v="23.31"/>
    <n v="29.94"/>
    <n v="43.47"/>
    <n v="52.67"/>
    <n v="35.049999999999997"/>
    <n v="33.85"/>
    <n v="46.34"/>
    <n v="31.82"/>
    <n v="485.43000000000012"/>
    <n v="14.520000000000003"/>
  </r>
  <r>
    <x v="11"/>
    <x v="3"/>
    <x v="0"/>
    <s v="4805101"/>
    <n v="721640"/>
    <s v="Supplies-IV Solutions/Supplies - Nonbillable"/>
    <s v="CT Scan Services"/>
    <x v="0"/>
    <m/>
    <n v="156.54"/>
    <n v="192.27"/>
    <n v="132.52000000000001"/>
    <n v="196.72"/>
    <n v="202.39"/>
    <n v="176.76"/>
    <n v="221.81"/>
    <n v="107.36"/>
    <n v="122.4"/>
    <n v="183.47"/>
    <n v="205.34"/>
    <n v="188.99"/>
    <n v="2086.5699999999997"/>
    <n v="16.349999999999994"/>
  </r>
  <r>
    <x v="11"/>
    <x v="3"/>
    <x v="0"/>
    <s v="4805101"/>
    <n v="721710"/>
    <s v="Supplies-Laboratory - Nonbillable"/>
    <s v="CT Scan Services"/>
    <x v="0"/>
    <m/>
    <n v="3831.67"/>
    <n v="3746.33"/>
    <n v="3863.51"/>
    <n v="4366.93"/>
    <n v="4003.14"/>
    <n v="3349.77"/>
    <n v="4551.12"/>
    <n v="4131.1400000000003"/>
    <n v="4891.07"/>
    <n v="5105.47"/>
    <n v="5010.74"/>
    <n v="4303.9799999999996"/>
    <n v="51154.869999999995"/>
    <n v="706.76000000000022"/>
  </r>
  <r>
    <x v="11"/>
    <x v="3"/>
    <x v="0"/>
    <s v="4805101"/>
    <n v="721750"/>
    <s v="Supplies-Film/Radiographic - Nonbillable"/>
    <s v="CT Scan Services"/>
    <x v="0"/>
    <m/>
    <n v="0"/>
    <n v="259.83999999999997"/>
    <n v="511.02"/>
    <n v="0"/>
    <n v="129.91999999999999"/>
    <n v="106.08"/>
    <n v="259.83999999999997"/>
    <n v="618"/>
    <n v="265.35000000000002"/>
    <n v="-23.84"/>
    <n v="748.04"/>
    <n v="-12.04"/>
    <n v="2862.2099999999996"/>
    <n v="760.07999999999993"/>
  </r>
  <r>
    <x v="11"/>
    <x v="3"/>
    <x v="0"/>
    <s v="4805101"/>
    <n v="721810"/>
    <s v="Supplies-Dietary/Cafeteria"/>
    <s v="CT Scan Services"/>
    <x v="0"/>
    <m/>
    <n v="85.09"/>
    <n v="46.93"/>
    <n v="70.930000000000007"/>
    <n v="131.74"/>
    <n v="115.37"/>
    <n v="49.29"/>
    <n v="60.44"/>
    <n v="100.97"/>
    <n v="93.86"/>
    <n v="49.3"/>
    <n v="128.88"/>
    <n v="134.38999999999999"/>
    <n v="1067.19"/>
    <n v="-5.5099999999999909"/>
  </r>
  <r>
    <x v="11"/>
    <x v="3"/>
    <x v="0"/>
    <s v="4805101"/>
    <n v="721870"/>
    <s v="Supplies-Environmental Services"/>
    <s v="CT Scan Services"/>
    <x v="0"/>
    <m/>
    <n v="123.6"/>
    <n v="164.8"/>
    <n v="82.4"/>
    <n v="0"/>
    <n v="103"/>
    <n v="123.6"/>
    <n v="184.48"/>
    <n v="123.6"/>
    <n v="82.4"/>
    <n v="206"/>
    <n v="123.6"/>
    <n v="127.69"/>
    <n v="1445.17"/>
    <n v="-4.0900000000000034"/>
  </r>
  <r>
    <x v="11"/>
    <x v="3"/>
    <x v="0"/>
    <s v="4805101"/>
    <n v="721910"/>
    <s v="Supplies-Small Equipment"/>
    <s v="CT Scan Services"/>
    <x v="0"/>
    <m/>
    <n v="1006.6"/>
    <n v="513.16"/>
    <n v="1104.33"/>
    <n v="2243.14"/>
    <n v="1622.04"/>
    <n v="1839.19"/>
    <n v="1474.26"/>
    <n v="1065.67"/>
    <n v="797.16"/>
    <n v="3037.21"/>
    <n v="1745.14"/>
    <n v="907"/>
    <n v="17354.899999999998"/>
    <n v="838.1400000000001"/>
  </r>
  <r>
    <x v="11"/>
    <x v="3"/>
    <x v="0"/>
    <s v="4805101"/>
    <n v="721910"/>
    <s v="Instruments"/>
    <s v="CT Scan Services"/>
    <x v="0"/>
    <n v="1000"/>
    <n v="157.47"/>
    <n v="1316.08"/>
    <n v="1040"/>
    <n v="988"/>
    <n v="573.46"/>
    <n v="751.4"/>
    <n v="792.48"/>
    <n v="694.2"/>
    <n v="510.62"/>
    <n v="873.64"/>
    <n v="232.87"/>
    <n v="413.68"/>
    <n v="8343.9"/>
    <n v="-180.81"/>
  </r>
  <r>
    <x v="11"/>
    <x v="3"/>
    <x v="0"/>
    <s v="4805101"/>
    <n v="721980"/>
    <s v="Supplies-Other"/>
    <s v="CT Scan Services"/>
    <x v="0"/>
    <m/>
    <n v="199.55"/>
    <n v="1921.5"/>
    <n v="0"/>
    <n v="1465.49"/>
    <n v="0"/>
    <n v="0"/>
    <n v="0"/>
    <n v="0"/>
    <n v="0"/>
    <n v="488.25"/>
    <n v="0"/>
    <n v="263.36"/>
    <n v="4338.1499999999996"/>
    <n v="-263.36"/>
  </r>
  <r>
    <x v="11"/>
    <x v="3"/>
    <x v="0"/>
    <s v="4805101"/>
    <n v="722000"/>
    <s v="Supplies-Freight Expense"/>
    <s v="CT Scan Services"/>
    <x v="0"/>
    <m/>
    <n v="0"/>
    <n v="150.36000000000001"/>
    <n v="229.52"/>
    <n v="167.54"/>
    <n v="17.86"/>
    <n v="44.7"/>
    <n v="237.39"/>
    <n v="44.74"/>
    <n v="110.94"/>
    <n v="105.75"/>
    <n v="55.47"/>
    <n v="38.840000000000003"/>
    <n v="1203.1099999999999"/>
    <n v="16.629999999999995"/>
  </r>
  <r>
    <x v="12"/>
    <x v="3"/>
    <x v="0"/>
    <s v="4805101"/>
    <n v="730020"/>
    <s v="Rental and Leases-Copier Usage Fees (DO NOT USE)"/>
    <s v="CT Scan Services"/>
    <x v="0"/>
    <n v="5100"/>
    <n v="0"/>
    <n v="0"/>
    <n v="0"/>
    <n v="0"/>
    <n v="0"/>
    <n v="0"/>
    <n v="710.3"/>
    <n v="335.47"/>
    <n v="47.25"/>
    <n v="-238.87"/>
    <n v="47.95"/>
    <n v="47.95"/>
    <n v="950.05000000000007"/>
    <n v="0"/>
  </r>
  <r>
    <x v="15"/>
    <x v="3"/>
    <x v="0"/>
    <s v="4805101"/>
    <n v="731060"/>
    <s v="Pagers"/>
    <s v="CT Scan Services"/>
    <x v="0"/>
    <n v="1002"/>
    <n v="28.8"/>
    <n v="28.8"/>
    <n v="28.8"/>
    <n v="28.86"/>
    <n v="28.86"/>
    <n v="0"/>
    <n v="59.73"/>
    <n v="24.36"/>
    <n v="24.36"/>
    <n v="24.36"/>
    <n v="24.36"/>
    <n v="24.36"/>
    <n v="325.65000000000003"/>
    <n v="0"/>
  </r>
  <r>
    <x v="13"/>
    <x v="3"/>
    <x v="0"/>
    <s v="4805101"/>
    <n v="735060"/>
    <s v="Depreciation-Fixed Equipment"/>
    <s v="CT Scan Services"/>
    <x v="0"/>
    <m/>
    <n v="88.47"/>
    <n v="88.46"/>
    <n v="88.47"/>
    <n v="88.46"/>
    <n v="88.47"/>
    <n v="88.46"/>
    <n v="88.47"/>
    <n v="88.46"/>
    <n v="88.47"/>
    <n v="88.46"/>
    <n v="88.47"/>
    <n v="88.45"/>
    <n v="1061.5700000000002"/>
    <n v="1.9999999999996021E-2"/>
  </r>
  <r>
    <x v="13"/>
    <x v="3"/>
    <x v="0"/>
    <s v="4805101"/>
    <n v="735070"/>
    <s v="Depreciation-Movable Equipment"/>
    <s v="CT Scan Services"/>
    <x v="0"/>
    <m/>
    <n v="298.94"/>
    <n v="298.94"/>
    <n v="298.94"/>
    <n v="298.94"/>
    <n v="298.94"/>
    <n v="298.94"/>
    <n v="298.94"/>
    <n v="298.94"/>
    <n v="298.95"/>
    <n v="298.94"/>
    <n v="298.95"/>
    <n v="9682.43"/>
    <n v="12970.79"/>
    <n v="-9383.48"/>
  </r>
  <r>
    <x v="0"/>
    <x v="3"/>
    <x v="0"/>
    <s v="4805101"/>
    <n v="749510"/>
    <s v="Miscellaneous Expenses"/>
    <s v="CT Scan Services"/>
    <x v="0"/>
    <m/>
    <n v="0"/>
    <n v="0"/>
    <n v="60"/>
    <n v="6.06"/>
    <n v="0"/>
    <n v="0"/>
    <n v="0"/>
    <n v="0"/>
    <n v="0"/>
    <n v="0"/>
    <n v="0"/>
    <n v="0"/>
    <n v="66.06"/>
    <n v="0"/>
  </r>
  <r>
    <x v="18"/>
    <x v="0"/>
    <x v="0"/>
    <s v="4805102"/>
    <n v="400010"/>
    <s v="Acute I/P Svcs Rev--Medicare"/>
    <s v="CT Scan Services"/>
    <x v="0"/>
    <n v="1100"/>
    <n v="-1217249.7"/>
    <n v="-1327712.52"/>
    <n v="-1105768.8"/>
    <n v="-1613185.58"/>
    <n v="-1298637.52"/>
    <n v="-1589996.46"/>
    <n v="-1247940.1100000001"/>
    <n v="-1145942.75"/>
    <n v="-1582829.25"/>
    <n v="-1452520.08"/>
    <n v="-1249674.94"/>
    <n v="-1176588.07"/>
    <n v="-16008045.779999999"/>
    <n v="-73086.869999999879"/>
  </r>
  <r>
    <x v="18"/>
    <x v="0"/>
    <x v="0"/>
    <s v="4805102"/>
    <n v="400010"/>
    <s v="Acute I/P Svcs Rev--Medicaid"/>
    <s v="CT Scan Services"/>
    <x v="0"/>
    <n v="1200"/>
    <n v="-429404.96"/>
    <n v="-603351.36"/>
    <n v="-357406.45"/>
    <n v="-366414.94"/>
    <n v="-354143.81"/>
    <n v="-511177.03"/>
    <n v="-463603.47"/>
    <n v="-439630.85"/>
    <n v="-392027.71"/>
    <n v="-350497.05"/>
    <n v="-401725.35"/>
    <n v="-524359.21"/>
    <n v="-5193742.1899999995"/>
    <n v="122633.85999999999"/>
  </r>
  <r>
    <x v="18"/>
    <x v="0"/>
    <x v="0"/>
    <s v="4805102"/>
    <n v="400010"/>
    <s v="Acute I/P Svcs Rev--Comm Insurance"/>
    <s v="CT Scan Services"/>
    <x v="0"/>
    <n v="1300"/>
    <n v="-37703.72"/>
    <n v="-18647.96"/>
    <n v="-42050.66"/>
    <n v="10946.82"/>
    <n v="-43028.86"/>
    <n v="-70054.460000000006"/>
    <n v="-25088.67"/>
    <n v="-8098.76"/>
    <n v="-34490.32"/>
    <n v="-28560.52"/>
    <n v="-30299.09"/>
    <n v="-24569.360000000001"/>
    <n v="-351645.56000000006"/>
    <n v="-5729.73"/>
  </r>
  <r>
    <x v="18"/>
    <x v="0"/>
    <x v="0"/>
    <s v="4805102"/>
    <n v="400010"/>
    <s v="Acute I/P Svcs Rev--BCBS Comm"/>
    <s v="CT Scan Services"/>
    <x v="0"/>
    <n v="1301"/>
    <n v="-132338.66"/>
    <n v="-189575.32"/>
    <n v="-83782.36"/>
    <n v="-145702.66"/>
    <n v="-144205.81"/>
    <n v="-148099.69"/>
    <n v="-117044.87"/>
    <n v="-159924.35999999999"/>
    <n v="-58701.71"/>
    <n v="-111905.71"/>
    <n v="-207951.15"/>
    <n v="-182821.81"/>
    <n v="-1682054.1099999999"/>
    <n v="-25129.339999999997"/>
  </r>
  <r>
    <x v="18"/>
    <x v="0"/>
    <x v="0"/>
    <s v="4805102"/>
    <n v="400010"/>
    <s v="Acute I/P Svcs Rev--Managed Care"/>
    <s v="CT Scan Services"/>
    <x v="0"/>
    <n v="1400"/>
    <n v="-493490.77"/>
    <n v="-423374.78"/>
    <n v="-339890.56"/>
    <n v="-277889.46999999997"/>
    <n v="-308498.83"/>
    <n v="-350875.26"/>
    <n v="-476379.85"/>
    <n v="-272422.42"/>
    <n v="-443493.74"/>
    <n v="-226619.81"/>
    <n v="-340232.88"/>
    <n v="-253707.59"/>
    <n v="-4206875.96"/>
    <n v="-86525.290000000008"/>
  </r>
  <r>
    <x v="18"/>
    <x v="0"/>
    <x v="0"/>
    <s v="4805102"/>
    <n v="400010"/>
    <s v="Acute I/P Svcs Rev--Self Pay"/>
    <s v="CT Scan Services"/>
    <x v="0"/>
    <n v="1500"/>
    <n v="-85642.27"/>
    <n v="-80818.45"/>
    <n v="-94995.89"/>
    <n v="36649.08"/>
    <n v="-57617.02"/>
    <n v="-9840.43"/>
    <n v="-56256.5"/>
    <n v="-90759.57"/>
    <n v="-78162.17"/>
    <n v="-47555.51"/>
    <n v="-62182.09"/>
    <n v="-38166.9"/>
    <n v="-665347.72"/>
    <n v="-24015.189999999995"/>
  </r>
  <r>
    <x v="18"/>
    <x v="0"/>
    <x v="0"/>
    <s v="4805102"/>
    <n v="400010"/>
    <s v="Acute I/P Svcs Rev--Other"/>
    <s v="CT Scan Services"/>
    <x v="0"/>
    <n v="1700"/>
    <n v="-36224.230000000003"/>
    <n v="-51467.31"/>
    <n v="-41533.519999999997"/>
    <n v="-15913.41"/>
    <n v="-5111.91"/>
    <n v="-35221.79"/>
    <n v="-26987.61"/>
    <n v="-77200.92"/>
    <n v="-38321.699999999997"/>
    <n v="-77627.14"/>
    <n v="-34940.28"/>
    <n v="-57888.08"/>
    <n v="-498437.90000000008"/>
    <n v="22947.800000000003"/>
  </r>
  <r>
    <x v="19"/>
    <x v="0"/>
    <x v="0"/>
    <s v="4805102"/>
    <n v="400020"/>
    <s v="O/P Care Svcs Rev--Medicare"/>
    <s v="CT Scan Services"/>
    <x v="0"/>
    <n v="1100"/>
    <n v="-2444929.6800000002"/>
    <n v="-2629790.9300000002"/>
    <n v="-2338302.6"/>
    <n v="-2645779.9"/>
    <n v="-2624309.5499999998"/>
    <n v="-2459813.65"/>
    <n v="-2915047.64"/>
    <n v="-2228506.41"/>
    <n v="-2807353.18"/>
    <n v="-2566243.75"/>
    <n v="-2764000.97"/>
    <n v="-2532299.0699999998"/>
    <n v="-30956377.329999998"/>
    <n v="-231701.90000000037"/>
  </r>
  <r>
    <x v="19"/>
    <x v="0"/>
    <x v="0"/>
    <s v="4805102"/>
    <n v="400020"/>
    <s v="O/P Care Svcs Rev--Medicaid"/>
    <s v="CT Scan Services"/>
    <x v="0"/>
    <n v="1200"/>
    <n v="-1853566.62"/>
    <n v="-1759424.23"/>
    <n v="-1562046.23"/>
    <n v="-1946390.37"/>
    <n v="-1582541.31"/>
    <n v="-1591737.8"/>
    <n v="-1620381.86"/>
    <n v="-1406431.51"/>
    <n v="-1560806.3"/>
    <n v="-1616293.56"/>
    <n v="-1569053.95"/>
    <n v="-1544100.16"/>
    <n v="-19612773.900000002"/>
    <n v="-24953.790000000037"/>
  </r>
  <r>
    <x v="19"/>
    <x v="0"/>
    <x v="0"/>
    <s v="4805102"/>
    <n v="400020"/>
    <s v="O/P Care Svcs Rev--Comm Insurance"/>
    <s v="CT Scan Services"/>
    <x v="0"/>
    <n v="1300"/>
    <n v="-313481.98"/>
    <n v="-252570.22"/>
    <n v="-103484.3"/>
    <n v="-131977.85"/>
    <n v="-230575.29"/>
    <n v="-236289.39"/>
    <n v="-182605.21"/>
    <n v="-173060.62"/>
    <n v="-231572.51"/>
    <n v="-214420.71"/>
    <n v="-156207.01"/>
    <n v="-296763.84999999998"/>
    <n v="-2523008.94"/>
    <n v="140556.83999999997"/>
  </r>
  <r>
    <x v="19"/>
    <x v="0"/>
    <x v="0"/>
    <s v="4805102"/>
    <n v="400020"/>
    <s v="O/P Care Svcs Rev--BCBS Comm"/>
    <s v="CT Scan Services"/>
    <x v="0"/>
    <n v="1301"/>
    <n v="-520702.83"/>
    <n v="-520976.77"/>
    <n v="-555237.19999999995"/>
    <n v="-592645.89"/>
    <n v="-725201.61"/>
    <n v="-613183.26"/>
    <n v="-755018.28"/>
    <n v="-516873.16"/>
    <n v="-519264.69"/>
    <n v="-448358.91"/>
    <n v="-613843.06000000006"/>
    <n v="-509136.95"/>
    <n v="-6890442.6100000003"/>
    <n v="-104706.11000000004"/>
  </r>
  <r>
    <x v="19"/>
    <x v="0"/>
    <x v="0"/>
    <s v="4805102"/>
    <n v="400020"/>
    <s v="O/P Care Svcs Rev--Managed Care"/>
    <s v="CT Scan Services"/>
    <x v="0"/>
    <n v="1400"/>
    <n v="-1714997.55"/>
    <n v="-1671869.22"/>
    <n v="-1367693.64"/>
    <n v="-1481425.09"/>
    <n v="-1450674.51"/>
    <n v="-1287221.46"/>
    <n v="-1375888.22"/>
    <n v="-1249111.28"/>
    <n v="-1549269.58"/>
    <n v="-1497876.19"/>
    <n v="-1504112.05"/>
    <n v="-1305020.43"/>
    <n v="-17455159.219999999"/>
    <n v="-199091.62000000011"/>
  </r>
  <r>
    <x v="19"/>
    <x v="0"/>
    <x v="0"/>
    <s v="4805102"/>
    <n v="400020"/>
    <s v="O/P Care Svcs Rev--Self Pay"/>
    <s v="CT Scan Services"/>
    <x v="0"/>
    <n v="1500"/>
    <n v="-452198.47"/>
    <n v="-601049.57999999996"/>
    <n v="-518074.03"/>
    <n v="-574414.75"/>
    <n v="-493877.17"/>
    <n v="-339354.41"/>
    <n v="-424438.97"/>
    <n v="-352343.13"/>
    <n v="-508923.43"/>
    <n v="-304996.87"/>
    <n v="-413308.57"/>
    <n v="-404425.7"/>
    <n v="-5387405.0800000001"/>
    <n v="-8882.8699999999953"/>
  </r>
  <r>
    <x v="19"/>
    <x v="0"/>
    <x v="0"/>
    <s v="4805102"/>
    <n v="400020"/>
    <s v="O/P Care Svcs Rev--Other"/>
    <s v="CT Scan Services"/>
    <x v="0"/>
    <n v="1700"/>
    <n v="-215479.82"/>
    <n v="-163570.79"/>
    <n v="-153349.57"/>
    <n v="-182484.29"/>
    <n v="-163694.87"/>
    <n v="-194171.16"/>
    <n v="-139382.82"/>
    <n v="-121605.36"/>
    <n v="-193234.26"/>
    <n v="-169009.81"/>
    <n v="-176601.94"/>
    <n v="-199473.32"/>
    <n v="-2072058.0100000002"/>
    <n v="22871.380000000005"/>
  </r>
  <r>
    <x v="5"/>
    <x v="0"/>
    <x v="0"/>
    <s v="4805102"/>
    <n v="700032"/>
    <s v="Salaries-Other Pat Care Providers-Productive"/>
    <s v="CT Scan Services"/>
    <x v="0"/>
    <m/>
    <n v="0"/>
    <n v="311.83999999999997"/>
    <n v="823.3"/>
    <n v="-202.16"/>
    <n v="264.24"/>
    <n v="55.42"/>
    <n v="0"/>
    <n v="0"/>
    <n v="0"/>
    <n v="0"/>
    <n v="0"/>
    <n v="145.29"/>
    <n v="1397.9299999999998"/>
    <n v="-145.29"/>
  </r>
  <r>
    <x v="5"/>
    <x v="0"/>
    <x v="0"/>
    <s v="4805102"/>
    <n v="700032"/>
    <s v="Salaries-Other Pat Care Providers-OT"/>
    <s v="CT Scan Services"/>
    <x v="0"/>
    <n v="1000"/>
    <n v="0"/>
    <n v="0"/>
    <n v="0"/>
    <n v="0"/>
    <n v="0"/>
    <n v="0"/>
    <n v="0"/>
    <n v="0"/>
    <n v="0"/>
    <n v="0"/>
    <n v="0"/>
    <n v="50.46"/>
    <n v="50.46"/>
    <n v="-50.46"/>
  </r>
  <r>
    <x v="5"/>
    <x v="0"/>
    <x v="0"/>
    <s v="4805102"/>
    <n v="700032"/>
    <s v="Salaries-Other Pat Care Providers-Other"/>
    <s v="CT Scan Services"/>
    <x v="0"/>
    <n v="2000"/>
    <n v="0"/>
    <n v="21.42"/>
    <n v="77.069999999999993"/>
    <n v="-17.54"/>
    <n v="16.059999999999999"/>
    <n v="3.73"/>
    <n v="0"/>
    <n v="0"/>
    <n v="0"/>
    <n v="0"/>
    <n v="0"/>
    <n v="12.02"/>
    <n v="112.75999999999999"/>
    <n v="-12.02"/>
  </r>
  <r>
    <x v="5"/>
    <x v="0"/>
    <x v="0"/>
    <s v="4805102"/>
    <n v="700034"/>
    <s v="Salaries-Tech/Professional-Productive"/>
    <s v="CT Scan Services"/>
    <x v="0"/>
    <m/>
    <n v="50434.27"/>
    <n v="50702.46"/>
    <n v="49440.959999999999"/>
    <n v="52199.07"/>
    <n v="53318.23"/>
    <n v="49940.56"/>
    <n v="53366.17"/>
    <n v="48549.72"/>
    <n v="53996.22"/>
    <n v="51187.26"/>
    <n v="53804.56"/>
    <n v="49370.36"/>
    <n v="616309.84"/>
    <n v="4434.1999999999971"/>
  </r>
  <r>
    <x v="5"/>
    <x v="0"/>
    <x v="0"/>
    <s v="4805102"/>
    <n v="700034"/>
    <s v="Salaries-Tech/Professional-OT"/>
    <s v="CT Scan Services"/>
    <x v="0"/>
    <n v="1000"/>
    <n v="3180.35"/>
    <n v="2396.13"/>
    <n v="1044.69"/>
    <n v="1371.69"/>
    <n v="1994.31"/>
    <n v="2287.0500000000002"/>
    <n v="1599.05"/>
    <n v="3742.01"/>
    <n v="3266.54"/>
    <n v="4618.3100000000004"/>
    <n v="4583.7700000000004"/>
    <n v="3839.54"/>
    <n v="33923.440000000002"/>
    <n v="744.23000000000047"/>
  </r>
  <r>
    <x v="5"/>
    <x v="0"/>
    <x v="0"/>
    <s v="4805102"/>
    <n v="700034"/>
    <s v="Salaries-Tech/Professional-Other"/>
    <s v="CT Scan Services"/>
    <x v="0"/>
    <n v="2000"/>
    <n v="3994.43"/>
    <n v="4247.93"/>
    <n v="4395.37"/>
    <n v="5041.92"/>
    <n v="5133.6099999999997"/>
    <n v="4762.79"/>
    <n v="3903.59"/>
    <n v="4195.63"/>
    <n v="3359.88"/>
    <n v="5810.82"/>
    <n v="3846.21"/>
    <n v="4688.32"/>
    <n v="53380.5"/>
    <n v="-842.10999999999967"/>
  </r>
  <r>
    <x v="5"/>
    <x v="0"/>
    <x v="0"/>
    <s v="4805102"/>
    <n v="700038"/>
    <s v="Salaries-Service/Support-Productive"/>
    <s v="CT Scan Services"/>
    <x v="0"/>
    <m/>
    <n v="103.98"/>
    <n v="-18.34"/>
    <n v="0"/>
    <n v="0"/>
    <n v="0"/>
    <n v="0"/>
    <n v="0"/>
    <n v="0"/>
    <n v="0"/>
    <n v="0"/>
    <n v="0"/>
    <n v="0"/>
    <n v="85.64"/>
    <n v="0"/>
  </r>
  <r>
    <x v="5"/>
    <x v="0"/>
    <x v="0"/>
    <s v="4805102"/>
    <n v="700038"/>
    <s v="Salaries-Service/Support-OT"/>
    <s v="CT Scan Services"/>
    <x v="0"/>
    <n v="1000"/>
    <n v="0"/>
    <n v="0"/>
    <n v="0"/>
    <n v="0"/>
    <n v="0"/>
    <n v="0"/>
    <n v="0"/>
    <n v="0"/>
    <n v="0"/>
    <n v="373.36"/>
    <n v="-155.55000000000001"/>
    <n v="0"/>
    <n v="217.81"/>
    <n v="-155.55000000000001"/>
  </r>
  <r>
    <x v="5"/>
    <x v="0"/>
    <x v="0"/>
    <s v="4805102"/>
    <n v="700038"/>
    <s v="Salaries-Service/Support-Other"/>
    <s v="CT Scan Services"/>
    <x v="0"/>
    <n v="2000"/>
    <n v="7.28"/>
    <n v="-1.28"/>
    <n v="0"/>
    <n v="0"/>
    <n v="0"/>
    <n v="0"/>
    <n v="0"/>
    <n v="0"/>
    <n v="0"/>
    <n v="18.02"/>
    <n v="-7.5"/>
    <n v="0"/>
    <n v="16.52"/>
    <n v="-7.5"/>
  </r>
  <r>
    <x v="5"/>
    <x v="0"/>
    <x v="0"/>
    <s v="4805102"/>
    <n v="700074"/>
    <s v="Salaries-Tech/Professional-Non-productive"/>
    <s v="CT Scan Services"/>
    <x v="0"/>
    <m/>
    <n v="10206.92"/>
    <n v="5834.45"/>
    <n v="4181.75"/>
    <n v="7624.33"/>
    <n v="8667.7099999999991"/>
    <n v="13781.51"/>
    <n v="8749.43"/>
    <n v="11642.28"/>
    <n v="3508.21"/>
    <n v="9614.82"/>
    <n v="3878.64"/>
    <n v="14388.75"/>
    <n v="102078.8"/>
    <n v="-10510.11"/>
  </r>
  <r>
    <x v="5"/>
    <x v="0"/>
    <x v="0"/>
    <s v="4805102"/>
    <n v="700074"/>
    <s v="Salaries-Tech/Professional-NonProd-Other"/>
    <s v="CT Scan Services"/>
    <x v="0"/>
    <n v="2000"/>
    <n v="538.28"/>
    <n v="421.94"/>
    <n v="736.73"/>
    <n v="99"/>
    <n v="580.99"/>
    <n v="148.41999999999999"/>
    <n v="313.54000000000002"/>
    <n v="201.08"/>
    <n v="-55.16"/>
    <n v="93.14"/>
    <n v="169.6"/>
    <n v="664.31"/>
    <n v="3911.87"/>
    <n v="-494.70999999999992"/>
  </r>
  <r>
    <x v="5"/>
    <x v="0"/>
    <x v="0"/>
    <s v="4805102"/>
    <n v="700084"/>
    <s v="Accrued PTO"/>
    <s v="CT Scan Services"/>
    <x v="0"/>
    <m/>
    <n v="-1283.56"/>
    <n v="785.69"/>
    <n v="2727.01"/>
    <n v="2105.33"/>
    <n v="-271.07"/>
    <n v="-374.65"/>
    <n v="-264.25"/>
    <n v="328.55"/>
    <n v="5035.6899999999996"/>
    <n v="-946.55"/>
    <n v="1044.07"/>
    <n v="-3357.54"/>
    <n v="5528.72"/>
    <n v="4401.6099999999997"/>
  </r>
  <r>
    <x v="6"/>
    <x v="0"/>
    <x v="0"/>
    <s v="4805102"/>
    <n v="713010"/>
    <s v="Benefits-FICA/Medicare"/>
    <s v="CT Scan Services"/>
    <x v="0"/>
    <m/>
    <n v="5176.3999999999996"/>
    <n v="4841.21"/>
    <n v="4571.2"/>
    <n v="4998.3500000000004"/>
    <n v="5306.05"/>
    <n v="5592.04"/>
    <n v="5128.1099999999997"/>
    <n v="5167.1099999999997"/>
    <n v="4833.99"/>
    <n v="5416.88"/>
    <n v="4986.59"/>
    <n v="5602.29"/>
    <n v="61620.219999999994"/>
    <n v="-615.69999999999982"/>
  </r>
  <r>
    <x v="6"/>
    <x v="0"/>
    <x v="0"/>
    <s v="4805102"/>
    <n v="713090"/>
    <s v="Benefits-Allocated Amounts"/>
    <s v="CT Scan Services"/>
    <x v="0"/>
    <m/>
    <n v="11575.46"/>
    <n v="9623.07"/>
    <n v="10175.52"/>
    <n v="10485.98"/>
    <n v="11254.58"/>
    <n v="11363.42"/>
    <n v="11436.9"/>
    <n v="11951.95"/>
    <n v="10914.63"/>
    <n v="12508.93"/>
    <n v="11213.5"/>
    <n v="12565.19"/>
    <n v="135069.13"/>
    <n v="-1351.6900000000005"/>
  </r>
  <r>
    <x v="7"/>
    <x v="0"/>
    <x v="0"/>
    <s v="4805102"/>
    <n v="718050"/>
    <s v="Miscellaneous Purchased Svcs"/>
    <s v="CT Scan Services"/>
    <x v="0"/>
    <n v="1020"/>
    <n v="0"/>
    <n v="0"/>
    <n v="0"/>
    <n v="0"/>
    <n v="0"/>
    <n v="0"/>
    <n v="0"/>
    <n v="0"/>
    <n v="0"/>
    <n v="0"/>
    <n v="1319.52"/>
    <n v="4050"/>
    <n v="5369.52"/>
    <n v="-2730.48"/>
  </r>
  <r>
    <x v="7"/>
    <x v="0"/>
    <x v="0"/>
    <s v="4805102"/>
    <n v="718070"/>
    <s v="Contract Srvcs-CHI Clinical Engineering"/>
    <s v="CT Scan Services"/>
    <x v="0"/>
    <m/>
    <n v="6205.29"/>
    <n v="6205.29"/>
    <n v="6385.24"/>
    <n v="6385.24"/>
    <n v="5641.17"/>
    <n v="6385.24"/>
    <n v="6385.24"/>
    <n v="7849.11"/>
    <n v="6385.24"/>
    <n v="6385.24"/>
    <n v="6385.24"/>
    <n v="3865.93"/>
    <n v="74463.469999999987"/>
    <n v="2519.31"/>
  </r>
  <r>
    <x v="11"/>
    <x v="0"/>
    <x v="0"/>
    <s v="4805102"/>
    <n v="721010"/>
    <s v="Supplies-Medical - Billable"/>
    <s v="CT Scan Services"/>
    <x v="0"/>
    <m/>
    <n v="932.19"/>
    <n v="190.41"/>
    <n v="93.5"/>
    <n v="605.5"/>
    <n v="-9.1999999999999993"/>
    <n v="-37.94"/>
    <n v="908.5"/>
    <n v="226.9"/>
    <n v="1476.54"/>
    <n v="6076.32"/>
    <n v="2312.1999999999998"/>
    <n v="2266.31"/>
    <n v="15041.229999999998"/>
    <n v="45.889999999999873"/>
  </r>
  <r>
    <x v="11"/>
    <x v="0"/>
    <x v="0"/>
    <s v="4805102"/>
    <n v="721010"/>
    <s v="Patient Monitoring"/>
    <s v="CT Scan Services"/>
    <x v="0"/>
    <n v="1000"/>
    <n v="13.05"/>
    <n v="0.44"/>
    <n v="0"/>
    <n v="0"/>
    <n v="0"/>
    <n v="0"/>
    <n v="0"/>
    <n v="0"/>
    <n v="0"/>
    <n v="0"/>
    <n v="0"/>
    <n v="0"/>
    <n v="13.49"/>
    <n v="0"/>
  </r>
  <r>
    <x v="11"/>
    <x v="0"/>
    <x v="0"/>
    <s v="4805102"/>
    <n v="721020"/>
    <s v="Supplies-Surgical - Billable"/>
    <s v="CT Scan Services"/>
    <x v="0"/>
    <m/>
    <n v="0"/>
    <n v="0"/>
    <n v="0"/>
    <n v="0"/>
    <n v="0"/>
    <n v="0"/>
    <n v="0"/>
    <n v="0"/>
    <n v="0"/>
    <n v="0"/>
    <n v="0"/>
    <n v="12.99"/>
    <n v="12.99"/>
    <n v="-12.99"/>
  </r>
  <r>
    <x v="11"/>
    <x v="0"/>
    <x v="0"/>
    <s v="4805102"/>
    <n v="721020"/>
    <s v="Custom Packs"/>
    <s v="CT Scan Services"/>
    <x v="0"/>
    <n v="1000"/>
    <n v="162.16"/>
    <n v="81.08"/>
    <n v="60.28"/>
    <n v="208.34"/>
    <n v="0"/>
    <n v="74.25"/>
    <n v="162.16"/>
    <n v="81.08"/>
    <n v="81.08"/>
    <n v="504.96"/>
    <n v="255.74"/>
    <n v="0"/>
    <n v="1671.13"/>
    <n v="255.74"/>
  </r>
  <r>
    <x v="11"/>
    <x v="0"/>
    <x v="0"/>
    <s v="4805102"/>
    <n v="721020"/>
    <s v="Endomechanical Supplies &amp; Instruments"/>
    <s v="CT Scan Services"/>
    <x v="0"/>
    <n v="1003"/>
    <n v="0"/>
    <n v="286"/>
    <n v="286"/>
    <n v="286"/>
    <n v="208"/>
    <n v="0"/>
    <n v="231.4"/>
    <n v="286"/>
    <n v="0"/>
    <n v="748.8"/>
    <n v="67.599999999999994"/>
    <n v="0"/>
    <n v="2399.7999999999997"/>
    <n v="67.599999999999994"/>
  </r>
  <r>
    <x v="11"/>
    <x v="0"/>
    <x v="0"/>
    <s v="4805102"/>
    <n v="721050"/>
    <s v="Supplies-Cardiac Rhythm - Billable"/>
    <s v="CT Scan Services"/>
    <x v="0"/>
    <m/>
    <n v="2889"/>
    <n v="3210"/>
    <n v="2247"/>
    <n v="3852"/>
    <n v="3531"/>
    <n v="3210"/>
    <n v="3852"/>
    <n v="2247"/>
    <n v="2247"/>
    <n v="2568"/>
    <n v="3210"/>
    <n v="2568"/>
    <n v="35631"/>
    <n v="642"/>
  </r>
  <r>
    <x v="11"/>
    <x v="0"/>
    <x v="0"/>
    <s v="4805102"/>
    <n v="721240"/>
    <s v="Supplies-IV Solutions/Supplies - Billable"/>
    <s v="CT Scan Services"/>
    <x v="0"/>
    <m/>
    <n v="341.4"/>
    <n v="479.06"/>
    <n v="705.51"/>
    <n v="958.01"/>
    <n v="1067.8900000000001"/>
    <n v="506.58"/>
    <n v="1265.3800000000001"/>
    <n v="579"/>
    <n v="934.28"/>
    <n v="645.98"/>
    <n v="681.68"/>
    <n v="738.5"/>
    <n v="8903.27"/>
    <n v="-56.82000000000005"/>
  </r>
  <r>
    <x v="11"/>
    <x v="0"/>
    <x v="0"/>
    <s v="4805102"/>
    <n v="721250"/>
    <s v="Supplies-Pharmacy Drugs - Billable"/>
    <s v="CT Scan Services"/>
    <x v="0"/>
    <m/>
    <n v="8281.08"/>
    <n v="10152.790000000001"/>
    <n v="6023.59"/>
    <n v="9346.17"/>
    <n v="8269"/>
    <n v="2338.4499999999998"/>
    <n v="1924.22"/>
    <n v="6642.24"/>
    <n v="15401.97"/>
    <n v="1745.9"/>
    <n v="326.56"/>
    <n v="14891.76"/>
    <n v="85343.729999999981"/>
    <n v="-14565.2"/>
  </r>
  <r>
    <x v="11"/>
    <x v="0"/>
    <x v="0"/>
    <s v="4805102"/>
    <n v="721350"/>
    <s v="Supplies-Film/Radiographic - Billable"/>
    <s v="CT Scan Services"/>
    <x v="0"/>
    <m/>
    <n v="135.30000000000001"/>
    <n v="17.3"/>
    <n v="112"/>
    <n v="259.60000000000002"/>
    <n v="0"/>
    <n v="0"/>
    <n v="0"/>
    <n v="0"/>
    <n v="236"/>
    <n v="472"/>
    <n v="0"/>
    <n v="-5.5"/>
    <n v="1226.7"/>
    <n v="5.5"/>
  </r>
  <r>
    <x v="11"/>
    <x v="0"/>
    <x v="0"/>
    <s v="4805102"/>
    <n v="721350"/>
    <s v="Radiology Imaging - Contrast Media"/>
    <s v="CT Scan Services"/>
    <x v="0"/>
    <n v="1000"/>
    <n v="127.58"/>
    <n v="255.16"/>
    <n v="218.65"/>
    <n v="191.39"/>
    <n v="255.19"/>
    <n v="0.01"/>
    <n v="616.85"/>
    <n v="88.03"/>
    <n v="197.58"/>
    <n v="140.35"/>
    <n v="591.33000000000004"/>
    <n v="0"/>
    <n v="2682.12"/>
    <n v="591.33000000000004"/>
  </r>
  <r>
    <x v="11"/>
    <x v="0"/>
    <x v="0"/>
    <s v="4805102"/>
    <n v="721410"/>
    <s v="Supplies-Medical - Nonbillable"/>
    <s v="CT Scan Services"/>
    <x v="0"/>
    <m/>
    <n v="1098.08"/>
    <n v="1519.78"/>
    <n v="4425.46"/>
    <n v="1468.6"/>
    <n v="-762.78"/>
    <n v="1356.88"/>
    <n v="1640.13"/>
    <n v="1176.73"/>
    <n v="1761.2"/>
    <n v="1131.71"/>
    <n v="1034.22"/>
    <n v="1525"/>
    <n v="17375.010000000002"/>
    <n v="-490.78"/>
  </r>
  <r>
    <x v="11"/>
    <x v="0"/>
    <x v="0"/>
    <s v="4805102"/>
    <n v="721410"/>
    <s v="Patient Monitoring"/>
    <s v="CT Scan Services"/>
    <x v="0"/>
    <n v="1000"/>
    <n v="0"/>
    <n v="0"/>
    <n v="0"/>
    <n v="0"/>
    <n v="0"/>
    <n v="2.2200000000000002"/>
    <n v="0"/>
    <n v="0"/>
    <n v="0"/>
    <n v="2.2200000000000002"/>
    <n v="0"/>
    <n v="0"/>
    <n v="4.4400000000000004"/>
    <n v="0"/>
  </r>
  <r>
    <x v="11"/>
    <x v="0"/>
    <x v="0"/>
    <s v="4805102"/>
    <n v="721420"/>
    <s v="Supplies-Surgical Nonbillable"/>
    <s v="CT Scan Services"/>
    <x v="0"/>
    <m/>
    <n v="0"/>
    <n v="0"/>
    <n v="0"/>
    <n v="3.94"/>
    <n v="0"/>
    <n v="0"/>
    <n v="0"/>
    <n v="0"/>
    <n v="0"/>
    <n v="29.32"/>
    <n v="0"/>
    <n v="0"/>
    <n v="33.26"/>
    <n v="0"/>
  </r>
  <r>
    <x v="11"/>
    <x v="0"/>
    <x v="0"/>
    <s v="4805102"/>
    <n v="721610"/>
    <s v="Supplies-Anesthesia - Nonbillable"/>
    <s v="CT Scan Services"/>
    <x v="0"/>
    <m/>
    <n v="6.89"/>
    <n v="104.74"/>
    <n v="0"/>
    <n v="-65.39"/>
    <n v="1.86"/>
    <n v="1.1000000000000001"/>
    <n v="2.23"/>
    <n v="139.19999999999999"/>
    <n v="0"/>
    <n v="-72.22"/>
    <n v="28.83"/>
    <n v="46.4"/>
    <n v="193.64000000000001"/>
    <n v="-17.57"/>
  </r>
  <r>
    <x v="11"/>
    <x v="0"/>
    <x v="0"/>
    <s v="4805102"/>
    <n v="721640"/>
    <s v="Supplies-IV Solutions/Supplies - Nonbillable"/>
    <s v="CT Scan Services"/>
    <x v="0"/>
    <m/>
    <n v="9"/>
    <n v="44"/>
    <n v="27"/>
    <n v="27"/>
    <n v="27"/>
    <n v="9"/>
    <n v="36"/>
    <n v="18"/>
    <n v="38.04"/>
    <n v="15.3"/>
    <n v="40.729999999999997"/>
    <n v="27"/>
    <n v="318.07"/>
    <n v="13.729999999999997"/>
  </r>
  <r>
    <x v="11"/>
    <x v="0"/>
    <x v="0"/>
    <s v="4805102"/>
    <n v="721650"/>
    <s v="Supplies-Pharmacy Drugs - Nonbillable"/>
    <s v="CT Scan Services"/>
    <x v="0"/>
    <m/>
    <n v="0.1"/>
    <n v="0"/>
    <n v="0"/>
    <n v="0"/>
    <n v="0"/>
    <n v="0"/>
    <n v="0"/>
    <n v="0"/>
    <n v="0"/>
    <n v="0"/>
    <n v="0.48"/>
    <n v="0"/>
    <n v="0.57999999999999996"/>
    <n v="0.48"/>
  </r>
  <r>
    <x v="11"/>
    <x v="0"/>
    <x v="0"/>
    <s v="4805102"/>
    <n v="721710"/>
    <s v="Supplies-Laboratory - Nonbillable"/>
    <s v="CT Scan Services"/>
    <x v="0"/>
    <m/>
    <n v="2568"/>
    <n v="2568"/>
    <n v="2354"/>
    <n v="2996"/>
    <n v="2568"/>
    <n v="3426.4"/>
    <n v="2782"/>
    <n v="2140"/>
    <n v="2996"/>
    <n v="2572.4"/>
    <n v="2782"/>
    <n v="2370.25"/>
    <n v="32123.050000000003"/>
    <n v="411.75"/>
  </r>
  <r>
    <x v="11"/>
    <x v="0"/>
    <x v="0"/>
    <s v="4805102"/>
    <n v="721750"/>
    <s v="Supplies-Film/Radiographic - Nonbillable"/>
    <s v="CT Scan Services"/>
    <x v="0"/>
    <m/>
    <n v="0"/>
    <n v="324.14999999999998"/>
    <n v="123.2"/>
    <n v="473.5"/>
    <n v="0"/>
    <n v="112"/>
    <n v="0"/>
    <n v="0"/>
    <n v="0"/>
    <n v="0"/>
    <n v="0"/>
    <n v="0"/>
    <n v="1032.8499999999999"/>
    <n v="0"/>
  </r>
  <r>
    <x v="11"/>
    <x v="0"/>
    <x v="0"/>
    <s v="4805102"/>
    <n v="721810"/>
    <s v="Supplies-Dietary/Cafeteria"/>
    <s v="CT Scan Services"/>
    <x v="0"/>
    <m/>
    <n v="23.4"/>
    <n v="16.649999999999999"/>
    <n v="28.8"/>
    <n v="9.35"/>
    <n v="34.26"/>
    <n v="14.4"/>
    <n v="14.4"/>
    <n v="14.4"/>
    <n v="14.4"/>
    <n v="58.07"/>
    <n v="16.8"/>
    <n v="0"/>
    <n v="244.93"/>
    <n v="16.8"/>
  </r>
  <r>
    <x v="11"/>
    <x v="0"/>
    <x v="0"/>
    <s v="4805102"/>
    <n v="721830"/>
    <s v="Supplies-Office"/>
    <s v="CT Scan Services"/>
    <x v="0"/>
    <m/>
    <n v="3.5"/>
    <n v="0"/>
    <n v="0"/>
    <n v="0"/>
    <n v="0"/>
    <n v="0"/>
    <n v="0"/>
    <n v="0"/>
    <n v="0"/>
    <n v="0"/>
    <n v="0"/>
    <n v="0"/>
    <n v="3.5"/>
    <n v="0"/>
  </r>
  <r>
    <x v="11"/>
    <x v="0"/>
    <x v="0"/>
    <s v="4805102"/>
    <n v="721870"/>
    <s v="Supplies-Environmental Services"/>
    <s v="CT Scan Services"/>
    <x v="0"/>
    <m/>
    <n v="41.2"/>
    <n v="197.76"/>
    <n v="61.8"/>
    <n v="10.35"/>
    <n v="127.72"/>
    <n v="0"/>
    <n v="20.6"/>
    <n v="0"/>
    <n v="0"/>
    <n v="0"/>
    <n v="0"/>
    <n v="41.2"/>
    <n v="500.63000000000005"/>
    <n v="-41.2"/>
  </r>
  <r>
    <x v="11"/>
    <x v="0"/>
    <x v="0"/>
    <s v="4805102"/>
    <n v="721910"/>
    <s v="Instruments"/>
    <s v="CT Scan Services"/>
    <x v="0"/>
    <n v="1000"/>
    <n v="575.61"/>
    <n v="286"/>
    <n v="286"/>
    <n v="286"/>
    <n v="-130"/>
    <n v="290.27"/>
    <n v="176.8"/>
    <n v="286"/>
    <n v="254.1"/>
    <n v="1139.4000000000001"/>
    <n v="-9.6999999999999993"/>
    <n v="509.08"/>
    <n v="3949.5600000000004"/>
    <n v="-518.78"/>
  </r>
  <r>
    <x v="11"/>
    <x v="0"/>
    <x v="0"/>
    <s v="4805102"/>
    <n v="721980"/>
    <s v="Supplies-Other"/>
    <s v="CT Scan Services"/>
    <x v="0"/>
    <m/>
    <n v="0"/>
    <n v="0"/>
    <n v="0"/>
    <n v="0"/>
    <n v="0"/>
    <n v="0"/>
    <n v="0"/>
    <n v="0"/>
    <n v="0"/>
    <n v="110.64"/>
    <n v="0"/>
    <n v="0"/>
    <n v="110.64"/>
    <n v="0"/>
  </r>
  <r>
    <x v="11"/>
    <x v="0"/>
    <x v="0"/>
    <s v="4805102"/>
    <n v="722000"/>
    <s v="Supplies-Freight Expense"/>
    <s v="CT Scan Services"/>
    <x v="0"/>
    <m/>
    <n v="8.8699999999999992"/>
    <n v="7.93"/>
    <n v="15.86"/>
    <n v="71.5"/>
    <n v="16.920000000000002"/>
    <n v="38.159999999999997"/>
    <n v="38.67"/>
    <n v="14.5"/>
    <n v="18"/>
    <n v="8.76"/>
    <n v="46.04"/>
    <n v="14.79"/>
    <n v="300.00000000000006"/>
    <n v="31.25"/>
  </r>
  <r>
    <x v="12"/>
    <x v="0"/>
    <x v="0"/>
    <s v="4805102"/>
    <n v="730020"/>
    <s v="Rental and Leases-Copier Usage Fees (DO NOT USE)"/>
    <s v="CT Scan Services"/>
    <x v="0"/>
    <n v="5100"/>
    <n v="31.5"/>
    <n v="32.32"/>
    <n v="31.91"/>
    <n v="31.91"/>
    <n v="31.91"/>
    <n v="31.91"/>
    <n v="-45.56"/>
    <n v="22.22"/>
    <n v="22.17"/>
    <n v="22.27"/>
    <n v="22.22"/>
    <n v="24.49"/>
    <n v="259.27000000000004"/>
    <n v="-2.2699999999999996"/>
  </r>
  <r>
    <x v="15"/>
    <x v="0"/>
    <x v="0"/>
    <s v="4805102"/>
    <n v="731060"/>
    <s v="Telephone"/>
    <s v="CT Scan Services"/>
    <x v="0"/>
    <m/>
    <n v="0"/>
    <n v="0"/>
    <n v="0"/>
    <n v="0"/>
    <n v="96.8"/>
    <n v="0"/>
    <n v="0"/>
    <n v="0"/>
    <n v="0"/>
    <n v="0"/>
    <n v="0"/>
    <n v="0"/>
    <n v="96.8"/>
    <n v="0"/>
  </r>
  <r>
    <x v="13"/>
    <x v="0"/>
    <x v="0"/>
    <s v="4805102"/>
    <n v="735070"/>
    <s v="Depreciation-Movable Equipment"/>
    <s v="CT Scan Services"/>
    <x v="0"/>
    <m/>
    <n v="11778.71"/>
    <n v="11778.71"/>
    <n v="11778.71"/>
    <n v="11778.7"/>
    <n v="11778.71"/>
    <n v="11778.7"/>
    <n v="11778.71"/>
    <n v="11778.7"/>
    <n v="11778.71"/>
    <n v="11778.7"/>
    <n v="11778.71"/>
    <n v="11778.7"/>
    <n v="141344.47000000003"/>
    <n v="9.9999999983992893E-3"/>
  </r>
  <r>
    <x v="18"/>
    <x v="4"/>
    <x v="0"/>
    <s v="4805103"/>
    <n v="400010"/>
    <s v="Acute I/P Svcs Rev--Medicare"/>
    <s v="CT Scan Services"/>
    <x v="0"/>
    <n v="1100"/>
    <n v="-1049522.06"/>
    <n v="-1376540.59"/>
    <n v="-1166366.6599999999"/>
    <n v="-1136279.1599999999"/>
    <n v="-1094656.77"/>
    <n v="-1204073.95"/>
    <n v="-1409198.73"/>
    <n v="-1176209.6000000001"/>
    <n v="-1045949.1"/>
    <n v="-1348055.24"/>
    <n v="-1224463.44"/>
    <n v="-1082497.0900000001"/>
    <n v="-14313812.389999999"/>
    <n v="-141966.34999999986"/>
  </r>
  <r>
    <x v="18"/>
    <x v="4"/>
    <x v="0"/>
    <s v="4805103"/>
    <n v="400010"/>
    <s v="Acute I/P Svcs Rev--Medicaid"/>
    <s v="CT Scan Services"/>
    <x v="0"/>
    <n v="1200"/>
    <n v="-846830.29"/>
    <n v="-457480.25"/>
    <n v="-711989.2"/>
    <n v="-496454.17"/>
    <n v="-432192.76"/>
    <n v="-667201.1"/>
    <n v="-410157.68"/>
    <n v="-674880.04"/>
    <n v="-617218.36"/>
    <n v="-705022.95"/>
    <n v="-610307.07999999996"/>
    <n v="-556059.1"/>
    <n v="-7185792.9800000004"/>
    <n v="-54247.979999999981"/>
  </r>
  <r>
    <x v="18"/>
    <x v="4"/>
    <x v="0"/>
    <s v="4805103"/>
    <n v="400010"/>
    <s v="Acute I/P Svcs Rev--Comm Insurance"/>
    <s v="CT Scan Services"/>
    <x v="0"/>
    <n v="1300"/>
    <n v="-33511.360000000001"/>
    <n v="-26661.5"/>
    <n v="-25855.07"/>
    <n v="-24107.74"/>
    <n v="-22108.29"/>
    <n v="-55014.6"/>
    <n v="-40863.379999999997"/>
    <n v="6085.67"/>
    <n v="-4012.05"/>
    <n v="3238.98"/>
    <n v="-44408.78"/>
    <n v="-47336.25"/>
    <n v="-314554.37"/>
    <n v="2927.4700000000012"/>
  </r>
  <r>
    <x v="18"/>
    <x v="4"/>
    <x v="0"/>
    <s v="4805103"/>
    <n v="400010"/>
    <s v="Acute I/P Svcs Rev--BCBS Comm"/>
    <s v="CT Scan Services"/>
    <x v="0"/>
    <n v="1301"/>
    <n v="-85989.11"/>
    <n v="-51390.91"/>
    <n v="-113885.06"/>
    <n v="-34252.25"/>
    <n v="-18983.060000000001"/>
    <n v="-30828.3"/>
    <n v="-42370.79"/>
    <n v="-37624.980000000003"/>
    <n v="-117483.96"/>
    <n v="-65064.45"/>
    <n v="-53135.77"/>
    <n v="-51661.33"/>
    <n v="-702669.96999999986"/>
    <n v="-1474.4399999999951"/>
  </r>
  <r>
    <x v="18"/>
    <x v="4"/>
    <x v="0"/>
    <s v="4805103"/>
    <n v="400010"/>
    <s v="Acute I/P Svcs Rev--Managed Care"/>
    <s v="CT Scan Services"/>
    <x v="0"/>
    <n v="1400"/>
    <n v="-224155.58"/>
    <n v="-108919.77"/>
    <n v="-204745.22"/>
    <n v="-157118.92000000001"/>
    <n v="-119655.46"/>
    <n v="-171542.13"/>
    <n v="-161646.18"/>
    <n v="-283103.40999999997"/>
    <n v="-182636.45"/>
    <n v="-61420.44"/>
    <n v="-101719.29"/>
    <n v="-147295.04999999999"/>
    <n v="-1923957.9"/>
    <n v="45575.759999999995"/>
  </r>
  <r>
    <x v="18"/>
    <x v="4"/>
    <x v="0"/>
    <s v="4805103"/>
    <n v="400010"/>
    <s v="Acute I/P Svcs Rev--Self Pay"/>
    <s v="CT Scan Services"/>
    <x v="0"/>
    <n v="1500"/>
    <n v="-11144.67"/>
    <n v="-58027.38"/>
    <n v="0"/>
    <n v="-18625.669999999998"/>
    <n v="-19621.12"/>
    <n v="-24487.19"/>
    <n v="-47265.08"/>
    <n v="-58048.74"/>
    <n v="-68223.149999999994"/>
    <n v="-22939.94"/>
    <n v="-44370.94"/>
    <n v="11910.7"/>
    <n v="-360843.18"/>
    <n v="-56281.64"/>
  </r>
  <r>
    <x v="18"/>
    <x v="4"/>
    <x v="0"/>
    <s v="4805103"/>
    <n v="400010"/>
    <s v="Acute I/P Svcs Rev--Other"/>
    <s v="CT Scan Services"/>
    <x v="0"/>
    <n v="1700"/>
    <n v="-56127.3"/>
    <n v="-98256.79"/>
    <n v="-70672.02"/>
    <n v="-42759.78"/>
    <n v="-46858.12"/>
    <n v="-112605.04"/>
    <n v="-114152.08"/>
    <n v="-83108.479999999996"/>
    <n v="-80279.33"/>
    <n v="-157449.84"/>
    <n v="-145105.68"/>
    <n v="-111610.32"/>
    <n v="-1118984.78"/>
    <n v="-33495.359999999986"/>
  </r>
  <r>
    <x v="19"/>
    <x v="4"/>
    <x v="0"/>
    <s v="4805103"/>
    <n v="400020"/>
    <s v="O/P Care Svcs Rev--Medicare"/>
    <s v="CT Scan Services"/>
    <x v="0"/>
    <n v="1100"/>
    <n v="-1945735.65"/>
    <n v="-2514494.16"/>
    <n v="-2055278.74"/>
    <n v="-2310386.33"/>
    <n v="-1782162.41"/>
    <n v="-1664494.33"/>
    <n v="-2514199.38"/>
    <n v="-2029546.22"/>
    <n v="-2098430.48"/>
    <n v="-2280093.7400000002"/>
    <n v="-2227300.25"/>
    <n v="-1962339.12"/>
    <n v="-25384460.809999999"/>
    <n v="-264961.12999999989"/>
  </r>
  <r>
    <x v="19"/>
    <x v="4"/>
    <x v="0"/>
    <s v="4805103"/>
    <n v="400020"/>
    <s v="O/P Care Svcs Rev--Medicaid"/>
    <s v="CT Scan Services"/>
    <x v="0"/>
    <n v="1200"/>
    <n v="-2040171.68"/>
    <n v="-2013939.11"/>
    <n v="-1829698.31"/>
    <n v="-1951188.29"/>
    <n v="-1816786.81"/>
    <n v="-1652790.09"/>
    <n v="-1895333.44"/>
    <n v="-1486120.79"/>
    <n v="-1984489.18"/>
    <n v="-2074421.99"/>
    <n v="-1875921.23"/>
    <n v="-2145344.58"/>
    <n v="-22766205.5"/>
    <n v="269423.35000000009"/>
  </r>
  <r>
    <x v="19"/>
    <x v="4"/>
    <x v="0"/>
    <s v="4805103"/>
    <n v="400020"/>
    <s v="O/P Care Svcs Rev--Comm Insurance"/>
    <s v="CT Scan Services"/>
    <x v="0"/>
    <n v="1300"/>
    <n v="-345844.36"/>
    <n v="-307521.99"/>
    <n v="-17711.740000000002"/>
    <n v="-197109.12"/>
    <n v="-191706.05"/>
    <n v="-207857.68"/>
    <n v="-146021.56"/>
    <n v="-127229.78"/>
    <n v="-177839.9"/>
    <n v="-212565.96"/>
    <n v="-341501.58"/>
    <n v="-184322.96"/>
    <n v="-2457232.6799999997"/>
    <n v="-157178.62000000002"/>
  </r>
  <r>
    <x v="19"/>
    <x v="4"/>
    <x v="0"/>
    <s v="4805103"/>
    <n v="400020"/>
    <s v="O/P Care Svcs Rev--BCBS Comm"/>
    <s v="CT Scan Services"/>
    <x v="0"/>
    <n v="1301"/>
    <n v="-291667.34999999998"/>
    <n v="-288103.88"/>
    <n v="-269180.11"/>
    <n v="-315281.46000000002"/>
    <n v="-241763.66"/>
    <n v="-307141.53999999998"/>
    <n v="-299363.21999999997"/>
    <n v="-245558.46"/>
    <n v="-253392.08"/>
    <n v="-286029.28999999998"/>
    <n v="-336571.53"/>
    <n v="-286077.57"/>
    <n v="-3420130.15"/>
    <n v="-50493.960000000021"/>
  </r>
  <r>
    <x v="19"/>
    <x v="4"/>
    <x v="0"/>
    <s v="4805103"/>
    <n v="400020"/>
    <s v="O/P Care Svcs Rev--Managed Care"/>
    <s v="CT Scan Services"/>
    <x v="0"/>
    <n v="1400"/>
    <n v="-938699.75"/>
    <n v="-828620.23"/>
    <n v="-917446.21"/>
    <n v="-853320.2"/>
    <n v="-933234.61"/>
    <n v="-913837.3"/>
    <n v="-932004.99"/>
    <n v="-807577.46"/>
    <n v="-924345.87"/>
    <n v="-1055948.06"/>
    <n v="-873580.13"/>
    <n v="-838400.54"/>
    <n v="-10817015.350000001"/>
    <n v="-35179.589999999967"/>
  </r>
  <r>
    <x v="19"/>
    <x v="4"/>
    <x v="0"/>
    <s v="4805103"/>
    <n v="400020"/>
    <s v="O/P Care Svcs Rev--Self Pay"/>
    <s v="CT Scan Services"/>
    <x v="0"/>
    <n v="1500"/>
    <n v="-343590.38"/>
    <n v="-399450.27"/>
    <n v="-261894.48"/>
    <n v="-230895.71"/>
    <n v="-254011.28"/>
    <n v="-286311.84999999998"/>
    <n v="-280513.98"/>
    <n v="-259590.02"/>
    <n v="-275244.33"/>
    <n v="-330059.78000000003"/>
    <n v="-213824.76"/>
    <n v="-194186.96"/>
    <n v="-3329573.8"/>
    <n v="-19637.800000000017"/>
  </r>
  <r>
    <x v="19"/>
    <x v="4"/>
    <x v="0"/>
    <s v="4805103"/>
    <n v="400020"/>
    <s v="O/P Care Svcs Rev--Other"/>
    <s v="CT Scan Services"/>
    <x v="0"/>
    <n v="1700"/>
    <n v="-341226.77"/>
    <n v="-475838.17"/>
    <n v="-391567.32"/>
    <n v="-470391.62"/>
    <n v="-341701.01"/>
    <n v="-487518.24"/>
    <n v="-412541.59"/>
    <n v="-301775.03999999998"/>
    <n v="-410164"/>
    <n v="-522499.67"/>
    <n v="-520576.45"/>
    <n v="-488458.93"/>
    <n v="-5164258.8099999996"/>
    <n v="-32117.520000000019"/>
  </r>
  <r>
    <x v="5"/>
    <x v="4"/>
    <x v="0"/>
    <s v="4805103"/>
    <n v="700034"/>
    <s v="Salaries-Tech/Professional-Productive"/>
    <s v="CT Scan Services"/>
    <x v="0"/>
    <m/>
    <n v="38896.86"/>
    <n v="38048.25"/>
    <n v="36789.19"/>
    <n v="39521.75"/>
    <n v="30756.2"/>
    <n v="32661.56"/>
    <n v="32312.7"/>
    <n v="38395.47"/>
    <n v="35033.160000000003"/>
    <n v="32945.019999999997"/>
    <n v="39407.03"/>
    <n v="37794.61"/>
    <n v="432561.80000000005"/>
    <n v="1612.4199999999983"/>
  </r>
  <r>
    <x v="5"/>
    <x v="4"/>
    <x v="0"/>
    <s v="4805103"/>
    <n v="700034"/>
    <s v="Salaries-Tech/Professional-OT"/>
    <s v="CT Scan Services"/>
    <x v="0"/>
    <n v="1000"/>
    <n v="960.62"/>
    <n v="86.45"/>
    <n v="-11.09"/>
    <n v="2178.2800000000002"/>
    <n v="-556.21"/>
    <n v="823.86"/>
    <n v="539.9"/>
    <n v="606.76"/>
    <n v="45.14"/>
    <n v="1301.31"/>
    <n v="380.8"/>
    <n v="220.37"/>
    <n v="6576.1900000000005"/>
    <n v="160.43"/>
  </r>
  <r>
    <x v="5"/>
    <x v="4"/>
    <x v="0"/>
    <s v="4805103"/>
    <n v="700034"/>
    <s v="Salaries-Tech/Professional-Other"/>
    <s v="CT Scan Services"/>
    <x v="0"/>
    <n v="2000"/>
    <n v="3248.12"/>
    <n v="2988.24"/>
    <n v="2718.86"/>
    <n v="3271.2"/>
    <n v="1717"/>
    <n v="2667.99"/>
    <n v="3082.82"/>
    <n v="2701.36"/>
    <n v="2654.3"/>
    <n v="3094.03"/>
    <n v="2976.99"/>
    <n v="2890.48"/>
    <n v="34011.39"/>
    <n v="86.509999999999764"/>
  </r>
  <r>
    <x v="5"/>
    <x v="4"/>
    <x v="0"/>
    <s v="4805103"/>
    <n v="700074"/>
    <s v="Salaries-Tech/Professional-Non-productive"/>
    <s v="CT Scan Services"/>
    <x v="0"/>
    <m/>
    <n v="13594.8"/>
    <n v="10737.23"/>
    <n v="7153.73"/>
    <n v="7717.09"/>
    <n v="9631.83"/>
    <n v="5271.52"/>
    <n v="9282.19"/>
    <n v="3478.72"/>
    <n v="2790.88"/>
    <n v="6203.34"/>
    <n v="2447.66"/>
    <n v="6060.68"/>
    <n v="84369.670000000013"/>
    <n v="-3613.0200000000004"/>
  </r>
  <r>
    <x v="5"/>
    <x v="4"/>
    <x v="0"/>
    <s v="4805103"/>
    <n v="700074"/>
    <s v="Salaries-Tech/Professional-NonProd-Other"/>
    <s v="CT Scan Services"/>
    <x v="0"/>
    <n v="2000"/>
    <n v="372.43"/>
    <n v="574.63"/>
    <n v="207.84"/>
    <n v="499.52"/>
    <n v="365.67"/>
    <n v="202.49"/>
    <n v="330.52"/>
    <n v="196.46"/>
    <n v="104.57"/>
    <n v="434.54"/>
    <n v="9.06"/>
    <n v="361.48"/>
    <n v="3659.21"/>
    <n v="-352.42"/>
  </r>
  <r>
    <x v="5"/>
    <x v="4"/>
    <x v="0"/>
    <s v="4805103"/>
    <n v="700084"/>
    <s v="Accrued PTO"/>
    <s v="CT Scan Services"/>
    <x v="0"/>
    <m/>
    <n v="879.74"/>
    <n v="229.22"/>
    <n v="-604.52"/>
    <n v="4885.66"/>
    <n v="-3023.5"/>
    <n v="7196.39"/>
    <n v="1218.42"/>
    <n v="7133.4"/>
    <n v="4228.6899999999996"/>
    <n v="2294.79"/>
    <n v="3266.4"/>
    <n v="1511.03"/>
    <n v="29215.72"/>
    <n v="1755.3700000000001"/>
  </r>
  <r>
    <x v="6"/>
    <x v="4"/>
    <x v="0"/>
    <s v="4805103"/>
    <n v="713010"/>
    <s v="Benefits-FICA/Medicare"/>
    <s v="CT Scan Services"/>
    <x v="0"/>
    <m/>
    <n v="4224.1400000000003"/>
    <n v="3875.42"/>
    <n v="3467.04"/>
    <n v="3941.97"/>
    <n v="3101.14"/>
    <n v="3083.65"/>
    <n v="3367.63"/>
    <n v="3343.5"/>
    <n v="3004.78"/>
    <n v="3254.15"/>
    <n v="3342.61"/>
    <n v="3506.18"/>
    <n v="41512.21"/>
    <n v="-163.56999999999971"/>
  </r>
  <r>
    <x v="6"/>
    <x v="4"/>
    <x v="0"/>
    <s v="4805103"/>
    <n v="713090"/>
    <s v="Benefits-Allocated Amounts"/>
    <s v="CT Scan Services"/>
    <x v="0"/>
    <m/>
    <n v="9687.1299999999992"/>
    <n v="7620.93"/>
    <n v="7665.13"/>
    <n v="8498.85"/>
    <n v="6781.88"/>
    <n v="6846.53"/>
    <n v="7745.7"/>
    <n v="8497.73"/>
    <n v="6752.26"/>
    <n v="7966.54"/>
    <n v="7950.91"/>
    <n v="8533.2000000000007"/>
    <n v="94546.789999999979"/>
    <n v="-582.29000000000087"/>
  </r>
  <r>
    <x v="7"/>
    <x v="4"/>
    <x v="0"/>
    <s v="4805103"/>
    <n v="718050"/>
    <s v="Contract Svcs-Other"/>
    <s v="CT Scan Services"/>
    <x v="0"/>
    <m/>
    <n v="0"/>
    <n v="-24.75"/>
    <n v="0"/>
    <n v="0"/>
    <n v="0"/>
    <n v="2750"/>
    <n v="0"/>
    <n v="0"/>
    <n v="700"/>
    <n v="1350"/>
    <n v="0"/>
    <n v="0"/>
    <n v="4775.25"/>
    <n v="0"/>
  </r>
  <r>
    <x v="7"/>
    <x v="4"/>
    <x v="0"/>
    <s v="4805103"/>
    <n v="718050"/>
    <s v="Translation Services"/>
    <s v="CT Scan Services"/>
    <x v="0"/>
    <n v="1025"/>
    <n v="0"/>
    <n v="0"/>
    <n v="32"/>
    <n v="61.69"/>
    <n v="0"/>
    <n v="0"/>
    <n v="136"/>
    <n v="0"/>
    <n v="0"/>
    <n v="0"/>
    <n v="0"/>
    <n v="0"/>
    <n v="229.69"/>
    <n v="0"/>
  </r>
  <r>
    <x v="7"/>
    <x v="4"/>
    <x v="0"/>
    <s v="4805103"/>
    <n v="718050"/>
    <s v="Contract Management--Linen"/>
    <s v="CT Scan Services"/>
    <x v="0"/>
    <n v="1026"/>
    <n v="1938.21"/>
    <n v="1287.8699999999999"/>
    <n v="1223.97"/>
    <n v="972.78"/>
    <n v="1180.3399999999999"/>
    <n v="1138.77"/>
    <n v="1415.06"/>
    <n v="1384.44"/>
    <n v="1248.73"/>
    <n v="2769.33"/>
    <n v="958.39"/>
    <n v="1854.22"/>
    <n v="17372.11"/>
    <n v="-895.83"/>
  </r>
  <r>
    <x v="7"/>
    <x v="4"/>
    <x v="0"/>
    <s v="4805103"/>
    <n v="718070"/>
    <s v="Contract Srvcs-CHI Clinical Engineering"/>
    <s v="CT Scan Services"/>
    <x v="0"/>
    <m/>
    <n v="6199.65"/>
    <n v="6199.65"/>
    <n v="6379.43"/>
    <n v="23084.82"/>
    <n v="12104.43"/>
    <n v="12104.43"/>
    <n v="12104.43"/>
    <n v="13804.76"/>
    <n v="12104.43"/>
    <n v="12104.43"/>
    <n v="13804.76"/>
    <n v="12104.43"/>
    <n v="142099.65"/>
    <n v="1700.33"/>
  </r>
  <r>
    <x v="11"/>
    <x v="4"/>
    <x v="0"/>
    <s v="4805103"/>
    <n v="721010"/>
    <s v="Supplies-Medical - Billable"/>
    <s v="CT Scan Services"/>
    <x v="0"/>
    <m/>
    <n v="590.20000000000005"/>
    <n v="186.39"/>
    <n v="223.37"/>
    <n v="704.43"/>
    <n v="936.01"/>
    <n v="731.13"/>
    <n v="655.88"/>
    <n v="20119.53"/>
    <n v="310.77999999999997"/>
    <n v="933.37"/>
    <n v="4523.3500000000004"/>
    <n v="12785.52"/>
    <n v="42699.959999999992"/>
    <n v="-8262.17"/>
  </r>
  <r>
    <x v="11"/>
    <x v="4"/>
    <x v="0"/>
    <s v="4805103"/>
    <n v="721020"/>
    <s v="Supplies-Surgical - Billable"/>
    <s v="CT Scan Services"/>
    <x v="0"/>
    <m/>
    <n v="0"/>
    <n v="0"/>
    <n v="0"/>
    <n v="0"/>
    <n v="0"/>
    <n v="345.08"/>
    <n v="106.6"/>
    <n v="-3.3"/>
    <n v="0"/>
    <n v="-43.96"/>
    <n v="172.54"/>
    <n v="0"/>
    <n v="576.95999999999992"/>
    <n v="172.54"/>
  </r>
  <r>
    <x v="11"/>
    <x v="4"/>
    <x v="0"/>
    <s v="4805103"/>
    <n v="721020"/>
    <s v="Custom Packs"/>
    <s v="CT Scan Services"/>
    <x v="0"/>
    <n v="1000"/>
    <n v="110.57"/>
    <n v="73.72"/>
    <n v="44.23"/>
    <n v="36.85"/>
    <n v="33.65"/>
    <n v="67.3"/>
    <n v="107.47"/>
    <n v="95.82"/>
    <n v="0"/>
    <n v="64.42"/>
    <n v="134.6"/>
    <n v="20.190000000000001"/>
    <n v="788.81999999999994"/>
    <n v="114.41"/>
  </r>
  <r>
    <x v="11"/>
    <x v="4"/>
    <x v="0"/>
    <s v="4805103"/>
    <n v="721020"/>
    <s v="Endomechanical Supplies &amp; Instruments"/>
    <s v="CT Scan Services"/>
    <x v="0"/>
    <n v="1003"/>
    <n v="0"/>
    <n v="0"/>
    <n v="571.48"/>
    <n v="0"/>
    <n v="1282.97"/>
    <n v="0"/>
    <n v="274.32"/>
    <n v="508.62"/>
    <n v="0"/>
    <n v="254.31"/>
    <n v="508.62"/>
    <n v="1048.67"/>
    <n v="4448.99"/>
    <n v="-540.05000000000007"/>
  </r>
  <r>
    <x v="11"/>
    <x v="4"/>
    <x v="0"/>
    <s v="4805103"/>
    <n v="721050"/>
    <s v="Supplies-Cardiac Rhythm - Billable"/>
    <s v="CT Scan Services"/>
    <x v="0"/>
    <m/>
    <n v="124.98"/>
    <n v="0"/>
    <n v="0"/>
    <n v="520.73"/>
    <n v="0"/>
    <n v="0"/>
    <n v="117.23"/>
    <n v="172.92"/>
    <n v="197.5"/>
    <n v="97.3"/>
    <n v="0"/>
    <n v="0"/>
    <n v="1230.6600000000001"/>
    <n v="0"/>
  </r>
  <r>
    <x v="11"/>
    <x v="4"/>
    <x v="0"/>
    <s v="4805103"/>
    <n v="721240"/>
    <s v="Supplies-IV Solutions/Supplies - Billable"/>
    <s v="CT Scan Services"/>
    <x v="0"/>
    <m/>
    <n v="0"/>
    <n v="0"/>
    <n v="0"/>
    <n v="301.26"/>
    <n v="0"/>
    <n v="0"/>
    <n v="0"/>
    <n v="0"/>
    <n v="0"/>
    <n v="0"/>
    <n v="0"/>
    <n v="0"/>
    <n v="301.26"/>
    <n v="0"/>
  </r>
  <r>
    <x v="11"/>
    <x v="4"/>
    <x v="0"/>
    <s v="4805103"/>
    <n v="721250"/>
    <s v="Supplies-Pharmacy Drugs - Billable"/>
    <s v="CT Scan Services"/>
    <x v="0"/>
    <m/>
    <n v="4688.54"/>
    <n v="6759.9"/>
    <n v="4265.28"/>
    <n v="9239.33"/>
    <n v="6411.97"/>
    <n v="219.38"/>
    <n v="305.97000000000003"/>
    <n v="27.5"/>
    <n v="0"/>
    <n v="1.76"/>
    <n v="7.7"/>
    <n v="1672.57"/>
    <n v="33599.9"/>
    <n v="-1664.87"/>
  </r>
  <r>
    <x v="11"/>
    <x v="4"/>
    <x v="0"/>
    <s v="4805103"/>
    <n v="721350"/>
    <s v="Supplies-Film/Radiographic - Billable"/>
    <s v="CT Scan Services"/>
    <x v="0"/>
    <m/>
    <n v="0"/>
    <n v="0"/>
    <n v="270.36"/>
    <n v="0"/>
    <n v="0"/>
    <n v="0"/>
    <n v="0"/>
    <n v="0"/>
    <n v="0"/>
    <n v="118"/>
    <n v="118"/>
    <n v="0"/>
    <n v="506.36"/>
    <n v="118"/>
  </r>
  <r>
    <x v="11"/>
    <x v="4"/>
    <x v="0"/>
    <s v="4805103"/>
    <n v="721350"/>
    <s v="Radiology Imaging - Contrast Media"/>
    <s v="CT Scan Services"/>
    <x v="0"/>
    <n v="1000"/>
    <n v="63.79"/>
    <n v="154.83000000000001"/>
    <n v="154.82"/>
    <n v="244.19"/>
    <n v="-184.09"/>
    <n v="255.18"/>
    <n v="0"/>
    <n v="0"/>
    <n v="0"/>
    <n v="0"/>
    <n v="0"/>
    <n v="0"/>
    <n v="688.72"/>
    <n v="0"/>
  </r>
  <r>
    <x v="11"/>
    <x v="4"/>
    <x v="0"/>
    <s v="4805103"/>
    <n v="721410"/>
    <s v="Supplies-Medical - Nonbillable"/>
    <s v="CT Scan Services"/>
    <x v="0"/>
    <m/>
    <n v="6356.98"/>
    <n v="7115.49"/>
    <n v="6015.45"/>
    <n v="6294.68"/>
    <n v="5698.26"/>
    <n v="4522.6899999999996"/>
    <n v="5753.51"/>
    <n v="4144.32"/>
    <n v="6314.54"/>
    <n v="7085.4"/>
    <n v="7006.7"/>
    <n v="5607.62"/>
    <n v="71915.64"/>
    <n v="1399.08"/>
  </r>
  <r>
    <x v="11"/>
    <x v="4"/>
    <x v="0"/>
    <s v="4805103"/>
    <n v="721420"/>
    <s v="Supplies-Surgical Nonbillable"/>
    <s v="CT Scan Services"/>
    <x v="0"/>
    <m/>
    <n v="36.08"/>
    <n v="18.04"/>
    <n v="12.03"/>
    <n v="25.72"/>
    <n v="18.04"/>
    <n v="18.04"/>
    <n v="36.090000000000003"/>
    <n v="30.07"/>
    <n v="42.1"/>
    <n v="48.11"/>
    <n v="18.04"/>
    <n v="42.1"/>
    <n v="344.46000000000004"/>
    <n v="-24.060000000000002"/>
  </r>
  <r>
    <x v="11"/>
    <x v="4"/>
    <x v="0"/>
    <s v="4805103"/>
    <n v="721610"/>
    <s v="Supplies-Anesthesia - Nonbillable"/>
    <s v="CT Scan Services"/>
    <x v="0"/>
    <m/>
    <n v="13.19"/>
    <n v="34.69"/>
    <n v="5.3"/>
    <n v="8.77"/>
    <n v="-0.57999999999999996"/>
    <n v="11.6"/>
    <n v="12.42"/>
    <n v="10.6"/>
    <n v="4.05"/>
    <n v="11.73"/>
    <n v="8.1999999999999993"/>
    <n v="38.57"/>
    <n v="158.54"/>
    <n v="-30.37"/>
  </r>
  <r>
    <x v="11"/>
    <x v="4"/>
    <x v="0"/>
    <s v="4805103"/>
    <n v="721640"/>
    <s v="Supplies-IV Solutions/Supplies - Nonbillable"/>
    <s v="CT Scan Services"/>
    <x v="0"/>
    <m/>
    <n v="13.67"/>
    <n v="0"/>
    <n v="203.05"/>
    <n v="6.97"/>
    <n v="2.2200000000000002"/>
    <n v="2.2000000000000002"/>
    <n v="3.3"/>
    <n v="2.2200000000000002"/>
    <n v="10.7"/>
    <n v="2.2200000000000002"/>
    <n v="2.2000000000000002"/>
    <n v="0"/>
    <n v="248.74999999999997"/>
    <n v="2.2000000000000002"/>
  </r>
  <r>
    <x v="11"/>
    <x v="4"/>
    <x v="0"/>
    <s v="4805103"/>
    <n v="721650"/>
    <s v="Supplies-Pharmacy Drugs - Nonbillable"/>
    <s v="CT Scan Services"/>
    <x v="0"/>
    <m/>
    <n v="0"/>
    <n v="0"/>
    <n v="0"/>
    <n v="0.71"/>
    <n v="0"/>
    <n v="0"/>
    <n v="0"/>
    <n v="0"/>
    <n v="0"/>
    <n v="0"/>
    <n v="0"/>
    <n v="0"/>
    <n v="0.71"/>
    <n v="0"/>
  </r>
  <r>
    <x v="11"/>
    <x v="4"/>
    <x v="0"/>
    <s v="4805103"/>
    <n v="721710"/>
    <s v="Supplies-Laboratory - Nonbillable"/>
    <s v="CT Scan Services"/>
    <x v="0"/>
    <m/>
    <n v="0"/>
    <n v="0"/>
    <n v="0"/>
    <n v="9.5299999999999994"/>
    <n v="0"/>
    <n v="0"/>
    <n v="0"/>
    <n v="0"/>
    <n v="0"/>
    <n v="0"/>
    <n v="0"/>
    <n v="0"/>
    <n v="9.5299999999999994"/>
    <n v="0"/>
  </r>
  <r>
    <x v="11"/>
    <x v="4"/>
    <x v="0"/>
    <s v="4805103"/>
    <n v="721750"/>
    <s v="Supplies-Film/Radiographic - Nonbillable"/>
    <s v="CT Scan Services"/>
    <x v="0"/>
    <m/>
    <n v="0"/>
    <n v="0"/>
    <n v="0"/>
    <n v="200.13"/>
    <n v="23.78"/>
    <n v="22.29"/>
    <n v="0"/>
    <n v="0"/>
    <n v="0"/>
    <n v="48.35"/>
    <n v="148.65"/>
    <n v="52.09"/>
    <n v="495.29000000000008"/>
    <n v="96.56"/>
  </r>
  <r>
    <x v="11"/>
    <x v="4"/>
    <x v="0"/>
    <s v="4805103"/>
    <n v="721810"/>
    <s v="Supplies-Dietary/Cafeteria"/>
    <s v="CT Scan Services"/>
    <x v="0"/>
    <m/>
    <n v="0"/>
    <n v="0"/>
    <n v="0"/>
    <n v="34.229999999999997"/>
    <n v="0"/>
    <n v="0"/>
    <n v="0"/>
    <n v="7.74"/>
    <n v="0"/>
    <n v="0"/>
    <n v="0"/>
    <n v="39"/>
    <n v="80.97"/>
    <n v="-39"/>
  </r>
  <r>
    <x v="11"/>
    <x v="4"/>
    <x v="0"/>
    <s v="4805103"/>
    <n v="721830"/>
    <s v="Supplies-Office"/>
    <s v="CT Scan Services"/>
    <x v="0"/>
    <m/>
    <n v="0"/>
    <n v="0"/>
    <n v="0"/>
    <n v="93.31"/>
    <n v="31.05"/>
    <n v="0"/>
    <n v="-14.8"/>
    <n v="0"/>
    <n v="-21540.400000000001"/>
    <n v="0"/>
    <n v="0"/>
    <n v="0"/>
    <n v="-21430.84"/>
    <n v="0"/>
  </r>
  <r>
    <x v="11"/>
    <x v="4"/>
    <x v="0"/>
    <s v="4805103"/>
    <n v="721870"/>
    <s v="Supplies-Environmental Services"/>
    <s v="CT Scan Services"/>
    <x v="0"/>
    <m/>
    <n v="0"/>
    <n v="7.87"/>
    <n v="0"/>
    <n v="30.58"/>
    <n v="0"/>
    <n v="0"/>
    <n v="0"/>
    <n v="0"/>
    <n v="0"/>
    <n v="0"/>
    <n v="0"/>
    <n v="0"/>
    <n v="38.449999999999996"/>
    <n v="0"/>
  </r>
  <r>
    <x v="11"/>
    <x v="4"/>
    <x v="0"/>
    <s v="4805103"/>
    <n v="721910"/>
    <s v="Supplies-Small Equipment"/>
    <s v="CT Scan Services"/>
    <x v="0"/>
    <m/>
    <n v="0"/>
    <n v="0"/>
    <n v="0"/>
    <n v="2.2799999999999998"/>
    <n v="0"/>
    <n v="0"/>
    <n v="0"/>
    <n v="0"/>
    <n v="0"/>
    <n v="0"/>
    <n v="329.7"/>
    <n v="0"/>
    <n v="331.97999999999996"/>
    <n v="329.7"/>
  </r>
  <r>
    <x v="11"/>
    <x v="4"/>
    <x v="0"/>
    <s v="4805103"/>
    <n v="721910"/>
    <s v="Instruments"/>
    <s v="CT Scan Services"/>
    <x v="0"/>
    <n v="1000"/>
    <n v="857.22"/>
    <n v="0"/>
    <n v="0"/>
    <n v="70.2"/>
    <n v="762.93"/>
    <n v="254.31"/>
    <n v="762.93"/>
    <n v="19.63"/>
    <n v="0"/>
    <n v="254.31"/>
    <n v="264.12"/>
    <n v="0"/>
    <n v="3245.6499999999996"/>
    <n v="264.12"/>
  </r>
  <r>
    <x v="11"/>
    <x v="4"/>
    <x v="0"/>
    <s v="4805103"/>
    <n v="721980"/>
    <s v="Supplies-Other"/>
    <s v="CT Scan Services"/>
    <x v="0"/>
    <m/>
    <n v="0"/>
    <n v="0"/>
    <n v="0"/>
    <n v="15.89"/>
    <n v="87.5"/>
    <n v="0"/>
    <n v="-36"/>
    <n v="96"/>
    <n v="0"/>
    <n v="42.47"/>
    <n v="0"/>
    <n v="0"/>
    <n v="205.85999999999999"/>
    <n v="0"/>
  </r>
  <r>
    <x v="11"/>
    <x v="4"/>
    <x v="0"/>
    <s v="4805103"/>
    <n v="722000"/>
    <s v="Supplies-Freight Expense"/>
    <s v="CT Scan Services"/>
    <x v="0"/>
    <m/>
    <n v="41.04"/>
    <n v="129.05000000000001"/>
    <n v="0"/>
    <n v="112.79"/>
    <n v="67.89"/>
    <n v="266.98"/>
    <n v="172.21"/>
    <n v="195.59"/>
    <n v="102.54"/>
    <n v="8.24"/>
    <n v="243.27"/>
    <n v="236.75"/>
    <n v="1576.3500000000001"/>
    <n v="6.5200000000000102"/>
  </r>
  <r>
    <x v="12"/>
    <x v="4"/>
    <x v="0"/>
    <s v="4805103"/>
    <n v="730010"/>
    <s v="Rental and Leases-Building (DO NOT USE)"/>
    <s v="CT Scan Services"/>
    <x v="0"/>
    <m/>
    <n v="0"/>
    <n v="0"/>
    <n v="0"/>
    <n v="23855.65"/>
    <n v="5998.3"/>
    <n v="0"/>
    <n v="0"/>
    <n v="0"/>
    <n v="0"/>
    <n v="0"/>
    <n v="0"/>
    <n v="0"/>
    <n v="29853.95"/>
    <n v="0"/>
  </r>
  <r>
    <x v="15"/>
    <x v="4"/>
    <x v="0"/>
    <s v="4805103"/>
    <n v="731020"/>
    <s v="Electricity"/>
    <s v="CT Scan Services"/>
    <x v="0"/>
    <m/>
    <n v="0"/>
    <n v="0"/>
    <n v="0"/>
    <n v="1398.46"/>
    <n v="0"/>
    <n v="0"/>
    <n v="0"/>
    <n v="0"/>
    <n v="0"/>
    <n v="0"/>
    <n v="0"/>
    <n v="0"/>
    <n v="1398.46"/>
    <n v="0"/>
  </r>
  <r>
    <x v="15"/>
    <x v="4"/>
    <x v="0"/>
    <s v="4805103"/>
    <n v="731060"/>
    <s v="Pagers"/>
    <s v="CT Scan Services"/>
    <x v="0"/>
    <n v="1002"/>
    <n v="32.4"/>
    <n v="32.4"/>
    <n v="32.4"/>
    <n v="41.97"/>
    <n v="51.89"/>
    <n v="0"/>
    <n v="48.72"/>
    <n v="24.36"/>
    <n v="24.36"/>
    <n v="24.36"/>
    <n v="24.36"/>
    <n v="24.36"/>
    <n v="361.58000000000004"/>
    <n v="0"/>
  </r>
  <r>
    <x v="13"/>
    <x v="4"/>
    <x v="0"/>
    <s v="4805103"/>
    <n v="735060"/>
    <s v="Depreciation-Fixed Equipment"/>
    <s v="CT Scan Services"/>
    <x v="0"/>
    <m/>
    <n v="83.06"/>
    <n v="83.06"/>
    <n v="83.06"/>
    <n v="83.06"/>
    <n v="83.07"/>
    <n v="83.06"/>
    <n v="83.07"/>
    <n v="83.06"/>
    <n v="83.07"/>
    <n v="83.06"/>
    <n v="83.07"/>
    <n v="83.06"/>
    <n v="996.75999999999976"/>
    <n v="9.9999999999909051E-3"/>
  </r>
  <r>
    <x v="13"/>
    <x v="4"/>
    <x v="0"/>
    <s v="4805103"/>
    <n v="735070"/>
    <s v="Depreciation-Movable Equipment"/>
    <s v="CT Scan Services"/>
    <x v="0"/>
    <m/>
    <n v="0"/>
    <n v="0"/>
    <n v="0"/>
    <n v="0"/>
    <n v="0"/>
    <n v="0"/>
    <n v="2938.7"/>
    <n v="2938.7"/>
    <n v="2938.71"/>
    <n v="2938.7"/>
    <n v="4192.41"/>
    <n v="28138.46"/>
    <n v="44085.68"/>
    <n v="-23946.05"/>
  </r>
  <r>
    <x v="0"/>
    <x v="4"/>
    <x v="0"/>
    <s v="4805103"/>
    <n v="749510"/>
    <s v="Miscellaneous Expenses"/>
    <s v="CT Scan Services"/>
    <x v="0"/>
    <m/>
    <n v="0"/>
    <n v="0"/>
    <n v="0"/>
    <n v="189.56"/>
    <n v="0"/>
    <n v="0"/>
    <n v="0"/>
    <n v="0"/>
    <n v="0"/>
    <n v="0"/>
    <n v="0"/>
    <n v="0"/>
    <n v="189.56"/>
    <n v="0"/>
  </r>
  <r>
    <x v="18"/>
    <x v="8"/>
    <x v="0"/>
    <s v="4805104"/>
    <n v="400010"/>
    <s v="Acute I/P Svcs Rev--Medicare"/>
    <s v="CT Scan Services"/>
    <x v="0"/>
    <n v="1100"/>
    <n v="-1041702.26"/>
    <n v="-1182316.81"/>
    <n v="-1182215.26"/>
    <n v="-972346.33"/>
    <n v="-1090436.6399999999"/>
    <n v="-1139031.1000000001"/>
    <n v="-1242355.32"/>
    <n v="-980803.79"/>
    <n v="-1096676.1299999999"/>
    <n v="-962068"/>
    <n v="-1131082.04"/>
    <n v="-1209017.46"/>
    <n v="-13230051.140000001"/>
    <n v="77935.419999999925"/>
  </r>
  <r>
    <x v="18"/>
    <x v="8"/>
    <x v="0"/>
    <s v="4805104"/>
    <n v="400010"/>
    <s v="Acute I/P Svcs Rev--Medicaid"/>
    <s v="CT Scan Services"/>
    <x v="0"/>
    <n v="1200"/>
    <n v="-305972.74"/>
    <n v="-191742.09"/>
    <n v="-303749.28999999998"/>
    <n v="-345163.34"/>
    <n v="-288368.99"/>
    <n v="-215536.35"/>
    <n v="-227859.75"/>
    <n v="-267434.64"/>
    <n v="-211160.31"/>
    <n v="-214391.72"/>
    <n v="-234651.7"/>
    <n v="-281799.99"/>
    <n v="-3087830.91"/>
    <n v="47148.289999999979"/>
  </r>
  <r>
    <x v="18"/>
    <x v="8"/>
    <x v="0"/>
    <s v="4805104"/>
    <n v="400010"/>
    <s v="Acute I/P Svcs Rev--Comm Insurance"/>
    <s v="CT Scan Services"/>
    <x v="0"/>
    <n v="1300"/>
    <n v="-57775.89"/>
    <n v="-1746.62"/>
    <n v="-58050.29"/>
    <n v="-27388.79"/>
    <n v="-31405.08"/>
    <n v="-12604.36"/>
    <n v="-49475.19"/>
    <n v="-19998.91"/>
    <n v="-29558.35"/>
    <n v="-50099.14"/>
    <n v="-23767.52"/>
    <n v="-75819.009999999995"/>
    <n v="-437689.15"/>
    <n v="52051.489999999991"/>
  </r>
  <r>
    <x v="18"/>
    <x v="8"/>
    <x v="0"/>
    <s v="4805104"/>
    <n v="400010"/>
    <s v="Acute I/P Svcs Rev--BCBS Comm"/>
    <s v="CT Scan Services"/>
    <x v="0"/>
    <n v="1301"/>
    <n v="-68040.67"/>
    <n v="-79078.14"/>
    <n v="-193898.91"/>
    <n v="-40930.14"/>
    <n v="-92537.35"/>
    <n v="-84991.95"/>
    <n v="-153726.51999999999"/>
    <n v="-108789.73"/>
    <n v="-118477.64"/>
    <n v="-112279.96"/>
    <n v="-75298.789999999994"/>
    <n v="-83784.47"/>
    <n v="-1211834.27"/>
    <n v="8485.6800000000076"/>
  </r>
  <r>
    <x v="18"/>
    <x v="8"/>
    <x v="0"/>
    <s v="4805104"/>
    <n v="400010"/>
    <s v="Acute I/P Svcs Rev--Managed Care"/>
    <s v="CT Scan Services"/>
    <x v="0"/>
    <n v="1400"/>
    <n v="-250372.3"/>
    <n v="-314328.32000000001"/>
    <n v="-267020.44"/>
    <n v="-230484.77"/>
    <n v="-206513.71"/>
    <n v="-228713.49"/>
    <n v="-184452.55"/>
    <n v="-138743.10999999999"/>
    <n v="-216872.73"/>
    <n v="-115538.66"/>
    <n v="-259401.29"/>
    <n v="-183440.36"/>
    <n v="-2595881.73"/>
    <n v="-75960.930000000022"/>
  </r>
  <r>
    <x v="18"/>
    <x v="8"/>
    <x v="0"/>
    <s v="4805104"/>
    <n v="400010"/>
    <s v="Acute I/P Svcs Rev--Self Pay"/>
    <s v="CT Scan Services"/>
    <x v="0"/>
    <n v="1500"/>
    <n v="6469.2"/>
    <n v="-34468.730000000003"/>
    <n v="-34235.72"/>
    <n v="-4862.8900000000003"/>
    <n v="2230.7800000000002"/>
    <n v="-23014.48"/>
    <n v="-23732.62"/>
    <n v="-6021.65"/>
    <n v="-18665.23"/>
    <n v="-12638.09"/>
    <n v="-91736.07"/>
    <n v="-24925.95"/>
    <n v="-265601.45"/>
    <n v="-66810.12000000001"/>
  </r>
  <r>
    <x v="18"/>
    <x v="8"/>
    <x v="0"/>
    <s v="4805104"/>
    <n v="400010"/>
    <s v="Acute I/P Svcs Rev--Other"/>
    <s v="CT Scan Services"/>
    <x v="0"/>
    <n v="1700"/>
    <n v="-93095.19"/>
    <n v="-87305.279999999999"/>
    <n v="-45616.88"/>
    <n v="-144950.95000000001"/>
    <n v="-72539.34"/>
    <n v="-63834.38"/>
    <n v="-117919.47"/>
    <n v="-54323.71"/>
    <n v="-53783.87"/>
    <n v="-122007.33"/>
    <n v="-117710.1"/>
    <n v="-66074.600000000006"/>
    <n v="-1039161.0999999999"/>
    <n v="-51635.5"/>
  </r>
  <r>
    <x v="19"/>
    <x v="8"/>
    <x v="0"/>
    <s v="4805104"/>
    <n v="400020"/>
    <s v="O/P Care Svcs Rev--Medicare"/>
    <s v="CT Scan Services"/>
    <x v="0"/>
    <n v="1100"/>
    <n v="-2243390.87"/>
    <n v="-2257057.79"/>
    <n v="-1906434.85"/>
    <n v="-2141638.9700000002"/>
    <n v="-2011713.8"/>
    <n v="-1962406.29"/>
    <n v="-1954054.91"/>
    <n v="-1793209.46"/>
    <n v="-1981001.93"/>
    <n v="-2203053.7799999998"/>
    <n v="-2178400.2000000002"/>
    <n v="-2206566.38"/>
    <n v="-24838929.23"/>
    <n v="28166.179999999702"/>
  </r>
  <r>
    <x v="19"/>
    <x v="8"/>
    <x v="0"/>
    <s v="4805104"/>
    <n v="400020"/>
    <s v="O/P Care Svcs Rev--Medicaid"/>
    <s v="CT Scan Services"/>
    <x v="0"/>
    <n v="1200"/>
    <n v="-659305.47"/>
    <n v="-768525.1"/>
    <n v="-735722"/>
    <n v="-623965.25"/>
    <n v="-758825.72"/>
    <n v="-677212.47"/>
    <n v="-839972.16"/>
    <n v="-753369.24"/>
    <n v="-800810.46"/>
    <n v="-1026515.76"/>
    <n v="-807142.31"/>
    <n v="-888569.22"/>
    <n v="-9339935.1600000001"/>
    <n v="81426.909999999916"/>
  </r>
  <r>
    <x v="19"/>
    <x v="8"/>
    <x v="0"/>
    <s v="4805104"/>
    <n v="400020"/>
    <s v="O/P Care Svcs Rev--Comm Insurance"/>
    <s v="CT Scan Services"/>
    <x v="0"/>
    <n v="1300"/>
    <n v="-347577.59999999998"/>
    <n v="-212589.36"/>
    <n v="-126771.83"/>
    <n v="-117482.82"/>
    <n v="-155439.35"/>
    <n v="-309401.75"/>
    <n v="-135565.38"/>
    <n v="-94247.18"/>
    <n v="-235680.15"/>
    <n v="-204082.37"/>
    <n v="-214801.39"/>
    <n v="-166784.82"/>
    <n v="-2320423.9999999995"/>
    <n v="-48016.570000000007"/>
  </r>
  <r>
    <x v="19"/>
    <x v="8"/>
    <x v="0"/>
    <s v="4805104"/>
    <n v="400020"/>
    <s v="O/P Care Svcs Rev--BCBS Comm"/>
    <s v="CT Scan Services"/>
    <x v="0"/>
    <n v="1301"/>
    <n v="-540315.01"/>
    <n v="-394776.25"/>
    <n v="-493742.04"/>
    <n v="-456175"/>
    <n v="-539834.86"/>
    <n v="-531320.35"/>
    <n v="-429369.98"/>
    <n v="-344720.26"/>
    <n v="-450297.77"/>
    <n v="-545576.68999999994"/>
    <n v="-521217.08"/>
    <n v="-574228.28"/>
    <n v="-5821573.5700000003"/>
    <n v="53011.200000000012"/>
  </r>
  <r>
    <x v="19"/>
    <x v="8"/>
    <x v="0"/>
    <s v="4805104"/>
    <n v="400020"/>
    <s v="O/P Care Svcs Rev--Managed Care"/>
    <s v="CT Scan Services"/>
    <x v="0"/>
    <n v="1400"/>
    <n v="-701257.27"/>
    <n v="-927266.6"/>
    <n v="-981991.26"/>
    <n v="-1139936.6000000001"/>
    <n v="-933463.59"/>
    <n v="-814878.83"/>
    <n v="-960138.93"/>
    <n v="-861322.91"/>
    <n v="-1200697.6299999999"/>
    <n v="-990697.57"/>
    <n v="-981060.53"/>
    <n v="-1074950.98"/>
    <n v="-11567662.700000001"/>
    <n v="93890.449999999953"/>
  </r>
  <r>
    <x v="19"/>
    <x v="8"/>
    <x v="0"/>
    <s v="4805104"/>
    <n v="400020"/>
    <s v="O/P Care Svcs Rev--Self Pay"/>
    <s v="CT Scan Services"/>
    <x v="0"/>
    <n v="1500"/>
    <n v="-133581.04"/>
    <n v="-56406.65"/>
    <n v="-134788.88"/>
    <n v="-110664.74"/>
    <n v="-153166.91"/>
    <n v="-143750.15"/>
    <n v="-134533.03"/>
    <n v="-184407.37"/>
    <n v="-141883.66"/>
    <n v="-119262.78"/>
    <n v="-112338.93"/>
    <n v="-123977.48"/>
    <n v="-1548761.6199999999"/>
    <n v="11638.550000000003"/>
  </r>
  <r>
    <x v="19"/>
    <x v="8"/>
    <x v="0"/>
    <s v="4805104"/>
    <n v="400020"/>
    <s v="O/P Care Svcs Rev--Other"/>
    <s v="CT Scan Services"/>
    <x v="0"/>
    <n v="1700"/>
    <n v="-229930.16"/>
    <n v="-264279.08"/>
    <n v="-241479.33"/>
    <n v="-215262.12"/>
    <n v="-267686.71999999997"/>
    <n v="-209128.73"/>
    <n v="-282111.23"/>
    <n v="-257040.48"/>
    <n v="-270974.78000000003"/>
    <n v="-258772.46"/>
    <n v="-328706.84999999998"/>
    <n v="-258645.37"/>
    <n v="-3084017.31"/>
    <n v="-70061.479999999981"/>
  </r>
  <r>
    <x v="5"/>
    <x v="8"/>
    <x v="0"/>
    <s v="4805104"/>
    <n v="700032"/>
    <s v="Salaries-Other Pat Care Providers-Productive"/>
    <s v="CT Scan Services"/>
    <x v="0"/>
    <m/>
    <n v="0"/>
    <n v="484.13"/>
    <n v="0"/>
    <n v="0"/>
    <n v="0"/>
    <n v="0"/>
    <n v="0"/>
    <n v="0"/>
    <n v="0"/>
    <n v="0"/>
    <n v="0"/>
    <n v="0"/>
    <n v="484.13"/>
    <n v="0"/>
  </r>
  <r>
    <x v="5"/>
    <x v="8"/>
    <x v="0"/>
    <s v="4805104"/>
    <n v="700032"/>
    <s v="Salaries-Other Pat Care Providers-Other"/>
    <s v="CT Scan Services"/>
    <x v="0"/>
    <n v="2000"/>
    <n v="0"/>
    <n v="62.5"/>
    <n v="0"/>
    <n v="0"/>
    <n v="0"/>
    <n v="0"/>
    <n v="0"/>
    <n v="0"/>
    <n v="0"/>
    <n v="0"/>
    <n v="0"/>
    <n v="0"/>
    <n v="62.5"/>
    <n v="0"/>
  </r>
  <r>
    <x v="5"/>
    <x v="8"/>
    <x v="0"/>
    <s v="4805104"/>
    <n v="700034"/>
    <s v="Salaries-Tech/Professional-Productive"/>
    <s v="CT Scan Services"/>
    <x v="0"/>
    <m/>
    <n v="37845.43"/>
    <n v="43740.81"/>
    <n v="38898.31"/>
    <n v="43005.84"/>
    <n v="39981.699999999997"/>
    <n v="37582.839999999997"/>
    <n v="37845.65"/>
    <n v="-10151.06"/>
    <n v="39631.25"/>
    <n v="39345.050000000003"/>
    <n v="36275.58"/>
    <n v="36867.42"/>
    <n v="420868.81999999995"/>
    <n v="-591.83999999999651"/>
  </r>
  <r>
    <x v="5"/>
    <x v="8"/>
    <x v="0"/>
    <s v="4805104"/>
    <n v="700034"/>
    <s v="Salaries-Tech/Professional-OT"/>
    <s v="CT Scan Services"/>
    <x v="0"/>
    <n v="1000"/>
    <n v="984.8"/>
    <n v="1177.6600000000001"/>
    <n v="2548.12"/>
    <n v="681.39"/>
    <n v="558.59"/>
    <n v="2113.7800000000002"/>
    <n v="178.82"/>
    <n v="-1507.02"/>
    <n v="681.79"/>
    <n v="524.29999999999995"/>
    <n v="2663.31"/>
    <n v="-118.14"/>
    <n v="10487.4"/>
    <n v="2781.45"/>
  </r>
  <r>
    <x v="5"/>
    <x v="8"/>
    <x v="0"/>
    <s v="4805104"/>
    <n v="700034"/>
    <s v="Salaries-Tech/Professional-Other"/>
    <s v="CT Scan Services"/>
    <x v="0"/>
    <n v="2000"/>
    <n v="3796.16"/>
    <n v="3784.22"/>
    <n v="3963.21"/>
    <n v="3711.39"/>
    <n v="3597.41"/>
    <n v="3513.72"/>
    <n v="3400.93"/>
    <n v="3882.53"/>
    <n v="3557.93"/>
    <n v="4068.96"/>
    <n v="4580.1499999999996"/>
    <n v="4657.22"/>
    <n v="46513.83"/>
    <n v="-77.070000000000618"/>
  </r>
  <r>
    <x v="5"/>
    <x v="8"/>
    <x v="0"/>
    <s v="4805104"/>
    <n v="700074"/>
    <s v="Salaries-Tech/Professional-Non-productive"/>
    <s v="CT Scan Services"/>
    <x v="0"/>
    <m/>
    <n v="9968.2000000000007"/>
    <n v="5098.09"/>
    <n v="14159.99"/>
    <n v="12638.94"/>
    <n v="11630.39"/>
    <n v="10754.56"/>
    <n v="1538.1"/>
    <n v="7299.04"/>
    <n v="2574.9699999999998"/>
    <n v="3775.16"/>
    <n v="13570.42"/>
    <n v="12933.74"/>
    <n v="105941.6"/>
    <n v="636.68000000000029"/>
  </r>
  <r>
    <x v="5"/>
    <x v="8"/>
    <x v="0"/>
    <s v="4805104"/>
    <n v="700074"/>
    <s v="Salaries-Tech/Professional-NonProd-Other"/>
    <s v="CT Scan Services"/>
    <x v="0"/>
    <n v="2000"/>
    <n v="296.43"/>
    <n v="240.02"/>
    <n v="292.52999999999997"/>
    <n v="78.87"/>
    <n v="1191.42"/>
    <n v="944.45"/>
    <n v="648.6"/>
    <n v="-1329.67"/>
    <n v="139.37"/>
    <n v="11.65"/>
    <n v="788"/>
    <n v="801.94"/>
    <n v="4103.6100000000006"/>
    <n v="-13.940000000000055"/>
  </r>
  <r>
    <x v="5"/>
    <x v="8"/>
    <x v="0"/>
    <s v="4805104"/>
    <n v="700084"/>
    <s v="Accrued PTO"/>
    <s v="CT Scan Services"/>
    <x v="0"/>
    <m/>
    <n v="-1322.45"/>
    <n v="3677.04"/>
    <n v="550.36"/>
    <n v="313.45"/>
    <n v="-638.75"/>
    <n v="-290.51"/>
    <n v="1163.8599999999999"/>
    <n v="-2201.29"/>
    <n v="1889.05"/>
    <n v="11901.49"/>
    <n v="-9759.82"/>
    <n v="-10476.709999999999"/>
    <n v="-5194.2799999999988"/>
    <n v="716.88999999999942"/>
  </r>
  <r>
    <x v="10"/>
    <x v="8"/>
    <x v="0"/>
    <s v="4805104"/>
    <n v="710060"/>
    <s v="Contract Labor-Other"/>
    <s v="CT Scan Services"/>
    <x v="0"/>
    <m/>
    <n v="0"/>
    <n v="0"/>
    <n v="0"/>
    <n v="0"/>
    <n v="0"/>
    <n v="11947.5"/>
    <n v="6480"/>
    <n v="19440"/>
    <n v="3240"/>
    <n v="2812"/>
    <n v="8436"/>
    <n v="4991.3"/>
    <n v="57346.8"/>
    <n v="3444.7"/>
  </r>
  <r>
    <x v="10"/>
    <x v="8"/>
    <x v="0"/>
    <s v="4805104"/>
    <n v="710060"/>
    <s v="Contract Labor-Overtime"/>
    <s v="CT Scan Services"/>
    <x v="0"/>
    <n v="5100"/>
    <n v="0"/>
    <n v="0"/>
    <n v="0"/>
    <n v="0"/>
    <n v="0"/>
    <n v="109.35"/>
    <n v="0"/>
    <n v="82.02"/>
    <n v="27.34"/>
    <n v="0"/>
    <n v="0"/>
    <n v="0"/>
    <n v="218.71"/>
    <n v="0"/>
  </r>
  <r>
    <x v="6"/>
    <x v="8"/>
    <x v="0"/>
    <s v="4805104"/>
    <n v="713010"/>
    <s v="Benefits-FICA/Medicare"/>
    <s v="CT Scan Services"/>
    <x v="0"/>
    <m/>
    <n v="3848.46"/>
    <n v="3962.29"/>
    <n v="4373.8"/>
    <n v="4365.1000000000004"/>
    <n v="4308.3900000000003"/>
    <n v="4093.38"/>
    <n v="3695.58"/>
    <n v="57.57"/>
    <n v="3396.23"/>
    <n v="3457.45"/>
    <n v="4261.3100000000004"/>
    <n v="4059.62"/>
    <n v="43879.18"/>
    <n v="201.69000000000051"/>
  </r>
  <r>
    <x v="6"/>
    <x v="8"/>
    <x v="0"/>
    <s v="4805104"/>
    <n v="713090"/>
    <s v="Benefits-Allocated Amounts"/>
    <s v="CT Scan Services"/>
    <x v="0"/>
    <m/>
    <n v="8993.27"/>
    <n v="8558.33"/>
    <n v="9801.35"/>
    <n v="9838.35"/>
    <n v="9623.8799999999992"/>
    <n v="8620.82"/>
    <n v="7372.19"/>
    <n v="334.6"/>
    <n v="7990.16"/>
    <n v="9242.4599999999991"/>
    <n v="9398.5"/>
    <n v="8953.66"/>
    <n v="98727.57"/>
    <n v="444.84000000000015"/>
  </r>
  <r>
    <x v="7"/>
    <x v="8"/>
    <x v="0"/>
    <s v="4805104"/>
    <n v="718050"/>
    <s v="Miscellaneous Purchased Svcs"/>
    <s v="CT Scan Services"/>
    <x v="0"/>
    <n v="1020"/>
    <n v="0"/>
    <n v="0"/>
    <n v="0"/>
    <n v="0"/>
    <n v="0"/>
    <n v="0"/>
    <n v="0"/>
    <n v="0"/>
    <n v="0"/>
    <n v="0"/>
    <n v="0"/>
    <n v="2700"/>
    <n v="2700"/>
    <n v="-2700"/>
  </r>
  <r>
    <x v="7"/>
    <x v="8"/>
    <x v="0"/>
    <s v="4805104"/>
    <n v="718070"/>
    <s v="Contract Srvcs-CHI Clinical Engineering"/>
    <s v="CT Scan Services"/>
    <x v="0"/>
    <m/>
    <n v="17459.82"/>
    <n v="17459.82"/>
    <n v="17459.82"/>
    <n v="17459.82"/>
    <n v="17459.82"/>
    <n v="16092"/>
    <n v="18827.64"/>
    <n v="17459.82"/>
    <n v="17459.82"/>
    <n v="17459.82"/>
    <n v="17459.82"/>
    <n v="17459.82"/>
    <n v="209517.84000000003"/>
    <n v="0"/>
  </r>
  <r>
    <x v="11"/>
    <x v="8"/>
    <x v="0"/>
    <s v="4805104"/>
    <n v="721010"/>
    <s v="Supplies-Medical - Billable"/>
    <s v="CT Scan Services"/>
    <x v="0"/>
    <m/>
    <n v="316.2"/>
    <n v="535.54"/>
    <n v="321.74"/>
    <n v="184.45"/>
    <n v="328.34"/>
    <n v="322.36"/>
    <n v="3506.96"/>
    <n v="392.38"/>
    <n v="474.13"/>
    <n v="0"/>
    <n v="283.16000000000003"/>
    <n v="309.94"/>
    <n v="6975.2"/>
    <n v="-26.779999999999973"/>
  </r>
  <r>
    <x v="11"/>
    <x v="8"/>
    <x v="0"/>
    <s v="4805104"/>
    <n v="721020"/>
    <s v="Endomechanical Supplies &amp; Instruments"/>
    <s v="CT Scan Services"/>
    <x v="0"/>
    <n v="1003"/>
    <n v="0"/>
    <n v="282.10000000000002"/>
    <n v="0"/>
    <n v="0"/>
    <n v="753.21"/>
    <n v="251.07"/>
    <n v="251.07"/>
    <n v="0"/>
    <n v="0"/>
    <n v="0"/>
    <n v="0"/>
    <n v="0"/>
    <n v="1537.4499999999998"/>
    <n v="0"/>
  </r>
  <r>
    <x v="11"/>
    <x v="8"/>
    <x v="0"/>
    <s v="4805104"/>
    <n v="721050"/>
    <s v="Supplies-Cardiac Rhythm - Billable"/>
    <s v="CT Scan Services"/>
    <x v="0"/>
    <m/>
    <n v="0"/>
    <n v="70.75"/>
    <n v="0"/>
    <n v="0"/>
    <n v="70.75"/>
    <n v="0"/>
    <n v="0"/>
    <n v="0"/>
    <n v="0"/>
    <n v="0"/>
    <n v="0"/>
    <n v="0"/>
    <n v="141.5"/>
    <n v="0"/>
  </r>
  <r>
    <x v="11"/>
    <x v="8"/>
    <x v="0"/>
    <s v="4805104"/>
    <n v="721250"/>
    <s v="Supplies-Pharmacy Drugs - Billable"/>
    <s v="CT Scan Services"/>
    <x v="0"/>
    <m/>
    <n v="6742.97"/>
    <n v="7377.43"/>
    <n v="3957.05"/>
    <n v="6703"/>
    <n v="5069.01"/>
    <n v="7152.87"/>
    <n v="2175.4299999999998"/>
    <n v="4849.0600000000004"/>
    <n v="4480.96"/>
    <n v="4699.88"/>
    <n v="4154.3999999999996"/>
    <n v="2812.91"/>
    <n v="60174.97"/>
    <n v="1341.4899999999998"/>
  </r>
  <r>
    <x v="11"/>
    <x v="8"/>
    <x v="0"/>
    <s v="4805104"/>
    <n v="721350"/>
    <s v="Supplies-Film/Radiographic - Billable"/>
    <s v="CT Scan Services"/>
    <x v="0"/>
    <m/>
    <n v="0"/>
    <n v="0"/>
    <n v="0"/>
    <n v="645.58000000000004"/>
    <n v="0"/>
    <n v="0"/>
    <n v="0"/>
    <n v="0"/>
    <n v="0"/>
    <n v="0"/>
    <n v="0"/>
    <n v="0"/>
    <n v="645.58000000000004"/>
    <n v="0"/>
  </r>
  <r>
    <x v="11"/>
    <x v="8"/>
    <x v="0"/>
    <s v="4805104"/>
    <n v="721350"/>
    <s v="Radiology Imaging - Contrast Media"/>
    <s v="CT Scan Services"/>
    <x v="0"/>
    <n v="1000"/>
    <n v="127.58"/>
    <n v="564.79999999999995"/>
    <n v="346.19"/>
    <n v="282.45"/>
    <n v="154.82"/>
    <n v="410.06"/>
    <n v="0.01"/>
    <n v="218.63"/>
    <n v="310.64999999999998"/>
    <n v="240.48"/>
    <n v="450.99"/>
    <n v="170.31"/>
    <n v="3276.97"/>
    <n v="280.68"/>
  </r>
  <r>
    <x v="11"/>
    <x v="8"/>
    <x v="0"/>
    <s v="4805104"/>
    <n v="721410"/>
    <s v="Supplies-Medical - Nonbillable"/>
    <s v="CT Scan Services"/>
    <x v="0"/>
    <m/>
    <n v="0"/>
    <n v="1200"/>
    <n v="146.91999999999999"/>
    <n v="3.88"/>
    <n v="0"/>
    <n v="0"/>
    <n v="0"/>
    <n v="0"/>
    <n v="651"/>
    <n v="-4017.16"/>
    <n v="0"/>
    <n v="0"/>
    <n v="-2015.3599999999997"/>
    <n v="0"/>
  </r>
  <r>
    <x v="11"/>
    <x v="8"/>
    <x v="0"/>
    <s v="4805104"/>
    <n v="721610"/>
    <s v="Supplies-Anesthesia - Nonbillable"/>
    <s v="CT Scan Services"/>
    <x v="0"/>
    <m/>
    <n v="0"/>
    <n v="0"/>
    <n v="0"/>
    <n v="8.07"/>
    <n v="0"/>
    <n v="0"/>
    <n v="0"/>
    <n v="0"/>
    <n v="0"/>
    <n v="0"/>
    <n v="0"/>
    <n v="0"/>
    <n v="8.07"/>
    <n v="0"/>
  </r>
  <r>
    <x v="11"/>
    <x v="8"/>
    <x v="0"/>
    <s v="4805104"/>
    <n v="721640"/>
    <s v="Supplies-IV Solutions/Supplies - Nonbillable"/>
    <s v="CT Scan Services"/>
    <x v="0"/>
    <m/>
    <n v="0"/>
    <n v="0"/>
    <n v="0"/>
    <n v="0"/>
    <n v="0"/>
    <n v="0"/>
    <n v="53.5"/>
    <n v="0"/>
    <n v="0"/>
    <n v="0"/>
    <n v="0"/>
    <n v="0"/>
    <n v="53.5"/>
    <n v="0"/>
  </r>
  <r>
    <x v="11"/>
    <x v="8"/>
    <x v="0"/>
    <s v="4805104"/>
    <n v="721810"/>
    <s v="Supplies-Dietary/Cafeteria"/>
    <s v="CT Scan Services"/>
    <x v="0"/>
    <m/>
    <n v="0"/>
    <n v="0"/>
    <n v="0"/>
    <n v="0"/>
    <n v="0"/>
    <n v="0"/>
    <n v="0"/>
    <n v="15.19"/>
    <n v="0"/>
    <n v="0"/>
    <n v="0"/>
    <n v="0"/>
    <n v="15.19"/>
    <n v="0"/>
  </r>
  <r>
    <x v="11"/>
    <x v="8"/>
    <x v="0"/>
    <s v="4805104"/>
    <n v="721910"/>
    <s v="Supplies-Small Equipment"/>
    <s v="CT Scan Services"/>
    <x v="0"/>
    <m/>
    <n v="0"/>
    <n v="0"/>
    <n v="0"/>
    <n v="367.67"/>
    <n v="0"/>
    <n v="0"/>
    <n v="0"/>
    <n v="0"/>
    <n v="0"/>
    <n v="0"/>
    <n v="0"/>
    <n v="0"/>
    <n v="367.67"/>
    <n v="0"/>
  </r>
  <r>
    <x v="11"/>
    <x v="8"/>
    <x v="0"/>
    <s v="4805104"/>
    <n v="721910"/>
    <s v="Instruments"/>
    <s v="CT Scan Services"/>
    <x v="0"/>
    <n v="1000"/>
    <n v="0"/>
    <n v="564.20000000000005"/>
    <n v="282.10000000000002"/>
    <n v="0"/>
    <n v="251.07"/>
    <n v="251.07"/>
    <n v="0"/>
    <n v="251.07"/>
    <n v="1004.28"/>
    <n v="0"/>
    <n v="502.14"/>
    <n v="0"/>
    <n v="3105.93"/>
    <n v="502.14"/>
  </r>
  <r>
    <x v="11"/>
    <x v="8"/>
    <x v="0"/>
    <s v="4805104"/>
    <n v="722000"/>
    <s v="Supplies-Freight Expense"/>
    <s v="CT Scan Services"/>
    <x v="0"/>
    <m/>
    <n v="151.97999999999999"/>
    <n v="41.66"/>
    <n v="183.33"/>
    <n v="210.17"/>
    <n v="9"/>
    <n v="135.35"/>
    <n v="209.25"/>
    <n v="99.79"/>
    <n v="139.72999999999999"/>
    <n v="218.7"/>
    <n v="44.75"/>
    <n v="53.1"/>
    <n v="1496.81"/>
    <n v="-8.3500000000000014"/>
  </r>
  <r>
    <x v="13"/>
    <x v="8"/>
    <x v="0"/>
    <s v="4805104"/>
    <n v="735070"/>
    <s v="Depreciation-Movable Equipment"/>
    <s v="CT Scan Services"/>
    <x v="0"/>
    <m/>
    <n v="358.79"/>
    <n v="358.79"/>
    <n v="358.79"/>
    <n v="358.79"/>
    <n v="358.79"/>
    <n v="358.79"/>
    <n v="358.79"/>
    <n v="358.78"/>
    <n v="358.79"/>
    <n v="358.78"/>
    <n v="358.79"/>
    <n v="358.78"/>
    <n v="4305.45"/>
    <n v="1.0000000000047748E-2"/>
  </r>
  <r>
    <x v="0"/>
    <x v="8"/>
    <x v="0"/>
    <s v="4805104"/>
    <n v="749510"/>
    <s v="RICE Rewards"/>
    <s v="CT Scan Services"/>
    <x v="0"/>
    <n v="5100"/>
    <n v="0"/>
    <n v="0"/>
    <n v="0"/>
    <n v="0"/>
    <n v="0"/>
    <n v="0"/>
    <n v="0"/>
    <n v="0"/>
    <n v="0"/>
    <n v="0"/>
    <n v="0"/>
    <n v="214.78"/>
    <n v="214.78"/>
    <n v="-214.78"/>
  </r>
  <r>
    <x v="18"/>
    <x v="5"/>
    <x v="0"/>
    <s v="4805106"/>
    <n v="400010"/>
    <s v="Acute I/P Svcs Rev--Medicare"/>
    <s v="CT Scan Services"/>
    <x v="0"/>
    <n v="1100"/>
    <n v="-824499.83"/>
    <n v="-1461109.76"/>
    <n v="-1092214.1599999999"/>
    <n v="-1045793.45"/>
    <n v="-1009876.75"/>
    <n v="-1119814.52"/>
    <n v="-1306808.98"/>
    <n v="-1133109.77"/>
    <n v="-1334527.28"/>
    <n v="-1327601.43"/>
    <n v="-1278721.1100000001"/>
    <n v="-1079495.77"/>
    <n v="-14013572.809999999"/>
    <n v="-199225.34000000008"/>
  </r>
  <r>
    <x v="18"/>
    <x v="5"/>
    <x v="0"/>
    <s v="4805106"/>
    <n v="400010"/>
    <s v="Acute I/P Svcs Rev--Medicaid"/>
    <s v="CT Scan Services"/>
    <x v="0"/>
    <n v="1200"/>
    <n v="-423861.64"/>
    <n v="-391861.74"/>
    <n v="-345361.85"/>
    <n v="-403746.45"/>
    <n v="-416716.15"/>
    <n v="-464463.27"/>
    <n v="-565619.69999999995"/>
    <n v="-232680.44"/>
    <n v="-454658.05"/>
    <n v="-366172.15"/>
    <n v="-348157.04"/>
    <n v="-413334.21"/>
    <n v="-4826632.6899999995"/>
    <n v="65177.170000000042"/>
  </r>
  <r>
    <x v="18"/>
    <x v="5"/>
    <x v="0"/>
    <s v="4805106"/>
    <n v="400010"/>
    <s v="Acute I/P Svcs Rev--Comm Insurance"/>
    <s v="CT Scan Services"/>
    <x v="0"/>
    <n v="1300"/>
    <n v="-11097.03"/>
    <n v="-82039.64"/>
    <n v="34583.61"/>
    <n v="-3473.14"/>
    <n v="-67964.94"/>
    <n v="-30067.52"/>
    <n v="-38346.49"/>
    <n v="-83163.55"/>
    <n v="-9310.14"/>
    <n v="-130668.58"/>
    <n v="1434.07"/>
    <n v="-78029.27"/>
    <n v="-498142.62000000005"/>
    <n v="79463.340000000011"/>
  </r>
  <r>
    <x v="18"/>
    <x v="5"/>
    <x v="0"/>
    <s v="4805106"/>
    <n v="400010"/>
    <s v="Acute I/P Svcs Rev--BCBS Comm"/>
    <s v="CT Scan Services"/>
    <x v="0"/>
    <n v="1301"/>
    <n v="-66097.539999999994"/>
    <n v="-101314.62"/>
    <n v="-61876.6"/>
    <n v="-63990.74"/>
    <n v="701.95"/>
    <n v="-108230.75"/>
    <n v="-112014.51"/>
    <n v="-125468.31"/>
    <n v="-81748.570000000007"/>
    <n v="-42030.45"/>
    <n v="-100745.43"/>
    <n v="-122724.52"/>
    <n v="-985540.08999999985"/>
    <n v="21979.090000000011"/>
  </r>
  <r>
    <x v="18"/>
    <x v="5"/>
    <x v="0"/>
    <s v="4805106"/>
    <n v="400010"/>
    <s v="Acute I/P Svcs Rev--Managed Care"/>
    <s v="CT Scan Services"/>
    <x v="0"/>
    <n v="1400"/>
    <n v="-162493.68"/>
    <n v="-270652.49"/>
    <n v="-148115.87"/>
    <n v="-173090.39"/>
    <n v="-259440.53"/>
    <n v="-279727.59000000003"/>
    <n v="-260252.55"/>
    <n v="-272175.31"/>
    <n v="-223639.18"/>
    <n v="-247929.67"/>
    <n v="-141664.32999999999"/>
    <n v="-195032.37"/>
    <n v="-2634213.9600000004"/>
    <n v="53368.040000000008"/>
  </r>
  <r>
    <x v="18"/>
    <x v="5"/>
    <x v="0"/>
    <s v="4805106"/>
    <n v="400010"/>
    <s v="Acute I/P Svcs Rev--Self Pay"/>
    <s v="CT Scan Services"/>
    <x v="0"/>
    <n v="1500"/>
    <n v="-29407.1"/>
    <n v="-42205.82"/>
    <n v="-78682.289999999994"/>
    <n v="8140.32"/>
    <n v="-129375.26"/>
    <n v="-16270.96"/>
    <n v="-59986.080000000002"/>
    <n v="-25225.68"/>
    <n v="-22342.65"/>
    <n v="-50822.42"/>
    <n v="-87105.74"/>
    <n v="-59249.52"/>
    <n v="-592533.20000000007"/>
    <n v="-27856.220000000008"/>
  </r>
  <r>
    <x v="18"/>
    <x v="5"/>
    <x v="0"/>
    <s v="4805106"/>
    <n v="400010"/>
    <s v="Acute I/P Svcs Rev--Other"/>
    <s v="CT Scan Services"/>
    <x v="0"/>
    <n v="1700"/>
    <n v="26458.87"/>
    <n v="-43545.18"/>
    <n v="14126.26"/>
    <n v="789.6"/>
    <n v="-34283.57"/>
    <n v="-19232.919999999998"/>
    <n v="-47325.54"/>
    <n v="-20298.64"/>
    <n v="-47681.67"/>
    <n v="8545.73"/>
    <n v="-31821.21"/>
    <n v="-61670.43"/>
    <n v="-255938.69999999998"/>
    <n v="29849.22"/>
  </r>
  <r>
    <x v="19"/>
    <x v="5"/>
    <x v="0"/>
    <s v="4805106"/>
    <n v="400020"/>
    <s v="O/P Care Svcs Rev--Medicare"/>
    <s v="CT Scan Services"/>
    <x v="0"/>
    <n v="1100"/>
    <n v="-1780466.31"/>
    <n v="-2414931.84"/>
    <n v="-2067927.48"/>
    <n v="-2196467.34"/>
    <n v="-2111439.83"/>
    <n v="-2064858.8"/>
    <n v="-2272905.06"/>
    <n v="-2032923.6"/>
    <n v="-2246635.02"/>
    <n v="-2296078.5099999998"/>
    <n v="-2082480.97"/>
    <n v="-2391538.4500000002"/>
    <n v="-25958653.209999997"/>
    <n v="309057.48000000021"/>
  </r>
  <r>
    <x v="19"/>
    <x v="5"/>
    <x v="0"/>
    <s v="4805106"/>
    <n v="400020"/>
    <s v="O/P Care Svcs Rev--Medicaid"/>
    <s v="CT Scan Services"/>
    <x v="0"/>
    <n v="1200"/>
    <n v="-1447180"/>
    <n v="-2022604.06"/>
    <n v="-1789281.38"/>
    <n v="-1448998.65"/>
    <n v="-1683696.88"/>
    <n v="-1545266.41"/>
    <n v="-1617083.34"/>
    <n v="-1365026.45"/>
    <n v="-1584547.61"/>
    <n v="-1444293.25"/>
    <n v="-1410684.76"/>
    <n v="-1424233.53"/>
    <n v="-18782896.32"/>
    <n v="13548.770000000019"/>
  </r>
  <r>
    <x v="19"/>
    <x v="5"/>
    <x v="0"/>
    <s v="4805106"/>
    <n v="400020"/>
    <s v="O/P Care Svcs Rev--Comm Insurance"/>
    <s v="CT Scan Services"/>
    <x v="0"/>
    <n v="1300"/>
    <n v="-215972.15"/>
    <n v="-296275.78000000003"/>
    <n v="-292087.74"/>
    <n v="-263430.38"/>
    <n v="-120361.31"/>
    <n v="-188900.4"/>
    <n v="-367553.39"/>
    <n v="-209919.01"/>
    <n v="-147904.85"/>
    <n v="-217683.97"/>
    <n v="-350734.13"/>
    <n v="-238886.14"/>
    <n v="-2909709.25"/>
    <n v="-111847.98999999999"/>
  </r>
  <r>
    <x v="19"/>
    <x v="5"/>
    <x v="0"/>
    <s v="4805106"/>
    <n v="400020"/>
    <s v="O/P Care Svcs Rev--BCBS Comm"/>
    <s v="CT Scan Services"/>
    <x v="0"/>
    <n v="1301"/>
    <n v="-316372.65000000002"/>
    <n v="-565666.24"/>
    <n v="-453981.53"/>
    <n v="-472914.25"/>
    <n v="-436065.51"/>
    <n v="-473674.22"/>
    <n v="-501113.4"/>
    <n v="-401817.95"/>
    <n v="-455377.71"/>
    <n v="-427323.56"/>
    <n v="-544712.11"/>
    <n v="-515650.79"/>
    <n v="-5564669.9199999999"/>
    <n v="-29061.320000000007"/>
  </r>
  <r>
    <x v="19"/>
    <x v="5"/>
    <x v="0"/>
    <s v="4805106"/>
    <n v="400020"/>
    <s v="O/P Care Svcs Rev--Managed Care"/>
    <s v="CT Scan Services"/>
    <x v="0"/>
    <n v="1400"/>
    <n v="-912231.5"/>
    <n v="-1567242.59"/>
    <n v="-1267565.77"/>
    <n v="-1149140.3600000001"/>
    <n v="-1241645.0900000001"/>
    <n v="-1126118.28"/>
    <n v="-1283288.51"/>
    <n v="-1034025.38"/>
    <n v="-1112734.2"/>
    <n v="-1110858.95"/>
    <n v="-1077100.53"/>
    <n v="-1117395.8799999999"/>
    <n v="-13999347.039999999"/>
    <n v="40295.34999999986"/>
  </r>
  <r>
    <x v="19"/>
    <x v="5"/>
    <x v="0"/>
    <s v="4805106"/>
    <n v="400020"/>
    <s v="O/P Care Svcs Rev--Self Pay"/>
    <s v="CT Scan Services"/>
    <x v="0"/>
    <n v="1500"/>
    <n v="-268365.83"/>
    <n v="-591572.49"/>
    <n v="-420680.03"/>
    <n v="-474006.23"/>
    <n v="-536861.12"/>
    <n v="-579401.81999999995"/>
    <n v="-419224.49"/>
    <n v="-387982.24"/>
    <n v="-374453.76000000001"/>
    <n v="-451903.73"/>
    <n v="-313916.99"/>
    <n v="-439666.58"/>
    <n v="-5258035.3100000005"/>
    <n v="125749.59000000003"/>
  </r>
  <r>
    <x v="19"/>
    <x v="5"/>
    <x v="0"/>
    <s v="4805106"/>
    <n v="400020"/>
    <s v="O/P Care Svcs Rev--Other"/>
    <s v="CT Scan Services"/>
    <x v="0"/>
    <n v="1700"/>
    <n v="-180284.09"/>
    <n v="-180818.91"/>
    <n v="-167956.75"/>
    <n v="-168579.20000000001"/>
    <n v="-153999.78"/>
    <n v="-250325.67"/>
    <n v="-151984.21"/>
    <n v="-175914.5"/>
    <n v="-223575.02"/>
    <n v="-124252.59"/>
    <n v="-150483.56"/>
    <n v="-132738.59"/>
    <n v="-2060912.87"/>
    <n v="-17744.97"/>
  </r>
  <r>
    <x v="14"/>
    <x v="5"/>
    <x v="0"/>
    <s v="4805106"/>
    <n v="600050"/>
    <s v="Miscellaneous Revenue"/>
    <s v="CT Scan Services"/>
    <x v="0"/>
    <m/>
    <n v="0"/>
    <n v="0"/>
    <n v="0"/>
    <n v="-10964.62"/>
    <n v="0"/>
    <n v="-7416.75"/>
    <n v="-10992.19"/>
    <n v="0"/>
    <n v="0"/>
    <n v="0"/>
    <n v="25067.25"/>
    <n v="0"/>
    <n v="-4306.3100000000049"/>
    <n v="25067.25"/>
  </r>
  <r>
    <x v="14"/>
    <x v="5"/>
    <x v="0"/>
    <s v="4805106"/>
    <n v="600050"/>
    <s v="Misc.Revenue-Contract Services"/>
    <s v="CT Scan Services"/>
    <x v="0"/>
    <n v="1017"/>
    <n v="-1251.75"/>
    <n v="-1411.31"/>
    <n v="-482.45"/>
    <n v="-1610.18"/>
    <n v="-1549.72"/>
    <n v="-1357.02"/>
    <n v="-1163.24"/>
    <n v="-1201.3"/>
    <n v="-508.3"/>
    <n v="-1431.84"/>
    <n v="-859.57"/>
    <n v="-65.13"/>
    <n v="-12891.809999999998"/>
    <n v="-794.44"/>
  </r>
  <r>
    <x v="5"/>
    <x v="5"/>
    <x v="0"/>
    <s v="4805106"/>
    <n v="700034"/>
    <s v="Salaries-Tech/Professional-Productive"/>
    <s v="CT Scan Services"/>
    <x v="0"/>
    <m/>
    <n v="48715.98"/>
    <n v="47258.080000000002"/>
    <n v="45653.5"/>
    <n v="47326.59"/>
    <n v="45498.78"/>
    <n v="48119.55"/>
    <n v="44627.839999999997"/>
    <n v="37442.120000000003"/>
    <n v="44547.79"/>
    <n v="42748.26"/>
    <n v="42595.91"/>
    <n v="50090.43"/>
    <n v="544624.82999999996"/>
    <n v="-7494.5199999999968"/>
  </r>
  <r>
    <x v="5"/>
    <x v="5"/>
    <x v="0"/>
    <s v="4805106"/>
    <n v="700034"/>
    <s v="Salaries-Tech/Professional-OT"/>
    <s v="CT Scan Services"/>
    <x v="0"/>
    <n v="1000"/>
    <n v="4800.3100000000004"/>
    <n v="4536.5"/>
    <n v="2779.86"/>
    <n v="1554.8"/>
    <n v="1737.41"/>
    <n v="5950.13"/>
    <n v="4453.1099999999997"/>
    <n v="4058.03"/>
    <n v="3971.8"/>
    <n v="7978.08"/>
    <n v="1768.51"/>
    <n v="4004.56"/>
    <n v="47593.100000000006"/>
    <n v="-2236.0500000000002"/>
  </r>
  <r>
    <x v="5"/>
    <x v="5"/>
    <x v="0"/>
    <s v="4805106"/>
    <n v="700034"/>
    <s v="Salaries-Tech/Professional-Other"/>
    <s v="CT Scan Services"/>
    <x v="0"/>
    <n v="2000"/>
    <n v="4436.99"/>
    <n v="3361.76"/>
    <n v="3605.68"/>
    <n v="3818.43"/>
    <n v="3429.27"/>
    <n v="3764.36"/>
    <n v="3494.89"/>
    <n v="3228.81"/>
    <n v="3679.39"/>
    <n v="3880.02"/>
    <n v="4319.93"/>
    <n v="3972.81"/>
    <n v="44992.34"/>
    <n v="347.12000000000035"/>
  </r>
  <r>
    <x v="5"/>
    <x v="5"/>
    <x v="0"/>
    <s v="4805106"/>
    <n v="700054"/>
    <s v="Salaries-Management-NonProd-Other"/>
    <s v="CT Scan Services"/>
    <x v="0"/>
    <n v="2000"/>
    <n v="0"/>
    <n v="0"/>
    <n v="0"/>
    <n v="0"/>
    <n v="0"/>
    <n v="164.94"/>
    <n v="-164.94"/>
    <n v="0"/>
    <n v="0"/>
    <n v="0"/>
    <n v="0"/>
    <n v="0"/>
    <n v="0"/>
    <n v="0"/>
  </r>
  <r>
    <x v="5"/>
    <x v="5"/>
    <x v="0"/>
    <s v="4805106"/>
    <n v="700074"/>
    <s v="Salaries-Tech/Professional-Non-productive"/>
    <s v="CT Scan Services"/>
    <x v="0"/>
    <m/>
    <n v="7296.91"/>
    <n v="8681.84"/>
    <n v="8462.81"/>
    <n v="6305.86"/>
    <n v="1544.08"/>
    <n v="9393.74"/>
    <n v="10769.95"/>
    <n v="7647.82"/>
    <n v="3132.38"/>
    <n v="7474.44"/>
    <n v="7573.35"/>
    <n v="3424.7"/>
    <n v="81707.88"/>
    <n v="4148.6500000000005"/>
  </r>
  <r>
    <x v="5"/>
    <x v="5"/>
    <x v="0"/>
    <s v="4805106"/>
    <n v="700074"/>
    <s v="Salaries-Tech/Professional-NonProd-Other"/>
    <s v="CT Scan Services"/>
    <x v="0"/>
    <n v="2000"/>
    <n v="286.52999999999997"/>
    <n v="808.98"/>
    <n v="292.89999999999998"/>
    <n v="289.57"/>
    <n v="783.57"/>
    <n v="844.09"/>
    <n v="719.59"/>
    <n v="-573.84"/>
    <n v="324.58999999999997"/>
    <n v="669.03"/>
    <n v="-30.32"/>
    <n v="136.72"/>
    <n v="4551.4100000000008"/>
    <n v="-167.04"/>
  </r>
  <r>
    <x v="5"/>
    <x v="5"/>
    <x v="0"/>
    <s v="4805106"/>
    <n v="700084"/>
    <s v="Accrued PTO"/>
    <s v="CT Scan Services"/>
    <x v="0"/>
    <m/>
    <n v="354.46"/>
    <n v="-1906.73"/>
    <n v="-2431.84"/>
    <n v="1841.5"/>
    <n v="3712.75"/>
    <n v="-665.23"/>
    <n v="-1067.6199999999999"/>
    <n v="-1060.8900000000001"/>
    <n v="2305.91"/>
    <n v="1112.73"/>
    <n v="1720.68"/>
    <n v="2419.0300000000002"/>
    <n v="6334.75"/>
    <n v="-698.35000000000014"/>
  </r>
  <r>
    <x v="10"/>
    <x v="5"/>
    <x v="0"/>
    <s v="4805106"/>
    <n v="710060"/>
    <s v="Contract Labor-Other"/>
    <s v="CT Scan Services"/>
    <x v="0"/>
    <m/>
    <n v="0"/>
    <n v="0"/>
    <n v="0"/>
    <n v="0"/>
    <n v="0"/>
    <n v="0"/>
    <n v="0"/>
    <n v="0"/>
    <n v="0"/>
    <n v="0"/>
    <n v="0"/>
    <n v="29760"/>
    <n v="29760"/>
    <n v="-29760"/>
  </r>
  <r>
    <x v="6"/>
    <x v="5"/>
    <x v="0"/>
    <s v="4805106"/>
    <n v="713010"/>
    <s v="Benefits-FICA/Medicare"/>
    <s v="CT Scan Services"/>
    <x v="0"/>
    <m/>
    <n v="5110.32"/>
    <n v="4835.76"/>
    <n v="4555.74"/>
    <n v="4423.29"/>
    <n v="4091.49"/>
    <n v="5070.4399999999996"/>
    <n v="5832.46"/>
    <n v="3919.55"/>
    <n v="4144.5600000000004"/>
    <n v="4690"/>
    <n v="4214.92"/>
    <n v="4582.33"/>
    <n v="55470.86"/>
    <n v="-367.40999999999985"/>
  </r>
  <r>
    <x v="6"/>
    <x v="5"/>
    <x v="0"/>
    <s v="4805106"/>
    <n v="713090"/>
    <s v="Benefits-Allocated Amounts"/>
    <s v="CT Scan Services"/>
    <x v="0"/>
    <m/>
    <n v="13202.2"/>
    <n v="12964.43"/>
    <n v="12021.45"/>
    <n v="11686.59"/>
    <n v="11061.26"/>
    <n v="13488.06"/>
    <n v="13028.27"/>
    <n v="11363.95"/>
    <n v="11311.08"/>
    <n v="13079.39"/>
    <n v="11463.46"/>
    <n v="12823.58"/>
    <n v="147493.72"/>
    <n v="-1360.1200000000008"/>
  </r>
  <r>
    <x v="7"/>
    <x v="5"/>
    <x v="0"/>
    <s v="4805106"/>
    <n v="718050"/>
    <s v="Miscellaneous Purchased Svcs"/>
    <s v="CT Scan Services"/>
    <x v="0"/>
    <n v="1020"/>
    <n v="17"/>
    <n v="0"/>
    <n v="0"/>
    <n v="0"/>
    <n v="0"/>
    <n v="0"/>
    <n v="0"/>
    <n v="0"/>
    <n v="0"/>
    <n v="0"/>
    <n v="0"/>
    <n v="0"/>
    <n v="17"/>
    <n v="0"/>
  </r>
  <r>
    <x v="7"/>
    <x v="5"/>
    <x v="0"/>
    <s v="4805106"/>
    <n v="718050"/>
    <s v="Translation Services"/>
    <s v="CT Scan Services"/>
    <x v="0"/>
    <n v="1025"/>
    <n v="941.75"/>
    <n v="154"/>
    <n v="374.5"/>
    <n v="-566.75"/>
    <n v="1236.75"/>
    <n v="390"/>
    <n v="32"/>
    <n v="406.54"/>
    <n v="227.5"/>
    <n v="0"/>
    <n v="0"/>
    <n v="96"/>
    <n v="3292.29"/>
    <n v="-96"/>
  </r>
  <r>
    <x v="7"/>
    <x v="5"/>
    <x v="0"/>
    <s v="4805106"/>
    <n v="718050"/>
    <s v="Contract Management--Linen"/>
    <s v="CT Scan Services"/>
    <x v="0"/>
    <n v="1026"/>
    <n v="914.12"/>
    <n v="429.92"/>
    <n v="632.1"/>
    <n v="962.16"/>
    <n v="684.98"/>
    <n v="726.85"/>
    <n v="566.73"/>
    <n v="805.82"/>
    <n v="709.46"/>
    <n v="676.31"/>
    <n v="634.91999999999996"/>
    <n v="692.66"/>
    <n v="8436.0300000000007"/>
    <n v="-57.740000000000009"/>
  </r>
  <r>
    <x v="7"/>
    <x v="5"/>
    <x v="0"/>
    <s v="4805106"/>
    <n v="718070"/>
    <s v="Contract Srvcs-CHI Clinical Engineering"/>
    <s v="CT Scan Services"/>
    <x v="0"/>
    <m/>
    <n v="16487.77"/>
    <n v="20087.77"/>
    <n v="16487.77"/>
    <n v="16487.77"/>
    <n v="16487.77"/>
    <n v="15704.57"/>
    <n v="24427.85"/>
    <n v="9330.89"/>
    <n v="16487.77"/>
    <n v="16487.77"/>
    <n v="16487.77"/>
    <n v="16487.77"/>
    <n v="201453.24"/>
    <n v="0"/>
  </r>
  <r>
    <x v="11"/>
    <x v="5"/>
    <x v="0"/>
    <s v="4805106"/>
    <n v="721010"/>
    <s v="Supplies-Medical - Billable"/>
    <s v="CT Scan Services"/>
    <x v="0"/>
    <m/>
    <n v="286.22000000000003"/>
    <n v="39.26"/>
    <n v="243"/>
    <n v="39.26"/>
    <n v="-25.5"/>
    <n v="206.69"/>
    <n v="75.63"/>
    <n v="122.79"/>
    <n v="0"/>
    <n v="0"/>
    <n v="0"/>
    <n v="0"/>
    <n v="987.35"/>
    <n v="0"/>
  </r>
  <r>
    <x v="11"/>
    <x v="5"/>
    <x v="0"/>
    <s v="4805106"/>
    <n v="721240"/>
    <s v="Supplies-IV Solutions/Supplies - Billable"/>
    <s v="CT Scan Services"/>
    <x v="0"/>
    <m/>
    <n v="1364.35"/>
    <n v="779.25"/>
    <n v="156"/>
    <n v="1013.75"/>
    <n v="713.8"/>
    <n v="886.92"/>
    <n v="451.32"/>
    <n v="803.4"/>
    <n v="411"/>
    <n v="431.5"/>
    <n v="1106"/>
    <n v="386"/>
    <n v="8503.2899999999991"/>
    <n v="720"/>
  </r>
  <r>
    <x v="11"/>
    <x v="5"/>
    <x v="0"/>
    <s v="4805106"/>
    <n v="721250"/>
    <s v="Supplies-Pharmacy Drugs - Billable"/>
    <s v="CT Scan Services"/>
    <x v="0"/>
    <m/>
    <n v="7373.3"/>
    <n v="7541.08"/>
    <n v="4021.8"/>
    <n v="8043.6"/>
    <n v="7038.15"/>
    <n v="5880.13"/>
    <n v="0"/>
    <n v="17260"/>
    <n v="2637.7"/>
    <n v="295.44"/>
    <n v="0"/>
    <n v="10682.7"/>
    <n v="70773.899999999994"/>
    <n v="-10682.7"/>
  </r>
  <r>
    <x v="11"/>
    <x v="5"/>
    <x v="0"/>
    <s v="4805106"/>
    <n v="721350"/>
    <s v="Radiology Imaging - Contrast Media"/>
    <s v="CT Scan Services"/>
    <x v="0"/>
    <n v="1000"/>
    <n v="235.56"/>
    <n v="78.52"/>
    <n v="0"/>
    <n v="117.78"/>
    <n v="39.26"/>
    <n v="117.78"/>
    <n v="311.87"/>
    <n v="1055.08"/>
    <n v="86.38"/>
    <n v="299.88"/>
    <n v="78.52"/>
    <n v="259.14"/>
    <n v="2679.77"/>
    <n v="-180.62"/>
  </r>
  <r>
    <x v="11"/>
    <x v="5"/>
    <x v="0"/>
    <s v="4805106"/>
    <n v="721410"/>
    <s v="Supplies-Medical - Nonbillable"/>
    <s v="CT Scan Services"/>
    <x v="0"/>
    <m/>
    <n v="8831.92"/>
    <n v="9059.6200000000008"/>
    <n v="6427.71"/>
    <n v="12932.49"/>
    <n v="7073.12"/>
    <n v="8015.63"/>
    <n v="10160.06"/>
    <n v="8021.3"/>
    <n v="5747.61"/>
    <n v="10331.76"/>
    <n v="6179.45"/>
    <n v="6629.84"/>
    <n v="99410.50999999998"/>
    <n v="-450.39000000000033"/>
  </r>
  <r>
    <x v="11"/>
    <x v="5"/>
    <x v="0"/>
    <s v="4805106"/>
    <n v="721640"/>
    <s v="Supplies-IV Solutions/Supplies - Nonbillable"/>
    <s v="CT Scan Services"/>
    <x v="0"/>
    <m/>
    <n v="0"/>
    <n v="0"/>
    <n v="63"/>
    <n v="0"/>
    <n v="63"/>
    <n v="31.5"/>
    <n v="0"/>
    <n v="0"/>
    <n v="0"/>
    <n v="0"/>
    <n v="0"/>
    <n v="0"/>
    <n v="157.5"/>
    <n v="0"/>
  </r>
  <r>
    <x v="11"/>
    <x v="5"/>
    <x v="0"/>
    <s v="4805106"/>
    <n v="721710"/>
    <s v="Supplies-Laboratory - Nonbillable"/>
    <s v="CT Scan Services"/>
    <x v="0"/>
    <m/>
    <n v="48.75"/>
    <n v="0"/>
    <n v="0"/>
    <n v="0"/>
    <n v="0"/>
    <n v="0"/>
    <n v="0"/>
    <n v="0"/>
    <n v="0"/>
    <n v="0"/>
    <n v="0"/>
    <n v="0"/>
    <n v="48.75"/>
    <n v="0"/>
  </r>
  <r>
    <x v="11"/>
    <x v="5"/>
    <x v="0"/>
    <s v="4805106"/>
    <n v="721750"/>
    <s v="Supplies-Film/Radiographic - Nonbillable"/>
    <s v="CT Scan Services"/>
    <x v="0"/>
    <m/>
    <n v="0"/>
    <n v="0"/>
    <n v="0"/>
    <n v="0"/>
    <n v="0"/>
    <n v="0"/>
    <n v="0"/>
    <n v="0"/>
    <n v="246.4"/>
    <n v="0"/>
    <n v="0"/>
    <n v="-22.4"/>
    <n v="224"/>
    <n v="22.4"/>
  </r>
  <r>
    <x v="11"/>
    <x v="5"/>
    <x v="0"/>
    <s v="4805106"/>
    <n v="721830"/>
    <s v="Supplies-Office"/>
    <s v="CT Scan Services"/>
    <x v="0"/>
    <m/>
    <n v="0"/>
    <n v="0"/>
    <n v="0"/>
    <n v="43.21"/>
    <n v="0"/>
    <n v="79.73"/>
    <n v="0"/>
    <n v="0"/>
    <n v="0"/>
    <n v="0"/>
    <n v="0"/>
    <n v="21.6"/>
    <n v="144.54"/>
    <n v="-21.6"/>
  </r>
  <r>
    <x v="11"/>
    <x v="5"/>
    <x v="0"/>
    <s v="4805106"/>
    <n v="721835"/>
    <s v="Supplies-Forms"/>
    <s v="CT Scan Services"/>
    <x v="0"/>
    <m/>
    <n v="0"/>
    <n v="0"/>
    <n v="0"/>
    <n v="0"/>
    <n v="309.2"/>
    <n v="0"/>
    <n v="0"/>
    <n v="0"/>
    <n v="228"/>
    <n v="0"/>
    <n v="0"/>
    <n v="75"/>
    <n v="612.20000000000005"/>
    <n v="-75"/>
  </r>
  <r>
    <x v="11"/>
    <x v="5"/>
    <x v="0"/>
    <s v="4805106"/>
    <n v="721870"/>
    <s v="Supplies-Environmental Services"/>
    <s v="CT Scan Services"/>
    <x v="0"/>
    <m/>
    <n v="65.569999999999993"/>
    <n v="0"/>
    <n v="22.85"/>
    <n v="112.5"/>
    <n v="0"/>
    <n v="0"/>
    <n v="66.81"/>
    <n v="69.760000000000005"/>
    <n v="0"/>
    <n v="45.7"/>
    <n v="45.69"/>
    <n v="45.69"/>
    <n v="474.57"/>
    <n v="0"/>
  </r>
  <r>
    <x v="11"/>
    <x v="5"/>
    <x v="0"/>
    <s v="4805106"/>
    <n v="721910"/>
    <s v="Supplies-Small Equipment"/>
    <s v="CT Scan Services"/>
    <x v="0"/>
    <m/>
    <n v="0"/>
    <n v="0"/>
    <n v="0"/>
    <n v="0"/>
    <n v="0"/>
    <n v="0"/>
    <n v="0"/>
    <n v="1.36"/>
    <n v="0"/>
    <n v="0"/>
    <n v="0"/>
    <n v="0"/>
    <n v="1.36"/>
    <n v="0"/>
  </r>
  <r>
    <x v="11"/>
    <x v="5"/>
    <x v="0"/>
    <s v="4805106"/>
    <n v="721980"/>
    <s v="Supplies-Other"/>
    <s v="CT Scan Services"/>
    <x v="0"/>
    <m/>
    <n v="151.83000000000001"/>
    <n v="0"/>
    <n v="0"/>
    <n v="0"/>
    <n v="0"/>
    <n v="0"/>
    <n v="0"/>
    <n v="0"/>
    <n v="0"/>
    <n v="411.5"/>
    <n v="177.55"/>
    <n v="1430"/>
    <n v="2170.88"/>
    <n v="-1252.45"/>
  </r>
  <r>
    <x v="11"/>
    <x v="5"/>
    <x v="0"/>
    <s v="4805106"/>
    <n v="722000"/>
    <s v="Supplies-Freight Expense"/>
    <s v="CT Scan Services"/>
    <x v="0"/>
    <m/>
    <n v="0"/>
    <n v="0"/>
    <n v="0"/>
    <n v="90"/>
    <n v="0"/>
    <n v="8.02"/>
    <n v="16"/>
    <n v="0"/>
    <n v="0"/>
    <n v="8.24"/>
    <n v="0"/>
    <n v="0"/>
    <n v="122.25999999999999"/>
    <n v="0"/>
  </r>
  <r>
    <x v="16"/>
    <x v="5"/>
    <x v="0"/>
    <s v="4805106"/>
    <n v="732030"/>
    <s v="Repairs---Other"/>
    <s v="CT Scan Services"/>
    <x v="0"/>
    <m/>
    <n v="0"/>
    <n v="1347.5"/>
    <n v="1780.35"/>
    <n v="0"/>
    <n v="0"/>
    <n v="612.70000000000005"/>
    <n v="588.5"/>
    <n v="0"/>
    <n v="1971.75"/>
    <n v="0"/>
    <n v="990"/>
    <n v="0"/>
    <n v="7290.8"/>
    <n v="990"/>
  </r>
  <r>
    <x v="13"/>
    <x v="5"/>
    <x v="0"/>
    <s v="4805106"/>
    <n v="735040"/>
    <s v="Depreciation-Building Improvements"/>
    <s v="CT Scan Services"/>
    <x v="0"/>
    <m/>
    <n v="20.86"/>
    <n v="20.86"/>
    <n v="20.86"/>
    <n v="20.86"/>
    <n v="20.86"/>
    <n v="20.86"/>
    <n v="20.86"/>
    <n v="20.86"/>
    <n v="20.86"/>
    <n v="20.85"/>
    <n v="20.86"/>
    <n v="20.85"/>
    <n v="250.29999999999998"/>
    <n v="9.9999999999980105E-3"/>
  </r>
  <r>
    <x v="13"/>
    <x v="5"/>
    <x v="0"/>
    <s v="4805106"/>
    <n v="735060"/>
    <s v="Depreciation-Fixed Equipment"/>
    <s v="CT Scan Services"/>
    <x v="0"/>
    <m/>
    <n v="9.86"/>
    <n v="9.84"/>
    <n v="9.86"/>
    <n v="9.84"/>
    <n v="9.86"/>
    <n v="9.84"/>
    <n v="9.86"/>
    <n v="9.84"/>
    <n v="9.86"/>
    <n v="9.84"/>
    <n v="9.86"/>
    <n v="9.84"/>
    <n v="118.2"/>
    <n v="1.9999999999999574E-2"/>
  </r>
  <r>
    <x v="13"/>
    <x v="5"/>
    <x v="0"/>
    <s v="4805106"/>
    <n v="735070"/>
    <s v="Depreciation-Movable Equipment"/>
    <s v="CT Scan Services"/>
    <x v="0"/>
    <m/>
    <n v="5331.83"/>
    <n v="5331.8"/>
    <n v="5331.83"/>
    <n v="5331.79"/>
    <n v="5331.83"/>
    <n v="5331.76"/>
    <n v="5331.85"/>
    <n v="5331.76"/>
    <n v="5331.86"/>
    <n v="5331.75"/>
    <n v="5331.87"/>
    <n v="5331.74"/>
    <n v="63981.670000000006"/>
    <n v="0.13000000000010914"/>
  </r>
  <r>
    <x v="18"/>
    <x v="7"/>
    <x v="0"/>
    <s v="4805150"/>
    <n v="400010"/>
    <s v="Acute I/P Svcs Rev--Medicare"/>
    <s v="CT Scan Services"/>
    <x v="0"/>
    <n v="1100"/>
    <n v="-18092.23"/>
    <n v="-24909.98"/>
    <n v="-10177.15"/>
    <n v="-29232.68"/>
    <n v="-35779.39"/>
    <n v="-52798.52"/>
    <n v="-45143.53"/>
    <n v="-440.23"/>
    <n v="-49850.46"/>
    <n v="-29502.81"/>
    <n v="-62255.96"/>
    <n v="-32050.7"/>
    <n v="-390233.64000000007"/>
    <n v="-30205.26"/>
  </r>
  <r>
    <x v="18"/>
    <x v="7"/>
    <x v="0"/>
    <s v="4805150"/>
    <n v="400010"/>
    <s v="Acute I/P Svcs Rev--Medicaid"/>
    <s v="CT Scan Services"/>
    <x v="0"/>
    <n v="1200"/>
    <n v="-13778.95"/>
    <n v="-16001.53"/>
    <n v="-19742.509999999998"/>
    <n v="-40323.07"/>
    <n v="-29178.45"/>
    <n v="-29338.47"/>
    <n v="-25871.25"/>
    <n v="-3646.79"/>
    <n v="-28561.24"/>
    <n v="-11945.63"/>
    <n v="-23542.01"/>
    <n v="-32476.639999999999"/>
    <n v="-274406.53999999998"/>
    <n v="8934.630000000001"/>
  </r>
  <r>
    <x v="18"/>
    <x v="7"/>
    <x v="0"/>
    <s v="4805150"/>
    <n v="400010"/>
    <s v="Acute I/P Svcs Rev--Comm Insurance"/>
    <s v="CT Scan Services"/>
    <x v="0"/>
    <n v="1300"/>
    <n v="0"/>
    <n v="-14113.63"/>
    <n v="-2953"/>
    <n v="-23159.26"/>
    <n v="2953"/>
    <n v="-22292.560000000001"/>
    <n v="0"/>
    <n v="-5342.22"/>
    <n v="0"/>
    <n v="-6886.34"/>
    <n v="0"/>
    <n v="0"/>
    <n v="-71794.009999999995"/>
    <n v="0"/>
  </r>
  <r>
    <x v="18"/>
    <x v="7"/>
    <x v="0"/>
    <s v="4805150"/>
    <n v="400010"/>
    <s v="Acute I/P Svcs Rev--BCBS Comm"/>
    <s v="CT Scan Services"/>
    <x v="0"/>
    <n v="1301"/>
    <n v="-3934.29"/>
    <n v="-10633.85"/>
    <n v="-1487.53"/>
    <n v="-19282.060000000001"/>
    <n v="0"/>
    <n v="-23605.74"/>
    <n v="-3934.29"/>
    <n v="-8197.75"/>
    <n v="-12411.06"/>
    <n v="-6371.26"/>
    <n v="0"/>
    <n v="-15933.47"/>
    <n v="-105791.3"/>
    <n v="15933.47"/>
  </r>
  <r>
    <x v="18"/>
    <x v="7"/>
    <x v="0"/>
    <s v="4805150"/>
    <n v="400010"/>
    <s v="Acute I/P Svcs Rev--Managed Care"/>
    <s v="CT Scan Services"/>
    <x v="0"/>
    <n v="1400"/>
    <n v="-41211.910000000003"/>
    <n v="-34480.47"/>
    <n v="-3798.29"/>
    <n v="-22767.94"/>
    <n v="-29915.48"/>
    <n v="-33340.83"/>
    <n v="-36786.870000000003"/>
    <n v="-43620.65"/>
    <n v="-26426.78"/>
    <n v="-30316.21"/>
    <n v="-21041.3"/>
    <n v="-10487.22"/>
    <n v="-334193.94999999995"/>
    <n v="-10554.08"/>
  </r>
  <r>
    <x v="18"/>
    <x v="7"/>
    <x v="0"/>
    <s v="4805150"/>
    <n v="400010"/>
    <s v="Acute I/P Svcs Rev--Self Pay"/>
    <s v="CT Scan Services"/>
    <x v="0"/>
    <n v="1500"/>
    <n v="-276.64"/>
    <n v="1476.5"/>
    <n v="-1476.5"/>
    <n v="0"/>
    <n v="-3934.29"/>
    <n v="-3787.26"/>
    <n v="-5057.96"/>
    <n v="-7891.52"/>
    <n v="0"/>
    <n v="0"/>
    <n v="0"/>
    <n v="-7239.2"/>
    <n v="-28186.870000000003"/>
    <n v="7239.2"/>
  </r>
  <r>
    <x v="18"/>
    <x v="7"/>
    <x v="0"/>
    <s v="4805150"/>
    <n v="400010"/>
    <s v="Acute I/P Svcs Rev--Other"/>
    <s v="CT Scan Services"/>
    <x v="0"/>
    <n v="1700"/>
    <n v="0"/>
    <n v="-1476.5"/>
    <n v="0"/>
    <n v="0"/>
    <n v="3750.23"/>
    <n v="-3934.29"/>
    <n v="-7868.58"/>
    <n v="-4302.5"/>
    <n v="-4053.57"/>
    <n v="-4706.43"/>
    <n v="-6850.17"/>
    <n v="7868.58"/>
    <n v="-21573.229999999996"/>
    <n v="-14718.75"/>
  </r>
  <r>
    <x v="19"/>
    <x v="7"/>
    <x v="0"/>
    <s v="4805150"/>
    <n v="400020"/>
    <s v="O/P Care Svcs Rev--Medicare"/>
    <s v="CT Scan Services"/>
    <x v="0"/>
    <n v="1100"/>
    <n v="-364076.4"/>
    <n v="-392906.15"/>
    <n v="-375672.96"/>
    <n v="-343506.31"/>
    <n v="-304560.52"/>
    <n v="-362586.57"/>
    <n v="-443621.97"/>
    <n v="-358620.59"/>
    <n v="-380524.86"/>
    <n v="-387686.75"/>
    <n v="-403582.69"/>
    <n v="-399078.15"/>
    <n v="-4516423.92"/>
    <n v="-4504.539999999979"/>
  </r>
  <r>
    <x v="19"/>
    <x v="7"/>
    <x v="0"/>
    <s v="4805150"/>
    <n v="400020"/>
    <s v="O/P Care Svcs Rev--Medicaid"/>
    <s v="CT Scan Services"/>
    <x v="0"/>
    <n v="1200"/>
    <n v="-141744.15"/>
    <n v="-167602.42000000001"/>
    <n v="-96060.39"/>
    <n v="-157945.49"/>
    <n v="-81295.62"/>
    <n v="-129713.25"/>
    <n v="-161715.84"/>
    <n v="-137908.38"/>
    <n v="-122140.03"/>
    <n v="-115965.27"/>
    <n v="-158937.84"/>
    <n v="-150285.71"/>
    <n v="-1621314.3900000001"/>
    <n v="-8652.1300000000047"/>
  </r>
  <r>
    <x v="19"/>
    <x v="7"/>
    <x v="0"/>
    <s v="4805150"/>
    <n v="400020"/>
    <s v="O/P Care Svcs Rev--Comm Insurance"/>
    <s v="CT Scan Services"/>
    <x v="0"/>
    <n v="1300"/>
    <n v="-7942.62"/>
    <n v="-11837.91"/>
    <n v="-52225.88"/>
    <n v="-10873.02"/>
    <n v="-55806.74"/>
    <n v="-39377.71"/>
    <n v="-16847.080000000002"/>
    <n v="-21219.63"/>
    <n v="-45768.47"/>
    <n v="-7627.7"/>
    <n v="-38386.300000000003"/>
    <n v="-49853.54"/>
    <n v="-357766.6"/>
    <n v="11467.239999999998"/>
  </r>
  <r>
    <x v="19"/>
    <x v="7"/>
    <x v="0"/>
    <s v="4805150"/>
    <n v="400020"/>
    <s v="O/P Care Svcs Rev--BCBS Comm"/>
    <s v="CT Scan Services"/>
    <x v="0"/>
    <n v="1301"/>
    <n v="-88972.82"/>
    <n v="-89145.08"/>
    <n v="-98373.39"/>
    <n v="-112926.16"/>
    <n v="-77408.39"/>
    <n v="-71335.55"/>
    <n v="-125490.91"/>
    <n v="-67397.08"/>
    <n v="-118631.82"/>
    <n v="-101070.29"/>
    <n v="-101432.98"/>
    <n v="-95501.87"/>
    <n v="-1147686.3400000003"/>
    <n v="-5931.1100000000006"/>
  </r>
  <r>
    <x v="19"/>
    <x v="7"/>
    <x v="0"/>
    <s v="4805150"/>
    <n v="400020"/>
    <s v="O/P Care Svcs Rev--Managed Care"/>
    <s v="CT Scan Services"/>
    <x v="0"/>
    <n v="1400"/>
    <n v="-184628.68"/>
    <n v="-187213.76"/>
    <n v="-230166.49"/>
    <n v="-189516.13"/>
    <n v="-197180.91"/>
    <n v="-208360.14"/>
    <n v="-209805.58"/>
    <n v="-164089.38"/>
    <n v="-273088.28000000003"/>
    <n v="-215822.43"/>
    <n v="-242488.72"/>
    <n v="-201187.23"/>
    <n v="-2503547.73"/>
    <n v="-41301.489999999991"/>
  </r>
  <r>
    <x v="19"/>
    <x v="7"/>
    <x v="0"/>
    <s v="4805150"/>
    <n v="400020"/>
    <s v="O/P Care Svcs Rev--Self Pay"/>
    <s v="CT Scan Services"/>
    <x v="0"/>
    <n v="1500"/>
    <n v="-32682.22"/>
    <n v="-41016.199999999997"/>
    <n v="-44480.01"/>
    <n v="-17699.169999999998"/>
    <n v="-22521.03"/>
    <n v="-40694.07"/>
    <n v="-22012.04"/>
    <n v="-23949.77"/>
    <n v="-25353.62"/>
    <n v="-27751.05"/>
    <n v="-37530.47"/>
    <n v="-61490.12"/>
    <n v="-397179.77"/>
    <n v="23959.65"/>
  </r>
  <r>
    <x v="19"/>
    <x v="7"/>
    <x v="0"/>
    <s v="4805150"/>
    <n v="400020"/>
    <s v="O/P Care Svcs Rev--Other"/>
    <s v="CT Scan Services"/>
    <x v="0"/>
    <n v="1700"/>
    <n v="-29111.53"/>
    <n v="-25258.01"/>
    <n v="-33048.620000000003"/>
    <n v="-16505.25"/>
    <n v="-13699.06"/>
    <n v="-15070.79"/>
    <n v="-19567.96"/>
    <n v="-26171.96"/>
    <n v="-25204.5"/>
    <n v="-31675.01"/>
    <n v="-13990.83"/>
    <n v="-30630.47"/>
    <n v="-279933.99"/>
    <n v="16639.64"/>
  </r>
  <r>
    <x v="5"/>
    <x v="7"/>
    <x v="0"/>
    <s v="4805150"/>
    <n v="700034"/>
    <s v="Salaries-Tech/Professional-Productive"/>
    <s v="CT Scan Services"/>
    <x v="0"/>
    <m/>
    <n v="30615.599999999999"/>
    <n v="29664.29"/>
    <n v="29684.92"/>
    <n v="30864.47"/>
    <n v="31758.45"/>
    <n v="31338.02"/>
    <n v="30783.21"/>
    <n v="29058.27"/>
    <n v="32916.57"/>
    <n v="31822.75"/>
    <n v="30720.04"/>
    <n v="40807.129999999997"/>
    <n v="380033.72"/>
    <n v="-10087.089999999997"/>
  </r>
  <r>
    <x v="5"/>
    <x v="7"/>
    <x v="0"/>
    <s v="4805150"/>
    <n v="700034"/>
    <s v="Salaries-Tech/Professional-OT"/>
    <s v="CT Scan Services"/>
    <x v="0"/>
    <n v="1000"/>
    <n v="1358.59"/>
    <n v="1333.43"/>
    <n v="643.34"/>
    <n v="390.84"/>
    <n v="1039.8900000000001"/>
    <n v="283.41000000000003"/>
    <n v="798.68"/>
    <n v="967"/>
    <n v="1055.23"/>
    <n v="123.76"/>
    <n v="4499.6099999999997"/>
    <n v="1213.76"/>
    <n v="13707.539999999999"/>
    <n v="3285.8499999999995"/>
  </r>
  <r>
    <x v="5"/>
    <x v="7"/>
    <x v="0"/>
    <s v="4805150"/>
    <n v="700034"/>
    <s v="Salaries-Tech/Professional-Other"/>
    <s v="CT Scan Services"/>
    <x v="0"/>
    <n v="2000"/>
    <n v="3448.34"/>
    <n v="3446.16"/>
    <n v="3054.84"/>
    <n v="2264.79"/>
    <n v="2766.16"/>
    <n v="1999.34"/>
    <n v="2260.79"/>
    <n v="2319.12"/>
    <n v="3064.67"/>
    <n v="3152.51"/>
    <n v="4111.7700000000004"/>
    <n v="2338.33"/>
    <n v="34226.82"/>
    <n v="1773.4400000000005"/>
  </r>
  <r>
    <x v="5"/>
    <x v="7"/>
    <x v="0"/>
    <s v="4805150"/>
    <n v="700074"/>
    <s v="Salaries-Tech/Professional-Non-productive"/>
    <s v="CT Scan Services"/>
    <x v="0"/>
    <m/>
    <n v="8475.75"/>
    <n v="8927.99"/>
    <n v="9044.4699999999993"/>
    <n v="-1614.96"/>
    <n v="1960.64"/>
    <n v="2543.69"/>
    <n v="1249.42"/>
    <n v="2517.65"/>
    <n v="8003.94"/>
    <n v="10394.58"/>
    <n v="15201.51"/>
    <n v="-1721.26"/>
    <n v="64983.420000000006"/>
    <n v="16922.77"/>
  </r>
  <r>
    <x v="5"/>
    <x v="7"/>
    <x v="0"/>
    <s v="4805150"/>
    <n v="700074"/>
    <s v="Salaries-Tech/Professional-NonProd-Other"/>
    <s v="CT Scan Services"/>
    <x v="0"/>
    <n v="2000"/>
    <n v="0"/>
    <n v="0"/>
    <n v="34.57"/>
    <n v="-12.57"/>
    <n v="0"/>
    <n v="9.49"/>
    <n v="0"/>
    <n v="0"/>
    <n v="0"/>
    <n v="0"/>
    <n v="0"/>
    <n v="0"/>
    <n v="31.490000000000002"/>
    <n v="0"/>
  </r>
  <r>
    <x v="5"/>
    <x v="7"/>
    <x v="0"/>
    <s v="4805150"/>
    <n v="700084"/>
    <s v="Accrued PTO"/>
    <s v="CT Scan Services"/>
    <x v="0"/>
    <m/>
    <n v="-3497.57"/>
    <n v="-4093.57"/>
    <n v="-3585.48"/>
    <n v="3152.89"/>
    <n v="2555.6999999999998"/>
    <n v="3525.87"/>
    <n v="3007.1"/>
    <n v="1774.55"/>
    <n v="2162.81"/>
    <n v="3361.54"/>
    <n v="-337.82"/>
    <n v="1669.25"/>
    <n v="9695.2699999999968"/>
    <n v="-2007.07"/>
  </r>
  <r>
    <x v="6"/>
    <x v="7"/>
    <x v="0"/>
    <s v="4805150"/>
    <n v="713010"/>
    <s v="Benefits-FICA/Medicare"/>
    <s v="CT Scan Services"/>
    <x v="0"/>
    <m/>
    <n v="3286.67"/>
    <n v="3248.39"/>
    <n v="3178.97"/>
    <n v="2372.5"/>
    <n v="2831.77"/>
    <n v="2933.45"/>
    <n v="2621.53"/>
    <n v="2616.86"/>
    <n v="3374.92"/>
    <n v="3416.25"/>
    <n v="4102.2299999999996"/>
    <n v="3196.64"/>
    <n v="37180.179999999993"/>
    <n v="905.58999999999969"/>
  </r>
  <r>
    <x v="6"/>
    <x v="7"/>
    <x v="0"/>
    <s v="4805150"/>
    <n v="713090"/>
    <s v="Benefits-Allocated Amounts"/>
    <s v="CT Scan Services"/>
    <x v="0"/>
    <m/>
    <n v="7427.16"/>
    <n v="6420.22"/>
    <n v="7067.88"/>
    <n v="5630.98"/>
    <n v="6540.69"/>
    <n v="5938.96"/>
    <n v="6178.83"/>
    <n v="5720.33"/>
    <n v="7027.55"/>
    <n v="8054"/>
    <n v="8743.56"/>
    <n v="7599.84"/>
    <n v="82350"/>
    <n v="1143.7199999999993"/>
  </r>
  <r>
    <x v="17"/>
    <x v="7"/>
    <x v="0"/>
    <s v="4805150"/>
    <n v="714520"/>
    <s v="Other Contracted Professionals"/>
    <s v="CT Scan Services"/>
    <x v="0"/>
    <m/>
    <n v="0"/>
    <n v="0"/>
    <n v="0"/>
    <n v="0"/>
    <n v="0"/>
    <n v="0"/>
    <n v="0"/>
    <n v="0"/>
    <n v="0"/>
    <n v="1350"/>
    <n v="0"/>
    <n v="0"/>
    <n v="1350"/>
    <n v="0"/>
  </r>
  <r>
    <x v="7"/>
    <x v="7"/>
    <x v="0"/>
    <s v="4805150"/>
    <n v="718050"/>
    <s v="Contract Svcs-Other"/>
    <s v="CT Scan Services"/>
    <x v="0"/>
    <m/>
    <n v="1649"/>
    <n v="0"/>
    <n v="0"/>
    <n v="0"/>
    <n v="0"/>
    <n v="0"/>
    <n v="912"/>
    <n v="347.95"/>
    <n v="0"/>
    <n v="0"/>
    <n v="250"/>
    <n v="0"/>
    <n v="3158.95"/>
    <n v="250"/>
  </r>
  <r>
    <x v="7"/>
    <x v="7"/>
    <x v="0"/>
    <s v="4805150"/>
    <n v="718070"/>
    <s v="Contract Srvcs-CHI Clinical Engineering"/>
    <s v="CT Scan Services"/>
    <x v="0"/>
    <m/>
    <n v="8118.8"/>
    <n v="8118.8"/>
    <n v="8118.8"/>
    <n v="8768.6"/>
    <n v="8118.8"/>
    <n v="8118.8"/>
    <n v="8118.8"/>
    <n v="8118.8"/>
    <n v="8118.8"/>
    <n v="8118.8"/>
    <n v="8118.8"/>
    <n v="8118.8"/>
    <n v="98075.400000000023"/>
    <n v="0"/>
  </r>
  <r>
    <x v="11"/>
    <x v="7"/>
    <x v="0"/>
    <s v="4805150"/>
    <n v="721010"/>
    <s v="Supplies-Medical - Billable"/>
    <s v="CT Scan Services"/>
    <x v="0"/>
    <m/>
    <n v="309.57"/>
    <n v="0"/>
    <n v="369.86"/>
    <n v="0"/>
    <n v="166.83"/>
    <n v="0"/>
    <n v="355.08"/>
    <n v="11.25"/>
    <n v="0"/>
    <n v="0"/>
    <n v="173.01"/>
    <n v="82.24"/>
    <n v="1467.8400000000001"/>
    <n v="90.77"/>
  </r>
  <r>
    <x v="11"/>
    <x v="7"/>
    <x v="0"/>
    <s v="4805150"/>
    <n v="721010"/>
    <s v="Patient Monitoring"/>
    <s v="CT Scan Services"/>
    <x v="0"/>
    <n v="1000"/>
    <n v="0"/>
    <n v="0"/>
    <n v="0"/>
    <n v="0"/>
    <n v="0"/>
    <n v="0"/>
    <n v="0"/>
    <n v="3.46"/>
    <n v="0"/>
    <n v="0"/>
    <n v="0"/>
    <n v="0"/>
    <n v="3.46"/>
    <n v="0"/>
  </r>
  <r>
    <x v="11"/>
    <x v="7"/>
    <x v="0"/>
    <s v="4805150"/>
    <n v="721020"/>
    <s v="Endomechanical Supplies &amp; Instruments"/>
    <s v="CT Scan Services"/>
    <x v="0"/>
    <n v="1003"/>
    <n v="0"/>
    <n v="0"/>
    <n v="0"/>
    <n v="0"/>
    <n v="0"/>
    <n v="0"/>
    <n v="251.53"/>
    <n v="0"/>
    <n v="0"/>
    <n v="0"/>
    <n v="0"/>
    <n v="251.53"/>
    <n v="503.06"/>
    <n v="-251.53"/>
  </r>
  <r>
    <x v="11"/>
    <x v="7"/>
    <x v="0"/>
    <s v="4805150"/>
    <n v="721020"/>
    <s v="Urological Supplies"/>
    <s v="CT Scan Services"/>
    <x v="0"/>
    <n v="1006"/>
    <n v="140"/>
    <n v="0"/>
    <n v="70"/>
    <n v="0"/>
    <n v="0"/>
    <n v="0"/>
    <n v="0"/>
    <n v="0"/>
    <n v="0"/>
    <n v="0"/>
    <n v="0"/>
    <n v="0"/>
    <n v="210"/>
    <n v="0"/>
  </r>
  <r>
    <x v="11"/>
    <x v="7"/>
    <x v="0"/>
    <s v="4805150"/>
    <n v="721240"/>
    <s v="Supplies-IV Solutions/Supplies - Billable"/>
    <s v="CT Scan Services"/>
    <x v="0"/>
    <m/>
    <n v="324.63"/>
    <n v="132.75"/>
    <n v="103.5"/>
    <n v="123"/>
    <n v="115"/>
    <n v="126"/>
    <n v="100.32"/>
    <n v="130.22"/>
    <n v="133.85"/>
    <n v="117"/>
    <n v="183.7"/>
    <n v="183.7"/>
    <n v="1773.67"/>
    <n v="0"/>
  </r>
  <r>
    <x v="11"/>
    <x v="7"/>
    <x v="0"/>
    <s v="4805150"/>
    <n v="721250"/>
    <s v="Supplies-Pharmacy Drugs - Billable"/>
    <s v="CT Scan Services"/>
    <x v="0"/>
    <m/>
    <n v="1336.87"/>
    <n v="1689.74"/>
    <n v="1891.39"/>
    <n v="1397.55"/>
    <n v="2956.7"/>
    <n v="98.32"/>
    <n v="0"/>
    <n v="3280.2"/>
    <n v="2372.9299999999998"/>
    <n v="1384.8"/>
    <n v="3443.48"/>
    <n v="4916.33"/>
    <n v="24768.309999999998"/>
    <n v="-1472.85"/>
  </r>
  <r>
    <x v="11"/>
    <x v="7"/>
    <x v="0"/>
    <s v="4805150"/>
    <n v="721350"/>
    <s v="Radiology Imaging - Contrast Media"/>
    <s v="CT Scan Services"/>
    <x v="0"/>
    <n v="1000"/>
    <n v="63.79"/>
    <n v="154.83000000000001"/>
    <n v="154.83000000000001"/>
    <n v="63.8"/>
    <n v="0.01"/>
    <n v="63.8"/>
    <n v="282.42"/>
    <n v="0"/>
    <n v="0"/>
    <n v="70.17"/>
    <n v="0"/>
    <n v="163.94"/>
    <n v="1017.5899999999999"/>
    <n v="-163.94"/>
  </r>
  <r>
    <x v="11"/>
    <x v="7"/>
    <x v="0"/>
    <s v="4805150"/>
    <n v="721410"/>
    <s v="Supplies-Medical - Nonbillable"/>
    <s v="CT Scan Services"/>
    <x v="0"/>
    <m/>
    <n v="1622.03"/>
    <n v="2279.5300000000002"/>
    <n v="2435.1"/>
    <n v="2257.6999999999998"/>
    <n v="2117.4"/>
    <n v="2649.71"/>
    <n v="2403"/>
    <n v="1936.7"/>
    <n v="2349.5"/>
    <n v="-897.31"/>
    <n v="1893.9"/>
    <n v="2071.3000000000002"/>
    <n v="23118.560000000001"/>
    <n v="-177.40000000000009"/>
  </r>
  <r>
    <x v="11"/>
    <x v="7"/>
    <x v="0"/>
    <s v="4805150"/>
    <n v="721640"/>
    <s v="Supplies-IV Solutions/Supplies - Nonbillable"/>
    <s v="CT Scan Services"/>
    <x v="0"/>
    <m/>
    <n v="0"/>
    <n v="29.35"/>
    <n v="26.68"/>
    <n v="7.11"/>
    <n v="19.57"/>
    <n v="29.35"/>
    <n v="19.57"/>
    <n v="46.25"/>
    <n v="14.73"/>
    <n v="26.68"/>
    <n v="28.46"/>
    <n v="19.57"/>
    <n v="267.32"/>
    <n v="8.89"/>
  </r>
  <r>
    <x v="11"/>
    <x v="7"/>
    <x v="0"/>
    <s v="4805150"/>
    <n v="721830"/>
    <s v="Supplies-Office"/>
    <s v="CT Scan Services"/>
    <x v="0"/>
    <m/>
    <n v="46.74"/>
    <n v="12.99"/>
    <n v="0"/>
    <n v="0"/>
    <n v="0"/>
    <n v="0"/>
    <n v="0"/>
    <n v="0"/>
    <n v="0"/>
    <n v="0"/>
    <n v="0"/>
    <n v="-12.99"/>
    <n v="46.74"/>
    <n v="12.99"/>
  </r>
  <r>
    <x v="11"/>
    <x v="7"/>
    <x v="0"/>
    <s v="4805150"/>
    <n v="721910"/>
    <s v="Supplies-Small Equipment"/>
    <s v="CT Scan Services"/>
    <x v="0"/>
    <m/>
    <n v="0"/>
    <n v="0"/>
    <n v="0"/>
    <n v="0"/>
    <n v="0"/>
    <n v="0"/>
    <n v="0"/>
    <n v="0"/>
    <n v="369.04"/>
    <n v="0"/>
    <n v="0"/>
    <n v="0"/>
    <n v="369.04"/>
    <n v="0"/>
  </r>
  <r>
    <x v="11"/>
    <x v="7"/>
    <x v="0"/>
    <s v="4805150"/>
    <n v="722000"/>
    <s v="Supplies-Freight Expense"/>
    <s v="CT Scan Services"/>
    <x v="0"/>
    <m/>
    <n v="0"/>
    <n v="0"/>
    <n v="0"/>
    <n v="0"/>
    <n v="0"/>
    <n v="0"/>
    <n v="0"/>
    <n v="0"/>
    <n v="10.91"/>
    <n v="0"/>
    <n v="25.76"/>
    <n v="12.99"/>
    <n v="49.660000000000004"/>
    <n v="12.770000000000001"/>
  </r>
  <r>
    <x v="0"/>
    <x v="7"/>
    <x v="0"/>
    <s v="4805150"/>
    <n v="749530"/>
    <s v="Travel"/>
    <s v="CT Scan Services"/>
    <x v="0"/>
    <m/>
    <n v="0"/>
    <n v="0"/>
    <n v="0"/>
    <n v="0"/>
    <n v="0"/>
    <n v="0"/>
    <n v="0"/>
    <n v="391.62"/>
    <n v="0"/>
    <n v="0"/>
    <n v="0"/>
    <n v="0"/>
    <n v="391.62"/>
    <n v="0"/>
  </r>
  <r>
    <x v="18"/>
    <x v="10"/>
    <x v="0"/>
    <s v="4805306"/>
    <n v="400010"/>
    <s v="Acute I/P Svcs Rev--Medicare"/>
    <s v="CT Scan"/>
    <x v="0"/>
    <n v="1100"/>
    <n v="-98505.81"/>
    <n v="-54281.49"/>
    <n v="-7105.91"/>
    <n v="-51519.77"/>
    <n v="-53951.97"/>
    <n v="-33340.14"/>
    <n v="-20747.16"/>
    <n v="-51866.17"/>
    <n v="-3819.54"/>
    <n v="-44570.91"/>
    <n v="-38194.239999999998"/>
    <n v="-3131.46"/>
    <n v="-461034.56999999989"/>
    <n v="-35062.78"/>
  </r>
  <r>
    <x v="18"/>
    <x v="10"/>
    <x v="0"/>
    <s v="4805306"/>
    <n v="400010"/>
    <s v="Acute I/P Svcs Rev--Medicaid"/>
    <s v="CT Scan"/>
    <x v="0"/>
    <n v="1200"/>
    <n v="0"/>
    <n v="0"/>
    <n v="0"/>
    <n v="-884.94"/>
    <n v="-5652.9"/>
    <n v="-8479.44"/>
    <n v="-23993.22"/>
    <n v="0"/>
    <n v="0"/>
    <n v="-13992.88"/>
    <n v="-3131.46"/>
    <n v="0"/>
    <n v="-56134.84"/>
    <n v="-3131.46"/>
  </r>
  <r>
    <x v="18"/>
    <x v="10"/>
    <x v="0"/>
    <s v="4805306"/>
    <n v="400010"/>
    <s v="Acute I/P Svcs Rev--Comm Insurance"/>
    <s v="CT Scan"/>
    <x v="0"/>
    <n v="1300"/>
    <n v="0"/>
    <n v="0"/>
    <n v="0"/>
    <n v="0"/>
    <n v="0"/>
    <n v="0"/>
    <n v="0"/>
    <n v="-2757.6"/>
    <n v="0"/>
    <n v="0"/>
    <n v="0"/>
    <n v="0"/>
    <n v="-2757.6"/>
    <n v="0"/>
  </r>
  <r>
    <x v="18"/>
    <x v="10"/>
    <x v="0"/>
    <s v="4805306"/>
    <n v="400010"/>
    <s v="Acute I/P Svcs Rev--BCBS Comm"/>
    <s v="CT Scan"/>
    <x v="0"/>
    <n v="1301"/>
    <n v="0"/>
    <n v="0"/>
    <n v="0"/>
    <n v="0"/>
    <n v="0"/>
    <n v="0"/>
    <n v="0"/>
    <n v="-3131.46"/>
    <n v="-11886.29"/>
    <n v="0"/>
    <n v="0"/>
    <n v="0"/>
    <n v="-15017.75"/>
    <n v="0"/>
  </r>
  <r>
    <x v="18"/>
    <x v="10"/>
    <x v="0"/>
    <s v="4805306"/>
    <n v="400010"/>
    <s v="Acute I/P Svcs Rev--Managed Care"/>
    <s v="CT Scan"/>
    <x v="0"/>
    <n v="1400"/>
    <n v="41024.050000000003"/>
    <n v="0"/>
    <n v="-11450.2"/>
    <n v="-9525.4699999999993"/>
    <n v="0"/>
    <n v="-10373.58"/>
    <n v="0"/>
    <n v="0"/>
    <n v="-8731.76"/>
    <n v="-10274.969999999999"/>
    <n v="0"/>
    <n v="0"/>
    <n v="-9331.9299999999948"/>
    <n v="0"/>
  </r>
  <r>
    <x v="7"/>
    <x v="10"/>
    <x v="0"/>
    <s v="4805306"/>
    <n v="718050"/>
    <s v="Miscellaneous Purchased Svcs"/>
    <s v="CT Scan"/>
    <x v="0"/>
    <n v="1020"/>
    <n v="1251.75"/>
    <n v="1411.31"/>
    <n v="482.45"/>
    <n v="1610.18"/>
    <n v="1549.72"/>
    <n v="1357.02"/>
    <n v="1163.24"/>
    <n v="1201.3"/>
    <n v="508.3"/>
    <n v="1431.84"/>
    <n v="859.57"/>
    <n v="65.13"/>
    <n v="12891.809999999998"/>
    <n v="794.44"/>
  </r>
  <r>
    <x v="18"/>
    <x v="6"/>
    <x v="0"/>
    <s v="4806107"/>
    <n v="400010"/>
    <s v="Acute I/P Svcs Rev--Medicare"/>
    <s v="HARR Imaging Center PO"/>
    <x v="0"/>
    <n v="1100"/>
    <n v="0"/>
    <n v="0"/>
    <n v="0"/>
    <n v="-6619.34"/>
    <n v="-376.74"/>
    <n v="0"/>
    <n v="0"/>
    <n v="0"/>
    <n v="0"/>
    <n v="0"/>
    <n v="0"/>
    <n v="-15570.32"/>
    <n v="-22566.400000000001"/>
    <n v="15570.32"/>
  </r>
  <r>
    <x v="18"/>
    <x v="6"/>
    <x v="0"/>
    <s v="4806107"/>
    <n v="400010"/>
    <s v="Acute I/P Svcs Rev--Medicaid"/>
    <s v="HARR Imaging Center PO"/>
    <x v="0"/>
    <n v="1200"/>
    <n v="0"/>
    <n v="-15116.78"/>
    <n v="-3822.84"/>
    <n v="0"/>
    <n v="-6619.35"/>
    <n v="0"/>
    <n v="0"/>
    <n v="0"/>
    <n v="0"/>
    <n v="0"/>
    <n v="0"/>
    <n v="-13512.69"/>
    <n v="-39071.660000000003"/>
    <n v="13512.69"/>
  </r>
  <r>
    <x v="18"/>
    <x v="6"/>
    <x v="0"/>
    <s v="4806107"/>
    <n v="400010"/>
    <s v="Acute I/P Svcs Rev--BCBS Comm"/>
    <s v="HARR Imaging Center PO"/>
    <x v="0"/>
    <n v="1301"/>
    <n v="-4751.46"/>
    <n v="4751.46"/>
    <n v="0"/>
    <n v="0"/>
    <n v="0"/>
    <n v="0"/>
    <n v="0"/>
    <n v="0"/>
    <n v="0"/>
    <n v="0"/>
    <n v="0"/>
    <n v="0"/>
    <n v="0"/>
    <n v="0"/>
  </r>
  <r>
    <x v="18"/>
    <x v="6"/>
    <x v="0"/>
    <s v="4806107"/>
    <n v="400010"/>
    <s v="Acute I/P Svcs Rev--Managed Care"/>
    <s v="HARR Imaging Center PO"/>
    <x v="0"/>
    <n v="1400"/>
    <n v="0"/>
    <n v="0"/>
    <n v="-6781.32"/>
    <n v="0"/>
    <n v="0"/>
    <n v="0"/>
    <n v="0"/>
    <n v="0"/>
    <n v="0"/>
    <n v="0"/>
    <n v="0"/>
    <n v="0"/>
    <n v="-6781.32"/>
    <n v="0"/>
  </r>
  <r>
    <x v="19"/>
    <x v="6"/>
    <x v="0"/>
    <s v="4806107"/>
    <n v="400020"/>
    <s v="O/P Care Svcs Rev--Medicare"/>
    <s v="HARR Imaging Center PO"/>
    <x v="0"/>
    <n v="1100"/>
    <n v="-444189.82"/>
    <n v="-464417.91"/>
    <n v="-365372.78"/>
    <n v="-481797.82"/>
    <n v="-365511.6"/>
    <n v="-355270.88"/>
    <n v="-461638.58"/>
    <n v="-307733.63"/>
    <n v="-459736.17"/>
    <n v="-396454.81"/>
    <n v="-384208.64000000001"/>
    <n v="-432974.68"/>
    <n v="-4919307.3199999994"/>
    <n v="48766.039999999979"/>
  </r>
  <r>
    <x v="19"/>
    <x v="6"/>
    <x v="0"/>
    <s v="4806107"/>
    <n v="400020"/>
    <s v="O/P Care Svcs Rev--Medicaid"/>
    <s v="HARR Imaging Center PO"/>
    <x v="0"/>
    <n v="1200"/>
    <n v="-137849.15"/>
    <n v="-126705.8"/>
    <n v="-117617.54"/>
    <n v="-146464.79"/>
    <n v="-111227.96"/>
    <n v="-100562.18"/>
    <n v="-137615.54"/>
    <n v="-100575.31"/>
    <n v="-114488.38"/>
    <n v="-160518.24"/>
    <n v="-131412.25"/>
    <n v="-138205.32999999999"/>
    <n v="-1523242.47"/>
    <n v="6793.0799999999872"/>
  </r>
  <r>
    <x v="19"/>
    <x v="6"/>
    <x v="0"/>
    <s v="4806107"/>
    <n v="400020"/>
    <s v="O/P Care Svcs Rev--Comm Insurance"/>
    <s v="HARR Imaging Center PO"/>
    <x v="0"/>
    <n v="1300"/>
    <n v="-35085.26"/>
    <n v="-31835.01"/>
    <n v="-7947.06"/>
    <n v="-30883.82"/>
    <n v="-24530.81"/>
    <n v="-23951.26"/>
    <n v="-26152.85"/>
    <n v="-31228"/>
    <n v="-19180.240000000002"/>
    <n v="-28552.9"/>
    <n v="-20065.36"/>
    <n v="-25922.720000000001"/>
    <n v="-305335.29000000004"/>
    <n v="5857.3600000000006"/>
  </r>
  <r>
    <x v="19"/>
    <x v="6"/>
    <x v="0"/>
    <s v="4806107"/>
    <n v="400020"/>
    <s v="O/P Care Svcs Rev--BCBS Comm"/>
    <s v="HARR Imaging Center PO"/>
    <x v="0"/>
    <n v="1301"/>
    <n v="-105055.5"/>
    <n v="-122179.75"/>
    <n v="-101413.75"/>
    <n v="-148812.34"/>
    <n v="-114147.93"/>
    <n v="-102044.2"/>
    <n v="-118730.01"/>
    <n v="-92552.25"/>
    <n v="-101996.17"/>
    <n v="-124910.69"/>
    <n v="-122433.35"/>
    <n v="-118990.48"/>
    <n v="-1373266.4200000002"/>
    <n v="-3442.8700000000099"/>
  </r>
  <r>
    <x v="19"/>
    <x v="6"/>
    <x v="0"/>
    <s v="4806107"/>
    <n v="400020"/>
    <s v="O/P Care Svcs Rev--Managed Care"/>
    <s v="HARR Imaging Center PO"/>
    <x v="0"/>
    <n v="1400"/>
    <n v="-130457.61"/>
    <n v="-146862.67000000001"/>
    <n v="-131850.94"/>
    <n v="-137313.89000000001"/>
    <n v="-145328.29"/>
    <n v="-125444.77"/>
    <n v="-124317.06"/>
    <n v="-102906.37"/>
    <n v="-123652.33"/>
    <n v="-137272.14000000001"/>
    <n v="-131297.62"/>
    <n v="-112596.03"/>
    <n v="-1549299.7200000004"/>
    <n v="-18701.589999999997"/>
  </r>
  <r>
    <x v="19"/>
    <x v="6"/>
    <x v="0"/>
    <s v="4806107"/>
    <n v="400020"/>
    <s v="O/P Care Svcs Rev--Self Pay"/>
    <s v="HARR Imaging Center PO"/>
    <x v="0"/>
    <n v="1500"/>
    <n v="-6704.66"/>
    <n v="-3446.6"/>
    <n v="-4705.71"/>
    <n v="-15787.57"/>
    <n v="-8761.35"/>
    <n v="-9159.44"/>
    <n v="-6333.91"/>
    <n v="-2420.23"/>
    <n v="-5589.44"/>
    <n v="-13456.08"/>
    <n v="-5703.82"/>
    <n v="-7344.98"/>
    <n v="-89413.79"/>
    <n v="1641.1599999999999"/>
  </r>
  <r>
    <x v="19"/>
    <x v="6"/>
    <x v="0"/>
    <s v="4806107"/>
    <n v="400020"/>
    <s v="O/P Care Svcs Rev--Other"/>
    <s v="HARR Imaging Center PO"/>
    <x v="0"/>
    <n v="1700"/>
    <n v="-60588.77"/>
    <n v="-85701.91"/>
    <n v="-66696.320000000007"/>
    <n v="-81643.42"/>
    <n v="-103243.23"/>
    <n v="-80107.3"/>
    <n v="-88364.86"/>
    <n v="-87315.74"/>
    <n v="-102658.82"/>
    <n v="-84428.72"/>
    <n v="-112480.48"/>
    <n v="-68882.429999999993"/>
    <n v="-1022111.9999999998"/>
    <n v="-43598.05"/>
  </r>
  <r>
    <x v="5"/>
    <x v="6"/>
    <x v="0"/>
    <s v="4806107"/>
    <n v="700034"/>
    <s v="Salaries-Tech/Professional-Productive"/>
    <s v="HARR Imaging Center PO"/>
    <x v="0"/>
    <m/>
    <n v="32067.63"/>
    <n v="35998.959999999999"/>
    <n v="32751.24"/>
    <n v="36192.449999999997"/>
    <n v="35226.83"/>
    <n v="30727.42"/>
    <n v="37458.06"/>
    <n v="25604.23"/>
    <n v="36401.57"/>
    <n v="35894.800000000003"/>
    <n v="34517.11"/>
    <n v="34659.980000000003"/>
    <n v="407500.27999999991"/>
    <n v="-142.87000000000262"/>
  </r>
  <r>
    <x v="5"/>
    <x v="6"/>
    <x v="0"/>
    <s v="4806107"/>
    <n v="700034"/>
    <s v="Salaries-Tech/Professional-OT"/>
    <s v="HARR Imaging Center PO"/>
    <x v="0"/>
    <n v="1000"/>
    <n v="2032.24"/>
    <n v="2268.75"/>
    <n v="2288.11"/>
    <n v="1331.78"/>
    <n v="734.25"/>
    <n v="1583.62"/>
    <n v="1504.07"/>
    <n v="1379.75"/>
    <n v="1881.13"/>
    <n v="1551.6"/>
    <n v="1588.55"/>
    <n v="2681.49"/>
    <n v="20825.339999999997"/>
    <n v="-1092.9399999999998"/>
  </r>
  <r>
    <x v="5"/>
    <x v="6"/>
    <x v="0"/>
    <s v="4806107"/>
    <n v="700034"/>
    <s v="Salaries-Tech/Professional-Other"/>
    <s v="HARR Imaging Center PO"/>
    <x v="0"/>
    <n v="2000"/>
    <n v="33.94"/>
    <n v="2.86"/>
    <n v="-2.65"/>
    <n v="0"/>
    <n v="0"/>
    <n v="0"/>
    <n v="1.88"/>
    <n v="-0.49"/>
    <n v="3.95"/>
    <n v="2.39"/>
    <n v="14.35"/>
    <n v="-1.18"/>
    <n v="55.050000000000004"/>
    <n v="15.53"/>
  </r>
  <r>
    <x v="5"/>
    <x v="6"/>
    <x v="0"/>
    <s v="4806107"/>
    <n v="700074"/>
    <s v="Salaries-Tech/Professional-Non-productive"/>
    <s v="HARR Imaging Center PO"/>
    <x v="0"/>
    <m/>
    <n v="3044.1"/>
    <n v="4946.72"/>
    <n v="2551.15"/>
    <n v="7795.4"/>
    <n v="5852.08"/>
    <n v="5816.11"/>
    <n v="5202.47"/>
    <n v="4842.04"/>
    <n v="5137.3599999999997"/>
    <n v="5566.59"/>
    <n v="5183.95"/>
    <n v="5946.33"/>
    <n v="61884.3"/>
    <n v="-762.38000000000011"/>
  </r>
  <r>
    <x v="5"/>
    <x v="6"/>
    <x v="0"/>
    <s v="4806107"/>
    <n v="700074"/>
    <s v="Salaries-Tech/Professional-NonProd-Other"/>
    <s v="HARR Imaging Center PO"/>
    <x v="0"/>
    <n v="2000"/>
    <n v="207.13"/>
    <n v="70.05"/>
    <n v="47.47"/>
    <n v="103.3"/>
    <n v="17.72"/>
    <n v="22.44"/>
    <n v="24.59"/>
    <n v="16.87"/>
    <n v="0"/>
    <n v="0"/>
    <n v="0"/>
    <n v="10.29"/>
    <n v="519.8599999999999"/>
    <n v="-10.29"/>
  </r>
  <r>
    <x v="5"/>
    <x v="6"/>
    <x v="0"/>
    <s v="4806107"/>
    <n v="700084"/>
    <s v="Accrued PTO"/>
    <s v="HARR Imaging Center PO"/>
    <x v="0"/>
    <m/>
    <n v="61.59"/>
    <n v="-51.98"/>
    <n v="806.42"/>
    <n v="-130.75"/>
    <n v="-2564.54"/>
    <n v="-1922.79"/>
    <n v="163.76"/>
    <n v="545.59"/>
    <n v="-61.68"/>
    <n v="149.81"/>
    <n v="121.82"/>
    <n v="-2551.62"/>
    <n v="-5434.369999999999"/>
    <n v="2673.44"/>
  </r>
  <r>
    <x v="6"/>
    <x v="6"/>
    <x v="0"/>
    <s v="4806107"/>
    <n v="713010"/>
    <s v="Benefits-FICA/Medicare"/>
    <s v="HARR Imaging Center PO"/>
    <x v="0"/>
    <m/>
    <n v="2856.71"/>
    <n v="3307.03"/>
    <n v="2875.88"/>
    <n v="3471.19"/>
    <n v="3194.53"/>
    <n v="2914.13"/>
    <n v="3371.12"/>
    <n v="2429.63"/>
    <n v="3315.27"/>
    <n v="3283.7"/>
    <n v="3153"/>
    <n v="3294.04"/>
    <n v="37466.230000000003"/>
    <n v="-141.03999999999996"/>
  </r>
  <r>
    <x v="6"/>
    <x v="6"/>
    <x v="0"/>
    <s v="4806107"/>
    <n v="713090"/>
    <s v="Benefits-Allocated Amounts"/>
    <s v="HARR Imaging Center PO"/>
    <x v="0"/>
    <m/>
    <n v="6076.43"/>
    <n v="6415.48"/>
    <n v="6099.06"/>
    <n v="7190.81"/>
    <n v="7604.89"/>
    <n v="6328.14"/>
    <n v="7334.93"/>
    <n v="5736.28"/>
    <n v="5906.57"/>
    <n v="7675.42"/>
    <n v="6631.08"/>
    <n v="8148.88"/>
    <n v="81147.970000000016"/>
    <n v="-1517.8000000000002"/>
  </r>
  <r>
    <x v="7"/>
    <x v="6"/>
    <x v="0"/>
    <s v="4806107"/>
    <n v="718050"/>
    <s v="Contract Svcs-Other"/>
    <s v="HARR Imaging Center PO"/>
    <x v="0"/>
    <m/>
    <n v="1138.81"/>
    <n v="4614.08"/>
    <n v="81.86"/>
    <n v="214.25"/>
    <n v="0"/>
    <n v="0"/>
    <n v="168.91"/>
    <n v="0"/>
    <n v="0"/>
    <n v="238.71"/>
    <n v="0"/>
    <n v="0"/>
    <n v="6456.619999999999"/>
    <n v="0"/>
  </r>
  <r>
    <x v="7"/>
    <x v="6"/>
    <x v="0"/>
    <s v="4806107"/>
    <n v="718050"/>
    <s v="Miscellaneous Purchased Svcs"/>
    <s v="HARR Imaging Center PO"/>
    <x v="0"/>
    <n v="1020"/>
    <n v="0"/>
    <n v="0"/>
    <n v="0"/>
    <n v="0"/>
    <n v="0"/>
    <n v="0"/>
    <n v="0"/>
    <n v="49.66"/>
    <n v="1309.3599999999999"/>
    <n v="1730.25"/>
    <n v="0"/>
    <n v="43.84"/>
    <n v="3133.11"/>
    <n v="-43.84"/>
  </r>
  <r>
    <x v="7"/>
    <x v="6"/>
    <x v="0"/>
    <s v="4806107"/>
    <n v="718050"/>
    <s v="Translation Services"/>
    <s v="HARR Imaging Center PO"/>
    <x v="0"/>
    <n v="1025"/>
    <n v="0"/>
    <n v="0"/>
    <n v="0"/>
    <n v="150"/>
    <n v="0"/>
    <n v="0"/>
    <n v="49"/>
    <n v="0"/>
    <n v="0"/>
    <n v="0"/>
    <n v="32"/>
    <n v="0"/>
    <n v="231"/>
    <n v="32"/>
  </r>
  <r>
    <x v="7"/>
    <x v="6"/>
    <x v="0"/>
    <s v="4806107"/>
    <n v="718050"/>
    <s v="Contract Management--Linen"/>
    <s v="HARR Imaging Center PO"/>
    <x v="0"/>
    <n v="1026"/>
    <n v="704.24"/>
    <n v="2835.21"/>
    <n v="1469.53"/>
    <n v="733.12"/>
    <n v="1267.54"/>
    <n v="2400.89"/>
    <n v="1468.2"/>
    <n v="2201.79"/>
    <n v="1145.99"/>
    <n v="1277.06"/>
    <n v="1309.6400000000001"/>
    <n v="1114.18"/>
    <n v="17927.39"/>
    <n v="195.46000000000004"/>
  </r>
  <r>
    <x v="7"/>
    <x v="6"/>
    <x v="0"/>
    <s v="4806107"/>
    <n v="718070"/>
    <s v="Contract Srvcs-CHI Clinical Engineering"/>
    <s v="HARR Imaging Center PO"/>
    <x v="0"/>
    <m/>
    <n v="18669.3"/>
    <n v="20738.52"/>
    <n v="17734.900000000001"/>
    <n v="18389.21"/>
    <n v="17591.53"/>
    <n v="17594.099999999999"/>
    <n v="18091.84"/>
    <n v="16277.54"/>
    <n v="18056.810000000001"/>
    <n v="17964.54"/>
    <n v="18813.32"/>
    <n v="17809.89"/>
    <n v="217731.5"/>
    <n v="1003.4300000000003"/>
  </r>
  <r>
    <x v="7"/>
    <x v="6"/>
    <x v="0"/>
    <s v="4806107"/>
    <n v="718077"/>
    <s v="PACS"/>
    <s v="HARR Imaging Center PO"/>
    <x v="0"/>
    <n v="1000"/>
    <n v="0"/>
    <n v="1199"/>
    <n v="-1199"/>
    <n v="0"/>
    <n v="0"/>
    <n v="0"/>
    <n v="0"/>
    <n v="0"/>
    <n v="0"/>
    <n v="0"/>
    <n v="0"/>
    <n v="0"/>
    <n v="0"/>
    <n v="0"/>
  </r>
  <r>
    <x v="11"/>
    <x v="6"/>
    <x v="0"/>
    <s v="4806107"/>
    <n v="721010"/>
    <s v="Supplies-Medical - Billable"/>
    <s v="HARR Imaging Center PO"/>
    <x v="0"/>
    <m/>
    <n v="13.52"/>
    <n v="14.92"/>
    <n v="39.26"/>
    <n v="13.52"/>
    <n v="98.12"/>
    <n v="39.26"/>
    <n v="0"/>
    <n v="39.26"/>
    <n v="19.63"/>
    <n v="64.510000000000005"/>
    <n v="58.89"/>
    <n v="0"/>
    <n v="400.88999999999993"/>
    <n v="58.89"/>
  </r>
  <r>
    <x v="11"/>
    <x v="6"/>
    <x v="0"/>
    <s v="4806107"/>
    <n v="721020"/>
    <s v="Custom Packs"/>
    <s v="HARR Imaging Center PO"/>
    <x v="0"/>
    <n v="1000"/>
    <n v="0"/>
    <n v="0"/>
    <n v="0"/>
    <n v="0"/>
    <n v="0"/>
    <n v="0"/>
    <n v="253.73"/>
    <n v="253.68"/>
    <n v="-21.85"/>
    <n v="0"/>
    <n v="0"/>
    <n v="0"/>
    <n v="485.55999999999995"/>
    <n v="0"/>
  </r>
  <r>
    <x v="11"/>
    <x v="6"/>
    <x v="0"/>
    <s v="4806107"/>
    <n v="721050"/>
    <s v="Supplies-Cardiac Rhythm - Billable"/>
    <s v="HARR Imaging Center PO"/>
    <x v="0"/>
    <m/>
    <n v="0"/>
    <n v="0"/>
    <n v="0"/>
    <n v="1875"/>
    <n v="0"/>
    <n v="0"/>
    <n v="0"/>
    <n v="0"/>
    <n v="0"/>
    <n v="0"/>
    <n v="0"/>
    <n v="0"/>
    <n v="1875"/>
    <n v="0"/>
  </r>
  <r>
    <x v="11"/>
    <x v="6"/>
    <x v="0"/>
    <s v="4806107"/>
    <n v="721220"/>
    <s v="Supplies-Medical Gases - Billable"/>
    <s v="HARR Imaging Center PO"/>
    <x v="0"/>
    <m/>
    <n v="0"/>
    <n v="0"/>
    <n v="0"/>
    <n v="0"/>
    <n v="0"/>
    <n v="0"/>
    <n v="0"/>
    <n v="0"/>
    <n v="0"/>
    <n v="0"/>
    <n v="0"/>
    <n v="5188.3999999999996"/>
    <n v="5188.3999999999996"/>
    <n v="-5188.3999999999996"/>
  </r>
  <r>
    <x v="11"/>
    <x v="6"/>
    <x v="0"/>
    <s v="4806107"/>
    <n v="721240"/>
    <s v="Supplies-IV Solutions/Supplies - Billable"/>
    <s v="HARR Imaging Center PO"/>
    <x v="0"/>
    <m/>
    <n v="471.4"/>
    <n v="1298.8"/>
    <n v="178"/>
    <n v="534"/>
    <n v="827.4"/>
    <n v="356"/>
    <n v="649.4"/>
    <n v="649.4"/>
    <n v="764.2"/>
    <n v="765.4"/>
    <n v="979"/>
    <n v="115.4"/>
    <n v="7588.3999999999987"/>
    <n v="863.6"/>
  </r>
  <r>
    <x v="11"/>
    <x v="6"/>
    <x v="0"/>
    <s v="4806107"/>
    <n v="721250"/>
    <s v="Supplies-Pharmacy Drugs - Billable"/>
    <s v="HARR Imaging Center PO"/>
    <x v="0"/>
    <m/>
    <n v="2323.02"/>
    <n v="2966.51"/>
    <n v="2010.6"/>
    <n v="3985.17"/>
    <n v="2255.5500000000002"/>
    <n v="2108.4499999999998"/>
    <n v="1825.67"/>
    <n v="2079.23"/>
    <n v="2672.89"/>
    <n v="1772.33"/>
    <n v="1766.71"/>
    <n v="4464.93"/>
    <n v="30231.059999999998"/>
    <n v="-2698.2200000000003"/>
  </r>
  <r>
    <x v="11"/>
    <x v="6"/>
    <x v="0"/>
    <s v="4806107"/>
    <n v="721350"/>
    <s v="Radiology Imaging - Contrast Media"/>
    <s v="HARR Imaging Center PO"/>
    <x v="0"/>
    <n v="1000"/>
    <n v="127.58"/>
    <n v="607.55999999999995"/>
    <n v="80.849999999999994"/>
    <n v="318.95"/>
    <n v="282.45"/>
    <n v="125.14"/>
    <n v="127.62"/>
    <n v="270.39"/>
    <n v="388.55"/>
    <n v="225.73"/>
    <n v="210.51"/>
    <n v="350.85"/>
    <n v="3116.18"/>
    <n v="-140.34000000000003"/>
  </r>
  <r>
    <x v="11"/>
    <x v="6"/>
    <x v="0"/>
    <s v="4806107"/>
    <n v="721410"/>
    <s v="Supplies-Medical - Nonbillable"/>
    <s v="HARR Imaging Center PO"/>
    <x v="0"/>
    <m/>
    <n v="2119.8200000000002"/>
    <n v="2869.01"/>
    <n v="1502.22"/>
    <n v="2639.18"/>
    <n v="318.69"/>
    <n v="1534.96"/>
    <n v="2258.0100000000002"/>
    <n v="804.75"/>
    <n v="832.08"/>
    <n v="1501.73"/>
    <n v="2302.02"/>
    <n v="2319.13"/>
    <n v="21001.600000000002"/>
    <n v="-17.110000000000127"/>
  </r>
  <r>
    <x v="11"/>
    <x v="6"/>
    <x v="0"/>
    <s v="4806107"/>
    <n v="721420"/>
    <s v="Supplies-Surgical Nonbillable"/>
    <s v="HARR Imaging Center PO"/>
    <x v="0"/>
    <m/>
    <n v="21.47"/>
    <n v="25.78"/>
    <n v="0"/>
    <n v="6.81"/>
    <n v="47.95"/>
    <n v="0"/>
    <n v="20.18"/>
    <n v="5.45"/>
    <n v="4.09"/>
    <n v="0"/>
    <n v="5.95"/>
    <n v="7.18"/>
    <n v="144.85999999999999"/>
    <n v="-1.2299999999999995"/>
  </r>
  <r>
    <x v="11"/>
    <x v="6"/>
    <x v="0"/>
    <s v="4806107"/>
    <n v="721420"/>
    <s v="Sterilization Process Products"/>
    <s v="HARR Imaging Center PO"/>
    <x v="0"/>
    <n v="1009"/>
    <n v="23.24"/>
    <n v="23.24"/>
    <n v="0"/>
    <n v="0"/>
    <n v="0"/>
    <n v="0"/>
    <n v="0"/>
    <n v="11.62"/>
    <n v="0"/>
    <n v="0"/>
    <n v="0"/>
    <n v="18.84"/>
    <n v="76.94"/>
    <n v="-18.84"/>
  </r>
  <r>
    <x v="11"/>
    <x v="6"/>
    <x v="0"/>
    <s v="4806107"/>
    <n v="721610"/>
    <s v="Supplies-Anesthesia - Nonbillable"/>
    <s v="HARR Imaging Center PO"/>
    <x v="0"/>
    <m/>
    <n v="21.8"/>
    <n v="0"/>
    <n v="0"/>
    <n v="0"/>
    <n v="0"/>
    <n v="0"/>
    <n v="0"/>
    <n v="0"/>
    <n v="0"/>
    <n v="0"/>
    <n v="0.56000000000000005"/>
    <n v="0"/>
    <n v="22.36"/>
    <n v="0.56000000000000005"/>
  </r>
  <r>
    <x v="11"/>
    <x v="6"/>
    <x v="0"/>
    <s v="4806107"/>
    <n v="721640"/>
    <s v="Supplies-IV Solutions/Supplies - Nonbillable"/>
    <s v="HARR Imaging Center PO"/>
    <x v="0"/>
    <m/>
    <n v="0"/>
    <n v="35.700000000000003"/>
    <n v="44.29"/>
    <n v="1590.75"/>
    <n v="25.7"/>
    <n v="25.7"/>
    <n v="14.39"/>
    <n v="25.75"/>
    <n v="73"/>
    <n v="20"/>
    <n v="20"/>
    <n v="0"/>
    <n v="1875.2800000000002"/>
    <n v="20"/>
  </r>
  <r>
    <x v="11"/>
    <x v="6"/>
    <x v="0"/>
    <s v="4806107"/>
    <n v="721710"/>
    <s v="Supplies-Laboratory - Nonbillable"/>
    <s v="HARR Imaging Center PO"/>
    <x v="0"/>
    <m/>
    <n v="45.44"/>
    <n v="16.25"/>
    <n v="28.61"/>
    <n v="24.17"/>
    <n v="16.25"/>
    <n v="24.8"/>
    <n v="19.84"/>
    <n v="17.7"/>
    <n v="29.77"/>
    <n v="32.5"/>
    <n v="39.14"/>
    <n v="0"/>
    <n v="294.47000000000003"/>
    <n v="39.14"/>
  </r>
  <r>
    <x v="11"/>
    <x v="6"/>
    <x v="0"/>
    <s v="4806107"/>
    <n v="721710"/>
    <s v="Reagents"/>
    <s v="HARR Imaging Center PO"/>
    <x v="0"/>
    <n v="1000"/>
    <n v="391.23"/>
    <n v="48.5"/>
    <n v="101.42"/>
    <n v="229.5"/>
    <n v="-16.5"/>
    <n v="213"/>
    <n v="106.5"/>
    <n v="119.82"/>
    <n v="213"/>
    <n v="105.4"/>
    <n v="213"/>
    <n v="114.75"/>
    <n v="1839.6200000000001"/>
    <n v="98.25"/>
  </r>
  <r>
    <x v="11"/>
    <x v="6"/>
    <x v="0"/>
    <s v="4806107"/>
    <n v="721750"/>
    <s v="Supplies-Film/Radiographic - Nonbillable"/>
    <s v="HARR Imaging Center PO"/>
    <x v="0"/>
    <m/>
    <n v="121.9"/>
    <n v="196.42"/>
    <n v="63.76"/>
    <n v="647.16999999999996"/>
    <n v="26.67"/>
    <n v="640.57000000000005"/>
    <n v="907.12"/>
    <n v="5.45"/>
    <n v="119.54"/>
    <n v="0.16"/>
    <n v="110.28"/>
    <n v="235.84"/>
    <n v="3074.88"/>
    <n v="-125.56"/>
  </r>
  <r>
    <x v="11"/>
    <x v="6"/>
    <x v="0"/>
    <s v="4806107"/>
    <n v="721810"/>
    <s v="Supplies-Dietary/Cafeteria"/>
    <s v="HARR Imaging Center PO"/>
    <x v="0"/>
    <m/>
    <n v="0"/>
    <n v="128.68"/>
    <n v="0"/>
    <n v="5.15"/>
    <n v="299.64"/>
    <n v="37.5"/>
    <n v="0"/>
    <n v="0"/>
    <n v="594.77"/>
    <n v="4.58"/>
    <n v="474.86"/>
    <n v="22"/>
    <n v="1567.1799999999998"/>
    <n v="452.86"/>
  </r>
  <r>
    <x v="11"/>
    <x v="6"/>
    <x v="0"/>
    <s v="4806107"/>
    <n v="721830"/>
    <s v="Supplies-Office"/>
    <s v="HARR Imaging Center PO"/>
    <x v="0"/>
    <m/>
    <n v="289.94"/>
    <n v="61.4"/>
    <n v="198.75"/>
    <n v="728.85"/>
    <n v="23.89"/>
    <n v="493.85"/>
    <n v="93.26"/>
    <n v="170.68"/>
    <n v="100.65"/>
    <n v="159.31"/>
    <n v="21.8"/>
    <n v="619.96"/>
    <n v="2962.3400000000006"/>
    <n v="-598.16000000000008"/>
  </r>
  <r>
    <x v="11"/>
    <x v="6"/>
    <x v="0"/>
    <s v="4806107"/>
    <n v="721870"/>
    <s v="Supplies-Environmental Services"/>
    <s v="HARR Imaging Center PO"/>
    <x v="0"/>
    <m/>
    <n v="93.82"/>
    <n v="74.16"/>
    <n v="0"/>
    <n v="275.56"/>
    <n v="18.96"/>
    <n v="47.28"/>
    <n v="66.239999999999995"/>
    <n v="132.72999999999999"/>
    <n v="0"/>
    <n v="96"/>
    <n v="102.97"/>
    <n v="115.93"/>
    <n v="1023.6500000000001"/>
    <n v="-12.960000000000008"/>
  </r>
  <r>
    <x v="11"/>
    <x v="6"/>
    <x v="0"/>
    <s v="4806107"/>
    <n v="721880"/>
    <s v="Supplies-Linen"/>
    <s v="HARR Imaging Center PO"/>
    <x v="0"/>
    <m/>
    <n v="89.46"/>
    <n v="180.02"/>
    <n v="65.17"/>
    <n v="89.46"/>
    <n v="203.22"/>
    <n v="89.46"/>
    <n v="115.83"/>
    <n v="181.37"/>
    <n v="90.5"/>
    <n v="90.5"/>
    <n v="90.5"/>
    <n v="90.5"/>
    <n v="1375.9900000000002"/>
    <n v="0"/>
  </r>
  <r>
    <x v="11"/>
    <x v="6"/>
    <x v="0"/>
    <s v="4806107"/>
    <n v="721910"/>
    <s v="Supplies-Small Equipment"/>
    <s v="HARR Imaging Center PO"/>
    <x v="0"/>
    <m/>
    <n v="0"/>
    <n v="0"/>
    <n v="311.31"/>
    <n v="24.45"/>
    <n v="0"/>
    <n v="0"/>
    <n v="0"/>
    <n v="0"/>
    <n v="0"/>
    <n v="992.07"/>
    <n v="0"/>
    <n v="0"/>
    <n v="1327.83"/>
    <n v="0"/>
  </r>
  <r>
    <x v="11"/>
    <x v="6"/>
    <x v="0"/>
    <s v="4806107"/>
    <n v="721980"/>
    <s v="Supplies-Other"/>
    <s v="HARR Imaging Center PO"/>
    <x v="0"/>
    <m/>
    <n v="0"/>
    <n v="2605.46"/>
    <n v="241.95"/>
    <n v="227.99"/>
    <n v="175.89"/>
    <n v="-1.22"/>
    <n v="463.79"/>
    <n v="1785.8"/>
    <n v="0"/>
    <n v="243.93"/>
    <n v="7550.79"/>
    <n v="-5132.3999999999996"/>
    <n v="8161.9800000000014"/>
    <n v="12683.189999999999"/>
  </r>
  <r>
    <x v="11"/>
    <x v="6"/>
    <x v="0"/>
    <s v="4806107"/>
    <n v="722000"/>
    <s v="Supplies-Freight Expense"/>
    <s v="HARR Imaging Center PO"/>
    <x v="0"/>
    <m/>
    <n v="0"/>
    <n v="99.35"/>
    <n v="44.17"/>
    <n v="151.91"/>
    <n v="7.99"/>
    <n v="32.76"/>
    <n v="54.3"/>
    <n v="33.54"/>
    <n v="21.28"/>
    <n v="53.79"/>
    <n v="0"/>
    <n v="16.54"/>
    <n v="515.63"/>
    <n v="-16.54"/>
  </r>
  <r>
    <x v="12"/>
    <x v="6"/>
    <x v="0"/>
    <s v="4806107"/>
    <n v="730010"/>
    <s v="Rental and Leases-Building (DO NOT USE)"/>
    <s v="HARR Imaging Center PO"/>
    <x v="0"/>
    <m/>
    <n v="18054.259999999998"/>
    <n v="18054.259999999998"/>
    <n v="18054.259999999998"/>
    <n v="18054.259999999998"/>
    <n v="18054.259999999998"/>
    <n v="-12811.3"/>
    <n v="13124.45"/>
    <n v="13124.45"/>
    <n v="13124.45"/>
    <n v="13124.46"/>
    <n v="13124.46"/>
    <n v="0"/>
    <n v="143082.26999999996"/>
    <n v="13124.46"/>
  </r>
  <r>
    <x v="12"/>
    <x v="6"/>
    <x v="0"/>
    <s v="4806107"/>
    <n v="730010"/>
    <s v="Rental-Common Area Maint (DO NOT USE)"/>
    <s v="HARR Imaging Center PO"/>
    <x v="0"/>
    <n v="2200"/>
    <n v="0"/>
    <n v="0"/>
    <n v="0"/>
    <n v="0"/>
    <n v="0"/>
    <n v="31122.9"/>
    <n v="5187.1499999999996"/>
    <n v="5187.1499999999996"/>
    <n v="5781.8"/>
    <n v="5781.8"/>
    <n v="5781.8"/>
    <n v="0"/>
    <n v="58842.600000000013"/>
    <n v="5781.8"/>
  </r>
  <r>
    <x v="12"/>
    <x v="6"/>
    <x v="0"/>
    <s v="4806107"/>
    <n v="730020"/>
    <s v="Rental and Leases-Copier Usage Fees (DO NOT USE)"/>
    <s v="HARR Imaging Center PO"/>
    <x v="0"/>
    <n v="5100"/>
    <n v="801.79"/>
    <n v="828.09"/>
    <n v="814.94"/>
    <n v="814.94"/>
    <n v="814.94"/>
    <n v="814.94"/>
    <n v="-5885.08"/>
    <n v="144.02000000000001"/>
    <n v="143.71"/>
    <n v="566.48"/>
    <n v="144.02000000000001"/>
    <n v="183"/>
    <n v="185.79000000000045"/>
    <n v="-38.97999999999999"/>
  </r>
  <r>
    <x v="12"/>
    <x v="6"/>
    <x v="0"/>
    <s v="4806107"/>
    <n v="730040"/>
    <s v="LT Lease-Real Estate"/>
    <s v="HARR Imaging Center PO"/>
    <x v="0"/>
    <m/>
    <n v="0"/>
    <n v="0"/>
    <n v="0"/>
    <n v="0"/>
    <n v="0"/>
    <n v="0"/>
    <n v="0"/>
    <n v="0"/>
    <n v="0"/>
    <n v="0"/>
    <n v="0"/>
    <n v="18906.259999999998"/>
    <n v="18906.259999999998"/>
    <n v="-18906.259999999998"/>
  </r>
  <r>
    <x v="15"/>
    <x v="6"/>
    <x v="0"/>
    <s v="4806107"/>
    <n v="731090"/>
    <s v="Other Utilities"/>
    <s v="HARR Imaging Center PO"/>
    <x v="0"/>
    <m/>
    <n v="0"/>
    <n v="121.1"/>
    <n v="0"/>
    <n v="0"/>
    <n v="82.31"/>
    <n v="0"/>
    <n v="200.68"/>
    <n v="0"/>
    <n v="0"/>
    <n v="0"/>
    <n v="0"/>
    <n v="0"/>
    <n v="404.09000000000003"/>
    <n v="0"/>
  </r>
  <r>
    <x v="16"/>
    <x v="6"/>
    <x v="0"/>
    <s v="4806107"/>
    <n v="732030"/>
    <s v="Repairs&amp;Maintenance-Bldg Routine"/>
    <s v="HARR Imaging Center PO"/>
    <x v="0"/>
    <n v="2300"/>
    <n v="121.59"/>
    <n v="3370"/>
    <n v="1535"/>
    <n v="1535"/>
    <n v="1535"/>
    <n v="198.92"/>
    <n v="3070"/>
    <n v="1535"/>
    <n v="0"/>
    <n v="3070"/>
    <n v="1535"/>
    <n v="1535"/>
    <n v="19040.510000000002"/>
    <n v="0"/>
  </r>
  <r>
    <x v="16"/>
    <x v="6"/>
    <x v="0"/>
    <s v="4806107"/>
    <n v="733030"/>
    <s v="Maintenance Contracts-Other"/>
    <s v="HARR Imaging Center PO"/>
    <x v="0"/>
    <m/>
    <n v="0"/>
    <n v="0"/>
    <n v="0"/>
    <n v="0"/>
    <n v="0"/>
    <n v="0"/>
    <n v="0"/>
    <n v="0"/>
    <n v="0"/>
    <n v="2579.39"/>
    <n v="0"/>
    <n v="0"/>
    <n v="2579.39"/>
    <n v="0"/>
  </r>
  <r>
    <x v="16"/>
    <x v="6"/>
    <x v="0"/>
    <s v="4806107"/>
    <n v="733030"/>
    <s v="Maintenance Contracts-Software"/>
    <s v="HARR Imaging Center PO"/>
    <x v="0"/>
    <n v="1002"/>
    <n v="54.88"/>
    <n v="54.89"/>
    <n v="1509.82"/>
    <n v="109.78"/>
    <n v="54.88"/>
    <n v="54.89"/>
    <n v="167.5"/>
    <n v="109.76"/>
    <n v="1867.39"/>
    <n v="1500"/>
    <n v="194.45"/>
    <n v="104.24"/>
    <n v="5782.48"/>
    <n v="90.21"/>
  </r>
  <r>
    <x v="13"/>
    <x v="6"/>
    <x v="0"/>
    <s v="4806107"/>
    <n v="735070"/>
    <s v="Depreciation-Movable Equipment"/>
    <s v="HARR Imaging Center PO"/>
    <x v="0"/>
    <m/>
    <n v="2704.86"/>
    <n v="2704.86"/>
    <n v="2704.88"/>
    <n v="2704.85"/>
    <n v="2704.89"/>
    <n v="2704.85"/>
    <n v="2704.9"/>
    <n v="2704.82"/>
    <n v="2704.9"/>
    <n v="2704.82"/>
    <n v="2704.9"/>
    <n v="2704.82"/>
    <n v="32458.350000000002"/>
    <n v="7.999999999992724E-2"/>
  </r>
  <r>
    <x v="0"/>
    <x v="6"/>
    <x v="0"/>
    <s v="4806107"/>
    <n v="749510"/>
    <s v="Licenses"/>
    <s v="HARR Imaging Center PO"/>
    <x v="0"/>
    <n v="1002"/>
    <n v="0"/>
    <n v="0"/>
    <n v="0"/>
    <n v="942.66"/>
    <n v="5050"/>
    <n v="11"/>
    <n v="0"/>
    <n v="2900"/>
    <n v="0"/>
    <n v="0"/>
    <n v="150"/>
    <n v="0"/>
    <n v="9053.66"/>
    <n v="150"/>
  </r>
  <r>
    <x v="18"/>
    <x v="6"/>
    <x v="0"/>
    <s v="4807107"/>
    <n v="400010"/>
    <s v="Acute I/P Svcs Rev--Medicare"/>
    <s v="HARR Imaging Center Poulsbo"/>
    <x v="0"/>
    <n v="1100"/>
    <n v="0"/>
    <n v="1125.5999999999999"/>
    <n v="0"/>
    <n v="-590.94000000000005"/>
    <n v="0"/>
    <n v="-590.94000000000005"/>
    <n v="0"/>
    <n v="0"/>
    <n v="0"/>
    <n v="-8660.0499999999993"/>
    <n v="0"/>
    <n v="0"/>
    <n v="-8716.33"/>
    <n v="0"/>
  </r>
  <r>
    <x v="19"/>
    <x v="6"/>
    <x v="0"/>
    <s v="4807107"/>
    <n v="400020"/>
    <s v="O/P Care Svcs Rev--Medicare"/>
    <s v="HARR Imaging Center Poulsbo"/>
    <x v="0"/>
    <n v="1100"/>
    <n v="-606392.54"/>
    <n v="-686462.13"/>
    <n v="-598038.96"/>
    <n v="-771674.2"/>
    <n v="-627890.14"/>
    <n v="-558425.61"/>
    <n v="-707810.67"/>
    <n v="-575835.19999999995"/>
    <n v="-648800.46"/>
    <n v="-641869.25"/>
    <n v="-634579.43000000005"/>
    <n v="-683551.38"/>
    <n v="-7741329.9699999997"/>
    <n v="48971.949999999953"/>
  </r>
  <r>
    <x v="19"/>
    <x v="6"/>
    <x v="0"/>
    <s v="4807107"/>
    <n v="400020"/>
    <s v="O/P Care Svcs Rev--Medicaid"/>
    <s v="HARR Imaging Center Poulsbo"/>
    <x v="0"/>
    <n v="1200"/>
    <n v="-97332.73"/>
    <n v="-96622.37"/>
    <n v="-96007.37"/>
    <n v="-92793.72"/>
    <n v="-74736.58"/>
    <n v="-118352.38"/>
    <n v="-84813.39"/>
    <n v="-76690.039999999994"/>
    <n v="-101385.94"/>
    <n v="-111984.63"/>
    <n v="-115145.5"/>
    <n v="-75004.240000000005"/>
    <n v="-1140868.8899999999"/>
    <n v="-40141.259999999995"/>
  </r>
  <r>
    <x v="19"/>
    <x v="6"/>
    <x v="0"/>
    <s v="4807107"/>
    <n v="400020"/>
    <s v="O/P Care Svcs Rev--Comm Insurance"/>
    <s v="HARR Imaging Center Poulsbo"/>
    <x v="0"/>
    <n v="1300"/>
    <n v="-58173.55"/>
    <n v="-22667.62"/>
    <n v="-5231.4799999999996"/>
    <n v="-4291.7700000000004"/>
    <n v="-21991.97"/>
    <n v="-10633.78"/>
    <n v="-10713.01"/>
    <n v="-31910.7"/>
    <n v="-14819.42"/>
    <n v="-14960.4"/>
    <n v="-21474.61"/>
    <n v="-19318.52"/>
    <n v="-236186.83"/>
    <n v="-2156.09"/>
  </r>
  <r>
    <x v="19"/>
    <x v="6"/>
    <x v="0"/>
    <s v="4807107"/>
    <n v="400020"/>
    <s v="O/P Care Svcs Rev--BCBS Comm"/>
    <s v="HARR Imaging Center Poulsbo"/>
    <x v="0"/>
    <n v="1301"/>
    <n v="-149408.46"/>
    <n v="-176285.01"/>
    <n v="-163655.14000000001"/>
    <n v="-216802.08"/>
    <n v="-151838.56"/>
    <n v="-161279.01"/>
    <n v="-134117.87"/>
    <n v="-127403.97"/>
    <n v="-184953.84"/>
    <n v="-174853.81"/>
    <n v="-145441.09"/>
    <n v="-151865.59"/>
    <n v="-1937904.4300000002"/>
    <n v="6424.5"/>
  </r>
  <r>
    <x v="19"/>
    <x v="6"/>
    <x v="0"/>
    <s v="4807107"/>
    <n v="400020"/>
    <s v="O/P Care Svcs Rev--Managed Care"/>
    <s v="HARR Imaging Center Poulsbo"/>
    <x v="0"/>
    <n v="1400"/>
    <n v="-158442.32999999999"/>
    <n v="-223095.17"/>
    <n v="-200879.09"/>
    <n v="-254064"/>
    <n v="-226583.22"/>
    <n v="-188795.65"/>
    <n v="-191138.56"/>
    <n v="-136122.12"/>
    <n v="-211973.75"/>
    <n v="-224194.05"/>
    <n v="-219760.7"/>
    <n v="-207286.89"/>
    <n v="-2442335.5300000003"/>
    <n v="-12473.809999999998"/>
  </r>
  <r>
    <x v="19"/>
    <x v="6"/>
    <x v="0"/>
    <s v="4807107"/>
    <n v="400020"/>
    <s v="O/P Care Svcs Rev--Self Pay"/>
    <s v="HARR Imaging Center Poulsbo"/>
    <x v="0"/>
    <n v="1500"/>
    <n v="-5155.76"/>
    <n v="-8208.02"/>
    <n v="-3834.88"/>
    <n v="-870.07"/>
    <n v="-15618.06"/>
    <n v="-1892.24"/>
    <n v="-20505.150000000001"/>
    <n v="6050.03"/>
    <n v="-10211.33"/>
    <n v="-15441.37"/>
    <n v="-7113.2"/>
    <n v="-5816.49"/>
    <n v="-88616.540000000008"/>
    <n v="-1296.71"/>
  </r>
  <r>
    <x v="19"/>
    <x v="6"/>
    <x v="0"/>
    <s v="4807107"/>
    <n v="400020"/>
    <s v="O/P Care Svcs Rev--Other"/>
    <s v="HARR Imaging Center Poulsbo"/>
    <x v="0"/>
    <n v="1700"/>
    <n v="-87237.62"/>
    <n v="-103964.33"/>
    <n v="-72518.5"/>
    <n v="-105703.92"/>
    <n v="-94052.41"/>
    <n v="-86739.01"/>
    <n v="-135272.09"/>
    <n v="-114263.36"/>
    <n v="-93003.06"/>
    <n v="-96782.62"/>
    <n v="-93889.25"/>
    <n v="-119198.54"/>
    <n v="-1202624.71"/>
    <n v="25309.289999999994"/>
  </r>
  <r>
    <x v="5"/>
    <x v="6"/>
    <x v="0"/>
    <s v="4807107"/>
    <n v="700034"/>
    <s v="Salaries-Tech/Professional-Productive"/>
    <s v="HARR Imaging Center Poulsbo"/>
    <x v="0"/>
    <m/>
    <n v="33352.589999999997"/>
    <n v="35851.78"/>
    <n v="34821"/>
    <n v="48021.48"/>
    <n v="34230.79"/>
    <n v="32988.71"/>
    <n v="39446.19"/>
    <n v="31483.18"/>
    <n v="43651.9"/>
    <n v="37513.379999999997"/>
    <n v="40557.01"/>
    <n v="36059.620000000003"/>
    <n v="447977.63000000006"/>
    <n v="4497.3899999999994"/>
  </r>
  <r>
    <x v="5"/>
    <x v="6"/>
    <x v="0"/>
    <s v="4807107"/>
    <n v="700034"/>
    <s v="Salaries-Tech/Professional-OT"/>
    <s v="HARR Imaging Center Poulsbo"/>
    <x v="0"/>
    <n v="1000"/>
    <n v="1303.06"/>
    <n v="1540.02"/>
    <n v="1198.21"/>
    <n v="1918.94"/>
    <n v="838.58"/>
    <n v="628.48"/>
    <n v="418.61"/>
    <n v="575.84"/>
    <n v="2016.63"/>
    <n v="283.26"/>
    <n v="930.38"/>
    <n v="2412.96"/>
    <n v="14064.969999999998"/>
    <n v="-1482.58"/>
  </r>
  <r>
    <x v="5"/>
    <x v="6"/>
    <x v="0"/>
    <s v="4807107"/>
    <n v="700034"/>
    <s v="Salaries-Tech/Professional-Other"/>
    <s v="HARR Imaging Center Poulsbo"/>
    <x v="0"/>
    <n v="2000"/>
    <n v="826.81"/>
    <n v="584.53"/>
    <n v="585.65"/>
    <n v="684.58"/>
    <n v="287.77999999999997"/>
    <n v="256.61"/>
    <n v="377.39"/>
    <n v="208.35"/>
    <n v="532.51"/>
    <n v="232.47"/>
    <n v="445.74"/>
    <n v="468.1"/>
    <n v="5490.5199999999995"/>
    <n v="-22.360000000000014"/>
  </r>
  <r>
    <x v="5"/>
    <x v="6"/>
    <x v="0"/>
    <s v="4807107"/>
    <n v="700038"/>
    <s v="Salaries-Service/Support-Productive"/>
    <s v="HARR Imaging Center Poulsbo"/>
    <x v="0"/>
    <m/>
    <n v="0"/>
    <n v="0"/>
    <n v="0"/>
    <n v="0"/>
    <n v="0"/>
    <n v="0"/>
    <n v="0"/>
    <n v="0"/>
    <n v="205.27"/>
    <n v="-74.63"/>
    <n v="0"/>
    <n v="0"/>
    <n v="130.64000000000001"/>
    <n v="0"/>
  </r>
  <r>
    <x v="5"/>
    <x v="6"/>
    <x v="0"/>
    <s v="4807107"/>
    <n v="700054"/>
    <s v="Salaries-Management-NonProd-Other"/>
    <s v="HARR Imaging Center Poulsbo"/>
    <x v="0"/>
    <n v="2000"/>
    <n v="0"/>
    <n v="0"/>
    <n v="0"/>
    <n v="0"/>
    <n v="0"/>
    <n v="57"/>
    <n v="-57"/>
    <n v="0"/>
    <n v="0"/>
    <n v="0"/>
    <n v="0"/>
    <n v="0"/>
    <n v="0"/>
    <n v="0"/>
  </r>
  <r>
    <x v="5"/>
    <x v="6"/>
    <x v="0"/>
    <s v="4807107"/>
    <n v="700074"/>
    <s v="Salaries-Tech/Professional-Non-productive"/>
    <s v="HARR Imaging Center Poulsbo"/>
    <x v="0"/>
    <m/>
    <n v="3583.91"/>
    <n v="2753.27"/>
    <n v="4502.66"/>
    <n v="900.77"/>
    <n v="452.99"/>
    <n v="3802.76"/>
    <n v="1809.68"/>
    <n v="5039.6899999999996"/>
    <n v="207.47"/>
    <n v="3148.87"/>
    <n v="3344.17"/>
    <n v="8128.67"/>
    <n v="37674.909999999996"/>
    <n v="-4784.5"/>
  </r>
  <r>
    <x v="5"/>
    <x v="6"/>
    <x v="0"/>
    <s v="4807107"/>
    <n v="700074"/>
    <s v="Salaries-Tech/Professional-NonProd-Other"/>
    <s v="HARR Imaging Center Poulsbo"/>
    <x v="0"/>
    <n v="2000"/>
    <n v="0"/>
    <n v="10.23"/>
    <n v="0"/>
    <n v="10.23"/>
    <n v="62.56"/>
    <n v="-7.24"/>
    <n v="0"/>
    <n v="0"/>
    <n v="0"/>
    <n v="15.98"/>
    <n v="28.96"/>
    <n v="-17.14"/>
    <n v="103.58000000000003"/>
    <n v="46.1"/>
  </r>
  <r>
    <x v="5"/>
    <x v="6"/>
    <x v="0"/>
    <s v="4807107"/>
    <n v="700084"/>
    <s v="Accrued PTO"/>
    <s v="HARR Imaging Center Poulsbo"/>
    <x v="0"/>
    <m/>
    <n v="-229.71"/>
    <n v="-32.14"/>
    <n v="-1344.92"/>
    <n v="1916.64"/>
    <n v="2152.1799999999998"/>
    <n v="-367.98"/>
    <n v="658"/>
    <n v="656.53"/>
    <n v="1609.01"/>
    <n v="470.09"/>
    <n v="2238.8200000000002"/>
    <n v="-4057.88"/>
    <n v="3668.6400000000003"/>
    <n v="6296.7000000000007"/>
  </r>
  <r>
    <x v="6"/>
    <x v="6"/>
    <x v="0"/>
    <s v="4807107"/>
    <n v="713010"/>
    <s v="Benefits-FICA/Medicare"/>
    <s v="HARR Imaging Center Poulsbo"/>
    <x v="0"/>
    <m/>
    <n v="2984.58"/>
    <n v="3122.75"/>
    <n v="3131.67"/>
    <n v="3938.21"/>
    <n v="2766.82"/>
    <n v="2863.62"/>
    <n v="3171.92"/>
    <n v="2808.48"/>
    <n v="3519.59"/>
    <n v="3095.4"/>
    <n v="3418.71"/>
    <n v="3551.82"/>
    <n v="38373.57"/>
    <n v="-133.11000000000013"/>
  </r>
  <r>
    <x v="6"/>
    <x v="6"/>
    <x v="0"/>
    <s v="4807107"/>
    <n v="713090"/>
    <s v="Benefits-Allocated Amounts"/>
    <s v="HARR Imaging Center Poulsbo"/>
    <x v="0"/>
    <m/>
    <n v="6454.2"/>
    <n v="6076.77"/>
    <n v="6686.03"/>
    <n v="8529.77"/>
    <n v="6977.5"/>
    <n v="6407.6"/>
    <n v="7282.85"/>
    <n v="6805.39"/>
    <n v="6687.86"/>
    <n v="7819.29"/>
    <n v="7613.36"/>
    <n v="8986.65"/>
    <n v="86327.26999999999"/>
    <n v="-1373.29"/>
  </r>
  <r>
    <x v="7"/>
    <x v="6"/>
    <x v="0"/>
    <s v="4807107"/>
    <n v="718050"/>
    <s v="Contract Svcs-Other"/>
    <s v="HARR Imaging Center Poulsbo"/>
    <x v="0"/>
    <m/>
    <n v="143.81"/>
    <n v="5980"/>
    <n v="1484.96"/>
    <n v="176.94"/>
    <n v="0"/>
    <n v="0"/>
    <n v="48.53"/>
    <n v="0"/>
    <n v="345.62"/>
    <n v="0"/>
    <n v="0"/>
    <n v="345.62"/>
    <n v="8525.48"/>
    <n v="-345.62"/>
  </r>
  <r>
    <x v="7"/>
    <x v="6"/>
    <x v="0"/>
    <s v="4807107"/>
    <n v="718050"/>
    <s v="Miscellaneous Purchased Svcs"/>
    <s v="HARR Imaging Center Poulsbo"/>
    <x v="0"/>
    <n v="1020"/>
    <n v="0"/>
    <n v="0"/>
    <n v="0"/>
    <n v="0"/>
    <n v="0"/>
    <n v="0"/>
    <n v="321.87"/>
    <n v="49.67"/>
    <n v="0"/>
    <n v="9825"/>
    <n v="0"/>
    <n v="10335"/>
    <n v="20531.54"/>
    <n v="-10335"/>
  </r>
  <r>
    <x v="7"/>
    <x v="6"/>
    <x v="0"/>
    <s v="4807107"/>
    <n v="718050"/>
    <s v="Translation Services"/>
    <s v="HARR Imaging Center Poulsbo"/>
    <x v="0"/>
    <n v="1025"/>
    <n v="210"/>
    <n v="0"/>
    <n v="165"/>
    <n v="0"/>
    <n v="0"/>
    <n v="0"/>
    <n v="0"/>
    <n v="64"/>
    <n v="0"/>
    <n v="0"/>
    <n v="0"/>
    <n v="0"/>
    <n v="439"/>
    <n v="0"/>
  </r>
  <r>
    <x v="7"/>
    <x v="6"/>
    <x v="0"/>
    <s v="4807107"/>
    <n v="718050"/>
    <s v="Contract Management--Linen"/>
    <s v="HARR Imaging Center Poulsbo"/>
    <x v="0"/>
    <n v="1026"/>
    <n v="620.17999999999995"/>
    <n v="2016.74"/>
    <n v="1665.03"/>
    <n v="523.25"/>
    <n v="1873.74"/>
    <n v="849.73"/>
    <n v="1319.42"/>
    <n v="1995.43"/>
    <n v="1612.64"/>
    <n v="913.77"/>
    <n v="836.15"/>
    <n v="857.6"/>
    <n v="15083.68"/>
    <n v="-21.450000000000045"/>
  </r>
  <r>
    <x v="7"/>
    <x v="6"/>
    <x v="0"/>
    <s v="4807107"/>
    <n v="718070"/>
    <s v="Contract Srvcs-CHI Clinical Engineering"/>
    <s v="HARR Imaging Center Poulsbo"/>
    <x v="0"/>
    <m/>
    <n v="23135.200000000001"/>
    <n v="22684.17"/>
    <n v="22242.560000000001"/>
    <n v="24335.71"/>
    <n v="21760.79"/>
    <n v="23385.89"/>
    <n v="23385.89"/>
    <n v="17492.689999999999"/>
    <n v="23350.86"/>
    <n v="23276.89"/>
    <n v="26172.21"/>
    <n v="29946.16"/>
    <n v="281169.02"/>
    <n v="-3773.9500000000007"/>
  </r>
  <r>
    <x v="11"/>
    <x v="6"/>
    <x v="0"/>
    <s v="4807107"/>
    <n v="721010"/>
    <s v="Supplies-Medical - Billable"/>
    <s v="HARR Imaging Center Poulsbo"/>
    <x v="0"/>
    <m/>
    <n v="66.290000000000006"/>
    <n v="38.35"/>
    <n v="25.92"/>
    <n v="-12.4"/>
    <n v="154.19"/>
    <n v="11.29"/>
    <n v="27.03"/>
    <n v="45.55"/>
    <n v="42.83"/>
    <n v="78.52"/>
    <n v="27.03"/>
    <n v="51.9"/>
    <n v="556.5"/>
    <n v="-24.869999999999997"/>
  </r>
  <r>
    <x v="11"/>
    <x v="6"/>
    <x v="0"/>
    <s v="4807107"/>
    <n v="721020"/>
    <s v="Supplies-Surgical - Billable"/>
    <s v="HARR Imaging Center Poulsbo"/>
    <x v="0"/>
    <m/>
    <n v="63.22"/>
    <n v="0"/>
    <n v="0"/>
    <n v="0"/>
    <n v="0"/>
    <n v="0"/>
    <n v="0"/>
    <n v="0"/>
    <n v="0"/>
    <n v="0"/>
    <n v="0"/>
    <n v="0"/>
    <n v="63.22"/>
    <n v="0"/>
  </r>
  <r>
    <x v="11"/>
    <x v="6"/>
    <x v="0"/>
    <s v="4807107"/>
    <n v="721020"/>
    <s v="Custom Packs"/>
    <s v="HARR Imaging Center Poulsbo"/>
    <x v="0"/>
    <n v="1000"/>
    <n v="253.73"/>
    <n v="253.73"/>
    <n v="0"/>
    <n v="0"/>
    <n v="253.73"/>
    <n v="592.42999999999995"/>
    <n v="-31.43"/>
    <n v="0"/>
    <n v="0"/>
    <n v="264.63"/>
    <n v="507.41"/>
    <n v="0"/>
    <n v="2094.2299999999996"/>
    <n v="507.41"/>
  </r>
  <r>
    <x v="11"/>
    <x v="6"/>
    <x v="0"/>
    <s v="4807107"/>
    <n v="721050"/>
    <s v="Supplies-Cardiac Rhythm - Billable"/>
    <s v="HARR Imaging Center Poulsbo"/>
    <x v="0"/>
    <m/>
    <n v="0"/>
    <n v="0"/>
    <n v="0"/>
    <n v="0"/>
    <n v="0"/>
    <n v="0"/>
    <n v="0"/>
    <n v="0"/>
    <n v="0"/>
    <n v="0"/>
    <n v="77.12"/>
    <n v="0"/>
    <n v="77.12"/>
    <n v="77.12"/>
  </r>
  <r>
    <x v="11"/>
    <x v="6"/>
    <x v="0"/>
    <s v="4807107"/>
    <n v="721240"/>
    <s v="Supplies-IV Solutions/Supplies - Billable"/>
    <s v="HARR Imaging Center Poulsbo"/>
    <x v="0"/>
    <m/>
    <n v="2241.6"/>
    <n v="0"/>
    <n v="356"/>
    <n v="712"/>
    <n v="1424"/>
    <n v="356"/>
    <n v="586.79999999999995"/>
    <n v="0"/>
    <n v="712"/>
    <n v="712"/>
    <n v="1208.8699999999999"/>
    <n v="356"/>
    <n v="8665.27"/>
    <n v="852.86999999999989"/>
  </r>
  <r>
    <x v="11"/>
    <x v="6"/>
    <x v="0"/>
    <s v="4807107"/>
    <n v="721250"/>
    <s v="Supplies-Pharmacy Drugs - Billable"/>
    <s v="HARR Imaging Center Poulsbo"/>
    <x v="0"/>
    <m/>
    <n v="1618.65"/>
    <n v="1697.58"/>
    <n v="2399.7600000000002"/>
    <n v="3628.07"/>
    <n v="1817.8"/>
    <n v="2732.97"/>
    <n v="3756.52"/>
    <n v="0"/>
    <n v="1956.95"/>
    <n v="2123.5100000000002"/>
    <n v="2677.22"/>
    <n v="3375.06"/>
    <n v="27784.09"/>
    <n v="-697.84000000000015"/>
  </r>
  <r>
    <x v="11"/>
    <x v="6"/>
    <x v="0"/>
    <s v="4807107"/>
    <n v="721250"/>
    <s v="Radioactive Material"/>
    <s v="HARR Imaging Center Poulsbo"/>
    <x v="0"/>
    <n v="1001"/>
    <n v="0"/>
    <n v="14400"/>
    <n v="7470"/>
    <n v="-45"/>
    <n v="9510"/>
    <n v="20340"/>
    <n v="8280"/>
    <n v="0"/>
    <n v="0"/>
    <n v="0"/>
    <n v="0"/>
    <n v="0"/>
    <n v="59955"/>
    <n v="0"/>
  </r>
  <r>
    <x v="11"/>
    <x v="6"/>
    <x v="0"/>
    <s v="4807107"/>
    <n v="721350"/>
    <s v="Radiology Imaging - Contrast Media"/>
    <s v="HARR Imaging Center Poulsbo"/>
    <x v="0"/>
    <n v="1000"/>
    <n v="127.62"/>
    <n v="560.16999999999996"/>
    <n v="63.79"/>
    <n v="318.95999999999998"/>
    <n v="1525.24"/>
    <n v="59.93"/>
    <n v="255.22"/>
    <n v="438.25"/>
    <n v="140.34"/>
    <n v="140.34"/>
    <n v="491.02"/>
    <n v="90.49"/>
    <n v="4211.369999999999"/>
    <n v="400.53"/>
  </r>
  <r>
    <x v="11"/>
    <x v="6"/>
    <x v="0"/>
    <s v="4807107"/>
    <n v="721410"/>
    <s v="Supplies-Medical - Nonbillable"/>
    <s v="HARR Imaging Center Poulsbo"/>
    <x v="0"/>
    <m/>
    <n v="795.34"/>
    <n v="501.51"/>
    <n v="978.89"/>
    <n v="636.17999999999995"/>
    <n v="901.94"/>
    <n v="173.31"/>
    <n v="1151.5999999999999"/>
    <n v="492.64"/>
    <n v="1206.53"/>
    <n v="523.92999999999995"/>
    <n v="1522.24"/>
    <n v="82.99"/>
    <n v="8967.1"/>
    <n v="1439.25"/>
  </r>
  <r>
    <x v="11"/>
    <x v="6"/>
    <x v="0"/>
    <s v="4807107"/>
    <n v="721420"/>
    <s v="Supplies-Surgical Nonbillable"/>
    <s v="HARR Imaging Center Poulsbo"/>
    <x v="0"/>
    <m/>
    <n v="0"/>
    <n v="0"/>
    <n v="0"/>
    <n v="0"/>
    <n v="14.41"/>
    <n v="0"/>
    <n v="0"/>
    <n v="0"/>
    <n v="24.8"/>
    <n v="51.65"/>
    <n v="0"/>
    <n v="0"/>
    <n v="90.86"/>
    <n v="0"/>
  </r>
  <r>
    <x v="11"/>
    <x v="6"/>
    <x v="0"/>
    <s v="4807107"/>
    <n v="721420"/>
    <s v="Sterilization Process Products"/>
    <s v="HARR Imaging Center Poulsbo"/>
    <x v="0"/>
    <n v="1009"/>
    <n v="8.64"/>
    <n v="0"/>
    <n v="0"/>
    <n v="0"/>
    <n v="8.64"/>
    <n v="0"/>
    <n v="0"/>
    <n v="0"/>
    <n v="0"/>
    <n v="9.9600000000000009"/>
    <n v="0"/>
    <n v="0"/>
    <n v="27.240000000000002"/>
    <n v="0"/>
  </r>
  <r>
    <x v="11"/>
    <x v="6"/>
    <x v="0"/>
    <s v="4807107"/>
    <n v="721610"/>
    <s v="Supplies-Anesthesia - Nonbillable"/>
    <s v="HARR Imaging Center Poulsbo"/>
    <x v="0"/>
    <m/>
    <n v="0"/>
    <n v="0"/>
    <n v="0"/>
    <n v="0"/>
    <n v="0.93"/>
    <n v="0"/>
    <n v="0.74"/>
    <n v="0"/>
    <n v="0"/>
    <n v="26.6"/>
    <n v="26.6"/>
    <n v="0"/>
    <n v="54.870000000000005"/>
    <n v="26.6"/>
  </r>
  <r>
    <x v="11"/>
    <x v="6"/>
    <x v="0"/>
    <s v="4807107"/>
    <n v="721640"/>
    <s v="Supplies-IV Solutions/Supplies - Nonbillable"/>
    <s v="HARR Imaging Center Poulsbo"/>
    <x v="0"/>
    <m/>
    <n v="0"/>
    <n v="0"/>
    <n v="0"/>
    <n v="20.89"/>
    <n v="0"/>
    <n v="0"/>
    <n v="0"/>
    <n v="0"/>
    <n v="10"/>
    <n v="0"/>
    <n v="42.58"/>
    <n v="0"/>
    <n v="73.47"/>
    <n v="42.58"/>
  </r>
  <r>
    <x v="11"/>
    <x v="6"/>
    <x v="0"/>
    <s v="4807107"/>
    <n v="721710"/>
    <s v="Supplies-Laboratory - Nonbillable"/>
    <s v="HARR Imaging Center Poulsbo"/>
    <x v="0"/>
    <m/>
    <n v="0"/>
    <n v="0"/>
    <n v="0"/>
    <n v="0"/>
    <n v="28.84"/>
    <n v="1.05"/>
    <n v="27.23"/>
    <n v="6.87"/>
    <n v="16.25"/>
    <n v="13.16"/>
    <n v="27.23"/>
    <n v="0"/>
    <n v="120.63000000000001"/>
    <n v="27.23"/>
  </r>
  <r>
    <x v="11"/>
    <x v="6"/>
    <x v="0"/>
    <s v="4807107"/>
    <n v="721750"/>
    <s v="Supplies-Film/Radiographic - Nonbillable"/>
    <s v="HARR Imaging Center Poulsbo"/>
    <x v="0"/>
    <m/>
    <n v="542.82000000000005"/>
    <n v="467.34"/>
    <n v="13.03"/>
    <n v="0"/>
    <n v="0"/>
    <n v="334.91"/>
    <n v="533.88"/>
    <n v="191.84"/>
    <n v="32.159999999999997"/>
    <n v="-37.06"/>
    <n v="565.12"/>
    <n v="-60.74"/>
    <n v="2583.3000000000002"/>
    <n v="625.86"/>
  </r>
  <r>
    <x v="11"/>
    <x v="6"/>
    <x v="0"/>
    <s v="4807107"/>
    <n v="721810"/>
    <s v="Supplies-Dietary/Cafeteria"/>
    <s v="HARR Imaging Center Poulsbo"/>
    <x v="0"/>
    <m/>
    <n v="0"/>
    <n v="189.89"/>
    <n v="239.3"/>
    <n v="0"/>
    <n v="207.51"/>
    <n v="167.41"/>
    <n v="10.48"/>
    <n v="164.24"/>
    <n v="481.76"/>
    <n v="39.11"/>
    <n v="277.94"/>
    <n v="162.99"/>
    <n v="1940.63"/>
    <n v="114.94999999999999"/>
  </r>
  <r>
    <x v="11"/>
    <x v="6"/>
    <x v="0"/>
    <s v="4807107"/>
    <n v="721830"/>
    <s v="Supplies-Office"/>
    <s v="HARR Imaging Center Poulsbo"/>
    <x v="0"/>
    <m/>
    <n v="72.599999999999994"/>
    <n v="214.47"/>
    <n v="105.57"/>
    <n v="437.58"/>
    <n v="171.11"/>
    <n v="325.58"/>
    <n v="0"/>
    <n v="50.25"/>
    <n v="41.42"/>
    <n v="142.55000000000001"/>
    <n v="208.53"/>
    <n v="415.63"/>
    <n v="2185.29"/>
    <n v="-207.1"/>
  </r>
  <r>
    <x v="11"/>
    <x v="6"/>
    <x v="0"/>
    <s v="4807107"/>
    <n v="721835"/>
    <s v="Supplies-Forms"/>
    <s v="HARR Imaging Center Poulsbo"/>
    <x v="0"/>
    <m/>
    <n v="0"/>
    <n v="0"/>
    <n v="0"/>
    <n v="0"/>
    <n v="0"/>
    <n v="0"/>
    <n v="0"/>
    <n v="0"/>
    <n v="0"/>
    <n v="0"/>
    <n v="0.13"/>
    <n v="0"/>
    <n v="0.13"/>
    <n v="0.13"/>
  </r>
  <r>
    <x v="11"/>
    <x v="6"/>
    <x v="0"/>
    <s v="4807107"/>
    <n v="721870"/>
    <s v="Supplies-Environmental Services"/>
    <s v="HARR Imaging Center Poulsbo"/>
    <x v="0"/>
    <m/>
    <n v="88.13"/>
    <n v="0"/>
    <n v="15.76"/>
    <n v="23.64"/>
    <n v="90.9"/>
    <n v="15.76"/>
    <n v="47.28"/>
    <n v="63.44"/>
    <n v="34.29"/>
    <n v="103"/>
    <n v="31.07"/>
    <n v="186.24"/>
    <n v="699.5100000000001"/>
    <n v="-155.17000000000002"/>
  </r>
  <r>
    <x v="11"/>
    <x v="6"/>
    <x v="0"/>
    <s v="4807107"/>
    <n v="721880"/>
    <s v="Supplies-Linen"/>
    <s v="HARR Imaging Center Poulsbo"/>
    <x v="0"/>
    <m/>
    <n v="674"/>
    <n v="782.04"/>
    <n v="521.36"/>
    <n v="195.51"/>
    <n v="782.04"/>
    <n v="521.36"/>
    <n v="521.36"/>
    <n v="521.36"/>
    <n v="544.6"/>
    <n v="391.02"/>
    <n v="1089.8800000000001"/>
    <n v="260"/>
    <n v="6804.53"/>
    <n v="829.88000000000011"/>
  </r>
  <r>
    <x v="11"/>
    <x v="6"/>
    <x v="0"/>
    <s v="4807107"/>
    <n v="721910"/>
    <s v="Supplies-Small Equipment"/>
    <s v="HARR Imaging Center Poulsbo"/>
    <x v="0"/>
    <m/>
    <n v="0"/>
    <n v="0"/>
    <n v="0"/>
    <n v="0"/>
    <n v="0"/>
    <n v="271.95"/>
    <n v="0"/>
    <n v="0"/>
    <n v="964.54"/>
    <n v="-242.73"/>
    <n v="0"/>
    <n v="0"/>
    <n v="993.76"/>
    <n v="0"/>
  </r>
  <r>
    <x v="11"/>
    <x v="6"/>
    <x v="0"/>
    <s v="4807107"/>
    <n v="721980"/>
    <s v="Supplies-Other"/>
    <s v="HARR Imaging Center Poulsbo"/>
    <x v="0"/>
    <m/>
    <n v="0"/>
    <n v="303.5"/>
    <n v="164.82"/>
    <n v="230.61"/>
    <n v="49.27"/>
    <n v="43.56"/>
    <n v="536.66"/>
    <n v="403.21"/>
    <n v="251.58"/>
    <n v="405.06"/>
    <n v="298.81"/>
    <n v="220.55"/>
    <n v="2907.63"/>
    <n v="78.259999999999991"/>
  </r>
  <r>
    <x v="11"/>
    <x v="6"/>
    <x v="0"/>
    <s v="4807107"/>
    <n v="722000"/>
    <s v="Supplies-Freight Expense"/>
    <s v="HARR Imaging Center Poulsbo"/>
    <x v="0"/>
    <m/>
    <n v="-19"/>
    <n v="102.78"/>
    <n v="52.57"/>
    <n v="190"/>
    <n v="0"/>
    <n v="50.12"/>
    <n v="80.45"/>
    <n v="0"/>
    <n v="18.100000000000001"/>
    <n v="35.07"/>
    <n v="18.16"/>
    <n v="98.71"/>
    <n v="626.96"/>
    <n v="-80.55"/>
  </r>
  <r>
    <x v="12"/>
    <x v="6"/>
    <x v="0"/>
    <s v="4807107"/>
    <n v="730010"/>
    <s v="Rental and Leases-Building (DO NOT USE)"/>
    <s v="HARR Imaging Center Poulsbo"/>
    <x v="0"/>
    <m/>
    <n v="16349.21"/>
    <n v="17015.080000000002"/>
    <n v="17015.080000000002"/>
    <n v="16211.97"/>
    <n v="17875.12"/>
    <n v="-20431.03"/>
    <n v="10517.9"/>
    <n v="10517.9"/>
    <n v="10517.9"/>
    <n v="10517.9"/>
    <n v="10517.9"/>
    <n v="0"/>
    <n v="116624.92999999996"/>
    <n v="10517.9"/>
  </r>
  <r>
    <x v="12"/>
    <x v="6"/>
    <x v="0"/>
    <s v="4807107"/>
    <n v="730010"/>
    <s v="Rental-Common Area Maint (DO NOT USE)"/>
    <s v="HARR Imaging Center Poulsbo"/>
    <x v="0"/>
    <n v="2200"/>
    <n v="0"/>
    <n v="0"/>
    <n v="0"/>
    <n v="0"/>
    <n v="0"/>
    <n v="37131.01"/>
    <n v="4169.7299999999996"/>
    <n v="4658.2"/>
    <n v="5840.41"/>
    <n v="5257.98"/>
    <n v="0"/>
    <n v="0"/>
    <n v="57057.33"/>
    <n v="0"/>
  </r>
  <r>
    <x v="12"/>
    <x v="6"/>
    <x v="0"/>
    <s v="4807107"/>
    <n v="730020"/>
    <s v="Rental and Leases-Equipment (DO NOT USE)"/>
    <s v="HARR Imaging Center Poulsbo"/>
    <x v="0"/>
    <m/>
    <n v="16.670000000000002"/>
    <n v="119.56"/>
    <n v="81.63"/>
    <n v="56.24"/>
    <n v="30.84"/>
    <n v="88.72"/>
    <n v="0"/>
    <n v="117.92"/>
    <n v="0"/>
    <n v="32.479999999999997"/>
    <n v="56.24"/>
    <n v="30.84"/>
    <n v="631.14"/>
    <n v="25.400000000000002"/>
  </r>
  <r>
    <x v="12"/>
    <x v="6"/>
    <x v="0"/>
    <s v="4807107"/>
    <n v="730020"/>
    <s v="Rental and Leases-Copier Usage Fees (DO NOT USE)"/>
    <s v="HARR Imaging Center Poulsbo"/>
    <x v="0"/>
    <n v="5100"/>
    <n v="130.13999999999999"/>
    <n v="129.07"/>
    <n v="129.61000000000001"/>
    <n v="129.61000000000001"/>
    <n v="129.61000000000001"/>
    <n v="129.61000000000001"/>
    <n v="158.38999999999999"/>
    <n v="120.81"/>
    <n v="120.56"/>
    <n v="121.06"/>
    <n v="120.81"/>
    <n v="141.05000000000001"/>
    <n v="1560.33"/>
    <n v="-20.240000000000009"/>
  </r>
  <r>
    <x v="12"/>
    <x v="6"/>
    <x v="0"/>
    <s v="4807107"/>
    <n v="730040"/>
    <s v="LT Lease-Real Estate"/>
    <s v="HARR Imaging Center Poulsbo"/>
    <x v="0"/>
    <m/>
    <n v="0"/>
    <n v="0"/>
    <n v="0"/>
    <n v="0"/>
    <n v="0"/>
    <n v="0"/>
    <n v="0"/>
    <n v="0"/>
    <n v="0"/>
    <n v="0"/>
    <n v="0"/>
    <n v="19978.009999999998"/>
    <n v="19978.009999999998"/>
    <n v="-19978.009999999998"/>
  </r>
  <r>
    <x v="15"/>
    <x v="6"/>
    <x v="0"/>
    <s v="4807107"/>
    <n v="731090"/>
    <s v="Other Utilities"/>
    <s v="HARR Imaging Center Poulsbo"/>
    <x v="0"/>
    <m/>
    <n v="0"/>
    <n v="369.57"/>
    <n v="0"/>
    <n v="318.70999999999998"/>
    <n v="107.74"/>
    <n v="0"/>
    <n v="175.39"/>
    <n v="178.65"/>
    <n v="0"/>
    <n v="0"/>
    <n v="0"/>
    <n v="0"/>
    <n v="1150.06"/>
    <n v="0"/>
  </r>
  <r>
    <x v="16"/>
    <x v="6"/>
    <x v="0"/>
    <s v="4807107"/>
    <n v="732030"/>
    <s v="Repairs---Other"/>
    <s v="HARR Imaging Center Poulsbo"/>
    <x v="0"/>
    <m/>
    <n v="0"/>
    <n v="0"/>
    <n v="0"/>
    <n v="0"/>
    <n v="0"/>
    <n v="0"/>
    <n v="0"/>
    <n v="0"/>
    <n v="0"/>
    <n v="1155.79"/>
    <n v="0"/>
    <n v="0"/>
    <n v="1155.79"/>
    <n v="0"/>
  </r>
  <r>
    <x v="16"/>
    <x v="6"/>
    <x v="0"/>
    <s v="4807107"/>
    <n v="732030"/>
    <s v="Repairs&amp;Maintenance-Bldg Routine"/>
    <s v="HARR Imaging Center Poulsbo"/>
    <x v="0"/>
    <n v="2300"/>
    <n v="0"/>
    <n v="1740"/>
    <n v="870"/>
    <n v="870"/>
    <n v="870"/>
    <n v="0"/>
    <n v="1740"/>
    <n v="1740"/>
    <n v="870"/>
    <n v="870"/>
    <n v="870"/>
    <n v="870"/>
    <n v="11310"/>
    <n v="0"/>
  </r>
  <r>
    <x v="16"/>
    <x v="6"/>
    <x v="0"/>
    <s v="4807107"/>
    <n v="733030"/>
    <s v="Maintenance Contracts-Software"/>
    <s v="HARR Imaging Center Poulsbo"/>
    <x v="0"/>
    <n v="1002"/>
    <n v="66.27"/>
    <n v="1152.3699999999999"/>
    <n v="2047.17"/>
    <n v="133.59"/>
    <n v="66.28"/>
    <n v="66.27"/>
    <n v="167.5"/>
    <n v="132.56"/>
    <n v="1867.38"/>
    <n v="1500"/>
    <n v="217.24"/>
    <n v="115.63"/>
    <n v="7532.26"/>
    <n v="101.61000000000001"/>
  </r>
  <r>
    <x v="13"/>
    <x v="6"/>
    <x v="0"/>
    <s v="4807107"/>
    <n v="735050"/>
    <s v="Amortization-Leasehold Improvements"/>
    <s v="HARR Imaging Center Poulsbo"/>
    <x v="0"/>
    <m/>
    <n v="7963.48"/>
    <n v="7963.46"/>
    <n v="7963.48"/>
    <n v="7963.46"/>
    <n v="7963.48"/>
    <n v="7963.46"/>
    <n v="7963.48"/>
    <n v="7963.46"/>
    <n v="7963.49"/>
    <n v="7963.46"/>
    <n v="7963.51"/>
    <n v="7963.46"/>
    <n v="95561.680000000008"/>
    <n v="5.0000000000181899E-2"/>
  </r>
  <r>
    <x v="13"/>
    <x v="6"/>
    <x v="0"/>
    <s v="4807107"/>
    <n v="735070"/>
    <s v="Depreciation-Movable Equipment"/>
    <s v="HARR Imaging Center Poulsbo"/>
    <x v="0"/>
    <m/>
    <n v="10958.57"/>
    <n v="10958.57"/>
    <n v="10958.57"/>
    <n v="10958.56"/>
    <n v="10958.58"/>
    <n v="10958.55"/>
    <n v="10958.58"/>
    <n v="10958.54"/>
    <n v="10958.59"/>
    <n v="10958.54"/>
    <n v="10958.59"/>
    <n v="10958.54"/>
    <n v="131502.78"/>
    <n v="4.9999999999272404E-2"/>
  </r>
  <r>
    <x v="0"/>
    <x v="6"/>
    <x v="0"/>
    <s v="4807107"/>
    <n v="749510"/>
    <s v="Miscellaneous Expenses"/>
    <s v="HARR Imaging Center Poulsbo"/>
    <x v="0"/>
    <m/>
    <n v="0"/>
    <n v="-21.78"/>
    <n v="0"/>
    <n v="0"/>
    <n v="43.56"/>
    <n v="-43.56"/>
    <n v="110.07"/>
    <n v="-34.99"/>
    <n v="75.08"/>
    <n v="-150.16"/>
    <n v="0"/>
    <n v="0"/>
    <n v="-21.78"/>
    <n v="0"/>
  </r>
  <r>
    <x v="0"/>
    <x v="6"/>
    <x v="0"/>
    <s v="4807107"/>
    <n v="749510"/>
    <s v="Licenses"/>
    <s v="HARR Imaging Center Poulsbo"/>
    <x v="0"/>
    <n v="1002"/>
    <n v="0"/>
    <n v="0"/>
    <n v="0"/>
    <n v="0"/>
    <n v="0"/>
    <n v="292.67"/>
    <n v="0"/>
    <n v="0"/>
    <n v="0"/>
    <n v="0"/>
    <n v="0"/>
    <n v="0"/>
    <n v="292.67"/>
    <n v="0"/>
  </r>
  <r>
    <x v="0"/>
    <x v="6"/>
    <x v="0"/>
    <s v="4807107"/>
    <n v="749530"/>
    <s v="Mileage"/>
    <s v="HARR Imaging Center Poulsbo"/>
    <x v="0"/>
    <n v="1001"/>
    <n v="0"/>
    <n v="0"/>
    <n v="0"/>
    <n v="0"/>
    <n v="0"/>
    <n v="0"/>
    <n v="0"/>
    <n v="0"/>
    <n v="0"/>
    <n v="0"/>
    <n v="11.02"/>
    <n v="0"/>
    <n v="11.02"/>
    <n v="11.02"/>
  </r>
  <r>
    <x v="19"/>
    <x v="6"/>
    <x v="0"/>
    <s v="4808107"/>
    <n v="400020"/>
    <s v="O/P Care Svcs Rev--Medicare"/>
    <s v="HARR Imaging Center Silverdale"/>
    <x v="0"/>
    <n v="1100"/>
    <n v="-251579.31"/>
    <n v="-320243.77"/>
    <n v="-297231.43"/>
    <n v="-315096.59000000003"/>
    <n v="-321335.89"/>
    <n v="-315882.83"/>
    <n v="-352343.7"/>
    <n v="-218910.64"/>
    <n v="-282893.17"/>
    <n v="-358395.48"/>
    <n v="-359348.12"/>
    <n v="-287003.34000000003"/>
    <n v="-3680264.2700000005"/>
    <n v="-72344.77999999997"/>
  </r>
  <r>
    <x v="19"/>
    <x v="6"/>
    <x v="0"/>
    <s v="4808107"/>
    <n v="400020"/>
    <s v="O/P Care Svcs Rev--Medicaid"/>
    <s v="HARR Imaging Center Silverdale"/>
    <x v="0"/>
    <n v="1200"/>
    <n v="-63672.38"/>
    <n v="-79093.850000000006"/>
    <n v="-58119.8"/>
    <n v="-67088.800000000003"/>
    <n v="-57207.09"/>
    <n v="-69328.06"/>
    <n v="-46659.96"/>
    <n v="-38811.93"/>
    <n v="-37233.19"/>
    <n v="-45958.51"/>
    <n v="-77682.3"/>
    <n v="-76970.91"/>
    <n v="-717826.78000000014"/>
    <n v="-711.38999999999942"/>
  </r>
  <r>
    <x v="19"/>
    <x v="6"/>
    <x v="0"/>
    <s v="4808107"/>
    <n v="400020"/>
    <s v="O/P Care Svcs Rev--Comm Insurance"/>
    <s v="HARR Imaging Center Silverdale"/>
    <x v="0"/>
    <n v="1300"/>
    <n v="-22086.66"/>
    <n v="-21138.720000000001"/>
    <n v="-24502.58"/>
    <n v="-25042.880000000001"/>
    <n v="-29921.49"/>
    <n v="-35970.58"/>
    <n v="-39609.71"/>
    <n v="-20561.87"/>
    <n v="-25274.16"/>
    <n v="-23009.86"/>
    <n v="-22782.35"/>
    <n v="-11903.66"/>
    <n v="-301804.51999999996"/>
    <n v="-10878.689999999999"/>
  </r>
  <r>
    <x v="19"/>
    <x v="6"/>
    <x v="0"/>
    <s v="4808107"/>
    <n v="400020"/>
    <s v="O/P Care Svcs Rev--BCBS Comm"/>
    <s v="HARR Imaging Center Silverdale"/>
    <x v="0"/>
    <n v="1301"/>
    <n v="-115249.74"/>
    <n v="-136522.62"/>
    <n v="-147088.09"/>
    <n v="-118489.87"/>
    <n v="-91470.6"/>
    <n v="-123156.72"/>
    <n v="-122509.82"/>
    <n v="-99839.55"/>
    <n v="-112336.11"/>
    <n v="-146170.82999999999"/>
    <n v="-82736.429999999993"/>
    <n v="-111278.45"/>
    <n v="-1406848.83"/>
    <n v="28542.020000000004"/>
  </r>
  <r>
    <x v="19"/>
    <x v="6"/>
    <x v="0"/>
    <s v="4808107"/>
    <n v="400020"/>
    <s v="O/P Care Svcs Rev--Managed Care"/>
    <s v="HARR Imaging Center Silverdale"/>
    <x v="0"/>
    <n v="1400"/>
    <n v="-135308.28"/>
    <n v="-147750.69"/>
    <n v="-134353.06"/>
    <n v="-174711.58"/>
    <n v="-169914.89"/>
    <n v="-108675.54"/>
    <n v="-159130.54"/>
    <n v="-106754.64"/>
    <n v="-138790.65"/>
    <n v="-159437.23000000001"/>
    <n v="-165763.19"/>
    <n v="-154193.65"/>
    <n v="-1754783.9399999997"/>
    <n v="-11569.540000000008"/>
  </r>
  <r>
    <x v="19"/>
    <x v="6"/>
    <x v="0"/>
    <s v="4808107"/>
    <n v="400020"/>
    <s v="O/P Care Svcs Rev--Self Pay"/>
    <s v="HARR Imaging Center Silverdale"/>
    <x v="0"/>
    <n v="1500"/>
    <n v="-6825.22"/>
    <n v="-3527.56"/>
    <n v="-818.87"/>
    <n v="-5409.19"/>
    <n v="-2502.59"/>
    <n v="-2429.2600000000002"/>
    <n v="-19195.38"/>
    <n v="-2717.09"/>
    <n v="-7031.25"/>
    <n v="-9623.7199999999993"/>
    <n v="472.27"/>
    <n v="-807.42"/>
    <n v="-60415.280000000006"/>
    <n v="1279.69"/>
  </r>
  <r>
    <x v="19"/>
    <x v="6"/>
    <x v="0"/>
    <s v="4808107"/>
    <n v="400020"/>
    <s v="O/P Care Svcs Rev--Other"/>
    <s v="HARR Imaging Center Silverdale"/>
    <x v="0"/>
    <n v="1700"/>
    <n v="-27100.98"/>
    <n v="-56359.3"/>
    <n v="-36780.46"/>
    <n v="-40225.82"/>
    <n v="-39571.67"/>
    <n v="-23111.57"/>
    <n v="-36177.29"/>
    <n v="-34920.17"/>
    <n v="-42257.72"/>
    <n v="-51909.9"/>
    <n v="-46636.08"/>
    <n v="-22130.799999999999"/>
    <n v="-457181.76"/>
    <n v="-24505.280000000002"/>
  </r>
  <r>
    <x v="5"/>
    <x v="6"/>
    <x v="0"/>
    <s v="4808107"/>
    <n v="700034"/>
    <s v="Salaries-Tech/Professional-Productive"/>
    <s v="HARR Imaging Center Silverdale"/>
    <x v="0"/>
    <m/>
    <n v="33842.959999999999"/>
    <n v="37221.25"/>
    <n v="37566.949999999997"/>
    <n v="36141.879999999997"/>
    <n v="43785.64"/>
    <n v="35640.559999999998"/>
    <n v="41418.54"/>
    <n v="31226.52"/>
    <n v="41410.9"/>
    <n v="42135.839999999997"/>
    <n v="36413.93"/>
    <n v="34546.400000000001"/>
    <n v="451351.37000000005"/>
    <n v="1867.5299999999988"/>
  </r>
  <r>
    <x v="5"/>
    <x v="6"/>
    <x v="0"/>
    <s v="4808107"/>
    <n v="700034"/>
    <s v="Salaries-Tech/Professional-OT"/>
    <s v="HARR Imaging Center Silverdale"/>
    <x v="0"/>
    <n v="1000"/>
    <n v="1585.36"/>
    <n v="1726.77"/>
    <n v="3989.68"/>
    <n v="648.41"/>
    <n v="1350.65"/>
    <n v="694.63"/>
    <n v="1409.97"/>
    <n v="-290"/>
    <n v="2291.54"/>
    <n v="3090.32"/>
    <n v="293.54000000000002"/>
    <n v="1500.63"/>
    <n v="18291.5"/>
    <n v="-1207.0900000000001"/>
  </r>
  <r>
    <x v="5"/>
    <x v="6"/>
    <x v="0"/>
    <s v="4808107"/>
    <n v="700034"/>
    <s v="Salaries-Tech/Professional-Other"/>
    <s v="HARR Imaging Center Silverdale"/>
    <x v="0"/>
    <n v="2000"/>
    <n v="779.77"/>
    <n v="739.34"/>
    <n v="780.38"/>
    <n v="1218.49"/>
    <n v="982.71"/>
    <n v="685.92"/>
    <n v="779.02"/>
    <n v="720.08"/>
    <n v="2070.4"/>
    <n v="1798.17"/>
    <n v="1067"/>
    <n v="1224.78"/>
    <n v="12846.060000000001"/>
    <n v="-157.77999999999997"/>
  </r>
  <r>
    <x v="5"/>
    <x v="6"/>
    <x v="0"/>
    <s v="4808107"/>
    <n v="700038"/>
    <s v="Salaries-Service/Support-Productive"/>
    <s v="HARR Imaging Center Silverdale"/>
    <x v="0"/>
    <m/>
    <n v="8533.15"/>
    <n v="7796.34"/>
    <n v="8700.91"/>
    <n v="9294.24"/>
    <n v="4372.12"/>
    <n v="1236.8399999999999"/>
    <n v="3012.93"/>
    <n v="2021.41"/>
    <n v="1575.15"/>
    <n v="3881.8"/>
    <n v="3316.97"/>
    <n v="3574.17"/>
    <n v="57316.030000000006"/>
    <n v="-257.20000000000027"/>
  </r>
  <r>
    <x v="5"/>
    <x v="6"/>
    <x v="0"/>
    <s v="4808107"/>
    <n v="700038"/>
    <s v="Salaries-Service/Support-OT"/>
    <s v="HARR Imaging Center Silverdale"/>
    <x v="0"/>
    <n v="1000"/>
    <n v="64.98"/>
    <n v="5.92"/>
    <n v="58.08"/>
    <n v="13.97"/>
    <n v="449.72"/>
    <n v="-216.52"/>
    <n v="0"/>
    <n v="0"/>
    <n v="0"/>
    <n v="0"/>
    <n v="0"/>
    <n v="0"/>
    <n v="376.15000000000009"/>
    <n v="0"/>
  </r>
  <r>
    <x v="5"/>
    <x v="6"/>
    <x v="0"/>
    <s v="4808107"/>
    <n v="700038"/>
    <s v="Salaries-Service/Support-Other"/>
    <s v="HARR Imaging Center Silverdale"/>
    <x v="0"/>
    <n v="2000"/>
    <n v="0"/>
    <n v="0"/>
    <n v="0"/>
    <n v="0"/>
    <n v="24.1"/>
    <n v="-11.6"/>
    <n v="0"/>
    <n v="0"/>
    <n v="0"/>
    <n v="0"/>
    <n v="6.28"/>
    <n v="0"/>
    <n v="18.78"/>
    <n v="6.28"/>
  </r>
  <r>
    <x v="5"/>
    <x v="6"/>
    <x v="0"/>
    <s v="4808107"/>
    <n v="700074"/>
    <s v="Salaries-Tech/Professional-Non-productive"/>
    <s v="HARR Imaging Center Silverdale"/>
    <x v="0"/>
    <m/>
    <n v="5139.92"/>
    <n v="2068.75"/>
    <n v="5731.38"/>
    <n v="4648.22"/>
    <n v="-1011.47"/>
    <n v="8945.74"/>
    <n v="1991.86"/>
    <n v="5288.76"/>
    <n v="576.13"/>
    <n v="2842.24"/>
    <n v="-60.82"/>
    <n v="3584.34"/>
    <n v="39745.050000000003"/>
    <n v="-3645.1600000000003"/>
  </r>
  <r>
    <x v="5"/>
    <x v="6"/>
    <x v="0"/>
    <s v="4808107"/>
    <n v="700074"/>
    <s v="Salaries-Tech/Professional-NonProd-Other"/>
    <s v="HARR Imaging Center Silverdale"/>
    <x v="0"/>
    <n v="2000"/>
    <n v="404.21"/>
    <n v="658.97"/>
    <n v="624.13"/>
    <n v="293.88"/>
    <n v="172.07"/>
    <n v="219.11"/>
    <n v="171.46"/>
    <n v="102.75"/>
    <n v="271.77999999999997"/>
    <n v="234.31"/>
    <n v="507.29"/>
    <n v="497.86"/>
    <n v="4157.8200000000006"/>
    <n v="9.4300000000000068"/>
  </r>
  <r>
    <x v="5"/>
    <x v="6"/>
    <x v="0"/>
    <s v="4808107"/>
    <n v="700078"/>
    <s v="Salaries-Service/Support-Non-productive"/>
    <s v="HARR Imaging Center Silverdale"/>
    <x v="0"/>
    <m/>
    <n v="1249.19"/>
    <n v="990.74"/>
    <n v="1958.56"/>
    <n v="1835.01"/>
    <n v="777.84"/>
    <n v="1609.41"/>
    <n v="1405.98"/>
    <n v="1385.2"/>
    <n v="1260.8599999999999"/>
    <n v="879.02"/>
    <n v="631.51"/>
    <n v="1230.3800000000001"/>
    <n v="15213.7"/>
    <n v="-598.87000000000012"/>
  </r>
  <r>
    <x v="5"/>
    <x v="6"/>
    <x v="0"/>
    <s v="4808107"/>
    <n v="700084"/>
    <s v="Accrued PTO"/>
    <s v="HARR Imaging Center Silverdale"/>
    <x v="0"/>
    <m/>
    <n v="-1165.8599999999999"/>
    <n v="1590.97"/>
    <n v="-1087.48"/>
    <n v="-30.05"/>
    <n v="2236.2399999999998"/>
    <n v="-2504.7600000000002"/>
    <n v="648.14"/>
    <n v="-1365.93"/>
    <n v="2075.67"/>
    <n v="839.64"/>
    <n v="2620.21"/>
    <n v="1522.07"/>
    <n v="5378.86"/>
    <n v="1098.1400000000001"/>
  </r>
  <r>
    <x v="6"/>
    <x v="6"/>
    <x v="0"/>
    <s v="4808107"/>
    <n v="713010"/>
    <s v="Benefits-FICA/Medicare"/>
    <s v="HARR Imaging Center Silverdale"/>
    <x v="0"/>
    <m/>
    <n v="3873.12"/>
    <n v="3847.58"/>
    <n v="4470.75"/>
    <n v="4067.5"/>
    <n v="3880.79"/>
    <n v="3719.35"/>
    <n v="3803.31"/>
    <n v="3067.43"/>
    <n v="3987.38"/>
    <n v="4166.26"/>
    <n v="3228.95"/>
    <n v="3476.04"/>
    <n v="45588.46"/>
    <n v="-247.09000000000015"/>
  </r>
  <r>
    <x v="6"/>
    <x v="6"/>
    <x v="0"/>
    <s v="4808107"/>
    <n v="713090"/>
    <s v="Benefits-Allocated Amounts"/>
    <s v="HARR Imaging Center Silverdale"/>
    <x v="0"/>
    <m/>
    <n v="9562.5499999999993"/>
    <n v="8377.1"/>
    <n v="10713.42"/>
    <n v="9643.83"/>
    <n v="10038.07"/>
    <n v="8255.08"/>
    <n v="8723.74"/>
    <n v="7614.6"/>
    <n v="6689.8"/>
    <n v="10071.08"/>
    <n v="7340.07"/>
    <n v="9517.2800000000007"/>
    <n v="106546.62"/>
    <n v="-2177.2100000000009"/>
  </r>
  <r>
    <x v="7"/>
    <x v="6"/>
    <x v="0"/>
    <s v="4808107"/>
    <n v="718050"/>
    <s v="Contract Svcs-Other"/>
    <s v="HARR Imaging Center Silverdale"/>
    <x v="0"/>
    <m/>
    <n v="264.76"/>
    <n v="0"/>
    <n v="0"/>
    <n v="3362.84"/>
    <n v="11"/>
    <n v="208.93"/>
    <n v="1269.1199999999999"/>
    <n v="84.54"/>
    <n v="0"/>
    <n v="323.58"/>
    <n v="2083.23"/>
    <n v="-25.89"/>
    <n v="7582.11"/>
    <n v="2109.12"/>
  </r>
  <r>
    <x v="7"/>
    <x v="6"/>
    <x v="0"/>
    <s v="4808107"/>
    <n v="718050"/>
    <s v="Miscellaneous Purchased Svcs"/>
    <s v="HARR Imaging Center Silverdale"/>
    <x v="0"/>
    <n v="1020"/>
    <n v="0"/>
    <n v="0"/>
    <n v="0"/>
    <n v="0"/>
    <n v="0"/>
    <n v="0"/>
    <n v="0"/>
    <n v="297.99"/>
    <n v="0"/>
    <n v="0"/>
    <n v="0"/>
    <n v="0"/>
    <n v="297.99"/>
    <n v="0"/>
  </r>
  <r>
    <x v="7"/>
    <x v="6"/>
    <x v="0"/>
    <s v="4808107"/>
    <n v="718050"/>
    <s v="Contract Management--Linen"/>
    <s v="HARR Imaging Center Silverdale"/>
    <x v="0"/>
    <n v="1026"/>
    <n v="401.35"/>
    <n v="1499.63"/>
    <n v="1108.03"/>
    <n v="341.32"/>
    <n v="932.13"/>
    <n v="1246.04"/>
    <n v="339.54"/>
    <n v="1666.01"/>
    <n v="307.2"/>
    <n v="162.62"/>
    <n v="1691.82"/>
    <n v="490.98"/>
    <n v="10186.67"/>
    <n v="1200.8399999999999"/>
  </r>
  <r>
    <x v="7"/>
    <x v="6"/>
    <x v="0"/>
    <s v="4808107"/>
    <n v="718070"/>
    <s v="Contract Srvcs-CHI Clinical Engineering"/>
    <s v="HARR Imaging Center Silverdale"/>
    <x v="0"/>
    <m/>
    <n v="33875.42"/>
    <n v="37396.42"/>
    <n v="33389.440000000002"/>
    <n v="35787.279999999999"/>
    <n v="35787.279999999999"/>
    <n v="33996.959999999999"/>
    <n v="34592.53"/>
    <n v="31211.89"/>
    <n v="34253.919999999998"/>
    <n v="33530.839999999997"/>
    <n v="32962.86"/>
    <n v="35516.85"/>
    <n v="412301.68999999994"/>
    <n v="-2553.989999999998"/>
  </r>
  <r>
    <x v="11"/>
    <x v="6"/>
    <x v="0"/>
    <s v="4808107"/>
    <n v="721010"/>
    <s v="Supplies-Medical - Billable"/>
    <s v="HARR Imaging Center Silverdale"/>
    <x v="0"/>
    <m/>
    <n v="6337.25"/>
    <n v="7621.6"/>
    <n v="11929.64"/>
    <n v="10260.02"/>
    <n v="8531.48"/>
    <n v="7776.94"/>
    <n v="5864.53"/>
    <n v="6234.27"/>
    <n v="10456.42"/>
    <n v="7970.82"/>
    <n v="8881.7999999999993"/>
    <n v="14643.91"/>
    <n v="106508.68000000001"/>
    <n v="-5762.1100000000006"/>
  </r>
  <r>
    <x v="11"/>
    <x v="6"/>
    <x v="0"/>
    <s v="4808107"/>
    <n v="721020"/>
    <s v="Endoscopy - Trocars &amp; Accessories"/>
    <s v="HARR Imaging Center Silverdale"/>
    <x v="0"/>
    <n v="1002"/>
    <n v="0"/>
    <n v="93.39"/>
    <n v="0"/>
    <n v="0"/>
    <n v="0"/>
    <n v="0"/>
    <n v="0"/>
    <n v="0"/>
    <n v="186.78"/>
    <n v="0"/>
    <n v="0"/>
    <n v="0"/>
    <n v="280.17"/>
    <n v="0"/>
  </r>
  <r>
    <x v="11"/>
    <x v="6"/>
    <x v="0"/>
    <s v="4808107"/>
    <n v="721050"/>
    <s v="Supplies-Cardiac Rhythm - Billable"/>
    <s v="HARR Imaging Center Silverdale"/>
    <x v="0"/>
    <m/>
    <n v="340.63"/>
    <n v="0"/>
    <n v="0"/>
    <n v="0"/>
    <n v="0"/>
    <n v="0"/>
    <n v="0"/>
    <n v="0"/>
    <n v="0"/>
    <n v="0"/>
    <n v="0"/>
    <n v="0"/>
    <n v="340.63"/>
    <n v="0"/>
  </r>
  <r>
    <x v="11"/>
    <x v="6"/>
    <x v="0"/>
    <s v="4808107"/>
    <n v="721240"/>
    <s v="Supplies-IV Solutions/Supplies - Billable"/>
    <s v="HARR Imaging Center Silverdale"/>
    <x v="0"/>
    <m/>
    <n v="0"/>
    <n v="0"/>
    <n v="0"/>
    <n v="0"/>
    <n v="0"/>
    <n v="0"/>
    <n v="65.760000000000005"/>
    <n v="7.92"/>
    <n v="1279.2"/>
    <n v="243.76"/>
    <n v="0"/>
    <n v="0"/>
    <n v="1596.64"/>
    <n v="0"/>
  </r>
  <r>
    <x v="11"/>
    <x v="6"/>
    <x v="0"/>
    <s v="4808107"/>
    <n v="721250"/>
    <s v="Supplies-Pharmacy Drugs - Billable"/>
    <s v="HARR Imaging Center Silverdale"/>
    <x v="0"/>
    <m/>
    <n v="905.63"/>
    <n v="0"/>
    <n v="0"/>
    <n v="0"/>
    <n v="0"/>
    <n v="5.56"/>
    <n v="0"/>
    <n v="0"/>
    <n v="0"/>
    <n v="0"/>
    <n v="0"/>
    <n v="0"/>
    <n v="911.18999999999994"/>
    <n v="0"/>
  </r>
  <r>
    <x v="11"/>
    <x v="6"/>
    <x v="0"/>
    <s v="4808107"/>
    <n v="721410"/>
    <s v="Supplies-Medical - Nonbillable"/>
    <s v="HARR Imaging Center Silverdale"/>
    <x v="0"/>
    <m/>
    <n v="761.66"/>
    <n v="580.65"/>
    <n v="828.36"/>
    <n v="827.69"/>
    <n v="606.22"/>
    <n v="697.97"/>
    <n v="578.96"/>
    <n v="564.45000000000005"/>
    <n v="354.95"/>
    <n v="3469.9"/>
    <n v="839.33"/>
    <n v="1089.27"/>
    <n v="11199.41"/>
    <n v="-249.93999999999994"/>
  </r>
  <r>
    <x v="11"/>
    <x v="6"/>
    <x v="0"/>
    <s v="4808107"/>
    <n v="721420"/>
    <s v="Supplies-Surgical Nonbillable"/>
    <s v="HARR Imaging Center Silverdale"/>
    <x v="0"/>
    <m/>
    <n v="96.54"/>
    <n v="63.21"/>
    <n v="106.98"/>
    <n v="57.76"/>
    <n v="121.82"/>
    <n v="34.92"/>
    <n v="121.21"/>
    <n v="71.349999999999994"/>
    <n v="104.06"/>
    <n v="145.30000000000001"/>
    <n v="88.36"/>
    <n v="390.04"/>
    <n v="1401.5500000000002"/>
    <n v="-301.68"/>
  </r>
  <r>
    <x v="11"/>
    <x v="6"/>
    <x v="0"/>
    <s v="4808107"/>
    <n v="721420"/>
    <s v="Sterilization Process Products"/>
    <s v="HARR Imaging Center Silverdale"/>
    <x v="0"/>
    <n v="1009"/>
    <n v="99.58"/>
    <n v="99.58"/>
    <n v="8.64"/>
    <n v="0"/>
    <n v="0"/>
    <n v="99.58"/>
    <n v="0"/>
    <n v="0"/>
    <n v="5.33"/>
    <n v="0"/>
    <n v="0"/>
    <n v="0"/>
    <n v="312.70999999999998"/>
    <n v="0"/>
  </r>
  <r>
    <x v="11"/>
    <x v="6"/>
    <x v="0"/>
    <s v="4808107"/>
    <n v="721640"/>
    <s v="Supplies-IV Solutions/Supplies - Nonbillable"/>
    <s v="HARR Imaging Center Silverdale"/>
    <x v="0"/>
    <m/>
    <n v="25.7"/>
    <n v="51.4"/>
    <n v="39"/>
    <n v="0"/>
    <n v="0"/>
    <n v="0"/>
    <n v="25.96"/>
    <n v="0"/>
    <n v="0"/>
    <n v="0"/>
    <n v="0"/>
    <n v="0"/>
    <n v="142.06"/>
    <n v="0"/>
  </r>
  <r>
    <x v="11"/>
    <x v="6"/>
    <x v="0"/>
    <s v="4808107"/>
    <n v="721710"/>
    <s v="Supplies-Laboratory - Nonbillable"/>
    <s v="HARR Imaging Center Silverdale"/>
    <x v="0"/>
    <m/>
    <n v="0"/>
    <n v="0"/>
    <n v="0"/>
    <n v="0"/>
    <n v="7.84"/>
    <n v="48.43"/>
    <n v="0"/>
    <n v="7.92"/>
    <n v="0"/>
    <n v="0"/>
    <n v="0"/>
    <n v="57.23"/>
    <n v="121.41999999999999"/>
    <n v="-57.23"/>
  </r>
  <r>
    <x v="11"/>
    <x v="6"/>
    <x v="0"/>
    <s v="4808107"/>
    <n v="721710"/>
    <s v="Reagents"/>
    <s v="HARR Imaging Center Silverdale"/>
    <x v="0"/>
    <n v="1000"/>
    <n v="12.6"/>
    <n v="0"/>
    <n v="15.75"/>
    <n v="13.32"/>
    <n v="-69.2"/>
    <n v="6.3"/>
    <n v="9.4499999999999993"/>
    <n v="0"/>
    <n v="0"/>
    <n v="16.36"/>
    <n v="19.510000000000002"/>
    <n v="-4.6100000000000003"/>
    <n v="19.48"/>
    <n v="24.12"/>
  </r>
  <r>
    <x v="11"/>
    <x v="6"/>
    <x v="0"/>
    <s v="4808107"/>
    <n v="721750"/>
    <s v="Supplies-Film/Radiographic - Nonbillable"/>
    <s v="HARR Imaging Center Silverdale"/>
    <x v="0"/>
    <m/>
    <n v="2778.52"/>
    <n v="1518.12"/>
    <n v="4587.84"/>
    <n v="3373.57"/>
    <n v="4199.8599999999997"/>
    <n v="1694.26"/>
    <n v="2219.86"/>
    <n v="1822.5"/>
    <n v="5796.22"/>
    <n v="4677.42"/>
    <n v="420.76"/>
    <n v="2762.44"/>
    <n v="35851.370000000003"/>
    <n v="-2341.6800000000003"/>
  </r>
  <r>
    <x v="11"/>
    <x v="6"/>
    <x v="0"/>
    <s v="4808107"/>
    <n v="721810"/>
    <s v="Supplies-Dietary/Cafeteria"/>
    <s v="HARR Imaging Center Silverdale"/>
    <x v="0"/>
    <m/>
    <n v="273.74"/>
    <n v="208.36"/>
    <n v="10.3"/>
    <n v="20.6"/>
    <n v="138.04"/>
    <n v="28.13"/>
    <n v="21.88"/>
    <n v="28.13"/>
    <n v="625.21"/>
    <n v="9.16"/>
    <n v="37.96"/>
    <n v="360.59"/>
    <n v="1762.1"/>
    <n v="-322.63"/>
  </r>
  <r>
    <x v="11"/>
    <x v="6"/>
    <x v="0"/>
    <s v="4808107"/>
    <n v="721830"/>
    <s v="Supplies-Office"/>
    <s v="HARR Imaging Center Silverdale"/>
    <x v="0"/>
    <m/>
    <n v="276.67"/>
    <n v="754.12"/>
    <n v="145.85"/>
    <n v="1128.27"/>
    <n v="90.51"/>
    <n v="670.58"/>
    <n v="440.4"/>
    <n v="226.14"/>
    <n v="203.59"/>
    <n v="84.04"/>
    <n v="382.25"/>
    <n v="450.53"/>
    <n v="4852.95"/>
    <n v="-68.279999999999973"/>
  </r>
  <r>
    <x v="11"/>
    <x v="6"/>
    <x v="0"/>
    <s v="4808107"/>
    <n v="721835"/>
    <s v="Supplies-Forms"/>
    <s v="HARR Imaging Center Silverdale"/>
    <x v="0"/>
    <m/>
    <n v="0"/>
    <n v="0"/>
    <n v="0"/>
    <n v="0"/>
    <n v="38"/>
    <n v="0"/>
    <n v="6"/>
    <n v="0"/>
    <n v="79"/>
    <n v="10"/>
    <n v="0.25"/>
    <n v="5.2"/>
    <n v="138.44999999999999"/>
    <n v="-4.95"/>
  </r>
  <r>
    <x v="11"/>
    <x v="6"/>
    <x v="0"/>
    <s v="4808107"/>
    <n v="721870"/>
    <s v="Supplies-Environmental Services"/>
    <s v="HARR Imaging Center Silverdale"/>
    <x v="0"/>
    <m/>
    <n v="66.239999999999995"/>
    <n v="94.56"/>
    <n v="94.56"/>
    <n v="47.28"/>
    <n v="113.52"/>
    <n v="104.77"/>
    <n v="140.44"/>
    <n v="70.92"/>
    <n v="82"/>
    <n v="94.56"/>
    <n v="183.6"/>
    <n v="275.95999999999998"/>
    <n v="1368.4099999999999"/>
    <n v="-92.359999999999985"/>
  </r>
  <r>
    <x v="11"/>
    <x v="6"/>
    <x v="0"/>
    <s v="4808107"/>
    <n v="721880"/>
    <s v="Supplies-Linen"/>
    <s v="HARR Imaging Center Silverdale"/>
    <x v="0"/>
    <m/>
    <n v="178.92"/>
    <n v="154.63"/>
    <n v="178.93"/>
    <n v="203.23"/>
    <n v="130.34"/>
    <n v="154.63"/>
    <n v="155.66999999999999"/>
    <n v="166.49"/>
    <n v="195.51"/>
    <n v="246.17"/>
    <n v="220.84"/>
    <n v="272.61"/>
    <n v="2257.9700000000003"/>
    <n v="-51.77000000000001"/>
  </r>
  <r>
    <x v="11"/>
    <x v="6"/>
    <x v="0"/>
    <s v="4808107"/>
    <n v="721910"/>
    <s v="Supplies-Small Equipment"/>
    <s v="HARR Imaging Center Silverdale"/>
    <x v="0"/>
    <m/>
    <n v="0"/>
    <n v="0"/>
    <n v="0"/>
    <n v="0"/>
    <n v="0"/>
    <n v="0"/>
    <n v="0"/>
    <n v="0"/>
    <n v="0"/>
    <n v="1069.56"/>
    <n v="0"/>
    <n v="0"/>
    <n v="1069.56"/>
    <n v="0"/>
  </r>
  <r>
    <x v="11"/>
    <x v="6"/>
    <x v="0"/>
    <s v="4808107"/>
    <n v="721980"/>
    <s v="Supplies-Other"/>
    <s v="HARR Imaging Center Silverdale"/>
    <x v="0"/>
    <m/>
    <n v="0"/>
    <n v="280.17"/>
    <n v="97.61"/>
    <n v="320.05"/>
    <n v="237.27"/>
    <n v="0"/>
    <n v="714.07"/>
    <n v="484.36"/>
    <n v="800"/>
    <n v="309.94"/>
    <n v="80.180000000000007"/>
    <n v="98.13"/>
    <n v="3421.78"/>
    <n v="-17.949999999999989"/>
  </r>
  <r>
    <x v="11"/>
    <x v="6"/>
    <x v="0"/>
    <s v="4808107"/>
    <n v="722000"/>
    <s v="Supplies-Freight Expense"/>
    <s v="HARR Imaging Center Silverdale"/>
    <x v="0"/>
    <m/>
    <n v="195.53"/>
    <n v="301.47000000000003"/>
    <n v="141.85"/>
    <n v="326.06"/>
    <n v="142.82"/>
    <n v="440.8"/>
    <n v="467.97"/>
    <n v="179.95"/>
    <n v="189.31"/>
    <n v="236.36"/>
    <n v="316.38"/>
    <n v="87.72"/>
    <n v="3026.22"/>
    <n v="228.66"/>
  </r>
  <r>
    <x v="12"/>
    <x v="6"/>
    <x v="0"/>
    <s v="4808107"/>
    <n v="730010"/>
    <s v="Rental and Leases-Building (DO NOT USE)"/>
    <s v="HARR Imaging Center Silverdale"/>
    <x v="0"/>
    <m/>
    <n v="17459.62"/>
    <n v="17459.62"/>
    <n v="17459.62"/>
    <n v="17459.62"/>
    <n v="24138.77"/>
    <n v="-11769.59"/>
    <n v="13317.41"/>
    <n v="13317.41"/>
    <n v="13317.41"/>
    <n v="13316.2"/>
    <n v="13316.2"/>
    <n v="0"/>
    <n v="148792.29000000004"/>
    <n v="13316.2"/>
  </r>
  <r>
    <x v="12"/>
    <x v="6"/>
    <x v="0"/>
    <s v="4808107"/>
    <n v="730010"/>
    <s v="Rental-Common Area Maint (DO NOT USE)"/>
    <s v="HARR Imaging Center Silverdale"/>
    <x v="0"/>
    <n v="2200"/>
    <n v="0"/>
    <n v="0"/>
    <n v="0"/>
    <n v="0"/>
    <n v="0"/>
    <n v="29686"/>
    <n v="4599"/>
    <n v="4599"/>
    <n v="4599"/>
    <n v="4276.92"/>
    <n v="4276.92"/>
    <n v="0"/>
    <n v="52036.84"/>
    <n v="4276.92"/>
  </r>
  <r>
    <x v="12"/>
    <x v="6"/>
    <x v="0"/>
    <s v="4808107"/>
    <n v="730020"/>
    <s v="Rental and Leases-Equipment (DO NOT USE)"/>
    <s v="HARR Imaging Center Silverdale"/>
    <x v="0"/>
    <m/>
    <n v="426.46"/>
    <n v="0"/>
    <n v="198.9"/>
    <n v="198.9"/>
    <n v="195.47"/>
    <n v="0"/>
    <n v="589.63"/>
    <n v="0"/>
    <n v="394.16"/>
    <n v="197.08"/>
    <n v="197.08"/>
    <n v="916.19"/>
    <n v="3313.8700000000003"/>
    <n v="-719.11"/>
  </r>
  <r>
    <x v="12"/>
    <x v="6"/>
    <x v="0"/>
    <s v="4808107"/>
    <n v="730020"/>
    <s v="Rental and Leases-Copier Usage Fees (DO NOT USE)"/>
    <s v="HARR Imaging Center Silverdale"/>
    <x v="0"/>
    <n v="5100"/>
    <n v="734.15"/>
    <n v="723.09"/>
    <n v="728.62"/>
    <n v="728.62"/>
    <n v="728.61"/>
    <n v="728.61"/>
    <n v="1171.02"/>
    <n v="412.44"/>
    <n v="411.57"/>
    <n v="1401.34"/>
    <n v="412.44"/>
    <n v="476.56"/>
    <n v="8657.0699999999979"/>
    <n v="-64.12"/>
  </r>
  <r>
    <x v="12"/>
    <x v="6"/>
    <x v="0"/>
    <s v="4808107"/>
    <n v="730040"/>
    <s v="LT Lease-Real Estate"/>
    <s v="HARR Imaging Center Silverdale"/>
    <x v="0"/>
    <m/>
    <n v="0"/>
    <n v="0"/>
    <n v="0"/>
    <n v="0"/>
    <n v="0"/>
    <n v="0"/>
    <n v="0"/>
    <n v="0"/>
    <n v="0"/>
    <n v="0"/>
    <n v="0"/>
    <n v="16676.93"/>
    <n v="16676.93"/>
    <n v="-16676.93"/>
  </r>
  <r>
    <x v="15"/>
    <x v="6"/>
    <x v="0"/>
    <s v="4808107"/>
    <n v="731060"/>
    <s v="Telephone"/>
    <s v="HARR Imaging Center Silverdale"/>
    <x v="0"/>
    <m/>
    <n v="102.12"/>
    <n v="102.28"/>
    <n v="103.49"/>
    <n v="119.66"/>
    <n v="103.11"/>
    <n v="104.01"/>
    <n v="99.79"/>
    <n v="102.25"/>
    <n v="95.24"/>
    <n v="98.77"/>
    <n v="94.54"/>
    <n v="98.23"/>
    <n v="1223.49"/>
    <n v="-3.6899999999999977"/>
  </r>
  <r>
    <x v="15"/>
    <x v="6"/>
    <x v="0"/>
    <s v="4808107"/>
    <n v="731090"/>
    <s v="Other Utilities"/>
    <s v="HARR Imaging Center Silverdale"/>
    <x v="0"/>
    <m/>
    <n v="6064.86"/>
    <n v="5941.13"/>
    <n v="5930.13"/>
    <n v="6059.33"/>
    <n v="5919.13"/>
    <n v="5941.13"/>
    <n v="5930.13"/>
    <n v="6010.42"/>
    <n v="0"/>
    <n v="11838.26"/>
    <n v="5919.13"/>
    <n v="0"/>
    <n v="65553.649999999994"/>
    <n v="5919.13"/>
  </r>
  <r>
    <x v="16"/>
    <x v="6"/>
    <x v="0"/>
    <s v="4808107"/>
    <n v="732030"/>
    <s v="Repairs---Other"/>
    <s v="HARR Imaging Center Silverdale"/>
    <x v="0"/>
    <m/>
    <n v="0"/>
    <n v="0"/>
    <n v="0"/>
    <n v="0"/>
    <n v="0"/>
    <n v="0"/>
    <n v="0"/>
    <n v="0"/>
    <n v="0"/>
    <n v="391.83"/>
    <n v="24098.65"/>
    <n v="24239.86"/>
    <n v="48730.340000000004"/>
    <n v="-141.20999999999913"/>
  </r>
  <r>
    <x v="16"/>
    <x v="6"/>
    <x v="0"/>
    <s v="4808107"/>
    <n v="732030"/>
    <s v="Repairs&amp;Maintenance-Bldg Routine"/>
    <s v="HARR Imaging Center Silverdale"/>
    <x v="0"/>
    <n v="2300"/>
    <n v="0"/>
    <n v="1708.46"/>
    <n v="800"/>
    <n v="800"/>
    <n v="908.45"/>
    <n v="0"/>
    <n v="1650"/>
    <n v="1708.45"/>
    <n v="0"/>
    <n v="800"/>
    <n v="800"/>
    <n v="800"/>
    <n v="9975.36"/>
    <n v="0"/>
  </r>
  <r>
    <x v="16"/>
    <x v="6"/>
    <x v="0"/>
    <s v="4808107"/>
    <n v="733030"/>
    <s v="Maintenance Contracts-Software"/>
    <s v="HARR Imaging Center Silverdale"/>
    <x v="0"/>
    <n v="1002"/>
    <n v="54.89"/>
    <n v="137.22"/>
    <n v="1509.86"/>
    <n v="109.78"/>
    <n v="54.89"/>
    <n v="54.89"/>
    <n v="167.51"/>
    <n v="109.78"/>
    <n v="10929.89"/>
    <n v="3000"/>
    <n v="194.47"/>
    <n v="104.25"/>
    <n v="16427.43"/>
    <n v="90.22"/>
  </r>
  <r>
    <x v="13"/>
    <x v="6"/>
    <x v="0"/>
    <s v="4808107"/>
    <n v="735050"/>
    <s v="Amortization-Leasehold Improvements"/>
    <s v="HARR Imaging Center Silverdale"/>
    <x v="0"/>
    <m/>
    <n v="10665.28"/>
    <n v="10665.28"/>
    <n v="10665.3"/>
    <n v="10665.25"/>
    <n v="10665.31"/>
    <n v="10665.25"/>
    <n v="10665.33"/>
    <n v="10665.2"/>
    <n v="10665.34"/>
    <n v="10665.19"/>
    <n v="10665.41"/>
    <n v="10665.18"/>
    <n v="127983.32"/>
    <n v="0.22999999999956344"/>
  </r>
  <r>
    <x v="13"/>
    <x v="6"/>
    <x v="0"/>
    <s v="4808107"/>
    <n v="735070"/>
    <s v="Depreciation-Movable Equipment"/>
    <s v="HARR Imaging Center Silverdale"/>
    <x v="0"/>
    <m/>
    <n v="8680.64"/>
    <n v="8680.64"/>
    <n v="8680.66"/>
    <n v="8680.6299999999992"/>
    <n v="8680.67"/>
    <n v="8680.6200000000008"/>
    <n v="8680.7000000000007"/>
    <n v="8680.61"/>
    <n v="8680.7099999999991"/>
    <n v="8680.6"/>
    <n v="8680.75"/>
    <n v="23082.04"/>
    <n v="118569.27000000002"/>
    <n v="-14401.29"/>
  </r>
  <r>
    <x v="0"/>
    <x v="6"/>
    <x v="0"/>
    <s v="4808107"/>
    <n v="742010"/>
    <s v="Postage-Regular"/>
    <s v="HARR Imaging Center Silverdale"/>
    <x v="0"/>
    <m/>
    <n v="72.569999999999993"/>
    <n v="0"/>
    <n v="115.6"/>
    <n v="0"/>
    <n v="45.52"/>
    <n v="36.58"/>
    <n v="28.91"/>
    <n v="25.96"/>
    <n v="105.8"/>
    <n v="34.549999999999997"/>
    <n v="64.05"/>
    <n v="9.15"/>
    <n v="538.68999999999994"/>
    <n v="54.9"/>
  </r>
  <r>
    <x v="0"/>
    <x v="6"/>
    <x v="0"/>
    <s v="4808107"/>
    <n v="749510"/>
    <s v="Miscellaneous Expenses"/>
    <s v="HARR Imaging Center Silverdale"/>
    <x v="0"/>
    <m/>
    <n v="33.630000000000003"/>
    <n v="2952.34"/>
    <n v="113.14"/>
    <n v="85.23"/>
    <n v="221.55"/>
    <n v="563.39"/>
    <n v="0"/>
    <n v="468.99"/>
    <n v="0"/>
    <n v="0"/>
    <n v="260.54000000000002"/>
    <n v="187.31"/>
    <n v="4886.1200000000008"/>
    <n v="73.230000000000018"/>
  </r>
  <r>
    <x v="0"/>
    <x v="6"/>
    <x v="0"/>
    <s v="4808107"/>
    <n v="749510"/>
    <s v="Licenses"/>
    <s v="HARR Imaging Center Silverdale"/>
    <x v="0"/>
    <n v="1002"/>
    <n v="0"/>
    <n v="0"/>
    <n v="0"/>
    <n v="0"/>
    <n v="2900"/>
    <n v="718"/>
    <n v="0"/>
    <n v="0"/>
    <n v="0"/>
    <n v="0"/>
    <n v="1170"/>
    <n v="0"/>
    <n v="4788"/>
    <n v="1170"/>
  </r>
  <r>
    <x v="0"/>
    <x v="6"/>
    <x v="0"/>
    <s v="4808107"/>
    <n v="749530"/>
    <s v="Travel"/>
    <s v="HARR Imaging Center Silverdale"/>
    <x v="0"/>
    <m/>
    <n v="0"/>
    <n v="0"/>
    <n v="0"/>
    <n v="0"/>
    <n v="0"/>
    <n v="16"/>
    <n v="0"/>
    <n v="0"/>
    <n v="0"/>
    <n v="0"/>
    <n v="0"/>
    <n v="0"/>
    <n v="16"/>
    <n v="0"/>
  </r>
  <r>
    <x v="0"/>
    <x v="6"/>
    <x v="0"/>
    <s v="4808107"/>
    <n v="749530"/>
    <s v="Mileage"/>
    <s v="HARR Imaging Center Silverdale"/>
    <x v="0"/>
    <n v="1001"/>
    <n v="0"/>
    <n v="0"/>
    <n v="0"/>
    <n v="0"/>
    <n v="0"/>
    <n v="40.33"/>
    <n v="0"/>
    <n v="0"/>
    <n v="0"/>
    <n v="0"/>
    <n v="0"/>
    <n v="0"/>
    <n v="40.33"/>
    <n v="0"/>
  </r>
  <r>
    <x v="18"/>
    <x v="3"/>
    <x v="0"/>
    <s v="4810101"/>
    <n v="400010"/>
    <s v="Acute I/P Svcs Rev--Medicare"/>
    <s v="Radiology - Diagnostic"/>
    <x v="0"/>
    <n v="1100"/>
    <n v="-723948.87"/>
    <n v="-698263.91"/>
    <n v="-742210.43"/>
    <n v="-834301.67"/>
    <n v="-752786.21"/>
    <n v="-726438.07"/>
    <n v="-761737.38"/>
    <n v="-786841.06"/>
    <n v="-842923.67"/>
    <n v="-832229.05"/>
    <n v="-732209.72"/>
    <n v="-755214.39"/>
    <n v="-9189104.4299999997"/>
    <n v="23004.670000000042"/>
  </r>
  <r>
    <x v="18"/>
    <x v="3"/>
    <x v="0"/>
    <s v="4810101"/>
    <n v="400010"/>
    <s v="Acute I/P Svcs Rev--Medicaid"/>
    <s v="Radiology - Diagnostic"/>
    <x v="0"/>
    <n v="1200"/>
    <n v="-243601.22"/>
    <n v="-258904.83"/>
    <n v="-200977.79"/>
    <n v="-210864.02"/>
    <n v="-302406.90000000002"/>
    <n v="-253195.66"/>
    <n v="-265123.27"/>
    <n v="-244319.6"/>
    <n v="-283492.51"/>
    <n v="-267228.36"/>
    <n v="-258761.84"/>
    <n v="-265984.25"/>
    <n v="-3054860.2499999995"/>
    <n v="7222.4100000000035"/>
  </r>
  <r>
    <x v="18"/>
    <x v="3"/>
    <x v="0"/>
    <s v="4810101"/>
    <n v="400010"/>
    <s v="Acute I/P Svcs Rev--Comm Insurance"/>
    <s v="Radiology - Diagnostic"/>
    <x v="0"/>
    <n v="1300"/>
    <n v="-44373.2"/>
    <n v="3796.28"/>
    <n v="-28150.55"/>
    <n v="-30782.39"/>
    <n v="-19916.93"/>
    <n v="-28729.85"/>
    <n v="-20894.78"/>
    <n v="-19075.09"/>
    <n v="-43607.06"/>
    <n v="2775.97"/>
    <n v="-23960.1"/>
    <n v="-13446.15"/>
    <n v="-266363.85000000003"/>
    <n v="-10513.949999999999"/>
  </r>
  <r>
    <x v="18"/>
    <x v="3"/>
    <x v="0"/>
    <s v="4810101"/>
    <n v="400010"/>
    <s v="Acute I/P Svcs Rev--BCBS Comm"/>
    <s v="Radiology - Diagnostic"/>
    <x v="0"/>
    <n v="1301"/>
    <n v="-12651.32"/>
    <n v="-49786.95"/>
    <n v="-22884.3"/>
    <n v="-32306.14"/>
    <n v="-18688.32"/>
    <n v="-43880.47"/>
    <n v="-60367.54"/>
    <n v="-46071.7"/>
    <n v="-36560.080000000002"/>
    <n v="-33742.53"/>
    <n v="-37317.629999999997"/>
    <n v="-48160.88"/>
    <n v="-442417.86"/>
    <n v="10843.25"/>
  </r>
  <r>
    <x v="18"/>
    <x v="3"/>
    <x v="0"/>
    <s v="4810101"/>
    <n v="400010"/>
    <s v="Acute I/P Svcs Rev--Managed Care"/>
    <s v="Radiology - Diagnostic"/>
    <x v="0"/>
    <n v="1400"/>
    <n v="-166369.76"/>
    <n v="-218824.99"/>
    <n v="-178175.75"/>
    <n v="-193913.82"/>
    <n v="-142365.18"/>
    <n v="-170078.4"/>
    <n v="-224665.81"/>
    <n v="-217559.58"/>
    <n v="-185779.62"/>
    <n v="-144649.41"/>
    <n v="-176549.39"/>
    <n v="-180833.2"/>
    <n v="-2199764.91"/>
    <n v="4283.8099999999977"/>
  </r>
  <r>
    <x v="18"/>
    <x v="3"/>
    <x v="0"/>
    <s v="4810101"/>
    <n v="400010"/>
    <s v="Acute I/P Svcs Rev--Self Pay"/>
    <s v="Radiology - Diagnostic"/>
    <x v="0"/>
    <n v="1500"/>
    <n v="-25133.82"/>
    <n v="-17636.88"/>
    <n v="-28327.47"/>
    <n v="1844.57"/>
    <n v="-9735.5300000000007"/>
    <n v="318.60000000000002"/>
    <n v="-12429.79"/>
    <n v="-5362.31"/>
    <n v="-17287.849999999999"/>
    <n v="-7144.93"/>
    <n v="-6665"/>
    <n v="1812.42"/>
    <n v="-125747.98999999998"/>
    <n v="-8477.42"/>
  </r>
  <r>
    <x v="18"/>
    <x v="3"/>
    <x v="0"/>
    <s v="4810101"/>
    <n v="400010"/>
    <s v="Acute I/P Svcs Rev--Other"/>
    <s v="Radiology - Diagnostic"/>
    <x v="0"/>
    <n v="1700"/>
    <n v="-42473.85"/>
    <n v="-62161.82"/>
    <n v="-63453.08"/>
    <n v="-52262.239999999998"/>
    <n v="-29906.98"/>
    <n v="-65087.17"/>
    <n v="-51020.95"/>
    <n v="-54262.84"/>
    <n v="-43967.81"/>
    <n v="-31664.59"/>
    <n v="-66202.289999999994"/>
    <n v="-59955.45"/>
    <n v="-622419.07000000007"/>
    <n v="-6246.8399999999965"/>
  </r>
  <r>
    <x v="19"/>
    <x v="3"/>
    <x v="0"/>
    <s v="4810101"/>
    <n v="400020"/>
    <s v="O/P Care Svcs Rev--Medicare"/>
    <s v="Radiology - Diagnostic"/>
    <x v="0"/>
    <n v="1100"/>
    <n v="-573979.97"/>
    <n v="-587336.42000000004"/>
    <n v="-501993.61"/>
    <n v="-572407.74"/>
    <n v="-548886.06000000006"/>
    <n v="-517573.95"/>
    <n v="-579365.53"/>
    <n v="-447554.48"/>
    <n v="-601317.18999999994"/>
    <n v="-587918.48"/>
    <n v="-628180.15"/>
    <n v="-548323.92000000004"/>
    <n v="-6694837.5"/>
    <n v="-79856.229999999981"/>
  </r>
  <r>
    <x v="19"/>
    <x v="3"/>
    <x v="0"/>
    <s v="4810101"/>
    <n v="400020"/>
    <s v="O/P Care Svcs Rev--Medicaid"/>
    <s v="Radiology - Diagnostic"/>
    <x v="0"/>
    <n v="1200"/>
    <n v="-387493.07"/>
    <n v="-378953.93"/>
    <n v="-366082.2"/>
    <n v="-410875.26"/>
    <n v="-331823.24"/>
    <n v="-375518.48"/>
    <n v="-421530.05"/>
    <n v="-376894.75"/>
    <n v="-406085.2"/>
    <n v="-370560.78"/>
    <n v="-353039.52"/>
    <n v="-345598.06"/>
    <n v="-4524454.54"/>
    <n v="-7441.460000000021"/>
  </r>
  <r>
    <x v="19"/>
    <x v="3"/>
    <x v="0"/>
    <s v="4810101"/>
    <n v="400020"/>
    <s v="O/P Care Svcs Rev--Comm Insurance"/>
    <s v="Radiology - Diagnostic"/>
    <x v="0"/>
    <n v="1300"/>
    <n v="-55827.35"/>
    <n v="-64171.74"/>
    <n v="-56228.11"/>
    <n v="-50368.38"/>
    <n v="-77636.75"/>
    <n v="-79615.38"/>
    <n v="-32827.879999999997"/>
    <n v="-64153.32"/>
    <n v="-64562.03"/>
    <n v="-60143.48"/>
    <n v="-54733.24"/>
    <n v="-80650.39"/>
    <n v="-740918.05"/>
    <n v="25917.15"/>
  </r>
  <r>
    <x v="19"/>
    <x v="3"/>
    <x v="0"/>
    <s v="4810101"/>
    <n v="400020"/>
    <s v="O/P Care Svcs Rev--BCBS Comm"/>
    <s v="Radiology - Diagnostic"/>
    <x v="0"/>
    <n v="1301"/>
    <n v="-59174.22"/>
    <n v="-70003.67"/>
    <n v="-48206.15"/>
    <n v="-68272.649999999994"/>
    <n v="-66436.27"/>
    <n v="-72362.03"/>
    <n v="-75426.710000000006"/>
    <n v="-64417.62"/>
    <n v="-77582.240000000005"/>
    <n v="-83147.8"/>
    <n v="-62138.45"/>
    <n v="-80513.83"/>
    <n v="-827681.64"/>
    <n v="18375.380000000005"/>
  </r>
  <r>
    <x v="19"/>
    <x v="3"/>
    <x v="0"/>
    <s v="4810101"/>
    <n v="400020"/>
    <s v="O/P Care Svcs Rev--Managed Care"/>
    <s v="Radiology - Diagnostic"/>
    <x v="0"/>
    <n v="1400"/>
    <n v="-224434.33"/>
    <n v="-237175.04000000001"/>
    <n v="-226883.86"/>
    <n v="-258903.16"/>
    <n v="-219965.24"/>
    <n v="-218727.23"/>
    <n v="-248127.71"/>
    <n v="-200722.28"/>
    <n v="-265020.84999999998"/>
    <n v="-289780.40999999997"/>
    <n v="-282570.84999999998"/>
    <n v="-249424.71"/>
    <n v="-2921735.67"/>
    <n v="-33146.139999999985"/>
  </r>
  <r>
    <x v="19"/>
    <x v="3"/>
    <x v="0"/>
    <s v="4810101"/>
    <n v="400020"/>
    <s v="O/P Care Svcs Rev--Self Pay"/>
    <s v="Radiology - Diagnostic"/>
    <x v="0"/>
    <n v="1500"/>
    <n v="-59503.97"/>
    <n v="-57438.07"/>
    <n v="-74017.23"/>
    <n v="-46161.69"/>
    <n v="-47468.58"/>
    <n v="-30623.65"/>
    <n v="-41379.83"/>
    <n v="-53804.46"/>
    <n v="-52948.63"/>
    <n v="-38286.43"/>
    <n v="-34999.99"/>
    <n v="-63378.04"/>
    <n v="-600010.57000000018"/>
    <n v="28378.050000000003"/>
  </r>
  <r>
    <x v="19"/>
    <x v="3"/>
    <x v="0"/>
    <s v="4810101"/>
    <n v="400020"/>
    <s v="O/P Care Svcs Rev--Other"/>
    <s v="Radiology - Diagnostic"/>
    <x v="0"/>
    <n v="1700"/>
    <n v="-81954.95"/>
    <n v="-77714.490000000005"/>
    <n v="-93813.38"/>
    <n v="-77475.59"/>
    <n v="-95154.95"/>
    <n v="-83706.13"/>
    <n v="-85039.39"/>
    <n v="-66768.210000000006"/>
    <n v="-94736.54"/>
    <n v="-70299.199999999997"/>
    <n v="-79790.58"/>
    <n v="-82998.59"/>
    <n v="-989451.99999999988"/>
    <n v="3208.0099999999948"/>
  </r>
  <r>
    <x v="14"/>
    <x v="3"/>
    <x v="0"/>
    <s v="4810101"/>
    <n v="600060"/>
    <s v="Gain/Loss--Sale of Fixed Assets"/>
    <s v="Radiology - Diagnostic"/>
    <x v="0"/>
    <m/>
    <n v="0"/>
    <n v="0"/>
    <n v="0"/>
    <n v="0"/>
    <n v="0"/>
    <n v="0"/>
    <n v="0"/>
    <n v="0"/>
    <n v="0"/>
    <n v="0"/>
    <n v="0"/>
    <n v="-28878.5"/>
    <n v="-28878.5"/>
    <n v="28878.5"/>
  </r>
  <r>
    <x v="5"/>
    <x v="3"/>
    <x v="0"/>
    <s v="4810101"/>
    <n v="700018"/>
    <s v="Salaries-Supervisory-Productive"/>
    <s v="Radiology - Diagnostic"/>
    <x v="0"/>
    <m/>
    <n v="0"/>
    <n v="0"/>
    <n v="0"/>
    <n v="0"/>
    <n v="7832.79"/>
    <n v="2727.37"/>
    <n v="9180.8700000000008"/>
    <n v="7176.35"/>
    <n v="8512.8700000000008"/>
    <n v="7844.36"/>
    <n v="8767.09"/>
    <n v="4329.32"/>
    <n v="56371.02"/>
    <n v="4437.7700000000004"/>
  </r>
  <r>
    <x v="5"/>
    <x v="3"/>
    <x v="0"/>
    <s v="4810101"/>
    <n v="700032"/>
    <s v="Salaries-Other Pat Care Providers-Productive"/>
    <s v="Radiology - Diagnostic"/>
    <x v="0"/>
    <m/>
    <n v="3103.14"/>
    <n v="3793.32"/>
    <n v="5876.06"/>
    <n v="2224.9499999999998"/>
    <n v="3078.28"/>
    <n v="-443.84"/>
    <n v="0"/>
    <n v="2320.2800000000002"/>
    <n v="1996.31"/>
    <n v="2330.9"/>
    <n v="1141.56"/>
    <n v="2076.16"/>
    <n v="27497.120000000003"/>
    <n v="-934.59999999999991"/>
  </r>
  <r>
    <x v="5"/>
    <x v="3"/>
    <x v="0"/>
    <s v="4810101"/>
    <n v="700032"/>
    <s v="Salaries-Other Pat Care Providers-OT"/>
    <s v="Radiology - Diagnostic"/>
    <x v="0"/>
    <n v="1000"/>
    <n v="318.48"/>
    <n v="794.18"/>
    <n v="183.8"/>
    <n v="-28.31"/>
    <n v="0"/>
    <n v="0"/>
    <n v="0"/>
    <n v="203.2"/>
    <n v="-34.85"/>
    <n v="214.01"/>
    <n v="-89.15"/>
    <n v="83.21"/>
    <n v="1644.57"/>
    <n v="-172.36"/>
  </r>
  <r>
    <x v="5"/>
    <x v="3"/>
    <x v="0"/>
    <s v="4810101"/>
    <n v="700032"/>
    <s v="Salaries-Other Pat Care Providers-Other"/>
    <s v="Radiology - Diagnostic"/>
    <x v="0"/>
    <n v="2000"/>
    <n v="410.38"/>
    <n v="513.61"/>
    <n v="412.77"/>
    <n v="213.97"/>
    <n v="370.1"/>
    <n v="-95.6"/>
    <n v="0"/>
    <n v="253.22"/>
    <n v="168.27"/>
    <n v="216.24"/>
    <n v="133.99"/>
    <n v="81.900000000000006"/>
    <n v="2678.85"/>
    <n v="52.09"/>
  </r>
  <r>
    <x v="5"/>
    <x v="3"/>
    <x v="0"/>
    <s v="4810101"/>
    <n v="700034"/>
    <s v="Salaries-Tech/Professional-Productive"/>
    <s v="Radiology - Diagnostic"/>
    <x v="0"/>
    <m/>
    <n v="109342.65"/>
    <n v="111814.91"/>
    <n v="105908.57"/>
    <n v="118342.25"/>
    <n v="115023.87"/>
    <n v="117175.53"/>
    <n v="113541.64"/>
    <n v="102490.78"/>
    <n v="121318.5"/>
    <n v="112059.04"/>
    <n v="119536.84"/>
    <n v="112153.55"/>
    <n v="1358708.1300000001"/>
    <n v="7383.2899999999936"/>
  </r>
  <r>
    <x v="5"/>
    <x v="3"/>
    <x v="0"/>
    <s v="4810101"/>
    <n v="700034"/>
    <s v="Salaries-Tech/Professional-OT"/>
    <s v="Radiology - Diagnostic"/>
    <x v="0"/>
    <n v="1000"/>
    <n v="3750.69"/>
    <n v="4676.2"/>
    <n v="1601.52"/>
    <n v="590.13"/>
    <n v="3474.12"/>
    <n v="4548.12"/>
    <n v="3484.45"/>
    <n v="2014.65"/>
    <n v="2205.0100000000002"/>
    <n v="2085.2199999999998"/>
    <n v="3111.58"/>
    <n v="2731.87"/>
    <n v="34273.560000000005"/>
    <n v="379.71000000000004"/>
  </r>
  <r>
    <x v="5"/>
    <x v="3"/>
    <x v="0"/>
    <s v="4810101"/>
    <n v="700034"/>
    <s v="Salaries-Tech/Professional-Other"/>
    <s v="Radiology - Diagnostic"/>
    <x v="0"/>
    <n v="2000"/>
    <n v="7218.24"/>
    <n v="6460.56"/>
    <n v="7114.71"/>
    <n v="7108"/>
    <n v="8614.39"/>
    <n v="9395.34"/>
    <n v="8265.51"/>
    <n v="7553.68"/>
    <n v="8248.4500000000007"/>
    <n v="8652.0499999999993"/>
    <n v="8568.84"/>
    <n v="8234.06"/>
    <n v="95433.829999999987"/>
    <n v="334.78000000000065"/>
  </r>
  <r>
    <x v="5"/>
    <x v="3"/>
    <x v="0"/>
    <s v="4810101"/>
    <n v="700058"/>
    <s v="Salaries-Supervisory-Non-productive"/>
    <s v="Radiology - Diagnostic"/>
    <x v="0"/>
    <m/>
    <n v="0"/>
    <n v="0"/>
    <n v="0"/>
    <n v="0"/>
    <n v="0"/>
    <n v="1624.64"/>
    <n v="406.76"/>
    <n v="406.76"/>
    <n v="639.16999999999996"/>
    <n v="174.35"/>
    <n v="784.42"/>
    <n v="-377.66"/>
    <n v="3658.44"/>
    <n v="1162.08"/>
  </r>
  <r>
    <x v="5"/>
    <x v="3"/>
    <x v="0"/>
    <s v="4810101"/>
    <n v="700072"/>
    <s v="Salaries-Other Pat Care Providers-Non-productive"/>
    <s v="Radiology - Diagnostic"/>
    <x v="0"/>
    <m/>
    <n v="0"/>
    <n v="0"/>
    <n v="0"/>
    <n v="192.72"/>
    <n v="156.59"/>
    <n v="0"/>
    <n v="0"/>
    <n v="0"/>
    <n v="0"/>
    <n v="0"/>
    <n v="0"/>
    <n v="0"/>
    <n v="349.31"/>
    <n v="0"/>
  </r>
  <r>
    <x v="5"/>
    <x v="3"/>
    <x v="0"/>
    <s v="4810101"/>
    <n v="700072"/>
    <s v="Salaries-Other Pat Care Providers-NonProd-Other"/>
    <s v="Radiology - Diagnost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4810101"/>
    <n v="700074"/>
    <s v="Salaries-Tech/Professional-Non-productive"/>
    <s v="Radiology - Diagnostic"/>
    <x v="0"/>
    <m/>
    <n v="15258.61"/>
    <n v="10019.31"/>
    <n v="10727.84"/>
    <n v="11108.2"/>
    <n v="13841.25"/>
    <n v="22327.74"/>
    <n v="23331.02"/>
    <n v="15242.2"/>
    <n v="8867.9500000000007"/>
    <n v="21217.09"/>
    <n v="14600.03"/>
    <n v="16547.2"/>
    <n v="183088.44"/>
    <n v="-1947.17"/>
  </r>
  <r>
    <x v="5"/>
    <x v="3"/>
    <x v="0"/>
    <s v="4810101"/>
    <n v="700074"/>
    <s v="Salaries-Tech/Professional-NonProd-Other"/>
    <s v="Radiology - Diagnostic"/>
    <x v="0"/>
    <n v="2000"/>
    <n v="342.51"/>
    <n v="543.91999999999996"/>
    <n v="454.89"/>
    <n v="392.09"/>
    <n v="1223.3800000000001"/>
    <n v="1523.65"/>
    <n v="607.65"/>
    <n v="-65.91"/>
    <n v="600.79"/>
    <n v="669.73"/>
    <n v="756.92"/>
    <n v="602.08000000000004"/>
    <n v="7651.7000000000007"/>
    <n v="154.83999999999992"/>
  </r>
  <r>
    <x v="5"/>
    <x v="3"/>
    <x v="0"/>
    <s v="4810101"/>
    <n v="700084"/>
    <s v="Accrued PTO"/>
    <s v="Radiology - Diagnostic"/>
    <x v="0"/>
    <m/>
    <n v="-125.78"/>
    <n v="5315.13"/>
    <n v="1743.15"/>
    <n v="6869.63"/>
    <n v="1222.77"/>
    <n v="2496.67"/>
    <n v="-6824.96"/>
    <n v="-2414.12"/>
    <n v="2907.3"/>
    <n v="-1928.48"/>
    <n v="-1049.1600000000001"/>
    <n v="1213.68"/>
    <n v="9425.8300000000017"/>
    <n v="-2262.84"/>
  </r>
  <r>
    <x v="10"/>
    <x v="3"/>
    <x v="0"/>
    <s v="4810101"/>
    <n v="710060"/>
    <s v="Contract Labor-Other"/>
    <s v="Radiology - Diagnostic"/>
    <x v="0"/>
    <m/>
    <n v="0"/>
    <n v="0"/>
    <n v="0"/>
    <n v="0"/>
    <n v="0"/>
    <n v="0"/>
    <n v="0"/>
    <n v="0"/>
    <n v="0"/>
    <n v="0"/>
    <n v="11290.5"/>
    <n v="-11290.5"/>
    <n v="0"/>
    <n v="22581"/>
  </r>
  <r>
    <x v="10"/>
    <x v="3"/>
    <x v="0"/>
    <s v="4810101"/>
    <n v="710060"/>
    <s v="Contract Labor-Overtime"/>
    <s v="Radiology - Diagnostic"/>
    <x v="0"/>
    <n v="5100"/>
    <n v="0"/>
    <n v="0"/>
    <n v="0"/>
    <n v="0"/>
    <n v="0"/>
    <n v="0"/>
    <n v="0"/>
    <n v="0"/>
    <n v="0"/>
    <n v="0"/>
    <n v="263.24"/>
    <n v="-263.24"/>
    <n v="0"/>
    <n v="526.48"/>
  </r>
  <r>
    <x v="6"/>
    <x v="3"/>
    <x v="0"/>
    <s v="4810101"/>
    <n v="713010"/>
    <s v="Benefits-FICA/Medicare"/>
    <s v="Radiology - Diagnostic"/>
    <x v="0"/>
    <m/>
    <n v="10442.77"/>
    <n v="10347.370000000001"/>
    <n v="9869.64"/>
    <n v="10386.24"/>
    <n v="11664.15"/>
    <n v="12427.36"/>
    <n v="12009.33"/>
    <n v="10305.209999999999"/>
    <n v="11361.73"/>
    <n v="11579.35"/>
    <n v="11753.63"/>
    <n v="11073.8"/>
    <n v="133220.58000000002"/>
    <n v="679.82999999999993"/>
  </r>
  <r>
    <x v="6"/>
    <x v="3"/>
    <x v="0"/>
    <s v="4810101"/>
    <n v="713090"/>
    <s v="Benefits-Allocated Amounts"/>
    <s v="Radiology - Diagnostic"/>
    <x v="0"/>
    <m/>
    <n v="30838.31"/>
    <n v="28285.57"/>
    <n v="29972.14"/>
    <n v="30705.98"/>
    <n v="33723.230000000003"/>
    <n v="33543.440000000002"/>
    <n v="35417.78"/>
    <n v="33432.89"/>
    <n v="28289.22"/>
    <n v="35093.839999999997"/>
    <n v="36350.49"/>
    <n v="33559.629999999997"/>
    <n v="389212.52"/>
    <n v="2790.8600000000006"/>
  </r>
  <r>
    <x v="7"/>
    <x v="3"/>
    <x v="0"/>
    <s v="4810101"/>
    <n v="718050"/>
    <s v="Miscellaneous Purchased Svcs"/>
    <s v="Radiology - Diagnostic"/>
    <x v="0"/>
    <n v="1020"/>
    <n v="0"/>
    <n v="0"/>
    <n v="0"/>
    <n v="0"/>
    <n v="0"/>
    <n v="0"/>
    <n v="0"/>
    <n v="0"/>
    <n v="859.2"/>
    <n v="0"/>
    <n v="0"/>
    <n v="0"/>
    <n v="859.2"/>
    <n v="0"/>
  </r>
  <r>
    <x v="7"/>
    <x v="3"/>
    <x v="0"/>
    <s v="4810101"/>
    <n v="718050"/>
    <s v="Translation Services"/>
    <s v="Radiology - Diagnostic"/>
    <x v="0"/>
    <n v="1025"/>
    <n v="0"/>
    <n v="140.03"/>
    <n v="27.54"/>
    <n v="250.27"/>
    <n v="0"/>
    <n v="32"/>
    <n v="0"/>
    <n v="32"/>
    <n v="48"/>
    <n v="0"/>
    <n v="22.91"/>
    <n v="0"/>
    <n v="552.75"/>
    <n v="22.91"/>
  </r>
  <r>
    <x v="7"/>
    <x v="3"/>
    <x v="0"/>
    <s v="4810101"/>
    <n v="718050"/>
    <s v="Contract Management--Linen"/>
    <s v="Radiology - Diagnostic"/>
    <x v="0"/>
    <n v="1026"/>
    <n v="851.41"/>
    <n v="834.37"/>
    <n v="825.56"/>
    <n v="650.48"/>
    <n v="768.32"/>
    <n v="735.34"/>
    <n v="796.47"/>
    <n v="2015.13"/>
    <n v="610.41999999999996"/>
    <n v="920.82"/>
    <n v="871.46"/>
    <n v="693.4"/>
    <n v="10573.180000000002"/>
    <n v="178.06000000000006"/>
  </r>
  <r>
    <x v="7"/>
    <x v="3"/>
    <x v="0"/>
    <s v="4810101"/>
    <n v="718070"/>
    <s v="Contract Srvcs-CHI Clinical Engineering"/>
    <s v="Radiology - Diagnostic"/>
    <x v="0"/>
    <m/>
    <n v="11442.95"/>
    <n v="11333.14"/>
    <n v="11333.14"/>
    <n v="10570.17"/>
    <n v="11732.9"/>
    <n v="10917.21"/>
    <n v="11535.59"/>
    <n v="11150.88"/>
    <n v="10595.38"/>
    <n v="11535.6"/>
    <n v="10600.68"/>
    <n v="10837.24"/>
    <n v="133584.88"/>
    <n v="-236.55999999999949"/>
  </r>
  <r>
    <x v="11"/>
    <x v="3"/>
    <x v="0"/>
    <s v="4810101"/>
    <n v="721010"/>
    <s v="Supplies-Medical - Billable"/>
    <s v="Radiology - Diagnostic"/>
    <x v="0"/>
    <m/>
    <n v="1242.45"/>
    <n v="416.4"/>
    <n v="1168.51"/>
    <n v="1423.01"/>
    <n v="742.14"/>
    <n v="501.81"/>
    <n v="2653.49"/>
    <n v="270.95"/>
    <n v="1061.28"/>
    <n v="436.27"/>
    <n v="431.2"/>
    <n v="2059.79"/>
    <n v="12407.300000000003"/>
    <n v="-1628.59"/>
  </r>
  <r>
    <x v="11"/>
    <x v="3"/>
    <x v="0"/>
    <s v="4810101"/>
    <n v="721010"/>
    <s v="Patient Monitoring"/>
    <s v="Radiology - Diagnostic"/>
    <x v="0"/>
    <n v="1000"/>
    <n v="72.94"/>
    <n v="0"/>
    <n v="0"/>
    <n v="0"/>
    <n v="0"/>
    <n v="0"/>
    <n v="0"/>
    <n v="0"/>
    <n v="0"/>
    <n v="0"/>
    <n v="73.38"/>
    <n v="0"/>
    <n v="146.32"/>
    <n v="73.38"/>
  </r>
  <r>
    <x v="11"/>
    <x v="3"/>
    <x v="0"/>
    <s v="4810101"/>
    <n v="721020"/>
    <s v="Custom Packs"/>
    <s v="Radiology - Diagnostic"/>
    <x v="0"/>
    <n v="1000"/>
    <n v="0"/>
    <n v="0"/>
    <n v="0"/>
    <n v="22.11"/>
    <n v="0"/>
    <n v="0"/>
    <n v="0"/>
    <n v="0"/>
    <n v="0"/>
    <n v="0"/>
    <n v="0"/>
    <n v="0"/>
    <n v="22.11"/>
    <n v="0"/>
  </r>
  <r>
    <x v="11"/>
    <x v="3"/>
    <x v="0"/>
    <s v="4810101"/>
    <n v="721020"/>
    <s v="Tubes Drains &amp; Related Supplies"/>
    <s v="Radiology - Diagnostic"/>
    <x v="0"/>
    <n v="1008"/>
    <n v="0"/>
    <n v="0"/>
    <n v="0"/>
    <n v="0"/>
    <n v="0"/>
    <n v="0"/>
    <n v="0"/>
    <n v="0"/>
    <n v="0"/>
    <n v="0"/>
    <n v="13.43"/>
    <n v="0"/>
    <n v="13.43"/>
    <n v="13.43"/>
  </r>
  <r>
    <x v="11"/>
    <x v="3"/>
    <x v="0"/>
    <s v="4810101"/>
    <n v="721050"/>
    <s v="Supplies-Cardiac Rhythm - Billable"/>
    <s v="Radiology - Diagnostic"/>
    <x v="0"/>
    <m/>
    <n v="748.13"/>
    <n v="2494.79"/>
    <n v="32.1"/>
    <n v="477.85"/>
    <n v="39.5"/>
    <n v="557"/>
    <n v="723.36"/>
    <n v="0"/>
    <n v="364.13"/>
    <n v="912.26"/>
    <n v="250.75"/>
    <n v="0"/>
    <n v="6599.87"/>
    <n v="250.75"/>
  </r>
  <r>
    <x v="11"/>
    <x v="3"/>
    <x v="0"/>
    <s v="4810101"/>
    <n v="721240"/>
    <s v="Supplies-IV Solutions/Supplies - Billable"/>
    <s v="Radiology - Diagnostic"/>
    <x v="0"/>
    <m/>
    <n v="0"/>
    <n v="0"/>
    <n v="0"/>
    <n v="0"/>
    <n v="0"/>
    <n v="5.85"/>
    <n v="0"/>
    <n v="0"/>
    <n v="0"/>
    <n v="0"/>
    <n v="0"/>
    <n v="210"/>
    <n v="215.85"/>
    <n v="-210"/>
  </r>
  <r>
    <x v="11"/>
    <x v="3"/>
    <x v="0"/>
    <s v="4810101"/>
    <n v="721250"/>
    <s v="Supplies-Pharmacy Drugs - Billable"/>
    <s v="Radiology - Diagnostic"/>
    <x v="0"/>
    <m/>
    <n v="590.89"/>
    <n v="604.14"/>
    <n v="273.72000000000003"/>
    <n v="326.32"/>
    <n v="833.82"/>
    <n v="913.61"/>
    <n v="517.92999999999995"/>
    <n v="666.3"/>
    <n v="192.5"/>
    <n v="530.39"/>
    <n v="278.76"/>
    <n v="1164.19"/>
    <n v="6892.57"/>
    <n v="-885.43000000000006"/>
  </r>
  <r>
    <x v="11"/>
    <x v="3"/>
    <x v="0"/>
    <s v="4810101"/>
    <n v="721350"/>
    <s v="Radiology Imaging - Contrast Media"/>
    <s v="Radiology - Diagnostic"/>
    <x v="0"/>
    <n v="1000"/>
    <n v="242.85"/>
    <n v="367.69"/>
    <n v="123.51"/>
    <n v="553.78"/>
    <n v="508.31"/>
    <n v="75.430000000000007"/>
    <n v="634.97"/>
    <n v="609.79999999999995"/>
    <n v="108.07"/>
    <n v="398.04"/>
    <n v="455.77"/>
    <n v="296.77999999999997"/>
    <n v="4375"/>
    <n v="158.99"/>
  </r>
  <r>
    <x v="11"/>
    <x v="3"/>
    <x v="0"/>
    <s v="4810101"/>
    <n v="721410"/>
    <s v="Supplies-Medical - Nonbillable"/>
    <s v="Radiology - Diagnostic"/>
    <x v="0"/>
    <m/>
    <n v="628.54"/>
    <n v="338.49"/>
    <n v="264.67"/>
    <n v="2561.6999999999998"/>
    <n v="2165.2199999999998"/>
    <n v="2082.29"/>
    <n v="249.81"/>
    <n v="2013.67"/>
    <n v="2085.83"/>
    <n v="15383.23"/>
    <n v="3222.5"/>
    <n v="2443.89"/>
    <n v="33439.839999999997"/>
    <n v="778.61000000000013"/>
  </r>
  <r>
    <x v="11"/>
    <x v="3"/>
    <x v="0"/>
    <s v="4810101"/>
    <n v="721420"/>
    <s v="Supplies-Surgical Nonbillable"/>
    <s v="Radiology - Diagnostic"/>
    <x v="0"/>
    <m/>
    <n v="35.67"/>
    <n v="4.08"/>
    <n v="5.44"/>
    <n v="13.9"/>
    <n v="6.12"/>
    <n v="4.76"/>
    <n v="3.4"/>
    <n v="3.4"/>
    <n v="8.84"/>
    <n v="7.66"/>
    <n v="9.02"/>
    <n v="5.78"/>
    <n v="108.07000000000001"/>
    <n v="3.2399999999999993"/>
  </r>
  <r>
    <x v="11"/>
    <x v="3"/>
    <x v="0"/>
    <s v="4810101"/>
    <n v="721420"/>
    <s v="Tubes Drains &amp; Related Supplies"/>
    <s v="Radiology - Diagnostic"/>
    <x v="0"/>
    <n v="1008"/>
    <n v="12.05"/>
    <n v="0"/>
    <n v="12.05"/>
    <n v="24.1"/>
    <n v="12.05"/>
    <n v="21.09"/>
    <n v="13.72"/>
    <n v="0"/>
    <n v="19.579999999999998"/>
    <n v="0"/>
    <n v="29.21"/>
    <n v="19.579999999999998"/>
    <n v="163.43"/>
    <n v="9.6300000000000026"/>
  </r>
  <r>
    <x v="11"/>
    <x v="3"/>
    <x v="0"/>
    <s v="4810101"/>
    <n v="721610"/>
    <s v="Supplies-Anesthesia - Nonbillable"/>
    <s v="Radiology - Diagnostic"/>
    <x v="0"/>
    <m/>
    <n v="8.82"/>
    <n v="4.92"/>
    <n v="2.41"/>
    <n v="0.6"/>
    <n v="9.34"/>
    <n v="1.1100000000000001"/>
    <n v="0.74"/>
    <n v="0.56000000000000005"/>
    <n v="0.37"/>
    <n v="1.1200000000000001"/>
    <n v="15.85"/>
    <n v="0.74"/>
    <n v="46.58"/>
    <n v="15.11"/>
  </r>
  <r>
    <x v="11"/>
    <x v="3"/>
    <x v="0"/>
    <s v="4810101"/>
    <n v="721640"/>
    <s v="Supplies-IV Solutions/Supplies - Nonbillable"/>
    <s v="Radiology - Diagnostic"/>
    <x v="0"/>
    <m/>
    <n v="48.43"/>
    <n v="15.4"/>
    <n v="12.9"/>
    <n v="23.05"/>
    <n v="12"/>
    <n v="9.9"/>
    <n v="29.46"/>
    <n v="14.2"/>
    <n v="7.15"/>
    <n v="19.2"/>
    <n v="7.15"/>
    <n v="24.2"/>
    <n v="223.04"/>
    <n v="-17.049999999999997"/>
  </r>
  <r>
    <x v="11"/>
    <x v="3"/>
    <x v="0"/>
    <s v="4810101"/>
    <n v="721650"/>
    <s v="Supplies-Pharmacy Drugs - Nonbillable"/>
    <s v="Radiology - Diagnostic"/>
    <x v="0"/>
    <m/>
    <n v="0"/>
    <n v="0"/>
    <n v="26.43"/>
    <n v="0"/>
    <n v="0"/>
    <n v="0"/>
    <n v="0"/>
    <n v="0"/>
    <n v="0"/>
    <n v="0"/>
    <n v="0"/>
    <n v="0"/>
    <n v="26.43"/>
    <n v="0"/>
  </r>
  <r>
    <x v="11"/>
    <x v="3"/>
    <x v="0"/>
    <s v="4810101"/>
    <n v="721710"/>
    <s v="Supplies-Laboratory - Nonbillable"/>
    <s v="Radiology - Diagnostic"/>
    <x v="0"/>
    <m/>
    <n v="0"/>
    <n v="5.8"/>
    <n v="10.7"/>
    <n v="0"/>
    <n v="0"/>
    <n v="53.5"/>
    <n v="8.07"/>
    <n v="0"/>
    <n v="15.6"/>
    <n v="0"/>
    <n v="0"/>
    <n v="0"/>
    <n v="93.669999999999987"/>
    <n v="0"/>
  </r>
  <r>
    <x v="11"/>
    <x v="3"/>
    <x v="0"/>
    <s v="4810101"/>
    <n v="721750"/>
    <s v="Supplies-Film/Radiographic - Nonbillable"/>
    <s v="Radiology - Diagnostic"/>
    <x v="0"/>
    <m/>
    <n v="451.96"/>
    <n v="477.83"/>
    <n v="858.78"/>
    <n v="1045.94"/>
    <n v="904.49"/>
    <n v="827.27"/>
    <n v="1840.39"/>
    <n v="-264.64"/>
    <n v="624"/>
    <n v="1139.27"/>
    <n v="452.25"/>
    <n v="1052.81"/>
    <n v="9410.35"/>
    <n v="-600.55999999999995"/>
  </r>
  <r>
    <x v="11"/>
    <x v="3"/>
    <x v="0"/>
    <s v="4810101"/>
    <n v="721810"/>
    <s v="Supplies-Dietary/Cafeteria"/>
    <s v="Radiology - Diagnostic"/>
    <x v="0"/>
    <m/>
    <n v="415.48"/>
    <n v="24.53"/>
    <n v="44.56"/>
    <n v="280.38"/>
    <n v="111.84"/>
    <n v="96.36"/>
    <n v="476.41"/>
    <n v="105.72"/>
    <n v="44.56"/>
    <n v="22.28"/>
    <n v="44.56"/>
    <n v="88.69"/>
    <n v="1755.3700000000001"/>
    <n v="-44.129999999999995"/>
  </r>
  <r>
    <x v="11"/>
    <x v="3"/>
    <x v="0"/>
    <s v="4810101"/>
    <n v="721830"/>
    <s v="Supplies-Office"/>
    <s v="Radiology - Diagnostic"/>
    <x v="0"/>
    <m/>
    <n v="0"/>
    <n v="0"/>
    <n v="427.24"/>
    <n v="-158.55000000000001"/>
    <n v="0"/>
    <n v="142.41"/>
    <n v="671.7"/>
    <n v="1288.17"/>
    <n v="434.74"/>
    <n v="648"/>
    <n v="0"/>
    <n v="0"/>
    <n v="3453.71"/>
    <n v="0"/>
  </r>
  <r>
    <x v="11"/>
    <x v="3"/>
    <x v="0"/>
    <s v="4810101"/>
    <n v="721870"/>
    <s v="Supplies-Environmental Services"/>
    <s v="Radiology - Diagnostic"/>
    <x v="0"/>
    <m/>
    <n v="149.05000000000001"/>
    <n v="76.55"/>
    <n v="81.489999999999995"/>
    <n v="132.61000000000001"/>
    <n v="48.01"/>
    <n v="124.22"/>
    <n v="75.55"/>
    <n v="62.63"/>
    <n v="58.06"/>
    <n v="71.19"/>
    <n v="83.87"/>
    <n v="61.36"/>
    <n v="1024.5900000000001"/>
    <n v="22.510000000000005"/>
  </r>
  <r>
    <x v="11"/>
    <x v="3"/>
    <x v="0"/>
    <s v="4810101"/>
    <n v="721880"/>
    <s v="Supplies-Linen"/>
    <s v="Radiology - Diagnostic"/>
    <x v="0"/>
    <m/>
    <n v="48.15"/>
    <n v="19.260000000000002"/>
    <n v="64.2"/>
    <n v="0"/>
    <n v="0"/>
    <n v="0"/>
    <n v="12.84"/>
    <n v="0"/>
    <n v="0"/>
    <n v="0"/>
    <n v="0"/>
    <n v="0"/>
    <n v="144.45000000000002"/>
    <n v="0"/>
  </r>
  <r>
    <x v="11"/>
    <x v="3"/>
    <x v="0"/>
    <s v="4810101"/>
    <n v="721910"/>
    <s v="Supplies-Small Equipment"/>
    <s v="Radiology - Diagnostic"/>
    <x v="0"/>
    <m/>
    <n v="0"/>
    <n v="269.83999999999997"/>
    <n v="81"/>
    <n v="12.39"/>
    <n v="391.85"/>
    <n v="8.16"/>
    <n v="0"/>
    <n v="1534.79"/>
    <n v="1.5"/>
    <n v="1330.53"/>
    <n v="325.44"/>
    <n v="7.2"/>
    <n v="3962.6999999999994"/>
    <n v="318.24"/>
  </r>
  <r>
    <x v="11"/>
    <x v="3"/>
    <x v="0"/>
    <s v="4810101"/>
    <n v="721910"/>
    <s v="Instruments"/>
    <s v="Radiology - Diagnostic"/>
    <x v="0"/>
    <n v="1000"/>
    <n v="1.47"/>
    <n v="0"/>
    <n v="2.2000000000000002"/>
    <n v="0"/>
    <n v="0"/>
    <n v="0"/>
    <n v="1.47"/>
    <n v="1.38"/>
    <n v="0.77"/>
    <n v="0"/>
    <n v="0"/>
    <n v="0"/>
    <n v="7.2899999999999991"/>
    <n v="0"/>
  </r>
  <r>
    <x v="11"/>
    <x v="3"/>
    <x v="0"/>
    <s v="4810101"/>
    <n v="721980"/>
    <s v="Supplies-Other"/>
    <s v="Radiology - Diagnostic"/>
    <x v="0"/>
    <m/>
    <n v="0"/>
    <n v="677.16"/>
    <n v="21.4"/>
    <n v="1702.65"/>
    <n v="339.11"/>
    <n v="0"/>
    <n v="410.34"/>
    <n v="0"/>
    <n v="1297.46"/>
    <n v="14.87"/>
    <n v="63.86"/>
    <n v="46.01"/>
    <n v="4572.8600000000006"/>
    <n v="17.850000000000001"/>
  </r>
  <r>
    <x v="11"/>
    <x v="3"/>
    <x v="0"/>
    <s v="4810101"/>
    <n v="722000"/>
    <s v="Supplies-Freight Expense"/>
    <s v="Radiology - Diagnostic"/>
    <x v="0"/>
    <m/>
    <n v="0"/>
    <n v="208.45"/>
    <n v="0"/>
    <n v="119"/>
    <n v="10.28"/>
    <n v="0"/>
    <n v="7.99"/>
    <n v="8.23"/>
    <n v="32.74"/>
    <n v="54.17"/>
    <n v="8.26"/>
    <n v="71.010000000000005"/>
    <n v="520.13"/>
    <n v="-62.750000000000007"/>
  </r>
  <r>
    <x v="11"/>
    <x v="3"/>
    <x v="0"/>
    <s v="4810101"/>
    <n v="723000"/>
    <s v="Supply Rebates/Patronage Dividend"/>
    <s v="Radiology - Diagnostic"/>
    <x v="0"/>
    <m/>
    <n v="0"/>
    <n v="0"/>
    <n v="-1638.31"/>
    <n v="0"/>
    <n v="0"/>
    <n v="-2294.9299999999998"/>
    <n v="0"/>
    <n v="0"/>
    <n v="-5352.18"/>
    <n v="0"/>
    <n v="0"/>
    <n v="-2458.87"/>
    <n v="-11744.29"/>
    <n v="2458.87"/>
  </r>
  <r>
    <x v="12"/>
    <x v="3"/>
    <x v="0"/>
    <s v="4810101"/>
    <n v="730020"/>
    <s v="Rental and Leases-Copier Usage Fees (DO NOT USE)"/>
    <s v="Radiology - Diagnostic"/>
    <x v="0"/>
    <n v="5100"/>
    <n v="414.7"/>
    <n v="425"/>
    <n v="419.85"/>
    <n v="419.85"/>
    <n v="419.85"/>
    <n v="419.85"/>
    <n v="31.34"/>
    <n v="347.28"/>
    <n v="346.55"/>
    <n v="387.08"/>
    <n v="347.28"/>
    <n v="399.18"/>
    <n v="4377.8100000000004"/>
    <n v="-51.900000000000034"/>
  </r>
  <r>
    <x v="15"/>
    <x v="3"/>
    <x v="0"/>
    <s v="4810101"/>
    <n v="731060"/>
    <s v="Pagers"/>
    <s v="Radiology - Diagnostic"/>
    <x v="0"/>
    <n v="1002"/>
    <n v="78.61"/>
    <n v="93.72"/>
    <n v="86.71"/>
    <n v="86.91"/>
    <n v="86.91"/>
    <n v="0"/>
    <n v="187.12"/>
    <n v="74.290000000000006"/>
    <n v="74.290000000000006"/>
    <n v="74.290000000000006"/>
    <n v="74.290000000000006"/>
    <n v="74.290000000000006"/>
    <n v="991.42999999999972"/>
    <n v="0"/>
  </r>
  <r>
    <x v="16"/>
    <x v="3"/>
    <x v="0"/>
    <s v="4810101"/>
    <n v="733030"/>
    <s v="Maintenance Contracts-Other"/>
    <s v="Radiology - Diagnostic"/>
    <x v="0"/>
    <m/>
    <n v="0"/>
    <n v="0"/>
    <n v="0"/>
    <n v="0"/>
    <n v="0"/>
    <n v="0"/>
    <n v="0"/>
    <n v="0"/>
    <n v="0"/>
    <n v="0"/>
    <n v="0"/>
    <n v="0"/>
    <n v="0"/>
    <n v="0"/>
  </r>
  <r>
    <x v="13"/>
    <x v="3"/>
    <x v="0"/>
    <s v="4810101"/>
    <n v="735060"/>
    <s v="Depreciation-Fixed Equipment"/>
    <s v="Radiology - Diagnostic"/>
    <x v="0"/>
    <m/>
    <n v="101.11"/>
    <n v="101.11"/>
    <n v="101.11"/>
    <n v="101.11"/>
    <n v="101.11"/>
    <n v="101.11"/>
    <n v="101.11"/>
    <n v="101.1"/>
    <n v="101.11"/>
    <n v="101.1"/>
    <n v="101.11"/>
    <n v="101.1"/>
    <n v="1213.29"/>
    <n v="1.0000000000005116E-2"/>
  </r>
  <r>
    <x v="13"/>
    <x v="3"/>
    <x v="0"/>
    <s v="4810101"/>
    <n v="735070"/>
    <s v="Depreciation-Movable Equipment"/>
    <s v="Radiology - Diagnostic"/>
    <x v="0"/>
    <m/>
    <n v="13490.62"/>
    <n v="18884.650000000001"/>
    <n v="18884.68"/>
    <n v="10463.89"/>
    <n v="16077.77"/>
    <n v="16077.72"/>
    <n v="16077.78"/>
    <n v="16077.71"/>
    <n v="16077.8"/>
    <n v="15973.85"/>
    <n v="15560.92"/>
    <n v="15560.81"/>
    <n v="189208.2"/>
    <n v="0.11000000000058208"/>
  </r>
  <r>
    <x v="0"/>
    <x v="3"/>
    <x v="0"/>
    <s v="4810101"/>
    <n v="749510"/>
    <s v="Miscellaneous Expenses"/>
    <s v="Radiology - Diagnostic"/>
    <x v="0"/>
    <m/>
    <n v="0"/>
    <n v="684"/>
    <n v="11.11"/>
    <n v="229.38"/>
    <n v="0"/>
    <n v="0"/>
    <n v="0"/>
    <n v="0"/>
    <n v="0"/>
    <n v="0"/>
    <n v="0"/>
    <n v="0"/>
    <n v="924.49"/>
    <n v="0"/>
  </r>
  <r>
    <x v="0"/>
    <x v="3"/>
    <x v="0"/>
    <s v="4810101"/>
    <n v="749510"/>
    <s v="Licenses"/>
    <s v="Radiology - Diagnostic"/>
    <x v="0"/>
    <n v="1002"/>
    <n v="0"/>
    <n v="0"/>
    <n v="5720"/>
    <n v="0"/>
    <n v="0"/>
    <n v="0"/>
    <n v="0"/>
    <n v="0"/>
    <n v="0"/>
    <n v="0"/>
    <n v="0"/>
    <n v="0"/>
    <n v="5720"/>
    <n v="0"/>
  </r>
  <r>
    <x v="18"/>
    <x v="0"/>
    <x v="0"/>
    <s v="4810102"/>
    <n v="400010"/>
    <s v="Acute I/P Svcs Rev--Medicare"/>
    <s v="Radiology - Diagnostic"/>
    <x v="0"/>
    <n v="1100"/>
    <n v="-269847.12"/>
    <n v="-280151.15000000002"/>
    <n v="-286794.61"/>
    <n v="-355379.21"/>
    <n v="-303013.92"/>
    <n v="-338362.19"/>
    <n v="-327515.12"/>
    <n v="-274062.17"/>
    <n v="-338887.41"/>
    <n v="-361459.32"/>
    <n v="-283188.32"/>
    <n v="-237848.66"/>
    <n v="-3656509.1999999997"/>
    <n v="-45339.66"/>
  </r>
  <r>
    <x v="18"/>
    <x v="0"/>
    <x v="0"/>
    <s v="4810102"/>
    <n v="400010"/>
    <s v="Acute I/P Svcs Rev--Medicaid"/>
    <s v="Radiology - Diagnostic"/>
    <x v="0"/>
    <n v="1200"/>
    <n v="-101110.17"/>
    <n v="-113009.75"/>
    <n v="-79030.720000000001"/>
    <n v="-103403.13"/>
    <n v="-82451.44"/>
    <n v="-93936.79"/>
    <n v="-92471.86"/>
    <n v="-87595.78"/>
    <n v="-92095.2"/>
    <n v="-106950.99"/>
    <n v="-123471.98"/>
    <n v="-111855.94"/>
    <n v="-1187383.75"/>
    <n v="-11616.039999999994"/>
  </r>
  <r>
    <x v="18"/>
    <x v="0"/>
    <x v="0"/>
    <s v="4810102"/>
    <n v="400010"/>
    <s v="Acute I/P Svcs Rev--Comm Insurance"/>
    <s v="Radiology - Diagnostic"/>
    <x v="0"/>
    <n v="1300"/>
    <n v="-4212.99"/>
    <n v="6059.38"/>
    <n v="-10293.450000000001"/>
    <n v="3769.23"/>
    <n v="-8973.19"/>
    <n v="-4586.3"/>
    <n v="-4525.12"/>
    <n v="-7794.9"/>
    <n v="-7488.05"/>
    <n v="-7840.27"/>
    <n v="-8014.08"/>
    <n v="-10274.74"/>
    <n v="-64174.48"/>
    <n v="2260.66"/>
  </r>
  <r>
    <x v="18"/>
    <x v="0"/>
    <x v="0"/>
    <s v="4810102"/>
    <n v="400010"/>
    <s v="Acute I/P Svcs Rev--BCBS Comm"/>
    <s v="Radiology - Diagnostic"/>
    <x v="0"/>
    <n v="1301"/>
    <n v="-30123.67"/>
    <n v="-25334.799999999999"/>
    <n v="-25111.66"/>
    <n v="-26602.92"/>
    <n v="-30034.77"/>
    <n v="-31463.61"/>
    <n v="-29160.639999999999"/>
    <n v="-24323.919999999998"/>
    <n v="-26795.61"/>
    <n v="-17781.14"/>
    <n v="-27646.07"/>
    <n v="-41831.49"/>
    <n v="-336210.3"/>
    <n v="14185.419999999998"/>
  </r>
  <r>
    <x v="18"/>
    <x v="0"/>
    <x v="0"/>
    <s v="4810102"/>
    <n v="400010"/>
    <s v="Acute I/P Svcs Rev--Managed Care"/>
    <s v="Radiology - Diagnostic"/>
    <x v="0"/>
    <n v="1400"/>
    <n v="-93278.86"/>
    <n v="-105347.04"/>
    <n v="-58160.3"/>
    <n v="-89759.039999999994"/>
    <n v="-82321.27"/>
    <n v="-90637.68"/>
    <n v="-96378.13"/>
    <n v="-77124.83"/>
    <n v="-88815.55"/>
    <n v="-76162.38"/>
    <n v="-86996.34"/>
    <n v="-57158.12"/>
    <n v="-1002139.54"/>
    <n v="-29838.219999999994"/>
  </r>
  <r>
    <x v="18"/>
    <x v="0"/>
    <x v="0"/>
    <s v="4810102"/>
    <n v="400010"/>
    <s v="Acute I/P Svcs Rev--Self Pay"/>
    <s v="Radiology - Diagnostic"/>
    <x v="0"/>
    <n v="1500"/>
    <n v="-15965.3"/>
    <n v="-19736.439999999999"/>
    <n v="-5216.16"/>
    <n v="8222.6"/>
    <n v="-14902.42"/>
    <n v="-9832.32"/>
    <n v="-21559.01"/>
    <n v="-6972.87"/>
    <n v="-12912.38"/>
    <n v="-19729.87"/>
    <n v="-10235.07"/>
    <n v="-1736.3"/>
    <n v="-130575.54"/>
    <n v="-8498.77"/>
  </r>
  <r>
    <x v="18"/>
    <x v="0"/>
    <x v="0"/>
    <s v="4810102"/>
    <n v="400010"/>
    <s v="Acute I/P Svcs Rev--Other"/>
    <s v="Radiology - Diagnostic"/>
    <x v="0"/>
    <n v="1700"/>
    <n v="-10938.08"/>
    <n v="-16778.86"/>
    <n v="-11172.16"/>
    <n v="-9527.39"/>
    <n v="1491.27"/>
    <n v="-18816.72"/>
    <n v="-5686.93"/>
    <n v="-12574"/>
    <n v="-7861.68"/>
    <n v="-17529.849999999999"/>
    <n v="-5990.69"/>
    <n v="-19380.689999999999"/>
    <n v="-134765.78"/>
    <n v="13390"/>
  </r>
  <r>
    <x v="19"/>
    <x v="0"/>
    <x v="0"/>
    <s v="4810102"/>
    <n v="400020"/>
    <s v="O/P Care Svcs Rev--Medicare"/>
    <s v="Radiology - Diagnostic"/>
    <x v="0"/>
    <n v="1100"/>
    <n v="-401328.14"/>
    <n v="-487383.94"/>
    <n v="-427598.93"/>
    <n v="-412515.73"/>
    <n v="-466195.43"/>
    <n v="-408547.67"/>
    <n v="-451606.27"/>
    <n v="-407061.81"/>
    <n v="-509581.27"/>
    <n v="-464238.67"/>
    <n v="-470371.8"/>
    <n v="-473491.15"/>
    <n v="-5379920.8100000005"/>
    <n v="3119.3500000000349"/>
  </r>
  <r>
    <x v="19"/>
    <x v="0"/>
    <x v="0"/>
    <s v="4810102"/>
    <n v="400020"/>
    <s v="O/P Care Svcs Rev--Medicaid"/>
    <s v="Radiology - Diagnostic"/>
    <x v="0"/>
    <n v="1200"/>
    <n v="-433103.39"/>
    <n v="-421988"/>
    <n v="-384577.14"/>
    <n v="-462193.36"/>
    <n v="-433487.52"/>
    <n v="-416580.41"/>
    <n v="-477997.42"/>
    <n v="-434722.49"/>
    <n v="-459001.54"/>
    <n v="-410771.83"/>
    <n v="-442389.54"/>
    <n v="-366766.15"/>
    <n v="-5143578.790000001"/>
    <n v="-75623.389999999956"/>
  </r>
  <r>
    <x v="19"/>
    <x v="0"/>
    <x v="0"/>
    <s v="4810102"/>
    <n v="400020"/>
    <s v="O/P Care Svcs Rev--Comm Insurance"/>
    <s v="Radiology - Diagnostic"/>
    <x v="0"/>
    <n v="1300"/>
    <n v="-95970.78"/>
    <n v="-31393.63"/>
    <n v="-7105.49"/>
    <n v="-46197.52"/>
    <n v="-37858.400000000001"/>
    <n v="-83319.23"/>
    <n v="-36297.360000000001"/>
    <n v="-43958"/>
    <n v="-63935.14"/>
    <n v="-38590.699999999997"/>
    <n v="-62573.599999999999"/>
    <n v="-49985.9"/>
    <n v="-597185.75"/>
    <n v="-12587.699999999997"/>
  </r>
  <r>
    <x v="19"/>
    <x v="0"/>
    <x v="0"/>
    <s v="4810102"/>
    <n v="400020"/>
    <s v="O/P Care Svcs Rev--BCBS Comm"/>
    <s v="Radiology - Diagnostic"/>
    <x v="0"/>
    <n v="1301"/>
    <n v="-69614.03"/>
    <n v="-96008.3"/>
    <n v="-90176.37"/>
    <n v="-97749.17"/>
    <n v="-87292.04"/>
    <n v="-82517.42"/>
    <n v="-88827.72"/>
    <n v="-98942.15"/>
    <n v="-126016.38"/>
    <n v="-84970.96"/>
    <n v="-109434.78"/>
    <n v="-99396.86"/>
    <n v="-1130946.18"/>
    <n v="-10037.919999999998"/>
  </r>
  <r>
    <x v="19"/>
    <x v="0"/>
    <x v="0"/>
    <s v="4810102"/>
    <n v="400020"/>
    <s v="O/P Care Svcs Rev--Managed Care"/>
    <s v="Radiology - Diagnostic"/>
    <x v="0"/>
    <n v="1400"/>
    <n v="-275994.15000000002"/>
    <n v="-273999.86"/>
    <n v="-248183.1"/>
    <n v="-249368.85"/>
    <n v="-276019.20000000001"/>
    <n v="-244294.27"/>
    <n v="-289639.36"/>
    <n v="-222715.43"/>
    <n v="-278122.11"/>
    <n v="-303526.73"/>
    <n v="-296002.07"/>
    <n v="-248700.11"/>
    <n v="-3206565.2399999998"/>
    <n v="-47301.960000000021"/>
  </r>
  <r>
    <x v="19"/>
    <x v="0"/>
    <x v="0"/>
    <s v="4810102"/>
    <n v="400020"/>
    <s v="O/P Care Svcs Rev--Self Pay"/>
    <s v="Radiology - Diagnostic"/>
    <x v="0"/>
    <n v="1500"/>
    <n v="-78455.56"/>
    <n v="-83367.97"/>
    <n v="-98853.62"/>
    <n v="-95274.880000000005"/>
    <n v="-106392.71"/>
    <n v="-73391.27"/>
    <n v="-79591.070000000007"/>
    <n v="-68813.83"/>
    <n v="-107080.18"/>
    <n v="-82941.3"/>
    <n v="-94971.32"/>
    <n v="-53778.28"/>
    <n v="-1022911.9900000002"/>
    <n v="-41193.040000000008"/>
  </r>
  <r>
    <x v="19"/>
    <x v="0"/>
    <x v="0"/>
    <s v="4810102"/>
    <n v="400020"/>
    <s v="O/P Care Svcs Rev--Other"/>
    <s v="Radiology - Diagnostic"/>
    <x v="0"/>
    <n v="1700"/>
    <n v="-59490.59"/>
    <n v="-68371.89"/>
    <n v="-63948"/>
    <n v="-60390.03"/>
    <n v="-56179.72"/>
    <n v="-57622.01"/>
    <n v="-69614.64"/>
    <n v="-42616.87"/>
    <n v="-66961"/>
    <n v="-44083.14"/>
    <n v="-43261.1"/>
    <n v="-46429.84"/>
    <n v="-678968.83"/>
    <n v="3168.739999999998"/>
  </r>
  <r>
    <x v="5"/>
    <x v="0"/>
    <x v="0"/>
    <s v="4810102"/>
    <n v="700018"/>
    <s v="Salaries-Supervisory-Productive"/>
    <s v="Radiology - Diagnostic"/>
    <x v="0"/>
    <m/>
    <n v="9381.1200000000008"/>
    <n v="7747.41"/>
    <n v="8171.09"/>
    <n v="7076.83"/>
    <n v="-1051.45"/>
    <n v="0"/>
    <n v="0"/>
    <n v="0"/>
    <n v="0"/>
    <n v="0"/>
    <n v="0"/>
    <n v="0"/>
    <n v="31324.999999999996"/>
    <n v="0"/>
  </r>
  <r>
    <x v="5"/>
    <x v="0"/>
    <x v="0"/>
    <s v="4810102"/>
    <n v="700032"/>
    <s v="Salaries-Other Pat Care Providers-Productive"/>
    <s v="Radiology - Diagnostic"/>
    <x v="0"/>
    <m/>
    <n v="935.77"/>
    <n v="1191.7"/>
    <n v="2505.34"/>
    <n v="2664.49"/>
    <n v="-912.36"/>
    <n v="0"/>
    <n v="0"/>
    <n v="0"/>
    <n v="0"/>
    <n v="1785.93"/>
    <n v="-347.29"/>
    <n v="1581.69"/>
    <n v="9405.27"/>
    <n v="-1928.98"/>
  </r>
  <r>
    <x v="5"/>
    <x v="0"/>
    <x v="0"/>
    <s v="4810102"/>
    <n v="700032"/>
    <s v="Salaries-Other Pat Care Providers-OT"/>
    <s v="Radiology - Diagnostic"/>
    <x v="0"/>
    <n v="1000"/>
    <n v="0"/>
    <n v="0"/>
    <n v="536.42999999999995"/>
    <n v="744.36"/>
    <n v="-220.22"/>
    <n v="0"/>
    <n v="0"/>
    <n v="0"/>
    <n v="0"/>
    <n v="31.86"/>
    <n v="-13.27"/>
    <n v="0"/>
    <n v="1079.1599999999999"/>
    <n v="-13.27"/>
  </r>
  <r>
    <x v="5"/>
    <x v="0"/>
    <x v="0"/>
    <s v="4810102"/>
    <n v="700032"/>
    <s v="Salaries-Other Pat Care Providers-Other"/>
    <s v="Radiology - Diagnostic"/>
    <x v="0"/>
    <n v="2000"/>
    <n v="90.8"/>
    <n v="141.55000000000001"/>
    <n v="248.46"/>
    <n v="335.7"/>
    <n v="-105.83"/>
    <n v="0"/>
    <n v="0"/>
    <n v="0"/>
    <n v="0"/>
    <n v="170.06"/>
    <n v="-34.979999999999997"/>
    <n v="110.68"/>
    <n v="956.44"/>
    <n v="-145.66"/>
  </r>
  <r>
    <x v="5"/>
    <x v="0"/>
    <x v="0"/>
    <s v="4810102"/>
    <n v="700034"/>
    <s v="Salaries-Tech/Professional-Productive"/>
    <s v="Radiology - Diagnostic"/>
    <x v="0"/>
    <m/>
    <n v="62615.49"/>
    <n v="62975.88"/>
    <n v="66289.78"/>
    <n v="71335.08"/>
    <n v="77152.36"/>
    <n v="75565.179999999993"/>
    <n v="75012.850000000006"/>
    <n v="67170.64"/>
    <n v="74459.78"/>
    <n v="67445.33"/>
    <n v="67668.2"/>
    <n v="66634.16"/>
    <n v="834324.73"/>
    <n v="1034.0399999999936"/>
  </r>
  <r>
    <x v="5"/>
    <x v="0"/>
    <x v="0"/>
    <s v="4810102"/>
    <n v="700034"/>
    <s v="Salaries-Tech/Professional-OT"/>
    <s v="Radiology - Diagnostic"/>
    <x v="0"/>
    <n v="1000"/>
    <n v="1497.25"/>
    <n v="337.96"/>
    <n v="731.35"/>
    <n v="258.24"/>
    <n v="855.17"/>
    <n v="2201.2199999999998"/>
    <n v="2314.86"/>
    <n v="3685.29"/>
    <n v="2939.08"/>
    <n v="3023.43"/>
    <n v="465.64"/>
    <n v="2944.73"/>
    <n v="21254.219999999998"/>
    <n v="-2479.09"/>
  </r>
  <r>
    <x v="5"/>
    <x v="0"/>
    <x v="0"/>
    <s v="4810102"/>
    <n v="700034"/>
    <s v="Salaries-Tech/Professional-Other"/>
    <s v="Radiology - Diagnostic"/>
    <x v="0"/>
    <n v="2000"/>
    <n v="6009.9"/>
    <n v="6484.01"/>
    <n v="5352.96"/>
    <n v="5269.43"/>
    <n v="6415.36"/>
    <n v="5929.83"/>
    <n v="5165.1899999999996"/>
    <n v="4429.07"/>
    <n v="7046.75"/>
    <n v="6486.58"/>
    <n v="6404.07"/>
    <n v="5206.67"/>
    <n v="70199.820000000007"/>
    <n v="1197.3999999999996"/>
  </r>
  <r>
    <x v="5"/>
    <x v="0"/>
    <x v="0"/>
    <s v="4810102"/>
    <n v="700054"/>
    <s v="Salaries-Management-NonProd-Other"/>
    <s v="Radiology - Diagnostic"/>
    <x v="0"/>
    <n v="2000"/>
    <n v="0"/>
    <n v="0"/>
    <n v="0"/>
    <n v="0"/>
    <n v="0"/>
    <n v="800.16"/>
    <n v="-800.16"/>
    <n v="0"/>
    <n v="0"/>
    <n v="0"/>
    <n v="0"/>
    <n v="0"/>
    <n v="0"/>
    <n v="0"/>
  </r>
  <r>
    <x v="5"/>
    <x v="0"/>
    <x v="0"/>
    <s v="4810102"/>
    <n v="700058"/>
    <s v="Salaries-Supervisory-Non-productive"/>
    <s v="Radiology - Diagnostic"/>
    <x v="0"/>
    <m/>
    <n v="0"/>
    <n v="1634.13"/>
    <n v="907.95"/>
    <n v="2467.5700000000002"/>
    <n v="-340.05"/>
    <n v="1483.81"/>
    <n v="-185.41"/>
    <n v="0"/>
    <n v="0"/>
    <n v="0"/>
    <n v="0"/>
    <n v="0"/>
    <n v="5968"/>
    <n v="0"/>
  </r>
  <r>
    <x v="5"/>
    <x v="0"/>
    <x v="0"/>
    <s v="4810102"/>
    <n v="700072"/>
    <s v="Salaries-Other Pat Care Providers-NonProd-Other"/>
    <s v="Radiology - Diagnostic"/>
    <x v="0"/>
    <n v="2000"/>
    <n v="0"/>
    <n v="0"/>
    <n v="46.03"/>
    <n v="-16.73"/>
    <n v="0"/>
    <n v="0"/>
    <n v="0"/>
    <n v="0"/>
    <n v="0"/>
    <n v="0"/>
    <n v="0"/>
    <n v="0"/>
    <n v="29.3"/>
    <n v="0"/>
  </r>
  <r>
    <x v="5"/>
    <x v="0"/>
    <x v="0"/>
    <s v="4810102"/>
    <n v="700074"/>
    <s v="Salaries-Tech/Professional-Non-productive"/>
    <s v="Radiology - Diagnostic"/>
    <x v="0"/>
    <m/>
    <n v="20671.34"/>
    <n v="24188.6"/>
    <n v="16197.57"/>
    <n v="10018.93"/>
    <n v="4006.62"/>
    <n v="16695.34"/>
    <n v="9141.7099999999991"/>
    <n v="7935.11"/>
    <n v="11913.86"/>
    <n v="7656.15"/>
    <n v="5913.82"/>
    <n v="8288.91"/>
    <n v="142627.96"/>
    <n v="-2375.09"/>
  </r>
  <r>
    <x v="5"/>
    <x v="0"/>
    <x v="0"/>
    <s v="4810102"/>
    <n v="700074"/>
    <s v="Salaries-Tech/Professional-NonProd-Other"/>
    <s v="Radiology - Diagnostic"/>
    <x v="0"/>
    <n v="2000"/>
    <n v="1559.11"/>
    <n v="937.49"/>
    <n v="783.48"/>
    <n v="212.95"/>
    <n v="430.8"/>
    <n v="724.99"/>
    <n v="449.49"/>
    <n v="-161.21"/>
    <n v="730.98"/>
    <n v="460.49"/>
    <n v="231.27"/>
    <n v="378.04"/>
    <n v="6737.88"/>
    <n v="-146.77000000000001"/>
  </r>
  <r>
    <x v="5"/>
    <x v="0"/>
    <x v="0"/>
    <s v="4810102"/>
    <n v="700084"/>
    <s v="Accrued PTO"/>
    <s v="Radiology - Diagnostic"/>
    <x v="0"/>
    <m/>
    <n v="-2852.55"/>
    <n v="-9884.2800000000007"/>
    <n v="-7183.8"/>
    <n v="894.3"/>
    <n v="4505.3900000000003"/>
    <n v="-1956.78"/>
    <n v="307.87"/>
    <n v="391.39"/>
    <n v="4836.59"/>
    <n v="3788.92"/>
    <n v="4695.6099999999997"/>
    <n v="1633.38"/>
    <n v="-823.96000000000095"/>
    <n v="3062.2299999999996"/>
  </r>
  <r>
    <x v="10"/>
    <x v="0"/>
    <x v="0"/>
    <s v="4810102"/>
    <n v="710060"/>
    <s v="Contract Labor-Other"/>
    <s v="Radiology - Diagnostic"/>
    <x v="0"/>
    <m/>
    <n v="1868.17"/>
    <n v="27186.86"/>
    <n v="19320.86"/>
    <n v="11700.68"/>
    <n v="2622"/>
    <n v="0"/>
    <n v="0"/>
    <n v="0"/>
    <n v="0"/>
    <n v="0"/>
    <n v="0"/>
    <n v="0"/>
    <n v="62698.57"/>
    <n v="0"/>
  </r>
  <r>
    <x v="10"/>
    <x v="0"/>
    <x v="0"/>
    <s v="4810102"/>
    <n v="710060"/>
    <s v="Contract Labor-Overtime"/>
    <s v="Radiology - Diagnostic"/>
    <x v="0"/>
    <n v="5100"/>
    <n v="0"/>
    <n v="420.33"/>
    <n v="0"/>
    <n v="0"/>
    <n v="0"/>
    <n v="0"/>
    <n v="0"/>
    <n v="0"/>
    <n v="0"/>
    <n v="0"/>
    <n v="0"/>
    <n v="0"/>
    <n v="420.33"/>
    <n v="0"/>
  </r>
  <r>
    <x v="6"/>
    <x v="0"/>
    <x v="0"/>
    <s v="4810102"/>
    <n v="713010"/>
    <s v="Benefits-FICA/Medicare"/>
    <s v="Radiology - Diagnostic"/>
    <x v="0"/>
    <m/>
    <n v="7640.23"/>
    <n v="7848.98"/>
    <n v="7552.69"/>
    <n v="7440.6"/>
    <n v="6525.72"/>
    <n v="7706.57"/>
    <n v="6866.04"/>
    <n v="6394.82"/>
    <n v="7527.14"/>
    <n v="6434.91"/>
    <n v="5966.91"/>
    <n v="6329.05"/>
    <n v="84233.66"/>
    <n v="-362.14000000000033"/>
  </r>
  <r>
    <x v="6"/>
    <x v="0"/>
    <x v="0"/>
    <s v="4810102"/>
    <n v="713090"/>
    <s v="Benefits-Allocated Amounts"/>
    <s v="Radiology - Diagnostic"/>
    <x v="0"/>
    <m/>
    <n v="19326.310000000001"/>
    <n v="17966.669999999998"/>
    <n v="18910.650000000001"/>
    <n v="18105.830000000002"/>
    <n v="15934.25"/>
    <n v="18644.09"/>
    <n v="17825.099999999999"/>
    <n v="17168.13"/>
    <n v="17814.36"/>
    <n v="17582.23"/>
    <n v="15838.56"/>
    <n v="17329.580000000002"/>
    <n v="212445.76"/>
    <n v="-1491.0200000000023"/>
  </r>
  <r>
    <x v="7"/>
    <x v="0"/>
    <x v="0"/>
    <s v="4810102"/>
    <n v="718050"/>
    <s v="Miscellaneous Purchased Svcs"/>
    <s v="Radiology - Diagnostic"/>
    <x v="0"/>
    <n v="1020"/>
    <n v="0"/>
    <n v="367"/>
    <n v="2024.37"/>
    <n v="89.14"/>
    <n v="1036"/>
    <n v="551.54999999999995"/>
    <n v="0"/>
    <n v="379"/>
    <n v="356.43"/>
    <n v="1714.93"/>
    <n v="506"/>
    <n v="4230"/>
    <n v="11254.42"/>
    <n v="-3724"/>
  </r>
  <r>
    <x v="7"/>
    <x v="0"/>
    <x v="0"/>
    <s v="4810102"/>
    <n v="718050"/>
    <s v="Contract Management--Linen"/>
    <s v="Radiology - Diagnostic"/>
    <x v="0"/>
    <n v="1026"/>
    <n v="3020.98"/>
    <n v="2317.6"/>
    <n v="2597.83"/>
    <n v="2958.27"/>
    <n v="3285.93"/>
    <n v="2851.94"/>
    <n v="3240.4"/>
    <n v="3380.55"/>
    <n v="3461.82"/>
    <n v="3599.92"/>
    <n v="889.54"/>
    <n v="4776.7"/>
    <n v="36381.479999999996"/>
    <n v="-3887.16"/>
  </r>
  <r>
    <x v="7"/>
    <x v="0"/>
    <x v="0"/>
    <s v="4810102"/>
    <n v="718070"/>
    <s v="Contract Srvcs-CHI Clinical Engineering"/>
    <s v="Radiology - Diagnostic"/>
    <x v="0"/>
    <m/>
    <n v="8188.93"/>
    <n v="8188.93"/>
    <n v="8188.93"/>
    <n v="9388.93"/>
    <n v="9388.93"/>
    <n v="9210.58"/>
    <n v="9567.2800000000007"/>
    <n v="9210.58"/>
    <n v="9567.2800000000007"/>
    <n v="9388.93"/>
    <n v="9388.93"/>
    <n v="9388.93"/>
    <n v="109067.15999999997"/>
    <n v="0"/>
  </r>
  <r>
    <x v="11"/>
    <x v="0"/>
    <x v="0"/>
    <s v="4810102"/>
    <n v="721010"/>
    <s v="Supplies-Medical - Billable"/>
    <s v="Radiology - Diagnostic"/>
    <x v="0"/>
    <m/>
    <n v="200.06"/>
    <n v="312.77999999999997"/>
    <n v="242.25"/>
    <n v="314.43"/>
    <n v="192.53"/>
    <n v="261.81"/>
    <n v="271"/>
    <n v="160.77000000000001"/>
    <n v="203.77"/>
    <n v="259.13"/>
    <n v="554.91"/>
    <n v="271.52999999999997"/>
    <n v="3244.9700000000003"/>
    <n v="283.38"/>
  </r>
  <r>
    <x v="11"/>
    <x v="0"/>
    <x v="0"/>
    <s v="4810102"/>
    <n v="721010"/>
    <s v="Patient Monitoring"/>
    <s v="Radiology - Diagnostic"/>
    <x v="0"/>
    <n v="1000"/>
    <n v="12.72"/>
    <n v="0"/>
    <n v="0"/>
    <n v="63.6"/>
    <n v="0"/>
    <n v="0"/>
    <n v="0"/>
    <n v="12.72"/>
    <n v="15.9"/>
    <n v="283.83999999999997"/>
    <n v="13.05"/>
    <n v="13.22"/>
    <n v="415.05"/>
    <n v="-0.16999999999999993"/>
  </r>
  <r>
    <x v="11"/>
    <x v="0"/>
    <x v="0"/>
    <s v="4810102"/>
    <n v="721020"/>
    <s v="Supplies-Surgical - Billable"/>
    <s v="Radiology - Diagnostic"/>
    <x v="0"/>
    <m/>
    <n v="13"/>
    <n v="6.5"/>
    <n v="0"/>
    <n v="6.5"/>
    <n v="13"/>
    <n v="0"/>
    <n v="0"/>
    <n v="0"/>
    <n v="6.5"/>
    <n v="19.5"/>
    <n v="13"/>
    <n v="6.5"/>
    <n v="84.5"/>
    <n v="6.5"/>
  </r>
  <r>
    <x v="11"/>
    <x v="0"/>
    <x v="0"/>
    <s v="4810102"/>
    <n v="721020"/>
    <s v="Tubes Drains &amp; Related Supplies"/>
    <s v="Radiology - Diagnostic"/>
    <x v="0"/>
    <n v="1008"/>
    <n v="0"/>
    <n v="0"/>
    <n v="0"/>
    <n v="0"/>
    <n v="0"/>
    <n v="27.58"/>
    <n v="0"/>
    <n v="0"/>
    <n v="0"/>
    <n v="0"/>
    <n v="0"/>
    <n v="0"/>
    <n v="27.58"/>
    <n v="0"/>
  </r>
  <r>
    <x v="11"/>
    <x v="0"/>
    <x v="0"/>
    <s v="4810102"/>
    <n v="721050"/>
    <s v="Supplies-Cardiac Rhythm - Billable"/>
    <s v="Radiology - Diagnostic"/>
    <x v="0"/>
    <m/>
    <n v="0"/>
    <n v="0"/>
    <n v="0"/>
    <n v="395"/>
    <n v="39.5"/>
    <n v="0"/>
    <n v="0"/>
    <n v="0"/>
    <n v="0"/>
    <n v="0"/>
    <n v="0"/>
    <n v="0"/>
    <n v="434.5"/>
    <n v="0"/>
  </r>
  <r>
    <x v="11"/>
    <x v="0"/>
    <x v="0"/>
    <s v="4810102"/>
    <n v="721240"/>
    <s v="Supplies-IV Solutions/Supplies - Billable"/>
    <s v="Radiology - Diagnostic"/>
    <x v="0"/>
    <m/>
    <n v="0"/>
    <n v="0"/>
    <n v="267"/>
    <n v="356"/>
    <n v="273.72000000000003"/>
    <n v="267"/>
    <n v="178"/>
    <n v="178"/>
    <n v="369.84"/>
    <n v="356"/>
    <n v="178"/>
    <n v="267"/>
    <n v="2690.56"/>
    <n v="-89"/>
  </r>
  <r>
    <x v="11"/>
    <x v="0"/>
    <x v="0"/>
    <s v="4810102"/>
    <n v="721250"/>
    <s v="Supplies-Pharmacy Drugs - Billable"/>
    <s v="Radiology - Diagnostic"/>
    <x v="0"/>
    <m/>
    <n v="277.16000000000003"/>
    <n v="1167.29"/>
    <n v="392.99"/>
    <n v="1170.54"/>
    <n v="468.1"/>
    <n v="516.29"/>
    <n v="0"/>
    <n v="589.42999999999995"/>
    <n v="1259.78"/>
    <n v="453.17"/>
    <n v="269.32"/>
    <n v="328.83"/>
    <n v="6892.9"/>
    <n v="-59.509999999999991"/>
  </r>
  <r>
    <x v="11"/>
    <x v="0"/>
    <x v="0"/>
    <s v="4810102"/>
    <n v="721350"/>
    <s v="Radiology Imaging - Contrast Media"/>
    <s v="Radiology - Diagnostic"/>
    <x v="0"/>
    <n v="1000"/>
    <n v="165.75"/>
    <n v="162.30000000000001"/>
    <n v="174.92"/>
    <n v="394.35"/>
    <n v="551.6"/>
    <n v="148.34"/>
    <n v="388.51"/>
    <n v="66.28"/>
    <n v="192.4"/>
    <n v="82.64"/>
    <n v="157.93"/>
    <n v="1103.99"/>
    <n v="3589.01"/>
    <n v="-946.06"/>
  </r>
  <r>
    <x v="11"/>
    <x v="0"/>
    <x v="0"/>
    <s v="4810102"/>
    <n v="721410"/>
    <s v="Supplies-Medical - Nonbillable"/>
    <s v="Radiology - Diagnostic"/>
    <x v="0"/>
    <m/>
    <n v="457.77"/>
    <n v="607.20000000000005"/>
    <n v="553.04999999999995"/>
    <n v="679.13"/>
    <n v="478.4"/>
    <n v="898.29"/>
    <n v="622.75"/>
    <n v="586.98"/>
    <n v="548.48"/>
    <n v="5202.76"/>
    <n v="-132.52000000000001"/>
    <n v="1159.8"/>
    <n v="11662.089999999998"/>
    <n v="-1292.32"/>
  </r>
  <r>
    <x v="11"/>
    <x v="0"/>
    <x v="0"/>
    <s v="4810102"/>
    <n v="721420"/>
    <s v="Supplies-Surgical Nonbillable"/>
    <s v="Radiology - Diagnostic"/>
    <x v="0"/>
    <m/>
    <n v="253.31"/>
    <n v="541.38"/>
    <n v="419.12"/>
    <n v="730.62"/>
    <n v="12.71"/>
    <n v="563.98"/>
    <n v="15.68"/>
    <n v="577.80999999999995"/>
    <n v="913.33"/>
    <n v="3.14"/>
    <n v="902.98"/>
    <n v="14.32"/>
    <n v="4948.3799999999992"/>
    <n v="888.66"/>
  </r>
  <r>
    <x v="11"/>
    <x v="0"/>
    <x v="0"/>
    <s v="4810102"/>
    <n v="721610"/>
    <s v="Supplies-Anesthesia - Nonbillable"/>
    <s v="Radiology - Diagnostic"/>
    <x v="0"/>
    <m/>
    <n v="7.93"/>
    <n v="2.2200000000000002"/>
    <n v="2.2200000000000002"/>
    <n v="9.33"/>
    <n v="5.41"/>
    <n v="2.04"/>
    <n v="6.89"/>
    <n v="8.65"/>
    <n v="1.1100000000000001"/>
    <n v="2.2200000000000002"/>
    <n v="2.2200000000000002"/>
    <n v="5.96"/>
    <n v="56.199999999999996"/>
    <n v="-3.7399999999999998"/>
  </r>
  <r>
    <x v="11"/>
    <x v="0"/>
    <x v="0"/>
    <s v="4810102"/>
    <n v="721640"/>
    <s v="Supplies-IV Solutions/Supplies - Nonbillable"/>
    <s v="Radiology - Diagnostic"/>
    <x v="0"/>
    <m/>
    <n v="14.98"/>
    <n v="13.45"/>
    <n v="10.7"/>
    <n v="2.75"/>
    <n v="0"/>
    <n v="42.6"/>
    <n v="51.77"/>
    <n v="83.22"/>
    <n v="49.92"/>
    <n v="22.67"/>
    <n v="26.41"/>
    <n v="10.7"/>
    <n v="329.17"/>
    <n v="15.71"/>
  </r>
  <r>
    <x v="11"/>
    <x v="0"/>
    <x v="0"/>
    <s v="4810102"/>
    <n v="721650"/>
    <s v="Supplies-Pharmacy Drugs - Nonbillable"/>
    <s v="Radiology - Diagnostic"/>
    <x v="0"/>
    <m/>
    <n v="0"/>
    <n v="0"/>
    <n v="4.01"/>
    <n v="0"/>
    <n v="6.01"/>
    <n v="3.34"/>
    <n v="0"/>
    <n v="0"/>
    <n v="0"/>
    <n v="0"/>
    <n v="0"/>
    <n v="0"/>
    <n v="13.36"/>
    <n v="0"/>
  </r>
  <r>
    <x v="11"/>
    <x v="0"/>
    <x v="0"/>
    <s v="4810102"/>
    <n v="721710"/>
    <s v="Supplies-Laboratory - Nonbillable"/>
    <s v="Radiology - Diagnostic"/>
    <x v="0"/>
    <m/>
    <n v="0"/>
    <n v="0"/>
    <n v="0"/>
    <n v="0"/>
    <n v="0"/>
    <n v="15.87"/>
    <n v="16.25"/>
    <n v="0"/>
    <n v="7.8"/>
    <n v="7.8"/>
    <n v="0"/>
    <n v="0"/>
    <n v="47.719999999999992"/>
    <n v="0"/>
  </r>
  <r>
    <x v="11"/>
    <x v="0"/>
    <x v="0"/>
    <s v="4810102"/>
    <n v="721750"/>
    <s v="Supplies-Film/Radiographic - Nonbillable"/>
    <s v="Radiology - Diagnostic"/>
    <x v="0"/>
    <m/>
    <n v="3099.89"/>
    <n v="83.63"/>
    <n v="0"/>
    <n v="235.01"/>
    <n v="602.57000000000005"/>
    <n v="86.75"/>
    <n v="438.05"/>
    <n v="28.82"/>
    <n v="80.150000000000006"/>
    <n v="113.9"/>
    <n v="112.23"/>
    <n v="899.44"/>
    <n v="5780.4399999999987"/>
    <n v="-787.21"/>
  </r>
  <r>
    <x v="11"/>
    <x v="0"/>
    <x v="0"/>
    <s v="4810102"/>
    <n v="721810"/>
    <s v="Supplies-Dietary/Cafeteria"/>
    <s v="Radiology - Diagnostic"/>
    <x v="0"/>
    <m/>
    <n v="72.25"/>
    <n v="88.71"/>
    <n v="64.739999999999995"/>
    <n v="84.1"/>
    <n v="56.25"/>
    <n v="74.73"/>
    <n v="73.83"/>
    <n v="92.8"/>
    <n v="121.08"/>
    <n v="70.17"/>
    <n v="83.07"/>
    <n v="79.72"/>
    <n v="961.45"/>
    <n v="3.3499999999999943"/>
  </r>
  <r>
    <x v="11"/>
    <x v="0"/>
    <x v="0"/>
    <s v="4810102"/>
    <n v="721830"/>
    <s v="Supplies-Office"/>
    <s v="Radiology - Diagnostic"/>
    <x v="0"/>
    <m/>
    <n v="149.16"/>
    <n v="-5.5"/>
    <n v="511.75"/>
    <n v="13.37"/>
    <n v="277.45999999999998"/>
    <n v="91.7"/>
    <n v="-10.45"/>
    <n v="-2.61"/>
    <n v="0"/>
    <n v="220"/>
    <n v="559.24"/>
    <n v="455.76"/>
    <n v="2259.88"/>
    <n v="103.48000000000002"/>
  </r>
  <r>
    <x v="11"/>
    <x v="0"/>
    <x v="0"/>
    <s v="4810102"/>
    <n v="721870"/>
    <s v="Supplies-Environmental Services"/>
    <s v="Radiology - Diagnostic"/>
    <x v="0"/>
    <m/>
    <n v="43.76"/>
    <n v="219.39"/>
    <n v="252.74"/>
    <n v="115.25"/>
    <n v="260.67"/>
    <n v="158.25"/>
    <n v="240.85"/>
    <n v="100.7"/>
    <n v="168.29"/>
    <n v="229.06"/>
    <n v="199.5"/>
    <n v="266.63"/>
    <n v="2255.0899999999997"/>
    <n v="-67.13"/>
  </r>
  <r>
    <x v="11"/>
    <x v="0"/>
    <x v="0"/>
    <s v="4810102"/>
    <n v="721910"/>
    <s v="Supplies-Small Equipment"/>
    <s v="Radiology - Diagnostic"/>
    <x v="0"/>
    <m/>
    <n v="18.239999999999998"/>
    <n v="7.44"/>
    <n v="1173.27"/>
    <n v="4.4400000000000004"/>
    <n v="2.04"/>
    <n v="0"/>
    <n v="15.84"/>
    <n v="0"/>
    <n v="9.6"/>
    <n v="9.5"/>
    <n v="12.04"/>
    <n v="1638.2"/>
    <n v="2890.6099999999997"/>
    <n v="-1626.16"/>
  </r>
  <r>
    <x v="11"/>
    <x v="0"/>
    <x v="0"/>
    <s v="4810102"/>
    <n v="721910"/>
    <s v="Instruments"/>
    <s v="Radiology - Diagnostic"/>
    <x v="0"/>
    <n v="1000"/>
    <n v="3.27"/>
    <n v="2.93"/>
    <n v="13.08"/>
    <n v="3.27"/>
    <n v="13.08"/>
    <n v="18.87"/>
    <n v="0"/>
    <n v="0"/>
    <n v="0.73"/>
    <n v="14.97"/>
    <n v="6.89"/>
    <n v="0"/>
    <n v="77.09"/>
    <n v="6.89"/>
  </r>
  <r>
    <x v="11"/>
    <x v="0"/>
    <x v="0"/>
    <s v="4810102"/>
    <n v="721980"/>
    <s v="Supplies-Other"/>
    <s v="Radiology - Diagnostic"/>
    <x v="0"/>
    <m/>
    <n v="0"/>
    <n v="0"/>
    <n v="0"/>
    <n v="-1496.89"/>
    <n v="0"/>
    <n v="0"/>
    <n v="0"/>
    <n v="0"/>
    <n v="0"/>
    <n v="0"/>
    <n v="0"/>
    <n v="0"/>
    <n v="-1496.89"/>
    <n v="0"/>
  </r>
  <r>
    <x v="11"/>
    <x v="0"/>
    <x v="0"/>
    <s v="4810102"/>
    <n v="722000"/>
    <s v="Supplies-Freight Expense"/>
    <s v="Radiology - Diagnostic"/>
    <x v="0"/>
    <m/>
    <n v="0"/>
    <n v="38.5"/>
    <n v="0"/>
    <n v="196.06"/>
    <n v="16.39"/>
    <n v="0"/>
    <n v="13.11"/>
    <n v="0"/>
    <n v="0"/>
    <n v="0"/>
    <n v="22.09"/>
    <n v="77"/>
    <n v="363.15"/>
    <n v="-54.91"/>
  </r>
  <r>
    <x v="11"/>
    <x v="0"/>
    <x v="0"/>
    <s v="4810102"/>
    <n v="723000"/>
    <s v="Supply Rebates/Patronage Dividend"/>
    <s v="Radiology - Diagnostic"/>
    <x v="0"/>
    <m/>
    <n v="0"/>
    <n v="0"/>
    <n v="-1809.4"/>
    <n v="0"/>
    <n v="0"/>
    <n v="-2501.0500000000002"/>
    <n v="0"/>
    <n v="0"/>
    <n v="-2326.44"/>
    <n v="0"/>
    <n v="0"/>
    <n v="-1099.0899999999999"/>
    <n v="-7735.9800000000014"/>
    <n v="1099.0899999999999"/>
  </r>
  <r>
    <x v="12"/>
    <x v="0"/>
    <x v="0"/>
    <s v="4810102"/>
    <n v="730020"/>
    <s v="Rental and Leases-Copier Usage Fees (DO NOT USE)"/>
    <s v="Radiology - Diagnostic"/>
    <x v="0"/>
    <n v="5100"/>
    <n v="81.08"/>
    <n v="81.010000000000005"/>
    <n v="81.040000000000006"/>
    <n v="81.040000000000006"/>
    <n v="81.040000000000006"/>
    <n v="81.040000000000006"/>
    <n v="-103.83"/>
    <n v="49.62"/>
    <n v="49.51"/>
    <n v="49.73"/>
    <n v="49.62"/>
    <n v="51.94"/>
    <n v="632.84000000000015"/>
    <n v="-2.3200000000000003"/>
  </r>
  <r>
    <x v="15"/>
    <x v="0"/>
    <x v="0"/>
    <s v="4810102"/>
    <n v="731060"/>
    <s v="Pagers"/>
    <s v="Radiology - Diagnostic"/>
    <x v="0"/>
    <n v="1002"/>
    <n v="133.61000000000001"/>
    <n v="68.03"/>
    <n v="40.5"/>
    <n v="40.6"/>
    <n v="40.6"/>
    <n v="0"/>
    <n v="100.61"/>
    <n v="32.479999999999997"/>
    <n v="32.479999999999997"/>
    <n v="32.479999999999997"/>
    <n v="32.479999999999997"/>
    <n v="32.479999999999997"/>
    <n v="586.35000000000014"/>
    <n v="0"/>
  </r>
  <r>
    <x v="13"/>
    <x v="0"/>
    <x v="0"/>
    <s v="4810102"/>
    <n v="735040"/>
    <s v="Depreciation-Building Improvements"/>
    <s v="Radiology - Diagnostic"/>
    <x v="0"/>
    <m/>
    <n v="138.56"/>
    <n v="455.26"/>
    <n v="471.12"/>
    <n v="1116.56"/>
    <n v="1116.57"/>
    <n v="1569.68"/>
    <n v="1497.94"/>
    <n v="1497.93"/>
    <n v="1511.51"/>
    <n v="1558.99"/>
    <n v="4508.28"/>
    <n v="4598.63"/>
    <n v="20041.030000000002"/>
    <n v="-90.350000000000364"/>
  </r>
  <r>
    <x v="13"/>
    <x v="0"/>
    <x v="0"/>
    <s v="4810102"/>
    <n v="735060"/>
    <s v="Depreciation-Fixed Equipment"/>
    <s v="Radiology - Diagnostic"/>
    <x v="0"/>
    <m/>
    <n v="327.54000000000002"/>
    <n v="4166.47"/>
    <n v="4166.4799999999996"/>
    <n v="4166.47"/>
    <n v="4166.4799999999996"/>
    <n v="3062.17"/>
    <n v="2694.15"/>
    <n v="2694.13"/>
    <n v="2694.15"/>
    <n v="2694.13"/>
    <n v="2694.15"/>
    <n v="13660.48"/>
    <n v="47186.8"/>
    <n v="-10966.33"/>
  </r>
  <r>
    <x v="13"/>
    <x v="0"/>
    <x v="0"/>
    <s v="4810102"/>
    <n v="735070"/>
    <s v="Depreciation-Movable Equipment"/>
    <s v="Radiology - Diagnostic"/>
    <x v="0"/>
    <m/>
    <n v="850.46"/>
    <n v="850.45"/>
    <n v="850.46"/>
    <n v="6767.26"/>
    <n v="6767.28"/>
    <n v="6767.25"/>
    <n v="6767.28"/>
    <n v="6767.25"/>
    <n v="6767.29"/>
    <n v="6767.25"/>
    <n v="7882.82"/>
    <n v="7892.77"/>
    <n v="65697.820000000007"/>
    <n v="-9.9500000000007276"/>
  </r>
  <r>
    <x v="0"/>
    <x v="0"/>
    <x v="0"/>
    <s v="4810102"/>
    <n v="749510"/>
    <s v="Licenses"/>
    <s v="Radiology - Diagnostic"/>
    <x v="0"/>
    <n v="1002"/>
    <n v="0"/>
    <n v="0"/>
    <n v="2841"/>
    <n v="0"/>
    <n v="0"/>
    <n v="0"/>
    <n v="0"/>
    <n v="0"/>
    <n v="0"/>
    <n v="0"/>
    <n v="0"/>
    <n v="0"/>
    <n v="2841"/>
    <n v="0"/>
  </r>
  <r>
    <x v="18"/>
    <x v="4"/>
    <x v="0"/>
    <s v="4810103"/>
    <n v="400010"/>
    <s v="Acute I/P Svcs Rev--Medicare"/>
    <s v="Radiology - Diagnostic"/>
    <x v="0"/>
    <n v="1100"/>
    <n v="-272986.39"/>
    <n v="-388229.86"/>
    <n v="-313201.96000000002"/>
    <n v="-412575.92"/>
    <n v="-293072.40999999997"/>
    <n v="-448686.11"/>
    <n v="-403933.36"/>
    <n v="-352579.29"/>
    <n v="-335860.11"/>
    <n v="-438763.1"/>
    <n v="-372625.62"/>
    <n v="-441545.78"/>
    <n v="-4474059.91"/>
    <n v="68920.160000000033"/>
  </r>
  <r>
    <x v="18"/>
    <x v="4"/>
    <x v="0"/>
    <s v="4810103"/>
    <n v="400010"/>
    <s v="Acute I/P Svcs Rev--Medicaid"/>
    <s v="Radiology - Diagnostic"/>
    <x v="0"/>
    <n v="1200"/>
    <n v="-186248.48"/>
    <n v="-96273.600000000006"/>
    <n v="-136038.70000000001"/>
    <n v="-118462.98"/>
    <n v="-107973.08"/>
    <n v="-156013.82999999999"/>
    <n v="-130493.25"/>
    <n v="-160785.78"/>
    <n v="-180800.63"/>
    <n v="-270599.15000000002"/>
    <n v="-121758.72"/>
    <n v="-123808.22"/>
    <n v="-1789256.42"/>
    <n v="2049.5"/>
  </r>
  <r>
    <x v="18"/>
    <x v="4"/>
    <x v="0"/>
    <s v="4810103"/>
    <n v="400010"/>
    <s v="Acute I/P Svcs Rev--Comm Insurance"/>
    <s v="Radiology - Diagnostic"/>
    <x v="0"/>
    <n v="1300"/>
    <n v="-5620.8"/>
    <n v="-6382.22"/>
    <n v="4119.1099999999997"/>
    <n v="-4456.71"/>
    <n v="-40961.53"/>
    <n v="19456.53"/>
    <n v="-5528.03"/>
    <n v="429.85"/>
    <n v="2042.46"/>
    <n v="3380.99"/>
    <n v="-5544.29"/>
    <n v="-5024.1099999999997"/>
    <n v="-44088.750000000007"/>
    <n v="-520.18000000000029"/>
  </r>
  <r>
    <x v="18"/>
    <x v="4"/>
    <x v="0"/>
    <s v="4810103"/>
    <n v="400010"/>
    <s v="Acute I/P Svcs Rev--BCBS Comm"/>
    <s v="Radiology - Diagnostic"/>
    <x v="0"/>
    <n v="1301"/>
    <n v="-9019.49"/>
    <n v="-6482.05"/>
    <n v="-11865.77"/>
    <n v="-13676.32"/>
    <n v="-3338.04"/>
    <n v="-4258.92"/>
    <n v="-19591.63"/>
    <n v="-8766.44"/>
    <n v="-12226.1"/>
    <n v="-13152.05"/>
    <n v="-6469.43"/>
    <n v="-10397.43"/>
    <n v="-119243.67000000001"/>
    <n v="3928"/>
  </r>
  <r>
    <x v="18"/>
    <x v="4"/>
    <x v="0"/>
    <s v="4810103"/>
    <n v="400010"/>
    <s v="Acute I/P Svcs Rev--Managed Care"/>
    <s v="Radiology - Diagnostic"/>
    <x v="0"/>
    <n v="1400"/>
    <n v="-52602.12"/>
    <n v="-31475.19"/>
    <n v="-35239.06"/>
    <n v="-44534.46"/>
    <n v="-26733.13"/>
    <n v="-22508.39"/>
    <n v="-33920.01"/>
    <n v="-44021.95"/>
    <n v="-25853.33"/>
    <n v="-30117.82"/>
    <n v="6169.01"/>
    <n v="-36726.629999999997"/>
    <n v="-377563.08"/>
    <n v="42895.64"/>
  </r>
  <r>
    <x v="18"/>
    <x v="4"/>
    <x v="0"/>
    <s v="4810103"/>
    <n v="400010"/>
    <s v="Acute I/P Svcs Rev--Self Pay"/>
    <s v="Radiology - Diagnostic"/>
    <x v="0"/>
    <n v="1500"/>
    <n v="-6009.18"/>
    <n v="-11350.73"/>
    <n v="-270.69"/>
    <n v="-1064.07"/>
    <n v="-2661.36"/>
    <n v="-5392.8"/>
    <n v="-7707.82"/>
    <n v="-2608.85"/>
    <n v="-10477.200000000001"/>
    <n v="1673.03"/>
    <n v="-7168.54"/>
    <n v="3358.17"/>
    <n v="-49680.04"/>
    <n v="-10526.71"/>
  </r>
  <r>
    <x v="18"/>
    <x v="4"/>
    <x v="0"/>
    <s v="4810103"/>
    <n v="400010"/>
    <s v="Acute I/P Svcs Rev--Other"/>
    <s v="Radiology - Diagnostic"/>
    <x v="0"/>
    <n v="1700"/>
    <n v="-12904.25"/>
    <n v="-13365.64"/>
    <n v="-9703.68"/>
    <n v="-22856.799999999999"/>
    <n v="-6219.06"/>
    <n v="-35649.769999999997"/>
    <n v="-41300.42"/>
    <n v="-27270.639999999999"/>
    <n v="-14780.64"/>
    <n v="-49868.97"/>
    <n v="-43439.93"/>
    <n v="-35323.769999999997"/>
    <n v="-312683.57000000007"/>
    <n v="-8116.1600000000035"/>
  </r>
  <r>
    <x v="19"/>
    <x v="4"/>
    <x v="0"/>
    <s v="4810103"/>
    <n v="400020"/>
    <s v="O/P Care Svcs Rev--Medicare"/>
    <s v="Radiology - Diagnostic"/>
    <x v="0"/>
    <n v="1100"/>
    <n v="-655940.5"/>
    <n v="-914871.78"/>
    <n v="-824303.39"/>
    <n v="-912484.32"/>
    <n v="-784174.04"/>
    <n v="-817293.02"/>
    <n v="-996690.16"/>
    <n v="-824495.47"/>
    <n v="-913125.68"/>
    <n v="-1144973.45"/>
    <n v="-1099048.57"/>
    <n v="-917958.15"/>
    <n v="-10805358.529999999"/>
    <n v="-181090.42000000004"/>
  </r>
  <r>
    <x v="19"/>
    <x v="4"/>
    <x v="0"/>
    <s v="4810103"/>
    <n v="400020"/>
    <s v="O/P Care Svcs Rev--Medicaid"/>
    <s v="Radiology - Diagnostic"/>
    <x v="0"/>
    <n v="1200"/>
    <n v="-613956.09"/>
    <n v="-748712.35"/>
    <n v="-651884.42000000004"/>
    <n v="-752603.55"/>
    <n v="-613182.61"/>
    <n v="-665720.12"/>
    <n v="-764863.23"/>
    <n v="-651214.25"/>
    <n v="-693059.41"/>
    <n v="-783634.55"/>
    <n v="-793231.92"/>
    <n v="-772672.72"/>
    <n v="-8504735.2200000007"/>
    <n v="-20559.20000000007"/>
  </r>
  <r>
    <x v="19"/>
    <x v="4"/>
    <x v="0"/>
    <s v="4810103"/>
    <n v="400020"/>
    <s v="O/P Care Svcs Rev--Comm Insurance"/>
    <s v="Radiology - Diagnostic"/>
    <x v="0"/>
    <n v="1300"/>
    <n v="-69490.240000000005"/>
    <n v="-80430.84"/>
    <n v="-47008.1"/>
    <n v="-49778.25"/>
    <n v="-65121.919999999998"/>
    <n v="-49451.3"/>
    <n v="-103336.95"/>
    <n v="-71708.429999999993"/>
    <n v="-61656.76"/>
    <n v="-109635.82"/>
    <n v="-69949.8"/>
    <n v="-80838.880000000005"/>
    <n v="-858407.29000000015"/>
    <n v="10889.080000000002"/>
  </r>
  <r>
    <x v="19"/>
    <x v="4"/>
    <x v="0"/>
    <s v="4810103"/>
    <n v="400020"/>
    <s v="O/P Care Svcs Rev--BCBS Comm"/>
    <s v="Radiology - Diagnostic"/>
    <x v="0"/>
    <n v="1301"/>
    <n v="-100128.22"/>
    <n v="-97540.22"/>
    <n v="-126690.94"/>
    <n v="-70681.11"/>
    <n v="-123300.75"/>
    <n v="-103344.84"/>
    <n v="-104785.95"/>
    <n v="-94060.63"/>
    <n v="-104335.28"/>
    <n v="-121151.54"/>
    <n v="-119666.64"/>
    <n v="-93688.38"/>
    <n v="-1259374.5"/>
    <n v="-25978.259999999995"/>
  </r>
  <r>
    <x v="19"/>
    <x v="4"/>
    <x v="0"/>
    <s v="4810103"/>
    <n v="400020"/>
    <s v="O/P Care Svcs Rev--Managed Care"/>
    <s v="Radiology - Diagnostic"/>
    <x v="0"/>
    <n v="1400"/>
    <n v="-224433.87"/>
    <n v="-340188.79"/>
    <n v="-351370.72"/>
    <n v="-363374.53"/>
    <n v="-314606.5"/>
    <n v="-333971.98"/>
    <n v="-312328.26"/>
    <n v="-318936.21000000002"/>
    <n v="-250712.11"/>
    <n v="-417316.36"/>
    <n v="-403168.56"/>
    <n v="-308970.28000000003"/>
    <n v="-3939378.17"/>
    <n v="-94198.27999999997"/>
  </r>
  <r>
    <x v="19"/>
    <x v="4"/>
    <x v="0"/>
    <s v="4810103"/>
    <n v="400020"/>
    <s v="O/P Care Svcs Rev--Self Pay"/>
    <s v="Radiology - Diagnostic"/>
    <x v="0"/>
    <n v="1500"/>
    <n v="-81584.37"/>
    <n v="-84199.07"/>
    <n v="-64453.03"/>
    <n v="-76396.679999999993"/>
    <n v="-58581.87"/>
    <n v="-52068.49"/>
    <n v="-61474"/>
    <n v="-45100.97"/>
    <n v="-80263.759999999995"/>
    <n v="-31621.279999999999"/>
    <n v="-51376.59"/>
    <n v="-53639.12"/>
    <n v="-740759.23"/>
    <n v="2262.5300000000061"/>
  </r>
  <r>
    <x v="19"/>
    <x v="4"/>
    <x v="0"/>
    <s v="4810103"/>
    <n v="400020"/>
    <s v="O/P Care Svcs Rev--Other"/>
    <s v="Radiology - Diagnostic"/>
    <x v="0"/>
    <n v="1700"/>
    <n v="-151237.60999999999"/>
    <n v="-139316.88"/>
    <n v="-124761.33"/>
    <n v="-146311.04999999999"/>
    <n v="-130731.45"/>
    <n v="-122424.73"/>
    <n v="-144819.53"/>
    <n v="-114705.29"/>
    <n v="-164069.74"/>
    <n v="-139933.76000000001"/>
    <n v="-140829.20000000001"/>
    <n v="-193733.15"/>
    <n v="-1712873.7199999997"/>
    <n v="52903.949999999983"/>
  </r>
  <r>
    <x v="14"/>
    <x v="4"/>
    <x v="0"/>
    <s v="4810103"/>
    <n v="600060"/>
    <s v="Gain/Loss--Sale of Fixed Assets"/>
    <s v="Radiology - Diagnostic"/>
    <x v="0"/>
    <m/>
    <n v="0"/>
    <n v="0"/>
    <n v="0"/>
    <n v="2123.1999999999998"/>
    <n v="0"/>
    <n v="0"/>
    <n v="0"/>
    <n v="0"/>
    <n v="0"/>
    <n v="0"/>
    <n v="0"/>
    <n v="0"/>
    <n v="2123.1999999999998"/>
    <n v="0"/>
  </r>
  <r>
    <x v="5"/>
    <x v="4"/>
    <x v="0"/>
    <s v="4810103"/>
    <n v="700026"/>
    <s v="Salaries-RN-Productive"/>
    <s v="Radiology - Diagnostic"/>
    <x v="0"/>
    <m/>
    <n v="14904.2"/>
    <n v="17561.8"/>
    <n v="15864.93"/>
    <n v="19125.7"/>
    <n v="16151.06"/>
    <n v="14766.91"/>
    <n v="18564.009999999998"/>
    <n v="14614.4"/>
    <n v="20153.97"/>
    <n v="15750.97"/>
    <n v="13163.36"/>
    <n v="12713.81"/>
    <n v="193335.12"/>
    <n v="449.55000000000109"/>
  </r>
  <r>
    <x v="5"/>
    <x v="4"/>
    <x v="0"/>
    <s v="4810103"/>
    <n v="700026"/>
    <s v="Salaries-RN-OT"/>
    <s v="Radiology - Diagnostic"/>
    <x v="0"/>
    <n v="1000"/>
    <n v="3619.67"/>
    <n v="2664.9"/>
    <n v="3174.43"/>
    <n v="1092.75"/>
    <n v="2089.1799999999998"/>
    <n v="2001.62"/>
    <n v="1774.58"/>
    <n v="1029.43"/>
    <n v="990.08"/>
    <n v="1783.78"/>
    <n v="1511.54"/>
    <n v="1090.3399999999999"/>
    <n v="22822.3"/>
    <n v="421.20000000000005"/>
  </r>
  <r>
    <x v="5"/>
    <x v="4"/>
    <x v="0"/>
    <s v="4810103"/>
    <n v="700026"/>
    <s v="Salaries-RN-Other"/>
    <s v="Radiology - Diagnostic"/>
    <x v="0"/>
    <n v="2000"/>
    <n v="3153.78"/>
    <n v="2810.66"/>
    <n v="2350.27"/>
    <n v="2849.7"/>
    <n v="2602.38"/>
    <n v="2734.78"/>
    <n v="2865.89"/>
    <n v="2381.91"/>
    <n v="2781.3"/>
    <n v="2447.96"/>
    <n v="2623.81"/>
    <n v="2669.61"/>
    <n v="32272.05"/>
    <n v="-45.800000000000182"/>
  </r>
  <r>
    <x v="5"/>
    <x v="4"/>
    <x v="0"/>
    <s v="4810103"/>
    <n v="700032"/>
    <s v="Salaries-Other Pat Care Providers-Productive"/>
    <s v="Radiology - Diagnostic"/>
    <x v="0"/>
    <m/>
    <n v="746.04"/>
    <n v="2682.34"/>
    <n v="5588.33"/>
    <n v="3177.92"/>
    <n v="5031.5600000000004"/>
    <n v="-1960.76"/>
    <n v="0"/>
    <n v="0"/>
    <n v="0"/>
    <n v="0"/>
    <n v="0"/>
    <n v="0"/>
    <n v="15265.429999999998"/>
    <n v="0"/>
  </r>
  <r>
    <x v="5"/>
    <x v="4"/>
    <x v="0"/>
    <s v="4810103"/>
    <n v="700032"/>
    <s v="Salaries-Other Pat Care Providers-OT"/>
    <s v="Radiology - Diagnostic"/>
    <x v="0"/>
    <n v="1000"/>
    <n v="0"/>
    <n v="26.59"/>
    <n v="1583.83"/>
    <n v="440.29"/>
    <n v="134.66"/>
    <n v="-68.430000000000007"/>
    <n v="0"/>
    <n v="0"/>
    <n v="0"/>
    <n v="0"/>
    <n v="0"/>
    <n v="0"/>
    <n v="2116.94"/>
    <n v="0"/>
  </r>
  <r>
    <x v="5"/>
    <x v="4"/>
    <x v="0"/>
    <s v="4810103"/>
    <n v="700032"/>
    <s v="Salaries-Other Pat Care Providers-Other"/>
    <s v="Radiology - Diagnostic"/>
    <x v="0"/>
    <n v="2000"/>
    <n v="84.94"/>
    <n v="617.69000000000005"/>
    <n v="756.5"/>
    <n v="380.83"/>
    <n v="523.29"/>
    <n v="10.95"/>
    <n v="0"/>
    <n v="0"/>
    <n v="0"/>
    <n v="0"/>
    <n v="0"/>
    <n v="0"/>
    <n v="2374.1999999999998"/>
    <n v="0"/>
  </r>
  <r>
    <x v="5"/>
    <x v="4"/>
    <x v="0"/>
    <s v="4810103"/>
    <n v="700034"/>
    <s v="Salaries-Tech/Professional-Productive"/>
    <s v="Radiology - Diagnostic"/>
    <x v="0"/>
    <m/>
    <n v="78256.52"/>
    <n v="82930.990000000005"/>
    <n v="99716.160000000003"/>
    <n v="88987.06"/>
    <n v="92959.59"/>
    <n v="103796.19"/>
    <n v="105934.21"/>
    <n v="89321.57"/>
    <n v="102124.79"/>
    <n v="102429.1"/>
    <n v="98496.15"/>
    <n v="91520.320000000007"/>
    <n v="1136472.6500000001"/>
    <n v="6975.8299999999872"/>
  </r>
  <r>
    <x v="5"/>
    <x v="4"/>
    <x v="0"/>
    <s v="4810103"/>
    <n v="700034"/>
    <s v="Salaries-Tech/Professional-OT"/>
    <s v="Radiology - Diagnostic"/>
    <x v="0"/>
    <n v="1000"/>
    <n v="2894.96"/>
    <n v="2790.39"/>
    <n v="604.12"/>
    <n v="2747.77"/>
    <n v="832.69"/>
    <n v="4382.58"/>
    <n v="1377.36"/>
    <n v="798.28"/>
    <n v="2588.11"/>
    <n v="4012.11"/>
    <n v="5037.41"/>
    <n v="1001.01"/>
    <n v="29066.79"/>
    <n v="4036.3999999999996"/>
  </r>
  <r>
    <x v="5"/>
    <x v="4"/>
    <x v="0"/>
    <s v="4810103"/>
    <n v="700034"/>
    <s v="Salaries-Tech/Professional-Other"/>
    <s v="Radiology - Diagnostic"/>
    <x v="0"/>
    <n v="2000"/>
    <n v="12203.55"/>
    <n v="11487.53"/>
    <n v="10217.89"/>
    <n v="11676.95"/>
    <n v="11644.69"/>
    <n v="14285.43"/>
    <n v="12416.61"/>
    <n v="11586.49"/>
    <n v="12961.88"/>
    <n v="10966.83"/>
    <n v="12816.29"/>
    <n v="10373.290000000001"/>
    <n v="142637.43000000002"/>
    <n v="2443"/>
  </r>
  <r>
    <x v="5"/>
    <x v="4"/>
    <x v="0"/>
    <s v="4810103"/>
    <n v="700054"/>
    <s v="Salaries-Management-NonProd-Other"/>
    <s v="Radiology - Diagnostic"/>
    <x v="0"/>
    <n v="2000"/>
    <n v="0"/>
    <n v="0"/>
    <n v="0"/>
    <n v="0"/>
    <n v="0"/>
    <n v="1182.53"/>
    <n v="-1182.53"/>
    <n v="0"/>
    <n v="0"/>
    <n v="0"/>
    <n v="0"/>
    <n v="0"/>
    <n v="0"/>
    <n v="0"/>
  </r>
  <r>
    <x v="5"/>
    <x v="4"/>
    <x v="0"/>
    <s v="4810103"/>
    <n v="700066"/>
    <s v="Salaries-RN-Non-productive"/>
    <s v="Radiology - Diagnostic"/>
    <x v="0"/>
    <m/>
    <n v="4398.67"/>
    <n v="5233.33"/>
    <n v="6383.77"/>
    <n v="567.67999999999995"/>
    <n v="1614.28"/>
    <n v="5366.61"/>
    <n v="2467.6"/>
    <n v="4638.5200000000004"/>
    <n v="2295.1799999999998"/>
    <n v="7014.11"/>
    <n v="1829.19"/>
    <n v="1263.97"/>
    <n v="43072.91"/>
    <n v="565.22"/>
  </r>
  <r>
    <x v="5"/>
    <x v="4"/>
    <x v="0"/>
    <s v="4810103"/>
    <n v="700066"/>
    <s v="Salaries-RN-NonProd-Other"/>
    <s v="Radiology - Diagnostic"/>
    <x v="0"/>
    <n v="2000"/>
    <n v="562.62"/>
    <n v="567.03"/>
    <n v="461.1"/>
    <n v="141.49"/>
    <n v="492.01"/>
    <n v="531.99"/>
    <n v="101.47"/>
    <n v="924.5"/>
    <n v="198.45"/>
    <n v="1155.5999999999999"/>
    <n v="903.08"/>
    <n v="459.93"/>
    <n v="6499.2699999999995"/>
    <n v="443.15000000000003"/>
  </r>
  <r>
    <x v="5"/>
    <x v="4"/>
    <x v="0"/>
    <s v="4810103"/>
    <n v="700072"/>
    <s v="Salaries-Other Pat Care Providers-NonProd-Other"/>
    <s v="Radiology - Diagnostic"/>
    <x v="0"/>
    <n v="2000"/>
    <n v="0"/>
    <n v="41.39"/>
    <n v="0"/>
    <n v="80.400000000000006"/>
    <n v="120.61"/>
    <n v="-71.77"/>
    <n v="0"/>
    <n v="0"/>
    <n v="0"/>
    <n v="0"/>
    <n v="0"/>
    <n v="0"/>
    <n v="170.63"/>
    <n v="0"/>
  </r>
  <r>
    <x v="5"/>
    <x v="4"/>
    <x v="0"/>
    <s v="4810103"/>
    <n v="700074"/>
    <s v="Salaries-Tech/Professional-Non-productive"/>
    <s v="Radiology - Diagnostic"/>
    <x v="0"/>
    <m/>
    <n v="7141.99"/>
    <n v="12024.48"/>
    <n v="6545.06"/>
    <n v="21232.44"/>
    <n v="15200.64"/>
    <n v="15236.8"/>
    <n v="9005.82"/>
    <n v="6775.82"/>
    <n v="10178.23"/>
    <n v="6486.58"/>
    <n v="14117.82"/>
    <n v="7798.71"/>
    <n v="131744.39000000001"/>
    <n v="6319.11"/>
  </r>
  <r>
    <x v="5"/>
    <x v="4"/>
    <x v="0"/>
    <s v="4810103"/>
    <n v="700074"/>
    <s v="Salaries-Tech/Professional-NonProd-Other"/>
    <s v="Radiology - Diagnostic"/>
    <x v="0"/>
    <n v="2000"/>
    <n v="821.1"/>
    <n v="1484.35"/>
    <n v="164.78"/>
    <n v="1047.4000000000001"/>
    <n v="2306.52"/>
    <n v="2175.87"/>
    <n v="736.11"/>
    <n v="781.12"/>
    <n v="566.17999999999995"/>
    <n v="3752.91"/>
    <n v="1922.49"/>
    <n v="1062.33"/>
    <n v="16821.16"/>
    <n v="860.16000000000008"/>
  </r>
  <r>
    <x v="5"/>
    <x v="4"/>
    <x v="0"/>
    <s v="4810103"/>
    <n v="700084"/>
    <s v="Accrued PTO"/>
    <s v="Radiology - Diagnostic"/>
    <x v="0"/>
    <m/>
    <n v="-436.6"/>
    <n v="-2825.86"/>
    <n v="2765.77"/>
    <n v="-7085.07"/>
    <n v="4650.7299999999996"/>
    <n v="-9910.44"/>
    <n v="1502.52"/>
    <n v="4225.71"/>
    <n v="3487.55"/>
    <n v="-216.22"/>
    <n v="-449.12"/>
    <n v="3770.59"/>
    <n v="-520.44000000000051"/>
    <n v="-4219.71"/>
  </r>
  <r>
    <x v="10"/>
    <x v="4"/>
    <x v="0"/>
    <s v="4810103"/>
    <n v="710060"/>
    <s v="Contract Labor-Other"/>
    <s v="Radiology - Diagnostic"/>
    <x v="0"/>
    <m/>
    <n v="0"/>
    <n v="0"/>
    <n v="0"/>
    <n v="0"/>
    <n v="0"/>
    <n v="0"/>
    <n v="0"/>
    <n v="0"/>
    <n v="0"/>
    <n v="0"/>
    <n v="0"/>
    <n v="10600"/>
    <n v="10600"/>
    <n v="-10600"/>
  </r>
  <r>
    <x v="6"/>
    <x v="4"/>
    <x v="0"/>
    <s v="4810103"/>
    <n v="713010"/>
    <s v="Benefits-FICA/Medicare"/>
    <s v="Radiology - Diagnostic"/>
    <x v="0"/>
    <m/>
    <n v="9615.26"/>
    <n v="10681.71"/>
    <n v="11430.29"/>
    <n v="11513.32"/>
    <n v="11469.04"/>
    <n v="12189.53"/>
    <n v="11643.22"/>
    <n v="9978.3700000000008"/>
    <n v="11505.38"/>
    <n v="11768.7"/>
    <n v="11762.32"/>
    <n v="9698.92"/>
    <n v="133256.06000000003"/>
    <n v="2063.3999999999996"/>
  </r>
  <r>
    <x v="6"/>
    <x v="4"/>
    <x v="0"/>
    <s v="4810103"/>
    <n v="713090"/>
    <s v="Benefits-Allocated Amounts"/>
    <s v="Radiology - Diagnostic"/>
    <x v="0"/>
    <m/>
    <n v="20599.12"/>
    <n v="20497.78"/>
    <n v="25071.52"/>
    <n v="23443.58"/>
    <n v="24831.87"/>
    <n v="24143.05"/>
    <n v="25523.78"/>
    <n v="23130.67"/>
    <n v="24417.24"/>
    <n v="26086.57"/>
    <n v="25269.09"/>
    <n v="22998.02"/>
    <n v="286012.29000000004"/>
    <n v="2271.0699999999997"/>
  </r>
  <r>
    <x v="7"/>
    <x v="4"/>
    <x v="0"/>
    <s v="4810103"/>
    <n v="718050"/>
    <s v="Contract Svcs-Other"/>
    <s v="Radiology - Diagnostic"/>
    <x v="0"/>
    <m/>
    <n v="343.44"/>
    <n v="-30.94"/>
    <n v="0"/>
    <n v="0"/>
    <n v="0"/>
    <n v="0"/>
    <n v="11.34"/>
    <n v="11.34"/>
    <n v="0"/>
    <n v="3060"/>
    <n v="11.35"/>
    <n v="0"/>
    <n v="3406.5299999999997"/>
    <n v="11.35"/>
  </r>
  <r>
    <x v="7"/>
    <x v="4"/>
    <x v="0"/>
    <s v="4810103"/>
    <n v="718050"/>
    <s v="Miscellaneous Purchased Svcs"/>
    <s v="Radiology - Diagnostic"/>
    <x v="0"/>
    <n v="1020"/>
    <n v="11.32"/>
    <n v="11.32"/>
    <n v="11.32"/>
    <n v="11.32"/>
    <n v="11.32"/>
    <n v="11.32"/>
    <n v="0"/>
    <n v="0"/>
    <n v="111.34"/>
    <n v="11.34"/>
    <n v="0"/>
    <n v="11.35"/>
    <n v="201.95"/>
    <n v="-11.35"/>
  </r>
  <r>
    <x v="7"/>
    <x v="4"/>
    <x v="0"/>
    <s v="4810103"/>
    <n v="718050"/>
    <s v="Translation Services"/>
    <s v="Radiology - Diagnostic"/>
    <x v="0"/>
    <n v="1025"/>
    <n v="0"/>
    <n v="0"/>
    <n v="0"/>
    <n v="239.74"/>
    <n v="0"/>
    <n v="0"/>
    <n v="0"/>
    <n v="0"/>
    <n v="0"/>
    <n v="0"/>
    <n v="0"/>
    <n v="0"/>
    <n v="239.74"/>
    <n v="0"/>
  </r>
  <r>
    <x v="7"/>
    <x v="4"/>
    <x v="0"/>
    <s v="4810103"/>
    <n v="718050"/>
    <s v="Contract Management--Linen"/>
    <s v="Radiology - Diagnostic"/>
    <x v="0"/>
    <n v="1026"/>
    <n v="1015.87"/>
    <n v="1757.51"/>
    <n v="1657.28"/>
    <n v="1327.49"/>
    <n v="1365.24"/>
    <n v="1296.01"/>
    <n v="1778.05"/>
    <n v="1811.27"/>
    <n v="1386.3"/>
    <n v="3473.79"/>
    <n v="1158.2"/>
    <n v="2176.06"/>
    <n v="20203.07"/>
    <n v="-1017.8599999999999"/>
  </r>
  <r>
    <x v="7"/>
    <x v="4"/>
    <x v="0"/>
    <s v="4810103"/>
    <n v="718070"/>
    <s v="Contract Srvcs-CHI Clinical Engineering"/>
    <s v="Radiology - Diagnostic"/>
    <x v="0"/>
    <m/>
    <n v="8030.68"/>
    <n v="8030.68"/>
    <n v="8030.68"/>
    <n v="35212.47"/>
    <n v="8030.68"/>
    <n v="7382.33"/>
    <n v="8679.0300000000007"/>
    <n v="8030.68"/>
    <n v="8030.68"/>
    <n v="8030.68"/>
    <n v="8030.68"/>
    <n v="8060.25"/>
    <n v="123579.51999999999"/>
    <n v="-29.569999999999709"/>
  </r>
  <r>
    <x v="7"/>
    <x v="4"/>
    <x v="0"/>
    <s v="4810103"/>
    <n v="718077"/>
    <s v="PACS"/>
    <s v="Radiology - Diagnostic"/>
    <x v="0"/>
    <n v="1000"/>
    <n v="26.98"/>
    <n v="28.37"/>
    <n v="25.83"/>
    <n v="29.46"/>
    <n v="26.92"/>
    <n v="26.05"/>
    <n v="29.75"/>
    <n v="24.82"/>
    <n v="29.87"/>
    <n v="29.5"/>
    <n v="30.49"/>
    <n v="27.72"/>
    <n v="335.76"/>
    <n v="2.7699999999999996"/>
  </r>
  <r>
    <x v="11"/>
    <x v="4"/>
    <x v="0"/>
    <s v="4810103"/>
    <n v="721010"/>
    <s v="Supplies-Medical - Billable"/>
    <s v="Radiology - Diagnostic"/>
    <x v="0"/>
    <m/>
    <n v="5134.03"/>
    <n v="3247.91"/>
    <n v="5947.35"/>
    <n v="4818.99"/>
    <n v="9178.06"/>
    <n v="9319.99"/>
    <n v="6233.42"/>
    <n v="9562.25"/>
    <n v="3964.85"/>
    <n v="16862.18"/>
    <n v="5355.42"/>
    <n v="12031.26"/>
    <n v="91655.709999999992"/>
    <n v="-6675.84"/>
  </r>
  <r>
    <x v="11"/>
    <x v="4"/>
    <x v="0"/>
    <s v="4810103"/>
    <n v="721010"/>
    <s v="Patient Monitoring"/>
    <s v="Radiology - Diagnostic"/>
    <x v="0"/>
    <n v="1000"/>
    <n v="35.92"/>
    <n v="179.6"/>
    <n v="23.8"/>
    <n v="11.46"/>
    <n v="22.04"/>
    <n v="16.309999999999999"/>
    <n v="60.35"/>
    <n v="21.14"/>
    <n v="101.91"/>
    <n v="440.82"/>
    <n v="158.61000000000001"/>
    <n v="53.57"/>
    <n v="1125.53"/>
    <n v="105.04000000000002"/>
  </r>
  <r>
    <x v="11"/>
    <x v="4"/>
    <x v="0"/>
    <s v="4810103"/>
    <n v="721020"/>
    <s v="Supplies-Surgical - Billable"/>
    <s v="Radiology - Diagnostic"/>
    <x v="0"/>
    <m/>
    <n v="8509.74"/>
    <n v="20019.09"/>
    <n v="-3089.75"/>
    <n v="41277.69"/>
    <n v="8471.74"/>
    <n v="19569.25"/>
    <n v="48463.1"/>
    <n v="-1303.08"/>
    <n v="1000"/>
    <n v="120742.72"/>
    <n v="13085.9"/>
    <n v="14419.39"/>
    <n v="291165.79000000004"/>
    <n v="-1333.4899999999998"/>
  </r>
  <r>
    <x v="11"/>
    <x v="4"/>
    <x v="0"/>
    <s v="4810103"/>
    <n v="721020"/>
    <s v="Custom Packs"/>
    <s v="Radiology - Diagnostic"/>
    <x v="0"/>
    <n v="1000"/>
    <n v="2237.81"/>
    <n v="1876.02"/>
    <n v="2407.2399999999998"/>
    <n v="2449"/>
    <n v="2439.42"/>
    <n v="2437.96"/>
    <n v="2703.69"/>
    <n v="2213.0300000000002"/>
    <n v="2541.36"/>
    <n v="3263.13"/>
    <n v="2661.49"/>
    <n v="2431.87"/>
    <n v="29662.02"/>
    <n v="229.61999999999989"/>
  </r>
  <r>
    <x v="11"/>
    <x v="4"/>
    <x v="0"/>
    <s v="4810103"/>
    <n v="721020"/>
    <s v="Suture/Wound Closure"/>
    <s v="Radiology - Diagnostic"/>
    <x v="0"/>
    <n v="1001"/>
    <n v="474.9"/>
    <n v="0"/>
    <n v="0"/>
    <n v="0"/>
    <n v="344.85"/>
    <n v="70.5"/>
    <n v="732.55"/>
    <n v="6.51"/>
    <n v="25.41"/>
    <n v="398.83"/>
    <n v="0"/>
    <n v="0"/>
    <n v="2053.5500000000002"/>
    <n v="0"/>
  </r>
  <r>
    <x v="11"/>
    <x v="4"/>
    <x v="0"/>
    <s v="4810103"/>
    <n v="721020"/>
    <s v="Bone Cement &amp; Supplies"/>
    <s v="Radiology - Diagnostic"/>
    <x v="0"/>
    <n v="1004"/>
    <n v="233.54"/>
    <n v="3089.75"/>
    <n v="840.74"/>
    <n v="234.15"/>
    <n v="0"/>
    <n v="-117.87"/>
    <n v="0"/>
    <n v="0"/>
    <n v="0"/>
    <n v="0"/>
    <n v="0"/>
    <n v="0"/>
    <n v="4280.3099999999995"/>
    <n v="0"/>
  </r>
  <r>
    <x v="11"/>
    <x v="4"/>
    <x v="0"/>
    <s v="4810103"/>
    <n v="721020"/>
    <s v="Urological Supplies"/>
    <s v="Radiology - Diagnostic"/>
    <x v="0"/>
    <n v="1006"/>
    <n v="384.65"/>
    <n v="954.2"/>
    <n v="1838.89"/>
    <n v="1000.09"/>
    <n v="1406.59"/>
    <n v="769.3"/>
    <n v="1284.3800000000001"/>
    <n v="271"/>
    <n v="1000.09"/>
    <n v="5.3"/>
    <n v="338.75"/>
    <n v="567.79999999999995"/>
    <n v="9821.0399999999991"/>
    <n v="-229.04999999999995"/>
  </r>
  <r>
    <x v="11"/>
    <x v="4"/>
    <x v="0"/>
    <s v="4810103"/>
    <n v="721020"/>
    <s v="Surgical Cardiovascular"/>
    <s v="Radiology - Diagnostic"/>
    <x v="0"/>
    <n v="1007"/>
    <n v="0"/>
    <n v="4894.8100000000004"/>
    <n v="78.81"/>
    <n v="950"/>
    <n v="965"/>
    <n v="4329.42"/>
    <n v="1606.2"/>
    <n v="0"/>
    <n v="0"/>
    <n v="2008.81"/>
    <n v="2011.81"/>
    <n v="0"/>
    <n v="16844.86"/>
    <n v="2011.81"/>
  </r>
  <r>
    <x v="11"/>
    <x v="4"/>
    <x v="0"/>
    <s v="4810103"/>
    <n v="721020"/>
    <s v="Tubes Drains &amp; Related Supplies"/>
    <s v="Radiology - Diagnostic"/>
    <x v="0"/>
    <n v="1008"/>
    <n v="539.13"/>
    <n v="772.34"/>
    <n v="1578.09"/>
    <n v="510.06"/>
    <n v="536.96"/>
    <n v="1025.5999999999999"/>
    <n v="1566.99"/>
    <n v="976.58"/>
    <n v="600.13"/>
    <n v="811.84"/>
    <n v="846.88"/>
    <n v="635.9"/>
    <n v="10400.499999999998"/>
    <n v="210.98000000000002"/>
  </r>
  <r>
    <x v="11"/>
    <x v="4"/>
    <x v="0"/>
    <s v="4810103"/>
    <n v="721050"/>
    <s v="Supplies-Cardiac Rhythm - Billable"/>
    <s v="Radiology - Diagnostic"/>
    <x v="0"/>
    <m/>
    <n v="1517.21"/>
    <n v="4709.5200000000004"/>
    <n v="2581.1999999999998"/>
    <n v="3808.92"/>
    <n v="4499.2"/>
    <n v="3134.11"/>
    <n v="4226.51"/>
    <n v="4324.6400000000003"/>
    <n v="3550.52"/>
    <n v="3607.19"/>
    <n v="7767.58"/>
    <n v="6141.12"/>
    <n v="49867.72"/>
    <n v="1626.46"/>
  </r>
  <r>
    <x v="11"/>
    <x v="4"/>
    <x v="0"/>
    <s v="4810103"/>
    <n v="721110"/>
    <s v="Supplies-Grafts - Billable"/>
    <s v="Radiology - Diagnostic"/>
    <x v="0"/>
    <m/>
    <n v="2059"/>
    <n v="1800"/>
    <n v="1800"/>
    <n v="0"/>
    <n v="1800"/>
    <n v="1800"/>
    <n v="0"/>
    <n v="0"/>
    <n v="0"/>
    <n v="0"/>
    <n v="0"/>
    <n v="0"/>
    <n v="9259"/>
    <n v="0"/>
  </r>
  <r>
    <x v="11"/>
    <x v="4"/>
    <x v="0"/>
    <s v="4810103"/>
    <n v="721150"/>
    <s v="Surgical Orthopedic"/>
    <s v="Radiology - Diagnostic"/>
    <x v="0"/>
    <n v="1000"/>
    <n v="0"/>
    <n v="0"/>
    <n v="2886.4"/>
    <n v="0"/>
    <n v="0"/>
    <n v="0"/>
    <n v="0"/>
    <n v="0"/>
    <n v="0"/>
    <n v="0"/>
    <n v="0"/>
    <n v="0"/>
    <n v="2886.4"/>
    <n v="0"/>
  </r>
  <r>
    <x v="11"/>
    <x v="4"/>
    <x v="0"/>
    <s v="4810103"/>
    <n v="721220"/>
    <s v="Supplies-Medical Gases - Billable"/>
    <s v="Radiology - Diagnostic"/>
    <x v="0"/>
    <m/>
    <n v="8"/>
    <n v="8"/>
    <n v="0"/>
    <n v="16"/>
    <n v="8"/>
    <n v="8"/>
    <n v="8"/>
    <n v="16"/>
    <n v="8"/>
    <n v="8"/>
    <n v="0"/>
    <n v="16"/>
    <n v="104"/>
    <n v="-16"/>
  </r>
  <r>
    <x v="11"/>
    <x v="4"/>
    <x v="0"/>
    <s v="4810103"/>
    <n v="721240"/>
    <s v="Supplies-IV Solutions/Supplies - Billable"/>
    <s v="Radiology - Diagnostic"/>
    <x v="0"/>
    <m/>
    <n v="2996.15"/>
    <n v="2690.34"/>
    <n v="2053.9"/>
    <n v="5518.17"/>
    <n v="4035.77"/>
    <n v="1909.46"/>
    <n v="7481.32"/>
    <n v="619.64"/>
    <n v="2636.51"/>
    <n v="6873.13"/>
    <n v="840.68"/>
    <n v="3347.01"/>
    <n v="41002.079999999994"/>
    <n v="-2506.3300000000004"/>
  </r>
  <r>
    <x v="11"/>
    <x v="4"/>
    <x v="0"/>
    <s v="4810103"/>
    <n v="721250"/>
    <s v="Supplies-Pharmacy Drugs - Billable"/>
    <s v="Radiology - Diagnostic"/>
    <x v="0"/>
    <m/>
    <n v="1750.41"/>
    <n v="2317.1999999999998"/>
    <n v="1632.59"/>
    <n v="9052.17"/>
    <n v="5794.48"/>
    <n v="2610.9499999999998"/>
    <n v="1421.32"/>
    <n v="1824.33"/>
    <n v="1673.59"/>
    <n v="2031.4"/>
    <n v="2058.61"/>
    <n v="1846.67"/>
    <n v="34013.72"/>
    <n v="211.94000000000005"/>
  </r>
  <r>
    <x v="11"/>
    <x v="4"/>
    <x v="0"/>
    <s v="4810103"/>
    <n v="721350"/>
    <s v="Radiology Imaging - Contrast Media"/>
    <s v="Radiology - Diagnostic"/>
    <x v="0"/>
    <n v="1000"/>
    <n v="423.16"/>
    <n v="132.56"/>
    <n v="410.54"/>
    <n v="672.37"/>
    <n v="921.06"/>
    <n v="310.98"/>
    <n v="595.04999999999995"/>
    <n v="340.45"/>
    <n v="545.94000000000005"/>
    <n v="398.39"/>
    <n v="519.15"/>
    <n v="270.45"/>
    <n v="5540.1"/>
    <n v="248.7"/>
  </r>
  <r>
    <x v="11"/>
    <x v="4"/>
    <x v="0"/>
    <s v="4810103"/>
    <n v="721410"/>
    <s v="Supplies-Medical - Nonbillable"/>
    <s v="Radiology - Diagnostic"/>
    <x v="0"/>
    <m/>
    <n v="1943.2"/>
    <n v="1655.04"/>
    <n v="2344.81"/>
    <n v="3685.28"/>
    <n v="1842.47"/>
    <n v="2244.9"/>
    <n v="2741.16"/>
    <n v="3135.45"/>
    <n v="1550.7"/>
    <n v="-3437.72"/>
    <n v="1695.49"/>
    <n v="1528.73"/>
    <n v="20929.510000000002"/>
    <n v="166.76"/>
  </r>
  <r>
    <x v="11"/>
    <x v="4"/>
    <x v="0"/>
    <s v="4810103"/>
    <n v="721410"/>
    <s v="Patient Monitoring"/>
    <s v="Radiology - Diagnostic"/>
    <x v="0"/>
    <n v="1000"/>
    <n v="0"/>
    <n v="0"/>
    <n v="0"/>
    <n v="0"/>
    <n v="0"/>
    <n v="0"/>
    <n v="11.25"/>
    <n v="0"/>
    <n v="0"/>
    <n v="2.7"/>
    <n v="0"/>
    <n v="0"/>
    <n v="13.95"/>
    <n v="0"/>
  </r>
  <r>
    <x v="11"/>
    <x v="4"/>
    <x v="0"/>
    <s v="4810103"/>
    <n v="721420"/>
    <s v="Supplies-Surgical Nonbillable"/>
    <s v="Radiology - Diagnostic"/>
    <x v="0"/>
    <m/>
    <n v="920.23"/>
    <n v="919.11"/>
    <n v="749.24"/>
    <n v="975.2"/>
    <n v="943.23"/>
    <n v="920.35"/>
    <n v="1227.76"/>
    <n v="752.81"/>
    <n v="986.11"/>
    <n v="1197.53"/>
    <n v="1050.45"/>
    <n v="1145.6199999999999"/>
    <n v="11787.640000000003"/>
    <n v="-95.169999999999845"/>
  </r>
  <r>
    <x v="11"/>
    <x v="4"/>
    <x v="0"/>
    <s v="4810103"/>
    <n v="721420"/>
    <s v="Sterilization Process Products"/>
    <s v="Radiology - Diagnostic"/>
    <x v="0"/>
    <n v="1009"/>
    <n v="0"/>
    <n v="0"/>
    <n v="0"/>
    <n v="188.35"/>
    <n v="0"/>
    <n v="0"/>
    <n v="0"/>
    <n v="0"/>
    <n v="60.24"/>
    <n v="413.4"/>
    <n v="67.33"/>
    <n v="127.81"/>
    <n v="857.13000000000011"/>
    <n v="-60.480000000000004"/>
  </r>
  <r>
    <x v="11"/>
    <x v="4"/>
    <x v="0"/>
    <s v="4810103"/>
    <n v="721610"/>
    <s v="Supplies-Anesthesia - Nonbillable"/>
    <s v="Radiology - Diagnostic"/>
    <x v="0"/>
    <m/>
    <n v="145.51"/>
    <n v="397.59"/>
    <n v="1334.43"/>
    <n v="166.67"/>
    <n v="677.88"/>
    <n v="355.39"/>
    <n v="21.59"/>
    <n v="153"/>
    <n v="147.28"/>
    <n v="209.23"/>
    <n v="133.79"/>
    <n v="277.68"/>
    <n v="4020.04"/>
    <n v="-143.89000000000001"/>
  </r>
  <r>
    <x v="11"/>
    <x v="4"/>
    <x v="0"/>
    <s v="4810103"/>
    <n v="721640"/>
    <s v="Supplies-IV Solutions/Supplies - Nonbillable"/>
    <s v="Radiology - Diagnostic"/>
    <x v="0"/>
    <m/>
    <n v="268.27"/>
    <n v="649.03"/>
    <n v="745.02"/>
    <n v="405.91"/>
    <n v="387.18"/>
    <n v="402.3"/>
    <n v="860.26"/>
    <n v="130.08000000000001"/>
    <n v="492"/>
    <n v="755.86"/>
    <n v="432.33"/>
    <n v="376.75"/>
    <n v="5904.99"/>
    <n v="55.579999999999984"/>
  </r>
  <r>
    <x v="11"/>
    <x v="4"/>
    <x v="0"/>
    <s v="4810103"/>
    <n v="721650"/>
    <s v="Supplies-Pharmacy Drugs - Nonbillable"/>
    <s v="Radiology - Diagnostic"/>
    <x v="0"/>
    <m/>
    <n v="7.25"/>
    <n v="7.25"/>
    <n v="0"/>
    <n v="9.33"/>
    <n v="0"/>
    <n v="0"/>
    <n v="0"/>
    <n v="0.05"/>
    <n v="14.5"/>
    <n v="0"/>
    <n v="14.5"/>
    <n v="0"/>
    <n v="52.879999999999995"/>
    <n v="14.5"/>
  </r>
  <r>
    <x v="11"/>
    <x v="4"/>
    <x v="0"/>
    <s v="4810103"/>
    <n v="721710"/>
    <s v="Supplies-Laboratory - Nonbillable"/>
    <s v="Radiology - Diagnostic"/>
    <x v="0"/>
    <m/>
    <n v="0"/>
    <n v="0.53"/>
    <n v="0"/>
    <n v="27.92"/>
    <n v="3.45"/>
    <n v="0"/>
    <n v="0.53"/>
    <n v="0.4"/>
    <n v="0"/>
    <n v="115.93"/>
    <n v="0.79"/>
    <n v="2.11"/>
    <n v="151.66"/>
    <n v="-1.3199999999999998"/>
  </r>
  <r>
    <x v="11"/>
    <x v="4"/>
    <x v="0"/>
    <s v="4810103"/>
    <n v="721750"/>
    <s v="Supplies-Film/Radiographic - Nonbillable"/>
    <s v="Radiology - Diagnostic"/>
    <x v="0"/>
    <m/>
    <n v="35.44"/>
    <n v="5452.76"/>
    <n v="223.98"/>
    <n v="516.14"/>
    <n v="88.59"/>
    <n v="106.31"/>
    <n v="531.4"/>
    <n v="1495.59"/>
    <n v="130.41999999999999"/>
    <n v="135.01"/>
    <n v="122.97"/>
    <n v="309.52999999999997"/>
    <n v="9148.14"/>
    <n v="-186.55999999999997"/>
  </r>
  <r>
    <x v="11"/>
    <x v="4"/>
    <x v="0"/>
    <s v="4810103"/>
    <n v="721810"/>
    <s v="Supplies-Dietary/Cafeteria"/>
    <s v="Radiology - Diagnostic"/>
    <x v="0"/>
    <m/>
    <n v="15.75"/>
    <n v="19.440000000000001"/>
    <n v="19.059999999999999"/>
    <n v="126.4"/>
    <n v="97.44"/>
    <n v="73.08"/>
    <n v="55.55"/>
    <n v="73.05"/>
    <n v="24.53"/>
    <n v="176.09"/>
    <n v="20.190000000000001"/>
    <n v="227.03"/>
    <n v="927.61000000000013"/>
    <n v="-206.84"/>
  </r>
  <r>
    <x v="11"/>
    <x v="4"/>
    <x v="0"/>
    <s v="4810103"/>
    <n v="721830"/>
    <s v="Supplies-Office"/>
    <s v="Radiology - Diagnostic"/>
    <x v="0"/>
    <m/>
    <n v="231.88"/>
    <n v="645.34"/>
    <n v="263.83"/>
    <n v="14.26"/>
    <n v="0"/>
    <n v="87.92"/>
    <n v="65.94"/>
    <n v="946.04"/>
    <n v="81.98"/>
    <n v="0"/>
    <n v="321.77999999999997"/>
    <n v="224.8"/>
    <n v="2883.7700000000004"/>
    <n v="96.979999999999961"/>
  </r>
  <r>
    <x v="11"/>
    <x v="4"/>
    <x v="0"/>
    <s v="4810103"/>
    <n v="721835"/>
    <s v="Supplies-Forms"/>
    <s v="Radiology - Diagnostic"/>
    <x v="0"/>
    <m/>
    <n v="0"/>
    <n v="0"/>
    <n v="0"/>
    <n v="0"/>
    <n v="7.5"/>
    <n v="0"/>
    <n v="0"/>
    <n v="0"/>
    <n v="0"/>
    <n v="0"/>
    <n v="0"/>
    <n v="0"/>
    <n v="7.5"/>
    <n v="0"/>
  </r>
  <r>
    <x v="11"/>
    <x v="4"/>
    <x v="0"/>
    <s v="4810103"/>
    <n v="721870"/>
    <s v="Supplies-Environmental Services"/>
    <s v="Radiology - Diagnostic"/>
    <x v="0"/>
    <m/>
    <n v="139"/>
    <n v="104.99"/>
    <n v="275.23"/>
    <n v="306.81"/>
    <n v="668.37"/>
    <n v="135.68"/>
    <n v="716.41"/>
    <n v="103.04"/>
    <n v="408.57"/>
    <n v="395.69"/>
    <n v="89.51"/>
    <n v="156.31"/>
    <n v="3499.6100000000006"/>
    <n v="-66.8"/>
  </r>
  <r>
    <x v="11"/>
    <x v="4"/>
    <x v="0"/>
    <s v="4810103"/>
    <n v="721910"/>
    <s v="Supplies-Small Equipment"/>
    <s v="Radiology - Diagnostic"/>
    <x v="0"/>
    <m/>
    <n v="4194.45"/>
    <n v="27.71"/>
    <n v="2344.09"/>
    <n v="27.96"/>
    <n v="744.18"/>
    <n v="695.95"/>
    <n v="16.04"/>
    <n v="0"/>
    <n v="1107.08"/>
    <n v="182.38"/>
    <n v="13.63"/>
    <n v="18.399999999999999"/>
    <n v="9371.8699999999972"/>
    <n v="-4.7699999999999978"/>
  </r>
  <r>
    <x v="11"/>
    <x v="4"/>
    <x v="0"/>
    <s v="4810103"/>
    <n v="721910"/>
    <s v="Instruments"/>
    <s v="Radiology - Diagnostic"/>
    <x v="0"/>
    <n v="1000"/>
    <n v="255.99"/>
    <n v="262.81"/>
    <n v="5574.6"/>
    <n v="159.08000000000001"/>
    <n v="3736.84"/>
    <n v="-401.98"/>
    <n v="224.22"/>
    <n v="782.12"/>
    <n v="351.02"/>
    <n v="219.61"/>
    <n v="554.22"/>
    <n v="325.14999999999998"/>
    <n v="12043.68"/>
    <n v="229.07000000000005"/>
  </r>
  <r>
    <x v="11"/>
    <x v="4"/>
    <x v="0"/>
    <s v="4810103"/>
    <n v="721980"/>
    <s v="Supplies-Other"/>
    <s v="Radiology - Diagnostic"/>
    <x v="0"/>
    <m/>
    <n v="217.64"/>
    <n v="0"/>
    <n v="0"/>
    <n v="1325.37"/>
    <n v="30.58"/>
    <n v="244.17"/>
    <n v="103.45"/>
    <n v="0"/>
    <n v="1353.24"/>
    <n v="0"/>
    <n v="49.14"/>
    <n v="93.58"/>
    <n v="3417.1699999999996"/>
    <n v="-44.44"/>
  </r>
  <r>
    <x v="11"/>
    <x v="4"/>
    <x v="0"/>
    <s v="4810103"/>
    <n v="722000"/>
    <s v="Supplies-Freight Expense"/>
    <s v="Radiology - Diagnostic"/>
    <x v="0"/>
    <m/>
    <n v="171.46"/>
    <n v="518.09"/>
    <n v="600.84"/>
    <n v="732.37"/>
    <n v="242.71"/>
    <n v="700.51"/>
    <n v="466.85"/>
    <n v="349.94"/>
    <n v="415.42"/>
    <n v="325.3"/>
    <n v="579.66"/>
    <n v="352.47"/>
    <n v="5455.6200000000008"/>
    <n v="227.18999999999994"/>
  </r>
  <r>
    <x v="11"/>
    <x v="4"/>
    <x v="0"/>
    <s v="4810103"/>
    <n v="723000"/>
    <s v="Supply Rebates/Patronage Dividend"/>
    <s v="Radiology - Diagnostic"/>
    <x v="0"/>
    <m/>
    <n v="0"/>
    <n v="0"/>
    <n v="-1003.55"/>
    <n v="0"/>
    <n v="0"/>
    <n v="-933.87"/>
    <n v="0"/>
    <n v="0"/>
    <n v="-998.65"/>
    <n v="0"/>
    <n v="0"/>
    <n v="-201.33"/>
    <n v="-3137.4"/>
    <n v="201.33"/>
  </r>
  <r>
    <x v="12"/>
    <x v="4"/>
    <x v="0"/>
    <s v="4810103"/>
    <n v="730010"/>
    <s v="Rental and Leases-Building (DO NOT USE)"/>
    <s v="Radiology - Diagnostic"/>
    <x v="0"/>
    <m/>
    <n v="0"/>
    <n v="0"/>
    <n v="0"/>
    <n v="69874.45"/>
    <n v="19172.689999999999"/>
    <n v="0"/>
    <n v="0"/>
    <n v="0"/>
    <n v="0"/>
    <n v="0"/>
    <n v="0"/>
    <n v="0"/>
    <n v="89047.14"/>
    <n v="0"/>
  </r>
  <r>
    <x v="12"/>
    <x v="4"/>
    <x v="0"/>
    <s v="4810103"/>
    <n v="730020"/>
    <s v="Rental and Leases-Copier Usage Fees (DO NOT USE)"/>
    <s v="Radiology - Diagnostic"/>
    <x v="0"/>
    <n v="5100"/>
    <n v="671.55"/>
    <n v="687.79"/>
    <n v="679.67"/>
    <n v="679.67"/>
    <n v="679.67"/>
    <n v="679.67"/>
    <n v="761.97"/>
    <n v="636.23"/>
    <n v="634.89"/>
    <n v="829.98"/>
    <n v="636.23"/>
    <n v="741.44"/>
    <n v="8318.76"/>
    <n v="-105.21000000000004"/>
  </r>
  <r>
    <x v="15"/>
    <x v="4"/>
    <x v="0"/>
    <s v="4810103"/>
    <n v="731020"/>
    <s v="Electricity"/>
    <s v="Radiology - Diagnostic"/>
    <x v="0"/>
    <m/>
    <n v="0"/>
    <n v="0"/>
    <n v="0"/>
    <n v="4096.17"/>
    <n v="0"/>
    <n v="0"/>
    <n v="0"/>
    <n v="0"/>
    <n v="0"/>
    <n v="0"/>
    <n v="0"/>
    <n v="0"/>
    <n v="4096.17"/>
    <n v="0"/>
  </r>
  <r>
    <x v="15"/>
    <x v="4"/>
    <x v="0"/>
    <s v="4810103"/>
    <n v="731060"/>
    <s v="Pagers"/>
    <s v="Radiology - Diagnostic"/>
    <x v="0"/>
    <n v="1002"/>
    <n v="64.8"/>
    <n v="53.79"/>
    <n v="64.8"/>
    <n v="95.93"/>
    <n v="70.83"/>
    <n v="0"/>
    <n v="97.44"/>
    <n v="48.72"/>
    <n v="48.72"/>
    <n v="48.72"/>
    <n v="48.72"/>
    <n v="48.72"/>
    <n v="691.19"/>
    <n v="0"/>
  </r>
  <r>
    <x v="13"/>
    <x v="4"/>
    <x v="0"/>
    <s v="4810103"/>
    <n v="735060"/>
    <s v="Depreciation-Fixed Equipment"/>
    <s v="Radiology - Diagnostic"/>
    <x v="0"/>
    <m/>
    <n v="214.7"/>
    <n v="214.7"/>
    <n v="214.7"/>
    <n v="214.7"/>
    <n v="214.71"/>
    <n v="214.7"/>
    <n v="214.71"/>
    <n v="214.69"/>
    <n v="214.71"/>
    <n v="214.69"/>
    <n v="214.71"/>
    <n v="214.69"/>
    <n v="2576.4100000000003"/>
    <n v="2.0000000000010232E-2"/>
  </r>
  <r>
    <x v="13"/>
    <x v="4"/>
    <x v="0"/>
    <s v="4810103"/>
    <n v="735070"/>
    <s v="Depreciation-Movable Equipment"/>
    <s v="Radiology - Diagnostic"/>
    <x v="0"/>
    <m/>
    <n v="8334.69"/>
    <n v="9905.9500000000007"/>
    <n v="9905.98"/>
    <n v="13873.57"/>
    <n v="10050.39"/>
    <n v="10072.98"/>
    <n v="10116"/>
    <n v="10116.030000000001"/>
    <n v="10115.99"/>
    <n v="10116.040000000001"/>
    <n v="10116"/>
    <n v="9971.57"/>
    <n v="122695.19"/>
    <n v="144.43000000000029"/>
  </r>
  <r>
    <x v="0"/>
    <x v="4"/>
    <x v="0"/>
    <s v="4810103"/>
    <n v="749510"/>
    <s v="Miscellaneous Expenses"/>
    <s v="Radiology - Diagnostic"/>
    <x v="0"/>
    <m/>
    <n v="120"/>
    <n v="0"/>
    <n v="11.88"/>
    <n v="1952.39"/>
    <n v="0"/>
    <n v="0"/>
    <n v="0"/>
    <n v="175"/>
    <n v="367.5"/>
    <n v="36.380000000000003"/>
    <n v="166.8"/>
    <n v="196.1"/>
    <n v="3026.05"/>
    <n v="-29.299999999999983"/>
  </r>
  <r>
    <x v="0"/>
    <x v="4"/>
    <x v="0"/>
    <s v="4810103"/>
    <n v="749510"/>
    <s v="Licenses"/>
    <s v="Radiology - Diagnostic"/>
    <x v="0"/>
    <n v="1002"/>
    <n v="0"/>
    <n v="0"/>
    <n v="2622"/>
    <n v="0"/>
    <n v="0"/>
    <n v="0"/>
    <n v="0"/>
    <n v="0"/>
    <n v="0"/>
    <n v="0"/>
    <n v="0"/>
    <n v="0"/>
    <n v="2622"/>
    <n v="0"/>
  </r>
  <r>
    <x v="18"/>
    <x v="8"/>
    <x v="0"/>
    <s v="4810104"/>
    <n v="400010"/>
    <s v="Acute I/P Svcs Rev--Medicare"/>
    <s v="Radiology - Diagnostic"/>
    <x v="0"/>
    <n v="1100"/>
    <n v="-250132.8"/>
    <n v="-268028.7"/>
    <n v="-251502.21"/>
    <n v="-225572.54"/>
    <n v="-220595.05"/>
    <n v="-307513.94"/>
    <n v="-304395.15000000002"/>
    <n v="-252009.05"/>
    <n v="-336209.5"/>
    <n v="-251762.17"/>
    <n v="-240433.45"/>
    <n v="-235373.74"/>
    <n v="-3143528.3000000007"/>
    <n v="-5059.710000000021"/>
  </r>
  <r>
    <x v="18"/>
    <x v="8"/>
    <x v="0"/>
    <s v="4810104"/>
    <n v="400010"/>
    <s v="Acute I/P Svcs Rev--Medicaid"/>
    <s v="Radiology - Diagnostic"/>
    <x v="0"/>
    <n v="1200"/>
    <n v="-36995.29"/>
    <n v="-52079.32"/>
    <n v="-59514.12"/>
    <n v="-61371.79"/>
    <n v="-37216.550000000003"/>
    <n v="-42408.69"/>
    <n v="-40760.22"/>
    <n v="-48585.62"/>
    <n v="-54597.7"/>
    <n v="-44960.09"/>
    <n v="-43657.66"/>
    <n v="-43000.37"/>
    <n v="-565147.42000000004"/>
    <n v="-657.29000000000087"/>
  </r>
  <r>
    <x v="18"/>
    <x v="8"/>
    <x v="0"/>
    <s v="4810104"/>
    <n v="400010"/>
    <s v="Acute I/P Svcs Rev--Comm Insurance"/>
    <s v="Radiology - Diagnostic"/>
    <x v="0"/>
    <n v="1300"/>
    <n v="-8565.64"/>
    <n v="6782.65"/>
    <n v="-2012.85"/>
    <n v="-2208.73"/>
    <n v="-18028.55"/>
    <n v="-4753.8"/>
    <n v="-2665.03"/>
    <n v="-5990.63"/>
    <n v="-3774.99"/>
    <n v="583.32000000000005"/>
    <n v="-6662"/>
    <n v="-6720.21"/>
    <n v="-54016.459999999992"/>
    <n v="58.210000000000036"/>
  </r>
  <r>
    <x v="18"/>
    <x v="8"/>
    <x v="0"/>
    <s v="4810104"/>
    <n v="400010"/>
    <s v="Acute I/P Svcs Rev--BCBS Comm"/>
    <s v="Radiology - Diagnostic"/>
    <x v="0"/>
    <n v="1301"/>
    <n v="-16239.79"/>
    <n v="-11310.48"/>
    <n v="-14830.02"/>
    <n v="-10447.379999999999"/>
    <n v="-8939.7000000000007"/>
    <n v="-9803.34"/>
    <n v="-22450.58"/>
    <n v="-24769.23"/>
    <n v="-18022.87"/>
    <n v="-17387.37"/>
    <n v="-15859.59"/>
    <n v="-14220.2"/>
    <n v="-184280.55"/>
    <n v="-1639.3899999999994"/>
  </r>
  <r>
    <x v="18"/>
    <x v="8"/>
    <x v="0"/>
    <s v="4810104"/>
    <n v="400010"/>
    <s v="Acute I/P Svcs Rev--Managed Care"/>
    <s v="Radiology - Diagnostic"/>
    <x v="0"/>
    <n v="1400"/>
    <n v="-16531.59"/>
    <n v="-34214.65"/>
    <n v="-56557.04"/>
    <n v="-30359.63"/>
    <n v="-30446.68"/>
    <n v="-47302.720000000001"/>
    <n v="-37672.519999999997"/>
    <n v="-43000.22"/>
    <n v="-25753.72"/>
    <n v="-20161.22"/>
    <n v="-27973.18"/>
    <n v="-13852.06"/>
    <n v="-383825.23"/>
    <n v="-14121.12"/>
  </r>
  <r>
    <x v="18"/>
    <x v="8"/>
    <x v="0"/>
    <s v="4810104"/>
    <n v="400010"/>
    <s v="Acute I/P Svcs Rev--Self Pay"/>
    <s v="Radiology - Diagnostic"/>
    <x v="0"/>
    <n v="1500"/>
    <n v="-2017.9"/>
    <n v="-4763.66"/>
    <n v="-5437.62"/>
    <n v="-5300.82"/>
    <n v="-1248.03"/>
    <n v="-6801.12"/>
    <n v="650.16"/>
    <n v="-1637.02"/>
    <n v="-2482.71"/>
    <n v="-2186.4299999999998"/>
    <n v="-9614.16"/>
    <n v="-494.46"/>
    <n v="-41333.769999999997"/>
    <n v="-9119.7000000000007"/>
  </r>
  <r>
    <x v="18"/>
    <x v="8"/>
    <x v="0"/>
    <s v="4810104"/>
    <n v="400010"/>
    <s v="Acute I/P Svcs Rev--Other"/>
    <s v="Radiology - Diagnostic"/>
    <x v="0"/>
    <n v="1700"/>
    <n v="-11368.98"/>
    <n v="-16502.32"/>
    <n v="-19550.939999999999"/>
    <n v="-38148.339999999997"/>
    <n v="-8830.5"/>
    <n v="-12587.65"/>
    <n v="-8268.65"/>
    <n v="-20295.259999999998"/>
    <n v="-22447.52"/>
    <n v="-24092.83"/>
    <n v="-33076.46"/>
    <n v="-26682.93"/>
    <n v="-241852.37999999998"/>
    <n v="-6393.5299999999988"/>
  </r>
  <r>
    <x v="19"/>
    <x v="8"/>
    <x v="0"/>
    <s v="4810104"/>
    <n v="400020"/>
    <s v="O/P Care Svcs Rev--Medicare"/>
    <s v="Radiology - Diagnostic"/>
    <x v="0"/>
    <n v="1100"/>
    <n v="-340020.45"/>
    <n v="-437069.52"/>
    <n v="-420924.31"/>
    <n v="-447469.5"/>
    <n v="-381130.77"/>
    <n v="-406313.34"/>
    <n v="-452312.28"/>
    <n v="-393004.01"/>
    <n v="-493145.46"/>
    <n v="-467841.98"/>
    <n v="-502325.88"/>
    <n v="-449293.16"/>
    <n v="-5190850.6599999992"/>
    <n v="-53032.72000000003"/>
  </r>
  <r>
    <x v="19"/>
    <x v="8"/>
    <x v="0"/>
    <s v="4810104"/>
    <n v="400020"/>
    <s v="O/P Care Svcs Rev--Medicaid"/>
    <s v="Radiology - Diagnostic"/>
    <x v="0"/>
    <n v="1200"/>
    <n v="-159170.18"/>
    <n v="-155703.07"/>
    <n v="-144779.57999999999"/>
    <n v="-148965.65"/>
    <n v="-146398.96"/>
    <n v="-145817.94"/>
    <n v="-182554.01"/>
    <n v="-189029.01"/>
    <n v="-217015.58"/>
    <n v="-217907.22"/>
    <n v="-184133.41"/>
    <n v="-166944"/>
    <n v="-2058418.6099999999"/>
    <n v="-17189.410000000003"/>
  </r>
  <r>
    <x v="19"/>
    <x v="8"/>
    <x v="0"/>
    <s v="4810104"/>
    <n v="400020"/>
    <s v="O/P Care Svcs Rev--Comm Insurance"/>
    <s v="Radiology - Diagnostic"/>
    <x v="0"/>
    <n v="1300"/>
    <n v="-44173.21"/>
    <n v="-20563.330000000002"/>
    <n v="-28214.07"/>
    <n v="-44009.09"/>
    <n v="-54836.09"/>
    <n v="-56675.93"/>
    <n v="-28446.09"/>
    <n v="-30889.3"/>
    <n v="-66324.289999999994"/>
    <n v="-52136.74"/>
    <n v="-43030.36"/>
    <n v="-43463.5"/>
    <n v="-512761.99999999994"/>
    <n v="433.13999999999942"/>
  </r>
  <r>
    <x v="19"/>
    <x v="8"/>
    <x v="0"/>
    <s v="4810104"/>
    <n v="400020"/>
    <s v="O/P Care Svcs Rev--BCBS Comm"/>
    <s v="Radiology - Diagnostic"/>
    <x v="0"/>
    <n v="1301"/>
    <n v="-102372.33"/>
    <n v="-90308.93"/>
    <n v="-105626.09"/>
    <n v="-97457.97"/>
    <n v="-101109.68"/>
    <n v="-84522.45"/>
    <n v="-112063.1"/>
    <n v="-92974.28"/>
    <n v="-115950.19"/>
    <n v="-109805.19"/>
    <n v="-112518.16"/>
    <n v="-93112.34"/>
    <n v="-1217820.71"/>
    <n v="-19405.820000000007"/>
  </r>
  <r>
    <x v="19"/>
    <x v="8"/>
    <x v="0"/>
    <s v="4810104"/>
    <n v="400020"/>
    <s v="O/P Care Svcs Rev--Managed Care"/>
    <s v="Radiology - Diagnostic"/>
    <x v="0"/>
    <n v="1400"/>
    <n v="-164020.10999999999"/>
    <n v="-178404.44"/>
    <n v="-186517.06"/>
    <n v="-196892.34"/>
    <n v="-203328.8"/>
    <n v="-181633.91"/>
    <n v="-227979.3"/>
    <n v="-193683.6"/>
    <n v="-217268.37"/>
    <n v="-209945.43"/>
    <n v="-229791.56"/>
    <n v="-230305.41"/>
    <n v="-2419770.33"/>
    <n v="513.85000000000582"/>
  </r>
  <r>
    <x v="19"/>
    <x v="8"/>
    <x v="0"/>
    <s v="4810104"/>
    <n v="400020"/>
    <s v="O/P Care Svcs Rev--Self Pay"/>
    <s v="Radiology - Diagnostic"/>
    <x v="0"/>
    <n v="1500"/>
    <n v="-17860.25"/>
    <n v="-19468.12"/>
    <n v="-24240.47"/>
    <n v="-18352.64"/>
    <n v="-18263.37"/>
    <n v="-16128.64"/>
    <n v="-20835.36"/>
    <n v="-11095.55"/>
    <n v="-23637.599999999999"/>
    <n v="-16731.11"/>
    <n v="-22114.65"/>
    <n v="-19130.45"/>
    <n v="-227858.21"/>
    <n v="-2984.2000000000007"/>
  </r>
  <r>
    <x v="19"/>
    <x v="8"/>
    <x v="0"/>
    <s v="4810104"/>
    <n v="400020"/>
    <s v="O/P Care Svcs Rev--Other"/>
    <s v="Radiology - Diagnostic"/>
    <x v="0"/>
    <n v="1700"/>
    <n v="-58309.65"/>
    <n v="-51713.23"/>
    <n v="-47959.11"/>
    <n v="-60477.43"/>
    <n v="-62506.51"/>
    <n v="-73599.520000000004"/>
    <n v="-72266.45"/>
    <n v="-64671.5"/>
    <n v="-86060.75"/>
    <n v="-52483.26"/>
    <n v="-90429.72"/>
    <n v="-61459.360000000001"/>
    <n v="-781936.49"/>
    <n v="-28970.36"/>
  </r>
  <r>
    <x v="5"/>
    <x v="8"/>
    <x v="0"/>
    <s v="4810104"/>
    <n v="700026"/>
    <s v="Salaries-RN-Productive"/>
    <s v="Radiology - Diagnostic"/>
    <x v="0"/>
    <m/>
    <n v="0"/>
    <n v="0"/>
    <n v="0"/>
    <n v="0"/>
    <n v="0"/>
    <n v="0"/>
    <n v="0"/>
    <n v="0"/>
    <n v="46.99"/>
    <n v="0"/>
    <n v="0"/>
    <n v="0"/>
    <n v="46.99"/>
    <n v="0"/>
  </r>
  <r>
    <x v="5"/>
    <x v="8"/>
    <x v="0"/>
    <s v="4810104"/>
    <n v="700026"/>
    <s v="Salaries-RN-Other"/>
    <s v="Radiology - Diagnostic"/>
    <x v="0"/>
    <n v="2000"/>
    <n v="0"/>
    <n v="0"/>
    <n v="0"/>
    <n v="0"/>
    <n v="0"/>
    <n v="0"/>
    <n v="0"/>
    <n v="0"/>
    <n v="2.25"/>
    <n v="0"/>
    <n v="0"/>
    <n v="0"/>
    <n v="2.25"/>
    <n v="0"/>
  </r>
  <r>
    <x v="5"/>
    <x v="8"/>
    <x v="0"/>
    <s v="4810104"/>
    <n v="700032"/>
    <s v="Salaries-Other Pat Care Providers-Productive"/>
    <s v="Radiology - Diagnostic"/>
    <x v="0"/>
    <m/>
    <n v="1475.23"/>
    <n v="1191.69"/>
    <n v="2075.19"/>
    <n v="2717.72"/>
    <n v="647.66999999999996"/>
    <n v="2386.44"/>
    <n v="1786.97"/>
    <n v="991.7"/>
    <n v="-342.58"/>
    <n v="0"/>
    <n v="0"/>
    <n v="0"/>
    <n v="12930.03"/>
    <n v="0"/>
  </r>
  <r>
    <x v="5"/>
    <x v="8"/>
    <x v="0"/>
    <s v="4810104"/>
    <n v="700032"/>
    <s v="Salaries-Other Pat Care Providers-OT"/>
    <s v="Radiology - Diagnostic"/>
    <x v="0"/>
    <n v="1000"/>
    <n v="96.54"/>
    <n v="188.23"/>
    <n v="529.45000000000005"/>
    <n v="-67.290000000000006"/>
    <n v="28.14"/>
    <n v="19.47"/>
    <n v="24.68"/>
    <n v="-6.49"/>
    <n v="0"/>
    <n v="0"/>
    <n v="0"/>
    <n v="0"/>
    <n v="812.73"/>
    <n v="0"/>
  </r>
  <r>
    <x v="5"/>
    <x v="8"/>
    <x v="0"/>
    <s v="4810104"/>
    <n v="700032"/>
    <s v="Salaries-Other Pat Care Providers-Other"/>
    <s v="Radiology - Diagnostic"/>
    <x v="0"/>
    <n v="2000"/>
    <n v="276.58999999999997"/>
    <n v="88.49"/>
    <n v="143.75"/>
    <n v="74.959999999999994"/>
    <n v="31.49"/>
    <n v="53.27"/>
    <n v="43.79"/>
    <n v="32.81"/>
    <n v="-10.19"/>
    <n v="0"/>
    <n v="0"/>
    <n v="0"/>
    <n v="734.95999999999981"/>
    <n v="0"/>
  </r>
  <r>
    <x v="5"/>
    <x v="8"/>
    <x v="0"/>
    <s v="4810104"/>
    <n v="700034"/>
    <s v="Salaries-Tech/Professional-Productive"/>
    <s v="Radiology - Diagnostic"/>
    <x v="0"/>
    <m/>
    <n v="62975.69"/>
    <n v="58419.6"/>
    <n v="55504.66"/>
    <n v="60495"/>
    <n v="64795.11"/>
    <n v="56169.279999999999"/>
    <n v="61201.24"/>
    <n v="55259.49"/>
    <n v="65086.79"/>
    <n v="59704.69"/>
    <n v="57756.02"/>
    <n v="60709.2"/>
    <n v="718076.77"/>
    <n v="-2953.1800000000003"/>
  </r>
  <r>
    <x v="5"/>
    <x v="8"/>
    <x v="0"/>
    <s v="4810104"/>
    <n v="700034"/>
    <s v="Salaries-Tech/Professional-OT"/>
    <s v="Radiology - Diagnostic"/>
    <x v="0"/>
    <n v="1000"/>
    <n v="2515.58"/>
    <n v="6165.15"/>
    <n v="6952.28"/>
    <n v="3189.65"/>
    <n v="2661.94"/>
    <n v="3536.82"/>
    <n v="2641.39"/>
    <n v="1964"/>
    <n v="857.24"/>
    <n v="2701.27"/>
    <n v="4598.04"/>
    <n v="4430.58"/>
    <n v="42213.94"/>
    <n v="167.46000000000004"/>
  </r>
  <r>
    <x v="5"/>
    <x v="8"/>
    <x v="0"/>
    <s v="4810104"/>
    <n v="700034"/>
    <s v="Salaries-Tech/Professional-Other"/>
    <s v="Radiology - Diagnostic"/>
    <x v="0"/>
    <n v="2000"/>
    <n v="7401.07"/>
    <n v="7294.6"/>
    <n v="5821.19"/>
    <n v="6278.86"/>
    <n v="5837.03"/>
    <n v="5373.69"/>
    <n v="5728.43"/>
    <n v="4707.47"/>
    <n v="5485.63"/>
    <n v="5519.48"/>
    <n v="6435.23"/>
    <n v="5760.86"/>
    <n v="71643.539999999994"/>
    <n v="674.36999999999989"/>
  </r>
  <r>
    <x v="5"/>
    <x v="8"/>
    <x v="0"/>
    <s v="4810104"/>
    <n v="700054"/>
    <s v="Salaries-Management-NonProd-Other"/>
    <s v="Radiology - Diagnostic"/>
    <x v="0"/>
    <n v="2000"/>
    <n v="0"/>
    <n v="0"/>
    <n v="0"/>
    <n v="0"/>
    <n v="0"/>
    <n v="212.94"/>
    <n v="-212.94"/>
    <n v="0"/>
    <n v="0"/>
    <n v="0"/>
    <n v="0"/>
    <n v="0"/>
    <n v="0"/>
    <n v="0"/>
  </r>
  <r>
    <x v="5"/>
    <x v="8"/>
    <x v="0"/>
    <s v="4810104"/>
    <n v="700072"/>
    <s v="Salaries-Other Pat Care Providers-Non-productive"/>
    <s v="Radiology - Diagnostic"/>
    <x v="0"/>
    <m/>
    <n v="0"/>
    <n v="156.65"/>
    <n v="0"/>
    <n v="0"/>
    <n v="0"/>
    <n v="0"/>
    <n v="0"/>
    <n v="241.48"/>
    <n v="-0.12"/>
    <n v="0"/>
    <n v="0"/>
    <n v="0"/>
    <n v="398.01"/>
    <n v="0"/>
  </r>
  <r>
    <x v="5"/>
    <x v="8"/>
    <x v="0"/>
    <s v="4810104"/>
    <n v="700074"/>
    <s v="Salaries-Tech/Professional-Non-productive"/>
    <s v="Radiology - Diagnostic"/>
    <x v="0"/>
    <m/>
    <n v="9142.67"/>
    <n v="16226.61"/>
    <n v="14165.18"/>
    <n v="5540.42"/>
    <n v="3007.36"/>
    <n v="12782.3"/>
    <n v="11389.06"/>
    <n v="6967.91"/>
    <n v="3218.83"/>
    <n v="12391.1"/>
    <n v="5817.68"/>
    <n v="7304.5"/>
    <n v="107953.62"/>
    <n v="-1486.8199999999997"/>
  </r>
  <r>
    <x v="5"/>
    <x v="8"/>
    <x v="0"/>
    <s v="4810104"/>
    <n v="700074"/>
    <s v="Salaries-Tech/Professional-NonProd-Other"/>
    <s v="Radiology - Diagnostic"/>
    <x v="0"/>
    <n v="2000"/>
    <n v="856.87"/>
    <n v="583.41999999999996"/>
    <n v="532.92999999999995"/>
    <n v="39.32"/>
    <n v="341.26"/>
    <n v="698.39"/>
    <n v="623.29999999999995"/>
    <n v="681.63"/>
    <n v="753.53"/>
    <n v="890.16"/>
    <n v="509.79"/>
    <n v="855.7"/>
    <n v="7366.2999999999993"/>
    <n v="-345.91"/>
  </r>
  <r>
    <x v="5"/>
    <x v="8"/>
    <x v="0"/>
    <s v="4810104"/>
    <n v="700084"/>
    <s v="Accrued PTO"/>
    <s v="Radiology - Diagnostic"/>
    <x v="0"/>
    <m/>
    <n v="1329.42"/>
    <n v="-113.27"/>
    <n v="288.82"/>
    <n v="3510.27"/>
    <n v="3891.5"/>
    <n v="-2822.78"/>
    <n v="-3248.59"/>
    <n v="830.61"/>
    <n v="3606.77"/>
    <n v="-12482.26"/>
    <n v="631.4"/>
    <n v="1981.09"/>
    <n v="-2597.0200000000013"/>
    <n v="-1349.69"/>
  </r>
  <r>
    <x v="6"/>
    <x v="8"/>
    <x v="0"/>
    <s v="4810104"/>
    <n v="713010"/>
    <s v="Benefits-FICA/Medicare"/>
    <s v="Radiology - Diagnostic"/>
    <x v="0"/>
    <m/>
    <n v="6342.71"/>
    <n v="6756.78"/>
    <n v="6416.73"/>
    <n v="5859.13"/>
    <n v="6152.66"/>
    <n v="6079.68"/>
    <n v="6274.77"/>
    <n v="5296.25"/>
    <n v="5572.01"/>
    <n v="6421.39"/>
    <n v="5616.77"/>
    <n v="5919.06"/>
    <n v="72707.94"/>
    <n v="-302.28999999999996"/>
  </r>
  <r>
    <x v="6"/>
    <x v="8"/>
    <x v="0"/>
    <s v="4810104"/>
    <n v="713090"/>
    <s v="Benefits-Allocated Amounts"/>
    <s v="Radiology - Diagnostic"/>
    <x v="0"/>
    <m/>
    <n v="15877.78"/>
    <n v="15003.1"/>
    <n v="15380.74"/>
    <n v="14359.24"/>
    <n v="14793.42"/>
    <n v="14240.41"/>
    <n v="15362.52"/>
    <n v="14505.64"/>
    <n v="14083.09"/>
    <n v="15539.53"/>
    <n v="14602.32"/>
    <n v="15500.37"/>
    <n v="179248.16"/>
    <n v="-898.05000000000109"/>
  </r>
  <r>
    <x v="6"/>
    <x v="8"/>
    <x v="0"/>
    <s v="4810104"/>
    <n v="713096"/>
    <s v="Employee Recognition"/>
    <s v="Radiology - Diagnostic"/>
    <x v="0"/>
    <n v="1017"/>
    <n v="0"/>
    <n v="0"/>
    <n v="0"/>
    <n v="0"/>
    <n v="0"/>
    <n v="0"/>
    <n v="0"/>
    <n v="0"/>
    <n v="0"/>
    <n v="0"/>
    <n v="0"/>
    <n v="240"/>
    <n v="240"/>
    <n v="-240"/>
  </r>
  <r>
    <x v="7"/>
    <x v="8"/>
    <x v="0"/>
    <s v="4810104"/>
    <n v="718050"/>
    <s v="Contract Svcs-Other"/>
    <s v="Radiology - Diagnostic"/>
    <x v="0"/>
    <m/>
    <n v="0"/>
    <n v="0"/>
    <n v="0"/>
    <n v="0"/>
    <n v="0"/>
    <n v="2400"/>
    <n v="0"/>
    <n v="0"/>
    <n v="0"/>
    <n v="0"/>
    <n v="0"/>
    <n v="0"/>
    <n v="2400"/>
    <n v="0"/>
  </r>
  <r>
    <x v="7"/>
    <x v="8"/>
    <x v="0"/>
    <s v="4810104"/>
    <n v="718050"/>
    <s v="Miscellaneous Purchased Svcs"/>
    <s v="Radiology - Diagnostic"/>
    <x v="0"/>
    <n v="1020"/>
    <n v="0"/>
    <n v="0"/>
    <n v="1812.5"/>
    <n v="0"/>
    <n v="0"/>
    <n v="0"/>
    <n v="0"/>
    <n v="0"/>
    <n v="0"/>
    <n v="1733.75"/>
    <n v="0"/>
    <n v="0"/>
    <n v="3546.25"/>
    <n v="0"/>
  </r>
  <r>
    <x v="7"/>
    <x v="8"/>
    <x v="0"/>
    <s v="4810104"/>
    <n v="718050"/>
    <s v="Translation Services"/>
    <s v="Radiology - Diagnostic"/>
    <x v="0"/>
    <n v="1025"/>
    <n v="0"/>
    <n v="0"/>
    <n v="0"/>
    <n v="0"/>
    <n v="0"/>
    <n v="0"/>
    <n v="8.91"/>
    <n v="0"/>
    <n v="0"/>
    <n v="0"/>
    <n v="0"/>
    <n v="0"/>
    <n v="8.91"/>
    <n v="0"/>
  </r>
  <r>
    <x v="7"/>
    <x v="8"/>
    <x v="0"/>
    <s v="4810104"/>
    <n v="718050"/>
    <s v="Contract Management--Linen"/>
    <s v="Radiology - Diagnostic"/>
    <x v="0"/>
    <n v="1026"/>
    <n v="3218.43"/>
    <n v="3384.48"/>
    <n v="2513.6799999999998"/>
    <n v="2739.72"/>
    <n v="3417.54"/>
    <n v="2600.34"/>
    <n v="2878.67"/>
    <n v="3264.34"/>
    <n v="3004.4"/>
    <n v="3330.51"/>
    <n v="3240.93"/>
    <n v="3434.9"/>
    <n v="37027.94"/>
    <n v="-193.97000000000025"/>
  </r>
  <r>
    <x v="7"/>
    <x v="8"/>
    <x v="0"/>
    <s v="4810104"/>
    <n v="718070"/>
    <s v="Contract Srvcs-CHI Clinical Engineering"/>
    <s v="Radiology - Diagnostic"/>
    <x v="0"/>
    <m/>
    <n v="5206.7"/>
    <n v="5206.6899999999996"/>
    <n v="5206.6899999999996"/>
    <n v="5069.22"/>
    <n v="5069.25"/>
    <n v="5069.22"/>
    <n v="4850.6400000000003"/>
    <n v="4850.6400000000003"/>
    <n v="4850.6400000000003"/>
    <n v="5456.15"/>
    <n v="5800.36"/>
    <n v="5392.3"/>
    <n v="62028.500000000007"/>
    <n v="408.05999999999949"/>
  </r>
  <r>
    <x v="11"/>
    <x v="8"/>
    <x v="0"/>
    <s v="4810104"/>
    <n v="721010"/>
    <s v="Supplies-Medical - Billable"/>
    <s v="Radiology - Diagnostic"/>
    <x v="0"/>
    <m/>
    <n v="29.09"/>
    <n v="467.21"/>
    <n v="436.28"/>
    <n v="107.31"/>
    <n v="278.43"/>
    <n v="151.72"/>
    <n v="519.91"/>
    <n v="299.45999999999998"/>
    <n v="153.77000000000001"/>
    <n v="285.47000000000003"/>
    <n v="215.54"/>
    <n v="331.52"/>
    <n v="3275.7099999999996"/>
    <n v="-115.97999999999999"/>
  </r>
  <r>
    <x v="11"/>
    <x v="8"/>
    <x v="0"/>
    <s v="4810104"/>
    <n v="721010"/>
    <s v="Patient Monitoring"/>
    <s v="Radiology - Diagnostic"/>
    <x v="0"/>
    <n v="1000"/>
    <n v="40.53"/>
    <n v="64.849999999999994"/>
    <n v="0"/>
    <n v="117.3"/>
    <n v="14.85"/>
    <n v="81.06"/>
    <n v="0"/>
    <n v="48.64"/>
    <n v="0"/>
    <n v="0"/>
    <n v="81.06"/>
    <n v="40.53"/>
    <n v="488.82000000000005"/>
    <n v="40.53"/>
  </r>
  <r>
    <x v="11"/>
    <x v="8"/>
    <x v="0"/>
    <s v="4810104"/>
    <n v="721020"/>
    <s v="Supplies-Surgical - Billable"/>
    <s v="Radiology - Diagnostic"/>
    <x v="0"/>
    <m/>
    <n v="51.97"/>
    <n v="0"/>
    <n v="3141.72"/>
    <n v="51.97"/>
    <n v="77.95"/>
    <n v="162.28"/>
    <n v="51.97"/>
    <n v="51.97"/>
    <n v="0"/>
    <n v="663.67"/>
    <n v="51.97"/>
    <n v="-37.01"/>
    <n v="4268.4599999999991"/>
    <n v="88.97999999999999"/>
  </r>
  <r>
    <x v="11"/>
    <x v="8"/>
    <x v="0"/>
    <s v="4810104"/>
    <n v="721020"/>
    <s v="Custom Packs"/>
    <s v="Radiology - Diagnostic"/>
    <x v="0"/>
    <n v="1000"/>
    <n v="117.94"/>
    <n v="58.96"/>
    <n v="88.44"/>
    <n v="69.92"/>
    <n v="156.1"/>
    <n v="53.92"/>
    <n v="112.97"/>
    <n v="58.96"/>
    <n v="58.96"/>
    <n v="88.45"/>
    <n v="80.760000000000005"/>
    <n v="47.11"/>
    <n v="992.49000000000012"/>
    <n v="33.650000000000006"/>
  </r>
  <r>
    <x v="11"/>
    <x v="8"/>
    <x v="0"/>
    <s v="4810104"/>
    <n v="721050"/>
    <s v="Supplies-Cardiac Rhythm - Billable"/>
    <s v="Radiology - Diagnostic"/>
    <x v="0"/>
    <m/>
    <n v="0"/>
    <n v="0"/>
    <n v="0"/>
    <n v="0"/>
    <n v="0"/>
    <n v="155.65"/>
    <n v="0"/>
    <n v="0"/>
    <n v="99.05"/>
    <n v="0"/>
    <n v="0"/>
    <n v="0"/>
    <n v="254.7"/>
    <n v="0"/>
  </r>
  <r>
    <x v="11"/>
    <x v="8"/>
    <x v="0"/>
    <s v="4810104"/>
    <n v="721240"/>
    <s v="Supplies-IV Solutions/Supplies - Billable"/>
    <s v="Radiology - Diagnostic"/>
    <x v="0"/>
    <m/>
    <n v="1308.8499999999999"/>
    <n v="1104.8"/>
    <n v="1430.8"/>
    <n v="1823"/>
    <n v="1124.44"/>
    <n v="1467"/>
    <n v="1519.8"/>
    <n v="1048.7"/>
    <n v="1287.02"/>
    <n v="1920.3"/>
    <n v="1724.36"/>
    <n v="853.8"/>
    <n v="16612.87"/>
    <n v="870.56"/>
  </r>
  <r>
    <x v="11"/>
    <x v="8"/>
    <x v="0"/>
    <s v="4810104"/>
    <n v="721250"/>
    <s v="Supplies-Pharmacy Drugs - Billable"/>
    <s v="Radiology - Diagnostic"/>
    <x v="0"/>
    <m/>
    <n v="337.62"/>
    <n v="42.49"/>
    <n v="478.13"/>
    <n v="375.76"/>
    <n v="39.65"/>
    <n v="441.04"/>
    <n v="18.96"/>
    <n v="266.06"/>
    <n v="279.14"/>
    <n v="392.85"/>
    <n v="102.7"/>
    <n v="400.43"/>
    <n v="3174.8299999999995"/>
    <n v="-297.73"/>
  </r>
  <r>
    <x v="11"/>
    <x v="8"/>
    <x v="0"/>
    <s v="4810104"/>
    <n v="721350"/>
    <s v="Supplies-Film/Radiographic - Billable"/>
    <s v="Radiology - Diagnostic"/>
    <x v="0"/>
    <m/>
    <n v="0"/>
    <n v="0"/>
    <n v="0"/>
    <n v="0"/>
    <n v="0"/>
    <n v="0"/>
    <n v="0"/>
    <n v="0"/>
    <n v="0"/>
    <n v="98"/>
    <n v="0"/>
    <n v="-53"/>
    <n v="45"/>
    <n v="53"/>
  </r>
  <r>
    <x v="11"/>
    <x v="8"/>
    <x v="0"/>
    <s v="4810104"/>
    <n v="721350"/>
    <s v="Radiology Imaging - Contrast Media"/>
    <s v="Radiology - Diagnostic"/>
    <x v="0"/>
    <n v="1000"/>
    <n v="482.89"/>
    <n v="136.01"/>
    <n v="113.64"/>
    <n v="383.31"/>
    <n v="789.5"/>
    <n v="66.27"/>
    <n v="92.2"/>
    <n v="38.79"/>
    <n v="62.94"/>
    <n v="129.86000000000001"/>
    <n v="269.58"/>
    <n v="32.700000000000003"/>
    <n v="2597.6899999999996"/>
    <n v="236.88"/>
  </r>
  <r>
    <x v="11"/>
    <x v="8"/>
    <x v="0"/>
    <s v="4810104"/>
    <n v="721410"/>
    <s v="Supplies-Medical - Nonbillable"/>
    <s v="Radiology - Diagnostic"/>
    <x v="0"/>
    <m/>
    <n v="7867.52"/>
    <n v="7055.01"/>
    <n v="6954.03"/>
    <n v="9874.34"/>
    <n v="7371.07"/>
    <n v="6672.06"/>
    <n v="7918.14"/>
    <n v="6076.68"/>
    <n v="6168.73"/>
    <n v="6773.51"/>
    <n v="8261.2199999999993"/>
    <n v="7336.68"/>
    <n v="88328.989999999991"/>
    <n v="924.53999999999905"/>
  </r>
  <r>
    <x v="11"/>
    <x v="8"/>
    <x v="0"/>
    <s v="4810104"/>
    <n v="721420"/>
    <s v="Supplies-Surgical Nonbillable"/>
    <s v="Radiology - Diagnostic"/>
    <x v="0"/>
    <m/>
    <n v="45.11"/>
    <n v="30.07"/>
    <n v="30.07"/>
    <n v="60.14"/>
    <n v="90.22"/>
    <n v="30.07"/>
    <n v="72.17"/>
    <n v="75.180000000000007"/>
    <n v="30.07"/>
    <n v="75.180000000000007"/>
    <n v="120.29"/>
    <n v="0"/>
    <n v="658.56999999999994"/>
    <n v="120.29"/>
  </r>
  <r>
    <x v="11"/>
    <x v="8"/>
    <x v="0"/>
    <s v="4810104"/>
    <n v="721610"/>
    <s v="Supplies-Anesthesia - Nonbillable"/>
    <s v="Radiology - Diagnostic"/>
    <x v="0"/>
    <m/>
    <n v="35.71"/>
    <n v="3.72"/>
    <n v="17.14"/>
    <n v="23.94"/>
    <n v="47.34"/>
    <n v="22.77"/>
    <n v="34.08"/>
    <n v="45.41"/>
    <n v="39.79"/>
    <n v="51.6"/>
    <n v="40.08"/>
    <n v="59.87"/>
    <n v="421.45"/>
    <n v="-19.79"/>
  </r>
  <r>
    <x v="11"/>
    <x v="8"/>
    <x v="0"/>
    <s v="4810104"/>
    <n v="721640"/>
    <s v="Supplies-IV Solutions/Supplies - Nonbillable"/>
    <s v="Radiology - Diagnostic"/>
    <x v="0"/>
    <m/>
    <n v="135.35"/>
    <n v="140.59"/>
    <n v="106.53"/>
    <n v="142.79"/>
    <n v="110.2"/>
    <n v="110.22"/>
    <n v="136.86000000000001"/>
    <n v="88.97"/>
    <n v="125.97"/>
    <n v="119.69"/>
    <n v="200.47"/>
    <n v="77.88"/>
    <n v="1495.52"/>
    <n v="122.59"/>
  </r>
  <r>
    <x v="11"/>
    <x v="8"/>
    <x v="0"/>
    <s v="4810104"/>
    <n v="721710"/>
    <s v="Supplies-Laboratory - Nonbillable"/>
    <s v="Radiology - Diagnostic"/>
    <x v="0"/>
    <m/>
    <n v="13.98"/>
    <n v="44.67"/>
    <n v="43.96"/>
    <n v="14.99"/>
    <n v="34.97"/>
    <n v="38.96"/>
    <n v="52.46"/>
    <n v="33.82"/>
    <n v="0"/>
    <n v="36.46"/>
    <n v="39.82"/>
    <n v="24.98"/>
    <n v="379.07"/>
    <n v="14.84"/>
  </r>
  <r>
    <x v="11"/>
    <x v="8"/>
    <x v="0"/>
    <s v="4810104"/>
    <n v="721750"/>
    <s v="Supplies-Film/Radiographic - Nonbillable"/>
    <s v="Radiology - Diagnostic"/>
    <x v="0"/>
    <m/>
    <n v="231.11"/>
    <n v="99.28"/>
    <n v="610.45000000000005"/>
    <n v="289.08"/>
    <n v="298.74"/>
    <n v="3035.3"/>
    <n v="225.98"/>
    <n v="563.66"/>
    <n v="-44.16"/>
    <n v="431.59"/>
    <n v="402.64"/>
    <n v="94.67"/>
    <n v="6238.34"/>
    <n v="307.96999999999997"/>
  </r>
  <r>
    <x v="11"/>
    <x v="8"/>
    <x v="0"/>
    <s v="4810104"/>
    <n v="721810"/>
    <s v="Supplies-Dietary/Cafeteria"/>
    <s v="Radiology - Diagnostic"/>
    <x v="0"/>
    <m/>
    <n v="62.18"/>
    <n v="61.16"/>
    <n v="35.19"/>
    <n v="40.5"/>
    <n v="65.11"/>
    <n v="30.08"/>
    <n v="64.069999999999993"/>
    <n v="26.26"/>
    <n v="37.06"/>
    <n v="61.27"/>
    <n v="29.94"/>
    <n v="40.65"/>
    <n v="553.46999999999991"/>
    <n v="-10.709999999999997"/>
  </r>
  <r>
    <x v="11"/>
    <x v="8"/>
    <x v="0"/>
    <s v="4810104"/>
    <n v="721830"/>
    <s v="Supplies-Office"/>
    <s v="Radiology - Diagnostic"/>
    <x v="0"/>
    <m/>
    <n v="0"/>
    <n v="0"/>
    <n v="752.95"/>
    <n v="507.85"/>
    <n v="256.02"/>
    <n v="213.37"/>
    <n v="0"/>
    <n v="0"/>
    <n v="-152.62"/>
    <n v="0"/>
    <n v="0"/>
    <n v="0"/>
    <n v="1577.5700000000002"/>
    <n v="0"/>
  </r>
  <r>
    <x v="11"/>
    <x v="8"/>
    <x v="0"/>
    <s v="4810104"/>
    <n v="721870"/>
    <s v="Supplies-Environmental Services"/>
    <s v="Radiology - Diagnostic"/>
    <x v="0"/>
    <m/>
    <n v="265.55"/>
    <n v="328.98"/>
    <n v="194.1"/>
    <n v="235.08"/>
    <n v="334.82"/>
    <n v="193.52"/>
    <n v="479.02"/>
    <n v="208.18"/>
    <n v="383.88"/>
    <n v="366.62"/>
    <n v="105.66"/>
    <n v="317.47000000000003"/>
    <n v="3412.88"/>
    <n v="-211.81000000000003"/>
  </r>
  <r>
    <x v="11"/>
    <x v="8"/>
    <x v="0"/>
    <s v="4810104"/>
    <n v="721910"/>
    <s v="Supplies-Small Equipment"/>
    <s v="Radiology - Diagnostic"/>
    <x v="0"/>
    <m/>
    <n v="21.73"/>
    <n v="19.2"/>
    <n v="0"/>
    <n v="-9.9700000000000006"/>
    <n v="12.24"/>
    <n v="43.92"/>
    <n v="73.8"/>
    <n v="0"/>
    <n v="28.56"/>
    <n v="0"/>
    <n v="0"/>
    <n v="0"/>
    <n v="189.48000000000002"/>
    <n v="0"/>
  </r>
  <r>
    <x v="11"/>
    <x v="8"/>
    <x v="0"/>
    <s v="4810104"/>
    <n v="721910"/>
    <s v="Instruments"/>
    <s v="Radiology - Diagnostic"/>
    <x v="0"/>
    <n v="1000"/>
    <n v="0"/>
    <n v="0"/>
    <n v="0"/>
    <n v="0"/>
    <n v="6.54"/>
    <n v="0"/>
    <n v="0"/>
    <n v="0"/>
    <n v="0"/>
    <n v="0"/>
    <n v="0"/>
    <n v="0"/>
    <n v="6.54"/>
    <n v="0"/>
  </r>
  <r>
    <x v="11"/>
    <x v="8"/>
    <x v="0"/>
    <s v="4810104"/>
    <n v="721980"/>
    <s v="Supplies-Other"/>
    <s v="Radiology - Diagnostic"/>
    <x v="0"/>
    <m/>
    <n v="0"/>
    <n v="0"/>
    <n v="0"/>
    <n v="0"/>
    <n v="0"/>
    <n v="0"/>
    <n v="219.44"/>
    <n v="1461.34"/>
    <n v="0"/>
    <n v="155.66999999999999"/>
    <n v="0"/>
    <n v="0"/>
    <n v="1836.45"/>
    <n v="0"/>
  </r>
  <r>
    <x v="11"/>
    <x v="8"/>
    <x v="0"/>
    <s v="4810104"/>
    <n v="722000"/>
    <s v="Supplies-Freight Expense"/>
    <s v="Radiology - Diagnostic"/>
    <x v="0"/>
    <m/>
    <n v="7.93"/>
    <n v="69.98"/>
    <n v="0"/>
    <n v="256.82"/>
    <n v="9.09"/>
    <n v="0"/>
    <n v="0"/>
    <n v="0"/>
    <n v="0"/>
    <n v="0"/>
    <n v="8.26"/>
    <n v="0"/>
    <n v="352.08"/>
    <n v="8.26"/>
  </r>
  <r>
    <x v="11"/>
    <x v="8"/>
    <x v="0"/>
    <s v="4810104"/>
    <n v="723000"/>
    <s v="Supply Rebates/Patronage Dividend"/>
    <s v="Radiology - Diagnostic"/>
    <x v="0"/>
    <m/>
    <n v="0"/>
    <n v="0"/>
    <n v="-984.21"/>
    <n v="0"/>
    <n v="0"/>
    <n v="-2054.59"/>
    <n v="0"/>
    <n v="0"/>
    <n v="-1609.31"/>
    <n v="0"/>
    <n v="0"/>
    <n v="-967.79"/>
    <n v="-5615.9000000000005"/>
    <n v="967.79"/>
  </r>
  <r>
    <x v="12"/>
    <x v="8"/>
    <x v="0"/>
    <s v="4810104"/>
    <n v="730010"/>
    <s v="Rental and Leases-Building (DO NOT USE)"/>
    <s v="Radiology - Diagnostic"/>
    <x v="0"/>
    <m/>
    <n v="4108.8599999999997"/>
    <n v="4108.8599999999997"/>
    <n v="4108.8599999999997"/>
    <n v="4108.8599999999997"/>
    <n v="4108.8599999999997"/>
    <n v="-878.51"/>
    <n v="3225.82"/>
    <n v="3304.18"/>
    <n v="3265"/>
    <n v="3265"/>
    <n v="3265"/>
    <n v="0"/>
    <n v="35990.79"/>
    <n v="3265"/>
  </r>
  <r>
    <x v="12"/>
    <x v="8"/>
    <x v="0"/>
    <s v="4810104"/>
    <n v="730010"/>
    <s v="Rental-Common Area Maint (DO NOT USE)"/>
    <s v="Radiology - Diagnostic"/>
    <x v="0"/>
    <n v="2200"/>
    <n v="0"/>
    <n v="0"/>
    <n v="0"/>
    <n v="0"/>
    <n v="0"/>
    <n v="4987.37"/>
    <n v="1033.22"/>
    <n v="958.13"/>
    <n v="894.9"/>
    <n v="958.13"/>
    <n v="958.13"/>
    <n v="0"/>
    <n v="9789.8799999999992"/>
    <n v="958.13"/>
  </r>
  <r>
    <x v="12"/>
    <x v="8"/>
    <x v="0"/>
    <s v="4810104"/>
    <n v="730020"/>
    <s v="Rental and Leases-Copier Usage Fees (DO NOT USE)"/>
    <s v="Radiology - Diagnostic"/>
    <x v="0"/>
    <n v="5100"/>
    <n v="271.07"/>
    <n v="279.42"/>
    <n v="275.24"/>
    <n v="275.25"/>
    <n v="275.24"/>
    <n v="275.25"/>
    <n v="309.82"/>
    <n v="282.64999999999998"/>
    <n v="282.05"/>
    <n v="283.77"/>
    <n v="282.64999999999998"/>
    <n v="308.10000000000002"/>
    <n v="3400.51"/>
    <n v="-25.450000000000045"/>
  </r>
  <r>
    <x v="12"/>
    <x v="8"/>
    <x v="0"/>
    <s v="4810104"/>
    <n v="730040"/>
    <s v="LT Lease-Real Estate"/>
    <s v="Radiology - Diagnostic"/>
    <x v="0"/>
    <m/>
    <n v="0"/>
    <n v="0"/>
    <n v="0"/>
    <n v="0"/>
    <n v="0"/>
    <n v="0"/>
    <n v="0"/>
    <n v="0"/>
    <n v="0"/>
    <n v="0"/>
    <n v="0"/>
    <n v="4223.13"/>
    <n v="4223.13"/>
    <n v="-4223.13"/>
  </r>
  <r>
    <x v="13"/>
    <x v="8"/>
    <x v="0"/>
    <s v="4810104"/>
    <n v="735030"/>
    <s v="Depreciation-Buildings"/>
    <s v="Radiology - Diagnostic"/>
    <x v="0"/>
    <m/>
    <n v="16824.36"/>
    <n v="16824.310000000001"/>
    <n v="16824.37"/>
    <n v="16824.25"/>
    <n v="16824.39"/>
    <n v="16824.21"/>
    <n v="16824.39"/>
    <n v="16824.189999999999"/>
    <n v="16824.400000000001"/>
    <n v="16407.71"/>
    <n v="16407.97"/>
    <n v="16407.7"/>
    <n v="200642.24999999997"/>
    <n v="0.27000000000043656"/>
  </r>
  <r>
    <x v="13"/>
    <x v="8"/>
    <x v="0"/>
    <s v="4810104"/>
    <n v="735050"/>
    <s v="Amortization-Leasehold Improvements"/>
    <s v="Radiology - Diagnostic"/>
    <x v="0"/>
    <m/>
    <n v="6284.81"/>
    <n v="6284.85"/>
    <n v="6284.79"/>
    <n v="6284.89"/>
    <n v="6284.77"/>
    <n v="6284.9"/>
    <n v="6284.75"/>
    <n v="6284.9"/>
    <n v="6284.74"/>
    <n v="182.52"/>
    <n v="182.56"/>
    <n v="182.52"/>
    <n v="57110.999999999993"/>
    <n v="3.9999999999992042E-2"/>
  </r>
  <r>
    <x v="13"/>
    <x v="8"/>
    <x v="0"/>
    <s v="4810104"/>
    <n v="735060"/>
    <s v="Depreciation-Fixed Equipment"/>
    <s v="Radiology - Diagnostic"/>
    <x v="0"/>
    <m/>
    <n v="31.77"/>
    <n v="31.77"/>
    <n v="31.78"/>
    <n v="31.77"/>
    <n v="31.78"/>
    <n v="31.77"/>
    <n v="31.78"/>
    <n v="31.77"/>
    <n v="31.78"/>
    <n v="31.77"/>
    <n v="31.78"/>
    <n v="31.77"/>
    <n v="381.28999999999996"/>
    <n v="1.0000000000001563E-2"/>
  </r>
  <r>
    <x v="13"/>
    <x v="8"/>
    <x v="0"/>
    <s v="4810104"/>
    <n v="735070"/>
    <s v="Depreciation-Movable Equipment"/>
    <s v="Radiology - Diagnostic"/>
    <x v="0"/>
    <m/>
    <n v="12797.56"/>
    <n v="12797.6"/>
    <n v="12797.51"/>
    <n v="12700.92"/>
    <n v="12700.67"/>
    <n v="12700.94"/>
    <n v="12700.64"/>
    <n v="12700.95"/>
    <n v="12700.6"/>
    <n v="10685.69"/>
    <n v="10685.75"/>
    <n v="14240.35"/>
    <n v="150209.18000000002"/>
    <n v="-3554.6000000000004"/>
  </r>
  <r>
    <x v="0"/>
    <x v="8"/>
    <x v="0"/>
    <s v="4810104"/>
    <n v="740020"/>
    <s v="Education-Registration Fees"/>
    <s v="Radiology - Diagnostic"/>
    <x v="0"/>
    <m/>
    <n v="0"/>
    <n v="0"/>
    <n v="0"/>
    <n v="0"/>
    <n v="0"/>
    <n v="2983.75"/>
    <n v="0"/>
    <n v="0"/>
    <n v="0"/>
    <n v="0"/>
    <n v="0"/>
    <n v="0"/>
    <n v="2983.75"/>
    <n v="0"/>
  </r>
  <r>
    <x v="0"/>
    <x v="8"/>
    <x v="0"/>
    <s v="4810104"/>
    <n v="749510"/>
    <s v="Miscellaneous Expenses"/>
    <s v="Radiology - Diagnostic"/>
    <x v="0"/>
    <m/>
    <n v="0"/>
    <n v="0"/>
    <n v="0"/>
    <n v="103.4"/>
    <n v="0"/>
    <n v="0"/>
    <n v="0"/>
    <n v="0"/>
    <n v="-103.4"/>
    <n v="0"/>
    <n v="0"/>
    <n v="0"/>
    <n v="0"/>
    <n v="0"/>
  </r>
  <r>
    <x v="0"/>
    <x v="8"/>
    <x v="0"/>
    <s v="4810104"/>
    <n v="749510"/>
    <s v="Licenses"/>
    <s v="Radiology - Diagnostic"/>
    <x v="0"/>
    <n v="1002"/>
    <n v="0"/>
    <n v="0"/>
    <n v="2437.66"/>
    <n v="825"/>
    <n v="0"/>
    <n v="0"/>
    <n v="0"/>
    <n v="0"/>
    <n v="0"/>
    <n v="0"/>
    <n v="0"/>
    <n v="0"/>
    <n v="3262.66"/>
    <n v="0"/>
  </r>
  <r>
    <x v="0"/>
    <x v="8"/>
    <x v="0"/>
    <s v="4810104"/>
    <n v="749510"/>
    <s v="RICE Rewards"/>
    <s v="Radiology - Diagnostic"/>
    <x v="0"/>
    <n v="5100"/>
    <n v="0"/>
    <n v="0"/>
    <n v="0"/>
    <n v="0"/>
    <n v="0"/>
    <n v="0"/>
    <n v="0"/>
    <n v="0"/>
    <n v="0"/>
    <n v="0"/>
    <n v="0"/>
    <n v="185.91"/>
    <n v="185.91"/>
    <n v="-185.91"/>
  </r>
  <r>
    <x v="18"/>
    <x v="5"/>
    <x v="0"/>
    <s v="4810106"/>
    <n v="400010"/>
    <s v="Acute I/P Svcs Rev--Medicare"/>
    <s v="Radiology"/>
    <x v="0"/>
    <n v="1100"/>
    <n v="-213911.09"/>
    <n v="-275378.93"/>
    <n v="-286729.42"/>
    <n v="-282112.7"/>
    <n v="-262890.58"/>
    <n v="-333879.65000000002"/>
    <n v="-323194.49"/>
    <n v="-300644.39"/>
    <n v="-348456.15"/>
    <n v="-314720.11"/>
    <n v="-272284.81"/>
    <n v="-253461.87"/>
    <n v="-3467664.19"/>
    <n v="-18822.940000000002"/>
  </r>
  <r>
    <x v="18"/>
    <x v="5"/>
    <x v="0"/>
    <s v="4810106"/>
    <n v="400010"/>
    <s v="Acute I/P Svcs Rev--Medicaid"/>
    <s v="Radiology"/>
    <x v="0"/>
    <n v="1200"/>
    <n v="-92854.6"/>
    <n v="-60181.35"/>
    <n v="-70915.649999999994"/>
    <n v="-85662.74"/>
    <n v="-83362.36"/>
    <n v="-72967.98"/>
    <n v="-92565.14"/>
    <n v="-90317.31"/>
    <n v="-107083.56"/>
    <n v="-67851.06"/>
    <n v="-82544.490000000005"/>
    <n v="-81666.3"/>
    <n v="-987972.54"/>
    <n v="-878.19000000000233"/>
  </r>
  <r>
    <x v="18"/>
    <x v="5"/>
    <x v="0"/>
    <s v="4810106"/>
    <n v="400010"/>
    <s v="Acute I/P Svcs Rev--Comm Insurance"/>
    <s v="Radiology"/>
    <x v="0"/>
    <n v="1300"/>
    <n v="-508.14"/>
    <n v="-15787.12"/>
    <n v="3375.57"/>
    <n v="326.05"/>
    <n v="-9823.9699999999993"/>
    <n v="-8118.06"/>
    <n v="1066.02"/>
    <n v="-18412.009999999998"/>
    <n v="-11546.69"/>
    <n v="-15971.73"/>
    <n v="-1835.8"/>
    <n v="-8290.5499999999993"/>
    <n v="-85526.430000000008"/>
    <n v="6454.7499999999991"/>
  </r>
  <r>
    <x v="18"/>
    <x v="5"/>
    <x v="0"/>
    <s v="4810106"/>
    <n v="400010"/>
    <s v="Acute I/P Svcs Rev--BCBS Comm"/>
    <s v="Radiology"/>
    <x v="0"/>
    <n v="1301"/>
    <n v="-18609.810000000001"/>
    <n v="-14816.21"/>
    <n v="-6216.94"/>
    <n v="-9161.77"/>
    <n v="-16528.02"/>
    <n v="-24373.34"/>
    <n v="-19979.740000000002"/>
    <n v="-17547.03"/>
    <n v="-18082.95"/>
    <n v="-15388.82"/>
    <n v="-10355.6"/>
    <n v="-9849.35"/>
    <n v="-180909.58000000005"/>
    <n v="-506.25"/>
  </r>
  <r>
    <x v="18"/>
    <x v="5"/>
    <x v="0"/>
    <s v="4810106"/>
    <n v="400010"/>
    <s v="Acute I/P Svcs Rev--Managed Care"/>
    <s v="Radiology"/>
    <x v="0"/>
    <n v="1400"/>
    <n v="-53615.55"/>
    <n v="-41034.04"/>
    <n v="-40185.49"/>
    <n v="-33806.35"/>
    <n v="-45000.97"/>
    <n v="-45741.82"/>
    <n v="-39173.980000000003"/>
    <n v="-43797.440000000002"/>
    <n v="-67253.02"/>
    <n v="-42353.99"/>
    <n v="-24574.04"/>
    <n v="-32215.09"/>
    <n v="-508751.78"/>
    <n v="7641.0499999999993"/>
  </r>
  <r>
    <x v="18"/>
    <x v="5"/>
    <x v="0"/>
    <s v="4810106"/>
    <n v="400010"/>
    <s v="Acute I/P Svcs Rev--Self Pay"/>
    <s v="Radiology"/>
    <x v="0"/>
    <n v="1500"/>
    <n v="3066.51"/>
    <n v="-5324.82"/>
    <n v="-6789.96"/>
    <n v="-12.44"/>
    <n v="-15823.62"/>
    <n v="-1045.8"/>
    <n v="-19608.28"/>
    <n v="-12415.54"/>
    <n v="12993.49"/>
    <n v="-5945.87"/>
    <n v="-8666.18"/>
    <n v="-5411.09"/>
    <n v="-64983.600000000006"/>
    <n v="-3255.09"/>
  </r>
  <r>
    <x v="18"/>
    <x v="5"/>
    <x v="0"/>
    <s v="4810106"/>
    <n v="400010"/>
    <s v="Acute I/P Svcs Rev--Other"/>
    <s v="Radiology"/>
    <x v="0"/>
    <n v="1700"/>
    <n v="3404.59"/>
    <n v="500.46"/>
    <n v="-5360.59"/>
    <n v="-4352.6499999999996"/>
    <n v="-16565.509999999998"/>
    <n v="-11716.42"/>
    <n v="-9889.0400000000009"/>
    <n v="-13814.4"/>
    <n v="-11712.8"/>
    <n v="3007.93"/>
    <n v="-12116.23"/>
    <n v="-8059.48"/>
    <n v="-86674.14"/>
    <n v="-4056.75"/>
  </r>
  <r>
    <x v="19"/>
    <x v="5"/>
    <x v="0"/>
    <s v="4810106"/>
    <n v="400020"/>
    <s v="O/P Care Svcs Rev--Medicare"/>
    <s v="Radiology"/>
    <x v="0"/>
    <n v="1100"/>
    <n v="-257501.02"/>
    <n v="-322790.27"/>
    <n v="-301938.99"/>
    <n v="-253020.04"/>
    <n v="-275860.78000000003"/>
    <n v="-269931.13"/>
    <n v="-360735.75"/>
    <n v="-303305.83"/>
    <n v="-315337.23"/>
    <n v="-324567.37"/>
    <n v="-318583.3"/>
    <n v="-352344.89"/>
    <n v="-3655916.6"/>
    <n v="33761.590000000026"/>
  </r>
  <r>
    <x v="19"/>
    <x v="5"/>
    <x v="0"/>
    <s v="4810106"/>
    <n v="400020"/>
    <s v="O/P Care Svcs Rev--Medicaid"/>
    <s v="Radiology"/>
    <x v="0"/>
    <n v="1200"/>
    <n v="-393122.12"/>
    <n v="-397264.68"/>
    <n v="-415829.6"/>
    <n v="-337276.8"/>
    <n v="-374798.98"/>
    <n v="-431414.86"/>
    <n v="-390464.97"/>
    <n v="-375456.41"/>
    <n v="-392032.32"/>
    <n v="-375822.62"/>
    <n v="-355319.1"/>
    <n v="-389845.16"/>
    <n v="-4628647.62"/>
    <n v="34526.06"/>
  </r>
  <r>
    <x v="19"/>
    <x v="5"/>
    <x v="0"/>
    <s v="4810106"/>
    <n v="400020"/>
    <s v="O/P Care Svcs Rev--Comm Insurance"/>
    <s v="Radiology"/>
    <x v="0"/>
    <n v="1300"/>
    <n v="-99230.42"/>
    <n v="-38990.57"/>
    <n v="-44782.26"/>
    <n v="-81724.84"/>
    <n v="-47242.13"/>
    <n v="-56280.92"/>
    <n v="-64166.03"/>
    <n v="-46569"/>
    <n v="-62801.1"/>
    <n v="-63600.13"/>
    <n v="-73688.88"/>
    <n v="-53823.040000000001"/>
    <n v="-732899.32"/>
    <n v="-19865.840000000004"/>
  </r>
  <r>
    <x v="19"/>
    <x v="5"/>
    <x v="0"/>
    <s v="4810106"/>
    <n v="400020"/>
    <s v="O/P Care Svcs Rev--BCBS Comm"/>
    <s v="Radiology"/>
    <x v="0"/>
    <n v="1301"/>
    <n v="-73328.95"/>
    <n v="-81836.23"/>
    <n v="-56177.82"/>
    <n v="-54385.52"/>
    <n v="-59203.17"/>
    <n v="-88795.01"/>
    <n v="-64105.84"/>
    <n v="-72941.63"/>
    <n v="-64894.720000000001"/>
    <n v="-61374.64"/>
    <n v="-84590.78"/>
    <n v="-71038.66"/>
    <n v="-832672.97000000009"/>
    <n v="-13552.119999999995"/>
  </r>
  <r>
    <x v="19"/>
    <x v="5"/>
    <x v="0"/>
    <s v="4810106"/>
    <n v="400020"/>
    <s v="O/P Care Svcs Rev--Managed Care"/>
    <s v="Radiology"/>
    <x v="0"/>
    <n v="1400"/>
    <n v="-161859.60999999999"/>
    <n v="-148815.94"/>
    <n v="-152721.1"/>
    <n v="-178317.49"/>
    <n v="-145078.92000000001"/>
    <n v="-161635.10999999999"/>
    <n v="-150620.16"/>
    <n v="-144332.57999999999"/>
    <n v="-209899.29"/>
    <n v="-154774.38"/>
    <n v="-177624.45"/>
    <n v="-147872.85"/>
    <n v="-1933551.8800000001"/>
    <n v="-29751.600000000006"/>
  </r>
  <r>
    <x v="19"/>
    <x v="5"/>
    <x v="0"/>
    <s v="4810106"/>
    <n v="400020"/>
    <s v="O/P Care Svcs Rev--Self Pay"/>
    <s v="Radiology"/>
    <x v="0"/>
    <n v="1500"/>
    <n v="-65933.710000000006"/>
    <n v="-76866.710000000006"/>
    <n v="-89195.77"/>
    <n v="-92861.8"/>
    <n v="-81695.210000000006"/>
    <n v="-78638.740000000005"/>
    <n v="-93097.12"/>
    <n v="-91972.56"/>
    <n v="-54179.06"/>
    <n v="-83241.55"/>
    <n v="-83861.56"/>
    <n v="-55227.56"/>
    <n v="-946771.35000000033"/>
    <n v="-28634"/>
  </r>
  <r>
    <x v="19"/>
    <x v="5"/>
    <x v="0"/>
    <s v="4810106"/>
    <n v="400020"/>
    <s v="O/P Care Svcs Rev--Other"/>
    <s v="Radiology"/>
    <x v="0"/>
    <n v="1700"/>
    <n v="-74983.850000000006"/>
    <n v="-56350.13"/>
    <n v="-60455.01"/>
    <n v="-61325.06"/>
    <n v="-44136.14"/>
    <n v="-66786.27"/>
    <n v="-55231.91"/>
    <n v="-59996.39"/>
    <n v="-56634.239999999998"/>
    <n v="-54528.959999999999"/>
    <n v="-50943.02"/>
    <n v="-56557.88"/>
    <n v="-697928.86"/>
    <n v="5614.8600000000006"/>
  </r>
  <r>
    <x v="14"/>
    <x v="5"/>
    <x v="0"/>
    <s v="4810106"/>
    <n v="600050"/>
    <s v="Miscellaneous Revenue"/>
    <s v="Radiology"/>
    <x v="0"/>
    <m/>
    <n v="-494.32"/>
    <n v="-522.57000000000005"/>
    <n v="-211.85"/>
    <n v="0"/>
    <n v="0"/>
    <n v="-428.39"/>
    <n v="428.39"/>
    <n v="0"/>
    <n v="0"/>
    <n v="0"/>
    <n v="296.58999999999997"/>
    <n v="0"/>
    <n v="-932.15000000000032"/>
    <n v="296.58999999999997"/>
  </r>
  <r>
    <x v="14"/>
    <x v="5"/>
    <x v="0"/>
    <s v="4810106"/>
    <n v="600050"/>
    <s v="Misc.Revenue-Contract Services"/>
    <s v="Radiology"/>
    <x v="0"/>
    <n v="1017"/>
    <n v="-13873.33"/>
    <n v="-15412.79"/>
    <n v="-19107.2"/>
    <n v="-18106.07"/>
    <n v="-14790.09"/>
    <n v="-8266.35"/>
    <n v="-14014.97"/>
    <n v="-11073.62"/>
    <n v="-9146.31"/>
    <n v="-7973.38"/>
    <n v="-8641.42"/>
    <n v="-6657.13"/>
    <n v="-147062.66000000003"/>
    <n v="-1984.29"/>
  </r>
  <r>
    <x v="5"/>
    <x v="5"/>
    <x v="0"/>
    <s v="4810106"/>
    <n v="700034"/>
    <s v="Salaries-Tech/Professional-Productive"/>
    <s v="Radiology"/>
    <x v="0"/>
    <m/>
    <n v="47819.65"/>
    <n v="40900.870000000003"/>
    <n v="55381.81"/>
    <n v="52051.15"/>
    <n v="48464.98"/>
    <n v="50452.78"/>
    <n v="52469.53"/>
    <n v="44695.68"/>
    <n v="40387.78"/>
    <n v="47479.38"/>
    <n v="44190.11"/>
    <n v="51379.16"/>
    <n v="575672.88"/>
    <n v="-7189.0500000000029"/>
  </r>
  <r>
    <x v="5"/>
    <x v="5"/>
    <x v="0"/>
    <s v="4810106"/>
    <n v="700034"/>
    <s v="Salaries-Tech/Professional-OT"/>
    <s v="Radiology"/>
    <x v="0"/>
    <n v="1000"/>
    <n v="14622.91"/>
    <n v="12031.47"/>
    <n v="13862.7"/>
    <n v="8680.36"/>
    <n v="9996.33"/>
    <n v="9552.74"/>
    <n v="9836.7199999999993"/>
    <n v="9219.39"/>
    <n v="9862.5499999999993"/>
    <n v="16653.16"/>
    <n v="12245.09"/>
    <n v="15785.74"/>
    <n v="142349.16"/>
    <n v="-3540.6499999999996"/>
  </r>
  <r>
    <x v="5"/>
    <x v="5"/>
    <x v="0"/>
    <s v="4810106"/>
    <n v="700034"/>
    <s v="Salaries-Tech/Professional-Other"/>
    <s v="Radiology"/>
    <x v="0"/>
    <n v="2000"/>
    <n v="5655.62"/>
    <n v="5564.93"/>
    <n v="5977.2"/>
    <n v="6047.44"/>
    <n v="5630.78"/>
    <n v="7744.11"/>
    <n v="7652.58"/>
    <n v="5844.49"/>
    <n v="4871.96"/>
    <n v="6121.19"/>
    <n v="7235.03"/>
    <n v="6408.24"/>
    <n v="74753.570000000007"/>
    <n v="826.79"/>
  </r>
  <r>
    <x v="5"/>
    <x v="5"/>
    <x v="0"/>
    <s v="4810106"/>
    <n v="700054"/>
    <s v="Salaries-Management-NonProd-Other"/>
    <s v="Radiology"/>
    <x v="0"/>
    <n v="2000"/>
    <n v="0"/>
    <n v="0"/>
    <n v="0"/>
    <n v="0"/>
    <n v="0"/>
    <n v="67.41"/>
    <n v="-67.41"/>
    <n v="0"/>
    <n v="0"/>
    <n v="0"/>
    <n v="0"/>
    <n v="0"/>
    <n v="0"/>
    <n v="0"/>
  </r>
  <r>
    <x v="5"/>
    <x v="5"/>
    <x v="0"/>
    <s v="4810106"/>
    <n v="700074"/>
    <s v="Salaries-Tech/Professional-Non-productive"/>
    <s v="Radiology"/>
    <x v="0"/>
    <m/>
    <n v="10584.1"/>
    <n v="6828.96"/>
    <n v="4096.57"/>
    <n v="1944.58"/>
    <n v="2987.29"/>
    <n v="8765.92"/>
    <n v="2321.29"/>
    <n v="2086.5"/>
    <n v="2048.9"/>
    <n v="5661.99"/>
    <n v="12116.41"/>
    <n v="4339.3100000000004"/>
    <n v="63781.819999999992"/>
    <n v="7777.0999999999995"/>
  </r>
  <r>
    <x v="5"/>
    <x v="5"/>
    <x v="0"/>
    <s v="4810106"/>
    <n v="700074"/>
    <s v="Salaries-Tech/Professional-NonProd-Other"/>
    <s v="Radiology"/>
    <x v="0"/>
    <n v="2000"/>
    <n v="249.28"/>
    <n v="241.07"/>
    <n v="410.92"/>
    <n v="360.49"/>
    <n v="42.75"/>
    <n v="442.47"/>
    <n v="405.53"/>
    <n v="108.04"/>
    <n v="17.25"/>
    <n v="304.36"/>
    <n v="20.05"/>
    <n v="208.06"/>
    <n v="2810.2700000000004"/>
    <n v="-188.01"/>
  </r>
  <r>
    <x v="5"/>
    <x v="5"/>
    <x v="0"/>
    <s v="4810106"/>
    <n v="700084"/>
    <s v="Accrued PTO"/>
    <s v="Radiology"/>
    <x v="0"/>
    <m/>
    <n v="-2535.67"/>
    <n v="-1696.63"/>
    <n v="-269.06"/>
    <n v="4198.74"/>
    <n v="2948.75"/>
    <n v="-303.3"/>
    <n v="3071.8"/>
    <n v="5029.67"/>
    <n v="5101.54"/>
    <n v="-129.43"/>
    <n v="-2898.18"/>
    <n v="4258.04"/>
    <n v="16776.27"/>
    <n v="-7156.2199999999993"/>
  </r>
  <r>
    <x v="10"/>
    <x v="5"/>
    <x v="0"/>
    <s v="4810106"/>
    <n v="710060"/>
    <s v="Contract Labor-Other"/>
    <s v="Radiology"/>
    <x v="0"/>
    <m/>
    <n v="0"/>
    <n v="0"/>
    <n v="0"/>
    <n v="0"/>
    <n v="0"/>
    <n v="0"/>
    <n v="0"/>
    <n v="0"/>
    <n v="0"/>
    <n v="0"/>
    <n v="0"/>
    <n v="29760"/>
    <n v="29760"/>
    <n v="-29760"/>
  </r>
  <r>
    <x v="6"/>
    <x v="5"/>
    <x v="0"/>
    <s v="4810106"/>
    <n v="713010"/>
    <s v="Benefits-FICA/Medicare"/>
    <s v="Radiology"/>
    <x v="0"/>
    <m/>
    <n v="5979"/>
    <n v="4993.5"/>
    <n v="6028.07"/>
    <n v="5202.46"/>
    <n v="5056.22"/>
    <n v="5806.57"/>
    <n v="5472.7"/>
    <n v="4644.0600000000004"/>
    <n v="4283.5"/>
    <n v="5772.44"/>
    <n v="5733.86"/>
    <n v="5914.53"/>
    <n v="64886.909999999996"/>
    <n v="-180.67000000000007"/>
  </r>
  <r>
    <x v="6"/>
    <x v="5"/>
    <x v="0"/>
    <s v="4810106"/>
    <n v="713090"/>
    <s v="Benefits-Allocated Amounts"/>
    <s v="Radiology"/>
    <x v="0"/>
    <m/>
    <n v="17581.14"/>
    <n v="14177.58"/>
    <n v="17460.18"/>
    <n v="14613.94"/>
    <n v="15333.55"/>
    <n v="16399.39"/>
    <n v="16156.15"/>
    <n v="14568.4"/>
    <n v="12303.49"/>
    <n v="16552.2"/>
    <n v="16063"/>
    <n v="16949.79"/>
    <n v="188158.81"/>
    <n v="-886.79000000000087"/>
  </r>
  <r>
    <x v="7"/>
    <x v="5"/>
    <x v="0"/>
    <s v="4810106"/>
    <n v="718010"/>
    <s v="Media/Print Advertising"/>
    <s v="Radiology"/>
    <x v="0"/>
    <n v="1004"/>
    <n v="0"/>
    <n v="0"/>
    <n v="0"/>
    <n v="1600"/>
    <n v="0"/>
    <n v="2200"/>
    <n v="696"/>
    <n v="0"/>
    <n v="422.94"/>
    <n v="348"/>
    <n v="0"/>
    <n v="526.74"/>
    <n v="5793.6799999999994"/>
    <n v="-526.74"/>
  </r>
  <r>
    <x v="7"/>
    <x v="5"/>
    <x v="0"/>
    <s v="4810106"/>
    <n v="718050"/>
    <s v="Document Shredding/Storage"/>
    <s v="Radiology"/>
    <x v="0"/>
    <n v="1012"/>
    <n v="266.56"/>
    <n v="380.11"/>
    <n v="310.97000000000003"/>
    <n v="307.69"/>
    <n v="304.02"/>
    <n v="318.02"/>
    <n v="314.83"/>
    <n v="277.02"/>
    <n v="220.6"/>
    <n v="425.54"/>
    <n v="307.69"/>
    <n v="318.02"/>
    <n v="3751.07"/>
    <n v="-10.329999999999984"/>
  </r>
  <r>
    <x v="7"/>
    <x v="5"/>
    <x v="0"/>
    <s v="4810106"/>
    <n v="718050"/>
    <s v="Miscellaneous Purchased Svcs"/>
    <s v="Radiology"/>
    <x v="0"/>
    <n v="1020"/>
    <n v="0"/>
    <n v="0"/>
    <n v="32.950000000000003"/>
    <n v="65.900000000000006"/>
    <n v="0"/>
    <n v="0"/>
    <n v="0"/>
    <n v="0"/>
    <n v="858"/>
    <n v="0"/>
    <n v="0"/>
    <n v="0"/>
    <n v="956.85"/>
    <n v="0"/>
  </r>
  <r>
    <x v="7"/>
    <x v="5"/>
    <x v="0"/>
    <s v="4810106"/>
    <n v="718050"/>
    <s v="Translation Services"/>
    <s v="Radiology"/>
    <x v="0"/>
    <n v="1025"/>
    <n v="0"/>
    <n v="32"/>
    <n v="104"/>
    <n v="180"/>
    <n v="134.75"/>
    <n v="0"/>
    <n v="0"/>
    <n v="0"/>
    <n v="0"/>
    <n v="0"/>
    <n v="0"/>
    <n v="0"/>
    <n v="450.75"/>
    <n v="0"/>
  </r>
  <r>
    <x v="7"/>
    <x v="5"/>
    <x v="0"/>
    <s v="4810106"/>
    <n v="718050"/>
    <s v="Contract Management--Linen"/>
    <s v="Radiology"/>
    <x v="0"/>
    <n v="1026"/>
    <n v="1099.3499999999999"/>
    <n v="605.99"/>
    <n v="847.54"/>
    <n v="1079.72"/>
    <n v="1004.92"/>
    <n v="1160.94"/>
    <n v="727.35"/>
    <n v="963.74"/>
    <n v="888.62"/>
    <n v="989.9"/>
    <n v="985.25"/>
    <n v="860.39"/>
    <n v="11213.710000000001"/>
    <n v="124.86000000000001"/>
  </r>
  <r>
    <x v="7"/>
    <x v="5"/>
    <x v="0"/>
    <s v="4810106"/>
    <n v="718050"/>
    <s v="Purchased Srvcs--Medical Waste"/>
    <s v="Radiology"/>
    <x v="0"/>
    <n v="1027"/>
    <n v="0"/>
    <n v="0"/>
    <n v="0"/>
    <n v="0"/>
    <n v="0"/>
    <n v="0"/>
    <n v="0"/>
    <n v="0"/>
    <n v="547.80999999999995"/>
    <n v="0"/>
    <n v="0"/>
    <n v="0"/>
    <n v="547.80999999999995"/>
    <n v="0"/>
  </r>
  <r>
    <x v="7"/>
    <x v="5"/>
    <x v="0"/>
    <s v="4810106"/>
    <n v="718070"/>
    <s v="Contract Srvcs-CHI Clinical Engineering"/>
    <s v="Radiology"/>
    <x v="0"/>
    <m/>
    <n v="683.85"/>
    <n v="2165.5100000000002"/>
    <n v="2165.5100000000002"/>
    <n v="2165.5100000000002"/>
    <n v="2165.5100000000002"/>
    <n v="2165.5100000000002"/>
    <n v="2165.5100000000002"/>
    <n v="2291.69"/>
    <n v="2382.04"/>
    <n v="2382.04"/>
    <n v="2382.04"/>
    <n v="2382.04"/>
    <n v="25496.760000000006"/>
    <n v="0"/>
  </r>
  <r>
    <x v="11"/>
    <x v="5"/>
    <x v="0"/>
    <s v="4810106"/>
    <n v="721010"/>
    <s v="Supplies-Medical - Billable"/>
    <s v="Radiology"/>
    <x v="0"/>
    <m/>
    <n v="22.8"/>
    <n v="51.75"/>
    <n v="0"/>
    <n v="51.9"/>
    <n v="0"/>
    <n v="0"/>
    <n v="0"/>
    <n v="11.4"/>
    <n v="0"/>
    <n v="11.4"/>
    <n v="51.9"/>
    <n v="0"/>
    <n v="201.15"/>
    <n v="51.9"/>
  </r>
  <r>
    <x v="11"/>
    <x v="5"/>
    <x v="0"/>
    <s v="4810106"/>
    <n v="721050"/>
    <s v="Supplies-Cardiac Rhythm - Billable"/>
    <s v="Radiology"/>
    <x v="0"/>
    <m/>
    <n v="68.77"/>
    <n v="6.25"/>
    <n v="0"/>
    <n v="62.52"/>
    <n v="6.25"/>
    <n v="140.36000000000001"/>
    <n v="127.6"/>
    <n v="12.76"/>
    <n v="0"/>
    <n v="63.8"/>
    <n v="146.74"/>
    <n v="70.180000000000007"/>
    <n v="705.23"/>
    <n v="76.56"/>
  </r>
  <r>
    <x v="11"/>
    <x v="5"/>
    <x v="0"/>
    <s v="4810106"/>
    <n v="721240"/>
    <s v="Supplies-IV Solutions/Supplies - Billable"/>
    <s v="Radiology"/>
    <x v="0"/>
    <m/>
    <n v="0"/>
    <n v="0"/>
    <n v="0"/>
    <n v="0"/>
    <n v="0"/>
    <n v="0"/>
    <n v="0"/>
    <n v="4.45"/>
    <n v="0"/>
    <n v="0"/>
    <n v="0"/>
    <n v="0"/>
    <n v="4.45"/>
    <n v="0"/>
  </r>
  <r>
    <x v="11"/>
    <x v="5"/>
    <x v="0"/>
    <s v="4810106"/>
    <n v="721250"/>
    <s v="Supplies-Pharmacy Drugs - Billable"/>
    <s v="Radiology"/>
    <x v="0"/>
    <m/>
    <n v="0"/>
    <n v="0"/>
    <n v="0"/>
    <n v="0"/>
    <n v="0"/>
    <n v="0"/>
    <n v="0"/>
    <n v="0"/>
    <n v="0"/>
    <n v="98.48"/>
    <n v="0"/>
    <n v="0"/>
    <n v="98.48"/>
    <n v="0"/>
  </r>
  <r>
    <x v="11"/>
    <x v="5"/>
    <x v="0"/>
    <s v="4810106"/>
    <n v="721350"/>
    <s v="Radiology Imaging - Contrast Media"/>
    <s v="Radiology"/>
    <x v="0"/>
    <n v="1000"/>
    <n v="0"/>
    <n v="54.98"/>
    <n v="39.99"/>
    <n v="94.72"/>
    <n v="280.70999999999998"/>
    <n v="54.8"/>
    <n v="170.06"/>
    <n v="116.22"/>
    <n v="321.89999999999998"/>
    <n v="60.46"/>
    <n v="0"/>
    <n v="6522.37"/>
    <n v="7716.21"/>
    <n v="-6522.37"/>
  </r>
  <r>
    <x v="11"/>
    <x v="5"/>
    <x v="0"/>
    <s v="4810106"/>
    <n v="721410"/>
    <s v="Supplies-Medical - Nonbillable"/>
    <s v="Radiology"/>
    <x v="0"/>
    <m/>
    <n v="1372.33"/>
    <n v="4.88"/>
    <n v="146.29"/>
    <n v="346.44"/>
    <n v="2.1"/>
    <n v="241.09"/>
    <n v="164.88"/>
    <n v="151.56"/>
    <n v="25.59"/>
    <n v="211404.32"/>
    <n v="25.88"/>
    <n v="0"/>
    <n v="213885.36000000002"/>
    <n v="25.88"/>
  </r>
  <r>
    <x v="11"/>
    <x v="5"/>
    <x v="0"/>
    <s v="4810106"/>
    <n v="721420"/>
    <s v="Supplies-Surgical Nonbillable"/>
    <s v="Radiology"/>
    <x v="0"/>
    <m/>
    <n v="24.51"/>
    <n v="21.91"/>
    <n v="24.51"/>
    <n v="21.92"/>
    <n v="0"/>
    <n v="0"/>
    <n v="0"/>
    <n v="58.81"/>
    <n v="0"/>
    <n v="87.65"/>
    <n v="0"/>
    <n v="97.5"/>
    <n v="336.81000000000006"/>
    <n v="-97.5"/>
  </r>
  <r>
    <x v="11"/>
    <x v="5"/>
    <x v="0"/>
    <s v="4810106"/>
    <n v="721640"/>
    <s v="Supplies-IV Solutions/Supplies - Nonbillable"/>
    <s v="Radiology"/>
    <x v="0"/>
    <m/>
    <n v="0"/>
    <n v="0"/>
    <n v="22.55"/>
    <n v="0"/>
    <n v="0"/>
    <n v="0"/>
    <n v="0"/>
    <n v="0"/>
    <n v="0"/>
    <n v="22.55"/>
    <n v="0"/>
    <n v="0"/>
    <n v="45.1"/>
    <n v="0"/>
  </r>
  <r>
    <x v="11"/>
    <x v="5"/>
    <x v="0"/>
    <s v="4810106"/>
    <n v="721750"/>
    <s v="Supplies-Film/Radiographic - Nonbillable"/>
    <s v="Radiology"/>
    <x v="0"/>
    <m/>
    <n v="413.6"/>
    <n v="99.72"/>
    <n v="488.4"/>
    <n v="16.12"/>
    <n v="0"/>
    <n v="0"/>
    <n v="0"/>
    <n v="0"/>
    <n v="0"/>
    <n v="0"/>
    <n v="0"/>
    <n v="-11.72"/>
    <n v="1006.12"/>
    <n v="11.72"/>
  </r>
  <r>
    <x v="11"/>
    <x v="5"/>
    <x v="0"/>
    <s v="4810106"/>
    <n v="721810"/>
    <s v="Supplies-Dietary/Cafeteria"/>
    <s v="Radiology"/>
    <x v="0"/>
    <m/>
    <n v="23.06"/>
    <n v="7.85"/>
    <n v="8"/>
    <n v="42.93"/>
    <n v="6.15"/>
    <n v="27.78"/>
    <n v="15.78"/>
    <n v="439.84"/>
    <n v="7.57"/>
    <n v="26.44"/>
    <n v="0"/>
    <n v="27.29"/>
    <n v="632.69000000000005"/>
    <n v="-27.29"/>
  </r>
  <r>
    <x v="11"/>
    <x v="5"/>
    <x v="0"/>
    <s v="4810106"/>
    <n v="721830"/>
    <s v="Supplies-Office"/>
    <s v="Radiology"/>
    <x v="0"/>
    <m/>
    <n v="1888.52"/>
    <n v="1114.94"/>
    <n v="1013.78"/>
    <n v="1226.0999999999999"/>
    <n v="14.4"/>
    <n v="248.42"/>
    <n v="840.54"/>
    <n v="582.48"/>
    <n v="0"/>
    <n v="1996.24"/>
    <n v="3015.51"/>
    <n v="-9.9"/>
    <n v="11931.03"/>
    <n v="3025.4100000000003"/>
  </r>
  <r>
    <x v="11"/>
    <x v="5"/>
    <x v="0"/>
    <s v="4810106"/>
    <n v="721870"/>
    <s v="Supplies-Environmental Services"/>
    <s v="Radiology"/>
    <x v="0"/>
    <m/>
    <n v="65.92"/>
    <n v="0"/>
    <n v="123.94"/>
    <n v="26.4"/>
    <n v="80.540000000000006"/>
    <n v="75.16"/>
    <n v="58.71"/>
    <n v="122.87"/>
    <n v="0"/>
    <n v="209.16"/>
    <n v="19.04"/>
    <n v="0"/>
    <n v="781.7399999999999"/>
    <n v="19.04"/>
  </r>
  <r>
    <x v="11"/>
    <x v="5"/>
    <x v="0"/>
    <s v="4810106"/>
    <n v="721910"/>
    <s v="Supplies-Small Equipment"/>
    <s v="Radiology"/>
    <x v="0"/>
    <m/>
    <n v="0"/>
    <n v="0"/>
    <n v="43.9"/>
    <n v="0"/>
    <n v="0"/>
    <n v="3495.89"/>
    <n v="0"/>
    <n v="0"/>
    <n v="0"/>
    <n v="0"/>
    <n v="0"/>
    <n v="0"/>
    <n v="3539.79"/>
    <n v="0"/>
  </r>
  <r>
    <x v="11"/>
    <x v="5"/>
    <x v="0"/>
    <s v="4810106"/>
    <n v="721980"/>
    <s v="Supplies-Other"/>
    <s v="Radiology"/>
    <x v="0"/>
    <m/>
    <n v="0"/>
    <n v="0"/>
    <n v="1549.24"/>
    <n v="0"/>
    <n v="0"/>
    <n v="0"/>
    <n v="0"/>
    <n v="0"/>
    <n v="0"/>
    <n v="3146"/>
    <n v="3949.26"/>
    <n v="209.5"/>
    <n v="8854"/>
    <n v="3739.76"/>
  </r>
  <r>
    <x v="11"/>
    <x v="5"/>
    <x v="0"/>
    <s v="4810106"/>
    <n v="722000"/>
    <s v="Supplies-Freight Expense"/>
    <s v="Radiology"/>
    <x v="0"/>
    <m/>
    <n v="23.83"/>
    <n v="82.74"/>
    <n v="3.19"/>
    <n v="190.98"/>
    <n v="171.41"/>
    <n v="598.11"/>
    <n v="0"/>
    <n v="0"/>
    <n v="63.95"/>
    <n v="12.05"/>
    <n v="20.52"/>
    <n v="73.83"/>
    <n v="1240.6099999999999"/>
    <n v="-53.31"/>
  </r>
  <r>
    <x v="11"/>
    <x v="5"/>
    <x v="0"/>
    <s v="4810106"/>
    <n v="723000"/>
    <s v="Supply Rebates/Patronage Dividend"/>
    <s v="Radiology"/>
    <x v="0"/>
    <m/>
    <n v="0"/>
    <n v="0"/>
    <n v="-1186.0999999999999"/>
    <n v="0"/>
    <n v="0"/>
    <n v="-1400.24"/>
    <n v="0"/>
    <n v="0"/>
    <n v="-1430.2"/>
    <n v="0"/>
    <n v="0"/>
    <n v="-2829.11"/>
    <n v="-6845.65"/>
    <n v="2829.11"/>
  </r>
  <r>
    <x v="12"/>
    <x v="5"/>
    <x v="0"/>
    <s v="4810106"/>
    <n v="730020"/>
    <s v="Rental and Leases-Copier Usage Fees (DO NOT USE)"/>
    <s v="Radiology"/>
    <x v="0"/>
    <n v="5100"/>
    <n v="303.58999999999997"/>
    <n v="310.01"/>
    <n v="306.8"/>
    <n v="306.8"/>
    <n v="306.8"/>
    <n v="306.8"/>
    <n v="-348.34"/>
    <n v="181.74"/>
    <n v="181.36"/>
    <n v="373.37"/>
    <n v="222.71"/>
    <n v="206.18"/>
    <n v="2657.8199999999997"/>
    <n v="16.53"/>
  </r>
  <r>
    <x v="15"/>
    <x v="5"/>
    <x v="0"/>
    <s v="4810106"/>
    <n v="731060"/>
    <s v="Pagers"/>
    <s v="Radiology"/>
    <x v="0"/>
    <n v="1002"/>
    <n v="63.92"/>
    <n v="63.92"/>
    <n v="63.92"/>
    <n v="64.16"/>
    <n v="40.1"/>
    <n v="0"/>
    <n v="80.2"/>
    <n v="40.1"/>
    <n v="59.59"/>
    <n v="32.04"/>
    <n v="32.04"/>
    <n v="32.04"/>
    <n v="572.03"/>
    <n v="0"/>
  </r>
  <r>
    <x v="16"/>
    <x v="5"/>
    <x v="0"/>
    <s v="4810106"/>
    <n v="732030"/>
    <s v="Repairs---Other"/>
    <s v="Radiology"/>
    <x v="0"/>
    <m/>
    <n v="3316.08"/>
    <n v="0"/>
    <n v="2500"/>
    <n v="9332.5"/>
    <n v="0"/>
    <n v="0"/>
    <n v="0"/>
    <n v="1091.97"/>
    <n v="0"/>
    <n v="5268"/>
    <n v="3509"/>
    <n v="9022.67"/>
    <n v="34040.22"/>
    <n v="-5513.67"/>
  </r>
  <r>
    <x v="16"/>
    <x v="5"/>
    <x v="0"/>
    <s v="4810106"/>
    <n v="733030"/>
    <s v="Maintenance Contracts-Other"/>
    <s v="Radiology"/>
    <x v="0"/>
    <m/>
    <n v="0"/>
    <n v="0"/>
    <n v="0"/>
    <n v="0"/>
    <n v="0"/>
    <n v="0"/>
    <n v="0"/>
    <n v="0"/>
    <n v="0"/>
    <n v="0"/>
    <n v="4344.88"/>
    <n v="0"/>
    <n v="4344.88"/>
    <n v="4344.88"/>
  </r>
  <r>
    <x v="13"/>
    <x v="5"/>
    <x v="0"/>
    <s v="4810106"/>
    <n v="735040"/>
    <s v="Depreciation-Building Improvements"/>
    <s v="Radiology"/>
    <x v="0"/>
    <m/>
    <n v="1617.62"/>
    <n v="1617.62"/>
    <n v="1617.62"/>
    <n v="1617.62"/>
    <n v="1617.62"/>
    <n v="1617.62"/>
    <n v="1617.63"/>
    <n v="1617.62"/>
    <n v="1617.65"/>
    <n v="1617.62"/>
    <n v="1617.66"/>
    <n v="1617.62"/>
    <n v="19411.519999999997"/>
    <n v="4.0000000000190994E-2"/>
  </r>
  <r>
    <x v="13"/>
    <x v="5"/>
    <x v="0"/>
    <s v="4810106"/>
    <n v="735060"/>
    <s v="Depreciation-Fixed Equipment"/>
    <s v="Radiology"/>
    <x v="0"/>
    <m/>
    <n v="27.91"/>
    <n v="27.91"/>
    <n v="27.91"/>
    <n v="27.9"/>
    <n v="27.91"/>
    <n v="27.9"/>
    <n v="27.91"/>
    <n v="27.88"/>
    <n v="27.91"/>
    <n v="27.88"/>
    <n v="27.91"/>
    <n v="27.85"/>
    <n v="334.78000000000003"/>
    <n v="5.9999999999998721E-2"/>
  </r>
  <r>
    <x v="13"/>
    <x v="5"/>
    <x v="0"/>
    <s v="4810106"/>
    <n v="735070"/>
    <s v="Depreciation-Movable Equipment"/>
    <s v="Radiology"/>
    <x v="0"/>
    <m/>
    <n v="37216.480000000003"/>
    <n v="37216.28"/>
    <n v="37216.550000000003"/>
    <n v="37216.22"/>
    <n v="37216.620000000003"/>
    <n v="37216.18"/>
    <n v="37216.769999999997"/>
    <n v="39169.69"/>
    <n v="39170.54"/>
    <n v="45675.45"/>
    <n v="45676.51"/>
    <n v="45675.43"/>
    <n v="475882.72000000003"/>
    <n v="1.0800000000017462"/>
  </r>
  <r>
    <x v="0"/>
    <x v="5"/>
    <x v="0"/>
    <s v="4810106"/>
    <n v="742040"/>
    <s v="Freight-Other"/>
    <s v="Radiology"/>
    <x v="0"/>
    <m/>
    <n v="0"/>
    <n v="0"/>
    <n v="0"/>
    <n v="55"/>
    <n v="0"/>
    <n v="0"/>
    <n v="0"/>
    <n v="0"/>
    <n v="0"/>
    <n v="0"/>
    <n v="0"/>
    <n v="0"/>
    <n v="55"/>
    <n v="0"/>
  </r>
  <r>
    <x v="0"/>
    <x v="5"/>
    <x v="0"/>
    <s v="4810106"/>
    <n v="749510"/>
    <s v="Miscellaneous Expenses"/>
    <s v="Radiology"/>
    <x v="0"/>
    <m/>
    <n v="0"/>
    <n v="0"/>
    <n v="0"/>
    <n v="0"/>
    <n v="0"/>
    <n v="0"/>
    <n v="0"/>
    <n v="0"/>
    <n v="0"/>
    <n v="0"/>
    <n v="181"/>
    <n v="102.33"/>
    <n v="283.33"/>
    <n v="78.67"/>
  </r>
  <r>
    <x v="0"/>
    <x v="5"/>
    <x v="0"/>
    <s v="4810106"/>
    <n v="749510"/>
    <s v="Licenses"/>
    <s v="Radiology"/>
    <x v="0"/>
    <n v="1002"/>
    <n v="0"/>
    <n v="0"/>
    <n v="0"/>
    <n v="0"/>
    <n v="2603"/>
    <n v="0"/>
    <n v="0"/>
    <n v="0"/>
    <n v="0"/>
    <n v="0"/>
    <n v="0"/>
    <n v="0"/>
    <n v="2603"/>
    <n v="0"/>
  </r>
  <r>
    <x v="18"/>
    <x v="6"/>
    <x v="0"/>
    <s v="4810107"/>
    <n v="400010"/>
    <s v="Acute I/P Svcs Rev--Medicare"/>
    <s v="Radiology-Bremerton"/>
    <x v="0"/>
    <n v="1100"/>
    <n v="-2860782.77"/>
    <n v="-2675723.34"/>
    <n v="-2577024.67"/>
    <n v="-2685788.23"/>
    <n v="-2593778.83"/>
    <n v="-2641713.66"/>
    <n v="-3141358.11"/>
    <n v="-2671237.09"/>
    <n v="-3120507.64"/>
    <n v="-2822286.76"/>
    <n v="-2897267.53"/>
    <n v="-2737403.1"/>
    <n v="-33424871.730000004"/>
    <n v="-159864.4299999997"/>
  </r>
  <r>
    <x v="18"/>
    <x v="6"/>
    <x v="0"/>
    <s v="4810107"/>
    <n v="400010"/>
    <s v="Acute I/P Svcs Rev--Medicaid"/>
    <s v="Radiology-Bremerton"/>
    <x v="0"/>
    <n v="1200"/>
    <n v="-500253.14"/>
    <n v="-707854.29"/>
    <n v="-502045.74"/>
    <n v="-465519.83"/>
    <n v="-562549.76000000001"/>
    <n v="-495204.63"/>
    <n v="-617943.29"/>
    <n v="-644197.06999999995"/>
    <n v="-532940.61"/>
    <n v="-627130.67000000004"/>
    <n v="-660590.86"/>
    <n v="-695482.84"/>
    <n v="-7011712.7300000004"/>
    <n v="34891.979999999981"/>
  </r>
  <r>
    <x v="18"/>
    <x v="6"/>
    <x v="0"/>
    <s v="4810107"/>
    <n v="400010"/>
    <s v="Acute I/P Svcs Rev--Comm Insurance"/>
    <s v="Radiology-Bremerton"/>
    <x v="0"/>
    <n v="1300"/>
    <n v="26884.03"/>
    <n v="28743.05"/>
    <n v="-32100.19"/>
    <n v="-35137.800000000003"/>
    <n v="-46144.57"/>
    <n v="-113703.49"/>
    <n v="18024.05"/>
    <n v="-88537.02"/>
    <n v="-33661.97"/>
    <n v="-109831.03999999999"/>
    <n v="-34236.769999999997"/>
    <n v="13814.37"/>
    <n v="-405887.35000000003"/>
    <n v="-48051.14"/>
  </r>
  <r>
    <x v="18"/>
    <x v="6"/>
    <x v="0"/>
    <s v="4810107"/>
    <n v="400010"/>
    <s v="Acute I/P Svcs Rev--BCBS Comm"/>
    <s v="Radiology-Bremerton"/>
    <x v="0"/>
    <n v="1301"/>
    <n v="-123138.37"/>
    <n v="-107794.2"/>
    <n v="-212955.24"/>
    <n v="-81708.31"/>
    <n v="-176271.26"/>
    <n v="-127816.86"/>
    <n v="-186698.43"/>
    <n v="-95980.96"/>
    <n v="-111367.59"/>
    <n v="-244101.73"/>
    <n v="-399908.72"/>
    <n v="-171735.14"/>
    <n v="-2039476.81"/>
    <n v="-228173.57999999996"/>
  </r>
  <r>
    <x v="18"/>
    <x v="6"/>
    <x v="0"/>
    <s v="4810107"/>
    <n v="400010"/>
    <s v="Acute I/P Svcs Rev--Managed Care"/>
    <s v="Radiology-Bremerton"/>
    <x v="0"/>
    <n v="1400"/>
    <n v="-281015.28999999998"/>
    <n v="-313545.28999999998"/>
    <n v="-370488.4"/>
    <n v="-180136.56"/>
    <n v="-247098.18"/>
    <n v="-241338.45"/>
    <n v="-346592.78"/>
    <n v="-328193.69"/>
    <n v="-412979.66"/>
    <n v="-323670.96000000002"/>
    <n v="-337244.61"/>
    <n v="-297335.32"/>
    <n v="-3679639.19"/>
    <n v="-39909.289999999979"/>
  </r>
  <r>
    <x v="18"/>
    <x v="6"/>
    <x v="0"/>
    <s v="4810107"/>
    <n v="400010"/>
    <s v="Acute I/P Svcs Rev--Self Pay"/>
    <s v="Radiology-Bremerton"/>
    <x v="0"/>
    <n v="1500"/>
    <n v="-7656.1"/>
    <n v="-46299.3"/>
    <n v="-65896.09"/>
    <n v="-14741.82"/>
    <n v="-16099.27"/>
    <n v="-73400.31"/>
    <n v="-65620.89"/>
    <n v="-26434.78"/>
    <n v="-17400.78"/>
    <n v="-17269.439999999999"/>
    <n v="-38044.879999999997"/>
    <n v="-56928.63"/>
    <n v="-445792.29"/>
    <n v="18883.75"/>
  </r>
  <r>
    <x v="18"/>
    <x v="6"/>
    <x v="0"/>
    <s v="4810107"/>
    <n v="400010"/>
    <s v="Acute I/P Svcs Rev--Other"/>
    <s v="Radiology-Bremerton"/>
    <x v="0"/>
    <n v="1700"/>
    <n v="-191255.36"/>
    <n v="-274746.32"/>
    <n v="-223470.5"/>
    <n v="-156259.98000000001"/>
    <n v="-129994.07"/>
    <n v="-141453.48000000001"/>
    <n v="-149059.89000000001"/>
    <n v="-200344.56"/>
    <n v="-236259.29"/>
    <n v="-157832.78"/>
    <n v="-218433.13"/>
    <n v="-209785.04"/>
    <n v="-2288894.4000000004"/>
    <n v="-8648.0899999999965"/>
  </r>
  <r>
    <x v="19"/>
    <x v="6"/>
    <x v="0"/>
    <s v="4810107"/>
    <n v="400020"/>
    <s v="O/P Care Svcs Rev--Medicare"/>
    <s v="Radiology-Bremerton"/>
    <x v="0"/>
    <n v="1100"/>
    <n v="-2362714.79"/>
    <n v="-2498552.86"/>
    <n v="-2511336.77"/>
    <n v="-2356682.4"/>
    <n v="-2487987.5699999998"/>
    <n v="-2687072.35"/>
    <n v="-2608529.67"/>
    <n v="-2094438.09"/>
    <n v="-2836216.33"/>
    <n v="-2448538.85"/>
    <n v="-2711380.53"/>
    <n v="-2757395.55"/>
    <n v="-30360845.760000002"/>
    <n v="46015.020000000019"/>
  </r>
  <r>
    <x v="19"/>
    <x v="6"/>
    <x v="0"/>
    <s v="4810107"/>
    <n v="400020"/>
    <s v="O/P Care Svcs Rev--Medicaid"/>
    <s v="Radiology-Bremerton"/>
    <x v="0"/>
    <n v="1200"/>
    <n v="-1328365.81"/>
    <n v="-1279185.94"/>
    <n v="-1316782.1599999999"/>
    <n v="-1151234.8999999999"/>
    <n v="-1232910.44"/>
    <n v="-1205299.71"/>
    <n v="-1343649.63"/>
    <n v="-1140803.67"/>
    <n v="-1440743.86"/>
    <n v="-1444287.82"/>
    <n v="-1268050.18"/>
    <n v="-1313768.5"/>
    <n v="-15465082.619999999"/>
    <n v="45718.320000000065"/>
  </r>
  <r>
    <x v="19"/>
    <x v="6"/>
    <x v="0"/>
    <s v="4810107"/>
    <n v="400020"/>
    <s v="O/P Care Svcs Rev--Comm Insurance"/>
    <s v="Radiology-Bremerton"/>
    <x v="0"/>
    <n v="1300"/>
    <n v="-247239.56"/>
    <n v="-105698.73"/>
    <n v="-182501.89"/>
    <n v="-169963.35"/>
    <n v="-261238.34"/>
    <n v="-203301.7"/>
    <n v="-146466.29"/>
    <n v="-75496.39"/>
    <n v="-113686"/>
    <n v="-345327.39"/>
    <n v="-253511.63"/>
    <n v="-180241.05"/>
    <n v="-2284672.3199999994"/>
    <n v="-73270.580000000016"/>
  </r>
  <r>
    <x v="19"/>
    <x v="6"/>
    <x v="0"/>
    <s v="4810107"/>
    <n v="400020"/>
    <s v="O/P Care Svcs Rev--BCBS Comm"/>
    <s v="Radiology-Bremerton"/>
    <x v="0"/>
    <n v="1301"/>
    <n v="-307898.49"/>
    <n v="-356432.68"/>
    <n v="-288276.89"/>
    <n v="-335886.92"/>
    <n v="-257903.66"/>
    <n v="-370263.2"/>
    <n v="-360578.05"/>
    <n v="-407081.42"/>
    <n v="-342899.9"/>
    <n v="-347418.99"/>
    <n v="-446769.59"/>
    <n v="-310643.09999999998"/>
    <n v="-4132052.8899999992"/>
    <n v="-136126.49000000005"/>
  </r>
  <r>
    <x v="19"/>
    <x v="6"/>
    <x v="0"/>
    <s v="4810107"/>
    <n v="400020"/>
    <s v="O/P Care Svcs Rev--Managed Care"/>
    <s v="Radiology-Bremerton"/>
    <x v="0"/>
    <n v="1400"/>
    <n v="-701050.71"/>
    <n v="-666917.12"/>
    <n v="-752044.22"/>
    <n v="-700123.39"/>
    <n v="-832562.18"/>
    <n v="-743966.35"/>
    <n v="-795592.51"/>
    <n v="-584171.88"/>
    <n v="-823829.29"/>
    <n v="-846588.51"/>
    <n v="-860453.98"/>
    <n v="-740828.93"/>
    <n v="-9048129.0699999984"/>
    <n v="-119625.04999999993"/>
  </r>
  <r>
    <x v="19"/>
    <x v="6"/>
    <x v="0"/>
    <s v="4810107"/>
    <n v="400020"/>
    <s v="O/P Care Svcs Rev--Self Pay"/>
    <s v="Radiology-Bremerton"/>
    <x v="0"/>
    <n v="1500"/>
    <n v="-123208.28"/>
    <n v="-101149.49"/>
    <n v="-187963.23"/>
    <n v="-110491.14"/>
    <n v="-110954.28"/>
    <n v="-140443.03"/>
    <n v="-179323.12"/>
    <n v="-89652.55"/>
    <n v="-122586.17"/>
    <n v="-112557.24"/>
    <n v="-179844.18"/>
    <n v="-208237.9"/>
    <n v="-1666410.6099999999"/>
    <n v="28393.72"/>
  </r>
  <r>
    <x v="19"/>
    <x v="6"/>
    <x v="0"/>
    <s v="4810107"/>
    <n v="400020"/>
    <s v="O/P Care Svcs Rev--Other"/>
    <s v="Radiology-Bremerton"/>
    <x v="0"/>
    <n v="1700"/>
    <n v="-457241.05"/>
    <n v="-329495.84000000003"/>
    <n v="-400604.28"/>
    <n v="-381209.14"/>
    <n v="-380967.31"/>
    <n v="-357745.46"/>
    <n v="-487159.06"/>
    <n v="-449804.63"/>
    <n v="-474895.68"/>
    <n v="-377896.52"/>
    <n v="-571887.18999999994"/>
    <n v="-457916.75"/>
    <n v="-5126822.91"/>
    <n v="-113970.43999999994"/>
  </r>
  <r>
    <x v="5"/>
    <x v="6"/>
    <x v="0"/>
    <s v="4810107"/>
    <n v="700026"/>
    <s v="Salaries-RN-Productive"/>
    <s v="Radiology-Bremerton"/>
    <x v="0"/>
    <m/>
    <n v="22057.759999999998"/>
    <n v="28847.64"/>
    <n v="25695.71"/>
    <n v="24155.439999999999"/>
    <n v="30749.16"/>
    <n v="26334.92"/>
    <n v="31764.43"/>
    <n v="27740.31"/>
    <n v="37194.1"/>
    <n v="24197.8"/>
    <n v="31262.86"/>
    <n v="29516.43"/>
    <n v="339516.56"/>
    <n v="1746.4300000000003"/>
  </r>
  <r>
    <x v="5"/>
    <x v="6"/>
    <x v="0"/>
    <s v="4810107"/>
    <n v="700026"/>
    <s v="Salaries-RN-OT"/>
    <s v="Radiology-Bremerton"/>
    <x v="0"/>
    <n v="1000"/>
    <n v="3593.03"/>
    <n v="3535.59"/>
    <n v="3528.06"/>
    <n v="2331.69"/>
    <n v="2968.94"/>
    <n v="1520.15"/>
    <n v="1763.32"/>
    <n v="2169.39"/>
    <n v="3576.16"/>
    <n v="2512.35"/>
    <n v="2909.38"/>
    <n v="7263.22"/>
    <n v="37671.279999999999"/>
    <n v="-4353.84"/>
  </r>
  <r>
    <x v="5"/>
    <x v="6"/>
    <x v="0"/>
    <s v="4810107"/>
    <n v="700026"/>
    <s v="Salaries-RN-Other"/>
    <s v="Radiology-Bremerton"/>
    <x v="0"/>
    <n v="2000"/>
    <n v="3075.41"/>
    <n v="3097.7"/>
    <n v="3038.71"/>
    <n v="3209.32"/>
    <n v="3115.42"/>
    <n v="2992.95"/>
    <n v="3092.47"/>
    <n v="2364.44"/>
    <n v="3234.19"/>
    <n v="2165.8200000000002"/>
    <n v="2538.4299999999998"/>
    <n v="3066.46"/>
    <n v="34991.32"/>
    <n v="-528.0300000000002"/>
  </r>
  <r>
    <x v="5"/>
    <x v="6"/>
    <x v="0"/>
    <s v="4810107"/>
    <n v="700032"/>
    <s v="Salaries-Other Pat Care Providers-Productive"/>
    <s v="Radiology-Bremerton"/>
    <x v="0"/>
    <m/>
    <n v="4354.8999999999996"/>
    <n v="4386.78"/>
    <n v="6481.58"/>
    <n v="3530.84"/>
    <n v="2767.33"/>
    <n v="3414.14"/>
    <n v="3557.57"/>
    <n v="2795.54"/>
    <n v="3817.64"/>
    <n v="3330.71"/>
    <n v="3780.75"/>
    <n v="3390.23"/>
    <n v="45608.01"/>
    <n v="390.52"/>
  </r>
  <r>
    <x v="5"/>
    <x v="6"/>
    <x v="0"/>
    <s v="4810107"/>
    <n v="700032"/>
    <s v="Salaries-Other Pat Care Providers-OT"/>
    <s v="Radiology-Bremerton"/>
    <x v="0"/>
    <n v="1000"/>
    <n v="104.35"/>
    <n v="123.94"/>
    <n v="623.86"/>
    <n v="72.319999999999993"/>
    <n v="142.93"/>
    <n v="267.32"/>
    <n v="92.19"/>
    <n v="202.09"/>
    <n v="164.49"/>
    <n v="23.95"/>
    <n v="82.49"/>
    <n v="153.75"/>
    <n v="2053.6800000000003"/>
    <n v="-71.260000000000005"/>
  </r>
  <r>
    <x v="5"/>
    <x v="6"/>
    <x v="0"/>
    <s v="4810107"/>
    <n v="700032"/>
    <s v="Salaries-Other Pat Care Providers-Other"/>
    <s v="Radiology-Bremerton"/>
    <x v="0"/>
    <n v="2000"/>
    <n v="175.8"/>
    <n v="277.05"/>
    <n v="629.28"/>
    <n v="-65.37"/>
    <n v="10.130000000000001"/>
    <n v="959.42"/>
    <n v="-1.77"/>
    <n v="0"/>
    <n v="0"/>
    <n v="0"/>
    <n v="0"/>
    <n v="0"/>
    <n v="1984.54"/>
    <n v="0"/>
  </r>
  <r>
    <x v="5"/>
    <x v="6"/>
    <x v="0"/>
    <s v="4810107"/>
    <n v="700034"/>
    <s v="Salaries-Tech/Professional-Productive"/>
    <s v="Radiology-Bremerton"/>
    <x v="0"/>
    <m/>
    <n v="129906.22"/>
    <n v="130418.63"/>
    <n v="125923.59"/>
    <n v="127294.05"/>
    <n v="124729.51"/>
    <n v="132880.49"/>
    <n v="125931.93"/>
    <n v="123411.95"/>
    <n v="131976.44"/>
    <n v="128620.49"/>
    <n v="130324.81"/>
    <n v="131230.26"/>
    <n v="1542648.3699999999"/>
    <n v="-905.45000000001164"/>
  </r>
  <r>
    <x v="5"/>
    <x v="6"/>
    <x v="0"/>
    <s v="4810107"/>
    <n v="700034"/>
    <s v="Salaries-Tech/Professional-OT"/>
    <s v="Radiology-Bremerton"/>
    <x v="0"/>
    <n v="1000"/>
    <n v="3822.74"/>
    <n v="3032.16"/>
    <n v="2882.63"/>
    <n v="5314.38"/>
    <n v="1465.77"/>
    <n v="3238.18"/>
    <n v="6027.67"/>
    <n v="393.39"/>
    <n v="2468.88"/>
    <n v="1818.75"/>
    <n v="7713.83"/>
    <n v="1930.76"/>
    <n v="40109.14"/>
    <n v="5783.07"/>
  </r>
  <r>
    <x v="5"/>
    <x v="6"/>
    <x v="0"/>
    <s v="4810107"/>
    <n v="700034"/>
    <s v="Salaries-Tech/Professional-Other"/>
    <s v="Radiology-Bremerton"/>
    <x v="0"/>
    <n v="2000"/>
    <n v="8698.93"/>
    <n v="8857.98"/>
    <n v="9046.26"/>
    <n v="9932.49"/>
    <n v="9324.16"/>
    <n v="11236.01"/>
    <n v="10255.73"/>
    <n v="9195.2999999999993"/>
    <n v="9883.15"/>
    <n v="9351.77"/>
    <n v="10813.43"/>
    <n v="9315.7000000000007"/>
    <n v="115910.90999999999"/>
    <n v="1497.7299999999996"/>
  </r>
  <r>
    <x v="5"/>
    <x v="6"/>
    <x v="0"/>
    <s v="4810107"/>
    <n v="700054"/>
    <s v="Salaries-Management-NonProd-Other"/>
    <s v="Radiology-Bremerton"/>
    <x v="0"/>
    <n v="2000"/>
    <n v="0"/>
    <n v="0"/>
    <n v="0"/>
    <n v="0"/>
    <n v="0"/>
    <n v="62.22"/>
    <n v="-62.22"/>
    <n v="0"/>
    <n v="0"/>
    <n v="0"/>
    <n v="0"/>
    <n v="0"/>
    <n v="0"/>
    <n v="0"/>
  </r>
  <r>
    <x v="5"/>
    <x v="6"/>
    <x v="0"/>
    <s v="4810107"/>
    <n v="700066"/>
    <s v="Salaries-RN-Non-productive"/>
    <s v="Radiology-Bremerton"/>
    <x v="0"/>
    <m/>
    <n v="7024.96"/>
    <n v="1318.21"/>
    <n v="1348.35"/>
    <n v="6645.6"/>
    <n v="-775.62"/>
    <n v="6322.54"/>
    <n v="5281.34"/>
    <n v="3568.22"/>
    <n v="1324.7"/>
    <n v="5980.49"/>
    <n v="3816.3"/>
    <n v="2741.24"/>
    <n v="44596.33"/>
    <n v="1075.0600000000004"/>
  </r>
  <r>
    <x v="5"/>
    <x v="6"/>
    <x v="0"/>
    <s v="4810107"/>
    <n v="700066"/>
    <s v="Salaries-RN-NonProd-Other"/>
    <s v="Radiology-Bremerton"/>
    <x v="0"/>
    <n v="2000"/>
    <n v="66.45"/>
    <n v="252.16"/>
    <n v="-37.92"/>
    <n v="167.67"/>
    <n v="393.25"/>
    <n v="271.02"/>
    <n v="1.1100000000000001"/>
    <n v="263.3"/>
    <n v="162.96"/>
    <n v="98.15"/>
    <n v="86.94"/>
    <n v="332.48"/>
    <n v="2057.5700000000002"/>
    <n v="-245.54000000000002"/>
  </r>
  <r>
    <x v="5"/>
    <x v="6"/>
    <x v="0"/>
    <s v="4810107"/>
    <n v="700072"/>
    <s v="Salaries-Other Pat Care Providers-Non-productive"/>
    <s v="Radiology-Bremerton"/>
    <x v="0"/>
    <m/>
    <n v="0"/>
    <n v="890.4"/>
    <n v="534.24"/>
    <n v="456.24"/>
    <n v="1030.28"/>
    <n v="267.13"/>
    <n v="344.86"/>
    <n v="601.86"/>
    <n v="155.97999999999999"/>
    <n v="446.54"/>
    <n v="238.07"/>
    <n v="447.17"/>
    <n v="5412.7699999999995"/>
    <n v="-209.10000000000002"/>
  </r>
  <r>
    <x v="5"/>
    <x v="6"/>
    <x v="0"/>
    <s v="4810107"/>
    <n v="700074"/>
    <s v="Salaries-Tech/Professional-Non-productive"/>
    <s v="Radiology-Bremerton"/>
    <x v="0"/>
    <m/>
    <n v="18032.330000000002"/>
    <n v="17609.79"/>
    <n v="16794.849999999999"/>
    <n v="16917.47"/>
    <n v="16811.73"/>
    <n v="26892.01"/>
    <n v="18851.169999999998"/>
    <n v="15243.23"/>
    <n v="18100.11"/>
    <n v="13351.84"/>
    <n v="17904.29"/>
    <n v="17496.63"/>
    <n v="214005.45"/>
    <n v="407.65999999999985"/>
  </r>
  <r>
    <x v="5"/>
    <x v="6"/>
    <x v="0"/>
    <s v="4810107"/>
    <n v="700074"/>
    <s v="Salaries-Tech/Professional-NonProd-Other"/>
    <s v="Radiology-Bremerton"/>
    <x v="0"/>
    <n v="2000"/>
    <n v="485.88"/>
    <n v="780.46"/>
    <n v="503.56"/>
    <n v="272.77999999999997"/>
    <n v="631.59"/>
    <n v="1079.8699999999999"/>
    <n v="915.85"/>
    <n v="230.23"/>
    <n v="688.46"/>
    <n v="212.93"/>
    <n v="1067.33"/>
    <n v="740.58"/>
    <n v="7609.5199999999995"/>
    <n v="326.74999999999989"/>
  </r>
  <r>
    <x v="5"/>
    <x v="6"/>
    <x v="0"/>
    <s v="4810107"/>
    <n v="700084"/>
    <s v="Accrued PTO"/>
    <s v="Radiology-Bremerton"/>
    <x v="0"/>
    <m/>
    <n v="-1728.17"/>
    <n v="7996.95"/>
    <n v="2555.9699999999998"/>
    <n v="-2549.04"/>
    <n v="5643.03"/>
    <n v="1739.77"/>
    <n v="1799.33"/>
    <n v="3924.3"/>
    <n v="6502.75"/>
    <n v="3884.3"/>
    <n v="1300.8"/>
    <n v="3820.66"/>
    <n v="34890.649999999994"/>
    <n v="-2519.8599999999997"/>
  </r>
  <r>
    <x v="6"/>
    <x v="6"/>
    <x v="0"/>
    <s v="4810107"/>
    <n v="713010"/>
    <s v="Benefits-FICA/Medicare"/>
    <s v="Radiology-Bremerton"/>
    <x v="0"/>
    <m/>
    <n v="15388.26"/>
    <n v="15543.02"/>
    <n v="15051.63"/>
    <n v="15300.55"/>
    <n v="14772.6"/>
    <n v="16639.310000000001"/>
    <n v="15835.9"/>
    <n v="14341.68"/>
    <n v="16235.66"/>
    <n v="14618.8"/>
    <n v="16198.1"/>
    <n v="15819.23"/>
    <n v="185744.74"/>
    <n v="378.8700000000008"/>
  </r>
  <r>
    <x v="6"/>
    <x v="6"/>
    <x v="0"/>
    <s v="4810107"/>
    <n v="713090"/>
    <s v="Benefits-Allocated Amounts"/>
    <s v="Radiology-Bremerton"/>
    <x v="0"/>
    <m/>
    <n v="30655.53"/>
    <n v="28316.720000000001"/>
    <n v="29992.71"/>
    <n v="29582.44"/>
    <n v="33485.199999999997"/>
    <n v="33454.47"/>
    <n v="32507.11"/>
    <n v="31351.91"/>
    <n v="28063.78"/>
    <n v="32982.019999999997"/>
    <n v="32694.26"/>
    <n v="37559.65"/>
    <n v="380645.80000000005"/>
    <n v="-4865.3900000000031"/>
  </r>
  <r>
    <x v="7"/>
    <x v="6"/>
    <x v="0"/>
    <s v="4810107"/>
    <n v="718050"/>
    <s v="Contract Svcs-Other"/>
    <s v="Radiology-Bremerton"/>
    <x v="0"/>
    <m/>
    <n v="1280.21"/>
    <n v="3802.47"/>
    <n v="1445.61"/>
    <n v="1888.06"/>
    <n v="8500"/>
    <n v="240.04"/>
    <n v="0"/>
    <n v="113"/>
    <n v="4455"/>
    <n v="450"/>
    <n v="0"/>
    <n v="1260"/>
    <n v="23434.39"/>
    <n v="-1260"/>
  </r>
  <r>
    <x v="7"/>
    <x v="6"/>
    <x v="0"/>
    <s v="4810107"/>
    <n v="718050"/>
    <s v="Miscellaneous Purchased Svcs"/>
    <s v="Radiology-Bremerton"/>
    <x v="0"/>
    <n v="1020"/>
    <n v="0"/>
    <n v="0"/>
    <n v="0"/>
    <n v="0"/>
    <n v="0"/>
    <n v="0"/>
    <n v="0"/>
    <n v="0"/>
    <n v="0"/>
    <n v="7610"/>
    <n v="0"/>
    <n v="0"/>
    <n v="7610"/>
    <n v="0"/>
  </r>
  <r>
    <x v="7"/>
    <x v="6"/>
    <x v="0"/>
    <s v="4810107"/>
    <n v="718050"/>
    <s v="Contract Management--Linen"/>
    <s v="Radiology-Bremerton"/>
    <x v="0"/>
    <n v="1026"/>
    <n v="4158"/>
    <n v="4273.37"/>
    <n v="5150.9799999999996"/>
    <n v="4194.4399999999996"/>
    <n v="4513.1400000000003"/>
    <n v="4318.2"/>
    <n v="5100.62"/>
    <n v="5361.29"/>
    <n v="112.28"/>
    <n v="0"/>
    <n v="8796.56"/>
    <n v="8754.11"/>
    <n v="54732.989999999991"/>
    <n v="42.449999999998909"/>
  </r>
  <r>
    <x v="7"/>
    <x v="6"/>
    <x v="0"/>
    <s v="4810107"/>
    <n v="718060"/>
    <s v="Contract Services-CHI RRC Fees"/>
    <s v="Radiology-Bremerton"/>
    <x v="0"/>
    <m/>
    <n v="4867"/>
    <n v="4867"/>
    <n v="4867"/>
    <n v="4867"/>
    <n v="4867"/>
    <n v="4867"/>
    <n v="4867"/>
    <n v="4867"/>
    <n v="4867"/>
    <n v="4867"/>
    <n v="4867"/>
    <n v="4867"/>
    <n v="58404"/>
    <n v="0"/>
  </r>
  <r>
    <x v="7"/>
    <x v="6"/>
    <x v="0"/>
    <s v="4810107"/>
    <n v="718070"/>
    <s v="Contract Srvcs-CHI Clinical Engineering"/>
    <s v="Radiology-Bremerton"/>
    <x v="0"/>
    <m/>
    <n v="36142.81"/>
    <n v="34812.800000000003"/>
    <n v="44027.25"/>
    <n v="38690.589999999997"/>
    <n v="37967.56"/>
    <n v="38608.14"/>
    <n v="49464.45"/>
    <n v="26303.43"/>
    <n v="37607.33"/>
    <n v="37533.35"/>
    <n v="37727.53"/>
    <n v="37500.300000000003"/>
    <n v="456385.54"/>
    <n v="227.22999999999593"/>
  </r>
  <r>
    <x v="11"/>
    <x v="6"/>
    <x v="0"/>
    <s v="4810107"/>
    <n v="721010"/>
    <s v="Supplies-Medical - Billable"/>
    <s v="Radiology-Bremerton"/>
    <x v="0"/>
    <m/>
    <n v="10212.26"/>
    <n v="12995.89"/>
    <n v="7927.36"/>
    <n v="9638.9699999999993"/>
    <n v="13384.16"/>
    <n v="9894.4500000000007"/>
    <n v="9516.82"/>
    <n v="5182.41"/>
    <n v="9465.02"/>
    <n v="13338.55"/>
    <n v="9218.2800000000007"/>
    <n v="10118.93"/>
    <n v="120893.1"/>
    <n v="-900.64999999999964"/>
  </r>
  <r>
    <x v="11"/>
    <x v="6"/>
    <x v="0"/>
    <s v="4810107"/>
    <n v="721010"/>
    <s v="Patient Monitoring"/>
    <s v="Radiology-Bremerton"/>
    <x v="0"/>
    <n v="1000"/>
    <n v="1617.26"/>
    <n v="702.44"/>
    <n v="1175.31"/>
    <n v="1103.47"/>
    <n v="902.23"/>
    <n v="728.34"/>
    <n v="1580.17"/>
    <n v="1040.48"/>
    <n v="1409.41"/>
    <n v="1115.06"/>
    <n v="1266.45"/>
    <n v="988.58"/>
    <n v="13629.199999999999"/>
    <n v="277.87"/>
  </r>
  <r>
    <x v="11"/>
    <x v="6"/>
    <x v="0"/>
    <s v="4810107"/>
    <n v="721020"/>
    <s v="Supplies-Surgical - Billable"/>
    <s v="Radiology-Bremerton"/>
    <x v="0"/>
    <m/>
    <n v="63.22"/>
    <n v="63.22"/>
    <n v="5.44"/>
    <n v="0"/>
    <n v="365.44"/>
    <n v="0"/>
    <n v="22.82"/>
    <n v="5.44"/>
    <n v="0"/>
    <n v="0"/>
    <n v="0"/>
    <n v="62.48"/>
    <n v="588.06000000000006"/>
    <n v="-62.48"/>
  </r>
  <r>
    <x v="11"/>
    <x v="6"/>
    <x v="0"/>
    <s v="4810107"/>
    <n v="721020"/>
    <s v="Custom Packs"/>
    <s v="Radiology-Bremerton"/>
    <x v="0"/>
    <n v="1000"/>
    <n v="1235.03"/>
    <n v="841.87"/>
    <n v="1498.53"/>
    <n v="1016.08"/>
    <n v="1192.68"/>
    <n v="1068.8900000000001"/>
    <n v="1227.1199999999999"/>
    <n v="1122.03"/>
    <n v="1097.77"/>
    <n v="1325.74"/>
    <n v="1198.31"/>
    <n v="1455.65"/>
    <n v="14279.7"/>
    <n v="-257.34000000000015"/>
  </r>
  <r>
    <x v="11"/>
    <x v="6"/>
    <x v="0"/>
    <s v="4810107"/>
    <n v="721020"/>
    <s v="Suture/Wound Closure"/>
    <s v="Radiology-Bremerton"/>
    <x v="0"/>
    <n v="1001"/>
    <n v="0"/>
    <n v="0"/>
    <n v="0"/>
    <n v="32.26"/>
    <n v="0"/>
    <n v="45.37"/>
    <n v="0"/>
    <n v="0"/>
    <n v="0"/>
    <n v="67.44"/>
    <n v="75.45"/>
    <n v="8.1999999999999993"/>
    <n v="228.71999999999997"/>
    <n v="67.25"/>
  </r>
  <r>
    <x v="11"/>
    <x v="6"/>
    <x v="0"/>
    <s v="4810107"/>
    <n v="721020"/>
    <s v="Endomechanical Supplies &amp; Instruments"/>
    <s v="Radiology-Bremerton"/>
    <x v="0"/>
    <n v="1003"/>
    <n v="0"/>
    <n v="0"/>
    <n v="0"/>
    <n v="0"/>
    <n v="0"/>
    <n v="0"/>
    <n v="0"/>
    <n v="-3558"/>
    <n v="0"/>
    <n v="0"/>
    <n v="0"/>
    <n v="0"/>
    <n v="-3558"/>
    <n v="0"/>
  </r>
  <r>
    <x v="11"/>
    <x v="6"/>
    <x v="0"/>
    <s v="4810107"/>
    <n v="721020"/>
    <s v="Bone Cement &amp; Supplies"/>
    <s v="Radiology-Bremerton"/>
    <x v="0"/>
    <n v="1004"/>
    <n v="1580.5"/>
    <n v="1580.5"/>
    <n v="1580.5"/>
    <n v="0"/>
    <n v="0"/>
    <n v="0"/>
    <n v="3161"/>
    <n v="0"/>
    <n v="0"/>
    <n v="0"/>
    <n v="0"/>
    <n v="0"/>
    <n v="7902.5"/>
    <n v="0"/>
  </r>
  <r>
    <x v="11"/>
    <x v="6"/>
    <x v="0"/>
    <s v="4810107"/>
    <n v="721020"/>
    <s v="Urological Supplies"/>
    <s v="Radiology-Bremerton"/>
    <x v="0"/>
    <n v="1006"/>
    <n v="0"/>
    <n v="64.739999999999995"/>
    <n v="0"/>
    <n v="0"/>
    <n v="0"/>
    <n v="122.54"/>
    <n v="0"/>
    <n v="0"/>
    <n v="0"/>
    <n v="0"/>
    <n v="0"/>
    <n v="0"/>
    <n v="187.28"/>
    <n v="0"/>
  </r>
  <r>
    <x v="11"/>
    <x v="6"/>
    <x v="0"/>
    <s v="4810107"/>
    <n v="721020"/>
    <s v="Tubes Drains &amp; Related Supplies"/>
    <s v="Radiology-Bremerton"/>
    <x v="0"/>
    <n v="1008"/>
    <n v="266.39999999999998"/>
    <n v="0"/>
    <n v="752.4"/>
    <n v="0.52"/>
    <n v="705.6"/>
    <n v="0"/>
    <n v="319.8"/>
    <n v="0"/>
    <n v="0"/>
    <n v="0"/>
    <n v="46.8"/>
    <n v="93.6"/>
    <n v="2185.12"/>
    <n v="-46.8"/>
  </r>
  <r>
    <x v="11"/>
    <x v="6"/>
    <x v="0"/>
    <s v="4810107"/>
    <n v="721050"/>
    <s v="Supplies-Cardiac Rhythm - Billable"/>
    <s v="Radiology-Bremerton"/>
    <x v="0"/>
    <m/>
    <n v="2443.38"/>
    <n v="3261.37"/>
    <n v="2384.65"/>
    <n v="-2850.88"/>
    <n v="3130.69"/>
    <n v="2133.0700000000002"/>
    <n v="2622.34"/>
    <n v="2703.31"/>
    <n v="2242.21"/>
    <n v="7843.64"/>
    <n v="5808.82"/>
    <n v="3264.04"/>
    <n v="34986.639999999999"/>
    <n v="2544.7799999999997"/>
  </r>
  <r>
    <x v="11"/>
    <x v="6"/>
    <x v="0"/>
    <s v="4810107"/>
    <n v="721240"/>
    <s v="Supplies-IV Solutions/Supplies - Billable"/>
    <s v="Radiology-Bremerton"/>
    <x v="0"/>
    <m/>
    <n v="16431.349999999999"/>
    <n v="24901.54"/>
    <n v="28328.27"/>
    <n v="22133.21"/>
    <n v="20253.87"/>
    <n v="14110.65"/>
    <n v="26218.26"/>
    <n v="19078.689999999999"/>
    <n v="21253.08"/>
    <n v="21503.3"/>
    <n v="17505.3"/>
    <n v="20358.080000000002"/>
    <n v="252075.59999999998"/>
    <n v="-2852.7800000000025"/>
  </r>
  <r>
    <x v="11"/>
    <x v="6"/>
    <x v="0"/>
    <s v="4810107"/>
    <n v="721250"/>
    <s v="Supplies-Pharmacy Drugs - Billable"/>
    <s v="Radiology-Bremerton"/>
    <x v="0"/>
    <m/>
    <n v="1067.28"/>
    <n v="13707.98"/>
    <n v="5676.23"/>
    <n v="5797.31"/>
    <n v="8294.7099999999991"/>
    <n v="8822.2099999999991"/>
    <n v="4280.0600000000004"/>
    <n v="718.8"/>
    <n v="1670.68"/>
    <n v="9766.32"/>
    <n v="2439.3200000000002"/>
    <n v="13821.18"/>
    <n v="76062.079999999987"/>
    <n v="-11381.86"/>
  </r>
  <r>
    <x v="11"/>
    <x v="6"/>
    <x v="0"/>
    <s v="4810107"/>
    <n v="721320"/>
    <s v="Supplies-Purchased Blood - Billable"/>
    <s v="Radiology-Bremerton"/>
    <x v="0"/>
    <m/>
    <n v="0"/>
    <n v="0"/>
    <n v="0"/>
    <n v="0"/>
    <n v="0"/>
    <n v="0"/>
    <n v="0"/>
    <n v="0"/>
    <n v="0"/>
    <n v="0"/>
    <n v="16.68"/>
    <n v="0"/>
    <n v="16.68"/>
    <n v="16.68"/>
  </r>
  <r>
    <x v="11"/>
    <x v="6"/>
    <x v="0"/>
    <s v="4810107"/>
    <n v="721350"/>
    <s v="Radiology Imaging - Contrast Media"/>
    <s v="Radiology-Bremerton"/>
    <x v="0"/>
    <n v="1000"/>
    <n v="294.85000000000002"/>
    <n v="462.4"/>
    <n v="307.55"/>
    <n v="577.62"/>
    <n v="855.03"/>
    <n v="649.88"/>
    <n v="568.16999999999996"/>
    <n v="633.41"/>
    <n v="429.83"/>
    <n v="960.55"/>
    <n v="518.61"/>
    <n v="343.63"/>
    <n v="6601.53"/>
    <n v="174.98000000000002"/>
  </r>
  <r>
    <x v="11"/>
    <x v="6"/>
    <x v="0"/>
    <s v="4810107"/>
    <n v="721410"/>
    <s v="Supplies-Medical - Nonbillable"/>
    <s v="Radiology-Bremerton"/>
    <x v="0"/>
    <m/>
    <n v="8898.36"/>
    <n v="9370.43"/>
    <n v="10722.38"/>
    <n v="9561.5300000000007"/>
    <n v="16164.82"/>
    <n v="7965.09"/>
    <n v="11784.74"/>
    <n v="12687.26"/>
    <n v="10883.44"/>
    <n v="10249.32"/>
    <n v="12570.7"/>
    <n v="10497.62"/>
    <n v="131355.69"/>
    <n v="2073.08"/>
  </r>
  <r>
    <x v="11"/>
    <x v="6"/>
    <x v="0"/>
    <s v="4810107"/>
    <n v="721410"/>
    <s v="Patient Monitoring"/>
    <s v="Radiology-Bremerton"/>
    <x v="0"/>
    <n v="1000"/>
    <n v="0"/>
    <n v="0"/>
    <n v="0"/>
    <n v="0"/>
    <n v="0"/>
    <n v="0"/>
    <n v="6.86"/>
    <n v="0"/>
    <n v="0"/>
    <n v="0"/>
    <n v="0"/>
    <n v="0"/>
    <n v="6.86"/>
    <n v="0"/>
  </r>
  <r>
    <x v="11"/>
    <x v="6"/>
    <x v="0"/>
    <s v="4810107"/>
    <n v="721420"/>
    <s v="Supplies-Surgical Nonbillable"/>
    <s v="Radiology-Bremerton"/>
    <x v="0"/>
    <m/>
    <n v="178.35"/>
    <n v="543.88"/>
    <n v="292.14"/>
    <n v="410.78"/>
    <n v="281.97000000000003"/>
    <n v="383.49"/>
    <n v="304.42"/>
    <n v="159.77000000000001"/>
    <n v="292.13"/>
    <n v="263.88"/>
    <n v="169.44"/>
    <n v="566.70000000000005"/>
    <n v="3846.9500000000007"/>
    <n v="-397.26000000000005"/>
  </r>
  <r>
    <x v="11"/>
    <x v="6"/>
    <x v="0"/>
    <s v="4810107"/>
    <n v="721420"/>
    <s v="Tubes Drains &amp; Related Supplies"/>
    <s v="Radiology-Bremerton"/>
    <x v="0"/>
    <n v="1008"/>
    <n v="0"/>
    <n v="0"/>
    <n v="0"/>
    <n v="0"/>
    <n v="0"/>
    <n v="32.700000000000003"/>
    <n v="-2.7"/>
    <n v="0"/>
    <n v="0"/>
    <n v="32.700000000000003"/>
    <n v="-2.7"/>
    <n v="0"/>
    <n v="60"/>
    <n v="-2.7"/>
  </r>
  <r>
    <x v="11"/>
    <x v="6"/>
    <x v="0"/>
    <s v="4810107"/>
    <n v="721420"/>
    <s v="Sterilization Process Products"/>
    <s v="Radiology-Bremerton"/>
    <x v="0"/>
    <n v="1009"/>
    <n v="4.9800000000000004"/>
    <n v="2.13"/>
    <n v="105.12"/>
    <n v="53.48"/>
    <n v="2.84"/>
    <n v="4.2699999999999996"/>
    <n v="6.4"/>
    <n v="155.41"/>
    <n v="108.44"/>
    <n v="286.32"/>
    <n v="197.21"/>
    <n v="219.7"/>
    <n v="1146.3"/>
    <n v="-22.489999999999981"/>
  </r>
  <r>
    <x v="11"/>
    <x v="6"/>
    <x v="0"/>
    <s v="4810107"/>
    <n v="721610"/>
    <s v="Supplies-Anesthesia - Nonbillable"/>
    <s v="Radiology-Bremerton"/>
    <x v="0"/>
    <m/>
    <n v="481.46"/>
    <n v="1015.9"/>
    <n v="1507.5"/>
    <n v="635.17999999999995"/>
    <n v="137.56"/>
    <n v="655.66"/>
    <n v="1475.69"/>
    <n v="362.07"/>
    <n v="775.96"/>
    <n v="363.22"/>
    <n v="1562.46"/>
    <n v="672.68"/>
    <n v="9645.34"/>
    <n v="889.78000000000009"/>
  </r>
  <r>
    <x v="11"/>
    <x v="6"/>
    <x v="0"/>
    <s v="4810107"/>
    <n v="721640"/>
    <s v="Supplies-IV Solutions/Supplies - Nonbillable"/>
    <s v="Radiology-Bremerton"/>
    <x v="0"/>
    <m/>
    <n v="551.1"/>
    <n v="972.2"/>
    <n v="875.87"/>
    <n v="579.4"/>
    <n v="1057.32"/>
    <n v="569.58000000000004"/>
    <n v="503.18"/>
    <n v="847.29"/>
    <n v="396.37"/>
    <n v="596.33000000000004"/>
    <n v="608.87"/>
    <n v="837.36"/>
    <n v="8394.8700000000008"/>
    <n v="-228.49"/>
  </r>
  <r>
    <x v="11"/>
    <x v="6"/>
    <x v="0"/>
    <s v="4810107"/>
    <n v="721650"/>
    <s v="Supplies-Pharmacy Drugs - Nonbillable"/>
    <s v="Radiology-Bremerton"/>
    <x v="0"/>
    <m/>
    <n v="0"/>
    <n v="0"/>
    <n v="0"/>
    <n v="0"/>
    <n v="0"/>
    <n v="0"/>
    <n v="5.13"/>
    <n v="0.56000000000000005"/>
    <n v="0"/>
    <n v="0"/>
    <n v="-3.6"/>
    <n v="0"/>
    <n v="2.0899999999999994"/>
    <n v="-3.6"/>
  </r>
  <r>
    <x v="11"/>
    <x v="6"/>
    <x v="0"/>
    <s v="4810107"/>
    <n v="721710"/>
    <s v="Supplies-Laboratory - Nonbillable"/>
    <s v="Radiology-Bremerton"/>
    <x v="0"/>
    <m/>
    <n v="0.66"/>
    <n v="3554.73"/>
    <n v="3185.4"/>
    <n v="7.97"/>
    <n v="0.65"/>
    <n v="17.579999999999998"/>
    <n v="3545.48"/>
    <n v="3.32"/>
    <n v="-18.68"/>
    <n v="64.06"/>
    <n v="3.11"/>
    <n v="444.28"/>
    <n v="10808.56"/>
    <n v="-441.16999999999996"/>
  </r>
  <r>
    <x v="11"/>
    <x v="6"/>
    <x v="0"/>
    <s v="4810107"/>
    <n v="721710"/>
    <s v="Reagents"/>
    <s v="Radiology-Bremerton"/>
    <x v="0"/>
    <n v="1000"/>
    <n v="6.3"/>
    <n v="5.45"/>
    <n v="5.45"/>
    <n v="0"/>
    <n v="0"/>
    <n v="0"/>
    <n v="3.15"/>
    <n v="3.15"/>
    <n v="5.45"/>
    <n v="0"/>
    <n v="6.3"/>
    <n v="0"/>
    <n v="35.249999999999993"/>
    <n v="6.3"/>
  </r>
  <r>
    <x v="11"/>
    <x v="6"/>
    <x v="0"/>
    <s v="4810107"/>
    <n v="721750"/>
    <s v="Supplies-Film/Radiographic - Nonbillable"/>
    <s v="Radiology-Bremerton"/>
    <x v="0"/>
    <m/>
    <n v="483.91"/>
    <n v="2531.1799999999998"/>
    <n v="924.43"/>
    <n v="505.6"/>
    <n v="1318.48"/>
    <n v="1407.06"/>
    <n v="2775.95"/>
    <n v="3459.48"/>
    <n v="1399.2"/>
    <n v="1428.88"/>
    <n v="1302.8399999999999"/>
    <n v="343.1"/>
    <n v="17880.11"/>
    <n v="959.7399999999999"/>
  </r>
  <r>
    <x v="11"/>
    <x v="6"/>
    <x v="0"/>
    <s v="4810107"/>
    <n v="721810"/>
    <s v="Supplies-Dietary/Cafeteria"/>
    <s v="Radiology-Bremerton"/>
    <x v="0"/>
    <m/>
    <n v="182.14"/>
    <n v="231.51"/>
    <n v="193.31"/>
    <n v="264.52"/>
    <n v="743.43"/>
    <n v="187.03"/>
    <n v="263.08999999999997"/>
    <n v="229.08"/>
    <n v="358.53"/>
    <n v="404.83"/>
    <n v="492.47"/>
    <n v="169.16"/>
    <n v="3719.0999999999995"/>
    <n v="323.31000000000006"/>
  </r>
  <r>
    <x v="11"/>
    <x v="6"/>
    <x v="0"/>
    <s v="4810107"/>
    <n v="721830"/>
    <s v="Supplies-Office"/>
    <s v="Radiology-Bremerton"/>
    <x v="0"/>
    <m/>
    <n v="541.57000000000005"/>
    <n v="1094"/>
    <n v="470.52"/>
    <n v="355.75"/>
    <n v="971.14"/>
    <n v="747.95"/>
    <n v="1474.67"/>
    <n v="1291.8499999999999"/>
    <n v="2520.9499999999998"/>
    <n v="2229.16"/>
    <n v="11120.14"/>
    <n v="1488.87"/>
    <n v="24306.57"/>
    <n v="9631.27"/>
  </r>
  <r>
    <x v="11"/>
    <x v="6"/>
    <x v="0"/>
    <s v="4810107"/>
    <n v="721835"/>
    <s v="Supplies-Forms"/>
    <s v="Radiology-Bremerton"/>
    <x v="0"/>
    <m/>
    <n v="0"/>
    <n v="0"/>
    <n v="0"/>
    <n v="0"/>
    <n v="180.65"/>
    <n v="74.25"/>
    <n v="69.3"/>
    <n v="0"/>
    <n v="13.2"/>
    <n v="0"/>
    <n v="13.8"/>
    <n v="0"/>
    <n v="351.2"/>
    <n v="13.8"/>
  </r>
  <r>
    <x v="11"/>
    <x v="6"/>
    <x v="0"/>
    <s v="4810107"/>
    <n v="721870"/>
    <s v="Supplies-Environmental Services"/>
    <s v="Radiology-Bremerton"/>
    <x v="0"/>
    <m/>
    <n v="300.70999999999998"/>
    <n v="375.16"/>
    <n v="260.93"/>
    <n v="423.93"/>
    <n v="354.14"/>
    <n v="316.70999999999998"/>
    <n v="363.51"/>
    <n v="292.66000000000003"/>
    <n v="413.74"/>
    <n v="440.47"/>
    <n v="363.86"/>
    <n v="303.57"/>
    <n v="4209.3900000000003"/>
    <n v="60.29000000000002"/>
  </r>
  <r>
    <x v="11"/>
    <x v="6"/>
    <x v="0"/>
    <s v="4810107"/>
    <n v="721880"/>
    <s v="Supplies-Linen"/>
    <s v="Radiology-Bremerton"/>
    <x v="0"/>
    <m/>
    <n v="0"/>
    <n v="0"/>
    <n v="0"/>
    <n v="0"/>
    <n v="0"/>
    <n v="62.87"/>
    <n v="0"/>
    <n v="0"/>
    <n v="0"/>
    <n v="0"/>
    <n v="0"/>
    <n v="0"/>
    <n v="62.87"/>
    <n v="0"/>
  </r>
  <r>
    <x v="11"/>
    <x v="6"/>
    <x v="0"/>
    <s v="4810107"/>
    <n v="721910"/>
    <s v="Supplies-Small Equipment"/>
    <s v="Radiology-Bremerton"/>
    <x v="0"/>
    <m/>
    <n v="951"/>
    <n v="7.71"/>
    <n v="975.54"/>
    <n v="975.51"/>
    <n v="16.59"/>
    <n v="8158.02"/>
    <n v="988.37"/>
    <n v="3714.75"/>
    <n v="970.92"/>
    <n v="1336.21"/>
    <n v="2915.94"/>
    <n v="963.96"/>
    <n v="21974.519999999997"/>
    <n v="1951.98"/>
  </r>
  <r>
    <x v="11"/>
    <x v="6"/>
    <x v="0"/>
    <s v="4810107"/>
    <n v="721910"/>
    <s v="Instruments"/>
    <s v="Radiology-Bremerton"/>
    <x v="0"/>
    <n v="1000"/>
    <n v="0"/>
    <n v="2826.42"/>
    <n v="0"/>
    <n v="0"/>
    <n v="0"/>
    <n v="0"/>
    <n v="2826.42"/>
    <n v="0"/>
    <n v="0"/>
    <n v="170.66"/>
    <n v="170.66"/>
    <n v="0"/>
    <n v="5994.16"/>
    <n v="170.66"/>
  </r>
  <r>
    <x v="11"/>
    <x v="6"/>
    <x v="0"/>
    <s v="4810107"/>
    <n v="721980"/>
    <s v="Supplies-Other"/>
    <s v="Radiology-Bremerton"/>
    <x v="0"/>
    <m/>
    <n v="103.42"/>
    <n v="234.34"/>
    <n v="-22.99"/>
    <n v="-1183.5"/>
    <n v="0"/>
    <n v="0"/>
    <n v="0"/>
    <n v="0"/>
    <n v="0"/>
    <n v="545.59"/>
    <n v="11.39"/>
    <n v="44.89"/>
    <n v="-266.86"/>
    <n v="-33.5"/>
  </r>
  <r>
    <x v="11"/>
    <x v="6"/>
    <x v="0"/>
    <s v="4810107"/>
    <n v="722000"/>
    <s v="Supplies-Freight Expense"/>
    <s v="Radiology-Bremerton"/>
    <x v="0"/>
    <m/>
    <n v="137.04"/>
    <n v="264.67"/>
    <n v="323.61"/>
    <n v="301.38"/>
    <n v="182.22"/>
    <n v="465.6"/>
    <n v="252.51"/>
    <n v="195.67"/>
    <n v="386.37"/>
    <n v="605.04"/>
    <n v="497.64"/>
    <n v="148.96"/>
    <n v="3760.7099999999996"/>
    <n v="348.67999999999995"/>
  </r>
  <r>
    <x v="11"/>
    <x v="6"/>
    <x v="0"/>
    <s v="4810107"/>
    <n v="723000"/>
    <s v="Supply Rebates/Patronage Dividend"/>
    <s v="Radiology-Bremerton"/>
    <x v="0"/>
    <m/>
    <n v="0"/>
    <n v="0"/>
    <n v="-3059.08"/>
    <n v="0"/>
    <n v="0"/>
    <n v="-3093.69"/>
    <n v="0"/>
    <n v="0"/>
    <n v="-2958.51"/>
    <n v="0"/>
    <n v="0"/>
    <n v="-1490.32"/>
    <n v="-10601.6"/>
    <n v="1490.32"/>
  </r>
  <r>
    <x v="12"/>
    <x v="6"/>
    <x v="0"/>
    <s v="4810107"/>
    <n v="730020"/>
    <s v="Rental and Leases-Equipment (DO NOT USE)"/>
    <s v="Radiology-Bremerton"/>
    <x v="0"/>
    <m/>
    <n v="0"/>
    <n v="168.69"/>
    <n v="84.02"/>
    <n v="84.67"/>
    <n v="0"/>
    <n v="2725"/>
    <n v="146.04"/>
    <n v="2725"/>
    <n v="73.02"/>
    <n v="-5000"/>
    <n v="146.04"/>
    <n v="73.02"/>
    <n v="1225.5000000000005"/>
    <n v="73.02"/>
  </r>
  <r>
    <x v="12"/>
    <x v="6"/>
    <x v="0"/>
    <s v="4810107"/>
    <n v="730020"/>
    <s v="Rental and Leases-Copier Usage Fees (DO NOT USE)"/>
    <s v="Radiology-Bremerton"/>
    <x v="0"/>
    <n v="5100"/>
    <n v="523.5"/>
    <n v="536.30999999999995"/>
    <n v="529.9"/>
    <n v="529.9"/>
    <n v="529.9"/>
    <n v="529.9"/>
    <n v="-38.26"/>
    <n v="416.76"/>
    <n v="415.88"/>
    <n v="611.92999999999995"/>
    <n v="416.76"/>
    <n v="456.21"/>
    <n v="5458.6900000000005"/>
    <n v="-39.449999999999989"/>
  </r>
  <r>
    <x v="15"/>
    <x v="6"/>
    <x v="0"/>
    <s v="4810107"/>
    <n v="731060"/>
    <s v="Telephone"/>
    <s v="Radiology-Bremerton"/>
    <x v="0"/>
    <m/>
    <n v="8841.7800000000007"/>
    <n v="8850.67"/>
    <n v="8594.84"/>
    <n v="8863.26"/>
    <n v="8767.8700000000008"/>
    <n v="8718.6"/>
    <n v="8873.9699999999993"/>
    <n v="167.78"/>
    <n v="167.78"/>
    <n v="7275.51"/>
    <n v="8802.58"/>
    <n v="8802.58"/>
    <n v="86727.22"/>
    <n v="0"/>
  </r>
  <r>
    <x v="15"/>
    <x v="6"/>
    <x v="0"/>
    <s v="4810107"/>
    <n v="731060"/>
    <s v="Pagers"/>
    <s v="Radiology-Bremerton"/>
    <x v="0"/>
    <n v="1002"/>
    <n v="25.51"/>
    <n v="25.51"/>
    <n v="25.51"/>
    <n v="25.57"/>
    <n v="0"/>
    <n v="25.57"/>
    <n v="51.14"/>
    <n v="25.57"/>
    <n v="25.57"/>
    <n v="25.57"/>
    <n v="25.57"/>
    <n v="25.57"/>
    <n v="306.65999999999997"/>
    <n v="0"/>
  </r>
  <r>
    <x v="16"/>
    <x v="6"/>
    <x v="0"/>
    <s v="4810107"/>
    <n v="732015"/>
    <s v="Repairs-Clinical Equip-T&amp;M-Ext to CHI Programs"/>
    <s v="Radiology-Bremerton"/>
    <x v="0"/>
    <m/>
    <n v="0"/>
    <n v="0"/>
    <n v="0"/>
    <n v="0"/>
    <n v="0"/>
    <n v="0"/>
    <n v="1955.4"/>
    <n v="175.99"/>
    <n v="0"/>
    <n v="0"/>
    <n v="0"/>
    <n v="0"/>
    <n v="2131.3900000000003"/>
    <n v="0"/>
  </r>
  <r>
    <x v="16"/>
    <x v="6"/>
    <x v="0"/>
    <s v="4810107"/>
    <n v="732030"/>
    <s v="Repairs---Other"/>
    <s v="Radiology-Bremerton"/>
    <x v="0"/>
    <m/>
    <n v="0"/>
    <n v="0"/>
    <n v="1921.13"/>
    <n v="6172.13"/>
    <n v="0"/>
    <n v="0"/>
    <n v="0"/>
    <n v="0"/>
    <n v="0"/>
    <n v="187.51"/>
    <n v="69.42"/>
    <n v="0"/>
    <n v="8350.19"/>
    <n v="69.42"/>
  </r>
  <r>
    <x v="16"/>
    <x v="6"/>
    <x v="0"/>
    <s v="4810107"/>
    <n v="733030"/>
    <s v="Maintenance Contracts-Other"/>
    <s v="Radiology-Bremerton"/>
    <x v="0"/>
    <m/>
    <n v="0"/>
    <n v="0"/>
    <n v="0"/>
    <n v="0"/>
    <n v="0"/>
    <n v="0"/>
    <n v="1502.02"/>
    <n v="0"/>
    <n v="0"/>
    <n v="0"/>
    <n v="0"/>
    <n v="0"/>
    <n v="1502.02"/>
    <n v="0"/>
  </r>
  <r>
    <x v="16"/>
    <x v="6"/>
    <x v="0"/>
    <s v="4810107"/>
    <n v="733030"/>
    <s v="Maintenance Contracts-Software"/>
    <s v="Radiology-Bremerton"/>
    <x v="0"/>
    <n v="1002"/>
    <n v="0"/>
    <n v="0"/>
    <n v="0"/>
    <n v="0"/>
    <n v="0"/>
    <n v="0"/>
    <n v="0"/>
    <n v="0"/>
    <n v="685"/>
    <n v="0"/>
    <n v="14659.41"/>
    <n v="608.5"/>
    <n v="15952.91"/>
    <n v="14050.91"/>
  </r>
  <r>
    <x v="13"/>
    <x v="6"/>
    <x v="0"/>
    <s v="4810107"/>
    <n v="735040"/>
    <s v="Depreciation-Building Improvements"/>
    <s v="Radiology-Bremerton"/>
    <x v="0"/>
    <m/>
    <n v="250.71"/>
    <n v="250.7"/>
    <n v="250.71"/>
    <n v="250.7"/>
    <n v="250.71"/>
    <n v="250.7"/>
    <n v="250.71"/>
    <n v="250.7"/>
    <n v="250.71"/>
    <n v="250.7"/>
    <n v="250.71"/>
    <n v="250.7"/>
    <n v="3008.4599999999996"/>
    <n v="1.0000000000019327E-2"/>
  </r>
  <r>
    <x v="13"/>
    <x v="6"/>
    <x v="0"/>
    <s v="4810107"/>
    <n v="735070"/>
    <s v="Depreciation-Movable Equipment"/>
    <s v="Radiology-Bremerton"/>
    <x v="0"/>
    <m/>
    <n v="28679.25"/>
    <n v="29827.55"/>
    <n v="29827.63"/>
    <n v="29827.51"/>
    <n v="29827.71"/>
    <n v="29827.5"/>
    <n v="29827.73"/>
    <n v="29827.48"/>
    <n v="29827.8"/>
    <n v="29827.46"/>
    <n v="29827.85"/>
    <n v="29827.439999999999"/>
    <n v="356782.91000000003"/>
    <n v="0.40999999999985448"/>
  </r>
  <r>
    <x v="0"/>
    <x v="6"/>
    <x v="0"/>
    <s v="4810107"/>
    <n v="749510"/>
    <s v="Miscellaneous Expenses"/>
    <s v="Radiology-Bremerton"/>
    <x v="0"/>
    <m/>
    <n v="0"/>
    <n v="0"/>
    <n v="0"/>
    <n v="4.91"/>
    <n v="-4.91"/>
    <n v="0"/>
    <n v="0"/>
    <n v="0"/>
    <n v="0"/>
    <n v="761.91"/>
    <n v="0"/>
    <n v="129.88999999999999"/>
    <n v="891.8"/>
    <n v="-129.88999999999999"/>
  </r>
  <r>
    <x v="0"/>
    <x v="6"/>
    <x v="0"/>
    <s v="4810107"/>
    <n v="749510"/>
    <s v="Licenses"/>
    <s v="Radiology-Bremerton"/>
    <x v="0"/>
    <n v="1002"/>
    <n v="0"/>
    <n v="0"/>
    <n v="0"/>
    <n v="0"/>
    <n v="0"/>
    <n v="349"/>
    <n v="0"/>
    <n v="0"/>
    <n v="0"/>
    <n v="0"/>
    <n v="0"/>
    <n v="0"/>
    <n v="349"/>
    <n v="0"/>
  </r>
  <r>
    <x v="0"/>
    <x v="6"/>
    <x v="0"/>
    <s v="4810107"/>
    <n v="749530"/>
    <s v="Mileage"/>
    <s v="Radiology-Bremerton"/>
    <x v="0"/>
    <n v="1001"/>
    <n v="0"/>
    <n v="0"/>
    <n v="30.52"/>
    <n v="4.3600000000000003"/>
    <n v="4.91"/>
    <n v="0"/>
    <n v="0"/>
    <n v="0"/>
    <n v="0"/>
    <n v="4.0599999999999996"/>
    <n v="12.76"/>
    <n v="0"/>
    <n v="56.610000000000007"/>
    <n v="12.76"/>
  </r>
  <r>
    <x v="18"/>
    <x v="7"/>
    <x v="0"/>
    <s v="4810150"/>
    <n v="400010"/>
    <s v="Acute I/P Svcs Rev--Medicare"/>
    <s v="Radiology - Diagnostic"/>
    <x v="0"/>
    <n v="1100"/>
    <n v="-11913.2"/>
    <n v="-13477.67"/>
    <n v="-4347.1099999999997"/>
    <n v="-7807.63"/>
    <n v="-4947.55"/>
    <n v="-11097.38"/>
    <n v="-11362.2"/>
    <n v="-8580.68"/>
    <n v="-12486.84"/>
    <n v="-10039.18"/>
    <n v="-8610.4"/>
    <n v="-9894.26"/>
    <n v="-114564.09999999999"/>
    <n v="1283.8600000000006"/>
  </r>
  <r>
    <x v="18"/>
    <x v="7"/>
    <x v="0"/>
    <s v="4810150"/>
    <n v="400010"/>
    <s v="Acute I/P Svcs Rev--Medicaid"/>
    <s v="Radiology - Diagnostic"/>
    <x v="0"/>
    <n v="1200"/>
    <n v="-2487.37"/>
    <n v="-4726.1499999999996"/>
    <n v="-3660.24"/>
    <n v="-5203.24"/>
    <n v="-2231.6799999999998"/>
    <n v="-3543.4"/>
    <n v="-2226.19"/>
    <n v="-668.22"/>
    <n v="-5691.12"/>
    <n v="-2830.09"/>
    <n v="-2769.35"/>
    <n v="-7102.63"/>
    <n v="-43139.679999999993"/>
    <n v="4333.2800000000007"/>
  </r>
  <r>
    <x v="18"/>
    <x v="7"/>
    <x v="0"/>
    <s v="4810150"/>
    <n v="400010"/>
    <s v="Acute I/P Svcs Rev--Comm Insurance"/>
    <s v="Radiology - Diagnostic"/>
    <x v="0"/>
    <n v="1300"/>
    <n v="531.36"/>
    <n v="-557.91999999999996"/>
    <n v="-557.91999999999996"/>
    <n v="-810.79"/>
    <n v="266.23"/>
    <n v="-2536.63"/>
    <n v="0"/>
    <n v="-287.33"/>
    <n v="-848.8"/>
    <n v="-574.66"/>
    <n v="0"/>
    <n v="0"/>
    <n v="-5376.46"/>
    <n v="0"/>
  </r>
  <r>
    <x v="18"/>
    <x v="7"/>
    <x v="0"/>
    <s v="4810150"/>
    <n v="400010"/>
    <s v="Acute I/P Svcs Rev--BCBS Comm"/>
    <s v="Radiology - Diagnostic"/>
    <x v="0"/>
    <n v="1301"/>
    <n v="144.53"/>
    <n v="-1405.52"/>
    <n v="-278.95999999999998"/>
    <n v="-1875.62"/>
    <n v="-1090.06"/>
    <n v="-1124.7"/>
    <n v="278.95999999999998"/>
    <n v="-2139.8000000000002"/>
    <n v="-2445.2199999999998"/>
    <n v="-1721.82"/>
    <n v="-560.9"/>
    <n v="-287.33"/>
    <n v="-12506.439999999999"/>
    <n v="-273.57"/>
  </r>
  <r>
    <x v="18"/>
    <x v="7"/>
    <x v="0"/>
    <s v="4810150"/>
    <n v="400010"/>
    <s v="Acute I/P Svcs Rev--Managed Care"/>
    <s v="Radiology - Diagnostic"/>
    <x v="0"/>
    <n v="1400"/>
    <n v="-3273.13"/>
    <n v="-5017.43"/>
    <n v="-1123.67"/>
    <n v="-2513.21"/>
    <n v="-2355.3200000000002"/>
    <n v="-4896.18"/>
    <n v="-1375.95"/>
    <n v="-4873.04"/>
    <n v="-4293.53"/>
    <n v="-3498.69"/>
    <n v="-2301.08"/>
    <n v="-2074.19"/>
    <n v="-37595.420000000006"/>
    <n v="-226.88999999999987"/>
  </r>
  <r>
    <x v="18"/>
    <x v="7"/>
    <x v="0"/>
    <s v="4810150"/>
    <n v="400010"/>
    <s v="Acute I/P Svcs Rev--Self Pay"/>
    <s v="Radiology - Diagnostic"/>
    <x v="0"/>
    <n v="1500"/>
    <n v="-1408.08"/>
    <n v="557.91999999999996"/>
    <n v="-278.95999999999998"/>
    <n v="0"/>
    <n v="-278.95999999999998"/>
    <n v="-810.68"/>
    <n v="-278.95999999999998"/>
    <n v="-1723.49"/>
    <n v="0"/>
    <n v="-553"/>
    <n v="0"/>
    <n v="-1059.58"/>
    <n v="-5833.79"/>
    <n v="1059.58"/>
  </r>
  <r>
    <x v="18"/>
    <x v="7"/>
    <x v="0"/>
    <s v="4810150"/>
    <n v="400010"/>
    <s v="Acute I/P Svcs Rev--Other"/>
    <s v="Radiology - Diagnostic"/>
    <x v="0"/>
    <n v="1700"/>
    <n v="0"/>
    <n v="-532.23"/>
    <n v="0"/>
    <n v="0"/>
    <n v="-291.81"/>
    <n v="-557.91999999999996"/>
    <n v="-557.91999999999996"/>
    <n v="-2418.7600000000002"/>
    <n v="0"/>
    <n v="-574.66"/>
    <n v="-1175.52"/>
    <n v="557.91999999999996"/>
    <n v="-5550.9"/>
    <n v="-1733.44"/>
  </r>
  <r>
    <x v="19"/>
    <x v="7"/>
    <x v="0"/>
    <s v="4810150"/>
    <n v="400020"/>
    <s v="O/P Care Svcs Rev--Medicare"/>
    <s v="Radiology - Diagnostic"/>
    <x v="0"/>
    <n v="1100"/>
    <n v="-150111.28"/>
    <n v="-156687.06"/>
    <n v="-129368.96000000001"/>
    <n v="-164091.29"/>
    <n v="-134991.46"/>
    <n v="-147746.51999999999"/>
    <n v="-139778.76"/>
    <n v="-140581.29"/>
    <n v="-133105.32"/>
    <n v="-147422.62"/>
    <n v="-178022.23"/>
    <n v="-148425.69"/>
    <n v="-1770332.48"/>
    <n v="-29596.540000000008"/>
  </r>
  <r>
    <x v="19"/>
    <x v="7"/>
    <x v="0"/>
    <s v="4810150"/>
    <n v="400020"/>
    <s v="O/P Care Svcs Rev--Medicaid"/>
    <s v="Radiology - Diagnostic"/>
    <x v="0"/>
    <n v="1200"/>
    <n v="-38802.18"/>
    <n v="-49578.14"/>
    <n v="-39792.129999999997"/>
    <n v="-46008.38"/>
    <n v="-45434.65"/>
    <n v="-45443.38"/>
    <n v="-53789.279999999999"/>
    <n v="-51016.23"/>
    <n v="-57851.39"/>
    <n v="-51196.78"/>
    <n v="-39485.25"/>
    <n v="-37038.67"/>
    <n v="-555436.46000000008"/>
    <n v="-2446.5800000000017"/>
  </r>
  <r>
    <x v="19"/>
    <x v="7"/>
    <x v="0"/>
    <s v="4810150"/>
    <n v="400020"/>
    <s v="O/P Care Svcs Rev--Comm Insurance"/>
    <s v="Radiology - Diagnostic"/>
    <x v="0"/>
    <n v="1300"/>
    <n v="-16190.61"/>
    <n v="-13266.33"/>
    <n v="-382.01"/>
    <n v="-4603.58"/>
    <n v="-26805.48"/>
    <n v="-8306.64"/>
    <n v="290.25"/>
    <n v="-13978.81"/>
    <n v="-13062.89"/>
    <n v="-7548.76"/>
    <n v="-20572.169999999998"/>
    <n v="-11885.67"/>
    <n v="-136312.69999999998"/>
    <n v="-8686.4999999999982"/>
  </r>
  <r>
    <x v="19"/>
    <x v="7"/>
    <x v="0"/>
    <s v="4810150"/>
    <n v="400020"/>
    <s v="O/P Care Svcs Rev--BCBS Comm"/>
    <s v="Radiology - Diagnostic"/>
    <x v="0"/>
    <n v="1301"/>
    <n v="-31536.11"/>
    <n v="-39368.51"/>
    <n v="-30895.22"/>
    <n v="-31137.86"/>
    <n v="-34531.440000000002"/>
    <n v="-25290.44"/>
    <n v="-45280.28"/>
    <n v="-24461.77"/>
    <n v="-27215.5"/>
    <n v="-38360.160000000003"/>
    <n v="-32892.910000000003"/>
    <n v="-32786.71"/>
    <n v="-393756.91000000009"/>
    <n v="-106.20000000000437"/>
  </r>
  <r>
    <x v="19"/>
    <x v="7"/>
    <x v="0"/>
    <s v="4810150"/>
    <n v="400020"/>
    <s v="O/P Care Svcs Rev--Managed Care"/>
    <s v="Radiology - Diagnostic"/>
    <x v="0"/>
    <n v="1400"/>
    <n v="-63810.81"/>
    <n v="-66965.460000000006"/>
    <n v="-62223.42"/>
    <n v="-63064.65"/>
    <n v="-63187.040000000001"/>
    <n v="-68469.48"/>
    <n v="-63292.86"/>
    <n v="-66889.899999999994"/>
    <n v="-85010.11"/>
    <n v="-71223.91"/>
    <n v="-74787.429999999993"/>
    <n v="-55720.63"/>
    <n v="-804645.70000000007"/>
    <n v="-19066.799999999996"/>
  </r>
  <r>
    <x v="19"/>
    <x v="7"/>
    <x v="0"/>
    <s v="4810150"/>
    <n v="400020"/>
    <s v="O/P Care Svcs Rev--Self Pay"/>
    <s v="Radiology - Diagnostic"/>
    <x v="0"/>
    <n v="1500"/>
    <n v="-5802.3"/>
    <n v="-7565.9"/>
    <n v="-8599.14"/>
    <n v="-14209.41"/>
    <n v="-3824.57"/>
    <n v="-6814.77"/>
    <n v="-12061.4"/>
    <n v="-6295.79"/>
    <n v="-7736.19"/>
    <n v="-9093.2000000000007"/>
    <n v="-610.61"/>
    <n v="-9092.69"/>
    <n v="-91705.97"/>
    <n v="8482.08"/>
  </r>
  <r>
    <x v="19"/>
    <x v="7"/>
    <x v="0"/>
    <s v="4810150"/>
    <n v="400020"/>
    <s v="O/P Care Svcs Rev--Other"/>
    <s v="Radiology - Diagnostic"/>
    <x v="0"/>
    <n v="1700"/>
    <n v="-16184.97"/>
    <n v="-12969.62"/>
    <n v="-15333.49"/>
    <n v="-15001.07"/>
    <n v="-8453.4599999999991"/>
    <n v="-11807.59"/>
    <n v="-18098.27"/>
    <n v="-17980.89"/>
    <n v="-14768.45"/>
    <n v="-8446.2000000000007"/>
    <n v="-16066.12"/>
    <n v="-11973.8"/>
    <n v="-167083.93"/>
    <n v="-4092.3200000000015"/>
  </r>
  <r>
    <x v="14"/>
    <x v="7"/>
    <x v="0"/>
    <s v="4810150"/>
    <n v="600050"/>
    <s v="Miscellaneous Revenue"/>
    <s v="Radiology - Diagnostic"/>
    <x v="0"/>
    <m/>
    <n v="0"/>
    <n v="-178"/>
    <n v="-2960.26"/>
    <n v="0"/>
    <n v="-373"/>
    <n v="0"/>
    <n v="-188"/>
    <n v="0"/>
    <n v="-206.5"/>
    <n v="-31.5"/>
    <n v="-150"/>
    <n v="-207.5"/>
    <n v="-4294.76"/>
    <n v="57.5"/>
  </r>
  <r>
    <x v="5"/>
    <x v="7"/>
    <x v="0"/>
    <s v="4810150"/>
    <n v="700034"/>
    <s v="Salaries-Tech/Professional-Productive"/>
    <s v="Radiology - Diagnostic"/>
    <x v="0"/>
    <m/>
    <n v="33788.26"/>
    <n v="33577.300000000003"/>
    <n v="31262.04"/>
    <n v="36822.720000000001"/>
    <n v="34500.76"/>
    <n v="33688.050000000003"/>
    <n v="34261.93"/>
    <n v="29683.63"/>
    <n v="31633.17"/>
    <n v="30174.47"/>
    <n v="31825.08"/>
    <n v="28583.95"/>
    <n v="389801.36"/>
    <n v="3241.130000000001"/>
  </r>
  <r>
    <x v="5"/>
    <x v="7"/>
    <x v="0"/>
    <s v="4810150"/>
    <n v="700034"/>
    <s v="Salaries-Tech/Professional-OT"/>
    <s v="Radiology - Diagnostic"/>
    <x v="0"/>
    <n v="1000"/>
    <n v="236.7"/>
    <n v="333.79"/>
    <n v="437.29"/>
    <n v="426.22"/>
    <n v="1372.46"/>
    <n v="-397.89"/>
    <n v="148.11000000000001"/>
    <n v="830.34"/>
    <n v="1042.56"/>
    <n v="1307.71"/>
    <n v="-62.77"/>
    <n v="613.72"/>
    <n v="6288.24"/>
    <n v="-676.49"/>
  </r>
  <r>
    <x v="5"/>
    <x v="7"/>
    <x v="0"/>
    <s v="4810150"/>
    <n v="700034"/>
    <s v="Salaries-Tech/Professional-Other"/>
    <s v="Radiology - Diagnostic"/>
    <x v="0"/>
    <n v="2000"/>
    <n v="1809.81"/>
    <n v="1890.35"/>
    <n v="1861.59"/>
    <n v="1658.78"/>
    <n v="1483.45"/>
    <n v="2786.85"/>
    <n v="2118.4899999999998"/>
    <n v="1791.98"/>
    <n v="995.09"/>
    <n v="980.69"/>
    <n v="1230.1300000000001"/>
    <n v="1561.41"/>
    <n v="20168.62"/>
    <n v="-331.28"/>
  </r>
  <r>
    <x v="5"/>
    <x v="7"/>
    <x v="0"/>
    <s v="4810150"/>
    <n v="700038"/>
    <s v="Salaries-Service/Support-Productive"/>
    <s v="Radiology - Diagnostic"/>
    <x v="0"/>
    <m/>
    <n v="0"/>
    <n v="0"/>
    <n v="0"/>
    <n v="0"/>
    <n v="0"/>
    <n v="0"/>
    <n v="0"/>
    <n v="0"/>
    <n v="0"/>
    <n v="0"/>
    <n v="0"/>
    <n v="227.17"/>
    <n v="227.17"/>
    <n v="-227.17"/>
  </r>
  <r>
    <x v="5"/>
    <x v="7"/>
    <x v="0"/>
    <s v="4810150"/>
    <n v="700074"/>
    <s v="Salaries-Tech/Professional-Non-productive"/>
    <s v="Radiology - Diagnostic"/>
    <x v="0"/>
    <m/>
    <n v="5274.43"/>
    <n v="4015.47"/>
    <n v="3675.23"/>
    <n v="4179.17"/>
    <n v="3620.07"/>
    <n v="5845.23"/>
    <n v="2021.93"/>
    <n v="3245.7"/>
    <n v="605.55999999999995"/>
    <n v="4877.16"/>
    <n v="599.65"/>
    <n v="4946.43"/>
    <n v="42906.03"/>
    <n v="-4346.7800000000007"/>
  </r>
  <r>
    <x v="5"/>
    <x v="7"/>
    <x v="0"/>
    <s v="4810150"/>
    <n v="700074"/>
    <s v="Salaries-Tech/Professional-NonProd-Other"/>
    <s v="Radiology - Diagnostic"/>
    <x v="0"/>
    <n v="2000"/>
    <n v="0"/>
    <n v="0"/>
    <n v="0"/>
    <n v="0"/>
    <n v="0"/>
    <n v="0"/>
    <n v="0"/>
    <n v="0"/>
    <n v="248.96"/>
    <n v="-37.79"/>
    <n v="0"/>
    <n v="0"/>
    <n v="211.17000000000002"/>
    <n v="0"/>
  </r>
  <r>
    <x v="5"/>
    <x v="7"/>
    <x v="0"/>
    <s v="4810150"/>
    <n v="700084"/>
    <s v="Accrued PTO"/>
    <s v="Radiology - Diagnostic"/>
    <x v="0"/>
    <m/>
    <n v="-1012.81"/>
    <n v="158.58000000000001"/>
    <n v="141.69999999999999"/>
    <n v="-912.06"/>
    <n v="1322.35"/>
    <n v="-996.76"/>
    <n v="1324.83"/>
    <n v="904.63"/>
    <n v="2422.35"/>
    <n v="1979.49"/>
    <n v="4489.51"/>
    <n v="1485.89"/>
    <n v="11307.7"/>
    <n v="3003.62"/>
  </r>
  <r>
    <x v="6"/>
    <x v="7"/>
    <x v="0"/>
    <s v="4810150"/>
    <n v="713010"/>
    <s v="Benefits-FICA/Medicare"/>
    <s v="Radiology - Diagnostic"/>
    <x v="0"/>
    <m/>
    <n v="3057.13"/>
    <n v="2958.61"/>
    <n v="2762.24"/>
    <n v="3196.68"/>
    <n v="3048.64"/>
    <n v="3404.66"/>
    <n v="2850.99"/>
    <n v="2631.25"/>
    <n v="2554.86"/>
    <n v="2760.63"/>
    <n v="2483.9"/>
    <n v="2874.69"/>
    <n v="34584.28"/>
    <n v="-390.78999999999996"/>
  </r>
  <r>
    <x v="6"/>
    <x v="7"/>
    <x v="0"/>
    <s v="4810150"/>
    <n v="713090"/>
    <s v="Benefits-Allocated Amounts"/>
    <s v="Radiology - Diagnostic"/>
    <x v="0"/>
    <m/>
    <n v="8059.02"/>
    <n v="6834.55"/>
    <n v="7190.35"/>
    <n v="8120.79"/>
    <n v="7713.19"/>
    <n v="7426.77"/>
    <n v="7444.61"/>
    <n v="6499.42"/>
    <n v="5943.15"/>
    <n v="7531.36"/>
    <n v="6487.52"/>
    <n v="7398.03"/>
    <n v="86648.76"/>
    <n v="-910.50999999999931"/>
  </r>
  <r>
    <x v="17"/>
    <x v="7"/>
    <x v="0"/>
    <s v="4810150"/>
    <n v="714520"/>
    <s v="Other Contracted Professionals"/>
    <s v="Radiology - Diagnostic"/>
    <x v="0"/>
    <m/>
    <n v="0"/>
    <n v="0"/>
    <n v="350"/>
    <n v="0"/>
    <n v="0"/>
    <n v="0"/>
    <n v="0"/>
    <n v="0"/>
    <n v="0"/>
    <n v="1815"/>
    <n v="558"/>
    <n v="0"/>
    <n v="2723"/>
    <n v="558"/>
  </r>
  <r>
    <x v="7"/>
    <x v="7"/>
    <x v="0"/>
    <s v="4810150"/>
    <n v="718050"/>
    <s v="Contract Svcs-Other"/>
    <s v="Radiology - Diagnostic"/>
    <x v="0"/>
    <m/>
    <n v="0"/>
    <n v="1983"/>
    <n v="0"/>
    <n v="0"/>
    <n v="0"/>
    <n v="1100"/>
    <n v="0"/>
    <n v="0"/>
    <n v="0"/>
    <n v="0"/>
    <n v="0"/>
    <n v="0"/>
    <n v="3083"/>
    <n v="0"/>
  </r>
  <r>
    <x v="7"/>
    <x v="7"/>
    <x v="0"/>
    <s v="4810150"/>
    <n v="718050"/>
    <s v="Document Shredding/Storage"/>
    <s v="Radiology - Diagnostic"/>
    <x v="0"/>
    <n v="1012"/>
    <n v="367.95"/>
    <n v="405.96"/>
    <n v="613.32000000000005"/>
    <n v="491.35"/>
    <n v="370.83"/>
    <n v="434.53"/>
    <n v="427.21"/>
    <n v="539.58000000000004"/>
    <n v="341.06"/>
    <n v="663"/>
    <n v="499.91"/>
    <n v="391.79"/>
    <n v="5546.4899999999989"/>
    <n v="108.12"/>
  </r>
  <r>
    <x v="7"/>
    <x v="7"/>
    <x v="0"/>
    <s v="4810150"/>
    <n v="718050"/>
    <s v="Miscellaneous Purchased Svcs"/>
    <s v="Radiology - Diagnostic"/>
    <x v="0"/>
    <n v="1020"/>
    <n v="85.07"/>
    <n v="0"/>
    <n v="312.95"/>
    <n v="9.39"/>
    <n v="0"/>
    <n v="0"/>
    <n v="0"/>
    <n v="0"/>
    <n v="0"/>
    <n v="2589.98"/>
    <n v="207"/>
    <n v="126.02"/>
    <n v="3330.41"/>
    <n v="80.98"/>
  </r>
  <r>
    <x v="7"/>
    <x v="7"/>
    <x v="0"/>
    <s v="4810150"/>
    <n v="718050"/>
    <s v="Translation Services"/>
    <s v="Radiology - Diagnostic"/>
    <x v="0"/>
    <n v="1025"/>
    <n v="0"/>
    <n v="0"/>
    <n v="0"/>
    <n v="112"/>
    <n v="0"/>
    <n v="40"/>
    <n v="64"/>
    <n v="32"/>
    <n v="0"/>
    <n v="0"/>
    <n v="0"/>
    <n v="0"/>
    <n v="248"/>
    <n v="0"/>
  </r>
  <r>
    <x v="7"/>
    <x v="7"/>
    <x v="0"/>
    <s v="4810150"/>
    <n v="718050"/>
    <s v="Contract Management--Linen"/>
    <s v="Radiology - Diagnostic"/>
    <x v="0"/>
    <n v="1026"/>
    <n v="673.56"/>
    <n v="1427.37"/>
    <n v="1730.94"/>
    <n v="1030.17"/>
    <n v="1847.31"/>
    <n v="1426.33"/>
    <n v="1580.07"/>
    <n v="1363.78"/>
    <n v="1279.27"/>
    <n v="1305.3900000000001"/>
    <n v="1645.82"/>
    <n v="1393.91"/>
    <n v="16703.920000000002"/>
    <n v="251.90999999999985"/>
  </r>
  <r>
    <x v="7"/>
    <x v="7"/>
    <x v="0"/>
    <s v="4810150"/>
    <n v="718070"/>
    <s v="Contract Srvcs-CHI Clinical Engineering"/>
    <s v="Radiology - Diagnostic"/>
    <x v="0"/>
    <m/>
    <n v="932.91"/>
    <n v="932.91"/>
    <n v="917.35"/>
    <n v="864.06"/>
    <n v="864.06"/>
    <n v="864.06"/>
    <n v="1229.6400000000001"/>
    <n v="498.48"/>
    <n v="864.06"/>
    <n v="864.06"/>
    <n v="864.06"/>
    <n v="864.06"/>
    <n v="10559.71"/>
    <n v="0"/>
  </r>
  <r>
    <x v="7"/>
    <x v="7"/>
    <x v="0"/>
    <s v="4810150"/>
    <n v="718077"/>
    <s v="PACS"/>
    <s v="Radiology - Diagnostic"/>
    <x v="0"/>
    <n v="1000"/>
    <n v="4050"/>
    <n v="4425.75"/>
    <n v="3930.75"/>
    <n v="4286.25"/>
    <n v="3946.5"/>
    <n v="4171.5"/>
    <n v="4540.5"/>
    <n v="3858.75"/>
    <n v="4394.25"/>
    <n v="4146.75"/>
    <n v="4455"/>
    <n v="3966.75"/>
    <n v="50172.75"/>
    <n v="488.25"/>
  </r>
  <r>
    <x v="11"/>
    <x v="7"/>
    <x v="0"/>
    <s v="4810150"/>
    <n v="721010"/>
    <s v="Supplies-Medical - Billable"/>
    <s v="Radiology - Diagnostic"/>
    <x v="0"/>
    <m/>
    <n v="98.66"/>
    <n v="31.78"/>
    <n v="22.36"/>
    <n v="77.05"/>
    <n v="18.579999999999998"/>
    <n v="3.73"/>
    <n v="49.91"/>
    <n v="133.82"/>
    <n v="60.23"/>
    <n v="356.97"/>
    <n v="163.66"/>
    <n v="8.1"/>
    <n v="1024.8499999999999"/>
    <n v="155.56"/>
  </r>
  <r>
    <x v="11"/>
    <x v="7"/>
    <x v="0"/>
    <s v="4810150"/>
    <n v="721010"/>
    <s v="Patient Monitoring"/>
    <s v="Radiology - Diagnostic"/>
    <x v="0"/>
    <n v="1000"/>
    <n v="25.97"/>
    <n v="57.28"/>
    <n v="40.11"/>
    <n v="50.67"/>
    <n v="31.28"/>
    <n v="32.18"/>
    <n v="126.95"/>
    <n v="46.28"/>
    <n v="88.99"/>
    <n v="54.67"/>
    <n v="112.79"/>
    <n v="39.65"/>
    <n v="706.81999999999994"/>
    <n v="73.140000000000015"/>
  </r>
  <r>
    <x v="11"/>
    <x v="7"/>
    <x v="0"/>
    <s v="4810150"/>
    <n v="721020"/>
    <s v="Supplies-Surgical - Billable"/>
    <s v="Radiology - Diagnostic"/>
    <x v="0"/>
    <m/>
    <n v="2.92"/>
    <n v="0"/>
    <n v="0"/>
    <n v="0"/>
    <n v="0"/>
    <n v="0"/>
    <n v="0"/>
    <n v="0"/>
    <n v="0"/>
    <n v="0"/>
    <n v="0"/>
    <n v="0"/>
    <n v="2.92"/>
    <n v="0"/>
  </r>
  <r>
    <x v="11"/>
    <x v="7"/>
    <x v="0"/>
    <s v="4810150"/>
    <n v="721020"/>
    <s v="Urological Supplies"/>
    <s v="Radiology - Diagnostic"/>
    <x v="0"/>
    <n v="1006"/>
    <n v="0"/>
    <n v="210"/>
    <n v="0"/>
    <n v="0"/>
    <n v="0"/>
    <n v="0"/>
    <n v="0"/>
    <n v="0"/>
    <n v="0"/>
    <n v="0"/>
    <n v="0"/>
    <n v="0"/>
    <n v="210"/>
    <n v="0"/>
  </r>
  <r>
    <x v="11"/>
    <x v="7"/>
    <x v="0"/>
    <s v="4810150"/>
    <n v="721240"/>
    <s v="Supplies-IV Solutions/Supplies - Billable"/>
    <s v="Radiology - Diagnostic"/>
    <x v="0"/>
    <m/>
    <n v="361"/>
    <n v="632.80999999999995"/>
    <n v="426.3"/>
    <n v="784.84"/>
    <n v="455.89"/>
    <n v="372.16"/>
    <n v="589.36"/>
    <n v="439.76"/>
    <n v="811.8"/>
    <n v="719.68"/>
    <n v="568.38"/>
    <n v="348.67"/>
    <n v="6510.6500000000005"/>
    <n v="219.70999999999998"/>
  </r>
  <r>
    <x v="11"/>
    <x v="7"/>
    <x v="0"/>
    <s v="4810150"/>
    <n v="721250"/>
    <s v="Supplies-Pharmacy Drugs - Billable"/>
    <s v="Radiology - Diagnostic"/>
    <x v="0"/>
    <m/>
    <n v="0"/>
    <n v="465.85"/>
    <n v="0"/>
    <n v="0"/>
    <n v="0"/>
    <n v="602.87"/>
    <n v="1.34"/>
    <n v="0"/>
    <n v="0"/>
    <n v="0"/>
    <n v="0"/>
    <n v="0"/>
    <n v="1070.06"/>
    <n v="0"/>
  </r>
  <r>
    <x v="11"/>
    <x v="7"/>
    <x v="0"/>
    <s v="4810150"/>
    <n v="721350"/>
    <s v="Supplies-Film/Radiographic - Billable"/>
    <s v="Radiology - Diagnostic"/>
    <x v="0"/>
    <m/>
    <n v="0"/>
    <n v="489.8"/>
    <n v="55.6"/>
    <n v="0"/>
    <n v="0"/>
    <n v="0"/>
    <n v="0"/>
    <n v="0"/>
    <n v="0"/>
    <n v="0"/>
    <n v="0"/>
    <n v="0"/>
    <n v="545.4"/>
    <n v="0"/>
  </r>
  <r>
    <x v="11"/>
    <x v="7"/>
    <x v="0"/>
    <s v="4810150"/>
    <n v="721350"/>
    <s v="Radiology Imaging - Contrast Media"/>
    <s v="Radiology - Diagnostic"/>
    <x v="0"/>
    <n v="1000"/>
    <n v="0"/>
    <n v="7.98"/>
    <n v="0"/>
    <n v="150.83000000000001"/>
    <n v="70.17"/>
    <n v="27.4"/>
    <n v="0"/>
    <n v="57.54"/>
    <n v="0"/>
    <n v="96.88"/>
    <n v="81.69"/>
    <n v="0"/>
    <n v="492.49"/>
    <n v="81.69"/>
  </r>
  <r>
    <x v="11"/>
    <x v="7"/>
    <x v="0"/>
    <s v="4810150"/>
    <n v="721410"/>
    <s v="Supplies-Medical - Nonbillable"/>
    <s v="Radiology - Diagnostic"/>
    <x v="0"/>
    <m/>
    <n v="218.62"/>
    <n v="428.53"/>
    <n v="511.71"/>
    <n v="485.37"/>
    <n v="430.16"/>
    <n v="450.01"/>
    <n v="708.2"/>
    <n v="438.26"/>
    <n v="666.74"/>
    <n v="-3475.8"/>
    <n v="782.82"/>
    <n v="576.79999999999995"/>
    <n v="2221.4199999999992"/>
    <n v="206.0200000000001"/>
  </r>
  <r>
    <x v="11"/>
    <x v="7"/>
    <x v="0"/>
    <s v="4810150"/>
    <n v="721410"/>
    <s v="Patient Monitoring"/>
    <s v="Radiology - Diagnostic"/>
    <x v="0"/>
    <n v="1000"/>
    <n v="0.9"/>
    <n v="0"/>
    <n v="0"/>
    <n v="0"/>
    <n v="0.45"/>
    <n v="0"/>
    <n v="0"/>
    <n v="0"/>
    <n v="0.45"/>
    <n v="0"/>
    <n v="0"/>
    <n v="0"/>
    <n v="1.8"/>
    <n v="0"/>
  </r>
  <r>
    <x v="11"/>
    <x v="7"/>
    <x v="0"/>
    <s v="4810150"/>
    <n v="721420"/>
    <s v="Supplies-Surgical Nonbillable"/>
    <s v="Radiology - Diagnostic"/>
    <x v="0"/>
    <m/>
    <n v="43.76"/>
    <n v="11.45"/>
    <n v="3.1"/>
    <n v="27.25"/>
    <n v="34.1"/>
    <n v="37.44"/>
    <n v="9.92"/>
    <n v="62.95"/>
    <n v="8.27"/>
    <n v="4.1399999999999997"/>
    <n v="17.190000000000001"/>
    <n v="7.44"/>
    <n v="267.01"/>
    <n v="9.75"/>
  </r>
  <r>
    <x v="11"/>
    <x v="7"/>
    <x v="0"/>
    <s v="4810150"/>
    <n v="721420"/>
    <s v="Heart/Lung Machine Supplies"/>
    <s v="Radiology - Diagnostic"/>
    <x v="0"/>
    <n v="1005"/>
    <n v="0"/>
    <n v="0"/>
    <n v="0"/>
    <n v="0"/>
    <n v="0"/>
    <n v="0"/>
    <n v="0"/>
    <n v="0"/>
    <n v="0"/>
    <n v="0"/>
    <n v="0"/>
    <n v="1.6"/>
    <n v="1.6"/>
    <n v="-1.6"/>
  </r>
  <r>
    <x v="11"/>
    <x v="7"/>
    <x v="0"/>
    <s v="4810150"/>
    <n v="721420"/>
    <s v="Tubes Drains &amp; Related Supplies"/>
    <s v="Radiology - Diagnostic"/>
    <x v="0"/>
    <n v="1008"/>
    <n v="0"/>
    <n v="0"/>
    <n v="0"/>
    <n v="0"/>
    <n v="0"/>
    <n v="0"/>
    <n v="14.66"/>
    <n v="0"/>
    <n v="0"/>
    <n v="0"/>
    <n v="0"/>
    <n v="0"/>
    <n v="14.66"/>
    <n v="0"/>
  </r>
  <r>
    <x v="11"/>
    <x v="7"/>
    <x v="0"/>
    <s v="4810150"/>
    <n v="721420"/>
    <s v="Sterilization Process Products"/>
    <s v="Radiology - Diagnostic"/>
    <x v="0"/>
    <n v="1009"/>
    <n v="0"/>
    <n v="4.76"/>
    <n v="2.38"/>
    <n v="4.76"/>
    <n v="0"/>
    <n v="0"/>
    <n v="2.38"/>
    <n v="0"/>
    <n v="2.38"/>
    <n v="0"/>
    <n v="0"/>
    <n v="-49.61"/>
    <n v="-32.950000000000003"/>
    <n v="49.61"/>
  </r>
  <r>
    <x v="11"/>
    <x v="7"/>
    <x v="0"/>
    <s v="4810150"/>
    <n v="721610"/>
    <s v="Supplies-Anesthesia - Nonbillable"/>
    <s v="Radiology - Diagnostic"/>
    <x v="0"/>
    <m/>
    <n v="12.22"/>
    <n v="4.54"/>
    <n v="740.9"/>
    <n v="5.12"/>
    <n v="1.59"/>
    <n v="1.57"/>
    <n v="0"/>
    <n v="8.3699999999999992"/>
    <n v="2.62"/>
    <n v="6.28"/>
    <n v="9.42"/>
    <n v="1.41"/>
    <n v="794.04"/>
    <n v="8.01"/>
  </r>
  <r>
    <x v="11"/>
    <x v="7"/>
    <x v="0"/>
    <s v="4810150"/>
    <n v="721640"/>
    <s v="Supplies-IV Solutions/Supplies - Nonbillable"/>
    <s v="Radiology - Diagnostic"/>
    <x v="0"/>
    <m/>
    <n v="10.7"/>
    <n v="29.29"/>
    <n v="8.34"/>
    <n v="30.84"/>
    <n v="181.03"/>
    <n v="82.66"/>
    <n v="26.74"/>
    <n v="-140.68"/>
    <n v="193.56"/>
    <n v="33.03"/>
    <n v="170.45"/>
    <n v="86.07"/>
    <n v="712.03"/>
    <n v="84.38"/>
  </r>
  <r>
    <x v="11"/>
    <x v="7"/>
    <x v="0"/>
    <s v="4810150"/>
    <n v="721650"/>
    <s v="Supplies-Pharmacy Drugs - Nonbillable"/>
    <s v="Radiology - Diagnostic"/>
    <x v="0"/>
    <m/>
    <n v="1.44"/>
    <n v="6.27"/>
    <n v="3.61"/>
    <n v="4.3899999999999997"/>
    <n v="5.27"/>
    <n v="5.55"/>
    <n v="4.4000000000000004"/>
    <n v="3.62"/>
    <n v="4.3499999999999996"/>
    <n v="5.94"/>
    <n v="5.07"/>
    <n v="2.41"/>
    <n v="52.319999999999993"/>
    <n v="2.66"/>
  </r>
  <r>
    <x v="11"/>
    <x v="7"/>
    <x v="0"/>
    <s v="4810150"/>
    <n v="721710"/>
    <s v="Supplies-Laboratory - Nonbillable"/>
    <s v="Radiology - Diagnostic"/>
    <x v="0"/>
    <m/>
    <n v="0.13"/>
    <n v="0"/>
    <n v="0"/>
    <n v="16.920000000000002"/>
    <n v="0.13"/>
    <n v="0.13"/>
    <n v="0"/>
    <n v="0.13"/>
    <n v="16.649999999999999"/>
    <n v="0"/>
    <n v="0.28999999999999998"/>
    <n v="0.13"/>
    <n v="34.51"/>
    <n v="0.15999999999999998"/>
  </r>
  <r>
    <x v="11"/>
    <x v="7"/>
    <x v="0"/>
    <s v="4810150"/>
    <n v="721750"/>
    <s v="Supplies-Film/Radiographic - Nonbillable"/>
    <s v="Radiology - Diagnostic"/>
    <x v="0"/>
    <m/>
    <n v="621.47"/>
    <n v="253.81"/>
    <n v="127.13"/>
    <n v="371.08"/>
    <n v="3.54"/>
    <n v="295.93"/>
    <n v="586.25"/>
    <n v="176.21"/>
    <n v="52.57"/>
    <n v="38.33"/>
    <n v="109"/>
    <n v="-29.22"/>
    <n v="2606.1000000000004"/>
    <n v="138.22"/>
  </r>
  <r>
    <x v="11"/>
    <x v="7"/>
    <x v="0"/>
    <s v="4810150"/>
    <n v="721810"/>
    <s v="Supplies-Dietary/Cafeteria"/>
    <s v="Radiology - Diagnostic"/>
    <x v="0"/>
    <m/>
    <n v="40.35"/>
    <n v="28"/>
    <n v="37.92"/>
    <n v="0"/>
    <n v="34.25"/>
    <n v="32.5"/>
    <n v="25.25"/>
    <n v="30.5"/>
    <n v="53.75"/>
    <n v="56.45"/>
    <n v="17.32"/>
    <n v="58.23"/>
    <n v="414.52"/>
    <n v="-40.909999999999997"/>
  </r>
  <r>
    <x v="11"/>
    <x v="7"/>
    <x v="0"/>
    <s v="4810150"/>
    <n v="721830"/>
    <s v="Supplies-Office"/>
    <s v="Radiology - Diagnostic"/>
    <x v="0"/>
    <m/>
    <n v="1180.93"/>
    <n v="139.63999999999999"/>
    <n v="97.55"/>
    <n v="102.02"/>
    <n v="147.13999999999999"/>
    <n v="445.1"/>
    <n v="172.06"/>
    <n v="0"/>
    <n v="243.79"/>
    <n v="390.56"/>
    <n v="171.71"/>
    <n v="5.38"/>
    <n v="3095.88"/>
    <n v="166.33"/>
  </r>
  <r>
    <x v="11"/>
    <x v="7"/>
    <x v="0"/>
    <s v="4810150"/>
    <n v="721835"/>
    <s v="Supplies-Forms"/>
    <s v="Radiology - Diagnostic"/>
    <x v="0"/>
    <m/>
    <n v="0"/>
    <n v="0"/>
    <n v="0"/>
    <n v="0"/>
    <n v="0"/>
    <n v="59.8"/>
    <n v="0"/>
    <n v="0"/>
    <n v="9"/>
    <n v="25.4"/>
    <n v="14.8"/>
    <n v="0"/>
    <n v="108.99999999999999"/>
    <n v="14.8"/>
  </r>
  <r>
    <x v="11"/>
    <x v="7"/>
    <x v="0"/>
    <s v="4810150"/>
    <n v="721870"/>
    <s v="Supplies-Environmental Services"/>
    <s v="Radiology - Diagnostic"/>
    <x v="0"/>
    <m/>
    <n v="66.14"/>
    <n v="94.05"/>
    <n v="122.63"/>
    <n v="33.1"/>
    <n v="33.659999999999997"/>
    <n v="32.22"/>
    <n v="16.420000000000002"/>
    <n v="66.040000000000006"/>
    <n v="49.81"/>
    <n v="58.59"/>
    <n v="79.19"/>
    <n v="57.09"/>
    <n v="708.94000000000017"/>
    <n v="22.099999999999994"/>
  </r>
  <r>
    <x v="11"/>
    <x v="7"/>
    <x v="0"/>
    <s v="4810150"/>
    <n v="721910"/>
    <s v="Supplies-Small Equipment"/>
    <s v="Radiology - Diagnostic"/>
    <x v="0"/>
    <m/>
    <n v="0"/>
    <n v="377.46"/>
    <n v="632.09"/>
    <n v="14.81"/>
    <n v="0"/>
    <n v="0"/>
    <n v="0.37"/>
    <n v="0"/>
    <n v="369.04"/>
    <n v="1495.72"/>
    <n v="1107.49"/>
    <n v="730.68"/>
    <n v="4727.66"/>
    <n v="376.81000000000006"/>
  </r>
  <r>
    <x v="11"/>
    <x v="7"/>
    <x v="0"/>
    <s v="4810150"/>
    <n v="721980"/>
    <s v="Supplies-Other"/>
    <s v="Radiology - Diagnostic"/>
    <x v="0"/>
    <m/>
    <n v="-14107.09"/>
    <n v="0"/>
    <n v="0"/>
    <n v="0"/>
    <n v="0"/>
    <n v="0"/>
    <n v="0"/>
    <n v="0"/>
    <n v="0"/>
    <n v="0"/>
    <n v="0"/>
    <n v="0"/>
    <n v="-14107.09"/>
    <n v="0"/>
  </r>
  <r>
    <x v="11"/>
    <x v="7"/>
    <x v="0"/>
    <s v="4810150"/>
    <n v="722000"/>
    <s v="Supplies-Freight Expense"/>
    <s v="Radiology - Diagnostic"/>
    <x v="0"/>
    <m/>
    <n v="22.63"/>
    <n v="101.65"/>
    <n v="53.15"/>
    <n v="185.11"/>
    <n v="10.71"/>
    <n v="6.06"/>
    <n v="32.090000000000003"/>
    <n v="-6.83"/>
    <n v="33.71"/>
    <n v="37.79"/>
    <n v="22.28"/>
    <n v="47.12"/>
    <n v="545.47"/>
    <n v="-24.839999999999996"/>
  </r>
  <r>
    <x v="11"/>
    <x v="7"/>
    <x v="0"/>
    <s v="4810150"/>
    <n v="723000"/>
    <s v="Supply Rebates/Patronage Dividend"/>
    <s v="Radiology - Diagnostic"/>
    <x v="0"/>
    <m/>
    <n v="0"/>
    <n v="0"/>
    <n v="-253.74"/>
    <n v="0"/>
    <n v="0"/>
    <n v="-410.04"/>
    <n v="0"/>
    <n v="0"/>
    <n v="-567.67999999999995"/>
    <n v="0"/>
    <n v="0"/>
    <n v="-167.71"/>
    <n v="-1399.17"/>
    <n v="167.71"/>
  </r>
  <r>
    <x v="12"/>
    <x v="7"/>
    <x v="0"/>
    <s v="4810150"/>
    <n v="730020"/>
    <s v="Rental and Leases-Copier Usage Fees (DO NOT USE)"/>
    <s v="Radiology - Diagnostic"/>
    <x v="0"/>
    <n v="5100"/>
    <n v="364.19"/>
    <n v="372.21"/>
    <n v="368.2"/>
    <n v="368.2"/>
    <n v="368.2"/>
    <n v="368.2"/>
    <n v="118.71"/>
    <n v="334.51"/>
    <n v="333.81"/>
    <n v="349.51"/>
    <n v="334.51"/>
    <n v="389.76"/>
    <n v="4070.01"/>
    <n v="-55.25"/>
  </r>
  <r>
    <x v="15"/>
    <x v="7"/>
    <x v="0"/>
    <s v="4810150"/>
    <n v="731060"/>
    <s v="Pagers"/>
    <s v="Radiology - Diagnostic"/>
    <x v="0"/>
    <n v="1002"/>
    <n v="24.3"/>
    <n v="24.3"/>
    <n v="55.06"/>
    <n v="-27.53"/>
    <n v="0"/>
    <n v="0"/>
    <n v="0"/>
    <n v="0"/>
    <n v="0"/>
    <n v="0"/>
    <n v="0"/>
    <n v="0"/>
    <n v="76.13"/>
    <n v="0"/>
  </r>
  <r>
    <x v="13"/>
    <x v="7"/>
    <x v="0"/>
    <s v="4810150"/>
    <n v="735070"/>
    <s v="Depreciation-Movable Equipment"/>
    <s v="Radiology - Diagnostic"/>
    <x v="0"/>
    <m/>
    <n v="8606.48"/>
    <n v="11500.78"/>
    <n v="9116.14"/>
    <n v="-1430.54"/>
    <n v="7027.2"/>
    <n v="10882.23"/>
    <n v="11222.24"/>
    <n v="11222.15"/>
    <n v="11222.25"/>
    <n v="11222.15"/>
    <n v="11222.25"/>
    <n v="11684.13"/>
    <n v="113497.45999999999"/>
    <n v="-461.8799999999992"/>
  </r>
  <r>
    <x v="0"/>
    <x v="7"/>
    <x v="0"/>
    <s v="4810150"/>
    <n v="749510"/>
    <s v="Miscellaneous Expenses"/>
    <s v="Radiology - Diagnostic"/>
    <x v="0"/>
    <m/>
    <n v="0"/>
    <n v="0"/>
    <n v="0"/>
    <n v="0"/>
    <n v="0"/>
    <n v="0"/>
    <n v="0"/>
    <n v="0"/>
    <n v="1000"/>
    <n v="0"/>
    <n v="0"/>
    <n v="0"/>
    <n v="1000"/>
    <n v="0"/>
  </r>
  <r>
    <x v="0"/>
    <x v="7"/>
    <x v="0"/>
    <s v="4810150"/>
    <n v="749510"/>
    <s v="Licenses"/>
    <s v="Radiology - Diagnostic"/>
    <x v="0"/>
    <n v="1002"/>
    <n v="0"/>
    <n v="0"/>
    <n v="0"/>
    <n v="0"/>
    <n v="0"/>
    <n v="0"/>
    <n v="0"/>
    <n v="0"/>
    <n v="0"/>
    <n v="0"/>
    <n v="1135"/>
    <n v="0"/>
    <n v="1135"/>
    <n v="1135"/>
  </r>
  <r>
    <x v="18"/>
    <x v="10"/>
    <x v="0"/>
    <s v="4810306"/>
    <n v="400010"/>
    <s v="Acute I/P Svcs Rev--Medicare"/>
    <s v="Radiology"/>
    <x v="0"/>
    <n v="1100"/>
    <n v="-87047.66"/>
    <n v="-66870.149999999994"/>
    <n v="-72795.240000000005"/>
    <n v="-67968.34"/>
    <n v="-72333.36"/>
    <n v="-30965.119999999999"/>
    <n v="-51421.86"/>
    <n v="-45477.82"/>
    <n v="-40262.35"/>
    <n v="-28489.42"/>
    <n v="-40227.199999999997"/>
    <n v="-29486.02"/>
    <n v="-633344.54"/>
    <n v="-10741.179999999997"/>
  </r>
  <r>
    <x v="18"/>
    <x v="10"/>
    <x v="0"/>
    <s v="4810306"/>
    <n v="400010"/>
    <s v="Acute I/P Svcs Rev--Medicaid"/>
    <s v="Radiology"/>
    <x v="0"/>
    <n v="1200"/>
    <n v="-9361.7999999999993"/>
    <n v="-7168.14"/>
    <n v="0"/>
    <n v="-4169.34"/>
    <n v="4391.88"/>
    <n v="-9742"/>
    <n v="-14955.88"/>
    <n v="-4814.8500000000004"/>
    <n v="-4242.54"/>
    <n v="-7300.15"/>
    <n v="-6764.17"/>
    <n v="0"/>
    <n v="-64126.99"/>
    <n v="-6764.17"/>
  </r>
  <r>
    <x v="18"/>
    <x v="10"/>
    <x v="0"/>
    <s v="4810306"/>
    <n v="400010"/>
    <s v="Acute I/P Svcs Rev--Comm Insurance"/>
    <s v="Radiology"/>
    <x v="0"/>
    <n v="1300"/>
    <n v="0"/>
    <n v="0"/>
    <n v="0"/>
    <n v="0"/>
    <n v="0"/>
    <n v="0"/>
    <n v="0"/>
    <n v="-5161.2"/>
    <n v="0"/>
    <n v="0"/>
    <n v="0"/>
    <n v="0"/>
    <n v="-5161.2"/>
    <n v="0"/>
  </r>
  <r>
    <x v="18"/>
    <x v="10"/>
    <x v="0"/>
    <s v="4810306"/>
    <n v="400010"/>
    <s v="Acute I/P Svcs Rev--BCBS Comm"/>
    <s v="Radiology"/>
    <x v="0"/>
    <n v="1301"/>
    <n v="-3708.6"/>
    <n v="-2299.5"/>
    <n v="-4548.6000000000004"/>
    <n v="-1819.44"/>
    <n v="-3689.28"/>
    <n v="0"/>
    <n v="-4194.54"/>
    <n v="-5263.91"/>
    <n v="-4737"/>
    <n v="-5784.32"/>
    <n v="-1021.37"/>
    <n v="-2888.91"/>
    <n v="-39955.47"/>
    <n v="1867.54"/>
  </r>
  <r>
    <x v="18"/>
    <x v="10"/>
    <x v="0"/>
    <s v="4810306"/>
    <n v="400010"/>
    <s v="Acute I/P Svcs Rev--Managed Care"/>
    <s v="Radiology"/>
    <x v="0"/>
    <n v="1400"/>
    <n v="23634.9"/>
    <n v="-6393.24"/>
    <n v="-25217.64"/>
    <n v="-23230.62"/>
    <n v="-7757.82"/>
    <n v="-3664.08"/>
    <n v="-2729.16"/>
    <n v="-11072.87"/>
    <n v="-11224.42"/>
    <n v="-11546.59"/>
    <n v="-9558.35"/>
    <n v="-11976.39"/>
    <n v="-100736.28000000001"/>
    <n v="2418.0399999999991"/>
  </r>
  <r>
    <x v="18"/>
    <x v="10"/>
    <x v="0"/>
    <s v="4810306"/>
    <n v="400010"/>
    <s v="Acute I/P Svcs Rev--Self Pay"/>
    <s v="Radiology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4810306"/>
    <n v="400010"/>
    <s v="Acute I/P Svcs Rev--Other"/>
    <s v="Radiology"/>
    <x v="0"/>
    <n v="1700"/>
    <n v="0"/>
    <n v="0"/>
    <n v="0"/>
    <n v="0"/>
    <n v="0"/>
    <n v="0"/>
    <n v="-1926.54"/>
    <n v="-1984.34"/>
    <n v="-468.51"/>
    <n v="0"/>
    <n v="0"/>
    <n v="0"/>
    <n v="-4379.3900000000003"/>
    <n v="0"/>
  </r>
  <r>
    <x v="7"/>
    <x v="10"/>
    <x v="0"/>
    <s v="4810306"/>
    <n v="718050"/>
    <s v="Miscellaneous Purchased Svcs"/>
    <s v="Radiology"/>
    <x v="0"/>
    <n v="1020"/>
    <n v="14248.81"/>
    <n v="15412.79"/>
    <n v="19107.2"/>
    <n v="18106.07"/>
    <n v="14790.09"/>
    <n v="8266.35"/>
    <n v="14014.97"/>
    <n v="11073.62"/>
    <n v="9146.31"/>
    <n v="7973.38"/>
    <n v="8641.42"/>
    <n v="6657.13"/>
    <n v="147438.14000000001"/>
    <n v="1984.29"/>
  </r>
  <r>
    <x v="7"/>
    <x v="10"/>
    <x v="0"/>
    <s v="4810306"/>
    <n v="718077"/>
    <s v="PACS"/>
    <s v="Radiology"/>
    <x v="0"/>
    <n v="1000"/>
    <n v="0"/>
    <n v="0"/>
    <n v="0"/>
    <n v="0"/>
    <n v="2.25"/>
    <n v="2.25"/>
    <n v="0"/>
    <n v="0"/>
    <n v="0"/>
    <n v="0"/>
    <n v="0"/>
    <n v="0"/>
    <n v="4.5"/>
    <n v="0"/>
  </r>
  <r>
    <x v="18"/>
    <x v="3"/>
    <x v="0"/>
    <s v="4811101"/>
    <n v="400010"/>
    <s v="Acute I/P Svcs Rev--Managed Care"/>
    <s v="Gamma Knife (PS Radiosurgery)"/>
    <x v="0"/>
    <n v="14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811101"/>
    <n v="400020"/>
    <s v="O/P Care Svcs Rev--Medicare"/>
    <s v="Gamma Knife (PS Radiosurgery)"/>
    <x v="0"/>
    <n v="11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811101"/>
    <n v="400020"/>
    <s v="O/P Care Svcs Rev--Medicaid"/>
    <s v="Gamma Knife (PS Radiosurgery)"/>
    <x v="0"/>
    <n v="12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811101"/>
    <n v="400020"/>
    <s v="O/P Care Svcs Rev--Comm Insurance"/>
    <s v="Gamma Knife (PS Radiosurgery)"/>
    <x v="0"/>
    <n v="13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811101"/>
    <n v="400020"/>
    <s v="O/P Care Svcs Rev--BCBS Comm"/>
    <s v="Gamma Knife (PS Radiosurgery)"/>
    <x v="0"/>
    <n v="1301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811101"/>
    <n v="400020"/>
    <s v="O/P Care Svcs Rev--Managed Care"/>
    <s v="Gamma Knife (PS Radiosurgery)"/>
    <x v="0"/>
    <n v="14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4811101"/>
    <n v="400020"/>
    <s v="O/P Care Svcs Rev--Other"/>
    <s v="Gamma Knife (PS Radiosurgery)"/>
    <x v="0"/>
    <n v="1700"/>
    <n v="0"/>
    <n v="0"/>
    <n v="0"/>
    <n v="0"/>
    <n v="0"/>
    <n v="0"/>
    <n v="0"/>
    <n v="0"/>
    <n v="0"/>
    <n v="0"/>
    <n v="0"/>
    <n v="0"/>
    <n v="0"/>
    <n v="0"/>
  </r>
  <r>
    <x v="14"/>
    <x v="3"/>
    <x v="0"/>
    <s v="4811101"/>
    <n v="600050"/>
    <s v="Miscellaneous Revenue"/>
    <s v="Gamma Knife (PS Radiosurgery)"/>
    <x v="0"/>
    <m/>
    <n v="-10238.790000000001"/>
    <n v="-1968.99"/>
    <n v="-2756.59"/>
    <n v="-4725.59"/>
    <n v="-3150.39"/>
    <n v="-2362.79"/>
    <n v="-3544.19"/>
    <n v="-3150.39"/>
    <n v="-2362.8000000000002"/>
    <n v="-3150.39"/>
    <n v="-3544.19"/>
    <n v="4331.84"/>
    <n v="-36623.259999999995"/>
    <n v="-7876.0300000000007"/>
  </r>
  <r>
    <x v="22"/>
    <x v="3"/>
    <x v="0"/>
    <s v="4811101"/>
    <n v="620001"/>
    <s v="Changes in Equity of Unconsolidated Orgs-Controlling Interes"/>
    <s v="Gamma Knife (PS Radiosurgery)"/>
    <x v="0"/>
    <m/>
    <n v="-44934.66"/>
    <n v="-14573.88"/>
    <n v="-66421.72"/>
    <n v="-35133.089999999997"/>
    <n v="-20589.37"/>
    <n v="-38506.589999999997"/>
    <n v="3813.83"/>
    <n v="-50886"/>
    <n v="15303.9"/>
    <n v="-54432.13"/>
    <n v="-55491.55"/>
    <n v="-57603.91"/>
    <n v="-419455.16999999993"/>
    <n v="2112.3600000000006"/>
  </r>
  <r>
    <x v="11"/>
    <x v="3"/>
    <x v="0"/>
    <s v="4811101"/>
    <n v="721010"/>
    <s v="Supplies-Medical - Billable"/>
    <s v="Gamma Knife (PS Radiosurgery)"/>
    <x v="0"/>
    <m/>
    <n v="0"/>
    <n v="0"/>
    <n v="0"/>
    <n v="0"/>
    <n v="0"/>
    <n v="0"/>
    <n v="123.52"/>
    <n v="0"/>
    <n v="0"/>
    <n v="0"/>
    <n v="0"/>
    <n v="0"/>
    <n v="123.52"/>
    <n v="0"/>
  </r>
  <r>
    <x v="11"/>
    <x v="3"/>
    <x v="0"/>
    <s v="4811101"/>
    <n v="721240"/>
    <s v="Supplies-IV Solutions/Supplies - Billable"/>
    <s v="Gamma Knife (PS Radiosurgery)"/>
    <x v="0"/>
    <m/>
    <n v="54.25"/>
    <n v="0"/>
    <n v="0"/>
    <n v="98.75"/>
    <n v="0"/>
    <n v="0"/>
    <n v="9.75"/>
    <n v="44.5"/>
    <n v="19.5"/>
    <n v="0"/>
    <n v="0"/>
    <n v="108.5"/>
    <n v="335.25"/>
    <n v="-108.5"/>
  </r>
  <r>
    <x v="11"/>
    <x v="3"/>
    <x v="0"/>
    <s v="4811101"/>
    <n v="721410"/>
    <s v="Supplies-Medical - Nonbillable"/>
    <s v="Gamma Knife (PS Radiosurgery)"/>
    <x v="0"/>
    <m/>
    <n v="25.27"/>
    <n v="0"/>
    <n v="17.66"/>
    <n v="34.770000000000003"/>
    <n v="104.91"/>
    <n v="0"/>
    <n v="104.9"/>
    <n v="8.9"/>
    <n v="5.88"/>
    <n v="8.9"/>
    <n v="19.45"/>
    <n v="30.46"/>
    <n v="361.09999999999991"/>
    <n v="-11.010000000000002"/>
  </r>
  <r>
    <x v="11"/>
    <x v="3"/>
    <x v="0"/>
    <s v="4811101"/>
    <n v="721420"/>
    <s v="Supplies-Surgical Nonbillable"/>
    <s v="Gamma Knife (PS Radiosurgery)"/>
    <x v="0"/>
    <m/>
    <n v="26.69"/>
    <n v="0"/>
    <n v="0"/>
    <n v="26.69"/>
    <n v="0"/>
    <n v="0"/>
    <n v="0"/>
    <n v="0"/>
    <n v="0"/>
    <n v="0"/>
    <n v="26.69"/>
    <n v="26.69"/>
    <n v="106.76"/>
    <n v="0"/>
  </r>
  <r>
    <x v="11"/>
    <x v="3"/>
    <x v="0"/>
    <s v="4811101"/>
    <n v="721610"/>
    <s v="Supplies-Anesthesia - Nonbillable"/>
    <s v="Gamma Knife (PS Radiosurgery)"/>
    <x v="0"/>
    <m/>
    <n v="0"/>
    <n v="0"/>
    <n v="0"/>
    <n v="0"/>
    <n v="0"/>
    <n v="0"/>
    <n v="0"/>
    <n v="0"/>
    <n v="5.32"/>
    <n v="0"/>
    <n v="0"/>
    <n v="0"/>
    <n v="5.32"/>
    <n v="0"/>
  </r>
  <r>
    <x v="11"/>
    <x v="3"/>
    <x v="0"/>
    <s v="4811101"/>
    <n v="721640"/>
    <s v="Supplies-IV Solutions/Supplies - Nonbillable"/>
    <s v="Gamma Knife (PS Radiosurgery)"/>
    <x v="0"/>
    <m/>
    <n v="17.3"/>
    <n v="0"/>
    <n v="23.7"/>
    <n v="0"/>
    <n v="21.3"/>
    <n v="0"/>
    <n v="41"/>
    <n v="0"/>
    <n v="34.6"/>
    <n v="0"/>
    <n v="6.3"/>
    <n v="94.8"/>
    <n v="239"/>
    <n v="-88.5"/>
  </r>
  <r>
    <x v="18"/>
    <x v="6"/>
    <x v="0"/>
    <s v="4811107"/>
    <n v="400010"/>
    <s v="Acute I/P Svcs Rev--Medicare"/>
    <s v="Radiology-Silverdale"/>
    <x v="0"/>
    <n v="1100"/>
    <n v="-206286.44"/>
    <n v="-275776.81"/>
    <n v="-286306"/>
    <n v="-207036.79"/>
    <n v="-238633.87"/>
    <n v="-201683.85"/>
    <n v="-380647.28"/>
    <n v="-347156.52"/>
    <n v="-328242.96000000002"/>
    <n v="-357439.49"/>
    <n v="-416472.9"/>
    <n v="-337467.55"/>
    <n v="-3583150.4600000004"/>
    <n v="-79005.350000000035"/>
  </r>
  <r>
    <x v="18"/>
    <x v="6"/>
    <x v="0"/>
    <s v="4811107"/>
    <n v="400010"/>
    <s v="Acute I/P Svcs Rev--Medicaid"/>
    <s v="Radiology-Silverdale"/>
    <x v="0"/>
    <n v="1200"/>
    <n v="-143363.21"/>
    <n v="-115463.42"/>
    <n v="-73802.320000000007"/>
    <n v="-63027.58"/>
    <n v="-67585.23"/>
    <n v="-71067.19"/>
    <n v="-88887.85"/>
    <n v="-52934.71"/>
    <n v="-110673.9"/>
    <n v="-146871.82"/>
    <n v="-91693.66"/>
    <n v="-73444.160000000003"/>
    <n v="-1098815.05"/>
    <n v="-18249.5"/>
  </r>
  <r>
    <x v="18"/>
    <x v="6"/>
    <x v="0"/>
    <s v="4811107"/>
    <n v="400010"/>
    <s v="Acute I/P Svcs Rev--Comm Insurance"/>
    <s v="Radiology-Silverdale"/>
    <x v="0"/>
    <n v="1300"/>
    <n v="-6850.11"/>
    <n v="2431.62"/>
    <n v="-7356.82"/>
    <n v="-3212.84"/>
    <n v="-12779.28"/>
    <n v="-11771.25"/>
    <n v="-17272.23"/>
    <n v="0"/>
    <n v="-47218.29"/>
    <n v="14464.43"/>
    <n v="-1583.51"/>
    <n v="720.47"/>
    <n v="-90427.810000000012"/>
    <n v="-2303.98"/>
  </r>
  <r>
    <x v="18"/>
    <x v="6"/>
    <x v="0"/>
    <s v="4811107"/>
    <n v="400010"/>
    <s v="Acute I/P Svcs Rev--BCBS Comm"/>
    <s v="Radiology-Silverdale"/>
    <x v="0"/>
    <n v="1301"/>
    <n v="-37822.28"/>
    <n v="-37849.65"/>
    <n v="-62143.88"/>
    <n v="-15225.15"/>
    <n v="-25714.39"/>
    <n v="-26916.32"/>
    <n v="-57375.14"/>
    <n v="-55118.75"/>
    <n v="-62016.800000000003"/>
    <n v="-82576.36"/>
    <n v="-78339.44"/>
    <n v="-32457.38"/>
    <n v="-573555.53999999992"/>
    <n v="-45882.06"/>
  </r>
  <r>
    <x v="18"/>
    <x v="6"/>
    <x v="0"/>
    <s v="4811107"/>
    <n v="400010"/>
    <s v="Acute I/P Svcs Rev--Managed Care"/>
    <s v="Radiology-Silverdale"/>
    <x v="0"/>
    <n v="1400"/>
    <n v="-59192.94"/>
    <n v="-36178.21"/>
    <n v="-96651.16"/>
    <n v="-49178.66"/>
    <n v="-77183.66"/>
    <n v="-111901.08"/>
    <n v="-99772.4"/>
    <n v="-122595.3"/>
    <n v="-110511.22"/>
    <n v="-30399.27"/>
    <n v="-20751.169999999998"/>
    <n v="-95981.5"/>
    <n v="-910296.57000000007"/>
    <n v="75230.33"/>
  </r>
  <r>
    <x v="18"/>
    <x v="6"/>
    <x v="0"/>
    <s v="4811107"/>
    <n v="400010"/>
    <s v="Acute I/P Svcs Rev--Self Pay"/>
    <s v="Radiology-Silverdale"/>
    <x v="0"/>
    <n v="1500"/>
    <n v="-27601.439999999999"/>
    <n v="-21899.94"/>
    <n v="-28638.52"/>
    <n v="3092.42"/>
    <n v="0"/>
    <n v="-1045.8"/>
    <n v="-16197.9"/>
    <n v="-10745.38"/>
    <n v="-6106.52"/>
    <n v="-20711.63"/>
    <n v="-24581.34"/>
    <n v="1318.68"/>
    <n v="-153117.37000000002"/>
    <n v="-25900.02"/>
  </r>
  <r>
    <x v="18"/>
    <x v="6"/>
    <x v="0"/>
    <s v="4811107"/>
    <n v="400010"/>
    <s v="Acute I/P Svcs Rev--Other"/>
    <s v="Radiology-Silverdale"/>
    <x v="0"/>
    <n v="1700"/>
    <n v="-41256.76"/>
    <n v="-44089.42"/>
    <n v="-10961.22"/>
    <n v="-37168.300000000003"/>
    <n v="-22887.38"/>
    <n v="-46492.68"/>
    <n v="-40190.35"/>
    <n v="-58040.95"/>
    <n v="-27376.99"/>
    <n v="-14518.86"/>
    <n v="-24346.33"/>
    <n v="-48394.15"/>
    <n v="-415723.39"/>
    <n v="24047.82"/>
  </r>
  <r>
    <x v="19"/>
    <x v="6"/>
    <x v="0"/>
    <s v="4811107"/>
    <n v="400020"/>
    <s v="O/P Care Svcs Rev--Medicare"/>
    <s v="Radiology-Silverdale"/>
    <x v="0"/>
    <n v="1100"/>
    <n v="-1085498.29"/>
    <n v="-1145259.2"/>
    <n v="-1056980.42"/>
    <n v="-958541.77"/>
    <n v="-1036885.39"/>
    <n v="-948612.28"/>
    <n v="-1040999.81"/>
    <n v="-863969.08"/>
    <n v="-1083781.02"/>
    <n v="-1153786.06"/>
    <n v="-1338561.3899999999"/>
    <n v="-1265723.0900000001"/>
    <n v="-12978597.800000001"/>
    <n v="-72838.299999999814"/>
  </r>
  <r>
    <x v="19"/>
    <x v="6"/>
    <x v="0"/>
    <s v="4811107"/>
    <n v="400020"/>
    <s v="O/P Care Svcs Rev--Medicaid"/>
    <s v="Radiology-Silverdale"/>
    <x v="0"/>
    <n v="1200"/>
    <n v="-683290.56"/>
    <n v="-666697.03"/>
    <n v="-686988.94"/>
    <n v="-567522.38"/>
    <n v="-703176.3"/>
    <n v="-655917.06000000006"/>
    <n v="-850234.1"/>
    <n v="-797476.89"/>
    <n v="-798566.37"/>
    <n v="-761471.09"/>
    <n v="-880773.36"/>
    <n v="-664605.56999999995"/>
    <n v="-8716719.6500000004"/>
    <n v="-216167.79000000004"/>
  </r>
  <r>
    <x v="19"/>
    <x v="6"/>
    <x v="0"/>
    <s v="4811107"/>
    <n v="400020"/>
    <s v="O/P Care Svcs Rev--Comm Insurance"/>
    <s v="Radiology-Silverdale"/>
    <x v="0"/>
    <n v="1300"/>
    <n v="-203994.55"/>
    <n v="2809.73"/>
    <n v="-95985.5"/>
    <n v="-115264.12"/>
    <n v="-90688.12"/>
    <n v="-76805.210000000006"/>
    <n v="-87201.49"/>
    <n v="-145138.41"/>
    <n v="-68133.03"/>
    <n v="-73864.460000000006"/>
    <n v="-130492.37"/>
    <n v="-121640.39"/>
    <n v="-1206397.9199999997"/>
    <n v="-8851.9799999999959"/>
  </r>
  <r>
    <x v="19"/>
    <x v="6"/>
    <x v="0"/>
    <s v="4811107"/>
    <n v="400020"/>
    <s v="O/P Care Svcs Rev--BCBS Comm"/>
    <s v="Radiology-Silverdale"/>
    <x v="0"/>
    <n v="1301"/>
    <n v="-339867.67"/>
    <n v="-260526.65"/>
    <n v="-242846.83"/>
    <n v="-361018.61"/>
    <n v="-241580.32"/>
    <n v="-395472.65"/>
    <n v="-361395.51"/>
    <n v="-286491.56"/>
    <n v="-446950.05"/>
    <n v="-303216.03000000003"/>
    <n v="-395588.47"/>
    <n v="-415101.36"/>
    <n v="-4050055.7099999995"/>
    <n v="19512.890000000014"/>
  </r>
  <r>
    <x v="19"/>
    <x v="6"/>
    <x v="0"/>
    <s v="4811107"/>
    <n v="400020"/>
    <s v="O/P Care Svcs Rev--Managed Care"/>
    <s v="Radiology-Silverdale"/>
    <x v="0"/>
    <n v="1400"/>
    <n v="-629404.62"/>
    <n v="-706969.99"/>
    <n v="-591477.68000000005"/>
    <n v="-661124.5"/>
    <n v="-501387.04"/>
    <n v="-631646.62"/>
    <n v="-698696.72"/>
    <n v="-628192.64"/>
    <n v="-639740.74"/>
    <n v="-676771.94"/>
    <n v="-751838"/>
    <n v="-720945.05"/>
    <n v="-7838195.54"/>
    <n v="-30892.949999999953"/>
  </r>
  <r>
    <x v="19"/>
    <x v="6"/>
    <x v="0"/>
    <s v="4811107"/>
    <n v="400020"/>
    <s v="O/P Care Svcs Rev--Self Pay"/>
    <s v="Radiology-Silverdale"/>
    <x v="0"/>
    <n v="1500"/>
    <n v="-85497.5"/>
    <n v="-148265.47"/>
    <n v="-72780.73"/>
    <n v="-117812.29"/>
    <n v="-142272.07"/>
    <n v="-73574.759999999995"/>
    <n v="-138157.03"/>
    <n v="-88965.54"/>
    <n v="-123213.78"/>
    <n v="-166321.24"/>
    <n v="-141149.28"/>
    <n v="-120767.32"/>
    <n v="-1418777.0100000002"/>
    <n v="-20381.959999999992"/>
  </r>
  <r>
    <x v="19"/>
    <x v="6"/>
    <x v="0"/>
    <s v="4811107"/>
    <n v="400020"/>
    <s v="O/P Care Svcs Rev--Other"/>
    <s v="Radiology-Silverdale"/>
    <x v="0"/>
    <n v="1700"/>
    <n v="-404279.81"/>
    <n v="-365444.02"/>
    <n v="-322481.39"/>
    <n v="-317312.3"/>
    <n v="-337491.1"/>
    <n v="-468676.54"/>
    <n v="-375593.42"/>
    <n v="-392843.82"/>
    <n v="-539280.48"/>
    <n v="-418616.55"/>
    <n v="-527079.52"/>
    <n v="-445960.15"/>
    <n v="-4915059.0999999996"/>
    <n v="-81119.37"/>
  </r>
  <r>
    <x v="5"/>
    <x v="6"/>
    <x v="0"/>
    <s v="4811107"/>
    <n v="700026"/>
    <s v="Salaries-RN-Productive"/>
    <s v="Radiology-Silverdale"/>
    <x v="0"/>
    <m/>
    <n v="0"/>
    <n v="0"/>
    <n v="0"/>
    <n v="0"/>
    <n v="0"/>
    <n v="0"/>
    <n v="0"/>
    <n v="0"/>
    <n v="0"/>
    <n v="0"/>
    <n v="0"/>
    <n v="83.24"/>
    <n v="83.24"/>
    <n v="-83.24"/>
  </r>
  <r>
    <x v="5"/>
    <x v="6"/>
    <x v="0"/>
    <s v="4811107"/>
    <n v="700026"/>
    <s v="Salaries-RN-OT"/>
    <s v="Radiology-Silverdale"/>
    <x v="0"/>
    <n v="1000"/>
    <n v="0"/>
    <n v="0"/>
    <n v="0"/>
    <n v="0"/>
    <n v="0"/>
    <n v="0"/>
    <n v="0"/>
    <n v="0"/>
    <n v="0"/>
    <n v="0"/>
    <n v="0"/>
    <n v="41.62"/>
    <n v="41.62"/>
    <n v="-41.62"/>
  </r>
  <r>
    <x v="5"/>
    <x v="6"/>
    <x v="0"/>
    <s v="4811107"/>
    <n v="700032"/>
    <s v="Salaries-Other Pat Care Providers-Productive"/>
    <s v="Radiology-Silverdale"/>
    <x v="0"/>
    <m/>
    <n v="0"/>
    <n v="0"/>
    <n v="291.39999999999998"/>
    <n v="-105.96"/>
    <n v="0"/>
    <n v="0"/>
    <n v="0"/>
    <n v="0"/>
    <n v="0"/>
    <n v="0"/>
    <n v="0"/>
    <n v="0"/>
    <n v="185.44"/>
    <n v="0"/>
  </r>
  <r>
    <x v="5"/>
    <x v="6"/>
    <x v="0"/>
    <s v="4811107"/>
    <n v="700032"/>
    <s v="Salaries-Other Pat Care Providers-OT"/>
    <s v="Radiology-Silverdale"/>
    <x v="0"/>
    <n v="1000"/>
    <n v="0"/>
    <n v="0"/>
    <n v="27.68"/>
    <n v="-10.06"/>
    <n v="0"/>
    <n v="5.56"/>
    <n v="-0.69"/>
    <n v="0"/>
    <n v="0"/>
    <n v="0"/>
    <n v="0"/>
    <n v="0"/>
    <n v="22.489999999999995"/>
    <n v="0"/>
  </r>
  <r>
    <x v="5"/>
    <x v="6"/>
    <x v="0"/>
    <s v="4811107"/>
    <n v="700032"/>
    <s v="Salaries-Other Pat Care Providers-Other"/>
    <s v="Radiology-Silverdale"/>
    <x v="0"/>
    <n v="2000"/>
    <n v="0"/>
    <n v="0"/>
    <n v="24.71"/>
    <n v="-8.98"/>
    <n v="0"/>
    <n v="0"/>
    <n v="0"/>
    <n v="0"/>
    <n v="0"/>
    <n v="0"/>
    <n v="0"/>
    <n v="0"/>
    <n v="15.73"/>
    <n v="0"/>
  </r>
  <r>
    <x v="5"/>
    <x v="6"/>
    <x v="0"/>
    <s v="4811107"/>
    <n v="700034"/>
    <s v="Salaries-Tech/Professional-Productive"/>
    <s v="Radiology-Silverdale"/>
    <x v="0"/>
    <m/>
    <n v="68281.64"/>
    <n v="69422.45"/>
    <n v="71516.22"/>
    <n v="77783.039999999994"/>
    <n v="67571.070000000007"/>
    <n v="63955.64"/>
    <n v="65017.77"/>
    <n v="57886.83"/>
    <n v="69812.72"/>
    <n v="75897.210000000006"/>
    <n v="67383.73"/>
    <n v="68897.39"/>
    <n v="823425.71"/>
    <n v="-1513.6600000000035"/>
  </r>
  <r>
    <x v="5"/>
    <x v="6"/>
    <x v="0"/>
    <s v="4811107"/>
    <n v="700034"/>
    <s v="Salaries-Tech/Professional-OT"/>
    <s v="Radiology-Silverdale"/>
    <x v="0"/>
    <n v="1000"/>
    <n v="2224.9699999999998"/>
    <n v="1872.6"/>
    <n v="3016.92"/>
    <n v="1329.87"/>
    <n v="3997.19"/>
    <n v="1806.54"/>
    <n v="3178.03"/>
    <n v="2414.17"/>
    <n v="2087.75"/>
    <n v="2517.29"/>
    <n v="2410.0300000000002"/>
    <n v="4048.08"/>
    <n v="30903.440000000002"/>
    <n v="-1638.0499999999997"/>
  </r>
  <r>
    <x v="5"/>
    <x v="6"/>
    <x v="0"/>
    <s v="4811107"/>
    <n v="700034"/>
    <s v="Salaries-Tech/Professional-Other"/>
    <s v="Radiology-Silverdale"/>
    <x v="0"/>
    <n v="2000"/>
    <n v="4963.93"/>
    <n v="4682.5"/>
    <n v="4586.96"/>
    <n v="4545.0600000000004"/>
    <n v="4762.68"/>
    <n v="4045.15"/>
    <n v="4408"/>
    <n v="3859.45"/>
    <n v="4083.89"/>
    <n v="4627.53"/>
    <n v="4234.6099999999997"/>
    <n v="4783.74"/>
    <n v="53583.5"/>
    <n v="-549.13000000000011"/>
  </r>
  <r>
    <x v="5"/>
    <x v="6"/>
    <x v="0"/>
    <s v="4811107"/>
    <n v="700054"/>
    <s v="Salaries-Management-NonProd-Other"/>
    <s v="Radiology-Silverdale"/>
    <x v="0"/>
    <n v="2000"/>
    <n v="0"/>
    <n v="0"/>
    <n v="0"/>
    <n v="0"/>
    <n v="0"/>
    <n v="299.3"/>
    <n v="-299.3"/>
    <n v="0"/>
    <n v="0"/>
    <n v="0"/>
    <n v="0"/>
    <n v="0"/>
    <n v="0"/>
    <n v="0"/>
  </r>
  <r>
    <x v="5"/>
    <x v="6"/>
    <x v="0"/>
    <s v="4811107"/>
    <n v="700074"/>
    <s v="Salaries-Tech/Professional-Non-productive"/>
    <s v="Radiology-Silverdale"/>
    <x v="0"/>
    <m/>
    <n v="20418.47"/>
    <n v="10264.799999999999"/>
    <n v="9016.7900000000009"/>
    <n v="7657.54"/>
    <n v="15448.98"/>
    <n v="16771.240000000002"/>
    <n v="15448.25"/>
    <n v="5702.03"/>
    <n v="5026.59"/>
    <n v="4094.82"/>
    <n v="8752.5"/>
    <n v="11577.21"/>
    <n v="130179.22"/>
    <n v="-2824.7099999999991"/>
  </r>
  <r>
    <x v="5"/>
    <x v="6"/>
    <x v="0"/>
    <s v="4811107"/>
    <n v="700074"/>
    <s v="Salaries-Tech/Professional-NonProd-Other"/>
    <s v="Radiology-Silverdale"/>
    <x v="0"/>
    <n v="2000"/>
    <n v="1222.3499999999999"/>
    <n v="599.38"/>
    <n v="263.98"/>
    <n v="306.56"/>
    <n v="700.83"/>
    <n v="622.88"/>
    <n v="575.29999999999995"/>
    <n v="110.4"/>
    <n v="114.45"/>
    <n v="60.59"/>
    <n v="292.14999999999998"/>
    <n v="586.54"/>
    <n v="5455.4099999999989"/>
    <n v="-294.39"/>
  </r>
  <r>
    <x v="5"/>
    <x v="6"/>
    <x v="0"/>
    <s v="4811107"/>
    <n v="700084"/>
    <s v="Accrued PTO"/>
    <s v="Radiology-Silverdale"/>
    <x v="0"/>
    <m/>
    <n v="-3893.5"/>
    <n v="3248.76"/>
    <n v="692.73"/>
    <n v="3178.93"/>
    <n v="1220.81"/>
    <n v="481.21"/>
    <n v="-1640.4"/>
    <n v="679.85"/>
    <n v="3188.19"/>
    <n v="6007.02"/>
    <n v="1153.8499999999999"/>
    <n v="-2510.83"/>
    <n v="11806.62"/>
    <n v="3664.68"/>
  </r>
  <r>
    <x v="6"/>
    <x v="6"/>
    <x v="0"/>
    <s v="4811107"/>
    <n v="713010"/>
    <s v="Benefits-FICA/Medicare"/>
    <s v="Radiology-Silverdale"/>
    <x v="0"/>
    <m/>
    <n v="7428.8"/>
    <n v="6643.45"/>
    <n v="6793.15"/>
    <n v="6995.3"/>
    <n v="7082.97"/>
    <n v="6694.25"/>
    <n v="6792.37"/>
    <n v="5345.03"/>
    <n v="6235.82"/>
    <n v="6660.87"/>
    <n v="6345.83"/>
    <n v="6876"/>
    <n v="79893.84"/>
    <n v="-530.17000000000007"/>
  </r>
  <r>
    <x v="6"/>
    <x v="6"/>
    <x v="0"/>
    <s v="4811107"/>
    <n v="713090"/>
    <s v="Benefits-Allocated Amounts"/>
    <s v="Radiology-Silverdale"/>
    <x v="0"/>
    <m/>
    <n v="15731.67"/>
    <n v="12784.95"/>
    <n v="14562.57"/>
    <n v="15047.01"/>
    <n v="17081.75"/>
    <n v="14623.56"/>
    <n v="15034.91"/>
    <n v="12896.42"/>
    <n v="11421.56"/>
    <n v="15981.57"/>
    <n v="13880.02"/>
    <n v="17091.830000000002"/>
    <n v="176137.82"/>
    <n v="-3211.8100000000013"/>
  </r>
  <r>
    <x v="7"/>
    <x v="6"/>
    <x v="0"/>
    <s v="4811107"/>
    <n v="718050"/>
    <s v="Contract Svcs-Other"/>
    <s v="Radiology-Silverdale"/>
    <x v="0"/>
    <m/>
    <n v="264.77"/>
    <n v="0"/>
    <n v="1468.25"/>
    <n v="131.94999999999999"/>
    <n v="10.99"/>
    <n v="284.06"/>
    <n v="201.47"/>
    <n v="107"/>
    <n v="0"/>
    <n v="323.58"/>
    <n v="293.45"/>
    <n v="-25.89"/>
    <n v="3059.6299999999997"/>
    <n v="319.33999999999997"/>
  </r>
  <r>
    <x v="7"/>
    <x v="6"/>
    <x v="0"/>
    <s v="4811107"/>
    <n v="718050"/>
    <s v="Miscellaneous Purchased Svcs"/>
    <s v="Radiology-Silverdale"/>
    <x v="0"/>
    <n v="1020"/>
    <n v="0"/>
    <n v="0"/>
    <n v="0"/>
    <n v="0"/>
    <n v="0"/>
    <n v="0"/>
    <n v="0"/>
    <n v="49.67"/>
    <n v="0"/>
    <n v="0"/>
    <n v="0"/>
    <n v="0"/>
    <n v="49.67"/>
    <n v="0"/>
  </r>
  <r>
    <x v="7"/>
    <x v="6"/>
    <x v="0"/>
    <s v="4811107"/>
    <n v="718050"/>
    <s v="Contract Management--Linen"/>
    <s v="Radiology-Silverdale"/>
    <x v="0"/>
    <n v="1026"/>
    <n v="401.32"/>
    <n v="1526.92"/>
    <n v="1108"/>
    <n v="341.29"/>
    <n v="932.05"/>
    <n v="1246.04"/>
    <n v="339.53"/>
    <n v="1665.91"/>
    <n v="118.55"/>
    <n v="162.61000000000001"/>
    <n v="1691.79"/>
    <n v="490.95"/>
    <n v="10024.959999999999"/>
    <n v="1200.8399999999999"/>
  </r>
  <r>
    <x v="7"/>
    <x v="6"/>
    <x v="0"/>
    <s v="4811107"/>
    <n v="718070"/>
    <s v="Contract Srvcs-CHI Clinical Engineering"/>
    <s v="Radiology-Silverdale"/>
    <x v="0"/>
    <m/>
    <n v="1592.03"/>
    <n v="1592.03"/>
    <n v="1592.03"/>
    <n v="1592.03"/>
    <n v="1592.03"/>
    <n v="1592.03"/>
    <n v="1592.03"/>
    <n v="1592.03"/>
    <n v="1592.03"/>
    <n v="1592.03"/>
    <n v="1592.03"/>
    <n v="1592.03"/>
    <n v="19104.36"/>
    <n v="0"/>
  </r>
  <r>
    <x v="11"/>
    <x v="6"/>
    <x v="0"/>
    <s v="4811107"/>
    <n v="721010"/>
    <s v="Supplies-Medical - Billable"/>
    <s v="Radiology-Silverdale"/>
    <x v="0"/>
    <m/>
    <n v="78.16"/>
    <n v="39.26"/>
    <n v="19.63"/>
    <n v="19.63"/>
    <n v="58.89"/>
    <n v="84.14"/>
    <n v="33.15"/>
    <n v="39.26"/>
    <n v="58.89"/>
    <n v="125.24"/>
    <n v="32.03"/>
    <n v="275.69"/>
    <n v="863.9699999999998"/>
    <n v="-243.66"/>
  </r>
  <r>
    <x v="11"/>
    <x v="6"/>
    <x v="0"/>
    <s v="4811107"/>
    <n v="721010"/>
    <s v="Patient Monitoring"/>
    <s v="Radiology-Silverdale"/>
    <x v="0"/>
    <n v="1000"/>
    <n v="0"/>
    <n v="89.91"/>
    <n v="0"/>
    <n v="0"/>
    <n v="0"/>
    <n v="89.91"/>
    <n v="0"/>
    <n v="0"/>
    <n v="0"/>
    <n v="0"/>
    <n v="89.91"/>
    <n v="0"/>
    <n v="269.73"/>
    <n v="89.91"/>
  </r>
  <r>
    <x v="11"/>
    <x v="6"/>
    <x v="0"/>
    <s v="4811107"/>
    <n v="721020"/>
    <s v="Supplies-Surgical - Billable"/>
    <s v="Radiology-Silverdale"/>
    <x v="0"/>
    <m/>
    <n v="63.22"/>
    <n v="0"/>
    <n v="0"/>
    <n v="0"/>
    <n v="0"/>
    <n v="0"/>
    <n v="0"/>
    <n v="0"/>
    <n v="0"/>
    <n v="0"/>
    <n v="0"/>
    <n v="0"/>
    <n v="63.22"/>
    <n v="0"/>
  </r>
  <r>
    <x v="11"/>
    <x v="6"/>
    <x v="0"/>
    <s v="4811107"/>
    <n v="721020"/>
    <s v="Custom Packs"/>
    <s v="Radiology-Silverdale"/>
    <x v="0"/>
    <n v="1000"/>
    <n v="0"/>
    <n v="380.6"/>
    <n v="0"/>
    <n v="253.73"/>
    <n v="0"/>
    <n v="507.46"/>
    <n v="232.78"/>
    <n v="232.73"/>
    <n v="0"/>
    <n v="0"/>
    <n v="375.1"/>
    <n v="0"/>
    <n v="1982.4"/>
    <n v="375.1"/>
  </r>
  <r>
    <x v="11"/>
    <x v="6"/>
    <x v="0"/>
    <s v="4811107"/>
    <n v="721240"/>
    <s v="Supplies-IV Solutions/Supplies - Billable"/>
    <s v="Radiology-Silverdale"/>
    <x v="0"/>
    <m/>
    <n v="880.2"/>
    <n v="1351.6"/>
    <n v="801"/>
    <n v="564.1"/>
    <n v="1671.4"/>
    <n v="853.8"/>
    <n v="942.8"/>
    <n v="853.8"/>
    <n v="1272.4000000000001"/>
    <n v="764.8"/>
    <n v="1595.36"/>
    <n v="1404.4"/>
    <n v="12955.66"/>
    <n v="190.95999999999981"/>
  </r>
  <r>
    <x v="11"/>
    <x v="6"/>
    <x v="0"/>
    <s v="4811107"/>
    <n v="721250"/>
    <s v="Supplies-Pharmacy Drugs - Billable"/>
    <s v="Radiology-Silverdale"/>
    <x v="0"/>
    <m/>
    <n v="4222.66"/>
    <n v="3811.85"/>
    <n v="4565.1499999999996"/>
    <n v="2873.97"/>
    <n v="4328.07"/>
    <n v="4118"/>
    <n v="3954.92"/>
    <n v="3193.49"/>
    <n v="2676.75"/>
    <n v="5133.79"/>
    <n v="4866.0200000000004"/>
    <n v="284.24"/>
    <n v="44028.909999999996"/>
    <n v="4581.7800000000007"/>
  </r>
  <r>
    <x v="11"/>
    <x v="6"/>
    <x v="0"/>
    <s v="4811107"/>
    <n v="721350"/>
    <s v="Radiology Imaging - Contrast Media"/>
    <s v="Radiology-Silverdale"/>
    <x v="0"/>
    <n v="1000"/>
    <n v="601.35"/>
    <n v="663.31"/>
    <n v="593.92999999999995"/>
    <n v="501.73"/>
    <n v="979.69"/>
    <n v="426.92"/>
    <n v="678.17"/>
    <n v="456.91"/>
    <n v="750.14"/>
    <n v="548.73"/>
    <n v="505.51"/>
    <n v="1396.33"/>
    <n v="8102.7199999999993"/>
    <n v="-890.81999999999994"/>
  </r>
  <r>
    <x v="11"/>
    <x v="6"/>
    <x v="0"/>
    <s v="4811107"/>
    <n v="721410"/>
    <s v="Supplies-Medical - Nonbillable"/>
    <s v="Radiology-Silverdale"/>
    <x v="0"/>
    <m/>
    <n v="5424.81"/>
    <n v="4153.3500000000004"/>
    <n v="4200.28"/>
    <n v="4764.42"/>
    <n v="2975.86"/>
    <n v="5378.53"/>
    <n v="6641.19"/>
    <n v="4745.7700000000004"/>
    <n v="5642.31"/>
    <n v="4741.0200000000004"/>
    <n v="6817"/>
    <n v="6955.79"/>
    <n v="62440.330000000009"/>
    <n v="-138.78999999999996"/>
  </r>
  <r>
    <x v="11"/>
    <x v="6"/>
    <x v="0"/>
    <s v="4811107"/>
    <n v="721420"/>
    <s v="Supplies-Surgical Nonbillable"/>
    <s v="Radiology-Silverdale"/>
    <x v="0"/>
    <m/>
    <n v="63.28"/>
    <n v="56.39"/>
    <n v="0"/>
    <n v="34.92"/>
    <n v="45.82"/>
    <n v="34.92"/>
    <n v="20.440000000000001"/>
    <n v="17.46"/>
    <n v="0"/>
    <n v="13.63"/>
    <n v="0"/>
    <n v="13.63"/>
    <n v="300.48999999999995"/>
    <n v="-13.63"/>
  </r>
  <r>
    <x v="11"/>
    <x v="6"/>
    <x v="0"/>
    <s v="4811107"/>
    <n v="721420"/>
    <s v="Sterilization Process Products"/>
    <s v="Radiology-Silverdale"/>
    <x v="0"/>
    <n v="1009"/>
    <n v="0"/>
    <n v="0"/>
    <n v="0"/>
    <n v="0"/>
    <n v="0"/>
    <n v="0"/>
    <n v="0"/>
    <n v="8.5399999999999991"/>
    <n v="0"/>
    <n v="0"/>
    <n v="0"/>
    <n v="8.5399999999999991"/>
    <n v="17.079999999999998"/>
    <n v="-8.5399999999999991"/>
  </r>
  <r>
    <x v="11"/>
    <x v="6"/>
    <x v="0"/>
    <s v="4811107"/>
    <n v="721610"/>
    <s v="Supplies-Anesthesia - Nonbillable"/>
    <s v="Radiology-Silverdale"/>
    <x v="0"/>
    <m/>
    <n v="0"/>
    <n v="0"/>
    <n v="0"/>
    <n v="0"/>
    <n v="17.86"/>
    <n v="0"/>
    <n v="0"/>
    <n v="0"/>
    <n v="0"/>
    <n v="0"/>
    <n v="0"/>
    <n v="0"/>
    <n v="17.86"/>
    <n v="0"/>
  </r>
  <r>
    <x v="11"/>
    <x v="6"/>
    <x v="0"/>
    <s v="4811107"/>
    <n v="721640"/>
    <s v="Supplies-IV Solutions/Supplies - Nonbillable"/>
    <s v="Radiology-Silverdale"/>
    <x v="0"/>
    <m/>
    <n v="25.7"/>
    <n v="46.26"/>
    <n v="0"/>
    <n v="0"/>
    <n v="0"/>
    <n v="114.4"/>
    <n v="134.66"/>
    <n v="40"/>
    <n v="61.5"/>
    <n v="118"/>
    <n v="40"/>
    <n v="103"/>
    <n v="683.52"/>
    <n v="-63"/>
  </r>
  <r>
    <x v="11"/>
    <x v="6"/>
    <x v="0"/>
    <s v="4811107"/>
    <n v="721710"/>
    <s v="Supplies-Laboratory - Nonbillable"/>
    <s v="Radiology-Silverdale"/>
    <x v="0"/>
    <m/>
    <n v="20.21"/>
    <n v="24.17"/>
    <n v="16.25"/>
    <n v="0"/>
    <n v="16.329999999999998"/>
    <n v="0"/>
    <n v="0"/>
    <n v="16.25"/>
    <n v="16.25"/>
    <n v="19.510000000000002"/>
    <n v="366.69"/>
    <n v="-12.69"/>
    <n v="482.96999999999997"/>
    <n v="379.38"/>
  </r>
  <r>
    <x v="11"/>
    <x v="6"/>
    <x v="0"/>
    <s v="4811107"/>
    <n v="721710"/>
    <s v="Reagents"/>
    <s v="Radiology-Silverdale"/>
    <x v="0"/>
    <n v="1000"/>
    <n v="-329"/>
    <n v="319.5"/>
    <n v="549"/>
    <n v="-16.5"/>
    <n v="762"/>
    <n v="196.5"/>
    <n v="213"/>
    <n v="319.5"/>
    <n v="472.32"/>
    <n v="285.39999999999998"/>
    <n v="319.5"/>
    <n v="426"/>
    <n v="3517.2200000000003"/>
    <n v="-106.5"/>
  </r>
  <r>
    <x v="11"/>
    <x v="6"/>
    <x v="0"/>
    <s v="4811107"/>
    <n v="721750"/>
    <s v="Supplies-Film/Radiographic - Nonbillable"/>
    <s v="Radiology-Silverdale"/>
    <x v="0"/>
    <m/>
    <n v="47.96"/>
    <n v="-5"/>
    <n v="67.58"/>
    <n v="130.80000000000001"/>
    <n v="436.86"/>
    <n v="0"/>
    <n v="423.24"/>
    <n v="733.47"/>
    <n v="16.59"/>
    <n v="22.91"/>
    <n v="118.44"/>
    <n v="31.67"/>
    <n v="2024.5200000000002"/>
    <n v="86.77"/>
  </r>
  <r>
    <x v="11"/>
    <x v="6"/>
    <x v="0"/>
    <s v="4811107"/>
    <n v="721810"/>
    <s v="Supplies-Dietary/Cafeteria"/>
    <s v="Radiology-Silverdale"/>
    <x v="0"/>
    <m/>
    <n v="0"/>
    <n v="16.98"/>
    <n v="0"/>
    <n v="250.85"/>
    <n v="396.64"/>
    <n v="365.67"/>
    <n v="0"/>
    <n v="0"/>
    <n v="0"/>
    <n v="0"/>
    <n v="0"/>
    <n v="10.48"/>
    <n v="1040.6200000000001"/>
    <n v="-10.48"/>
  </r>
  <r>
    <x v="11"/>
    <x v="6"/>
    <x v="0"/>
    <s v="4811107"/>
    <n v="721830"/>
    <s v="Supplies-Office"/>
    <s v="Radiology-Silverdale"/>
    <x v="0"/>
    <m/>
    <n v="31.22"/>
    <n v="350"/>
    <n v="198.6"/>
    <n v="319.99"/>
    <n v="21.67"/>
    <n v="339.12"/>
    <n v="54.01"/>
    <n v="0"/>
    <n v="0"/>
    <n v="0"/>
    <n v="0"/>
    <n v="273.57"/>
    <n v="1588.1799999999998"/>
    <n v="-273.57"/>
  </r>
  <r>
    <x v="11"/>
    <x v="6"/>
    <x v="0"/>
    <s v="4811107"/>
    <n v="721835"/>
    <s v="Supplies-Forms"/>
    <s v="Radiology-Silverdale"/>
    <x v="0"/>
    <m/>
    <n v="0"/>
    <n v="0"/>
    <n v="0"/>
    <n v="0"/>
    <n v="24"/>
    <n v="0"/>
    <n v="0"/>
    <n v="0"/>
    <n v="0"/>
    <n v="0"/>
    <n v="0"/>
    <n v="0"/>
    <n v="24"/>
    <n v="0"/>
  </r>
  <r>
    <x v="11"/>
    <x v="6"/>
    <x v="0"/>
    <s v="4811107"/>
    <n v="721870"/>
    <s v="Supplies-Environmental Services"/>
    <s v="Radiology-Silverdale"/>
    <x v="0"/>
    <m/>
    <n v="54.6"/>
    <n v="0"/>
    <n v="89.88"/>
    <n v="0"/>
    <n v="0"/>
    <n v="0"/>
    <n v="47.28"/>
    <n v="0"/>
    <n v="0"/>
    <n v="71.28"/>
    <n v="23.64"/>
    <n v="149.41999999999999"/>
    <n v="436.09999999999991"/>
    <n v="-125.77999999999999"/>
  </r>
  <r>
    <x v="11"/>
    <x v="6"/>
    <x v="0"/>
    <s v="4811107"/>
    <n v="721880"/>
    <s v="Supplies-Linen"/>
    <s v="Radiology-Silverdale"/>
    <x v="0"/>
    <m/>
    <n v="0"/>
    <n v="0"/>
    <n v="48.58"/>
    <n v="-1.41"/>
    <n v="0"/>
    <n v="0"/>
    <n v="25.33"/>
    <n v="0"/>
    <n v="0"/>
    <n v="0"/>
    <n v="25.7"/>
    <n v="50.29"/>
    <n v="148.49"/>
    <n v="-24.59"/>
  </r>
  <r>
    <x v="11"/>
    <x v="6"/>
    <x v="0"/>
    <s v="4811107"/>
    <n v="721910"/>
    <s v="Supplies-Small Equipment"/>
    <s v="Radiology-Silverdale"/>
    <x v="0"/>
    <m/>
    <n v="0"/>
    <n v="0"/>
    <n v="0"/>
    <n v="0"/>
    <n v="0"/>
    <n v="271.95"/>
    <n v="0"/>
    <n v="0"/>
    <n v="0"/>
    <n v="0"/>
    <n v="0"/>
    <n v="0"/>
    <n v="271.95"/>
    <n v="0"/>
  </r>
  <r>
    <x v="11"/>
    <x v="6"/>
    <x v="0"/>
    <s v="4811107"/>
    <n v="721980"/>
    <s v="Supplies-Other"/>
    <s v="Radiology-Silverdale"/>
    <x v="0"/>
    <m/>
    <n v="104.72"/>
    <n v="280.16000000000003"/>
    <n v="559.20000000000005"/>
    <n v="2329.35"/>
    <n v="237.28"/>
    <n v="0"/>
    <n v="714.84"/>
    <n v="484.35"/>
    <n v="0"/>
    <n v="309.92"/>
    <n v="155.44999999999999"/>
    <n v="98.13"/>
    <n v="5273.4000000000005"/>
    <n v="57.319999999999993"/>
  </r>
  <r>
    <x v="11"/>
    <x v="6"/>
    <x v="0"/>
    <s v="4811107"/>
    <n v="722000"/>
    <s v="Supplies-Freight Expense"/>
    <s v="Radiology-Silverdale"/>
    <x v="0"/>
    <m/>
    <n v="30.89"/>
    <n v="154.71"/>
    <n v="95.22"/>
    <n v="380.97"/>
    <n v="7.99"/>
    <n v="88.93"/>
    <n v="180.34"/>
    <n v="90.62"/>
    <n v="76.36"/>
    <n v="79.98"/>
    <n v="80.08"/>
    <n v="74.78"/>
    <n v="1340.87"/>
    <n v="5.2999999999999972"/>
  </r>
  <r>
    <x v="11"/>
    <x v="6"/>
    <x v="0"/>
    <s v="4811107"/>
    <n v="723000"/>
    <s v="Supply Rebates/Patronage Dividend"/>
    <s v="Radiology-Silverdale"/>
    <x v="0"/>
    <m/>
    <n v="0"/>
    <n v="0"/>
    <n v="0"/>
    <n v="0"/>
    <n v="0"/>
    <n v="-134.94999999999999"/>
    <n v="0"/>
    <n v="0"/>
    <n v="-172.73"/>
    <n v="0"/>
    <n v="0"/>
    <n v="0"/>
    <n v="-307.67999999999995"/>
    <n v="0"/>
  </r>
  <r>
    <x v="12"/>
    <x v="6"/>
    <x v="0"/>
    <s v="4811107"/>
    <n v="730010"/>
    <s v="Rental and Leases-Building (DO NOT USE)"/>
    <s v="Radiology-Silverdale"/>
    <x v="0"/>
    <m/>
    <n v="10199.16"/>
    <n v="10199.16"/>
    <n v="10199.16"/>
    <n v="10199.16"/>
    <n v="14100.83"/>
    <n v="-6875.06"/>
    <n v="7779.44"/>
    <n v="7779.44"/>
    <n v="7779.44"/>
    <n v="7781.38"/>
    <n v="7781.38"/>
    <n v="0"/>
    <n v="86923.49000000002"/>
    <n v="7781.38"/>
  </r>
  <r>
    <x v="12"/>
    <x v="6"/>
    <x v="0"/>
    <s v="4811107"/>
    <n v="730010"/>
    <s v="Rental-Common Area Maint (DO NOT USE)"/>
    <s v="Radiology-Silverdale"/>
    <x v="0"/>
    <n v="2200"/>
    <n v="0"/>
    <n v="0"/>
    <n v="0"/>
    <n v="0"/>
    <n v="0"/>
    <n v="17341.03"/>
    <n v="2686.53"/>
    <n v="2686.53"/>
    <n v="2686.53"/>
    <n v="2499.2199999999998"/>
    <n v="2499.2199999999998"/>
    <n v="0"/>
    <n v="30399.059999999998"/>
    <n v="2499.2199999999998"/>
  </r>
  <r>
    <x v="12"/>
    <x v="6"/>
    <x v="0"/>
    <s v="4811107"/>
    <n v="730020"/>
    <s v="Rental and Leases-Equipment (DO NOT USE)"/>
    <s v="Radiology-Silverdale"/>
    <x v="0"/>
    <m/>
    <n v="0"/>
    <n v="0"/>
    <n v="0"/>
    <n v="0"/>
    <n v="0"/>
    <n v="0"/>
    <n v="0"/>
    <n v="0"/>
    <n v="0"/>
    <n v="0"/>
    <n v="0"/>
    <n v="535.41"/>
    <n v="535.41"/>
    <n v="-535.41"/>
  </r>
  <r>
    <x v="12"/>
    <x v="6"/>
    <x v="0"/>
    <s v="4811107"/>
    <n v="730020"/>
    <s v="Rental and Leases-Copier Usage Fees (DO NOT USE)"/>
    <s v="Radiology-Silverdale"/>
    <x v="0"/>
    <n v="5100"/>
    <n v="0"/>
    <n v="0"/>
    <n v="0"/>
    <n v="0"/>
    <n v="0"/>
    <n v="0"/>
    <n v="307.75"/>
    <n v="56.94"/>
    <n v="56.82"/>
    <n v="74.150000000000006"/>
    <n v="56.94"/>
    <n v="63.75"/>
    <n v="616.34999999999991"/>
    <n v="-6.8100000000000023"/>
  </r>
  <r>
    <x v="12"/>
    <x v="6"/>
    <x v="0"/>
    <s v="4811107"/>
    <n v="730040"/>
    <s v="LT Lease-Real Estate"/>
    <s v="Radiology-Silverdale"/>
    <x v="0"/>
    <m/>
    <n v="0"/>
    <n v="0"/>
    <n v="0"/>
    <n v="0"/>
    <n v="0"/>
    <n v="0"/>
    <n v="0"/>
    <n v="0"/>
    <n v="0"/>
    <n v="0"/>
    <n v="0"/>
    <n v="9745.19"/>
    <n v="9745.19"/>
    <n v="-9745.19"/>
  </r>
  <r>
    <x v="15"/>
    <x v="6"/>
    <x v="0"/>
    <s v="4811107"/>
    <n v="731090"/>
    <s v="Other Utilities"/>
    <s v="Radiology-Silverdale"/>
    <x v="0"/>
    <m/>
    <n v="145.72"/>
    <n v="21.98"/>
    <n v="10.99"/>
    <n v="140.19999999999999"/>
    <n v="0"/>
    <n v="21.98"/>
    <n v="10.99"/>
    <n v="91.28"/>
    <n v="0"/>
    <n v="0"/>
    <n v="0"/>
    <n v="0"/>
    <n v="443.14"/>
    <n v="0"/>
  </r>
  <r>
    <x v="16"/>
    <x v="6"/>
    <x v="0"/>
    <s v="4811107"/>
    <n v="732020"/>
    <s v="Repairs--Clin Equip-Parts-Internal to CHI Programs"/>
    <s v="Radiology-Silverdale"/>
    <x v="0"/>
    <m/>
    <n v="0"/>
    <n v="0"/>
    <n v="0"/>
    <n v="0"/>
    <n v="0"/>
    <n v="0"/>
    <n v="0"/>
    <n v="18.899999999999999"/>
    <n v="0"/>
    <n v="0"/>
    <n v="0"/>
    <n v="0"/>
    <n v="18.899999999999999"/>
    <n v="0"/>
  </r>
  <r>
    <x v="16"/>
    <x v="6"/>
    <x v="0"/>
    <s v="4811107"/>
    <n v="732030"/>
    <s v="Repairs---Other"/>
    <s v="Radiology-Silverdale"/>
    <x v="0"/>
    <m/>
    <n v="0"/>
    <n v="1230.5"/>
    <n v="0"/>
    <n v="0"/>
    <n v="0"/>
    <n v="0"/>
    <n v="0"/>
    <n v="0"/>
    <n v="1956.16"/>
    <n v="102.14"/>
    <n v="24239.87"/>
    <n v="-24239.86"/>
    <n v="3288.8099999999977"/>
    <n v="48479.729999999996"/>
  </r>
  <r>
    <x v="16"/>
    <x v="6"/>
    <x v="0"/>
    <s v="4811107"/>
    <n v="732030"/>
    <s v="Repairs&amp;Maintenance-Bldg Routine"/>
    <s v="Radiology-Silverdale"/>
    <x v="0"/>
    <n v="2300"/>
    <n v="0"/>
    <n v="1305.1199999999999"/>
    <n v="598.33000000000004"/>
    <n v="598.33000000000004"/>
    <n v="706.79"/>
    <n v="0"/>
    <n v="1246.6600000000001"/>
    <n v="1305.1199999999999"/>
    <n v="0"/>
    <n v="1196.6600000000001"/>
    <n v="598.33000000000004"/>
    <n v="598.33000000000004"/>
    <n v="8153.6699999999992"/>
    <n v="0"/>
  </r>
  <r>
    <x v="16"/>
    <x v="6"/>
    <x v="0"/>
    <s v="4811107"/>
    <n v="733030"/>
    <s v="Maintenance Contracts-Software"/>
    <s v="Radiology-Silverdale"/>
    <x v="0"/>
    <n v="1002"/>
    <n v="54.89"/>
    <n v="137.22"/>
    <n v="1509.83"/>
    <n v="109.78"/>
    <n v="54.89"/>
    <n v="54.89"/>
    <n v="167.49"/>
    <n v="109.78"/>
    <n v="54.89"/>
    <n v="0"/>
    <n v="194.46"/>
    <n v="104.25"/>
    <n v="2552.3700000000003"/>
    <n v="90.210000000000008"/>
  </r>
  <r>
    <x v="13"/>
    <x v="6"/>
    <x v="0"/>
    <s v="4811107"/>
    <n v="735070"/>
    <s v="Depreciation-Movable Equipment"/>
    <s v="Radiology-Silverdale"/>
    <x v="0"/>
    <m/>
    <n v="4987.37"/>
    <n v="4987.37"/>
    <n v="4987.38"/>
    <n v="4987.37"/>
    <n v="4987.3999999999996"/>
    <n v="4987.3599999999997"/>
    <n v="4987.41"/>
    <n v="4987.3599999999997"/>
    <n v="4987.41"/>
    <n v="4987.3599999999997"/>
    <n v="4987.42"/>
    <n v="4987.3599999999997"/>
    <n v="59848.570000000007"/>
    <n v="6.0000000000400178E-2"/>
  </r>
  <r>
    <x v="0"/>
    <x v="6"/>
    <x v="0"/>
    <s v="4811107"/>
    <n v="749510"/>
    <s v="Miscellaneous Expenses"/>
    <s v="Radiology-Silverdale"/>
    <x v="0"/>
    <m/>
    <n v="29.8"/>
    <n v="0"/>
    <n v="0"/>
    <n v="0"/>
    <n v="0"/>
    <n v="0"/>
    <n v="0"/>
    <n v="0"/>
    <n v="0"/>
    <n v="0"/>
    <n v="0"/>
    <n v="30.03"/>
    <n v="59.83"/>
    <n v="-30.03"/>
  </r>
  <r>
    <x v="0"/>
    <x v="6"/>
    <x v="0"/>
    <s v="4811107"/>
    <n v="749510"/>
    <s v="Licenses"/>
    <s v="Radiology-Silverdale"/>
    <x v="0"/>
    <n v="1002"/>
    <n v="0"/>
    <n v="0"/>
    <n v="0"/>
    <n v="0"/>
    <n v="0"/>
    <n v="0"/>
    <n v="0"/>
    <n v="0"/>
    <n v="0"/>
    <n v="0"/>
    <n v="150"/>
    <n v="0"/>
    <n v="150"/>
    <n v="150"/>
  </r>
  <r>
    <x v="18"/>
    <x v="3"/>
    <x v="0"/>
    <s v="4812101"/>
    <n v="400010"/>
    <s v="Acute I/P Svcs Rev--Medicare"/>
    <s v="Radiology-Interventional"/>
    <x v="0"/>
    <n v="1100"/>
    <n v="-454324.24"/>
    <n v="-1141204.83"/>
    <n v="-1314027.3600000001"/>
    <n v="-1467160.9"/>
    <n v="-1314109.8999999999"/>
    <n v="-1167903.96"/>
    <n v="-1161916.07"/>
    <n v="-712908.9"/>
    <n v="-1863744.08"/>
    <n v="-1263799.3"/>
    <n v="-1253677.17"/>
    <n v="-1371358.66"/>
    <n v="-14486135.370000001"/>
    <n v="117681.48999999999"/>
  </r>
  <r>
    <x v="18"/>
    <x v="3"/>
    <x v="0"/>
    <s v="4812101"/>
    <n v="400010"/>
    <s v="Acute I/P Svcs Rev--Medicaid"/>
    <s v="Radiology-Interventional"/>
    <x v="0"/>
    <n v="1200"/>
    <n v="-205712.3"/>
    <n v="-110148.28"/>
    <n v="-289543.40000000002"/>
    <n v="-698139.86"/>
    <n v="-189584.47"/>
    <n v="-347843.76"/>
    <n v="-410605.18"/>
    <n v="-703839.41"/>
    <n v="-584297.71"/>
    <n v="-610760.71"/>
    <n v="-918872.38"/>
    <n v="-586022.73"/>
    <n v="-5655370.1899999995"/>
    <n v="-332849.65000000002"/>
  </r>
  <r>
    <x v="18"/>
    <x v="3"/>
    <x v="0"/>
    <s v="4812101"/>
    <n v="400010"/>
    <s v="Acute I/P Svcs Rev--Comm Insurance"/>
    <s v="Radiology-Interventional"/>
    <x v="0"/>
    <n v="1300"/>
    <n v="-30887.91"/>
    <n v="-88958.96"/>
    <n v="61033.23"/>
    <n v="-89634.89"/>
    <n v="-4715.8500000000004"/>
    <n v="0"/>
    <n v="-4179.33"/>
    <n v="0"/>
    <n v="0"/>
    <n v="-82033.67"/>
    <n v="-16045.32"/>
    <n v="67528.72"/>
    <n v="-187893.98"/>
    <n v="-83574.040000000008"/>
  </r>
  <r>
    <x v="18"/>
    <x v="3"/>
    <x v="0"/>
    <s v="4812101"/>
    <n v="400010"/>
    <s v="Acute I/P Svcs Rev--BCBS Comm"/>
    <s v="Radiology-Interventional"/>
    <x v="0"/>
    <n v="1301"/>
    <n v="4045.04"/>
    <n v="-12530.73"/>
    <n v="-42225.67"/>
    <n v="-96092.97"/>
    <n v="-90047.29"/>
    <n v="-142473.14000000001"/>
    <n v="-103424.64"/>
    <n v="11839.36"/>
    <n v="-78013.37"/>
    <n v="-141388.64000000001"/>
    <n v="-169359.55"/>
    <n v="-172970.54"/>
    <n v="-1032642.1400000001"/>
    <n v="3610.9900000000198"/>
  </r>
  <r>
    <x v="18"/>
    <x v="3"/>
    <x v="0"/>
    <s v="4812101"/>
    <n v="400010"/>
    <s v="Acute I/P Svcs Rev--Managed Care"/>
    <s v="Radiology-Interventional"/>
    <x v="0"/>
    <n v="1400"/>
    <n v="-168746.55"/>
    <n v="-350087.44"/>
    <n v="-247309.29"/>
    <n v="-448190.31"/>
    <n v="-135534.76999999999"/>
    <n v="-539039.85"/>
    <n v="-494035.07"/>
    <n v="-443384.96"/>
    <n v="-381854.13"/>
    <n v="-398260.27"/>
    <n v="-701506.33"/>
    <n v="-570799.26"/>
    <n v="-4878748.2299999995"/>
    <n v="-130707.06999999995"/>
  </r>
  <r>
    <x v="18"/>
    <x v="3"/>
    <x v="0"/>
    <s v="4812101"/>
    <n v="400010"/>
    <s v="Acute I/P Svcs Rev--Self Pay"/>
    <s v="Radiology-Interventional"/>
    <x v="0"/>
    <n v="1500"/>
    <n v="-3723.74"/>
    <n v="-217.19"/>
    <n v="-82290.210000000006"/>
    <n v="17696.2"/>
    <n v="-117488.56"/>
    <n v="-151089.24"/>
    <n v="-66761.62"/>
    <n v="45273.1"/>
    <n v="-3662.12"/>
    <n v="-25833.4"/>
    <n v="-5498.43"/>
    <n v="-10908.33"/>
    <n v="-404503.54000000004"/>
    <n v="5409.9"/>
  </r>
  <r>
    <x v="18"/>
    <x v="3"/>
    <x v="0"/>
    <s v="4812101"/>
    <n v="400010"/>
    <s v="Acute I/P Svcs Rev--Other"/>
    <s v="Radiology-Interventional"/>
    <x v="0"/>
    <n v="1700"/>
    <n v="63940.14"/>
    <n v="-150674.32"/>
    <n v="-71366.02"/>
    <n v="12006.4"/>
    <n v="-8191.91"/>
    <n v="-4307.16"/>
    <n v="-97615.27"/>
    <n v="-81905.61"/>
    <n v="-209266.88"/>
    <n v="-233042.93"/>
    <n v="-84557.3"/>
    <n v="265.17"/>
    <n v="-864715.69000000006"/>
    <n v="-84822.47"/>
  </r>
  <r>
    <x v="19"/>
    <x v="3"/>
    <x v="0"/>
    <s v="4812101"/>
    <n v="400020"/>
    <s v="O/P Care Svcs Rev--Medicare"/>
    <s v="Radiology-Interventional"/>
    <x v="0"/>
    <n v="1100"/>
    <n v="-331947.26"/>
    <n v="-549048.30000000005"/>
    <n v="-794889.42"/>
    <n v="-935482.22"/>
    <n v="-630623.43999999994"/>
    <n v="-587565.97"/>
    <n v="-1011644.67"/>
    <n v="-647332.75"/>
    <n v="-767967.12"/>
    <n v="-645099"/>
    <n v="-768889.37"/>
    <n v="-942960.75"/>
    <n v="-8613450.2699999996"/>
    <n v="174071.38"/>
  </r>
  <r>
    <x v="19"/>
    <x v="3"/>
    <x v="0"/>
    <s v="4812101"/>
    <n v="400020"/>
    <s v="O/P Care Svcs Rev--Medicaid"/>
    <s v="Radiology-Interventional"/>
    <x v="0"/>
    <n v="1200"/>
    <n v="-44047.38"/>
    <n v="-27248.37"/>
    <n v="-233625.62"/>
    <n v="-210798"/>
    <n v="-101781.35"/>
    <n v="-88906.66"/>
    <n v="-245539.83"/>
    <n v="-158195.66"/>
    <n v="-21437.37"/>
    <n v="-198473.05"/>
    <n v="-73380.52"/>
    <n v="-124887.33"/>
    <n v="-1528321.1400000001"/>
    <n v="51506.81"/>
  </r>
  <r>
    <x v="19"/>
    <x v="3"/>
    <x v="0"/>
    <s v="4812101"/>
    <n v="400020"/>
    <s v="O/P Care Svcs Rev--Comm Insurance"/>
    <s v="Radiology-Interventional"/>
    <x v="0"/>
    <n v="1300"/>
    <n v="-11429.71"/>
    <n v="-64812.99"/>
    <n v="-210176.57"/>
    <n v="-7237.5"/>
    <n v="-34791.47"/>
    <n v="-3085.06"/>
    <n v="-434.38"/>
    <n v="-11529.42"/>
    <n v="-92753.47"/>
    <n v="-21740.58"/>
    <n v="-86001.1"/>
    <n v="-3697.25"/>
    <n v="-547689.5"/>
    <n v="-82303.850000000006"/>
  </r>
  <r>
    <x v="19"/>
    <x v="3"/>
    <x v="0"/>
    <s v="4812101"/>
    <n v="400020"/>
    <s v="O/P Care Svcs Rev--BCBS Comm"/>
    <s v="Radiology-Interventional"/>
    <x v="0"/>
    <n v="1301"/>
    <n v="-13089.75"/>
    <n v="-4512.68"/>
    <n v="-33860.550000000003"/>
    <n v="-218757.12"/>
    <n v="-126767.65"/>
    <n v="27102.11"/>
    <n v="-26688.33"/>
    <n v="-1406.98"/>
    <n v="-49814.59"/>
    <n v="-102588.76"/>
    <n v="-59158.41"/>
    <n v="-42982.239999999998"/>
    <n v="-652524.95000000007"/>
    <n v="-16176.170000000006"/>
  </r>
  <r>
    <x v="19"/>
    <x v="3"/>
    <x v="0"/>
    <s v="4812101"/>
    <n v="400020"/>
    <s v="O/P Care Svcs Rev--Managed Care"/>
    <s v="Radiology-Interventional"/>
    <x v="0"/>
    <n v="1400"/>
    <n v="-53424.37"/>
    <n v="-176665.1"/>
    <n v="-534556.29"/>
    <n v="-453517.67"/>
    <n v="-279072.12"/>
    <n v="-449845.59"/>
    <n v="-326502.43"/>
    <n v="-583540.05000000005"/>
    <n v="-429231.71"/>
    <n v="-247936.02"/>
    <n v="-426335.81"/>
    <n v="-116650.21"/>
    <n v="-4077277.37"/>
    <n v="-309685.59999999998"/>
  </r>
  <r>
    <x v="19"/>
    <x v="3"/>
    <x v="0"/>
    <s v="4812101"/>
    <n v="400020"/>
    <s v="O/P Care Svcs Rev--Self Pay"/>
    <s v="Radiology-Interventional"/>
    <x v="0"/>
    <n v="1500"/>
    <n v="0"/>
    <n v="-6844.16"/>
    <n v="-7751.16"/>
    <n v="-3599.52"/>
    <n v="-9704.91"/>
    <n v="-65476.68"/>
    <n v="25920.21"/>
    <n v="-2557.79"/>
    <n v="40993.120000000003"/>
    <n v="-17155.009999999998"/>
    <n v="-37870.35"/>
    <n v="-56967.27"/>
    <n v="-141013.51999999999"/>
    <n v="19096.919999999998"/>
  </r>
  <r>
    <x v="19"/>
    <x v="3"/>
    <x v="0"/>
    <s v="4812101"/>
    <n v="400020"/>
    <s v="O/P Care Svcs Rev--Other"/>
    <s v="Radiology-Interventional"/>
    <x v="0"/>
    <n v="1700"/>
    <n v="-3340"/>
    <n v="-108716.62"/>
    <n v="-78913.740000000005"/>
    <n v="-3123.35"/>
    <n v="-10451.25"/>
    <n v="-32031.66"/>
    <n v="-9748.2099999999991"/>
    <n v="-3971.12"/>
    <n v="-67145.17"/>
    <n v="-26689.93"/>
    <n v="-63361.59"/>
    <n v="-3630"/>
    <n v="-411122.64"/>
    <n v="-59731.59"/>
  </r>
  <r>
    <x v="5"/>
    <x v="3"/>
    <x v="0"/>
    <s v="4812101"/>
    <n v="700026"/>
    <s v="Salaries-RN-Productive"/>
    <s v="Radiology-Interventional"/>
    <x v="0"/>
    <m/>
    <n v="38663.040000000001"/>
    <n v="47467.03"/>
    <n v="44587.48"/>
    <n v="51292.12"/>
    <n v="48420.74"/>
    <n v="51519.72"/>
    <n v="52345.5"/>
    <n v="41057.410000000003"/>
    <n v="54180.84"/>
    <n v="49866.2"/>
    <n v="51024.82"/>
    <n v="47726.27"/>
    <n v="578151.17000000004"/>
    <n v="3298.5500000000029"/>
  </r>
  <r>
    <x v="5"/>
    <x v="3"/>
    <x v="0"/>
    <s v="4812101"/>
    <n v="700026"/>
    <s v="Salaries-RN-OT"/>
    <s v="Radiology-Interventional"/>
    <x v="0"/>
    <n v="1000"/>
    <n v="3097.35"/>
    <n v="3042.14"/>
    <n v="7101.4"/>
    <n v="2319.23"/>
    <n v="9070.3799999999992"/>
    <n v="2945.97"/>
    <n v="4673.05"/>
    <n v="2980.07"/>
    <n v="5710.61"/>
    <n v="4188.75"/>
    <n v="5697.13"/>
    <n v="5298.18"/>
    <n v="56124.26"/>
    <n v="398.94999999999982"/>
  </r>
  <r>
    <x v="5"/>
    <x v="3"/>
    <x v="0"/>
    <s v="4812101"/>
    <n v="700026"/>
    <s v="Salaries-RN-Other"/>
    <s v="Radiology-Interventional"/>
    <x v="0"/>
    <n v="2000"/>
    <n v="4230.55"/>
    <n v="4386.63"/>
    <n v="4309.1400000000003"/>
    <n v="4501.46"/>
    <n v="4438.37"/>
    <n v="4607.55"/>
    <n v="4354.4799999999996"/>
    <n v="4192.57"/>
    <n v="12669.47"/>
    <n v="1903.13"/>
    <n v="4934.25"/>
    <n v="4808.6400000000003"/>
    <n v="59336.24"/>
    <n v="125.60999999999967"/>
  </r>
  <r>
    <x v="5"/>
    <x v="3"/>
    <x v="0"/>
    <s v="4812101"/>
    <n v="700034"/>
    <s v="Salaries-Tech/Professional-Productive"/>
    <s v="Radiology-Interventional"/>
    <x v="0"/>
    <m/>
    <n v="33679.97"/>
    <n v="38494"/>
    <n v="37544.32"/>
    <n v="34056.620000000003"/>
    <n v="32453.25"/>
    <n v="41115.4"/>
    <n v="48055.13"/>
    <n v="33564.089999999997"/>
    <n v="42446.49"/>
    <n v="36559.03"/>
    <n v="44832.2"/>
    <n v="33850.800000000003"/>
    <n v="456651.30000000005"/>
    <n v="10981.399999999994"/>
  </r>
  <r>
    <x v="5"/>
    <x v="3"/>
    <x v="0"/>
    <s v="4812101"/>
    <n v="700034"/>
    <s v="Salaries-Tech/Professional-OT"/>
    <s v="Radiology-Interventional"/>
    <x v="0"/>
    <n v="1000"/>
    <n v="970.06"/>
    <n v="1990.37"/>
    <n v="2729.41"/>
    <n v="1517.25"/>
    <n v="4464.46"/>
    <n v="2591.3200000000002"/>
    <n v="3510.06"/>
    <n v="1692.84"/>
    <n v="5188.54"/>
    <n v="2224.06"/>
    <n v="2762.09"/>
    <n v="3584.02"/>
    <n v="33224.480000000003"/>
    <n v="-821.92999999999984"/>
  </r>
  <r>
    <x v="5"/>
    <x v="3"/>
    <x v="0"/>
    <s v="4812101"/>
    <n v="700034"/>
    <s v="Salaries-Tech/Professional-Other"/>
    <s v="Radiology-Interventional"/>
    <x v="0"/>
    <n v="2000"/>
    <n v="4149.34"/>
    <n v="3725.37"/>
    <n v="4019.58"/>
    <n v="4392.75"/>
    <n v="4208.46"/>
    <n v="4778.3599999999997"/>
    <n v="5464.5"/>
    <n v="4349.5"/>
    <n v="3634.33"/>
    <n v="4120.8"/>
    <n v="3635.15"/>
    <n v="3251.78"/>
    <n v="49729.920000000006"/>
    <n v="383.36999999999989"/>
  </r>
  <r>
    <x v="5"/>
    <x v="3"/>
    <x v="0"/>
    <s v="4812101"/>
    <n v="700054"/>
    <s v="Salaries-Management-NonProd-Other"/>
    <s v="Radiology-Interventional"/>
    <x v="0"/>
    <n v="2000"/>
    <n v="0"/>
    <n v="0"/>
    <n v="0"/>
    <n v="0"/>
    <n v="0"/>
    <n v="674.69"/>
    <n v="-674.69"/>
    <n v="0"/>
    <n v="0"/>
    <n v="0"/>
    <n v="0"/>
    <n v="0"/>
    <n v="0"/>
    <n v="0"/>
  </r>
  <r>
    <x v="5"/>
    <x v="3"/>
    <x v="0"/>
    <s v="4812101"/>
    <n v="700066"/>
    <s v="Salaries-RN-Non-productive"/>
    <s v="Radiology-Interventional"/>
    <x v="0"/>
    <m/>
    <n v="15523.55"/>
    <n v="7364.67"/>
    <n v="8518.7800000000007"/>
    <n v="3492.78"/>
    <n v="6037.65"/>
    <n v="5378.66"/>
    <n v="4143.38"/>
    <n v="7838.14"/>
    <n v="975.21"/>
    <n v="3764.54"/>
    <n v="8403.59"/>
    <n v="8689.26"/>
    <n v="80130.209999999992"/>
    <n v="-285.67000000000007"/>
  </r>
  <r>
    <x v="5"/>
    <x v="3"/>
    <x v="0"/>
    <s v="4812101"/>
    <n v="700066"/>
    <s v="Salaries-RN-NonProd-Other"/>
    <s v="Radiology-Interventional"/>
    <x v="0"/>
    <n v="2000"/>
    <n v="1288.3499999999999"/>
    <n v="974.21"/>
    <n v="956.22"/>
    <n v="1443.36"/>
    <n v="2193.02"/>
    <n v="1747.88"/>
    <n v="1420.07"/>
    <n v="-855.27"/>
    <n v="1652.95"/>
    <n v="742.99"/>
    <n v="1180.8800000000001"/>
    <n v="1378.65"/>
    <n v="14123.31"/>
    <n v="-197.76999999999998"/>
  </r>
  <r>
    <x v="5"/>
    <x v="3"/>
    <x v="0"/>
    <s v="4812101"/>
    <n v="700074"/>
    <s v="Salaries-Tech/Professional-Non-productive"/>
    <s v="Radiology-Interventional"/>
    <x v="0"/>
    <m/>
    <n v="11881.9"/>
    <n v="4803.75"/>
    <n v="5245.78"/>
    <n v="2752.91"/>
    <n v="8750.82"/>
    <n v="2563.69"/>
    <n v="2252.31"/>
    <n v="8141.26"/>
    <n v="-850.16"/>
    <n v="3596.69"/>
    <n v="1071.45"/>
    <n v="3684.37"/>
    <n v="53894.770000000004"/>
    <n v="-2612.92"/>
  </r>
  <r>
    <x v="5"/>
    <x v="3"/>
    <x v="0"/>
    <s v="4812101"/>
    <n v="700074"/>
    <s v="Salaries-Tech/Professional-NonProd-Other"/>
    <s v="Radiology-Interventional"/>
    <x v="0"/>
    <n v="2000"/>
    <n v="1466.33"/>
    <n v="1051.5899999999999"/>
    <n v="1166.0899999999999"/>
    <n v="1942.53"/>
    <n v="1720.59"/>
    <n v="1248.08"/>
    <n v="1775.9"/>
    <n v="844.39"/>
    <n v="1961.21"/>
    <n v="1165.8699999999999"/>
    <n v="881.47"/>
    <n v="1364.28"/>
    <n v="16588.329999999998"/>
    <n v="-482.80999999999995"/>
  </r>
  <r>
    <x v="5"/>
    <x v="3"/>
    <x v="0"/>
    <s v="4812101"/>
    <n v="700084"/>
    <s v="Accrued PTO"/>
    <s v="Radiology-Interventional"/>
    <x v="0"/>
    <m/>
    <n v="-13261.76"/>
    <n v="7.25"/>
    <n v="-2641.26"/>
    <n v="3830.91"/>
    <n v="3056.82"/>
    <n v="4433.17"/>
    <n v="5354.77"/>
    <n v="-1121.8900000000001"/>
    <n v="13928.45"/>
    <n v="2712.4"/>
    <n v="-1209.1600000000001"/>
    <n v="-2278.2600000000002"/>
    <n v="12811.44"/>
    <n v="1069.1000000000001"/>
  </r>
  <r>
    <x v="10"/>
    <x v="3"/>
    <x v="0"/>
    <s v="4812101"/>
    <n v="710060"/>
    <s v="Contract Labor-Other"/>
    <s v="Radiology-Interventional"/>
    <x v="0"/>
    <m/>
    <n v="0"/>
    <n v="0"/>
    <n v="0"/>
    <n v="0"/>
    <n v="0"/>
    <n v="0"/>
    <n v="0"/>
    <n v="0"/>
    <n v="0"/>
    <n v="0"/>
    <n v="14360"/>
    <n v="0"/>
    <n v="14360"/>
    <n v="14360"/>
  </r>
  <r>
    <x v="10"/>
    <x v="3"/>
    <x v="0"/>
    <s v="4812101"/>
    <n v="710060"/>
    <s v="Contract Labor-Overtime"/>
    <s v="Radiology-Interventional"/>
    <x v="0"/>
    <n v="5100"/>
    <n v="0"/>
    <n v="0"/>
    <n v="0"/>
    <n v="0"/>
    <n v="0"/>
    <n v="0"/>
    <n v="0"/>
    <n v="0"/>
    <n v="0"/>
    <n v="0"/>
    <n v="1917"/>
    <n v="0"/>
    <n v="1917"/>
    <n v="1917"/>
  </r>
  <r>
    <x v="10"/>
    <x v="3"/>
    <x v="0"/>
    <s v="4812101"/>
    <n v="710060"/>
    <s v="Contract Labor-Standby Wages"/>
    <s v="Radiology-Interventional"/>
    <x v="0"/>
    <n v="5101"/>
    <n v="0"/>
    <n v="0"/>
    <n v="0"/>
    <n v="0"/>
    <n v="0"/>
    <n v="0"/>
    <n v="0"/>
    <n v="0"/>
    <n v="0"/>
    <n v="0"/>
    <n v="1164"/>
    <n v="0"/>
    <n v="1164"/>
    <n v="1164"/>
  </r>
  <r>
    <x v="6"/>
    <x v="3"/>
    <x v="0"/>
    <s v="4812101"/>
    <n v="713010"/>
    <s v="Benefits-FICA/Medicare"/>
    <s v="Radiology-Interventional"/>
    <x v="0"/>
    <m/>
    <n v="8517.69"/>
    <n v="8422.06"/>
    <n v="8656.07"/>
    <n v="7138.7"/>
    <n v="7587.79"/>
    <n v="6897.14"/>
    <n v="9606.01"/>
    <n v="7877.57"/>
    <n v="10710.3"/>
    <n v="8059.6"/>
    <n v="9299.75"/>
    <n v="8590.18"/>
    <n v="101362.86000000002"/>
    <n v="709.56999999999971"/>
  </r>
  <r>
    <x v="6"/>
    <x v="3"/>
    <x v="0"/>
    <s v="4812101"/>
    <n v="713090"/>
    <s v="Benefits-Allocated Amounts"/>
    <s v="Radiology-Interventional"/>
    <x v="0"/>
    <m/>
    <n v="17830.63"/>
    <n v="17057.38"/>
    <n v="18403.86"/>
    <n v="16767.400000000001"/>
    <n v="18635.04"/>
    <n v="18358.39"/>
    <n v="20696.88"/>
    <n v="18516.95"/>
    <n v="16082.92"/>
    <n v="18055.71"/>
    <n v="20590.05"/>
    <n v="18663.240000000002"/>
    <n v="219658.44999999998"/>
    <n v="1926.8099999999977"/>
  </r>
  <r>
    <x v="7"/>
    <x v="3"/>
    <x v="0"/>
    <s v="4812101"/>
    <n v="718050"/>
    <s v="Contract Svcs-Other"/>
    <s v="Radiology-Interventional"/>
    <x v="0"/>
    <m/>
    <n v="0"/>
    <n v="0"/>
    <n v="68.040000000000006"/>
    <n v="217.13"/>
    <n v="0"/>
    <n v="0"/>
    <n v="0"/>
    <n v="0"/>
    <n v="0"/>
    <n v="0"/>
    <n v="0"/>
    <n v="0"/>
    <n v="285.17"/>
    <n v="0"/>
  </r>
  <r>
    <x v="7"/>
    <x v="3"/>
    <x v="0"/>
    <s v="4812101"/>
    <n v="718050"/>
    <s v="Miscellaneous Purchased Svcs"/>
    <s v="Radiology-Interventional"/>
    <x v="0"/>
    <n v="1020"/>
    <n v="0"/>
    <n v="0"/>
    <n v="16.03"/>
    <n v="0"/>
    <n v="235.62"/>
    <n v="137.61000000000001"/>
    <n v="0.2"/>
    <n v="0"/>
    <n v="10"/>
    <n v="0"/>
    <n v="0"/>
    <n v="0"/>
    <n v="399.46"/>
    <n v="0"/>
  </r>
  <r>
    <x v="7"/>
    <x v="3"/>
    <x v="0"/>
    <s v="4812101"/>
    <n v="718050"/>
    <s v="Translation Services"/>
    <s v="Radiology-Interventional"/>
    <x v="0"/>
    <n v="1025"/>
    <n v="0"/>
    <n v="3543.93"/>
    <n v="3730.95"/>
    <n v="1880.92"/>
    <n v="0"/>
    <n v="2272.83"/>
    <n v="3247.18"/>
    <n v="0"/>
    <n v="1159.74"/>
    <n v="0"/>
    <n v="1342.23"/>
    <n v="2573.0300000000002"/>
    <n v="19750.809999999998"/>
    <n v="-1230.8000000000002"/>
  </r>
  <r>
    <x v="7"/>
    <x v="3"/>
    <x v="0"/>
    <s v="4812101"/>
    <n v="718050"/>
    <s v="Contract Management--Linen"/>
    <s v="Radiology-Interventional"/>
    <x v="0"/>
    <n v="1026"/>
    <n v="658.11"/>
    <n v="760.06"/>
    <n v="745.3"/>
    <n v="1142.71"/>
    <n v="937.77"/>
    <n v="907.02"/>
    <n v="1028.4100000000001"/>
    <n v="1137.3900000000001"/>
    <n v="1205.45"/>
    <n v="1066.42"/>
    <n v="1046.1600000000001"/>
    <n v="1183.1300000000001"/>
    <n v="11817.93"/>
    <n v="-136.97000000000003"/>
  </r>
  <r>
    <x v="7"/>
    <x v="3"/>
    <x v="0"/>
    <s v="4812101"/>
    <n v="718070"/>
    <s v="Contract Srvcs-CHI Clinical Engineering"/>
    <s v="Radiology-Interventional"/>
    <x v="0"/>
    <m/>
    <n v="16471.16"/>
    <n v="8078.56"/>
    <n v="8078.56"/>
    <n v="-1571.4"/>
    <n v="8086.92"/>
    <n v="7427.72"/>
    <n v="8750.6200000000008"/>
    <n v="8089.17"/>
    <n v="8089.17"/>
    <n v="8089.17"/>
    <n v="8095.72"/>
    <n v="8095.72"/>
    <n v="95781.090000000011"/>
    <n v="0"/>
  </r>
  <r>
    <x v="7"/>
    <x v="3"/>
    <x v="0"/>
    <s v="4812101"/>
    <n v="718091"/>
    <s v="Contract Services-Intracompany Allocation"/>
    <s v="Radiology-Interventional"/>
    <x v="0"/>
    <m/>
    <n v="19945.93"/>
    <n v="23434.2"/>
    <n v="17648.29"/>
    <n v="25981.45"/>
    <n v="20409.59"/>
    <n v="28177.61"/>
    <n v="27163.31"/>
    <n v="26940.58"/>
    <n v="28157.59"/>
    <n v="11090.47"/>
    <n v="29344.37"/>
    <n v="23614.39"/>
    <n v="281907.78000000003"/>
    <n v="5729.98"/>
  </r>
  <r>
    <x v="11"/>
    <x v="3"/>
    <x v="0"/>
    <s v="4812101"/>
    <n v="721010"/>
    <s v="Supplies-Medical - Billable"/>
    <s v="Radiology-Interventional"/>
    <x v="0"/>
    <m/>
    <n v="12114.78"/>
    <n v="12593.02"/>
    <n v="10342.98"/>
    <n v="10537.89"/>
    <n v="7730.74"/>
    <n v="20743.990000000002"/>
    <n v="20704.05"/>
    <n v="7435.49"/>
    <n v="22227.07"/>
    <n v="15649.93"/>
    <n v="16160.09"/>
    <n v="16891.95"/>
    <n v="173131.98"/>
    <n v="-731.86000000000058"/>
  </r>
  <r>
    <x v="11"/>
    <x v="3"/>
    <x v="0"/>
    <s v="4812101"/>
    <n v="721010"/>
    <s v="Patient Monitoring"/>
    <s v="Radiology-Interventional"/>
    <x v="0"/>
    <n v="1000"/>
    <n v="134.13999999999999"/>
    <n v="548.54"/>
    <n v="1133.19"/>
    <n v="713.04"/>
    <n v="1018.31"/>
    <n v="738.5"/>
    <n v="1056.96"/>
    <n v="141.82"/>
    <n v="1190.1199999999999"/>
    <n v="497.89"/>
    <n v="1586.4"/>
    <n v="840.35"/>
    <n v="9599.26"/>
    <n v="746.05000000000007"/>
  </r>
  <r>
    <x v="11"/>
    <x v="3"/>
    <x v="0"/>
    <s v="4812101"/>
    <n v="721020"/>
    <s v="Supplies-Surgical - Billable"/>
    <s v="Radiology-Interventional"/>
    <x v="0"/>
    <m/>
    <n v="963.38"/>
    <n v="907.67"/>
    <n v="2242.13"/>
    <n v="1759.83"/>
    <n v="990.8"/>
    <n v="857.44"/>
    <n v="1639.31"/>
    <n v="784.92"/>
    <n v="1333.47"/>
    <n v="11506.02"/>
    <n v="18865.400000000001"/>
    <n v="5429.15"/>
    <n v="47279.520000000004"/>
    <n v="13436.250000000002"/>
  </r>
  <r>
    <x v="11"/>
    <x v="3"/>
    <x v="0"/>
    <s v="4812101"/>
    <n v="721020"/>
    <s v="Custom Packs"/>
    <s v="Radiology-Interventional"/>
    <x v="0"/>
    <n v="1000"/>
    <n v="4418.57"/>
    <n v="7006.75"/>
    <n v="6645.17"/>
    <n v="7418.92"/>
    <n v="7633.92"/>
    <n v="6760.62"/>
    <n v="6670.15"/>
    <n v="5251.69"/>
    <n v="7219.37"/>
    <n v="7810.98"/>
    <n v="6487.39"/>
    <n v="6914.28"/>
    <n v="80237.81"/>
    <n v="-426.88999999999942"/>
  </r>
  <r>
    <x v="11"/>
    <x v="3"/>
    <x v="0"/>
    <s v="4812101"/>
    <n v="721020"/>
    <s v="Suture/Wound Closure"/>
    <s v="Radiology-Interventional"/>
    <x v="0"/>
    <n v="1001"/>
    <n v="528.72"/>
    <n v="482.9"/>
    <n v="152.07"/>
    <n v="512.25"/>
    <n v="512.51"/>
    <n v="680.17"/>
    <n v="646.65"/>
    <n v="366.04"/>
    <n v="1173.5999999999999"/>
    <n v="739.26"/>
    <n v="817.79"/>
    <n v="892.73"/>
    <n v="7504.6900000000005"/>
    <n v="-74.940000000000055"/>
  </r>
  <r>
    <x v="11"/>
    <x v="3"/>
    <x v="0"/>
    <s v="4812101"/>
    <n v="721020"/>
    <s v="Endomechanical Supplies &amp; Instruments"/>
    <s v="Radiology-Interventional"/>
    <x v="0"/>
    <n v="1003"/>
    <n v="792.13"/>
    <n v="1249"/>
    <n v="323.13"/>
    <n v="520"/>
    <n v="208"/>
    <n v="1110.3699999999999"/>
    <n v="439.4"/>
    <n v="422.24"/>
    <n v="422.24"/>
    <n v="274.83999999999997"/>
    <n v="2129.3200000000002"/>
    <n v="995.24"/>
    <n v="8885.91"/>
    <n v="1134.0800000000002"/>
  </r>
  <r>
    <x v="11"/>
    <x v="3"/>
    <x v="0"/>
    <s v="4812101"/>
    <n v="721020"/>
    <s v="Bone Cement &amp; Supplies"/>
    <s v="Radiology-Interventional"/>
    <x v="0"/>
    <n v="1004"/>
    <n v="234.58"/>
    <n v="469.16"/>
    <n v="0"/>
    <n v="4731.8100000000004"/>
    <n v="12572.06"/>
    <n v="253.96"/>
    <n v="-43.04"/>
    <n v="0"/>
    <n v="0"/>
    <n v="0"/>
    <n v="213.06"/>
    <n v="0"/>
    <n v="18431.59"/>
    <n v="213.06"/>
  </r>
  <r>
    <x v="11"/>
    <x v="3"/>
    <x v="0"/>
    <s v="4812101"/>
    <n v="721020"/>
    <s v="Urological Supplies"/>
    <s v="Radiology-Interventional"/>
    <x v="0"/>
    <n v="1006"/>
    <n v="474.26"/>
    <n v="474.25"/>
    <n v="936.3"/>
    <n v="1219.52"/>
    <n v="848.04"/>
    <n v="613.54999999999995"/>
    <n v="595.49"/>
    <n v="344.15"/>
    <n v="481.39"/>
    <n v="328.91"/>
    <n v="885.05"/>
    <n v="478.14"/>
    <n v="7679.05"/>
    <n v="406.90999999999997"/>
  </r>
  <r>
    <x v="11"/>
    <x v="3"/>
    <x v="0"/>
    <s v="4812101"/>
    <n v="721020"/>
    <s v="Surgical Cardiovascular"/>
    <s v="Radiology-Interventional"/>
    <x v="0"/>
    <n v="1007"/>
    <n v="4017.91"/>
    <n v="10492.37"/>
    <n v="82118.3"/>
    <n v="31119.53"/>
    <n v="-4342.29"/>
    <n v="9096.0300000000007"/>
    <n v="17453.310000000001"/>
    <n v="10455.620000000001"/>
    <n v="14853.97"/>
    <n v="35279.58"/>
    <n v="22969.01"/>
    <n v="17576.91"/>
    <n v="251090.25000000003"/>
    <n v="5392.0999999999985"/>
  </r>
  <r>
    <x v="11"/>
    <x v="3"/>
    <x v="0"/>
    <s v="4812101"/>
    <n v="721020"/>
    <s v="Tubes Drains &amp; Related Supplies"/>
    <s v="Radiology-Interventional"/>
    <x v="0"/>
    <n v="1008"/>
    <n v="2802.29"/>
    <n v="2464.21"/>
    <n v="3696.36"/>
    <n v="1425.68"/>
    <n v="2112.19"/>
    <n v="864.18"/>
    <n v="7593.33"/>
    <n v="800.83"/>
    <n v="6786.45"/>
    <n v="2995.99"/>
    <n v="2221.44"/>
    <n v="3243.9"/>
    <n v="37006.850000000006"/>
    <n v="-1022.46"/>
  </r>
  <r>
    <x v="11"/>
    <x v="3"/>
    <x v="0"/>
    <s v="4812101"/>
    <n v="721050"/>
    <s v="Supplies-Cardiac Rhythm - Billable"/>
    <s v="Radiology-Interventional"/>
    <x v="0"/>
    <m/>
    <n v="48794.34"/>
    <n v="94693.96"/>
    <n v="137010.97"/>
    <n v="199067.42"/>
    <n v="199417.34"/>
    <n v="155081.24"/>
    <n v="159826.03"/>
    <n v="73816.28"/>
    <n v="191826.4"/>
    <n v="208279.44"/>
    <n v="293529.42"/>
    <n v="234254.81"/>
    <n v="1995597.65"/>
    <n v="59274.609999999986"/>
  </r>
  <r>
    <x v="11"/>
    <x v="3"/>
    <x v="0"/>
    <s v="4812101"/>
    <n v="721050"/>
    <s v="Electrophysiology Products"/>
    <s v="Radiology-Interventional"/>
    <x v="0"/>
    <n v="1002"/>
    <n v="1076.81"/>
    <n v="372.12"/>
    <n v="228.48"/>
    <n v="132.12"/>
    <n v="138.12"/>
    <n v="396.36"/>
    <n v="132.12"/>
    <n v="0"/>
    <n v="258.74"/>
    <n v="120.5"/>
    <n v="66.06"/>
    <n v="264.48"/>
    <n v="3185.91"/>
    <n v="-198.42000000000002"/>
  </r>
  <r>
    <x v="11"/>
    <x v="3"/>
    <x v="0"/>
    <s v="4812101"/>
    <n v="721070"/>
    <s v="Supplies-Stents - Billable"/>
    <s v="Radiology-Interventional"/>
    <x v="0"/>
    <m/>
    <n v="0"/>
    <n v="0"/>
    <n v="0"/>
    <n v="0"/>
    <n v="0"/>
    <n v="0"/>
    <n v="0"/>
    <n v="1210"/>
    <n v="0"/>
    <n v="0"/>
    <n v="0"/>
    <n v="0"/>
    <n v="1210"/>
    <n v="0"/>
  </r>
  <r>
    <x v="11"/>
    <x v="3"/>
    <x v="0"/>
    <s v="4812101"/>
    <n v="721070"/>
    <s v="Coronary Stents DES"/>
    <s v="Radiology-Interventional"/>
    <x v="0"/>
    <n v="1000"/>
    <n v="0"/>
    <n v="0"/>
    <n v="0"/>
    <n v="5685"/>
    <n v="3790"/>
    <n v="1895"/>
    <n v="3790"/>
    <n v="3790"/>
    <n v="1895"/>
    <n v="3790"/>
    <n v="1895"/>
    <n v="3790"/>
    <n v="30320"/>
    <n v="-1895"/>
  </r>
  <r>
    <x v="11"/>
    <x v="3"/>
    <x v="0"/>
    <s v="4812101"/>
    <n v="721070"/>
    <s v="Peripheral Stents"/>
    <s v="Radiology-Interventional"/>
    <x v="0"/>
    <n v="1001"/>
    <n v="3630"/>
    <n v="4840"/>
    <n v="17356.8"/>
    <n v="10498.2"/>
    <n v="10820"/>
    <n v="3630"/>
    <n v="575"/>
    <n v="10930.4"/>
    <n v="22472.799999999999"/>
    <n v="2710"/>
    <n v="75419.8"/>
    <n v="29293.4"/>
    <n v="192176.4"/>
    <n v="46126.400000000001"/>
  </r>
  <r>
    <x v="11"/>
    <x v="3"/>
    <x v="0"/>
    <s v="4812101"/>
    <n v="721110"/>
    <s v="Supplies-Grafts - Billable"/>
    <s v="Radiology-Interventional"/>
    <x v="0"/>
    <m/>
    <n v="0"/>
    <n v="2930"/>
    <n v="7566"/>
    <n v="4636"/>
    <n v="7566"/>
    <n v="1800"/>
    <n v="2590"/>
    <n v="6436"/>
    <n v="413"/>
    <n v="5518"/>
    <n v="19136"/>
    <n v="4872"/>
    <n v="63463"/>
    <n v="14264"/>
  </r>
  <r>
    <x v="11"/>
    <x v="3"/>
    <x v="0"/>
    <s v="4812101"/>
    <n v="721150"/>
    <s v="Surgical Orthopedic"/>
    <s v="Radiology-Interventional"/>
    <x v="0"/>
    <n v="1000"/>
    <n v="861.94"/>
    <n v="87.18"/>
    <n v="0"/>
    <n v="1210.6500000000001"/>
    <n v="844.86"/>
    <n v="-116.74"/>
    <n v="0"/>
    <n v="79.180000000000007"/>
    <n v="0"/>
    <n v="-316.72000000000003"/>
    <n v="0"/>
    <n v="0"/>
    <n v="2650.3500000000004"/>
    <n v="0"/>
  </r>
  <r>
    <x v="11"/>
    <x v="3"/>
    <x v="0"/>
    <s v="4812101"/>
    <n v="721240"/>
    <s v="Supplies-IV Solutions/Supplies - Billable"/>
    <s v="Radiology-Interventional"/>
    <x v="0"/>
    <m/>
    <n v="18318.54"/>
    <n v="15434.6"/>
    <n v="13449.63"/>
    <n v="17230.919999999998"/>
    <n v="18558.79"/>
    <n v="19734.02"/>
    <n v="15475.66"/>
    <n v="24452.75"/>
    <n v="7726.39"/>
    <n v="19815.439999999999"/>
    <n v="20608.919999999998"/>
    <n v="8906.8700000000008"/>
    <n v="199712.53000000003"/>
    <n v="11702.049999999997"/>
  </r>
  <r>
    <x v="11"/>
    <x v="3"/>
    <x v="0"/>
    <s v="4812101"/>
    <n v="721250"/>
    <s v="Supplies-Pharmacy Drugs - Billable"/>
    <s v="Radiology-Interventional"/>
    <x v="0"/>
    <m/>
    <n v="312.76"/>
    <n v="11507.37"/>
    <n v="8364.08"/>
    <n v="7859.41"/>
    <n v="8728"/>
    <n v="10082.36"/>
    <n v="5067.97"/>
    <n v="7268.77"/>
    <n v="8130.46"/>
    <n v="5123.53"/>
    <n v="13956.05"/>
    <n v="7776.51"/>
    <n v="94177.27"/>
    <n v="6179.5399999999991"/>
  </r>
  <r>
    <x v="11"/>
    <x v="3"/>
    <x v="0"/>
    <s v="4812101"/>
    <n v="721350"/>
    <s v="Radiology Imaging - Contrast Media"/>
    <s v="Radiology-Interventional"/>
    <x v="0"/>
    <n v="1000"/>
    <n v="0"/>
    <n v="0"/>
    <n v="0"/>
    <n v="0"/>
    <n v="0"/>
    <n v="0"/>
    <n v="0"/>
    <n v="0"/>
    <n v="27.49"/>
    <n v="0"/>
    <n v="0"/>
    <n v="0"/>
    <n v="27.49"/>
    <n v="0"/>
  </r>
  <r>
    <x v="11"/>
    <x v="3"/>
    <x v="0"/>
    <s v="4812101"/>
    <n v="721410"/>
    <s v="Supplies-Medical - Nonbillable"/>
    <s v="Radiology-Interventional"/>
    <x v="0"/>
    <m/>
    <n v="6491.14"/>
    <n v="6967.08"/>
    <n v="8670.07"/>
    <n v="2082.59"/>
    <n v="10096.93"/>
    <n v="7294.55"/>
    <n v="11515.73"/>
    <n v="4156.1899999999996"/>
    <n v="8903.8799999999992"/>
    <n v="32051.74"/>
    <n v="9106.7099999999991"/>
    <n v="9952.33"/>
    <n v="117288.94000000002"/>
    <n v="-845.6200000000008"/>
  </r>
  <r>
    <x v="11"/>
    <x v="3"/>
    <x v="0"/>
    <s v="4812101"/>
    <n v="721410"/>
    <s v="Patient Monitoring"/>
    <s v="Radiology-Interventional"/>
    <x v="0"/>
    <n v="1000"/>
    <n v="0"/>
    <n v="0"/>
    <n v="0"/>
    <n v="0"/>
    <n v="21.59"/>
    <n v="0"/>
    <n v="0"/>
    <n v="0"/>
    <n v="0"/>
    <n v="0"/>
    <n v="0"/>
    <n v="0"/>
    <n v="21.59"/>
    <n v="0"/>
  </r>
  <r>
    <x v="11"/>
    <x v="3"/>
    <x v="0"/>
    <s v="4812101"/>
    <n v="721420"/>
    <s v="Supplies-Surgical Nonbillable"/>
    <s v="Radiology-Interventional"/>
    <x v="0"/>
    <m/>
    <n v="311.18"/>
    <n v="1346.45"/>
    <n v="1550.41"/>
    <n v="1529.34"/>
    <n v="1107.25"/>
    <n v="948.94"/>
    <n v="970.73"/>
    <n v="927.08"/>
    <n v="1560.8"/>
    <n v="1808.07"/>
    <n v="1467.8"/>
    <n v="1137.1099999999999"/>
    <n v="14665.159999999998"/>
    <n v="330.69000000000005"/>
  </r>
  <r>
    <x v="11"/>
    <x v="3"/>
    <x v="0"/>
    <s v="4812101"/>
    <n v="721420"/>
    <s v="Tubes Drains &amp; Related Supplies"/>
    <s v="Radiology-Interventional"/>
    <x v="0"/>
    <n v="1008"/>
    <n v="0"/>
    <n v="0"/>
    <n v="0"/>
    <n v="7.43"/>
    <n v="6.02"/>
    <n v="16.760000000000002"/>
    <n v="5.0199999999999996"/>
    <n v="0"/>
    <n v="8.35"/>
    <n v="0"/>
    <n v="10.6"/>
    <n v="7.53"/>
    <n v="61.710000000000008"/>
    <n v="3.0699999999999994"/>
  </r>
  <r>
    <x v="11"/>
    <x v="3"/>
    <x v="0"/>
    <s v="4812101"/>
    <n v="721420"/>
    <s v="Sterilization Process Products"/>
    <s v="Radiology-Interventional"/>
    <x v="0"/>
    <n v="1009"/>
    <n v="87.7"/>
    <n v="124.24"/>
    <n v="45.68"/>
    <n v="87.7"/>
    <n v="76.78"/>
    <n v="56.64"/>
    <n v="67.599999999999994"/>
    <n v="27.41"/>
    <n v="38.369999999999997"/>
    <n v="226.77"/>
    <n v="27.41"/>
    <n v="65.78"/>
    <n v="932.07999999999993"/>
    <n v="-38.370000000000005"/>
  </r>
  <r>
    <x v="11"/>
    <x v="3"/>
    <x v="0"/>
    <s v="4812101"/>
    <n v="721610"/>
    <s v="Supplies-Anesthesia - Nonbillable"/>
    <s v="Radiology-Interventional"/>
    <x v="0"/>
    <m/>
    <n v="69.25"/>
    <n v="67.47"/>
    <n v="286.49"/>
    <n v="98.51"/>
    <n v="279.83"/>
    <n v="48.52"/>
    <n v="144.15"/>
    <n v="285.29000000000002"/>
    <n v="490.48"/>
    <n v="565.41"/>
    <n v="573.99"/>
    <n v="383.18"/>
    <n v="3292.57"/>
    <n v="190.81"/>
  </r>
  <r>
    <x v="11"/>
    <x v="3"/>
    <x v="0"/>
    <s v="4812101"/>
    <n v="721640"/>
    <s v="Supplies-IV Solutions/Supplies - Nonbillable"/>
    <s v="Radiology-Interventional"/>
    <x v="0"/>
    <m/>
    <n v="1100.01"/>
    <n v="1316.06"/>
    <n v="1387.77"/>
    <n v="1570.68"/>
    <n v="1453.03"/>
    <n v="1522.9"/>
    <n v="1582"/>
    <n v="1037.01"/>
    <n v="1738.91"/>
    <n v="2257.46"/>
    <n v="2344.87"/>
    <n v="1553.69"/>
    <n v="18864.389999999996"/>
    <n v="791.17999999999984"/>
  </r>
  <r>
    <x v="11"/>
    <x v="3"/>
    <x v="0"/>
    <s v="4812101"/>
    <n v="721650"/>
    <s v="Supplies-Pharmacy Drugs - Nonbillable"/>
    <s v="Radiology-Interventional"/>
    <x v="0"/>
    <m/>
    <n v="0"/>
    <n v="0"/>
    <n v="0.48"/>
    <n v="0"/>
    <n v="0"/>
    <n v="0"/>
    <n v="0"/>
    <n v="0"/>
    <n v="0"/>
    <n v="0"/>
    <n v="0"/>
    <n v="0"/>
    <n v="0.48"/>
    <n v="0"/>
  </r>
  <r>
    <x v="11"/>
    <x v="3"/>
    <x v="0"/>
    <s v="4812101"/>
    <n v="721710"/>
    <s v="Supplies-Laboratory - Nonbillable"/>
    <s v="Radiology-Interventional"/>
    <x v="0"/>
    <m/>
    <n v="0.93"/>
    <n v="8.7200000000000006"/>
    <n v="60.19"/>
    <n v="10.32"/>
    <n v="1.21"/>
    <n v="2.54"/>
    <n v="1.33"/>
    <n v="0"/>
    <n v="9.64"/>
    <n v="2.25"/>
    <n v="8.99"/>
    <n v="8.93"/>
    <n v="115.04999999999998"/>
    <n v="6.0000000000000497E-2"/>
  </r>
  <r>
    <x v="11"/>
    <x v="3"/>
    <x v="0"/>
    <s v="4812101"/>
    <n v="721750"/>
    <s v="Supplies-Film/Radiographic - Nonbillable"/>
    <s v="Radiology-Interventional"/>
    <x v="0"/>
    <m/>
    <n v="3795.54"/>
    <n v="447.69"/>
    <n v="2436.23"/>
    <n v="823.11"/>
    <n v="1411.9"/>
    <n v="1617.18"/>
    <n v="1848.64"/>
    <n v="-26.56"/>
    <n v="891.82"/>
    <n v="3280.72"/>
    <n v="2680.22"/>
    <n v="4887.6400000000003"/>
    <n v="24094.13"/>
    <n v="-2207.4200000000005"/>
  </r>
  <r>
    <x v="11"/>
    <x v="3"/>
    <x v="0"/>
    <s v="4812101"/>
    <n v="721810"/>
    <s v="Supplies-Dietary/Cafeteria"/>
    <s v="Radiology-Interventional"/>
    <x v="0"/>
    <m/>
    <n v="34.340000000000003"/>
    <n v="10.08"/>
    <n v="45"/>
    <n v="21.58"/>
    <n v="62.23"/>
    <n v="21.37"/>
    <n v="10.96"/>
    <n v="27.09"/>
    <n v="34.93"/>
    <n v="228.17"/>
    <n v="81.73"/>
    <n v="28.48"/>
    <n v="605.96"/>
    <n v="53.25"/>
  </r>
  <r>
    <x v="11"/>
    <x v="3"/>
    <x v="0"/>
    <s v="4812101"/>
    <n v="721830"/>
    <s v="Supplies-Office"/>
    <s v="Radiology-Interventional"/>
    <x v="0"/>
    <m/>
    <n v="0"/>
    <n v="0"/>
    <n v="0"/>
    <n v="0"/>
    <n v="352.1"/>
    <n v="0"/>
    <n v="34.6"/>
    <n v="559.74"/>
    <n v="0"/>
    <n v="0"/>
    <n v="0"/>
    <n v="0"/>
    <n v="946.44"/>
    <n v="0"/>
  </r>
  <r>
    <x v="11"/>
    <x v="3"/>
    <x v="0"/>
    <s v="4812101"/>
    <n v="721870"/>
    <s v="Supplies-Environmental Services"/>
    <s v="Radiology-Interventional"/>
    <x v="0"/>
    <m/>
    <n v="104.08"/>
    <n v="124.86"/>
    <n v="243.67"/>
    <n v="186.39"/>
    <n v="170.54"/>
    <n v="123.76"/>
    <n v="118.78"/>
    <n v="98.71"/>
    <n v="106.63"/>
    <n v="249.76"/>
    <n v="111.7"/>
    <n v="81.19"/>
    <n v="1720.0700000000002"/>
    <n v="30.510000000000005"/>
  </r>
  <r>
    <x v="11"/>
    <x v="3"/>
    <x v="0"/>
    <s v="4812101"/>
    <n v="721880"/>
    <s v="Supplies-Linen"/>
    <s v="Radiology-Interventional"/>
    <x v="0"/>
    <m/>
    <n v="0"/>
    <n v="0"/>
    <n v="0"/>
    <n v="0"/>
    <n v="0"/>
    <n v="0"/>
    <n v="0"/>
    <n v="0"/>
    <n v="0"/>
    <n v="64.2"/>
    <n v="0"/>
    <n v="0"/>
    <n v="64.2"/>
    <n v="0"/>
  </r>
  <r>
    <x v="11"/>
    <x v="3"/>
    <x v="0"/>
    <s v="4812101"/>
    <n v="721910"/>
    <s v="Supplies-Small Equipment"/>
    <s v="Radiology-Interventional"/>
    <x v="0"/>
    <m/>
    <n v="16.32"/>
    <n v="24.2"/>
    <n v="1188.3599999999999"/>
    <n v="1985.88"/>
    <n v="4537.08"/>
    <n v="332.21"/>
    <n v="1991.96"/>
    <n v="2722.16"/>
    <n v="364.08"/>
    <n v="2840.13"/>
    <n v="1201.2"/>
    <n v="3767.47"/>
    <n v="20971.050000000003"/>
    <n v="-2566.2699999999995"/>
  </r>
  <r>
    <x v="11"/>
    <x v="3"/>
    <x v="0"/>
    <s v="4812101"/>
    <n v="721910"/>
    <s v="Instruments"/>
    <s v="Radiology-Interventional"/>
    <x v="0"/>
    <n v="1000"/>
    <n v="4531.3100000000004"/>
    <n v="758.51"/>
    <n v="1294.96"/>
    <n v="10417.959999999999"/>
    <n v="11536.62"/>
    <n v="1449.6"/>
    <n v="940.26"/>
    <n v="1122.75"/>
    <n v="5286.29"/>
    <n v="2419.25"/>
    <n v="3943.31"/>
    <n v="1810.52"/>
    <n v="45511.339999999989"/>
    <n v="2132.79"/>
  </r>
  <r>
    <x v="11"/>
    <x v="3"/>
    <x v="0"/>
    <s v="4812101"/>
    <n v="721980"/>
    <s v="Supplies-Other"/>
    <s v="Radiology-Interventional"/>
    <x v="0"/>
    <m/>
    <n v="0"/>
    <n v="0"/>
    <n v="0"/>
    <n v="0"/>
    <n v="0"/>
    <n v="25.2"/>
    <n v="840"/>
    <n v="0"/>
    <n v="0"/>
    <n v="0"/>
    <n v="0"/>
    <n v="146.25"/>
    <n v="1011.45"/>
    <n v="-146.25"/>
  </r>
  <r>
    <x v="11"/>
    <x v="3"/>
    <x v="0"/>
    <s v="4812101"/>
    <n v="722000"/>
    <s v="Supplies-Freight Expense"/>
    <s v="Radiology-Interventional"/>
    <x v="0"/>
    <m/>
    <n v="207.11"/>
    <n v="455.45"/>
    <n v="248.5"/>
    <n v="912.62"/>
    <n v="439.64"/>
    <n v="1253.8"/>
    <n v="1145.75"/>
    <n v="569.32000000000005"/>
    <n v="677.58"/>
    <n v="1599.61"/>
    <n v="1833.16"/>
    <n v="253.57"/>
    <n v="9596.1099999999988"/>
    <n v="1579.5900000000001"/>
  </r>
  <r>
    <x v="12"/>
    <x v="3"/>
    <x v="0"/>
    <s v="4812101"/>
    <n v="730020"/>
    <s v="Rental and Leases-Equipment (DO NOT USE)"/>
    <s v="Radiology-Interventional"/>
    <x v="0"/>
    <m/>
    <n v="0"/>
    <n v="0"/>
    <n v="0"/>
    <n v="0"/>
    <n v="-3303"/>
    <n v="6936.3"/>
    <n v="13880.31"/>
    <n v="-627.49"/>
    <n v="235.62"/>
    <n v="7.71"/>
    <n v="0"/>
    <n v="117.81"/>
    <n v="17247.259999999998"/>
    <n v="-117.81"/>
  </r>
  <r>
    <x v="12"/>
    <x v="3"/>
    <x v="0"/>
    <s v="4812101"/>
    <n v="730020"/>
    <s v="Rental and Leases-Copier Usage Fees (DO NOT USE)"/>
    <s v="Radiology-Interventional"/>
    <x v="0"/>
    <n v="5100"/>
    <n v="58.16"/>
    <n v="60.2"/>
    <n v="59.18"/>
    <n v="59.18"/>
    <n v="59.18"/>
    <n v="59.18"/>
    <n v="113.25"/>
    <n v="61.39"/>
    <n v="61.26"/>
    <n v="61.52"/>
    <n v="61.39"/>
    <n v="68.8"/>
    <n v="782.68999999999994"/>
    <n v="-7.4099999999999966"/>
  </r>
  <r>
    <x v="15"/>
    <x v="3"/>
    <x v="0"/>
    <s v="4812101"/>
    <n v="731060"/>
    <s v="Cell Phones"/>
    <s v="Radiology-Interventional"/>
    <x v="0"/>
    <n v="1001"/>
    <n v="0"/>
    <n v="110.56"/>
    <n v="52.84"/>
    <n v="0"/>
    <n v="52.94"/>
    <n v="53.98"/>
    <n v="109.13"/>
    <n v="0"/>
    <n v="55.09"/>
    <n v="108.11"/>
    <n v="52.94"/>
    <n v="53.83"/>
    <n v="649.41999999999996"/>
    <n v="-0.89000000000000057"/>
  </r>
  <r>
    <x v="15"/>
    <x v="3"/>
    <x v="0"/>
    <s v="4812101"/>
    <n v="731060"/>
    <s v="Pagers"/>
    <s v="Radiology-Interventional"/>
    <x v="0"/>
    <n v="1002"/>
    <n v="121.5"/>
    <n v="140.93"/>
    <n v="113.4"/>
    <n v="113.68"/>
    <n v="113.68"/>
    <n v="0"/>
    <n v="266.18"/>
    <n v="97.44"/>
    <n v="97.44"/>
    <n v="97.44"/>
    <n v="97.44"/>
    <n v="97.44"/>
    <n v="1356.5700000000004"/>
    <n v="0"/>
  </r>
  <r>
    <x v="13"/>
    <x v="3"/>
    <x v="0"/>
    <s v="4812101"/>
    <n v="735070"/>
    <s v="Depreciation-Movable Equipment"/>
    <s v="Radiology-Interventional"/>
    <x v="0"/>
    <m/>
    <n v="576.97"/>
    <n v="576.97"/>
    <n v="576.97"/>
    <n v="3482.77"/>
    <n v="3482.78"/>
    <n v="3482.76"/>
    <n v="3482.78"/>
    <n v="3482.76"/>
    <n v="3482.79"/>
    <n v="3482.75"/>
    <n v="6768.6"/>
    <n v="2988.96"/>
    <n v="35867.86"/>
    <n v="3779.6400000000003"/>
  </r>
  <r>
    <x v="0"/>
    <x v="3"/>
    <x v="0"/>
    <s v="4812101"/>
    <n v="740020"/>
    <s v="Education-Registration Fees"/>
    <s v="Radiology-Interventional"/>
    <x v="0"/>
    <m/>
    <n v="0"/>
    <n v="0"/>
    <n v="0"/>
    <n v="0"/>
    <n v="0"/>
    <n v="175"/>
    <n v="0"/>
    <n v="0"/>
    <n v="0"/>
    <n v="0"/>
    <n v="0"/>
    <n v="0"/>
    <n v="175"/>
    <n v="0"/>
  </r>
  <r>
    <x v="0"/>
    <x v="3"/>
    <x v="0"/>
    <s v="4812101"/>
    <n v="740030"/>
    <s v="Education-Travel"/>
    <s v="Radiology-Interventional"/>
    <x v="0"/>
    <m/>
    <n v="0"/>
    <n v="0"/>
    <n v="175"/>
    <n v="0"/>
    <n v="0"/>
    <n v="0"/>
    <n v="0"/>
    <n v="0"/>
    <n v="560"/>
    <n v="0"/>
    <n v="0"/>
    <n v="0"/>
    <n v="735"/>
    <n v="0"/>
  </r>
  <r>
    <x v="0"/>
    <x v="3"/>
    <x v="0"/>
    <s v="4812101"/>
    <n v="743030"/>
    <s v="Subscriptions--Institutional"/>
    <s v="Radiology-Interventional"/>
    <x v="0"/>
    <m/>
    <n v="0"/>
    <n v="0"/>
    <n v="0"/>
    <n v="0"/>
    <n v="0"/>
    <n v="0"/>
    <n v="0"/>
    <n v="0"/>
    <n v="127.3"/>
    <n v="0"/>
    <n v="0"/>
    <n v="0"/>
    <n v="127.3"/>
    <n v="0"/>
  </r>
  <r>
    <x v="0"/>
    <x v="3"/>
    <x v="0"/>
    <s v="4812101"/>
    <n v="749510"/>
    <s v="Miscellaneous Expenses"/>
    <s v="Radiology-Interventional"/>
    <x v="0"/>
    <m/>
    <n v="0"/>
    <n v="0"/>
    <n v="800"/>
    <n v="0"/>
    <n v="208"/>
    <n v="362"/>
    <n v="526"/>
    <n v="0"/>
    <n v="737.49"/>
    <n v="1085"/>
    <n v="0"/>
    <n v="0"/>
    <n v="3718.49"/>
    <n v="0"/>
  </r>
  <r>
    <x v="18"/>
    <x v="5"/>
    <x v="0"/>
    <s v="4812106"/>
    <n v="400010"/>
    <s v="Acute I/P Svcs Rev--Medicare"/>
    <s v="Radiology-Interventional"/>
    <x v="0"/>
    <n v="1100"/>
    <n v="1216.82"/>
    <n v="4237.0200000000004"/>
    <n v="0"/>
    <n v="-12113.66"/>
    <n v="2924.01"/>
    <n v="0"/>
    <n v="0"/>
    <n v="0"/>
    <n v="11190.87"/>
    <n v="1920.79"/>
    <n v="0"/>
    <n v="13604.72"/>
    <n v="22980.57"/>
    <n v="-13604.72"/>
  </r>
  <r>
    <x v="18"/>
    <x v="5"/>
    <x v="0"/>
    <s v="4812106"/>
    <n v="400010"/>
    <s v="Acute I/P Svcs Rev--Medicaid"/>
    <s v="Radiology-Interventional"/>
    <x v="0"/>
    <n v="1200"/>
    <n v="864.04"/>
    <n v="-5535.44"/>
    <n v="0"/>
    <n v="0"/>
    <n v="5739.59"/>
    <n v="0"/>
    <n v="82504.22"/>
    <n v="0"/>
    <n v="-1848.36"/>
    <n v="2141.9"/>
    <n v="0"/>
    <n v="0"/>
    <n v="83865.95"/>
    <n v="0"/>
  </r>
  <r>
    <x v="18"/>
    <x v="5"/>
    <x v="0"/>
    <s v="4812106"/>
    <n v="400010"/>
    <s v="Acute I/P Svcs Rev--Comm Insurance"/>
    <s v="Radiology-Interventional"/>
    <x v="0"/>
    <n v="1300"/>
    <n v="-1848.36"/>
    <n v="0"/>
    <n v="0"/>
    <n v="0"/>
    <n v="0"/>
    <n v="0"/>
    <n v="0"/>
    <n v="0"/>
    <n v="1848.36"/>
    <n v="0"/>
    <n v="0"/>
    <n v="-13604.72"/>
    <n v="-13604.72"/>
    <n v="13604.72"/>
  </r>
  <r>
    <x v="18"/>
    <x v="5"/>
    <x v="0"/>
    <s v="4812106"/>
    <n v="400010"/>
    <s v="Acute I/P Svcs Rev--BCBS Comm"/>
    <s v="Radiology-Interventional"/>
    <x v="0"/>
    <n v="1301"/>
    <n v="0"/>
    <n v="0"/>
    <n v="0"/>
    <n v="-1835"/>
    <n v="2353.66"/>
    <n v="0"/>
    <n v="0"/>
    <n v="0"/>
    <n v="0"/>
    <n v="0"/>
    <n v="0"/>
    <n v="0"/>
    <n v="518.65999999999985"/>
    <n v="0"/>
  </r>
  <r>
    <x v="18"/>
    <x v="5"/>
    <x v="0"/>
    <s v="4812106"/>
    <n v="400010"/>
    <s v="Acute I/P Svcs Rev--Managed Care"/>
    <s v="Radiology-Interventional"/>
    <x v="0"/>
    <n v="1400"/>
    <n v="-413.7"/>
    <n v="-4943"/>
    <n v="0"/>
    <n v="4943"/>
    <n v="5436.25"/>
    <n v="0"/>
    <n v="0"/>
    <n v="0"/>
    <n v="0"/>
    <n v="0"/>
    <n v="0"/>
    <n v="0"/>
    <n v="5022.55"/>
    <n v="0"/>
  </r>
  <r>
    <x v="18"/>
    <x v="5"/>
    <x v="0"/>
    <s v="4812106"/>
    <n v="400010"/>
    <s v="Acute I/P Svcs Rev--Self Pay"/>
    <s v="Radiology-Interventional"/>
    <x v="0"/>
    <n v="1500"/>
    <n v="0"/>
    <n v="0"/>
    <n v="0"/>
    <n v="1835"/>
    <n v="0"/>
    <n v="0"/>
    <n v="0"/>
    <n v="0"/>
    <n v="0"/>
    <n v="1511.33"/>
    <n v="0"/>
    <n v="0"/>
    <n v="3346.33"/>
    <n v="0"/>
  </r>
  <r>
    <x v="18"/>
    <x v="5"/>
    <x v="0"/>
    <s v="4812106"/>
    <n v="400010"/>
    <s v="Acute I/P Svcs Rev--Other"/>
    <s v="Radiology-Interventional"/>
    <x v="0"/>
    <n v="1700"/>
    <n v="1848.36"/>
    <n v="0"/>
    <n v="0"/>
    <n v="7170.66"/>
    <n v="0"/>
    <n v="0"/>
    <n v="0"/>
    <n v="0"/>
    <n v="0"/>
    <n v="0"/>
    <n v="0"/>
    <n v="0"/>
    <n v="9019.02"/>
    <n v="0"/>
  </r>
  <r>
    <x v="19"/>
    <x v="5"/>
    <x v="0"/>
    <s v="4812106"/>
    <n v="400020"/>
    <s v="O/P Care Svcs Rev--Medicare"/>
    <s v="Radiology-Interventional"/>
    <x v="0"/>
    <n v="1100"/>
    <n v="11119.24"/>
    <n v="-11987.8"/>
    <n v="-5442.92"/>
    <n v="0"/>
    <n v="1842.28"/>
    <n v="871"/>
    <n v="-38221.42"/>
    <n v="0"/>
    <n v="-1842.28"/>
    <n v="100.26"/>
    <n v="0"/>
    <n v="-2528.9299999999998"/>
    <n v="-46090.569999999992"/>
    <n v="2528.9299999999998"/>
  </r>
  <r>
    <x v="19"/>
    <x v="5"/>
    <x v="0"/>
    <s v="4812106"/>
    <n v="400020"/>
    <s v="O/P Care Svcs Rev--Medicaid"/>
    <s v="Radiology-Interventional"/>
    <x v="0"/>
    <n v="1200"/>
    <n v="-6507.14"/>
    <n v="-217.19"/>
    <n v="0"/>
    <n v="0"/>
    <n v="492.07"/>
    <n v="0"/>
    <n v="0"/>
    <n v="0"/>
    <n v="0"/>
    <n v="0"/>
    <n v="0"/>
    <n v="0"/>
    <n v="-6232.26"/>
    <n v="0"/>
  </r>
  <r>
    <x v="19"/>
    <x v="5"/>
    <x v="0"/>
    <s v="4812106"/>
    <n v="400020"/>
    <s v="O/P Care Svcs Rev--BCBS Comm"/>
    <s v="Radiology-Interventional"/>
    <x v="0"/>
    <n v="1301"/>
    <n v="0"/>
    <n v="0"/>
    <n v="0"/>
    <n v="-113.88"/>
    <n v="0"/>
    <n v="0"/>
    <n v="-574.39"/>
    <n v="0"/>
    <n v="0"/>
    <n v="0"/>
    <n v="0"/>
    <n v="0"/>
    <n v="-688.27"/>
    <n v="0"/>
  </r>
  <r>
    <x v="19"/>
    <x v="5"/>
    <x v="0"/>
    <s v="4812106"/>
    <n v="400020"/>
    <s v="O/P Care Svcs Rev--Managed Care"/>
    <s v="Radiology-Interventional"/>
    <x v="0"/>
    <n v="1400"/>
    <n v="-1575.21"/>
    <n v="0"/>
    <n v="-1304.8599999999999"/>
    <n v="0"/>
    <n v="619.82000000000005"/>
    <n v="0"/>
    <n v="-113.88"/>
    <n v="0"/>
    <n v="0"/>
    <n v="54"/>
    <n v="0"/>
    <n v="0"/>
    <n v="-2320.1299999999997"/>
    <n v="0"/>
  </r>
  <r>
    <x v="19"/>
    <x v="5"/>
    <x v="0"/>
    <s v="4812106"/>
    <n v="400020"/>
    <s v="O/P Care Svcs Rev--Other"/>
    <s v="Radiology-Interventional"/>
    <x v="0"/>
    <n v="1700"/>
    <n v="0"/>
    <n v="0"/>
    <n v="0"/>
    <n v="0"/>
    <n v="-1842.28"/>
    <n v="0"/>
    <n v="0"/>
    <n v="0"/>
    <n v="1842.28"/>
    <n v="69.83"/>
    <n v="0"/>
    <n v="0"/>
    <n v="69.83"/>
    <n v="0"/>
  </r>
  <r>
    <x v="5"/>
    <x v="5"/>
    <x v="0"/>
    <s v="4812106"/>
    <n v="700026"/>
    <s v="Salaries-RN-Productive"/>
    <s v="Radiology-Interventional"/>
    <x v="0"/>
    <m/>
    <n v="0"/>
    <n v="0"/>
    <n v="0"/>
    <n v="0"/>
    <n v="0"/>
    <n v="0"/>
    <n v="0"/>
    <n v="0"/>
    <n v="0"/>
    <n v="0"/>
    <n v="0"/>
    <n v="111.35"/>
    <n v="111.35"/>
    <n v="-111.35"/>
  </r>
  <r>
    <x v="5"/>
    <x v="5"/>
    <x v="0"/>
    <s v="4812106"/>
    <n v="700026"/>
    <s v="Salaries-RN-Other"/>
    <s v="Radiology-Interventional"/>
    <x v="0"/>
    <n v="2000"/>
    <n v="0"/>
    <n v="0"/>
    <n v="0"/>
    <n v="0"/>
    <n v="0"/>
    <n v="0"/>
    <n v="0"/>
    <n v="0"/>
    <n v="0"/>
    <n v="0"/>
    <n v="0"/>
    <n v="5.15"/>
    <n v="5.15"/>
    <n v="-5.15"/>
  </r>
  <r>
    <x v="5"/>
    <x v="5"/>
    <x v="0"/>
    <s v="4812106"/>
    <n v="700034"/>
    <s v="Salaries-Tech/Professional-Productive"/>
    <s v="Radiology-Interventional"/>
    <x v="0"/>
    <m/>
    <n v="8339.15"/>
    <n v="5820.1"/>
    <n v="7525.64"/>
    <n v="7115.03"/>
    <n v="7670.26"/>
    <n v="8237.73"/>
    <n v="7248.16"/>
    <n v="8027.27"/>
    <n v="8482.99"/>
    <n v="6877.32"/>
    <n v="6805.83"/>
    <n v="8151.81"/>
    <n v="90301.290000000023"/>
    <n v="-1345.9800000000005"/>
  </r>
  <r>
    <x v="5"/>
    <x v="5"/>
    <x v="0"/>
    <s v="4812106"/>
    <n v="700034"/>
    <s v="Salaries-Tech/Professional-OT"/>
    <s v="Radiology-Interventional"/>
    <x v="0"/>
    <n v="1000"/>
    <n v="37.15"/>
    <n v="0"/>
    <n v="0"/>
    <n v="33.1"/>
    <n v="458.61"/>
    <n v="-83.76"/>
    <n v="56.34"/>
    <n v="231.91"/>
    <n v="-57.9"/>
    <n v="0"/>
    <n v="147.03"/>
    <n v="568.37"/>
    <n v="1390.85"/>
    <n v="-421.34000000000003"/>
  </r>
  <r>
    <x v="5"/>
    <x v="5"/>
    <x v="0"/>
    <s v="4812106"/>
    <n v="700034"/>
    <s v="Salaries-Tech/Professional-Other"/>
    <s v="Radiology-Interventional"/>
    <x v="0"/>
    <n v="2000"/>
    <n v="735.45"/>
    <n v="658.03"/>
    <n v="632.45000000000005"/>
    <n v="752.99"/>
    <n v="339.26"/>
    <n v="918.05"/>
    <n v="726.21"/>
    <n v="418.42"/>
    <n v="765.3"/>
    <n v="552.12"/>
    <n v="571.62"/>
    <n v="646.9"/>
    <n v="7716.8"/>
    <n v="-75.279999999999973"/>
  </r>
  <r>
    <x v="5"/>
    <x v="5"/>
    <x v="0"/>
    <s v="4812106"/>
    <n v="700054"/>
    <s v="Salaries-Management-NonProd-Other"/>
    <s v="Radiology-Interventional"/>
    <x v="0"/>
    <n v="2000"/>
    <n v="0"/>
    <n v="0"/>
    <n v="0"/>
    <n v="0"/>
    <n v="0"/>
    <n v="910.42"/>
    <n v="-910.42"/>
    <n v="0"/>
    <n v="0"/>
    <n v="0"/>
    <n v="0"/>
    <n v="0"/>
    <n v="0"/>
    <n v="0"/>
  </r>
  <r>
    <x v="5"/>
    <x v="5"/>
    <x v="0"/>
    <s v="4812106"/>
    <n v="700074"/>
    <s v="Salaries-Tech/Professional-Non-productive"/>
    <s v="Radiology-Interventional"/>
    <x v="0"/>
    <m/>
    <n v="900.92"/>
    <n v="2256.6799999999998"/>
    <n v="-461.4"/>
    <n v="950.2"/>
    <n v="916.23"/>
    <n v="33.97"/>
    <n v="475.8"/>
    <n v="462.18"/>
    <n v="1130"/>
    <n v="1619.43"/>
    <n v="2333.89"/>
    <n v="-792.65"/>
    <n v="9825.25"/>
    <n v="3126.54"/>
  </r>
  <r>
    <x v="5"/>
    <x v="5"/>
    <x v="0"/>
    <s v="4812106"/>
    <n v="700074"/>
    <s v="Salaries-Tech/Professional-NonProd-Other"/>
    <s v="Radiology-Interventional"/>
    <x v="0"/>
    <n v="2000"/>
    <n v="205.93"/>
    <n v="127.63"/>
    <n v="624.07000000000005"/>
    <n v="611.20000000000005"/>
    <n v="-208.88"/>
    <n v="641.05999999999995"/>
    <n v="704.09"/>
    <n v="89.43"/>
    <n v="444.61"/>
    <n v="586.58000000000004"/>
    <n v="-79.08"/>
    <n v="61"/>
    <n v="3807.6400000000003"/>
    <n v="-140.07999999999998"/>
  </r>
  <r>
    <x v="5"/>
    <x v="5"/>
    <x v="0"/>
    <s v="4812106"/>
    <n v="700084"/>
    <s v="Accrued PTO"/>
    <s v="Radiology-Interventional"/>
    <x v="0"/>
    <m/>
    <n v="-167.03"/>
    <n v="-211.89"/>
    <n v="271.27999999999997"/>
    <n v="49.89"/>
    <n v="552.54"/>
    <n v="375.8"/>
    <n v="459.9"/>
    <n v="217.12"/>
    <n v="582"/>
    <n v="82.66"/>
    <n v="-855.18"/>
    <n v="757.79"/>
    <n v="2114.8799999999997"/>
    <n v="-1612.9699999999998"/>
  </r>
  <r>
    <x v="6"/>
    <x v="5"/>
    <x v="0"/>
    <s v="4812106"/>
    <n v="713010"/>
    <s v="Benefits-FICA/Medicare"/>
    <s v="Radiology-Interventional"/>
    <x v="0"/>
    <m/>
    <n v="762.77"/>
    <n v="659.04"/>
    <n v="618.22"/>
    <n v="704.93"/>
    <n v="683.61"/>
    <n v="805.17"/>
    <n v="771.25"/>
    <n v="703.31"/>
    <n v="820.45"/>
    <n v="734.21"/>
    <n v="745.12"/>
    <n v="666.74"/>
    <n v="8674.82"/>
    <n v="78.38"/>
  </r>
  <r>
    <x v="6"/>
    <x v="5"/>
    <x v="0"/>
    <s v="4812106"/>
    <n v="713090"/>
    <s v="Benefits-Allocated Amounts"/>
    <s v="Radiology-Interventional"/>
    <x v="0"/>
    <m/>
    <n v="1797.75"/>
    <n v="1594.94"/>
    <n v="1409.73"/>
    <n v="1561.21"/>
    <n v="1723.53"/>
    <n v="1648.73"/>
    <n v="1544.47"/>
    <n v="1730.06"/>
    <n v="1830.62"/>
    <n v="1661.49"/>
    <n v="1677.29"/>
    <n v="1616.19"/>
    <n v="19796.009999999998"/>
    <n v="61.099999999999909"/>
  </r>
  <r>
    <x v="7"/>
    <x v="5"/>
    <x v="0"/>
    <s v="4812106"/>
    <n v="718050"/>
    <s v="Translation Services"/>
    <s v="Radiology-Interventional"/>
    <x v="0"/>
    <n v="1025"/>
    <n v="1712.75"/>
    <n v="64"/>
    <n v="1304.31"/>
    <n v="143"/>
    <n v="240"/>
    <n v="32"/>
    <n v="160"/>
    <n v="686.82"/>
    <n v="195.08"/>
    <n v="0"/>
    <n v="0"/>
    <n v="0"/>
    <n v="4537.96"/>
    <n v="0"/>
  </r>
  <r>
    <x v="7"/>
    <x v="5"/>
    <x v="0"/>
    <s v="4812106"/>
    <n v="718050"/>
    <s v="Contract Management--Linen"/>
    <s v="Radiology-Interventional"/>
    <x v="0"/>
    <n v="1026"/>
    <n v="298.77"/>
    <n v="142.16999999999999"/>
    <n v="196.49"/>
    <n v="73.11"/>
    <n v="269.27999999999997"/>
    <n v="162.4"/>
    <n v="156.51"/>
    <n v="155.47"/>
    <n v="149.31"/>
    <n v="278.38"/>
    <n v="182.5"/>
    <n v="295.26"/>
    <n v="2359.6499999999996"/>
    <n v="-112.75999999999999"/>
  </r>
  <r>
    <x v="7"/>
    <x v="5"/>
    <x v="0"/>
    <s v="4812106"/>
    <n v="718070"/>
    <s v="Contract Srvcs-CHI Clinical Engineering"/>
    <s v="Radiology-Interventional"/>
    <x v="0"/>
    <m/>
    <n v="5638.85"/>
    <n v="5638.85"/>
    <n v="5638.85"/>
    <n v="5638.85"/>
    <n v="5638.85"/>
    <n v="5638.85"/>
    <n v="5638.87"/>
    <n v="5902.6"/>
    <n v="6091.51"/>
    <n v="6091.51"/>
    <n v="6091.51"/>
    <n v="6091.51"/>
    <n v="69740.61"/>
    <n v="0"/>
  </r>
  <r>
    <x v="11"/>
    <x v="5"/>
    <x v="0"/>
    <s v="4812106"/>
    <n v="721010"/>
    <s v="Supplies-Medical - Billable"/>
    <s v="Radiology-Interventional"/>
    <x v="0"/>
    <m/>
    <n v="199.83"/>
    <n v="114.95"/>
    <n v="57.74"/>
    <n v="19.579999999999998"/>
    <n v="32"/>
    <n v="133.37"/>
    <n v="129.36000000000001"/>
    <n v="568.30999999999995"/>
    <n v="273.7"/>
    <n v="500.3"/>
    <n v="531.16999999999996"/>
    <n v="828.7"/>
    <n v="3389.01"/>
    <n v="-297.53000000000009"/>
  </r>
  <r>
    <x v="11"/>
    <x v="5"/>
    <x v="0"/>
    <s v="4812106"/>
    <n v="721010"/>
    <s v="Patient Monitoring"/>
    <s v="Radiology-Interventional"/>
    <x v="0"/>
    <n v="1000"/>
    <n v="2.2000000000000002"/>
    <n v="0"/>
    <n v="0"/>
    <n v="0"/>
    <n v="0"/>
    <n v="0"/>
    <n v="0"/>
    <n v="11.46"/>
    <n v="38.74"/>
    <n v="13.22"/>
    <n v="26.46"/>
    <n v="4.41"/>
    <n v="96.490000000000009"/>
    <n v="22.05"/>
  </r>
  <r>
    <x v="11"/>
    <x v="5"/>
    <x v="0"/>
    <s v="4812106"/>
    <n v="721020"/>
    <s v="Supplies-Surgical - Billable"/>
    <s v="Radiology-Interventional"/>
    <x v="0"/>
    <m/>
    <n v="0"/>
    <n v="0"/>
    <n v="0"/>
    <n v="17.149999999999999"/>
    <n v="0"/>
    <n v="0"/>
    <n v="0"/>
    <n v="0"/>
    <n v="44.36"/>
    <n v="0"/>
    <n v="0"/>
    <n v="0"/>
    <n v="61.51"/>
    <n v="0"/>
  </r>
  <r>
    <x v="11"/>
    <x v="5"/>
    <x v="0"/>
    <s v="4812106"/>
    <n v="721020"/>
    <s v="Custom Packs"/>
    <s v="Radiology-Interventional"/>
    <x v="0"/>
    <n v="1000"/>
    <n v="316.70999999999998"/>
    <n v="-48.31"/>
    <n v="0"/>
    <n v="0"/>
    <n v="-96.36"/>
    <n v="0"/>
    <n v="0"/>
    <n v="506.79"/>
    <n v="275.7"/>
    <n v="0"/>
    <n v="0"/>
    <n v="0"/>
    <n v="954.53"/>
    <n v="0"/>
  </r>
  <r>
    <x v="11"/>
    <x v="5"/>
    <x v="0"/>
    <s v="4812106"/>
    <n v="721020"/>
    <s v="Suture/Wound Closure"/>
    <s v="Radiology-Interventional"/>
    <x v="0"/>
    <n v="1001"/>
    <n v="0"/>
    <n v="0"/>
    <n v="0"/>
    <n v="0"/>
    <n v="0"/>
    <n v="0"/>
    <n v="0"/>
    <n v="372.63"/>
    <n v="0"/>
    <n v="0"/>
    <n v="0"/>
    <n v="0"/>
    <n v="372.63"/>
    <n v="0"/>
  </r>
  <r>
    <x v="11"/>
    <x v="5"/>
    <x v="0"/>
    <s v="4812106"/>
    <n v="721020"/>
    <s v="Bone Cement &amp; Supplies"/>
    <s v="Radiology-Interventional"/>
    <x v="0"/>
    <n v="1004"/>
    <n v="-3089.75"/>
    <n v="0"/>
    <n v="0"/>
    <n v="0"/>
    <n v="0"/>
    <n v="0"/>
    <n v="0"/>
    <n v="0"/>
    <n v="0"/>
    <n v="0"/>
    <n v="0"/>
    <n v="0"/>
    <n v="-3089.75"/>
    <n v="0"/>
  </r>
  <r>
    <x v="11"/>
    <x v="5"/>
    <x v="0"/>
    <s v="4812106"/>
    <n v="721020"/>
    <s v="Surgical Cardiovascular"/>
    <s v="Radiology-Interventional"/>
    <x v="0"/>
    <n v="1007"/>
    <n v="0"/>
    <n v="0"/>
    <n v="0"/>
    <n v="-1434.42"/>
    <n v="0"/>
    <n v="0"/>
    <n v="-2957.66"/>
    <n v="0"/>
    <n v="0"/>
    <n v="0"/>
    <n v="0"/>
    <n v="0"/>
    <n v="-4392.08"/>
    <n v="0"/>
  </r>
  <r>
    <x v="11"/>
    <x v="5"/>
    <x v="0"/>
    <s v="4812106"/>
    <n v="721020"/>
    <s v="Tubes Drains &amp; Related Supplies"/>
    <s v="Radiology-Interventional"/>
    <x v="0"/>
    <n v="1008"/>
    <n v="212.79"/>
    <n v="0"/>
    <n v="0"/>
    <n v="0"/>
    <n v="0"/>
    <n v="0"/>
    <n v="0"/>
    <n v="0"/>
    <n v="0"/>
    <n v="0"/>
    <n v="0"/>
    <n v="0"/>
    <n v="212.79"/>
    <n v="0"/>
  </r>
  <r>
    <x v="11"/>
    <x v="5"/>
    <x v="0"/>
    <s v="4812106"/>
    <n v="721050"/>
    <s v="Supplies-Cardiac Rhythm - Billable"/>
    <s v="Radiology-Interventional"/>
    <x v="0"/>
    <m/>
    <n v="4430.26"/>
    <n v="-4044.92"/>
    <n v="23.52"/>
    <n v="-112.67"/>
    <n v="15.32"/>
    <n v="0"/>
    <n v="0"/>
    <n v="649.52"/>
    <n v="0"/>
    <n v="7.03"/>
    <n v="757.68"/>
    <n v="0"/>
    <n v="1725.74"/>
    <n v="757.68"/>
  </r>
  <r>
    <x v="11"/>
    <x v="5"/>
    <x v="0"/>
    <s v="4812106"/>
    <n v="721240"/>
    <s v="Supplies-IV Solutions/Supplies - Billable"/>
    <s v="Radiology-Interventional"/>
    <x v="0"/>
    <m/>
    <n v="212.89"/>
    <n v="1224"/>
    <n v="0"/>
    <n v="-68.23"/>
    <n v="153.22"/>
    <n v="0"/>
    <n v="3.12"/>
    <n v="886"/>
    <n v="192.19"/>
    <n v="-475.14"/>
    <n v="220.42"/>
    <n v="-225.07"/>
    <n v="2123.4"/>
    <n v="445.49"/>
  </r>
  <r>
    <x v="11"/>
    <x v="5"/>
    <x v="0"/>
    <s v="4812106"/>
    <n v="721250"/>
    <s v="Supplies-Pharmacy Drugs - Billable"/>
    <s v="Radiology-Interventional"/>
    <x v="0"/>
    <m/>
    <n v="0"/>
    <n v="1999.03"/>
    <n v="0"/>
    <n v="0"/>
    <n v="0"/>
    <n v="0"/>
    <n v="0"/>
    <n v="0"/>
    <n v="0"/>
    <n v="0"/>
    <n v="180.46"/>
    <n v="0"/>
    <n v="2179.4899999999998"/>
    <n v="180.46"/>
  </r>
  <r>
    <x v="11"/>
    <x v="5"/>
    <x v="0"/>
    <s v="4812106"/>
    <n v="721410"/>
    <s v="Supplies-Medical - Nonbillable"/>
    <s v="Radiology-Interventional"/>
    <x v="0"/>
    <m/>
    <n v="172.9"/>
    <n v="64.150000000000006"/>
    <n v="29.71"/>
    <n v="37.619999999999997"/>
    <n v="5.33"/>
    <n v="124.89"/>
    <n v="11.42"/>
    <n v="980.05"/>
    <n v="509.8"/>
    <n v="-67105.679999999993"/>
    <n v="540.77"/>
    <n v="372.13"/>
    <n v="-64256.909999999996"/>
    <n v="168.64"/>
  </r>
  <r>
    <x v="11"/>
    <x v="5"/>
    <x v="0"/>
    <s v="4812106"/>
    <n v="721420"/>
    <s v="Supplies-Surgical Nonbillable"/>
    <s v="Radiology-Interventional"/>
    <x v="0"/>
    <m/>
    <n v="226.77"/>
    <n v="176.54"/>
    <n v="0"/>
    <n v="64.349999999999994"/>
    <n v="10.74"/>
    <n v="85.63"/>
    <n v="0"/>
    <n v="1040.5899999999999"/>
    <n v="620.62"/>
    <n v="444.89"/>
    <n v="340.4"/>
    <n v="91.11"/>
    <n v="3101.64"/>
    <n v="249.28999999999996"/>
  </r>
  <r>
    <x v="11"/>
    <x v="5"/>
    <x v="0"/>
    <s v="4812106"/>
    <n v="721420"/>
    <s v="Tubes Drains &amp; Related Supplies"/>
    <s v="Radiology-Interventional"/>
    <x v="0"/>
    <n v="1008"/>
    <n v="0"/>
    <n v="0"/>
    <n v="0"/>
    <n v="13.76"/>
    <n v="0"/>
    <n v="0"/>
    <n v="0"/>
    <n v="0"/>
    <n v="0"/>
    <n v="1.92"/>
    <n v="26.43"/>
    <n v="0"/>
    <n v="42.11"/>
    <n v="26.43"/>
  </r>
  <r>
    <x v="11"/>
    <x v="5"/>
    <x v="0"/>
    <s v="4812106"/>
    <n v="721420"/>
    <s v="Sterilization Process Products"/>
    <s v="Radiology-Interventional"/>
    <x v="0"/>
    <n v="1009"/>
    <n v="0"/>
    <n v="0"/>
    <n v="0"/>
    <n v="45.68"/>
    <n v="0"/>
    <n v="0"/>
    <n v="0"/>
    <n v="0"/>
    <n v="0"/>
    <n v="0"/>
    <n v="0"/>
    <n v="0"/>
    <n v="45.68"/>
    <n v="0"/>
  </r>
  <r>
    <x v="11"/>
    <x v="5"/>
    <x v="0"/>
    <s v="4812106"/>
    <n v="721610"/>
    <s v="Supplies-Anesthesia - Nonbillable"/>
    <s v="Radiology-Interventional"/>
    <x v="0"/>
    <m/>
    <n v="0"/>
    <n v="0"/>
    <n v="7.07"/>
    <n v="0"/>
    <n v="0"/>
    <n v="0"/>
    <n v="0"/>
    <n v="2.66"/>
    <n v="0"/>
    <n v="0"/>
    <n v="0"/>
    <n v="10.64"/>
    <n v="20.37"/>
    <n v="-10.64"/>
  </r>
  <r>
    <x v="11"/>
    <x v="5"/>
    <x v="0"/>
    <s v="4812106"/>
    <n v="721640"/>
    <s v="Supplies-IV Solutions/Supplies - Nonbillable"/>
    <s v="Radiology-Interventional"/>
    <x v="0"/>
    <m/>
    <n v="0"/>
    <n v="11"/>
    <n v="0"/>
    <n v="0"/>
    <n v="10.75"/>
    <n v="0"/>
    <n v="0"/>
    <n v="128.13999999999999"/>
    <n v="184.53"/>
    <n v="110.83"/>
    <n v="106.42"/>
    <n v="87.2"/>
    <n v="638.87"/>
    <n v="19.22"/>
  </r>
  <r>
    <x v="11"/>
    <x v="5"/>
    <x v="0"/>
    <s v="4812106"/>
    <n v="721650"/>
    <s v="Supplies-Pharmacy Drugs - Nonbillable"/>
    <s v="Radiology-Interventional"/>
    <x v="0"/>
    <m/>
    <n v="0"/>
    <n v="0"/>
    <n v="0"/>
    <n v="0"/>
    <n v="0"/>
    <n v="0"/>
    <n v="0"/>
    <n v="0"/>
    <n v="0"/>
    <n v="0"/>
    <n v="0"/>
    <n v="2.0099999999999998"/>
    <n v="2.0099999999999998"/>
    <n v="-2.0099999999999998"/>
  </r>
  <r>
    <x v="11"/>
    <x v="5"/>
    <x v="0"/>
    <s v="4812106"/>
    <n v="721710"/>
    <s v="Supplies-Laboratory - Nonbillable"/>
    <s v="Radiology-Interventional"/>
    <x v="0"/>
    <m/>
    <n v="0"/>
    <n v="0"/>
    <n v="27.23"/>
    <n v="0"/>
    <n v="0"/>
    <n v="2.93"/>
    <n v="0"/>
    <n v="0"/>
    <n v="4.8899999999999997"/>
    <n v="4.24"/>
    <n v="0"/>
    <n v="0"/>
    <n v="39.29"/>
    <n v="0"/>
  </r>
  <r>
    <x v="11"/>
    <x v="5"/>
    <x v="0"/>
    <s v="4812106"/>
    <n v="721750"/>
    <s v="Supplies-Film/Radiographic - Nonbillable"/>
    <s v="Radiology-Interventional"/>
    <x v="0"/>
    <m/>
    <n v="0.94"/>
    <n v="0"/>
    <n v="0"/>
    <n v="0"/>
    <n v="0"/>
    <n v="0"/>
    <n v="0"/>
    <n v="0"/>
    <n v="0.94"/>
    <n v="0"/>
    <n v="2.82"/>
    <n v="0"/>
    <n v="4.6999999999999993"/>
    <n v="2.82"/>
  </r>
  <r>
    <x v="11"/>
    <x v="5"/>
    <x v="0"/>
    <s v="4812106"/>
    <n v="721810"/>
    <s v="Supplies-Dietary/Cafeteria"/>
    <s v="Radiology-Interventional"/>
    <x v="0"/>
    <m/>
    <n v="0"/>
    <n v="0"/>
    <n v="0"/>
    <n v="8"/>
    <n v="0"/>
    <n v="0"/>
    <n v="8"/>
    <n v="0"/>
    <n v="0"/>
    <n v="0"/>
    <n v="0"/>
    <n v="7.74"/>
    <n v="23.740000000000002"/>
    <n v="-7.74"/>
  </r>
  <r>
    <x v="11"/>
    <x v="5"/>
    <x v="0"/>
    <s v="4812106"/>
    <n v="721870"/>
    <s v="Supplies-Environmental Services"/>
    <s v="Radiology-Interventional"/>
    <x v="0"/>
    <m/>
    <n v="20.93"/>
    <n v="0"/>
    <n v="0"/>
    <n v="0"/>
    <n v="0"/>
    <n v="3.94"/>
    <n v="0"/>
    <n v="28.15"/>
    <n v="12.92"/>
    <n v="22.75"/>
    <n v="52.24"/>
    <n v="14.38"/>
    <n v="155.31"/>
    <n v="37.86"/>
  </r>
  <r>
    <x v="11"/>
    <x v="5"/>
    <x v="0"/>
    <s v="4812106"/>
    <n v="721880"/>
    <s v="Supplies-Linen"/>
    <s v="Radiology-Interventional"/>
    <x v="0"/>
    <m/>
    <n v="0"/>
    <n v="0"/>
    <n v="0"/>
    <n v="0"/>
    <n v="45.12"/>
    <n v="0"/>
    <n v="0"/>
    <n v="45.12"/>
    <n v="0"/>
    <n v="0"/>
    <n v="0"/>
    <n v="0"/>
    <n v="90.24"/>
    <n v="0"/>
  </r>
  <r>
    <x v="11"/>
    <x v="5"/>
    <x v="0"/>
    <s v="4812106"/>
    <n v="721910"/>
    <s v="Supplies-Small Equipment"/>
    <s v="Radiology-Interventional"/>
    <x v="0"/>
    <m/>
    <n v="9.33"/>
    <n v="0"/>
    <n v="0"/>
    <n v="0"/>
    <n v="0"/>
    <n v="0"/>
    <n v="0"/>
    <n v="0"/>
    <n v="0"/>
    <n v="0"/>
    <n v="0"/>
    <n v="0"/>
    <n v="9.33"/>
    <n v="0"/>
  </r>
  <r>
    <x v="11"/>
    <x v="5"/>
    <x v="0"/>
    <s v="4812106"/>
    <n v="721910"/>
    <s v="Instruments"/>
    <s v="Radiology-Interventional"/>
    <x v="0"/>
    <n v="1000"/>
    <n v="0"/>
    <n v="0"/>
    <n v="802.16"/>
    <n v="0"/>
    <n v="0"/>
    <n v="0"/>
    <n v="0"/>
    <n v="0"/>
    <n v="0"/>
    <n v="160.6"/>
    <n v="0"/>
    <n v="0"/>
    <n v="962.76"/>
    <n v="0"/>
  </r>
  <r>
    <x v="11"/>
    <x v="5"/>
    <x v="0"/>
    <s v="4812106"/>
    <n v="721980"/>
    <s v="Supplies-Other"/>
    <s v="Radiology-Interventional"/>
    <x v="0"/>
    <m/>
    <n v="0"/>
    <n v="0"/>
    <n v="204.12"/>
    <n v="0"/>
    <n v="0"/>
    <n v="-7.05"/>
    <n v="0"/>
    <n v="0"/>
    <n v="0"/>
    <n v="0"/>
    <n v="0"/>
    <n v="0"/>
    <n v="197.07"/>
    <n v="0"/>
  </r>
  <r>
    <x v="11"/>
    <x v="5"/>
    <x v="0"/>
    <s v="4812106"/>
    <n v="722000"/>
    <s v="Supplies-Freight Expense"/>
    <s v="Radiology-Interventional"/>
    <x v="0"/>
    <m/>
    <n v="67.28"/>
    <n v="9.06"/>
    <n v="7.93"/>
    <n v="0"/>
    <n v="1407.62"/>
    <n v="0"/>
    <n v="0"/>
    <n v="0"/>
    <n v="9.24"/>
    <n v="0"/>
    <n v="0"/>
    <n v="0"/>
    <n v="1501.1299999999999"/>
    <n v="0"/>
  </r>
  <r>
    <x v="12"/>
    <x v="5"/>
    <x v="0"/>
    <s v="4812106"/>
    <n v="730020"/>
    <s v="Rental and Leases-Copier Usage Fees (DO NOT USE)"/>
    <s v="Radiology-Interventional"/>
    <x v="0"/>
    <n v="5100"/>
    <n v="47.61"/>
    <n v="48.47"/>
    <n v="48.04"/>
    <n v="48.04"/>
    <n v="48.04"/>
    <n v="48.04"/>
    <n v="91.96"/>
    <n v="50.51"/>
    <n v="50.4"/>
    <n v="51.54"/>
    <n v="50.51"/>
    <n v="61.53"/>
    <n v="644.68999999999994"/>
    <n v="-11.020000000000003"/>
  </r>
  <r>
    <x v="15"/>
    <x v="5"/>
    <x v="0"/>
    <s v="4812106"/>
    <n v="731060"/>
    <s v="Cell Phones"/>
    <s v="Radiology-Interventional"/>
    <x v="0"/>
    <n v="1001"/>
    <n v="0"/>
    <n v="53.87"/>
    <n v="26.42"/>
    <n v="0"/>
    <n v="26.47"/>
    <n v="27.06"/>
    <n v="54.14"/>
    <n v="0"/>
    <n v="28.08"/>
    <n v="54.15"/>
    <n v="26.9"/>
    <n v="27.33"/>
    <n v="324.4199999999999"/>
    <n v="-0.42999999999999972"/>
  </r>
  <r>
    <x v="15"/>
    <x v="5"/>
    <x v="0"/>
    <s v="4812106"/>
    <n v="731060"/>
    <s v="Pagers"/>
    <s v="Radiology-Interventional"/>
    <x v="0"/>
    <n v="1002"/>
    <n v="31.96"/>
    <n v="31.96"/>
    <n v="31.96"/>
    <n v="32.08"/>
    <n v="32.08"/>
    <n v="0"/>
    <n v="64.16"/>
    <n v="32.08"/>
    <n v="32.08"/>
    <n v="32.04"/>
    <n v="32.04"/>
    <n v="32.04"/>
    <n v="384.48"/>
    <n v="0"/>
  </r>
  <r>
    <x v="16"/>
    <x v="5"/>
    <x v="0"/>
    <s v="4812106"/>
    <n v="732030"/>
    <s v="Repairs---Other"/>
    <s v="Radiology-Interventional"/>
    <x v="0"/>
    <m/>
    <n v="0"/>
    <n v="0"/>
    <n v="0"/>
    <n v="0"/>
    <n v="0"/>
    <n v="0"/>
    <n v="357.5"/>
    <n v="0"/>
    <n v="0"/>
    <n v="0"/>
    <n v="0"/>
    <n v="0"/>
    <n v="357.5"/>
    <n v="0"/>
  </r>
  <r>
    <x v="13"/>
    <x v="5"/>
    <x v="0"/>
    <s v="4812106"/>
    <n v="735040"/>
    <s v="Depreciation-Building Improvements"/>
    <s v="Radiology-Interventional"/>
    <x v="0"/>
    <m/>
    <n v="20.98"/>
    <n v="20.98"/>
    <n v="20.98"/>
    <n v="20.98"/>
    <n v="20.98"/>
    <n v="20.98"/>
    <n v="20.98"/>
    <n v="20.98"/>
    <n v="20.99"/>
    <n v="20.97"/>
    <n v="20.99"/>
    <n v="20.97"/>
    <n v="251.76000000000002"/>
    <n v="1.9999999999999574E-2"/>
  </r>
  <r>
    <x v="13"/>
    <x v="5"/>
    <x v="0"/>
    <s v="4812106"/>
    <n v="735060"/>
    <s v="Depreciation-Fixed Equipment"/>
    <s v="Radiology-Interventional"/>
    <x v="0"/>
    <m/>
    <n v="10.73"/>
    <n v="10.73"/>
    <n v="10.73"/>
    <n v="10.72"/>
    <n v="10.73"/>
    <n v="10.72"/>
    <n v="10.73"/>
    <n v="10.72"/>
    <n v="10.73"/>
    <n v="10.72"/>
    <n v="10.73"/>
    <n v="10.72"/>
    <n v="128.71"/>
    <n v="9.9999999999997868E-3"/>
  </r>
  <r>
    <x v="13"/>
    <x v="5"/>
    <x v="0"/>
    <s v="4812106"/>
    <n v="735070"/>
    <s v="Depreciation-Movable Equipment"/>
    <s v="Radiology-Interventional"/>
    <x v="0"/>
    <m/>
    <n v="11938.7"/>
    <n v="11938.67"/>
    <n v="11938.71"/>
    <n v="11938.66"/>
    <n v="11938.72"/>
    <n v="11938.64"/>
    <n v="11938.72"/>
    <n v="11938.62"/>
    <n v="11938.73"/>
    <n v="11938.6"/>
    <n v="11938.75"/>
    <n v="11938.59"/>
    <n v="143264.11000000002"/>
    <n v="0.15999999999985448"/>
  </r>
  <r>
    <x v="18"/>
    <x v="10"/>
    <x v="0"/>
    <s v="4812306"/>
    <n v="400010"/>
    <s v="Acute I/P Svcs Rev--Medicare"/>
    <s v="Radiology-Interventional"/>
    <x v="0"/>
    <n v="1100"/>
    <n v="-7658.24"/>
    <n v="0"/>
    <n v="0"/>
    <n v="0"/>
    <n v="0"/>
    <n v="0"/>
    <n v="0"/>
    <n v="11005.73"/>
    <n v="0"/>
    <n v="0"/>
    <n v="0"/>
    <n v="0"/>
    <n v="3347.49"/>
    <n v="0"/>
  </r>
  <r>
    <x v="18"/>
    <x v="10"/>
    <x v="0"/>
    <s v="4812306"/>
    <n v="400010"/>
    <s v="Acute I/P Svcs Rev--Comm Insurance"/>
    <s v="Radiology-Interventional"/>
    <x v="0"/>
    <n v="1300"/>
    <n v="0"/>
    <n v="0"/>
    <n v="0"/>
    <n v="0"/>
    <n v="0"/>
    <n v="0"/>
    <n v="0"/>
    <n v="-11005.73"/>
    <n v="0"/>
    <n v="0"/>
    <n v="0"/>
    <n v="0"/>
    <n v="-11005.73"/>
    <n v="0"/>
  </r>
  <r>
    <x v="18"/>
    <x v="10"/>
    <x v="0"/>
    <s v="4812306"/>
    <n v="400010"/>
    <s v="Acute I/P Svcs Rev--Managed Care"/>
    <s v="Radiology-Interventional"/>
    <x v="0"/>
    <n v="1400"/>
    <n v="9673.73"/>
    <n v="0"/>
    <n v="0"/>
    <n v="0"/>
    <n v="0"/>
    <n v="0"/>
    <n v="0"/>
    <n v="0"/>
    <n v="0"/>
    <n v="0"/>
    <n v="0"/>
    <n v="0"/>
    <n v="9673.73"/>
    <n v="0"/>
  </r>
  <r>
    <x v="7"/>
    <x v="10"/>
    <x v="0"/>
    <s v="4812306"/>
    <n v="718050"/>
    <s v="Miscellaneous Purchased Svcs"/>
    <s v="Radiology-Interventional"/>
    <x v="0"/>
    <n v="1020"/>
    <n v="-375.48"/>
    <n v="0"/>
    <n v="0"/>
    <n v="0"/>
    <n v="0"/>
    <n v="0"/>
    <n v="0"/>
    <n v="0"/>
    <n v="0"/>
    <n v="0"/>
    <n v="0"/>
    <n v="0"/>
    <n v="-375.48"/>
    <n v="0"/>
  </r>
  <r>
    <x v="18"/>
    <x v="3"/>
    <x v="0"/>
    <s v="4815101"/>
    <n v="400010"/>
    <s v="Acute I/P Svcs Rev--Medicare"/>
    <s v="MRI"/>
    <x v="0"/>
    <n v="1100"/>
    <n v="-583350.63"/>
    <n v="-757069.12"/>
    <n v="-529128.17000000004"/>
    <n v="-564909.06999999995"/>
    <n v="-540098.68999999994"/>
    <n v="-662455.91"/>
    <n v="-763936.96"/>
    <n v="-502576.52"/>
    <n v="-554515.11"/>
    <n v="-721412.57"/>
    <n v="-702371.22"/>
    <n v="-661807.34"/>
    <n v="-7543631.3100000005"/>
    <n v="-40563.880000000005"/>
  </r>
  <r>
    <x v="18"/>
    <x v="3"/>
    <x v="0"/>
    <s v="4815101"/>
    <n v="400010"/>
    <s v="Acute I/P Svcs Rev--Medicaid"/>
    <s v="MRI"/>
    <x v="0"/>
    <n v="1200"/>
    <n v="-144631.03"/>
    <n v="-357089.88"/>
    <n v="-304161.64"/>
    <n v="-152182.51999999999"/>
    <n v="-239076.7"/>
    <n v="-140521.39000000001"/>
    <n v="-371890.17"/>
    <n v="-178549.84"/>
    <n v="-249578.97"/>
    <n v="-157313.68"/>
    <n v="-284764.23"/>
    <n v="-135659.25"/>
    <n v="-2715419.3000000003"/>
    <n v="-149104.97999999998"/>
  </r>
  <r>
    <x v="18"/>
    <x v="3"/>
    <x v="0"/>
    <s v="4815101"/>
    <n v="400010"/>
    <s v="Acute I/P Svcs Rev--Comm Insurance"/>
    <s v="MRI"/>
    <x v="0"/>
    <n v="1300"/>
    <n v="-31923.119999999999"/>
    <n v="11125.95"/>
    <n v="-52550.8"/>
    <n v="-39986.43"/>
    <n v="-54119.14"/>
    <n v="-49285.82"/>
    <n v="-34505.599999999999"/>
    <n v="6765.64"/>
    <n v="-48984.01"/>
    <n v="-906.53"/>
    <n v="1814.21"/>
    <n v="-32273.73"/>
    <n v="-324829.37999999995"/>
    <n v="34087.94"/>
  </r>
  <r>
    <x v="18"/>
    <x v="3"/>
    <x v="0"/>
    <s v="4815101"/>
    <n v="400010"/>
    <s v="Acute I/P Svcs Rev--BCBS Comm"/>
    <s v="MRI"/>
    <x v="0"/>
    <n v="1301"/>
    <n v="-39178.019999999997"/>
    <n v="-55319.27"/>
    <n v="-71619.240000000005"/>
    <n v="-42002.66"/>
    <n v="-42332.12"/>
    <n v="-93943.14"/>
    <n v="-31610.03"/>
    <n v="-41193.050000000003"/>
    <n v="-18096.48"/>
    <n v="-50705.5"/>
    <n v="-90116.78"/>
    <n v="-15109.55"/>
    <n v="-591225.84"/>
    <n v="-75007.23"/>
  </r>
  <r>
    <x v="18"/>
    <x v="3"/>
    <x v="0"/>
    <s v="4815101"/>
    <n v="400010"/>
    <s v="Acute I/P Svcs Rev--Managed Care"/>
    <s v="MRI"/>
    <x v="0"/>
    <n v="1400"/>
    <n v="-225480.2"/>
    <n v="-267490.07"/>
    <n v="-320240.07"/>
    <n v="-177665.24"/>
    <n v="-129482.4"/>
    <n v="-221053.89"/>
    <n v="-286733.43"/>
    <n v="-263471.78000000003"/>
    <n v="-245745.19"/>
    <n v="-254669.31"/>
    <n v="-197289.1"/>
    <n v="-281902.03999999998"/>
    <n v="-2871222.72"/>
    <n v="84612.939999999973"/>
  </r>
  <r>
    <x v="18"/>
    <x v="3"/>
    <x v="0"/>
    <s v="4815101"/>
    <n v="400010"/>
    <s v="Acute I/P Svcs Rev--Self Pay"/>
    <s v="MRI"/>
    <x v="0"/>
    <n v="1500"/>
    <n v="-29691.78"/>
    <n v="-10957.11"/>
    <n v="-13518.7"/>
    <n v="-4095.7"/>
    <n v="-24447.24"/>
    <n v="-10832.51"/>
    <n v="-3822.84"/>
    <n v="0"/>
    <n v="-3335.35"/>
    <n v="-3937.53"/>
    <n v="-13599.82"/>
    <n v="-3410.83"/>
    <n v="-121649.40999999999"/>
    <n v="-10188.99"/>
  </r>
  <r>
    <x v="18"/>
    <x v="3"/>
    <x v="0"/>
    <s v="4815101"/>
    <n v="400010"/>
    <s v="Acute I/P Svcs Rev--Other"/>
    <s v="MRI"/>
    <x v="0"/>
    <n v="1700"/>
    <n v="-34764.99"/>
    <n v="-52242.67"/>
    <n v="-59052.59"/>
    <n v="-24224.22"/>
    <n v="-39762.639999999999"/>
    <n v="-30249.64"/>
    <n v="-1555.4"/>
    <n v="-65409.21"/>
    <n v="-27622.1"/>
    <n v="-60997.07"/>
    <n v="-64143.4"/>
    <n v="-55190.36"/>
    <n v="-515214.29"/>
    <n v="-8953.0400000000009"/>
  </r>
  <r>
    <x v="19"/>
    <x v="3"/>
    <x v="0"/>
    <s v="4815101"/>
    <n v="400020"/>
    <s v="O/P Care Svcs Rev--Medicare"/>
    <s v="MRI"/>
    <x v="0"/>
    <n v="1100"/>
    <n v="-750042.24"/>
    <n v="-759977.88"/>
    <n v="-672460.56"/>
    <n v="-712619.13"/>
    <n v="-951699.22"/>
    <n v="-723673.29"/>
    <n v="-718445.3"/>
    <n v="-705344.37"/>
    <n v="-638197.01"/>
    <n v="-828758.11"/>
    <n v="-1123642.3799999999"/>
    <n v="-930923"/>
    <n v="-9515782.4900000002"/>
    <n v="-192719.37999999989"/>
  </r>
  <r>
    <x v="19"/>
    <x v="3"/>
    <x v="0"/>
    <s v="4815101"/>
    <n v="400020"/>
    <s v="O/P Care Svcs Rev--Medicaid"/>
    <s v="MRI"/>
    <x v="0"/>
    <n v="1200"/>
    <n v="-242343.08"/>
    <n v="-350010.82"/>
    <n v="-353883.59"/>
    <n v="-494352.83"/>
    <n v="-351701.36"/>
    <n v="-319455.53999999998"/>
    <n v="-325393.88"/>
    <n v="-424555.36"/>
    <n v="-383891.12"/>
    <n v="-329405.55"/>
    <n v="-381018.17"/>
    <n v="-298795.71000000002"/>
    <n v="-4254807.01"/>
    <n v="-82222.459999999963"/>
  </r>
  <r>
    <x v="19"/>
    <x v="3"/>
    <x v="0"/>
    <s v="4815101"/>
    <n v="400020"/>
    <s v="O/P Care Svcs Rev--Comm Insurance"/>
    <s v="MRI"/>
    <x v="0"/>
    <n v="1300"/>
    <n v="-105719.03999999999"/>
    <n v="-43045.94"/>
    <n v="-60373.38"/>
    <n v="-116994.21"/>
    <n v="-82109.440000000002"/>
    <n v="-67307.63"/>
    <n v="-36233.589999999997"/>
    <n v="-84160.03"/>
    <n v="-110979.93"/>
    <n v="-70265.919999999998"/>
    <n v="-74782.820000000007"/>
    <n v="-81852.36"/>
    <n v="-933824.28999999992"/>
    <n v="7069.5399999999936"/>
  </r>
  <r>
    <x v="19"/>
    <x v="3"/>
    <x v="0"/>
    <s v="4815101"/>
    <n v="400020"/>
    <s v="O/P Care Svcs Rev--BCBS Comm"/>
    <s v="MRI"/>
    <x v="0"/>
    <n v="1301"/>
    <n v="-147157.19"/>
    <n v="-103079.3"/>
    <n v="-116376.6"/>
    <n v="-136190.71"/>
    <n v="-163596.06"/>
    <n v="-122829.67"/>
    <n v="-181411.89"/>
    <n v="-81234.37"/>
    <n v="-160040.69"/>
    <n v="-129305.07"/>
    <n v="-186186.54"/>
    <n v="-156501.09"/>
    <n v="-1683909.1800000002"/>
    <n v="-29685.450000000012"/>
  </r>
  <r>
    <x v="19"/>
    <x v="3"/>
    <x v="0"/>
    <s v="4815101"/>
    <n v="400020"/>
    <s v="O/P Care Svcs Rev--Managed Care"/>
    <s v="MRI"/>
    <x v="0"/>
    <n v="1400"/>
    <n v="-256781.53"/>
    <n v="-546801.88"/>
    <n v="-439258.55"/>
    <n v="-642602.54"/>
    <n v="-484452.68"/>
    <n v="-502577.07"/>
    <n v="-424671.26"/>
    <n v="-332560.88"/>
    <n v="-421134.64"/>
    <n v="-651840.18999999994"/>
    <n v="-541871.35999999999"/>
    <n v="-624315.77"/>
    <n v="-5868868.3499999996"/>
    <n v="82444.410000000033"/>
  </r>
  <r>
    <x v="19"/>
    <x v="3"/>
    <x v="0"/>
    <s v="4815101"/>
    <n v="400020"/>
    <s v="O/P Care Svcs Rev--Self Pay"/>
    <s v="MRI"/>
    <x v="0"/>
    <n v="1500"/>
    <n v="-9075.2999999999993"/>
    <n v="-33967.81"/>
    <n v="-68471.679999999993"/>
    <n v="-38070.480000000003"/>
    <n v="-7466.52"/>
    <n v="-18281.849999999999"/>
    <n v="-17219.87"/>
    <n v="-85696.77"/>
    <n v="-8191.06"/>
    <n v="-17990.400000000001"/>
    <n v="-40234.269999999997"/>
    <n v="-42135.45"/>
    <n v="-386801.46"/>
    <n v="1901.1800000000003"/>
  </r>
  <r>
    <x v="19"/>
    <x v="3"/>
    <x v="0"/>
    <s v="4815101"/>
    <n v="400020"/>
    <s v="O/P Care Svcs Rev--Other"/>
    <s v="MRI"/>
    <x v="0"/>
    <n v="1700"/>
    <n v="-96100.76"/>
    <n v="-159548.03"/>
    <n v="-93660.99"/>
    <n v="-102191.31"/>
    <n v="-128725.77"/>
    <n v="-133488.4"/>
    <n v="-80549.02"/>
    <n v="-126118.02"/>
    <n v="-127608.81"/>
    <n v="-68259.44"/>
    <n v="-93201.35"/>
    <n v="-123356.1"/>
    <n v="-1332808.0000000002"/>
    <n v="30154.75"/>
  </r>
  <r>
    <x v="5"/>
    <x v="3"/>
    <x v="0"/>
    <s v="4815101"/>
    <n v="700026"/>
    <s v="Salaries-RN-OT"/>
    <s v="MRI"/>
    <x v="0"/>
    <n v="1000"/>
    <n v="0"/>
    <n v="0"/>
    <n v="0"/>
    <n v="0"/>
    <n v="0"/>
    <n v="0"/>
    <n v="56.16"/>
    <n v="-14.77"/>
    <n v="0"/>
    <n v="0"/>
    <n v="0"/>
    <n v="0"/>
    <n v="41.39"/>
    <n v="0"/>
  </r>
  <r>
    <x v="5"/>
    <x v="3"/>
    <x v="0"/>
    <s v="4815101"/>
    <n v="700026"/>
    <s v="Salaries-RN-Other"/>
    <s v="MRI"/>
    <x v="0"/>
    <n v="2000"/>
    <n v="0"/>
    <n v="0"/>
    <n v="0"/>
    <n v="0"/>
    <n v="0"/>
    <n v="0"/>
    <n v="1.01"/>
    <n v="-0.26"/>
    <n v="0"/>
    <n v="0"/>
    <n v="0"/>
    <n v="0"/>
    <n v="0.75"/>
    <n v="0"/>
  </r>
  <r>
    <x v="5"/>
    <x v="3"/>
    <x v="0"/>
    <s v="4815101"/>
    <n v="700032"/>
    <s v="Salaries-Other Pat Care Providers-Productive"/>
    <s v="MRI"/>
    <x v="0"/>
    <m/>
    <n v="1025.01"/>
    <n v="179.91"/>
    <n v="4013.44"/>
    <n v="2910.5"/>
    <n v="4984.29"/>
    <n v="3819.13"/>
    <n v="8853.2000000000007"/>
    <n v="6646.17"/>
    <n v="8143.57"/>
    <n v="8644.9500000000007"/>
    <n v="9189.0400000000009"/>
    <n v="8163.1"/>
    <n v="66572.31"/>
    <n v="1025.9400000000005"/>
  </r>
  <r>
    <x v="5"/>
    <x v="3"/>
    <x v="0"/>
    <s v="4815101"/>
    <n v="700032"/>
    <s v="Salaries-Other Pat Care Providers-OT"/>
    <s v="MRI"/>
    <x v="0"/>
    <n v="1000"/>
    <n v="172.79"/>
    <n v="-30.48"/>
    <n v="32.33"/>
    <n v="38.799999999999997"/>
    <n v="238.06"/>
    <n v="27.14"/>
    <n v="1093.29"/>
    <n v="1524.89"/>
    <n v="1233.71"/>
    <n v="2223.62"/>
    <n v="165.58"/>
    <n v="409.08"/>
    <n v="7128.8099999999995"/>
    <n v="-243.49999999999997"/>
  </r>
  <r>
    <x v="5"/>
    <x v="3"/>
    <x v="0"/>
    <s v="4815101"/>
    <n v="700032"/>
    <s v="Salaries-Other Pat Care Providers-Other"/>
    <s v="MRI"/>
    <x v="0"/>
    <n v="2000"/>
    <n v="95.86"/>
    <n v="2.39"/>
    <n v="267.55"/>
    <n v="241.17"/>
    <n v="289.91000000000003"/>
    <n v="243.46"/>
    <n v="606.32000000000005"/>
    <n v="580.52"/>
    <n v="615.98"/>
    <n v="625.74"/>
    <n v="640.37"/>
    <n v="457.98"/>
    <n v="4667.25"/>
    <n v="182.39"/>
  </r>
  <r>
    <x v="5"/>
    <x v="3"/>
    <x v="0"/>
    <s v="4815101"/>
    <n v="700034"/>
    <s v="Salaries-Tech/Professional-Productive"/>
    <s v="MRI"/>
    <x v="0"/>
    <m/>
    <n v="34454.68"/>
    <n v="48156.1"/>
    <n v="43255.92"/>
    <n v="40032.22"/>
    <n v="37258.15"/>
    <n v="38594.29"/>
    <n v="33114.74"/>
    <n v="30855.71"/>
    <n v="37847.56"/>
    <n v="40735.64"/>
    <n v="44137.53"/>
    <n v="32693.3"/>
    <n v="461135.84"/>
    <n v="11444.23"/>
  </r>
  <r>
    <x v="5"/>
    <x v="3"/>
    <x v="0"/>
    <s v="4815101"/>
    <n v="700034"/>
    <s v="Salaries-Tech/Professional-OT"/>
    <s v="MRI"/>
    <x v="0"/>
    <n v="1000"/>
    <n v="3085.55"/>
    <n v="3341.97"/>
    <n v="2655.54"/>
    <n v="2015.71"/>
    <n v="9943.24"/>
    <n v="5074.2299999999996"/>
    <n v="6402.73"/>
    <n v="6666.82"/>
    <n v="5237.34"/>
    <n v="9004.7000000000007"/>
    <n v="6693.67"/>
    <n v="7280.09"/>
    <n v="67401.59"/>
    <n v="-586.42000000000007"/>
  </r>
  <r>
    <x v="5"/>
    <x v="3"/>
    <x v="0"/>
    <s v="4815101"/>
    <n v="700034"/>
    <s v="Salaries-Tech/Professional-Other"/>
    <s v="MRI"/>
    <x v="0"/>
    <n v="2000"/>
    <n v="2847.54"/>
    <n v="3925.87"/>
    <n v="4373.78"/>
    <n v="3585.59"/>
    <n v="3948.71"/>
    <n v="3278.85"/>
    <n v="4292.67"/>
    <n v="3252.93"/>
    <n v="3072.88"/>
    <n v="3605.8"/>
    <n v="2965.09"/>
    <n v="2545.34"/>
    <n v="41695.049999999988"/>
    <n v="419.75"/>
  </r>
  <r>
    <x v="5"/>
    <x v="3"/>
    <x v="0"/>
    <s v="4815101"/>
    <n v="700072"/>
    <s v="Salaries-Other Pat Care Providers-Non-productive"/>
    <s v="MRI"/>
    <x v="0"/>
    <m/>
    <n v="0"/>
    <n v="0"/>
    <n v="155.31"/>
    <n v="0"/>
    <n v="1061.48"/>
    <n v="-88.08"/>
    <n v="-19.559999999999999"/>
    <n v="329.91"/>
    <n v="669.83"/>
    <n v="-19.97"/>
    <n v="494.26"/>
    <n v="1261.56"/>
    <n v="3844.7400000000002"/>
    <n v="-767.3"/>
  </r>
  <r>
    <x v="5"/>
    <x v="3"/>
    <x v="0"/>
    <s v="4815101"/>
    <n v="700072"/>
    <s v="Salaries-Other Pat Care Providers-NonProd-Other"/>
    <s v="MRI"/>
    <x v="0"/>
    <n v="2000"/>
    <n v="0"/>
    <n v="0"/>
    <n v="25.48"/>
    <n v="-4.72"/>
    <n v="92.21"/>
    <n v="-10.85"/>
    <n v="8.6199999999999992"/>
    <n v="32.369999999999997"/>
    <n v="51.74"/>
    <n v="13.22"/>
    <n v="37.82"/>
    <n v="93.8"/>
    <n v="339.69"/>
    <n v="-55.98"/>
  </r>
  <r>
    <x v="5"/>
    <x v="3"/>
    <x v="0"/>
    <s v="4815101"/>
    <n v="700074"/>
    <s v="Salaries-Tech/Professional-Non-productive"/>
    <s v="MRI"/>
    <x v="0"/>
    <m/>
    <n v="2584.64"/>
    <n v="5571.99"/>
    <n v="6467.07"/>
    <n v="6049.21"/>
    <n v="19718.810000000001"/>
    <n v="7048.83"/>
    <n v="5224.47"/>
    <n v="-335.67"/>
    <n v="1079.4000000000001"/>
    <n v="1915.07"/>
    <n v="3471.98"/>
    <n v="7679.08"/>
    <n v="66474.880000000005"/>
    <n v="-4207.1000000000004"/>
  </r>
  <r>
    <x v="5"/>
    <x v="3"/>
    <x v="0"/>
    <s v="4815101"/>
    <n v="700074"/>
    <s v="Salaries-Tech/Professional-NonProd-Other"/>
    <s v="MRI"/>
    <x v="0"/>
    <n v="2000"/>
    <n v="1655.41"/>
    <n v="1624.32"/>
    <n v="383.11"/>
    <n v="93.23"/>
    <n v="2349.83"/>
    <n v="769.17"/>
    <n v="1200.71"/>
    <n v="343.26"/>
    <n v="1648.32"/>
    <n v="812.82"/>
    <n v="1313.13"/>
    <n v="658.63"/>
    <n v="12851.939999999997"/>
    <n v="654.50000000000011"/>
  </r>
  <r>
    <x v="5"/>
    <x v="3"/>
    <x v="0"/>
    <s v="4815101"/>
    <n v="700084"/>
    <s v="Accrued PTO"/>
    <s v="MRI"/>
    <x v="0"/>
    <m/>
    <n v="-3179.92"/>
    <n v="28070.44"/>
    <n v="-4625.91"/>
    <n v="66.13"/>
    <n v="-26433.61"/>
    <n v="-1166.82"/>
    <n v="701.75"/>
    <n v="4214.8900000000003"/>
    <n v="3470.07"/>
    <n v="6166.86"/>
    <n v="3025.52"/>
    <n v="-466.44"/>
    <n v="9842.9599999999973"/>
    <n v="3491.96"/>
  </r>
  <r>
    <x v="10"/>
    <x v="3"/>
    <x v="0"/>
    <s v="4815101"/>
    <n v="710060"/>
    <s v="Contract Labor-Other"/>
    <s v="MRI"/>
    <x v="0"/>
    <m/>
    <n v="0"/>
    <n v="0"/>
    <n v="0"/>
    <n v="0"/>
    <n v="0"/>
    <n v="0"/>
    <n v="0"/>
    <n v="17614.34"/>
    <n v="11226.16"/>
    <n v="5304"/>
    <n v="2535"/>
    <n v="31277.599999999999"/>
    <n v="67957.100000000006"/>
    <n v="-28742.6"/>
  </r>
  <r>
    <x v="10"/>
    <x v="3"/>
    <x v="0"/>
    <s v="4815101"/>
    <n v="710060"/>
    <s v="Contract Labor-Overtime"/>
    <s v="MRI"/>
    <x v="0"/>
    <n v="5100"/>
    <n v="0"/>
    <n v="0"/>
    <n v="0"/>
    <n v="0"/>
    <n v="0"/>
    <n v="0"/>
    <n v="0"/>
    <n v="342.23"/>
    <n v="2316.59"/>
    <n v="1158.3"/>
    <n v="0"/>
    <n v="1394.62"/>
    <n v="5211.74"/>
    <n v="-1394.62"/>
  </r>
  <r>
    <x v="10"/>
    <x v="3"/>
    <x v="0"/>
    <s v="4815101"/>
    <n v="710060"/>
    <s v="Contract Labor-Standby Wages"/>
    <s v="MRI"/>
    <x v="0"/>
    <n v="5101"/>
    <n v="0"/>
    <n v="0"/>
    <n v="0"/>
    <n v="0"/>
    <n v="0"/>
    <n v="0"/>
    <n v="0"/>
    <n v="48"/>
    <n v="844"/>
    <n v="672"/>
    <n v="272"/>
    <n v="136"/>
    <n v="1972"/>
    <n v="136"/>
  </r>
  <r>
    <x v="6"/>
    <x v="3"/>
    <x v="0"/>
    <s v="4815101"/>
    <n v="713010"/>
    <s v="Benefits-FICA/Medicare"/>
    <s v="MRI"/>
    <x v="0"/>
    <m/>
    <n v="3495.58"/>
    <n v="4705.58"/>
    <n v="4655.6099999999997"/>
    <n v="4139.57"/>
    <n v="6079.34"/>
    <n v="4302.4799999999996"/>
    <n v="4815.72"/>
    <n v="3758.75"/>
    <n v="4473.6899999999996"/>
    <n v="5043.03"/>
    <n v="5158.71"/>
    <n v="4545.51"/>
    <n v="55173.570000000007"/>
    <n v="613.19999999999982"/>
  </r>
  <r>
    <x v="6"/>
    <x v="3"/>
    <x v="0"/>
    <s v="4815101"/>
    <n v="713090"/>
    <s v="Benefits-Allocated Amounts"/>
    <s v="MRI"/>
    <x v="0"/>
    <m/>
    <n v="7893.82"/>
    <n v="11731.37"/>
    <n v="11541.42"/>
    <n v="10504.05"/>
    <n v="13303.86"/>
    <n v="10470.09"/>
    <n v="12293.19"/>
    <n v="11308.76"/>
    <n v="10053.129999999999"/>
    <n v="13871.68"/>
    <n v="15159.21"/>
    <n v="12902.7"/>
    <n v="141033.28"/>
    <n v="2256.5099999999984"/>
  </r>
  <r>
    <x v="7"/>
    <x v="3"/>
    <x v="0"/>
    <s v="4815101"/>
    <n v="718050"/>
    <s v="Miscellaneous Purchased Svcs"/>
    <s v="MRI"/>
    <x v="0"/>
    <n v="1020"/>
    <n v="0"/>
    <n v="0"/>
    <n v="0"/>
    <n v="0"/>
    <n v="47.76"/>
    <n v="0"/>
    <n v="0"/>
    <n v="0"/>
    <n v="0"/>
    <n v="0"/>
    <n v="0"/>
    <n v="0"/>
    <n v="47.76"/>
    <n v="0"/>
  </r>
  <r>
    <x v="7"/>
    <x v="3"/>
    <x v="0"/>
    <s v="4815101"/>
    <n v="718050"/>
    <s v="Contract Management--Linen"/>
    <s v="MRI"/>
    <x v="0"/>
    <n v="1026"/>
    <n v="0"/>
    <n v="0"/>
    <n v="0"/>
    <n v="2586.59"/>
    <n v="4177.42"/>
    <n v="942.34"/>
    <n v="1176.25"/>
    <n v="1169.19"/>
    <n v="1163.1099999999999"/>
    <n v="1128.51"/>
    <n v="1797.34"/>
    <n v="1071.8499999999999"/>
    <n v="15212.600000000002"/>
    <n v="725.49"/>
  </r>
  <r>
    <x v="7"/>
    <x v="3"/>
    <x v="0"/>
    <s v="4815101"/>
    <n v="718070"/>
    <s v="Contract Srvcs-CHI Clinical Engineering"/>
    <s v="MRI"/>
    <x v="0"/>
    <m/>
    <n v="0"/>
    <n v="0"/>
    <n v="0"/>
    <n v="18228.8"/>
    <n v="97997.15"/>
    <n v="18228.8"/>
    <n v="18228.8"/>
    <n v="18228.8"/>
    <n v="18228.8"/>
    <n v="18228.8"/>
    <n v="17374.830000000002"/>
    <n v="18245.36"/>
    <n v="242990.13999999996"/>
    <n v="-870.52999999999884"/>
  </r>
  <r>
    <x v="11"/>
    <x v="3"/>
    <x v="0"/>
    <s v="4815101"/>
    <n v="721010"/>
    <s v="Supplies-Medical - Billable"/>
    <s v="MRI"/>
    <x v="0"/>
    <m/>
    <n v="0"/>
    <n v="0"/>
    <n v="7.76"/>
    <n v="811.67"/>
    <n v="274.22000000000003"/>
    <n v="57.8"/>
    <n v="54.16"/>
    <n v="72.72"/>
    <n v="60.85"/>
    <n v="125.9"/>
    <n v="30.12"/>
    <n v="91.55"/>
    <n v="1586.75"/>
    <n v="-61.429999999999993"/>
  </r>
  <r>
    <x v="11"/>
    <x v="3"/>
    <x v="0"/>
    <s v="4815101"/>
    <n v="721010"/>
    <s v="Patient Monitoring"/>
    <s v="MRI"/>
    <x v="0"/>
    <n v="1000"/>
    <n v="0"/>
    <n v="0"/>
    <n v="0"/>
    <n v="0"/>
    <n v="132.4"/>
    <n v="0"/>
    <n v="320.5"/>
    <n v="519.35"/>
    <n v="337.02"/>
    <n v="6.36"/>
    <n v="337.31"/>
    <n v="0"/>
    <n v="1652.9399999999998"/>
    <n v="337.31"/>
  </r>
  <r>
    <x v="11"/>
    <x v="3"/>
    <x v="0"/>
    <s v="4815101"/>
    <n v="721020"/>
    <s v="Supplies-Surgical - Billable"/>
    <s v="MRI"/>
    <x v="0"/>
    <m/>
    <n v="0"/>
    <n v="0"/>
    <n v="0"/>
    <n v="0"/>
    <n v="3.11"/>
    <n v="0"/>
    <n v="0"/>
    <n v="0"/>
    <n v="0"/>
    <n v="6.22"/>
    <n v="0"/>
    <n v="0"/>
    <n v="9.33"/>
    <n v="0"/>
  </r>
  <r>
    <x v="11"/>
    <x v="3"/>
    <x v="0"/>
    <s v="4815101"/>
    <n v="721020"/>
    <s v="Tubes Drains &amp; Related Supplies"/>
    <s v="MRI"/>
    <x v="0"/>
    <n v="1008"/>
    <n v="0"/>
    <n v="0"/>
    <n v="0"/>
    <n v="0"/>
    <n v="0"/>
    <n v="0"/>
    <n v="0"/>
    <n v="13.43"/>
    <n v="0"/>
    <n v="0"/>
    <n v="0"/>
    <n v="0"/>
    <n v="13.43"/>
    <n v="0"/>
  </r>
  <r>
    <x v="11"/>
    <x v="3"/>
    <x v="0"/>
    <s v="4815101"/>
    <n v="721050"/>
    <s v="Supplies-Cardiac Rhythm - Billable"/>
    <s v="MRI"/>
    <x v="0"/>
    <m/>
    <n v="0"/>
    <n v="0"/>
    <n v="0"/>
    <n v="1503"/>
    <n v="5157.78"/>
    <n v="2813.4"/>
    <n v="2094"/>
    <n v="841.38"/>
    <n v="1714.86"/>
    <n v="1182"/>
    <n v="1631.4"/>
    <n v="1663.5"/>
    <n v="18601.32"/>
    <n v="-32.099999999999909"/>
  </r>
  <r>
    <x v="11"/>
    <x v="3"/>
    <x v="0"/>
    <s v="4815101"/>
    <n v="721240"/>
    <s v="Supplies-IV Solutions/Supplies - Billable"/>
    <s v="MRI"/>
    <x v="0"/>
    <m/>
    <n v="0"/>
    <n v="0"/>
    <n v="0"/>
    <n v="1456.65"/>
    <n v="3484.14"/>
    <n v="585.30999999999995"/>
    <n v="912.98"/>
    <n v="1157.21"/>
    <n v="873.94"/>
    <n v="1316.5"/>
    <n v="729.38"/>
    <n v="899.94"/>
    <n v="11416.05"/>
    <n v="-170.56000000000006"/>
  </r>
  <r>
    <x v="11"/>
    <x v="3"/>
    <x v="0"/>
    <s v="4815101"/>
    <n v="721250"/>
    <s v="Supplies-Pharmacy Drugs - Billable"/>
    <s v="MRI"/>
    <x v="0"/>
    <m/>
    <n v="0"/>
    <n v="0"/>
    <n v="9779.9"/>
    <n v="4465.8"/>
    <n v="33653.15"/>
    <n v="0"/>
    <n v="4660.05"/>
    <n v="32844.65"/>
    <n v="-14021.57"/>
    <n v="8168.35"/>
    <n v="14578.65"/>
    <n v="5445.6"/>
    <n v="99574.580000000016"/>
    <n v="9133.0499999999993"/>
  </r>
  <r>
    <x v="11"/>
    <x v="3"/>
    <x v="0"/>
    <s v="4815101"/>
    <n v="721350"/>
    <s v="Supplies-Film/Radiographic - Billable"/>
    <s v="MRI"/>
    <x v="0"/>
    <m/>
    <n v="0"/>
    <n v="0"/>
    <n v="0"/>
    <n v="0"/>
    <n v="0"/>
    <n v="306.89999999999998"/>
    <n v="0"/>
    <n v="0"/>
    <n v="0"/>
    <n v="0"/>
    <n v="0"/>
    <n v="0"/>
    <n v="306.89999999999998"/>
    <n v="0"/>
  </r>
  <r>
    <x v="11"/>
    <x v="3"/>
    <x v="0"/>
    <s v="4815101"/>
    <n v="721350"/>
    <s v="Radiology Imaging - Contrast Media"/>
    <s v="MRI"/>
    <x v="0"/>
    <n v="1000"/>
    <n v="0"/>
    <n v="0"/>
    <n v="0"/>
    <n v="0"/>
    <n v="309.64999999999998"/>
    <n v="309.66000000000003"/>
    <n v="154.84"/>
    <n v="0"/>
    <n v="0"/>
    <n v="0"/>
    <n v="170.31"/>
    <n v="170.31"/>
    <n v="1114.77"/>
    <n v="0"/>
  </r>
  <r>
    <x v="11"/>
    <x v="3"/>
    <x v="0"/>
    <s v="4815101"/>
    <n v="721410"/>
    <s v="Supplies-Medical - Nonbillable"/>
    <s v="MRI"/>
    <x v="0"/>
    <m/>
    <n v="0"/>
    <n v="0"/>
    <n v="27.85"/>
    <n v="796.73"/>
    <n v="2437.15"/>
    <n v="680.3"/>
    <n v="2426.96"/>
    <n v="513.66"/>
    <n v="818.44"/>
    <n v="-11824.87"/>
    <n v="630.04999999999995"/>
    <n v="1914.37"/>
    <n v="-1579.3600000000006"/>
    <n v="-1284.32"/>
  </r>
  <r>
    <x v="11"/>
    <x v="3"/>
    <x v="0"/>
    <s v="4815101"/>
    <n v="721420"/>
    <s v="Supplies-Surgical Nonbillable"/>
    <s v="MRI"/>
    <x v="0"/>
    <m/>
    <n v="0"/>
    <n v="0"/>
    <n v="0"/>
    <n v="11.7"/>
    <n v="30.55"/>
    <n v="0"/>
    <n v="0"/>
    <n v="0"/>
    <n v="11.7"/>
    <n v="11.7"/>
    <n v="0"/>
    <n v="0"/>
    <n v="65.650000000000006"/>
    <n v="0"/>
  </r>
  <r>
    <x v="11"/>
    <x v="3"/>
    <x v="0"/>
    <s v="4815101"/>
    <n v="721420"/>
    <s v="Tubes Drains &amp; Related Supplies"/>
    <s v="MRI"/>
    <x v="0"/>
    <n v="1008"/>
    <n v="0"/>
    <n v="0"/>
    <n v="0"/>
    <n v="0"/>
    <n v="0"/>
    <n v="0"/>
    <n v="0"/>
    <n v="1.59"/>
    <n v="0"/>
    <n v="0"/>
    <n v="0"/>
    <n v="0"/>
    <n v="1.59"/>
    <n v="0"/>
  </r>
  <r>
    <x v="11"/>
    <x v="3"/>
    <x v="0"/>
    <s v="4815101"/>
    <n v="721420"/>
    <s v="Sterilization Process Products"/>
    <s v="MRI"/>
    <x v="0"/>
    <n v="1009"/>
    <n v="45.68"/>
    <n v="0"/>
    <n v="0"/>
    <n v="113.5"/>
    <n v="506.56"/>
    <n v="533.98"/>
    <n v="7.5"/>
    <n v="113.07"/>
    <n v="121"/>
    <n v="0"/>
    <n v="246.08"/>
    <n v="0"/>
    <n v="1687.37"/>
    <n v="246.08"/>
  </r>
  <r>
    <x v="11"/>
    <x v="3"/>
    <x v="0"/>
    <s v="4815101"/>
    <n v="721610"/>
    <s v="Supplies-Anesthesia - Nonbillable"/>
    <s v="MRI"/>
    <x v="0"/>
    <m/>
    <n v="0"/>
    <n v="0"/>
    <n v="0"/>
    <n v="2.6"/>
    <n v="65.45"/>
    <n v="20.97"/>
    <n v="2.34"/>
    <n v="21.71"/>
    <n v="14.08"/>
    <n v="24.3"/>
    <n v="3.19"/>
    <n v="21.48"/>
    <n v="176.11999999999998"/>
    <n v="-18.29"/>
  </r>
  <r>
    <x v="11"/>
    <x v="3"/>
    <x v="0"/>
    <s v="4815101"/>
    <n v="721640"/>
    <s v="Supplies-IV Solutions/Supplies - Nonbillable"/>
    <s v="MRI"/>
    <x v="0"/>
    <m/>
    <n v="0"/>
    <n v="0"/>
    <n v="0"/>
    <n v="38.93"/>
    <n v="1598.01"/>
    <n v="1679.95"/>
    <n v="1900.32"/>
    <n v="739.32"/>
    <n v="25.39"/>
    <n v="1683.78"/>
    <n v="1798.06"/>
    <n v="959.32"/>
    <n v="10423.08"/>
    <n v="838.7399999999999"/>
  </r>
  <r>
    <x v="11"/>
    <x v="3"/>
    <x v="0"/>
    <s v="4815101"/>
    <n v="721650"/>
    <s v="Supplies-Pharmacy Drugs - Nonbillable"/>
    <s v="MRI"/>
    <x v="0"/>
    <m/>
    <n v="0"/>
    <n v="0"/>
    <n v="6.86"/>
    <n v="7.25"/>
    <n v="15.89"/>
    <n v="7.25"/>
    <n v="7.25"/>
    <n v="0"/>
    <n v="7.25"/>
    <n v="7.25"/>
    <n v="7.25"/>
    <n v="8.59"/>
    <n v="74.84"/>
    <n v="-1.3399999999999999"/>
  </r>
  <r>
    <x v="11"/>
    <x v="3"/>
    <x v="0"/>
    <s v="4815101"/>
    <n v="721710"/>
    <s v="Supplies-Laboratory - Nonbillable"/>
    <s v="MRI"/>
    <x v="0"/>
    <m/>
    <n v="0"/>
    <n v="0"/>
    <n v="0"/>
    <n v="299.60000000000002"/>
    <n v="952.3"/>
    <n v="256.8"/>
    <n v="117.7"/>
    <n v="42.8"/>
    <n v="438.7"/>
    <n v="107"/>
    <n v="192.6"/>
    <n v="331.7"/>
    <n v="2739.2"/>
    <n v="-139.1"/>
  </r>
  <r>
    <x v="11"/>
    <x v="3"/>
    <x v="0"/>
    <s v="4815101"/>
    <n v="721750"/>
    <s v="Supplies-Film/Radiographic - Nonbillable"/>
    <s v="MRI"/>
    <x v="0"/>
    <m/>
    <n v="0"/>
    <n v="0"/>
    <n v="0"/>
    <n v="25.28"/>
    <n v="103.97"/>
    <n v="357.57"/>
    <n v="1037.0999999999999"/>
    <n v="912.16"/>
    <n v="-1.97"/>
    <n v="-37.64"/>
    <n v="20.6"/>
    <n v="28.1"/>
    <n v="2445.17"/>
    <n v="-7.5"/>
  </r>
  <r>
    <x v="11"/>
    <x v="3"/>
    <x v="0"/>
    <s v="4815101"/>
    <n v="721810"/>
    <s v="Supplies-Dietary/Cafeteria"/>
    <s v="MRI"/>
    <x v="0"/>
    <m/>
    <n v="0"/>
    <n v="0"/>
    <n v="0"/>
    <n v="9"/>
    <n v="314.39"/>
    <n v="57.95"/>
    <n v="65.11"/>
    <n v="104.35"/>
    <n v="104.76"/>
    <n v="46.81"/>
    <n v="114.89"/>
    <n v="160.46"/>
    <n v="977.71999999999991"/>
    <n v="-45.570000000000007"/>
  </r>
  <r>
    <x v="11"/>
    <x v="3"/>
    <x v="0"/>
    <s v="4815101"/>
    <n v="721870"/>
    <s v="Supplies-Environmental Services"/>
    <s v="MRI"/>
    <x v="0"/>
    <m/>
    <n v="197.75"/>
    <n v="40.39"/>
    <n v="28.32"/>
    <n v="365.29"/>
    <n v="388.93"/>
    <n v="370.21"/>
    <n v="401.05"/>
    <n v="202"/>
    <n v="183.49"/>
    <n v="78.36"/>
    <n v="226.52"/>
    <n v="69.87"/>
    <n v="2552.1800000000003"/>
    <n v="156.65"/>
  </r>
  <r>
    <x v="11"/>
    <x v="3"/>
    <x v="0"/>
    <s v="4815101"/>
    <n v="721910"/>
    <s v="Supplies-Small Equipment"/>
    <s v="MRI"/>
    <x v="0"/>
    <m/>
    <n v="0"/>
    <n v="0"/>
    <n v="0"/>
    <n v="403.82"/>
    <n v="392.09"/>
    <n v="5.65"/>
    <n v="1711.17"/>
    <n v="0"/>
    <n v="0"/>
    <n v="961.39"/>
    <n v="-9824.4500000000007"/>
    <n v="-319.70999999999998"/>
    <n v="-6670.0400000000009"/>
    <n v="-9504.7400000000016"/>
  </r>
  <r>
    <x v="11"/>
    <x v="3"/>
    <x v="0"/>
    <s v="4815101"/>
    <n v="721980"/>
    <s v="Supplies-Other"/>
    <s v="MRI"/>
    <x v="0"/>
    <m/>
    <n v="0"/>
    <n v="384"/>
    <n v="372.44"/>
    <n v="0"/>
    <n v="1065.77"/>
    <n v="0"/>
    <n v="0"/>
    <n v="55.05"/>
    <n v="284.06"/>
    <n v="0"/>
    <n v="301.86"/>
    <n v="95.28"/>
    <n v="2558.4600000000005"/>
    <n v="206.58"/>
  </r>
  <r>
    <x v="11"/>
    <x v="3"/>
    <x v="0"/>
    <s v="4815101"/>
    <n v="722000"/>
    <s v="Supplies-Freight Expense"/>
    <s v="MRI"/>
    <x v="0"/>
    <m/>
    <n v="0"/>
    <n v="0"/>
    <n v="0"/>
    <n v="0"/>
    <n v="238.59"/>
    <n v="17.14"/>
    <n v="109.91"/>
    <n v="0"/>
    <n v="42.27"/>
    <n v="18.79"/>
    <n v="227.1"/>
    <n v="16.059999999999999"/>
    <n v="669.8599999999999"/>
    <n v="211.04"/>
  </r>
  <r>
    <x v="12"/>
    <x v="3"/>
    <x v="0"/>
    <s v="4815101"/>
    <n v="730020"/>
    <s v="Rental and Leases-Copier Usage Fees (DO NOT USE)"/>
    <s v="MRI"/>
    <x v="0"/>
    <n v="5100"/>
    <n v="0"/>
    <n v="0"/>
    <n v="0"/>
    <n v="333.45"/>
    <n v="1507.58"/>
    <n v="368.21"/>
    <n v="826.84"/>
    <n v="340.49"/>
    <n v="339.78"/>
    <n v="452.89"/>
    <n v="340.49"/>
    <n v="395.77"/>
    <n v="4905.5"/>
    <n v="-55.279999999999973"/>
  </r>
  <r>
    <x v="16"/>
    <x v="3"/>
    <x v="0"/>
    <s v="4815101"/>
    <n v="732030"/>
    <s v="Repairs---Other"/>
    <s v="MRI"/>
    <x v="0"/>
    <m/>
    <n v="0"/>
    <n v="0"/>
    <n v="0"/>
    <n v="0"/>
    <n v="0"/>
    <n v="0"/>
    <n v="0"/>
    <n v="0"/>
    <n v="0"/>
    <n v="0"/>
    <n v="0"/>
    <n v="2500"/>
    <n v="2500"/>
    <n v="-2500"/>
  </r>
  <r>
    <x v="13"/>
    <x v="3"/>
    <x v="0"/>
    <s v="4815101"/>
    <n v="735070"/>
    <s v="Depreciation-Movable Equipment"/>
    <s v="MRI"/>
    <x v="0"/>
    <m/>
    <n v="0"/>
    <n v="996.89"/>
    <n v="990.94"/>
    <n v="7962.09"/>
    <n v="38541.339999999997"/>
    <n v="9698.23"/>
    <n v="9698.26"/>
    <n v="10684.34"/>
    <n v="10684.39"/>
    <n v="10684.34"/>
    <n v="10684.39"/>
    <n v="10684.34"/>
    <n v="121309.54999999997"/>
    <n v="4.9999999999272404E-2"/>
  </r>
  <r>
    <x v="0"/>
    <x v="3"/>
    <x v="0"/>
    <s v="4815101"/>
    <n v="749510"/>
    <s v="Miscellaneous Expenses"/>
    <s v="MRI"/>
    <x v="0"/>
    <m/>
    <n v="0"/>
    <n v="0"/>
    <n v="0"/>
    <n v="0"/>
    <n v="0"/>
    <n v="0"/>
    <n v="0"/>
    <n v="98.42"/>
    <n v="-98.42"/>
    <n v="0"/>
    <n v="0"/>
    <n v="0"/>
    <n v="0"/>
    <n v="0"/>
  </r>
  <r>
    <x v="0"/>
    <x v="3"/>
    <x v="0"/>
    <s v="4815101"/>
    <n v="749530"/>
    <s v="Travel"/>
    <s v="MRI"/>
    <x v="0"/>
    <m/>
    <n v="0"/>
    <n v="0"/>
    <n v="0"/>
    <n v="0"/>
    <n v="0"/>
    <n v="0"/>
    <n v="0"/>
    <n v="0"/>
    <n v="98.42"/>
    <n v="0"/>
    <n v="0"/>
    <n v="0"/>
    <n v="98.42"/>
    <n v="0"/>
  </r>
  <r>
    <x v="18"/>
    <x v="0"/>
    <x v="0"/>
    <s v="4815102"/>
    <n v="400010"/>
    <s v="Acute I/P Svcs Rev--Medicare"/>
    <s v="MRI"/>
    <x v="0"/>
    <n v="1100"/>
    <n v="-210957.94"/>
    <n v="-232877.68"/>
    <n v="-260498.75"/>
    <n v="-232806.14"/>
    <n v="-188707.06"/>
    <n v="-220331.86"/>
    <n v="-142493.04"/>
    <n v="-160273.78"/>
    <n v="-265796.95"/>
    <n v="-236969.55"/>
    <n v="-224811.61"/>
    <n v="-178761.14"/>
    <n v="-2555285.5"/>
    <n v="-46050.469999999972"/>
  </r>
  <r>
    <x v="18"/>
    <x v="0"/>
    <x v="0"/>
    <s v="4815102"/>
    <n v="400010"/>
    <s v="Acute I/P Svcs Rev--Medicaid"/>
    <s v="MRI"/>
    <x v="0"/>
    <n v="1200"/>
    <n v="-136910.65"/>
    <n v="-131348.95000000001"/>
    <n v="-57274.74"/>
    <n v="-90306.46"/>
    <n v="-94863.8"/>
    <n v="-88943.59"/>
    <n v="-59671.8"/>
    <n v="-84356.85"/>
    <n v="-44917.22"/>
    <n v="-64161.91"/>
    <n v="-81588.27"/>
    <n v="-87957.64"/>
    <n v="-1022301.88"/>
    <n v="6369.3699999999953"/>
  </r>
  <r>
    <x v="18"/>
    <x v="0"/>
    <x v="0"/>
    <s v="4815102"/>
    <n v="400010"/>
    <s v="Acute I/P Svcs Rev--Comm Insurance"/>
    <s v="MRI"/>
    <x v="0"/>
    <n v="1300"/>
    <n v="-25114"/>
    <n v="604.79999999999995"/>
    <n v="-4544.82"/>
    <n v="721.98"/>
    <n v="-14105.38"/>
    <n v="-6477.49"/>
    <n v="-11074.71"/>
    <n v="-3335.35"/>
    <n v="0"/>
    <n v="-3335.35"/>
    <n v="-6696.86"/>
    <n v="3640.8"/>
    <n v="-69716.37999999999"/>
    <n v="-10337.66"/>
  </r>
  <r>
    <x v="18"/>
    <x v="0"/>
    <x v="0"/>
    <s v="4815102"/>
    <n v="400010"/>
    <s v="Acute I/P Svcs Rev--BCBS Comm"/>
    <s v="MRI"/>
    <x v="0"/>
    <n v="1301"/>
    <n v="-31459.52"/>
    <n v="-14195.31"/>
    <n v="-13952.42"/>
    <n v="-24394.61"/>
    <n v="-18730.2"/>
    <n v="-3822.84"/>
    <n v="-21688.06"/>
    <n v="-18755.349999999999"/>
    <n v="-21032.11"/>
    <n v="-3335.35"/>
    <n v="-19904.580000000002"/>
    <n v="-34563.379999999997"/>
    <n v="-225833.72999999998"/>
    <n v="14658.799999999996"/>
  </r>
  <r>
    <x v="18"/>
    <x v="0"/>
    <x v="0"/>
    <s v="4815102"/>
    <n v="400010"/>
    <s v="Acute I/P Svcs Rev--Managed Care"/>
    <s v="MRI"/>
    <x v="0"/>
    <n v="1400"/>
    <n v="-81064.95"/>
    <n v="-85452.97"/>
    <n v="-68352.61"/>
    <n v="-55535.37"/>
    <n v="-27447.84"/>
    <n v="-40742.69"/>
    <n v="-105128.79"/>
    <n v="-58108.85"/>
    <n v="-62566.62"/>
    <n v="-57546.48"/>
    <n v="-90323.42"/>
    <n v="-40710.949999999997"/>
    <n v="-772981.53999999992"/>
    <n v="-49612.47"/>
  </r>
  <r>
    <x v="18"/>
    <x v="0"/>
    <x v="0"/>
    <s v="4815102"/>
    <n v="400010"/>
    <s v="Acute I/P Svcs Rev--Self Pay"/>
    <s v="MRI"/>
    <x v="0"/>
    <n v="1500"/>
    <n v="-7134.27"/>
    <n v="-27809.33"/>
    <n v="-3822.84"/>
    <n v="0"/>
    <n v="3822.84"/>
    <n v="-17555.740000000002"/>
    <n v="9369.65"/>
    <n v="-7760.37"/>
    <n v="-21488.52"/>
    <n v="-8907.01"/>
    <n v="-7175.73"/>
    <n v="-10349.89"/>
    <n v="-98811.21"/>
    <n v="3174.16"/>
  </r>
  <r>
    <x v="18"/>
    <x v="0"/>
    <x v="0"/>
    <s v="4815102"/>
    <n v="400010"/>
    <s v="Acute I/P Svcs Rev--Other"/>
    <s v="MRI"/>
    <x v="0"/>
    <n v="1700"/>
    <n v="-3822.84"/>
    <n v="-3572.25"/>
    <n v="0"/>
    <n v="-7367.22"/>
    <n v="-7686"/>
    <n v="0"/>
    <n v="0"/>
    <n v="0"/>
    <n v="-8027.51"/>
    <n v="-20144.46"/>
    <n v="-8027.51"/>
    <n v="-6696.86"/>
    <n v="-65344.65"/>
    <n v="-1330.6500000000005"/>
  </r>
  <r>
    <x v="19"/>
    <x v="0"/>
    <x v="0"/>
    <s v="4815102"/>
    <n v="400020"/>
    <s v="O/P Care Svcs Rev--Medicare"/>
    <s v="MRI"/>
    <x v="0"/>
    <n v="1100"/>
    <n v="-419395.06"/>
    <n v="-462844.75"/>
    <n v="-465131.97"/>
    <n v="-551664.57999999996"/>
    <n v="-484135.16"/>
    <n v="-568329.32999999996"/>
    <n v="-428982.86"/>
    <n v="-433433.96"/>
    <n v="-473907.47"/>
    <n v="-408998.54"/>
    <n v="-593140.66"/>
    <n v="-473213.76"/>
    <n v="-5763178.0999999996"/>
    <n v="-119926.90000000002"/>
  </r>
  <r>
    <x v="19"/>
    <x v="0"/>
    <x v="0"/>
    <s v="4815102"/>
    <n v="400020"/>
    <s v="O/P Care Svcs Rev--Medicaid"/>
    <s v="MRI"/>
    <x v="0"/>
    <n v="1200"/>
    <n v="-263774.89"/>
    <n v="-283757.51"/>
    <n v="-313866.21999999997"/>
    <n v="-370248.98"/>
    <n v="-309884.32"/>
    <n v="-295262.17"/>
    <n v="-275619.34000000003"/>
    <n v="-230548.15"/>
    <n v="-265633.28000000003"/>
    <n v="-193458.17"/>
    <n v="-266463.11"/>
    <n v="-314619.75"/>
    <n v="-3383135.89"/>
    <n v="48156.640000000014"/>
  </r>
  <r>
    <x v="19"/>
    <x v="0"/>
    <x v="0"/>
    <s v="4815102"/>
    <n v="400020"/>
    <s v="O/P Care Svcs Rev--Comm Insurance"/>
    <s v="MRI"/>
    <x v="0"/>
    <n v="1300"/>
    <n v="-79082.64"/>
    <n v="-38835.449999999997"/>
    <n v="-8143.29"/>
    <n v="-15111.97"/>
    <n v="-48194.12"/>
    <n v="-15620.66"/>
    <n v="-23950.77"/>
    <n v="-21476.27"/>
    <n v="-63596.67"/>
    <n v="-52415.73"/>
    <n v="-61156.26"/>
    <n v="-41037.120000000003"/>
    <n v="-468620.94999999995"/>
    <n v="-20119.14"/>
  </r>
  <r>
    <x v="19"/>
    <x v="0"/>
    <x v="0"/>
    <s v="4815102"/>
    <n v="400020"/>
    <s v="O/P Care Svcs Rev--BCBS Comm"/>
    <s v="MRI"/>
    <x v="0"/>
    <n v="1301"/>
    <n v="-121887.16"/>
    <n v="-121572.09"/>
    <n v="-105621.02"/>
    <n v="-135688.06"/>
    <n v="-114569.85"/>
    <n v="-114173.37"/>
    <n v="-149268"/>
    <n v="-71983.42"/>
    <n v="-108454.38"/>
    <n v="-164292.76"/>
    <n v="-68123.98"/>
    <n v="-161381.76000000001"/>
    <n v="-1437015.85"/>
    <n v="93257.780000000013"/>
  </r>
  <r>
    <x v="19"/>
    <x v="0"/>
    <x v="0"/>
    <s v="4815102"/>
    <n v="400020"/>
    <s v="O/P Care Svcs Rev--Managed Care"/>
    <s v="MRI"/>
    <x v="0"/>
    <n v="1400"/>
    <n v="-242073.47"/>
    <n v="-397784.06"/>
    <n v="-255493.5"/>
    <n v="-265064.46999999997"/>
    <n v="-348328.18"/>
    <n v="-219632.81"/>
    <n v="-319823.67"/>
    <n v="-337219.85"/>
    <n v="-334309.09999999998"/>
    <n v="-391410.08"/>
    <n v="-357054.32"/>
    <n v="-411291.99"/>
    <n v="-3879485.5"/>
    <n v="54237.669999999984"/>
  </r>
  <r>
    <x v="19"/>
    <x v="0"/>
    <x v="0"/>
    <s v="4815102"/>
    <n v="400020"/>
    <s v="O/P Care Svcs Rev--Self Pay"/>
    <s v="MRI"/>
    <x v="0"/>
    <n v="1500"/>
    <n v="-21280.68"/>
    <n v="-53964.639999999999"/>
    <n v="-36415.71"/>
    <n v="-56205.56"/>
    <n v="-13503.3"/>
    <n v="-46576.94"/>
    <n v="-65928.28"/>
    <n v="-46723.05"/>
    <n v="-43007.66"/>
    <n v="-3554.22"/>
    <n v="-22372.15"/>
    <n v="-35361.1"/>
    <n v="-444893.28999999992"/>
    <n v="12988.949999999997"/>
  </r>
  <r>
    <x v="19"/>
    <x v="0"/>
    <x v="0"/>
    <s v="4815102"/>
    <n v="400020"/>
    <s v="O/P Care Svcs Rev--Other"/>
    <s v="MRI"/>
    <x v="0"/>
    <n v="1700"/>
    <n v="-83925.34"/>
    <n v="-73511.3"/>
    <n v="-63963.23"/>
    <n v="-93003.28"/>
    <n v="-56041.21"/>
    <n v="-37730.620000000003"/>
    <n v="-51615.21"/>
    <n v="-30718.33"/>
    <n v="-63138.54"/>
    <n v="-92495.88"/>
    <n v="-77446.820000000007"/>
    <n v="3283.08"/>
    <n v="-720306.68"/>
    <n v="-80729.900000000009"/>
  </r>
  <r>
    <x v="5"/>
    <x v="0"/>
    <x v="0"/>
    <s v="4815102"/>
    <n v="700034"/>
    <s v="Salaries-Tech/Professional-Productive"/>
    <s v="MRI"/>
    <x v="0"/>
    <m/>
    <n v="29041.41"/>
    <n v="29575.86"/>
    <n v="28194.15"/>
    <n v="28511.82"/>
    <n v="32527.13"/>
    <n v="26912.59"/>
    <n v="32655.98"/>
    <n v="25256.68"/>
    <n v="31863.74"/>
    <n v="31417.68"/>
    <n v="29051.200000000001"/>
    <n v="31546.01"/>
    <n v="356554.25000000006"/>
    <n v="-2494.8099999999977"/>
  </r>
  <r>
    <x v="5"/>
    <x v="0"/>
    <x v="0"/>
    <s v="4815102"/>
    <n v="700034"/>
    <s v="Salaries-Tech/Professional-OT"/>
    <s v="MRI"/>
    <x v="0"/>
    <n v="1000"/>
    <n v="1919.4"/>
    <n v="1740.59"/>
    <n v="1499.35"/>
    <n v="1677.01"/>
    <n v="2708.42"/>
    <n v="2277.71"/>
    <n v="1806.85"/>
    <n v="2494.0100000000002"/>
    <n v="1334.04"/>
    <n v="1682.08"/>
    <n v="2709.19"/>
    <n v="1265.92"/>
    <n v="23114.57"/>
    <n v="1443.27"/>
  </r>
  <r>
    <x v="5"/>
    <x v="0"/>
    <x v="0"/>
    <s v="4815102"/>
    <n v="700034"/>
    <s v="Salaries-Tech/Professional-Other"/>
    <s v="MRI"/>
    <x v="0"/>
    <n v="2000"/>
    <n v="2851.07"/>
    <n v="2875.33"/>
    <n v="1998.08"/>
    <n v="2608.39"/>
    <n v="2337.3000000000002"/>
    <n v="2441.66"/>
    <n v="2199.2199999999998"/>
    <n v="2063.63"/>
    <n v="2199.5"/>
    <n v="2283.87"/>
    <n v="2223.02"/>
    <n v="2577.2800000000002"/>
    <n v="28658.35"/>
    <n v="-354.26000000000022"/>
  </r>
  <r>
    <x v="5"/>
    <x v="0"/>
    <x v="0"/>
    <s v="4815102"/>
    <n v="700074"/>
    <s v="Salaries-Tech/Professional-Non-productive"/>
    <s v="MRI"/>
    <x v="0"/>
    <m/>
    <n v="3352.04"/>
    <n v="3707.09"/>
    <n v="2008.3"/>
    <n v="4822.47"/>
    <n v="1979.7"/>
    <n v="5027.2"/>
    <n v="764.28"/>
    <n v="3966.57"/>
    <n v="277.44"/>
    <n v="1585.39"/>
    <n v="832.37"/>
    <n v="5235.13"/>
    <n v="33557.979999999996"/>
    <n v="-4402.76"/>
  </r>
  <r>
    <x v="5"/>
    <x v="0"/>
    <x v="0"/>
    <s v="4815102"/>
    <n v="700074"/>
    <s v="Salaries-Tech/Professional-NonProd-Other"/>
    <s v="MRI"/>
    <x v="0"/>
    <n v="2000"/>
    <n v="2589.36"/>
    <n v="3015.98"/>
    <n v="1649.72"/>
    <n v="2575.33"/>
    <n v="2626.83"/>
    <n v="2924.02"/>
    <n v="4270.76"/>
    <n v="2857.62"/>
    <n v="1702.1"/>
    <n v="2233.46"/>
    <n v="2734.43"/>
    <n v="2273.79"/>
    <n v="31453.399999999998"/>
    <n v="460.63999999999987"/>
  </r>
  <r>
    <x v="5"/>
    <x v="0"/>
    <x v="0"/>
    <s v="4815102"/>
    <n v="700084"/>
    <s v="Accrued PTO"/>
    <s v="MRI"/>
    <x v="0"/>
    <m/>
    <n v="2219.5500000000002"/>
    <n v="953.77"/>
    <n v="2154.75"/>
    <n v="3754.11"/>
    <n v="955.46"/>
    <n v="-258.74"/>
    <n v="19253.66"/>
    <n v="2019.19"/>
    <n v="3759"/>
    <n v="2577.36"/>
    <n v="950.72"/>
    <n v="-553.15"/>
    <n v="37785.68"/>
    <n v="1503.87"/>
  </r>
  <r>
    <x v="6"/>
    <x v="0"/>
    <x v="0"/>
    <s v="4815102"/>
    <n v="713010"/>
    <s v="Benefits-FICA/Medicare"/>
    <s v="MRI"/>
    <x v="0"/>
    <m/>
    <n v="2987.82"/>
    <n v="3076.7"/>
    <n v="2652.38"/>
    <n v="1965.05"/>
    <n v="1403.34"/>
    <n v="2388.2199999999998"/>
    <n v="3128.71"/>
    <n v="2748.06"/>
    <n v="2799.02"/>
    <n v="2940.26"/>
    <n v="2812.3"/>
    <n v="3646.58"/>
    <n v="32548.440000000002"/>
    <n v="-834.27999999999975"/>
  </r>
  <r>
    <x v="6"/>
    <x v="0"/>
    <x v="0"/>
    <s v="4815102"/>
    <n v="713090"/>
    <s v="Benefits-Allocated Amounts"/>
    <s v="MRI"/>
    <x v="0"/>
    <m/>
    <n v="5551.58"/>
    <n v="5094.67"/>
    <n v="4907.7299999999996"/>
    <n v="5286.47"/>
    <n v="5419.79"/>
    <n v="5090.22"/>
    <n v="6345.81"/>
    <n v="5355.78"/>
    <n v="5278.02"/>
    <n v="5646.5"/>
    <n v="5165.21"/>
    <n v="6076.97"/>
    <n v="65218.750000000007"/>
    <n v="-911.76000000000022"/>
  </r>
  <r>
    <x v="7"/>
    <x v="0"/>
    <x v="0"/>
    <s v="4815102"/>
    <n v="718050"/>
    <s v="Miscellaneous Purchased Svcs"/>
    <s v="MRI"/>
    <x v="0"/>
    <n v="1020"/>
    <n v="0"/>
    <n v="0"/>
    <n v="0"/>
    <n v="0"/>
    <n v="0"/>
    <n v="0"/>
    <n v="0"/>
    <n v="0"/>
    <n v="1147.5"/>
    <n v="0"/>
    <n v="114.75"/>
    <n v="2502.5"/>
    <n v="3764.75"/>
    <n v="-2387.75"/>
  </r>
  <r>
    <x v="7"/>
    <x v="0"/>
    <x v="0"/>
    <s v="4815102"/>
    <n v="718050"/>
    <s v="Contract Management--Linen"/>
    <s v="MRI"/>
    <x v="0"/>
    <n v="1026"/>
    <n v="0"/>
    <n v="0"/>
    <n v="0"/>
    <n v="0"/>
    <n v="0"/>
    <n v="0"/>
    <n v="0"/>
    <n v="0"/>
    <n v="0"/>
    <n v="0"/>
    <n v="1040.94"/>
    <n v="1368.61"/>
    <n v="2409.5500000000002"/>
    <n v="-327.66999999999985"/>
  </r>
  <r>
    <x v="7"/>
    <x v="0"/>
    <x v="0"/>
    <s v="4815102"/>
    <n v="718070"/>
    <s v="Contract Srvcs-CHI Clinical Engineering"/>
    <s v="MRI"/>
    <x v="0"/>
    <m/>
    <n v="0"/>
    <n v="0"/>
    <n v="0"/>
    <n v="7271.83"/>
    <n v="7271.83"/>
    <n v="7271.83"/>
    <n v="6610.75"/>
    <n v="7271.83"/>
    <n v="7271.83"/>
    <n v="7271.83"/>
    <n v="7271.83"/>
    <n v="7271.83"/>
    <n v="64785.390000000007"/>
    <n v="0"/>
  </r>
  <r>
    <x v="11"/>
    <x v="0"/>
    <x v="0"/>
    <s v="4815102"/>
    <n v="721010"/>
    <s v="Supplies-Medical - Billable"/>
    <s v="MRI"/>
    <x v="0"/>
    <m/>
    <n v="0"/>
    <n v="0"/>
    <n v="27.28"/>
    <n v="0"/>
    <n v="0"/>
    <n v="0"/>
    <n v="19.63"/>
    <n v="0"/>
    <n v="37.200000000000003"/>
    <n v="0"/>
    <n v="0"/>
    <n v="0"/>
    <n v="84.11"/>
    <n v="0"/>
  </r>
  <r>
    <x v="11"/>
    <x v="0"/>
    <x v="0"/>
    <s v="4815102"/>
    <n v="721010"/>
    <s v="Patient Monitoring"/>
    <s v="MRI"/>
    <x v="0"/>
    <n v="1000"/>
    <n v="0"/>
    <n v="0"/>
    <n v="171.12"/>
    <n v="168.92"/>
    <n v="0"/>
    <n v="0"/>
    <n v="11.01"/>
    <n v="160.11000000000001"/>
    <n v="491.33"/>
    <n v="0"/>
    <n v="320.20999999999998"/>
    <n v="11.01"/>
    <n v="1333.71"/>
    <n v="309.2"/>
  </r>
  <r>
    <x v="11"/>
    <x v="0"/>
    <x v="0"/>
    <s v="4815102"/>
    <n v="721050"/>
    <s v="Supplies-Cardiac Rhythm - Billable"/>
    <s v="MRI"/>
    <x v="0"/>
    <m/>
    <n v="0"/>
    <n v="0"/>
    <n v="584.5"/>
    <n v="584.5"/>
    <n v="584.5"/>
    <n v="0"/>
    <n v="1169"/>
    <n v="0"/>
    <n v="0"/>
    <n v="584.5"/>
    <n v="0"/>
    <n v="584.5"/>
    <n v="4091.5"/>
    <n v="-584.5"/>
  </r>
  <r>
    <x v="11"/>
    <x v="0"/>
    <x v="0"/>
    <s v="4815102"/>
    <n v="721240"/>
    <s v="Supplies-IV Solutions/Supplies - Billable"/>
    <s v="MRI"/>
    <x v="0"/>
    <m/>
    <n v="0"/>
    <n v="0"/>
    <n v="98.75"/>
    <n v="9.75"/>
    <n v="0"/>
    <n v="89.05"/>
    <n v="4.88"/>
    <n v="89"/>
    <n v="89"/>
    <n v="89"/>
    <n v="9.75"/>
    <n v="89"/>
    <n v="568.18000000000006"/>
    <n v="-79.25"/>
  </r>
  <r>
    <x v="11"/>
    <x v="0"/>
    <x v="0"/>
    <s v="4815102"/>
    <n v="721250"/>
    <s v="Supplies-Pharmacy Drugs - Billable"/>
    <s v="MRI"/>
    <x v="0"/>
    <m/>
    <n v="0"/>
    <n v="0"/>
    <n v="0"/>
    <n v="2213.5"/>
    <n v="2097"/>
    <n v="0"/>
    <n v="0"/>
    <n v="3734.08"/>
    <n v="1867.04"/>
    <n v="2333.8000000000002"/>
    <n v="1867.04"/>
    <n v="0"/>
    <n v="14112.46"/>
    <n v="1867.04"/>
  </r>
  <r>
    <x v="11"/>
    <x v="0"/>
    <x v="0"/>
    <s v="4815102"/>
    <n v="721410"/>
    <s v="Supplies-Medical - Nonbillable"/>
    <s v="MRI"/>
    <x v="0"/>
    <m/>
    <n v="0"/>
    <n v="0"/>
    <n v="91.29"/>
    <n v="61.79"/>
    <n v="23.3"/>
    <n v="73.17"/>
    <n v="85.91"/>
    <n v="31.57"/>
    <n v="85.59"/>
    <n v="77.22"/>
    <n v="63.33"/>
    <n v="65.92"/>
    <n v="659.09"/>
    <n v="-2.5900000000000034"/>
  </r>
  <r>
    <x v="11"/>
    <x v="0"/>
    <x v="0"/>
    <s v="4815102"/>
    <n v="721610"/>
    <s v="Supplies-Anesthesia - Nonbillable"/>
    <s v="MRI"/>
    <x v="0"/>
    <m/>
    <n v="0"/>
    <n v="0"/>
    <n v="2.66"/>
    <n v="2.66"/>
    <n v="2.66"/>
    <n v="0"/>
    <n v="0"/>
    <n v="0"/>
    <n v="0"/>
    <n v="0"/>
    <n v="1.6"/>
    <n v="0"/>
    <n v="9.58"/>
    <n v="1.6"/>
  </r>
  <r>
    <x v="11"/>
    <x v="0"/>
    <x v="0"/>
    <s v="4815102"/>
    <n v="721640"/>
    <s v="Supplies-IV Solutions/Supplies - Nonbillable"/>
    <s v="MRI"/>
    <x v="0"/>
    <m/>
    <n v="0"/>
    <n v="0"/>
    <n v="0"/>
    <n v="907.5"/>
    <n v="-82.5"/>
    <n v="0"/>
    <n v="0"/>
    <n v="0"/>
    <n v="0"/>
    <n v="0"/>
    <n v="0"/>
    <n v="0"/>
    <n v="825"/>
    <n v="0"/>
  </r>
  <r>
    <x v="11"/>
    <x v="0"/>
    <x v="0"/>
    <s v="4815102"/>
    <n v="721650"/>
    <s v="Supplies-Pharmacy Drugs - Nonbillable"/>
    <s v="MRI"/>
    <x v="0"/>
    <m/>
    <n v="0"/>
    <n v="0"/>
    <n v="0"/>
    <n v="0"/>
    <n v="0"/>
    <n v="0"/>
    <n v="1.34"/>
    <n v="0"/>
    <n v="0"/>
    <n v="0"/>
    <n v="0"/>
    <n v="0"/>
    <n v="1.34"/>
    <n v="0"/>
  </r>
  <r>
    <x v="11"/>
    <x v="0"/>
    <x v="0"/>
    <s v="4815102"/>
    <n v="721870"/>
    <s v="Supplies-Environmental Services"/>
    <s v="MRI"/>
    <x v="0"/>
    <m/>
    <n v="0"/>
    <n v="0"/>
    <n v="20.6"/>
    <n v="0"/>
    <n v="0"/>
    <n v="0"/>
    <n v="10.32"/>
    <n v="0"/>
    <n v="0"/>
    <n v="24.04"/>
    <n v="20.6"/>
    <n v="0"/>
    <n v="75.56"/>
    <n v="20.6"/>
  </r>
  <r>
    <x v="11"/>
    <x v="0"/>
    <x v="0"/>
    <s v="4815102"/>
    <n v="721910"/>
    <s v="Supplies-Small Equipment"/>
    <s v="MRI"/>
    <x v="0"/>
    <m/>
    <n v="0"/>
    <n v="0"/>
    <n v="0"/>
    <n v="149.6"/>
    <n v="0"/>
    <n v="0"/>
    <n v="299.2"/>
    <n v="0"/>
    <n v="0"/>
    <n v="374.55"/>
    <n v="0"/>
    <n v="299.2"/>
    <n v="1122.55"/>
    <n v="-299.2"/>
  </r>
  <r>
    <x v="11"/>
    <x v="0"/>
    <x v="0"/>
    <s v="4815102"/>
    <n v="722000"/>
    <s v="Supplies-Freight Expense"/>
    <s v="MRI"/>
    <x v="0"/>
    <m/>
    <n v="0"/>
    <n v="0"/>
    <n v="0"/>
    <n v="0"/>
    <n v="13.91"/>
    <n v="0"/>
    <n v="0"/>
    <n v="0"/>
    <n v="0"/>
    <n v="0"/>
    <n v="0"/>
    <n v="0"/>
    <n v="13.91"/>
    <n v="0"/>
  </r>
  <r>
    <x v="18"/>
    <x v="4"/>
    <x v="0"/>
    <s v="4815103"/>
    <n v="400010"/>
    <s v="Acute I/P Svcs Rev--Medicare"/>
    <s v="MRI"/>
    <x v="0"/>
    <n v="1100"/>
    <n v="-111006.89"/>
    <n v="-150935.06"/>
    <n v="-168800.67"/>
    <n v="-86689.71"/>
    <n v="-115083.82"/>
    <n v="-139849.22"/>
    <n v="-145840.74"/>
    <n v="-155236.99"/>
    <n v="-125295.25"/>
    <n v="-123608.02"/>
    <n v="-87721"/>
    <n v="-139001.74"/>
    <n v="-1549069.11"/>
    <n v="51280.739999999991"/>
  </r>
  <r>
    <x v="18"/>
    <x v="4"/>
    <x v="0"/>
    <s v="4815103"/>
    <n v="400010"/>
    <s v="Acute I/P Svcs Rev--Medicaid"/>
    <s v="MRI"/>
    <x v="0"/>
    <n v="1200"/>
    <n v="-66570.97"/>
    <n v="-64609.65"/>
    <n v="-21514.65"/>
    <n v="-25602.39"/>
    <n v="-17604.55"/>
    <n v="-46487.31"/>
    <n v="-55221.599999999999"/>
    <n v="-64892.47"/>
    <n v="-49881.07"/>
    <n v="-88111.29"/>
    <n v="-156894.98000000001"/>
    <n v="-35722.519999999997"/>
    <n v="-693113.45"/>
    <n v="-121172.46000000002"/>
  </r>
  <r>
    <x v="18"/>
    <x v="4"/>
    <x v="0"/>
    <s v="4815103"/>
    <n v="400010"/>
    <s v="Acute I/P Svcs Rev--Comm Insurance"/>
    <s v="MRI"/>
    <x v="0"/>
    <n v="1300"/>
    <n v="-3238.2"/>
    <n v="-13485.66"/>
    <n v="-6742.83"/>
    <n v="-17870.580000000002"/>
    <n v="0"/>
    <n v="0"/>
    <n v="0"/>
    <n v="0"/>
    <n v="0"/>
    <n v="0"/>
    <n v="0"/>
    <n v="6885.2"/>
    <n v="-34452.070000000007"/>
    <n v="-6885.2"/>
  </r>
  <r>
    <x v="18"/>
    <x v="4"/>
    <x v="0"/>
    <s v="4815103"/>
    <n v="400010"/>
    <s v="Acute I/P Svcs Rev--BCBS Comm"/>
    <s v="MRI"/>
    <x v="0"/>
    <n v="1301"/>
    <n v="-3238.2"/>
    <n v="0"/>
    <n v="-31413.93"/>
    <n v="-9471.99"/>
    <n v="0"/>
    <n v="0"/>
    <n v="0"/>
    <n v="0"/>
    <n v="-14575.52"/>
    <n v="-6945.15"/>
    <n v="-14936.6"/>
    <n v="0"/>
    <n v="-80581.39"/>
    <n v="-14936.6"/>
  </r>
  <r>
    <x v="18"/>
    <x v="4"/>
    <x v="0"/>
    <s v="4815103"/>
    <n v="400010"/>
    <s v="Acute I/P Svcs Rev--Managed Care"/>
    <s v="MRI"/>
    <x v="0"/>
    <n v="1400"/>
    <n v="-38221.71"/>
    <n v="-6818.99"/>
    <n v="-12338.49"/>
    <n v="-16940.009999999998"/>
    <n v="-7061.04"/>
    <n v="-16367.97"/>
    <n v="-9426.06"/>
    <n v="-23445.38"/>
    <n v="-35474.629999999997"/>
    <n v="-3650.71"/>
    <n v="-3450.04"/>
    <n v="-18634.25"/>
    <n v="-191829.28"/>
    <n v="15184.21"/>
  </r>
  <r>
    <x v="18"/>
    <x v="4"/>
    <x v="0"/>
    <s v="4815103"/>
    <n v="400010"/>
    <s v="Acute I/P Svcs Rev--Self Pay"/>
    <s v="MRI"/>
    <x v="0"/>
    <n v="1500"/>
    <n v="0"/>
    <n v="0"/>
    <n v="0"/>
    <n v="0"/>
    <n v="0"/>
    <n v="0"/>
    <n v="-6742.83"/>
    <n v="0"/>
    <n v="-29139.73"/>
    <n v="7875.06"/>
    <n v="0"/>
    <n v="0"/>
    <n v="-28007.499999999996"/>
    <n v="0"/>
  </r>
  <r>
    <x v="18"/>
    <x v="4"/>
    <x v="0"/>
    <s v="4815103"/>
    <n v="400010"/>
    <s v="Acute I/P Svcs Rev--Other"/>
    <s v="MRI"/>
    <x v="0"/>
    <n v="1700"/>
    <n v="6497.91"/>
    <n v="-24150.3"/>
    <n v="-34255.949999999997"/>
    <n v="-6625.23"/>
    <n v="-28687.39"/>
    <n v="-10442.19"/>
    <n v="-21036.94"/>
    <n v="-24148.47"/>
    <n v="-3822.84"/>
    <n v="-6817.96"/>
    <n v="-1582.57"/>
    <n v="-22887.33"/>
    <n v="-177959.26"/>
    <n v="21304.760000000002"/>
  </r>
  <r>
    <x v="19"/>
    <x v="4"/>
    <x v="0"/>
    <s v="4815103"/>
    <n v="400020"/>
    <s v="O/P Care Svcs Rev--Medicare"/>
    <s v="MRI"/>
    <x v="0"/>
    <n v="1100"/>
    <n v="-391200.74"/>
    <n v="-372524.19"/>
    <n v="-315438.53000000003"/>
    <n v="-319961.64"/>
    <n v="-257950.99"/>
    <n v="-253935.25"/>
    <n v="-393699.01"/>
    <n v="-228243.13"/>
    <n v="-381579.91"/>
    <n v="-416176.04"/>
    <n v="-260464.4"/>
    <n v="-429922.64"/>
    <n v="-4021096.47"/>
    <n v="169458.24000000002"/>
  </r>
  <r>
    <x v="19"/>
    <x v="4"/>
    <x v="0"/>
    <s v="4815103"/>
    <n v="400020"/>
    <s v="O/P Care Svcs Rev--Medicaid"/>
    <s v="MRI"/>
    <x v="0"/>
    <n v="1200"/>
    <n v="-189977.04"/>
    <n v="-258168.12"/>
    <n v="-144837.49"/>
    <n v="-254513.82"/>
    <n v="-180690.11"/>
    <n v="-195573.06"/>
    <n v="-202005.48"/>
    <n v="-168559.09"/>
    <n v="-178584.19"/>
    <n v="-227171.71"/>
    <n v="-187786.06"/>
    <n v="-208657.4"/>
    <n v="-2396523.5699999998"/>
    <n v="20871.339999999997"/>
  </r>
  <r>
    <x v="19"/>
    <x v="4"/>
    <x v="0"/>
    <s v="4815103"/>
    <n v="400020"/>
    <s v="O/P Care Svcs Rev--Comm Insurance"/>
    <s v="MRI"/>
    <x v="0"/>
    <n v="1300"/>
    <n v="-36135.11"/>
    <n v="-25013.65"/>
    <n v="-20727.36"/>
    <n v="-20754.240000000002"/>
    <n v="-37466.400000000001"/>
    <n v="-14010.45"/>
    <n v="-19760.04"/>
    <n v="-9946.75"/>
    <n v="-13856.93"/>
    <n v="-7405.14"/>
    <n v="-14753.84"/>
    <n v="-58075.72"/>
    <n v="-277905.63"/>
    <n v="43321.880000000005"/>
  </r>
  <r>
    <x v="19"/>
    <x v="4"/>
    <x v="0"/>
    <s v="4815103"/>
    <n v="400020"/>
    <s v="O/P Care Svcs Rev--BCBS Comm"/>
    <s v="MRI"/>
    <x v="0"/>
    <n v="1301"/>
    <n v="-41992.32"/>
    <n v="-40844.46"/>
    <n v="-41232.1"/>
    <n v="-60468.15"/>
    <n v="-61476.46"/>
    <n v="-58723.56"/>
    <n v="-39596.43"/>
    <n v="-28560.65"/>
    <n v="-66489.919999999998"/>
    <n v="-65536.399999999994"/>
    <n v="-30468.04"/>
    <n v="-83626.84"/>
    <n v="-619015.32999999996"/>
    <n v="53158.799999999996"/>
  </r>
  <r>
    <x v="19"/>
    <x v="4"/>
    <x v="0"/>
    <s v="4815103"/>
    <n v="400020"/>
    <s v="O/P Care Svcs Rev--Managed Care"/>
    <s v="MRI"/>
    <x v="0"/>
    <n v="1400"/>
    <n v="-132332.17000000001"/>
    <n v="-186723.55"/>
    <n v="-101253.77"/>
    <n v="-110473.06"/>
    <n v="-118633.08"/>
    <n v="-176994.34"/>
    <n v="-187102.82"/>
    <n v="-148291.29"/>
    <n v="-197806.24"/>
    <n v="-206068.72"/>
    <n v="-172493.83"/>
    <n v="-226235.25"/>
    <n v="-1964408.12"/>
    <n v="53741.420000000013"/>
  </r>
  <r>
    <x v="19"/>
    <x v="4"/>
    <x v="0"/>
    <s v="4815103"/>
    <n v="400020"/>
    <s v="O/P Care Svcs Rev--Self Pay"/>
    <s v="MRI"/>
    <x v="0"/>
    <n v="1500"/>
    <n v="0"/>
    <n v="-53750.79"/>
    <n v="-8882.1"/>
    <n v="0"/>
    <n v="-9607.5"/>
    <n v="-52847"/>
    <n v="-22924.73"/>
    <n v="-1560.57"/>
    <n v="-23480.9"/>
    <n v="-23010.23"/>
    <n v="-17261.689999999999"/>
    <n v="-10712.27"/>
    <n v="-224037.78"/>
    <n v="-6549.4199999999983"/>
  </r>
  <r>
    <x v="19"/>
    <x v="4"/>
    <x v="0"/>
    <s v="4815103"/>
    <n v="400020"/>
    <s v="O/P Care Svcs Rev--Other"/>
    <s v="MRI"/>
    <x v="0"/>
    <n v="1700"/>
    <n v="-67702.320000000007"/>
    <n v="-71683.47"/>
    <n v="-88738.86"/>
    <n v="-95221.22"/>
    <n v="-81068.639999999999"/>
    <n v="-61348.82"/>
    <n v="-72662.67"/>
    <n v="-95560.91"/>
    <n v="-93748.67"/>
    <n v="-108926.2"/>
    <n v="-92710.76"/>
    <n v="-74651.210000000006"/>
    <n v="-1004023.75"/>
    <n v="-18059.549999999988"/>
  </r>
  <r>
    <x v="5"/>
    <x v="4"/>
    <x v="0"/>
    <s v="4815103"/>
    <n v="700034"/>
    <s v="Salaries-Tech/Professional-Productive"/>
    <s v="MRI"/>
    <x v="0"/>
    <m/>
    <n v="13293.36"/>
    <n v="22932.400000000001"/>
    <n v="23818.73"/>
    <n v="21587.360000000001"/>
    <n v="18824.84"/>
    <n v="17657.97"/>
    <n v="20448.11"/>
    <n v="18503.099999999999"/>
    <n v="21910.240000000002"/>
    <n v="19213.46"/>
    <n v="15296.98"/>
    <n v="21940.400000000001"/>
    <n v="235426.95"/>
    <n v="-6643.4200000000019"/>
  </r>
  <r>
    <x v="5"/>
    <x v="4"/>
    <x v="0"/>
    <s v="4815103"/>
    <n v="700034"/>
    <s v="Salaries-Tech/Professional-OT"/>
    <s v="MRI"/>
    <x v="0"/>
    <n v="1000"/>
    <n v="801.78"/>
    <n v="589.25"/>
    <n v="650.22"/>
    <n v="101.84"/>
    <n v="607.58000000000004"/>
    <n v="787.76"/>
    <n v="404.16"/>
    <n v="471.31"/>
    <n v="532.79999999999995"/>
    <n v="1095.1600000000001"/>
    <n v="55.59"/>
    <n v="54.56"/>
    <n v="6152.0100000000011"/>
    <n v="1.0300000000000011"/>
  </r>
  <r>
    <x v="5"/>
    <x v="4"/>
    <x v="0"/>
    <s v="4815103"/>
    <n v="700034"/>
    <s v="Salaries-Tech/Professional-Other"/>
    <s v="MRI"/>
    <x v="0"/>
    <n v="2000"/>
    <n v="3302.01"/>
    <n v="4475.49"/>
    <n v="3191.83"/>
    <n v="3596.99"/>
    <n v="2800.03"/>
    <n v="3019.18"/>
    <n v="3634.77"/>
    <n v="2784.61"/>
    <n v="3545.34"/>
    <n v="3820.11"/>
    <n v="3090.95"/>
    <n v="3513.71"/>
    <n v="40775.019999999997"/>
    <n v="-422.76000000000022"/>
  </r>
  <r>
    <x v="5"/>
    <x v="4"/>
    <x v="0"/>
    <s v="4815103"/>
    <n v="700074"/>
    <s v="Salaries-Tech/Professional-Non-productive"/>
    <s v="MRI"/>
    <x v="0"/>
    <m/>
    <n v="5082.6400000000003"/>
    <n v="8331.2999999999993"/>
    <n v="1440.76"/>
    <n v="187.9"/>
    <n v="2567.6999999999998"/>
    <n v="1675.31"/>
    <n v="2669.79"/>
    <n v="1385.95"/>
    <n v="125.5"/>
    <n v="4205.43"/>
    <n v="3053.55"/>
    <n v="274.08999999999997"/>
    <n v="30999.920000000002"/>
    <n v="2779.46"/>
  </r>
  <r>
    <x v="5"/>
    <x v="4"/>
    <x v="0"/>
    <s v="4815103"/>
    <n v="700074"/>
    <s v="Salaries-Tech/Professional-NonProd-Other"/>
    <s v="MRI"/>
    <x v="0"/>
    <n v="2000"/>
    <n v="2759.03"/>
    <n v="2743.97"/>
    <n v="2298.9699999999998"/>
    <n v="1799.98"/>
    <n v="1979.28"/>
    <n v="2489.86"/>
    <n v="3375.87"/>
    <n v="467.7"/>
    <n v="1889.11"/>
    <n v="2523.38"/>
    <n v="1421.22"/>
    <n v="1792.42"/>
    <n v="25540.79"/>
    <n v="-371.20000000000005"/>
  </r>
  <r>
    <x v="5"/>
    <x v="4"/>
    <x v="0"/>
    <s v="4815103"/>
    <n v="700084"/>
    <s v="Accrued PTO"/>
    <s v="MRI"/>
    <x v="0"/>
    <m/>
    <n v="-3261.94"/>
    <n v="-382.69"/>
    <n v="220.15"/>
    <n v="1112.8800000000001"/>
    <n v="326.95"/>
    <n v="-312.97000000000003"/>
    <n v="574.57000000000005"/>
    <n v="588.82000000000005"/>
    <n v="-113.27"/>
    <n v="-933.87"/>
    <n v="668.08"/>
    <n v="1023.87"/>
    <n v="-489.4199999999995"/>
    <n v="-355.78999999999996"/>
  </r>
  <r>
    <x v="6"/>
    <x v="4"/>
    <x v="0"/>
    <s v="4815103"/>
    <n v="713010"/>
    <s v="Benefits-FICA/Medicare"/>
    <s v="MRI"/>
    <x v="0"/>
    <m/>
    <n v="1905.79"/>
    <n v="2964.13"/>
    <n v="2377.09"/>
    <n v="2061.6"/>
    <n v="1460.17"/>
    <n v="1574.64"/>
    <n v="2307.83"/>
    <n v="1781.58"/>
    <n v="2113.4299999999998"/>
    <n v="2331.98"/>
    <n v="1750.59"/>
    <n v="2057.11"/>
    <n v="24685.940000000002"/>
    <n v="-306.52000000000021"/>
  </r>
  <r>
    <x v="6"/>
    <x v="4"/>
    <x v="0"/>
    <s v="4815103"/>
    <n v="713090"/>
    <s v="Benefits-Allocated Amounts"/>
    <s v="MRI"/>
    <x v="0"/>
    <m/>
    <n v="3090.71"/>
    <n v="4792.22"/>
    <n v="4185.45"/>
    <n v="3401.5"/>
    <n v="3533.39"/>
    <n v="3236.57"/>
    <n v="3953.56"/>
    <n v="3527.04"/>
    <n v="3627.3"/>
    <n v="4332"/>
    <n v="3269.87"/>
    <n v="4009.57"/>
    <n v="44959.180000000008"/>
    <n v="-739.70000000000027"/>
  </r>
  <r>
    <x v="7"/>
    <x v="4"/>
    <x v="0"/>
    <s v="4815103"/>
    <n v="718050"/>
    <s v="Contract Svcs-Other"/>
    <s v="MRI"/>
    <x v="0"/>
    <m/>
    <n v="0"/>
    <n v="0"/>
    <n v="0"/>
    <n v="0"/>
    <n v="0"/>
    <n v="0"/>
    <n v="0"/>
    <n v="0"/>
    <n v="0"/>
    <n v="2300"/>
    <n v="0"/>
    <n v="0"/>
    <n v="2300"/>
    <n v="0"/>
  </r>
  <r>
    <x v="7"/>
    <x v="4"/>
    <x v="0"/>
    <s v="4815103"/>
    <n v="718050"/>
    <s v="Translation Services"/>
    <s v="MRI"/>
    <x v="0"/>
    <n v="1025"/>
    <n v="0"/>
    <n v="0"/>
    <n v="0"/>
    <n v="20.55"/>
    <n v="0"/>
    <n v="0"/>
    <n v="48"/>
    <n v="50.47"/>
    <n v="0"/>
    <n v="0"/>
    <n v="0"/>
    <n v="0"/>
    <n v="119.02"/>
    <n v="0"/>
  </r>
  <r>
    <x v="7"/>
    <x v="4"/>
    <x v="0"/>
    <s v="4815103"/>
    <n v="718070"/>
    <s v="Contract Srvcs-CHI Clinical Engineering"/>
    <s v="MRI"/>
    <x v="0"/>
    <m/>
    <n v="0"/>
    <n v="0"/>
    <n v="0"/>
    <n v="10927.86"/>
    <n v="7836.69"/>
    <n v="7836.69"/>
    <n v="7836.69"/>
    <n v="11039.73"/>
    <n v="7836.69"/>
    <n v="7836.69"/>
    <n v="7836.69"/>
    <n v="7836.69"/>
    <n v="76824.420000000013"/>
    <n v="0"/>
  </r>
  <r>
    <x v="11"/>
    <x v="4"/>
    <x v="0"/>
    <s v="4815103"/>
    <n v="721010"/>
    <s v="Supplies-Medical - Billable"/>
    <s v="MRI"/>
    <x v="0"/>
    <m/>
    <n v="1730.93"/>
    <n v="9.82"/>
    <n v="28.45"/>
    <n v="81.709999999999994"/>
    <n v="83.39"/>
    <n v="76.7"/>
    <n v="29.45"/>
    <n v="51.92"/>
    <n v="74.849999999999994"/>
    <n v="3819.95"/>
    <n v="109.44"/>
    <n v="49.93"/>
    <n v="6146.54"/>
    <n v="59.51"/>
  </r>
  <r>
    <x v="11"/>
    <x v="4"/>
    <x v="0"/>
    <s v="4815103"/>
    <n v="721020"/>
    <s v="Supplies-Surgical - Billable"/>
    <s v="MRI"/>
    <x v="0"/>
    <m/>
    <n v="0"/>
    <n v="0"/>
    <n v="0"/>
    <n v="22.73"/>
    <n v="0"/>
    <n v="0"/>
    <n v="0"/>
    <n v="6.5"/>
    <n v="0"/>
    <n v="0"/>
    <n v="6.5"/>
    <n v="0"/>
    <n v="35.730000000000004"/>
    <n v="6.5"/>
  </r>
  <r>
    <x v="11"/>
    <x v="4"/>
    <x v="0"/>
    <s v="4815103"/>
    <n v="721050"/>
    <s v="Supplies-Cardiac Rhythm - Billable"/>
    <s v="MRI"/>
    <x v="0"/>
    <m/>
    <n v="0"/>
    <n v="0"/>
    <n v="0"/>
    <n v="1223.8800000000001"/>
    <n v="0"/>
    <n v="1100"/>
    <n v="591"/>
    <n v="591"/>
    <n v="0"/>
    <n v="2282"/>
    <n v="0"/>
    <n v="0"/>
    <n v="5787.88"/>
    <n v="0"/>
  </r>
  <r>
    <x v="11"/>
    <x v="4"/>
    <x v="0"/>
    <s v="4815103"/>
    <n v="721240"/>
    <s v="Supplies-IV Solutions/Supplies - Billable"/>
    <s v="MRI"/>
    <x v="0"/>
    <m/>
    <n v="0"/>
    <n v="181.9"/>
    <n v="968.45"/>
    <n v="1024.81"/>
    <n v="623"/>
    <n v="803.93"/>
    <n v="795.03"/>
    <n v="680.85"/>
    <n v="1023.5"/>
    <n v="858.85"/>
    <n v="1157.23"/>
    <n v="1023.5"/>
    <n v="9141.0500000000011"/>
    <n v="133.73000000000002"/>
  </r>
  <r>
    <x v="11"/>
    <x v="4"/>
    <x v="0"/>
    <s v="4815103"/>
    <n v="721250"/>
    <s v="Supplies-Pharmacy Drugs - Billable"/>
    <s v="MRI"/>
    <x v="0"/>
    <m/>
    <n v="0"/>
    <n v="0"/>
    <n v="879.74"/>
    <n v="2199.8200000000002"/>
    <n v="1242.6500000000001"/>
    <n v="1980.47"/>
    <n v="699"/>
    <n v="1789.27"/>
    <n v="2722.8"/>
    <n v="1983.74"/>
    <n v="2022.65"/>
    <n v="1944.84"/>
    <n v="17464.98"/>
    <n v="77.810000000000173"/>
  </r>
  <r>
    <x v="11"/>
    <x v="4"/>
    <x v="0"/>
    <s v="4815103"/>
    <n v="721350"/>
    <s v="Radiology Imaging - Contrast Media"/>
    <s v="MRI"/>
    <x v="0"/>
    <n v="1000"/>
    <n v="0"/>
    <n v="0"/>
    <n v="218.61"/>
    <n v="83.82"/>
    <n v="218.61"/>
    <n v="191.39"/>
    <n v="0.02"/>
    <n v="70.19"/>
    <n v="480.96"/>
    <n v="133.97"/>
    <n v="26.47"/>
    <n v="127.6"/>
    <n v="1551.6399999999999"/>
    <n v="-101.13"/>
  </r>
  <r>
    <x v="11"/>
    <x v="4"/>
    <x v="0"/>
    <s v="4815103"/>
    <n v="721410"/>
    <s v="Supplies-Medical - Nonbillable"/>
    <s v="MRI"/>
    <x v="0"/>
    <m/>
    <n v="0"/>
    <n v="378.61"/>
    <n v="1689.08"/>
    <n v="2117.87"/>
    <n v="1335.34"/>
    <n v="1775.11"/>
    <n v="1467.04"/>
    <n v="1657.1"/>
    <n v="2103.59"/>
    <n v="1838.11"/>
    <n v="2092.38"/>
    <n v="2183.59"/>
    <n v="18637.82"/>
    <n v="-91.210000000000036"/>
  </r>
  <r>
    <x v="11"/>
    <x v="4"/>
    <x v="0"/>
    <s v="4815103"/>
    <n v="721420"/>
    <s v="Supplies-Surgical Nonbillable"/>
    <s v="MRI"/>
    <x v="0"/>
    <m/>
    <n v="0"/>
    <n v="0"/>
    <n v="0"/>
    <n v="5.42"/>
    <n v="0"/>
    <n v="2.86"/>
    <n v="2.86"/>
    <n v="0"/>
    <n v="0"/>
    <n v="2.86"/>
    <n v="0"/>
    <n v="2.86"/>
    <n v="16.86"/>
    <n v="-2.86"/>
  </r>
  <r>
    <x v="11"/>
    <x v="4"/>
    <x v="0"/>
    <s v="4815103"/>
    <n v="721420"/>
    <s v="Sterilization Process Products"/>
    <s v="MRI"/>
    <x v="0"/>
    <n v="1009"/>
    <n v="0"/>
    <n v="0"/>
    <n v="0"/>
    <n v="-8.84"/>
    <n v="0"/>
    <n v="124.74"/>
    <n v="0"/>
    <n v="-3.74"/>
    <n v="124.74"/>
    <n v="132.97999999999999"/>
    <n v="0"/>
    <n v="0"/>
    <n v="369.88"/>
    <n v="0"/>
  </r>
  <r>
    <x v="11"/>
    <x v="4"/>
    <x v="0"/>
    <s v="4815103"/>
    <n v="721610"/>
    <s v="Supplies-Anesthesia - Nonbillable"/>
    <s v="MRI"/>
    <x v="0"/>
    <m/>
    <n v="0"/>
    <n v="0"/>
    <n v="18.899999999999999"/>
    <n v="1.41"/>
    <n v="20.170000000000002"/>
    <n v="12.87"/>
    <n v="2.13"/>
    <n v="2.42"/>
    <n v="1.6"/>
    <n v="18.13"/>
    <n v="30.24"/>
    <n v="0"/>
    <n v="107.87"/>
    <n v="30.24"/>
  </r>
  <r>
    <x v="11"/>
    <x v="4"/>
    <x v="0"/>
    <s v="4815103"/>
    <n v="721640"/>
    <s v="Supplies-IV Solutions/Supplies - Nonbillable"/>
    <s v="MRI"/>
    <x v="0"/>
    <m/>
    <n v="0"/>
    <n v="7.44"/>
    <n v="17.36"/>
    <n v="14.17"/>
    <n v="14.88"/>
    <n v="12.4"/>
    <n v="22.32"/>
    <n v="14.88"/>
    <n v="9.92"/>
    <n v="33.340000000000003"/>
    <n v="22.99"/>
    <n v="437.3"/>
    <n v="607"/>
    <n v="-414.31"/>
  </r>
  <r>
    <x v="11"/>
    <x v="4"/>
    <x v="0"/>
    <s v="4815103"/>
    <n v="721650"/>
    <s v="Supplies-Pharmacy Drugs - Nonbillable"/>
    <s v="MRI"/>
    <x v="0"/>
    <m/>
    <n v="0"/>
    <n v="2"/>
    <n v="0"/>
    <n v="0.24"/>
    <n v="2.67"/>
    <n v="4"/>
    <n v="0"/>
    <n v="2"/>
    <n v="0"/>
    <n v="2"/>
    <n v="4"/>
    <n v="0"/>
    <n v="16.91"/>
    <n v="4"/>
  </r>
  <r>
    <x v="11"/>
    <x v="4"/>
    <x v="0"/>
    <s v="4815103"/>
    <n v="721710"/>
    <s v="Supplies-Laboratory - Nonbillable"/>
    <s v="MRI"/>
    <x v="0"/>
    <m/>
    <n v="0"/>
    <n v="0"/>
    <n v="20.58"/>
    <n v="28.75"/>
    <n v="18.12"/>
    <n v="24.27"/>
    <n v="23.18"/>
    <n v="28.07"/>
    <n v="22.04"/>
    <n v="17.78"/>
    <n v="24.2"/>
    <n v="32.33"/>
    <n v="239.32"/>
    <n v="-8.129999999999999"/>
  </r>
  <r>
    <x v="11"/>
    <x v="4"/>
    <x v="0"/>
    <s v="4815103"/>
    <n v="721750"/>
    <s v="Supplies-Film/Radiographic - Nonbillable"/>
    <s v="MRI"/>
    <x v="0"/>
    <m/>
    <n v="0"/>
    <n v="9.3699999999999992"/>
    <n v="22.48"/>
    <n v="45.03"/>
    <n v="24.36"/>
    <n v="29.04"/>
    <n v="17.8"/>
    <n v="143.86000000000001"/>
    <n v="18.73"/>
    <n v="5.78"/>
    <n v="135"/>
    <n v="23.84"/>
    <n v="475.29"/>
    <n v="111.16"/>
  </r>
  <r>
    <x v="11"/>
    <x v="4"/>
    <x v="0"/>
    <s v="4815103"/>
    <n v="721810"/>
    <s v="Supplies-Dietary/Cafeteria"/>
    <s v="MRI"/>
    <x v="0"/>
    <m/>
    <n v="0"/>
    <n v="0"/>
    <n v="9"/>
    <n v="15.9"/>
    <n v="15.75"/>
    <n v="13.5"/>
    <n v="4.5"/>
    <n v="4.5"/>
    <n v="9"/>
    <n v="7.55"/>
    <n v="7.55"/>
    <n v="4.5"/>
    <n v="91.75"/>
    <n v="3.05"/>
  </r>
  <r>
    <x v="11"/>
    <x v="4"/>
    <x v="0"/>
    <s v="4815103"/>
    <n v="721870"/>
    <s v="Supplies-Environmental Services"/>
    <s v="MRI"/>
    <x v="0"/>
    <m/>
    <n v="0"/>
    <n v="0"/>
    <n v="42.53"/>
    <n v="70.09"/>
    <n v="40.5"/>
    <n v="88.13"/>
    <n v="19.04"/>
    <n v="55.4"/>
    <n v="65.31"/>
    <n v="94.79"/>
    <n v="57.3"/>
    <n v="112.52"/>
    <n v="645.61"/>
    <n v="-55.22"/>
  </r>
  <r>
    <x v="11"/>
    <x v="4"/>
    <x v="0"/>
    <s v="4815103"/>
    <n v="721910"/>
    <s v="Supplies-Small Equipment"/>
    <s v="MRI"/>
    <x v="0"/>
    <m/>
    <n v="0"/>
    <n v="0"/>
    <n v="3.84"/>
    <n v="2.8"/>
    <n v="5.76"/>
    <n v="3.06"/>
    <n v="3.4"/>
    <n v="150.82"/>
    <n v="2.72"/>
    <n v="2.04"/>
    <n v="1.36"/>
    <n v="4.08"/>
    <n v="179.88000000000002"/>
    <n v="-2.7199999999999998"/>
  </r>
  <r>
    <x v="11"/>
    <x v="4"/>
    <x v="0"/>
    <s v="4815103"/>
    <n v="721980"/>
    <s v="Supplies-Other"/>
    <s v="MRI"/>
    <x v="0"/>
    <m/>
    <n v="0"/>
    <n v="0"/>
    <n v="0"/>
    <n v="5.29"/>
    <n v="0"/>
    <n v="0"/>
    <n v="287.98"/>
    <n v="0"/>
    <n v="28.51"/>
    <n v="0"/>
    <n v="0"/>
    <n v="0"/>
    <n v="321.78000000000003"/>
    <n v="0"/>
  </r>
  <r>
    <x v="11"/>
    <x v="4"/>
    <x v="0"/>
    <s v="4815103"/>
    <n v="722000"/>
    <s v="Supplies-Freight Expense"/>
    <s v="MRI"/>
    <x v="0"/>
    <m/>
    <n v="0"/>
    <n v="7.93"/>
    <n v="0"/>
    <n v="3.32"/>
    <n v="0"/>
    <n v="0"/>
    <n v="9.09"/>
    <n v="0"/>
    <n v="20.63"/>
    <n v="9.93"/>
    <n v="9.5299999999999994"/>
    <n v="24.82"/>
    <n v="85.25"/>
    <n v="-15.290000000000001"/>
  </r>
  <r>
    <x v="12"/>
    <x v="4"/>
    <x v="0"/>
    <s v="4815103"/>
    <n v="730010"/>
    <s v="Rental and Leases-Building (DO NOT USE)"/>
    <s v="MRI"/>
    <x v="0"/>
    <m/>
    <n v="0"/>
    <n v="0"/>
    <n v="0"/>
    <n v="7946.27"/>
    <n v="1441.88"/>
    <n v="21493.94"/>
    <n v="21493.94"/>
    <n v="21493.94"/>
    <n v="21493.94"/>
    <n v="21493.94"/>
    <n v="21493.94"/>
    <n v="0"/>
    <n v="138351.79"/>
    <n v="21493.94"/>
  </r>
  <r>
    <x v="12"/>
    <x v="4"/>
    <x v="0"/>
    <s v="4815103"/>
    <n v="730010"/>
    <s v="Rental-Common Area Maint (DO NOT USE)"/>
    <s v="MRI"/>
    <x v="0"/>
    <n v="2200"/>
    <n v="0"/>
    <n v="0"/>
    <n v="0"/>
    <n v="0"/>
    <n v="0"/>
    <n v="6546.07"/>
    <n v="6546.07"/>
    <n v="6546.07"/>
    <n v="4220.28"/>
    <n v="7504.58"/>
    <n v="7504.58"/>
    <n v="0"/>
    <n v="38867.65"/>
    <n v="7504.58"/>
  </r>
  <r>
    <x v="12"/>
    <x v="4"/>
    <x v="0"/>
    <s v="4815103"/>
    <n v="730040"/>
    <s v="LT Lease-Real Estate"/>
    <s v="MRI"/>
    <x v="0"/>
    <m/>
    <n v="0"/>
    <n v="0"/>
    <n v="0"/>
    <n v="0"/>
    <n v="0"/>
    <n v="0"/>
    <n v="0"/>
    <n v="0"/>
    <n v="0"/>
    <n v="0"/>
    <n v="0"/>
    <n v="29428.39"/>
    <n v="29428.39"/>
    <n v="-29428.39"/>
  </r>
  <r>
    <x v="15"/>
    <x v="4"/>
    <x v="0"/>
    <s v="4815103"/>
    <n v="731020"/>
    <s v="Electricity"/>
    <s v="MRI"/>
    <x v="0"/>
    <m/>
    <n v="0"/>
    <n v="0"/>
    <n v="0"/>
    <n v="465.83"/>
    <n v="0"/>
    <n v="3444.06"/>
    <n v="0"/>
    <n v="0"/>
    <n v="0"/>
    <n v="0"/>
    <n v="0"/>
    <n v="0"/>
    <n v="3909.89"/>
    <n v="0"/>
  </r>
  <r>
    <x v="0"/>
    <x v="4"/>
    <x v="0"/>
    <s v="4815103"/>
    <n v="749510"/>
    <s v="Miscellaneous Expenses"/>
    <s v="MRI"/>
    <x v="0"/>
    <m/>
    <n v="0"/>
    <n v="0"/>
    <n v="0"/>
    <n v="63.15"/>
    <n v="2011.01"/>
    <n v="0"/>
    <n v="0"/>
    <n v="0"/>
    <n v="0"/>
    <n v="0"/>
    <n v="0"/>
    <n v="0"/>
    <n v="2074.16"/>
    <n v="0"/>
  </r>
  <r>
    <x v="18"/>
    <x v="8"/>
    <x v="0"/>
    <s v="4815104"/>
    <n v="400010"/>
    <s v="Acute I/P Svcs Rev--Medicare"/>
    <s v="MRI"/>
    <x v="0"/>
    <n v="1100"/>
    <n v="-205091.25"/>
    <n v="-230292.97"/>
    <n v="-194549.65"/>
    <n v="-151880.39000000001"/>
    <n v="-134450.09"/>
    <n v="-198056.52"/>
    <n v="-216950.46"/>
    <n v="-149644.10999999999"/>
    <n v="-167319.82"/>
    <n v="-229605.14"/>
    <n v="-200232.19"/>
    <n v="-229071.19"/>
    <n v="-2307143.7799999998"/>
    <n v="28839"/>
  </r>
  <r>
    <x v="18"/>
    <x v="8"/>
    <x v="0"/>
    <s v="4815104"/>
    <n v="400010"/>
    <s v="Acute I/P Svcs Rev--Medicaid"/>
    <s v="MRI"/>
    <x v="0"/>
    <n v="1200"/>
    <n v="-47646.239999999998"/>
    <n v="-21256.35"/>
    <n v="-64009.86"/>
    <n v="-50777.32"/>
    <n v="-31621.83"/>
    <n v="-50411.43"/>
    <n v="-76063.59"/>
    <n v="-52686.94"/>
    <n v="-42896.76"/>
    <n v="-51423.74"/>
    <n v="-14434.96"/>
    <n v="-14820.21"/>
    <n v="-518049.23000000004"/>
    <n v="385.25"/>
  </r>
  <r>
    <x v="18"/>
    <x v="8"/>
    <x v="0"/>
    <s v="4815104"/>
    <n v="400010"/>
    <s v="Acute I/P Svcs Rev--Comm Insurance"/>
    <s v="MRI"/>
    <x v="0"/>
    <n v="1300"/>
    <n v="-28122.19"/>
    <n v="20476.509999999998"/>
    <n v="-6742.83"/>
    <n v="0"/>
    <n v="-21346.06"/>
    <n v="0"/>
    <n v="0"/>
    <n v="-6955.53"/>
    <n v="0"/>
    <n v="-16940.009999999998"/>
    <n v="0"/>
    <n v="0"/>
    <n v="-59630.11"/>
    <n v="0"/>
  </r>
  <r>
    <x v="18"/>
    <x v="8"/>
    <x v="0"/>
    <s v="4815104"/>
    <n v="400010"/>
    <s v="Acute I/P Svcs Rev--BCBS Comm"/>
    <s v="MRI"/>
    <x v="0"/>
    <n v="1301"/>
    <n v="-29265.33"/>
    <n v="-50238.48"/>
    <n v="-10957.11"/>
    <n v="-3822.84"/>
    <n v="-14270.07"/>
    <n v="-17303.88"/>
    <n v="-23497.62"/>
    <n v="-56804.57"/>
    <n v="-42491.15"/>
    <n v="0"/>
    <n v="-10468.06"/>
    <n v="-71715.23"/>
    <n v="-330834.33999999997"/>
    <n v="61247.17"/>
  </r>
  <r>
    <x v="18"/>
    <x v="8"/>
    <x v="0"/>
    <s v="4815104"/>
    <n v="400010"/>
    <s v="Acute I/P Svcs Rev--Managed Care"/>
    <s v="MRI"/>
    <x v="0"/>
    <n v="1400"/>
    <n v="-35133.870000000003"/>
    <n v="-13877.1"/>
    <n v="-14518.46"/>
    <n v="-7061.04"/>
    <n v="-45899.040000000001"/>
    <n v="-62995.44"/>
    <n v="-31744"/>
    <n v="-18466.11"/>
    <n v="-29162.18"/>
    <n v="-19209.07"/>
    <n v="-65560.75"/>
    <n v="-35241.68"/>
    <n v="-378868.74"/>
    <n v="-30319.07"/>
  </r>
  <r>
    <x v="18"/>
    <x v="8"/>
    <x v="0"/>
    <s v="4815104"/>
    <n v="400010"/>
    <s v="Acute I/P Svcs Rev--Self Pay"/>
    <s v="MRI"/>
    <x v="0"/>
    <n v="1500"/>
    <n v="0"/>
    <n v="-3238.2"/>
    <n v="-17576.46"/>
    <n v="0"/>
    <n v="0"/>
    <n v="7134.27"/>
    <n v="0"/>
    <n v="0"/>
    <n v="0"/>
    <n v="-6945.15"/>
    <n v="-7227.16"/>
    <n v="0"/>
    <n v="-27852.7"/>
    <n v="-7227.16"/>
  </r>
  <r>
    <x v="18"/>
    <x v="8"/>
    <x v="0"/>
    <s v="4815104"/>
    <n v="400010"/>
    <s v="Acute I/P Svcs Rev--Other"/>
    <s v="MRI"/>
    <x v="0"/>
    <n v="1700"/>
    <n v="-10565.67"/>
    <n v="-10757.19"/>
    <n v="3640.8"/>
    <n v="-40196.550000000003"/>
    <n v="21545.16"/>
    <n v="-20537.310000000001"/>
    <n v="-5771.91"/>
    <n v="-12363.46"/>
    <n v="-7021.31"/>
    <n v="-8831.5300000000007"/>
    <n v="-34541.78"/>
    <n v="-30908.36"/>
    <n v="-156309.10999999999"/>
    <n v="-3633.4199999999983"/>
  </r>
  <r>
    <x v="19"/>
    <x v="8"/>
    <x v="0"/>
    <s v="4815104"/>
    <n v="400020"/>
    <s v="O/P Care Svcs Rev--Medicare"/>
    <s v="MRI"/>
    <x v="0"/>
    <n v="1100"/>
    <n v="-438734.25"/>
    <n v="-494375.02"/>
    <n v="-404502.07"/>
    <n v="-513150.29"/>
    <n v="-497616.62"/>
    <n v="-413814.98"/>
    <n v="-500378.45"/>
    <n v="-349493.37"/>
    <n v="-555725.26"/>
    <n v="-450799.44"/>
    <n v="-617355.91"/>
    <n v="-467579.57"/>
    <n v="-5703525.2300000014"/>
    <n v="-149776.34000000003"/>
  </r>
  <r>
    <x v="19"/>
    <x v="8"/>
    <x v="0"/>
    <s v="4815104"/>
    <n v="400020"/>
    <s v="O/P Care Svcs Rev--Medicaid"/>
    <s v="MRI"/>
    <x v="0"/>
    <n v="1200"/>
    <n v="-168204.06"/>
    <n v="-125411.93"/>
    <n v="-136107.99"/>
    <n v="-128062.28"/>
    <n v="-195588.15"/>
    <n v="-112221.9"/>
    <n v="-159661.09"/>
    <n v="-157921.10999999999"/>
    <n v="-104498.57"/>
    <n v="-152835.04"/>
    <n v="-155469.71"/>
    <n v="-109336.51"/>
    <n v="-1705318.34"/>
    <n v="-46133.2"/>
  </r>
  <r>
    <x v="19"/>
    <x v="8"/>
    <x v="0"/>
    <s v="4815104"/>
    <n v="400020"/>
    <s v="O/P Care Svcs Rev--Comm Insurance"/>
    <s v="MRI"/>
    <x v="0"/>
    <n v="1300"/>
    <n v="-18725.099999999999"/>
    <n v="20084.810000000001"/>
    <n v="-46763.17"/>
    <n v="-38508.78"/>
    <n v="-57484"/>
    <n v="-20263.63"/>
    <n v="-54228.02"/>
    <n v="-24504.15"/>
    <n v="-66420.63"/>
    <n v="-46337.33"/>
    <n v="-64163.68"/>
    <n v="-54942.71"/>
    <n v="-472256.39"/>
    <n v="-9220.9700000000012"/>
  </r>
  <r>
    <x v="19"/>
    <x v="8"/>
    <x v="0"/>
    <s v="4815104"/>
    <n v="400020"/>
    <s v="O/P Care Svcs Rev--BCBS Comm"/>
    <s v="MRI"/>
    <x v="0"/>
    <n v="1301"/>
    <n v="-122393.69"/>
    <n v="-105252.77"/>
    <n v="-104244.1"/>
    <n v="-143971.66"/>
    <n v="-116105.05"/>
    <n v="-139152.89000000001"/>
    <n v="-126802.76"/>
    <n v="-94167.039999999994"/>
    <n v="-95469.34"/>
    <n v="-158768.62"/>
    <n v="-99021.2"/>
    <n v="-135490.43"/>
    <n v="-1440839.55"/>
    <n v="36469.229999999996"/>
  </r>
  <r>
    <x v="19"/>
    <x v="8"/>
    <x v="0"/>
    <s v="4815104"/>
    <n v="400020"/>
    <s v="O/P Care Svcs Rev--Managed Care"/>
    <s v="MRI"/>
    <x v="0"/>
    <n v="1400"/>
    <n v="-274819.28999999998"/>
    <n v="-253417.34"/>
    <n v="-226103.71"/>
    <n v="-295615.73"/>
    <n v="-309268.65999999997"/>
    <n v="-294115.12"/>
    <n v="-310573.86"/>
    <n v="-220252.81"/>
    <n v="-296990.13"/>
    <n v="-343145.74"/>
    <n v="-339159.36"/>
    <n v="-210382.48"/>
    <n v="-3373844.2299999995"/>
    <n v="-128776.87999999998"/>
  </r>
  <r>
    <x v="19"/>
    <x v="8"/>
    <x v="0"/>
    <s v="4815104"/>
    <n v="400020"/>
    <s v="O/P Care Svcs Rev--Self Pay"/>
    <s v="MRI"/>
    <x v="0"/>
    <n v="1500"/>
    <n v="-5579.85"/>
    <n v="-4492"/>
    <n v="-3202.5"/>
    <n v="0"/>
    <n v="-16726.650000000001"/>
    <n v="6498.81"/>
    <n v="-14034.51"/>
    <n v="-16031.74"/>
    <n v="-6121.65"/>
    <n v="209.95"/>
    <n v="0"/>
    <n v="-15980.66"/>
    <n v="-75460.800000000003"/>
    <n v="15980.66"/>
  </r>
  <r>
    <x v="19"/>
    <x v="8"/>
    <x v="0"/>
    <s v="4815104"/>
    <n v="400020"/>
    <s v="O/P Care Svcs Rev--Other"/>
    <s v="MRI"/>
    <x v="0"/>
    <n v="1700"/>
    <n v="-63815.41"/>
    <n v="-96480.42"/>
    <n v="-79672.59"/>
    <n v="-104818.63"/>
    <n v="-96032.4"/>
    <n v="-114624.15"/>
    <n v="-83285.570000000007"/>
    <n v="-112801.22"/>
    <n v="-89360.36"/>
    <n v="-87612.09"/>
    <n v="-55985.599999999999"/>
    <n v="-93506.55"/>
    <n v="-1077994.99"/>
    <n v="37520.950000000004"/>
  </r>
  <r>
    <x v="5"/>
    <x v="8"/>
    <x v="0"/>
    <s v="4815104"/>
    <n v="700034"/>
    <s v="Salaries-Tech/Professional-Productive"/>
    <s v="MRI"/>
    <x v="0"/>
    <m/>
    <n v="22918.16"/>
    <n v="21830.79"/>
    <n v="21095.17"/>
    <n v="21379.919999999998"/>
    <n v="23997.5"/>
    <n v="20811.28"/>
    <n v="24603.3"/>
    <n v="64988.19"/>
    <n v="25769.71"/>
    <n v="24404.47"/>
    <n v="23715.05"/>
    <n v="22601.77"/>
    <n v="318115.31"/>
    <n v="1113.2799999999988"/>
  </r>
  <r>
    <x v="5"/>
    <x v="8"/>
    <x v="0"/>
    <s v="4815104"/>
    <n v="700034"/>
    <s v="Salaries-Tech/Professional-OT"/>
    <s v="MRI"/>
    <x v="0"/>
    <n v="1000"/>
    <n v="367.06"/>
    <n v="767.13"/>
    <n v="87.12"/>
    <n v="1753.3"/>
    <n v="-217.58"/>
    <n v="2180.23"/>
    <n v="-135.33000000000001"/>
    <n v="2845.32"/>
    <n v="434.03"/>
    <n v="162.94"/>
    <n v="1967.4"/>
    <n v="-233.25"/>
    <n v="9978.369999999999"/>
    <n v="2200.65"/>
  </r>
  <r>
    <x v="5"/>
    <x v="8"/>
    <x v="0"/>
    <s v="4815104"/>
    <n v="700034"/>
    <s v="Salaries-Tech/Professional-Other"/>
    <s v="MRI"/>
    <x v="0"/>
    <n v="2000"/>
    <n v="749.97"/>
    <n v="551.49"/>
    <n v="259.43"/>
    <n v="365.56"/>
    <n v="501.62"/>
    <n v="452.86"/>
    <n v="468.04"/>
    <n v="525.96"/>
    <n v="458.84"/>
    <n v="610.45000000000005"/>
    <n v="535.66999999999996"/>
    <n v="402.03"/>
    <n v="5881.92"/>
    <n v="133.63999999999999"/>
  </r>
  <r>
    <x v="5"/>
    <x v="8"/>
    <x v="0"/>
    <s v="4815104"/>
    <n v="700074"/>
    <s v="Salaries-Tech/Professional-Non-productive"/>
    <s v="MRI"/>
    <x v="0"/>
    <m/>
    <n v="5867.1"/>
    <n v="3409.89"/>
    <n v="443.73"/>
    <n v="806.22"/>
    <n v="2359.9"/>
    <n v="5045.7700000000004"/>
    <n v="2063.4"/>
    <n v="4697.42"/>
    <n v="715.6"/>
    <n v="2849.25"/>
    <n v="2178.14"/>
    <n v="3009.38"/>
    <n v="33445.799999999996"/>
    <n v="-831.24000000000024"/>
  </r>
  <r>
    <x v="5"/>
    <x v="8"/>
    <x v="0"/>
    <s v="4815104"/>
    <n v="700074"/>
    <s v="Salaries-Tech/Professional-NonProd-Other"/>
    <s v="MRI"/>
    <x v="0"/>
    <n v="2000"/>
    <n v="123.15"/>
    <n v="82.31"/>
    <n v="-29.71"/>
    <n v="3.7"/>
    <n v="274.43"/>
    <n v="1.97"/>
    <n v="243.63"/>
    <n v="-47.59"/>
    <n v="234.08"/>
    <n v="-89.66"/>
    <n v="4.05"/>
    <n v="124.59"/>
    <n v="924.95"/>
    <n v="-120.54"/>
  </r>
  <r>
    <x v="5"/>
    <x v="8"/>
    <x v="0"/>
    <s v="4815104"/>
    <n v="700084"/>
    <s v="Accrued PTO"/>
    <s v="MRI"/>
    <x v="0"/>
    <m/>
    <n v="-1698.36"/>
    <n v="-933.89"/>
    <n v="1236.68"/>
    <n v="2524.8000000000002"/>
    <n v="473.73"/>
    <n v="-1609.74"/>
    <n v="1009.25"/>
    <n v="1318.47"/>
    <n v="893.91"/>
    <n v="554.54"/>
    <n v="771.32"/>
    <n v="919.89"/>
    <n v="5460.6"/>
    <n v="-148.56999999999994"/>
  </r>
  <r>
    <x v="6"/>
    <x v="8"/>
    <x v="0"/>
    <s v="4815104"/>
    <n v="713010"/>
    <s v="Benefits-FICA/Medicare"/>
    <s v="MRI"/>
    <x v="0"/>
    <m/>
    <n v="2204.83"/>
    <n v="1956.3"/>
    <n v="1596.38"/>
    <n v="1782.53"/>
    <n v="2015.33"/>
    <n v="2080.04"/>
    <n v="1989.18"/>
    <n v="5300.43"/>
    <n v="2011.17"/>
    <n v="2046.02"/>
    <n v="2080.54"/>
    <n v="1896.22"/>
    <n v="26958.970000000005"/>
    <n v="184.31999999999994"/>
  </r>
  <r>
    <x v="6"/>
    <x v="8"/>
    <x v="0"/>
    <s v="4815104"/>
    <n v="713090"/>
    <s v="Benefits-Allocated Amounts"/>
    <s v="MRI"/>
    <x v="0"/>
    <m/>
    <n v="4856.3900000000003"/>
    <n v="3812.47"/>
    <n v="3502.23"/>
    <n v="3839.96"/>
    <n v="4294.04"/>
    <n v="4263.26"/>
    <n v="4341.2700000000004"/>
    <n v="12392.36"/>
    <n v="4460.8"/>
    <n v="4905.0600000000004"/>
    <n v="4725.1499999999996"/>
    <n v="4382.05"/>
    <n v="59775.040000000001"/>
    <n v="343.09999999999945"/>
  </r>
  <r>
    <x v="7"/>
    <x v="8"/>
    <x v="0"/>
    <s v="4815104"/>
    <n v="718070"/>
    <s v="Contract Srvcs-CHI Clinical Engineering"/>
    <s v="MRI"/>
    <x v="0"/>
    <m/>
    <n v="11390.33"/>
    <n v="11390.33"/>
    <n v="11390.33"/>
    <n v="11390.33"/>
    <n v="11390.33"/>
    <n v="10498"/>
    <n v="12282.66"/>
    <n v="11390.33"/>
    <n v="11390.33"/>
    <n v="11390.33"/>
    <n v="11390.33"/>
    <n v="11390.33"/>
    <n v="136683.96"/>
    <n v="0"/>
  </r>
  <r>
    <x v="11"/>
    <x v="8"/>
    <x v="0"/>
    <s v="4815104"/>
    <n v="721010"/>
    <s v="Patient Monitoring"/>
    <s v="MRI"/>
    <x v="0"/>
    <n v="1000"/>
    <n v="0"/>
    <n v="0"/>
    <n v="0"/>
    <n v="0"/>
    <n v="0"/>
    <n v="0"/>
    <n v="0"/>
    <n v="0"/>
    <n v="157.91999999999999"/>
    <n v="0"/>
    <n v="0"/>
    <n v="0"/>
    <n v="157.91999999999999"/>
    <n v="0"/>
  </r>
  <r>
    <x v="11"/>
    <x v="8"/>
    <x v="0"/>
    <s v="4815104"/>
    <n v="721050"/>
    <s v="Supplies-Cardiac Rhythm - Billable"/>
    <s v="MRI"/>
    <x v="0"/>
    <m/>
    <n v="591"/>
    <n v="591"/>
    <n v="0"/>
    <n v="591"/>
    <n v="0"/>
    <n v="1182"/>
    <n v="0"/>
    <n v="0"/>
    <n v="0"/>
    <n v="591"/>
    <n v="1182"/>
    <n v="0"/>
    <n v="4728"/>
    <n v="1182"/>
  </r>
  <r>
    <x v="11"/>
    <x v="8"/>
    <x v="0"/>
    <s v="4815104"/>
    <n v="721250"/>
    <s v="Supplies-Pharmacy Drugs - Billable"/>
    <s v="MRI"/>
    <x v="0"/>
    <m/>
    <n v="1668.9"/>
    <n v="2623.95"/>
    <n v="3816.55"/>
    <n v="2562.9899999999998"/>
    <n v="3185.7"/>
    <n v="2718.3"/>
    <n v="2330.0100000000002"/>
    <n v="3111.75"/>
    <n v="2178.2399999999998"/>
    <n v="3811.92"/>
    <n v="3500.7"/>
    <n v="4507.37"/>
    <n v="36016.379999999997"/>
    <n v="-1006.6700000000001"/>
  </r>
  <r>
    <x v="11"/>
    <x v="8"/>
    <x v="0"/>
    <s v="4815104"/>
    <n v="721410"/>
    <s v="Supplies-Medical - Nonbillable"/>
    <s v="MRI"/>
    <x v="0"/>
    <m/>
    <n v="0"/>
    <n v="76.73"/>
    <n v="38.17"/>
    <n v="622.4"/>
    <n v="0"/>
    <n v="0"/>
    <n v="0"/>
    <n v="69"/>
    <n v="0"/>
    <n v="0.48"/>
    <n v="21.5"/>
    <n v="0"/>
    <n v="828.28"/>
    <n v="21.5"/>
  </r>
  <r>
    <x v="11"/>
    <x v="8"/>
    <x v="0"/>
    <s v="4815104"/>
    <n v="721420"/>
    <s v="Sterilization Process Products"/>
    <s v="MRI"/>
    <x v="0"/>
    <n v="1009"/>
    <n v="30.52"/>
    <n v="0"/>
    <n v="129.12"/>
    <n v="159.78"/>
    <n v="0"/>
    <n v="123.15"/>
    <n v="106.73"/>
    <n v="0"/>
    <n v="0"/>
    <n v="121"/>
    <n v="0"/>
    <n v="123.15"/>
    <n v="793.45"/>
    <n v="-123.15"/>
  </r>
  <r>
    <x v="11"/>
    <x v="8"/>
    <x v="0"/>
    <s v="4815104"/>
    <n v="721750"/>
    <s v="Supplies-Film/Radiographic - Nonbillable"/>
    <s v="MRI"/>
    <x v="0"/>
    <m/>
    <n v="0"/>
    <n v="207.78"/>
    <n v="0"/>
    <n v="0"/>
    <n v="0"/>
    <n v="-29.68"/>
    <n v="0"/>
    <n v="0"/>
    <n v="0"/>
    <n v="0"/>
    <n v="0"/>
    <n v="96.62"/>
    <n v="274.72000000000003"/>
    <n v="-96.62"/>
  </r>
  <r>
    <x v="11"/>
    <x v="8"/>
    <x v="0"/>
    <s v="4815104"/>
    <n v="721810"/>
    <s v="Supplies-Dietary/Cafeteria"/>
    <s v="MRI"/>
    <x v="0"/>
    <m/>
    <n v="0"/>
    <n v="0"/>
    <n v="0"/>
    <n v="0"/>
    <n v="0"/>
    <n v="0"/>
    <n v="8"/>
    <n v="0"/>
    <n v="0"/>
    <n v="0"/>
    <n v="0"/>
    <n v="0"/>
    <n v="8"/>
    <n v="0"/>
  </r>
  <r>
    <x v="11"/>
    <x v="8"/>
    <x v="0"/>
    <s v="4815104"/>
    <n v="721980"/>
    <s v="Supplies-Other"/>
    <s v="MRI"/>
    <x v="0"/>
    <m/>
    <n v="0"/>
    <n v="0"/>
    <n v="0"/>
    <n v="0"/>
    <n v="0"/>
    <n v="0"/>
    <n v="91.2"/>
    <n v="0"/>
    <n v="0"/>
    <n v="1140.3599999999999"/>
    <n v="1166.5899999999999"/>
    <n v="0"/>
    <n v="2398.1499999999996"/>
    <n v="1166.5899999999999"/>
  </r>
  <r>
    <x v="11"/>
    <x v="8"/>
    <x v="0"/>
    <s v="4815104"/>
    <n v="722000"/>
    <s v="Supplies-Freight Expense"/>
    <s v="MRI"/>
    <x v="0"/>
    <m/>
    <n v="0"/>
    <n v="0"/>
    <n v="7.93"/>
    <n v="0"/>
    <n v="0"/>
    <n v="75.84"/>
    <n v="0"/>
    <n v="0"/>
    <n v="8.23"/>
    <n v="0"/>
    <n v="30.15"/>
    <n v="37.94"/>
    <n v="160.09"/>
    <n v="-7.7899999999999991"/>
  </r>
  <r>
    <x v="12"/>
    <x v="8"/>
    <x v="0"/>
    <s v="4815104"/>
    <n v="730020"/>
    <s v="Rental and Leases-Copier Usage Fees (DO NOT USE)"/>
    <s v="MRI"/>
    <x v="0"/>
    <n v="5100"/>
    <n v="36.909999999999997"/>
    <n v="38.049999999999997"/>
    <n v="37.479999999999997"/>
    <n v="37.479999999999997"/>
    <n v="37.479999999999997"/>
    <n v="37.479999999999997"/>
    <n v="30.93"/>
    <n v="36.04"/>
    <n v="35.96"/>
    <n v="36.119999999999997"/>
    <n v="36.04"/>
    <n v="52.16"/>
    <n v="452.13"/>
    <n v="-16.119999999999997"/>
  </r>
  <r>
    <x v="16"/>
    <x v="8"/>
    <x v="0"/>
    <s v="4815104"/>
    <n v="732015"/>
    <s v="Repairs-Clinical Equip-T&amp;M-Ext to CHI Programs"/>
    <s v="MRI"/>
    <x v="0"/>
    <m/>
    <n v="3600"/>
    <n v="0"/>
    <n v="0"/>
    <n v="0"/>
    <n v="0"/>
    <n v="306"/>
    <n v="0"/>
    <n v="0"/>
    <n v="0"/>
    <n v="0"/>
    <n v="0"/>
    <n v="0"/>
    <n v="3906"/>
    <n v="0"/>
  </r>
  <r>
    <x v="13"/>
    <x v="8"/>
    <x v="0"/>
    <s v="4815104"/>
    <n v="735070"/>
    <s v="Depreciation-Movable Equipment"/>
    <s v="MRI"/>
    <x v="0"/>
    <m/>
    <n v="615.29"/>
    <n v="615.29"/>
    <n v="615.29"/>
    <n v="615.29"/>
    <n v="615.29999999999995"/>
    <n v="615.29999999999995"/>
    <n v="615.29999999999995"/>
    <n v="615.30999999999995"/>
    <n v="615.29999999999995"/>
    <n v="389.98"/>
    <n v="389.99"/>
    <n v="389.98"/>
    <n v="6707.6200000000008"/>
    <n v="9.9999999999909051E-3"/>
  </r>
  <r>
    <x v="0"/>
    <x v="8"/>
    <x v="0"/>
    <s v="4815104"/>
    <n v="749510"/>
    <s v="RICE Rewards"/>
    <s v="MRI"/>
    <x v="0"/>
    <n v="5100"/>
    <n v="0"/>
    <n v="0"/>
    <n v="0"/>
    <n v="0"/>
    <n v="0"/>
    <n v="0"/>
    <n v="0"/>
    <n v="0"/>
    <n v="0"/>
    <n v="0"/>
    <n v="0"/>
    <n v="171.83"/>
    <n v="171.83"/>
    <n v="-171.83"/>
  </r>
  <r>
    <x v="18"/>
    <x v="5"/>
    <x v="0"/>
    <s v="4815106"/>
    <n v="400010"/>
    <s v="Acute I/P Svcs Rev--Medicare"/>
    <s v="MRI"/>
    <x v="0"/>
    <n v="1100"/>
    <n v="-101920.41"/>
    <n v="-145144.79999999999"/>
    <n v="-152720.31"/>
    <n v="-104833.72"/>
    <n v="-76512.45"/>
    <n v="-144367.99"/>
    <n v="-92809.53"/>
    <n v="-126122.82"/>
    <n v="-112018.72"/>
    <n v="-114187.55"/>
    <n v="-81903.11"/>
    <n v="-143874.13"/>
    <n v="-1396415.54"/>
    <n v="61971.020000000004"/>
  </r>
  <r>
    <x v="18"/>
    <x v="5"/>
    <x v="0"/>
    <s v="4815106"/>
    <n v="400010"/>
    <s v="Acute I/P Svcs Rev--Medicaid"/>
    <s v="MRI"/>
    <x v="0"/>
    <n v="1200"/>
    <n v="-22289.67"/>
    <n v="-33028.949999999997"/>
    <n v="-56146.2"/>
    <n v="-111039.61"/>
    <n v="-63031.56"/>
    <n v="-36207.93"/>
    <n v="-12696.7"/>
    <n v="-52404.68"/>
    <n v="-52951.68"/>
    <n v="-49129.45"/>
    <n v="-27124.85"/>
    <n v="-23445.38"/>
    <n v="-539496.65999999992"/>
    <n v="-3679.4699999999975"/>
  </r>
  <r>
    <x v="18"/>
    <x v="5"/>
    <x v="0"/>
    <s v="4815106"/>
    <n v="400010"/>
    <s v="Acute I/P Svcs Rev--Comm Insurance"/>
    <s v="MRI"/>
    <x v="0"/>
    <n v="1300"/>
    <n v="-1316.46"/>
    <n v="-3822.84"/>
    <n v="4544.82"/>
    <n v="-3822.84"/>
    <n v="0"/>
    <n v="-7793.67"/>
    <n v="0"/>
    <n v="-196.08"/>
    <n v="-37139.5"/>
    <n v="0"/>
    <n v="0"/>
    <n v="-114.69"/>
    <n v="-49661.26"/>
    <n v="114.69"/>
  </r>
  <r>
    <x v="18"/>
    <x v="5"/>
    <x v="0"/>
    <s v="4815106"/>
    <n v="400010"/>
    <s v="Acute I/P Svcs Rev--BCBS Comm"/>
    <s v="MRI"/>
    <x v="0"/>
    <n v="1301"/>
    <n v="0"/>
    <n v="-4544.82"/>
    <n v="-3822.84"/>
    <n v="-27381.599999999999"/>
    <n v="0"/>
    <n v="-6742.83"/>
    <n v="-18815.73"/>
    <n v="-44389.08"/>
    <n v="-7875.06"/>
    <n v="-14621.24"/>
    <n v="-3937.53"/>
    <n v="-3958.29"/>
    <n v="-136089.02000000002"/>
    <n v="20.759999999999764"/>
  </r>
  <r>
    <x v="18"/>
    <x v="5"/>
    <x v="0"/>
    <s v="4815106"/>
    <n v="400010"/>
    <s v="Acute I/P Svcs Rev--Managed Care"/>
    <s v="MRI"/>
    <x v="0"/>
    <n v="1400"/>
    <n v="-20407.2"/>
    <n v="-32407.32"/>
    <n v="3822.84"/>
    <n v="-3611.07"/>
    <n v="-18135.75"/>
    <n v="-53096.28"/>
    <n v="-26223.69"/>
    <n v="-56407.95"/>
    <n v="-25549.1"/>
    <n v="-52243.99"/>
    <n v="8746.27"/>
    <n v="-21026.28"/>
    <n v="-296539.52000000002"/>
    <n v="29772.55"/>
  </r>
  <r>
    <x v="18"/>
    <x v="5"/>
    <x v="0"/>
    <s v="4815106"/>
    <n v="400010"/>
    <s v="Acute I/P Svcs Rev--Self Pay"/>
    <s v="MRI"/>
    <x v="0"/>
    <n v="1500"/>
    <n v="-7645.68"/>
    <n v="-13410.06"/>
    <n v="-467.04"/>
    <n v="27890.639999999999"/>
    <n v="-11488.68"/>
    <n v="0"/>
    <n v="-7645.68"/>
    <n v="-3937.53"/>
    <n v="0"/>
    <n v="0"/>
    <n v="0"/>
    <n v="-15572.93"/>
    <n v="-32276.959999999999"/>
    <n v="15572.93"/>
  </r>
  <r>
    <x v="18"/>
    <x v="5"/>
    <x v="0"/>
    <s v="4815106"/>
    <n v="400010"/>
    <s v="Acute I/P Svcs Rev--Other"/>
    <s v="MRI"/>
    <x v="0"/>
    <n v="1700"/>
    <n v="-7645.68"/>
    <n v="-3822.84"/>
    <n v="-29764.86"/>
    <n v="7662.12"/>
    <n v="-3640.8"/>
    <n v="0"/>
    <n v="-3822.84"/>
    <n v="0"/>
    <n v="0"/>
    <n v="0"/>
    <n v="-15570.32"/>
    <n v="0"/>
    <n v="-56605.220000000008"/>
    <n v="-15570.32"/>
  </r>
  <r>
    <x v="19"/>
    <x v="5"/>
    <x v="0"/>
    <s v="4815106"/>
    <n v="400020"/>
    <s v="O/P Care Svcs Rev--Medicare"/>
    <s v="MRI"/>
    <x v="0"/>
    <n v="1100"/>
    <n v="-265761.44"/>
    <n v="-276994.11"/>
    <n v="-264612.39"/>
    <n v="-218059.38"/>
    <n v="-258592.83"/>
    <n v="-210533.22"/>
    <n v="-260620"/>
    <n v="-141815.03"/>
    <n v="-149891.01999999999"/>
    <n v="-227360.63"/>
    <n v="-253811.74"/>
    <n v="-309795.34000000003"/>
    <n v="-2837847.13"/>
    <n v="55983.600000000035"/>
  </r>
  <r>
    <x v="19"/>
    <x v="5"/>
    <x v="0"/>
    <s v="4815106"/>
    <n v="400020"/>
    <s v="O/P Care Svcs Rev--Medicaid"/>
    <s v="MRI"/>
    <x v="0"/>
    <n v="1200"/>
    <n v="-79072.5"/>
    <n v="-145385.25"/>
    <n v="-98993.75"/>
    <n v="-64086.48"/>
    <n v="-131013.07"/>
    <n v="-83337.929999999993"/>
    <n v="-75058.759999999995"/>
    <n v="-74694.710000000006"/>
    <n v="-78564.98"/>
    <n v="-111826.56"/>
    <n v="-117254.21"/>
    <n v="-162942.42000000001"/>
    <n v="-1222230.6199999999"/>
    <n v="45688.210000000006"/>
  </r>
  <r>
    <x v="19"/>
    <x v="5"/>
    <x v="0"/>
    <s v="4815106"/>
    <n v="400020"/>
    <s v="O/P Care Svcs Rev--Comm Insurance"/>
    <s v="MRI"/>
    <x v="0"/>
    <n v="1300"/>
    <n v="-11578.09"/>
    <n v="-8425.24"/>
    <n v="-27325.040000000001"/>
    <n v="-17338.86"/>
    <n v="-12351.78"/>
    <n v="-6405"/>
    <n v="-25318.74"/>
    <n v="-6775.94"/>
    <n v="-42877.98"/>
    <n v="-35598.33"/>
    <n v="-13598.91"/>
    <n v="-4115.97"/>
    <n v="-211709.88"/>
    <n v="-9482.9399999999987"/>
  </r>
  <r>
    <x v="19"/>
    <x v="5"/>
    <x v="0"/>
    <s v="4815106"/>
    <n v="400020"/>
    <s v="O/P Care Svcs Rev--BCBS Comm"/>
    <s v="MRI"/>
    <x v="0"/>
    <n v="1301"/>
    <n v="-75412.740000000005"/>
    <n v="-85483.199999999997"/>
    <n v="-27812.94"/>
    <n v="-100925.85"/>
    <n v="-56816.160000000003"/>
    <n v="-66884.639999999999"/>
    <n v="-61983.26"/>
    <n v="-49905.1"/>
    <n v="-49887.11"/>
    <n v="-57754.2"/>
    <n v="-75363.320000000007"/>
    <n v="-114711.43"/>
    <n v="-822939.95"/>
    <n v="39348.109999999986"/>
  </r>
  <r>
    <x v="19"/>
    <x v="5"/>
    <x v="0"/>
    <s v="4815106"/>
    <n v="400020"/>
    <s v="O/P Care Svcs Rev--Managed Care"/>
    <s v="MRI"/>
    <x v="0"/>
    <n v="1400"/>
    <n v="-145257.20000000001"/>
    <n v="-175079.23"/>
    <n v="-110668.81"/>
    <n v="-219175.16"/>
    <n v="-116462.33"/>
    <n v="-169629.08"/>
    <n v="-163673.09"/>
    <n v="-150827.66"/>
    <n v="-139893.89000000001"/>
    <n v="-223342.54"/>
    <n v="-86047.43"/>
    <n v="-131628.35"/>
    <n v="-1831684.7699999998"/>
    <n v="45580.920000000013"/>
  </r>
  <r>
    <x v="19"/>
    <x v="5"/>
    <x v="0"/>
    <s v="4815106"/>
    <n v="400020"/>
    <s v="O/P Care Svcs Rev--Self Pay"/>
    <s v="MRI"/>
    <x v="0"/>
    <n v="1500"/>
    <n v="-7061.04"/>
    <n v="-3185.7"/>
    <n v="-13108.92"/>
    <n v="-14779.95"/>
    <n v="-24724.44"/>
    <n v="-27791.97"/>
    <n v="-13567.95"/>
    <n v="-16831.07"/>
    <n v="3531.93"/>
    <n v="3937.53"/>
    <n v="-18406.689999999999"/>
    <n v="-24154"/>
    <n v="-156142.27000000002"/>
    <n v="5747.3100000000013"/>
  </r>
  <r>
    <x v="19"/>
    <x v="5"/>
    <x v="0"/>
    <s v="4815106"/>
    <n v="400020"/>
    <s v="O/P Care Svcs Rev--Other"/>
    <s v="MRI"/>
    <x v="0"/>
    <n v="1700"/>
    <n v="-23002.35"/>
    <n v="-43401.2"/>
    <n v="-18080.099999999999"/>
    <n v="-5728.68"/>
    <n v="-18276.150000000001"/>
    <n v="-10698.39"/>
    <n v="-22711.74"/>
    <n v="-19553.37"/>
    <n v="-13194.32"/>
    <n v="-32291.82"/>
    <n v="-21034.5"/>
    <n v="-36480.29"/>
    <n v="-264452.90999999997"/>
    <n v="15445.79"/>
  </r>
  <r>
    <x v="14"/>
    <x v="5"/>
    <x v="0"/>
    <s v="4815106"/>
    <n v="600050"/>
    <s v="Misc.Revenue-Contract Services"/>
    <s v="MRI"/>
    <x v="0"/>
    <n v="1017"/>
    <n v="0"/>
    <n v="0"/>
    <n v="0"/>
    <n v="0"/>
    <n v="0"/>
    <n v="0"/>
    <n v="-2511.73"/>
    <n v="0"/>
    <n v="-382.76"/>
    <n v="-380.75"/>
    <n v="0"/>
    <n v="0"/>
    <n v="-3275.24"/>
    <n v="0"/>
  </r>
  <r>
    <x v="5"/>
    <x v="5"/>
    <x v="0"/>
    <s v="4815106"/>
    <n v="700034"/>
    <s v="Salaries-Tech/Professional-Productive"/>
    <s v="MRI"/>
    <x v="0"/>
    <m/>
    <n v="23342.75"/>
    <n v="28446.14"/>
    <n v="28418.75"/>
    <n v="25788.959999999999"/>
    <n v="20636.919999999998"/>
    <n v="20457.89"/>
    <n v="23842.23"/>
    <n v="23421.33"/>
    <n v="23010.79"/>
    <n v="25977.8"/>
    <n v="11860.93"/>
    <n v="29859.89"/>
    <n v="285064.38"/>
    <n v="-17998.96"/>
  </r>
  <r>
    <x v="5"/>
    <x v="5"/>
    <x v="0"/>
    <s v="4815106"/>
    <n v="700034"/>
    <s v="Salaries-Tech/Professional-OT"/>
    <s v="MRI"/>
    <x v="0"/>
    <n v="1000"/>
    <n v="553.88"/>
    <n v="1696.9"/>
    <n v="190.85"/>
    <n v="510.57"/>
    <n v="952.51"/>
    <n v="1603.24"/>
    <n v="362.62"/>
    <n v="906.66"/>
    <n v="1602.39"/>
    <n v="808.72"/>
    <n v="809.86"/>
    <n v="905.34"/>
    <n v="10903.539999999999"/>
    <n v="-95.480000000000018"/>
  </r>
  <r>
    <x v="5"/>
    <x v="5"/>
    <x v="0"/>
    <s v="4815106"/>
    <n v="700034"/>
    <s v="Salaries-Tech/Professional-Other"/>
    <s v="MRI"/>
    <x v="0"/>
    <n v="2000"/>
    <n v="3642.77"/>
    <n v="3435.71"/>
    <n v="3774.45"/>
    <n v="4037.72"/>
    <n v="2550.37"/>
    <n v="2587.19"/>
    <n v="2788.9"/>
    <n v="2295.9499999999998"/>
    <n v="2754.62"/>
    <n v="2578.9299999999998"/>
    <n v="2760.05"/>
    <n v="3557.79"/>
    <n v="36764.450000000004"/>
    <n v="-797.73999999999978"/>
  </r>
  <r>
    <x v="5"/>
    <x v="5"/>
    <x v="0"/>
    <s v="4815106"/>
    <n v="700054"/>
    <s v="Salaries-Management-NonProd-Other"/>
    <s v="MRI"/>
    <x v="0"/>
    <n v="2000"/>
    <n v="0"/>
    <n v="0"/>
    <n v="0"/>
    <n v="0"/>
    <n v="0"/>
    <n v="458"/>
    <n v="-458"/>
    <n v="0"/>
    <n v="0"/>
    <n v="0"/>
    <n v="0"/>
    <n v="0"/>
    <n v="0"/>
    <n v="0"/>
  </r>
  <r>
    <x v="5"/>
    <x v="5"/>
    <x v="0"/>
    <s v="4815106"/>
    <n v="700074"/>
    <s v="Salaries-Tech/Professional-Non-productive"/>
    <s v="MRI"/>
    <x v="0"/>
    <m/>
    <n v="8815.7099999999991"/>
    <n v="5681.72"/>
    <n v="1765.56"/>
    <n v="2729.17"/>
    <n v="1853.96"/>
    <n v="8213.19"/>
    <n v="385.61"/>
    <n v="6374.08"/>
    <n v="3183.3"/>
    <n v="7077.75"/>
    <n v="-74.86"/>
    <n v="7672.79"/>
    <n v="53677.98"/>
    <n v="-7747.65"/>
  </r>
  <r>
    <x v="5"/>
    <x v="5"/>
    <x v="0"/>
    <s v="4815106"/>
    <n v="700074"/>
    <s v="Salaries-Tech/Professional-NonProd-Other"/>
    <s v="MRI"/>
    <x v="0"/>
    <n v="2000"/>
    <n v="5656.21"/>
    <n v="3607.86"/>
    <n v="4422.45"/>
    <n v="2513.54"/>
    <n v="4171.8900000000003"/>
    <n v="4163.8900000000003"/>
    <n v="3193.57"/>
    <n v="3578.24"/>
    <n v="4337.34"/>
    <n v="3888.07"/>
    <n v="3215.3"/>
    <n v="5931.03"/>
    <n v="48679.390000000007"/>
    <n v="-2715.7299999999996"/>
  </r>
  <r>
    <x v="5"/>
    <x v="5"/>
    <x v="0"/>
    <s v="4815106"/>
    <n v="700084"/>
    <s v="Accrued PTO"/>
    <s v="MRI"/>
    <x v="0"/>
    <m/>
    <n v="-3954.12"/>
    <n v="-1793.01"/>
    <n v="1377.51"/>
    <n v="1838.11"/>
    <n v="3210.61"/>
    <n v="-2016.65"/>
    <n v="2390.64"/>
    <n v="90.19"/>
    <n v="2720.05"/>
    <n v="-2597.5500000000002"/>
    <n v="1934.12"/>
    <n v="-2104.9299999999998"/>
    <n v="1094.9699999999998"/>
    <n v="4039.0499999999997"/>
  </r>
  <r>
    <x v="6"/>
    <x v="5"/>
    <x v="0"/>
    <s v="4815106"/>
    <n v="713010"/>
    <s v="Benefits-FICA/Medicare"/>
    <s v="MRI"/>
    <x v="0"/>
    <m/>
    <n v="3154.91"/>
    <n v="3221.85"/>
    <n v="2900.66"/>
    <n v="2622.97"/>
    <n v="944.04"/>
    <n v="2415.85"/>
    <n v="2319.21"/>
    <n v="2745.12"/>
    <n v="2617.65"/>
    <n v="3032.83"/>
    <n v="1387.23"/>
    <n v="3599.98"/>
    <n v="30962.300000000003"/>
    <n v="-2212.75"/>
  </r>
  <r>
    <x v="6"/>
    <x v="5"/>
    <x v="0"/>
    <s v="4815106"/>
    <n v="713090"/>
    <s v="Benefits-Allocated Amounts"/>
    <s v="MRI"/>
    <x v="0"/>
    <m/>
    <n v="6394.76"/>
    <n v="7040.09"/>
    <n v="6146.63"/>
    <n v="5377.96"/>
    <n v="4993.17"/>
    <n v="5747.31"/>
    <n v="5159.7"/>
    <n v="6305.27"/>
    <n v="5604.22"/>
    <n v="6722.65"/>
    <n v="2832.41"/>
    <n v="7529.75"/>
    <n v="69853.919999999998"/>
    <n v="-4697.34"/>
  </r>
  <r>
    <x v="7"/>
    <x v="5"/>
    <x v="0"/>
    <s v="4815106"/>
    <n v="718050"/>
    <s v="Miscellaneous Purchased Svcs"/>
    <s v="MRI"/>
    <x v="0"/>
    <n v="1020"/>
    <n v="0"/>
    <n v="0"/>
    <n v="0"/>
    <n v="0"/>
    <n v="0"/>
    <n v="0"/>
    <n v="0"/>
    <n v="0"/>
    <n v="0"/>
    <n v="0"/>
    <n v="0"/>
    <n v="12.43"/>
    <n v="12.43"/>
    <n v="-12.43"/>
  </r>
  <r>
    <x v="7"/>
    <x v="5"/>
    <x v="0"/>
    <s v="4815106"/>
    <n v="718050"/>
    <s v="Translation Services"/>
    <s v="MRI"/>
    <x v="0"/>
    <n v="1025"/>
    <n v="504.64"/>
    <n v="494"/>
    <n v="61.25"/>
    <n v="393"/>
    <n v="342.65"/>
    <n v="230"/>
    <n v="249"/>
    <n v="448.45"/>
    <n v="250"/>
    <n v="0"/>
    <n v="0"/>
    <n v="174"/>
    <n v="3146.99"/>
    <n v="-174"/>
  </r>
  <r>
    <x v="7"/>
    <x v="5"/>
    <x v="0"/>
    <s v="4815106"/>
    <n v="718050"/>
    <s v="Contract Management--Linen"/>
    <s v="MRI"/>
    <x v="0"/>
    <n v="1026"/>
    <n v="599.4"/>
    <n v="839.56"/>
    <n v="1060.8900000000001"/>
    <n v="571.91999999999996"/>
    <n v="1475"/>
    <n v="1023.19"/>
    <n v="1296.51"/>
    <n v="817.31"/>
    <n v="1146.03"/>
    <n v="1380.89"/>
    <n v="1615.09"/>
    <n v="1039.6500000000001"/>
    <n v="12865.44"/>
    <n v="575.43999999999983"/>
  </r>
  <r>
    <x v="7"/>
    <x v="5"/>
    <x v="0"/>
    <s v="4815106"/>
    <n v="718070"/>
    <s v="Contract Srvcs-CHI Clinical Engineering"/>
    <s v="MRI"/>
    <x v="0"/>
    <m/>
    <n v="10411.040000000001"/>
    <n v="10411.040000000001"/>
    <n v="10411.040000000001"/>
    <n v="10411.040000000001"/>
    <n v="10411.040000000001"/>
    <n v="10411.040000000001"/>
    <n v="10497.79"/>
    <n v="10324.290000000001"/>
    <n v="10411.040000000001"/>
    <n v="10411.040000000001"/>
    <n v="10411.040000000001"/>
    <n v="10411.040000000001"/>
    <n v="124932.48000000004"/>
    <n v="0"/>
  </r>
  <r>
    <x v="11"/>
    <x v="5"/>
    <x v="0"/>
    <s v="4815106"/>
    <n v="721010"/>
    <s v="Supplies-Medical - Billable"/>
    <s v="MRI"/>
    <x v="0"/>
    <m/>
    <n v="19.63"/>
    <n v="1440.28"/>
    <n v="0"/>
    <n v="0"/>
    <n v="19.63"/>
    <n v="19.63"/>
    <n v="4234.76"/>
    <n v="19.63"/>
    <n v="220.74"/>
    <n v="39.26"/>
    <n v="0"/>
    <n v="19.63"/>
    <n v="6033.1900000000005"/>
    <n v="-19.63"/>
  </r>
  <r>
    <x v="11"/>
    <x v="5"/>
    <x v="0"/>
    <s v="4815106"/>
    <n v="721010"/>
    <s v="Patient Monitoring"/>
    <s v="MRI"/>
    <x v="0"/>
    <n v="1000"/>
    <n v="2.2000000000000002"/>
    <n v="0"/>
    <n v="0"/>
    <n v="6.17"/>
    <n v="4.41"/>
    <n v="164.52"/>
    <n v="8.82"/>
    <n v="160.11000000000001"/>
    <n v="4.41"/>
    <n v="44.39"/>
    <n v="0"/>
    <n v="0"/>
    <n v="395.03000000000003"/>
    <n v="0"/>
  </r>
  <r>
    <x v="11"/>
    <x v="5"/>
    <x v="0"/>
    <s v="4815106"/>
    <n v="721050"/>
    <s v="Supplies-Cardiac Rhythm - Billable"/>
    <s v="MRI"/>
    <x v="0"/>
    <m/>
    <n v="584.5"/>
    <n v="0"/>
    <n v="584.5"/>
    <n v="584.5"/>
    <n v="0"/>
    <n v="1175.5"/>
    <n v="0"/>
    <n v="1175.5"/>
    <n v="0"/>
    <n v="591"/>
    <n v="2338"/>
    <n v="0"/>
    <n v="7033.5"/>
    <n v="2338"/>
  </r>
  <r>
    <x v="11"/>
    <x v="5"/>
    <x v="0"/>
    <s v="4815106"/>
    <n v="721150"/>
    <s v="Supplies-Other Implants - Billable"/>
    <s v="MRI"/>
    <x v="0"/>
    <m/>
    <n v="605.16"/>
    <n v="60.52"/>
    <n v="0"/>
    <n v="0"/>
    <n v="0"/>
    <n v="0"/>
    <n v="605.16"/>
    <n v="0"/>
    <n v="60.52"/>
    <n v="0"/>
    <n v="0"/>
    <n v="0"/>
    <n v="1331.36"/>
    <n v="0"/>
  </r>
  <r>
    <x v="11"/>
    <x v="5"/>
    <x v="0"/>
    <s v="4815106"/>
    <n v="721240"/>
    <s v="Supplies-IV Solutions/Supplies - Billable"/>
    <s v="MRI"/>
    <x v="0"/>
    <m/>
    <n v="692.4"/>
    <n v="0"/>
    <n v="923.2"/>
    <n v="692.4"/>
    <n v="230.8"/>
    <n v="693.16"/>
    <n v="692.4"/>
    <n v="692.4"/>
    <n v="0"/>
    <n v="923.2"/>
    <n v="0"/>
    <n v="1038.5999999999999"/>
    <n v="6578.5599999999995"/>
    <n v="-1038.5999999999999"/>
  </r>
  <r>
    <x v="11"/>
    <x v="5"/>
    <x v="0"/>
    <s v="4815106"/>
    <n v="721250"/>
    <s v="Supplies-Pharmacy Drugs - Billable"/>
    <s v="MRI"/>
    <x v="0"/>
    <m/>
    <n v="1624.7"/>
    <n v="4761.2700000000004"/>
    <n v="1998.19"/>
    <n v="2892.1"/>
    <n v="3942.67"/>
    <n v="3282.28"/>
    <n v="3032.54"/>
    <n v="1552.28"/>
    <n v="3412.09"/>
    <n v="2445.17"/>
    <n v="8170.73"/>
    <n v="557.55999999999995"/>
    <n v="37671.58"/>
    <n v="7613.17"/>
  </r>
  <r>
    <x v="11"/>
    <x v="5"/>
    <x v="0"/>
    <s v="4815106"/>
    <n v="721410"/>
    <s v="Supplies-Medical - Nonbillable"/>
    <s v="MRI"/>
    <x v="0"/>
    <m/>
    <n v="104.83"/>
    <n v="253.64"/>
    <n v="202.01"/>
    <n v="183.52"/>
    <n v="141.12"/>
    <n v="269.44"/>
    <n v="1392.6"/>
    <n v="192.44"/>
    <n v="156.79"/>
    <n v="168.52"/>
    <n v="260.5"/>
    <n v="152.44"/>
    <n v="3477.85"/>
    <n v="108.06"/>
  </r>
  <r>
    <x v="11"/>
    <x v="5"/>
    <x v="0"/>
    <s v="4815106"/>
    <n v="721420"/>
    <s v="Supplies-Surgical Nonbillable"/>
    <s v="MRI"/>
    <x v="0"/>
    <m/>
    <n v="0"/>
    <n v="74.48"/>
    <n v="37.24"/>
    <n v="74.48"/>
    <n v="0"/>
    <n v="37.24"/>
    <n v="56.44"/>
    <n v="18.62"/>
    <n v="18.62"/>
    <n v="74.48"/>
    <n v="0"/>
    <n v="106.84"/>
    <n v="498.44000000000005"/>
    <n v="-106.84"/>
  </r>
  <r>
    <x v="11"/>
    <x v="5"/>
    <x v="0"/>
    <s v="4815106"/>
    <n v="721420"/>
    <s v="Sterilization Process Products"/>
    <s v="MRI"/>
    <x v="0"/>
    <n v="1009"/>
    <n v="0"/>
    <n v="0"/>
    <n v="183.98"/>
    <n v="0"/>
    <n v="0"/>
    <n v="0"/>
    <n v="177.93"/>
    <n v="0"/>
    <n v="177.93"/>
    <n v="0"/>
    <n v="0"/>
    <n v="0"/>
    <n v="539.83999999999992"/>
    <n v="0"/>
  </r>
  <r>
    <x v="11"/>
    <x v="5"/>
    <x v="0"/>
    <s v="4815106"/>
    <n v="721610"/>
    <s v="Supplies-Anesthesia - Nonbillable"/>
    <s v="MRI"/>
    <x v="0"/>
    <m/>
    <n v="0"/>
    <n v="0"/>
    <n v="0"/>
    <n v="0"/>
    <n v="0"/>
    <n v="0"/>
    <n v="0"/>
    <n v="0"/>
    <n v="0"/>
    <n v="1.06"/>
    <n v="0"/>
    <n v="0"/>
    <n v="1.06"/>
    <n v="0"/>
  </r>
  <r>
    <x v="11"/>
    <x v="5"/>
    <x v="0"/>
    <s v="4815106"/>
    <n v="721640"/>
    <s v="Supplies-IV Solutions/Supplies - Nonbillable"/>
    <s v="MRI"/>
    <x v="0"/>
    <m/>
    <n v="63"/>
    <n v="0"/>
    <n v="0"/>
    <n v="63"/>
    <n v="63"/>
    <n v="63"/>
    <n v="0"/>
    <n v="0"/>
    <n v="63"/>
    <n v="54.18"/>
    <n v="0"/>
    <n v="63"/>
    <n v="432.18"/>
    <n v="-63"/>
  </r>
  <r>
    <x v="11"/>
    <x v="5"/>
    <x v="0"/>
    <s v="4815106"/>
    <n v="721710"/>
    <s v="Supplies-Laboratory - Nonbillable"/>
    <s v="MRI"/>
    <x v="0"/>
    <m/>
    <n v="0"/>
    <n v="0"/>
    <n v="0"/>
    <n v="0"/>
    <n v="0"/>
    <n v="0"/>
    <n v="0"/>
    <n v="0"/>
    <n v="0"/>
    <n v="0"/>
    <n v="16.25"/>
    <n v="0"/>
    <n v="16.25"/>
    <n v="16.25"/>
  </r>
  <r>
    <x v="11"/>
    <x v="5"/>
    <x v="0"/>
    <s v="4815106"/>
    <n v="721750"/>
    <s v="Supplies-Film/Radiographic - Nonbillable"/>
    <s v="MRI"/>
    <x v="0"/>
    <m/>
    <n v="0"/>
    <n v="0"/>
    <n v="0"/>
    <n v="0"/>
    <n v="0"/>
    <n v="6088.5"/>
    <n v="0"/>
    <n v="0"/>
    <n v="0"/>
    <n v="0"/>
    <n v="0"/>
    <n v="-4870.8"/>
    <n v="1217.6999999999998"/>
    <n v="4870.8"/>
  </r>
  <r>
    <x v="11"/>
    <x v="5"/>
    <x v="0"/>
    <s v="4815106"/>
    <n v="721810"/>
    <s v="Supplies-Dietary/Cafeteria"/>
    <s v="MRI"/>
    <x v="0"/>
    <m/>
    <n v="0"/>
    <n v="0"/>
    <n v="7.7"/>
    <n v="0"/>
    <n v="12.72"/>
    <n v="23.06"/>
    <n v="0"/>
    <n v="0"/>
    <n v="6.36"/>
    <n v="0"/>
    <n v="0"/>
    <n v="0"/>
    <n v="49.84"/>
    <n v="0"/>
  </r>
  <r>
    <x v="11"/>
    <x v="5"/>
    <x v="0"/>
    <s v="4815106"/>
    <n v="721830"/>
    <s v="Supplies-Office"/>
    <s v="MRI"/>
    <x v="0"/>
    <m/>
    <n v="229.86"/>
    <n v="0"/>
    <n v="8.52"/>
    <n v="0"/>
    <n v="481.01"/>
    <n v="0"/>
    <n v="0"/>
    <n v="0"/>
    <n v="0"/>
    <n v="42.96"/>
    <n v="0"/>
    <n v="0"/>
    <n v="762.35"/>
    <n v="0"/>
  </r>
  <r>
    <x v="11"/>
    <x v="5"/>
    <x v="0"/>
    <s v="4815106"/>
    <n v="721835"/>
    <s v="Supplies-Forms"/>
    <s v="MRI"/>
    <x v="0"/>
    <m/>
    <n v="0"/>
    <n v="0"/>
    <n v="0"/>
    <n v="0"/>
    <n v="14.4"/>
    <n v="0"/>
    <n v="0"/>
    <n v="0"/>
    <n v="0"/>
    <n v="0"/>
    <n v="0"/>
    <n v="72"/>
    <n v="86.4"/>
    <n v="-72"/>
  </r>
  <r>
    <x v="11"/>
    <x v="5"/>
    <x v="0"/>
    <s v="4815106"/>
    <n v="721870"/>
    <s v="Supplies-Environmental Services"/>
    <s v="MRI"/>
    <x v="0"/>
    <m/>
    <n v="15.23"/>
    <n v="15.23"/>
    <n v="0"/>
    <n v="15.23"/>
    <n v="5.28"/>
    <n v="15.23"/>
    <n v="7.62"/>
    <n v="25.22"/>
    <n v="7.62"/>
    <n v="15.23"/>
    <n v="22.85"/>
    <n v="57.04"/>
    <n v="201.78"/>
    <n v="-34.19"/>
  </r>
  <r>
    <x v="11"/>
    <x v="5"/>
    <x v="0"/>
    <s v="4815106"/>
    <n v="721910"/>
    <s v="Supplies-Small Equipment"/>
    <s v="MRI"/>
    <x v="0"/>
    <m/>
    <n v="0"/>
    <n v="0.64"/>
    <n v="0.64"/>
    <n v="0"/>
    <n v="0"/>
    <n v="149.6"/>
    <n v="3.48"/>
    <n v="149.6"/>
    <n v="0"/>
    <n v="0"/>
    <n v="0"/>
    <n v="0"/>
    <n v="303.95999999999998"/>
    <n v="0"/>
  </r>
  <r>
    <x v="11"/>
    <x v="5"/>
    <x v="0"/>
    <s v="4815106"/>
    <n v="721980"/>
    <s v="Supplies-Other"/>
    <s v="MRI"/>
    <x v="0"/>
    <m/>
    <n v="127.02"/>
    <n v="12.7"/>
    <n v="0"/>
    <n v="0"/>
    <n v="0"/>
    <n v="0"/>
    <n v="800"/>
    <n v="0"/>
    <n v="-236.8"/>
    <n v="0"/>
    <n v="0"/>
    <n v="0"/>
    <n v="702.92000000000007"/>
    <n v="0"/>
  </r>
  <r>
    <x v="11"/>
    <x v="5"/>
    <x v="0"/>
    <s v="4815106"/>
    <n v="722000"/>
    <s v="Supplies-Freight Expense"/>
    <s v="MRI"/>
    <x v="0"/>
    <m/>
    <n v="3.83"/>
    <n v="10.89"/>
    <n v="26.06"/>
    <n v="0"/>
    <n v="0"/>
    <n v="17.829999999999998"/>
    <n v="109.13"/>
    <n v="79.41"/>
    <n v="17.47"/>
    <n v="10.19"/>
    <n v="0"/>
    <n v="8.8000000000000007"/>
    <n v="283.61"/>
    <n v="-8.8000000000000007"/>
  </r>
  <r>
    <x v="15"/>
    <x v="5"/>
    <x v="0"/>
    <s v="4815106"/>
    <n v="731060"/>
    <s v="Pagers"/>
    <s v="MRI"/>
    <x v="0"/>
    <n v="1002"/>
    <n v="31.96"/>
    <n v="31.96"/>
    <n v="31.96"/>
    <n v="32.08"/>
    <n v="32.08"/>
    <n v="0"/>
    <n v="64.16"/>
    <n v="32.08"/>
    <n v="32.08"/>
    <n v="32.04"/>
    <n v="32.04"/>
    <n v="32.04"/>
    <n v="384.48"/>
    <n v="0"/>
  </r>
  <r>
    <x v="16"/>
    <x v="5"/>
    <x v="0"/>
    <s v="4815106"/>
    <n v="732030"/>
    <s v="Repairs---Other"/>
    <s v="MRI"/>
    <x v="0"/>
    <m/>
    <n v="0"/>
    <n v="0"/>
    <n v="0"/>
    <n v="0"/>
    <n v="0"/>
    <n v="0"/>
    <n v="0"/>
    <n v="0"/>
    <n v="0"/>
    <n v="0"/>
    <n v="0"/>
    <n v="94413"/>
    <n v="94413"/>
    <n v="-94413"/>
  </r>
  <r>
    <x v="13"/>
    <x v="5"/>
    <x v="0"/>
    <s v="4815106"/>
    <n v="735040"/>
    <s v="Depreciation-Building Improvements"/>
    <s v="MRI"/>
    <x v="0"/>
    <m/>
    <n v="111.89"/>
    <n v="111.89"/>
    <n v="111.9"/>
    <n v="111.89"/>
    <n v="111.9"/>
    <n v="111.89"/>
    <n v="111.9"/>
    <n v="111.89"/>
    <n v="111.9"/>
    <n v="111.89"/>
    <n v="111.9"/>
    <n v="111.89"/>
    <n v="1342.7300000000002"/>
    <n v="1.0000000000005116E-2"/>
  </r>
  <r>
    <x v="13"/>
    <x v="5"/>
    <x v="0"/>
    <s v="4815106"/>
    <n v="735070"/>
    <s v="Depreciation-Movable Equipment"/>
    <s v="MRI"/>
    <x v="0"/>
    <m/>
    <n v="25572.47"/>
    <n v="25572.47"/>
    <n v="25572.49"/>
    <n v="25572.46"/>
    <n v="25572.51"/>
    <n v="25572.46"/>
    <n v="25572.51"/>
    <n v="25572.43"/>
    <n v="25572.51"/>
    <n v="25572.41"/>
    <n v="25572.52"/>
    <n v="25572.41"/>
    <n v="306869.65000000002"/>
    <n v="0.11000000000058208"/>
  </r>
  <r>
    <x v="18"/>
    <x v="6"/>
    <x v="0"/>
    <s v="4815107"/>
    <n v="400010"/>
    <s v="Acute I/P Svcs Rev--Medicare"/>
    <s v="MRI"/>
    <x v="0"/>
    <n v="1100"/>
    <n v="-235465.57"/>
    <n v="-264991.56"/>
    <n v="-351961.14"/>
    <n v="-222730.04"/>
    <n v="-285682.45"/>
    <n v="-330333.92"/>
    <n v="-391723.32"/>
    <n v="-203265.9"/>
    <n v="-329819.2"/>
    <n v="-315399.02"/>
    <n v="-297476.06"/>
    <n v="-316082.52"/>
    <n v="-3544930.7"/>
    <n v="18606.460000000021"/>
  </r>
  <r>
    <x v="18"/>
    <x v="6"/>
    <x v="0"/>
    <s v="4815107"/>
    <n v="400010"/>
    <s v="Acute I/P Svcs Rev--Medicaid"/>
    <s v="MRI"/>
    <x v="0"/>
    <n v="1200"/>
    <n v="-155125.65"/>
    <n v="-190232.05"/>
    <n v="-89463.96"/>
    <n v="-92852.52"/>
    <n v="-42698.91"/>
    <n v="-79028.039999999994"/>
    <n v="-104758.21"/>
    <n v="-124088.73"/>
    <n v="-81160.55"/>
    <n v="-100059.15"/>
    <n v="-124604.37"/>
    <n v="-88700.89"/>
    <n v="-1272773.03"/>
    <n v="-35903.479999999996"/>
  </r>
  <r>
    <x v="18"/>
    <x v="6"/>
    <x v="0"/>
    <s v="4815107"/>
    <n v="400010"/>
    <s v="Acute I/P Svcs Rev--Comm Insurance"/>
    <s v="MRI"/>
    <x v="0"/>
    <n v="1300"/>
    <n v="-1557.06"/>
    <n v="20665.41"/>
    <n v="0"/>
    <n v="-6619.35"/>
    <n v="0"/>
    <n v="-10957.11"/>
    <n v="0"/>
    <n v="-1697.26"/>
    <n v="-6984.76"/>
    <n v="-41020.18"/>
    <n v="-34108.769999999997"/>
    <n v="3937.53"/>
    <n v="-78341.55"/>
    <n v="-38046.299999999996"/>
  </r>
  <r>
    <x v="18"/>
    <x v="6"/>
    <x v="0"/>
    <s v="4815107"/>
    <n v="400010"/>
    <s v="Acute I/P Svcs Rev--BCBS Comm"/>
    <s v="MRI"/>
    <x v="0"/>
    <n v="1301"/>
    <n v="-25194.240000000002"/>
    <n v="-30242.49"/>
    <n v="-11130.18"/>
    <n v="-20606.189999999999"/>
    <n v="-18166.14"/>
    <n v="0"/>
    <n v="-34555.26"/>
    <n v="0"/>
    <n v="-11210.41"/>
    <n v="-39933.519999999997"/>
    <n v="-45431.12"/>
    <n v="-18660.39"/>
    <n v="-255129.94"/>
    <n v="-26770.730000000003"/>
  </r>
  <r>
    <x v="18"/>
    <x v="6"/>
    <x v="0"/>
    <s v="4815107"/>
    <n v="400010"/>
    <s v="Acute I/P Svcs Rev--Managed Care"/>
    <s v="MRI"/>
    <x v="0"/>
    <n v="1400"/>
    <n v="-77538.720000000001"/>
    <n v="-59600.52"/>
    <n v="-59493.86"/>
    <n v="-9577.83"/>
    <n v="-36307.839999999997"/>
    <n v="-27379.8"/>
    <n v="-30347.35"/>
    <n v="-54576.08"/>
    <n v="-76456.56"/>
    <n v="-13445.21"/>
    <n v="-43428.49"/>
    <n v="-56477"/>
    <n v="-544629.26"/>
    <n v="13048.510000000002"/>
  </r>
  <r>
    <x v="18"/>
    <x v="6"/>
    <x v="0"/>
    <s v="4815107"/>
    <n v="400010"/>
    <s v="Acute I/P Svcs Rev--Self Pay"/>
    <s v="MRI"/>
    <x v="0"/>
    <n v="1500"/>
    <n v="21371.4"/>
    <n v="6458.4"/>
    <n v="-7251.87"/>
    <n v="7251.87"/>
    <n v="0"/>
    <n v="-3822.84"/>
    <n v="-11498.91"/>
    <n v="-3289.2"/>
    <n v="0"/>
    <n v="0"/>
    <n v="-22628.43"/>
    <n v="0"/>
    <n v="-13409.579999999998"/>
    <n v="-22628.43"/>
  </r>
  <r>
    <x v="18"/>
    <x v="6"/>
    <x v="0"/>
    <s v="4815107"/>
    <n v="400010"/>
    <s v="Acute I/P Svcs Rev--Other"/>
    <s v="MRI"/>
    <x v="0"/>
    <n v="1700"/>
    <n v="-17061.54"/>
    <n v="-33001.230000000003"/>
    <n v="-13744.68"/>
    <n v="-7134.27"/>
    <n v="-11812.5"/>
    <n v="-3572.25"/>
    <n v="-32270.58"/>
    <n v="-13523.37"/>
    <n v="-42999.28"/>
    <n v="10442.32"/>
    <n v="-32339.41"/>
    <n v="-7272.88"/>
    <n v="-204289.67"/>
    <n v="-25066.53"/>
  </r>
  <r>
    <x v="19"/>
    <x v="6"/>
    <x v="0"/>
    <s v="4815107"/>
    <n v="400020"/>
    <s v="O/P Care Svcs Rev--Medicare"/>
    <s v="MRI"/>
    <x v="0"/>
    <n v="1100"/>
    <n v="-206652.48"/>
    <n v="-311316.78999999998"/>
    <n v="-299053.78000000003"/>
    <n v="-221972.61"/>
    <n v="-361555.22"/>
    <n v="-290284.99"/>
    <n v="-322825.2"/>
    <n v="-170014.05"/>
    <n v="-251750.02"/>
    <n v="-212408.83"/>
    <n v="-299254.42"/>
    <n v="-201514.61"/>
    <n v="-3148602.9999999995"/>
    <n v="-97739.81"/>
  </r>
  <r>
    <x v="19"/>
    <x v="6"/>
    <x v="0"/>
    <s v="4815107"/>
    <n v="400020"/>
    <s v="O/P Care Svcs Rev--Medicaid"/>
    <s v="MRI"/>
    <x v="0"/>
    <n v="1200"/>
    <n v="-176269.33"/>
    <n v="-220527.82"/>
    <n v="-78302.039999999994"/>
    <n v="-82161.94"/>
    <n v="-120469.08"/>
    <n v="-103436.31"/>
    <n v="-174650.96"/>
    <n v="-55941.35"/>
    <n v="-125859.86"/>
    <n v="-138426.35"/>
    <n v="-211376.3"/>
    <n v="-162215.93"/>
    <n v="-1649637.27"/>
    <n v="-49160.369999999995"/>
  </r>
  <r>
    <x v="19"/>
    <x v="6"/>
    <x v="0"/>
    <s v="4815107"/>
    <n v="400020"/>
    <s v="O/P Care Svcs Rev--Comm Insurance"/>
    <s v="MRI"/>
    <x v="0"/>
    <n v="1300"/>
    <n v="-26296.7"/>
    <n v="-6124.83"/>
    <n v="-774.49"/>
    <n v="-2767.68"/>
    <n v="-48576.26"/>
    <n v="-28271.77"/>
    <n v="-7626.14"/>
    <n v="-1842.24"/>
    <n v="-7076.88"/>
    <n v="-9846.77"/>
    <n v="-35204.660000000003"/>
    <n v="-31670.34"/>
    <n v="-206078.76"/>
    <n v="-3534.3200000000033"/>
  </r>
  <r>
    <x v="19"/>
    <x v="6"/>
    <x v="0"/>
    <s v="4815107"/>
    <n v="400020"/>
    <s v="O/P Care Svcs Rev--BCBS Comm"/>
    <s v="MRI"/>
    <x v="0"/>
    <n v="1301"/>
    <n v="-64946.61"/>
    <n v="-59407.07"/>
    <n v="-56768.08"/>
    <n v="-39061.21"/>
    <n v="-62160.01"/>
    <n v="-37862.11"/>
    <n v="-78263.09"/>
    <n v="-50298.06"/>
    <n v="-42876.89"/>
    <n v="-84212.05"/>
    <n v="-98942.11"/>
    <n v="-33121.279999999999"/>
    <n v="-707918.57"/>
    <n v="-65820.83"/>
  </r>
  <r>
    <x v="19"/>
    <x v="6"/>
    <x v="0"/>
    <s v="4815107"/>
    <n v="400020"/>
    <s v="O/P Care Svcs Rev--Managed Care"/>
    <s v="MRI"/>
    <x v="0"/>
    <n v="1400"/>
    <n v="-95269.73"/>
    <n v="-119915.75"/>
    <n v="-39942.54"/>
    <n v="-67824.36"/>
    <n v="-64912.13"/>
    <n v="-115213.3"/>
    <n v="-135463.01999999999"/>
    <n v="-37891.230000000003"/>
    <n v="-139611.92000000001"/>
    <n v="-119933.85"/>
    <n v="-140677.32"/>
    <n v="-115511.1"/>
    <n v="-1192166.25"/>
    <n v="-25166.22"/>
  </r>
  <r>
    <x v="19"/>
    <x v="6"/>
    <x v="0"/>
    <s v="4815107"/>
    <n v="400020"/>
    <s v="O/P Care Svcs Rev--Self Pay"/>
    <s v="MRI"/>
    <x v="0"/>
    <n v="1500"/>
    <n v="-6371.6"/>
    <n v="-659.4"/>
    <n v="-30807.57"/>
    <n v="-21315.78"/>
    <n v="-5147.34"/>
    <n v="-30549.75"/>
    <n v="-2376.7199999999998"/>
    <n v="-10463.48"/>
    <n v="-20282.63"/>
    <n v="-13688.48"/>
    <n v="-53393.17"/>
    <n v="21006.33"/>
    <n v="-174049.58999999997"/>
    <n v="-74399.5"/>
  </r>
  <r>
    <x v="19"/>
    <x v="6"/>
    <x v="0"/>
    <s v="4815107"/>
    <n v="400020"/>
    <s v="O/P Care Svcs Rev--Other"/>
    <s v="MRI"/>
    <x v="0"/>
    <n v="1700"/>
    <n v="-50403.77"/>
    <n v="-68451.92"/>
    <n v="-91976.03"/>
    <n v="-85283.76"/>
    <n v="-45328.78"/>
    <n v="-26736.15"/>
    <n v="-139909.97"/>
    <n v="-54486.16"/>
    <n v="-62008.3"/>
    <n v="-69273.759999999995"/>
    <n v="-91692.01"/>
    <n v="-78031.039999999994"/>
    <n v="-863581.65000000014"/>
    <n v="-13660.970000000001"/>
  </r>
  <r>
    <x v="5"/>
    <x v="6"/>
    <x v="0"/>
    <s v="4815107"/>
    <n v="700034"/>
    <s v="Salaries-Tech/Professional-Productive"/>
    <s v="MRI"/>
    <x v="0"/>
    <m/>
    <n v="19263.22"/>
    <n v="19867.55"/>
    <n v="17478.91"/>
    <n v="18797.12"/>
    <n v="23978.84"/>
    <n v="17833.66"/>
    <n v="20743.240000000002"/>
    <n v="18007.310000000001"/>
    <n v="18118.919999999998"/>
    <n v="18642.84"/>
    <n v="19315"/>
    <n v="18331.2"/>
    <n v="230377.81000000003"/>
    <n v="983.79999999999927"/>
  </r>
  <r>
    <x v="5"/>
    <x v="6"/>
    <x v="0"/>
    <s v="4815107"/>
    <n v="700034"/>
    <s v="Salaries-Tech/Professional-OT"/>
    <s v="MRI"/>
    <x v="0"/>
    <n v="1000"/>
    <n v="810.41"/>
    <n v="601.89"/>
    <n v="652.25"/>
    <n v="289.32"/>
    <n v="568.82000000000005"/>
    <n v="538"/>
    <n v="986.98"/>
    <n v="286.99"/>
    <n v="949.2"/>
    <n v="643.94000000000005"/>
    <n v="954.72"/>
    <n v="264.88"/>
    <n v="7547.4"/>
    <n v="689.84"/>
  </r>
  <r>
    <x v="5"/>
    <x v="6"/>
    <x v="0"/>
    <s v="4815107"/>
    <n v="700034"/>
    <s v="Salaries-Tech/Professional-Other"/>
    <s v="MRI"/>
    <x v="0"/>
    <n v="2000"/>
    <n v="2084.54"/>
    <n v="2076.34"/>
    <n v="2028.28"/>
    <n v="2054.5500000000002"/>
    <n v="1912.44"/>
    <n v="2270.75"/>
    <n v="2271.13"/>
    <n v="1892.66"/>
    <n v="2082.35"/>
    <n v="2121.8200000000002"/>
    <n v="2085.08"/>
    <n v="2131.33"/>
    <n v="25011.269999999997"/>
    <n v="-46.25"/>
  </r>
  <r>
    <x v="5"/>
    <x v="6"/>
    <x v="0"/>
    <s v="4815107"/>
    <n v="700074"/>
    <s v="Salaries-Tech/Professional-Non-productive"/>
    <s v="MRI"/>
    <x v="0"/>
    <m/>
    <n v="7516.83"/>
    <n v="1718.75"/>
    <n v="5184.09"/>
    <n v="4085.13"/>
    <n v="693.42"/>
    <n v="8177.53"/>
    <n v="3561.92"/>
    <n v="2126.25"/>
    <n v="3516.33"/>
    <n v="7748.48"/>
    <n v="4748.34"/>
    <n v="-98.16"/>
    <n v="48978.909999999989"/>
    <n v="4846.5"/>
  </r>
  <r>
    <x v="5"/>
    <x v="6"/>
    <x v="0"/>
    <s v="4815107"/>
    <n v="700074"/>
    <s v="Salaries-Tech/Professional-NonProd-Other"/>
    <s v="MRI"/>
    <x v="0"/>
    <n v="2000"/>
    <n v="2850.15"/>
    <n v="1085.02"/>
    <n v="1562.94"/>
    <n v="1957.01"/>
    <n v="2711.88"/>
    <n v="829.54"/>
    <n v="1459.23"/>
    <n v="1725.23"/>
    <n v="1001.1"/>
    <n v="2009.5"/>
    <n v="780.58"/>
    <n v="1799.54"/>
    <n v="19771.72"/>
    <n v="-1018.9599999999999"/>
  </r>
  <r>
    <x v="5"/>
    <x v="6"/>
    <x v="0"/>
    <s v="4815107"/>
    <n v="700084"/>
    <s v="Accrued PTO"/>
    <s v="MRI"/>
    <x v="0"/>
    <m/>
    <n v="-523.6"/>
    <n v="1774.43"/>
    <n v="-2376.36"/>
    <n v="-1721.82"/>
    <n v="751.2"/>
    <n v="-3835.45"/>
    <n v="-765.32"/>
    <n v="-262.44"/>
    <n v="-255.1"/>
    <n v="-94.62"/>
    <n v="-2924.35"/>
    <n v="1942.31"/>
    <n v="-8291.1200000000008"/>
    <n v="-4866.66"/>
  </r>
  <r>
    <x v="6"/>
    <x v="6"/>
    <x v="0"/>
    <s v="4815107"/>
    <n v="713010"/>
    <s v="Benefits-FICA/Medicare"/>
    <s v="MRI"/>
    <x v="0"/>
    <m/>
    <n v="2483.2800000000002"/>
    <n v="1935.69"/>
    <n v="2056.89"/>
    <n v="2077.08"/>
    <n v="2282.39"/>
    <n v="2281.3000000000002"/>
    <n v="2214.88"/>
    <n v="1835.72"/>
    <n v="1958.82"/>
    <n v="2379.48"/>
    <n v="2129.9899999999998"/>
    <n v="1713.27"/>
    <n v="25348.790000000005"/>
    <n v="416.7199999999998"/>
  </r>
  <r>
    <x v="6"/>
    <x v="6"/>
    <x v="0"/>
    <s v="4815107"/>
    <n v="713090"/>
    <s v="Benefits-Allocated Amounts"/>
    <s v="MRI"/>
    <x v="0"/>
    <m/>
    <n v="4136"/>
    <n v="2968.17"/>
    <n v="3428.85"/>
    <n v="3363.05"/>
    <n v="4341.1899999999996"/>
    <n v="4090.39"/>
    <n v="3999.79"/>
    <n v="3460.37"/>
    <n v="2933.67"/>
    <n v="4536.1499999999996"/>
    <n v="3862.71"/>
    <n v="3460.26"/>
    <n v="44580.6"/>
    <n v="402.44999999999982"/>
  </r>
  <r>
    <x v="7"/>
    <x v="6"/>
    <x v="0"/>
    <s v="4815107"/>
    <n v="718050"/>
    <s v="Contract Svcs-Other"/>
    <s v="MRI"/>
    <x v="0"/>
    <m/>
    <n v="0"/>
    <n v="0"/>
    <n v="0"/>
    <n v="0"/>
    <n v="0"/>
    <n v="147.08000000000001"/>
    <n v="0"/>
    <n v="0"/>
    <n v="154.78"/>
    <n v="0"/>
    <n v="154.78"/>
    <n v="0"/>
    <n v="456.64"/>
    <n v="154.78"/>
  </r>
  <r>
    <x v="7"/>
    <x v="6"/>
    <x v="0"/>
    <s v="4815107"/>
    <n v="718050"/>
    <s v="Miscellaneous Purchased Svcs"/>
    <s v="MRI"/>
    <x v="0"/>
    <n v="1020"/>
    <n v="0"/>
    <n v="0"/>
    <n v="0"/>
    <n v="0"/>
    <n v="0"/>
    <n v="0"/>
    <n v="0"/>
    <n v="0"/>
    <n v="0"/>
    <n v="0"/>
    <n v="0"/>
    <n v="2502.5"/>
    <n v="2502.5"/>
    <n v="-2502.5"/>
  </r>
  <r>
    <x v="7"/>
    <x v="6"/>
    <x v="0"/>
    <s v="4815107"/>
    <n v="718070"/>
    <s v="Contract Srvcs-CHI Clinical Engineering"/>
    <s v="MRI"/>
    <x v="0"/>
    <m/>
    <n v="550.45000000000005"/>
    <n v="1095.45"/>
    <n v="277.95"/>
    <n v="277.95"/>
    <n v="277.95"/>
    <n v="277.95"/>
    <n v="550.45000000000005"/>
    <n v="-2830.19"/>
    <n v="567.95000000000005"/>
    <n v="295.45"/>
    <n v="22.95"/>
    <n v="544.25"/>
    <n v="1908.5599999999997"/>
    <n v="-521.29999999999995"/>
  </r>
  <r>
    <x v="11"/>
    <x v="6"/>
    <x v="0"/>
    <s v="4815107"/>
    <n v="721010"/>
    <s v="Supplies-Medical - Billable"/>
    <s v="MRI"/>
    <x v="0"/>
    <m/>
    <n v="12.4"/>
    <n v="0"/>
    <n v="0"/>
    <n v="45.6"/>
    <n v="0"/>
    <n v="0"/>
    <n v="13.52"/>
    <n v="12.4"/>
    <n v="0"/>
    <n v="13.52"/>
    <n v="11.28"/>
    <n v="13.52"/>
    <n v="122.24"/>
    <n v="-2.2400000000000002"/>
  </r>
  <r>
    <x v="11"/>
    <x v="6"/>
    <x v="0"/>
    <s v="4815107"/>
    <n v="721010"/>
    <s v="Patient Monitoring"/>
    <s v="MRI"/>
    <x v="0"/>
    <n v="1000"/>
    <n v="0"/>
    <n v="0"/>
    <n v="0"/>
    <n v="54"/>
    <n v="0"/>
    <n v="0"/>
    <n v="0"/>
    <n v="0"/>
    <n v="0"/>
    <n v="3.09"/>
    <n v="0"/>
    <n v="89.91"/>
    <n v="147"/>
    <n v="-89.91"/>
  </r>
  <r>
    <x v="11"/>
    <x v="6"/>
    <x v="0"/>
    <s v="4815107"/>
    <n v="721020"/>
    <s v="Suture/Wound Closure"/>
    <s v="MRI"/>
    <x v="0"/>
    <n v="1001"/>
    <n v="0"/>
    <n v="0"/>
    <n v="0"/>
    <n v="0"/>
    <n v="0"/>
    <n v="2.34"/>
    <n v="0"/>
    <n v="0"/>
    <n v="0"/>
    <n v="0"/>
    <n v="0"/>
    <n v="0"/>
    <n v="2.34"/>
    <n v="0"/>
  </r>
  <r>
    <x v="11"/>
    <x v="6"/>
    <x v="0"/>
    <s v="4815107"/>
    <n v="721050"/>
    <s v="Supplies-Cardiac Rhythm - Billable"/>
    <s v="MRI"/>
    <x v="0"/>
    <m/>
    <n v="0"/>
    <n v="0"/>
    <n v="0"/>
    <n v="0"/>
    <n v="0"/>
    <n v="0"/>
    <n v="0"/>
    <n v="0"/>
    <n v="0"/>
    <n v="6562"/>
    <n v="0"/>
    <n v="0"/>
    <n v="6562"/>
    <n v="0"/>
  </r>
  <r>
    <x v="11"/>
    <x v="6"/>
    <x v="0"/>
    <s v="4815107"/>
    <n v="721240"/>
    <s v="Supplies-IV Solutions/Supplies - Billable"/>
    <s v="MRI"/>
    <x v="0"/>
    <m/>
    <n v="270"/>
    <n v="0"/>
    <n v="122.41"/>
    <n v="3.7"/>
    <n v="0"/>
    <n v="118.95"/>
    <n v="1.85"/>
    <n v="0"/>
    <n v="178"/>
    <n v="0"/>
    <n v="178"/>
    <n v="1.5"/>
    <n v="874.41"/>
    <n v="176.5"/>
  </r>
  <r>
    <x v="11"/>
    <x v="6"/>
    <x v="0"/>
    <s v="4815107"/>
    <n v="721250"/>
    <s v="Supplies-Pharmacy Drugs - Billable"/>
    <s v="MRI"/>
    <x v="0"/>
    <m/>
    <n v="2288.64"/>
    <n v="2480.8200000000002"/>
    <n v="3339.39"/>
    <n v="1320.31"/>
    <n v="2485.3200000000002"/>
    <n v="2640.64"/>
    <n v="0"/>
    <n v="1361.4"/>
    <n v="2333.84"/>
    <n v="2022.64"/>
    <n v="2961.57"/>
    <n v="1633.68"/>
    <n v="24868.25"/>
    <n v="1327.89"/>
  </r>
  <r>
    <x v="11"/>
    <x v="6"/>
    <x v="0"/>
    <s v="4815107"/>
    <n v="721410"/>
    <s v="Supplies-Medical - Nonbillable"/>
    <s v="MRI"/>
    <x v="0"/>
    <m/>
    <n v="172.69"/>
    <n v="116.44"/>
    <n v="373.35"/>
    <n v="197.46"/>
    <n v="123.52"/>
    <n v="144.24"/>
    <n v="231.5"/>
    <n v="182.99"/>
    <n v="142.47999999999999"/>
    <n v="181.16"/>
    <n v="192.36"/>
    <n v="350.36"/>
    <n v="2408.5500000000002"/>
    <n v="-158"/>
  </r>
  <r>
    <x v="11"/>
    <x v="6"/>
    <x v="0"/>
    <s v="4815107"/>
    <n v="721420"/>
    <s v="Supplies-Surgical Nonbillable"/>
    <s v="MRI"/>
    <x v="0"/>
    <m/>
    <n v="6.01"/>
    <n v="0"/>
    <n v="0"/>
    <n v="0"/>
    <n v="0"/>
    <n v="1.98"/>
    <n v="0"/>
    <n v="0"/>
    <n v="0"/>
    <n v="2.72"/>
    <n v="1.98"/>
    <n v="1.48"/>
    <n v="14.170000000000002"/>
    <n v="0.5"/>
  </r>
  <r>
    <x v="11"/>
    <x v="6"/>
    <x v="0"/>
    <s v="4815107"/>
    <n v="721420"/>
    <s v="Tubes Drains &amp; Related Supplies"/>
    <s v="MRI"/>
    <x v="0"/>
    <n v="1008"/>
    <n v="0"/>
    <n v="0"/>
    <n v="0"/>
    <n v="0"/>
    <n v="0"/>
    <n v="0"/>
    <n v="0"/>
    <n v="0"/>
    <n v="0"/>
    <n v="0"/>
    <n v="100.44"/>
    <n v="0"/>
    <n v="100.44"/>
    <n v="100.44"/>
  </r>
  <r>
    <x v="11"/>
    <x v="6"/>
    <x v="0"/>
    <s v="4815107"/>
    <n v="721420"/>
    <s v="Sterilization Process Products"/>
    <s v="MRI"/>
    <x v="0"/>
    <n v="1009"/>
    <n v="0"/>
    <n v="0"/>
    <n v="0"/>
    <n v="0"/>
    <n v="0"/>
    <n v="0"/>
    <n v="0"/>
    <n v="0"/>
    <n v="1.42"/>
    <n v="0"/>
    <n v="0"/>
    <n v="0"/>
    <n v="1.42"/>
    <n v="0"/>
  </r>
  <r>
    <x v="11"/>
    <x v="6"/>
    <x v="0"/>
    <s v="4815107"/>
    <n v="721610"/>
    <s v="Supplies-Anesthesia - Nonbillable"/>
    <s v="MRI"/>
    <x v="0"/>
    <m/>
    <n v="0"/>
    <n v="4.3499999999999996"/>
    <n v="1.6"/>
    <n v="1.6"/>
    <n v="1.6"/>
    <n v="0"/>
    <n v="1.6"/>
    <n v="0"/>
    <n v="3.46"/>
    <n v="0"/>
    <n v="3.2"/>
    <n v="1.6"/>
    <n v="19.009999999999998"/>
    <n v="1.6"/>
  </r>
  <r>
    <x v="11"/>
    <x v="6"/>
    <x v="0"/>
    <s v="4815107"/>
    <n v="721640"/>
    <s v="Supplies-IV Solutions/Supplies - Nonbillable"/>
    <s v="MRI"/>
    <x v="0"/>
    <m/>
    <n v="28.09"/>
    <n v="223.76"/>
    <n v="-281.82"/>
    <n v="129.88999999999999"/>
    <n v="5.76"/>
    <n v="32.89"/>
    <n v="5.76"/>
    <n v="7.2"/>
    <n v="876.08"/>
    <n v="26.65"/>
    <n v="-703.39"/>
    <n v="9.6"/>
    <n v="360.47000000000025"/>
    <n v="-712.99"/>
  </r>
  <r>
    <x v="11"/>
    <x v="6"/>
    <x v="0"/>
    <s v="4815107"/>
    <n v="721710"/>
    <s v="Supplies-Laboratory - Nonbillable"/>
    <s v="MRI"/>
    <x v="0"/>
    <m/>
    <n v="0"/>
    <n v="0"/>
    <n v="0"/>
    <n v="16.25"/>
    <n v="0"/>
    <n v="0"/>
    <n v="0"/>
    <n v="0"/>
    <n v="0"/>
    <n v="0"/>
    <n v="16.25"/>
    <n v="0"/>
    <n v="32.5"/>
    <n v="16.25"/>
  </r>
  <r>
    <x v="11"/>
    <x v="6"/>
    <x v="0"/>
    <s v="4815107"/>
    <n v="721750"/>
    <s v="Supplies-Film/Radiographic - Nonbillable"/>
    <s v="MRI"/>
    <x v="0"/>
    <m/>
    <n v="0"/>
    <n v="104.64"/>
    <n v="336.81"/>
    <n v="63.22"/>
    <n v="0"/>
    <n v="12.6"/>
    <n v="0"/>
    <n v="0"/>
    <n v="0"/>
    <n v="0"/>
    <n v="0"/>
    <n v="0"/>
    <n v="517.27"/>
    <n v="0"/>
  </r>
  <r>
    <x v="11"/>
    <x v="6"/>
    <x v="0"/>
    <s v="4815107"/>
    <n v="721810"/>
    <s v="Supplies-Dietary/Cafeteria"/>
    <s v="MRI"/>
    <x v="0"/>
    <m/>
    <n v="2.58"/>
    <n v="17.66"/>
    <n v="2.58"/>
    <n v="5.15"/>
    <n v="3.13"/>
    <n v="0"/>
    <n v="0"/>
    <n v="3.13"/>
    <n v="0"/>
    <n v="2.2999999999999998"/>
    <n v="0"/>
    <n v="0"/>
    <n v="36.529999999999994"/>
    <n v="0"/>
  </r>
  <r>
    <x v="11"/>
    <x v="6"/>
    <x v="0"/>
    <s v="4815107"/>
    <n v="721830"/>
    <s v="Supplies-Office"/>
    <s v="MRI"/>
    <x v="0"/>
    <m/>
    <n v="0"/>
    <n v="0"/>
    <n v="41.08"/>
    <n v="0"/>
    <n v="0"/>
    <n v="0"/>
    <n v="0"/>
    <n v="158.97999999999999"/>
    <n v="0"/>
    <n v="0"/>
    <n v="113.89"/>
    <n v="41.16"/>
    <n v="355.11"/>
    <n v="72.73"/>
  </r>
  <r>
    <x v="11"/>
    <x v="6"/>
    <x v="0"/>
    <s v="4815107"/>
    <n v="721870"/>
    <s v="Supplies-Environmental Services"/>
    <s v="MRI"/>
    <x v="0"/>
    <m/>
    <n v="0"/>
    <n v="30.78"/>
    <n v="21.04"/>
    <n v="54.1"/>
    <n v="11.82"/>
    <n v="11.82"/>
    <n v="17.100000000000001"/>
    <n v="49.74"/>
    <n v="13.16"/>
    <n v="54.1"/>
    <n v="77.010000000000005"/>
    <n v="21.04"/>
    <n v="361.71000000000004"/>
    <n v="55.970000000000006"/>
  </r>
  <r>
    <x v="11"/>
    <x v="6"/>
    <x v="0"/>
    <s v="4815107"/>
    <n v="721880"/>
    <s v="Supplies-Linen"/>
    <s v="MRI"/>
    <x v="0"/>
    <m/>
    <n v="0"/>
    <n v="0"/>
    <n v="0"/>
    <n v="0"/>
    <n v="0"/>
    <n v="0"/>
    <n v="0"/>
    <n v="0"/>
    <n v="0"/>
    <n v="0"/>
    <n v="51.4"/>
    <n v="-0.74"/>
    <n v="50.66"/>
    <n v="52.14"/>
  </r>
  <r>
    <x v="11"/>
    <x v="6"/>
    <x v="0"/>
    <s v="4815107"/>
    <n v="721980"/>
    <s v="Supplies-Other"/>
    <s v="MRI"/>
    <x v="0"/>
    <m/>
    <n v="69.25"/>
    <n v="39.82"/>
    <n v="245.98"/>
    <n v="8.1"/>
    <n v="44.58"/>
    <n v="0"/>
    <n v="39.82"/>
    <n v="121.36"/>
    <n v="0"/>
    <n v="97.02"/>
    <n v="54.48"/>
    <n v="0"/>
    <n v="720.41"/>
    <n v="54.48"/>
  </r>
  <r>
    <x v="11"/>
    <x v="6"/>
    <x v="0"/>
    <s v="4815107"/>
    <n v="722000"/>
    <s v="Supplies-Freight Expense"/>
    <s v="MRI"/>
    <x v="0"/>
    <m/>
    <n v="0"/>
    <n v="0"/>
    <n v="23.79"/>
    <n v="47.47"/>
    <n v="0"/>
    <n v="0"/>
    <n v="0"/>
    <n v="0"/>
    <n v="0"/>
    <n v="0"/>
    <n v="0"/>
    <n v="0"/>
    <n v="71.259999999999991"/>
    <n v="0"/>
  </r>
  <r>
    <x v="12"/>
    <x v="6"/>
    <x v="0"/>
    <s v="4815107"/>
    <n v="730020"/>
    <s v="Rental and Leases-Equipment (DO NOT USE)"/>
    <s v="MRI"/>
    <x v="0"/>
    <m/>
    <n v="103.05"/>
    <n v="0"/>
    <n v="65.97"/>
    <n v="65.97"/>
    <n v="69.400000000000006"/>
    <n v="0"/>
    <n v="203.56"/>
    <n v="0"/>
    <n v="134.16"/>
    <n v="67.08"/>
    <n v="67.08"/>
    <n v="0"/>
    <n v="776.2700000000001"/>
    <n v="67.08"/>
  </r>
  <r>
    <x v="12"/>
    <x v="6"/>
    <x v="0"/>
    <s v="4815107"/>
    <n v="730020"/>
    <s v="Rental and Leases-Copier Usage Fees (DO NOT USE)"/>
    <s v="MRI"/>
    <x v="0"/>
    <n v="5100"/>
    <n v="67.25"/>
    <n v="70.319999999999993"/>
    <n v="68.78"/>
    <n v="68.78"/>
    <n v="68.78"/>
    <n v="68.78"/>
    <n v="16.59"/>
    <n v="61.43"/>
    <n v="61.3"/>
    <n v="61.56"/>
    <n v="61.43"/>
    <n v="69.78"/>
    <n v="744.77999999999986"/>
    <n v="-8.3500000000000014"/>
  </r>
  <r>
    <x v="16"/>
    <x v="6"/>
    <x v="0"/>
    <s v="4815107"/>
    <n v="732030"/>
    <s v="Repairs---Other"/>
    <s v="MRI"/>
    <x v="0"/>
    <m/>
    <n v="0"/>
    <n v="0"/>
    <n v="141.69999999999999"/>
    <n v="0"/>
    <n v="0"/>
    <n v="0"/>
    <n v="0"/>
    <n v="0"/>
    <n v="0"/>
    <n v="0"/>
    <n v="1154.04"/>
    <n v="57.09"/>
    <n v="1352.83"/>
    <n v="1096.95"/>
  </r>
  <r>
    <x v="16"/>
    <x v="6"/>
    <x v="0"/>
    <s v="4815107"/>
    <n v="732030"/>
    <s v="Repairs&amp;Maintenance-Bldg Routine"/>
    <s v="MRI"/>
    <x v="0"/>
    <n v="2300"/>
    <n v="0"/>
    <n v="1814.34"/>
    <n v="654.55999999999995"/>
    <n v="345"/>
    <n v="499.78"/>
    <n v="154.78"/>
    <n v="690"/>
    <n v="1344.78"/>
    <n v="345"/>
    <n v="345"/>
    <n v="499.78"/>
    <n v="851.5"/>
    <n v="7544.5199999999986"/>
    <n v="-351.72"/>
  </r>
  <r>
    <x v="13"/>
    <x v="6"/>
    <x v="0"/>
    <s v="4815107"/>
    <n v="735070"/>
    <s v="Depreciation-Movable Equipment"/>
    <s v="MRI"/>
    <x v="0"/>
    <m/>
    <n v="619.04999999999995"/>
    <n v="619.04999999999995"/>
    <n v="619.04999999999995"/>
    <n v="619.04999999999995"/>
    <n v="619.04999999999995"/>
    <n v="619.04999999999995"/>
    <n v="619.04999999999995"/>
    <n v="619.04999999999995"/>
    <n v="619.04999999999995"/>
    <n v="619.04"/>
    <n v="619.04999999999995"/>
    <n v="619.04"/>
    <n v="7428.5800000000008"/>
    <n v="9.9999999999909051E-3"/>
  </r>
  <r>
    <x v="0"/>
    <x v="6"/>
    <x v="0"/>
    <s v="4815107"/>
    <n v="749510"/>
    <s v="Miscellaneous Expenses"/>
    <s v="MRI"/>
    <x v="0"/>
    <m/>
    <n v="0"/>
    <n v="-39.82"/>
    <n v="0"/>
    <n v="0"/>
    <n v="38.74"/>
    <n v="-22.92"/>
    <n v="-15.82"/>
    <n v="46.4"/>
    <n v="-46.4"/>
    <n v="0"/>
    <n v="0"/>
    <n v="12.18"/>
    <n v="-27.64"/>
    <n v="-12.18"/>
  </r>
  <r>
    <x v="0"/>
    <x v="6"/>
    <x v="0"/>
    <s v="4815107"/>
    <n v="749510"/>
    <s v="RICE Rewards"/>
    <s v="MRI"/>
    <x v="0"/>
    <n v="5100"/>
    <n v="0"/>
    <n v="0"/>
    <n v="0"/>
    <n v="0"/>
    <n v="0"/>
    <n v="0"/>
    <n v="0"/>
    <n v="0"/>
    <n v="0"/>
    <n v="0"/>
    <n v="0"/>
    <n v="114.54"/>
    <n v="114.54"/>
    <n v="-114.54"/>
  </r>
  <r>
    <x v="0"/>
    <x v="6"/>
    <x v="0"/>
    <s v="4815107"/>
    <n v="749530"/>
    <s v="Mileage"/>
    <s v="MRI"/>
    <x v="0"/>
    <n v="1001"/>
    <n v="0"/>
    <n v="39.82"/>
    <n v="48"/>
    <n v="43.64"/>
    <n v="24.54"/>
    <n v="38.74"/>
    <n v="15.82"/>
    <n v="0"/>
    <n v="74.819999999999993"/>
    <n v="37.119999999999997"/>
    <n v="32.479999999999997"/>
    <n v="16.239999999999998"/>
    <n v="371.22"/>
    <n v="16.239999999999998"/>
  </r>
  <r>
    <x v="18"/>
    <x v="7"/>
    <x v="0"/>
    <s v="4815150"/>
    <n v="400010"/>
    <s v="Acute I/P Svcs Rev--Medicare"/>
    <s v="MRI"/>
    <x v="0"/>
    <n v="1100"/>
    <n v="0"/>
    <n v="-6196.03"/>
    <n v="-1860.35"/>
    <n v="-4335.8"/>
    <n v="-6196.45"/>
    <n v="-2945.7"/>
    <n v="-24078.15"/>
    <n v="-2837.29"/>
    <n v="-13916.73"/>
    <n v="-6363.89"/>
    <n v="-17957.060000000001"/>
    <n v="-11409.21"/>
    <n v="-98096.66"/>
    <n v="-6547.8500000000022"/>
  </r>
  <r>
    <x v="18"/>
    <x v="7"/>
    <x v="0"/>
    <s v="4815150"/>
    <n v="400010"/>
    <s v="Acute I/P Svcs Rev--Medicaid"/>
    <s v="MRI"/>
    <x v="0"/>
    <n v="1200"/>
    <n v="-2475.15"/>
    <n v="-4210.71"/>
    <n v="-12806.21"/>
    <n v="-2043.5"/>
    <n v="-13532.56"/>
    <n v="-4913.49"/>
    <n v="-5511.93"/>
    <n v="0"/>
    <n v="0"/>
    <n v="0"/>
    <n v="0"/>
    <n v="0"/>
    <n v="-45493.549999999996"/>
    <n v="0"/>
  </r>
  <r>
    <x v="18"/>
    <x v="7"/>
    <x v="0"/>
    <s v="4815150"/>
    <n v="400010"/>
    <s v="Acute I/P Svcs Rev--Comm Insurance"/>
    <s v="MRI"/>
    <x v="0"/>
    <n v="1300"/>
    <n v="0"/>
    <n v="0"/>
    <n v="-2475.15"/>
    <n v="0"/>
    <n v="0"/>
    <n v="-2475.15"/>
    <n v="0"/>
    <n v="0"/>
    <n v="0"/>
    <n v="0"/>
    <n v="0"/>
    <n v="0"/>
    <n v="-4950.3"/>
    <n v="0"/>
  </r>
  <r>
    <x v="18"/>
    <x v="7"/>
    <x v="0"/>
    <s v="4815150"/>
    <n v="400010"/>
    <s v="Acute I/P Svcs Rev--BCBS Comm"/>
    <s v="MRI"/>
    <x v="0"/>
    <n v="1301"/>
    <n v="0"/>
    <n v="0"/>
    <n v="0"/>
    <n v="-4121.9399999999996"/>
    <n v="-2438.34"/>
    <n v="0"/>
    <n v="-3197.6"/>
    <n v="-4465.5600000000004"/>
    <n v="-6431.51"/>
    <n v="-3920.02"/>
    <n v="0"/>
    <n v="-3798.92"/>
    <n v="-28373.89"/>
    <n v="3798.92"/>
  </r>
  <r>
    <x v="18"/>
    <x v="7"/>
    <x v="0"/>
    <s v="4815150"/>
    <n v="400010"/>
    <s v="Acute I/P Svcs Rev--Managed Care"/>
    <s v="MRI"/>
    <x v="0"/>
    <n v="1400"/>
    <n v="-6772.36"/>
    <n v="0"/>
    <n v="-1860.35"/>
    <n v="1860.35"/>
    <n v="-1860.35"/>
    <n v="-1860.35"/>
    <n v="0"/>
    <n v="-14644.96"/>
    <n v="0"/>
    <n v="-4366.76"/>
    <n v="0"/>
    <n v="0"/>
    <n v="-29504.78"/>
    <n v="0"/>
  </r>
  <r>
    <x v="18"/>
    <x v="7"/>
    <x v="0"/>
    <s v="4815150"/>
    <n v="400010"/>
    <s v="Acute I/P Svcs Rev--Self Pay"/>
    <s v="MRI"/>
    <x v="0"/>
    <n v="1500"/>
    <n v="0"/>
    <n v="0"/>
    <n v="0"/>
    <n v="0"/>
    <n v="0"/>
    <n v="0"/>
    <n v="-2475.15"/>
    <n v="0"/>
    <n v="0"/>
    <n v="0"/>
    <n v="0"/>
    <n v="-2511.2199999999998"/>
    <n v="-4986.37"/>
    <n v="2511.2199999999998"/>
  </r>
  <r>
    <x v="18"/>
    <x v="7"/>
    <x v="0"/>
    <s v="4815150"/>
    <n v="400010"/>
    <s v="Acute I/P Svcs Rev--Other"/>
    <s v="MRI"/>
    <x v="0"/>
    <n v="1700"/>
    <n v="0"/>
    <n v="0"/>
    <n v="0"/>
    <n v="-1860.35"/>
    <n v="0"/>
    <n v="0"/>
    <n v="0"/>
    <n v="0"/>
    <n v="0"/>
    <n v="0"/>
    <n v="0"/>
    <n v="0"/>
    <n v="-1860.35"/>
    <n v="0"/>
  </r>
  <r>
    <x v="19"/>
    <x v="7"/>
    <x v="0"/>
    <s v="4815150"/>
    <n v="400020"/>
    <s v="O/P Care Svcs Rev--Medicare"/>
    <s v="MRI"/>
    <x v="0"/>
    <n v="1100"/>
    <n v="-96201.45"/>
    <n v="-87700.79"/>
    <n v="-95424.45"/>
    <n v="-92668.52"/>
    <n v="-87210.16"/>
    <n v="-85176.56"/>
    <n v="-99389.2"/>
    <n v="-71802.899999999994"/>
    <n v="-58863.05"/>
    <n v="-69345.14"/>
    <n v="-112708.75"/>
    <n v="-53993.51"/>
    <n v="-1010484.48"/>
    <n v="-58715.24"/>
  </r>
  <r>
    <x v="19"/>
    <x v="7"/>
    <x v="0"/>
    <s v="4815150"/>
    <n v="400020"/>
    <s v="O/P Care Svcs Rev--Medicaid"/>
    <s v="MRI"/>
    <x v="0"/>
    <n v="1200"/>
    <n v="-18847.52"/>
    <n v="-26307.31"/>
    <n v="-35217.550000000003"/>
    <n v="-20756.310000000001"/>
    <n v="-20641.09"/>
    <n v="-28661.200000000001"/>
    <n v="-19821.419999999998"/>
    <n v="-26288.61"/>
    <n v="-45354.11"/>
    <n v="-16548.330000000002"/>
    <n v="-28036.92"/>
    <n v="-24759.96"/>
    <n v="-311240.33"/>
    <n v="-3276.9599999999991"/>
  </r>
  <r>
    <x v="19"/>
    <x v="7"/>
    <x v="0"/>
    <s v="4815150"/>
    <n v="400020"/>
    <s v="O/P Care Svcs Rev--Comm Insurance"/>
    <s v="MRI"/>
    <x v="0"/>
    <n v="1300"/>
    <n v="-8755.4599999999991"/>
    <n v="-6612.32"/>
    <n v="-8509.56"/>
    <n v="-494.25"/>
    <n v="-9476.25"/>
    <n v="-5164.12"/>
    <n v="1819.66"/>
    <n v="-5317.38"/>
    <n v="-10652.91"/>
    <n v="3864.36"/>
    <n v="-10575.13"/>
    <n v="-2671.26"/>
    <n v="-62544.619999999995"/>
    <n v="-7903.869999999999"/>
  </r>
  <r>
    <x v="19"/>
    <x v="7"/>
    <x v="0"/>
    <s v="4815150"/>
    <n v="400020"/>
    <s v="O/P Care Svcs Rev--BCBS Comm"/>
    <s v="MRI"/>
    <x v="0"/>
    <n v="1301"/>
    <n v="-14272.14"/>
    <n v="-27226.04"/>
    <n v="-25197.86"/>
    <n v="-30226.76"/>
    <n v="-31441.83"/>
    <n v="-44077.46"/>
    <n v="-37057.279999999999"/>
    <n v="-28197.18"/>
    <n v="-41957.52"/>
    <n v="-28901.74"/>
    <n v="-21417.85"/>
    <n v="-25916.54"/>
    <n v="-355890.19999999995"/>
    <n v="4498.6900000000023"/>
  </r>
  <r>
    <x v="19"/>
    <x v="7"/>
    <x v="0"/>
    <s v="4815150"/>
    <n v="400020"/>
    <s v="O/P Care Svcs Rev--Managed Care"/>
    <s v="MRI"/>
    <x v="0"/>
    <n v="1400"/>
    <n v="-81712.789999999994"/>
    <n v="-43916.41"/>
    <n v="-40126.03"/>
    <n v="-54054.65"/>
    <n v="-98686.36"/>
    <n v="-53346.66"/>
    <n v="-100599.52"/>
    <n v="-32675.43"/>
    <n v="-69855.490000000005"/>
    <n v="-56154.05"/>
    <n v="-70407.789999999994"/>
    <n v="-64139.39"/>
    <n v="-765674.57000000018"/>
    <n v="-6268.3999999999942"/>
  </r>
  <r>
    <x v="19"/>
    <x v="7"/>
    <x v="0"/>
    <s v="4815150"/>
    <n v="400020"/>
    <s v="O/P Care Svcs Rev--Self Pay"/>
    <s v="MRI"/>
    <x v="0"/>
    <n v="1500"/>
    <n v="34.549999999999997"/>
    <n v="0"/>
    <n v="-655.49"/>
    <n v="0"/>
    <n v="-2438.34"/>
    <n v="-1452.38"/>
    <n v="63.92"/>
    <n v="1388.46"/>
    <n v="-1819.66"/>
    <n v="0"/>
    <n v="-5221.42"/>
    <n v="-3979.64"/>
    <n v="-14080"/>
    <n v="-1241.7800000000002"/>
  </r>
  <r>
    <x v="19"/>
    <x v="7"/>
    <x v="0"/>
    <s v="4815150"/>
    <n v="400020"/>
    <s v="O/P Care Svcs Rev--Other"/>
    <s v="MRI"/>
    <x v="0"/>
    <n v="1700"/>
    <n v="-18670.63"/>
    <n v="-16467.93"/>
    <n v="-3103.65"/>
    <n v="-16499.13"/>
    <n v="-3742.71"/>
    <n v="-20344.09"/>
    <n v="-25787.94"/>
    <n v="-29586.66"/>
    <n v="-14385.97"/>
    <n v="-13714.61"/>
    <n v="-9844.14"/>
    <n v="-12645.34"/>
    <n v="-184792.80000000002"/>
    <n v="2801.2000000000007"/>
  </r>
  <r>
    <x v="5"/>
    <x v="7"/>
    <x v="0"/>
    <s v="4815150"/>
    <n v="700034"/>
    <s v="Salaries-Tech/Professional-Productive"/>
    <s v="MRI"/>
    <x v="0"/>
    <m/>
    <n v="14272.04"/>
    <n v="13684.49"/>
    <n v="12635.25"/>
    <n v="15110.21"/>
    <n v="15172.25"/>
    <n v="12551.15"/>
    <n v="15846.58"/>
    <n v="11937.46"/>
    <n v="15050.51"/>
    <n v="13473.31"/>
    <n v="16470.53"/>
    <n v="13125.63"/>
    <n v="169329.41"/>
    <n v="3344.8999999999996"/>
  </r>
  <r>
    <x v="5"/>
    <x v="7"/>
    <x v="0"/>
    <s v="4815150"/>
    <n v="700034"/>
    <s v="Salaries-Tech/Professional-OT"/>
    <s v="MRI"/>
    <x v="0"/>
    <n v="1000"/>
    <n v="198.39"/>
    <n v="18.579999999999998"/>
    <n v="179.9"/>
    <n v="60.2"/>
    <n v="212.24"/>
    <n v="426.35"/>
    <n v="245.33"/>
    <n v="946.56"/>
    <n v="-117.28"/>
    <n v="180.1"/>
    <n v="-28.05"/>
    <n v="401.13"/>
    <n v="2723.4499999999994"/>
    <n v="-429.18"/>
  </r>
  <r>
    <x v="5"/>
    <x v="7"/>
    <x v="0"/>
    <s v="4815150"/>
    <n v="700034"/>
    <s v="Salaries-Tech/Professional-Other"/>
    <s v="MRI"/>
    <x v="0"/>
    <n v="2000"/>
    <n v="386.87"/>
    <n v="288.57"/>
    <n v="182.94"/>
    <n v="592.75"/>
    <n v="317.29000000000002"/>
    <n v="477.45"/>
    <n v="417.68"/>
    <n v="388.89"/>
    <n v="435.37"/>
    <n v="518.48"/>
    <n v="358.74"/>
    <n v="466.07"/>
    <n v="4831.0999999999995"/>
    <n v="-107.32999999999998"/>
  </r>
  <r>
    <x v="5"/>
    <x v="7"/>
    <x v="0"/>
    <s v="4815150"/>
    <n v="700074"/>
    <s v="Salaries-Tech/Professional-Non-productive"/>
    <s v="MRI"/>
    <x v="0"/>
    <m/>
    <n v="896.72"/>
    <n v="1370.38"/>
    <n v="1684.87"/>
    <n v="1575"/>
    <n v="1273.74"/>
    <n v="3802.47"/>
    <n v="979.09"/>
    <n v="2146.2399999999998"/>
    <n v="758.49"/>
    <n v="3083.2"/>
    <n v="691.38"/>
    <n v="1347.83"/>
    <n v="19609.410000000003"/>
    <n v="-656.44999999999993"/>
  </r>
  <r>
    <x v="5"/>
    <x v="7"/>
    <x v="0"/>
    <s v="4815150"/>
    <n v="700074"/>
    <s v="Salaries-Tech/Professional-NonProd-Other"/>
    <s v="MRI"/>
    <x v="0"/>
    <n v="2000"/>
    <n v="267.39999999999998"/>
    <n v="772.92"/>
    <n v="-159.74"/>
    <n v="316.89999999999998"/>
    <n v="378.48"/>
    <n v="883.76"/>
    <n v="268.86"/>
    <n v="-111.12"/>
    <n v="-11.79"/>
    <n v="37.130000000000003"/>
    <n v="758.18"/>
    <n v="-108.38"/>
    <n v="3292.6000000000004"/>
    <n v="866.56"/>
  </r>
  <r>
    <x v="5"/>
    <x v="7"/>
    <x v="0"/>
    <s v="4815150"/>
    <n v="700084"/>
    <s v="Accrued PTO"/>
    <s v="MRI"/>
    <x v="0"/>
    <m/>
    <n v="1150.43"/>
    <n v="654.29"/>
    <n v="326.7"/>
    <n v="670.19"/>
    <n v="348.7"/>
    <n v="-965.42"/>
    <n v="985.99"/>
    <n v="216.81"/>
    <n v="1193.71"/>
    <n v="326.63"/>
    <n v="2473.15"/>
    <n v="1921.77"/>
    <n v="9302.9500000000007"/>
    <n v="551.38000000000011"/>
  </r>
  <r>
    <x v="6"/>
    <x v="7"/>
    <x v="0"/>
    <s v="4815150"/>
    <n v="713010"/>
    <s v="Benefits-FICA/Medicare"/>
    <s v="MRI"/>
    <x v="0"/>
    <m/>
    <n v="1181.55"/>
    <n v="1190.3"/>
    <n v="1068.4100000000001"/>
    <n v="1306.56"/>
    <n v="1335.01"/>
    <n v="1321.37"/>
    <n v="1313.11"/>
    <n v="1182.75"/>
    <n v="1189.21"/>
    <n v="1279.8399999999999"/>
    <n v="1354.87"/>
    <n v="1120.69"/>
    <n v="14843.67"/>
    <n v="234.17999999999984"/>
  </r>
  <r>
    <x v="6"/>
    <x v="7"/>
    <x v="0"/>
    <s v="4815150"/>
    <n v="713090"/>
    <s v="Benefits-Allocated Amounts"/>
    <s v="MRI"/>
    <x v="0"/>
    <m/>
    <n v="2763.1"/>
    <n v="2352.23"/>
    <n v="2479.35"/>
    <n v="2915.75"/>
    <n v="2817.12"/>
    <n v="2666.73"/>
    <n v="2927.46"/>
    <n v="2400.23"/>
    <n v="2417.64"/>
    <n v="2908.64"/>
    <n v="2856.9"/>
    <n v="2718.7"/>
    <n v="32223.85"/>
    <n v="138.20000000000027"/>
  </r>
  <r>
    <x v="17"/>
    <x v="7"/>
    <x v="0"/>
    <s v="4815150"/>
    <n v="714520"/>
    <s v="Other Contracted Professionals"/>
    <s v="MRI"/>
    <x v="0"/>
    <m/>
    <n v="0"/>
    <n v="0"/>
    <n v="0"/>
    <n v="0"/>
    <n v="0"/>
    <n v="0"/>
    <n v="0"/>
    <n v="0"/>
    <n v="0"/>
    <n v="2300"/>
    <n v="0"/>
    <n v="0"/>
    <n v="2300"/>
    <n v="0"/>
  </r>
  <r>
    <x v="7"/>
    <x v="7"/>
    <x v="0"/>
    <s v="4815150"/>
    <n v="718050"/>
    <s v="Miscellaneous Purchased Svcs"/>
    <s v="MRI"/>
    <x v="0"/>
    <n v="1020"/>
    <n v="0"/>
    <n v="0"/>
    <n v="0"/>
    <n v="0"/>
    <n v="0"/>
    <n v="0"/>
    <n v="0"/>
    <n v="64.05"/>
    <n v="0"/>
    <n v="2901"/>
    <n v="0"/>
    <n v="0"/>
    <n v="2965.05"/>
    <n v="0"/>
  </r>
  <r>
    <x v="7"/>
    <x v="7"/>
    <x v="0"/>
    <s v="4815150"/>
    <n v="718070"/>
    <s v="Contract Srvcs-CHI Clinical Engineering"/>
    <s v="MRI"/>
    <x v="0"/>
    <m/>
    <n v="10760.03"/>
    <n v="13343.63"/>
    <n v="10760.03"/>
    <n v="10760.03"/>
    <n v="10760.03"/>
    <n v="9898.83"/>
    <n v="11621.23"/>
    <n v="10760.03"/>
    <n v="10760.03"/>
    <n v="10760.03"/>
    <n v="10760.03"/>
    <n v="10760.03"/>
    <n v="131703.96"/>
    <n v="0"/>
  </r>
  <r>
    <x v="11"/>
    <x v="7"/>
    <x v="0"/>
    <s v="4815150"/>
    <n v="721050"/>
    <s v="Supplies-Cardiac Rhythm - Billable"/>
    <s v="MRI"/>
    <x v="0"/>
    <m/>
    <n v="0"/>
    <n v="591"/>
    <n v="0"/>
    <n v="0"/>
    <n v="0"/>
    <n v="0"/>
    <n v="0"/>
    <n v="0"/>
    <n v="0"/>
    <n v="591"/>
    <n v="0"/>
    <n v="0"/>
    <n v="1182"/>
    <n v="0"/>
  </r>
  <r>
    <x v="11"/>
    <x v="7"/>
    <x v="0"/>
    <s v="4815150"/>
    <n v="721250"/>
    <s v="Supplies-Pharmacy Drugs - Billable"/>
    <s v="MRI"/>
    <x v="0"/>
    <m/>
    <n v="1430.36"/>
    <n v="954.15"/>
    <n v="954.15"/>
    <n v="1282.8399999999999"/>
    <n v="1281.49"/>
    <n v="0"/>
    <n v="1398"/>
    <n v="0"/>
    <n v="1011.32"/>
    <n v="777.95"/>
    <n v="1361.39"/>
    <n v="2100.41"/>
    <n v="12552.06"/>
    <n v="-739.01999999999975"/>
  </r>
  <r>
    <x v="11"/>
    <x v="7"/>
    <x v="0"/>
    <s v="4815150"/>
    <n v="721410"/>
    <s v="Supplies-Medical - Nonbillable"/>
    <s v="MRI"/>
    <x v="0"/>
    <m/>
    <n v="135.88"/>
    <n v="0"/>
    <n v="0"/>
    <n v="0"/>
    <n v="0"/>
    <n v="0"/>
    <n v="0"/>
    <n v="0"/>
    <n v="0"/>
    <n v="-2127.21"/>
    <n v="0"/>
    <n v="0"/>
    <n v="-1991.33"/>
    <n v="0"/>
  </r>
  <r>
    <x v="11"/>
    <x v="7"/>
    <x v="0"/>
    <s v="4815150"/>
    <n v="721640"/>
    <s v="Supplies-IV Solutions/Supplies - Nonbillable"/>
    <s v="MRI"/>
    <x v="0"/>
    <m/>
    <n v="0"/>
    <n v="99.75"/>
    <n v="0"/>
    <n v="0"/>
    <n v="0"/>
    <n v="0"/>
    <n v="0"/>
    <n v="0"/>
    <n v="0"/>
    <n v="0"/>
    <n v="0"/>
    <n v="0"/>
    <n v="99.75"/>
    <n v="0"/>
  </r>
  <r>
    <x v="11"/>
    <x v="7"/>
    <x v="0"/>
    <s v="4815150"/>
    <n v="721710"/>
    <s v="Supplies-Laboratory - Nonbillable"/>
    <s v="MRI"/>
    <x v="0"/>
    <m/>
    <n v="0"/>
    <n v="0"/>
    <n v="0"/>
    <n v="-23.84"/>
    <n v="0"/>
    <n v="0"/>
    <n v="0"/>
    <n v="0"/>
    <n v="0"/>
    <n v="29.6"/>
    <n v="0"/>
    <n v="0"/>
    <n v="5.7600000000000016"/>
    <n v="0"/>
  </r>
  <r>
    <x v="11"/>
    <x v="7"/>
    <x v="0"/>
    <s v="4815150"/>
    <n v="721810"/>
    <s v="Supplies-Dietary/Cafeteria"/>
    <s v="MRI"/>
    <x v="0"/>
    <m/>
    <n v="0"/>
    <n v="0"/>
    <n v="0"/>
    <n v="0"/>
    <n v="0"/>
    <n v="6.52"/>
    <n v="0"/>
    <n v="0"/>
    <n v="0"/>
    <n v="0"/>
    <n v="0"/>
    <n v="0"/>
    <n v="6.52"/>
    <n v="0"/>
  </r>
  <r>
    <x v="11"/>
    <x v="7"/>
    <x v="0"/>
    <s v="4815150"/>
    <n v="721835"/>
    <s v="Supplies-Forms"/>
    <s v="MRI"/>
    <x v="0"/>
    <m/>
    <n v="0"/>
    <n v="0"/>
    <n v="0"/>
    <n v="0"/>
    <n v="29.3"/>
    <n v="0"/>
    <n v="0"/>
    <n v="0"/>
    <n v="46.6"/>
    <n v="0"/>
    <n v="0"/>
    <n v="0"/>
    <n v="75.900000000000006"/>
    <n v="0"/>
  </r>
  <r>
    <x v="11"/>
    <x v="7"/>
    <x v="0"/>
    <s v="4815150"/>
    <n v="721870"/>
    <s v="Supplies-Environmental Services"/>
    <s v="MRI"/>
    <x v="0"/>
    <m/>
    <n v="0"/>
    <n v="0"/>
    <n v="0"/>
    <n v="0"/>
    <n v="0"/>
    <n v="0"/>
    <n v="0"/>
    <n v="0"/>
    <n v="1159.47"/>
    <n v="-92.8"/>
    <n v="0"/>
    <n v="0"/>
    <n v="1066.67"/>
    <n v="0"/>
  </r>
  <r>
    <x v="11"/>
    <x v="7"/>
    <x v="0"/>
    <s v="4815150"/>
    <n v="721910"/>
    <s v="Supplies-Small Equipment"/>
    <s v="MRI"/>
    <x v="0"/>
    <m/>
    <n v="1451.97"/>
    <n v="0"/>
    <n v="0"/>
    <n v="0"/>
    <n v="0"/>
    <n v="0"/>
    <n v="0"/>
    <n v="0"/>
    <n v="0"/>
    <n v="0"/>
    <n v="0"/>
    <n v="0"/>
    <n v="1451.97"/>
    <n v="0"/>
  </r>
  <r>
    <x v="11"/>
    <x v="7"/>
    <x v="0"/>
    <s v="4815150"/>
    <n v="722000"/>
    <s v="Supplies-Freight Expense"/>
    <s v="MRI"/>
    <x v="0"/>
    <m/>
    <n v="0"/>
    <n v="11.41"/>
    <n v="0"/>
    <n v="0"/>
    <n v="0"/>
    <n v="0"/>
    <n v="0"/>
    <n v="0"/>
    <n v="28.48"/>
    <n v="0"/>
    <n v="0"/>
    <n v="0"/>
    <n v="39.89"/>
    <n v="0"/>
  </r>
  <r>
    <x v="13"/>
    <x v="7"/>
    <x v="0"/>
    <s v="4815150"/>
    <n v="735060"/>
    <s v="Depreciation-Fixed Equipment"/>
    <s v="MRI"/>
    <x v="0"/>
    <m/>
    <n v="72.25"/>
    <n v="72.25"/>
    <n v="72.25"/>
    <n v="72.25"/>
    <n v="72.25"/>
    <n v="72.25"/>
    <n v="72.25"/>
    <n v="72.239999999999995"/>
    <n v="72.25"/>
    <n v="72.239999999999995"/>
    <n v="72.25"/>
    <n v="72.239999999999995"/>
    <n v="866.97"/>
    <n v="1.0000000000005116E-2"/>
  </r>
  <r>
    <x v="13"/>
    <x v="7"/>
    <x v="0"/>
    <s v="4815150"/>
    <n v="735070"/>
    <s v="Depreciation-Movable Equipment"/>
    <s v="MRI"/>
    <x v="0"/>
    <m/>
    <n v="22769.51"/>
    <n v="22769.5"/>
    <n v="22769.49"/>
    <n v="22769.46"/>
    <n v="22769.48"/>
    <n v="22769.46"/>
    <n v="22769.48"/>
    <n v="908.26"/>
    <n v="908.37"/>
    <n v="908.25"/>
    <n v="908.37"/>
    <n v="908.25"/>
    <n v="163927.88"/>
    <n v="0.12000000000000455"/>
  </r>
  <r>
    <x v="18"/>
    <x v="10"/>
    <x v="0"/>
    <s v="4815306"/>
    <n v="400010"/>
    <s v="Acute I/P Svcs Rev--Medicare"/>
    <s v="MRI"/>
    <x v="0"/>
    <n v="1100"/>
    <n v="0"/>
    <n v="0"/>
    <n v="0"/>
    <n v="0"/>
    <n v="0"/>
    <n v="0"/>
    <n v="0"/>
    <n v="0"/>
    <n v="0"/>
    <n v="-3937.53"/>
    <n v="0"/>
    <n v="0"/>
    <n v="-3937.53"/>
    <n v="0"/>
  </r>
  <r>
    <x v="18"/>
    <x v="10"/>
    <x v="0"/>
    <s v="4815306"/>
    <n v="400010"/>
    <s v="Acute I/P Svcs Rev--Medicaid"/>
    <s v="MRI"/>
    <x v="0"/>
    <n v="1200"/>
    <n v="0"/>
    <n v="0"/>
    <n v="0"/>
    <n v="0"/>
    <n v="0"/>
    <n v="0"/>
    <n v="-28903.71"/>
    <n v="0"/>
    <n v="0"/>
    <n v="0"/>
    <n v="0"/>
    <n v="0"/>
    <n v="-28903.71"/>
    <n v="0"/>
  </r>
  <r>
    <x v="18"/>
    <x v="10"/>
    <x v="0"/>
    <s v="4815306"/>
    <n v="400010"/>
    <s v="Acute I/P Svcs Rev--Managed Care"/>
    <s v="MRI"/>
    <x v="0"/>
    <n v="1400"/>
    <n v="0"/>
    <n v="0"/>
    <n v="0"/>
    <n v="0"/>
    <n v="0"/>
    <n v="0"/>
    <n v="0"/>
    <n v="0"/>
    <n v="-3958.29"/>
    <n v="0"/>
    <n v="0"/>
    <n v="0"/>
    <n v="-3958.29"/>
    <n v="0"/>
  </r>
  <r>
    <x v="7"/>
    <x v="10"/>
    <x v="0"/>
    <s v="4815306"/>
    <n v="718050"/>
    <s v="Miscellaneous Purchased Svcs"/>
    <s v="MRI"/>
    <x v="0"/>
    <n v="1020"/>
    <n v="0"/>
    <n v="0"/>
    <n v="0"/>
    <n v="0"/>
    <n v="0"/>
    <n v="0"/>
    <n v="2511.73"/>
    <n v="0"/>
    <n v="382.76"/>
    <n v="380.75"/>
    <n v="0"/>
    <n v="0"/>
    <n v="3275.24"/>
    <n v="0"/>
  </r>
  <r>
    <x v="18"/>
    <x v="6"/>
    <x v="0"/>
    <s v="4816107"/>
    <n v="400010"/>
    <s v="Acute I/P Svcs Rev--Medicare"/>
    <s v="MRI-Silverdale"/>
    <x v="0"/>
    <n v="1100"/>
    <n v="-14999.19"/>
    <n v="-17333.82"/>
    <n v="-46382.43"/>
    <n v="-3843"/>
    <n v="-18469.080000000002"/>
    <n v="-3822.84"/>
    <n v="-8574.2999999999993"/>
    <n v="-15438.63"/>
    <n v="0"/>
    <n v="-25449.86"/>
    <n v="0"/>
    <n v="0"/>
    <n v="-154313.15000000002"/>
    <n v="0"/>
  </r>
  <r>
    <x v="18"/>
    <x v="6"/>
    <x v="0"/>
    <s v="4816107"/>
    <n v="400010"/>
    <s v="Acute I/P Svcs Rev--Medicaid"/>
    <s v="MRI-Silverdale"/>
    <x v="0"/>
    <n v="1200"/>
    <n v="0"/>
    <n v="-3708.75"/>
    <n v="-23024.55"/>
    <n v="-22322.31"/>
    <n v="-4751.46"/>
    <n v="-3238.2"/>
    <n v="-604.79999999999995"/>
    <n v="-11843.94"/>
    <n v="-10634.39"/>
    <n v="-37883.1"/>
    <n v="-9134.5400000000009"/>
    <n v="0"/>
    <n v="-127146.04000000001"/>
    <n v="-9134.5400000000009"/>
  </r>
  <r>
    <x v="18"/>
    <x v="6"/>
    <x v="0"/>
    <s v="4816107"/>
    <n v="400010"/>
    <s v="Acute I/P Svcs Rev--Comm Insurance"/>
    <s v="MRI-Silverdale"/>
    <x v="0"/>
    <n v="1300"/>
    <n v="0"/>
    <n v="0"/>
    <n v="-22322.31"/>
    <n v="22322.31"/>
    <n v="0"/>
    <n v="0"/>
    <n v="0"/>
    <n v="0"/>
    <n v="0"/>
    <n v="0"/>
    <n v="0"/>
    <n v="0"/>
    <n v="0"/>
    <n v="0"/>
  </r>
  <r>
    <x v="18"/>
    <x v="6"/>
    <x v="0"/>
    <s v="4816107"/>
    <n v="400010"/>
    <s v="Acute I/P Svcs Rev--BCBS Comm"/>
    <s v="MRI-Silverdale"/>
    <x v="0"/>
    <n v="1301"/>
    <n v="0"/>
    <n v="0"/>
    <n v="-3238.2"/>
    <n v="0"/>
    <n v="0"/>
    <n v="0"/>
    <n v="0"/>
    <n v="0"/>
    <n v="0"/>
    <n v="0"/>
    <n v="0"/>
    <n v="0"/>
    <n v="-3238.2"/>
    <n v="0"/>
  </r>
  <r>
    <x v="18"/>
    <x v="6"/>
    <x v="0"/>
    <s v="4816107"/>
    <n v="400010"/>
    <s v="Acute I/P Svcs Rev--Managed Care"/>
    <s v="MRI-Silverdale"/>
    <x v="0"/>
    <n v="1400"/>
    <n v="0"/>
    <n v="0"/>
    <n v="-6934.35"/>
    <n v="-22439.91"/>
    <n v="0"/>
    <n v="0"/>
    <n v="0"/>
    <n v="-15012.27"/>
    <n v="-25486.41"/>
    <n v="-9788"/>
    <n v="-12164.9"/>
    <n v="0"/>
    <n v="-91825.84"/>
    <n v="-12164.9"/>
  </r>
  <r>
    <x v="18"/>
    <x v="6"/>
    <x v="0"/>
    <s v="4816107"/>
    <n v="400010"/>
    <s v="Acute I/P Svcs Rev--Self Pay"/>
    <s v="MRI-Silverdale"/>
    <x v="0"/>
    <n v="1500"/>
    <n v="0"/>
    <n v="-7676.07"/>
    <n v="0"/>
    <n v="0"/>
    <n v="0"/>
    <n v="0"/>
    <n v="0"/>
    <n v="0"/>
    <n v="0"/>
    <n v="-22992.03"/>
    <n v="22992.03"/>
    <n v="0"/>
    <n v="-7676.07"/>
    <n v="22992.03"/>
  </r>
  <r>
    <x v="18"/>
    <x v="6"/>
    <x v="0"/>
    <s v="4816107"/>
    <n v="400010"/>
    <s v="Acute I/P Svcs Rev--Other"/>
    <s v="MRI-Silverdale"/>
    <x v="0"/>
    <n v="1700"/>
    <n v="-32530.36"/>
    <n v="0"/>
    <n v="0"/>
    <n v="0"/>
    <n v="-14881.54"/>
    <n v="0"/>
    <n v="-3238.2"/>
    <n v="-3335.35"/>
    <n v="-4894"/>
    <n v="0"/>
    <n v="0"/>
    <n v="0"/>
    <n v="-58879.45"/>
    <n v="0"/>
  </r>
  <r>
    <x v="19"/>
    <x v="6"/>
    <x v="0"/>
    <s v="4816107"/>
    <n v="400020"/>
    <s v="O/P Care Svcs Rev--Medicare"/>
    <s v="MRI-Silverdale"/>
    <x v="0"/>
    <n v="1100"/>
    <n v="-193310.71"/>
    <n v="-196672.01"/>
    <n v="-149090.94"/>
    <n v="-259562.14"/>
    <n v="-197376.98"/>
    <n v="-255505.7"/>
    <n v="-242956.89"/>
    <n v="-182178.06"/>
    <n v="-242725.94"/>
    <n v="-259795.98"/>
    <n v="-301749.73"/>
    <n v="-289936.23"/>
    <n v="-2770861.31"/>
    <n v="-11813.5"/>
  </r>
  <r>
    <x v="19"/>
    <x v="6"/>
    <x v="0"/>
    <s v="4816107"/>
    <n v="400020"/>
    <s v="O/P Care Svcs Rev--Medicaid"/>
    <s v="MRI-Silverdale"/>
    <x v="0"/>
    <n v="1200"/>
    <n v="-47328.08"/>
    <n v="-115345.72"/>
    <n v="-56249.94"/>
    <n v="-62486.98"/>
    <n v="-97189.93"/>
    <n v="-29255.360000000001"/>
    <n v="-102433.49"/>
    <n v="-97447.24"/>
    <n v="-95092.45"/>
    <n v="-86656.55"/>
    <n v="-148771.78"/>
    <n v="-90259.76"/>
    <n v="-1028517.28"/>
    <n v="-58512.020000000004"/>
  </r>
  <r>
    <x v="19"/>
    <x v="6"/>
    <x v="0"/>
    <s v="4816107"/>
    <n v="400020"/>
    <s v="O/P Care Svcs Rev--Comm Insurance"/>
    <s v="MRI-Silverdale"/>
    <x v="0"/>
    <n v="1300"/>
    <n v="-21271.43"/>
    <n v="-8584.9699999999993"/>
    <n v="-15602.99"/>
    <n v="-56671.43"/>
    <n v="-24811.96"/>
    <n v="-18712.57"/>
    <n v="-23659.17"/>
    <n v="-12563.19"/>
    <n v="-40620.07"/>
    <n v="-60266.720000000001"/>
    <n v="-13789.38"/>
    <n v="-10549.88"/>
    <n v="-307103.76"/>
    <n v="-3239.5"/>
  </r>
  <r>
    <x v="19"/>
    <x v="6"/>
    <x v="0"/>
    <s v="4816107"/>
    <n v="400020"/>
    <s v="O/P Care Svcs Rev--BCBS Comm"/>
    <s v="MRI-Silverdale"/>
    <x v="0"/>
    <n v="1301"/>
    <n v="-85098.38"/>
    <n v="-73032.14"/>
    <n v="-56982.63"/>
    <n v="-82435.47"/>
    <n v="-76413.64"/>
    <n v="-67551.08"/>
    <n v="-87021.77"/>
    <n v="-93571.82"/>
    <n v="-106539.09"/>
    <n v="-99706.26"/>
    <n v="-67149.02"/>
    <n v="-94056.05"/>
    <n v="-989557.35"/>
    <n v="26907.03"/>
  </r>
  <r>
    <x v="19"/>
    <x v="6"/>
    <x v="0"/>
    <s v="4816107"/>
    <n v="400020"/>
    <s v="O/P Care Svcs Rev--Managed Care"/>
    <s v="MRI-Silverdale"/>
    <x v="0"/>
    <n v="1400"/>
    <n v="-100054.6"/>
    <n v="-109802.26"/>
    <n v="-127420.22"/>
    <n v="-81513.429999999993"/>
    <n v="-109630.73"/>
    <n v="-88222.59"/>
    <n v="-122955.13"/>
    <n v="-62879.67"/>
    <n v="-98726.47"/>
    <n v="-149375.54"/>
    <n v="-172089.07"/>
    <n v="-124012.05"/>
    <n v="-1346681.76"/>
    <n v="-48077.020000000004"/>
  </r>
  <r>
    <x v="19"/>
    <x v="6"/>
    <x v="0"/>
    <s v="4816107"/>
    <n v="400020"/>
    <s v="O/P Care Svcs Rev--Self Pay"/>
    <s v="MRI-Silverdale"/>
    <x v="0"/>
    <n v="1500"/>
    <n v="-30519.9"/>
    <n v="-22027.39"/>
    <n v="-1258.5899999999999"/>
    <n v="-8231.74"/>
    <n v="-2434.27"/>
    <n v="-19562.84"/>
    <n v="-41303.89"/>
    <n v="-6153.52"/>
    <n v="-3136.49"/>
    <n v="-1451.06"/>
    <n v="-2649"/>
    <n v="1421.65"/>
    <n v="-137307.03999999998"/>
    <n v="-4070.65"/>
  </r>
  <r>
    <x v="19"/>
    <x v="6"/>
    <x v="0"/>
    <s v="4816107"/>
    <n v="400020"/>
    <s v="O/P Care Svcs Rev--Other"/>
    <s v="MRI-Silverdale"/>
    <x v="0"/>
    <n v="1700"/>
    <n v="-97984.75"/>
    <n v="-59260.03"/>
    <n v="-30783.84"/>
    <n v="-67505.289999999994"/>
    <n v="-50888.44"/>
    <n v="-97876.4"/>
    <n v="-160656.97"/>
    <n v="-122339.78"/>
    <n v="-189718.1"/>
    <n v="-132024.32000000001"/>
    <n v="-95396.82"/>
    <n v="-104250.8"/>
    <n v="-1208685.54"/>
    <n v="8853.9799999999959"/>
  </r>
  <r>
    <x v="5"/>
    <x v="6"/>
    <x v="0"/>
    <s v="4816107"/>
    <n v="700034"/>
    <s v="Salaries-Tech/Professional-Productive"/>
    <s v="MRI-Silverdale"/>
    <x v="0"/>
    <m/>
    <n v="8315.48"/>
    <n v="8339.24"/>
    <n v="7196.38"/>
    <n v="12140.95"/>
    <n v="13908.12"/>
    <n v="10566.41"/>
    <n v="12660.46"/>
    <n v="10106.629999999999"/>
    <n v="13989.63"/>
    <n v="13400.81"/>
    <n v="11662.19"/>
    <n v="13794.39"/>
    <n v="136080.69"/>
    <n v="-2132.1999999999989"/>
  </r>
  <r>
    <x v="5"/>
    <x v="6"/>
    <x v="0"/>
    <s v="4816107"/>
    <n v="700034"/>
    <s v="Salaries-Tech/Professional-OT"/>
    <s v="MRI-Silverdale"/>
    <x v="0"/>
    <n v="1000"/>
    <n v="786.76"/>
    <n v="733.96"/>
    <n v="600.87"/>
    <n v="1714.65"/>
    <n v="624.9"/>
    <n v="290.37"/>
    <n v="458.57"/>
    <n v="749.77"/>
    <n v="722.03"/>
    <n v="928.55"/>
    <n v="572.80999999999995"/>
    <n v="1177.1099999999999"/>
    <n v="9360.35"/>
    <n v="-604.29999999999995"/>
  </r>
  <r>
    <x v="5"/>
    <x v="6"/>
    <x v="0"/>
    <s v="4816107"/>
    <n v="700034"/>
    <s v="Salaries-Tech/Professional-Other"/>
    <s v="MRI-Silverdale"/>
    <x v="0"/>
    <n v="2000"/>
    <n v="0"/>
    <n v="0"/>
    <n v="0"/>
    <n v="30"/>
    <n v="59.26"/>
    <n v="235.91"/>
    <n v="187.18"/>
    <n v="199.26"/>
    <n v="219"/>
    <n v="200.81"/>
    <n v="189.22"/>
    <n v="200.71"/>
    <n v="1521.35"/>
    <n v="-11.490000000000009"/>
  </r>
  <r>
    <x v="5"/>
    <x v="6"/>
    <x v="0"/>
    <s v="4816107"/>
    <n v="700074"/>
    <s v="Salaries-Tech/Professional-Non-productive"/>
    <s v="MRI-Silverdale"/>
    <x v="0"/>
    <m/>
    <n v="362"/>
    <n v="630.24"/>
    <n v="2740.89"/>
    <n v="1810"/>
    <n v="362"/>
    <n v="2016.77"/>
    <n v="726.36"/>
    <n v="2794.75"/>
    <n v="555.52"/>
    <n v="2373.41"/>
    <n v="468.56"/>
    <n v="5400.05"/>
    <n v="20240.55"/>
    <n v="-4931.49"/>
  </r>
  <r>
    <x v="5"/>
    <x v="6"/>
    <x v="0"/>
    <s v="4816107"/>
    <n v="700074"/>
    <s v="Salaries-Tech/Professional-NonProd-Other"/>
    <s v="MRI-Silverdale"/>
    <x v="0"/>
    <n v="2000"/>
    <n v="100.89"/>
    <n v="13.05"/>
    <n v="0"/>
    <n v="20.190000000000001"/>
    <n v="-8.8800000000000008"/>
    <n v="32.590000000000003"/>
    <n v="51.83"/>
    <n v="82.5"/>
    <n v="3.64"/>
    <n v="106.08"/>
    <n v="9.0299999999999994"/>
    <n v="127.63"/>
    <n v="538.54999999999995"/>
    <n v="-118.6"/>
  </r>
  <r>
    <x v="5"/>
    <x v="6"/>
    <x v="0"/>
    <s v="4816107"/>
    <n v="700084"/>
    <s v="Accrued PTO"/>
    <s v="MRI-Silverdale"/>
    <x v="0"/>
    <m/>
    <n v="464.26"/>
    <n v="356.57"/>
    <n v="-2062.04"/>
    <n v="-835.82"/>
    <n v="900.9"/>
    <n v="-2.66"/>
    <n v="515.59"/>
    <n v="-1018.01"/>
    <n v="1217.47"/>
    <n v="-908.94"/>
    <n v="492.98"/>
    <n v="-2883.19"/>
    <n v="-3762.8900000000003"/>
    <n v="3376.17"/>
  </r>
  <r>
    <x v="6"/>
    <x v="6"/>
    <x v="0"/>
    <s v="4816107"/>
    <n v="713010"/>
    <s v="Benefits-FICA/Medicare"/>
    <s v="MRI-Silverdale"/>
    <x v="0"/>
    <m/>
    <n v="731.72"/>
    <n v="743.29"/>
    <n v="806.17"/>
    <n v="1202.23"/>
    <n v="1143.31"/>
    <n v="1005.38"/>
    <n v="1075.8"/>
    <n v="1062.9000000000001"/>
    <n v="1183.5999999999999"/>
    <n v="1299.31"/>
    <n v="985.57"/>
    <n v="1492.3"/>
    <n v="12731.579999999998"/>
    <n v="-506.7299999999999"/>
  </r>
  <r>
    <x v="6"/>
    <x v="6"/>
    <x v="0"/>
    <s v="4816107"/>
    <n v="713090"/>
    <s v="Benefits-Allocated Amounts"/>
    <s v="MRI-Silverdale"/>
    <x v="0"/>
    <m/>
    <n v="1464.7"/>
    <n v="1308.47"/>
    <n v="1506.19"/>
    <n v="2303.58"/>
    <n v="2703.41"/>
    <n v="2030"/>
    <n v="2251.41"/>
    <n v="2211.1"/>
    <n v="2045.92"/>
    <n v="2701.08"/>
    <n v="2002.24"/>
    <n v="3487.43"/>
    <n v="26015.530000000002"/>
    <n v="-1485.1899999999998"/>
  </r>
  <r>
    <x v="7"/>
    <x v="6"/>
    <x v="0"/>
    <s v="4816107"/>
    <n v="718050"/>
    <s v="Contract Svcs-Other"/>
    <s v="MRI-Silverdale"/>
    <x v="0"/>
    <m/>
    <n v="264.75"/>
    <n v="2744.08"/>
    <n v="0"/>
    <n v="131.94"/>
    <n v="10.99"/>
    <n v="221.06"/>
    <n v="5190.46"/>
    <n v="84.11"/>
    <n v="0"/>
    <n v="278.92"/>
    <n v="1018.1"/>
    <n v="-25.88"/>
    <n v="9918.5300000000007"/>
    <n v="1043.98"/>
  </r>
  <r>
    <x v="7"/>
    <x v="6"/>
    <x v="0"/>
    <s v="4816107"/>
    <n v="718050"/>
    <s v="Contract Management--Linen"/>
    <s v="MRI-Silverdale"/>
    <x v="0"/>
    <n v="1026"/>
    <n v="401.31"/>
    <n v="1526.91"/>
    <n v="1108.01"/>
    <n v="341.29"/>
    <n v="932.05"/>
    <n v="1246.03"/>
    <n v="339.53"/>
    <n v="1665.89"/>
    <n v="118.54"/>
    <n v="162.61000000000001"/>
    <n v="1691.74"/>
    <n v="490.94"/>
    <n v="10024.85"/>
    <n v="1200.8"/>
  </r>
  <r>
    <x v="11"/>
    <x v="6"/>
    <x v="0"/>
    <s v="4816107"/>
    <n v="721240"/>
    <s v="Supplies-IV Solutions/Supplies - Billable"/>
    <s v="MRI-Silverdale"/>
    <x v="0"/>
    <m/>
    <n v="65.3"/>
    <n v="0"/>
    <n v="0"/>
    <n v="178"/>
    <n v="0"/>
    <n v="0"/>
    <n v="0"/>
    <n v="0"/>
    <n v="0"/>
    <n v="0"/>
    <n v="0"/>
    <n v="0"/>
    <n v="243.3"/>
    <n v="0"/>
  </r>
  <r>
    <x v="11"/>
    <x v="6"/>
    <x v="0"/>
    <s v="4816107"/>
    <n v="721250"/>
    <s v="Supplies-Pharmacy Drugs - Billable"/>
    <s v="MRI-Silverdale"/>
    <x v="0"/>
    <m/>
    <n v="4933.95"/>
    <n v="3959.7"/>
    <n v="3721.14"/>
    <n v="2607.6799999999998"/>
    <n v="2044.19"/>
    <n v="2252.33"/>
    <n v="2598.27"/>
    <n v="2917.29"/>
    <n v="2816.43"/>
    <n v="2567.2199999999998"/>
    <n v="3585.39"/>
    <n v="3019.62"/>
    <n v="37023.210000000006"/>
    <n v="565.77"/>
  </r>
  <r>
    <x v="11"/>
    <x v="6"/>
    <x v="0"/>
    <s v="4816107"/>
    <n v="721410"/>
    <s v="Supplies-Medical - Nonbillable"/>
    <s v="MRI-Silverdale"/>
    <x v="0"/>
    <m/>
    <n v="2093.83"/>
    <n v="30.42"/>
    <n v="1019.02"/>
    <n v="1407.19"/>
    <n v="1498"/>
    <n v="1074.4100000000001"/>
    <n v="72.180000000000007"/>
    <n v="37.950000000000003"/>
    <n v="87.9"/>
    <n v="1047.9100000000001"/>
    <n v="1048.4000000000001"/>
    <n v="0"/>
    <n v="9417.2099999999991"/>
    <n v="1048.4000000000001"/>
  </r>
  <r>
    <x v="11"/>
    <x v="6"/>
    <x v="0"/>
    <s v="4816107"/>
    <n v="721640"/>
    <s v="Supplies-IV Solutions/Supplies - Nonbillable"/>
    <s v="MRI-Silverdale"/>
    <x v="0"/>
    <m/>
    <n v="25.7"/>
    <n v="0"/>
    <n v="0"/>
    <n v="0"/>
    <n v="0"/>
    <n v="0"/>
    <n v="0"/>
    <n v="0"/>
    <n v="0"/>
    <n v="0"/>
    <n v="0"/>
    <n v="0"/>
    <n v="25.7"/>
    <n v="0"/>
  </r>
  <r>
    <x v="11"/>
    <x v="6"/>
    <x v="0"/>
    <s v="4816107"/>
    <n v="721750"/>
    <s v="Supplies-Film/Radiographic - Nonbillable"/>
    <s v="MRI-Silverdale"/>
    <x v="0"/>
    <m/>
    <n v="0"/>
    <n v="0"/>
    <n v="0"/>
    <n v="0"/>
    <n v="0"/>
    <n v="201.65"/>
    <n v="-16.649999999999999"/>
    <n v="0"/>
    <n v="201.65"/>
    <n v="0"/>
    <n v="-16.649999999999999"/>
    <n v="0"/>
    <n v="370"/>
    <n v="-16.649999999999999"/>
  </r>
  <r>
    <x v="11"/>
    <x v="6"/>
    <x v="0"/>
    <s v="4816107"/>
    <n v="721830"/>
    <s v="Supplies-Office"/>
    <s v="MRI-Silverdale"/>
    <x v="0"/>
    <m/>
    <n v="31.22"/>
    <n v="0"/>
    <n v="7.13"/>
    <n v="298.19"/>
    <n v="12.56"/>
    <n v="311.83"/>
    <n v="0"/>
    <n v="0"/>
    <n v="0"/>
    <n v="0"/>
    <n v="0"/>
    <n v="273.57"/>
    <n v="934.5"/>
    <n v="-273.57"/>
  </r>
  <r>
    <x v="11"/>
    <x v="6"/>
    <x v="0"/>
    <s v="4816107"/>
    <n v="721870"/>
    <s v="Supplies-Environmental Services"/>
    <s v="MRI-Silverdale"/>
    <x v="0"/>
    <m/>
    <n v="0"/>
    <n v="0"/>
    <n v="0"/>
    <n v="0"/>
    <n v="0"/>
    <n v="0"/>
    <n v="35.46"/>
    <n v="0"/>
    <n v="0"/>
    <n v="0"/>
    <n v="0"/>
    <n v="0"/>
    <n v="35.46"/>
    <n v="0"/>
  </r>
  <r>
    <x v="11"/>
    <x v="6"/>
    <x v="0"/>
    <s v="4816107"/>
    <n v="721980"/>
    <s v="Supplies-Other"/>
    <s v="MRI-Silverdale"/>
    <x v="0"/>
    <m/>
    <n v="0"/>
    <n v="280.16000000000003"/>
    <n v="97.6"/>
    <n v="123.29"/>
    <n v="237.28"/>
    <n v="0"/>
    <n v="470.66"/>
    <n v="484.34"/>
    <n v="0"/>
    <n v="309.92"/>
    <n v="155.44999999999999"/>
    <n v="98.12"/>
    <n v="2256.8199999999997"/>
    <n v="57.329999999999984"/>
  </r>
  <r>
    <x v="11"/>
    <x v="6"/>
    <x v="0"/>
    <s v="4816107"/>
    <n v="722000"/>
    <s v="Supplies-Freight Expense"/>
    <s v="MRI-Silverdale"/>
    <x v="0"/>
    <m/>
    <n v="0"/>
    <n v="0"/>
    <n v="0"/>
    <n v="55.76"/>
    <n v="0"/>
    <n v="0"/>
    <n v="14.68"/>
    <n v="0"/>
    <n v="0"/>
    <n v="10.78"/>
    <n v="0"/>
    <n v="0"/>
    <n v="81.22"/>
    <n v="0"/>
  </r>
  <r>
    <x v="15"/>
    <x v="6"/>
    <x v="0"/>
    <s v="4816107"/>
    <n v="731090"/>
    <s v="Other Utilities"/>
    <s v="MRI-Silverdale"/>
    <x v="0"/>
    <m/>
    <n v="145.72"/>
    <n v="10.99"/>
    <n v="10.99"/>
    <n v="140.19999999999999"/>
    <n v="0"/>
    <n v="21.98"/>
    <n v="10.99"/>
    <n v="91.28"/>
    <n v="0"/>
    <n v="0"/>
    <n v="0"/>
    <n v="0"/>
    <n v="432.15"/>
    <n v="0"/>
  </r>
  <r>
    <x v="16"/>
    <x v="6"/>
    <x v="0"/>
    <s v="4816107"/>
    <n v="732030"/>
    <s v="Repairs---Other"/>
    <s v="MRI-Silverdale"/>
    <x v="0"/>
    <m/>
    <n v="0"/>
    <n v="170.32"/>
    <n v="7343.88"/>
    <n v="0"/>
    <n v="0"/>
    <n v="0"/>
    <n v="0"/>
    <n v="198.92"/>
    <n v="0"/>
    <n v="0"/>
    <n v="0"/>
    <n v="0"/>
    <n v="7713.12"/>
    <n v="0"/>
  </r>
  <r>
    <x v="16"/>
    <x v="6"/>
    <x v="0"/>
    <s v="4816107"/>
    <n v="732030"/>
    <s v="Repairs&amp;Maintenance-Bldg Routine"/>
    <s v="MRI-Silverdale"/>
    <x v="0"/>
    <n v="2300"/>
    <n v="0"/>
    <n v="1339.65"/>
    <n v="968.93"/>
    <n v="598.33000000000004"/>
    <n v="706.79"/>
    <n v="0"/>
    <n v="1246.6600000000001"/>
    <n v="1305.1199999999999"/>
    <n v="0"/>
    <n v="1196.6600000000001"/>
    <n v="598.33000000000004"/>
    <n v="598.33000000000004"/>
    <n v="8558.7999999999993"/>
    <n v="0"/>
  </r>
  <r>
    <x v="16"/>
    <x v="6"/>
    <x v="0"/>
    <s v="4816107"/>
    <n v="733030"/>
    <s v="Maintenance Contracts-Software"/>
    <s v="MRI-Silverdale"/>
    <x v="0"/>
    <n v="1002"/>
    <n v="54.89"/>
    <n v="137.22999999999999"/>
    <n v="1509.83"/>
    <n v="109.78"/>
    <n v="54.89"/>
    <n v="54.89"/>
    <n v="167.49"/>
    <n v="109.78"/>
    <n v="54.89"/>
    <n v="0"/>
    <n v="194.46"/>
    <n v="104.25"/>
    <n v="2552.38"/>
    <n v="90.210000000000008"/>
  </r>
  <r>
    <x v="0"/>
    <x v="6"/>
    <x v="0"/>
    <s v="4816107"/>
    <n v="749510"/>
    <s v="Miscellaneous Expenses"/>
    <s v="MRI-Silverdale"/>
    <x v="0"/>
    <m/>
    <n v="33.619999999999997"/>
    <n v="3.82"/>
    <n v="-3.82"/>
    <n v="0"/>
    <n v="0"/>
    <n v="0"/>
    <n v="0"/>
    <n v="0"/>
    <n v="0"/>
    <n v="0"/>
    <n v="0"/>
    <n v="30.02"/>
    <n v="63.64"/>
    <n v="-30.02"/>
  </r>
  <r>
    <x v="0"/>
    <x v="6"/>
    <x v="0"/>
    <s v="4816107"/>
    <n v="749530"/>
    <s v="Mileage"/>
    <s v="MRI-Silverdale"/>
    <x v="0"/>
    <n v="1001"/>
    <n v="0"/>
    <n v="3.82"/>
    <n v="3.82"/>
    <n v="3.82"/>
    <n v="0"/>
    <n v="0"/>
    <n v="7.64"/>
    <n v="0"/>
    <n v="0"/>
    <n v="0"/>
    <n v="12.18"/>
    <n v="0"/>
    <n v="31.279999999999998"/>
    <n v="12.18"/>
  </r>
  <r>
    <x v="18"/>
    <x v="5"/>
    <x v="0"/>
    <s v="4817106"/>
    <n v="400010"/>
    <s v="Acute I/P Svcs Rev--Medicare"/>
    <s v="MRI-3 Tree"/>
    <x v="0"/>
    <n v="1100"/>
    <n v="-470.55"/>
    <n v="0"/>
    <n v="0"/>
    <n v="-352.95"/>
    <n v="-705.85"/>
    <n v="-7134.23"/>
    <n v="-470.55"/>
    <n v="0"/>
    <n v="-363.6"/>
    <n v="-1333"/>
    <n v="-34496.089999999997"/>
    <n v="-484.7"/>
    <n v="-45811.51999999999"/>
    <n v="-34011.39"/>
  </r>
  <r>
    <x v="18"/>
    <x v="5"/>
    <x v="0"/>
    <s v="4817106"/>
    <n v="400010"/>
    <s v="Acute I/P Svcs Rev--Medicaid"/>
    <s v="MRI-3 Tree"/>
    <x v="0"/>
    <n v="1200"/>
    <n v="448.15"/>
    <n v="0"/>
    <n v="0"/>
    <n v="-941.1"/>
    <n v="0"/>
    <n v="-470.55"/>
    <n v="0"/>
    <n v="0"/>
    <n v="0"/>
    <n v="-727.2"/>
    <n v="0"/>
    <n v="0"/>
    <n v="-1690.7"/>
    <n v="0"/>
  </r>
  <r>
    <x v="18"/>
    <x v="5"/>
    <x v="0"/>
    <s v="4817106"/>
    <n v="400010"/>
    <s v="Acute I/P Svcs Rev--BCBS Comm"/>
    <s v="MRI-3 Tree"/>
    <x v="0"/>
    <n v="1301"/>
    <n v="0"/>
    <n v="0"/>
    <n v="0"/>
    <n v="-336.15"/>
    <n v="0"/>
    <n v="0"/>
    <n v="0"/>
    <n v="0"/>
    <n v="0"/>
    <n v="0"/>
    <n v="0"/>
    <n v="0"/>
    <n v="-336.15"/>
    <n v="0"/>
  </r>
  <r>
    <x v="18"/>
    <x v="5"/>
    <x v="0"/>
    <s v="4817106"/>
    <n v="400010"/>
    <s v="Acute I/P Svcs Rev--Managed Care"/>
    <s v="MRI-3 Tree"/>
    <x v="0"/>
    <n v="1400"/>
    <n v="-448.15"/>
    <n v="0"/>
    <n v="0"/>
    <n v="0"/>
    <n v="0"/>
    <n v="-470.55"/>
    <n v="-352.95"/>
    <n v="0"/>
    <n v="-484.7"/>
    <n v="0"/>
    <n v="0"/>
    <n v="0"/>
    <n v="-1756.3500000000001"/>
    <n v="0"/>
  </r>
  <r>
    <x v="18"/>
    <x v="5"/>
    <x v="0"/>
    <s v="4817106"/>
    <n v="400010"/>
    <s v="Acute I/P Svcs Rev--Self Pay"/>
    <s v="MRI-3 Tree"/>
    <x v="0"/>
    <n v="1500"/>
    <n v="0"/>
    <n v="0"/>
    <n v="0"/>
    <n v="336.15"/>
    <n v="0"/>
    <n v="0"/>
    <n v="0"/>
    <n v="0"/>
    <n v="0"/>
    <n v="0"/>
    <n v="-16016.37"/>
    <n v="-363.6"/>
    <n v="-16043.820000000002"/>
    <n v="-15652.77"/>
  </r>
  <r>
    <x v="19"/>
    <x v="5"/>
    <x v="0"/>
    <s v="4817106"/>
    <n v="400020"/>
    <s v="O/P Care Svcs Rev--Medicare"/>
    <s v="MRI-3 Tree"/>
    <x v="0"/>
    <n v="1100"/>
    <n v="-136353.60000000001"/>
    <n v="-224570.43"/>
    <n v="-155287.49"/>
    <n v="-218492.16"/>
    <n v="-219712.43"/>
    <n v="-174998.35"/>
    <n v="-173976.36"/>
    <n v="-144069.45000000001"/>
    <n v="-195138.16"/>
    <n v="-154552.99"/>
    <n v="-219204.73"/>
    <n v="-257742.17"/>
    <n v="-2274098.3200000003"/>
    <n v="38537.440000000002"/>
  </r>
  <r>
    <x v="19"/>
    <x v="5"/>
    <x v="0"/>
    <s v="4817106"/>
    <n v="400020"/>
    <s v="O/P Care Svcs Rev--Medicaid"/>
    <s v="MRI-3 Tree"/>
    <x v="0"/>
    <n v="1200"/>
    <n v="-30073.11"/>
    <n v="-52711.65"/>
    <n v="-68591.509999999995"/>
    <n v="-63264.67"/>
    <n v="-96909.54"/>
    <n v="-34948.76"/>
    <n v="-76365.119999999995"/>
    <n v="-38470.39"/>
    <n v="-76845.8"/>
    <n v="-69583.360000000001"/>
    <n v="-78512.3"/>
    <n v="-47760.51"/>
    <n v="-734036.72000000009"/>
    <n v="-30751.79"/>
  </r>
  <r>
    <x v="19"/>
    <x v="5"/>
    <x v="0"/>
    <s v="4817106"/>
    <n v="400020"/>
    <s v="O/P Care Svcs Rev--Comm Insurance"/>
    <s v="MRI-3 Tree"/>
    <x v="0"/>
    <n v="1300"/>
    <n v="-18691.45"/>
    <n v="-33228.559999999998"/>
    <n v="-7754.25"/>
    <n v="-17290.650000000001"/>
    <n v="7014"/>
    <n v="-23243.21"/>
    <n v="-13402.2"/>
    <n v="-7979.31"/>
    <n v="-13563.46"/>
    <n v="-28234.22"/>
    <n v="-3186.87"/>
    <n v="-22692.52"/>
    <n v="-182252.69999999998"/>
    <n v="19505.650000000001"/>
  </r>
  <r>
    <x v="19"/>
    <x v="5"/>
    <x v="0"/>
    <s v="4817106"/>
    <n v="400020"/>
    <s v="O/P Care Svcs Rev--BCBS Comm"/>
    <s v="MRI-3 Tree"/>
    <x v="0"/>
    <n v="1301"/>
    <n v="-70970.37"/>
    <n v="-26796.97"/>
    <n v="-66689.05"/>
    <n v="-64161.75"/>
    <n v="-49931.21"/>
    <n v="-69220.800000000003"/>
    <n v="-70683.740000000005"/>
    <n v="-44553.81"/>
    <n v="-71325.919999999998"/>
    <n v="-48792.81"/>
    <n v="-100843.22"/>
    <n v="-47020.959999999999"/>
    <n v="-730990.60999999987"/>
    <n v="-53822.26"/>
  </r>
  <r>
    <x v="19"/>
    <x v="5"/>
    <x v="0"/>
    <s v="4817106"/>
    <n v="400020"/>
    <s v="O/P Care Svcs Rev--Managed Care"/>
    <s v="MRI-3 Tree"/>
    <x v="0"/>
    <n v="1400"/>
    <n v="-139561.41"/>
    <n v="-122201.95"/>
    <n v="-94170.6"/>
    <n v="-164655.29"/>
    <n v="-130469.96"/>
    <n v="-182598.61"/>
    <n v="-182441.4"/>
    <n v="-89943.039999999994"/>
    <n v="-146490.03"/>
    <n v="-140933.85"/>
    <n v="-168651.96"/>
    <n v="-132636.57"/>
    <n v="-1694754.6700000002"/>
    <n v="-36015.389999999985"/>
  </r>
  <r>
    <x v="19"/>
    <x v="5"/>
    <x v="0"/>
    <s v="4817106"/>
    <n v="400020"/>
    <s v="O/P Care Svcs Rev--Self Pay"/>
    <s v="MRI-3 Tree"/>
    <x v="0"/>
    <n v="1500"/>
    <n v="3771"/>
    <n v="-3202.5"/>
    <n v="-4716.6000000000004"/>
    <n v="3959.55"/>
    <n v="-15108.55"/>
    <n v="7472.8"/>
    <n v="-10949.4"/>
    <n v="0"/>
    <n v="3959.55"/>
    <n v="3202.5"/>
    <n v="-8015.87"/>
    <n v="0"/>
    <n v="-19627.519999999997"/>
    <n v="-8015.87"/>
  </r>
  <r>
    <x v="19"/>
    <x v="5"/>
    <x v="0"/>
    <s v="4817106"/>
    <n v="400020"/>
    <s v="O/P Care Svcs Rev--Other"/>
    <s v="MRI-3 Tree"/>
    <x v="0"/>
    <n v="1700"/>
    <n v="-54616.800000000003"/>
    <n v="-67342.8"/>
    <n v="-81593.509999999995"/>
    <n v="-65330.55"/>
    <n v="-47022.15"/>
    <n v="-64925.7"/>
    <n v="-50480.85"/>
    <n v="-76340.42"/>
    <n v="-89844.83"/>
    <n v="-82730.679999999993"/>
    <n v="-77069.95"/>
    <n v="-55214.96"/>
    <n v="-812513.2"/>
    <n v="-21854.989999999998"/>
  </r>
  <r>
    <x v="5"/>
    <x v="5"/>
    <x v="0"/>
    <s v="4817106"/>
    <n v="700034"/>
    <s v="Salaries-Tech/Professional-Productive"/>
    <s v="MRI-3 Tree"/>
    <x v="0"/>
    <m/>
    <n v="11046.21"/>
    <n v="8433.06"/>
    <n v="11359.96"/>
    <n v="19263.990000000002"/>
    <n v="13499.62"/>
    <n v="21534.92"/>
    <n v="19933.55"/>
    <n v="12396.13"/>
    <n v="19417.11"/>
    <n v="12680.29"/>
    <n v="27174.43"/>
    <n v="12227.83"/>
    <n v="188967.1"/>
    <n v="14946.6"/>
  </r>
  <r>
    <x v="5"/>
    <x v="5"/>
    <x v="0"/>
    <s v="4817106"/>
    <n v="700034"/>
    <s v="Salaries-Tech/Professional-OT"/>
    <s v="MRI-3 Tree"/>
    <x v="0"/>
    <n v="1000"/>
    <n v="637.44000000000005"/>
    <n v="1050.3"/>
    <n v="1253.48"/>
    <n v="-30.6"/>
    <n v="733.1"/>
    <n v="300.06"/>
    <n v="106.8"/>
    <n v="53.03"/>
    <n v="370.44"/>
    <n v="-53.03"/>
    <n v="2426.9499999999998"/>
    <n v="-711.42"/>
    <n v="6136.55"/>
    <n v="3138.37"/>
  </r>
  <r>
    <x v="5"/>
    <x v="5"/>
    <x v="0"/>
    <s v="4817106"/>
    <n v="700034"/>
    <s v="Salaries-Tech/Professional-Other"/>
    <s v="MRI-3 Tree"/>
    <x v="0"/>
    <n v="2000"/>
    <n v="167.73"/>
    <n v="183.21"/>
    <n v="191.12"/>
    <n v="271.56"/>
    <n v="287.83999999999997"/>
    <n v="334.54"/>
    <n v="294.87"/>
    <n v="192.22"/>
    <n v="273.14"/>
    <n v="222.55"/>
    <n v="492.95"/>
    <n v="106.87"/>
    <n v="3018.6"/>
    <n v="386.08"/>
  </r>
  <r>
    <x v="5"/>
    <x v="5"/>
    <x v="0"/>
    <s v="4817106"/>
    <n v="700074"/>
    <s v="Salaries-Tech/Professional-NonProd-Other"/>
    <s v="MRI-3 Tree"/>
    <x v="0"/>
    <n v="2000"/>
    <n v="1.21"/>
    <n v="8.36"/>
    <n v="-1.07"/>
    <n v="0"/>
    <n v="1.92"/>
    <n v="151.65"/>
    <n v="0"/>
    <n v="0"/>
    <n v="0"/>
    <n v="0"/>
    <n v="737.22"/>
    <n v="-354.93"/>
    <n v="544.3599999999999"/>
    <n v="1092.1500000000001"/>
  </r>
  <r>
    <x v="6"/>
    <x v="5"/>
    <x v="0"/>
    <s v="4817106"/>
    <n v="713010"/>
    <s v="Benefits-FICA/Medicare"/>
    <s v="MRI-3 Tree"/>
    <x v="0"/>
    <m/>
    <n v="894.47"/>
    <n v="726.6"/>
    <n v="962.05"/>
    <n v="1456.35"/>
    <n v="536.1"/>
    <n v="1264.1300000000001"/>
    <n v="1537.09"/>
    <n v="953.72"/>
    <n v="1512.56"/>
    <n v="964.51"/>
    <n v="2320.11"/>
    <n v="858.93"/>
    <n v="13986.62"/>
    <n v="1461.1800000000003"/>
  </r>
  <r>
    <x v="6"/>
    <x v="5"/>
    <x v="0"/>
    <s v="4817106"/>
    <n v="713090"/>
    <s v="Benefits-Allocated Amounts"/>
    <s v="MRI-3 Tree"/>
    <x v="0"/>
    <m/>
    <n v="2288.91"/>
    <n v="1814.83"/>
    <n v="2305.06"/>
    <n v="3519.36"/>
    <n v="2587.65"/>
    <n v="3979.43"/>
    <n v="3681.3"/>
    <n v="2373.2399999999998"/>
    <n v="3588.97"/>
    <n v="2285.91"/>
    <n v="5499.11"/>
    <n v="2066.23"/>
    <n v="35990"/>
    <n v="3432.8799999999997"/>
  </r>
  <r>
    <x v="7"/>
    <x v="5"/>
    <x v="0"/>
    <s v="4817106"/>
    <n v="718050"/>
    <s v="Miscellaneous Purchased Svcs"/>
    <s v="MRI-3 Tree"/>
    <x v="0"/>
    <n v="1020"/>
    <n v="280.10000000000002"/>
    <n v="0"/>
    <n v="264"/>
    <n v="0"/>
    <n v="0"/>
    <n v="0"/>
    <n v="0"/>
    <n v="0"/>
    <n v="0"/>
    <n v="0"/>
    <n v="0"/>
    <n v="12.43"/>
    <n v="556.53"/>
    <n v="-12.43"/>
  </r>
  <r>
    <x v="7"/>
    <x v="5"/>
    <x v="0"/>
    <s v="4817106"/>
    <n v="718050"/>
    <s v="Translation Services"/>
    <s v="MRI-3 Tree"/>
    <x v="0"/>
    <n v="1025"/>
    <n v="405.5"/>
    <n v="78"/>
    <n v="0"/>
    <n v="-282.75"/>
    <n v="362.75"/>
    <n v="36"/>
    <n v="48"/>
    <n v="197.09"/>
    <n v="48"/>
    <n v="0"/>
    <n v="0"/>
    <n v="32"/>
    <n v="924.59"/>
    <n v="-32"/>
  </r>
  <r>
    <x v="7"/>
    <x v="5"/>
    <x v="0"/>
    <s v="4817106"/>
    <n v="718070"/>
    <s v="Contract Srvcs-CHI Clinical Engineering"/>
    <s v="MRI-3 Tree"/>
    <x v="0"/>
    <m/>
    <n v="12952.1"/>
    <n v="12952.1"/>
    <n v="12952.1"/>
    <n v="12952.1"/>
    <n v="12952.1"/>
    <n v="12952.1"/>
    <n v="22741.05"/>
    <n v="3163.15"/>
    <n v="12952.1"/>
    <n v="12952.1"/>
    <n v="12952.1"/>
    <n v="12952.1"/>
    <n v="155425.20000000001"/>
    <n v="0"/>
  </r>
  <r>
    <x v="11"/>
    <x v="5"/>
    <x v="0"/>
    <s v="4817106"/>
    <n v="721220"/>
    <s v="Supplies-Medical Gases - Billable"/>
    <s v="MRI-3 Tree"/>
    <x v="0"/>
    <m/>
    <n v="59.03"/>
    <n v="59.03"/>
    <n v="59.03"/>
    <n v="59.03"/>
    <n v="59.03"/>
    <n v="0"/>
    <n v="121.27"/>
    <n v="62.24"/>
    <n v="133.74"/>
    <n v="0"/>
    <n v="62.24"/>
    <n v="62.24"/>
    <n v="736.88"/>
    <n v="0"/>
  </r>
  <r>
    <x v="11"/>
    <x v="5"/>
    <x v="0"/>
    <s v="4817106"/>
    <n v="721980"/>
    <s v="Supplies-Other"/>
    <s v="MRI-3 Tree"/>
    <x v="0"/>
    <m/>
    <n v="0"/>
    <n v="79.75"/>
    <n v="0"/>
    <n v="0"/>
    <n v="0"/>
    <n v="0"/>
    <n v="0"/>
    <n v="0"/>
    <n v="0"/>
    <n v="0"/>
    <n v="0"/>
    <n v="-46.75"/>
    <n v="33"/>
    <n v="46.75"/>
  </r>
  <r>
    <x v="11"/>
    <x v="5"/>
    <x v="0"/>
    <s v="4817106"/>
    <n v="722000"/>
    <s v="Supplies-Freight Expense"/>
    <s v="MRI-3 Tree"/>
    <x v="0"/>
    <m/>
    <n v="0"/>
    <n v="0"/>
    <n v="0"/>
    <n v="0"/>
    <n v="0"/>
    <n v="0"/>
    <n v="0"/>
    <n v="0"/>
    <n v="0"/>
    <n v="0"/>
    <n v="0"/>
    <n v="46.75"/>
    <n v="46.75"/>
    <n v="-46.75"/>
  </r>
  <r>
    <x v="12"/>
    <x v="5"/>
    <x v="0"/>
    <s v="4817106"/>
    <n v="730010"/>
    <s v="Rental and Leases-Building (DO NOT USE)"/>
    <s v="MRI-3 Tree"/>
    <x v="0"/>
    <m/>
    <n v="15243.76"/>
    <n v="15243.76"/>
    <n v="15243.76"/>
    <n v="15243.76"/>
    <n v="15243.76"/>
    <n v="-17571.099999999999"/>
    <n v="10014.950000000001"/>
    <n v="10014.950000000001"/>
    <n v="10014.950000000001"/>
    <n v="10014.950000000001"/>
    <n v="10014.950000000001"/>
    <n v="0"/>
    <n v="108722.45"/>
    <n v="10014.950000000001"/>
  </r>
  <r>
    <x v="12"/>
    <x v="5"/>
    <x v="0"/>
    <s v="4817106"/>
    <n v="730010"/>
    <s v="Rental-Common Area Maint (DO NOT USE)"/>
    <s v="MRI-3 Tree"/>
    <x v="0"/>
    <n v="2200"/>
    <n v="0"/>
    <n v="0"/>
    <n v="0"/>
    <n v="0"/>
    <n v="0"/>
    <n v="33103.26"/>
    <n v="5175.99"/>
    <n v="5346.6"/>
    <n v="5346.6"/>
    <n v="5346.6"/>
    <n v="1868.97"/>
    <n v="0"/>
    <n v="56188.02"/>
    <n v="1868.97"/>
  </r>
  <r>
    <x v="12"/>
    <x v="5"/>
    <x v="0"/>
    <s v="4817106"/>
    <n v="730040"/>
    <s v="LT Lease-Real Estate"/>
    <s v="MRI-3 Tree"/>
    <x v="0"/>
    <m/>
    <n v="0"/>
    <n v="0"/>
    <n v="0"/>
    <n v="0"/>
    <n v="0"/>
    <n v="0"/>
    <n v="0"/>
    <n v="0"/>
    <n v="0"/>
    <n v="0"/>
    <n v="0"/>
    <n v="15361.55"/>
    <n v="15361.55"/>
    <n v="-15361.55"/>
  </r>
  <r>
    <x v="15"/>
    <x v="5"/>
    <x v="0"/>
    <s v="4817106"/>
    <n v="731020"/>
    <s v="Electricity"/>
    <s v="MRI-3 Tree"/>
    <x v="0"/>
    <m/>
    <n v="0"/>
    <n v="0"/>
    <n v="4119.4399999999996"/>
    <n v="0"/>
    <n v="0"/>
    <n v="0"/>
    <n v="5714.29"/>
    <n v="0"/>
    <n v="0"/>
    <n v="0"/>
    <n v="0"/>
    <n v="0"/>
    <n v="9833.73"/>
    <n v="0"/>
  </r>
  <r>
    <x v="16"/>
    <x v="5"/>
    <x v="0"/>
    <s v="4817106"/>
    <n v="732030"/>
    <s v="Repairs---Other"/>
    <s v="MRI-3 Tree"/>
    <x v="0"/>
    <m/>
    <n v="0"/>
    <n v="0"/>
    <n v="0"/>
    <n v="0"/>
    <n v="0"/>
    <n v="0"/>
    <n v="488.51"/>
    <n v="0"/>
    <n v="0"/>
    <n v="0"/>
    <n v="0"/>
    <n v="0"/>
    <n v="488.51"/>
    <n v="0"/>
  </r>
  <r>
    <x v="16"/>
    <x v="5"/>
    <x v="0"/>
    <s v="4817106"/>
    <n v="732030"/>
    <s v="Repairs&amp;Maintenance-Bldg Routine"/>
    <s v="MRI-3 Tree"/>
    <x v="0"/>
    <n v="2300"/>
    <n v="0"/>
    <n v="0"/>
    <n v="1045.44"/>
    <n v="0"/>
    <n v="0"/>
    <n v="0"/>
    <n v="1045.44"/>
    <n v="0"/>
    <n v="0"/>
    <n v="0"/>
    <n v="0"/>
    <n v="2982.84"/>
    <n v="5073.72"/>
    <n v="-2982.84"/>
  </r>
  <r>
    <x v="13"/>
    <x v="5"/>
    <x v="0"/>
    <s v="4817106"/>
    <n v="735070"/>
    <s v="Depreciation-Movable Equipment"/>
    <s v="MRI-3 Tree"/>
    <x v="0"/>
    <m/>
    <n v="14826.3"/>
    <n v="500.05"/>
    <n v="500.05"/>
    <n v="500.05"/>
    <n v="500.05"/>
    <n v="500.05"/>
    <n v="500.05"/>
    <n v="500.05"/>
    <n v="500.05"/>
    <n v="500.05"/>
    <n v="500.05"/>
    <n v="500.05"/>
    <n v="20326.849999999991"/>
    <n v="0"/>
  </r>
  <r>
    <x v="18"/>
    <x v="3"/>
    <x v="0"/>
    <s v="4825101"/>
    <n v="400010"/>
    <s v="Acute I/P Svcs Rev--Medicare"/>
    <s v="Nuclear Medicine"/>
    <x v="0"/>
    <n v="1100"/>
    <n v="-253850.02"/>
    <n v="-292796.99"/>
    <n v="-152781.14000000001"/>
    <n v="-189780.09"/>
    <n v="-222103.07"/>
    <n v="-235007.68"/>
    <n v="-159167.73000000001"/>
    <n v="-155753.68"/>
    <n v="-239735.13"/>
    <n v="-224715.54"/>
    <n v="-214365.96"/>
    <n v="-198188.64"/>
    <n v="-2538245.67"/>
    <n v="-16177.319999999978"/>
  </r>
  <r>
    <x v="18"/>
    <x v="3"/>
    <x v="0"/>
    <s v="4825101"/>
    <n v="400010"/>
    <s v="Acute I/P Svcs Rev--Medicaid"/>
    <s v="Nuclear Medicine"/>
    <x v="0"/>
    <n v="1200"/>
    <n v="-56219.45"/>
    <n v="-70287.69"/>
    <n v="-39180.15"/>
    <n v="-23142.55"/>
    <n v="-25972.75"/>
    <n v="-40320.839999999997"/>
    <n v="-85272.58"/>
    <n v="-63413.23"/>
    <n v="-75054.850000000006"/>
    <n v="-45364.37"/>
    <n v="-93932.72"/>
    <n v="-61111.55"/>
    <n v="-679272.73"/>
    <n v="-32821.17"/>
  </r>
  <r>
    <x v="18"/>
    <x v="3"/>
    <x v="0"/>
    <s v="4825101"/>
    <n v="400010"/>
    <s v="Acute I/P Svcs Rev--Comm Insurance"/>
    <s v="Nuclear Medicine"/>
    <x v="0"/>
    <n v="1300"/>
    <n v="6682.95"/>
    <n v="-6010.55"/>
    <n v="-5950.94"/>
    <n v="0"/>
    <n v="-10083.540000000001"/>
    <n v="0"/>
    <n v="-2975.47"/>
    <n v="2975.47"/>
    <n v="0"/>
    <n v="0"/>
    <n v="0"/>
    <n v="-3061.21"/>
    <n v="-18423.290000000005"/>
    <n v="3061.21"/>
  </r>
  <r>
    <x v="18"/>
    <x v="3"/>
    <x v="0"/>
    <s v="4825101"/>
    <n v="400010"/>
    <s v="Acute I/P Svcs Rev--BCBS Comm"/>
    <s v="Nuclear Medicine"/>
    <x v="0"/>
    <n v="1301"/>
    <n v="-2975.47"/>
    <n v="-20167.080000000002"/>
    <n v="0"/>
    <n v="-2975.47"/>
    <n v="-7765.35"/>
    <n v="-2975.47"/>
    <n v="-11843.36"/>
    <n v="-18441.82"/>
    <n v="0"/>
    <n v="-2937.91"/>
    <n v="-3076.91"/>
    <n v="-3474.25"/>
    <n v="-76633.090000000011"/>
    <n v="397.34000000000015"/>
  </r>
  <r>
    <x v="18"/>
    <x v="3"/>
    <x v="0"/>
    <s v="4825101"/>
    <n v="400010"/>
    <s v="Acute I/P Svcs Rev--Managed Care"/>
    <s v="Nuclear Medicine"/>
    <x v="0"/>
    <n v="1400"/>
    <n v="-70573.070000000007"/>
    <n v="-37117.51"/>
    <n v="-69912.81"/>
    <n v="-38284.53"/>
    <n v="-40541.279999999999"/>
    <n v="-36922.199999999997"/>
    <n v="-39444.89"/>
    <n v="-53152.7"/>
    <n v="-75055.210000000006"/>
    <n v="-41594.68"/>
    <n v="-59060.93"/>
    <n v="-20911.28"/>
    <n v="-582571.09000000008"/>
    <n v="-38149.65"/>
  </r>
  <r>
    <x v="18"/>
    <x v="3"/>
    <x v="0"/>
    <s v="4825101"/>
    <n v="400010"/>
    <s v="Acute I/P Svcs Rev--Self Pay"/>
    <s v="Nuclear Medicine"/>
    <x v="0"/>
    <n v="1500"/>
    <n v="-39909.040000000001"/>
    <n v="2976.74"/>
    <n v="-14583.44"/>
    <n v="0"/>
    <n v="-10083.540000000001"/>
    <n v="0"/>
    <n v="0"/>
    <n v="0"/>
    <n v="0"/>
    <n v="-13289.32"/>
    <n v="0"/>
    <n v="0"/>
    <n v="-74888.600000000006"/>
    <n v="0"/>
  </r>
  <r>
    <x v="18"/>
    <x v="3"/>
    <x v="0"/>
    <s v="4825101"/>
    <n v="400010"/>
    <s v="Acute I/P Svcs Rev--Other"/>
    <s v="Nuclear Medicine"/>
    <x v="0"/>
    <n v="1700"/>
    <n v="7219.99"/>
    <n v="-14586.52"/>
    <n v="2839.44"/>
    <n v="0"/>
    <n v="-4405.8900000000003"/>
    <n v="-20167.080000000002"/>
    <n v="-23829.72"/>
    <n v="-23729.05"/>
    <n v="-1349.6"/>
    <n v="-7455.33"/>
    <n v="-31054.23"/>
    <n v="-34528.51"/>
    <n v="-151046.5"/>
    <n v="3474.2800000000025"/>
  </r>
  <r>
    <x v="19"/>
    <x v="3"/>
    <x v="0"/>
    <s v="4825101"/>
    <n v="400020"/>
    <s v="O/P Care Svcs Rev--Medicare"/>
    <s v="Nuclear Medicine"/>
    <x v="0"/>
    <n v="1100"/>
    <n v="-906650.25"/>
    <n v="-1072274.3"/>
    <n v="-902159.49"/>
    <n v="-1115529.99"/>
    <n v="-831284.69"/>
    <n v="-792919.15"/>
    <n v="-851596.34"/>
    <n v="-688427.7"/>
    <n v="-1101883.08"/>
    <n v="-816642.85"/>
    <n v="-1192241.6299999999"/>
    <n v="-960487.99"/>
    <n v="-11232097.460000003"/>
    <n v="-231753.6399999999"/>
  </r>
  <r>
    <x v="19"/>
    <x v="3"/>
    <x v="0"/>
    <s v="4825101"/>
    <n v="400020"/>
    <s v="O/P Care Svcs Rev--Medicaid"/>
    <s v="Nuclear Medicine"/>
    <x v="0"/>
    <n v="1200"/>
    <n v="-288438.88"/>
    <n v="-220647.49"/>
    <n v="-155671.09"/>
    <n v="-188030.86"/>
    <n v="-143348.71"/>
    <n v="-164631.54"/>
    <n v="-169928.33"/>
    <n v="-252509.78"/>
    <n v="-227281.86"/>
    <n v="-278819.45"/>
    <n v="-195111.83"/>
    <n v="-299669.42"/>
    <n v="-2584089.2399999998"/>
    <n v="104557.59"/>
  </r>
  <r>
    <x v="19"/>
    <x v="3"/>
    <x v="0"/>
    <s v="4825101"/>
    <n v="400020"/>
    <s v="O/P Care Svcs Rev--Comm Insurance"/>
    <s v="Nuclear Medicine"/>
    <x v="0"/>
    <n v="1300"/>
    <n v="-33933.120000000003"/>
    <n v="-81381.58"/>
    <n v="-55665.71"/>
    <n v="-47781.65"/>
    <n v="-8010.15"/>
    <n v="-27167.05"/>
    <n v="-36001.57"/>
    <n v="-16104.11"/>
    <n v="-7050.49"/>
    <n v="-62850.09"/>
    <n v="-64523.94"/>
    <n v="-51366.76"/>
    <n v="-491836.21999999991"/>
    <n v="-13157.18"/>
  </r>
  <r>
    <x v="19"/>
    <x v="3"/>
    <x v="0"/>
    <s v="4825101"/>
    <n v="400020"/>
    <s v="O/P Care Svcs Rev--BCBS Comm"/>
    <s v="Nuclear Medicine"/>
    <x v="0"/>
    <n v="1301"/>
    <n v="-84589.54"/>
    <n v="-51538.76"/>
    <n v="-92903.02"/>
    <n v="-109158.85"/>
    <n v="-76188.960000000006"/>
    <n v="-123408.58"/>
    <n v="-70746.95"/>
    <n v="-110265.9"/>
    <n v="-113726.22"/>
    <n v="-90856.08"/>
    <n v="-152185.79"/>
    <n v="-69756.55"/>
    <n v="-1145325.2"/>
    <n v="-82429.240000000005"/>
  </r>
  <r>
    <x v="19"/>
    <x v="3"/>
    <x v="0"/>
    <s v="4825101"/>
    <n v="400020"/>
    <s v="O/P Care Svcs Rev--Managed Care"/>
    <s v="Nuclear Medicine"/>
    <x v="0"/>
    <n v="1400"/>
    <n v="-277717.92"/>
    <n v="-349352.66"/>
    <n v="-300350.28000000003"/>
    <n v="-353662.3"/>
    <n v="-208332.57"/>
    <n v="-239608.42"/>
    <n v="-293741.17"/>
    <n v="-200613.3"/>
    <n v="-273144.03999999998"/>
    <n v="-356308.42"/>
    <n v="-316419.48"/>
    <n v="-258272.77"/>
    <n v="-3427523.3299999996"/>
    <n v="-58146.709999999992"/>
  </r>
  <r>
    <x v="19"/>
    <x v="3"/>
    <x v="0"/>
    <s v="4825101"/>
    <n v="400020"/>
    <s v="O/P Care Svcs Rev--Self Pay"/>
    <s v="Nuclear Medicine"/>
    <x v="0"/>
    <n v="1500"/>
    <n v="-27702.240000000002"/>
    <n v="-22241.32"/>
    <n v="-4401.6000000000004"/>
    <n v="-37336.949999999997"/>
    <n v="-16412.349999999999"/>
    <n v="-14472.62"/>
    <n v="-17017.36"/>
    <n v="-47579.13"/>
    <n v="-40685.660000000003"/>
    <n v="-27792.59"/>
    <n v="-32052.44"/>
    <n v="-24891.06"/>
    <n v="-312585.32"/>
    <n v="-7161.3799999999974"/>
  </r>
  <r>
    <x v="19"/>
    <x v="3"/>
    <x v="0"/>
    <s v="4825101"/>
    <n v="400020"/>
    <s v="O/P Care Svcs Rev--Other"/>
    <s v="Nuclear Medicine"/>
    <x v="0"/>
    <n v="1700"/>
    <n v="-75352.7"/>
    <n v="-63910.01"/>
    <n v="-64923.98"/>
    <n v="-71688.100000000006"/>
    <n v="-195207.69"/>
    <n v="-120068.63"/>
    <n v="-111305.46"/>
    <n v="-162496.14000000001"/>
    <n v="-101621.84"/>
    <n v="-143692.07"/>
    <n v="-81379"/>
    <n v="-120149.35"/>
    <n v="-1311794.9700000002"/>
    <n v="38770.350000000006"/>
  </r>
  <r>
    <x v="5"/>
    <x v="3"/>
    <x v="0"/>
    <s v="4825101"/>
    <n v="700032"/>
    <s v="Salaries-Other Pat Care Providers-Productive"/>
    <s v="Nuclear Medicine"/>
    <x v="0"/>
    <m/>
    <n v="3568.41"/>
    <n v="3424.08"/>
    <n v="3553.45"/>
    <n v="3880.39"/>
    <n v="3700.99"/>
    <n v="3724.81"/>
    <n v="3514.24"/>
    <n v="2803.84"/>
    <n v="2952.19"/>
    <n v="4058.65"/>
    <n v="2985.85"/>
    <n v="4243.55"/>
    <n v="42410.450000000004"/>
    <n v="-1257.7000000000003"/>
  </r>
  <r>
    <x v="5"/>
    <x v="3"/>
    <x v="0"/>
    <s v="4825101"/>
    <n v="700032"/>
    <s v="Salaries-Other Pat Care Providers-OT"/>
    <s v="Nuclear Medicine"/>
    <x v="0"/>
    <n v="1000"/>
    <n v="11.8"/>
    <n v="-2.08"/>
    <n v="30.87"/>
    <n v="-11.22"/>
    <n v="9.76"/>
    <n v="0"/>
    <n v="0"/>
    <n v="0"/>
    <n v="0"/>
    <n v="0"/>
    <n v="-18.41"/>
    <n v="28.34"/>
    <n v="49.06"/>
    <n v="-46.75"/>
  </r>
  <r>
    <x v="5"/>
    <x v="3"/>
    <x v="0"/>
    <s v="4825101"/>
    <n v="700032"/>
    <s v="Salaries-Other Pat Care Providers-Other"/>
    <s v="Nuclear Medicine"/>
    <x v="0"/>
    <n v="2000"/>
    <n v="22.63"/>
    <n v="23.62"/>
    <n v="126.55"/>
    <n v="28.07"/>
    <n v="105.86"/>
    <n v="69.069999999999993"/>
    <n v="80.319999999999993"/>
    <n v="34.99"/>
    <n v="54.41"/>
    <n v="33.909999999999997"/>
    <n v="27.66"/>
    <n v="-21.14"/>
    <n v="585.94999999999993"/>
    <n v="48.8"/>
  </r>
  <r>
    <x v="5"/>
    <x v="3"/>
    <x v="0"/>
    <s v="4825101"/>
    <n v="700034"/>
    <s v="Salaries-Tech/Professional-Productive"/>
    <s v="Nuclear Medicine"/>
    <x v="0"/>
    <m/>
    <n v="39676.769999999997"/>
    <n v="39431.129999999997"/>
    <n v="43335.66"/>
    <n v="51217.82"/>
    <n v="36013.29"/>
    <n v="36751.519999999997"/>
    <n v="33270.769999999997"/>
    <n v="33276.019999999997"/>
    <n v="40459.25"/>
    <n v="35812.019999999997"/>
    <n v="38614.879999999997"/>
    <n v="33107.78"/>
    <n v="460966.91000000003"/>
    <n v="5507.0999999999985"/>
  </r>
  <r>
    <x v="5"/>
    <x v="3"/>
    <x v="0"/>
    <s v="4825101"/>
    <n v="700034"/>
    <s v="Salaries-Tech/Professional-OT"/>
    <s v="Nuclear Medicine"/>
    <x v="0"/>
    <n v="1000"/>
    <n v="340.97"/>
    <n v="608.99"/>
    <n v="787.48"/>
    <n v="1119.17"/>
    <n v="138.72"/>
    <n v="658.37"/>
    <n v="347.98"/>
    <n v="603.44000000000005"/>
    <n v="336.69"/>
    <n v="649.30999999999995"/>
    <n v="-173.83"/>
    <n v="1349.49"/>
    <n v="6766.7799999999988"/>
    <n v="-1523.32"/>
  </r>
  <r>
    <x v="5"/>
    <x v="3"/>
    <x v="0"/>
    <s v="4825101"/>
    <n v="700034"/>
    <s v="Salaries-Tech/Professional-Other"/>
    <s v="Nuclear Medicine"/>
    <x v="0"/>
    <n v="2000"/>
    <n v="2033.34"/>
    <n v="1970.73"/>
    <n v="3402.78"/>
    <n v="3589.84"/>
    <n v="3240.53"/>
    <n v="2792.85"/>
    <n v="2784.76"/>
    <n v="2642.27"/>
    <n v="2157.8000000000002"/>
    <n v="2193.84"/>
    <n v="2380.2800000000002"/>
    <n v="1793.09"/>
    <n v="30982.11"/>
    <n v="587.19000000000028"/>
  </r>
  <r>
    <x v="5"/>
    <x v="3"/>
    <x v="0"/>
    <s v="4825101"/>
    <n v="700054"/>
    <s v="Salaries-Management-NonProd-Other"/>
    <s v="Nuclear Medicine"/>
    <x v="0"/>
    <n v="2000"/>
    <n v="0"/>
    <n v="0"/>
    <n v="0"/>
    <n v="0"/>
    <n v="0"/>
    <n v="15"/>
    <n v="-15"/>
    <n v="0"/>
    <n v="0"/>
    <n v="0"/>
    <n v="0"/>
    <n v="0"/>
    <n v="0"/>
    <n v="0"/>
  </r>
  <r>
    <x v="5"/>
    <x v="3"/>
    <x v="0"/>
    <s v="4825101"/>
    <n v="700072"/>
    <s v="Salaries-Other Pat Care Providers-Non-productive"/>
    <s v="Nuclear Medicine"/>
    <x v="0"/>
    <m/>
    <n v="1449.12"/>
    <n v="1459.23"/>
    <n v="659.85"/>
    <n v="509.89"/>
    <n v="510.78"/>
    <n v="1156.3399999999999"/>
    <n v="1313.25"/>
    <n v="995.8"/>
    <n v="829.08"/>
    <n v="348.82"/>
    <n v="840.37"/>
    <n v="176.34"/>
    <n v="10248.870000000001"/>
    <n v="664.03"/>
  </r>
  <r>
    <x v="5"/>
    <x v="3"/>
    <x v="0"/>
    <s v="4825101"/>
    <n v="700072"/>
    <s v="Salaries-Other Pat Care Providers-NonProd-Other"/>
    <s v="Nuclear Medicine"/>
    <x v="0"/>
    <n v="2000"/>
    <n v="7.86"/>
    <n v="20.83"/>
    <n v="17.59"/>
    <n v="12.03"/>
    <n v="0"/>
    <n v="13.22"/>
    <n v="0"/>
    <n v="0"/>
    <n v="0"/>
    <n v="0"/>
    <n v="0"/>
    <n v="0"/>
    <n v="71.53"/>
    <n v="0"/>
  </r>
  <r>
    <x v="5"/>
    <x v="3"/>
    <x v="0"/>
    <s v="4825101"/>
    <n v="700074"/>
    <s v="Salaries-Tech/Professional-Non-productive"/>
    <s v="Nuclear Medicine"/>
    <x v="0"/>
    <m/>
    <n v="1451.88"/>
    <n v="3696.85"/>
    <n v="7536.84"/>
    <n v="4571.32"/>
    <n v="8808.7999999999993"/>
    <n v="7768.36"/>
    <n v="10291.219999999999"/>
    <n v="5479.93"/>
    <n v="2464"/>
    <n v="7074.21"/>
    <n v="3923.19"/>
    <n v="3486.88"/>
    <n v="66553.48"/>
    <n v="436.30999999999995"/>
  </r>
  <r>
    <x v="5"/>
    <x v="3"/>
    <x v="0"/>
    <s v="4825101"/>
    <n v="700074"/>
    <s v="Salaries-Tech/Professional-NonProd-Other"/>
    <s v="Nuclear Medicine"/>
    <x v="0"/>
    <n v="2000"/>
    <n v="136.56"/>
    <n v="575.96"/>
    <n v="377.55"/>
    <n v="843.47"/>
    <n v="124.03"/>
    <n v="578.59"/>
    <n v="415.8"/>
    <n v="249.43"/>
    <n v="687.39"/>
    <n v="574.32000000000005"/>
    <n v="-10.199999999999999"/>
    <n v="885.22"/>
    <n v="5438.1200000000008"/>
    <n v="-895.42000000000007"/>
  </r>
  <r>
    <x v="5"/>
    <x v="3"/>
    <x v="0"/>
    <s v="4825101"/>
    <n v="700084"/>
    <s v="Accrued PTO"/>
    <s v="Nuclear Medicine"/>
    <x v="0"/>
    <m/>
    <n v="3493.74"/>
    <n v="1916.66"/>
    <n v="-1565.43"/>
    <n v="3002.6"/>
    <n v="-1726.44"/>
    <n v="-3112.98"/>
    <n v="-4787.54"/>
    <n v="-868.8"/>
    <n v="2267.44"/>
    <n v="-693.62"/>
    <n v="214.51"/>
    <n v="3322.27"/>
    <n v="1462.4099999999996"/>
    <n v="-3107.76"/>
  </r>
  <r>
    <x v="6"/>
    <x v="3"/>
    <x v="0"/>
    <s v="4825101"/>
    <n v="713010"/>
    <s v="Benefits-FICA/Medicare"/>
    <s v="Nuclear Medicine"/>
    <x v="0"/>
    <m/>
    <n v="3666.57"/>
    <n v="3860.51"/>
    <n v="4547.8"/>
    <n v="4984.01"/>
    <n v="3973.52"/>
    <n v="4116.58"/>
    <n v="3913.83"/>
    <n v="3467.88"/>
    <n v="3756.61"/>
    <n v="3820.69"/>
    <n v="3656.28"/>
    <n v="3382.29"/>
    <n v="47146.57"/>
    <n v="273.99000000000024"/>
  </r>
  <r>
    <x v="6"/>
    <x v="3"/>
    <x v="0"/>
    <s v="4825101"/>
    <n v="713090"/>
    <s v="Benefits-Allocated Amounts"/>
    <s v="Nuclear Medicine"/>
    <x v="0"/>
    <m/>
    <n v="9631"/>
    <n v="9136.9"/>
    <n v="11562.62"/>
    <n v="12386.62"/>
    <n v="9897.59"/>
    <n v="9732.18"/>
    <n v="10100.700000000001"/>
    <n v="9706.5499999999993"/>
    <n v="7455.37"/>
    <n v="10074.31"/>
    <n v="9937.98"/>
    <n v="9327.4599999999991"/>
    <n v="118949.28"/>
    <n v="610.52000000000044"/>
  </r>
  <r>
    <x v="7"/>
    <x v="3"/>
    <x v="0"/>
    <s v="4825101"/>
    <n v="718050"/>
    <s v="Contract Svcs-Other"/>
    <s v="Nuclear Medicine"/>
    <x v="0"/>
    <m/>
    <n v="32.97"/>
    <n v="0"/>
    <n v="131.88"/>
    <n v="0"/>
    <n v="0"/>
    <n v="65.95"/>
    <n v="32.979999999999997"/>
    <n v="65.959999999999994"/>
    <n v="0"/>
    <n v="10687.98"/>
    <n v="32.979999999999997"/>
    <n v="0"/>
    <n v="11050.699999999999"/>
    <n v="32.979999999999997"/>
  </r>
  <r>
    <x v="7"/>
    <x v="3"/>
    <x v="0"/>
    <s v="4825101"/>
    <n v="718050"/>
    <s v="Miscellaneous Purchased Svcs"/>
    <s v="Nuclear Medicine"/>
    <x v="0"/>
    <n v="1020"/>
    <n v="2069.41"/>
    <n v="0"/>
    <n v="0"/>
    <n v="2160.02"/>
    <n v="0"/>
    <n v="0"/>
    <n v="2357.25"/>
    <n v="0"/>
    <n v="0"/>
    <n v="0"/>
    <n v="0"/>
    <n v="2661.03"/>
    <n v="9247.7100000000009"/>
    <n v="-2661.03"/>
  </r>
  <r>
    <x v="7"/>
    <x v="3"/>
    <x v="0"/>
    <s v="4825101"/>
    <n v="718050"/>
    <s v="Translation Services"/>
    <s v="Nuclear Medicine"/>
    <x v="0"/>
    <n v="1025"/>
    <n v="440"/>
    <n v="509.52"/>
    <n v="554"/>
    <n v="1196"/>
    <n v="0"/>
    <n v="1351"/>
    <n v="0"/>
    <n v="736"/>
    <n v="155.16"/>
    <n v="0"/>
    <n v="61"/>
    <n v="552"/>
    <n v="5554.68"/>
    <n v="-491"/>
  </r>
  <r>
    <x v="7"/>
    <x v="3"/>
    <x v="0"/>
    <s v="4825101"/>
    <n v="718050"/>
    <s v="Contract Management--Linen"/>
    <s v="Nuclear Medicine"/>
    <x v="0"/>
    <n v="1026"/>
    <n v="718.58"/>
    <n v="661.68"/>
    <n v="656.84"/>
    <n v="335.62"/>
    <n v="505.69"/>
    <n v="450.43"/>
    <n v="411.96"/>
    <n v="670.42"/>
    <n v="556.83000000000004"/>
    <n v="562.54"/>
    <n v="730.28"/>
    <n v="653.97"/>
    <n v="6914.8399999999992"/>
    <n v="76.309999999999945"/>
  </r>
  <r>
    <x v="7"/>
    <x v="3"/>
    <x v="0"/>
    <s v="4825101"/>
    <n v="718070"/>
    <s v="Contract Srvcs-CHI Clinical Engineering"/>
    <s v="Nuclear Medicine"/>
    <x v="0"/>
    <m/>
    <n v="6208.11"/>
    <n v="6208.11"/>
    <n v="6208.11"/>
    <n v="6208.11"/>
    <n v="6208.11"/>
    <n v="6208.1"/>
    <n v="6020.8"/>
    <n v="6208.11"/>
    <n v="6395.37"/>
    <n v="6208.11"/>
    <n v="6209.97"/>
    <n v="6020.83"/>
    <n v="74311.840000000011"/>
    <n v="189.14000000000033"/>
  </r>
  <r>
    <x v="7"/>
    <x v="3"/>
    <x v="0"/>
    <s v="4825101"/>
    <n v="718077"/>
    <s v="PACS"/>
    <s v="Nuclear Medicine"/>
    <x v="0"/>
    <n v="1000"/>
    <n v="1186.74"/>
    <n v="1248.21"/>
    <n v="1136.17"/>
    <n v="1296.1199999999999"/>
    <n v="1184.32"/>
    <n v="1145.8499999999999"/>
    <n v="1308.95"/>
    <n v="1091.8800000000001"/>
    <n v="1314.03"/>
    <n v="1297.82"/>
    <n v="1341.38"/>
    <n v="1219.4100000000001"/>
    <n v="14770.880000000001"/>
    <n v="121.97000000000003"/>
  </r>
  <r>
    <x v="11"/>
    <x v="3"/>
    <x v="0"/>
    <s v="4825101"/>
    <n v="721010"/>
    <s v="Supplies-Medical - Billable"/>
    <s v="Nuclear Medicine"/>
    <x v="0"/>
    <m/>
    <n v="276.58999999999997"/>
    <n v="91.48"/>
    <n v="130.75"/>
    <n v="92.97"/>
    <n v="74.84"/>
    <n v="121.19"/>
    <n v="82.27"/>
    <n v="66.52"/>
    <n v="96.25"/>
    <n v="49.89"/>
    <n v="198.14"/>
    <n v="92.77"/>
    <n v="1373.6599999999999"/>
    <n v="105.36999999999999"/>
  </r>
  <r>
    <x v="11"/>
    <x v="3"/>
    <x v="0"/>
    <s v="4825101"/>
    <n v="721010"/>
    <s v="Patient Monitoring"/>
    <s v="Nuclear Medicine"/>
    <x v="0"/>
    <n v="1000"/>
    <n v="261.60000000000002"/>
    <n v="440.09"/>
    <n v="148.51"/>
    <n v="261.60000000000002"/>
    <n v="340.05"/>
    <n v="927.88"/>
    <n v="-339.28"/>
    <n v="673.82"/>
    <n v="374.7"/>
    <n v="261.60000000000002"/>
    <n v="302.42"/>
    <n v="261.83999999999997"/>
    <n v="3914.83"/>
    <n v="40.580000000000041"/>
  </r>
  <r>
    <x v="11"/>
    <x v="3"/>
    <x v="0"/>
    <s v="4825101"/>
    <n v="721050"/>
    <s v="Supplies-Cardiac Rhythm - Billable"/>
    <s v="Nuclear Medicine"/>
    <x v="0"/>
    <m/>
    <n v="0"/>
    <n v="0"/>
    <n v="71.75"/>
    <n v="0"/>
    <n v="0"/>
    <n v="0"/>
    <n v="0"/>
    <n v="0"/>
    <n v="0"/>
    <n v="0"/>
    <n v="0"/>
    <n v="0"/>
    <n v="71.75"/>
    <n v="0"/>
  </r>
  <r>
    <x v="11"/>
    <x v="3"/>
    <x v="0"/>
    <s v="4825101"/>
    <n v="721240"/>
    <s v="Supplies-IV Solutions/Supplies - Billable"/>
    <s v="Nuclear Medicine"/>
    <x v="0"/>
    <m/>
    <n v="954.51"/>
    <n v="801"/>
    <n v="855.55"/>
    <n v="580.25"/>
    <n v="831.55"/>
    <n v="627.74"/>
    <n v="560.4"/>
    <n v="606.39"/>
    <n v="855.29"/>
    <n v="802.3"/>
    <n v="801"/>
    <n v="664.98"/>
    <n v="8940.9599999999991"/>
    <n v="136.01999999999998"/>
  </r>
  <r>
    <x v="11"/>
    <x v="3"/>
    <x v="0"/>
    <s v="4825101"/>
    <n v="721250"/>
    <s v="Supplies-Pharmacy Drugs - Billable"/>
    <s v="Nuclear Medicine"/>
    <x v="0"/>
    <m/>
    <n v="17377.509999999998"/>
    <n v="22987.03"/>
    <n v="21100.5"/>
    <n v="14314.37"/>
    <n v="7205.77"/>
    <n v="14711.11"/>
    <n v="21562.35"/>
    <n v="14405"/>
    <n v="24426.93"/>
    <n v="23985.4"/>
    <n v="22935.18"/>
    <n v="47033.42"/>
    <n v="252044.56999999995"/>
    <n v="-24098.239999999998"/>
  </r>
  <r>
    <x v="11"/>
    <x v="3"/>
    <x v="0"/>
    <s v="4825101"/>
    <n v="721250"/>
    <s v="Radioactive Material"/>
    <s v="Nuclear Medicine"/>
    <x v="0"/>
    <n v="1001"/>
    <n v="48954.9"/>
    <n v="18045.88"/>
    <n v="67624.899999999994"/>
    <n v="32620.720000000001"/>
    <n v="43480.51"/>
    <n v="43437.19"/>
    <n v="31064.53"/>
    <n v="23710.29"/>
    <n v="37384.589999999997"/>
    <n v="20159.13"/>
    <n v="15015.42"/>
    <n v="63902.16"/>
    <n v="445400.22"/>
    <n v="-48886.740000000005"/>
  </r>
  <r>
    <x v="11"/>
    <x v="3"/>
    <x v="0"/>
    <s v="4825101"/>
    <n v="721350"/>
    <s v="Radiology Imaging - Contrast Media"/>
    <s v="Nuclear Medicine"/>
    <x v="0"/>
    <n v="1000"/>
    <n v="0"/>
    <n v="0"/>
    <n v="0"/>
    <n v="0"/>
    <n v="0"/>
    <n v="0"/>
    <n v="0"/>
    <n v="0"/>
    <n v="0"/>
    <n v="0"/>
    <n v="1.26"/>
    <n v="0"/>
    <n v="1.26"/>
    <n v="1.26"/>
  </r>
  <r>
    <x v="11"/>
    <x v="3"/>
    <x v="0"/>
    <s v="4825101"/>
    <n v="721410"/>
    <s v="Supplies-Medical - Nonbillable"/>
    <s v="Nuclear Medicine"/>
    <x v="0"/>
    <m/>
    <n v="1213.81"/>
    <n v="1793.2"/>
    <n v="657.15"/>
    <n v="4395.41"/>
    <n v="650.26"/>
    <n v="1631.56"/>
    <n v="1533.12"/>
    <n v="1970.47"/>
    <n v="1370.18"/>
    <n v="1802.46"/>
    <n v="1884.6"/>
    <n v="1371.9"/>
    <n v="20274.12"/>
    <n v="512.69999999999982"/>
  </r>
  <r>
    <x v="11"/>
    <x v="3"/>
    <x v="0"/>
    <s v="4825101"/>
    <n v="721410"/>
    <s v="Patient Monitoring"/>
    <s v="Nuclear Medicine"/>
    <x v="0"/>
    <n v="1000"/>
    <n v="0"/>
    <n v="0"/>
    <n v="0"/>
    <n v="0"/>
    <n v="0"/>
    <n v="0"/>
    <n v="0"/>
    <n v="0"/>
    <n v="50.38"/>
    <n v="50.38"/>
    <n v="0"/>
    <n v="0"/>
    <n v="100.76"/>
    <n v="0"/>
  </r>
  <r>
    <x v="11"/>
    <x v="3"/>
    <x v="0"/>
    <s v="4825101"/>
    <n v="721420"/>
    <s v="Supplies-Surgical Nonbillable"/>
    <s v="Nuclear Medicine"/>
    <x v="0"/>
    <m/>
    <n v="6.67"/>
    <n v="27.51"/>
    <n v="12.67"/>
    <n v="202.03"/>
    <n v="10.67"/>
    <n v="69.849999999999994"/>
    <n v="46.34"/>
    <n v="216.19"/>
    <n v="68.510000000000005"/>
    <n v="69.17"/>
    <n v="118.13"/>
    <n v="125.47"/>
    <n v="973.21"/>
    <n v="-7.3400000000000034"/>
  </r>
  <r>
    <x v="11"/>
    <x v="3"/>
    <x v="0"/>
    <s v="4825101"/>
    <n v="721610"/>
    <s v="Supplies-Anesthesia - Nonbillable"/>
    <s v="Nuclear Medicine"/>
    <x v="0"/>
    <m/>
    <n v="654.44000000000005"/>
    <n v="1768.02"/>
    <n v="1.48"/>
    <n v="5.37"/>
    <n v="-101.67"/>
    <n v="1177.48"/>
    <n v="1179"/>
    <n v="-274.3"/>
    <n v="59.27"/>
    <n v="3.34"/>
    <n v="593.91"/>
    <n v="-49.9"/>
    <n v="5016.4400000000005"/>
    <n v="643.80999999999995"/>
  </r>
  <r>
    <x v="11"/>
    <x v="3"/>
    <x v="0"/>
    <s v="4825101"/>
    <n v="721640"/>
    <s v="Supplies-IV Solutions/Supplies - Nonbillable"/>
    <s v="Nuclear Medicine"/>
    <x v="0"/>
    <m/>
    <n v="99.03"/>
    <n v="45.58"/>
    <n v="51.88"/>
    <n v="62.17"/>
    <n v="35.22"/>
    <n v="46.44"/>
    <n v="32.44"/>
    <n v="40.25"/>
    <n v="54.36"/>
    <n v="57.58"/>
    <n v="58.72"/>
    <n v="61.28"/>
    <n v="644.95000000000005"/>
    <n v="-2.5600000000000023"/>
  </r>
  <r>
    <x v="11"/>
    <x v="3"/>
    <x v="0"/>
    <s v="4825101"/>
    <n v="721710"/>
    <s v="Supplies-Laboratory - Nonbillable"/>
    <s v="Nuclear Medicine"/>
    <x v="0"/>
    <m/>
    <n v="0"/>
    <n v="8.17"/>
    <n v="3.27"/>
    <n v="4.3600000000000003"/>
    <n v="5.45"/>
    <n v="4.3600000000000003"/>
    <n v="3.81"/>
    <n v="0"/>
    <n v="4.9000000000000004"/>
    <n v="3.27"/>
    <n v="0"/>
    <n v="10.35"/>
    <n v="47.940000000000005"/>
    <n v="-10.35"/>
  </r>
  <r>
    <x v="11"/>
    <x v="3"/>
    <x v="0"/>
    <s v="4825101"/>
    <n v="721810"/>
    <s v="Supplies-Dietary/Cafeteria"/>
    <s v="Nuclear Medicine"/>
    <x v="0"/>
    <m/>
    <n v="153.88"/>
    <n v="222.4"/>
    <n v="154.77000000000001"/>
    <n v="431.76"/>
    <n v="127.53"/>
    <n v="218.51"/>
    <n v="361.56"/>
    <n v="149.16999999999999"/>
    <n v="289.01"/>
    <n v="272.5"/>
    <n v="234.32"/>
    <n v="193.25"/>
    <n v="2808.6600000000003"/>
    <n v="41.069999999999993"/>
  </r>
  <r>
    <x v="11"/>
    <x v="3"/>
    <x v="0"/>
    <s v="4825101"/>
    <n v="721830"/>
    <s v="Supplies-Office"/>
    <s v="Nuclear Medicine"/>
    <x v="0"/>
    <m/>
    <n v="265.27999999999997"/>
    <n v="372.92"/>
    <n v="256.63"/>
    <n v="826.65"/>
    <n v="219.16"/>
    <n v="1074.4100000000001"/>
    <n v="0"/>
    <n v="351.42"/>
    <n v="7.23"/>
    <n v="425.03"/>
    <n v="62.47"/>
    <n v="166.05"/>
    <n v="4027.2500000000005"/>
    <n v="-103.58000000000001"/>
  </r>
  <r>
    <x v="11"/>
    <x v="3"/>
    <x v="0"/>
    <s v="4825101"/>
    <n v="721870"/>
    <s v="Supplies-Environmental Services"/>
    <s v="Nuclear Medicine"/>
    <x v="0"/>
    <m/>
    <n v="99.54"/>
    <n v="124.57"/>
    <n v="59.05"/>
    <n v="80.25"/>
    <n v="60.88"/>
    <n v="55.43"/>
    <n v="26.61"/>
    <n v="46.48"/>
    <n v="18.54"/>
    <n v="30.68"/>
    <n v="42.2"/>
    <n v="29.36"/>
    <n v="673.59"/>
    <n v="12.840000000000003"/>
  </r>
  <r>
    <x v="11"/>
    <x v="3"/>
    <x v="0"/>
    <s v="4825101"/>
    <n v="721910"/>
    <s v="Supplies-Small Equipment"/>
    <s v="Nuclear Medicine"/>
    <x v="0"/>
    <m/>
    <n v="256.88"/>
    <n v="243"/>
    <n v="0"/>
    <n v="1066.32"/>
    <n v="250.2"/>
    <n v="114.3"/>
    <n v="125.58"/>
    <n v="324"/>
    <n v="121.5"/>
    <n v="290.10000000000002"/>
    <n v="760.5"/>
    <n v="40.5"/>
    <n v="3592.8799999999997"/>
    <n v="720"/>
  </r>
  <r>
    <x v="11"/>
    <x v="3"/>
    <x v="0"/>
    <s v="4825101"/>
    <n v="721980"/>
    <s v="Supplies-Other"/>
    <s v="Nuclear Medicine"/>
    <x v="0"/>
    <m/>
    <n v="116.29"/>
    <n v="1596.46"/>
    <n v="584"/>
    <n v="166.99"/>
    <n v="5001.57"/>
    <n v="0"/>
    <n v="-79.989999999999995"/>
    <n v="-369.66"/>
    <n v="1260"/>
    <n v="0"/>
    <n v="0"/>
    <n v="1385"/>
    <n v="9660.66"/>
    <n v="-1385"/>
  </r>
  <r>
    <x v="11"/>
    <x v="3"/>
    <x v="0"/>
    <s v="4825101"/>
    <n v="722000"/>
    <s v="Supplies-Freight Expense"/>
    <s v="Nuclear Medicine"/>
    <x v="0"/>
    <m/>
    <n v="17.239999999999998"/>
    <n v="800"/>
    <n v="551.71"/>
    <n v="575"/>
    <n v="57.36"/>
    <n v="1641.13"/>
    <n v="2200.73"/>
    <n v="60.94"/>
    <n v="1792.55"/>
    <n v="480.19"/>
    <n v="2694.85"/>
    <n v="2315.15"/>
    <n v="13186.849999999999"/>
    <n v="379.69999999999982"/>
  </r>
  <r>
    <x v="11"/>
    <x v="3"/>
    <x v="0"/>
    <s v="4825101"/>
    <n v="722000"/>
    <s v="Rush Order Fees"/>
    <s v="Nuclear Medicine"/>
    <x v="0"/>
    <n v="1005"/>
    <n v="0"/>
    <n v="975"/>
    <n v="0"/>
    <n v="190"/>
    <n v="0"/>
    <n v="475"/>
    <n v="380"/>
    <n v="0"/>
    <n v="285"/>
    <n v="190"/>
    <n v="190"/>
    <n v="475"/>
    <n v="3160"/>
    <n v="-285"/>
  </r>
  <r>
    <x v="12"/>
    <x v="3"/>
    <x v="0"/>
    <s v="4825101"/>
    <n v="730020"/>
    <s v="Rental and Leases-Copier Usage Fees (DO NOT USE)"/>
    <s v="Nuclear Medicine"/>
    <x v="0"/>
    <n v="5100"/>
    <n v="28.19"/>
    <n v="28.42"/>
    <n v="28.3"/>
    <n v="28.3"/>
    <n v="28.3"/>
    <n v="28.3"/>
    <n v="-8.84"/>
    <n v="24.77"/>
    <n v="24.72"/>
    <n v="24.82"/>
    <n v="24.77"/>
    <n v="24.77"/>
    <n v="284.82"/>
    <n v="0"/>
  </r>
  <r>
    <x v="13"/>
    <x v="3"/>
    <x v="0"/>
    <s v="4825101"/>
    <n v="735070"/>
    <s v="Depreciation-Movable Equipment"/>
    <s v="Nuclear Medicine"/>
    <x v="0"/>
    <m/>
    <n v="414.85"/>
    <n v="414.84"/>
    <n v="414.86"/>
    <n v="414.84"/>
    <n v="414.86"/>
    <n v="414.84"/>
    <n v="414.86"/>
    <n v="414.84"/>
    <n v="414.86"/>
    <n v="572.94000000000005"/>
    <n v="572.96"/>
    <n v="546.26"/>
    <n v="5425.81"/>
    <n v="26.700000000000045"/>
  </r>
  <r>
    <x v="0"/>
    <x v="3"/>
    <x v="0"/>
    <s v="4825101"/>
    <n v="749510"/>
    <s v="Miscellaneous Expenses"/>
    <s v="Nuclear Medicine"/>
    <x v="0"/>
    <m/>
    <n v="897.05"/>
    <n v="90.6"/>
    <n v="0"/>
    <n v="0"/>
    <n v="0"/>
    <n v="0"/>
    <n v="0"/>
    <n v="-1"/>
    <n v="0"/>
    <n v="0"/>
    <n v="0"/>
    <n v="0"/>
    <n v="986.65"/>
    <n v="0"/>
  </r>
  <r>
    <x v="0"/>
    <x v="3"/>
    <x v="0"/>
    <s v="4825101"/>
    <n v="749510"/>
    <s v="Licenses"/>
    <s v="Nuclear Medicine"/>
    <x v="0"/>
    <n v="1002"/>
    <n v="0"/>
    <n v="0"/>
    <n v="0"/>
    <n v="42.94"/>
    <n v="1200"/>
    <n v="80.67"/>
    <n v="83.34"/>
    <n v="0"/>
    <n v="0"/>
    <n v="41.67"/>
    <n v="41.67"/>
    <n v="41.67"/>
    <n v="1531.9600000000003"/>
    <n v="0"/>
  </r>
  <r>
    <x v="18"/>
    <x v="0"/>
    <x v="0"/>
    <s v="4825102"/>
    <n v="400010"/>
    <s v="Acute I/P Svcs Rev--Medicare"/>
    <s v="Nuclear Medicine"/>
    <x v="0"/>
    <n v="1100"/>
    <n v="-70568.72"/>
    <n v="-60669.57"/>
    <n v="-57197.75"/>
    <n v="-61878.01"/>
    <n v="-90052.54"/>
    <n v="-79193.41"/>
    <n v="-66499.53"/>
    <n v="-108124.46"/>
    <n v="-128424.27"/>
    <n v="-103259.78"/>
    <n v="-84730.71"/>
    <n v="-76209.55"/>
    <n v="-986808.3"/>
    <n v="-8521.1600000000035"/>
  </r>
  <r>
    <x v="18"/>
    <x v="0"/>
    <x v="0"/>
    <s v="4825102"/>
    <n v="400010"/>
    <s v="Acute I/P Svcs Rev--Medicaid"/>
    <s v="Nuclear Medicine"/>
    <x v="0"/>
    <n v="1200"/>
    <n v="-19605.71"/>
    <n v="-20463.3"/>
    <n v="-9607.4"/>
    <n v="-15027.48"/>
    <n v="-12170.14"/>
    <n v="-6245.94"/>
    <n v="-23622.89"/>
    <n v="-23539.18"/>
    <n v="-2680.8"/>
    <n v="-28793.94"/>
    <n v="-40010.97"/>
    <n v="0"/>
    <n v="-201767.75"/>
    <n v="-40010.97"/>
  </r>
  <r>
    <x v="18"/>
    <x v="0"/>
    <x v="0"/>
    <s v="4825102"/>
    <n v="400010"/>
    <s v="Acute I/P Svcs Rev--Comm Insurance"/>
    <s v="Nuclear Medicine"/>
    <x v="0"/>
    <n v="1300"/>
    <n v="0"/>
    <n v="0"/>
    <n v="-8334.98"/>
    <n v="0"/>
    <n v="0"/>
    <n v="0"/>
    <n v="-8781.5400000000009"/>
    <n v="8781.5400000000009"/>
    <n v="0"/>
    <n v="-6014.82"/>
    <n v="0"/>
    <n v="-5813.7"/>
    <n v="-20163.5"/>
    <n v="5813.7"/>
  </r>
  <r>
    <x v="18"/>
    <x v="0"/>
    <x v="0"/>
    <s v="4825102"/>
    <n v="400010"/>
    <s v="Acute I/P Svcs Rev--BCBS Comm"/>
    <s v="Nuclear Medicine"/>
    <x v="0"/>
    <n v="1301"/>
    <n v="-3388.6"/>
    <n v="-11275.76"/>
    <n v="-5849.63"/>
    <n v="-8781.5400000000009"/>
    <n v="-17563.080000000002"/>
    <n v="0"/>
    <n v="-26344.62"/>
    <n v="-3061.17"/>
    <n v="0"/>
    <n v="-13803.14"/>
    <n v="-7879.24"/>
    <n v="-19152.8"/>
    <n v="-117099.58"/>
    <n v="11273.56"/>
  </r>
  <r>
    <x v="18"/>
    <x v="0"/>
    <x v="0"/>
    <s v="4825102"/>
    <n v="400010"/>
    <s v="Acute I/P Svcs Rev--Managed Care"/>
    <s v="Nuclear Medicine"/>
    <x v="0"/>
    <n v="1400"/>
    <n v="-2992.29"/>
    <n v="-28387.74"/>
    <n v="-2857.34"/>
    <n v="-17353.560000000001"/>
    <n v="-3388.6"/>
    <n v="-18416.080000000002"/>
    <n v="-26936.400000000001"/>
    <n v="-30182.32"/>
    <n v="-12376.45"/>
    <n v="-24770.17"/>
    <n v="-15735.87"/>
    <n v="-16641.419999999998"/>
    <n v="-200038.24"/>
    <n v="905.54999999999745"/>
  </r>
  <r>
    <x v="18"/>
    <x v="0"/>
    <x v="0"/>
    <s v="4825102"/>
    <n v="400010"/>
    <s v="Acute I/P Svcs Rev--Self Pay"/>
    <s v="Nuclear Medicine"/>
    <x v="0"/>
    <n v="1500"/>
    <n v="0"/>
    <n v="0"/>
    <n v="0"/>
    <n v="0"/>
    <n v="0"/>
    <n v="0"/>
    <n v="-3388.6"/>
    <n v="-8781.5400000000009"/>
    <n v="-4094.31"/>
    <n v="4094.31"/>
    <n v="-578.20000000000005"/>
    <n v="-2498.71"/>
    <n v="-15247.050000000003"/>
    <n v="1920.51"/>
  </r>
  <r>
    <x v="18"/>
    <x v="0"/>
    <x v="0"/>
    <s v="4825102"/>
    <n v="400010"/>
    <s v="Acute I/P Svcs Rev--Other"/>
    <s v="Nuclear Medicine"/>
    <x v="0"/>
    <n v="1700"/>
    <n v="-8781.5400000000009"/>
    <n v="0"/>
    <n v="-11072.62"/>
    <n v="0"/>
    <n v="0"/>
    <n v="0"/>
    <n v="0"/>
    <n v="0"/>
    <n v="0"/>
    <n v="-10166.75"/>
    <n v="-6723.51"/>
    <n v="-8418.42"/>
    <n v="-45162.840000000004"/>
    <n v="1694.9099999999999"/>
  </r>
  <r>
    <x v="19"/>
    <x v="0"/>
    <x v="0"/>
    <s v="4825102"/>
    <n v="400020"/>
    <s v="O/P Care Svcs Rev--Medicare"/>
    <s v="Nuclear Medicine"/>
    <x v="0"/>
    <n v="1100"/>
    <n v="-506590.43"/>
    <n v="-439540.8"/>
    <n v="-547449.68000000005"/>
    <n v="-467552.31"/>
    <n v="-409309.71"/>
    <n v="-328140.09000000003"/>
    <n v="-452120.58"/>
    <n v="-565730.92000000004"/>
    <n v="-494651.69"/>
    <n v="-501153.88"/>
    <n v="-539171.6"/>
    <n v="-471417.3"/>
    <n v="-5722828.9899999993"/>
    <n v="-67754.299999999988"/>
  </r>
  <r>
    <x v="19"/>
    <x v="0"/>
    <x v="0"/>
    <s v="4825102"/>
    <n v="400020"/>
    <s v="O/P Care Svcs Rev--Medicaid"/>
    <s v="Nuclear Medicine"/>
    <x v="0"/>
    <n v="1200"/>
    <n v="-118303.56"/>
    <n v="-141360.25"/>
    <n v="-143234.74"/>
    <n v="-102832.97"/>
    <n v="-91889.73"/>
    <n v="-107434.74"/>
    <n v="-119357.53"/>
    <n v="-103698.72"/>
    <n v="-119799.61"/>
    <n v="-131558.72"/>
    <n v="-167345.17000000001"/>
    <n v="-38796.11"/>
    <n v="-1385611.85"/>
    <n v="-128549.06000000001"/>
  </r>
  <r>
    <x v="19"/>
    <x v="0"/>
    <x v="0"/>
    <s v="4825102"/>
    <n v="400020"/>
    <s v="O/P Care Svcs Rev--Comm Insurance"/>
    <s v="Nuclear Medicine"/>
    <x v="0"/>
    <n v="1300"/>
    <n v="-5793.02"/>
    <n v="-7297.69"/>
    <n v="-10098.02"/>
    <n v="-15001.8"/>
    <n v="-7297.69"/>
    <n v="-10192.959999999999"/>
    <n v="-15377.62"/>
    <n v="-34415.19"/>
    <n v="-15350.78"/>
    <n v="-45001.45"/>
    <n v="-10472.61"/>
    <n v="-20083.38"/>
    <n v="-196382.21000000002"/>
    <n v="9610.77"/>
  </r>
  <r>
    <x v="19"/>
    <x v="0"/>
    <x v="0"/>
    <s v="4825102"/>
    <n v="400020"/>
    <s v="O/P Care Svcs Rev--BCBS Comm"/>
    <s v="Nuclear Medicine"/>
    <x v="0"/>
    <n v="1301"/>
    <n v="-64607.08"/>
    <n v="-77100.09"/>
    <n v="-72602.880000000005"/>
    <n v="-65471.22"/>
    <n v="-89499.19"/>
    <n v="-75175.179999999993"/>
    <n v="-80971.87"/>
    <n v="-42839.81"/>
    <n v="-103240.6"/>
    <n v="-77976.600000000006"/>
    <n v="-112513.08"/>
    <n v="-69693.45"/>
    <n v="-931691.04999999993"/>
    <n v="-42819.630000000005"/>
  </r>
  <r>
    <x v="19"/>
    <x v="0"/>
    <x v="0"/>
    <s v="4825102"/>
    <n v="400020"/>
    <s v="O/P Care Svcs Rev--Managed Care"/>
    <s v="Nuclear Medicine"/>
    <x v="0"/>
    <n v="1400"/>
    <n v="-167318.26999999999"/>
    <n v="-221275.91"/>
    <n v="-168503.21"/>
    <n v="-162240.70000000001"/>
    <n v="-219640.2"/>
    <n v="-146856.79"/>
    <n v="-112622.5"/>
    <n v="-104096.04"/>
    <n v="-191375.76"/>
    <n v="-122830.81"/>
    <n v="-183741.8"/>
    <n v="-125958.1"/>
    <n v="-1926460.0900000003"/>
    <n v="-57783.699999999983"/>
  </r>
  <r>
    <x v="19"/>
    <x v="0"/>
    <x v="0"/>
    <s v="4825102"/>
    <n v="400020"/>
    <s v="O/P Care Svcs Rev--Self Pay"/>
    <s v="Nuclear Medicine"/>
    <x v="0"/>
    <n v="1500"/>
    <n v="-16354.12"/>
    <n v="-24585.88"/>
    <n v="-27360.13"/>
    <n v="-18915.560000000001"/>
    <n v="-16079.23"/>
    <n v="-21732.63"/>
    <n v="-7693.6"/>
    <n v="-25491.45"/>
    <n v="-16481.189999999999"/>
    <n v="-19161.810000000001"/>
    <n v="-5168.26"/>
    <n v="-12689.25"/>
    <n v="-211713.11000000002"/>
    <n v="7520.99"/>
  </r>
  <r>
    <x v="19"/>
    <x v="0"/>
    <x v="0"/>
    <s v="4825102"/>
    <n v="400020"/>
    <s v="O/P Care Svcs Rev--Other"/>
    <s v="Nuclear Medicine"/>
    <x v="0"/>
    <n v="1700"/>
    <n v="-27937.14"/>
    <n v="-10493.11"/>
    <n v="-218.96"/>
    <n v="-15072.84"/>
    <n v="-26327.8"/>
    <n v="-12170.14"/>
    <n v="0"/>
    <n v="-4852.33"/>
    <n v="-19911.87"/>
    <n v="-25387.29"/>
    <n v="-14513.29"/>
    <n v="-15768.17"/>
    <n v="-172652.94000000003"/>
    <n v="1254.8799999999992"/>
  </r>
  <r>
    <x v="5"/>
    <x v="0"/>
    <x v="0"/>
    <s v="4825102"/>
    <n v="700034"/>
    <s v="Salaries-Tech/Professional-Productive"/>
    <s v="Nuclear Medicine"/>
    <x v="0"/>
    <m/>
    <n v="22397.03"/>
    <n v="22927.49"/>
    <n v="24451.94"/>
    <n v="23981.27"/>
    <n v="21376.78"/>
    <n v="20673.509999999998"/>
    <n v="18948.650000000001"/>
    <n v="18968.39"/>
    <n v="28413.37"/>
    <n v="23784.25"/>
    <n v="23235.27"/>
    <n v="23184.68"/>
    <n v="272342.63"/>
    <n v="50.590000000000146"/>
  </r>
  <r>
    <x v="5"/>
    <x v="0"/>
    <x v="0"/>
    <s v="4825102"/>
    <n v="700034"/>
    <s v="Salaries-Tech/Professional-OT"/>
    <s v="Nuclear Medicine"/>
    <x v="0"/>
    <n v="1000"/>
    <n v="514.83000000000004"/>
    <n v="411.03"/>
    <n v="596.54"/>
    <n v="117.6"/>
    <n v="1471.08"/>
    <n v="362.73"/>
    <n v="866.72"/>
    <n v="596.74"/>
    <n v="262.83999999999997"/>
    <n v="1075.97"/>
    <n v="2249.2600000000002"/>
    <n v="856.23"/>
    <n v="9381.57"/>
    <n v="1393.0300000000002"/>
  </r>
  <r>
    <x v="5"/>
    <x v="0"/>
    <x v="0"/>
    <s v="4825102"/>
    <n v="700034"/>
    <s v="Salaries-Tech/Professional-Other"/>
    <s v="Nuclear Medicine"/>
    <x v="0"/>
    <n v="2000"/>
    <n v="2166.1999999999998"/>
    <n v="2256.23"/>
    <n v="1975.37"/>
    <n v="2035.8"/>
    <n v="2886.67"/>
    <n v="3336.31"/>
    <n v="3052"/>
    <n v="2065.6799999999998"/>
    <n v="3210.96"/>
    <n v="3180.57"/>
    <n v="3871.47"/>
    <n v="2244.6799999999998"/>
    <n v="32281.940000000002"/>
    <n v="1626.79"/>
  </r>
  <r>
    <x v="5"/>
    <x v="0"/>
    <x v="0"/>
    <s v="4825102"/>
    <n v="700074"/>
    <s v="Salaries-Tech/Professional-Non-productive"/>
    <s v="Nuclear Medicine"/>
    <x v="0"/>
    <m/>
    <n v="4731.07"/>
    <n v="5908.7"/>
    <n v="683.09"/>
    <n v="1853.02"/>
    <n v="11511.58"/>
    <n v="11364.81"/>
    <n v="6346.72"/>
    <n v="2133.5"/>
    <n v="-75.22"/>
    <n v="4401.3999999999996"/>
    <n v="442.69"/>
    <n v="1723.27"/>
    <n v="51024.63"/>
    <n v="-1280.58"/>
  </r>
  <r>
    <x v="5"/>
    <x v="0"/>
    <x v="0"/>
    <s v="4825102"/>
    <n v="700074"/>
    <s v="Salaries-Tech/Professional-NonProd-Other"/>
    <s v="Nuclear Medicine"/>
    <x v="0"/>
    <n v="2000"/>
    <n v="448.73"/>
    <n v="238.17"/>
    <n v="230.5"/>
    <n v="-115.11"/>
    <n v="756.83"/>
    <n v="1864.01"/>
    <n v="215.51"/>
    <n v="-463.47"/>
    <n v="509.85"/>
    <n v="348.43"/>
    <n v="236.29"/>
    <n v="133.44999999999999"/>
    <n v="4403.1899999999996"/>
    <n v="102.84"/>
  </r>
  <r>
    <x v="5"/>
    <x v="0"/>
    <x v="0"/>
    <s v="4825102"/>
    <n v="700084"/>
    <s v="Accrued PTO"/>
    <s v="Nuclear Medicine"/>
    <x v="0"/>
    <m/>
    <n v="-126.51"/>
    <n v="-1761.22"/>
    <n v="1421.11"/>
    <n v="3038.19"/>
    <n v="-609.84"/>
    <n v="-9496.0300000000007"/>
    <n v="-4026.8"/>
    <n v="150.5"/>
    <n v="2077.59"/>
    <n v="-451.39"/>
    <n v="974.75"/>
    <n v="1584.75"/>
    <n v="-7224.9000000000015"/>
    <n v="-610"/>
  </r>
  <r>
    <x v="6"/>
    <x v="0"/>
    <x v="0"/>
    <s v="4825102"/>
    <n v="713010"/>
    <s v="Benefits-FICA/Medicare"/>
    <s v="Nuclear Medicine"/>
    <x v="0"/>
    <m/>
    <n v="2246.1999999999998"/>
    <n v="2359.7399999999998"/>
    <n v="2070.9299999999998"/>
    <n v="2063.73"/>
    <n v="2910.77"/>
    <n v="2776.73"/>
    <n v="4357.46"/>
    <n v="1802"/>
    <n v="2423.27"/>
    <n v="2459.8000000000002"/>
    <n v="2929.14"/>
    <n v="2104.81"/>
    <n v="30504.579999999998"/>
    <n v="824.32999999999993"/>
  </r>
  <r>
    <x v="6"/>
    <x v="0"/>
    <x v="0"/>
    <s v="4825102"/>
    <n v="713090"/>
    <s v="Benefits-Allocated Amounts"/>
    <s v="Nuclear Medicine"/>
    <x v="0"/>
    <m/>
    <n v="4796.0200000000004"/>
    <n v="4505.3100000000004"/>
    <n v="4299.84"/>
    <n v="4254.6000000000004"/>
    <n v="5434.1"/>
    <n v="4902.79"/>
    <n v="4311.08"/>
    <n v="4169.21"/>
    <n v="5431.57"/>
    <n v="5533.48"/>
    <n v="5053.66"/>
    <n v="4938.5200000000004"/>
    <n v="57630.180000000008"/>
    <n v="115.13999999999942"/>
  </r>
  <r>
    <x v="7"/>
    <x v="0"/>
    <x v="0"/>
    <s v="4825102"/>
    <n v="718050"/>
    <s v="Miscellaneous Purchased Svcs"/>
    <s v="Nuclear Medicine"/>
    <x v="0"/>
    <n v="1020"/>
    <n v="49371"/>
    <n v="39437"/>
    <n v="33650.5"/>
    <n v="34300"/>
    <n v="33832"/>
    <n v="39691"/>
    <n v="31236"/>
    <n v="33955"/>
    <n v="43640.03"/>
    <n v="36000"/>
    <n v="31478"/>
    <n v="52477"/>
    <n v="459067.53"/>
    <n v="-20999"/>
  </r>
  <r>
    <x v="7"/>
    <x v="0"/>
    <x v="0"/>
    <s v="4825102"/>
    <n v="718050"/>
    <s v="Translation Services"/>
    <s v="Nuclear Medicine"/>
    <x v="0"/>
    <n v="1025"/>
    <n v="0"/>
    <n v="0"/>
    <n v="0"/>
    <n v="0"/>
    <n v="0"/>
    <n v="0"/>
    <n v="0"/>
    <n v="0"/>
    <n v="0"/>
    <n v="0"/>
    <n v="0"/>
    <n v="129"/>
    <n v="129"/>
    <n v="-129"/>
  </r>
  <r>
    <x v="7"/>
    <x v="0"/>
    <x v="0"/>
    <s v="4825102"/>
    <n v="718070"/>
    <s v="Contract Srvcs-CHI Clinical Engineering"/>
    <s v="Nuclear Medicine"/>
    <x v="0"/>
    <m/>
    <n v="2237.5"/>
    <n v="2237.5"/>
    <n v="2908.76"/>
    <n v="2237.5"/>
    <n v="2237.5"/>
    <n v="2908.76"/>
    <n v="2237.5"/>
    <n v="2237.5"/>
    <n v="2908.76"/>
    <n v="2237.5"/>
    <n v="2237.5"/>
    <n v="2237.5"/>
    <n v="28863.78"/>
    <n v="0"/>
  </r>
  <r>
    <x v="7"/>
    <x v="0"/>
    <x v="0"/>
    <s v="4825102"/>
    <n v="718077"/>
    <s v="PACS"/>
    <s v="Nuclear Medicine"/>
    <x v="0"/>
    <n v="1000"/>
    <n v="458.53"/>
    <n v="482.27"/>
    <n v="438.98"/>
    <n v="500.79"/>
    <n v="457.59"/>
    <n v="442.72"/>
    <n v="505.74"/>
    <n v="421.87"/>
    <n v="507.71"/>
    <n v="501.44"/>
    <n v="518.27"/>
    <n v="471.15"/>
    <n v="5707.0599999999995"/>
    <n v="47.120000000000005"/>
  </r>
  <r>
    <x v="11"/>
    <x v="0"/>
    <x v="0"/>
    <s v="4825102"/>
    <n v="721010"/>
    <s v="Supplies-Medical - Billable"/>
    <s v="Nuclear Medicine"/>
    <x v="0"/>
    <m/>
    <n v="0"/>
    <n v="0"/>
    <n v="0"/>
    <n v="0"/>
    <n v="0"/>
    <n v="0"/>
    <n v="0"/>
    <n v="-5.7"/>
    <n v="0"/>
    <n v="0"/>
    <n v="0"/>
    <n v="0"/>
    <n v="-5.7"/>
    <n v="0"/>
  </r>
  <r>
    <x v="11"/>
    <x v="0"/>
    <x v="0"/>
    <s v="4825102"/>
    <n v="721010"/>
    <s v="Patient Monitoring"/>
    <s v="Nuclear Medicine"/>
    <x v="0"/>
    <n v="1000"/>
    <n v="3.18"/>
    <n v="0"/>
    <n v="0"/>
    <n v="0"/>
    <n v="0"/>
    <n v="0"/>
    <n v="4.41"/>
    <n v="0"/>
    <n v="0"/>
    <n v="0"/>
    <n v="0"/>
    <n v="0"/>
    <n v="7.59"/>
    <n v="0"/>
  </r>
  <r>
    <x v="11"/>
    <x v="0"/>
    <x v="0"/>
    <s v="4825102"/>
    <n v="721240"/>
    <s v="Supplies-IV Solutions/Supplies - Billable"/>
    <s v="Nuclear Medicine"/>
    <x v="0"/>
    <m/>
    <n v="356"/>
    <n v="267"/>
    <n v="178"/>
    <n v="0"/>
    <n v="0"/>
    <n v="0"/>
    <n v="0"/>
    <n v="0"/>
    <n v="0"/>
    <n v="0"/>
    <n v="0"/>
    <n v="0"/>
    <n v="801"/>
    <n v="0"/>
  </r>
  <r>
    <x v="11"/>
    <x v="0"/>
    <x v="0"/>
    <s v="4825102"/>
    <n v="721250"/>
    <s v="Supplies-Pharmacy Drugs - Billable"/>
    <s v="Nuclear Medicine"/>
    <x v="0"/>
    <m/>
    <n v="12729.24"/>
    <n v="13636.92"/>
    <n v="8150.79"/>
    <n v="11808.53"/>
    <n v="11932.76"/>
    <n v="9530.33"/>
    <n v="11834.8"/>
    <n v="5742.9"/>
    <n v="11524"/>
    <n v="13680.24"/>
    <n v="0"/>
    <n v="0"/>
    <n v="110570.51"/>
    <n v="0"/>
  </r>
  <r>
    <x v="11"/>
    <x v="0"/>
    <x v="0"/>
    <s v="4825102"/>
    <n v="721250"/>
    <s v="Radioactive Material"/>
    <s v="Nuclear Medicine"/>
    <x v="0"/>
    <n v="1001"/>
    <n v="30077.86"/>
    <n v="23443.3"/>
    <n v="20672.05"/>
    <n v="24159.47"/>
    <n v="19257.810000000001"/>
    <n v="6196.88"/>
    <n v="41073.4"/>
    <n v="16226.75"/>
    <n v="18841.55"/>
    <n v="9457.01"/>
    <n v="2705"/>
    <n v="7964.73"/>
    <n v="220075.81000000003"/>
    <n v="-5259.73"/>
  </r>
  <r>
    <x v="11"/>
    <x v="0"/>
    <x v="0"/>
    <s v="4825102"/>
    <n v="721410"/>
    <s v="Supplies-Medical - Nonbillable"/>
    <s v="Nuclear Medicine"/>
    <x v="0"/>
    <m/>
    <n v="35.299999999999997"/>
    <n v="43.19"/>
    <n v="18.12"/>
    <n v="0"/>
    <n v="0"/>
    <n v="26.6"/>
    <n v="17.38"/>
    <n v="0"/>
    <n v="0"/>
    <n v="549.19000000000005"/>
    <n v="44.73"/>
    <n v="22.52"/>
    <n v="757.03000000000009"/>
    <n v="22.209999999999997"/>
  </r>
  <r>
    <x v="11"/>
    <x v="0"/>
    <x v="0"/>
    <s v="4825102"/>
    <n v="721610"/>
    <s v="Supplies-Anesthesia - Nonbillable"/>
    <s v="Nuclear Medicine"/>
    <x v="0"/>
    <m/>
    <n v="2.67"/>
    <n v="0"/>
    <n v="0"/>
    <n v="0"/>
    <n v="0"/>
    <n v="6.9"/>
    <n v="0"/>
    <n v="0"/>
    <n v="0"/>
    <n v="0"/>
    <n v="2.76"/>
    <n v="0"/>
    <n v="12.33"/>
    <n v="2.76"/>
  </r>
  <r>
    <x v="11"/>
    <x v="0"/>
    <x v="0"/>
    <s v="4825102"/>
    <n v="721640"/>
    <s v="Supplies-IV Solutions/Supplies - Nonbillable"/>
    <s v="Nuclear Medicine"/>
    <x v="0"/>
    <m/>
    <n v="21.4"/>
    <n v="6.66"/>
    <n v="0"/>
    <n v="22.47"/>
    <n v="0"/>
    <n v="6.42"/>
    <n v="0"/>
    <n v="0"/>
    <n v="0"/>
    <n v="6.66"/>
    <n v="90.95"/>
    <n v="0"/>
    <n v="154.56"/>
    <n v="90.95"/>
  </r>
  <r>
    <x v="11"/>
    <x v="0"/>
    <x v="0"/>
    <s v="4825102"/>
    <n v="721710"/>
    <s v="Supplies-Laboratory - Nonbillable"/>
    <s v="Nuclear Medicine"/>
    <x v="0"/>
    <m/>
    <n v="4"/>
    <n v="0"/>
    <n v="0"/>
    <n v="0"/>
    <n v="0"/>
    <n v="0"/>
    <n v="0"/>
    <n v="0"/>
    <n v="0"/>
    <n v="0"/>
    <n v="0"/>
    <n v="0"/>
    <n v="4"/>
    <n v="0"/>
  </r>
  <r>
    <x v="11"/>
    <x v="0"/>
    <x v="0"/>
    <s v="4825102"/>
    <n v="721910"/>
    <s v="Supplies-Small Equipment"/>
    <s v="Nuclear Medicine"/>
    <x v="0"/>
    <m/>
    <n v="0"/>
    <n v="0"/>
    <n v="0"/>
    <n v="4.08"/>
    <n v="0"/>
    <n v="0"/>
    <n v="0"/>
    <n v="0"/>
    <n v="0"/>
    <n v="6.99"/>
    <n v="0"/>
    <n v="0"/>
    <n v="11.07"/>
    <n v="0"/>
  </r>
  <r>
    <x v="11"/>
    <x v="0"/>
    <x v="0"/>
    <s v="4825102"/>
    <n v="721980"/>
    <s v="Supplies-Other"/>
    <s v="Nuclear Medicine"/>
    <x v="0"/>
    <m/>
    <n v="0"/>
    <n v="0"/>
    <n v="0"/>
    <n v="0"/>
    <n v="0"/>
    <n v="0"/>
    <n v="0"/>
    <n v="0"/>
    <n v="0"/>
    <n v="0"/>
    <n v="7.49"/>
    <n v="0"/>
    <n v="7.49"/>
    <n v="7.49"/>
  </r>
  <r>
    <x v="11"/>
    <x v="0"/>
    <x v="0"/>
    <s v="4825102"/>
    <n v="722000"/>
    <s v="Supplies-Freight Expense"/>
    <s v="Nuclear Medicine"/>
    <x v="0"/>
    <m/>
    <n v="0"/>
    <n v="525"/>
    <n v="850"/>
    <n v="560"/>
    <n v="950"/>
    <n v="375"/>
    <n v="410.68"/>
    <n v="144.44"/>
    <n v="1260"/>
    <n v="2120"/>
    <n v="1110"/>
    <n v="2070"/>
    <n v="10375.119999999999"/>
    <n v="-960"/>
  </r>
  <r>
    <x v="11"/>
    <x v="0"/>
    <x v="0"/>
    <s v="4825102"/>
    <n v="722000"/>
    <s v="Rush Order Fees"/>
    <s v="Nuclear Medicine"/>
    <x v="0"/>
    <n v="1005"/>
    <n v="0"/>
    <n v="855"/>
    <n v="950"/>
    <n v="335"/>
    <n v="380"/>
    <n v="475"/>
    <n v="95"/>
    <n v="0"/>
    <n v="380"/>
    <n v="95"/>
    <n v="285"/>
    <n v="190"/>
    <n v="4040"/>
    <n v="95"/>
  </r>
  <r>
    <x v="12"/>
    <x v="0"/>
    <x v="0"/>
    <s v="4825102"/>
    <n v="730020"/>
    <s v="Rental and Leases-Copier Usage Fees (DO NOT USE)"/>
    <s v="Nuclear Medicine"/>
    <x v="0"/>
    <n v="5100"/>
    <n v="36.049999999999997"/>
    <n v="36.51"/>
    <n v="36.28"/>
    <n v="36.28"/>
    <n v="36.28"/>
    <n v="36.28"/>
    <n v="1.89"/>
    <n v="35.64"/>
    <n v="35.56"/>
    <n v="35.72"/>
    <n v="35.64"/>
    <n v="42.06"/>
    <n v="404.19"/>
    <n v="-6.4200000000000017"/>
  </r>
  <r>
    <x v="15"/>
    <x v="0"/>
    <x v="0"/>
    <s v="4825102"/>
    <n v="731060"/>
    <s v="Pagers"/>
    <s v="Nuclear Medicine"/>
    <x v="0"/>
    <n v="1002"/>
    <n v="32.4"/>
    <n v="32.4"/>
    <n v="51.83"/>
    <n v="24.36"/>
    <n v="24.36"/>
    <n v="0"/>
    <n v="48.72"/>
    <n v="24.36"/>
    <n v="24.36"/>
    <n v="24.36"/>
    <n v="24.36"/>
    <n v="16.239999999999998"/>
    <n v="327.75000000000006"/>
    <n v="8.120000000000001"/>
  </r>
  <r>
    <x v="13"/>
    <x v="0"/>
    <x v="0"/>
    <s v="4825102"/>
    <n v="735070"/>
    <s v="Depreciation-Movable Equipment"/>
    <s v="Nuclear Medicine"/>
    <x v="0"/>
    <m/>
    <n v="256.43"/>
    <n v="256.43"/>
    <n v="256.43"/>
    <n v="256.43"/>
    <n v="256.43"/>
    <n v="256.43"/>
    <n v="256.44"/>
    <n v="256.43"/>
    <n v="256.44"/>
    <n v="256.43"/>
    <n v="256.44"/>
    <n v="256.43"/>
    <n v="3077.19"/>
    <n v="9.9999999999909051E-3"/>
  </r>
  <r>
    <x v="0"/>
    <x v="0"/>
    <x v="0"/>
    <s v="4825102"/>
    <n v="749510"/>
    <s v="Licenses"/>
    <s v="Nuclear Medicine"/>
    <x v="0"/>
    <n v="1002"/>
    <n v="0"/>
    <n v="0"/>
    <n v="46.8"/>
    <n v="0"/>
    <n v="42.94"/>
    <n v="45.84"/>
    <n v="41.67"/>
    <n v="0"/>
    <n v="41.67"/>
    <n v="41.67"/>
    <n v="41.67"/>
    <n v="0"/>
    <n v="302.26000000000005"/>
    <n v="41.67"/>
  </r>
  <r>
    <x v="18"/>
    <x v="4"/>
    <x v="0"/>
    <s v="4825103"/>
    <n v="400010"/>
    <s v="Acute I/P Svcs Rev--Medicare"/>
    <s v="Nuclear Medicine"/>
    <x v="0"/>
    <n v="1100"/>
    <n v="-73872.84"/>
    <n v="-84990.77"/>
    <n v="-56667.69"/>
    <n v="-67201.89"/>
    <n v="-39367.760000000002"/>
    <n v="-39914.870000000003"/>
    <n v="-73576.11"/>
    <n v="-68180.34"/>
    <n v="-70331.14"/>
    <n v="-99315.59"/>
    <n v="-83409.210000000006"/>
    <n v="-64553.03"/>
    <n v="-821381.24"/>
    <n v="-18856.180000000008"/>
  </r>
  <r>
    <x v="18"/>
    <x v="4"/>
    <x v="0"/>
    <s v="4825103"/>
    <n v="400010"/>
    <s v="Acute I/P Svcs Rev--Medicaid"/>
    <s v="Nuclear Medicine"/>
    <x v="0"/>
    <n v="1200"/>
    <n v="-48921.58"/>
    <n v="-3712.23"/>
    <n v="-22335.94"/>
    <n v="-30173.09"/>
    <n v="-17986.91"/>
    <n v="-23054.45"/>
    <n v="-45065.46"/>
    <n v="-20916.66"/>
    <n v="-41792.79"/>
    <n v="-32987.99"/>
    <n v="-14159.86"/>
    <n v="-29571.06"/>
    <n v="-330678.02"/>
    <n v="15411.2"/>
  </r>
  <r>
    <x v="18"/>
    <x v="4"/>
    <x v="0"/>
    <s v="4825103"/>
    <n v="400010"/>
    <s v="Acute I/P Svcs Rev--Comm Insurance"/>
    <s v="Nuclear Medicine"/>
    <x v="0"/>
    <n v="1300"/>
    <n v="0"/>
    <n v="734.4"/>
    <n v="4691.7299999999996"/>
    <n v="-8781.5400000000009"/>
    <n v="0"/>
    <n v="0"/>
    <n v="0"/>
    <n v="-7879.85"/>
    <n v="0"/>
    <n v="-2766.26"/>
    <n v="0"/>
    <n v="0"/>
    <n v="-14001.520000000002"/>
    <n v="0"/>
  </r>
  <r>
    <x v="18"/>
    <x v="4"/>
    <x v="0"/>
    <s v="4825103"/>
    <n v="400010"/>
    <s v="Acute I/P Svcs Rev--BCBS Comm"/>
    <s v="Nuclear Medicine"/>
    <x v="0"/>
    <n v="1301"/>
    <n v="-2857.97"/>
    <n v="0"/>
    <n v="-2857.34"/>
    <n v="-12170.14"/>
    <n v="0"/>
    <n v="0"/>
    <n v="-8781.5400000000009"/>
    <n v="0"/>
    <n v="-1407.66"/>
    <n v="0"/>
    <n v="0"/>
    <n v="0"/>
    <n v="-28074.649999999998"/>
    <n v="0"/>
  </r>
  <r>
    <x v="18"/>
    <x v="4"/>
    <x v="0"/>
    <s v="4825103"/>
    <n v="400010"/>
    <s v="Acute I/P Svcs Rev--Managed Care"/>
    <s v="Nuclear Medicine"/>
    <x v="0"/>
    <n v="1400"/>
    <n v="-20951.68"/>
    <n v="-14782.49"/>
    <n v="-23600.69"/>
    <n v="-8781.5400000000009"/>
    <n v="0"/>
    <n v="-12322.05"/>
    <n v="-17563.080000000002"/>
    <n v="-9010.2900000000009"/>
    <n v="-14886.11"/>
    <n v="0"/>
    <n v="-10239.620000000001"/>
    <n v="-16286.1"/>
    <n v="-148423.65000000002"/>
    <n v="6046.48"/>
  </r>
  <r>
    <x v="18"/>
    <x v="4"/>
    <x v="0"/>
    <s v="4825103"/>
    <n v="400010"/>
    <s v="Acute I/P Svcs Rev--Self Pay"/>
    <s v="Nuclear Medicine"/>
    <x v="0"/>
    <n v="1500"/>
    <n v="0"/>
    <n v="0"/>
    <n v="0"/>
    <n v="0"/>
    <n v="-9359.7099999999991"/>
    <n v="0"/>
    <n v="0"/>
    <n v="0"/>
    <n v="-3266.39"/>
    <n v="0"/>
    <n v="0"/>
    <n v="0"/>
    <n v="-12626.099999999999"/>
    <n v="0"/>
  </r>
  <r>
    <x v="18"/>
    <x v="4"/>
    <x v="0"/>
    <s v="4825103"/>
    <n v="400010"/>
    <s v="Acute I/P Svcs Rev--Other"/>
    <s v="Nuclear Medicine"/>
    <x v="0"/>
    <n v="1700"/>
    <n v="6110.62"/>
    <n v="-10165.799999999999"/>
    <n v="-8781.5400000000009"/>
    <n v="-3388.6"/>
    <n v="0"/>
    <n v="0"/>
    <n v="-29733.22"/>
    <n v="-3252.65"/>
    <n v="-14759.87"/>
    <n v="5743.9"/>
    <n v="-2121.61"/>
    <n v="-15426.99"/>
    <n v="-75775.760000000009"/>
    <n v="13305.38"/>
  </r>
  <r>
    <x v="19"/>
    <x v="4"/>
    <x v="0"/>
    <s v="4825103"/>
    <n v="400020"/>
    <s v="O/P Care Svcs Rev--Medicare"/>
    <s v="Nuclear Medicine"/>
    <x v="0"/>
    <n v="1100"/>
    <n v="-135756.92000000001"/>
    <n v="-220385.92000000001"/>
    <n v="-199007.85"/>
    <n v="-201264.63"/>
    <n v="-175568.58"/>
    <n v="-142114.54999999999"/>
    <n v="-200340.29"/>
    <n v="-257830.15"/>
    <n v="-177200.55"/>
    <n v="-164015.15"/>
    <n v="-266125.55"/>
    <n v="-185547.57"/>
    <n v="-2325157.7099999995"/>
    <n v="-80577.979999999981"/>
  </r>
  <r>
    <x v="19"/>
    <x v="4"/>
    <x v="0"/>
    <s v="4825103"/>
    <n v="400020"/>
    <s v="O/P Care Svcs Rev--Medicaid"/>
    <s v="Nuclear Medicine"/>
    <x v="0"/>
    <n v="1200"/>
    <n v="-36747.26"/>
    <n v="-81747.899999999994"/>
    <n v="-32446.93"/>
    <n v="-75506.63"/>
    <n v="-63609.35"/>
    <n v="-52427.21"/>
    <n v="-77038.320000000007"/>
    <n v="-15183.25"/>
    <n v="-63572.63"/>
    <n v="-34161.11"/>
    <n v="-105586.23"/>
    <n v="-48086.95"/>
    <n v="-686113.77"/>
    <n v="-57499.28"/>
  </r>
  <r>
    <x v="19"/>
    <x v="4"/>
    <x v="0"/>
    <s v="4825103"/>
    <n v="400020"/>
    <s v="O/P Care Svcs Rev--Comm Insurance"/>
    <s v="Nuclear Medicine"/>
    <x v="0"/>
    <n v="1300"/>
    <n v="-8096.8"/>
    <n v="-3371.47"/>
    <n v="-2522.1799999999998"/>
    <n v="0"/>
    <n v="-19545.54"/>
    <n v="-6140.8"/>
    <n v="-259.5"/>
    <n v="-3070.4"/>
    <n v="0"/>
    <n v="0"/>
    <n v="-11589.52"/>
    <n v="-15284.97"/>
    <n v="-69881.180000000008"/>
    <n v="3695.4499999999989"/>
  </r>
  <r>
    <x v="19"/>
    <x v="4"/>
    <x v="0"/>
    <s v="4825103"/>
    <n v="400020"/>
    <s v="O/P Care Svcs Rev--BCBS Comm"/>
    <s v="Nuclear Medicine"/>
    <x v="0"/>
    <n v="1301"/>
    <n v="-23796.04"/>
    <n v="-6795.01"/>
    <n v="-40018.78"/>
    <n v="-22363.1"/>
    <n v="-19895.5"/>
    <n v="-25855.42"/>
    <n v="-14315.75"/>
    <n v="0"/>
    <n v="-10650.25"/>
    <n v="-25751.32"/>
    <n v="-1734.54"/>
    <n v="-29124.16"/>
    <n v="-220299.87"/>
    <n v="27389.62"/>
  </r>
  <r>
    <x v="19"/>
    <x v="4"/>
    <x v="0"/>
    <s v="4825103"/>
    <n v="400020"/>
    <s v="O/P Care Svcs Rev--Managed Care"/>
    <s v="Nuclear Medicine"/>
    <x v="0"/>
    <n v="1400"/>
    <n v="-64379.57"/>
    <n v="-35803.86"/>
    <n v="-71239.429999999993"/>
    <n v="-88244.99"/>
    <n v="-43778.68"/>
    <n v="-76464.52"/>
    <n v="-51548.04"/>
    <n v="-36729.46"/>
    <n v="-74820.78"/>
    <n v="-44672.85"/>
    <n v="-47748.68"/>
    <n v="-49582.94"/>
    <n v="-685013.8"/>
    <n v="1834.260000000002"/>
  </r>
  <r>
    <x v="19"/>
    <x v="4"/>
    <x v="0"/>
    <s v="4825103"/>
    <n v="400020"/>
    <s v="O/P Care Svcs Rev--Self Pay"/>
    <s v="Nuclear Medicine"/>
    <x v="0"/>
    <n v="1500"/>
    <n v="0"/>
    <n v="-4808.84"/>
    <n v="0"/>
    <n v="-7693.6"/>
    <n v="-17563.080000000002"/>
    <n v="0"/>
    <n v="8781.5400000000009"/>
    <n v="-8781.5400000000009"/>
    <n v="-3266.39"/>
    <n v="0"/>
    <n v="-15743.72"/>
    <n v="-2570.8200000000002"/>
    <n v="-51646.450000000004"/>
    <n v="-13172.9"/>
  </r>
  <r>
    <x v="19"/>
    <x v="4"/>
    <x v="0"/>
    <s v="4825103"/>
    <n v="400020"/>
    <s v="O/P Care Svcs Rev--Other"/>
    <s v="Nuclear Medicine"/>
    <x v="0"/>
    <n v="1700"/>
    <n v="-15055.44"/>
    <n v="-17486.57"/>
    <n v="-28569.78"/>
    <n v="-35649.4"/>
    <n v="-23071.22"/>
    <n v="-13721.95"/>
    <n v="-26344.62"/>
    <n v="-9590.58"/>
    <n v="-75843.789999999994"/>
    <n v="-25609.05"/>
    <n v="-20226.07"/>
    <n v="-80894.399999999994"/>
    <n v="-372062.87"/>
    <n v="60668.329999999994"/>
  </r>
  <r>
    <x v="5"/>
    <x v="4"/>
    <x v="0"/>
    <s v="4825103"/>
    <n v="700034"/>
    <s v="Salaries-Tech/Professional-Productive"/>
    <s v="Nuclear Medicine"/>
    <x v="0"/>
    <m/>
    <n v="14556.15"/>
    <n v="13480.4"/>
    <n v="17158.64"/>
    <n v="16874.73"/>
    <n v="12687.92"/>
    <n v="15338.77"/>
    <n v="15037.35"/>
    <n v="14721.98"/>
    <n v="23547.759999999998"/>
    <n v="14241.9"/>
    <n v="18909.36"/>
    <n v="18529.009999999998"/>
    <n v="195083.97000000003"/>
    <n v="380.35000000000218"/>
  </r>
  <r>
    <x v="5"/>
    <x v="4"/>
    <x v="0"/>
    <s v="4825103"/>
    <n v="700034"/>
    <s v="Salaries-Tech/Professional-OT"/>
    <s v="Nuclear Medicine"/>
    <x v="0"/>
    <n v="1000"/>
    <n v="1165.32"/>
    <n v="350.65"/>
    <n v="1000.59"/>
    <n v="2050.67"/>
    <n v="3686.81"/>
    <n v="1347.08"/>
    <n v="5312.33"/>
    <n v="1683.62"/>
    <n v="1274.51"/>
    <n v="5423.09"/>
    <n v="1625.51"/>
    <n v="20.32"/>
    <n v="24940.499999999996"/>
    <n v="1605.19"/>
  </r>
  <r>
    <x v="5"/>
    <x v="4"/>
    <x v="0"/>
    <s v="4825103"/>
    <n v="700034"/>
    <s v="Salaries-Tech/Professional-Other"/>
    <s v="Nuclear Medicine"/>
    <x v="0"/>
    <n v="2000"/>
    <n v="1396.07"/>
    <n v="1645.16"/>
    <n v="1238.94"/>
    <n v="1004.66"/>
    <n v="673.03"/>
    <n v="1377.42"/>
    <n v="1150.18"/>
    <n v="1226.0999999999999"/>
    <n v="1715.89"/>
    <n v="1654.43"/>
    <n v="1963.92"/>
    <n v="1806.87"/>
    <n v="16852.669999999998"/>
    <n v="157.05000000000018"/>
  </r>
  <r>
    <x v="5"/>
    <x v="4"/>
    <x v="0"/>
    <s v="4825103"/>
    <n v="700074"/>
    <s v="Salaries-Tech/Professional-Non-productive"/>
    <s v="Nuclear Medicine"/>
    <x v="0"/>
    <m/>
    <n v="2348.7199999999998"/>
    <n v="5531.08"/>
    <n v="2937.16"/>
    <n v="2538.85"/>
    <n v="2716.68"/>
    <n v="3520.76"/>
    <n v="1742.85"/>
    <n v="1878.39"/>
    <n v="1059.06"/>
    <n v="2964.97"/>
    <n v="3123.46"/>
    <n v="4301.42"/>
    <n v="34663.4"/>
    <n v="-1177.96"/>
  </r>
  <r>
    <x v="5"/>
    <x v="4"/>
    <x v="0"/>
    <s v="4825103"/>
    <n v="700074"/>
    <s v="Salaries-Tech/Professional-NonProd-Other"/>
    <s v="Nuclear Medicine"/>
    <x v="0"/>
    <n v="2000"/>
    <n v="216.56"/>
    <n v="1052.79"/>
    <n v="1390.56"/>
    <n v="383.18"/>
    <n v="656.11"/>
    <n v="1075.6300000000001"/>
    <n v="303.57"/>
    <n v="427.82"/>
    <n v="874.9"/>
    <n v="1662.98"/>
    <n v="353.4"/>
    <n v="196.38"/>
    <n v="8593.8799999999974"/>
    <n v="157.01999999999998"/>
  </r>
  <r>
    <x v="5"/>
    <x v="4"/>
    <x v="0"/>
    <s v="4825103"/>
    <n v="700084"/>
    <s v="Accrued PTO"/>
    <s v="Nuclear Medicine"/>
    <x v="0"/>
    <m/>
    <n v="-520.6"/>
    <n v="-1265.45"/>
    <n v="-2448.86"/>
    <n v="999.37"/>
    <n v="1308.77"/>
    <n v="188.23"/>
    <n v="-23.73"/>
    <n v="884.91"/>
    <n v="2115.44"/>
    <n v="603.79999999999995"/>
    <n v="1903.21"/>
    <n v="-1674.12"/>
    <n v="2070.9700000000003"/>
    <n v="3577.33"/>
  </r>
  <r>
    <x v="6"/>
    <x v="4"/>
    <x v="0"/>
    <s v="4825103"/>
    <n v="713010"/>
    <s v="Benefits-FICA/Medicare"/>
    <s v="Nuclear Medicine"/>
    <x v="0"/>
    <m/>
    <n v="1488.79"/>
    <n v="1670.64"/>
    <n v="1798.66"/>
    <n v="1731.24"/>
    <n v="1456.41"/>
    <n v="1094.8800000000001"/>
    <n v="1777.74"/>
    <n v="1504.7"/>
    <n v="2152.7800000000002"/>
    <n v="1961.17"/>
    <n v="1963.44"/>
    <n v="1877.03"/>
    <n v="20477.48"/>
    <n v="86.410000000000082"/>
  </r>
  <r>
    <x v="6"/>
    <x v="4"/>
    <x v="0"/>
    <s v="4825103"/>
    <n v="713090"/>
    <s v="Benefits-Allocated Amounts"/>
    <s v="Nuclear Medicine"/>
    <x v="0"/>
    <m/>
    <n v="2822.5"/>
    <n v="2716.76"/>
    <n v="3038.52"/>
    <n v="3043.99"/>
    <n v="2898.51"/>
    <n v="3031.22"/>
    <n v="3288.63"/>
    <n v="3004.21"/>
    <n v="4303.12"/>
    <n v="3908.1"/>
    <n v="4104.0600000000004"/>
    <n v="4039.86"/>
    <n v="40199.479999999996"/>
    <n v="64.200000000000273"/>
  </r>
  <r>
    <x v="7"/>
    <x v="4"/>
    <x v="0"/>
    <s v="4825103"/>
    <n v="718050"/>
    <s v="Contract Svcs-Other"/>
    <s v="Nuclear Medicine"/>
    <x v="0"/>
    <m/>
    <n v="0"/>
    <n v="1066.03"/>
    <n v="0"/>
    <n v="0"/>
    <n v="0"/>
    <n v="0"/>
    <n v="42.86"/>
    <n v="22.68"/>
    <n v="920"/>
    <n v="22.68"/>
    <n v="22.7"/>
    <n v="3380"/>
    <n v="5476.9499999999989"/>
    <n v="-3357.3"/>
  </r>
  <r>
    <x v="7"/>
    <x v="4"/>
    <x v="0"/>
    <s v="4825103"/>
    <n v="718050"/>
    <s v="Miscellaneous Purchased Svcs"/>
    <s v="Nuclear Medicine"/>
    <x v="0"/>
    <n v="1020"/>
    <n v="22.64"/>
    <n v="22.64"/>
    <n v="22.64"/>
    <n v="22.64"/>
    <n v="22.64"/>
    <n v="22.64"/>
    <n v="22.68"/>
    <n v="0"/>
    <n v="22.68"/>
    <n v="0"/>
    <n v="0"/>
    <n v="22.7"/>
    <n v="203.9"/>
    <n v="-22.7"/>
  </r>
  <r>
    <x v="7"/>
    <x v="4"/>
    <x v="0"/>
    <s v="4825103"/>
    <n v="718050"/>
    <s v="Translation Services"/>
    <s v="Nuclear Medicine"/>
    <x v="0"/>
    <n v="1025"/>
    <n v="160"/>
    <n v="0"/>
    <n v="0"/>
    <n v="336"/>
    <n v="0"/>
    <n v="0"/>
    <n v="0"/>
    <n v="0"/>
    <n v="0"/>
    <n v="0"/>
    <n v="32"/>
    <n v="0"/>
    <n v="528"/>
    <n v="32"/>
  </r>
  <r>
    <x v="7"/>
    <x v="4"/>
    <x v="0"/>
    <s v="4825103"/>
    <n v="718050"/>
    <s v="Contract Management--Linen"/>
    <s v="Nuclear Medicine"/>
    <x v="0"/>
    <n v="1026"/>
    <n v="1206.3900000000001"/>
    <n v="1502.34"/>
    <n v="1418.36"/>
    <n v="800.39"/>
    <n v="1306.99"/>
    <n v="1251.78"/>
    <n v="1445.55"/>
    <n v="1553.2"/>
    <n v="1438.18"/>
    <n v="3110.41"/>
    <n v="1338.16"/>
    <n v="2051.4299999999998"/>
    <n v="18423.18"/>
    <n v="-713.26999999999975"/>
  </r>
  <r>
    <x v="7"/>
    <x v="4"/>
    <x v="0"/>
    <s v="4825103"/>
    <n v="718070"/>
    <s v="Contract Srvcs-CHI Clinical Engineering"/>
    <s v="Nuclear Medicine"/>
    <x v="0"/>
    <m/>
    <n v="2083.33"/>
    <n v="2083.33"/>
    <n v="2083.34"/>
    <n v="2083.33"/>
    <n v="2083.33"/>
    <n v="2083.34"/>
    <n v="2083.33"/>
    <n v="2083.33"/>
    <n v="2083.34"/>
    <n v="2083.33"/>
    <n v="2083.33"/>
    <n v="2083.34"/>
    <n v="25000.000000000004"/>
    <n v="-1.0000000000218279E-2"/>
  </r>
  <r>
    <x v="7"/>
    <x v="4"/>
    <x v="0"/>
    <s v="4825103"/>
    <n v="718077"/>
    <s v="PACS"/>
    <s v="Nuclear Medicine"/>
    <x v="0"/>
    <n v="1000"/>
    <n v="215.78"/>
    <n v="226.96"/>
    <n v="206.58"/>
    <n v="235.67"/>
    <n v="215.34"/>
    <n v="208.34"/>
    <n v="238"/>
    <n v="198.53"/>
    <n v="238.92"/>
    <n v="235.98"/>
    <n v="243.9"/>
    <n v="221.72"/>
    <n v="2685.72"/>
    <n v="22.180000000000007"/>
  </r>
  <r>
    <x v="11"/>
    <x v="4"/>
    <x v="0"/>
    <s v="4825103"/>
    <n v="721010"/>
    <s v="Supplies-Medical - Billable"/>
    <s v="Nuclear Medicine"/>
    <x v="0"/>
    <m/>
    <n v="0"/>
    <n v="70.5"/>
    <n v="0"/>
    <n v="19.63"/>
    <n v="0"/>
    <n v="0"/>
    <n v="19.63"/>
    <n v="0"/>
    <n v="0"/>
    <n v="19.63"/>
    <n v="0"/>
    <n v="0"/>
    <n v="129.38999999999999"/>
    <n v="0"/>
  </r>
  <r>
    <x v="11"/>
    <x v="4"/>
    <x v="0"/>
    <s v="4825103"/>
    <n v="721010"/>
    <s v="Patient Monitoring"/>
    <s v="Nuclear Medicine"/>
    <x v="0"/>
    <n v="1000"/>
    <n v="28.2"/>
    <n v="85.49"/>
    <n v="9.6999999999999993"/>
    <n v="90.78"/>
    <n v="2.64"/>
    <n v="13.66"/>
    <n v="15.87"/>
    <n v="10.58"/>
    <n v="10.58"/>
    <n v="15.87"/>
    <n v="22.48"/>
    <n v="79.84"/>
    <n v="385.69000000000005"/>
    <n v="-57.36"/>
  </r>
  <r>
    <x v="11"/>
    <x v="4"/>
    <x v="0"/>
    <s v="4825103"/>
    <n v="721240"/>
    <s v="Supplies-IV Solutions/Supplies - Billable"/>
    <s v="Nuclear Medicine"/>
    <x v="0"/>
    <m/>
    <n v="64.2"/>
    <n v="42.49"/>
    <n v="85.84"/>
    <n v="67.900000000000006"/>
    <n v="93.34"/>
    <n v="111.89"/>
    <n v="134.38"/>
    <n v="33.590000000000003"/>
    <n v="56.02"/>
    <n v="88.14"/>
    <n v="131.61000000000001"/>
    <n v="47.85"/>
    <n v="957.25"/>
    <n v="83.760000000000019"/>
  </r>
  <r>
    <x v="11"/>
    <x v="4"/>
    <x v="0"/>
    <s v="4825103"/>
    <n v="721250"/>
    <s v="Supplies-Pharmacy Drugs - Billable"/>
    <s v="Nuclear Medicine"/>
    <x v="0"/>
    <m/>
    <n v="3312.2"/>
    <n v="10255.459999999999"/>
    <n v="5265.71"/>
    <n v="4851.3900000000003"/>
    <n v="6289.8"/>
    <n v="8449.0400000000009"/>
    <n v="4314.6000000000004"/>
    <n v="5762"/>
    <n v="4321.5"/>
    <n v="9014.0400000000009"/>
    <n v="16728.599999999999"/>
    <n v="11361.9"/>
    <n v="89926.239999999991"/>
    <n v="5366.6999999999989"/>
  </r>
  <r>
    <x v="11"/>
    <x v="4"/>
    <x v="0"/>
    <s v="4825103"/>
    <n v="721250"/>
    <s v="Radioactive Material"/>
    <s v="Nuclear Medicine"/>
    <x v="0"/>
    <n v="1001"/>
    <n v="35915.089999999997"/>
    <n v="22171.95"/>
    <n v="6573.01"/>
    <n v="10675.55"/>
    <n v="10988.62"/>
    <n v="12817.71"/>
    <n v="12175.62"/>
    <n v="7738.78"/>
    <n v="3355.12"/>
    <n v="4110.33"/>
    <n v="-1286.67"/>
    <n v="12957.06"/>
    <n v="138192.16999999998"/>
    <n v="-14243.73"/>
  </r>
  <r>
    <x v="11"/>
    <x v="4"/>
    <x v="0"/>
    <s v="4825103"/>
    <n v="721410"/>
    <s v="Supplies-Medical - Nonbillable"/>
    <s v="Nuclear Medicine"/>
    <x v="0"/>
    <m/>
    <n v="291.79000000000002"/>
    <n v="124.21"/>
    <n v="77.91"/>
    <n v="79.98"/>
    <n v="92.92"/>
    <n v="120.11"/>
    <n v="129.51"/>
    <n v="94.27"/>
    <n v="85.57"/>
    <n v="333.79"/>
    <n v="151.54"/>
    <n v="35.25"/>
    <n v="1616.85"/>
    <n v="116.28999999999999"/>
  </r>
  <r>
    <x v="11"/>
    <x v="4"/>
    <x v="0"/>
    <s v="4825103"/>
    <n v="721410"/>
    <s v="Patient Monitoring"/>
    <s v="Nuclear Medicine"/>
    <x v="0"/>
    <n v="1000"/>
    <n v="0"/>
    <n v="0"/>
    <n v="0"/>
    <n v="0"/>
    <n v="0"/>
    <n v="0"/>
    <n v="0"/>
    <n v="0"/>
    <n v="0"/>
    <n v="0"/>
    <n v="0"/>
    <n v="483.56"/>
    <n v="483.56"/>
    <n v="-483.56"/>
  </r>
  <r>
    <x v="11"/>
    <x v="4"/>
    <x v="0"/>
    <s v="4825103"/>
    <n v="721420"/>
    <s v="Supplies-Surgical Nonbillable"/>
    <s v="Nuclear Medicine"/>
    <x v="0"/>
    <m/>
    <n v="0"/>
    <n v="0"/>
    <n v="0"/>
    <n v="15.6"/>
    <n v="0"/>
    <n v="0"/>
    <n v="52.65"/>
    <n v="0"/>
    <n v="0"/>
    <n v="0"/>
    <n v="0"/>
    <n v="0"/>
    <n v="68.25"/>
    <n v="0"/>
  </r>
  <r>
    <x v="11"/>
    <x v="4"/>
    <x v="0"/>
    <s v="4825103"/>
    <n v="721610"/>
    <s v="Supplies-Anesthesia - Nonbillable"/>
    <s v="Nuclear Medicine"/>
    <x v="0"/>
    <m/>
    <n v="14.14"/>
    <n v="7.07"/>
    <n v="9.74"/>
    <n v="9.65"/>
    <n v="6.59"/>
    <n v="2.9"/>
    <n v="33.46"/>
    <n v="3.53"/>
    <n v="8.26"/>
    <n v="29.74"/>
    <n v="9.4600000000000009"/>
    <n v="4.24"/>
    <n v="138.78"/>
    <n v="5.2200000000000006"/>
  </r>
  <r>
    <x v="11"/>
    <x v="4"/>
    <x v="0"/>
    <s v="4825103"/>
    <n v="721640"/>
    <s v="Supplies-IV Solutions/Supplies - Nonbillable"/>
    <s v="Nuclear Medicine"/>
    <x v="0"/>
    <m/>
    <n v="111.36"/>
    <n v="111.36"/>
    <n v="79.86"/>
    <n v="58.46"/>
    <n v="23.88"/>
    <n v="145.57"/>
    <n v="132.91"/>
    <n v="34.86"/>
    <n v="43.39"/>
    <n v="129.04"/>
    <n v="73.05"/>
    <n v="85.15"/>
    <n v="1028.8899999999999"/>
    <n v="-12.100000000000009"/>
  </r>
  <r>
    <x v="11"/>
    <x v="4"/>
    <x v="0"/>
    <s v="4825103"/>
    <n v="721810"/>
    <s v="Supplies-Dietary/Cafeteria"/>
    <s v="Nuclear Medicine"/>
    <x v="0"/>
    <m/>
    <n v="0"/>
    <n v="440.54"/>
    <n v="6.88"/>
    <n v="55.85"/>
    <n v="6.88"/>
    <n v="9.1300000000000008"/>
    <n v="0"/>
    <n v="0"/>
    <n v="2.25"/>
    <n v="8.0299999999999994"/>
    <n v="0"/>
    <n v="9.34"/>
    <n v="538.90000000000009"/>
    <n v="-9.34"/>
  </r>
  <r>
    <x v="11"/>
    <x v="4"/>
    <x v="0"/>
    <s v="4825103"/>
    <n v="721830"/>
    <s v="Supplies-Office"/>
    <s v="Nuclear Medicine"/>
    <x v="0"/>
    <m/>
    <n v="268.81"/>
    <n v="0"/>
    <n v="0"/>
    <n v="-1"/>
    <n v="0"/>
    <n v="0"/>
    <n v="0"/>
    <n v="0"/>
    <n v="0"/>
    <n v="0"/>
    <n v="0"/>
    <n v="0"/>
    <n v="267.81"/>
    <n v="0"/>
  </r>
  <r>
    <x v="11"/>
    <x v="4"/>
    <x v="0"/>
    <s v="4825103"/>
    <n v="721870"/>
    <s v="Supplies-Environmental Services"/>
    <s v="Nuclear Medicine"/>
    <x v="0"/>
    <m/>
    <n v="70.08"/>
    <n v="49.38"/>
    <n v="20.7"/>
    <n v="126.63"/>
    <n v="15.74"/>
    <n v="171.21"/>
    <n v="20.7"/>
    <n v="0"/>
    <n v="31.05"/>
    <n v="41.4"/>
    <n v="71.19"/>
    <n v="0"/>
    <n v="618.07999999999993"/>
    <n v="71.19"/>
  </r>
  <r>
    <x v="11"/>
    <x v="4"/>
    <x v="0"/>
    <s v="4825103"/>
    <n v="721910"/>
    <s v="Supplies-Small Equipment"/>
    <s v="Nuclear Medicine"/>
    <x v="0"/>
    <m/>
    <n v="0"/>
    <n v="0.64"/>
    <n v="1.2"/>
    <n v="0"/>
    <n v="0"/>
    <n v="1.44"/>
    <n v="0"/>
    <n v="1.6"/>
    <n v="0"/>
    <n v="0"/>
    <n v="0"/>
    <n v="0"/>
    <n v="4.88"/>
    <n v="0"/>
  </r>
  <r>
    <x v="11"/>
    <x v="4"/>
    <x v="0"/>
    <s v="4825103"/>
    <n v="721910"/>
    <s v="Instruments"/>
    <s v="Nuclear Medicine"/>
    <x v="0"/>
    <n v="1000"/>
    <n v="799.19"/>
    <n v="799.19"/>
    <n v="799.19"/>
    <n v="0"/>
    <n v="0"/>
    <n v="799.19"/>
    <n v="0"/>
    <n v="727.2"/>
    <n v="0"/>
    <n v="-71.989999999999995"/>
    <n v="0"/>
    <n v="0"/>
    <n v="3851.9700000000003"/>
    <n v="0"/>
  </r>
  <r>
    <x v="11"/>
    <x v="4"/>
    <x v="0"/>
    <s v="4825103"/>
    <n v="722000"/>
    <s v="Supplies-Freight Expense"/>
    <s v="Nuclear Medicine"/>
    <x v="0"/>
    <m/>
    <n v="15.03"/>
    <n v="2065.0300000000002"/>
    <n v="890.03"/>
    <n v="800"/>
    <n v="3365"/>
    <n v="570"/>
    <n v="2320.14"/>
    <n v="940"/>
    <n v="14.1"/>
    <n v="960"/>
    <n v="960"/>
    <n v="1480"/>
    <n v="14379.33"/>
    <n v="-520"/>
  </r>
  <r>
    <x v="11"/>
    <x v="4"/>
    <x v="0"/>
    <s v="4825103"/>
    <n v="722000"/>
    <s v="Rush Order Fees"/>
    <s v="Nuclear Medicine"/>
    <x v="0"/>
    <n v="1005"/>
    <n v="0"/>
    <n v="950"/>
    <n v="1140"/>
    <n v="190"/>
    <n v="955"/>
    <n v="865"/>
    <n v="2190"/>
    <n v="580"/>
    <n v="0"/>
    <n v="0"/>
    <n v="285"/>
    <n v="380"/>
    <n v="7535"/>
    <n v="-95"/>
  </r>
  <r>
    <x v="15"/>
    <x v="4"/>
    <x v="0"/>
    <s v="4825103"/>
    <n v="731060"/>
    <s v="Pagers"/>
    <s v="Nuclear Medicine"/>
    <x v="0"/>
    <n v="1002"/>
    <n v="19.62"/>
    <n v="20.7"/>
    <n v="20.7"/>
    <n v="20.74"/>
    <n v="40.15"/>
    <n v="0"/>
    <n v="25.24"/>
    <n v="12.62"/>
    <n v="12.62"/>
    <n v="12.62"/>
    <n v="12.62"/>
    <n v="12.62"/>
    <n v="210.25000000000003"/>
    <n v="0"/>
  </r>
  <r>
    <x v="0"/>
    <x v="4"/>
    <x v="0"/>
    <s v="4825103"/>
    <n v="749510"/>
    <s v="Licenses"/>
    <s v="Nuclear Medicine"/>
    <x v="0"/>
    <n v="1002"/>
    <n v="0"/>
    <n v="0"/>
    <n v="81.86"/>
    <n v="42.86"/>
    <n v="45.8"/>
    <n v="0"/>
    <n v="41.67"/>
    <n v="0"/>
    <n v="41.67"/>
    <n v="0"/>
    <n v="41.67"/>
    <n v="41.67"/>
    <n v="337.20000000000005"/>
    <n v="0"/>
  </r>
  <r>
    <x v="18"/>
    <x v="8"/>
    <x v="0"/>
    <s v="4825104"/>
    <n v="400010"/>
    <s v="Acute I/P Svcs Rev--Medicare"/>
    <s v="Nuclear Medicine"/>
    <x v="0"/>
    <n v="1100"/>
    <n v="-95228.13"/>
    <n v="-128637.12"/>
    <n v="-111116.02"/>
    <n v="-103402.61"/>
    <n v="-65538.880000000005"/>
    <n v="-45199.35"/>
    <n v="-114822.68"/>
    <n v="-81629.81"/>
    <n v="-76600.17"/>
    <n v="-55237.71"/>
    <n v="-79907.48"/>
    <n v="-64353.919999999998"/>
    <n v="-1021673.8800000001"/>
    <n v="-15553.559999999998"/>
  </r>
  <r>
    <x v="18"/>
    <x v="8"/>
    <x v="0"/>
    <s v="4825104"/>
    <n v="400010"/>
    <s v="Acute I/P Svcs Rev--Medicaid"/>
    <s v="Nuclear Medicine"/>
    <x v="0"/>
    <n v="1200"/>
    <n v="-26344.62"/>
    <n v="-17901.78"/>
    <n v="-18756.64"/>
    <n v="-16939.21"/>
    <n v="-18534.21"/>
    <n v="-11757.01"/>
    <n v="-2830.2"/>
    <n v="0"/>
    <n v="-20958.55"/>
    <n v="-14250.27"/>
    <n v="-21097.61"/>
    <n v="-36694.620000000003"/>
    <n v="-206064.71999999997"/>
    <n v="15597.010000000002"/>
  </r>
  <r>
    <x v="18"/>
    <x v="8"/>
    <x v="0"/>
    <s v="4825104"/>
    <n v="400010"/>
    <s v="Acute I/P Svcs Rev--Comm Insurance"/>
    <s v="Nuclear Medicine"/>
    <x v="0"/>
    <n v="1300"/>
    <n v="0"/>
    <n v="2973.97"/>
    <n v="-3540.51"/>
    <n v="0"/>
    <n v="0"/>
    <n v="0"/>
    <n v="0"/>
    <n v="0"/>
    <n v="0"/>
    <n v="0"/>
    <n v="0"/>
    <n v="0"/>
    <n v="-566.54000000000042"/>
    <n v="0"/>
  </r>
  <r>
    <x v="18"/>
    <x v="8"/>
    <x v="0"/>
    <s v="4825104"/>
    <n v="400010"/>
    <s v="Acute I/P Svcs Rev--BCBS Comm"/>
    <s v="Nuclear Medicine"/>
    <x v="0"/>
    <n v="1301"/>
    <n v="-12170.14"/>
    <n v="-2857.34"/>
    <n v="-15162.57"/>
    <n v="-2857.34"/>
    <n v="0"/>
    <n v="0"/>
    <n v="0"/>
    <n v="-1292.51"/>
    <n v="0"/>
    <n v="-2937.91"/>
    <n v="-2937.91"/>
    <n v="0"/>
    <n v="-40215.72"/>
    <n v="-2937.91"/>
  </r>
  <r>
    <x v="18"/>
    <x v="8"/>
    <x v="0"/>
    <s v="4825104"/>
    <n v="400010"/>
    <s v="Acute I/P Svcs Rev--Managed Care"/>
    <s v="Nuclear Medicine"/>
    <x v="0"/>
    <n v="1400"/>
    <n v="-25247.1"/>
    <n v="-12528.07"/>
    <n v="-3953.39"/>
    <n v="-3388.6"/>
    <n v="-8781.5400000000009"/>
    <n v="-42810.18"/>
    <n v="-10902.26"/>
    <n v="-21172.03"/>
    <n v="-8813.73"/>
    <n v="-7879.91"/>
    <n v="-12036.7"/>
    <n v="-2937.91"/>
    <n v="-160451.42000000001"/>
    <n v="-9098.7900000000009"/>
  </r>
  <r>
    <x v="18"/>
    <x v="8"/>
    <x v="0"/>
    <s v="4825104"/>
    <n v="400010"/>
    <s v="Acute I/P Svcs Rev--Self Pay"/>
    <s v="Nuclear Medicine"/>
    <x v="0"/>
    <n v="1500"/>
    <n v="5029.82"/>
    <n v="0"/>
    <n v="0"/>
    <n v="0"/>
    <n v="-2830.2"/>
    <n v="-558.4"/>
    <n v="-7684.02"/>
    <n v="0"/>
    <n v="-9010.35"/>
    <n v="0"/>
    <n v="0"/>
    <n v="0"/>
    <n v="-15053.150000000001"/>
    <n v="0"/>
  </r>
  <r>
    <x v="18"/>
    <x v="8"/>
    <x v="0"/>
    <s v="4825104"/>
    <n v="400010"/>
    <s v="Acute I/P Svcs Rev--Other"/>
    <s v="Nuclear Medicine"/>
    <x v="0"/>
    <n v="1700"/>
    <n v="0"/>
    <n v="-2973.97"/>
    <n v="-10541.36"/>
    <n v="-5714.68"/>
    <n v="0"/>
    <n v="-2830.2"/>
    <n v="-710.31"/>
    <n v="0"/>
    <n v="-18020.580000000002"/>
    <n v="0"/>
    <n v="-14522.61"/>
    <n v="0"/>
    <n v="-55313.710000000006"/>
    <n v="-14522.61"/>
  </r>
  <r>
    <x v="19"/>
    <x v="8"/>
    <x v="0"/>
    <s v="4825104"/>
    <n v="400020"/>
    <s v="O/P Care Svcs Rev--Medicare"/>
    <s v="Nuclear Medicine"/>
    <x v="0"/>
    <n v="1100"/>
    <n v="-433592.63"/>
    <n v="-388261.28"/>
    <n v="-403110.41"/>
    <n v="-363704.09"/>
    <n v="-410723.37"/>
    <n v="-343601.33"/>
    <n v="-437263.02"/>
    <n v="-289467.69"/>
    <n v="-360123.44"/>
    <n v="-386693.17"/>
    <n v="-476878.95"/>
    <n v="-281917.52"/>
    <n v="-4575336.9000000004"/>
    <n v="-194961.43"/>
  </r>
  <r>
    <x v="19"/>
    <x v="8"/>
    <x v="0"/>
    <s v="4825104"/>
    <n v="400020"/>
    <s v="O/P Care Svcs Rev--Medicaid"/>
    <s v="Nuclear Medicine"/>
    <x v="0"/>
    <n v="1200"/>
    <n v="-104197.23"/>
    <n v="-49976.28"/>
    <n v="-33999.08"/>
    <n v="-85625.48"/>
    <n v="-62495.839999999997"/>
    <n v="-19254.09"/>
    <n v="-63852.32"/>
    <n v="-79758.05"/>
    <n v="-50888.01"/>
    <n v="-82434.22"/>
    <n v="-88053.95"/>
    <n v="-67698.429999999993"/>
    <n v="-788232.98"/>
    <n v="-20355.520000000004"/>
  </r>
  <r>
    <x v="19"/>
    <x v="8"/>
    <x v="0"/>
    <s v="4825104"/>
    <n v="400020"/>
    <s v="O/P Care Svcs Rev--Comm Insurance"/>
    <s v="Nuclear Medicine"/>
    <x v="0"/>
    <n v="1300"/>
    <n v="-4486.68"/>
    <n v="-17886.560000000001"/>
    <n v="-2498.11"/>
    <n v="-9095.44"/>
    <n v="-26141.62"/>
    <n v="-18667.240000000002"/>
    <n v="-3070.4"/>
    <n v="-23649.41"/>
    <n v="-11352.32"/>
    <n v="-6489.22"/>
    <n v="-23151.119999999999"/>
    <n v="-23311.56"/>
    <n v="-169799.67999999999"/>
    <n v="160.44000000000233"/>
  </r>
  <r>
    <x v="19"/>
    <x v="8"/>
    <x v="0"/>
    <s v="4825104"/>
    <n v="400020"/>
    <s v="O/P Care Svcs Rev--BCBS Comm"/>
    <s v="Nuclear Medicine"/>
    <x v="0"/>
    <n v="1301"/>
    <n v="-39734.800000000003"/>
    <n v="-18869.98"/>
    <n v="-54550.239999999998"/>
    <n v="-87905.86"/>
    <n v="-88822.2"/>
    <n v="-42404.18"/>
    <n v="-36420.93"/>
    <n v="-49790.37"/>
    <n v="-41134.67"/>
    <n v="-40377.919999999998"/>
    <n v="-56897.59"/>
    <n v="-54480.28"/>
    <n v="-611389.02"/>
    <n v="-2417.3099999999977"/>
  </r>
  <r>
    <x v="19"/>
    <x v="8"/>
    <x v="0"/>
    <s v="4825104"/>
    <n v="400020"/>
    <s v="O/P Care Svcs Rev--Managed Care"/>
    <s v="Nuclear Medicine"/>
    <x v="0"/>
    <n v="1400"/>
    <n v="-97232.9"/>
    <n v="-74786.100000000006"/>
    <n v="-88810.41"/>
    <n v="-140828.01"/>
    <n v="-128412.21"/>
    <n v="-97549.79"/>
    <n v="-120440.92"/>
    <n v="-101979.71"/>
    <n v="-103787.46"/>
    <n v="-145064.45000000001"/>
    <n v="-70996.62"/>
    <n v="-70563.649999999994"/>
    <n v="-1240452.23"/>
    <n v="-432.97000000000116"/>
  </r>
  <r>
    <x v="19"/>
    <x v="8"/>
    <x v="0"/>
    <s v="4825104"/>
    <n v="400020"/>
    <s v="O/P Care Svcs Rev--Self Pay"/>
    <s v="Nuclear Medicine"/>
    <x v="0"/>
    <n v="1500"/>
    <n v="0"/>
    <n v="0"/>
    <n v="-7693.6"/>
    <n v="-7684.02"/>
    <n v="-10192.959999999999"/>
    <n v="-8781.5400000000009"/>
    <n v="-12111.44"/>
    <n v="-9010.2900000000009"/>
    <n v="0"/>
    <n v="0"/>
    <n v="-16890.259999999998"/>
    <n v="0"/>
    <n v="-72364.11"/>
    <n v="-16890.259999999998"/>
  </r>
  <r>
    <x v="19"/>
    <x v="8"/>
    <x v="0"/>
    <s v="4825104"/>
    <n v="400020"/>
    <s v="O/P Care Svcs Rev--Other"/>
    <s v="Nuclear Medicine"/>
    <x v="0"/>
    <n v="1700"/>
    <n v="-16475.14"/>
    <n v="-22874.51"/>
    <n v="-42220.32"/>
    <n v="-64854.87"/>
    <n v="-15368.04"/>
    <n v="-50732.32"/>
    <n v="-25891.84"/>
    <n v="-17341.009999999998"/>
    <n v="-64415.56"/>
    <n v="-33867.1"/>
    <n v="-36982.04"/>
    <n v="-28483.119999999999"/>
    <n v="-419505.86999999994"/>
    <n v="-8498.9200000000019"/>
  </r>
  <r>
    <x v="5"/>
    <x v="8"/>
    <x v="0"/>
    <s v="4825104"/>
    <n v="700034"/>
    <s v="Salaries-Tech/Professional-Productive"/>
    <s v="Nuclear Medicine"/>
    <x v="0"/>
    <m/>
    <n v="17558.66"/>
    <n v="19159.25"/>
    <n v="18313.25"/>
    <n v="20986.73"/>
    <n v="19317.55"/>
    <n v="16304.84"/>
    <n v="19543.91"/>
    <n v="15083.42"/>
    <n v="18430.54"/>
    <n v="18352.2"/>
    <n v="19874.91"/>
    <n v="11551.87"/>
    <n v="214477.13000000003"/>
    <n v="8323.0399999999991"/>
  </r>
  <r>
    <x v="5"/>
    <x v="8"/>
    <x v="0"/>
    <s v="4825104"/>
    <n v="700034"/>
    <s v="Salaries-Tech/Professional-OT"/>
    <s v="Nuclear Medicine"/>
    <x v="0"/>
    <n v="1000"/>
    <n v="922.52"/>
    <n v="652.45000000000005"/>
    <n v="883.46"/>
    <n v="978.82"/>
    <n v="1146.57"/>
    <n v="-208.81"/>
    <n v="692.63"/>
    <n v="260.95999999999998"/>
    <n v="576.66"/>
    <n v="542.27"/>
    <n v="827.5"/>
    <n v="1440.4"/>
    <n v="8715.43"/>
    <n v="-612.90000000000009"/>
  </r>
  <r>
    <x v="5"/>
    <x v="8"/>
    <x v="0"/>
    <s v="4825104"/>
    <n v="700034"/>
    <s v="Salaries-Tech/Professional-Other"/>
    <s v="Nuclear Medicine"/>
    <x v="0"/>
    <n v="2000"/>
    <n v="945.58"/>
    <n v="425.31"/>
    <n v="340.35"/>
    <n v="267.73"/>
    <n v="258.45999999999998"/>
    <n v="217.75"/>
    <n v="245.21"/>
    <n v="213.38"/>
    <n v="164.83"/>
    <n v="250.91"/>
    <n v="217.49"/>
    <n v="123.94"/>
    <n v="3670.94"/>
    <n v="93.550000000000011"/>
  </r>
  <r>
    <x v="5"/>
    <x v="8"/>
    <x v="0"/>
    <s v="4825104"/>
    <n v="700054"/>
    <s v="Salaries-Management-NonProd-Other"/>
    <s v="Nuclear Medicine"/>
    <x v="0"/>
    <n v="2000"/>
    <n v="0"/>
    <n v="0"/>
    <n v="0"/>
    <n v="0"/>
    <n v="0"/>
    <n v="16.899999999999999"/>
    <n v="-16.899999999999999"/>
    <n v="0"/>
    <n v="0"/>
    <n v="0"/>
    <n v="0"/>
    <n v="0"/>
    <n v="0"/>
    <n v="0"/>
  </r>
  <r>
    <x v="5"/>
    <x v="8"/>
    <x v="0"/>
    <s v="4825104"/>
    <n v="700074"/>
    <s v="Salaries-Tech/Professional-Non-productive"/>
    <s v="Nuclear Medicine"/>
    <x v="0"/>
    <m/>
    <n v="6383.65"/>
    <n v="3350.2"/>
    <n v="3114.01"/>
    <n v="836.24"/>
    <n v="1471.35"/>
    <n v="4273.82"/>
    <n v="1756.69"/>
    <n v="4041.85"/>
    <n v="2646.27"/>
    <n v="1915.4"/>
    <n v="2388.46"/>
    <n v="4295.93"/>
    <n v="36473.869999999995"/>
    <n v="-1907.4700000000003"/>
  </r>
  <r>
    <x v="5"/>
    <x v="8"/>
    <x v="0"/>
    <s v="4825104"/>
    <n v="700074"/>
    <s v="Salaries-Tech/Professional-NonProd-Other"/>
    <s v="Nuclear Medicine"/>
    <x v="0"/>
    <n v="2000"/>
    <n v="26.19"/>
    <n v="-4.62"/>
    <n v="33.89"/>
    <n v="184.18"/>
    <n v="277.95"/>
    <n v="0"/>
    <n v="28.71"/>
    <n v="-319.93"/>
    <n v="0"/>
    <n v="38.130000000000003"/>
    <n v="-15.88"/>
    <n v="23.83"/>
    <n v="272.45000000000005"/>
    <n v="-39.71"/>
  </r>
  <r>
    <x v="5"/>
    <x v="8"/>
    <x v="0"/>
    <s v="4825104"/>
    <n v="700084"/>
    <s v="Accrued PTO"/>
    <s v="Nuclear Medicine"/>
    <x v="0"/>
    <m/>
    <n v="-3288.41"/>
    <n v="-583.4"/>
    <n v="-254.27"/>
    <n v="2041.45"/>
    <n v="1869.12"/>
    <n v="-553.14"/>
    <n v="1069.83"/>
    <n v="-1089.6600000000001"/>
    <n v="628.45000000000005"/>
    <n v="817.53"/>
    <n v="533.54"/>
    <n v="-2011.62"/>
    <n v="-820.58000000000038"/>
    <n v="2545.16"/>
  </r>
  <r>
    <x v="6"/>
    <x v="8"/>
    <x v="0"/>
    <s v="4825104"/>
    <n v="713010"/>
    <s v="Benefits-FICA/Medicare"/>
    <s v="Nuclear Medicine"/>
    <x v="0"/>
    <m/>
    <n v="1924.27"/>
    <n v="1751.88"/>
    <n v="1684.91"/>
    <n v="1726.71"/>
    <n v="1719.06"/>
    <n v="1496.25"/>
    <n v="1642.9"/>
    <n v="1445.39"/>
    <n v="1607.49"/>
    <n v="1554.43"/>
    <n v="1720.1"/>
    <n v="1323"/>
    <n v="19596.389999999996"/>
    <n v="397.09999999999991"/>
  </r>
  <r>
    <x v="6"/>
    <x v="8"/>
    <x v="0"/>
    <s v="4825104"/>
    <n v="713090"/>
    <s v="Benefits-Allocated Amounts"/>
    <s v="Nuclear Medicine"/>
    <x v="0"/>
    <m/>
    <n v="3967.39"/>
    <n v="3318.71"/>
    <n v="3384.69"/>
    <n v="3530"/>
    <n v="3510.88"/>
    <n v="3022.47"/>
    <n v="3419.84"/>
    <n v="3226.4"/>
    <n v="3402.87"/>
    <n v="3580.46"/>
    <n v="3715.12"/>
    <n v="2723.69"/>
    <n v="40802.520000000011"/>
    <n v="991.42999999999984"/>
  </r>
  <r>
    <x v="7"/>
    <x v="8"/>
    <x v="0"/>
    <s v="4825104"/>
    <n v="718050"/>
    <s v="Miscellaneous Purchased Svcs"/>
    <s v="Nuclear Medicine"/>
    <x v="0"/>
    <n v="1020"/>
    <n v="0"/>
    <n v="750"/>
    <n v="0"/>
    <n v="0"/>
    <n v="0"/>
    <n v="970"/>
    <n v="0"/>
    <n v="0"/>
    <n v="0"/>
    <n v="0"/>
    <n v="0"/>
    <n v="4460"/>
    <n v="6180"/>
    <n v="-4460"/>
  </r>
  <r>
    <x v="7"/>
    <x v="8"/>
    <x v="0"/>
    <s v="4825104"/>
    <n v="718050"/>
    <s v="Translation Services"/>
    <s v="Nuclear Medicine"/>
    <x v="0"/>
    <n v="1025"/>
    <n v="356"/>
    <n v="0"/>
    <n v="0"/>
    <n v="0"/>
    <n v="0"/>
    <n v="0"/>
    <n v="0"/>
    <n v="0"/>
    <n v="0"/>
    <n v="0"/>
    <n v="0"/>
    <n v="0"/>
    <n v="356"/>
    <n v="0"/>
  </r>
  <r>
    <x v="7"/>
    <x v="8"/>
    <x v="0"/>
    <s v="4825104"/>
    <n v="718070"/>
    <s v="Contract Srvcs-CHI Clinical Engineering"/>
    <s v="Nuclear Medicine"/>
    <x v="0"/>
    <m/>
    <n v="3104.06"/>
    <n v="2473.34"/>
    <n v="2473.34"/>
    <n v="3104.06"/>
    <n v="2473.34"/>
    <n v="2473.34"/>
    <n v="2473.34"/>
    <n v="3104.06"/>
    <n v="2473.34"/>
    <n v="2473.34"/>
    <n v="3104.06"/>
    <n v="2473.34"/>
    <n v="32202.960000000003"/>
    <n v="630.7199999999998"/>
  </r>
  <r>
    <x v="7"/>
    <x v="8"/>
    <x v="0"/>
    <s v="4825104"/>
    <n v="718077"/>
    <s v="PACS"/>
    <s v="Nuclear Medicine"/>
    <x v="0"/>
    <n v="1000"/>
    <n v="323.66000000000003"/>
    <n v="340.43"/>
    <n v="309.87"/>
    <n v="353.5"/>
    <n v="323"/>
    <n v="312.51"/>
    <n v="356.99"/>
    <n v="297.79000000000002"/>
    <n v="358.38"/>
    <n v="353.96"/>
    <n v="365.84"/>
    <n v="332.57"/>
    <n v="4028.5000000000005"/>
    <n v="33.269999999999982"/>
  </r>
  <r>
    <x v="11"/>
    <x v="8"/>
    <x v="0"/>
    <s v="4825104"/>
    <n v="721020"/>
    <s v="Tubes Drains &amp; Related Supplies"/>
    <s v="Nuclear Medicine"/>
    <x v="0"/>
    <n v="1008"/>
    <n v="0"/>
    <n v="26.85"/>
    <n v="0"/>
    <n v="0"/>
    <n v="0"/>
    <n v="0"/>
    <n v="0"/>
    <n v="0"/>
    <n v="0"/>
    <n v="0"/>
    <n v="0"/>
    <n v="0"/>
    <n v="26.85"/>
    <n v="0"/>
  </r>
  <r>
    <x v="11"/>
    <x v="8"/>
    <x v="0"/>
    <s v="4825104"/>
    <n v="721250"/>
    <s v="Supplies-Pharmacy Drugs - Billable"/>
    <s v="Nuclear Medicine"/>
    <x v="0"/>
    <m/>
    <n v="16479.66"/>
    <n v="12624.16"/>
    <n v="8397.5400000000009"/>
    <n v="12601.88"/>
    <n v="12616.96"/>
    <n v="10731.03"/>
    <n v="13595.46"/>
    <n v="10464.870000000001"/>
    <n v="12622.32"/>
    <n v="12650.2"/>
    <n v="12616.27"/>
    <n v="5203.57"/>
    <n v="140603.92000000001"/>
    <n v="7412.7000000000007"/>
  </r>
  <r>
    <x v="11"/>
    <x v="8"/>
    <x v="0"/>
    <s v="4825104"/>
    <n v="721250"/>
    <s v="Radioactive Material"/>
    <s v="Nuclear Medicine"/>
    <x v="0"/>
    <n v="1001"/>
    <n v="14442.82"/>
    <n v="5711.58"/>
    <n v="22562.11"/>
    <n v="16198.02"/>
    <n v="15290.61"/>
    <n v="7336.66"/>
    <n v="16457.259999999998"/>
    <n v="13636.04"/>
    <n v="4686.76"/>
    <n v="14936.43"/>
    <n v="4186.2299999999996"/>
    <n v="12680.43"/>
    <n v="148124.95000000001"/>
    <n v="-8494.2000000000007"/>
  </r>
  <r>
    <x v="11"/>
    <x v="8"/>
    <x v="0"/>
    <s v="4825104"/>
    <n v="721410"/>
    <s v="Supplies-Medical - Nonbillable"/>
    <s v="Nuclear Medicine"/>
    <x v="0"/>
    <m/>
    <n v="23.03"/>
    <n v="6.12"/>
    <n v="0"/>
    <n v="9.15"/>
    <n v="0"/>
    <n v="180"/>
    <n v="2030.97"/>
    <n v="5.18"/>
    <n v="21.34"/>
    <n v="-49.69"/>
    <n v="0"/>
    <n v="24.39"/>
    <n v="2250.4899999999998"/>
    <n v="-24.39"/>
  </r>
  <r>
    <x v="11"/>
    <x v="8"/>
    <x v="0"/>
    <s v="4825104"/>
    <n v="721420"/>
    <s v="Tubes Drains &amp; Related Supplies"/>
    <s v="Nuclear Medicine"/>
    <x v="0"/>
    <n v="1008"/>
    <n v="0"/>
    <n v="6.36"/>
    <n v="0"/>
    <n v="0"/>
    <n v="0"/>
    <n v="0"/>
    <n v="0"/>
    <n v="0"/>
    <n v="0"/>
    <n v="0"/>
    <n v="0"/>
    <n v="0"/>
    <n v="6.36"/>
    <n v="0"/>
  </r>
  <r>
    <x v="11"/>
    <x v="8"/>
    <x v="0"/>
    <s v="4825104"/>
    <n v="721610"/>
    <s v="Supplies-Anesthesia - Nonbillable"/>
    <s v="Nuclear Medicine"/>
    <x v="0"/>
    <m/>
    <n v="0"/>
    <n v="0"/>
    <n v="0"/>
    <n v="1156.18"/>
    <n v="0"/>
    <n v="-90.58"/>
    <n v="0"/>
    <n v="0"/>
    <n v="0"/>
    <n v="0"/>
    <n v="0"/>
    <n v="0"/>
    <n v="1065.6000000000001"/>
    <n v="0"/>
  </r>
  <r>
    <x v="11"/>
    <x v="8"/>
    <x v="0"/>
    <s v="4825104"/>
    <n v="721650"/>
    <s v="Radioactive Material"/>
    <s v="Nuclear Medicine"/>
    <x v="0"/>
    <n v="1001"/>
    <n v="0"/>
    <n v="0"/>
    <n v="0"/>
    <n v="0"/>
    <n v="0"/>
    <n v="0"/>
    <n v="0"/>
    <n v="0"/>
    <n v="920"/>
    <n v="0"/>
    <n v="0"/>
    <n v="0"/>
    <n v="920"/>
    <n v="0"/>
  </r>
  <r>
    <x v="11"/>
    <x v="8"/>
    <x v="0"/>
    <s v="4825104"/>
    <n v="721810"/>
    <s v="Supplies-Dietary/Cafeteria"/>
    <s v="Nuclear Medicine"/>
    <x v="0"/>
    <m/>
    <n v="36.56"/>
    <n v="39.22"/>
    <n v="43.02"/>
    <n v="30.2"/>
    <n v="41.5"/>
    <n v="42.92"/>
    <n v="30.96"/>
    <n v="27.3"/>
    <n v="32"/>
    <n v="23.36"/>
    <n v="24.78"/>
    <n v="46.72"/>
    <n v="418.54000000000008"/>
    <n v="-21.939999999999998"/>
  </r>
  <r>
    <x v="11"/>
    <x v="8"/>
    <x v="0"/>
    <s v="4825104"/>
    <n v="721830"/>
    <s v="Supplies-Office"/>
    <s v="Nuclear Medicine"/>
    <x v="0"/>
    <m/>
    <n v="0"/>
    <n v="0"/>
    <n v="124.33"/>
    <n v="0"/>
    <n v="0"/>
    <n v="0"/>
    <n v="11.96"/>
    <n v="0"/>
    <n v="0"/>
    <n v="0"/>
    <n v="0"/>
    <n v="0"/>
    <n v="136.29"/>
    <n v="0"/>
  </r>
  <r>
    <x v="11"/>
    <x v="8"/>
    <x v="0"/>
    <s v="4825104"/>
    <n v="722000"/>
    <s v="Supplies-Freight Expense"/>
    <s v="Nuclear Medicine"/>
    <x v="0"/>
    <m/>
    <n v="-18.53"/>
    <n v="100"/>
    <n v="100"/>
    <n v="300"/>
    <n v="311.72000000000003"/>
    <n v="542.42999999999995"/>
    <n v="199.92"/>
    <n v="12.83"/>
    <n v="470"/>
    <n v="100"/>
    <n v="370"/>
    <n v="1060"/>
    <n v="3548.37"/>
    <n v="-690"/>
  </r>
  <r>
    <x v="11"/>
    <x v="8"/>
    <x v="0"/>
    <s v="4825104"/>
    <n v="722000"/>
    <s v="Rush Order Fees"/>
    <s v="Nuclear Medicine"/>
    <x v="0"/>
    <n v="1005"/>
    <n v="0"/>
    <n v="0"/>
    <n v="0"/>
    <n v="0"/>
    <n v="0"/>
    <n v="0"/>
    <n v="190"/>
    <n v="0"/>
    <n v="0"/>
    <n v="95"/>
    <n v="95"/>
    <n v="190"/>
    <n v="570"/>
    <n v="-95"/>
  </r>
  <r>
    <x v="12"/>
    <x v="8"/>
    <x v="0"/>
    <s v="4825104"/>
    <n v="730020"/>
    <s v="Rental and Leases-Copier Usage Fees (DO NOT USE)"/>
    <s v="Nuclear Medicine"/>
    <x v="0"/>
    <n v="5100"/>
    <n v="41.24"/>
    <n v="42.55"/>
    <n v="41.9"/>
    <n v="41.9"/>
    <n v="41.89"/>
    <n v="41.9"/>
    <n v="42.45"/>
    <n v="40.26"/>
    <n v="40.17"/>
    <n v="40.35"/>
    <n v="40.26"/>
    <n v="50.15"/>
    <n v="505.02000000000004"/>
    <n v="-9.89"/>
  </r>
  <r>
    <x v="13"/>
    <x v="8"/>
    <x v="0"/>
    <s v="4825104"/>
    <n v="735070"/>
    <s v="Depreciation-Movable Equipment"/>
    <s v="Nuclear Medicine"/>
    <x v="0"/>
    <m/>
    <n v="743.86"/>
    <n v="743.89"/>
    <n v="743.86"/>
    <n v="743.9"/>
    <n v="743.83"/>
    <n v="743.9"/>
    <n v="743.82"/>
    <n v="743.91"/>
    <n v="743.82"/>
    <n v="86.86"/>
    <n v="86.87"/>
    <n v="86.86"/>
    <n v="6955.3799999999983"/>
    <n v="1.0000000000005116E-2"/>
  </r>
  <r>
    <x v="0"/>
    <x v="8"/>
    <x v="0"/>
    <s v="4825104"/>
    <n v="749510"/>
    <s v="Licenses"/>
    <s v="Nuclear Medicine"/>
    <x v="0"/>
    <n v="1002"/>
    <n v="0"/>
    <n v="0"/>
    <n v="0"/>
    <n v="85.18"/>
    <n v="45.21"/>
    <n v="41.67"/>
    <n v="41.67"/>
    <n v="0"/>
    <n v="41.67"/>
    <n v="0"/>
    <n v="41.67"/>
    <n v="41.67"/>
    <n v="338.74000000000007"/>
    <n v="0"/>
  </r>
  <r>
    <x v="0"/>
    <x v="8"/>
    <x v="0"/>
    <s v="4825104"/>
    <n v="749510"/>
    <s v="RICE Rewards"/>
    <s v="Nuclear Medicine"/>
    <x v="0"/>
    <n v="5100"/>
    <n v="0"/>
    <n v="0"/>
    <n v="0"/>
    <n v="0"/>
    <n v="0"/>
    <n v="0"/>
    <n v="0"/>
    <n v="0"/>
    <n v="0"/>
    <n v="0"/>
    <n v="0"/>
    <n v="92.96"/>
    <n v="92.96"/>
    <n v="-92.96"/>
  </r>
  <r>
    <x v="18"/>
    <x v="5"/>
    <x v="0"/>
    <s v="4825106"/>
    <n v="400010"/>
    <s v="Acute I/P Svcs Rev--Medicare"/>
    <s v="Nuclear Medicine"/>
    <x v="0"/>
    <n v="1100"/>
    <n v="-17499.59"/>
    <n v="-42685.599999999999"/>
    <n v="-54626.01"/>
    <n v="-20856.7"/>
    <n v="-35995.379999999997"/>
    <n v="-38194.199999999997"/>
    <n v="-33867.57"/>
    <n v="-34703.269999999997"/>
    <n v="-26053.279999999999"/>
    <n v="-35093.17"/>
    <n v="-21818.86"/>
    <n v="-31046.27"/>
    <n v="-392439.90000000008"/>
    <n v="9227.41"/>
  </r>
  <r>
    <x v="18"/>
    <x v="5"/>
    <x v="0"/>
    <s v="4825106"/>
    <n v="400010"/>
    <s v="Acute I/P Svcs Rev--Medicaid"/>
    <s v="Nuclear Medicine"/>
    <x v="0"/>
    <n v="1200"/>
    <n v="-8781.5400000000009"/>
    <n v="-8375.7999999999993"/>
    <n v="-5048.42"/>
    <n v="-14010.46"/>
    <n v="-21770.87"/>
    <n v="-2959.43"/>
    <n v="-14819.62"/>
    <n v="-8718.93"/>
    <n v="-11739.8"/>
    <n v="-9886.4699999999993"/>
    <n v="2276.89"/>
    <n v="-3711.69"/>
    <n v="-107546.14000000001"/>
    <n v="5988.58"/>
  </r>
  <r>
    <x v="18"/>
    <x v="5"/>
    <x v="0"/>
    <s v="4825106"/>
    <n v="400010"/>
    <s v="Acute I/P Svcs Rev--Comm Insurance"/>
    <s v="Nuclear Medicine"/>
    <x v="0"/>
    <n v="1300"/>
    <n v="-2729.45"/>
    <n v="0"/>
    <n v="0"/>
    <n v="0"/>
    <n v="-3180.74"/>
    <n v="2729.45"/>
    <n v="0"/>
    <n v="0"/>
    <n v="2729.45"/>
    <n v="0"/>
    <n v="0"/>
    <n v="0"/>
    <n v="-451.28999999999996"/>
    <n v="0"/>
  </r>
  <r>
    <x v="18"/>
    <x v="5"/>
    <x v="0"/>
    <s v="4825106"/>
    <n v="400010"/>
    <s v="Acute I/P Svcs Rev--BCBS Comm"/>
    <s v="Nuclear Medicine"/>
    <x v="0"/>
    <n v="1301"/>
    <n v="0"/>
    <n v="0"/>
    <n v="-3180.74"/>
    <n v="-2857.34"/>
    <n v="0"/>
    <n v="0"/>
    <n v="-3180.74"/>
    <n v="0"/>
    <n v="0"/>
    <n v="0"/>
    <n v="-9010.35"/>
    <n v="-9010.35"/>
    <n v="-27239.519999999997"/>
    <n v="0"/>
  </r>
  <r>
    <x v="18"/>
    <x v="5"/>
    <x v="0"/>
    <s v="4825106"/>
    <n v="400010"/>
    <s v="Acute I/P Svcs Rev--Managed Care"/>
    <s v="Nuclear Medicine"/>
    <x v="0"/>
    <n v="1400"/>
    <n v="0"/>
    <n v="-2959.43"/>
    <n v="-3180.74"/>
    <n v="-1868.72"/>
    <n v="0"/>
    <n v="-5704.92"/>
    <n v="-5714.68"/>
    <n v="0"/>
    <n v="-9010.2900000000009"/>
    <n v="-3266.39"/>
    <n v="0"/>
    <n v="0"/>
    <n v="-31705.170000000002"/>
    <n v="0"/>
  </r>
  <r>
    <x v="18"/>
    <x v="5"/>
    <x v="0"/>
    <s v="4825106"/>
    <n v="400010"/>
    <s v="Acute I/P Svcs Rev--Self Pay"/>
    <s v="Nuclear Medicine"/>
    <x v="0"/>
    <n v="1500"/>
    <n v="0"/>
    <n v="0"/>
    <n v="-3180.74"/>
    <n v="0"/>
    <n v="0"/>
    <n v="0"/>
    <n v="0"/>
    <n v="0"/>
    <n v="-3266.39"/>
    <n v="0"/>
    <n v="0"/>
    <n v="0"/>
    <n v="-6447.1299999999992"/>
    <n v="0"/>
  </r>
  <r>
    <x v="18"/>
    <x v="5"/>
    <x v="0"/>
    <s v="4825106"/>
    <n v="400010"/>
    <s v="Acute I/P Svcs Rev--Other"/>
    <s v="Nuclear Medicine"/>
    <x v="0"/>
    <n v="1700"/>
    <n v="2729.45"/>
    <n v="-8781.5400000000009"/>
    <n v="-8781.5400000000009"/>
    <n v="0"/>
    <n v="0"/>
    <n v="0"/>
    <n v="0"/>
    <n v="0"/>
    <n v="5277.71"/>
    <n v="-3180.02"/>
    <n v="0"/>
    <n v="0"/>
    <n v="-12735.940000000002"/>
    <n v="0"/>
  </r>
  <r>
    <x v="19"/>
    <x v="5"/>
    <x v="0"/>
    <s v="4825106"/>
    <n v="400020"/>
    <s v="O/P Care Svcs Rev--Medicare"/>
    <s v="Nuclear Medicine"/>
    <x v="0"/>
    <n v="1100"/>
    <n v="-215093.05"/>
    <n v="-354175.73"/>
    <n v="-192651.87"/>
    <n v="-303294.25"/>
    <n v="-274873.82"/>
    <n v="-208223.6"/>
    <n v="-264962.34000000003"/>
    <n v="-188120.2"/>
    <n v="-282205.09999999998"/>
    <n v="-224978.26"/>
    <n v="-301956.53999999998"/>
    <n v="-234562.17"/>
    <n v="-3045096.9299999997"/>
    <n v="-67394.369999999966"/>
  </r>
  <r>
    <x v="19"/>
    <x v="5"/>
    <x v="0"/>
    <s v="4825106"/>
    <n v="400020"/>
    <s v="O/P Care Svcs Rev--Medicaid"/>
    <s v="Nuclear Medicine"/>
    <x v="0"/>
    <n v="1200"/>
    <n v="-33635.199999999997"/>
    <n v="-52602.239999999998"/>
    <n v="-54542.21"/>
    <n v="-61380.32"/>
    <n v="-45334.95"/>
    <n v="-60439.839999999997"/>
    <n v="-59604.33"/>
    <n v="-31148.98"/>
    <n v="-55884.67"/>
    <n v="-68710.740000000005"/>
    <n v="-58156.22"/>
    <n v="-43355.15"/>
    <n v="-624794.85"/>
    <n v="-14801.07"/>
  </r>
  <r>
    <x v="19"/>
    <x v="5"/>
    <x v="0"/>
    <s v="4825106"/>
    <n v="400020"/>
    <s v="O/P Care Svcs Rev--Comm Insurance"/>
    <s v="Nuclear Medicine"/>
    <x v="0"/>
    <n v="1300"/>
    <n v="-6923.41"/>
    <n v="-1292.51"/>
    <n v="-7022.8"/>
    <n v="-9702.11"/>
    <n v="-2499.36"/>
    <n v="0"/>
    <n v="-6511.49"/>
    <n v="-7889.71"/>
    <n v="0"/>
    <n v="-15511.73"/>
    <n v="0"/>
    <n v="-8783.3799999999992"/>
    <n v="-66136.5"/>
    <n v="8783.3799999999992"/>
  </r>
  <r>
    <x v="19"/>
    <x v="5"/>
    <x v="0"/>
    <s v="4825106"/>
    <n v="400020"/>
    <s v="O/P Care Svcs Rev--BCBS Comm"/>
    <s v="Nuclear Medicine"/>
    <x v="0"/>
    <n v="1301"/>
    <n v="-33364.230000000003"/>
    <n v="-19502.37"/>
    <n v="-42782"/>
    <n v="-27458.1"/>
    <n v="-29280.97"/>
    <n v="-39374.720000000001"/>
    <n v="-3062.03"/>
    <n v="-46832.4"/>
    <n v="-17339.7"/>
    <n v="-21228.71"/>
    <n v="-24202.23"/>
    <n v="-28748.28"/>
    <n v="-333175.74"/>
    <n v="4546.0499999999993"/>
  </r>
  <r>
    <x v="19"/>
    <x v="5"/>
    <x v="0"/>
    <s v="4825106"/>
    <n v="400020"/>
    <s v="O/P Care Svcs Rev--Managed Care"/>
    <s v="Nuclear Medicine"/>
    <x v="0"/>
    <n v="1400"/>
    <n v="-132568.79"/>
    <n v="-86253.74"/>
    <n v="-80503.509999999995"/>
    <n v="-54762.02"/>
    <n v="-77497.52"/>
    <n v="-104665.89"/>
    <n v="-71842.19"/>
    <n v="-52569.89"/>
    <n v="-74064.710000000006"/>
    <n v="-80860.42"/>
    <n v="-49711.69"/>
    <n v="-89921.74"/>
    <n v="-955222.1100000001"/>
    <n v="40210.050000000003"/>
  </r>
  <r>
    <x v="19"/>
    <x v="5"/>
    <x v="0"/>
    <s v="4825106"/>
    <n v="400020"/>
    <s v="O/P Care Svcs Rev--Self Pay"/>
    <s v="Nuclear Medicine"/>
    <x v="0"/>
    <n v="1500"/>
    <n v="-450"/>
    <n v="-13027.29"/>
    <n v="-8781.5400000000009"/>
    <n v="0"/>
    <n v="0"/>
    <n v="-8781.5400000000009"/>
    <n v="-3442.29"/>
    <n v="-450"/>
    <n v="0"/>
    <n v="0"/>
    <n v="-6631.13"/>
    <n v="-568.85"/>
    <n v="-42132.639999999999"/>
    <n v="-6062.28"/>
  </r>
  <r>
    <x v="19"/>
    <x v="5"/>
    <x v="0"/>
    <s v="4825106"/>
    <n v="400020"/>
    <s v="O/P Care Svcs Rev--Other"/>
    <s v="Nuclear Medicine"/>
    <x v="0"/>
    <n v="1700"/>
    <n v="0"/>
    <n v="0"/>
    <n v="0"/>
    <n v="-7693.6"/>
    <n v="-8634.49"/>
    <n v="-19495.16"/>
    <n v="-16693.18"/>
    <n v="-11581.07"/>
    <n v="-2929.68"/>
    <n v="-15146.96"/>
    <n v="7911.64"/>
    <n v="7332.52"/>
    <n v="-66929.979999999981"/>
    <n v="579.11999999999989"/>
  </r>
  <r>
    <x v="14"/>
    <x v="5"/>
    <x v="0"/>
    <s v="4825106"/>
    <n v="600050"/>
    <s v="Miscellaneous Revenue"/>
    <s v="Nuclear Medicine"/>
    <x v="0"/>
    <m/>
    <n v="-2499.36"/>
    <n v="-2499.36"/>
    <n v="0"/>
    <n v="-2499.36"/>
    <n v="0"/>
    <n v="-2499.36"/>
    <n v="0"/>
    <n v="0"/>
    <n v="-2386"/>
    <n v="0"/>
    <n v="8291.01"/>
    <n v="0"/>
    <n v="-4092.4300000000003"/>
    <n v="8291.01"/>
  </r>
  <r>
    <x v="5"/>
    <x v="5"/>
    <x v="0"/>
    <s v="4825106"/>
    <n v="700034"/>
    <s v="Salaries-Tech/Professional-Productive"/>
    <s v="Nuclear Medicine"/>
    <x v="0"/>
    <m/>
    <n v="18233.55"/>
    <n v="18634.12"/>
    <n v="15168.05"/>
    <n v="19925.330000000002"/>
    <n v="15207.71"/>
    <n v="18306.91"/>
    <n v="17091.09"/>
    <n v="15503.73"/>
    <n v="17245.71"/>
    <n v="20270.990000000002"/>
    <n v="15795.65"/>
    <n v="14870.01"/>
    <n v="206252.85"/>
    <n v="925.63999999999942"/>
  </r>
  <r>
    <x v="5"/>
    <x v="5"/>
    <x v="0"/>
    <s v="4825106"/>
    <n v="700034"/>
    <s v="Salaries-Tech/Professional-OT"/>
    <s v="Nuclear Medicine"/>
    <x v="0"/>
    <n v="1000"/>
    <n v="111.83"/>
    <n v="221.74"/>
    <n v="842.05"/>
    <n v="174.81"/>
    <n v="508.29"/>
    <n v="519.29"/>
    <n v="458.76"/>
    <n v="480.45"/>
    <n v="658.82"/>
    <n v="455.73"/>
    <n v="733.55"/>
    <n v="733.32"/>
    <n v="5898.6399999999994"/>
    <n v="0.2299999999999045"/>
  </r>
  <r>
    <x v="5"/>
    <x v="5"/>
    <x v="0"/>
    <s v="4825106"/>
    <n v="700034"/>
    <s v="Salaries-Tech/Professional-Other"/>
    <s v="Nuclear Medicine"/>
    <x v="0"/>
    <n v="2000"/>
    <n v="746.48"/>
    <n v="841.6"/>
    <n v="899.14"/>
    <n v="864.29"/>
    <n v="630.29999999999995"/>
    <n v="837.2"/>
    <n v="823.03"/>
    <n v="675.41"/>
    <n v="611.09"/>
    <n v="715.78"/>
    <n v="493.79"/>
    <n v="405.48"/>
    <n v="8543.5899999999983"/>
    <n v="88.31"/>
  </r>
  <r>
    <x v="5"/>
    <x v="5"/>
    <x v="0"/>
    <s v="4825106"/>
    <n v="700054"/>
    <s v="Salaries-Management-NonProd-Other"/>
    <s v="Nuclear Medicine"/>
    <x v="0"/>
    <n v="2000"/>
    <n v="0"/>
    <n v="0"/>
    <n v="0"/>
    <n v="0"/>
    <n v="0"/>
    <n v="100"/>
    <n v="-100"/>
    <n v="0"/>
    <n v="0"/>
    <n v="0"/>
    <n v="0"/>
    <n v="0"/>
    <n v="0"/>
    <n v="0"/>
  </r>
  <r>
    <x v="5"/>
    <x v="5"/>
    <x v="0"/>
    <s v="4825106"/>
    <n v="700074"/>
    <s v="Salaries-Tech/Professional-Non-productive"/>
    <s v="Nuclear Medicine"/>
    <x v="0"/>
    <m/>
    <n v="2248.67"/>
    <n v="2854.4"/>
    <n v="6568.16"/>
    <n v="2750.11"/>
    <n v="5414.21"/>
    <n v="4232.93"/>
    <n v="3210.62"/>
    <n v="4010.05"/>
    <n v="3916.58"/>
    <n v="907.85"/>
    <n v="2661.72"/>
    <n v="4372.6499999999996"/>
    <n v="43147.95"/>
    <n v="-1710.9299999999998"/>
  </r>
  <r>
    <x v="5"/>
    <x v="5"/>
    <x v="0"/>
    <s v="4825106"/>
    <n v="700074"/>
    <s v="Salaries-Tech/Professional-NonProd-Other"/>
    <s v="Nuclear Medicine"/>
    <x v="0"/>
    <n v="2000"/>
    <n v="0"/>
    <n v="133.87"/>
    <n v="108.73"/>
    <n v="0"/>
    <n v="57.32"/>
    <n v="168.88"/>
    <n v="132.21"/>
    <n v="103.93"/>
    <n v="-27.34"/>
    <n v="0"/>
    <n v="131.57"/>
    <n v="197"/>
    <n v="1006.1700000000001"/>
    <n v="-65.430000000000007"/>
  </r>
  <r>
    <x v="5"/>
    <x v="5"/>
    <x v="0"/>
    <s v="4825106"/>
    <n v="700084"/>
    <s v="Accrued PTO"/>
    <s v="Nuclear Medicine"/>
    <x v="0"/>
    <m/>
    <n v="360.39"/>
    <n v="247.79"/>
    <n v="-3553.47"/>
    <n v="-1335.55"/>
    <n v="-1965.11"/>
    <n v="-3504.83"/>
    <n v="283.86"/>
    <n v="-758.65"/>
    <n v="436.2"/>
    <n v="377.29"/>
    <n v="-471.75"/>
    <n v="75.67"/>
    <n v="-9808.1599999999962"/>
    <n v="-547.41999999999996"/>
  </r>
  <r>
    <x v="6"/>
    <x v="5"/>
    <x v="0"/>
    <s v="4825106"/>
    <n v="713010"/>
    <s v="Benefits-FICA/Medicare"/>
    <s v="Nuclear Medicine"/>
    <x v="0"/>
    <m/>
    <n v="1623.09"/>
    <n v="1725.98"/>
    <n v="1795.18"/>
    <n v="1804.7"/>
    <n v="1621.35"/>
    <n v="1807.86"/>
    <n v="1607.07"/>
    <n v="1518.81"/>
    <n v="1656.84"/>
    <n v="1630.39"/>
    <n v="1446.85"/>
    <n v="1507.22"/>
    <n v="19745.34"/>
    <n v="-60.370000000000118"/>
  </r>
  <r>
    <x v="6"/>
    <x v="5"/>
    <x v="0"/>
    <s v="4825106"/>
    <n v="713090"/>
    <s v="Benefits-Allocated Amounts"/>
    <s v="Nuclear Medicine"/>
    <x v="0"/>
    <m/>
    <n v="4117.1499999999996"/>
    <n v="4340.22"/>
    <n v="4226.93"/>
    <n v="4198.1000000000004"/>
    <n v="4039.06"/>
    <n v="4201.12"/>
    <n v="3982.9"/>
    <n v="4109.12"/>
    <n v="4096.67"/>
    <n v="4333.4399999999996"/>
    <n v="3559.02"/>
    <n v="3841.02"/>
    <n v="49044.75"/>
    <n v="-282"/>
  </r>
  <r>
    <x v="7"/>
    <x v="5"/>
    <x v="0"/>
    <s v="4825106"/>
    <n v="718050"/>
    <s v="Contract Svcs-Other"/>
    <s v="Nuclear Medicine"/>
    <x v="0"/>
    <m/>
    <n v="50"/>
    <n v="0"/>
    <n v="0"/>
    <n v="0"/>
    <n v="0"/>
    <n v="0"/>
    <n v="0"/>
    <n v="0"/>
    <n v="0"/>
    <n v="0"/>
    <n v="0"/>
    <n v="0"/>
    <n v="50"/>
    <n v="0"/>
  </r>
  <r>
    <x v="7"/>
    <x v="5"/>
    <x v="0"/>
    <s v="4825106"/>
    <n v="718050"/>
    <s v="Miscellaneous Purchased Svcs"/>
    <s v="Nuclear Medicine"/>
    <x v="0"/>
    <n v="1020"/>
    <n v="7375.8"/>
    <n v="26652.32"/>
    <n v="19237.599999999999"/>
    <n v="21210.2"/>
    <n v="18217.12"/>
    <n v="14474"/>
    <n v="24024"/>
    <n v="15743.62"/>
    <n v="23415.37"/>
    <n v="14160"/>
    <n v="21439"/>
    <n v="14113"/>
    <n v="220062.02999999997"/>
    <n v="7326"/>
  </r>
  <r>
    <x v="7"/>
    <x v="5"/>
    <x v="0"/>
    <s v="4825106"/>
    <n v="718050"/>
    <s v="Translation Services"/>
    <s v="Nuclear Medicine"/>
    <x v="0"/>
    <n v="1025"/>
    <n v="1190.81"/>
    <n v="223.5"/>
    <n v="1422.25"/>
    <n v="-493.75"/>
    <n v="1663.25"/>
    <n v="536"/>
    <n v="816"/>
    <n v="310"/>
    <n v="137"/>
    <n v="0"/>
    <n v="144"/>
    <n v="723"/>
    <n v="6672.0599999999995"/>
    <n v="-579"/>
  </r>
  <r>
    <x v="7"/>
    <x v="5"/>
    <x v="0"/>
    <s v="4825106"/>
    <n v="718050"/>
    <s v="Contract Management--Linen"/>
    <s v="Nuclear Medicine"/>
    <x v="0"/>
    <n v="1026"/>
    <n v="69.63"/>
    <n v="177.44"/>
    <n v="202.92"/>
    <n v="490.88"/>
    <n v="359.13"/>
    <n v="350.06"/>
    <n v="282.48"/>
    <n v="198.51"/>
    <n v="189.58"/>
    <n v="159.71"/>
    <n v="148.03"/>
    <n v="173.63"/>
    <n v="2802.0000000000005"/>
    <n v="-25.599999999999994"/>
  </r>
  <r>
    <x v="7"/>
    <x v="5"/>
    <x v="0"/>
    <s v="4825106"/>
    <n v="718070"/>
    <s v="Contract Srvcs-CHI Clinical Engineering"/>
    <s v="Nuclear Medicine"/>
    <x v="0"/>
    <m/>
    <n v="3494.04"/>
    <n v="4542.2700000000004"/>
    <n v="3494.04"/>
    <n v="3494.04"/>
    <n v="4542.2700000000004"/>
    <n v="5955.29"/>
    <n v="1774.01"/>
    <n v="4318.5200000000004"/>
    <n v="4597.26"/>
    <n v="3669.81"/>
    <n v="0"/>
    <n v="0"/>
    <n v="39881.549999999996"/>
    <n v="0"/>
  </r>
  <r>
    <x v="11"/>
    <x v="5"/>
    <x v="0"/>
    <s v="4825106"/>
    <n v="721010"/>
    <s v="Supplies-Medical - Billable"/>
    <s v="Nuclear Medicine"/>
    <x v="0"/>
    <m/>
    <n v="0"/>
    <n v="0"/>
    <n v="0"/>
    <n v="0"/>
    <n v="0"/>
    <n v="0"/>
    <n v="19.63"/>
    <n v="0"/>
    <n v="0"/>
    <n v="0"/>
    <n v="0"/>
    <n v="0"/>
    <n v="19.63"/>
    <n v="0"/>
  </r>
  <r>
    <x v="11"/>
    <x v="5"/>
    <x v="0"/>
    <s v="4825106"/>
    <n v="721010"/>
    <s v="Patient Monitoring"/>
    <s v="Nuclear Medicine"/>
    <x v="0"/>
    <n v="1000"/>
    <n v="52.86"/>
    <n v="0"/>
    <n v="0"/>
    <n v="52.86"/>
    <n v="0"/>
    <n v="0"/>
    <n v="22.03"/>
    <n v="0"/>
    <n v="0"/>
    <n v="44.05"/>
    <n v="52.86"/>
    <n v="22.03"/>
    <n v="246.69000000000003"/>
    <n v="30.83"/>
  </r>
  <r>
    <x v="11"/>
    <x v="5"/>
    <x v="0"/>
    <s v="4825106"/>
    <n v="721240"/>
    <s v="Supplies-IV Solutions/Supplies - Billable"/>
    <s v="Nuclear Medicine"/>
    <x v="0"/>
    <m/>
    <n v="453.5"/>
    <n v="267"/>
    <n v="1.85"/>
    <n v="267"/>
    <n v="89"/>
    <n v="791.7"/>
    <n v="464.25"/>
    <n v="178"/>
    <n v="267"/>
    <n v="0"/>
    <n v="362"/>
    <n v="48.75"/>
    <n v="3190.05"/>
    <n v="313.25"/>
  </r>
  <r>
    <x v="11"/>
    <x v="5"/>
    <x v="0"/>
    <s v="4825106"/>
    <n v="721250"/>
    <s v="Supplies-Pharmacy Drugs - Billable"/>
    <s v="Nuclear Medicine"/>
    <x v="0"/>
    <m/>
    <n v="4818.3999999999996"/>
    <n v="4849.08"/>
    <n v="7444.75"/>
    <n v="6417.15"/>
    <n v="5127.74"/>
    <n v="3478.79"/>
    <n v="4697.5"/>
    <n v="3379.1"/>
    <n v="4970.84"/>
    <n v="3920.84"/>
    <n v="3500.84"/>
    <n v="4988.07"/>
    <n v="57593.099999999984"/>
    <n v="-1487.2299999999996"/>
  </r>
  <r>
    <x v="11"/>
    <x v="5"/>
    <x v="0"/>
    <s v="4825106"/>
    <n v="721350"/>
    <s v="Radiology Imaging - Contrast Media"/>
    <s v="Nuclear Medicine"/>
    <x v="0"/>
    <n v="1000"/>
    <n v="0"/>
    <n v="0"/>
    <n v="0"/>
    <n v="0"/>
    <n v="0"/>
    <n v="717.3"/>
    <n v="760.35"/>
    <n v="0"/>
    <n v="0"/>
    <n v="0"/>
    <n v="0"/>
    <n v="0"/>
    <n v="1477.65"/>
    <n v="0"/>
  </r>
  <r>
    <x v="11"/>
    <x v="5"/>
    <x v="0"/>
    <s v="4825106"/>
    <n v="721410"/>
    <s v="Supplies-Medical - Nonbillable"/>
    <s v="Nuclear Medicine"/>
    <x v="0"/>
    <m/>
    <n v="49.73"/>
    <n v="206.03"/>
    <n v="0"/>
    <n v="66.56"/>
    <n v="192.32"/>
    <n v="69.239999999999995"/>
    <n v="171.68"/>
    <n v="0"/>
    <n v="43.76"/>
    <n v="29.82"/>
    <n v="164.25"/>
    <n v="54.44"/>
    <n v="1047.83"/>
    <n v="109.81"/>
  </r>
  <r>
    <x v="11"/>
    <x v="5"/>
    <x v="0"/>
    <s v="4825106"/>
    <n v="721420"/>
    <s v="Supplies-Surgical Nonbillable"/>
    <s v="Nuclear Medicine"/>
    <x v="0"/>
    <m/>
    <n v="0"/>
    <n v="32.869999999999997"/>
    <n v="0"/>
    <n v="0"/>
    <n v="0"/>
    <n v="0"/>
    <n v="10.96"/>
    <n v="21.91"/>
    <n v="0"/>
    <n v="0"/>
    <n v="0"/>
    <n v="0"/>
    <n v="65.739999999999995"/>
    <n v="0"/>
  </r>
  <r>
    <x v="11"/>
    <x v="5"/>
    <x v="0"/>
    <s v="4825106"/>
    <n v="721420"/>
    <s v="Tubes Drains &amp; Related Supplies"/>
    <s v="Nuclear Medicine"/>
    <x v="0"/>
    <n v="1008"/>
    <n v="9.27"/>
    <n v="0"/>
    <n v="0"/>
    <n v="0"/>
    <n v="0"/>
    <n v="0"/>
    <n v="0"/>
    <n v="0"/>
    <n v="0"/>
    <n v="0"/>
    <n v="0"/>
    <n v="0"/>
    <n v="9.27"/>
    <n v="0"/>
  </r>
  <r>
    <x v="11"/>
    <x v="5"/>
    <x v="0"/>
    <s v="4825106"/>
    <n v="721610"/>
    <s v="Supplies-Anesthesia - Nonbillable"/>
    <s v="Nuclear Medicine"/>
    <x v="0"/>
    <m/>
    <n v="0"/>
    <n v="0"/>
    <n v="0"/>
    <n v="198"/>
    <n v="0"/>
    <n v="0"/>
    <n v="0"/>
    <n v="0"/>
    <n v="0"/>
    <n v="0"/>
    <n v="0"/>
    <n v="-2.52"/>
    <n v="195.48"/>
    <n v="2.52"/>
  </r>
  <r>
    <x v="11"/>
    <x v="5"/>
    <x v="0"/>
    <s v="4825106"/>
    <n v="721640"/>
    <s v="Supplies-IV Solutions/Supplies - Nonbillable"/>
    <s v="Nuclear Medicine"/>
    <x v="0"/>
    <m/>
    <n v="34"/>
    <n v="76.5"/>
    <n v="0"/>
    <n v="0"/>
    <n v="0"/>
    <n v="0"/>
    <n v="0"/>
    <n v="0"/>
    <n v="0"/>
    <n v="0"/>
    <n v="0"/>
    <n v="0"/>
    <n v="110.5"/>
    <n v="0"/>
  </r>
  <r>
    <x v="11"/>
    <x v="5"/>
    <x v="0"/>
    <s v="4825106"/>
    <n v="721650"/>
    <s v="Radioactive Material"/>
    <s v="Nuclear Medicine"/>
    <x v="0"/>
    <n v="1001"/>
    <n v="16339.74"/>
    <n v="11202.58"/>
    <n v="13331.4"/>
    <n v="14383"/>
    <n v="8772"/>
    <n v="9763.76"/>
    <n v="13028.73"/>
    <n v="20467.939999999999"/>
    <n v="842.31"/>
    <n v="1679.86"/>
    <n v="-285"/>
    <n v="8793.0400000000009"/>
    <n v="118319.35999999999"/>
    <n v="-9078.0400000000009"/>
  </r>
  <r>
    <x v="11"/>
    <x v="5"/>
    <x v="0"/>
    <s v="4825106"/>
    <n v="721710"/>
    <s v="Supplies-Laboratory - Nonbillable"/>
    <s v="Nuclear Medicine"/>
    <x v="0"/>
    <m/>
    <n v="0"/>
    <n v="16.25"/>
    <n v="0"/>
    <n v="0"/>
    <n v="0"/>
    <n v="0"/>
    <n v="0"/>
    <n v="16.25"/>
    <n v="0"/>
    <n v="0"/>
    <n v="0"/>
    <n v="0"/>
    <n v="32.5"/>
    <n v="0"/>
  </r>
  <r>
    <x v="11"/>
    <x v="5"/>
    <x v="0"/>
    <s v="4825106"/>
    <n v="721810"/>
    <s v="Supplies-Dietary/Cafeteria"/>
    <s v="Nuclear Medicine"/>
    <x v="0"/>
    <m/>
    <n v="6.36"/>
    <n v="0"/>
    <n v="20.83"/>
    <n v="0"/>
    <n v="0"/>
    <n v="55.54"/>
    <n v="0"/>
    <n v="0"/>
    <n v="0"/>
    <n v="20.83"/>
    <n v="6.36"/>
    <n v="6.36"/>
    <n v="116.27999999999999"/>
    <n v="0"/>
  </r>
  <r>
    <x v="11"/>
    <x v="5"/>
    <x v="0"/>
    <s v="4825106"/>
    <n v="721830"/>
    <s v="Supplies-Office"/>
    <s v="Nuclear Medicine"/>
    <x v="0"/>
    <m/>
    <n v="165"/>
    <n v="0"/>
    <n v="67.099999999999994"/>
    <n v="75.87"/>
    <n v="111.29"/>
    <n v="0"/>
    <n v="0"/>
    <n v="0"/>
    <n v="0"/>
    <n v="171.3"/>
    <n v="0"/>
    <n v="0"/>
    <n v="590.56000000000006"/>
    <n v="0"/>
  </r>
  <r>
    <x v="11"/>
    <x v="5"/>
    <x v="0"/>
    <s v="4825106"/>
    <n v="721870"/>
    <s v="Supplies-Environmental Services"/>
    <s v="Nuclear Medicine"/>
    <x v="0"/>
    <m/>
    <n v="0"/>
    <n v="27.31"/>
    <n v="13.66"/>
    <n v="9.1"/>
    <n v="0"/>
    <n v="22.76"/>
    <n v="9.1"/>
    <n v="9.1"/>
    <n v="0"/>
    <n v="18.21"/>
    <n v="18.21"/>
    <n v="13.66"/>
    <n v="141.10999999999999"/>
    <n v="4.5500000000000007"/>
  </r>
  <r>
    <x v="11"/>
    <x v="5"/>
    <x v="0"/>
    <s v="4825106"/>
    <n v="721910"/>
    <s v="Supplies-Small Equipment"/>
    <s v="Nuclear Medicine"/>
    <x v="0"/>
    <m/>
    <n v="13.4"/>
    <n v="1.28"/>
    <n v="0"/>
    <n v="1.86"/>
    <n v="0"/>
    <n v="0"/>
    <n v="1.44"/>
    <n v="0"/>
    <n v="28.95"/>
    <n v="3.6"/>
    <n v="0"/>
    <n v="0"/>
    <n v="50.53"/>
    <n v="0"/>
  </r>
  <r>
    <x v="11"/>
    <x v="5"/>
    <x v="0"/>
    <s v="4825106"/>
    <n v="721910"/>
    <s v="Instruments"/>
    <s v="Nuclear Medicine"/>
    <x v="0"/>
    <n v="1000"/>
    <n v="0"/>
    <n v="0"/>
    <n v="0"/>
    <n v="799.92"/>
    <n v="-72.72"/>
    <n v="0"/>
    <n v="0"/>
    <n v="799.92"/>
    <n v="727.2"/>
    <n v="0"/>
    <n v="-72.72"/>
    <n v="0"/>
    <n v="2181.6"/>
    <n v="-72.72"/>
  </r>
  <r>
    <x v="11"/>
    <x v="5"/>
    <x v="0"/>
    <s v="4825106"/>
    <n v="721980"/>
    <s v="Supplies-Other"/>
    <s v="Nuclear Medicine"/>
    <x v="0"/>
    <m/>
    <n v="0"/>
    <n v="359.9"/>
    <n v="0"/>
    <n v="0"/>
    <n v="0"/>
    <n v="0"/>
    <n v="0"/>
    <n v="0"/>
    <n v="0"/>
    <n v="0"/>
    <n v="0"/>
    <n v="0"/>
    <n v="359.9"/>
    <n v="0"/>
  </r>
  <r>
    <x v="11"/>
    <x v="5"/>
    <x v="0"/>
    <s v="4825106"/>
    <n v="722000"/>
    <s v="Supplies-Freight Expense"/>
    <s v="Nuclear Medicine"/>
    <x v="0"/>
    <m/>
    <n v="15.03"/>
    <n v="675"/>
    <n v="125"/>
    <n v="500"/>
    <n v="698.41"/>
    <n v="175"/>
    <n v="375"/>
    <n v="0"/>
    <n v="989.3"/>
    <n v="662.36"/>
    <n v="0"/>
    <n v="765"/>
    <n v="4980.0999999999995"/>
    <n v="-765"/>
  </r>
  <r>
    <x v="11"/>
    <x v="5"/>
    <x v="0"/>
    <s v="4825106"/>
    <n v="722000"/>
    <s v="Rush Order Fees"/>
    <s v="Nuclear Medicine"/>
    <x v="0"/>
    <n v="1005"/>
    <n v="0"/>
    <n v="190"/>
    <n v="95"/>
    <n v="380"/>
    <n v="475"/>
    <n v="380"/>
    <n v="190"/>
    <n v="0"/>
    <n v="760"/>
    <n v="95"/>
    <n v="285"/>
    <n v="285"/>
    <n v="3135"/>
    <n v="0"/>
  </r>
  <r>
    <x v="12"/>
    <x v="5"/>
    <x v="0"/>
    <s v="4825106"/>
    <n v="730020"/>
    <s v="Rental and Leases-Copier Usage Fees (DO NOT USE)"/>
    <s v="Nuclear Medicine"/>
    <x v="0"/>
    <n v="5100"/>
    <n v="23.7"/>
    <n v="24.52"/>
    <n v="24.11"/>
    <n v="24.11"/>
    <n v="24.11"/>
    <n v="24.11"/>
    <n v="17.420000000000002"/>
    <n v="24.55"/>
    <n v="24.5"/>
    <n v="24.6"/>
    <n v="24.55"/>
    <n v="24.55"/>
    <n v="284.83"/>
    <n v="0"/>
  </r>
  <r>
    <x v="16"/>
    <x v="5"/>
    <x v="0"/>
    <s v="4825106"/>
    <n v="732020"/>
    <s v="Repairs--Clin Equip-Parts-Internal to CHI Programs"/>
    <s v="Nuclear Medicine"/>
    <x v="0"/>
    <m/>
    <n v="0"/>
    <n v="0"/>
    <n v="77.86"/>
    <n v="0"/>
    <n v="0"/>
    <n v="0"/>
    <n v="0"/>
    <n v="0"/>
    <n v="0"/>
    <n v="0"/>
    <n v="0"/>
    <n v="0"/>
    <n v="77.86"/>
    <n v="0"/>
  </r>
  <r>
    <x v="16"/>
    <x v="5"/>
    <x v="0"/>
    <s v="4825106"/>
    <n v="732030"/>
    <s v="Repairs---Other"/>
    <s v="Nuclear Medicine"/>
    <x v="0"/>
    <m/>
    <n v="1800"/>
    <n v="0"/>
    <n v="4125"/>
    <n v="1640"/>
    <n v="0"/>
    <n v="0"/>
    <n v="0"/>
    <n v="0"/>
    <n v="0"/>
    <n v="0"/>
    <n v="0"/>
    <n v="918"/>
    <n v="8483"/>
    <n v="-918"/>
  </r>
  <r>
    <x v="13"/>
    <x v="5"/>
    <x v="0"/>
    <s v="4825106"/>
    <n v="735070"/>
    <s v="Depreciation-Movable Equipment"/>
    <s v="Nuclear Medicine"/>
    <x v="0"/>
    <m/>
    <n v="3400.37"/>
    <n v="3400.37"/>
    <n v="3400.37"/>
    <n v="3400.34"/>
    <n v="3400.38"/>
    <n v="3400.33"/>
    <n v="3400.39"/>
    <n v="3400.33"/>
    <n v="3400.46"/>
    <n v="3400.3"/>
    <n v="3400.48"/>
    <n v="3400.27"/>
    <n v="40804.390000000007"/>
    <n v="0.21000000000003638"/>
  </r>
  <r>
    <x v="18"/>
    <x v="6"/>
    <x v="0"/>
    <s v="4825107"/>
    <n v="400010"/>
    <s v="Acute I/P Svcs Rev--Medicare"/>
    <s v="Nuclear Medicine"/>
    <x v="0"/>
    <n v="1100"/>
    <n v="-347212.73"/>
    <n v="-351094.63"/>
    <n v="-373422.67"/>
    <n v="-352773.71"/>
    <n v="-348372.12"/>
    <n v="-259476.41"/>
    <n v="-404388.53"/>
    <n v="-241249.69"/>
    <n v="-310497.49"/>
    <n v="-212645.81"/>
    <n v="-364176.05"/>
    <n v="-306340.77"/>
    <n v="-3871650.6099999994"/>
    <n v="-57835.27999999997"/>
  </r>
  <r>
    <x v="18"/>
    <x v="6"/>
    <x v="0"/>
    <s v="4825107"/>
    <n v="400010"/>
    <s v="Acute I/P Svcs Rev--Medicaid"/>
    <s v="Nuclear Medicine"/>
    <x v="0"/>
    <n v="1200"/>
    <n v="-15123.31"/>
    <n v="-69550.080000000002"/>
    <n v="-64022.42"/>
    <n v="-46989.06"/>
    <n v="-63358.58"/>
    <n v="-49968.7"/>
    <n v="-73414.98"/>
    <n v="-51138.22"/>
    <n v="-45868.18"/>
    <n v="-54805.93"/>
    <n v="-88564.38"/>
    <n v="-105008.2"/>
    <n v="-727812.03999999992"/>
    <n v="16443.819999999992"/>
  </r>
  <r>
    <x v="18"/>
    <x v="6"/>
    <x v="0"/>
    <s v="4825107"/>
    <n v="400010"/>
    <s v="Acute I/P Svcs Rev--Comm Insurance"/>
    <s v="Nuclear Medicine"/>
    <x v="0"/>
    <n v="1300"/>
    <n v="0"/>
    <n v="-7014.75"/>
    <n v="9658.42"/>
    <n v="-1097.52"/>
    <n v="-1557.46"/>
    <n v="10083.540000000001"/>
    <n v="-10083.540000000001"/>
    <n v="-8526.08"/>
    <n v="0"/>
    <n v="-3742.06"/>
    <n v="0"/>
    <n v="-19304.509999999998"/>
    <n v="-31583.96"/>
    <n v="19304.509999999998"/>
  </r>
  <r>
    <x v="18"/>
    <x v="6"/>
    <x v="0"/>
    <s v="4825107"/>
    <n v="400010"/>
    <s v="Acute I/P Svcs Rev--BCBS Comm"/>
    <s v="Nuclear Medicine"/>
    <x v="0"/>
    <n v="1301"/>
    <n v="-20167.080000000002"/>
    <n v="-14102.72"/>
    <n v="-18247.53"/>
    <n v="-20167.080000000002"/>
    <n v="-23159.37"/>
    <n v="0"/>
    <n v="-5832.81"/>
    <n v="-31054.05"/>
    <n v="-2937.91"/>
    <n v="-27915.34"/>
    <n v="-39993.800000000003"/>
    <n v="-3026.35"/>
    <n v="-206604.04"/>
    <n v="-36967.450000000004"/>
  </r>
  <r>
    <x v="18"/>
    <x v="6"/>
    <x v="0"/>
    <s v="4825107"/>
    <n v="400010"/>
    <s v="Acute I/P Svcs Rev--Managed Care"/>
    <s v="Nuclear Medicine"/>
    <x v="0"/>
    <n v="1400"/>
    <n v="9658.42"/>
    <n v="-16002.4"/>
    <n v="-86111.93"/>
    <n v="-36509.53"/>
    <n v="-55119"/>
    <n v="-28180.16"/>
    <n v="-30913.33"/>
    <n v="-29363.39"/>
    <n v="-33634.769999999997"/>
    <n v="-25148"/>
    <n v="-62206.87"/>
    <n v="-10074.31"/>
    <n v="-403605.27"/>
    <n v="-52132.560000000005"/>
  </r>
  <r>
    <x v="18"/>
    <x v="6"/>
    <x v="0"/>
    <s v="4825107"/>
    <n v="400010"/>
    <s v="Acute I/P Svcs Rev--Self Pay"/>
    <s v="Nuclear Medicine"/>
    <x v="0"/>
    <n v="1500"/>
    <n v="-8986.02"/>
    <n v="0"/>
    <n v="-10083.540000000001"/>
    <n v="0"/>
    <n v="0"/>
    <n v="-3388.6"/>
    <n v="-20167.080000000002"/>
    <n v="0"/>
    <n v="0"/>
    <n v="0"/>
    <n v="0"/>
    <n v="0"/>
    <n v="-42625.240000000005"/>
    <n v="0"/>
  </r>
  <r>
    <x v="18"/>
    <x v="6"/>
    <x v="0"/>
    <s v="4825107"/>
    <n v="400010"/>
    <s v="Acute I/P Svcs Rev--Other"/>
    <s v="Nuclear Medicine"/>
    <x v="0"/>
    <n v="1700"/>
    <n v="2827.53"/>
    <n v="-26101.98"/>
    <n v="-20167.080000000002"/>
    <n v="-19456.72"/>
    <n v="-23555.68"/>
    <n v="-6245.94"/>
    <n v="-20892.990000000002"/>
    <n v="-12312.29"/>
    <n v="-31212.26"/>
    <n v="-18231.38"/>
    <n v="-12139.47"/>
    <n v="-22246.959999999999"/>
    <n v="-209735.22"/>
    <n v="10107.49"/>
  </r>
  <r>
    <x v="19"/>
    <x v="6"/>
    <x v="0"/>
    <s v="4825107"/>
    <n v="400020"/>
    <s v="O/P Care Svcs Rev--Medicare"/>
    <s v="Nuclear Medicine"/>
    <x v="0"/>
    <n v="1100"/>
    <n v="-600429.62"/>
    <n v="-583029.30000000005"/>
    <n v="-265380.65999999997"/>
    <n v="-384341.22"/>
    <n v="-313488.90000000002"/>
    <n v="-394064.92"/>
    <n v="-311525.59000000003"/>
    <n v="-290457.05"/>
    <n v="-381312.79"/>
    <n v="-297928.64"/>
    <n v="-551903.14"/>
    <n v="-795552.94"/>
    <n v="-5169414.7699999996"/>
    <n v="243649.79999999993"/>
  </r>
  <r>
    <x v="19"/>
    <x v="6"/>
    <x v="0"/>
    <s v="4825107"/>
    <n v="400020"/>
    <s v="O/P Care Svcs Rev--Medicaid"/>
    <s v="Nuclear Medicine"/>
    <x v="0"/>
    <n v="1200"/>
    <n v="-89761.63"/>
    <n v="-81115.3"/>
    <n v="-84870.29"/>
    <n v="-77578.759999999995"/>
    <n v="-21614.560000000001"/>
    <n v="-67933.36"/>
    <n v="-82041.7"/>
    <n v="-198531.65"/>
    <n v="-186088.82"/>
    <n v="-169083.55"/>
    <n v="-214801.25"/>
    <n v="-206358.98"/>
    <n v="-1479779.85"/>
    <n v="-8442.2699999999895"/>
  </r>
  <r>
    <x v="19"/>
    <x v="6"/>
    <x v="0"/>
    <s v="4825107"/>
    <n v="400020"/>
    <s v="O/P Care Svcs Rev--Comm Insurance"/>
    <s v="Nuclear Medicine"/>
    <x v="0"/>
    <n v="1300"/>
    <n v="1557.22"/>
    <n v="0"/>
    <n v="0"/>
    <n v="-21614.560000000001"/>
    <n v="-8995.6"/>
    <n v="0"/>
    <n v="-14053.2"/>
    <n v="0"/>
    <n v="-2613.09"/>
    <n v="-16532.509999999998"/>
    <n v="0"/>
    <n v="-9220.9699999999993"/>
    <n v="-71472.709999999992"/>
    <n v="9220.9699999999993"/>
  </r>
  <r>
    <x v="19"/>
    <x v="6"/>
    <x v="0"/>
    <s v="4825107"/>
    <n v="400020"/>
    <s v="O/P Care Svcs Rev--BCBS Comm"/>
    <s v="Nuclear Medicine"/>
    <x v="0"/>
    <n v="1301"/>
    <n v="-44843.48"/>
    <n v="-46363.8"/>
    <n v="-70518.679999999993"/>
    <n v="-87494.6"/>
    <n v="-73213.679999999993"/>
    <n v="-62825.599999999999"/>
    <n v="-63239.57"/>
    <n v="-48375.29"/>
    <n v="-38305.160000000003"/>
    <n v="-47638.35"/>
    <n v="-54413.82"/>
    <n v="-58231.79"/>
    <n v="-695463.82"/>
    <n v="3817.9700000000012"/>
  </r>
  <r>
    <x v="19"/>
    <x v="6"/>
    <x v="0"/>
    <s v="4825107"/>
    <n v="400020"/>
    <s v="O/P Care Svcs Rev--Managed Care"/>
    <s v="Nuclear Medicine"/>
    <x v="0"/>
    <n v="1400"/>
    <n v="-101105.76"/>
    <n v="-140860.22"/>
    <n v="-72978.31"/>
    <n v="-109133.03"/>
    <n v="-122204.02"/>
    <n v="-57942.720000000001"/>
    <n v="-51977.63"/>
    <n v="-71145.31"/>
    <n v="-51985.23"/>
    <n v="-85089.46"/>
    <n v="-144219.68"/>
    <n v="-81534.009999999995"/>
    <n v="-1090175.3799999999"/>
    <n v="-62685.67"/>
  </r>
  <r>
    <x v="19"/>
    <x v="6"/>
    <x v="0"/>
    <s v="4825107"/>
    <n v="400020"/>
    <s v="O/P Care Svcs Rev--Self Pay"/>
    <s v="Nuclear Medicine"/>
    <x v="0"/>
    <n v="1500"/>
    <n v="-8407.85"/>
    <n v="-10083.540000000001"/>
    <n v="0"/>
    <n v="-8986.02"/>
    <n v="-15173.54"/>
    <n v="0"/>
    <n v="0"/>
    <n v="0"/>
    <n v="-9658.42"/>
    <n v="0"/>
    <n v="-16831.89"/>
    <n v="-12297.88"/>
    <n v="-81439.14"/>
    <n v="-4534.01"/>
  </r>
  <r>
    <x v="19"/>
    <x v="6"/>
    <x v="0"/>
    <s v="4825107"/>
    <n v="400020"/>
    <s v="O/P Care Svcs Rev--Other"/>
    <s v="Nuclear Medicine"/>
    <x v="0"/>
    <n v="1700"/>
    <n v="-107418.03"/>
    <n v="-119183.84"/>
    <n v="-72596.22"/>
    <n v="-45003.42"/>
    <n v="-30250.62"/>
    <n v="-42278.84"/>
    <n v="-12605.72"/>
    <n v="-33667.14"/>
    <n v="-94761.52"/>
    <n v="-35401.300000000003"/>
    <n v="-93608.93"/>
    <n v="-76390.509999999995"/>
    <n v="-763166.09000000008"/>
    <n v="-17218.419999999998"/>
  </r>
  <r>
    <x v="5"/>
    <x v="6"/>
    <x v="0"/>
    <s v="4825107"/>
    <n v="700026"/>
    <s v="Salaries-RN-Productive"/>
    <s v="Nuclear Medicine"/>
    <x v="0"/>
    <m/>
    <n v="0"/>
    <n v="0"/>
    <n v="0"/>
    <n v="409.28"/>
    <n v="0"/>
    <n v="0"/>
    <n v="0"/>
    <n v="0"/>
    <n v="0"/>
    <n v="0"/>
    <n v="0"/>
    <n v="0"/>
    <n v="409.28"/>
    <n v="0"/>
  </r>
  <r>
    <x v="5"/>
    <x v="6"/>
    <x v="0"/>
    <s v="4825107"/>
    <n v="700034"/>
    <s v="Salaries-Tech/Professional-Productive"/>
    <s v="Nuclear Medicine"/>
    <x v="0"/>
    <m/>
    <n v="18448.919999999998"/>
    <n v="18007.02"/>
    <n v="19231.919999999998"/>
    <n v="16643.47"/>
    <n v="16362.76"/>
    <n v="19241.25"/>
    <n v="18218.189999999999"/>
    <n v="15823.8"/>
    <n v="17680.82"/>
    <n v="17822.990000000002"/>
    <n v="20775.490000000002"/>
    <n v="20067.060000000001"/>
    <n v="218323.68999999997"/>
    <n v="708.43000000000029"/>
  </r>
  <r>
    <x v="5"/>
    <x v="6"/>
    <x v="0"/>
    <s v="4825107"/>
    <n v="700034"/>
    <s v="Salaries-Tech/Professional-OT"/>
    <s v="Nuclear Medicine"/>
    <x v="0"/>
    <n v="1000"/>
    <n v="1718.8"/>
    <n v="2638.55"/>
    <n v="1548.83"/>
    <n v="501.85"/>
    <n v="2544.29"/>
    <n v="1253.3"/>
    <n v="1030.73"/>
    <n v="1261.79"/>
    <n v="1776.63"/>
    <n v="889.46"/>
    <n v="4475.5"/>
    <n v="-235.28"/>
    <n v="19404.45"/>
    <n v="4710.78"/>
  </r>
  <r>
    <x v="5"/>
    <x v="6"/>
    <x v="0"/>
    <s v="4825107"/>
    <n v="700034"/>
    <s v="Salaries-Tech/Professional-Other"/>
    <s v="Nuclear Medicine"/>
    <x v="0"/>
    <n v="2000"/>
    <n v="2112.89"/>
    <n v="2050.56"/>
    <n v="2170.11"/>
    <n v="1997.85"/>
    <n v="2231.6"/>
    <n v="2152.54"/>
    <n v="2086.5300000000002"/>
    <n v="1973.29"/>
    <n v="2101.61"/>
    <n v="2193.89"/>
    <n v="2295.23"/>
    <n v="1858.15"/>
    <n v="25224.25"/>
    <n v="437.07999999999993"/>
  </r>
  <r>
    <x v="5"/>
    <x v="6"/>
    <x v="0"/>
    <s v="4825107"/>
    <n v="700074"/>
    <s v="Salaries-Tech/Professional-Non-productive"/>
    <s v="Nuclear Medicine"/>
    <x v="0"/>
    <m/>
    <n v="3392.8"/>
    <n v="4468.95"/>
    <n v="1493.2"/>
    <n v="2746.27"/>
    <n v="9171.9599999999991"/>
    <n v="2291.06"/>
    <n v="3339.52"/>
    <n v="4645.07"/>
    <n v="3805.38"/>
    <n v="535.36"/>
    <n v="2431.21"/>
    <n v="2005.86"/>
    <n v="40326.639999999999"/>
    <n v="425.35000000000014"/>
  </r>
  <r>
    <x v="5"/>
    <x v="6"/>
    <x v="0"/>
    <s v="4825107"/>
    <n v="700074"/>
    <s v="Salaries-Tech/Professional-NonProd-Other"/>
    <s v="Nuclear Medicine"/>
    <x v="0"/>
    <n v="2000"/>
    <n v="665.01"/>
    <n v="-20.2"/>
    <n v="240.42"/>
    <n v="3.38"/>
    <n v="969.92"/>
    <n v="-291.64999999999998"/>
    <n v="0"/>
    <n v="351.03"/>
    <n v="14.69"/>
    <n v="507.22"/>
    <n v="597"/>
    <n v="96.44"/>
    <n v="3133.2599999999998"/>
    <n v="500.56"/>
  </r>
  <r>
    <x v="5"/>
    <x v="6"/>
    <x v="0"/>
    <s v="4825107"/>
    <n v="700084"/>
    <s v="Accrued PTO"/>
    <s v="Nuclear Medicine"/>
    <x v="0"/>
    <m/>
    <n v="-451.84"/>
    <n v="622.69000000000005"/>
    <n v="-207.26"/>
    <n v="-92.83"/>
    <n v="-1773.2"/>
    <n v="-1281.19"/>
    <n v="-1289.27"/>
    <n v="-611.91999999999996"/>
    <n v="921.08"/>
    <n v="1589"/>
    <n v="1734.08"/>
    <n v="1118.79"/>
    <n v="278.13000000000011"/>
    <n v="615.29"/>
  </r>
  <r>
    <x v="6"/>
    <x v="6"/>
    <x v="0"/>
    <s v="4825107"/>
    <n v="713010"/>
    <s v="Benefits-FICA/Medicare"/>
    <s v="Nuclear Medicine"/>
    <x v="0"/>
    <m/>
    <n v="2014.85"/>
    <n v="2076.62"/>
    <n v="1888.33"/>
    <n v="1724.32"/>
    <n v="2374.88"/>
    <n v="1885.45"/>
    <n v="1884.68"/>
    <n v="1837.52"/>
    <n v="1938.71"/>
    <n v="1676.62"/>
    <n v="2335.5"/>
    <n v="1817.47"/>
    <n v="23454.95"/>
    <n v="518.03"/>
  </r>
  <r>
    <x v="6"/>
    <x v="6"/>
    <x v="0"/>
    <s v="4825107"/>
    <n v="713090"/>
    <s v="Benefits-Allocated Amounts"/>
    <s v="Nuclear Medicine"/>
    <x v="0"/>
    <m/>
    <n v="3461.14"/>
    <n v="3349.41"/>
    <n v="3271.39"/>
    <n v="2942.56"/>
    <n v="4486.53"/>
    <n v="3458.04"/>
    <n v="3380.88"/>
    <n v="3465.74"/>
    <n v="2926.72"/>
    <n v="3218.09"/>
    <n v="4127.95"/>
    <n v="3938.06"/>
    <n v="42026.509999999995"/>
    <n v="189.88999999999987"/>
  </r>
  <r>
    <x v="7"/>
    <x v="6"/>
    <x v="0"/>
    <s v="4825107"/>
    <n v="718050"/>
    <s v="Contract Svcs-Other"/>
    <s v="Nuclear Medicine"/>
    <x v="0"/>
    <m/>
    <n v="0"/>
    <n v="0"/>
    <n v="58"/>
    <n v="163.5"/>
    <n v="210"/>
    <n v="172"/>
    <n v="3473"/>
    <n v="9249"/>
    <n v="0"/>
    <n v="2280"/>
    <n v="0"/>
    <n v="4270"/>
    <n v="19875.5"/>
    <n v="-4270"/>
  </r>
  <r>
    <x v="7"/>
    <x v="6"/>
    <x v="0"/>
    <s v="4825107"/>
    <n v="718070"/>
    <s v="Contract Srvcs-CHI Clinical Engineering"/>
    <s v="Nuclear Medicine"/>
    <x v="0"/>
    <m/>
    <n v="3507.46"/>
    <n v="3507.46"/>
    <n v="3507.46"/>
    <n v="3507.46"/>
    <n v="3507.46"/>
    <n v="3507.46"/>
    <n v="3507.46"/>
    <n v="3507.46"/>
    <n v="3507.46"/>
    <n v="3507.46"/>
    <n v="3507.46"/>
    <n v="6879.57"/>
    <n v="45461.63"/>
    <n v="-3372.1099999999997"/>
  </r>
  <r>
    <x v="11"/>
    <x v="6"/>
    <x v="0"/>
    <s v="4825107"/>
    <n v="721010"/>
    <s v="Patient Monitoring"/>
    <s v="Nuclear Medicine"/>
    <x v="0"/>
    <n v="1000"/>
    <n v="27"/>
    <n v="0"/>
    <n v="0"/>
    <n v="0"/>
    <n v="0"/>
    <n v="0"/>
    <n v="0"/>
    <n v="0"/>
    <n v="0"/>
    <n v="0"/>
    <n v="0"/>
    <n v="0"/>
    <n v="27"/>
    <n v="0"/>
  </r>
  <r>
    <x v="11"/>
    <x v="6"/>
    <x v="0"/>
    <s v="4825107"/>
    <n v="721250"/>
    <s v="Supplies-Pharmacy Drugs - Billable"/>
    <s v="Nuclear Medicine"/>
    <x v="0"/>
    <m/>
    <n v="21347.7"/>
    <n v="11469.57"/>
    <n v="14943.39"/>
    <n v="22131.82"/>
    <n v="18242.580000000002"/>
    <n v="8733.15"/>
    <n v="17854.439999999999"/>
    <n v="15358.54"/>
    <n v="9722.76"/>
    <n v="14591.17"/>
    <n v="11770.59"/>
    <n v="12357.8"/>
    <n v="178523.51"/>
    <n v="-587.20999999999913"/>
  </r>
  <r>
    <x v="11"/>
    <x v="6"/>
    <x v="0"/>
    <s v="4825107"/>
    <n v="721250"/>
    <s v="Radioactive Material"/>
    <s v="Nuclear Medicine"/>
    <x v="0"/>
    <n v="1001"/>
    <n v="0"/>
    <n v="0"/>
    <n v="0"/>
    <n v="0"/>
    <n v="0"/>
    <n v="0"/>
    <n v="0"/>
    <n v="0"/>
    <n v="40246.33"/>
    <n v="26528.14"/>
    <n v="9989.44"/>
    <n v="91703.98"/>
    <n v="168467.89"/>
    <n v="-81714.539999999994"/>
  </r>
  <r>
    <x v="11"/>
    <x v="6"/>
    <x v="0"/>
    <s v="4825107"/>
    <n v="721410"/>
    <s v="Supplies-Medical - Nonbillable"/>
    <s v="Nuclear Medicine"/>
    <x v="0"/>
    <m/>
    <n v="0"/>
    <n v="0"/>
    <n v="0"/>
    <n v="0"/>
    <n v="0"/>
    <n v="870"/>
    <n v="0"/>
    <n v="0"/>
    <n v="0"/>
    <n v="0"/>
    <n v="0"/>
    <n v="0"/>
    <n v="870"/>
    <n v="0"/>
  </r>
  <r>
    <x v="11"/>
    <x v="6"/>
    <x v="0"/>
    <s v="4825107"/>
    <n v="721610"/>
    <s v="Supplies-Anesthesia - Nonbillable"/>
    <s v="Nuclear Medicine"/>
    <x v="0"/>
    <m/>
    <n v="10.52"/>
    <n v="0"/>
    <n v="0"/>
    <n v="0"/>
    <n v="0"/>
    <n v="0"/>
    <n v="0"/>
    <n v="0"/>
    <n v="0"/>
    <n v="0"/>
    <n v="0"/>
    <n v="0"/>
    <n v="10.52"/>
    <n v="0"/>
  </r>
  <r>
    <x v="11"/>
    <x v="6"/>
    <x v="0"/>
    <s v="4825107"/>
    <n v="721650"/>
    <s v="Supplies-Pharmacy Drugs - Nonbillable"/>
    <s v="Nuclear Medicine"/>
    <x v="0"/>
    <m/>
    <n v="0"/>
    <n v="12407.09"/>
    <n v="0"/>
    <n v="0"/>
    <n v="0"/>
    <n v="3068.14"/>
    <n v="-95"/>
    <n v="0"/>
    <n v="0"/>
    <n v="0"/>
    <n v="0"/>
    <n v="0"/>
    <n v="15380.23"/>
    <n v="0"/>
  </r>
  <r>
    <x v="11"/>
    <x v="6"/>
    <x v="0"/>
    <s v="4825107"/>
    <n v="721650"/>
    <s v="Radioactive Material"/>
    <s v="Nuclear Medicine"/>
    <x v="0"/>
    <n v="1001"/>
    <n v="101111.4"/>
    <n v="40845.69"/>
    <n v="83098.509999999995"/>
    <n v="38880.79"/>
    <n v="4995.84"/>
    <n v="43158.04"/>
    <n v="12844.06"/>
    <n v="37258.959999999999"/>
    <n v="18465.759999999998"/>
    <n v="0"/>
    <n v="2364.21"/>
    <n v="128.5"/>
    <n v="383151.76"/>
    <n v="2235.71"/>
  </r>
  <r>
    <x v="11"/>
    <x v="6"/>
    <x v="0"/>
    <s v="4825107"/>
    <n v="721810"/>
    <s v="Supplies-Dietary/Cafeteria"/>
    <s v="Nuclear Medicine"/>
    <x v="0"/>
    <m/>
    <n v="27.49"/>
    <n v="5.52"/>
    <n v="5.52"/>
    <n v="27.49"/>
    <n v="28.87"/>
    <n v="5.52"/>
    <n v="40.26"/>
    <n v="6.9"/>
    <n v="26.42"/>
    <n v="41.18"/>
    <n v="28.87"/>
    <n v="8.2799999999999994"/>
    <n v="252.32000000000002"/>
    <n v="20.590000000000003"/>
  </r>
  <r>
    <x v="11"/>
    <x v="6"/>
    <x v="0"/>
    <s v="4825107"/>
    <n v="721870"/>
    <s v="Supplies-Environmental Services"/>
    <s v="Nuclear Medicine"/>
    <x v="0"/>
    <m/>
    <n v="0"/>
    <n v="0"/>
    <n v="0"/>
    <n v="0"/>
    <n v="0"/>
    <n v="0"/>
    <n v="0"/>
    <n v="0"/>
    <n v="0"/>
    <n v="5.58"/>
    <n v="0"/>
    <n v="0"/>
    <n v="5.58"/>
    <n v="0"/>
  </r>
  <r>
    <x v="11"/>
    <x v="6"/>
    <x v="0"/>
    <s v="4825107"/>
    <n v="721910"/>
    <s v="Supplies-Small Equipment"/>
    <s v="Nuclear Medicine"/>
    <x v="0"/>
    <m/>
    <n v="0"/>
    <n v="0"/>
    <n v="0"/>
    <n v="0"/>
    <n v="0"/>
    <n v="0"/>
    <n v="0"/>
    <n v="0"/>
    <n v="14.47"/>
    <n v="0"/>
    <n v="0"/>
    <n v="0"/>
    <n v="14.47"/>
    <n v="0"/>
  </r>
  <r>
    <x v="11"/>
    <x v="6"/>
    <x v="0"/>
    <s v="4825107"/>
    <n v="721980"/>
    <s v="Supplies-Other"/>
    <s v="Nuclear Medicine"/>
    <x v="0"/>
    <m/>
    <n v="0"/>
    <n v="2057.86"/>
    <n v="1200"/>
    <n v="0"/>
    <n v="0"/>
    <n v="1200"/>
    <n v="1950"/>
    <n v="0"/>
    <n v="0"/>
    <n v="0"/>
    <n v="0"/>
    <n v="0"/>
    <n v="6407.8600000000006"/>
    <n v="0"/>
  </r>
  <r>
    <x v="11"/>
    <x v="6"/>
    <x v="0"/>
    <s v="4825107"/>
    <n v="722000"/>
    <s v="Supplies-Freight Expense"/>
    <s v="Nuclear Medicine"/>
    <x v="0"/>
    <m/>
    <n v="0"/>
    <n v="50"/>
    <n v="0"/>
    <n v="0"/>
    <n v="0"/>
    <n v="17.43"/>
    <n v="0"/>
    <n v="0"/>
    <n v="60.44"/>
    <n v="0"/>
    <n v="0"/>
    <n v="35"/>
    <n v="162.87"/>
    <n v="-35"/>
  </r>
  <r>
    <x v="11"/>
    <x v="6"/>
    <x v="0"/>
    <s v="4825107"/>
    <n v="722000"/>
    <s v="Rush Order Fees"/>
    <s v="Nuclear Medicine"/>
    <x v="0"/>
    <n v="1005"/>
    <n v="0"/>
    <n v="0"/>
    <n v="0"/>
    <n v="0"/>
    <n v="0"/>
    <n v="0"/>
    <n v="95"/>
    <n v="0"/>
    <n v="0"/>
    <n v="0"/>
    <n v="0"/>
    <n v="0"/>
    <n v="95"/>
    <n v="0"/>
  </r>
  <r>
    <x v="12"/>
    <x v="6"/>
    <x v="0"/>
    <s v="4825107"/>
    <n v="730020"/>
    <s v="Rental and Leases-Copier Usage Fees (DO NOT USE)"/>
    <s v="Nuclear Medicine"/>
    <x v="0"/>
    <n v="5100"/>
    <n v="43.64"/>
    <n v="44.42"/>
    <n v="44.03"/>
    <n v="44.03"/>
    <n v="44.03"/>
    <n v="44.03"/>
    <n v="20.7"/>
    <n v="35.31"/>
    <n v="35.24"/>
    <n v="35.380000000000003"/>
    <n v="35.31"/>
    <n v="41.15"/>
    <n v="467.27"/>
    <n v="-5.8399999999999963"/>
  </r>
  <r>
    <x v="13"/>
    <x v="6"/>
    <x v="0"/>
    <s v="4825107"/>
    <n v="735070"/>
    <s v="Depreciation-Movable Equipment"/>
    <s v="Nuclear Medicine"/>
    <x v="0"/>
    <m/>
    <n v="11410.88"/>
    <n v="11410.88"/>
    <n v="11410.88"/>
    <n v="11230.1"/>
    <n v="11230.12"/>
    <n v="11230.08"/>
    <n v="11230.12"/>
    <n v="11230.07"/>
    <n v="11230.12"/>
    <n v="11230.05"/>
    <n v="11230.13"/>
    <n v="11230.04"/>
    <n v="135303.47"/>
    <n v="8.999999999832653E-2"/>
  </r>
  <r>
    <x v="0"/>
    <x v="6"/>
    <x v="0"/>
    <s v="4825107"/>
    <n v="743030"/>
    <s v="Subscriptions--Institutional"/>
    <s v="Nuclear Medicine"/>
    <x v="0"/>
    <m/>
    <n v="0"/>
    <n v="0"/>
    <n v="0"/>
    <n v="0"/>
    <n v="0"/>
    <n v="0"/>
    <n v="0"/>
    <n v="0"/>
    <n v="61"/>
    <n v="0"/>
    <n v="0"/>
    <n v="0"/>
    <n v="61"/>
    <n v="0"/>
  </r>
  <r>
    <x v="18"/>
    <x v="7"/>
    <x v="0"/>
    <s v="4825150"/>
    <n v="400010"/>
    <s v="Acute I/P Svcs Rev--Medicare"/>
    <s v="Nuclear Medicine"/>
    <x v="0"/>
    <n v="1100"/>
    <n v="0"/>
    <n v="-2331.7199999999998"/>
    <n v="-7809.4"/>
    <n v="-2331.7199999999998"/>
    <n v="-1619.46"/>
    <n v="-7817.01"/>
    <n v="-1652.94"/>
    <n v="0"/>
    <n v="0"/>
    <n v="-5593"/>
    <n v="0"/>
    <n v="-4476.93"/>
    <n v="-33632.179999999993"/>
    <n v="4476.93"/>
  </r>
  <r>
    <x v="18"/>
    <x v="7"/>
    <x v="0"/>
    <s v="4825150"/>
    <n v="400010"/>
    <s v="Acute I/P Svcs Rev--Medicaid"/>
    <s v="Nuclear Medicine"/>
    <x v="0"/>
    <n v="1200"/>
    <n v="0"/>
    <n v="0"/>
    <n v="0"/>
    <n v="0"/>
    <n v="0"/>
    <n v="0"/>
    <n v="-1377.45"/>
    <n v="0"/>
    <n v="-1694.27"/>
    <n v="0"/>
    <n v="0"/>
    <n v="-1839.69"/>
    <n v="-4911.41"/>
    <n v="1839.69"/>
  </r>
  <r>
    <x v="18"/>
    <x v="7"/>
    <x v="0"/>
    <s v="4825150"/>
    <n v="400010"/>
    <s v="Acute I/P Svcs Rev--Comm Insurance"/>
    <s v="Nuclear Medicine"/>
    <x v="0"/>
    <n v="1300"/>
    <n v="0"/>
    <n v="-2331.7199999999998"/>
    <n v="0"/>
    <n v="0"/>
    <n v="0"/>
    <n v="0"/>
    <n v="0"/>
    <n v="0"/>
    <n v="0"/>
    <n v="-275.5"/>
    <n v="0"/>
    <n v="0"/>
    <n v="-2607.2199999999998"/>
    <n v="0"/>
  </r>
  <r>
    <x v="18"/>
    <x v="7"/>
    <x v="0"/>
    <s v="4825150"/>
    <n v="400010"/>
    <s v="Acute I/P Svcs Rev--BCBS Comm"/>
    <s v="Nuclear Medicine"/>
    <x v="0"/>
    <n v="1301"/>
    <n v="0"/>
    <n v="0"/>
    <n v="0"/>
    <n v="0"/>
    <n v="0"/>
    <n v="0"/>
    <n v="-1652.94"/>
    <n v="0"/>
    <n v="0"/>
    <n v="0"/>
    <n v="0"/>
    <n v="-1418.77"/>
    <n v="-3071.71"/>
    <n v="1418.77"/>
  </r>
  <r>
    <x v="18"/>
    <x v="7"/>
    <x v="0"/>
    <s v="4825150"/>
    <n v="400010"/>
    <s v="Acute I/P Svcs Rev--Managed Care"/>
    <s v="Nuclear Medicine"/>
    <x v="0"/>
    <n v="1400"/>
    <n v="0"/>
    <n v="-1652.94"/>
    <n v="0"/>
    <n v="0"/>
    <n v="0"/>
    <n v="-1791.11"/>
    <n v="0"/>
    <n v="0"/>
    <n v="-1418.77"/>
    <n v="-1156.4000000000001"/>
    <n v="-6578.99"/>
    <n v="0"/>
    <n v="-12598.21"/>
    <n v="-6578.99"/>
  </r>
  <r>
    <x v="19"/>
    <x v="7"/>
    <x v="0"/>
    <s v="4825150"/>
    <n v="400020"/>
    <s v="O/P Care Svcs Rev--Medicare"/>
    <s v="Nuclear Medicine"/>
    <x v="0"/>
    <n v="1100"/>
    <n v="-30028.97"/>
    <n v="-71519.899999999994"/>
    <n v="-45409.43"/>
    <n v="-35918.080000000002"/>
    <n v="-42881.5"/>
    <n v="-20776.919999999998"/>
    <n v="-19626.150000000001"/>
    <n v="-50914.11"/>
    <n v="-54393.62"/>
    <n v="-21220.69"/>
    <n v="-53744.55"/>
    <n v="-27475.15"/>
    <n v="-473909.07"/>
    <n v="-26269.4"/>
  </r>
  <r>
    <x v="19"/>
    <x v="7"/>
    <x v="0"/>
    <s v="4825150"/>
    <n v="400020"/>
    <s v="O/P Care Svcs Rev--Medicaid"/>
    <s v="Nuclear Medicine"/>
    <x v="0"/>
    <n v="1200"/>
    <n v="-1928.42"/>
    <n v="-6588.11"/>
    <n v="-3442.14"/>
    <n v="-4241.6899999999996"/>
    <n v="-5683.3"/>
    <n v="-1380.2"/>
    <n v="-4671.05"/>
    <n v="-4821.34"/>
    <n v="-20701.88"/>
    <n v="-10130.02"/>
    <n v="-6467.32"/>
    <n v="-4069.52"/>
    <n v="-74124.990000000005"/>
    <n v="-2397.7999999999997"/>
  </r>
  <r>
    <x v="19"/>
    <x v="7"/>
    <x v="0"/>
    <s v="4825150"/>
    <n v="400020"/>
    <s v="O/P Care Svcs Rev--Comm Insurance"/>
    <s v="Nuclear Medicine"/>
    <x v="0"/>
    <n v="1300"/>
    <n v="0"/>
    <n v="-5963.13"/>
    <n v="-3856.84"/>
    <n v="0"/>
    <n v="-2903.76"/>
    <n v="0"/>
    <n v="-5477.68"/>
    <n v="-1981.13"/>
    <n v="-2404.36"/>
    <n v="-2475.25"/>
    <n v="511.96"/>
    <n v="-1334.29"/>
    <n v="-25884.480000000007"/>
    <n v="1846.25"/>
  </r>
  <r>
    <x v="19"/>
    <x v="7"/>
    <x v="0"/>
    <s v="4825150"/>
    <n v="400020"/>
    <s v="O/P Care Svcs Rev--BCBS Comm"/>
    <s v="Nuclear Medicine"/>
    <x v="0"/>
    <n v="1301"/>
    <n v="-7811.18"/>
    <n v="-4534.67"/>
    <n v="-3308.62"/>
    <n v="924.83"/>
    <n v="-9061.14"/>
    <n v="-7626.01"/>
    <n v="-9039.85"/>
    <n v="-5366.13"/>
    <n v="-13491.82"/>
    <n v="-8604.02"/>
    <n v="-3256.15"/>
    <n v="-4154.66"/>
    <n v="-75329.42"/>
    <n v="898.50999999999976"/>
  </r>
  <r>
    <x v="19"/>
    <x v="7"/>
    <x v="0"/>
    <s v="4825150"/>
    <n v="400020"/>
    <s v="O/P Care Svcs Rev--Managed Care"/>
    <s v="Nuclear Medicine"/>
    <x v="0"/>
    <n v="1400"/>
    <n v="-3029.53"/>
    <n v="-10490.03"/>
    <n v="-17280.419999999998"/>
    <n v="-17736.849999999999"/>
    <n v="-8380.23"/>
    <n v="-10522"/>
    <n v="-14226.4"/>
    <n v="-3900.89"/>
    <n v="-27567.81"/>
    <n v="-11456.5"/>
    <n v="-13394.4"/>
    <n v="-13466.17"/>
    <n v="-151451.23000000001"/>
    <n v="71.770000000000437"/>
  </r>
  <r>
    <x v="19"/>
    <x v="7"/>
    <x v="0"/>
    <s v="4825150"/>
    <n v="400020"/>
    <s v="O/P Care Svcs Rev--Self Pay"/>
    <s v="Nuclear Medicine"/>
    <x v="0"/>
    <n v="1500"/>
    <n v="0"/>
    <n v="0"/>
    <n v="0"/>
    <n v="0"/>
    <n v="0"/>
    <n v="0"/>
    <n v="0"/>
    <n v="0"/>
    <n v="0"/>
    <n v="0"/>
    <n v="-1416.46"/>
    <n v="0"/>
    <n v="-1416.46"/>
    <n v="-1416.46"/>
  </r>
  <r>
    <x v="19"/>
    <x v="7"/>
    <x v="0"/>
    <s v="4825150"/>
    <n v="400020"/>
    <s v="O/P Care Svcs Rev--Other"/>
    <s v="Nuclear Medicine"/>
    <x v="0"/>
    <n v="1700"/>
    <n v="0"/>
    <n v="-4492.8500000000004"/>
    <n v="0"/>
    <n v="0"/>
    <n v="0"/>
    <n v="0"/>
    <n v="0"/>
    <n v="-6757.22"/>
    <n v="-1334.29"/>
    <n v="-5159.04"/>
    <n v="0"/>
    <n v="-1058.79"/>
    <n v="-18802.190000000002"/>
    <n v="1058.79"/>
  </r>
  <r>
    <x v="5"/>
    <x v="7"/>
    <x v="0"/>
    <s v="4825150"/>
    <n v="700034"/>
    <s v="Salaries-Tech/Professional-Productive"/>
    <s v="Nuclear Medicine"/>
    <x v="0"/>
    <m/>
    <n v="6910.13"/>
    <n v="9148.61"/>
    <n v="7346.05"/>
    <n v="6622.27"/>
    <n v="7294.69"/>
    <n v="8018.82"/>
    <n v="8561.5"/>
    <n v="12673.47"/>
    <n v="15792.52"/>
    <n v="14096.23"/>
    <n v="11507.34"/>
    <n v="8974.3700000000008"/>
    <n v="116945.99999999999"/>
    <n v="2532.9699999999993"/>
  </r>
  <r>
    <x v="5"/>
    <x v="7"/>
    <x v="0"/>
    <s v="4825150"/>
    <n v="700034"/>
    <s v="Salaries-Tech/Professional-OT"/>
    <s v="Nuclear Medicine"/>
    <x v="0"/>
    <n v="1000"/>
    <n v="370.67"/>
    <n v="548.71"/>
    <n v="27.57"/>
    <n v="477.23"/>
    <n v="317.25"/>
    <n v="35.369999999999997"/>
    <n v="611.34"/>
    <n v="722.96"/>
    <n v="1420.39"/>
    <n v="441.22"/>
    <n v="482.63"/>
    <n v="421.7"/>
    <n v="5877.0400000000009"/>
    <n v="60.930000000000007"/>
  </r>
  <r>
    <x v="5"/>
    <x v="7"/>
    <x v="0"/>
    <s v="4825150"/>
    <n v="700034"/>
    <s v="Salaries-Tech/Professional-Other"/>
    <s v="Nuclear Medicine"/>
    <x v="0"/>
    <n v="2000"/>
    <n v="378.39"/>
    <n v="279.68"/>
    <n v="47.65"/>
    <n v="255.73"/>
    <n v="155.32"/>
    <n v="235.31"/>
    <n v="202.41"/>
    <n v="626.80999999999995"/>
    <n v="989.51"/>
    <n v="1339.32"/>
    <n v="179.51"/>
    <n v="192.12"/>
    <n v="4881.76"/>
    <n v="-12.610000000000014"/>
  </r>
  <r>
    <x v="5"/>
    <x v="7"/>
    <x v="0"/>
    <s v="4825150"/>
    <n v="700074"/>
    <s v="Salaries-Tech/Professional-Non-productive"/>
    <s v="Nuclear Medicine"/>
    <x v="0"/>
    <m/>
    <n v="4146.17"/>
    <n v="1964.09"/>
    <n v="1718.65"/>
    <n v="2602.4899999999998"/>
    <n v="-337.17"/>
    <n v="3060.18"/>
    <n v="2094.9299999999998"/>
    <n v="1759.51"/>
    <n v="-259.49"/>
    <n v="1018.99"/>
    <n v="-130.22999999999999"/>
    <n v="1841.45"/>
    <n v="19479.57"/>
    <n v="-1971.68"/>
  </r>
  <r>
    <x v="5"/>
    <x v="7"/>
    <x v="0"/>
    <s v="4825150"/>
    <n v="700074"/>
    <s v="Salaries-Tech/Professional-NonProd-Other"/>
    <s v="Nuclear Medicine"/>
    <x v="0"/>
    <n v="2000"/>
    <n v="0"/>
    <n v="0"/>
    <n v="0"/>
    <n v="88.01"/>
    <n v="0"/>
    <n v="0"/>
    <n v="0"/>
    <n v="0"/>
    <n v="0"/>
    <n v="0"/>
    <n v="0"/>
    <n v="0"/>
    <n v="88.01"/>
    <n v="0"/>
  </r>
  <r>
    <x v="5"/>
    <x v="7"/>
    <x v="0"/>
    <s v="4825150"/>
    <n v="700084"/>
    <s v="Accrued PTO"/>
    <s v="Nuclear Medicine"/>
    <x v="0"/>
    <m/>
    <n v="-2046.8"/>
    <n v="-904.43"/>
    <n v="67.81"/>
    <n v="-777.41"/>
    <n v="1026.17"/>
    <n v="-214.86"/>
    <n v="-498.96"/>
    <n v="-32.54"/>
    <n v="1579.91"/>
    <n v="1140.8599999999999"/>
    <n v="1988.51"/>
    <n v="585.6"/>
    <n v="1913.8600000000001"/>
    <n v="1402.9099999999999"/>
  </r>
  <r>
    <x v="6"/>
    <x v="7"/>
    <x v="0"/>
    <s v="4825150"/>
    <n v="713010"/>
    <s v="Benefits-FICA/Medicare"/>
    <s v="Nuclear Medicine"/>
    <x v="0"/>
    <m/>
    <n v="858.23"/>
    <n v="866.56"/>
    <n v="657.57"/>
    <n v="731.21"/>
    <n v="537.46"/>
    <n v="824.44"/>
    <n v="828.64"/>
    <n v="1163.74"/>
    <n v="1324.89"/>
    <n v="1250.55"/>
    <n v="870.74"/>
    <n v="840.65"/>
    <n v="10754.68"/>
    <n v="30.090000000000032"/>
  </r>
  <r>
    <x v="6"/>
    <x v="7"/>
    <x v="0"/>
    <s v="4825150"/>
    <n v="713090"/>
    <s v="Benefits-Allocated Amounts"/>
    <s v="Nuclear Medicine"/>
    <x v="0"/>
    <m/>
    <n v="1691.99"/>
    <n v="1545.2"/>
    <n v="1382.39"/>
    <n v="1412.85"/>
    <n v="1141.93"/>
    <n v="1614.81"/>
    <n v="1675.95"/>
    <n v="2586.1799999999998"/>
    <n v="2765"/>
    <n v="2742"/>
    <n v="1825.08"/>
    <n v="1839.24"/>
    <n v="22222.620000000006"/>
    <n v="-14.160000000000082"/>
  </r>
  <r>
    <x v="17"/>
    <x v="7"/>
    <x v="0"/>
    <s v="4825150"/>
    <n v="714520"/>
    <s v="Other Contracted Professionals"/>
    <s v="Nuclear Medicine"/>
    <x v="0"/>
    <m/>
    <n v="0"/>
    <n v="0"/>
    <n v="0"/>
    <n v="750"/>
    <n v="0"/>
    <n v="0"/>
    <n v="0"/>
    <n v="0"/>
    <n v="875"/>
    <n v="2000"/>
    <n v="0"/>
    <n v="750"/>
    <n v="4375"/>
    <n v="-750"/>
  </r>
  <r>
    <x v="7"/>
    <x v="7"/>
    <x v="0"/>
    <s v="4825150"/>
    <n v="718050"/>
    <s v="Miscellaneous Purchased Svcs"/>
    <s v="Nuclear Medicine"/>
    <x v="0"/>
    <n v="1020"/>
    <n v="0"/>
    <n v="0"/>
    <n v="0"/>
    <n v="0"/>
    <n v="0"/>
    <n v="0"/>
    <n v="0"/>
    <n v="0"/>
    <n v="0"/>
    <n v="0"/>
    <n v="145"/>
    <n v="0"/>
    <n v="145"/>
    <n v="145"/>
  </r>
  <r>
    <x v="7"/>
    <x v="7"/>
    <x v="0"/>
    <s v="4825150"/>
    <n v="718070"/>
    <s v="Contract Srvcs-CHI Clinical Engineering"/>
    <s v="Nuclear Medicine"/>
    <x v="0"/>
    <m/>
    <n v="2237.5"/>
    <n v="2821.5"/>
    <n v="2237.5"/>
    <n v="2237.5"/>
    <n v="2820.89"/>
    <n v="2237.5"/>
    <n v="2235.16"/>
    <n v="2235.17"/>
    <n v="2235.17"/>
    <n v="0"/>
    <n v="0"/>
    <n v="0"/>
    <n v="21297.89"/>
    <n v="0"/>
  </r>
  <r>
    <x v="11"/>
    <x v="7"/>
    <x v="0"/>
    <s v="4825150"/>
    <n v="721250"/>
    <s v="Supplies-Pharmacy Drugs - Billable"/>
    <s v="Nuclear Medicine"/>
    <x v="0"/>
    <m/>
    <n v="5198.17"/>
    <n v="3798.17"/>
    <n v="3303.13"/>
    <n v="6749.31"/>
    <n v="7624.45"/>
    <n v="5431.89"/>
    <n v="4517.78"/>
    <n v="4360.57"/>
    <n v="5995.87"/>
    <n v="6591.72"/>
    <n v="1169.8900000000001"/>
    <n v="14383.94"/>
    <n v="69124.89"/>
    <n v="-13214.050000000001"/>
  </r>
  <r>
    <x v="11"/>
    <x v="7"/>
    <x v="0"/>
    <s v="4825150"/>
    <n v="721410"/>
    <s v="Supplies-Medical - Nonbillable"/>
    <s v="Nuclear Medicine"/>
    <x v="0"/>
    <m/>
    <n v="0"/>
    <n v="0"/>
    <n v="0"/>
    <n v="0"/>
    <n v="0"/>
    <n v="0"/>
    <n v="0"/>
    <n v="0"/>
    <n v="0"/>
    <n v="-798.15"/>
    <n v="0"/>
    <n v="0"/>
    <n v="-798.15"/>
    <n v="0"/>
  </r>
  <r>
    <x v="11"/>
    <x v="7"/>
    <x v="0"/>
    <s v="4825150"/>
    <n v="722000"/>
    <s v="Supplies-Freight Expense"/>
    <s v="Nuclear Medicine"/>
    <x v="0"/>
    <m/>
    <n v="0"/>
    <n v="0"/>
    <n v="50"/>
    <n v="0"/>
    <n v="125"/>
    <n v="125"/>
    <n v="0"/>
    <n v="0"/>
    <n v="0"/>
    <n v="0"/>
    <n v="2.37"/>
    <n v="17.809999999999999"/>
    <n v="320.18"/>
    <n v="-15.439999999999998"/>
  </r>
  <r>
    <x v="11"/>
    <x v="7"/>
    <x v="0"/>
    <s v="4825150"/>
    <n v="722000"/>
    <s v="Rush Order Fees"/>
    <s v="Nuclear Medicine"/>
    <x v="0"/>
    <n v="1005"/>
    <n v="0"/>
    <n v="0"/>
    <n v="0"/>
    <n v="0"/>
    <n v="95"/>
    <n v="95"/>
    <n v="0"/>
    <n v="0"/>
    <n v="95"/>
    <n v="285"/>
    <n v="0"/>
    <n v="190"/>
    <n v="760"/>
    <n v="-190"/>
  </r>
  <r>
    <x v="13"/>
    <x v="7"/>
    <x v="0"/>
    <s v="4825150"/>
    <n v="735070"/>
    <s v="Depreciation-Movable Equipment"/>
    <s v="Nuclear Medicine"/>
    <x v="0"/>
    <m/>
    <n v="913.58"/>
    <n v="913.58"/>
    <n v="913.58"/>
    <n v="913.58"/>
    <n v="913.58"/>
    <n v="913.58"/>
    <n v="913.58"/>
    <n v="913.56"/>
    <n v="913.58"/>
    <n v="913.56"/>
    <n v="913.58"/>
    <n v="913.56"/>
    <n v="10962.9"/>
    <n v="2.0000000000095497E-2"/>
  </r>
  <r>
    <x v="0"/>
    <x v="7"/>
    <x v="0"/>
    <s v="4825150"/>
    <n v="749510"/>
    <s v="Licenses"/>
    <s v="Nuclear Medicine"/>
    <x v="0"/>
    <n v="1002"/>
    <n v="0"/>
    <n v="0"/>
    <n v="0"/>
    <n v="0"/>
    <n v="42.39"/>
    <n v="86.97"/>
    <n v="0"/>
    <n v="0"/>
    <n v="0"/>
    <n v="41.67"/>
    <n v="41.67"/>
    <n v="41.67"/>
    <n v="254.37000000000006"/>
    <n v="0"/>
  </r>
  <r>
    <x v="14"/>
    <x v="3"/>
    <x v="0"/>
    <s v="4835101"/>
    <n v="600050"/>
    <s v="Miscellaneous Revenue"/>
    <s v="Radiology Support Services"/>
    <x v="0"/>
    <m/>
    <n v="-1090"/>
    <n v="-1113.5"/>
    <n v="-890"/>
    <n v="-3275.99"/>
    <n v="-890.75"/>
    <n v="-482.5"/>
    <n v="-1978.05"/>
    <n v="-253"/>
    <n v="-1209"/>
    <n v="-922"/>
    <n v="-735.5"/>
    <n v="-966"/>
    <n v="-13806.289999999999"/>
    <n v="230.5"/>
  </r>
  <r>
    <x v="5"/>
    <x v="3"/>
    <x v="0"/>
    <s v="4835101"/>
    <n v="700014"/>
    <s v="Salaries-Management-Productive"/>
    <s v="Radiology Support Services"/>
    <x v="0"/>
    <m/>
    <n v="8211.7900000000009"/>
    <n v="9376.2099999999991"/>
    <n v="6919.1"/>
    <n v="10504.3"/>
    <n v="9501.4699999999993"/>
    <n v="6246.1"/>
    <n v="8617.77"/>
    <n v="8850.23"/>
    <n v="9083.17"/>
    <n v="8583.7800000000007"/>
    <n v="10314.23"/>
    <n v="8051.96"/>
    <n v="104260.10999999999"/>
    <n v="2262.2699999999995"/>
  </r>
  <r>
    <x v="5"/>
    <x v="3"/>
    <x v="0"/>
    <s v="4835101"/>
    <n v="700018"/>
    <s v="Salaries-Supervisory-Productive"/>
    <s v="Radiology Support Services"/>
    <x v="0"/>
    <m/>
    <n v="7312.44"/>
    <n v="6183.4"/>
    <n v="8922.06"/>
    <n v="8221.69"/>
    <n v="377.21"/>
    <n v="3249.11"/>
    <n v="-405.99"/>
    <n v="0"/>
    <n v="0"/>
    <n v="0"/>
    <n v="-254.22"/>
    <n v="0"/>
    <n v="33605.700000000004"/>
    <n v="-254.22"/>
  </r>
  <r>
    <x v="5"/>
    <x v="3"/>
    <x v="0"/>
    <s v="4835101"/>
    <n v="700032"/>
    <s v="Salaries-Other Pat Care Providers-Productive"/>
    <s v="Radiology Support Services"/>
    <x v="0"/>
    <m/>
    <n v="9882.92"/>
    <n v="9055.2800000000007"/>
    <n v="9744.94"/>
    <n v="10683.34"/>
    <n v="9903.98"/>
    <n v="10861.39"/>
    <n v="9481.99"/>
    <n v="8303"/>
    <n v="9805.9"/>
    <n v="8946.51"/>
    <n v="8499.2999999999993"/>
    <n v="9377.4500000000007"/>
    <n v="114545.99999999999"/>
    <n v="-878.15000000000146"/>
  </r>
  <r>
    <x v="5"/>
    <x v="3"/>
    <x v="0"/>
    <s v="4835101"/>
    <n v="700032"/>
    <s v="Salaries-Other Pat Care Providers-OT"/>
    <s v="Radiology Support Services"/>
    <x v="0"/>
    <n v="1000"/>
    <n v="522.91999999999996"/>
    <n v="510.64"/>
    <n v="14"/>
    <n v="-1.69"/>
    <n v="591.79"/>
    <n v="-195.07"/>
    <n v="23.57"/>
    <n v="13.72"/>
    <n v="77.88"/>
    <n v="175.19"/>
    <n v="1.43"/>
    <n v="231.45"/>
    <n v="1965.83"/>
    <n v="-230.01999999999998"/>
  </r>
  <r>
    <x v="5"/>
    <x v="3"/>
    <x v="0"/>
    <s v="4835101"/>
    <n v="700032"/>
    <s v="Salaries-Other Pat Care Providers-Other"/>
    <s v="Radiology Support Services"/>
    <x v="0"/>
    <n v="2000"/>
    <n v="371.17"/>
    <n v="266.95"/>
    <n v="424.25"/>
    <n v="252.91"/>
    <n v="405.13"/>
    <n v="177.76"/>
    <n v="163.63999999999999"/>
    <n v="139.78"/>
    <n v="179.98"/>
    <n v="263.48"/>
    <n v="123.76"/>
    <n v="223.53"/>
    <n v="2992.3400000000006"/>
    <n v="-99.77"/>
  </r>
  <r>
    <x v="5"/>
    <x v="3"/>
    <x v="0"/>
    <s v="4835101"/>
    <n v="700034"/>
    <s v="Salaries-Tech/Professional-Productive"/>
    <s v="Radiology Support Services"/>
    <x v="0"/>
    <m/>
    <n v="278.69"/>
    <n v="191.08"/>
    <n v="0"/>
    <n v="0"/>
    <n v="0"/>
    <n v="0"/>
    <n v="0"/>
    <n v="0"/>
    <n v="0"/>
    <n v="0"/>
    <n v="0"/>
    <n v="0"/>
    <n v="469.77"/>
    <n v="0"/>
  </r>
  <r>
    <x v="5"/>
    <x v="3"/>
    <x v="0"/>
    <s v="4835101"/>
    <n v="700034"/>
    <s v="Salaries-Tech/Professional-OT"/>
    <s v="Radiology Support Services"/>
    <x v="0"/>
    <n v="1000"/>
    <n v="460.4"/>
    <n v="-81.209999999999994"/>
    <n v="0"/>
    <n v="0"/>
    <n v="0"/>
    <n v="0"/>
    <n v="0"/>
    <n v="0"/>
    <n v="0"/>
    <n v="0"/>
    <n v="0"/>
    <n v="0"/>
    <n v="379.19"/>
    <n v="0"/>
  </r>
  <r>
    <x v="5"/>
    <x v="3"/>
    <x v="0"/>
    <s v="4835101"/>
    <n v="700034"/>
    <s v="Salaries-Tech/Professional-Other"/>
    <s v="Radiology Support Services"/>
    <x v="0"/>
    <n v="2000"/>
    <n v="41.73"/>
    <n v="23.1"/>
    <n v="0"/>
    <n v="0"/>
    <n v="0"/>
    <n v="0"/>
    <n v="0"/>
    <n v="0"/>
    <n v="0"/>
    <n v="0"/>
    <n v="0"/>
    <n v="0"/>
    <n v="64.83"/>
    <n v="0"/>
  </r>
  <r>
    <x v="5"/>
    <x v="3"/>
    <x v="0"/>
    <s v="4835101"/>
    <n v="700038"/>
    <s v="Salaries-Service/Support-Productive"/>
    <s v="Radiology Support Services"/>
    <x v="0"/>
    <m/>
    <n v="17493.34"/>
    <n v="22082.5"/>
    <n v="20823.55"/>
    <n v="22253"/>
    <n v="20527.25"/>
    <n v="20381.12"/>
    <n v="24642.35"/>
    <n v="18152.060000000001"/>
    <n v="23697.08"/>
    <n v="21260.49"/>
    <n v="18261.28"/>
    <n v="22553.19"/>
    <n v="252127.21"/>
    <n v="-4291.91"/>
  </r>
  <r>
    <x v="5"/>
    <x v="3"/>
    <x v="0"/>
    <s v="4835101"/>
    <n v="700038"/>
    <s v="Salaries-Service/Support-OT"/>
    <s v="Radiology Support Services"/>
    <x v="0"/>
    <n v="1000"/>
    <n v="493.83"/>
    <n v="326.88"/>
    <n v="250.53"/>
    <n v="460.52"/>
    <n v="176.34"/>
    <n v="485.49"/>
    <n v="47.9"/>
    <n v="235.36"/>
    <n v="899.1"/>
    <n v="0.25"/>
    <n v="725.31"/>
    <n v="437.96"/>
    <n v="4539.47"/>
    <n v="287.34999999999997"/>
  </r>
  <r>
    <x v="5"/>
    <x v="3"/>
    <x v="0"/>
    <s v="4835101"/>
    <n v="700038"/>
    <s v="Salaries-Service/Support-Other"/>
    <s v="Radiology Support Services"/>
    <x v="0"/>
    <n v="2000"/>
    <n v="396.01"/>
    <n v="944.06"/>
    <n v="650.85"/>
    <n v="463.85"/>
    <n v="294.06"/>
    <n v="631.27"/>
    <n v="800.14"/>
    <n v="716.07"/>
    <n v="543.72"/>
    <n v="650.61"/>
    <n v="547.01"/>
    <n v="717.14"/>
    <n v="7354.79"/>
    <n v="-170.13"/>
  </r>
  <r>
    <x v="5"/>
    <x v="3"/>
    <x v="0"/>
    <s v="4835101"/>
    <n v="700054"/>
    <s v="Salaries-Management-Non-productive"/>
    <s v="Radiology Support Services"/>
    <x v="0"/>
    <m/>
    <n v="1810.56"/>
    <n v="646.59"/>
    <n v="2780.52"/>
    <n v="-258.63"/>
    <n v="465.12"/>
    <n v="4053.05"/>
    <n v="1697.42"/>
    <n v="465.79"/>
    <n v="1231.08"/>
    <n v="1397.4"/>
    <n v="0"/>
    <n v="1929.67"/>
    <n v="16218.57"/>
    <n v="-1929.67"/>
  </r>
  <r>
    <x v="5"/>
    <x v="3"/>
    <x v="0"/>
    <s v="4835101"/>
    <n v="700054"/>
    <s v="Salaries-Management-NonProd-Other"/>
    <s v="Radiology Support Services"/>
    <x v="0"/>
    <n v="2000"/>
    <n v="0"/>
    <n v="0"/>
    <n v="0"/>
    <n v="0"/>
    <n v="0"/>
    <n v="4622.75"/>
    <n v="-4622.75"/>
    <n v="0"/>
    <n v="0"/>
    <n v="0"/>
    <n v="0"/>
    <n v="0"/>
    <n v="0"/>
    <n v="0"/>
  </r>
  <r>
    <x v="5"/>
    <x v="3"/>
    <x v="0"/>
    <s v="4835101"/>
    <n v="700058"/>
    <s v="Salaries-Supervisory-Non-productive"/>
    <s v="Radiology Support Services"/>
    <x v="0"/>
    <m/>
    <n v="1439.84"/>
    <n v="2569.2800000000002"/>
    <n v="-451.6"/>
    <n v="725.27"/>
    <n v="493.21"/>
    <n v="1392.47"/>
    <n v="-173.99"/>
    <n v="552"/>
    <n v="-145.24"/>
    <n v="697.25"/>
    <n v="-290.49"/>
    <n v="406.76"/>
    <n v="7214.7600000000011"/>
    <n v="-697.25"/>
  </r>
  <r>
    <x v="5"/>
    <x v="3"/>
    <x v="0"/>
    <s v="4835101"/>
    <n v="700072"/>
    <s v="Salaries-Other Pat Care Providers-Non-productive"/>
    <s v="Radiology Support Services"/>
    <x v="0"/>
    <m/>
    <n v="1125.44"/>
    <n v="1517.44"/>
    <n v="694.18"/>
    <n v="524.78"/>
    <n v="560.84"/>
    <n v="772.64"/>
    <n v="435.75"/>
    <n v="1000.24"/>
    <n v="1031.68"/>
    <n v="-209.62"/>
    <n v="712.58"/>
    <n v="447.42"/>
    <n v="8613.3700000000008"/>
    <n v="265.16000000000003"/>
  </r>
  <r>
    <x v="5"/>
    <x v="3"/>
    <x v="0"/>
    <s v="4835101"/>
    <n v="700072"/>
    <s v="Salaries-Other Pat Care Providers-NonProd-Other"/>
    <s v="Radiology Support Services"/>
    <x v="0"/>
    <n v="2000"/>
    <n v="30.74"/>
    <n v="27.55"/>
    <n v="-1.02"/>
    <n v="11.5"/>
    <n v="260.45999999999998"/>
    <n v="16.64"/>
    <n v="3.85"/>
    <n v="-253.15"/>
    <n v="9.92"/>
    <n v="33.9"/>
    <n v="7.69"/>
    <n v="4.3499999999999996"/>
    <n v="152.42999999999995"/>
    <n v="3.3400000000000007"/>
  </r>
  <r>
    <x v="5"/>
    <x v="3"/>
    <x v="0"/>
    <s v="4835101"/>
    <n v="700078"/>
    <s v="Salaries-Service/Support-Non-productive"/>
    <s v="Radiology Support Services"/>
    <x v="0"/>
    <m/>
    <n v="3679.44"/>
    <n v="2447.5500000000002"/>
    <n v="3740.7"/>
    <n v="2929.58"/>
    <n v="1660.11"/>
    <n v="6108.11"/>
    <n v="2188.15"/>
    <n v="6868.98"/>
    <n v="1443.61"/>
    <n v="4001.72"/>
    <n v="8180.89"/>
    <n v="2579.14"/>
    <n v="45827.979999999996"/>
    <n v="5601.75"/>
  </r>
  <r>
    <x v="5"/>
    <x v="3"/>
    <x v="0"/>
    <s v="4835101"/>
    <n v="700078"/>
    <s v="Salaries-Service/Support-NonProd-Other"/>
    <s v="Radiology Support Services"/>
    <x v="0"/>
    <n v="2000"/>
    <n v="16.809999999999999"/>
    <n v="15.45"/>
    <n v="53.1"/>
    <n v="122.9"/>
    <n v="2102.06"/>
    <n v="2788.84"/>
    <n v="-1.95"/>
    <n v="-4691.05"/>
    <n v="-12.44"/>
    <n v="33.64"/>
    <n v="360.23"/>
    <n v="1.36"/>
    <n v="788.94999999999993"/>
    <n v="358.87"/>
  </r>
  <r>
    <x v="5"/>
    <x v="3"/>
    <x v="0"/>
    <s v="4835101"/>
    <n v="700084"/>
    <s v="Accrued PTO"/>
    <s v="Radiology Support Services"/>
    <x v="0"/>
    <m/>
    <n v="-83.51"/>
    <n v="483.98"/>
    <n v="-1215.0999999999999"/>
    <n v="2880.77"/>
    <n v="2363.2399999999998"/>
    <n v="-5538.47"/>
    <n v="589.77"/>
    <n v="-1429.21"/>
    <n v="2964.34"/>
    <n v="17.38"/>
    <n v="3133"/>
    <n v="560.38"/>
    <n v="4726.5700000000006"/>
    <n v="2572.62"/>
  </r>
  <r>
    <x v="6"/>
    <x v="3"/>
    <x v="0"/>
    <s v="4835101"/>
    <n v="713010"/>
    <s v="Benefits-FICA/Medicare"/>
    <s v="Radiology Support Services"/>
    <x v="0"/>
    <m/>
    <n v="3908.93"/>
    <n v="4091.43"/>
    <n v="3983.89"/>
    <n v="4153.8599999999997"/>
    <n v="3792.43"/>
    <n v="4466.53"/>
    <n v="3825.74"/>
    <n v="3312.67"/>
    <n v="3491.65"/>
    <n v="3251.88"/>
    <n v="3448.88"/>
    <n v="4095.71"/>
    <n v="45823.599999999991"/>
    <n v="-646.82999999999993"/>
  </r>
  <r>
    <x v="6"/>
    <x v="3"/>
    <x v="0"/>
    <s v="4835101"/>
    <n v="713090"/>
    <s v="Benefits-Allocated Amounts"/>
    <s v="Radiology Support Services"/>
    <x v="0"/>
    <m/>
    <n v="15079.29"/>
    <n v="14881.13"/>
    <n v="16005.52"/>
    <n v="16157.36"/>
    <n v="13903.52"/>
    <n v="15542.43"/>
    <n v="15459.5"/>
    <n v="14989.25"/>
    <n v="12552.05"/>
    <n v="14608.27"/>
    <n v="15848.34"/>
    <n v="14981.82"/>
    <n v="180008.47999999998"/>
    <n v="866.52000000000044"/>
  </r>
  <r>
    <x v="6"/>
    <x v="3"/>
    <x v="0"/>
    <s v="4835101"/>
    <n v="713096"/>
    <s v="Employee Recognition"/>
    <s v="Radiology Support Services"/>
    <x v="0"/>
    <n v="1017"/>
    <n v="0"/>
    <n v="0"/>
    <n v="0"/>
    <n v="0"/>
    <n v="0"/>
    <n v="186.05"/>
    <n v="0"/>
    <n v="0"/>
    <n v="0"/>
    <n v="0"/>
    <n v="0"/>
    <n v="0"/>
    <n v="186.05"/>
    <n v="0"/>
  </r>
  <r>
    <x v="17"/>
    <x v="3"/>
    <x v="0"/>
    <s v="4835101"/>
    <n v="714510"/>
    <s v="Medical Director Fees"/>
    <s v="Radiology Support Services"/>
    <x v="0"/>
    <m/>
    <n v="5670"/>
    <n v="5635"/>
    <n v="5740"/>
    <n v="5670"/>
    <n v="5530"/>
    <n v="5110"/>
    <n v="5646.2"/>
    <n v="5215"/>
    <n v="0"/>
    <n v="5320"/>
    <n v="10943.8"/>
    <n v="5355"/>
    <n v="65835"/>
    <n v="5588.7999999999993"/>
  </r>
  <r>
    <x v="7"/>
    <x v="3"/>
    <x v="0"/>
    <s v="4835101"/>
    <n v="718050"/>
    <s v="Contract Svcs-Other"/>
    <s v="Radiology Support Services"/>
    <x v="0"/>
    <m/>
    <n v="0"/>
    <n v="275.25"/>
    <n v="335"/>
    <n v="0"/>
    <n v="0"/>
    <n v="0"/>
    <n v="0"/>
    <n v="115.96"/>
    <n v="275.25"/>
    <n v="0"/>
    <n v="0"/>
    <n v="8940"/>
    <n v="9941.4599999999991"/>
    <n v="-8940"/>
  </r>
  <r>
    <x v="7"/>
    <x v="3"/>
    <x v="0"/>
    <s v="4835101"/>
    <n v="718050"/>
    <s v="Transcription"/>
    <s v="Radiology Support Services"/>
    <x v="0"/>
    <n v="1006"/>
    <n v="0"/>
    <n v="12227.72"/>
    <n v="5882.65"/>
    <n v="12637.28"/>
    <n v="0"/>
    <n v="8085.74"/>
    <n v="9717"/>
    <n v="0"/>
    <n v="0"/>
    <n v="5766"/>
    <n v="4908"/>
    <n v="0"/>
    <n v="59224.39"/>
    <n v="4908"/>
  </r>
  <r>
    <x v="7"/>
    <x v="3"/>
    <x v="0"/>
    <s v="4835101"/>
    <n v="718050"/>
    <s v="Document Shredding/Storage"/>
    <s v="Radiology Support Services"/>
    <x v="0"/>
    <n v="1012"/>
    <n v="3861.03"/>
    <n v="3771.55"/>
    <n v="5655.2"/>
    <n v="4749.74"/>
    <n v="4852.3599999999997"/>
    <n v="4826.42"/>
    <n v="4763.3"/>
    <n v="4233.07"/>
    <n v="3519.65"/>
    <n v="6366.44"/>
    <n v="4690.16"/>
    <n v="4949.78"/>
    <n v="56238.7"/>
    <n v="-259.61999999999989"/>
  </r>
  <r>
    <x v="7"/>
    <x v="3"/>
    <x v="0"/>
    <s v="4835101"/>
    <n v="718050"/>
    <s v="Miscellaneous Purchased Svcs"/>
    <s v="Radiology Support Services"/>
    <x v="0"/>
    <n v="1020"/>
    <n v="0"/>
    <n v="0"/>
    <n v="160.36000000000001"/>
    <n v="0"/>
    <n v="96891.12"/>
    <n v="0"/>
    <n v="-94352.21"/>
    <n v="0"/>
    <n v="0"/>
    <n v="0"/>
    <n v="0"/>
    <n v="0"/>
    <n v="2699.2699999999895"/>
    <n v="0"/>
  </r>
  <r>
    <x v="7"/>
    <x v="3"/>
    <x v="0"/>
    <s v="4835101"/>
    <n v="718050"/>
    <s v="Translation Services"/>
    <s v="Radiology Support Services"/>
    <x v="0"/>
    <n v="1025"/>
    <n v="110.25"/>
    <n v="2126"/>
    <n v="2572.5"/>
    <n v="4616.25"/>
    <n v="3712.5"/>
    <n v="80"/>
    <n v="2196.86"/>
    <n v="82.47"/>
    <n v="868"/>
    <n v="1921.5"/>
    <n v="80"/>
    <n v="1694.22"/>
    <n v="20060.550000000003"/>
    <n v="-1614.22"/>
  </r>
  <r>
    <x v="7"/>
    <x v="3"/>
    <x v="0"/>
    <s v="4835101"/>
    <n v="718077"/>
    <s v="Purchased Services-IT Direct Bill"/>
    <s v="Radiology Support Services"/>
    <x v="0"/>
    <m/>
    <n v="0"/>
    <n v="0"/>
    <n v="0"/>
    <n v="0"/>
    <n v="0"/>
    <n v="0"/>
    <n v="0"/>
    <n v="40554.04"/>
    <n v="-40554.04"/>
    <n v="0"/>
    <n v="0"/>
    <n v="0"/>
    <n v="0"/>
    <n v="0"/>
  </r>
  <r>
    <x v="7"/>
    <x v="3"/>
    <x v="0"/>
    <s v="4835101"/>
    <n v="718077"/>
    <s v="PACS"/>
    <s v="Radiology Support Services"/>
    <x v="0"/>
    <n v="1000"/>
    <n v="20749.5"/>
    <n v="21942"/>
    <n v="20740.5"/>
    <n v="22299.75"/>
    <n v="21579.75"/>
    <n v="21287.25"/>
    <n v="22758.75"/>
    <n v="85796.12"/>
    <n v="63427.54"/>
    <n v="22032"/>
    <n v="7614.94"/>
    <n v="21852"/>
    <n v="352080.1"/>
    <n v="-14237.060000000001"/>
  </r>
  <r>
    <x v="7"/>
    <x v="3"/>
    <x v="0"/>
    <s v="4835101"/>
    <n v="718091"/>
    <s v="Contract Services-Intracompany Allocation"/>
    <s v="Radiology Support Services"/>
    <x v="0"/>
    <m/>
    <n v="9953.6299999999992"/>
    <n v="9613.1"/>
    <n v="10582.87"/>
    <n v="10181.39"/>
    <n v="10695.91"/>
    <n v="9060.1"/>
    <n v="10170.969999999999"/>
    <n v="9776.35"/>
    <n v="10868.18"/>
    <n v="10647.66"/>
    <n v="20800.61"/>
    <n v="10340.209999999999"/>
    <n v="132690.98000000001"/>
    <n v="10460.400000000001"/>
  </r>
  <r>
    <x v="11"/>
    <x v="3"/>
    <x v="0"/>
    <s v="4835101"/>
    <n v="721750"/>
    <s v="Supplies-Film/Radiographic - Nonbillable"/>
    <s v="Radiology Support Services"/>
    <x v="0"/>
    <m/>
    <n v="115.1"/>
    <n v="0"/>
    <n v="0"/>
    <n v="0"/>
    <n v="0"/>
    <n v="455.59"/>
    <n v="0"/>
    <n v="0"/>
    <n v="0"/>
    <n v="0"/>
    <n v="0"/>
    <n v="0"/>
    <n v="570.68999999999994"/>
    <n v="0"/>
  </r>
  <r>
    <x v="11"/>
    <x v="3"/>
    <x v="0"/>
    <s v="4835101"/>
    <n v="721810"/>
    <s v="Supplies-Dietary/Cafeteria"/>
    <s v="Radiology Support Services"/>
    <x v="0"/>
    <m/>
    <n v="311.77999999999997"/>
    <n v="455.76"/>
    <n v="505.59"/>
    <n v="570.63"/>
    <n v="452.34"/>
    <n v="146.57"/>
    <n v="187.75"/>
    <n v="215.44"/>
    <n v="181.2"/>
    <n v="212.72"/>
    <n v="220.77"/>
    <n v="303.51"/>
    <n v="3764.0599999999995"/>
    <n v="-82.739999999999981"/>
  </r>
  <r>
    <x v="11"/>
    <x v="3"/>
    <x v="0"/>
    <s v="4835101"/>
    <n v="721830"/>
    <s v="Supplies-Office"/>
    <s v="Radiology Support Services"/>
    <x v="0"/>
    <m/>
    <n v="1700.84"/>
    <n v="5922.54"/>
    <n v="760.37"/>
    <n v="1456.62"/>
    <n v="201.66"/>
    <n v="429.37"/>
    <n v="1373.53"/>
    <n v="384.08"/>
    <n v="906.06"/>
    <n v="503.59"/>
    <n v="259.06"/>
    <n v="888.03"/>
    <n v="14785.75"/>
    <n v="-628.97"/>
  </r>
  <r>
    <x v="11"/>
    <x v="3"/>
    <x v="0"/>
    <s v="4835101"/>
    <n v="721835"/>
    <s v="Supplies-Forms"/>
    <s v="Radiology Support Services"/>
    <x v="0"/>
    <m/>
    <n v="0"/>
    <n v="0"/>
    <n v="0"/>
    <n v="0"/>
    <n v="1212.02"/>
    <n v="254.6"/>
    <n v="28.6"/>
    <n v="0"/>
    <n v="246.11"/>
    <n v="536.26"/>
    <n v="147.58000000000001"/>
    <n v="119.79"/>
    <n v="2544.96"/>
    <n v="27.790000000000006"/>
  </r>
  <r>
    <x v="11"/>
    <x v="3"/>
    <x v="0"/>
    <s v="4835101"/>
    <n v="721910"/>
    <s v="Supplies-Small Equipment"/>
    <s v="Radiology Support Services"/>
    <x v="0"/>
    <m/>
    <n v="7.68"/>
    <n v="735.34"/>
    <n v="0"/>
    <n v="4.2300000000000004"/>
    <n v="228.04"/>
    <n v="376.35"/>
    <n v="0"/>
    <n v="465.93"/>
    <n v="39.69"/>
    <n v="297.27"/>
    <n v="0.72"/>
    <n v="0"/>
    <n v="2155.2499999999995"/>
    <n v="0.72"/>
  </r>
  <r>
    <x v="11"/>
    <x v="3"/>
    <x v="0"/>
    <s v="4835101"/>
    <n v="721980"/>
    <s v="Supplies-Other"/>
    <s v="Radiology Support Services"/>
    <x v="0"/>
    <m/>
    <n v="357.05"/>
    <n v="0"/>
    <n v="373.37"/>
    <n v="156"/>
    <n v="2792.35"/>
    <n v="46.22"/>
    <n v="0"/>
    <n v="0"/>
    <n v="304.12"/>
    <n v="0"/>
    <n v="0"/>
    <n v="-24.89"/>
    <n v="4004.22"/>
    <n v="24.89"/>
  </r>
  <r>
    <x v="11"/>
    <x v="3"/>
    <x v="0"/>
    <s v="4835101"/>
    <n v="722000"/>
    <s v="Supplies-Freight Expense"/>
    <s v="Radiology Support Services"/>
    <x v="0"/>
    <m/>
    <n v="123.95"/>
    <n v="767.4"/>
    <n v="596.85"/>
    <n v="109.21"/>
    <n v="89.46"/>
    <n v="174.48"/>
    <n v="266.16000000000003"/>
    <n v="41.24"/>
    <n v="234.94"/>
    <n v="119.97"/>
    <n v="206.74"/>
    <n v="371.24"/>
    <n v="3101.6399999999994"/>
    <n v="-164.5"/>
  </r>
  <r>
    <x v="12"/>
    <x v="3"/>
    <x v="0"/>
    <s v="4835101"/>
    <n v="730020"/>
    <s v="Rental and Leases-Equipment (DO NOT USE)"/>
    <s v="Radiology Support Services"/>
    <x v="0"/>
    <m/>
    <n v="0"/>
    <n v="0"/>
    <n v="230.79"/>
    <n v="98.91"/>
    <n v="0"/>
    <n v="0"/>
    <n v="131.91999999999999"/>
    <n v="131.91999999999999"/>
    <n v="0"/>
    <n v="65.959999999999994"/>
    <n v="65.959999999999994"/>
    <n v="0"/>
    <n v="725.46"/>
    <n v="65.959999999999994"/>
  </r>
  <r>
    <x v="12"/>
    <x v="3"/>
    <x v="0"/>
    <s v="4835101"/>
    <n v="730020"/>
    <s v="Rental and Leases-Copier Usage Fees (DO NOT USE)"/>
    <s v="Radiology Support Services"/>
    <x v="0"/>
    <n v="5100"/>
    <n v="285.57"/>
    <n v="292.52"/>
    <n v="289.05"/>
    <n v="289.05"/>
    <n v="289.04000000000002"/>
    <n v="289.04000000000002"/>
    <n v="235.17"/>
    <n v="238.52"/>
    <n v="238.01"/>
    <n v="280.58"/>
    <n v="238.52"/>
    <n v="257.73"/>
    <n v="3222.8"/>
    <n v="-19.210000000000008"/>
  </r>
  <r>
    <x v="15"/>
    <x v="3"/>
    <x v="0"/>
    <s v="4835101"/>
    <n v="731060"/>
    <s v="Telephone"/>
    <s v="Radiology Support Services"/>
    <x v="0"/>
    <m/>
    <n v="0"/>
    <n v="0"/>
    <n v="0"/>
    <n v="42.94"/>
    <n v="0"/>
    <n v="0"/>
    <n v="0"/>
    <n v="0"/>
    <n v="0"/>
    <n v="0"/>
    <n v="0"/>
    <n v="0"/>
    <n v="42.94"/>
    <n v="0"/>
  </r>
  <r>
    <x v="15"/>
    <x v="3"/>
    <x v="0"/>
    <s v="4835101"/>
    <n v="731060"/>
    <s v="Pagers"/>
    <s v="Radiology Support Services"/>
    <x v="0"/>
    <n v="1002"/>
    <n v="98.41"/>
    <n v="98.41"/>
    <n v="98.41"/>
    <n v="98.65"/>
    <n v="98.65"/>
    <n v="0"/>
    <n v="197.3"/>
    <n v="137.47"/>
    <n v="82.41"/>
    <n v="82.41"/>
    <n v="82.41"/>
    <n v="109.97"/>
    <n v="1184.5"/>
    <n v="-27.560000000000002"/>
  </r>
  <r>
    <x v="13"/>
    <x v="3"/>
    <x v="0"/>
    <s v="4835101"/>
    <n v="735070"/>
    <s v="Depreciation-Movable Equipment"/>
    <s v="Radiology Support Services"/>
    <x v="0"/>
    <m/>
    <n v="585.33000000000004"/>
    <n v="585.33000000000004"/>
    <n v="585.33000000000004"/>
    <n v="585.33000000000004"/>
    <n v="585.33000000000004"/>
    <n v="585.33000000000004"/>
    <n v="227.32"/>
    <n v="227.32"/>
    <n v="227.32"/>
    <n v="227.32"/>
    <n v="227.33"/>
    <n v="227.32"/>
    <n v="4875.91"/>
    <n v="1.0000000000019327E-2"/>
  </r>
  <r>
    <x v="0"/>
    <x v="3"/>
    <x v="0"/>
    <s v="4835101"/>
    <n v="749510"/>
    <s v="Miscellaneous Expenses"/>
    <s v="Radiology Support Services"/>
    <x v="0"/>
    <m/>
    <n v="0"/>
    <n v="0"/>
    <n v="0"/>
    <n v="0"/>
    <n v="186.05"/>
    <n v="2512.12"/>
    <n v="0"/>
    <n v="0"/>
    <n v="-1"/>
    <n v="0"/>
    <n v="0"/>
    <n v="0"/>
    <n v="2697.17"/>
    <n v="0"/>
  </r>
  <r>
    <x v="14"/>
    <x v="0"/>
    <x v="0"/>
    <s v="4835102"/>
    <n v="600050"/>
    <s v="Miscellaneous Revenue"/>
    <s v="Radiology Support Services"/>
    <x v="0"/>
    <m/>
    <n v="0"/>
    <n v="-539"/>
    <n v="-878"/>
    <n v="-1007"/>
    <n v="0"/>
    <n v="-481"/>
    <n v="0"/>
    <n v="-400.5"/>
    <n v="-672"/>
    <n v="-434"/>
    <n v="0"/>
    <n v="-693"/>
    <n v="-5104.5"/>
    <n v="693"/>
  </r>
  <r>
    <x v="5"/>
    <x v="0"/>
    <x v="0"/>
    <s v="4835102"/>
    <n v="700014"/>
    <s v="Salaries-Management-Productive"/>
    <s v="Radiology Support Services"/>
    <x v="0"/>
    <m/>
    <n v="9235.5300000000007"/>
    <n v="11139.44"/>
    <n v="7050.52"/>
    <n v="10829.3"/>
    <n v="9779.91"/>
    <n v="8367.64"/>
    <n v="8997.0300000000007"/>
    <n v="9468.0499999999993"/>
    <n v="11427"/>
    <n v="10374.64"/>
    <n v="10266.200000000001"/>
    <n v="10846.71"/>
    <n v="117781.97"/>
    <n v="-580.5099999999984"/>
  </r>
  <r>
    <x v="5"/>
    <x v="0"/>
    <x v="0"/>
    <s v="4835102"/>
    <n v="700018"/>
    <s v="Salaries-Supervisory-Productive"/>
    <s v="Radiology Support Services"/>
    <x v="0"/>
    <m/>
    <n v="0"/>
    <n v="0"/>
    <n v="0"/>
    <n v="0"/>
    <n v="11407.09"/>
    <n v="7635.93"/>
    <n v="4211.28"/>
    <n v="-309.55"/>
    <n v="0"/>
    <n v="0"/>
    <n v="8972"/>
    <n v="3676.62"/>
    <n v="35593.370000000003"/>
    <n v="5295.38"/>
  </r>
  <r>
    <x v="5"/>
    <x v="0"/>
    <x v="0"/>
    <s v="4835102"/>
    <n v="700032"/>
    <s v="Salaries-Other Pat Care Providers-Productive"/>
    <s v="Radiology Support Services"/>
    <x v="0"/>
    <m/>
    <n v="0"/>
    <n v="249.47"/>
    <n v="-74.83"/>
    <n v="259.06"/>
    <n v="-17.14"/>
    <n v="-46.62"/>
    <n v="0"/>
    <n v="0"/>
    <n v="0"/>
    <n v="0"/>
    <n v="0"/>
    <n v="0"/>
    <n v="369.94"/>
    <n v="0"/>
  </r>
  <r>
    <x v="5"/>
    <x v="0"/>
    <x v="0"/>
    <s v="4835102"/>
    <n v="700032"/>
    <s v="Salaries-Other Pat Care Providers-Other"/>
    <s v="Radiology Support Services"/>
    <x v="0"/>
    <n v="2000"/>
    <n v="0"/>
    <n v="17.14"/>
    <n v="-5.14"/>
    <n v="34.24"/>
    <n v="-8.5500000000000007"/>
    <n v="-3.13"/>
    <n v="0"/>
    <n v="0"/>
    <n v="0"/>
    <n v="0"/>
    <n v="0"/>
    <n v="0"/>
    <n v="34.559999999999995"/>
    <n v="0"/>
  </r>
  <r>
    <x v="5"/>
    <x v="0"/>
    <x v="0"/>
    <s v="4835102"/>
    <n v="700038"/>
    <s v="Salaries-Service/Support-Productive"/>
    <s v="Radiology Support Services"/>
    <x v="0"/>
    <m/>
    <n v="18685.150000000001"/>
    <n v="20407.95"/>
    <n v="18647.54"/>
    <n v="20097.98"/>
    <n v="21065.73"/>
    <n v="19646.599999999999"/>
    <n v="19171.34"/>
    <n v="16533.75"/>
    <n v="21487.25"/>
    <n v="17402.89"/>
    <n v="18074.759999999998"/>
    <n v="21416.44"/>
    <n v="232637.38"/>
    <n v="-3341.6800000000003"/>
  </r>
  <r>
    <x v="5"/>
    <x v="0"/>
    <x v="0"/>
    <s v="4835102"/>
    <n v="700038"/>
    <s v="Salaries-Service/Support-OT"/>
    <s v="Radiology Support Services"/>
    <x v="0"/>
    <n v="1000"/>
    <n v="1841.18"/>
    <n v="359.61"/>
    <n v="674.98"/>
    <n v="1082.18"/>
    <n v="67.62"/>
    <n v="650.05999999999995"/>
    <n v="1302.46"/>
    <n v="825.86"/>
    <n v="432.99"/>
    <n v="861.12"/>
    <n v="1400.47"/>
    <n v="393.39"/>
    <n v="9891.9199999999983"/>
    <n v="1007.08"/>
  </r>
  <r>
    <x v="5"/>
    <x v="0"/>
    <x v="0"/>
    <s v="4835102"/>
    <n v="700038"/>
    <s v="Salaries-Service/Support-Other"/>
    <s v="Radiology Support Services"/>
    <x v="0"/>
    <n v="2000"/>
    <n v="403.9"/>
    <n v="402.28"/>
    <n v="362.87"/>
    <n v="358.57"/>
    <n v="417.99"/>
    <n v="394.84"/>
    <n v="375.61"/>
    <n v="269.2"/>
    <n v="344.76"/>
    <n v="345.03"/>
    <n v="344.07"/>
    <n v="435.93"/>
    <n v="4455.0499999999993"/>
    <n v="-91.860000000000014"/>
  </r>
  <r>
    <x v="5"/>
    <x v="0"/>
    <x v="0"/>
    <s v="4835102"/>
    <n v="700054"/>
    <s v="Salaries-Management-Non-productive"/>
    <s v="Radiology Support Services"/>
    <x v="0"/>
    <m/>
    <n v="1691.98"/>
    <n v="-211.42"/>
    <n v="3525.11"/>
    <n v="341.57"/>
    <n v="1086.6600000000001"/>
    <n v="2861.52"/>
    <n v="2249.66"/>
    <n v="689.22"/>
    <n v="-181.35"/>
    <n v="507.87"/>
    <n v="979.42"/>
    <n v="36.32"/>
    <n v="13576.56"/>
    <n v="943.09999999999991"/>
  </r>
  <r>
    <x v="5"/>
    <x v="0"/>
    <x v="0"/>
    <s v="4835102"/>
    <n v="700058"/>
    <s v="Salaries-Supervisory-Non-productive"/>
    <s v="Radiology Support Services"/>
    <x v="0"/>
    <m/>
    <n v="0"/>
    <n v="0"/>
    <n v="0"/>
    <n v="0"/>
    <n v="1267.45"/>
    <n v="463.75"/>
    <n v="866.87"/>
    <n v="0"/>
    <n v="0"/>
    <n v="0"/>
    <n v="0"/>
    <n v="2888.56"/>
    <n v="5486.63"/>
    <n v="-2888.56"/>
  </r>
  <r>
    <x v="5"/>
    <x v="0"/>
    <x v="0"/>
    <s v="4835102"/>
    <n v="700078"/>
    <s v="Salaries-Service/Support-Non-productive"/>
    <s v="Radiology Support Services"/>
    <x v="0"/>
    <m/>
    <n v="6421.02"/>
    <n v="3104.27"/>
    <n v="5383.09"/>
    <n v="3448.6"/>
    <n v="1815.89"/>
    <n v="4540.88"/>
    <n v="3881.88"/>
    <n v="3991.99"/>
    <n v="1395.18"/>
    <n v="3755.03"/>
    <n v="1405.54"/>
    <n v="2350.9499999999998"/>
    <n v="41494.32"/>
    <n v="-945.40999999999985"/>
  </r>
  <r>
    <x v="5"/>
    <x v="0"/>
    <x v="0"/>
    <s v="4835102"/>
    <n v="700078"/>
    <s v="Salaries-Service/Support-NonProd-Other"/>
    <s v="Radiology Support Services"/>
    <x v="0"/>
    <n v="2000"/>
    <n v="11.6"/>
    <n v="0"/>
    <n v="66.28"/>
    <n v="58.83"/>
    <n v="773.53"/>
    <n v="991.53"/>
    <n v="43.76"/>
    <n v="-1709.51"/>
    <n v="-8.2899999999999991"/>
    <n v="19.89"/>
    <n v="65.97"/>
    <n v="-6.9"/>
    <n v="306.69000000000005"/>
    <n v="72.87"/>
  </r>
  <r>
    <x v="5"/>
    <x v="0"/>
    <x v="0"/>
    <s v="4835102"/>
    <n v="700084"/>
    <s v="Accrued PTO"/>
    <s v="Radiology Support Services"/>
    <x v="0"/>
    <m/>
    <n v="1338.44"/>
    <n v="554.39"/>
    <n v="-3240.98"/>
    <n v="4323.84"/>
    <n v="1496.78"/>
    <n v="-1184.44"/>
    <n v="-1557.09"/>
    <n v="1015.62"/>
    <n v="2794.84"/>
    <n v="519.49"/>
    <n v="1072.76"/>
    <n v="1379.83"/>
    <n v="8513.48"/>
    <n v="-307.06999999999994"/>
  </r>
  <r>
    <x v="6"/>
    <x v="0"/>
    <x v="0"/>
    <s v="4835102"/>
    <n v="713010"/>
    <s v="Benefits-FICA/Medicare"/>
    <s v="Radiology Support Services"/>
    <x v="0"/>
    <m/>
    <n v="2820.13"/>
    <n v="2604.37"/>
    <n v="2620.7600000000002"/>
    <n v="2683.56"/>
    <n v="3657.13"/>
    <n v="3448.02"/>
    <n v="3113.14"/>
    <n v="2307.2199999999998"/>
    <n v="2555.4699999999998"/>
    <n v="2463.66"/>
    <n v="3015.38"/>
    <n v="3177.2"/>
    <n v="34466.04"/>
    <n v="-161.81999999999971"/>
  </r>
  <r>
    <x v="6"/>
    <x v="0"/>
    <x v="0"/>
    <s v="4835102"/>
    <n v="713090"/>
    <s v="Benefits-Allocated Amounts"/>
    <s v="Radiology Support Services"/>
    <x v="0"/>
    <m/>
    <n v="10275.709999999999"/>
    <n v="8188.52"/>
    <n v="8999.44"/>
    <n v="8958.02"/>
    <n v="10490.08"/>
    <n v="10102.86"/>
    <n v="9943.7099999999991"/>
    <n v="8614.61"/>
    <n v="8543.11"/>
    <n v="8766.42"/>
    <n v="9953.89"/>
    <n v="11082.65"/>
    <n v="113919.01999999999"/>
    <n v="-1128.7600000000002"/>
  </r>
  <r>
    <x v="17"/>
    <x v="0"/>
    <x v="0"/>
    <s v="4835102"/>
    <n v="714510"/>
    <s v="Medical Director Fees"/>
    <s v="Radiology Support Services"/>
    <x v="0"/>
    <m/>
    <n v="2730"/>
    <n v="2660"/>
    <n v="2321.1999999999998"/>
    <n v="2800"/>
    <n v="2905"/>
    <n v="2835"/>
    <n v="2695"/>
    <n v="2660"/>
    <n v="0"/>
    <n v="2905"/>
    <n v="2695"/>
    <n v="2765"/>
    <n v="29971.200000000001"/>
    <n v="-70"/>
  </r>
  <r>
    <x v="7"/>
    <x v="0"/>
    <x v="0"/>
    <s v="4835102"/>
    <n v="718050"/>
    <s v="Contract Svcs-Other"/>
    <s v="Radiology Support Services"/>
    <x v="0"/>
    <m/>
    <n v="25.05"/>
    <n v="0"/>
    <n v="0"/>
    <n v="0"/>
    <n v="0"/>
    <n v="0"/>
    <n v="0"/>
    <n v="0"/>
    <n v="0"/>
    <n v="0"/>
    <n v="0"/>
    <n v="0"/>
    <n v="25.05"/>
    <n v="0"/>
  </r>
  <r>
    <x v="7"/>
    <x v="0"/>
    <x v="0"/>
    <s v="4835102"/>
    <n v="718050"/>
    <s v="Document Shredding/Storage"/>
    <s v="Radiology Support Services"/>
    <x v="0"/>
    <n v="1012"/>
    <n v="1423.4"/>
    <n v="1495.04"/>
    <n v="2086.44"/>
    <n v="1777.51"/>
    <n v="1719.75"/>
    <n v="1816.91"/>
    <n v="1783.89"/>
    <n v="1627.16"/>
    <n v="1641.14"/>
    <n v="1975.13"/>
    <n v="1754.66"/>
    <n v="1782.83"/>
    <n v="20883.86"/>
    <n v="-28.169999999999845"/>
  </r>
  <r>
    <x v="7"/>
    <x v="0"/>
    <x v="0"/>
    <s v="4835102"/>
    <n v="718050"/>
    <s v="Miscellaneous Purchased Svcs"/>
    <s v="Radiology Support Services"/>
    <x v="0"/>
    <n v="1020"/>
    <n v="104.3"/>
    <n v="2847.25"/>
    <n v="158.26"/>
    <n v="65.900000000000006"/>
    <n v="2220"/>
    <n v="0"/>
    <n v="709.18"/>
    <n v="551.79999999999995"/>
    <n v="485.9"/>
    <n v="3391.52"/>
    <n v="420"/>
    <n v="606.78"/>
    <n v="11560.890000000001"/>
    <n v="-186.77999999999997"/>
  </r>
  <r>
    <x v="7"/>
    <x v="0"/>
    <x v="0"/>
    <s v="4835102"/>
    <n v="718050"/>
    <s v="Translation Services"/>
    <s v="Radiology Support Services"/>
    <x v="0"/>
    <n v="1025"/>
    <n v="5065.4799999999996"/>
    <n v="4786.99"/>
    <n v="3316.95"/>
    <n v="5034.97"/>
    <n v="4715.5"/>
    <n v="4362.45"/>
    <n v="4061.41"/>
    <n v="3544.25"/>
    <n v="2529.7600000000002"/>
    <n v="2916.94"/>
    <n v="3888"/>
    <n v="0"/>
    <n v="44222.700000000004"/>
    <n v="3888"/>
  </r>
  <r>
    <x v="7"/>
    <x v="0"/>
    <x v="0"/>
    <s v="4835102"/>
    <n v="718077"/>
    <s v="PACS"/>
    <s v="Radiology Support Services"/>
    <x v="0"/>
    <n v="1000"/>
    <n v="15426"/>
    <n v="16175.25"/>
    <n v="14258.25"/>
    <n v="16107.75"/>
    <n v="15516"/>
    <n v="15084"/>
    <n v="15684.75"/>
    <n v="13578.75"/>
    <n v="15950.25"/>
    <n v="15099.75"/>
    <n v="15698.25"/>
    <n v="14098.5"/>
    <n v="182677.5"/>
    <n v="1599.75"/>
  </r>
  <r>
    <x v="7"/>
    <x v="0"/>
    <x v="0"/>
    <s v="4835102"/>
    <n v="718091"/>
    <s v="Contract Services-Intracompany Allocation"/>
    <s v="Radiology Support Services"/>
    <x v="0"/>
    <m/>
    <n v="6388.15"/>
    <n v="6169.6"/>
    <n v="6791.99"/>
    <n v="6534.33"/>
    <n v="6864.54"/>
    <n v="5814.69"/>
    <n v="6527.64"/>
    <n v="6274.37"/>
    <n v="6975.1"/>
    <n v="6833.57"/>
    <n v="13349.65"/>
    <n v="6636.25"/>
    <n v="85159.88"/>
    <n v="6713.4"/>
  </r>
  <r>
    <x v="11"/>
    <x v="0"/>
    <x v="0"/>
    <s v="4835102"/>
    <n v="721410"/>
    <s v="Supplies-Medical - Nonbillable"/>
    <s v="Radiology Support Services"/>
    <x v="0"/>
    <m/>
    <n v="0"/>
    <n v="0"/>
    <n v="0"/>
    <n v="0"/>
    <n v="0"/>
    <n v="0"/>
    <n v="0"/>
    <n v="0"/>
    <n v="0"/>
    <n v="18.91"/>
    <n v="0"/>
    <n v="0"/>
    <n v="18.91"/>
    <n v="0"/>
  </r>
  <r>
    <x v="11"/>
    <x v="0"/>
    <x v="0"/>
    <s v="4835102"/>
    <n v="721750"/>
    <s v="Supplies-Film/Radiographic - Nonbillable"/>
    <s v="Radiology Support Services"/>
    <x v="0"/>
    <m/>
    <n v="0"/>
    <n v="0"/>
    <n v="0"/>
    <n v="0"/>
    <n v="342.01"/>
    <n v="0"/>
    <n v="0"/>
    <n v="0"/>
    <n v="0"/>
    <n v="0"/>
    <n v="0"/>
    <n v="0"/>
    <n v="342.01"/>
    <n v="0"/>
  </r>
  <r>
    <x v="11"/>
    <x v="0"/>
    <x v="0"/>
    <s v="4835102"/>
    <n v="721810"/>
    <s v="Supplies-Dietary/Cafeteria"/>
    <s v="Radiology Support Services"/>
    <x v="0"/>
    <m/>
    <n v="86.13"/>
    <n v="221.45"/>
    <n v="197.63"/>
    <n v="472.93"/>
    <n v="487.96"/>
    <n v="283.55"/>
    <n v="32"/>
    <n v="291.95"/>
    <n v="397.57"/>
    <n v="444.14"/>
    <n v="379.49"/>
    <n v="409.31"/>
    <n v="3704.11"/>
    <n v="-29.819999999999993"/>
  </r>
  <r>
    <x v="11"/>
    <x v="0"/>
    <x v="0"/>
    <s v="4835102"/>
    <n v="721830"/>
    <s v="Supplies-Office"/>
    <s v="Radiology Support Services"/>
    <x v="0"/>
    <m/>
    <n v="984.27"/>
    <n v="439.01"/>
    <n v="710.02"/>
    <n v="475.36"/>
    <n v="320.18"/>
    <n v="394.97"/>
    <n v="232.42"/>
    <n v="506.71"/>
    <n v="534.9"/>
    <n v="393.65"/>
    <n v="286.58"/>
    <n v="0"/>
    <n v="5278.07"/>
    <n v="286.58"/>
  </r>
  <r>
    <x v="11"/>
    <x v="0"/>
    <x v="0"/>
    <s v="4835102"/>
    <n v="721835"/>
    <s v="Supplies-Forms"/>
    <s v="Radiology Support Services"/>
    <x v="0"/>
    <m/>
    <n v="0"/>
    <n v="0"/>
    <n v="0"/>
    <n v="0"/>
    <n v="576.9"/>
    <n v="88"/>
    <n v="42.7"/>
    <n v="0"/>
    <n v="106.5"/>
    <n v="94.5"/>
    <n v="76"/>
    <n v="45"/>
    <n v="1029.5999999999999"/>
    <n v="31"/>
  </r>
  <r>
    <x v="11"/>
    <x v="0"/>
    <x v="0"/>
    <s v="4835102"/>
    <n v="722000"/>
    <s v="Supplies-Freight Expense"/>
    <s v="Radiology Support Services"/>
    <x v="0"/>
    <m/>
    <n v="0"/>
    <n v="0"/>
    <n v="88.38"/>
    <n v="0"/>
    <n v="0"/>
    <n v="0"/>
    <n v="0"/>
    <n v="0"/>
    <n v="0"/>
    <n v="0"/>
    <n v="0"/>
    <n v="0"/>
    <n v="88.38"/>
    <n v="0"/>
  </r>
  <r>
    <x v="12"/>
    <x v="0"/>
    <x v="0"/>
    <s v="4835102"/>
    <n v="730020"/>
    <s v="Rental and Leases-Copier Usage Fees (DO NOT USE)"/>
    <s v="Radiology Support Services"/>
    <x v="0"/>
    <n v="5100"/>
    <n v="325.3"/>
    <n v="335.71"/>
    <n v="330.5"/>
    <n v="330.5"/>
    <n v="330.5"/>
    <n v="330.5"/>
    <n v="302.43"/>
    <n v="319.26"/>
    <n v="318.58999999999997"/>
    <n v="331.17"/>
    <n v="319.26"/>
    <n v="360.74"/>
    <n v="3934.46"/>
    <n v="-41.480000000000018"/>
  </r>
  <r>
    <x v="15"/>
    <x v="0"/>
    <x v="0"/>
    <s v="4835102"/>
    <n v="731060"/>
    <s v="Pagers"/>
    <s v="Radiology Support Services"/>
    <x v="0"/>
    <n v="1002"/>
    <n v="77.400000000000006"/>
    <n v="77.400000000000006"/>
    <n v="77.400000000000006"/>
    <n v="77.58"/>
    <n v="77.58"/>
    <n v="0"/>
    <n v="176.58"/>
    <n v="0"/>
    <n v="0"/>
    <n v="0"/>
    <n v="0"/>
    <n v="0"/>
    <n v="563.94000000000005"/>
    <n v="0"/>
  </r>
  <r>
    <x v="13"/>
    <x v="0"/>
    <x v="0"/>
    <s v="4835102"/>
    <n v="735070"/>
    <s v="Depreciation-Movable Equipment"/>
    <s v="Radiology Support Services"/>
    <x v="0"/>
    <m/>
    <n v="160.86000000000001"/>
    <n v="2746.04"/>
    <n v="2746.04"/>
    <n v="2746.04"/>
    <n v="2746.05"/>
    <n v="2746.04"/>
    <n v="2746.05"/>
    <n v="2746.04"/>
    <n v="2746.05"/>
    <n v="2746.04"/>
    <n v="2746.05"/>
    <n v="2746.03"/>
    <n v="30367.329999999998"/>
    <n v="1.999999999998181E-2"/>
  </r>
  <r>
    <x v="0"/>
    <x v="0"/>
    <x v="0"/>
    <s v="4835102"/>
    <n v="743030"/>
    <s v="Subscriptions--Institutional"/>
    <s v="Radiology Support Services"/>
    <x v="0"/>
    <m/>
    <n v="0"/>
    <n v="0"/>
    <n v="0"/>
    <n v="0"/>
    <n v="0"/>
    <n v="0"/>
    <n v="110.71"/>
    <n v="0"/>
    <n v="0"/>
    <n v="0"/>
    <n v="0"/>
    <n v="0"/>
    <n v="110.71"/>
    <n v="0"/>
  </r>
  <r>
    <x v="14"/>
    <x v="4"/>
    <x v="0"/>
    <s v="4835103"/>
    <n v="600050"/>
    <s v="Miscellaneous Revenue"/>
    <s v="Radiology Support Services"/>
    <x v="0"/>
    <m/>
    <n v="0"/>
    <n v="0"/>
    <n v="0"/>
    <n v="-25"/>
    <n v="0"/>
    <n v="0"/>
    <n v="0"/>
    <n v="0"/>
    <n v="0"/>
    <n v="0"/>
    <n v="0"/>
    <n v="0"/>
    <n v="-25"/>
    <n v="0"/>
  </r>
  <r>
    <x v="5"/>
    <x v="4"/>
    <x v="0"/>
    <s v="4835103"/>
    <n v="700014"/>
    <s v="Salaries-Management-Productive"/>
    <s v="Radiology Support Services"/>
    <x v="0"/>
    <m/>
    <n v="9331.23"/>
    <n v="9773.0300000000007"/>
    <n v="8764.35"/>
    <n v="8035.57"/>
    <n v="9718.0300000000007"/>
    <n v="4341"/>
    <n v="9862.83"/>
    <n v="7850.95"/>
    <n v="10381.4"/>
    <n v="9732.27"/>
    <n v="6553.46"/>
    <n v="10511.2"/>
    <n v="104855.32"/>
    <n v="-3957.7400000000007"/>
  </r>
  <r>
    <x v="5"/>
    <x v="4"/>
    <x v="0"/>
    <s v="4835103"/>
    <n v="700032"/>
    <s v="Salaries-Other Pat Care Providers-Productive"/>
    <s v="Radiology Support Services"/>
    <x v="0"/>
    <m/>
    <n v="2339.27"/>
    <n v="2405.58"/>
    <n v="2548.17"/>
    <n v="2406.1999999999998"/>
    <n v="2167.56"/>
    <n v="2344.61"/>
    <n v="2553.38"/>
    <n v="2105.63"/>
    <n v="3065.93"/>
    <n v="2516.29"/>
    <n v="2199.94"/>
    <n v="3213.76"/>
    <n v="29866.32"/>
    <n v="-1013.8200000000002"/>
  </r>
  <r>
    <x v="5"/>
    <x v="4"/>
    <x v="0"/>
    <s v="4835103"/>
    <n v="700032"/>
    <s v="Salaries-Other Pat Care Providers-OT"/>
    <s v="Radiology Support Services"/>
    <x v="0"/>
    <n v="1000"/>
    <n v="16.53"/>
    <n v="810.45"/>
    <n v="-206.53"/>
    <n v="0"/>
    <n v="982.26"/>
    <n v="-449.58"/>
    <n v="6.34"/>
    <n v="25.83"/>
    <n v="-7.43"/>
    <n v="159.69"/>
    <n v="26.79"/>
    <n v="559.77"/>
    <n v="1924.12"/>
    <n v="-532.98"/>
  </r>
  <r>
    <x v="5"/>
    <x v="4"/>
    <x v="0"/>
    <s v="4835103"/>
    <n v="700032"/>
    <s v="Salaries-Other Pat Care Providers-Other"/>
    <s v="Radiology Support Services"/>
    <x v="0"/>
    <n v="2000"/>
    <n v="0"/>
    <n v="45.7"/>
    <n v="-13.7"/>
    <n v="0"/>
    <n v="56.75"/>
    <n v="-27.31"/>
    <n v="0"/>
    <n v="0"/>
    <n v="9.07"/>
    <n v="0"/>
    <n v="0"/>
    <n v="20.73"/>
    <n v="91.24"/>
    <n v="-20.73"/>
  </r>
  <r>
    <x v="5"/>
    <x v="4"/>
    <x v="0"/>
    <s v="4835103"/>
    <n v="700038"/>
    <s v="Salaries-Service/Support-Productive"/>
    <s v="Radiology Support Services"/>
    <x v="0"/>
    <m/>
    <n v="10033.42"/>
    <n v="9660.93"/>
    <n v="10862.39"/>
    <n v="8770.43"/>
    <n v="12519.06"/>
    <n v="10648.07"/>
    <n v="10911.72"/>
    <n v="9559.06"/>
    <n v="12036.96"/>
    <n v="11168.67"/>
    <n v="10249.870000000001"/>
    <n v="8203.35"/>
    <n v="124623.92999999998"/>
    <n v="2046.5200000000004"/>
  </r>
  <r>
    <x v="5"/>
    <x v="4"/>
    <x v="0"/>
    <s v="4835103"/>
    <n v="700038"/>
    <s v="Salaries-Service/Support-OT"/>
    <s v="Radiology Support Services"/>
    <x v="0"/>
    <n v="1000"/>
    <n v="22.46"/>
    <n v="154.01"/>
    <n v="42.88"/>
    <n v="462.1"/>
    <n v="-42.67"/>
    <n v="219.86"/>
    <n v="87.48"/>
    <n v="137.82"/>
    <n v="245.61"/>
    <n v="130.12"/>
    <n v="280.3"/>
    <n v="251.39"/>
    <n v="1991.3600000000001"/>
    <n v="28.910000000000025"/>
  </r>
  <r>
    <x v="5"/>
    <x v="4"/>
    <x v="0"/>
    <s v="4835103"/>
    <n v="700038"/>
    <s v="Salaries-Service/Support-Other"/>
    <s v="Radiology Support Services"/>
    <x v="0"/>
    <n v="2000"/>
    <n v="480.62"/>
    <n v="479.78"/>
    <n v="423.91"/>
    <n v="410.05"/>
    <n v="491.69"/>
    <n v="336.32"/>
    <n v="512.35"/>
    <n v="302.04000000000002"/>
    <n v="569.54999999999995"/>
    <n v="554.79999999999995"/>
    <n v="93.94"/>
    <n v="86.36"/>
    <n v="4741.4099999999989"/>
    <n v="7.5799999999999983"/>
  </r>
  <r>
    <x v="5"/>
    <x v="4"/>
    <x v="0"/>
    <s v="4835103"/>
    <n v="700054"/>
    <s v="Salaries-Management-Non-productive"/>
    <s v="Radiology Support Services"/>
    <x v="0"/>
    <m/>
    <n v="441.36"/>
    <n v="0"/>
    <n v="693.55"/>
    <n v="1954.61"/>
    <n v="0"/>
    <n v="5701.28"/>
    <n v="195.14"/>
    <n v="1232.74"/>
    <n v="-324.37"/>
    <n v="0"/>
    <n v="3503.56"/>
    <n v="-778.46"/>
    <n v="12619.409999999996"/>
    <n v="4282.0200000000004"/>
  </r>
  <r>
    <x v="5"/>
    <x v="4"/>
    <x v="0"/>
    <s v="4835103"/>
    <n v="700054"/>
    <s v="Salaries-Management-NonProd-Other"/>
    <s v="Radiology Support Services"/>
    <x v="0"/>
    <n v="2000"/>
    <n v="0"/>
    <n v="0"/>
    <n v="0"/>
    <n v="0"/>
    <n v="0"/>
    <n v="239.48"/>
    <n v="-239.48"/>
    <n v="0"/>
    <n v="0"/>
    <n v="0"/>
    <n v="0"/>
    <n v="0"/>
    <n v="0"/>
    <n v="0"/>
  </r>
  <r>
    <x v="5"/>
    <x v="4"/>
    <x v="0"/>
    <s v="4835103"/>
    <n v="700072"/>
    <s v="Salaries-Other Pat Care Providers-Non-productive"/>
    <s v="Radiology Support Services"/>
    <x v="0"/>
    <m/>
    <n v="653.4"/>
    <n v="233.33"/>
    <n v="661.21"/>
    <n v="468.01"/>
    <n v="-82.96"/>
    <n v="791.44"/>
    <n v="668.09"/>
    <n v="625.47"/>
    <n v="138.9"/>
    <n v="618.97"/>
    <n v="824"/>
    <n v="-152.05000000000001"/>
    <n v="5447.81"/>
    <n v="976.05"/>
  </r>
  <r>
    <x v="5"/>
    <x v="4"/>
    <x v="0"/>
    <s v="4835103"/>
    <n v="700072"/>
    <s v="Salaries-Other Pat Care Providers-NonProd-Other"/>
    <s v="Radiology Support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4835103"/>
    <n v="700078"/>
    <s v="Salaries-Service/Support-Non-productive"/>
    <s v="Radiology Support Services"/>
    <x v="0"/>
    <m/>
    <n v="2955.38"/>
    <n v="3264.24"/>
    <n v="1119.75"/>
    <n v="3967.31"/>
    <n v="-105.06"/>
    <n v="1511.93"/>
    <n v="1953.91"/>
    <n v="1997.31"/>
    <n v="1347.13"/>
    <n v="1640.5"/>
    <n v="344.47"/>
    <n v="2550.3200000000002"/>
    <n v="22547.190000000002"/>
    <n v="-2205.8500000000004"/>
  </r>
  <r>
    <x v="5"/>
    <x v="4"/>
    <x v="0"/>
    <s v="4835103"/>
    <n v="700078"/>
    <s v="Salaries-Service/Support-NonProd-Other"/>
    <s v="Radiology Support Services"/>
    <x v="0"/>
    <n v="2000"/>
    <n v="167.08"/>
    <n v="151.43"/>
    <n v="31.38"/>
    <n v="77.59"/>
    <n v="36.840000000000003"/>
    <n v="256.01"/>
    <n v="46.77"/>
    <n v="147.94"/>
    <n v="105.57"/>
    <n v="54.46"/>
    <n v="64.66"/>
    <n v="189.88"/>
    <n v="1329.6100000000001"/>
    <n v="-125.22"/>
  </r>
  <r>
    <x v="5"/>
    <x v="4"/>
    <x v="0"/>
    <s v="4835103"/>
    <n v="700084"/>
    <s v="Accrued PTO"/>
    <s v="Radiology Support Services"/>
    <x v="0"/>
    <m/>
    <n v="-412.95"/>
    <n v="222.17"/>
    <n v="669.9"/>
    <n v="-29.15"/>
    <n v="1898.06"/>
    <n v="-1456.91"/>
    <n v="19.239999999999998"/>
    <n v="-60.51"/>
    <n v="2373.29"/>
    <n v="1595.91"/>
    <n v="-19.37"/>
    <n v="404.6"/>
    <n v="5204.28"/>
    <n v="-423.97"/>
  </r>
  <r>
    <x v="6"/>
    <x v="4"/>
    <x v="0"/>
    <s v="4835103"/>
    <n v="713010"/>
    <s v="Benefits-FICA/Medicare"/>
    <s v="Radiology Support Services"/>
    <x v="0"/>
    <m/>
    <n v="1941.03"/>
    <n v="1982.37"/>
    <n v="1826.86"/>
    <n v="1959.56"/>
    <n v="1910"/>
    <n v="1912.74"/>
    <n v="1998.24"/>
    <n v="1776.19"/>
    <n v="2034.25"/>
    <n v="1974.49"/>
    <n v="1768.17"/>
    <n v="1819.37"/>
    <n v="22903.27"/>
    <n v="-51.199999999999818"/>
  </r>
  <r>
    <x v="6"/>
    <x v="4"/>
    <x v="0"/>
    <s v="4835103"/>
    <n v="713090"/>
    <s v="Benefits-Allocated Amounts"/>
    <s v="Radiology Support Services"/>
    <x v="0"/>
    <m/>
    <n v="6585.41"/>
    <n v="5651.3"/>
    <n v="5997.18"/>
    <n v="5974.35"/>
    <n v="6070.42"/>
    <n v="5778.98"/>
    <n v="6633.54"/>
    <n v="6239.33"/>
    <n v="6508.78"/>
    <n v="6966.01"/>
    <n v="5978.17"/>
    <n v="6358.31"/>
    <n v="74741.78"/>
    <n v="-380.14000000000033"/>
  </r>
  <r>
    <x v="6"/>
    <x v="4"/>
    <x v="0"/>
    <s v="4835103"/>
    <n v="713096"/>
    <s v="Employee Recognition"/>
    <s v="Radiology Support Services"/>
    <x v="0"/>
    <n v="1017"/>
    <n v="0"/>
    <n v="34.97"/>
    <n v="101.8"/>
    <n v="0"/>
    <n v="0"/>
    <n v="0"/>
    <n v="0"/>
    <n v="0"/>
    <n v="40.46"/>
    <n v="0"/>
    <n v="43.27"/>
    <n v="65.59"/>
    <n v="286.09000000000003"/>
    <n v="-22.32"/>
  </r>
  <r>
    <x v="17"/>
    <x v="4"/>
    <x v="0"/>
    <s v="4835103"/>
    <n v="714510"/>
    <s v="Medical Director Fees"/>
    <s v="Radiology Support Services"/>
    <x v="0"/>
    <m/>
    <n v="2100"/>
    <n v="700"/>
    <n v="2461.1999999999998"/>
    <n v="2765"/>
    <n v="1960"/>
    <n v="1015"/>
    <n v="840"/>
    <n v="2800"/>
    <n v="0"/>
    <n v="2205"/>
    <n v="2310"/>
    <n v="980"/>
    <n v="20136.2"/>
    <n v="1330"/>
  </r>
  <r>
    <x v="7"/>
    <x v="4"/>
    <x v="0"/>
    <s v="4835103"/>
    <n v="718050"/>
    <s v="Contract Svcs-Other"/>
    <s v="Radiology Support Services"/>
    <x v="0"/>
    <m/>
    <n v="0"/>
    <n v="0"/>
    <n v="0"/>
    <n v="384.65"/>
    <n v="0"/>
    <n v="0"/>
    <n v="0"/>
    <n v="0"/>
    <n v="0"/>
    <n v="0"/>
    <n v="0"/>
    <n v="0"/>
    <n v="384.65"/>
    <n v="0"/>
  </r>
  <r>
    <x v="7"/>
    <x v="4"/>
    <x v="0"/>
    <s v="4835103"/>
    <n v="718050"/>
    <s v="Document Shredding/Storage"/>
    <s v="Radiology Support Services"/>
    <x v="0"/>
    <n v="1012"/>
    <n v="876.99"/>
    <n v="896.3"/>
    <n v="1255.42"/>
    <n v="1074.27"/>
    <n v="2284.75"/>
    <n v="1496.17"/>
    <n v="1471.2"/>
    <n v="20546.03"/>
    <n v="10710.17"/>
    <n v="-8571.6299999999992"/>
    <n v="4726.83"/>
    <n v="-3270.62"/>
    <n v="33495.879999999997"/>
    <n v="7997.45"/>
  </r>
  <r>
    <x v="7"/>
    <x v="4"/>
    <x v="0"/>
    <s v="4835103"/>
    <n v="718050"/>
    <s v="Translation Services"/>
    <s v="Radiology Support Services"/>
    <x v="0"/>
    <n v="1025"/>
    <n v="476"/>
    <n v="0"/>
    <n v="828.39"/>
    <n v="808"/>
    <n v="404.5"/>
    <n v="0"/>
    <n v="226.37"/>
    <n v="360"/>
    <n v="632"/>
    <n v="547.35"/>
    <n v="604.5"/>
    <n v="0"/>
    <n v="4887.1099999999997"/>
    <n v="604.5"/>
  </r>
  <r>
    <x v="7"/>
    <x v="4"/>
    <x v="0"/>
    <s v="4835103"/>
    <n v="718077"/>
    <s v="PACS"/>
    <s v="Radiology Support Services"/>
    <x v="0"/>
    <n v="1000"/>
    <n v="13198.5"/>
    <n v="14004"/>
    <n v="12512.25"/>
    <n v="13844.25"/>
    <n v="12156.75"/>
    <n v="12282.75"/>
    <n v="13936.5"/>
    <n v="12174.75"/>
    <n v="13684.5"/>
    <n v="14089.5"/>
    <n v="13432.5"/>
    <n v="12717"/>
    <n v="158033.25"/>
    <n v="715.5"/>
  </r>
  <r>
    <x v="7"/>
    <x v="4"/>
    <x v="0"/>
    <s v="4835103"/>
    <n v="718091"/>
    <s v="Contract Services-Intracompany Allocation"/>
    <s v="Radiology Support Services"/>
    <x v="0"/>
    <m/>
    <n v="4122.59"/>
    <n v="3981.54"/>
    <n v="4383.2"/>
    <n v="4216.92"/>
    <n v="4430.03"/>
    <n v="3752.5"/>
    <n v="4212.6000000000004"/>
    <n v="4049.16"/>
    <n v="4501.38"/>
    <n v="4410.03"/>
    <n v="8615.18"/>
    <n v="4282.7"/>
    <n v="54957.829999999987"/>
    <n v="4332.4800000000005"/>
  </r>
  <r>
    <x v="11"/>
    <x v="4"/>
    <x v="0"/>
    <s v="4835103"/>
    <n v="721410"/>
    <s v="Supplies-Medical - Nonbillable"/>
    <s v="Radiology Support Services"/>
    <x v="0"/>
    <m/>
    <n v="12.35"/>
    <n v="0"/>
    <n v="0"/>
    <n v="0"/>
    <n v="0"/>
    <n v="0"/>
    <n v="0"/>
    <n v="0"/>
    <n v="0"/>
    <n v="0"/>
    <n v="0"/>
    <n v="0"/>
    <n v="12.35"/>
    <n v="0"/>
  </r>
  <r>
    <x v="11"/>
    <x v="4"/>
    <x v="0"/>
    <s v="4835103"/>
    <n v="721810"/>
    <s v="Supplies-Dietary/Cafeteria"/>
    <s v="Radiology Support Services"/>
    <x v="0"/>
    <m/>
    <n v="48.13"/>
    <n v="0"/>
    <n v="0"/>
    <n v="16"/>
    <n v="0"/>
    <n v="15.42"/>
    <n v="39.44"/>
    <n v="0"/>
    <n v="7.16"/>
    <n v="6.89"/>
    <n v="0"/>
    <n v="15.99"/>
    <n v="149.03"/>
    <n v="-15.99"/>
  </r>
  <r>
    <x v="11"/>
    <x v="4"/>
    <x v="0"/>
    <s v="4835103"/>
    <n v="721830"/>
    <s v="Supplies-Office"/>
    <s v="Radiology Support Services"/>
    <x v="0"/>
    <m/>
    <n v="259.8"/>
    <n v="569.17999999999995"/>
    <n v="247.46"/>
    <n v="370.85"/>
    <n v="148.07"/>
    <n v="166.63"/>
    <n v="314.95"/>
    <n v="287.95"/>
    <n v="143.41"/>
    <n v="516.61"/>
    <n v="118.36"/>
    <n v="233.01"/>
    <n v="3376.2799999999997"/>
    <n v="-114.64999999999999"/>
  </r>
  <r>
    <x v="11"/>
    <x v="4"/>
    <x v="0"/>
    <s v="4835103"/>
    <n v="721835"/>
    <s v="Supplies-Forms"/>
    <s v="Radiology Support Services"/>
    <x v="0"/>
    <m/>
    <n v="0"/>
    <n v="0"/>
    <n v="0"/>
    <n v="0"/>
    <n v="432.89"/>
    <n v="115"/>
    <n v="0"/>
    <n v="0"/>
    <n v="47.4"/>
    <n v="30"/>
    <n v="43.5"/>
    <n v="0"/>
    <n v="668.79"/>
    <n v="43.5"/>
  </r>
  <r>
    <x v="11"/>
    <x v="4"/>
    <x v="0"/>
    <s v="4835103"/>
    <n v="721980"/>
    <s v="Supplies-Other"/>
    <s v="Radiology Support Services"/>
    <x v="0"/>
    <m/>
    <n v="106.38"/>
    <n v="0"/>
    <n v="0"/>
    <n v="0"/>
    <n v="0"/>
    <n v="0"/>
    <n v="0"/>
    <n v="0"/>
    <n v="0"/>
    <n v="0"/>
    <n v="0"/>
    <n v="0"/>
    <n v="106.38"/>
    <n v="0"/>
  </r>
  <r>
    <x v="15"/>
    <x v="4"/>
    <x v="0"/>
    <s v="4835103"/>
    <n v="731060"/>
    <s v="Pagers"/>
    <s v="Radiology Support Services"/>
    <x v="0"/>
    <n v="1002"/>
    <n v="24.3"/>
    <n v="24.3"/>
    <n v="24.3"/>
    <n v="24.36"/>
    <n v="24.36"/>
    <n v="0"/>
    <n v="48.72"/>
    <n v="24.36"/>
    <n v="24.36"/>
    <n v="24.36"/>
    <n v="24.36"/>
    <n v="24.36"/>
    <n v="292.14000000000004"/>
    <n v="0"/>
  </r>
  <r>
    <x v="0"/>
    <x v="4"/>
    <x v="0"/>
    <s v="4835103"/>
    <n v="749510"/>
    <s v="Miscellaneous Expenses"/>
    <s v="Radiology Support Services"/>
    <x v="0"/>
    <m/>
    <n v="-0.01"/>
    <n v="100.28"/>
    <n v="-47.17"/>
    <n v="0"/>
    <n v="0"/>
    <n v="0"/>
    <n v="40.46"/>
    <n v="0"/>
    <n v="4.55"/>
    <n v="-556.96"/>
    <n v="149.76"/>
    <n v="-65.59"/>
    <n v="-374.68000000000006"/>
    <n v="215.35"/>
  </r>
  <r>
    <x v="0"/>
    <x v="4"/>
    <x v="0"/>
    <s v="4835103"/>
    <n v="749510"/>
    <s v="RICE Rewards"/>
    <s v="Radiology Support Services"/>
    <x v="0"/>
    <n v="5100"/>
    <n v="0"/>
    <n v="0"/>
    <n v="0"/>
    <n v="41.96"/>
    <n v="102.96"/>
    <n v="74.459999999999994"/>
    <n v="0"/>
    <n v="37.96"/>
    <n v="39.93"/>
    <n v="50"/>
    <n v="179.96"/>
    <n v="0"/>
    <n v="527.23"/>
    <n v="179.96"/>
  </r>
  <r>
    <x v="5"/>
    <x v="8"/>
    <x v="0"/>
    <s v="4835104"/>
    <n v="700014"/>
    <s v="Salaries-Management-Productive"/>
    <s v="Radiology Support Services"/>
    <x v="0"/>
    <m/>
    <n v="7844.17"/>
    <n v="1307.83"/>
    <n v="0"/>
    <n v="0"/>
    <n v="0"/>
    <n v="0"/>
    <n v="0"/>
    <n v="0"/>
    <n v="0"/>
    <n v="0"/>
    <n v="0"/>
    <n v="13327.51"/>
    <n v="22479.510000000002"/>
    <n v="-13327.51"/>
  </r>
  <r>
    <x v="5"/>
    <x v="8"/>
    <x v="0"/>
    <s v="4835104"/>
    <n v="700014"/>
    <s v="Salaries-Management-Other"/>
    <s v="Radiology Support Services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8"/>
    <x v="0"/>
    <s v="4835104"/>
    <n v="700034"/>
    <s v="Salaries-Tech/Professional-Productive"/>
    <s v="Radiology Support Services"/>
    <x v="0"/>
    <m/>
    <n v="0"/>
    <n v="0"/>
    <n v="3169.19"/>
    <n v="-1152.3900000000001"/>
    <n v="0"/>
    <n v="0"/>
    <n v="0"/>
    <n v="0"/>
    <n v="0"/>
    <n v="0"/>
    <n v="0"/>
    <n v="0"/>
    <n v="2016.8"/>
    <n v="0"/>
  </r>
  <r>
    <x v="5"/>
    <x v="8"/>
    <x v="0"/>
    <s v="4835104"/>
    <n v="700038"/>
    <s v="Salaries-Service/Support-Productive"/>
    <s v="Radiology Support Services"/>
    <x v="0"/>
    <m/>
    <n v="6888.3"/>
    <n v="7180.64"/>
    <n v="6405.14"/>
    <n v="7516.02"/>
    <n v="7475.91"/>
    <n v="6588.85"/>
    <n v="7291.88"/>
    <n v="5425.64"/>
    <n v="7930.52"/>
    <n v="7214.99"/>
    <n v="7395.85"/>
    <n v="6919.56"/>
    <n v="84233.3"/>
    <n v="476.28999999999996"/>
  </r>
  <r>
    <x v="5"/>
    <x v="8"/>
    <x v="0"/>
    <s v="4835104"/>
    <n v="700038"/>
    <s v="Salaries-Service/Support-OT"/>
    <s v="Radiology Support Services"/>
    <x v="0"/>
    <n v="1000"/>
    <n v="35.5"/>
    <n v="38.090000000000003"/>
    <n v="-3.27"/>
    <n v="14.87"/>
    <n v="65.34"/>
    <n v="23.61"/>
    <n v="60.56"/>
    <n v="-3.19"/>
    <n v="71.8"/>
    <n v="122.6"/>
    <n v="28.54"/>
    <n v="84.47"/>
    <n v="538.92000000000007"/>
    <n v="-55.93"/>
  </r>
  <r>
    <x v="5"/>
    <x v="8"/>
    <x v="0"/>
    <s v="4835104"/>
    <n v="700038"/>
    <s v="Salaries-Service/Support-Other"/>
    <s v="Radiology Support Services"/>
    <x v="0"/>
    <n v="2000"/>
    <n v="192.51"/>
    <n v="114.94"/>
    <n v="162.91999999999999"/>
    <n v="109.6"/>
    <n v="123.68"/>
    <n v="73.37"/>
    <n v="44.1"/>
    <n v="105.28"/>
    <n v="30.23"/>
    <n v="183.88"/>
    <n v="114.91"/>
    <n v="175.12"/>
    <n v="1430.5400000000004"/>
    <n v="-60.210000000000008"/>
  </r>
  <r>
    <x v="5"/>
    <x v="8"/>
    <x v="0"/>
    <s v="4835104"/>
    <n v="700054"/>
    <s v="Salaries-Management-Non-productive"/>
    <s v="Radiology Support Services"/>
    <x v="0"/>
    <m/>
    <n v="2288"/>
    <n v="0"/>
    <n v="0"/>
    <n v="0"/>
    <n v="0"/>
    <n v="0"/>
    <n v="0"/>
    <n v="0"/>
    <n v="0"/>
    <n v="0"/>
    <n v="0"/>
    <n v="0"/>
    <n v="2288"/>
    <n v="0"/>
  </r>
  <r>
    <x v="5"/>
    <x v="8"/>
    <x v="0"/>
    <s v="4835104"/>
    <n v="700078"/>
    <s v="Salaries-Service/Support-Non-productive"/>
    <s v="Radiology Support Services"/>
    <x v="0"/>
    <m/>
    <n v="1775.69"/>
    <n v="986.95"/>
    <n v="1757.96"/>
    <n v="734.32"/>
    <n v="696.03"/>
    <n v="1471.81"/>
    <n v="588.83000000000004"/>
    <n v="1145.19"/>
    <n v="126.47"/>
    <n v="1264.6400000000001"/>
    <n v="-127.03"/>
    <n v="2107.33"/>
    <n v="12528.189999999999"/>
    <n v="-2234.36"/>
  </r>
  <r>
    <x v="5"/>
    <x v="8"/>
    <x v="0"/>
    <s v="4835104"/>
    <n v="700078"/>
    <s v="Salaries-Service/Support-NonProd-Other"/>
    <s v="Radiology Support Services"/>
    <x v="0"/>
    <n v="2000"/>
    <n v="0"/>
    <n v="0"/>
    <n v="0"/>
    <n v="0"/>
    <n v="563.49"/>
    <n v="0"/>
    <n v="0"/>
    <n v="-563.49"/>
    <n v="0"/>
    <n v="0"/>
    <n v="0"/>
    <n v="0"/>
    <n v="0"/>
    <n v="0"/>
  </r>
  <r>
    <x v="5"/>
    <x v="8"/>
    <x v="0"/>
    <s v="4835104"/>
    <n v="700084"/>
    <s v="Accrued PTO"/>
    <s v="Radiology Support Services"/>
    <x v="0"/>
    <m/>
    <n v="-1588.49"/>
    <n v="-83.05"/>
    <n v="-484.68"/>
    <n v="-145.94999999999999"/>
    <n v="433.82"/>
    <n v="-426.53"/>
    <n v="327.32"/>
    <n v="-42.26"/>
    <n v="350.74"/>
    <n v="-243.18"/>
    <n v="860.4"/>
    <n v="825.89"/>
    <n v="-215.96999999999969"/>
    <n v="34.509999999999991"/>
  </r>
  <r>
    <x v="6"/>
    <x v="8"/>
    <x v="0"/>
    <s v="4835104"/>
    <n v="713010"/>
    <s v="Benefits-FICA/Medicare"/>
    <s v="Radiology Support Services"/>
    <x v="0"/>
    <m/>
    <n v="1371.53"/>
    <n v="1509.01"/>
    <n v="822.15"/>
    <n v="493.71"/>
    <n v="708.9"/>
    <n v="533.48"/>
    <n v="550.65"/>
    <n v="456.19"/>
    <n v="563.95000000000005"/>
    <n v="613.79999999999995"/>
    <n v="506.89"/>
    <n v="1656.33"/>
    <n v="9786.5899999999983"/>
    <n v="-1149.44"/>
  </r>
  <r>
    <x v="6"/>
    <x v="8"/>
    <x v="0"/>
    <s v="4835104"/>
    <n v="713090"/>
    <s v="Benefits-Allocated Amounts"/>
    <s v="Radiology Support Services"/>
    <x v="0"/>
    <m/>
    <n v="4131.8100000000004"/>
    <n v="2316.59"/>
    <n v="2882.58"/>
    <n v="2258.79"/>
    <n v="2564.98"/>
    <n v="2324.41"/>
    <n v="2398.39"/>
    <n v="2220.61"/>
    <n v="2372.0300000000002"/>
    <n v="2799.82"/>
    <n v="2328.16"/>
    <n v="4628.8999999999996"/>
    <n v="33227.07"/>
    <n v="-2300.7399999999998"/>
  </r>
  <r>
    <x v="6"/>
    <x v="8"/>
    <x v="0"/>
    <s v="4835104"/>
    <n v="713096"/>
    <s v="Employee Recognition"/>
    <s v="Radiology Support Services"/>
    <x v="0"/>
    <n v="1017"/>
    <n v="0"/>
    <n v="0"/>
    <n v="0"/>
    <n v="0"/>
    <n v="0"/>
    <n v="0"/>
    <n v="0"/>
    <n v="0"/>
    <n v="0"/>
    <n v="0"/>
    <n v="0"/>
    <n v="0"/>
    <n v="0"/>
    <n v="0"/>
  </r>
  <r>
    <x v="17"/>
    <x v="8"/>
    <x v="0"/>
    <s v="4835104"/>
    <n v="714510"/>
    <s v="Medical Director Fees"/>
    <s v="Radiology Support Services"/>
    <x v="0"/>
    <m/>
    <n v="2800"/>
    <n v="2800"/>
    <n v="2800"/>
    <n v="2788.8"/>
    <n v="2765"/>
    <n v="2765"/>
    <n v="2625"/>
    <n v="2366"/>
    <n v="0"/>
    <n v="2660"/>
    <n v="3803.8"/>
    <n v="3150"/>
    <n v="31323.599999999999"/>
    <n v="653.80000000000018"/>
  </r>
  <r>
    <x v="7"/>
    <x v="8"/>
    <x v="0"/>
    <s v="4835104"/>
    <n v="718050"/>
    <s v="Document Shredding/Storage"/>
    <s v="Radiology Support Services"/>
    <x v="0"/>
    <n v="1012"/>
    <n v="13.79"/>
    <n v="61.1"/>
    <n v="13.97"/>
    <n v="14.45"/>
    <n v="14.93"/>
    <n v="14.93"/>
    <n v="14.78"/>
    <n v="12.68"/>
    <n v="13.14"/>
    <n v="17.2"/>
    <n v="14.45"/>
    <n v="14.93"/>
    <n v="220.35000000000002"/>
    <n v="-0.48000000000000043"/>
  </r>
  <r>
    <x v="7"/>
    <x v="8"/>
    <x v="0"/>
    <s v="4835104"/>
    <n v="718050"/>
    <s v="Translation Services"/>
    <s v="Radiology Support Services"/>
    <x v="0"/>
    <n v="1025"/>
    <n v="0"/>
    <n v="328"/>
    <n v="136"/>
    <n v="0"/>
    <n v="0"/>
    <n v="160"/>
    <n v="84"/>
    <n v="40"/>
    <n v="40"/>
    <n v="136"/>
    <n v="32"/>
    <n v="0"/>
    <n v="956"/>
    <n v="32"/>
  </r>
  <r>
    <x v="7"/>
    <x v="8"/>
    <x v="0"/>
    <s v="4835104"/>
    <n v="718077"/>
    <s v="PACS"/>
    <s v="Radiology Support Services"/>
    <x v="0"/>
    <n v="1000"/>
    <n v="9751.5"/>
    <n v="10156.5"/>
    <n v="10316.25"/>
    <n v="10523.25"/>
    <n v="10048.5"/>
    <n v="10190.25"/>
    <n v="11180.25"/>
    <n v="9681.75"/>
    <n v="11695.5"/>
    <n v="10845"/>
    <n v="11344.5"/>
    <n v="10449"/>
    <n v="126182.25"/>
    <n v="895.5"/>
  </r>
  <r>
    <x v="7"/>
    <x v="8"/>
    <x v="0"/>
    <s v="4835104"/>
    <n v="718091"/>
    <s v="Contract Services-Intracompany Allocation"/>
    <s v="Radiology Support Services"/>
    <x v="0"/>
    <m/>
    <n v="2934.09"/>
    <n v="2833.72"/>
    <n v="3119.57"/>
    <n v="3001.23"/>
    <n v="3152.9"/>
    <n v="2670.7"/>
    <n v="2998.16"/>
    <n v="2881.84"/>
    <n v="3203.68"/>
    <n v="3138.67"/>
    <n v="6131.53"/>
    <n v="3048.04"/>
    <n v="39114.129999999997"/>
    <n v="3083.49"/>
  </r>
  <r>
    <x v="11"/>
    <x v="8"/>
    <x v="0"/>
    <s v="4835104"/>
    <n v="721250"/>
    <s v="Supplies-Pharmacy Drugs - Billable"/>
    <s v="Radiology Support Services"/>
    <x v="0"/>
    <m/>
    <n v="0"/>
    <n v="0"/>
    <n v="0"/>
    <n v="1.36"/>
    <n v="0"/>
    <n v="0"/>
    <n v="0"/>
    <n v="0"/>
    <n v="0"/>
    <n v="0"/>
    <n v="0"/>
    <n v="0"/>
    <n v="1.36"/>
    <n v="0"/>
  </r>
  <r>
    <x v="11"/>
    <x v="8"/>
    <x v="0"/>
    <s v="4835104"/>
    <n v="721410"/>
    <s v="Supplies-Medical - Nonbillable"/>
    <s v="Radiology Support Services"/>
    <x v="0"/>
    <m/>
    <n v="168.44"/>
    <n v="0"/>
    <n v="0"/>
    <n v="0"/>
    <n v="0"/>
    <n v="0"/>
    <n v="6.96"/>
    <n v="0"/>
    <n v="0"/>
    <n v="-6485.91"/>
    <n v="0"/>
    <n v="0"/>
    <n v="-6310.51"/>
    <n v="0"/>
  </r>
  <r>
    <x v="11"/>
    <x v="8"/>
    <x v="0"/>
    <s v="4835104"/>
    <n v="721810"/>
    <s v="Supplies-Dietary/Cafeteria"/>
    <s v="Radiology Support Services"/>
    <x v="0"/>
    <m/>
    <n v="0"/>
    <n v="63.9"/>
    <n v="70.510000000000005"/>
    <n v="147.49"/>
    <n v="29.72"/>
    <n v="23.58"/>
    <n v="23.38"/>
    <n v="40"/>
    <n v="86.57"/>
    <n v="31.32"/>
    <n v="52.75"/>
    <n v="41.68"/>
    <n v="610.9"/>
    <n v="11.07"/>
  </r>
  <r>
    <x v="11"/>
    <x v="8"/>
    <x v="0"/>
    <s v="4835104"/>
    <n v="721830"/>
    <s v="Supplies-Office"/>
    <s v="Radiology Support Services"/>
    <x v="0"/>
    <m/>
    <n v="432.55"/>
    <n v="1352.23"/>
    <n v="21.79"/>
    <n v="559.70000000000005"/>
    <n v="398.71"/>
    <n v="1303.93"/>
    <n v="1286.76"/>
    <n v="451.64"/>
    <n v="162.22999999999999"/>
    <n v="801.64"/>
    <n v="362.6"/>
    <n v="0"/>
    <n v="7133.7800000000007"/>
    <n v="362.6"/>
  </r>
  <r>
    <x v="11"/>
    <x v="8"/>
    <x v="0"/>
    <s v="4835104"/>
    <n v="721835"/>
    <s v="Supplies-Forms"/>
    <s v="Radiology Support Services"/>
    <x v="0"/>
    <m/>
    <n v="0"/>
    <n v="0"/>
    <n v="0"/>
    <n v="0"/>
    <n v="118.8"/>
    <n v="70.5"/>
    <n v="0"/>
    <n v="0"/>
    <n v="85.5"/>
    <n v="9"/>
    <n v="0"/>
    <n v="58.8"/>
    <n v="342.6"/>
    <n v="-58.8"/>
  </r>
  <r>
    <x v="11"/>
    <x v="8"/>
    <x v="0"/>
    <s v="4835104"/>
    <n v="721870"/>
    <s v="Supplies-Environmental Services"/>
    <s v="Radiology Support Services"/>
    <x v="0"/>
    <m/>
    <n v="0"/>
    <n v="224.6"/>
    <n v="0"/>
    <n v="0"/>
    <n v="0"/>
    <n v="0"/>
    <n v="0"/>
    <n v="0"/>
    <n v="0"/>
    <n v="0"/>
    <n v="0"/>
    <n v="45.96"/>
    <n v="270.56"/>
    <n v="-45.96"/>
  </r>
  <r>
    <x v="11"/>
    <x v="8"/>
    <x v="0"/>
    <s v="4835104"/>
    <n v="721910"/>
    <s v="Supplies-Small Equipment"/>
    <s v="Radiology Support Services"/>
    <x v="0"/>
    <m/>
    <n v="0"/>
    <n v="3781.23"/>
    <n v="0"/>
    <n v="0"/>
    <n v="0"/>
    <n v="0"/>
    <n v="0"/>
    <n v="0"/>
    <n v="0"/>
    <n v="0"/>
    <n v="0"/>
    <n v="0"/>
    <n v="3781.23"/>
    <n v="0"/>
  </r>
  <r>
    <x v="11"/>
    <x v="8"/>
    <x v="0"/>
    <s v="4835104"/>
    <n v="721980"/>
    <s v="Supplies-Other"/>
    <s v="Radiology Support Services"/>
    <x v="0"/>
    <m/>
    <n v="0"/>
    <n v="115.34"/>
    <n v="0"/>
    <n v="0"/>
    <n v="0"/>
    <n v="0"/>
    <n v="0"/>
    <n v="0"/>
    <n v="0"/>
    <n v="0"/>
    <n v="0"/>
    <n v="0"/>
    <n v="115.34"/>
    <n v="0"/>
  </r>
  <r>
    <x v="11"/>
    <x v="8"/>
    <x v="0"/>
    <s v="4835104"/>
    <n v="722000"/>
    <s v="Supplies-Freight Expense"/>
    <s v="Radiology Support Services"/>
    <x v="0"/>
    <m/>
    <n v="0"/>
    <n v="7.93"/>
    <n v="10.99"/>
    <n v="0"/>
    <n v="0"/>
    <n v="0"/>
    <n v="0"/>
    <n v="0"/>
    <n v="0"/>
    <n v="0"/>
    <n v="0"/>
    <n v="0"/>
    <n v="18.920000000000002"/>
    <n v="0"/>
  </r>
  <r>
    <x v="12"/>
    <x v="8"/>
    <x v="0"/>
    <s v="4835104"/>
    <n v="730020"/>
    <s v="Rental and Leases-Copier Usage Fees (DO NOT USE)"/>
    <s v="Radiology Support Services"/>
    <x v="0"/>
    <n v="5100"/>
    <n v="523.02"/>
    <n v="540.05999999999995"/>
    <n v="531.54"/>
    <n v="531.54"/>
    <n v="531.54"/>
    <n v="531.54"/>
    <n v="-39.119999999999997"/>
    <n v="444.14"/>
    <n v="443.21"/>
    <n v="546.66999999999996"/>
    <n v="444.14"/>
    <n v="500.41"/>
    <n v="5528.69"/>
    <n v="-56.270000000000039"/>
  </r>
  <r>
    <x v="15"/>
    <x v="8"/>
    <x v="0"/>
    <s v="4835104"/>
    <n v="731060"/>
    <s v="Pagers"/>
    <s v="Radiology Support Services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8"/>
    <x v="0"/>
    <s v="4835104"/>
    <n v="733030"/>
    <s v="Maintenance Contracts-Other"/>
    <s v="Radiology Support Services"/>
    <x v="0"/>
    <m/>
    <n v="2333.84"/>
    <n v="0"/>
    <n v="0"/>
    <n v="999.29"/>
    <n v="0"/>
    <n v="0"/>
    <n v="0"/>
    <n v="0"/>
    <n v="0"/>
    <n v="0"/>
    <n v="0"/>
    <n v="0"/>
    <n v="3333.13"/>
    <n v="0"/>
  </r>
  <r>
    <x v="13"/>
    <x v="8"/>
    <x v="0"/>
    <s v="4835104"/>
    <n v="735070"/>
    <s v="Depreciation-Movable Equipment"/>
    <s v="Radiology Support Services"/>
    <x v="0"/>
    <m/>
    <n v="635.47"/>
    <n v="635.47"/>
    <n v="635.48"/>
    <n v="635.46"/>
    <n v="635.48"/>
    <n v="635.46"/>
    <n v="635.49"/>
    <n v="635.46"/>
    <n v="635.49"/>
    <n v="635.46"/>
    <n v="635.49"/>
    <n v="635.46"/>
    <n v="7625.67"/>
    <n v="2.9999999999972715E-2"/>
  </r>
  <r>
    <x v="0"/>
    <x v="8"/>
    <x v="0"/>
    <s v="4835104"/>
    <n v="749510"/>
    <s v="Miscellaneous Expenses"/>
    <s v="Radiology Support Services"/>
    <x v="0"/>
    <m/>
    <n v="0"/>
    <n v="7.27"/>
    <n v="3.41"/>
    <n v="0"/>
    <n v="0"/>
    <n v="0"/>
    <n v="-11.21"/>
    <n v="0"/>
    <n v="0"/>
    <n v="0"/>
    <n v="0"/>
    <n v="71.28"/>
    <n v="70.75"/>
    <n v="-71.28"/>
  </r>
  <r>
    <x v="0"/>
    <x v="8"/>
    <x v="0"/>
    <s v="4835104"/>
    <n v="749510"/>
    <s v="RICE Rewards"/>
    <s v="Radiology Support Services"/>
    <x v="0"/>
    <n v="5100"/>
    <n v="0"/>
    <n v="0"/>
    <n v="0"/>
    <n v="0"/>
    <n v="0"/>
    <n v="0"/>
    <n v="0"/>
    <n v="0"/>
    <n v="0"/>
    <n v="0"/>
    <n v="0"/>
    <n v="128.87"/>
    <n v="128.87"/>
    <n v="-128.87"/>
  </r>
  <r>
    <x v="14"/>
    <x v="5"/>
    <x v="0"/>
    <s v="4835106"/>
    <n v="600050"/>
    <s v="Miscellaneous Revenue"/>
    <s v="Radiology Support Services"/>
    <x v="0"/>
    <m/>
    <n v="-1299.03"/>
    <n v="-2955.3"/>
    <n v="-2604.71"/>
    <n v="-760.25"/>
    <n v="-1359.2"/>
    <n v="-457.62"/>
    <n v="-3485.37"/>
    <n v="-1165.8699999999999"/>
    <n v="-1164.1099999999999"/>
    <n v="-1009"/>
    <n v="-876.5"/>
    <n v="-315"/>
    <n v="-17451.96"/>
    <n v="-561.5"/>
  </r>
  <r>
    <x v="5"/>
    <x v="5"/>
    <x v="0"/>
    <s v="4835106"/>
    <n v="700014"/>
    <s v="Salaries-Management-Productive"/>
    <s v="Radiology Support Services"/>
    <x v="0"/>
    <m/>
    <n v="10200.59"/>
    <n v="10683.55"/>
    <n v="9856.59"/>
    <n v="11006.4"/>
    <n v="10726"/>
    <n v="10082.780000000001"/>
    <n v="11101.2"/>
    <n v="9345.58"/>
    <n v="11279.16"/>
    <n v="10741.73"/>
    <n v="11100.15"/>
    <n v="10240.94"/>
    <n v="126364.67"/>
    <n v="859.20999999999913"/>
  </r>
  <r>
    <x v="5"/>
    <x v="5"/>
    <x v="0"/>
    <s v="4835106"/>
    <n v="700034"/>
    <s v="Salaries-Tech/Professional-Productive"/>
    <s v="Radiology Support Services"/>
    <x v="0"/>
    <m/>
    <n v="5374.82"/>
    <n v="7862.39"/>
    <n v="2595.34"/>
    <n v="13612.69"/>
    <n v="15685.58"/>
    <n v="19133.02"/>
    <n v="17051.650000000001"/>
    <n v="14230.25"/>
    <n v="24270.74"/>
    <n v="12599.43"/>
    <n v="19346.32"/>
    <n v="7098.52"/>
    <n v="158860.75"/>
    <n v="12247.8"/>
  </r>
  <r>
    <x v="5"/>
    <x v="5"/>
    <x v="0"/>
    <s v="4835106"/>
    <n v="700034"/>
    <s v="Salaries-Tech/Professional-OT"/>
    <s v="Radiology Support Services"/>
    <x v="0"/>
    <n v="1000"/>
    <n v="1235.8599999999999"/>
    <n v="3931.41"/>
    <n v="2515.94"/>
    <n v="2844.87"/>
    <n v="972.32"/>
    <n v="6111.83"/>
    <n v="6233.62"/>
    <n v="6232.83"/>
    <n v="8095.94"/>
    <n v="2987.67"/>
    <n v="3165.45"/>
    <n v="1622.83"/>
    <n v="45950.569999999992"/>
    <n v="1542.62"/>
  </r>
  <r>
    <x v="5"/>
    <x v="5"/>
    <x v="0"/>
    <s v="4835106"/>
    <n v="700034"/>
    <s v="Salaries-Tech/Professional-Other"/>
    <s v="Radiology Support Services"/>
    <x v="0"/>
    <n v="2000"/>
    <n v="368.06"/>
    <n v="626.20000000000005"/>
    <n v="427.46"/>
    <n v="1338.73"/>
    <n v="1274.03"/>
    <n v="1359.25"/>
    <n v="1351.87"/>
    <n v="1404.82"/>
    <n v="2464.7600000000002"/>
    <n v="1372.87"/>
    <n v="941.21"/>
    <n v="637.47"/>
    <n v="13566.729999999998"/>
    <n v="303.74"/>
  </r>
  <r>
    <x v="5"/>
    <x v="5"/>
    <x v="0"/>
    <s v="4835106"/>
    <n v="700038"/>
    <s v="Salaries-Service/Support-Productive"/>
    <s v="Radiology Support Services"/>
    <x v="0"/>
    <m/>
    <n v="8489.1299999999992"/>
    <n v="11916.12"/>
    <n v="10176.66"/>
    <n v="10994.73"/>
    <n v="11393.26"/>
    <n v="8359.19"/>
    <n v="10766.48"/>
    <n v="8192.24"/>
    <n v="9727.01"/>
    <n v="8984.58"/>
    <n v="13114.25"/>
    <n v="9969.83"/>
    <n v="122083.48000000001"/>
    <n v="3144.42"/>
  </r>
  <r>
    <x v="5"/>
    <x v="5"/>
    <x v="0"/>
    <s v="4835106"/>
    <n v="700038"/>
    <s v="Salaries-Service/Support-OT"/>
    <s v="Radiology Support Services"/>
    <x v="0"/>
    <n v="1000"/>
    <n v="495.08"/>
    <n v="389"/>
    <n v="1742.44"/>
    <n v="385.46"/>
    <n v="391.96"/>
    <n v="699.07"/>
    <n v="740.71"/>
    <n v="169.96"/>
    <n v="263.32"/>
    <n v="1026.08"/>
    <n v="2216.38"/>
    <n v="1110.72"/>
    <n v="9630.1799999999985"/>
    <n v="1105.6600000000001"/>
  </r>
  <r>
    <x v="5"/>
    <x v="5"/>
    <x v="0"/>
    <s v="4835106"/>
    <n v="700038"/>
    <s v="Salaries-Service/Support-Other"/>
    <s v="Radiology Support Services"/>
    <x v="0"/>
    <n v="2000"/>
    <n v="339.79"/>
    <n v="658.77"/>
    <n v="558.91"/>
    <n v="628.62"/>
    <n v="710.5"/>
    <n v="371.2"/>
    <n v="715.16"/>
    <n v="532.54"/>
    <n v="445.97"/>
    <n v="709.38"/>
    <n v="622.07000000000005"/>
    <n v="471.5"/>
    <n v="6764.41"/>
    <n v="150.57000000000005"/>
  </r>
  <r>
    <x v="5"/>
    <x v="5"/>
    <x v="0"/>
    <s v="4835106"/>
    <n v="700054"/>
    <s v="Salaries-Management-Non-productive"/>
    <s v="Radiology Support Services"/>
    <x v="0"/>
    <m/>
    <n v="482.48"/>
    <n v="0"/>
    <n v="482.48"/>
    <n v="0"/>
    <n v="0"/>
    <n v="1001.12"/>
    <n v="0"/>
    <n v="680.29"/>
    <n v="-179"/>
    <n v="0"/>
    <n v="0"/>
    <n v="501.29"/>
    <n v="2968.66"/>
    <n v="-501.29"/>
  </r>
  <r>
    <x v="5"/>
    <x v="5"/>
    <x v="0"/>
    <s v="4835106"/>
    <n v="700054"/>
    <s v="Salaries-Management-NonProd-Other"/>
    <s v="Radiology Support Services"/>
    <x v="0"/>
    <n v="2000"/>
    <n v="0"/>
    <n v="0"/>
    <n v="0"/>
    <n v="0"/>
    <n v="0"/>
    <n v="248.91"/>
    <n v="-248.91"/>
    <n v="0"/>
    <n v="0"/>
    <n v="0"/>
    <n v="0"/>
    <n v="0"/>
    <n v="0"/>
    <n v="0"/>
  </r>
  <r>
    <x v="5"/>
    <x v="5"/>
    <x v="0"/>
    <s v="4835106"/>
    <n v="700074"/>
    <s v="Salaries-Tech/Professional-NonProd-Other"/>
    <s v="Radiology Support Services"/>
    <x v="0"/>
    <n v="2000"/>
    <n v="0"/>
    <n v="0"/>
    <n v="0"/>
    <n v="0"/>
    <n v="0"/>
    <n v="0"/>
    <n v="9.41"/>
    <n v="-1.42"/>
    <n v="0"/>
    <n v="0"/>
    <n v="0"/>
    <n v="0"/>
    <n v="7.99"/>
    <n v="0"/>
  </r>
  <r>
    <x v="5"/>
    <x v="5"/>
    <x v="0"/>
    <s v="4835106"/>
    <n v="700078"/>
    <s v="Salaries-Service/Support-Non-productive"/>
    <s v="Radiology Support Services"/>
    <x v="0"/>
    <m/>
    <n v="1077.9000000000001"/>
    <n v="231.81"/>
    <n v="738.08"/>
    <n v="786.06"/>
    <n v="208.53"/>
    <n v="2027.8"/>
    <n v="1242.18"/>
    <n v="1929.29"/>
    <n v="535.71"/>
    <n v="1775.05"/>
    <n v="210.68"/>
    <n v="1590.61"/>
    <n v="12353.7"/>
    <n v="-1379.9299999999998"/>
  </r>
  <r>
    <x v="5"/>
    <x v="5"/>
    <x v="0"/>
    <s v="4835106"/>
    <n v="700084"/>
    <s v="Accrued PTO"/>
    <s v="Radiology Support Services"/>
    <x v="0"/>
    <m/>
    <n v="216.98"/>
    <n v="688.81"/>
    <n v="238.93"/>
    <n v="1059.72"/>
    <n v="595.54999999999995"/>
    <n v="-164.4"/>
    <n v="-150.02000000000001"/>
    <n v="-901.42"/>
    <n v="156.38999999999999"/>
    <n v="-839.08"/>
    <n v="743.99"/>
    <n v="238.64"/>
    <n v="1884.0899999999992"/>
    <n v="505.35"/>
  </r>
  <r>
    <x v="6"/>
    <x v="5"/>
    <x v="0"/>
    <s v="4835106"/>
    <n v="713010"/>
    <s v="Benefits-FICA/Medicare"/>
    <s v="Radiology Support Services"/>
    <x v="0"/>
    <m/>
    <n v="2118.9899999999998"/>
    <n v="2723.36"/>
    <n v="2178.34"/>
    <n v="3132.09"/>
    <n v="3199.42"/>
    <n v="3687.55"/>
    <n v="3750.52"/>
    <n v="3239.13"/>
    <n v="4316.67"/>
    <n v="3049.33"/>
    <n v="3851.02"/>
    <n v="2514.96"/>
    <n v="37761.379999999997"/>
    <n v="1336.06"/>
  </r>
  <r>
    <x v="6"/>
    <x v="5"/>
    <x v="0"/>
    <s v="4835106"/>
    <n v="713090"/>
    <s v="Benefits-Allocated Amounts"/>
    <s v="Radiology Support Services"/>
    <x v="0"/>
    <m/>
    <n v="7555.46"/>
    <n v="9625.08"/>
    <n v="7760.9"/>
    <n v="10552.02"/>
    <n v="11124.84"/>
    <n v="12118.59"/>
    <n v="12712.15"/>
    <n v="11312.39"/>
    <n v="13636.38"/>
    <n v="10368.77"/>
    <n v="12830.75"/>
    <n v="9051.06"/>
    <n v="128648.39"/>
    <n v="3779.6900000000005"/>
  </r>
  <r>
    <x v="17"/>
    <x v="5"/>
    <x v="0"/>
    <s v="4835106"/>
    <n v="714510"/>
    <s v="Medical Director Fees"/>
    <s v="Radiology Support Services"/>
    <x v="0"/>
    <m/>
    <n v="2835"/>
    <n v="2520"/>
    <n v="2695"/>
    <n v="2800"/>
    <n v="2870"/>
    <n v="2835"/>
    <n v="3360"/>
    <n v="2800"/>
    <n v="3000"/>
    <n v="2695"/>
    <n v="360"/>
    <n v="2730"/>
    <n v="31500"/>
    <n v="-2370"/>
  </r>
  <r>
    <x v="7"/>
    <x v="5"/>
    <x v="0"/>
    <s v="4835106"/>
    <n v="718050"/>
    <s v="Miscellaneous Purchased Svcs"/>
    <s v="Radiology Support Services"/>
    <x v="0"/>
    <n v="1020"/>
    <n v="0"/>
    <n v="0"/>
    <n v="0"/>
    <n v="0"/>
    <n v="0"/>
    <n v="0"/>
    <n v="164.72"/>
    <n v="0"/>
    <n v="0"/>
    <n v="0"/>
    <n v="0"/>
    <n v="0"/>
    <n v="164.72"/>
    <n v="0"/>
  </r>
  <r>
    <x v="7"/>
    <x v="5"/>
    <x v="0"/>
    <s v="4835106"/>
    <n v="718050"/>
    <s v="Translation Services"/>
    <s v="Radiology Support Services"/>
    <x v="0"/>
    <n v="1025"/>
    <n v="0"/>
    <n v="0"/>
    <n v="0"/>
    <n v="-13.92"/>
    <n v="0"/>
    <n v="0"/>
    <n v="0"/>
    <n v="0"/>
    <n v="0"/>
    <n v="0"/>
    <n v="32"/>
    <n v="0"/>
    <n v="18.079999999999998"/>
    <n v="32"/>
  </r>
  <r>
    <x v="7"/>
    <x v="5"/>
    <x v="0"/>
    <s v="4835106"/>
    <n v="718060"/>
    <s v="Contract Services-CHI RRC Fees"/>
    <s v="Radiology Support Services"/>
    <x v="0"/>
    <m/>
    <n v="55968"/>
    <n v="55968"/>
    <n v="55968"/>
    <n v="55968"/>
    <n v="55968"/>
    <n v="55968"/>
    <n v="55968"/>
    <n v="55968"/>
    <n v="55968"/>
    <n v="55968"/>
    <n v="55968"/>
    <n v="55968"/>
    <n v="671616"/>
    <n v="0"/>
  </r>
  <r>
    <x v="7"/>
    <x v="5"/>
    <x v="0"/>
    <s v="4835106"/>
    <n v="718077"/>
    <s v="PACS"/>
    <s v="Radiology Support Services"/>
    <x v="0"/>
    <n v="1000"/>
    <n v="14820.75"/>
    <n v="14724"/>
    <n v="14373"/>
    <n v="14906.25"/>
    <n v="14087.25"/>
    <n v="14931"/>
    <n v="16092"/>
    <n v="13576.5"/>
    <n v="14886"/>
    <n v="14721.75"/>
    <n v="14598"/>
    <n v="14325.75"/>
    <n v="176042.25"/>
    <n v="272.25"/>
  </r>
  <r>
    <x v="7"/>
    <x v="5"/>
    <x v="0"/>
    <s v="4835106"/>
    <n v="718091"/>
    <s v="Contract Services-Intracompany Allocation"/>
    <s v="Radiology Support Services"/>
    <x v="0"/>
    <m/>
    <n v="11736.37"/>
    <n v="11334.85"/>
    <n v="12478.3"/>
    <n v="12004.93"/>
    <n v="12611.6"/>
    <n v="10682.8"/>
    <n v="11992.64"/>
    <n v="11527.33"/>
    <n v="12814.73"/>
    <n v="12554.69"/>
    <n v="24526.11"/>
    <n v="12192.18"/>
    <n v="156456.53"/>
    <n v="12333.93"/>
  </r>
  <r>
    <x v="11"/>
    <x v="5"/>
    <x v="0"/>
    <s v="4835106"/>
    <n v="721810"/>
    <s v="Supplies-Dietary/Cafeteria"/>
    <s v="Radiology Support Services"/>
    <x v="0"/>
    <m/>
    <n v="68.13"/>
    <n v="162.91999999999999"/>
    <n v="118.34"/>
    <n v="39.19"/>
    <n v="84.32"/>
    <n v="175.08"/>
    <n v="90.93"/>
    <n v="116.32"/>
    <n v="258.52"/>
    <n v="362.36"/>
    <n v="368.99"/>
    <n v="252.97"/>
    <n v="2098.0700000000002"/>
    <n v="116.02000000000001"/>
  </r>
  <r>
    <x v="11"/>
    <x v="5"/>
    <x v="0"/>
    <s v="4835106"/>
    <n v="721830"/>
    <s v="Supplies-Office"/>
    <s v="Radiology Support Services"/>
    <x v="0"/>
    <m/>
    <n v="221.09"/>
    <n v="113.06"/>
    <n v="235.41"/>
    <n v="251.22"/>
    <n v="220.45"/>
    <n v="0"/>
    <n v="1344.95"/>
    <n v="189.02"/>
    <n v="234.58"/>
    <n v="241.45"/>
    <n v="176.78"/>
    <n v="236.28"/>
    <n v="3464.2900000000004"/>
    <n v="-59.5"/>
  </r>
  <r>
    <x v="11"/>
    <x v="5"/>
    <x v="0"/>
    <s v="4835106"/>
    <n v="721835"/>
    <s v="Supplies-Forms"/>
    <s v="Radiology Support Services"/>
    <x v="0"/>
    <m/>
    <n v="0"/>
    <n v="0"/>
    <n v="0"/>
    <n v="0"/>
    <n v="79.25"/>
    <n v="10.4"/>
    <n v="0"/>
    <n v="0"/>
    <n v="83.45"/>
    <n v="0"/>
    <n v="0"/>
    <n v="0"/>
    <n v="173.10000000000002"/>
    <n v="0"/>
  </r>
  <r>
    <x v="11"/>
    <x v="5"/>
    <x v="0"/>
    <s v="4835106"/>
    <n v="721910"/>
    <s v="Supplies-Small Equipment"/>
    <s v="Radiology Support Services"/>
    <x v="0"/>
    <m/>
    <n v="0"/>
    <n v="688"/>
    <n v="68.8"/>
    <n v="0"/>
    <n v="0"/>
    <n v="0"/>
    <n v="0"/>
    <n v="0"/>
    <n v="0"/>
    <n v="0"/>
    <n v="275.27999999999997"/>
    <n v="0"/>
    <n v="1032.08"/>
    <n v="275.27999999999997"/>
  </r>
  <r>
    <x v="11"/>
    <x v="5"/>
    <x v="0"/>
    <s v="4835106"/>
    <n v="722000"/>
    <s v="Supplies-Freight Expense"/>
    <s v="Radiology Support Services"/>
    <x v="0"/>
    <m/>
    <n v="0"/>
    <n v="72.73"/>
    <n v="0"/>
    <n v="0"/>
    <n v="0"/>
    <n v="32.54"/>
    <n v="0"/>
    <n v="0"/>
    <n v="0"/>
    <n v="21.67"/>
    <n v="0"/>
    <n v="0"/>
    <n v="126.94000000000001"/>
    <n v="0"/>
  </r>
  <r>
    <x v="12"/>
    <x v="5"/>
    <x v="0"/>
    <s v="4835106"/>
    <n v="730020"/>
    <s v="Rental and Leases-Equipment (DO NOT USE)"/>
    <s v="Radiology Support Services"/>
    <x v="0"/>
    <m/>
    <n v="0"/>
    <n v="23760"/>
    <n v="0"/>
    <n v="0"/>
    <n v="0"/>
    <n v="0"/>
    <n v="0"/>
    <n v="0"/>
    <n v="0"/>
    <n v="0"/>
    <n v="0"/>
    <n v="0"/>
    <n v="23760"/>
    <n v="0"/>
  </r>
  <r>
    <x v="12"/>
    <x v="5"/>
    <x v="0"/>
    <s v="4835106"/>
    <n v="730020"/>
    <s v="Rental and Leases-Copier Usage Fees (DO NOT USE)"/>
    <s v="Radiology Support Services"/>
    <x v="0"/>
    <n v="5100"/>
    <n v="1002.41"/>
    <n v="1006.59"/>
    <n v="1004.5"/>
    <n v="1004.5"/>
    <n v="1004.5"/>
    <n v="1004.5"/>
    <n v="-3238.19"/>
    <n v="495.18"/>
    <n v="494.14"/>
    <n v="932.49"/>
    <n v="495.18"/>
    <n v="584.23"/>
    <n v="5790.0300000000007"/>
    <n v="-89.050000000000011"/>
  </r>
  <r>
    <x v="15"/>
    <x v="5"/>
    <x v="0"/>
    <s v="4835106"/>
    <n v="731060"/>
    <s v="Telephone"/>
    <s v="Radiology Support Services"/>
    <x v="0"/>
    <m/>
    <n v="243.25"/>
    <n v="24.33"/>
    <n v="0"/>
    <n v="0"/>
    <n v="0"/>
    <n v="0"/>
    <n v="0"/>
    <n v="0"/>
    <n v="0"/>
    <n v="0"/>
    <n v="0"/>
    <n v="0"/>
    <n v="267.58"/>
    <n v="0"/>
  </r>
  <r>
    <x v="16"/>
    <x v="5"/>
    <x v="0"/>
    <s v="4835106"/>
    <n v="733030"/>
    <s v="Maintenance Contracts-Other"/>
    <s v="Radiology Support Services"/>
    <x v="0"/>
    <m/>
    <n v="0"/>
    <n v="0"/>
    <n v="-51932.24"/>
    <n v="0"/>
    <n v="0"/>
    <n v="0"/>
    <n v="0"/>
    <n v="0"/>
    <n v="0"/>
    <n v="0"/>
    <n v="0"/>
    <n v="0"/>
    <n v="-51932.24"/>
    <n v="0"/>
  </r>
  <r>
    <x v="0"/>
    <x v="5"/>
    <x v="0"/>
    <s v="4835106"/>
    <n v="742030"/>
    <s v="Freight-Courier"/>
    <s v="Radiology Support Services"/>
    <x v="0"/>
    <m/>
    <n v="0"/>
    <n v="57.81"/>
    <n v="0"/>
    <n v="0"/>
    <n v="0"/>
    <n v="84.21"/>
    <n v="0"/>
    <n v="0"/>
    <n v="0"/>
    <n v="0"/>
    <n v="0"/>
    <n v="224.58"/>
    <n v="366.6"/>
    <n v="-224.58"/>
  </r>
  <r>
    <x v="14"/>
    <x v="6"/>
    <x v="0"/>
    <s v="4835107"/>
    <n v="600050"/>
    <s v="Miscellaneous Revenue"/>
    <s v="Radiology Support Services"/>
    <x v="0"/>
    <m/>
    <n v="-650.79"/>
    <n v="-873.96"/>
    <n v="-976.85"/>
    <n v="-1024.0999999999999"/>
    <n v="-773.08"/>
    <n v="-909.97"/>
    <n v="-727.73"/>
    <n v="-572.74"/>
    <n v="-2368.66"/>
    <n v="-866.23"/>
    <n v="-788.21"/>
    <n v="-1155.3699999999999"/>
    <n v="-11687.689999999999"/>
    <n v="367.15999999999985"/>
  </r>
  <r>
    <x v="5"/>
    <x v="6"/>
    <x v="0"/>
    <s v="4835107"/>
    <n v="700014"/>
    <s v="Salaries-Management-Productive"/>
    <s v="Radiology Support Services"/>
    <x v="0"/>
    <m/>
    <n v="16335.83"/>
    <n v="21102.05"/>
    <n v="19378.57"/>
    <n v="17972.55"/>
    <n v="22891.49"/>
    <n v="14009.76"/>
    <n v="19754.36"/>
    <n v="17704.240000000002"/>
    <n v="14888.92"/>
    <n v="12978.76"/>
    <n v="12721.35"/>
    <n v="11088.38"/>
    <n v="200826.26"/>
    <n v="1632.9700000000012"/>
  </r>
  <r>
    <x v="5"/>
    <x v="6"/>
    <x v="0"/>
    <s v="4835107"/>
    <n v="700018"/>
    <s v="Salaries-Supervisory-Productive"/>
    <s v="Radiology Support Services"/>
    <x v="0"/>
    <m/>
    <n v="18541.86"/>
    <n v="19198.07"/>
    <n v="21144.83"/>
    <n v="21295.57"/>
    <n v="19072.990000000002"/>
    <n v="16452.02"/>
    <n v="18779.93"/>
    <n v="14088.81"/>
    <n v="23495.42"/>
    <n v="19750.25"/>
    <n v="18352.490000000002"/>
    <n v="23389.86"/>
    <n v="233562.09999999998"/>
    <n v="-5037.369999999999"/>
  </r>
  <r>
    <x v="5"/>
    <x v="6"/>
    <x v="0"/>
    <s v="4835107"/>
    <n v="700018"/>
    <s v="Salaries-Supervisory-Other"/>
    <s v="Radiology Support Services"/>
    <x v="0"/>
    <n v="2000"/>
    <n v="0"/>
    <n v="0"/>
    <n v="0"/>
    <n v="0"/>
    <n v="0"/>
    <n v="0"/>
    <n v="0"/>
    <n v="0"/>
    <n v="196.7"/>
    <n v="268.23"/>
    <n v="277.19"/>
    <n v="268.25"/>
    <n v="1010.37"/>
    <n v="8.9399999999999977"/>
  </r>
  <r>
    <x v="5"/>
    <x v="6"/>
    <x v="0"/>
    <s v="4835107"/>
    <n v="700034"/>
    <s v="Salaries-Tech/Professional-Productive"/>
    <s v="Radiology Support Services"/>
    <x v="0"/>
    <m/>
    <n v="5491.84"/>
    <n v="742.4"/>
    <n v="0"/>
    <n v="0"/>
    <n v="0"/>
    <n v="0"/>
    <n v="0"/>
    <n v="0"/>
    <n v="0"/>
    <n v="0"/>
    <n v="0"/>
    <n v="0"/>
    <n v="6234.24"/>
    <n v="0"/>
  </r>
  <r>
    <x v="5"/>
    <x v="6"/>
    <x v="0"/>
    <s v="4835107"/>
    <n v="700038"/>
    <s v="Salaries-Service/Support-Productive"/>
    <s v="Radiology Support Services"/>
    <x v="0"/>
    <m/>
    <n v="81506.740000000005"/>
    <n v="80547.210000000006"/>
    <n v="83273.94"/>
    <n v="89902.42"/>
    <n v="99171.95"/>
    <n v="87256.639999999999"/>
    <n v="98594.9"/>
    <n v="81488.94"/>
    <n v="106129.98"/>
    <n v="98539.07"/>
    <n v="97714.14"/>
    <n v="95610.84"/>
    <n v="1099736.77"/>
    <n v="2103.3000000000029"/>
  </r>
  <r>
    <x v="5"/>
    <x v="6"/>
    <x v="0"/>
    <s v="4835107"/>
    <n v="700038"/>
    <s v="Salaries-Service/Support-OT"/>
    <s v="Radiology Support Services"/>
    <x v="0"/>
    <n v="1000"/>
    <n v="1167.5999999999999"/>
    <n v="1172.3699999999999"/>
    <n v="774.74"/>
    <n v="1645.77"/>
    <n v="2481.75"/>
    <n v="2999.54"/>
    <n v="5015.1099999999997"/>
    <n v="1554.62"/>
    <n v="4929.6499999999996"/>
    <n v="3780.64"/>
    <n v="3401.83"/>
    <n v="5396.34"/>
    <n v="34319.960000000006"/>
    <n v="-1994.5100000000002"/>
  </r>
  <r>
    <x v="5"/>
    <x v="6"/>
    <x v="0"/>
    <s v="4835107"/>
    <n v="700038"/>
    <s v="Salaries-Service/Support-Other"/>
    <s v="Radiology Support Services"/>
    <x v="0"/>
    <n v="2000"/>
    <n v="870.55"/>
    <n v="846.55"/>
    <n v="412.43"/>
    <n v="762.57"/>
    <n v="1815.41"/>
    <n v="1294.1300000000001"/>
    <n v="1229.25"/>
    <n v="1128.58"/>
    <n v="1942.97"/>
    <n v="1884.71"/>
    <n v="1706.3"/>
    <n v="1502.78"/>
    <n v="15396.230000000001"/>
    <n v="203.51999999999998"/>
  </r>
  <r>
    <x v="5"/>
    <x v="6"/>
    <x v="0"/>
    <s v="4835107"/>
    <n v="700054"/>
    <s v="Salaries-Management-Non-productive"/>
    <s v="Radiology Support Services"/>
    <x v="0"/>
    <m/>
    <n v="6954"/>
    <n v="2188.84"/>
    <n v="3161.29"/>
    <n v="5782.65"/>
    <n v="204.46"/>
    <n v="9856.85"/>
    <n v="4149.47"/>
    <n v="3884.16"/>
    <n v="9012.7000000000007"/>
    <n v="-2815.71"/>
    <n v="601.66999999999996"/>
    <n v="1805.04"/>
    <n v="44785.42"/>
    <n v="-1203.3699999999999"/>
  </r>
  <r>
    <x v="5"/>
    <x v="6"/>
    <x v="0"/>
    <s v="4835107"/>
    <n v="700058"/>
    <s v="Salaries-Supervisory-Non-productive"/>
    <s v="Radiology Support Services"/>
    <x v="0"/>
    <m/>
    <n v="841.07"/>
    <n v="3736.56"/>
    <n v="1035.04"/>
    <n v="2093.31"/>
    <n v="3669.84"/>
    <n v="7049.66"/>
    <n v="4758.45"/>
    <n v="7169.5"/>
    <n v="40.799999999999997"/>
    <n v="3025.93"/>
    <n v="5183.6499999999996"/>
    <n v="-612.58000000000004"/>
    <n v="37991.229999999996"/>
    <n v="5796.23"/>
  </r>
  <r>
    <x v="5"/>
    <x v="6"/>
    <x v="0"/>
    <s v="4835107"/>
    <n v="700074"/>
    <s v="Salaries-Tech/Professional-Non-productive"/>
    <s v="Radiology Support Services"/>
    <x v="0"/>
    <m/>
    <n v="259.76"/>
    <n v="1298.8"/>
    <n v="0"/>
    <n v="0"/>
    <n v="0"/>
    <n v="0"/>
    <n v="0"/>
    <n v="0"/>
    <n v="0"/>
    <n v="0"/>
    <n v="0"/>
    <n v="0"/>
    <n v="1558.56"/>
    <n v="0"/>
  </r>
  <r>
    <x v="5"/>
    <x v="6"/>
    <x v="0"/>
    <s v="4835107"/>
    <n v="700078"/>
    <s v="Salaries-Service/Support-Non-productive"/>
    <s v="Radiology Support Services"/>
    <x v="0"/>
    <m/>
    <n v="14989.77"/>
    <n v="12828.88"/>
    <n v="8799.09"/>
    <n v="9611.18"/>
    <n v="10720.55"/>
    <n v="25608.2"/>
    <n v="11307.9"/>
    <n v="17182.79"/>
    <n v="11579.17"/>
    <n v="9097.4"/>
    <n v="12208.42"/>
    <n v="8545.51"/>
    <n v="152478.86000000002"/>
    <n v="3662.91"/>
  </r>
  <r>
    <x v="5"/>
    <x v="6"/>
    <x v="0"/>
    <s v="4835107"/>
    <n v="700084"/>
    <s v="Accrued PTO"/>
    <s v="Radiology Support Services"/>
    <x v="0"/>
    <m/>
    <n v="-3739.75"/>
    <n v="-3526.79"/>
    <n v="3726.88"/>
    <n v="3098.96"/>
    <n v="7848.22"/>
    <n v="-17334.37"/>
    <n v="-4570"/>
    <n v="-5878.12"/>
    <n v="5714.02"/>
    <n v="4993.0200000000004"/>
    <n v="3491.79"/>
    <n v="5227.96"/>
    <n v="-948.17999999999665"/>
    <n v="-1736.17"/>
  </r>
  <r>
    <x v="6"/>
    <x v="6"/>
    <x v="0"/>
    <s v="4835107"/>
    <n v="713010"/>
    <s v="Benefits-FICA/Medicare"/>
    <s v="Radiology Support Services"/>
    <x v="0"/>
    <m/>
    <n v="10948.89"/>
    <n v="10624.77"/>
    <n v="10222.040000000001"/>
    <n v="11051.54"/>
    <n v="11034.93"/>
    <n v="11778.42"/>
    <n v="12072.01"/>
    <n v="10633.78"/>
    <n v="12948.92"/>
    <n v="10900.72"/>
    <n v="11261.73"/>
    <n v="10848.42"/>
    <n v="134326.17000000001"/>
    <n v="413.30999999999949"/>
  </r>
  <r>
    <x v="6"/>
    <x v="6"/>
    <x v="0"/>
    <s v="4835107"/>
    <n v="713090"/>
    <s v="Benefits-Allocated Amounts"/>
    <s v="Radiology Support Services"/>
    <x v="0"/>
    <m/>
    <n v="34073.25"/>
    <n v="29345.64"/>
    <n v="32277.72"/>
    <n v="33819"/>
    <n v="42211.17"/>
    <n v="38979.69"/>
    <n v="39147.360000000001"/>
    <n v="36687.61"/>
    <n v="36452.28"/>
    <n v="39894.400000000001"/>
    <n v="37404.26"/>
    <n v="42942.59"/>
    <n v="443234.97"/>
    <n v="-5538.3299999999945"/>
  </r>
  <r>
    <x v="7"/>
    <x v="6"/>
    <x v="0"/>
    <s v="4835107"/>
    <n v="718077"/>
    <s v="PACS"/>
    <s v="Radiology Support Services"/>
    <x v="0"/>
    <n v="1000"/>
    <n v="23305.34"/>
    <n v="24776.080000000002"/>
    <n v="22711.91"/>
    <n v="24614.51"/>
    <n v="23093.94"/>
    <n v="22033.919999999998"/>
    <n v="25851.200000000001"/>
    <n v="20913.5"/>
    <n v="25399.71"/>
    <n v="24591.86"/>
    <n v="25695.67"/>
    <n v="24277.78"/>
    <n v="287265.42000000004"/>
    <n v="1417.8899999999994"/>
  </r>
  <r>
    <x v="11"/>
    <x v="6"/>
    <x v="0"/>
    <s v="4835107"/>
    <n v="721810"/>
    <s v="Supplies-Dietary/Cafeteria"/>
    <s v="Radiology Support Services"/>
    <x v="0"/>
    <m/>
    <n v="0"/>
    <n v="145.96"/>
    <n v="0"/>
    <n v="15.33"/>
    <n v="7.71"/>
    <n v="0"/>
    <n v="8"/>
    <n v="0"/>
    <n v="8"/>
    <n v="8"/>
    <n v="0"/>
    <n v="0"/>
    <n v="193.00000000000003"/>
    <n v="0"/>
  </r>
  <r>
    <x v="11"/>
    <x v="6"/>
    <x v="0"/>
    <s v="4835107"/>
    <n v="721830"/>
    <s v="Supplies-Office"/>
    <s v="Radiology Support Services"/>
    <x v="0"/>
    <m/>
    <n v="0"/>
    <n v="0"/>
    <n v="0"/>
    <n v="0"/>
    <n v="0"/>
    <n v="0"/>
    <n v="0"/>
    <n v="0"/>
    <n v="0"/>
    <n v="0"/>
    <n v="20.14"/>
    <n v="0"/>
    <n v="20.14"/>
    <n v="20.14"/>
  </r>
  <r>
    <x v="11"/>
    <x v="6"/>
    <x v="0"/>
    <s v="4835107"/>
    <n v="721835"/>
    <s v="Supplies-Forms"/>
    <s v="Radiology Support Services"/>
    <x v="0"/>
    <m/>
    <n v="0"/>
    <n v="0"/>
    <n v="0"/>
    <n v="0"/>
    <n v="0"/>
    <n v="0"/>
    <n v="5.05"/>
    <n v="0"/>
    <n v="0"/>
    <n v="0"/>
    <n v="0.2"/>
    <n v="0"/>
    <n v="5.25"/>
    <n v="0.2"/>
  </r>
  <r>
    <x v="13"/>
    <x v="6"/>
    <x v="0"/>
    <s v="4835107"/>
    <n v="735070"/>
    <s v="Depreciation-Movable Equipment"/>
    <s v="Radiology Support Services"/>
    <x v="0"/>
    <m/>
    <n v="436.34"/>
    <n v="436.34"/>
    <n v="436.34"/>
    <n v="1435.51"/>
    <n v="1435.52"/>
    <n v="1435.51"/>
    <n v="1435.52"/>
    <n v="1435.5"/>
    <n v="1435.52"/>
    <n v="1435.5"/>
    <n v="1435.52"/>
    <n v="1435.49"/>
    <n v="14228.61"/>
    <n v="2.9999999999972715E-2"/>
  </r>
  <r>
    <x v="0"/>
    <x v="6"/>
    <x v="0"/>
    <s v="4835107"/>
    <n v="749510"/>
    <s v="Miscellaneous Expenses"/>
    <s v="Radiology Support Services"/>
    <x v="0"/>
    <m/>
    <n v="-84.03"/>
    <n v="-33.799999999999997"/>
    <n v="-202.15"/>
    <n v="0"/>
    <n v="0"/>
    <n v="0"/>
    <n v="0"/>
    <n v="0"/>
    <n v="0"/>
    <n v="0"/>
    <n v="2314.14"/>
    <n v="-2314.14"/>
    <n v="-319.98"/>
    <n v="4628.28"/>
  </r>
  <r>
    <x v="0"/>
    <x v="6"/>
    <x v="0"/>
    <s v="4835107"/>
    <n v="749510"/>
    <s v="RICE Rewards"/>
    <s v="Radiology Support Services"/>
    <x v="0"/>
    <n v="5100"/>
    <n v="0"/>
    <n v="0"/>
    <n v="0"/>
    <n v="0"/>
    <n v="0"/>
    <n v="436.02"/>
    <n v="0"/>
    <n v="0"/>
    <n v="0"/>
    <n v="560.6"/>
    <n v="24.25"/>
    <n v="0"/>
    <n v="1020.87"/>
    <n v="24.25"/>
  </r>
  <r>
    <x v="0"/>
    <x v="6"/>
    <x v="0"/>
    <s v="4835107"/>
    <n v="749530"/>
    <s v="Travel"/>
    <s v="Radiology Support Services"/>
    <x v="0"/>
    <m/>
    <n v="0"/>
    <n v="0"/>
    <n v="55"/>
    <n v="0"/>
    <n v="0"/>
    <n v="0"/>
    <n v="0"/>
    <n v="0"/>
    <n v="0"/>
    <n v="0"/>
    <n v="0"/>
    <n v="5"/>
    <n v="60"/>
    <n v="-5"/>
  </r>
  <r>
    <x v="0"/>
    <x v="6"/>
    <x v="0"/>
    <s v="4835107"/>
    <n v="749530"/>
    <s v="Mileage"/>
    <s v="Radiology Support Services"/>
    <x v="0"/>
    <n v="1001"/>
    <n v="0"/>
    <n v="0"/>
    <n v="147.15"/>
    <n v="0"/>
    <n v="79.599999999999994"/>
    <n v="48.51"/>
    <n v="0"/>
    <n v="0"/>
    <n v="64.38"/>
    <n v="0"/>
    <n v="56.26"/>
    <n v="91.06"/>
    <n v="486.96"/>
    <n v="-34.800000000000004"/>
  </r>
  <r>
    <x v="5"/>
    <x v="7"/>
    <x v="0"/>
    <s v="4835150"/>
    <n v="700014"/>
    <s v="Salaries-Management-Productive"/>
    <s v="Radiology Support Services"/>
    <x v="0"/>
    <m/>
    <n v="6959.31"/>
    <n v="8474.98"/>
    <n v="7240.38"/>
    <n v="5662.2"/>
    <n v="9812.7800000000007"/>
    <n v="6895.78"/>
    <n v="7939.28"/>
    <n v="7997.68"/>
    <n v="7909.2"/>
    <n v="7731.89"/>
    <n v="9443.7900000000009"/>
    <n v="7142.05"/>
    <n v="93209.319999999992"/>
    <n v="2301.7400000000007"/>
  </r>
  <r>
    <x v="5"/>
    <x v="7"/>
    <x v="0"/>
    <s v="4835150"/>
    <n v="700038"/>
    <s v="Salaries-Service/Support-Productive"/>
    <s v="Radiology Support Services"/>
    <x v="0"/>
    <m/>
    <n v="4363.53"/>
    <n v="5254.79"/>
    <n v="6909.64"/>
    <n v="6802.31"/>
    <n v="5765.4"/>
    <n v="6712.15"/>
    <n v="6673.65"/>
    <n v="5606.59"/>
    <n v="6203.43"/>
    <n v="6660.52"/>
    <n v="8584.69"/>
    <n v="5455.92"/>
    <n v="74992.62"/>
    <n v="3128.7700000000004"/>
  </r>
  <r>
    <x v="5"/>
    <x v="7"/>
    <x v="0"/>
    <s v="4835150"/>
    <n v="700038"/>
    <s v="Salaries-Service/Support-OT"/>
    <s v="Radiology Support Services"/>
    <x v="0"/>
    <n v="1000"/>
    <n v="255.41"/>
    <n v="144.62"/>
    <n v="70.459999999999994"/>
    <n v="193.57"/>
    <n v="717.88"/>
    <n v="-245.74"/>
    <n v="203.19"/>
    <n v="164.78"/>
    <n v="591.35"/>
    <n v="550.57000000000005"/>
    <n v="-117.54"/>
    <n v="763"/>
    <n v="3291.55"/>
    <n v="-880.54"/>
  </r>
  <r>
    <x v="5"/>
    <x v="7"/>
    <x v="0"/>
    <s v="4835150"/>
    <n v="700038"/>
    <s v="Salaries-Service/Support-Other"/>
    <s v="Radiology Support Services"/>
    <x v="0"/>
    <n v="2000"/>
    <n v="228.06"/>
    <n v="168.11"/>
    <n v="95.75"/>
    <n v="-39.950000000000003"/>
    <n v="63.11"/>
    <n v="-3"/>
    <n v="-1.1299999999999999"/>
    <n v="6.4"/>
    <n v="-1.68"/>
    <n v="0"/>
    <n v="10.5"/>
    <n v="-0.38"/>
    <n v="525.79000000000008"/>
    <n v="10.88"/>
  </r>
  <r>
    <x v="5"/>
    <x v="7"/>
    <x v="0"/>
    <s v="4835150"/>
    <n v="700054"/>
    <s v="Salaries-Management-Non-productive"/>
    <s v="Radiology Support Services"/>
    <x v="0"/>
    <m/>
    <n v="1739.82"/>
    <n v="224.58"/>
    <n v="1178.6400000000001"/>
    <n v="3204.58"/>
    <n v="-891.4"/>
    <n v="2239.54"/>
    <n v="1184.47"/>
    <n v="265.64"/>
    <n v="1239.5"/>
    <n v="1121.4100000000001"/>
    <n v="-295.08"/>
    <n v="1711.66"/>
    <n v="12923.359999999999"/>
    <n v="-2006.74"/>
  </r>
  <r>
    <x v="5"/>
    <x v="7"/>
    <x v="0"/>
    <s v="4835150"/>
    <n v="700054"/>
    <s v="Salaries-Management-NonProd-Other"/>
    <s v="Radiology Support Services"/>
    <x v="0"/>
    <n v="2000"/>
    <n v="0"/>
    <n v="0"/>
    <n v="0"/>
    <n v="0"/>
    <n v="858.32"/>
    <n v="1716.64"/>
    <n v="0"/>
    <n v="-2574.96"/>
    <n v="0"/>
    <n v="0"/>
    <n v="0"/>
    <n v="0"/>
    <n v="0"/>
    <n v="0"/>
  </r>
  <r>
    <x v="5"/>
    <x v="7"/>
    <x v="0"/>
    <s v="4835150"/>
    <n v="700078"/>
    <s v="Salaries-Service/Support-Non-productive"/>
    <s v="Radiology Support Services"/>
    <x v="0"/>
    <m/>
    <n v="4026.29"/>
    <n v="2837.57"/>
    <n v="780.15"/>
    <n v="416.1"/>
    <n v="1745.89"/>
    <n v="662.09"/>
    <n v="499.66"/>
    <n v="953.59"/>
    <n v="452.7"/>
    <n v="1567.47"/>
    <n v="-11.14"/>
    <n v="2656.8"/>
    <n v="16587.170000000002"/>
    <n v="-2667.94"/>
  </r>
  <r>
    <x v="5"/>
    <x v="7"/>
    <x v="0"/>
    <s v="4835150"/>
    <n v="700084"/>
    <s v="Accrued PTO"/>
    <s v="Radiology Support Services"/>
    <x v="0"/>
    <m/>
    <n v="-3425.46"/>
    <n v="-1262.07"/>
    <n v="-264.08"/>
    <n v="-651.28"/>
    <n v="752.6"/>
    <n v="-494.42"/>
    <n v="184.43"/>
    <n v="768.15"/>
    <n v="588.03"/>
    <n v="-60.38"/>
    <n v="1769.62"/>
    <n v="-804.71"/>
    <n v="-2899.5699999999997"/>
    <n v="2574.33"/>
  </r>
  <r>
    <x v="6"/>
    <x v="7"/>
    <x v="0"/>
    <s v="4835150"/>
    <n v="713010"/>
    <s v="Benefits-FICA/Medicare"/>
    <s v="Radiology Support Services"/>
    <x v="0"/>
    <m/>
    <n v="1252.57"/>
    <n v="1216.78"/>
    <n v="1156.29"/>
    <n v="1150.5899999999999"/>
    <n v="1435.77"/>
    <n v="1224.42"/>
    <n v="1171.98"/>
    <n v="1065.72"/>
    <n v="1164.1300000000001"/>
    <n v="1255.95"/>
    <n v="1246.76"/>
    <n v="1263.8599999999999"/>
    <n v="14604.820000000002"/>
    <n v="-17.099999999999909"/>
  </r>
  <r>
    <x v="6"/>
    <x v="7"/>
    <x v="0"/>
    <s v="4835150"/>
    <n v="713090"/>
    <s v="Benefits-Allocated Amounts"/>
    <s v="Radiology Support Services"/>
    <x v="0"/>
    <m/>
    <n v="4288.68"/>
    <n v="3619.27"/>
    <n v="3997.61"/>
    <n v="3781.97"/>
    <n v="4072.17"/>
    <n v="3644.32"/>
    <n v="3879.51"/>
    <n v="3188.87"/>
    <n v="3293.97"/>
    <n v="4354.43"/>
    <n v="4233.08"/>
    <n v="4472.9399999999996"/>
    <n v="46826.82"/>
    <n v="-239.85999999999967"/>
  </r>
  <r>
    <x v="17"/>
    <x v="7"/>
    <x v="0"/>
    <s v="4835150"/>
    <n v="714510"/>
    <s v="Medical Director Fees"/>
    <s v="Radiology Support Services"/>
    <x v="0"/>
    <m/>
    <n v="784"/>
    <n v="1400"/>
    <n v="392"/>
    <n v="630"/>
    <n v="910"/>
    <n v="840"/>
    <n v="770"/>
    <n v="805"/>
    <n v="0"/>
    <n v="840"/>
    <n v="1645"/>
    <n v="840"/>
    <n v="9856"/>
    <n v="805"/>
  </r>
  <r>
    <x v="7"/>
    <x v="7"/>
    <x v="0"/>
    <s v="4835150"/>
    <n v="718091"/>
    <s v="Contract Services-Intracompany Allocation"/>
    <s v="Radiology Support Services"/>
    <x v="0"/>
    <m/>
    <n v="2005.58"/>
    <n v="1936.97"/>
    <n v="2132.37"/>
    <n v="2051.4699999999998"/>
    <n v="2155.15"/>
    <n v="1825.54"/>
    <n v="2049.38"/>
    <n v="1969.86"/>
    <n v="2189.86"/>
    <n v="2145.42"/>
    <n v="4191.17"/>
    <n v="2083.4699999999998"/>
    <n v="26736.239999999998"/>
    <n v="2107.7000000000003"/>
  </r>
  <r>
    <x v="11"/>
    <x v="7"/>
    <x v="0"/>
    <s v="4835150"/>
    <n v="721810"/>
    <s v="Supplies-Dietary/Cafeteria"/>
    <s v="Radiology Support Services"/>
    <x v="0"/>
    <m/>
    <n v="70.52"/>
    <n v="84.18"/>
    <n v="116.42"/>
    <n v="132.66"/>
    <n v="79.709999999999994"/>
    <n v="191.99"/>
    <n v="204.92"/>
    <n v="116.61"/>
    <n v="155"/>
    <n v="128.6"/>
    <n v="218.77"/>
    <n v="114.8"/>
    <n v="1614.1799999999998"/>
    <n v="103.97000000000001"/>
  </r>
  <r>
    <x v="11"/>
    <x v="7"/>
    <x v="0"/>
    <s v="4835150"/>
    <n v="721835"/>
    <s v="Supplies-Forms"/>
    <s v="Radiology Support Services"/>
    <x v="0"/>
    <m/>
    <n v="0"/>
    <n v="0"/>
    <n v="0"/>
    <n v="0"/>
    <n v="26.4"/>
    <n v="4"/>
    <n v="0"/>
    <n v="0"/>
    <n v="0"/>
    <n v="9"/>
    <n v="0"/>
    <n v="51.6"/>
    <n v="91"/>
    <n v="-51.6"/>
  </r>
  <r>
    <x v="11"/>
    <x v="7"/>
    <x v="0"/>
    <s v="4835150"/>
    <n v="722000"/>
    <s v="Supplies-Freight Expense"/>
    <s v="Radiology Support Services"/>
    <x v="0"/>
    <m/>
    <n v="0"/>
    <n v="0"/>
    <n v="0"/>
    <n v="0"/>
    <n v="0"/>
    <n v="0"/>
    <n v="0"/>
    <n v="0"/>
    <n v="9.85"/>
    <n v="0"/>
    <n v="0"/>
    <n v="0"/>
    <n v="9.85"/>
    <n v="0"/>
  </r>
  <r>
    <x v="5"/>
    <x v="9"/>
    <x v="0"/>
    <s v="4835501"/>
    <n v="700014"/>
    <s v="Salaries-Management-Productive"/>
    <s v="Regional Radiology Support"/>
    <x v="0"/>
    <m/>
    <n v="12689.24"/>
    <n v="15487.7"/>
    <n v="14288.86"/>
    <n v="9414.17"/>
    <n v="18222.2"/>
    <n v="8213.33"/>
    <n v="14291.72"/>
    <n v="12440.5"/>
    <n v="25204.19"/>
    <n v="21867.22"/>
    <n v="25500.07"/>
    <n v="23161.17"/>
    <n v="200780.37"/>
    <n v="2338.9000000000015"/>
  </r>
  <r>
    <x v="5"/>
    <x v="9"/>
    <x v="0"/>
    <s v="4835501"/>
    <n v="700014"/>
    <s v="Salaries-Management-Other"/>
    <s v="Regional Radiology Support"/>
    <x v="0"/>
    <n v="2000"/>
    <n v="0"/>
    <n v="0"/>
    <n v="0"/>
    <n v="0"/>
    <n v="0"/>
    <n v="0"/>
    <n v="0"/>
    <n v="0"/>
    <n v="450.65"/>
    <n v="375.55"/>
    <n v="388.08"/>
    <n v="375.56"/>
    <n v="1589.84"/>
    <n v="12.519999999999982"/>
  </r>
  <r>
    <x v="5"/>
    <x v="9"/>
    <x v="0"/>
    <s v="4835501"/>
    <n v="700034"/>
    <s v="Salaries-Tech/Professional-Productive"/>
    <s v="Regional Radiology Support"/>
    <x v="0"/>
    <m/>
    <n v="8527.83"/>
    <n v="5474.4"/>
    <n v="576.32000000000005"/>
    <n v="10955.44"/>
    <n v="8859.2000000000007"/>
    <n v="6497.04"/>
    <n v="8104.05"/>
    <n v="7719"/>
    <n v="-1330.69"/>
    <n v="0"/>
    <n v="0"/>
    <n v="0"/>
    <n v="55382.590000000004"/>
    <n v="0"/>
  </r>
  <r>
    <x v="5"/>
    <x v="9"/>
    <x v="0"/>
    <s v="4835501"/>
    <n v="700038"/>
    <s v="Salaries-Service/Support-Productive"/>
    <s v="Regional Radiology Support"/>
    <x v="0"/>
    <m/>
    <n v="4079.79"/>
    <n v="4692.05"/>
    <n v="4394.59"/>
    <n v="4817.51"/>
    <n v="4757.28"/>
    <n v="2713.39"/>
    <n v="5108"/>
    <n v="3351.01"/>
    <n v="4659.6899999999996"/>
    <n v="5117.4799999999996"/>
    <n v="4917.99"/>
    <n v="4807.3500000000004"/>
    <n v="53416.130000000005"/>
    <n v="110.63999999999942"/>
  </r>
  <r>
    <x v="5"/>
    <x v="9"/>
    <x v="0"/>
    <s v="4835501"/>
    <n v="700054"/>
    <s v="Salaries-Management-Non-productive"/>
    <s v="Regional Radiology Support"/>
    <x v="0"/>
    <m/>
    <n v="2797.76"/>
    <n v="0"/>
    <n v="699.44"/>
    <n v="6416.37"/>
    <n v="-2823.17"/>
    <n v="7699.5"/>
    <n v="1645.98"/>
    <n v="1953.37"/>
    <n v="1378.72"/>
    <n v="2426.5300000000002"/>
    <n v="-395.65"/>
    <n v="1133.72"/>
    <n v="22932.57"/>
    <n v="-1529.37"/>
  </r>
  <r>
    <x v="5"/>
    <x v="9"/>
    <x v="0"/>
    <s v="4835501"/>
    <n v="700074"/>
    <s v="Salaries-Tech/Professional-Non-productive"/>
    <s v="Regional Radiology Support"/>
    <x v="0"/>
    <m/>
    <n v="403.36"/>
    <n v="3457.19"/>
    <n v="4898.08"/>
    <n v="-691.43"/>
    <n v="0"/>
    <n v="2657.75"/>
    <n v="1065.02"/>
    <n v="561.88"/>
    <n v="-147.84"/>
    <n v="0"/>
    <n v="0"/>
    <n v="0"/>
    <n v="12204.01"/>
    <n v="0"/>
  </r>
  <r>
    <x v="5"/>
    <x v="9"/>
    <x v="0"/>
    <s v="4835501"/>
    <n v="700078"/>
    <s v="Salaries-Service/Support-Non-productive"/>
    <s v="Regional Radiology Support"/>
    <x v="0"/>
    <m/>
    <n v="1190"/>
    <n v="577.98"/>
    <n v="705.51"/>
    <n v="536.83000000000004"/>
    <n v="443.72"/>
    <n v="2661.17"/>
    <n v="274.94"/>
    <n v="1510.52"/>
    <n v="722.75"/>
    <n v="91.15"/>
    <n v="464.44"/>
    <n v="401.53"/>
    <n v="9580.5400000000009"/>
    <n v="62.910000000000025"/>
  </r>
  <r>
    <x v="5"/>
    <x v="9"/>
    <x v="0"/>
    <s v="4835501"/>
    <n v="700084"/>
    <s v="Accrued PTO"/>
    <s v="Regional Radiology Support"/>
    <x v="0"/>
    <m/>
    <n v="714.14"/>
    <n v="-123.51"/>
    <n v="-4199.49"/>
    <n v="228.46"/>
    <n v="3253.34"/>
    <n v="-5070.91"/>
    <n v="-141.97999999999999"/>
    <n v="629.26"/>
    <n v="2053.29"/>
    <n v="1766.23"/>
    <n v="2251.42"/>
    <n v="1556.9"/>
    <n v="2917.1500000000015"/>
    <n v="694.52"/>
  </r>
  <r>
    <x v="6"/>
    <x v="9"/>
    <x v="0"/>
    <s v="4835501"/>
    <n v="713010"/>
    <s v="Benefits-FICA/Medicare"/>
    <s v="Regional Radiology Support"/>
    <x v="0"/>
    <m/>
    <n v="2246.27"/>
    <n v="2248.16"/>
    <n v="1468.98"/>
    <n v="1336.14"/>
    <n v="1288.22"/>
    <n v="1833.54"/>
    <n v="2305.63"/>
    <n v="2082.34"/>
    <n v="2339.92"/>
    <n v="2260.04"/>
    <n v="2334.9899999999998"/>
    <n v="2259.8200000000002"/>
    <n v="24004.050000000003"/>
    <n v="75.169999999999618"/>
  </r>
  <r>
    <x v="6"/>
    <x v="9"/>
    <x v="0"/>
    <s v="4835501"/>
    <n v="713090"/>
    <s v="Benefits-Allocated Amounts"/>
    <s v="Regional Radiology Support"/>
    <x v="0"/>
    <m/>
    <n v="4444.8500000000004"/>
    <n v="4055.81"/>
    <n v="3538.21"/>
    <n v="4267.6400000000003"/>
    <n v="4001.91"/>
    <n v="4255.3599999999997"/>
    <n v="4679.2299999999996"/>
    <n v="4431.01"/>
    <n v="5222.25"/>
    <n v="4758.95"/>
    <n v="4882.0600000000004"/>
    <n v="4765.6000000000004"/>
    <n v="53302.87999999999"/>
    <n v="116.46000000000004"/>
  </r>
  <r>
    <x v="6"/>
    <x v="9"/>
    <x v="0"/>
    <s v="4835501"/>
    <n v="713096"/>
    <s v="Employee Recognition"/>
    <s v="Regional Radiology Support"/>
    <x v="0"/>
    <n v="1017"/>
    <n v="0"/>
    <n v="0"/>
    <n v="0"/>
    <n v="0"/>
    <n v="702.22"/>
    <n v="0"/>
    <n v="0"/>
    <n v="0"/>
    <n v="0"/>
    <n v="0"/>
    <n v="157.24"/>
    <n v="0"/>
    <n v="859.46"/>
    <n v="157.24"/>
  </r>
  <r>
    <x v="7"/>
    <x v="9"/>
    <x v="0"/>
    <s v="4835501"/>
    <n v="718050"/>
    <s v="Miscellaneous Purchased Svcs"/>
    <s v="Regional Radiology Support"/>
    <x v="0"/>
    <n v="1020"/>
    <n v="0"/>
    <n v="0"/>
    <n v="12571.07"/>
    <n v="279.37"/>
    <n v="0"/>
    <n v="1873.93"/>
    <n v="0"/>
    <n v="355.63"/>
    <n v="0"/>
    <n v="1066.8900000000001"/>
    <n v="37113.61"/>
    <n v="0"/>
    <n v="53260.5"/>
    <n v="37113.61"/>
  </r>
  <r>
    <x v="11"/>
    <x v="9"/>
    <x v="0"/>
    <s v="4835501"/>
    <n v="721810"/>
    <s v="Supplies-Dietary/Cafeteria"/>
    <s v="Regional Radiology Support"/>
    <x v="0"/>
    <m/>
    <n v="47.17"/>
    <n v="0"/>
    <n v="0"/>
    <n v="7.16"/>
    <n v="0"/>
    <n v="0"/>
    <n v="0"/>
    <n v="0"/>
    <n v="0"/>
    <n v="0"/>
    <n v="0"/>
    <n v="0"/>
    <n v="54.33"/>
    <n v="0"/>
  </r>
  <r>
    <x v="0"/>
    <x v="9"/>
    <x v="0"/>
    <s v="4835501"/>
    <n v="743030"/>
    <s v="Subscriptions--Institutional"/>
    <s v="Regional Radiology Support"/>
    <x v="0"/>
    <m/>
    <n v="0"/>
    <n v="0"/>
    <n v="546.73"/>
    <n v="0"/>
    <n v="1205.22"/>
    <n v="310.51"/>
    <n v="196.44"/>
    <n v="1444.4"/>
    <n v="0"/>
    <n v="0"/>
    <n v="0"/>
    <n v="0"/>
    <n v="3703.3"/>
    <n v="0"/>
  </r>
  <r>
    <x v="0"/>
    <x v="9"/>
    <x v="0"/>
    <s v="4835501"/>
    <n v="749510"/>
    <s v="Miscellaneous Expenses"/>
    <s v="Regional Radiology Support"/>
    <x v="0"/>
    <m/>
    <n v="0"/>
    <n v="0"/>
    <n v="0"/>
    <n v="0"/>
    <n v="0"/>
    <n v="0"/>
    <n v="422.34"/>
    <n v="-422.34"/>
    <n v="0"/>
    <n v="0"/>
    <n v="0"/>
    <n v="121.22"/>
    <n v="121.22"/>
    <n v="-121.22"/>
  </r>
  <r>
    <x v="0"/>
    <x v="9"/>
    <x v="0"/>
    <s v="4835501"/>
    <n v="749510"/>
    <s v="Licenses"/>
    <s v="Regional Radiology Support"/>
    <x v="0"/>
    <n v="1002"/>
    <n v="0"/>
    <n v="0"/>
    <n v="0"/>
    <n v="0"/>
    <n v="0"/>
    <n v="68"/>
    <n v="0"/>
    <n v="0"/>
    <n v="0"/>
    <n v="0"/>
    <n v="0"/>
    <n v="0"/>
    <n v="68"/>
    <n v="0"/>
  </r>
  <r>
    <x v="0"/>
    <x v="9"/>
    <x v="0"/>
    <s v="4835501"/>
    <n v="749530"/>
    <s v="Travel"/>
    <s v="Regional Radiology Support"/>
    <x v="0"/>
    <m/>
    <n v="0"/>
    <n v="0"/>
    <n v="0"/>
    <n v="422.6"/>
    <n v="0"/>
    <n v="93.73"/>
    <n v="0"/>
    <n v="422.34"/>
    <n v="0"/>
    <n v="0"/>
    <n v="0"/>
    <n v="0"/>
    <n v="938.67000000000007"/>
    <n v="0"/>
  </r>
  <r>
    <x v="5"/>
    <x v="6"/>
    <x v="0"/>
    <s v="4836107"/>
    <n v="700054"/>
    <s v="Salaries-Management-NonProd-Other"/>
    <s v="HARR Imaging Support Services"/>
    <x v="0"/>
    <n v="2000"/>
    <n v="0"/>
    <n v="0"/>
    <n v="0"/>
    <n v="0"/>
    <n v="0"/>
    <n v="28.74"/>
    <n v="-28.74"/>
    <n v="0"/>
    <n v="0"/>
    <n v="0"/>
    <n v="0"/>
    <n v="0"/>
    <n v="0"/>
    <n v="0"/>
  </r>
  <r>
    <x v="6"/>
    <x v="6"/>
    <x v="0"/>
    <s v="4836107"/>
    <n v="713010"/>
    <s v="Benefits-FICA/Medicare"/>
    <s v="HARR Imaging Support Services"/>
    <x v="0"/>
    <m/>
    <n v="0"/>
    <n v="0"/>
    <n v="0"/>
    <n v="0"/>
    <n v="0"/>
    <n v="2.2000000000000002"/>
    <n v="2.2000000000000002"/>
    <n v="0"/>
    <n v="0"/>
    <n v="0"/>
    <n v="0"/>
    <n v="0"/>
    <n v="4.4000000000000004"/>
    <n v="0"/>
  </r>
  <r>
    <x v="11"/>
    <x v="6"/>
    <x v="0"/>
    <s v="4836107"/>
    <n v="721810"/>
    <s v="Supplies-Dietary/Cafeteria"/>
    <s v="HARR Imaging Support Services"/>
    <x v="0"/>
    <m/>
    <n v="0"/>
    <n v="0"/>
    <n v="0"/>
    <n v="0"/>
    <n v="0"/>
    <n v="0"/>
    <n v="0"/>
    <n v="0"/>
    <n v="8"/>
    <n v="0"/>
    <n v="0"/>
    <n v="0"/>
    <n v="8"/>
    <n v="0"/>
  </r>
  <r>
    <x v="18"/>
    <x v="3"/>
    <x v="0"/>
    <s v="4845101"/>
    <n v="400010"/>
    <s v="Acute I/P Svcs Rev--Medicare"/>
    <s v="Ultrasound"/>
    <x v="0"/>
    <n v="1100"/>
    <n v="-156187.57"/>
    <n v="-152425.51"/>
    <n v="-141134.31"/>
    <n v="-167697.23000000001"/>
    <n v="-171879.62"/>
    <n v="-145202.29"/>
    <n v="-140972.23000000001"/>
    <n v="-142701.15"/>
    <n v="-178856.77"/>
    <n v="-219094.8"/>
    <n v="-189001.15"/>
    <n v="-167226.35999999999"/>
    <n v="-1972378.9899999998"/>
    <n v="-21774.790000000008"/>
  </r>
  <r>
    <x v="18"/>
    <x v="3"/>
    <x v="0"/>
    <s v="4845101"/>
    <n v="400010"/>
    <s v="Acute I/P Svcs Rev--Medicaid"/>
    <s v="Ultrasound"/>
    <x v="0"/>
    <n v="1200"/>
    <n v="-57390.16"/>
    <n v="-63751.83"/>
    <n v="-60321.440000000002"/>
    <n v="-81242.22"/>
    <n v="-74418.509999999995"/>
    <n v="-61278.58"/>
    <n v="-81717.759999999995"/>
    <n v="-50466.48"/>
    <n v="-78690.86"/>
    <n v="-84311.8"/>
    <n v="-69966.45"/>
    <n v="-103652.09"/>
    <n v="-867208.18"/>
    <n v="33685.64"/>
  </r>
  <r>
    <x v="18"/>
    <x v="3"/>
    <x v="0"/>
    <s v="4845101"/>
    <n v="400010"/>
    <s v="Acute I/P Svcs Rev--Comm Insurance"/>
    <s v="Ultrasound"/>
    <x v="0"/>
    <n v="1300"/>
    <n v="1422.98"/>
    <n v="-7669.62"/>
    <n v="-15028.71"/>
    <n v="-4684.1000000000004"/>
    <n v="-4686.72"/>
    <n v="-2239.5"/>
    <n v="-1470.42"/>
    <n v="-3341"/>
    <n v="-6023.09"/>
    <n v="1544.74"/>
    <n v="-8144.68"/>
    <n v="4409.62"/>
    <n v="-45910.499999999993"/>
    <n v="-12554.3"/>
  </r>
  <r>
    <x v="18"/>
    <x v="3"/>
    <x v="0"/>
    <s v="4845101"/>
    <n v="400010"/>
    <s v="Acute I/P Svcs Rev--BCBS Comm"/>
    <s v="Ultrasound"/>
    <x v="0"/>
    <n v="1301"/>
    <n v="-8944.74"/>
    <n v="-8952.2999999999993"/>
    <n v="-11061.65"/>
    <n v="-5139.54"/>
    <n v="-2075.2199999999998"/>
    <n v="-17333.82"/>
    <n v="-9090.7999999999993"/>
    <n v="-8019.12"/>
    <n v="-2796.45"/>
    <n v="-8212.48"/>
    <n v="-19385.25"/>
    <n v="-12451.18"/>
    <n v="-113462.54999999999"/>
    <n v="-6934.07"/>
  </r>
  <r>
    <x v="18"/>
    <x v="3"/>
    <x v="0"/>
    <s v="4845101"/>
    <n v="400010"/>
    <s v="Acute I/P Svcs Rev--Managed Care"/>
    <s v="Ultrasound"/>
    <x v="0"/>
    <n v="1400"/>
    <n v="-67237.27"/>
    <n v="-73094.289999999994"/>
    <n v="-48435.44"/>
    <n v="-53499.1"/>
    <n v="-54000.62"/>
    <n v="-54787.88"/>
    <n v="-56220.07"/>
    <n v="-40811.56"/>
    <n v="-48625.32"/>
    <n v="-52055.21"/>
    <n v="-48073.68"/>
    <n v="-55252.04"/>
    <n v="-652092.4800000001"/>
    <n v="7178.3600000000006"/>
  </r>
  <r>
    <x v="18"/>
    <x v="3"/>
    <x v="0"/>
    <s v="4845101"/>
    <n v="400010"/>
    <s v="Acute I/P Svcs Rev--Self Pay"/>
    <s v="Ultrasound"/>
    <x v="0"/>
    <n v="1500"/>
    <n v="-2371.44"/>
    <n v="-11525.68"/>
    <n v="-9159.24"/>
    <n v="-109.32"/>
    <n v="-3603.6"/>
    <n v="18.52"/>
    <n v="-7406.05"/>
    <n v="-933.12"/>
    <n v="-2071.29"/>
    <n v="-6178.83"/>
    <n v="-933.12"/>
    <n v="-1251.08"/>
    <n v="-45524.250000000007"/>
    <n v="317.95999999999992"/>
  </r>
  <r>
    <x v="18"/>
    <x v="3"/>
    <x v="0"/>
    <s v="4845101"/>
    <n v="400010"/>
    <s v="Acute I/P Svcs Rev--Other"/>
    <s v="Ultrasound"/>
    <x v="0"/>
    <n v="1700"/>
    <n v="-13494.06"/>
    <n v="-19492.54"/>
    <n v="-4014.36"/>
    <n v="-8746.44"/>
    <n v="-4949.28"/>
    <n v="-15655.4"/>
    <n v="-10514.1"/>
    <n v="-8430"/>
    <n v="-12205.62"/>
    <n v="-12018.32"/>
    <n v="-14961.52"/>
    <n v="-4993.4399999999996"/>
    <n v="-129475.08"/>
    <n v="-9968.0800000000017"/>
  </r>
  <r>
    <x v="19"/>
    <x v="3"/>
    <x v="0"/>
    <s v="4845101"/>
    <n v="400020"/>
    <s v="O/P Care Svcs Rev--Medicare"/>
    <s v="Ultrasound"/>
    <x v="0"/>
    <n v="1100"/>
    <n v="-189295.6"/>
    <n v="-203893.06"/>
    <n v="-159600.09"/>
    <n v="-179534.88"/>
    <n v="-160716.74"/>
    <n v="-164711.12"/>
    <n v="-201957.83"/>
    <n v="-149263.67999999999"/>
    <n v="-183101.23"/>
    <n v="-189659.22"/>
    <n v="-228330.36"/>
    <n v="-189246.37"/>
    <n v="-2199310.1800000002"/>
    <n v="-39083.989999999991"/>
  </r>
  <r>
    <x v="19"/>
    <x v="3"/>
    <x v="0"/>
    <s v="4845101"/>
    <n v="400020"/>
    <s v="O/P Care Svcs Rev--Medicaid"/>
    <s v="Ultrasound"/>
    <x v="0"/>
    <n v="1200"/>
    <n v="-222902.47"/>
    <n v="-256947.96"/>
    <n v="-210098.27"/>
    <n v="-222838.74"/>
    <n v="-181725.18"/>
    <n v="-180205.05"/>
    <n v="-183768.33"/>
    <n v="-148247.26"/>
    <n v="-200247.86"/>
    <n v="-162800"/>
    <n v="-255616.59"/>
    <n v="-204291.29"/>
    <n v="-2429689"/>
    <n v="-51325.299999999988"/>
  </r>
  <r>
    <x v="19"/>
    <x v="3"/>
    <x v="0"/>
    <s v="4845101"/>
    <n v="400020"/>
    <s v="O/P Care Svcs Rev--Comm Insurance"/>
    <s v="Ultrasound"/>
    <x v="0"/>
    <n v="1300"/>
    <n v="-28437.68"/>
    <n v="-33214.76"/>
    <n v="-36252.89"/>
    <n v="-39672.89"/>
    <n v="-28501.9"/>
    <n v="-11328.24"/>
    <n v="-28158.16"/>
    <n v="-24039.99"/>
    <n v="-18341.43"/>
    <n v="-28366.87"/>
    <n v="-37292.54"/>
    <n v="-27221.51"/>
    <n v="-340828.86"/>
    <n v="-10071.030000000002"/>
  </r>
  <r>
    <x v="19"/>
    <x v="3"/>
    <x v="0"/>
    <s v="4845101"/>
    <n v="400020"/>
    <s v="O/P Care Svcs Rev--BCBS Comm"/>
    <s v="Ultrasound"/>
    <x v="0"/>
    <n v="1301"/>
    <n v="-62715.55"/>
    <n v="-48866.15"/>
    <n v="-52982.37"/>
    <n v="-57879.57"/>
    <n v="-67310.58"/>
    <n v="-30964.560000000001"/>
    <n v="-48316.800000000003"/>
    <n v="-37981.35"/>
    <n v="-49036.9"/>
    <n v="-37402.120000000003"/>
    <n v="-71604.460000000006"/>
    <n v="-46550.85"/>
    <n v="-611611.26"/>
    <n v="-25053.610000000008"/>
  </r>
  <r>
    <x v="19"/>
    <x v="3"/>
    <x v="0"/>
    <s v="4845101"/>
    <n v="400020"/>
    <s v="O/P Care Svcs Rev--Managed Care"/>
    <s v="Ultrasound"/>
    <x v="0"/>
    <n v="1400"/>
    <n v="-166494.25"/>
    <n v="-182717.7"/>
    <n v="-169472.89"/>
    <n v="-191907.63"/>
    <n v="-183793.2"/>
    <n v="-156652.57"/>
    <n v="-162950.34"/>
    <n v="-163785.9"/>
    <n v="-153728.45000000001"/>
    <n v="-161654.87"/>
    <n v="-195687.67999999999"/>
    <n v="-141644.16"/>
    <n v="-2030489.6399999997"/>
    <n v="-54043.51999999999"/>
  </r>
  <r>
    <x v="19"/>
    <x v="3"/>
    <x v="0"/>
    <s v="4845101"/>
    <n v="400020"/>
    <s v="O/P Care Svcs Rev--Self Pay"/>
    <s v="Ultrasound"/>
    <x v="0"/>
    <n v="1500"/>
    <n v="-19016.419999999998"/>
    <n v="-20070.75"/>
    <n v="-20390.96"/>
    <n v="-20631.45"/>
    <n v="-16490.580000000002"/>
    <n v="-20966.72"/>
    <n v="-13241.96"/>
    <n v="-12756.47"/>
    <n v="-10967.87"/>
    <n v="-13031.97"/>
    <n v="-14474.85"/>
    <n v="-25239.94"/>
    <n v="-207279.94"/>
    <n v="10765.089999999998"/>
  </r>
  <r>
    <x v="19"/>
    <x v="3"/>
    <x v="0"/>
    <s v="4845101"/>
    <n v="400020"/>
    <s v="O/P Care Svcs Rev--Other"/>
    <s v="Ultrasound"/>
    <x v="0"/>
    <n v="1700"/>
    <n v="-21557.37"/>
    <n v="-43515.18"/>
    <n v="-19791.21"/>
    <n v="-25846.41"/>
    <n v="-36601.65"/>
    <n v="-24592.01"/>
    <n v="-25880.400000000001"/>
    <n v="-23200.25"/>
    <n v="-26433.040000000001"/>
    <n v="-19575.11"/>
    <n v="-25573.41"/>
    <n v="-24735.53"/>
    <n v="-317301.56999999995"/>
    <n v="-837.88000000000102"/>
  </r>
  <r>
    <x v="5"/>
    <x v="3"/>
    <x v="0"/>
    <s v="4845101"/>
    <n v="700032"/>
    <s v="Salaries-Other Pat Care Providers-Productive"/>
    <s v="Ultrasound"/>
    <x v="0"/>
    <m/>
    <n v="2997.98"/>
    <n v="4022.42"/>
    <n v="3784.52"/>
    <n v="3448.68"/>
    <n v="3898.08"/>
    <n v="2994.64"/>
    <n v="3640.07"/>
    <n v="3016.8"/>
    <n v="4074.02"/>
    <n v="3277.07"/>
    <n v="4680.5600000000004"/>
    <n v="9546.85"/>
    <n v="49381.689999999995"/>
    <n v="-4866.29"/>
  </r>
  <r>
    <x v="5"/>
    <x v="3"/>
    <x v="0"/>
    <s v="4845101"/>
    <n v="700032"/>
    <s v="Salaries-Other Pat Care Providers-OT"/>
    <s v="Ultrasound"/>
    <x v="0"/>
    <n v="1000"/>
    <n v="58"/>
    <n v="35.18"/>
    <n v="50.76"/>
    <n v="48.94"/>
    <n v="-6.64"/>
    <n v="28.35"/>
    <n v="29.64"/>
    <n v="14.19"/>
    <n v="40.130000000000003"/>
    <n v="0"/>
    <n v="16.649999999999999"/>
    <n v="53.81"/>
    <n v="369.01"/>
    <n v="-37.160000000000004"/>
  </r>
  <r>
    <x v="5"/>
    <x v="3"/>
    <x v="0"/>
    <s v="4845101"/>
    <n v="700032"/>
    <s v="Salaries-Other Pat Care Providers-Other"/>
    <s v="Ultrasound"/>
    <x v="0"/>
    <n v="2000"/>
    <n v="0"/>
    <n v="0"/>
    <n v="0"/>
    <n v="0"/>
    <n v="0"/>
    <n v="0"/>
    <n v="0"/>
    <n v="0"/>
    <n v="0"/>
    <n v="0"/>
    <n v="99.98"/>
    <n v="197.41"/>
    <n v="297.39"/>
    <n v="-97.429999999999993"/>
  </r>
  <r>
    <x v="5"/>
    <x v="3"/>
    <x v="0"/>
    <s v="4845101"/>
    <n v="700034"/>
    <s v="Salaries-Tech/Professional-Productive"/>
    <s v="Ultrasound"/>
    <x v="0"/>
    <m/>
    <n v="55626.21"/>
    <n v="56823.92"/>
    <n v="54448.160000000003"/>
    <n v="61283.3"/>
    <n v="62885.71"/>
    <n v="63080.24"/>
    <n v="59284.45"/>
    <n v="52123.22"/>
    <n v="59052.22"/>
    <n v="58879.49"/>
    <n v="61949.15"/>
    <n v="58798.61"/>
    <n v="704234.68"/>
    <n v="3150.5400000000009"/>
  </r>
  <r>
    <x v="5"/>
    <x v="3"/>
    <x v="0"/>
    <s v="4845101"/>
    <n v="700034"/>
    <s v="Salaries-Tech/Professional-OT"/>
    <s v="Ultrasound"/>
    <x v="0"/>
    <n v="1000"/>
    <n v="516.41999999999996"/>
    <n v="550.33000000000004"/>
    <n v="1094.8499999999999"/>
    <n v="1220.18"/>
    <n v="829.22"/>
    <n v="1412.74"/>
    <n v="949.3"/>
    <n v="690.16"/>
    <n v="777.64"/>
    <n v="615.01"/>
    <n v="734.5"/>
    <n v="433.26"/>
    <n v="9823.61"/>
    <n v="301.24"/>
  </r>
  <r>
    <x v="5"/>
    <x v="3"/>
    <x v="0"/>
    <s v="4845101"/>
    <n v="700034"/>
    <s v="Salaries-Tech/Professional-Other"/>
    <s v="Ultrasound"/>
    <x v="0"/>
    <n v="2000"/>
    <n v="5002.54"/>
    <n v="5360.54"/>
    <n v="5283.37"/>
    <n v="3549.74"/>
    <n v="4751.99"/>
    <n v="6277.02"/>
    <n v="4141.37"/>
    <n v="3846.18"/>
    <n v="5204.46"/>
    <n v="3661.54"/>
    <n v="4539.04"/>
    <n v="3888.2"/>
    <n v="55505.99"/>
    <n v="650.84000000000015"/>
  </r>
  <r>
    <x v="5"/>
    <x v="3"/>
    <x v="0"/>
    <s v="4845101"/>
    <n v="700054"/>
    <s v="Salaries-Management-NonProd-Other"/>
    <s v="Ultrasound"/>
    <x v="0"/>
    <n v="2000"/>
    <n v="0"/>
    <n v="0"/>
    <n v="0"/>
    <n v="0"/>
    <n v="0"/>
    <n v="886.8"/>
    <n v="-886.8"/>
    <n v="0"/>
    <n v="0"/>
    <n v="0"/>
    <n v="0"/>
    <n v="0"/>
    <n v="0"/>
    <n v="0"/>
  </r>
  <r>
    <x v="5"/>
    <x v="3"/>
    <x v="0"/>
    <s v="4845101"/>
    <n v="700072"/>
    <s v="Salaries-Other Pat Care Providers-Non-productive"/>
    <s v="Ultrasound"/>
    <x v="0"/>
    <m/>
    <n v="1456.65"/>
    <n v="64.52"/>
    <n v="567.23"/>
    <n v="399.64"/>
    <n v="38.68"/>
    <n v="871.07"/>
    <n v="811.52"/>
    <n v="519.29999999999995"/>
    <n v="323.43"/>
    <n v="1155.47"/>
    <n v="324.69"/>
    <n v="-2.85"/>
    <n v="6529.3499999999995"/>
    <n v="327.54000000000002"/>
  </r>
  <r>
    <x v="5"/>
    <x v="3"/>
    <x v="0"/>
    <s v="4845101"/>
    <n v="700072"/>
    <s v="Salaries-Other Pat Care Providers-NonProd-Other"/>
    <s v="Ultrasound"/>
    <x v="0"/>
    <n v="2000"/>
    <n v="16.29"/>
    <n v="10.4"/>
    <n v="0"/>
    <n v="11.28"/>
    <n v="0"/>
    <n v="0"/>
    <n v="0"/>
    <n v="0"/>
    <n v="0"/>
    <n v="5.9"/>
    <n v="0"/>
    <n v="0"/>
    <n v="43.87"/>
    <n v="0"/>
  </r>
  <r>
    <x v="5"/>
    <x v="3"/>
    <x v="0"/>
    <s v="4845101"/>
    <n v="700074"/>
    <s v="Salaries-Tech/Professional-Non-productive"/>
    <s v="Ultrasound"/>
    <x v="0"/>
    <m/>
    <n v="7307.33"/>
    <n v="9787.65"/>
    <n v="7841.13"/>
    <n v="6488.19"/>
    <n v="6177.95"/>
    <n v="13895.24"/>
    <n v="5673.29"/>
    <n v="9255.32"/>
    <n v="16864.2"/>
    <n v="4785.1099999999997"/>
    <n v="9234.24"/>
    <n v="5511.33"/>
    <n v="102820.98000000001"/>
    <n v="3722.91"/>
  </r>
  <r>
    <x v="5"/>
    <x v="3"/>
    <x v="0"/>
    <s v="4845101"/>
    <n v="700074"/>
    <s v="Salaries-Tech/Professional-NonProd-Other"/>
    <s v="Ultrasound"/>
    <x v="0"/>
    <n v="2000"/>
    <n v="1216.5999999999999"/>
    <n v="794.29"/>
    <n v="1586.19"/>
    <n v="297.05"/>
    <n v="527.79"/>
    <n v="233.74"/>
    <n v="325.94"/>
    <n v="296.58"/>
    <n v="158.72999999999999"/>
    <n v="508.42"/>
    <n v="670.11"/>
    <n v="-126.26"/>
    <n v="6489.1799999999985"/>
    <n v="796.37"/>
  </r>
  <r>
    <x v="5"/>
    <x v="3"/>
    <x v="0"/>
    <s v="4845101"/>
    <n v="700084"/>
    <s v="Accrued PTO"/>
    <s v="Ultrasound"/>
    <x v="0"/>
    <m/>
    <n v="-439.19"/>
    <n v="-1617.86"/>
    <n v="-864.9"/>
    <n v="2795.62"/>
    <n v="1420.45"/>
    <n v="-4233.79"/>
    <n v="1885.39"/>
    <n v="-749.05"/>
    <n v="3655.31"/>
    <n v="1958.66"/>
    <n v="844.7"/>
    <n v="2646.21"/>
    <n v="7301.55"/>
    <n v="-1801.51"/>
  </r>
  <r>
    <x v="6"/>
    <x v="3"/>
    <x v="0"/>
    <s v="4845101"/>
    <n v="713010"/>
    <s v="Benefits-FICA/Medicare"/>
    <s v="Ultrasound"/>
    <x v="0"/>
    <m/>
    <n v="5442.22"/>
    <n v="5688.42"/>
    <n v="5483.19"/>
    <n v="5622.8"/>
    <n v="5848.16"/>
    <n v="6619.74"/>
    <n v="5530.18"/>
    <n v="5101.04"/>
    <n v="6353.72"/>
    <n v="5318.48"/>
    <n v="6032.73"/>
    <n v="5736.36"/>
    <n v="68777.039999999994"/>
    <n v="296.36999999999989"/>
  </r>
  <r>
    <x v="6"/>
    <x v="3"/>
    <x v="0"/>
    <s v="4845101"/>
    <n v="713090"/>
    <s v="Benefits-Allocated Amounts"/>
    <s v="Ultrasound"/>
    <x v="0"/>
    <m/>
    <n v="13758.79"/>
    <n v="13216.11"/>
    <n v="13805.91"/>
    <n v="14374.34"/>
    <n v="15280.43"/>
    <n v="16135.99"/>
    <n v="14969.02"/>
    <n v="14634.43"/>
    <n v="14152.58"/>
    <n v="14541.35"/>
    <n v="16555.87"/>
    <n v="15972.81"/>
    <n v="177397.62999999998"/>
    <n v="583.05999999999949"/>
  </r>
  <r>
    <x v="7"/>
    <x v="3"/>
    <x v="0"/>
    <s v="4845101"/>
    <n v="718050"/>
    <s v="Translation Services"/>
    <s v="Ultrasound"/>
    <x v="0"/>
    <n v="1025"/>
    <n v="0"/>
    <n v="0"/>
    <n v="32"/>
    <n v="0"/>
    <n v="0"/>
    <n v="0"/>
    <n v="0"/>
    <n v="0"/>
    <n v="0"/>
    <n v="0"/>
    <n v="0"/>
    <n v="0"/>
    <n v="32"/>
    <n v="0"/>
  </r>
  <r>
    <x v="7"/>
    <x v="3"/>
    <x v="0"/>
    <s v="4845101"/>
    <n v="718050"/>
    <s v="Contract Management--Linen"/>
    <s v="Ultrasound"/>
    <x v="0"/>
    <n v="1026"/>
    <n v="2931.92"/>
    <n v="3237.54"/>
    <n v="3182.14"/>
    <n v="2071.5300000000002"/>
    <n v="2637.81"/>
    <n v="2659.78"/>
    <n v="3139.8"/>
    <n v="3617.57"/>
    <n v="2374.1799999999998"/>
    <n v="3039.02"/>
    <n v="3422.22"/>
    <n v="3226.47"/>
    <n v="35539.980000000003"/>
    <n v="195.75"/>
  </r>
  <r>
    <x v="7"/>
    <x v="3"/>
    <x v="0"/>
    <s v="4845101"/>
    <n v="718070"/>
    <s v="Contract Srvcs-CHI Clinical Engineering"/>
    <s v="Ultrasound"/>
    <x v="0"/>
    <m/>
    <n v="7"/>
    <n v="7"/>
    <n v="7"/>
    <n v="21"/>
    <n v="21"/>
    <n v="21"/>
    <n v="21"/>
    <n v="21"/>
    <n v="21"/>
    <n v="21"/>
    <n v="21"/>
    <n v="21"/>
    <n v="210"/>
    <n v="0"/>
  </r>
  <r>
    <x v="11"/>
    <x v="3"/>
    <x v="0"/>
    <s v="4845101"/>
    <n v="721010"/>
    <s v="Supplies-Medical - Billable"/>
    <s v="Ultrasound"/>
    <x v="0"/>
    <m/>
    <n v="3920.85"/>
    <n v="4101.62"/>
    <n v="3312.54"/>
    <n v="4488.8"/>
    <n v="4431.0600000000004"/>
    <n v="1872.05"/>
    <n v="2069.0700000000002"/>
    <n v="4139.92"/>
    <n v="3395.79"/>
    <n v="3732.63"/>
    <n v="4438.79"/>
    <n v="4502.76"/>
    <n v="44405.88"/>
    <n v="-63.970000000000255"/>
  </r>
  <r>
    <x v="11"/>
    <x v="3"/>
    <x v="0"/>
    <s v="4845101"/>
    <n v="721020"/>
    <s v="Supplies-Surgical - Billable"/>
    <s v="Ultrasound"/>
    <x v="0"/>
    <m/>
    <n v="0"/>
    <n v="205.06"/>
    <n v="0"/>
    <n v="0"/>
    <n v="82.02"/>
    <n v="328.08"/>
    <n v="0"/>
    <n v="123.04"/>
    <n v="0"/>
    <n v="78.63"/>
    <n v="94.25"/>
    <n v="78.7"/>
    <n v="989.78"/>
    <n v="15.549999999999997"/>
  </r>
  <r>
    <x v="11"/>
    <x v="3"/>
    <x v="0"/>
    <s v="4845101"/>
    <n v="721240"/>
    <s v="Supplies-IV Solutions/Supplies - Billable"/>
    <s v="Ultrasound"/>
    <x v="0"/>
    <m/>
    <n v="4030.05"/>
    <n v="3174.5"/>
    <n v="1251.25"/>
    <n v="2236.46"/>
    <n v="2620.19"/>
    <n v="2511.25"/>
    <n v="3073.52"/>
    <n v="2158.5500000000002"/>
    <n v="2345"/>
    <n v="2117.5"/>
    <n v="2730"/>
    <n v="2161.25"/>
    <n v="30409.519999999997"/>
    <n v="568.75"/>
  </r>
  <r>
    <x v="11"/>
    <x v="3"/>
    <x v="0"/>
    <s v="4845101"/>
    <n v="721410"/>
    <s v="Supplies-Medical - Nonbillable"/>
    <s v="Ultrasound"/>
    <x v="0"/>
    <m/>
    <n v="566.29999999999995"/>
    <n v="463.08"/>
    <n v="326.74"/>
    <n v="411.72"/>
    <n v="523.72"/>
    <n v="381.74"/>
    <n v="422.53"/>
    <n v="433.28"/>
    <n v="408.61"/>
    <n v="638.55999999999995"/>
    <n v="502.88"/>
    <n v="372.56"/>
    <n v="5451.72"/>
    <n v="130.32"/>
  </r>
  <r>
    <x v="11"/>
    <x v="3"/>
    <x v="0"/>
    <s v="4845101"/>
    <n v="721420"/>
    <s v="Supplies-Surgical Nonbillable"/>
    <s v="Ultrasound"/>
    <x v="0"/>
    <m/>
    <n v="86.46"/>
    <n v="62.04"/>
    <n v="43.24"/>
    <n v="53.21"/>
    <n v="97.75"/>
    <n v="21.62"/>
    <n v="41.73"/>
    <n v="64.86"/>
    <n v="34.590000000000003"/>
    <n v="89.13"/>
    <n v="48.76"/>
    <n v="36.75"/>
    <n v="680.1400000000001"/>
    <n v="12.009999999999998"/>
  </r>
  <r>
    <x v="11"/>
    <x v="3"/>
    <x v="0"/>
    <s v="4845101"/>
    <n v="721420"/>
    <s v="Sterilization Process Products"/>
    <s v="Ultrasound"/>
    <x v="0"/>
    <n v="1009"/>
    <n v="156.34"/>
    <n v="625.36"/>
    <n v="0"/>
    <n v="391.95"/>
    <n v="580.34"/>
    <n v="580.34"/>
    <n v="47.22"/>
    <n v="202.02"/>
    <n v="111.85"/>
    <n v="582.44000000000005"/>
    <n v="383.55"/>
    <n v="139.66"/>
    <n v="3801.07"/>
    <n v="243.89000000000001"/>
  </r>
  <r>
    <x v="11"/>
    <x v="3"/>
    <x v="0"/>
    <s v="4845101"/>
    <n v="721610"/>
    <s v="Supplies-Anesthesia - Nonbillable"/>
    <s v="Ultrasound"/>
    <x v="0"/>
    <m/>
    <n v="0"/>
    <n v="2.38"/>
    <n v="0"/>
    <n v="0"/>
    <n v="0"/>
    <n v="0"/>
    <n v="0"/>
    <n v="0"/>
    <n v="0"/>
    <n v="0"/>
    <n v="0"/>
    <n v="0"/>
    <n v="2.38"/>
    <n v="0"/>
  </r>
  <r>
    <x v="11"/>
    <x v="3"/>
    <x v="0"/>
    <s v="4845101"/>
    <n v="721640"/>
    <s v="Supplies-IV Solutions/Supplies - Nonbillable"/>
    <s v="Ultrasound"/>
    <x v="0"/>
    <m/>
    <n v="36.74"/>
    <n v="0"/>
    <n v="0"/>
    <n v="2.2200000000000002"/>
    <n v="0"/>
    <n v="0"/>
    <n v="0"/>
    <n v="0"/>
    <n v="35.29"/>
    <n v="0"/>
    <n v="0"/>
    <n v="0"/>
    <n v="74.25"/>
    <n v="0"/>
  </r>
  <r>
    <x v="11"/>
    <x v="3"/>
    <x v="0"/>
    <s v="4845101"/>
    <n v="721650"/>
    <s v="Supplies-Pharmacy Drugs - Nonbillable"/>
    <s v="Ultrasound"/>
    <x v="0"/>
    <m/>
    <n v="0"/>
    <n v="8.69"/>
    <n v="7.25"/>
    <n v="7.25"/>
    <n v="14.5"/>
    <n v="0"/>
    <n v="7.25"/>
    <n v="6.96"/>
    <n v="7.25"/>
    <n v="0"/>
    <n v="14.5"/>
    <n v="0"/>
    <n v="73.650000000000006"/>
    <n v="14.5"/>
  </r>
  <r>
    <x v="11"/>
    <x v="3"/>
    <x v="0"/>
    <s v="4845101"/>
    <n v="721710"/>
    <s v="Supplies-Laboratory - Nonbillable"/>
    <s v="Ultrasound"/>
    <x v="0"/>
    <m/>
    <n v="0"/>
    <n v="0"/>
    <n v="0"/>
    <n v="0"/>
    <n v="0"/>
    <n v="0"/>
    <n v="42.94"/>
    <n v="-3.94"/>
    <n v="0"/>
    <n v="0"/>
    <n v="0"/>
    <n v="0"/>
    <n v="39"/>
    <n v="0"/>
  </r>
  <r>
    <x v="11"/>
    <x v="3"/>
    <x v="0"/>
    <s v="4845101"/>
    <n v="721750"/>
    <s v="Supplies-Film/Radiographic - Nonbillable"/>
    <s v="Ultrasound"/>
    <x v="0"/>
    <m/>
    <n v="106.45"/>
    <n v="2111.09"/>
    <n v="60.72"/>
    <n v="1092.52"/>
    <n v="177.35"/>
    <n v="238.76"/>
    <n v="227.82"/>
    <n v="2112.96"/>
    <n v="1139.28"/>
    <n v="444.73"/>
    <n v="865.09"/>
    <n v="968.53"/>
    <n v="9545.3000000000011"/>
    <n v="-103.43999999999994"/>
  </r>
  <r>
    <x v="11"/>
    <x v="3"/>
    <x v="0"/>
    <s v="4845101"/>
    <n v="721810"/>
    <s v="Supplies-Dietary/Cafeteria"/>
    <s v="Ultrasound"/>
    <x v="0"/>
    <m/>
    <n v="0"/>
    <n v="0"/>
    <n v="0"/>
    <n v="0"/>
    <n v="0"/>
    <n v="0"/>
    <n v="0"/>
    <n v="7.27"/>
    <n v="0"/>
    <n v="0"/>
    <n v="0"/>
    <n v="0"/>
    <n v="7.27"/>
    <n v="0"/>
  </r>
  <r>
    <x v="11"/>
    <x v="3"/>
    <x v="0"/>
    <s v="4845101"/>
    <n v="721830"/>
    <s v="Supplies-Office"/>
    <s v="Ultrasound"/>
    <x v="0"/>
    <m/>
    <n v="0"/>
    <n v="13.16"/>
    <n v="0"/>
    <n v="0"/>
    <n v="0"/>
    <n v="0"/>
    <n v="0"/>
    <n v="174.4"/>
    <n v="0"/>
    <n v="0"/>
    <n v="0"/>
    <n v="-13.16"/>
    <n v="174.4"/>
    <n v="13.16"/>
  </r>
  <r>
    <x v="11"/>
    <x v="3"/>
    <x v="0"/>
    <s v="4845101"/>
    <n v="721870"/>
    <s v="Supplies-Environmental Services"/>
    <s v="Ultrasound"/>
    <x v="0"/>
    <m/>
    <n v="501.49"/>
    <n v="148.46"/>
    <n v="153.9"/>
    <n v="111.08"/>
    <n v="221.74"/>
    <n v="52.91"/>
    <n v="62.87"/>
    <n v="119.03"/>
    <n v="28.49"/>
    <n v="108.53"/>
    <n v="131.27000000000001"/>
    <n v="109.34"/>
    <n v="1749.11"/>
    <n v="21.930000000000007"/>
  </r>
  <r>
    <x v="11"/>
    <x v="3"/>
    <x v="0"/>
    <s v="4845101"/>
    <n v="721910"/>
    <s v="Supplies-Small Equipment"/>
    <s v="Ultrasound"/>
    <x v="0"/>
    <m/>
    <n v="135"/>
    <n v="0"/>
    <n v="135"/>
    <n v="135"/>
    <n v="413.15"/>
    <n v="45"/>
    <n v="0"/>
    <n v="0"/>
    <n v="0"/>
    <n v="0"/>
    <n v="0"/>
    <n v="0"/>
    <n v="863.15"/>
    <n v="0"/>
  </r>
  <r>
    <x v="11"/>
    <x v="3"/>
    <x v="0"/>
    <s v="4845101"/>
    <n v="721980"/>
    <s v="Supplies-Other"/>
    <s v="Ultrasound"/>
    <x v="0"/>
    <m/>
    <n v="0"/>
    <n v="0"/>
    <n v="0"/>
    <n v="0"/>
    <n v="0"/>
    <n v="0"/>
    <n v="0"/>
    <n v="0"/>
    <n v="0"/>
    <n v="339.88"/>
    <n v="0"/>
    <n v="-31.18"/>
    <n v="308.7"/>
    <n v="31.18"/>
  </r>
  <r>
    <x v="11"/>
    <x v="3"/>
    <x v="0"/>
    <s v="4845101"/>
    <n v="722000"/>
    <s v="Supplies-Freight Expense"/>
    <s v="Ultrasound"/>
    <x v="0"/>
    <m/>
    <n v="25.35"/>
    <n v="39.67"/>
    <n v="58.35"/>
    <n v="8.81"/>
    <n v="17"/>
    <n v="69.11"/>
    <n v="93.78"/>
    <n v="0"/>
    <n v="17.27"/>
    <n v="0"/>
    <n v="79.61"/>
    <n v="30.53"/>
    <n v="439.48"/>
    <n v="49.08"/>
  </r>
  <r>
    <x v="12"/>
    <x v="3"/>
    <x v="0"/>
    <s v="4845101"/>
    <n v="730020"/>
    <s v="Rental and Leases-Copier Usage Fees (DO NOT USE)"/>
    <s v="Ultrasound"/>
    <x v="0"/>
    <n v="5100"/>
    <n v="37.479999999999997"/>
    <n v="38.78"/>
    <n v="38.130000000000003"/>
    <n v="38.130000000000003"/>
    <n v="38.130000000000003"/>
    <n v="38.119999999999997"/>
    <n v="36.479999999999997"/>
    <n v="38.82"/>
    <n v="38.729999999999997"/>
    <n v="38.909999999999997"/>
    <n v="38.82"/>
    <n v="59.67"/>
    <n v="480.20000000000005"/>
    <n v="-20.85"/>
  </r>
  <r>
    <x v="15"/>
    <x v="3"/>
    <x v="0"/>
    <s v="4845101"/>
    <n v="731060"/>
    <s v="Pagers"/>
    <s v="Ultrasound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3"/>
    <x v="3"/>
    <x v="0"/>
    <s v="4845101"/>
    <n v="735070"/>
    <s v="Depreciation-Movable Equipment"/>
    <s v="Ultrasound"/>
    <x v="0"/>
    <m/>
    <n v="2428.87"/>
    <n v="5054.4399999999996"/>
    <n v="5054.46"/>
    <n v="5054.4399999999996"/>
    <n v="5054.46"/>
    <n v="5054.4399999999996"/>
    <n v="-10699.02"/>
    <n v="2428.86"/>
    <n v="2428.88"/>
    <n v="2428.86"/>
    <n v="2428.88"/>
    <n v="2428.86"/>
    <n v="29146.43"/>
    <n v="1.999999999998181E-2"/>
  </r>
  <r>
    <x v="18"/>
    <x v="0"/>
    <x v="0"/>
    <s v="4845102"/>
    <n v="400010"/>
    <s v="Acute I/P Svcs Rev--Medicare"/>
    <s v="Ultrasound"/>
    <x v="0"/>
    <n v="1100"/>
    <n v="-50114.69"/>
    <n v="-46820.12"/>
    <n v="-48593.32"/>
    <n v="-79536.41"/>
    <n v="-57164"/>
    <n v="-47867.82"/>
    <n v="-45888.07"/>
    <n v="-54270.52"/>
    <n v="-56948.53"/>
    <n v="-62232.97"/>
    <n v="-30104.5"/>
    <n v="-66239.34"/>
    <n v="-645780.29"/>
    <n v="36134.839999999997"/>
  </r>
  <r>
    <x v="18"/>
    <x v="0"/>
    <x v="0"/>
    <s v="4845102"/>
    <n v="400010"/>
    <s v="Acute I/P Svcs Rev--Medicaid"/>
    <s v="Ultrasound"/>
    <x v="0"/>
    <n v="1200"/>
    <n v="-22420.82"/>
    <n v="-40739.31"/>
    <n v="-27480.12"/>
    <n v="-24853.5"/>
    <n v="-33116.370000000003"/>
    <n v="-43355.27"/>
    <n v="-25979.47"/>
    <n v="-30374.78"/>
    <n v="-10452.73"/>
    <n v="-27000.46"/>
    <n v="-40174.35"/>
    <n v="-33839.01"/>
    <n v="-359786.19"/>
    <n v="-6335.3399999999965"/>
  </r>
  <r>
    <x v="18"/>
    <x v="0"/>
    <x v="0"/>
    <s v="4845102"/>
    <n v="400010"/>
    <s v="Acute I/P Svcs Rev--Comm Insurance"/>
    <s v="Ultrasound"/>
    <x v="0"/>
    <n v="1300"/>
    <n v="1037.5999999999999"/>
    <n v="-3720.78"/>
    <n v="-905.94"/>
    <n v="0"/>
    <n v="-2120.58"/>
    <n v="1257.78"/>
    <n v="-1773.8"/>
    <n v="-2184.1999999999998"/>
    <n v="-9423.64"/>
    <n v="-3883.42"/>
    <n v="0"/>
    <n v="-2700.72"/>
    <n v="-24417.700000000004"/>
    <n v="2700.72"/>
  </r>
  <r>
    <x v="18"/>
    <x v="0"/>
    <x v="0"/>
    <s v="4845102"/>
    <n v="400010"/>
    <s v="Acute I/P Svcs Rev--BCBS Comm"/>
    <s v="Ultrasound"/>
    <x v="0"/>
    <n v="1301"/>
    <n v="-10607.36"/>
    <n v="-9136.64"/>
    <n v="-6904.8"/>
    <n v="-2717.82"/>
    <n v="-7643.16"/>
    <n v="-5676.73"/>
    <n v="-3602.34"/>
    <n v="-7279.22"/>
    <n v="-2184.1999999999998"/>
    <n v="-5231.2"/>
    <n v="-10702.96"/>
    <n v="-12074.57"/>
    <n v="-83761"/>
    <n v="1371.6100000000006"/>
  </r>
  <r>
    <x v="18"/>
    <x v="0"/>
    <x v="0"/>
    <s v="4845102"/>
    <n v="400010"/>
    <s v="Acute I/P Svcs Rev--Managed Care"/>
    <s v="Ultrasound"/>
    <x v="0"/>
    <n v="1400"/>
    <n v="-16183.24"/>
    <n v="-20835.05"/>
    <n v="-13399.32"/>
    <n v="-21414.84"/>
    <n v="-23636.12"/>
    <n v="-20220.79"/>
    <n v="-14876.34"/>
    <n v="-19609.919999999998"/>
    <n v="-11019.62"/>
    <n v="-7489.69"/>
    <n v="-19714.71"/>
    <n v="-8758.6"/>
    <n v="-197158.24"/>
    <n v="-10956.109999999999"/>
  </r>
  <r>
    <x v="18"/>
    <x v="0"/>
    <x v="0"/>
    <s v="4845102"/>
    <n v="400010"/>
    <s v="Acute I/P Svcs Rev--Self Pay"/>
    <s v="Ultrasound"/>
    <x v="0"/>
    <n v="1500"/>
    <n v="-5774.34"/>
    <n v="-6476.4"/>
    <n v="-407.76"/>
    <n v="-810.18"/>
    <n v="-1214.6400000000001"/>
    <n v="-1511.4"/>
    <n v="629.72"/>
    <n v="-3408.1"/>
    <n v="-4368.3999999999996"/>
    <n v="-5781.2"/>
    <n v="-6561.76"/>
    <n v="-1195.27"/>
    <n v="-36879.729999999996"/>
    <n v="-5366.49"/>
  </r>
  <r>
    <x v="18"/>
    <x v="0"/>
    <x v="0"/>
    <s v="4845102"/>
    <n v="400010"/>
    <s v="Acute I/P Svcs Rev--Other"/>
    <s v="Ultrasound"/>
    <x v="0"/>
    <n v="1700"/>
    <n v="0"/>
    <n v="-1801.44"/>
    <n v="-2120.58"/>
    <n v="-1048.8"/>
    <n v="0"/>
    <n v="0"/>
    <n v="0"/>
    <n v="-4393.6400000000003"/>
    <n v="-3633.84"/>
    <n v="-3578.03"/>
    <n v="-1251.08"/>
    <n v="0"/>
    <n v="-17827.409999999996"/>
    <n v="-1251.08"/>
  </r>
  <r>
    <x v="19"/>
    <x v="0"/>
    <x v="0"/>
    <s v="4845102"/>
    <n v="400020"/>
    <s v="O/P Care Svcs Rev--Medicare"/>
    <s v="Ultrasound"/>
    <x v="0"/>
    <n v="1100"/>
    <n v="-98639.02"/>
    <n v="-118361.63"/>
    <n v="-104458.32"/>
    <n v="-141134.73000000001"/>
    <n v="-127618.26"/>
    <n v="-109179.53"/>
    <n v="-103749.99"/>
    <n v="-108783.81"/>
    <n v="-159382.72"/>
    <n v="-150160.93"/>
    <n v="-141633.56"/>
    <n v="-148277.32999999999"/>
    <n v="-1511379.83"/>
    <n v="6643.7699999999895"/>
  </r>
  <r>
    <x v="19"/>
    <x v="0"/>
    <x v="0"/>
    <s v="4845102"/>
    <n v="400020"/>
    <s v="O/P Care Svcs Rev--Medicaid"/>
    <s v="Ultrasound"/>
    <x v="0"/>
    <n v="1200"/>
    <n v="-326381.31"/>
    <n v="-330785.65999999997"/>
    <n v="-274057.98"/>
    <n v="-331483.57"/>
    <n v="-306718.08000000002"/>
    <n v="-273328.3"/>
    <n v="-313584.5"/>
    <n v="-263445.86"/>
    <n v="-253440.04"/>
    <n v="-256671.02"/>
    <n v="-295892.8"/>
    <n v="-238974.88"/>
    <n v="-3464764"/>
    <n v="-56917.919999999984"/>
  </r>
  <r>
    <x v="19"/>
    <x v="0"/>
    <x v="0"/>
    <s v="4845102"/>
    <n v="400020"/>
    <s v="O/P Care Svcs Rev--Comm Insurance"/>
    <s v="Ultrasound"/>
    <x v="0"/>
    <n v="1300"/>
    <n v="-14832.6"/>
    <n v="-19534.169999999998"/>
    <n v="-18915.12"/>
    <n v="-17076.78"/>
    <n v="-11387.46"/>
    <n v="-7535.64"/>
    <n v="-25055.88"/>
    <n v="-24957.15"/>
    <n v="-17210.12"/>
    <n v="-21745.34"/>
    <n v="-29122.46"/>
    <n v="-14777.37"/>
    <n v="-222150.09"/>
    <n v="-14345.089999999998"/>
  </r>
  <r>
    <x v="19"/>
    <x v="0"/>
    <x v="0"/>
    <s v="4845102"/>
    <n v="400020"/>
    <s v="O/P Care Svcs Rev--BCBS Comm"/>
    <s v="Ultrasound"/>
    <x v="0"/>
    <n v="1301"/>
    <n v="-56897.74"/>
    <n v="-83655.350000000006"/>
    <n v="-67407.399999999994"/>
    <n v="-67043.97"/>
    <n v="-77644.88"/>
    <n v="-63893.98"/>
    <n v="-51313.62"/>
    <n v="-61360.47"/>
    <n v="-53793.82"/>
    <n v="-67619.05"/>
    <n v="-88631.88"/>
    <n v="-49672.09"/>
    <n v="-788934.24999999988"/>
    <n v="-38959.790000000008"/>
  </r>
  <r>
    <x v="19"/>
    <x v="0"/>
    <x v="0"/>
    <s v="4845102"/>
    <n v="400020"/>
    <s v="O/P Care Svcs Rev--Managed Care"/>
    <s v="Ultrasound"/>
    <x v="0"/>
    <n v="1400"/>
    <n v="-172122.26"/>
    <n v="-194564.17"/>
    <n v="-168272.18"/>
    <n v="-190830.68"/>
    <n v="-187640.04"/>
    <n v="-184555.91"/>
    <n v="-185350.25"/>
    <n v="-182674.1"/>
    <n v="-172703.66"/>
    <n v="-183887.95"/>
    <n v="-225156"/>
    <n v="-174718.93"/>
    <n v="-2222476.13"/>
    <n v="-50437.070000000007"/>
  </r>
  <r>
    <x v="19"/>
    <x v="0"/>
    <x v="0"/>
    <s v="4845102"/>
    <n v="400020"/>
    <s v="O/P Care Svcs Rev--Self Pay"/>
    <s v="Ultrasound"/>
    <x v="0"/>
    <n v="1500"/>
    <n v="-64391.31"/>
    <n v="-78137.47"/>
    <n v="-48910.26"/>
    <n v="-64725.57"/>
    <n v="-55821.36"/>
    <n v="-69053.240000000005"/>
    <n v="-62196.54"/>
    <n v="-52622.1"/>
    <n v="-72744.740000000005"/>
    <n v="-69702.94"/>
    <n v="-58735.040000000001"/>
    <n v="-84938.09"/>
    <n v="-781978.66"/>
    <n v="26203.049999999996"/>
  </r>
  <r>
    <x v="19"/>
    <x v="0"/>
    <x v="0"/>
    <s v="4845102"/>
    <n v="400020"/>
    <s v="O/P Care Svcs Rev--Other"/>
    <s v="Ultrasound"/>
    <x v="0"/>
    <n v="1700"/>
    <n v="-6399.58"/>
    <n v="-9221.14"/>
    <n v="-9048.69"/>
    <n v="-4334.28"/>
    <n v="-9690.6299999999992"/>
    <n v="-6520.29"/>
    <n v="-4354.0600000000004"/>
    <n v="-11319.11"/>
    <n v="-17467.02"/>
    <n v="-16121.07"/>
    <n v="-10457.370000000001"/>
    <n v="-8556.6200000000008"/>
    <n v="-113489.85999999999"/>
    <n v="-1900.75"/>
  </r>
  <r>
    <x v="5"/>
    <x v="0"/>
    <x v="0"/>
    <s v="4845102"/>
    <n v="700034"/>
    <s v="Salaries-Tech/Professional-Productive"/>
    <s v="Ultrasound"/>
    <x v="0"/>
    <m/>
    <n v="44247.85"/>
    <n v="47284.17"/>
    <n v="40074.730000000003"/>
    <n v="44340.39"/>
    <n v="44981.22"/>
    <n v="41578.720000000001"/>
    <n v="45336"/>
    <n v="40365.19"/>
    <n v="44904.42"/>
    <n v="45186.5"/>
    <n v="43627.07"/>
    <n v="43099.06"/>
    <n v="525025.32000000007"/>
    <n v="528.01000000000204"/>
  </r>
  <r>
    <x v="5"/>
    <x v="0"/>
    <x v="0"/>
    <s v="4845102"/>
    <n v="700034"/>
    <s v="Salaries-Tech/Professional-OT"/>
    <s v="Ultrasound"/>
    <x v="0"/>
    <n v="1000"/>
    <n v="1237.98"/>
    <n v="966.14"/>
    <n v="796.36"/>
    <n v="108.23"/>
    <n v="1407.73"/>
    <n v="438.02"/>
    <n v="442.89"/>
    <n v="844.67"/>
    <n v="562.83000000000004"/>
    <n v="837.42"/>
    <n v="1556.87"/>
    <n v="953.04"/>
    <n v="10152.18"/>
    <n v="603.82999999999993"/>
  </r>
  <r>
    <x v="5"/>
    <x v="0"/>
    <x v="0"/>
    <s v="4845102"/>
    <n v="700034"/>
    <s v="Salaries-Tech/Professional-Other"/>
    <s v="Ultrasound"/>
    <x v="0"/>
    <n v="2000"/>
    <n v="3815.04"/>
    <n v="4071.85"/>
    <n v="3314.84"/>
    <n v="3192.2"/>
    <n v="1933.51"/>
    <n v="2771.46"/>
    <n v="2849.33"/>
    <n v="2880.56"/>
    <n v="2811.35"/>
    <n v="2682.11"/>
    <n v="2905.85"/>
    <n v="2493.9499999999998"/>
    <n v="35722.050000000003"/>
    <n v="411.90000000000009"/>
  </r>
  <r>
    <x v="5"/>
    <x v="0"/>
    <x v="0"/>
    <s v="4845102"/>
    <n v="700054"/>
    <s v="Salaries-Management-NonProd-Other"/>
    <s v="Ultrasound"/>
    <x v="0"/>
    <n v="2000"/>
    <n v="0"/>
    <n v="0"/>
    <n v="0"/>
    <n v="0"/>
    <n v="0"/>
    <n v="534.22"/>
    <n v="-534.22"/>
    <n v="0"/>
    <n v="0"/>
    <n v="0"/>
    <n v="0"/>
    <n v="0"/>
    <n v="0"/>
    <n v="0"/>
  </r>
  <r>
    <x v="5"/>
    <x v="0"/>
    <x v="0"/>
    <s v="4845102"/>
    <n v="700074"/>
    <s v="Salaries-Tech/Professional-Non-productive"/>
    <s v="Ultrasound"/>
    <x v="0"/>
    <m/>
    <n v="6181.89"/>
    <n v="3829.37"/>
    <n v="5664.24"/>
    <n v="3407"/>
    <n v="-2.5099999999999998"/>
    <n v="8375.01"/>
    <n v="1581.04"/>
    <n v="3899.07"/>
    <n v="2681.7"/>
    <n v="1260.79"/>
    <n v="6864.49"/>
    <n v="3820.28"/>
    <n v="47562.369999999995"/>
    <n v="3044.2099999999996"/>
  </r>
  <r>
    <x v="5"/>
    <x v="0"/>
    <x v="0"/>
    <s v="4845102"/>
    <n v="700074"/>
    <s v="Salaries-Tech/Professional-NonProd-Other"/>
    <s v="Ultrasound"/>
    <x v="0"/>
    <n v="2000"/>
    <n v="1265.0999999999999"/>
    <n v="1983.42"/>
    <n v="1719.12"/>
    <n v="893.85"/>
    <n v="3353.05"/>
    <n v="3432.93"/>
    <n v="1752.33"/>
    <n v="2154.9899999999998"/>
    <n v="1079.3800000000001"/>
    <n v="1298.04"/>
    <n v="1432.26"/>
    <n v="2025.74"/>
    <n v="22390.210000000003"/>
    <n v="-593.48"/>
  </r>
  <r>
    <x v="5"/>
    <x v="0"/>
    <x v="0"/>
    <s v="4845102"/>
    <n v="700084"/>
    <s v="Accrued PTO"/>
    <s v="Ultrasound"/>
    <x v="0"/>
    <m/>
    <n v="920.84"/>
    <n v="785.75"/>
    <n v="-418.86"/>
    <n v="1933.8"/>
    <n v="4355.2700000000004"/>
    <n v="-365.24"/>
    <n v="2642.08"/>
    <n v="1554.37"/>
    <n v="1252.23"/>
    <n v="3276.97"/>
    <n v="1470.75"/>
    <n v="268.39"/>
    <n v="17676.349999999999"/>
    <n v="1202.3600000000001"/>
  </r>
  <r>
    <x v="6"/>
    <x v="0"/>
    <x v="0"/>
    <s v="4845102"/>
    <n v="713010"/>
    <s v="Benefits-FICA/Medicare"/>
    <s v="Ultrasound"/>
    <x v="0"/>
    <m/>
    <n v="4279.42"/>
    <n v="4385.63"/>
    <n v="3887.23"/>
    <n v="3909.39"/>
    <n v="3941.23"/>
    <n v="4524.08"/>
    <n v="3935.22"/>
    <n v="3838.97"/>
    <n v="3910.49"/>
    <n v="3814.26"/>
    <n v="4257.16"/>
    <n v="4066.69"/>
    <n v="48749.770000000004"/>
    <n v="190.4699999999998"/>
  </r>
  <r>
    <x v="6"/>
    <x v="0"/>
    <x v="0"/>
    <s v="4845102"/>
    <n v="713090"/>
    <s v="Benefits-Allocated Amounts"/>
    <s v="Ultrasound"/>
    <x v="0"/>
    <m/>
    <n v="9645.3799999999992"/>
    <n v="8682.8799999999992"/>
    <n v="8419.5"/>
    <n v="8289.92"/>
    <n v="8325.67"/>
    <n v="8831.7000000000007"/>
    <n v="8716.7000000000007"/>
    <n v="8641.9"/>
    <n v="8384.76"/>
    <n v="8993.11"/>
    <n v="9417.39"/>
    <n v="8978.27"/>
    <n v="105327.18"/>
    <n v="439.11999999999898"/>
  </r>
  <r>
    <x v="7"/>
    <x v="0"/>
    <x v="0"/>
    <s v="4845102"/>
    <n v="718050"/>
    <s v="Miscellaneous Purchased Svcs"/>
    <s v="Ultrasound"/>
    <x v="0"/>
    <n v="1020"/>
    <n v="0"/>
    <n v="0"/>
    <n v="110.82"/>
    <n v="0"/>
    <n v="0"/>
    <n v="0"/>
    <n v="0"/>
    <n v="0"/>
    <n v="0"/>
    <n v="0"/>
    <n v="0"/>
    <n v="0"/>
    <n v="110.82"/>
    <n v="0"/>
  </r>
  <r>
    <x v="7"/>
    <x v="0"/>
    <x v="0"/>
    <s v="4845102"/>
    <n v="718070"/>
    <s v="Contract Srvcs-CHI Clinical Engineering"/>
    <s v="Ultrasound"/>
    <x v="0"/>
    <m/>
    <n v="7"/>
    <n v="7"/>
    <n v="7"/>
    <n v="14"/>
    <n v="14"/>
    <n v="14"/>
    <n v="14"/>
    <n v="14"/>
    <n v="14"/>
    <n v="14"/>
    <n v="14"/>
    <n v="14"/>
    <n v="147"/>
    <n v="0"/>
  </r>
  <r>
    <x v="11"/>
    <x v="0"/>
    <x v="0"/>
    <s v="4845102"/>
    <n v="721010"/>
    <s v="Supplies-Medical - Billable"/>
    <s v="Ultrasound"/>
    <x v="0"/>
    <m/>
    <n v="1892.88"/>
    <n v="2012.02"/>
    <n v="2366.1"/>
    <n v="2153.52"/>
    <n v="2572.9899999999998"/>
    <n v="368.99"/>
    <n v="2090.8200000000002"/>
    <n v="73.3"/>
    <n v="-99"/>
    <n v="-152.44999999999999"/>
    <n v="99.82"/>
    <n v="0"/>
    <n v="13378.989999999998"/>
    <n v="99.82"/>
  </r>
  <r>
    <x v="11"/>
    <x v="0"/>
    <x v="0"/>
    <s v="4845102"/>
    <n v="721010"/>
    <s v="Patient Monitoring"/>
    <s v="Ultrasound"/>
    <x v="0"/>
    <n v="1000"/>
    <n v="0"/>
    <n v="0"/>
    <n v="0"/>
    <n v="0"/>
    <n v="0"/>
    <n v="19.57"/>
    <n v="25.93"/>
    <n v="0"/>
    <n v="3.18"/>
    <n v="0"/>
    <n v="3.18"/>
    <n v="0"/>
    <n v="51.86"/>
    <n v="3.18"/>
  </r>
  <r>
    <x v="11"/>
    <x v="0"/>
    <x v="0"/>
    <s v="4845102"/>
    <n v="721020"/>
    <s v="Supplies-Surgical - Billable"/>
    <s v="Ultrasound"/>
    <x v="0"/>
    <m/>
    <n v="63.8"/>
    <n v="63.8"/>
    <n v="63.8"/>
    <n v="0"/>
    <n v="0"/>
    <n v="1817.54"/>
    <n v="14.25"/>
    <n v="1677.9"/>
    <n v="1479.7"/>
    <n v="2446.8000000000002"/>
    <n v="2197.2199999999998"/>
    <n v="1835.1"/>
    <n v="11659.91"/>
    <n v="362.11999999999989"/>
  </r>
  <r>
    <x v="11"/>
    <x v="0"/>
    <x v="0"/>
    <s v="4845102"/>
    <n v="721020"/>
    <s v="Custom Packs"/>
    <s v="Ultrasound"/>
    <x v="0"/>
    <n v="1000"/>
    <n v="73.72"/>
    <n v="132.69"/>
    <n v="0"/>
    <n v="36.86"/>
    <n v="27.4"/>
    <n v="94.7"/>
    <n v="101.25"/>
    <n v="0"/>
    <n v="36.86"/>
    <n v="33.729999999999997"/>
    <n v="70.349999999999994"/>
    <n v="69.7"/>
    <n v="677.26"/>
    <n v="0.64999999999999147"/>
  </r>
  <r>
    <x v="11"/>
    <x v="0"/>
    <x v="0"/>
    <s v="4845102"/>
    <n v="721050"/>
    <s v="Supplies-Cardiac Rhythm - Billable"/>
    <s v="Ultrasound"/>
    <x v="0"/>
    <m/>
    <n v="0"/>
    <n v="0"/>
    <n v="0"/>
    <n v="0"/>
    <n v="0"/>
    <n v="233.48"/>
    <n v="0"/>
    <n v="0"/>
    <n v="0"/>
    <n v="0"/>
    <n v="0"/>
    <n v="0"/>
    <n v="233.48"/>
    <n v="0"/>
  </r>
  <r>
    <x v="11"/>
    <x v="0"/>
    <x v="0"/>
    <s v="4845102"/>
    <n v="721240"/>
    <s v="Supplies-IV Solutions/Supplies - Billable"/>
    <s v="Ultrasound"/>
    <x v="0"/>
    <m/>
    <n v="2156"/>
    <n v="1736"/>
    <n v="1346.38"/>
    <n v="2018.97"/>
    <n v="2391.25"/>
    <n v="2100"/>
    <n v="1909.5"/>
    <n v="3370"/>
    <n v="1776.25"/>
    <n v="2502.5"/>
    <n v="2159.88"/>
    <n v="1941.27"/>
    <n v="25408"/>
    <n v="218.61000000000013"/>
  </r>
  <r>
    <x v="11"/>
    <x v="0"/>
    <x v="0"/>
    <s v="4845102"/>
    <n v="721410"/>
    <s v="Supplies-Medical - Nonbillable"/>
    <s v="Ultrasound"/>
    <x v="0"/>
    <m/>
    <n v="291.33999999999997"/>
    <n v="296"/>
    <n v="241.48"/>
    <n v="308.8"/>
    <n v="295.82"/>
    <n v="460.31"/>
    <n v="491.82"/>
    <n v="239.49"/>
    <n v="287.95999999999998"/>
    <n v="615.91999999999996"/>
    <n v="319.27"/>
    <n v="449.83"/>
    <n v="4298.04"/>
    <n v="-130.56"/>
  </r>
  <r>
    <x v="11"/>
    <x v="0"/>
    <x v="0"/>
    <s v="4845102"/>
    <n v="721420"/>
    <s v="Supplies-Surgical Nonbillable"/>
    <s v="Ultrasound"/>
    <x v="0"/>
    <m/>
    <n v="20.02"/>
    <n v="30.02"/>
    <n v="20.02"/>
    <n v="30.03"/>
    <n v="16.68"/>
    <n v="47.66"/>
    <n v="26.69"/>
    <n v="26.69"/>
    <n v="20.02"/>
    <n v="26.69"/>
    <n v="16.68"/>
    <n v="26.69"/>
    <n v="307.89000000000004"/>
    <n v="-10.010000000000002"/>
  </r>
  <r>
    <x v="11"/>
    <x v="0"/>
    <x v="0"/>
    <s v="4845102"/>
    <n v="721610"/>
    <s v="Supplies-Anesthesia - Nonbillable"/>
    <s v="Ultrasound"/>
    <x v="0"/>
    <m/>
    <n v="0"/>
    <n v="0"/>
    <n v="0"/>
    <n v="0"/>
    <n v="0"/>
    <n v="0.93"/>
    <n v="0"/>
    <n v="0"/>
    <n v="0"/>
    <n v="0"/>
    <n v="0"/>
    <n v="0"/>
    <n v="0.93"/>
    <n v="0"/>
  </r>
  <r>
    <x v="11"/>
    <x v="0"/>
    <x v="0"/>
    <s v="4845102"/>
    <n v="721640"/>
    <s v="Supplies-IV Solutions/Supplies - Nonbillable"/>
    <s v="Ultrasound"/>
    <x v="0"/>
    <m/>
    <n v="0"/>
    <n v="0"/>
    <n v="4.4400000000000004"/>
    <n v="0"/>
    <n v="0"/>
    <n v="0"/>
    <n v="25.56"/>
    <n v="0"/>
    <n v="6.66"/>
    <n v="0"/>
    <n v="4"/>
    <n v="6.66"/>
    <n v="47.319999999999993"/>
    <n v="-2.66"/>
  </r>
  <r>
    <x v="11"/>
    <x v="0"/>
    <x v="0"/>
    <s v="4845102"/>
    <n v="721650"/>
    <s v="Supplies-Pharmacy Drugs - Nonbillable"/>
    <s v="Ultrasound"/>
    <x v="0"/>
    <m/>
    <n v="21.38"/>
    <n v="33.31"/>
    <n v="38.76"/>
    <n v="36.090000000000003"/>
    <n v="45.45"/>
    <n v="25.4"/>
    <n v="61.28"/>
    <n v="13.93"/>
    <n v="32.08"/>
    <n v="56.44"/>
    <n v="35.32"/>
    <n v="47.06"/>
    <n v="446.5"/>
    <n v="-11.740000000000002"/>
  </r>
  <r>
    <x v="11"/>
    <x v="0"/>
    <x v="0"/>
    <s v="4845102"/>
    <n v="721710"/>
    <s v="Supplies-Laboratory - Nonbillable"/>
    <s v="Ultrasound"/>
    <x v="0"/>
    <m/>
    <n v="34.5"/>
    <n v="50.53"/>
    <n v="0"/>
    <n v="32.049999999999997"/>
    <n v="12.13"/>
    <n v="25.14"/>
    <n v="51.02"/>
    <n v="32.049999999999997"/>
    <n v="0"/>
    <n v="0"/>
    <n v="74.569999999999993"/>
    <n v="24.25"/>
    <n v="336.24"/>
    <n v="50.319999999999993"/>
  </r>
  <r>
    <x v="11"/>
    <x v="0"/>
    <x v="0"/>
    <s v="4845102"/>
    <n v="721750"/>
    <s v="Supplies-Film/Radiographic - Nonbillable"/>
    <s v="Ultrasound"/>
    <x v="0"/>
    <m/>
    <n v="224.18"/>
    <n v="1101.23"/>
    <n v="151.02000000000001"/>
    <n v="-54.4"/>
    <n v="1139.3800000000001"/>
    <n v="66.78"/>
    <n v="1150.6199999999999"/>
    <n v="195.26"/>
    <n v="28.1"/>
    <n v="1043.08"/>
    <n v="526.78"/>
    <n v="42.12"/>
    <n v="5614.15"/>
    <n v="484.65999999999997"/>
  </r>
  <r>
    <x v="11"/>
    <x v="0"/>
    <x v="0"/>
    <s v="4845102"/>
    <n v="721810"/>
    <s v="Supplies-Dietary/Cafeteria"/>
    <s v="Ultrasound"/>
    <x v="0"/>
    <m/>
    <n v="3.24"/>
    <n v="0"/>
    <n v="0"/>
    <n v="0"/>
    <n v="0"/>
    <n v="0"/>
    <n v="12.7"/>
    <n v="11.35"/>
    <n v="0"/>
    <n v="0"/>
    <n v="7.49"/>
    <n v="0"/>
    <n v="34.78"/>
    <n v="7.49"/>
  </r>
  <r>
    <x v="11"/>
    <x v="0"/>
    <x v="0"/>
    <s v="4845102"/>
    <n v="721830"/>
    <s v="Supplies-Office"/>
    <s v="Ultrasound"/>
    <x v="0"/>
    <m/>
    <n v="0"/>
    <n v="135.04"/>
    <n v="0"/>
    <n v="13.15"/>
    <n v="0"/>
    <n v="142.29"/>
    <n v="0"/>
    <n v="-12.94"/>
    <n v="0"/>
    <n v="225.41"/>
    <n v="0"/>
    <n v="102.7"/>
    <n v="605.65000000000009"/>
    <n v="-102.7"/>
  </r>
  <r>
    <x v="11"/>
    <x v="0"/>
    <x v="0"/>
    <s v="4845102"/>
    <n v="721870"/>
    <s v="Supplies-Environmental Services"/>
    <s v="Ultrasound"/>
    <x v="0"/>
    <m/>
    <n v="119.72"/>
    <n v="131.84"/>
    <n v="110.44"/>
    <n v="105.64"/>
    <n v="165.66"/>
    <n v="190.92"/>
    <n v="114.76"/>
    <n v="62.42"/>
    <n v="72.040000000000006"/>
    <n v="134.12"/>
    <n v="98.14"/>
    <n v="114.27"/>
    <n v="1419.97"/>
    <n v="-16.129999999999995"/>
  </r>
  <r>
    <x v="11"/>
    <x v="0"/>
    <x v="0"/>
    <s v="4845102"/>
    <n v="721910"/>
    <s v="Supplies-Small Equipment"/>
    <s v="Ultrasound"/>
    <x v="0"/>
    <m/>
    <n v="0"/>
    <n v="0"/>
    <n v="7.68"/>
    <n v="0"/>
    <n v="0"/>
    <n v="0"/>
    <n v="2.4"/>
    <n v="0"/>
    <n v="0"/>
    <n v="0"/>
    <n v="0"/>
    <n v="0"/>
    <n v="10.08"/>
    <n v="0"/>
  </r>
  <r>
    <x v="11"/>
    <x v="0"/>
    <x v="0"/>
    <s v="4845102"/>
    <n v="721980"/>
    <s v="Supplies-Other"/>
    <s v="Ultrasound"/>
    <x v="0"/>
    <m/>
    <n v="0"/>
    <n v="0"/>
    <n v="0"/>
    <n v="0"/>
    <n v="0"/>
    <n v="0"/>
    <n v="373.5"/>
    <n v="0"/>
    <n v="0"/>
    <n v="0"/>
    <n v="0"/>
    <n v="0"/>
    <n v="373.5"/>
    <n v="0"/>
  </r>
  <r>
    <x v="11"/>
    <x v="0"/>
    <x v="0"/>
    <s v="4845102"/>
    <n v="722000"/>
    <s v="Supplies-Freight Expense"/>
    <s v="Ultrasound"/>
    <x v="0"/>
    <m/>
    <n v="7.73"/>
    <n v="87.76"/>
    <n v="33.54"/>
    <n v="149.61000000000001"/>
    <n v="42.68"/>
    <n v="174.01"/>
    <n v="76.11"/>
    <n v="153.63999999999999"/>
    <n v="0"/>
    <n v="8.4"/>
    <n v="0"/>
    <n v="13.14"/>
    <n v="746.61999999999989"/>
    <n v="-13.14"/>
  </r>
  <r>
    <x v="12"/>
    <x v="0"/>
    <x v="0"/>
    <s v="4845102"/>
    <n v="730020"/>
    <s v="Rental and Leases-Copier Usage Fees (DO NOT USE)"/>
    <s v="Ultrasound"/>
    <x v="0"/>
    <n v="5100"/>
    <n v="24.8"/>
    <n v="25.66"/>
    <n v="25.23"/>
    <n v="25.23"/>
    <n v="25.23"/>
    <n v="25.23"/>
    <n v="18.190000000000001"/>
    <n v="25.69"/>
    <n v="25.64"/>
    <n v="25.74"/>
    <n v="25.69"/>
    <n v="25.69"/>
    <n v="298.02"/>
    <n v="0"/>
  </r>
  <r>
    <x v="15"/>
    <x v="0"/>
    <x v="0"/>
    <s v="4845102"/>
    <n v="731060"/>
    <s v="Pagers"/>
    <s v="Ultrasound"/>
    <x v="0"/>
    <n v="1002"/>
    <n v="45"/>
    <n v="45"/>
    <n v="45"/>
    <n v="45.1"/>
    <n v="45.1"/>
    <n v="0"/>
    <n v="92.21"/>
    <n v="40.6"/>
    <n v="40.6"/>
    <n v="40.6"/>
    <n v="40.6"/>
    <n v="40.6"/>
    <n v="520.41000000000008"/>
    <n v="0"/>
  </r>
  <r>
    <x v="13"/>
    <x v="0"/>
    <x v="0"/>
    <s v="4845102"/>
    <n v="735070"/>
    <s v="Depreciation-Movable Equipment"/>
    <s v="Ultrasound"/>
    <x v="0"/>
    <m/>
    <n v="2828.71"/>
    <n v="2828.71"/>
    <n v="2828.71"/>
    <n v="2828.71"/>
    <n v="2828.71"/>
    <n v="2828.71"/>
    <n v="2828.72"/>
    <n v="2828.71"/>
    <n v="2828.72"/>
    <n v="2828.71"/>
    <n v="3003.25"/>
    <n v="3003.23"/>
    <n v="34293.599999999999"/>
    <n v="1.999999999998181E-2"/>
  </r>
  <r>
    <x v="0"/>
    <x v="0"/>
    <x v="0"/>
    <s v="4845102"/>
    <n v="749510"/>
    <s v="Miscellaneous Expenses"/>
    <s v="Ultrasound"/>
    <x v="0"/>
    <m/>
    <n v="-32.14"/>
    <n v="0"/>
    <n v="0"/>
    <n v="0"/>
    <n v="39.79"/>
    <n v="-39.79"/>
    <n v="0"/>
    <n v="0"/>
    <n v="0"/>
    <n v="0"/>
    <n v="0"/>
    <n v="0"/>
    <n v="-32.14"/>
    <n v="0"/>
  </r>
  <r>
    <x v="0"/>
    <x v="0"/>
    <x v="0"/>
    <s v="4845102"/>
    <n v="749535"/>
    <s v="Meetings"/>
    <s v="Ultrasound"/>
    <x v="0"/>
    <m/>
    <n v="0"/>
    <n v="0"/>
    <n v="0"/>
    <n v="0"/>
    <n v="0"/>
    <n v="39.79"/>
    <n v="0"/>
    <n v="0"/>
    <n v="0"/>
    <n v="0"/>
    <n v="0"/>
    <n v="31.41"/>
    <n v="71.2"/>
    <n v="-31.41"/>
  </r>
  <r>
    <x v="18"/>
    <x v="4"/>
    <x v="0"/>
    <s v="4845103"/>
    <n v="400010"/>
    <s v="Acute I/P Svcs Rev--Medicare"/>
    <s v="Ultrasound"/>
    <x v="0"/>
    <n v="1100"/>
    <n v="-48544.54"/>
    <n v="-46721.13"/>
    <n v="-53589.48"/>
    <n v="-54581.440000000002"/>
    <n v="-53654.720000000001"/>
    <n v="-47545.73"/>
    <n v="-68656.95"/>
    <n v="-48941.57"/>
    <n v="-55336.83"/>
    <n v="-58789.440000000002"/>
    <n v="-31495.83"/>
    <n v="-37835.19"/>
    <n v="-605692.85000000009"/>
    <n v="6339.3600000000006"/>
  </r>
  <r>
    <x v="18"/>
    <x v="4"/>
    <x v="0"/>
    <s v="4845103"/>
    <n v="400010"/>
    <s v="Acute I/P Svcs Rev--Medicaid"/>
    <s v="Ultrasound"/>
    <x v="0"/>
    <n v="1200"/>
    <n v="-30373.93"/>
    <n v="-13218.4"/>
    <n v="-33911.519999999997"/>
    <n v="-25154.45"/>
    <n v="-30886.74"/>
    <n v="-29515.14"/>
    <n v="-35726.46"/>
    <n v="-33768.54"/>
    <n v="-40926.18"/>
    <n v="-33515.22"/>
    <n v="-27557.59"/>
    <n v="-28613.27"/>
    <n v="-363167.44"/>
    <n v="1055.6800000000003"/>
  </r>
  <r>
    <x v="18"/>
    <x v="4"/>
    <x v="0"/>
    <s v="4845103"/>
    <n v="400010"/>
    <s v="Acute I/P Svcs Rev--Comm Insurance"/>
    <s v="Ultrasound"/>
    <x v="0"/>
    <n v="1300"/>
    <n v="-2688.84"/>
    <n v="-2120.58"/>
    <n v="308.7"/>
    <n v="-1214.6400000000001"/>
    <n v="0"/>
    <n v="-2120.58"/>
    <n v="-905.94"/>
    <n v="-2079.35"/>
    <n v="0"/>
    <n v="1187.46"/>
    <n v="0"/>
    <n v="-1251.08"/>
    <n v="-10884.85"/>
    <n v="1251.08"/>
  </r>
  <r>
    <x v="18"/>
    <x v="4"/>
    <x v="0"/>
    <s v="4845103"/>
    <n v="400010"/>
    <s v="Acute I/P Svcs Rev--BCBS Comm"/>
    <s v="Ultrasound"/>
    <x v="0"/>
    <n v="1301"/>
    <n v="-3889.32"/>
    <n v="0"/>
    <n v="-1811.88"/>
    <n v="-2916.9"/>
    <n v="-1214.6400000000001"/>
    <n v="0"/>
    <n v="-2429.2800000000002"/>
    <n v="0"/>
    <n v="-4927.75"/>
    <n v="0"/>
    <n v="-1251.08"/>
    <n v="-1251.08"/>
    <n v="-19691.93"/>
    <n v="0"/>
  </r>
  <r>
    <x v="18"/>
    <x v="4"/>
    <x v="0"/>
    <s v="4845103"/>
    <n v="400010"/>
    <s v="Acute I/P Svcs Rev--Managed Care"/>
    <s v="Ultrasound"/>
    <x v="0"/>
    <n v="1400"/>
    <n v="-8769.6"/>
    <n v="-5690.16"/>
    <n v="-8003.52"/>
    <n v="-9933.65"/>
    <n v="-4549.8599999999997"/>
    <n v="-6922.34"/>
    <n v="-5658.66"/>
    <n v="-4580.78"/>
    <n v="-10265.6"/>
    <n v="-873.42"/>
    <n v="-10420.040000000001"/>
    <n v="-8615.2999999999993"/>
    <n v="-84282.930000000008"/>
    <n v="-1804.7400000000016"/>
  </r>
  <r>
    <x v="18"/>
    <x v="4"/>
    <x v="0"/>
    <s v="4845103"/>
    <n v="400010"/>
    <s v="Acute I/P Svcs Rev--Self Pay"/>
    <s v="Ultrasound"/>
    <x v="0"/>
    <n v="1500"/>
    <n v="-1492.74"/>
    <n v="-1811.88"/>
    <n v="905.94"/>
    <n v="0"/>
    <n v="-43.14"/>
    <n v="-905.94"/>
    <n v="0"/>
    <n v="0"/>
    <n v="-3835.08"/>
    <n v="-325.55"/>
    <n v="-20.77"/>
    <n v="1989.61"/>
    <n v="-5539.5500000000011"/>
    <n v="-2010.3799999999999"/>
  </r>
  <r>
    <x v="18"/>
    <x v="4"/>
    <x v="0"/>
    <s v="4845103"/>
    <n v="400010"/>
    <s v="Acute I/P Svcs Rev--Other"/>
    <s v="Ultrasound"/>
    <x v="0"/>
    <n v="1700"/>
    <n v="-5444.7"/>
    <n v="-8787.07"/>
    <n v="-2592.06"/>
    <n v="-6978.26"/>
    <n v="-4953.4399999999996"/>
    <n v="-3836.7"/>
    <n v="0"/>
    <n v="-939.53"/>
    <n v="-6069.81"/>
    <n v="-8942.34"/>
    <n v="-1567.74"/>
    <n v="-13054.34"/>
    <n v="-63165.990000000005"/>
    <n v="11486.6"/>
  </r>
  <r>
    <x v="19"/>
    <x v="4"/>
    <x v="0"/>
    <s v="4845103"/>
    <n v="400020"/>
    <s v="O/P Care Svcs Rev--Medicare"/>
    <s v="Ultrasound"/>
    <x v="0"/>
    <n v="1100"/>
    <n v="-86911.61"/>
    <n v="-119302.13"/>
    <n v="-93876.66"/>
    <n v="-86604.52"/>
    <n v="-91069.88"/>
    <n v="-99890.37"/>
    <n v="-94545.23"/>
    <n v="-70742.58"/>
    <n v="-89324.89"/>
    <n v="-89415.52"/>
    <n v="-89619.87"/>
    <n v="-72993.600000000006"/>
    <n v="-1084296.8600000001"/>
    <n v="-16626.26999999999"/>
  </r>
  <r>
    <x v="19"/>
    <x v="4"/>
    <x v="0"/>
    <s v="4845103"/>
    <n v="400020"/>
    <s v="O/P Care Svcs Rev--Medicaid"/>
    <s v="Ultrasound"/>
    <x v="0"/>
    <n v="1200"/>
    <n v="-142959.39000000001"/>
    <n v="-145977.98000000001"/>
    <n v="-154757.07999999999"/>
    <n v="-178385.23"/>
    <n v="-146337.57999999999"/>
    <n v="-172104.44"/>
    <n v="-155474.12"/>
    <n v="-133144.15"/>
    <n v="-166562.25"/>
    <n v="-137821.65"/>
    <n v="-160178.23999999999"/>
    <n v="-159933.07999999999"/>
    <n v="-1853635.1899999997"/>
    <n v="-245.16000000000349"/>
  </r>
  <r>
    <x v="19"/>
    <x v="4"/>
    <x v="0"/>
    <s v="4845103"/>
    <n v="400020"/>
    <s v="O/P Care Svcs Rev--Comm Insurance"/>
    <s v="Ultrasound"/>
    <x v="0"/>
    <n v="1300"/>
    <n v="-7971.3"/>
    <n v="-11776.16"/>
    <n v="-15918.42"/>
    <n v="-16856.71"/>
    <n v="-13791.55"/>
    <n v="-8541.5400000000009"/>
    <n v="-13077.75"/>
    <n v="-11292.32"/>
    <n v="-15987.93"/>
    <n v="-18538.45"/>
    <n v="-16385.310000000001"/>
    <n v="-12171.64"/>
    <n v="-162309.08000000002"/>
    <n v="-4213.6700000000019"/>
  </r>
  <r>
    <x v="19"/>
    <x v="4"/>
    <x v="0"/>
    <s v="4845103"/>
    <n v="400020"/>
    <s v="O/P Care Svcs Rev--BCBS Comm"/>
    <s v="Ultrasound"/>
    <x v="0"/>
    <n v="1301"/>
    <n v="-20861.689999999999"/>
    <n v="-29160.26"/>
    <n v="-26835.1"/>
    <n v="-30416.3"/>
    <n v="-27702"/>
    <n v="-25070.81"/>
    <n v="-39095.49"/>
    <n v="-20460.310000000001"/>
    <n v="-22951.1"/>
    <n v="-26657.39"/>
    <n v="-28447.05"/>
    <n v="-22350.74"/>
    <n v="-320008.23999999993"/>
    <n v="-6096.3099999999977"/>
  </r>
  <r>
    <x v="19"/>
    <x v="4"/>
    <x v="0"/>
    <s v="4845103"/>
    <n v="400020"/>
    <s v="O/P Care Svcs Rev--Managed Care"/>
    <s v="Ultrasound"/>
    <x v="0"/>
    <n v="1400"/>
    <n v="-62616.77"/>
    <n v="-83701.259999999995"/>
    <n v="-70012.53"/>
    <n v="-84936.57"/>
    <n v="-63638.78"/>
    <n v="-76053.279999999999"/>
    <n v="-80365.7"/>
    <n v="-80487.75"/>
    <n v="-71066.95"/>
    <n v="-83745.69"/>
    <n v="-72235.539999999994"/>
    <n v="-76607.7"/>
    <n v="-905468.52"/>
    <n v="4372.1600000000035"/>
  </r>
  <r>
    <x v="19"/>
    <x v="4"/>
    <x v="0"/>
    <s v="4845103"/>
    <n v="400020"/>
    <s v="O/P Care Svcs Rev--Self Pay"/>
    <s v="Ultrasound"/>
    <x v="0"/>
    <n v="1500"/>
    <n v="-14154.57"/>
    <n v="-15227.52"/>
    <n v="-13454.04"/>
    <n v="-8100.24"/>
    <n v="-25969.13"/>
    <n v="-14355.48"/>
    <n v="-10073.030000000001"/>
    <n v="-5748.16"/>
    <n v="-17352.28"/>
    <n v="-8139.74"/>
    <n v="-24216.57"/>
    <n v="-146.01"/>
    <n v="-156936.77000000002"/>
    <n v="-24070.560000000001"/>
  </r>
  <r>
    <x v="19"/>
    <x v="4"/>
    <x v="0"/>
    <s v="4845103"/>
    <n v="400020"/>
    <s v="O/P Care Svcs Rev--Other"/>
    <s v="Ultrasound"/>
    <x v="0"/>
    <n v="1700"/>
    <n v="-36281.07"/>
    <n v="-35917.230000000003"/>
    <n v="-29355.9"/>
    <n v="-28461.51"/>
    <n v="-22719.06"/>
    <n v="-19827.849999999999"/>
    <n v="-19512.7"/>
    <n v="-22005.35"/>
    <n v="-33680.26"/>
    <n v="-49747"/>
    <n v="-35404.29"/>
    <n v="-20742.53"/>
    <n v="-353654.75"/>
    <n v="-14661.760000000002"/>
  </r>
  <r>
    <x v="5"/>
    <x v="4"/>
    <x v="0"/>
    <s v="4845103"/>
    <n v="700014"/>
    <s v="Salaries-Management-Productive"/>
    <s v="Ultrasound"/>
    <x v="0"/>
    <m/>
    <n v="0"/>
    <n v="0"/>
    <n v="0"/>
    <n v="0"/>
    <n v="0"/>
    <n v="0"/>
    <n v="0"/>
    <n v="477.46"/>
    <n v="0"/>
    <n v="0"/>
    <n v="0"/>
    <n v="0"/>
    <n v="477.46"/>
    <n v="0"/>
  </r>
  <r>
    <x v="5"/>
    <x v="4"/>
    <x v="0"/>
    <s v="4845103"/>
    <n v="700014"/>
    <s v="Salaries-Management-Other"/>
    <s v="Ultrasound"/>
    <x v="0"/>
    <n v="2000"/>
    <n v="0"/>
    <n v="0"/>
    <n v="0"/>
    <n v="0"/>
    <n v="0"/>
    <n v="0"/>
    <n v="0"/>
    <n v="280.44"/>
    <n v="0"/>
    <n v="0"/>
    <n v="0"/>
    <n v="0"/>
    <n v="280.44"/>
    <n v="0"/>
  </r>
  <r>
    <x v="5"/>
    <x v="4"/>
    <x v="0"/>
    <s v="4845103"/>
    <n v="700034"/>
    <s v="Salaries-Tech/Professional-Productive"/>
    <s v="Ultrasound"/>
    <x v="0"/>
    <m/>
    <n v="33006.370000000003"/>
    <n v="29559.77"/>
    <n v="26803.35"/>
    <n v="28672.47"/>
    <n v="28255.23"/>
    <n v="27510.51"/>
    <n v="28346.69"/>
    <n v="24238.93"/>
    <n v="28376.59"/>
    <n v="27874.720000000001"/>
    <n v="27878.99"/>
    <n v="24345.09"/>
    <n v="334868.71000000002"/>
    <n v="3533.9000000000015"/>
  </r>
  <r>
    <x v="5"/>
    <x v="4"/>
    <x v="0"/>
    <s v="4845103"/>
    <n v="700034"/>
    <s v="Salaries-Tech/Professional-OT"/>
    <s v="Ultrasound"/>
    <x v="0"/>
    <n v="1000"/>
    <n v="1515.23"/>
    <n v="1536.93"/>
    <n v="1749.93"/>
    <n v="659.27"/>
    <n v="2215.16"/>
    <n v="1167.17"/>
    <n v="1309.29"/>
    <n v="1554.9"/>
    <n v="1181.58"/>
    <n v="1828.23"/>
    <n v="1052.7"/>
    <n v="1412.48"/>
    <n v="17182.87"/>
    <n v="-359.78"/>
  </r>
  <r>
    <x v="5"/>
    <x v="4"/>
    <x v="0"/>
    <s v="4845103"/>
    <n v="700034"/>
    <s v="Salaries-Tech/Professional-Other"/>
    <s v="Ultrasound"/>
    <x v="0"/>
    <n v="2000"/>
    <n v="3950.69"/>
    <n v="3732.59"/>
    <n v="3011.1"/>
    <n v="3163.43"/>
    <n v="2736.81"/>
    <n v="3443.31"/>
    <n v="2807.58"/>
    <n v="2834.21"/>
    <n v="3036.14"/>
    <n v="2685.66"/>
    <n v="2864.36"/>
    <n v="3711.2"/>
    <n v="37977.079999999994"/>
    <n v="-846.83999999999969"/>
  </r>
  <r>
    <x v="5"/>
    <x v="4"/>
    <x v="0"/>
    <s v="4845103"/>
    <n v="700054"/>
    <s v="Salaries-Management-NonProd-Other"/>
    <s v="Ultrasound"/>
    <x v="0"/>
    <n v="2000"/>
    <n v="0"/>
    <n v="0"/>
    <n v="0"/>
    <n v="0"/>
    <n v="0"/>
    <n v="103.09"/>
    <n v="-103.09"/>
    <n v="334.24"/>
    <n v="0"/>
    <n v="0"/>
    <n v="0"/>
    <n v="0"/>
    <n v="334.24"/>
    <n v="0"/>
  </r>
  <r>
    <x v="5"/>
    <x v="4"/>
    <x v="0"/>
    <s v="4845103"/>
    <n v="700074"/>
    <s v="Salaries-Tech/Professional-Non-productive"/>
    <s v="Ultrasound"/>
    <x v="0"/>
    <m/>
    <n v="5242.3500000000004"/>
    <n v="6942.76"/>
    <n v="4181.55"/>
    <n v="5599.57"/>
    <n v="-1131.52"/>
    <n v="7296.98"/>
    <n v="841.7"/>
    <n v="3829.01"/>
    <n v="3169.5"/>
    <n v="1323.91"/>
    <n v="773.85"/>
    <n v="11577.98"/>
    <n v="49647.64"/>
    <n v="-10804.13"/>
  </r>
  <r>
    <x v="5"/>
    <x v="4"/>
    <x v="0"/>
    <s v="4845103"/>
    <n v="700074"/>
    <s v="Salaries-Tech/Professional-NonProd-Other"/>
    <s v="Ultrasound"/>
    <x v="0"/>
    <n v="2000"/>
    <n v="3907.14"/>
    <n v="2602.89"/>
    <n v="4851.45"/>
    <n v="3419.63"/>
    <n v="3332.2"/>
    <n v="5451.2"/>
    <n v="3672.49"/>
    <n v="2942.72"/>
    <n v="4121.1099999999997"/>
    <n v="2734.56"/>
    <n v="4882.45"/>
    <n v="4189.28"/>
    <n v="46107.119999999995"/>
    <n v="693.17000000000007"/>
  </r>
  <r>
    <x v="5"/>
    <x v="4"/>
    <x v="0"/>
    <s v="4845103"/>
    <n v="700084"/>
    <s v="Accrued PTO"/>
    <s v="Ultrasound"/>
    <x v="0"/>
    <m/>
    <n v="-3496.93"/>
    <n v="-4164.53"/>
    <n v="-948.77"/>
    <n v="711.92"/>
    <n v="1480.57"/>
    <n v="-1346.56"/>
    <n v="1290.03"/>
    <n v="1007.59"/>
    <n v="1578.32"/>
    <n v="1053.5999999999999"/>
    <n v="1424.55"/>
    <n v="-4617.5"/>
    <n v="-6027.71"/>
    <n v="6042.05"/>
  </r>
  <r>
    <x v="6"/>
    <x v="4"/>
    <x v="0"/>
    <s v="4845103"/>
    <n v="713010"/>
    <s v="Benefits-FICA/Medicare"/>
    <s v="Ultrasound"/>
    <x v="0"/>
    <m/>
    <n v="3584.85"/>
    <n v="3334.58"/>
    <n v="3050.37"/>
    <n v="3117.78"/>
    <n v="2652.76"/>
    <n v="3383.36"/>
    <n v="2773.92"/>
    <n v="2743.06"/>
    <n v="2980.3"/>
    <n v="2727.7"/>
    <n v="2802.9"/>
    <n v="3398.74"/>
    <n v="36550.32"/>
    <n v="-595.83999999999969"/>
  </r>
  <r>
    <x v="6"/>
    <x v="4"/>
    <x v="0"/>
    <s v="4845103"/>
    <n v="713090"/>
    <s v="Benefits-Allocated Amounts"/>
    <s v="Ultrasound"/>
    <x v="0"/>
    <m/>
    <n v="7330.92"/>
    <n v="5708.56"/>
    <n v="5763.84"/>
    <n v="5822.7"/>
    <n v="5203.92"/>
    <n v="6105.2"/>
    <n v="5573.05"/>
    <n v="5821.37"/>
    <n v="5804.13"/>
    <n v="6021.25"/>
    <n v="5750.27"/>
    <n v="7023.72"/>
    <n v="71928.930000000008"/>
    <n v="-1273.4499999999998"/>
  </r>
  <r>
    <x v="7"/>
    <x v="4"/>
    <x v="0"/>
    <s v="4845103"/>
    <n v="718050"/>
    <s v="Contract Svcs-Other"/>
    <s v="Ultrasound"/>
    <x v="0"/>
    <m/>
    <n v="0"/>
    <n v="0"/>
    <n v="0"/>
    <n v="0"/>
    <n v="750"/>
    <n v="0"/>
    <n v="0"/>
    <n v="22.64"/>
    <n v="0"/>
    <n v="11.32"/>
    <n v="11.32"/>
    <n v="11.32"/>
    <n v="806.60000000000014"/>
    <n v="0"/>
  </r>
  <r>
    <x v="7"/>
    <x v="4"/>
    <x v="0"/>
    <s v="4845103"/>
    <n v="718050"/>
    <s v="Miscellaneous Purchased Svcs"/>
    <s v="Ultrasound"/>
    <x v="0"/>
    <n v="1020"/>
    <n v="0"/>
    <n v="0"/>
    <n v="0"/>
    <n v="0"/>
    <n v="-7024.53"/>
    <n v="11.32"/>
    <n v="0"/>
    <n v="0"/>
    <n v="11.32"/>
    <n v="0"/>
    <n v="0"/>
    <n v="0"/>
    <n v="-7001.89"/>
    <n v="0"/>
  </r>
  <r>
    <x v="7"/>
    <x v="4"/>
    <x v="0"/>
    <s v="4845103"/>
    <n v="718070"/>
    <s v="Contract Srvcs-CHI Clinical Engineering"/>
    <s v="Ultrasound"/>
    <x v="0"/>
    <m/>
    <n v="14"/>
    <n v="14"/>
    <n v="14"/>
    <n v="4082.15"/>
    <n v="14"/>
    <n v="14"/>
    <n v="14"/>
    <n v="14"/>
    <n v="14"/>
    <n v="14"/>
    <n v="14"/>
    <n v="14"/>
    <n v="4236.1499999999996"/>
    <n v="0"/>
  </r>
  <r>
    <x v="11"/>
    <x v="4"/>
    <x v="0"/>
    <s v="4845103"/>
    <n v="721010"/>
    <s v="Supplies-Medical - Billable"/>
    <s v="Ultrasound"/>
    <x v="0"/>
    <m/>
    <n v="1720.8"/>
    <n v="965.21"/>
    <n v="2951.52"/>
    <n v="2553.17"/>
    <n v="1418.37"/>
    <n v="0"/>
    <n v="3097.14"/>
    <n v="965.21"/>
    <n v="945.58"/>
    <n v="472.79"/>
    <n v="945.57"/>
    <n v="0"/>
    <n v="16035.359999999999"/>
    <n v="945.57"/>
  </r>
  <r>
    <x v="11"/>
    <x v="4"/>
    <x v="0"/>
    <s v="4845103"/>
    <n v="721020"/>
    <s v="Supplies-Surgical - Billable"/>
    <s v="Ultrasound"/>
    <x v="0"/>
    <m/>
    <n v="63.74"/>
    <n v="63.74"/>
    <n v="63.74"/>
    <n v="0"/>
    <n v="0"/>
    <n v="0"/>
    <n v="0"/>
    <n v="0"/>
    <n v="0"/>
    <n v="0"/>
    <n v="0"/>
    <n v="1792.69"/>
    <n v="1983.91"/>
    <n v="-1792.69"/>
  </r>
  <r>
    <x v="11"/>
    <x v="4"/>
    <x v="0"/>
    <s v="4845103"/>
    <n v="721020"/>
    <s v="Custom Packs"/>
    <s v="Ultrasound"/>
    <x v="0"/>
    <n v="1000"/>
    <n v="29.48"/>
    <n v="36.86"/>
    <n v="29.48"/>
    <n v="51.4"/>
    <n v="0"/>
    <n v="60.57"/>
    <n v="0"/>
    <n v="36.86"/>
    <n v="51.6"/>
    <n v="0"/>
    <n v="26.92"/>
    <n v="26.92"/>
    <n v="350.09000000000003"/>
    <n v="0"/>
  </r>
  <r>
    <x v="11"/>
    <x v="4"/>
    <x v="0"/>
    <s v="4845103"/>
    <n v="721050"/>
    <s v="Supplies-Cardiac Rhythm - Billable"/>
    <s v="Ultrasound"/>
    <x v="0"/>
    <m/>
    <n v="0"/>
    <n v="0"/>
    <n v="0"/>
    <n v="55.12"/>
    <n v="0"/>
    <n v="0"/>
    <n v="155.5"/>
    <n v="0"/>
    <n v="0"/>
    <n v="62.2"/>
    <n v="0"/>
    <n v="0"/>
    <n v="272.82"/>
    <n v="0"/>
  </r>
  <r>
    <x v="11"/>
    <x v="4"/>
    <x v="0"/>
    <s v="4845103"/>
    <n v="721240"/>
    <s v="Supplies-IV Solutions/Supplies - Billable"/>
    <s v="Ultrasound"/>
    <x v="0"/>
    <m/>
    <n v="2814"/>
    <n v="1330.84"/>
    <n v="1627.5"/>
    <n v="1847.06"/>
    <n v="1137.5"/>
    <n v="1198.75"/>
    <n v="1662.5"/>
    <n v="1230.25"/>
    <n v="777"/>
    <n v="840"/>
    <n v="315"/>
    <n v="359.64"/>
    <n v="15140.039999999999"/>
    <n v="-44.639999999999986"/>
  </r>
  <r>
    <x v="11"/>
    <x v="4"/>
    <x v="0"/>
    <s v="4845103"/>
    <n v="721250"/>
    <s v="Supplies-Pharmacy Drugs - Billable"/>
    <s v="Ultrasound"/>
    <x v="0"/>
    <m/>
    <n v="0"/>
    <n v="0"/>
    <n v="0"/>
    <n v="1055.27"/>
    <n v="0"/>
    <n v="0"/>
    <n v="0"/>
    <n v="0"/>
    <n v="0"/>
    <n v="0"/>
    <n v="0"/>
    <n v="0"/>
    <n v="1055.27"/>
    <n v="0"/>
  </r>
  <r>
    <x v="11"/>
    <x v="4"/>
    <x v="0"/>
    <s v="4845103"/>
    <n v="721410"/>
    <s v="Supplies-Medical - Nonbillable"/>
    <s v="Ultrasound"/>
    <x v="0"/>
    <m/>
    <n v="246.48"/>
    <n v="225"/>
    <n v="199.04"/>
    <n v="588.28"/>
    <n v="93.79"/>
    <n v="274.2"/>
    <n v="215.92"/>
    <n v="231.57"/>
    <n v="159.5"/>
    <n v="-864.35"/>
    <n v="131.27000000000001"/>
    <n v="257.3"/>
    <n v="1758.0000000000002"/>
    <n v="-126.03"/>
  </r>
  <r>
    <x v="11"/>
    <x v="4"/>
    <x v="0"/>
    <s v="4845103"/>
    <n v="721420"/>
    <s v="Supplies-Surgical Nonbillable"/>
    <s v="Ultrasound"/>
    <x v="0"/>
    <m/>
    <n v="33.08"/>
    <n v="24.06"/>
    <n v="1.76"/>
    <n v="46.43"/>
    <n v="26.9"/>
    <n v="18.04"/>
    <n v="19"/>
    <n v="7.09"/>
    <n v="37.33"/>
    <n v="24.06"/>
    <n v="36.090000000000003"/>
    <n v="12.03"/>
    <n v="285.87"/>
    <n v="24.060000000000002"/>
  </r>
  <r>
    <x v="11"/>
    <x v="4"/>
    <x v="0"/>
    <s v="4845103"/>
    <n v="721420"/>
    <s v="Sterilization Process Products"/>
    <s v="Ultrasound"/>
    <x v="0"/>
    <n v="1009"/>
    <n v="0"/>
    <n v="0"/>
    <n v="0"/>
    <n v="-11.63"/>
    <n v="0"/>
    <n v="0"/>
    <n v="0"/>
    <n v="0"/>
    <n v="53.15"/>
    <n v="106.7"/>
    <n v="0"/>
    <n v="63.78"/>
    <n v="212"/>
    <n v="-63.78"/>
  </r>
  <r>
    <x v="11"/>
    <x v="4"/>
    <x v="0"/>
    <s v="4845103"/>
    <n v="721640"/>
    <s v="Supplies-IV Solutions/Supplies - Nonbillable"/>
    <s v="Ultrasound"/>
    <x v="0"/>
    <m/>
    <n v="2.66"/>
    <n v="0"/>
    <n v="5.5"/>
    <n v="2.33"/>
    <n v="0"/>
    <n v="0"/>
    <n v="93.07"/>
    <n v="-6.6"/>
    <n v="0"/>
    <n v="0"/>
    <n v="0"/>
    <n v="0"/>
    <n v="96.96"/>
    <n v="0"/>
  </r>
  <r>
    <x v="11"/>
    <x v="4"/>
    <x v="0"/>
    <s v="4845103"/>
    <n v="721650"/>
    <s v="Supplies-Pharmacy Drugs - Nonbillable"/>
    <s v="Ultrasound"/>
    <x v="0"/>
    <m/>
    <n v="0"/>
    <n v="7.25"/>
    <n v="14.5"/>
    <n v="0.31"/>
    <n v="0"/>
    <n v="7.25"/>
    <n v="7.25"/>
    <n v="0"/>
    <n v="7.25"/>
    <n v="7.25"/>
    <n v="0"/>
    <n v="7.25"/>
    <n v="58.31"/>
    <n v="-7.25"/>
  </r>
  <r>
    <x v="11"/>
    <x v="4"/>
    <x v="0"/>
    <s v="4845103"/>
    <n v="721710"/>
    <s v="Supplies-Laboratory - Nonbillable"/>
    <s v="Ultrasound"/>
    <x v="0"/>
    <m/>
    <n v="0"/>
    <n v="21.1"/>
    <n v="9.1199999999999992"/>
    <n v="34.409999999999997"/>
    <n v="3.77"/>
    <n v="4.5599999999999996"/>
    <n v="0"/>
    <n v="4.6900000000000004"/>
    <n v="4.5599999999999996"/>
    <n v="0"/>
    <n v="0.4"/>
    <n v="0"/>
    <n v="82.61"/>
    <n v="0.4"/>
  </r>
  <r>
    <x v="11"/>
    <x v="4"/>
    <x v="0"/>
    <s v="4845103"/>
    <n v="721750"/>
    <s v="Supplies-Film/Radiographic - Nonbillable"/>
    <s v="Ultrasound"/>
    <x v="0"/>
    <m/>
    <n v="2180.65"/>
    <n v="493.83"/>
    <n v="215.76"/>
    <n v="121.6"/>
    <n v="910.71"/>
    <n v="86.87"/>
    <n v="280.32"/>
    <n v="30.02"/>
    <n v="502"/>
    <n v="2378.87"/>
    <n v="73.069999999999993"/>
    <n v="24.36"/>
    <n v="7298.0599999999995"/>
    <n v="48.709999999999994"/>
  </r>
  <r>
    <x v="11"/>
    <x v="4"/>
    <x v="0"/>
    <s v="4845103"/>
    <n v="721810"/>
    <s v="Supplies-Dietary/Cafeteria"/>
    <s v="Ultrasound"/>
    <x v="0"/>
    <m/>
    <n v="17.96"/>
    <n v="3.24"/>
    <n v="0"/>
    <n v="15.01"/>
    <n v="0"/>
    <n v="0"/>
    <n v="0"/>
    <n v="0"/>
    <n v="11.73"/>
    <n v="0"/>
    <n v="0"/>
    <n v="0"/>
    <n v="47.94"/>
    <n v="0"/>
  </r>
  <r>
    <x v="11"/>
    <x v="4"/>
    <x v="0"/>
    <s v="4845103"/>
    <n v="721830"/>
    <s v="Supplies-Office"/>
    <s v="Ultrasound"/>
    <x v="0"/>
    <m/>
    <n v="85.72"/>
    <n v="0"/>
    <n v="0"/>
    <n v="0"/>
    <n v="0"/>
    <n v="0"/>
    <n v="0"/>
    <n v="0"/>
    <n v="67.459999999999994"/>
    <n v="0"/>
    <n v="0"/>
    <n v="31.2"/>
    <n v="184.38"/>
    <n v="-31.2"/>
  </r>
  <r>
    <x v="11"/>
    <x v="4"/>
    <x v="0"/>
    <s v="4845103"/>
    <n v="721870"/>
    <s v="Supplies-Environmental Services"/>
    <s v="Ultrasound"/>
    <x v="0"/>
    <m/>
    <n v="25.82"/>
    <n v="9.6"/>
    <n v="5.9"/>
    <n v="13.41"/>
    <n v="0"/>
    <n v="14.41"/>
    <n v="7.87"/>
    <n v="0"/>
    <n v="0"/>
    <n v="0"/>
    <n v="9.6"/>
    <n v="7.87"/>
    <n v="94.48"/>
    <n v="1.7299999999999995"/>
  </r>
  <r>
    <x v="11"/>
    <x v="4"/>
    <x v="0"/>
    <s v="4845103"/>
    <n v="721910"/>
    <s v="Supplies-Small Equipment"/>
    <s v="Ultrasound"/>
    <x v="0"/>
    <m/>
    <n v="0"/>
    <n v="0"/>
    <n v="0"/>
    <n v="1"/>
    <n v="0"/>
    <n v="0"/>
    <n v="0"/>
    <n v="0"/>
    <n v="0"/>
    <n v="0"/>
    <n v="0"/>
    <n v="739.33"/>
    <n v="740.33"/>
    <n v="-739.33"/>
  </r>
  <r>
    <x v="11"/>
    <x v="4"/>
    <x v="0"/>
    <s v="4845103"/>
    <n v="721910"/>
    <s v="Instruments"/>
    <s v="Ultrasound"/>
    <x v="0"/>
    <n v="1000"/>
    <n v="0"/>
    <n v="0"/>
    <n v="0"/>
    <n v="0"/>
    <n v="0"/>
    <n v="0"/>
    <n v="0"/>
    <n v="0"/>
    <n v="0"/>
    <n v="0"/>
    <n v="70.2"/>
    <n v="0"/>
    <n v="70.2"/>
    <n v="70.2"/>
  </r>
  <r>
    <x v="11"/>
    <x v="4"/>
    <x v="0"/>
    <s v="4845103"/>
    <n v="721980"/>
    <s v="Supplies-Other"/>
    <s v="Ultrasound"/>
    <x v="0"/>
    <m/>
    <n v="341.82"/>
    <n v="25.18"/>
    <n v="0"/>
    <n v="-833.78"/>
    <n v="0"/>
    <n v="0"/>
    <n v="0"/>
    <n v="0"/>
    <n v="0"/>
    <n v="0"/>
    <n v="0"/>
    <n v="0"/>
    <n v="-466.78"/>
    <n v="0"/>
  </r>
  <r>
    <x v="11"/>
    <x v="4"/>
    <x v="0"/>
    <s v="4845103"/>
    <n v="722000"/>
    <s v="Supplies-Freight Expense"/>
    <s v="Ultrasound"/>
    <x v="0"/>
    <m/>
    <n v="-22.68"/>
    <n v="81.09"/>
    <n v="33.82"/>
    <n v="89.15"/>
    <n v="16.89"/>
    <n v="102.75"/>
    <n v="0"/>
    <n v="122.76"/>
    <n v="48.84"/>
    <n v="48.84"/>
    <n v="24.5"/>
    <n v="12.27"/>
    <n v="558.23"/>
    <n v="12.23"/>
  </r>
  <r>
    <x v="12"/>
    <x v="4"/>
    <x v="0"/>
    <s v="4845103"/>
    <n v="730010"/>
    <s v="Rental and Leases-Building (DO NOT USE)"/>
    <s v="Ultrasound"/>
    <x v="0"/>
    <m/>
    <n v="0"/>
    <n v="0"/>
    <n v="0"/>
    <n v="10457.709999999999"/>
    <n v="1427.13"/>
    <n v="0"/>
    <n v="0"/>
    <n v="0"/>
    <n v="0"/>
    <n v="0"/>
    <n v="0"/>
    <n v="0"/>
    <n v="11884.84"/>
    <n v="0"/>
  </r>
  <r>
    <x v="15"/>
    <x v="4"/>
    <x v="0"/>
    <s v="4845103"/>
    <n v="731020"/>
    <s v="Electricity"/>
    <s v="Ultrasound"/>
    <x v="0"/>
    <m/>
    <n v="0"/>
    <n v="0"/>
    <n v="0"/>
    <n v="613.04999999999995"/>
    <n v="0"/>
    <n v="0"/>
    <n v="0"/>
    <n v="0"/>
    <n v="0"/>
    <n v="0"/>
    <n v="0"/>
    <n v="0"/>
    <n v="613.04999999999995"/>
    <n v="0"/>
  </r>
  <r>
    <x v="15"/>
    <x v="4"/>
    <x v="0"/>
    <s v="4845103"/>
    <n v="731060"/>
    <s v="Pagers"/>
    <s v="Ultrasound"/>
    <x v="0"/>
    <n v="1002"/>
    <n v="105.3"/>
    <n v="105.3"/>
    <n v="105.3"/>
    <n v="98.36"/>
    <n v="161.09"/>
    <n v="0"/>
    <n v="146.16"/>
    <n v="73.08"/>
    <n v="73.08"/>
    <n v="73.08"/>
    <n v="73.08"/>
    <n v="73.08"/>
    <n v="1086.9100000000001"/>
    <n v="0"/>
  </r>
  <r>
    <x v="13"/>
    <x v="4"/>
    <x v="0"/>
    <s v="4845103"/>
    <n v="735070"/>
    <s v="Depreciation-Movable Equipment"/>
    <s v="Ultrasound"/>
    <x v="0"/>
    <m/>
    <n v="4117.57"/>
    <n v="4117.57"/>
    <n v="4117.57"/>
    <n v="4117.57"/>
    <n v="4117.57"/>
    <n v="4117.5600000000004"/>
    <n v="4117.58"/>
    <n v="4117.5600000000004"/>
    <n v="4117.58"/>
    <n v="4117.5600000000004"/>
    <n v="4117.58"/>
    <n v="4117.5600000000004"/>
    <n v="49410.829999999994"/>
    <n v="1.9999999999527063E-2"/>
  </r>
  <r>
    <x v="0"/>
    <x v="4"/>
    <x v="0"/>
    <s v="4845103"/>
    <n v="749510"/>
    <s v="Miscellaneous Expenses"/>
    <s v="Ultrasound"/>
    <x v="0"/>
    <m/>
    <n v="0"/>
    <n v="0"/>
    <n v="0"/>
    <n v="83.1"/>
    <n v="0"/>
    <n v="0"/>
    <n v="0"/>
    <n v="0"/>
    <n v="0"/>
    <n v="0"/>
    <n v="0"/>
    <n v="0"/>
    <n v="83.1"/>
    <n v="0"/>
  </r>
  <r>
    <x v="18"/>
    <x v="8"/>
    <x v="0"/>
    <s v="4845104"/>
    <n v="400010"/>
    <s v="Acute I/P Svcs Rev--Medicare"/>
    <s v="Ultrasound"/>
    <x v="0"/>
    <n v="1100"/>
    <n v="-57572.38"/>
    <n v="-50327.48"/>
    <n v="-51550.5"/>
    <n v="-65425.56"/>
    <n v="-67700.38"/>
    <n v="-49183.42"/>
    <n v="-49128.58"/>
    <n v="-56045.35"/>
    <n v="-75298.679999999993"/>
    <n v="-73107.11"/>
    <n v="-55904.26"/>
    <n v="-52040.65"/>
    <n v="-703284.35"/>
    <n v="-3863.6100000000006"/>
  </r>
  <r>
    <x v="18"/>
    <x v="8"/>
    <x v="0"/>
    <s v="4845104"/>
    <n v="400010"/>
    <s v="Acute I/P Svcs Rev--Medicaid"/>
    <s v="Ultrasound"/>
    <x v="0"/>
    <n v="1200"/>
    <n v="-10769.68"/>
    <n v="-19609.560000000001"/>
    <n v="-9681.08"/>
    <n v="-27557.27"/>
    <n v="-13702.38"/>
    <n v="-10577.23"/>
    <n v="-12860.82"/>
    <n v="-16807.87"/>
    <n v="-15271.3"/>
    <n v="-17069.330000000002"/>
    <n v="-25884.33"/>
    <n v="-16982.16"/>
    <n v="-196773.00999999998"/>
    <n v="-8902.1700000000019"/>
  </r>
  <r>
    <x v="18"/>
    <x v="8"/>
    <x v="0"/>
    <s v="4845104"/>
    <n v="400010"/>
    <s v="Acute I/P Svcs Rev--Comm Insurance"/>
    <s v="Ultrasound"/>
    <x v="0"/>
    <n v="1300"/>
    <n v="355.2"/>
    <n v="801.6"/>
    <n v="-1811.88"/>
    <n v="-905.94"/>
    <n v="-1214.6400000000001"/>
    <n v="-841.68"/>
    <n v="-2120.58"/>
    <n v="1214.6400000000001"/>
    <n v="0"/>
    <n v="0"/>
    <n v="0"/>
    <n v="0"/>
    <n v="-4523.28"/>
    <n v="0"/>
  </r>
  <r>
    <x v="18"/>
    <x v="8"/>
    <x v="0"/>
    <s v="4845104"/>
    <n v="400010"/>
    <s v="Acute I/P Svcs Rev--BCBS Comm"/>
    <s v="Ultrasound"/>
    <x v="0"/>
    <n v="1301"/>
    <n v="-2622.06"/>
    <n v="-4529.7"/>
    <n v="-1811.88"/>
    <n v="-5362.56"/>
    <n v="-7329.8"/>
    <n v="-4663.6400000000003"/>
    <n v="-6053.04"/>
    <n v="-2703.31"/>
    <n v="-4302.21"/>
    <n v="-7274.67"/>
    <n v="-9140.91"/>
    <n v="-6087.18"/>
    <n v="-61880.959999999999"/>
    <n v="-3053.7299999999996"/>
  </r>
  <r>
    <x v="18"/>
    <x v="8"/>
    <x v="0"/>
    <s v="4845104"/>
    <n v="400010"/>
    <s v="Acute I/P Svcs Rev--Managed Care"/>
    <s v="Ultrasound"/>
    <x v="0"/>
    <n v="1400"/>
    <n v="-6361.74"/>
    <n v="-8019.06"/>
    <n v="-15641.16"/>
    <n v="-9465.26"/>
    <n v="-9505.34"/>
    <n v="-14556.68"/>
    <n v="-7213.5"/>
    <n v="-10697.21"/>
    <n v="-7289.83"/>
    <n v="-2391.0500000000002"/>
    <n v="-5642.59"/>
    <n v="-6747.57"/>
    <n v="-103530.98999999999"/>
    <n v="1104.9799999999996"/>
  </r>
  <r>
    <x v="18"/>
    <x v="8"/>
    <x v="0"/>
    <s v="4845104"/>
    <n v="400010"/>
    <s v="Acute I/P Svcs Rev--Self Pay"/>
    <s v="Ultrasound"/>
    <x v="0"/>
    <n v="1500"/>
    <n v="1725.6"/>
    <n v="-3176.16"/>
    <n v="-12180.2"/>
    <n v="-3057.15"/>
    <n v="0"/>
    <n v="-905.94"/>
    <n v="0"/>
    <n v="0"/>
    <n v="-933.12"/>
    <n v="-2799.36"/>
    <n v="-2382.7600000000002"/>
    <n v="-1989.61"/>
    <n v="-25698.699999999997"/>
    <n v="-393.15000000000032"/>
  </r>
  <r>
    <x v="18"/>
    <x v="8"/>
    <x v="0"/>
    <s v="4845104"/>
    <n v="400010"/>
    <s v="Acute I/P Svcs Rev--Other"/>
    <s v="Ultrasound"/>
    <x v="0"/>
    <n v="1700"/>
    <n v="-3580.62"/>
    <n v="-4241.16"/>
    <n v="-3026.52"/>
    <n v="-10724.16"/>
    <n v="-3390.66"/>
    <n v="0"/>
    <n v="-4742.6400000000003"/>
    <n v="-12686.05"/>
    <n v="862.8"/>
    <n v="-8670.92"/>
    <n v="-6578.37"/>
    <n v="-2502.16"/>
    <n v="-59280.459999999992"/>
    <n v="-4076.21"/>
  </r>
  <r>
    <x v="19"/>
    <x v="8"/>
    <x v="0"/>
    <s v="4845104"/>
    <n v="400020"/>
    <s v="O/P Care Svcs Rev--Medicare"/>
    <s v="Ultrasound"/>
    <x v="0"/>
    <n v="1100"/>
    <n v="-94924.72"/>
    <n v="-74426.42"/>
    <n v="-83691.960000000006"/>
    <n v="-86621.19"/>
    <n v="-79298.06"/>
    <n v="-69891.45"/>
    <n v="-79810.19"/>
    <n v="-68848.05"/>
    <n v="-101097.63"/>
    <n v="-106187.93"/>
    <n v="-106221.94"/>
    <n v="-92260.08"/>
    <n v="-1043279.62"/>
    <n v="-13961.86"/>
  </r>
  <r>
    <x v="19"/>
    <x v="8"/>
    <x v="0"/>
    <s v="4845104"/>
    <n v="400020"/>
    <s v="O/P Care Svcs Rev--Medicaid"/>
    <s v="Ultrasound"/>
    <x v="0"/>
    <n v="1200"/>
    <n v="-72342.69"/>
    <n v="-90612.479999999996"/>
    <n v="-68492.399999999994"/>
    <n v="-55812.54"/>
    <n v="-97326.93"/>
    <n v="-50210.58"/>
    <n v="-79795.38"/>
    <n v="-64412.95"/>
    <n v="-87543.06"/>
    <n v="-77740.639999999999"/>
    <n v="-64647.48"/>
    <n v="-63908.67"/>
    <n v="-872845.8"/>
    <n v="-738.81000000000495"/>
  </r>
  <r>
    <x v="19"/>
    <x v="8"/>
    <x v="0"/>
    <s v="4845104"/>
    <n v="400020"/>
    <s v="O/P Care Svcs Rev--Comm Insurance"/>
    <s v="Ultrasound"/>
    <x v="0"/>
    <n v="1300"/>
    <n v="-14348.47"/>
    <n v="-16879.13"/>
    <n v="-20871.02"/>
    <n v="-15089.34"/>
    <n v="-19655.79"/>
    <n v="-12678.1"/>
    <n v="-15456.42"/>
    <n v="-13400.57"/>
    <n v="-10123.290000000001"/>
    <n v="-15501.57"/>
    <n v="-16266.2"/>
    <n v="-13371.04"/>
    <n v="-183640.94000000003"/>
    <n v="-2895.16"/>
  </r>
  <r>
    <x v="19"/>
    <x v="8"/>
    <x v="0"/>
    <s v="4845104"/>
    <n v="400020"/>
    <s v="O/P Care Svcs Rev--BCBS Comm"/>
    <s v="Ultrasound"/>
    <x v="0"/>
    <n v="1301"/>
    <n v="-34048.519999999997"/>
    <n v="-35054.25"/>
    <n v="-46015.59"/>
    <n v="-50850.66"/>
    <n v="-41857.620000000003"/>
    <n v="-53148.69"/>
    <n v="-55998.81"/>
    <n v="-51434.28"/>
    <n v="-38512.17"/>
    <n v="-52058.79"/>
    <n v="-53949.57"/>
    <n v="-42258.62"/>
    <n v="-555187.57000000007"/>
    <n v="-11690.949999999997"/>
  </r>
  <r>
    <x v="19"/>
    <x v="8"/>
    <x v="0"/>
    <s v="4845104"/>
    <n v="400020"/>
    <s v="O/P Care Svcs Rev--Managed Care"/>
    <s v="Ultrasound"/>
    <x v="0"/>
    <n v="1400"/>
    <n v="-84136.11"/>
    <n v="-78904.429999999993"/>
    <n v="-102986.12"/>
    <n v="-110478.95"/>
    <n v="-127821.31"/>
    <n v="-78101.350000000006"/>
    <n v="-102461.1"/>
    <n v="-93986.69"/>
    <n v="-102446.55"/>
    <n v="-90308.83"/>
    <n v="-94668.94"/>
    <n v="-91840.3"/>
    <n v="-1158140.6800000002"/>
    <n v="-2828.6399999999994"/>
  </r>
  <r>
    <x v="19"/>
    <x v="8"/>
    <x v="0"/>
    <s v="4845104"/>
    <n v="400020"/>
    <s v="O/P Care Svcs Rev--Self Pay"/>
    <s v="Ultrasound"/>
    <x v="0"/>
    <n v="1500"/>
    <n v="-8226.93"/>
    <n v="-8708.59"/>
    <n v="-7475.28"/>
    <n v="-3109.05"/>
    <n v="-5256.3"/>
    <n v="-12777.24"/>
    <n v="-5110.5600000000004"/>
    <n v="-2015.18"/>
    <n v="-1450.21"/>
    <n v="-4706.3900000000003"/>
    <n v="-4649.34"/>
    <n v="-7172.32"/>
    <n v="-70657.389999999985"/>
    <n v="2522.9799999999996"/>
  </r>
  <r>
    <x v="19"/>
    <x v="8"/>
    <x v="0"/>
    <s v="4845104"/>
    <n v="400020"/>
    <s v="O/P Care Svcs Rev--Other"/>
    <s v="Ultrasound"/>
    <x v="0"/>
    <n v="1700"/>
    <n v="-10456.17"/>
    <n v="-12331.11"/>
    <n v="-12899.04"/>
    <n v="-21722.19"/>
    <n v="-14043.75"/>
    <n v="-7674.45"/>
    <n v="-16215.15"/>
    <n v="-18965.400000000001"/>
    <n v="-24975.84"/>
    <n v="-26718.02"/>
    <n v="-12135.08"/>
    <n v="-18175.75"/>
    <n v="-196311.94999999995"/>
    <n v="6040.67"/>
  </r>
  <r>
    <x v="5"/>
    <x v="8"/>
    <x v="0"/>
    <s v="4845104"/>
    <n v="700034"/>
    <s v="Salaries-Tech/Professional-Productive"/>
    <s v="Ultrasound"/>
    <x v="0"/>
    <m/>
    <n v="23900.82"/>
    <n v="21936.240000000002"/>
    <n v="16883.189999999999"/>
    <n v="20525.21"/>
    <n v="20983.94"/>
    <n v="21635.85"/>
    <n v="22278.31"/>
    <n v="21281.5"/>
    <n v="27971.8"/>
    <n v="25541.15"/>
    <n v="22249.51"/>
    <n v="24652.37"/>
    <n v="269839.89"/>
    <n v="-2402.8600000000006"/>
  </r>
  <r>
    <x v="5"/>
    <x v="8"/>
    <x v="0"/>
    <s v="4845104"/>
    <n v="700034"/>
    <s v="Salaries-Tech/Professional-OT"/>
    <s v="Ultrasound"/>
    <x v="0"/>
    <n v="1000"/>
    <n v="2569.12"/>
    <n v="337.43"/>
    <n v="843.43"/>
    <n v="262.95"/>
    <n v="300.02999999999997"/>
    <n v="1589.11"/>
    <n v="1003.37"/>
    <n v="374.28"/>
    <n v="1483.71"/>
    <n v="1486.72"/>
    <n v="3216.8"/>
    <n v="564.24"/>
    <n v="14031.189999999997"/>
    <n v="2652.5600000000004"/>
  </r>
  <r>
    <x v="5"/>
    <x v="8"/>
    <x v="0"/>
    <s v="4845104"/>
    <n v="700034"/>
    <s v="Salaries-Tech/Professional-Other"/>
    <s v="Ultrasound"/>
    <x v="0"/>
    <n v="2000"/>
    <n v="3304.06"/>
    <n v="2531.54"/>
    <n v="2224.86"/>
    <n v="2212.65"/>
    <n v="1995.83"/>
    <n v="2341.15"/>
    <n v="2027.39"/>
    <n v="1980.82"/>
    <n v="2973.56"/>
    <n v="2371.46"/>
    <n v="2554.64"/>
    <n v="2470.02"/>
    <n v="28987.98"/>
    <n v="84.619999999999891"/>
  </r>
  <r>
    <x v="5"/>
    <x v="8"/>
    <x v="0"/>
    <s v="4845104"/>
    <n v="700074"/>
    <s v="Salaries-Tech/Professional-Non-productive"/>
    <s v="Ultrasound"/>
    <x v="0"/>
    <m/>
    <n v="1608.32"/>
    <n v="5677.02"/>
    <n v="5181.91"/>
    <n v="3228.22"/>
    <n v="694.55"/>
    <n v="7249.94"/>
    <n v="2388.15"/>
    <n v="1426.31"/>
    <n v="1644.63"/>
    <n v="1443.46"/>
    <n v="5540.81"/>
    <n v="2090.79"/>
    <n v="38174.11"/>
    <n v="3450.0200000000004"/>
  </r>
  <r>
    <x v="5"/>
    <x v="8"/>
    <x v="0"/>
    <s v="4845104"/>
    <n v="700074"/>
    <s v="Salaries-Tech/Professional-NonProd-Other"/>
    <s v="Ultrasound"/>
    <x v="0"/>
    <n v="2000"/>
    <n v="1600.94"/>
    <n v="1904.09"/>
    <n v="570.07000000000005"/>
    <n v="548.29999999999995"/>
    <n v="1353.09"/>
    <n v="2127.54"/>
    <n v="722.15"/>
    <n v="-62.38"/>
    <n v="1478.31"/>
    <n v="1554.12"/>
    <n v="1533.79"/>
    <n v="1602.93"/>
    <n v="14932.95"/>
    <n v="-69.1400000000001"/>
  </r>
  <r>
    <x v="5"/>
    <x v="8"/>
    <x v="0"/>
    <s v="4845104"/>
    <n v="700084"/>
    <s v="Accrued PTO"/>
    <s v="Ultrasound"/>
    <x v="0"/>
    <m/>
    <n v="1495.04"/>
    <n v="-2437.4"/>
    <n v="-2693.92"/>
    <n v="-610.30999999999995"/>
    <n v="1222.8499999999999"/>
    <n v="-3070.29"/>
    <n v="-520.33000000000004"/>
    <n v="1494.69"/>
    <n v="1624.65"/>
    <n v="1674.09"/>
    <n v="892.31"/>
    <n v="356.74"/>
    <n v="-571.88000000000011"/>
    <n v="535.56999999999994"/>
  </r>
  <r>
    <x v="10"/>
    <x v="8"/>
    <x v="0"/>
    <s v="4845104"/>
    <n v="710060"/>
    <s v="Contract Labor-Other"/>
    <s v="Ultrasound"/>
    <x v="0"/>
    <m/>
    <n v="0"/>
    <n v="0"/>
    <n v="0"/>
    <n v="24836.79"/>
    <n v="11356.3"/>
    <n v="13480.5"/>
    <n v="8864.4500000000007"/>
    <n v="16340"/>
    <n v="20033.599999999999"/>
    <n v="8436"/>
    <n v="0"/>
    <n v="0"/>
    <n v="103347.63999999998"/>
    <n v="0"/>
  </r>
  <r>
    <x v="10"/>
    <x v="8"/>
    <x v="0"/>
    <s v="4845104"/>
    <n v="710060"/>
    <s v="Contract Labor-Overtime"/>
    <s v="Ultrasound"/>
    <x v="0"/>
    <n v="5100"/>
    <n v="0"/>
    <n v="0"/>
    <n v="0"/>
    <n v="4798.05"/>
    <n v="1571.78"/>
    <n v="220.6"/>
    <n v="2812.65"/>
    <n v="2178.4299999999998"/>
    <n v="602.80999999999995"/>
    <n v="47.46"/>
    <n v="0"/>
    <n v="0"/>
    <n v="12231.779999999999"/>
    <n v="0"/>
  </r>
  <r>
    <x v="10"/>
    <x v="8"/>
    <x v="0"/>
    <s v="4845104"/>
    <n v="710060"/>
    <s v="Contract Labor-Standby Wages"/>
    <s v="Ultrasound"/>
    <x v="0"/>
    <n v="5101"/>
    <n v="0"/>
    <n v="0"/>
    <n v="0"/>
    <n v="1520"/>
    <n v="424"/>
    <n v="204"/>
    <n v="396"/>
    <n v="482"/>
    <n v="204"/>
    <n v="0"/>
    <n v="0"/>
    <n v="0"/>
    <n v="3230"/>
    <n v="0"/>
  </r>
  <r>
    <x v="6"/>
    <x v="8"/>
    <x v="0"/>
    <s v="4845104"/>
    <n v="713010"/>
    <s v="Benefits-FICA/Medicare"/>
    <s v="Ultrasound"/>
    <x v="0"/>
    <m/>
    <n v="2799.14"/>
    <n v="2466.31"/>
    <n v="1955.37"/>
    <n v="2037.16"/>
    <n v="1981.53"/>
    <n v="2636.69"/>
    <n v="2159.16"/>
    <n v="1955.15"/>
    <n v="2703.4"/>
    <n v="2463.62"/>
    <n v="2669.38"/>
    <n v="2385.94"/>
    <n v="28212.850000000002"/>
    <n v="283.44000000000005"/>
  </r>
  <r>
    <x v="6"/>
    <x v="8"/>
    <x v="0"/>
    <s v="4845104"/>
    <n v="713090"/>
    <s v="Benefits-Allocated Amounts"/>
    <s v="Ultrasound"/>
    <x v="0"/>
    <m/>
    <n v="4766.17"/>
    <n v="4326.38"/>
    <n v="3674.92"/>
    <n v="3944.66"/>
    <n v="3829.28"/>
    <n v="4806.4399999999996"/>
    <n v="4302.74"/>
    <n v="4326.5200000000004"/>
    <n v="5436.75"/>
    <n v="5338.94"/>
    <n v="5353.11"/>
    <n v="4941.04"/>
    <n v="55046.950000000004"/>
    <n v="412.06999999999971"/>
  </r>
  <r>
    <x v="6"/>
    <x v="8"/>
    <x v="0"/>
    <s v="4845104"/>
    <n v="713096"/>
    <s v="Employee Recognition"/>
    <s v="Ultrasound"/>
    <x v="0"/>
    <n v="1017"/>
    <n v="0"/>
    <n v="0"/>
    <n v="0"/>
    <n v="0"/>
    <n v="0"/>
    <n v="0"/>
    <n v="0"/>
    <n v="0"/>
    <n v="0"/>
    <n v="0"/>
    <n v="0"/>
    <n v="50"/>
    <n v="50"/>
    <n v="-50"/>
  </r>
  <r>
    <x v="7"/>
    <x v="8"/>
    <x v="0"/>
    <s v="4845104"/>
    <n v="718070"/>
    <s v="Contract Srvcs-CHI Clinical Engineering"/>
    <s v="Ultrasound"/>
    <x v="0"/>
    <m/>
    <n v="14"/>
    <n v="14"/>
    <n v="14"/>
    <n v="14"/>
    <n v="14"/>
    <n v="14"/>
    <n v="14"/>
    <n v="14"/>
    <n v="14"/>
    <n v="14"/>
    <n v="14"/>
    <n v="14"/>
    <n v="168"/>
    <n v="0"/>
  </r>
  <r>
    <x v="11"/>
    <x v="8"/>
    <x v="0"/>
    <s v="4845104"/>
    <n v="721010"/>
    <s v="Supplies-Medical - Billable"/>
    <s v="Ultrasound"/>
    <x v="0"/>
    <m/>
    <n v="1648.32"/>
    <n v="1193.31"/>
    <n v="992.49"/>
    <n v="1547.58"/>
    <n v="1790.71"/>
    <n v="270.41000000000003"/>
    <n v="164.58"/>
    <n v="0"/>
    <n v="131.66999999999999"/>
    <n v="115.21"/>
    <n v="283.13"/>
    <n v="84.38"/>
    <n v="8221.7899999999991"/>
    <n v="198.75"/>
  </r>
  <r>
    <x v="11"/>
    <x v="8"/>
    <x v="0"/>
    <s v="4845104"/>
    <n v="721010"/>
    <s v="Patient Monitoring"/>
    <s v="Ultrasound"/>
    <x v="0"/>
    <n v="1000"/>
    <n v="41.58"/>
    <n v="308.02999999999997"/>
    <n v="162.12"/>
    <n v="170.23"/>
    <n v="74.25"/>
    <n v="162.12"/>
    <n v="77.22"/>
    <n v="102.09"/>
    <n v="146.13"/>
    <n v="169.93"/>
    <n v="223.44"/>
    <n v="136.46"/>
    <n v="1773.6000000000001"/>
    <n v="86.97999999999999"/>
  </r>
  <r>
    <x v="11"/>
    <x v="8"/>
    <x v="0"/>
    <s v="4845104"/>
    <n v="721020"/>
    <s v="Supplies-Surgical - Billable"/>
    <s v="Ultrasound"/>
    <x v="0"/>
    <m/>
    <n v="0"/>
    <n v="62.93"/>
    <n v="62.93"/>
    <n v="0"/>
    <n v="0"/>
    <n v="486.84"/>
    <n v="243.42"/>
    <n v="1046.76"/>
    <n v="709.1"/>
    <n v="868.03"/>
    <n v="652.48"/>
    <n v="1101.06"/>
    <n v="5233.5499999999993"/>
    <n v="-448.57999999999993"/>
  </r>
  <r>
    <x v="11"/>
    <x v="8"/>
    <x v="0"/>
    <s v="4845104"/>
    <n v="721050"/>
    <s v="Supplies-Cardiac Rhythm - Billable"/>
    <s v="Ultrasound"/>
    <x v="0"/>
    <m/>
    <n v="0"/>
    <n v="0"/>
    <n v="0"/>
    <n v="0"/>
    <n v="0"/>
    <n v="0"/>
    <n v="0"/>
    <n v="0"/>
    <n v="28.3"/>
    <n v="0"/>
    <n v="0"/>
    <n v="0"/>
    <n v="28.3"/>
    <n v="0"/>
  </r>
  <r>
    <x v="11"/>
    <x v="8"/>
    <x v="0"/>
    <s v="4845104"/>
    <n v="721240"/>
    <s v="Supplies-IV Solutions/Supplies - Billable"/>
    <s v="Ultrasound"/>
    <x v="0"/>
    <m/>
    <n v="1288"/>
    <n v="607.25"/>
    <n v="638.75"/>
    <n v="813.75"/>
    <n v="708.75"/>
    <n v="385"/>
    <n v="175"/>
    <n v="315"/>
    <n v="341.25"/>
    <n v="612.5"/>
    <n v="367.5"/>
    <n v="367.5"/>
    <n v="6620.25"/>
    <n v="0"/>
  </r>
  <r>
    <x v="11"/>
    <x v="8"/>
    <x v="0"/>
    <s v="4845104"/>
    <n v="721250"/>
    <s v="Supplies-Pharmacy Drugs - Billable"/>
    <s v="Ultrasound"/>
    <x v="0"/>
    <m/>
    <n v="0"/>
    <n v="0"/>
    <n v="0"/>
    <n v="0"/>
    <n v="0"/>
    <n v="0"/>
    <n v="0"/>
    <n v="0"/>
    <n v="0"/>
    <n v="0"/>
    <n v="1.37"/>
    <n v="0"/>
    <n v="1.37"/>
    <n v="1.37"/>
  </r>
  <r>
    <x v="11"/>
    <x v="8"/>
    <x v="0"/>
    <s v="4845104"/>
    <n v="721410"/>
    <s v="Supplies-Medical - Nonbillable"/>
    <s v="Ultrasound"/>
    <x v="0"/>
    <m/>
    <n v="50.95"/>
    <n v="114.31"/>
    <n v="53.41"/>
    <n v="101.85"/>
    <n v="138.96"/>
    <n v="42.6"/>
    <n v="205.57"/>
    <n v="119.21"/>
    <n v="69.36"/>
    <n v="718.09"/>
    <n v="152.54"/>
    <n v="149.5"/>
    <n v="1916.3500000000001"/>
    <n v="3.039999999999992"/>
  </r>
  <r>
    <x v="11"/>
    <x v="8"/>
    <x v="0"/>
    <s v="4845104"/>
    <n v="721420"/>
    <s v="Supplies-Surgical Nonbillable"/>
    <s v="Ultrasound"/>
    <x v="0"/>
    <m/>
    <n v="0"/>
    <n v="0"/>
    <n v="0"/>
    <n v="30.07"/>
    <n v="0"/>
    <n v="0"/>
    <n v="0"/>
    <n v="0"/>
    <n v="6.75"/>
    <n v="0"/>
    <n v="6.75"/>
    <n v="0"/>
    <n v="43.57"/>
    <n v="6.75"/>
  </r>
  <r>
    <x v="11"/>
    <x v="8"/>
    <x v="0"/>
    <s v="4845104"/>
    <n v="721420"/>
    <s v="Tubes Drains &amp; Related Supplies"/>
    <s v="Ultrasound"/>
    <x v="0"/>
    <n v="1008"/>
    <n v="0"/>
    <n v="12"/>
    <n v="3"/>
    <n v="3"/>
    <n v="3"/>
    <n v="6"/>
    <n v="12"/>
    <n v="6"/>
    <n v="0"/>
    <n v="6"/>
    <n v="6"/>
    <n v="12"/>
    <n v="69"/>
    <n v="-6"/>
  </r>
  <r>
    <x v="11"/>
    <x v="8"/>
    <x v="0"/>
    <s v="4845104"/>
    <n v="721420"/>
    <s v="Sterilization Process Products"/>
    <s v="Ultrasound"/>
    <x v="0"/>
    <n v="1009"/>
    <n v="0"/>
    <n v="97.65"/>
    <n v="0"/>
    <n v="302.72000000000003"/>
    <n v="146.32"/>
    <n v="125"/>
    <n v="406.88"/>
    <n v="97.65"/>
    <n v="-24.23"/>
    <n v="0"/>
    <n v="406.88"/>
    <n v="157.33000000000001"/>
    <n v="1716.2000000000003"/>
    <n v="249.54999999999998"/>
  </r>
  <r>
    <x v="11"/>
    <x v="8"/>
    <x v="0"/>
    <s v="4845104"/>
    <n v="721640"/>
    <s v="Supplies-IV Solutions/Supplies - Nonbillable"/>
    <s v="Ultrasound"/>
    <x v="0"/>
    <m/>
    <n v="8.8800000000000008"/>
    <n v="11.1"/>
    <n v="13.32"/>
    <n v="4.4400000000000004"/>
    <n v="7.99"/>
    <n v="20.38"/>
    <n v="13.32"/>
    <n v="8.8800000000000008"/>
    <n v="4.4400000000000004"/>
    <n v="4.4400000000000004"/>
    <n v="17.760000000000002"/>
    <n v="4.4400000000000004"/>
    <n v="119.39"/>
    <n v="13.32"/>
  </r>
  <r>
    <x v="11"/>
    <x v="8"/>
    <x v="0"/>
    <s v="4845104"/>
    <n v="721650"/>
    <s v="Supplies-Pharmacy Drugs - Nonbillable"/>
    <s v="Ultrasound"/>
    <x v="0"/>
    <m/>
    <n v="5.13"/>
    <n v="81.25"/>
    <n v="76.12"/>
    <n v="58.41"/>
    <n v="10.26"/>
    <n v="116.05"/>
    <n v="15.39"/>
    <n v="106.97"/>
    <n v="0"/>
    <n v="-90.99"/>
    <n v="397.09"/>
    <n v="82.5"/>
    <n v="858.17999999999984"/>
    <n v="314.58999999999997"/>
  </r>
  <r>
    <x v="11"/>
    <x v="8"/>
    <x v="0"/>
    <s v="4845104"/>
    <n v="721710"/>
    <s v="Supplies-Laboratory - Nonbillable"/>
    <s v="Ultrasound"/>
    <x v="0"/>
    <m/>
    <n v="0"/>
    <n v="32.44"/>
    <n v="0"/>
    <n v="5.66"/>
    <n v="0.8"/>
    <n v="0"/>
    <n v="0"/>
    <n v="4.28"/>
    <n v="44.15"/>
    <n v="1.32"/>
    <n v="0"/>
    <n v="0"/>
    <n v="88.649999999999977"/>
    <n v="0"/>
  </r>
  <r>
    <x v="11"/>
    <x v="8"/>
    <x v="0"/>
    <s v="4845104"/>
    <n v="721750"/>
    <s v="Supplies-Film/Radiographic - Nonbillable"/>
    <s v="Ultrasound"/>
    <x v="0"/>
    <m/>
    <n v="136.88"/>
    <n v="3741.33"/>
    <n v="227.73"/>
    <n v="302.51"/>
    <n v="120.4"/>
    <n v="94.6"/>
    <n v="387.35"/>
    <n v="236.33"/>
    <n v="637.54"/>
    <n v="419.86"/>
    <n v="198.79"/>
    <n v="226.69"/>
    <n v="6730.0099999999993"/>
    <n v="-27.900000000000006"/>
  </r>
  <r>
    <x v="11"/>
    <x v="8"/>
    <x v="0"/>
    <s v="4845104"/>
    <n v="721810"/>
    <s v="Supplies-Dietary/Cafeteria"/>
    <s v="Ultrasound"/>
    <x v="0"/>
    <m/>
    <n v="8"/>
    <n v="0"/>
    <n v="8.26"/>
    <n v="16.52"/>
    <n v="8.26"/>
    <n v="44.4"/>
    <n v="0"/>
    <n v="0"/>
    <n v="13.96"/>
    <n v="0"/>
    <n v="14.77"/>
    <n v="62"/>
    <n v="176.17000000000002"/>
    <n v="-47.230000000000004"/>
  </r>
  <r>
    <x v="11"/>
    <x v="8"/>
    <x v="0"/>
    <s v="4845104"/>
    <n v="721870"/>
    <s v="Supplies-Environmental Services"/>
    <s v="Ultrasound"/>
    <x v="0"/>
    <m/>
    <n v="0"/>
    <n v="46.33"/>
    <n v="0"/>
    <n v="46.33"/>
    <n v="0"/>
    <n v="46.33"/>
    <n v="0"/>
    <n v="46.33"/>
    <n v="0"/>
    <n v="46.33"/>
    <n v="23.18"/>
    <n v="23.18"/>
    <n v="278.01"/>
    <n v="0"/>
  </r>
  <r>
    <x v="11"/>
    <x v="8"/>
    <x v="0"/>
    <s v="4845104"/>
    <n v="721910"/>
    <s v="Supplies-Small Equipment"/>
    <s v="Ultrasound"/>
    <x v="0"/>
    <m/>
    <n v="0"/>
    <n v="130.21"/>
    <n v="97.66"/>
    <n v="130.21"/>
    <n v="0"/>
    <n v="80.56"/>
    <n v="179.04"/>
    <n v="10.58"/>
    <n v="81.38"/>
    <n v="0"/>
    <n v="48.83"/>
    <n v="130.21"/>
    <n v="888.68000000000018"/>
    <n v="-81.38000000000001"/>
  </r>
  <r>
    <x v="11"/>
    <x v="8"/>
    <x v="0"/>
    <s v="4845104"/>
    <n v="722000"/>
    <s v="Supplies-Freight Expense"/>
    <s v="Ultrasound"/>
    <x v="0"/>
    <m/>
    <n v="0"/>
    <n v="0"/>
    <n v="18.14"/>
    <n v="0"/>
    <n v="42.92"/>
    <n v="9.7799999999999994"/>
    <n v="38.5"/>
    <n v="54.99"/>
    <n v="0"/>
    <n v="0"/>
    <n v="0"/>
    <n v="44.39"/>
    <n v="208.72000000000003"/>
    <n v="-44.39"/>
  </r>
  <r>
    <x v="13"/>
    <x v="8"/>
    <x v="0"/>
    <s v="4845104"/>
    <n v="735070"/>
    <s v="Depreciation-Movable Equipment"/>
    <s v="Ultrasound"/>
    <x v="0"/>
    <m/>
    <n v="6594.12"/>
    <n v="6594.12"/>
    <n v="6594.14"/>
    <n v="6594.12"/>
    <n v="6594.14"/>
    <n v="6594.12"/>
    <n v="6594.15"/>
    <n v="6594.11"/>
    <n v="6594.15"/>
    <n v="6594.1"/>
    <n v="6594.15"/>
    <n v="7436.17"/>
    <n v="79971.59"/>
    <n v="-842.02000000000044"/>
  </r>
  <r>
    <x v="0"/>
    <x v="8"/>
    <x v="0"/>
    <s v="4845104"/>
    <n v="749510"/>
    <s v="Miscellaneous Expenses"/>
    <s v="Ultrasound"/>
    <x v="0"/>
    <m/>
    <n v="0"/>
    <n v="0"/>
    <n v="0"/>
    <n v="0"/>
    <n v="184.45"/>
    <n v="0"/>
    <n v="0"/>
    <n v="876.67"/>
    <n v="0"/>
    <n v="0"/>
    <n v="0"/>
    <n v="0"/>
    <n v="1061.1199999999999"/>
    <n v="0"/>
  </r>
  <r>
    <x v="0"/>
    <x v="8"/>
    <x v="0"/>
    <s v="4845104"/>
    <n v="749510"/>
    <s v="RICE Rewards"/>
    <s v="Ultrasound"/>
    <x v="0"/>
    <n v="5100"/>
    <n v="0"/>
    <n v="0"/>
    <n v="0"/>
    <n v="0"/>
    <n v="0"/>
    <n v="0"/>
    <n v="0"/>
    <n v="0"/>
    <n v="0"/>
    <n v="0"/>
    <n v="0"/>
    <n v="50"/>
    <n v="50"/>
    <n v="-50"/>
  </r>
  <r>
    <x v="18"/>
    <x v="5"/>
    <x v="0"/>
    <s v="4845106"/>
    <n v="400010"/>
    <s v="Acute I/P Svcs Rev--Medicare"/>
    <s v="Ultrasound"/>
    <x v="0"/>
    <n v="1100"/>
    <n v="-94747.77"/>
    <n v="-114313.87"/>
    <n v="-107333.17"/>
    <n v="-93913.65"/>
    <n v="-111703.58"/>
    <n v="-111500.63"/>
    <n v="-140603.39000000001"/>
    <n v="-127067.28"/>
    <n v="-100295.87"/>
    <n v="-98738.02"/>
    <n v="-110633.76"/>
    <n v="-114465.94"/>
    <n v="-1325316.93"/>
    <n v="3832.1800000000076"/>
  </r>
  <r>
    <x v="18"/>
    <x v="5"/>
    <x v="0"/>
    <s v="4845106"/>
    <n v="400010"/>
    <s v="Acute I/P Svcs Rev--Medicaid"/>
    <s v="Ultrasound"/>
    <x v="0"/>
    <n v="1200"/>
    <n v="-41577.269999999997"/>
    <n v="-36833.49"/>
    <n v="-52165.9"/>
    <n v="-37120.94"/>
    <n v="-33357.199999999997"/>
    <n v="-55988.87"/>
    <n v="-57795.18"/>
    <n v="-40901.5"/>
    <n v="-32979.879999999997"/>
    <n v="-50174.18"/>
    <n v="-42044.9"/>
    <n v="-45427.23"/>
    <n v="-526366.54"/>
    <n v="3382.3300000000017"/>
  </r>
  <r>
    <x v="18"/>
    <x v="5"/>
    <x v="0"/>
    <s v="4845106"/>
    <n v="400010"/>
    <s v="Acute I/P Svcs Rev--Comm Insurance"/>
    <s v="Ultrasound"/>
    <x v="0"/>
    <n v="1300"/>
    <n v="2875.98"/>
    <n v="-8712.2800000000007"/>
    <n v="2968.63"/>
    <n v="-3770.31"/>
    <n v="2471.63"/>
    <n v="-2163.7199999999998"/>
    <n v="-6456.06"/>
    <n v="-2507.15"/>
    <n v="-3119.4"/>
    <n v="-3986.36"/>
    <n v="-2627.41"/>
    <n v="-2488.31"/>
    <n v="-27514.760000000002"/>
    <n v="-139.09999999999991"/>
  </r>
  <r>
    <x v="18"/>
    <x v="5"/>
    <x v="0"/>
    <s v="4845106"/>
    <n v="400010"/>
    <s v="Acute I/P Svcs Rev--BCBS Comm"/>
    <s v="Ultrasound"/>
    <x v="0"/>
    <n v="1301"/>
    <n v="-7739.64"/>
    <n v="-4593.08"/>
    <n v="-4993.38"/>
    <n v="-3178.92"/>
    <n v="-5458.64"/>
    <n v="-10284.700000000001"/>
    <n v="-10671.22"/>
    <n v="-7091.14"/>
    <n v="-7663.36"/>
    <n v="-5417.4"/>
    <n v="-7707.37"/>
    <n v="-6043.9"/>
    <n v="-80842.749999999985"/>
    <n v="-1663.4700000000003"/>
  </r>
  <r>
    <x v="18"/>
    <x v="5"/>
    <x v="0"/>
    <s v="4845106"/>
    <n v="400010"/>
    <s v="Acute I/P Svcs Rev--Managed Care"/>
    <s v="Ultrasound"/>
    <x v="0"/>
    <n v="1400"/>
    <n v="-20358.169999999998"/>
    <n v="-27774.51"/>
    <n v="-22333.62"/>
    <n v="-27976.720000000001"/>
    <n v="-19221.25"/>
    <n v="-20734.91"/>
    <n v="-23227.97"/>
    <n v="-13874.17"/>
    <n v="-31777.37"/>
    <n v="-17102.72"/>
    <n v="-10679.88"/>
    <n v="-6985.54"/>
    <n v="-242046.83000000002"/>
    <n v="-3694.3399999999992"/>
  </r>
  <r>
    <x v="18"/>
    <x v="5"/>
    <x v="0"/>
    <s v="4845106"/>
    <n v="400010"/>
    <s v="Acute I/P Svcs Rev--Self Pay"/>
    <s v="Ultrasound"/>
    <x v="0"/>
    <n v="1500"/>
    <n v="720.94"/>
    <n v="-8515.15"/>
    <n v="-7109.93"/>
    <n v="-7978.79"/>
    <n v="-11842.02"/>
    <n v="-2319.66"/>
    <n v="-7895.55"/>
    <n v="-2761.54"/>
    <n v="-9893.2000000000007"/>
    <n v="-4553.3500000000004"/>
    <n v="-7080.24"/>
    <n v="-7571.62"/>
    <n v="-76800.11"/>
    <n v="491.38000000000011"/>
  </r>
  <r>
    <x v="18"/>
    <x v="5"/>
    <x v="0"/>
    <s v="4845106"/>
    <n v="400010"/>
    <s v="Acute I/P Svcs Rev--Other"/>
    <s v="Ultrasound"/>
    <x v="0"/>
    <n v="1700"/>
    <n v="-2914.38"/>
    <n v="-3386.72"/>
    <n v="-2524.67"/>
    <n v="905.94"/>
    <n v="-4679.49"/>
    <n v="-4593.08"/>
    <n v="-5178.45"/>
    <n v="-1168.6199999999999"/>
    <n v="-36.44"/>
    <n v="-2901.78"/>
    <n v="-10720.65"/>
    <n v="-4642.93"/>
    <n v="-41841.269999999997"/>
    <n v="-6077.7199999999993"/>
  </r>
  <r>
    <x v="19"/>
    <x v="5"/>
    <x v="0"/>
    <s v="4845106"/>
    <n v="400020"/>
    <s v="O/P Care Svcs Rev--Medicare"/>
    <s v="Ultrasound"/>
    <x v="0"/>
    <n v="1100"/>
    <n v="-142281.76"/>
    <n v="-169993"/>
    <n v="-127233.21"/>
    <n v="-151893.73000000001"/>
    <n v="-143460.32999999999"/>
    <n v="-146470.20000000001"/>
    <n v="-187673.63"/>
    <n v="-126402.01"/>
    <n v="-119948.9"/>
    <n v="-164356.85"/>
    <n v="-179642.1"/>
    <n v="-175493.62"/>
    <n v="-1834849.3399999999"/>
    <n v="-4148.4800000000105"/>
  </r>
  <r>
    <x v="19"/>
    <x v="5"/>
    <x v="0"/>
    <s v="4845106"/>
    <n v="400020"/>
    <s v="O/P Care Svcs Rev--Medicaid"/>
    <s v="Ultrasound"/>
    <x v="0"/>
    <n v="1200"/>
    <n v="-185506.13"/>
    <n v="-215389.82"/>
    <n v="-234229.52"/>
    <n v="-213965.69"/>
    <n v="-172332.09"/>
    <n v="-149971.9"/>
    <n v="-148075.4"/>
    <n v="-123300.96"/>
    <n v="-151751.20000000001"/>
    <n v="-176466.74"/>
    <n v="-201112.46"/>
    <n v="-212744.23"/>
    <n v="-2184846.1399999997"/>
    <n v="11631.770000000019"/>
  </r>
  <r>
    <x v="19"/>
    <x v="5"/>
    <x v="0"/>
    <s v="4845106"/>
    <n v="400020"/>
    <s v="O/P Care Svcs Rev--Comm Insurance"/>
    <s v="Ultrasound"/>
    <x v="0"/>
    <n v="1300"/>
    <n v="-10758.1"/>
    <n v="-11139.11"/>
    <n v="-11613.22"/>
    <n v="-6380.47"/>
    <n v="-10547.8"/>
    <n v="-10616.42"/>
    <n v="-7642.84"/>
    <n v="-7848.48"/>
    <n v="-3048.43"/>
    <n v="-12978.28"/>
    <n v="-14852.84"/>
    <n v="-4569.0200000000004"/>
    <n v="-111995.00999999998"/>
    <n v="-10283.82"/>
  </r>
  <r>
    <x v="19"/>
    <x v="5"/>
    <x v="0"/>
    <s v="4845106"/>
    <n v="400020"/>
    <s v="O/P Care Svcs Rev--BCBS Comm"/>
    <s v="Ultrasound"/>
    <x v="0"/>
    <n v="1301"/>
    <n v="-38665.56"/>
    <n v="-48814.26"/>
    <n v="-40325.79"/>
    <n v="-56456.07"/>
    <n v="-38702.519999999997"/>
    <n v="-44759.01"/>
    <n v="-42312.47"/>
    <n v="-32793.120000000003"/>
    <n v="-49907.51"/>
    <n v="-38320.080000000002"/>
    <n v="-61389.07"/>
    <n v="-39082.629999999997"/>
    <n v="-531528.09000000008"/>
    <n v="-22306.440000000002"/>
  </r>
  <r>
    <x v="19"/>
    <x v="5"/>
    <x v="0"/>
    <s v="4845106"/>
    <n v="400020"/>
    <s v="O/P Care Svcs Rev--Managed Care"/>
    <s v="Ultrasound"/>
    <x v="0"/>
    <n v="1400"/>
    <n v="-91810.34"/>
    <n v="-119712.95"/>
    <n v="-113055.6"/>
    <n v="-118047.85"/>
    <n v="-99129.42"/>
    <n v="-106582.31"/>
    <n v="-96041.23"/>
    <n v="-84562.92"/>
    <n v="-98090.15"/>
    <n v="-91541.759999999995"/>
    <n v="-133221.78"/>
    <n v="-112184.65"/>
    <n v="-1263980.96"/>
    <n v="-21037.130000000005"/>
  </r>
  <r>
    <x v="19"/>
    <x v="5"/>
    <x v="0"/>
    <s v="4845106"/>
    <n v="400020"/>
    <s v="O/P Care Svcs Rev--Self Pay"/>
    <s v="Ultrasound"/>
    <x v="0"/>
    <n v="1500"/>
    <n v="-26872.42"/>
    <n v="-31419.68"/>
    <n v="-25661.75"/>
    <n v="-14221.85"/>
    <n v="-32166.959999999999"/>
    <n v="-33924.57"/>
    <n v="-24455.22"/>
    <n v="-14870.93"/>
    <n v="-28246.47"/>
    <n v="-22064.1"/>
    <n v="-29050.67"/>
    <n v="-20970.8"/>
    <n v="-303925.42"/>
    <n v="-8079.869999999999"/>
  </r>
  <r>
    <x v="19"/>
    <x v="5"/>
    <x v="0"/>
    <s v="4845106"/>
    <n v="400020"/>
    <s v="O/P Care Svcs Rev--Other"/>
    <s v="Ultrasound"/>
    <x v="0"/>
    <n v="1700"/>
    <n v="-12515.81"/>
    <n v="-12677.2"/>
    <n v="-6136.2"/>
    <n v="-11312.34"/>
    <n v="-10702.28"/>
    <n v="-7174.16"/>
    <n v="-4860.8"/>
    <n v="-6109.69"/>
    <n v="-14923.02"/>
    <n v="-11320.29"/>
    <n v="-14337.62"/>
    <n v="-2091.36"/>
    <n v="-114160.77"/>
    <n v="-12246.26"/>
  </r>
  <r>
    <x v="14"/>
    <x v="5"/>
    <x v="0"/>
    <s v="4845106"/>
    <n v="600050"/>
    <s v="Miscellaneous Revenue"/>
    <s v="Ultrasound"/>
    <x v="0"/>
    <m/>
    <n v="0"/>
    <n v="0"/>
    <n v="0"/>
    <n v="0"/>
    <n v="0"/>
    <n v="0"/>
    <n v="0"/>
    <n v="0"/>
    <n v="0"/>
    <n v="0"/>
    <n v="0"/>
    <n v="0"/>
    <n v="0"/>
    <n v="0"/>
  </r>
  <r>
    <x v="14"/>
    <x v="5"/>
    <x v="0"/>
    <s v="4845106"/>
    <n v="600050"/>
    <s v="Misc.Revenue-Contract Services"/>
    <s v="Ultrasound"/>
    <x v="0"/>
    <n v="1017"/>
    <n v="-1840.27"/>
    <n v="-1886.05"/>
    <n v="-1153.6600000000001"/>
    <n v="-2074.89"/>
    <n v="-1500.38"/>
    <n v="-3370.98"/>
    <n v="-3850.93"/>
    <n v="-1982.85"/>
    <n v="-1461.34"/>
    <n v="-1087.58"/>
    <n v="-1176.1099999999999"/>
    <n v="-508.02"/>
    <n v="-21893.06"/>
    <n v="-668.08999999999992"/>
  </r>
  <r>
    <x v="5"/>
    <x v="5"/>
    <x v="0"/>
    <s v="4845106"/>
    <n v="700034"/>
    <s v="Salaries-Tech/Professional-Productive"/>
    <s v="Ultrasound"/>
    <x v="0"/>
    <m/>
    <n v="37881.71"/>
    <n v="32862.17"/>
    <n v="34993.620000000003"/>
    <n v="31278.43"/>
    <n v="40157.67"/>
    <n v="53943.29"/>
    <n v="44931.86"/>
    <n v="32316.37"/>
    <n v="43322.11"/>
    <n v="48106.39"/>
    <n v="53958.87"/>
    <n v="56297.13"/>
    <n v="510049.62"/>
    <n v="-2338.2599999999948"/>
  </r>
  <r>
    <x v="5"/>
    <x v="5"/>
    <x v="0"/>
    <s v="4845106"/>
    <n v="700034"/>
    <s v="Salaries-Tech/Professional-OT"/>
    <s v="Ultrasound"/>
    <x v="0"/>
    <n v="1000"/>
    <n v="1093.81"/>
    <n v="2481.2600000000002"/>
    <n v="1234.4100000000001"/>
    <n v="3993.86"/>
    <n v="5286.85"/>
    <n v="3535.31"/>
    <n v="2291.17"/>
    <n v="4803.4399999999996"/>
    <n v="2976.38"/>
    <n v="3317.44"/>
    <n v="6945.29"/>
    <n v="506.93"/>
    <n v="38466.149999999994"/>
    <n v="6438.36"/>
  </r>
  <r>
    <x v="5"/>
    <x v="5"/>
    <x v="0"/>
    <s v="4845106"/>
    <n v="700034"/>
    <s v="Salaries-Tech/Professional-Other"/>
    <s v="Ultrasound"/>
    <x v="0"/>
    <n v="2000"/>
    <n v="3050.62"/>
    <n v="2717.53"/>
    <n v="2472.25"/>
    <n v="2778.6"/>
    <n v="1817.03"/>
    <n v="5328.69"/>
    <n v="4331.66"/>
    <n v="2985.81"/>
    <n v="4581.84"/>
    <n v="4400.49"/>
    <n v="3508.86"/>
    <n v="3799"/>
    <n v="41772.380000000005"/>
    <n v="-290.13999999999987"/>
  </r>
  <r>
    <x v="5"/>
    <x v="5"/>
    <x v="0"/>
    <s v="4845106"/>
    <n v="700054"/>
    <s v="Salaries-Management-NonProd-Other"/>
    <s v="Ultrasound"/>
    <x v="0"/>
    <n v="2000"/>
    <n v="0"/>
    <n v="0"/>
    <n v="0"/>
    <n v="0"/>
    <n v="0"/>
    <n v="1000"/>
    <n v="-1000"/>
    <n v="0"/>
    <n v="0"/>
    <n v="0"/>
    <n v="0"/>
    <n v="0"/>
    <n v="0"/>
    <n v="0"/>
  </r>
  <r>
    <x v="5"/>
    <x v="5"/>
    <x v="0"/>
    <s v="4845106"/>
    <n v="700074"/>
    <s v="Salaries-Tech/Professional-Non-productive"/>
    <s v="Ultrasound"/>
    <x v="0"/>
    <m/>
    <n v="6701.64"/>
    <n v="8279.86"/>
    <n v="6363.28"/>
    <n v="15976.6"/>
    <n v="3986.63"/>
    <n v="1904.03"/>
    <n v="4828.59"/>
    <n v="4664.32"/>
    <n v="4384.16"/>
    <n v="-309.13"/>
    <n v="4118.75"/>
    <n v="4612.75"/>
    <n v="65511.479999999989"/>
    <n v="-494"/>
  </r>
  <r>
    <x v="5"/>
    <x v="5"/>
    <x v="0"/>
    <s v="4845106"/>
    <n v="700074"/>
    <s v="Salaries-Tech/Professional-NonProd-Other"/>
    <s v="Ultrasound"/>
    <x v="0"/>
    <n v="2000"/>
    <n v="2796.91"/>
    <n v="1798.99"/>
    <n v="46.44"/>
    <n v="244.12"/>
    <n v="412.5"/>
    <n v="40.96"/>
    <n v="0"/>
    <n v="-365.46"/>
    <n v="326.47000000000003"/>
    <n v="-118.7"/>
    <n v="0"/>
    <n v="162.36000000000001"/>
    <n v="5344.5899999999992"/>
    <n v="-162.36000000000001"/>
  </r>
  <r>
    <x v="5"/>
    <x v="5"/>
    <x v="0"/>
    <s v="4845106"/>
    <n v="700084"/>
    <s v="Accrued PTO"/>
    <s v="Ultrasound"/>
    <x v="0"/>
    <m/>
    <n v="-86.62"/>
    <n v="-1560.55"/>
    <n v="-2566.2399999999998"/>
    <n v="-2707.05"/>
    <n v="421.15"/>
    <n v="4570.08"/>
    <n v="1236.6600000000001"/>
    <n v="1209.53"/>
    <n v="1929.97"/>
    <n v="4189.5200000000004"/>
    <n v="3325.47"/>
    <n v="3734.13"/>
    <n v="13696.05"/>
    <n v="-408.66000000000031"/>
  </r>
  <r>
    <x v="10"/>
    <x v="5"/>
    <x v="0"/>
    <s v="4845106"/>
    <n v="710060"/>
    <s v="Contract Labor-Other"/>
    <s v="Ultrasound"/>
    <x v="0"/>
    <m/>
    <n v="14624.3"/>
    <n v="9804"/>
    <n v="42832"/>
    <n v="15890.75"/>
    <n v="-29760"/>
    <n v="19934.7"/>
    <n v="29760"/>
    <n v="0"/>
    <n v="0"/>
    <n v="0"/>
    <n v="0"/>
    <n v="29760"/>
    <n v="132845.75"/>
    <n v="-29760"/>
  </r>
  <r>
    <x v="10"/>
    <x v="5"/>
    <x v="0"/>
    <s v="4845106"/>
    <n v="710060"/>
    <s v="Contract Labor-Overtime"/>
    <s v="Ultrasound"/>
    <x v="0"/>
    <n v="5100"/>
    <n v="4467.1499999999996"/>
    <n v="3253.85"/>
    <n v="10092.450000000001"/>
    <n v="9375.4"/>
    <n v="0"/>
    <n v="10313.15"/>
    <n v="0"/>
    <n v="0"/>
    <n v="0"/>
    <n v="0"/>
    <n v="0"/>
    <n v="0"/>
    <n v="37502"/>
    <n v="0"/>
  </r>
  <r>
    <x v="10"/>
    <x v="5"/>
    <x v="0"/>
    <s v="4845106"/>
    <n v="710060"/>
    <s v="Contract Labor-Standby Wages"/>
    <s v="Ultrasound"/>
    <x v="0"/>
    <n v="5101"/>
    <n v="0"/>
    <n v="0"/>
    <n v="100"/>
    <n v="168"/>
    <n v="0"/>
    <n v="472"/>
    <n v="0"/>
    <n v="0"/>
    <n v="0"/>
    <n v="0"/>
    <n v="0"/>
    <n v="0"/>
    <n v="740"/>
    <n v="0"/>
  </r>
  <r>
    <x v="6"/>
    <x v="5"/>
    <x v="0"/>
    <s v="4845106"/>
    <n v="713010"/>
    <s v="Benefits-FICA/Medicare"/>
    <s v="Ultrasound"/>
    <x v="0"/>
    <m/>
    <n v="3817.71"/>
    <n v="3933.96"/>
    <n v="3350.25"/>
    <n v="4039.71"/>
    <n v="3899.21"/>
    <n v="4961.22"/>
    <n v="4423.95"/>
    <n v="3348.61"/>
    <n v="4131.3999999999996"/>
    <n v="4051.74"/>
    <n v="5105.2700000000004"/>
    <n v="4855.54"/>
    <n v="49918.57"/>
    <n v="249.73000000000047"/>
  </r>
  <r>
    <x v="6"/>
    <x v="5"/>
    <x v="0"/>
    <s v="4845106"/>
    <n v="713090"/>
    <s v="Benefits-Allocated Amounts"/>
    <s v="Ultrasound"/>
    <x v="0"/>
    <m/>
    <n v="9759.2999999999993"/>
    <n v="8816.39"/>
    <n v="8244.35"/>
    <n v="9831.2000000000007"/>
    <n v="10141.43"/>
    <n v="12564.42"/>
    <n v="11053.51"/>
    <n v="9377.7999999999993"/>
    <n v="10640.55"/>
    <n v="11206.21"/>
    <n v="13622.32"/>
    <n v="13142.59"/>
    <n v="128400.07"/>
    <n v="479.72999999999956"/>
  </r>
  <r>
    <x v="7"/>
    <x v="5"/>
    <x v="0"/>
    <s v="4845106"/>
    <n v="718050"/>
    <s v="Contract Svcs-Other"/>
    <s v="Ultrasound"/>
    <x v="0"/>
    <m/>
    <n v="-29760"/>
    <n v="0"/>
    <n v="0"/>
    <n v="0"/>
    <n v="0"/>
    <n v="0"/>
    <n v="0"/>
    <n v="0"/>
    <n v="0"/>
    <n v="12425.34"/>
    <n v="0"/>
    <n v="0"/>
    <n v="-17334.66"/>
    <n v="0"/>
  </r>
  <r>
    <x v="7"/>
    <x v="5"/>
    <x v="0"/>
    <s v="4845106"/>
    <n v="718050"/>
    <s v="Miscellaneous Purchased Svcs"/>
    <s v="Ultrasound"/>
    <x v="0"/>
    <n v="1020"/>
    <n v="0"/>
    <n v="0"/>
    <n v="0"/>
    <n v="0"/>
    <n v="0"/>
    <n v="0"/>
    <n v="0"/>
    <n v="0"/>
    <n v="82.94"/>
    <n v="0"/>
    <n v="0"/>
    <n v="75.650000000000006"/>
    <n v="158.59"/>
    <n v="-75.650000000000006"/>
  </r>
  <r>
    <x v="7"/>
    <x v="5"/>
    <x v="0"/>
    <s v="4845106"/>
    <n v="718050"/>
    <s v="Translation Services"/>
    <s v="Ultrasound"/>
    <x v="0"/>
    <n v="1025"/>
    <n v="986.37"/>
    <n v="376"/>
    <n v="372"/>
    <n v="-156.75"/>
    <n v="1155.75"/>
    <n v="395"/>
    <n v="218.75"/>
    <n v="996.39"/>
    <n v="368.97"/>
    <n v="0"/>
    <n v="0"/>
    <n v="104"/>
    <n v="4816.4800000000005"/>
    <n v="-104"/>
  </r>
  <r>
    <x v="7"/>
    <x v="5"/>
    <x v="0"/>
    <s v="4845106"/>
    <n v="718050"/>
    <s v="Contract Management--Linen"/>
    <s v="Ultrasound"/>
    <x v="0"/>
    <n v="1026"/>
    <n v="259.86"/>
    <n v="250.56"/>
    <n v="336.74"/>
    <n v="781.77"/>
    <n v="593.9"/>
    <n v="617.55999999999995"/>
    <n v="592.95000000000005"/>
    <n v="617.49"/>
    <n v="445.44"/>
    <n v="581.47"/>
    <n v="566.04"/>
    <n v="527.82000000000005"/>
    <n v="6171.5999999999995"/>
    <n v="38.219999999999914"/>
  </r>
  <r>
    <x v="11"/>
    <x v="5"/>
    <x v="0"/>
    <s v="4845106"/>
    <n v="721010"/>
    <s v="Supplies-Medical - Billable"/>
    <s v="Ultrasound"/>
    <x v="0"/>
    <m/>
    <n v="939.04"/>
    <n v="473.22"/>
    <n v="559.26"/>
    <n v="1333.62"/>
    <n v="860.4"/>
    <n v="731.34"/>
    <n v="1728.86"/>
    <n v="1093.96"/>
    <n v="836.46"/>
    <n v="748.88"/>
    <n v="3283.95"/>
    <n v="1765.65"/>
    <n v="14354.639999999998"/>
    <n v="1518.2999999999997"/>
  </r>
  <r>
    <x v="11"/>
    <x v="5"/>
    <x v="0"/>
    <s v="4845106"/>
    <n v="721020"/>
    <s v="Supplies-Surgical - Billable"/>
    <s v="Ultrasound"/>
    <x v="0"/>
    <m/>
    <n v="0"/>
    <n v="510.4"/>
    <n v="0"/>
    <n v="0"/>
    <n v="0"/>
    <n v="67.5"/>
    <n v="621.98"/>
    <n v="0"/>
    <n v="0"/>
    <n v="0"/>
    <n v="0"/>
    <n v="0"/>
    <n v="1199.8800000000001"/>
    <n v="0"/>
  </r>
  <r>
    <x v="11"/>
    <x v="5"/>
    <x v="0"/>
    <s v="4845106"/>
    <n v="721020"/>
    <s v="Custom Packs"/>
    <s v="Ultrasound"/>
    <x v="0"/>
    <n v="1000"/>
    <n v="81.08"/>
    <n v="0"/>
    <n v="120.56"/>
    <n v="0"/>
    <n v="0"/>
    <n v="0"/>
    <n v="81.08"/>
    <n v="1621.62"/>
    <n v="0"/>
    <n v="-1092.48"/>
    <n v="0"/>
    <n v="162.16"/>
    <n v="974.01999999999987"/>
    <n v="-162.16"/>
  </r>
  <r>
    <x v="11"/>
    <x v="5"/>
    <x v="0"/>
    <s v="4845106"/>
    <n v="721020"/>
    <s v="Tubes Drains &amp; Related Supplies"/>
    <s v="Ultrasound"/>
    <x v="0"/>
    <n v="1008"/>
    <n v="0"/>
    <n v="0"/>
    <n v="0"/>
    <n v="0"/>
    <n v="0"/>
    <n v="0"/>
    <n v="0"/>
    <n v="0"/>
    <n v="0"/>
    <n v="0"/>
    <n v="176.34"/>
    <n v="0"/>
    <n v="176.34"/>
    <n v="176.34"/>
  </r>
  <r>
    <x v="11"/>
    <x v="5"/>
    <x v="0"/>
    <s v="4845106"/>
    <n v="721050"/>
    <s v="Supplies-Cardiac Rhythm - Billable"/>
    <s v="Ultrasound"/>
    <x v="0"/>
    <m/>
    <n v="0"/>
    <n v="155.65"/>
    <n v="0"/>
    <n v="0"/>
    <n v="0"/>
    <n v="0"/>
    <n v="0"/>
    <n v="0"/>
    <n v="0"/>
    <n v="0"/>
    <n v="0"/>
    <n v="0"/>
    <n v="155.65"/>
    <n v="0"/>
  </r>
  <r>
    <x v="11"/>
    <x v="5"/>
    <x v="0"/>
    <s v="4845106"/>
    <n v="721240"/>
    <s v="Supplies-IV Solutions/Supplies - Billable"/>
    <s v="Ultrasound"/>
    <x v="0"/>
    <m/>
    <n v="0"/>
    <n v="2349.23"/>
    <n v="0"/>
    <n v="3408.65"/>
    <n v="988.63"/>
    <n v="1009.54"/>
    <n v="-2611.54"/>
    <n v="157.5"/>
    <n v="325.5"/>
    <n v="0"/>
    <n v="231"/>
    <n v="0"/>
    <n v="5858.51"/>
    <n v="231"/>
  </r>
  <r>
    <x v="11"/>
    <x v="5"/>
    <x v="0"/>
    <s v="4845106"/>
    <n v="721410"/>
    <s v="Supplies-Medical - Nonbillable"/>
    <s v="Ultrasound"/>
    <x v="0"/>
    <m/>
    <n v="334.5"/>
    <n v="20.53"/>
    <n v="117.25"/>
    <n v="179.65"/>
    <n v="113.97"/>
    <n v="195.17"/>
    <n v="262.11"/>
    <n v="989.22"/>
    <n v="202.62"/>
    <n v="433.94"/>
    <n v="444.74"/>
    <n v="412.93"/>
    <n v="3706.6299999999997"/>
    <n v="31.810000000000002"/>
  </r>
  <r>
    <x v="11"/>
    <x v="5"/>
    <x v="0"/>
    <s v="4845106"/>
    <n v="721420"/>
    <s v="Supplies-Surgical Nonbillable"/>
    <s v="Ultrasound"/>
    <x v="0"/>
    <m/>
    <n v="0"/>
    <n v="0"/>
    <n v="0"/>
    <n v="0"/>
    <n v="21.25"/>
    <n v="0"/>
    <n v="14.25"/>
    <n v="75.180000000000007"/>
    <n v="47.49"/>
    <n v="0"/>
    <n v="2.89"/>
    <n v="96.42"/>
    <n v="257.48"/>
    <n v="-93.53"/>
  </r>
  <r>
    <x v="11"/>
    <x v="5"/>
    <x v="0"/>
    <s v="4845106"/>
    <n v="721420"/>
    <s v="Sterilization Process Products"/>
    <s v="Ultrasound"/>
    <x v="0"/>
    <n v="1009"/>
    <n v="0"/>
    <n v="0"/>
    <n v="169.83"/>
    <n v="17.78"/>
    <n v="70.349999999999994"/>
    <n v="0"/>
    <n v="0"/>
    <n v="0"/>
    <n v="0"/>
    <n v="0"/>
    <n v="139.53"/>
    <n v="24.8"/>
    <n v="422.29"/>
    <n v="114.73"/>
  </r>
  <r>
    <x v="11"/>
    <x v="5"/>
    <x v="0"/>
    <s v="4845106"/>
    <n v="721610"/>
    <s v="Supplies-Anesthesia - Nonbillable"/>
    <s v="Ultrasound"/>
    <x v="0"/>
    <m/>
    <n v="0"/>
    <n v="0"/>
    <n v="0"/>
    <n v="0"/>
    <n v="0"/>
    <n v="0"/>
    <n v="0"/>
    <n v="3.74"/>
    <n v="0"/>
    <n v="0"/>
    <n v="0"/>
    <n v="0"/>
    <n v="3.74"/>
    <n v="0"/>
  </r>
  <r>
    <x v="11"/>
    <x v="5"/>
    <x v="0"/>
    <s v="4845106"/>
    <n v="721640"/>
    <s v="Supplies-IV Solutions/Supplies - Nonbillable"/>
    <s v="Ultrasound"/>
    <x v="0"/>
    <m/>
    <n v="264.82"/>
    <n v="577.04"/>
    <n v="0"/>
    <n v="0"/>
    <n v="0"/>
    <n v="0"/>
    <n v="12"/>
    <n v="31.15"/>
    <n v="6.92"/>
    <n v="0"/>
    <n v="0"/>
    <n v="0"/>
    <n v="891.92999999999984"/>
    <n v="0"/>
  </r>
  <r>
    <x v="11"/>
    <x v="5"/>
    <x v="0"/>
    <s v="4845106"/>
    <n v="721650"/>
    <s v="Supplies-Pharmacy Drugs - Nonbillable"/>
    <s v="Ultrasound"/>
    <x v="0"/>
    <m/>
    <n v="0"/>
    <n v="0"/>
    <n v="0"/>
    <n v="0"/>
    <n v="7.25"/>
    <n v="0"/>
    <n v="0"/>
    <n v="0"/>
    <n v="0"/>
    <n v="0"/>
    <n v="0"/>
    <n v="0"/>
    <n v="7.25"/>
    <n v="0"/>
  </r>
  <r>
    <x v="11"/>
    <x v="5"/>
    <x v="0"/>
    <s v="4845106"/>
    <n v="721710"/>
    <s v="Supplies-Laboratory - Nonbillable"/>
    <s v="Ultrasound"/>
    <x v="0"/>
    <m/>
    <n v="0"/>
    <n v="0"/>
    <n v="0"/>
    <n v="0"/>
    <n v="3.1"/>
    <n v="0"/>
    <n v="0"/>
    <n v="26.4"/>
    <n v="1744.8"/>
    <n v="-1221.56"/>
    <n v="0"/>
    <n v="0"/>
    <n v="552.74"/>
    <n v="0"/>
  </r>
  <r>
    <x v="11"/>
    <x v="5"/>
    <x v="0"/>
    <s v="4845106"/>
    <n v="721750"/>
    <s v="Supplies-Film/Radiographic - Nonbillable"/>
    <s v="Ultrasound"/>
    <x v="0"/>
    <m/>
    <n v="443.52"/>
    <n v="613.70000000000005"/>
    <n v="575.16"/>
    <n v="498.96"/>
    <n v="945.3"/>
    <n v="673.16"/>
    <n v="1344.36"/>
    <n v="1192.46"/>
    <n v="206.96"/>
    <n v="2344.6999999999998"/>
    <n v="915.54"/>
    <n v="1940.83"/>
    <n v="11694.65"/>
    <n v="-1025.29"/>
  </r>
  <r>
    <x v="11"/>
    <x v="5"/>
    <x v="0"/>
    <s v="4845106"/>
    <n v="721810"/>
    <s v="Supplies-Dietary/Cafeteria"/>
    <s v="Ultrasound"/>
    <x v="0"/>
    <m/>
    <n v="0"/>
    <n v="0"/>
    <n v="0"/>
    <n v="0"/>
    <n v="0"/>
    <n v="6.49"/>
    <n v="217"/>
    <n v="0"/>
    <n v="0"/>
    <n v="0"/>
    <n v="0"/>
    <n v="0"/>
    <n v="223.49"/>
    <n v="0"/>
  </r>
  <r>
    <x v="11"/>
    <x v="5"/>
    <x v="0"/>
    <s v="4845106"/>
    <n v="721830"/>
    <s v="Supplies-Office"/>
    <s v="Ultrasound"/>
    <x v="0"/>
    <m/>
    <n v="0"/>
    <n v="0"/>
    <n v="0"/>
    <n v="0"/>
    <n v="426.86"/>
    <n v="0"/>
    <n v="-38.81"/>
    <n v="264.35000000000002"/>
    <n v="14.07"/>
    <n v="873.76"/>
    <n v="0"/>
    <n v="0"/>
    <n v="1540.23"/>
    <n v="0"/>
  </r>
  <r>
    <x v="11"/>
    <x v="5"/>
    <x v="0"/>
    <s v="4845106"/>
    <n v="721835"/>
    <s v="Supplies-Forms"/>
    <s v="Ultrasound"/>
    <x v="0"/>
    <m/>
    <n v="0"/>
    <n v="0"/>
    <n v="0"/>
    <n v="0"/>
    <n v="55.25"/>
    <n v="35.85"/>
    <n v="0"/>
    <n v="0"/>
    <n v="0"/>
    <n v="35.25"/>
    <n v="32"/>
    <n v="0"/>
    <n v="158.35"/>
    <n v="32"/>
  </r>
  <r>
    <x v="11"/>
    <x v="5"/>
    <x v="0"/>
    <s v="4845106"/>
    <n v="721870"/>
    <s v="Supplies-Environmental Services"/>
    <s v="Ultrasound"/>
    <x v="0"/>
    <m/>
    <n v="251.73"/>
    <n v="252.44"/>
    <n v="3.94"/>
    <n v="133.80000000000001"/>
    <n v="162.63"/>
    <n v="219.44"/>
    <n v="40.14"/>
    <n v="595.28"/>
    <n v="28.8"/>
    <n v="81.5"/>
    <n v="195.8"/>
    <n v="-16.5"/>
    <n v="1949"/>
    <n v="212.3"/>
  </r>
  <r>
    <x v="11"/>
    <x v="5"/>
    <x v="0"/>
    <s v="4845106"/>
    <n v="721980"/>
    <s v="Supplies-Other"/>
    <s v="Ultrasound"/>
    <x v="0"/>
    <m/>
    <n v="185.23"/>
    <n v="18.52"/>
    <n v="0"/>
    <n v="0"/>
    <n v="0"/>
    <n v="611.26"/>
    <n v="730.8"/>
    <n v="34.799999999999997"/>
    <n v="0"/>
    <n v="0"/>
    <n v="0"/>
    <n v="0"/>
    <n v="1580.61"/>
    <n v="0"/>
  </r>
  <r>
    <x v="11"/>
    <x v="5"/>
    <x v="0"/>
    <s v="4845106"/>
    <n v="722000"/>
    <s v="Supplies-Freight Expense"/>
    <s v="Ultrasound"/>
    <x v="0"/>
    <m/>
    <n v="24.66"/>
    <n v="27.19"/>
    <n v="15.16"/>
    <n v="18.54"/>
    <n v="155.32"/>
    <n v="15.32"/>
    <n v="181.77"/>
    <n v="0"/>
    <n v="115.3"/>
    <n v="44.51"/>
    <n v="74.56"/>
    <n v="241.35"/>
    <n v="913.68"/>
    <n v="-166.79"/>
  </r>
  <r>
    <x v="12"/>
    <x v="5"/>
    <x v="0"/>
    <s v="4845106"/>
    <n v="730020"/>
    <s v="Rental and Leases-Copier Usage Fees (DO NOT USE)"/>
    <s v="Ultrasound"/>
    <x v="0"/>
    <n v="5100"/>
    <n v="21.46"/>
    <n v="22.2"/>
    <n v="21.83"/>
    <n v="21.83"/>
    <n v="21.83"/>
    <n v="21.83"/>
    <n v="23.94"/>
    <n v="22.22"/>
    <n v="22.17"/>
    <n v="22.27"/>
    <n v="22.22"/>
    <n v="24.23"/>
    <n v="268.03000000000003"/>
    <n v="-2.0100000000000016"/>
  </r>
  <r>
    <x v="16"/>
    <x v="5"/>
    <x v="0"/>
    <s v="4845106"/>
    <n v="732030"/>
    <s v="Repairs---Other"/>
    <s v="Ultrasound"/>
    <x v="0"/>
    <m/>
    <n v="0"/>
    <n v="0"/>
    <n v="0"/>
    <n v="0"/>
    <n v="0"/>
    <n v="0"/>
    <n v="4815.8"/>
    <n v="0"/>
    <n v="0"/>
    <n v="769"/>
    <n v="0"/>
    <n v="284.23"/>
    <n v="5869.0300000000007"/>
    <n v="-284.23"/>
  </r>
  <r>
    <x v="13"/>
    <x v="5"/>
    <x v="0"/>
    <s v="4845106"/>
    <n v="735040"/>
    <s v="Depreciation-Building Improvements"/>
    <s v="Ultrasound"/>
    <x v="0"/>
    <m/>
    <n v="71.78"/>
    <n v="71.77"/>
    <n v="71.78"/>
    <n v="71.77"/>
    <n v="71.78"/>
    <n v="71.77"/>
    <n v="71.78"/>
    <n v="71.77"/>
    <n v="71.78"/>
    <n v="71.77"/>
    <n v="71.78"/>
    <n v="71.77"/>
    <n v="861.29999999999984"/>
    <n v="1.0000000000005116E-2"/>
  </r>
  <r>
    <x v="13"/>
    <x v="5"/>
    <x v="0"/>
    <s v="4845106"/>
    <n v="735070"/>
    <s v="Depreciation-Movable Equipment"/>
    <s v="Ultrasound"/>
    <x v="0"/>
    <m/>
    <n v="12512.66"/>
    <n v="12185.03"/>
    <n v="12185.05"/>
    <n v="12185"/>
    <n v="12185.06"/>
    <n v="12184.98"/>
    <n v="12185.07"/>
    <n v="12184.97"/>
    <n v="12185.09"/>
    <n v="12184.97"/>
    <n v="12185.1"/>
    <n v="12184.97"/>
    <n v="146547.95000000001"/>
    <n v="0.13000000000101863"/>
  </r>
  <r>
    <x v="0"/>
    <x v="5"/>
    <x v="0"/>
    <s v="4845106"/>
    <n v="740020"/>
    <s v="Education-Registration Fees"/>
    <s v="Ultrasound"/>
    <x v="0"/>
    <m/>
    <n v="0"/>
    <n v="795"/>
    <n v="795"/>
    <n v="0"/>
    <n v="0"/>
    <n v="0"/>
    <n v="0"/>
    <n v="0"/>
    <n v="0"/>
    <n v="0"/>
    <n v="0"/>
    <n v="0"/>
    <n v="1590"/>
    <n v="0"/>
  </r>
  <r>
    <x v="0"/>
    <x v="5"/>
    <x v="0"/>
    <s v="4845106"/>
    <n v="749510"/>
    <s v="Miscellaneous Expenses"/>
    <s v="Ultrasound"/>
    <x v="0"/>
    <m/>
    <n v="0"/>
    <n v="0"/>
    <n v="0"/>
    <n v="674.63"/>
    <n v="67.459999999999994"/>
    <n v="0"/>
    <n v="0"/>
    <n v="604.82000000000005"/>
    <n v="0"/>
    <n v="0"/>
    <n v="0"/>
    <n v="0"/>
    <n v="1346.91"/>
    <n v="0"/>
  </r>
  <r>
    <x v="18"/>
    <x v="6"/>
    <x v="0"/>
    <s v="4845107"/>
    <n v="400010"/>
    <s v="Acute I/P Svcs Rev--Medicare"/>
    <s v="Ultrasound-Bremerton"/>
    <x v="0"/>
    <n v="1100"/>
    <n v="-345214.96"/>
    <n v="-332264.07"/>
    <n v="-290762.8"/>
    <n v="-308810.77"/>
    <n v="-321949.82"/>
    <n v="-299242.89"/>
    <n v="-342451.56"/>
    <n v="-280402.89"/>
    <n v="-321220.56"/>
    <n v="-309480.67"/>
    <n v="-257033.69"/>
    <n v="-275844.43"/>
    <n v="-3684679.1100000003"/>
    <n v="18810.739999999991"/>
  </r>
  <r>
    <x v="18"/>
    <x v="6"/>
    <x v="0"/>
    <s v="4845107"/>
    <n v="400010"/>
    <s v="Acute I/P Svcs Rev--Medicaid"/>
    <s v="Ultrasound-Bremerton"/>
    <x v="0"/>
    <n v="1200"/>
    <n v="-72298.28"/>
    <n v="-91326.75"/>
    <n v="-76374.759999999995"/>
    <n v="-65075.76"/>
    <n v="-63086.25"/>
    <n v="-77490.53"/>
    <n v="-78065.14"/>
    <n v="-76794.81"/>
    <n v="-71790.84"/>
    <n v="-63364.26"/>
    <n v="-92121.76"/>
    <n v="-100321.35"/>
    <n v="-928110.49"/>
    <n v="8199.5900000000111"/>
  </r>
  <r>
    <x v="18"/>
    <x v="6"/>
    <x v="0"/>
    <s v="4845107"/>
    <n v="400010"/>
    <s v="Acute I/P Svcs Rev--Comm Insurance"/>
    <s v="Ultrasound-Bremerton"/>
    <x v="0"/>
    <n v="1300"/>
    <n v="2631.94"/>
    <n v="-946.39"/>
    <n v="-3625.6"/>
    <n v="-6068.88"/>
    <n v="-11202.79"/>
    <n v="-6360.58"/>
    <n v="-614.98"/>
    <n v="-9297.7900000000009"/>
    <n v="-8084.5"/>
    <n v="79.48"/>
    <n v="425"/>
    <n v="351.51"/>
    <n v="-42713.58"/>
    <n v="73.490000000000009"/>
  </r>
  <r>
    <x v="18"/>
    <x v="6"/>
    <x v="0"/>
    <s v="4845107"/>
    <n v="400010"/>
    <s v="Acute I/P Svcs Rev--BCBS Comm"/>
    <s v="Ultrasound-Bremerton"/>
    <x v="0"/>
    <n v="1301"/>
    <n v="-13248.2"/>
    <n v="-16371.61"/>
    <n v="-39015.019999999997"/>
    <n v="-15935.09"/>
    <n v="-21482.05"/>
    <n v="-12313.42"/>
    <n v="-30787.54"/>
    <n v="-19002.78"/>
    <n v="-20249.490000000002"/>
    <n v="-25902.06"/>
    <n v="-25528.05"/>
    <n v="-11363.27"/>
    <n v="-251198.57999999996"/>
    <n v="-14164.779999999999"/>
  </r>
  <r>
    <x v="18"/>
    <x v="6"/>
    <x v="0"/>
    <s v="4845107"/>
    <n v="400010"/>
    <s v="Acute I/P Svcs Rev--Managed Care"/>
    <s v="Ultrasound-Bremerton"/>
    <x v="0"/>
    <n v="1400"/>
    <n v="-41950.31"/>
    <n v="-12005.82"/>
    <n v="-48619.25"/>
    <n v="-22671.17"/>
    <n v="-31393.88"/>
    <n v="-30451.13"/>
    <n v="-47292.89"/>
    <n v="-38505.410000000003"/>
    <n v="-42908.37"/>
    <n v="-20472.849999999999"/>
    <n v="-41230.78"/>
    <n v="-32595.71"/>
    <n v="-410097.57"/>
    <n v="-8635.07"/>
  </r>
  <r>
    <x v="18"/>
    <x v="6"/>
    <x v="0"/>
    <s v="4845107"/>
    <n v="400010"/>
    <s v="Acute I/P Svcs Rev--Self Pay"/>
    <s v="Ultrasound-Bremerton"/>
    <x v="0"/>
    <n v="1500"/>
    <n v="1134.23"/>
    <n v="-4031.17"/>
    <n v="-6922.81"/>
    <n v="-980.69"/>
    <n v="0"/>
    <n v="-5319.86"/>
    <n v="-1140.1500000000001"/>
    <n v="-5516.08"/>
    <n v="-866.93"/>
    <n v="-2147.7600000000002"/>
    <n v="-3890.79"/>
    <n v="-3051.13"/>
    <n v="-32733.140000000003"/>
    <n v="-839.65999999999985"/>
  </r>
  <r>
    <x v="18"/>
    <x v="6"/>
    <x v="0"/>
    <s v="4845107"/>
    <n v="400010"/>
    <s v="Acute I/P Svcs Rev--Other"/>
    <s v="Ultrasound-Bremerton"/>
    <x v="0"/>
    <n v="1700"/>
    <n v="-14822.82"/>
    <n v="-42122.59"/>
    <n v="-23472.1"/>
    <n v="-26726.44"/>
    <n v="-18016.560000000001"/>
    <n v="-16215.01"/>
    <n v="-16818.37"/>
    <n v="-16605.7"/>
    <n v="-19937.62"/>
    <n v="-12995.98"/>
    <n v="-29623.75"/>
    <n v="-21265.94"/>
    <n v="-258622.88"/>
    <n v="-8357.8100000000013"/>
  </r>
  <r>
    <x v="19"/>
    <x v="6"/>
    <x v="0"/>
    <s v="4845107"/>
    <n v="400020"/>
    <s v="O/P Care Svcs Rev--Medicare"/>
    <s v="Ultrasound-Bremerton"/>
    <x v="0"/>
    <n v="1100"/>
    <n v="-135781.91"/>
    <n v="-146649.92000000001"/>
    <n v="-176225.59"/>
    <n v="-172427.02"/>
    <n v="-178296.15"/>
    <n v="-146733.25"/>
    <n v="-145721.69"/>
    <n v="-119901.89"/>
    <n v="-151118.60999999999"/>
    <n v="-150667.19"/>
    <n v="-196563.57"/>
    <n v="-191053.77"/>
    <n v="-1911140.5599999998"/>
    <n v="-5509.8000000000175"/>
  </r>
  <r>
    <x v="19"/>
    <x v="6"/>
    <x v="0"/>
    <s v="4845107"/>
    <n v="400020"/>
    <s v="O/P Care Svcs Rev--Medicaid"/>
    <s v="Ultrasound-Bremerton"/>
    <x v="0"/>
    <n v="1200"/>
    <n v="-162172.54"/>
    <n v="-128511.83"/>
    <n v="-94042.6"/>
    <n v="-132098.87"/>
    <n v="-97304.08"/>
    <n v="-107977.1"/>
    <n v="-142166.26999999999"/>
    <n v="-109441.8"/>
    <n v="-124358.15"/>
    <n v="-134015.82"/>
    <n v="-122031.53"/>
    <n v="-106501.62"/>
    <n v="-1460622.21"/>
    <n v="-15529.910000000003"/>
  </r>
  <r>
    <x v="19"/>
    <x v="6"/>
    <x v="0"/>
    <s v="4845107"/>
    <n v="400020"/>
    <s v="O/P Care Svcs Rev--Comm Insurance"/>
    <s v="Ultrasound-Bremerton"/>
    <x v="0"/>
    <n v="1300"/>
    <n v="-15946.84"/>
    <n v="-9738.49"/>
    <n v="-1377.24"/>
    <n v="-6437.69"/>
    <n v="-20245.830000000002"/>
    <n v="496.56"/>
    <n v="-7726.28"/>
    <n v="-6773.49"/>
    <n v="-3414.53"/>
    <n v="-9499.7800000000007"/>
    <n v="-9351.91"/>
    <n v="-5710.74"/>
    <n v="-95726.260000000009"/>
    <n v="-3641.17"/>
  </r>
  <r>
    <x v="19"/>
    <x v="6"/>
    <x v="0"/>
    <s v="4845107"/>
    <n v="400020"/>
    <s v="O/P Care Svcs Rev--BCBS Comm"/>
    <s v="Ultrasound-Bremerton"/>
    <x v="0"/>
    <n v="1301"/>
    <n v="-35588.32"/>
    <n v="-30498.61"/>
    <n v="-9686.61"/>
    <n v="-32150.92"/>
    <n v="-18022.05"/>
    <n v="-26096.27"/>
    <n v="-30318.1"/>
    <n v="-35788.1"/>
    <n v="-34260.639999999999"/>
    <n v="-32968.97"/>
    <n v="-40201.21"/>
    <n v="-27066.51"/>
    <n v="-352646.31"/>
    <n v="-13134.7"/>
  </r>
  <r>
    <x v="19"/>
    <x v="6"/>
    <x v="0"/>
    <s v="4845107"/>
    <n v="400020"/>
    <s v="O/P Care Svcs Rev--Managed Care"/>
    <s v="Ultrasound-Bremerton"/>
    <x v="0"/>
    <n v="1400"/>
    <n v="-65897.899999999994"/>
    <n v="-53785.5"/>
    <n v="-59714.29"/>
    <n v="-72595.08"/>
    <n v="-74911.02"/>
    <n v="-36986.06"/>
    <n v="-48085.49"/>
    <n v="-63439.35"/>
    <n v="-76902.61"/>
    <n v="-72261.8"/>
    <n v="-68762.759999999995"/>
    <n v="-74212.570000000007"/>
    <n v="-767554.43000000017"/>
    <n v="5449.8100000000122"/>
  </r>
  <r>
    <x v="19"/>
    <x v="6"/>
    <x v="0"/>
    <s v="4845107"/>
    <n v="400020"/>
    <s v="O/P Care Svcs Rev--Self Pay"/>
    <s v="Ultrasound-Bremerton"/>
    <x v="0"/>
    <n v="1500"/>
    <n v="-918.48"/>
    <n v="-7898.35"/>
    <n v="-11738.14"/>
    <n v="-10210.5"/>
    <n v="-8263.09"/>
    <n v="-10138.1"/>
    <n v="-16417.57"/>
    <n v="-9770.57"/>
    <n v="-6398.45"/>
    <n v="-9809.27"/>
    <n v="-4772.4399999999996"/>
    <n v="-9855.5"/>
    <n v="-106190.45999999999"/>
    <n v="5083.0600000000004"/>
  </r>
  <r>
    <x v="19"/>
    <x v="6"/>
    <x v="0"/>
    <s v="4845107"/>
    <n v="400020"/>
    <s v="O/P Care Svcs Rev--Other"/>
    <s v="Ultrasound-Bremerton"/>
    <x v="0"/>
    <n v="1700"/>
    <n v="-22997.3"/>
    <n v="-27772.29"/>
    <n v="-30695.02"/>
    <n v="-34472.35"/>
    <n v="-31652.9"/>
    <n v="-18926.28"/>
    <n v="-45397.71"/>
    <n v="-35017.07"/>
    <n v="-31358.29"/>
    <n v="-44523.27"/>
    <n v="-58262.26"/>
    <n v="-33821.550000000003"/>
    <n v="-414896.29"/>
    <n v="-24440.71"/>
  </r>
  <r>
    <x v="5"/>
    <x v="6"/>
    <x v="0"/>
    <s v="4845107"/>
    <n v="700034"/>
    <s v="Salaries-Tech/Professional-Productive"/>
    <s v="Ultrasound-Bremerton"/>
    <x v="0"/>
    <m/>
    <n v="54401.03"/>
    <n v="53639.96"/>
    <n v="50610.02"/>
    <n v="52108.62"/>
    <n v="56706.400000000001"/>
    <n v="52146.11"/>
    <n v="54728.800000000003"/>
    <n v="48292.15"/>
    <n v="52842.89"/>
    <n v="53532.37"/>
    <n v="51868.07"/>
    <n v="53196"/>
    <n v="634072.41999999993"/>
    <n v="-1327.9300000000003"/>
  </r>
  <r>
    <x v="5"/>
    <x v="6"/>
    <x v="0"/>
    <s v="4845107"/>
    <n v="700034"/>
    <s v="Salaries-Tech/Professional-OT"/>
    <s v="Ultrasound-Bremerton"/>
    <x v="0"/>
    <n v="1000"/>
    <n v="1797.17"/>
    <n v="3244.4"/>
    <n v="4447.26"/>
    <n v="5674.49"/>
    <n v="1178.75"/>
    <n v="3561.65"/>
    <n v="4476.6400000000003"/>
    <n v="2398.62"/>
    <n v="4358.8900000000003"/>
    <n v="1124.24"/>
    <n v="8929.7800000000007"/>
    <n v="3836.33"/>
    <n v="45028.22"/>
    <n v="5093.4500000000007"/>
  </r>
  <r>
    <x v="5"/>
    <x v="6"/>
    <x v="0"/>
    <s v="4845107"/>
    <n v="700034"/>
    <s v="Salaries-Tech/Professional-Other"/>
    <s v="Ultrasound-Bremerton"/>
    <x v="0"/>
    <n v="2000"/>
    <n v="3353.33"/>
    <n v="3824.72"/>
    <n v="3538.68"/>
    <n v="3075.95"/>
    <n v="2743.64"/>
    <n v="3087.58"/>
    <n v="3098.3"/>
    <n v="2791.02"/>
    <n v="3077.38"/>
    <n v="3401.62"/>
    <n v="2990.92"/>
    <n v="3196.05"/>
    <n v="38179.19"/>
    <n v="-205.13000000000011"/>
  </r>
  <r>
    <x v="5"/>
    <x v="6"/>
    <x v="0"/>
    <s v="4845107"/>
    <n v="700074"/>
    <s v="Salaries-Tech/Professional-Non-productive"/>
    <s v="Ultrasound-Bremerton"/>
    <x v="0"/>
    <m/>
    <n v="7244.28"/>
    <n v="4584.76"/>
    <n v="9810.1"/>
    <n v="9020.68"/>
    <n v="640.74"/>
    <n v="9413.06"/>
    <n v="4050.98"/>
    <n v="3365.32"/>
    <n v="6584.02"/>
    <n v="4421.66"/>
    <n v="2615.15"/>
    <n v="8965.11"/>
    <n v="70715.860000000015"/>
    <n v="-6349.9600000000009"/>
  </r>
  <r>
    <x v="5"/>
    <x v="6"/>
    <x v="0"/>
    <s v="4845107"/>
    <n v="700074"/>
    <s v="Salaries-Tech/Professional-NonProd-Other"/>
    <s v="Ultrasound-Bremerton"/>
    <x v="0"/>
    <n v="2000"/>
    <n v="362.63"/>
    <n v="784.09"/>
    <n v="627"/>
    <n v="252.9"/>
    <n v="579.04"/>
    <n v="278.17"/>
    <n v="873.61"/>
    <n v="543.03"/>
    <n v="964.61"/>
    <n v="-205.54"/>
    <n v="279.33"/>
    <n v="2840.53"/>
    <n v="8179.4"/>
    <n v="-2561.2000000000003"/>
  </r>
  <r>
    <x v="5"/>
    <x v="6"/>
    <x v="0"/>
    <s v="4845107"/>
    <n v="700084"/>
    <s v="Accrued PTO"/>
    <s v="Ultrasound-Bremerton"/>
    <x v="0"/>
    <m/>
    <n v="-1565.9"/>
    <n v="1106.73"/>
    <n v="-2136.06"/>
    <n v="-562.52"/>
    <n v="1805.27"/>
    <n v="-1648.44"/>
    <n v="3300.64"/>
    <n v="2649.49"/>
    <n v="1403.12"/>
    <n v="4907.62"/>
    <n v="2079.0300000000002"/>
    <n v="-2813.47"/>
    <n v="8525.510000000002"/>
    <n v="4892.5"/>
  </r>
  <r>
    <x v="6"/>
    <x v="6"/>
    <x v="0"/>
    <s v="4845107"/>
    <n v="713010"/>
    <s v="Benefits-FICA/Medicare"/>
    <s v="Ultrasound-Bremerton"/>
    <x v="0"/>
    <m/>
    <n v="5137.51"/>
    <n v="5054.91"/>
    <n v="5281.08"/>
    <n v="5365.19"/>
    <n v="4924.71"/>
    <n v="5009.92"/>
    <n v="5135.03"/>
    <n v="4383.8999999999996"/>
    <n v="5181.2"/>
    <n v="4757.07"/>
    <n v="5093.75"/>
    <n v="5502.56"/>
    <n v="60826.829999999994"/>
    <n v="-408.8100000000004"/>
  </r>
  <r>
    <x v="6"/>
    <x v="6"/>
    <x v="0"/>
    <s v="4845107"/>
    <n v="713090"/>
    <s v="Benefits-Allocated Amounts"/>
    <s v="Ultrasound-Bremerton"/>
    <x v="0"/>
    <m/>
    <n v="9222.56"/>
    <n v="7982.48"/>
    <n v="9144.57"/>
    <n v="9285.64"/>
    <n v="9669.1"/>
    <n v="9595.4699999999993"/>
    <n v="9412.11"/>
    <n v="8729.1"/>
    <n v="7875.75"/>
    <n v="9885.85"/>
    <n v="9119.2099999999991"/>
    <n v="11239.76"/>
    <n v="111161.59999999999"/>
    <n v="-2120.5500000000011"/>
  </r>
  <r>
    <x v="11"/>
    <x v="6"/>
    <x v="0"/>
    <s v="4845107"/>
    <n v="721410"/>
    <s v="Supplies-Medical - Nonbillable"/>
    <s v="Ultrasound-Bremerton"/>
    <x v="0"/>
    <m/>
    <n v="0"/>
    <n v="0"/>
    <n v="38.1"/>
    <n v="8.84"/>
    <n v="0"/>
    <n v="0"/>
    <n v="0"/>
    <n v="0"/>
    <n v="0"/>
    <n v="0"/>
    <n v="0"/>
    <n v="0"/>
    <n v="46.94"/>
    <n v="0"/>
  </r>
  <r>
    <x v="11"/>
    <x v="6"/>
    <x v="0"/>
    <s v="4845107"/>
    <n v="721830"/>
    <s v="Supplies-Office"/>
    <s v="Ultrasound-Bremerton"/>
    <x v="0"/>
    <m/>
    <n v="0"/>
    <n v="0"/>
    <n v="53.1"/>
    <n v="5.05"/>
    <n v="0"/>
    <n v="0"/>
    <n v="0"/>
    <n v="0"/>
    <n v="0"/>
    <n v="0"/>
    <n v="0"/>
    <n v="0"/>
    <n v="58.15"/>
    <n v="0"/>
  </r>
  <r>
    <x v="13"/>
    <x v="6"/>
    <x v="0"/>
    <s v="4845107"/>
    <n v="735070"/>
    <s v="Depreciation-Movable Equipment"/>
    <s v="Ultrasound-Bremerton"/>
    <x v="0"/>
    <m/>
    <n v="612.41"/>
    <n v="612.41"/>
    <n v="612.41"/>
    <n v="612.4"/>
    <n v="612.41"/>
    <n v="612.4"/>
    <n v="612.41"/>
    <n v="612.4"/>
    <n v="612.41"/>
    <n v="612.4"/>
    <n v="612.41"/>
    <n v="612.4"/>
    <n v="7348.869999999999"/>
    <n v="9.9999999999909051E-3"/>
  </r>
  <r>
    <x v="0"/>
    <x v="6"/>
    <x v="0"/>
    <s v="4845107"/>
    <n v="749510"/>
    <s v="Miscellaneous Expenses"/>
    <s v="Ultrasound-Bremerton"/>
    <x v="0"/>
    <m/>
    <n v="198.43"/>
    <n v="11.47"/>
    <n v="-297.7"/>
    <n v="72.510000000000005"/>
    <n v="32.729999999999997"/>
    <n v="171.81"/>
    <n v="-277.05"/>
    <n v="0"/>
    <n v="20.3"/>
    <n v="0"/>
    <n v="44.66"/>
    <n v="9.86"/>
    <n v="-12.97999999999999"/>
    <n v="34.799999999999997"/>
  </r>
  <r>
    <x v="0"/>
    <x v="6"/>
    <x v="0"/>
    <s v="4845107"/>
    <n v="749530"/>
    <s v="Mileage"/>
    <s v="Ultrasound-Bremerton"/>
    <x v="0"/>
    <n v="1001"/>
    <n v="0"/>
    <n v="0"/>
    <n v="473.24"/>
    <n v="15.28"/>
    <n v="127.61"/>
    <n v="0"/>
    <n v="327.24"/>
    <n v="59.74"/>
    <n v="118.42"/>
    <n v="48.72"/>
    <n v="171.68"/>
    <n v="141.52000000000001"/>
    <n v="1483.45"/>
    <n v="30.159999999999997"/>
  </r>
  <r>
    <x v="18"/>
    <x v="7"/>
    <x v="0"/>
    <s v="4845150"/>
    <n v="400010"/>
    <s v="Acute I/P Svcs Rev--Medicare"/>
    <s v="Ultrasound"/>
    <x v="0"/>
    <n v="1100"/>
    <n v="-14034.87"/>
    <n v="-8412.14"/>
    <n v="-15351.68"/>
    <n v="-14035.48"/>
    <n v="-14611.78"/>
    <n v="-8368.5"/>
    <n v="-16504.79"/>
    <n v="-7063.05"/>
    <n v="-25591.85"/>
    <n v="-20128.099999999999"/>
    <n v="-28355.96"/>
    <n v="-17260.560000000001"/>
    <n v="-189718.75999999998"/>
    <n v="-11095.399999999998"/>
  </r>
  <r>
    <x v="18"/>
    <x v="7"/>
    <x v="0"/>
    <s v="4845150"/>
    <n v="400010"/>
    <s v="Acute I/P Svcs Rev--Medicaid"/>
    <s v="Ultrasound"/>
    <x v="0"/>
    <n v="1200"/>
    <n v="-2060.6999999999998"/>
    <n v="-3540"/>
    <n v="-4024.04"/>
    <n v="-12384.71"/>
    <n v="-4061.1"/>
    <n v="-2647.21"/>
    <n v="-3136.23"/>
    <n v="-2317.5"/>
    <n v="-3124.28"/>
    <n v="-4713.71"/>
    <n v="-2653.28"/>
    <n v="-6925.62"/>
    <n v="-51588.37999999999"/>
    <n v="4272.34"/>
  </r>
  <r>
    <x v="18"/>
    <x v="7"/>
    <x v="0"/>
    <s v="4845150"/>
    <n v="400010"/>
    <s v="Acute I/P Svcs Rev--Comm Insurance"/>
    <s v="Ultrasound"/>
    <x v="0"/>
    <n v="1300"/>
    <n v="0"/>
    <n v="0"/>
    <n v="-1673.7"/>
    <n v="-2963.7"/>
    <n v="1290"/>
    <n v="-4211.7"/>
    <n v="0"/>
    <n v="-665.26"/>
    <n v="-594.9"/>
    <n v="0"/>
    <n v="0"/>
    <n v="0"/>
    <n v="-8819.2599999999984"/>
    <n v="0"/>
  </r>
  <r>
    <x v="18"/>
    <x v="7"/>
    <x v="0"/>
    <s v="4845150"/>
    <n v="400010"/>
    <s v="Acute I/P Svcs Rev--BCBS Comm"/>
    <s v="Ultrasound"/>
    <x v="0"/>
    <n v="1301"/>
    <n v="-2387.4"/>
    <n v="-2319.58"/>
    <n v="0"/>
    <n v="-327.63"/>
    <n v="0"/>
    <n v="-1290"/>
    <n v="0"/>
    <n v="-3052.61"/>
    <n v="-4776.5200000000004"/>
    <n v="-7467.72"/>
    <n v="-2459.02"/>
    <n v="-593.59"/>
    <n v="-24674.07"/>
    <n v="-1865.4299999999998"/>
  </r>
  <r>
    <x v="18"/>
    <x v="7"/>
    <x v="0"/>
    <s v="4845150"/>
    <n v="400010"/>
    <s v="Acute I/P Svcs Rev--Managed Care"/>
    <s v="Ultrasound"/>
    <x v="0"/>
    <n v="1400"/>
    <n v="-5099.12"/>
    <n v="-2250"/>
    <n v="-729.62"/>
    <n v="-1605.88"/>
    <n v="-6384.25"/>
    <n v="-4132.22"/>
    <n v="-576.29999999999995"/>
    <n v="-8173.82"/>
    <n v="-1937.6"/>
    <n v="-7248.83"/>
    <n v="-1130.32"/>
    <n v="-11343.73"/>
    <n v="-50611.69"/>
    <n v="10213.41"/>
  </r>
  <r>
    <x v="18"/>
    <x v="7"/>
    <x v="0"/>
    <s v="4845150"/>
    <n v="400010"/>
    <s v="Acute I/P Svcs Rev--Self Pay"/>
    <s v="Ultrasound"/>
    <x v="0"/>
    <n v="1500"/>
    <n v="0"/>
    <n v="0"/>
    <n v="0"/>
    <n v="0"/>
    <n v="-713.7"/>
    <n v="0"/>
    <n v="0"/>
    <n v="-972.72"/>
    <n v="0"/>
    <n v="0"/>
    <n v="0"/>
    <n v="-665.26"/>
    <n v="-2351.6800000000003"/>
    <n v="665.26"/>
  </r>
  <r>
    <x v="18"/>
    <x v="7"/>
    <x v="0"/>
    <s v="4845150"/>
    <n v="400010"/>
    <s v="Acute I/P Svcs Rev--Other"/>
    <s v="Ultrasound"/>
    <x v="0"/>
    <n v="1700"/>
    <n v="0"/>
    <n v="548.86"/>
    <n v="0"/>
    <n v="0"/>
    <n v="0"/>
    <n v="0"/>
    <n v="-1673.7"/>
    <n v="-3447.82"/>
    <n v="0"/>
    <n v="0"/>
    <n v="-615.04999999999995"/>
    <n v="1673.7"/>
    <n v="-3514.01"/>
    <n v="-2288.75"/>
  </r>
  <r>
    <x v="19"/>
    <x v="7"/>
    <x v="0"/>
    <s v="4845150"/>
    <n v="400020"/>
    <s v="O/P Care Svcs Rev--Medicare"/>
    <s v="Ultrasound"/>
    <x v="0"/>
    <n v="1100"/>
    <n v="-82299.5"/>
    <n v="-83815.09"/>
    <n v="-63573.73"/>
    <n v="-97768.68"/>
    <n v="-84442.65"/>
    <n v="-64526.95"/>
    <n v="-74911.39"/>
    <n v="-85120.99"/>
    <n v="-90135.6"/>
    <n v="-91904.29"/>
    <n v="-101489.53"/>
    <n v="-74980.67"/>
    <n v="-994969.07000000007"/>
    <n v="-26508.86"/>
  </r>
  <r>
    <x v="19"/>
    <x v="7"/>
    <x v="0"/>
    <s v="4845150"/>
    <n v="400020"/>
    <s v="O/P Care Svcs Rev--Medicaid"/>
    <s v="Ultrasound"/>
    <x v="0"/>
    <n v="1200"/>
    <n v="-22860.53"/>
    <n v="-31547.45"/>
    <n v="-35560.85"/>
    <n v="-38226.589999999997"/>
    <n v="-30981.42"/>
    <n v="-28566.42"/>
    <n v="-30110.77"/>
    <n v="-24015.15"/>
    <n v="-16768.8"/>
    <n v="-29305.54"/>
    <n v="-39799.58"/>
    <n v="-24939.09"/>
    <n v="-352682.18999999994"/>
    <n v="-14860.490000000002"/>
  </r>
  <r>
    <x v="19"/>
    <x v="7"/>
    <x v="0"/>
    <s v="4845150"/>
    <n v="400020"/>
    <s v="O/P Care Svcs Rev--Comm Insurance"/>
    <s v="Ultrasound"/>
    <x v="0"/>
    <n v="1300"/>
    <n v="-2534.81"/>
    <n v="-5108.5200000000004"/>
    <n v="-9093.2999999999993"/>
    <n v="734.14"/>
    <n v="-7332.36"/>
    <n v="-3784.81"/>
    <n v="-2287.23"/>
    <n v="-2436.1999999999998"/>
    <n v="-4587.38"/>
    <n v="-9034.0300000000007"/>
    <n v="-3324.83"/>
    <n v="-1977.19"/>
    <n v="-50766.520000000004"/>
    <n v="-1347.6399999999999"/>
  </r>
  <r>
    <x v="19"/>
    <x v="7"/>
    <x v="0"/>
    <s v="4845150"/>
    <n v="400020"/>
    <s v="O/P Care Svcs Rev--BCBS Comm"/>
    <s v="Ultrasound"/>
    <x v="0"/>
    <n v="1301"/>
    <n v="-30510.25"/>
    <n v="-32897.980000000003"/>
    <n v="-26083.96"/>
    <n v="-25660.22"/>
    <n v="-26438.09"/>
    <n v="-19779.48"/>
    <n v="-24065.84"/>
    <n v="-20413.650000000001"/>
    <n v="-23906.73"/>
    <n v="-21645.439999999999"/>
    <n v="-21648.65"/>
    <n v="-24263.57"/>
    <n v="-297313.86000000004"/>
    <n v="2614.9199999999983"/>
  </r>
  <r>
    <x v="19"/>
    <x v="7"/>
    <x v="0"/>
    <s v="4845150"/>
    <n v="400020"/>
    <s v="O/P Care Svcs Rev--Managed Care"/>
    <s v="Ultrasound"/>
    <x v="0"/>
    <n v="1400"/>
    <n v="-54336.27"/>
    <n v="-64991.76"/>
    <n v="-62023.21"/>
    <n v="-62862.84"/>
    <n v="-65972.87"/>
    <n v="-44894.23"/>
    <n v="-68987.98"/>
    <n v="-45439.77"/>
    <n v="-49977.71"/>
    <n v="-55449.919999999998"/>
    <n v="-59676.31"/>
    <n v="-50673.18"/>
    <n v="-685286.04999999993"/>
    <n v="-9003.1299999999974"/>
  </r>
  <r>
    <x v="19"/>
    <x v="7"/>
    <x v="0"/>
    <s v="4845150"/>
    <n v="400020"/>
    <s v="O/P Care Svcs Rev--Self Pay"/>
    <s v="Ultrasound"/>
    <x v="0"/>
    <n v="1500"/>
    <n v="-3245.97"/>
    <n v="-211.03"/>
    <n v="-3878.38"/>
    <n v="-3393.64"/>
    <n v="-1152.2"/>
    <n v="-2159.87"/>
    <n v="-3180.76"/>
    <n v="-1791.56"/>
    <n v="-2072.2399999999998"/>
    <n v="-1585.25"/>
    <n v="-1779.36"/>
    <n v="-4983.1099999999997"/>
    <n v="-29433.370000000003"/>
    <n v="3203.75"/>
  </r>
  <r>
    <x v="19"/>
    <x v="7"/>
    <x v="0"/>
    <s v="4845150"/>
    <n v="400020"/>
    <s v="O/P Care Svcs Rev--Other"/>
    <s v="Ultrasound"/>
    <x v="0"/>
    <n v="1700"/>
    <n v="-3292.11"/>
    <n v="-3969.56"/>
    <n v="-12448.75"/>
    <n v="-3037.26"/>
    <n v="-1158.1600000000001"/>
    <n v="-3539.54"/>
    <n v="-4353.42"/>
    <n v="-828.91"/>
    <n v="0"/>
    <n v="-5358.12"/>
    <n v="-4672.38"/>
    <n v="-3796.4"/>
    <n v="-46454.61"/>
    <n v="-875.98"/>
  </r>
  <r>
    <x v="5"/>
    <x v="7"/>
    <x v="0"/>
    <s v="4845150"/>
    <n v="700034"/>
    <s v="Salaries-Tech/Professional-Productive"/>
    <s v="Ultrasound"/>
    <x v="0"/>
    <m/>
    <n v="17640.63"/>
    <n v="18974.400000000001"/>
    <n v="21375.1"/>
    <n v="22640.28"/>
    <n v="22845.5"/>
    <n v="19627.439999999999"/>
    <n v="23434.05"/>
    <n v="18716.71"/>
    <n v="20091.59"/>
    <n v="22290.34"/>
    <n v="19884.22"/>
    <n v="18674.05"/>
    <n v="246194.30999999997"/>
    <n v="1210.1700000000019"/>
  </r>
  <r>
    <x v="5"/>
    <x v="7"/>
    <x v="0"/>
    <s v="4845150"/>
    <n v="700034"/>
    <s v="Salaries-Tech/Professional-OT"/>
    <s v="Ultrasound"/>
    <x v="0"/>
    <n v="1000"/>
    <n v="2556.06"/>
    <n v="2876.3"/>
    <n v="1129.93"/>
    <n v="3553.49"/>
    <n v="1006.66"/>
    <n v="2724.29"/>
    <n v="2557.14"/>
    <n v="1503.96"/>
    <n v="1957.56"/>
    <n v="2147.9499999999998"/>
    <n v="1370.8"/>
    <n v="912.8"/>
    <n v="24296.94"/>
    <n v="458"/>
  </r>
  <r>
    <x v="5"/>
    <x v="7"/>
    <x v="0"/>
    <s v="4845150"/>
    <n v="700034"/>
    <s v="Salaries-Tech/Professional-Other"/>
    <s v="Ultrasound"/>
    <x v="0"/>
    <n v="2000"/>
    <n v="1550.43"/>
    <n v="1329.69"/>
    <n v="1331.78"/>
    <n v="1847.71"/>
    <n v="1435.68"/>
    <n v="1401.68"/>
    <n v="1330.01"/>
    <n v="1264.98"/>
    <n v="1452.99"/>
    <n v="1410.03"/>
    <n v="1595.07"/>
    <n v="869.4"/>
    <n v="16819.45"/>
    <n v="725.67"/>
  </r>
  <r>
    <x v="5"/>
    <x v="7"/>
    <x v="0"/>
    <s v="4845150"/>
    <n v="700074"/>
    <s v="Salaries-Tech/Professional-Non-productive"/>
    <s v="Ultrasound"/>
    <x v="0"/>
    <m/>
    <n v="3909.69"/>
    <n v="3060.92"/>
    <n v="1685.52"/>
    <n v="1365.8"/>
    <n v="764.41"/>
    <n v="6798.26"/>
    <n v="2619.7399999999998"/>
    <n v="890.09"/>
    <n v="3634.73"/>
    <n v="2540.6799999999998"/>
    <n v="1630"/>
    <n v="3801.32"/>
    <n v="32701.159999999996"/>
    <n v="-2171.3200000000002"/>
  </r>
  <r>
    <x v="5"/>
    <x v="7"/>
    <x v="0"/>
    <s v="4845150"/>
    <n v="700074"/>
    <s v="Salaries-Tech/Professional-NonProd-Other"/>
    <s v="Ultrasound"/>
    <x v="0"/>
    <n v="2000"/>
    <n v="2090.5100000000002"/>
    <n v="1771.67"/>
    <n v="1883.4"/>
    <n v="694.56"/>
    <n v="1759.47"/>
    <n v="2439.8000000000002"/>
    <n v="3386.67"/>
    <n v="1246.0899999999999"/>
    <n v="2224.9"/>
    <n v="3437.49"/>
    <n v="801.6"/>
    <n v="2178.92"/>
    <n v="23915.079999999994"/>
    <n v="-1377.3200000000002"/>
  </r>
  <r>
    <x v="5"/>
    <x v="7"/>
    <x v="0"/>
    <s v="4845150"/>
    <n v="700084"/>
    <s v="Accrued PTO"/>
    <s v="Ultrasound"/>
    <x v="0"/>
    <m/>
    <n v="-1208"/>
    <n v="-386.98"/>
    <n v="381.81"/>
    <n v="1104.96"/>
    <n v="400.07"/>
    <n v="-2651.29"/>
    <n v="-490.2"/>
    <n v="1540.78"/>
    <n v="-535.45000000000005"/>
    <n v="1319.75"/>
    <n v="3677.42"/>
    <n v="-1027.56"/>
    <n v="2125.3100000000004"/>
    <n v="4704.9799999999996"/>
  </r>
  <r>
    <x v="10"/>
    <x v="7"/>
    <x v="0"/>
    <s v="4845150"/>
    <n v="710060"/>
    <s v="Contract Labor-Other"/>
    <s v="Ultrasound"/>
    <x v="0"/>
    <m/>
    <n v="0"/>
    <n v="0"/>
    <n v="0"/>
    <n v="0"/>
    <n v="0"/>
    <n v="0"/>
    <n v="0"/>
    <n v="0"/>
    <n v="0"/>
    <n v="0"/>
    <n v="12867.74"/>
    <n v="14422.1"/>
    <n v="27289.84"/>
    <n v="-1554.3600000000006"/>
  </r>
  <r>
    <x v="10"/>
    <x v="7"/>
    <x v="0"/>
    <s v="4845150"/>
    <n v="710060"/>
    <s v="Contract Labor-Overtime"/>
    <s v="Ultrasound"/>
    <x v="0"/>
    <n v="5100"/>
    <n v="0"/>
    <n v="0"/>
    <n v="0"/>
    <n v="0"/>
    <n v="0"/>
    <n v="0"/>
    <n v="0"/>
    <n v="0"/>
    <n v="0"/>
    <n v="0"/>
    <n v="413.62"/>
    <n v="937.55"/>
    <n v="1351.17"/>
    <n v="-523.92999999999995"/>
  </r>
  <r>
    <x v="10"/>
    <x v="7"/>
    <x v="0"/>
    <s v="4845150"/>
    <n v="710060"/>
    <s v="Contract Labor-Standby Wages"/>
    <s v="Ultrasound"/>
    <x v="0"/>
    <n v="5101"/>
    <n v="0"/>
    <n v="0"/>
    <n v="0"/>
    <n v="0"/>
    <n v="0"/>
    <n v="0"/>
    <n v="0"/>
    <n v="0"/>
    <n v="0"/>
    <n v="0"/>
    <n v="744"/>
    <n v="832"/>
    <n v="1576"/>
    <n v="-88"/>
  </r>
  <r>
    <x v="6"/>
    <x v="7"/>
    <x v="0"/>
    <s v="4845150"/>
    <n v="713010"/>
    <s v="Benefits-FICA/Medicare"/>
    <s v="Ultrasound"/>
    <x v="0"/>
    <m/>
    <n v="2066.7199999999998"/>
    <n v="2087.11"/>
    <n v="2043.72"/>
    <n v="2245.56"/>
    <n v="2073.46"/>
    <n v="2467.6999999999998"/>
    <n v="2491.54"/>
    <n v="1756.03"/>
    <n v="2190.9699999999998"/>
    <n v="2379.86"/>
    <n v="1881.01"/>
    <n v="1964.21"/>
    <n v="25647.89"/>
    <n v="-83.200000000000045"/>
  </r>
  <r>
    <x v="6"/>
    <x v="7"/>
    <x v="0"/>
    <s v="4845150"/>
    <n v="713090"/>
    <s v="Benefits-Allocated Amounts"/>
    <s v="Ultrasound"/>
    <x v="0"/>
    <m/>
    <n v="4408.51"/>
    <n v="4010.09"/>
    <n v="4409.46"/>
    <n v="4927"/>
    <n v="4486.05"/>
    <n v="5039.97"/>
    <n v="5309.98"/>
    <n v="3674.42"/>
    <n v="4053.02"/>
    <n v="4834.71"/>
    <n v="3923.07"/>
    <n v="4314.8500000000004"/>
    <n v="53391.13"/>
    <n v="-391.7800000000002"/>
  </r>
  <r>
    <x v="7"/>
    <x v="7"/>
    <x v="0"/>
    <s v="4845150"/>
    <n v="718070"/>
    <s v="Contract Srvcs-CHI Clinical Engineering"/>
    <s v="Ultrasound"/>
    <x v="0"/>
    <m/>
    <n v="222.49"/>
    <n v="222.49"/>
    <n v="222.49"/>
    <n v="222.49"/>
    <n v="222.49"/>
    <n v="222.49"/>
    <n v="222.49"/>
    <n v="222.49"/>
    <n v="222.49"/>
    <n v="222.69"/>
    <n v="222.69"/>
    <n v="222.69"/>
    <n v="2670.48"/>
    <n v="0"/>
  </r>
  <r>
    <x v="11"/>
    <x v="7"/>
    <x v="0"/>
    <s v="4845150"/>
    <n v="721010"/>
    <s v="Supplies-Medical - Billable"/>
    <s v="Ultrasound"/>
    <x v="0"/>
    <m/>
    <n v="0"/>
    <n v="31.86"/>
    <n v="0"/>
    <n v="0"/>
    <n v="63.72"/>
    <n v="159.30000000000001"/>
    <n v="31.86"/>
    <n v="97.56"/>
    <n v="0"/>
    <n v="31.5"/>
    <n v="48.23"/>
    <n v="21"/>
    <n v="485.03000000000003"/>
    <n v="27.229999999999997"/>
  </r>
  <r>
    <x v="11"/>
    <x v="7"/>
    <x v="0"/>
    <s v="4845150"/>
    <n v="721010"/>
    <s v="Patient Monitoring"/>
    <s v="Ultrasound"/>
    <x v="0"/>
    <n v="1000"/>
    <n v="0"/>
    <n v="0"/>
    <n v="0"/>
    <n v="0"/>
    <n v="0"/>
    <n v="0"/>
    <n v="0"/>
    <n v="0"/>
    <n v="0"/>
    <n v="0"/>
    <n v="57.13"/>
    <n v="16.600000000000001"/>
    <n v="73.73"/>
    <n v="40.53"/>
  </r>
  <r>
    <x v="11"/>
    <x v="7"/>
    <x v="0"/>
    <s v="4845150"/>
    <n v="721250"/>
    <s v="Supplies-Pharmacy Drugs - Billable"/>
    <s v="Ultrasound"/>
    <x v="0"/>
    <m/>
    <n v="0"/>
    <n v="0"/>
    <n v="0"/>
    <n v="0"/>
    <n v="0"/>
    <n v="0"/>
    <n v="629.76"/>
    <n v="629.76"/>
    <n v="629.76"/>
    <n v="0"/>
    <n v="0"/>
    <n v="0"/>
    <n v="1889.28"/>
    <n v="0"/>
  </r>
  <r>
    <x v="11"/>
    <x v="7"/>
    <x v="0"/>
    <s v="4845150"/>
    <n v="721350"/>
    <s v="Supplies-Film/Radiographic - Billable"/>
    <s v="Ultrasound"/>
    <x v="0"/>
    <m/>
    <n v="0"/>
    <n v="629.76"/>
    <n v="629.76"/>
    <n v="629.76"/>
    <n v="0"/>
    <n v="629.76"/>
    <n v="999.8"/>
    <n v="44.37"/>
    <n v="483"/>
    <n v="42.02"/>
    <n v="629.76"/>
    <n v="691.76"/>
    <n v="5409.75"/>
    <n v="-62"/>
  </r>
  <r>
    <x v="11"/>
    <x v="7"/>
    <x v="0"/>
    <s v="4845150"/>
    <n v="721410"/>
    <s v="Supplies-Medical - Nonbillable"/>
    <s v="Ultrasound"/>
    <x v="0"/>
    <m/>
    <n v="0"/>
    <n v="60.05"/>
    <n v="5.05"/>
    <n v="59.72"/>
    <n v="5.91"/>
    <n v="92.74"/>
    <n v="67.680000000000007"/>
    <n v="0"/>
    <n v="0.43"/>
    <n v="-1836.88"/>
    <n v="63.05"/>
    <n v="5.05"/>
    <n v="-1477.2000000000003"/>
    <n v="58"/>
  </r>
  <r>
    <x v="11"/>
    <x v="7"/>
    <x v="0"/>
    <s v="4845150"/>
    <n v="721410"/>
    <s v="Patient Monitoring"/>
    <s v="Ultrasound"/>
    <x v="0"/>
    <n v="1000"/>
    <n v="0"/>
    <n v="0"/>
    <n v="0"/>
    <n v="0"/>
    <n v="0"/>
    <n v="0"/>
    <n v="0"/>
    <n v="0"/>
    <n v="0"/>
    <n v="0"/>
    <n v="67.89"/>
    <n v="95.25"/>
    <n v="163.13999999999999"/>
    <n v="-27.36"/>
  </r>
  <r>
    <x v="11"/>
    <x v="7"/>
    <x v="0"/>
    <s v="4845150"/>
    <n v="721420"/>
    <s v="Supplies-Surgical Nonbillable"/>
    <s v="Ultrasound"/>
    <x v="0"/>
    <m/>
    <n v="0"/>
    <n v="0"/>
    <n v="0"/>
    <n v="0"/>
    <n v="53.38"/>
    <n v="0"/>
    <n v="0"/>
    <n v="0"/>
    <n v="26.69"/>
    <n v="0"/>
    <n v="0"/>
    <n v="0"/>
    <n v="80.070000000000007"/>
    <n v="0"/>
  </r>
  <r>
    <x v="11"/>
    <x v="7"/>
    <x v="0"/>
    <s v="4845150"/>
    <n v="721640"/>
    <s v="Supplies-IV Solutions/Supplies - Nonbillable"/>
    <s v="Ultrasound"/>
    <x v="0"/>
    <m/>
    <n v="0"/>
    <n v="0"/>
    <n v="0"/>
    <n v="0"/>
    <n v="0"/>
    <n v="0"/>
    <n v="0"/>
    <n v="0"/>
    <n v="0"/>
    <n v="84.69"/>
    <n v="0"/>
    <n v="0"/>
    <n v="84.69"/>
    <n v="0"/>
  </r>
  <r>
    <x v="11"/>
    <x v="7"/>
    <x v="0"/>
    <s v="4845150"/>
    <n v="721710"/>
    <s v="Supplies-Laboratory - Nonbillable"/>
    <s v="Ultrasound"/>
    <x v="0"/>
    <m/>
    <n v="0"/>
    <n v="0"/>
    <n v="0"/>
    <n v="0"/>
    <n v="0.96"/>
    <n v="0"/>
    <n v="0"/>
    <n v="0.28999999999999998"/>
    <n v="0"/>
    <n v="0"/>
    <n v="0"/>
    <n v="0"/>
    <n v="1.25"/>
    <n v="0"/>
  </r>
  <r>
    <x v="11"/>
    <x v="7"/>
    <x v="0"/>
    <s v="4845150"/>
    <n v="721750"/>
    <s v="Supplies-Film/Radiographic - Nonbillable"/>
    <s v="Ultrasound"/>
    <x v="0"/>
    <m/>
    <n v="17.79"/>
    <n v="12.19"/>
    <n v="4.68"/>
    <n v="2.81"/>
    <n v="14.05"/>
    <n v="8.43"/>
    <n v="13.11"/>
    <n v="123.06"/>
    <n v="16.86"/>
    <n v="14.05"/>
    <n v="14.05"/>
    <n v="14.99"/>
    <n v="256.07000000000005"/>
    <n v="-0.9399999999999995"/>
  </r>
  <r>
    <x v="11"/>
    <x v="7"/>
    <x v="0"/>
    <s v="4845150"/>
    <n v="721830"/>
    <s v="Supplies-Office"/>
    <s v="Ultrasound"/>
    <x v="0"/>
    <m/>
    <n v="0"/>
    <n v="0"/>
    <n v="0"/>
    <n v="0"/>
    <n v="0"/>
    <n v="0"/>
    <n v="75.31"/>
    <n v="0"/>
    <n v="0"/>
    <n v="0"/>
    <n v="0"/>
    <n v="0"/>
    <n v="75.31"/>
    <n v="0"/>
  </r>
  <r>
    <x v="11"/>
    <x v="7"/>
    <x v="0"/>
    <s v="4845150"/>
    <n v="721870"/>
    <s v="Supplies-Environmental Services"/>
    <s v="Ultrasound"/>
    <x v="0"/>
    <m/>
    <n v="0"/>
    <n v="0"/>
    <n v="0"/>
    <n v="0"/>
    <n v="0"/>
    <n v="42.7"/>
    <n v="0"/>
    <n v="0"/>
    <n v="0"/>
    <n v="0"/>
    <n v="42.7"/>
    <n v="0"/>
    <n v="85.4"/>
    <n v="42.7"/>
  </r>
  <r>
    <x v="11"/>
    <x v="7"/>
    <x v="0"/>
    <s v="4845150"/>
    <n v="722000"/>
    <s v="Supplies-Freight Expense"/>
    <s v="Ultrasound"/>
    <x v="0"/>
    <m/>
    <n v="0"/>
    <n v="0"/>
    <n v="0"/>
    <n v="0"/>
    <n v="0"/>
    <n v="0"/>
    <n v="11.26"/>
    <n v="0"/>
    <n v="0"/>
    <n v="0"/>
    <n v="0"/>
    <n v="108.69"/>
    <n v="119.95"/>
    <n v="-108.69"/>
  </r>
  <r>
    <x v="13"/>
    <x v="7"/>
    <x v="0"/>
    <s v="4845150"/>
    <n v="735070"/>
    <s v="Depreciation-Movable Equipment"/>
    <s v="Ultrasound"/>
    <x v="0"/>
    <m/>
    <n v="874.75"/>
    <n v="874.74"/>
    <n v="874.75"/>
    <n v="874.74"/>
    <n v="874.75"/>
    <n v="874.72"/>
    <n v="874.75"/>
    <n v="874.72"/>
    <n v="874.75"/>
    <n v="874.72"/>
    <n v="874.75"/>
    <n v="1737.23"/>
    <n v="11359.369999999999"/>
    <n v="-862.48"/>
  </r>
  <r>
    <x v="18"/>
    <x v="10"/>
    <x v="0"/>
    <s v="4845306"/>
    <n v="400010"/>
    <s v="Acute I/P Svcs Rev--Medicare"/>
    <s v="Ultrasound"/>
    <x v="0"/>
    <n v="1100"/>
    <n v="-16845.32"/>
    <n v="-10152.23"/>
    <n v="-5175.07"/>
    <n v="-3503.66"/>
    <n v="-7200.57"/>
    <n v="-11089.91"/>
    <n v="-12798.27"/>
    <n v="-9308.3700000000008"/>
    <n v="-700.77"/>
    <n v="-3753.24"/>
    <n v="-5346.28"/>
    <n v="-3444.27"/>
    <n v="-89317.96"/>
    <n v="-1902.0099999999998"/>
  </r>
  <r>
    <x v="18"/>
    <x v="10"/>
    <x v="0"/>
    <s v="4845306"/>
    <n v="400010"/>
    <s v="Acute I/P Svcs Rev--Medicaid"/>
    <s v="Ultrasound"/>
    <x v="0"/>
    <n v="1200"/>
    <n v="-1522.08"/>
    <n v="-1168.6199999999999"/>
    <n v="0"/>
    <n v="0"/>
    <n v="1112.97"/>
    <n v="-2980.5"/>
    <n v="-8504.73"/>
    <n v="-2077.1"/>
    <n v="0"/>
    <n v="-933.12"/>
    <n v="-873.42"/>
    <n v="0"/>
    <n v="-16946.599999999999"/>
    <n v="-873.42"/>
  </r>
  <r>
    <x v="18"/>
    <x v="10"/>
    <x v="0"/>
    <s v="4845306"/>
    <n v="400010"/>
    <s v="Acute I/P Svcs Rev--BCBS Comm"/>
    <s v="Ultrasound"/>
    <x v="0"/>
    <n v="1301"/>
    <n v="0"/>
    <n v="0"/>
    <n v="0"/>
    <n v="0"/>
    <n v="0"/>
    <n v="0"/>
    <n v="0"/>
    <n v="-2057.63"/>
    <n v="-4765.5200000000004"/>
    <n v="-1753.99"/>
    <n v="0"/>
    <n v="0"/>
    <n v="-8577.1400000000012"/>
    <n v="0"/>
  </r>
  <r>
    <x v="18"/>
    <x v="10"/>
    <x v="0"/>
    <s v="4845306"/>
    <n v="400010"/>
    <s v="Acute I/P Svcs Rev--Managed Care"/>
    <s v="Ultrasound"/>
    <x v="0"/>
    <n v="1400"/>
    <n v="7321.31"/>
    <n v="0"/>
    <n v="-1749.67"/>
    <n v="-8950.67"/>
    <n v="-2918.29"/>
    <n v="-6163.59"/>
    <n v="-1811.88"/>
    <n v="0"/>
    <n v="-4441.1000000000004"/>
    <n v="-933.12"/>
    <n v="-1753.99"/>
    <n v="0"/>
    <n v="-21401"/>
    <n v="-1753.99"/>
  </r>
  <r>
    <x v="7"/>
    <x v="10"/>
    <x v="0"/>
    <s v="4845306"/>
    <n v="718050"/>
    <s v="Miscellaneous Purchased Svcs"/>
    <s v="Ultrasound"/>
    <x v="0"/>
    <n v="1020"/>
    <n v="1840.27"/>
    <n v="1886.05"/>
    <n v="1153.6600000000001"/>
    <n v="2074.89"/>
    <n v="1500.38"/>
    <n v="3370.98"/>
    <n v="3850.93"/>
    <n v="1982.85"/>
    <n v="1461.34"/>
    <n v="1087.58"/>
    <n v="1176.1099999999999"/>
    <n v="508.02"/>
    <n v="21893.06"/>
    <n v="668.08999999999992"/>
  </r>
  <r>
    <x v="18"/>
    <x v="5"/>
    <x v="0"/>
    <s v="4846106"/>
    <n v="400010"/>
    <s v="Acute I/P Svcs Rev--Medicaid"/>
    <s v="Ultrasound 3 Tree"/>
    <x v="0"/>
    <n v="1200"/>
    <n v="0"/>
    <n v="0"/>
    <n v="0"/>
    <n v="0"/>
    <n v="-905.94"/>
    <n v="-1112.58"/>
    <n v="0"/>
    <n v="0"/>
    <n v="0"/>
    <n v="0"/>
    <n v="0"/>
    <n v="0"/>
    <n v="-2018.52"/>
    <n v="0"/>
  </r>
  <r>
    <x v="19"/>
    <x v="5"/>
    <x v="0"/>
    <s v="4846106"/>
    <n v="400020"/>
    <s v="O/P Care Svcs Rev--Medicare"/>
    <s v="Ultrasound 3 Tree"/>
    <x v="0"/>
    <n v="1100"/>
    <n v="-69334.5"/>
    <n v="-51932.43"/>
    <n v="-47163.9"/>
    <n v="-73454.289999999994"/>
    <n v="-45820.19"/>
    <n v="-73066.55"/>
    <n v="-69027.8"/>
    <n v="-48185.32"/>
    <n v="-51079.31"/>
    <n v="-79771.740000000005"/>
    <n v="-84304.17"/>
    <n v="-97163.48"/>
    <n v="-790303.68"/>
    <n v="12859.309999999998"/>
  </r>
  <r>
    <x v="19"/>
    <x v="5"/>
    <x v="0"/>
    <s v="4846106"/>
    <n v="400020"/>
    <s v="O/P Care Svcs Rev--Medicaid"/>
    <s v="Ultrasound 3 Tree"/>
    <x v="0"/>
    <n v="1200"/>
    <n v="-86209.2"/>
    <n v="-72835.38"/>
    <n v="-57195.6"/>
    <n v="-62166.3"/>
    <n v="-48458.85"/>
    <n v="-98018.55"/>
    <n v="-84873.919999999998"/>
    <n v="-69724.39"/>
    <n v="-57992.31"/>
    <n v="-68777.75"/>
    <n v="-78570.850000000006"/>
    <n v="-89433.61"/>
    <n v="-874256.71"/>
    <n v="10862.759999999995"/>
  </r>
  <r>
    <x v="19"/>
    <x v="5"/>
    <x v="0"/>
    <s v="4846106"/>
    <n v="400020"/>
    <s v="O/P Care Svcs Rev--Comm Insurance"/>
    <s v="Ultrasound 3 Tree"/>
    <x v="0"/>
    <n v="1300"/>
    <n v="-4068.85"/>
    <n v="-6296.8"/>
    <n v="-2476.9499999999998"/>
    <n v="-5363.4"/>
    <n v="-7511.7"/>
    <n v="-5125.05"/>
    <n v="-8573.15"/>
    <n v="-5477.8"/>
    <n v="-6113.37"/>
    <n v="-8939.91"/>
    <n v="-4746.71"/>
    <n v="-8075.57"/>
    <n v="-72769.260000000009"/>
    <n v="3328.8599999999997"/>
  </r>
  <r>
    <x v="19"/>
    <x v="5"/>
    <x v="0"/>
    <s v="4846106"/>
    <n v="400020"/>
    <s v="O/P Care Svcs Rev--BCBS Comm"/>
    <s v="Ultrasound 3 Tree"/>
    <x v="0"/>
    <n v="1301"/>
    <n v="-32254.639999999999"/>
    <n v="-38309.72"/>
    <n v="-44961"/>
    <n v="-37162.65"/>
    <n v="-27221.25"/>
    <n v="-37585.769999999997"/>
    <n v="-36324.75"/>
    <n v="-21438.59"/>
    <n v="-27262.98"/>
    <n v="-39277.96"/>
    <n v="-54903.71"/>
    <n v="-35344.519999999997"/>
    <n v="-432047.54000000004"/>
    <n v="-19559.190000000002"/>
  </r>
  <r>
    <x v="19"/>
    <x v="5"/>
    <x v="0"/>
    <s v="4846106"/>
    <n v="400020"/>
    <s v="O/P Care Svcs Rev--Managed Care"/>
    <s v="Ultrasound 3 Tree"/>
    <x v="0"/>
    <n v="1400"/>
    <n v="-115640.61"/>
    <n v="-79587.259999999995"/>
    <n v="-89552.4"/>
    <n v="-75488.67"/>
    <n v="-84950.25"/>
    <n v="-88076.1"/>
    <n v="-94211.45"/>
    <n v="-73841.259999999995"/>
    <n v="-91882"/>
    <n v="-93942.59"/>
    <n v="-116597.7"/>
    <n v="-102812.81"/>
    <n v="-1106583.0999999999"/>
    <n v="-13784.89"/>
  </r>
  <r>
    <x v="19"/>
    <x v="5"/>
    <x v="0"/>
    <s v="4846106"/>
    <n v="400020"/>
    <s v="O/P Care Svcs Rev--Self Pay"/>
    <s v="Ultrasound 3 Tree"/>
    <x v="0"/>
    <n v="1500"/>
    <n v="-1640"/>
    <n v="-7589.4"/>
    <n v="-1722"/>
    <n v="-2185.0500000000002"/>
    <n v="-4616.8500000000004"/>
    <n v="-6497.4"/>
    <n v="-5262.4"/>
    <n v="679.43"/>
    <n v="-294.11"/>
    <n v="-7571.59"/>
    <n v="-3273.7"/>
    <n v="-5519.95"/>
    <n v="-45493.020000000004"/>
    <n v="2246.25"/>
  </r>
  <r>
    <x v="19"/>
    <x v="5"/>
    <x v="0"/>
    <s v="4846106"/>
    <n v="400020"/>
    <s v="O/P Care Svcs Rev--Other"/>
    <s v="Ultrasound 3 Tree"/>
    <x v="0"/>
    <n v="1700"/>
    <n v="-3497.55"/>
    <n v="0"/>
    <n v="-1172.8499999999999"/>
    <n v="-1722"/>
    <n v="-4846.8"/>
    <n v="-1722"/>
    <n v="0"/>
    <n v="0"/>
    <n v="-528.85"/>
    <n v="-2981.7"/>
    <n v="-1736.89"/>
    <n v="-4232.99"/>
    <n v="-22441.629999999997"/>
    <n v="2496.0999999999995"/>
  </r>
  <r>
    <x v="5"/>
    <x v="5"/>
    <x v="0"/>
    <s v="4846106"/>
    <n v="700034"/>
    <s v="Salaries-Tech/Professional-Productive"/>
    <s v="Ultrasound 3 Tree"/>
    <x v="0"/>
    <m/>
    <n v="11331.33"/>
    <n v="17009.77"/>
    <n v="15215.05"/>
    <n v="12242.72"/>
    <n v="18451.86"/>
    <n v="6426.52"/>
    <n v="13334.54"/>
    <n v="10740.47"/>
    <n v="10523.72"/>
    <n v="9785.57"/>
    <n v="8321.5499999999993"/>
    <n v="11638.09"/>
    <n v="145021.19"/>
    <n v="-3316.5400000000009"/>
  </r>
  <r>
    <x v="5"/>
    <x v="5"/>
    <x v="0"/>
    <s v="4846106"/>
    <n v="700034"/>
    <s v="Salaries-Tech/Professional-OT"/>
    <s v="Ultrasound 3 Tree"/>
    <x v="0"/>
    <n v="1000"/>
    <n v="1359.82"/>
    <n v="1778.44"/>
    <n v="2598.15"/>
    <n v="1793.68"/>
    <n v="2492.66"/>
    <n v="1788.16"/>
    <n v="1897.83"/>
    <n v="1229.9000000000001"/>
    <n v="2189.88"/>
    <n v="223.69"/>
    <n v="988.01"/>
    <n v="1791.37"/>
    <n v="20131.589999999997"/>
    <n v="-803.3599999999999"/>
  </r>
  <r>
    <x v="5"/>
    <x v="5"/>
    <x v="0"/>
    <s v="4846106"/>
    <n v="700034"/>
    <s v="Salaries-Tech/Professional-Other"/>
    <s v="Ultrasound 3 Tree"/>
    <x v="0"/>
    <n v="2000"/>
    <n v="190.09"/>
    <n v="435.84"/>
    <n v="366.1"/>
    <n v="332.46"/>
    <n v="269.04000000000002"/>
    <n v="146.56"/>
    <n v="342.36"/>
    <n v="408.03"/>
    <n v="225.11"/>
    <n v="38.19"/>
    <n v="48.36"/>
    <n v="94"/>
    <n v="2896.14"/>
    <n v="-45.64"/>
  </r>
  <r>
    <x v="5"/>
    <x v="5"/>
    <x v="0"/>
    <s v="4846106"/>
    <n v="700074"/>
    <s v="Salaries-Tech/Professional-Non-productive"/>
    <s v="Ultrasound 3 Tree"/>
    <x v="0"/>
    <m/>
    <n v="0"/>
    <n v="0"/>
    <n v="0"/>
    <n v="0"/>
    <n v="2374.56"/>
    <n v="-706.03"/>
    <n v="-15.07"/>
    <n v="0"/>
    <n v="0"/>
    <n v="0"/>
    <n v="0"/>
    <n v="0"/>
    <n v="1653.46"/>
    <n v="0"/>
  </r>
  <r>
    <x v="5"/>
    <x v="5"/>
    <x v="0"/>
    <s v="4846106"/>
    <n v="700084"/>
    <s v="Accrued PTO"/>
    <s v="Ultrasound 3 Tree"/>
    <x v="0"/>
    <m/>
    <n v="0"/>
    <n v="359.18"/>
    <n v="357.78"/>
    <n v="350.75"/>
    <n v="-880.56"/>
    <n v="-59.8"/>
    <n v="381.7"/>
    <n v="341.6"/>
    <n v="0"/>
    <n v="0"/>
    <n v="0"/>
    <n v="0"/>
    <n v="850.65000000000009"/>
    <n v="0"/>
  </r>
  <r>
    <x v="6"/>
    <x v="5"/>
    <x v="0"/>
    <s v="4846106"/>
    <n v="713010"/>
    <s v="Benefits-FICA/Medicare"/>
    <s v="Ultrasound 3 Tree"/>
    <x v="0"/>
    <m/>
    <n v="958.99"/>
    <n v="1454.7"/>
    <n v="1370.23"/>
    <n v="1087.19"/>
    <n v="1795.78"/>
    <n v="567.09"/>
    <n v="1170.8"/>
    <n v="927.17"/>
    <n v="963.59"/>
    <n v="749.8"/>
    <n v="698.51"/>
    <n v="1016.69"/>
    <n v="12760.54"/>
    <n v="-318.18000000000006"/>
  </r>
  <r>
    <x v="6"/>
    <x v="5"/>
    <x v="0"/>
    <s v="4846106"/>
    <n v="713090"/>
    <s v="Benefits-Allocated Amounts"/>
    <s v="Ultrasound 3 Tree"/>
    <x v="0"/>
    <m/>
    <n v="2714.03"/>
    <n v="4245.2299999999996"/>
    <n v="3791.37"/>
    <n v="2932.64"/>
    <n v="4846.88"/>
    <n v="1652.34"/>
    <n v="3388.2"/>
    <n v="2849.44"/>
    <n v="2597.17"/>
    <n v="2352.67"/>
    <n v="1929.21"/>
    <n v="2784.3"/>
    <n v="36083.480000000003"/>
    <n v="-855.09000000000015"/>
  </r>
  <r>
    <x v="7"/>
    <x v="5"/>
    <x v="0"/>
    <s v="4846106"/>
    <n v="718050"/>
    <s v="Miscellaneous Purchased Svcs"/>
    <s v="Ultrasound 3 Tree"/>
    <x v="0"/>
    <n v="1020"/>
    <n v="187.45"/>
    <n v="451.45"/>
    <n v="451.45"/>
    <n v="196.25"/>
    <n v="442.65"/>
    <n v="368.51"/>
    <n v="609.78"/>
    <n v="720.94"/>
    <n v="374"/>
    <n v="264"/>
    <n v="74.14"/>
    <n v="311.74"/>
    <n v="4452.3599999999997"/>
    <n v="-237.60000000000002"/>
  </r>
  <r>
    <x v="7"/>
    <x v="5"/>
    <x v="0"/>
    <s v="4846106"/>
    <n v="718050"/>
    <s v="Translation Services"/>
    <s v="Ultrasound 3 Tree"/>
    <x v="0"/>
    <n v="1025"/>
    <n v="760"/>
    <n v="549"/>
    <n v="491.5"/>
    <n v="-327"/>
    <n v="898.6"/>
    <n v="0"/>
    <n v="166.5"/>
    <n v="608"/>
    <n v="397.74"/>
    <n v="0"/>
    <n v="0"/>
    <n v="215"/>
    <n v="3759.34"/>
    <n v="-215"/>
  </r>
  <r>
    <x v="11"/>
    <x v="5"/>
    <x v="0"/>
    <s v="4846106"/>
    <n v="721240"/>
    <s v="Supplies-IV Solutions/Supplies - Billable"/>
    <s v="Ultrasound 3 Tree"/>
    <x v="0"/>
    <m/>
    <n v="0"/>
    <n v="0"/>
    <n v="0"/>
    <n v="0"/>
    <n v="0"/>
    <n v="288.44"/>
    <n v="0"/>
    <n v="0"/>
    <n v="0"/>
    <n v="0"/>
    <n v="0"/>
    <n v="0"/>
    <n v="288.44"/>
    <n v="0"/>
  </r>
  <r>
    <x v="11"/>
    <x v="5"/>
    <x v="0"/>
    <s v="4846106"/>
    <n v="721640"/>
    <s v="Supplies-IV Solutions/Supplies - Nonbillable"/>
    <s v="Ultrasound 3 Tree"/>
    <x v="0"/>
    <m/>
    <n v="0"/>
    <n v="0"/>
    <n v="0"/>
    <n v="0"/>
    <n v="0"/>
    <n v="0"/>
    <n v="0"/>
    <n v="0"/>
    <n v="12.3"/>
    <n v="0"/>
    <n v="0"/>
    <n v="0"/>
    <n v="12.3"/>
    <n v="0"/>
  </r>
  <r>
    <x v="11"/>
    <x v="5"/>
    <x v="0"/>
    <s v="4846106"/>
    <n v="721835"/>
    <s v="Supplies-Forms"/>
    <s v="Ultrasound 3 Tree"/>
    <x v="0"/>
    <m/>
    <n v="0"/>
    <n v="0"/>
    <n v="0"/>
    <n v="0"/>
    <n v="43.35"/>
    <n v="35.85"/>
    <n v="0"/>
    <n v="0"/>
    <n v="0"/>
    <n v="0"/>
    <n v="0"/>
    <n v="0"/>
    <n v="79.2"/>
    <n v="0"/>
  </r>
  <r>
    <x v="12"/>
    <x v="5"/>
    <x v="0"/>
    <s v="4846106"/>
    <n v="730010"/>
    <s v="Rental and Leases-Building (DO NOT USE)"/>
    <s v="Ultrasound 3 Tree"/>
    <x v="0"/>
    <m/>
    <n v="15243.76"/>
    <n v="15243.76"/>
    <n v="15243.76"/>
    <n v="15243.76"/>
    <n v="15243.76"/>
    <n v="-17571.099999999999"/>
    <n v="10014.950000000001"/>
    <n v="10014.950000000001"/>
    <n v="10014.950000000001"/>
    <n v="10014.950000000001"/>
    <n v="10014.950000000001"/>
    <n v="0"/>
    <n v="108722.45"/>
    <n v="10014.950000000001"/>
  </r>
  <r>
    <x v="12"/>
    <x v="5"/>
    <x v="0"/>
    <s v="4846106"/>
    <n v="730010"/>
    <s v="Rental-Common Area Maint (DO NOT USE)"/>
    <s v="Ultrasound 3 Tree"/>
    <x v="0"/>
    <n v="2200"/>
    <n v="0"/>
    <n v="0"/>
    <n v="0"/>
    <n v="0"/>
    <n v="0"/>
    <n v="33103.26"/>
    <n v="5175.99"/>
    <n v="5346.6"/>
    <n v="5346.6"/>
    <n v="5346.6"/>
    <n v="1868.97"/>
    <n v="0"/>
    <n v="56188.02"/>
    <n v="1868.97"/>
  </r>
  <r>
    <x v="12"/>
    <x v="5"/>
    <x v="0"/>
    <s v="4846106"/>
    <n v="730040"/>
    <s v="LT Lease-Real Estate"/>
    <s v="Ultrasound 3 Tree"/>
    <x v="0"/>
    <m/>
    <n v="0"/>
    <n v="0"/>
    <n v="0"/>
    <n v="0"/>
    <n v="0"/>
    <n v="0"/>
    <n v="0"/>
    <n v="0"/>
    <n v="0"/>
    <n v="0"/>
    <n v="0"/>
    <n v="15361.55"/>
    <n v="15361.55"/>
    <n v="-15361.55"/>
  </r>
  <r>
    <x v="16"/>
    <x v="5"/>
    <x v="0"/>
    <s v="4846106"/>
    <n v="732030"/>
    <s v="Repairs&amp;Maintenance-Bldg Routine"/>
    <s v="Ultrasound 3 Tree"/>
    <x v="0"/>
    <n v="2300"/>
    <n v="0"/>
    <n v="0"/>
    <n v="1045.44"/>
    <n v="0"/>
    <n v="0"/>
    <n v="0"/>
    <n v="1045.44"/>
    <n v="0"/>
    <n v="0"/>
    <n v="0"/>
    <n v="0"/>
    <n v="2982.84"/>
    <n v="5073.72"/>
    <n v="-2982.84"/>
  </r>
  <r>
    <x v="0"/>
    <x v="5"/>
    <x v="0"/>
    <s v="4846106"/>
    <n v="749510"/>
    <s v="Miscellaneous Expenses"/>
    <s v="Ultrasound 3 Tree"/>
    <x v="0"/>
    <m/>
    <n v="0"/>
    <n v="0"/>
    <n v="0"/>
    <n v="674.63"/>
    <n v="67.459999999999994"/>
    <n v="0"/>
    <n v="0"/>
    <n v="0"/>
    <n v="0"/>
    <n v="0"/>
    <n v="0"/>
    <n v="0"/>
    <n v="742.09"/>
    <n v="0"/>
  </r>
  <r>
    <x v="18"/>
    <x v="6"/>
    <x v="0"/>
    <s v="4846107"/>
    <n v="400010"/>
    <s v="Acute I/P Svcs Rev--Medicare"/>
    <s v="Ultrasound-Silverdale"/>
    <x v="0"/>
    <n v="1100"/>
    <n v="-8216.4699999999993"/>
    <n v="-7315.44"/>
    <n v="-9099.42"/>
    <n v="-4973.29"/>
    <n v="-10044.07"/>
    <n v="-3006.36"/>
    <n v="-17150.45"/>
    <n v="-10544.57"/>
    <n v="-13586.01"/>
    <n v="-18337.22"/>
    <n v="-12962.79"/>
    <n v="-7206.67"/>
    <n v="-122442.76"/>
    <n v="-5756.1200000000008"/>
  </r>
  <r>
    <x v="18"/>
    <x v="6"/>
    <x v="0"/>
    <s v="4846107"/>
    <n v="400010"/>
    <s v="Acute I/P Svcs Rev--Medicaid"/>
    <s v="Ultrasound-Silverdale"/>
    <x v="0"/>
    <n v="1200"/>
    <n v="-14214.2"/>
    <n v="-7061.04"/>
    <n v="-19516.080000000002"/>
    <n v="-6785.7"/>
    <n v="297.36"/>
    <n v="-7871.29"/>
    <n v="-5835"/>
    <n v="-9193.5"/>
    <n v="-9024.27"/>
    <n v="-22023.65"/>
    <n v="-15471.01"/>
    <n v="-5984.21"/>
    <n v="-122682.59000000003"/>
    <n v="-9486.7999999999993"/>
  </r>
  <r>
    <x v="18"/>
    <x v="6"/>
    <x v="0"/>
    <s v="4846107"/>
    <n v="400010"/>
    <s v="Acute I/P Svcs Rev--Comm Insurance"/>
    <s v="Ultrasound-Silverdale"/>
    <x v="0"/>
    <n v="1300"/>
    <n v="-905.94"/>
    <n v="0"/>
    <n v="0"/>
    <n v="-1168.6199999999999"/>
    <n v="0"/>
    <n v="0"/>
    <n v="-1168.6199999999999"/>
    <n v="0"/>
    <n v="-933.12"/>
    <n v="-1145.96"/>
    <n v="0"/>
    <n v="0"/>
    <n v="-5322.26"/>
    <n v="0"/>
  </r>
  <r>
    <x v="18"/>
    <x v="6"/>
    <x v="0"/>
    <s v="4846107"/>
    <n v="400010"/>
    <s v="Acute I/P Svcs Rev--BCBS Comm"/>
    <s v="Ultrasound-Silverdale"/>
    <x v="0"/>
    <n v="1301"/>
    <n v="-2074.56"/>
    <n v="-2479.6799999999998"/>
    <n v="-8270.64"/>
    <n v="-667.8"/>
    <n v="-9049.92"/>
    <n v="-6507.84"/>
    <n v="-905.94"/>
    <n v="-5453.16"/>
    <n v="-5873.84"/>
    <n v="-8069.66"/>
    <n v="-12365.28"/>
    <n v="-1203.68"/>
    <n v="-62921.999999999993"/>
    <n v="-11161.6"/>
  </r>
  <r>
    <x v="18"/>
    <x v="6"/>
    <x v="0"/>
    <s v="4846107"/>
    <n v="400010"/>
    <s v="Acute I/P Svcs Rev--Managed Care"/>
    <s v="Ultrasound-Silverdale"/>
    <x v="0"/>
    <n v="1400"/>
    <n v="-9888.36"/>
    <n v="-7064.16"/>
    <n v="-7635.54"/>
    <n v="-2479.6799999999998"/>
    <n v="-4048.38"/>
    <n v="-7528.5"/>
    <n v="-7298.59"/>
    <n v="-4764.1099999999997"/>
    <n v="-9413.56"/>
    <n v="-4208.7700000000004"/>
    <n v="-5175.63"/>
    <n v="-7641.45"/>
    <n v="-77146.73000000001"/>
    <n v="2465.8199999999997"/>
  </r>
  <r>
    <x v="18"/>
    <x v="6"/>
    <x v="0"/>
    <s v="4846107"/>
    <n v="400010"/>
    <s v="Acute I/P Svcs Rev--Self Pay"/>
    <s v="Ultrasound-Silverdale"/>
    <x v="0"/>
    <n v="1500"/>
    <n v="0"/>
    <n v="-3619.98"/>
    <n v="0"/>
    <n v="0"/>
    <n v="0"/>
    <n v="-905.94"/>
    <n v="0"/>
    <n v="-1407.42"/>
    <n v="-1980.44"/>
    <n v="-1866.24"/>
    <n v="0"/>
    <n v="0"/>
    <n v="-9780.02"/>
    <n v="0"/>
  </r>
  <r>
    <x v="18"/>
    <x v="6"/>
    <x v="0"/>
    <s v="4846107"/>
    <n v="400010"/>
    <s v="Acute I/P Svcs Rev--Other"/>
    <s v="Ultrasound-Silverdale"/>
    <x v="0"/>
    <n v="1700"/>
    <n v="-3655.03"/>
    <n v="-8398.5"/>
    <n v="-5250.19"/>
    <n v="-6444.31"/>
    <n v="-2826.78"/>
    <n v="-5942.76"/>
    <n v="-2293.1999999999998"/>
    <n v="-3263.38"/>
    <n v="-7923.06"/>
    <n v="-933.12"/>
    <n v="-1073.28"/>
    <n v="-933.12"/>
    <n v="-48936.729999999996"/>
    <n v="-140.15999999999997"/>
  </r>
  <r>
    <x v="19"/>
    <x v="6"/>
    <x v="0"/>
    <s v="4846107"/>
    <n v="400020"/>
    <s v="O/P Care Svcs Rev--Medicare"/>
    <s v="Ultrasound-Silverdale"/>
    <x v="0"/>
    <n v="1100"/>
    <n v="-71961.600000000006"/>
    <n v="-94358.32"/>
    <n v="-97470.5"/>
    <n v="-91759.24"/>
    <n v="-67085.289999999994"/>
    <n v="-86844.26"/>
    <n v="-89007.15"/>
    <n v="-83768.58"/>
    <n v="-75299.929999999993"/>
    <n v="-93406.06"/>
    <n v="-96390.69"/>
    <n v="-90106.21"/>
    <n v="-1037457.8299999998"/>
    <n v="-6284.4799999999959"/>
  </r>
  <r>
    <x v="19"/>
    <x v="6"/>
    <x v="0"/>
    <s v="4846107"/>
    <n v="400020"/>
    <s v="O/P Care Svcs Rev--Medicaid"/>
    <s v="Ultrasound-Silverdale"/>
    <x v="0"/>
    <n v="1200"/>
    <n v="-148435.76999999999"/>
    <n v="-165913.76"/>
    <n v="-147005.81"/>
    <n v="-169071.71"/>
    <n v="-184988.03"/>
    <n v="-144939.79"/>
    <n v="-185105.12"/>
    <n v="-161519.99"/>
    <n v="-163908.13"/>
    <n v="-149344.41"/>
    <n v="-179993.66"/>
    <n v="-179213.78"/>
    <n v="-1979439.9600000002"/>
    <n v="-779.88000000000466"/>
  </r>
  <r>
    <x v="19"/>
    <x v="6"/>
    <x v="0"/>
    <s v="4846107"/>
    <n v="400020"/>
    <s v="O/P Care Svcs Rev--Comm Insurance"/>
    <s v="Ultrasound-Silverdale"/>
    <x v="0"/>
    <n v="1300"/>
    <n v="-22453.3"/>
    <n v="-18294.39"/>
    <n v="-14652.87"/>
    <n v="-13999.6"/>
    <n v="-16881.77"/>
    <n v="-22204.74"/>
    <n v="-17416.009999999998"/>
    <n v="-26404.93"/>
    <n v="-17109.55"/>
    <n v="-15154.72"/>
    <n v="-22384.78"/>
    <n v="-21129.54"/>
    <n v="-228086.2"/>
    <n v="-1255.239999999998"/>
  </r>
  <r>
    <x v="19"/>
    <x v="6"/>
    <x v="0"/>
    <s v="4846107"/>
    <n v="400020"/>
    <s v="O/P Care Svcs Rev--BCBS Comm"/>
    <s v="Ultrasound-Silverdale"/>
    <x v="0"/>
    <n v="1301"/>
    <n v="-87451.27"/>
    <n v="-83859.87"/>
    <n v="-64803.85"/>
    <n v="-87847.039999999994"/>
    <n v="-79922.759999999995"/>
    <n v="-91957.4"/>
    <n v="-77730.929999999993"/>
    <n v="-56175.31"/>
    <n v="-78104.41"/>
    <n v="-83756.55"/>
    <n v="-90038.1"/>
    <n v="-68554.86"/>
    <n v="-950202.35000000021"/>
    <n v="-21483.240000000005"/>
  </r>
  <r>
    <x v="19"/>
    <x v="6"/>
    <x v="0"/>
    <s v="4846107"/>
    <n v="400020"/>
    <s v="O/P Care Svcs Rev--Managed Care"/>
    <s v="Ultrasound-Silverdale"/>
    <x v="0"/>
    <n v="1400"/>
    <n v="-118985.04"/>
    <n v="-151495.54999999999"/>
    <n v="-124503.85"/>
    <n v="-139670.48000000001"/>
    <n v="-93791.96"/>
    <n v="-106593.4"/>
    <n v="-152636.98000000001"/>
    <n v="-107712.06"/>
    <n v="-130244.27"/>
    <n v="-147876.99"/>
    <n v="-142574.62"/>
    <n v="-123099.21"/>
    <n v="-1539184.4099999997"/>
    <n v="-19475.409999999989"/>
  </r>
  <r>
    <x v="19"/>
    <x v="6"/>
    <x v="0"/>
    <s v="4846107"/>
    <n v="400020"/>
    <s v="O/P Care Svcs Rev--Self Pay"/>
    <s v="Ultrasound-Silverdale"/>
    <x v="0"/>
    <n v="1500"/>
    <n v="-21035.85"/>
    <n v="-36787.449999999997"/>
    <n v="-4362.79"/>
    <n v="-15444.79"/>
    <n v="-17410.599999999999"/>
    <n v="-11365.14"/>
    <n v="-14500.5"/>
    <n v="-21872.68"/>
    <n v="-20154.740000000002"/>
    <n v="-10378.040000000001"/>
    <n v="-23039.13"/>
    <n v="-19465.990000000002"/>
    <n v="-215817.7"/>
    <n v="-3573.1399999999994"/>
  </r>
  <r>
    <x v="19"/>
    <x v="6"/>
    <x v="0"/>
    <s v="4846107"/>
    <n v="400020"/>
    <s v="O/P Care Svcs Rev--Other"/>
    <s v="Ultrasound-Silverdale"/>
    <x v="0"/>
    <n v="1700"/>
    <n v="-98544.27"/>
    <n v="-82199.899999999994"/>
    <n v="-94475.61"/>
    <n v="-58988.82"/>
    <n v="-73421.679999999993"/>
    <n v="-83388.33"/>
    <n v="-82529.960000000006"/>
    <n v="-74239.09"/>
    <n v="-87138.51"/>
    <n v="-78839.94"/>
    <n v="-75170.55"/>
    <n v="-94958.42"/>
    <n v="-983895.08"/>
    <n v="19787.869999999995"/>
  </r>
  <r>
    <x v="5"/>
    <x v="6"/>
    <x v="0"/>
    <s v="4846107"/>
    <n v="700034"/>
    <s v="Salaries-Tech/Professional-Productive"/>
    <s v="Ultrasound-Silverdale"/>
    <x v="0"/>
    <m/>
    <n v="31155.42"/>
    <n v="35673.360000000001"/>
    <n v="31523.96"/>
    <n v="31986.71"/>
    <n v="32835.65"/>
    <n v="31529.05"/>
    <n v="34973.61"/>
    <n v="29772.99"/>
    <n v="32885.51"/>
    <n v="35134.65"/>
    <n v="32148.5"/>
    <n v="29520.639999999999"/>
    <n v="389140.05"/>
    <n v="2627.8600000000006"/>
  </r>
  <r>
    <x v="5"/>
    <x v="6"/>
    <x v="0"/>
    <s v="4846107"/>
    <n v="700034"/>
    <s v="Salaries-Tech/Professional-OT"/>
    <s v="Ultrasound-Silverdale"/>
    <x v="0"/>
    <n v="1000"/>
    <n v="606.73"/>
    <n v="2941.99"/>
    <n v="1836.15"/>
    <n v="4824.09"/>
    <n v="1361.02"/>
    <n v="1450.97"/>
    <n v="2447.1999999999998"/>
    <n v="869.41"/>
    <n v="1004.68"/>
    <n v="1401.82"/>
    <n v="4614.78"/>
    <n v="111.14"/>
    <n v="23469.979999999996"/>
    <n v="4503.6399999999994"/>
  </r>
  <r>
    <x v="5"/>
    <x v="6"/>
    <x v="0"/>
    <s v="4846107"/>
    <n v="700034"/>
    <s v="Salaries-Tech/Professional-Other"/>
    <s v="Ultrasound-Silverdale"/>
    <x v="0"/>
    <n v="2000"/>
    <n v="559.52"/>
    <n v="1427.47"/>
    <n v="1371.16"/>
    <n v="1099.8"/>
    <n v="2186.7199999999998"/>
    <n v="1800.91"/>
    <n v="1265.73"/>
    <n v="1397.85"/>
    <n v="1154.58"/>
    <n v="1178.25"/>
    <n v="725.73"/>
    <n v="304.63"/>
    <n v="14472.349999999999"/>
    <n v="421.1"/>
  </r>
  <r>
    <x v="5"/>
    <x v="6"/>
    <x v="0"/>
    <s v="4846107"/>
    <n v="700074"/>
    <s v="Salaries-Tech/Professional-Non-productive"/>
    <s v="Ultrasound-Silverdale"/>
    <x v="0"/>
    <m/>
    <n v="7404.97"/>
    <n v="5600.58"/>
    <n v="1298.29"/>
    <n v="2529.1799999999998"/>
    <n v="7297.24"/>
    <n v="884.34"/>
    <n v="1500.07"/>
    <n v="6518.95"/>
    <n v="953.8"/>
    <n v="1887.6"/>
    <n v="7887.65"/>
    <n v="4781.6499999999996"/>
    <n v="48544.320000000007"/>
    <n v="3106"/>
  </r>
  <r>
    <x v="5"/>
    <x v="6"/>
    <x v="0"/>
    <s v="4846107"/>
    <n v="700074"/>
    <s v="Salaries-Tech/Professional-NonProd-Other"/>
    <s v="Ultrasound-Silverdale"/>
    <x v="0"/>
    <n v="2000"/>
    <n v="687.03"/>
    <n v="821.67"/>
    <n v="216.34"/>
    <n v="-41.63"/>
    <n v="84.3"/>
    <n v="396.95"/>
    <n v="366.26"/>
    <n v="139.76"/>
    <n v="-28.39"/>
    <n v="252.46"/>
    <n v="313.99"/>
    <n v="213.74"/>
    <n v="3422.4799999999996"/>
    <n v="100.25"/>
  </r>
  <r>
    <x v="5"/>
    <x v="6"/>
    <x v="0"/>
    <s v="4846107"/>
    <n v="700084"/>
    <s v="Accrued PTO"/>
    <s v="Ultrasound-Silverdale"/>
    <x v="0"/>
    <m/>
    <n v="-1573.48"/>
    <n v="-1687.25"/>
    <n v="856.49"/>
    <n v="2098.09"/>
    <n v="-687.14"/>
    <n v="1619.4"/>
    <n v="-37.47"/>
    <n v="-1673.37"/>
    <n v="2743.97"/>
    <n v="4568.4399999999996"/>
    <n v="-1467.08"/>
    <n v="-1195.8599999999999"/>
    <n v="3564.7400000000007"/>
    <n v="-271.22000000000003"/>
  </r>
  <r>
    <x v="6"/>
    <x v="6"/>
    <x v="0"/>
    <s v="4846107"/>
    <n v="713010"/>
    <s v="Benefits-FICA/Medicare"/>
    <s v="Ultrasound-Silverdale"/>
    <x v="0"/>
    <m/>
    <n v="3184.12"/>
    <n v="3554.51"/>
    <n v="2772.98"/>
    <n v="3092.26"/>
    <n v="3348.38"/>
    <n v="2744.9"/>
    <n v="3097.51"/>
    <n v="2956.05"/>
    <n v="2747.8"/>
    <n v="3044.3"/>
    <n v="3488.87"/>
    <n v="2666.8"/>
    <n v="36698.480000000003"/>
    <n v="822.06999999999971"/>
  </r>
  <r>
    <x v="6"/>
    <x v="6"/>
    <x v="0"/>
    <s v="4846107"/>
    <n v="713090"/>
    <s v="Benefits-Allocated Amounts"/>
    <s v="Ultrasound-Silverdale"/>
    <x v="0"/>
    <m/>
    <n v="6558.62"/>
    <n v="6564.43"/>
    <n v="5866.63"/>
    <n v="6402.22"/>
    <n v="8054.27"/>
    <n v="5896.3"/>
    <n v="6612.25"/>
    <n v="6784.3"/>
    <n v="5008.12"/>
    <n v="7290.06"/>
    <n v="7250.29"/>
    <n v="6926.36"/>
    <n v="79213.850000000006"/>
    <n v="323.93000000000029"/>
  </r>
  <r>
    <x v="7"/>
    <x v="6"/>
    <x v="0"/>
    <s v="4846107"/>
    <n v="718050"/>
    <s v="Contract Svcs-Other"/>
    <s v="Ultrasound-Silverdale"/>
    <x v="0"/>
    <m/>
    <n v="2985.47"/>
    <n v="653.75"/>
    <n v="0"/>
    <n v="131.94999999999999"/>
    <n v="11"/>
    <n v="221.06"/>
    <n v="152.97"/>
    <n v="84.54"/>
    <n v="0"/>
    <n v="323.52"/>
    <n v="293.42"/>
    <n v="-25.9"/>
    <n v="4831.7800000000007"/>
    <n v="319.32"/>
  </r>
  <r>
    <x v="7"/>
    <x v="6"/>
    <x v="0"/>
    <s v="4846107"/>
    <n v="718050"/>
    <s v="Contract Management--Linen"/>
    <s v="Ultrasound-Silverdale"/>
    <x v="0"/>
    <n v="1026"/>
    <n v="401.32"/>
    <n v="1499.6"/>
    <n v="1108.01"/>
    <n v="341.3"/>
    <n v="932.1"/>
    <n v="1246.03"/>
    <n v="339.53"/>
    <n v="1665.96"/>
    <n v="118.55"/>
    <n v="162.62"/>
    <n v="1691.81"/>
    <n v="490.98"/>
    <n v="9997.81"/>
    <n v="1200.83"/>
  </r>
  <r>
    <x v="11"/>
    <x v="6"/>
    <x v="0"/>
    <s v="4846107"/>
    <n v="721020"/>
    <s v="Supplies-Surgical - Billable"/>
    <s v="Ultrasound-Silverdale"/>
    <x v="0"/>
    <m/>
    <n v="0"/>
    <n v="63.22"/>
    <n v="252.88"/>
    <n v="0"/>
    <n v="0"/>
    <n v="0"/>
    <n v="0"/>
    <n v="0"/>
    <n v="0"/>
    <n v="0"/>
    <n v="0"/>
    <n v="0"/>
    <n v="316.10000000000002"/>
    <n v="0"/>
  </r>
  <r>
    <x v="11"/>
    <x v="6"/>
    <x v="0"/>
    <s v="4846107"/>
    <n v="721240"/>
    <s v="Supplies-IV Solutions/Supplies - Billable"/>
    <s v="Ultrasound-Silverdale"/>
    <x v="0"/>
    <m/>
    <n v="36.479999999999997"/>
    <n v="0"/>
    <n v="52.5"/>
    <n v="0"/>
    <n v="0"/>
    <n v="0"/>
    <n v="0"/>
    <n v="0"/>
    <n v="0"/>
    <n v="0"/>
    <n v="0"/>
    <n v="0"/>
    <n v="88.97999999999999"/>
    <n v="0"/>
  </r>
  <r>
    <x v="11"/>
    <x v="6"/>
    <x v="0"/>
    <s v="4846107"/>
    <n v="721410"/>
    <s v="Supplies-Medical - Nonbillable"/>
    <s v="Ultrasound-Silverdale"/>
    <x v="0"/>
    <m/>
    <n v="96.81"/>
    <n v="48.5"/>
    <n v="110.85"/>
    <n v="88.93"/>
    <n v="269.8"/>
    <n v="208.68"/>
    <n v="305.85000000000002"/>
    <n v="92.32"/>
    <n v="160.22"/>
    <n v="241.09"/>
    <n v="323.49"/>
    <n v="54.61"/>
    <n v="2001.1499999999999"/>
    <n v="268.88"/>
  </r>
  <r>
    <x v="11"/>
    <x v="6"/>
    <x v="0"/>
    <s v="4846107"/>
    <n v="721420"/>
    <s v="Sterilization Process Products"/>
    <s v="Ultrasound-Silverdale"/>
    <x v="0"/>
    <n v="1009"/>
    <n v="8.64"/>
    <n v="17.28"/>
    <n v="0"/>
    <n v="10.66"/>
    <n v="19.3"/>
    <n v="8.64"/>
    <n v="17.28"/>
    <n v="0"/>
    <n v="15.99"/>
    <n v="10.66"/>
    <n v="21.32"/>
    <n v="8.64"/>
    <n v="138.40999999999997"/>
    <n v="12.68"/>
  </r>
  <r>
    <x v="11"/>
    <x v="6"/>
    <x v="0"/>
    <s v="4846107"/>
    <n v="721640"/>
    <s v="Supplies-IV Solutions/Supplies - Nonbillable"/>
    <s v="Ultrasound-Silverdale"/>
    <x v="0"/>
    <m/>
    <n v="52.55"/>
    <n v="0"/>
    <n v="0"/>
    <n v="0"/>
    <n v="0"/>
    <n v="0"/>
    <n v="0"/>
    <n v="0"/>
    <n v="0"/>
    <n v="0"/>
    <n v="0"/>
    <n v="0"/>
    <n v="52.55"/>
    <n v="0"/>
  </r>
  <r>
    <x v="11"/>
    <x v="6"/>
    <x v="0"/>
    <s v="4846107"/>
    <n v="721710"/>
    <s v="Supplies-Laboratory - Nonbillable"/>
    <s v="Ultrasound-Silverdale"/>
    <x v="0"/>
    <m/>
    <n v="202.2"/>
    <n v="3.82"/>
    <n v="0"/>
    <n v="103.01"/>
    <n v="0"/>
    <n v="49.6"/>
    <n v="49.88"/>
    <n v="57.51"/>
    <n v="57.23"/>
    <n v="49.87"/>
    <n v="0"/>
    <n v="111.58"/>
    <n v="684.7"/>
    <n v="-111.58"/>
  </r>
  <r>
    <x v="11"/>
    <x v="6"/>
    <x v="0"/>
    <s v="4846107"/>
    <n v="721750"/>
    <s v="Supplies-Film/Radiographic - Nonbillable"/>
    <s v="Ultrasound-Silverdale"/>
    <x v="0"/>
    <m/>
    <n v="729.56"/>
    <n v="147.36000000000001"/>
    <n v="1148.8399999999999"/>
    <n v="17.670000000000002"/>
    <n v="216.96"/>
    <n v="676.38"/>
    <n v="100.5"/>
    <n v="176.06"/>
    <n v="600.41999999999996"/>
    <n v="258.31"/>
    <n v="1285.7"/>
    <n v="143.37"/>
    <n v="5501.13"/>
    <n v="1142.33"/>
  </r>
  <r>
    <x v="11"/>
    <x v="6"/>
    <x v="0"/>
    <s v="4846107"/>
    <n v="721810"/>
    <s v="Supplies-Dietary/Cafeteria"/>
    <s v="Ultrasound-Silverdale"/>
    <x v="0"/>
    <m/>
    <n v="0"/>
    <n v="0"/>
    <n v="0"/>
    <n v="0"/>
    <n v="0"/>
    <n v="0"/>
    <n v="175.3"/>
    <n v="0"/>
    <n v="684.7"/>
    <n v="0"/>
    <n v="282.12"/>
    <n v="112.34"/>
    <n v="1254.4599999999998"/>
    <n v="169.78"/>
  </r>
  <r>
    <x v="11"/>
    <x v="6"/>
    <x v="0"/>
    <s v="4846107"/>
    <n v="721830"/>
    <s v="Supplies-Office"/>
    <s v="Ultrasound-Silverdale"/>
    <x v="0"/>
    <m/>
    <n v="31.2"/>
    <n v="0"/>
    <n v="127.12"/>
    <n v="303.24"/>
    <n v="153.54"/>
    <n v="367.09"/>
    <n v="0"/>
    <n v="140.99"/>
    <n v="66.900000000000006"/>
    <n v="-11.64"/>
    <n v="66.900000000000006"/>
    <n v="414.56"/>
    <n v="1659.9"/>
    <n v="-347.65999999999997"/>
  </r>
  <r>
    <x v="11"/>
    <x v="6"/>
    <x v="0"/>
    <s v="4846107"/>
    <n v="721870"/>
    <s v="Supplies-Environmental Services"/>
    <s v="Ultrasound-Silverdale"/>
    <x v="0"/>
    <m/>
    <n v="183.65"/>
    <n v="59.28"/>
    <n v="115.46"/>
    <n v="88.98"/>
    <n v="207.51"/>
    <n v="92.22"/>
    <n v="125.09"/>
    <n v="49.81"/>
    <n v="189.09"/>
    <n v="75.28"/>
    <n v="78.91"/>
    <n v="47.63"/>
    <n v="1312.91"/>
    <n v="31.279999999999994"/>
  </r>
  <r>
    <x v="11"/>
    <x v="6"/>
    <x v="0"/>
    <s v="4846107"/>
    <n v="721880"/>
    <s v="Supplies-Linen"/>
    <s v="Ultrasound-Silverdale"/>
    <x v="0"/>
    <m/>
    <n v="24.29"/>
    <n v="72.88"/>
    <n v="0"/>
    <n v="0"/>
    <n v="97.18"/>
    <n v="48.59"/>
    <n v="25.33"/>
    <n v="0"/>
    <n v="25.7"/>
    <n v="51.03"/>
    <n v="-0.74"/>
    <n v="0"/>
    <n v="344.26"/>
    <n v="-0.74"/>
  </r>
  <r>
    <x v="11"/>
    <x v="6"/>
    <x v="0"/>
    <s v="4846107"/>
    <n v="721980"/>
    <s v="Supplies-Other"/>
    <s v="Ultrasound-Silverdale"/>
    <x v="0"/>
    <m/>
    <n v="0"/>
    <n v="280.16000000000003"/>
    <n v="97.61"/>
    <n v="123.29"/>
    <n v="237.27"/>
    <n v="0"/>
    <n v="565.65"/>
    <n v="484.36"/>
    <n v="0"/>
    <n v="309.92"/>
    <n v="155.44999999999999"/>
    <n v="98.13"/>
    <n v="2351.84"/>
    <n v="57.319999999999993"/>
  </r>
  <r>
    <x v="11"/>
    <x v="6"/>
    <x v="0"/>
    <s v="4846107"/>
    <n v="722000"/>
    <s v="Supplies-Freight Expense"/>
    <s v="Ultrasound-Silverdale"/>
    <x v="0"/>
    <m/>
    <n v="29.69"/>
    <n v="71.11"/>
    <n v="0"/>
    <n v="87.2"/>
    <n v="9"/>
    <n v="0"/>
    <n v="23.18"/>
    <n v="15.91"/>
    <n v="25.51"/>
    <n v="14.55"/>
    <n v="0"/>
    <n v="47.15"/>
    <n v="323.3"/>
    <n v="-47.15"/>
  </r>
  <r>
    <x v="15"/>
    <x v="6"/>
    <x v="0"/>
    <s v="4846107"/>
    <n v="731090"/>
    <s v="Other Utilities"/>
    <s v="Ultrasound-Silverdale"/>
    <x v="0"/>
    <m/>
    <n v="145.72"/>
    <n v="32.99"/>
    <n v="11"/>
    <n v="140.19999999999999"/>
    <n v="0"/>
    <n v="22"/>
    <n v="11"/>
    <n v="91.29"/>
    <n v="0"/>
    <n v="0"/>
    <n v="0"/>
    <n v="0"/>
    <n v="454.2"/>
    <n v="0"/>
  </r>
  <r>
    <x v="16"/>
    <x v="6"/>
    <x v="0"/>
    <s v="4846107"/>
    <n v="732030"/>
    <s v="Repairs&amp;Maintenance-Bldg Routine"/>
    <s v="Ultrasound-Silverdale"/>
    <x v="0"/>
    <n v="2300"/>
    <n v="0"/>
    <n v="1305.1300000000001"/>
    <n v="598.34"/>
    <n v="598.33000000000004"/>
    <n v="706.79"/>
    <n v="0"/>
    <n v="1246.68"/>
    <n v="1305.1300000000001"/>
    <n v="0"/>
    <n v="1196.68"/>
    <n v="598.34"/>
    <n v="598.34"/>
    <n v="8153.7600000000011"/>
    <n v="0"/>
  </r>
  <r>
    <x v="16"/>
    <x v="6"/>
    <x v="0"/>
    <s v="4846107"/>
    <n v="733030"/>
    <s v="Maintenance Contracts-Software"/>
    <s v="Ultrasound-Silverdale"/>
    <x v="0"/>
    <n v="1002"/>
    <n v="54.9"/>
    <n v="137.21"/>
    <n v="1509.85"/>
    <n v="109.76"/>
    <n v="54.89"/>
    <n v="54.89"/>
    <n v="167.51"/>
    <n v="109.78"/>
    <n v="54.89"/>
    <n v="0"/>
    <n v="194.46"/>
    <n v="104.25"/>
    <n v="2552.3900000000003"/>
    <n v="90.210000000000008"/>
  </r>
  <r>
    <x v="0"/>
    <x v="6"/>
    <x v="0"/>
    <s v="4846107"/>
    <n v="749510"/>
    <s v="Miscellaneous Expenses"/>
    <s v="Ultrasound-Silverdale"/>
    <x v="0"/>
    <m/>
    <n v="33.630000000000003"/>
    <n v="0"/>
    <n v="0"/>
    <n v="0"/>
    <n v="0"/>
    <n v="0"/>
    <n v="0"/>
    <n v="0"/>
    <n v="0"/>
    <n v="0"/>
    <n v="0"/>
    <n v="30.03"/>
    <n v="63.660000000000004"/>
    <n v="-30.03"/>
  </r>
  <r>
    <x v="7"/>
    <x v="6"/>
    <x v="0"/>
    <s v="4904107"/>
    <n v="718050"/>
    <s v="Contract Svcs-Other"/>
    <s v="Heart Failure Clinic"/>
    <x v="0"/>
    <m/>
    <n v="0"/>
    <n v="0"/>
    <n v="0"/>
    <n v="0"/>
    <n v="0"/>
    <n v="0"/>
    <n v="0"/>
    <n v="0"/>
    <n v="1064.1600000000001"/>
    <n v="0"/>
    <n v="0"/>
    <n v="0"/>
    <n v="1064.1600000000001"/>
    <n v="0"/>
  </r>
  <r>
    <x v="11"/>
    <x v="6"/>
    <x v="0"/>
    <s v="4904107"/>
    <n v="721810"/>
    <s v="Supplies-Dietary/Cafeteria"/>
    <s v="Heart Failure Clinic"/>
    <x v="0"/>
    <m/>
    <n v="0"/>
    <n v="0"/>
    <n v="0"/>
    <n v="0"/>
    <n v="0"/>
    <n v="8"/>
    <n v="0"/>
    <n v="0"/>
    <n v="0"/>
    <n v="0"/>
    <n v="0"/>
    <n v="0"/>
    <n v="8"/>
    <n v="0"/>
  </r>
  <r>
    <x v="12"/>
    <x v="6"/>
    <x v="0"/>
    <s v="4904107"/>
    <n v="730020"/>
    <s v="Rental and Leases-Equipment (DO NOT USE)"/>
    <s v="Heart Failure Clinic"/>
    <x v="0"/>
    <m/>
    <n v="0"/>
    <n v="84.34"/>
    <n v="42.01"/>
    <n v="42.33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6"/>
    <x v="0"/>
    <s v="4904107"/>
    <n v="730020"/>
    <s v="Rental and Leases-Copier Usage Fees (DO NOT USE)"/>
    <s v="Heart Failure Clinic"/>
    <x v="0"/>
    <n v="5100"/>
    <n v="162.88"/>
    <n v="167.59"/>
    <n v="165.23"/>
    <n v="165.23"/>
    <n v="165.23"/>
    <n v="165.23"/>
    <n v="231.45"/>
    <n v="164.59"/>
    <n v="164.24"/>
    <n v="164.94"/>
    <n v="164.59"/>
    <n v="183.69"/>
    <n v="2064.89"/>
    <n v="-19.099999999999994"/>
  </r>
  <r>
    <x v="13"/>
    <x v="6"/>
    <x v="0"/>
    <s v="4904107"/>
    <n v="735040"/>
    <s v="Depreciation-Building Improvements"/>
    <s v="Heart Failure Clinic"/>
    <x v="0"/>
    <m/>
    <n v="302.45999999999998"/>
    <n v="302.45999999999998"/>
    <n v="302.45999999999998"/>
    <n v="302.45999999999998"/>
    <n v="302.45999999999998"/>
    <n v="302.45999999999998"/>
    <n v="302.45999999999998"/>
    <n v="302.45999999999998"/>
    <n v="302.45999999999998"/>
    <n v="302.45999999999998"/>
    <n v="302.45999999999998"/>
    <n v="302.45999999999998"/>
    <n v="3629.52"/>
    <n v="0"/>
  </r>
  <r>
    <x v="13"/>
    <x v="6"/>
    <x v="0"/>
    <s v="4904107"/>
    <n v="735070"/>
    <s v="Depreciation-Movable Equipment"/>
    <s v="Heart Failure Clinic"/>
    <x v="0"/>
    <m/>
    <n v="453.36"/>
    <n v="453.36"/>
    <n v="453.36"/>
    <n v="453.36"/>
    <n v="453.36"/>
    <n v="453.36"/>
    <n v="453.36"/>
    <n v="453.35"/>
    <n v="453.36"/>
    <n v="453.35"/>
    <n v="453.37"/>
    <n v="453.34"/>
    <n v="5440.2900000000009"/>
    <n v="3.0000000000029559E-2"/>
  </r>
  <r>
    <x v="18"/>
    <x v="5"/>
    <x v="0"/>
    <s v="4905106"/>
    <n v="400010"/>
    <s v="Acute I/P Svcs Rev--Medicare"/>
    <s v="EKG"/>
    <x v="0"/>
    <n v="1100"/>
    <n v="0"/>
    <n v="0"/>
    <n v="0"/>
    <n v="0"/>
    <n v="0"/>
    <n v="0"/>
    <n v="0"/>
    <n v="0"/>
    <n v="0"/>
    <n v="879"/>
    <n v="921"/>
    <n v="-1800"/>
    <n v="0"/>
    <n v="2721"/>
  </r>
  <r>
    <x v="18"/>
    <x v="5"/>
    <x v="0"/>
    <s v="4905106"/>
    <n v="400010"/>
    <s v="Acute I/P Svcs Rev--Medicaid"/>
    <s v="EKG"/>
    <x v="0"/>
    <n v="1200"/>
    <n v="0"/>
    <n v="0"/>
    <n v="0"/>
    <n v="0"/>
    <n v="0"/>
    <n v="0"/>
    <n v="0"/>
    <n v="0"/>
    <n v="0"/>
    <n v="350.32"/>
    <n v="-57.32"/>
    <n v="-293"/>
    <n v="0"/>
    <n v="235.68"/>
  </r>
  <r>
    <x v="18"/>
    <x v="5"/>
    <x v="0"/>
    <s v="4905106"/>
    <n v="400010"/>
    <s v="Acute I/P Svcs Rev--Comm Insurance"/>
    <s v="EKG"/>
    <x v="0"/>
    <n v="1300"/>
    <n v="0"/>
    <n v="0"/>
    <n v="0"/>
    <n v="0"/>
    <n v="0"/>
    <n v="0"/>
    <n v="0"/>
    <n v="0"/>
    <n v="0"/>
    <n v="-350.32"/>
    <n v="350.32"/>
    <n v="0"/>
    <n v="0"/>
    <n v="350.32"/>
  </r>
  <r>
    <x v="18"/>
    <x v="5"/>
    <x v="0"/>
    <s v="4905106"/>
    <n v="400010"/>
    <s v="Acute I/P Svcs Rev--Self Pay"/>
    <s v="EKG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5"/>
    <x v="0"/>
    <s v="4905106"/>
    <n v="400010"/>
    <s v="Acute I/P Svcs Rev--Other"/>
    <s v="EKG"/>
    <x v="0"/>
    <n v="1700"/>
    <n v="0"/>
    <n v="0"/>
    <n v="0"/>
    <n v="0"/>
    <n v="0"/>
    <n v="0"/>
    <n v="0"/>
    <n v="0"/>
    <n v="0"/>
    <n v="-879"/>
    <n v="-1214"/>
    <n v="2093"/>
    <n v="0"/>
    <n v="-3307"/>
  </r>
  <r>
    <x v="19"/>
    <x v="5"/>
    <x v="0"/>
    <s v="4905106"/>
    <n v="400020"/>
    <s v="O/P Care Svcs Rev--Medicare"/>
    <s v="EKG"/>
    <x v="0"/>
    <n v="1100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905106"/>
    <n v="400020"/>
    <s v="O/P Care Svcs Rev--Medicaid"/>
    <s v="EKG"/>
    <x v="0"/>
    <n v="1200"/>
    <n v="0"/>
    <n v="0"/>
    <n v="0"/>
    <n v="0"/>
    <n v="0"/>
    <n v="0"/>
    <n v="0"/>
    <n v="0"/>
    <n v="0"/>
    <n v="0"/>
    <n v="293"/>
    <n v="-293"/>
    <n v="0"/>
    <n v="586"/>
  </r>
  <r>
    <x v="19"/>
    <x v="5"/>
    <x v="0"/>
    <s v="4905106"/>
    <n v="400020"/>
    <s v="O/P Care Svcs Rev--Comm Insurance"/>
    <s v="EKG"/>
    <x v="0"/>
    <n v="1300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905106"/>
    <n v="400020"/>
    <s v="O/P Care Svcs Rev--Managed Care"/>
    <s v="EKG"/>
    <x v="0"/>
    <n v="1400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905106"/>
    <n v="400020"/>
    <s v="O/P Care Svcs Rev--Self Pay"/>
    <s v="EKG"/>
    <x v="0"/>
    <n v="1500"/>
    <n v="0"/>
    <n v="0"/>
    <n v="0"/>
    <n v="0"/>
    <n v="0"/>
    <n v="0"/>
    <n v="0"/>
    <n v="0"/>
    <n v="0"/>
    <n v="0"/>
    <n v="0"/>
    <n v="0"/>
    <n v="0"/>
    <n v="0"/>
  </r>
  <r>
    <x v="19"/>
    <x v="5"/>
    <x v="0"/>
    <s v="4905106"/>
    <n v="400020"/>
    <s v="O/P Care Svcs Rev--Other"/>
    <s v="EKG"/>
    <x v="0"/>
    <n v="1700"/>
    <n v="0"/>
    <n v="0"/>
    <n v="0"/>
    <n v="0"/>
    <n v="0"/>
    <n v="0"/>
    <n v="0"/>
    <n v="0"/>
    <n v="0"/>
    <n v="0"/>
    <n v="-293"/>
    <n v="293"/>
    <n v="0"/>
    <n v="-586"/>
  </r>
  <r>
    <x v="18"/>
    <x v="6"/>
    <x v="0"/>
    <s v="4905107"/>
    <n v="400010"/>
    <s v="Acute I/P Svcs Rev--Medicare"/>
    <s v="EKG"/>
    <x v="0"/>
    <n v="1100"/>
    <n v="-243468.55"/>
    <n v="-234981.32"/>
    <n v="-230744.91"/>
    <n v="-235305"/>
    <n v="-251146.08"/>
    <n v="-217111.76"/>
    <n v="-286545.08"/>
    <n v="-225973.08"/>
    <n v="-250462.12"/>
    <n v="-231211.2"/>
    <n v="-232262.16"/>
    <n v="-206322.59"/>
    <n v="-2845533.8500000006"/>
    <n v="-25939.570000000007"/>
  </r>
  <r>
    <x v="18"/>
    <x v="6"/>
    <x v="0"/>
    <s v="4905107"/>
    <n v="400010"/>
    <s v="Acute I/P Svcs Rev--Medicaid"/>
    <s v="EKG"/>
    <x v="0"/>
    <n v="1200"/>
    <n v="-35715.96"/>
    <n v="-36669.21"/>
    <n v="-36476.6"/>
    <n v="-32623.08"/>
    <n v="-36082.959999999999"/>
    <n v="-46011.92"/>
    <n v="-41354.44"/>
    <n v="-51847.360000000001"/>
    <n v="-42782.36"/>
    <n v="-37500.92"/>
    <n v="-41688.080000000002"/>
    <n v="-37867.129999999997"/>
    <n v="-476620.01999999996"/>
    <n v="-3820.9500000000044"/>
  </r>
  <r>
    <x v="18"/>
    <x v="6"/>
    <x v="0"/>
    <s v="4905107"/>
    <n v="400010"/>
    <s v="Acute I/P Svcs Rev--Comm Insurance"/>
    <s v="EKG"/>
    <x v="0"/>
    <n v="1300"/>
    <n v="517.16"/>
    <n v="102.49"/>
    <n v="-367"/>
    <n v="-1351.24"/>
    <n v="-717.32"/>
    <n v="-2101.92"/>
    <n v="-4904.4799999999996"/>
    <n v="-3136.2"/>
    <n v="-3152.88"/>
    <n v="-3486.52"/>
    <n v="-2452.2399999999998"/>
    <n v="316.95999999999998"/>
    <n v="-20733.190000000002"/>
    <n v="-2769.2"/>
  </r>
  <r>
    <x v="18"/>
    <x v="6"/>
    <x v="0"/>
    <s v="4905107"/>
    <n v="400010"/>
    <s v="Acute I/P Svcs Rev--BCBS Comm"/>
    <s v="EKG"/>
    <x v="0"/>
    <n v="1301"/>
    <n v="-11593.92"/>
    <n v="-13311.37"/>
    <n v="-14395.69"/>
    <n v="-7707.04"/>
    <n v="-17516"/>
    <n v="-7356.72"/>
    <n v="-15414.08"/>
    <n v="-13312.16"/>
    <n v="-12611.52"/>
    <n v="-19617.919999999998"/>
    <n v="-15764.4"/>
    <n v="-7356.72"/>
    <n v="-155957.54"/>
    <n v="-8407.68"/>
  </r>
  <r>
    <x v="18"/>
    <x v="6"/>
    <x v="0"/>
    <s v="4905107"/>
    <n v="400010"/>
    <s v="Acute I/P Svcs Rev--Managed Care"/>
    <s v="EKG"/>
    <x v="0"/>
    <n v="1400"/>
    <n v="-27290.02"/>
    <n v="-21019.200000000001"/>
    <n v="-21743.24"/>
    <n v="-25239.72"/>
    <n v="-25239.72"/>
    <n v="-24522.400000000001"/>
    <n v="-24856.04"/>
    <n v="-19250.919999999998"/>
    <n v="-25923.68"/>
    <n v="-18933.96"/>
    <n v="-31879.119999999999"/>
    <n v="-23121.119999999999"/>
    <n v="-289019.14"/>
    <n v="-8758"/>
  </r>
  <r>
    <x v="18"/>
    <x v="6"/>
    <x v="0"/>
    <s v="4905107"/>
    <n v="400010"/>
    <s v="Acute I/P Svcs Rev--Self Pay"/>
    <s v="EKG"/>
    <x v="0"/>
    <n v="1500"/>
    <n v="-3470.63"/>
    <n v="-1417.96"/>
    <n v="-7707.04"/>
    <n v="350.32"/>
    <n v="-1751.6"/>
    <n v="-4904.4799999999996"/>
    <n v="-4203.84"/>
    <n v="-3853.52"/>
    <n v="-700.64"/>
    <n v="-1401.28"/>
    <n v="-3853.52"/>
    <n v="-7724.56"/>
    <n v="-40638.749999999993"/>
    <n v="3871.0400000000004"/>
  </r>
  <r>
    <x v="18"/>
    <x v="6"/>
    <x v="0"/>
    <s v="4905107"/>
    <n v="400010"/>
    <s v="Acute I/P Svcs Rev--Other"/>
    <s v="EKG"/>
    <x v="0"/>
    <n v="1700"/>
    <n v="-12628.2"/>
    <n v="-22053.48"/>
    <n v="-19968.240000000002"/>
    <n v="-9208.4"/>
    <n v="-11210.24"/>
    <n v="-10476.24"/>
    <n v="-9825.64"/>
    <n v="-11577.24"/>
    <n v="-16481.72"/>
    <n v="-9091.64"/>
    <n v="-17866.32"/>
    <n v="-5738.87"/>
    <n v="-156126.23000000001"/>
    <n v="-12127.45"/>
  </r>
  <r>
    <x v="19"/>
    <x v="6"/>
    <x v="0"/>
    <s v="4905107"/>
    <n v="400020"/>
    <s v="O/P Care Svcs Rev--Medicare"/>
    <s v="EKG"/>
    <x v="0"/>
    <n v="1100"/>
    <n v="-259043.32"/>
    <n v="-245389.26"/>
    <n v="-241010.76"/>
    <n v="-261505.56"/>
    <n v="-255065.53"/>
    <n v="-243405.68"/>
    <n v="-272131.92"/>
    <n v="-227657.17"/>
    <n v="-273431.46000000002"/>
    <n v="-257167.45"/>
    <n v="-270797.36"/>
    <n v="-254332.32"/>
    <n v="-3060937.79"/>
    <n v="-16465.039999999979"/>
  </r>
  <r>
    <x v="19"/>
    <x v="6"/>
    <x v="0"/>
    <s v="4905107"/>
    <n v="400020"/>
    <s v="O/P Care Svcs Rev--Medicaid"/>
    <s v="EKG"/>
    <x v="0"/>
    <n v="1200"/>
    <n v="-129017.84"/>
    <n v="-115700.64"/>
    <n v="-107263.85"/>
    <n v="-103511.2"/>
    <n v="-112517.86"/>
    <n v="-106163.64"/>
    <n v="-119809.44"/>
    <n v="-97155.4"/>
    <n v="-133914.81"/>
    <n v="-121928.04"/>
    <n v="-116656.56"/>
    <n v="-117690.84"/>
    <n v="-1381330.12"/>
    <n v="1034.2799999999988"/>
  </r>
  <r>
    <x v="19"/>
    <x v="6"/>
    <x v="0"/>
    <s v="4905107"/>
    <n v="400020"/>
    <s v="O/P Care Svcs Rev--Comm Insurance"/>
    <s v="EKG"/>
    <x v="0"/>
    <n v="1300"/>
    <n v="-10853.2"/>
    <n v="-3653.32"/>
    <n v="-8758"/>
    <n v="-12261.2"/>
    <n v="-14012.8"/>
    <n v="-10859.92"/>
    <n v="-6322.44"/>
    <n v="-10892.49"/>
    <n v="-10492.92"/>
    <n v="-10509.6"/>
    <n v="-12611.52"/>
    <n v="-15731.04"/>
    <n v="-126958.45000000001"/>
    <n v="3119.5200000000004"/>
  </r>
  <r>
    <x v="19"/>
    <x v="6"/>
    <x v="0"/>
    <s v="4905107"/>
    <n v="400020"/>
    <s v="O/P Care Svcs Rev--BCBS Comm"/>
    <s v="EKG"/>
    <x v="0"/>
    <n v="1301"/>
    <n v="-35332.28"/>
    <n v="-41205.11"/>
    <n v="-36116.32"/>
    <n v="-42799.040000000001"/>
    <n v="-42388.72"/>
    <n v="-41254.36"/>
    <n v="-46225.56"/>
    <n v="-48995.55"/>
    <n v="-42070.97"/>
    <n v="-50796.4"/>
    <n v="-45524.92"/>
    <n v="-39586.160000000003"/>
    <n v="-512295.39"/>
    <n v="-5938.7599999999948"/>
  </r>
  <r>
    <x v="19"/>
    <x v="6"/>
    <x v="0"/>
    <s v="4905107"/>
    <n v="400020"/>
    <s v="O/P Care Svcs Rev--Managed Care"/>
    <s v="EKG"/>
    <x v="0"/>
    <n v="1400"/>
    <n v="-89515.12"/>
    <n v="-92202.46"/>
    <n v="-77787.72"/>
    <n v="-78438.320000000007"/>
    <n v="-81925.63"/>
    <n v="-89698.6"/>
    <n v="-83025.84"/>
    <n v="-70748.75"/>
    <n v="-74651.520000000004"/>
    <n v="-85094.399999999994"/>
    <n v="-100208.2"/>
    <n v="-77420.72"/>
    <n v="-1000717.2799999999"/>
    <n v="-22787.479999999996"/>
  </r>
  <r>
    <x v="19"/>
    <x v="6"/>
    <x v="0"/>
    <s v="4905107"/>
    <n v="400020"/>
    <s v="O/P Care Svcs Rev--Self Pay"/>
    <s v="EKG"/>
    <x v="0"/>
    <n v="1500"/>
    <n v="-9875.68"/>
    <n v="-11976.81"/>
    <n v="-15397.4"/>
    <n v="-15754.44"/>
    <n v="-10526.28"/>
    <n v="-9825.64"/>
    <n v="-14379.8"/>
    <n v="-12611.52"/>
    <n v="-12928.48"/>
    <n v="-17165.68"/>
    <n v="-16114.72"/>
    <n v="-19617.919999999998"/>
    <n v="-166174.37"/>
    <n v="3503.1999999999989"/>
  </r>
  <r>
    <x v="19"/>
    <x v="6"/>
    <x v="0"/>
    <s v="4905107"/>
    <n v="400020"/>
    <s v="O/P Care Svcs Rev--Other"/>
    <s v="EKG"/>
    <x v="0"/>
    <n v="1700"/>
    <n v="-44253.52"/>
    <n v="-41772.269999999997"/>
    <n v="-53859.39"/>
    <n v="-48344.160000000003"/>
    <n v="-45126.14"/>
    <n v="-51597.120000000003"/>
    <n v="-45241.32"/>
    <n v="-59170.720000000001"/>
    <n v="-58887.12"/>
    <n v="-50780.51"/>
    <n v="-61139.47"/>
    <n v="-51196.76"/>
    <n v="-611368.5"/>
    <n v="-9942.7099999999991"/>
  </r>
  <r>
    <x v="5"/>
    <x v="6"/>
    <x v="0"/>
    <s v="4905107"/>
    <n v="700034"/>
    <s v="Salaries-Tech/Professional-Productive"/>
    <s v="EKG"/>
    <x v="0"/>
    <m/>
    <n v="6225.4"/>
    <n v="2148.6999999999998"/>
    <n v="2221.6999999999998"/>
    <n v="2734.4"/>
    <n v="0"/>
    <n v="2799.2"/>
    <n v="6353.26"/>
    <n v="4955.53"/>
    <n v="5465.58"/>
    <n v="-1259.26"/>
    <n v="0"/>
    <n v="0"/>
    <n v="31644.51"/>
    <n v="0"/>
  </r>
  <r>
    <x v="5"/>
    <x v="6"/>
    <x v="0"/>
    <s v="4905107"/>
    <n v="700034"/>
    <s v="Salaries-Tech/Professional-Other"/>
    <s v="EKG"/>
    <x v="0"/>
    <n v="2000"/>
    <n v="1092.78"/>
    <n v="-192.78"/>
    <n v="0"/>
    <n v="900"/>
    <n v="0"/>
    <n v="0"/>
    <n v="0"/>
    <n v="1223.18"/>
    <n v="-311.25"/>
    <n v="897.47"/>
    <n v="0"/>
    <n v="0"/>
    <n v="3609.4000000000005"/>
    <n v="0"/>
  </r>
  <r>
    <x v="5"/>
    <x v="6"/>
    <x v="0"/>
    <s v="4905107"/>
    <n v="700074"/>
    <s v="Salaries-Tech/Professional-Non-productive"/>
    <s v="EKG"/>
    <x v="0"/>
    <m/>
    <n v="0"/>
    <n v="0"/>
    <n v="710.45"/>
    <n v="68.819999999999993"/>
    <n v="2002.5"/>
    <n v="231.43"/>
    <n v="421.98"/>
    <n v="925.6"/>
    <n v="717.85"/>
    <n v="-282.06"/>
    <n v="0"/>
    <n v="0"/>
    <n v="4796.57"/>
    <n v="0"/>
  </r>
  <r>
    <x v="5"/>
    <x v="6"/>
    <x v="0"/>
    <s v="4905107"/>
    <n v="700084"/>
    <s v="Accrued PTO"/>
    <s v="EKG"/>
    <x v="0"/>
    <m/>
    <n v="581.92999999999995"/>
    <n v="863.07"/>
    <n v="160.99"/>
    <n v="1444.04"/>
    <n v="-169.01"/>
    <n v="414.6"/>
    <n v="447.17"/>
    <n v="303.16000000000003"/>
    <n v="316.36"/>
    <n v="817.23"/>
    <n v="-3244.94"/>
    <n v="0"/>
    <n v="1934.599999999999"/>
    <n v="-3244.94"/>
  </r>
  <r>
    <x v="6"/>
    <x v="6"/>
    <x v="0"/>
    <s v="4905107"/>
    <n v="713010"/>
    <s v="Benefits-FICA/Medicare"/>
    <s v="EKG"/>
    <x v="0"/>
    <m/>
    <n v="550.33000000000004"/>
    <n v="146.28"/>
    <n v="219.98"/>
    <n v="278.92"/>
    <n v="150.16999999999999"/>
    <n v="307.95"/>
    <n v="507.43"/>
    <n v="534.02"/>
    <n v="438.99"/>
    <n v="-47.84"/>
    <n v="0"/>
    <n v="0"/>
    <n v="3086.2299999999996"/>
    <n v="0"/>
  </r>
  <r>
    <x v="6"/>
    <x v="6"/>
    <x v="0"/>
    <s v="4905107"/>
    <n v="713090"/>
    <s v="Benefits-Allocated Amounts"/>
    <s v="EKG"/>
    <x v="0"/>
    <m/>
    <n v="1167.5999999999999"/>
    <n v="351.07"/>
    <n v="555.98"/>
    <n v="522.91999999999996"/>
    <n v="441.14"/>
    <n v="628.79"/>
    <n v="1275.33"/>
    <n v="1000.14"/>
    <n v="1087.49"/>
    <n v="-200.85"/>
    <n v="-17.16"/>
    <n v="79.88"/>
    <n v="6892.33"/>
    <n v="-97.039999999999992"/>
  </r>
  <r>
    <x v="17"/>
    <x v="6"/>
    <x v="0"/>
    <s v="4905107"/>
    <n v="714530"/>
    <s v="Medical Prof Fees-Intracompany"/>
    <s v="EKG"/>
    <x v="0"/>
    <m/>
    <n v="6811.62"/>
    <n v="-5399.08"/>
    <n v="-14723.03"/>
    <n v="-7932.35"/>
    <n v="-11965.35"/>
    <n v="-2052.11"/>
    <n v="-1888.35"/>
    <n v="4085.32"/>
    <n v="-9452.67"/>
    <n v="154876.1"/>
    <n v="-3615.45"/>
    <n v="27252.42"/>
    <n v="135997.07"/>
    <n v="-30867.87"/>
  </r>
  <r>
    <x v="0"/>
    <x v="6"/>
    <x v="0"/>
    <s v="4905107"/>
    <n v="749510"/>
    <s v="Miscellaneous Expenses"/>
    <s v="EKG"/>
    <x v="0"/>
    <m/>
    <n v="0"/>
    <n v="0"/>
    <n v="0"/>
    <n v="0"/>
    <n v="0"/>
    <n v="0"/>
    <n v="0"/>
    <n v="215.82"/>
    <n v="-193.78"/>
    <n v="-22.04"/>
    <n v="0"/>
    <n v="0"/>
    <n v="-7.1054273576010019E-15"/>
    <n v="0"/>
  </r>
  <r>
    <x v="0"/>
    <x v="6"/>
    <x v="0"/>
    <s v="4905107"/>
    <n v="749530"/>
    <s v="Travel"/>
    <s v="EKG"/>
    <x v="0"/>
    <m/>
    <n v="0"/>
    <n v="0"/>
    <n v="0"/>
    <n v="0"/>
    <n v="0"/>
    <n v="0"/>
    <n v="0"/>
    <n v="0"/>
    <n v="6"/>
    <n v="0"/>
    <n v="0"/>
    <n v="0"/>
    <n v="6"/>
    <n v="0"/>
  </r>
  <r>
    <x v="0"/>
    <x v="6"/>
    <x v="0"/>
    <s v="4905107"/>
    <n v="749530"/>
    <s v="Mileage"/>
    <s v="EKG"/>
    <x v="0"/>
    <n v="1001"/>
    <n v="0"/>
    <n v="0"/>
    <n v="0"/>
    <n v="0"/>
    <n v="0"/>
    <n v="0"/>
    <n v="0"/>
    <n v="0"/>
    <n v="242.88"/>
    <n v="93.38"/>
    <n v="0"/>
    <n v="0"/>
    <n v="336.26"/>
    <n v="0"/>
  </r>
  <r>
    <x v="18"/>
    <x v="10"/>
    <x v="0"/>
    <s v="4905306"/>
    <n v="400010"/>
    <s v="Acute I/P Svcs Rev--Medicare"/>
    <s v="EKG"/>
    <x v="0"/>
    <n v="1100"/>
    <n v="-9975.7999999999993"/>
    <n v="-7006.4"/>
    <n v="-4554.16"/>
    <n v="-8057.36"/>
    <n v="-8724.64"/>
    <n v="-4203.84"/>
    <n v="-5955.44"/>
    <n v="-6005.48"/>
    <n v="-10859.92"/>
    <n v="-5955.44"/>
    <n v="-6656.08"/>
    <n v="-7006.4"/>
    <n v="-84960.959999999992"/>
    <n v="350.31999999999971"/>
  </r>
  <r>
    <x v="18"/>
    <x v="10"/>
    <x v="0"/>
    <s v="4905306"/>
    <n v="400010"/>
    <s v="Acute I/P Svcs Rev--Medicaid"/>
    <s v="EKG"/>
    <x v="0"/>
    <n v="1200"/>
    <n v="-2101.92"/>
    <n v="0"/>
    <n v="0"/>
    <n v="-1050.96"/>
    <n v="667.28"/>
    <n v="-2452.2399999999998"/>
    <n v="-2452.2399999999998"/>
    <n v="0"/>
    <n v="-1401.28"/>
    <n v="-1751.6"/>
    <n v="-2101.92"/>
    <n v="0"/>
    <n v="-12644.880000000001"/>
    <n v="-2101.92"/>
  </r>
  <r>
    <x v="18"/>
    <x v="10"/>
    <x v="0"/>
    <s v="4905306"/>
    <n v="400010"/>
    <s v="Acute I/P Svcs Rev--Comm Insurance"/>
    <s v="EKG"/>
    <x v="0"/>
    <n v="1300"/>
    <n v="0"/>
    <n v="0"/>
    <n v="0"/>
    <n v="0"/>
    <n v="0"/>
    <n v="0"/>
    <n v="0"/>
    <n v="-1000.92"/>
    <n v="0"/>
    <n v="0"/>
    <n v="0"/>
    <n v="0"/>
    <n v="-1000.92"/>
    <n v="0"/>
  </r>
  <r>
    <x v="18"/>
    <x v="10"/>
    <x v="0"/>
    <s v="4905306"/>
    <n v="400010"/>
    <s v="Acute I/P Svcs Rev--BCBS Comm"/>
    <s v="EKG"/>
    <x v="0"/>
    <n v="1301"/>
    <n v="-367"/>
    <n v="-350.32"/>
    <n v="-700.64"/>
    <n v="-700.64"/>
    <n v="-700.64"/>
    <n v="0"/>
    <n v="-1050.96"/>
    <n v="-700.64"/>
    <n v="-700.64"/>
    <n v="-1050.96"/>
    <n v="0"/>
    <n v="-700.64"/>
    <n v="-7023.0800000000008"/>
    <n v="700.64"/>
  </r>
  <r>
    <x v="18"/>
    <x v="10"/>
    <x v="0"/>
    <s v="4905306"/>
    <n v="400010"/>
    <s v="Acute I/P Svcs Rev--Managed Care"/>
    <s v="EKG"/>
    <x v="0"/>
    <n v="1400"/>
    <n v="2986.08"/>
    <n v="-1050.96"/>
    <n v="-3152.88"/>
    <n v="-1401.28"/>
    <n v="0"/>
    <n v="0"/>
    <n v="-350.32"/>
    <n v="-1751.6"/>
    <n v="-1050.96"/>
    <n v="-2101.92"/>
    <n v="-2452.2399999999998"/>
    <n v="-2452.2399999999998"/>
    <n v="-12778.32"/>
    <n v="0"/>
  </r>
  <r>
    <x v="18"/>
    <x v="10"/>
    <x v="0"/>
    <s v="4905306"/>
    <n v="400010"/>
    <s v="Acute I/P Svcs Rev--Self Pay"/>
    <s v="EKG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4905306"/>
    <n v="400010"/>
    <s v="Acute I/P Svcs Rev--Other"/>
    <s v="EKG"/>
    <x v="0"/>
    <n v="1700"/>
    <n v="-350.32"/>
    <n v="0"/>
    <n v="0"/>
    <n v="0"/>
    <n v="0"/>
    <n v="0"/>
    <n v="-350.32"/>
    <n v="-350.32"/>
    <n v="-700.64"/>
    <n v="0"/>
    <n v="0"/>
    <n v="0"/>
    <n v="-1751.6"/>
    <n v="0"/>
  </r>
  <r>
    <x v="7"/>
    <x v="10"/>
    <x v="0"/>
    <s v="4905306"/>
    <n v="718050"/>
    <s v="Miscellaneous Purchased Svcs"/>
    <s v="EKG"/>
    <x v="0"/>
    <n v="1020"/>
    <n v="1134.8900000000001"/>
    <n v="972.76"/>
    <n v="972.76"/>
    <n v="1297.02"/>
    <n v="1013.3"/>
    <n v="770.1"/>
    <n v="1175.42"/>
    <n v="913.21"/>
    <n v="1369.82"/>
    <n v="1011.05"/>
    <n v="1043.67"/>
    <n v="945.82"/>
    <n v="12619.82"/>
    <n v="97.850000000000023"/>
  </r>
  <r>
    <x v="18"/>
    <x v="3"/>
    <x v="0"/>
    <s v="4907101"/>
    <n v="400010"/>
    <s v="Acute I/P Svcs Rev--Medicare"/>
    <s v="Electrophysiology"/>
    <x v="0"/>
    <n v="1100"/>
    <n v="-2460025.0699999998"/>
    <n v="-2567328.87"/>
    <n v="-2224367.67"/>
    <n v="-3110183.72"/>
    <n v="-1378794.69"/>
    <n v="-1925813.29"/>
    <n v="-2632506.16"/>
    <n v="-1810128.33"/>
    <n v="-2318861.85"/>
    <n v="-1844320.07"/>
    <n v="-2715758"/>
    <n v="-1957198.85"/>
    <n v="-26945286.57"/>
    <n v="-758559.14999999991"/>
  </r>
  <r>
    <x v="18"/>
    <x v="3"/>
    <x v="0"/>
    <s v="4907101"/>
    <n v="400010"/>
    <s v="Acute I/P Svcs Rev--Medicaid"/>
    <s v="Electrophysiology"/>
    <x v="0"/>
    <n v="1200"/>
    <n v="-19744.66"/>
    <n v="-219195.82"/>
    <n v="-368041.93"/>
    <n v="-48619.93"/>
    <n v="-436018.32"/>
    <n v="85015.43"/>
    <n v="-41954.34"/>
    <n v="-125155.83"/>
    <n v="-192235.8"/>
    <n v="42187.77"/>
    <n v="-224852.93"/>
    <n v="-75635.77"/>
    <n v="-1624252.1300000001"/>
    <n v="-149217.15999999997"/>
  </r>
  <r>
    <x v="18"/>
    <x v="3"/>
    <x v="0"/>
    <s v="4907101"/>
    <n v="400010"/>
    <s v="Acute I/P Svcs Rev--Comm Insurance"/>
    <s v="Electrophysiology"/>
    <x v="0"/>
    <n v="1300"/>
    <n v="36297.06"/>
    <n v="47638.68"/>
    <n v="0"/>
    <n v="0"/>
    <n v="0"/>
    <n v="0"/>
    <n v="0"/>
    <n v="0"/>
    <n v="-45136.06"/>
    <n v="-170049.76"/>
    <n v="-321356.34999999998"/>
    <n v="0"/>
    <n v="-452606.43"/>
    <n v="-321356.34999999998"/>
  </r>
  <r>
    <x v="18"/>
    <x v="3"/>
    <x v="0"/>
    <s v="4907101"/>
    <n v="400010"/>
    <s v="Acute I/P Svcs Rev--BCBS Comm"/>
    <s v="Electrophysiology"/>
    <x v="0"/>
    <n v="1301"/>
    <n v="-48252.85"/>
    <n v="-67650.490000000005"/>
    <n v="3680.51"/>
    <n v="-225978.68"/>
    <n v="0"/>
    <n v="0"/>
    <n v="-115200.99"/>
    <n v="-42355.86"/>
    <n v="-91567.44"/>
    <n v="-241306.86"/>
    <n v="-133548.16"/>
    <n v="-46511.27"/>
    <n v="-1008692.0900000001"/>
    <n v="-87036.890000000014"/>
  </r>
  <r>
    <x v="18"/>
    <x v="3"/>
    <x v="0"/>
    <s v="4907101"/>
    <n v="400010"/>
    <s v="Acute I/P Svcs Rev--Managed Care"/>
    <s v="Electrophysiology"/>
    <x v="0"/>
    <n v="1400"/>
    <n v="-50418.18"/>
    <n v="-590244.13"/>
    <n v="-618928.53"/>
    <n v="-84713.96"/>
    <n v="0"/>
    <n v="-178458.18"/>
    <n v="-121049.41"/>
    <n v="-381472.69"/>
    <n v="0"/>
    <n v="-396120.77"/>
    <n v="-552674.43999999994"/>
    <n v="-906636.82"/>
    <n v="-3880717.1099999994"/>
    <n v="353962.38"/>
  </r>
  <r>
    <x v="18"/>
    <x v="3"/>
    <x v="0"/>
    <s v="4907101"/>
    <n v="400010"/>
    <s v="Acute I/P Svcs Rev--Self Pay"/>
    <s v="Electrophysiology"/>
    <x v="0"/>
    <n v="1500"/>
    <n v="19744.66"/>
    <n v="0"/>
    <n v="0"/>
    <n v="0"/>
    <n v="-116295.25"/>
    <n v="116295.25"/>
    <n v="0"/>
    <n v="0"/>
    <n v="0"/>
    <n v="0"/>
    <n v="0"/>
    <n v="0"/>
    <n v="19744.660000000003"/>
    <n v="0"/>
  </r>
  <r>
    <x v="18"/>
    <x v="3"/>
    <x v="0"/>
    <s v="4907101"/>
    <n v="400010"/>
    <s v="Acute I/P Svcs Rev--Other"/>
    <s v="Electrophysiology"/>
    <x v="0"/>
    <n v="1700"/>
    <n v="0"/>
    <n v="-104519.22"/>
    <n v="0"/>
    <n v="-35226.68"/>
    <n v="0"/>
    <n v="0"/>
    <n v="-57786.74"/>
    <n v="-52400.49"/>
    <n v="25561.59"/>
    <n v="0"/>
    <n v="-207714.23"/>
    <n v="0"/>
    <n v="-432085.77"/>
    <n v="-207714.23"/>
  </r>
  <r>
    <x v="19"/>
    <x v="3"/>
    <x v="0"/>
    <s v="4907101"/>
    <n v="400020"/>
    <s v="O/P Care Svcs Rev--Medicare"/>
    <s v="Electrophysiology"/>
    <x v="0"/>
    <n v="1100"/>
    <n v="-2884405.13"/>
    <n v="-2778810.7"/>
    <n v="-3041459.38"/>
    <n v="-3739872.07"/>
    <n v="-4705564.46"/>
    <n v="-3618077.54"/>
    <n v="-2714471.14"/>
    <n v="-1510172.48"/>
    <n v="-3505436.42"/>
    <n v="-3319737.39"/>
    <n v="-3892677.28"/>
    <n v="-3712614.32"/>
    <n v="-39423298.310000002"/>
    <n v="-180062.95999999996"/>
  </r>
  <r>
    <x v="19"/>
    <x v="3"/>
    <x v="0"/>
    <s v="4907101"/>
    <n v="400020"/>
    <s v="O/P Care Svcs Rev--Medicaid"/>
    <s v="Electrophysiology"/>
    <x v="0"/>
    <n v="1200"/>
    <n v="-234895.82"/>
    <n v="-909724.25"/>
    <n v="-703719.33"/>
    <n v="-118209.73"/>
    <n v="-423978.92"/>
    <n v="-565207.44999999995"/>
    <n v="-549577.52"/>
    <n v="-714292.94"/>
    <n v="-907233.89"/>
    <n v="-388758"/>
    <n v="-560487.38"/>
    <n v="-636822.41"/>
    <n v="-6712907.6399999997"/>
    <n v="76335.030000000028"/>
  </r>
  <r>
    <x v="19"/>
    <x v="3"/>
    <x v="0"/>
    <s v="4907101"/>
    <n v="400020"/>
    <s v="O/P Care Svcs Rev--Comm Insurance"/>
    <s v="Electrophysiology"/>
    <x v="0"/>
    <n v="1300"/>
    <n v="-131128.78"/>
    <n v="-76871.73"/>
    <n v="-251325.4"/>
    <n v="-339500.79"/>
    <n v="-258364.16"/>
    <n v="-132359.09"/>
    <n v="-194165.88"/>
    <n v="-50013.97"/>
    <n v="-112537"/>
    <n v="0"/>
    <n v="0"/>
    <n v="-25187.86"/>
    <n v="-1571454.6600000001"/>
    <n v="25187.86"/>
  </r>
  <r>
    <x v="19"/>
    <x v="3"/>
    <x v="0"/>
    <s v="4907101"/>
    <n v="400020"/>
    <s v="O/P Care Svcs Rev--BCBS Comm"/>
    <s v="Electrophysiology"/>
    <x v="0"/>
    <n v="1301"/>
    <n v="-524653.93999999994"/>
    <n v="-107251.83"/>
    <n v="-565852.81000000006"/>
    <n v="-450136.83"/>
    <n v="-171191.37"/>
    <n v="-494183.61"/>
    <n v="-167894.87"/>
    <n v="-153246.01999999999"/>
    <n v="-494503.05"/>
    <n v="13660.79"/>
    <n v="-223665.69"/>
    <n v="-256124.06"/>
    <n v="-3595043.29"/>
    <n v="32458.369999999995"/>
  </r>
  <r>
    <x v="19"/>
    <x v="3"/>
    <x v="0"/>
    <s v="4907101"/>
    <n v="400020"/>
    <s v="O/P Care Svcs Rev--Managed Care"/>
    <s v="Electrophysiology"/>
    <x v="0"/>
    <n v="1400"/>
    <n v="-853430.67"/>
    <n v="-1261545.31"/>
    <n v="-771898.81"/>
    <n v="-858623.03"/>
    <n v="-816266.15"/>
    <n v="-1488417.89"/>
    <n v="-1139287.05"/>
    <n v="-527251.44999999995"/>
    <n v="-1470551.88"/>
    <n v="-2633731.0299999998"/>
    <n v="-1470615.83"/>
    <n v="-1303124.02"/>
    <n v="-14594743.119999999"/>
    <n v="-167491.81000000006"/>
  </r>
  <r>
    <x v="19"/>
    <x v="3"/>
    <x v="0"/>
    <s v="4907101"/>
    <n v="400020"/>
    <s v="O/P Care Svcs Rev--Self Pay"/>
    <s v="Electrophysiology"/>
    <x v="0"/>
    <n v="1500"/>
    <n v="-49682.16"/>
    <n v="0"/>
    <n v="0"/>
    <n v="0"/>
    <n v="-58982.84"/>
    <n v="0"/>
    <n v="0"/>
    <n v="0"/>
    <n v="0"/>
    <n v="0"/>
    <n v="-100373.48"/>
    <n v="0"/>
    <n v="-209038.47999999998"/>
    <n v="-100373.48"/>
  </r>
  <r>
    <x v="19"/>
    <x v="3"/>
    <x v="0"/>
    <s v="4907101"/>
    <n v="400020"/>
    <s v="O/P Care Svcs Rev--Other"/>
    <s v="Electrophysiology"/>
    <x v="0"/>
    <n v="1700"/>
    <n v="-134267.35999999999"/>
    <n v="-98373.93"/>
    <n v="0"/>
    <n v="-204186.14"/>
    <n v="-16209.02"/>
    <n v="-134291.07"/>
    <n v="-247502.12"/>
    <n v="-53621.5"/>
    <n v="-239098.29"/>
    <n v="-394241.24"/>
    <n v="-90633"/>
    <n v="-472043.39"/>
    <n v="-2084467.06"/>
    <n v="381410.39"/>
  </r>
  <r>
    <x v="14"/>
    <x v="3"/>
    <x v="0"/>
    <s v="4907101"/>
    <n v="600050"/>
    <s v="Miscellaneous Revenue"/>
    <s v="Electrophysiology"/>
    <x v="0"/>
    <m/>
    <n v="0"/>
    <n v="-1236.74"/>
    <n v="0"/>
    <n v="-759.69"/>
    <n v="0"/>
    <n v="0"/>
    <n v="0"/>
    <n v="0"/>
    <n v="0"/>
    <n v="-904.75"/>
    <n v="0"/>
    <n v="0"/>
    <n v="-2901.1800000000003"/>
    <n v="0"/>
  </r>
  <r>
    <x v="5"/>
    <x v="3"/>
    <x v="0"/>
    <s v="4907101"/>
    <n v="700014"/>
    <s v="Salaries-Management-Productive"/>
    <s v="Electrophysiology"/>
    <x v="0"/>
    <m/>
    <n v="0"/>
    <n v="0"/>
    <n v="0"/>
    <n v="6258.52"/>
    <n v="6834.18"/>
    <n v="5032.0200000000004"/>
    <n v="2908.71"/>
    <n v="0"/>
    <n v="0"/>
    <n v="0"/>
    <n v="0"/>
    <n v="0"/>
    <n v="21033.43"/>
    <n v="0"/>
  </r>
  <r>
    <x v="5"/>
    <x v="3"/>
    <x v="0"/>
    <s v="4907101"/>
    <n v="700014"/>
    <s v="Salaries-Management-Other"/>
    <s v="Electrophysiology"/>
    <x v="0"/>
    <n v="2000"/>
    <n v="0"/>
    <n v="0"/>
    <n v="0"/>
    <n v="312.49"/>
    <n v="374.99"/>
    <n v="387.51"/>
    <n v="150.27000000000001"/>
    <n v="0"/>
    <n v="0"/>
    <n v="0"/>
    <n v="0"/>
    <n v="0"/>
    <n v="1225.26"/>
    <n v="0"/>
  </r>
  <r>
    <x v="5"/>
    <x v="3"/>
    <x v="0"/>
    <s v="4907101"/>
    <n v="700026"/>
    <s v="Salaries-RN-Productive"/>
    <s v="Electrophysiology"/>
    <x v="0"/>
    <m/>
    <n v="31989.78"/>
    <n v="31146.68"/>
    <n v="38159.730000000003"/>
    <n v="32530.3"/>
    <n v="33550.33"/>
    <n v="28225.69"/>
    <n v="36792.15"/>
    <n v="23527.35"/>
    <n v="34101.53"/>
    <n v="24546.67"/>
    <n v="32236.94"/>
    <n v="43234.99"/>
    <n v="390042.14"/>
    <n v="-10998.05"/>
  </r>
  <r>
    <x v="5"/>
    <x v="3"/>
    <x v="0"/>
    <s v="4907101"/>
    <n v="700026"/>
    <s v="Salaries-RN-OT"/>
    <s v="Electrophysiology"/>
    <x v="0"/>
    <n v="1000"/>
    <n v="3503.94"/>
    <n v="4838.17"/>
    <n v="4560.59"/>
    <n v="8350.7199999999993"/>
    <n v="4214.01"/>
    <n v="6565.12"/>
    <n v="5532.96"/>
    <n v="3714.91"/>
    <n v="5734.27"/>
    <n v="6361.62"/>
    <n v="8647.1"/>
    <n v="4011.21"/>
    <n v="66034.62000000001"/>
    <n v="4635.8900000000003"/>
  </r>
  <r>
    <x v="5"/>
    <x v="3"/>
    <x v="0"/>
    <s v="4907101"/>
    <n v="700026"/>
    <s v="Salaries-RN-Other"/>
    <s v="Electrophysiology"/>
    <x v="0"/>
    <n v="2000"/>
    <n v="565.62"/>
    <n v="404.1"/>
    <n v="1027.54"/>
    <n v="440.1"/>
    <n v="577.91999999999996"/>
    <n v="405.96"/>
    <n v="561.75"/>
    <n v="383.8"/>
    <n v="88.47"/>
    <n v="0"/>
    <n v="0"/>
    <n v="165.94"/>
    <n v="4621.2"/>
    <n v="-165.94"/>
  </r>
  <r>
    <x v="5"/>
    <x v="3"/>
    <x v="0"/>
    <s v="4907101"/>
    <n v="700034"/>
    <s v="Salaries-Tech/Professional-Productive"/>
    <s v="Electrophysiology"/>
    <x v="0"/>
    <m/>
    <n v="18916.78"/>
    <n v="23332.33"/>
    <n v="20307.169999999998"/>
    <n v="26021.87"/>
    <n v="29894.27"/>
    <n v="17912.72"/>
    <n v="25740.82"/>
    <n v="17646.79"/>
    <n v="26858.54"/>
    <n v="32552.04"/>
    <n v="16101.92"/>
    <n v="24881.66"/>
    <n v="280166.91000000003"/>
    <n v="-8779.74"/>
  </r>
  <r>
    <x v="5"/>
    <x v="3"/>
    <x v="0"/>
    <s v="4907101"/>
    <n v="700034"/>
    <s v="Salaries-Tech/Professional-OT"/>
    <s v="Electrophysiology"/>
    <x v="0"/>
    <n v="1000"/>
    <n v="1389.35"/>
    <n v="2239.64"/>
    <n v="2175.1"/>
    <n v="2456.77"/>
    <n v="3224.89"/>
    <n v="3621.25"/>
    <n v="2792.79"/>
    <n v="2481.41"/>
    <n v="3088.62"/>
    <n v="6249.24"/>
    <n v="4243.75"/>
    <n v="2597.91"/>
    <n v="36560.720000000001"/>
    <n v="1645.8400000000001"/>
  </r>
  <r>
    <x v="5"/>
    <x v="3"/>
    <x v="0"/>
    <s v="4907101"/>
    <n v="700034"/>
    <s v="Salaries-Tech/Professional-Other"/>
    <s v="Electrophysiology"/>
    <x v="0"/>
    <n v="2000"/>
    <n v="532.54"/>
    <n v="290.16000000000003"/>
    <n v="68.95"/>
    <n v="387.38"/>
    <n v="-148.81"/>
    <n v="67.3"/>
    <n v="-3.74"/>
    <n v="136.27000000000001"/>
    <n v="-34.86"/>
    <n v="0"/>
    <n v="0"/>
    <n v="-50.7"/>
    <n v="1244.4900000000002"/>
    <n v="50.7"/>
  </r>
  <r>
    <x v="5"/>
    <x v="3"/>
    <x v="0"/>
    <s v="4907101"/>
    <n v="700054"/>
    <s v="Salaries-Management-Non-productive"/>
    <s v="Electrophysiology"/>
    <x v="0"/>
    <m/>
    <n v="0"/>
    <n v="0"/>
    <n v="0"/>
    <n v="0"/>
    <n v="675.9"/>
    <n v="2728.66"/>
    <n v="100.75"/>
    <n v="0"/>
    <n v="0"/>
    <n v="0"/>
    <n v="0"/>
    <n v="0"/>
    <n v="3505.31"/>
    <n v="0"/>
  </r>
  <r>
    <x v="5"/>
    <x v="3"/>
    <x v="0"/>
    <s v="4907101"/>
    <n v="700054"/>
    <s v="Salaries-Management-NonProd-Other"/>
    <s v="Electrophysiology"/>
    <x v="0"/>
    <n v="2000"/>
    <n v="0"/>
    <n v="0"/>
    <n v="0"/>
    <n v="0"/>
    <n v="0"/>
    <n v="176.5"/>
    <n v="-176.5"/>
    <n v="0"/>
    <n v="0"/>
    <n v="0"/>
    <n v="0"/>
    <n v="0"/>
    <n v="0"/>
    <n v="0"/>
  </r>
  <r>
    <x v="5"/>
    <x v="3"/>
    <x v="0"/>
    <s v="4907101"/>
    <n v="700066"/>
    <s v="Salaries-RN-Non-productive"/>
    <s v="Electrophysiology"/>
    <x v="0"/>
    <m/>
    <n v="3803"/>
    <n v="3176.08"/>
    <n v="2078.31"/>
    <n v="2986.99"/>
    <n v="2356.5700000000002"/>
    <n v="7335.98"/>
    <n v="4976.2299999999996"/>
    <n v="10735.73"/>
    <n v="5691.5"/>
    <n v="5546.58"/>
    <n v="-741.26"/>
    <n v="4942.3100000000004"/>
    <n v="52888.02"/>
    <n v="-5683.5700000000006"/>
  </r>
  <r>
    <x v="5"/>
    <x v="3"/>
    <x v="0"/>
    <s v="4907101"/>
    <n v="700066"/>
    <s v="Salaries-RN-NonProd-Other"/>
    <s v="Electrophysiology"/>
    <x v="0"/>
    <n v="2000"/>
    <n v="137.88"/>
    <n v="139.19"/>
    <n v="515.13"/>
    <n v="0.73"/>
    <n v="44.41"/>
    <n v="478.74"/>
    <n v="125.58"/>
    <n v="178.18"/>
    <n v="71.08"/>
    <n v="241.71"/>
    <n v="376.07"/>
    <n v="-77.19"/>
    <n v="2231.5099999999998"/>
    <n v="453.26"/>
  </r>
  <r>
    <x v="5"/>
    <x v="3"/>
    <x v="0"/>
    <s v="4907101"/>
    <n v="700074"/>
    <s v="Salaries-Tech/Professional-Non-productive"/>
    <s v="Electrophysiology"/>
    <x v="0"/>
    <m/>
    <n v="6687.09"/>
    <n v="2737.56"/>
    <n v="5339.8"/>
    <n v="2562.71"/>
    <n v="-925.9"/>
    <n v="11344.99"/>
    <n v="3414.41"/>
    <n v="2490.09"/>
    <n v="501.23"/>
    <n v="512.77"/>
    <n v="7974.77"/>
    <n v="2733.73"/>
    <n v="45373.250000000007"/>
    <n v="5241.0400000000009"/>
  </r>
  <r>
    <x v="5"/>
    <x v="3"/>
    <x v="0"/>
    <s v="4907101"/>
    <n v="700074"/>
    <s v="Salaries-Tech/Professional-NonProd-Other"/>
    <s v="Electrophysiology"/>
    <x v="0"/>
    <n v="2000"/>
    <n v="64.239999999999995"/>
    <n v="-11.33"/>
    <n v="0"/>
    <n v="0"/>
    <n v="224.65"/>
    <n v="149.78"/>
    <n v="28.59"/>
    <n v="33.630000000000003"/>
    <n v="18.739999999999998"/>
    <n v="37.909999999999997"/>
    <n v="-8.68"/>
    <n v="0"/>
    <n v="537.53000000000009"/>
    <n v="-8.68"/>
  </r>
  <r>
    <x v="5"/>
    <x v="3"/>
    <x v="0"/>
    <s v="4907101"/>
    <n v="700084"/>
    <s v="Accrued PTO"/>
    <s v="Electrophysiology"/>
    <x v="0"/>
    <m/>
    <n v="-1432.53"/>
    <n v="1371.94"/>
    <n v="176.85"/>
    <n v="3442.67"/>
    <n v="5159.41"/>
    <n v="-8466.06"/>
    <n v="3114.1"/>
    <n v="-3612.21"/>
    <n v="5289.82"/>
    <n v="2851.55"/>
    <n v="1835.61"/>
    <n v="2608.9499999999998"/>
    <n v="12340.099999999999"/>
    <n v="-773.33999999999992"/>
  </r>
  <r>
    <x v="10"/>
    <x v="3"/>
    <x v="0"/>
    <s v="4907101"/>
    <n v="710060"/>
    <s v="Contract Labor-Other"/>
    <s v="Electrophysiology"/>
    <x v="0"/>
    <m/>
    <n v="0"/>
    <n v="0"/>
    <n v="0"/>
    <n v="0"/>
    <n v="0"/>
    <n v="0"/>
    <n v="0"/>
    <n v="0"/>
    <n v="0"/>
    <n v="25025"/>
    <n v="67165"/>
    <n v="49730"/>
    <n v="141920"/>
    <n v="17435"/>
  </r>
  <r>
    <x v="10"/>
    <x v="3"/>
    <x v="0"/>
    <s v="4907101"/>
    <n v="710060"/>
    <s v="Contract Labor-Overtime"/>
    <s v="Electrophysiology"/>
    <x v="0"/>
    <n v="5100"/>
    <n v="0"/>
    <n v="0"/>
    <n v="0"/>
    <n v="0"/>
    <n v="0"/>
    <n v="0"/>
    <n v="0"/>
    <n v="0"/>
    <n v="0"/>
    <n v="5150.25"/>
    <n v="12568.5"/>
    <n v="1086.75"/>
    <n v="18805.5"/>
    <n v="11481.75"/>
  </r>
  <r>
    <x v="6"/>
    <x v="3"/>
    <x v="0"/>
    <s v="4907101"/>
    <n v="713010"/>
    <s v="Benefits-FICA/Medicare"/>
    <s v="Electrophysiology"/>
    <x v="0"/>
    <m/>
    <n v="5048.88"/>
    <n v="5063.9399999999996"/>
    <n v="5533.34"/>
    <n v="5546.87"/>
    <n v="5075.8100000000004"/>
    <n v="5927.46"/>
    <n v="6082.14"/>
    <n v="4450.3100000000004"/>
    <n v="5566.39"/>
    <n v="5579.62"/>
    <n v="5051.21"/>
    <n v="6521.38"/>
    <n v="65447.35"/>
    <n v="-1470.17"/>
  </r>
  <r>
    <x v="6"/>
    <x v="3"/>
    <x v="0"/>
    <s v="4907101"/>
    <n v="713090"/>
    <s v="Benefits-Allocated Amounts"/>
    <s v="Electrophysiology"/>
    <x v="0"/>
    <m/>
    <n v="12043"/>
    <n v="11245.83"/>
    <n v="13415.12"/>
    <n v="14556.45"/>
    <n v="13909.18"/>
    <n v="13853.5"/>
    <n v="15249.04"/>
    <n v="12234.82"/>
    <n v="10988.13"/>
    <n v="13636.72"/>
    <n v="13030.16"/>
    <n v="16238.76"/>
    <n v="160400.71000000005"/>
    <n v="-3208.6000000000004"/>
  </r>
  <r>
    <x v="7"/>
    <x v="3"/>
    <x v="0"/>
    <s v="4907101"/>
    <n v="718091"/>
    <s v="Contract Services-Intracompany Allocation"/>
    <s v="Electrophysiology"/>
    <x v="0"/>
    <m/>
    <n v="28810.79"/>
    <n v="33849.4"/>
    <n v="25491.97"/>
    <n v="37528.76"/>
    <n v="29480.52"/>
    <n v="40700.99"/>
    <n v="39235.9"/>
    <n v="38914.17"/>
    <n v="40672.080000000002"/>
    <n v="16019.57"/>
    <n v="42386.3"/>
    <n v="34109.67"/>
    <n v="407200.12"/>
    <n v="8276.6300000000047"/>
  </r>
  <r>
    <x v="11"/>
    <x v="3"/>
    <x v="0"/>
    <s v="4907101"/>
    <n v="721010"/>
    <s v="Supplies-Medical - Billable"/>
    <s v="Electrophysiology"/>
    <x v="0"/>
    <m/>
    <n v="7403.18"/>
    <n v="13588.64"/>
    <n v="2993.64"/>
    <n v="5578.81"/>
    <n v="5361.96"/>
    <n v="8678.17"/>
    <n v="7872.23"/>
    <n v="3583.81"/>
    <n v="5433.5"/>
    <n v="11918.42"/>
    <n v="8693.44"/>
    <n v="7977.43"/>
    <n v="89083.23000000001"/>
    <n v="716.01000000000022"/>
  </r>
  <r>
    <x v="11"/>
    <x v="3"/>
    <x v="0"/>
    <s v="4907101"/>
    <n v="721020"/>
    <s v="Supplies-Surgical - Billable"/>
    <s v="Electrophysiology"/>
    <x v="0"/>
    <m/>
    <n v="26792.47"/>
    <n v="42998.64"/>
    <n v="10032.39"/>
    <n v="37738.03"/>
    <n v="13096.5"/>
    <n v="14463.62"/>
    <n v="19273.490000000002"/>
    <n v="218.51"/>
    <n v="23496.97"/>
    <n v="13127.7"/>
    <n v="15038.82"/>
    <n v="26182.99"/>
    <n v="242460.13"/>
    <n v="-11144.170000000002"/>
  </r>
  <r>
    <x v="11"/>
    <x v="3"/>
    <x v="0"/>
    <s v="4907101"/>
    <n v="721020"/>
    <s v="Suture/Wound Closure"/>
    <s v="Electrophysiology"/>
    <x v="0"/>
    <n v="1001"/>
    <n v="73.02"/>
    <n v="398.89"/>
    <n v="1644.6"/>
    <n v="1801.53"/>
    <n v="293.60000000000002"/>
    <n v="134.4"/>
    <n v="1191.51"/>
    <n v="741.78"/>
    <n v="2205.2399999999998"/>
    <n v="602.64"/>
    <n v="2009.87"/>
    <n v="361.2"/>
    <n v="11458.279999999999"/>
    <n v="1648.6699999999998"/>
  </r>
  <r>
    <x v="11"/>
    <x v="3"/>
    <x v="0"/>
    <s v="4907101"/>
    <n v="721020"/>
    <s v="Endomechanical Supplies &amp; Instruments"/>
    <s v="Electrophysiology"/>
    <x v="0"/>
    <n v="1003"/>
    <n v="70073.149999999994"/>
    <n v="68212.429999999993"/>
    <n v="68069.240000000005"/>
    <n v="136022.94"/>
    <n v="52132.25"/>
    <n v="85386.01"/>
    <n v="39360.730000000003"/>
    <n v="9730.4"/>
    <n v="60554.99"/>
    <n v="73191.78"/>
    <n v="59713.34"/>
    <n v="111098.13"/>
    <n v="833545.39"/>
    <n v="-51384.790000000008"/>
  </r>
  <r>
    <x v="11"/>
    <x v="3"/>
    <x v="0"/>
    <s v="4907101"/>
    <n v="721020"/>
    <s v="Heart/Lung Machine Supplies"/>
    <s v="Electrophysiology"/>
    <x v="0"/>
    <n v="1005"/>
    <n v="770.7"/>
    <n v="0"/>
    <n v="0"/>
    <n v="0"/>
    <n v="0"/>
    <n v="0"/>
    <n v="0"/>
    <n v="0"/>
    <n v="0"/>
    <n v="0"/>
    <n v="0"/>
    <n v="3085.6"/>
    <n v="3856.3"/>
    <n v="-3085.6"/>
  </r>
  <r>
    <x v="11"/>
    <x v="3"/>
    <x v="0"/>
    <s v="4907101"/>
    <n v="721020"/>
    <s v="Surgical Cardiovascular"/>
    <s v="Electrophysiology"/>
    <x v="0"/>
    <n v="1007"/>
    <n v="0"/>
    <n v="0"/>
    <n v="0"/>
    <n v="0"/>
    <n v="0"/>
    <n v="0"/>
    <n v="383.27"/>
    <n v="0"/>
    <n v="5029.4399999999996"/>
    <n v="8825.4"/>
    <n v="5069.2"/>
    <n v="9669.2000000000007"/>
    <n v="28976.51"/>
    <n v="-4600.0000000000009"/>
  </r>
  <r>
    <x v="11"/>
    <x v="3"/>
    <x v="0"/>
    <s v="4907101"/>
    <n v="721050"/>
    <s v="Supplies-Cardiac Rhythm - Billable"/>
    <s v="Electrophysiology"/>
    <x v="0"/>
    <m/>
    <n v="286822.84999999998"/>
    <n v="485651.04"/>
    <n v="398983.21"/>
    <n v="546231"/>
    <n v="535593.56000000006"/>
    <n v="506811.51"/>
    <n v="563611.75"/>
    <n v="332585.39"/>
    <n v="468130.81"/>
    <n v="375401.56"/>
    <n v="491060.6"/>
    <n v="616017.54"/>
    <n v="5606900.8199999994"/>
    <n v="-124956.94000000006"/>
  </r>
  <r>
    <x v="11"/>
    <x v="3"/>
    <x v="0"/>
    <s v="4907101"/>
    <n v="721050"/>
    <s v="Pacemakers - Internal"/>
    <s v="Electrophysiology"/>
    <x v="0"/>
    <n v="1000"/>
    <n v="293989.53000000003"/>
    <n v="192519.82"/>
    <n v="180731.31"/>
    <n v="298947.40000000002"/>
    <n v="181283.73"/>
    <n v="274720.65999999997"/>
    <n v="186071.85"/>
    <n v="140124.23000000001"/>
    <n v="222019.75"/>
    <n v="219613.5"/>
    <n v="240098.65"/>
    <n v="226503.44"/>
    <n v="2656623.87"/>
    <n v="13595.209999999992"/>
  </r>
  <r>
    <x v="11"/>
    <x v="3"/>
    <x v="0"/>
    <s v="4907101"/>
    <n v="721050"/>
    <s v="AICD"/>
    <s v="Electrophysiology"/>
    <x v="0"/>
    <n v="1001"/>
    <n v="232411"/>
    <n v="144878.84"/>
    <n v="129983"/>
    <n v="256244.93"/>
    <n v="110803"/>
    <n v="165480"/>
    <n v="57958"/>
    <n v="40544"/>
    <n v="81824"/>
    <n v="150153"/>
    <n v="231026"/>
    <n v="95666"/>
    <n v="1696971.77"/>
    <n v="135360"/>
  </r>
  <r>
    <x v="11"/>
    <x v="3"/>
    <x v="0"/>
    <s v="4907101"/>
    <n v="721050"/>
    <s v="Electrophysiology Products"/>
    <s v="Electrophysiology"/>
    <x v="0"/>
    <n v="1002"/>
    <n v="31706.2"/>
    <n v="71231.009999999995"/>
    <n v="67779.679999999993"/>
    <n v="35727.11"/>
    <n v="34497.85"/>
    <n v="66496.06"/>
    <n v="41861.94"/>
    <n v="22644.78"/>
    <n v="43607.73"/>
    <n v="70989.31"/>
    <n v="73863.320000000007"/>
    <n v="64907.92"/>
    <n v="625312.91"/>
    <n v="8955.4000000000087"/>
  </r>
  <r>
    <x v="11"/>
    <x v="3"/>
    <x v="0"/>
    <s v="4907101"/>
    <n v="721070"/>
    <s v="Supplies-Stents - Billable"/>
    <s v="Electrophysi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4907101"/>
    <n v="721070"/>
    <s v="Coronary Stents DES"/>
    <s v="Electrophysiology"/>
    <x v="0"/>
    <n v="1000"/>
    <n v="0"/>
    <n v="0"/>
    <n v="0"/>
    <n v="0"/>
    <n v="0"/>
    <n v="13084.88"/>
    <n v="0"/>
    <n v="0"/>
    <n v="0"/>
    <n v="0"/>
    <n v="0"/>
    <n v="0"/>
    <n v="13084.88"/>
    <n v="0"/>
  </r>
  <r>
    <x v="11"/>
    <x v="3"/>
    <x v="0"/>
    <s v="4907101"/>
    <n v="721070"/>
    <s v="Peripheral Stents"/>
    <s v="Electrophysiology"/>
    <x v="0"/>
    <n v="1001"/>
    <n v="0"/>
    <n v="0"/>
    <n v="0"/>
    <n v="0"/>
    <n v="0"/>
    <n v="2552.77"/>
    <n v="0"/>
    <n v="0"/>
    <n v="0"/>
    <n v="0"/>
    <n v="0"/>
    <n v="0"/>
    <n v="2552.77"/>
    <n v="0"/>
  </r>
  <r>
    <x v="11"/>
    <x v="3"/>
    <x v="0"/>
    <s v="4907101"/>
    <n v="721350"/>
    <s v="Radiology Imaging - Contrast Media"/>
    <s v="Electrophysiology"/>
    <x v="0"/>
    <n v="1000"/>
    <n v="120"/>
    <n v="0"/>
    <n v="0"/>
    <n v="0"/>
    <n v="0"/>
    <n v="0"/>
    <n v="0"/>
    <n v="0"/>
    <n v="60"/>
    <n v="120"/>
    <n v="0"/>
    <n v="0"/>
    <n v="300"/>
    <n v="0"/>
  </r>
  <r>
    <x v="11"/>
    <x v="3"/>
    <x v="0"/>
    <s v="4907101"/>
    <n v="721410"/>
    <s v="Supplies-Medical - Nonbillable"/>
    <s v="Electrophysiology"/>
    <x v="0"/>
    <m/>
    <n v="0"/>
    <n v="568.13"/>
    <n v="0"/>
    <n v="1332.16"/>
    <n v="0"/>
    <n v="852.17"/>
    <n v="652.41"/>
    <n v="447.37"/>
    <n v="516"/>
    <n v="52167.46"/>
    <n v="1745.25"/>
    <n v="284.31"/>
    <n v="58565.259999999995"/>
    <n v="1460.94"/>
  </r>
  <r>
    <x v="11"/>
    <x v="3"/>
    <x v="0"/>
    <s v="4907101"/>
    <n v="721640"/>
    <s v="Supplies-IV Solutions/Supplies - Nonbillable"/>
    <s v="Electrophysiology"/>
    <x v="0"/>
    <m/>
    <n v="756.78"/>
    <n v="105.7"/>
    <n v="-170.04"/>
    <n v="545.66"/>
    <n v="462.42"/>
    <n v="-66.260000000000005"/>
    <n v="335.82"/>
    <n v="327.39"/>
    <n v="442.06"/>
    <n v="529.39"/>
    <n v="712.63"/>
    <n v="361.72"/>
    <n v="4343.2699999999995"/>
    <n v="350.90999999999997"/>
  </r>
  <r>
    <x v="11"/>
    <x v="3"/>
    <x v="0"/>
    <s v="4907101"/>
    <n v="721750"/>
    <s v="Supplies-Film/Radiographic - Nonbillable"/>
    <s v="Electrophysiology"/>
    <x v="0"/>
    <m/>
    <n v="0"/>
    <n v="0"/>
    <n v="0"/>
    <n v="1019.97"/>
    <n v="0"/>
    <n v="0"/>
    <n v="211.39"/>
    <n v="0"/>
    <n v="-19.39"/>
    <n v="1019.97"/>
    <n v="0"/>
    <n v="423.17"/>
    <n v="2655.11"/>
    <n v="-423.17"/>
  </r>
  <r>
    <x v="11"/>
    <x v="3"/>
    <x v="0"/>
    <s v="4907101"/>
    <n v="721810"/>
    <s v="Supplies-Dietary/Cafeteria"/>
    <s v="Electrophysiology"/>
    <x v="0"/>
    <m/>
    <n v="0"/>
    <n v="0"/>
    <n v="0"/>
    <n v="27.46"/>
    <n v="0"/>
    <n v="54.16"/>
    <n v="0"/>
    <n v="0"/>
    <n v="0"/>
    <n v="0"/>
    <n v="0"/>
    <n v="0"/>
    <n v="81.62"/>
    <n v="0"/>
  </r>
  <r>
    <x v="11"/>
    <x v="3"/>
    <x v="0"/>
    <s v="4907101"/>
    <n v="721830"/>
    <s v="Supplies-Office"/>
    <s v="Electrophysiology"/>
    <x v="0"/>
    <m/>
    <n v="0"/>
    <n v="1650"/>
    <n v="0"/>
    <n v="0"/>
    <n v="0"/>
    <n v="0"/>
    <n v="0"/>
    <n v="0"/>
    <n v="396.36"/>
    <n v="0"/>
    <n v="360"/>
    <n v="-36.36"/>
    <n v="2370"/>
    <n v="396.36"/>
  </r>
  <r>
    <x v="11"/>
    <x v="3"/>
    <x v="0"/>
    <s v="4907101"/>
    <n v="721910"/>
    <s v="Supplies-Small Equipment"/>
    <s v="Electrophysiology"/>
    <x v="0"/>
    <m/>
    <n v="1591.66"/>
    <n v="0"/>
    <n v="0"/>
    <n v="165.15"/>
    <n v="330.3"/>
    <n v="0"/>
    <n v="0"/>
    <n v="560.35"/>
    <n v="0"/>
    <n v="-51.4"/>
    <n v="0"/>
    <n v="0"/>
    <n v="2596.06"/>
    <n v="0"/>
  </r>
  <r>
    <x v="11"/>
    <x v="3"/>
    <x v="0"/>
    <s v="4907101"/>
    <n v="721910"/>
    <s v="Instruments"/>
    <s v="Electrophysiology"/>
    <x v="0"/>
    <n v="1000"/>
    <n v="0"/>
    <n v="0"/>
    <n v="0"/>
    <n v="69.03"/>
    <n v="0"/>
    <n v="0"/>
    <n v="0"/>
    <n v="0"/>
    <n v="0"/>
    <n v="196.64"/>
    <n v="98.32"/>
    <n v="581.03"/>
    <n v="945.02"/>
    <n v="-482.71"/>
  </r>
  <r>
    <x v="11"/>
    <x v="3"/>
    <x v="0"/>
    <s v="4907101"/>
    <n v="721980"/>
    <s v="Supplies-Other"/>
    <s v="Electrophysiology"/>
    <x v="0"/>
    <m/>
    <n v="0"/>
    <n v="0"/>
    <n v="1080.6300000000001"/>
    <n v="1037.67"/>
    <n v="856.03"/>
    <n v="0"/>
    <n v="0"/>
    <n v="0"/>
    <n v="0"/>
    <n v="0"/>
    <n v="0"/>
    <n v="860"/>
    <n v="3834.33"/>
    <n v="-860"/>
  </r>
  <r>
    <x v="11"/>
    <x v="3"/>
    <x v="0"/>
    <s v="4907101"/>
    <n v="722000"/>
    <s v="Supplies-Freight Expense"/>
    <s v="Electrophysiology"/>
    <x v="0"/>
    <m/>
    <n v="222.08"/>
    <n v="1106.0999999999999"/>
    <n v="742.65"/>
    <n v="277.2"/>
    <n v="321.89"/>
    <n v="496.97"/>
    <n v="864.93"/>
    <n v="313.61"/>
    <n v="577.13"/>
    <n v="400.98"/>
    <n v="1833.81"/>
    <n v="139.16999999999999"/>
    <n v="7296.5199999999986"/>
    <n v="1694.6399999999999"/>
  </r>
  <r>
    <x v="12"/>
    <x v="3"/>
    <x v="0"/>
    <s v="4907101"/>
    <n v="730020"/>
    <s v="Rental and Leases-Equipment (DO NOT USE)"/>
    <s v="Electrophysiology"/>
    <x v="0"/>
    <m/>
    <n v="677.12"/>
    <n v="0"/>
    <n v="-10.1"/>
    <n v="0"/>
    <n v="0"/>
    <n v="0"/>
    <n v="0"/>
    <n v="0"/>
    <n v="0"/>
    <n v="0"/>
    <n v="0"/>
    <n v="0"/>
    <n v="667.02"/>
    <n v="0"/>
  </r>
  <r>
    <x v="13"/>
    <x v="3"/>
    <x v="0"/>
    <s v="4907101"/>
    <n v="735040"/>
    <s v="Depreciation-Building Improvements"/>
    <s v="Electrophysiology"/>
    <x v="0"/>
    <m/>
    <n v="2022.8"/>
    <n v="2022.8"/>
    <n v="2022.8"/>
    <n v="5684.3"/>
    <n v="5684.31"/>
    <n v="5684.3"/>
    <n v="5684.31"/>
    <n v="6561.8"/>
    <n v="6561.8"/>
    <n v="6743.16"/>
    <n v="14900.67"/>
    <n v="-4827"/>
    <n v="58746.05"/>
    <n v="19727.669999999998"/>
  </r>
  <r>
    <x v="13"/>
    <x v="3"/>
    <x v="0"/>
    <s v="4907101"/>
    <n v="735060"/>
    <s v="Depreciation-Fixed Equipment"/>
    <s v="Electrophysiology"/>
    <x v="0"/>
    <m/>
    <n v="0"/>
    <n v="0"/>
    <n v="0"/>
    <n v="0"/>
    <n v="0"/>
    <n v="0"/>
    <n v="0"/>
    <n v="0"/>
    <n v="0"/>
    <n v="948"/>
    <n v="596.91"/>
    <n v="151.27000000000001"/>
    <n v="1696.1799999999998"/>
    <n v="445.64"/>
  </r>
  <r>
    <x v="13"/>
    <x v="3"/>
    <x v="0"/>
    <s v="4907101"/>
    <n v="735070"/>
    <s v="Depreciation-Movable Equipment"/>
    <s v="Electrophysiology"/>
    <x v="0"/>
    <m/>
    <n v="11276.53"/>
    <n v="11276.53"/>
    <n v="11276.53"/>
    <n v="29278.83"/>
    <n v="29278.83"/>
    <n v="29278.83"/>
    <n v="29278.83"/>
    <n v="-50879.040000000001"/>
    <n v="12508.24"/>
    <n v="12508.23"/>
    <n v="126202.13"/>
    <n v="38896.86"/>
    <n v="290181.33"/>
    <n v="87305.27"/>
  </r>
  <r>
    <x v="0"/>
    <x v="3"/>
    <x v="0"/>
    <s v="4907101"/>
    <n v="740020"/>
    <s v="Education-Registration Fees"/>
    <s v="Electrophysiology"/>
    <x v="0"/>
    <m/>
    <n v="0"/>
    <n v="0"/>
    <n v="0"/>
    <n v="45"/>
    <n v="0"/>
    <n v="0"/>
    <n v="210"/>
    <n v="0"/>
    <n v="0"/>
    <n v="0"/>
    <n v="0"/>
    <n v="0"/>
    <n v="255"/>
    <n v="0"/>
  </r>
  <r>
    <x v="0"/>
    <x v="3"/>
    <x v="0"/>
    <s v="4907101"/>
    <n v="749510"/>
    <s v="Miscellaneous Expenses"/>
    <s v="Electrophysiology"/>
    <x v="0"/>
    <m/>
    <n v="0"/>
    <n v="2688.64"/>
    <n v="0"/>
    <n v="0"/>
    <n v="0"/>
    <n v="0"/>
    <n v="520.42999999999995"/>
    <n v="0"/>
    <n v="0"/>
    <n v="0"/>
    <n v="0"/>
    <n v="49.05"/>
    <n v="3258.12"/>
    <n v="-49.05"/>
  </r>
  <r>
    <x v="0"/>
    <x v="3"/>
    <x v="0"/>
    <s v="4907101"/>
    <n v="749510"/>
    <s v="RICE Rewards"/>
    <s v="Electrophysiology"/>
    <x v="0"/>
    <n v="5100"/>
    <n v="0"/>
    <n v="0"/>
    <n v="0"/>
    <n v="0"/>
    <n v="0"/>
    <n v="0"/>
    <n v="0"/>
    <n v="0"/>
    <n v="0"/>
    <n v="0"/>
    <n v="0"/>
    <n v="59.39"/>
    <n v="59.39"/>
    <n v="-59.39"/>
  </r>
  <r>
    <x v="18"/>
    <x v="3"/>
    <x v="0"/>
    <s v="4915101"/>
    <n v="400010"/>
    <s v="Acute I/P Svcs Rev--Medicare"/>
    <s v="Echo Cardiology"/>
    <x v="0"/>
    <n v="1100"/>
    <n v="-704648.25"/>
    <n v="-906934.68"/>
    <n v="-873776.64000000001"/>
    <n v="-952356.11"/>
    <n v="-890280.85"/>
    <n v="-788887.96"/>
    <n v="-905977.37"/>
    <n v="-893470.03"/>
    <n v="-1077183.76"/>
    <n v="-997141.97"/>
    <n v="-920930.79"/>
    <n v="-980767.71"/>
    <n v="-10892356.120000001"/>
    <n v="59836.919999999925"/>
  </r>
  <r>
    <x v="18"/>
    <x v="3"/>
    <x v="0"/>
    <s v="4915101"/>
    <n v="400010"/>
    <s v="Acute I/P Svcs Rev--Medicaid"/>
    <s v="Echo Cardiology"/>
    <x v="0"/>
    <n v="1200"/>
    <n v="-184492.75"/>
    <n v="-228088.98"/>
    <n v="-225173.21"/>
    <n v="-232969.23"/>
    <n v="-223888.99"/>
    <n v="-254123.63"/>
    <n v="-253948.4"/>
    <n v="-195961.38"/>
    <n v="-271254.78999999998"/>
    <n v="-219516.21"/>
    <n v="-280683.74"/>
    <n v="-271838.75"/>
    <n v="-2841940.0599999996"/>
    <n v="-8844.9899999999907"/>
  </r>
  <r>
    <x v="18"/>
    <x v="3"/>
    <x v="0"/>
    <s v="4915101"/>
    <n v="400010"/>
    <s v="Acute I/P Svcs Rev--Comm Insurance"/>
    <s v="Echo Cardiology"/>
    <x v="0"/>
    <n v="1300"/>
    <n v="-20807.89"/>
    <n v="-987.03"/>
    <n v="-16021.46"/>
    <n v="-19028.87"/>
    <n v="-9716.36"/>
    <n v="-11367.87"/>
    <n v="-23340.65"/>
    <n v="-32343.34"/>
    <n v="-21256.55"/>
    <n v="-18599.54"/>
    <n v="-18599.54"/>
    <n v="-1935.64"/>
    <n v="-194004.74000000002"/>
    <n v="-16663.900000000001"/>
  </r>
  <r>
    <x v="18"/>
    <x v="3"/>
    <x v="0"/>
    <s v="4915101"/>
    <n v="400010"/>
    <s v="Acute I/P Svcs Rev--BCBS Comm"/>
    <s v="Echo Cardiology"/>
    <x v="0"/>
    <n v="1301"/>
    <n v="-53520.85"/>
    <n v="-48617.09"/>
    <n v="-36804.07"/>
    <n v="-44211.1"/>
    <n v="-35999.589999999997"/>
    <n v="-49514.37"/>
    <n v="-43068.98"/>
    <n v="-38965.26"/>
    <n v="-32692.19"/>
    <n v="-60537.47"/>
    <n v="-44307.16"/>
    <n v="-86498.22"/>
    <n v="-574736.35"/>
    <n v="42191.06"/>
  </r>
  <r>
    <x v="18"/>
    <x v="3"/>
    <x v="0"/>
    <s v="4915101"/>
    <n v="400010"/>
    <s v="Acute I/P Svcs Rev--Managed Care"/>
    <s v="Echo Cardiology"/>
    <x v="0"/>
    <n v="1400"/>
    <n v="-148572.48000000001"/>
    <n v="-220609.21"/>
    <n v="-254905.66"/>
    <n v="-248476.34"/>
    <n v="-212906.45"/>
    <n v="-198565.3"/>
    <n v="-238443.43"/>
    <n v="-217158.43"/>
    <n v="-204077.28"/>
    <n v="-216037.08"/>
    <n v="-274300.78000000003"/>
    <n v="-214782.07999999999"/>
    <n v="-2648834.5199999996"/>
    <n v="-59518.700000000041"/>
  </r>
  <r>
    <x v="18"/>
    <x v="3"/>
    <x v="0"/>
    <s v="4915101"/>
    <n v="400010"/>
    <s v="Acute I/P Svcs Rev--Self Pay"/>
    <s v="Echo Cardiology"/>
    <x v="0"/>
    <n v="1500"/>
    <n v="-42494.35"/>
    <n v="-7602.93"/>
    <n v="-16325.63"/>
    <n v="-24742.77"/>
    <n v="-35854.04"/>
    <n v="-2336.94"/>
    <n v="-18849.830000000002"/>
    <n v="-4130.33"/>
    <n v="-11595.23"/>
    <n v="-22673.48"/>
    <n v="-3284.11"/>
    <n v="-13162.4"/>
    <n v="-203052.03999999998"/>
    <n v="9878.2899999999991"/>
  </r>
  <r>
    <x v="18"/>
    <x v="3"/>
    <x v="0"/>
    <s v="4915101"/>
    <n v="400010"/>
    <s v="Acute I/P Svcs Rev--Other"/>
    <s v="Echo Cardiology"/>
    <x v="0"/>
    <n v="1700"/>
    <n v="-44076.4"/>
    <n v="-58215.6"/>
    <n v="-75668.03"/>
    <n v="-42469.279999999999"/>
    <n v="-28092.26"/>
    <n v="-55285.22"/>
    <n v="-53530.71"/>
    <n v="-43541.08"/>
    <n v="-60330.14"/>
    <n v="-30865.72"/>
    <n v="-91080.66"/>
    <n v="-45678.13"/>
    <n v="-628833.2300000001"/>
    <n v="-45402.530000000006"/>
  </r>
  <r>
    <x v="19"/>
    <x v="3"/>
    <x v="0"/>
    <s v="4915101"/>
    <n v="400020"/>
    <s v="O/P Care Svcs Rev--Medicare"/>
    <s v="Echo Cardiology"/>
    <x v="0"/>
    <n v="1100"/>
    <n v="-699192.34"/>
    <n v="-572549.63"/>
    <n v="-590214.98"/>
    <n v="-664244.72"/>
    <n v="-673678.87"/>
    <n v="-664795.43000000005"/>
    <n v="-764955.51"/>
    <n v="-582281.02"/>
    <n v="-803166.27"/>
    <n v="-665073.01"/>
    <n v="-824394.95"/>
    <n v="-635125.15"/>
    <n v="-8139671.8799999999"/>
    <n v="-189269.79999999993"/>
  </r>
  <r>
    <x v="19"/>
    <x v="3"/>
    <x v="0"/>
    <s v="4915101"/>
    <n v="400020"/>
    <s v="O/P Care Svcs Rev--Medicaid"/>
    <s v="Echo Cardiology"/>
    <x v="0"/>
    <n v="1200"/>
    <n v="-151908.89000000001"/>
    <n v="-169961.91"/>
    <n v="-159983.31"/>
    <n v="-145996.84"/>
    <n v="-159755.74"/>
    <n v="-129754.31"/>
    <n v="-185521.53"/>
    <n v="-141874.38"/>
    <n v="-175769.67"/>
    <n v="-220545.89"/>
    <n v="-204811.13"/>
    <n v="-126642.54"/>
    <n v="-1972526.1400000001"/>
    <n v="-78168.590000000011"/>
  </r>
  <r>
    <x v="19"/>
    <x v="3"/>
    <x v="0"/>
    <s v="4915101"/>
    <n v="400020"/>
    <s v="O/P Care Svcs Rev--Comm Insurance"/>
    <s v="Echo Cardiology"/>
    <x v="0"/>
    <n v="1300"/>
    <n v="-41376.949999999997"/>
    <n v="-22199.38"/>
    <n v="-37892.9"/>
    <n v="-52459.11"/>
    <n v="-30480.3"/>
    <n v="-37095.32"/>
    <n v="-29211.38"/>
    <n v="-23089.85"/>
    <n v="-41537.82"/>
    <n v="-41826.19"/>
    <n v="-35664.910000000003"/>
    <n v="-50804.56"/>
    <n v="-443638.67"/>
    <n v="15139.649999999994"/>
  </r>
  <r>
    <x v="19"/>
    <x v="3"/>
    <x v="0"/>
    <s v="4915101"/>
    <n v="400020"/>
    <s v="O/P Care Svcs Rev--BCBS Comm"/>
    <s v="Echo Cardiology"/>
    <x v="0"/>
    <n v="1301"/>
    <n v="-50843.18"/>
    <n v="-50589.93"/>
    <n v="-43932.639999999999"/>
    <n v="-75832.210000000006"/>
    <n v="-63373.45"/>
    <n v="-53298.46"/>
    <n v="-73164.98"/>
    <n v="-77786.039999999994"/>
    <n v="-76332.55"/>
    <n v="-114045.05"/>
    <n v="-92283.02"/>
    <n v="-65525.47"/>
    <n v="-837006.9800000001"/>
    <n v="-26757.550000000003"/>
  </r>
  <r>
    <x v="19"/>
    <x v="3"/>
    <x v="0"/>
    <s v="4915101"/>
    <n v="400020"/>
    <s v="O/P Care Svcs Rev--Managed Care"/>
    <s v="Echo Cardiology"/>
    <x v="0"/>
    <n v="1400"/>
    <n v="-173254.96"/>
    <n v="-219148.41"/>
    <n v="-213766.84"/>
    <n v="-218195.28"/>
    <n v="-209875.9"/>
    <n v="-220327.36"/>
    <n v="-293927.46999999997"/>
    <n v="-207668.35"/>
    <n v="-232763.56"/>
    <n v="-256889.1"/>
    <n v="-225441.95"/>
    <n v="-247783.03"/>
    <n v="-2719042.21"/>
    <n v="22341.079999999987"/>
  </r>
  <r>
    <x v="19"/>
    <x v="3"/>
    <x v="0"/>
    <s v="4915101"/>
    <n v="400020"/>
    <s v="O/P Care Svcs Rev--Self Pay"/>
    <s v="Echo Cardiology"/>
    <x v="0"/>
    <n v="1500"/>
    <n v="-35597.17"/>
    <n v="-30427.52"/>
    <n v="-15693.47"/>
    <n v="-21847.09"/>
    <n v="-7578.58"/>
    <n v="-31797.35"/>
    <n v="-22735.74"/>
    <n v="-11708.91"/>
    <n v="-9760.44"/>
    <n v="-12477.79"/>
    <n v="-19514.849999999999"/>
    <n v="-24871.31"/>
    <n v="-244010.22"/>
    <n v="5356.4600000000028"/>
  </r>
  <r>
    <x v="19"/>
    <x v="3"/>
    <x v="0"/>
    <s v="4915101"/>
    <n v="400020"/>
    <s v="O/P Care Svcs Rev--Other"/>
    <s v="Echo Cardiology"/>
    <x v="0"/>
    <n v="1700"/>
    <n v="-49709.27"/>
    <n v="-67072.73"/>
    <n v="-59559.55"/>
    <n v="-83393.94"/>
    <n v="-66754.87"/>
    <n v="-66641.03"/>
    <n v="-52083.05"/>
    <n v="-99241.06"/>
    <n v="-72628.160000000003"/>
    <n v="-36083.1"/>
    <n v="-49327.82"/>
    <n v="-36213.01"/>
    <n v="-738707.59"/>
    <n v="-13114.809999999998"/>
  </r>
  <r>
    <x v="5"/>
    <x v="3"/>
    <x v="0"/>
    <s v="4915101"/>
    <n v="700034"/>
    <s v="Salaries-Tech/Professional-Productive"/>
    <s v="Echo Cardiology"/>
    <x v="0"/>
    <m/>
    <n v="41764.019999999997"/>
    <n v="40847.35"/>
    <n v="50372.85"/>
    <n v="51428.18"/>
    <n v="48924.160000000003"/>
    <n v="47568.68"/>
    <n v="53546.81"/>
    <n v="42855.26"/>
    <n v="58188.69"/>
    <n v="50236.85"/>
    <n v="54977.17"/>
    <n v="55800.49"/>
    <n v="596510.51"/>
    <n v="-823.31999999999971"/>
  </r>
  <r>
    <x v="5"/>
    <x v="3"/>
    <x v="0"/>
    <s v="4915101"/>
    <n v="700034"/>
    <s v="Salaries-Tech/Professional-OT"/>
    <s v="Echo Cardiology"/>
    <x v="0"/>
    <n v="1000"/>
    <n v="4188.42"/>
    <n v="2850.96"/>
    <n v="2900.55"/>
    <n v="4595.6899999999996"/>
    <n v="1601.64"/>
    <n v="3593.01"/>
    <n v="960.75"/>
    <n v="3450.62"/>
    <n v="479.76"/>
    <n v="1403.16"/>
    <n v="4685.83"/>
    <n v="-2114.77"/>
    <n v="28595.619999999992"/>
    <n v="6800.6"/>
  </r>
  <r>
    <x v="5"/>
    <x v="3"/>
    <x v="0"/>
    <s v="4915101"/>
    <n v="700034"/>
    <s v="Salaries-Tech/Professional-Other"/>
    <s v="Echo Cardiology"/>
    <x v="0"/>
    <n v="2000"/>
    <n v="2112.58"/>
    <n v="1990.57"/>
    <n v="2242.15"/>
    <n v="2825.53"/>
    <n v="2350.23"/>
    <n v="3190.13"/>
    <n v="2758.75"/>
    <n v="1946.4"/>
    <n v="2575.25"/>
    <n v="2224.09"/>
    <n v="2086.36"/>
    <n v="2117.1999999999998"/>
    <n v="28419.24"/>
    <n v="-30.839999999999691"/>
  </r>
  <r>
    <x v="5"/>
    <x v="3"/>
    <x v="0"/>
    <s v="4915101"/>
    <n v="700074"/>
    <s v="Salaries-Tech/Professional-Non-productive"/>
    <s v="Echo Cardiology"/>
    <x v="0"/>
    <m/>
    <n v="11663.69"/>
    <n v="13648.94"/>
    <n v="4267.3900000000003"/>
    <n v="7943.14"/>
    <n v="6861.06"/>
    <n v="13214.1"/>
    <n v="4756.24"/>
    <n v="8800"/>
    <n v="1943.82"/>
    <n v="7228.9"/>
    <n v="4948.62"/>
    <n v="7222.14"/>
    <n v="92498.04"/>
    <n v="-2273.5200000000004"/>
  </r>
  <r>
    <x v="5"/>
    <x v="3"/>
    <x v="0"/>
    <s v="4915101"/>
    <n v="700074"/>
    <s v="Salaries-Tech/Professional-NonProd-Other"/>
    <s v="Echo Cardiology"/>
    <x v="0"/>
    <n v="2000"/>
    <n v="1405.86"/>
    <n v="707.62"/>
    <n v="1283.4100000000001"/>
    <n v="1140.24"/>
    <n v="1909.73"/>
    <n v="2210.09"/>
    <n v="1396.45"/>
    <n v="-954.4"/>
    <n v="1850.12"/>
    <n v="934.6"/>
    <n v="822.95"/>
    <n v="1429.51"/>
    <n v="14136.180000000004"/>
    <n v="-606.55999999999995"/>
  </r>
  <r>
    <x v="5"/>
    <x v="3"/>
    <x v="0"/>
    <s v="4915101"/>
    <n v="700084"/>
    <s v="Accrued PTO"/>
    <s v="Echo Cardiology"/>
    <x v="0"/>
    <m/>
    <n v="-3949.76"/>
    <n v="-5025.42"/>
    <n v="2524.96"/>
    <n v="1840.69"/>
    <n v="177.93"/>
    <n v="-2978.91"/>
    <n v="2249.29"/>
    <n v="-400.65"/>
    <n v="3978.71"/>
    <n v="3440.4"/>
    <n v="2858.63"/>
    <n v="2092.88"/>
    <n v="6808.7500000000009"/>
    <n v="765.75"/>
  </r>
  <r>
    <x v="6"/>
    <x v="3"/>
    <x v="0"/>
    <s v="4915101"/>
    <n v="713010"/>
    <s v="Benefits-FICA/Medicare"/>
    <s v="Echo Cardiology"/>
    <x v="0"/>
    <m/>
    <n v="4595.9799999999996"/>
    <n v="4512.76"/>
    <n v="4593.32"/>
    <n v="5116.03"/>
    <n v="4697.99"/>
    <n v="5222.07"/>
    <n v="4751.3900000000003"/>
    <n v="4295.1000000000004"/>
    <n v="4875.5200000000004"/>
    <n v="4649.22"/>
    <n v="5065.3900000000003"/>
    <n v="4833.6099999999997"/>
    <n v="57208.380000000005"/>
    <n v="231.78000000000065"/>
  </r>
  <r>
    <x v="6"/>
    <x v="3"/>
    <x v="0"/>
    <s v="4915101"/>
    <n v="713090"/>
    <s v="Benefits-Allocated Amounts"/>
    <s v="Echo Cardiology"/>
    <x v="0"/>
    <m/>
    <n v="10766.27"/>
    <n v="9844.66"/>
    <n v="11075.23"/>
    <n v="11952.01"/>
    <n v="11025.45"/>
    <n v="12018.15"/>
    <n v="11835.95"/>
    <n v="11344.26"/>
    <n v="9772.69"/>
    <n v="11518.61"/>
    <n v="12730.68"/>
    <n v="11967.12"/>
    <n v="135851.07999999999"/>
    <n v="763.55999999999949"/>
  </r>
  <r>
    <x v="7"/>
    <x v="3"/>
    <x v="0"/>
    <s v="4915101"/>
    <n v="718050"/>
    <s v="Contract Svcs-Other"/>
    <s v="Echo Cardiology"/>
    <x v="0"/>
    <m/>
    <n v="0"/>
    <n v="22.68"/>
    <n v="22.68"/>
    <n v="45.36"/>
    <n v="0"/>
    <n v="22.68"/>
    <n v="22.68"/>
    <n v="22.68"/>
    <n v="22.68"/>
    <n v="22.68"/>
    <n v="0"/>
    <n v="45.4"/>
    <n v="249.52000000000004"/>
    <n v="-45.4"/>
  </r>
  <r>
    <x v="7"/>
    <x v="3"/>
    <x v="0"/>
    <s v="4915101"/>
    <n v="718050"/>
    <s v="Translation Services"/>
    <s v="Echo Cardiology"/>
    <x v="0"/>
    <n v="1025"/>
    <n v="224"/>
    <n v="0"/>
    <n v="472"/>
    <n v="410.5"/>
    <n v="709.65"/>
    <n v="821"/>
    <n v="147"/>
    <n v="240"/>
    <n v="490.5"/>
    <n v="0"/>
    <n v="0"/>
    <n v="80"/>
    <n v="3594.65"/>
    <n v="-80"/>
  </r>
  <r>
    <x v="7"/>
    <x v="3"/>
    <x v="0"/>
    <s v="4915101"/>
    <n v="718050"/>
    <s v="Contract Management--Linen"/>
    <s v="Echo Cardiology"/>
    <x v="0"/>
    <n v="1026"/>
    <n v="417.66"/>
    <n v="335.07"/>
    <n v="336.04"/>
    <n v="478.52"/>
    <n v="402.15"/>
    <n v="389.38"/>
    <n v="410.7"/>
    <n v="533.38"/>
    <n v="414.1"/>
    <n v="434.03"/>
    <n v="356.81"/>
    <n v="294.51"/>
    <n v="4802.3500000000004"/>
    <n v="62.300000000000011"/>
  </r>
  <r>
    <x v="7"/>
    <x v="3"/>
    <x v="0"/>
    <s v="4915101"/>
    <n v="718070"/>
    <s v="Contract Srvcs-CHI Clinical Engineering"/>
    <s v="Echo Cardiology"/>
    <x v="0"/>
    <m/>
    <n v="688.29"/>
    <n v="688.29"/>
    <n v="688.29"/>
    <n v="688.29"/>
    <n v="688.29"/>
    <n v="680.53"/>
    <n v="688.29"/>
    <n v="688.29"/>
    <n v="688.29"/>
    <n v="723.92"/>
    <n v="688.92"/>
    <n v="688.92"/>
    <n v="8288.6099999999988"/>
    <n v="0"/>
  </r>
  <r>
    <x v="7"/>
    <x v="3"/>
    <x v="0"/>
    <s v="4915101"/>
    <n v="718077"/>
    <s v="PACS"/>
    <s v="Echo Cardiology"/>
    <x v="0"/>
    <n v="1000"/>
    <n v="7282.44"/>
    <n v="7659.63"/>
    <n v="6972.08"/>
    <n v="7953.66"/>
    <n v="7267.59"/>
    <n v="7031.48"/>
    <n v="8032.37"/>
    <n v="6700.32"/>
    <n v="8063.55"/>
    <n v="7964.06"/>
    <n v="8231.36"/>
    <n v="7482.92"/>
    <n v="90641.46"/>
    <n v="748.44000000000051"/>
  </r>
  <r>
    <x v="7"/>
    <x v="3"/>
    <x v="0"/>
    <s v="4915101"/>
    <n v="718091"/>
    <s v="Contract Services-Intracompany Allocation"/>
    <s v="Echo Cardiology"/>
    <x v="0"/>
    <m/>
    <n v="3626.53"/>
    <n v="4260.7700000000004"/>
    <n v="3208.78"/>
    <n v="4723.8999999999996"/>
    <n v="3710.83"/>
    <n v="5123.2"/>
    <n v="4938.79"/>
    <n v="4898.28"/>
    <n v="5119.57"/>
    <n v="2016.45"/>
    <n v="5335.33"/>
    <n v="4293.53"/>
    <n v="51255.96"/>
    <n v="1041.8000000000002"/>
  </r>
  <r>
    <x v="11"/>
    <x v="3"/>
    <x v="0"/>
    <s v="4915101"/>
    <n v="721010"/>
    <s v="Patient Monitoring"/>
    <s v="Echo Cardiology"/>
    <x v="0"/>
    <n v="1000"/>
    <n v="60.42"/>
    <n v="76.319999999999993"/>
    <n v="54.57"/>
    <n v="79.5"/>
    <n v="69.959999999999994"/>
    <n v="69.959999999999994"/>
    <n v="85.86"/>
    <n v="92.22"/>
    <n v="63.6"/>
    <n v="76.319999999999993"/>
    <n v="57.24"/>
    <n v="69.959999999999994"/>
    <n v="855.93000000000006"/>
    <n v="-12.719999999999992"/>
  </r>
  <r>
    <x v="11"/>
    <x v="3"/>
    <x v="0"/>
    <s v="4915101"/>
    <n v="721250"/>
    <s v="Supplies-Pharmacy Drugs - Billable"/>
    <s v="Echo Cardiology"/>
    <x v="0"/>
    <m/>
    <n v="6297.6"/>
    <n v="10359.43"/>
    <n v="14507.25"/>
    <n v="6619.2"/>
    <n v="6619.2"/>
    <n v="0"/>
    <n v="6297.6"/>
    <n v="321.60000000000002"/>
    <n v="331.25"/>
    <n v="13257.7"/>
    <n v="0"/>
    <n v="6628.85"/>
    <n v="71239.679999999993"/>
    <n v="-6628.85"/>
  </r>
  <r>
    <x v="11"/>
    <x v="3"/>
    <x v="0"/>
    <s v="4915101"/>
    <n v="721410"/>
    <s v="Supplies-Medical - Nonbillable"/>
    <s v="Echo Cardiology"/>
    <x v="0"/>
    <m/>
    <n v="101.41"/>
    <n v="53.84"/>
    <n v="68.56"/>
    <n v="83.14"/>
    <n v="55.34"/>
    <n v="83.74"/>
    <n v="56.76"/>
    <n v="72.53"/>
    <n v="80.95"/>
    <n v="41.71"/>
    <n v="80.64"/>
    <n v="50.84"/>
    <n v="829.46"/>
    <n v="29.799999999999997"/>
  </r>
  <r>
    <x v="11"/>
    <x v="3"/>
    <x v="0"/>
    <s v="4915101"/>
    <n v="721420"/>
    <s v="Supplies-Surgical Nonbillable"/>
    <s v="Echo Cardiology"/>
    <x v="0"/>
    <m/>
    <n v="0"/>
    <n v="0"/>
    <n v="0"/>
    <n v="0"/>
    <n v="0"/>
    <n v="17.64"/>
    <n v="0"/>
    <n v="0"/>
    <n v="0"/>
    <n v="0"/>
    <n v="0"/>
    <n v="0"/>
    <n v="17.64"/>
    <n v="0"/>
  </r>
  <r>
    <x v="11"/>
    <x v="3"/>
    <x v="0"/>
    <s v="4915101"/>
    <n v="721420"/>
    <s v="Tubes Drains &amp; Related Supplies"/>
    <s v="Echo Cardiology"/>
    <x v="0"/>
    <n v="1008"/>
    <n v="5.28"/>
    <n v="6.6"/>
    <n v="6.6"/>
    <n v="6.6"/>
    <n v="0"/>
    <n v="3.08"/>
    <n v="3.3"/>
    <n v="1.32"/>
    <n v="5.28"/>
    <n v="5.28"/>
    <n v="0"/>
    <n v="5.28"/>
    <n v="48.62"/>
    <n v="-5.28"/>
  </r>
  <r>
    <x v="11"/>
    <x v="3"/>
    <x v="0"/>
    <s v="4915101"/>
    <n v="721420"/>
    <s v="Sterilization Process Products"/>
    <s v="Echo Cardiology"/>
    <x v="0"/>
    <n v="1009"/>
    <n v="325.19"/>
    <n v="358.03"/>
    <n v="249.58"/>
    <n v="153.59"/>
    <n v="226.86"/>
    <n v="115.19"/>
    <n v="0"/>
    <n v="0"/>
    <n v="0"/>
    <n v="-310.48"/>
    <n v="18.75"/>
    <n v="0"/>
    <n v="1136.71"/>
    <n v="18.75"/>
  </r>
  <r>
    <x v="11"/>
    <x v="3"/>
    <x v="0"/>
    <s v="4915101"/>
    <n v="721610"/>
    <s v="Supplies-Anesthesia - Nonbillable"/>
    <s v="Echo Cardiology"/>
    <x v="0"/>
    <m/>
    <n v="0"/>
    <n v="0"/>
    <n v="0"/>
    <n v="0"/>
    <n v="0"/>
    <n v="0"/>
    <n v="0"/>
    <n v="1.06"/>
    <n v="0"/>
    <n v="0"/>
    <n v="0"/>
    <n v="0"/>
    <n v="1.06"/>
    <n v="0"/>
  </r>
  <r>
    <x v="11"/>
    <x v="3"/>
    <x v="0"/>
    <s v="4915101"/>
    <n v="721640"/>
    <s v="Supplies-IV Solutions/Supplies - Nonbillable"/>
    <s v="Echo Cardiology"/>
    <x v="0"/>
    <m/>
    <n v="14.65"/>
    <n v="19.98"/>
    <n v="19.53"/>
    <n v="19.98"/>
    <n v="23.98"/>
    <n v="22.2"/>
    <n v="31.08"/>
    <n v="19.98"/>
    <n v="24.42"/>
    <n v="22.2"/>
    <n v="22.2"/>
    <n v="21.31"/>
    <n v="261.51"/>
    <n v="0.89000000000000057"/>
  </r>
  <r>
    <x v="11"/>
    <x v="3"/>
    <x v="0"/>
    <s v="4915101"/>
    <n v="721650"/>
    <s v="Supplies-Pharmacy Drugs - Nonbillable"/>
    <s v="Echo Cardiology"/>
    <x v="0"/>
    <m/>
    <n v="5.33"/>
    <n v="2.66"/>
    <n v="2.66"/>
    <n v="3.39"/>
    <n v="7.25"/>
    <n v="7.25"/>
    <n v="7.25"/>
    <n v="0.72"/>
    <n v="7.25"/>
    <n v="7.25"/>
    <n v="2.91"/>
    <n v="7.25"/>
    <n v="61.17"/>
    <n v="-4.34"/>
  </r>
  <r>
    <x v="11"/>
    <x v="3"/>
    <x v="0"/>
    <s v="4915101"/>
    <n v="721750"/>
    <s v="Supplies-Film/Radiographic - Nonbillable"/>
    <s v="Echo Cardiology"/>
    <x v="0"/>
    <m/>
    <n v="14.99"/>
    <n v="14.05"/>
    <n v="27.16"/>
    <n v="19.670000000000002"/>
    <n v="14.05"/>
    <n v="30.91"/>
    <n v="12.17"/>
    <n v="27.16"/>
    <n v="24.35"/>
    <n v="22.49"/>
    <n v="14.04"/>
    <n v="22.47"/>
    <n v="243.51"/>
    <n v="-8.43"/>
  </r>
  <r>
    <x v="11"/>
    <x v="3"/>
    <x v="0"/>
    <s v="4915101"/>
    <n v="721810"/>
    <s v="Supplies-Dietary/Cafeteria"/>
    <s v="Echo Cardiology"/>
    <x v="0"/>
    <m/>
    <n v="8"/>
    <n v="0"/>
    <n v="0"/>
    <n v="0"/>
    <n v="6.47"/>
    <n v="0"/>
    <n v="0"/>
    <n v="0"/>
    <n v="0"/>
    <n v="16"/>
    <n v="8"/>
    <n v="0"/>
    <n v="38.47"/>
    <n v="8"/>
  </r>
  <r>
    <x v="11"/>
    <x v="3"/>
    <x v="0"/>
    <s v="4915101"/>
    <n v="721830"/>
    <s v="Supplies-Office"/>
    <s v="Echo Cardiology"/>
    <x v="0"/>
    <m/>
    <n v="0"/>
    <n v="0"/>
    <n v="0"/>
    <n v="0"/>
    <n v="0"/>
    <n v="47.03"/>
    <n v="0"/>
    <n v="0"/>
    <n v="0"/>
    <n v="247.37"/>
    <n v="0"/>
    <n v="0"/>
    <n v="294.39999999999998"/>
    <n v="0"/>
  </r>
  <r>
    <x v="11"/>
    <x v="3"/>
    <x v="0"/>
    <s v="4915101"/>
    <n v="721835"/>
    <s v="Supplies-Forms"/>
    <s v="Echo Cardiology"/>
    <x v="0"/>
    <m/>
    <n v="0"/>
    <n v="0"/>
    <n v="0"/>
    <n v="0"/>
    <n v="0"/>
    <n v="0"/>
    <n v="0"/>
    <n v="0"/>
    <n v="0"/>
    <n v="0"/>
    <n v="0.3"/>
    <n v="0"/>
    <n v="0.3"/>
    <n v="0.3"/>
  </r>
  <r>
    <x v="11"/>
    <x v="3"/>
    <x v="0"/>
    <s v="4915101"/>
    <n v="721870"/>
    <s v="Supplies-Environmental Services"/>
    <s v="Echo Cardiology"/>
    <x v="0"/>
    <m/>
    <n v="0"/>
    <n v="13.1"/>
    <n v="0"/>
    <n v="5.9"/>
    <n v="8.14"/>
    <n v="4.07"/>
    <n v="15.71"/>
    <n v="0"/>
    <n v="0"/>
    <n v="0"/>
    <n v="13.42"/>
    <n v="0"/>
    <n v="60.34"/>
    <n v="13.42"/>
  </r>
  <r>
    <x v="11"/>
    <x v="3"/>
    <x v="0"/>
    <s v="4915101"/>
    <n v="721910"/>
    <s v="Supplies-Small Equipment"/>
    <s v="Echo Cardiology"/>
    <x v="0"/>
    <m/>
    <n v="0"/>
    <n v="0"/>
    <n v="0"/>
    <n v="1819"/>
    <n v="383.7"/>
    <n v="0"/>
    <n v="0"/>
    <n v="135"/>
    <n v="0"/>
    <n v="32.21"/>
    <n v="1541.87"/>
    <n v="0"/>
    <n v="3911.7799999999997"/>
    <n v="1541.87"/>
  </r>
  <r>
    <x v="11"/>
    <x v="3"/>
    <x v="0"/>
    <s v="4915101"/>
    <n v="721980"/>
    <s v="Supplies-Other"/>
    <s v="Echo Cardiology"/>
    <x v="0"/>
    <m/>
    <n v="137.63"/>
    <n v="55.66"/>
    <n v="0"/>
    <n v="0"/>
    <n v="412.88"/>
    <n v="-37.880000000000003"/>
    <n v="436"/>
    <n v="-40"/>
    <n v="0"/>
    <n v="223.03"/>
    <n v="0"/>
    <n v="1264.07"/>
    <n v="2451.39"/>
    <n v="-1264.07"/>
  </r>
  <r>
    <x v="11"/>
    <x v="3"/>
    <x v="0"/>
    <s v="4915101"/>
    <n v="722000"/>
    <s v="Supplies-Freight Expense"/>
    <s v="Echo Cardiology"/>
    <x v="0"/>
    <m/>
    <n v="0"/>
    <n v="0"/>
    <n v="0"/>
    <n v="0"/>
    <n v="0"/>
    <n v="18.3"/>
    <n v="0"/>
    <n v="0"/>
    <n v="0"/>
    <n v="0"/>
    <n v="16.52"/>
    <n v="0"/>
    <n v="34.82"/>
    <n v="16.52"/>
  </r>
  <r>
    <x v="15"/>
    <x v="3"/>
    <x v="0"/>
    <s v="4915101"/>
    <n v="731060"/>
    <s v="Pagers"/>
    <s v="Echo Cardiology"/>
    <x v="0"/>
    <n v="1002"/>
    <n v="124.73"/>
    <n v="97.19"/>
    <n v="97.2"/>
    <n v="107.22"/>
    <n v="82.41"/>
    <n v="0"/>
    <n v="182.41"/>
    <n v="90.53"/>
    <n v="90.53"/>
    <n v="90.53"/>
    <n v="90.53"/>
    <n v="90.53"/>
    <n v="1143.81"/>
    <n v="0"/>
  </r>
  <r>
    <x v="13"/>
    <x v="3"/>
    <x v="0"/>
    <s v="4915101"/>
    <n v="735070"/>
    <s v="Depreciation-Movable Equipment"/>
    <s v="Echo Cardiology"/>
    <x v="0"/>
    <m/>
    <n v="5746.21"/>
    <n v="5746.21"/>
    <n v="5746.22"/>
    <n v="5746.21"/>
    <n v="5746.22"/>
    <n v="5746.21"/>
    <n v="5746.22"/>
    <n v="5746.21"/>
    <n v="5746.22"/>
    <n v="5746.21"/>
    <n v="5746.22"/>
    <n v="5746.21"/>
    <n v="68954.570000000007"/>
    <n v="1.0000000000218279E-2"/>
  </r>
  <r>
    <x v="0"/>
    <x v="3"/>
    <x v="0"/>
    <s v="4915101"/>
    <n v="749510"/>
    <s v="RICE Rewards"/>
    <s v="Echo Cardiology"/>
    <x v="0"/>
    <n v="5100"/>
    <n v="0"/>
    <n v="0"/>
    <n v="0"/>
    <n v="0"/>
    <n v="0"/>
    <n v="0"/>
    <n v="0"/>
    <n v="0"/>
    <n v="0"/>
    <n v="0"/>
    <n v="0"/>
    <n v="413.31"/>
    <n v="413.31"/>
    <n v="-413.31"/>
  </r>
  <r>
    <x v="18"/>
    <x v="0"/>
    <x v="0"/>
    <s v="4915102"/>
    <n v="400010"/>
    <s v="Acute I/P Svcs Rev--Medicare"/>
    <s v="Echo Cardiology"/>
    <x v="0"/>
    <n v="1100"/>
    <n v="-336593.58"/>
    <n v="-376495.91"/>
    <n v="-413702.02"/>
    <n v="-480203.41"/>
    <n v="-415579.9"/>
    <n v="-397173.53"/>
    <n v="-371182.41"/>
    <n v="-353689.06"/>
    <n v="-519516.28"/>
    <n v="-446353.37"/>
    <n v="-407730.44"/>
    <n v="-346622.38"/>
    <n v="-4864842.29"/>
    <n v="-61108.06"/>
  </r>
  <r>
    <x v="18"/>
    <x v="0"/>
    <x v="0"/>
    <s v="4915102"/>
    <n v="400010"/>
    <s v="Acute I/P Svcs Rev--Medicaid"/>
    <s v="Echo Cardiology"/>
    <x v="0"/>
    <n v="1200"/>
    <n v="-100943.89"/>
    <n v="-149272.32999999999"/>
    <n v="-72860.42"/>
    <n v="-97147.44"/>
    <n v="-68268.33"/>
    <n v="-81327.649999999994"/>
    <n v="-104731.85"/>
    <n v="-97037.03"/>
    <n v="-37565.75"/>
    <n v="-118712.19"/>
    <n v="-121226.2"/>
    <n v="-103676.42"/>
    <n v="-1152769.4999999998"/>
    <n v="-17549.78"/>
  </r>
  <r>
    <x v="18"/>
    <x v="0"/>
    <x v="0"/>
    <s v="4915102"/>
    <n v="400010"/>
    <s v="Acute I/P Svcs Rev--Comm Insurance"/>
    <s v="Echo Cardiology"/>
    <x v="0"/>
    <n v="1300"/>
    <n v="-360.88"/>
    <n v="-5200.43"/>
    <n v="-8775.43"/>
    <n v="-3789.29"/>
    <n v="-7759.02"/>
    <n v="0"/>
    <n v="-13076.71"/>
    <n v="6908.26"/>
    <n v="-24202.33"/>
    <n v="-1126.48"/>
    <n v="-10793.6"/>
    <n v="-11694.69"/>
    <n v="-79870.600000000006"/>
    <n v="901.09000000000015"/>
  </r>
  <r>
    <x v="18"/>
    <x v="0"/>
    <x v="0"/>
    <s v="4915102"/>
    <n v="400010"/>
    <s v="Acute I/P Svcs Rev--BCBS Comm"/>
    <s v="Echo Cardiology"/>
    <x v="0"/>
    <n v="1301"/>
    <n v="-15337.6"/>
    <n v="-21768.73"/>
    <n v="-13643.31"/>
    <n v="-30488.53"/>
    <n v="-26179.65"/>
    <n v="-22132.37"/>
    <n v="-37255.94"/>
    <n v="-51094.879999999997"/>
    <n v="-44744.31"/>
    <n v="-50253.3"/>
    <n v="-37927.97"/>
    <n v="-41575.71"/>
    <n v="-392402.3"/>
    <n v="3647.739999999998"/>
  </r>
  <r>
    <x v="18"/>
    <x v="0"/>
    <x v="0"/>
    <s v="4915102"/>
    <n v="400010"/>
    <s v="Acute I/P Svcs Rev--Managed Care"/>
    <s v="Echo Cardiology"/>
    <x v="0"/>
    <n v="1400"/>
    <n v="-96536.3"/>
    <n v="-73402.86"/>
    <n v="-44484.71"/>
    <n v="-70574.47"/>
    <n v="-60782.42"/>
    <n v="-72238.789999999994"/>
    <n v="-120108.81"/>
    <n v="-66972.37"/>
    <n v="-81236.17"/>
    <n v="-82185.429999999993"/>
    <n v="-101245.07"/>
    <n v="-60544.160000000003"/>
    <n v="-930311.55999999994"/>
    <n v="-40700.910000000003"/>
  </r>
  <r>
    <x v="18"/>
    <x v="0"/>
    <x v="0"/>
    <s v="4915102"/>
    <n v="400010"/>
    <s v="Acute I/P Svcs Rev--Self Pay"/>
    <s v="Echo Cardiology"/>
    <x v="0"/>
    <n v="1500"/>
    <n v="-11367.87"/>
    <n v="-39462.89"/>
    <n v="-12779.01"/>
    <n v="-5200.43"/>
    <n v="-11019.59"/>
    <n v="-5200.43"/>
    <n v="-3789.29"/>
    <n v="-3789.29"/>
    <n v="-23304.14"/>
    <n v="-5356.46"/>
    <n v="0"/>
    <n v="-11708.91"/>
    <n v="-132978.31"/>
    <n v="11708.91"/>
  </r>
  <r>
    <x v="18"/>
    <x v="0"/>
    <x v="0"/>
    <s v="4915102"/>
    <n v="400010"/>
    <s v="Acute I/P Svcs Rev--Other"/>
    <s v="Echo Cardiology"/>
    <x v="0"/>
    <n v="1700"/>
    <n v="-28397.94"/>
    <n v="-16387.86"/>
    <n v="-3789.29"/>
    <n v="-13975.86"/>
    <n v="-12779.01"/>
    <n v="-5200.43"/>
    <n v="-7578.58"/>
    <n v="-24925.15"/>
    <n v="-6857.97"/>
    <n v="-11359.42"/>
    <n v="-24879.25"/>
    <n v="-24518.880000000001"/>
    <n v="-180649.64000000004"/>
    <n v="-360.36999999999898"/>
  </r>
  <r>
    <x v="19"/>
    <x v="0"/>
    <x v="0"/>
    <s v="4915102"/>
    <n v="400020"/>
    <s v="O/P Care Svcs Rev--Medicare"/>
    <s v="Echo Cardiology"/>
    <x v="0"/>
    <n v="1100"/>
    <n v="-273400.84999999998"/>
    <n v="-285297.24"/>
    <n v="-281425.15000000002"/>
    <n v="-334181.40000000002"/>
    <n v="-313333.86"/>
    <n v="-230742.26"/>
    <n v="-308881.03000000003"/>
    <n v="-352829.35"/>
    <n v="-348070.04"/>
    <n v="-263437.65000000002"/>
    <n v="-288510.15000000002"/>
    <n v="-400998.38"/>
    <n v="-3681107.36"/>
    <n v="112488.22999999998"/>
  </r>
  <r>
    <x v="19"/>
    <x v="0"/>
    <x v="0"/>
    <s v="4915102"/>
    <n v="400020"/>
    <s v="O/P Care Svcs Rev--Medicaid"/>
    <s v="Echo Cardiology"/>
    <x v="0"/>
    <n v="1200"/>
    <n v="-72751.12"/>
    <n v="-94033.3"/>
    <n v="-72716.89"/>
    <n v="-83531.27"/>
    <n v="-96143.39"/>
    <n v="-91506.51"/>
    <n v="-75535.5"/>
    <n v="-73381.91"/>
    <n v="-74500.25"/>
    <n v="-74700.41"/>
    <n v="-60569.22"/>
    <n v="-44386.16"/>
    <n v="-913755.93"/>
    <n v="-16183.059999999998"/>
  </r>
  <r>
    <x v="19"/>
    <x v="0"/>
    <x v="0"/>
    <s v="4915102"/>
    <n v="400020"/>
    <s v="O/P Care Svcs Rev--Comm Insurance"/>
    <s v="Echo Cardiology"/>
    <x v="0"/>
    <n v="1300"/>
    <n v="-1168.47"/>
    <n v="-3789.29"/>
    <n v="-7578.58"/>
    <n v="-11187.43"/>
    <n v="0"/>
    <n v="-3789.29"/>
    <n v="-14190.15"/>
    <n v="-3902.97"/>
    <n v="-17065.37"/>
    <n v="-13162.4"/>
    <n v="-22421.83"/>
    <n v="-8696.19"/>
    <n v="-106951.97"/>
    <n v="-13725.640000000001"/>
  </r>
  <r>
    <x v="19"/>
    <x v="0"/>
    <x v="0"/>
    <s v="4915102"/>
    <n v="400020"/>
    <s v="O/P Care Svcs Rev--BCBS Comm"/>
    <s v="Echo Cardiology"/>
    <x v="0"/>
    <n v="1301"/>
    <n v="-16841.47"/>
    <n v="-25864.83"/>
    <n v="-58934.35"/>
    <n v="-41262.019999999997"/>
    <n v="-36965.1"/>
    <n v="-27936.17"/>
    <n v="-43093.33"/>
    <n v="-45026.44"/>
    <n v="-32666.41"/>
    <n v="-25524.84"/>
    <n v="-27647.8"/>
    <n v="-29803.49"/>
    <n v="-411566.25"/>
    <n v="2155.6900000000023"/>
  </r>
  <r>
    <x v="19"/>
    <x v="0"/>
    <x v="0"/>
    <s v="4915102"/>
    <n v="400020"/>
    <s v="O/P Care Svcs Rev--Managed Care"/>
    <s v="Echo Cardiology"/>
    <x v="0"/>
    <n v="1400"/>
    <n v="-65269.23"/>
    <n v="-95682.01"/>
    <n v="-84828.9"/>
    <n v="-124679.78"/>
    <n v="-132102.26999999999"/>
    <n v="-119770.03"/>
    <n v="-165634.69"/>
    <n v="-114175.92"/>
    <n v="-172388.92"/>
    <n v="-109740.66"/>
    <n v="-132710.76999999999"/>
    <n v="-93343.96"/>
    <n v="-1410327.14"/>
    <n v="-39366.809999999983"/>
  </r>
  <r>
    <x v="19"/>
    <x v="0"/>
    <x v="0"/>
    <s v="4915102"/>
    <n v="400020"/>
    <s v="O/P Care Svcs Rev--Self Pay"/>
    <s v="Echo Cardiology"/>
    <x v="0"/>
    <n v="1500"/>
    <n v="-27936.17"/>
    <n v="-16568.3"/>
    <n v="-21622.3"/>
    <n v="-12779.01"/>
    <n v="-12598.57"/>
    <n v="0"/>
    <n v="-18946.45"/>
    <n v="-20968.34"/>
    <n v="-3020.66"/>
    <n v="-15244.67"/>
    <n v="-20862.599999999999"/>
    <n v="-28945.61"/>
    <n v="-199492.68000000005"/>
    <n v="8083.010000000002"/>
  </r>
  <r>
    <x v="19"/>
    <x v="0"/>
    <x v="0"/>
    <s v="4915102"/>
    <n v="400020"/>
    <s v="O/P Care Svcs Rev--Other"/>
    <s v="Echo Cardiology"/>
    <x v="0"/>
    <n v="1700"/>
    <n v="-16963.03"/>
    <n v="-7578.58"/>
    <n v="-19810.75"/>
    <n v="-27653.02"/>
    <n v="-33239.31"/>
    <n v="-20357.59"/>
    <n v="-7578.58"/>
    <n v="-4016.65"/>
    <n v="-19514.849999999999"/>
    <n v="-11708.91"/>
    <n v="-12795.19"/>
    <n v="0"/>
    <n v="-181216.46"/>
    <n v="-12795.19"/>
  </r>
  <r>
    <x v="5"/>
    <x v="0"/>
    <x v="0"/>
    <s v="4915102"/>
    <n v="700034"/>
    <s v="Salaries-Tech/Professional-Productive"/>
    <s v="Echo Cardiology"/>
    <x v="0"/>
    <m/>
    <n v="18227.080000000002"/>
    <n v="21026.38"/>
    <n v="20473.63"/>
    <n v="22871.25"/>
    <n v="23072.639999999999"/>
    <n v="20663.78"/>
    <n v="22112.05"/>
    <n v="23459.58"/>
    <n v="21528.91"/>
    <n v="19703.87"/>
    <n v="22798.67"/>
    <n v="21770.29"/>
    <n v="257708.13000000003"/>
    <n v="1028.3799999999974"/>
  </r>
  <r>
    <x v="5"/>
    <x v="0"/>
    <x v="0"/>
    <s v="4915102"/>
    <n v="700034"/>
    <s v="Salaries-Tech/Professional-OT"/>
    <s v="Echo Cardiology"/>
    <x v="0"/>
    <n v="1000"/>
    <n v="2634.42"/>
    <n v="1395.49"/>
    <n v="1899.54"/>
    <n v="1928.46"/>
    <n v="2129.6799999999998"/>
    <n v="2780.84"/>
    <n v="1322.65"/>
    <n v="1536.86"/>
    <n v="2678.75"/>
    <n v="3043.24"/>
    <n v="2315.2399999999998"/>
    <n v="605.72"/>
    <n v="24270.89"/>
    <n v="1709.5199999999998"/>
  </r>
  <r>
    <x v="5"/>
    <x v="0"/>
    <x v="0"/>
    <s v="4915102"/>
    <n v="700034"/>
    <s v="Salaries-Tech/Professional-Other"/>
    <s v="Echo Cardiology"/>
    <x v="0"/>
    <n v="2000"/>
    <n v="2104.37"/>
    <n v="1758.44"/>
    <n v="1745.11"/>
    <n v="1814.28"/>
    <n v="2073.5300000000002"/>
    <n v="1933.14"/>
    <n v="2199.42"/>
    <n v="1958.28"/>
    <n v="2141.88"/>
    <n v="1980.5"/>
    <n v="1745.3"/>
    <n v="2023.72"/>
    <n v="23477.97"/>
    <n v="-278.42000000000007"/>
  </r>
  <r>
    <x v="5"/>
    <x v="0"/>
    <x v="0"/>
    <s v="4915102"/>
    <n v="700054"/>
    <s v="Salaries-Management-NonProd-Other"/>
    <s v="Echo Cardiology"/>
    <x v="0"/>
    <n v="2000"/>
    <n v="0"/>
    <n v="0"/>
    <n v="0"/>
    <n v="0"/>
    <n v="0"/>
    <n v="596.21"/>
    <n v="-596.21"/>
    <n v="0"/>
    <n v="0"/>
    <n v="0"/>
    <n v="0"/>
    <n v="0"/>
    <n v="0"/>
    <n v="0"/>
  </r>
  <r>
    <x v="5"/>
    <x v="0"/>
    <x v="0"/>
    <s v="4915102"/>
    <n v="700074"/>
    <s v="Salaries-Tech/Professional-Non-productive"/>
    <s v="Echo Cardiology"/>
    <x v="0"/>
    <m/>
    <n v="4460.38"/>
    <n v="1184.43"/>
    <n v="788.06"/>
    <n v="979.33"/>
    <n v="1133.8599999999999"/>
    <n v="249.68"/>
    <n v="3126.2"/>
    <n v="705.92"/>
    <n v="2995.18"/>
    <n v="4135.9399999999996"/>
    <n v="1252.3800000000001"/>
    <n v="2153.3000000000002"/>
    <n v="23164.660000000003"/>
    <n v="-900.92000000000007"/>
  </r>
  <r>
    <x v="5"/>
    <x v="0"/>
    <x v="0"/>
    <s v="4915102"/>
    <n v="700074"/>
    <s v="Salaries-Tech/Professional-NonProd-Other"/>
    <s v="Echo Cardiology"/>
    <x v="0"/>
    <n v="2000"/>
    <n v="464.93"/>
    <n v="1236.1400000000001"/>
    <n v="425.32"/>
    <n v="416.35"/>
    <n v="1465.99"/>
    <n v="-52.57"/>
    <n v="462.42"/>
    <n v="-304.8"/>
    <n v="732.44"/>
    <n v="610.29"/>
    <n v="912.36"/>
    <n v="513.73"/>
    <n v="6882.5999999999985"/>
    <n v="398.63"/>
  </r>
  <r>
    <x v="5"/>
    <x v="0"/>
    <x v="0"/>
    <s v="4915102"/>
    <n v="700084"/>
    <s v="Accrued PTO"/>
    <s v="Echo Cardiology"/>
    <x v="0"/>
    <m/>
    <n v="1202.1600000000001"/>
    <n v="1077.83"/>
    <n v="1614.37"/>
    <n v="3056.04"/>
    <n v="2427.5700000000002"/>
    <n v="3402.63"/>
    <n v="-69.739999999999995"/>
    <n v="2098"/>
    <n v="815.13"/>
    <n v="275.22000000000003"/>
    <n v="1283.9000000000001"/>
    <n v="1762.76"/>
    <n v="18945.869999999995"/>
    <n v="-478.8599999999999"/>
  </r>
  <r>
    <x v="6"/>
    <x v="0"/>
    <x v="0"/>
    <s v="4915102"/>
    <n v="713010"/>
    <s v="Benefits-FICA/Medicare"/>
    <s v="Echo Cardiology"/>
    <x v="0"/>
    <m/>
    <n v="2105.19"/>
    <n v="2006.48"/>
    <n v="1910.32"/>
    <n v="2114.2600000000002"/>
    <n v="2300.3000000000002"/>
    <n v="1957.09"/>
    <n v="2256.65"/>
    <n v="2092.54"/>
    <n v="2276.48"/>
    <n v="2231.0300000000002"/>
    <n v="2196.02"/>
    <n v="2242.1"/>
    <n v="25688.459999999995"/>
    <n v="-46.079999999999927"/>
  </r>
  <r>
    <x v="6"/>
    <x v="0"/>
    <x v="0"/>
    <s v="4915102"/>
    <n v="713090"/>
    <s v="Benefits-Allocated Amounts"/>
    <s v="Echo Cardiology"/>
    <x v="0"/>
    <m/>
    <n v="4534.6899999999996"/>
    <n v="3841.31"/>
    <n v="4088.25"/>
    <n v="4374.13"/>
    <n v="4525.62"/>
    <n v="4114.43"/>
    <n v="4740.37"/>
    <n v="4851.43"/>
    <n v="4695.97"/>
    <n v="4898.5"/>
    <n v="4742.2"/>
    <n v="4624.62"/>
    <n v="54031.519999999997"/>
    <n v="117.57999999999993"/>
  </r>
  <r>
    <x v="7"/>
    <x v="0"/>
    <x v="0"/>
    <s v="4915102"/>
    <n v="718050"/>
    <s v="Contract Svcs-Other"/>
    <s v="Echo Cardiology"/>
    <x v="0"/>
    <m/>
    <n v="0"/>
    <n v="47.19"/>
    <n v="47.19"/>
    <n v="94.38"/>
    <n v="0"/>
    <n v="47.19"/>
    <n v="47.19"/>
    <n v="47.19"/>
    <n v="47.19"/>
    <n v="7604.31"/>
    <n v="0"/>
    <n v="47.19"/>
    <n v="8029.0199999999995"/>
    <n v="-47.19"/>
  </r>
  <r>
    <x v="7"/>
    <x v="0"/>
    <x v="0"/>
    <s v="4915102"/>
    <n v="718050"/>
    <s v="Translation Services"/>
    <s v="Echo Cardiology"/>
    <x v="0"/>
    <n v="1025"/>
    <n v="48"/>
    <n v="0"/>
    <n v="0"/>
    <n v="0"/>
    <n v="0"/>
    <n v="0"/>
    <n v="32"/>
    <n v="0"/>
    <n v="32"/>
    <n v="104"/>
    <n v="0"/>
    <n v="0"/>
    <n v="216"/>
    <n v="0"/>
  </r>
  <r>
    <x v="7"/>
    <x v="0"/>
    <x v="0"/>
    <s v="4915102"/>
    <n v="718070"/>
    <s v="Contract Srvcs-CHI Clinical Engineering"/>
    <s v="Echo Cardiology"/>
    <x v="0"/>
    <m/>
    <n v="444.98"/>
    <n v="444.98"/>
    <n v="444.98"/>
    <n v="444.98"/>
    <n v="444.98"/>
    <n v="444.98"/>
    <n v="444.98"/>
    <n v="444.98"/>
    <n v="444.98"/>
    <n v="445.38"/>
    <n v="445.38"/>
    <n v="445.38"/>
    <n v="5340.96"/>
    <n v="0"/>
  </r>
  <r>
    <x v="7"/>
    <x v="0"/>
    <x v="0"/>
    <s v="4915102"/>
    <n v="718077"/>
    <s v="PACS"/>
    <s v="Echo Cardiology"/>
    <x v="0"/>
    <n v="1000"/>
    <n v="3155.73"/>
    <n v="3319.17"/>
    <n v="3021.23"/>
    <n v="3446.59"/>
    <n v="3149.29"/>
    <n v="3046.97"/>
    <n v="3480.69"/>
    <n v="2903.47"/>
    <n v="3494.21"/>
    <n v="3451.09"/>
    <n v="3566.92"/>
    <n v="3242.6"/>
    <n v="39277.96"/>
    <n v="324.32000000000016"/>
  </r>
  <r>
    <x v="7"/>
    <x v="0"/>
    <x v="0"/>
    <s v="4915102"/>
    <n v="718091"/>
    <s v="Contract Services-Intracompany Allocation"/>
    <s v="Echo Cardiology"/>
    <x v="0"/>
    <m/>
    <n v="1410.32"/>
    <n v="1656.96"/>
    <n v="1247.8599999999999"/>
    <n v="1837.07"/>
    <n v="1443.11"/>
    <n v="1992.35"/>
    <n v="1920.64"/>
    <n v="1904.89"/>
    <n v="1990.94"/>
    <n v="784.17"/>
    <n v="2074.86"/>
    <n v="1669.7"/>
    <n v="19932.87"/>
    <n v="405.16000000000008"/>
  </r>
  <r>
    <x v="11"/>
    <x v="0"/>
    <x v="0"/>
    <s v="4915102"/>
    <n v="721010"/>
    <s v="Patient Monitoring"/>
    <s v="Echo Cardiology"/>
    <x v="0"/>
    <n v="1000"/>
    <n v="0"/>
    <n v="52.86"/>
    <n v="68.760000000000005"/>
    <n v="12.72"/>
    <n v="63.6"/>
    <n v="0"/>
    <n v="0"/>
    <n v="63.6"/>
    <n v="63.6"/>
    <n v="0"/>
    <n v="0"/>
    <n v="127.2"/>
    <n v="452.34000000000003"/>
    <n v="-127.2"/>
  </r>
  <r>
    <x v="11"/>
    <x v="0"/>
    <x v="0"/>
    <s v="4915102"/>
    <n v="721250"/>
    <s v="Supplies-Pharmacy Drugs - Billable"/>
    <s v="Echo Cardiology"/>
    <x v="0"/>
    <m/>
    <n v="7981.63"/>
    <n v="3990.82"/>
    <n v="13019.71"/>
    <n v="283.01"/>
    <n v="10642.18"/>
    <n v="0"/>
    <n v="7557.12"/>
    <n v="7943.04"/>
    <n v="6628.85"/>
    <n v="530"/>
    <n v="0"/>
    <n v="20152.32"/>
    <n v="78728.679999999993"/>
    <n v="-20152.32"/>
  </r>
  <r>
    <x v="11"/>
    <x v="0"/>
    <x v="0"/>
    <s v="4915102"/>
    <n v="721410"/>
    <s v="Supplies-Medical - Nonbillable"/>
    <s v="Echo Cardiology"/>
    <x v="0"/>
    <m/>
    <n v="22.52"/>
    <n v="52.22"/>
    <n v="0"/>
    <n v="0"/>
    <n v="19.16"/>
    <n v="0"/>
    <n v="22.63"/>
    <n v="35.369999999999997"/>
    <n v="0"/>
    <n v="0"/>
    <n v="19.16"/>
    <n v="0"/>
    <n v="171.05999999999997"/>
    <n v="19.16"/>
  </r>
  <r>
    <x v="11"/>
    <x v="0"/>
    <x v="0"/>
    <s v="4915102"/>
    <n v="721420"/>
    <s v="Tubes Drains &amp; Related Supplies"/>
    <s v="Echo Cardiology"/>
    <x v="0"/>
    <n v="1008"/>
    <n v="0"/>
    <n v="0"/>
    <n v="0"/>
    <n v="0"/>
    <n v="0"/>
    <n v="0"/>
    <n v="0"/>
    <n v="99"/>
    <n v="0"/>
    <n v="-9"/>
    <n v="0"/>
    <n v="0"/>
    <n v="90"/>
    <n v="0"/>
  </r>
  <r>
    <x v="11"/>
    <x v="0"/>
    <x v="0"/>
    <s v="4915102"/>
    <n v="721640"/>
    <s v="Supplies-IV Solutions/Supplies - Nonbillable"/>
    <s v="Echo Cardiology"/>
    <x v="0"/>
    <m/>
    <n v="6.66"/>
    <n v="0"/>
    <n v="0"/>
    <n v="0"/>
    <n v="0"/>
    <n v="0"/>
    <n v="0"/>
    <n v="6.66"/>
    <n v="0"/>
    <n v="0"/>
    <n v="0"/>
    <n v="0"/>
    <n v="13.32"/>
    <n v="0"/>
  </r>
  <r>
    <x v="11"/>
    <x v="0"/>
    <x v="0"/>
    <s v="4915102"/>
    <n v="721750"/>
    <s v="Supplies-Film/Radiographic - Nonbillable"/>
    <s v="Echo Cardiology"/>
    <x v="0"/>
    <m/>
    <n v="11.24"/>
    <n v="0"/>
    <n v="0"/>
    <n v="0"/>
    <n v="11.24"/>
    <n v="0"/>
    <n v="0"/>
    <n v="16.86"/>
    <n v="0"/>
    <n v="11.24"/>
    <n v="0"/>
    <n v="0"/>
    <n v="50.580000000000005"/>
    <n v="0"/>
  </r>
  <r>
    <x v="11"/>
    <x v="0"/>
    <x v="0"/>
    <s v="4915102"/>
    <n v="721810"/>
    <s v="Supplies-Dietary/Cafeteria"/>
    <s v="Echo Cardiology"/>
    <x v="0"/>
    <m/>
    <n v="0"/>
    <n v="0"/>
    <n v="0"/>
    <n v="0"/>
    <n v="8"/>
    <n v="8"/>
    <n v="0"/>
    <n v="0"/>
    <n v="0"/>
    <n v="0"/>
    <n v="8"/>
    <n v="0"/>
    <n v="24"/>
    <n v="8"/>
  </r>
  <r>
    <x v="11"/>
    <x v="0"/>
    <x v="0"/>
    <s v="4915102"/>
    <n v="721830"/>
    <s v="Supplies-Office"/>
    <s v="Echo Cardiology"/>
    <x v="0"/>
    <m/>
    <n v="0"/>
    <n v="0"/>
    <n v="0"/>
    <n v="0"/>
    <n v="0"/>
    <n v="69.62"/>
    <n v="0"/>
    <n v="0"/>
    <n v="0"/>
    <n v="111.95"/>
    <n v="0"/>
    <n v="0"/>
    <n v="181.57"/>
    <n v="0"/>
  </r>
  <r>
    <x v="11"/>
    <x v="0"/>
    <x v="0"/>
    <s v="4915102"/>
    <n v="721910"/>
    <s v="Supplies-Small Equipment"/>
    <s v="Echo Cardiology"/>
    <x v="0"/>
    <m/>
    <n v="0"/>
    <n v="0"/>
    <n v="0"/>
    <n v="0"/>
    <n v="766.7"/>
    <n v="0"/>
    <n v="0"/>
    <n v="0"/>
    <n v="0"/>
    <n v="0"/>
    <n v="115"/>
    <n v="38.4"/>
    <n v="920.1"/>
    <n v="76.599999999999994"/>
  </r>
  <r>
    <x v="11"/>
    <x v="0"/>
    <x v="0"/>
    <s v="4915102"/>
    <n v="721980"/>
    <s v="Supplies-Other"/>
    <s v="Echo Cardiology"/>
    <x v="0"/>
    <m/>
    <n v="0"/>
    <n v="0"/>
    <n v="0"/>
    <n v="0"/>
    <n v="0"/>
    <n v="0"/>
    <n v="598.44000000000005"/>
    <n v="83.9"/>
    <n v="0"/>
    <n v="143"/>
    <n v="0"/>
    <n v="0"/>
    <n v="825.34"/>
    <n v="0"/>
  </r>
  <r>
    <x v="11"/>
    <x v="0"/>
    <x v="0"/>
    <s v="4915102"/>
    <n v="722000"/>
    <s v="Supplies-Freight Expense"/>
    <s v="Echo Cardiology"/>
    <x v="0"/>
    <m/>
    <n v="0"/>
    <n v="0"/>
    <n v="0"/>
    <n v="0"/>
    <n v="0"/>
    <n v="8"/>
    <n v="0"/>
    <n v="0"/>
    <n v="16.46"/>
    <n v="0"/>
    <n v="0"/>
    <n v="0"/>
    <n v="24.46"/>
    <n v="0"/>
  </r>
  <r>
    <x v="12"/>
    <x v="0"/>
    <x v="0"/>
    <s v="4915102"/>
    <n v="730020"/>
    <s v="Rental and Leases-Copier Usage Fees (DO NOT USE)"/>
    <s v="Echo Cardiology"/>
    <x v="0"/>
    <n v="5100"/>
    <n v="7.65"/>
    <n v="8.33"/>
    <n v="7.99"/>
    <n v="7.98"/>
    <n v="7.98"/>
    <n v="7.99"/>
    <n v="26.52"/>
    <n v="8.9499999999999993"/>
    <n v="8.93"/>
    <n v="15.68"/>
    <n v="8.9499999999999993"/>
    <n v="9.8000000000000007"/>
    <n v="126.75"/>
    <n v="-0.85000000000000142"/>
  </r>
  <r>
    <x v="15"/>
    <x v="0"/>
    <x v="0"/>
    <s v="4915102"/>
    <n v="731060"/>
    <s v="Pagers"/>
    <s v="Echo Cardiology"/>
    <x v="0"/>
    <n v="1002"/>
    <n v="0"/>
    <n v="0"/>
    <n v="0"/>
    <n v="22.72"/>
    <n v="16.239999999999998"/>
    <n v="0"/>
    <n v="55.48"/>
    <n v="24.36"/>
    <n v="24.36"/>
    <n v="24.36"/>
    <n v="24.36"/>
    <n v="24.36"/>
    <n v="216.24"/>
    <n v="0"/>
  </r>
  <r>
    <x v="13"/>
    <x v="0"/>
    <x v="0"/>
    <s v="4915102"/>
    <n v="735070"/>
    <s v="Depreciation-Movable Equipment"/>
    <s v="Echo Cardiology"/>
    <x v="0"/>
    <m/>
    <n v="139.63999999999999"/>
    <n v="139.63999999999999"/>
    <n v="139.63999999999999"/>
    <n v="139.63999999999999"/>
    <n v="139.63999999999999"/>
    <n v="139.63999999999999"/>
    <n v="139.63999999999999"/>
    <n v="139.63999999999999"/>
    <n v="139.63999999999999"/>
    <n v="139.63999999999999"/>
    <n v="716.9"/>
    <n v="984.89"/>
    <n v="3098.1899999999996"/>
    <n v="-267.99"/>
  </r>
  <r>
    <x v="0"/>
    <x v="0"/>
    <x v="0"/>
    <s v="4915102"/>
    <n v="749530"/>
    <s v="Mileage"/>
    <s v="Echo Cardiology"/>
    <x v="0"/>
    <n v="1001"/>
    <n v="0"/>
    <n v="0"/>
    <n v="0"/>
    <n v="0"/>
    <n v="0"/>
    <n v="41.98"/>
    <n v="0"/>
    <n v="0"/>
    <n v="0"/>
    <n v="0"/>
    <n v="0"/>
    <n v="0"/>
    <n v="41.98"/>
    <n v="0"/>
  </r>
  <r>
    <x v="18"/>
    <x v="4"/>
    <x v="0"/>
    <s v="4915103"/>
    <n v="400010"/>
    <s v="Acute I/P Svcs Rev--Medicare"/>
    <s v="Echo Cardiology"/>
    <x v="0"/>
    <n v="1100"/>
    <n v="-257461.35"/>
    <n v="-284876.07"/>
    <n v="-277661.53999999998"/>
    <n v="-299919.15999999997"/>
    <n v="-274716.78000000003"/>
    <n v="-314627.93"/>
    <n v="-332632.42"/>
    <n v="-320032.40999999997"/>
    <n v="-383860.94"/>
    <n v="-258915.94"/>
    <n v="-270136.99"/>
    <n v="-299691.59000000003"/>
    <n v="-3574533.1199999992"/>
    <n v="29554.600000000035"/>
  </r>
  <r>
    <x v="18"/>
    <x v="4"/>
    <x v="0"/>
    <s v="4915103"/>
    <n v="400010"/>
    <s v="Acute I/P Svcs Rev--Medicaid"/>
    <s v="Echo Cardiology"/>
    <x v="0"/>
    <n v="1200"/>
    <n v="-174066"/>
    <n v="-58893.84"/>
    <n v="-142417.70000000001"/>
    <n v="-101853.25"/>
    <n v="-86805.04"/>
    <n v="-139681.38"/>
    <n v="-81413.14"/>
    <n v="-120198.61"/>
    <n v="-128232.5"/>
    <n v="-155287.03"/>
    <n v="-145011.72"/>
    <n v="-155240.56"/>
    <n v="-1489100.77"/>
    <n v="10228.839999999997"/>
  </r>
  <r>
    <x v="18"/>
    <x v="4"/>
    <x v="0"/>
    <s v="4915103"/>
    <n v="400010"/>
    <s v="Acute I/P Svcs Rev--Comm Insurance"/>
    <s v="Echo Cardiology"/>
    <x v="0"/>
    <n v="1300"/>
    <n v="3608.85"/>
    <n v="-10581.3"/>
    <n v="0"/>
    <n v="-8882.36"/>
    <n v="-3789.29"/>
    <n v="-3789.29"/>
    <n v="-3789.29"/>
    <n v="-7805.94"/>
    <n v="0"/>
    <n v="-3902.97"/>
    <n v="-11708.91"/>
    <n v="0"/>
    <n v="-50640.5"/>
    <n v="-11708.91"/>
  </r>
  <r>
    <x v="18"/>
    <x v="4"/>
    <x v="0"/>
    <s v="4915103"/>
    <n v="400010"/>
    <s v="Acute I/P Svcs Rev--BCBS Comm"/>
    <s v="Echo Cardiology"/>
    <x v="0"/>
    <n v="1301"/>
    <n v="0"/>
    <n v="-8989.7199999999993"/>
    <n v="-11367.87"/>
    <n v="-20177.150000000001"/>
    <n v="0"/>
    <n v="-3789.29"/>
    <n v="-16568.3"/>
    <n v="-8892.2199999999993"/>
    <n v="-7919.62"/>
    <n v="-10712.92"/>
    <n v="-7805.94"/>
    <n v="-15611.88"/>
    <n v="-111834.91"/>
    <n v="7805.94"/>
  </r>
  <r>
    <x v="18"/>
    <x v="4"/>
    <x v="0"/>
    <s v="4915103"/>
    <n v="400010"/>
    <s v="Acute I/P Svcs Rev--Managed Care"/>
    <s v="Echo Cardiology"/>
    <x v="0"/>
    <n v="1400"/>
    <n v="-48953.27"/>
    <n v="-39866.94"/>
    <n v="-34103.61"/>
    <n v="-50080.04"/>
    <n v="-20357.59"/>
    <n v="-29966.04"/>
    <n v="-12875.63"/>
    <n v="-49372.69"/>
    <n v="-16143.44"/>
    <n v="-11708.91"/>
    <n v="-33061.730000000003"/>
    <n v="-33215.43"/>
    <n v="-379705.31999999995"/>
    <n v="153.69999999999709"/>
  </r>
  <r>
    <x v="18"/>
    <x v="4"/>
    <x v="0"/>
    <s v="4915103"/>
    <n v="400010"/>
    <s v="Acute I/P Svcs Rev--Self Pay"/>
    <s v="Echo Cardiology"/>
    <x v="0"/>
    <n v="1500"/>
    <n v="-5133.24"/>
    <n v="0"/>
    <n v="0"/>
    <n v="0"/>
    <n v="-11367.87"/>
    <n v="-16568.3"/>
    <n v="-8442.8799999999992"/>
    <n v="-3038.67"/>
    <n v="-33134.75"/>
    <n v="4952.8"/>
    <n v="-28383.68"/>
    <n v="15702.17"/>
    <n v="-85414.42"/>
    <n v="-44085.85"/>
  </r>
  <r>
    <x v="18"/>
    <x v="4"/>
    <x v="0"/>
    <s v="4915103"/>
    <n v="400010"/>
    <s v="Acute I/P Svcs Rev--Other"/>
    <s v="Echo Cardiology"/>
    <x v="0"/>
    <n v="1700"/>
    <n v="-15353.66"/>
    <n v="-25942.12"/>
    <n v="-27073.4"/>
    <n v="-36023.42"/>
    <n v="-26422.32"/>
    <n v="-32683.85"/>
    <n v="-22525.65"/>
    <n v="-8324.48"/>
    <n v="-37356.79"/>
    <n v="-36203.089999999997"/>
    <n v="-37315.94"/>
    <n v="-40940.69"/>
    <n v="-346165.41000000003"/>
    <n v="3624.75"/>
  </r>
  <r>
    <x v="19"/>
    <x v="4"/>
    <x v="0"/>
    <s v="4915103"/>
    <n v="400020"/>
    <s v="O/P Care Svcs Rev--Medicare"/>
    <s v="Echo Cardiology"/>
    <x v="0"/>
    <n v="1100"/>
    <n v="-235112.6"/>
    <n v="-318399.84000000003"/>
    <n v="-231599.31"/>
    <n v="-262743.46000000002"/>
    <n v="-245814.55"/>
    <n v="-215283.57"/>
    <n v="-288151.7"/>
    <n v="-197003.85"/>
    <n v="-242716.61"/>
    <n v="-333155.51"/>
    <n v="-330894.89"/>
    <n v="-376461.49"/>
    <n v="-3277337.38"/>
    <n v="45566.599999999977"/>
  </r>
  <r>
    <x v="19"/>
    <x v="4"/>
    <x v="0"/>
    <s v="4915103"/>
    <n v="400020"/>
    <s v="O/P Care Svcs Rev--Medicaid"/>
    <s v="Echo Cardiology"/>
    <x v="0"/>
    <n v="1200"/>
    <n v="-69239.34"/>
    <n v="-85795.11"/>
    <n v="-39733.360000000001"/>
    <n v="-76033.429999999993"/>
    <n v="-104919.79"/>
    <n v="-84751.17"/>
    <n v="-108811.07"/>
    <n v="-66486.86"/>
    <n v="-98944.9"/>
    <n v="-84034.72"/>
    <n v="-114991.38"/>
    <n v="-63010.76"/>
    <n v="-996751.89"/>
    <n v="-51980.62"/>
  </r>
  <r>
    <x v="19"/>
    <x v="4"/>
    <x v="0"/>
    <s v="4915103"/>
    <n v="400020"/>
    <s v="O/P Care Svcs Rev--Comm Insurance"/>
    <s v="Echo Cardiology"/>
    <x v="0"/>
    <n v="1300"/>
    <n v="-18946.45"/>
    <n v="-7578.58"/>
    <n v="-18946.45"/>
    <n v="-11187.43"/>
    <n v="-5200.43"/>
    <n v="-18946.45"/>
    <n v="-8989.7199999999993"/>
    <n v="-18686.02"/>
    <n v="-9259.43"/>
    <n v="-17065.37"/>
    <n v="-15611.88"/>
    <n v="-12272.15"/>
    <n v="-162690.35999999999"/>
    <n v="-3339.7299999999996"/>
  </r>
  <r>
    <x v="19"/>
    <x v="4"/>
    <x v="0"/>
    <s v="4915103"/>
    <n v="400020"/>
    <s v="O/P Care Svcs Rev--BCBS Comm"/>
    <s v="Echo Cardiology"/>
    <x v="0"/>
    <n v="1301"/>
    <n v="-38961.42"/>
    <n v="-37140.54"/>
    <n v="-19390.580000000002"/>
    <n v="-27693.5"/>
    <n v="-14976.72"/>
    <n v="-15241.1"/>
    <n v="-31178.62"/>
    <n v="-33461.760000000002"/>
    <n v="-28447.27"/>
    <n v="-28324.720000000001"/>
    <n v="-30791.01"/>
    <n v="-19514.849999999999"/>
    <n v="-325122.08999999997"/>
    <n v="-11276.16"/>
  </r>
  <r>
    <x v="19"/>
    <x v="4"/>
    <x v="0"/>
    <s v="4915103"/>
    <n v="400020"/>
    <s v="O/P Care Svcs Rev--Managed Care"/>
    <s v="Echo Cardiology"/>
    <x v="0"/>
    <n v="1400"/>
    <n v="-81024.149999999994"/>
    <n v="-44162.66"/>
    <n v="-48713.93"/>
    <n v="-75316.69"/>
    <n v="-69788.56"/>
    <n v="-100300.12"/>
    <n v="-41579.480000000003"/>
    <n v="-50289.46"/>
    <n v="-104391.46"/>
    <n v="-77839.98"/>
    <n v="-87424.26"/>
    <n v="-78899.05"/>
    <n v="-859729.8"/>
    <n v="-8525.2099999999919"/>
  </r>
  <r>
    <x v="19"/>
    <x v="4"/>
    <x v="0"/>
    <s v="4915103"/>
    <n v="400020"/>
    <s v="O/P Care Svcs Rev--Self Pay"/>
    <s v="Echo Cardiology"/>
    <x v="0"/>
    <n v="1500"/>
    <n v="-264.38"/>
    <n v="-6415.07"/>
    <n v="-3789.29"/>
    <n v="-4952.8"/>
    <n v="-11367.87"/>
    <n v="-3789.29"/>
    <n v="-7578.58"/>
    <n v="-9145.75"/>
    <n v="-3902.97"/>
    <n v="0"/>
    <n v="-7805.94"/>
    <n v="0"/>
    <n v="-59011.94000000001"/>
    <n v="-7805.94"/>
  </r>
  <r>
    <x v="19"/>
    <x v="4"/>
    <x v="0"/>
    <s v="4915103"/>
    <n v="400020"/>
    <s v="O/P Care Svcs Rev--Other"/>
    <s v="Echo Cardiology"/>
    <x v="0"/>
    <n v="1700"/>
    <n v="-41862.629999999997"/>
    <n v="-48840.6"/>
    <n v="-57283.48"/>
    <n v="-42990.62"/>
    <n v="-18706.72"/>
    <n v="-27693.5"/>
    <n v="-54983.69"/>
    <n v="-20854.66"/>
    <n v="-64358.51"/>
    <n v="-8696.19"/>
    <n v="-59310.54"/>
    <n v="-56095.07"/>
    <n v="-501676.20999999996"/>
    <n v="-3215.4700000000012"/>
  </r>
  <r>
    <x v="5"/>
    <x v="4"/>
    <x v="0"/>
    <s v="4915103"/>
    <n v="700034"/>
    <s v="Salaries-Tech/Professional-Productive"/>
    <s v="Echo Cardiology"/>
    <x v="0"/>
    <m/>
    <n v="19282.96"/>
    <n v="17840.09"/>
    <n v="18951.93"/>
    <n v="20748.810000000001"/>
    <n v="17352.810000000001"/>
    <n v="12246.05"/>
    <n v="13198.01"/>
    <n v="13851.4"/>
    <n v="12898.93"/>
    <n v="21822.77"/>
    <n v="20168.46"/>
    <n v="20647.97"/>
    <n v="209010.18999999997"/>
    <n v="-479.51000000000204"/>
  </r>
  <r>
    <x v="5"/>
    <x v="4"/>
    <x v="0"/>
    <s v="4915103"/>
    <n v="700034"/>
    <s v="Salaries-Tech/Professional-OT"/>
    <s v="Echo Cardiology"/>
    <x v="0"/>
    <n v="1000"/>
    <n v="618.48"/>
    <n v="183.22"/>
    <n v="290.43"/>
    <n v="1153.95"/>
    <n v="287.18"/>
    <n v="371.57"/>
    <n v="144.63999999999999"/>
    <n v="322.7"/>
    <n v="121.21"/>
    <n v="326.47000000000003"/>
    <n v="2357.9699999999998"/>
    <n v="1741.8"/>
    <n v="7919.62"/>
    <n v="616.16999999999985"/>
  </r>
  <r>
    <x v="5"/>
    <x v="4"/>
    <x v="0"/>
    <s v="4915103"/>
    <n v="700034"/>
    <s v="Salaries-Tech/Professional-Other"/>
    <s v="Echo Cardiology"/>
    <x v="0"/>
    <n v="2000"/>
    <n v="1647.57"/>
    <n v="1809.42"/>
    <n v="1639.67"/>
    <n v="1838.95"/>
    <n v="1964.04"/>
    <n v="886.22"/>
    <n v="951.48"/>
    <n v="1287.53"/>
    <n v="993.54"/>
    <n v="1732.47"/>
    <n v="1803.24"/>
    <n v="1731.12"/>
    <n v="18285.249999999996"/>
    <n v="72.120000000000118"/>
  </r>
  <r>
    <x v="5"/>
    <x v="4"/>
    <x v="0"/>
    <s v="4915103"/>
    <n v="700074"/>
    <s v="Salaries-Tech/Professional-Non-productive"/>
    <s v="Echo Cardiology"/>
    <x v="0"/>
    <m/>
    <n v="0"/>
    <n v="1816.33"/>
    <n v="-83.73"/>
    <n v="2369.12"/>
    <n v="10866.2"/>
    <n v="2422.0700000000002"/>
    <n v="748.25"/>
    <n v="1128"/>
    <n v="-263.16000000000003"/>
    <n v="0"/>
    <n v="0"/>
    <n v="751.32"/>
    <n v="19754.400000000001"/>
    <n v="-751.32"/>
  </r>
  <r>
    <x v="5"/>
    <x v="4"/>
    <x v="0"/>
    <s v="4915103"/>
    <n v="700074"/>
    <s v="Salaries-Tech/Professional-NonProd-Other"/>
    <s v="Echo Cardiology"/>
    <x v="0"/>
    <n v="2000"/>
    <n v="51.32"/>
    <n v="62.22"/>
    <n v="0"/>
    <n v="324.95999999999998"/>
    <n v="230.95"/>
    <n v="-37.58"/>
    <n v="512.95000000000005"/>
    <n v="452.14"/>
    <n v="161.94"/>
    <n v="721.87"/>
    <n v="315.14999999999998"/>
    <n v="593.82000000000005"/>
    <n v="3389.7400000000002"/>
    <n v="-278.67000000000007"/>
  </r>
  <r>
    <x v="5"/>
    <x v="4"/>
    <x v="0"/>
    <s v="4915103"/>
    <n v="700084"/>
    <s v="Accrued PTO"/>
    <s v="Echo Cardiology"/>
    <x v="0"/>
    <m/>
    <n v="1356.44"/>
    <n v="-74.02"/>
    <n v="707.81"/>
    <n v="1193.97"/>
    <n v="-2268.46"/>
    <n v="-3448.14"/>
    <n v="-158.15"/>
    <n v="-90.38"/>
    <n v="595.85"/>
    <n v="1030.71"/>
    <n v="1164.1600000000001"/>
    <n v="1155.81"/>
    <n v="1165.5999999999997"/>
    <n v="8.3500000000001364"/>
  </r>
  <r>
    <x v="10"/>
    <x v="4"/>
    <x v="0"/>
    <s v="4915103"/>
    <n v="710060"/>
    <s v="Contract Labor-Other"/>
    <s v="Echo Cardiology"/>
    <x v="0"/>
    <m/>
    <n v="0"/>
    <n v="0"/>
    <n v="0"/>
    <n v="0"/>
    <n v="0"/>
    <n v="10743.55"/>
    <n v="15114.5"/>
    <n v="13072"/>
    <n v="12255"/>
    <n v="3268"/>
    <n v="0"/>
    <n v="0"/>
    <n v="54453.05"/>
    <n v="0"/>
  </r>
  <r>
    <x v="10"/>
    <x v="4"/>
    <x v="0"/>
    <s v="4915103"/>
    <n v="710060"/>
    <s v="Contract Labor-Overtime"/>
    <s v="Echo Cardiology"/>
    <x v="0"/>
    <n v="5100"/>
    <n v="0"/>
    <n v="0"/>
    <n v="0"/>
    <n v="0"/>
    <n v="0"/>
    <n v="0"/>
    <n v="1654.5"/>
    <n v="0"/>
    <n v="0"/>
    <n v="0"/>
    <n v="0"/>
    <n v="0"/>
    <n v="1654.5"/>
    <n v="0"/>
  </r>
  <r>
    <x v="10"/>
    <x v="4"/>
    <x v="0"/>
    <s v="4915103"/>
    <n v="710060"/>
    <s v="Contract Labor-Standby Wages"/>
    <s v="Echo Cardiology"/>
    <x v="0"/>
    <n v="5101"/>
    <n v="0"/>
    <n v="0"/>
    <n v="0"/>
    <n v="0"/>
    <n v="0"/>
    <n v="0"/>
    <n v="0"/>
    <n v="0"/>
    <n v="0"/>
    <n v="56"/>
    <n v="0"/>
    <n v="0"/>
    <n v="56"/>
    <n v="0"/>
  </r>
  <r>
    <x v="6"/>
    <x v="4"/>
    <x v="0"/>
    <s v="4915103"/>
    <n v="713010"/>
    <s v="Benefits-FICA/Medicare"/>
    <s v="Echo Cardiology"/>
    <x v="0"/>
    <m/>
    <n v="1626.53"/>
    <n v="1635.02"/>
    <n v="1566.01"/>
    <n v="1996.4"/>
    <n v="2350.2399999999998"/>
    <n v="1190.0899999999999"/>
    <n v="1173.3499999999999"/>
    <n v="1288.6199999999999"/>
    <n v="1045.81"/>
    <n v="1821.48"/>
    <n v="1848.72"/>
    <n v="1902.58"/>
    <n v="19444.849999999999"/>
    <n v="-53.8599999999999"/>
  </r>
  <r>
    <x v="6"/>
    <x v="4"/>
    <x v="0"/>
    <s v="4915103"/>
    <n v="713090"/>
    <s v="Benefits-Allocated Amounts"/>
    <s v="Echo Cardiology"/>
    <x v="0"/>
    <m/>
    <n v="3629.52"/>
    <n v="3101.98"/>
    <n v="3343.65"/>
    <n v="3875.01"/>
    <n v="4543.62"/>
    <n v="2347.09"/>
    <n v="2576.9499999999998"/>
    <n v="2941.54"/>
    <n v="2197.5700000000002"/>
    <n v="4308.71"/>
    <n v="4215.1400000000003"/>
    <n v="4433.18"/>
    <n v="41513.96"/>
    <n v="-218.03999999999996"/>
  </r>
  <r>
    <x v="7"/>
    <x v="4"/>
    <x v="0"/>
    <s v="4915103"/>
    <n v="718050"/>
    <s v="Contract Svcs-Other"/>
    <s v="Echo Cardiology"/>
    <x v="0"/>
    <m/>
    <n v="11.32"/>
    <n v="11.32"/>
    <n v="0"/>
    <n v="22.64"/>
    <n v="11.32"/>
    <n v="0"/>
    <n v="0"/>
    <n v="0"/>
    <n v="0"/>
    <n v="0"/>
    <n v="0"/>
    <n v="0"/>
    <n v="56.6"/>
    <n v="0"/>
  </r>
  <r>
    <x v="7"/>
    <x v="4"/>
    <x v="0"/>
    <s v="4915103"/>
    <n v="718050"/>
    <s v="Translation Services"/>
    <s v="Echo Cardiology"/>
    <x v="0"/>
    <n v="1025"/>
    <n v="0"/>
    <n v="0"/>
    <n v="112"/>
    <n v="298.95999999999998"/>
    <n v="80"/>
    <n v="0"/>
    <n v="40"/>
    <n v="128"/>
    <n v="48"/>
    <n v="0"/>
    <n v="136"/>
    <n v="0"/>
    <n v="842.96"/>
    <n v="136"/>
  </r>
  <r>
    <x v="7"/>
    <x v="4"/>
    <x v="0"/>
    <s v="4915103"/>
    <n v="718070"/>
    <s v="Contract Srvcs-CHI Clinical Engineering"/>
    <s v="Echo Cardiology"/>
    <x v="0"/>
    <m/>
    <n v="1411.23"/>
    <n v="1403.92"/>
    <n v="1403.92"/>
    <n v="1403.92"/>
    <n v="1297.49"/>
    <n v="1510.35"/>
    <n v="1297.49"/>
    <n v="1503.83"/>
    <n v="1403.92"/>
    <n v="1404.12"/>
    <n v="1404.12"/>
    <n v="1404.12"/>
    <n v="16848.429999999997"/>
    <n v="0"/>
  </r>
  <r>
    <x v="7"/>
    <x v="4"/>
    <x v="0"/>
    <s v="4915103"/>
    <n v="718077"/>
    <s v="PACS"/>
    <s v="Echo Cardiology"/>
    <x v="0"/>
    <n v="1000"/>
    <n v="2886"/>
    <n v="3035.48"/>
    <n v="2763.01"/>
    <n v="3152.01"/>
    <n v="2880.12"/>
    <n v="2786.55"/>
    <n v="3183.2"/>
    <n v="2655.31"/>
    <n v="3195.55"/>
    <n v="3156.12"/>
    <n v="3262.05"/>
    <n v="2965.45"/>
    <n v="35920.85"/>
    <n v="296.60000000000036"/>
  </r>
  <r>
    <x v="7"/>
    <x v="4"/>
    <x v="0"/>
    <s v="4915103"/>
    <n v="718091"/>
    <s v="Contract Services-Intracompany Allocation"/>
    <s v="Echo Cardiology"/>
    <x v="0"/>
    <m/>
    <n v="1611.79"/>
    <n v="1893.68"/>
    <n v="1426.12"/>
    <n v="2099.5100000000002"/>
    <n v="1649.26"/>
    <n v="2276.98"/>
    <n v="2195.0100000000002"/>
    <n v="2177.02"/>
    <n v="2275.36"/>
    <n v="896.2"/>
    <n v="2371.2600000000002"/>
    <n v="1908.24"/>
    <n v="22780.430000000004"/>
    <n v="463.02000000000021"/>
  </r>
  <r>
    <x v="11"/>
    <x v="4"/>
    <x v="0"/>
    <s v="4915103"/>
    <n v="721010"/>
    <s v="Patient Monitoring"/>
    <s v="Echo Cardiology"/>
    <x v="0"/>
    <n v="1000"/>
    <n v="48.46"/>
    <n v="103.7"/>
    <n v="52.86"/>
    <n v="70.48"/>
    <n v="74.89"/>
    <n v="61.67"/>
    <n v="70.489999999999995"/>
    <n v="52.86"/>
    <n v="61.67"/>
    <n v="79.290000000000006"/>
    <n v="70.489999999999995"/>
    <n v="70.489999999999995"/>
    <n v="817.34999999999991"/>
    <n v="0"/>
  </r>
  <r>
    <x v="11"/>
    <x v="4"/>
    <x v="0"/>
    <s v="4915103"/>
    <n v="721350"/>
    <s v="Radiology Imaging - Contrast Media"/>
    <s v="Echo Cardiology"/>
    <x v="0"/>
    <n v="1000"/>
    <n v="5320.84"/>
    <n v="7981.24"/>
    <n v="2519.04"/>
    <n v="0"/>
    <n v="2647.68"/>
    <n v="2647.68"/>
    <n v="2647.68"/>
    <n v="13364.85"/>
    <n v="3977.31"/>
    <n v="198.75"/>
    <n v="3977.31"/>
    <n v="2651.54"/>
    <n v="47933.919999999998"/>
    <n v="1325.77"/>
  </r>
  <r>
    <x v="11"/>
    <x v="4"/>
    <x v="0"/>
    <s v="4915103"/>
    <n v="721410"/>
    <s v="Supplies-Medical - Nonbillable"/>
    <s v="Echo Cardiology"/>
    <x v="0"/>
    <m/>
    <n v="1.37"/>
    <n v="1.37"/>
    <n v="0"/>
    <n v="1200.5999999999999"/>
    <n v="0"/>
    <n v="0"/>
    <n v="1.37"/>
    <n v="1.37"/>
    <n v="0"/>
    <n v="0"/>
    <n v="1.37"/>
    <n v="2.74"/>
    <n v="1210.1899999999996"/>
    <n v="-1.37"/>
  </r>
  <r>
    <x v="11"/>
    <x v="4"/>
    <x v="0"/>
    <s v="4915103"/>
    <n v="721420"/>
    <s v="Tubes Drains &amp; Related Supplies"/>
    <s v="Echo Cardiology"/>
    <x v="0"/>
    <n v="1008"/>
    <n v="0"/>
    <n v="7.2"/>
    <n v="6"/>
    <n v="3"/>
    <n v="0"/>
    <n v="4.8"/>
    <n v="3"/>
    <n v="3"/>
    <n v="6"/>
    <n v="3.6"/>
    <n v="0"/>
    <n v="3"/>
    <n v="39.6"/>
    <n v="-3"/>
  </r>
  <r>
    <x v="11"/>
    <x v="4"/>
    <x v="0"/>
    <s v="4915103"/>
    <n v="721640"/>
    <s v="Supplies-IV Solutions/Supplies - Nonbillable"/>
    <s v="Echo Cardiology"/>
    <x v="0"/>
    <m/>
    <n v="4.4400000000000004"/>
    <n v="4.4400000000000004"/>
    <n v="5.33"/>
    <n v="0"/>
    <n v="4.4400000000000004"/>
    <n v="4.4400000000000004"/>
    <n v="10.210000000000001"/>
    <n v="0"/>
    <n v="6.66"/>
    <n v="6.22"/>
    <n v="0"/>
    <n v="0"/>
    <n v="46.180000000000007"/>
    <n v="0"/>
  </r>
  <r>
    <x v="11"/>
    <x v="4"/>
    <x v="0"/>
    <s v="4915103"/>
    <n v="721650"/>
    <s v="Supplies-Pharmacy Drugs - Nonbillable"/>
    <s v="Echo Cardiology"/>
    <x v="0"/>
    <m/>
    <n v="0"/>
    <n v="0"/>
    <n v="7.25"/>
    <n v="0"/>
    <n v="0"/>
    <n v="7.25"/>
    <n v="0"/>
    <n v="0"/>
    <n v="7.25"/>
    <n v="0"/>
    <n v="0"/>
    <n v="7.25"/>
    <n v="29"/>
    <n v="-7.25"/>
  </r>
  <r>
    <x v="11"/>
    <x v="4"/>
    <x v="0"/>
    <s v="4915103"/>
    <n v="721750"/>
    <s v="Supplies-Film/Radiographic - Nonbillable"/>
    <s v="Echo Cardiology"/>
    <x v="0"/>
    <m/>
    <n v="5.62"/>
    <n v="7.5"/>
    <n v="2.81"/>
    <n v="2.81"/>
    <n v="5.62"/>
    <n v="6.56"/>
    <n v="5.62"/>
    <n v="8.43"/>
    <n v="4.68"/>
    <n v="11.24"/>
    <n v="2.81"/>
    <n v="8.43"/>
    <n v="72.13"/>
    <n v="-5.6199999999999992"/>
  </r>
  <r>
    <x v="11"/>
    <x v="4"/>
    <x v="0"/>
    <s v="4915103"/>
    <n v="721810"/>
    <s v="Supplies-Dietary/Cafeteria"/>
    <s v="Echo Cardiology"/>
    <x v="0"/>
    <m/>
    <n v="0"/>
    <n v="0"/>
    <n v="0"/>
    <n v="0"/>
    <n v="0"/>
    <n v="0"/>
    <n v="0"/>
    <n v="0"/>
    <n v="0"/>
    <n v="0"/>
    <n v="7.69"/>
    <n v="0"/>
    <n v="7.69"/>
    <n v="7.69"/>
  </r>
  <r>
    <x v="11"/>
    <x v="4"/>
    <x v="0"/>
    <s v="4915103"/>
    <n v="721830"/>
    <s v="Supplies-Office"/>
    <s v="Echo Cardiology"/>
    <x v="0"/>
    <m/>
    <n v="0"/>
    <n v="0"/>
    <n v="0"/>
    <n v="0"/>
    <n v="0"/>
    <n v="39.24"/>
    <n v="0"/>
    <n v="0"/>
    <n v="0"/>
    <n v="0"/>
    <n v="0"/>
    <n v="0"/>
    <n v="39.24"/>
    <n v="0"/>
  </r>
  <r>
    <x v="11"/>
    <x v="4"/>
    <x v="0"/>
    <s v="4915103"/>
    <n v="721870"/>
    <s v="Supplies-Environmental Services"/>
    <s v="Echo Cardiology"/>
    <x v="0"/>
    <m/>
    <n v="0"/>
    <n v="0"/>
    <n v="0"/>
    <n v="0"/>
    <n v="0"/>
    <n v="0"/>
    <n v="0"/>
    <n v="0"/>
    <n v="0"/>
    <n v="0"/>
    <n v="0"/>
    <n v="4.8"/>
    <n v="4.8"/>
    <n v="-4.8"/>
  </r>
  <r>
    <x v="11"/>
    <x v="4"/>
    <x v="0"/>
    <s v="4915103"/>
    <n v="721910"/>
    <s v="Supplies-Small Equipment"/>
    <s v="Echo Cardiology"/>
    <x v="0"/>
    <m/>
    <n v="0"/>
    <n v="0"/>
    <n v="0"/>
    <n v="0"/>
    <n v="0"/>
    <n v="0"/>
    <n v="0"/>
    <n v="0"/>
    <n v="0"/>
    <n v="0"/>
    <n v="0"/>
    <n v="0.17"/>
    <n v="0.17"/>
    <n v="-0.17"/>
  </r>
  <r>
    <x v="11"/>
    <x v="4"/>
    <x v="0"/>
    <s v="4915103"/>
    <n v="721980"/>
    <s v="Supplies-Other"/>
    <s v="Echo Cardiology"/>
    <x v="0"/>
    <m/>
    <n v="57.6"/>
    <n v="9.85"/>
    <n v="0"/>
    <n v="0"/>
    <n v="0"/>
    <n v="0"/>
    <n v="490"/>
    <n v="67.459999999999994"/>
    <n v="0"/>
    <n v="0"/>
    <n v="665"/>
    <n v="0"/>
    <n v="1289.9100000000001"/>
    <n v="665"/>
  </r>
  <r>
    <x v="13"/>
    <x v="4"/>
    <x v="0"/>
    <s v="4915103"/>
    <n v="735070"/>
    <s v="Depreciation-Movable Equipment"/>
    <s v="Echo Cardiology"/>
    <x v="0"/>
    <m/>
    <n v="6026.43"/>
    <n v="6026.43"/>
    <n v="6026.43"/>
    <n v="6026.42"/>
    <n v="6026.43"/>
    <n v="6026.42"/>
    <n v="6026.43"/>
    <n v="6026.42"/>
    <n v="6026.44"/>
    <n v="6026.42"/>
    <n v="8560.48"/>
    <n v="7293.43"/>
    <n v="76118.179999999993"/>
    <n v="1267.0499999999993"/>
  </r>
  <r>
    <x v="0"/>
    <x v="4"/>
    <x v="0"/>
    <s v="4915103"/>
    <n v="740020"/>
    <s v="Education-Registration Fees"/>
    <s v="Echo Cardiology"/>
    <x v="0"/>
    <m/>
    <n v="0"/>
    <n v="0"/>
    <n v="0"/>
    <n v="0"/>
    <n v="0"/>
    <n v="0"/>
    <n v="0"/>
    <n v="0"/>
    <n v="45"/>
    <n v="0"/>
    <n v="0"/>
    <n v="0"/>
    <n v="45"/>
    <n v="0"/>
  </r>
  <r>
    <x v="0"/>
    <x v="4"/>
    <x v="0"/>
    <s v="4915103"/>
    <n v="749530"/>
    <s v="Mileage"/>
    <s v="Echo Cardiology"/>
    <x v="0"/>
    <n v="1001"/>
    <n v="0"/>
    <n v="0"/>
    <n v="0"/>
    <n v="0"/>
    <n v="0"/>
    <n v="0"/>
    <n v="19.62"/>
    <n v="0"/>
    <n v="0"/>
    <n v="0"/>
    <n v="0"/>
    <n v="0"/>
    <n v="19.62"/>
    <n v="0"/>
  </r>
  <r>
    <x v="18"/>
    <x v="8"/>
    <x v="0"/>
    <s v="4915104"/>
    <n v="400010"/>
    <s v="Acute I/P Svcs Rev--Medicare"/>
    <s v="Echo Cardiology"/>
    <x v="0"/>
    <n v="1100"/>
    <n v="-287080.18"/>
    <n v="-297865.83"/>
    <n v="-376582.47"/>
    <n v="-268990.40000000002"/>
    <n v="-239898.83"/>
    <n v="-336082.91"/>
    <n v="-291104.44"/>
    <n v="-299455.82"/>
    <n v="-329261.19"/>
    <n v="-324175.71000000002"/>
    <n v="-299414.12"/>
    <n v="-340865.2"/>
    <n v="-3690777.1"/>
    <n v="41451.080000000016"/>
  </r>
  <r>
    <x v="18"/>
    <x v="8"/>
    <x v="0"/>
    <s v="4915104"/>
    <n v="400010"/>
    <s v="Acute I/P Svcs Rev--Medicaid"/>
    <s v="Echo Cardiology"/>
    <x v="0"/>
    <n v="1200"/>
    <n v="-50450.26"/>
    <n v="-42689.29"/>
    <n v="-49402.400000000001"/>
    <n v="-53226.57"/>
    <n v="-56773.79"/>
    <n v="-57832.63"/>
    <n v="-46329.2"/>
    <n v="-68109.25"/>
    <n v="-59272.14"/>
    <n v="-67667.53"/>
    <n v="-65413.04"/>
    <n v="-39567.879999999997"/>
    <n v="-656733.9800000001"/>
    <n v="-25845.160000000003"/>
  </r>
  <r>
    <x v="18"/>
    <x v="8"/>
    <x v="0"/>
    <s v="4915104"/>
    <n v="400010"/>
    <s v="Acute I/P Svcs Rev--Comm Insurance"/>
    <s v="Echo Cardiology"/>
    <x v="0"/>
    <n v="1300"/>
    <n v="-11187.43"/>
    <n v="-3969.73"/>
    <n v="0"/>
    <n v="-8989.7199999999993"/>
    <n v="-1489.5"/>
    <n v="3789.29"/>
    <n v="-7578.58"/>
    <n v="3789.29"/>
    <n v="-3902.97"/>
    <n v="-3789.29"/>
    <n v="0"/>
    <n v="0"/>
    <n v="-33328.639999999999"/>
    <n v="0"/>
  </r>
  <r>
    <x v="18"/>
    <x v="8"/>
    <x v="0"/>
    <s v="4915104"/>
    <n v="400010"/>
    <s v="Acute I/P Svcs Rev--BCBS Comm"/>
    <s v="Echo Cardiology"/>
    <x v="0"/>
    <n v="1301"/>
    <n v="-14190.15"/>
    <n v="-25315.35"/>
    <n v="-30045.43"/>
    <n v="-7578.58"/>
    <n v="-11367.87"/>
    <n v="-7578.58"/>
    <n v="-12463.82"/>
    <n v="-14004.32"/>
    <n v="-23417.82"/>
    <n v="-47438.45"/>
    <n v="3789.29"/>
    <n v="-10793.6"/>
    <n v="-200404.68"/>
    <n v="14582.89"/>
  </r>
  <r>
    <x v="18"/>
    <x v="8"/>
    <x v="0"/>
    <s v="4915104"/>
    <n v="400010"/>
    <s v="Acute I/P Svcs Rev--Managed Care"/>
    <s v="Echo Cardiology"/>
    <x v="0"/>
    <n v="1400"/>
    <n v="-27266.03"/>
    <n v="-36388.94"/>
    <n v="-52765.599999999999"/>
    <n v="-27389.33"/>
    <n v="-26000.02"/>
    <n v="-53963.97"/>
    <n v="-38757.199999999997"/>
    <n v="-49572.1"/>
    <n v="-27884.03"/>
    <n v="-24709.96"/>
    <n v="-66556.160000000003"/>
    <n v="-28945.25"/>
    <n v="-460198.58999999997"/>
    <n v="-37610.910000000003"/>
  </r>
  <r>
    <x v="18"/>
    <x v="8"/>
    <x v="0"/>
    <s v="4915104"/>
    <n v="400010"/>
    <s v="Acute I/P Svcs Rev--Self Pay"/>
    <s v="Echo Cardiology"/>
    <x v="0"/>
    <n v="1500"/>
    <n v="-180.44"/>
    <n v="-7398.14"/>
    <n v="-7578.58"/>
    <n v="-3789.29"/>
    <n v="0"/>
    <n v="-8989.7199999999993"/>
    <n v="0"/>
    <n v="3789.29"/>
    <n v="-11708.91"/>
    <n v="0"/>
    <n v="-14144.17"/>
    <n v="-8443.24"/>
    <n v="-58443.19999999999"/>
    <n v="-5700.93"/>
  </r>
  <r>
    <x v="18"/>
    <x v="8"/>
    <x v="0"/>
    <s v="4915104"/>
    <n v="400010"/>
    <s v="Acute I/P Svcs Rev--Other"/>
    <s v="Echo Cardiology"/>
    <x v="0"/>
    <n v="1700"/>
    <n v="-16568.3"/>
    <n v="-20904.43"/>
    <n v="-6870.37"/>
    <n v="-27389.33"/>
    <n v="-14190.15"/>
    <n v="-18946.45"/>
    <n v="-40088.75"/>
    <n v="-22657.64"/>
    <n v="-18217.39"/>
    <n v="-31618.77"/>
    <n v="-23956"/>
    <n v="-10793.6"/>
    <n v="-252201.18"/>
    <n v="-13162.4"/>
  </r>
  <r>
    <x v="19"/>
    <x v="8"/>
    <x v="0"/>
    <s v="4915104"/>
    <n v="400020"/>
    <s v="O/P Care Svcs Rev--Medicare"/>
    <s v="Echo Cardiology"/>
    <x v="0"/>
    <n v="1100"/>
    <n v="-251933.77"/>
    <n v="-345426.23"/>
    <n v="-345761.47"/>
    <n v="-211171.94"/>
    <n v="-336782.2"/>
    <n v="-241495.5"/>
    <n v="-301554.89"/>
    <n v="-302415.71999999997"/>
    <n v="-295609.02"/>
    <n v="-357516.68"/>
    <n v="-397572.03"/>
    <n v="-178145.47"/>
    <n v="-3565384.9200000004"/>
    <n v="-219426.56000000003"/>
  </r>
  <r>
    <x v="19"/>
    <x v="8"/>
    <x v="0"/>
    <s v="4915104"/>
    <n v="400020"/>
    <s v="O/P Care Svcs Rev--Medicaid"/>
    <s v="Echo Cardiology"/>
    <x v="0"/>
    <n v="1200"/>
    <n v="-48816.25"/>
    <n v="-37547.519999999997"/>
    <n v="-46589.919999999998"/>
    <n v="-14268.51"/>
    <n v="-36683.22"/>
    <n v="-25636.38"/>
    <n v="-42287.1"/>
    <n v="-18599.54"/>
    <n v="-42311.48"/>
    <n v="-46091.3"/>
    <n v="-48289.13"/>
    <n v="-19514.849999999999"/>
    <n v="-426635.19999999995"/>
    <n v="-28774.28"/>
  </r>
  <r>
    <x v="19"/>
    <x v="8"/>
    <x v="0"/>
    <s v="4915104"/>
    <n v="400020"/>
    <s v="O/P Care Svcs Rev--Comm Insurance"/>
    <s v="Echo Cardiology"/>
    <x v="0"/>
    <n v="1300"/>
    <n v="-3969.73"/>
    <n v="-3789.29"/>
    <n v="-7759.02"/>
    <n v="-3789.29"/>
    <n v="-3608.85"/>
    <n v="-11367.87"/>
    <n v="-11986.6"/>
    <n v="-9259.43"/>
    <n v="0"/>
    <n v="-11708.91"/>
    <n v="-29664.53"/>
    <n v="-8369.18"/>
    <n v="-105272.70000000001"/>
    <n v="-21295.35"/>
  </r>
  <r>
    <x v="19"/>
    <x v="8"/>
    <x v="0"/>
    <s v="4915104"/>
    <n v="400020"/>
    <s v="O/P Care Svcs Rev--BCBS Comm"/>
    <s v="Echo Cardiology"/>
    <x v="0"/>
    <n v="1301"/>
    <n v="-44147.96"/>
    <n v="-35296.46"/>
    <n v="-25636.38"/>
    <n v="-55950.7"/>
    <n v="-42850.66"/>
    <n v="-16325.63"/>
    <n v="-37004.25"/>
    <n v="-48289.13"/>
    <n v="-22502.51"/>
    <n v="-25173.74"/>
    <n v="-35126.730000000003"/>
    <n v="-20601.13"/>
    <n v="-408905.27999999997"/>
    <n v="-14525.600000000002"/>
  </r>
  <r>
    <x v="19"/>
    <x v="8"/>
    <x v="0"/>
    <s v="4915104"/>
    <n v="400020"/>
    <s v="O/P Care Svcs Rev--Managed Care"/>
    <s v="Echo Cardiology"/>
    <x v="0"/>
    <n v="1400"/>
    <n v="-69561.69"/>
    <n v="-89120.86"/>
    <n v="-70148.34"/>
    <n v="-58791.26"/>
    <n v="-68155.48"/>
    <n v="-34114.14"/>
    <n v="-90748.7"/>
    <n v="-70253.460000000006"/>
    <n v="-46452.06"/>
    <n v="-87318.83"/>
    <n v="-81207.11"/>
    <n v="-73330.240000000005"/>
    <n v="-839202.16999999993"/>
    <n v="-7876.8699999999953"/>
  </r>
  <r>
    <x v="19"/>
    <x v="8"/>
    <x v="0"/>
    <s v="4915104"/>
    <n v="400020"/>
    <s v="O/P Care Svcs Rev--Self Pay"/>
    <s v="Echo Cardiology"/>
    <x v="0"/>
    <n v="1500"/>
    <n v="0"/>
    <n v="0"/>
    <n v="0"/>
    <n v="-7578.58"/>
    <n v="0"/>
    <n v="-3789.29"/>
    <n v="-3789.29"/>
    <n v="-15611.88"/>
    <n v="-3902.97"/>
    <n v="0"/>
    <n v="0"/>
    <n v="0"/>
    <n v="-34672.01"/>
    <n v="0"/>
  </r>
  <r>
    <x v="19"/>
    <x v="8"/>
    <x v="0"/>
    <s v="4915104"/>
    <n v="400020"/>
    <s v="O/P Care Svcs Rev--Other"/>
    <s v="Echo Cardiology"/>
    <x v="0"/>
    <n v="1700"/>
    <n v="-18946.45"/>
    <n v="-37892.9"/>
    <n v="0"/>
    <n v="-18946.45"/>
    <n v="-18946.45"/>
    <n v="-11367.87"/>
    <n v="-30314.32"/>
    <n v="-13881.47"/>
    <n v="-15611.88"/>
    <n v="-24707.82"/>
    <n v="-20053.03"/>
    <n v="-23417.82"/>
    <n v="-234086.46000000002"/>
    <n v="3364.7900000000009"/>
  </r>
  <r>
    <x v="5"/>
    <x v="8"/>
    <x v="0"/>
    <s v="4915104"/>
    <n v="700034"/>
    <s v="Salaries-Tech/Professional-Productive"/>
    <s v="Echo Cardiology"/>
    <x v="0"/>
    <m/>
    <n v="15978.07"/>
    <n v="16627.04"/>
    <n v="17349.189999999999"/>
    <n v="12965.61"/>
    <n v="14183.64"/>
    <n v="16056.45"/>
    <n v="18215.43"/>
    <n v="17151.849999999999"/>
    <n v="16086.83"/>
    <n v="18267.13"/>
    <n v="19948.45"/>
    <n v="12919.89"/>
    <n v="195749.58000000002"/>
    <n v="7028.5600000000013"/>
  </r>
  <r>
    <x v="5"/>
    <x v="8"/>
    <x v="0"/>
    <s v="4915104"/>
    <n v="700034"/>
    <s v="Salaries-Tech/Professional-OT"/>
    <s v="Echo Cardiology"/>
    <x v="0"/>
    <n v="1000"/>
    <n v="876.05"/>
    <n v="715.11"/>
    <n v="1015.98"/>
    <n v="1349.41"/>
    <n v="1491.84"/>
    <n v="574.94000000000005"/>
    <n v="923.79"/>
    <n v="1141.32"/>
    <n v="619.97"/>
    <n v="1653.28"/>
    <n v="542.47"/>
    <n v="809.23"/>
    <n v="11713.39"/>
    <n v="-266.76"/>
  </r>
  <r>
    <x v="5"/>
    <x v="8"/>
    <x v="0"/>
    <s v="4915104"/>
    <n v="700034"/>
    <s v="Salaries-Tech/Professional-Other"/>
    <s v="Echo Cardiology"/>
    <x v="0"/>
    <n v="2000"/>
    <n v="2970.12"/>
    <n v="3080.3"/>
    <n v="2990.55"/>
    <n v="2014.98"/>
    <n v="1954.03"/>
    <n v="2821.35"/>
    <n v="2909.33"/>
    <n v="2158.1"/>
    <n v="2814.3"/>
    <n v="2660.38"/>
    <n v="3305.99"/>
    <n v="2374.1999999999998"/>
    <n v="32053.63"/>
    <n v="931.79"/>
  </r>
  <r>
    <x v="5"/>
    <x v="8"/>
    <x v="0"/>
    <s v="4915104"/>
    <n v="700074"/>
    <s v="Salaries-Tech/Professional-Non-productive"/>
    <s v="Echo Cardiology"/>
    <x v="0"/>
    <m/>
    <n v="825.19"/>
    <n v="1524.62"/>
    <n v="1403.26"/>
    <n v="1037.04"/>
    <n v="528.35"/>
    <n v="1200.8900000000001"/>
    <n v="688.45"/>
    <n v="-121.67"/>
    <n v="933.94"/>
    <n v="28.1"/>
    <n v="1256.4100000000001"/>
    <n v="6271.06"/>
    <n v="15575.64"/>
    <n v="-5014.6500000000005"/>
  </r>
  <r>
    <x v="5"/>
    <x v="8"/>
    <x v="0"/>
    <s v="4915104"/>
    <n v="700074"/>
    <s v="Salaries-Tech/Professional-NonProd-Other"/>
    <s v="Echo Cardiology"/>
    <x v="0"/>
    <n v="2000"/>
    <n v="40.97"/>
    <n v="84.68"/>
    <n v="650.46"/>
    <n v="467.54"/>
    <n v="-18.89"/>
    <n v="87.76"/>
    <n v="279.48"/>
    <n v="273.86"/>
    <n v="110.97"/>
    <n v="731.33"/>
    <n v="613.9"/>
    <n v="566.77"/>
    <n v="3888.8300000000004"/>
    <n v="47.129999999999995"/>
  </r>
  <r>
    <x v="5"/>
    <x v="8"/>
    <x v="0"/>
    <s v="4915104"/>
    <n v="700084"/>
    <s v="Accrued PTO"/>
    <s v="Echo Cardiology"/>
    <x v="0"/>
    <m/>
    <n v="631.72"/>
    <n v="-91.84"/>
    <n v="7.71"/>
    <n v="205.14"/>
    <n v="880.27"/>
    <n v="369.09"/>
    <n v="738.74"/>
    <n v="1425.62"/>
    <n v="434.79"/>
    <n v="1282.5"/>
    <n v="634.46"/>
    <n v="-4336.88"/>
    <n v="2181.3199999999997"/>
    <n v="4971.34"/>
  </r>
  <r>
    <x v="6"/>
    <x v="8"/>
    <x v="0"/>
    <s v="4915104"/>
    <n v="713010"/>
    <s v="Benefits-FICA/Medicare"/>
    <s v="Echo Cardiology"/>
    <x v="0"/>
    <m/>
    <n v="1569.94"/>
    <n v="1672.6"/>
    <n v="1778.42"/>
    <n v="1351.55"/>
    <n v="1375.23"/>
    <n v="1575.17"/>
    <n v="1746.18"/>
    <n v="1563.44"/>
    <n v="1559.53"/>
    <n v="1771.74"/>
    <n v="1949.15"/>
    <n v="1741.27"/>
    <n v="19654.22"/>
    <n v="207.88000000000011"/>
  </r>
  <r>
    <x v="6"/>
    <x v="8"/>
    <x v="0"/>
    <s v="4915104"/>
    <n v="713090"/>
    <s v="Benefits-Allocated Amounts"/>
    <s v="Echo Cardiology"/>
    <x v="0"/>
    <m/>
    <n v="3388.57"/>
    <n v="3256.67"/>
    <n v="3561.22"/>
    <n v="2846.49"/>
    <n v="3061.04"/>
    <n v="3241.05"/>
    <n v="3770.94"/>
    <n v="3653.76"/>
    <n v="3472.66"/>
    <n v="4099.83"/>
    <n v="4353.5200000000004"/>
    <n v="3719.46"/>
    <n v="42425.21"/>
    <n v="634.0600000000004"/>
  </r>
  <r>
    <x v="6"/>
    <x v="8"/>
    <x v="0"/>
    <s v="4915104"/>
    <n v="713096"/>
    <s v="Employee Recognition"/>
    <s v="Echo Cardiology"/>
    <x v="0"/>
    <n v="1017"/>
    <n v="0"/>
    <n v="0"/>
    <n v="0"/>
    <n v="0"/>
    <n v="0"/>
    <n v="0"/>
    <n v="0"/>
    <n v="0"/>
    <n v="0"/>
    <n v="0"/>
    <n v="50"/>
    <n v="0"/>
    <n v="50"/>
    <n v="50"/>
  </r>
  <r>
    <x v="7"/>
    <x v="8"/>
    <x v="0"/>
    <s v="4915104"/>
    <n v="718070"/>
    <s v="Contract Srvcs-CHI Clinical Engineering"/>
    <s v="Echo Cardiology"/>
    <x v="0"/>
    <m/>
    <n v="452.29"/>
    <n v="444.98"/>
    <n v="444.98"/>
    <n v="444.98"/>
    <n v="444.98"/>
    <n v="444.98"/>
    <n v="444.98"/>
    <n v="444.98"/>
    <n v="444.98"/>
    <n v="445.38"/>
    <n v="445.38"/>
    <n v="445.38"/>
    <n v="5348.27"/>
    <n v="0"/>
  </r>
  <r>
    <x v="7"/>
    <x v="8"/>
    <x v="0"/>
    <s v="4915104"/>
    <n v="718077"/>
    <s v="PACS"/>
    <s v="Echo Cardiology"/>
    <x v="0"/>
    <n v="1000"/>
    <n v="2319.59"/>
    <n v="2439.7399999999998"/>
    <n v="2220.7399999999998"/>
    <n v="2533.39"/>
    <n v="2314.86"/>
    <n v="2239.66"/>
    <n v="2558.46"/>
    <n v="2134.1799999999998"/>
    <n v="2568.39"/>
    <n v="2536.6999999999998"/>
    <n v="2621.84"/>
    <n v="2383.4499999999998"/>
    <n v="28871"/>
    <n v="238.39000000000033"/>
  </r>
  <r>
    <x v="7"/>
    <x v="8"/>
    <x v="0"/>
    <s v="4915104"/>
    <n v="718091"/>
    <s v="Contract Services-Intracompany Allocation"/>
    <s v="Echo Cardiology"/>
    <x v="0"/>
    <m/>
    <n v="1007.37"/>
    <n v="1183.55"/>
    <n v="891.32"/>
    <n v="1312.2"/>
    <n v="1030.79"/>
    <n v="1423.11"/>
    <n v="1371.88"/>
    <n v="1360.64"/>
    <n v="1422.1"/>
    <n v="560.12"/>
    <n v="1482.04"/>
    <n v="1192.6500000000001"/>
    <n v="14237.770000000002"/>
    <n v="289.38999999999987"/>
  </r>
  <r>
    <x v="11"/>
    <x v="8"/>
    <x v="0"/>
    <s v="4915104"/>
    <n v="721250"/>
    <s v="Supplies-Pharmacy Drugs - Billable"/>
    <s v="Echo Cardiology"/>
    <x v="0"/>
    <m/>
    <n v="5317.22"/>
    <n v="2519.04"/>
    <n v="2519.04"/>
    <n v="0"/>
    <n v="2658.61"/>
    <n v="0"/>
    <n v="5166.72"/>
    <n v="2647.68"/>
    <n v="2519.04"/>
    <n v="2651.54"/>
    <n v="2651.54"/>
    <n v="2519.04"/>
    <n v="31169.470000000005"/>
    <n v="132.5"/>
  </r>
  <r>
    <x v="11"/>
    <x v="8"/>
    <x v="0"/>
    <s v="4915104"/>
    <n v="721410"/>
    <s v="Supplies-Medical - Nonbillable"/>
    <s v="Echo Cardiology"/>
    <x v="0"/>
    <m/>
    <n v="0"/>
    <n v="0"/>
    <n v="0"/>
    <n v="0"/>
    <n v="0"/>
    <n v="0"/>
    <n v="0"/>
    <n v="0"/>
    <n v="0"/>
    <n v="27.21"/>
    <n v="0"/>
    <n v="0"/>
    <n v="27.21"/>
    <n v="0"/>
  </r>
  <r>
    <x v="11"/>
    <x v="8"/>
    <x v="0"/>
    <s v="4915104"/>
    <n v="721810"/>
    <s v="Supplies-Dietary/Cafeteria"/>
    <s v="Echo Cardiology"/>
    <x v="0"/>
    <m/>
    <n v="0"/>
    <n v="0"/>
    <n v="0"/>
    <n v="0"/>
    <n v="0"/>
    <n v="0"/>
    <n v="0"/>
    <n v="6.52"/>
    <n v="0"/>
    <n v="0"/>
    <n v="16"/>
    <n v="0"/>
    <n v="22.52"/>
    <n v="16"/>
  </r>
  <r>
    <x v="11"/>
    <x v="8"/>
    <x v="0"/>
    <s v="4915104"/>
    <n v="721830"/>
    <s v="Supplies-Office"/>
    <s v="Echo Cardiology"/>
    <x v="0"/>
    <m/>
    <n v="0"/>
    <n v="330.97"/>
    <n v="0"/>
    <n v="0"/>
    <n v="0"/>
    <n v="38.880000000000003"/>
    <n v="0"/>
    <n v="0"/>
    <n v="0"/>
    <n v="0"/>
    <n v="0"/>
    <n v="0"/>
    <n v="369.85"/>
    <n v="0"/>
  </r>
  <r>
    <x v="11"/>
    <x v="8"/>
    <x v="0"/>
    <s v="4915104"/>
    <n v="721910"/>
    <s v="Supplies-Small Equipment"/>
    <s v="Echo Cardiology"/>
    <x v="0"/>
    <m/>
    <n v="0"/>
    <n v="311.39999999999998"/>
    <n v="0"/>
    <n v="378.12"/>
    <n v="629.30999999999995"/>
    <n v="-49.31"/>
    <n v="0"/>
    <n v="0"/>
    <n v="0"/>
    <n v="0"/>
    <n v="0"/>
    <n v="0"/>
    <n v="1269.52"/>
    <n v="0"/>
  </r>
  <r>
    <x v="11"/>
    <x v="8"/>
    <x v="0"/>
    <s v="4915104"/>
    <n v="721980"/>
    <s v="Supplies-Other"/>
    <s v="Echo Cardiology"/>
    <x v="0"/>
    <m/>
    <n v="0"/>
    <n v="0"/>
    <n v="0"/>
    <n v="0"/>
    <n v="0"/>
    <n v="0"/>
    <n v="108.5"/>
    <n v="0"/>
    <n v="0"/>
    <n v="0"/>
    <n v="0"/>
    <n v="0"/>
    <n v="108.5"/>
    <n v="0"/>
  </r>
  <r>
    <x v="11"/>
    <x v="8"/>
    <x v="0"/>
    <s v="4915104"/>
    <n v="722000"/>
    <s v="Supplies-Freight Expense"/>
    <s v="Echo Cardiology"/>
    <x v="0"/>
    <m/>
    <n v="0"/>
    <n v="0"/>
    <n v="7.93"/>
    <n v="0"/>
    <n v="8.02"/>
    <n v="27.31"/>
    <n v="0"/>
    <n v="0"/>
    <n v="0"/>
    <n v="0"/>
    <n v="0"/>
    <n v="0"/>
    <n v="43.26"/>
    <n v="0"/>
  </r>
  <r>
    <x v="15"/>
    <x v="8"/>
    <x v="0"/>
    <s v="4915104"/>
    <n v="731060"/>
    <s v="Pagers"/>
    <s v="Echo Cardiology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3"/>
    <x v="8"/>
    <x v="0"/>
    <s v="4915104"/>
    <n v="735070"/>
    <s v="Depreciation-Movable Equipment"/>
    <s v="Echo Cardiology"/>
    <x v="0"/>
    <m/>
    <n v="3297.48"/>
    <n v="3297.48"/>
    <n v="3297.48"/>
    <n v="3297.48"/>
    <n v="3297.48"/>
    <n v="3297.48"/>
    <n v="3297.48"/>
    <n v="3297.48"/>
    <n v="3297.48"/>
    <n v="3297.47"/>
    <n v="3297.48"/>
    <n v="6111.95"/>
    <n v="42384.22"/>
    <n v="-2814.47"/>
  </r>
  <r>
    <x v="0"/>
    <x v="8"/>
    <x v="0"/>
    <s v="4915104"/>
    <n v="749510"/>
    <s v="Miscellaneous Expenses"/>
    <s v="Echo Cardiology"/>
    <x v="0"/>
    <m/>
    <n v="0"/>
    <n v="0"/>
    <n v="0"/>
    <n v="0"/>
    <n v="184.45"/>
    <n v="0"/>
    <n v="0"/>
    <n v="925.46"/>
    <n v="-48.78"/>
    <n v="50"/>
    <n v="-50"/>
    <n v="0"/>
    <n v="1061.1300000000001"/>
    <n v="-50"/>
  </r>
  <r>
    <x v="0"/>
    <x v="8"/>
    <x v="0"/>
    <s v="4915104"/>
    <n v="749510"/>
    <s v="RICE Rewards"/>
    <s v="Echo Cardiology"/>
    <x v="0"/>
    <n v="5100"/>
    <n v="0"/>
    <n v="0"/>
    <n v="0"/>
    <n v="0"/>
    <n v="0"/>
    <n v="0"/>
    <n v="0"/>
    <n v="0"/>
    <n v="0"/>
    <n v="50"/>
    <n v="0"/>
    <n v="0"/>
    <n v="50"/>
    <n v="0"/>
  </r>
  <r>
    <x v="0"/>
    <x v="8"/>
    <x v="0"/>
    <s v="4915104"/>
    <n v="749530"/>
    <s v="Travel"/>
    <s v="Echo Cardiology"/>
    <x v="0"/>
    <m/>
    <n v="0"/>
    <n v="0"/>
    <n v="0"/>
    <n v="0"/>
    <n v="0"/>
    <n v="5"/>
    <n v="0"/>
    <n v="0"/>
    <n v="10.5"/>
    <n v="0"/>
    <n v="0"/>
    <n v="0"/>
    <n v="15.5"/>
    <n v="0"/>
  </r>
  <r>
    <x v="0"/>
    <x v="8"/>
    <x v="0"/>
    <s v="4915104"/>
    <n v="749530"/>
    <s v="Mileage"/>
    <s v="Echo Cardiology"/>
    <x v="0"/>
    <n v="1001"/>
    <n v="0"/>
    <n v="0"/>
    <n v="0"/>
    <n v="0"/>
    <n v="0"/>
    <n v="15.81"/>
    <n v="0"/>
    <n v="0"/>
    <n v="38.28"/>
    <n v="0"/>
    <n v="0"/>
    <n v="0"/>
    <n v="54.09"/>
    <n v="0"/>
  </r>
  <r>
    <x v="18"/>
    <x v="5"/>
    <x v="0"/>
    <s v="4915106"/>
    <n v="400010"/>
    <s v="Acute I/P Svcs Rev--Medicare"/>
    <s v="Echo Cardiology"/>
    <x v="0"/>
    <n v="1100"/>
    <n v="-285869.48"/>
    <n v="-296129.69"/>
    <n v="-305927.52"/>
    <n v="-296407.86"/>
    <n v="-307746.78000000003"/>
    <n v="-356315.45"/>
    <n v="-363722.62"/>
    <n v="-322490.3"/>
    <n v="-371794.23"/>
    <n v="-300339.61"/>
    <n v="-333082.37"/>
    <n v="-345908.99"/>
    <n v="-3885734.8999999994"/>
    <n v="12826.619999999995"/>
  </r>
  <r>
    <x v="18"/>
    <x v="5"/>
    <x v="0"/>
    <s v="4915106"/>
    <n v="400010"/>
    <s v="Acute I/P Svcs Rev--Medicaid"/>
    <s v="Echo Cardiology"/>
    <x v="0"/>
    <n v="1200"/>
    <n v="-82152.55"/>
    <n v="-64521.99"/>
    <n v="-70125.64"/>
    <n v="-70128.33"/>
    <n v="-96176.97"/>
    <n v="-54273.56"/>
    <n v="-103534.33"/>
    <n v="-91455.99"/>
    <n v="-88670.31"/>
    <n v="-98512.25"/>
    <n v="-48749.81"/>
    <n v="-104682.1"/>
    <n v="-972983.83"/>
    <n v="55932.290000000008"/>
  </r>
  <r>
    <x v="18"/>
    <x v="5"/>
    <x v="0"/>
    <s v="4915106"/>
    <n v="400010"/>
    <s v="Acute I/P Svcs Rev--Comm Insurance"/>
    <s v="Echo Cardiology"/>
    <x v="0"/>
    <n v="1300"/>
    <n v="3608.85"/>
    <n v="-11367.87"/>
    <n v="11187.43"/>
    <n v="-3789.29"/>
    <n v="-11367.87"/>
    <n v="-12779.01"/>
    <n v="-3789.29"/>
    <n v="-6622.16"/>
    <n v="-12912.43"/>
    <n v="-15498.2"/>
    <n v="7692.26"/>
    <n v="-3902.97"/>
    <n v="-59540.55000000001"/>
    <n v="11595.23"/>
  </r>
  <r>
    <x v="18"/>
    <x v="5"/>
    <x v="0"/>
    <s v="4915106"/>
    <n v="400010"/>
    <s v="Acute I/P Svcs Rev--BCBS Comm"/>
    <s v="Echo Cardiology"/>
    <x v="0"/>
    <n v="1301"/>
    <n v="-19786.400000000001"/>
    <n v="-11367.87"/>
    <n v="-18946.45"/>
    <n v="-12702.84"/>
    <n v="-5138.2"/>
    <n v="-32347.09"/>
    <n v="-19810.75"/>
    <n v="-18155.21"/>
    <n v="-21042.400000000001"/>
    <n v="-28524.31"/>
    <n v="-19514.849999999999"/>
    <n v="-8696.19"/>
    <n v="-216032.56"/>
    <n v="-10818.659999999998"/>
  </r>
  <r>
    <x v="18"/>
    <x v="5"/>
    <x v="0"/>
    <s v="4915106"/>
    <n v="400010"/>
    <s v="Acute I/P Svcs Rev--Managed Care"/>
    <s v="Echo Cardiology"/>
    <x v="0"/>
    <n v="1400"/>
    <n v="-52869.62"/>
    <n v="-41682.19"/>
    <n v="-53105.09"/>
    <n v="-61085.33"/>
    <n v="-46335.78"/>
    <n v="-65337.26"/>
    <n v="-68510.58"/>
    <n v="-52120.97"/>
    <n v="-73550.75"/>
    <n v="-48289.13"/>
    <n v="-16968.05"/>
    <n v="-36779.81"/>
    <n v="-616634.56000000006"/>
    <n v="19811.759999999998"/>
  </r>
  <r>
    <x v="18"/>
    <x v="5"/>
    <x v="0"/>
    <s v="4915106"/>
    <n v="400010"/>
    <s v="Acute I/P Svcs Rev--Self Pay"/>
    <s v="Echo Cardiology"/>
    <x v="0"/>
    <n v="1500"/>
    <n v="4071.12"/>
    <n v="-11367.87"/>
    <n v="-27513.06"/>
    <n v="4957.76"/>
    <n v="-27693.5"/>
    <n v="-2032.77"/>
    <n v="-34103.61"/>
    <n v="-8146.98"/>
    <n v="-12912.43"/>
    <n v="3902.97"/>
    <n v="-19514.849999999999"/>
    <n v="-22792.99"/>
    <n v="-153146.21"/>
    <n v="3278.1400000000031"/>
  </r>
  <r>
    <x v="18"/>
    <x v="5"/>
    <x v="0"/>
    <s v="4915106"/>
    <n v="400010"/>
    <s v="Acute I/P Svcs Rev--Other"/>
    <s v="Echo Cardiology"/>
    <x v="0"/>
    <n v="1700"/>
    <n v="-16325.63"/>
    <n v="-180.44"/>
    <n v="-19126.89"/>
    <n v="2620.8200000000002"/>
    <n v="-1112.83"/>
    <n v="-7578.58"/>
    <n v="-16387.86"/>
    <n v="-5106.49"/>
    <n v="-4906.8999999999996"/>
    <n v="-6290.86"/>
    <n v="-7796.9"/>
    <n v="-7511.82"/>
    <n v="-89704.38"/>
    <n v="-285.07999999999993"/>
  </r>
  <r>
    <x v="19"/>
    <x v="5"/>
    <x v="0"/>
    <s v="4915106"/>
    <n v="400020"/>
    <s v="O/P Care Svcs Rev--Medicare"/>
    <s v="Echo Cardiology"/>
    <x v="0"/>
    <n v="1100"/>
    <n v="-240687.66"/>
    <n v="-277784.14"/>
    <n v="-293497.73"/>
    <n v="-361926.74"/>
    <n v="-193448.07"/>
    <n v="-197071.62"/>
    <n v="-168312.32000000001"/>
    <n v="-167459.57999999999"/>
    <n v="-287418.58"/>
    <n v="-243791.24"/>
    <n v="-219426.09"/>
    <n v="-205438.78"/>
    <n v="-2856262.5499999993"/>
    <n v="-13987.309999999998"/>
  </r>
  <r>
    <x v="19"/>
    <x v="5"/>
    <x v="0"/>
    <s v="4915106"/>
    <n v="400020"/>
    <s v="O/P Care Svcs Rev--Medicaid"/>
    <s v="Echo Cardiology"/>
    <x v="0"/>
    <n v="1200"/>
    <n v="-69557.56"/>
    <n v="-37708.76"/>
    <n v="-74029.279999999999"/>
    <n v="-71408.460000000006"/>
    <n v="-40492.25"/>
    <n v="-62661.41"/>
    <n v="-39504.379999999997"/>
    <n v="-48560.5"/>
    <n v="-70937.67"/>
    <n v="-48284.28"/>
    <n v="-68242.89"/>
    <n v="-54630.54"/>
    <n v="-686017.98"/>
    <n v="-13612.349999999999"/>
  </r>
  <r>
    <x v="19"/>
    <x v="5"/>
    <x v="0"/>
    <s v="4915106"/>
    <n v="400020"/>
    <s v="O/P Care Svcs Rev--Comm Insurance"/>
    <s v="Echo Cardiology"/>
    <x v="0"/>
    <n v="1300"/>
    <n v="-3789.29"/>
    <n v="-9654.3799999999992"/>
    <n v="-3789.29"/>
    <n v="-3789.29"/>
    <n v="-3789.29"/>
    <n v="-1895.36"/>
    <n v="-7578.58"/>
    <n v="-7805.94"/>
    <n v="-9758.16"/>
    <n v="-16502.13"/>
    <n v="0"/>
    <n v="0"/>
    <n v="-68351.710000000006"/>
    <n v="0"/>
  </r>
  <r>
    <x v="19"/>
    <x v="5"/>
    <x v="0"/>
    <s v="4915106"/>
    <n v="400020"/>
    <s v="O/P Care Svcs Rev--BCBS Comm"/>
    <s v="Echo Cardiology"/>
    <x v="0"/>
    <n v="1301"/>
    <n v="-20114.919999999998"/>
    <n v="-53188.9"/>
    <n v="-21704.68"/>
    <n v="-27693.5"/>
    <n v="-19528.3"/>
    <n v="-51293.54"/>
    <n v="-27389.33"/>
    <n v="-24223.200000000001"/>
    <n v="-27777.08"/>
    <n v="-12912.43"/>
    <n v="-61300.68"/>
    <n v="-13802.68"/>
    <n v="-360929.24"/>
    <n v="-47498"/>
  </r>
  <r>
    <x v="19"/>
    <x v="5"/>
    <x v="0"/>
    <s v="4915106"/>
    <n v="400020"/>
    <s v="O/P Care Svcs Rev--Managed Care"/>
    <s v="Echo Cardiology"/>
    <x v="0"/>
    <n v="1400"/>
    <n v="-85641.25"/>
    <n v="-74333.45"/>
    <n v="-77093.11"/>
    <n v="-109851.73"/>
    <n v="-116157.34"/>
    <n v="-90693.82"/>
    <n v="-64168.79"/>
    <n v="-59891.09"/>
    <n v="-98965.89"/>
    <n v="-62590.54"/>
    <n v="-41501.79"/>
    <n v="-74726.399999999994"/>
    <n v="-955615.20000000007"/>
    <n v="33224.609999999993"/>
  </r>
  <r>
    <x v="19"/>
    <x v="5"/>
    <x v="0"/>
    <s v="4915106"/>
    <n v="400020"/>
    <s v="O/P Care Svcs Rev--Self Pay"/>
    <s v="Echo Cardiology"/>
    <x v="0"/>
    <n v="1500"/>
    <n v="-15031.75"/>
    <n v="-2620.8200000000002"/>
    <n v="-7578.58"/>
    <n v="-11367.87"/>
    <n v="-7578.58"/>
    <n v="-11367.87"/>
    <n v="-3789.29"/>
    <n v="-227.36"/>
    <n v="-11708.91"/>
    <n v="3902.97"/>
    <n v="-1203.52"/>
    <n v="-3902.97"/>
    <n v="-72474.550000000017"/>
    <n v="2699.45"/>
  </r>
  <r>
    <x v="19"/>
    <x v="5"/>
    <x v="0"/>
    <s v="4915106"/>
    <n v="400020"/>
    <s v="O/P Care Svcs Rev--Other"/>
    <s v="Echo Cardiology"/>
    <x v="0"/>
    <n v="1700"/>
    <n v="-15337.6"/>
    <n v="-7578.58"/>
    <n v="0"/>
    <n v="-7578.58"/>
    <n v="-10073.99"/>
    <n v="-19810.75"/>
    <n v="-16021.46"/>
    <n v="-3902.97"/>
    <n v="6284.7"/>
    <n v="-7805.94"/>
    <n v="-3152.35"/>
    <n v="-7692.26"/>
    <n v="-92669.78"/>
    <n v="4539.91"/>
  </r>
  <r>
    <x v="14"/>
    <x v="5"/>
    <x v="0"/>
    <s v="4915106"/>
    <n v="600050"/>
    <s v="Miscellaneous Revenue"/>
    <s v="Echo Cardiology"/>
    <x v="0"/>
    <m/>
    <n v="0"/>
    <n v="0"/>
    <n v="0"/>
    <n v="0"/>
    <n v="0"/>
    <n v="0"/>
    <n v="0"/>
    <n v="0"/>
    <n v="0"/>
    <n v="0"/>
    <n v="0"/>
    <n v="0"/>
    <n v="0"/>
    <n v="0"/>
  </r>
  <r>
    <x v="14"/>
    <x v="5"/>
    <x v="0"/>
    <s v="4915106"/>
    <n v="600050"/>
    <s v="Misc.Revenue-Contract Services"/>
    <s v="Echo Cardiology"/>
    <x v="0"/>
    <n v="1017"/>
    <n v="-2255.48"/>
    <n v="-1411.88"/>
    <n v="-2117.83"/>
    <n v="-2117.83"/>
    <n v="-1862.61"/>
    <n v="-2900.85"/>
    <n v="-705.94"/>
    <n v="-1532.96"/>
    <n v="-5586.79"/>
    <n v="-2476.96"/>
    <n v="-2299.4499999999998"/>
    <n v="-3109.82"/>
    <n v="-28378.400000000001"/>
    <n v="810.37000000000035"/>
  </r>
  <r>
    <x v="5"/>
    <x v="5"/>
    <x v="0"/>
    <s v="4915106"/>
    <n v="700034"/>
    <s v="Salaries-Tech/Professional-Productive"/>
    <s v="Echo Cardiology"/>
    <x v="0"/>
    <m/>
    <n v="19798.88"/>
    <n v="20079.34"/>
    <n v="20760.810000000001"/>
    <n v="22280.49"/>
    <n v="18357.12"/>
    <n v="19204.419999999998"/>
    <n v="16435.669999999998"/>
    <n v="15151.89"/>
    <n v="22670.9"/>
    <n v="20703.77"/>
    <n v="21758.65"/>
    <n v="19512.16"/>
    <n v="236714.09999999998"/>
    <n v="2246.4900000000016"/>
  </r>
  <r>
    <x v="5"/>
    <x v="5"/>
    <x v="0"/>
    <s v="4915106"/>
    <n v="700034"/>
    <s v="Salaries-Tech/Professional-OT"/>
    <s v="Echo Cardiology"/>
    <x v="0"/>
    <n v="1000"/>
    <n v="763.3"/>
    <n v="-46.09"/>
    <n v="355.78"/>
    <n v="176.46"/>
    <n v="161.94999999999999"/>
    <n v="1150.27"/>
    <n v="-104"/>
    <n v="681.77"/>
    <n v="303.35000000000002"/>
    <n v="-23.69"/>
    <n v="103.02"/>
    <n v="196.51"/>
    <n v="3718.63"/>
    <n v="-93.49"/>
  </r>
  <r>
    <x v="5"/>
    <x v="5"/>
    <x v="0"/>
    <s v="4915106"/>
    <n v="700034"/>
    <s v="Salaries-Tech/Professional-Other"/>
    <s v="Echo Cardiology"/>
    <x v="0"/>
    <n v="2000"/>
    <n v="1622.27"/>
    <n v="1611.86"/>
    <n v="1652.27"/>
    <n v="1698.94"/>
    <n v="1546.92"/>
    <n v="1540.81"/>
    <n v="1461.19"/>
    <n v="1462.09"/>
    <n v="1729.53"/>
    <n v="1581.16"/>
    <n v="1676.63"/>
    <n v="1533.73"/>
    <n v="19117.400000000001"/>
    <n v="142.90000000000009"/>
  </r>
  <r>
    <x v="5"/>
    <x v="5"/>
    <x v="0"/>
    <s v="4915106"/>
    <n v="700054"/>
    <s v="Salaries-Management-NonProd-Other"/>
    <s v="Echo Cardiology"/>
    <x v="0"/>
    <n v="2000"/>
    <n v="0"/>
    <n v="0"/>
    <n v="0"/>
    <n v="0"/>
    <n v="0"/>
    <n v="5"/>
    <n v="-5"/>
    <n v="0"/>
    <n v="0"/>
    <n v="0"/>
    <n v="0"/>
    <n v="0"/>
    <n v="0"/>
    <n v="0"/>
  </r>
  <r>
    <x v="5"/>
    <x v="5"/>
    <x v="0"/>
    <s v="4915106"/>
    <n v="700074"/>
    <s v="Salaries-Tech/Professional-Non-productive"/>
    <s v="Echo Cardiology"/>
    <x v="0"/>
    <m/>
    <n v="2961.97"/>
    <n v="2035.13"/>
    <n v="2339.19"/>
    <n v="1661.36"/>
    <n v="3358.06"/>
    <n v="6396.57"/>
    <n v="7564.22"/>
    <n v="5768.21"/>
    <n v="1336.16"/>
    <n v="1681.11"/>
    <n v="1769.77"/>
    <n v="4353.8999999999996"/>
    <n v="41225.65"/>
    <n v="-2584.1299999999997"/>
  </r>
  <r>
    <x v="5"/>
    <x v="5"/>
    <x v="0"/>
    <s v="4915106"/>
    <n v="700074"/>
    <s v="Salaries-Tech/Professional-NonProd-Other"/>
    <s v="Echo Cardiology"/>
    <x v="0"/>
    <n v="2000"/>
    <n v="24.28"/>
    <n v="42.86"/>
    <n v="-14.14"/>
    <n v="28.6"/>
    <n v="-0.6"/>
    <n v="141.41999999999999"/>
    <n v="137.36000000000001"/>
    <n v="232.18"/>
    <n v="-9.4700000000000006"/>
    <n v="434.77"/>
    <n v="-139.87"/>
    <n v="47"/>
    <n v="924.39"/>
    <n v="-186.87"/>
  </r>
  <r>
    <x v="5"/>
    <x v="5"/>
    <x v="0"/>
    <s v="4915106"/>
    <n v="700084"/>
    <s v="Accrued PTO"/>
    <s v="Echo Cardiology"/>
    <x v="0"/>
    <m/>
    <n v="-513.29"/>
    <n v="49"/>
    <n v="2663.63"/>
    <n v="1299.45"/>
    <n v="110.32"/>
    <n v="1667.58"/>
    <n v="2002.38"/>
    <n v="-3520.87"/>
    <n v="1284.77"/>
    <n v="1071.26"/>
    <n v="1728.67"/>
    <n v="1220.77"/>
    <n v="9063.6700000000019"/>
    <n v="507.90000000000009"/>
  </r>
  <r>
    <x v="6"/>
    <x v="5"/>
    <x v="0"/>
    <s v="4915106"/>
    <n v="713010"/>
    <s v="Benefits-FICA/Medicare"/>
    <s v="Echo Cardiology"/>
    <x v="0"/>
    <m/>
    <n v="1871.59"/>
    <n v="1771.78"/>
    <n v="1875.59"/>
    <n v="1931.67"/>
    <n v="1748.89"/>
    <n v="2127.46"/>
    <n v="1897.45"/>
    <n v="1734.23"/>
    <n v="1938.18"/>
    <n v="1813.58"/>
    <n v="1872.39"/>
    <n v="1910.25"/>
    <n v="22493.059999999998"/>
    <n v="-37.8599999999999"/>
  </r>
  <r>
    <x v="6"/>
    <x v="5"/>
    <x v="0"/>
    <s v="4915106"/>
    <n v="713090"/>
    <s v="Benefits-Allocated Amounts"/>
    <s v="Echo Cardiology"/>
    <x v="0"/>
    <m/>
    <n v="4814.99"/>
    <n v="4587.8900000000003"/>
    <n v="4863.37"/>
    <n v="4797.9399999999996"/>
    <n v="4504.45"/>
    <n v="5361.15"/>
    <n v="5026.63"/>
    <n v="4390.3"/>
    <n v="4855.7700000000004"/>
    <n v="4761.6499999999996"/>
    <n v="4884.1000000000004"/>
    <n v="4887.45"/>
    <n v="57735.69"/>
    <n v="-3.3499999999994543"/>
  </r>
  <r>
    <x v="7"/>
    <x v="5"/>
    <x v="0"/>
    <s v="4915106"/>
    <n v="718050"/>
    <s v="Translation Services"/>
    <s v="Echo Cardiology"/>
    <x v="0"/>
    <n v="1025"/>
    <n v="546.45000000000005"/>
    <n v="153"/>
    <n v="185"/>
    <n v="-350.25"/>
    <n v="621.25"/>
    <n v="392"/>
    <n v="41"/>
    <n v="318.5"/>
    <n v="64"/>
    <n v="0"/>
    <n v="0"/>
    <n v="110"/>
    <n v="2080.9499999999998"/>
    <n v="-110"/>
  </r>
  <r>
    <x v="7"/>
    <x v="5"/>
    <x v="0"/>
    <s v="4915106"/>
    <n v="718091"/>
    <s v="Contract Services-Intracompany Allocation"/>
    <s v="Echo Cardiology"/>
    <x v="0"/>
    <m/>
    <n v="1410.32"/>
    <n v="1656.96"/>
    <n v="1247.8599999999999"/>
    <n v="1837.07"/>
    <n v="1443.11"/>
    <n v="1992.35"/>
    <n v="1920.64"/>
    <n v="1904.89"/>
    <n v="1990.94"/>
    <n v="784.17"/>
    <n v="2074.86"/>
    <n v="1669.7"/>
    <n v="19932.87"/>
    <n v="405.16000000000008"/>
  </r>
  <r>
    <x v="11"/>
    <x v="5"/>
    <x v="0"/>
    <s v="4915106"/>
    <n v="721010"/>
    <s v="Patient Monitoring"/>
    <s v="Echo Cardiology"/>
    <x v="0"/>
    <n v="1000"/>
    <n v="44.05"/>
    <n v="79.290000000000006"/>
    <n v="96.91"/>
    <n v="105.72"/>
    <n v="0"/>
    <n v="0"/>
    <n v="0"/>
    <n v="52.86"/>
    <n v="52.86"/>
    <n v="105.72"/>
    <n v="52.86"/>
    <n v="66.08"/>
    <n v="656.35000000000014"/>
    <n v="-13.219999999999999"/>
  </r>
  <r>
    <x v="11"/>
    <x v="5"/>
    <x v="0"/>
    <s v="4915106"/>
    <n v="721020"/>
    <s v="Supplies-Surgical - Billable"/>
    <s v="Echo Cardiology"/>
    <x v="0"/>
    <m/>
    <n v="0"/>
    <n v="0"/>
    <n v="0"/>
    <n v="82.5"/>
    <n v="0"/>
    <n v="-7.5"/>
    <n v="0"/>
    <n v="0"/>
    <n v="0"/>
    <n v="0"/>
    <n v="0"/>
    <n v="0"/>
    <n v="75"/>
    <n v="0"/>
  </r>
  <r>
    <x v="11"/>
    <x v="5"/>
    <x v="0"/>
    <s v="4915106"/>
    <n v="721240"/>
    <s v="Supplies-IV Solutions/Supplies - Billable"/>
    <s v="Echo Cardiology"/>
    <x v="0"/>
    <m/>
    <n v="72"/>
    <n v="72"/>
    <n v="0"/>
    <n v="72"/>
    <n v="0"/>
    <n v="0"/>
    <n v="0"/>
    <n v="0"/>
    <n v="0"/>
    <n v="72"/>
    <n v="72"/>
    <n v="0"/>
    <n v="360"/>
    <n v="72"/>
  </r>
  <r>
    <x v="11"/>
    <x v="5"/>
    <x v="0"/>
    <s v="4915106"/>
    <n v="721250"/>
    <s v="Supplies-Pharmacy Drugs - Billable"/>
    <s v="Echo Cardiology"/>
    <x v="0"/>
    <m/>
    <n v="2519.04"/>
    <n v="0"/>
    <n v="71.680000000000007"/>
    <n v="0"/>
    <n v="0"/>
    <n v="2519.04"/>
    <n v="71.680000000000007"/>
    <n v="2519.04"/>
    <n v="0"/>
    <n v="0"/>
    <n v="2519.04"/>
    <n v="0"/>
    <n v="10219.52"/>
    <n v="2519.04"/>
  </r>
  <r>
    <x v="11"/>
    <x v="5"/>
    <x v="0"/>
    <s v="4915106"/>
    <n v="721410"/>
    <s v="Supplies-Medical - Nonbillable"/>
    <s v="Echo Cardiology"/>
    <x v="0"/>
    <m/>
    <n v="33.06"/>
    <n v="20.85"/>
    <n v="52.22"/>
    <n v="116.47"/>
    <n v="0"/>
    <n v="6.95"/>
    <n v="12.56"/>
    <n v="20.85"/>
    <n v="33.06"/>
    <n v="53.9"/>
    <n v="20.73"/>
    <n v="13.9"/>
    <n v="384.54999999999995"/>
    <n v="6.83"/>
  </r>
  <r>
    <x v="11"/>
    <x v="5"/>
    <x v="0"/>
    <s v="4915106"/>
    <n v="721420"/>
    <s v="Sterilization Process Products"/>
    <s v="Echo Cardiology"/>
    <x v="0"/>
    <n v="1009"/>
    <n v="0"/>
    <n v="2.14"/>
    <n v="0"/>
    <n v="4.2699999999999996"/>
    <n v="0"/>
    <n v="0"/>
    <n v="0"/>
    <n v="0"/>
    <n v="0"/>
    <n v="2.85"/>
    <n v="0"/>
    <n v="0"/>
    <n v="9.26"/>
    <n v="0"/>
  </r>
  <r>
    <x v="11"/>
    <x v="5"/>
    <x v="0"/>
    <s v="4915106"/>
    <n v="721640"/>
    <s v="Supplies-IV Solutions/Supplies - Nonbillable"/>
    <s v="Echo Cardiology"/>
    <x v="0"/>
    <m/>
    <n v="0"/>
    <n v="0"/>
    <n v="24"/>
    <n v="48"/>
    <n v="0"/>
    <n v="0"/>
    <n v="0"/>
    <n v="24"/>
    <n v="0"/>
    <n v="35.520000000000003"/>
    <n v="0"/>
    <n v="0"/>
    <n v="131.52000000000001"/>
    <n v="0"/>
  </r>
  <r>
    <x v="11"/>
    <x v="5"/>
    <x v="0"/>
    <s v="4915106"/>
    <n v="721650"/>
    <s v="Supplies-Pharmacy Drugs - Nonbillable"/>
    <s v="Echo Cardiology"/>
    <x v="0"/>
    <m/>
    <n v="141.5"/>
    <n v="230.26"/>
    <n v="0"/>
    <n v="261.05"/>
    <n v="0"/>
    <n v="128.63999999999999"/>
    <n v="0"/>
    <n v="132.5"/>
    <n v="190.3"/>
    <n v="0"/>
    <n v="132.5"/>
    <n v="0"/>
    <n v="1216.75"/>
    <n v="132.5"/>
  </r>
  <r>
    <x v="11"/>
    <x v="5"/>
    <x v="0"/>
    <s v="4915106"/>
    <n v="721750"/>
    <s v="Supplies-Film/Radiographic - Nonbillable"/>
    <s v="Echo Cardiology"/>
    <x v="0"/>
    <m/>
    <n v="0"/>
    <n v="28.38"/>
    <n v="28.38"/>
    <n v="170.28"/>
    <n v="0"/>
    <n v="0"/>
    <n v="0"/>
    <n v="0"/>
    <n v="56.76"/>
    <n v="56.76"/>
    <n v="0"/>
    <n v="56.76"/>
    <n v="397.32"/>
    <n v="-56.76"/>
  </r>
  <r>
    <x v="11"/>
    <x v="5"/>
    <x v="0"/>
    <s v="4915106"/>
    <n v="721810"/>
    <s v="Supplies-Dietary/Cafeteria"/>
    <s v="Echo Cardiology"/>
    <x v="0"/>
    <m/>
    <n v="0"/>
    <n v="0"/>
    <n v="0"/>
    <n v="6.49"/>
    <n v="0"/>
    <n v="0"/>
    <n v="0"/>
    <n v="0"/>
    <n v="0"/>
    <n v="4.33"/>
    <n v="0"/>
    <n v="0"/>
    <n v="10.82"/>
    <n v="0"/>
  </r>
  <r>
    <x v="11"/>
    <x v="5"/>
    <x v="0"/>
    <s v="4915106"/>
    <n v="721830"/>
    <s v="Supplies-Office"/>
    <s v="Echo Cardiology"/>
    <x v="0"/>
    <m/>
    <n v="0"/>
    <n v="0"/>
    <n v="483.98"/>
    <n v="0"/>
    <n v="0"/>
    <n v="0"/>
    <n v="0"/>
    <n v="0"/>
    <n v="0"/>
    <n v="0"/>
    <n v="0"/>
    <n v="63.78"/>
    <n v="547.76"/>
    <n v="-63.78"/>
  </r>
  <r>
    <x v="11"/>
    <x v="5"/>
    <x v="0"/>
    <s v="4915106"/>
    <n v="721870"/>
    <s v="Supplies-Environmental Services"/>
    <s v="Echo Cardiology"/>
    <x v="0"/>
    <m/>
    <n v="18.21"/>
    <n v="13.66"/>
    <n v="201.27"/>
    <n v="50.07"/>
    <n v="0"/>
    <n v="18.21"/>
    <n v="18.21"/>
    <n v="36.42"/>
    <n v="27.31"/>
    <n v="18.21"/>
    <n v="18.21"/>
    <n v="18.21"/>
    <n v="437.98999999999995"/>
    <n v="0"/>
  </r>
  <r>
    <x v="11"/>
    <x v="5"/>
    <x v="0"/>
    <s v="4915106"/>
    <n v="722000"/>
    <s v="Supplies-Freight Expense"/>
    <s v="Echo Cardiology"/>
    <x v="0"/>
    <m/>
    <n v="0"/>
    <n v="9.3800000000000008"/>
    <n v="23.07"/>
    <n v="10.210000000000001"/>
    <n v="23.24"/>
    <n v="22.77"/>
    <n v="0"/>
    <n v="0"/>
    <n v="0"/>
    <n v="16.32"/>
    <n v="17.329999999999998"/>
    <n v="0"/>
    <n v="122.32000000000001"/>
    <n v="17.329999999999998"/>
  </r>
  <r>
    <x v="12"/>
    <x v="5"/>
    <x v="0"/>
    <s v="4915106"/>
    <n v="730020"/>
    <s v="Rental and Leases-Equipment (DO NOT USE)"/>
    <s v="Echo Cardiology"/>
    <x v="0"/>
    <m/>
    <n v="0"/>
    <n v="0"/>
    <n v="0"/>
    <n v="0"/>
    <n v="0"/>
    <n v="0"/>
    <n v="0"/>
    <n v="0"/>
    <n v="0"/>
    <n v="0"/>
    <n v="0"/>
    <n v="12.43"/>
    <n v="12.43"/>
    <n v="-12.43"/>
  </r>
  <r>
    <x v="12"/>
    <x v="5"/>
    <x v="0"/>
    <s v="4915106"/>
    <n v="730020"/>
    <s v="Rental and Leases-Copier Usage Fees (DO NOT USE)"/>
    <s v="Echo Cardiology"/>
    <x v="0"/>
    <n v="5100"/>
    <n v="23.81"/>
    <n v="23.96"/>
    <n v="23.88"/>
    <n v="23.88"/>
    <n v="23.88"/>
    <n v="23.88"/>
    <n v="-11.01"/>
    <n v="22.22"/>
    <n v="22.17"/>
    <n v="22.27"/>
    <n v="22.22"/>
    <n v="22.22"/>
    <n v="243.38000000000002"/>
    <n v="0"/>
  </r>
  <r>
    <x v="13"/>
    <x v="5"/>
    <x v="0"/>
    <s v="4915106"/>
    <n v="735070"/>
    <s v="Depreciation-Movable Equipment"/>
    <s v="Echo Cardiology"/>
    <x v="0"/>
    <m/>
    <n v="573.01"/>
    <n v="573.01"/>
    <n v="573.01"/>
    <n v="573.01"/>
    <n v="573.01"/>
    <n v="573"/>
    <n v="573.01"/>
    <n v="573"/>
    <n v="573.01"/>
    <n v="573"/>
    <n v="573.01"/>
    <n v="573"/>
    <n v="6876.0800000000008"/>
    <n v="9.9999999999909051E-3"/>
  </r>
  <r>
    <x v="0"/>
    <x v="5"/>
    <x v="0"/>
    <s v="4915106"/>
    <n v="749510"/>
    <s v="RICE Rewards"/>
    <s v="Echo Cardiology"/>
    <x v="0"/>
    <n v="5100"/>
    <n v="0"/>
    <n v="0"/>
    <n v="0"/>
    <n v="0"/>
    <n v="0"/>
    <n v="0"/>
    <n v="19.850000000000001"/>
    <n v="0"/>
    <n v="1.31"/>
    <n v="0"/>
    <n v="0"/>
    <n v="0"/>
    <n v="21.16"/>
    <n v="0"/>
  </r>
  <r>
    <x v="18"/>
    <x v="6"/>
    <x v="0"/>
    <s v="4915107"/>
    <n v="400010"/>
    <s v="Acute I/P Svcs Rev--Medicare"/>
    <s v="Echocardiography"/>
    <x v="0"/>
    <n v="1100"/>
    <n v="-858803.94"/>
    <n v="-942108.78"/>
    <n v="-899592.9"/>
    <n v="-904719.13"/>
    <n v="-952074.23999999999"/>
    <n v="-957490.95"/>
    <n v="-1150611.6399999999"/>
    <n v="-1137709.68"/>
    <n v="-1116258.25"/>
    <n v="-978643.61"/>
    <n v="-983873.19"/>
    <n v="-942666.33"/>
    <n v="-11824552.639999999"/>
    <n v="-41206.859999999986"/>
  </r>
  <r>
    <x v="18"/>
    <x v="6"/>
    <x v="0"/>
    <s v="4915107"/>
    <n v="400010"/>
    <s v="Acute I/P Svcs Rev--Medicaid"/>
    <s v="Echocardiography"/>
    <x v="0"/>
    <n v="1200"/>
    <n v="-168194.7"/>
    <n v="-184572.85"/>
    <n v="-150727.56"/>
    <n v="-176117.77"/>
    <n v="-143849.63"/>
    <n v="-192348.25"/>
    <n v="-154978.85999999999"/>
    <n v="-225623.94"/>
    <n v="-140045.07999999999"/>
    <n v="-211193.36"/>
    <n v="-229754.46"/>
    <n v="-196747.62"/>
    <n v="-2174154.08"/>
    <n v="-33006.839999999997"/>
  </r>
  <r>
    <x v="18"/>
    <x v="6"/>
    <x v="0"/>
    <s v="4915107"/>
    <n v="400010"/>
    <s v="Acute I/P Svcs Rev--Comm Insurance"/>
    <s v="Echocardiography"/>
    <x v="0"/>
    <n v="1300"/>
    <n v="2738.61"/>
    <n v="-1402.31"/>
    <n v="-4000.91"/>
    <n v="-8989.7199999999993"/>
    <n v="-3596.42"/>
    <n v="-1168.47"/>
    <n v="-7573.62"/>
    <n v="-17974.77"/>
    <n v="-19636.919999999998"/>
    <n v="-27078.76"/>
    <n v="-5874.24"/>
    <n v="-16069.38"/>
    <n v="-110626.91"/>
    <n v="10195.14"/>
  </r>
  <r>
    <x v="18"/>
    <x v="6"/>
    <x v="0"/>
    <s v="4915107"/>
    <n v="400010"/>
    <s v="Acute I/P Svcs Rev--BCBS Comm"/>
    <s v="Echocardiography"/>
    <x v="0"/>
    <n v="1301"/>
    <n v="-55855.09"/>
    <n v="-52750.48"/>
    <n v="-60795.77"/>
    <n v="-51013.33"/>
    <n v="-82628.38"/>
    <n v="-24243.439999999999"/>
    <n v="-68422.11"/>
    <n v="-88142.06"/>
    <n v="-55904.45"/>
    <n v="-54912.04"/>
    <n v="-86645.34"/>
    <n v="-19721.84"/>
    <n v="-701034.33"/>
    <n v="-66923.5"/>
  </r>
  <r>
    <x v="18"/>
    <x v="6"/>
    <x v="0"/>
    <s v="4915107"/>
    <n v="400010"/>
    <s v="Acute I/P Svcs Rev--Managed Care"/>
    <s v="Echocardiography"/>
    <x v="0"/>
    <n v="1400"/>
    <n v="-86755.15"/>
    <n v="-61346.9"/>
    <n v="-105002.27"/>
    <n v="-81645.94"/>
    <n v="-111722.87"/>
    <n v="-86804.33"/>
    <n v="-127277.85"/>
    <n v="-75569.279999999999"/>
    <n v="-143271.59"/>
    <n v="-61017.61"/>
    <n v="-146625.88"/>
    <n v="-106284.28"/>
    <n v="-1193323.95"/>
    <n v="-40341.600000000006"/>
  </r>
  <r>
    <x v="18"/>
    <x v="6"/>
    <x v="0"/>
    <s v="4915107"/>
    <n v="400010"/>
    <s v="Acute I/P Svcs Rev--Self Pay"/>
    <s v="Echocardiography"/>
    <x v="0"/>
    <n v="1500"/>
    <n v="-2517.38"/>
    <n v="-11853.21"/>
    <n v="-40065.629999999997"/>
    <n v="8442.8799999999992"/>
    <n v="-10400.86"/>
    <n v="-15239.58"/>
    <n v="-16015.83"/>
    <n v="-20311.87"/>
    <n v="-16300.23"/>
    <n v="-12963.93"/>
    <n v="-14314.42"/>
    <n v="-33055.760000000002"/>
    <n v="-184595.82"/>
    <n v="18741.340000000004"/>
  </r>
  <r>
    <x v="18"/>
    <x v="6"/>
    <x v="0"/>
    <s v="4915107"/>
    <n v="400010"/>
    <s v="Acute I/P Svcs Rev--Other"/>
    <s v="Echocardiography"/>
    <x v="0"/>
    <n v="1700"/>
    <n v="-45484.58"/>
    <n v="-102010.49"/>
    <n v="-99644.84"/>
    <n v="-77220.899999999994"/>
    <n v="-72110.13"/>
    <n v="-39996.49"/>
    <n v="-42319.61"/>
    <n v="-51784.22"/>
    <n v="-49663.35"/>
    <n v="-41007.99"/>
    <n v="-78573.39"/>
    <n v="-56593.4"/>
    <n v="-756409.39"/>
    <n v="-21979.989999999998"/>
  </r>
  <r>
    <x v="19"/>
    <x v="6"/>
    <x v="0"/>
    <s v="4915107"/>
    <n v="400020"/>
    <s v="O/P Care Svcs Rev--Medicare"/>
    <s v="Echocardiography"/>
    <x v="0"/>
    <n v="1100"/>
    <n v="-258225.43"/>
    <n v="-217576.42"/>
    <n v="-283240.51"/>
    <n v="-352381.96"/>
    <n v="-287498.14"/>
    <n v="-314839.55"/>
    <n v="-314381.27"/>
    <n v="-222148.86"/>
    <n v="-274787.67"/>
    <n v="-355157.52"/>
    <n v="-315560.5"/>
    <n v="-345181.04"/>
    <n v="-3540978.87"/>
    <n v="29620.539999999979"/>
  </r>
  <r>
    <x v="19"/>
    <x v="6"/>
    <x v="0"/>
    <s v="4915107"/>
    <n v="400020"/>
    <s v="O/P Care Svcs Rev--Medicaid"/>
    <s v="Echocardiography"/>
    <x v="0"/>
    <n v="1200"/>
    <n v="-74489.440000000002"/>
    <n v="-63739.6"/>
    <n v="-42327.78"/>
    <n v="-38389.410000000003"/>
    <n v="-34749.199999999997"/>
    <n v="-57977.42"/>
    <n v="-44574.7"/>
    <n v="-27220.15"/>
    <n v="-45545.73"/>
    <n v="-86448.47"/>
    <n v="-33094.269999999997"/>
    <n v="-46610.42"/>
    <n v="-595166.59000000008"/>
    <n v="13516.150000000001"/>
  </r>
  <r>
    <x v="19"/>
    <x v="6"/>
    <x v="0"/>
    <s v="4915107"/>
    <n v="400020"/>
    <s v="O/P Care Svcs Rev--Comm Insurance"/>
    <s v="Echocardiography"/>
    <x v="0"/>
    <n v="1300"/>
    <n v="-520.79999999999995"/>
    <n v="-4306.09"/>
    <n v="-3789.29"/>
    <n v="-7578.58"/>
    <n v="-7878.19"/>
    <n v="2073.98"/>
    <n v="0"/>
    <n v="-6882.81"/>
    <n v="0"/>
    <n v="-8114.55"/>
    <n v="-9568.0400000000009"/>
    <n v="-18797.919999999998"/>
    <n v="-65362.29"/>
    <n v="9229.8799999999974"/>
  </r>
  <r>
    <x v="19"/>
    <x v="6"/>
    <x v="0"/>
    <s v="4915107"/>
    <n v="400020"/>
    <s v="O/P Care Svcs Rev--BCBS Comm"/>
    <s v="Echocardiography"/>
    <x v="0"/>
    <n v="1301"/>
    <n v="-15847.93"/>
    <n v="-30836.81"/>
    <n v="-24030.29"/>
    <n v="-38958.660000000003"/>
    <n v="-42094.37"/>
    <n v="-31292.880000000001"/>
    <n v="-36532.620000000003"/>
    <n v="-30194.89"/>
    <n v="-18213.849999999999"/>
    <n v="-24941.99"/>
    <n v="-33744.75"/>
    <n v="-40452.79"/>
    <n v="-367141.82999999996"/>
    <n v="6708.0400000000009"/>
  </r>
  <r>
    <x v="19"/>
    <x v="6"/>
    <x v="0"/>
    <s v="4915107"/>
    <n v="400020"/>
    <s v="O/P Care Svcs Rev--Managed Care"/>
    <s v="Echocardiography"/>
    <x v="0"/>
    <n v="1400"/>
    <n v="-69935.27"/>
    <n v="-86299.23"/>
    <n v="-52226.54"/>
    <n v="-63451.59"/>
    <n v="-50495.5"/>
    <n v="-51393.919999999998"/>
    <n v="-23179.87"/>
    <n v="-22730.44"/>
    <n v="-36314.9"/>
    <n v="-68339.03"/>
    <n v="-99520.65"/>
    <n v="-68692.789999999994"/>
    <n v="-692579.7300000001"/>
    <n v="-30827.86"/>
  </r>
  <r>
    <x v="19"/>
    <x v="6"/>
    <x v="0"/>
    <s v="4915107"/>
    <n v="400020"/>
    <s v="O/P Care Svcs Rev--Self Pay"/>
    <s v="Echocardiography"/>
    <x v="0"/>
    <n v="1500"/>
    <n v="-7398.14"/>
    <n v="-180.44"/>
    <n v="-12779.01"/>
    <n v="-7578.58"/>
    <n v="-3789.29"/>
    <n v="0"/>
    <n v="-9289.33"/>
    <n v="-9586.44"/>
    <n v="-4952.8"/>
    <n v="-5356.46"/>
    <n v="-19722.38"/>
    <n v="1453.49"/>
    <n v="-79179.38"/>
    <n v="-21175.870000000003"/>
  </r>
  <r>
    <x v="19"/>
    <x v="6"/>
    <x v="0"/>
    <s v="4915107"/>
    <n v="400020"/>
    <s v="O/P Care Svcs Rev--Other"/>
    <s v="Echocardiography"/>
    <x v="0"/>
    <n v="1700"/>
    <n v="-24395.52"/>
    <n v="-11367.87"/>
    <n v="-25527.98"/>
    <n v="-29404.25"/>
    <n v="-31684.25"/>
    <n v="-33422.79"/>
    <n v="-27516"/>
    <n v="-38421.49"/>
    <n v="-45166.6"/>
    <n v="-43465.52"/>
    <n v="-35584.230000000003"/>
    <n v="-51462.59"/>
    <n v="-397419.08999999997"/>
    <n v="15878.359999999993"/>
  </r>
  <r>
    <x v="5"/>
    <x v="6"/>
    <x v="0"/>
    <s v="4915107"/>
    <n v="700018"/>
    <s v="Salaries-Supervisory-Productive"/>
    <s v="Echocardiography"/>
    <x v="0"/>
    <m/>
    <n v="8086.39"/>
    <n v="8469.25"/>
    <n v="7048.73"/>
    <n v="8724.9599999999991"/>
    <n v="8502.6299999999992"/>
    <n v="6008.75"/>
    <n v="8260.77"/>
    <n v="5932.39"/>
    <n v="6244.62"/>
    <n v="9650.42"/>
    <n v="6500.19"/>
    <n v="9622.4"/>
    <n v="93051.499999999985"/>
    <n v="-3122.21"/>
  </r>
  <r>
    <x v="5"/>
    <x v="6"/>
    <x v="0"/>
    <s v="4915107"/>
    <n v="700034"/>
    <s v="Salaries-Tech/Professional-Productive"/>
    <s v="Echocardiography"/>
    <x v="0"/>
    <m/>
    <n v="19424.38"/>
    <n v="21349.41"/>
    <n v="20045.349999999999"/>
    <n v="20386.37"/>
    <n v="24054.5"/>
    <n v="19973.560000000001"/>
    <n v="24560.52"/>
    <n v="23307.35"/>
    <n v="25686.16"/>
    <n v="23197.360000000001"/>
    <n v="22117.26"/>
    <n v="22230.81"/>
    <n v="266333.03000000003"/>
    <n v="-113.55000000000291"/>
  </r>
  <r>
    <x v="5"/>
    <x v="6"/>
    <x v="0"/>
    <s v="4915107"/>
    <n v="700034"/>
    <s v="Salaries-Tech/Professional-OT"/>
    <s v="Echocardiography"/>
    <x v="0"/>
    <n v="1000"/>
    <n v="2044.66"/>
    <n v="1302.0999999999999"/>
    <n v="1311.81"/>
    <n v="1805.68"/>
    <n v="601.54999999999995"/>
    <n v="1232.8900000000001"/>
    <n v="1212.8800000000001"/>
    <n v="1097.6099999999999"/>
    <n v="1782.77"/>
    <n v="822.52"/>
    <n v="1260.3699999999999"/>
    <n v="1472.76"/>
    <n v="15947.6"/>
    <n v="-212.3900000000001"/>
  </r>
  <r>
    <x v="5"/>
    <x v="6"/>
    <x v="0"/>
    <s v="4915107"/>
    <n v="700034"/>
    <s v="Salaries-Tech/Professional-Other"/>
    <s v="Echocardiography"/>
    <x v="0"/>
    <n v="2000"/>
    <n v="3108.87"/>
    <n v="3320.07"/>
    <n v="2953.66"/>
    <n v="3239.48"/>
    <n v="2851.35"/>
    <n v="2952.51"/>
    <n v="2733.56"/>
    <n v="2732.62"/>
    <n v="3063.91"/>
    <n v="2581.5700000000002"/>
    <n v="2531.5300000000002"/>
    <n v="2929.06"/>
    <n v="34998.19"/>
    <n v="-397.52999999999975"/>
  </r>
  <r>
    <x v="5"/>
    <x v="6"/>
    <x v="0"/>
    <s v="4915107"/>
    <n v="700058"/>
    <s v="Salaries-Supervisory-Non-productive"/>
    <s v="Echocardiography"/>
    <x v="0"/>
    <m/>
    <n v="382.48"/>
    <n v="0"/>
    <n v="1147.44"/>
    <n v="0"/>
    <n v="0"/>
    <n v="2777.6"/>
    <n v="539.27"/>
    <n v="2015.25"/>
    <n v="2554.61"/>
    <n v="-1135.31"/>
    <n v="2299.0300000000002"/>
    <n v="-1106.8900000000001"/>
    <n v="9473.4800000000032"/>
    <n v="3405.92"/>
  </r>
  <r>
    <x v="5"/>
    <x v="6"/>
    <x v="0"/>
    <s v="4915107"/>
    <n v="700074"/>
    <s v="Salaries-Tech/Professional-Non-productive"/>
    <s v="Echocardiography"/>
    <x v="0"/>
    <m/>
    <n v="6616.24"/>
    <n v="-55.02"/>
    <n v="386.77"/>
    <n v="-47.39"/>
    <n v="1421.69"/>
    <n v="4741.41"/>
    <n v="891.92"/>
    <n v="1943.45"/>
    <n v="608.6"/>
    <n v="-250.69"/>
    <n v="3083.58"/>
    <n v="2604.87"/>
    <n v="21945.429999999997"/>
    <n v="478.71000000000004"/>
  </r>
  <r>
    <x v="5"/>
    <x v="6"/>
    <x v="0"/>
    <s v="4915107"/>
    <n v="700074"/>
    <s v="Salaries-Tech/Professional-NonProd-Other"/>
    <s v="Echocardiography"/>
    <x v="0"/>
    <n v="2000"/>
    <n v="951.48"/>
    <n v="1390.76"/>
    <n v="446.22"/>
    <n v="417.38"/>
    <n v="383.24"/>
    <n v="490.9"/>
    <n v="683.52"/>
    <n v="613.09"/>
    <n v="1263.5"/>
    <n v="1351.6"/>
    <n v="-287.2"/>
    <n v="860.78"/>
    <n v="8565.27"/>
    <n v="-1147.98"/>
  </r>
  <r>
    <x v="5"/>
    <x v="6"/>
    <x v="0"/>
    <s v="4915107"/>
    <n v="700084"/>
    <s v="Accrued PTO"/>
    <s v="Echocardiography"/>
    <x v="0"/>
    <m/>
    <n v="-3632.85"/>
    <n v="374.83"/>
    <n v="709.83"/>
    <n v="1604.62"/>
    <n v="1146.05"/>
    <n v="-4093.4"/>
    <n v="1519.28"/>
    <n v="82.55"/>
    <n v="-382.27"/>
    <n v="2532.1799999999998"/>
    <n v="-451.47"/>
    <n v="-1554.01"/>
    <n v="-2144.6600000000003"/>
    <n v="1102.54"/>
  </r>
  <r>
    <x v="6"/>
    <x v="6"/>
    <x v="0"/>
    <s v="4915107"/>
    <n v="713010"/>
    <s v="Benefits-FICA/Medicare"/>
    <s v="Echocardiography"/>
    <x v="0"/>
    <m/>
    <n v="3093.57"/>
    <n v="2721.07"/>
    <n v="2536.37"/>
    <n v="2626.69"/>
    <n v="2882.94"/>
    <n v="2900.69"/>
    <n v="2959.59"/>
    <n v="2866.04"/>
    <n v="3137.14"/>
    <n v="2756.56"/>
    <n v="2854.51"/>
    <n v="2939.62"/>
    <n v="34274.790000000008"/>
    <n v="-85.109999999999673"/>
  </r>
  <r>
    <x v="6"/>
    <x v="6"/>
    <x v="0"/>
    <s v="4915107"/>
    <n v="713090"/>
    <s v="Benefits-Allocated Amounts"/>
    <s v="Echocardiography"/>
    <x v="0"/>
    <m/>
    <n v="5769.95"/>
    <n v="4328.9399999999996"/>
    <n v="4706.3999999999996"/>
    <n v="4739.6400000000003"/>
    <n v="6066.06"/>
    <n v="5507.72"/>
    <n v="5648.35"/>
    <n v="5737.22"/>
    <n v="4952.9399999999996"/>
    <n v="5779.57"/>
    <n v="5618.16"/>
    <n v="6385.62"/>
    <n v="65240.570000000014"/>
    <n v="-767.46"/>
  </r>
  <r>
    <x v="6"/>
    <x v="6"/>
    <x v="0"/>
    <s v="4915107"/>
    <n v="713096"/>
    <s v="Employee Recognition"/>
    <s v="Echocardiography"/>
    <x v="0"/>
    <n v="1017"/>
    <n v="0"/>
    <n v="0"/>
    <n v="0"/>
    <n v="0"/>
    <n v="0"/>
    <n v="0"/>
    <n v="115.25"/>
    <n v="0"/>
    <n v="0"/>
    <n v="68.2"/>
    <n v="0"/>
    <n v="0"/>
    <n v="183.45"/>
    <n v="0"/>
  </r>
  <r>
    <x v="7"/>
    <x v="6"/>
    <x v="0"/>
    <s v="4915107"/>
    <n v="718050"/>
    <s v="Contract Svcs-Other"/>
    <s v="Echocardiography"/>
    <x v="0"/>
    <m/>
    <n v="0"/>
    <n v="0"/>
    <n v="20.7"/>
    <n v="0"/>
    <n v="0"/>
    <n v="20.7"/>
    <n v="0"/>
    <n v="14.75"/>
    <n v="0"/>
    <n v="0"/>
    <n v="0"/>
    <n v="0"/>
    <n v="56.15"/>
    <n v="0"/>
  </r>
  <r>
    <x v="7"/>
    <x v="6"/>
    <x v="0"/>
    <s v="4915107"/>
    <n v="718070"/>
    <s v="Contract Srvcs-CHI Clinical Engineering"/>
    <s v="Echocardiography"/>
    <x v="0"/>
    <m/>
    <n v="4344.51"/>
    <n v="4207.79"/>
    <n v="4121.47"/>
    <n v="4530.6400000000003"/>
    <n v="4027.27"/>
    <n v="4344.95"/>
    <n v="4344.95"/>
    <n v="3192.94"/>
    <n v="4344.95"/>
    <n v="4344.95"/>
    <n v="4889.38"/>
    <n v="4252.2299999999996"/>
    <n v="50946.03"/>
    <n v="637.15000000000055"/>
  </r>
  <r>
    <x v="7"/>
    <x v="6"/>
    <x v="0"/>
    <s v="4915107"/>
    <n v="718091"/>
    <s v="Contract Services-Intracompany Allocation"/>
    <s v="Echocardiography"/>
    <x v="0"/>
    <m/>
    <n v="2417.69"/>
    <n v="2840.51"/>
    <n v="2139.1799999999998"/>
    <n v="3149.27"/>
    <n v="2473.89"/>
    <n v="3415.47"/>
    <n v="3292.52"/>
    <n v="3265.53"/>
    <n v="3413.04"/>
    <n v="1344.3"/>
    <n v="3556.89"/>
    <n v="2862.35"/>
    <n v="34170.639999999999"/>
    <n v="694.54"/>
  </r>
  <r>
    <x v="11"/>
    <x v="6"/>
    <x v="0"/>
    <s v="4915107"/>
    <n v="721010"/>
    <s v="Patient Monitoring"/>
    <s v="Echocardiography"/>
    <x v="0"/>
    <n v="1000"/>
    <n v="61.7"/>
    <n v="61.7"/>
    <n v="30.85"/>
    <n v="61.7"/>
    <n v="61.7"/>
    <n v="52.45"/>
    <n v="317.3"/>
    <n v="0"/>
    <n v="61.7"/>
    <n v="46.28"/>
    <n v="46.28"/>
    <n v="46.28"/>
    <n v="847.93999999999994"/>
    <n v="0"/>
  </r>
  <r>
    <x v="11"/>
    <x v="6"/>
    <x v="0"/>
    <s v="4915107"/>
    <n v="721250"/>
    <s v="Supplies-Pharmacy Drugs - Billable"/>
    <s v="Echocardiography"/>
    <x v="0"/>
    <m/>
    <n v="0"/>
    <n v="0"/>
    <n v="0"/>
    <n v="0"/>
    <n v="0"/>
    <n v="0"/>
    <n v="0"/>
    <n v="0"/>
    <n v="0"/>
    <n v="6297.6"/>
    <n v="0"/>
    <n v="0"/>
    <n v="6297.6"/>
    <n v="0"/>
  </r>
  <r>
    <x v="11"/>
    <x v="6"/>
    <x v="0"/>
    <s v="4915107"/>
    <n v="721410"/>
    <s v="Supplies-Medical - Nonbillable"/>
    <s v="Echocardiography"/>
    <x v="0"/>
    <m/>
    <n v="102.91"/>
    <n v="149.88"/>
    <n v="100.91"/>
    <n v="211.34"/>
    <n v="166.59"/>
    <n v="130.6"/>
    <n v="182.8"/>
    <n v="-140.02000000000001"/>
    <n v="183.27"/>
    <n v="172.4"/>
    <n v="210.43"/>
    <n v="188.73"/>
    <n v="1659.8400000000001"/>
    <n v="21.700000000000017"/>
  </r>
  <r>
    <x v="11"/>
    <x v="6"/>
    <x v="0"/>
    <s v="4915107"/>
    <n v="721420"/>
    <s v="Tubes Drains &amp; Related Supplies"/>
    <s v="Echocardiography"/>
    <x v="0"/>
    <n v="1008"/>
    <n v="32.700000000000003"/>
    <n v="32.700000000000003"/>
    <n v="0"/>
    <n v="65.400000000000006"/>
    <n v="0"/>
    <n v="0"/>
    <n v="0"/>
    <n v="32.700000000000003"/>
    <n v="30"/>
    <n v="0"/>
    <n v="-2.7"/>
    <n v="0"/>
    <n v="190.8"/>
    <n v="-2.7"/>
  </r>
  <r>
    <x v="11"/>
    <x v="6"/>
    <x v="0"/>
    <s v="4915107"/>
    <n v="721420"/>
    <s v="Sterilization Process Products"/>
    <s v="Echocardiography"/>
    <x v="0"/>
    <n v="1009"/>
    <n v="8.5399999999999991"/>
    <n v="0"/>
    <n v="0"/>
    <n v="8.5399999999999991"/>
    <n v="0"/>
    <n v="8.5399999999999991"/>
    <n v="0"/>
    <n v="8.5399999999999991"/>
    <n v="0"/>
    <n v="8.5399999999999991"/>
    <n v="0"/>
    <n v="8.5399999999999991"/>
    <n v="51.239999999999995"/>
    <n v="-8.5399999999999991"/>
  </r>
  <r>
    <x v="11"/>
    <x v="6"/>
    <x v="0"/>
    <s v="4915107"/>
    <n v="721610"/>
    <s v="Supplies-Anesthesia - Nonbillable"/>
    <s v="Echocardiography"/>
    <x v="0"/>
    <m/>
    <n v="0"/>
    <n v="0"/>
    <n v="0"/>
    <n v="0"/>
    <n v="2.66"/>
    <n v="2.13"/>
    <n v="0"/>
    <n v="0"/>
    <n v="2.66"/>
    <n v="0"/>
    <n v="1.6"/>
    <n v="0"/>
    <n v="9.0500000000000007"/>
    <n v="1.6"/>
  </r>
  <r>
    <x v="11"/>
    <x v="6"/>
    <x v="0"/>
    <s v="4915107"/>
    <n v="721640"/>
    <s v="Supplies-IV Solutions/Supplies - Nonbillable"/>
    <s v="Echocardiography"/>
    <x v="0"/>
    <m/>
    <n v="48"/>
    <n v="24"/>
    <n v="24"/>
    <n v="38.4"/>
    <n v="51.83"/>
    <n v="32.159999999999997"/>
    <n v="48"/>
    <n v="24"/>
    <n v="24"/>
    <n v="24"/>
    <n v="48"/>
    <n v="24"/>
    <n v="410.39"/>
    <n v="24"/>
  </r>
  <r>
    <x v="11"/>
    <x v="6"/>
    <x v="0"/>
    <s v="4915107"/>
    <n v="721870"/>
    <s v="Supplies-Environmental Services"/>
    <s v="Echocardiography"/>
    <x v="0"/>
    <m/>
    <n v="148.79"/>
    <n v="85.02"/>
    <n v="47.79"/>
    <n v="191.3"/>
    <n v="116.84"/>
    <n v="0"/>
    <n v="63.77"/>
    <n v="63.77"/>
    <n v="85.02"/>
    <n v="63.77"/>
    <n v="147.05000000000001"/>
    <n v="85.02"/>
    <n v="1098.1399999999999"/>
    <n v="62.030000000000015"/>
  </r>
  <r>
    <x v="11"/>
    <x v="6"/>
    <x v="0"/>
    <s v="4915107"/>
    <n v="721910"/>
    <s v="Supplies-Small Equipment"/>
    <s v="Echocardiography"/>
    <x v="0"/>
    <m/>
    <n v="0"/>
    <n v="0"/>
    <n v="0"/>
    <n v="0"/>
    <n v="0"/>
    <n v="0"/>
    <n v="0"/>
    <n v="0"/>
    <n v="14.47"/>
    <n v="0"/>
    <n v="0"/>
    <n v="106.66"/>
    <n v="121.13"/>
    <n v="-106.66"/>
  </r>
  <r>
    <x v="11"/>
    <x v="6"/>
    <x v="0"/>
    <s v="4915107"/>
    <n v="721980"/>
    <s v="Supplies-Other"/>
    <s v="Echocardiography"/>
    <x v="0"/>
    <m/>
    <n v="183"/>
    <n v="40.950000000000003"/>
    <n v="0"/>
    <n v="0"/>
    <n v="0"/>
    <n v="0"/>
    <n v="0"/>
    <n v="0"/>
    <n v="0"/>
    <n v="0"/>
    <n v="0"/>
    <n v="-24.48"/>
    <n v="199.47"/>
    <n v="24.48"/>
  </r>
  <r>
    <x v="11"/>
    <x v="6"/>
    <x v="0"/>
    <s v="4915107"/>
    <n v="722000"/>
    <s v="Supplies-Freight Expense"/>
    <s v="Echocardiography"/>
    <x v="0"/>
    <m/>
    <n v="42.19"/>
    <n v="42.97"/>
    <n v="29.71"/>
    <n v="9.76"/>
    <n v="24.91"/>
    <n v="20.62"/>
    <n v="60.6"/>
    <n v="0"/>
    <n v="18.420000000000002"/>
    <n v="36.49"/>
    <n v="28.36"/>
    <n v="35.28"/>
    <n v="349.31000000000006"/>
    <n v="-6.9200000000000017"/>
  </r>
  <r>
    <x v="16"/>
    <x v="6"/>
    <x v="0"/>
    <s v="4915107"/>
    <n v="733030"/>
    <s v="Maintenance Contracts-Other"/>
    <s v="Echocardiography"/>
    <x v="0"/>
    <m/>
    <n v="0"/>
    <n v="94668.67"/>
    <n v="0"/>
    <n v="0"/>
    <n v="0"/>
    <n v="0"/>
    <n v="0"/>
    <n v="0"/>
    <n v="0"/>
    <n v="0"/>
    <n v="0"/>
    <n v="0"/>
    <n v="94668.67"/>
    <n v="0"/>
  </r>
  <r>
    <x v="13"/>
    <x v="6"/>
    <x v="0"/>
    <s v="4915107"/>
    <n v="735070"/>
    <s v="Depreciation-Movable Equipment"/>
    <s v="Echocardiography"/>
    <x v="0"/>
    <m/>
    <n v="13669.06"/>
    <n v="13669.06"/>
    <n v="13669.06"/>
    <n v="13669.05"/>
    <n v="13669.06"/>
    <n v="13669.04"/>
    <n v="13669.06"/>
    <n v="13669.04"/>
    <n v="13669.07"/>
    <n v="13669.03"/>
    <n v="13669.08"/>
    <n v="13669.01"/>
    <n v="164028.62"/>
    <n v="6.9999999999708962E-2"/>
  </r>
  <r>
    <x v="0"/>
    <x v="6"/>
    <x v="0"/>
    <s v="4915107"/>
    <n v="749510"/>
    <s v="Miscellaneous Expenses"/>
    <s v="Echocardiography"/>
    <x v="0"/>
    <m/>
    <n v="0"/>
    <n v="0"/>
    <n v="0"/>
    <n v="0"/>
    <n v="0"/>
    <n v="115.25"/>
    <n v="-115.25"/>
    <n v="0"/>
    <n v="0"/>
    <n v="0"/>
    <n v="0"/>
    <n v="0"/>
    <n v="0"/>
    <n v="0"/>
  </r>
  <r>
    <x v="0"/>
    <x v="6"/>
    <x v="0"/>
    <s v="4915107"/>
    <n v="749530"/>
    <s v="Travel"/>
    <s v="Echocardiography"/>
    <x v="0"/>
    <m/>
    <n v="0"/>
    <n v="0"/>
    <n v="0"/>
    <n v="0"/>
    <n v="0"/>
    <n v="0"/>
    <n v="0"/>
    <n v="6"/>
    <n v="0"/>
    <n v="0"/>
    <n v="0"/>
    <n v="0"/>
    <n v="6"/>
    <n v="0"/>
  </r>
  <r>
    <x v="0"/>
    <x v="6"/>
    <x v="0"/>
    <s v="4915107"/>
    <n v="749530"/>
    <s v="Mileage"/>
    <s v="Echocardiography"/>
    <x v="0"/>
    <n v="1001"/>
    <n v="0"/>
    <n v="0"/>
    <n v="0"/>
    <n v="0"/>
    <n v="0"/>
    <n v="0"/>
    <n v="0"/>
    <n v="52.78"/>
    <n v="0"/>
    <n v="0"/>
    <n v="0"/>
    <n v="0"/>
    <n v="52.78"/>
    <n v="0"/>
  </r>
  <r>
    <x v="0"/>
    <x v="6"/>
    <x v="0"/>
    <s v="4915107"/>
    <n v="749535"/>
    <s v="Meetings"/>
    <s v="Echocardiography"/>
    <x v="0"/>
    <m/>
    <n v="0"/>
    <n v="0"/>
    <n v="0"/>
    <n v="0"/>
    <n v="0"/>
    <n v="0"/>
    <n v="425"/>
    <n v="0"/>
    <n v="0"/>
    <n v="0"/>
    <n v="0"/>
    <n v="0"/>
    <n v="425"/>
    <n v="0"/>
  </r>
  <r>
    <x v="18"/>
    <x v="7"/>
    <x v="0"/>
    <s v="4915150"/>
    <n v="400010"/>
    <s v="Acute I/P Svcs Rev--BCBS Comm"/>
    <s v="Echo Cardiology"/>
    <x v="0"/>
    <n v="1301"/>
    <n v="0"/>
    <n v="0"/>
    <n v="-6874.13"/>
    <n v="0"/>
    <n v="0"/>
    <n v="0"/>
    <n v="0"/>
    <n v="0"/>
    <n v="0"/>
    <n v="6874.13"/>
    <n v="0"/>
    <n v="0"/>
    <n v="0"/>
    <n v="0"/>
  </r>
  <r>
    <x v="18"/>
    <x v="7"/>
    <x v="0"/>
    <s v="4915150"/>
    <n v="400010"/>
    <s v="Acute I/P Svcs Rev--Managed Care"/>
    <s v="Echo Cardiology"/>
    <x v="0"/>
    <n v="1400"/>
    <n v="-6874.13"/>
    <n v="0"/>
    <n v="6874.13"/>
    <n v="0"/>
    <n v="0"/>
    <n v="0"/>
    <n v="0"/>
    <n v="0"/>
    <n v="0"/>
    <n v="0"/>
    <n v="0"/>
    <n v="0"/>
    <n v="0"/>
    <n v="0"/>
  </r>
  <r>
    <x v="19"/>
    <x v="7"/>
    <x v="0"/>
    <s v="4915150"/>
    <n v="400020"/>
    <s v="O/P Care Svcs Rev--Medicare"/>
    <s v="Echo Cardiology"/>
    <x v="0"/>
    <n v="1100"/>
    <n v="-1673.7"/>
    <n v="0"/>
    <n v="0"/>
    <n v="0"/>
    <n v="0"/>
    <n v="0"/>
    <n v="0"/>
    <n v="0"/>
    <n v="0"/>
    <n v="1673.7"/>
    <n v="0"/>
    <n v="0"/>
    <n v="0"/>
    <n v="0"/>
  </r>
  <r>
    <x v="19"/>
    <x v="7"/>
    <x v="0"/>
    <s v="4915150"/>
    <n v="400020"/>
    <s v="O/P Care Svcs Rev--Managed Care"/>
    <s v="Echo Cardiology"/>
    <x v="0"/>
    <n v="1400"/>
    <n v="-2618.09"/>
    <n v="0"/>
    <n v="0"/>
    <n v="0"/>
    <n v="0"/>
    <n v="0"/>
    <n v="0"/>
    <n v="0"/>
    <n v="0"/>
    <n v="2618.09"/>
    <n v="0"/>
    <n v="0"/>
    <n v="0"/>
    <n v="0"/>
  </r>
  <r>
    <x v="11"/>
    <x v="7"/>
    <x v="0"/>
    <s v="4915150"/>
    <n v="721810"/>
    <s v="Supplies-Dietary/Cafeteria"/>
    <s v="Echo Cardiology"/>
    <x v="0"/>
    <m/>
    <n v="0"/>
    <n v="0"/>
    <n v="0"/>
    <n v="0"/>
    <n v="0"/>
    <n v="0"/>
    <n v="0"/>
    <n v="0"/>
    <n v="16"/>
    <n v="0"/>
    <n v="0"/>
    <n v="0"/>
    <n v="16"/>
    <n v="0"/>
  </r>
  <r>
    <x v="13"/>
    <x v="7"/>
    <x v="0"/>
    <s v="4915150"/>
    <n v="735070"/>
    <s v="Depreciation-Movable Equipment"/>
    <s v="Echo Cardiology"/>
    <x v="0"/>
    <m/>
    <n v="6616.25"/>
    <n v="6616.25"/>
    <n v="6616.25"/>
    <n v="6616.24"/>
    <n v="6616.25"/>
    <n v="6616.24"/>
    <n v="6616.25"/>
    <n v="6616.24"/>
    <n v="6616.25"/>
    <n v="6616.24"/>
    <n v="6616.27"/>
    <n v="6616.24"/>
    <n v="79394.97"/>
    <n v="3.0000000000654836E-2"/>
  </r>
  <r>
    <x v="18"/>
    <x v="10"/>
    <x v="0"/>
    <s v="4915306"/>
    <n v="400010"/>
    <s v="Acute I/P Svcs Rev--Medicare"/>
    <s v="Echo"/>
    <x v="0"/>
    <n v="1100"/>
    <n v="-15715.61"/>
    <n v="-3789.29"/>
    <n v="-11367.87"/>
    <n v="-3789.29"/>
    <n v="-4957.76"/>
    <n v="-7937.25"/>
    <n v="0"/>
    <n v="-5400.61"/>
    <n v="-19514.849999999999"/>
    <n v="-8696.19"/>
    <n v="-10212.98"/>
    <n v="-12912.43"/>
    <n v="-104294.13"/>
    <n v="2699.4500000000007"/>
  </r>
  <r>
    <x v="18"/>
    <x v="10"/>
    <x v="0"/>
    <s v="4915306"/>
    <n v="400010"/>
    <s v="Acute I/P Svcs Rev--Medicaid"/>
    <s v="Echo"/>
    <x v="0"/>
    <n v="1200"/>
    <n v="0"/>
    <n v="-3789.29"/>
    <n v="0"/>
    <n v="0"/>
    <n v="0"/>
    <n v="-7633.61"/>
    <n v="-3789.29"/>
    <n v="-1203.52"/>
    <n v="-3902.97"/>
    <n v="0"/>
    <n v="-1203.52"/>
    <n v="0"/>
    <n v="-21522.2"/>
    <n v="-1203.52"/>
  </r>
  <r>
    <x v="18"/>
    <x v="10"/>
    <x v="0"/>
    <s v="4915306"/>
    <n v="400010"/>
    <s v="Acute I/P Svcs Rev--Comm Insurance"/>
    <s v="Echo"/>
    <x v="0"/>
    <n v="1300"/>
    <n v="0"/>
    <n v="0"/>
    <n v="0"/>
    <n v="0"/>
    <n v="0"/>
    <n v="0"/>
    <n v="0"/>
    <n v="-3608.85"/>
    <n v="0"/>
    <n v="0"/>
    <n v="0"/>
    <n v="0"/>
    <n v="-3608.85"/>
    <n v="0"/>
  </r>
  <r>
    <x v="18"/>
    <x v="10"/>
    <x v="0"/>
    <s v="4915306"/>
    <n v="400010"/>
    <s v="Acute I/P Svcs Rev--BCBS Comm"/>
    <s v="Echo"/>
    <x v="0"/>
    <n v="1301"/>
    <n v="0"/>
    <n v="0"/>
    <n v="0"/>
    <n v="0"/>
    <n v="0"/>
    <n v="0"/>
    <n v="0"/>
    <n v="0"/>
    <n v="-8696.19"/>
    <n v="-3902.97"/>
    <n v="0"/>
    <n v="-3902.97"/>
    <n v="-16502.13"/>
    <n v="3902.97"/>
  </r>
  <r>
    <x v="18"/>
    <x v="10"/>
    <x v="0"/>
    <s v="4915306"/>
    <n v="400010"/>
    <s v="Acute I/P Svcs Rev--Managed Care"/>
    <s v="Echo"/>
    <x v="0"/>
    <n v="1400"/>
    <n v="3608.85"/>
    <n v="0"/>
    <n v="0"/>
    <n v="-7578.58"/>
    <n v="-5040.18"/>
    <n v="0"/>
    <n v="0"/>
    <n v="0"/>
    <n v="-5106.49"/>
    <n v="-3902.97"/>
    <n v="-3902.97"/>
    <n v="-3902.97"/>
    <n v="-25825.31"/>
    <n v="0"/>
  </r>
  <r>
    <x v="7"/>
    <x v="10"/>
    <x v="0"/>
    <s v="4915306"/>
    <n v="718050"/>
    <s v="Miscellaneous Purchased Svcs"/>
    <s v="Echo"/>
    <x v="0"/>
    <n v="1020"/>
    <n v="2255.48"/>
    <n v="1411.88"/>
    <n v="2117.83"/>
    <n v="2117.83"/>
    <n v="1862.61"/>
    <n v="2900.85"/>
    <n v="705.94"/>
    <n v="1532.96"/>
    <n v="5586.79"/>
    <n v="2476.96"/>
    <n v="2299.4499999999998"/>
    <n v="3109.82"/>
    <n v="28378.400000000001"/>
    <n v="-810.37000000000035"/>
  </r>
  <r>
    <x v="18"/>
    <x v="3"/>
    <x v="0"/>
    <s v="4920101"/>
    <n v="400010"/>
    <s v="Acute I/P Svcs Rev--Medicare"/>
    <s v="Cardiac Cath. Svcs"/>
    <x v="0"/>
    <n v="1100"/>
    <n v="-2903578.28"/>
    <n v="-3061529.16"/>
    <n v="-2722857.4"/>
    <n v="-3867311.05"/>
    <n v="-2546129.34"/>
    <n v="-2205957.35"/>
    <n v="-2240663.23"/>
    <n v="-2537881.86"/>
    <n v="-3629303.81"/>
    <n v="-3546871.61"/>
    <n v="-4578521.8499999996"/>
    <n v="-3132157.91"/>
    <n v="-36972762.849999994"/>
    <n v="-1446363.9399999995"/>
  </r>
  <r>
    <x v="18"/>
    <x v="3"/>
    <x v="0"/>
    <s v="4920101"/>
    <n v="400010"/>
    <s v="Acute I/P Svcs Rev--Medicaid"/>
    <s v="Cardiac Cath. Svcs"/>
    <x v="0"/>
    <n v="1200"/>
    <n v="-584855.81000000006"/>
    <n v="-644655.02"/>
    <n v="-831200.54"/>
    <n v="-713267.08"/>
    <n v="-91681.78"/>
    <n v="-643992.52"/>
    <n v="-706432.31"/>
    <n v="-995228.43"/>
    <n v="-441888.23"/>
    <n v="-812721.34"/>
    <n v="-866009.32"/>
    <n v="-1094978.29"/>
    <n v="-8426910.6700000018"/>
    <n v="228968.97000000009"/>
  </r>
  <r>
    <x v="18"/>
    <x v="3"/>
    <x v="0"/>
    <s v="4920101"/>
    <n v="400010"/>
    <s v="Acute I/P Svcs Rev--Comm Insurance"/>
    <s v="Cardiac Cath. Svcs"/>
    <x v="0"/>
    <n v="1300"/>
    <n v="-86057.39"/>
    <n v="-59130.68"/>
    <n v="-75090.45"/>
    <n v="-83663.759999999995"/>
    <n v="-79405.350000000006"/>
    <n v="0"/>
    <n v="-76216.179999999993"/>
    <n v="-84718.8"/>
    <n v="0"/>
    <n v="-24699.07"/>
    <n v="-23698.77"/>
    <n v="24476.18"/>
    <n v="-568204.2699999999"/>
    <n v="-48174.95"/>
  </r>
  <r>
    <x v="18"/>
    <x v="3"/>
    <x v="0"/>
    <s v="4920101"/>
    <n v="400010"/>
    <s v="Acute I/P Svcs Rev--BCBS Comm"/>
    <s v="Cardiac Cath. Svcs"/>
    <x v="0"/>
    <n v="1301"/>
    <n v="-351340.77"/>
    <n v="-311572.08"/>
    <n v="-18276.86"/>
    <n v="-322958.7"/>
    <n v="-294479.42"/>
    <n v="-97124.13"/>
    <n v="-223620.91"/>
    <n v="-227987.32"/>
    <n v="-24325.9"/>
    <n v="-150483.4"/>
    <n v="-82100.490000000005"/>
    <n v="-422146.79"/>
    <n v="-2526416.77"/>
    <n v="340046.3"/>
  </r>
  <r>
    <x v="18"/>
    <x v="3"/>
    <x v="0"/>
    <s v="4920101"/>
    <n v="400010"/>
    <s v="Acute I/P Svcs Rev--Managed Care"/>
    <s v="Cardiac Cath. Svcs"/>
    <x v="0"/>
    <n v="1400"/>
    <n v="-486922.07"/>
    <n v="-640498.07999999996"/>
    <n v="-916305.36"/>
    <n v="-1382395.28"/>
    <n v="-802490.32"/>
    <n v="-905935.74"/>
    <n v="-1126908.6299999999"/>
    <n v="-894985.35"/>
    <n v="-800052.39"/>
    <n v="-334775.57"/>
    <n v="-1522591.04"/>
    <n v="-863151.16"/>
    <n v="-10677010.99"/>
    <n v="-659439.88"/>
  </r>
  <r>
    <x v="18"/>
    <x v="3"/>
    <x v="0"/>
    <s v="4920101"/>
    <n v="400010"/>
    <s v="Acute I/P Svcs Rev--Self Pay"/>
    <s v="Cardiac Cath. Svcs"/>
    <x v="0"/>
    <n v="1500"/>
    <n v="-203327.58"/>
    <n v="34825.21"/>
    <n v="35538.86"/>
    <n v="-239150.55"/>
    <n v="-158498.09"/>
    <n v="-47536.49"/>
    <n v="-26640.720000000001"/>
    <n v="8564.7900000000009"/>
    <n v="-40455.68"/>
    <n v="-41138.76"/>
    <n v="-53668.05"/>
    <n v="-106800.31"/>
    <n v="-838287.37000000011"/>
    <n v="53132.259999999995"/>
  </r>
  <r>
    <x v="18"/>
    <x v="3"/>
    <x v="0"/>
    <s v="4920101"/>
    <n v="400010"/>
    <s v="Acute I/P Svcs Rev--Other"/>
    <s v="Cardiac Cath. Svcs"/>
    <x v="0"/>
    <n v="1700"/>
    <n v="-200503.29"/>
    <n v="-215650.12"/>
    <n v="-357621.46"/>
    <n v="-630057.22"/>
    <n v="-149577.29999999999"/>
    <n v="-248795.59"/>
    <n v="-80321.03"/>
    <n v="-201037.19"/>
    <n v="-137131.20000000001"/>
    <n v="-295031.59999999998"/>
    <n v="-231499.61"/>
    <n v="-230598.39"/>
    <n v="-2977824.0000000005"/>
    <n v="-901.21999999997206"/>
  </r>
  <r>
    <x v="19"/>
    <x v="3"/>
    <x v="0"/>
    <s v="4920101"/>
    <n v="400020"/>
    <s v="O/P Care Svcs Rev--Medicare"/>
    <s v="Cardiac Cath. Svcs"/>
    <x v="0"/>
    <n v="1100"/>
    <n v="-2529823.7400000002"/>
    <n v="-2912598.77"/>
    <n v="-2897700.87"/>
    <n v="-3836956.47"/>
    <n v="-3463809.52"/>
    <n v="-3646697.84"/>
    <n v="-3928844.68"/>
    <n v="-3279423.58"/>
    <n v="-4629295.38"/>
    <n v="-3534856.13"/>
    <n v="-3749892.57"/>
    <n v="-4678957.63"/>
    <n v="-43088857.18"/>
    <n v="929065.06"/>
  </r>
  <r>
    <x v="19"/>
    <x v="3"/>
    <x v="0"/>
    <s v="4920101"/>
    <n v="400020"/>
    <s v="O/P Care Svcs Rev--Medicaid"/>
    <s v="Cardiac Cath. Svcs"/>
    <x v="0"/>
    <n v="1200"/>
    <n v="-706473.94"/>
    <n v="-668474.06999999995"/>
    <n v="-560263"/>
    <n v="-555098.07999999996"/>
    <n v="-1069760.77"/>
    <n v="-599015.1"/>
    <n v="-978321.56"/>
    <n v="-308942.08000000002"/>
    <n v="-410031.5"/>
    <n v="-551464.99"/>
    <n v="-576223.22"/>
    <n v="-416416.79"/>
    <n v="-7400485.0999999996"/>
    <n v="-159806.43"/>
  </r>
  <r>
    <x v="19"/>
    <x v="3"/>
    <x v="0"/>
    <s v="4920101"/>
    <n v="400020"/>
    <s v="O/P Care Svcs Rev--Comm Insurance"/>
    <s v="Cardiac Cath. Svcs"/>
    <x v="0"/>
    <n v="1300"/>
    <n v="-257112.82"/>
    <n v="-250433.41"/>
    <n v="-212947.47"/>
    <n v="-190738.71"/>
    <n v="-249717"/>
    <n v="-119904.02"/>
    <n v="-285054.90999999997"/>
    <n v="-175795.35"/>
    <n v="-278636.62"/>
    <n v="-144339.49"/>
    <n v="-178560.4"/>
    <n v="-452380.12"/>
    <n v="-2795620.32"/>
    <n v="273819.71999999997"/>
  </r>
  <r>
    <x v="19"/>
    <x v="3"/>
    <x v="0"/>
    <s v="4920101"/>
    <n v="400020"/>
    <s v="O/P Care Svcs Rev--BCBS Comm"/>
    <s v="Cardiac Cath. Svcs"/>
    <x v="0"/>
    <n v="1301"/>
    <n v="-275542.84000000003"/>
    <n v="-296732.71999999997"/>
    <n v="-174050.07"/>
    <n v="-168739.33"/>
    <n v="-286925.86"/>
    <n v="-60792.52"/>
    <n v="-474426.89"/>
    <n v="-174165.72"/>
    <n v="-337895.83"/>
    <n v="-437276.61"/>
    <n v="-361717.23"/>
    <n v="-393479.95"/>
    <n v="-3441745.57"/>
    <n v="31762.72000000003"/>
  </r>
  <r>
    <x v="19"/>
    <x v="3"/>
    <x v="0"/>
    <s v="4920101"/>
    <n v="400020"/>
    <s v="O/P Care Svcs Rev--Managed Care"/>
    <s v="Cardiac Cath. Svcs"/>
    <x v="0"/>
    <n v="1400"/>
    <n v="-1361806.42"/>
    <n v="-1184534.82"/>
    <n v="-1124286.19"/>
    <n v="-1233026.1299999999"/>
    <n v="-869273.56"/>
    <n v="-1311058.73"/>
    <n v="-1030260.22"/>
    <n v="-981938.95"/>
    <n v="-1770033.21"/>
    <n v="-1559629.37"/>
    <n v="-1349705.53"/>
    <n v="-1242597.06"/>
    <n v="-15018150.190000001"/>
    <n v="-107108.46999999997"/>
  </r>
  <r>
    <x v="19"/>
    <x v="3"/>
    <x v="0"/>
    <s v="4920101"/>
    <n v="400020"/>
    <s v="O/P Care Svcs Rev--Self Pay"/>
    <s v="Cardiac Cath. Svcs"/>
    <x v="0"/>
    <n v="1500"/>
    <n v="-25201.96"/>
    <n v="-13691.24"/>
    <n v="-562"/>
    <n v="-26465.200000000001"/>
    <n v="-60244.08"/>
    <n v="-51582.91"/>
    <n v="-47788.63"/>
    <n v="0"/>
    <n v="-57321.1"/>
    <n v="-4175.74"/>
    <n v="-37424.14"/>
    <n v="-82580.11"/>
    <n v="-407037.11"/>
    <n v="45155.97"/>
  </r>
  <r>
    <x v="19"/>
    <x v="3"/>
    <x v="0"/>
    <s v="4920101"/>
    <n v="400020"/>
    <s v="O/P Care Svcs Rev--Other"/>
    <s v="Cardiac Cath. Svcs"/>
    <x v="0"/>
    <n v="1700"/>
    <n v="-893.34"/>
    <n v="-264731.03000000003"/>
    <n v="-31109.599999999999"/>
    <n v="-93730.29"/>
    <n v="-166273.07"/>
    <n v="-450512.24"/>
    <n v="-314407.39"/>
    <n v="-160738.71"/>
    <n v="-78185.33"/>
    <n v="-371755.87"/>
    <n v="40066.51"/>
    <n v="-177063.11"/>
    <n v="-2069333.4700000002"/>
    <n v="217129.62"/>
  </r>
  <r>
    <x v="5"/>
    <x v="3"/>
    <x v="0"/>
    <s v="4920101"/>
    <n v="700014"/>
    <s v="Salaries-Management-Productive"/>
    <s v="Cardiac Cath. Svcs"/>
    <x v="0"/>
    <m/>
    <n v="0"/>
    <n v="0"/>
    <n v="0"/>
    <n v="0"/>
    <n v="0"/>
    <n v="0"/>
    <n v="0"/>
    <n v="0"/>
    <n v="0"/>
    <n v="11513.69"/>
    <n v="11514.2"/>
    <n v="10622.95"/>
    <n v="33650.839999999997"/>
    <n v="891.25"/>
  </r>
  <r>
    <x v="5"/>
    <x v="3"/>
    <x v="0"/>
    <s v="4920101"/>
    <n v="700014"/>
    <s v="Salaries-Management-Other"/>
    <s v="Cardiac Cath. Svcs"/>
    <x v="0"/>
    <n v="2000"/>
    <n v="0"/>
    <n v="0"/>
    <n v="0"/>
    <n v="0"/>
    <n v="0"/>
    <n v="0"/>
    <n v="0"/>
    <n v="0"/>
    <n v="0"/>
    <n v="30.04"/>
    <n v="0"/>
    <n v="0"/>
    <n v="30.04"/>
    <n v="0"/>
  </r>
  <r>
    <x v="5"/>
    <x v="3"/>
    <x v="0"/>
    <s v="4920101"/>
    <n v="700026"/>
    <s v="Salaries-RN-Productive"/>
    <s v="Cardiac Cath. Svcs"/>
    <x v="0"/>
    <m/>
    <n v="102578.46"/>
    <n v="105650.22"/>
    <n v="92758.89"/>
    <n v="106601.93"/>
    <n v="112634.89"/>
    <n v="105325.7"/>
    <n v="111462.48"/>
    <n v="97830"/>
    <n v="122254.26"/>
    <n v="104652.3"/>
    <n v="99265.45"/>
    <n v="115951.28"/>
    <n v="1276965.8599999999"/>
    <n v="-16685.830000000002"/>
  </r>
  <r>
    <x v="5"/>
    <x v="3"/>
    <x v="0"/>
    <s v="4920101"/>
    <n v="700026"/>
    <s v="Salaries-RN-OT"/>
    <s v="Cardiac Cath. Svcs"/>
    <x v="0"/>
    <n v="1000"/>
    <n v="8858.81"/>
    <n v="8044.53"/>
    <n v="10831.62"/>
    <n v="8388.75"/>
    <n v="5796.42"/>
    <n v="9883.9599999999991"/>
    <n v="10876.64"/>
    <n v="6391.61"/>
    <n v="11750.47"/>
    <n v="10052.4"/>
    <n v="3216.2"/>
    <n v="14181.97"/>
    <n v="108273.37999999999"/>
    <n v="-10965.77"/>
  </r>
  <r>
    <x v="5"/>
    <x v="3"/>
    <x v="0"/>
    <s v="4920101"/>
    <n v="700026"/>
    <s v="Salaries-RN-Other"/>
    <s v="Cardiac Cath. Svcs"/>
    <x v="0"/>
    <n v="2000"/>
    <n v="4427.5200000000004"/>
    <n v="4202.4799999999996"/>
    <n v="3575.04"/>
    <n v="3742.98"/>
    <n v="4543.3500000000004"/>
    <n v="4676.49"/>
    <n v="4754.1499999999996"/>
    <n v="4479.63"/>
    <n v="4664.18"/>
    <n v="3845.66"/>
    <n v="3248"/>
    <n v="3392.18"/>
    <n v="49551.659999999996"/>
    <n v="-144.17999999999984"/>
  </r>
  <r>
    <x v="5"/>
    <x v="3"/>
    <x v="0"/>
    <s v="4920101"/>
    <n v="700032"/>
    <s v="Salaries-Other Pat Care Providers-Productive"/>
    <s v="Cardiac Cath. Svcs"/>
    <x v="0"/>
    <m/>
    <n v="6938.56"/>
    <n v="7347.03"/>
    <n v="6371.12"/>
    <n v="7285.16"/>
    <n v="8792.94"/>
    <n v="6459.4"/>
    <n v="7792.95"/>
    <n v="6532.1"/>
    <n v="7757.9"/>
    <n v="7831.47"/>
    <n v="7620.68"/>
    <n v="8675.0400000000009"/>
    <n v="89404.35"/>
    <n v="-1054.3600000000006"/>
  </r>
  <r>
    <x v="5"/>
    <x v="3"/>
    <x v="0"/>
    <s v="4920101"/>
    <n v="700032"/>
    <s v="Salaries-Other Pat Care Providers-OT"/>
    <s v="Cardiac Cath. Svcs"/>
    <x v="0"/>
    <n v="1000"/>
    <n v="545.29"/>
    <n v="992.51"/>
    <n v="1411.54"/>
    <n v="24.39"/>
    <n v="109.28"/>
    <n v="325.02"/>
    <n v="347.25"/>
    <n v="41.11"/>
    <n v="276.62"/>
    <n v="357.52"/>
    <n v="566.48"/>
    <n v="-38.56"/>
    <n v="4958.45"/>
    <n v="605.04"/>
  </r>
  <r>
    <x v="5"/>
    <x v="3"/>
    <x v="0"/>
    <s v="4920101"/>
    <n v="700032"/>
    <s v="Salaries-Other Pat Care Providers-Other"/>
    <s v="Cardiac Cath. Svcs"/>
    <x v="0"/>
    <n v="2000"/>
    <n v="49.44"/>
    <n v="6.7"/>
    <n v="57.19"/>
    <n v="37.520000000000003"/>
    <n v="13.62"/>
    <n v="45"/>
    <n v="81.209999999999994"/>
    <n v="25.05"/>
    <n v="36.32"/>
    <n v="43.46"/>
    <n v="38.35"/>
    <n v="45.08"/>
    <n v="478.94"/>
    <n v="-6.7299999999999969"/>
  </r>
  <r>
    <x v="5"/>
    <x v="3"/>
    <x v="0"/>
    <s v="4920101"/>
    <n v="700034"/>
    <s v="Salaries-Tech/Professional-Productive"/>
    <s v="Cardiac Cath. Svcs"/>
    <x v="0"/>
    <m/>
    <n v="51939.91"/>
    <n v="48484.72"/>
    <n v="55320.61"/>
    <n v="59519.55"/>
    <n v="46245.06"/>
    <n v="53853.08"/>
    <n v="52626.49"/>
    <n v="43900.81"/>
    <n v="65596.95"/>
    <n v="53145.64"/>
    <n v="67616.479999999996"/>
    <n v="58564.49"/>
    <n v="656813.78999999992"/>
    <n v="9051.989999999998"/>
  </r>
  <r>
    <x v="5"/>
    <x v="3"/>
    <x v="0"/>
    <s v="4920101"/>
    <n v="700034"/>
    <s v="Salaries-Tech/Professional-OT"/>
    <s v="Cardiac Cath. Svcs"/>
    <x v="0"/>
    <n v="1000"/>
    <n v="4042.46"/>
    <n v="2801.89"/>
    <n v="3893.81"/>
    <n v="4572.25"/>
    <n v="1064.7"/>
    <n v="3647.12"/>
    <n v="4073.04"/>
    <n v="2364.06"/>
    <n v="4172.8500000000004"/>
    <n v="5181.03"/>
    <n v="2049.8200000000002"/>
    <n v="7003.58"/>
    <n v="44866.61"/>
    <n v="-4953.76"/>
  </r>
  <r>
    <x v="5"/>
    <x v="3"/>
    <x v="0"/>
    <s v="4920101"/>
    <n v="700034"/>
    <s v="Salaries-Tech/Professional-Other"/>
    <s v="Cardiac Cath. Svcs"/>
    <x v="0"/>
    <n v="2000"/>
    <n v="1589.85"/>
    <n v="1354.84"/>
    <n v="1426.64"/>
    <n v="2574.3000000000002"/>
    <n v="1077.57"/>
    <n v="1761.63"/>
    <n v="1861.46"/>
    <n v="1572.11"/>
    <n v="1888.41"/>
    <n v="2153.79"/>
    <n v="1817.46"/>
    <n v="1884.3"/>
    <n v="20962.36"/>
    <n v="-66.839999999999918"/>
  </r>
  <r>
    <x v="5"/>
    <x v="3"/>
    <x v="0"/>
    <s v="4920101"/>
    <n v="700054"/>
    <s v="Salaries-Management-Non-productive"/>
    <s v="Cardiac Cath. Svcs"/>
    <x v="0"/>
    <m/>
    <n v="0"/>
    <n v="0"/>
    <n v="0"/>
    <n v="0"/>
    <n v="0"/>
    <n v="0"/>
    <n v="0"/>
    <n v="0"/>
    <n v="0"/>
    <n v="0"/>
    <n v="0"/>
    <n v="519.98"/>
    <n v="519.98"/>
    <n v="-519.98"/>
  </r>
  <r>
    <x v="5"/>
    <x v="3"/>
    <x v="0"/>
    <s v="4920101"/>
    <n v="700054"/>
    <s v="Salaries-Management-NonProd-Other"/>
    <s v="Cardiac Cath. Svcs"/>
    <x v="0"/>
    <n v="2000"/>
    <n v="0"/>
    <n v="0"/>
    <n v="0"/>
    <n v="0"/>
    <n v="0"/>
    <n v="3118.5"/>
    <n v="-3118.5"/>
    <n v="0"/>
    <n v="0"/>
    <n v="0"/>
    <n v="0"/>
    <n v="0"/>
    <n v="0"/>
    <n v="0"/>
  </r>
  <r>
    <x v="5"/>
    <x v="3"/>
    <x v="0"/>
    <s v="4920101"/>
    <n v="700066"/>
    <s v="Salaries-RN-Non-productive"/>
    <s v="Cardiac Cath. Svcs"/>
    <x v="0"/>
    <m/>
    <n v="19586.34"/>
    <n v="10194.75"/>
    <n v="17328.400000000001"/>
    <n v="12624.78"/>
    <n v="4212.7299999999996"/>
    <n v="24229.29"/>
    <n v="14441.84"/>
    <n v="23190.02"/>
    <n v="7624.43"/>
    <n v="15011.31"/>
    <n v="29060.75"/>
    <n v="17171.150000000001"/>
    <n v="194675.79"/>
    <n v="11889.599999999999"/>
  </r>
  <r>
    <x v="5"/>
    <x v="3"/>
    <x v="0"/>
    <s v="4920101"/>
    <n v="700066"/>
    <s v="Salaries-RN-NonProd-Other"/>
    <s v="Cardiac Cath. Svcs"/>
    <x v="0"/>
    <n v="2000"/>
    <n v="1565.72"/>
    <n v="2741.41"/>
    <n v="1158.01"/>
    <n v="4670.38"/>
    <n v="6319.17"/>
    <n v="9539.2900000000009"/>
    <n v="2180.85"/>
    <n v="-9279.6200000000008"/>
    <n v="4980.8999999999996"/>
    <n v="1278.75"/>
    <n v="2287.1"/>
    <n v="2113.36"/>
    <n v="29555.32"/>
    <n v="173.73999999999978"/>
  </r>
  <r>
    <x v="5"/>
    <x v="3"/>
    <x v="0"/>
    <s v="4920101"/>
    <n v="700072"/>
    <s v="Salaries-Other Pat Care Providers-Non-productive"/>
    <s v="Cardiac Cath. Svcs"/>
    <x v="0"/>
    <m/>
    <n v="1402.07"/>
    <n v="167.97"/>
    <n v="1351.44"/>
    <n v="1047.67"/>
    <n v="218.73"/>
    <n v="1214.1099999999999"/>
    <n v="615.52"/>
    <n v="1404.06"/>
    <n v="1421.57"/>
    <n v="854.71"/>
    <n v="3044.34"/>
    <n v="-108.94"/>
    <n v="12633.249999999998"/>
    <n v="3153.28"/>
  </r>
  <r>
    <x v="5"/>
    <x v="3"/>
    <x v="0"/>
    <s v="4920101"/>
    <n v="700072"/>
    <s v="Salaries-Other Pat Care Providers-NonProd-Other"/>
    <s v="Cardiac Cath. Svcs"/>
    <x v="0"/>
    <n v="2000"/>
    <n v="-34.4"/>
    <n v="13.15"/>
    <n v="29.4"/>
    <n v="68.27"/>
    <n v="306.57"/>
    <n v="16.98"/>
    <n v="69.92"/>
    <n v="-222.24"/>
    <n v="61.82"/>
    <n v="28.32"/>
    <n v="178"/>
    <n v="-4.1100000000000003"/>
    <n v="511.67999999999995"/>
    <n v="182.11"/>
  </r>
  <r>
    <x v="5"/>
    <x v="3"/>
    <x v="0"/>
    <s v="4920101"/>
    <n v="700074"/>
    <s v="Salaries-Tech/Professional-Non-productive"/>
    <s v="Cardiac Cath. Svcs"/>
    <x v="0"/>
    <m/>
    <n v="5673.82"/>
    <n v="7072.32"/>
    <n v="4023.22"/>
    <n v="2380.4499999999998"/>
    <n v="11748.62"/>
    <n v="6952.26"/>
    <n v="7263.74"/>
    <n v="13279.45"/>
    <n v="-1224"/>
    <n v="2355.62"/>
    <n v="837.45"/>
    <n v="7401.55"/>
    <n v="67764.5"/>
    <n v="-6564.1"/>
  </r>
  <r>
    <x v="5"/>
    <x v="3"/>
    <x v="0"/>
    <s v="4920101"/>
    <n v="700074"/>
    <s v="Salaries-Tech/Professional-NonProd-Other"/>
    <s v="Cardiac Cath. Svcs"/>
    <x v="0"/>
    <n v="2000"/>
    <n v="665.48"/>
    <n v="859.69"/>
    <n v="537.62"/>
    <n v="1832.27"/>
    <n v="417.41"/>
    <n v="1016.64"/>
    <n v="762.39"/>
    <n v="1238.19"/>
    <n v="1657.72"/>
    <n v="905.48"/>
    <n v="1421.25"/>
    <n v="1044.8399999999999"/>
    <n v="12358.98"/>
    <n v="376.41000000000008"/>
  </r>
  <r>
    <x v="5"/>
    <x v="3"/>
    <x v="0"/>
    <s v="4920101"/>
    <n v="700084"/>
    <s v="Accrued PTO"/>
    <s v="Cardiac Cath. Svcs"/>
    <x v="0"/>
    <m/>
    <n v="-1023.9"/>
    <n v="4902.84"/>
    <n v="-3629.98"/>
    <n v="6880.96"/>
    <n v="7807.29"/>
    <n v="-877.88"/>
    <n v="3682.32"/>
    <n v="-7132.16"/>
    <n v="9518.2099999999991"/>
    <n v="5276.67"/>
    <n v="1606.81"/>
    <n v="-4458.79"/>
    <n v="22552.390000000003"/>
    <n v="6065.6"/>
  </r>
  <r>
    <x v="10"/>
    <x v="3"/>
    <x v="0"/>
    <s v="4920101"/>
    <n v="710060"/>
    <s v="Contract Labor-Other"/>
    <s v="Cardiac Cath. Svcs"/>
    <x v="0"/>
    <m/>
    <n v="12449.99"/>
    <n v="30751"/>
    <n v="13240"/>
    <n v="41745"/>
    <n v="15817.5"/>
    <n v="10800"/>
    <n v="14512.5"/>
    <n v="3330"/>
    <n v="36122.5"/>
    <n v="21700"/>
    <n v="57975"/>
    <n v="50230.5"/>
    <n v="308673.99"/>
    <n v="7744.5"/>
  </r>
  <r>
    <x v="10"/>
    <x v="3"/>
    <x v="0"/>
    <s v="4920101"/>
    <n v="710060"/>
    <s v="Contract Labor-Overtime"/>
    <s v="Cardiac Cath. Svcs"/>
    <x v="0"/>
    <n v="5100"/>
    <n v="1876.84"/>
    <n v="3491.97"/>
    <n v="1512"/>
    <n v="6793.88"/>
    <n v="2369.2600000000002"/>
    <n v="546.75"/>
    <n v="1640.25"/>
    <n v="0"/>
    <n v="216"/>
    <n v="1653.75"/>
    <n v="11103.75"/>
    <n v="3921.75"/>
    <n v="35126.199999999997"/>
    <n v="7182"/>
  </r>
  <r>
    <x v="10"/>
    <x v="3"/>
    <x v="0"/>
    <s v="4920101"/>
    <n v="710060"/>
    <s v="Contract Labor-Standby Wages"/>
    <s v="Cardiac Cath. Svcs"/>
    <x v="0"/>
    <n v="5101"/>
    <n v="890"/>
    <n v="1246"/>
    <n v="756"/>
    <n v="2272"/>
    <n v="524"/>
    <n v="54"/>
    <n v="376"/>
    <n v="0"/>
    <n v="96"/>
    <n v="754"/>
    <n v="1816"/>
    <n v="440"/>
    <n v="9224"/>
    <n v="1376"/>
  </r>
  <r>
    <x v="6"/>
    <x v="3"/>
    <x v="0"/>
    <s v="4920101"/>
    <n v="713010"/>
    <s v="Benefits-FICA/Medicare"/>
    <s v="Cardiac Cath. Svcs"/>
    <x v="0"/>
    <m/>
    <n v="15516.42"/>
    <n v="14065.66"/>
    <n v="13828.14"/>
    <n v="14735.25"/>
    <n v="11822.84"/>
    <n v="15291.17"/>
    <n v="16454.05"/>
    <n v="15041.43"/>
    <n v="17229.43"/>
    <n v="16212.3"/>
    <n v="17234.240000000002"/>
    <n v="18915.63"/>
    <n v="186346.55999999997"/>
    <n v="-1681.3899999999994"/>
  </r>
  <r>
    <x v="6"/>
    <x v="3"/>
    <x v="0"/>
    <s v="4920101"/>
    <n v="713090"/>
    <s v="Benefits-Allocated Amounts"/>
    <s v="Cardiac Cath. Svcs"/>
    <x v="0"/>
    <m/>
    <n v="37129.71"/>
    <n v="32722.880000000001"/>
    <n v="35107.589999999997"/>
    <n v="36474.06"/>
    <n v="36168.870000000003"/>
    <n v="39008.61"/>
    <n v="40817.24"/>
    <n v="39365.49"/>
    <n v="34629.300000000003"/>
    <n v="40524.36"/>
    <n v="45767.83"/>
    <n v="44953.2"/>
    <n v="462669.13999999996"/>
    <n v="814.63000000000466"/>
  </r>
  <r>
    <x v="6"/>
    <x v="3"/>
    <x v="0"/>
    <s v="4920101"/>
    <n v="713096"/>
    <s v="Employee Recognition"/>
    <s v="Cardiac Cath. Svcs"/>
    <x v="0"/>
    <n v="1017"/>
    <n v="0"/>
    <n v="0"/>
    <n v="0"/>
    <n v="0"/>
    <n v="0"/>
    <n v="0"/>
    <n v="0"/>
    <n v="0"/>
    <n v="21.74"/>
    <n v="0"/>
    <n v="0"/>
    <n v="0"/>
    <n v="21.74"/>
    <n v="0"/>
  </r>
  <r>
    <x v="17"/>
    <x v="3"/>
    <x v="0"/>
    <s v="4920101"/>
    <n v="714520"/>
    <s v="Other Contracted Professionals"/>
    <s v="Cardiac Cath. Svcs"/>
    <x v="0"/>
    <m/>
    <n v="37163.47"/>
    <n v="63063.33"/>
    <n v="35263.75"/>
    <n v="0"/>
    <n v="0"/>
    <n v="13066"/>
    <n v="1623.56"/>
    <n v="18291"/>
    <n v="7143"/>
    <n v="5000"/>
    <n v="0"/>
    <n v="0"/>
    <n v="180614.11"/>
    <n v="0"/>
  </r>
  <r>
    <x v="17"/>
    <x v="3"/>
    <x v="0"/>
    <s v="4920101"/>
    <n v="714530"/>
    <s v="Medical Prof Fees-Intracompany"/>
    <s v="Cardiac Cath. Svcs"/>
    <x v="0"/>
    <m/>
    <n v="47713.97"/>
    <n v="67081.91"/>
    <n v="62037.05"/>
    <n v="26110.94"/>
    <n v="107080.25"/>
    <n v="44856.75"/>
    <n v="28112.21"/>
    <n v="69298.399999999994"/>
    <n v="19637.189999999999"/>
    <n v="-42534.080000000002"/>
    <n v="31450.21"/>
    <n v="-460844.79999999999"/>
    <n v="0"/>
    <n v="492295.01"/>
  </r>
  <r>
    <x v="7"/>
    <x v="3"/>
    <x v="0"/>
    <s v="4920101"/>
    <n v="718050"/>
    <s v="Contract Svcs-Other"/>
    <s v="Cardiac Cath. Svcs"/>
    <x v="0"/>
    <m/>
    <n v="2065.9299999999998"/>
    <n v="18012.36"/>
    <n v="49.77"/>
    <n v="607.54"/>
    <n v="0"/>
    <n v="0"/>
    <n v="0"/>
    <n v="0"/>
    <n v="0"/>
    <n v="0"/>
    <n v="0"/>
    <n v="141.68"/>
    <n v="20877.280000000002"/>
    <n v="-141.68"/>
  </r>
  <r>
    <x v="7"/>
    <x v="3"/>
    <x v="0"/>
    <s v="4920101"/>
    <n v="718050"/>
    <s v="Miscellaneous Purchased Svcs"/>
    <s v="Cardiac Cath. Svcs"/>
    <x v="0"/>
    <n v="1020"/>
    <n v="0"/>
    <n v="0"/>
    <n v="235.62"/>
    <n v="0"/>
    <n v="0"/>
    <n v="0"/>
    <n v="0"/>
    <n v="0"/>
    <n v="0"/>
    <n v="0"/>
    <n v="13.25"/>
    <n v="0"/>
    <n v="248.87"/>
    <n v="13.25"/>
  </r>
  <r>
    <x v="7"/>
    <x v="3"/>
    <x v="0"/>
    <s v="4920101"/>
    <n v="718050"/>
    <s v="Translation Services"/>
    <s v="Cardiac Cath. Svcs"/>
    <x v="0"/>
    <n v="1025"/>
    <n v="348.5"/>
    <n v="647"/>
    <n v="592"/>
    <n v="1622.5"/>
    <n v="816"/>
    <n v="0"/>
    <n v="320"/>
    <n v="944"/>
    <n v="1024"/>
    <n v="96"/>
    <n v="0"/>
    <n v="248"/>
    <n v="6658"/>
    <n v="-248"/>
  </r>
  <r>
    <x v="7"/>
    <x v="3"/>
    <x v="0"/>
    <s v="4920101"/>
    <n v="718050"/>
    <s v="Contract Management--Linen"/>
    <s v="Cardiac Cath. Svcs"/>
    <x v="0"/>
    <n v="1026"/>
    <n v="3940.87"/>
    <n v="3833.27"/>
    <n v="3793.98"/>
    <n v="3638.01"/>
    <n v="4270.96"/>
    <n v="4056.91"/>
    <n v="3703.4"/>
    <n v="4170.93"/>
    <n v="3548.54"/>
    <n v="3792.22"/>
    <n v="3201.94"/>
    <n v="4507.08"/>
    <n v="46458.110000000008"/>
    <n v="-1305.1399999999999"/>
  </r>
  <r>
    <x v="7"/>
    <x v="3"/>
    <x v="0"/>
    <s v="4920101"/>
    <n v="718070"/>
    <s v="Contract Srvcs-CHI Clinical Engineering"/>
    <s v="Cardiac Cath. Svcs"/>
    <x v="0"/>
    <m/>
    <n v="35603.06"/>
    <n v="33495.449999999997"/>
    <n v="33495.449999999997"/>
    <n v="31366.69"/>
    <n v="31370.59"/>
    <n v="37540.79"/>
    <n v="39279.089999999997"/>
    <n v="34373.67"/>
    <n v="33848.51"/>
    <n v="33848.51"/>
    <n v="33872.14"/>
    <n v="32538.15"/>
    <n v="410632.10000000003"/>
    <n v="1333.989999999998"/>
  </r>
  <r>
    <x v="7"/>
    <x v="3"/>
    <x v="0"/>
    <s v="4920101"/>
    <n v="718077"/>
    <s v="PACS"/>
    <s v="Cardiac Cath. Svcs"/>
    <x v="0"/>
    <n v="1000"/>
    <n v="970.99"/>
    <n v="1021.29"/>
    <n v="929.61"/>
    <n v="1060.49"/>
    <n v="969.01"/>
    <n v="937.53"/>
    <n v="1070.98"/>
    <n v="893.38"/>
    <n v="1075.1400000000001"/>
    <n v="1061.8800000000001"/>
    <n v="1097.52"/>
    <n v="997.72"/>
    <n v="12085.539999999999"/>
    <n v="99.799999999999955"/>
  </r>
  <r>
    <x v="7"/>
    <x v="3"/>
    <x v="0"/>
    <s v="4920101"/>
    <n v="718091"/>
    <s v="Contract Services-Intracompany Allocation"/>
    <s v="Cardiac Cath. Svcs"/>
    <x v="0"/>
    <m/>
    <n v="48152.29"/>
    <n v="56573.48"/>
    <n v="42605.47"/>
    <n v="62722.879999999997"/>
    <n v="49271.64"/>
    <n v="68024.740000000005"/>
    <n v="65576.09"/>
    <n v="65038.36"/>
    <n v="67976.41"/>
    <n v="26773.96"/>
    <n v="70841.45"/>
    <n v="57008.47"/>
    <n v="680565.23999999987"/>
    <n v="13832.979999999996"/>
  </r>
  <r>
    <x v="11"/>
    <x v="3"/>
    <x v="0"/>
    <s v="4920101"/>
    <n v="721010"/>
    <s v="Supplies-Medical - Billable"/>
    <s v="Cardiac Cath. Svcs"/>
    <x v="0"/>
    <m/>
    <n v="621.69000000000005"/>
    <n v="837.39"/>
    <n v="1184.3900000000001"/>
    <n v="625.77"/>
    <n v="2888.86"/>
    <n v="2896.81"/>
    <n v="375.39"/>
    <n v="1559.68"/>
    <n v="-561.02"/>
    <n v="1203.4100000000001"/>
    <n v="1318.77"/>
    <n v="1417.38"/>
    <n v="14368.52"/>
    <n v="-98.610000000000127"/>
  </r>
  <r>
    <x v="11"/>
    <x v="3"/>
    <x v="0"/>
    <s v="4920101"/>
    <n v="721010"/>
    <s v="Patient Monitoring"/>
    <s v="Cardiac Cath. Svcs"/>
    <x v="0"/>
    <n v="1000"/>
    <n v="16431.349999999999"/>
    <n v="17162.48"/>
    <n v="17511.009999999998"/>
    <n v="20605.59"/>
    <n v="16862.82"/>
    <n v="21630.67"/>
    <n v="21109.95"/>
    <n v="15699.58"/>
    <n v="17785.72"/>
    <n v="18654.23"/>
    <n v="20287.25"/>
    <n v="23961.37"/>
    <n v="227702.02"/>
    <n v="-3674.119999999999"/>
  </r>
  <r>
    <x v="11"/>
    <x v="3"/>
    <x v="0"/>
    <s v="4920101"/>
    <n v="721020"/>
    <s v="Supplies-Surgical - Billable"/>
    <s v="Cardiac Cath. Svcs"/>
    <x v="0"/>
    <m/>
    <n v="22133.96"/>
    <n v="15856.97"/>
    <n v="20589.3"/>
    <n v="19838.84"/>
    <n v="31125.5"/>
    <n v="32671.64"/>
    <n v="27999.15"/>
    <n v="15644.33"/>
    <n v="39554.86"/>
    <n v="61454.41"/>
    <n v="43146.94"/>
    <n v="29535.21"/>
    <n v="359551.11"/>
    <n v="13611.730000000003"/>
  </r>
  <r>
    <x v="11"/>
    <x v="3"/>
    <x v="0"/>
    <s v="4920101"/>
    <n v="721020"/>
    <s v="Custom Packs"/>
    <s v="Cardiac Cath. Svcs"/>
    <x v="0"/>
    <n v="1000"/>
    <n v="7909.67"/>
    <n v="12294.49"/>
    <n v="10757.99"/>
    <n v="13558.23"/>
    <n v="11092.52"/>
    <n v="11141.53"/>
    <n v="11933.62"/>
    <n v="9366.17"/>
    <n v="12059.89"/>
    <n v="12075.62"/>
    <n v="13752.56"/>
    <n v="13421.59"/>
    <n v="139363.88"/>
    <n v="330.96999999999935"/>
  </r>
  <r>
    <x v="11"/>
    <x v="3"/>
    <x v="0"/>
    <s v="4920101"/>
    <n v="721020"/>
    <s v="Suture/Wound Closure"/>
    <s v="Cardiac Cath. Svcs"/>
    <x v="0"/>
    <n v="1001"/>
    <n v="3066.57"/>
    <n v="2194.59"/>
    <n v="434.16"/>
    <n v="0"/>
    <n v="662.04"/>
    <n v="2588.52"/>
    <n v="0"/>
    <n v="1760.76"/>
    <n v="96.12"/>
    <n v="0"/>
    <n v="709.29"/>
    <n v="0"/>
    <n v="11512.05"/>
    <n v="709.29"/>
  </r>
  <r>
    <x v="11"/>
    <x v="3"/>
    <x v="0"/>
    <s v="4920101"/>
    <n v="721020"/>
    <s v="Endomechanical Supplies &amp; Instruments"/>
    <s v="Cardiac Cath. Svcs"/>
    <x v="0"/>
    <n v="1003"/>
    <n v="0"/>
    <n v="0"/>
    <n v="0"/>
    <n v="-5260.8"/>
    <n v="0"/>
    <n v="0"/>
    <n v="0"/>
    <n v="0"/>
    <n v="0"/>
    <n v="0"/>
    <n v="0"/>
    <n v="0"/>
    <n v="-5260.8"/>
    <n v="0"/>
  </r>
  <r>
    <x v="11"/>
    <x v="3"/>
    <x v="0"/>
    <s v="4920101"/>
    <n v="721020"/>
    <s v="Heart/Lung Machine Supplies"/>
    <s v="Cardiac Cath. Svcs"/>
    <x v="0"/>
    <n v="1005"/>
    <n v="27525"/>
    <n v="0"/>
    <n v="0"/>
    <n v="0"/>
    <n v="0"/>
    <n v="25000"/>
    <n v="0"/>
    <n v="0"/>
    <n v="29837.1"/>
    <n v="-212.1"/>
    <n v="29151"/>
    <n v="-4575"/>
    <n v="106726"/>
    <n v="33726"/>
  </r>
  <r>
    <x v="11"/>
    <x v="3"/>
    <x v="0"/>
    <s v="4920101"/>
    <n v="721020"/>
    <s v="Urological Supplies"/>
    <s v="Cardiac Cath. Svcs"/>
    <x v="0"/>
    <n v="1006"/>
    <n v="0"/>
    <n v="0"/>
    <n v="0"/>
    <n v="0"/>
    <n v="0"/>
    <n v="0"/>
    <n v="0"/>
    <n v="0"/>
    <n v="0"/>
    <n v="7425.62"/>
    <n v="85.74"/>
    <n v="6616.44"/>
    <n v="14127.8"/>
    <n v="-6530.7"/>
  </r>
  <r>
    <x v="11"/>
    <x v="3"/>
    <x v="0"/>
    <s v="4920101"/>
    <n v="721020"/>
    <s v="Surgical Cardiovascular"/>
    <s v="Cardiac Cath. Svcs"/>
    <x v="0"/>
    <n v="1007"/>
    <n v="57731.68"/>
    <n v="43725.96"/>
    <n v="88588.160000000003"/>
    <n v="198668"/>
    <n v="30705.69"/>
    <n v="31563.32"/>
    <n v="36676.339999999997"/>
    <n v="111117.84"/>
    <n v="85141.58"/>
    <n v="59849.91"/>
    <n v="84142.88"/>
    <n v="27552.52"/>
    <n v="855463.88"/>
    <n v="56590.36"/>
  </r>
  <r>
    <x v="11"/>
    <x v="3"/>
    <x v="0"/>
    <s v="4920101"/>
    <n v="721020"/>
    <s v="Tubes Drains &amp; Related Supplies"/>
    <s v="Cardiac Cath. Svcs"/>
    <x v="0"/>
    <n v="1008"/>
    <n v="0"/>
    <n v="449.43"/>
    <n v="13.43"/>
    <n v="26.86"/>
    <n v="0"/>
    <n v="13.43"/>
    <n v="0"/>
    <n v="26.86"/>
    <n v="0"/>
    <n v="0"/>
    <n v="13.43"/>
    <n v="0"/>
    <n v="543.43999999999994"/>
    <n v="13.43"/>
  </r>
  <r>
    <x v="11"/>
    <x v="3"/>
    <x v="0"/>
    <s v="4920101"/>
    <n v="721050"/>
    <s v="Supplies-Cardiac Rhythm - Billable"/>
    <s v="Cardiac Cath. Svcs"/>
    <x v="0"/>
    <m/>
    <n v="248006.87"/>
    <n v="235591.76"/>
    <n v="239073.93"/>
    <n v="321227.53000000003"/>
    <n v="239220"/>
    <n v="294855.40000000002"/>
    <n v="264491.21999999997"/>
    <n v="208253.73"/>
    <n v="329080.46999999997"/>
    <n v="325624.01"/>
    <n v="343158.12"/>
    <n v="359423.18"/>
    <n v="3408006.22"/>
    <n v="-16265.059999999998"/>
  </r>
  <r>
    <x v="11"/>
    <x v="3"/>
    <x v="0"/>
    <s v="4920101"/>
    <n v="721050"/>
    <s v="Pacemakers - Internal"/>
    <s v="Cardiac Cath. Svcs"/>
    <x v="0"/>
    <n v="1000"/>
    <n v="60807.519999999997"/>
    <n v="5037"/>
    <n v="1423.37"/>
    <n v="14253"/>
    <n v="-39972.89"/>
    <n v="72228.52"/>
    <n v="3211.48"/>
    <n v="4475"/>
    <n v="-23810"/>
    <n v="3580"/>
    <n v="14120"/>
    <n v="10596.86"/>
    <n v="125949.85999999999"/>
    <n v="3523.1399999999994"/>
  </r>
  <r>
    <x v="11"/>
    <x v="3"/>
    <x v="0"/>
    <s v="4920101"/>
    <n v="721050"/>
    <s v="AICD"/>
    <s v="Cardiac Cath. Svcs"/>
    <x v="0"/>
    <n v="1001"/>
    <n v="15333"/>
    <n v="-11667"/>
    <n v="0"/>
    <n v="-16954"/>
    <n v="0"/>
    <n v="0"/>
    <n v="-52667"/>
    <n v="0"/>
    <n v="-2444"/>
    <n v="0"/>
    <n v="0"/>
    <n v="0"/>
    <n v="-68399"/>
    <n v="0"/>
  </r>
  <r>
    <x v="11"/>
    <x v="3"/>
    <x v="0"/>
    <s v="4920101"/>
    <n v="721050"/>
    <s v="Electrophysiology Products"/>
    <s v="Cardiac Cath. Svcs"/>
    <x v="0"/>
    <n v="1002"/>
    <n v="1309.32"/>
    <n v="0"/>
    <n v="6450"/>
    <n v="-349.33"/>
    <n v="-1355.34"/>
    <n v="116.13"/>
    <n v="0"/>
    <n v="-77.88"/>
    <n v="0"/>
    <n v="0"/>
    <n v="0"/>
    <n v="0"/>
    <n v="6092.9"/>
    <n v="0"/>
  </r>
  <r>
    <x v="11"/>
    <x v="3"/>
    <x v="0"/>
    <s v="4920101"/>
    <n v="721060"/>
    <s v="Supplies-Heart Valves - Billable"/>
    <s v="Cardiac Cath. Svcs"/>
    <x v="0"/>
    <m/>
    <n v="0"/>
    <n v="0"/>
    <n v="0"/>
    <n v="0"/>
    <n v="0"/>
    <n v="40"/>
    <n v="0"/>
    <n v="0"/>
    <n v="0"/>
    <n v="0"/>
    <n v="0"/>
    <n v="0"/>
    <n v="40"/>
    <n v="0"/>
  </r>
  <r>
    <x v="11"/>
    <x v="3"/>
    <x v="0"/>
    <s v="4920101"/>
    <n v="721070"/>
    <s v="Supplies-Stents - Billable"/>
    <s v="Cardiac Cath. Svcs"/>
    <x v="0"/>
    <m/>
    <n v="5460"/>
    <n v="7841.92"/>
    <n v="800"/>
    <n v="6748.23"/>
    <n v="6748.23"/>
    <n v="1851.77"/>
    <n v="9751.77"/>
    <n v="3448.23"/>
    <n v="9826.77"/>
    <n v="4750"/>
    <n v="13343.95"/>
    <n v="7723.95"/>
    <n v="78294.819999999992"/>
    <n v="5620.0000000000009"/>
  </r>
  <r>
    <x v="11"/>
    <x v="3"/>
    <x v="0"/>
    <s v="4920101"/>
    <n v="721070"/>
    <s v="Coronary Stents DES"/>
    <s v="Cardiac Cath. Svcs"/>
    <x v="0"/>
    <n v="1000"/>
    <n v="104773.78"/>
    <n v="102600"/>
    <n v="90107.02"/>
    <n v="140153.46"/>
    <n v="120906.1"/>
    <n v="91800"/>
    <n v="92700"/>
    <n v="82349.58"/>
    <n v="89100"/>
    <n v="99485"/>
    <n v="117042.53"/>
    <n v="110795"/>
    <n v="1241812.47"/>
    <n v="6247.5299999999988"/>
  </r>
  <r>
    <x v="11"/>
    <x v="3"/>
    <x v="0"/>
    <s v="4920101"/>
    <n v="721070"/>
    <s v="Peripheral Stents"/>
    <s v="Cardiac Cath. Svcs"/>
    <x v="0"/>
    <n v="1001"/>
    <n v="19379.830000000002"/>
    <n v="26126.3"/>
    <n v="30327.84"/>
    <n v="29288.41"/>
    <n v="22180.18"/>
    <n v="25506.2"/>
    <n v="64236.800000000003"/>
    <n v="13006.02"/>
    <n v="31356.52"/>
    <n v="26926.47"/>
    <n v="21799.57"/>
    <n v="28456.97"/>
    <n v="338591.11"/>
    <n v="-6657.4000000000015"/>
  </r>
  <r>
    <x v="11"/>
    <x v="3"/>
    <x v="0"/>
    <s v="4920101"/>
    <n v="721110"/>
    <s v="Supplies-Grafts - Billable"/>
    <s v="Cardiac Cath. Svcs"/>
    <x v="0"/>
    <m/>
    <n v="7824"/>
    <n v="727.32"/>
    <n v="0"/>
    <n v="1396.07"/>
    <n v="4020"/>
    <n v="0"/>
    <n v="20208.849999999999"/>
    <n v="-6913.76"/>
    <n v="-7534"/>
    <n v="16741"/>
    <n v="13125"/>
    <n v="4092.99"/>
    <n v="53687.469999999994"/>
    <n v="9032.01"/>
  </r>
  <r>
    <x v="11"/>
    <x v="3"/>
    <x v="0"/>
    <s v="4920101"/>
    <n v="721150"/>
    <s v="Spinal Fixations Internal Syst"/>
    <s v="Cardiac Cath. Svcs"/>
    <x v="0"/>
    <n v="1002"/>
    <n v="0"/>
    <n v="71.709999999999994"/>
    <n v="0"/>
    <n v="0"/>
    <n v="0"/>
    <n v="0"/>
    <n v="0"/>
    <n v="0"/>
    <n v="0"/>
    <n v="0"/>
    <n v="0"/>
    <n v="0"/>
    <n v="71.709999999999994"/>
    <n v="0"/>
  </r>
  <r>
    <x v="11"/>
    <x v="3"/>
    <x v="0"/>
    <s v="4920101"/>
    <n v="721240"/>
    <s v="Supplies-IV Solutions/Supplies - Billable"/>
    <s v="Cardiac Cath. Svcs"/>
    <x v="0"/>
    <m/>
    <n v="5467.36"/>
    <n v="2744.77"/>
    <n v="2945.71"/>
    <n v="5458.78"/>
    <n v="3585.89"/>
    <n v="3345.84"/>
    <n v="3756.39"/>
    <n v="2682.09"/>
    <n v="3679.78"/>
    <n v="3789.65"/>
    <n v="4829.67"/>
    <n v="5696.92"/>
    <n v="47982.85"/>
    <n v="-867.25"/>
  </r>
  <r>
    <x v="11"/>
    <x v="3"/>
    <x v="0"/>
    <s v="4920101"/>
    <n v="721250"/>
    <s v="Supplies-Pharmacy Drugs - Billable"/>
    <s v="Cardiac Cath. Svcs"/>
    <x v="0"/>
    <m/>
    <n v="2469.77"/>
    <n v="9293.07"/>
    <n v="7619.04"/>
    <n v="7784.17"/>
    <n v="1707.87"/>
    <n v="9895.43"/>
    <n v="1810.61"/>
    <n v="12232.08"/>
    <n v="0"/>
    <n v="5366.24"/>
    <n v="4695.12"/>
    <n v="8504.9599999999991"/>
    <n v="71378.360000000015"/>
    <n v="-3809.8399999999992"/>
  </r>
  <r>
    <x v="11"/>
    <x v="3"/>
    <x v="0"/>
    <s v="4920101"/>
    <n v="721350"/>
    <s v="Radiology Imaging - Contrast Media"/>
    <s v="Cardiac Cath. Svcs"/>
    <x v="0"/>
    <n v="1000"/>
    <n v="0"/>
    <n v="60"/>
    <n v="120"/>
    <n v="0"/>
    <n v="0"/>
    <n v="0"/>
    <n v="20.62"/>
    <n v="0"/>
    <n v="0"/>
    <n v="0"/>
    <n v="0"/>
    <n v="0"/>
    <n v="200.62"/>
    <n v="0"/>
  </r>
  <r>
    <x v="11"/>
    <x v="3"/>
    <x v="0"/>
    <s v="4920101"/>
    <n v="721410"/>
    <s v="Supplies-Medical - Nonbillable"/>
    <s v="Cardiac Cath. Svcs"/>
    <x v="0"/>
    <m/>
    <n v="28485.86"/>
    <n v="31250.12"/>
    <n v="31764.720000000001"/>
    <n v="33753.82"/>
    <n v="32030.15"/>
    <n v="30231.38"/>
    <n v="33670.589999999997"/>
    <n v="26943.85"/>
    <n v="33694.69"/>
    <n v="5983.53"/>
    <n v="26142.35"/>
    <n v="34358.57"/>
    <n v="348309.63"/>
    <n v="-8216.2200000000012"/>
  </r>
  <r>
    <x v="11"/>
    <x v="3"/>
    <x v="0"/>
    <s v="4920101"/>
    <n v="721410"/>
    <s v="Patient Monitoring"/>
    <s v="Cardiac Cath. Svcs"/>
    <x v="0"/>
    <n v="1000"/>
    <n v="0"/>
    <n v="-3.75"/>
    <n v="100.75"/>
    <n v="153.97999999999999"/>
    <n v="116.38"/>
    <n v="142.02000000000001"/>
    <n v="43.64"/>
    <n v="156.72999999999999"/>
    <n v="72.739999999999995"/>
    <n v="87.29"/>
    <n v="175.1"/>
    <n v="0"/>
    <n v="1044.8799999999999"/>
    <n v="175.1"/>
  </r>
  <r>
    <x v="11"/>
    <x v="3"/>
    <x v="0"/>
    <s v="4920101"/>
    <n v="721420"/>
    <s v="Supplies-Surgical Nonbillable"/>
    <s v="Cardiac Cath. Svcs"/>
    <x v="0"/>
    <m/>
    <n v="3931.42"/>
    <n v="4237.2299999999996"/>
    <n v="4491.1099999999997"/>
    <n v="5809.66"/>
    <n v="4456.21"/>
    <n v="4600.53"/>
    <n v="4380.95"/>
    <n v="4268.34"/>
    <n v="4553.76"/>
    <n v="5281.64"/>
    <n v="5558.34"/>
    <n v="7783.2"/>
    <n v="59352.39"/>
    <n v="-2224.8599999999997"/>
  </r>
  <r>
    <x v="11"/>
    <x v="3"/>
    <x v="0"/>
    <s v="4920101"/>
    <n v="721420"/>
    <s v="Tubes Drains &amp; Related Supplies"/>
    <s v="Cardiac Cath. Svcs"/>
    <x v="0"/>
    <n v="1008"/>
    <n v="8.59"/>
    <n v="31.32"/>
    <n v="25.44"/>
    <n v="21.41"/>
    <n v="31.05"/>
    <n v="21.91"/>
    <n v="42.04"/>
    <n v="49.18"/>
    <n v="21.8"/>
    <n v="20.88"/>
    <n v="35.86"/>
    <n v="1.34"/>
    <n v="310.82"/>
    <n v="34.519999999999996"/>
  </r>
  <r>
    <x v="11"/>
    <x v="3"/>
    <x v="0"/>
    <s v="4920101"/>
    <n v="721420"/>
    <s v="Sterilization Process Products"/>
    <s v="Cardiac Cath. Svcs"/>
    <x v="0"/>
    <n v="1009"/>
    <n v="0"/>
    <n v="0"/>
    <n v="442.67"/>
    <n v="1328"/>
    <n v="0"/>
    <n v="1328"/>
    <n v="0"/>
    <n v="1.83"/>
    <n v="1770.67"/>
    <n v="183.31"/>
    <n v="1018.26"/>
    <n v="0"/>
    <n v="6072.7400000000007"/>
    <n v="1018.26"/>
  </r>
  <r>
    <x v="11"/>
    <x v="3"/>
    <x v="0"/>
    <s v="4920101"/>
    <n v="721610"/>
    <s v="Supplies-Anesthesia - Nonbillable"/>
    <s v="Cardiac Cath. Svcs"/>
    <x v="0"/>
    <m/>
    <n v="117.25"/>
    <n v="362.84"/>
    <n v="315.64999999999998"/>
    <n v="279.8"/>
    <n v="242.2"/>
    <n v="220.25"/>
    <n v="246.68"/>
    <n v="166.47"/>
    <n v="352.45"/>
    <n v="280.62"/>
    <n v="280.99"/>
    <n v="293.8"/>
    <n v="3159"/>
    <n v="-12.810000000000002"/>
  </r>
  <r>
    <x v="11"/>
    <x v="3"/>
    <x v="0"/>
    <s v="4920101"/>
    <n v="721640"/>
    <s v="Supplies-IV Solutions/Supplies - Nonbillable"/>
    <s v="Cardiac Cath. Svcs"/>
    <x v="0"/>
    <m/>
    <n v="4271.08"/>
    <n v="5443.21"/>
    <n v="5106.95"/>
    <n v="5714.72"/>
    <n v="5512.38"/>
    <n v="5774.76"/>
    <n v="5234.34"/>
    <n v="4142"/>
    <n v="5438.85"/>
    <n v="6297.04"/>
    <n v="6826.38"/>
    <n v="6988.89"/>
    <n v="66750.600000000006"/>
    <n v="-162.51000000000022"/>
  </r>
  <r>
    <x v="11"/>
    <x v="3"/>
    <x v="0"/>
    <s v="4920101"/>
    <n v="721650"/>
    <s v="Supplies-Pharmacy Drugs - Nonbillable"/>
    <s v="Cardiac Cath. Svcs"/>
    <x v="0"/>
    <m/>
    <n v="124.69"/>
    <n v="121.79"/>
    <n v="372.56"/>
    <n v="344.47"/>
    <n v="367.31"/>
    <n v="290.12"/>
    <n v="386.7"/>
    <n v="2.4700000000000002"/>
    <n v="145.06"/>
    <n v="833.62"/>
    <n v="871.59"/>
    <n v="193.42"/>
    <n v="4053.8"/>
    <n v="678.17000000000007"/>
  </r>
  <r>
    <x v="11"/>
    <x v="3"/>
    <x v="0"/>
    <s v="4920101"/>
    <n v="721710"/>
    <s v="Supplies-Laboratory - Nonbillable"/>
    <s v="Cardiac Cath. Svcs"/>
    <x v="0"/>
    <m/>
    <n v="594.6"/>
    <n v="145.46"/>
    <n v="212.86"/>
    <n v="296.69"/>
    <n v="472.63"/>
    <n v="251.05"/>
    <n v="183.65"/>
    <n v="123.34"/>
    <n v="1335.57"/>
    <n v="175"/>
    <n v="232.64"/>
    <n v="371.49"/>
    <n v="4394.9800000000005"/>
    <n v="-138.85000000000002"/>
  </r>
  <r>
    <x v="11"/>
    <x v="3"/>
    <x v="0"/>
    <s v="4920101"/>
    <n v="721710"/>
    <s v="Reagents"/>
    <s v="Cardiac Cath. Svcs"/>
    <x v="0"/>
    <n v="1000"/>
    <n v="922.3"/>
    <n v="922.31"/>
    <n v="922.31"/>
    <n v="44.18"/>
    <n v="0"/>
    <n v="1383.46"/>
    <n v="1115.1300000000001"/>
    <n v="0"/>
    <n v="1222.8800000000001"/>
    <n v="922.31"/>
    <n v="2037.45"/>
    <n v="0"/>
    <n v="9492.33"/>
    <n v="2037.45"/>
  </r>
  <r>
    <x v="11"/>
    <x v="3"/>
    <x v="0"/>
    <s v="4920101"/>
    <n v="721750"/>
    <s v="Supplies-Film/Radiographic - Nonbillable"/>
    <s v="Cardiac Cath. Svcs"/>
    <x v="0"/>
    <m/>
    <n v="5523.47"/>
    <n v="7041.7"/>
    <n v="5251.54"/>
    <n v="6151.11"/>
    <n v="4392.16"/>
    <n v="6561.38"/>
    <n v="3447.39"/>
    <n v="3458.47"/>
    <n v="6063.79"/>
    <n v="6666.76"/>
    <n v="6384.26"/>
    <n v="4867.41"/>
    <n v="65809.440000000002"/>
    <n v="1516.8500000000004"/>
  </r>
  <r>
    <x v="11"/>
    <x v="3"/>
    <x v="0"/>
    <s v="4920101"/>
    <n v="721810"/>
    <s v="Supplies-Dietary/Cafeteria"/>
    <s v="Cardiac Cath. Svcs"/>
    <x v="0"/>
    <m/>
    <n v="966.93"/>
    <n v="1040.8399999999999"/>
    <n v="1411.78"/>
    <n v="1232.3800000000001"/>
    <n v="1108.6300000000001"/>
    <n v="989.52"/>
    <n v="876.94"/>
    <n v="1038.57"/>
    <n v="1249.3399999999999"/>
    <n v="896.29"/>
    <n v="1044.8"/>
    <n v="817.61"/>
    <n v="12673.630000000001"/>
    <n v="227.18999999999994"/>
  </r>
  <r>
    <x v="11"/>
    <x v="3"/>
    <x v="0"/>
    <s v="4920101"/>
    <n v="721830"/>
    <s v="Supplies-Office"/>
    <s v="Cardiac Cath. Svcs"/>
    <x v="0"/>
    <m/>
    <n v="1616.5"/>
    <n v="3126.03"/>
    <n v="5408.82"/>
    <n v="2899.06"/>
    <n v="1792.32"/>
    <n v="2217.29"/>
    <n v="1256.7"/>
    <n v="2274.0700000000002"/>
    <n v="1752.62"/>
    <n v="5378.25"/>
    <n v="-279.23"/>
    <n v="-131.54"/>
    <n v="27310.89"/>
    <n v="-147.69000000000003"/>
  </r>
  <r>
    <x v="11"/>
    <x v="3"/>
    <x v="0"/>
    <s v="4920101"/>
    <n v="721835"/>
    <s v="Supplies-Forms"/>
    <s v="Cardiac Cath. Svcs"/>
    <x v="0"/>
    <m/>
    <n v="0"/>
    <n v="0"/>
    <n v="0"/>
    <n v="0"/>
    <n v="240.1"/>
    <n v="56.9"/>
    <n v="38.56"/>
    <n v="0"/>
    <n v="50.4"/>
    <n v="52.65"/>
    <n v="79.400000000000006"/>
    <n v="0"/>
    <n v="518.01"/>
    <n v="79.400000000000006"/>
  </r>
  <r>
    <x v="11"/>
    <x v="3"/>
    <x v="0"/>
    <s v="4920101"/>
    <n v="721870"/>
    <s v="Supplies-Environmental Services"/>
    <s v="Cardiac Cath. Svcs"/>
    <x v="0"/>
    <m/>
    <n v="927.76"/>
    <n v="773.02"/>
    <n v="574.59"/>
    <n v="938.75"/>
    <n v="503.8"/>
    <n v="579.65"/>
    <n v="698.19"/>
    <n v="304.33999999999997"/>
    <n v="611.84"/>
    <n v="381.77"/>
    <n v="533.15"/>
    <n v="667.2"/>
    <n v="7494.06"/>
    <n v="-134.05000000000007"/>
  </r>
  <r>
    <x v="11"/>
    <x v="3"/>
    <x v="0"/>
    <s v="4920101"/>
    <n v="721880"/>
    <s v="Supplies-Linen"/>
    <s v="Cardiac Cath. Svcs"/>
    <x v="0"/>
    <m/>
    <n v="0"/>
    <n v="0"/>
    <n v="64.2"/>
    <n v="0"/>
    <n v="0"/>
    <n v="0"/>
    <n v="160.5"/>
    <n v="64.2"/>
    <n v="64.2"/>
    <n v="0"/>
    <n v="64.2"/>
    <n v="0"/>
    <n v="417.29999999999995"/>
    <n v="64.2"/>
  </r>
  <r>
    <x v="11"/>
    <x v="3"/>
    <x v="0"/>
    <s v="4920101"/>
    <n v="721910"/>
    <s v="Supplies-Small Equipment"/>
    <s v="Cardiac Cath. Svcs"/>
    <x v="0"/>
    <m/>
    <n v="5407.74"/>
    <n v="2736.79"/>
    <n v="197"/>
    <n v="8518.64"/>
    <n v="13779.24"/>
    <n v="-3075.78"/>
    <n v="4561.93"/>
    <n v="15710.32"/>
    <n v="-2999.49"/>
    <n v="6101.7"/>
    <n v="812.8"/>
    <n v="2449.83"/>
    <n v="54200.72"/>
    <n v="-1637.03"/>
  </r>
  <r>
    <x v="11"/>
    <x v="3"/>
    <x v="0"/>
    <s v="4920101"/>
    <n v="721910"/>
    <s v="Instruments"/>
    <s v="Cardiac Cath. Svcs"/>
    <x v="0"/>
    <n v="1000"/>
    <n v="0"/>
    <n v="41.42"/>
    <n v="0"/>
    <n v="249.6"/>
    <n v="0"/>
    <n v="0"/>
    <n v="673.32"/>
    <n v="0"/>
    <n v="575"/>
    <n v="118.2"/>
    <n v="1061.8800000000001"/>
    <n v="1219.0999999999999"/>
    <n v="3938.52"/>
    <n v="-157.2199999999998"/>
  </r>
  <r>
    <x v="11"/>
    <x v="3"/>
    <x v="0"/>
    <s v="4920101"/>
    <n v="721980"/>
    <s v="Supplies-Other"/>
    <s v="Cardiac Cath. Svcs"/>
    <x v="0"/>
    <m/>
    <n v="385.36"/>
    <n v="73.91"/>
    <n v="1750.59"/>
    <n v="0"/>
    <n v="4.28"/>
    <n v="2908"/>
    <n v="2206.7800000000002"/>
    <n v="-2833"/>
    <n v="2484.9499999999998"/>
    <n v="495.17"/>
    <n v="0"/>
    <n v="5507.55"/>
    <n v="12983.59"/>
    <n v="-5507.55"/>
  </r>
  <r>
    <x v="11"/>
    <x v="3"/>
    <x v="0"/>
    <s v="4920101"/>
    <n v="722000"/>
    <s v="Supplies-Freight Expense"/>
    <s v="Cardiac Cath. Svcs"/>
    <x v="0"/>
    <m/>
    <n v="216.73"/>
    <n v="1291.79"/>
    <n v="774.76"/>
    <n v="759.68"/>
    <n v="2802.3"/>
    <n v="1514.73"/>
    <n v="2131.92"/>
    <n v="727.25"/>
    <n v="1736.79"/>
    <n v="1559.19"/>
    <n v="2064.63"/>
    <n v="713.15"/>
    <n v="16292.92"/>
    <n v="1351.48"/>
  </r>
  <r>
    <x v="11"/>
    <x v="3"/>
    <x v="0"/>
    <s v="4920101"/>
    <n v="723000"/>
    <s v="Supply Rebates/Patronage Dividend"/>
    <s v="Cardiac Cath. Svcs"/>
    <x v="0"/>
    <m/>
    <n v="0"/>
    <n v="0"/>
    <n v="-411953.87"/>
    <n v="0"/>
    <n v="0"/>
    <n v="-597777.24"/>
    <n v="0"/>
    <n v="0"/>
    <n v="-665480.66"/>
    <n v="0"/>
    <n v="0"/>
    <n v="-358500.95"/>
    <n v="-2033712.72"/>
    <n v="358500.95"/>
  </r>
  <r>
    <x v="12"/>
    <x v="3"/>
    <x v="0"/>
    <s v="4920101"/>
    <n v="730020"/>
    <s v="Rental and Leases-Copier Usage Fees (DO NOT USE)"/>
    <s v="Cardiac Cath. Svcs"/>
    <x v="0"/>
    <n v="5100"/>
    <n v="499.81"/>
    <n v="494.21"/>
    <n v="497.01"/>
    <n v="497.01"/>
    <n v="497.01"/>
    <n v="497.01"/>
    <n v="715.09"/>
    <n v="357.25"/>
    <n v="356.5"/>
    <n v="853.95"/>
    <n v="357.25"/>
    <n v="378.59"/>
    <n v="6000.6900000000005"/>
    <n v="-21.339999999999975"/>
  </r>
  <r>
    <x v="15"/>
    <x v="3"/>
    <x v="0"/>
    <s v="4920101"/>
    <n v="731060"/>
    <s v="Cell Phones"/>
    <s v="Cardiac Cath. Svcs"/>
    <x v="0"/>
    <n v="1001"/>
    <n v="0"/>
    <n v="53.76"/>
    <n v="26.42"/>
    <n v="0"/>
    <n v="26.47"/>
    <n v="26.98"/>
    <n v="55.11"/>
    <n v="0"/>
    <n v="28.08"/>
    <n v="54.13"/>
    <n v="26.47"/>
    <n v="26.74"/>
    <n v="324.15999999999997"/>
    <n v="-0.26999999999999957"/>
  </r>
  <r>
    <x v="15"/>
    <x v="3"/>
    <x v="0"/>
    <s v="4920101"/>
    <n v="731060"/>
    <s v="Pagers"/>
    <s v="Cardiac Cath. Svcs"/>
    <x v="0"/>
    <n v="1002"/>
    <n v="121.22"/>
    <n v="118.8"/>
    <n v="118.8"/>
    <n v="118.96"/>
    <n v="118.96"/>
    <n v="0"/>
    <n v="239.93"/>
    <n v="147.01"/>
    <n v="91.96"/>
    <n v="91.96"/>
    <n v="92.23"/>
    <n v="91.96"/>
    <n v="1351.7900000000002"/>
    <n v="0.27000000000001023"/>
  </r>
  <r>
    <x v="16"/>
    <x v="3"/>
    <x v="0"/>
    <s v="4920101"/>
    <n v="732020"/>
    <s v="Repairs--Clin Equip-Parts-Internal to CHI Programs"/>
    <s v="Cardiac Cath. Svcs"/>
    <x v="0"/>
    <m/>
    <n v="5.25"/>
    <n v="0"/>
    <n v="0"/>
    <n v="0"/>
    <n v="0"/>
    <n v="0"/>
    <n v="0"/>
    <n v="0"/>
    <n v="0"/>
    <n v="0"/>
    <n v="0"/>
    <n v="0"/>
    <n v="5.25"/>
    <n v="0"/>
  </r>
  <r>
    <x v="16"/>
    <x v="3"/>
    <x v="0"/>
    <s v="4920101"/>
    <n v="732030"/>
    <s v="Repairs---Other"/>
    <s v="Cardiac Cath. Svcs"/>
    <x v="0"/>
    <m/>
    <n v="10187"/>
    <n v="1028.8900000000001"/>
    <n v="0"/>
    <n v="0"/>
    <n v="2450"/>
    <n v="0"/>
    <n v="0"/>
    <n v="0"/>
    <n v="0"/>
    <n v="0"/>
    <n v="0"/>
    <n v="0"/>
    <n v="13665.89"/>
    <n v="0"/>
  </r>
  <r>
    <x v="13"/>
    <x v="3"/>
    <x v="0"/>
    <s v="4920101"/>
    <n v="735060"/>
    <s v="Depreciation-Fixed Equipment"/>
    <s v="Cardiac Cath. Svcs"/>
    <x v="0"/>
    <m/>
    <n v="210.38"/>
    <n v="210.37"/>
    <n v="210.38"/>
    <n v="210.37"/>
    <n v="210.38"/>
    <n v="210.37"/>
    <n v="210.38"/>
    <n v="210.37"/>
    <n v="210.38"/>
    <n v="210.36"/>
    <n v="210.38"/>
    <n v="210.35"/>
    <n v="2524.4700000000003"/>
    <n v="3.0000000000001137E-2"/>
  </r>
  <r>
    <x v="13"/>
    <x v="3"/>
    <x v="0"/>
    <s v="4920101"/>
    <n v="735070"/>
    <s v="Depreciation-Movable Equipment"/>
    <s v="Cardiac Cath. Svcs"/>
    <x v="0"/>
    <m/>
    <n v="18043.64"/>
    <n v="23238.47"/>
    <n v="23259.040000000001"/>
    <n v="24045.91"/>
    <n v="24045.95"/>
    <n v="24045.88"/>
    <n v="24181.39"/>
    <n v="24181.24"/>
    <n v="24181.4"/>
    <n v="28207.759999999998"/>
    <n v="28218.61"/>
    <n v="28197.85"/>
    <n v="293847.13999999996"/>
    <n v="20.760000000002037"/>
  </r>
  <r>
    <x v="0"/>
    <x v="3"/>
    <x v="0"/>
    <s v="4920101"/>
    <n v="740020"/>
    <s v="Education-Registration Fees"/>
    <s v="Cardiac Cath. Svcs"/>
    <x v="0"/>
    <m/>
    <n v="175"/>
    <n v="350"/>
    <n v="0"/>
    <n v="175"/>
    <n v="175"/>
    <n v="313.54000000000002"/>
    <n v="0"/>
    <n v="0"/>
    <n v="875"/>
    <n v="525"/>
    <n v="0"/>
    <n v="0"/>
    <n v="2588.54"/>
    <n v="0"/>
  </r>
  <r>
    <x v="0"/>
    <x v="3"/>
    <x v="0"/>
    <s v="4920101"/>
    <n v="742030"/>
    <s v="Freight-Courier"/>
    <s v="Cardiac Cath. Svcs"/>
    <x v="0"/>
    <m/>
    <n v="0"/>
    <n v="0"/>
    <n v="0"/>
    <n v="0"/>
    <n v="0"/>
    <n v="0"/>
    <n v="0"/>
    <n v="0"/>
    <n v="0"/>
    <n v="0"/>
    <n v="0"/>
    <n v="10"/>
    <n v="10"/>
    <n v="-10"/>
  </r>
  <r>
    <x v="0"/>
    <x v="3"/>
    <x v="0"/>
    <s v="4920101"/>
    <n v="743030"/>
    <s v="Subscriptions--Institutional"/>
    <s v="Cardiac Cath. Svcs"/>
    <x v="0"/>
    <m/>
    <n v="0"/>
    <n v="0"/>
    <n v="0"/>
    <n v="530"/>
    <n v="92.7"/>
    <n v="151.86000000000001"/>
    <n v="0"/>
    <n v="0"/>
    <n v="0"/>
    <n v="0"/>
    <n v="286.43"/>
    <n v="0"/>
    <n v="1060.99"/>
    <n v="286.43"/>
  </r>
  <r>
    <x v="0"/>
    <x v="3"/>
    <x v="0"/>
    <s v="4920101"/>
    <n v="749510"/>
    <s v="Miscellaneous Expenses"/>
    <s v="Cardiac Cath. Svcs"/>
    <x v="0"/>
    <m/>
    <n v="0"/>
    <n v="370.12"/>
    <n v="251.93"/>
    <n v="173.59"/>
    <n v="276.08999999999997"/>
    <n v="697.73"/>
    <n v="390.15"/>
    <n v="2660.53"/>
    <n v="641.29"/>
    <n v="277.92"/>
    <n v="512.5"/>
    <n v="807.04"/>
    <n v="7058.89"/>
    <n v="-294.53999999999996"/>
  </r>
  <r>
    <x v="0"/>
    <x v="3"/>
    <x v="0"/>
    <s v="4920101"/>
    <n v="749510"/>
    <s v="RICE Rewards"/>
    <s v="Cardiac Cath. Svcs"/>
    <x v="0"/>
    <n v="5100"/>
    <n v="0"/>
    <n v="0"/>
    <n v="0"/>
    <n v="0"/>
    <n v="0"/>
    <n v="0"/>
    <n v="0"/>
    <n v="0"/>
    <n v="0"/>
    <n v="0"/>
    <n v="0"/>
    <n v="59.39"/>
    <n v="59.39"/>
    <n v="-59.39"/>
  </r>
  <r>
    <x v="0"/>
    <x v="3"/>
    <x v="0"/>
    <s v="4920101"/>
    <n v="749530"/>
    <s v="Mileage"/>
    <s v="Cardiac Cath. Svcs"/>
    <x v="0"/>
    <n v="1001"/>
    <n v="0"/>
    <n v="0"/>
    <n v="0"/>
    <n v="0"/>
    <n v="0"/>
    <n v="0"/>
    <n v="0"/>
    <n v="0"/>
    <n v="0"/>
    <n v="0"/>
    <n v="0"/>
    <n v="46.98"/>
    <n v="46.98"/>
    <n v="-46.98"/>
  </r>
  <r>
    <x v="18"/>
    <x v="0"/>
    <x v="0"/>
    <s v="4920102"/>
    <n v="400010"/>
    <s v="Acute I/P Svcs Rev--Medicare"/>
    <s v="Cardiac Cath. Svcs"/>
    <x v="0"/>
    <n v="1100"/>
    <n v="-1333346.1200000001"/>
    <n v="-1292725.1299999999"/>
    <n v="-1312453.73"/>
    <n v="-1132795.83"/>
    <n v="-1703619.02"/>
    <n v="-663459.37"/>
    <n v="-640925.17000000004"/>
    <n v="-1036546.67"/>
    <n v="-1727064.41"/>
    <n v="-1335116.6000000001"/>
    <n v="-964194.85"/>
    <n v="-1419691.97"/>
    <n v="-14561938.870000001"/>
    <n v="455497.12"/>
  </r>
  <r>
    <x v="18"/>
    <x v="0"/>
    <x v="0"/>
    <s v="4920102"/>
    <n v="400010"/>
    <s v="Acute I/P Svcs Rev--Medicaid"/>
    <s v="Cardiac Cath. Svcs"/>
    <x v="0"/>
    <n v="1200"/>
    <n v="-225429.95"/>
    <n v="-466041.19"/>
    <n v="-161706.56"/>
    <n v="-203808.62"/>
    <n v="-190890.61"/>
    <n v="-283652.39"/>
    <n v="-165879.35"/>
    <n v="-117646.62"/>
    <n v="-193148.54"/>
    <n v="-326518.18"/>
    <n v="-205382.87"/>
    <n v="-229294.19"/>
    <n v="-2769399.0700000003"/>
    <n v="23911.320000000007"/>
  </r>
  <r>
    <x v="18"/>
    <x v="0"/>
    <x v="0"/>
    <s v="4920102"/>
    <n v="400010"/>
    <s v="Acute I/P Svcs Rev--Comm Insurance"/>
    <s v="Cardiac Cath. Svcs"/>
    <x v="0"/>
    <n v="1300"/>
    <n v="-22562.38"/>
    <n v="-37475.269999999997"/>
    <n v="0"/>
    <n v="0"/>
    <n v="26209.72"/>
    <n v="0"/>
    <n v="0"/>
    <n v="-96958.34"/>
    <n v="-25066.62"/>
    <n v="-91175.43"/>
    <n v="-54467.66"/>
    <n v="0"/>
    <n v="-301495.98"/>
    <n v="-54467.66"/>
  </r>
  <r>
    <x v="18"/>
    <x v="0"/>
    <x v="0"/>
    <s v="4920102"/>
    <n v="400010"/>
    <s v="Acute I/P Svcs Rev--BCBS Comm"/>
    <s v="Cardiac Cath. Svcs"/>
    <x v="0"/>
    <n v="1301"/>
    <n v="-50978.239999999998"/>
    <n v="-6137.31"/>
    <n v="-24724.01"/>
    <n v="-166238.26"/>
    <n v="-33624.9"/>
    <n v="-1332.83"/>
    <n v="-135525.01999999999"/>
    <n v="-194969.09"/>
    <n v="-302455.78999999998"/>
    <n v="-289884.65000000002"/>
    <n v="-241323.38"/>
    <n v="-428163.5"/>
    <n v="-1875356.98"/>
    <n v="186840.12"/>
  </r>
  <r>
    <x v="18"/>
    <x v="0"/>
    <x v="0"/>
    <s v="4920102"/>
    <n v="400010"/>
    <s v="Acute I/P Svcs Rev--Managed Care"/>
    <s v="Cardiac Cath. Svcs"/>
    <x v="0"/>
    <n v="1400"/>
    <n v="-841277.54"/>
    <n v="-248672.91"/>
    <n v="-150709.25"/>
    <n v="-440473.59"/>
    <n v="-239664.05"/>
    <n v="-256607.49"/>
    <n v="-335853.96"/>
    <n v="-424303.07"/>
    <n v="-230158.37"/>
    <n v="-390280.57"/>
    <n v="-713940.08"/>
    <n v="-82879.22"/>
    <n v="-4354820.0999999996"/>
    <n v="-631060.86"/>
  </r>
  <r>
    <x v="18"/>
    <x v="0"/>
    <x v="0"/>
    <s v="4920102"/>
    <n v="400010"/>
    <s v="Acute I/P Svcs Rev--Self Pay"/>
    <s v="Cardiac Cath. Svcs"/>
    <x v="0"/>
    <n v="1500"/>
    <n v="-2104.61"/>
    <n v="-106778.51"/>
    <n v="-12469.96"/>
    <n v="-24485.89"/>
    <n v="-11237.43"/>
    <n v="5596.12"/>
    <n v="11312.39"/>
    <n v="-31732.92"/>
    <n v="-27229.68"/>
    <n v="22709.52"/>
    <n v="-2803.26"/>
    <n v="-25430.26"/>
    <n v="-204654.48999999996"/>
    <n v="22627"/>
  </r>
  <r>
    <x v="18"/>
    <x v="0"/>
    <x v="0"/>
    <s v="4920102"/>
    <n v="400010"/>
    <s v="Acute I/P Svcs Rev--Other"/>
    <s v="Cardiac Cath. Svcs"/>
    <x v="0"/>
    <n v="1700"/>
    <n v="-23706.37"/>
    <n v="0"/>
    <n v="-4991.7"/>
    <n v="-121017.93"/>
    <n v="-24311.61"/>
    <n v="0"/>
    <n v="-47926.51"/>
    <n v="-64256.01"/>
    <n v="0"/>
    <n v="0"/>
    <n v="-34935.589999999997"/>
    <n v="-141301.57999999999"/>
    <n v="-462447.29999999993"/>
    <n v="106365.98999999999"/>
  </r>
  <r>
    <x v="19"/>
    <x v="0"/>
    <x v="0"/>
    <s v="4920102"/>
    <n v="400020"/>
    <s v="O/P Care Svcs Rev--Medicare"/>
    <s v="Cardiac Cath. Svcs"/>
    <x v="0"/>
    <n v="1100"/>
    <n v="-1714259.11"/>
    <n v="-1403481.54"/>
    <n v="-1313071.5"/>
    <n v="-1557525.32"/>
    <n v="-1391348.55"/>
    <n v="-1184460.79"/>
    <n v="-1425614.16"/>
    <n v="-800699.4"/>
    <n v="-1114764.44"/>
    <n v="-1429213.1"/>
    <n v="-1074135.8400000001"/>
    <n v="-1892855.15"/>
    <n v="-16301428.9"/>
    <n v="818719.30999999982"/>
  </r>
  <r>
    <x v="19"/>
    <x v="0"/>
    <x v="0"/>
    <s v="4920102"/>
    <n v="400020"/>
    <s v="O/P Care Svcs Rev--Medicaid"/>
    <s v="Cardiac Cath. Svcs"/>
    <x v="0"/>
    <n v="1200"/>
    <n v="-262864.68"/>
    <n v="-236555.81"/>
    <n v="-357660.08"/>
    <n v="-229632.04"/>
    <n v="-347810.38"/>
    <n v="-156336.60999999999"/>
    <n v="-88784.62"/>
    <n v="-159807.73000000001"/>
    <n v="-327313.31"/>
    <n v="-274495.42"/>
    <n v="-259239.43"/>
    <n v="-263027.20000000001"/>
    <n v="-2963527.3100000005"/>
    <n v="3787.7700000000186"/>
  </r>
  <r>
    <x v="19"/>
    <x v="0"/>
    <x v="0"/>
    <s v="4920102"/>
    <n v="400020"/>
    <s v="O/P Care Svcs Rev--Comm Insurance"/>
    <s v="Cardiac Cath. Svcs"/>
    <x v="0"/>
    <n v="1300"/>
    <n v="-47269.72"/>
    <n v="-29753.200000000001"/>
    <n v="40.130000000000003"/>
    <n v="-100711.88"/>
    <n v="-24493.94"/>
    <n v="-5308.58"/>
    <n v="-23724.51"/>
    <n v="-59167.69"/>
    <n v="-100301.39"/>
    <n v="-7396.35"/>
    <n v="-20102.25"/>
    <n v="-42583.75"/>
    <n v="-460773.13"/>
    <n v="22481.5"/>
  </r>
  <r>
    <x v="19"/>
    <x v="0"/>
    <x v="0"/>
    <s v="4920102"/>
    <n v="400020"/>
    <s v="O/P Care Svcs Rev--BCBS Comm"/>
    <s v="Cardiac Cath. Svcs"/>
    <x v="0"/>
    <n v="1301"/>
    <n v="-35822.14"/>
    <n v="-61218.99"/>
    <n v="-105141.36"/>
    <n v="-278479.88"/>
    <n v="-256998.27"/>
    <n v="-233848.94"/>
    <n v="-199679.87"/>
    <n v="-200459.01"/>
    <n v="-221396.9"/>
    <n v="-209582.96"/>
    <n v="-68850.19"/>
    <n v="-113738.79"/>
    <n v="-1985217.3"/>
    <n v="44888.599999999991"/>
  </r>
  <r>
    <x v="19"/>
    <x v="0"/>
    <x v="0"/>
    <s v="4920102"/>
    <n v="400020"/>
    <s v="O/P Care Svcs Rev--Managed Care"/>
    <s v="Cardiac Cath. Svcs"/>
    <x v="0"/>
    <n v="1400"/>
    <n v="-557719.57999999996"/>
    <n v="-390105.14"/>
    <n v="-175813.08"/>
    <n v="-294460.15999999997"/>
    <n v="-346807.18"/>
    <n v="-370682.71"/>
    <n v="-302117.5"/>
    <n v="-364303.62"/>
    <n v="-396908.44"/>
    <n v="-366151.76"/>
    <n v="-460757.53"/>
    <n v="-380141.59"/>
    <n v="-4405968.29"/>
    <n v="-80615.94"/>
  </r>
  <r>
    <x v="19"/>
    <x v="0"/>
    <x v="0"/>
    <s v="4920102"/>
    <n v="400020"/>
    <s v="O/P Care Svcs Rev--Self Pay"/>
    <s v="Cardiac Cath. Svcs"/>
    <x v="0"/>
    <n v="1500"/>
    <n v="-13549.61"/>
    <n v="0"/>
    <n v="-53148.79"/>
    <n v="-126105.58"/>
    <n v="0"/>
    <n v="-102046.43"/>
    <n v="16271.16"/>
    <n v="689.62"/>
    <n v="-30121.279999999999"/>
    <n v="-5376.19"/>
    <n v="-11180.54"/>
    <n v="-49184.1"/>
    <n v="-373751.74"/>
    <n v="38003.56"/>
  </r>
  <r>
    <x v="19"/>
    <x v="0"/>
    <x v="0"/>
    <s v="4920102"/>
    <n v="400020"/>
    <s v="O/P Care Svcs Rev--Other"/>
    <s v="Cardiac Cath. Svcs"/>
    <x v="0"/>
    <n v="1700"/>
    <n v="-31411.360000000001"/>
    <n v="-3224.33"/>
    <n v="-510.48"/>
    <n v="-45057.39"/>
    <n v="-35245.019999999997"/>
    <n v="-83014.039999999994"/>
    <n v="-61940.25"/>
    <n v="-47588.9"/>
    <n v="-63894.28"/>
    <n v="-22691.09"/>
    <n v="-69583.59"/>
    <n v="-62925.32"/>
    <n v="-527086.05000000005"/>
    <n v="-6658.2699999999968"/>
  </r>
  <r>
    <x v="5"/>
    <x v="0"/>
    <x v="0"/>
    <s v="4920102"/>
    <n v="700014"/>
    <s v="Salaries-Management-Productive"/>
    <s v="Cardiac Cath. Svcs"/>
    <x v="0"/>
    <m/>
    <n v="0"/>
    <n v="0"/>
    <n v="0"/>
    <n v="0"/>
    <n v="0"/>
    <n v="0"/>
    <n v="5770.15"/>
    <n v="8503.66"/>
    <n v="9414.82"/>
    <n v="9110.82"/>
    <n v="5314.99"/>
    <n v="10234.799999999999"/>
    <n v="48349.239999999991"/>
    <n v="-4919.8099999999995"/>
  </r>
  <r>
    <x v="5"/>
    <x v="0"/>
    <x v="0"/>
    <s v="4920102"/>
    <n v="700026"/>
    <s v="Salaries-RN-Productive"/>
    <s v="Cardiac Cath. Svcs"/>
    <x v="0"/>
    <m/>
    <n v="44502.01"/>
    <n v="44105.2"/>
    <n v="43265.37"/>
    <n v="46435.91"/>
    <n v="32906.28"/>
    <n v="32329.18"/>
    <n v="36515.17"/>
    <n v="29719.31"/>
    <n v="32892.06"/>
    <n v="27905.75"/>
    <n v="28384.33"/>
    <n v="30498.5"/>
    <n v="429459.07"/>
    <n v="-2114.1699999999983"/>
  </r>
  <r>
    <x v="5"/>
    <x v="0"/>
    <x v="0"/>
    <s v="4920102"/>
    <n v="700026"/>
    <s v="Salaries-RN-OT"/>
    <s v="Cardiac Cath. Svcs"/>
    <x v="0"/>
    <n v="1000"/>
    <n v="1981.49"/>
    <n v="4315.8500000000004"/>
    <n v="872.1"/>
    <n v="9141.58"/>
    <n v="-462.42"/>
    <n v="2058.1799999999998"/>
    <n v="1081.1099999999999"/>
    <n v="1759.96"/>
    <n v="1831.32"/>
    <n v="1823.59"/>
    <n v="-564.21"/>
    <n v="3150.49"/>
    <n v="26989.040000000001"/>
    <n v="-3714.7"/>
  </r>
  <r>
    <x v="5"/>
    <x v="0"/>
    <x v="0"/>
    <s v="4920102"/>
    <n v="700026"/>
    <s v="Salaries-RN-Other"/>
    <s v="Cardiac Cath. Svcs"/>
    <x v="0"/>
    <n v="2000"/>
    <n v="2480.31"/>
    <n v="4345.2700000000004"/>
    <n v="3291.83"/>
    <n v="3339.38"/>
    <n v="2599.9499999999998"/>
    <n v="2327.81"/>
    <n v="2609.1"/>
    <n v="2460.4499999999998"/>
    <n v="1739.09"/>
    <n v="162.1"/>
    <n v="229.27"/>
    <n v="255.85"/>
    <n v="25840.41"/>
    <n v="-26.579999999999984"/>
  </r>
  <r>
    <x v="5"/>
    <x v="0"/>
    <x v="0"/>
    <s v="4920102"/>
    <n v="700034"/>
    <s v="Salaries-Tech/Professional-Productive"/>
    <s v="Cardiac Cath. Svcs"/>
    <x v="0"/>
    <m/>
    <n v="39548.97"/>
    <n v="35585.699999999997"/>
    <n v="36986.35"/>
    <n v="45667.11"/>
    <n v="33665.64"/>
    <n v="37537.61"/>
    <n v="36890.33"/>
    <n v="32288.45"/>
    <n v="41936.379999999997"/>
    <n v="29583.919999999998"/>
    <n v="42267.53"/>
    <n v="39492.54"/>
    <n v="451450.52999999997"/>
    <n v="2774.989999999998"/>
  </r>
  <r>
    <x v="5"/>
    <x v="0"/>
    <x v="0"/>
    <s v="4920102"/>
    <n v="700034"/>
    <s v="Salaries-Tech/Professional-OT"/>
    <s v="Cardiac Cath. Svcs"/>
    <x v="0"/>
    <n v="1000"/>
    <n v="1384.58"/>
    <n v="2356.09"/>
    <n v="2431.6999999999998"/>
    <n v="5704.49"/>
    <n v="1708.72"/>
    <n v="675.52"/>
    <n v="623.63"/>
    <n v="1960.63"/>
    <n v="2338.6799999999998"/>
    <n v="4471.7299999999996"/>
    <n v="626.11"/>
    <n v="1719.78"/>
    <n v="26001.66"/>
    <n v="-1093.67"/>
  </r>
  <r>
    <x v="5"/>
    <x v="0"/>
    <x v="0"/>
    <s v="4920102"/>
    <n v="700034"/>
    <s v="Salaries-Tech/Professional-Other"/>
    <s v="Cardiac Cath. Svcs"/>
    <x v="0"/>
    <n v="2000"/>
    <n v="3542.33"/>
    <n v="3298.45"/>
    <n v="3890.63"/>
    <n v="3792.71"/>
    <n v="2984.33"/>
    <n v="3918.77"/>
    <n v="3561.94"/>
    <n v="3140"/>
    <n v="3973.36"/>
    <n v="2962.98"/>
    <n v="3591.3"/>
    <n v="3647.54"/>
    <n v="42304.340000000004"/>
    <n v="-56.239999999999782"/>
  </r>
  <r>
    <x v="5"/>
    <x v="0"/>
    <x v="0"/>
    <s v="4920102"/>
    <n v="700054"/>
    <s v="Salaries-Management-Non-productive"/>
    <s v="Cardiac Cath. Svcs"/>
    <x v="0"/>
    <m/>
    <n v="0"/>
    <n v="0"/>
    <n v="0"/>
    <n v="0"/>
    <n v="0"/>
    <n v="0"/>
    <n v="0"/>
    <n v="0"/>
    <n v="0"/>
    <n v="0"/>
    <n v="4099.82"/>
    <n v="-1123.53"/>
    <n v="2976.29"/>
    <n v="5223.3499999999995"/>
  </r>
  <r>
    <x v="5"/>
    <x v="0"/>
    <x v="0"/>
    <s v="4920102"/>
    <n v="700066"/>
    <s v="Salaries-RN-Non-productive"/>
    <s v="Cardiac Cath. Svcs"/>
    <x v="0"/>
    <m/>
    <n v="4285.55"/>
    <n v="5464.82"/>
    <n v="5267.79"/>
    <n v="4125.04"/>
    <n v="6049.04"/>
    <n v="10603.28"/>
    <n v="4188.09"/>
    <n v="2208.7199999999998"/>
    <n v="2930.52"/>
    <n v="1388.05"/>
    <n v="4078.3"/>
    <n v="8034.71"/>
    <n v="58623.91"/>
    <n v="-3956.41"/>
  </r>
  <r>
    <x v="5"/>
    <x v="0"/>
    <x v="0"/>
    <s v="4920102"/>
    <n v="700066"/>
    <s v="Salaries-RN-NonProd-Other"/>
    <s v="Cardiac Cath. Svcs"/>
    <x v="0"/>
    <n v="2000"/>
    <n v="1263.74"/>
    <n v="566.53"/>
    <n v="2359.13"/>
    <n v="453.58"/>
    <n v="1239.96"/>
    <n v="410.19"/>
    <n v="997.92"/>
    <n v="-482.29"/>
    <n v="193.57"/>
    <n v="-51.61"/>
    <n v="40.9"/>
    <n v="191.37"/>
    <n v="7182.9899999999989"/>
    <n v="-150.47"/>
  </r>
  <r>
    <x v="5"/>
    <x v="0"/>
    <x v="0"/>
    <s v="4920102"/>
    <n v="700074"/>
    <s v="Salaries-Tech/Professional-Non-productive"/>
    <s v="Cardiac Cath. Svcs"/>
    <x v="0"/>
    <m/>
    <n v="3350.74"/>
    <n v="8080.68"/>
    <n v="4024.94"/>
    <n v="2000.77"/>
    <n v="3863.91"/>
    <n v="9914.18"/>
    <n v="2418.31"/>
    <n v="1923.51"/>
    <n v="5248.27"/>
    <n v="13336.79"/>
    <n v="-938.6"/>
    <n v="2127.25"/>
    <n v="55350.75"/>
    <n v="-3065.85"/>
  </r>
  <r>
    <x v="5"/>
    <x v="0"/>
    <x v="0"/>
    <s v="4920102"/>
    <n v="700074"/>
    <s v="Salaries-Tech/Professional-NonProd-Other"/>
    <s v="Cardiac Cath. Svcs"/>
    <x v="0"/>
    <n v="2000"/>
    <n v="1756.31"/>
    <n v="887.46"/>
    <n v="4370.8599999999997"/>
    <n v="607.66"/>
    <n v="1974.82"/>
    <n v="3144.27"/>
    <n v="2145.12"/>
    <n v="-2140.61"/>
    <n v="1454.92"/>
    <n v="461.89"/>
    <n v="2017.29"/>
    <n v="1769.13"/>
    <n v="18449.12"/>
    <n v="248.15999999999985"/>
  </r>
  <r>
    <x v="5"/>
    <x v="0"/>
    <x v="0"/>
    <s v="4920102"/>
    <n v="700084"/>
    <s v="Accrued PTO"/>
    <s v="Cardiac Cath. Svcs"/>
    <x v="0"/>
    <m/>
    <n v="4275.3599999999997"/>
    <n v="165.39"/>
    <n v="492.77"/>
    <n v="4845.54"/>
    <n v="2504.13"/>
    <n v="-6035.82"/>
    <n v="3098.37"/>
    <n v="3597.39"/>
    <n v="4111.07"/>
    <n v="3492.22"/>
    <n v="2756.27"/>
    <n v="2879.83"/>
    <n v="26182.520000000004"/>
    <n v="-123.55999999999995"/>
  </r>
  <r>
    <x v="10"/>
    <x v="0"/>
    <x v="0"/>
    <s v="4920102"/>
    <n v="710060"/>
    <s v="Contract Labor-Other"/>
    <s v="Cardiac Cath. Svcs"/>
    <x v="0"/>
    <m/>
    <n v="10991.5"/>
    <n v="8855.5"/>
    <n v="0"/>
    <n v="7388.25"/>
    <n v="20012.38"/>
    <n v="25068.87"/>
    <n v="26540"/>
    <n v="16638.75"/>
    <n v="32979.980000000003"/>
    <n v="54051.25"/>
    <n v="93478.5"/>
    <n v="64246.25"/>
    <n v="360251.23"/>
    <n v="29232.25"/>
  </r>
  <r>
    <x v="10"/>
    <x v="0"/>
    <x v="0"/>
    <s v="4920102"/>
    <n v="710060"/>
    <s v="Contract Labor-Overtime"/>
    <s v="Cardiac Cath. Svcs"/>
    <x v="0"/>
    <n v="5100"/>
    <n v="1081.3499999999999"/>
    <n v="750.94"/>
    <n v="0"/>
    <n v="182.25"/>
    <n v="1377"/>
    <n v="3405.38"/>
    <n v="3499.89"/>
    <n v="975.38"/>
    <n v="7693.33"/>
    <n v="13697.44"/>
    <n v="11869.87"/>
    <n v="10388.25"/>
    <n v="54921.08"/>
    <n v="1481.6200000000008"/>
  </r>
  <r>
    <x v="10"/>
    <x v="0"/>
    <x v="0"/>
    <s v="4920102"/>
    <n v="710060"/>
    <s v="Contract Labor-Standby Wages"/>
    <s v="Cardiac Cath. Svcs"/>
    <x v="0"/>
    <n v="5101"/>
    <n v="714"/>
    <n v="388"/>
    <n v="0"/>
    <n v="108"/>
    <n v="1036"/>
    <n v="1950"/>
    <n v="3292"/>
    <n v="2172"/>
    <n v="3880"/>
    <n v="3780"/>
    <n v="5078"/>
    <n v="3050"/>
    <n v="25448"/>
    <n v="2028"/>
  </r>
  <r>
    <x v="6"/>
    <x v="0"/>
    <x v="0"/>
    <s v="4920102"/>
    <n v="713010"/>
    <s v="Benefits-FICA/Medicare"/>
    <s v="Cardiac Cath. Svcs"/>
    <x v="0"/>
    <m/>
    <n v="7706.55"/>
    <n v="8082.63"/>
    <n v="7951.79"/>
    <n v="8983.02"/>
    <n v="7143.42"/>
    <n v="7494.02"/>
    <n v="7234.09"/>
    <n v="6308.31"/>
    <n v="8172.16"/>
    <n v="6747.74"/>
    <n v="6582.94"/>
    <n v="7655.36"/>
    <n v="90062.030000000013"/>
    <n v="-1072.42"/>
  </r>
  <r>
    <x v="6"/>
    <x v="0"/>
    <x v="0"/>
    <s v="4920102"/>
    <n v="713090"/>
    <s v="Benefits-Allocated Amounts"/>
    <s v="Cardiac Cath. Svcs"/>
    <x v="0"/>
    <m/>
    <n v="16625.04"/>
    <n v="15718.3"/>
    <n v="16022.54"/>
    <n v="17857.29"/>
    <n v="13418.5"/>
    <n v="14850.3"/>
    <n v="15162.44"/>
    <n v="13851.18"/>
    <n v="15943.93"/>
    <n v="15204.85"/>
    <n v="14506.54"/>
    <n v="16440.77"/>
    <n v="185601.68000000002"/>
    <n v="-1934.2299999999996"/>
  </r>
  <r>
    <x v="6"/>
    <x v="0"/>
    <x v="0"/>
    <s v="4920102"/>
    <n v="713096"/>
    <s v="Employee Recognition"/>
    <s v="Cardiac Cath. Svcs"/>
    <x v="0"/>
    <n v="1017"/>
    <n v="0"/>
    <n v="0"/>
    <n v="0"/>
    <n v="0"/>
    <n v="0"/>
    <n v="0"/>
    <n v="0"/>
    <n v="0"/>
    <n v="0"/>
    <n v="0"/>
    <n v="39.979999999999997"/>
    <n v="0"/>
    <n v="39.979999999999997"/>
    <n v="39.979999999999997"/>
  </r>
  <r>
    <x v="17"/>
    <x v="0"/>
    <x v="0"/>
    <s v="4920102"/>
    <n v="714520"/>
    <s v="Other Contracted Professionals"/>
    <s v="Cardiac Cath. Svcs"/>
    <x v="0"/>
    <m/>
    <n v="0"/>
    <n v="22800"/>
    <n v="62238.37"/>
    <n v="10830"/>
    <n v="0"/>
    <n v="8885.2999999999993"/>
    <n v="0"/>
    <n v="0"/>
    <n v="0"/>
    <n v="0"/>
    <n v="0"/>
    <n v="0"/>
    <n v="104753.67"/>
    <n v="0"/>
  </r>
  <r>
    <x v="7"/>
    <x v="0"/>
    <x v="0"/>
    <s v="4920102"/>
    <n v="718050"/>
    <s v="Contract Svcs-Other"/>
    <s v="Cardiac Cath. Svcs"/>
    <x v="0"/>
    <m/>
    <n v="11.33"/>
    <n v="22.66"/>
    <n v="0"/>
    <n v="22.66"/>
    <n v="11.33"/>
    <n v="0"/>
    <n v="11.33"/>
    <n v="22.66"/>
    <n v="22.66"/>
    <n v="22.66"/>
    <n v="0"/>
    <n v="45.32"/>
    <n v="192.60999999999999"/>
    <n v="-45.32"/>
  </r>
  <r>
    <x v="7"/>
    <x v="0"/>
    <x v="0"/>
    <s v="4920102"/>
    <n v="718050"/>
    <s v="Miscellaneous Purchased Svcs"/>
    <s v="Cardiac Cath. Svcs"/>
    <x v="0"/>
    <n v="1020"/>
    <n v="0"/>
    <n v="4510"/>
    <n v="0"/>
    <n v="0"/>
    <n v="0"/>
    <n v="349"/>
    <n v="0"/>
    <n v="0"/>
    <n v="0"/>
    <n v="0"/>
    <n v="0"/>
    <n v="0"/>
    <n v="4859"/>
    <n v="0"/>
  </r>
  <r>
    <x v="7"/>
    <x v="0"/>
    <x v="0"/>
    <s v="4920102"/>
    <n v="718050"/>
    <s v="Translation Services"/>
    <s v="Cardiac Cath. Svcs"/>
    <x v="0"/>
    <n v="1025"/>
    <n v="158"/>
    <n v="228"/>
    <n v="0"/>
    <n v="494"/>
    <n v="1587"/>
    <n v="947.33"/>
    <n v="643"/>
    <n v="272"/>
    <n v="192"/>
    <n v="0"/>
    <n v="0"/>
    <n v="0"/>
    <n v="4521.33"/>
    <n v="0"/>
  </r>
  <r>
    <x v="7"/>
    <x v="0"/>
    <x v="0"/>
    <s v="4920102"/>
    <n v="718050"/>
    <s v="Contract Management--Linen"/>
    <s v="Cardiac Cath. Svcs"/>
    <x v="0"/>
    <n v="1026"/>
    <n v="917.05"/>
    <n v="747.61"/>
    <n v="838.93"/>
    <n v="1414.58"/>
    <n v="1325.15"/>
    <n v="1003.12"/>
    <n v="1314.06"/>
    <n v="1880.91"/>
    <n v="1526.68"/>
    <n v="1362.59"/>
    <n v="1242.17"/>
    <n v="1575.33"/>
    <n v="15148.18"/>
    <n v="-333.15999999999985"/>
  </r>
  <r>
    <x v="7"/>
    <x v="0"/>
    <x v="0"/>
    <s v="4920102"/>
    <n v="718070"/>
    <s v="Contract Srvcs-CHI Clinical Engineering"/>
    <s v="Cardiac Cath. Svcs"/>
    <x v="0"/>
    <m/>
    <n v="397.91"/>
    <n v="397.91"/>
    <n v="397.91"/>
    <n v="929.64"/>
    <n v="6300.14"/>
    <n v="6246.97"/>
    <n v="6246.97"/>
    <n v="6246.97"/>
    <n v="6246.97"/>
    <n v="6246.97"/>
    <n v="6246.97"/>
    <n v="6246.97"/>
    <n v="52152.3"/>
    <n v="0"/>
  </r>
  <r>
    <x v="7"/>
    <x v="0"/>
    <x v="0"/>
    <s v="4920102"/>
    <n v="718077"/>
    <s v="PACS"/>
    <s v="Cardiac Cath. Svcs"/>
    <x v="0"/>
    <n v="1000"/>
    <n v="350.64"/>
    <n v="368.8"/>
    <n v="335.7"/>
    <n v="382.96"/>
    <n v="349.93"/>
    <n v="338.56"/>
    <n v="386.75"/>
    <n v="322.61"/>
    <n v="388.25"/>
    <n v="383.46"/>
    <n v="396.33"/>
    <n v="360.29"/>
    <n v="4364.2800000000007"/>
    <n v="36.039999999999964"/>
  </r>
  <r>
    <x v="7"/>
    <x v="0"/>
    <x v="0"/>
    <s v="4920102"/>
    <n v="718091"/>
    <s v="Contract Services-Intracompany Allocation"/>
    <s v="Cardiac Cath. Svcs"/>
    <x v="0"/>
    <m/>
    <n v="15916.45"/>
    <n v="18700.02"/>
    <n v="14082.98"/>
    <n v="20732.66"/>
    <n v="16286.45"/>
    <n v="22485.16"/>
    <n v="21675.78"/>
    <n v="21498.03"/>
    <n v="22469.19"/>
    <n v="8849.98"/>
    <n v="23416.21"/>
    <n v="18843.8"/>
    <n v="224956.71"/>
    <n v="4572.41"/>
  </r>
  <r>
    <x v="11"/>
    <x v="0"/>
    <x v="0"/>
    <s v="4920102"/>
    <n v="721010"/>
    <s v="Supplies-Medical - Billable"/>
    <s v="Cardiac Cath. Svcs"/>
    <x v="0"/>
    <m/>
    <n v="3396.4"/>
    <n v="8032.45"/>
    <n v="2872.68"/>
    <n v="4411.8"/>
    <n v="3069.85"/>
    <n v="4576.9399999999996"/>
    <n v="7375.29"/>
    <n v="3081.84"/>
    <n v="5417.19"/>
    <n v="5877.48"/>
    <n v="1812.9"/>
    <n v="940.46"/>
    <n v="50865.279999999999"/>
    <n v="872.44"/>
  </r>
  <r>
    <x v="11"/>
    <x v="0"/>
    <x v="0"/>
    <s v="4920102"/>
    <n v="721010"/>
    <s v="Patient Monitoring"/>
    <s v="Cardiac Cath. Svcs"/>
    <x v="0"/>
    <n v="1000"/>
    <n v="9150.8799999999992"/>
    <n v="6771.73"/>
    <n v="7566.78"/>
    <n v="8065.24"/>
    <n v="6273.5"/>
    <n v="3828.84"/>
    <n v="4425.99"/>
    <n v="8381.67"/>
    <n v="7194.64"/>
    <n v="6877.64"/>
    <n v="6586.28"/>
    <n v="8606.65"/>
    <n v="83729.84"/>
    <n v="-2020.37"/>
  </r>
  <r>
    <x v="11"/>
    <x v="0"/>
    <x v="0"/>
    <s v="4920102"/>
    <n v="721020"/>
    <s v="Supplies-Surgical - Billable"/>
    <s v="Cardiac Cath. Svcs"/>
    <x v="0"/>
    <m/>
    <n v="2525.67"/>
    <n v="650.07000000000005"/>
    <n v="133"/>
    <n v="914.38"/>
    <n v="1886.7"/>
    <n v="2926.24"/>
    <n v="953.99"/>
    <n v="1709.4"/>
    <n v="1848"/>
    <n v="4874.28"/>
    <n v="3049.71"/>
    <n v="1266.05"/>
    <n v="22737.489999999998"/>
    <n v="1783.66"/>
  </r>
  <r>
    <x v="11"/>
    <x v="0"/>
    <x v="0"/>
    <s v="4920102"/>
    <n v="721020"/>
    <s v="Custom Packs"/>
    <s v="Cardiac Cath. Svcs"/>
    <x v="0"/>
    <n v="1000"/>
    <n v="4477.6899999999996"/>
    <n v="5393.49"/>
    <n v="3999.89"/>
    <n v="5318.29"/>
    <n v="4485.93"/>
    <n v="3765.25"/>
    <n v="4189.95"/>
    <n v="4415.76"/>
    <n v="4701.97"/>
    <n v="5306.49"/>
    <n v="4422.96"/>
    <n v="4890.9399999999996"/>
    <n v="55368.61"/>
    <n v="-467.97999999999956"/>
  </r>
  <r>
    <x v="11"/>
    <x v="0"/>
    <x v="0"/>
    <s v="4920102"/>
    <n v="721020"/>
    <s v="Suture/Wound Closure"/>
    <s v="Cardiac Cath. Svcs"/>
    <x v="0"/>
    <n v="1001"/>
    <n v="145.55000000000001"/>
    <n v="44.13"/>
    <n v="64.56"/>
    <n v="444.1"/>
    <n v="522.04999999999995"/>
    <n v="44.13"/>
    <n v="175.29"/>
    <n v="291.11"/>
    <n v="119.01"/>
    <n v="122.99"/>
    <n v="354.88"/>
    <n v="210.11"/>
    <n v="2537.9100000000003"/>
    <n v="144.76999999999998"/>
  </r>
  <r>
    <x v="11"/>
    <x v="0"/>
    <x v="0"/>
    <s v="4920102"/>
    <n v="721020"/>
    <s v="Endomechanical Supplies &amp; Instruments"/>
    <s v="Cardiac Cath. Svcs"/>
    <x v="0"/>
    <n v="1003"/>
    <n v="0"/>
    <n v="0"/>
    <n v="0"/>
    <n v="0"/>
    <n v="0"/>
    <n v="0"/>
    <n v="0"/>
    <n v="0"/>
    <n v="572"/>
    <n v="0"/>
    <n v="353.6"/>
    <n v="0"/>
    <n v="925.6"/>
    <n v="353.6"/>
  </r>
  <r>
    <x v="11"/>
    <x v="0"/>
    <x v="0"/>
    <s v="4920102"/>
    <n v="721020"/>
    <s v="Bone Cement &amp; Supplies"/>
    <s v="Cardiac Cath. Svcs"/>
    <x v="0"/>
    <n v="1004"/>
    <n v="0"/>
    <n v="3558.49"/>
    <n v="234.37"/>
    <n v="234.37"/>
    <n v="6179.5"/>
    <n v="-106.55"/>
    <n v="0"/>
    <n v="0"/>
    <n v="0"/>
    <n v="3324.12"/>
    <n v="-21.31"/>
    <n v="0"/>
    <n v="13402.99"/>
    <n v="-21.31"/>
  </r>
  <r>
    <x v="11"/>
    <x v="0"/>
    <x v="0"/>
    <s v="4920102"/>
    <n v="721020"/>
    <s v="Heart/Lung Machine Supplies"/>
    <s v="Cardiac Cath. Svcs"/>
    <x v="0"/>
    <n v="1005"/>
    <n v="32.380000000000003"/>
    <n v="0"/>
    <n v="32.380000000000003"/>
    <n v="0"/>
    <n v="124.5"/>
    <n v="41.5"/>
    <n v="41.5"/>
    <n v="128.65"/>
    <n v="149.4"/>
    <n v="83"/>
    <n v="62.25"/>
    <n v="83"/>
    <n v="778.56"/>
    <n v="-20.75"/>
  </r>
  <r>
    <x v="11"/>
    <x v="0"/>
    <x v="0"/>
    <s v="4920102"/>
    <n v="721020"/>
    <s v="Urological Supplies"/>
    <s v="Cardiac Cath. Svcs"/>
    <x v="0"/>
    <n v="1006"/>
    <n v="-15.12"/>
    <n v="449.22"/>
    <n v="291.32"/>
    <n v="609.78"/>
    <n v="542.02"/>
    <n v="135.44"/>
    <n v="474.26"/>
    <n v="135.5"/>
    <n v="406.5"/>
    <n v="203.25"/>
    <n v="406.52"/>
    <n v="203.23"/>
    <n v="3841.92"/>
    <n v="203.29"/>
  </r>
  <r>
    <x v="11"/>
    <x v="0"/>
    <x v="0"/>
    <s v="4920102"/>
    <n v="721020"/>
    <s v="Surgical Cardiovascular"/>
    <s v="Cardiac Cath. Svcs"/>
    <x v="0"/>
    <n v="1007"/>
    <n v="13114"/>
    <n v="13298.8"/>
    <n v="13114"/>
    <n v="16451.259999999998"/>
    <n v="5109.5"/>
    <n v="21403"/>
    <n v="11420.64"/>
    <n v="12149"/>
    <n v="965"/>
    <n v="18193.5"/>
    <n v="0"/>
    <n v="33605.82"/>
    <n v="158824.51999999999"/>
    <n v="-33605.82"/>
  </r>
  <r>
    <x v="11"/>
    <x v="0"/>
    <x v="0"/>
    <s v="4920102"/>
    <n v="721020"/>
    <s v="Tubes Drains &amp; Related Supplies"/>
    <s v="Cardiac Cath. Svcs"/>
    <x v="0"/>
    <n v="1008"/>
    <n v="928.49"/>
    <n v="198.96"/>
    <n v="811.93"/>
    <n v="1306.24"/>
    <n v="232.7"/>
    <n v="1511.76"/>
    <n v="2226.2399999999998"/>
    <n v="457.39"/>
    <n v="1711.11"/>
    <n v="133.30000000000001"/>
    <n v="384.03"/>
    <n v="394.18"/>
    <n v="10296.33"/>
    <n v="-10.150000000000034"/>
  </r>
  <r>
    <x v="11"/>
    <x v="0"/>
    <x v="0"/>
    <s v="4920102"/>
    <n v="721050"/>
    <s v="Supplies-Cardiac Rhythm - Billable"/>
    <s v="Cardiac Cath. Svcs"/>
    <x v="0"/>
    <m/>
    <n v="117779.06"/>
    <n v="109586.05"/>
    <n v="80807.740000000005"/>
    <n v="96725.13"/>
    <n v="114080.36"/>
    <n v="87089.77"/>
    <n v="106633.06"/>
    <n v="86205.7"/>
    <n v="94983.24"/>
    <n v="94257.83"/>
    <n v="100193.47"/>
    <n v="99743.54"/>
    <n v="1188084.95"/>
    <n v="449.93000000000757"/>
  </r>
  <r>
    <x v="11"/>
    <x v="0"/>
    <x v="0"/>
    <s v="4920102"/>
    <n v="721050"/>
    <s v="Pacemakers - Internal"/>
    <s v="Cardiac Cath. Svcs"/>
    <x v="0"/>
    <n v="1000"/>
    <n v="34776"/>
    <n v="63834"/>
    <n v="4968"/>
    <n v="9034"/>
    <n v="21276"/>
    <n v="48028"/>
    <n v="14002"/>
    <n v="9374"/>
    <n v="25818"/>
    <n v="59012"/>
    <n v="8944"/>
    <n v="43656"/>
    <n v="342722"/>
    <n v="-34712"/>
  </r>
  <r>
    <x v="11"/>
    <x v="0"/>
    <x v="0"/>
    <s v="4920102"/>
    <n v="721050"/>
    <s v="AICD"/>
    <s v="Cardiac Cath. Svcs"/>
    <x v="0"/>
    <n v="1001"/>
    <n v="0"/>
    <n v="0"/>
    <n v="0"/>
    <n v="0"/>
    <n v="0"/>
    <n v="0"/>
    <n v="0"/>
    <n v="0"/>
    <n v="0"/>
    <n v="17767"/>
    <n v="0"/>
    <n v="676"/>
    <n v="18443"/>
    <n v="-676"/>
  </r>
  <r>
    <x v="11"/>
    <x v="0"/>
    <x v="0"/>
    <s v="4920102"/>
    <n v="721050"/>
    <s v="Electrophysiology Products"/>
    <s v="Cardiac Cath. Svcs"/>
    <x v="0"/>
    <n v="1002"/>
    <n v="12"/>
    <n v="120"/>
    <n v="12"/>
    <n v="0"/>
    <n v="0"/>
    <n v="0"/>
    <n v="379.5"/>
    <n v="-66.5"/>
    <n v="-23"/>
    <n v="0"/>
    <n v="0"/>
    <n v="0"/>
    <n v="434"/>
    <n v="0"/>
  </r>
  <r>
    <x v="11"/>
    <x v="0"/>
    <x v="0"/>
    <s v="4920102"/>
    <n v="721070"/>
    <s v="Supplies-Stents - Billable"/>
    <s v="Cardiac Cath. Svcs"/>
    <x v="0"/>
    <m/>
    <n v="2712.5"/>
    <n v="0"/>
    <n v="1597.5"/>
    <n v="6742.5"/>
    <n v="3045"/>
    <n v="8012.5"/>
    <n v="6525"/>
    <n v="1377.5"/>
    <n v="7540"/>
    <n v="10012.5"/>
    <n v="5872.5"/>
    <n v="7255"/>
    <n v="60692.5"/>
    <n v="-1382.5"/>
  </r>
  <r>
    <x v="11"/>
    <x v="0"/>
    <x v="0"/>
    <s v="4920102"/>
    <n v="721070"/>
    <s v="Coronary Stents DES"/>
    <s v="Cardiac Cath. Svcs"/>
    <x v="0"/>
    <n v="1000"/>
    <n v="62969.599999999999"/>
    <n v="39450"/>
    <n v="35100"/>
    <n v="52200"/>
    <n v="44809.33"/>
    <n v="23453.51"/>
    <n v="37798.04"/>
    <n v="32400"/>
    <n v="40500"/>
    <n v="34200"/>
    <n v="60300"/>
    <n v="41400"/>
    <n v="504580.48"/>
    <n v="18900"/>
  </r>
  <r>
    <x v="11"/>
    <x v="0"/>
    <x v="0"/>
    <s v="4920102"/>
    <n v="721070"/>
    <s v="Peripheral Stents"/>
    <s v="Cardiac Cath. Svcs"/>
    <x v="0"/>
    <n v="1001"/>
    <n v="2489.4"/>
    <n v="1376.98"/>
    <n v="22767"/>
    <n v="17712"/>
    <n v="8505"/>
    <n v="12341"/>
    <n v="7138.88"/>
    <n v="0"/>
    <n v="2859"/>
    <n v="3540"/>
    <n v="8257"/>
    <n v="3695"/>
    <n v="90681.260000000009"/>
    <n v="4562"/>
  </r>
  <r>
    <x v="11"/>
    <x v="0"/>
    <x v="0"/>
    <s v="4920102"/>
    <n v="721110"/>
    <s v="Supplies-Grafts - Billable"/>
    <s v="Cardiac Cath. Svcs"/>
    <x v="0"/>
    <m/>
    <n v="0"/>
    <n v="650"/>
    <n v="0"/>
    <n v="0"/>
    <n v="60"/>
    <n v="650"/>
    <n v="-4"/>
    <n v="0"/>
    <n v="0"/>
    <n v="650"/>
    <n v="-4"/>
    <n v="0"/>
    <n v="2002"/>
    <n v="-4"/>
  </r>
  <r>
    <x v="11"/>
    <x v="0"/>
    <x v="0"/>
    <s v="4920102"/>
    <n v="721150"/>
    <s v="Surgical Orthopedic"/>
    <s v="Cardiac Cath. Svcs"/>
    <x v="0"/>
    <n v="1000"/>
    <n v="0"/>
    <n v="0"/>
    <n v="0"/>
    <n v="87.1"/>
    <n v="87.1"/>
    <n v="-7.92"/>
    <n v="0"/>
    <n v="0"/>
    <n v="0"/>
    <n v="0"/>
    <n v="0"/>
    <n v="0"/>
    <n v="166.28"/>
    <n v="0"/>
  </r>
  <r>
    <x v="11"/>
    <x v="0"/>
    <x v="0"/>
    <s v="4920102"/>
    <n v="721150"/>
    <s v="Spinal Fixations Internal Syst"/>
    <s v="Cardiac Cath. Svcs"/>
    <x v="0"/>
    <n v="1002"/>
    <n v="0"/>
    <n v="-71.709999999999994"/>
    <n v="0"/>
    <n v="0"/>
    <n v="0"/>
    <n v="0"/>
    <n v="0"/>
    <n v="0"/>
    <n v="0"/>
    <n v="0"/>
    <n v="0"/>
    <n v="0"/>
    <n v="-71.709999999999994"/>
    <n v="0"/>
  </r>
  <r>
    <x v="11"/>
    <x v="0"/>
    <x v="0"/>
    <s v="4920102"/>
    <n v="721240"/>
    <s v="Supplies-IV Solutions/Supplies - Billable"/>
    <s v="Cardiac Cath. Svcs"/>
    <x v="0"/>
    <m/>
    <n v="7304.07"/>
    <n v="10012.56"/>
    <n v="4480.3500000000004"/>
    <n v="4846.6099999999997"/>
    <n v="3250.97"/>
    <n v="4779.05"/>
    <n v="8847.5499999999993"/>
    <n v="5077.8599999999997"/>
    <n v="4578.5200000000004"/>
    <n v="8456.14"/>
    <n v="6858.77"/>
    <n v="4271.33"/>
    <n v="72763.780000000013"/>
    <n v="2587.4400000000005"/>
  </r>
  <r>
    <x v="11"/>
    <x v="0"/>
    <x v="0"/>
    <s v="4920102"/>
    <n v="721250"/>
    <s v="Supplies-Pharmacy Drugs - Billable"/>
    <s v="Cardiac Cath. Svcs"/>
    <x v="0"/>
    <m/>
    <n v="1218.93"/>
    <n v="1596.7"/>
    <n v="1386.33"/>
    <n v="1765.77"/>
    <n v="1166.52"/>
    <n v="1301.72"/>
    <n v="335.02"/>
    <n v="2275.29"/>
    <n v="1107.1600000000001"/>
    <n v="1266.54"/>
    <n v="671.12"/>
    <n v="0"/>
    <n v="14091.1"/>
    <n v="671.12"/>
  </r>
  <r>
    <x v="11"/>
    <x v="0"/>
    <x v="0"/>
    <s v="4920102"/>
    <n v="721410"/>
    <s v="Supplies-Medical - Nonbillable"/>
    <s v="Cardiac Cath. Svcs"/>
    <x v="0"/>
    <m/>
    <n v="3558.65"/>
    <n v="3471.23"/>
    <n v="2596.9"/>
    <n v="3682.08"/>
    <n v="3366.48"/>
    <n v="2413.23"/>
    <n v="3070.3"/>
    <n v="2608.79"/>
    <n v="3376.74"/>
    <n v="25002.39"/>
    <n v="3083.66"/>
    <n v="4604.21"/>
    <n v="60834.659999999996"/>
    <n v="-1520.5500000000002"/>
  </r>
  <r>
    <x v="11"/>
    <x v="0"/>
    <x v="0"/>
    <s v="4920102"/>
    <n v="721410"/>
    <s v="Patient Monitoring"/>
    <s v="Cardiac Cath. Svcs"/>
    <x v="0"/>
    <n v="1000"/>
    <n v="0"/>
    <n v="0"/>
    <n v="0"/>
    <n v="2.2200000000000002"/>
    <n v="0"/>
    <n v="1.1100000000000001"/>
    <n v="0"/>
    <n v="2.2200000000000002"/>
    <n v="72.739999999999995"/>
    <n v="0"/>
    <n v="-12.33"/>
    <n v="87.29"/>
    <n v="153.25"/>
    <n v="-99.62"/>
  </r>
  <r>
    <x v="11"/>
    <x v="0"/>
    <x v="0"/>
    <s v="4920102"/>
    <n v="721420"/>
    <s v="Supplies-Surgical Nonbillable"/>
    <s v="Cardiac Cath. Svcs"/>
    <x v="0"/>
    <m/>
    <n v="2757.44"/>
    <n v="2448.2800000000002"/>
    <n v="1749.72"/>
    <n v="2657.89"/>
    <n v="2129.48"/>
    <n v="1571.53"/>
    <n v="2425.16"/>
    <n v="1682.47"/>
    <n v="2471.1999999999998"/>
    <n v="2476.6"/>
    <n v="1138.6199999999999"/>
    <n v="2685.27"/>
    <n v="26193.66"/>
    <n v="-1546.65"/>
  </r>
  <r>
    <x v="11"/>
    <x v="0"/>
    <x v="0"/>
    <s v="4920102"/>
    <n v="721420"/>
    <s v="Tubes Drains &amp; Related Supplies"/>
    <s v="Cardiac Cath. Svcs"/>
    <x v="0"/>
    <n v="1008"/>
    <n v="0"/>
    <n v="0"/>
    <n v="0"/>
    <n v="0"/>
    <n v="0"/>
    <n v="0"/>
    <n v="0"/>
    <n v="0"/>
    <n v="0"/>
    <n v="0"/>
    <n v="11.23"/>
    <n v="19.28"/>
    <n v="30.51"/>
    <n v="-8.0500000000000007"/>
  </r>
  <r>
    <x v="11"/>
    <x v="0"/>
    <x v="0"/>
    <s v="4920102"/>
    <n v="721420"/>
    <s v="Sterilization Process Products"/>
    <s v="Cardiac Cath. Svcs"/>
    <x v="0"/>
    <n v="1009"/>
    <n v="55.33"/>
    <n v="0"/>
    <n v="0"/>
    <n v="0"/>
    <n v="31.66"/>
    <n v="0"/>
    <n v="0"/>
    <n v="0"/>
    <n v="340.18"/>
    <n v="467.75"/>
    <n v="425.23"/>
    <n v="442.94"/>
    <n v="1763.0900000000001"/>
    <n v="-17.70999999999998"/>
  </r>
  <r>
    <x v="11"/>
    <x v="0"/>
    <x v="0"/>
    <s v="4920102"/>
    <n v="721610"/>
    <s v="Supplies-Anesthesia - Nonbillable"/>
    <s v="Cardiac Cath. Svcs"/>
    <x v="0"/>
    <m/>
    <n v="88.53"/>
    <n v="112.81"/>
    <n v="43.33"/>
    <n v="117.2"/>
    <n v="74.64"/>
    <n v="44.42"/>
    <n v="55.96"/>
    <n v="34.049999999999997"/>
    <n v="59.92"/>
    <n v="189.99"/>
    <n v="96.72"/>
    <n v="78.08"/>
    <n v="995.65"/>
    <n v="18.64"/>
  </r>
  <r>
    <x v="11"/>
    <x v="0"/>
    <x v="0"/>
    <s v="4920102"/>
    <n v="721640"/>
    <s v="Supplies-IV Solutions/Supplies - Nonbillable"/>
    <s v="Cardiac Cath. Svcs"/>
    <x v="0"/>
    <m/>
    <n v="805.77"/>
    <n v="965.22"/>
    <n v="1400.47"/>
    <n v="983.1"/>
    <n v="700.25"/>
    <n v="615.47"/>
    <n v="607.11"/>
    <n v="564.79999999999995"/>
    <n v="913.87"/>
    <n v="1035.95"/>
    <n v="986.91"/>
    <n v="1070.57"/>
    <n v="10649.49"/>
    <n v="-83.659999999999968"/>
  </r>
  <r>
    <x v="11"/>
    <x v="0"/>
    <x v="0"/>
    <s v="4920102"/>
    <n v="721710"/>
    <s v="Supplies-Laboratory - Nonbillable"/>
    <s v="Cardiac Cath. Svcs"/>
    <x v="0"/>
    <m/>
    <n v="29.18"/>
    <n v="230.85"/>
    <n v="4.58"/>
    <n v="183.02"/>
    <n v="3.68"/>
    <n v="9"/>
    <n v="13.21"/>
    <n v="75.459999999999994"/>
    <n v="124.63"/>
    <n v="21.88"/>
    <n v="256.79000000000002"/>
    <n v="17.399999999999999"/>
    <n v="969.68"/>
    <n v="239.39000000000001"/>
  </r>
  <r>
    <x v="11"/>
    <x v="0"/>
    <x v="0"/>
    <s v="4920102"/>
    <n v="721710"/>
    <s v="Reagents"/>
    <s v="Cardiac Cath. Svcs"/>
    <x v="0"/>
    <n v="1000"/>
    <n v="499.99"/>
    <n v="192.65"/>
    <n v="0"/>
    <n v="1189.55"/>
    <n v="0"/>
    <n v="536.16"/>
    <n v="0"/>
    <n v="0"/>
    <n v="300.3"/>
    <n v="268.08"/>
    <n v="385.31"/>
    <n v="0"/>
    <n v="3372.04"/>
    <n v="385.31"/>
  </r>
  <r>
    <x v="11"/>
    <x v="0"/>
    <x v="0"/>
    <s v="4920102"/>
    <n v="721750"/>
    <s v="Supplies-Film/Radiographic - Nonbillable"/>
    <s v="Cardiac Cath. Svcs"/>
    <x v="0"/>
    <m/>
    <n v="1313.05"/>
    <n v="1563.88"/>
    <n v="1008.35"/>
    <n v="2048.0500000000002"/>
    <n v="1044.45"/>
    <n v="1177.76"/>
    <n v="730.83"/>
    <n v="2370.2600000000002"/>
    <n v="-36.409999999999997"/>
    <n v="661.87"/>
    <n v="852.06"/>
    <n v="818.68"/>
    <n v="13552.830000000002"/>
    <n v="33.379999999999995"/>
  </r>
  <r>
    <x v="11"/>
    <x v="0"/>
    <x v="0"/>
    <s v="4920102"/>
    <n v="721810"/>
    <s v="Supplies-Dietary/Cafeteria"/>
    <s v="Cardiac Cath. Svcs"/>
    <x v="0"/>
    <m/>
    <n v="80.209999999999994"/>
    <n v="109.74"/>
    <n v="96.01"/>
    <n v="138.41"/>
    <n v="82.42"/>
    <n v="96.36"/>
    <n v="474.31"/>
    <n v="154.26"/>
    <n v="69.09"/>
    <n v="135.25"/>
    <n v="142.74"/>
    <n v="96.31"/>
    <n v="1675.11"/>
    <n v="46.430000000000007"/>
  </r>
  <r>
    <x v="11"/>
    <x v="0"/>
    <x v="0"/>
    <s v="4920102"/>
    <n v="721830"/>
    <s v="Supplies-Office"/>
    <s v="Cardiac Cath. Svcs"/>
    <x v="0"/>
    <m/>
    <n v="671"/>
    <n v="121"/>
    <n v="60.5"/>
    <n v="4444"/>
    <n v="-343.5"/>
    <n v="0"/>
    <n v="60.5"/>
    <n v="2503.77"/>
    <n v="720.5"/>
    <n v="80.23"/>
    <n v="14.7"/>
    <n v="0"/>
    <n v="8332.7000000000007"/>
    <n v="14.7"/>
  </r>
  <r>
    <x v="11"/>
    <x v="0"/>
    <x v="0"/>
    <s v="4920102"/>
    <n v="721835"/>
    <s v="Supplies-Forms"/>
    <s v="Cardiac Cath. Svcs"/>
    <x v="0"/>
    <m/>
    <n v="0"/>
    <n v="0"/>
    <n v="0"/>
    <n v="0"/>
    <n v="0"/>
    <n v="0"/>
    <n v="29.6"/>
    <n v="0"/>
    <n v="29.6"/>
    <n v="5"/>
    <n v="0"/>
    <n v="5"/>
    <n v="69.2"/>
    <n v="-5"/>
  </r>
  <r>
    <x v="11"/>
    <x v="0"/>
    <x v="0"/>
    <s v="4920102"/>
    <n v="721870"/>
    <s v="Supplies-Environmental Services"/>
    <s v="Cardiac Cath. Svcs"/>
    <x v="0"/>
    <m/>
    <n v="86.43"/>
    <n v="57.62"/>
    <n v="115.24"/>
    <n v="155.66999999999999"/>
    <n v="177.13"/>
    <n v="107.67"/>
    <n v="108.46"/>
    <n v="462.97"/>
    <n v="110.44"/>
    <n v="-4.8"/>
    <n v="9.6"/>
    <n v="44.55"/>
    <n v="1430.98"/>
    <n v="-34.949999999999996"/>
  </r>
  <r>
    <x v="11"/>
    <x v="0"/>
    <x v="0"/>
    <s v="4920102"/>
    <n v="721880"/>
    <s v="Supplies-Linen"/>
    <s v="Cardiac Cath. Svcs"/>
    <x v="0"/>
    <m/>
    <n v="0"/>
    <n v="0"/>
    <n v="0"/>
    <n v="0"/>
    <n v="12.84"/>
    <n v="0"/>
    <n v="0"/>
    <n v="0"/>
    <n v="0"/>
    <n v="0"/>
    <n v="0"/>
    <n v="0"/>
    <n v="12.84"/>
    <n v="0"/>
  </r>
  <r>
    <x v="11"/>
    <x v="0"/>
    <x v="0"/>
    <s v="4920102"/>
    <n v="721910"/>
    <s v="Supplies-Small Equipment"/>
    <s v="Cardiac Cath. Svcs"/>
    <x v="0"/>
    <m/>
    <n v="1901.12"/>
    <n v="470.25"/>
    <n v="0"/>
    <n v="-6.75"/>
    <n v="2705.26"/>
    <n v="4.8"/>
    <n v="0"/>
    <n v="0.68"/>
    <n v="941.18"/>
    <n v="4.08"/>
    <n v="0"/>
    <n v="470.25"/>
    <n v="6490.8700000000008"/>
    <n v="-470.25"/>
  </r>
  <r>
    <x v="11"/>
    <x v="0"/>
    <x v="0"/>
    <s v="4920102"/>
    <n v="721910"/>
    <s v="Instruments"/>
    <s v="Cardiac Cath. Svcs"/>
    <x v="0"/>
    <n v="1000"/>
    <n v="227.1"/>
    <n v="1007.05"/>
    <n v="175.09"/>
    <n v="4227.22"/>
    <n v="370.26"/>
    <n v="164.13"/>
    <n v="3589.52"/>
    <n v="581.91999999999996"/>
    <n v="370.02"/>
    <n v="329.12"/>
    <n v="1171.31"/>
    <n v="404.07"/>
    <n v="12616.810000000001"/>
    <n v="767.24"/>
  </r>
  <r>
    <x v="11"/>
    <x v="0"/>
    <x v="0"/>
    <s v="4920102"/>
    <n v="721980"/>
    <s v="Supplies-Other"/>
    <s v="Cardiac Cath. Svcs"/>
    <x v="0"/>
    <m/>
    <n v="2862.21"/>
    <n v="275"/>
    <n v="-1439.58"/>
    <n v="2695.52"/>
    <n v="0"/>
    <n v="0"/>
    <n v="0"/>
    <n v="0"/>
    <n v="331.2"/>
    <n v="7037.24"/>
    <n v="803.72"/>
    <n v="0"/>
    <n v="12565.31"/>
    <n v="803.72"/>
  </r>
  <r>
    <x v="11"/>
    <x v="0"/>
    <x v="0"/>
    <s v="4920102"/>
    <n v="722000"/>
    <s v="Supplies-Freight Expense"/>
    <s v="Cardiac Cath. Svcs"/>
    <x v="0"/>
    <m/>
    <n v="408.52"/>
    <n v="517.78"/>
    <n v="425.51"/>
    <n v="365.91"/>
    <n v="373.72"/>
    <n v="560.74"/>
    <n v="992.14"/>
    <n v="307.77999999999997"/>
    <n v="590.39"/>
    <n v="487.54"/>
    <n v="579.41999999999996"/>
    <n v="145.66999999999999"/>
    <n v="5755.1200000000008"/>
    <n v="433.75"/>
  </r>
  <r>
    <x v="11"/>
    <x v="0"/>
    <x v="0"/>
    <s v="4920102"/>
    <n v="723000"/>
    <s v="Supply Rebates/Patronage Dividend"/>
    <s v="Cardiac Cath. Svcs"/>
    <x v="0"/>
    <m/>
    <n v="0"/>
    <n v="0"/>
    <n v="-31146.63"/>
    <n v="0"/>
    <n v="0"/>
    <n v="-1340.68"/>
    <n v="0"/>
    <n v="0"/>
    <n v="-36481.86"/>
    <n v="0"/>
    <n v="0"/>
    <n v="-32498.44"/>
    <n v="-101467.61"/>
    <n v="32498.44"/>
  </r>
  <r>
    <x v="12"/>
    <x v="0"/>
    <x v="0"/>
    <s v="4920102"/>
    <n v="730020"/>
    <s v="Rental and Leases-Copier Usage Fees (DO NOT USE)"/>
    <s v="Cardiac Cath. Svcs"/>
    <x v="0"/>
    <n v="5100"/>
    <n v="64.88"/>
    <n v="68.81"/>
    <n v="66.849999999999994"/>
    <n v="66.849999999999994"/>
    <n v="66.849999999999994"/>
    <n v="66.849999999999994"/>
    <n v="1212.71"/>
    <n v="159.18"/>
    <n v="172.23"/>
    <n v="173.39"/>
    <n v="159.18"/>
    <n v="168.42"/>
    <n v="2446.2000000000003"/>
    <n v="-9.2399999999999807"/>
  </r>
  <r>
    <x v="15"/>
    <x v="0"/>
    <x v="0"/>
    <s v="4920102"/>
    <n v="731060"/>
    <s v="Cell Phones"/>
    <s v="Cardiac Cath. Svcs"/>
    <x v="0"/>
    <n v="1001"/>
    <n v="0"/>
    <n v="0"/>
    <n v="57"/>
    <n v="0"/>
    <n v="57.17"/>
    <n v="57.74"/>
    <n v="50.08"/>
    <n v="0"/>
    <n v="33.35"/>
    <n v="66.599999999999994"/>
    <n v="32.72"/>
    <n v="33.31"/>
    <n v="387.96999999999997"/>
    <n v="-0.59000000000000341"/>
  </r>
  <r>
    <x v="15"/>
    <x v="0"/>
    <x v="0"/>
    <s v="4920102"/>
    <n v="731060"/>
    <s v="Pagers"/>
    <s v="Cardiac Cath. Svcs"/>
    <x v="0"/>
    <n v="1002"/>
    <n v="162.78"/>
    <n v="107.72"/>
    <n v="107.72"/>
    <n v="107.98"/>
    <n v="119.88"/>
    <n v="0"/>
    <n v="251.61"/>
    <n v="107.98"/>
    <n v="123.94"/>
    <n v="116.1"/>
    <n v="107.98"/>
    <n v="135.54"/>
    <n v="1449.23"/>
    <n v="-27.559999999999988"/>
  </r>
  <r>
    <x v="13"/>
    <x v="0"/>
    <x v="0"/>
    <s v="4920102"/>
    <n v="735030"/>
    <s v="Depreciation-Buildings"/>
    <s v="Cardiac Cath. Svcs"/>
    <x v="0"/>
    <m/>
    <n v="17115.240000000002"/>
    <n v="17861.05"/>
    <n v="17861.05"/>
    <n v="17861.05"/>
    <n v="17861.05"/>
    <n v="17861.05"/>
    <n v="17861.05"/>
    <n v="17861.04"/>
    <n v="17861.05"/>
    <n v="17861.04"/>
    <n v="17861.05"/>
    <n v="17861.04"/>
    <n v="213586.76"/>
    <n v="9.9999999983992893E-3"/>
  </r>
  <r>
    <x v="13"/>
    <x v="0"/>
    <x v="0"/>
    <s v="4920102"/>
    <n v="735060"/>
    <s v="Depreciation-Fixed Equipment"/>
    <s v="Cardiac Cath. Svcs"/>
    <x v="0"/>
    <m/>
    <n v="185.16"/>
    <n v="185.16"/>
    <n v="185.16"/>
    <n v="185.16"/>
    <n v="185.16"/>
    <n v="185.16"/>
    <n v="185.16"/>
    <n v="185.16"/>
    <n v="185.16"/>
    <n v="185.16"/>
    <n v="185.17"/>
    <n v="185.16"/>
    <n v="2221.9300000000003"/>
    <n v="9.9999999999909051E-3"/>
  </r>
  <r>
    <x v="13"/>
    <x v="0"/>
    <x v="0"/>
    <s v="4920102"/>
    <n v="735070"/>
    <s v="Depreciation-Movable Equipment"/>
    <s v="Cardiac Cath. Svcs"/>
    <x v="0"/>
    <m/>
    <n v="39026.550000000003"/>
    <n v="39277.43"/>
    <n v="39277.480000000003"/>
    <n v="39491.769999999997"/>
    <n v="39491.85"/>
    <n v="39930.959999999999"/>
    <n v="39931.08"/>
    <n v="39930.93"/>
    <n v="39931.1"/>
    <n v="39930.93"/>
    <n v="39931.11"/>
    <n v="39930.92"/>
    <n v="476082.10999999993"/>
    <n v="0.19000000000232831"/>
  </r>
  <r>
    <x v="0"/>
    <x v="0"/>
    <x v="0"/>
    <s v="4920102"/>
    <n v="740020"/>
    <s v="Education-Registration Fees"/>
    <s v="Cardiac Cath. Svcs"/>
    <x v="0"/>
    <m/>
    <n v="300"/>
    <n v="175"/>
    <n v="0"/>
    <n v="0"/>
    <n v="0"/>
    <n v="345"/>
    <n v="0"/>
    <n v="0"/>
    <n v="0"/>
    <n v="0"/>
    <n v="0"/>
    <n v="0"/>
    <n v="820"/>
    <n v="0"/>
  </r>
  <r>
    <x v="0"/>
    <x v="0"/>
    <x v="0"/>
    <s v="4920102"/>
    <n v="742030"/>
    <s v="Freight-Courier"/>
    <s v="Cardiac Cath. Svcs"/>
    <x v="0"/>
    <m/>
    <n v="0"/>
    <n v="0"/>
    <n v="0"/>
    <n v="30"/>
    <n v="0"/>
    <n v="0"/>
    <n v="0"/>
    <n v="0"/>
    <n v="0"/>
    <n v="0"/>
    <n v="0"/>
    <n v="30"/>
    <n v="60"/>
    <n v="-30"/>
  </r>
  <r>
    <x v="0"/>
    <x v="0"/>
    <x v="0"/>
    <s v="4920102"/>
    <n v="743030"/>
    <s v="Subscriptions--Institutional"/>
    <s v="Cardiac Cath. Svcs"/>
    <x v="0"/>
    <m/>
    <n v="0"/>
    <n v="0"/>
    <n v="0"/>
    <n v="0"/>
    <n v="0"/>
    <n v="0"/>
    <n v="0"/>
    <n v="0"/>
    <n v="0"/>
    <n v="0"/>
    <n v="81.83"/>
    <n v="0"/>
    <n v="81.83"/>
    <n v="81.83"/>
  </r>
  <r>
    <x v="0"/>
    <x v="0"/>
    <x v="0"/>
    <s v="4920102"/>
    <n v="749510"/>
    <s v="Miscellaneous Expenses"/>
    <s v="Cardiac Cath. Svcs"/>
    <x v="0"/>
    <m/>
    <n v="30"/>
    <n v="2806.54"/>
    <n v="0"/>
    <n v="-30"/>
    <n v="0"/>
    <n v="0"/>
    <n v="63"/>
    <n v="0"/>
    <n v="0"/>
    <n v="0"/>
    <n v="0"/>
    <n v="31"/>
    <n v="2900.54"/>
    <n v="-31"/>
  </r>
  <r>
    <x v="18"/>
    <x v="8"/>
    <x v="0"/>
    <s v="4920104"/>
    <n v="400010"/>
    <s v="Acute I/P Svcs Rev--Medicare"/>
    <s v="Cardiac Cath. Svcs"/>
    <x v="0"/>
    <n v="1100"/>
    <n v="-258894.74"/>
    <n v="-478904.58"/>
    <n v="-626110.16"/>
    <n v="-146054.51"/>
    <n v="-523132.62"/>
    <n v="-221516.16"/>
    <n v="-569302.46"/>
    <n v="-527792.24"/>
    <n v="-210246.62"/>
    <n v="-479837.84"/>
    <n v="-468213.03"/>
    <n v="-336033.02"/>
    <n v="-4846037.9800000004"/>
    <n v="-132180.01"/>
  </r>
  <r>
    <x v="18"/>
    <x v="8"/>
    <x v="0"/>
    <s v="4920104"/>
    <n v="400010"/>
    <s v="Acute I/P Svcs Rev--Medicaid"/>
    <s v="Cardiac Cath. Svcs"/>
    <x v="0"/>
    <n v="1200"/>
    <n v="-32163.7"/>
    <n v="-89902.97"/>
    <n v="-34262.019999999997"/>
    <n v="-19815.13"/>
    <n v="-29952.23"/>
    <n v="-25462.05"/>
    <n v="-50773.59"/>
    <n v="-62926.63"/>
    <n v="-37804.519999999997"/>
    <n v="-34786.89"/>
    <n v="-94917.85"/>
    <n v="-78167.460000000006"/>
    <n v="-590935.04000000004"/>
    <n v="-16750.39"/>
  </r>
  <r>
    <x v="18"/>
    <x v="8"/>
    <x v="0"/>
    <s v="4920104"/>
    <n v="400010"/>
    <s v="Acute I/P Svcs Rev--Comm Insurance"/>
    <s v="Cardiac Cath. Svcs"/>
    <x v="0"/>
    <n v="1300"/>
    <n v="-4230.96"/>
    <n v="0"/>
    <n v="0"/>
    <n v="-28272.36"/>
    <n v="26851.32"/>
    <n v="0"/>
    <n v="0"/>
    <n v="0"/>
    <n v="0"/>
    <n v="0"/>
    <n v="0"/>
    <n v="0"/>
    <n v="-5652"/>
    <n v="0"/>
  </r>
  <r>
    <x v="18"/>
    <x v="8"/>
    <x v="0"/>
    <s v="4920104"/>
    <n v="400010"/>
    <s v="Acute I/P Svcs Rev--BCBS Comm"/>
    <s v="Cardiac Cath. Svcs"/>
    <x v="0"/>
    <n v="1301"/>
    <n v="-26598.07"/>
    <n v="-13328.02"/>
    <n v="0"/>
    <n v="-217.19"/>
    <n v="-24719.03"/>
    <n v="-38833.03"/>
    <n v="-15409.58"/>
    <n v="-33856.300000000003"/>
    <n v="0"/>
    <n v="-3563.39"/>
    <n v="0"/>
    <n v="-16853.509999999998"/>
    <n v="-173378.12000000002"/>
    <n v="16853.509999999998"/>
  </r>
  <r>
    <x v="18"/>
    <x v="8"/>
    <x v="0"/>
    <s v="4920104"/>
    <n v="400010"/>
    <s v="Acute I/P Svcs Rev--Managed Care"/>
    <s v="Cardiac Cath. Svcs"/>
    <x v="0"/>
    <n v="1400"/>
    <n v="-84869.5"/>
    <n v="-149947.16"/>
    <n v="12202.95"/>
    <n v="-23566.76"/>
    <n v="-30554.43"/>
    <n v="-49604.29"/>
    <n v="-90522.58"/>
    <n v="-82609.67"/>
    <n v="-321149.06"/>
    <n v="93200.11"/>
    <n v="-75084.78"/>
    <n v="-101430.82"/>
    <n v="-903935.99"/>
    <n v="26346.040000000008"/>
  </r>
  <r>
    <x v="18"/>
    <x v="8"/>
    <x v="0"/>
    <s v="4920104"/>
    <n v="400010"/>
    <s v="Acute I/P Svcs Rev--Self Pay"/>
    <s v="Cardiac Cath. Svcs"/>
    <x v="0"/>
    <n v="1500"/>
    <n v="0"/>
    <n v="-1926.92"/>
    <n v="-217.19"/>
    <n v="217.19"/>
    <n v="-27462.32"/>
    <n v="0"/>
    <n v="-24229.68"/>
    <n v="0"/>
    <n v="0"/>
    <n v="0"/>
    <n v="0"/>
    <n v="-25320.51"/>
    <n v="-78939.429999999993"/>
    <n v="25320.51"/>
  </r>
  <r>
    <x v="18"/>
    <x v="8"/>
    <x v="0"/>
    <s v="4920104"/>
    <n v="400010"/>
    <s v="Acute I/P Svcs Rev--Other"/>
    <s v="Cardiac Cath. Svcs"/>
    <x v="0"/>
    <n v="1700"/>
    <n v="-5807.82"/>
    <n v="-7606.05"/>
    <n v="-24137.919999999998"/>
    <n v="-3301.05"/>
    <n v="-2249.79"/>
    <n v="-22260.37"/>
    <n v="-3043.75"/>
    <n v="-6123.4"/>
    <n v="-1644"/>
    <n v="-64132.42"/>
    <n v="-26357.51"/>
    <n v="-3793.19"/>
    <n v="-170457.27000000002"/>
    <n v="-22564.32"/>
  </r>
  <r>
    <x v="19"/>
    <x v="8"/>
    <x v="0"/>
    <s v="4920104"/>
    <n v="400020"/>
    <s v="O/P Care Svcs Rev--Medicare"/>
    <s v="Cardiac Cath. Svcs"/>
    <x v="0"/>
    <n v="1100"/>
    <n v="-442914.12"/>
    <n v="-592085.48"/>
    <n v="-381758.71"/>
    <n v="-776251.49"/>
    <n v="-472771.9"/>
    <n v="-701121.75"/>
    <n v="-400421.56"/>
    <n v="-482631.72"/>
    <n v="-587349.18000000005"/>
    <n v="-601280.28"/>
    <n v="-584912.04"/>
    <n v="-375887.23"/>
    <n v="-6399385.459999999"/>
    <n v="-209024.81000000006"/>
  </r>
  <r>
    <x v="19"/>
    <x v="8"/>
    <x v="0"/>
    <s v="4920104"/>
    <n v="400020"/>
    <s v="O/P Care Svcs Rev--Medicaid"/>
    <s v="Cardiac Cath. Svcs"/>
    <x v="0"/>
    <n v="1200"/>
    <n v="-149101.19"/>
    <n v="-48586.05"/>
    <n v="-115753.45"/>
    <n v="-14241.75"/>
    <n v="-16652.41"/>
    <n v="-50391.49"/>
    <n v="-217227.33"/>
    <n v="-27089.66"/>
    <n v="-210691.7"/>
    <n v="-28918.55"/>
    <n v="-89488.88"/>
    <n v="-63747.14"/>
    <n v="-1031889.6000000001"/>
    <n v="-25741.740000000005"/>
  </r>
  <r>
    <x v="19"/>
    <x v="8"/>
    <x v="0"/>
    <s v="4920104"/>
    <n v="400020"/>
    <s v="O/P Care Svcs Rev--Comm Insurance"/>
    <s v="Cardiac Cath. Svcs"/>
    <x v="0"/>
    <n v="1300"/>
    <n v="-25015.73"/>
    <n v="0"/>
    <n v="0"/>
    <n v="-6028.75"/>
    <n v="-3545.12"/>
    <n v="0"/>
    <n v="-12752.82"/>
    <n v="-861.96"/>
    <n v="-1985.92"/>
    <n v="-2077.36"/>
    <n v="0"/>
    <n v="-28976.19"/>
    <n v="-81243.849999999991"/>
    <n v="28976.19"/>
  </r>
  <r>
    <x v="19"/>
    <x v="8"/>
    <x v="0"/>
    <s v="4920104"/>
    <n v="400020"/>
    <s v="O/P Care Svcs Rev--BCBS Comm"/>
    <s v="Cardiac Cath. Svcs"/>
    <x v="0"/>
    <n v="1301"/>
    <n v="-2191.5"/>
    <n v="-2018.22"/>
    <n v="-128172.22"/>
    <n v="-12662.62"/>
    <n v="-68087.83"/>
    <n v="-40524.050000000003"/>
    <n v="-3692.2"/>
    <n v="-12743.2"/>
    <n v="-47757.89"/>
    <n v="-159671.38"/>
    <n v="-27117.54"/>
    <n v="-22943.87"/>
    <n v="-527582.52"/>
    <n v="-4173.6700000000019"/>
  </r>
  <r>
    <x v="19"/>
    <x v="8"/>
    <x v="0"/>
    <s v="4920104"/>
    <n v="400020"/>
    <s v="O/P Care Svcs Rev--Managed Care"/>
    <s v="Cardiac Cath. Svcs"/>
    <x v="0"/>
    <n v="1400"/>
    <n v="-89594.47"/>
    <n v="-159641.78"/>
    <n v="-116265.8"/>
    <n v="-53173.83"/>
    <n v="-154384.32999999999"/>
    <n v="-265891.26"/>
    <n v="-137140.20000000001"/>
    <n v="-231783.29"/>
    <n v="-187396.66"/>
    <n v="-144030.41"/>
    <n v="-127360.11"/>
    <n v="-358061.67"/>
    <n v="-2024723.8099999998"/>
    <n v="230701.56"/>
  </r>
  <r>
    <x v="19"/>
    <x v="8"/>
    <x v="0"/>
    <s v="4920104"/>
    <n v="400020"/>
    <s v="O/P Care Svcs Rev--Self Pay"/>
    <s v="Cardiac Cath. Svcs"/>
    <x v="0"/>
    <n v="1500"/>
    <n v="-9197.58"/>
    <n v="0"/>
    <n v="-9028.2199999999993"/>
    <n v="0"/>
    <n v="-1926.92"/>
    <n v="5207.76"/>
    <n v="-1926.92"/>
    <n v="0"/>
    <n v="-1989.61"/>
    <n v="0"/>
    <n v="0"/>
    <n v="-1989.61"/>
    <n v="-20851.100000000002"/>
    <n v="1989.61"/>
  </r>
  <r>
    <x v="19"/>
    <x v="8"/>
    <x v="0"/>
    <s v="4920104"/>
    <n v="400020"/>
    <s v="O/P Care Svcs Rev--Other"/>
    <s v="Cardiac Cath. Svcs"/>
    <x v="0"/>
    <n v="1700"/>
    <n v="-217.19"/>
    <n v="0"/>
    <n v="-2079.25"/>
    <n v="-46129.79"/>
    <n v="-15942.94"/>
    <n v="-13647.09"/>
    <n v="-38143.620000000003"/>
    <n v="-31465.62"/>
    <n v="-118948.31"/>
    <n v="-3825.18"/>
    <n v="-8236.83"/>
    <n v="-1759.77"/>
    <n v="-280395.59000000003"/>
    <n v="-6477.0599999999995"/>
  </r>
  <r>
    <x v="5"/>
    <x v="8"/>
    <x v="0"/>
    <s v="4920104"/>
    <n v="700018"/>
    <s v="Salaries-Supervisory-Productive"/>
    <s v="Cardiac Cath. Svcs"/>
    <x v="0"/>
    <m/>
    <n v="9111.35"/>
    <n v="9542.75"/>
    <n v="9235.0400000000009"/>
    <n v="7991.76"/>
    <n v="8560.76"/>
    <n v="7490.97"/>
    <n v="8952.66"/>
    <n v="7943.15"/>
    <n v="8888.83"/>
    <n v="9455.8799999999992"/>
    <n v="8888.82"/>
    <n v="9456.32"/>
    <n v="105518.29000000001"/>
    <n v="-567.5"/>
  </r>
  <r>
    <x v="5"/>
    <x v="8"/>
    <x v="0"/>
    <s v="4920104"/>
    <n v="700018"/>
    <s v="Salaries-Supervisory-Other"/>
    <s v="Cardiac Cath. Svcs"/>
    <x v="0"/>
    <n v="2000"/>
    <n v="0"/>
    <n v="249.98"/>
    <n v="375.01"/>
    <n v="387.5"/>
    <n v="374.99"/>
    <n v="187.52"/>
    <n v="0"/>
    <n v="0"/>
    <n v="0"/>
    <n v="0"/>
    <n v="0"/>
    <n v="0"/>
    <n v="1575"/>
    <n v="0"/>
  </r>
  <r>
    <x v="5"/>
    <x v="8"/>
    <x v="0"/>
    <s v="4920104"/>
    <n v="700026"/>
    <s v="Salaries-RN-Productive"/>
    <s v="Cardiac Cath. Svcs"/>
    <x v="0"/>
    <m/>
    <n v="18839.689999999999"/>
    <n v="22219.67"/>
    <n v="13355.72"/>
    <n v="13936.57"/>
    <n v="17070.7"/>
    <n v="14910.6"/>
    <n v="23042.57"/>
    <n v="17449.97"/>
    <n v="21298.44"/>
    <n v="18524.18"/>
    <n v="17757.34"/>
    <n v="15542.05"/>
    <n v="213947.49999999997"/>
    <n v="2215.2900000000009"/>
  </r>
  <r>
    <x v="5"/>
    <x v="8"/>
    <x v="0"/>
    <s v="4920104"/>
    <n v="700026"/>
    <s v="Salaries-RN-OT"/>
    <s v="Cardiac Cath. Svcs"/>
    <x v="0"/>
    <n v="1000"/>
    <n v="333.9"/>
    <n v="615.08000000000004"/>
    <n v="784.61"/>
    <n v="702.53"/>
    <n v="454.66"/>
    <n v="347.94"/>
    <n v="589.62"/>
    <n v="399.1"/>
    <n v="264.18"/>
    <n v="499.55"/>
    <n v="501"/>
    <n v="860.66"/>
    <n v="6352.83"/>
    <n v="-359.65999999999997"/>
  </r>
  <r>
    <x v="5"/>
    <x v="8"/>
    <x v="0"/>
    <s v="4920104"/>
    <n v="700026"/>
    <s v="Salaries-RN-Other"/>
    <s v="Cardiac Cath. Svcs"/>
    <x v="0"/>
    <n v="2000"/>
    <n v="2715.74"/>
    <n v="2918.61"/>
    <n v="3282.06"/>
    <n v="1955.08"/>
    <n v="1929.08"/>
    <n v="1829.17"/>
    <n v="4008.17"/>
    <n v="2461.9"/>
    <n v="2856.06"/>
    <n v="2376.89"/>
    <n v="2798.68"/>
    <n v="1938.59"/>
    <n v="31070.030000000002"/>
    <n v="860.08999999999992"/>
  </r>
  <r>
    <x v="5"/>
    <x v="8"/>
    <x v="0"/>
    <s v="4920104"/>
    <n v="700034"/>
    <s v="Salaries-Tech/Professional-Productive"/>
    <s v="Cardiac Cath. Svcs"/>
    <x v="0"/>
    <m/>
    <n v="20371.650000000001"/>
    <n v="16709"/>
    <n v="22501.68"/>
    <n v="18409.849999999999"/>
    <n v="14994.5"/>
    <n v="17100.72"/>
    <n v="21510.15"/>
    <n v="20482.560000000001"/>
    <n v="22487.05"/>
    <n v="25037.56"/>
    <n v="19764.919999999998"/>
    <n v="14720.79"/>
    <n v="234090.42999999996"/>
    <n v="5044.1299999999974"/>
  </r>
  <r>
    <x v="5"/>
    <x v="8"/>
    <x v="0"/>
    <s v="4920104"/>
    <n v="700034"/>
    <s v="Salaries-Tech/Professional-OT"/>
    <s v="Cardiac Cath. Svcs"/>
    <x v="0"/>
    <n v="1000"/>
    <n v="313.64999999999998"/>
    <n v="894.96"/>
    <n v="1225.58"/>
    <n v="548.09"/>
    <n v="912.25"/>
    <n v="576.92999999999995"/>
    <n v="629.35"/>
    <n v="184.13"/>
    <n v="189.62"/>
    <n v="625.30999999999995"/>
    <n v="-28.63"/>
    <n v="886.99"/>
    <n v="6958.2300000000005"/>
    <n v="-915.62"/>
  </r>
  <r>
    <x v="5"/>
    <x v="8"/>
    <x v="0"/>
    <s v="4920104"/>
    <n v="700034"/>
    <s v="Salaries-Tech/Professional-Other"/>
    <s v="Cardiac Cath. Svcs"/>
    <x v="0"/>
    <n v="2000"/>
    <n v="3173.94"/>
    <n v="2997.09"/>
    <n v="3221.13"/>
    <n v="3161.89"/>
    <n v="2176.62"/>
    <n v="3346.04"/>
    <n v="3325.62"/>
    <n v="3681.95"/>
    <n v="3343.16"/>
    <n v="3453.88"/>
    <n v="4599.05"/>
    <n v="2842.2"/>
    <n v="39322.57"/>
    <n v="1756.8500000000004"/>
  </r>
  <r>
    <x v="5"/>
    <x v="8"/>
    <x v="0"/>
    <s v="4920104"/>
    <n v="700054"/>
    <s v="Salaries-Management-NonProd-Other"/>
    <s v="Cardiac Cath. Svcs"/>
    <x v="0"/>
    <n v="2000"/>
    <n v="0"/>
    <n v="0"/>
    <n v="0"/>
    <n v="0"/>
    <n v="0"/>
    <n v="396.06"/>
    <n v="-396.06"/>
    <n v="0"/>
    <n v="0"/>
    <n v="0"/>
    <n v="0"/>
    <n v="0"/>
    <n v="0"/>
    <n v="0"/>
  </r>
  <r>
    <x v="5"/>
    <x v="8"/>
    <x v="0"/>
    <s v="4920104"/>
    <n v="700058"/>
    <s v="Salaries-Supervisory-Non-productive"/>
    <s v="Cardiac Cath. Svcs"/>
    <x v="0"/>
    <m/>
    <n v="430.96"/>
    <n v="0"/>
    <n v="0"/>
    <n v="1723.84"/>
    <n v="881.28"/>
    <n v="2266.12"/>
    <n v="819.65"/>
    <n v="882.57"/>
    <n v="882.57"/>
    <n v="0"/>
    <n v="882.57"/>
    <n v="0"/>
    <n v="8769.56"/>
    <n v="882.57"/>
  </r>
  <r>
    <x v="5"/>
    <x v="8"/>
    <x v="0"/>
    <s v="4920104"/>
    <n v="700066"/>
    <s v="Salaries-RN-Non-productive"/>
    <s v="Cardiac Cath. Svcs"/>
    <x v="0"/>
    <m/>
    <n v="5039.43"/>
    <n v="505.4"/>
    <n v="4702.71"/>
    <n v="-101.01"/>
    <n v="1173.5999999999999"/>
    <n v="4459.25"/>
    <n v="1597.21"/>
    <n v="2108.4299999999998"/>
    <n v="2131.3000000000002"/>
    <n v="598.29"/>
    <n v="4505.79"/>
    <n v="1378.48"/>
    <n v="28098.880000000001"/>
    <n v="3127.31"/>
  </r>
  <r>
    <x v="5"/>
    <x v="8"/>
    <x v="0"/>
    <s v="4920104"/>
    <n v="700066"/>
    <s v="Salaries-RN-NonProd-Other"/>
    <s v="Cardiac Cath. Svcs"/>
    <x v="0"/>
    <n v="2000"/>
    <n v="284.12"/>
    <n v="321.47000000000003"/>
    <n v="1249.71"/>
    <n v="-348.63"/>
    <n v="576.91999999999996"/>
    <n v="285.60000000000002"/>
    <n v="888.56"/>
    <n v="67.23"/>
    <n v="539.17999999999995"/>
    <n v="262.3"/>
    <n v="1339.99"/>
    <n v="-352.21"/>
    <n v="5114.24"/>
    <n v="1692.2"/>
  </r>
  <r>
    <x v="5"/>
    <x v="8"/>
    <x v="0"/>
    <s v="4920104"/>
    <n v="700074"/>
    <s v="Salaries-Tech/Professional-Non-productive"/>
    <s v="Cardiac Cath. Svcs"/>
    <x v="0"/>
    <m/>
    <n v="1815.53"/>
    <n v="4704.92"/>
    <n v="744.29"/>
    <n v="2805.34"/>
    <n v="9693.0300000000007"/>
    <n v="5122.55"/>
    <n v="1851.69"/>
    <n v="1403.11"/>
    <n v="2574.73"/>
    <n v="210.62"/>
    <n v="3361.15"/>
    <n v="9469.23"/>
    <n v="43756.19"/>
    <n v="-6108.08"/>
  </r>
  <r>
    <x v="5"/>
    <x v="8"/>
    <x v="0"/>
    <s v="4920104"/>
    <n v="700074"/>
    <s v="Salaries-Tech/Professional-NonProd-Other"/>
    <s v="Cardiac Cath. Svcs"/>
    <x v="0"/>
    <n v="2000"/>
    <n v="477.58"/>
    <n v="128.13"/>
    <n v="2013.7"/>
    <n v="-475.71"/>
    <n v="708.42"/>
    <n v="606.30999999999995"/>
    <n v="1219.8"/>
    <n v="39.74"/>
    <n v="839.08"/>
    <n v="804.73"/>
    <n v="1435.61"/>
    <n v="388.06"/>
    <n v="8185.4499999999989"/>
    <n v="1047.55"/>
  </r>
  <r>
    <x v="5"/>
    <x v="8"/>
    <x v="0"/>
    <s v="4920104"/>
    <n v="700084"/>
    <s v="Accrued PTO"/>
    <s v="Cardiac Cath. Svcs"/>
    <x v="0"/>
    <m/>
    <n v="-647.73"/>
    <n v="976.89"/>
    <n v="812.47"/>
    <n v="1372.48"/>
    <n v="1901.73"/>
    <n v="-5749.67"/>
    <n v="1788.15"/>
    <n v="2291.58"/>
    <n v="1196.98"/>
    <n v="4618.9399999999996"/>
    <n v="1353.87"/>
    <n v="1833.19"/>
    <n v="11748.88"/>
    <n v="-479.32000000000016"/>
  </r>
  <r>
    <x v="10"/>
    <x v="8"/>
    <x v="0"/>
    <s v="4920104"/>
    <n v="710060"/>
    <s v="Contract Labor-Other"/>
    <s v="Cardiac Cath. Svcs"/>
    <x v="0"/>
    <m/>
    <n v="0"/>
    <n v="0"/>
    <n v="0"/>
    <n v="5538"/>
    <n v="7971.75"/>
    <n v="11245"/>
    <n v="6059"/>
    <n v="0"/>
    <n v="0"/>
    <n v="0"/>
    <n v="9456.25"/>
    <n v="8840"/>
    <n v="49110"/>
    <n v="616.25"/>
  </r>
  <r>
    <x v="10"/>
    <x v="8"/>
    <x v="0"/>
    <s v="4920104"/>
    <n v="710060"/>
    <s v="Contract Labor-Overtime"/>
    <s v="Cardiac Cath. Svcs"/>
    <x v="0"/>
    <n v="5100"/>
    <n v="0"/>
    <n v="0"/>
    <n v="0"/>
    <n v="0"/>
    <n v="1509.64"/>
    <n v="287.55"/>
    <n v="670.95"/>
    <n v="0"/>
    <n v="0"/>
    <n v="0"/>
    <n v="372.94"/>
    <n v="487.69"/>
    <n v="3328.7700000000004"/>
    <n v="-114.75"/>
  </r>
  <r>
    <x v="10"/>
    <x v="8"/>
    <x v="0"/>
    <s v="4920104"/>
    <n v="710060"/>
    <s v="Contract Labor-Standby Wages"/>
    <s v="Cardiac Cath. Svcs"/>
    <x v="0"/>
    <n v="5101"/>
    <n v="0"/>
    <n v="0"/>
    <n v="0"/>
    <n v="740"/>
    <n v="2376"/>
    <n v="6433.5"/>
    <n v="-3965.5"/>
    <n v="0"/>
    <n v="0"/>
    <n v="0"/>
    <n v="492"/>
    <n v="1234"/>
    <n v="7310"/>
    <n v="-742"/>
  </r>
  <r>
    <x v="6"/>
    <x v="8"/>
    <x v="0"/>
    <s v="4920104"/>
    <n v="713010"/>
    <s v="Benefits-FICA/Medicare"/>
    <s v="Cardiac Cath. Svcs"/>
    <x v="0"/>
    <m/>
    <n v="4709.76"/>
    <n v="4625.54"/>
    <n v="4721.25"/>
    <n v="3814.58"/>
    <n v="4508.75"/>
    <n v="4396.2"/>
    <n v="5105.47"/>
    <n v="4226.3"/>
    <n v="4919.16"/>
    <n v="4543.37"/>
    <n v="4867.8"/>
    <n v="4270.05"/>
    <n v="54708.23"/>
    <n v="597.75"/>
  </r>
  <r>
    <x v="6"/>
    <x v="8"/>
    <x v="0"/>
    <s v="4920104"/>
    <n v="713090"/>
    <s v="Benefits-Allocated Amounts"/>
    <s v="Cardiac Cath. Svcs"/>
    <x v="0"/>
    <m/>
    <n v="9510.0499999999993"/>
    <n v="8470.59"/>
    <n v="8563.56"/>
    <n v="7304.82"/>
    <n v="8566.11"/>
    <n v="8014.24"/>
    <n v="9792.7000000000007"/>
    <n v="9162.2199999999993"/>
    <n v="9889.16"/>
    <n v="10062.77"/>
    <n v="9834.84"/>
    <n v="9154.91"/>
    <n v="108325.97"/>
    <n v="679.93000000000029"/>
  </r>
  <r>
    <x v="6"/>
    <x v="8"/>
    <x v="0"/>
    <s v="4920104"/>
    <n v="713096"/>
    <s v="Employee Recognition"/>
    <s v="Cardiac Cath. Svcs"/>
    <x v="0"/>
    <n v="1017"/>
    <n v="0"/>
    <n v="0"/>
    <n v="0"/>
    <n v="0"/>
    <n v="0"/>
    <n v="0"/>
    <n v="0"/>
    <n v="0"/>
    <n v="0"/>
    <n v="40"/>
    <n v="0"/>
    <n v="0"/>
    <n v="40"/>
    <n v="0"/>
  </r>
  <r>
    <x v="7"/>
    <x v="8"/>
    <x v="0"/>
    <s v="4920104"/>
    <n v="718070"/>
    <s v="Contract Srvcs-CHI Clinical Engineering"/>
    <s v="Cardiac Cath. Svcs"/>
    <x v="0"/>
    <m/>
    <n v="15277.56"/>
    <n v="15277.56"/>
    <n v="15277.56"/>
    <n v="15277.56"/>
    <n v="15277.56"/>
    <n v="14593.92"/>
    <n v="19990.2"/>
    <n v="11248.56"/>
    <n v="15277.56"/>
    <n v="15277.56"/>
    <n v="15277.56"/>
    <n v="15277.56"/>
    <n v="183330.72"/>
    <n v="0"/>
  </r>
  <r>
    <x v="7"/>
    <x v="8"/>
    <x v="0"/>
    <s v="4920104"/>
    <n v="718077"/>
    <s v="PACS"/>
    <s v="Cardiac Cath. Svcs"/>
    <x v="0"/>
    <n v="1000"/>
    <n v="134.86000000000001"/>
    <n v="141.85"/>
    <n v="129.11000000000001"/>
    <n v="147.29"/>
    <n v="134.59"/>
    <n v="130.21"/>
    <n v="148.75"/>
    <n v="124.08"/>
    <n v="149.33000000000001"/>
    <n v="147.47999999999999"/>
    <n v="152.43"/>
    <n v="138.57"/>
    <n v="1678.55"/>
    <n v="13.860000000000014"/>
  </r>
  <r>
    <x v="7"/>
    <x v="8"/>
    <x v="0"/>
    <s v="4920104"/>
    <n v="718091"/>
    <s v="Contract Services-Intracompany Allocation"/>
    <s v="Cardiac Cath. Svcs"/>
    <x v="0"/>
    <m/>
    <n v="6648.64"/>
    <n v="7811.4"/>
    <n v="5882.77"/>
    <n v="8660.48"/>
    <n v="6803.2"/>
    <n v="9392.5300000000007"/>
    <n v="9054.44"/>
    <n v="8980.19"/>
    <n v="9385.8700000000008"/>
    <n v="3696.82"/>
    <n v="9781.4599999999991"/>
    <n v="7871.46"/>
    <n v="93969.260000000024"/>
    <n v="1909.9999999999991"/>
  </r>
  <r>
    <x v="11"/>
    <x v="8"/>
    <x v="0"/>
    <s v="4920104"/>
    <n v="721010"/>
    <s v="Supplies-Medical - Billable"/>
    <s v="Cardiac Cath. Svcs"/>
    <x v="0"/>
    <m/>
    <n v="4629.4799999999996"/>
    <n v="804.73"/>
    <n v="2953.73"/>
    <n v="2286.38"/>
    <n v="4482.7700000000004"/>
    <n v="3538.44"/>
    <n v="4133.8500000000004"/>
    <n v="5450.92"/>
    <n v="3274.68"/>
    <n v="1144.31"/>
    <n v="2317.87"/>
    <n v="1477.86"/>
    <n v="36495.019999999997"/>
    <n v="840.01"/>
  </r>
  <r>
    <x v="11"/>
    <x v="8"/>
    <x v="0"/>
    <s v="4920104"/>
    <n v="721010"/>
    <s v="Patient Monitoring"/>
    <s v="Cardiac Cath. Svcs"/>
    <x v="0"/>
    <n v="1000"/>
    <n v="705.7"/>
    <n v="353.38"/>
    <n v="934.52"/>
    <n v="458.11"/>
    <n v="740.69"/>
    <n v="1622.21"/>
    <n v="1925.05"/>
    <n v="1252.8699999999999"/>
    <n v="575.65"/>
    <n v="922.83"/>
    <n v="1035.69"/>
    <n v="1266.68"/>
    <n v="11793.380000000001"/>
    <n v="-230.99"/>
  </r>
  <r>
    <x v="11"/>
    <x v="8"/>
    <x v="0"/>
    <s v="4920104"/>
    <n v="721020"/>
    <s v="Supplies-Surgical - Billable"/>
    <s v="Cardiac Cath. Svcs"/>
    <x v="0"/>
    <m/>
    <n v="2106.7399999999998"/>
    <n v="9358.7999999999993"/>
    <n v="301.36"/>
    <n v="4831.6000000000004"/>
    <n v="11513.1"/>
    <n v="477.09"/>
    <n v="1063.3499999999999"/>
    <n v="4233.4399999999996"/>
    <n v="7497.15"/>
    <n v="12943.75"/>
    <n v="2597.13"/>
    <n v="1782.13"/>
    <n v="58705.639999999992"/>
    <n v="815"/>
  </r>
  <r>
    <x v="11"/>
    <x v="8"/>
    <x v="0"/>
    <s v="4920104"/>
    <n v="721020"/>
    <s v="Custom Packs"/>
    <s v="Cardiac Cath. Svcs"/>
    <x v="0"/>
    <n v="1000"/>
    <n v="1305.1099999999999"/>
    <n v="2259.58"/>
    <n v="1622.99"/>
    <n v="2180.1799999999998"/>
    <n v="2723.05"/>
    <n v="2047.08"/>
    <n v="2691.08"/>
    <n v="2804.67"/>
    <n v="1872.11"/>
    <n v="1931.3"/>
    <n v="2512.58"/>
    <n v="2088.7399999999998"/>
    <n v="26038.469999999994"/>
    <n v="423.84000000000015"/>
  </r>
  <r>
    <x v="11"/>
    <x v="8"/>
    <x v="0"/>
    <s v="4920104"/>
    <n v="721020"/>
    <s v="Suture/Wound Closure"/>
    <s v="Cardiac Cath. Svcs"/>
    <x v="0"/>
    <n v="1001"/>
    <n v="782.2"/>
    <n v="1660.38"/>
    <n v="669.69"/>
    <n v="43.44"/>
    <n v="995.7"/>
    <n v="0"/>
    <n v="772.66"/>
    <n v="0"/>
    <n v="43.56"/>
    <n v="102.6"/>
    <n v="892.88"/>
    <n v="45.73"/>
    <n v="6008.84"/>
    <n v="847.15"/>
  </r>
  <r>
    <x v="11"/>
    <x v="8"/>
    <x v="0"/>
    <s v="4920104"/>
    <n v="721020"/>
    <s v="Endomechanical Supplies &amp; Instruments"/>
    <s v="Cardiac Cath. Svcs"/>
    <x v="0"/>
    <n v="1003"/>
    <n v="282.10000000000002"/>
    <n v="0"/>
    <n v="0"/>
    <n v="0"/>
    <n v="251.07"/>
    <n v="0"/>
    <n v="332.07"/>
    <n v="6.88"/>
    <n v="0"/>
    <n v="251.07"/>
    <n v="0"/>
    <n v="0"/>
    <n v="1123.19"/>
    <n v="0"/>
  </r>
  <r>
    <x v="11"/>
    <x v="8"/>
    <x v="0"/>
    <s v="4920104"/>
    <n v="721020"/>
    <s v="Bone Cement &amp; Supplies"/>
    <s v="Cardiac Cath. Svcs"/>
    <x v="0"/>
    <n v="1004"/>
    <n v="1660.06"/>
    <n v="231.17"/>
    <n v="213.06"/>
    <n v="0"/>
    <n v="0"/>
    <n v="3219.67"/>
    <n v="1190.56"/>
    <n v="213.06"/>
    <n v="-2259.7199999999998"/>
    <n v="0"/>
    <n v="5024.09"/>
    <n v="0"/>
    <n v="9491.9500000000007"/>
    <n v="5024.09"/>
  </r>
  <r>
    <x v="11"/>
    <x v="8"/>
    <x v="0"/>
    <s v="4920104"/>
    <n v="721020"/>
    <s v="Urological Supplies"/>
    <s v="Cardiac Cath. Svcs"/>
    <x v="0"/>
    <n v="1006"/>
    <n v="-90.48"/>
    <n v="542"/>
    <n v="0"/>
    <n v="402.2"/>
    <n v="175.47"/>
    <n v="356.33"/>
    <n v="271"/>
    <n v="338.75"/>
    <n v="135.5"/>
    <n v="385.61"/>
    <n v="203.25"/>
    <n v="338.75"/>
    <n v="3058.38"/>
    <n v="-135.5"/>
  </r>
  <r>
    <x v="11"/>
    <x v="8"/>
    <x v="0"/>
    <s v="4920104"/>
    <n v="721020"/>
    <s v="Surgical Cardiovascular"/>
    <s v="Cardiac Cath. Svcs"/>
    <x v="0"/>
    <n v="1007"/>
    <n v="15187.61"/>
    <n v="155.62"/>
    <n v="0"/>
    <n v="9290"/>
    <n v="11319.89"/>
    <n v="8724.49"/>
    <n v="15407.66"/>
    <n v="1263.3800000000001"/>
    <n v="6160.45"/>
    <n v="6004.83"/>
    <n v="5338.21"/>
    <n v="11295.15"/>
    <n v="90147.290000000008"/>
    <n v="-5956.94"/>
  </r>
  <r>
    <x v="11"/>
    <x v="8"/>
    <x v="0"/>
    <s v="4920104"/>
    <n v="721020"/>
    <s v="Tubes Drains &amp; Related Supplies"/>
    <s v="Cardiac Cath. Svcs"/>
    <x v="0"/>
    <n v="1008"/>
    <n v="799.31"/>
    <n v="756.71"/>
    <n v="1488.64"/>
    <n v="617.95000000000005"/>
    <n v="741.87"/>
    <n v="315.01"/>
    <n v="769.43"/>
    <n v="458.98"/>
    <n v="666.04"/>
    <n v="753.27"/>
    <n v="723.98"/>
    <n v="910.69"/>
    <n v="9001.8799999999992"/>
    <n v="-186.71000000000004"/>
  </r>
  <r>
    <x v="11"/>
    <x v="8"/>
    <x v="0"/>
    <s v="4920104"/>
    <n v="721050"/>
    <s v="Supplies-Cardiac Rhythm - Billable"/>
    <s v="Cardiac Cath. Svcs"/>
    <x v="0"/>
    <m/>
    <n v="12932.88"/>
    <n v="25281.73"/>
    <n v="19141.13"/>
    <n v="27400.27"/>
    <n v="24991.67"/>
    <n v="27087.1"/>
    <n v="14912.52"/>
    <n v="20872.34"/>
    <n v="15478.03"/>
    <n v="26486.7"/>
    <n v="13051.97"/>
    <n v="13217.53"/>
    <n v="240853.87"/>
    <n v="-165.56000000000131"/>
  </r>
  <r>
    <x v="11"/>
    <x v="8"/>
    <x v="0"/>
    <s v="4920104"/>
    <n v="721050"/>
    <s v="Pacemakers - Internal"/>
    <s v="Cardiac Cath. Svcs"/>
    <x v="0"/>
    <n v="1000"/>
    <n v="4199.93"/>
    <n v="38835.69"/>
    <n v="7943.38"/>
    <n v="39744.629999999997"/>
    <n v="7930"/>
    <n v="4854.76"/>
    <n v="361.31"/>
    <n v="9301.01"/>
    <n v="32616"/>
    <n v="18841"/>
    <n v="28543"/>
    <n v="15513.38"/>
    <n v="208684.09"/>
    <n v="13029.62"/>
  </r>
  <r>
    <x v="11"/>
    <x v="8"/>
    <x v="0"/>
    <s v="4920104"/>
    <n v="721050"/>
    <s v="AICD"/>
    <s v="Cardiac Cath. Svcs"/>
    <x v="0"/>
    <n v="1001"/>
    <n v="12817.87"/>
    <n v="0"/>
    <n v="9222"/>
    <n v="0"/>
    <n v="0"/>
    <n v="7222"/>
    <n v="22315"/>
    <n v="12283"/>
    <n v="-7222"/>
    <n v="16324"/>
    <n v="0"/>
    <n v="0"/>
    <n v="72961.87"/>
    <n v="0"/>
  </r>
  <r>
    <x v="11"/>
    <x v="8"/>
    <x v="0"/>
    <s v="4920104"/>
    <n v="721050"/>
    <s v="Electrophysiology Products"/>
    <s v="Cardiac Cath. Svcs"/>
    <x v="0"/>
    <n v="1002"/>
    <n v="10.199999999999999"/>
    <n v="309.23"/>
    <n v="0"/>
    <n v="190.2"/>
    <n v="135.30000000000001"/>
    <n v="0"/>
    <n v="5290.2"/>
    <n v="0"/>
    <n v="65.099999999999994"/>
    <n v="130.19999999999999"/>
    <n v="0"/>
    <n v="7740"/>
    <n v="13870.43"/>
    <n v="-7740"/>
  </r>
  <r>
    <x v="11"/>
    <x v="8"/>
    <x v="0"/>
    <s v="4920104"/>
    <n v="721070"/>
    <s v="Coronary Stents DES"/>
    <s v="Cardiac Cath. Svcs"/>
    <x v="0"/>
    <n v="1000"/>
    <n v="0"/>
    <n v="0"/>
    <n v="0"/>
    <n v="900"/>
    <n v="4350.5200000000004"/>
    <n v="900"/>
    <n v="0"/>
    <n v="4500"/>
    <n v="2700"/>
    <n v="1800"/>
    <n v="0"/>
    <n v="900"/>
    <n v="16050.52"/>
    <n v="-900"/>
  </r>
  <r>
    <x v="11"/>
    <x v="8"/>
    <x v="0"/>
    <s v="4920104"/>
    <n v="721070"/>
    <s v="Peripheral Stents"/>
    <s v="Cardiac Cath. Svcs"/>
    <x v="0"/>
    <n v="1001"/>
    <n v="7253.85"/>
    <n v="3773.02"/>
    <n v="6321.04"/>
    <n v="2800"/>
    <n v="5265"/>
    <n v="10063.56"/>
    <n v="2934.56"/>
    <n v="2017.88"/>
    <n v="2300"/>
    <n v="6038.56"/>
    <n v="6327.02"/>
    <n v="6530.27"/>
    <n v="61624.759999999995"/>
    <n v="-203.25"/>
  </r>
  <r>
    <x v="11"/>
    <x v="8"/>
    <x v="0"/>
    <s v="4920104"/>
    <n v="721110"/>
    <s v="Supplies-Grafts - Billable"/>
    <s v="Cardiac Cath. Svcs"/>
    <x v="0"/>
    <m/>
    <n v="3650"/>
    <n v="1850"/>
    <n v="3600"/>
    <n v="0"/>
    <n v="0"/>
    <n v="0"/>
    <n v="1800"/>
    <n v="0"/>
    <n v="4390"/>
    <n v="0"/>
    <n v="1800"/>
    <n v="0"/>
    <n v="17090"/>
    <n v="1800"/>
  </r>
  <r>
    <x v="11"/>
    <x v="8"/>
    <x v="0"/>
    <s v="4920104"/>
    <n v="721150"/>
    <s v="Surgical Orthopedic"/>
    <s v="Cardiac Cath. Svcs"/>
    <x v="0"/>
    <n v="1000"/>
    <n v="0"/>
    <n v="85.91"/>
    <n v="0"/>
    <n v="0"/>
    <n v="0"/>
    <n v="-6.73"/>
    <n v="158.36000000000001"/>
    <n v="0"/>
    <n v="0"/>
    <n v="0"/>
    <n v="1698.82"/>
    <n v="0"/>
    <n v="1936.36"/>
    <n v="1698.82"/>
  </r>
  <r>
    <x v="11"/>
    <x v="8"/>
    <x v="0"/>
    <s v="4920104"/>
    <n v="721240"/>
    <s v="Supplies-IV Solutions/Supplies - Billable"/>
    <s v="Cardiac Cath. Svcs"/>
    <x v="0"/>
    <m/>
    <n v="6197.83"/>
    <n v="11136.87"/>
    <n v="12359.13"/>
    <n v="3669.17"/>
    <n v="6535.54"/>
    <n v="4597.5"/>
    <n v="11004.4"/>
    <n v="7029.86"/>
    <n v="7182.28"/>
    <n v="3477.48"/>
    <n v="10025.18"/>
    <n v="5021.8599999999997"/>
    <n v="88237.099999999991"/>
    <n v="5003.3200000000006"/>
  </r>
  <r>
    <x v="11"/>
    <x v="8"/>
    <x v="0"/>
    <s v="4920104"/>
    <n v="721250"/>
    <s v="Supplies-Pharmacy Drugs - Billable"/>
    <s v="Cardiac Cath. Svcs"/>
    <x v="0"/>
    <m/>
    <n v="361.32"/>
    <n v="10.82"/>
    <n v="651.82000000000005"/>
    <n v="0"/>
    <n v="325.54000000000002"/>
    <n v="180.25"/>
    <n v="0"/>
    <n v="832.65"/>
    <n v="368.05"/>
    <n v="0"/>
    <n v="473.36"/>
    <n v="9.68"/>
    <n v="3213.4900000000002"/>
    <n v="463.68"/>
  </r>
  <r>
    <x v="11"/>
    <x v="8"/>
    <x v="0"/>
    <s v="4920104"/>
    <n v="721350"/>
    <s v="Supplies-Film/Radiographic - Billable"/>
    <s v="Cardiac Cath. Svcs"/>
    <x v="0"/>
    <m/>
    <n v="0"/>
    <n v="0"/>
    <n v="0"/>
    <n v="124.99"/>
    <n v="0"/>
    <n v="0"/>
    <n v="0"/>
    <n v="0"/>
    <n v="0"/>
    <n v="0"/>
    <n v="0"/>
    <n v="0"/>
    <n v="124.99"/>
    <n v="0"/>
  </r>
  <r>
    <x v="11"/>
    <x v="8"/>
    <x v="0"/>
    <s v="4920104"/>
    <n v="721410"/>
    <s v="Supplies-Medical - Nonbillable"/>
    <s v="Cardiac Cath. Svcs"/>
    <x v="0"/>
    <m/>
    <n v="285.99"/>
    <n v="1891.11"/>
    <n v="1080.52"/>
    <n v="960.28"/>
    <n v="1842.53"/>
    <n v="1177.72"/>
    <n v="1568.22"/>
    <n v="1635.16"/>
    <n v="1354.78"/>
    <n v="256600.29"/>
    <n v="1171.98"/>
    <n v="1909.22"/>
    <n v="271477.8"/>
    <n v="-737.24"/>
  </r>
  <r>
    <x v="11"/>
    <x v="8"/>
    <x v="0"/>
    <s v="4920104"/>
    <n v="721410"/>
    <s v="Patient Monitoring"/>
    <s v="Cardiac Cath. Svcs"/>
    <x v="0"/>
    <n v="1000"/>
    <n v="0"/>
    <n v="0"/>
    <n v="0"/>
    <n v="0"/>
    <n v="0"/>
    <n v="0"/>
    <n v="0"/>
    <n v="0"/>
    <n v="0"/>
    <n v="0"/>
    <n v="0"/>
    <n v="4.34"/>
    <n v="4.34"/>
    <n v="-4.34"/>
  </r>
  <r>
    <x v="11"/>
    <x v="8"/>
    <x v="0"/>
    <s v="4920104"/>
    <n v="721420"/>
    <s v="Supplies-Surgical Nonbillable"/>
    <s v="Cardiac Cath. Svcs"/>
    <x v="0"/>
    <m/>
    <n v="293.10000000000002"/>
    <n v="812.49"/>
    <n v="1550.22"/>
    <n v="618.02"/>
    <n v="1648.36"/>
    <n v="841.08"/>
    <n v="984.06"/>
    <n v="774.29"/>
    <n v="1097.72"/>
    <n v="1071.67"/>
    <n v="707.45"/>
    <n v="817.18"/>
    <n v="11215.640000000001"/>
    <n v="-109.7299999999999"/>
  </r>
  <r>
    <x v="11"/>
    <x v="8"/>
    <x v="0"/>
    <s v="4920104"/>
    <n v="721420"/>
    <s v="Tubes Drains &amp; Related Supplies"/>
    <s v="Cardiac Cath. Svcs"/>
    <x v="0"/>
    <n v="1008"/>
    <n v="0"/>
    <n v="0"/>
    <n v="0"/>
    <n v="0"/>
    <n v="0"/>
    <n v="0"/>
    <n v="7.53"/>
    <n v="5.0199999999999996"/>
    <n v="0"/>
    <n v="0"/>
    <n v="0"/>
    <n v="0"/>
    <n v="12.55"/>
    <n v="0"/>
  </r>
  <r>
    <x v="11"/>
    <x v="8"/>
    <x v="0"/>
    <s v="4920104"/>
    <n v="721610"/>
    <s v="Supplies-Anesthesia - Nonbillable"/>
    <s v="Cardiac Cath. Svcs"/>
    <x v="0"/>
    <m/>
    <n v="32.1"/>
    <n v="238.25"/>
    <n v="21.2"/>
    <n v="23.94"/>
    <n v="26.6"/>
    <n v="24.16"/>
    <n v="37.979999999999997"/>
    <n v="215.78"/>
    <n v="21.28"/>
    <n v="80.41"/>
    <n v="31.42"/>
    <n v="83.2"/>
    <n v="836.32"/>
    <n v="-51.78"/>
  </r>
  <r>
    <x v="11"/>
    <x v="8"/>
    <x v="0"/>
    <s v="4920104"/>
    <n v="721640"/>
    <s v="Supplies-IV Solutions/Supplies - Nonbillable"/>
    <s v="Cardiac Cath. Svcs"/>
    <x v="0"/>
    <m/>
    <n v="207.44"/>
    <n v="505.27"/>
    <n v="251.27"/>
    <n v="562.74"/>
    <n v="492.99"/>
    <n v="760.5"/>
    <n v="233.41"/>
    <n v="705.94"/>
    <n v="104.83"/>
    <n v="42.02"/>
    <n v="108"/>
    <n v="339.69"/>
    <n v="4314.0999999999995"/>
    <n v="-231.69"/>
  </r>
  <r>
    <x v="11"/>
    <x v="8"/>
    <x v="0"/>
    <s v="4920104"/>
    <n v="721650"/>
    <s v="Supplies-Pharmacy Drugs - Nonbillable"/>
    <s v="Cardiac Cath. Svcs"/>
    <x v="0"/>
    <m/>
    <n v="0"/>
    <n v="1.96"/>
    <n v="0"/>
    <n v="0"/>
    <n v="0"/>
    <n v="1.96"/>
    <n v="0"/>
    <n v="0"/>
    <n v="3.71"/>
    <n v="0"/>
    <n v="0"/>
    <n v="0.89"/>
    <n v="8.52"/>
    <n v="-0.89"/>
  </r>
  <r>
    <x v="11"/>
    <x v="8"/>
    <x v="0"/>
    <s v="4920104"/>
    <n v="721710"/>
    <s v="Supplies-Laboratory - Nonbillable"/>
    <s v="Cardiac Cath. Svcs"/>
    <x v="0"/>
    <m/>
    <n v="335.92"/>
    <n v="554.65"/>
    <n v="76.599999999999994"/>
    <n v="1.33"/>
    <n v="0"/>
    <n v="393.83"/>
    <n v="18.100000000000001"/>
    <n v="22.35"/>
    <n v="54.25"/>
    <n v="-3.48"/>
    <n v="83.84"/>
    <n v="-4.25"/>
    <n v="1533.1399999999996"/>
    <n v="88.09"/>
  </r>
  <r>
    <x v="11"/>
    <x v="8"/>
    <x v="0"/>
    <s v="4920104"/>
    <n v="721710"/>
    <s v="Reagents"/>
    <s v="Cardiac Cath. Svcs"/>
    <x v="0"/>
    <n v="1000"/>
    <n v="0"/>
    <n v="0"/>
    <n v="0"/>
    <n v="908.9"/>
    <n v="0"/>
    <n v="190.03"/>
    <n v="-14.89"/>
    <n v="0"/>
    <n v="0"/>
    <n v="908.91"/>
    <n v="264.43"/>
    <n v="118.82"/>
    <n v="2376.1999999999998"/>
    <n v="145.61000000000001"/>
  </r>
  <r>
    <x v="11"/>
    <x v="8"/>
    <x v="0"/>
    <s v="4920104"/>
    <n v="721750"/>
    <s v="Supplies-Film/Radiographic - Nonbillable"/>
    <s v="Cardiac Cath. Svcs"/>
    <x v="0"/>
    <m/>
    <n v="6.24"/>
    <n v="121.4"/>
    <n v="0"/>
    <n v="8.6"/>
    <n v="160"/>
    <n v="0"/>
    <n v="0"/>
    <n v="478.1"/>
    <n v="-8.5"/>
    <n v="25.8"/>
    <n v="0"/>
    <n v="95.05"/>
    <n v="886.68999999999994"/>
    <n v="-95.05"/>
  </r>
  <r>
    <x v="11"/>
    <x v="8"/>
    <x v="0"/>
    <s v="4920104"/>
    <n v="721810"/>
    <s v="Supplies-Dietary/Cafeteria"/>
    <s v="Cardiac Cath. Svcs"/>
    <x v="0"/>
    <m/>
    <n v="8"/>
    <n v="8"/>
    <n v="22.3"/>
    <n v="14.87"/>
    <n v="14.34"/>
    <n v="15.6"/>
    <n v="0"/>
    <n v="15"/>
    <n v="33.5"/>
    <n v="38.24"/>
    <n v="104.79"/>
    <n v="366.6"/>
    <n v="641.24"/>
    <n v="-261.81"/>
  </r>
  <r>
    <x v="11"/>
    <x v="8"/>
    <x v="0"/>
    <s v="4920104"/>
    <n v="721830"/>
    <s v="Supplies-Office"/>
    <s v="Cardiac Cath. Svcs"/>
    <x v="0"/>
    <m/>
    <n v="77.45"/>
    <n v="51.9"/>
    <n v="483.7"/>
    <n v="11.84"/>
    <n v="40.56"/>
    <n v="197.44"/>
    <n v="20.76"/>
    <n v="384.39"/>
    <n v="818.89"/>
    <n v="577.04"/>
    <n v="-12.67"/>
    <n v="53.26"/>
    <n v="2704.56"/>
    <n v="-65.929999999999993"/>
  </r>
  <r>
    <x v="11"/>
    <x v="8"/>
    <x v="0"/>
    <s v="4920104"/>
    <n v="721870"/>
    <s v="Supplies-Environmental Services"/>
    <s v="Cardiac Cath. Svcs"/>
    <x v="0"/>
    <m/>
    <n v="0"/>
    <n v="24.01"/>
    <n v="9.6"/>
    <n v="14.41"/>
    <n v="17"/>
    <n v="14.41"/>
    <n v="28.82"/>
    <n v="14.41"/>
    <n v="14.41"/>
    <n v="17.690000000000001"/>
    <n v="17.690000000000001"/>
    <n v="73.41"/>
    <n v="245.85999999999999"/>
    <n v="-55.72"/>
  </r>
  <r>
    <x v="11"/>
    <x v="8"/>
    <x v="0"/>
    <s v="4920104"/>
    <n v="721910"/>
    <s v="Supplies-Small Equipment"/>
    <s v="Cardiac Cath. Svcs"/>
    <x v="0"/>
    <m/>
    <n v="253.67"/>
    <n v="0"/>
    <n v="0"/>
    <n v="2171.34"/>
    <n v="102.52"/>
    <n v="1876.46"/>
    <n v="10"/>
    <n v="0"/>
    <n v="10"/>
    <n v="20"/>
    <n v="0"/>
    <n v="0"/>
    <n v="4443.99"/>
    <n v="0"/>
  </r>
  <r>
    <x v="11"/>
    <x v="8"/>
    <x v="0"/>
    <s v="4920104"/>
    <n v="721910"/>
    <s v="Instruments"/>
    <s v="Cardiac Cath. Svcs"/>
    <x v="0"/>
    <n v="1000"/>
    <n v="600.92999999999995"/>
    <n v="3410.52"/>
    <n v="149.9"/>
    <n v="3195.7"/>
    <n v="-423.11"/>
    <n v="3081.4"/>
    <n v="313.35000000000002"/>
    <n v="3175.08"/>
    <n v="591.05999999999995"/>
    <n v="376.33"/>
    <n v="6442.13"/>
    <n v="341.32"/>
    <n v="21254.61"/>
    <n v="6100.81"/>
  </r>
  <r>
    <x v="11"/>
    <x v="8"/>
    <x v="0"/>
    <s v="4920104"/>
    <n v="721980"/>
    <s v="Supplies-Other"/>
    <s v="Cardiac Cath. Svcs"/>
    <x v="0"/>
    <m/>
    <n v="0"/>
    <n v="0"/>
    <n v="0"/>
    <n v="2031.65"/>
    <n v="0"/>
    <n v="66.489999999999995"/>
    <n v="0"/>
    <n v="0"/>
    <n v="0"/>
    <n v="22.35"/>
    <n v="44.7"/>
    <n v="0"/>
    <n v="2165.1899999999996"/>
    <n v="44.7"/>
  </r>
  <r>
    <x v="11"/>
    <x v="8"/>
    <x v="0"/>
    <s v="4920104"/>
    <n v="722000"/>
    <s v="Supplies-Freight Expense"/>
    <s v="Cardiac Cath. Svcs"/>
    <x v="0"/>
    <m/>
    <n v="366.35"/>
    <n v="699.92"/>
    <n v="502.25"/>
    <n v="264.07"/>
    <n v="134.63"/>
    <n v="605.86"/>
    <n v="757.74"/>
    <n v="297.73"/>
    <n v="482.31"/>
    <n v="344.07"/>
    <n v="409.05"/>
    <n v="212.59"/>
    <n v="5076.57"/>
    <n v="196.46"/>
  </r>
  <r>
    <x v="11"/>
    <x v="8"/>
    <x v="0"/>
    <s v="4920104"/>
    <n v="723000"/>
    <s v="Supply Rebates/Patronage Dividend"/>
    <s v="Cardiac Cath. Svcs"/>
    <x v="0"/>
    <m/>
    <n v="0"/>
    <n v="0"/>
    <n v="-31113.41"/>
    <n v="0"/>
    <n v="0"/>
    <n v="-19297.400000000001"/>
    <n v="0"/>
    <n v="0"/>
    <n v="-15558.35"/>
    <n v="0"/>
    <n v="0"/>
    <n v="-11104.58"/>
    <n v="-77073.740000000005"/>
    <n v="11104.58"/>
  </r>
  <r>
    <x v="12"/>
    <x v="8"/>
    <x v="0"/>
    <s v="4920104"/>
    <n v="730020"/>
    <s v="Rental and Leases-Copier Usage Fees (DO NOT USE)"/>
    <s v="Cardiac Cath. Svcs"/>
    <x v="0"/>
    <n v="5100"/>
    <n v="75.47"/>
    <n v="78.38"/>
    <n v="76.92"/>
    <n v="76.92"/>
    <n v="76.92"/>
    <n v="76.92"/>
    <n v="-470.55"/>
    <n v="38.68"/>
    <n v="38.590000000000003"/>
    <n v="38.770000000000003"/>
    <n v="38.68"/>
    <n v="43.45"/>
    <n v="189.15000000000003"/>
    <n v="-4.7700000000000031"/>
  </r>
  <r>
    <x v="15"/>
    <x v="8"/>
    <x v="0"/>
    <s v="4920104"/>
    <n v="731060"/>
    <s v="Cell Phones"/>
    <s v="Cardiac Cath. Svcs"/>
    <x v="0"/>
    <n v="1001"/>
    <n v="0"/>
    <n v="54.04"/>
    <n v="26.21"/>
    <n v="0"/>
    <n v="26.47"/>
    <n v="27.15"/>
    <n v="54.42"/>
    <n v="0"/>
    <n v="27.1"/>
    <n v="54.46"/>
    <n v="26.47"/>
    <n v="27.22"/>
    <n v="323.54000000000008"/>
    <n v="-0.75"/>
  </r>
  <r>
    <x v="15"/>
    <x v="8"/>
    <x v="0"/>
    <s v="4920104"/>
    <n v="731060"/>
    <s v="Pagers"/>
    <s v="Cardiac Cath. Svcs"/>
    <x v="0"/>
    <n v="1002"/>
    <n v="107.72"/>
    <n v="107.72"/>
    <n v="107.72"/>
    <n v="107.98"/>
    <n v="205.03"/>
    <n v="0"/>
    <n v="132.47"/>
    <n v="66.17"/>
    <n v="66.17"/>
    <n v="66.17"/>
    <n v="66.17"/>
    <n v="66.17"/>
    <n v="1099.49"/>
    <n v="0"/>
  </r>
  <r>
    <x v="16"/>
    <x v="8"/>
    <x v="0"/>
    <s v="4920104"/>
    <n v="732030"/>
    <s v="Repairs---Other"/>
    <s v="Cardiac Cath. Svcs"/>
    <x v="0"/>
    <m/>
    <n v="0"/>
    <n v="0"/>
    <n v="0"/>
    <n v="0"/>
    <n v="0"/>
    <n v="0"/>
    <n v="0"/>
    <n v="0"/>
    <n v="399.28"/>
    <n v="0"/>
    <n v="0"/>
    <n v="0"/>
    <n v="399.28"/>
    <n v="0"/>
  </r>
  <r>
    <x v="13"/>
    <x v="8"/>
    <x v="0"/>
    <s v="4920104"/>
    <n v="735070"/>
    <s v="Depreciation-Movable Equipment"/>
    <s v="Cardiac Cath. Svcs"/>
    <x v="0"/>
    <m/>
    <n v="4327.51"/>
    <n v="4327.51"/>
    <n v="4327.5"/>
    <n v="4327.53"/>
    <n v="4327.51"/>
    <n v="4327.53"/>
    <n v="4327.51"/>
    <n v="4327.54"/>
    <n v="4327.5200000000004"/>
    <n v="1659.98"/>
    <n v="1660.01"/>
    <n v="1659.98"/>
    <n v="43927.630000000012"/>
    <n v="2.9999999999972715E-2"/>
  </r>
  <r>
    <x v="0"/>
    <x v="8"/>
    <x v="0"/>
    <s v="4920104"/>
    <n v="740020"/>
    <s v="Education-Registration Fees"/>
    <s v="Cardiac Cath. Svcs"/>
    <x v="0"/>
    <m/>
    <n v="0"/>
    <n v="175"/>
    <n v="240"/>
    <n v="0"/>
    <n v="175"/>
    <n v="0"/>
    <n v="0"/>
    <n v="215"/>
    <n v="0"/>
    <n v="0"/>
    <n v="0"/>
    <n v="0"/>
    <n v="805"/>
    <n v="0"/>
  </r>
  <r>
    <x v="0"/>
    <x v="8"/>
    <x v="0"/>
    <s v="4920104"/>
    <n v="749510"/>
    <s v="Miscellaneous Expenses"/>
    <s v="Cardiac Cath. Svcs"/>
    <x v="0"/>
    <m/>
    <n v="0"/>
    <n v="0"/>
    <n v="0"/>
    <n v="-1.0900000000000001"/>
    <n v="0"/>
    <n v="0"/>
    <n v="0"/>
    <n v="0"/>
    <n v="0"/>
    <n v="0"/>
    <n v="0"/>
    <n v="0"/>
    <n v="-1.0900000000000001"/>
    <n v="0"/>
  </r>
  <r>
    <x v="0"/>
    <x v="8"/>
    <x v="0"/>
    <s v="4920104"/>
    <n v="749510"/>
    <s v="RICE Rewards"/>
    <s v="Cardiac Cath. Svcs"/>
    <x v="0"/>
    <n v="5100"/>
    <n v="0"/>
    <n v="0"/>
    <n v="0"/>
    <n v="0"/>
    <n v="0"/>
    <n v="0"/>
    <n v="0"/>
    <n v="0"/>
    <n v="199.75"/>
    <n v="0"/>
    <n v="35.53"/>
    <n v="0"/>
    <n v="235.28"/>
    <n v="35.53"/>
  </r>
  <r>
    <x v="18"/>
    <x v="5"/>
    <x v="0"/>
    <s v="4920106"/>
    <n v="400010"/>
    <s v="Acute I/P Svcs Rev--Medicare"/>
    <s v="Cardiac Cath Services"/>
    <x v="0"/>
    <n v="1100"/>
    <n v="-1046903.26"/>
    <n v="-488607.72"/>
    <n v="-589055.76"/>
    <n v="-701282.49"/>
    <n v="-385250.38"/>
    <n v="-478641.23"/>
    <n v="-1135662.94"/>
    <n v="-936229.13"/>
    <n v="-914570.45"/>
    <n v="-429319.94"/>
    <n v="-770125.61"/>
    <n v="-687630.78"/>
    <n v="-8563279.6900000013"/>
    <n v="-82494.829999999958"/>
  </r>
  <r>
    <x v="18"/>
    <x v="5"/>
    <x v="0"/>
    <s v="4920106"/>
    <n v="400010"/>
    <s v="Acute I/P Svcs Rev--Medicaid"/>
    <s v="Cardiac Cath Services"/>
    <x v="0"/>
    <n v="1200"/>
    <n v="-310541.82"/>
    <n v="-271673.46999999997"/>
    <n v="-108494.42"/>
    <n v="-334016.55"/>
    <n v="-248434.66"/>
    <n v="-120891.6"/>
    <n v="-369545.81"/>
    <n v="-162249.39000000001"/>
    <n v="-187772.4"/>
    <n v="-209688.02"/>
    <n v="-190850.44"/>
    <n v="-374366.01"/>
    <n v="-2888524.59"/>
    <n v="183515.57"/>
  </r>
  <r>
    <x v="18"/>
    <x v="5"/>
    <x v="0"/>
    <s v="4920106"/>
    <n v="400010"/>
    <s v="Acute I/P Svcs Rev--Comm Insurance"/>
    <s v="Cardiac Cath Services"/>
    <x v="0"/>
    <n v="1300"/>
    <n v="0"/>
    <n v="-13742.41"/>
    <n v="4936.63"/>
    <n v="0"/>
    <n v="-41229.82"/>
    <n v="-63531.65"/>
    <n v="0"/>
    <n v="-199798.87"/>
    <n v="-21124.1"/>
    <n v="-97552.53"/>
    <n v="63144.5"/>
    <n v="0"/>
    <n v="-368898.25"/>
    <n v="63144.5"/>
  </r>
  <r>
    <x v="18"/>
    <x v="5"/>
    <x v="0"/>
    <s v="4920106"/>
    <n v="400010"/>
    <s v="Acute I/P Svcs Rev--BCBS Comm"/>
    <s v="Cardiac Cath Services"/>
    <x v="0"/>
    <n v="1301"/>
    <n v="-117218.83"/>
    <n v="-40436.550000000003"/>
    <n v="-54677.87"/>
    <n v="-66217.14"/>
    <n v="-157248.82999999999"/>
    <n v="-82183.48"/>
    <n v="-50465.760000000002"/>
    <n v="-64793.55"/>
    <n v="-1077.47"/>
    <n v="-69456.63"/>
    <n v="-70714.13"/>
    <n v="-11283.88"/>
    <n v="-785774.12"/>
    <n v="-59430.250000000007"/>
  </r>
  <r>
    <x v="18"/>
    <x v="5"/>
    <x v="0"/>
    <s v="4920106"/>
    <n v="400010"/>
    <s v="Acute I/P Svcs Rev--Managed Care"/>
    <s v="Cardiac Cath Services"/>
    <x v="0"/>
    <n v="1400"/>
    <n v="-301921.21000000002"/>
    <n v="-292483.03000000003"/>
    <n v="-184741.32"/>
    <n v="-349125.4"/>
    <n v="-162260.71"/>
    <n v="-383414.86"/>
    <n v="-309502.28000000003"/>
    <n v="-176331.21"/>
    <n v="-216783.61"/>
    <n v="-158867.07999999999"/>
    <n v="-165209.03"/>
    <n v="-487990.38"/>
    <n v="-3188630.1199999996"/>
    <n v="322781.34999999998"/>
  </r>
  <r>
    <x v="18"/>
    <x v="5"/>
    <x v="0"/>
    <s v="4920106"/>
    <n v="400010"/>
    <s v="Acute I/P Svcs Rev--Self Pay"/>
    <s v="Cardiac Cath Services"/>
    <x v="0"/>
    <n v="1500"/>
    <n v="-60122.97"/>
    <n v="-47930.65"/>
    <n v="39435.96"/>
    <n v="9693.83"/>
    <n v="-192993.31"/>
    <n v="0"/>
    <n v="-187887.64"/>
    <n v="86210.68"/>
    <n v="-23584.01"/>
    <n v="-2350.61"/>
    <n v="-102614.6"/>
    <n v="-26733.55"/>
    <n v="-508876.87000000005"/>
    <n v="-75881.05"/>
  </r>
  <r>
    <x v="18"/>
    <x v="5"/>
    <x v="0"/>
    <s v="4920106"/>
    <n v="400010"/>
    <s v="Acute I/P Svcs Rev--Other"/>
    <s v="Cardiac Cath Services"/>
    <x v="0"/>
    <n v="1700"/>
    <n v="-84817.21"/>
    <n v="-18575.07"/>
    <n v="-77724.09"/>
    <n v="-52156.61"/>
    <n v="0"/>
    <n v="0"/>
    <n v="-99705.34"/>
    <n v="-50112.19"/>
    <n v="0"/>
    <n v="-40136.949999999997"/>
    <n v="-73411.360000000001"/>
    <n v="-67991.64"/>
    <n v="-564630.46"/>
    <n v="-5419.7200000000012"/>
  </r>
  <r>
    <x v="19"/>
    <x v="5"/>
    <x v="0"/>
    <s v="4920106"/>
    <n v="400020"/>
    <s v="O/P Care Svcs Rev--Medicare"/>
    <s v="Cardiac Cath Services"/>
    <x v="0"/>
    <n v="1100"/>
    <n v="-1006567.16"/>
    <n v="-375525.92"/>
    <n v="-851475.72"/>
    <n v="-777313.69"/>
    <n v="-568409.49"/>
    <n v="-876324.17"/>
    <n v="-675768.8"/>
    <n v="-574673.86"/>
    <n v="-717554.03"/>
    <n v="-695423.97"/>
    <n v="-991047.52"/>
    <n v="-911815.18"/>
    <n v="-9021899.5099999998"/>
    <n v="-79232.339999999967"/>
  </r>
  <r>
    <x v="19"/>
    <x v="5"/>
    <x v="0"/>
    <s v="4920106"/>
    <n v="400020"/>
    <s v="O/P Care Svcs Rev--Medicaid"/>
    <s v="Cardiac Cath Services"/>
    <x v="0"/>
    <n v="1200"/>
    <n v="-370769.68"/>
    <n v="2616.6"/>
    <n v="-37171.53"/>
    <n v="-25851.3"/>
    <n v="-95892.99"/>
    <n v="-85232.51"/>
    <n v="34042.81"/>
    <n v="-298960.2"/>
    <n v="-90114.47"/>
    <n v="-153274.32"/>
    <n v="-215942.73"/>
    <n v="-129463.76"/>
    <n v="-1466014.08"/>
    <n v="-86478.970000000016"/>
  </r>
  <r>
    <x v="19"/>
    <x v="5"/>
    <x v="0"/>
    <s v="4920106"/>
    <n v="400020"/>
    <s v="O/P Care Svcs Rev--Comm Insurance"/>
    <s v="Cardiac Cath Services"/>
    <x v="0"/>
    <n v="1300"/>
    <n v="-36411.42"/>
    <n v="33223.339999999997"/>
    <n v="-41462.75"/>
    <n v="-56853.79"/>
    <n v="-27002.58"/>
    <n v="0"/>
    <n v="0"/>
    <n v="-124572.24"/>
    <n v="16073.85"/>
    <n v="-25548.51"/>
    <n v="-25390.99"/>
    <n v="0"/>
    <n v="-287945.08999999997"/>
    <n v="-25390.99"/>
  </r>
  <r>
    <x v="19"/>
    <x v="5"/>
    <x v="0"/>
    <s v="4920106"/>
    <n v="400020"/>
    <s v="O/P Care Svcs Rev--BCBS Comm"/>
    <s v="Cardiac Cath Services"/>
    <x v="0"/>
    <n v="1301"/>
    <n v="-237548.01"/>
    <n v="50454.6"/>
    <n v="-12684.3"/>
    <n v="-147733.01"/>
    <n v="-38353.67"/>
    <n v="-167820.29"/>
    <n v="-67630.2"/>
    <n v="-1787.11"/>
    <n v="-40726.29"/>
    <n v="-109709.66"/>
    <n v="-89792.52"/>
    <n v="-131017.45"/>
    <n v="-994347.90999999992"/>
    <n v="41224.929999999993"/>
  </r>
  <r>
    <x v="19"/>
    <x v="5"/>
    <x v="0"/>
    <s v="4920106"/>
    <n v="400020"/>
    <s v="O/P Care Svcs Rev--Managed Care"/>
    <s v="Cardiac Cath Services"/>
    <x v="0"/>
    <n v="1400"/>
    <n v="-438187.41"/>
    <n v="13719.93"/>
    <n v="-173159.44"/>
    <n v="-138273.17000000001"/>
    <n v="-290720.61"/>
    <n v="-197348.31"/>
    <n v="-92351.53"/>
    <n v="-149632.69"/>
    <n v="-135619.10999999999"/>
    <n v="-250996.45"/>
    <n v="-220153.84"/>
    <n v="-269648.28000000003"/>
    <n v="-2342370.91"/>
    <n v="49494.440000000031"/>
  </r>
  <r>
    <x v="19"/>
    <x v="5"/>
    <x v="0"/>
    <s v="4920106"/>
    <n v="400020"/>
    <s v="O/P Care Svcs Rev--Self Pay"/>
    <s v="Cardiac Cath Services"/>
    <x v="0"/>
    <n v="1500"/>
    <n v="-233808.34"/>
    <n v="73769.41"/>
    <n v="0"/>
    <n v="-1924.38"/>
    <n v="479.52"/>
    <n v="-16706.37"/>
    <n v="-46321.2"/>
    <n v="47364.53"/>
    <n v="-37409.54"/>
    <n v="-50084.95"/>
    <n v="-23695.01"/>
    <n v="-3005.43"/>
    <n v="-291341.76"/>
    <n v="-20689.579999999998"/>
  </r>
  <r>
    <x v="19"/>
    <x v="5"/>
    <x v="0"/>
    <s v="4920106"/>
    <n v="400020"/>
    <s v="O/P Care Svcs Rev--Other"/>
    <s v="Cardiac Cath Services"/>
    <x v="0"/>
    <n v="1700"/>
    <n v="-15718.77"/>
    <n v="7524.7"/>
    <n v="-4274.1000000000004"/>
    <n v="-2913.56"/>
    <n v="-3544.28"/>
    <n v="-7336.19"/>
    <n v="-6307.09"/>
    <n v="-17422.310000000001"/>
    <n v="-14246.11"/>
    <n v="-35927.97"/>
    <n v="-1787.91"/>
    <n v="-3575.82"/>
    <n v="-105529.41"/>
    <n v="1787.91"/>
  </r>
  <r>
    <x v="14"/>
    <x v="5"/>
    <x v="0"/>
    <s v="4920106"/>
    <n v="600050"/>
    <s v="Miscellaneous Revenue"/>
    <s v="Cardiac Cath Services"/>
    <x v="0"/>
    <m/>
    <n v="-10964.62"/>
    <n v="6256.1"/>
    <n v="0"/>
    <n v="0"/>
    <n v="-5168.8900000000003"/>
    <n v="-206.5"/>
    <n v="206.5"/>
    <n v="0"/>
    <n v="0"/>
    <n v="0"/>
    <n v="-138.49"/>
    <n v="502.52"/>
    <n v="-9513.3799999999992"/>
    <n v="-641.01"/>
  </r>
  <r>
    <x v="5"/>
    <x v="5"/>
    <x v="0"/>
    <s v="4920106"/>
    <n v="700026"/>
    <s v="Salaries-RN-Productive"/>
    <s v="Cardiac Cath Services"/>
    <x v="0"/>
    <m/>
    <n v="19727.490000000002"/>
    <n v="26579.26"/>
    <n v="20353.55"/>
    <n v="23123.75"/>
    <n v="25734.02"/>
    <n v="18521.75"/>
    <n v="18255.849999999999"/>
    <n v="13897.03"/>
    <n v="8444.85"/>
    <n v="3833.55"/>
    <n v="3721.39"/>
    <n v="2656.74"/>
    <n v="184849.23"/>
    <n v="1064.6500000000001"/>
  </r>
  <r>
    <x v="5"/>
    <x v="5"/>
    <x v="0"/>
    <s v="4920106"/>
    <n v="700026"/>
    <s v="Salaries-RN-OT"/>
    <s v="Cardiac Cath Services"/>
    <x v="0"/>
    <n v="1000"/>
    <n v="462.57"/>
    <n v="1281.92"/>
    <n v="80.47"/>
    <n v="1610.21"/>
    <n v="1585.43"/>
    <n v="506.58"/>
    <n v="702.05"/>
    <n v="1120.94"/>
    <n v="194.25"/>
    <n v="-19.13"/>
    <n v="441.75"/>
    <n v="183.25"/>
    <n v="8150.29"/>
    <n v="258.5"/>
  </r>
  <r>
    <x v="5"/>
    <x v="5"/>
    <x v="0"/>
    <s v="4920106"/>
    <n v="700026"/>
    <s v="Salaries-RN-Other"/>
    <s v="Cardiac Cath Services"/>
    <x v="0"/>
    <n v="2000"/>
    <n v="3994.56"/>
    <n v="4671.76"/>
    <n v="2825.06"/>
    <n v="4278.32"/>
    <n v="4367.47"/>
    <n v="3939.48"/>
    <n v="2621.79"/>
    <n v="2138.9699999999998"/>
    <n v="1737.4"/>
    <n v="380.21"/>
    <n v="886.21"/>
    <n v="447.4"/>
    <n v="32288.63"/>
    <n v="438.81000000000006"/>
  </r>
  <r>
    <x v="5"/>
    <x v="5"/>
    <x v="0"/>
    <s v="4920106"/>
    <n v="700034"/>
    <s v="Salaries-Tech/Professional-Productive"/>
    <s v="Cardiac Cath Services"/>
    <x v="0"/>
    <m/>
    <n v="14571.44"/>
    <n v="22311.79"/>
    <n v="20619.41"/>
    <n v="21682.82"/>
    <n v="30396.74"/>
    <n v="18810.7"/>
    <n v="25859.59"/>
    <n v="24496.05"/>
    <n v="20574.990000000002"/>
    <n v="20023.32"/>
    <n v="23036.83"/>
    <n v="16813.34"/>
    <n v="259197.02"/>
    <n v="6223.4900000000016"/>
  </r>
  <r>
    <x v="5"/>
    <x v="5"/>
    <x v="0"/>
    <s v="4920106"/>
    <n v="700034"/>
    <s v="Salaries-Tech/Professional-OT"/>
    <s v="Cardiac Cath Services"/>
    <x v="0"/>
    <n v="1000"/>
    <n v="1176.1600000000001"/>
    <n v="-203.05"/>
    <n v="812.75"/>
    <n v="633.71"/>
    <n v="1320.27"/>
    <n v="748.93"/>
    <n v="909.06"/>
    <n v="1230.8699999999999"/>
    <n v="259.39999999999998"/>
    <n v="1451.8"/>
    <n v="1208.78"/>
    <n v="1478.24"/>
    <n v="11026.92"/>
    <n v="-269.46000000000004"/>
  </r>
  <r>
    <x v="5"/>
    <x v="5"/>
    <x v="0"/>
    <s v="4920106"/>
    <n v="700034"/>
    <s v="Salaries-Tech/Professional-Other"/>
    <s v="Cardiac Cath Services"/>
    <x v="0"/>
    <n v="2000"/>
    <n v="1345.88"/>
    <n v="1849.67"/>
    <n v="2627.35"/>
    <n v="2118.1799999999998"/>
    <n v="3507.07"/>
    <n v="3579.8"/>
    <n v="3606.37"/>
    <n v="2802.12"/>
    <n v="1917.01"/>
    <n v="2127.1"/>
    <n v="2569.86"/>
    <n v="1959.23"/>
    <n v="30009.639999999996"/>
    <n v="610.63000000000011"/>
  </r>
  <r>
    <x v="5"/>
    <x v="5"/>
    <x v="0"/>
    <s v="4920106"/>
    <n v="700066"/>
    <s v="Salaries-RN-Non-productive"/>
    <s v="Cardiac Cath Services"/>
    <x v="0"/>
    <m/>
    <n v="1983.7"/>
    <n v="2550.56"/>
    <n v="1651.65"/>
    <n v="-314.62"/>
    <n v="0"/>
    <n v="5331.25"/>
    <n v="2145.25"/>
    <n v="2637.71"/>
    <n v="2487.63"/>
    <n v="382.11"/>
    <n v="-258.47000000000003"/>
    <n v="0"/>
    <n v="18596.77"/>
    <n v="-258.47000000000003"/>
  </r>
  <r>
    <x v="5"/>
    <x v="5"/>
    <x v="0"/>
    <s v="4920106"/>
    <n v="700066"/>
    <s v="Salaries-RN-NonProd-Other"/>
    <s v="Cardiac Cath Services"/>
    <x v="0"/>
    <n v="2000"/>
    <n v="782.64"/>
    <n v="512.73"/>
    <n v="505.48"/>
    <n v="645.74"/>
    <n v="332.58"/>
    <n v="1058.99"/>
    <n v="727.31"/>
    <n v="347.45"/>
    <n v="277.11"/>
    <n v="29.66"/>
    <n v="35.630000000000003"/>
    <n v="0"/>
    <n v="5255.3199999999988"/>
    <n v="35.630000000000003"/>
  </r>
  <r>
    <x v="5"/>
    <x v="5"/>
    <x v="0"/>
    <s v="4920106"/>
    <n v="700074"/>
    <s v="Salaries-Tech/Professional-Non-productive"/>
    <s v="Cardiac Cath Services"/>
    <x v="0"/>
    <m/>
    <n v="4659.7299999999996"/>
    <n v="1565.52"/>
    <n v="817.27"/>
    <n v="977.72"/>
    <n v="463.76"/>
    <n v="6398.94"/>
    <n v="1969.5"/>
    <n v="2315.5700000000002"/>
    <n v="1812.76"/>
    <n v="3487.86"/>
    <n v="1053.8900000000001"/>
    <n v="2132.04"/>
    <n v="27654.559999999998"/>
    <n v="-1078.1499999999999"/>
  </r>
  <r>
    <x v="5"/>
    <x v="5"/>
    <x v="0"/>
    <s v="4920106"/>
    <n v="700074"/>
    <s v="Salaries-Tech/Professional-NonProd-Other"/>
    <s v="Cardiac Cath Services"/>
    <x v="0"/>
    <n v="2000"/>
    <n v="395.59"/>
    <n v="785.25"/>
    <n v="906.4"/>
    <n v="473.1"/>
    <n v="236.96"/>
    <n v="1673.02"/>
    <n v="1135.8800000000001"/>
    <n v="586.98"/>
    <n v="-25.91"/>
    <n v="599.66"/>
    <n v="327.08"/>
    <n v="182.08"/>
    <n v="7276.09"/>
    <n v="144.99999999999997"/>
  </r>
  <r>
    <x v="5"/>
    <x v="5"/>
    <x v="0"/>
    <s v="4920106"/>
    <n v="700084"/>
    <s v="Accrued PTO"/>
    <s v="Cardiac Cath Services"/>
    <x v="0"/>
    <m/>
    <n v="-4130.28"/>
    <n v="210.8"/>
    <n v="1410.41"/>
    <n v="1765.06"/>
    <n v="3253.11"/>
    <n v="-1893.08"/>
    <n v="1240.99"/>
    <n v="-966.99"/>
    <n v="394"/>
    <n v="-1093.97"/>
    <n v="1725.16"/>
    <n v="580.33000000000004"/>
    <n v="2495.5400000000004"/>
    <n v="1144.83"/>
  </r>
  <r>
    <x v="10"/>
    <x v="5"/>
    <x v="0"/>
    <s v="4920106"/>
    <n v="710060"/>
    <s v="Contract Labor-Other"/>
    <s v="Cardiac Cath Services"/>
    <x v="0"/>
    <m/>
    <n v="21826.25"/>
    <n v="71095"/>
    <n v="37924"/>
    <n v="51456"/>
    <n v="30444.75"/>
    <n v="25461.01"/>
    <n v="2147.75"/>
    <n v="38362.85"/>
    <n v="33422.9"/>
    <n v="76130"/>
    <n v="127390.25"/>
    <n v="87803"/>
    <n v="603463.76"/>
    <n v="39587.25"/>
  </r>
  <r>
    <x v="10"/>
    <x v="5"/>
    <x v="0"/>
    <s v="4920106"/>
    <n v="710060"/>
    <s v="Contract Labor-Overtime"/>
    <s v="Cardiac Cath Services"/>
    <x v="0"/>
    <n v="5100"/>
    <n v="4885.32"/>
    <n v="14088.95"/>
    <n v="4080.37"/>
    <n v="7981.18"/>
    <n v="6557.97"/>
    <n v="3897.44"/>
    <n v="2084.7399999999998"/>
    <n v="7368.28"/>
    <n v="8008.21"/>
    <n v="15423.41"/>
    <n v="17559.099999999999"/>
    <n v="13508.44"/>
    <n v="105443.41"/>
    <n v="4050.659999999998"/>
  </r>
  <r>
    <x v="10"/>
    <x v="5"/>
    <x v="0"/>
    <s v="4920106"/>
    <n v="710060"/>
    <s v="Contract Labor-Standby Wages"/>
    <s v="Cardiac Cath Services"/>
    <x v="0"/>
    <n v="5101"/>
    <n v="2604"/>
    <n v="6870"/>
    <n v="3878"/>
    <n v="4774"/>
    <n v="3652"/>
    <n v="2496"/>
    <n v="476"/>
    <n v="4082"/>
    <n v="2652"/>
    <n v="6980"/>
    <n v="7254"/>
    <n v="5952"/>
    <n v="51670"/>
    <n v="1302"/>
  </r>
  <r>
    <x v="6"/>
    <x v="5"/>
    <x v="0"/>
    <s v="4920106"/>
    <n v="713010"/>
    <s v="Benefits-FICA/Medicare"/>
    <s v="Cardiac Cath Services"/>
    <x v="0"/>
    <m/>
    <n v="3734.4"/>
    <n v="4716.84"/>
    <n v="3882.51"/>
    <n v="4115.6000000000004"/>
    <n v="5120.71"/>
    <n v="3975.48"/>
    <n v="4563.78"/>
    <n v="3883.32"/>
    <n v="2817.56"/>
    <n v="2409.37"/>
    <n v="2506.13"/>
    <n v="1923.36"/>
    <n v="43649.06"/>
    <n v="582.77000000000021"/>
  </r>
  <r>
    <x v="6"/>
    <x v="5"/>
    <x v="0"/>
    <s v="4920106"/>
    <n v="713090"/>
    <s v="Benefits-Allocated Amounts"/>
    <s v="Cardiac Cath Services"/>
    <x v="0"/>
    <m/>
    <n v="8801.85"/>
    <n v="11661.48"/>
    <n v="9920.11"/>
    <n v="10164.98"/>
    <n v="12903.92"/>
    <n v="10860.45"/>
    <n v="10876.13"/>
    <n v="10040.42"/>
    <n v="7218.2"/>
    <n v="6501.8"/>
    <n v="6066.2"/>
    <n v="5019.8999999999996"/>
    <n v="110035.43999999999"/>
    <n v="1046.3000000000002"/>
  </r>
  <r>
    <x v="17"/>
    <x v="5"/>
    <x v="0"/>
    <s v="4920106"/>
    <n v="714520"/>
    <s v="Other Contracted Professionals"/>
    <s v="Cardiac Cath Services"/>
    <x v="0"/>
    <m/>
    <n v="0"/>
    <n v="0"/>
    <n v="0"/>
    <n v="0"/>
    <n v="0"/>
    <n v="0"/>
    <n v="0"/>
    <n v="0"/>
    <n v="0"/>
    <n v="0"/>
    <n v="0"/>
    <n v="12600"/>
    <n v="12600"/>
    <n v="-12600"/>
  </r>
  <r>
    <x v="7"/>
    <x v="5"/>
    <x v="0"/>
    <s v="4920106"/>
    <n v="718050"/>
    <s v="Contract Svcs-Other"/>
    <s v="Cardiac Cath Services"/>
    <x v="0"/>
    <m/>
    <n v="0"/>
    <n v="0"/>
    <n v="0"/>
    <n v="67.98"/>
    <n v="0"/>
    <n v="0"/>
    <n v="33.99"/>
    <n v="0"/>
    <n v="33.99"/>
    <n v="0"/>
    <n v="0"/>
    <n v="0"/>
    <n v="135.96"/>
    <n v="0"/>
  </r>
  <r>
    <x v="7"/>
    <x v="5"/>
    <x v="0"/>
    <s v="4920106"/>
    <n v="718050"/>
    <s v="Miscellaneous Purchased Svcs"/>
    <s v="Cardiac Cath Services"/>
    <x v="0"/>
    <n v="1020"/>
    <n v="33.99"/>
    <n v="118.49"/>
    <n v="102.99"/>
    <n v="33.99"/>
    <n v="127.79"/>
    <n v="33.99"/>
    <n v="25.87"/>
    <n v="33.99"/>
    <n v="0"/>
    <n v="55.99"/>
    <n v="33.99"/>
    <n v="33.99"/>
    <n v="635.07000000000005"/>
    <n v="0"/>
  </r>
  <r>
    <x v="7"/>
    <x v="5"/>
    <x v="0"/>
    <s v="4920106"/>
    <n v="718050"/>
    <s v="Translation Services"/>
    <s v="Cardiac Cath Services"/>
    <x v="0"/>
    <n v="1025"/>
    <n v="0"/>
    <n v="0"/>
    <n v="0"/>
    <n v="152"/>
    <n v="1248"/>
    <n v="64"/>
    <n v="63.99"/>
    <n v="0"/>
    <n v="0"/>
    <n v="0"/>
    <n v="0"/>
    <n v="0"/>
    <n v="1527.99"/>
    <n v="0"/>
  </r>
  <r>
    <x v="7"/>
    <x v="5"/>
    <x v="0"/>
    <s v="4920106"/>
    <n v="718050"/>
    <s v="Contract Management--Linen"/>
    <s v="Cardiac Cath Services"/>
    <x v="0"/>
    <n v="1026"/>
    <n v="853.65"/>
    <n v="647.01"/>
    <n v="798.9"/>
    <n v="855.12"/>
    <n v="1023.58"/>
    <n v="981.2"/>
    <n v="806.24"/>
    <n v="896.11"/>
    <n v="738.91"/>
    <n v="793.7"/>
    <n v="1076.54"/>
    <n v="504.14"/>
    <n v="9975.0999999999985"/>
    <n v="572.4"/>
  </r>
  <r>
    <x v="7"/>
    <x v="5"/>
    <x v="0"/>
    <s v="4920106"/>
    <n v="718050"/>
    <s v="Purchased Srvcs--Medical Waste"/>
    <s v="Cardiac Cath Services"/>
    <x v="0"/>
    <n v="1027"/>
    <n v="0"/>
    <n v="0"/>
    <n v="461.94"/>
    <n v="44.04"/>
    <n v="0"/>
    <n v="0"/>
    <n v="0"/>
    <n v="40.479999999999997"/>
    <n v="209.89"/>
    <n v="207.04"/>
    <n v="0"/>
    <n v="0"/>
    <n v="963.39"/>
    <n v="0"/>
  </r>
  <r>
    <x v="7"/>
    <x v="5"/>
    <x v="0"/>
    <s v="4920106"/>
    <n v="718070"/>
    <s v="Contract Srvcs-CHI Clinical Engineering"/>
    <s v="Cardiac Cath Services"/>
    <x v="0"/>
    <m/>
    <n v="3751.54"/>
    <n v="3751.54"/>
    <n v="3751.54"/>
    <n v="3751.54"/>
    <n v="3751.54"/>
    <n v="3751.54"/>
    <n v="6434.88"/>
    <n v="1068.2"/>
    <n v="3751.54"/>
    <n v="3751.54"/>
    <n v="3751.54"/>
    <n v="3751.54"/>
    <n v="45018.48"/>
    <n v="0"/>
  </r>
  <r>
    <x v="7"/>
    <x v="5"/>
    <x v="0"/>
    <s v="4920106"/>
    <n v="718091"/>
    <s v="Contract Services-Intracompany Allocation"/>
    <s v="Cardiac Cath Services"/>
    <x v="0"/>
    <m/>
    <n v="7253.07"/>
    <n v="8521.52"/>
    <n v="6417.56"/>
    <n v="9447.7999999999993"/>
    <n v="7421.67"/>
    <n v="10246.4"/>
    <n v="9877.57"/>
    <n v="9796.58"/>
    <n v="10239.120000000001"/>
    <n v="4032.9"/>
    <n v="10670.68"/>
    <n v="8587.0499999999993"/>
    <n v="102511.92"/>
    <n v="2083.630000000001"/>
  </r>
  <r>
    <x v="11"/>
    <x v="5"/>
    <x v="0"/>
    <s v="4920106"/>
    <n v="721010"/>
    <s v="Supplies-Medical - Billable"/>
    <s v="Cardiac Cath Services"/>
    <x v="0"/>
    <m/>
    <n v="2171.58"/>
    <n v="2487.9499999999998"/>
    <n v="1997.45"/>
    <n v="4600.91"/>
    <n v="18175.330000000002"/>
    <n v="3071.94"/>
    <n v="9485.4500000000007"/>
    <n v="1658.9"/>
    <n v="6452.85"/>
    <n v="337.2"/>
    <n v="3865.75"/>
    <n v="12038.89"/>
    <n v="66344.2"/>
    <n v="-8173.1399999999994"/>
  </r>
  <r>
    <x v="11"/>
    <x v="5"/>
    <x v="0"/>
    <s v="4920106"/>
    <n v="721010"/>
    <s v="Patient Monitoring"/>
    <s v="Cardiac Cath Services"/>
    <x v="0"/>
    <n v="1000"/>
    <n v="2836.54"/>
    <n v="12114.13"/>
    <n v="787.45"/>
    <n v="660.94"/>
    <n v="3462.91"/>
    <n v="3851.14"/>
    <n v="3018.94"/>
    <n v="4064.05"/>
    <n v="3726.9"/>
    <n v="3390.35"/>
    <n v="3194.11"/>
    <n v="3674"/>
    <n v="44781.459999999992"/>
    <n v="-479.88999999999987"/>
  </r>
  <r>
    <x v="11"/>
    <x v="5"/>
    <x v="0"/>
    <s v="4920106"/>
    <n v="721020"/>
    <s v="Supplies-Surgical - Billable"/>
    <s v="Cardiac Cath Services"/>
    <x v="0"/>
    <m/>
    <n v="6158.89"/>
    <n v="9858.85"/>
    <n v="2008.86"/>
    <n v="4094.39"/>
    <n v="187.07"/>
    <n v="1560.22"/>
    <n v="3236.72"/>
    <n v="1769.9"/>
    <n v="5360.99"/>
    <n v="6581.84"/>
    <n v="1796.91"/>
    <n v="169.12"/>
    <n v="42783.760000000017"/>
    <n v="1627.79"/>
  </r>
  <r>
    <x v="11"/>
    <x v="5"/>
    <x v="0"/>
    <s v="4920106"/>
    <n v="721020"/>
    <s v="Custom Packs"/>
    <s v="Cardiac Cath Services"/>
    <x v="0"/>
    <n v="1000"/>
    <n v="2337.9899999999998"/>
    <n v="4784.66"/>
    <n v="3511.2"/>
    <n v="2784.91"/>
    <n v="2792.55"/>
    <n v="3753.79"/>
    <n v="3339.86"/>
    <n v="3752.96"/>
    <n v="3330.54"/>
    <n v="3137.31"/>
    <n v="3942.02"/>
    <n v="3765.29"/>
    <n v="41233.079999999994"/>
    <n v="176.73000000000002"/>
  </r>
  <r>
    <x v="11"/>
    <x v="5"/>
    <x v="0"/>
    <s v="4920106"/>
    <n v="721020"/>
    <s v="Suture/Wound Closure"/>
    <s v="Cardiac Cath Services"/>
    <x v="0"/>
    <n v="1001"/>
    <n v="2066.46"/>
    <n v="223.26"/>
    <n v="312.66000000000003"/>
    <n v="453.12"/>
    <n v="266.91000000000003"/>
    <n v="169.68"/>
    <n v="309.58"/>
    <n v="54.12"/>
    <n v="1309.3900000000001"/>
    <n v="701.75"/>
    <n v="895.73"/>
    <n v="-58.44"/>
    <n v="6704.22"/>
    <n v="954.17000000000007"/>
  </r>
  <r>
    <x v="11"/>
    <x v="5"/>
    <x v="0"/>
    <s v="4920106"/>
    <n v="721020"/>
    <s v="Endomechanical Supplies &amp; Instruments"/>
    <s v="Cardiac Cath Services"/>
    <x v="0"/>
    <n v="1003"/>
    <n v="1144"/>
    <n v="0"/>
    <n v="0"/>
    <n v="544.12"/>
    <n v="-104"/>
    <n v="1716"/>
    <n v="-327.60000000000002"/>
    <n v="0"/>
    <n v="0"/>
    <n v="0"/>
    <n v="509.08"/>
    <n v="0"/>
    <n v="3481.6"/>
    <n v="509.08"/>
  </r>
  <r>
    <x v="11"/>
    <x v="5"/>
    <x v="0"/>
    <s v="4920106"/>
    <n v="721020"/>
    <s v="Bone Cement &amp; Supplies"/>
    <s v="Cardiac Cath Services"/>
    <x v="0"/>
    <n v="1004"/>
    <n v="0"/>
    <n v="0"/>
    <n v="0"/>
    <n v="1650"/>
    <n v="1100"/>
    <n v="1100"/>
    <n v="0"/>
    <n v="0"/>
    <n v="0"/>
    <n v="0"/>
    <n v="0"/>
    <n v="2255.7199999999998"/>
    <n v="6105.7199999999993"/>
    <n v="-2255.7199999999998"/>
  </r>
  <r>
    <x v="11"/>
    <x v="5"/>
    <x v="0"/>
    <s v="4920106"/>
    <n v="721020"/>
    <s v="Urological Supplies"/>
    <s v="Cardiac Cath Services"/>
    <x v="0"/>
    <n v="1006"/>
    <n v="0"/>
    <n v="338.75"/>
    <n v="0"/>
    <n v="0"/>
    <n v="0"/>
    <n v="85.33"/>
    <n v="542"/>
    <n v="2500"/>
    <n v="209.3"/>
    <n v="0"/>
    <n v="0"/>
    <n v="2703.26"/>
    <n v="6378.64"/>
    <n v="-2703.26"/>
  </r>
  <r>
    <x v="11"/>
    <x v="5"/>
    <x v="0"/>
    <s v="4920106"/>
    <n v="721020"/>
    <s v="Surgical Cardiovascular"/>
    <s v="Cardiac Cath Services"/>
    <x v="0"/>
    <n v="1007"/>
    <n v="45.78"/>
    <n v="27477.5"/>
    <n v="0"/>
    <n v="13865"/>
    <n v="0"/>
    <n v="10219"/>
    <n v="3399"/>
    <n v="0"/>
    <n v="12050"/>
    <n v="288.3"/>
    <n v="10153"/>
    <n v="10219"/>
    <n v="87716.58"/>
    <n v="-66"/>
  </r>
  <r>
    <x v="11"/>
    <x v="5"/>
    <x v="0"/>
    <s v="4920106"/>
    <n v="721020"/>
    <s v="Tubes Drains &amp; Related Supplies"/>
    <s v="Cardiac Cath Services"/>
    <x v="0"/>
    <n v="1008"/>
    <n v="0"/>
    <n v="88"/>
    <n v="1554.88"/>
    <n v="0"/>
    <n v="0"/>
    <n v="1816.98"/>
    <n v="147.76"/>
    <n v="0"/>
    <n v="0"/>
    <n v="176"/>
    <n v="318.39999999999998"/>
    <n v="536.49"/>
    <n v="4638.5099999999993"/>
    <n v="-218.09000000000003"/>
  </r>
  <r>
    <x v="11"/>
    <x v="5"/>
    <x v="0"/>
    <s v="4920106"/>
    <n v="721050"/>
    <s v="Supplies-Cardiac Rhythm - Billable"/>
    <s v="Cardiac Cath Services"/>
    <x v="0"/>
    <m/>
    <n v="80279.41"/>
    <n v="71703.25"/>
    <n v="43162.48"/>
    <n v="50543.38"/>
    <n v="60198.18"/>
    <n v="65097.24"/>
    <n v="92288.5"/>
    <n v="50897.89"/>
    <n v="53037.38"/>
    <n v="63450.52"/>
    <n v="65510.42"/>
    <n v="52181.19"/>
    <n v="748349.84000000008"/>
    <n v="13329.229999999996"/>
  </r>
  <r>
    <x v="11"/>
    <x v="5"/>
    <x v="0"/>
    <s v="4920106"/>
    <n v="721050"/>
    <s v="Pacemakers - Internal"/>
    <s v="Cardiac Cath Services"/>
    <x v="0"/>
    <n v="1000"/>
    <n v="12662"/>
    <n v="27787.19"/>
    <n v="44980.2"/>
    <n v="15051.6"/>
    <n v="83601.47"/>
    <n v="22053.8"/>
    <n v="7626.3"/>
    <n v="35247.519999999997"/>
    <n v="10801.16"/>
    <n v="38092.699999999997"/>
    <n v="16499.8"/>
    <n v="7514.7"/>
    <n v="321918.44"/>
    <n v="8985.0999999999985"/>
  </r>
  <r>
    <x v="11"/>
    <x v="5"/>
    <x v="0"/>
    <s v="4920106"/>
    <n v="721050"/>
    <s v="AICD"/>
    <s v="Cardiac Cath Services"/>
    <x v="0"/>
    <n v="1001"/>
    <n v="0"/>
    <n v="0"/>
    <n v="0"/>
    <n v="0"/>
    <n v="0"/>
    <n v="0"/>
    <n v="0"/>
    <n v="20610"/>
    <n v="0"/>
    <n v="0"/>
    <n v="0"/>
    <n v="0"/>
    <n v="20610"/>
    <n v="0"/>
  </r>
  <r>
    <x v="11"/>
    <x v="5"/>
    <x v="0"/>
    <s v="4920106"/>
    <n v="721050"/>
    <s v="Electrophysiology Products"/>
    <s v="Cardiac Cath Services"/>
    <x v="0"/>
    <n v="1002"/>
    <n v="4398.8999999999996"/>
    <n v="0"/>
    <n v="0"/>
    <n v="0"/>
    <n v="-27.5"/>
    <n v="0"/>
    <n v="0"/>
    <n v="0"/>
    <n v="0"/>
    <n v="0"/>
    <n v="0"/>
    <n v="0"/>
    <n v="4371.3999999999996"/>
    <n v="0"/>
  </r>
  <r>
    <x v="11"/>
    <x v="5"/>
    <x v="0"/>
    <s v="4920106"/>
    <n v="721070"/>
    <s v="Supplies-Stents - Billable"/>
    <s v="Cardiac Cath Services"/>
    <x v="0"/>
    <m/>
    <n v="14000"/>
    <n v="13580"/>
    <n v="1615"/>
    <n v="4905"/>
    <n v="14850"/>
    <n v="3790"/>
    <n v="12890"/>
    <n v="15580"/>
    <n v="4811.45"/>
    <n v="6533.55"/>
    <n v="15705"/>
    <n v="3160"/>
    <n v="111420"/>
    <n v="12545"/>
  </r>
  <r>
    <x v="11"/>
    <x v="5"/>
    <x v="0"/>
    <s v="4920106"/>
    <n v="721070"/>
    <s v="Coronary Stents DES"/>
    <s v="Cardiac Cath Services"/>
    <x v="0"/>
    <n v="1000"/>
    <n v="7200"/>
    <n v="16200"/>
    <n v="5475.43"/>
    <n v="4500"/>
    <n v="23400"/>
    <n v="7200"/>
    <n v="22500"/>
    <n v="20700"/>
    <n v="9000"/>
    <n v="4500"/>
    <n v="13500"/>
    <n v="3600"/>
    <n v="137775.43"/>
    <n v="9900"/>
  </r>
  <r>
    <x v="11"/>
    <x v="5"/>
    <x v="0"/>
    <s v="4920106"/>
    <n v="721070"/>
    <s v="Peripheral Stents"/>
    <s v="Cardiac Cath Services"/>
    <x v="0"/>
    <n v="1001"/>
    <n v="6193.9"/>
    <n v="2349.9"/>
    <n v="1250"/>
    <n v="6190"/>
    <n v="6734.5"/>
    <n v="695"/>
    <n v="3236.26"/>
    <n v="3031.26"/>
    <n v="625"/>
    <n v="7170"/>
    <n v="10369"/>
    <n v="1390"/>
    <n v="49234.82"/>
    <n v="8979"/>
  </r>
  <r>
    <x v="11"/>
    <x v="5"/>
    <x v="0"/>
    <s v="4920106"/>
    <n v="721110"/>
    <s v="Supplies-Grafts - Billable"/>
    <s v="Cardiac Cath Services"/>
    <x v="0"/>
    <m/>
    <n v="0"/>
    <n v="0"/>
    <n v="0"/>
    <n v="2721"/>
    <n v="209"/>
    <n v="0"/>
    <n v="2441"/>
    <n v="4636"/>
    <n v="562"/>
    <n v="4754"/>
    <n v="118"/>
    <n v="4754"/>
    <n v="20195"/>
    <n v="-4636"/>
  </r>
  <r>
    <x v="11"/>
    <x v="5"/>
    <x v="0"/>
    <s v="4920106"/>
    <n v="721120"/>
    <s v="Hip Prosthesis"/>
    <s v="Cardiac Cath Services"/>
    <x v="0"/>
    <n v="1000"/>
    <n v="0"/>
    <n v="0"/>
    <n v="0"/>
    <n v="0"/>
    <n v="0"/>
    <n v="0"/>
    <n v="0"/>
    <n v="3950"/>
    <n v="8745"/>
    <n v="0"/>
    <n v="0"/>
    <n v="0"/>
    <n v="12695"/>
    <n v="0"/>
  </r>
  <r>
    <x v="11"/>
    <x v="5"/>
    <x v="0"/>
    <s v="4920106"/>
    <n v="721240"/>
    <s v="Supplies-IV Solutions/Supplies - Billable"/>
    <s v="Cardiac Cath Services"/>
    <x v="0"/>
    <m/>
    <n v="15189.59"/>
    <n v="9720.9500000000007"/>
    <n v="4336.51"/>
    <n v="11651.32"/>
    <n v="1649.74"/>
    <n v="22749.57"/>
    <n v="7813.91"/>
    <n v="8560.23"/>
    <n v="2881.81"/>
    <n v="802.99"/>
    <n v="6968.46"/>
    <n v="-5077.2299999999996"/>
    <n v="87247.85"/>
    <n v="12045.689999999999"/>
  </r>
  <r>
    <x v="11"/>
    <x v="5"/>
    <x v="0"/>
    <s v="4920106"/>
    <n v="721250"/>
    <s v="Supplies-Pharmacy Drugs - Billable"/>
    <s v="Cardiac Cath Services"/>
    <x v="0"/>
    <m/>
    <n v="2506.69"/>
    <n v="1350.75"/>
    <n v="1184.44"/>
    <n v="3816.77"/>
    <n v="779.24"/>
    <n v="4927.95"/>
    <n v="5010.1400000000003"/>
    <n v="1351.53"/>
    <n v="2481.0700000000002"/>
    <n v="4911.66"/>
    <n v="2012"/>
    <n v="661.95"/>
    <n v="30994.19"/>
    <n v="1350.05"/>
  </r>
  <r>
    <x v="11"/>
    <x v="5"/>
    <x v="0"/>
    <s v="4920106"/>
    <n v="721350"/>
    <s v="Radiology Imaging - Contrast Media"/>
    <s v="Cardiac Cath Services"/>
    <x v="0"/>
    <n v="1000"/>
    <n v="0"/>
    <n v="60"/>
    <n v="6"/>
    <n v="0"/>
    <n v="0"/>
    <n v="0"/>
    <n v="0"/>
    <n v="0"/>
    <n v="0"/>
    <n v="0"/>
    <n v="1440"/>
    <n v="-1518"/>
    <n v="-12"/>
    <n v="2958"/>
  </r>
  <r>
    <x v="11"/>
    <x v="5"/>
    <x v="0"/>
    <s v="4920106"/>
    <n v="721410"/>
    <s v="Supplies-Medical - Nonbillable"/>
    <s v="Cardiac Cath Services"/>
    <x v="0"/>
    <m/>
    <n v="1672.74"/>
    <n v="2202.88"/>
    <n v="1175.69"/>
    <n v="1908.44"/>
    <n v="1878.03"/>
    <n v="2755.34"/>
    <n v="1611.91"/>
    <n v="1684.9"/>
    <n v="1813.05"/>
    <n v="69703.03"/>
    <n v="1404.12"/>
    <n v="2938.11"/>
    <n v="90748.239999999991"/>
    <n v="-1533.9900000000002"/>
  </r>
  <r>
    <x v="11"/>
    <x v="5"/>
    <x v="0"/>
    <s v="4920106"/>
    <n v="721420"/>
    <s v="Supplies-Surgical Nonbillable"/>
    <s v="Cardiac Cath Services"/>
    <x v="0"/>
    <m/>
    <n v="1914.13"/>
    <n v="2243.27"/>
    <n v="1306.08"/>
    <n v="2547.7600000000002"/>
    <n v="2395.41"/>
    <n v="2347.67"/>
    <n v="1841.87"/>
    <n v="2293.0100000000002"/>
    <n v="1365.18"/>
    <n v="1968.8"/>
    <n v="1732.8"/>
    <n v="1613.84"/>
    <n v="23569.819999999996"/>
    <n v="118.96000000000004"/>
  </r>
  <r>
    <x v="11"/>
    <x v="5"/>
    <x v="0"/>
    <s v="4920106"/>
    <n v="721420"/>
    <s v="Tubes Drains &amp; Related Supplies"/>
    <s v="Cardiac Cath Services"/>
    <x v="0"/>
    <n v="1008"/>
    <n v="9.81"/>
    <n v="15.09"/>
    <n v="0"/>
    <n v="28.85"/>
    <n v="0"/>
    <n v="24.9"/>
    <n v="0"/>
    <n v="20.48"/>
    <n v="0"/>
    <n v="-13.21"/>
    <n v="109.89"/>
    <n v="0"/>
    <n v="195.81"/>
    <n v="109.89"/>
  </r>
  <r>
    <x v="11"/>
    <x v="5"/>
    <x v="0"/>
    <s v="4920106"/>
    <n v="721420"/>
    <s v="Sterilization Process Products"/>
    <s v="Cardiac Cath Services"/>
    <x v="0"/>
    <n v="1009"/>
    <n v="0"/>
    <n v="0"/>
    <n v="0"/>
    <n v="0"/>
    <n v="0"/>
    <n v="0"/>
    <n v="0"/>
    <n v="0"/>
    <n v="59.49"/>
    <n v="61.87"/>
    <n v="0"/>
    <n v="0"/>
    <n v="121.36"/>
    <n v="0"/>
  </r>
  <r>
    <x v="11"/>
    <x v="5"/>
    <x v="0"/>
    <s v="4920106"/>
    <n v="721610"/>
    <s v="Supplies-Anesthesia - Nonbillable"/>
    <s v="Cardiac Cath Services"/>
    <x v="0"/>
    <m/>
    <n v="40.700000000000003"/>
    <n v="62.11"/>
    <n v="21.89"/>
    <n v="47.38"/>
    <n v="59.38"/>
    <n v="46.8"/>
    <n v="39"/>
    <n v="47.94"/>
    <n v="37.25"/>
    <n v="59.58"/>
    <n v="47.15"/>
    <n v="985.57"/>
    <n v="1494.75"/>
    <n v="-938.42000000000007"/>
  </r>
  <r>
    <x v="11"/>
    <x v="5"/>
    <x v="0"/>
    <s v="4920106"/>
    <n v="721640"/>
    <s v="Supplies-IV Solutions/Supplies - Nonbillable"/>
    <s v="Cardiac Cath Services"/>
    <x v="0"/>
    <m/>
    <n v="358.68"/>
    <n v="1599.21"/>
    <n v="1088.05"/>
    <n v="1377.86"/>
    <n v="875.1"/>
    <n v="897.41"/>
    <n v="542.44000000000005"/>
    <n v="847.69"/>
    <n v="524.44000000000005"/>
    <n v="877.66"/>
    <n v="1431.48"/>
    <n v="860.86"/>
    <n v="11280.880000000001"/>
    <n v="570.62"/>
  </r>
  <r>
    <x v="11"/>
    <x v="5"/>
    <x v="0"/>
    <s v="4920106"/>
    <n v="721650"/>
    <s v="Supplies-Pharmacy Drugs - Nonbillable"/>
    <s v="Cardiac Cath Services"/>
    <x v="0"/>
    <m/>
    <n v="0"/>
    <n v="0"/>
    <n v="0"/>
    <n v="1.92"/>
    <n v="0.53"/>
    <n v="1.54"/>
    <n v="0.48"/>
    <n v="0.53"/>
    <n v="1.49"/>
    <n v="0.53"/>
    <n v="1.44"/>
    <n v="0"/>
    <n v="8.4600000000000009"/>
    <n v="1.44"/>
  </r>
  <r>
    <x v="11"/>
    <x v="5"/>
    <x v="0"/>
    <s v="4920106"/>
    <n v="721710"/>
    <s v="Supplies-Laboratory - Nonbillable"/>
    <s v="Cardiac Cath Services"/>
    <x v="0"/>
    <m/>
    <n v="55.65"/>
    <n v="0"/>
    <n v="8.81"/>
    <n v="7.99"/>
    <n v="2.61"/>
    <n v="0"/>
    <n v="985.77"/>
    <n v="-587.17999999999995"/>
    <n v="3.91"/>
    <n v="988.06"/>
    <n v="18.96"/>
    <n v="9.68"/>
    <n v="1494.26"/>
    <n v="9.2800000000000011"/>
  </r>
  <r>
    <x v="11"/>
    <x v="5"/>
    <x v="0"/>
    <s v="4920106"/>
    <n v="721710"/>
    <s v="Reagents"/>
    <s v="Cardiac Cath Services"/>
    <x v="0"/>
    <n v="1000"/>
    <n v="1609.41"/>
    <n v="0"/>
    <n v="0"/>
    <n v="-276.38"/>
    <n v="192.65"/>
    <n v="0"/>
    <n v="0"/>
    <n v="921.46"/>
    <n v="0"/>
    <n v="268.08"/>
    <n v="492.95"/>
    <n v="0"/>
    <n v="3208.17"/>
    <n v="492.95"/>
  </r>
  <r>
    <x v="11"/>
    <x v="5"/>
    <x v="0"/>
    <s v="4920106"/>
    <n v="721750"/>
    <s v="Supplies-Film/Radiographic - Nonbillable"/>
    <s v="Cardiac Cath Services"/>
    <x v="0"/>
    <m/>
    <n v="1517.68"/>
    <n v="218.74"/>
    <n v="916.42"/>
    <n v="1467.8"/>
    <n v="0"/>
    <n v="2028.36"/>
    <n v="480.08"/>
    <n v="2307.3200000000002"/>
    <n v="11"/>
    <n v="2434.9699999999998"/>
    <n v="46.33"/>
    <n v="-1090.72"/>
    <n v="10337.98"/>
    <n v="1137.05"/>
  </r>
  <r>
    <x v="11"/>
    <x v="5"/>
    <x v="0"/>
    <s v="4920106"/>
    <n v="721810"/>
    <s v="Supplies-Dietary/Cafeteria"/>
    <s v="Cardiac Cath Services"/>
    <x v="0"/>
    <m/>
    <n v="63.51"/>
    <n v="64.5"/>
    <n v="49.49"/>
    <n v="41.91"/>
    <n v="265.85000000000002"/>
    <n v="277.14"/>
    <n v="174.53"/>
    <n v="145.26"/>
    <n v="258.27"/>
    <n v="145.82"/>
    <n v="251.96"/>
    <n v="302.86"/>
    <n v="2041.1"/>
    <n v="-50.900000000000006"/>
  </r>
  <r>
    <x v="11"/>
    <x v="5"/>
    <x v="0"/>
    <s v="4920106"/>
    <n v="721830"/>
    <s v="Supplies-Office"/>
    <s v="Cardiac Cath Services"/>
    <x v="0"/>
    <m/>
    <n v="3.3"/>
    <n v="314.38"/>
    <n v="665.75"/>
    <n v="360.3"/>
    <n v="808.41"/>
    <n v="330.19"/>
    <n v="108.7"/>
    <n v="3072.89"/>
    <n v="0"/>
    <n v="484.55"/>
    <n v="117.58"/>
    <n v="2100.7800000000002"/>
    <n v="8366.83"/>
    <n v="-1983.2000000000003"/>
  </r>
  <r>
    <x v="11"/>
    <x v="5"/>
    <x v="0"/>
    <s v="4920106"/>
    <n v="721835"/>
    <s v="Supplies-Forms"/>
    <s v="Cardiac Cath Services"/>
    <x v="0"/>
    <m/>
    <n v="0"/>
    <n v="0"/>
    <n v="0"/>
    <n v="0"/>
    <n v="29.79"/>
    <n v="0"/>
    <n v="31.7"/>
    <n v="0"/>
    <n v="0"/>
    <n v="0.5"/>
    <n v="0"/>
    <n v="0"/>
    <n v="61.989999999999995"/>
    <n v="0"/>
  </r>
  <r>
    <x v="11"/>
    <x v="5"/>
    <x v="0"/>
    <s v="4920106"/>
    <n v="721870"/>
    <s v="Supplies-Environmental Services"/>
    <s v="Cardiac Cath Services"/>
    <x v="0"/>
    <m/>
    <n v="50.92"/>
    <n v="113.63"/>
    <n v="111.48"/>
    <n v="103.24"/>
    <n v="504.26"/>
    <n v="110.51"/>
    <n v="123.22"/>
    <n v="54.11"/>
    <n v="102.98"/>
    <n v="40.950000000000003"/>
    <n v="74.78"/>
    <n v="113.65"/>
    <n v="1503.73"/>
    <n v="-38.870000000000005"/>
  </r>
  <r>
    <x v="11"/>
    <x v="5"/>
    <x v="0"/>
    <s v="4920106"/>
    <n v="721880"/>
    <s v="Supplies-Linen"/>
    <s v="Cardiac Cath Services"/>
    <x v="0"/>
    <m/>
    <n v="0"/>
    <n v="0"/>
    <n v="0"/>
    <n v="0"/>
    <n v="22.56"/>
    <n v="0"/>
    <n v="0"/>
    <n v="3.76"/>
    <n v="0"/>
    <n v="0"/>
    <n v="0"/>
    <n v="45.12"/>
    <n v="71.44"/>
    <n v="-45.12"/>
  </r>
  <r>
    <x v="11"/>
    <x v="5"/>
    <x v="0"/>
    <s v="4920106"/>
    <n v="721910"/>
    <s v="Supplies-Small Equipment"/>
    <s v="Cardiac Cath Services"/>
    <x v="0"/>
    <m/>
    <n v="993.82"/>
    <n v="143.68"/>
    <n v="361.48"/>
    <n v="3434.75"/>
    <n v="0"/>
    <n v="6478.71"/>
    <n v="1975.8"/>
    <n v="2956.32"/>
    <n v="-3174.38"/>
    <n v="2196.56"/>
    <n v="1.36"/>
    <n v="-80.680000000000007"/>
    <n v="15287.419999999996"/>
    <n v="82.04"/>
  </r>
  <r>
    <x v="11"/>
    <x v="5"/>
    <x v="0"/>
    <s v="4920106"/>
    <n v="721910"/>
    <s v="Instruments"/>
    <s v="Cardiac Cath Services"/>
    <x v="0"/>
    <n v="1000"/>
    <n v="1010.98"/>
    <n v="1320.42"/>
    <n v="3946.79"/>
    <n v="1290.1099999999999"/>
    <n v="1324.41"/>
    <n v="2953.72"/>
    <n v="1355.16"/>
    <n v="0"/>
    <n v="1864.91"/>
    <n v="1680.54"/>
    <n v="283.77"/>
    <n v="686.3"/>
    <n v="17717.11"/>
    <n v="-402.53"/>
  </r>
  <r>
    <x v="11"/>
    <x v="5"/>
    <x v="0"/>
    <s v="4920106"/>
    <n v="721980"/>
    <s v="Supplies-Other"/>
    <s v="Cardiac Cath Services"/>
    <x v="0"/>
    <m/>
    <n v="2268.3200000000002"/>
    <n v="574.79999999999995"/>
    <n v="55.47"/>
    <n v="796.44"/>
    <n v="878.9"/>
    <n v="212.97"/>
    <n v="1336.93"/>
    <n v="579.91"/>
    <n v="3394.35"/>
    <n v="112.62"/>
    <n v="687.5"/>
    <n v="0.2"/>
    <n v="10898.410000000002"/>
    <n v="687.3"/>
  </r>
  <r>
    <x v="11"/>
    <x v="5"/>
    <x v="0"/>
    <s v="4920106"/>
    <n v="722000"/>
    <s v="Supplies-Freight Expense"/>
    <s v="Cardiac Cath Services"/>
    <x v="0"/>
    <m/>
    <n v="828.27"/>
    <n v="1060.8699999999999"/>
    <n v="1016.06"/>
    <n v="510.14"/>
    <n v="117.13"/>
    <n v="417.61"/>
    <n v="578.98"/>
    <n v="70"/>
    <n v="275.49"/>
    <n v="121.5"/>
    <n v="218.47"/>
    <n v="518.59"/>
    <n v="5733.11"/>
    <n v="-300.12"/>
  </r>
  <r>
    <x v="11"/>
    <x v="5"/>
    <x v="0"/>
    <s v="4920106"/>
    <n v="722000"/>
    <s v="Minimum Order Fees"/>
    <s v="Cardiac Cath Services"/>
    <x v="0"/>
    <n v="1000"/>
    <n v="0"/>
    <n v="0"/>
    <n v="0"/>
    <n v="0"/>
    <n v="0"/>
    <n v="0"/>
    <n v="0"/>
    <n v="0"/>
    <n v="0"/>
    <n v="0"/>
    <n v="0"/>
    <n v="97.1"/>
    <n v="97.1"/>
    <n v="-97.1"/>
  </r>
  <r>
    <x v="11"/>
    <x v="5"/>
    <x v="0"/>
    <s v="4920106"/>
    <n v="722000"/>
    <s v="Rush Order Fees"/>
    <s v="Cardiac Cath Services"/>
    <x v="0"/>
    <n v="1005"/>
    <n v="0"/>
    <n v="0"/>
    <n v="0"/>
    <n v="0"/>
    <n v="0"/>
    <n v="0"/>
    <n v="0"/>
    <n v="0"/>
    <n v="0"/>
    <n v="0"/>
    <n v="0"/>
    <n v="27.5"/>
    <n v="27.5"/>
    <n v="-27.5"/>
  </r>
  <r>
    <x v="11"/>
    <x v="5"/>
    <x v="0"/>
    <s v="4920106"/>
    <n v="723000"/>
    <s v="Supply Rebates/Patronage Dividend"/>
    <s v="Cardiac Cath Services"/>
    <x v="0"/>
    <m/>
    <n v="0"/>
    <n v="0"/>
    <n v="-16966.259999999998"/>
    <n v="0"/>
    <n v="0"/>
    <n v="-3426.52"/>
    <n v="0"/>
    <n v="0"/>
    <n v="-22005.58"/>
    <n v="0"/>
    <n v="0"/>
    <n v="-45192.88"/>
    <n v="-87591.239999999991"/>
    <n v="45192.88"/>
  </r>
  <r>
    <x v="12"/>
    <x v="5"/>
    <x v="0"/>
    <s v="4920106"/>
    <n v="730020"/>
    <s v="Rental and Leases-Equipment (DO NOT USE)"/>
    <s v="Cardiac Cath Services"/>
    <x v="0"/>
    <m/>
    <n v="0"/>
    <n v="0"/>
    <n v="0"/>
    <n v="0"/>
    <n v="0"/>
    <n v="0"/>
    <n v="1650"/>
    <n v="0"/>
    <n v="0"/>
    <n v="0"/>
    <n v="0"/>
    <n v="0"/>
    <n v="1650"/>
    <n v="0"/>
  </r>
  <r>
    <x v="12"/>
    <x v="5"/>
    <x v="0"/>
    <s v="4920106"/>
    <n v="730020"/>
    <s v="Rental and Leases-Copier Usage Fees (DO NOT USE)"/>
    <s v="Cardiac Cath Services"/>
    <x v="0"/>
    <n v="5100"/>
    <n v="82.58"/>
    <n v="85.21"/>
    <n v="83.89"/>
    <n v="83.89"/>
    <n v="83.89"/>
    <n v="83.89"/>
    <n v="31.97"/>
    <n v="80.97"/>
    <n v="80.8"/>
    <n v="90.57"/>
    <n v="80.97"/>
    <n v="90.32"/>
    <n v="958.94999999999982"/>
    <n v="-9.3499999999999943"/>
  </r>
  <r>
    <x v="15"/>
    <x v="5"/>
    <x v="0"/>
    <s v="4920106"/>
    <n v="731030"/>
    <s v="Water"/>
    <s v="Cardiac Cath Services"/>
    <x v="0"/>
    <m/>
    <n v="0"/>
    <n v="103.45"/>
    <n v="19.8"/>
    <n v="0"/>
    <n v="90.8"/>
    <n v="0"/>
    <n v="58.05"/>
    <n v="45.95"/>
    <n v="45.95"/>
    <n v="96"/>
    <n v="0"/>
    <n v="67.400000000000006"/>
    <n v="527.4"/>
    <n v="-67.400000000000006"/>
  </r>
  <r>
    <x v="15"/>
    <x v="5"/>
    <x v="0"/>
    <s v="4920106"/>
    <n v="731060"/>
    <s v="Pagers"/>
    <s v="Cardiac Cath Services"/>
    <x v="0"/>
    <n v="1002"/>
    <n v="87.89"/>
    <n v="87.89"/>
    <n v="87.89"/>
    <n v="88.22"/>
    <n v="88.22"/>
    <n v="0"/>
    <n v="176.44"/>
    <n v="88.22"/>
    <n v="88.22"/>
    <n v="115.62"/>
    <n v="60.6"/>
    <n v="88.11"/>
    <n v="1057.32"/>
    <n v="-27.509999999999998"/>
  </r>
  <r>
    <x v="16"/>
    <x v="5"/>
    <x v="0"/>
    <s v="4920106"/>
    <n v="732030"/>
    <s v="Repairs---Other"/>
    <s v="Cardiac Cath Services"/>
    <x v="0"/>
    <m/>
    <n v="0"/>
    <n v="0"/>
    <n v="0"/>
    <n v="558.36"/>
    <n v="0"/>
    <n v="490.6"/>
    <n v="0"/>
    <n v="0"/>
    <n v="0"/>
    <n v="1334"/>
    <n v="574.20000000000005"/>
    <n v="0"/>
    <n v="2957.16"/>
    <n v="574.20000000000005"/>
  </r>
  <r>
    <x v="13"/>
    <x v="5"/>
    <x v="0"/>
    <s v="4920106"/>
    <n v="735040"/>
    <s v="Depreciation-Building Improvements"/>
    <s v="Cardiac Cath Services"/>
    <x v="0"/>
    <m/>
    <n v="5698.76"/>
    <n v="5698.76"/>
    <n v="5698.76"/>
    <n v="5698.76"/>
    <n v="5698.78"/>
    <n v="5698.75"/>
    <n v="5698.79"/>
    <n v="5698.75"/>
    <n v="5698.8"/>
    <n v="5698.7"/>
    <n v="5698.82"/>
    <n v="5698.68"/>
    <n v="68385.11"/>
    <n v="0.13999999999941792"/>
  </r>
  <r>
    <x v="13"/>
    <x v="5"/>
    <x v="0"/>
    <s v="4920106"/>
    <n v="735060"/>
    <s v="Depreciation-Fixed Equipment"/>
    <s v="Cardiac Cath Services"/>
    <x v="0"/>
    <m/>
    <n v="166.14"/>
    <n v="166.14"/>
    <n v="166.14"/>
    <n v="166.14"/>
    <n v="166.14"/>
    <n v="166.14"/>
    <n v="166.15"/>
    <n v="166.14"/>
    <n v="166.16"/>
    <n v="166.14"/>
    <n v="166.16"/>
    <n v="166.14"/>
    <n v="1993.7300000000005"/>
    <n v="2.0000000000010232E-2"/>
  </r>
  <r>
    <x v="13"/>
    <x v="5"/>
    <x v="0"/>
    <s v="4920106"/>
    <n v="735070"/>
    <s v="Depreciation-Movable Equipment"/>
    <s v="Cardiac Cath Services"/>
    <x v="0"/>
    <m/>
    <n v="12747.98"/>
    <n v="12747.98"/>
    <n v="12747.99"/>
    <n v="12747.95"/>
    <n v="12748.02"/>
    <n v="12747.92"/>
    <n v="12748.05"/>
    <n v="12965.29"/>
    <n v="12965.46"/>
    <n v="13036.2"/>
    <n v="13036.4"/>
    <n v="13036.17"/>
    <n v="154275.41"/>
    <n v="0.22999999999956344"/>
  </r>
  <r>
    <x v="0"/>
    <x v="5"/>
    <x v="0"/>
    <s v="4920106"/>
    <n v="740020"/>
    <s v="Education-Registration Fees"/>
    <s v="Cardiac Cath Services"/>
    <x v="0"/>
    <m/>
    <n v="350"/>
    <n v="0"/>
    <n v="0"/>
    <n v="175"/>
    <n v="0"/>
    <n v="0"/>
    <n v="0"/>
    <n v="0"/>
    <n v="0"/>
    <n v="0"/>
    <n v="0"/>
    <n v="200"/>
    <n v="725"/>
    <n v="-200"/>
  </r>
  <r>
    <x v="0"/>
    <x v="5"/>
    <x v="0"/>
    <s v="4920106"/>
    <n v="743030"/>
    <s v="Subscriptions--Institutional"/>
    <s v="Cardiac Cath Services"/>
    <x v="0"/>
    <m/>
    <n v="0"/>
    <n v="0"/>
    <n v="0"/>
    <n v="995"/>
    <n v="0"/>
    <n v="0"/>
    <n v="0"/>
    <n v="0"/>
    <n v="0"/>
    <n v="0"/>
    <n v="81.83"/>
    <n v="0"/>
    <n v="1076.83"/>
    <n v="81.83"/>
  </r>
  <r>
    <x v="0"/>
    <x v="5"/>
    <x v="0"/>
    <s v="4920106"/>
    <n v="749510"/>
    <s v="Miscellaneous Expenses"/>
    <s v="Cardiac Cath Services"/>
    <x v="0"/>
    <m/>
    <n v="0"/>
    <n v="0"/>
    <n v="0"/>
    <n v="57.05"/>
    <n v="50.69"/>
    <n v="0"/>
    <n v="0"/>
    <n v="0"/>
    <n v="0"/>
    <n v="0"/>
    <n v="0"/>
    <n v="68"/>
    <n v="175.74"/>
    <n v="-68"/>
  </r>
  <r>
    <x v="0"/>
    <x v="5"/>
    <x v="0"/>
    <s v="4920106"/>
    <n v="749510"/>
    <s v="RICE Rewards"/>
    <s v="Cardiac Cath Services"/>
    <x v="0"/>
    <n v="5100"/>
    <n v="0"/>
    <n v="0"/>
    <n v="0"/>
    <n v="0"/>
    <n v="0"/>
    <n v="0"/>
    <n v="0"/>
    <n v="0"/>
    <n v="0"/>
    <n v="0"/>
    <n v="0"/>
    <n v="51.84"/>
    <n v="51.84"/>
    <n v="-51.84"/>
  </r>
  <r>
    <x v="18"/>
    <x v="3"/>
    <x v="0"/>
    <s v="4925101"/>
    <n v="400010"/>
    <s v="Acute I/P Svcs Rev--Medicare"/>
    <s v="Cardio Vascular Lab"/>
    <x v="0"/>
    <n v="1100"/>
    <n v="-197034.49"/>
    <n v="-207281.89"/>
    <n v="-179347.35"/>
    <n v="-179874.14"/>
    <n v="-198767.96"/>
    <n v="-185494.84"/>
    <n v="-194770.26"/>
    <n v="-154421.51"/>
    <n v="-188002.65"/>
    <n v="-200826.8"/>
    <n v="-196174.01"/>
    <n v="-211912.83"/>
    <n v="-2293908.73"/>
    <n v="15738.819999999978"/>
  </r>
  <r>
    <x v="18"/>
    <x v="3"/>
    <x v="0"/>
    <s v="4925101"/>
    <n v="400010"/>
    <s v="Acute I/P Svcs Rev--Medicaid"/>
    <s v="Cardio Vascular Lab"/>
    <x v="0"/>
    <n v="1200"/>
    <n v="-62393.75"/>
    <n v="-55884.79"/>
    <n v="-63201.03"/>
    <n v="-55161.25"/>
    <n v="-65920.800000000003"/>
    <n v="-57204.44"/>
    <n v="-88601.05"/>
    <n v="-57698.93"/>
    <n v="-82834.58"/>
    <n v="-79810.45"/>
    <n v="-81389.91"/>
    <n v="-64558.33"/>
    <n v="-814659.30999999994"/>
    <n v="-16831.580000000002"/>
  </r>
  <r>
    <x v="18"/>
    <x v="3"/>
    <x v="0"/>
    <s v="4925101"/>
    <n v="400010"/>
    <s v="Acute I/P Svcs Rev--Comm Insurance"/>
    <s v="Cardio Vascular Lab"/>
    <x v="0"/>
    <n v="1300"/>
    <n v="-3749.48"/>
    <n v="1298.82"/>
    <n v="-5789.57"/>
    <n v="-9576.56"/>
    <n v="-6922.36"/>
    <n v="-5305.11"/>
    <n v="-4670.0200000000004"/>
    <n v="-4104.95"/>
    <n v="-4512.8599999999997"/>
    <n v="1168.6199999999999"/>
    <n v="-3531.23"/>
    <n v="-1180.43"/>
    <n v="-46875.13"/>
    <n v="-2350.8000000000002"/>
  </r>
  <r>
    <x v="18"/>
    <x v="3"/>
    <x v="0"/>
    <s v="4925101"/>
    <n v="400010"/>
    <s v="Acute I/P Svcs Rev--BCBS Comm"/>
    <s v="Cardio Vascular Lab"/>
    <x v="0"/>
    <n v="1301"/>
    <n v="-7526.04"/>
    <n v="-3847.13"/>
    <n v="-2707.76"/>
    <n v="-5221.41"/>
    <n v="-3613.91"/>
    <n v="-17060.91"/>
    <n v="-12832.66"/>
    <n v="-3752.82"/>
    <n v="-14036.29"/>
    <n v="-7643.39"/>
    <n v="-9576.0300000000007"/>
    <n v="-11901.7"/>
    <n v="-99720.05"/>
    <n v="2325.67"/>
  </r>
  <r>
    <x v="18"/>
    <x v="3"/>
    <x v="0"/>
    <s v="4925101"/>
    <n v="400010"/>
    <s v="Acute I/P Svcs Rev--Managed Care"/>
    <s v="Cardio Vascular Lab"/>
    <x v="0"/>
    <n v="1400"/>
    <n v="-32798.769999999997"/>
    <n v="-40934.25"/>
    <n v="-46939.89"/>
    <n v="-65654.289999999994"/>
    <n v="-38747.35"/>
    <n v="-33143.43"/>
    <n v="-88587.24"/>
    <n v="-41134.35"/>
    <n v="-31858.31"/>
    <n v="-32144.48"/>
    <n v="-52900.4"/>
    <n v="-51507.07"/>
    <n v="-556349.82999999996"/>
    <n v="-1393.3300000000017"/>
  </r>
  <r>
    <x v="18"/>
    <x v="3"/>
    <x v="0"/>
    <s v="4925101"/>
    <n v="400010"/>
    <s v="Acute I/P Svcs Rev--Self Pay"/>
    <s v="Cardio Vascular Lab"/>
    <x v="0"/>
    <n v="1500"/>
    <n v="-6203.85"/>
    <n v="-244.1"/>
    <n v="-3479.46"/>
    <n v="-3248.46"/>
    <n v="-7995.3"/>
    <n v="-3009.41"/>
    <n v="-2079.9499999999998"/>
    <n v="-802.42"/>
    <n v="-4676.6000000000004"/>
    <n v="-4600.6000000000004"/>
    <n v="717.86"/>
    <n v="-3488.15"/>
    <n v="-39110.439999999995"/>
    <n v="4206.01"/>
  </r>
  <r>
    <x v="18"/>
    <x v="3"/>
    <x v="0"/>
    <s v="4925101"/>
    <n v="400010"/>
    <s v="Acute I/P Svcs Rev--Other"/>
    <s v="Cardio Vascular Lab"/>
    <x v="0"/>
    <n v="1700"/>
    <n v="-6492.51"/>
    <n v="-10885.38"/>
    <n v="-10322.16"/>
    <n v="-10778.92"/>
    <n v="-5572.6"/>
    <n v="-8484.83"/>
    <n v="-1859.92"/>
    <n v="-10211.35"/>
    <n v="-16322.74"/>
    <n v="-14660.43"/>
    <n v="-16088.18"/>
    <n v="1963.26"/>
    <n v="-109715.76"/>
    <n v="-18051.439999999999"/>
  </r>
  <r>
    <x v="19"/>
    <x v="3"/>
    <x v="0"/>
    <s v="4925101"/>
    <n v="400020"/>
    <s v="O/P Care Svcs Rev--Medicare"/>
    <s v="Cardio Vascular Lab"/>
    <x v="0"/>
    <n v="1100"/>
    <n v="-48465.62"/>
    <n v="-75151.78"/>
    <n v="-51812.85"/>
    <n v="-79699.41"/>
    <n v="-68664.05"/>
    <n v="-51634.89"/>
    <n v="-67494.69"/>
    <n v="-41261.17"/>
    <n v="-59704.43"/>
    <n v="-48660.91"/>
    <n v="-71097.81"/>
    <n v="-57095"/>
    <n v="-720742.6100000001"/>
    <n v="-14002.809999999998"/>
  </r>
  <r>
    <x v="19"/>
    <x v="3"/>
    <x v="0"/>
    <s v="4925101"/>
    <n v="400020"/>
    <s v="O/P Care Svcs Rev--Medicaid"/>
    <s v="Cardio Vascular Lab"/>
    <x v="0"/>
    <n v="1200"/>
    <n v="-38228.699999999997"/>
    <n v="-45530.26"/>
    <n v="-40672.879999999997"/>
    <n v="-27303.040000000001"/>
    <n v="-39072.75"/>
    <n v="-38924.6"/>
    <n v="-28084.61"/>
    <n v="-19163.599999999999"/>
    <n v="-28995.67"/>
    <n v="-25836.92"/>
    <n v="-30659.41"/>
    <n v="-39999.14"/>
    <n v="-402471.57999999996"/>
    <n v="9339.73"/>
  </r>
  <r>
    <x v="19"/>
    <x v="3"/>
    <x v="0"/>
    <s v="4925101"/>
    <n v="400020"/>
    <s v="O/P Care Svcs Rev--Comm Insurance"/>
    <s v="Cardio Vascular Lab"/>
    <x v="0"/>
    <n v="1300"/>
    <n v="-4808.97"/>
    <n v="-3960.55"/>
    <n v="432.12"/>
    <n v="2922.61"/>
    <n v="-5601.12"/>
    <n v="-8526.48"/>
    <n v="0"/>
    <n v="-1203.68"/>
    <n v="0"/>
    <n v="-1203.68"/>
    <n v="0"/>
    <n v="0"/>
    <n v="-21949.75"/>
    <n v="0"/>
  </r>
  <r>
    <x v="19"/>
    <x v="3"/>
    <x v="0"/>
    <s v="4925101"/>
    <n v="400020"/>
    <s v="O/P Care Svcs Rev--BCBS Comm"/>
    <s v="Cardio Vascular Lab"/>
    <x v="0"/>
    <n v="1301"/>
    <n v="-7186.78"/>
    <n v="-4062.71"/>
    <n v="-3696"/>
    <n v="-4197.16"/>
    <n v="-13755.06"/>
    <n v="-1168.6199999999999"/>
    <n v="-3450.21"/>
    <n v="-3962.55"/>
    <n v="-2407.36"/>
    <n v="-8764.36"/>
    <n v="-4249.09"/>
    <n v="-7692.58"/>
    <n v="-64592.48000000001"/>
    <n v="3443.49"/>
  </r>
  <r>
    <x v="19"/>
    <x v="3"/>
    <x v="0"/>
    <s v="4925101"/>
    <n v="400020"/>
    <s v="O/P Care Svcs Rev--Managed Care"/>
    <s v="Cardio Vascular Lab"/>
    <x v="0"/>
    <n v="1400"/>
    <n v="-16274.08"/>
    <n v="-36940.65"/>
    <n v="-28120.3"/>
    <n v="-33313.089999999997"/>
    <n v="-15664"/>
    <n v="-19628.8"/>
    <n v="-20998.89"/>
    <n v="-17401.02"/>
    <n v="-19035.810000000001"/>
    <n v="-22326.880000000001"/>
    <n v="-26591.29"/>
    <n v="-23107.87"/>
    <n v="-279402.68"/>
    <n v="-3483.4200000000019"/>
  </r>
  <r>
    <x v="19"/>
    <x v="3"/>
    <x v="0"/>
    <s v="4925101"/>
    <n v="400020"/>
    <s v="O/P Care Svcs Rev--Self Pay"/>
    <s v="Cardio Vascular Lab"/>
    <x v="0"/>
    <n v="1500"/>
    <n v="-6428.47"/>
    <n v="-8767.83"/>
    <n v="-3505.86"/>
    <n v="-3847.13"/>
    <n v="-1725.47"/>
    <n v="-1753.99"/>
    <n v="-4674.4799999999996"/>
    <n v="-1168.6199999999999"/>
    <n v="-3133.51"/>
    <n v="-6756.73"/>
    <n v="-2407.36"/>
    <n v="-2407.36"/>
    <n v="-46576.81"/>
    <n v="0"/>
  </r>
  <r>
    <x v="19"/>
    <x v="3"/>
    <x v="0"/>
    <s v="4925101"/>
    <n v="400020"/>
    <s v="O/P Care Svcs Rev--Other"/>
    <s v="Cardio Vascular Lab"/>
    <x v="0"/>
    <n v="1700"/>
    <n v="-9558.7800000000007"/>
    <n v="-6486.24"/>
    <n v="-2922.61"/>
    <n v="-6157.97"/>
    <n v="-9706.18"/>
    <n v="-11312.77"/>
    <n v="-6428.47"/>
    <n v="-6492.93"/>
    <n v="-5297.03"/>
    <n v="-8287.64"/>
    <n v="-1238.74"/>
    <n v="-5945.17"/>
    <n v="-79834.53"/>
    <n v="4706.43"/>
  </r>
  <r>
    <x v="7"/>
    <x v="3"/>
    <x v="0"/>
    <s v="4925101"/>
    <n v="718050"/>
    <s v="Miscellaneous Purchased Svcs"/>
    <s v="Cardio Vascular Lab"/>
    <x v="0"/>
    <n v="1020"/>
    <n v="58242"/>
    <n v="64446"/>
    <n v="57314"/>
    <n v="62041"/>
    <n v="62857"/>
    <n v="57716"/>
    <n v="68271"/>
    <n v="45789"/>
    <n v="58264"/>
    <n v="59265"/>
    <n v="63444"/>
    <n v="58571"/>
    <n v="716220"/>
    <n v="4873"/>
  </r>
  <r>
    <x v="7"/>
    <x v="3"/>
    <x v="0"/>
    <s v="4925101"/>
    <n v="718050"/>
    <s v="Translation Services"/>
    <s v="Cardio Vascular Lab"/>
    <x v="0"/>
    <n v="1025"/>
    <n v="0"/>
    <n v="12.15"/>
    <n v="0"/>
    <n v="0"/>
    <n v="0"/>
    <n v="126.4"/>
    <n v="0"/>
    <n v="0"/>
    <n v="26.65"/>
    <n v="0"/>
    <n v="0"/>
    <n v="0"/>
    <n v="165.20000000000002"/>
    <n v="0"/>
  </r>
  <r>
    <x v="7"/>
    <x v="3"/>
    <x v="0"/>
    <s v="4925101"/>
    <n v="718091"/>
    <s v="Contract Services-Intracompany Allocation"/>
    <s v="Cardio Vascular Lab"/>
    <x v="0"/>
    <m/>
    <n v="2619.16"/>
    <n v="3077.22"/>
    <n v="2317.4499999999998"/>
    <n v="3411.71"/>
    <n v="2680.05"/>
    <n v="3700.09"/>
    <n v="3566.9"/>
    <n v="3537.65"/>
    <n v="3697.46"/>
    <n v="1456.32"/>
    <n v="3853.3"/>
    <n v="3100.88"/>
    <n v="37018.19"/>
    <n v="752.42000000000007"/>
  </r>
  <r>
    <x v="11"/>
    <x v="3"/>
    <x v="0"/>
    <s v="4925101"/>
    <n v="721010"/>
    <s v="Supplies-Medical - Billable"/>
    <s v="Cardio Vascular Lab"/>
    <x v="0"/>
    <m/>
    <n v="0"/>
    <n v="0"/>
    <n v="0"/>
    <n v="0"/>
    <n v="0"/>
    <n v="0"/>
    <n v="28.98"/>
    <n v="0"/>
    <n v="0"/>
    <n v="0"/>
    <n v="0"/>
    <n v="0"/>
    <n v="28.98"/>
    <n v="0"/>
  </r>
  <r>
    <x v="11"/>
    <x v="3"/>
    <x v="0"/>
    <s v="4925101"/>
    <n v="721010"/>
    <s v="Patient Monitoring"/>
    <s v="Cardio Vascular Lab"/>
    <x v="0"/>
    <n v="1000"/>
    <n v="44.52"/>
    <n v="41.34"/>
    <n v="63.6"/>
    <n v="50.88"/>
    <n v="57.24"/>
    <n v="28.62"/>
    <n v="57.24"/>
    <n v="38.159999999999997"/>
    <n v="10.53"/>
    <n v="0.93"/>
    <n v="108.24"/>
    <n v="47.7"/>
    <n v="549"/>
    <n v="60.539999999999992"/>
  </r>
  <r>
    <x v="11"/>
    <x v="3"/>
    <x v="0"/>
    <s v="4925101"/>
    <n v="721240"/>
    <s v="Supplies-IV Solutions/Supplies - Billable"/>
    <s v="Cardio Vascular Lab"/>
    <x v="0"/>
    <m/>
    <n v="0"/>
    <n v="0"/>
    <n v="87.36"/>
    <n v="127.83"/>
    <n v="71.52"/>
    <n v="97.78"/>
    <n v="38.96"/>
    <n v="91.81"/>
    <n v="90.29"/>
    <n v="122.41"/>
    <n v="53.28"/>
    <n v="50.36"/>
    <n v="831.59999999999991"/>
    <n v="2.9200000000000017"/>
  </r>
  <r>
    <x v="11"/>
    <x v="3"/>
    <x v="0"/>
    <s v="4925101"/>
    <n v="721410"/>
    <s v="Supplies-Medical - Nonbillable"/>
    <s v="Cardio Vascular Lab"/>
    <x v="0"/>
    <m/>
    <n v="15.02"/>
    <n v="33.71"/>
    <n v="61.35"/>
    <n v="26.6"/>
    <n v="46.43"/>
    <n v="43.18"/>
    <n v="67.62"/>
    <n v="120.75"/>
    <n v="33.18"/>
    <n v="212.47"/>
    <n v="56.44"/>
    <n v="54.59"/>
    <n v="771.34"/>
    <n v="1.8499999999999943"/>
  </r>
  <r>
    <x v="11"/>
    <x v="3"/>
    <x v="0"/>
    <s v="4925101"/>
    <n v="721420"/>
    <s v="Tubes Drains &amp; Related Supplies"/>
    <s v="Cardio Vascular Lab"/>
    <x v="0"/>
    <n v="1008"/>
    <n v="0"/>
    <n v="0"/>
    <n v="0"/>
    <n v="0"/>
    <n v="0"/>
    <n v="0"/>
    <n v="0"/>
    <n v="9.24"/>
    <n v="0"/>
    <n v="0"/>
    <n v="3.3"/>
    <n v="2.64"/>
    <n v="15.18"/>
    <n v="0.6599999999999997"/>
  </r>
  <r>
    <x v="11"/>
    <x v="3"/>
    <x v="0"/>
    <s v="4925101"/>
    <n v="721420"/>
    <s v="Sterilization Process Products"/>
    <s v="Cardio Vascular Lab"/>
    <x v="0"/>
    <n v="1009"/>
    <n v="1812.86"/>
    <n v="-233.78"/>
    <n v="710.34"/>
    <n v="1209.52"/>
    <n v="885.29"/>
    <n v="1082.74"/>
    <n v="1524.92"/>
    <n v="1109.25"/>
    <n v="1395.43"/>
    <n v="941.45"/>
    <n v="1311.91"/>
    <n v="1139.29"/>
    <n v="12889.220000000001"/>
    <n v="172.62000000000012"/>
  </r>
  <r>
    <x v="11"/>
    <x v="3"/>
    <x v="0"/>
    <s v="4925101"/>
    <n v="721610"/>
    <s v="Supplies-Anesthesia - Nonbillable"/>
    <s v="Cardio Vascular Lab"/>
    <x v="0"/>
    <m/>
    <n v="0"/>
    <n v="0"/>
    <n v="2.13"/>
    <n v="2.13"/>
    <n v="0"/>
    <n v="0"/>
    <n v="0"/>
    <n v="0"/>
    <n v="0.53"/>
    <n v="0.53"/>
    <n v="1.06"/>
    <n v="1.06"/>
    <n v="7.4400000000000013"/>
    <n v="0"/>
  </r>
  <r>
    <x v="11"/>
    <x v="3"/>
    <x v="0"/>
    <s v="4925101"/>
    <n v="721640"/>
    <s v="Supplies-IV Solutions/Supplies - Nonbillable"/>
    <s v="Cardio Vascular Lab"/>
    <x v="0"/>
    <m/>
    <n v="0"/>
    <n v="3.55"/>
    <n v="1.33"/>
    <n v="5.77"/>
    <n v="0"/>
    <n v="1.33"/>
    <n v="2.66"/>
    <n v="2.66"/>
    <n v="1.78"/>
    <n v="2.66"/>
    <n v="4.4400000000000004"/>
    <n v="0"/>
    <n v="26.18"/>
    <n v="4.4400000000000004"/>
  </r>
  <r>
    <x v="11"/>
    <x v="3"/>
    <x v="0"/>
    <s v="4925101"/>
    <n v="721650"/>
    <s v="Supplies-Pharmacy Drugs - Nonbillable"/>
    <s v="Cardio Vascular Lab"/>
    <x v="0"/>
    <m/>
    <n v="0"/>
    <n v="7.25"/>
    <n v="0"/>
    <n v="0"/>
    <n v="0"/>
    <n v="0"/>
    <n v="7.25"/>
    <n v="0"/>
    <n v="7.25"/>
    <n v="0"/>
    <n v="0"/>
    <n v="0"/>
    <n v="21.75"/>
    <n v="0"/>
  </r>
  <r>
    <x v="11"/>
    <x v="3"/>
    <x v="0"/>
    <s v="4925101"/>
    <n v="721750"/>
    <s v="Supplies-Film/Radiographic - Nonbillable"/>
    <s v="Cardio Vascular Lab"/>
    <x v="0"/>
    <m/>
    <n v="7.5"/>
    <n v="9.3699999999999992"/>
    <n v="11.24"/>
    <n v="10.3"/>
    <n v="10.3"/>
    <n v="12.18"/>
    <n v="11.24"/>
    <n v="7.49"/>
    <n v="12.17"/>
    <n v="10.3"/>
    <n v="16.850000000000001"/>
    <n v="7.49"/>
    <n v="126.42999999999999"/>
    <n v="9.3600000000000012"/>
  </r>
  <r>
    <x v="11"/>
    <x v="3"/>
    <x v="0"/>
    <s v="4925101"/>
    <n v="721810"/>
    <s v="Supplies-Dietary/Cafeteria"/>
    <s v="Cardio Vascular Lab"/>
    <x v="0"/>
    <m/>
    <n v="0"/>
    <n v="0"/>
    <n v="0"/>
    <n v="5"/>
    <n v="0"/>
    <n v="0"/>
    <n v="0"/>
    <n v="0"/>
    <n v="0"/>
    <n v="0"/>
    <n v="0"/>
    <n v="0"/>
    <n v="5"/>
    <n v="0"/>
  </r>
  <r>
    <x v="11"/>
    <x v="3"/>
    <x v="0"/>
    <s v="4925101"/>
    <n v="721870"/>
    <s v="Supplies-Environmental Services"/>
    <s v="Cardio Vascular Lab"/>
    <x v="0"/>
    <m/>
    <n v="31.15"/>
    <n v="51.25"/>
    <n v="30.75"/>
    <n v="20.5"/>
    <n v="10.25"/>
    <n v="20.5"/>
    <n v="86.87"/>
    <n v="40.1"/>
    <n v="93.72"/>
    <n v="56.98"/>
    <n v="63.5"/>
    <n v="44.02"/>
    <n v="549.59"/>
    <n v="19.479999999999997"/>
  </r>
  <r>
    <x v="11"/>
    <x v="3"/>
    <x v="0"/>
    <s v="4925101"/>
    <n v="721910"/>
    <s v="Supplies-Small Equipment"/>
    <s v="Cardio Vascular Lab"/>
    <x v="0"/>
    <m/>
    <n v="78.13"/>
    <n v="0"/>
    <n v="46.88"/>
    <n v="78.13"/>
    <n v="156.26"/>
    <n v="78.13"/>
    <n v="156.26"/>
    <n v="78.13"/>
    <n v="109.38"/>
    <n v="150"/>
    <n v="159.38"/>
    <n v="75"/>
    <n v="1165.6799999999998"/>
    <n v="84.38"/>
  </r>
  <r>
    <x v="11"/>
    <x v="3"/>
    <x v="0"/>
    <s v="4925101"/>
    <n v="722000"/>
    <s v="Supplies-Freight Expense"/>
    <s v="Cardio Vascular Lab"/>
    <x v="0"/>
    <m/>
    <n v="47.58"/>
    <n v="0"/>
    <n v="0"/>
    <n v="0"/>
    <n v="0"/>
    <n v="28.41"/>
    <n v="19.63"/>
    <n v="17.3"/>
    <n v="0"/>
    <n v="17.3"/>
    <n v="0"/>
    <n v="0"/>
    <n v="130.22"/>
    <n v="0"/>
  </r>
  <r>
    <x v="12"/>
    <x v="3"/>
    <x v="0"/>
    <s v="4925101"/>
    <n v="730020"/>
    <s v="Rental and Leases-Copier Usage Fees (DO NOT USE)"/>
    <s v="Cardio Vascular Lab"/>
    <x v="0"/>
    <n v="5100"/>
    <n v="39.700000000000003"/>
    <n v="40.98"/>
    <n v="40.340000000000003"/>
    <n v="40.340000000000003"/>
    <n v="40.340000000000003"/>
    <n v="40.340000000000003"/>
    <n v="27.57"/>
    <n v="39.33"/>
    <n v="39.25"/>
    <n v="39.409999999999997"/>
    <n v="39.33"/>
    <n v="51.2"/>
    <n v="478.13"/>
    <n v="-11.870000000000005"/>
  </r>
  <r>
    <x v="13"/>
    <x v="3"/>
    <x v="0"/>
    <s v="4925101"/>
    <n v="735070"/>
    <s v="Depreciation-Movable Equipment"/>
    <s v="Cardio Vascular Lab"/>
    <x v="0"/>
    <m/>
    <n v="7045.87"/>
    <n v="7045.86"/>
    <n v="7045.87"/>
    <n v="7045.86"/>
    <n v="7045.87"/>
    <n v="7045.85"/>
    <n v="7045.87"/>
    <n v="7045.85"/>
    <n v="7045.87"/>
    <n v="7045.85"/>
    <n v="7045.87"/>
    <n v="7045.85"/>
    <n v="84550.340000000011"/>
    <n v="1.9999999999527063E-2"/>
  </r>
  <r>
    <x v="18"/>
    <x v="0"/>
    <x v="0"/>
    <s v="4925102"/>
    <n v="400010"/>
    <s v="Acute I/P Svcs Rev--Medicare"/>
    <s v="Cardio Vascular Lab"/>
    <x v="0"/>
    <n v="1100"/>
    <n v="-52916.39"/>
    <n v="-87042.36"/>
    <n v="-82855.53"/>
    <n v="-105800.77"/>
    <n v="-61607.02"/>
    <n v="-93481.78"/>
    <n v="-85873.42"/>
    <n v="-77933.210000000006"/>
    <n v="-79381.09"/>
    <n v="-90762.67"/>
    <n v="-88015.8"/>
    <n v="-49417.37"/>
    <n v="-955087.41"/>
    <n v="-38598.43"/>
  </r>
  <r>
    <x v="18"/>
    <x v="0"/>
    <x v="0"/>
    <s v="4925102"/>
    <n v="400010"/>
    <s v="Acute I/P Svcs Rev--Medicaid"/>
    <s v="Cardio Vascular Lab"/>
    <x v="0"/>
    <n v="1200"/>
    <n v="-36240.81"/>
    <n v="-37005.81"/>
    <n v="-19604.52"/>
    <n v="-21838.83"/>
    <n v="-22472.01"/>
    <n v="-27897.86"/>
    <n v="-29750.79"/>
    <n v="-17852.95"/>
    <n v="-22708.27"/>
    <n v="-26764.799999999999"/>
    <n v="-37064.19"/>
    <n v="-24759.51"/>
    <n v="-323960.35000000003"/>
    <n v="-12304.680000000004"/>
  </r>
  <r>
    <x v="18"/>
    <x v="0"/>
    <x v="0"/>
    <s v="4925102"/>
    <n v="400010"/>
    <s v="Acute I/P Svcs Rev--Comm Insurance"/>
    <s v="Cardio Vascular Lab"/>
    <x v="0"/>
    <n v="1300"/>
    <n v="1112.97"/>
    <n v="-1168.6199999999999"/>
    <n v="-1753.99"/>
    <n v="1753.99"/>
    <n v="-3507.98"/>
    <n v="1753.99"/>
    <n v="-9938.57"/>
    <n v="1753.99"/>
    <n v="-8179.98"/>
    <n v="0"/>
    <n v="-1734.16"/>
    <n v="-1753.99"/>
    <n v="-21662.35"/>
    <n v="19.829999999999927"/>
  </r>
  <r>
    <x v="18"/>
    <x v="0"/>
    <x v="0"/>
    <s v="4925102"/>
    <n v="400010"/>
    <s v="Acute I/P Svcs Rev--BCBS Comm"/>
    <s v="Cardio Vascular Lab"/>
    <x v="0"/>
    <n v="1301"/>
    <n v="-2420.7600000000002"/>
    <n v="-6016.2"/>
    <n v="-1648.06"/>
    <n v="-8585.84"/>
    <n v="-8046.41"/>
    <n v="-12277.93"/>
    <n v="-2922.61"/>
    <n v="-9953.7999999999993"/>
    <n v="-5795.87"/>
    <n v="-6266.85"/>
    <n v="-9910.7199999999993"/>
    <n v="-9455.6299999999992"/>
    <n v="-83300.680000000008"/>
    <n v="-455.09000000000015"/>
  </r>
  <r>
    <x v="18"/>
    <x v="0"/>
    <x v="0"/>
    <s v="4925102"/>
    <n v="400010"/>
    <s v="Acute I/P Svcs Rev--Managed Care"/>
    <s v="Cardio Vascular Lab"/>
    <x v="0"/>
    <n v="1400"/>
    <n v="-18736.919999999998"/>
    <n v="-28993.7"/>
    <n v="-14718.27"/>
    <n v="-20405.47"/>
    <n v="-26690.06"/>
    <n v="-19583.16"/>
    <n v="-23832.32"/>
    <n v="-23628.16"/>
    <n v="-35439.01"/>
    <n v="-16240.48"/>
    <n v="-22717.48"/>
    <n v="-13293"/>
    <n v="-264278.03000000003"/>
    <n v="-9424.48"/>
  </r>
  <r>
    <x v="18"/>
    <x v="0"/>
    <x v="0"/>
    <s v="4925102"/>
    <n v="400010"/>
    <s v="Acute I/P Svcs Rev--Self Pay"/>
    <s v="Cardio Vascular Lab"/>
    <x v="0"/>
    <n v="1500"/>
    <n v="-1741.95"/>
    <n v="-14220.86"/>
    <n v="-5261.97"/>
    <n v="-5261.97"/>
    <n v="-1848.98"/>
    <n v="1615.82"/>
    <n v="-1753.99"/>
    <n v="-2570.85"/>
    <n v="-3936.26"/>
    <n v="816.86"/>
    <n v="-2957.67"/>
    <n v="-5702.52"/>
    <n v="-42824.34"/>
    <n v="2744.8500000000004"/>
  </r>
  <r>
    <x v="18"/>
    <x v="0"/>
    <x v="0"/>
    <s v="4925102"/>
    <n v="400010"/>
    <s v="Acute I/P Svcs Rev--Other"/>
    <s v="Cardio Vascular Lab"/>
    <x v="0"/>
    <n v="1700"/>
    <n v="-3424.46"/>
    <n v="28.52"/>
    <n v="-2922.61"/>
    <n v="0"/>
    <n v="-3263.88"/>
    <n v="-3507.98"/>
    <n v="0"/>
    <n v="-5261.97"/>
    <n v="-3507.98"/>
    <n v="-3309.18"/>
    <n v="-5261.97"/>
    <n v="-2284.3200000000002"/>
    <n v="-32715.83"/>
    <n v="-2977.65"/>
  </r>
  <r>
    <x v="19"/>
    <x v="0"/>
    <x v="0"/>
    <s v="4925102"/>
    <n v="400020"/>
    <s v="O/P Care Svcs Rev--Medicare"/>
    <s v="Cardio Vascular Lab"/>
    <x v="0"/>
    <n v="1100"/>
    <n v="-50848.12"/>
    <n v="-41618.870000000003"/>
    <n v="-45094.59"/>
    <n v="-45999.88"/>
    <n v="-48258.41"/>
    <n v="-35930.92"/>
    <n v="-62973.48"/>
    <n v="-42249.82"/>
    <n v="-61081.760000000002"/>
    <n v="-64830.239999999998"/>
    <n v="-54743.67"/>
    <n v="-37197.72"/>
    <n v="-590827.48"/>
    <n v="-17545.949999999997"/>
  </r>
  <r>
    <x v="19"/>
    <x v="0"/>
    <x v="0"/>
    <s v="4925102"/>
    <n v="400020"/>
    <s v="O/P Care Svcs Rev--Medicaid"/>
    <s v="Cardio Vascular Lab"/>
    <x v="0"/>
    <n v="1200"/>
    <n v="-21262.22"/>
    <n v="-24067.94"/>
    <n v="-16362.8"/>
    <n v="-13745"/>
    <n v="-21571.97"/>
    <n v="-28674.2"/>
    <n v="-17531.419999999998"/>
    <n v="-24115.93"/>
    <n v="-12983.34"/>
    <n v="-35044.79"/>
    <n v="-22517.66"/>
    <n v="-34950.44"/>
    <n v="-272827.70999999996"/>
    <n v="12432.780000000002"/>
  </r>
  <r>
    <x v="19"/>
    <x v="0"/>
    <x v="0"/>
    <s v="4925102"/>
    <n v="400020"/>
    <s v="O/P Care Svcs Rev--Comm Insurance"/>
    <s v="Cardio Vascular Lab"/>
    <x v="0"/>
    <n v="1300"/>
    <n v="-6428.47"/>
    <n v="-2978.26"/>
    <n v="-3909.24"/>
    <n v="-1168.6199999999999"/>
    <n v="-3505.86"/>
    <n v="-2337.2399999999998"/>
    <n v="-1168.6199999999999"/>
    <n v="-35.06"/>
    <n v="-585.37"/>
    <n v="-1238.74"/>
    <n v="1112.97"/>
    <n v="-2407.36"/>
    <n v="-24649.870000000003"/>
    <n v="3520.33"/>
  </r>
  <r>
    <x v="19"/>
    <x v="0"/>
    <x v="0"/>
    <s v="4925102"/>
    <n v="400020"/>
    <s v="O/P Care Svcs Rev--BCBS Comm"/>
    <s v="Cardio Vascular Lab"/>
    <x v="0"/>
    <n v="1301"/>
    <n v="-2922.61"/>
    <n v="-4674.4799999999996"/>
    <n v="-3589.38"/>
    <n v="-8710.06"/>
    <n v="-9934.33"/>
    <n v="-5843.1"/>
    <n v="-10790.63"/>
    <n v="-8199.81"/>
    <n v="-17115.669999999998"/>
    <n v="-7222.08"/>
    <n v="-7119.02"/>
    <n v="-6897.34"/>
    <n v="-93018.51"/>
    <n v="-221.68000000000029"/>
  </r>
  <r>
    <x v="19"/>
    <x v="0"/>
    <x v="0"/>
    <s v="4925102"/>
    <n v="400020"/>
    <s v="O/P Care Svcs Rev--Managed Care"/>
    <s v="Cardio Vascular Lab"/>
    <x v="0"/>
    <n v="1400"/>
    <n v="-31167.33"/>
    <n v="-22491.51"/>
    <n v="-15779.55"/>
    <n v="-22835.09"/>
    <n v="-21963.919999999998"/>
    <n v="-11688.32"/>
    <n v="-23715.79"/>
    <n v="-18834.13"/>
    <n v="-28591.72"/>
    <n v="-30538.5"/>
    <n v="-19647.46"/>
    <n v="-18979.53"/>
    <n v="-266232.84999999998"/>
    <n v="-667.93000000000029"/>
  </r>
  <r>
    <x v="19"/>
    <x v="0"/>
    <x v="0"/>
    <s v="4925102"/>
    <n v="400020"/>
    <s v="O/P Care Svcs Rev--Self Pay"/>
    <s v="Cardio Vascular Lab"/>
    <x v="0"/>
    <n v="1500"/>
    <n v="-4618.83"/>
    <n v="-6040.81"/>
    <n v="-4593.08"/>
    <n v="-1670.47"/>
    <n v="-14186.96"/>
    <n v="-4645.96"/>
    <n v="-1168.6199999999999"/>
    <n v="-1753.99"/>
    <n v="-12552.05"/>
    <n v="-3507.98"/>
    <n v="-13034.36"/>
    <n v="-2957.67"/>
    <n v="-70730.780000000013"/>
    <n v="-10076.69"/>
  </r>
  <r>
    <x v="19"/>
    <x v="0"/>
    <x v="0"/>
    <s v="4925102"/>
    <n v="400020"/>
    <s v="O/P Care Svcs Rev--Other"/>
    <s v="Cardio Vascular Lab"/>
    <x v="0"/>
    <n v="1700"/>
    <n v="-6430.59"/>
    <n v="-5204.2"/>
    <n v="-4674.4799999999996"/>
    <n v="-55.65"/>
    <n v="1168.6199999999999"/>
    <n v="-5259.85"/>
    <n v="-2310.84"/>
    <n v="1168.6199999999999"/>
    <n v="-665.41"/>
    <n v="-4126.29"/>
    <n v="-4624.37"/>
    <n v="-1203.68"/>
    <n v="-32218.120000000003"/>
    <n v="-3420.6899999999996"/>
  </r>
  <r>
    <x v="7"/>
    <x v="0"/>
    <x v="0"/>
    <s v="4925102"/>
    <n v="718050"/>
    <s v="Miscellaneous Purchased Svcs"/>
    <s v="Cardio Vascular Lab"/>
    <x v="0"/>
    <n v="1020"/>
    <n v="31038"/>
    <n v="36469"/>
    <n v="28552"/>
    <n v="32601"/>
    <n v="31461"/>
    <n v="31461"/>
    <n v="38448"/>
    <n v="32756"/>
    <n v="41609"/>
    <n v="39284"/>
    <n v="40905"/>
    <n v="25441"/>
    <n v="410025"/>
    <n v="15464"/>
  </r>
  <r>
    <x v="7"/>
    <x v="0"/>
    <x v="0"/>
    <s v="4925102"/>
    <n v="718091"/>
    <s v="Contract Services-Intracompany Allocation"/>
    <s v="Cardio Vascular Lab"/>
    <x v="0"/>
    <m/>
    <n v="1208.8399999999999"/>
    <n v="1420.26"/>
    <n v="1069.5899999999999"/>
    <n v="1574.64"/>
    <n v="1236.94"/>
    <n v="1707.73"/>
    <n v="1646.27"/>
    <n v="1632.76"/>
    <n v="1706.52"/>
    <n v="672.15"/>
    <n v="1778.44"/>
    <n v="1431.18"/>
    <n v="17085.32"/>
    <n v="347.26"/>
  </r>
  <r>
    <x v="11"/>
    <x v="0"/>
    <x v="0"/>
    <s v="4925102"/>
    <n v="722000"/>
    <s v="Supplies-Freight Expense"/>
    <s v="Cardio Vascular Lab"/>
    <x v="0"/>
    <m/>
    <n v="0"/>
    <n v="0"/>
    <n v="0"/>
    <n v="0"/>
    <n v="0"/>
    <n v="0"/>
    <n v="0"/>
    <n v="0"/>
    <n v="0"/>
    <n v="0"/>
    <n v="17.37"/>
    <n v="0"/>
    <n v="17.37"/>
    <n v="17.37"/>
  </r>
  <r>
    <x v="18"/>
    <x v="4"/>
    <x v="0"/>
    <s v="4925103"/>
    <n v="400010"/>
    <s v="Acute I/P Svcs Rev--Medicare"/>
    <s v="Cardio Vascular Lab"/>
    <x v="0"/>
    <n v="1100"/>
    <n v="-83628.73"/>
    <n v="-88747.15"/>
    <n v="-68080.570000000007"/>
    <n v="-59799.93"/>
    <n v="-67878.94"/>
    <n v="-73235"/>
    <n v="-57397.4"/>
    <n v="-38743.660000000003"/>
    <n v="-69834.8"/>
    <n v="-65244.49"/>
    <n v="-59371.07"/>
    <n v="-57393.31"/>
    <n v="-789355.05"/>
    <n v="-1977.760000000002"/>
  </r>
  <r>
    <x v="18"/>
    <x v="4"/>
    <x v="0"/>
    <s v="4925103"/>
    <n v="400010"/>
    <s v="Acute I/P Svcs Rev--Medicaid"/>
    <s v="Cardio Vascular Lab"/>
    <x v="0"/>
    <n v="1200"/>
    <n v="-44528.37"/>
    <n v="-28035.32"/>
    <n v="-27072.2"/>
    <n v="-22199.16"/>
    <n v="-20879.59"/>
    <n v="-44985.61"/>
    <n v="-32313.1"/>
    <n v="-31332.799999999999"/>
    <n v="-40225.040000000001"/>
    <n v="-32509.52"/>
    <n v="-27231.43"/>
    <n v="-26766.2"/>
    <n v="-378078.34"/>
    <n v="-465.22999999999956"/>
  </r>
  <r>
    <x v="18"/>
    <x v="4"/>
    <x v="0"/>
    <s v="4925103"/>
    <n v="400010"/>
    <s v="Acute I/P Svcs Rev--Comm Insurance"/>
    <s v="Cardio Vascular Lab"/>
    <x v="0"/>
    <n v="1300"/>
    <n v="-139.16999999999999"/>
    <n v="530.33000000000004"/>
    <n v="0"/>
    <n v="-2862.71"/>
    <n v="-1753.99"/>
    <n v="-1753.99"/>
    <n v="-1165.79"/>
    <n v="0"/>
    <n v="0"/>
    <n v="0"/>
    <n v="0"/>
    <n v="0"/>
    <n v="-7145.32"/>
    <n v="0"/>
  </r>
  <r>
    <x v="18"/>
    <x v="4"/>
    <x v="0"/>
    <s v="4925103"/>
    <n v="400010"/>
    <s v="Acute I/P Svcs Rev--BCBS Comm"/>
    <s v="Cardio Vascular Lab"/>
    <x v="0"/>
    <n v="1301"/>
    <n v="-1753.99"/>
    <n v="-2910.57"/>
    <n v="-1753.99"/>
    <n v="-4620.95"/>
    <n v="-1168.6199999999999"/>
    <n v="0"/>
    <n v="-2922.61"/>
    <n v="0"/>
    <n v="-1203.68"/>
    <n v="0"/>
    <n v="0"/>
    <n v="-1753.99"/>
    <n v="-18088.400000000001"/>
    <n v="1753.99"/>
  </r>
  <r>
    <x v="18"/>
    <x v="4"/>
    <x v="0"/>
    <s v="4925103"/>
    <n v="400010"/>
    <s v="Acute I/P Svcs Rev--Managed Care"/>
    <s v="Cardio Vascular Lab"/>
    <x v="0"/>
    <n v="1400"/>
    <n v="-17085.34"/>
    <n v="-5151.28"/>
    <n v="-11184.6"/>
    <n v="-5924.75"/>
    <n v="-4088.4"/>
    <n v="-1753.99"/>
    <n v="-5146.42"/>
    <n v="-9380.24"/>
    <n v="-5923.32"/>
    <n v="-1777.24"/>
    <n v="-1203.68"/>
    <n v="-7015.96"/>
    <n v="-75635.22"/>
    <n v="5812.28"/>
  </r>
  <r>
    <x v="18"/>
    <x v="4"/>
    <x v="0"/>
    <s v="4925103"/>
    <n v="400010"/>
    <s v="Acute I/P Svcs Rev--Self Pay"/>
    <s v="Cardio Vascular Lab"/>
    <x v="0"/>
    <n v="1500"/>
    <n v="-3424.46"/>
    <n v="-1753.99"/>
    <n v="0"/>
    <n v="0"/>
    <n v="-1168.6199999999999"/>
    <n v="1168.6199999999999"/>
    <n v="-871.79"/>
    <n v="-2437.39"/>
    <n v="-1753.99"/>
    <n v="-4956.91"/>
    <n v="-7177.69"/>
    <n v="5423.7"/>
    <n v="-16952.519999999997"/>
    <n v="-12601.39"/>
  </r>
  <r>
    <x v="18"/>
    <x v="4"/>
    <x v="0"/>
    <s v="4925103"/>
    <n v="400010"/>
    <s v="Acute I/P Svcs Rev--Other"/>
    <s v="Cardio Vascular Lab"/>
    <x v="0"/>
    <n v="1700"/>
    <n v="-872.85"/>
    <n v="-7155.86"/>
    <n v="-9326.7999999999993"/>
    <n v="-13444.43"/>
    <n v="-2295.42"/>
    <n v="-11973.96"/>
    <n v="-7985.05"/>
    <n v="-6937.92"/>
    <n v="-1830.87"/>
    <n v="-11528.82"/>
    <n v="-3302.68"/>
    <n v="-11418.83"/>
    <n v="-88073.49"/>
    <n v="8116.15"/>
  </r>
  <r>
    <x v="19"/>
    <x v="4"/>
    <x v="0"/>
    <s v="4925103"/>
    <n v="400020"/>
    <s v="O/P Care Svcs Rev--Medicare"/>
    <s v="Cardio Vascular Lab"/>
    <x v="0"/>
    <n v="1100"/>
    <n v="-59482.69"/>
    <n v="-51037.71"/>
    <n v="-50322.05"/>
    <n v="-54948.26"/>
    <n v="-43010.41"/>
    <n v="-34385.71"/>
    <n v="-45943.6"/>
    <n v="-49721.18"/>
    <n v="-56972.32"/>
    <n v="-40468.49"/>
    <n v="-54726.81"/>
    <n v="-48044.42"/>
    <n v="-589063.65"/>
    <n v="-6682.3899999999994"/>
  </r>
  <r>
    <x v="19"/>
    <x v="4"/>
    <x v="0"/>
    <s v="4925103"/>
    <n v="400020"/>
    <s v="O/P Care Svcs Rev--Medicaid"/>
    <s v="Cardio Vascular Lab"/>
    <x v="0"/>
    <n v="1200"/>
    <n v="-36563.57"/>
    <n v="-47413.66"/>
    <n v="-29699.43"/>
    <n v="-18174.560000000001"/>
    <n v="-41124.69"/>
    <n v="-45857"/>
    <n v="-26858.720000000001"/>
    <n v="-30278.240000000002"/>
    <n v="-29258.880000000001"/>
    <n v="-26722.09"/>
    <n v="-27375.46"/>
    <n v="-35757.82"/>
    <n v="-395084.12000000005"/>
    <n v="8382.36"/>
  </r>
  <r>
    <x v="19"/>
    <x v="4"/>
    <x v="0"/>
    <s v="4925103"/>
    <n v="400020"/>
    <s v="O/P Care Svcs Rev--Comm Insurance"/>
    <s v="Cardio Vascular Lab"/>
    <x v="0"/>
    <n v="1300"/>
    <n v="-2337.2399999999998"/>
    <n v="-1670.47"/>
    <n v="1670.47"/>
    <n v="-1168.6199999999999"/>
    <n v="-1168.6199999999999"/>
    <n v="-2337.2399999999998"/>
    <n v="-3505.86"/>
    <n v="-585.37"/>
    <n v="1718.93"/>
    <n v="-2957.67"/>
    <n v="-1203.68"/>
    <n v="-1753.99"/>
    <n v="-15299.36"/>
    <n v="550.30999999999995"/>
  </r>
  <r>
    <x v="19"/>
    <x v="4"/>
    <x v="0"/>
    <s v="4925103"/>
    <n v="400020"/>
    <s v="O/P Care Svcs Rev--BCBS Comm"/>
    <s v="Cardio Vascular Lab"/>
    <x v="0"/>
    <n v="1301"/>
    <n v="-7827.06"/>
    <n v="-4674.4799999999996"/>
    <n v="-10519.7"/>
    <n v="-5304.29"/>
    <n v="-8767.83"/>
    <n v="-4676.6000000000004"/>
    <n v="-5843.1"/>
    <n v="-3611.04"/>
    <n v="-5915.34"/>
    <n v="-10627"/>
    <n v="-2978"/>
    <n v="-694.02"/>
    <n v="-71438.460000000006"/>
    <n v="-2283.98"/>
  </r>
  <r>
    <x v="19"/>
    <x v="4"/>
    <x v="0"/>
    <s v="4925103"/>
    <n v="400020"/>
    <s v="O/P Care Svcs Rev--Managed Care"/>
    <s v="Cardio Vascular Lab"/>
    <x v="0"/>
    <n v="1400"/>
    <n v="-13067.53"/>
    <n v="-9408.85"/>
    <n v="-8521.61"/>
    <n v="-14952.2"/>
    <n v="-11732.76"/>
    <n v="-8182.46"/>
    <n v="-12029.59"/>
    <n v="-14689.69"/>
    <n v="-5277.24"/>
    <n v="-7142.27"/>
    <n v="-9629.44"/>
    <n v="-11207.14"/>
    <n v="-125840.78000000001"/>
    <n v="1577.6999999999989"/>
  </r>
  <r>
    <x v="19"/>
    <x v="4"/>
    <x v="0"/>
    <s v="4925103"/>
    <n v="400020"/>
    <s v="O/P Care Svcs Rev--Self Pay"/>
    <s v="Cardio Vascular Lab"/>
    <x v="0"/>
    <n v="1500"/>
    <n v="-3505.86"/>
    <n v="-8184.58"/>
    <n v="-1753.99"/>
    <n v="-1168.6199999999999"/>
    <n v="-5845.22"/>
    <n v="-4091.23"/>
    <n v="-2920.49"/>
    <n v="-3424.01"/>
    <n v="-2372.3000000000002"/>
    <n v="0"/>
    <n v="-4711.66"/>
    <n v="-3507.98"/>
    <n v="-41485.94000000001"/>
    <n v="-1203.6799999999998"/>
  </r>
  <r>
    <x v="19"/>
    <x v="4"/>
    <x v="0"/>
    <s v="4925103"/>
    <n v="400020"/>
    <s v="O/P Care Svcs Rev--Other"/>
    <s v="Cardio Vascular Lab"/>
    <x v="0"/>
    <n v="1700"/>
    <n v="-9944.84"/>
    <n v="-14027.03"/>
    <n v="-5491.77"/>
    <n v="-13527.21"/>
    <n v="-6842.64"/>
    <n v="-5261.97"/>
    <n v="-2337.2399999999998"/>
    <n v="-1238.74"/>
    <n v="-4161.3500000000004"/>
    <n v="-9284.5"/>
    <n v="-9079.27"/>
    <n v="-10076.69"/>
    <n v="-91273.250000000015"/>
    <n v="997.42000000000007"/>
  </r>
  <r>
    <x v="7"/>
    <x v="4"/>
    <x v="0"/>
    <s v="4925103"/>
    <n v="718050"/>
    <s v="Document Shredding/Storage"/>
    <s v="Cardio Vascular Lab"/>
    <x v="0"/>
    <n v="1012"/>
    <n v="11.72"/>
    <n v="11.69"/>
    <n v="11.13"/>
    <n v="11.42"/>
    <n v="11.8"/>
    <n v="15.43"/>
    <n v="15.27"/>
    <n v="14.85"/>
    <n v="10.38"/>
    <n v="13.63"/>
    <n v="11.43"/>
    <n v="37.270000000000003"/>
    <n v="176.01999999999998"/>
    <n v="-25.840000000000003"/>
  </r>
  <r>
    <x v="7"/>
    <x v="4"/>
    <x v="0"/>
    <s v="4925103"/>
    <n v="718050"/>
    <s v="Miscellaneous Purchased Svcs"/>
    <s v="Cardio Vascular Lab"/>
    <x v="0"/>
    <n v="1020"/>
    <n v="36609"/>
    <n v="34382"/>
    <n v="28209"/>
    <n v="27790"/>
    <n v="27791"/>
    <n v="30327"/>
    <n v="26665"/>
    <n v="24191"/>
    <n v="28394"/>
    <n v="26605"/>
    <n v="25747"/>
    <n v="24797"/>
    <n v="341507"/>
    <n v="950"/>
  </r>
  <r>
    <x v="7"/>
    <x v="4"/>
    <x v="0"/>
    <s v="4925103"/>
    <n v="718050"/>
    <s v="Translation Services"/>
    <s v="Cardio Vascular Lab"/>
    <x v="0"/>
    <n v="1025"/>
    <n v="0"/>
    <n v="0"/>
    <n v="18.63"/>
    <n v="0"/>
    <n v="0"/>
    <n v="0"/>
    <n v="0"/>
    <n v="0"/>
    <n v="0"/>
    <n v="0"/>
    <n v="0"/>
    <n v="0"/>
    <n v="18.63"/>
    <n v="0"/>
  </r>
  <r>
    <x v="7"/>
    <x v="4"/>
    <x v="0"/>
    <s v="4925103"/>
    <n v="718050"/>
    <s v="Contract Management--Linen"/>
    <s v="Cardio Vascular Lab"/>
    <x v="0"/>
    <n v="1026"/>
    <n v="0"/>
    <n v="0"/>
    <n v="0"/>
    <n v="0"/>
    <n v="0"/>
    <n v="0"/>
    <n v="10.4"/>
    <n v="1.94"/>
    <n v="0"/>
    <n v="0"/>
    <n v="0"/>
    <n v="0"/>
    <n v="12.34"/>
    <n v="0"/>
  </r>
  <r>
    <x v="7"/>
    <x v="4"/>
    <x v="0"/>
    <s v="4925103"/>
    <n v="718077"/>
    <s v="PACS"/>
    <s v="Cardio Vascular Lab"/>
    <x v="0"/>
    <n v="1000"/>
    <n v="1413.93"/>
    <n v="1448.09"/>
    <n v="1346.4"/>
    <n v="1560.02"/>
    <n v="1415.85"/>
    <n v="1410.74"/>
    <n v="1542.22"/>
    <n v="1308.0999999999999"/>
    <n v="1556.65"/>
    <n v="1559.58"/>
    <n v="1644.36"/>
    <n v="1460.08"/>
    <n v="17666.02"/>
    <n v="184.27999999999997"/>
  </r>
  <r>
    <x v="7"/>
    <x v="4"/>
    <x v="0"/>
    <s v="4925103"/>
    <n v="718091"/>
    <s v="Contract Services-Intracompany Allocation"/>
    <s v="Cardio Vascular Lab"/>
    <x v="0"/>
    <m/>
    <n v="1208.8399999999999"/>
    <n v="1420.26"/>
    <n v="1069.5899999999999"/>
    <n v="1574.64"/>
    <n v="1236.94"/>
    <n v="1707.73"/>
    <n v="1646.27"/>
    <n v="1632.76"/>
    <n v="1706.52"/>
    <n v="672.15"/>
    <n v="1778.44"/>
    <n v="1431.18"/>
    <n v="17085.32"/>
    <n v="347.26"/>
  </r>
  <r>
    <x v="11"/>
    <x v="4"/>
    <x v="0"/>
    <s v="4925103"/>
    <n v="721050"/>
    <s v="Supplies-Cardiac Rhythm - Billable"/>
    <s v="Cardio Vascular Lab"/>
    <x v="0"/>
    <m/>
    <n v="0"/>
    <n v="0"/>
    <n v="0"/>
    <n v="0"/>
    <n v="0"/>
    <n v="0"/>
    <n v="0"/>
    <n v="0"/>
    <n v="0"/>
    <n v="0"/>
    <n v="45.48"/>
    <n v="0"/>
    <n v="45.48"/>
    <n v="45.48"/>
  </r>
  <r>
    <x v="11"/>
    <x v="4"/>
    <x v="0"/>
    <s v="4925103"/>
    <n v="721810"/>
    <s v="Supplies-Dietary/Cafeteria"/>
    <s v="Cardio Vascular Lab"/>
    <x v="0"/>
    <m/>
    <n v="119.46"/>
    <n v="215.6"/>
    <n v="46.48"/>
    <n v="147.06"/>
    <n v="143.15"/>
    <n v="143.15"/>
    <n v="139.41999999999999"/>
    <n v="41.75"/>
    <n v="0"/>
    <n v="161.43"/>
    <n v="63.53"/>
    <n v="101.91"/>
    <n v="1322.94"/>
    <n v="-38.379999999999995"/>
  </r>
  <r>
    <x v="12"/>
    <x v="4"/>
    <x v="0"/>
    <s v="4925103"/>
    <n v="730020"/>
    <s v="Rental and Leases-Copier Usage Fees (DO NOT USE)"/>
    <s v="Cardio Vascular Lab"/>
    <x v="0"/>
    <n v="5100"/>
    <n v="137.18"/>
    <n v="142.35"/>
    <n v="139.77000000000001"/>
    <n v="139.77000000000001"/>
    <n v="139.77000000000001"/>
    <n v="139.77000000000001"/>
    <n v="653.51"/>
    <n v="149.29"/>
    <n v="148.97999999999999"/>
    <n v="230.47"/>
    <n v="149.29"/>
    <n v="190.43"/>
    <n v="2360.58"/>
    <n v="-41.140000000000015"/>
  </r>
  <r>
    <x v="13"/>
    <x v="4"/>
    <x v="0"/>
    <s v="4925103"/>
    <n v="735070"/>
    <s v="Depreciation-Movable Equipment"/>
    <s v="Cardio Vascular Lab"/>
    <x v="0"/>
    <m/>
    <n v="3169.28"/>
    <n v="3169.28"/>
    <n v="3169.28"/>
    <n v="3169.28"/>
    <n v="3169.29"/>
    <n v="3169.27"/>
    <n v="3169.29"/>
    <n v="3169.27"/>
    <n v="3169.29"/>
    <n v="3169.27"/>
    <n v="3169.29"/>
    <n v="3169.26"/>
    <n v="38031.350000000006"/>
    <n v="2.9999999999745341E-2"/>
  </r>
  <r>
    <x v="18"/>
    <x v="8"/>
    <x v="0"/>
    <s v="4925104"/>
    <n v="400010"/>
    <s v="Acute I/P Svcs Rev--Medicare"/>
    <s v="Cardio Vascular Lab"/>
    <x v="0"/>
    <n v="1100"/>
    <n v="-66276.63"/>
    <n v="-60930.22"/>
    <n v="-44913.73"/>
    <n v="-61797.56"/>
    <n v="-66265.64"/>
    <n v="-65232.93"/>
    <n v="-72097.94"/>
    <n v="-58221.38"/>
    <n v="-62079.75"/>
    <n v="-61434.11"/>
    <n v="-79250.22"/>
    <n v="-75410.429999999993"/>
    <n v="-773910.54"/>
    <n v="-3839.7900000000081"/>
  </r>
  <r>
    <x v="18"/>
    <x v="8"/>
    <x v="0"/>
    <s v="4925104"/>
    <n v="400010"/>
    <s v="Acute I/P Svcs Rev--Medicaid"/>
    <s v="Cardio Vascular Lab"/>
    <x v="0"/>
    <n v="1200"/>
    <n v="-17858.29"/>
    <n v="-8182.46"/>
    <n v="-20195.330000000002"/>
    <n v="-21201.68"/>
    <n v="-16926.009999999998"/>
    <n v="-11024.67"/>
    <n v="-7015.96"/>
    <n v="-14399.77"/>
    <n v="-13584.67"/>
    <n v="-16837.29"/>
    <n v="-8915.7199999999993"/>
    <n v="-13623.19"/>
    <n v="-169765.04"/>
    <n v="4707.4700000000012"/>
  </r>
  <r>
    <x v="18"/>
    <x v="8"/>
    <x v="0"/>
    <s v="4925104"/>
    <n v="400010"/>
    <s v="Acute I/P Svcs Rev--Comm Insurance"/>
    <s v="Cardio Vascular Lab"/>
    <x v="0"/>
    <n v="1300"/>
    <n v="-6164.87"/>
    <n v="344.57"/>
    <n v="-1753.99"/>
    <n v="1753.99"/>
    <n v="-4091.23"/>
    <n v="0"/>
    <n v="-556.85"/>
    <n v="0"/>
    <n v="-1753.99"/>
    <n v="-2713.57"/>
    <n v="-1203.68"/>
    <n v="-1753.99"/>
    <n v="-17893.61"/>
    <n v="550.30999999999995"/>
  </r>
  <r>
    <x v="18"/>
    <x v="8"/>
    <x v="0"/>
    <s v="4925104"/>
    <n v="400010"/>
    <s v="Acute I/P Svcs Rev--BCBS Comm"/>
    <s v="Cardio Vascular Lab"/>
    <x v="0"/>
    <n v="1301"/>
    <n v="-4432.5"/>
    <n v="-3263.88"/>
    <n v="-8585.84"/>
    <n v="0"/>
    <n v="-1753.99"/>
    <n v="-2337.2399999999998"/>
    <n v="-105.93"/>
    <n v="-3507.98"/>
    <n v="-4711.66"/>
    <n v="-5261.97"/>
    <n v="-2407.36"/>
    <n v="-1753.99"/>
    <n v="-38122.340000000004"/>
    <n v="-653.37000000000012"/>
  </r>
  <r>
    <x v="18"/>
    <x v="8"/>
    <x v="0"/>
    <s v="4925104"/>
    <n v="400010"/>
    <s v="Acute I/P Svcs Rev--Managed Care"/>
    <s v="Cardio Vascular Lab"/>
    <x v="0"/>
    <n v="1400"/>
    <n v="-5517.6"/>
    <n v="-11798.49"/>
    <n v="-18617.28"/>
    <n v="-6638.29"/>
    <n v="-10015.98"/>
    <n v="-10277.719999999999"/>
    <n v="-13526.08"/>
    <n v="-16163.7"/>
    <n v="-6015.48"/>
    <n v="956.66"/>
    <n v="-14134.98"/>
    <n v="-2957.67"/>
    <n v="-114706.60999999999"/>
    <n v="-11177.31"/>
  </r>
  <r>
    <x v="18"/>
    <x v="8"/>
    <x v="0"/>
    <s v="4925104"/>
    <n v="400010"/>
    <s v="Acute I/P Svcs Rev--Self Pay"/>
    <s v="Cardio Vascular Lab"/>
    <x v="0"/>
    <n v="1500"/>
    <n v="-4091.23"/>
    <n v="2337.2399999999998"/>
    <n v="-7610.99"/>
    <n v="0"/>
    <n v="0"/>
    <n v="-2922.61"/>
    <n v="-1168.6199999999999"/>
    <n v="-1203.68"/>
    <n v="0"/>
    <n v="0"/>
    <n v="-4161.3500000000004"/>
    <n v="0"/>
    <n v="-18821.239999999998"/>
    <n v="-4161.3500000000004"/>
  </r>
  <r>
    <x v="18"/>
    <x v="8"/>
    <x v="0"/>
    <s v="4925104"/>
    <n v="400010"/>
    <s v="Acute I/P Svcs Rev--Other"/>
    <s v="Cardio Vascular Lab"/>
    <x v="0"/>
    <n v="1700"/>
    <n v="-3820.73"/>
    <n v="-5098.28"/>
    <n v="-2364.4899999999998"/>
    <n v="-5261.97"/>
    <n v="-2922.61"/>
    <n v="-4869.45"/>
    <n v="-13166.05"/>
    <n v="-3507.98"/>
    <n v="-5446.95"/>
    <n v="-7119.02"/>
    <n v="-4081.54"/>
    <n v="-2327.5500000000002"/>
    <n v="-59986.62"/>
    <n v="-1753.9899999999998"/>
  </r>
  <r>
    <x v="19"/>
    <x v="8"/>
    <x v="0"/>
    <s v="4925104"/>
    <n v="400020"/>
    <s v="O/P Care Svcs Rev--Medicare"/>
    <s v="Cardio Vascular Lab"/>
    <x v="0"/>
    <n v="1100"/>
    <n v="-40194.79"/>
    <n v="-49414.86"/>
    <n v="-25340.45"/>
    <n v="-33884.39"/>
    <n v="-42950.91"/>
    <n v="-34734.26"/>
    <n v="-30504.86"/>
    <n v="-30950.94"/>
    <n v="-47518.14"/>
    <n v="-59173.24"/>
    <n v="-58413.07"/>
    <n v="-50834.54"/>
    <n v="-503914.45"/>
    <n v="-7578.5299999999988"/>
  </r>
  <r>
    <x v="19"/>
    <x v="8"/>
    <x v="0"/>
    <s v="4925104"/>
    <n v="400020"/>
    <s v="O/P Care Svcs Rev--Medicaid"/>
    <s v="Cardio Vascular Lab"/>
    <x v="0"/>
    <n v="1200"/>
    <n v="-15196.3"/>
    <n v="-8180.34"/>
    <n v="-9233.41"/>
    <n v="-8153.94"/>
    <n v="-6769.74"/>
    <n v="-9907.93"/>
    <n v="-15467.23"/>
    <n v="-9446.57"/>
    <n v="-3611.04"/>
    <n v="-16645.400000000001"/>
    <n v="-7585.36"/>
    <n v="-9410.07"/>
    <n v="-119607.32999999999"/>
    <n v="1824.71"/>
  </r>
  <r>
    <x v="19"/>
    <x v="8"/>
    <x v="0"/>
    <s v="4925104"/>
    <n v="400020"/>
    <s v="O/P Care Svcs Rev--Comm Insurance"/>
    <s v="Cardio Vascular Lab"/>
    <x v="0"/>
    <n v="1300"/>
    <n v="1437.99"/>
    <n v="471.95"/>
    <n v="585.37"/>
    <n v="-1168.6199999999999"/>
    <n v="-2337.2399999999998"/>
    <n v="-1168.6199999999999"/>
    <n v="0"/>
    <n v="-2372.3000000000002"/>
    <n v="-4814.72"/>
    <n v="-2105.5"/>
    <n v="-2407.36"/>
    <n v="-5365.03"/>
    <n v="-19244.079999999998"/>
    <n v="2957.6699999999996"/>
  </r>
  <r>
    <x v="19"/>
    <x v="8"/>
    <x v="0"/>
    <s v="4925104"/>
    <n v="400020"/>
    <s v="O/P Care Svcs Rev--BCBS Comm"/>
    <s v="Cardio Vascular Lab"/>
    <x v="0"/>
    <n v="1301"/>
    <n v="-14027.68"/>
    <n v="-1168.6199999999999"/>
    <n v="-6428.47"/>
    <n v="-5015.75"/>
    <n v="-8182.46"/>
    <n v="-8523.73"/>
    <n v="-6428.47"/>
    <n v="-5716.54"/>
    <n v="-7772.39"/>
    <n v="-2407.36"/>
    <n v="-17650.28"/>
    <n v="-6495.48"/>
    <n v="-89817.23"/>
    <n v="-11154.8"/>
  </r>
  <r>
    <x v="19"/>
    <x v="8"/>
    <x v="0"/>
    <s v="4925104"/>
    <n v="400020"/>
    <s v="O/P Care Svcs Rev--Managed Care"/>
    <s v="Cardio Vascular Lab"/>
    <x v="0"/>
    <n v="1400"/>
    <n v="-9432.48"/>
    <n v="-13899.63"/>
    <n v="-4674.4799999999996"/>
    <n v="-7597.09"/>
    <n v="-19723.849999999999"/>
    <n v="-16704.07"/>
    <n v="-19314.66"/>
    <n v="-15509.72"/>
    <n v="-14692.61"/>
    <n v="-16056.86"/>
    <n v="-18264.41"/>
    <n v="-16742.689999999999"/>
    <n v="-172612.55000000002"/>
    <n v="-1521.7200000000012"/>
  </r>
  <r>
    <x v="19"/>
    <x v="8"/>
    <x v="0"/>
    <s v="4925104"/>
    <n v="400020"/>
    <s v="O/P Care Svcs Rev--Self Pay"/>
    <s v="Cardio Vascular Lab"/>
    <x v="0"/>
    <n v="1500"/>
    <n v="-2337.2399999999998"/>
    <n v="-2337.2399999999998"/>
    <n v="-2337.2399999999998"/>
    <n v="-2678.51"/>
    <n v="-1168.6199999999999"/>
    <n v="-4674.4799999999996"/>
    <n v="-3450.21"/>
    <n v="-35.06"/>
    <n v="-1753.99"/>
    <n v="-1203.68"/>
    <n v="-3611.04"/>
    <n v="-2407.36"/>
    <n v="-27994.670000000002"/>
    <n v="-1203.6799999999998"/>
  </r>
  <r>
    <x v="19"/>
    <x v="8"/>
    <x v="0"/>
    <s v="4925104"/>
    <n v="400020"/>
    <s v="O/P Care Svcs Rev--Other"/>
    <s v="Cardio Vascular Lab"/>
    <x v="0"/>
    <n v="1700"/>
    <n v="-3505.86"/>
    <n v="-4091.23"/>
    <n v="-4674.4799999999996"/>
    <n v="-3507.98"/>
    <n v="-899.25"/>
    <n v="-2337.2399999999998"/>
    <n v="-2337.2399999999998"/>
    <n v="-1203.68"/>
    <n v="-3543.04"/>
    <n v="-5400.09"/>
    <n v="-5257.39"/>
    <n v="-7656.08"/>
    <n v="-44413.560000000005"/>
    <n v="2398.6899999999996"/>
  </r>
  <r>
    <x v="7"/>
    <x v="8"/>
    <x v="0"/>
    <s v="4925104"/>
    <n v="718050"/>
    <s v="Miscellaneous Purchased Svcs"/>
    <s v="Cardio Vascular Lab"/>
    <x v="0"/>
    <n v="1020"/>
    <n v="24834"/>
    <n v="21415"/>
    <n v="20167"/>
    <n v="19889"/>
    <n v="23588"/>
    <n v="22702"/>
    <n v="23870"/>
    <n v="20762"/>
    <n v="22248"/>
    <n v="24608"/>
    <n v="28852"/>
    <n v="23788"/>
    <n v="276723"/>
    <n v="5064"/>
  </r>
  <r>
    <x v="7"/>
    <x v="8"/>
    <x v="0"/>
    <s v="4925104"/>
    <n v="718091"/>
    <s v="Contract Services-Intracompany Allocation"/>
    <s v="Cardio Vascular Lab"/>
    <x v="0"/>
    <m/>
    <n v="1007.37"/>
    <n v="1183.55"/>
    <n v="891.32"/>
    <n v="1312.2"/>
    <n v="1030.79"/>
    <n v="1423.11"/>
    <n v="1371.88"/>
    <n v="1360.64"/>
    <n v="1422.1"/>
    <n v="560.12"/>
    <n v="1482.04"/>
    <n v="1192.6500000000001"/>
    <n v="14237.770000000002"/>
    <n v="289.38999999999987"/>
  </r>
  <r>
    <x v="18"/>
    <x v="6"/>
    <x v="0"/>
    <s v="4925107"/>
    <n v="400010"/>
    <s v="Acute I/P Svcs Rev--Medicare"/>
    <s v="Cardiovascular"/>
    <x v="0"/>
    <n v="1100"/>
    <n v="-3551244.59"/>
    <n v="-5601829.6900000004"/>
    <n v="-4807268.99"/>
    <n v="-6829238.8600000003"/>
    <n v="-5871483.6699999999"/>
    <n v="-5068453.32"/>
    <n v="-5114459.07"/>
    <n v="-4741293.42"/>
    <n v="-5692023.79"/>
    <n v="-6216684.8600000003"/>
    <n v="-6052813.9900000002"/>
    <n v="-5393417.2800000003"/>
    <n v="-64940211.530000009"/>
    <n v="-659396.71"/>
  </r>
  <r>
    <x v="18"/>
    <x v="6"/>
    <x v="0"/>
    <s v="4925107"/>
    <n v="400010"/>
    <s v="Acute I/P Svcs Rev--Medicaid"/>
    <s v="Cardiovascular"/>
    <x v="0"/>
    <n v="1200"/>
    <n v="-291135.37"/>
    <n v="-451093.83"/>
    <n v="-660085.55000000005"/>
    <n v="-666864.54"/>
    <n v="-629789.31000000006"/>
    <n v="-497345.62"/>
    <n v="-618030.73"/>
    <n v="-621779.6"/>
    <n v="-586396.37"/>
    <n v="-473155.95"/>
    <n v="-663811.23"/>
    <n v="-603442.87"/>
    <n v="-6762930.9699999997"/>
    <n v="-60368.359999999986"/>
  </r>
  <r>
    <x v="18"/>
    <x v="6"/>
    <x v="0"/>
    <s v="4925107"/>
    <n v="400010"/>
    <s v="Acute I/P Svcs Rev--Comm Insurance"/>
    <s v="Cardiovascular"/>
    <x v="0"/>
    <n v="1300"/>
    <n v="-678.85"/>
    <n v="6802.97"/>
    <n v="0"/>
    <n v="8417.3799999999992"/>
    <n v="-36870.04"/>
    <n v="-179572.12"/>
    <n v="-102781.58"/>
    <n v="-80618.720000000001"/>
    <n v="-85199.82"/>
    <n v="-28288.42"/>
    <n v="-17777.57"/>
    <n v="-2618.7199999999998"/>
    <n v="-519185.48999999993"/>
    <n v="-15158.85"/>
  </r>
  <r>
    <x v="18"/>
    <x v="6"/>
    <x v="0"/>
    <s v="4925107"/>
    <n v="400010"/>
    <s v="Acute I/P Svcs Rev--BCBS Comm"/>
    <s v="Cardiovascular"/>
    <x v="0"/>
    <n v="1301"/>
    <n v="-522684.08"/>
    <n v="-275233.52"/>
    <n v="-326818.84000000003"/>
    <n v="-90631.07"/>
    <n v="-584183.48"/>
    <n v="-175429.08"/>
    <n v="-531712.74"/>
    <n v="-450175.71"/>
    <n v="-301977.09999999998"/>
    <n v="-689187.26"/>
    <n v="-386045.67"/>
    <n v="-135258.29"/>
    <n v="-4469336.8400000008"/>
    <n v="-250787.37999999998"/>
  </r>
  <r>
    <x v="18"/>
    <x v="6"/>
    <x v="0"/>
    <s v="4925107"/>
    <n v="400010"/>
    <s v="Acute I/P Svcs Rev--Managed Care"/>
    <s v="Cardiovascular"/>
    <x v="0"/>
    <n v="1400"/>
    <n v="-621134.63"/>
    <n v="-257626.71"/>
    <n v="-616088.26"/>
    <n v="-563027.79"/>
    <n v="-680067.57"/>
    <n v="-494930.09"/>
    <n v="-584766.06999999995"/>
    <n v="-265525.24"/>
    <n v="-517738.74"/>
    <n v="-723788.94"/>
    <n v="-877850.79"/>
    <n v="-806659.57"/>
    <n v="-7009204.3999999994"/>
    <n v="-71191.220000000088"/>
  </r>
  <r>
    <x v="18"/>
    <x v="6"/>
    <x v="0"/>
    <s v="4925107"/>
    <n v="400010"/>
    <s v="Acute I/P Svcs Rev--Self Pay"/>
    <s v="Cardiovascular"/>
    <x v="0"/>
    <n v="1500"/>
    <n v="-1598.24"/>
    <n v="-22015.51"/>
    <n v="-8756.0400000000009"/>
    <n v="-38091.160000000003"/>
    <n v="-43979.13"/>
    <n v="-8796.24"/>
    <n v="-69615.600000000006"/>
    <n v="-349512.53"/>
    <n v="-27504.7"/>
    <n v="-57079.11"/>
    <n v="-40413.9"/>
    <n v="-171204.59"/>
    <n v="-838566.75"/>
    <n v="130790.69"/>
  </r>
  <r>
    <x v="18"/>
    <x v="6"/>
    <x v="0"/>
    <s v="4925107"/>
    <n v="400010"/>
    <s v="Acute I/P Svcs Rev--Other"/>
    <s v="Cardiovascular"/>
    <x v="0"/>
    <n v="1700"/>
    <n v="-287358.75"/>
    <n v="-504685.39"/>
    <n v="-748071.71"/>
    <n v="-348045.54"/>
    <n v="-350747.05"/>
    <n v="-269647.68"/>
    <n v="-89545.74"/>
    <n v="-287231.7"/>
    <n v="-21162.94"/>
    <n v="-385999.52"/>
    <n v="-189178.85"/>
    <n v="-263813.83"/>
    <n v="-3745488.7000000007"/>
    <n v="74634.98000000001"/>
  </r>
  <r>
    <x v="19"/>
    <x v="6"/>
    <x v="0"/>
    <s v="4925107"/>
    <n v="400020"/>
    <s v="O/P Care Svcs Rev--Medicare"/>
    <s v="Cardiovascular"/>
    <x v="0"/>
    <n v="1100"/>
    <n v="-5633887.3099999996"/>
    <n v="-5925078.4000000004"/>
    <n v="-4588989.5599999996"/>
    <n v="-6770644.9000000004"/>
    <n v="-6301885.7000000002"/>
    <n v="-5590013.54"/>
    <n v="-4864088.26"/>
    <n v="-5421485.2199999997"/>
    <n v="-5661850.5999999996"/>
    <n v="-6877691.1699999999"/>
    <n v="-6155897.9100000001"/>
    <n v="-7462174.3499999996"/>
    <n v="-71253686.920000002"/>
    <n v="1306276.4399999995"/>
  </r>
  <r>
    <x v="19"/>
    <x v="6"/>
    <x v="0"/>
    <s v="4925107"/>
    <n v="400020"/>
    <s v="O/P Care Svcs Rev--Medicaid"/>
    <s v="Cardiovascular"/>
    <x v="0"/>
    <n v="1200"/>
    <n v="-914646.93"/>
    <n v="-495863.59"/>
    <n v="-415871.68"/>
    <n v="-625746.01"/>
    <n v="-674799.22"/>
    <n v="-431345.01"/>
    <n v="-469195.66"/>
    <n v="-529279.43999999994"/>
    <n v="-662970.56000000006"/>
    <n v="-371385.68"/>
    <n v="-513315.49"/>
    <n v="-570329.89"/>
    <n v="-6674749.1599999992"/>
    <n v="57014.400000000023"/>
  </r>
  <r>
    <x v="19"/>
    <x v="6"/>
    <x v="0"/>
    <s v="4925107"/>
    <n v="400020"/>
    <s v="O/P Care Svcs Rev--Comm Insurance"/>
    <s v="Cardiovascular"/>
    <x v="0"/>
    <n v="1300"/>
    <n v="-77160.73"/>
    <n v="-194920.92"/>
    <n v="0"/>
    <n v="-154689.01999999999"/>
    <n v="-3342.13"/>
    <n v="-37682.47"/>
    <n v="-41891.449999999997"/>
    <n v="-192567.36"/>
    <n v="-219335.72"/>
    <n v="-24372.080000000002"/>
    <n v="-36973.18"/>
    <n v="-222272.37"/>
    <n v="-1205207.4300000002"/>
    <n v="185299.19"/>
  </r>
  <r>
    <x v="19"/>
    <x v="6"/>
    <x v="0"/>
    <s v="4925107"/>
    <n v="400020"/>
    <s v="O/P Care Svcs Rev--BCBS Comm"/>
    <s v="Cardiovascular"/>
    <x v="0"/>
    <n v="1301"/>
    <n v="-655660.39"/>
    <n v="-597279.12"/>
    <n v="-627294.94999999995"/>
    <n v="-596765.6"/>
    <n v="-602562.05000000005"/>
    <n v="-623531.34"/>
    <n v="-658853.64"/>
    <n v="-758427.43"/>
    <n v="-707354.81"/>
    <n v="-500602.96"/>
    <n v="-647966.37"/>
    <n v="-608360.12"/>
    <n v="-7584658.7800000003"/>
    <n v="-39606.25"/>
  </r>
  <r>
    <x v="19"/>
    <x v="6"/>
    <x v="0"/>
    <s v="4925107"/>
    <n v="400020"/>
    <s v="O/P Care Svcs Rev--Managed Care"/>
    <s v="Cardiovascular"/>
    <x v="0"/>
    <n v="1400"/>
    <n v="-669985.01"/>
    <n v="-934477.92"/>
    <n v="-834211.53"/>
    <n v="-851236.77"/>
    <n v="-1149158.6599999999"/>
    <n v="-640600.71"/>
    <n v="-428646.91"/>
    <n v="-916866.12"/>
    <n v="-1332954.3400000001"/>
    <n v="-1804898.11"/>
    <n v="-1155512.8700000001"/>
    <n v="-1215661.97"/>
    <n v="-11934210.92"/>
    <n v="60149.09999999986"/>
  </r>
  <r>
    <x v="19"/>
    <x v="6"/>
    <x v="0"/>
    <s v="4925107"/>
    <n v="400020"/>
    <s v="O/P Care Svcs Rev--Self Pay"/>
    <s v="Cardiovascular"/>
    <x v="0"/>
    <n v="1500"/>
    <n v="-125118.2"/>
    <n v="-73174.7"/>
    <n v="-27711.01"/>
    <n v="0"/>
    <n v="28108.05"/>
    <n v="19254.810000000001"/>
    <n v="-9931.27"/>
    <n v="-52454.45"/>
    <n v="0"/>
    <n v="-82502.45"/>
    <n v="-27794.98"/>
    <n v="14616.22"/>
    <n v="-336707.98000000004"/>
    <n v="-42411.199999999997"/>
  </r>
  <r>
    <x v="19"/>
    <x v="6"/>
    <x v="0"/>
    <s v="4925107"/>
    <n v="400020"/>
    <s v="O/P Care Svcs Rev--Other"/>
    <s v="Cardiovascular"/>
    <x v="0"/>
    <n v="1700"/>
    <n v="-272833.76"/>
    <n v="-259294.09"/>
    <n v="-261711.5"/>
    <n v="-335455.44"/>
    <n v="-400169.72"/>
    <n v="-471508.24"/>
    <n v="-393071.75"/>
    <n v="-559370.28"/>
    <n v="-451593.92"/>
    <n v="-272147.95"/>
    <n v="-384987.18"/>
    <n v="-478342.08"/>
    <n v="-4540485.91"/>
    <n v="93354.900000000023"/>
  </r>
  <r>
    <x v="5"/>
    <x v="6"/>
    <x v="0"/>
    <s v="4925107"/>
    <n v="700014"/>
    <s v="Salaries-Management-Productive"/>
    <s v="Cardiovascular"/>
    <x v="0"/>
    <m/>
    <n v="6522.18"/>
    <n v="8424.9699999999993"/>
    <n v="8131.11"/>
    <n v="8533.69"/>
    <n v="8628.44"/>
    <n v="5818.78"/>
    <n v="8663.7000000000007"/>
    <n v="5603.77"/>
    <n v="9723.1"/>
    <n v="6966.49"/>
    <n v="6936.58"/>
    <n v="9844.4"/>
    <n v="93797.21"/>
    <n v="-2907.8199999999997"/>
  </r>
  <r>
    <x v="5"/>
    <x v="6"/>
    <x v="0"/>
    <s v="4925107"/>
    <n v="700026"/>
    <s v="Salaries-RN-Productive"/>
    <s v="Cardiovascular"/>
    <x v="0"/>
    <m/>
    <n v="107592.4"/>
    <n v="116527.55"/>
    <n v="109268.75"/>
    <n v="127872.8"/>
    <n v="146773.69"/>
    <n v="105999.1"/>
    <n v="124860.34"/>
    <n v="115109.42"/>
    <n v="119005.25"/>
    <n v="117305.84"/>
    <n v="115913.45"/>
    <n v="131226.09"/>
    <n v="1437454.68"/>
    <n v="-15312.64"/>
  </r>
  <r>
    <x v="5"/>
    <x v="6"/>
    <x v="0"/>
    <s v="4925107"/>
    <n v="700026"/>
    <s v="Salaries-RN-OT"/>
    <s v="Cardiovascular"/>
    <x v="0"/>
    <n v="1000"/>
    <n v="6333.26"/>
    <n v="9723.6200000000008"/>
    <n v="5812.26"/>
    <n v="6743.08"/>
    <n v="11724.09"/>
    <n v="9841.5499999999993"/>
    <n v="8294.07"/>
    <n v="4006.37"/>
    <n v="6018"/>
    <n v="7915.63"/>
    <n v="13220.71"/>
    <n v="8334.52"/>
    <n v="97967.160000000018"/>
    <n v="4886.1899999999987"/>
  </r>
  <r>
    <x v="5"/>
    <x v="6"/>
    <x v="0"/>
    <s v="4925107"/>
    <n v="700026"/>
    <s v="Salaries-RN-Other"/>
    <s v="Cardiovascular"/>
    <x v="0"/>
    <n v="2000"/>
    <n v="10822.75"/>
    <n v="10360.870000000001"/>
    <n v="11568.78"/>
    <n v="10796.31"/>
    <n v="13981.77"/>
    <n v="10574.91"/>
    <n v="10717.63"/>
    <n v="9018.24"/>
    <n v="10497.81"/>
    <n v="10427.209999999999"/>
    <n v="9996.0499999999993"/>
    <n v="11834.48"/>
    <n v="130596.81"/>
    <n v="-1838.4300000000003"/>
  </r>
  <r>
    <x v="5"/>
    <x v="6"/>
    <x v="0"/>
    <s v="4925107"/>
    <n v="700030"/>
    <s v="Salaries-LPN-Productive"/>
    <s v="Cardiovascular"/>
    <x v="0"/>
    <m/>
    <n v="0"/>
    <n v="730.58"/>
    <n v="-219.14"/>
    <n v="0"/>
    <n v="0"/>
    <n v="285.06"/>
    <n v="-35.619999999999997"/>
    <n v="0"/>
    <n v="0"/>
    <n v="0"/>
    <n v="0"/>
    <n v="22.52"/>
    <n v="783.4"/>
    <n v="-22.52"/>
  </r>
  <r>
    <x v="5"/>
    <x v="6"/>
    <x v="0"/>
    <s v="4925107"/>
    <n v="700030"/>
    <s v="Salaries-LPN-OT"/>
    <s v="Cardiovascular"/>
    <x v="0"/>
    <n v="1000"/>
    <n v="0"/>
    <n v="87.03"/>
    <n v="-26.1"/>
    <n v="0"/>
    <n v="0"/>
    <n v="0"/>
    <n v="0"/>
    <n v="0"/>
    <n v="0"/>
    <n v="0"/>
    <n v="0"/>
    <n v="0"/>
    <n v="60.93"/>
    <n v="0"/>
  </r>
  <r>
    <x v="5"/>
    <x v="6"/>
    <x v="0"/>
    <s v="4925107"/>
    <n v="700030"/>
    <s v="Salaries-LPN-Other"/>
    <s v="Cardiovascular"/>
    <x v="0"/>
    <n v="2000"/>
    <n v="0"/>
    <n v="9.7100000000000009"/>
    <n v="-2.91"/>
    <n v="0"/>
    <n v="0"/>
    <n v="0"/>
    <n v="0"/>
    <n v="0"/>
    <n v="0"/>
    <n v="0"/>
    <n v="0"/>
    <n v="0"/>
    <n v="6.8000000000000007"/>
    <n v="0"/>
  </r>
  <r>
    <x v="5"/>
    <x v="6"/>
    <x v="0"/>
    <s v="4925107"/>
    <n v="700032"/>
    <s v="Salaries-Other Pat Care Providers-Productive"/>
    <s v="Cardiovascular"/>
    <x v="0"/>
    <m/>
    <n v="3601.3"/>
    <n v="2495.9299999999998"/>
    <n v="4116.6400000000003"/>
    <n v="3797.47"/>
    <n v="3521.45"/>
    <n v="2405.56"/>
    <n v="3694.5"/>
    <n v="3703.7"/>
    <n v="3649.45"/>
    <n v="3777.92"/>
    <n v="2359.7199999999998"/>
    <n v="4320.55"/>
    <n v="41444.19"/>
    <n v="-1960.8300000000004"/>
  </r>
  <r>
    <x v="5"/>
    <x v="6"/>
    <x v="0"/>
    <s v="4925107"/>
    <n v="700032"/>
    <s v="Salaries-Other Pat Care Providers-OT"/>
    <s v="Cardiovascular"/>
    <x v="0"/>
    <n v="1000"/>
    <n v="175.54"/>
    <n v="812.8"/>
    <n v="48.02"/>
    <n v="311.14"/>
    <n v="378.38"/>
    <n v="199.05"/>
    <n v="114.9"/>
    <n v="298.08999999999997"/>
    <n v="212.42"/>
    <n v="118.91"/>
    <n v="206.1"/>
    <n v="254.42"/>
    <n v="3129.77"/>
    <n v="-48.319999999999993"/>
  </r>
  <r>
    <x v="5"/>
    <x v="6"/>
    <x v="0"/>
    <s v="4925107"/>
    <n v="700032"/>
    <s v="Salaries-Other Pat Care Providers-Other"/>
    <s v="Cardiovascular"/>
    <x v="0"/>
    <n v="2000"/>
    <n v="0"/>
    <n v="0"/>
    <n v="3.53"/>
    <n v="-1.28"/>
    <n v="0"/>
    <n v="0"/>
    <n v="0"/>
    <n v="0"/>
    <n v="0"/>
    <n v="0"/>
    <n v="0"/>
    <n v="0"/>
    <n v="2.25"/>
    <n v="0"/>
  </r>
  <r>
    <x v="5"/>
    <x v="6"/>
    <x v="0"/>
    <s v="4925107"/>
    <n v="700034"/>
    <s v="Salaries-Tech/Professional-Productive"/>
    <s v="Cardiovascular"/>
    <x v="0"/>
    <m/>
    <n v="101459.21"/>
    <n v="98253.86"/>
    <n v="88384.26"/>
    <n v="109418.19"/>
    <n v="107406.92"/>
    <n v="86717.62"/>
    <n v="95932.88"/>
    <n v="100084.13"/>
    <n v="103971.11"/>
    <n v="86328.81"/>
    <n v="110712.7"/>
    <n v="88051.85"/>
    <n v="1176721.54"/>
    <n v="22660.849999999991"/>
  </r>
  <r>
    <x v="5"/>
    <x v="6"/>
    <x v="0"/>
    <s v="4925107"/>
    <n v="700034"/>
    <s v="Salaries-Tech/Professional-OT"/>
    <s v="Cardiovascular"/>
    <x v="0"/>
    <n v="1000"/>
    <n v="2284.0500000000002"/>
    <n v="2451"/>
    <n v="3813.61"/>
    <n v="4323.91"/>
    <n v="7197.42"/>
    <n v="1178.55"/>
    <n v="2631.29"/>
    <n v="1556.45"/>
    <n v="2782.42"/>
    <n v="3657.6"/>
    <n v="3140.18"/>
    <n v="5336.93"/>
    <n v="40353.409999999996"/>
    <n v="-2196.7500000000005"/>
  </r>
  <r>
    <x v="5"/>
    <x v="6"/>
    <x v="0"/>
    <s v="4925107"/>
    <n v="700034"/>
    <s v="Salaries-Tech/Professional-Other"/>
    <s v="Cardiovascular"/>
    <x v="0"/>
    <n v="2000"/>
    <n v="9599.51"/>
    <n v="9283.75"/>
    <n v="8938.61"/>
    <n v="9954.7099999999991"/>
    <n v="8253.86"/>
    <n v="9581.14"/>
    <n v="8608.02"/>
    <n v="8250.07"/>
    <n v="8556.58"/>
    <n v="8273.23"/>
    <n v="8785.35"/>
    <n v="8569.65"/>
    <n v="106654.48000000001"/>
    <n v="215.70000000000073"/>
  </r>
  <r>
    <x v="5"/>
    <x v="6"/>
    <x v="0"/>
    <s v="4925107"/>
    <n v="700054"/>
    <s v="Salaries-Management-Non-productive"/>
    <s v="Cardiovascular"/>
    <x v="0"/>
    <m/>
    <n v="1902.4"/>
    <n v="0"/>
    <n v="380.48"/>
    <n v="756.13"/>
    <n v="445.03"/>
    <n v="3557.45"/>
    <n v="727.2"/>
    <n v="2877.47"/>
    <n v="-333.1"/>
    <n v="2120.31"/>
    <n v="2453.41"/>
    <n v="-757.16"/>
    <n v="14129.619999999999"/>
    <n v="3210.5699999999997"/>
  </r>
  <r>
    <x v="5"/>
    <x v="6"/>
    <x v="0"/>
    <s v="4925107"/>
    <n v="700054"/>
    <s v="Salaries-Management-NonProd-Other"/>
    <s v="Cardiovascular"/>
    <x v="0"/>
    <n v="2000"/>
    <n v="0"/>
    <n v="0"/>
    <n v="0"/>
    <n v="0"/>
    <n v="0"/>
    <n v="406.3"/>
    <n v="-406.3"/>
    <n v="0"/>
    <n v="0"/>
    <n v="0"/>
    <n v="0"/>
    <n v="0"/>
    <n v="0"/>
    <n v="0"/>
  </r>
  <r>
    <x v="5"/>
    <x v="6"/>
    <x v="0"/>
    <s v="4925107"/>
    <n v="700066"/>
    <s v="Salaries-RN-Non-productive"/>
    <s v="Cardiovascular"/>
    <x v="0"/>
    <m/>
    <n v="12803.21"/>
    <n v="8134.35"/>
    <n v="11819.13"/>
    <n v="8626.86"/>
    <n v="9545.02"/>
    <n v="21503.49"/>
    <n v="11625.57"/>
    <n v="8407.9699999999993"/>
    <n v="10975.78"/>
    <n v="11299.09"/>
    <n v="15081.58"/>
    <n v="7612.36"/>
    <n v="137434.41"/>
    <n v="7469.22"/>
  </r>
  <r>
    <x v="5"/>
    <x v="6"/>
    <x v="0"/>
    <s v="4925107"/>
    <n v="700066"/>
    <s v="Salaries-RN-NonProd-Other"/>
    <s v="Cardiovascular"/>
    <x v="0"/>
    <n v="2000"/>
    <n v="1689.41"/>
    <n v="3183.85"/>
    <n v="2573.0500000000002"/>
    <n v="2260.5700000000002"/>
    <n v="2835.51"/>
    <n v="2700.64"/>
    <n v="2094.0100000000002"/>
    <n v="2835.2"/>
    <n v="2550.9699999999998"/>
    <n v="1888.74"/>
    <n v="2609.9499999999998"/>
    <n v="3051.59"/>
    <n v="30273.490000000005"/>
    <n v="-441.64000000000033"/>
  </r>
  <r>
    <x v="5"/>
    <x v="6"/>
    <x v="0"/>
    <s v="4925107"/>
    <n v="700072"/>
    <s v="Salaries-Other Pat Care Providers-Non-productive"/>
    <s v="Cardiovascular"/>
    <x v="0"/>
    <m/>
    <n v="672.61"/>
    <n v="2147.06"/>
    <n v="-394.5"/>
    <n v="155.9"/>
    <n v="510.79"/>
    <n v="2007.69"/>
    <n v="307.77999999999997"/>
    <n v="221.28"/>
    <n v="230.18"/>
    <n v="132.91"/>
    <n v="2416.48"/>
    <n v="-587.91"/>
    <n v="7820.27"/>
    <n v="3004.39"/>
  </r>
  <r>
    <x v="5"/>
    <x v="6"/>
    <x v="0"/>
    <s v="4925107"/>
    <n v="700072"/>
    <s v="Salaries-Other Pat Care Providers-NonProd-Other"/>
    <s v="Cardiovascular"/>
    <x v="0"/>
    <n v="2000"/>
    <n v="0"/>
    <n v="26.75"/>
    <n v="-8.02"/>
    <n v="0"/>
    <n v="396.51"/>
    <n v="0"/>
    <n v="0"/>
    <n v="-396.51"/>
    <n v="0"/>
    <n v="0"/>
    <n v="0"/>
    <n v="0"/>
    <n v="18.730000000000018"/>
    <n v="0"/>
  </r>
  <r>
    <x v="5"/>
    <x v="6"/>
    <x v="0"/>
    <s v="4925107"/>
    <n v="700074"/>
    <s v="Salaries-Tech/Professional-Non-productive"/>
    <s v="Cardiovascular"/>
    <x v="0"/>
    <m/>
    <n v="18141.439999999999"/>
    <n v="15847.28"/>
    <n v="18688.38"/>
    <n v="10188.69"/>
    <n v="17002.740000000002"/>
    <n v="27403.81"/>
    <n v="14691.02"/>
    <n v="3984.8"/>
    <n v="9770.17"/>
    <n v="15004.23"/>
    <n v="3897.92"/>
    <n v="15432.45"/>
    <n v="170052.93000000005"/>
    <n v="-11534.53"/>
  </r>
  <r>
    <x v="5"/>
    <x v="6"/>
    <x v="0"/>
    <s v="4925107"/>
    <n v="700074"/>
    <s v="Salaries-Tech/Professional-NonProd-Other"/>
    <s v="Cardiovascular"/>
    <x v="0"/>
    <n v="2000"/>
    <n v="3820.88"/>
    <n v="3781.67"/>
    <n v="1972.12"/>
    <n v="3123.13"/>
    <n v="3328.97"/>
    <n v="4675.32"/>
    <n v="2438.0500000000002"/>
    <n v="2528.38"/>
    <n v="3818.01"/>
    <n v="3467.36"/>
    <n v="4060.18"/>
    <n v="3726.06"/>
    <n v="40740.129999999997"/>
    <n v="334.11999999999989"/>
  </r>
  <r>
    <x v="5"/>
    <x v="6"/>
    <x v="0"/>
    <s v="4925107"/>
    <n v="700084"/>
    <s v="Accrued PTO"/>
    <s v="Cardiovascular"/>
    <x v="0"/>
    <m/>
    <n v="-1993.9"/>
    <n v="3228.44"/>
    <n v="-462.22"/>
    <n v="12771.54"/>
    <n v="6037.55"/>
    <n v="-15940.06"/>
    <n v="6066.32"/>
    <n v="10319.81"/>
    <n v="11866.82"/>
    <n v="8971.91"/>
    <n v="6465.27"/>
    <n v="9100.8799999999992"/>
    <n v="56432.359999999993"/>
    <n v="-2635.6099999999988"/>
  </r>
  <r>
    <x v="10"/>
    <x v="6"/>
    <x v="0"/>
    <s v="4925107"/>
    <n v="710060"/>
    <s v="Contract Labor-Other"/>
    <s v="Cardiovascular"/>
    <x v="0"/>
    <m/>
    <n v="8992.5"/>
    <n v="-20391.25"/>
    <n v="0"/>
    <n v="0"/>
    <n v="0"/>
    <n v="0"/>
    <n v="0"/>
    <n v="0"/>
    <n v="4880"/>
    <n v="14920"/>
    <n v="15200"/>
    <n v="0"/>
    <n v="23601.25"/>
    <n v="15200"/>
  </r>
  <r>
    <x v="10"/>
    <x v="6"/>
    <x v="0"/>
    <s v="4925107"/>
    <n v="710060"/>
    <s v="Contract Labor-Overtime"/>
    <s v="Cardiovascular"/>
    <x v="0"/>
    <n v="5100"/>
    <n v="1690.87"/>
    <n v="-3292.31"/>
    <n v="0"/>
    <n v="0"/>
    <n v="0"/>
    <n v="0"/>
    <n v="0"/>
    <n v="0"/>
    <n v="0"/>
    <n v="4455"/>
    <n v="5832"/>
    <n v="783"/>
    <n v="9468.56"/>
    <n v="5049"/>
  </r>
  <r>
    <x v="10"/>
    <x v="6"/>
    <x v="0"/>
    <s v="4925107"/>
    <n v="710060"/>
    <s v="Contract Labor-Standby Wages"/>
    <s v="Cardiovascular"/>
    <x v="0"/>
    <n v="5101"/>
    <n v="1718"/>
    <n v="-2940"/>
    <n v="0"/>
    <n v="0"/>
    <n v="0"/>
    <n v="0"/>
    <n v="0"/>
    <n v="0"/>
    <n v="0"/>
    <n v="718"/>
    <n v="1076"/>
    <n v="-783"/>
    <n v="-211"/>
    <n v="1859"/>
  </r>
  <r>
    <x v="6"/>
    <x v="6"/>
    <x v="0"/>
    <s v="4925107"/>
    <n v="713010"/>
    <s v="Benefits-FICA/Medicare"/>
    <s v="Cardiovascular"/>
    <x v="0"/>
    <m/>
    <n v="21567.58"/>
    <n v="21939.87"/>
    <n v="20620.919999999998"/>
    <n v="23079.119999999999"/>
    <n v="23255.86"/>
    <n v="20229.330000000002"/>
    <n v="22345.13"/>
    <n v="20274.22"/>
    <n v="22100.25"/>
    <n v="21707.22"/>
    <n v="22738.29"/>
    <n v="22272.59"/>
    <n v="262130.38"/>
    <n v="465.70000000000073"/>
  </r>
  <r>
    <x v="6"/>
    <x v="6"/>
    <x v="0"/>
    <s v="4925107"/>
    <n v="713090"/>
    <s v="Benefits-Allocated Amounts"/>
    <s v="Cardiovascular"/>
    <x v="0"/>
    <m/>
    <n v="39672.44"/>
    <n v="36071.730000000003"/>
    <n v="37453.9"/>
    <n v="40915.47"/>
    <n v="50064.04"/>
    <n v="39438.19"/>
    <n v="40619.300000000003"/>
    <n v="39065.56"/>
    <n v="32806.550000000003"/>
    <n v="41538.129999999997"/>
    <n v="40853.81"/>
    <n v="47196.7"/>
    <n v="485695.82"/>
    <n v="-6342.8899999999994"/>
  </r>
  <r>
    <x v="6"/>
    <x v="6"/>
    <x v="0"/>
    <s v="4925107"/>
    <n v="713096"/>
    <s v="Employee Recognition"/>
    <s v="Cardiovascular"/>
    <x v="0"/>
    <n v="1017"/>
    <n v="0"/>
    <n v="0"/>
    <n v="47.94"/>
    <n v="0"/>
    <n v="82.31"/>
    <n v="0"/>
    <n v="57.97"/>
    <n v="0"/>
    <n v="0"/>
    <n v="0"/>
    <n v="72.010000000000005"/>
    <n v="130.80000000000001"/>
    <n v="391.03000000000003"/>
    <n v="-58.790000000000006"/>
  </r>
  <r>
    <x v="17"/>
    <x v="6"/>
    <x v="0"/>
    <s v="4925107"/>
    <n v="714530"/>
    <s v="Medical Prof Fees-Intracompany"/>
    <s v="Cardiovascular"/>
    <x v="0"/>
    <m/>
    <n v="0"/>
    <n v="0"/>
    <n v="0"/>
    <n v="0"/>
    <n v="0"/>
    <n v="0"/>
    <n v="0"/>
    <n v="0"/>
    <n v="288537.8"/>
    <n v="29525.03"/>
    <n v="26819.37"/>
    <n v="212707.34"/>
    <n v="557589.53999999992"/>
    <n v="-185887.97"/>
  </r>
  <r>
    <x v="7"/>
    <x v="6"/>
    <x v="0"/>
    <s v="4925107"/>
    <n v="718050"/>
    <s v="Contract Svcs-Other"/>
    <s v="Cardiovascular"/>
    <x v="0"/>
    <m/>
    <n v="0"/>
    <n v="0"/>
    <n v="2264.15"/>
    <n v="0"/>
    <n v="0"/>
    <n v="200.9"/>
    <n v="0"/>
    <n v="1583.04"/>
    <n v="0"/>
    <n v="0"/>
    <n v="0"/>
    <n v="0"/>
    <n v="4048.09"/>
    <n v="0"/>
  </r>
  <r>
    <x v="7"/>
    <x v="6"/>
    <x v="0"/>
    <s v="4925107"/>
    <n v="718050"/>
    <s v="Miscellaneous Purchased Svcs"/>
    <s v="Cardiovascular"/>
    <x v="0"/>
    <n v="1020"/>
    <n v="0"/>
    <n v="0"/>
    <n v="0"/>
    <n v="0"/>
    <n v="0"/>
    <n v="0"/>
    <n v="3724.1"/>
    <n v="0"/>
    <n v="-713.95"/>
    <n v="0"/>
    <n v="0"/>
    <n v="0"/>
    <n v="3010.1499999999996"/>
    <n v="0"/>
  </r>
  <r>
    <x v="7"/>
    <x v="6"/>
    <x v="0"/>
    <s v="4925107"/>
    <n v="718050"/>
    <s v="Contract Management--Linen"/>
    <s v="Cardiovascular"/>
    <x v="0"/>
    <n v="1026"/>
    <n v="2874.01"/>
    <n v="3037.3"/>
    <n v="2954.15"/>
    <n v="3460.32"/>
    <n v="3306.65"/>
    <n v="2973.01"/>
    <n v="2948.42"/>
    <n v="3333.89"/>
    <n v="2999.28"/>
    <n v="3302.64"/>
    <n v="2918.75"/>
    <n v="4371.12"/>
    <n v="38479.54"/>
    <n v="-1452.37"/>
  </r>
  <r>
    <x v="7"/>
    <x v="6"/>
    <x v="0"/>
    <s v="4925107"/>
    <n v="718070"/>
    <s v="Contract Srvcs-CHI Clinical Engineering"/>
    <s v="Cardiovascular"/>
    <x v="0"/>
    <m/>
    <n v="31049.94"/>
    <n v="27508.92"/>
    <n v="20983.68"/>
    <n v="22353.66"/>
    <n v="28865.37"/>
    <n v="28852.58"/>
    <n v="28853.32"/>
    <n v="31612.42"/>
    <n v="28852.74"/>
    <n v="28950.11"/>
    <n v="28865.77"/>
    <n v="28864.29"/>
    <n v="335612.8"/>
    <n v="1.4799999999995634"/>
  </r>
  <r>
    <x v="7"/>
    <x v="6"/>
    <x v="0"/>
    <s v="4925107"/>
    <n v="718091"/>
    <s v="Contract Services-Intracompany Allocation"/>
    <s v="Cardiovascular"/>
    <x v="0"/>
    <m/>
    <n v="51174.400000000001"/>
    <n v="60124.12"/>
    <n v="45279.45"/>
    <n v="66659.460000000006"/>
    <n v="52364.01"/>
    <n v="72294.070000000007"/>
    <n v="69691.740000000005"/>
    <n v="69120.27"/>
    <n v="72242.710000000006"/>
    <n v="28454.34"/>
    <n v="75287.56"/>
    <n v="60586.41"/>
    <n v="723278.53999999992"/>
    <n v="14701.149999999994"/>
  </r>
  <r>
    <x v="11"/>
    <x v="6"/>
    <x v="0"/>
    <s v="4925107"/>
    <n v="721010"/>
    <s v="Supplies-Medical - Billable"/>
    <s v="Cardiovascular"/>
    <x v="0"/>
    <m/>
    <n v="6509.98"/>
    <n v="9732.0499999999993"/>
    <n v="11055.78"/>
    <n v="9076.7900000000009"/>
    <n v="9438.4500000000007"/>
    <n v="4484.7299999999996"/>
    <n v="10870.55"/>
    <n v="9544.57"/>
    <n v="17587.93"/>
    <n v="13861.7"/>
    <n v="10745.62"/>
    <n v="12318.92"/>
    <n v="125227.06999999998"/>
    <n v="-1573.2999999999993"/>
  </r>
  <r>
    <x v="11"/>
    <x v="6"/>
    <x v="0"/>
    <s v="4925107"/>
    <n v="721010"/>
    <s v="Patient Monitoring"/>
    <s v="Cardiovascular"/>
    <x v="0"/>
    <n v="1000"/>
    <n v="19865.64"/>
    <n v="24296.02"/>
    <n v="17872.32"/>
    <n v="26593.07"/>
    <n v="28975.02"/>
    <n v="20965.57"/>
    <n v="26843.99"/>
    <n v="19570.14"/>
    <n v="27001.54"/>
    <n v="25638.26"/>
    <n v="28103.72"/>
    <n v="21658.23"/>
    <n v="287383.52"/>
    <n v="6445.4900000000016"/>
  </r>
  <r>
    <x v="11"/>
    <x v="6"/>
    <x v="0"/>
    <s v="4925107"/>
    <n v="721020"/>
    <s v="Supplies-Surgical - Billable"/>
    <s v="Cardiovascular"/>
    <x v="0"/>
    <m/>
    <n v="26584.53"/>
    <n v="14021.74"/>
    <n v="23341.97"/>
    <n v="20821.66"/>
    <n v="-485.5"/>
    <n v="21496.560000000001"/>
    <n v="26715.26"/>
    <n v="22433.35"/>
    <n v="27307.23"/>
    <n v="32889.81"/>
    <n v="38102.15"/>
    <n v="39837.31"/>
    <n v="293066.07"/>
    <n v="-1735.1599999999962"/>
  </r>
  <r>
    <x v="11"/>
    <x v="6"/>
    <x v="0"/>
    <s v="4925107"/>
    <n v="721020"/>
    <s v="Custom Packs"/>
    <s v="Cardiovascular"/>
    <x v="0"/>
    <n v="1000"/>
    <n v="10301.69"/>
    <n v="10624.98"/>
    <n v="10126.06"/>
    <n v="12294.92"/>
    <n v="12688"/>
    <n v="10086.370000000001"/>
    <n v="9463.58"/>
    <n v="8501.3799999999992"/>
    <n v="9989.57"/>
    <n v="10445.68"/>
    <n v="11452.64"/>
    <n v="10478.120000000001"/>
    <n v="126452.98999999998"/>
    <n v="974.51999999999862"/>
  </r>
  <r>
    <x v="11"/>
    <x v="6"/>
    <x v="0"/>
    <s v="4925107"/>
    <n v="721020"/>
    <s v="Suture/Wound Closure"/>
    <s v="Cardiovascular"/>
    <x v="0"/>
    <n v="1001"/>
    <n v="704.73"/>
    <n v="129.72"/>
    <n v="628.91999999999996"/>
    <n v="131.52000000000001"/>
    <n v="195.84"/>
    <n v="356.39"/>
    <n v="0"/>
    <n v="1379.82"/>
    <n v="139.11000000000001"/>
    <n v="265.01"/>
    <n v="115.99"/>
    <n v="989.24"/>
    <n v="5036.2899999999991"/>
    <n v="-873.25"/>
  </r>
  <r>
    <x v="11"/>
    <x v="6"/>
    <x v="0"/>
    <s v="4925107"/>
    <n v="721020"/>
    <s v="Endomechanical Supplies &amp; Instruments"/>
    <s v="Cardiovascular"/>
    <x v="0"/>
    <n v="1003"/>
    <n v="0"/>
    <n v="0"/>
    <n v="75.34"/>
    <n v="0"/>
    <n v="0"/>
    <n v="0"/>
    <n v="0"/>
    <n v="0"/>
    <n v="0"/>
    <n v="0"/>
    <n v="625"/>
    <n v="0"/>
    <n v="700.34"/>
    <n v="625"/>
  </r>
  <r>
    <x v="11"/>
    <x v="6"/>
    <x v="0"/>
    <s v="4925107"/>
    <n v="721020"/>
    <s v="Heart/Lung Machine Supplies"/>
    <s v="Cardiovascular"/>
    <x v="0"/>
    <n v="1005"/>
    <n v="0"/>
    <n v="0"/>
    <n v="0"/>
    <n v="0"/>
    <n v="0"/>
    <n v="0"/>
    <n v="0"/>
    <n v="0"/>
    <n v="0"/>
    <n v="0"/>
    <n v="617.4"/>
    <n v="0"/>
    <n v="617.4"/>
    <n v="617.4"/>
  </r>
  <r>
    <x v="11"/>
    <x v="6"/>
    <x v="0"/>
    <s v="4925107"/>
    <n v="721020"/>
    <s v="Urological Supplies"/>
    <s v="Cardiovascular"/>
    <x v="0"/>
    <n v="1006"/>
    <n v="1746.17"/>
    <n v="9004.31"/>
    <n v="7467.5"/>
    <n v="379.68"/>
    <n v="6514.29"/>
    <n v="332.31"/>
    <n v="11543.73"/>
    <n v="1281.0899999999999"/>
    <n v="3823.3"/>
    <n v="1919.26"/>
    <n v="176.61"/>
    <n v="1086.26"/>
    <n v="45274.510000000009"/>
    <n v="-909.65"/>
  </r>
  <r>
    <x v="11"/>
    <x v="6"/>
    <x v="0"/>
    <s v="4925107"/>
    <n v="721020"/>
    <s v="Surgical Cardiovascular"/>
    <s v="Cardiovascular"/>
    <x v="0"/>
    <n v="1007"/>
    <n v="34051.57"/>
    <n v="73136.210000000006"/>
    <n v="14543.4"/>
    <n v="23672.1"/>
    <n v="30894.3"/>
    <n v="75135.899999999994"/>
    <n v="100566.1"/>
    <n v="31052.799999999999"/>
    <n v="85677.92"/>
    <n v="72600.850000000006"/>
    <n v="53050.43"/>
    <n v="47105.41"/>
    <n v="641486.99"/>
    <n v="5945.0199999999968"/>
  </r>
  <r>
    <x v="11"/>
    <x v="6"/>
    <x v="0"/>
    <s v="4925107"/>
    <n v="721020"/>
    <s v="Tubes Drains &amp; Related Supplies"/>
    <s v="Cardiovascular"/>
    <x v="0"/>
    <n v="1008"/>
    <n v="331.36"/>
    <n v="331.36"/>
    <n v="523.05999999999995"/>
    <n v="994.08"/>
    <n v="331.36"/>
    <n v="194.56"/>
    <n v="304"/>
    <n v="635.36"/>
    <n v="-54.72"/>
    <n v="0"/>
    <n v="662.72"/>
    <n v="939.36"/>
    <n v="5192.5"/>
    <n v="-276.64"/>
  </r>
  <r>
    <x v="11"/>
    <x v="6"/>
    <x v="0"/>
    <s v="4925107"/>
    <n v="721050"/>
    <s v="Supplies-Cardiac Rhythm - Billable"/>
    <s v="Cardiovascular"/>
    <x v="0"/>
    <m/>
    <n v="438241.46"/>
    <n v="615373.1"/>
    <n v="441288.11"/>
    <n v="497064.75"/>
    <n v="532222.05000000005"/>
    <n v="515038.61"/>
    <n v="496460.31"/>
    <n v="419526.53"/>
    <n v="569132.44999999995"/>
    <n v="529899.26"/>
    <n v="719531.99"/>
    <n v="654728.34"/>
    <n v="6428506.96"/>
    <n v="64803.650000000023"/>
  </r>
  <r>
    <x v="11"/>
    <x v="6"/>
    <x v="0"/>
    <s v="4925107"/>
    <n v="721050"/>
    <s v="Pacemakers - Internal"/>
    <s v="Cardiovascular"/>
    <x v="0"/>
    <n v="1000"/>
    <n v="54207.14"/>
    <n v="87108.14"/>
    <n v="49529.06"/>
    <n v="48799.64"/>
    <n v="112322.97"/>
    <n v="154973.29999999999"/>
    <n v="65540.91"/>
    <n v="53349.39"/>
    <n v="119011.66"/>
    <n v="153559.5"/>
    <n v="120968.5"/>
    <n v="125188"/>
    <n v="1144558.21"/>
    <n v="-4219.5"/>
  </r>
  <r>
    <x v="11"/>
    <x v="6"/>
    <x v="0"/>
    <s v="4925107"/>
    <n v="721050"/>
    <s v="AICD"/>
    <s v="Cardiovascular"/>
    <x v="0"/>
    <n v="1001"/>
    <n v="71648"/>
    <n v="3011.98"/>
    <n v="84543"/>
    <n v="129443.98"/>
    <n v="129677"/>
    <n v="148627.01999999999"/>
    <n v="109252"/>
    <n v="41823"/>
    <n v="129068"/>
    <n v="83513"/>
    <n v="87591"/>
    <n v="151622"/>
    <n v="1169819.98"/>
    <n v="-64031"/>
  </r>
  <r>
    <x v="11"/>
    <x v="6"/>
    <x v="0"/>
    <s v="4925107"/>
    <n v="721050"/>
    <s v="Electrophysiology Products"/>
    <s v="Cardiovascular"/>
    <x v="0"/>
    <n v="1002"/>
    <n v="39305.71"/>
    <n v="31256.71"/>
    <n v="24408.07"/>
    <n v="31577.63"/>
    <n v="28476.14"/>
    <n v="15327.31"/>
    <n v="19046.03"/>
    <n v="28419.18"/>
    <n v="40058.57"/>
    <n v="48859.11"/>
    <n v="33787.620000000003"/>
    <n v="48197.07"/>
    <n v="388719.15"/>
    <n v="-14409.449999999997"/>
  </r>
  <r>
    <x v="11"/>
    <x v="6"/>
    <x v="0"/>
    <s v="4925107"/>
    <n v="721060"/>
    <s v="Supplies-Heart Valves - Billable"/>
    <s v="Cardiovascular"/>
    <x v="0"/>
    <m/>
    <n v="177125"/>
    <n v="106275"/>
    <n v="312975"/>
    <n v="315900"/>
    <n v="153725"/>
    <n v="112775"/>
    <n v="197925"/>
    <n v="59150"/>
    <n v="177125"/>
    <n v="242125"/>
    <n v="103675"/>
    <n v="247975"/>
    <n v="2206750"/>
    <n v="-144300"/>
  </r>
  <r>
    <x v="11"/>
    <x v="6"/>
    <x v="0"/>
    <s v="4925107"/>
    <n v="721070"/>
    <s v="Supplies-Stents - Billable"/>
    <s v="Cardiovascular"/>
    <x v="0"/>
    <m/>
    <n v="2350"/>
    <n v="7698"/>
    <n v="65046.5"/>
    <n v="42132"/>
    <n v="8306.5"/>
    <n v="25794"/>
    <n v="20303"/>
    <n v="25515.5"/>
    <n v="47804"/>
    <n v="16473.5"/>
    <n v="13853.5"/>
    <n v="17327"/>
    <n v="292603.5"/>
    <n v="-3473.5"/>
  </r>
  <r>
    <x v="11"/>
    <x v="6"/>
    <x v="0"/>
    <s v="4925107"/>
    <n v="721070"/>
    <s v="Coronary Stents DES"/>
    <s v="Cardiovascular"/>
    <x v="0"/>
    <n v="1000"/>
    <n v="98100"/>
    <n v="81900"/>
    <n v="95548.51"/>
    <n v="110700"/>
    <n v="134100"/>
    <n v="114300"/>
    <n v="145800"/>
    <n v="139500"/>
    <n v="122400"/>
    <n v="101700"/>
    <n v="121500"/>
    <n v="111600"/>
    <n v="1377148.51"/>
    <n v="9900"/>
  </r>
  <r>
    <x v="11"/>
    <x v="6"/>
    <x v="0"/>
    <s v="4925107"/>
    <n v="721070"/>
    <s v="Peripheral Stents"/>
    <s v="Cardiovascular"/>
    <x v="0"/>
    <n v="1001"/>
    <n v="20546.830000000002"/>
    <n v="18520.900000000001"/>
    <n v="30549.58"/>
    <n v="45599.8"/>
    <n v="26430.66"/>
    <n v="8993.41"/>
    <n v="12652.42"/>
    <n v="22521.57"/>
    <n v="25918.79"/>
    <n v="12642.76"/>
    <n v="27093.67"/>
    <n v="19530.580000000002"/>
    <n v="271000.97000000003"/>
    <n v="7563.0899999999965"/>
  </r>
  <r>
    <x v="11"/>
    <x v="6"/>
    <x v="0"/>
    <s v="4925107"/>
    <n v="721110"/>
    <s v="Supplies-Grafts - Billable"/>
    <s v="Cardiovascular"/>
    <x v="0"/>
    <m/>
    <n v="7980.51"/>
    <n v="10308.43"/>
    <n v="12593.41"/>
    <n v="6073.82"/>
    <n v="5741.79"/>
    <n v="77173.8"/>
    <n v="2308.27"/>
    <n v="4521.6099999999997"/>
    <n v="23372.81"/>
    <n v="6164.8"/>
    <n v="10573.41"/>
    <n v="1164.3699999999999"/>
    <n v="167977.03"/>
    <n v="9409.0400000000009"/>
  </r>
  <r>
    <x v="11"/>
    <x v="6"/>
    <x v="0"/>
    <s v="4925107"/>
    <n v="721150"/>
    <s v="Supplies-Other Implants - Billable"/>
    <s v="Cardiovascular"/>
    <x v="0"/>
    <m/>
    <n v="1074"/>
    <n v="1432"/>
    <n v="716"/>
    <n v="1074"/>
    <n v="358"/>
    <n v="9900"/>
    <n v="358"/>
    <n v="2148"/>
    <n v="716"/>
    <n v="1074"/>
    <n v="1432"/>
    <n v="716"/>
    <n v="20998"/>
    <n v="716"/>
  </r>
  <r>
    <x v="11"/>
    <x v="6"/>
    <x v="0"/>
    <s v="4925107"/>
    <n v="721150"/>
    <s v="Fracture Management"/>
    <s v="Cardiovascular"/>
    <x v="0"/>
    <n v="1001"/>
    <n v="0"/>
    <n v="484"/>
    <n v="242"/>
    <n v="242"/>
    <n v="264"/>
    <n v="264"/>
    <n v="154"/>
    <n v="0"/>
    <n v="330"/>
    <n v="-1018.44"/>
    <n v="402.72"/>
    <n v="286"/>
    <n v="1650.28"/>
    <n v="116.72000000000003"/>
  </r>
  <r>
    <x v="11"/>
    <x v="6"/>
    <x v="0"/>
    <s v="4925107"/>
    <n v="721210"/>
    <s v="Supplies-Anesthesia - Billable"/>
    <s v="Cardiovascular"/>
    <x v="0"/>
    <m/>
    <n v="55.74"/>
    <n v="0"/>
    <n v="0"/>
    <n v="0"/>
    <n v="0"/>
    <n v="0"/>
    <n v="0"/>
    <n v="0"/>
    <n v="0"/>
    <n v="0"/>
    <n v="0"/>
    <n v="0"/>
    <n v="55.74"/>
    <n v="0"/>
  </r>
  <r>
    <x v="11"/>
    <x v="6"/>
    <x v="0"/>
    <s v="4925107"/>
    <n v="721240"/>
    <s v="Supplies-IV Solutions/Supplies - Billable"/>
    <s v="Cardiovascular"/>
    <x v="0"/>
    <m/>
    <n v="10041.9"/>
    <n v="10444.719999999999"/>
    <n v="7659.62"/>
    <n v="9249.32"/>
    <n v="6217.9"/>
    <n v="8255.93"/>
    <n v="6237.46"/>
    <n v="4872.05"/>
    <n v="9063.16"/>
    <n v="7360.34"/>
    <n v="6743.1"/>
    <n v="4852.3500000000004"/>
    <n v="90997.85"/>
    <n v="1890.75"/>
  </r>
  <r>
    <x v="11"/>
    <x v="6"/>
    <x v="0"/>
    <s v="4925107"/>
    <n v="721250"/>
    <s v="Supplies-Pharmacy Drugs - Billable"/>
    <s v="Cardiovascular"/>
    <x v="0"/>
    <m/>
    <n v="9017.4"/>
    <n v="8864.77"/>
    <n v="13371.48"/>
    <n v="16955.97"/>
    <n v="8958.6200000000008"/>
    <n v="29488.959999999999"/>
    <n v="14137.76"/>
    <n v="13177.41"/>
    <n v="13842.56"/>
    <n v="12735.09"/>
    <n v="2907.18"/>
    <n v="388.14"/>
    <n v="143845.34"/>
    <n v="2519.04"/>
  </r>
  <r>
    <x v="11"/>
    <x v="6"/>
    <x v="0"/>
    <s v="4925107"/>
    <n v="721320"/>
    <s v="Supplies-Purchased Blood - Billable"/>
    <s v="Cardiovascular"/>
    <x v="0"/>
    <m/>
    <n v="0"/>
    <n v="0"/>
    <n v="0"/>
    <n v="0"/>
    <n v="0"/>
    <n v="0"/>
    <n v="0"/>
    <n v="0"/>
    <n v="0"/>
    <n v="0"/>
    <n v="0"/>
    <n v="8.34"/>
    <n v="8.34"/>
    <n v="-8.34"/>
  </r>
  <r>
    <x v="11"/>
    <x v="6"/>
    <x v="0"/>
    <s v="4925107"/>
    <n v="721350"/>
    <s v="Supplies-Film/Radiographic - Billable"/>
    <s v="Cardiovascular"/>
    <x v="0"/>
    <m/>
    <n v="0"/>
    <n v="0"/>
    <n v="0"/>
    <n v="0"/>
    <n v="0"/>
    <n v="0"/>
    <n v="0"/>
    <n v="0"/>
    <n v="0"/>
    <n v="0"/>
    <n v="0"/>
    <n v="516.67999999999995"/>
    <n v="516.67999999999995"/>
    <n v="-516.67999999999995"/>
  </r>
  <r>
    <x v="11"/>
    <x v="6"/>
    <x v="0"/>
    <s v="4925107"/>
    <n v="721350"/>
    <s v="Radiology Imaging - Contrast Media"/>
    <s v="Cardiovascular"/>
    <x v="0"/>
    <n v="1000"/>
    <n v="0"/>
    <n v="0"/>
    <n v="0"/>
    <n v="0"/>
    <n v="0"/>
    <n v="0"/>
    <n v="0"/>
    <n v="5038.08"/>
    <n v="0"/>
    <n v="0"/>
    <n v="0"/>
    <n v="0"/>
    <n v="5038.08"/>
    <n v="0"/>
  </r>
  <r>
    <x v="11"/>
    <x v="6"/>
    <x v="0"/>
    <s v="4925107"/>
    <n v="721410"/>
    <s v="Supplies-Medical - Nonbillable"/>
    <s v="Cardiovascular"/>
    <x v="0"/>
    <m/>
    <n v="10609.25"/>
    <n v="12227.35"/>
    <n v="11919.29"/>
    <n v="10361.16"/>
    <n v="13811.5"/>
    <n v="9526.9699999999993"/>
    <n v="11637.6"/>
    <n v="10884.8"/>
    <n v="14271.72"/>
    <n v="557003.5"/>
    <n v="10978.83"/>
    <n v="9542.65"/>
    <n v="682774.62"/>
    <n v="1436.1800000000003"/>
  </r>
  <r>
    <x v="11"/>
    <x v="6"/>
    <x v="0"/>
    <s v="4925107"/>
    <n v="721410"/>
    <s v="Patient Monitoring"/>
    <s v="Cardiovascular"/>
    <x v="0"/>
    <n v="1000"/>
    <n v="0"/>
    <n v="0"/>
    <n v="0"/>
    <n v="6.86"/>
    <n v="0"/>
    <n v="0"/>
    <n v="0"/>
    <n v="0"/>
    <n v="0"/>
    <n v="0"/>
    <n v="0"/>
    <n v="15.02"/>
    <n v="21.88"/>
    <n v="-15.02"/>
  </r>
  <r>
    <x v="11"/>
    <x v="6"/>
    <x v="0"/>
    <s v="4925107"/>
    <n v="721420"/>
    <s v="Supplies-Surgical Nonbillable"/>
    <s v="Cardiovascular"/>
    <x v="0"/>
    <m/>
    <n v="10930.51"/>
    <n v="12504.07"/>
    <n v="13181.98"/>
    <n v="14584.65"/>
    <n v="12291.43"/>
    <n v="12539.7"/>
    <n v="15231.62"/>
    <n v="13564.97"/>
    <n v="14404.74"/>
    <n v="13683.43"/>
    <n v="17130.939999999999"/>
    <n v="14516.84"/>
    <n v="164564.88"/>
    <n v="2614.0999999999985"/>
  </r>
  <r>
    <x v="11"/>
    <x v="6"/>
    <x v="0"/>
    <s v="4925107"/>
    <n v="721420"/>
    <s v="Tubes Drains &amp; Related Supplies"/>
    <s v="Cardiovascular"/>
    <x v="0"/>
    <n v="1008"/>
    <n v="5.76"/>
    <n v="32.700000000000003"/>
    <n v="0"/>
    <n v="32.700000000000003"/>
    <n v="0"/>
    <n v="0"/>
    <n v="0"/>
    <n v="0"/>
    <n v="0"/>
    <n v="5.76"/>
    <n v="0"/>
    <n v="0"/>
    <n v="76.92"/>
    <n v="0"/>
  </r>
  <r>
    <x v="11"/>
    <x v="6"/>
    <x v="0"/>
    <s v="4925107"/>
    <n v="721420"/>
    <s v="Sterilization Process Products"/>
    <s v="Cardiovascular"/>
    <x v="0"/>
    <n v="1009"/>
    <n v="0"/>
    <n v="0"/>
    <n v="0.71"/>
    <n v="0"/>
    <n v="2.14"/>
    <n v="0"/>
    <n v="0.71"/>
    <n v="0"/>
    <n v="602.41"/>
    <n v="992.18"/>
    <n v="1630.03"/>
    <n v="1277.0899999999999"/>
    <n v="4505.2699999999995"/>
    <n v="352.94000000000005"/>
  </r>
  <r>
    <x v="11"/>
    <x v="6"/>
    <x v="0"/>
    <s v="4925107"/>
    <n v="721610"/>
    <s v="Supplies-Anesthesia - Nonbillable"/>
    <s v="Cardiovascular"/>
    <x v="0"/>
    <m/>
    <n v="429.24"/>
    <n v="1121.7"/>
    <n v="937.75"/>
    <n v="1021.99"/>
    <n v="445.05"/>
    <n v="331.39"/>
    <n v="1410.39"/>
    <n v="322.82"/>
    <n v="990"/>
    <n v="2642.99"/>
    <n v="2927.53"/>
    <n v="1495.65"/>
    <n v="14076.5"/>
    <n v="1431.88"/>
  </r>
  <r>
    <x v="11"/>
    <x v="6"/>
    <x v="0"/>
    <s v="4925107"/>
    <n v="721640"/>
    <s v="Supplies-IV Solutions/Supplies - Nonbillable"/>
    <s v="Cardiovascular"/>
    <x v="0"/>
    <m/>
    <n v="3762.66"/>
    <n v="3701.32"/>
    <n v="3456.07"/>
    <n v="4102.33"/>
    <n v="3960.38"/>
    <n v="3384.98"/>
    <n v="3638.7"/>
    <n v="2922.51"/>
    <n v="3744.23"/>
    <n v="3591.85"/>
    <n v="4030.35"/>
    <n v="3609.61"/>
    <n v="43904.99"/>
    <n v="420.73999999999978"/>
  </r>
  <r>
    <x v="11"/>
    <x v="6"/>
    <x v="0"/>
    <s v="4925107"/>
    <n v="721650"/>
    <s v="Supplies-Pharmacy Drugs - Nonbillable"/>
    <s v="Cardiovascular"/>
    <x v="0"/>
    <m/>
    <n v="0"/>
    <n v="0"/>
    <n v="0"/>
    <n v="263.52999999999997"/>
    <n v="-21.76"/>
    <n v="0"/>
    <n v="527.05999999999995"/>
    <n v="0"/>
    <n v="-43.52"/>
    <n v="5.0599999999999996"/>
    <n v="263.52999999999997"/>
    <n v="-21.76"/>
    <n v="972.13999999999987"/>
    <n v="285.28999999999996"/>
  </r>
  <r>
    <x v="11"/>
    <x v="6"/>
    <x v="0"/>
    <s v="4925107"/>
    <n v="721710"/>
    <s v="Supplies-Laboratory - Nonbillable"/>
    <s v="Cardiovascular"/>
    <x v="0"/>
    <m/>
    <n v="545.85"/>
    <n v="769.34"/>
    <n v="26.87"/>
    <n v="117.73"/>
    <n v="112.22"/>
    <n v="782.87"/>
    <n v="749.21"/>
    <n v="65.95"/>
    <n v="376.4"/>
    <n v="39.97"/>
    <n v="1344.04"/>
    <n v="-61.5"/>
    <n v="4868.95"/>
    <n v="1405.54"/>
  </r>
  <r>
    <x v="11"/>
    <x v="6"/>
    <x v="0"/>
    <s v="4925107"/>
    <n v="721750"/>
    <s v="Supplies-Film/Radiographic - Nonbillable"/>
    <s v="Cardiovascular"/>
    <x v="0"/>
    <m/>
    <n v="2002.82"/>
    <n v="1966.15"/>
    <n v="1676.85"/>
    <n v="5089.25"/>
    <n v="4055.52"/>
    <n v="2130.42"/>
    <n v="2105.6999999999998"/>
    <n v="901.15"/>
    <n v="1940.93"/>
    <n v="1500.66"/>
    <n v="508.45"/>
    <n v="3956.57"/>
    <n v="27834.470000000005"/>
    <n v="-3448.1200000000003"/>
  </r>
  <r>
    <x v="11"/>
    <x v="6"/>
    <x v="0"/>
    <s v="4925107"/>
    <n v="721810"/>
    <s v="Supplies-Dietary/Cafeteria"/>
    <s v="Cardiovascular"/>
    <x v="0"/>
    <m/>
    <n v="604.25"/>
    <n v="647.85"/>
    <n v="447.85"/>
    <n v="475.73"/>
    <n v="475.21"/>
    <n v="1059.3499999999999"/>
    <n v="824.42"/>
    <n v="935.12"/>
    <n v="715.03"/>
    <n v="738.51"/>
    <n v="648.47"/>
    <n v="647.03"/>
    <n v="8218.82"/>
    <n v="1.4400000000000546"/>
  </r>
  <r>
    <x v="11"/>
    <x v="6"/>
    <x v="0"/>
    <s v="4925107"/>
    <n v="721830"/>
    <s v="Supplies-Office"/>
    <s v="Cardiovascular"/>
    <x v="0"/>
    <m/>
    <n v="1863.96"/>
    <n v="622.13"/>
    <n v="3528.01"/>
    <n v="2420.64"/>
    <n v="1862.66"/>
    <n v="1528.51"/>
    <n v="1403.64"/>
    <n v="1848.06"/>
    <n v="647.09"/>
    <n v="1310.24"/>
    <n v="284.08"/>
    <n v="788.79"/>
    <n v="18107.810000000001"/>
    <n v="-504.71"/>
  </r>
  <r>
    <x v="11"/>
    <x v="6"/>
    <x v="0"/>
    <s v="4925107"/>
    <n v="721835"/>
    <s v="Supplies-Forms"/>
    <s v="Cardiovascular"/>
    <x v="0"/>
    <m/>
    <n v="0"/>
    <n v="0"/>
    <n v="0"/>
    <n v="0"/>
    <n v="6.45"/>
    <n v="0"/>
    <n v="0"/>
    <n v="0"/>
    <n v="0"/>
    <n v="0"/>
    <n v="0"/>
    <n v="0"/>
    <n v="6.45"/>
    <n v="0"/>
  </r>
  <r>
    <x v="11"/>
    <x v="6"/>
    <x v="0"/>
    <s v="4925107"/>
    <n v="721870"/>
    <s v="Supplies-Environmental Services"/>
    <s v="Cardiovascular"/>
    <x v="0"/>
    <m/>
    <n v="315.68"/>
    <n v="568.99"/>
    <n v="429.41"/>
    <n v="553.03"/>
    <n v="339.23"/>
    <n v="332.43"/>
    <n v="323.60000000000002"/>
    <n v="429.7"/>
    <n v="325.64999999999998"/>
    <n v="478.06"/>
    <n v="418.45"/>
    <n v="390.71"/>
    <n v="4904.9399999999996"/>
    <n v="27.740000000000009"/>
  </r>
  <r>
    <x v="11"/>
    <x v="6"/>
    <x v="0"/>
    <s v="4925107"/>
    <n v="721910"/>
    <s v="Supplies-Small Equipment"/>
    <s v="Cardiovascular"/>
    <x v="0"/>
    <m/>
    <n v="8883.23"/>
    <n v="13766.39"/>
    <n v="0.92"/>
    <n v="5092.75"/>
    <n v="4146.59"/>
    <n v="770.05"/>
    <n v="4497.37"/>
    <n v="-5495.85"/>
    <n v="-2989.15"/>
    <n v="6393.33"/>
    <n v="784.8"/>
    <n v="-2603.9899999999998"/>
    <n v="33246.44"/>
    <n v="3388.79"/>
  </r>
  <r>
    <x v="11"/>
    <x v="6"/>
    <x v="0"/>
    <s v="4925107"/>
    <n v="721910"/>
    <s v="Instruments"/>
    <s v="Cardiovascular"/>
    <x v="0"/>
    <n v="1000"/>
    <n v="170.66"/>
    <n v="85.33"/>
    <n v="0"/>
    <n v="205.56"/>
    <n v="13.67"/>
    <n v="99"/>
    <n v="27.34"/>
    <n v="188.11"/>
    <n v="481.33"/>
    <n v="229.12"/>
    <n v="170.66"/>
    <n v="706.76"/>
    <n v="2377.54"/>
    <n v="-536.1"/>
  </r>
  <r>
    <x v="11"/>
    <x v="6"/>
    <x v="0"/>
    <s v="4925107"/>
    <n v="721980"/>
    <s v="Supplies-Other"/>
    <s v="Cardiovascular"/>
    <x v="0"/>
    <m/>
    <n v="558.04"/>
    <n v="224151.61"/>
    <n v="5601.08"/>
    <n v="2961.27"/>
    <n v="1886.29"/>
    <n v="0"/>
    <n v="1992"/>
    <n v="199.45"/>
    <n v="0"/>
    <n v="2239"/>
    <n v="1876.31"/>
    <n v="-60.5"/>
    <n v="241404.55"/>
    <n v="1936.81"/>
  </r>
  <r>
    <x v="11"/>
    <x v="6"/>
    <x v="0"/>
    <s v="4925107"/>
    <n v="722000"/>
    <s v="Supplies-Freight Expense"/>
    <s v="Cardiovascular"/>
    <x v="0"/>
    <m/>
    <n v="804.27"/>
    <n v="2266.56"/>
    <n v="1450.37"/>
    <n v="1482.09"/>
    <n v="776.04"/>
    <n v="2442.37"/>
    <n v="2597.14"/>
    <n v="740.03"/>
    <n v="1921.93"/>
    <n v="2319.0500000000002"/>
    <n v="1684.26"/>
    <n v="716.58"/>
    <n v="19200.690000000002"/>
    <n v="967.68"/>
  </r>
  <r>
    <x v="11"/>
    <x v="6"/>
    <x v="0"/>
    <s v="4925107"/>
    <n v="723000"/>
    <s v="Supply Rebates/Patronage Dividend"/>
    <s v="Cardiovascular"/>
    <x v="0"/>
    <m/>
    <n v="0"/>
    <n v="0"/>
    <n v="-96573.16"/>
    <n v="0"/>
    <n v="0"/>
    <n v="-98922.55"/>
    <n v="0"/>
    <n v="0"/>
    <n v="-227917.2"/>
    <n v="0"/>
    <n v="0"/>
    <n v="-205071.11"/>
    <n v="-628484.02"/>
    <n v="205071.11"/>
  </r>
  <r>
    <x v="12"/>
    <x v="6"/>
    <x v="0"/>
    <s v="4925107"/>
    <n v="730020"/>
    <s v="Rental and Leases-Equipment (DO NOT USE)"/>
    <s v="Cardiovascular"/>
    <x v="0"/>
    <m/>
    <n v="0"/>
    <n v="84.34"/>
    <n v="42.01"/>
    <n v="42.33"/>
    <n v="9156"/>
    <n v="0"/>
    <n v="76.040000000000006"/>
    <n v="0"/>
    <n v="38.020000000000003"/>
    <n v="0"/>
    <n v="76.040000000000006"/>
    <n v="38.020000000000003"/>
    <n v="9552.8000000000029"/>
    <n v="38.020000000000003"/>
  </r>
  <r>
    <x v="12"/>
    <x v="6"/>
    <x v="0"/>
    <s v="4925107"/>
    <n v="730020"/>
    <s v="Rental and Leases-Copier Usage Fees (DO NOT USE)"/>
    <s v="Cardiovascular"/>
    <x v="0"/>
    <n v="5100"/>
    <n v="589.5"/>
    <n v="611.16"/>
    <n v="600.33000000000004"/>
    <n v="600.33000000000004"/>
    <n v="600.33000000000004"/>
    <n v="600.33000000000004"/>
    <n v="-2806.49"/>
    <n v="414.33"/>
    <n v="339.77"/>
    <n v="588.15"/>
    <n v="340.64"/>
    <n v="358.78"/>
    <n v="2837.16"/>
    <n v="-18.139999999999986"/>
  </r>
  <r>
    <x v="15"/>
    <x v="6"/>
    <x v="0"/>
    <s v="4925107"/>
    <n v="731060"/>
    <s v="Telephone"/>
    <s v="Cardiovascular"/>
    <x v="0"/>
    <m/>
    <n v="0"/>
    <n v="0"/>
    <n v="0"/>
    <n v="0"/>
    <n v="58"/>
    <n v="0"/>
    <n v="0"/>
    <n v="0"/>
    <n v="0"/>
    <n v="0"/>
    <n v="0"/>
    <n v="0"/>
    <n v="58"/>
    <n v="0"/>
  </r>
  <r>
    <x v="15"/>
    <x v="6"/>
    <x v="0"/>
    <s v="4925107"/>
    <n v="731060"/>
    <s v="Pagers"/>
    <s v="Cardiovascular"/>
    <x v="0"/>
    <n v="1002"/>
    <n v="228.01"/>
    <n v="228.01"/>
    <n v="228.01"/>
    <n v="228.57"/>
    <n v="0"/>
    <n v="247.98"/>
    <n v="440.9"/>
    <n v="220.45"/>
    <n v="230.72"/>
    <n v="214.83"/>
    <n v="236.69"/>
    <n v="236.69"/>
    <n v="2740.86"/>
    <n v="0"/>
  </r>
  <r>
    <x v="16"/>
    <x v="6"/>
    <x v="0"/>
    <s v="4925107"/>
    <n v="732030"/>
    <s v="Repairs---Other"/>
    <s v="Cardiovascular"/>
    <x v="0"/>
    <m/>
    <n v="3.24"/>
    <n v="7375.75"/>
    <n v="0"/>
    <n v="0"/>
    <n v="0"/>
    <n v="0"/>
    <n v="0"/>
    <n v="0"/>
    <n v="0"/>
    <n v="0"/>
    <n v="7848"/>
    <n v="0"/>
    <n v="15226.99"/>
    <n v="7848"/>
  </r>
  <r>
    <x v="13"/>
    <x v="6"/>
    <x v="0"/>
    <s v="4925107"/>
    <n v="735070"/>
    <s v="Depreciation-Movable Equipment"/>
    <s v="Cardiovascular"/>
    <x v="0"/>
    <m/>
    <n v="60161.1"/>
    <n v="53777.760000000002"/>
    <n v="53777.82"/>
    <n v="53777.75"/>
    <n v="53777.87"/>
    <n v="53777.73"/>
    <n v="53777.88"/>
    <n v="53777.73"/>
    <n v="50289.58"/>
    <n v="46297.73"/>
    <n v="46298.07"/>
    <n v="46631.07"/>
    <n v="626122.08999999985"/>
    <n v="-333"/>
  </r>
  <r>
    <x v="0"/>
    <x v="6"/>
    <x v="0"/>
    <s v="4925107"/>
    <n v="740010"/>
    <s v="Education-Materials"/>
    <s v="Cardiovascular"/>
    <x v="0"/>
    <m/>
    <n v="0"/>
    <n v="0"/>
    <n v="0"/>
    <n v="0"/>
    <n v="0"/>
    <n v="0"/>
    <n v="0"/>
    <n v="0"/>
    <n v="0"/>
    <n v="0"/>
    <n v="0"/>
    <n v="363.81"/>
    <n v="363.81"/>
    <n v="-363.81"/>
  </r>
  <r>
    <x v="0"/>
    <x v="6"/>
    <x v="0"/>
    <s v="4925107"/>
    <n v="740020"/>
    <s v="Education-Registration Fees"/>
    <s v="Cardiovascular"/>
    <x v="0"/>
    <m/>
    <n v="0"/>
    <n v="0"/>
    <n v="0"/>
    <n v="0"/>
    <n v="0"/>
    <n v="0"/>
    <n v="409"/>
    <n v="0"/>
    <n v="0"/>
    <n v="0"/>
    <n v="0"/>
    <n v="0"/>
    <n v="409"/>
    <n v="0"/>
  </r>
  <r>
    <x v="0"/>
    <x v="6"/>
    <x v="0"/>
    <s v="4925107"/>
    <n v="743030"/>
    <s v="Subscriptions--Institutional"/>
    <s v="Cardiovascular"/>
    <x v="0"/>
    <m/>
    <n v="0"/>
    <n v="0"/>
    <n v="0"/>
    <n v="0"/>
    <n v="185.41"/>
    <n v="0"/>
    <n v="313.42"/>
    <n v="354.7"/>
    <n v="0"/>
    <n v="0"/>
    <n v="0"/>
    <n v="0"/>
    <n v="853.53"/>
    <n v="0"/>
  </r>
  <r>
    <x v="0"/>
    <x v="6"/>
    <x v="0"/>
    <s v="4925107"/>
    <n v="749510"/>
    <s v="Miscellaneous Expenses"/>
    <s v="Cardiovascular"/>
    <x v="0"/>
    <m/>
    <n v="-284.81"/>
    <n v="47.94"/>
    <n v="-47.94"/>
    <n v="386.15"/>
    <n v="-217.39"/>
    <n v="250.64"/>
    <n v="-330.52"/>
    <n v="-88.88"/>
    <n v="0"/>
    <n v="-31.59"/>
    <n v="363.81"/>
    <n v="-22.69"/>
    <n v="24.720000000000024"/>
    <n v="386.5"/>
  </r>
  <r>
    <x v="0"/>
    <x v="6"/>
    <x v="0"/>
    <s v="4925107"/>
    <n v="749510"/>
    <s v="Licenses"/>
    <s v="Cardiovascular"/>
    <x v="0"/>
    <n v="1002"/>
    <n v="0"/>
    <n v="0"/>
    <n v="0"/>
    <n v="0"/>
    <n v="0"/>
    <n v="75"/>
    <n v="0"/>
    <n v="0"/>
    <n v="0"/>
    <n v="0"/>
    <n v="0"/>
    <n v="287.76"/>
    <n v="362.76"/>
    <n v="-287.76"/>
  </r>
  <r>
    <x v="0"/>
    <x v="6"/>
    <x v="0"/>
    <s v="4925107"/>
    <n v="749510"/>
    <s v="Casualty Loss/Patient Property"/>
    <s v="Cardiovascular"/>
    <x v="0"/>
    <n v="4601"/>
    <n v="0"/>
    <n v="740"/>
    <n v="0"/>
    <n v="0"/>
    <n v="0"/>
    <n v="0"/>
    <n v="487.09"/>
    <n v="0"/>
    <n v="0"/>
    <n v="0"/>
    <n v="1682"/>
    <n v="0"/>
    <n v="2909.09"/>
    <n v="1682"/>
  </r>
  <r>
    <x v="0"/>
    <x v="6"/>
    <x v="0"/>
    <s v="4925107"/>
    <n v="749510"/>
    <s v="RICE Rewards"/>
    <s v="Cardiovascular"/>
    <x v="0"/>
    <n v="5100"/>
    <n v="0"/>
    <n v="0"/>
    <n v="0"/>
    <n v="0"/>
    <n v="0"/>
    <n v="0"/>
    <n v="0"/>
    <n v="332.57"/>
    <n v="0"/>
    <n v="0"/>
    <n v="0"/>
    <n v="0"/>
    <n v="332.57"/>
    <n v="0"/>
  </r>
  <r>
    <x v="0"/>
    <x v="6"/>
    <x v="0"/>
    <s v="4925107"/>
    <n v="749530"/>
    <s v="Travel"/>
    <s v="Cardiovascular"/>
    <x v="0"/>
    <m/>
    <n v="0"/>
    <n v="120"/>
    <n v="30"/>
    <n v="0"/>
    <n v="719.14"/>
    <n v="0"/>
    <n v="419.4"/>
    <n v="88.88"/>
    <n v="0"/>
    <n v="11"/>
    <n v="11"/>
    <n v="11"/>
    <n v="1410.42"/>
    <n v="0"/>
  </r>
  <r>
    <x v="0"/>
    <x v="6"/>
    <x v="0"/>
    <s v="4925107"/>
    <n v="749530"/>
    <s v="Mileage"/>
    <s v="Cardiovascular"/>
    <x v="0"/>
    <n v="1001"/>
    <n v="0"/>
    <n v="190.76"/>
    <n v="63.77"/>
    <n v="0"/>
    <n v="422.41"/>
    <n v="93.76"/>
    <n v="134.09"/>
    <n v="74.819999999999993"/>
    <n v="0"/>
    <n v="167.62"/>
    <n v="179.8"/>
    <n v="180.38"/>
    <n v="1507.4099999999999"/>
    <n v="-0.57999999999998408"/>
  </r>
  <r>
    <x v="0"/>
    <x v="6"/>
    <x v="0"/>
    <s v="4925107"/>
    <n v="749535"/>
    <s v="Meetings"/>
    <s v="Cardiovascular"/>
    <x v="0"/>
    <m/>
    <n v="0"/>
    <n v="52.93"/>
    <n v="0"/>
    <n v="0"/>
    <n v="0"/>
    <n v="0"/>
    <n v="0"/>
    <n v="0"/>
    <n v="0"/>
    <n v="75"/>
    <n v="0"/>
    <n v="0"/>
    <n v="127.93"/>
    <n v="0"/>
  </r>
  <r>
    <x v="18"/>
    <x v="7"/>
    <x v="0"/>
    <s v="4925150"/>
    <n v="400010"/>
    <s v="Acute I/P Svcs Rev--Medicare"/>
    <s v="Cardio Vascular Lab"/>
    <x v="0"/>
    <n v="1100"/>
    <n v="-2281.59"/>
    <n v="-1753.99"/>
    <n v="-4432.5"/>
    <n v="-4676.6000000000004"/>
    <n v="-1859.92"/>
    <n v="-1140.0999999999999"/>
    <n v="-5233.45"/>
    <n v="-386.57"/>
    <n v="-3507.98"/>
    <n v="-4081.54"/>
    <n v="-8020.84"/>
    <n v="-8230.61"/>
    <n v="-45605.69"/>
    <n v="209.77000000000044"/>
  </r>
  <r>
    <x v="18"/>
    <x v="7"/>
    <x v="0"/>
    <s v="4925150"/>
    <n v="400010"/>
    <s v="Acute I/P Svcs Rev--Medicaid"/>
    <s v="Cardio Vascular Lab"/>
    <x v="0"/>
    <n v="1200"/>
    <n v="0"/>
    <n v="-1168.6199999999999"/>
    <n v="0"/>
    <n v="-1168.6199999999999"/>
    <n v="0"/>
    <n v="-2922.61"/>
    <n v="-2922.61"/>
    <n v="0"/>
    <n v="-1200.76"/>
    <n v="-2954.75"/>
    <n v="-2407.36"/>
    <n v="-4158.43"/>
    <n v="-18903.760000000002"/>
    <n v="1751.0700000000002"/>
  </r>
  <r>
    <x v="18"/>
    <x v="7"/>
    <x v="0"/>
    <s v="4925150"/>
    <n v="400010"/>
    <s v="Acute I/P Svcs Rev--Comm Insurance"/>
    <s v="Cardio Vascular Lab"/>
    <x v="0"/>
    <n v="1300"/>
    <n v="0"/>
    <n v="-1168.6199999999999"/>
    <n v="0"/>
    <n v="0"/>
    <n v="0"/>
    <n v="0"/>
    <n v="0"/>
    <n v="0"/>
    <n v="0"/>
    <n v="-1203.68"/>
    <n v="0"/>
    <n v="0"/>
    <n v="-2372.3000000000002"/>
    <n v="0"/>
  </r>
  <r>
    <x v="18"/>
    <x v="7"/>
    <x v="0"/>
    <s v="4925150"/>
    <n v="400010"/>
    <s v="Acute I/P Svcs Rev--BCBS Comm"/>
    <s v="Cardio Vascular Lab"/>
    <x v="0"/>
    <n v="1301"/>
    <n v="0"/>
    <n v="-1168.6199999999999"/>
    <n v="0"/>
    <n v="0"/>
    <n v="-1168.6199999999999"/>
    <n v="-1753.99"/>
    <n v="0"/>
    <n v="0"/>
    <n v="-3119.4"/>
    <n v="-1753.99"/>
    <n v="0"/>
    <n v="-1200.76"/>
    <n v="-10165.379999999999"/>
    <n v="1200.76"/>
  </r>
  <r>
    <x v="18"/>
    <x v="7"/>
    <x v="0"/>
    <s v="4925150"/>
    <n v="400010"/>
    <s v="Acute I/P Svcs Rev--Managed Care"/>
    <s v="Cardio Vascular Lab"/>
    <x v="0"/>
    <n v="1400"/>
    <n v="-3507.98"/>
    <n v="585.37"/>
    <n v="0"/>
    <n v="-2337.2399999999998"/>
    <n v="-1753.99"/>
    <n v="-1509.89"/>
    <n v="0"/>
    <n v="-4711.66"/>
    <n v="-3507.98"/>
    <n v="-4081.54"/>
    <n v="0"/>
    <n v="-1915.72"/>
    <n v="-22740.63"/>
    <n v="1915.72"/>
  </r>
  <r>
    <x v="18"/>
    <x v="7"/>
    <x v="0"/>
    <s v="4925150"/>
    <n v="400010"/>
    <s v="Acute I/P Svcs Rev--Other"/>
    <s v="Cardio Vascular Lab"/>
    <x v="0"/>
    <n v="1700"/>
    <n v="1112.97"/>
    <n v="0"/>
    <n v="0"/>
    <n v="0"/>
    <n v="0"/>
    <n v="0"/>
    <n v="0"/>
    <n v="-3507.98"/>
    <n v="0"/>
    <n v="0"/>
    <n v="1753.99"/>
    <n v="0"/>
    <n v="-641.02000000000021"/>
    <n v="1753.99"/>
  </r>
  <r>
    <x v="19"/>
    <x v="7"/>
    <x v="0"/>
    <s v="4925150"/>
    <n v="400020"/>
    <s v="O/P Care Svcs Rev--Medicare"/>
    <s v="Cardio Vascular Lab"/>
    <x v="0"/>
    <n v="1100"/>
    <n v="-6428.47"/>
    <n v="-8710.06"/>
    <n v="-7011.72"/>
    <n v="-4674.4799999999996"/>
    <n v="-9894.6299999999992"/>
    <n v="-8182.46"/>
    <n v="-6312.92"/>
    <n v="-9514.57"/>
    <n v="-12285.25"/>
    <n v="-3611.04"/>
    <n v="-10099.94"/>
    <n v="-11913.91"/>
    <n v="-98639.45"/>
    <n v="1813.9699999999993"/>
  </r>
  <r>
    <x v="19"/>
    <x v="7"/>
    <x v="0"/>
    <s v="4925150"/>
    <n v="400020"/>
    <s v="O/P Care Svcs Rev--Medicaid"/>
    <s v="Cardio Vascular Lab"/>
    <x v="0"/>
    <n v="1200"/>
    <n v="-1725.47"/>
    <n v="-2922.61"/>
    <n v="-2922.61"/>
    <n v="-4674.4799999999996"/>
    <n v="-4091.23"/>
    <n v="-1168.6199999999999"/>
    <n v="-3479.46"/>
    <n v="-8171.98"/>
    <n v="-5166.2299999999996"/>
    <n v="-7669.33"/>
    <n v="-5365.03"/>
    <n v="-3611.04"/>
    <n v="-50968.090000000004"/>
    <n v="-1753.9899999999998"/>
  </r>
  <r>
    <x v="19"/>
    <x v="7"/>
    <x v="0"/>
    <s v="4925150"/>
    <n v="400020"/>
    <s v="O/P Care Svcs Rev--Comm Insurance"/>
    <s v="Cardio Vascular Lab"/>
    <x v="0"/>
    <n v="1300"/>
    <n v="-1168.6199999999999"/>
    <n v="-55.65"/>
    <n v="1168.6199999999999"/>
    <n v="0"/>
    <n v="0"/>
    <n v="0"/>
    <n v="-1168.6199999999999"/>
    <n v="0"/>
    <n v="0"/>
    <n v="0"/>
    <n v="-1203.68"/>
    <n v="0"/>
    <n v="-2427.9499999999998"/>
    <n v="-1203.68"/>
  </r>
  <r>
    <x v="19"/>
    <x v="7"/>
    <x v="0"/>
    <s v="4925150"/>
    <n v="400020"/>
    <s v="O/P Care Svcs Rev--BCBS Comm"/>
    <s v="Cardio Vascular Lab"/>
    <x v="0"/>
    <n v="1301"/>
    <n v="-3505.86"/>
    <n v="-3507.98"/>
    <n v="-3505.86"/>
    <n v="0"/>
    <n v="-1168.6199999999999"/>
    <n v="-2337.2399999999998"/>
    <n v="-2337.2399999999998"/>
    <n v="0"/>
    <n v="0"/>
    <n v="-2957.67"/>
    <n v="-2407.36"/>
    <n v="0"/>
    <n v="-21727.83"/>
    <n v="-2407.36"/>
  </r>
  <r>
    <x v="19"/>
    <x v="7"/>
    <x v="0"/>
    <s v="4925150"/>
    <n v="400020"/>
    <s v="O/P Care Svcs Rev--Managed Care"/>
    <s v="Cardio Vascular Lab"/>
    <x v="0"/>
    <n v="1400"/>
    <n v="-5843.1"/>
    <n v="-3505.86"/>
    <n v="-1168.6199999999999"/>
    <n v="-2678.51"/>
    <n v="-3505.86"/>
    <n v="-8182.46"/>
    <n v="-4091.23"/>
    <n v="-2957.67"/>
    <n v="0"/>
    <n v="-4814.72"/>
    <n v="-3611.04"/>
    <n v="-6332.64"/>
    <n v="-46691.71"/>
    <n v="2721.6000000000004"/>
  </r>
  <r>
    <x v="19"/>
    <x v="7"/>
    <x v="0"/>
    <s v="4925150"/>
    <n v="400020"/>
    <s v="O/P Care Svcs Rev--Self Pay"/>
    <s v="Cardio Vascular Lab"/>
    <x v="0"/>
    <n v="1500"/>
    <n v="-1168.6199999999999"/>
    <n v="1168.6199999999999"/>
    <n v="-1168.6199999999999"/>
    <n v="0"/>
    <n v="0"/>
    <n v="-1168.6199999999999"/>
    <n v="-1725.47"/>
    <n v="0"/>
    <n v="-1203.68"/>
    <n v="0"/>
    <n v="-1203.68"/>
    <n v="0"/>
    <n v="-6470.0700000000006"/>
    <n v="-1203.68"/>
  </r>
  <r>
    <x v="19"/>
    <x v="7"/>
    <x v="0"/>
    <s v="4925150"/>
    <n v="400020"/>
    <s v="O/P Care Svcs Rev--Other"/>
    <s v="Cardio Vascular Lab"/>
    <x v="0"/>
    <n v="1700"/>
    <n v="0"/>
    <n v="0"/>
    <n v="0"/>
    <n v="-2337.2399999999998"/>
    <n v="0"/>
    <n v="-1168.6199999999999"/>
    <n v="0"/>
    <n v="0"/>
    <n v="-1203.68"/>
    <n v="0"/>
    <n v="0"/>
    <n v="-1753.99"/>
    <n v="-6463.53"/>
    <n v="1753.99"/>
  </r>
  <r>
    <x v="7"/>
    <x v="7"/>
    <x v="0"/>
    <s v="4925150"/>
    <n v="718050"/>
    <s v="Miscellaneous Purchased Svcs"/>
    <s v="Cardio Vascular Lab"/>
    <x v="0"/>
    <n v="1020"/>
    <n v="3078"/>
    <n v="2795"/>
    <n v="2418"/>
    <n v="2845"/>
    <n v="2708"/>
    <n v="4143"/>
    <n v="2561"/>
    <n v="2879"/>
    <n v="2594"/>
    <n v="4228"/>
    <n v="4066"/>
    <n v="4869"/>
    <n v="39184"/>
    <n v="-803"/>
  </r>
  <r>
    <x v="19"/>
    <x v="3"/>
    <x v="0"/>
    <s v="4930101"/>
    <n v="400020"/>
    <s v="O/P Care Svcs Rev--Medicare"/>
    <s v="Cardiac Rehab"/>
    <x v="0"/>
    <n v="1100"/>
    <n v="-74429.240000000005"/>
    <n v="-89106.66"/>
    <n v="-67196.28"/>
    <n v="-92327.99"/>
    <n v="-92301.75"/>
    <n v="-91598.66"/>
    <n v="-91242.2"/>
    <n v="-61885.919999999998"/>
    <n v="-84865.27"/>
    <n v="-123944.54"/>
    <n v="-129744.97"/>
    <n v="-107701.18"/>
    <n v="-1106344.6600000001"/>
    <n v="-22043.790000000008"/>
  </r>
  <r>
    <x v="19"/>
    <x v="3"/>
    <x v="0"/>
    <s v="4930101"/>
    <n v="400020"/>
    <s v="O/P Care Svcs Rev--Medicaid"/>
    <s v="Cardiac Rehab"/>
    <x v="0"/>
    <n v="1200"/>
    <n v="-9843.4699999999993"/>
    <n v="-12133.73"/>
    <n v="-10683.03"/>
    <n v="-5319.76"/>
    <n v="-6727.9"/>
    <n v="-2335.35"/>
    <n v="-8347.76"/>
    <n v="-7991.23"/>
    <n v="-13987.83"/>
    <n v="-14402.73"/>
    <n v="-10524.11"/>
    <n v="-7693.86"/>
    <n v="-109990.76"/>
    <n v="-2830.2500000000009"/>
  </r>
  <r>
    <x v="19"/>
    <x v="3"/>
    <x v="0"/>
    <s v="4930101"/>
    <n v="400020"/>
    <s v="O/P Care Svcs Rev--Comm Insurance"/>
    <s v="Cardiac Rehab"/>
    <x v="0"/>
    <n v="1300"/>
    <n v="0"/>
    <n v="-1031.56"/>
    <n v="-1031.56"/>
    <n v="-1031.56"/>
    <n v="-3021.62"/>
    <n v="0"/>
    <n v="-3868.35"/>
    <n v="-3453.19"/>
    <n v="-2921.93"/>
    <n v="-3984.45"/>
    <n v="-531.26"/>
    <n v="0"/>
    <n v="-20875.48"/>
    <n v="-531.26"/>
  </r>
  <r>
    <x v="19"/>
    <x v="3"/>
    <x v="0"/>
    <s v="4930101"/>
    <n v="400020"/>
    <s v="O/P Care Svcs Rev--BCBS Comm"/>
    <s v="Cardiac Rehab"/>
    <x v="0"/>
    <n v="1301"/>
    <n v="-3328.01"/>
    <n v="-9218.17"/>
    <n v="-7663.64"/>
    <n v="-6189.36"/>
    <n v="-15069.39"/>
    <n v="-12378.72"/>
    <n v="-6116.3"/>
    <n v="-796.89"/>
    <n v="-5843.86"/>
    <n v="-5578.23"/>
    <n v="-3984.45"/>
    <n v="-5046.97"/>
    <n v="-81213.989999999991"/>
    <n v="1062.5200000000004"/>
  </r>
  <r>
    <x v="19"/>
    <x v="3"/>
    <x v="0"/>
    <s v="4930101"/>
    <n v="400020"/>
    <s v="O/P Care Svcs Rev--Managed Care"/>
    <s v="Cardiac Rehab"/>
    <x v="0"/>
    <n v="1400"/>
    <n v="-27011.91"/>
    <n v="-27954.47"/>
    <n v="-26659.95"/>
    <n v="-45112.480000000003"/>
    <n v="-43682.51"/>
    <n v="-30880.55"/>
    <n v="-22682.85"/>
    <n v="-18083.990000000002"/>
    <n v="-28542.240000000002"/>
    <n v="-41153.83"/>
    <n v="-44545.9"/>
    <n v="-41367.75"/>
    <n v="-397678.43000000005"/>
    <n v="-3178.1500000000015"/>
  </r>
  <r>
    <x v="19"/>
    <x v="3"/>
    <x v="0"/>
    <s v="4930101"/>
    <n v="400020"/>
    <s v="O/P Care Svcs Rev--Self Pay"/>
    <s v="Cardiac Rehab"/>
    <x v="0"/>
    <n v="1500"/>
    <n v="0"/>
    <n v="-1977.16"/>
    <n v="0"/>
    <n v="0"/>
    <n v="0"/>
    <n v="-1344.23"/>
    <n v="312.67"/>
    <n v="257.89"/>
    <n v="0"/>
    <n v="0"/>
    <n v="0"/>
    <n v="0"/>
    <n v="-2750.8300000000004"/>
    <n v="0"/>
  </r>
  <r>
    <x v="19"/>
    <x v="3"/>
    <x v="0"/>
    <s v="4930101"/>
    <n v="400020"/>
    <s v="O/P Care Svcs Rev--Other"/>
    <s v="Cardiac Rehab"/>
    <x v="0"/>
    <n v="1700"/>
    <n v="-30204.52"/>
    <n v="-35292.11"/>
    <n v="-24572.29"/>
    <n v="-23110.79"/>
    <n v="-22196.76"/>
    <n v="-17150.810000000001"/>
    <n v="-27785.89"/>
    <n v="-21162.720000000001"/>
    <n v="-25615.64"/>
    <n v="-30952.92"/>
    <n v="-28039.200000000001"/>
    <n v="-29663.54"/>
    <n v="-315747.19"/>
    <n v="1624.3400000000001"/>
  </r>
  <r>
    <x v="5"/>
    <x v="3"/>
    <x v="0"/>
    <s v="4930101"/>
    <n v="700026"/>
    <s v="Salaries-RN-Productive"/>
    <s v="Cardiac Rehab"/>
    <x v="0"/>
    <m/>
    <n v="0"/>
    <n v="0"/>
    <n v="6977.03"/>
    <n v="8712.19"/>
    <n v="8072.45"/>
    <n v="6731.52"/>
    <n v="8043.03"/>
    <n v="6407.62"/>
    <n v="6827.32"/>
    <n v="8632.01"/>
    <n v="7958.15"/>
    <n v="7069.25"/>
    <n v="75430.570000000007"/>
    <n v="888.89999999999964"/>
  </r>
  <r>
    <x v="5"/>
    <x v="3"/>
    <x v="0"/>
    <s v="4930101"/>
    <n v="700026"/>
    <s v="Salaries-RN-OT"/>
    <s v="Cardiac Rehab"/>
    <x v="0"/>
    <n v="1000"/>
    <n v="0"/>
    <n v="0"/>
    <n v="800.1"/>
    <n v="887.28"/>
    <n v="173.11"/>
    <n v="334.67"/>
    <n v="175.92"/>
    <n v="101.44"/>
    <n v="131"/>
    <n v="177.18"/>
    <n v="1115.9000000000001"/>
    <n v="92.46"/>
    <n v="3989.0600000000004"/>
    <n v="1023.44"/>
  </r>
  <r>
    <x v="5"/>
    <x v="3"/>
    <x v="0"/>
    <s v="4930101"/>
    <n v="700026"/>
    <s v="Salaries-RN-Other"/>
    <s v="Cardiac Rehab"/>
    <x v="0"/>
    <n v="2000"/>
    <n v="0"/>
    <n v="0"/>
    <n v="358.22"/>
    <n v="443.87"/>
    <n v="390.89"/>
    <n v="331.93"/>
    <n v="389.57"/>
    <n v="309.14999999999998"/>
    <n v="330.11"/>
    <n v="417.74"/>
    <n v="415"/>
    <n v="340.44"/>
    <n v="3726.9200000000005"/>
    <n v="74.56"/>
  </r>
  <r>
    <x v="5"/>
    <x v="3"/>
    <x v="0"/>
    <s v="4930101"/>
    <n v="700032"/>
    <s v="Salaries-Other Pat Care Providers-Productive"/>
    <s v="Cardiac Rehab"/>
    <x v="0"/>
    <m/>
    <n v="9019.94"/>
    <n v="13540.68"/>
    <n v="7712.82"/>
    <n v="6497.71"/>
    <n v="6873"/>
    <n v="5119.43"/>
    <n v="7106.23"/>
    <n v="5419.95"/>
    <n v="6679.51"/>
    <n v="7460.71"/>
    <n v="4502.96"/>
    <n v="4225.7"/>
    <n v="84158.64"/>
    <n v="277.26000000000022"/>
  </r>
  <r>
    <x v="5"/>
    <x v="3"/>
    <x v="0"/>
    <s v="4930101"/>
    <n v="700032"/>
    <s v="Salaries-Other Pat Care Providers-OT"/>
    <s v="Cardiac Rehab"/>
    <x v="0"/>
    <n v="1000"/>
    <n v="292.93"/>
    <n v="363.32"/>
    <n v="354.36"/>
    <n v="263.3"/>
    <n v="291.95"/>
    <n v="20.83"/>
    <n v="34.950000000000003"/>
    <n v="34.950000000000003"/>
    <n v="294.68"/>
    <n v="-40.44"/>
    <n v="166.47"/>
    <n v="27.31"/>
    <n v="2104.61"/>
    <n v="139.16"/>
  </r>
  <r>
    <x v="5"/>
    <x v="3"/>
    <x v="0"/>
    <s v="4930101"/>
    <n v="700032"/>
    <s v="Salaries-Other Pat Care Providers-Other"/>
    <s v="Cardiac Rehab"/>
    <x v="0"/>
    <n v="2000"/>
    <n v="328.83"/>
    <n v="1292.17"/>
    <n v="609.5"/>
    <n v="465.9"/>
    <n v="-192.46"/>
    <n v="0"/>
    <n v="0"/>
    <n v="0"/>
    <n v="94.34"/>
    <n v="110.32"/>
    <n v="85.39"/>
    <n v="157.93"/>
    <n v="2951.92"/>
    <n v="-72.540000000000006"/>
  </r>
  <r>
    <x v="5"/>
    <x v="3"/>
    <x v="0"/>
    <s v="4930101"/>
    <n v="700034"/>
    <s v="Salaries-Tech/Professional-Productive"/>
    <s v="Cardiac Rehab"/>
    <x v="0"/>
    <m/>
    <n v="2394.41"/>
    <n v="225.6"/>
    <n v="1914.16"/>
    <n v="-78.06"/>
    <n v="414.21"/>
    <n v="808.38"/>
    <n v="-64.930000000000007"/>
    <n v="0"/>
    <n v="958.42"/>
    <n v="99.7"/>
    <n v="655.23"/>
    <n v="427.37"/>
    <n v="7754.4899999999989"/>
    <n v="227.86"/>
  </r>
  <r>
    <x v="5"/>
    <x v="3"/>
    <x v="0"/>
    <s v="4930101"/>
    <n v="700034"/>
    <s v="Salaries-Tech/Professional-OT"/>
    <s v="Cardiac Rehab"/>
    <x v="0"/>
    <n v="1000"/>
    <n v="108.56"/>
    <n v="-19.149999999999999"/>
    <n v="0"/>
    <n v="0"/>
    <n v="0"/>
    <n v="0"/>
    <n v="0"/>
    <n v="0"/>
    <n v="0"/>
    <n v="0"/>
    <n v="0"/>
    <n v="0"/>
    <n v="89.41"/>
    <n v="0"/>
  </r>
  <r>
    <x v="5"/>
    <x v="3"/>
    <x v="0"/>
    <s v="4930101"/>
    <n v="700038"/>
    <s v="Salaries-Service/Support-Productive"/>
    <s v="Cardiac Rehab"/>
    <x v="0"/>
    <m/>
    <n v="2786.25"/>
    <n v="1881.3"/>
    <n v="2627.48"/>
    <n v="2295.42"/>
    <n v="2830.65"/>
    <n v="2241.84"/>
    <n v="2620.1999999999998"/>
    <n v="2231.62"/>
    <n v="2053.71"/>
    <n v="2567.04"/>
    <n v="2836.61"/>
    <n v="2515.6799999999998"/>
    <n v="29487.8"/>
    <n v="320.93000000000029"/>
  </r>
  <r>
    <x v="5"/>
    <x v="3"/>
    <x v="0"/>
    <s v="4930101"/>
    <n v="700054"/>
    <s v="Salaries-Management-NonProd-Other"/>
    <s v="Cardiac Rehab"/>
    <x v="0"/>
    <n v="2000"/>
    <n v="0"/>
    <n v="0"/>
    <n v="0"/>
    <n v="0"/>
    <n v="0"/>
    <n v="607.08000000000004"/>
    <n v="-607.08000000000004"/>
    <n v="0"/>
    <n v="0"/>
    <n v="0"/>
    <n v="0"/>
    <n v="0"/>
    <n v="0"/>
    <n v="0"/>
  </r>
  <r>
    <x v="5"/>
    <x v="3"/>
    <x v="0"/>
    <s v="4930101"/>
    <n v="700066"/>
    <s v="Salaries-RN-Non-productive"/>
    <s v="Cardiac Rehab"/>
    <x v="0"/>
    <m/>
    <n v="0"/>
    <n v="0"/>
    <n v="2692.54"/>
    <n v="-430.78"/>
    <n v="0"/>
    <n v="1615.49"/>
    <n v="293.45"/>
    <n v="1142.5999999999999"/>
    <n v="901.65"/>
    <n v="-380.85"/>
    <n v="318.5"/>
    <n v="1026.3800000000001"/>
    <n v="7178.9799999999987"/>
    <n v="-707.88000000000011"/>
  </r>
  <r>
    <x v="5"/>
    <x v="3"/>
    <x v="0"/>
    <s v="4930101"/>
    <n v="700066"/>
    <s v="Salaries-RN-NonProd-Other"/>
    <s v="Cardiac Rehab"/>
    <x v="0"/>
    <n v="2000"/>
    <n v="0"/>
    <n v="0"/>
    <n v="128.57"/>
    <n v="48.2"/>
    <n v="5.3"/>
    <n v="143.25"/>
    <n v="14.04"/>
    <n v="88.13"/>
    <n v="83.71"/>
    <n v="-18.170000000000002"/>
    <n v="110.57"/>
    <n v="42.84"/>
    <n v="646.43999999999994"/>
    <n v="67.72999999999999"/>
  </r>
  <r>
    <x v="5"/>
    <x v="3"/>
    <x v="0"/>
    <s v="4930101"/>
    <n v="700072"/>
    <s v="Salaries-Other Pat Care Providers-Non-productive"/>
    <s v="Cardiac Rehab"/>
    <x v="0"/>
    <m/>
    <n v="516.35"/>
    <n v="1539.38"/>
    <n v="165.87"/>
    <n v="514.55999999999995"/>
    <n v="393.88"/>
    <n v="749.56"/>
    <n v="192.6"/>
    <n v="706.23"/>
    <n v="423.57"/>
    <n v="87.32"/>
    <n v="189.1"/>
    <n v="291.12"/>
    <n v="5769.54"/>
    <n v="-102.02000000000001"/>
  </r>
  <r>
    <x v="5"/>
    <x v="3"/>
    <x v="0"/>
    <s v="4930101"/>
    <n v="700072"/>
    <s v="Salaries-Other Pat Care Providers-NonProd-Other"/>
    <s v="Cardiac Rehab"/>
    <x v="0"/>
    <n v="2000"/>
    <n v="46.3"/>
    <n v="49.23"/>
    <n v="9.33"/>
    <n v="101.72"/>
    <n v="118.08"/>
    <n v="110.14"/>
    <n v="203.29"/>
    <n v="104.05"/>
    <n v="130.19"/>
    <n v="56.22"/>
    <n v="85.97"/>
    <n v="29.86"/>
    <n v="1044.3799999999999"/>
    <n v="56.11"/>
  </r>
  <r>
    <x v="5"/>
    <x v="3"/>
    <x v="0"/>
    <s v="4930101"/>
    <n v="700078"/>
    <s v="Salaries-Service/Support-Non-productive"/>
    <s v="Cardiac Rehab"/>
    <x v="0"/>
    <m/>
    <n v="55.86"/>
    <n v="921.7"/>
    <n v="111.72"/>
    <n v="405.37"/>
    <n v="-20.02"/>
    <n v="564.76"/>
    <n v="195.6"/>
    <n v="253.95"/>
    <n v="689.99"/>
    <n v="85.68"/>
    <n v="124.05"/>
    <n v="287.14"/>
    <n v="3675.8"/>
    <n v="-163.08999999999997"/>
  </r>
  <r>
    <x v="5"/>
    <x v="3"/>
    <x v="0"/>
    <s v="4930101"/>
    <n v="700078"/>
    <s v="Salaries-Service/Support-NonProd-Other"/>
    <s v="Cardiac Rehab"/>
    <x v="0"/>
    <n v="2000"/>
    <n v="0"/>
    <n v="0"/>
    <n v="0"/>
    <n v="0"/>
    <n v="0"/>
    <n v="0"/>
    <n v="0"/>
    <n v="6.56"/>
    <n v="-1.72"/>
    <n v="0"/>
    <n v="0"/>
    <n v="0"/>
    <n v="4.84"/>
    <n v="0"/>
  </r>
  <r>
    <x v="5"/>
    <x v="3"/>
    <x v="0"/>
    <s v="4930101"/>
    <n v="700084"/>
    <s v="Accrued PTO"/>
    <s v="Cardiac Rehab"/>
    <x v="0"/>
    <m/>
    <n v="80.16"/>
    <n v="-899.62"/>
    <n v="-1188.8599999999999"/>
    <n v="1165.98"/>
    <n v="1555.52"/>
    <n v="-69.47"/>
    <n v="790.86"/>
    <n v="81.44"/>
    <n v="-76.78"/>
    <n v="1245.52"/>
    <n v="1286.6600000000001"/>
    <n v="-177.28"/>
    <n v="3794.1299999999997"/>
    <n v="1463.94"/>
  </r>
  <r>
    <x v="6"/>
    <x v="3"/>
    <x v="0"/>
    <s v="4930101"/>
    <n v="713010"/>
    <s v="Benefits-FICA/Medicare"/>
    <s v="Cardiac Rehab"/>
    <x v="0"/>
    <m/>
    <n v="1169.49"/>
    <n v="1496.98"/>
    <n v="1842.02"/>
    <n v="1474.93"/>
    <n v="1423.62"/>
    <n v="1518.88"/>
    <n v="1465.14"/>
    <n v="1244.55"/>
    <n v="1447.57"/>
    <n v="1422.35"/>
    <n v="1369.9"/>
    <n v="1216.32"/>
    <n v="17091.75"/>
    <n v="153.58000000000015"/>
  </r>
  <r>
    <x v="6"/>
    <x v="3"/>
    <x v="0"/>
    <s v="4930101"/>
    <n v="713090"/>
    <s v="Benefits-Allocated Amounts"/>
    <s v="Cardiac Rehab"/>
    <x v="0"/>
    <m/>
    <n v="4870.16"/>
    <n v="5492.6"/>
    <n v="5916.27"/>
    <n v="5195.8100000000004"/>
    <n v="5283.61"/>
    <n v="4710.47"/>
    <n v="5400.04"/>
    <n v="4905.62"/>
    <n v="4377.84"/>
    <n v="5428.95"/>
    <n v="5191.62"/>
    <n v="4571.75"/>
    <n v="61344.74"/>
    <n v="619.86999999999989"/>
  </r>
  <r>
    <x v="7"/>
    <x v="3"/>
    <x v="0"/>
    <s v="4930101"/>
    <n v="718050"/>
    <s v="Translation Services"/>
    <s v="Cardiac Rehab"/>
    <x v="0"/>
    <n v="1025"/>
    <n v="0"/>
    <n v="0"/>
    <n v="32"/>
    <n v="0"/>
    <n v="0"/>
    <n v="0"/>
    <n v="0"/>
    <n v="0"/>
    <n v="0"/>
    <n v="0"/>
    <n v="0"/>
    <n v="80"/>
    <n v="112"/>
    <n v="-80"/>
  </r>
  <r>
    <x v="7"/>
    <x v="3"/>
    <x v="0"/>
    <s v="4930101"/>
    <n v="718091"/>
    <s v="Contract Services-Intracompany Allocation"/>
    <s v="Cardiac Rehab"/>
    <x v="0"/>
    <m/>
    <n v="1007.37"/>
    <n v="1183.55"/>
    <n v="891.32"/>
    <n v="1312.2"/>
    <n v="1030.79"/>
    <n v="1423.11"/>
    <n v="1371.88"/>
    <n v="1360.64"/>
    <n v="1422.1"/>
    <n v="560.12"/>
    <n v="1482.04"/>
    <n v="1192.6500000000001"/>
    <n v="14237.770000000002"/>
    <n v="289.38999999999987"/>
  </r>
  <r>
    <x v="11"/>
    <x v="3"/>
    <x v="0"/>
    <s v="4930101"/>
    <n v="721010"/>
    <s v="Supplies-Medical - Billable"/>
    <s v="Cardiac Rehab"/>
    <x v="0"/>
    <m/>
    <n v="0"/>
    <n v="0"/>
    <n v="10.95"/>
    <n v="0"/>
    <n v="0"/>
    <n v="0"/>
    <n v="0"/>
    <n v="0"/>
    <n v="0"/>
    <n v="0"/>
    <n v="0"/>
    <n v="0"/>
    <n v="10.95"/>
    <n v="0"/>
  </r>
  <r>
    <x v="11"/>
    <x v="3"/>
    <x v="0"/>
    <s v="4930101"/>
    <n v="721010"/>
    <s v="Patient Monitoring"/>
    <s v="Cardiac Rehab"/>
    <x v="0"/>
    <n v="1000"/>
    <n v="0"/>
    <n v="223.31"/>
    <n v="210.4"/>
    <n v="152.99"/>
    <n v="34.979999999999997"/>
    <n v="257.04000000000002"/>
    <n v="237.52"/>
    <n v="372.29"/>
    <n v="276.74"/>
    <n v="856.09"/>
    <n v="230.86"/>
    <n v="127.2"/>
    <n v="2979.42"/>
    <n v="103.66000000000001"/>
  </r>
  <r>
    <x v="11"/>
    <x v="3"/>
    <x v="0"/>
    <s v="4930101"/>
    <n v="721250"/>
    <s v="Supplies-Pharmacy Drugs - Billable"/>
    <s v="Cardiac Rehab"/>
    <x v="0"/>
    <m/>
    <n v="0"/>
    <n v="40.5"/>
    <n v="0"/>
    <n v="0"/>
    <n v="27"/>
    <n v="0"/>
    <n v="45.91"/>
    <n v="0"/>
    <n v="38.08"/>
    <n v="0"/>
    <n v="0"/>
    <n v="0"/>
    <n v="151.49"/>
    <n v="0"/>
  </r>
  <r>
    <x v="11"/>
    <x v="3"/>
    <x v="0"/>
    <s v="4930101"/>
    <n v="721410"/>
    <s v="Supplies-Medical - Nonbillable"/>
    <s v="Cardiac Rehab"/>
    <x v="0"/>
    <m/>
    <n v="13.84"/>
    <n v="2.69"/>
    <n v="2.2000000000000002"/>
    <n v="100.39"/>
    <n v="1.43"/>
    <n v="792.72"/>
    <n v="0"/>
    <n v="63.36"/>
    <n v="17.2"/>
    <n v="63.36"/>
    <n v="0"/>
    <n v="0"/>
    <n v="1057.19"/>
    <n v="0"/>
  </r>
  <r>
    <x v="11"/>
    <x v="3"/>
    <x v="0"/>
    <s v="4930101"/>
    <n v="721410"/>
    <s v="Patient Monitoring"/>
    <s v="Cardiac Rehab"/>
    <x v="0"/>
    <n v="1000"/>
    <n v="0"/>
    <n v="0"/>
    <n v="0"/>
    <n v="0"/>
    <n v="0"/>
    <n v="0"/>
    <n v="0"/>
    <n v="0"/>
    <n v="0"/>
    <n v="3.75"/>
    <n v="0"/>
    <n v="0"/>
    <n v="3.75"/>
    <n v="0"/>
  </r>
  <r>
    <x v="11"/>
    <x v="3"/>
    <x v="0"/>
    <s v="4930101"/>
    <n v="721610"/>
    <s v="Supplies-Anesthesia - Nonbillable"/>
    <s v="Cardiac Rehab"/>
    <x v="0"/>
    <m/>
    <n v="155.19999999999999"/>
    <n v="4.41"/>
    <n v="0"/>
    <n v="0"/>
    <n v="0"/>
    <n v="26.6"/>
    <n v="0"/>
    <n v="0"/>
    <n v="0"/>
    <n v="0"/>
    <n v="0"/>
    <n v="0"/>
    <n v="186.20999999999998"/>
    <n v="0"/>
  </r>
  <r>
    <x v="11"/>
    <x v="3"/>
    <x v="0"/>
    <s v="4930101"/>
    <n v="721710"/>
    <s v="Supplies-Laboratory - Nonbillable"/>
    <s v="Cardiac Rehab"/>
    <x v="0"/>
    <m/>
    <n v="0"/>
    <n v="5.8"/>
    <n v="41.8"/>
    <n v="0"/>
    <n v="0"/>
    <n v="11.6"/>
    <n v="0"/>
    <n v="0"/>
    <n v="0"/>
    <n v="0"/>
    <n v="0"/>
    <n v="0"/>
    <n v="59.199999999999996"/>
    <n v="0"/>
  </r>
  <r>
    <x v="11"/>
    <x v="3"/>
    <x v="0"/>
    <s v="4930101"/>
    <n v="721810"/>
    <s v="Supplies-Dietary/Cafeteria"/>
    <s v="Cardiac Rehab"/>
    <x v="0"/>
    <m/>
    <n v="10.79"/>
    <n v="5"/>
    <n v="10.73"/>
    <n v="6.26"/>
    <n v="5"/>
    <n v="7.86"/>
    <n v="23.43"/>
    <n v="3.5"/>
    <n v="18.38"/>
    <n v="8.86"/>
    <n v="126.15"/>
    <n v="20.93"/>
    <n v="246.89"/>
    <n v="105.22"/>
  </r>
  <r>
    <x v="11"/>
    <x v="3"/>
    <x v="0"/>
    <s v="4930101"/>
    <n v="721830"/>
    <s v="Supplies-Office"/>
    <s v="Cardiac Rehab"/>
    <x v="0"/>
    <m/>
    <n v="80.83"/>
    <n v="395.79"/>
    <n v="0"/>
    <n v="162.74"/>
    <n v="0"/>
    <n v="70.27"/>
    <n v="171.04"/>
    <n v="313.14"/>
    <n v="118.97"/>
    <n v="193.39"/>
    <n v="48.68"/>
    <n v="0"/>
    <n v="1554.8500000000001"/>
    <n v="48.68"/>
  </r>
  <r>
    <x v="11"/>
    <x v="3"/>
    <x v="0"/>
    <s v="4930101"/>
    <n v="721835"/>
    <s v="Supplies-Forms"/>
    <s v="Cardiac Rehab"/>
    <x v="0"/>
    <m/>
    <n v="0"/>
    <n v="0"/>
    <n v="0"/>
    <n v="0"/>
    <n v="1331.88"/>
    <n v="8.1"/>
    <n v="0"/>
    <n v="0"/>
    <n v="403.16"/>
    <n v="259.08"/>
    <n v="249.75"/>
    <n v="235.58"/>
    <n v="2487.5500000000002"/>
    <n v="14.169999999999987"/>
  </r>
  <r>
    <x v="11"/>
    <x v="3"/>
    <x v="0"/>
    <s v="4930101"/>
    <n v="721870"/>
    <s v="Supplies-Environmental Services"/>
    <s v="Cardiac Rehab"/>
    <x v="0"/>
    <m/>
    <n v="110.04"/>
    <n v="115.24"/>
    <n v="161.41"/>
    <n v="28.81"/>
    <n v="0"/>
    <n v="306.02"/>
    <n v="62.1"/>
    <n v="196.65"/>
    <n v="165.6"/>
    <n v="310.5"/>
    <n v="225.35"/>
    <n v="49.83"/>
    <n v="1731.5499999999997"/>
    <n v="175.51999999999998"/>
  </r>
  <r>
    <x v="11"/>
    <x v="3"/>
    <x v="0"/>
    <s v="4930101"/>
    <n v="721910"/>
    <s v="Supplies-Small Equipment"/>
    <s v="Cardiac Rehab"/>
    <x v="0"/>
    <m/>
    <n v="74.25"/>
    <n v="4.2300000000000004"/>
    <n v="3.12"/>
    <n v="-44.11"/>
    <n v="0"/>
    <n v="0"/>
    <n v="0"/>
    <n v="0"/>
    <n v="0"/>
    <n v="0"/>
    <n v="0"/>
    <n v="0"/>
    <n v="37.490000000000009"/>
    <n v="0"/>
  </r>
  <r>
    <x v="11"/>
    <x v="3"/>
    <x v="0"/>
    <s v="4930101"/>
    <n v="721980"/>
    <s v="Supplies-Other"/>
    <s v="Cardiac Rehab"/>
    <x v="0"/>
    <m/>
    <n v="0"/>
    <n v="72.040000000000006"/>
    <n v="7.28"/>
    <n v="18.010000000000002"/>
    <n v="0"/>
    <n v="0"/>
    <n v="0"/>
    <n v="0"/>
    <n v="0"/>
    <n v="0"/>
    <n v="0"/>
    <n v="0"/>
    <n v="97.330000000000013"/>
    <n v="0"/>
  </r>
  <r>
    <x v="11"/>
    <x v="3"/>
    <x v="0"/>
    <s v="4930101"/>
    <n v="722000"/>
    <s v="Supplies-Freight Expense"/>
    <s v="Cardiac Rehab"/>
    <x v="0"/>
    <m/>
    <n v="-4.32"/>
    <n v="7.94"/>
    <n v="0"/>
    <n v="10.95"/>
    <n v="0"/>
    <n v="11.17"/>
    <n v="0"/>
    <n v="0"/>
    <n v="0"/>
    <n v="215.98"/>
    <n v="8.27"/>
    <n v="0"/>
    <n v="249.99"/>
    <n v="8.27"/>
  </r>
  <r>
    <x v="12"/>
    <x v="3"/>
    <x v="0"/>
    <s v="4930101"/>
    <n v="730020"/>
    <s v="Rental and Leases-Copier Usage Fees (DO NOT USE)"/>
    <s v="Cardiac Rehab"/>
    <x v="0"/>
    <n v="5100"/>
    <n v="192.12"/>
    <n v="196.41"/>
    <n v="194.26"/>
    <n v="194.26"/>
    <n v="194.26"/>
    <n v="194.26"/>
    <n v="-143.04"/>
    <n v="147.25"/>
    <n v="146.94"/>
    <n v="147.56"/>
    <n v="147.25"/>
    <n v="192.66"/>
    <n v="1804.19"/>
    <n v="-45.41"/>
  </r>
  <r>
    <x v="13"/>
    <x v="3"/>
    <x v="0"/>
    <s v="4930101"/>
    <n v="735070"/>
    <s v="Depreciation-Movable Equipment"/>
    <s v="Cardiac Rehab"/>
    <x v="0"/>
    <m/>
    <n v="1291.18"/>
    <n v="1236.9100000000001"/>
    <n v="1236.9100000000001"/>
    <n v="1328.6"/>
    <n v="1328.61"/>
    <n v="1328.59"/>
    <n v="1328.61"/>
    <n v="1328.59"/>
    <n v="1328.61"/>
    <n v="1328.59"/>
    <n v="1328.61"/>
    <n v="1328.59"/>
    <n v="15722.400000000001"/>
    <n v="1.999999999998181E-2"/>
  </r>
  <r>
    <x v="0"/>
    <x v="3"/>
    <x v="0"/>
    <s v="4930101"/>
    <n v="740020"/>
    <s v="Education-Registration Fees"/>
    <s v="Cardiac Rehab"/>
    <x v="0"/>
    <m/>
    <n v="0"/>
    <n v="0"/>
    <n v="0"/>
    <n v="0"/>
    <n v="165"/>
    <n v="0"/>
    <n v="215"/>
    <n v="0"/>
    <n v="218.95"/>
    <n v="0"/>
    <n v="80"/>
    <n v="0"/>
    <n v="678.95"/>
    <n v="80"/>
  </r>
  <r>
    <x v="0"/>
    <x v="3"/>
    <x v="0"/>
    <s v="4930101"/>
    <n v="743010"/>
    <s v="Dues--Institutional"/>
    <s v="Cardiac Rehab"/>
    <x v="0"/>
    <m/>
    <n v="0"/>
    <n v="0"/>
    <n v="0"/>
    <n v="0"/>
    <n v="0"/>
    <n v="0"/>
    <n v="0"/>
    <n v="0"/>
    <n v="680"/>
    <n v="0"/>
    <n v="0"/>
    <n v="0"/>
    <n v="680"/>
    <n v="0"/>
  </r>
  <r>
    <x v="0"/>
    <x v="3"/>
    <x v="0"/>
    <s v="4930101"/>
    <n v="743030"/>
    <s v="Subscriptions--Institutional"/>
    <s v="Cardiac Rehab"/>
    <x v="0"/>
    <m/>
    <n v="0"/>
    <n v="0"/>
    <n v="0"/>
    <n v="0"/>
    <n v="0"/>
    <n v="0"/>
    <n v="150.41999999999999"/>
    <n v="0"/>
    <n v="0"/>
    <n v="0"/>
    <n v="40.909999999999997"/>
    <n v="0"/>
    <n v="191.32999999999998"/>
    <n v="40.909999999999997"/>
  </r>
  <r>
    <x v="0"/>
    <x v="3"/>
    <x v="0"/>
    <s v="4930101"/>
    <n v="749510"/>
    <s v="Miscellaneous Expenses"/>
    <s v="Cardiac Rehab"/>
    <x v="0"/>
    <m/>
    <n v="-178.96"/>
    <n v="188.65"/>
    <n v="48.74"/>
    <n v="47.64"/>
    <n v="92.81"/>
    <n v="120.33"/>
    <n v="152.36000000000001"/>
    <n v="92.81"/>
    <n v="55.9"/>
    <n v="201.63"/>
    <n v="77.06"/>
    <n v="141.1"/>
    <n v="1040.07"/>
    <n v="-64.039999999999992"/>
  </r>
  <r>
    <x v="0"/>
    <x v="3"/>
    <x v="0"/>
    <s v="4930101"/>
    <n v="749530"/>
    <s v="Travel"/>
    <s v="Cardiac Rehab"/>
    <x v="0"/>
    <m/>
    <n v="0"/>
    <n v="0"/>
    <n v="0"/>
    <n v="0"/>
    <n v="0"/>
    <n v="0"/>
    <n v="0"/>
    <n v="0"/>
    <n v="0"/>
    <n v="0"/>
    <n v="14"/>
    <n v="0"/>
    <n v="14"/>
    <n v="14"/>
  </r>
  <r>
    <x v="19"/>
    <x v="0"/>
    <x v="0"/>
    <s v="4930102"/>
    <n v="400020"/>
    <s v="O/P Care Svcs Rev--Medicare"/>
    <s v="Cardiac Rehab"/>
    <x v="0"/>
    <n v="1100"/>
    <n v="-59646.27"/>
    <n v="-57024.71"/>
    <n v="-41004.51"/>
    <n v="-66793.509999999995"/>
    <n v="-51578"/>
    <n v="-60604.15"/>
    <n v="-60733.42"/>
    <n v="-25813.89"/>
    <n v="-42500.800000000003"/>
    <n v="-58438.6"/>
    <n v="-50735.33"/>
    <n v="-42766.43"/>
    <n v="-617639.62"/>
    <n v="-7968.9000000000015"/>
  </r>
  <r>
    <x v="19"/>
    <x v="0"/>
    <x v="0"/>
    <s v="4930102"/>
    <n v="400020"/>
    <s v="O/P Care Svcs Rev--Medicaid"/>
    <s v="Cardiac Rehab"/>
    <x v="0"/>
    <n v="1200"/>
    <n v="0"/>
    <n v="0"/>
    <n v="-257.89"/>
    <n v="-4126.24"/>
    <n v="-6447.25"/>
    <n v="-8252.48"/>
    <n v="-8716.23"/>
    <n v="-4515.71"/>
    <n v="-3187.56"/>
    <n v="-2656.3"/>
    <n v="-4250.08"/>
    <n v="1062.52"/>
    <n v="-41347.220000000008"/>
    <n v="-5312.6"/>
  </r>
  <r>
    <x v="19"/>
    <x v="0"/>
    <x v="0"/>
    <s v="4930102"/>
    <n v="400020"/>
    <s v="O/P Care Svcs Rev--Comm Insurance"/>
    <s v="Cardiac Rehab"/>
    <x v="0"/>
    <n v="1300"/>
    <n v="0"/>
    <n v="-1547.34"/>
    <n v="-4899.91"/>
    <n v="-2063.12"/>
    <n v="-2578.9"/>
    <n v="-2578.9"/>
    <n v="0"/>
    <n v="-515.78"/>
    <n v="0"/>
    <n v="0"/>
    <n v="-265.63"/>
    <n v="-3187.56"/>
    <n v="-17637.14"/>
    <n v="2921.93"/>
  </r>
  <r>
    <x v="19"/>
    <x v="0"/>
    <x v="0"/>
    <s v="4930102"/>
    <n v="400020"/>
    <s v="O/P Care Svcs Rev--BCBS Comm"/>
    <s v="Cardiac Rehab"/>
    <x v="0"/>
    <n v="1301"/>
    <n v="-1547.34"/>
    <n v="-4126.24"/>
    <n v="-3868.35"/>
    <n v="-2836.79"/>
    <n v="-1289.45"/>
    <n v="-1289.45"/>
    <n v="-2603.46"/>
    <n v="-2085"/>
    <n v="-1593.78"/>
    <n v="-5312.6"/>
    <n v="-5312.6"/>
    <n v="-8765.7900000000009"/>
    <n v="-40630.85"/>
    <n v="3453.1900000000005"/>
  </r>
  <r>
    <x v="19"/>
    <x v="0"/>
    <x v="0"/>
    <s v="4930102"/>
    <n v="400020"/>
    <s v="O/P Care Svcs Rev--Managed Care"/>
    <s v="Cardiac Rehab"/>
    <x v="0"/>
    <n v="1400"/>
    <n v="-26574.95"/>
    <n v="-38548.42"/>
    <n v="-20889.09"/>
    <n v="-24499.55"/>
    <n v="-25715.94"/>
    <n v="-16247.07"/>
    <n v="-12068.8"/>
    <n v="-10625.2"/>
    <n v="-15406.54"/>
    <n v="-20453.509999999998"/>
    <n v="-17727.55"/>
    <n v="-18328.47"/>
    <n v="-247085.09"/>
    <n v="600.92000000000189"/>
  </r>
  <r>
    <x v="19"/>
    <x v="0"/>
    <x v="0"/>
    <s v="4930102"/>
    <n v="400020"/>
    <s v="O/P Care Svcs Rev--Self Pay"/>
    <s v="Cardiac Rehab"/>
    <x v="0"/>
    <n v="1500"/>
    <n v="0"/>
    <n v="0"/>
    <n v="-1805.23"/>
    <n v="0"/>
    <n v="0"/>
    <n v="0"/>
    <n v="0"/>
    <n v="-796.89"/>
    <n v="-2390.67"/>
    <n v="-265.63"/>
    <n v="0"/>
    <n v="0"/>
    <n v="-5258.42"/>
    <n v="0"/>
  </r>
  <r>
    <x v="19"/>
    <x v="0"/>
    <x v="0"/>
    <s v="4930102"/>
    <n v="400020"/>
    <s v="O/P Care Svcs Rev--Other"/>
    <s v="Cardiac Rehab"/>
    <x v="0"/>
    <n v="1700"/>
    <n v="-4040.28"/>
    <n v="-4642.0200000000004"/>
    <n v="-5157.8"/>
    <n v="-4126.24"/>
    <n v="-3094.68"/>
    <n v="0"/>
    <n v="-1289.45"/>
    <n v="-4515.71"/>
    <n v="-12218.98"/>
    <n v="-11953.35"/>
    <n v="-10694.86"/>
    <n v="-9297.0499999999993"/>
    <n v="-71030.42"/>
    <n v="-1397.8100000000013"/>
  </r>
  <r>
    <x v="5"/>
    <x v="0"/>
    <x v="0"/>
    <s v="4930102"/>
    <n v="700026"/>
    <s v="Salaries-RN-Productive"/>
    <s v="Cardiac Rehab"/>
    <x v="0"/>
    <m/>
    <n v="8928.3799999999992"/>
    <n v="8879.2199999999993"/>
    <n v="7696.8"/>
    <n v="9056.89"/>
    <n v="11011.02"/>
    <n v="7962.72"/>
    <n v="8100.94"/>
    <n v="7547.18"/>
    <n v="10464.040000000001"/>
    <n v="9844.15"/>
    <n v="10140.450000000001"/>
    <n v="4013.07"/>
    <n v="103644.86"/>
    <n v="6127.380000000001"/>
  </r>
  <r>
    <x v="5"/>
    <x v="0"/>
    <x v="0"/>
    <s v="4930102"/>
    <n v="700026"/>
    <s v="Salaries-RN-OT"/>
    <s v="Cardiac Rehab"/>
    <x v="0"/>
    <n v="1000"/>
    <n v="475.05"/>
    <n v="585.29999999999995"/>
    <n v="449.78"/>
    <n v="911.44"/>
    <n v="597.74"/>
    <n v="883.6"/>
    <n v="569.99"/>
    <n v="660.59"/>
    <n v="511.6"/>
    <n v="921.74"/>
    <n v="141.38999999999999"/>
    <n v="310.73"/>
    <n v="7018.9500000000007"/>
    <n v="-169.34000000000003"/>
  </r>
  <r>
    <x v="5"/>
    <x v="0"/>
    <x v="0"/>
    <s v="4930102"/>
    <n v="700026"/>
    <s v="Salaries-RN-Other"/>
    <s v="Cardiac Rehab"/>
    <x v="0"/>
    <n v="2000"/>
    <n v="0"/>
    <n v="0"/>
    <n v="0"/>
    <n v="0"/>
    <n v="0"/>
    <n v="10.210000000000001"/>
    <n v="-1.27"/>
    <n v="0"/>
    <n v="0"/>
    <n v="0"/>
    <n v="0"/>
    <n v="16.52"/>
    <n v="25.46"/>
    <n v="-16.52"/>
  </r>
  <r>
    <x v="5"/>
    <x v="0"/>
    <x v="0"/>
    <s v="4930102"/>
    <n v="700032"/>
    <s v="Salaries-Other Pat Care Providers-Productive"/>
    <s v="Cardiac Rehab"/>
    <x v="0"/>
    <m/>
    <n v="4130.99"/>
    <n v="5071.07"/>
    <n v="5689.4"/>
    <n v="5552.68"/>
    <n v="5803.47"/>
    <n v="4205.7299999999996"/>
    <n v="4810.4399999999996"/>
    <n v="3950.85"/>
    <n v="5444.25"/>
    <n v="4547.18"/>
    <n v="5604.28"/>
    <n v="7332.19"/>
    <n v="62142.53"/>
    <n v="-1727.9099999999999"/>
  </r>
  <r>
    <x v="5"/>
    <x v="0"/>
    <x v="0"/>
    <s v="4930102"/>
    <n v="700032"/>
    <s v="Salaries-Other Pat Care Providers-OT"/>
    <s v="Cardiac Rehab"/>
    <x v="0"/>
    <n v="1000"/>
    <n v="29.03"/>
    <n v="150.28"/>
    <n v="-21.78"/>
    <n v="308.92"/>
    <n v="1127.98"/>
    <n v="-220.19"/>
    <n v="34.19"/>
    <n v="22.79"/>
    <n v="126.95"/>
    <n v="322.31"/>
    <n v="-107.42"/>
    <n v="130.5"/>
    <n v="1903.56"/>
    <n v="-237.92000000000002"/>
  </r>
  <r>
    <x v="5"/>
    <x v="0"/>
    <x v="0"/>
    <s v="4930102"/>
    <n v="700032"/>
    <s v="Salaries-Other Pat Care Providers-Other"/>
    <s v="Cardiac Rehab"/>
    <x v="0"/>
    <n v="2000"/>
    <n v="101.58"/>
    <n v="304.33"/>
    <n v="319.54000000000002"/>
    <n v="-43.43"/>
    <n v="87.07"/>
    <n v="133.1"/>
    <n v="8.0500000000000007"/>
    <n v="-6"/>
    <n v="5.57"/>
    <n v="73.95"/>
    <n v="83.99"/>
    <n v="351.33"/>
    <n v="1419.0800000000002"/>
    <n v="-267.33999999999997"/>
  </r>
  <r>
    <x v="5"/>
    <x v="0"/>
    <x v="0"/>
    <s v="4930102"/>
    <n v="700066"/>
    <s v="Salaries-RN-Non-productive"/>
    <s v="Cardiac Rehab"/>
    <x v="0"/>
    <m/>
    <n v="889.6"/>
    <n v="794.24"/>
    <n v="1747.45"/>
    <n v="794.31"/>
    <n v="0"/>
    <n v="2182.3200000000002"/>
    <n v="2067.1"/>
    <n v="1161.43"/>
    <n v="-409.61"/>
    <n v="0"/>
    <n v="0"/>
    <n v="5675.87"/>
    <n v="14902.71"/>
    <n v="-5675.87"/>
  </r>
  <r>
    <x v="5"/>
    <x v="0"/>
    <x v="0"/>
    <s v="4930102"/>
    <n v="700066"/>
    <s v="Salaries-RN-NonProd-Other"/>
    <s v="Cardiac Rehab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4930102"/>
    <n v="700072"/>
    <s v="Salaries-Other Pat Care Providers-Non-productive"/>
    <s v="Cardiac Rehab"/>
    <x v="0"/>
    <m/>
    <n v="547.80999999999995"/>
    <n v="677.7"/>
    <n v="526.01"/>
    <n v="-119.39"/>
    <n v="0"/>
    <n v="1977.49"/>
    <n v="626.33000000000004"/>
    <n v="752.02"/>
    <n v="-8.66"/>
    <n v="1154.6199999999999"/>
    <n v="322.83"/>
    <n v="163.34"/>
    <n v="6620.0999999999995"/>
    <n v="159.48999999999998"/>
  </r>
  <r>
    <x v="5"/>
    <x v="0"/>
    <x v="0"/>
    <s v="4930102"/>
    <n v="700072"/>
    <s v="Salaries-Other Pat Care Providers-NonProd-Other"/>
    <s v="Cardiac Rehab"/>
    <x v="0"/>
    <n v="2000"/>
    <n v="0"/>
    <n v="0"/>
    <n v="0"/>
    <n v="0"/>
    <n v="0"/>
    <n v="0"/>
    <n v="0"/>
    <n v="0"/>
    <n v="0"/>
    <n v="0"/>
    <n v="0"/>
    <n v="8.14"/>
    <n v="8.14"/>
    <n v="-8.14"/>
  </r>
  <r>
    <x v="5"/>
    <x v="0"/>
    <x v="0"/>
    <s v="4930102"/>
    <n v="700084"/>
    <s v="Accrued PTO"/>
    <s v="Cardiac Rehab"/>
    <x v="0"/>
    <m/>
    <n v="1658.16"/>
    <n v="-27.84"/>
    <n v="-267.07"/>
    <n v="575.91999999999996"/>
    <n v="1833.45"/>
    <n v="-1308.54"/>
    <n v="-846.93"/>
    <n v="63.04"/>
    <n v="1612.96"/>
    <n v="877.85"/>
    <n v="1486.35"/>
    <n v="-321.55"/>
    <n v="5335.8"/>
    <n v="1807.8999999999999"/>
  </r>
  <r>
    <x v="6"/>
    <x v="0"/>
    <x v="0"/>
    <s v="4930102"/>
    <n v="713010"/>
    <s v="Benefits-FICA/Medicare"/>
    <s v="Cardiac Rehab"/>
    <x v="0"/>
    <m/>
    <n v="1136.5899999999999"/>
    <n v="1240.67"/>
    <n v="1237.07"/>
    <n v="1277.58"/>
    <n v="1480.96"/>
    <n v="1201.79"/>
    <n v="1215.7"/>
    <n v="1055.6199999999999"/>
    <n v="1209.58"/>
    <n v="1266.0899999999999"/>
    <n v="1213.55"/>
    <n v="1353.02"/>
    <n v="14888.22"/>
    <n v="-139.47000000000003"/>
  </r>
  <r>
    <x v="6"/>
    <x v="0"/>
    <x v="0"/>
    <s v="4930102"/>
    <n v="713090"/>
    <s v="Benefits-Allocated Amounts"/>
    <s v="Cardiac Rehab"/>
    <x v="0"/>
    <m/>
    <n v="3090.79"/>
    <n v="2929.29"/>
    <n v="3196.61"/>
    <n v="2731.56"/>
    <n v="3175.28"/>
    <n v="2919.19"/>
    <n v="2884.25"/>
    <n v="2682.64"/>
    <n v="2883.55"/>
    <n v="3209.69"/>
    <n v="3026.25"/>
    <n v="3587.61"/>
    <n v="36316.71"/>
    <n v="-561.36000000000013"/>
  </r>
  <r>
    <x v="7"/>
    <x v="0"/>
    <x v="0"/>
    <s v="4930102"/>
    <n v="718050"/>
    <s v="Translation Services"/>
    <s v="Cardiac Rehab"/>
    <x v="0"/>
    <n v="1025"/>
    <n v="0"/>
    <n v="32"/>
    <n v="32"/>
    <n v="152"/>
    <n v="256"/>
    <n v="0"/>
    <n v="0"/>
    <n v="248"/>
    <n v="0"/>
    <n v="0"/>
    <n v="0"/>
    <n v="0"/>
    <n v="720"/>
    <n v="0"/>
  </r>
  <r>
    <x v="11"/>
    <x v="0"/>
    <x v="0"/>
    <s v="4930102"/>
    <n v="721010"/>
    <s v="Supplies-Medical - Billable"/>
    <s v="Cardiac Rehab"/>
    <x v="0"/>
    <m/>
    <n v="0.94"/>
    <n v="0"/>
    <n v="0"/>
    <n v="0"/>
    <n v="0"/>
    <n v="0"/>
    <n v="0"/>
    <n v="211.5"/>
    <n v="0"/>
    <n v="0"/>
    <n v="0"/>
    <n v="0"/>
    <n v="212.44"/>
    <n v="0"/>
  </r>
  <r>
    <x v="11"/>
    <x v="0"/>
    <x v="0"/>
    <s v="4930102"/>
    <n v="721010"/>
    <s v="Patient Monitoring"/>
    <s v="Cardiac Rehab"/>
    <x v="0"/>
    <n v="1000"/>
    <n v="85.86"/>
    <n v="63.6"/>
    <n v="63.6"/>
    <n v="319.13"/>
    <n v="127.2"/>
    <n v="0"/>
    <n v="63.6"/>
    <n v="480"/>
    <n v="0"/>
    <n v="0"/>
    <n v="0"/>
    <n v="63.6"/>
    <n v="1266.5900000000001"/>
    <n v="-63.6"/>
  </r>
  <r>
    <x v="11"/>
    <x v="0"/>
    <x v="0"/>
    <s v="4930102"/>
    <n v="721240"/>
    <s v="Supplies-IV Solutions/Supplies - Billable"/>
    <s v="Cardiac Rehab"/>
    <x v="0"/>
    <m/>
    <n v="4.45"/>
    <n v="0"/>
    <n v="0"/>
    <n v="0"/>
    <n v="0"/>
    <n v="0"/>
    <n v="0"/>
    <n v="0"/>
    <n v="0"/>
    <n v="0"/>
    <n v="0"/>
    <n v="0"/>
    <n v="4.45"/>
    <n v="0"/>
  </r>
  <r>
    <x v="11"/>
    <x v="0"/>
    <x v="0"/>
    <s v="4930102"/>
    <n v="721250"/>
    <s v="Supplies-Pharmacy Drugs - Billable"/>
    <s v="Cardiac Rehab"/>
    <x v="0"/>
    <m/>
    <n v="0"/>
    <n v="0"/>
    <n v="82.5"/>
    <n v="55"/>
    <n v="55"/>
    <n v="7.7"/>
    <n v="0"/>
    <n v="55"/>
    <n v="0"/>
    <n v="35.200000000000003"/>
    <n v="0"/>
    <n v="55"/>
    <n v="345.4"/>
    <n v="-55"/>
  </r>
  <r>
    <x v="11"/>
    <x v="0"/>
    <x v="0"/>
    <s v="4930102"/>
    <n v="721410"/>
    <s v="Supplies-Medical - Nonbillable"/>
    <s v="Cardiac Rehab"/>
    <x v="0"/>
    <m/>
    <n v="4.9000000000000004"/>
    <n v="25.85"/>
    <n v="2.4"/>
    <n v="0"/>
    <n v="13.9"/>
    <n v="0"/>
    <n v="0"/>
    <n v="0"/>
    <n v="0"/>
    <n v="0"/>
    <n v="2.4"/>
    <n v="6.95"/>
    <n v="56.4"/>
    <n v="-4.5500000000000007"/>
  </r>
  <r>
    <x v="11"/>
    <x v="0"/>
    <x v="0"/>
    <s v="4930102"/>
    <n v="721410"/>
    <s v="Patient Monitoring"/>
    <s v="Cardiac Rehab"/>
    <x v="0"/>
    <n v="1000"/>
    <n v="1.1100000000000001"/>
    <n v="0"/>
    <n v="0"/>
    <n v="0"/>
    <n v="0"/>
    <n v="0"/>
    <n v="0"/>
    <n v="30"/>
    <n v="0"/>
    <n v="0"/>
    <n v="0"/>
    <n v="0"/>
    <n v="31.11"/>
    <n v="0"/>
  </r>
  <r>
    <x v="11"/>
    <x v="0"/>
    <x v="0"/>
    <s v="4930102"/>
    <n v="721420"/>
    <s v="Supplies-Surgical Nonbillable"/>
    <s v="Cardiac Rehab"/>
    <x v="0"/>
    <m/>
    <n v="19.5"/>
    <n v="0"/>
    <n v="0"/>
    <n v="0"/>
    <n v="0"/>
    <n v="0"/>
    <n v="0"/>
    <n v="0"/>
    <n v="0"/>
    <n v="0"/>
    <n v="0"/>
    <n v="0"/>
    <n v="19.5"/>
    <n v="0"/>
  </r>
  <r>
    <x v="11"/>
    <x v="0"/>
    <x v="0"/>
    <s v="4930102"/>
    <n v="721610"/>
    <s v="Supplies-Anesthesia - Nonbillable"/>
    <s v="Cardiac Rehab"/>
    <x v="0"/>
    <m/>
    <n v="23.72"/>
    <n v="0"/>
    <n v="0"/>
    <n v="0"/>
    <n v="0"/>
    <n v="0"/>
    <n v="0"/>
    <n v="0"/>
    <n v="0"/>
    <n v="0"/>
    <n v="0"/>
    <n v="0"/>
    <n v="23.72"/>
    <n v="0"/>
  </r>
  <r>
    <x v="11"/>
    <x v="0"/>
    <x v="0"/>
    <s v="4930102"/>
    <n v="721640"/>
    <s v="Supplies-IV Solutions/Supplies - Nonbillable"/>
    <s v="Cardiac Rehab"/>
    <x v="0"/>
    <m/>
    <n v="0"/>
    <n v="0"/>
    <n v="0"/>
    <n v="0"/>
    <n v="0"/>
    <n v="0"/>
    <n v="0"/>
    <n v="0"/>
    <n v="0"/>
    <n v="8.8800000000000008"/>
    <n v="0"/>
    <n v="0"/>
    <n v="8.8800000000000008"/>
    <n v="0"/>
  </r>
  <r>
    <x v="11"/>
    <x v="0"/>
    <x v="0"/>
    <s v="4930102"/>
    <n v="721710"/>
    <s v="Supplies-Laboratory - Nonbillable"/>
    <s v="Cardiac Rehab"/>
    <x v="0"/>
    <m/>
    <n v="0"/>
    <n v="0"/>
    <n v="0"/>
    <n v="0"/>
    <n v="0"/>
    <n v="5.8"/>
    <n v="0"/>
    <n v="0"/>
    <n v="0"/>
    <n v="0"/>
    <n v="0"/>
    <n v="0"/>
    <n v="5.8"/>
    <n v="0"/>
  </r>
  <r>
    <x v="11"/>
    <x v="0"/>
    <x v="0"/>
    <s v="4930102"/>
    <n v="721750"/>
    <s v="Supplies-Film/Radiographic - Nonbillable"/>
    <s v="Cardiac Rehab"/>
    <x v="0"/>
    <m/>
    <n v="0"/>
    <n v="0"/>
    <n v="0"/>
    <n v="0"/>
    <n v="0"/>
    <n v="0"/>
    <n v="0"/>
    <n v="0"/>
    <n v="0"/>
    <n v="11.24"/>
    <n v="0"/>
    <n v="0"/>
    <n v="11.24"/>
    <n v="0"/>
  </r>
  <r>
    <x v="11"/>
    <x v="0"/>
    <x v="0"/>
    <s v="4930102"/>
    <n v="721810"/>
    <s v="Supplies-Dietary/Cafeteria"/>
    <s v="Cardiac Rehab"/>
    <x v="0"/>
    <m/>
    <n v="0"/>
    <n v="0"/>
    <n v="0"/>
    <n v="7.4"/>
    <n v="0"/>
    <n v="5.7"/>
    <n v="0"/>
    <n v="0"/>
    <n v="18"/>
    <n v="12.58"/>
    <n v="13.08"/>
    <n v="14.8"/>
    <n v="71.56"/>
    <n v="-1.7200000000000006"/>
  </r>
  <r>
    <x v="11"/>
    <x v="0"/>
    <x v="0"/>
    <s v="4930102"/>
    <n v="721830"/>
    <s v="Supplies-Office"/>
    <s v="Cardiac Rehab"/>
    <x v="0"/>
    <m/>
    <n v="0"/>
    <n v="111.8"/>
    <n v="0"/>
    <n v="192.43"/>
    <n v="111.16"/>
    <n v="424.61"/>
    <n v="183.05"/>
    <n v="105.24"/>
    <n v="49.76"/>
    <n v="377.21"/>
    <n v="0"/>
    <n v="0"/>
    <n v="1555.26"/>
    <n v="0"/>
  </r>
  <r>
    <x v="11"/>
    <x v="0"/>
    <x v="0"/>
    <s v="4930102"/>
    <n v="721835"/>
    <s v="Supplies-Forms"/>
    <s v="Cardiac Rehab"/>
    <x v="0"/>
    <m/>
    <n v="0"/>
    <n v="0"/>
    <n v="0"/>
    <n v="0"/>
    <n v="23.2"/>
    <n v="56.2"/>
    <n v="0"/>
    <n v="0"/>
    <n v="4.5999999999999996"/>
    <n v="0"/>
    <n v="0"/>
    <n v="0"/>
    <n v="84"/>
    <n v="0"/>
  </r>
  <r>
    <x v="11"/>
    <x v="0"/>
    <x v="0"/>
    <s v="4930102"/>
    <n v="721870"/>
    <s v="Supplies-Environmental Services"/>
    <s v="Cardiac Rehab"/>
    <x v="0"/>
    <m/>
    <n v="0"/>
    <n v="235.81"/>
    <n v="0"/>
    <n v="82.8"/>
    <n v="144.9"/>
    <n v="0"/>
    <n v="0"/>
    <n v="0"/>
    <n v="0"/>
    <n v="90.91"/>
    <n v="127.07"/>
    <n v="30.28"/>
    <n v="711.77"/>
    <n v="96.789999999999992"/>
  </r>
  <r>
    <x v="11"/>
    <x v="0"/>
    <x v="0"/>
    <s v="4930102"/>
    <n v="721910"/>
    <s v="Supplies-Small Equipment"/>
    <s v="Cardiac Rehab"/>
    <x v="0"/>
    <m/>
    <n v="123.63"/>
    <n v="0"/>
    <n v="0"/>
    <n v="0"/>
    <n v="1.36"/>
    <n v="0"/>
    <n v="0"/>
    <n v="0"/>
    <n v="0"/>
    <n v="0"/>
    <n v="4.08"/>
    <n v="124.83"/>
    <n v="253.89999999999998"/>
    <n v="-120.75"/>
  </r>
  <r>
    <x v="11"/>
    <x v="0"/>
    <x v="0"/>
    <s v="4930102"/>
    <n v="721980"/>
    <s v="Supplies-Other"/>
    <s v="Cardiac Rehab"/>
    <x v="0"/>
    <m/>
    <n v="0"/>
    <n v="0"/>
    <n v="0"/>
    <n v="204.58"/>
    <n v="20.46"/>
    <n v="0"/>
    <n v="0"/>
    <n v="0"/>
    <n v="0"/>
    <n v="0"/>
    <n v="0"/>
    <n v="0"/>
    <n v="225.04000000000002"/>
    <n v="0"/>
  </r>
  <r>
    <x v="11"/>
    <x v="0"/>
    <x v="0"/>
    <s v="4930102"/>
    <n v="722000"/>
    <s v="Supplies-Freight Expense"/>
    <s v="Cardiac Rehab"/>
    <x v="0"/>
    <m/>
    <n v="-13.39"/>
    <n v="8.5299999999999994"/>
    <n v="0"/>
    <n v="0"/>
    <n v="0"/>
    <n v="0"/>
    <n v="0"/>
    <n v="0"/>
    <n v="13.83"/>
    <n v="0"/>
    <n v="0"/>
    <n v="0"/>
    <n v="8.9699999999999989"/>
    <n v="0"/>
  </r>
  <r>
    <x v="12"/>
    <x v="0"/>
    <x v="0"/>
    <s v="4930102"/>
    <n v="730010"/>
    <s v="Rental and Leases-Building (DO NOT USE)"/>
    <s v="Cardiac Rehab"/>
    <x v="0"/>
    <m/>
    <n v="4331.62"/>
    <n v="5046.04"/>
    <n v="4422.16"/>
    <n v="5669.92"/>
    <n v="5046.05"/>
    <n v="-7176.26"/>
    <n v="2770.85"/>
    <n v="2770.85"/>
    <n v="2770.85"/>
    <n v="2770.85"/>
    <n v="2837.81"/>
    <n v="0"/>
    <n v="31260.739999999994"/>
    <n v="2837.81"/>
  </r>
  <r>
    <x v="12"/>
    <x v="0"/>
    <x v="0"/>
    <s v="4930102"/>
    <n v="730010"/>
    <s v="Rental-Common Area Maint (DO NOT USE)"/>
    <s v="Cardiac Rehab"/>
    <x v="0"/>
    <n v="2200"/>
    <n v="0"/>
    <n v="0"/>
    <n v="0"/>
    <n v="0"/>
    <n v="0"/>
    <n v="11792.29"/>
    <n v="1845.18"/>
    <n v="1845.18"/>
    <n v="1717.9"/>
    <n v="1845.18"/>
    <n v="1845.18"/>
    <n v="0"/>
    <n v="20890.910000000003"/>
    <n v="1845.18"/>
  </r>
  <r>
    <x v="12"/>
    <x v="0"/>
    <x v="0"/>
    <s v="4930102"/>
    <n v="730020"/>
    <s v="Rental and Leases-Copier Usage Fees (DO NOT USE)"/>
    <s v="Cardiac Rehab"/>
    <x v="0"/>
    <n v="5100"/>
    <n v="124.38"/>
    <n v="135.53"/>
    <n v="129.96"/>
    <n v="129.96"/>
    <n v="129.96"/>
    <n v="129.96"/>
    <n v="1383.06"/>
    <n v="194.02"/>
    <n v="223.2"/>
    <n v="327.60000000000002"/>
    <n v="194.02"/>
    <n v="194.02"/>
    <n v="3295.6699999999996"/>
    <n v="0"/>
  </r>
  <r>
    <x v="12"/>
    <x v="0"/>
    <x v="0"/>
    <s v="4930102"/>
    <n v="730040"/>
    <s v="LT Lease-Real Estate"/>
    <s v="Cardiac Rehab"/>
    <x v="0"/>
    <m/>
    <n v="0"/>
    <n v="0"/>
    <n v="0"/>
    <n v="0"/>
    <n v="0"/>
    <n v="0"/>
    <n v="0"/>
    <n v="0"/>
    <n v="0"/>
    <n v="0"/>
    <n v="0"/>
    <n v="4685.3"/>
    <n v="4685.3"/>
    <n v="-4685.3"/>
  </r>
  <r>
    <x v="13"/>
    <x v="0"/>
    <x v="0"/>
    <s v="4930102"/>
    <n v="735040"/>
    <s v="Depreciation-Building Improvements"/>
    <s v="Cardiac Rehab"/>
    <x v="0"/>
    <m/>
    <n v="3180.1"/>
    <n v="3180.1"/>
    <n v="3180.1"/>
    <n v="3180.1"/>
    <n v="3180.1"/>
    <n v="3180.1"/>
    <n v="3180.1"/>
    <n v="3180.1"/>
    <n v="3180.1"/>
    <n v="3180.1"/>
    <n v="3180.11"/>
    <n v="3180.1"/>
    <n v="38161.209999999992"/>
    <n v="1.0000000000218279E-2"/>
  </r>
  <r>
    <x v="13"/>
    <x v="0"/>
    <x v="0"/>
    <s v="4930102"/>
    <n v="735070"/>
    <s v="Depreciation-Movable Equipment"/>
    <s v="Cardiac Rehab"/>
    <x v="0"/>
    <m/>
    <n v="2586.37"/>
    <n v="2590.38"/>
    <n v="2590.39"/>
    <n v="2590.36"/>
    <n v="2590.39"/>
    <n v="2590.36"/>
    <n v="2590.4"/>
    <n v="2590.36"/>
    <n v="2590.4"/>
    <n v="2590.36"/>
    <n v="2590.42"/>
    <n v="2590.36"/>
    <n v="31080.550000000003"/>
    <n v="5.999999999994543E-2"/>
  </r>
  <r>
    <x v="0"/>
    <x v="0"/>
    <x v="0"/>
    <s v="4930102"/>
    <n v="743030"/>
    <s v="Subscriptions--Institutional"/>
    <s v="Cardiac Rehab"/>
    <x v="0"/>
    <m/>
    <n v="0"/>
    <n v="0"/>
    <n v="0"/>
    <n v="0"/>
    <n v="0"/>
    <n v="0"/>
    <n v="0"/>
    <n v="0"/>
    <n v="0"/>
    <n v="0"/>
    <n v="40.909999999999997"/>
    <n v="0"/>
    <n v="40.909999999999997"/>
    <n v="40.909999999999997"/>
  </r>
  <r>
    <x v="0"/>
    <x v="0"/>
    <x v="0"/>
    <s v="4930102"/>
    <n v="749510"/>
    <s v="Miscellaneous Expenses"/>
    <s v="Cardiac Rehab"/>
    <x v="0"/>
    <m/>
    <n v="0"/>
    <n v="38.1"/>
    <n v="32.950000000000003"/>
    <n v="11.14"/>
    <n v="0"/>
    <n v="0"/>
    <n v="0"/>
    <n v="139.41999999999999"/>
    <n v="122.77"/>
    <n v="99.31"/>
    <n v="68.430000000000007"/>
    <n v="33.409999999999997"/>
    <n v="545.53"/>
    <n v="35.02000000000001"/>
  </r>
  <r>
    <x v="0"/>
    <x v="0"/>
    <x v="0"/>
    <s v="4930102"/>
    <n v="749510"/>
    <s v="Licenses"/>
    <s v="Cardiac Rehab"/>
    <x v="0"/>
    <n v="1002"/>
    <n v="0"/>
    <n v="0"/>
    <n v="110"/>
    <n v="0"/>
    <n v="0"/>
    <n v="0"/>
    <n v="0"/>
    <n v="0"/>
    <n v="0"/>
    <n v="0"/>
    <n v="0"/>
    <n v="0"/>
    <n v="110"/>
    <n v="0"/>
  </r>
  <r>
    <x v="19"/>
    <x v="5"/>
    <x v="0"/>
    <s v="4930106"/>
    <n v="400020"/>
    <s v="O/P Care Svcs Rev--Medicare"/>
    <s v="Cardiac Rehab"/>
    <x v="0"/>
    <n v="1100"/>
    <n v="-42551.85"/>
    <n v="-42883.42"/>
    <n v="-35073.040000000001"/>
    <n v="-46420.2"/>
    <n v="-29657.35"/>
    <n v="-25015.33"/>
    <n v="-36878.269999999997"/>
    <n v="-25758.37"/>
    <n v="-56047.93"/>
    <n v="-59766.75"/>
    <n v="-52594.74"/>
    <n v="-46219.62"/>
    <n v="-498866.87"/>
    <n v="-6375.1199999999953"/>
  </r>
  <r>
    <x v="19"/>
    <x v="5"/>
    <x v="0"/>
    <s v="4930106"/>
    <n v="400020"/>
    <s v="O/P Care Svcs Rev--Medicaid"/>
    <s v="Cardiac Rehab"/>
    <x v="0"/>
    <n v="1200"/>
    <n v="-3610.46"/>
    <n v="-5415.69"/>
    <n v="-4126.24"/>
    <n v="-8768.26"/>
    <n v="-6189.36"/>
    <n v="-4899.91"/>
    <n v="-6963.03"/>
    <n v="-515.78"/>
    <n v="0"/>
    <n v="-1062.52"/>
    <n v="-2656.3"/>
    <n v="-1328.15"/>
    <n v="-45535.7"/>
    <n v="-1328.15"/>
  </r>
  <r>
    <x v="19"/>
    <x v="5"/>
    <x v="0"/>
    <s v="4930106"/>
    <n v="400020"/>
    <s v="O/P Care Svcs Rev--Comm Insurance"/>
    <s v="Cardiac Rehab"/>
    <x v="0"/>
    <n v="1300"/>
    <n v="-5157.8"/>
    <n v="-5673.58"/>
    <n v="-1031.56"/>
    <n v="-2063.12"/>
    <n v="-5931.47"/>
    <n v="-3094.68"/>
    <n v="0"/>
    <n v="0"/>
    <n v="0"/>
    <n v="0"/>
    <n v="-3187.56"/>
    <n v="-6640.75"/>
    <n v="-32780.520000000004"/>
    <n v="3453.19"/>
  </r>
  <r>
    <x v="19"/>
    <x v="5"/>
    <x v="0"/>
    <s v="4930106"/>
    <n v="400020"/>
    <s v="O/P Care Svcs Rev--BCBS Comm"/>
    <s v="Cardiac Rehab"/>
    <x v="0"/>
    <n v="1301"/>
    <n v="-4899.91"/>
    <n v="-5157.8"/>
    <n v="-2063.12"/>
    <n v="-1805.23"/>
    <n v="-5415.69"/>
    <n v="-5931.47"/>
    <n v="-4642.0200000000004"/>
    <n v="-92.88"/>
    <n v="-6640.75"/>
    <n v="-6375.12"/>
    <n v="-5046.97"/>
    <n v="-5312.6"/>
    <n v="-53383.56"/>
    <n v="265.63000000000011"/>
  </r>
  <r>
    <x v="19"/>
    <x v="5"/>
    <x v="0"/>
    <s v="4930106"/>
    <n v="400020"/>
    <s v="O/P Care Svcs Rev--Managed Care"/>
    <s v="Cardiac Rehab"/>
    <x v="0"/>
    <n v="1400"/>
    <n v="-16504.96"/>
    <n v="-26231.1"/>
    <n v="-19341.75"/>
    <n v="-23467.99"/>
    <n v="-21146.98"/>
    <n v="-19805.5"/>
    <n v="-16762.849999999999"/>
    <n v="-22220.04"/>
    <n v="-27094.26"/>
    <n v="-19125.36"/>
    <n v="-14609.65"/>
    <n v="-11156.46"/>
    <n v="-237466.90000000002"/>
    <n v="-3453.1900000000005"/>
  </r>
  <r>
    <x v="19"/>
    <x v="5"/>
    <x v="0"/>
    <s v="4930106"/>
    <n v="400020"/>
    <s v="O/P Care Svcs Rev--Self Pay"/>
    <s v="Cardiac Rehab"/>
    <x v="0"/>
    <n v="1500"/>
    <n v="0"/>
    <n v="0"/>
    <n v="0"/>
    <n v="0"/>
    <n v="0"/>
    <n v="-773.67"/>
    <n v="-1547.34"/>
    <n v="773.67"/>
    <n v="-3453.19"/>
    <n v="3453.19"/>
    <n v="-2390.67"/>
    <n v="-2390.67"/>
    <n v="-6328.68"/>
    <n v="0"/>
  </r>
  <r>
    <x v="5"/>
    <x v="5"/>
    <x v="0"/>
    <s v="4930106"/>
    <n v="700026"/>
    <s v="Salaries-RN-Productive"/>
    <s v="Cardiac Rehab"/>
    <x v="0"/>
    <m/>
    <n v="3537.89"/>
    <n v="4302.3"/>
    <n v="3398.55"/>
    <n v="2140.06"/>
    <n v="5605.65"/>
    <n v="3981.33"/>
    <n v="4360.1899999999996"/>
    <n v="3918.43"/>
    <n v="5061.84"/>
    <n v="4641.1899999999996"/>
    <n v="3772.9"/>
    <n v="4443.6000000000004"/>
    <n v="49163.93"/>
    <n v="-670.70000000000027"/>
  </r>
  <r>
    <x v="5"/>
    <x v="5"/>
    <x v="0"/>
    <s v="4930106"/>
    <n v="700026"/>
    <s v="Salaries-RN-OT"/>
    <s v="Cardiac Rehab"/>
    <x v="0"/>
    <n v="1000"/>
    <n v="125.84"/>
    <n v="203.64"/>
    <n v="146.94"/>
    <n v="55.59"/>
    <n v="244.74"/>
    <n v="132.44999999999999"/>
    <n v="104.04"/>
    <n v="-12.06"/>
    <n v="79.599999999999994"/>
    <n v="246.06"/>
    <n v="173.69"/>
    <n v="199.05"/>
    <n v="1699.58"/>
    <n v="-25.360000000000014"/>
  </r>
  <r>
    <x v="5"/>
    <x v="5"/>
    <x v="0"/>
    <s v="4930106"/>
    <n v="700032"/>
    <s v="Salaries-Other Pat Care Providers-Productive"/>
    <s v="Cardiac Rehab"/>
    <x v="0"/>
    <m/>
    <n v="3481.54"/>
    <n v="4317.7"/>
    <n v="4320.2299999999996"/>
    <n v="5416.45"/>
    <n v="4270.57"/>
    <n v="3635.72"/>
    <n v="4374.26"/>
    <n v="3290.02"/>
    <n v="4669.8900000000003"/>
    <n v="3765.79"/>
    <n v="4536.93"/>
    <n v="350.02"/>
    <n v="46429.119999999995"/>
    <n v="4186.91"/>
  </r>
  <r>
    <x v="5"/>
    <x v="5"/>
    <x v="0"/>
    <s v="4930106"/>
    <n v="700032"/>
    <s v="Salaries-Other Pat Care Providers-OT"/>
    <s v="Cardiac Rehab"/>
    <x v="0"/>
    <n v="1000"/>
    <n v="0"/>
    <n v="0"/>
    <n v="0"/>
    <n v="28.64"/>
    <n v="64.709999999999994"/>
    <n v="-5.14"/>
    <n v="0"/>
    <n v="0"/>
    <n v="48.19"/>
    <n v="24.09"/>
    <n v="0"/>
    <n v="0"/>
    <n v="160.48999999999998"/>
    <n v="0"/>
  </r>
  <r>
    <x v="5"/>
    <x v="5"/>
    <x v="0"/>
    <s v="4930106"/>
    <n v="700032"/>
    <s v="Salaries-Other Pat Care Providers-Other"/>
    <s v="Cardiac Rehab"/>
    <x v="0"/>
    <n v="2000"/>
    <n v="0"/>
    <n v="0"/>
    <n v="0"/>
    <n v="176.88"/>
    <n v="44.92"/>
    <n v="29.48"/>
    <n v="-3.68"/>
    <n v="0"/>
    <n v="13.72"/>
    <n v="0"/>
    <n v="72.42"/>
    <n v="30.39"/>
    <n v="364.13"/>
    <n v="42.03"/>
  </r>
  <r>
    <x v="5"/>
    <x v="5"/>
    <x v="0"/>
    <s v="4930106"/>
    <n v="700066"/>
    <s v="Salaries-RN-Non-productive"/>
    <s v="Cardiac Rehab"/>
    <x v="0"/>
    <m/>
    <n v="1025.04"/>
    <n v="341.68"/>
    <n v="683.36"/>
    <n v="2522.2600000000002"/>
    <n v="-1109.78"/>
    <n v="822.87"/>
    <n v="438.46"/>
    <n v="360.24"/>
    <n v="-128.63999999999999"/>
    <n v="0"/>
    <n v="1080.72"/>
    <n v="566.08000000000004"/>
    <n v="6602.29"/>
    <n v="514.64"/>
  </r>
  <r>
    <x v="5"/>
    <x v="5"/>
    <x v="0"/>
    <s v="4930106"/>
    <n v="700066"/>
    <s v="Salaries-RN-NonProd-Other"/>
    <s v="Cardiac Rehab"/>
    <x v="0"/>
    <n v="2000"/>
    <n v="0"/>
    <n v="0"/>
    <n v="0"/>
    <n v="0"/>
    <n v="0"/>
    <n v="0"/>
    <n v="0"/>
    <n v="15.28"/>
    <n v="-4.0199999999999996"/>
    <n v="0"/>
    <n v="0"/>
    <n v="0"/>
    <n v="11.26"/>
    <n v="0"/>
  </r>
  <r>
    <x v="5"/>
    <x v="5"/>
    <x v="0"/>
    <s v="4930106"/>
    <n v="700072"/>
    <s v="Salaries-Other Pat Care Providers-Non-productive"/>
    <s v="Cardiac Rehab"/>
    <x v="0"/>
    <m/>
    <n v="309.89999999999998"/>
    <n v="0"/>
    <n v="0"/>
    <n v="0"/>
    <n v="0"/>
    <n v="0"/>
    <n v="0"/>
    <n v="0"/>
    <n v="0"/>
    <n v="300.08999999999997"/>
    <n v="-0.32"/>
    <n v="171.28"/>
    <n v="780.94999999999993"/>
    <n v="-171.6"/>
  </r>
  <r>
    <x v="5"/>
    <x v="5"/>
    <x v="0"/>
    <s v="4930106"/>
    <n v="700072"/>
    <s v="Salaries-Other Pat Care Providers-NonProd-Other"/>
    <s v="Cardiac Rehab"/>
    <x v="0"/>
    <n v="2000"/>
    <n v="0"/>
    <n v="0"/>
    <n v="0"/>
    <n v="0"/>
    <n v="0"/>
    <n v="0"/>
    <n v="0"/>
    <n v="7.27"/>
    <n v="-1.91"/>
    <n v="0"/>
    <n v="0"/>
    <n v="0"/>
    <n v="5.3599999999999994"/>
    <n v="0"/>
  </r>
  <r>
    <x v="5"/>
    <x v="5"/>
    <x v="0"/>
    <s v="4930106"/>
    <n v="700084"/>
    <s v="Accrued PTO"/>
    <s v="Cardiac Rehab"/>
    <x v="0"/>
    <m/>
    <n v="-1187.21"/>
    <n v="120.86"/>
    <n v="-68.540000000000006"/>
    <n v="-963.34"/>
    <n v="465.67"/>
    <n v="2.21"/>
    <n v="207.14"/>
    <n v="117.53"/>
    <n v="480.02"/>
    <n v="482.27"/>
    <n v="-596.65"/>
    <n v="349.45"/>
    <n v="-590.59000000000015"/>
    <n v="-946.09999999999991"/>
  </r>
  <r>
    <x v="6"/>
    <x v="5"/>
    <x v="0"/>
    <s v="4930106"/>
    <n v="713010"/>
    <s v="Benefits-FICA/Medicare"/>
    <s v="Cardiac Rehab"/>
    <x v="0"/>
    <m/>
    <n v="636.66999999999996"/>
    <n v="689.12"/>
    <n v="642.32000000000005"/>
    <n v="778.93"/>
    <n v="686.06"/>
    <n v="640.91999999999996"/>
    <n v="687.52"/>
    <n v="560.37"/>
    <n v="723.61"/>
    <n v="682.22"/>
    <n v="693.21"/>
    <n v="420.43"/>
    <n v="7841.38"/>
    <n v="272.78000000000003"/>
  </r>
  <r>
    <x v="6"/>
    <x v="5"/>
    <x v="0"/>
    <s v="4930106"/>
    <n v="713090"/>
    <s v="Benefits-Allocated Amounts"/>
    <s v="Cardiac Rehab"/>
    <x v="0"/>
    <m/>
    <n v="2257.42"/>
    <n v="2197.29"/>
    <n v="2245.58"/>
    <n v="2612.8000000000002"/>
    <n v="2403.88"/>
    <n v="2137.08"/>
    <n v="2414.75"/>
    <n v="2063.11"/>
    <n v="2433.5300000000002"/>
    <n v="2379.67"/>
    <n v="2443.14"/>
    <n v="1213.78"/>
    <n v="26802.03"/>
    <n v="1229.3599999999999"/>
  </r>
  <r>
    <x v="7"/>
    <x v="5"/>
    <x v="0"/>
    <s v="4930106"/>
    <n v="718050"/>
    <s v="Translation Services"/>
    <s v="Cardiac Rehab"/>
    <x v="0"/>
    <n v="1025"/>
    <n v="0"/>
    <n v="0"/>
    <n v="0"/>
    <n v="32"/>
    <n v="636.25"/>
    <n v="0"/>
    <n v="0"/>
    <n v="0"/>
    <n v="0"/>
    <n v="0"/>
    <n v="0"/>
    <n v="0"/>
    <n v="668.25"/>
    <n v="0"/>
  </r>
  <r>
    <x v="11"/>
    <x v="5"/>
    <x v="0"/>
    <s v="4930106"/>
    <n v="721010"/>
    <s v="Patient Monitoring"/>
    <s v="Cardiac Rehab"/>
    <x v="0"/>
    <n v="1000"/>
    <n v="0"/>
    <n v="132.63999999999999"/>
    <n v="138.81"/>
    <n v="250.12"/>
    <n v="105.72"/>
    <n v="0.88"/>
    <n v="132.63999999999999"/>
    <n v="52.86"/>
    <n v="185.5"/>
    <n v="105.72"/>
    <n v="403.78"/>
    <n v="105.72"/>
    <n v="1614.3899999999999"/>
    <n v="298.05999999999995"/>
  </r>
  <r>
    <x v="11"/>
    <x v="5"/>
    <x v="0"/>
    <s v="4930106"/>
    <n v="721410"/>
    <s v="Supplies-Medical - Nonbillable"/>
    <s v="Cardiac Rehab"/>
    <x v="0"/>
    <m/>
    <n v="0"/>
    <n v="0.65"/>
    <n v="13.9"/>
    <n v="7.49"/>
    <n v="1.37"/>
    <n v="0.54"/>
    <n v="13.9"/>
    <n v="0.81"/>
    <n v="6.95"/>
    <n v="15.41"/>
    <n v="0"/>
    <n v="7.62"/>
    <n v="68.640000000000015"/>
    <n v="-7.62"/>
  </r>
  <r>
    <x v="11"/>
    <x v="5"/>
    <x v="0"/>
    <s v="4930106"/>
    <n v="721710"/>
    <s v="Supplies-Laboratory - Nonbillable"/>
    <s v="Cardiac Rehab"/>
    <x v="0"/>
    <m/>
    <n v="0"/>
    <n v="5.8"/>
    <n v="5.8"/>
    <n v="0"/>
    <n v="5.8"/>
    <n v="5.8"/>
    <n v="0"/>
    <n v="4.3499999999999996"/>
    <n v="0"/>
    <n v="0"/>
    <n v="0"/>
    <n v="5.8"/>
    <n v="33.349999999999994"/>
    <n v="-5.8"/>
  </r>
  <r>
    <x v="11"/>
    <x v="5"/>
    <x v="0"/>
    <s v="4930106"/>
    <n v="721810"/>
    <s v="Supplies-Dietary/Cafeteria"/>
    <s v="Cardiac Rehab"/>
    <x v="0"/>
    <m/>
    <n v="4.53"/>
    <n v="13.76"/>
    <n v="19.079999999999998"/>
    <n v="12.72"/>
    <n v="0"/>
    <n v="0"/>
    <n v="12.72"/>
    <n v="0"/>
    <n v="0"/>
    <n v="12.72"/>
    <n v="0"/>
    <n v="43.56"/>
    <n v="119.09"/>
    <n v="-43.56"/>
  </r>
  <r>
    <x v="11"/>
    <x v="5"/>
    <x v="0"/>
    <s v="4930106"/>
    <n v="721830"/>
    <s v="Supplies-Office"/>
    <s v="Cardiac Rehab"/>
    <x v="0"/>
    <m/>
    <n v="131.88"/>
    <n v="3.3"/>
    <n v="0"/>
    <n v="123.23"/>
    <n v="0"/>
    <n v="0"/>
    <n v="0"/>
    <n v="0"/>
    <n v="0"/>
    <n v="246.72"/>
    <n v="81.19"/>
    <n v="0"/>
    <n v="586.31999999999994"/>
    <n v="81.19"/>
  </r>
  <r>
    <x v="11"/>
    <x v="5"/>
    <x v="0"/>
    <s v="4930106"/>
    <n v="721835"/>
    <s v="Supplies-Forms"/>
    <s v="Cardiac Rehab"/>
    <x v="0"/>
    <m/>
    <n v="0"/>
    <n v="0"/>
    <n v="0"/>
    <n v="0"/>
    <n v="366.5"/>
    <n v="0"/>
    <n v="29.6"/>
    <n v="0"/>
    <n v="0"/>
    <n v="5.4"/>
    <n v="0"/>
    <n v="0"/>
    <n v="401.5"/>
    <n v="0"/>
  </r>
  <r>
    <x v="11"/>
    <x v="5"/>
    <x v="0"/>
    <s v="4930106"/>
    <n v="721870"/>
    <s v="Supplies-Environmental Services"/>
    <s v="Cardiac Rehab"/>
    <x v="0"/>
    <m/>
    <n v="0"/>
    <n v="69.959999999999994"/>
    <n v="62.08"/>
    <n v="0"/>
    <n v="62.08"/>
    <n v="31.04"/>
    <n v="0"/>
    <n v="3.94"/>
    <n v="73.900000000000006"/>
    <n v="34.979999999999997"/>
    <n v="0"/>
    <n v="62.08"/>
    <n v="400.06"/>
    <n v="-62.08"/>
  </r>
  <r>
    <x v="11"/>
    <x v="5"/>
    <x v="0"/>
    <s v="4930106"/>
    <n v="721910"/>
    <s v="Supplies-Small Equipment"/>
    <s v="Cardiac Rehab"/>
    <x v="0"/>
    <m/>
    <n v="73.62"/>
    <n v="122.88"/>
    <n v="0"/>
    <n v="215.12"/>
    <n v="0"/>
    <n v="21.72"/>
    <n v="0"/>
    <n v="0"/>
    <n v="0"/>
    <n v="0"/>
    <n v="0"/>
    <n v="0"/>
    <n v="433.34000000000003"/>
    <n v="0"/>
  </r>
  <r>
    <x v="11"/>
    <x v="5"/>
    <x v="0"/>
    <s v="4930106"/>
    <n v="721980"/>
    <s v="Supplies-Other"/>
    <s v="Cardiac Rehab"/>
    <x v="0"/>
    <m/>
    <n v="0"/>
    <n v="0"/>
    <n v="0"/>
    <n v="0"/>
    <n v="0"/>
    <n v="240"/>
    <n v="629.70000000000005"/>
    <n v="550.57000000000005"/>
    <n v="62.39"/>
    <n v="0"/>
    <n v="0"/>
    <n v="0"/>
    <n v="1482.66"/>
    <n v="0"/>
  </r>
  <r>
    <x v="11"/>
    <x v="5"/>
    <x v="0"/>
    <s v="4930106"/>
    <n v="722000"/>
    <s v="Supplies-Freight Expense"/>
    <s v="Cardiac Rehab"/>
    <x v="0"/>
    <m/>
    <n v="0"/>
    <n v="0"/>
    <n v="0"/>
    <n v="10.95"/>
    <n v="0"/>
    <n v="0"/>
    <n v="7.99"/>
    <n v="0"/>
    <n v="16.989999999999998"/>
    <n v="0"/>
    <n v="0"/>
    <n v="0"/>
    <n v="35.929999999999993"/>
    <n v="0"/>
  </r>
  <r>
    <x v="12"/>
    <x v="5"/>
    <x v="0"/>
    <s v="4930106"/>
    <n v="730020"/>
    <s v="Rental and Leases-Copier Usage Fees (DO NOT USE)"/>
    <s v="Cardiac Rehab"/>
    <x v="0"/>
    <n v="5100"/>
    <n v="82.89"/>
    <n v="147.59"/>
    <n v="166.09"/>
    <n v="132.19"/>
    <n v="132.19"/>
    <n v="132.19"/>
    <n v="-554.05999999999995"/>
    <n v="45.64"/>
    <n v="54.22"/>
    <n v="64.14"/>
    <n v="45.63"/>
    <n v="45.64"/>
    <n v="494.35000000000014"/>
    <n v="-9.9999999999980105E-3"/>
  </r>
  <r>
    <x v="13"/>
    <x v="5"/>
    <x v="0"/>
    <s v="4930106"/>
    <n v="735070"/>
    <s v="Depreciation-Movable Equipment"/>
    <s v="Cardiac Rehab"/>
    <x v="0"/>
    <m/>
    <n v="406.64"/>
    <n v="406.64"/>
    <n v="406.64"/>
    <n v="406.64"/>
    <n v="406.64"/>
    <n v="406.64"/>
    <n v="406.64"/>
    <n v="406.63"/>
    <n v="406.64"/>
    <n v="406.63"/>
    <n v="406.64"/>
    <n v="406.63"/>
    <n v="4879.6499999999996"/>
    <n v="9.9999999999909051E-3"/>
  </r>
  <r>
    <x v="0"/>
    <x v="5"/>
    <x v="0"/>
    <s v="4930106"/>
    <n v="740020"/>
    <s v="Education-Registration Fees"/>
    <s v="Cardiac Rehab"/>
    <x v="0"/>
    <m/>
    <n v="0"/>
    <n v="0"/>
    <n v="0"/>
    <n v="0"/>
    <n v="115"/>
    <n v="0"/>
    <n v="0"/>
    <n v="210"/>
    <n v="0"/>
    <n v="0"/>
    <n v="0"/>
    <n v="0"/>
    <n v="325"/>
    <n v="0"/>
  </r>
  <r>
    <x v="0"/>
    <x v="5"/>
    <x v="0"/>
    <s v="4930106"/>
    <n v="743030"/>
    <s v="Subscriptions--Institutional"/>
    <s v="Cardiac Rehab"/>
    <x v="0"/>
    <m/>
    <n v="0"/>
    <n v="0"/>
    <n v="0"/>
    <n v="0"/>
    <n v="0"/>
    <n v="0"/>
    <n v="0"/>
    <n v="0"/>
    <n v="0"/>
    <n v="0"/>
    <n v="40.909999999999997"/>
    <n v="0"/>
    <n v="40.909999999999997"/>
    <n v="40.909999999999997"/>
  </r>
  <r>
    <x v="0"/>
    <x v="5"/>
    <x v="0"/>
    <s v="4930106"/>
    <n v="749510"/>
    <s v="Miscellaneous Expenses"/>
    <s v="Cardiac Rehab"/>
    <x v="0"/>
    <m/>
    <n v="0"/>
    <n v="0"/>
    <n v="0"/>
    <n v="-626.14"/>
    <n v="0"/>
    <n v="0"/>
    <n v="139"/>
    <n v="0"/>
    <n v="0"/>
    <n v="0"/>
    <n v="0"/>
    <n v="0"/>
    <n v="-487.14"/>
    <n v="0"/>
  </r>
  <r>
    <x v="11"/>
    <x v="6"/>
    <x v="0"/>
    <s v="4930107"/>
    <n v="721810"/>
    <s v="Supplies-Dietary/Cafeteria"/>
    <s v="Cardiac Maint Rehab-YMCA"/>
    <x v="0"/>
    <m/>
    <n v="0"/>
    <n v="0"/>
    <n v="0"/>
    <n v="0"/>
    <n v="0"/>
    <n v="0"/>
    <n v="0"/>
    <n v="0"/>
    <n v="31.41"/>
    <n v="8"/>
    <n v="0"/>
    <n v="0"/>
    <n v="39.409999999999997"/>
    <n v="0"/>
  </r>
  <r>
    <x v="19"/>
    <x v="6"/>
    <x v="0"/>
    <s v="4932107"/>
    <n v="400020"/>
    <s v="O/P Care Svcs Rev--Medicare"/>
    <s v="Cardiac-Pulmonary Rehab"/>
    <x v="0"/>
    <n v="1100"/>
    <n v="-131743.5"/>
    <n v="-158386.54"/>
    <n v="-117382.73"/>
    <n v="-154731.6"/>
    <n v="-111838.55"/>
    <n v="-123873.03"/>
    <n v="-120080.85"/>
    <n v="-103875.6"/>
    <n v="-150994.38"/>
    <n v="-170200.37"/>
    <n v="-155517.81"/>
    <n v="-124293.92"/>
    <n v="-1622918.88"/>
    <n v="-31223.89"/>
  </r>
  <r>
    <x v="19"/>
    <x v="6"/>
    <x v="0"/>
    <s v="4932107"/>
    <n v="400020"/>
    <s v="O/P Care Svcs Rev--Medicaid"/>
    <s v="Cardiac-Pulmonary Rehab"/>
    <x v="0"/>
    <n v="1200"/>
    <n v="-7777.14"/>
    <n v="-8643.92"/>
    <n v="-7000.95"/>
    <n v="-16724.04"/>
    <n v="-8273.01"/>
    <n v="-7946.57"/>
    <n v="-569.41"/>
    <n v="-2812.74"/>
    <n v="-1393.15"/>
    <n v="-4250.08"/>
    <n v="-7966.55"/>
    <n v="-11156.46"/>
    <n v="-84514.020000000019"/>
    <n v="3189.9099999999989"/>
  </r>
  <r>
    <x v="19"/>
    <x v="6"/>
    <x v="0"/>
    <s v="4932107"/>
    <n v="400020"/>
    <s v="O/P Care Svcs Rev--Comm Insurance"/>
    <s v="Cardiac-Pulmonary Rehab"/>
    <x v="0"/>
    <n v="1300"/>
    <n v="0"/>
    <n v="0"/>
    <n v="0"/>
    <n v="0"/>
    <n v="-2063.12"/>
    <n v="-5157.8"/>
    <n v="-2063.12"/>
    <n v="-1843.93"/>
    <n v="-1593.78"/>
    <n v="-7.74"/>
    <n v="-2125.04"/>
    <n v="-4250.08"/>
    <n v="-19104.61"/>
    <n v="2125.04"/>
  </r>
  <r>
    <x v="19"/>
    <x v="6"/>
    <x v="0"/>
    <s v="4932107"/>
    <n v="400020"/>
    <s v="O/P Care Svcs Rev--BCBS Comm"/>
    <s v="Cardiac-Pulmonary Rehab"/>
    <x v="0"/>
    <n v="1301"/>
    <n v="-12873.54"/>
    <n v="-13422.56"/>
    <n v="-6152.52"/>
    <n v="-14963.28"/>
    <n v="-16069.05"/>
    <n v="-9616.14"/>
    <n v="-10315.6"/>
    <n v="-7071.39"/>
    <n v="-10890.83"/>
    <n v="-21490.53"/>
    <n v="-14750.7"/>
    <n v="-14228.02"/>
    <n v="-151844.16"/>
    <n v="-522.68000000000029"/>
  </r>
  <r>
    <x v="19"/>
    <x v="6"/>
    <x v="0"/>
    <s v="4932107"/>
    <n v="400020"/>
    <s v="O/P Care Svcs Rev--Managed Care"/>
    <s v="Cardiac-Pulmonary Rehab"/>
    <x v="0"/>
    <n v="1400"/>
    <n v="-17756.61"/>
    <n v="-20603.62"/>
    <n v="-17951.54"/>
    <n v="-20408.59"/>
    <n v="-26965.43"/>
    <n v="-28599.67"/>
    <n v="-23974.63"/>
    <n v="-22067.119999999999"/>
    <n v="-23543.51"/>
    <n v="-27023.74"/>
    <n v="-38462.99"/>
    <n v="-46601.96"/>
    <n v="-313959.41000000003"/>
    <n v="8138.9700000000012"/>
  </r>
  <r>
    <x v="19"/>
    <x v="6"/>
    <x v="0"/>
    <s v="4932107"/>
    <n v="400020"/>
    <s v="O/P Care Svcs Rev--Self Pay"/>
    <s v="Cardiac-Pulmonary Rehab"/>
    <x v="0"/>
    <n v="1500"/>
    <n v="-942.23"/>
    <n v="-3715.15"/>
    <n v="-352.46"/>
    <n v="-2530.7800000000002"/>
    <n v="-2015"/>
    <n v="-3646.31"/>
    <n v="-4788.5600000000004"/>
    <n v="-980.99"/>
    <n v="-3315"/>
    <n v="-3213.15"/>
    <n v="-3526.89"/>
    <n v="-729.33"/>
    <n v="-29755.850000000006"/>
    <n v="-2797.56"/>
  </r>
  <r>
    <x v="19"/>
    <x v="6"/>
    <x v="0"/>
    <s v="4932107"/>
    <n v="400020"/>
    <s v="O/P Care Svcs Rev--Other"/>
    <s v="Cardiac-Pulmonary Rehab"/>
    <x v="0"/>
    <n v="1700"/>
    <n v="-20464.759999999998"/>
    <n v="-26698.58"/>
    <n v="-22781.93"/>
    <n v="-28726.21"/>
    <n v="-26697.34"/>
    <n v="-23692.799999999999"/>
    <n v="-21569.21"/>
    <n v="-27778.69"/>
    <n v="-31279.5"/>
    <n v="-19202.560000000001"/>
    <n v="-13951.45"/>
    <n v="-16615.98"/>
    <n v="-279459.00999999995"/>
    <n v="2664.5299999999988"/>
  </r>
  <r>
    <x v="5"/>
    <x v="6"/>
    <x v="0"/>
    <s v="4932107"/>
    <n v="700026"/>
    <s v="Salaries-RN-Productive"/>
    <s v="Cardiac-Pulmonary Rehab"/>
    <x v="0"/>
    <m/>
    <n v="13748.2"/>
    <n v="15087.36"/>
    <n v="11914.45"/>
    <n v="17532.490000000002"/>
    <n v="10333.83"/>
    <n v="14519.37"/>
    <n v="16050.56"/>
    <n v="13174.58"/>
    <n v="15718.75"/>
    <n v="16296.96"/>
    <n v="17890.830000000002"/>
    <n v="21040.720000000001"/>
    <n v="183308.1"/>
    <n v="-3149.8899999999994"/>
  </r>
  <r>
    <x v="5"/>
    <x v="6"/>
    <x v="0"/>
    <s v="4932107"/>
    <n v="700026"/>
    <s v="Salaries-RN-OT"/>
    <s v="Cardiac-Pulmonary Rehab"/>
    <x v="0"/>
    <n v="1000"/>
    <n v="251.17"/>
    <n v="157.84"/>
    <n v="314.27999999999997"/>
    <n v="114.96"/>
    <n v="1338.22"/>
    <n v="-182.66"/>
    <n v="29.29"/>
    <n v="370.37"/>
    <n v="806.67"/>
    <n v="825.87"/>
    <n v="1909.18"/>
    <n v="322.88"/>
    <n v="6258.0700000000006"/>
    <n v="1586.3000000000002"/>
  </r>
  <r>
    <x v="5"/>
    <x v="6"/>
    <x v="0"/>
    <s v="4932107"/>
    <n v="700026"/>
    <s v="Salaries-RN-Other"/>
    <s v="Cardiac-Pulmonary Rehab"/>
    <x v="0"/>
    <n v="2000"/>
    <n v="0.98"/>
    <n v="18.75"/>
    <n v="-5.67"/>
    <n v="45.76"/>
    <n v="-20.13"/>
    <n v="28.28"/>
    <n v="507.91"/>
    <n v="227.25"/>
    <n v="526.29999999999995"/>
    <n v="728.55"/>
    <n v="664.93"/>
    <n v="484.78"/>
    <n v="3207.6899999999996"/>
    <n v="180.14999999999998"/>
  </r>
  <r>
    <x v="5"/>
    <x v="6"/>
    <x v="0"/>
    <s v="4932107"/>
    <n v="700032"/>
    <s v="Salaries-Other Pat Care Providers-Productive"/>
    <s v="Cardiac-Pulmonary Rehab"/>
    <x v="0"/>
    <m/>
    <n v="12605.04"/>
    <n v="13064.78"/>
    <n v="12261.17"/>
    <n v="12312"/>
    <n v="16545.03"/>
    <n v="11098.48"/>
    <n v="15029.9"/>
    <n v="11387.38"/>
    <n v="16676.07"/>
    <n v="12598.12"/>
    <n v="11464.3"/>
    <n v="9825.84"/>
    <n v="154868.10999999996"/>
    <n v="1638.4599999999991"/>
  </r>
  <r>
    <x v="5"/>
    <x v="6"/>
    <x v="0"/>
    <s v="4932107"/>
    <n v="700032"/>
    <s v="Salaries-Other Pat Care Providers-OT"/>
    <s v="Cardiac-Pulmonary Rehab"/>
    <x v="0"/>
    <n v="1000"/>
    <n v="417.43"/>
    <n v="299.83"/>
    <n v="1133.24"/>
    <n v="915.13"/>
    <n v="505.12"/>
    <n v="135.37"/>
    <n v="85.66"/>
    <n v="734.65"/>
    <n v="574.91"/>
    <n v="-199.1"/>
    <n v="203.31"/>
    <n v="140.78"/>
    <n v="4946.329999999999"/>
    <n v="62.53"/>
  </r>
  <r>
    <x v="5"/>
    <x v="6"/>
    <x v="0"/>
    <s v="4932107"/>
    <n v="700032"/>
    <s v="Salaries-Other Pat Care Providers-Other"/>
    <s v="Cardiac-Pulmonary Rehab"/>
    <x v="0"/>
    <n v="2000"/>
    <n v="77.150000000000006"/>
    <n v="-7.14"/>
    <n v="3.34"/>
    <n v="249.75"/>
    <n v="361.02"/>
    <n v="-12.39"/>
    <n v="1.7"/>
    <n v="8.39"/>
    <n v="468.27"/>
    <n v="422.58"/>
    <n v="-3.03"/>
    <n v="20.9"/>
    <n v="1590.5400000000002"/>
    <n v="-23.93"/>
  </r>
  <r>
    <x v="5"/>
    <x v="6"/>
    <x v="0"/>
    <s v="4932107"/>
    <n v="700066"/>
    <s v="Salaries-RN-Non-productive"/>
    <s v="Cardiac-Pulmonary Rehab"/>
    <x v="0"/>
    <m/>
    <n v="2886.6"/>
    <n v="-279.24"/>
    <n v="3538.53"/>
    <n v="294.95"/>
    <n v="6014.75"/>
    <n v="1855.89"/>
    <n v="2972.91"/>
    <n v="1356.57"/>
    <n v="1078.1300000000001"/>
    <n v="3678.22"/>
    <n v="-190.17"/>
    <n v="562.83000000000004"/>
    <n v="23769.970000000005"/>
    <n v="-753"/>
  </r>
  <r>
    <x v="5"/>
    <x v="6"/>
    <x v="0"/>
    <s v="4932107"/>
    <n v="700066"/>
    <s v="Salaries-RN-NonProd-Other"/>
    <s v="Cardiac-Pulmonary Rehab"/>
    <x v="0"/>
    <n v="2000"/>
    <n v="13.63"/>
    <n v="-2.4"/>
    <n v="0"/>
    <n v="0"/>
    <n v="704.44"/>
    <n v="1408.88"/>
    <n v="0"/>
    <n v="-2113.3200000000002"/>
    <n v="0"/>
    <n v="0"/>
    <n v="10.62"/>
    <n v="21.24"/>
    <n v="43.090000000000018"/>
    <n v="-10.62"/>
  </r>
  <r>
    <x v="5"/>
    <x v="6"/>
    <x v="0"/>
    <s v="4932107"/>
    <n v="700072"/>
    <s v="Salaries-Other Pat Care Providers-Non-productive"/>
    <s v="Cardiac-Pulmonary Rehab"/>
    <x v="0"/>
    <m/>
    <n v="2298.9699999999998"/>
    <n v="2076.08"/>
    <n v="2262.83"/>
    <n v="4737.17"/>
    <n v="891.66"/>
    <n v="2953.02"/>
    <n v="828.4"/>
    <n v="2810.46"/>
    <n v="2496.84"/>
    <n v="6324.86"/>
    <n v="6067.91"/>
    <n v="3077.47"/>
    <n v="36825.67"/>
    <n v="2990.44"/>
  </r>
  <r>
    <x v="5"/>
    <x v="6"/>
    <x v="0"/>
    <s v="4932107"/>
    <n v="700072"/>
    <s v="Salaries-Other Pat Care Providers-NonProd-Other"/>
    <s v="Cardiac-Pulmonary Rehab"/>
    <x v="0"/>
    <n v="2000"/>
    <n v="0"/>
    <n v="18.649999999999999"/>
    <n v="-5.59"/>
    <n v="0"/>
    <n v="0"/>
    <n v="0"/>
    <n v="40.409999999999997"/>
    <n v="0"/>
    <n v="0"/>
    <n v="11.54"/>
    <n v="-4.8"/>
    <n v="0"/>
    <n v="60.209999999999994"/>
    <n v="-4.8"/>
  </r>
  <r>
    <x v="5"/>
    <x v="6"/>
    <x v="0"/>
    <s v="4932107"/>
    <n v="700084"/>
    <s v="Accrued PTO"/>
    <s v="Cardiac-Pulmonary Rehab"/>
    <x v="0"/>
    <m/>
    <n v="-842.68"/>
    <n v="2027.89"/>
    <n v="-1380.55"/>
    <n v="3396.95"/>
    <n v="109.56"/>
    <n v="-2009.37"/>
    <n v="-1201.73"/>
    <n v="-817.25"/>
    <n v="978.53"/>
    <n v="-1058.95"/>
    <n v="-1172.77"/>
    <n v="-2285.25"/>
    <n v="-4255.6200000000008"/>
    <n v="1112.48"/>
  </r>
  <r>
    <x v="6"/>
    <x v="6"/>
    <x v="0"/>
    <s v="4932107"/>
    <n v="713010"/>
    <s v="Benefits-FICA/Medicare"/>
    <s v="Cardiac-Pulmonary Rehab"/>
    <x v="0"/>
    <m/>
    <n v="2407.73"/>
    <n v="2590.15"/>
    <n v="2308.5500000000002"/>
    <n v="2713.85"/>
    <n v="2849.5"/>
    <n v="2298.46"/>
    <n v="2688.85"/>
    <n v="2198.0100000000002"/>
    <n v="2820.5"/>
    <n v="3002.81"/>
    <n v="2795.06"/>
    <n v="2609.0500000000002"/>
    <n v="31282.52"/>
    <n v="186.00999999999976"/>
  </r>
  <r>
    <x v="6"/>
    <x v="6"/>
    <x v="0"/>
    <s v="4932107"/>
    <n v="713090"/>
    <s v="Benefits-Allocated Amounts"/>
    <s v="Cardiac-Pulmonary Rehab"/>
    <x v="0"/>
    <m/>
    <n v="6114.3"/>
    <n v="5323.47"/>
    <n v="5985.65"/>
    <n v="7009.85"/>
    <n v="7915.36"/>
    <n v="5893.22"/>
    <n v="6967.99"/>
    <n v="6090.1"/>
    <n v="6596.12"/>
    <n v="8512.57"/>
    <n v="7492.29"/>
    <n v="7797.47"/>
    <n v="81698.39"/>
    <n v="-305.18000000000029"/>
  </r>
  <r>
    <x v="7"/>
    <x v="6"/>
    <x v="0"/>
    <s v="4932107"/>
    <n v="718050"/>
    <s v="Miscellaneous Purchased Svcs"/>
    <s v="Cardiac-Pulmonary Rehab"/>
    <x v="0"/>
    <n v="1020"/>
    <n v="200"/>
    <n v="200"/>
    <n v="400"/>
    <n v="0"/>
    <n v="400"/>
    <n v="0"/>
    <n v="400"/>
    <n v="200"/>
    <n v="0"/>
    <n v="200"/>
    <n v="200"/>
    <n v="400"/>
    <n v="2600"/>
    <n v="-200"/>
  </r>
  <r>
    <x v="7"/>
    <x v="6"/>
    <x v="0"/>
    <s v="4932107"/>
    <n v="718091"/>
    <s v="Contract Services-Intracompany Allocation"/>
    <s v="Cardiac-Pulmonary Rehab"/>
    <x v="0"/>
    <m/>
    <n v="2216.21"/>
    <n v="2603.8000000000002"/>
    <n v="1960.93"/>
    <n v="2886.82"/>
    <n v="2267.7399999999998"/>
    <n v="3130.84"/>
    <n v="3018.15"/>
    <n v="2993.39"/>
    <n v="3128.63"/>
    <n v="1232.27"/>
    <n v="3260.49"/>
    <n v="2623.82"/>
    <n v="31323.090000000004"/>
    <n v="636.66999999999962"/>
  </r>
  <r>
    <x v="11"/>
    <x v="6"/>
    <x v="0"/>
    <s v="4932107"/>
    <n v="721010"/>
    <s v="Patient Monitoring"/>
    <s v="Cardiac-Pulmonary Rehab"/>
    <x v="0"/>
    <n v="1000"/>
    <n v="446.53"/>
    <n v="215.95"/>
    <n v="61.71"/>
    <n v="441.85"/>
    <n v="350.33"/>
    <n v="123.4"/>
    <n v="286.02999999999997"/>
    <n v="154.25"/>
    <n v="154.25"/>
    <n v="363.64"/>
    <n v="138.9"/>
    <n v="174.25"/>
    <n v="2911.09"/>
    <n v="-35.349999999999994"/>
  </r>
  <r>
    <x v="11"/>
    <x v="6"/>
    <x v="0"/>
    <s v="4932107"/>
    <n v="721250"/>
    <s v="Supplies-Pharmacy Drugs - Billable"/>
    <s v="Cardiac-Pulmonary Rehab"/>
    <x v="0"/>
    <m/>
    <n v="26.94"/>
    <n v="39"/>
    <n v="0"/>
    <n v="0"/>
    <n v="0"/>
    <n v="0"/>
    <n v="0"/>
    <n v="0"/>
    <n v="0"/>
    <n v="0"/>
    <n v="0"/>
    <n v="0"/>
    <n v="65.94"/>
    <n v="0"/>
  </r>
  <r>
    <x v="11"/>
    <x v="6"/>
    <x v="0"/>
    <s v="4932107"/>
    <n v="721410"/>
    <s v="Supplies-Medical - Nonbillable"/>
    <s v="Cardiac-Pulmonary Rehab"/>
    <x v="0"/>
    <m/>
    <n v="15.22"/>
    <n v="18.11"/>
    <n v="41.69"/>
    <n v="29.1"/>
    <n v="17.239999999999998"/>
    <n v="0"/>
    <n v="600.69000000000005"/>
    <n v="29.1"/>
    <n v="50.52"/>
    <n v="100.79"/>
    <n v="11.61"/>
    <n v="1.35"/>
    <n v="915.42000000000007"/>
    <n v="10.26"/>
  </r>
  <r>
    <x v="11"/>
    <x v="6"/>
    <x v="0"/>
    <s v="4932107"/>
    <n v="721610"/>
    <s v="Supplies-Anesthesia - Nonbillable"/>
    <s v="Cardiac-Pulmonary Rehab"/>
    <x v="0"/>
    <m/>
    <n v="3.28"/>
    <n v="5.9"/>
    <n v="0"/>
    <n v="26.6"/>
    <n v="0"/>
    <n v="10.64"/>
    <n v="0"/>
    <n v="0"/>
    <n v="5.32"/>
    <n v="0"/>
    <n v="0"/>
    <n v="6.38"/>
    <n v="58.120000000000005"/>
    <n v="-6.38"/>
  </r>
  <r>
    <x v="11"/>
    <x v="6"/>
    <x v="0"/>
    <s v="4932107"/>
    <n v="721810"/>
    <s v="Supplies-Dietary/Cafeteria"/>
    <s v="Cardiac-Pulmonary Rehab"/>
    <x v="0"/>
    <m/>
    <n v="0"/>
    <n v="6.24"/>
    <n v="5.15"/>
    <n v="6.24"/>
    <n v="109.38"/>
    <n v="0"/>
    <n v="75"/>
    <n v="0"/>
    <n v="22.04"/>
    <n v="31.25"/>
    <n v="13.74"/>
    <n v="22.9"/>
    <n v="291.93999999999994"/>
    <n v="-9.1599999999999984"/>
  </r>
  <r>
    <x v="11"/>
    <x v="6"/>
    <x v="0"/>
    <s v="4932107"/>
    <n v="721830"/>
    <s v="Supplies-Office"/>
    <s v="Cardiac-Pulmonary Rehab"/>
    <x v="0"/>
    <m/>
    <n v="172.29"/>
    <n v="102.69"/>
    <n v="96.65"/>
    <n v="13.6"/>
    <n v="0"/>
    <n v="615.16999999999996"/>
    <n v="223.42"/>
    <n v="28.5"/>
    <n v="332.82"/>
    <n v="461.81"/>
    <n v="212.48"/>
    <n v="193.24"/>
    <n v="2452.67"/>
    <n v="19.239999999999981"/>
  </r>
  <r>
    <x v="11"/>
    <x v="6"/>
    <x v="0"/>
    <s v="4932107"/>
    <n v="721870"/>
    <s v="Supplies-Environmental Services"/>
    <s v="Cardiac-Pulmonary Rehab"/>
    <x v="0"/>
    <m/>
    <n v="126.98"/>
    <n v="138.80000000000001"/>
    <n v="0"/>
    <n v="23.64"/>
    <n v="119.77"/>
    <n v="108.8"/>
    <n v="0"/>
    <n v="92.28"/>
    <n v="99.04"/>
    <n v="22.33"/>
    <n v="61.52"/>
    <n v="257.27"/>
    <n v="1050.4299999999998"/>
    <n v="-195.74999999999997"/>
  </r>
  <r>
    <x v="11"/>
    <x v="6"/>
    <x v="0"/>
    <s v="4932107"/>
    <n v="721910"/>
    <s v="Supplies-Small Equipment"/>
    <s v="Cardiac-Pulmonary Rehab"/>
    <x v="0"/>
    <m/>
    <n v="42.39"/>
    <n v="7.68"/>
    <n v="38.4"/>
    <n v="57.12"/>
    <n v="28.56"/>
    <n v="8.16"/>
    <n v="24.48"/>
    <n v="16.32"/>
    <n v="0"/>
    <n v="31.68"/>
    <n v="0.68"/>
    <n v="1262.1500000000001"/>
    <n v="1517.6200000000001"/>
    <n v="-1261.47"/>
  </r>
  <r>
    <x v="11"/>
    <x v="6"/>
    <x v="0"/>
    <s v="4932107"/>
    <n v="721980"/>
    <s v="Supplies-Other"/>
    <s v="Cardiac-Pulmonary Rehab"/>
    <x v="0"/>
    <m/>
    <n v="43.48"/>
    <n v="62.61"/>
    <n v="451.07"/>
    <n v="0"/>
    <n v="0"/>
    <n v="0"/>
    <n v="176.08"/>
    <n v="0"/>
    <n v="0"/>
    <n v="0"/>
    <n v="0"/>
    <n v="0"/>
    <n v="733.24"/>
    <n v="0"/>
  </r>
  <r>
    <x v="12"/>
    <x v="6"/>
    <x v="0"/>
    <s v="4932107"/>
    <n v="730010"/>
    <s v="Rental and Leases-Building (DO NOT USE)"/>
    <s v="Cardiac-Pulmonary Rehab"/>
    <x v="0"/>
    <m/>
    <n v="5195"/>
    <n v="5195"/>
    <n v="5195"/>
    <n v="5195"/>
    <n v="5195"/>
    <n v="5195"/>
    <n v="5195"/>
    <n v="5195"/>
    <n v="5195"/>
    <n v="5195"/>
    <n v="5195"/>
    <n v="0"/>
    <n v="57145"/>
    <n v="5195"/>
  </r>
  <r>
    <x v="12"/>
    <x v="6"/>
    <x v="0"/>
    <s v="4932107"/>
    <n v="730020"/>
    <s v="Rental and Leases-Equipment (DO NOT USE)"/>
    <s v="Cardiac-Pulmonary Rehab"/>
    <x v="0"/>
    <m/>
    <n v="0"/>
    <n v="84.34"/>
    <n v="42.01"/>
    <n v="42.33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6"/>
    <x v="0"/>
    <s v="4932107"/>
    <n v="730020"/>
    <s v="Rental and Leases-Copier Usage Fees (DO NOT USE)"/>
    <s v="Cardiac-Pulmonary Rehab"/>
    <x v="0"/>
    <n v="5100"/>
    <n v="100.13"/>
    <n v="102.38"/>
    <n v="101.25"/>
    <n v="101.25"/>
    <n v="101.25"/>
    <n v="101.25"/>
    <n v="-237.97"/>
    <n v="72.87"/>
    <n v="72.92"/>
    <n v="72.95"/>
    <n v="106.89"/>
    <n v="80.88"/>
    <n v="776.05"/>
    <n v="26.010000000000005"/>
  </r>
  <r>
    <x v="12"/>
    <x v="6"/>
    <x v="0"/>
    <s v="4932107"/>
    <n v="730040"/>
    <s v="LT Lease-Real Estate"/>
    <s v="Cardiac-Pulmonary Rehab"/>
    <x v="0"/>
    <m/>
    <n v="0"/>
    <n v="0"/>
    <n v="0"/>
    <n v="0"/>
    <n v="0"/>
    <n v="0"/>
    <n v="0"/>
    <n v="0"/>
    <n v="0"/>
    <n v="0"/>
    <n v="0"/>
    <n v="5195"/>
    <n v="5195"/>
    <n v="-5195"/>
  </r>
  <r>
    <x v="15"/>
    <x v="6"/>
    <x v="0"/>
    <s v="4932107"/>
    <n v="731060"/>
    <s v="Telephone"/>
    <s v="Cardiac-Pulmonary Rehab"/>
    <x v="0"/>
    <m/>
    <n v="248.63"/>
    <n v="159.35"/>
    <n v="91.69"/>
    <n v="82.08"/>
    <n v="162.72999999999999"/>
    <n v="175.19"/>
    <n v="308.31"/>
    <n v="82.06"/>
    <n v="162.19"/>
    <n v="170.07"/>
    <n v="227.09"/>
    <n v="92.39"/>
    <n v="1961.78"/>
    <n v="134.69999999999999"/>
  </r>
  <r>
    <x v="15"/>
    <x v="6"/>
    <x v="0"/>
    <s v="4932107"/>
    <n v="731060"/>
    <s v="Cell Phones"/>
    <s v="Cardiac-Pulmonary Rehab"/>
    <x v="0"/>
    <n v="1001"/>
    <n v="0"/>
    <n v="53.87"/>
    <n v="26.42"/>
    <n v="0"/>
    <n v="26.47"/>
    <n v="27.06"/>
    <n v="54.14"/>
    <n v="0"/>
    <n v="28.08"/>
    <n v="54.15"/>
    <n v="26.9"/>
    <n v="27.33"/>
    <n v="324.4199999999999"/>
    <n v="-0.42999999999999972"/>
  </r>
  <r>
    <x v="16"/>
    <x v="6"/>
    <x v="0"/>
    <s v="4932107"/>
    <n v="732030"/>
    <s v="Repairs&amp;Maintenance-Bldg Routine"/>
    <s v="Cardiac-Pulmonary Rehab"/>
    <x v="0"/>
    <n v="2300"/>
    <n v="0"/>
    <n v="3577.3"/>
    <n v="321.95999999999998"/>
    <n v="0"/>
    <n v="0"/>
    <n v="0"/>
    <n v="0"/>
    <n v="0"/>
    <n v="0"/>
    <n v="0"/>
    <n v="0"/>
    <n v="0"/>
    <n v="3899.26"/>
    <n v="0"/>
  </r>
  <r>
    <x v="13"/>
    <x v="6"/>
    <x v="0"/>
    <s v="4932107"/>
    <n v="735070"/>
    <s v="Depreciation-Movable Equipment"/>
    <s v="Cardiac-Pulmonary Rehab"/>
    <x v="0"/>
    <m/>
    <n v="1556"/>
    <n v="1461.14"/>
    <n v="1461.14"/>
    <n v="1461.11"/>
    <n v="1461.14"/>
    <n v="1461.1"/>
    <n v="3019.07"/>
    <n v="3019.02"/>
    <n v="3019.07"/>
    <n v="3019.01"/>
    <n v="3019.07"/>
    <n v="3018.99"/>
    <n v="26975.86"/>
    <n v="8.0000000000381988E-2"/>
  </r>
  <r>
    <x v="0"/>
    <x v="6"/>
    <x v="0"/>
    <s v="4932107"/>
    <n v="740020"/>
    <s v="Education-Registration Fees"/>
    <s v="Cardiac-Pulmonary Rehab"/>
    <x v="0"/>
    <m/>
    <n v="0"/>
    <n v="0"/>
    <n v="0"/>
    <n v="0"/>
    <n v="0"/>
    <n v="0"/>
    <n v="624"/>
    <n v="0"/>
    <n v="0"/>
    <n v="0"/>
    <n v="0"/>
    <n v="0"/>
    <n v="624"/>
    <n v="0"/>
  </r>
  <r>
    <x v="0"/>
    <x v="6"/>
    <x v="0"/>
    <s v="4932107"/>
    <n v="743010"/>
    <s v="Dues--Institutional"/>
    <s v="Cardiac-Pulmonary Rehab"/>
    <x v="0"/>
    <m/>
    <n v="0"/>
    <n v="0"/>
    <n v="0"/>
    <n v="0"/>
    <n v="0"/>
    <n v="0"/>
    <n v="0"/>
    <n v="0"/>
    <n v="1360"/>
    <n v="0"/>
    <n v="0"/>
    <n v="0"/>
    <n v="1360"/>
    <n v="0"/>
  </r>
  <r>
    <x v="0"/>
    <x v="6"/>
    <x v="0"/>
    <s v="4932107"/>
    <n v="749510"/>
    <s v="Miscellaneous Expenses"/>
    <s v="Cardiac-Pulmonary Rehab"/>
    <x v="0"/>
    <m/>
    <n v="0"/>
    <n v="0"/>
    <n v="0"/>
    <n v="0"/>
    <n v="0"/>
    <n v="0"/>
    <n v="0"/>
    <n v="1360"/>
    <n v="-1360"/>
    <n v="0"/>
    <n v="0"/>
    <n v="0"/>
    <n v="0"/>
    <n v="0"/>
  </r>
  <r>
    <x v="0"/>
    <x v="6"/>
    <x v="0"/>
    <s v="4932107"/>
    <n v="749530"/>
    <s v="Travel"/>
    <s v="Cardiac-Pulmonary Rehab"/>
    <x v="0"/>
    <m/>
    <n v="174.41"/>
    <n v="0"/>
    <n v="0"/>
    <n v="0"/>
    <n v="0"/>
    <n v="0"/>
    <n v="0"/>
    <n v="0"/>
    <n v="0"/>
    <n v="0"/>
    <n v="0"/>
    <n v="0"/>
    <n v="174.41"/>
    <n v="0"/>
  </r>
  <r>
    <x v="18"/>
    <x v="3"/>
    <x v="0"/>
    <s v="4950101"/>
    <n v="400010"/>
    <s v="Acute I/P Svcs Rev--Medicare"/>
    <s v="Respiratory Therapy"/>
    <x v="0"/>
    <n v="1100"/>
    <n v="-2473901.4300000002"/>
    <n v="-2054183.76"/>
    <n v="-2354647.14"/>
    <n v="-3125651.84"/>
    <n v="-2852053.86"/>
    <n v="-3126796.92"/>
    <n v="-2804654.35"/>
    <n v="-3350985.77"/>
    <n v="-2861937.9"/>
    <n v="-2732082.3"/>
    <n v="-2210334.89"/>
    <n v="-2476616.64"/>
    <n v="-32423846.800000001"/>
    <n v="266281.75"/>
  </r>
  <r>
    <x v="18"/>
    <x v="3"/>
    <x v="0"/>
    <s v="4950101"/>
    <n v="400010"/>
    <s v="Acute I/P Svcs Rev--Medicaid"/>
    <s v="Respiratory Therapy"/>
    <x v="0"/>
    <n v="1200"/>
    <n v="-1226568.1499999999"/>
    <n v="-893055.84"/>
    <n v="-736356.97"/>
    <n v="-720069.77"/>
    <n v="-1014828.89"/>
    <n v="-1028541.11"/>
    <n v="-1335854.54"/>
    <n v="-1075718.81"/>
    <n v="-1450905.07"/>
    <n v="-1046143.61"/>
    <n v="-1203925.28"/>
    <n v="-906632.57"/>
    <n v="-12638600.609999999"/>
    <n v="-297292.71000000008"/>
  </r>
  <r>
    <x v="18"/>
    <x v="3"/>
    <x v="0"/>
    <s v="4950101"/>
    <n v="400010"/>
    <s v="Acute I/P Svcs Rev--Comm Insurance"/>
    <s v="Respiratory Therapy"/>
    <x v="0"/>
    <n v="1300"/>
    <n v="-193861.92"/>
    <n v="152852.43"/>
    <n v="-50299.77"/>
    <n v="-19836.71"/>
    <n v="-35398.82"/>
    <n v="-138201.46"/>
    <n v="-100292.87"/>
    <n v="-8567.08"/>
    <n v="-129188.42"/>
    <n v="-87019.87"/>
    <n v="-56581.79"/>
    <n v="71885.490000000005"/>
    <n v="-594510.79"/>
    <n v="-128467.28"/>
  </r>
  <r>
    <x v="18"/>
    <x v="3"/>
    <x v="0"/>
    <s v="4950101"/>
    <n v="400010"/>
    <s v="Acute I/P Svcs Rev--BCBS Comm"/>
    <s v="Respiratory Therapy"/>
    <x v="0"/>
    <n v="1301"/>
    <n v="47819.54"/>
    <n v="-150981.21"/>
    <n v="-45387.99"/>
    <n v="-75627.520000000004"/>
    <n v="-76567.199999999997"/>
    <n v="-445260.79"/>
    <n v="-286991.59000000003"/>
    <n v="-173018.39"/>
    <n v="-274707.59999999998"/>
    <n v="-207636.15"/>
    <n v="-124605.39"/>
    <n v="-99695.86"/>
    <n v="-1912660.15"/>
    <n v="-24909.53"/>
  </r>
  <r>
    <x v="18"/>
    <x v="3"/>
    <x v="0"/>
    <s v="4950101"/>
    <n v="400010"/>
    <s v="Acute I/P Svcs Rev--Managed Care"/>
    <s v="Respiratory Therapy"/>
    <x v="0"/>
    <n v="1400"/>
    <n v="-596749.07999999996"/>
    <n v="-919078.45"/>
    <n v="-528847.52"/>
    <n v="-784854.1"/>
    <n v="-573236.28"/>
    <n v="-669120.62"/>
    <n v="-711080.85"/>
    <n v="-883618.3"/>
    <n v="-768524.15"/>
    <n v="-513719.95"/>
    <n v="-689084.91"/>
    <n v="-624860.19999999995"/>
    <n v="-8262774.4100000001"/>
    <n v="-64224.710000000079"/>
  </r>
  <r>
    <x v="18"/>
    <x v="3"/>
    <x v="0"/>
    <s v="4950101"/>
    <n v="400010"/>
    <s v="Acute I/P Svcs Rev--Self Pay"/>
    <s v="Respiratory Therapy"/>
    <x v="0"/>
    <n v="1500"/>
    <n v="-124138.64"/>
    <n v="-73724.69"/>
    <n v="-99350.65"/>
    <n v="-81389.600000000006"/>
    <n v="-38477.129999999997"/>
    <n v="81697.509999999995"/>
    <n v="-75420.3"/>
    <n v="-1943.05"/>
    <n v="-121246.05"/>
    <n v="17208.599999999999"/>
    <n v="-87387.19"/>
    <n v="142581.38"/>
    <n v="-461589.80999999994"/>
    <n v="-229968.57"/>
  </r>
  <r>
    <x v="18"/>
    <x v="3"/>
    <x v="0"/>
    <s v="4950101"/>
    <n v="400010"/>
    <s v="Acute I/P Svcs Rev--Other"/>
    <s v="Respiratory Therapy"/>
    <x v="0"/>
    <n v="1700"/>
    <n v="-337427.51"/>
    <n v="-296132.90999999997"/>
    <n v="-384452.44"/>
    <n v="-254851.61"/>
    <n v="-105450.37"/>
    <n v="-260225.11"/>
    <n v="-293431.78999999998"/>
    <n v="-211938.02"/>
    <n v="-197333.02"/>
    <n v="-91725.37"/>
    <n v="-110278.76"/>
    <n v="-156480.70000000001"/>
    <n v="-2699727.61"/>
    <n v="46201.940000000017"/>
  </r>
  <r>
    <x v="19"/>
    <x v="3"/>
    <x v="0"/>
    <s v="4950101"/>
    <n v="400020"/>
    <s v="O/P Care Svcs Rev--Medicare"/>
    <s v="Respiratory Therapy"/>
    <x v="0"/>
    <n v="1100"/>
    <n v="-254009.98"/>
    <n v="-297941.21000000002"/>
    <n v="-251659.56"/>
    <n v="-289953.57"/>
    <n v="-285348.26"/>
    <n v="-275800.71000000002"/>
    <n v="-296172.36"/>
    <n v="-224988.77"/>
    <n v="-326453.73"/>
    <n v="-315027.45"/>
    <n v="-283049.68"/>
    <n v="-323658.46000000002"/>
    <n v="-3424063.74"/>
    <n v="40608.780000000028"/>
  </r>
  <r>
    <x v="19"/>
    <x v="3"/>
    <x v="0"/>
    <s v="4950101"/>
    <n v="400020"/>
    <s v="O/P Care Svcs Rev--Medicaid"/>
    <s v="Respiratory Therapy"/>
    <x v="0"/>
    <n v="1200"/>
    <n v="-142967.25"/>
    <n v="-132849.66"/>
    <n v="-101437.5"/>
    <n v="-130848.13"/>
    <n v="-99407.84"/>
    <n v="-111944.02"/>
    <n v="-179497.43"/>
    <n v="-121784.23"/>
    <n v="-126555.87"/>
    <n v="-126672.72"/>
    <n v="-149246.15"/>
    <n v="-161859.72"/>
    <n v="-1585070.52"/>
    <n v="12613.570000000007"/>
  </r>
  <r>
    <x v="19"/>
    <x v="3"/>
    <x v="0"/>
    <s v="4950101"/>
    <n v="400020"/>
    <s v="O/P Care Svcs Rev--Comm Insurance"/>
    <s v="Respiratory Therapy"/>
    <x v="0"/>
    <n v="1300"/>
    <n v="-6886.25"/>
    <n v="-6126.75"/>
    <n v="-7166.33"/>
    <n v="-16618.88"/>
    <n v="-22307.63"/>
    <n v="-22556.05"/>
    <n v="-5142.8999999999996"/>
    <n v="-7957.02"/>
    <n v="-8874.01"/>
    <n v="-100134.46"/>
    <n v="-8773.25"/>
    <n v="-15581.7"/>
    <n v="-228125.23000000004"/>
    <n v="6808.4500000000007"/>
  </r>
  <r>
    <x v="19"/>
    <x v="3"/>
    <x v="0"/>
    <s v="4950101"/>
    <n v="400020"/>
    <s v="O/P Care Svcs Rev--BCBS Comm"/>
    <s v="Respiratory Therapy"/>
    <x v="0"/>
    <n v="1301"/>
    <n v="-16674.09"/>
    <n v="-32684.42"/>
    <n v="-51942.36"/>
    <n v="-19673.060000000001"/>
    <n v="-30134.89"/>
    <n v="-26481.42"/>
    <n v="-24904.81"/>
    <n v="-23490.79"/>
    <n v="-29966.63"/>
    <n v="-31593.18"/>
    <n v="-27679.83"/>
    <n v="-14241.21"/>
    <n v="-329466.69000000006"/>
    <n v="-13438.620000000003"/>
  </r>
  <r>
    <x v="19"/>
    <x v="3"/>
    <x v="0"/>
    <s v="4950101"/>
    <n v="400020"/>
    <s v="O/P Care Svcs Rev--Managed Care"/>
    <s v="Respiratory Therapy"/>
    <x v="0"/>
    <n v="1400"/>
    <n v="-135348.38"/>
    <n v="-139658.20000000001"/>
    <n v="-83711.23"/>
    <n v="-112058.66"/>
    <n v="-101798.13"/>
    <n v="-98586.42"/>
    <n v="-119207.03999999999"/>
    <n v="-93627.54"/>
    <n v="-121483.79"/>
    <n v="-104239.11"/>
    <n v="-80537.820000000007"/>
    <n v="-90215.99"/>
    <n v="-1280472.3100000003"/>
    <n v="9678.1699999999983"/>
  </r>
  <r>
    <x v="19"/>
    <x v="3"/>
    <x v="0"/>
    <s v="4950101"/>
    <n v="400020"/>
    <s v="O/P Care Svcs Rev--Self Pay"/>
    <s v="Respiratory Therapy"/>
    <x v="0"/>
    <n v="1500"/>
    <n v="-20704.5"/>
    <n v="-45451.88"/>
    <n v="-23936.959999999999"/>
    <n v="-33409.47"/>
    <n v="-18288.86"/>
    <n v="-37229.53"/>
    <n v="-66357.19"/>
    <n v="-54984.63"/>
    <n v="-48389.47"/>
    <n v="3713.76"/>
    <n v="-12664.67"/>
    <n v="-60337.54"/>
    <n v="-418040.93999999994"/>
    <n v="47672.87"/>
  </r>
  <r>
    <x v="19"/>
    <x v="3"/>
    <x v="0"/>
    <s v="4950101"/>
    <n v="400020"/>
    <s v="O/P Care Svcs Rev--Other"/>
    <s v="Respiratory Therapy"/>
    <x v="0"/>
    <n v="1700"/>
    <n v="-31692.83"/>
    <n v="-31408.04"/>
    <n v="-33647.279999999999"/>
    <n v="-19686.23"/>
    <n v="-21291.85"/>
    <n v="-26699.1"/>
    <n v="-19688.43"/>
    <n v="-31712.639999999999"/>
    <n v="-33405.31"/>
    <n v="-13885.16"/>
    <n v="-14295.69"/>
    <n v="-17503.59"/>
    <n v="-294916.14999999997"/>
    <n v="3207.8999999999996"/>
  </r>
  <r>
    <x v="5"/>
    <x v="3"/>
    <x v="0"/>
    <s v="4950101"/>
    <n v="700014"/>
    <s v="Salaries-Management-Productive"/>
    <s v="Respiratory Therapy"/>
    <x v="0"/>
    <m/>
    <n v="423.12"/>
    <n v="0"/>
    <n v="0"/>
    <n v="0"/>
    <n v="0"/>
    <n v="0"/>
    <n v="0"/>
    <n v="0"/>
    <n v="0"/>
    <n v="0"/>
    <n v="0"/>
    <n v="0"/>
    <n v="423.12"/>
    <n v="0"/>
  </r>
  <r>
    <x v="5"/>
    <x v="3"/>
    <x v="0"/>
    <s v="4950101"/>
    <n v="700026"/>
    <s v="Salaries-RN-Productive"/>
    <s v="Respiratory Therapy"/>
    <x v="0"/>
    <m/>
    <n v="0"/>
    <n v="0"/>
    <n v="0"/>
    <n v="1219.8900000000001"/>
    <n v="-536.74"/>
    <n v="0"/>
    <n v="0"/>
    <n v="0"/>
    <n v="0"/>
    <n v="0"/>
    <n v="0"/>
    <n v="0"/>
    <n v="683.15000000000009"/>
    <n v="0"/>
  </r>
  <r>
    <x v="5"/>
    <x v="3"/>
    <x v="0"/>
    <s v="4950101"/>
    <n v="700026"/>
    <s v="Salaries-RN-Other"/>
    <s v="Respiratory Therapy"/>
    <x v="0"/>
    <n v="2000"/>
    <n v="0"/>
    <n v="0"/>
    <n v="0"/>
    <n v="26.12"/>
    <n v="-11.49"/>
    <n v="0"/>
    <n v="0"/>
    <n v="0"/>
    <n v="0"/>
    <n v="0"/>
    <n v="0"/>
    <n v="0"/>
    <n v="14.63"/>
    <n v="0"/>
  </r>
  <r>
    <x v="5"/>
    <x v="3"/>
    <x v="0"/>
    <s v="4950101"/>
    <n v="700034"/>
    <s v="Salaries-Tech/Professional-Productive"/>
    <s v="Respiratory Therapy"/>
    <x v="0"/>
    <m/>
    <n v="148227.85"/>
    <n v="153915.60999999999"/>
    <n v="139095.26"/>
    <n v="161494.85999999999"/>
    <n v="145396.12"/>
    <n v="169308.03"/>
    <n v="161738.41"/>
    <n v="151070.63"/>
    <n v="161567.92000000001"/>
    <n v="144798.73000000001"/>
    <n v="146588.24"/>
    <n v="139544.07"/>
    <n v="1822745.73"/>
    <n v="7044.1699999999837"/>
  </r>
  <r>
    <x v="5"/>
    <x v="3"/>
    <x v="0"/>
    <s v="4950101"/>
    <n v="700034"/>
    <s v="Salaries-Tech/Professional-OT"/>
    <s v="Respiratory Therapy"/>
    <x v="0"/>
    <n v="1000"/>
    <n v="7801.24"/>
    <n v="9818.98"/>
    <n v="6215.83"/>
    <n v="7371.31"/>
    <n v="8060.53"/>
    <n v="6785.54"/>
    <n v="8705.7099999999991"/>
    <n v="7847.47"/>
    <n v="8038.31"/>
    <n v="8120.22"/>
    <n v="7703.1"/>
    <n v="5719.23"/>
    <n v="92187.470000000016"/>
    <n v="1983.8700000000008"/>
  </r>
  <r>
    <x v="5"/>
    <x v="3"/>
    <x v="0"/>
    <s v="4950101"/>
    <n v="700034"/>
    <s v="Salaries-Tech/Professional-Other"/>
    <s v="Respiratory Therapy"/>
    <x v="0"/>
    <n v="2000"/>
    <n v="10857.24"/>
    <n v="10660.72"/>
    <n v="8534.01"/>
    <n v="9204.31"/>
    <n v="10194.049999999999"/>
    <n v="10703.22"/>
    <n v="10137.65"/>
    <n v="9782.0499999999993"/>
    <n v="10766.31"/>
    <n v="8933.39"/>
    <n v="9510.99"/>
    <n v="8888.4699999999993"/>
    <n v="118172.41"/>
    <n v="622.52000000000044"/>
  </r>
  <r>
    <x v="5"/>
    <x v="3"/>
    <x v="0"/>
    <s v="4950101"/>
    <n v="700038"/>
    <s v="Salaries-Service/Support-Productive"/>
    <s v="Respiratory Therapy"/>
    <x v="0"/>
    <m/>
    <n v="5899.06"/>
    <n v="4514.57"/>
    <n v="5992.8"/>
    <n v="5816.12"/>
    <n v="1093.1199999999999"/>
    <n v="3133.83"/>
    <n v="2863.31"/>
    <n v="3106.25"/>
    <n v="3494.92"/>
    <n v="4193.3999999999996"/>
    <n v="3394.79"/>
    <n v="5801.86"/>
    <n v="49304.030000000006"/>
    <n v="-2407.0699999999997"/>
  </r>
  <r>
    <x v="5"/>
    <x v="3"/>
    <x v="0"/>
    <s v="4950101"/>
    <n v="700038"/>
    <s v="Salaries-Service/Support-OT"/>
    <s v="Respiratory Therapy"/>
    <x v="0"/>
    <n v="1000"/>
    <n v="190.5"/>
    <n v="23.27"/>
    <n v="160.62"/>
    <n v="352.98"/>
    <n v="-33.76"/>
    <n v="259.45"/>
    <n v="137.56"/>
    <n v="128.85"/>
    <n v="24.81"/>
    <n v="103.33"/>
    <n v="89.21"/>
    <n v="135.57"/>
    <n v="1572.3899999999996"/>
    <n v="-46.36"/>
  </r>
  <r>
    <x v="5"/>
    <x v="3"/>
    <x v="0"/>
    <s v="4950101"/>
    <n v="700038"/>
    <s v="Salaries-Service/Support-Other"/>
    <s v="Respiratory Therapy"/>
    <x v="0"/>
    <n v="2000"/>
    <n v="278.58999999999997"/>
    <n v="465.02"/>
    <n v="260.02999999999997"/>
    <n v="364.92"/>
    <n v="-125.81"/>
    <n v="4.38"/>
    <n v="0"/>
    <n v="0"/>
    <n v="0"/>
    <n v="0"/>
    <n v="0"/>
    <n v="0"/>
    <n v="1247.1300000000001"/>
    <n v="0"/>
  </r>
  <r>
    <x v="5"/>
    <x v="3"/>
    <x v="0"/>
    <s v="4950101"/>
    <n v="700054"/>
    <s v="Salaries-Management-NonProd-Other"/>
    <s v="Respiratory Therapy"/>
    <x v="0"/>
    <n v="2000"/>
    <n v="0"/>
    <n v="0"/>
    <n v="0"/>
    <n v="0"/>
    <n v="0"/>
    <n v="2488.37"/>
    <n v="-2488.37"/>
    <n v="0"/>
    <n v="0"/>
    <n v="0"/>
    <n v="0"/>
    <n v="0"/>
    <n v="0"/>
    <n v="0"/>
  </r>
  <r>
    <x v="5"/>
    <x v="3"/>
    <x v="0"/>
    <s v="4950101"/>
    <n v="700074"/>
    <s v="Salaries-Tech/Professional-Non-productive"/>
    <s v="Respiratory Therapy"/>
    <x v="0"/>
    <m/>
    <n v="30387.27"/>
    <n v="28334.86"/>
    <n v="27320.720000000001"/>
    <n v="11436.15"/>
    <n v="21081.22"/>
    <n v="25590.29"/>
    <n v="19638.8"/>
    <n v="12655.43"/>
    <n v="8227.31"/>
    <n v="23622.07"/>
    <n v="25367.57"/>
    <n v="26338.98"/>
    <n v="260000.67"/>
    <n v="-971.40999999999985"/>
  </r>
  <r>
    <x v="5"/>
    <x v="3"/>
    <x v="0"/>
    <s v="4950101"/>
    <n v="700074"/>
    <s v="Salaries-Tech/Professional-NonProd-Other"/>
    <s v="Respiratory Therapy"/>
    <x v="0"/>
    <n v="2000"/>
    <n v="1572.75"/>
    <n v="1027.75"/>
    <n v="1186.48"/>
    <n v="1118.28"/>
    <n v="3983.13"/>
    <n v="5801.37"/>
    <n v="1476.99"/>
    <n v="-3994.54"/>
    <n v="1647.11"/>
    <n v="794.19"/>
    <n v="1850.33"/>
    <n v="1717.82"/>
    <n v="18181.66"/>
    <n v="132.51"/>
  </r>
  <r>
    <x v="5"/>
    <x v="3"/>
    <x v="0"/>
    <s v="4950101"/>
    <n v="700078"/>
    <s v="Salaries-Service/Support-Non-productive"/>
    <s v="Respiratory Therapy"/>
    <x v="0"/>
    <m/>
    <n v="588.48"/>
    <n v="3049.43"/>
    <n v="-280.11"/>
    <n v="1135.79"/>
    <n v="3196.77"/>
    <n v="686.05"/>
    <n v="672.74"/>
    <n v="825.6"/>
    <n v="339.05"/>
    <n v="225.44"/>
    <n v="200.37"/>
    <n v="601.13"/>
    <n v="11240.74"/>
    <n v="-400.76"/>
  </r>
  <r>
    <x v="5"/>
    <x v="3"/>
    <x v="0"/>
    <s v="4950101"/>
    <n v="700078"/>
    <s v="Salaries-Service/Support-NonProd-Other"/>
    <s v="Respiratory Therapy"/>
    <x v="0"/>
    <n v="2000"/>
    <n v="7.44"/>
    <n v="-1.31"/>
    <n v="28.89"/>
    <n v="-10.5"/>
    <n v="24.12"/>
    <n v="16.07"/>
    <n v="-2.67"/>
    <n v="0"/>
    <n v="19.68"/>
    <n v="-7.15"/>
    <n v="0"/>
    <n v="0"/>
    <n v="74.569999999999993"/>
    <n v="0"/>
  </r>
  <r>
    <x v="5"/>
    <x v="3"/>
    <x v="0"/>
    <s v="4950101"/>
    <n v="700084"/>
    <s v="Accrued PTO"/>
    <s v="Respiratory Therapy"/>
    <x v="0"/>
    <m/>
    <n v="-5002.01"/>
    <n v="-3179.59"/>
    <n v="-1435.17"/>
    <n v="6565.32"/>
    <n v="4882.28"/>
    <n v="4076.41"/>
    <n v="4902.6499999999996"/>
    <n v="-9517.74"/>
    <n v="11428.09"/>
    <n v="8522.5300000000007"/>
    <n v="19141.48"/>
    <n v="-5356.01"/>
    <n v="35028.239999999998"/>
    <n v="24497.489999999998"/>
  </r>
  <r>
    <x v="10"/>
    <x v="3"/>
    <x v="0"/>
    <s v="4950101"/>
    <n v="710060"/>
    <s v="Contract Labor-Other"/>
    <s v="Respiratory Therapy"/>
    <x v="0"/>
    <m/>
    <n v="0"/>
    <n v="0"/>
    <n v="0"/>
    <n v="0"/>
    <n v="0"/>
    <n v="70577.84"/>
    <n v="0"/>
    <n v="0"/>
    <n v="93500"/>
    <n v="-93500"/>
    <n v="0"/>
    <n v="0"/>
    <n v="70577.84"/>
    <n v="0"/>
  </r>
  <r>
    <x v="6"/>
    <x v="3"/>
    <x v="0"/>
    <s v="4950101"/>
    <n v="713010"/>
    <s v="Benefits-FICA/Medicare"/>
    <s v="Respiratory Therapy"/>
    <x v="0"/>
    <m/>
    <n v="15775.34"/>
    <n v="15718.84"/>
    <n v="13950.57"/>
    <n v="14773.41"/>
    <n v="14524.53"/>
    <n v="16605.84"/>
    <n v="15335.21"/>
    <n v="13841.09"/>
    <n v="14087.72"/>
    <n v="13833.16"/>
    <n v="15586.14"/>
    <n v="14751.97"/>
    <n v="178783.81999999998"/>
    <n v="834.17000000000007"/>
  </r>
  <r>
    <x v="6"/>
    <x v="3"/>
    <x v="0"/>
    <s v="4950101"/>
    <n v="713090"/>
    <s v="Benefits-Allocated Amounts"/>
    <s v="Respiratory Therapy"/>
    <x v="0"/>
    <m/>
    <n v="41798.92"/>
    <n v="39900.39"/>
    <n v="39671.800000000003"/>
    <n v="39624.04"/>
    <n v="38800.160000000003"/>
    <n v="42789.97"/>
    <n v="43229.51"/>
    <n v="40665.599999999999"/>
    <n v="32430.61"/>
    <n v="40734.959999999999"/>
    <n v="43657.56"/>
    <n v="41485.06"/>
    <n v="484788.57999999996"/>
    <n v="2172.5"/>
  </r>
  <r>
    <x v="17"/>
    <x v="3"/>
    <x v="0"/>
    <s v="4950101"/>
    <n v="714510"/>
    <s v="Medical Director Fees"/>
    <s v="Respiratory Therapy"/>
    <x v="0"/>
    <m/>
    <n v="2284.8000000000002"/>
    <n v="2499"/>
    <n v="2499"/>
    <n v="2499"/>
    <n v="2499"/>
    <n v="2499"/>
    <n v="2499"/>
    <n v="2499"/>
    <n v="2499"/>
    <n v="0"/>
    <n v="4998"/>
    <n v="2499"/>
    <n v="29773.8"/>
    <n v="2499"/>
  </r>
  <r>
    <x v="17"/>
    <x v="3"/>
    <x v="0"/>
    <s v="4950101"/>
    <n v="714520"/>
    <s v="Other Contracted Professionals"/>
    <s v="Respiratory Therapy"/>
    <x v="0"/>
    <m/>
    <n v="0"/>
    <n v="0"/>
    <n v="0"/>
    <n v="38500"/>
    <n v="-38500"/>
    <n v="0"/>
    <n v="0"/>
    <n v="0"/>
    <n v="0"/>
    <n v="0"/>
    <n v="0"/>
    <n v="28540"/>
    <n v="28540"/>
    <n v="-28540"/>
  </r>
  <r>
    <x v="7"/>
    <x v="3"/>
    <x v="0"/>
    <s v="4950101"/>
    <n v="718050"/>
    <s v="Contract Svcs-Other"/>
    <s v="Respiratory Therapy"/>
    <x v="0"/>
    <m/>
    <n v="0"/>
    <n v="0"/>
    <n v="0"/>
    <n v="0"/>
    <n v="0"/>
    <n v="0"/>
    <n v="0"/>
    <n v="0"/>
    <n v="0"/>
    <n v="0"/>
    <n v="0"/>
    <n v="816.99"/>
    <n v="816.99"/>
    <n v="-816.99"/>
  </r>
  <r>
    <x v="7"/>
    <x v="3"/>
    <x v="0"/>
    <s v="4950101"/>
    <n v="718050"/>
    <s v="Document Shredding/Storage"/>
    <s v="Respiratory Therapy"/>
    <x v="0"/>
    <n v="1012"/>
    <n v="7.18"/>
    <n v="7.33"/>
    <n v="9.23"/>
    <n v="8.23"/>
    <n v="8.51"/>
    <n v="8.51"/>
    <n v="8.42"/>
    <n v="7.24"/>
    <n v="7.49"/>
    <n v="9.7899999999999991"/>
    <n v="8.23"/>
    <n v="8.51"/>
    <n v="98.670000000000016"/>
    <n v="-0.27999999999999936"/>
  </r>
  <r>
    <x v="7"/>
    <x v="3"/>
    <x v="0"/>
    <s v="4950101"/>
    <n v="718050"/>
    <s v="Miscellaneous Purchased Svcs"/>
    <s v="Respiratory Therapy"/>
    <x v="0"/>
    <n v="1020"/>
    <n v="0"/>
    <n v="0"/>
    <n v="0"/>
    <n v="0"/>
    <n v="0"/>
    <n v="164.85"/>
    <n v="0"/>
    <n v="0"/>
    <n v="0"/>
    <n v="121000"/>
    <n v="0"/>
    <n v="0"/>
    <n v="121164.85"/>
    <n v="0"/>
  </r>
  <r>
    <x v="7"/>
    <x v="3"/>
    <x v="0"/>
    <s v="4950101"/>
    <n v="718050"/>
    <s v="Translation Services"/>
    <s v="Respiratory Therapy"/>
    <x v="0"/>
    <n v="1025"/>
    <n v="32"/>
    <n v="0"/>
    <n v="32"/>
    <n v="88"/>
    <n v="0"/>
    <n v="0"/>
    <n v="80"/>
    <n v="0"/>
    <n v="208"/>
    <n v="0"/>
    <n v="0"/>
    <n v="0"/>
    <n v="440"/>
    <n v="0"/>
  </r>
  <r>
    <x v="7"/>
    <x v="3"/>
    <x v="0"/>
    <s v="4950101"/>
    <n v="718070"/>
    <s v="Contract Srvcs-CHI Clinical Engineering"/>
    <s v="Respiratory Therapy"/>
    <x v="0"/>
    <m/>
    <n v="2539.19"/>
    <n v="1941.37"/>
    <n v="1941.37"/>
    <n v="2574.59"/>
    <n v="2405.58"/>
    <n v="2123.91"/>
    <n v="2306.6799999999998"/>
    <n v="2207.91"/>
    <n v="2304.6799999999998"/>
    <n v="2304.6799999999998"/>
    <n v="2304.6799999999998"/>
    <n v="2304.6799999999998"/>
    <n v="27259.32"/>
    <n v="0"/>
  </r>
  <r>
    <x v="11"/>
    <x v="3"/>
    <x v="0"/>
    <s v="4950101"/>
    <n v="721010"/>
    <s v="Supplies-Medical - Billable"/>
    <s v="Respiratory Therapy"/>
    <x v="0"/>
    <m/>
    <n v="3373.44"/>
    <n v="1456.24"/>
    <n v="3568.71"/>
    <n v="1704.36"/>
    <n v="1146.1500000000001"/>
    <n v="1688.55"/>
    <n v="2563.67"/>
    <n v="284.06"/>
    <n v="2882.36"/>
    <n v="1955.32"/>
    <n v="961.16"/>
    <n v="2088.6799999999998"/>
    <n v="23672.699999999997"/>
    <n v="-1127.52"/>
  </r>
  <r>
    <x v="11"/>
    <x v="3"/>
    <x v="0"/>
    <s v="4950101"/>
    <n v="721010"/>
    <s v="Patient Monitoring"/>
    <s v="Respiratory Therapy"/>
    <x v="0"/>
    <n v="1000"/>
    <n v="2554.13"/>
    <n v="629.4"/>
    <n v="880.39"/>
    <n v="628.86"/>
    <n v="656.9"/>
    <n v="568.32000000000005"/>
    <n v="1022.89"/>
    <n v="887.15"/>
    <n v="35.72"/>
    <n v="829.91"/>
    <n v="615.94000000000005"/>
    <n v="479.17"/>
    <n v="9788.7800000000007"/>
    <n v="136.77000000000004"/>
  </r>
  <r>
    <x v="11"/>
    <x v="3"/>
    <x v="0"/>
    <s v="4950101"/>
    <n v="721020"/>
    <s v="Supplies-Surgical - Billable"/>
    <s v="Respiratory Therapy"/>
    <x v="0"/>
    <m/>
    <n v="788.78"/>
    <n v="0"/>
    <n v="550.5"/>
    <n v="550.5"/>
    <n v="286.02"/>
    <n v="550.5"/>
    <n v="1144.08"/>
    <n v="0"/>
    <n v="0"/>
    <n v="0"/>
    <n v="550.5"/>
    <n v="1092.82"/>
    <n v="5513.7"/>
    <n v="-542.31999999999994"/>
  </r>
  <r>
    <x v="11"/>
    <x v="3"/>
    <x v="0"/>
    <s v="4950101"/>
    <n v="721020"/>
    <s v="Endomechanical Supplies &amp; Instruments"/>
    <s v="Respiratory Therapy"/>
    <x v="0"/>
    <n v="1003"/>
    <n v="326.83"/>
    <n v="0"/>
    <n v="0"/>
    <n v="0"/>
    <n v="0"/>
    <n v="0"/>
    <n v="0"/>
    <n v="340.92"/>
    <n v="0"/>
    <n v="-31.27"/>
    <n v="0"/>
    <n v="1326.81"/>
    <n v="1963.29"/>
    <n v="-1326.81"/>
  </r>
  <r>
    <x v="11"/>
    <x v="3"/>
    <x v="0"/>
    <s v="4950101"/>
    <n v="721020"/>
    <s v="Surgical Cardiovascular"/>
    <s v="Respiratory Therapy"/>
    <x v="0"/>
    <n v="1007"/>
    <n v="0"/>
    <n v="0"/>
    <n v="35.28"/>
    <n v="0"/>
    <n v="0"/>
    <n v="0"/>
    <n v="0"/>
    <n v="0"/>
    <n v="0"/>
    <n v="0"/>
    <n v="0"/>
    <n v="0"/>
    <n v="35.28"/>
    <n v="0"/>
  </r>
  <r>
    <x v="11"/>
    <x v="3"/>
    <x v="0"/>
    <s v="4950101"/>
    <n v="721020"/>
    <s v="Tubes Drains &amp; Related Supplies"/>
    <s v="Respiratory Therapy"/>
    <x v="0"/>
    <n v="1008"/>
    <n v="276.63"/>
    <n v="167.55"/>
    <n v="320.85000000000002"/>
    <n v="404.83"/>
    <n v="379.05"/>
    <n v="717.7"/>
    <n v="923.83"/>
    <n v="-790.51"/>
    <n v="363.25"/>
    <n v="392.39"/>
    <n v="336.91"/>
    <n v="97.29"/>
    <n v="3589.7699999999991"/>
    <n v="239.62"/>
  </r>
  <r>
    <x v="11"/>
    <x v="3"/>
    <x v="0"/>
    <s v="4950101"/>
    <n v="721050"/>
    <s v="Supplies-Cardiac Rhythm - Billable"/>
    <s v="Respiratory Therapy"/>
    <x v="0"/>
    <m/>
    <n v="1513.56"/>
    <n v="0"/>
    <n v="0"/>
    <n v="0"/>
    <n v="0"/>
    <n v="0"/>
    <n v="0"/>
    <n v="0"/>
    <n v="0"/>
    <n v="0"/>
    <n v="687.36"/>
    <n v="0"/>
    <n v="2200.92"/>
    <n v="687.36"/>
  </r>
  <r>
    <x v="11"/>
    <x v="3"/>
    <x v="0"/>
    <s v="4950101"/>
    <n v="721150"/>
    <s v="Supplies-Other Implants - Billable"/>
    <s v="Respiratory Therapy"/>
    <x v="0"/>
    <m/>
    <n v="93.16"/>
    <n v="93.16"/>
    <n v="69.87"/>
    <n v="116.45"/>
    <n v="186.32"/>
    <n v="69.87"/>
    <n v="0"/>
    <n v="419.22"/>
    <n v="93.16"/>
    <n v="116.45"/>
    <n v="0"/>
    <n v="186.32"/>
    <n v="1443.9800000000002"/>
    <n v="-186.32"/>
  </r>
  <r>
    <x v="11"/>
    <x v="3"/>
    <x v="0"/>
    <s v="4950101"/>
    <n v="721220"/>
    <s v="Supplies-Medical Gases - Billable"/>
    <s v="Respiratory Therapy"/>
    <x v="0"/>
    <m/>
    <n v="6856.64"/>
    <n v="8291.9699999999993"/>
    <n v="3356.25"/>
    <n v="3209.6"/>
    <n v="10715.92"/>
    <n v="3508.89"/>
    <n v="4811.99"/>
    <n v="5344.39"/>
    <n v="10357.76"/>
    <n v="6568.27"/>
    <n v="1663.58"/>
    <n v="7645.2"/>
    <n v="72330.459999999992"/>
    <n v="-5981.62"/>
  </r>
  <r>
    <x v="11"/>
    <x v="3"/>
    <x v="0"/>
    <s v="4950101"/>
    <n v="721240"/>
    <s v="Supplies-IV Solutions/Supplies - Billable"/>
    <s v="Respiratory Therapy"/>
    <x v="0"/>
    <m/>
    <n v="1089.43"/>
    <n v="987.57"/>
    <n v="843.8"/>
    <n v="1432.24"/>
    <n v="549.09"/>
    <n v="1354.6"/>
    <n v="756.56"/>
    <n v="262.29000000000002"/>
    <n v="886.33"/>
    <n v="1067.01"/>
    <n v="809.81"/>
    <n v="512.30999999999995"/>
    <n v="10551.039999999997"/>
    <n v="297.5"/>
  </r>
  <r>
    <x v="11"/>
    <x v="3"/>
    <x v="0"/>
    <s v="4950101"/>
    <n v="721250"/>
    <s v="Supplies-Pharmacy Drugs - Billable"/>
    <s v="Respiratory Therapy"/>
    <x v="0"/>
    <m/>
    <n v="0"/>
    <n v="0"/>
    <n v="0"/>
    <n v="0"/>
    <n v="0"/>
    <n v="19.28"/>
    <n v="0"/>
    <n v="0"/>
    <n v="0"/>
    <n v="0"/>
    <n v="0"/>
    <n v="0"/>
    <n v="19.28"/>
    <n v="0"/>
  </r>
  <r>
    <x v="11"/>
    <x v="3"/>
    <x v="0"/>
    <s v="4950101"/>
    <n v="721410"/>
    <s v="Supplies-Medical - Nonbillable"/>
    <s v="Respiratory Therapy"/>
    <x v="0"/>
    <m/>
    <n v="7553.35"/>
    <n v="8241.89"/>
    <n v="7008.04"/>
    <n v="8459.7099999999991"/>
    <n v="16079.79"/>
    <n v="9289.92"/>
    <n v="12836.55"/>
    <n v="18830.580000000002"/>
    <n v="14788.86"/>
    <n v="2328.75"/>
    <n v="7304.42"/>
    <n v="6269.91"/>
    <n v="118991.77"/>
    <n v="1034.5100000000002"/>
  </r>
  <r>
    <x v="11"/>
    <x v="3"/>
    <x v="0"/>
    <s v="4950101"/>
    <n v="721410"/>
    <s v="Patient Monitoring"/>
    <s v="Respiratory Therapy"/>
    <x v="0"/>
    <n v="1000"/>
    <n v="242.22"/>
    <n v="399.42"/>
    <n v="0"/>
    <n v="285"/>
    <n v="313.18"/>
    <n v="161.63"/>
    <n v="141.37"/>
    <n v="282.74"/>
    <n v="141.37"/>
    <n v="424.11"/>
    <n v="0"/>
    <n v="120.43"/>
    <n v="2511.4699999999998"/>
    <n v="-120.43"/>
  </r>
  <r>
    <x v="11"/>
    <x v="3"/>
    <x v="0"/>
    <s v="4950101"/>
    <n v="721420"/>
    <s v="Supplies-Surgical Nonbillable"/>
    <s v="Respiratory Therapy"/>
    <x v="0"/>
    <m/>
    <n v="468.44"/>
    <n v="0"/>
    <n v="108.26"/>
    <n v="387.03"/>
    <n v="336.06"/>
    <n v="821.96"/>
    <n v="663.22"/>
    <n v="475.29"/>
    <n v="377.64"/>
    <n v="449.28"/>
    <n v="0"/>
    <n v="224.64"/>
    <n v="4311.8200000000006"/>
    <n v="-224.64"/>
  </r>
  <r>
    <x v="11"/>
    <x v="3"/>
    <x v="0"/>
    <s v="4950101"/>
    <n v="721420"/>
    <s v="Tubes Drains &amp; Related Supplies"/>
    <s v="Respiratory Therapy"/>
    <x v="0"/>
    <n v="1008"/>
    <n v="1423.75"/>
    <n v="1626.98"/>
    <n v="1684.77"/>
    <n v="2102.5700000000002"/>
    <n v="1147.27"/>
    <n v="3337.66"/>
    <n v="1943.58"/>
    <n v="6979.94"/>
    <n v="1005.32"/>
    <n v="2465.7800000000002"/>
    <n v="1469.7"/>
    <n v="1452.78"/>
    <n v="26640.1"/>
    <n v="16.920000000000073"/>
  </r>
  <r>
    <x v="11"/>
    <x v="3"/>
    <x v="0"/>
    <s v="4950101"/>
    <n v="721420"/>
    <s v="Sterilization Process Products"/>
    <s v="Respiratory Therapy"/>
    <x v="0"/>
    <n v="1009"/>
    <n v="642.47"/>
    <n v="1509.64"/>
    <n v="2454.85"/>
    <n v="1552.9"/>
    <n v="968.27"/>
    <n v="711.53"/>
    <n v="1800.44"/>
    <n v="766.74"/>
    <n v="827.95"/>
    <n v="240.35"/>
    <n v="663.41"/>
    <n v="903.79"/>
    <n v="13042.34"/>
    <n v="-240.38"/>
  </r>
  <r>
    <x v="11"/>
    <x v="3"/>
    <x v="0"/>
    <s v="4950101"/>
    <n v="721610"/>
    <s v="Supplies-Anesthesia - Nonbillable"/>
    <s v="Respiratory Therapy"/>
    <x v="0"/>
    <m/>
    <n v="20600.79"/>
    <n v="23357.56"/>
    <n v="19930.240000000002"/>
    <n v="20882.8"/>
    <n v="16967"/>
    <n v="31282.09"/>
    <n v="23036.99"/>
    <n v="22642.76"/>
    <n v="19239.849999999999"/>
    <n v="19185.439999999999"/>
    <n v="16200.62"/>
    <n v="18741.490000000002"/>
    <n v="252067.63"/>
    <n v="-2540.8700000000008"/>
  </r>
  <r>
    <x v="11"/>
    <x v="3"/>
    <x v="0"/>
    <s v="4950101"/>
    <n v="721640"/>
    <s v="Supplies-IV Solutions/Supplies - Nonbillable"/>
    <s v="Respiratory Therapy"/>
    <x v="0"/>
    <m/>
    <n v="0"/>
    <n v="0"/>
    <n v="0"/>
    <n v="0"/>
    <n v="0"/>
    <n v="290.70999999999998"/>
    <n v="0"/>
    <n v="0"/>
    <n v="0"/>
    <n v="0"/>
    <n v="0"/>
    <n v="0"/>
    <n v="290.70999999999998"/>
    <n v="0"/>
  </r>
  <r>
    <x v="11"/>
    <x v="3"/>
    <x v="0"/>
    <s v="4950101"/>
    <n v="721650"/>
    <s v="Supplies-Pharmacy Drugs - Nonbillable"/>
    <s v="Respiratory Therapy"/>
    <x v="0"/>
    <m/>
    <n v="263.61"/>
    <n v="190.3"/>
    <n v="327.32"/>
    <n v="0"/>
    <n v="152.24"/>
    <n v="380.6"/>
    <n v="0"/>
    <n v="145.06"/>
    <n v="212.76"/>
    <n v="96.71"/>
    <n v="0"/>
    <n v="241.77"/>
    <n v="2010.3700000000001"/>
    <n v="-241.77"/>
  </r>
  <r>
    <x v="11"/>
    <x v="3"/>
    <x v="0"/>
    <s v="4950101"/>
    <n v="721710"/>
    <s v="Supplies-Laboratory - Nonbillable"/>
    <s v="Respiratory Therapy"/>
    <x v="0"/>
    <m/>
    <n v="3285.03"/>
    <n v="4779.43"/>
    <n v="3132.18"/>
    <n v="11797.26"/>
    <n v="415.52"/>
    <n v="3592.48"/>
    <n v="7596.8"/>
    <n v="7863.55"/>
    <n v="3087.19"/>
    <n v="5932.61"/>
    <n v="1574.19"/>
    <n v="6084.79"/>
    <n v="59141.030000000013"/>
    <n v="-4510.6000000000004"/>
  </r>
  <r>
    <x v="11"/>
    <x v="3"/>
    <x v="0"/>
    <s v="4950101"/>
    <n v="721710"/>
    <s v="Reagents"/>
    <s v="Respiratory Therapy"/>
    <x v="0"/>
    <n v="1000"/>
    <n v="12276"/>
    <n v="3539.98"/>
    <n v="5500.5"/>
    <n v="4831.53"/>
    <n v="4899.4799999999996"/>
    <n v="9028.0499999999993"/>
    <n v="12402.51"/>
    <n v="7762.75"/>
    <n v="3842.87"/>
    <n v="6600"/>
    <n v="2010.77"/>
    <n v="3786.81"/>
    <n v="76481.25"/>
    <n v="-1776.04"/>
  </r>
  <r>
    <x v="11"/>
    <x v="3"/>
    <x v="0"/>
    <s v="4950101"/>
    <n v="721810"/>
    <s v="Supplies-Dietary/Cafeteria"/>
    <s v="Respiratory Therapy"/>
    <x v="0"/>
    <m/>
    <n v="243.56"/>
    <n v="306.63"/>
    <n v="365.75"/>
    <n v="92.75"/>
    <n v="112.26"/>
    <n v="-496.1"/>
    <n v="365.43"/>
    <n v="267.02"/>
    <n v="679.12"/>
    <n v="256.08"/>
    <n v="266.07"/>
    <n v="58.68"/>
    <n v="2517.25"/>
    <n v="207.39"/>
  </r>
  <r>
    <x v="11"/>
    <x v="3"/>
    <x v="0"/>
    <s v="4950101"/>
    <n v="721830"/>
    <s v="Supplies-Office"/>
    <s v="Respiratory Therapy"/>
    <x v="0"/>
    <m/>
    <n v="627.04"/>
    <n v="372.7"/>
    <n v="267.14"/>
    <n v="925.84"/>
    <n v="121.45"/>
    <n v="98.98"/>
    <n v="517.13"/>
    <n v="430.76"/>
    <n v="125.01"/>
    <n v="45.4"/>
    <n v="330.91"/>
    <n v="307.17"/>
    <n v="4169.53"/>
    <n v="23.740000000000009"/>
  </r>
  <r>
    <x v="11"/>
    <x v="3"/>
    <x v="0"/>
    <s v="4950101"/>
    <n v="721850"/>
    <s v="Supplies-Maintenance"/>
    <s v="Respiratory Therap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4950101"/>
    <n v="721870"/>
    <s v="Supplies-Environmental Services"/>
    <s v="Respiratory Therapy"/>
    <x v="0"/>
    <m/>
    <n v="19.2"/>
    <n v="344.39"/>
    <n v="694.36"/>
    <n v="100.02"/>
    <n v="162.87"/>
    <n v="903.46"/>
    <n v="103.54"/>
    <n v="222.26"/>
    <n v="584.58000000000004"/>
    <n v="258.31"/>
    <n v="20.420000000000002"/>
    <n v="14.41"/>
    <n v="3427.82"/>
    <n v="6.0100000000000016"/>
  </r>
  <r>
    <x v="11"/>
    <x v="3"/>
    <x v="0"/>
    <s v="4950101"/>
    <n v="721910"/>
    <s v="Supplies-Small Equipment"/>
    <s v="Respiratory Therapy"/>
    <x v="0"/>
    <m/>
    <n v="842.38"/>
    <n v="731.34"/>
    <n v="525.41"/>
    <n v="927.56"/>
    <n v="320.45999999999998"/>
    <n v="2857.88"/>
    <n v="789.19"/>
    <n v="987.05"/>
    <n v="3765.36"/>
    <n v="88.29"/>
    <n v="179.21"/>
    <n v="2515.42"/>
    <n v="14529.550000000001"/>
    <n v="-2336.21"/>
  </r>
  <r>
    <x v="11"/>
    <x v="3"/>
    <x v="0"/>
    <s v="4950101"/>
    <n v="721910"/>
    <s v="Instruments"/>
    <s v="Respiratory Therapy"/>
    <x v="0"/>
    <n v="1000"/>
    <n v="1726.36"/>
    <n v="1294.77"/>
    <n v="431.59"/>
    <n v="932"/>
    <n v="1288.45"/>
    <n v="1294.77"/>
    <n v="2001.61"/>
    <n v="1733.26"/>
    <n v="0"/>
    <n v="1726.36"/>
    <n v="431.59"/>
    <n v="1728.73"/>
    <n v="14589.490000000002"/>
    <n v="-1297.1400000000001"/>
  </r>
  <r>
    <x v="11"/>
    <x v="3"/>
    <x v="0"/>
    <s v="4950101"/>
    <n v="721980"/>
    <s v="Supplies-Other"/>
    <s v="Respiratory Therapy"/>
    <x v="0"/>
    <m/>
    <n v="1988.91"/>
    <n v="67.2"/>
    <n v="0"/>
    <n v="1017.69"/>
    <n v="821.68"/>
    <n v="168.37"/>
    <n v="451.15"/>
    <n v="1061.19"/>
    <n v="1471.61"/>
    <n v="-203.59"/>
    <n v="0"/>
    <n v="154.63999999999999"/>
    <n v="6998.85"/>
    <n v="-154.63999999999999"/>
  </r>
  <r>
    <x v="11"/>
    <x v="3"/>
    <x v="0"/>
    <s v="4950101"/>
    <n v="722000"/>
    <s v="Supplies-Freight Expense"/>
    <s v="Respiratory Therapy"/>
    <x v="0"/>
    <m/>
    <n v="176.32"/>
    <n v="1054.45"/>
    <n v="606.24"/>
    <n v="700.85"/>
    <n v="593.1"/>
    <n v="831.7"/>
    <n v="1333.54"/>
    <n v="474.61"/>
    <n v="703.75"/>
    <n v="510.47"/>
    <n v="737.55"/>
    <n v="1536.27"/>
    <n v="9258.85"/>
    <n v="-798.72"/>
  </r>
  <r>
    <x v="11"/>
    <x v="3"/>
    <x v="0"/>
    <s v="4950101"/>
    <n v="723000"/>
    <s v="Supply Rebates/Patronage Dividend"/>
    <s v="Respiratory Therapy"/>
    <x v="0"/>
    <m/>
    <n v="0"/>
    <n v="0"/>
    <n v="0"/>
    <n v="0"/>
    <n v="0"/>
    <n v="0"/>
    <n v="0"/>
    <n v="0"/>
    <n v="0"/>
    <n v="0"/>
    <n v="0"/>
    <n v="-164.06"/>
    <n v="-164.06"/>
    <n v="164.06"/>
  </r>
  <r>
    <x v="12"/>
    <x v="3"/>
    <x v="0"/>
    <s v="4950101"/>
    <n v="730020"/>
    <s v="Rental and Leases-Equipment (DO NOT USE)"/>
    <s v="Respiratory Therapy"/>
    <x v="0"/>
    <m/>
    <n v="357.14"/>
    <n v="5619.83"/>
    <n v="1601.87"/>
    <n v="69.12"/>
    <n v="11438.73"/>
    <n v="11035.82"/>
    <n v="9864.83"/>
    <n v="357.14"/>
    <n v="12975.46"/>
    <n v="4769.1000000000004"/>
    <n v="20625.91"/>
    <n v="21492.63"/>
    <n v="100207.58"/>
    <n v="-866.72000000000116"/>
  </r>
  <r>
    <x v="12"/>
    <x v="3"/>
    <x v="0"/>
    <s v="4950101"/>
    <n v="730020"/>
    <s v="Rental and Leases-Copier Usage Fees (DO NOT USE)"/>
    <s v="Respiratory Therapy"/>
    <x v="0"/>
    <n v="5100"/>
    <n v="210.89"/>
    <n v="207.14"/>
    <n v="209.02"/>
    <n v="209.01"/>
    <n v="209.02"/>
    <n v="209.01"/>
    <n v="361.77"/>
    <n v="180.36"/>
    <n v="179.98"/>
    <n v="333.19"/>
    <n v="180.36"/>
    <n v="235.77"/>
    <n v="2725.52"/>
    <n v="-55.41"/>
  </r>
  <r>
    <x v="15"/>
    <x v="3"/>
    <x v="0"/>
    <s v="4950101"/>
    <n v="731060"/>
    <s v="Pagers"/>
    <s v="Respiratory Therapy"/>
    <x v="0"/>
    <n v="1002"/>
    <n v="92.33"/>
    <n v="64.790000000000006"/>
    <n v="64.8"/>
    <n v="64.959999999999994"/>
    <n v="37.43"/>
    <n v="0"/>
    <n v="129.91999999999999"/>
    <n v="64.959999999999994"/>
    <n v="64.959999999999994"/>
    <n v="64.959999999999994"/>
    <n v="64.959999999999994"/>
    <n v="92.52"/>
    <n v="806.59000000000015"/>
    <n v="-27.560000000000002"/>
  </r>
  <r>
    <x v="16"/>
    <x v="3"/>
    <x v="0"/>
    <s v="4950101"/>
    <n v="732020"/>
    <s v="Repairs--Clin Equip-Parts-Internal to CHI Programs"/>
    <s v="Respiratory Therapy"/>
    <x v="0"/>
    <m/>
    <n v="3379.37"/>
    <n v="2815"/>
    <n v="2524.38"/>
    <n v="3698.64"/>
    <n v="2979.75"/>
    <n v="2726.56"/>
    <n v="2904.7"/>
    <n v="3392.94"/>
    <n v="3077.37"/>
    <n v="3217.3"/>
    <n v="3285.24"/>
    <n v="2417.0300000000002"/>
    <n v="36418.28"/>
    <n v="868.20999999999958"/>
  </r>
  <r>
    <x v="16"/>
    <x v="3"/>
    <x v="0"/>
    <s v="4950101"/>
    <n v="732030"/>
    <s v="Repairs---Other"/>
    <s v="Respiratory Therapy"/>
    <x v="0"/>
    <m/>
    <n v="0"/>
    <n v="-187.08"/>
    <n v="187.08"/>
    <n v="-71.25"/>
    <n v="-115.83"/>
    <n v="0"/>
    <n v="0"/>
    <n v="0"/>
    <n v="-20.309999999999999"/>
    <n v="0"/>
    <n v="-275.37"/>
    <n v="-142.5"/>
    <n v="-625.26"/>
    <n v="-132.87"/>
  </r>
  <r>
    <x v="16"/>
    <x v="3"/>
    <x v="0"/>
    <s v="4950101"/>
    <n v="733030"/>
    <s v="Maintenance Contracts-Other"/>
    <s v="Respiratory Therapy"/>
    <x v="0"/>
    <m/>
    <n v="0"/>
    <n v="187.08"/>
    <n v="-187.08"/>
    <n v="0"/>
    <n v="0"/>
    <n v="0"/>
    <n v="0"/>
    <n v="0"/>
    <n v="0"/>
    <n v="0"/>
    <n v="0"/>
    <n v="0"/>
    <n v="0"/>
    <n v="0"/>
  </r>
  <r>
    <x v="13"/>
    <x v="3"/>
    <x v="0"/>
    <s v="4950101"/>
    <n v="735070"/>
    <s v="Depreciation-Movable Equipment"/>
    <s v="Respiratory Therapy"/>
    <x v="0"/>
    <m/>
    <n v="13718.01"/>
    <n v="13718.01"/>
    <n v="13718.02"/>
    <n v="15289.73"/>
    <n v="15289.75"/>
    <n v="18045.759999999998"/>
    <n v="18215.27"/>
    <n v="18215.240000000002"/>
    <n v="18215.310000000001"/>
    <n v="18215.240000000002"/>
    <n v="18215.32"/>
    <n v="18215.23"/>
    <n v="199070.89"/>
    <n v="9.0000000000145519E-2"/>
  </r>
  <r>
    <x v="0"/>
    <x v="3"/>
    <x v="0"/>
    <s v="4950101"/>
    <n v="740020"/>
    <s v="Education-Registration Fees"/>
    <s v="Respiratory Therapy"/>
    <x v="0"/>
    <m/>
    <n v="0"/>
    <n v="0"/>
    <n v="0"/>
    <n v="0"/>
    <n v="0"/>
    <n v="0"/>
    <n v="0"/>
    <n v="0"/>
    <n v="0"/>
    <n v="0"/>
    <n v="0"/>
    <n v="220"/>
    <n v="220"/>
    <n v="-220"/>
  </r>
  <r>
    <x v="0"/>
    <x v="3"/>
    <x v="0"/>
    <s v="4950101"/>
    <n v="740030"/>
    <s v="Education-Travel"/>
    <s v="Respiratory Therapy"/>
    <x v="0"/>
    <m/>
    <n v="0"/>
    <n v="0"/>
    <n v="0"/>
    <n v="0"/>
    <n v="0"/>
    <n v="875"/>
    <n v="0"/>
    <n v="0"/>
    <n v="0"/>
    <n v="0"/>
    <n v="220"/>
    <n v="0"/>
    <n v="1095"/>
    <n v="220"/>
  </r>
  <r>
    <x v="0"/>
    <x v="3"/>
    <x v="0"/>
    <s v="4950101"/>
    <n v="742040"/>
    <s v="Freight-Other"/>
    <s v="Respiratory Therapy"/>
    <x v="0"/>
    <m/>
    <n v="0"/>
    <n v="0"/>
    <n v="0"/>
    <n v="61.22"/>
    <n v="0"/>
    <n v="0"/>
    <n v="0"/>
    <n v="0"/>
    <n v="0"/>
    <n v="0"/>
    <n v="0"/>
    <n v="309.07"/>
    <n v="370.28999999999996"/>
    <n v="-309.07"/>
  </r>
  <r>
    <x v="0"/>
    <x v="3"/>
    <x v="0"/>
    <s v="4950101"/>
    <n v="743010"/>
    <s v="Dues--Institutional"/>
    <s v="Respiratory Therapy"/>
    <x v="0"/>
    <m/>
    <n v="0"/>
    <n v="0"/>
    <n v="0"/>
    <n v="0"/>
    <n v="408"/>
    <n v="0"/>
    <n v="0"/>
    <n v="0"/>
    <n v="0"/>
    <n v="0"/>
    <n v="0"/>
    <n v="0"/>
    <n v="408"/>
    <n v="0"/>
  </r>
  <r>
    <x v="0"/>
    <x v="3"/>
    <x v="0"/>
    <s v="4950101"/>
    <n v="743030"/>
    <s v="Subscriptions--Institutional"/>
    <s v="Respiratory Therapy"/>
    <x v="0"/>
    <m/>
    <n v="0"/>
    <n v="0"/>
    <n v="0"/>
    <n v="0"/>
    <n v="102"/>
    <n v="0"/>
    <n v="0"/>
    <n v="0"/>
    <n v="0"/>
    <n v="0"/>
    <n v="0"/>
    <n v="0"/>
    <n v="102"/>
    <n v="0"/>
  </r>
  <r>
    <x v="0"/>
    <x v="3"/>
    <x v="0"/>
    <s v="4950101"/>
    <n v="749510"/>
    <s v="Miscellaneous Expenses"/>
    <s v="Respiratory Therapy"/>
    <x v="0"/>
    <m/>
    <n v="0"/>
    <n v="0"/>
    <n v="0"/>
    <n v="0"/>
    <n v="1090"/>
    <n v="-100"/>
    <n v="0"/>
    <n v="71500"/>
    <n v="-71500"/>
    <n v="0"/>
    <n v="21896.19"/>
    <n v="0"/>
    <n v="22886.19"/>
    <n v="21896.19"/>
  </r>
  <r>
    <x v="0"/>
    <x v="3"/>
    <x v="0"/>
    <s v="4950101"/>
    <n v="749510"/>
    <s v="RICE Rewards"/>
    <s v="Respiratory Therapy"/>
    <x v="0"/>
    <n v="5100"/>
    <n v="0"/>
    <n v="0"/>
    <n v="0"/>
    <n v="0"/>
    <n v="0"/>
    <n v="0"/>
    <n v="238.27"/>
    <n v="0"/>
    <n v="30.68"/>
    <n v="0"/>
    <n v="0"/>
    <n v="0"/>
    <n v="268.95"/>
    <n v="0"/>
  </r>
  <r>
    <x v="18"/>
    <x v="0"/>
    <x v="0"/>
    <s v="4950102"/>
    <n v="400010"/>
    <s v="Acute I/P Svcs Rev--Medicare"/>
    <s v="Respiratory Therapy"/>
    <x v="0"/>
    <n v="1100"/>
    <n v="-787704.79"/>
    <n v="-656399.42000000004"/>
    <n v="-914664.92"/>
    <n v="-1187640.72"/>
    <n v="-957232.74"/>
    <n v="-780907.97"/>
    <n v="-995474.35"/>
    <n v="-952562.13"/>
    <n v="-1331316.95"/>
    <n v="-1189178.8799999999"/>
    <n v="-652112.49"/>
    <n v="-649631.25"/>
    <n v="-11054826.609999998"/>
    <n v="-2481.2399999999907"/>
  </r>
  <r>
    <x v="18"/>
    <x v="0"/>
    <x v="0"/>
    <s v="4950102"/>
    <n v="400010"/>
    <s v="Acute I/P Svcs Rev--Medicaid"/>
    <s v="Respiratory Therapy"/>
    <x v="0"/>
    <n v="1200"/>
    <n v="-448605.56"/>
    <n v="-430305.65"/>
    <n v="-235729.94"/>
    <n v="-348193.53"/>
    <n v="-190739.91"/>
    <n v="-313051.55"/>
    <n v="-324799.68"/>
    <n v="-345656.78"/>
    <n v="-236052.6"/>
    <n v="-353348.85"/>
    <n v="-494685.66"/>
    <n v="-372558.23"/>
    <n v="-4093727.94"/>
    <n v="-122127.43"/>
  </r>
  <r>
    <x v="18"/>
    <x v="0"/>
    <x v="0"/>
    <s v="4950102"/>
    <n v="400010"/>
    <s v="Acute I/P Svcs Rev--Comm Insurance"/>
    <s v="Respiratory Therapy"/>
    <x v="0"/>
    <n v="1300"/>
    <n v="2433.0500000000002"/>
    <n v="-5490.55"/>
    <n v="-15100.28"/>
    <n v="-845.31"/>
    <n v="-14586.36"/>
    <n v="237.1"/>
    <n v="-8701.89"/>
    <n v="-56822.35"/>
    <n v="-21427.33"/>
    <n v="-15167.69"/>
    <n v="-6857.51"/>
    <n v="-3915.26"/>
    <n v="-146244.38"/>
    <n v="-2942.25"/>
  </r>
  <r>
    <x v="18"/>
    <x v="0"/>
    <x v="0"/>
    <s v="4950102"/>
    <n v="400010"/>
    <s v="Acute I/P Svcs Rev--BCBS Comm"/>
    <s v="Respiratory Therapy"/>
    <x v="0"/>
    <n v="1301"/>
    <n v="-24083.99"/>
    <n v="-86202.9"/>
    <n v="-93620.93"/>
    <n v="-16094.3"/>
    <n v="-59451.96"/>
    <n v="-57770.18"/>
    <n v="-37828.81"/>
    <n v="-91841.51"/>
    <n v="-58004.46"/>
    <n v="-33372.089999999997"/>
    <n v="-53209.96"/>
    <n v="-74044.850000000006"/>
    <n v="-685525.94"/>
    <n v="20834.890000000007"/>
  </r>
  <r>
    <x v="18"/>
    <x v="0"/>
    <x v="0"/>
    <s v="4950102"/>
    <n v="400010"/>
    <s v="Acute I/P Svcs Rev--Managed Care"/>
    <s v="Respiratory Therapy"/>
    <x v="0"/>
    <n v="1400"/>
    <n v="-304471.62"/>
    <n v="-248470.54"/>
    <n v="-143645.5"/>
    <n v="-112323.32"/>
    <n v="-239251.62"/>
    <n v="-150381.41"/>
    <n v="-187462.76"/>
    <n v="-143354.76"/>
    <n v="-124680.57"/>
    <n v="-50403.18"/>
    <n v="-179888.37"/>
    <n v="-76048.08"/>
    <n v="-1960381.73"/>
    <n v="-103840.29"/>
  </r>
  <r>
    <x v="18"/>
    <x v="0"/>
    <x v="0"/>
    <s v="4950102"/>
    <n v="400010"/>
    <s v="Acute I/P Svcs Rev--Self Pay"/>
    <s v="Respiratory Therapy"/>
    <x v="0"/>
    <n v="1500"/>
    <n v="-35938.36"/>
    <n v="-62188.62"/>
    <n v="-57907.01"/>
    <n v="35757.06"/>
    <n v="-27547.47"/>
    <n v="-18088.59"/>
    <n v="-23296.14"/>
    <n v="3255.5"/>
    <n v="694.2"/>
    <n v="-70457.649999999994"/>
    <n v="-50459.14"/>
    <n v="40351.29"/>
    <n v="-265824.93"/>
    <n v="-90810.43"/>
  </r>
  <r>
    <x v="18"/>
    <x v="0"/>
    <x v="0"/>
    <s v="4950102"/>
    <n v="400010"/>
    <s v="Acute I/P Svcs Rev--Other"/>
    <s v="Respiratory Therapy"/>
    <x v="0"/>
    <n v="1700"/>
    <n v="-23593.02"/>
    <n v="-17313.84"/>
    <n v="-16162.73"/>
    <n v="-33430.18"/>
    <n v="-49116.959999999999"/>
    <n v="-97722.49"/>
    <n v="-5569.27"/>
    <n v="-30706.5"/>
    <n v="-16627.509999999998"/>
    <n v="-7072.65"/>
    <n v="-3240.8"/>
    <n v="-24943.02"/>
    <n v="-325498.97000000003"/>
    <n v="21702.22"/>
  </r>
  <r>
    <x v="19"/>
    <x v="0"/>
    <x v="0"/>
    <s v="4950102"/>
    <n v="400020"/>
    <s v="O/P Care Svcs Rev--Medicare"/>
    <s v="Respiratory Therapy"/>
    <x v="0"/>
    <n v="1100"/>
    <n v="-303607.87"/>
    <n v="-297038.38"/>
    <n v="-268758.87"/>
    <n v="-302097.75"/>
    <n v="-280084.51"/>
    <n v="-261189.41"/>
    <n v="-310054.32"/>
    <n v="-275115.3"/>
    <n v="-328660.96000000002"/>
    <n v="-284797.5"/>
    <n v="-305801.84999999998"/>
    <n v="-283791.33"/>
    <n v="-3500998.0500000003"/>
    <n v="-22010.51999999996"/>
  </r>
  <r>
    <x v="19"/>
    <x v="0"/>
    <x v="0"/>
    <s v="4950102"/>
    <n v="400020"/>
    <s v="O/P Care Svcs Rev--Medicaid"/>
    <s v="Respiratory Therapy"/>
    <x v="0"/>
    <n v="1200"/>
    <n v="-143463.57"/>
    <n v="-142020.06"/>
    <n v="-118140.27"/>
    <n v="-131671.45000000001"/>
    <n v="-119629.8"/>
    <n v="-139919.07999999999"/>
    <n v="-133046.84"/>
    <n v="-112212.18"/>
    <n v="-127980.6"/>
    <n v="-126686.76"/>
    <n v="-124638.78"/>
    <n v="-92232.320000000007"/>
    <n v="-1511641.7100000002"/>
    <n v="-32406.459999999992"/>
  </r>
  <r>
    <x v="19"/>
    <x v="0"/>
    <x v="0"/>
    <s v="4950102"/>
    <n v="400020"/>
    <s v="O/P Care Svcs Rev--Comm Insurance"/>
    <s v="Respiratory Therapy"/>
    <x v="0"/>
    <n v="1300"/>
    <n v="-14032.13"/>
    <n v="-6638.11"/>
    <n v="-12976.06"/>
    <n v="-16061.25"/>
    <n v="-8178.76"/>
    <n v="-7210.15"/>
    <n v="-13828.16"/>
    <n v="-12145.99"/>
    <n v="-21312.93"/>
    <n v="-10753.83"/>
    <n v="-10834.9"/>
    <n v="-8440.2999999999993"/>
    <n v="-142412.57"/>
    <n v="-2394.6000000000004"/>
  </r>
  <r>
    <x v="19"/>
    <x v="0"/>
    <x v="0"/>
    <s v="4950102"/>
    <n v="400020"/>
    <s v="O/P Care Svcs Rev--BCBS Comm"/>
    <s v="Respiratory Therapy"/>
    <x v="0"/>
    <n v="1301"/>
    <n v="-51237.120000000003"/>
    <n v="-49626.17"/>
    <n v="-45406.12"/>
    <n v="-41186.300000000003"/>
    <n v="-61618.92"/>
    <n v="-37588.620000000003"/>
    <n v="-47110.92"/>
    <n v="-39616.080000000002"/>
    <n v="-56629.39"/>
    <n v="-45296.35"/>
    <n v="-48710.44"/>
    <n v="-39602.870000000003"/>
    <n v="-563629.30000000005"/>
    <n v="-9107.57"/>
  </r>
  <r>
    <x v="19"/>
    <x v="0"/>
    <x v="0"/>
    <s v="4950102"/>
    <n v="400020"/>
    <s v="O/P Care Svcs Rev--Managed Care"/>
    <s v="Respiratory Therapy"/>
    <x v="0"/>
    <n v="1400"/>
    <n v="-128386.7"/>
    <n v="-146926.69"/>
    <n v="-103821.69"/>
    <n v="-141797.89000000001"/>
    <n v="-139124.96"/>
    <n v="-116443.47"/>
    <n v="-112941.51"/>
    <n v="-115388.52"/>
    <n v="-133784.57999999999"/>
    <n v="-119448.39"/>
    <n v="-129997.68"/>
    <n v="-97420.23"/>
    <n v="-1485482.3099999998"/>
    <n v="-32577.449999999997"/>
  </r>
  <r>
    <x v="19"/>
    <x v="0"/>
    <x v="0"/>
    <s v="4950102"/>
    <n v="400020"/>
    <s v="O/P Care Svcs Rev--Self Pay"/>
    <s v="Respiratory Therapy"/>
    <x v="0"/>
    <n v="1500"/>
    <n v="-20031.099999999999"/>
    <n v="-33451.31"/>
    <n v="-27300.68"/>
    <n v="-27221.24"/>
    <n v="-34018.49"/>
    <n v="-34910.980000000003"/>
    <n v="-23705.63"/>
    <n v="-30042.35"/>
    <n v="-43772.17"/>
    <n v="-21870.66"/>
    <n v="-39345.79"/>
    <n v="-26622.33"/>
    <n v="-362292.73"/>
    <n v="-12723.46"/>
  </r>
  <r>
    <x v="19"/>
    <x v="0"/>
    <x v="0"/>
    <s v="4950102"/>
    <n v="400020"/>
    <s v="O/P Care Svcs Rev--Other"/>
    <s v="Respiratory Therapy"/>
    <x v="0"/>
    <n v="1700"/>
    <n v="-24878.19"/>
    <n v="-12597.73"/>
    <n v="-18367.439999999999"/>
    <n v="-21175.85"/>
    <n v="-9678.98"/>
    <n v="-15679.42"/>
    <n v="-4013.76"/>
    <n v="-8292.07"/>
    <n v="-15665.05"/>
    <n v="-16485.509999999998"/>
    <n v="-13729.89"/>
    <n v="-13688.64"/>
    <n v="-174252.52999999997"/>
    <n v="-41.25"/>
  </r>
  <r>
    <x v="5"/>
    <x v="0"/>
    <x v="0"/>
    <s v="4950102"/>
    <n v="700014"/>
    <s v="Salaries-Management-Productive"/>
    <s v="Respiratory Therapy"/>
    <x v="0"/>
    <m/>
    <n v="8583.34"/>
    <n v="10476.290000000001"/>
    <n v="5474.95"/>
    <n v="12018"/>
    <n v="6495.93"/>
    <n v="6911.09"/>
    <n v="9689.7000000000007"/>
    <n v="9689.4"/>
    <n v="3114.67"/>
    <n v="12180.54"/>
    <n v="4187.51"/>
    <n v="12007.93"/>
    <n v="100829.35"/>
    <n v="-7820.42"/>
  </r>
  <r>
    <x v="5"/>
    <x v="0"/>
    <x v="0"/>
    <s v="4950102"/>
    <n v="700034"/>
    <s v="Salaries-Tech/Professional-Productive"/>
    <s v="Respiratory Therapy"/>
    <x v="0"/>
    <m/>
    <n v="65771.77"/>
    <n v="62598.33"/>
    <n v="68197.850000000006"/>
    <n v="71237.31"/>
    <n v="64023.199999999997"/>
    <n v="65762.62"/>
    <n v="67868.78"/>
    <n v="60723.15"/>
    <n v="69692.3"/>
    <n v="68135.48"/>
    <n v="68577.83"/>
    <n v="62962.06"/>
    <n v="795550.67999999993"/>
    <n v="5615.7700000000041"/>
  </r>
  <r>
    <x v="5"/>
    <x v="0"/>
    <x v="0"/>
    <s v="4950102"/>
    <n v="700034"/>
    <s v="Salaries-Tech/Professional-OT"/>
    <s v="Respiratory Therapy"/>
    <x v="0"/>
    <n v="1000"/>
    <n v="2814.26"/>
    <n v="2117.2199999999998"/>
    <n v="647.65"/>
    <n v="1662.86"/>
    <n v="1278.8699999999999"/>
    <n v="1578.34"/>
    <n v="1265.17"/>
    <n v="1398.79"/>
    <n v="2709.64"/>
    <n v="1463.88"/>
    <n v="1113.79"/>
    <n v="1267.25"/>
    <n v="19317.72"/>
    <n v="-153.46000000000004"/>
  </r>
  <r>
    <x v="5"/>
    <x v="0"/>
    <x v="0"/>
    <s v="4950102"/>
    <n v="700034"/>
    <s v="Salaries-Tech/Professional-Other"/>
    <s v="Respiratory Therapy"/>
    <x v="0"/>
    <n v="2000"/>
    <n v="4250.29"/>
    <n v="4146.09"/>
    <n v="4103.6099999999997"/>
    <n v="4263.9799999999996"/>
    <n v="5414.69"/>
    <n v="5346.55"/>
    <n v="4804.37"/>
    <n v="4220.92"/>
    <n v="5680.66"/>
    <n v="4932.9399999999996"/>
    <n v="5079.2"/>
    <n v="4124.3599999999997"/>
    <n v="56367.66"/>
    <n v="954.84000000000015"/>
  </r>
  <r>
    <x v="5"/>
    <x v="0"/>
    <x v="0"/>
    <s v="4950102"/>
    <n v="700054"/>
    <s v="Salaries-Management-Non-productive"/>
    <s v="Respiratory Therapy"/>
    <x v="0"/>
    <m/>
    <n v="1892.48"/>
    <n v="0"/>
    <n v="4663.54"/>
    <n v="-1351.7"/>
    <n v="3870.08"/>
    <n v="3800.8"/>
    <n v="1038.93"/>
    <n v="0"/>
    <n v="7612.95"/>
    <n v="-1799.31"/>
    <n v="6540.09"/>
    <n v="-1626.21"/>
    <n v="24641.65"/>
    <n v="8166.3"/>
  </r>
  <r>
    <x v="5"/>
    <x v="0"/>
    <x v="0"/>
    <s v="4950102"/>
    <n v="700054"/>
    <s v="Salaries-Management-NonProd-Other"/>
    <s v="Respiratory Therapy"/>
    <x v="0"/>
    <n v="2000"/>
    <n v="0"/>
    <n v="0"/>
    <n v="0"/>
    <n v="0"/>
    <n v="0"/>
    <n v="450.57"/>
    <n v="-450.57"/>
    <n v="0"/>
    <n v="0"/>
    <n v="0"/>
    <n v="0"/>
    <n v="0"/>
    <n v="0"/>
    <n v="0"/>
  </r>
  <r>
    <x v="5"/>
    <x v="0"/>
    <x v="0"/>
    <s v="4950102"/>
    <n v="700074"/>
    <s v="Salaries-Tech/Professional-Non-productive"/>
    <s v="Respiratory Therapy"/>
    <x v="0"/>
    <m/>
    <n v="9952.3799999999992"/>
    <n v="13660.44"/>
    <n v="6534.16"/>
    <n v="3898.11"/>
    <n v="17548.63"/>
    <n v="20916.509999999998"/>
    <n v="12556.7"/>
    <n v="8605.01"/>
    <n v="11713.91"/>
    <n v="7653.31"/>
    <n v="3841.17"/>
    <n v="8459.26"/>
    <n v="125339.58999999998"/>
    <n v="-4618.09"/>
  </r>
  <r>
    <x v="5"/>
    <x v="0"/>
    <x v="0"/>
    <s v="4950102"/>
    <n v="700074"/>
    <s v="Salaries-Tech/Professional-NonProd-Other"/>
    <s v="Respiratory Therapy"/>
    <x v="0"/>
    <n v="2000"/>
    <n v="232.13"/>
    <n v="535.44000000000005"/>
    <n v="290.67"/>
    <n v="-27.31"/>
    <n v="1461.01"/>
    <n v="1149.32"/>
    <n v="352.85"/>
    <n v="-356.79"/>
    <n v="205.17"/>
    <n v="189.65"/>
    <n v="38.869999999999997"/>
    <n v="531.65"/>
    <n v="4602.66"/>
    <n v="-492.78"/>
  </r>
  <r>
    <x v="5"/>
    <x v="0"/>
    <x v="0"/>
    <s v="4950102"/>
    <n v="700084"/>
    <s v="Accrued PTO"/>
    <s v="Respiratory Therapy"/>
    <x v="0"/>
    <m/>
    <n v="5482.2"/>
    <n v="-1031.48"/>
    <n v="1004.24"/>
    <n v="9153.01"/>
    <n v="-4257.47"/>
    <n v="-9762.0400000000009"/>
    <n v="-359.45"/>
    <n v="2039.59"/>
    <n v="-3611.73"/>
    <n v="1216.6099999999999"/>
    <n v="1425.39"/>
    <n v="5877.55"/>
    <n v="7176.4199999999992"/>
    <n v="-4452.16"/>
  </r>
  <r>
    <x v="10"/>
    <x v="0"/>
    <x v="0"/>
    <s v="4950102"/>
    <n v="710060"/>
    <s v="Contract Labor-Other"/>
    <s v="Respiratory Therapy"/>
    <x v="0"/>
    <m/>
    <n v="0"/>
    <n v="0"/>
    <n v="0"/>
    <n v="0"/>
    <n v="0"/>
    <n v="0"/>
    <n v="0"/>
    <n v="1454.76"/>
    <n v="1454.75"/>
    <n v="0"/>
    <n v="0"/>
    <n v="0"/>
    <n v="2909.51"/>
    <n v="0"/>
  </r>
  <r>
    <x v="6"/>
    <x v="0"/>
    <x v="0"/>
    <s v="4950102"/>
    <n v="713010"/>
    <s v="Benefits-FICA/Medicare"/>
    <s v="Respiratory Therapy"/>
    <x v="0"/>
    <m/>
    <n v="7122.91"/>
    <n v="6834.65"/>
    <n v="6616.58"/>
    <n v="6826.4"/>
    <n v="7571.28"/>
    <n v="8316.76"/>
    <n v="7277.68"/>
    <n v="6280.31"/>
    <n v="7484.01"/>
    <n v="6882.65"/>
    <n v="6713.77"/>
    <n v="7053.56"/>
    <n v="84980.56"/>
    <n v="-339.78999999999996"/>
  </r>
  <r>
    <x v="6"/>
    <x v="0"/>
    <x v="0"/>
    <s v="4950102"/>
    <n v="713090"/>
    <s v="Benefits-Allocated Amounts"/>
    <s v="Respiratory Therapy"/>
    <x v="0"/>
    <m/>
    <n v="17446.02"/>
    <n v="15362.66"/>
    <n v="16002.59"/>
    <n v="16014.63"/>
    <n v="17256.46"/>
    <n v="17646.55"/>
    <n v="17733.689999999999"/>
    <n v="16523.11"/>
    <n v="17605.34"/>
    <n v="17602.25"/>
    <n v="16525.77"/>
    <n v="17138.48"/>
    <n v="202857.55000000002"/>
    <n v="-612.70999999999913"/>
  </r>
  <r>
    <x v="17"/>
    <x v="0"/>
    <x v="0"/>
    <s v="4950102"/>
    <n v="714510"/>
    <s v="Medical Director Fees"/>
    <s v="Respiratory Therapy"/>
    <x v="0"/>
    <m/>
    <n v="896"/>
    <n v="980"/>
    <n v="980"/>
    <n v="980"/>
    <n v="980"/>
    <n v="980"/>
    <n v="980"/>
    <n v="980"/>
    <n v="980"/>
    <n v="0"/>
    <n v="1960"/>
    <n v="980"/>
    <n v="11676"/>
    <n v="980"/>
  </r>
  <r>
    <x v="17"/>
    <x v="0"/>
    <x v="0"/>
    <s v="4950102"/>
    <n v="714520"/>
    <s v="Other Contracted Professionals"/>
    <s v="Respiratory Therapy"/>
    <x v="0"/>
    <m/>
    <n v="0"/>
    <n v="15"/>
    <n v="30"/>
    <n v="45"/>
    <n v="0"/>
    <n v="0"/>
    <n v="75"/>
    <n v="30"/>
    <n v="15"/>
    <n v="0"/>
    <n v="60"/>
    <n v="45"/>
    <n v="315"/>
    <n v="15"/>
  </r>
  <r>
    <x v="7"/>
    <x v="0"/>
    <x v="0"/>
    <s v="4950102"/>
    <n v="718050"/>
    <s v="Translation Services"/>
    <s v="Respiratory Therapy"/>
    <x v="0"/>
    <n v="1025"/>
    <n v="56"/>
    <n v="32"/>
    <n v="0"/>
    <n v="0"/>
    <n v="1477.75"/>
    <n v="0"/>
    <n v="0"/>
    <n v="0"/>
    <n v="0"/>
    <n v="48"/>
    <n v="0"/>
    <n v="0"/>
    <n v="1613.75"/>
    <n v="0"/>
  </r>
  <r>
    <x v="7"/>
    <x v="0"/>
    <x v="0"/>
    <s v="4950102"/>
    <n v="718070"/>
    <s v="Contract Srvcs-CHI Clinical Engineering"/>
    <s v="Respiratory Therapy"/>
    <x v="0"/>
    <m/>
    <n v="173.52"/>
    <n v="176.59"/>
    <n v="176.59"/>
    <n v="176.59"/>
    <n v="167.93"/>
    <n v="167.93"/>
    <n v="167.93"/>
    <n v="167.93"/>
    <n v="168.03"/>
    <n v="168.03"/>
    <n v="168.03"/>
    <n v="168.03"/>
    <n v="2047.13"/>
    <n v="0"/>
  </r>
  <r>
    <x v="11"/>
    <x v="0"/>
    <x v="0"/>
    <s v="4950102"/>
    <n v="721010"/>
    <s v="Supplies-Medical - Billable"/>
    <s v="Respiratory Therapy"/>
    <x v="0"/>
    <m/>
    <n v="9"/>
    <n v="186.45"/>
    <n v="0"/>
    <n v="0"/>
    <n v="0"/>
    <n v="13.85"/>
    <n v="2.59"/>
    <n v="8.82"/>
    <n v="0"/>
    <n v="0"/>
    <n v="4.41"/>
    <n v="0"/>
    <n v="225.11999999999998"/>
    <n v="4.41"/>
  </r>
  <r>
    <x v="11"/>
    <x v="0"/>
    <x v="0"/>
    <s v="4950102"/>
    <n v="721010"/>
    <s v="Patient Monitoring"/>
    <s v="Respiratory Therapy"/>
    <x v="0"/>
    <n v="1000"/>
    <n v="61.08"/>
    <n v="235.04"/>
    <n v="160.03"/>
    <n v="104.47"/>
    <n v="21.53"/>
    <n v="1039.31"/>
    <n v="1145.76"/>
    <n v="152.9"/>
    <n v="181.04"/>
    <n v="125.02"/>
    <n v="447.72"/>
    <n v="724.49"/>
    <n v="4398.3900000000003"/>
    <n v="-276.77"/>
  </r>
  <r>
    <x v="11"/>
    <x v="0"/>
    <x v="0"/>
    <s v="4950102"/>
    <n v="721020"/>
    <s v="Supplies-Surgical - Billable"/>
    <s v="Respiratory Therapy"/>
    <x v="0"/>
    <m/>
    <n v="0"/>
    <n v="159.5"/>
    <n v="0"/>
    <n v="0"/>
    <n v="0"/>
    <n v="0"/>
    <n v="159.5"/>
    <n v="0"/>
    <n v="0"/>
    <n v="301.24"/>
    <n v="0"/>
    <n v="159.5"/>
    <n v="779.74"/>
    <n v="-159.5"/>
  </r>
  <r>
    <x v="11"/>
    <x v="0"/>
    <x v="0"/>
    <s v="4950102"/>
    <n v="721020"/>
    <s v="Tubes Drains &amp; Related Supplies"/>
    <s v="Respiratory Therapy"/>
    <x v="0"/>
    <n v="1008"/>
    <n v="231.85"/>
    <n v="203.26"/>
    <n v="53.71"/>
    <n v="143.26"/>
    <n v="192.32"/>
    <n v="50.33"/>
    <n v="-3.32"/>
    <n v="147.69"/>
    <n v="230.98"/>
    <n v="134.53"/>
    <n v="138.94999999999999"/>
    <n v="153.18"/>
    <n v="1676.74"/>
    <n v="-14.230000000000018"/>
  </r>
  <r>
    <x v="11"/>
    <x v="0"/>
    <x v="0"/>
    <s v="4950102"/>
    <n v="721150"/>
    <s v="Supplies-Other Implants - Billable"/>
    <s v="Respiratory Therapy"/>
    <x v="0"/>
    <m/>
    <n v="0"/>
    <n v="93.16"/>
    <n v="0"/>
    <n v="0"/>
    <n v="0"/>
    <n v="0"/>
    <n v="0"/>
    <n v="0"/>
    <n v="0"/>
    <n v="0"/>
    <n v="0"/>
    <n v="0"/>
    <n v="93.16"/>
    <n v="0"/>
  </r>
  <r>
    <x v="11"/>
    <x v="0"/>
    <x v="0"/>
    <s v="4950102"/>
    <n v="721220"/>
    <s v="Supplies-Medical Gases - Billable"/>
    <s v="Respiratory Therapy"/>
    <x v="0"/>
    <m/>
    <n v="5052.2"/>
    <n v="1822.92"/>
    <n v="4612.7700000000004"/>
    <n v="1821.57"/>
    <n v="4130.51"/>
    <n v="1925.77"/>
    <n v="4561.75"/>
    <n v="2410.84"/>
    <n v="4146.6899999999996"/>
    <n v="2774.56"/>
    <n v="683.31"/>
    <n v="1718.58"/>
    <n v="35661.47"/>
    <n v="-1035.27"/>
  </r>
  <r>
    <x v="11"/>
    <x v="0"/>
    <x v="0"/>
    <s v="4950102"/>
    <n v="721240"/>
    <s v="Supplies-IV Solutions/Supplies - Billable"/>
    <s v="Respiratory Therapy"/>
    <x v="0"/>
    <m/>
    <n v="83.37"/>
    <n v="87.19"/>
    <n v="103.87"/>
    <n v="124.85"/>
    <n v="81.489999999999995"/>
    <n v="117.08"/>
    <n v="132.69999999999999"/>
    <n v="109"/>
    <n v="133.36000000000001"/>
    <n v="114.12"/>
    <n v="92.31"/>
    <n v="38.46"/>
    <n v="1217.8"/>
    <n v="53.85"/>
  </r>
  <r>
    <x v="11"/>
    <x v="0"/>
    <x v="0"/>
    <s v="4950102"/>
    <n v="721250"/>
    <s v="Supplies-Pharmacy Drugs - Billable"/>
    <s v="Respiratory Therapy"/>
    <x v="0"/>
    <m/>
    <n v="0"/>
    <n v="0"/>
    <n v="0"/>
    <n v="0"/>
    <n v="0"/>
    <n v="0"/>
    <n v="0"/>
    <n v="0"/>
    <n v="0"/>
    <n v="55"/>
    <n v="0"/>
    <n v="0"/>
    <n v="55"/>
    <n v="0"/>
  </r>
  <r>
    <x v="11"/>
    <x v="0"/>
    <x v="0"/>
    <s v="4950102"/>
    <n v="721410"/>
    <s v="Supplies-Medical - Nonbillable"/>
    <s v="Respiratory Therapy"/>
    <x v="0"/>
    <m/>
    <n v="1270.02"/>
    <n v="618.41"/>
    <n v="2816.9"/>
    <n v="1277.1500000000001"/>
    <n v="757.63"/>
    <n v="1335.61"/>
    <n v="1428.29"/>
    <n v="1157.5999999999999"/>
    <n v="6196.59"/>
    <n v="8846.39"/>
    <n v="2612.7199999999998"/>
    <n v="608.66"/>
    <n v="28925.969999999998"/>
    <n v="2004.06"/>
  </r>
  <r>
    <x v="11"/>
    <x v="0"/>
    <x v="0"/>
    <s v="4950102"/>
    <n v="721410"/>
    <s v="Patient Monitoring"/>
    <s v="Respiratory Therapy"/>
    <x v="0"/>
    <n v="1000"/>
    <n v="74.08"/>
    <n v="322.08"/>
    <n v="124.31"/>
    <n v="72.28"/>
    <n v="303.39"/>
    <n v="127.96"/>
    <n v="550.91"/>
    <n v="25.79"/>
    <n v="80.25"/>
    <n v="80.25"/>
    <n v="319.01"/>
    <n v="512.5"/>
    <n v="2592.8099999999995"/>
    <n v="-193.49"/>
  </r>
  <r>
    <x v="11"/>
    <x v="0"/>
    <x v="0"/>
    <s v="4950102"/>
    <n v="721420"/>
    <s v="Supplies-Surgical Nonbillable"/>
    <s v="Respiratory Therapy"/>
    <x v="0"/>
    <m/>
    <n v="62.72"/>
    <n v="235.2"/>
    <n v="183.09"/>
    <n v="169.97"/>
    <n v="125.44"/>
    <n v="141.12"/>
    <n v="232.69"/>
    <n v="109.76"/>
    <n v="0"/>
    <n v="183.09"/>
    <n v="352.1"/>
    <n v="0"/>
    <n v="1795.1799999999998"/>
    <n v="352.1"/>
  </r>
  <r>
    <x v="11"/>
    <x v="0"/>
    <x v="0"/>
    <s v="4950102"/>
    <n v="721420"/>
    <s v="Tubes Drains &amp; Related Supplies"/>
    <s v="Respiratory Therapy"/>
    <x v="0"/>
    <n v="1008"/>
    <n v="365.42"/>
    <n v="595.08000000000004"/>
    <n v="247.24"/>
    <n v="546.41999999999996"/>
    <n v="317.43"/>
    <n v="483.32"/>
    <n v="37.340000000000003"/>
    <n v="426.09"/>
    <n v="446.16"/>
    <n v="270.5"/>
    <n v="653.6"/>
    <n v="267.38"/>
    <n v="4655.9800000000005"/>
    <n v="386.22"/>
  </r>
  <r>
    <x v="11"/>
    <x v="0"/>
    <x v="0"/>
    <s v="4950102"/>
    <n v="721420"/>
    <s v="Sterilization Process Products"/>
    <s v="Respiratory Therapy"/>
    <x v="0"/>
    <n v="1009"/>
    <n v="73.540000000000006"/>
    <n v="73.540000000000006"/>
    <n v="147.08000000000001"/>
    <n v="100.6"/>
    <n v="100.6"/>
    <n v="100.6"/>
    <n v="157.96"/>
    <n v="56.64"/>
    <n v="135.62"/>
    <n v="78.98"/>
    <n v="248.38"/>
    <n v="44.68"/>
    <n v="1318.22"/>
    <n v="203.7"/>
  </r>
  <r>
    <x v="11"/>
    <x v="0"/>
    <x v="0"/>
    <s v="4950102"/>
    <n v="721610"/>
    <s v="Supplies-Anesthesia - Nonbillable"/>
    <s v="Respiratory Therapy"/>
    <x v="0"/>
    <m/>
    <n v="6442.65"/>
    <n v="6091.92"/>
    <n v="3584.93"/>
    <n v="7570.97"/>
    <n v="4762.25"/>
    <n v="6553"/>
    <n v="6079.64"/>
    <n v="6192.33"/>
    <n v="9360.0499999999993"/>
    <n v="7129.78"/>
    <n v="6789.97"/>
    <n v="3184.07"/>
    <n v="73741.560000000012"/>
    <n v="3605.9"/>
  </r>
  <r>
    <x v="11"/>
    <x v="0"/>
    <x v="0"/>
    <s v="4950102"/>
    <n v="721640"/>
    <s v="Supplies-IV Solutions/Supplies - Nonbillable"/>
    <s v="Respiratory Therapy"/>
    <x v="0"/>
    <m/>
    <n v="0"/>
    <n v="0"/>
    <n v="0"/>
    <n v="0"/>
    <n v="0"/>
    <n v="0"/>
    <n v="0"/>
    <n v="0"/>
    <n v="0"/>
    <n v="0"/>
    <n v="0.44"/>
    <n v="0"/>
    <n v="0.44"/>
    <n v="0.44"/>
  </r>
  <r>
    <x v="11"/>
    <x v="0"/>
    <x v="0"/>
    <s v="4950102"/>
    <n v="721650"/>
    <s v="Supplies-Pharmacy Drugs - Nonbillable"/>
    <s v="Respiratory Therapy"/>
    <x v="0"/>
    <m/>
    <n v="0"/>
    <n v="60.9"/>
    <n v="0.05"/>
    <n v="0"/>
    <n v="0"/>
    <n v="1.45"/>
    <n v="0"/>
    <n v="0"/>
    <n v="0"/>
    <n v="67.7"/>
    <n v="0"/>
    <n v="0"/>
    <n v="130.1"/>
    <n v="0"/>
  </r>
  <r>
    <x v="11"/>
    <x v="0"/>
    <x v="0"/>
    <s v="4950102"/>
    <n v="721710"/>
    <s v="Supplies-Laboratory - Nonbillable"/>
    <s v="Respiratory Therapy"/>
    <x v="0"/>
    <m/>
    <n v="190.7"/>
    <n v="279.88"/>
    <n v="311.70999999999998"/>
    <n v="342.61"/>
    <n v="327.08999999999997"/>
    <n v="134.05000000000001"/>
    <n v="495.02"/>
    <n v="460.2"/>
    <n v="396.76"/>
    <n v="362.61"/>
    <n v="329.38"/>
    <n v="265.87"/>
    <n v="3895.8799999999997"/>
    <n v="63.509999999999991"/>
  </r>
  <r>
    <x v="11"/>
    <x v="0"/>
    <x v="0"/>
    <s v="4950102"/>
    <n v="721710"/>
    <s v="Reagents"/>
    <s v="Respiratory Therapy"/>
    <x v="0"/>
    <n v="1000"/>
    <n v="1260.0999999999999"/>
    <n v="1179.2"/>
    <n v="2861.65"/>
    <n v="2144"/>
    <n v="643.20000000000005"/>
    <n v="1179.2"/>
    <n v="2791.5"/>
    <n v="6963.74"/>
    <n v="2245.6999999999998"/>
    <n v="2358.5"/>
    <n v="2073.3000000000002"/>
    <n v="2105.6799999999998"/>
    <n v="27805.77"/>
    <n v="-32.379999999999654"/>
  </r>
  <r>
    <x v="11"/>
    <x v="0"/>
    <x v="0"/>
    <s v="4950102"/>
    <n v="721810"/>
    <s v="Supplies-Dietary/Cafeteria"/>
    <s v="Respiratory Therapy"/>
    <x v="0"/>
    <m/>
    <n v="130.22999999999999"/>
    <n v="74.11"/>
    <n v="31.6"/>
    <n v="277.83"/>
    <n v="30.5"/>
    <n v="18"/>
    <n v="33"/>
    <n v="69.5"/>
    <n v="46.25"/>
    <n v="289.17"/>
    <n v="14.56"/>
    <n v="71.75"/>
    <n v="1086.5"/>
    <n v="-57.19"/>
  </r>
  <r>
    <x v="11"/>
    <x v="0"/>
    <x v="0"/>
    <s v="4950102"/>
    <n v="721830"/>
    <s v="Supplies-Office"/>
    <s v="Respiratory Therapy"/>
    <x v="0"/>
    <m/>
    <n v="28.6"/>
    <n v="259.7"/>
    <n v="245.34"/>
    <n v="28.6"/>
    <n v="153.47999999999999"/>
    <n v="-3.6"/>
    <n v="58.5"/>
    <n v="59.75"/>
    <n v="101.28"/>
    <n v="0"/>
    <n v="25"/>
    <n v="-2.5"/>
    <n v="954.15"/>
    <n v="27.5"/>
  </r>
  <r>
    <x v="11"/>
    <x v="0"/>
    <x v="0"/>
    <s v="4950102"/>
    <n v="721870"/>
    <s v="Supplies-Environmental Services"/>
    <s v="Respiratory Therapy"/>
    <x v="0"/>
    <m/>
    <n v="136.79"/>
    <n v="66.400000000000006"/>
    <n v="22.34"/>
    <n v="152.58000000000001"/>
    <n v="68.39"/>
    <n v="169.04"/>
    <n v="79.72"/>
    <n v="22.45"/>
    <n v="60.29"/>
    <n v="167.58"/>
    <n v="180.38"/>
    <n v="43.4"/>
    <n v="1169.3600000000001"/>
    <n v="136.97999999999999"/>
  </r>
  <r>
    <x v="11"/>
    <x v="0"/>
    <x v="0"/>
    <s v="4950102"/>
    <n v="721910"/>
    <s v="Supplies-Small Equipment"/>
    <s v="Respiratory Therapy"/>
    <x v="0"/>
    <m/>
    <n v="0"/>
    <n v="165.64"/>
    <n v="364.86"/>
    <n v="1.54"/>
    <n v="86.06"/>
    <n v="129"/>
    <n v="1.36"/>
    <n v="297.57"/>
    <n v="94.84"/>
    <n v="1047.32"/>
    <n v="1017.5"/>
    <n v="-4.29"/>
    <n v="3201.3999999999996"/>
    <n v="1021.79"/>
  </r>
  <r>
    <x v="11"/>
    <x v="0"/>
    <x v="0"/>
    <s v="4950102"/>
    <n v="721910"/>
    <s v="Instruments"/>
    <s v="Respiratory Therapy"/>
    <x v="0"/>
    <n v="1000"/>
    <n v="7.22"/>
    <n v="0"/>
    <n v="7.88"/>
    <n v="18.7"/>
    <n v="49.99"/>
    <n v="0"/>
    <n v="14.42"/>
    <n v="23.63"/>
    <n v="3.61"/>
    <n v="15.09"/>
    <n v="0"/>
    <n v="0"/>
    <n v="140.54"/>
    <n v="0"/>
  </r>
  <r>
    <x v="11"/>
    <x v="0"/>
    <x v="0"/>
    <s v="4950102"/>
    <n v="721980"/>
    <s v="Supplies-Other"/>
    <s v="Respiratory Therapy"/>
    <x v="0"/>
    <m/>
    <n v="0"/>
    <n v="0"/>
    <n v="497.13"/>
    <n v="0"/>
    <n v="0"/>
    <n v="0"/>
    <n v="0"/>
    <n v="583.16"/>
    <n v="0"/>
    <n v="0"/>
    <n v="0.01"/>
    <n v="0"/>
    <n v="1080.3"/>
    <n v="0.01"/>
  </r>
  <r>
    <x v="11"/>
    <x v="0"/>
    <x v="0"/>
    <s v="4950102"/>
    <n v="722000"/>
    <s v="Supplies-Freight Expense"/>
    <s v="Respiratory Therapy"/>
    <x v="0"/>
    <m/>
    <n v="55.85"/>
    <n v="748.08"/>
    <n v="48.37"/>
    <n v="459.34"/>
    <n v="52.56"/>
    <n v="35"/>
    <n v="133.69999999999999"/>
    <n v="130.05000000000001"/>
    <n v="201.27"/>
    <n v="62.74"/>
    <n v="171.82"/>
    <n v="1472.86"/>
    <n v="3571.6400000000003"/>
    <n v="-1301.04"/>
  </r>
  <r>
    <x v="11"/>
    <x v="0"/>
    <x v="0"/>
    <s v="4950102"/>
    <n v="722000"/>
    <s v="Minimum Order Fees"/>
    <s v="Respiratory Therapy"/>
    <x v="0"/>
    <n v="1000"/>
    <n v="0"/>
    <n v="0"/>
    <n v="0"/>
    <n v="0"/>
    <n v="0"/>
    <n v="0"/>
    <n v="0"/>
    <n v="0"/>
    <n v="0"/>
    <n v="0"/>
    <n v="0"/>
    <n v="50"/>
    <n v="50"/>
    <n v="-50"/>
  </r>
  <r>
    <x v="11"/>
    <x v="0"/>
    <x v="0"/>
    <s v="4950102"/>
    <n v="723000"/>
    <s v="Supply Rebates/Patronage Dividend"/>
    <s v="Respiratory Therapy"/>
    <x v="0"/>
    <m/>
    <n v="0"/>
    <n v="0"/>
    <n v="0"/>
    <n v="0"/>
    <n v="0"/>
    <n v="0"/>
    <n v="0"/>
    <n v="0"/>
    <n v="0"/>
    <n v="0"/>
    <n v="0"/>
    <n v="-38.299999999999997"/>
    <n v="-38.299999999999997"/>
    <n v="38.299999999999997"/>
  </r>
  <r>
    <x v="12"/>
    <x v="0"/>
    <x v="0"/>
    <s v="4950102"/>
    <n v="730020"/>
    <s v="Rental and Leases-Equipment (DO NOT USE)"/>
    <s v="Respiratory Therapy"/>
    <x v="0"/>
    <m/>
    <n v="22.66"/>
    <n v="305.58999999999997"/>
    <n v="55.61"/>
    <n v="55.61"/>
    <n v="55.61"/>
    <n v="22.66"/>
    <n v="88.56"/>
    <n v="55.61"/>
    <n v="55.61"/>
    <n v="22.66"/>
    <n v="22.66"/>
    <n v="22.66"/>
    <n v="785.49999999999989"/>
    <n v="0"/>
  </r>
  <r>
    <x v="12"/>
    <x v="0"/>
    <x v="0"/>
    <s v="4950102"/>
    <n v="730020"/>
    <s v="Rental and Leases-Copier Usage Fees (DO NOT USE)"/>
    <s v="Respiratory Therapy"/>
    <x v="0"/>
    <n v="5100"/>
    <n v="247.33"/>
    <n v="255.5"/>
    <n v="251.41"/>
    <n v="251.41"/>
    <n v="251.41"/>
    <n v="251.41"/>
    <n v="-188.5"/>
    <n v="187.78"/>
    <n v="187.38"/>
    <n v="298.64"/>
    <n v="187.78"/>
    <n v="239.04"/>
    <n v="2420.59"/>
    <n v="-51.259999999999991"/>
  </r>
  <r>
    <x v="15"/>
    <x v="0"/>
    <x v="0"/>
    <s v="4950102"/>
    <n v="731060"/>
    <s v="Pagers"/>
    <s v="Respiratory Therapy"/>
    <x v="0"/>
    <n v="1002"/>
    <n v="32.4"/>
    <n v="32.39"/>
    <n v="32.4"/>
    <n v="32.479999999999997"/>
    <n v="32.479999999999997"/>
    <n v="0"/>
    <n v="64.959999999999994"/>
    <n v="32.479999999999997"/>
    <n v="32.479999999999997"/>
    <n v="32.479999999999997"/>
    <n v="32.479999999999997"/>
    <n v="32.479999999999997"/>
    <n v="389.51000000000005"/>
    <n v="0"/>
  </r>
  <r>
    <x v="16"/>
    <x v="0"/>
    <x v="0"/>
    <s v="4950102"/>
    <n v="732020"/>
    <s v="Repairs--Clin Equip-Parts-Internal to CHI Programs"/>
    <s v="Respiratory Therapy"/>
    <x v="0"/>
    <m/>
    <n v="-59.94"/>
    <n v="141.79"/>
    <n v="0"/>
    <n v="9.4499999999999993"/>
    <n v="0"/>
    <n v="141.79"/>
    <n v="0"/>
    <n v="0"/>
    <n v="268.56"/>
    <n v="15.75"/>
    <n v="-0.61"/>
    <n v="148.09"/>
    <n v="664.88"/>
    <n v="-148.70000000000002"/>
  </r>
  <r>
    <x v="16"/>
    <x v="0"/>
    <x v="0"/>
    <s v="4950102"/>
    <n v="732030"/>
    <s v="Repairs---Other"/>
    <s v="Respiratory Therapy"/>
    <x v="0"/>
    <m/>
    <n v="0"/>
    <n v="0"/>
    <n v="0"/>
    <n v="0"/>
    <n v="0"/>
    <n v="5031.58"/>
    <n v="0"/>
    <n v="0"/>
    <n v="0"/>
    <n v="0"/>
    <n v="0"/>
    <n v="0"/>
    <n v="5031.58"/>
    <n v="0"/>
  </r>
  <r>
    <x v="13"/>
    <x v="0"/>
    <x v="0"/>
    <s v="4950102"/>
    <n v="735070"/>
    <s v="Depreciation-Movable Equipment"/>
    <s v="Respiratory Therapy"/>
    <x v="0"/>
    <m/>
    <n v="1044.47"/>
    <n v="1044.47"/>
    <n v="1044.47"/>
    <n v="1044.47"/>
    <n v="1044.47"/>
    <n v="1044.44"/>
    <n v="1044.47"/>
    <n v="1044.43"/>
    <n v="1044.47"/>
    <n v="1044.43"/>
    <n v="1044.47"/>
    <n v="1044.43"/>
    <n v="12533.49"/>
    <n v="3.999999999996362E-2"/>
  </r>
  <r>
    <x v="0"/>
    <x v="0"/>
    <x v="0"/>
    <s v="4950102"/>
    <n v="740020"/>
    <s v="Education-Registration Fees"/>
    <s v="Respiratory Therapy"/>
    <x v="0"/>
    <m/>
    <n v="350"/>
    <n v="435"/>
    <n v="1695"/>
    <n v="475"/>
    <n v="0"/>
    <n v="0"/>
    <n v="220"/>
    <n v="0"/>
    <n v="0"/>
    <n v="0"/>
    <n v="0"/>
    <n v="175"/>
    <n v="3350"/>
    <n v="-175"/>
  </r>
  <r>
    <x v="0"/>
    <x v="0"/>
    <x v="0"/>
    <s v="4950102"/>
    <n v="742040"/>
    <s v="Freight-Other"/>
    <s v="Respiratory Therapy"/>
    <x v="0"/>
    <m/>
    <n v="0"/>
    <n v="0"/>
    <n v="0"/>
    <n v="0"/>
    <n v="0"/>
    <n v="0"/>
    <n v="0"/>
    <n v="0"/>
    <n v="0"/>
    <n v="0"/>
    <n v="0"/>
    <n v="3.18"/>
    <n v="3.18"/>
    <n v="-3.18"/>
  </r>
  <r>
    <x v="0"/>
    <x v="0"/>
    <x v="0"/>
    <s v="4950102"/>
    <n v="743030"/>
    <s v="Subscriptions--Institutional"/>
    <s v="Respiratory Therapy"/>
    <x v="0"/>
    <m/>
    <n v="0"/>
    <n v="0"/>
    <n v="0"/>
    <n v="0"/>
    <n v="452"/>
    <n v="0"/>
    <n v="0"/>
    <n v="0"/>
    <n v="0"/>
    <n v="0"/>
    <n v="0"/>
    <n v="0"/>
    <n v="452"/>
    <n v="0"/>
  </r>
  <r>
    <x v="0"/>
    <x v="0"/>
    <x v="0"/>
    <s v="4950102"/>
    <n v="749510"/>
    <s v="Miscellaneous Expenses"/>
    <s v="Respiratory Therapy"/>
    <x v="0"/>
    <m/>
    <n v="0"/>
    <n v="0"/>
    <n v="0"/>
    <n v="411.66"/>
    <n v="212.02"/>
    <n v="0"/>
    <n v="0"/>
    <n v="0"/>
    <n v="0"/>
    <n v="0"/>
    <n v="0"/>
    <n v="66"/>
    <n v="689.68000000000006"/>
    <n v="-66"/>
  </r>
  <r>
    <x v="0"/>
    <x v="0"/>
    <x v="0"/>
    <s v="4950102"/>
    <n v="749510"/>
    <s v="RICE Rewards"/>
    <s v="Respiratory Therapy"/>
    <x v="0"/>
    <n v="5100"/>
    <n v="0"/>
    <n v="0"/>
    <n v="0"/>
    <n v="0"/>
    <n v="0"/>
    <n v="0"/>
    <n v="132.37"/>
    <n v="0"/>
    <n v="17.78"/>
    <n v="0"/>
    <n v="0"/>
    <n v="0"/>
    <n v="150.15"/>
    <n v="0"/>
  </r>
  <r>
    <x v="18"/>
    <x v="4"/>
    <x v="0"/>
    <s v="4950103"/>
    <n v="400010"/>
    <s v="Acute I/P Svcs Rev--Medicare"/>
    <s v="Respiratory Therapy"/>
    <x v="0"/>
    <n v="1100"/>
    <n v="-894628.68"/>
    <n v="-1208164.03"/>
    <n v="-1325308.95"/>
    <n v="-1414919.13"/>
    <n v="-1354127.28"/>
    <n v="-1648705.31"/>
    <n v="-1652664.73"/>
    <n v="-1420196.02"/>
    <n v="-1701207.33"/>
    <n v="-1619733.83"/>
    <n v="-1493907.87"/>
    <n v="-1216763.46"/>
    <n v="-16950326.620000001"/>
    <n v="-277144.41000000015"/>
  </r>
  <r>
    <x v="18"/>
    <x v="4"/>
    <x v="0"/>
    <s v="4950103"/>
    <n v="400010"/>
    <s v="Acute I/P Svcs Rev--Medicaid"/>
    <s v="Respiratory Therapy"/>
    <x v="0"/>
    <n v="1200"/>
    <n v="-351538.1"/>
    <n v="-298144.27"/>
    <n v="-448682.69"/>
    <n v="-391398.77"/>
    <n v="-270396"/>
    <n v="-638264.46"/>
    <n v="-484571.32"/>
    <n v="-793826.73"/>
    <n v="-627434.31999999995"/>
    <n v="-909854.13"/>
    <n v="-525981.32999999996"/>
    <n v="-388967.74"/>
    <n v="-6129059.8600000003"/>
    <n v="-137013.58999999997"/>
  </r>
  <r>
    <x v="18"/>
    <x v="4"/>
    <x v="0"/>
    <s v="4950103"/>
    <n v="400010"/>
    <s v="Acute I/P Svcs Rev--Comm Insurance"/>
    <s v="Respiratory Therapy"/>
    <x v="0"/>
    <n v="1300"/>
    <n v="-5580.4"/>
    <n v="-14182.68"/>
    <n v="951.68"/>
    <n v="-30548.98"/>
    <n v="-26012.400000000001"/>
    <n v="-17148.150000000001"/>
    <n v="-19168.53"/>
    <n v="-13487.27"/>
    <n v="8388.19"/>
    <n v="-48914.75"/>
    <n v="-39412.230000000003"/>
    <n v="-9056.6"/>
    <n v="-214172.12"/>
    <n v="-30355.630000000005"/>
  </r>
  <r>
    <x v="18"/>
    <x v="4"/>
    <x v="0"/>
    <s v="4950103"/>
    <n v="400010"/>
    <s v="Acute I/P Svcs Rev--BCBS Comm"/>
    <s v="Respiratory Therapy"/>
    <x v="0"/>
    <n v="1301"/>
    <n v="-7240.43"/>
    <n v="-5702.78"/>
    <n v="-19880.53"/>
    <n v="-61208.13"/>
    <n v="-7055.06"/>
    <n v="-3302.52"/>
    <n v="-24082.5"/>
    <n v="-34222.910000000003"/>
    <n v="-59987.18"/>
    <n v="-35374.51"/>
    <n v="-16161.29"/>
    <n v="-104043.16"/>
    <n v="-378261"/>
    <n v="87881.87"/>
  </r>
  <r>
    <x v="18"/>
    <x v="4"/>
    <x v="0"/>
    <s v="4950103"/>
    <n v="400010"/>
    <s v="Acute I/P Svcs Rev--Managed Care"/>
    <s v="Respiratory Therapy"/>
    <x v="0"/>
    <n v="1400"/>
    <n v="-125930.28"/>
    <n v="-75313.67"/>
    <n v="-95314.02"/>
    <n v="-137601.53"/>
    <n v="-51888.42"/>
    <n v="-50163.040000000001"/>
    <n v="-289529.90000000002"/>
    <n v="-254741.12"/>
    <n v="-92603.94"/>
    <n v="-38505.61"/>
    <n v="117563.06"/>
    <n v="-166388.79"/>
    <n v="-1260417.26"/>
    <n v="283951.84999999998"/>
  </r>
  <r>
    <x v="18"/>
    <x v="4"/>
    <x v="0"/>
    <s v="4950103"/>
    <n v="400010"/>
    <s v="Acute I/P Svcs Rev--Self Pay"/>
    <s v="Respiratory Therapy"/>
    <x v="0"/>
    <n v="1500"/>
    <n v="-66975.759999999995"/>
    <n v="-8840.7900000000009"/>
    <n v="-1449.86"/>
    <n v="-700.64"/>
    <n v="-12343.06"/>
    <n v="-14913.66"/>
    <n v="-7653.53"/>
    <n v="-23759.15"/>
    <n v="-42432.94"/>
    <n v="58433.26"/>
    <n v="-44756.87"/>
    <n v="35929.89"/>
    <n v="-129463.10999999997"/>
    <n v="-80686.760000000009"/>
  </r>
  <r>
    <x v="18"/>
    <x v="4"/>
    <x v="0"/>
    <s v="4950103"/>
    <n v="400010"/>
    <s v="Acute I/P Svcs Rev--Other"/>
    <s v="Respiratory Therapy"/>
    <x v="0"/>
    <n v="1700"/>
    <n v="-64494.84"/>
    <n v="-44346.51"/>
    <n v="-31995.94"/>
    <n v="-50019.53"/>
    <n v="-31994.25"/>
    <n v="-60041.48"/>
    <n v="-170723.96"/>
    <n v="-148317.22"/>
    <n v="-121808.8"/>
    <n v="-63460.84"/>
    <n v="-267596.49"/>
    <n v="-76979.399999999994"/>
    <n v="-1131779.2599999998"/>
    <n v="-190617.09"/>
  </r>
  <r>
    <x v="19"/>
    <x v="4"/>
    <x v="0"/>
    <s v="4950103"/>
    <n v="400020"/>
    <s v="O/P Care Svcs Rev--Medicare"/>
    <s v="Respiratory Therapy"/>
    <x v="0"/>
    <n v="1100"/>
    <n v="-202864.43"/>
    <n v="-224511.76"/>
    <n v="-184155.28"/>
    <n v="-209832.89"/>
    <n v="-185529.62"/>
    <n v="-175947.37"/>
    <n v="-240124.93"/>
    <n v="-231246.91"/>
    <n v="-227648.97"/>
    <n v="-185997.23"/>
    <n v="-227674.69"/>
    <n v="-181295.24"/>
    <n v="-2476829.3200000003"/>
    <n v="-46379.450000000012"/>
  </r>
  <r>
    <x v="19"/>
    <x v="4"/>
    <x v="0"/>
    <s v="4950103"/>
    <n v="400020"/>
    <s v="O/P Care Svcs Rev--Medicaid"/>
    <s v="Respiratory Therapy"/>
    <x v="0"/>
    <n v="1200"/>
    <n v="-167689.32"/>
    <n v="-187607.62"/>
    <n v="-178112.85"/>
    <n v="-232241.61"/>
    <n v="-181040.87"/>
    <n v="-141359.59"/>
    <n v="-209179.22"/>
    <n v="-119587.38"/>
    <n v="-147906.54"/>
    <n v="-157647.93"/>
    <n v="-168586.47"/>
    <n v="-141314.63"/>
    <n v="-2032274.0299999998"/>
    <n v="-27271.839999999997"/>
  </r>
  <r>
    <x v="19"/>
    <x v="4"/>
    <x v="0"/>
    <s v="4950103"/>
    <n v="400020"/>
    <s v="O/P Care Svcs Rev--Comm Insurance"/>
    <s v="Respiratory Therapy"/>
    <x v="0"/>
    <n v="1300"/>
    <n v="-11648.46"/>
    <n v="-6706.55"/>
    <n v="-4209.38"/>
    <n v="-7716"/>
    <n v="-10644.05"/>
    <n v="-4291.1899999999996"/>
    <n v="-5273.57"/>
    <n v="-9712.24"/>
    <n v="-8656.74"/>
    <n v="-6238.65"/>
    <n v="-12573.59"/>
    <n v="-11339.78"/>
    <n v="-99010.2"/>
    <n v="-1233.8099999999995"/>
  </r>
  <r>
    <x v="19"/>
    <x v="4"/>
    <x v="0"/>
    <s v="4950103"/>
    <n v="400020"/>
    <s v="O/P Care Svcs Rev--BCBS Comm"/>
    <s v="Respiratory Therapy"/>
    <x v="0"/>
    <n v="1301"/>
    <n v="-27492.84"/>
    <n v="-31333.35"/>
    <n v="-27274.54"/>
    <n v="-32372.78"/>
    <n v="-18109.2"/>
    <n v="-26965.1"/>
    <n v="-22934.12"/>
    <n v="-10169.82"/>
    <n v="-21550.65"/>
    <n v="-27859.94"/>
    <n v="-17823.560000000001"/>
    <n v="-15176.62"/>
    <n v="-279062.52"/>
    <n v="-2646.9400000000005"/>
  </r>
  <r>
    <x v="19"/>
    <x v="4"/>
    <x v="0"/>
    <s v="4950103"/>
    <n v="400020"/>
    <s v="O/P Care Svcs Rev--Managed Care"/>
    <s v="Respiratory Therapy"/>
    <x v="0"/>
    <n v="1400"/>
    <n v="-67033.289999999994"/>
    <n v="-61362.83"/>
    <n v="-84662.36"/>
    <n v="-80608.83"/>
    <n v="-68967.89"/>
    <n v="-76114.94"/>
    <n v="-72596.27"/>
    <n v="-81501.62"/>
    <n v="-54368.06"/>
    <n v="-62991.37"/>
    <n v="-56245.82"/>
    <n v="-46583.22"/>
    <n v="-813036.5"/>
    <n v="-9662.5999999999985"/>
  </r>
  <r>
    <x v="19"/>
    <x v="4"/>
    <x v="0"/>
    <s v="4950103"/>
    <n v="400020"/>
    <s v="O/P Care Svcs Rev--Self Pay"/>
    <s v="Respiratory Therapy"/>
    <x v="0"/>
    <n v="1500"/>
    <n v="-16111.17"/>
    <n v="-29596.09"/>
    <n v="-24448.94"/>
    <n v="-20008.93"/>
    <n v="-22277.81"/>
    <n v="-23697.95"/>
    <n v="-17360.400000000001"/>
    <n v="-16473.96"/>
    <n v="-21415.09"/>
    <n v="-19903.439999999999"/>
    <n v="-19125"/>
    <n v="-15504.23"/>
    <n v="-245923.01"/>
    <n v="-3620.7700000000004"/>
  </r>
  <r>
    <x v="19"/>
    <x v="4"/>
    <x v="0"/>
    <s v="4950103"/>
    <n v="400020"/>
    <s v="O/P Care Svcs Rev--Other"/>
    <s v="Respiratory Therapy"/>
    <x v="0"/>
    <n v="1700"/>
    <n v="-34516.5"/>
    <n v="-43778.03"/>
    <n v="-36091.17"/>
    <n v="-42672.19"/>
    <n v="-42773.22"/>
    <n v="-35189.480000000003"/>
    <n v="-33484.78"/>
    <n v="-36393.78"/>
    <n v="-60531.58"/>
    <n v="-29669.93"/>
    <n v="-35294.269999999997"/>
    <n v="-45201.8"/>
    <n v="-475596.73000000004"/>
    <n v="9907.5300000000061"/>
  </r>
  <r>
    <x v="5"/>
    <x v="4"/>
    <x v="0"/>
    <s v="4950103"/>
    <n v="700034"/>
    <s v="Salaries-Tech/Professional-Productive"/>
    <s v="Respiratory Therapy"/>
    <x v="0"/>
    <m/>
    <n v="69526.039999999994"/>
    <n v="71407.509999999995"/>
    <n v="75997.87"/>
    <n v="77119.899999999994"/>
    <n v="74317.899999999994"/>
    <n v="80920.84"/>
    <n v="87647.52"/>
    <n v="90235.71"/>
    <n v="82991"/>
    <n v="96796.65"/>
    <n v="73414.83"/>
    <n v="75763.839999999997"/>
    <n v="956139.60999999987"/>
    <n v="-2349.0099999999948"/>
  </r>
  <r>
    <x v="5"/>
    <x v="4"/>
    <x v="0"/>
    <s v="4950103"/>
    <n v="700034"/>
    <s v="Salaries-Tech/Professional-OT"/>
    <s v="Respiratory Therapy"/>
    <x v="0"/>
    <n v="1000"/>
    <n v="2010.61"/>
    <n v="965.43"/>
    <n v="1441.38"/>
    <n v="2721.27"/>
    <n v="357.84"/>
    <n v="2933.98"/>
    <n v="1506.1"/>
    <n v="2402.89"/>
    <n v="743.83"/>
    <n v="2397.94"/>
    <n v="2213.52"/>
    <n v="302.18"/>
    <n v="19996.97"/>
    <n v="1911.34"/>
  </r>
  <r>
    <x v="5"/>
    <x v="4"/>
    <x v="0"/>
    <s v="4950103"/>
    <n v="700034"/>
    <s v="Salaries-Tech/Professional-Other"/>
    <s v="Respiratory Therapy"/>
    <x v="0"/>
    <n v="2000"/>
    <n v="6433.65"/>
    <n v="6397.79"/>
    <n v="6190.37"/>
    <n v="6534.11"/>
    <n v="7315.33"/>
    <n v="6754.07"/>
    <n v="7332.61"/>
    <n v="8026.34"/>
    <n v="8597.2099999999991"/>
    <n v="7357.75"/>
    <n v="7271.81"/>
    <n v="7659.45"/>
    <n v="85870.49"/>
    <n v="-387.63999999999942"/>
  </r>
  <r>
    <x v="5"/>
    <x v="4"/>
    <x v="0"/>
    <s v="4950103"/>
    <n v="700054"/>
    <s v="Salaries-Management-NonProd-Other"/>
    <s v="Respiratory Therapy"/>
    <x v="0"/>
    <n v="2000"/>
    <n v="0"/>
    <n v="0"/>
    <n v="0"/>
    <n v="0"/>
    <n v="0"/>
    <n v="299.7"/>
    <n v="-299.7"/>
    <n v="0"/>
    <n v="0"/>
    <n v="0"/>
    <n v="0"/>
    <n v="0"/>
    <n v="0"/>
    <n v="0"/>
  </r>
  <r>
    <x v="5"/>
    <x v="4"/>
    <x v="0"/>
    <s v="4950103"/>
    <n v="700074"/>
    <s v="Salaries-Tech/Professional-Non-productive"/>
    <s v="Respiratory Therapy"/>
    <x v="0"/>
    <m/>
    <n v="20485.060000000001"/>
    <n v="13253.93"/>
    <n v="5136.09"/>
    <n v="10271.379999999999"/>
    <n v="11539.81"/>
    <n v="11053.17"/>
    <n v="8220.33"/>
    <n v="15223.01"/>
    <n v="9134.82"/>
    <n v="7123.66"/>
    <n v="8620.93"/>
    <n v="15852.72"/>
    <n v="135914.91"/>
    <n v="-7231.7899999999991"/>
  </r>
  <r>
    <x v="5"/>
    <x v="4"/>
    <x v="0"/>
    <s v="4950103"/>
    <n v="700074"/>
    <s v="Salaries-Tech/Professional-NonProd-Other"/>
    <s v="Respiratory Therapy"/>
    <x v="0"/>
    <n v="2000"/>
    <n v="427.84"/>
    <n v="106.24"/>
    <n v="348.45"/>
    <n v="305.77999999999997"/>
    <n v="1452.09"/>
    <n v="1269.7"/>
    <n v="243.3"/>
    <n v="-1247.1500000000001"/>
    <n v="280.99"/>
    <n v="296.2"/>
    <n v="52.33"/>
    <n v="300.45999999999998"/>
    <n v="3836.2299999999996"/>
    <n v="-248.13"/>
  </r>
  <r>
    <x v="5"/>
    <x v="4"/>
    <x v="0"/>
    <s v="4950103"/>
    <n v="700084"/>
    <s v="Accrued PTO"/>
    <s v="Respiratory Therapy"/>
    <x v="0"/>
    <m/>
    <n v="-2468.2199999999998"/>
    <n v="-3312.86"/>
    <n v="2711.34"/>
    <n v="2165.12"/>
    <n v="728.72"/>
    <n v="296.79000000000002"/>
    <n v="3081.69"/>
    <n v="-53.16"/>
    <n v="-851.45"/>
    <n v="3120.99"/>
    <n v="3758"/>
    <n v="-3316.74"/>
    <n v="5860.2199999999993"/>
    <n v="7074.74"/>
  </r>
  <r>
    <x v="6"/>
    <x v="4"/>
    <x v="0"/>
    <s v="4950103"/>
    <n v="713010"/>
    <s v="Benefits-FICA/Medicare"/>
    <s v="Respiratory Therapy"/>
    <x v="0"/>
    <m/>
    <n v="7384.93"/>
    <n v="6888.65"/>
    <n v="6623.57"/>
    <n v="7239.31"/>
    <n v="7345.23"/>
    <n v="7615.05"/>
    <n v="7807.54"/>
    <n v="8713.61"/>
    <n v="7547.77"/>
    <n v="8464.44"/>
    <n v="6818.69"/>
    <n v="7430.98"/>
    <n v="89879.77"/>
    <n v="-612.29"/>
  </r>
  <r>
    <x v="6"/>
    <x v="4"/>
    <x v="0"/>
    <s v="4950103"/>
    <n v="713090"/>
    <s v="Benefits-Allocated Amounts"/>
    <s v="Respiratory Therapy"/>
    <x v="0"/>
    <m/>
    <n v="17481.419999999998"/>
    <n v="14033.76"/>
    <n v="15333.17"/>
    <n v="15723.07"/>
    <n v="16386.849999999999"/>
    <n v="16585.150000000001"/>
    <n v="18465.11"/>
    <n v="20685.66"/>
    <n v="17184.79"/>
    <n v="21131.78"/>
    <n v="16937.25"/>
    <n v="18279.95"/>
    <n v="208227.96"/>
    <n v="-1342.7000000000007"/>
  </r>
  <r>
    <x v="17"/>
    <x v="4"/>
    <x v="0"/>
    <s v="4950103"/>
    <n v="714510"/>
    <s v="Medical Director Fees"/>
    <s v="Respiratory Therapy"/>
    <x v="0"/>
    <m/>
    <n v="851.2"/>
    <n v="931"/>
    <n v="931"/>
    <n v="931"/>
    <n v="931"/>
    <n v="931"/>
    <n v="931"/>
    <n v="931"/>
    <n v="931"/>
    <n v="0"/>
    <n v="1862"/>
    <n v="931"/>
    <n v="11092.2"/>
    <n v="931"/>
  </r>
  <r>
    <x v="7"/>
    <x v="4"/>
    <x v="0"/>
    <s v="4950103"/>
    <n v="718050"/>
    <s v="Document Shredding/Storage"/>
    <s v="Respiratory Therapy"/>
    <x v="0"/>
    <n v="1012"/>
    <n v="2.92"/>
    <n v="3.01"/>
    <n v="2.75"/>
    <n v="2.85"/>
    <n v="2.95"/>
    <n v="2.95"/>
    <n v="2.92"/>
    <n v="2.5"/>
    <n v="2.59"/>
    <n v="3.4"/>
    <n v="2.85"/>
    <n v="2.95"/>
    <n v="34.64"/>
    <n v="-0.10000000000000009"/>
  </r>
  <r>
    <x v="7"/>
    <x v="4"/>
    <x v="0"/>
    <s v="4950103"/>
    <n v="718070"/>
    <s v="Contract Srvcs-CHI Clinical Engineering"/>
    <s v="Respiratory Therapy"/>
    <x v="0"/>
    <m/>
    <n v="328.58"/>
    <n v="334.9"/>
    <n v="334.9"/>
    <n v="334.9"/>
    <n v="326.7"/>
    <n v="326.7"/>
    <n v="326.7"/>
    <n v="326.7"/>
    <n v="326.92"/>
    <n v="326.92"/>
    <n v="326.92"/>
    <n v="326.92"/>
    <n v="3947.76"/>
    <n v="0"/>
  </r>
  <r>
    <x v="11"/>
    <x v="4"/>
    <x v="0"/>
    <s v="4950103"/>
    <n v="721010"/>
    <s v="Supplies-Medical - Billable"/>
    <s v="Respiratory Therapy"/>
    <x v="0"/>
    <m/>
    <n v="0"/>
    <n v="0"/>
    <n v="3.75"/>
    <n v="0"/>
    <n v="0"/>
    <n v="0"/>
    <n v="0"/>
    <n v="0"/>
    <n v="0"/>
    <n v="0"/>
    <n v="0"/>
    <n v="0"/>
    <n v="3.75"/>
    <n v="0"/>
  </r>
  <r>
    <x v="11"/>
    <x v="4"/>
    <x v="0"/>
    <s v="4950103"/>
    <n v="721010"/>
    <s v="Patient Monitoring"/>
    <s v="Respiratory Therapy"/>
    <x v="0"/>
    <n v="1000"/>
    <n v="79.959999999999994"/>
    <n v="67.59"/>
    <n v="140.26"/>
    <n v="108.72"/>
    <n v="60.31"/>
    <n v="154.51"/>
    <n v="192.8"/>
    <n v="88.08"/>
    <n v="140.88999999999999"/>
    <n v="147.47999999999999"/>
    <n v="136.28"/>
    <n v="76.42"/>
    <n v="1393.3"/>
    <n v="59.86"/>
  </r>
  <r>
    <x v="11"/>
    <x v="4"/>
    <x v="0"/>
    <s v="4950103"/>
    <n v="721020"/>
    <s v="Supplies-Surgical - Billable"/>
    <s v="Respiratory Therapy"/>
    <x v="0"/>
    <m/>
    <n v="0"/>
    <n v="973.72"/>
    <n v="0"/>
    <n v="47.66"/>
    <n v="53.39"/>
    <n v="68.64"/>
    <n v="57.2"/>
    <n v="0"/>
    <n v="0"/>
    <n v="0"/>
    <n v="0"/>
    <n v="68.64"/>
    <n v="1269.2500000000002"/>
    <n v="-68.64"/>
  </r>
  <r>
    <x v="11"/>
    <x v="4"/>
    <x v="0"/>
    <s v="4950103"/>
    <n v="721020"/>
    <s v="Endomechanical Supplies &amp; Instruments"/>
    <s v="Respiratory Therapy"/>
    <x v="0"/>
    <n v="1003"/>
    <n v="0"/>
    <n v="340.31"/>
    <n v="0"/>
    <n v="0"/>
    <n v="0"/>
    <n v="0"/>
    <n v="0"/>
    <n v="0"/>
    <n v="0"/>
    <n v="0"/>
    <n v="0"/>
    <n v="0"/>
    <n v="340.31"/>
    <n v="0"/>
  </r>
  <r>
    <x v="11"/>
    <x v="4"/>
    <x v="0"/>
    <s v="4950103"/>
    <n v="721020"/>
    <s v="Tubes Drains &amp; Related Supplies"/>
    <s v="Respiratory Therapy"/>
    <x v="0"/>
    <n v="1008"/>
    <n v="198.03"/>
    <n v="44.61"/>
    <n v="86.25"/>
    <n v="0"/>
    <n v="0"/>
    <n v="88.46"/>
    <n v="174.21"/>
    <n v="167.31"/>
    <n v="72.5"/>
    <n v="339.69"/>
    <n v="322.91000000000003"/>
    <n v="82.23"/>
    <n v="1576.2"/>
    <n v="240.68"/>
  </r>
  <r>
    <x v="11"/>
    <x v="4"/>
    <x v="0"/>
    <s v="4950103"/>
    <n v="721150"/>
    <s v="Supplies-Other Implants - Billable"/>
    <s v="Respiratory Therapy"/>
    <x v="0"/>
    <m/>
    <n v="0"/>
    <n v="0"/>
    <n v="0"/>
    <n v="0"/>
    <n v="0"/>
    <n v="0"/>
    <n v="0"/>
    <n v="0"/>
    <n v="0"/>
    <n v="0"/>
    <n v="69.87"/>
    <n v="0"/>
    <n v="69.87"/>
    <n v="69.87"/>
  </r>
  <r>
    <x v="11"/>
    <x v="4"/>
    <x v="0"/>
    <s v="4950103"/>
    <n v="721220"/>
    <s v="Supplies-Medical Gases - Billable"/>
    <s v="Respiratory Therapy"/>
    <x v="0"/>
    <m/>
    <n v="3466.54"/>
    <n v="2428.38"/>
    <n v="3549.78"/>
    <n v="148.09"/>
    <n v="4203.04"/>
    <n v="22"/>
    <n v="5104.58"/>
    <n v="3919.62"/>
    <n v="4310.08"/>
    <n v="2442.6799999999998"/>
    <n v="905.3"/>
    <n v="950.02"/>
    <n v="31450.11"/>
    <n v="-44.720000000000027"/>
  </r>
  <r>
    <x v="11"/>
    <x v="4"/>
    <x v="0"/>
    <s v="4950103"/>
    <n v="721240"/>
    <s v="Supplies-IV Solutions/Supplies - Billable"/>
    <s v="Respiratory Therapy"/>
    <x v="0"/>
    <m/>
    <n v="127.77"/>
    <n v="104.86"/>
    <n v="154.56"/>
    <n v="303.47000000000003"/>
    <n v="239.9"/>
    <n v="631.16999999999996"/>
    <n v="584.76"/>
    <n v="254.55"/>
    <n v="224.61"/>
    <n v="249.71"/>
    <n v="227.4"/>
    <n v="268.44"/>
    <n v="3371.2000000000003"/>
    <n v="-41.039999999999992"/>
  </r>
  <r>
    <x v="11"/>
    <x v="4"/>
    <x v="0"/>
    <s v="4950103"/>
    <n v="721410"/>
    <s v="Supplies-Medical - Nonbillable"/>
    <s v="Respiratory Therapy"/>
    <x v="0"/>
    <m/>
    <n v="6744.94"/>
    <n v="309.38"/>
    <n v="513.17999999999995"/>
    <n v="1412.19"/>
    <n v="318.22000000000003"/>
    <n v="521.66"/>
    <n v="1629.36"/>
    <n v="745.26"/>
    <n v="6048.33"/>
    <n v="-1377.7"/>
    <n v="377.06"/>
    <n v="543.70000000000005"/>
    <n v="17785.580000000002"/>
    <n v="-166.64000000000004"/>
  </r>
  <r>
    <x v="11"/>
    <x v="4"/>
    <x v="0"/>
    <s v="4950103"/>
    <n v="721410"/>
    <s v="Patient Monitoring"/>
    <s v="Respiratory Therapy"/>
    <x v="0"/>
    <n v="1000"/>
    <n v="0"/>
    <n v="7.5"/>
    <n v="0"/>
    <n v="57.64"/>
    <n v="682.79"/>
    <n v="101.31"/>
    <n v="-14.27"/>
    <n v="0"/>
    <n v="158.37"/>
    <n v="-14.27"/>
    <n v="0"/>
    <n v="0"/>
    <n v="979.07"/>
    <n v="0"/>
  </r>
  <r>
    <x v="11"/>
    <x v="4"/>
    <x v="0"/>
    <s v="4950103"/>
    <n v="721420"/>
    <s v="Supplies-Surgical Nonbillable"/>
    <s v="Respiratory Therapy"/>
    <x v="0"/>
    <m/>
    <n v="0"/>
    <n v="182.93"/>
    <n v="0"/>
    <n v="0"/>
    <n v="0"/>
    <n v="0"/>
    <n v="0"/>
    <n v="166.45"/>
    <n v="0"/>
    <n v="111.22"/>
    <n v="19.5"/>
    <n v="39"/>
    <n v="519.1"/>
    <n v="-19.5"/>
  </r>
  <r>
    <x v="11"/>
    <x v="4"/>
    <x v="0"/>
    <s v="4950103"/>
    <n v="721420"/>
    <s v="Tubes Drains &amp; Related Supplies"/>
    <s v="Respiratory Therapy"/>
    <x v="0"/>
    <n v="1008"/>
    <n v="248.37"/>
    <n v="272.48"/>
    <n v="313.63"/>
    <n v="483.13"/>
    <n v="340.19"/>
    <n v="317.68"/>
    <n v="299.52"/>
    <n v="559.09"/>
    <n v="459.79"/>
    <n v="478.29"/>
    <n v="363.37"/>
    <n v="305.44"/>
    <n v="4440.9799999999996"/>
    <n v="57.930000000000007"/>
  </r>
  <r>
    <x v="11"/>
    <x v="4"/>
    <x v="0"/>
    <s v="4950103"/>
    <n v="721420"/>
    <s v="Sterilization Process Products"/>
    <s v="Respiratory Therapy"/>
    <x v="0"/>
    <n v="1009"/>
    <n v="146.94"/>
    <n v="0"/>
    <n v="73.47"/>
    <n v="358.12"/>
    <n v="144.43"/>
    <n v="179.42"/>
    <n v="157.82"/>
    <n v="192.09"/>
    <n v="157.82"/>
    <n v="101.23"/>
    <n v="192.09"/>
    <n v="236.73"/>
    <n v="1940.1599999999999"/>
    <n v="-44.639999999999986"/>
  </r>
  <r>
    <x v="11"/>
    <x v="4"/>
    <x v="0"/>
    <s v="4950103"/>
    <n v="721610"/>
    <s v="Supplies-Anesthesia - Nonbillable"/>
    <s v="Respiratory Therapy"/>
    <x v="0"/>
    <m/>
    <n v="8118.83"/>
    <n v="10767.08"/>
    <n v="10215"/>
    <n v="11693.18"/>
    <n v="8084.7"/>
    <n v="16630.490000000002"/>
    <n v="14761.23"/>
    <n v="8368.5499999999993"/>
    <n v="12473.92"/>
    <n v="8522.99"/>
    <n v="11543.76"/>
    <n v="11130.98"/>
    <n v="132310.71"/>
    <n v="412.78000000000065"/>
  </r>
  <r>
    <x v="11"/>
    <x v="4"/>
    <x v="0"/>
    <s v="4950103"/>
    <n v="721650"/>
    <s v="Supplies-Pharmacy Drugs - Nonbillable"/>
    <s v="Respiratory Therapy"/>
    <x v="0"/>
    <m/>
    <n v="0"/>
    <n v="0"/>
    <n v="0"/>
    <n v="0"/>
    <n v="0"/>
    <n v="0"/>
    <n v="0"/>
    <n v="0"/>
    <n v="29.01"/>
    <n v="0"/>
    <n v="0"/>
    <n v="0"/>
    <n v="29.01"/>
    <n v="0"/>
  </r>
  <r>
    <x v="11"/>
    <x v="4"/>
    <x v="0"/>
    <s v="4950103"/>
    <n v="721710"/>
    <s v="Supplies-Laboratory - Nonbillable"/>
    <s v="Respiratory Therapy"/>
    <x v="0"/>
    <m/>
    <n v="66.53"/>
    <n v="62.72"/>
    <n v="112.31"/>
    <n v="104.15"/>
    <n v="80.38"/>
    <n v="113.93"/>
    <n v="137.22"/>
    <n v="104.34"/>
    <n v="105.1"/>
    <n v="176.22"/>
    <n v="79.25"/>
    <n v="133.54"/>
    <n v="1275.69"/>
    <n v="-54.289999999999992"/>
  </r>
  <r>
    <x v="11"/>
    <x v="4"/>
    <x v="0"/>
    <s v="4950103"/>
    <n v="721710"/>
    <s v="Reagents"/>
    <s v="Respiratory Therapy"/>
    <x v="0"/>
    <n v="1000"/>
    <n v="0"/>
    <n v="2237.96"/>
    <n v="2356.2600000000002"/>
    <n v="1902.05"/>
    <n v="1322.98"/>
    <n v="1767.19"/>
    <n v="3964.25"/>
    <n v="3650.22"/>
    <n v="2090.94"/>
    <n v="4820.03"/>
    <n v="2203.7199999999998"/>
    <n v="7556.01"/>
    <n v="33871.61"/>
    <n v="-5352.2900000000009"/>
  </r>
  <r>
    <x v="11"/>
    <x v="4"/>
    <x v="0"/>
    <s v="4950103"/>
    <n v="721810"/>
    <s v="Supplies-Dietary/Cafeteria"/>
    <s v="Respiratory Therapy"/>
    <x v="0"/>
    <m/>
    <n v="8"/>
    <n v="22.27"/>
    <n v="0"/>
    <n v="162.94"/>
    <n v="0"/>
    <n v="0"/>
    <n v="46.4"/>
    <n v="73.709999999999994"/>
    <n v="0"/>
    <n v="69.650000000000006"/>
    <n v="81.319999999999993"/>
    <n v="87"/>
    <n v="551.29"/>
    <n v="-5.6800000000000068"/>
  </r>
  <r>
    <x v="11"/>
    <x v="4"/>
    <x v="0"/>
    <s v="4950103"/>
    <n v="721830"/>
    <s v="Supplies-Office"/>
    <s v="Respiratory Therapy"/>
    <x v="0"/>
    <m/>
    <n v="28.57"/>
    <n v="-1.1000000000000001"/>
    <n v="151.18"/>
    <n v="128.91999999999999"/>
    <n v="249.35"/>
    <n v="304.37"/>
    <n v="243.78"/>
    <n v="25"/>
    <n v="656.49"/>
    <n v="174"/>
    <n v="25"/>
    <n v="-7.44"/>
    <n v="1978.12"/>
    <n v="32.44"/>
  </r>
  <r>
    <x v="11"/>
    <x v="4"/>
    <x v="0"/>
    <s v="4950103"/>
    <n v="721870"/>
    <s v="Supplies-Environmental Services"/>
    <s v="Respiratory Therapy"/>
    <x v="0"/>
    <m/>
    <n v="0"/>
    <n v="0"/>
    <n v="0"/>
    <n v="0"/>
    <n v="3.44"/>
    <n v="0"/>
    <n v="0"/>
    <n v="3.44"/>
    <n v="0"/>
    <n v="0"/>
    <n v="0"/>
    <n v="0"/>
    <n v="6.88"/>
    <n v="0"/>
  </r>
  <r>
    <x v="11"/>
    <x v="4"/>
    <x v="0"/>
    <s v="4950103"/>
    <n v="721910"/>
    <s v="Supplies-Small Equipment"/>
    <s v="Respiratory Therapy"/>
    <x v="0"/>
    <m/>
    <n v="764.48"/>
    <n v="329.7"/>
    <n v="706.77"/>
    <n v="837.37"/>
    <n v="-70.84"/>
    <n v="965.92"/>
    <n v="369.36"/>
    <n v="600.54"/>
    <n v="659.4"/>
    <n v="399.97"/>
    <n v="682.7"/>
    <n v="425.81"/>
    <n v="6671.18"/>
    <n v="256.89000000000004"/>
  </r>
  <r>
    <x v="11"/>
    <x v="4"/>
    <x v="0"/>
    <s v="4950103"/>
    <n v="721910"/>
    <s v="Instruments"/>
    <s v="Respiratory Therapy"/>
    <x v="0"/>
    <n v="1000"/>
    <n v="0"/>
    <n v="0"/>
    <n v="0"/>
    <n v="0"/>
    <n v="0"/>
    <n v="39.200000000000003"/>
    <n v="0"/>
    <n v="0"/>
    <n v="0"/>
    <n v="0"/>
    <n v="0"/>
    <n v="0"/>
    <n v="39.200000000000003"/>
    <n v="0"/>
  </r>
  <r>
    <x v="11"/>
    <x v="4"/>
    <x v="0"/>
    <s v="4950103"/>
    <n v="722000"/>
    <s v="Supplies-Freight Expense"/>
    <s v="Respiratory Therapy"/>
    <x v="0"/>
    <m/>
    <n v="23.24"/>
    <n v="398.15"/>
    <n v="32.020000000000003"/>
    <n v="474.76"/>
    <n v="9.4499999999999993"/>
    <n v="54.98"/>
    <n v="247.62"/>
    <n v="58.5"/>
    <n v="357.81"/>
    <n v="68.680000000000007"/>
    <n v="68.66"/>
    <n v="722.56"/>
    <n v="2516.4300000000003"/>
    <n v="-653.9"/>
  </r>
  <r>
    <x v="11"/>
    <x v="4"/>
    <x v="0"/>
    <s v="4950103"/>
    <n v="723000"/>
    <s v="Supply Rebates/Patronage Dividend"/>
    <s v="Respiratory Therapy"/>
    <x v="0"/>
    <m/>
    <n v="0"/>
    <n v="0"/>
    <n v="0"/>
    <n v="0"/>
    <n v="0"/>
    <n v="0"/>
    <n v="0"/>
    <n v="0"/>
    <n v="0"/>
    <n v="0"/>
    <n v="0"/>
    <n v="-21.17"/>
    <n v="-21.17"/>
    <n v="21.17"/>
  </r>
  <r>
    <x v="12"/>
    <x v="4"/>
    <x v="0"/>
    <s v="4950103"/>
    <n v="730020"/>
    <s v="Rental and Leases-Equipment (DO NOT USE)"/>
    <s v="Respiratory Therapy"/>
    <x v="0"/>
    <m/>
    <n v="0"/>
    <n v="302.01"/>
    <n v="915"/>
    <n v="-1602.41"/>
    <n v="173.04"/>
    <n v="11.32"/>
    <n v="11.32"/>
    <n v="278.19"/>
    <n v="11.34"/>
    <n v="-1286.46"/>
    <n v="11.35"/>
    <n v="0"/>
    <n v="-1175.3000000000002"/>
    <n v="11.35"/>
  </r>
  <r>
    <x v="15"/>
    <x v="4"/>
    <x v="0"/>
    <s v="4950103"/>
    <n v="731060"/>
    <s v="Cell Phones"/>
    <s v="Respiratory Therapy"/>
    <x v="0"/>
    <n v="1001"/>
    <n v="0"/>
    <n v="0"/>
    <n v="0"/>
    <n v="0"/>
    <n v="0"/>
    <n v="0"/>
    <n v="143.82"/>
    <n v="0"/>
    <n v="-47.86"/>
    <n v="102.6"/>
    <n v="51.33"/>
    <n v="52.05"/>
    <n v="301.94"/>
    <n v="-0.71999999999999886"/>
  </r>
  <r>
    <x v="15"/>
    <x v="4"/>
    <x v="0"/>
    <s v="4950103"/>
    <n v="731060"/>
    <s v="Pagers"/>
    <s v="Respiratory Therapy"/>
    <x v="0"/>
    <n v="1002"/>
    <n v="49.81"/>
    <n v="49.81"/>
    <n v="49.81"/>
    <n v="49.93"/>
    <n v="49.93"/>
    <n v="0"/>
    <n v="99.86"/>
    <n v="49.93"/>
    <n v="49.93"/>
    <n v="49.93"/>
    <n v="49.93"/>
    <n v="49.93"/>
    <n v="598.79999999999995"/>
    <n v="0"/>
  </r>
  <r>
    <x v="13"/>
    <x v="4"/>
    <x v="0"/>
    <s v="4950103"/>
    <n v="735070"/>
    <s v="Depreciation-Movable Equipment"/>
    <s v="Respiratory Therapy"/>
    <x v="0"/>
    <m/>
    <n v="1279.17"/>
    <n v="1279.17"/>
    <n v="1279.18"/>
    <n v="1279.1600000000001"/>
    <n v="1279.18"/>
    <n v="1279.1600000000001"/>
    <n v="1279.18"/>
    <n v="1279.1500000000001"/>
    <n v="1279.18"/>
    <n v="1279.1500000000001"/>
    <n v="1279.18"/>
    <n v="1279.1400000000001"/>
    <n v="15350"/>
    <n v="3.999999999996362E-2"/>
  </r>
  <r>
    <x v="0"/>
    <x v="4"/>
    <x v="0"/>
    <s v="4950103"/>
    <n v="740020"/>
    <s v="Education-Registration Fees"/>
    <s v="Respiratory Therapy"/>
    <x v="0"/>
    <m/>
    <n v="0"/>
    <n v="0"/>
    <n v="0"/>
    <n v="0"/>
    <n v="0"/>
    <n v="0"/>
    <n v="0"/>
    <n v="0"/>
    <n v="235"/>
    <n v="45"/>
    <n v="0"/>
    <n v="0"/>
    <n v="280"/>
    <n v="0"/>
  </r>
  <r>
    <x v="0"/>
    <x v="4"/>
    <x v="0"/>
    <s v="4950103"/>
    <n v="743010"/>
    <s v="Dues--Institutional"/>
    <s v="Respiratory Therapy"/>
    <x v="0"/>
    <m/>
    <n v="0"/>
    <n v="0"/>
    <n v="0"/>
    <n v="0"/>
    <n v="554"/>
    <n v="0"/>
    <n v="0"/>
    <n v="0"/>
    <n v="0"/>
    <n v="0"/>
    <n v="0"/>
    <n v="0"/>
    <n v="554"/>
    <n v="0"/>
  </r>
  <r>
    <x v="0"/>
    <x v="4"/>
    <x v="0"/>
    <s v="4950103"/>
    <n v="743030"/>
    <s v="Subscriptions--Institutional"/>
    <s v="Respiratory Therapy"/>
    <x v="0"/>
    <m/>
    <n v="0"/>
    <n v="0"/>
    <n v="0"/>
    <n v="0"/>
    <n v="0"/>
    <n v="0"/>
    <n v="0"/>
    <n v="0"/>
    <n v="0"/>
    <n v="0"/>
    <n v="267.77999999999997"/>
    <n v="0"/>
    <n v="267.77999999999997"/>
    <n v="267.77999999999997"/>
  </r>
  <r>
    <x v="0"/>
    <x v="4"/>
    <x v="0"/>
    <s v="4950103"/>
    <n v="749510"/>
    <s v="Miscellaneous Expenses"/>
    <s v="Respiratory Therapy"/>
    <x v="0"/>
    <m/>
    <n v="0"/>
    <n v="0"/>
    <n v="0"/>
    <n v="0"/>
    <n v="828"/>
    <n v="0"/>
    <n v="0"/>
    <n v="0"/>
    <n v="0"/>
    <n v="0"/>
    <n v="0"/>
    <n v="888.99"/>
    <n v="1716.99"/>
    <n v="-888.99"/>
  </r>
  <r>
    <x v="0"/>
    <x v="4"/>
    <x v="0"/>
    <s v="4950103"/>
    <n v="749510"/>
    <s v="RICE Rewards"/>
    <s v="Respiratory Therapy"/>
    <x v="0"/>
    <n v="5100"/>
    <n v="0"/>
    <n v="0"/>
    <n v="0"/>
    <n v="0"/>
    <n v="0"/>
    <n v="0"/>
    <n v="165.46"/>
    <n v="0"/>
    <n v="21.3"/>
    <n v="0"/>
    <n v="0"/>
    <n v="0"/>
    <n v="186.76000000000002"/>
    <n v="0"/>
  </r>
  <r>
    <x v="0"/>
    <x v="4"/>
    <x v="0"/>
    <s v="4950103"/>
    <n v="749530"/>
    <s v="Travel"/>
    <s v="Respiratory Therapy"/>
    <x v="0"/>
    <m/>
    <n v="0"/>
    <n v="0"/>
    <n v="0"/>
    <n v="0"/>
    <n v="0"/>
    <n v="0"/>
    <n v="0"/>
    <n v="0"/>
    <n v="355.67"/>
    <n v="177.72"/>
    <n v="0"/>
    <n v="0"/>
    <n v="533.39"/>
    <n v="0"/>
  </r>
  <r>
    <x v="18"/>
    <x v="8"/>
    <x v="0"/>
    <s v="4950104"/>
    <n v="400010"/>
    <s v="Acute I/P Svcs Rev--Medicare"/>
    <s v="Respiratory Therapy"/>
    <x v="0"/>
    <n v="1100"/>
    <n v="-864358.11"/>
    <n v="-619233.55000000005"/>
    <n v="-747372.13"/>
    <n v="-570055.56999999995"/>
    <n v="-909496.77"/>
    <n v="-1058675.18"/>
    <n v="-1323526.46"/>
    <n v="-1077685.5900000001"/>
    <n v="-1393236.59"/>
    <n v="-1186680.8700000001"/>
    <n v="-1090790.74"/>
    <n v="-960075.5"/>
    <n v="-11801187.060000001"/>
    <n v="-130715.23999999999"/>
  </r>
  <r>
    <x v="18"/>
    <x v="8"/>
    <x v="0"/>
    <s v="4950104"/>
    <n v="400010"/>
    <s v="Acute I/P Svcs Rev--Medicaid"/>
    <s v="Respiratory Therapy"/>
    <x v="0"/>
    <n v="1200"/>
    <n v="-142795.56"/>
    <n v="-166970.47"/>
    <n v="-233828.2"/>
    <n v="-248061.37"/>
    <n v="-71469.78"/>
    <n v="-231517.25"/>
    <n v="-183993.95"/>
    <n v="-247765.81"/>
    <n v="-303782.71999999997"/>
    <n v="-217787.29"/>
    <n v="-174950.08"/>
    <n v="-285247.48"/>
    <n v="-2508169.96"/>
    <n v="110297.4"/>
  </r>
  <r>
    <x v="18"/>
    <x v="8"/>
    <x v="0"/>
    <s v="4950104"/>
    <n v="400010"/>
    <s v="Acute I/P Svcs Rev--Comm Insurance"/>
    <s v="Respiratory Therapy"/>
    <x v="0"/>
    <n v="1300"/>
    <n v="-25538.01"/>
    <n v="-2796.94"/>
    <n v="-702.01"/>
    <n v="7882.61"/>
    <n v="-126142.74"/>
    <n v="-22659.52"/>
    <n v="8371.15"/>
    <n v="-7608.68"/>
    <n v="-300.14999999999998"/>
    <n v="-18016.29"/>
    <n v="-4959.2"/>
    <n v="-5740.44"/>
    <n v="-198210.22"/>
    <n v="781.23999999999978"/>
  </r>
  <r>
    <x v="18"/>
    <x v="8"/>
    <x v="0"/>
    <s v="4950104"/>
    <n v="400010"/>
    <s v="Acute I/P Svcs Rev--BCBS Comm"/>
    <s v="Respiratory Therapy"/>
    <x v="0"/>
    <n v="1301"/>
    <n v="-21598.76"/>
    <n v="-109700.38"/>
    <n v="-11330.97"/>
    <n v="-5929.97"/>
    <n v="-52425.91"/>
    <n v="-18968.189999999999"/>
    <n v="-48816.38"/>
    <n v="-61544.27"/>
    <n v="-30515.63"/>
    <n v="-42993.5"/>
    <n v="-14963.83"/>
    <n v="-53988.03"/>
    <n v="-472775.82000000007"/>
    <n v="39024.199999999997"/>
  </r>
  <r>
    <x v="18"/>
    <x v="8"/>
    <x v="0"/>
    <s v="4950104"/>
    <n v="400010"/>
    <s v="Acute I/P Svcs Rev--Managed Care"/>
    <s v="Respiratory Therapy"/>
    <x v="0"/>
    <n v="1400"/>
    <n v="-63447.05"/>
    <n v="-104456.44"/>
    <n v="-125559.7"/>
    <n v="-107704.95"/>
    <n v="-42561.58"/>
    <n v="-131786.07"/>
    <n v="-52421.9"/>
    <n v="-413143.18"/>
    <n v="-96255.4"/>
    <n v="-36302.94"/>
    <n v="-106271.47"/>
    <n v="-68850.61"/>
    <n v="-1348761.29"/>
    <n v="-37420.86"/>
  </r>
  <r>
    <x v="18"/>
    <x v="8"/>
    <x v="0"/>
    <s v="4950104"/>
    <n v="400010"/>
    <s v="Acute I/P Svcs Rev--Self Pay"/>
    <s v="Respiratory Therapy"/>
    <x v="0"/>
    <n v="1500"/>
    <n v="-5663.38"/>
    <n v="-1349.11"/>
    <n v="-3905.56"/>
    <n v="-14557.86"/>
    <n v="-15274.84"/>
    <n v="-33680.699999999997"/>
    <n v="-10439.219999999999"/>
    <n v="7594.28"/>
    <n v="-35362.519999999997"/>
    <n v="21437.54"/>
    <n v="-139556.6"/>
    <n v="28392.31"/>
    <n v="-202365.66"/>
    <n v="-167948.91"/>
  </r>
  <r>
    <x v="18"/>
    <x v="8"/>
    <x v="0"/>
    <s v="4950104"/>
    <n v="400010"/>
    <s v="Acute I/P Svcs Rev--Other"/>
    <s v="Respiratory Therapy"/>
    <x v="0"/>
    <n v="1700"/>
    <n v="-55862.92"/>
    <n v="-133453.57999999999"/>
    <n v="-125055.4"/>
    <n v="-198619.46"/>
    <n v="-49352.78"/>
    <n v="-55800.45"/>
    <n v="-65463.03"/>
    <n v="-85242.92"/>
    <n v="-64608.33"/>
    <n v="-121786.22"/>
    <n v="-149685.32"/>
    <n v="-139932.82999999999"/>
    <n v="-1244863.24"/>
    <n v="-9752.4900000000198"/>
  </r>
  <r>
    <x v="19"/>
    <x v="8"/>
    <x v="0"/>
    <s v="4950104"/>
    <n v="400020"/>
    <s v="O/P Care Svcs Rev--Medicare"/>
    <s v="Respiratory Therapy"/>
    <x v="0"/>
    <n v="1100"/>
    <n v="-97387.79"/>
    <n v="-93422.77"/>
    <n v="-112791.71"/>
    <n v="-110592.52"/>
    <n v="-120321.15"/>
    <n v="-87837.84"/>
    <n v="-97937.19"/>
    <n v="-103014.25"/>
    <n v="-96119.679999999993"/>
    <n v="-108557.18"/>
    <n v="-119678.66"/>
    <n v="-78153.87"/>
    <n v="-1225814.6099999999"/>
    <n v="-41524.790000000008"/>
  </r>
  <r>
    <x v="19"/>
    <x v="8"/>
    <x v="0"/>
    <s v="4950104"/>
    <n v="400020"/>
    <s v="O/P Care Svcs Rev--Medicaid"/>
    <s v="Respiratory Therapy"/>
    <x v="0"/>
    <n v="1200"/>
    <n v="-23278.54"/>
    <n v="-19442.11"/>
    <n v="-10975.64"/>
    <n v="-17845.02"/>
    <n v="-16351.22"/>
    <n v="-11165.23"/>
    <n v="-30133.09"/>
    <n v="-7891.35"/>
    <n v="-20675.75"/>
    <n v="-18396.11"/>
    <n v="-27348.03"/>
    <n v="-20084.53"/>
    <n v="-223586.62"/>
    <n v="-7263.5"/>
  </r>
  <r>
    <x v="19"/>
    <x v="8"/>
    <x v="0"/>
    <s v="4950104"/>
    <n v="400020"/>
    <s v="O/P Care Svcs Rev--Comm Insurance"/>
    <s v="Respiratory Therapy"/>
    <x v="0"/>
    <n v="1300"/>
    <n v="-2327.91"/>
    <n v="-328.06"/>
    <n v="-448.66"/>
    <n v="-6376.37"/>
    <n v="-5087.2299999999996"/>
    <n v="-6877.86"/>
    <n v="-1322.53"/>
    <n v="-3120.22"/>
    <n v="-2405.94"/>
    <n v="-2050.35"/>
    <n v="-6461.75"/>
    <n v="-6071.25"/>
    <n v="-42878.13"/>
    <n v="-390.5"/>
  </r>
  <r>
    <x v="19"/>
    <x v="8"/>
    <x v="0"/>
    <s v="4950104"/>
    <n v="400020"/>
    <s v="O/P Care Svcs Rev--BCBS Comm"/>
    <s v="Respiratory Therapy"/>
    <x v="0"/>
    <n v="1301"/>
    <n v="-7803.69"/>
    <n v="-10651.83"/>
    <n v="-8447.09"/>
    <n v="-21398.400000000001"/>
    <n v="-29149.57"/>
    <n v="-11096.32"/>
    <n v="-13620.12"/>
    <n v="-7550.39"/>
    <n v="-11511.15"/>
    <n v="-6246.86"/>
    <n v="-9516.7099999999991"/>
    <n v="-13244.01"/>
    <n v="-150236.13999999998"/>
    <n v="3727.3000000000011"/>
  </r>
  <r>
    <x v="19"/>
    <x v="8"/>
    <x v="0"/>
    <s v="4950104"/>
    <n v="400020"/>
    <s v="O/P Care Svcs Rev--Managed Care"/>
    <s v="Respiratory Therapy"/>
    <x v="0"/>
    <n v="1400"/>
    <n v="-21803.439999999999"/>
    <n v="-28416.44"/>
    <n v="-20405.86"/>
    <n v="-35053.46"/>
    <n v="-28378.87"/>
    <n v="-30109.45"/>
    <n v="-32604.02"/>
    <n v="-18650.48"/>
    <n v="-24564.27"/>
    <n v="-39647.4"/>
    <n v="-14182.26"/>
    <n v="-20204.990000000002"/>
    <n v="-314020.94"/>
    <n v="6022.7300000000014"/>
  </r>
  <r>
    <x v="19"/>
    <x v="8"/>
    <x v="0"/>
    <s v="4950104"/>
    <n v="400020"/>
    <s v="O/P Care Svcs Rev--Self Pay"/>
    <s v="Respiratory Therapy"/>
    <x v="0"/>
    <n v="1500"/>
    <n v="-669.24"/>
    <n v="-1349.11"/>
    <n v="-2799.62"/>
    <n v="-13693.28"/>
    <n v="3481.49"/>
    <n v="-2234.1799999999998"/>
    <n v="-7595.96"/>
    <n v="-5340.83"/>
    <n v="-1359.1"/>
    <n v="-551.71"/>
    <n v="-4367.6400000000003"/>
    <n v="-1519.64"/>
    <n v="-37998.819999999992"/>
    <n v="-2848"/>
  </r>
  <r>
    <x v="19"/>
    <x v="8"/>
    <x v="0"/>
    <s v="4950104"/>
    <n v="400020"/>
    <s v="O/P Care Svcs Rev--Other"/>
    <s v="Respiratory Therapy"/>
    <x v="0"/>
    <n v="1700"/>
    <n v="-8917.0300000000007"/>
    <n v="-7936.05"/>
    <n v="-9330.0400000000009"/>
    <n v="-15195.08"/>
    <n v="-8124.29"/>
    <n v="-9530.2000000000007"/>
    <n v="-7407.55"/>
    <n v="-4506.8500000000004"/>
    <n v="-16759.07"/>
    <n v="-16558.150000000001"/>
    <n v="-10732.74"/>
    <n v="-13555.53"/>
    <n v="-128552.58"/>
    <n v="2822.7900000000009"/>
  </r>
  <r>
    <x v="5"/>
    <x v="8"/>
    <x v="0"/>
    <s v="4950104"/>
    <n v="700014"/>
    <s v="Salaries-Management-Productive"/>
    <s v="Respiratory Therapy"/>
    <x v="0"/>
    <m/>
    <n v="6997.27"/>
    <n v="9241.57"/>
    <n v="7617.81"/>
    <n v="7898.47"/>
    <n v="9863.99"/>
    <n v="6188.31"/>
    <n v="9388.24"/>
    <n v="6994.91"/>
    <n v="6258.65"/>
    <n v="4172.34"/>
    <n v="10001.32"/>
    <n v="1104.71"/>
    <n v="85727.589999999982"/>
    <n v="8896.61"/>
  </r>
  <r>
    <x v="5"/>
    <x v="8"/>
    <x v="0"/>
    <s v="4950104"/>
    <n v="700034"/>
    <s v="Salaries-Tech/Professional-Productive"/>
    <s v="Respiratory Therapy"/>
    <x v="0"/>
    <m/>
    <n v="59452.2"/>
    <n v="59108.44"/>
    <n v="66175.460000000006"/>
    <n v="64408.94"/>
    <n v="65937.7"/>
    <n v="67991.259999999995"/>
    <n v="69545.440000000002"/>
    <n v="65451.88"/>
    <n v="69940.73"/>
    <n v="60655.21"/>
    <n v="67068.19"/>
    <n v="64953.34"/>
    <n v="780688.78999999992"/>
    <n v="2114.8500000000058"/>
  </r>
  <r>
    <x v="5"/>
    <x v="8"/>
    <x v="0"/>
    <s v="4950104"/>
    <n v="700034"/>
    <s v="Salaries-Tech/Professional-OT"/>
    <s v="Respiratory Therapy"/>
    <x v="0"/>
    <n v="1000"/>
    <n v="1271.21"/>
    <n v="2045.05"/>
    <n v="1122.05"/>
    <n v="2064.31"/>
    <n v="3858.19"/>
    <n v="3619.99"/>
    <n v="2155.58"/>
    <n v="2623.38"/>
    <n v="3930.53"/>
    <n v="6592.82"/>
    <n v="2317.66"/>
    <n v="1616.42"/>
    <n v="33217.19"/>
    <n v="701.23999999999978"/>
  </r>
  <r>
    <x v="5"/>
    <x v="8"/>
    <x v="0"/>
    <s v="4950104"/>
    <n v="700034"/>
    <s v="Salaries-Tech/Professional-Other"/>
    <s v="Respiratory Therapy"/>
    <x v="0"/>
    <n v="2000"/>
    <n v="6824.79"/>
    <n v="6888.81"/>
    <n v="7304.65"/>
    <n v="8085.07"/>
    <n v="7684.31"/>
    <n v="7535.86"/>
    <n v="7467.93"/>
    <n v="6925.72"/>
    <n v="7548.94"/>
    <n v="5428.28"/>
    <n v="7316.63"/>
    <n v="6920.46"/>
    <n v="85931.450000000012"/>
    <n v="396.17000000000007"/>
  </r>
  <r>
    <x v="5"/>
    <x v="8"/>
    <x v="0"/>
    <s v="4950104"/>
    <n v="700054"/>
    <s v="Salaries-Management-Non-productive"/>
    <s v="Respiratory Therapy"/>
    <x v="0"/>
    <m/>
    <n v="2155.34"/>
    <n v="-88.54"/>
    <n v="1240.08"/>
    <n v="1531.7"/>
    <n v="-673.94"/>
    <n v="3308.38"/>
    <n v="123.29"/>
    <n v="1595.27"/>
    <n v="3251.99"/>
    <n v="5031.2"/>
    <n v="-490.67"/>
    <n v="-797.59"/>
    <n v="16186.510000000002"/>
    <n v="306.92"/>
  </r>
  <r>
    <x v="5"/>
    <x v="8"/>
    <x v="0"/>
    <s v="4950104"/>
    <n v="700054"/>
    <s v="Salaries-Management-NonProd-Other"/>
    <s v="Respiratory Therapy"/>
    <x v="0"/>
    <n v="2000"/>
    <n v="0"/>
    <n v="0"/>
    <n v="0"/>
    <n v="0"/>
    <n v="413.32"/>
    <n v="882.94"/>
    <n v="-56.3"/>
    <n v="-1239.96"/>
    <n v="0"/>
    <n v="0"/>
    <n v="0"/>
    <n v="0"/>
    <n v="0"/>
    <n v="0"/>
  </r>
  <r>
    <x v="5"/>
    <x v="8"/>
    <x v="0"/>
    <s v="4950104"/>
    <n v="700074"/>
    <s v="Salaries-Tech/Professional-Non-productive"/>
    <s v="Respiratory Therapy"/>
    <x v="0"/>
    <m/>
    <n v="10310.08"/>
    <n v="5370.47"/>
    <n v="5202.58"/>
    <n v="11621.66"/>
    <n v="7777.67"/>
    <n v="7541.46"/>
    <n v="10592.13"/>
    <n v="7448.18"/>
    <n v="3420.36"/>
    <n v="10762.5"/>
    <n v="10850.43"/>
    <n v="7866.36"/>
    <n v="98763.87999999999"/>
    <n v="2984.0700000000006"/>
  </r>
  <r>
    <x v="5"/>
    <x v="8"/>
    <x v="0"/>
    <s v="4950104"/>
    <n v="700074"/>
    <s v="Salaries-Tech/Professional-NonProd-Other"/>
    <s v="Respiratory Therapy"/>
    <x v="0"/>
    <n v="2000"/>
    <n v="497.84"/>
    <n v="200.62"/>
    <n v="282.7"/>
    <n v="213.58"/>
    <n v="1120.21"/>
    <n v="264.12"/>
    <n v="237.23"/>
    <n v="-486.66"/>
    <n v="370.55"/>
    <n v="421.88"/>
    <n v="194.51"/>
    <n v="526.21"/>
    <n v="3842.79"/>
    <n v="-331.70000000000005"/>
  </r>
  <r>
    <x v="5"/>
    <x v="8"/>
    <x v="0"/>
    <s v="4950104"/>
    <n v="700084"/>
    <s v="Accrued PTO"/>
    <s v="Respiratory Therapy"/>
    <x v="0"/>
    <m/>
    <n v="-3447"/>
    <n v="1188.1300000000001"/>
    <n v="695.62"/>
    <n v="2430.4499999999998"/>
    <n v="1178.28"/>
    <n v="309.69"/>
    <n v="720.77"/>
    <n v="-1438.1"/>
    <n v="4098.22"/>
    <n v="86.79"/>
    <n v="1371.69"/>
    <n v="-494.2"/>
    <n v="6700.3399999999992"/>
    <n v="1865.89"/>
  </r>
  <r>
    <x v="10"/>
    <x v="8"/>
    <x v="0"/>
    <s v="4950104"/>
    <n v="710060"/>
    <s v="Contract Labor-Other"/>
    <s v="Respiratory Therapy"/>
    <x v="0"/>
    <m/>
    <n v="0"/>
    <n v="0"/>
    <n v="0"/>
    <n v="0"/>
    <n v="0"/>
    <n v="0"/>
    <n v="0"/>
    <n v="0"/>
    <n v="0"/>
    <n v="3452.58"/>
    <n v="3674.3"/>
    <n v="3579.28"/>
    <n v="10706.16"/>
    <n v="95.019999999999982"/>
  </r>
  <r>
    <x v="6"/>
    <x v="8"/>
    <x v="0"/>
    <s v="4950104"/>
    <n v="713010"/>
    <s v="Benefits-FICA/Medicare"/>
    <s v="Respiratory Therapy"/>
    <x v="0"/>
    <m/>
    <n v="6578.45"/>
    <n v="6205.31"/>
    <n v="6712.55"/>
    <n v="7207.1"/>
    <n v="7399.31"/>
    <n v="7258.46"/>
    <n v="7459.46"/>
    <n v="6882.13"/>
    <n v="7735.92"/>
    <n v="7073.76"/>
    <n v="7060.75"/>
    <n v="7055.54"/>
    <n v="84628.739999999991"/>
    <n v="5.2100000000000364"/>
  </r>
  <r>
    <x v="6"/>
    <x v="8"/>
    <x v="0"/>
    <s v="4950104"/>
    <n v="713090"/>
    <s v="Benefits-Allocated Amounts"/>
    <s v="Respiratory Therapy"/>
    <x v="0"/>
    <m/>
    <n v="15684.06"/>
    <n v="13369.06"/>
    <n v="15377.39"/>
    <n v="16849.95"/>
    <n v="17259.150000000001"/>
    <n v="16352.81"/>
    <n v="17764.72"/>
    <n v="17249.150000000001"/>
    <n v="17063.91"/>
    <n v="17847.61"/>
    <n v="18398.23"/>
    <n v="15918.19"/>
    <n v="199134.23"/>
    <n v="2480.0399999999991"/>
  </r>
  <r>
    <x v="17"/>
    <x v="8"/>
    <x v="0"/>
    <s v="4950104"/>
    <n v="714510"/>
    <s v="Medical Director Fees"/>
    <s v="Respiratory Therapy"/>
    <x v="0"/>
    <m/>
    <n v="448"/>
    <n v="490"/>
    <n v="490"/>
    <n v="490"/>
    <n v="490"/>
    <n v="490"/>
    <n v="490"/>
    <n v="490"/>
    <n v="490"/>
    <n v="0"/>
    <n v="980"/>
    <n v="490"/>
    <n v="5838"/>
    <n v="490"/>
  </r>
  <r>
    <x v="7"/>
    <x v="8"/>
    <x v="0"/>
    <s v="4950104"/>
    <n v="718050"/>
    <s v="Document Shredding/Storage"/>
    <s v="Respiratory Therapy"/>
    <x v="0"/>
    <n v="1012"/>
    <n v="0.86"/>
    <n v="0.9"/>
    <n v="0.81"/>
    <n v="0.84"/>
    <n v="0.87"/>
    <n v="0.87"/>
    <n v="0.86"/>
    <n v="0.73"/>
    <n v="0.75"/>
    <n v="1.02"/>
    <n v="0.84"/>
    <n v="0.87"/>
    <n v="10.219999999999999"/>
    <n v="-3.0000000000000027E-2"/>
  </r>
  <r>
    <x v="7"/>
    <x v="8"/>
    <x v="0"/>
    <s v="4950104"/>
    <n v="718070"/>
    <s v="Contract Srvcs-CHI Clinical Engineering"/>
    <s v="Respiratory Therapy"/>
    <x v="0"/>
    <m/>
    <n v="159.96"/>
    <n v="163.04"/>
    <n v="163.04"/>
    <n v="163.04"/>
    <n v="154.87"/>
    <n v="154.87"/>
    <n v="154.87"/>
    <n v="154.87"/>
    <n v="154.97"/>
    <n v="154.97"/>
    <n v="154.97"/>
    <n v="154.97"/>
    <n v="1888.44"/>
    <n v="0"/>
  </r>
  <r>
    <x v="11"/>
    <x v="8"/>
    <x v="0"/>
    <s v="4950104"/>
    <n v="721010"/>
    <s v="Supplies-Medical - Billable"/>
    <s v="Respiratory Therapy"/>
    <x v="0"/>
    <m/>
    <n v="0"/>
    <n v="0"/>
    <n v="0"/>
    <n v="-76.510000000000005"/>
    <n v="0"/>
    <n v="0"/>
    <n v="0"/>
    <n v="0"/>
    <n v="0"/>
    <n v="0"/>
    <n v="424.24"/>
    <n v="0"/>
    <n v="347.73"/>
    <n v="424.24"/>
  </r>
  <r>
    <x v="11"/>
    <x v="8"/>
    <x v="0"/>
    <s v="4950104"/>
    <n v="721010"/>
    <s v="Patient Monitoring"/>
    <s v="Respiratory Therapy"/>
    <x v="0"/>
    <n v="1000"/>
    <n v="0"/>
    <n v="0"/>
    <n v="0"/>
    <n v="0"/>
    <n v="0"/>
    <n v="0"/>
    <n v="23.11"/>
    <n v="239.47"/>
    <n v="231.11"/>
    <n v="-27.16"/>
    <n v="10.65"/>
    <n v="846.95"/>
    <n v="1324.13"/>
    <n v="-836.30000000000007"/>
  </r>
  <r>
    <x v="11"/>
    <x v="8"/>
    <x v="0"/>
    <s v="4950104"/>
    <n v="721020"/>
    <s v="Supplies-Surgical - Billable"/>
    <s v="Respiratory Therapy"/>
    <x v="0"/>
    <m/>
    <n v="0"/>
    <n v="0"/>
    <n v="394.69"/>
    <n v="634.29999999999995"/>
    <n v="935.44"/>
    <n v="78.540000000000006"/>
    <n v="68.64"/>
    <n v="0"/>
    <n v="718.96"/>
    <n v="0"/>
    <n v="-17.079999999999998"/>
    <n v="376.64"/>
    <n v="3190.13"/>
    <n v="-393.71999999999997"/>
  </r>
  <r>
    <x v="11"/>
    <x v="8"/>
    <x v="0"/>
    <s v="4950104"/>
    <n v="721020"/>
    <s v="Tubes Drains &amp; Related Supplies"/>
    <s v="Respiratory Therapy"/>
    <x v="0"/>
    <n v="1008"/>
    <n v="214.93"/>
    <n v="29.93"/>
    <n v="0"/>
    <n v="170.2"/>
    <n v="2.56"/>
    <n v="0"/>
    <n v="31.42"/>
    <n v="452.34"/>
    <n v="92.26"/>
    <n v="-4.97"/>
    <n v="0"/>
    <n v="0"/>
    <n v="988.67"/>
    <n v="0"/>
  </r>
  <r>
    <x v="11"/>
    <x v="8"/>
    <x v="0"/>
    <s v="4950104"/>
    <n v="721150"/>
    <s v="Supplies-Other Implants - Billable"/>
    <s v="Respiratory Therapy"/>
    <x v="0"/>
    <m/>
    <n v="0"/>
    <n v="0"/>
    <n v="0"/>
    <n v="0"/>
    <n v="0"/>
    <n v="0"/>
    <n v="0"/>
    <n v="23.29"/>
    <n v="0"/>
    <n v="0"/>
    <n v="0"/>
    <n v="0"/>
    <n v="23.29"/>
    <n v="0"/>
  </r>
  <r>
    <x v="11"/>
    <x v="8"/>
    <x v="0"/>
    <s v="4950104"/>
    <n v="721220"/>
    <s v="Supplies-Medical Gases - Billable"/>
    <s v="Respiratory Therapy"/>
    <x v="0"/>
    <m/>
    <n v="8050.39"/>
    <n v="4592.96"/>
    <n v="3243.87"/>
    <n v="3433.34"/>
    <n v="4434.49"/>
    <n v="3548.21"/>
    <n v="4525.6400000000003"/>
    <n v="3354.59"/>
    <n v="5582.69"/>
    <n v="3500.83"/>
    <n v="1128.31"/>
    <n v="-220.56"/>
    <n v="45174.760000000009"/>
    <n v="1348.87"/>
  </r>
  <r>
    <x v="11"/>
    <x v="8"/>
    <x v="0"/>
    <s v="4950104"/>
    <n v="721240"/>
    <s v="Supplies-IV Solutions/Supplies - Billable"/>
    <s v="Respiratory Therapy"/>
    <x v="0"/>
    <m/>
    <n v="182.04"/>
    <n v="108.9"/>
    <n v="131.72"/>
    <n v="225.08"/>
    <n v="232.29"/>
    <n v="224.88"/>
    <n v="283.49"/>
    <n v="253.67"/>
    <n v="282.86"/>
    <n v="240.74"/>
    <n v="220.04"/>
    <n v="161.59"/>
    <n v="2547.3000000000002"/>
    <n v="58.449999999999989"/>
  </r>
  <r>
    <x v="11"/>
    <x v="8"/>
    <x v="0"/>
    <s v="4950104"/>
    <n v="721410"/>
    <s v="Supplies-Medical - Nonbillable"/>
    <s v="Respiratory Therapy"/>
    <x v="0"/>
    <m/>
    <n v="377.47"/>
    <n v="1234.67"/>
    <n v="1412.83"/>
    <n v="2175.4899999999998"/>
    <n v="230.68"/>
    <n v="1865.48"/>
    <n v="1020.56"/>
    <n v="564.84"/>
    <n v="5937.4"/>
    <n v="-1512.84"/>
    <n v="969.43"/>
    <n v="580.79999999999995"/>
    <n v="14856.81"/>
    <n v="388.63"/>
  </r>
  <r>
    <x v="11"/>
    <x v="8"/>
    <x v="0"/>
    <s v="4950104"/>
    <n v="721410"/>
    <s v="Patient Monitoring"/>
    <s v="Respiratory Therapy"/>
    <x v="0"/>
    <n v="1000"/>
    <n v="312.7"/>
    <n v="312.7"/>
    <n v="0"/>
    <n v="0"/>
    <n v="469.05"/>
    <n v="119.6"/>
    <n v="144.1"/>
    <n v="-12.25"/>
    <n v="0"/>
    <n v="0"/>
    <n v="156.35"/>
    <n v="-12.25"/>
    <n v="1489.9999999999998"/>
    <n v="168.6"/>
  </r>
  <r>
    <x v="11"/>
    <x v="8"/>
    <x v="0"/>
    <s v="4950104"/>
    <n v="721420"/>
    <s v="Supplies-Surgical Nonbillable"/>
    <s v="Respiratory Therapy"/>
    <x v="0"/>
    <m/>
    <n v="0"/>
    <n v="0"/>
    <n v="121.87"/>
    <n v="0"/>
    <n v="0"/>
    <n v="54.13"/>
    <n v="0"/>
    <n v="164.52"/>
    <n v="365.6"/>
    <n v="72.55"/>
    <n v="0"/>
    <n v="0"/>
    <n v="778.67"/>
    <n v="0"/>
  </r>
  <r>
    <x v="11"/>
    <x v="8"/>
    <x v="0"/>
    <s v="4950104"/>
    <n v="721420"/>
    <s v="Tubes Drains &amp; Related Supplies"/>
    <s v="Respiratory Therapy"/>
    <x v="0"/>
    <n v="1008"/>
    <n v="84.75"/>
    <n v="122.35"/>
    <n v="277.02"/>
    <n v="216.16"/>
    <n v="179.16"/>
    <n v="188.44"/>
    <n v="259.49"/>
    <n v="418.69"/>
    <n v="642.76"/>
    <n v="430.28"/>
    <n v="359.8"/>
    <n v="73.040000000000006"/>
    <n v="3251.9399999999996"/>
    <n v="286.76"/>
  </r>
  <r>
    <x v="11"/>
    <x v="8"/>
    <x v="0"/>
    <s v="4950104"/>
    <n v="721420"/>
    <s v="Sterilization Process Products"/>
    <s v="Respiratory Therapy"/>
    <x v="0"/>
    <n v="1009"/>
    <n v="16.670000000000002"/>
    <n v="55.87"/>
    <n v="72.540000000000006"/>
    <n v="0"/>
    <n v="115.9"/>
    <n v="77.91"/>
    <n v="77.91"/>
    <n v="189.65"/>
    <n v="155.81"/>
    <n v="44.07"/>
    <n v="111.73"/>
    <n v="155.80000000000001"/>
    <n v="1073.8600000000001"/>
    <n v="-44.070000000000007"/>
  </r>
  <r>
    <x v="11"/>
    <x v="8"/>
    <x v="0"/>
    <s v="4950104"/>
    <n v="721610"/>
    <s v="Supplies-Anesthesia - Nonbillable"/>
    <s v="Respiratory Therapy"/>
    <x v="0"/>
    <m/>
    <n v="9796.9"/>
    <n v="5580.85"/>
    <n v="5479.69"/>
    <n v="4846.87"/>
    <n v="10820.35"/>
    <n v="10518.51"/>
    <n v="9356.74"/>
    <n v="16441.900000000001"/>
    <n v="13523.14"/>
    <n v="7295.19"/>
    <n v="10134.629999999999"/>
    <n v="8293.73"/>
    <n v="112088.5"/>
    <n v="1840.8999999999996"/>
  </r>
  <r>
    <x v="11"/>
    <x v="8"/>
    <x v="0"/>
    <s v="4950104"/>
    <n v="721650"/>
    <s v="Supplies-Pharmacy Drugs - Nonbillable"/>
    <s v="Respiratory Therapy"/>
    <x v="0"/>
    <m/>
    <n v="0"/>
    <n v="30.45"/>
    <n v="0"/>
    <n v="15.22"/>
    <n v="15.22"/>
    <n v="38.68"/>
    <n v="19.34"/>
    <n v="58.02"/>
    <n v="38.68"/>
    <n v="0"/>
    <n v="0"/>
    <n v="77.36"/>
    <n v="292.97000000000003"/>
    <n v="-77.36"/>
  </r>
  <r>
    <x v="11"/>
    <x v="8"/>
    <x v="0"/>
    <s v="4950104"/>
    <n v="721710"/>
    <s v="Supplies-Laboratory - Nonbillable"/>
    <s v="Respiratory Therapy"/>
    <x v="0"/>
    <m/>
    <n v="343.84"/>
    <n v="242.77"/>
    <n v="116.67"/>
    <n v="139.85"/>
    <n v="262.74"/>
    <n v="179.8"/>
    <n v="410.32"/>
    <n v="287.8"/>
    <n v="143.26"/>
    <n v="328.93"/>
    <n v="309.73"/>
    <n v="109.84"/>
    <n v="2875.5499999999997"/>
    <n v="199.89000000000001"/>
  </r>
  <r>
    <x v="11"/>
    <x v="8"/>
    <x v="0"/>
    <s v="4950104"/>
    <n v="721710"/>
    <s v="Reagents"/>
    <s v="Respiratory Therapy"/>
    <x v="0"/>
    <n v="1000"/>
    <n v="4462.25"/>
    <n v="29.06"/>
    <n v="35"/>
    <n v="10296.84"/>
    <n v="5610.61"/>
    <n v="243.06"/>
    <n v="5186.3900000000003"/>
    <n v="2451.71"/>
    <n v="7434.29"/>
    <n v="-199.4"/>
    <n v="6241.61"/>
    <n v="7068.39"/>
    <n v="48859.81"/>
    <n v="-826.78000000000065"/>
  </r>
  <r>
    <x v="11"/>
    <x v="8"/>
    <x v="0"/>
    <s v="4950104"/>
    <n v="721810"/>
    <s v="Supplies-Dietary/Cafeteria"/>
    <s v="Respiratory Therapy"/>
    <x v="0"/>
    <m/>
    <n v="8"/>
    <n v="22.95"/>
    <n v="23.87"/>
    <n v="83.46"/>
    <n v="121.03"/>
    <n v="128.49"/>
    <n v="2.4500000000000002"/>
    <n v="32"/>
    <n v="581.39"/>
    <n v="273.42"/>
    <n v="16"/>
    <n v="16"/>
    <n v="1309.06"/>
    <n v="0"/>
  </r>
  <r>
    <x v="11"/>
    <x v="8"/>
    <x v="0"/>
    <s v="4950104"/>
    <n v="721830"/>
    <s v="Supplies-Office"/>
    <s v="Respiratory Therapy"/>
    <x v="0"/>
    <m/>
    <n v="227.18"/>
    <n v="1735.93"/>
    <n v="395.56"/>
    <n v="492.04"/>
    <n v="522.15"/>
    <n v="309.45"/>
    <n v="110.39"/>
    <n v="589.80999999999995"/>
    <n v="585.75"/>
    <n v="315.31"/>
    <n v="59.47"/>
    <n v="-21.68"/>
    <n v="5321.3600000000006"/>
    <n v="81.150000000000006"/>
  </r>
  <r>
    <x v="11"/>
    <x v="8"/>
    <x v="0"/>
    <s v="4950104"/>
    <n v="721870"/>
    <s v="Supplies-Environmental Services"/>
    <s v="Respiratory Therapy"/>
    <x v="0"/>
    <m/>
    <n v="0"/>
    <n v="0"/>
    <n v="0"/>
    <n v="0"/>
    <n v="0"/>
    <n v="0"/>
    <n v="192.54"/>
    <n v="-7.74"/>
    <n v="-7.35"/>
    <n v="0"/>
    <n v="0"/>
    <n v="0"/>
    <n v="177.45"/>
    <n v="0"/>
  </r>
  <r>
    <x v="11"/>
    <x v="8"/>
    <x v="0"/>
    <s v="4950104"/>
    <n v="721910"/>
    <s v="Supplies-Small Equipment"/>
    <s v="Respiratory Therapy"/>
    <x v="0"/>
    <m/>
    <n v="3113.54"/>
    <n v="394.17"/>
    <n v="80.36"/>
    <n v="146.08000000000001"/>
    <n v="-26.76"/>
    <n v="10.58"/>
    <n v="146.08000000000001"/>
    <n v="512.94000000000005"/>
    <n v="1085.23"/>
    <n v="45.03"/>
    <n v="146.08000000000001"/>
    <n v="58.68"/>
    <n v="5712.0099999999993"/>
    <n v="87.4"/>
  </r>
  <r>
    <x v="11"/>
    <x v="8"/>
    <x v="0"/>
    <s v="4950104"/>
    <n v="721910"/>
    <s v="Instruments"/>
    <s v="Respiratory Therapy"/>
    <x v="0"/>
    <n v="1000"/>
    <n v="0"/>
    <n v="21.89"/>
    <n v="0"/>
    <n v="0"/>
    <n v="0"/>
    <n v="0"/>
    <n v="0"/>
    <n v="47"/>
    <n v="0.5"/>
    <n v="8.07"/>
    <n v="0"/>
    <n v="0"/>
    <n v="77.460000000000008"/>
    <n v="0"/>
  </r>
  <r>
    <x v="11"/>
    <x v="8"/>
    <x v="0"/>
    <s v="4950104"/>
    <n v="721980"/>
    <s v="Supplies-Other"/>
    <s v="Respiratory Therapy"/>
    <x v="0"/>
    <m/>
    <n v="0"/>
    <n v="0"/>
    <n v="0"/>
    <n v="43.4"/>
    <n v="0"/>
    <n v="0"/>
    <n v="0"/>
    <n v="369.58"/>
    <n v="0"/>
    <n v="301.05"/>
    <n v="0"/>
    <n v="0"/>
    <n v="714.03"/>
    <n v="0"/>
  </r>
  <r>
    <x v="11"/>
    <x v="8"/>
    <x v="0"/>
    <s v="4950104"/>
    <n v="722000"/>
    <s v="Supplies-Freight Expense"/>
    <s v="Respiratory Therapy"/>
    <x v="0"/>
    <m/>
    <n v="124.38"/>
    <n v="285.75"/>
    <n v="31.9"/>
    <n v="117.19"/>
    <n v="166.74"/>
    <n v="306.95999999999998"/>
    <n v="197.43"/>
    <n v="104.36"/>
    <n v="546.88"/>
    <n v="128.93"/>
    <n v="200.16"/>
    <n v="559.20000000000005"/>
    <n v="2769.88"/>
    <n v="-359.04000000000008"/>
  </r>
  <r>
    <x v="11"/>
    <x v="8"/>
    <x v="0"/>
    <s v="4950104"/>
    <n v="723000"/>
    <s v="Supply Rebates/Patronage Dividend"/>
    <s v="Respiratory Therapy"/>
    <x v="0"/>
    <m/>
    <n v="0"/>
    <n v="0"/>
    <n v="0"/>
    <n v="0"/>
    <n v="0"/>
    <n v="0"/>
    <n v="0"/>
    <n v="0"/>
    <n v="0"/>
    <n v="0"/>
    <n v="0"/>
    <n v="-21.88"/>
    <n v="-21.88"/>
    <n v="21.88"/>
  </r>
  <r>
    <x v="12"/>
    <x v="8"/>
    <x v="0"/>
    <s v="4950104"/>
    <n v="730020"/>
    <s v="Rental and Leases-Equipment (DO NOT USE)"/>
    <s v="Respiratory Therapy"/>
    <x v="0"/>
    <m/>
    <n v="210"/>
    <n v="3473.2"/>
    <n v="830.36"/>
    <n v="22.35"/>
    <n v="30.71"/>
    <n v="53.06"/>
    <n v="68.17"/>
    <n v="127.87"/>
    <n v="23.45"/>
    <n v="135.58000000000001"/>
    <n v="22.45"/>
    <n v="0"/>
    <n v="4997.2"/>
    <n v="22.45"/>
  </r>
  <r>
    <x v="12"/>
    <x v="8"/>
    <x v="0"/>
    <s v="4950104"/>
    <n v="730020"/>
    <s v="Rental and Leases-Copier Usage Fees (DO NOT USE)"/>
    <s v="Respiratory Therapy"/>
    <x v="0"/>
    <n v="5100"/>
    <n v="224.71"/>
    <n v="236.17"/>
    <n v="230.44"/>
    <n v="230.44"/>
    <n v="230.44"/>
    <n v="230.44"/>
    <n v="414.06"/>
    <n v="308.85000000000002"/>
    <n v="308.2"/>
    <n v="337.93"/>
    <n v="308.85000000000002"/>
    <n v="328.21"/>
    <n v="3388.74"/>
    <n v="-19.359999999999957"/>
  </r>
  <r>
    <x v="15"/>
    <x v="8"/>
    <x v="0"/>
    <s v="4950104"/>
    <n v="731060"/>
    <s v="Cell Phones"/>
    <s v="Respiratory Therapy"/>
    <x v="0"/>
    <n v="1001"/>
    <n v="0"/>
    <n v="0"/>
    <n v="0"/>
    <n v="0"/>
    <n v="0"/>
    <n v="0"/>
    <n v="52.36"/>
    <n v="0"/>
    <n v="50.79"/>
    <n v="101.42"/>
    <n v="50.11"/>
    <n v="50.71"/>
    <n v="305.39"/>
    <n v="-0.60000000000000142"/>
  </r>
  <r>
    <x v="15"/>
    <x v="8"/>
    <x v="0"/>
    <s v="4950104"/>
    <n v="731060"/>
    <s v="Pagers"/>
    <s v="Respiratory Therapy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6"/>
    <x v="8"/>
    <x v="0"/>
    <s v="4950104"/>
    <n v="732030"/>
    <s v="Repairs---Other"/>
    <s v="Respiratory Therapy"/>
    <x v="0"/>
    <m/>
    <n v="0"/>
    <n v="0"/>
    <n v="0"/>
    <n v="0"/>
    <n v="211.89"/>
    <n v="70"/>
    <n v="2.33"/>
    <n v="876.71"/>
    <n v="0"/>
    <n v="2310.19"/>
    <n v="1839.57"/>
    <n v="0"/>
    <n v="5310.69"/>
    <n v="1839.57"/>
  </r>
  <r>
    <x v="13"/>
    <x v="8"/>
    <x v="0"/>
    <s v="4950104"/>
    <n v="735070"/>
    <s v="Depreciation-Movable Equipment"/>
    <s v="Respiratory Therapy"/>
    <x v="0"/>
    <m/>
    <n v="1026.23"/>
    <n v="1145.0899999999999"/>
    <n v="1145.0999999999999"/>
    <n v="1145.1099999999999"/>
    <n v="1145.1099999999999"/>
    <n v="1145.1099999999999"/>
    <n v="1145.1099999999999"/>
    <n v="1145.1099999999999"/>
    <n v="1145.1199999999999"/>
    <n v="1080.76"/>
    <n v="1080.81"/>
    <n v="1080.76"/>
    <n v="13429.42"/>
    <n v="4.9999999999954525E-2"/>
  </r>
  <r>
    <x v="0"/>
    <x v="8"/>
    <x v="0"/>
    <s v="4950104"/>
    <n v="740020"/>
    <s v="Education-Registration Fees"/>
    <s v="Respiratory Therapy"/>
    <x v="0"/>
    <m/>
    <n v="0"/>
    <n v="0"/>
    <n v="56"/>
    <n v="0"/>
    <n v="0"/>
    <n v="0"/>
    <n v="0"/>
    <n v="215"/>
    <n v="120"/>
    <n v="0"/>
    <n v="0"/>
    <n v="0"/>
    <n v="391"/>
    <n v="0"/>
  </r>
  <r>
    <x v="0"/>
    <x v="8"/>
    <x v="0"/>
    <s v="4950104"/>
    <n v="743010"/>
    <s v="Dues--Institutional"/>
    <s v="Respiratory Therapy"/>
    <x v="0"/>
    <m/>
    <n v="0"/>
    <n v="0"/>
    <n v="0"/>
    <n v="0"/>
    <n v="554"/>
    <n v="0"/>
    <n v="0"/>
    <n v="0"/>
    <n v="235"/>
    <n v="0"/>
    <n v="0"/>
    <n v="0"/>
    <n v="789"/>
    <n v="0"/>
  </r>
  <r>
    <x v="0"/>
    <x v="8"/>
    <x v="0"/>
    <s v="4950104"/>
    <n v="749510"/>
    <s v="Miscellaneous Expenses"/>
    <s v="Respiratory Therapy"/>
    <x v="0"/>
    <m/>
    <n v="390.08"/>
    <n v="-410.89"/>
    <n v="0"/>
    <n v="0"/>
    <n v="732"/>
    <n v="296.56"/>
    <n v="0"/>
    <n v="282.33999999999997"/>
    <n v="-579.9"/>
    <n v="0"/>
    <n v="582.08000000000004"/>
    <n v="-582.08000000000004"/>
    <n v="710.18999999999994"/>
    <n v="1164.1600000000001"/>
  </r>
  <r>
    <x v="0"/>
    <x v="8"/>
    <x v="0"/>
    <s v="4950104"/>
    <n v="749510"/>
    <s v="RICE Rewards"/>
    <s v="Respiratory Therapy"/>
    <x v="0"/>
    <n v="5100"/>
    <n v="0"/>
    <n v="0"/>
    <n v="0"/>
    <n v="0"/>
    <n v="0"/>
    <n v="0"/>
    <n v="152.22999999999999"/>
    <n v="0"/>
    <n v="20.13"/>
    <n v="0"/>
    <n v="0"/>
    <n v="0"/>
    <n v="172.35999999999999"/>
    <n v="0"/>
  </r>
  <r>
    <x v="0"/>
    <x v="8"/>
    <x v="0"/>
    <s v="4950104"/>
    <n v="749530"/>
    <s v="Travel"/>
    <s v="Respiratory Therapy"/>
    <x v="0"/>
    <m/>
    <n v="0"/>
    <n v="135"/>
    <n v="60"/>
    <n v="60"/>
    <n v="85"/>
    <n v="213.16"/>
    <n v="0"/>
    <n v="55"/>
    <n v="135"/>
    <n v="65"/>
    <n v="95"/>
    <n v="132"/>
    <n v="1035.1599999999999"/>
    <n v="-37"/>
  </r>
  <r>
    <x v="0"/>
    <x v="8"/>
    <x v="0"/>
    <s v="4950104"/>
    <n v="749530"/>
    <s v="Mileage"/>
    <s v="Respiratory Therapy"/>
    <x v="0"/>
    <n v="1001"/>
    <n v="0"/>
    <n v="535.29999999999995"/>
    <n v="257.83999999999997"/>
    <n v="269.83"/>
    <n v="360.32"/>
    <n v="325.41000000000003"/>
    <n v="0"/>
    <n v="242.56"/>
    <n v="639.74"/>
    <n v="312.62"/>
    <n v="354.96"/>
    <n v="450.08"/>
    <n v="3748.66"/>
    <n v="-95.12"/>
  </r>
  <r>
    <x v="18"/>
    <x v="5"/>
    <x v="0"/>
    <s v="4950106"/>
    <n v="400010"/>
    <s v="Acute I/P Svcs Rev--Medicare"/>
    <s v="Respiratory Therapy"/>
    <x v="0"/>
    <n v="1100"/>
    <n v="-833005.04"/>
    <n v="-925138.81"/>
    <n v="-1208456.18"/>
    <n v="-1162082.93"/>
    <n v="-855686.02"/>
    <n v="-1388743.99"/>
    <n v="-1253841.56"/>
    <n v="-1189542.83"/>
    <n v="-1364513.27"/>
    <n v="-1560182.77"/>
    <n v="-1229304.8600000001"/>
    <n v="-1194817.1599999999"/>
    <n v="-14165315.42"/>
    <n v="-34487.700000000186"/>
  </r>
  <r>
    <x v="18"/>
    <x v="5"/>
    <x v="0"/>
    <s v="4950106"/>
    <n v="400010"/>
    <s v="Acute I/P Svcs Rev--Medicaid"/>
    <s v="Respiratory Therapy"/>
    <x v="0"/>
    <n v="1200"/>
    <n v="-426079.14"/>
    <n v="-240928.29"/>
    <n v="-373582.98"/>
    <n v="-417526.63"/>
    <n v="-512513.52"/>
    <n v="-295958.19"/>
    <n v="-370525.1"/>
    <n v="-634847.64"/>
    <n v="-620850.57999999996"/>
    <n v="-460071.36"/>
    <n v="-463635.04"/>
    <n v="-388274.81"/>
    <n v="-5204793.28"/>
    <n v="-75360.229999999981"/>
  </r>
  <r>
    <x v="18"/>
    <x v="5"/>
    <x v="0"/>
    <s v="4950106"/>
    <n v="400010"/>
    <s v="Acute I/P Svcs Rev--Comm Insurance"/>
    <s v="Respiratory Therapy"/>
    <x v="0"/>
    <n v="1300"/>
    <n v="4132.67"/>
    <n v="-41822.660000000003"/>
    <n v="38611.93"/>
    <n v="-3501.39"/>
    <n v="-45080.61"/>
    <n v="-17884.54"/>
    <n v="-2135.41"/>
    <n v="-179761.47"/>
    <n v="-37134.46"/>
    <n v="-90705.77"/>
    <n v="-7414.02"/>
    <n v="-22159.56"/>
    <n v="-404855.29000000004"/>
    <n v="14745.54"/>
  </r>
  <r>
    <x v="18"/>
    <x v="5"/>
    <x v="0"/>
    <s v="4950106"/>
    <n v="400010"/>
    <s v="Acute I/P Svcs Rev--BCBS Comm"/>
    <s v="Respiratory Therapy"/>
    <x v="0"/>
    <n v="1301"/>
    <n v="-33724.39"/>
    <n v="-13483.27"/>
    <n v="-24888.720000000001"/>
    <n v="-7709.78"/>
    <n v="-52960.12"/>
    <n v="-118021.07"/>
    <n v="-40550.04"/>
    <n v="-61882.8"/>
    <n v="-12759.24"/>
    <n v="-97734.71"/>
    <n v="-39835.519999999997"/>
    <n v="-13846.57"/>
    <n v="-517396.23000000004"/>
    <n v="-25988.949999999997"/>
  </r>
  <r>
    <x v="18"/>
    <x v="5"/>
    <x v="0"/>
    <s v="4950106"/>
    <n v="400010"/>
    <s v="Acute I/P Svcs Rev--Managed Care"/>
    <s v="Respiratory Therapy"/>
    <x v="0"/>
    <n v="1400"/>
    <n v="-219449.19"/>
    <n v="-154992.26999999999"/>
    <n v="-142878.74"/>
    <n v="-140762.91"/>
    <n v="-97085.03"/>
    <n v="-200383.98"/>
    <n v="-157399.26"/>
    <n v="-220538.23"/>
    <n v="-497279.47"/>
    <n v="-124622.45"/>
    <n v="-112441.24"/>
    <n v="-108689.71"/>
    <n v="-2176522.48"/>
    <n v="-3751.5299999999988"/>
  </r>
  <r>
    <x v="18"/>
    <x v="5"/>
    <x v="0"/>
    <s v="4950106"/>
    <n v="400010"/>
    <s v="Acute I/P Svcs Rev--Self Pay"/>
    <s v="Respiratory Therapy"/>
    <x v="0"/>
    <n v="1500"/>
    <n v="18913.259999999998"/>
    <n v="-20760.03"/>
    <n v="-19604.52"/>
    <n v="-455.49"/>
    <n v="-66098.460000000006"/>
    <n v="-16333.26"/>
    <n v="-105665.66"/>
    <n v="-78651.399999999994"/>
    <n v="156614.42000000001"/>
    <n v="-10404.27"/>
    <n v="-56528.54"/>
    <n v="-15610.12"/>
    <n v="-214584.06999999998"/>
    <n v="-40918.42"/>
  </r>
  <r>
    <x v="18"/>
    <x v="5"/>
    <x v="0"/>
    <s v="4950106"/>
    <n v="400010"/>
    <s v="Acute I/P Svcs Rev--Other"/>
    <s v="Respiratory Therapy"/>
    <x v="0"/>
    <n v="1700"/>
    <n v="-6072.88"/>
    <n v="16221.36"/>
    <n v="-26326.12"/>
    <n v="-32034.87"/>
    <n v="-2835.18"/>
    <n v="-37397.46"/>
    <n v="-25503.71"/>
    <n v="-8579.9599999999991"/>
    <n v="-73944.460000000006"/>
    <n v="8908.31"/>
    <n v="-17636.419999999998"/>
    <n v="-39163.82"/>
    <n v="-244365.20999999996"/>
    <n v="21527.4"/>
  </r>
  <r>
    <x v="19"/>
    <x v="5"/>
    <x v="0"/>
    <s v="4950106"/>
    <n v="400020"/>
    <s v="O/P Care Svcs Rev--Medicare"/>
    <s v="Respiratory Therapy"/>
    <x v="0"/>
    <n v="1100"/>
    <n v="-192638.42"/>
    <n v="-219806.01"/>
    <n v="-195828.72"/>
    <n v="-240736.67"/>
    <n v="-211748.57"/>
    <n v="-208710.39999999999"/>
    <n v="-246581.13"/>
    <n v="-208721.85"/>
    <n v="-246282.19"/>
    <n v="-226935.73"/>
    <n v="-227694.11"/>
    <n v="-243936.92"/>
    <n v="-2669620.7199999997"/>
    <n v="16242.810000000027"/>
  </r>
  <r>
    <x v="19"/>
    <x v="5"/>
    <x v="0"/>
    <s v="4950106"/>
    <n v="400020"/>
    <s v="O/P Care Svcs Rev--Medicaid"/>
    <s v="Respiratory Therapy"/>
    <x v="0"/>
    <n v="1200"/>
    <n v="-142930.87"/>
    <n v="-148218.51999999999"/>
    <n v="-137173.20000000001"/>
    <n v="-110829.65"/>
    <n v="-128409.26"/>
    <n v="-129777.49"/>
    <n v="-140500.51999999999"/>
    <n v="-117016.29"/>
    <n v="-148167.21"/>
    <n v="-146827.01"/>
    <n v="-132025.37"/>
    <n v="-120394.62"/>
    <n v="-1602270.0100000002"/>
    <n v="-11630.75"/>
  </r>
  <r>
    <x v="19"/>
    <x v="5"/>
    <x v="0"/>
    <s v="4950106"/>
    <n v="400020"/>
    <s v="O/P Care Svcs Rev--Comm Insurance"/>
    <s v="Respiratory Therapy"/>
    <x v="0"/>
    <n v="1300"/>
    <n v="-7380.02"/>
    <n v="-15947.91"/>
    <n v="-11624.65"/>
    <n v="-17524.560000000001"/>
    <n v="-8041.68"/>
    <n v="-5468.13"/>
    <n v="-11021.74"/>
    <n v="-15785.23"/>
    <n v="-12203.58"/>
    <n v="-15133.74"/>
    <n v="-10342.280000000001"/>
    <n v="-11375.68"/>
    <n v="-141849.20000000001"/>
    <n v="1033.3999999999996"/>
  </r>
  <r>
    <x v="19"/>
    <x v="5"/>
    <x v="0"/>
    <s v="4950106"/>
    <n v="400020"/>
    <s v="O/P Care Svcs Rev--BCBS Comm"/>
    <s v="Respiratory Therapy"/>
    <x v="0"/>
    <n v="1301"/>
    <n v="-42701.1"/>
    <n v="-39932.730000000003"/>
    <n v="-41651.49"/>
    <n v="-33888.58"/>
    <n v="-40724.75"/>
    <n v="-39649.81"/>
    <n v="-39658.49"/>
    <n v="-38351.620000000003"/>
    <n v="-43291.86"/>
    <n v="-32416.080000000002"/>
    <n v="-38729.839999999997"/>
    <n v="-43554.239999999998"/>
    <n v="-474550.58999999997"/>
    <n v="4824.4000000000015"/>
  </r>
  <r>
    <x v="19"/>
    <x v="5"/>
    <x v="0"/>
    <s v="4950106"/>
    <n v="400020"/>
    <s v="O/P Care Svcs Rev--Managed Care"/>
    <s v="Respiratory Therapy"/>
    <x v="0"/>
    <n v="1400"/>
    <n v="-110019.22"/>
    <n v="-108173.14"/>
    <n v="-79277.990000000005"/>
    <n v="-102603.71"/>
    <n v="-106562.73"/>
    <n v="-95417.85"/>
    <n v="-77370.94"/>
    <n v="-86214.77"/>
    <n v="-99616.42"/>
    <n v="-88638.62"/>
    <n v="-99822.98"/>
    <n v="-75988.460000000006"/>
    <n v="-1129706.83"/>
    <n v="-23834.51999999999"/>
  </r>
  <r>
    <x v="19"/>
    <x v="5"/>
    <x v="0"/>
    <s v="4950106"/>
    <n v="400020"/>
    <s v="O/P Care Svcs Rev--Self Pay"/>
    <s v="Respiratory Therapy"/>
    <x v="0"/>
    <n v="1500"/>
    <n v="-34733.47"/>
    <n v="-87062.55"/>
    <n v="-40319.68"/>
    <n v="-25568.38"/>
    <n v="-23119.14"/>
    <n v="-42726.23"/>
    <n v="-46382.98"/>
    <n v="-32885.300000000003"/>
    <n v="-26080.01"/>
    <n v="-18108.46"/>
    <n v="-41504.94"/>
    <n v="-32629.33"/>
    <n v="-451120.47000000009"/>
    <n v="-8875.61"/>
  </r>
  <r>
    <x v="19"/>
    <x v="5"/>
    <x v="0"/>
    <s v="4950106"/>
    <n v="400020"/>
    <s v="O/P Care Svcs Rev--Other"/>
    <s v="Respiratory Therapy"/>
    <x v="0"/>
    <n v="1700"/>
    <n v="-12254.63"/>
    <n v="-7576.29"/>
    <n v="-13117.23"/>
    <n v="-11055.94"/>
    <n v="-7404.25"/>
    <n v="-14554.96"/>
    <n v="-14392.05"/>
    <n v="-10138.370000000001"/>
    <n v="-12094.37"/>
    <n v="-1781.68"/>
    <n v="-2844.44"/>
    <n v="-6354.83"/>
    <n v="-113569.03999999998"/>
    <n v="3510.39"/>
  </r>
  <r>
    <x v="1"/>
    <x v="5"/>
    <x v="0"/>
    <s v="4950106"/>
    <n v="400040"/>
    <s v="Physician Svcs Rev--Medicare"/>
    <s v="Respiratory Therapy"/>
    <x v="0"/>
    <n v="1100"/>
    <n v="-3600"/>
    <n v="-5592"/>
    <n v="-1320"/>
    <n v="-4056"/>
    <n v="-1944"/>
    <n v="-1848"/>
    <n v="-3840"/>
    <n v="-3144"/>
    <n v="-3984"/>
    <n v="-1800"/>
    <n v="-2784"/>
    <n v="-2712"/>
    <n v="-36624"/>
    <n v="-72"/>
  </r>
  <r>
    <x v="1"/>
    <x v="5"/>
    <x v="0"/>
    <s v="4950106"/>
    <n v="400040"/>
    <s v="Physician Svcs Rev--Medicaid"/>
    <s v="Respiratory Therapy"/>
    <x v="0"/>
    <n v="1200"/>
    <n v="-2304"/>
    <n v="-3864"/>
    <n v="-888"/>
    <n v="-2160"/>
    <n v="-912"/>
    <n v="-1080"/>
    <n v="-1608"/>
    <n v="-1800"/>
    <n v="-1800"/>
    <n v="-816"/>
    <n v="-2832"/>
    <n v="-1632"/>
    <n v="-21696"/>
    <n v="-1200"/>
  </r>
  <r>
    <x v="1"/>
    <x v="5"/>
    <x v="0"/>
    <s v="4950106"/>
    <n v="400040"/>
    <s v="Physician Svcs Rev--Comm Insurance"/>
    <s v="Respiratory Therapy"/>
    <x v="0"/>
    <n v="1300"/>
    <n v="-216"/>
    <n v="-288"/>
    <n v="-120"/>
    <n v="-336"/>
    <n v="-216"/>
    <n v="-72"/>
    <n v="-216"/>
    <n v="-240"/>
    <n v="-264"/>
    <n v="-24"/>
    <n v="-144"/>
    <n v="-144"/>
    <n v="-2280"/>
    <n v="0"/>
  </r>
  <r>
    <x v="1"/>
    <x v="5"/>
    <x v="0"/>
    <s v="4950106"/>
    <n v="400040"/>
    <s v="Physician Svcs Rev--BCBS Comm"/>
    <s v="Respiratory Therapy"/>
    <x v="0"/>
    <n v="1301"/>
    <n v="-432"/>
    <n v="-624"/>
    <n v="-312"/>
    <n v="-384"/>
    <n v="-216"/>
    <n v="-192"/>
    <n v="-504"/>
    <n v="-672"/>
    <n v="-624"/>
    <n v="-240"/>
    <n v="-672"/>
    <n v="-456"/>
    <n v="-5328"/>
    <n v="-216"/>
  </r>
  <r>
    <x v="1"/>
    <x v="5"/>
    <x v="0"/>
    <s v="4950106"/>
    <n v="400040"/>
    <s v="Physician Svcs Rev--Managed Care"/>
    <s v="Respiratory Therapy"/>
    <x v="0"/>
    <n v="1400"/>
    <n v="-1248"/>
    <n v="-2400"/>
    <n v="-696"/>
    <n v="-1272"/>
    <n v="-696"/>
    <n v="-936"/>
    <n v="-1008"/>
    <n v="-1584"/>
    <n v="-1320"/>
    <n v="-672"/>
    <n v="-2088"/>
    <n v="-1056"/>
    <n v="-14976"/>
    <n v="-1032"/>
  </r>
  <r>
    <x v="1"/>
    <x v="5"/>
    <x v="0"/>
    <s v="4950106"/>
    <n v="400040"/>
    <s v="Physician Svcs Rev--Self Pay"/>
    <s v="Respiratory Therapy"/>
    <x v="0"/>
    <n v="1500"/>
    <n v="-408"/>
    <n v="-504"/>
    <n v="-840"/>
    <n v="-432"/>
    <n v="-216"/>
    <n v="-336"/>
    <n v="-360"/>
    <n v="-408"/>
    <n v="-480"/>
    <n v="-264"/>
    <n v="-744"/>
    <n v="-360"/>
    <n v="-5352"/>
    <n v="-384"/>
  </r>
  <r>
    <x v="1"/>
    <x v="5"/>
    <x v="0"/>
    <s v="4950106"/>
    <n v="400040"/>
    <s v="Physician Svcs Rev--Other"/>
    <s v="Respiratory Therapy"/>
    <x v="0"/>
    <n v="1700"/>
    <n v="-144"/>
    <n v="-216"/>
    <n v="-48"/>
    <n v="-120"/>
    <n v="-72"/>
    <n v="-96"/>
    <n v="-192"/>
    <n v="-240"/>
    <n v="-192"/>
    <n v="-48"/>
    <n v="-120"/>
    <n v="-72"/>
    <n v="-1560"/>
    <n v="-48"/>
  </r>
  <r>
    <x v="2"/>
    <x v="5"/>
    <x v="0"/>
    <s v="4950106"/>
    <n v="450040"/>
    <s v="Contr Allow--Phys Svcs--Mcare"/>
    <s v="Respiratory Therapy"/>
    <x v="0"/>
    <n v="1100"/>
    <n v="1728.45"/>
    <n v="2995.37"/>
    <n v="2082.14"/>
    <n v="2060.4899999999998"/>
    <n v="1501.97"/>
    <n v="1229.69"/>
    <n v="2162.9699999999998"/>
    <n v="876.08"/>
    <n v="996.65"/>
    <n v="800.21"/>
    <n v="923.43"/>
    <n v="1652.1"/>
    <n v="19009.549999999996"/>
    <n v="-728.67"/>
  </r>
  <r>
    <x v="2"/>
    <x v="5"/>
    <x v="0"/>
    <s v="4950106"/>
    <n v="450040"/>
    <s v="Contr Allow--Phys Svcs--Mcaid"/>
    <s v="Respiratory Therapy"/>
    <x v="0"/>
    <n v="1200"/>
    <n v="1408.72"/>
    <n v="2362.3200000000002"/>
    <n v="1433.2"/>
    <n v="1520.02"/>
    <n v="515.76"/>
    <n v="1108.33"/>
    <n v="1028.2"/>
    <n v="1012.28"/>
    <n v="1137.7"/>
    <n v="1003.94"/>
    <n v="1590.6"/>
    <n v="1258.2"/>
    <n v="15379.270000000004"/>
    <n v="332.39999999999986"/>
  </r>
  <r>
    <x v="2"/>
    <x v="5"/>
    <x v="0"/>
    <s v="4950106"/>
    <n v="450040"/>
    <s v="Contr Allow--Phys Svcs--Comm Insurance"/>
    <s v="Respiratory Therapy"/>
    <x v="0"/>
    <n v="1300"/>
    <n v="17.59"/>
    <n v="127.55"/>
    <n v="51.06"/>
    <n v="48.2"/>
    <n v="86.26"/>
    <n v="87.22"/>
    <n v="41.04"/>
    <n v="57.32"/>
    <n v="78.13"/>
    <n v="90.09"/>
    <n v="107.3"/>
    <n v="41.77"/>
    <n v="833.53"/>
    <n v="65.53"/>
  </r>
  <r>
    <x v="2"/>
    <x v="5"/>
    <x v="0"/>
    <s v="4950106"/>
    <n v="450040"/>
    <s v="Contr Allow--Phys Svcs--BCBS Comm Ins"/>
    <s v="Respiratory Therapy"/>
    <x v="0"/>
    <n v="1301"/>
    <n v="79.56"/>
    <n v="439.08"/>
    <n v="154.08000000000001"/>
    <n v="205.44"/>
    <n v="59.26"/>
    <n v="128.4"/>
    <n v="192.6"/>
    <n v="231.12"/>
    <n v="365.88"/>
    <n v="192.6"/>
    <n v="269.82"/>
    <n v="265.91000000000003"/>
    <n v="2583.75"/>
    <n v="3.9099999999999682"/>
  </r>
  <r>
    <x v="2"/>
    <x v="5"/>
    <x v="0"/>
    <s v="4950106"/>
    <n v="450040"/>
    <s v="Contr Allow--Phys Svcs--Managed Care"/>
    <s v="Respiratory Therapy"/>
    <x v="0"/>
    <n v="1400"/>
    <n v="594.6"/>
    <n v="999.48"/>
    <n v="588.66999999999996"/>
    <n v="714.76"/>
    <n v="328.7"/>
    <n v="307.87"/>
    <n v="574.61"/>
    <n v="488.57"/>
    <n v="485.65"/>
    <n v="553.12"/>
    <n v="586.66"/>
    <n v="655.38"/>
    <n v="6878.0699999999988"/>
    <n v="-68.720000000000027"/>
  </r>
  <r>
    <x v="2"/>
    <x v="5"/>
    <x v="0"/>
    <s v="4950106"/>
    <n v="450040"/>
    <s v="Contr Allow--Phys Svcs--BCBS Mgnd Care"/>
    <s v="Respiratory Therapy"/>
    <x v="0"/>
    <n v="1401"/>
    <n v="1348.3"/>
    <n v="1291.21"/>
    <n v="-1765.69"/>
    <n v="-380.8"/>
    <n v="-5609.34"/>
    <n v="-298.64"/>
    <n v="-115.25"/>
    <n v="1740.6"/>
    <n v="1961.25"/>
    <n v="252.67"/>
    <n v="1729.28"/>
    <n v="-593.86"/>
    <n v="-440.2700000000001"/>
    <n v="2323.14"/>
  </r>
  <r>
    <x v="2"/>
    <x v="5"/>
    <x v="0"/>
    <s v="4950106"/>
    <n v="450040"/>
    <s v="Prompt Pay Disc-Phys Svcs-Self Pay"/>
    <s v="Respiratory Therapy"/>
    <x v="0"/>
    <n v="1500"/>
    <n v="0"/>
    <n v="0"/>
    <n v="0"/>
    <n v="0"/>
    <n v="0"/>
    <n v="0"/>
    <n v="0"/>
    <n v="0"/>
    <n v="13.45"/>
    <n v="0"/>
    <n v="0"/>
    <n v="0"/>
    <n v="13.45"/>
    <n v="0"/>
  </r>
  <r>
    <x v="2"/>
    <x v="5"/>
    <x v="0"/>
    <s v="4950106"/>
    <n v="450040"/>
    <s v="Admin Adjust-Phys Svcs-Self Pay"/>
    <s v="Respiratory Therapy"/>
    <x v="0"/>
    <n v="1600"/>
    <n v="515.98"/>
    <n v="1531.33"/>
    <n v="351.05"/>
    <n v="423.44"/>
    <n v="146.03"/>
    <n v="211.98"/>
    <n v="273.07"/>
    <n v="446.6"/>
    <n v="278.35000000000002"/>
    <n v="83.07"/>
    <n v="239.57"/>
    <n v="144.03"/>
    <n v="4644.5"/>
    <n v="95.539999999999992"/>
  </r>
  <r>
    <x v="2"/>
    <x v="5"/>
    <x v="0"/>
    <s v="4950106"/>
    <n v="450040"/>
    <s v="Contr Allow--Phys Svcs--Other"/>
    <s v="Respiratory Therapy"/>
    <x v="0"/>
    <n v="1700"/>
    <n v="51.68"/>
    <n v="120.45"/>
    <n v="29.8"/>
    <n v="15.11"/>
    <n v="38.26"/>
    <n v="18.260000000000002"/>
    <n v="17.71"/>
    <n v="23.85"/>
    <n v="71.150000000000006"/>
    <n v="144.05000000000001"/>
    <n v="62.78"/>
    <n v="239.41"/>
    <n v="832.50999999999988"/>
    <n v="-176.63"/>
  </r>
  <r>
    <x v="3"/>
    <x v="5"/>
    <x v="0"/>
    <s v="4950106"/>
    <n v="470040"/>
    <s v="Charity Care-Physician Svcs"/>
    <s v="Respiratory Therapy"/>
    <x v="0"/>
    <m/>
    <n v="842.17"/>
    <n v="-337.9"/>
    <n v="-184.48"/>
    <n v="333.31"/>
    <n v="-155.16"/>
    <n v="-69.77"/>
    <n v="-21.08"/>
    <n v="-178.36"/>
    <n v="-138.09"/>
    <n v="794.76"/>
    <n v="-110.73"/>
    <n v="1323.31"/>
    <n v="2097.98"/>
    <n v="-1434.04"/>
  </r>
  <r>
    <x v="4"/>
    <x v="5"/>
    <x v="0"/>
    <s v="4950106"/>
    <n v="490010"/>
    <s v="Provision for Bad Debts"/>
    <s v="Respiratory Therapy"/>
    <x v="0"/>
    <m/>
    <n v="616.94000000000005"/>
    <n v="-261.32"/>
    <n v="158.04"/>
    <n v="551.01"/>
    <n v="182.81"/>
    <n v="333.34"/>
    <n v="650.55999999999995"/>
    <n v="440.68"/>
    <n v="619.27"/>
    <n v="960.24"/>
    <n v="-587.54"/>
    <n v="-538.59"/>
    <n v="3125.4399999999996"/>
    <n v="-48.949999999999932"/>
  </r>
  <r>
    <x v="14"/>
    <x v="5"/>
    <x v="0"/>
    <s v="4950106"/>
    <n v="600050"/>
    <s v="Miscellaneous Revenue"/>
    <s v="Respiratory Therapy"/>
    <x v="0"/>
    <m/>
    <n v="-2505.0100000000002"/>
    <n v="-1110.78"/>
    <n v="-656.91"/>
    <n v="-535.14"/>
    <n v="34.729999999999997"/>
    <n v="-2694.66"/>
    <n v="2642.36"/>
    <n v="0"/>
    <n v="0"/>
    <n v="0"/>
    <n v="709.21"/>
    <n v="0"/>
    <n v="-4116.2"/>
    <n v="709.21"/>
  </r>
  <r>
    <x v="14"/>
    <x v="5"/>
    <x v="0"/>
    <s v="4950106"/>
    <n v="600050"/>
    <s v="Misc.Revenue-Contract Services"/>
    <s v="Respiratory Therapy"/>
    <x v="0"/>
    <n v="1017"/>
    <n v="-1134.8900000000001"/>
    <n v="-2832.76"/>
    <n v="-2172.7600000000002"/>
    <n v="-1297.02"/>
    <n v="-2903.3"/>
    <n v="-2420.1"/>
    <n v="-2675.42"/>
    <n v="-2672.71"/>
    <n v="-1369.82"/>
    <n v="-1924.55"/>
    <n v="-1894.17"/>
    <n v="-3087.82"/>
    <n v="-26385.32"/>
    <n v="1193.6500000000001"/>
  </r>
  <r>
    <x v="5"/>
    <x v="5"/>
    <x v="0"/>
    <s v="4950106"/>
    <n v="700014"/>
    <s v="Salaries-Management-Productive"/>
    <s v="Respiratory Therapy"/>
    <x v="0"/>
    <m/>
    <n v="6051.65"/>
    <n v="7894.98"/>
    <n v="9154.68"/>
    <n v="8515.4699999999993"/>
    <n v="9374.76"/>
    <n v="6376.47"/>
    <n v="8029.86"/>
    <n v="8566.84"/>
    <n v="7871.48"/>
    <n v="10241.99"/>
    <n v="7650.22"/>
    <n v="7650.24"/>
    <n v="97378.640000000014"/>
    <n v="-1.9999999999527063E-2"/>
  </r>
  <r>
    <x v="5"/>
    <x v="5"/>
    <x v="0"/>
    <s v="4950106"/>
    <n v="700014"/>
    <s v="Salaries-Management-OT"/>
    <s v="Respiratory Therapy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4950106"/>
    <n v="700032"/>
    <s v="Salaries-Other Pat Care Providers-Productive"/>
    <s v="Respiratory Therapy"/>
    <x v="0"/>
    <m/>
    <n v="5751.92"/>
    <n v="3910.91"/>
    <n v="3421.41"/>
    <n v="3801.51"/>
    <n v="1630.88"/>
    <n v="3881.2"/>
    <n v="3323.14"/>
    <n v="3305.88"/>
    <n v="3784.05"/>
    <n v="3389.45"/>
    <n v="3929.87"/>
    <n v="3144"/>
    <n v="43274.22"/>
    <n v="785.86999999999989"/>
  </r>
  <r>
    <x v="5"/>
    <x v="5"/>
    <x v="0"/>
    <s v="4950106"/>
    <n v="700032"/>
    <s v="Salaries-Other Pat Care Providers-OT"/>
    <s v="Respiratory Therapy"/>
    <x v="0"/>
    <n v="1000"/>
    <n v="12"/>
    <n v="7.78"/>
    <n v="0"/>
    <n v="0"/>
    <n v="0"/>
    <n v="0"/>
    <n v="0"/>
    <n v="0"/>
    <n v="0"/>
    <n v="0"/>
    <n v="0"/>
    <n v="0"/>
    <n v="19.78"/>
    <n v="0"/>
  </r>
  <r>
    <x v="5"/>
    <x v="5"/>
    <x v="0"/>
    <s v="4950106"/>
    <n v="700032"/>
    <s v="Salaries-Other Pat Care Providers-Other"/>
    <s v="Respiratory Therapy"/>
    <x v="0"/>
    <n v="2000"/>
    <n v="148.13999999999999"/>
    <n v="21.11"/>
    <n v="0"/>
    <n v="0"/>
    <n v="0"/>
    <n v="0"/>
    <n v="0"/>
    <n v="0"/>
    <n v="0"/>
    <n v="0"/>
    <n v="0"/>
    <n v="0"/>
    <n v="169.25"/>
    <n v="0"/>
  </r>
  <r>
    <x v="5"/>
    <x v="5"/>
    <x v="0"/>
    <s v="4950106"/>
    <n v="700034"/>
    <s v="Salaries-Tech/Professional-Productive"/>
    <s v="Respiratory Therapy"/>
    <x v="0"/>
    <m/>
    <n v="69628.289999999994"/>
    <n v="70328.81"/>
    <n v="74407.839999999997"/>
    <n v="98232.41"/>
    <n v="59791.360000000001"/>
    <n v="85910.6"/>
    <n v="84532.800000000003"/>
    <n v="87451.22"/>
    <n v="97223.19"/>
    <n v="95443.65"/>
    <n v="74428.55"/>
    <n v="72896.509999999995"/>
    <n v="970275.2300000001"/>
    <n v="1532.0400000000081"/>
  </r>
  <r>
    <x v="5"/>
    <x v="5"/>
    <x v="0"/>
    <s v="4950106"/>
    <n v="700034"/>
    <s v="Salaries-Tech/Professional-OT"/>
    <s v="Respiratory Therapy"/>
    <x v="0"/>
    <n v="1000"/>
    <n v="339.34"/>
    <n v="959.05"/>
    <n v="996.35"/>
    <n v="253.11"/>
    <n v="486.52"/>
    <n v="2691.3"/>
    <n v="521.73"/>
    <n v="5212.1000000000004"/>
    <n v="1304.28"/>
    <n v="3955.14"/>
    <n v="5.18"/>
    <n v="2333.6999999999998"/>
    <n v="19057.800000000003"/>
    <n v="-2328.52"/>
  </r>
  <r>
    <x v="5"/>
    <x v="5"/>
    <x v="0"/>
    <s v="4950106"/>
    <n v="700034"/>
    <s v="Salaries-Tech/Professional-Other"/>
    <s v="Respiratory Therapy"/>
    <x v="0"/>
    <n v="2000"/>
    <n v="6940.55"/>
    <n v="5090.83"/>
    <n v="5100.01"/>
    <n v="7173.08"/>
    <n v="4474.67"/>
    <n v="5925.08"/>
    <n v="5748.23"/>
    <n v="6886.69"/>
    <n v="6460.6"/>
    <n v="6726.28"/>
    <n v="5402.67"/>
    <n v="5612.41"/>
    <n v="71541.100000000006"/>
    <n v="-209.73999999999978"/>
  </r>
  <r>
    <x v="5"/>
    <x v="5"/>
    <x v="0"/>
    <s v="4950106"/>
    <n v="700054"/>
    <s v="Salaries-Management-Non-productive"/>
    <s v="Respiratory Therapy"/>
    <x v="0"/>
    <m/>
    <n v="3471.17"/>
    <n v="1628.28"/>
    <n v="61.51"/>
    <n v="1219.21"/>
    <n v="94.71"/>
    <n v="3408.97"/>
    <n v="1770.82"/>
    <n v="284.52999999999997"/>
    <n v="1928.3"/>
    <n v="-758.63"/>
    <n v="2149.5500000000002"/>
    <n v="1833.57"/>
    <n v="17091.990000000002"/>
    <n v="315.98000000000025"/>
  </r>
  <r>
    <x v="5"/>
    <x v="5"/>
    <x v="0"/>
    <s v="4950106"/>
    <n v="700054"/>
    <s v="Salaries-Management-NonProd-Other"/>
    <s v="Respiratory Therapy"/>
    <x v="0"/>
    <n v="2000"/>
    <n v="0"/>
    <n v="0"/>
    <n v="0"/>
    <n v="0"/>
    <n v="0"/>
    <n v="2383.52"/>
    <n v="-2383.52"/>
    <n v="0"/>
    <n v="0"/>
    <n v="0"/>
    <n v="0"/>
    <n v="0"/>
    <n v="0"/>
    <n v="0"/>
  </r>
  <r>
    <x v="5"/>
    <x v="5"/>
    <x v="0"/>
    <s v="4950106"/>
    <n v="700072"/>
    <s v="Salaries-Other Pat Care Providers-Non-productive"/>
    <s v="Respiratory Therapy"/>
    <x v="0"/>
    <m/>
    <n v="1938.3"/>
    <n v="941.88"/>
    <n v="343.36"/>
    <n v="0"/>
    <n v="1833.28"/>
    <n v="12.28"/>
    <n v="515.79"/>
    <n v="249.42"/>
    <n v="-7.65"/>
    <n v="294.70999999999998"/>
    <n v="-122.78"/>
    <n v="540.33000000000004"/>
    <n v="6538.92"/>
    <n v="-663.11"/>
  </r>
  <r>
    <x v="5"/>
    <x v="5"/>
    <x v="0"/>
    <s v="4950106"/>
    <n v="700074"/>
    <s v="Salaries-Tech/Professional-Non-productive"/>
    <s v="Respiratory Therapy"/>
    <x v="0"/>
    <m/>
    <n v="19502.62"/>
    <n v="18208.12"/>
    <n v="15148.11"/>
    <n v="8906.23"/>
    <n v="23953.56"/>
    <n v="15399.42"/>
    <n v="11120.82"/>
    <n v="10877.27"/>
    <n v="5716.46"/>
    <n v="8419.6299999999992"/>
    <n v="16714.189999999999"/>
    <n v="11998.49"/>
    <n v="165964.92000000001"/>
    <n v="4715.6999999999989"/>
  </r>
  <r>
    <x v="5"/>
    <x v="5"/>
    <x v="0"/>
    <s v="4950106"/>
    <n v="700074"/>
    <s v="Salaries-Tech/Professional-NonProd-Other"/>
    <s v="Respiratory Therapy"/>
    <x v="0"/>
    <n v="2000"/>
    <n v="819.51"/>
    <n v="721.06"/>
    <n v="1199.49"/>
    <n v="324.39"/>
    <n v="1558.71"/>
    <n v="1306.49"/>
    <n v="459.64"/>
    <n v="-1143.08"/>
    <n v="133.07"/>
    <n v="510.06"/>
    <n v="632.89"/>
    <n v="411.95"/>
    <n v="6934.18"/>
    <n v="220.94"/>
  </r>
  <r>
    <x v="5"/>
    <x v="5"/>
    <x v="0"/>
    <s v="4950106"/>
    <n v="700084"/>
    <s v="Accrued PTO"/>
    <s v="Respiratory Therapy"/>
    <x v="0"/>
    <m/>
    <n v="-1338.58"/>
    <n v="-4045.31"/>
    <n v="-3220.47"/>
    <n v="5616.48"/>
    <n v="-713.07"/>
    <n v="-703.38"/>
    <n v="1787.16"/>
    <n v="1962.94"/>
    <n v="7423.96"/>
    <n v="6433.16"/>
    <n v="-1802.73"/>
    <n v="-508.63"/>
    <n v="10891.530000000002"/>
    <n v="-1294.0999999999999"/>
  </r>
  <r>
    <x v="6"/>
    <x v="5"/>
    <x v="0"/>
    <s v="4950106"/>
    <n v="713010"/>
    <s v="Benefits-FICA/Medicare"/>
    <s v="Respiratory Therapy"/>
    <x v="0"/>
    <m/>
    <n v="9187.2800000000007"/>
    <n v="7880.84"/>
    <n v="7610.89"/>
    <n v="9474.4699999999993"/>
    <n v="7767.6"/>
    <n v="9252.07"/>
    <n v="8638.65"/>
    <n v="9057.56"/>
    <n v="9110.83"/>
    <n v="9382.32"/>
    <n v="8127.75"/>
    <n v="7790.7"/>
    <n v="103280.96000000001"/>
    <n v="337.05000000000018"/>
  </r>
  <r>
    <x v="6"/>
    <x v="5"/>
    <x v="0"/>
    <s v="4950106"/>
    <n v="713090"/>
    <s v="Benefits-Allocated Amounts"/>
    <s v="Respiratory Therapy"/>
    <x v="0"/>
    <m/>
    <n v="25188.62"/>
    <n v="23403.87"/>
    <n v="23164.98"/>
    <n v="26410.77"/>
    <n v="22488.14"/>
    <n v="26094.400000000001"/>
    <n v="25098.45"/>
    <n v="26564.97"/>
    <n v="26249.11"/>
    <n v="27661.67"/>
    <n v="23502.95"/>
    <n v="22769.09"/>
    <n v="298597.02"/>
    <n v="733.86000000000058"/>
  </r>
  <r>
    <x v="17"/>
    <x v="5"/>
    <x v="0"/>
    <s v="4950106"/>
    <n v="714510"/>
    <s v="Medical Director Fees"/>
    <s v="Respiratory Therapy"/>
    <x v="0"/>
    <m/>
    <n v="700"/>
    <n v="700"/>
    <n v="700"/>
    <n v="700"/>
    <n v="700"/>
    <n v="700"/>
    <n v="700"/>
    <n v="700"/>
    <n v="0"/>
    <n v="-21700"/>
    <n v="0"/>
    <n v="0"/>
    <n v="-16100"/>
    <n v="0"/>
  </r>
  <r>
    <x v="17"/>
    <x v="5"/>
    <x v="0"/>
    <s v="4950106"/>
    <n v="714520"/>
    <s v="Other Contracted Professionals"/>
    <s v="Respiratory Therapy"/>
    <x v="0"/>
    <m/>
    <n v="7030"/>
    <n v="8480"/>
    <n v="-9530"/>
    <n v="6950"/>
    <n v="6300"/>
    <n v="6480"/>
    <n v="6950"/>
    <n v="7930"/>
    <n v="2500"/>
    <n v="-95360"/>
    <n v="3010"/>
    <n v="2500"/>
    <n v="-46760"/>
    <n v="510"/>
  </r>
  <r>
    <x v="7"/>
    <x v="5"/>
    <x v="0"/>
    <s v="4950106"/>
    <n v="718050"/>
    <s v="Miscellaneous Purchased Svcs"/>
    <s v="Respiratory Therapy"/>
    <x v="0"/>
    <n v="1020"/>
    <n v="0"/>
    <n v="0"/>
    <n v="0"/>
    <n v="0"/>
    <n v="54.6"/>
    <n v="54.6"/>
    <n v="0"/>
    <n v="0"/>
    <n v="0"/>
    <n v="0"/>
    <n v="0"/>
    <n v="0"/>
    <n v="109.2"/>
    <n v="0"/>
  </r>
  <r>
    <x v="7"/>
    <x v="5"/>
    <x v="0"/>
    <s v="4950106"/>
    <n v="718050"/>
    <s v="Translation Services"/>
    <s v="Respiratory Therapy"/>
    <x v="0"/>
    <n v="1025"/>
    <n v="0"/>
    <n v="0"/>
    <n v="0"/>
    <n v="0"/>
    <n v="0"/>
    <n v="0"/>
    <n v="130"/>
    <n v="0"/>
    <n v="0"/>
    <n v="0"/>
    <n v="0"/>
    <n v="0"/>
    <n v="130"/>
    <n v="0"/>
  </r>
  <r>
    <x v="7"/>
    <x v="5"/>
    <x v="0"/>
    <s v="4950106"/>
    <n v="718050"/>
    <s v="Contract Management--Linen"/>
    <s v="Respiratory Therapy"/>
    <x v="0"/>
    <n v="1026"/>
    <n v="-6"/>
    <n v="73.36"/>
    <n v="84.79"/>
    <n v="87.99"/>
    <n v="221.79"/>
    <n v="221.61"/>
    <n v="157.53"/>
    <n v="142.16"/>
    <n v="118.49"/>
    <n v="102.99"/>
    <n v="115.01"/>
    <n v="101.26"/>
    <n v="1420.9799999999998"/>
    <n v="13.75"/>
  </r>
  <r>
    <x v="7"/>
    <x v="5"/>
    <x v="0"/>
    <s v="4950106"/>
    <n v="718070"/>
    <s v="Contract Srvcs-CHI Clinical Engineering"/>
    <s v="Respiratory Therapy"/>
    <x v="0"/>
    <m/>
    <n v="0"/>
    <n v="0"/>
    <n v="0"/>
    <n v="-283.32"/>
    <n v="0"/>
    <n v="0"/>
    <n v="0"/>
    <n v="0"/>
    <n v="0"/>
    <n v="0"/>
    <n v="0"/>
    <n v="0"/>
    <n v="-283.32"/>
    <n v="0"/>
  </r>
  <r>
    <x v="11"/>
    <x v="5"/>
    <x v="0"/>
    <s v="4950106"/>
    <n v="721010"/>
    <s v="Supplies-Medical - Billable"/>
    <s v="Respiratory Therapy"/>
    <x v="0"/>
    <m/>
    <n v="391"/>
    <n v="391"/>
    <n v="0"/>
    <n v="0"/>
    <n v="0"/>
    <n v="0"/>
    <n v="759"/>
    <n v="-69"/>
    <n v="0"/>
    <n v="0"/>
    <n v="0"/>
    <n v="0"/>
    <n v="1472"/>
    <n v="0"/>
  </r>
  <r>
    <x v="11"/>
    <x v="5"/>
    <x v="0"/>
    <s v="4950106"/>
    <n v="721010"/>
    <s v="Patient Monitoring"/>
    <s v="Respiratory Therapy"/>
    <x v="0"/>
    <n v="1000"/>
    <n v="106.16"/>
    <n v="131.44999999999999"/>
    <n v="0"/>
    <n v="623.44000000000005"/>
    <n v="0"/>
    <n v="52.86"/>
    <n v="0"/>
    <n v="98.23"/>
    <n v="26.43"/>
    <n v="0"/>
    <n v="0"/>
    <n v="45.91"/>
    <n v="1084.4800000000002"/>
    <n v="-45.91"/>
  </r>
  <r>
    <x v="11"/>
    <x v="5"/>
    <x v="0"/>
    <s v="4950106"/>
    <n v="721020"/>
    <s v="Supplies-Surgical - Billable"/>
    <s v="Respiratory Therapy"/>
    <x v="0"/>
    <m/>
    <n v="0"/>
    <n v="286.02"/>
    <n v="0"/>
    <n v="286.02"/>
    <n v="270.91000000000003"/>
    <n v="15.11"/>
    <n v="0"/>
    <n v="0"/>
    <n v="0"/>
    <n v="0"/>
    <n v="270.91000000000003"/>
    <n v="515.11"/>
    <n v="1644.08"/>
    <n v="-244.2"/>
  </r>
  <r>
    <x v="11"/>
    <x v="5"/>
    <x v="0"/>
    <s v="4950106"/>
    <n v="721020"/>
    <s v="Endomechanical Supplies &amp; Instruments"/>
    <s v="Respiratory Therapy"/>
    <x v="0"/>
    <n v="1003"/>
    <n v="0"/>
    <n v="0"/>
    <n v="0"/>
    <n v="0"/>
    <n v="0"/>
    <n v="0"/>
    <n v="0"/>
    <n v="0"/>
    <n v="0"/>
    <n v="0"/>
    <n v="0"/>
    <n v="742.5"/>
    <n v="742.5"/>
    <n v="-742.5"/>
  </r>
  <r>
    <x v="11"/>
    <x v="5"/>
    <x v="0"/>
    <s v="4950106"/>
    <n v="721020"/>
    <s v="Tubes Drains &amp; Related Supplies"/>
    <s v="Respiratory Therapy"/>
    <x v="0"/>
    <n v="1008"/>
    <n v="0"/>
    <n v="72"/>
    <n v="79.5"/>
    <n v="1102.03"/>
    <n v="0"/>
    <n v="0"/>
    <n v="498.8"/>
    <n v="82.68"/>
    <n v="2175.34"/>
    <n v="67.900000000000006"/>
    <n v="0"/>
    <n v="0"/>
    <n v="4078.2500000000005"/>
    <n v="0"/>
  </r>
  <r>
    <x v="11"/>
    <x v="5"/>
    <x v="0"/>
    <s v="4950106"/>
    <n v="721220"/>
    <s v="Supplies-Medical Gases - Billable"/>
    <s v="Respiratory Therapy"/>
    <x v="0"/>
    <m/>
    <n v="8758.64"/>
    <n v="-152.66999999999999"/>
    <n v="0"/>
    <n v="7518.51"/>
    <n v="8141.33"/>
    <n v="3437.51"/>
    <n v="0"/>
    <n v="9449.0300000000007"/>
    <n v="0"/>
    <n v="7966.18"/>
    <n v="1148.1099999999999"/>
    <n v="7575.92"/>
    <n v="53842.559999999998"/>
    <n v="-6427.81"/>
  </r>
  <r>
    <x v="11"/>
    <x v="5"/>
    <x v="0"/>
    <s v="4950106"/>
    <n v="721240"/>
    <s v="Supplies-IV Solutions/Supplies - Billable"/>
    <s v="Respiratory Therapy"/>
    <x v="0"/>
    <m/>
    <n v="88.26"/>
    <n v="94.77"/>
    <n v="134.93"/>
    <n v="249.12"/>
    <n v="638.37"/>
    <n v="95.22"/>
    <n v="105.64"/>
    <n v="311.22000000000003"/>
    <n v="113.58"/>
    <n v="179.01"/>
    <n v="107.01"/>
    <n v="100.89"/>
    <n v="2218.02"/>
    <n v="6.1200000000000045"/>
  </r>
  <r>
    <x v="11"/>
    <x v="5"/>
    <x v="0"/>
    <s v="4950106"/>
    <n v="721250"/>
    <s v="Supplies-Pharmacy Drugs - Billable"/>
    <s v="Respiratory Therapy"/>
    <x v="0"/>
    <m/>
    <n v="7.46"/>
    <n v="0"/>
    <n v="0"/>
    <n v="101.07"/>
    <n v="2.13"/>
    <n v="134.76"/>
    <n v="143.36000000000001"/>
    <n v="0"/>
    <n v="61.31"/>
    <n v="0"/>
    <n v="237.22"/>
    <n v="71.8"/>
    <n v="759.1099999999999"/>
    <n v="165.42000000000002"/>
  </r>
  <r>
    <x v="11"/>
    <x v="5"/>
    <x v="0"/>
    <s v="4950106"/>
    <n v="721410"/>
    <s v="Supplies-Medical - Nonbillable"/>
    <s v="Respiratory Therapy"/>
    <x v="0"/>
    <m/>
    <n v="3472.09"/>
    <n v="1976.77"/>
    <n v="3330.63"/>
    <n v="6143.08"/>
    <n v="1565.63"/>
    <n v="5246.97"/>
    <n v="955.66"/>
    <n v="8174.78"/>
    <n v="10096.01"/>
    <n v="13111.88"/>
    <n v="1518.99"/>
    <n v="1788.32"/>
    <n v="57380.81"/>
    <n v="-269.32999999999993"/>
  </r>
  <r>
    <x v="11"/>
    <x v="5"/>
    <x v="0"/>
    <s v="4950106"/>
    <n v="721410"/>
    <s v="Patient Monitoring"/>
    <s v="Respiratory Therapy"/>
    <x v="0"/>
    <n v="1000"/>
    <n v="0"/>
    <n v="0"/>
    <n v="125.24"/>
    <n v="7.15"/>
    <n v="0"/>
    <n v="0"/>
    <n v="0"/>
    <n v="0"/>
    <n v="0"/>
    <n v="0"/>
    <n v="0"/>
    <n v="0"/>
    <n v="132.38999999999999"/>
    <n v="0"/>
  </r>
  <r>
    <x v="11"/>
    <x v="5"/>
    <x v="0"/>
    <s v="4950106"/>
    <n v="721420"/>
    <s v="Supplies-Surgical Nonbillable"/>
    <s v="Respiratory Therapy"/>
    <x v="0"/>
    <m/>
    <n v="0"/>
    <n v="0"/>
    <n v="0"/>
    <n v="14.3"/>
    <n v="0"/>
    <n v="0"/>
    <n v="0"/>
    <n v="0"/>
    <n v="0"/>
    <n v="0"/>
    <n v="0"/>
    <n v="0"/>
    <n v="14.3"/>
    <n v="0"/>
  </r>
  <r>
    <x v="11"/>
    <x v="5"/>
    <x v="0"/>
    <s v="4950106"/>
    <n v="721420"/>
    <s v="Tubes Drains &amp; Related Supplies"/>
    <s v="Respiratory Therapy"/>
    <x v="0"/>
    <n v="1008"/>
    <n v="478.78"/>
    <n v="379.76"/>
    <n v="205.74"/>
    <n v="1115.49"/>
    <n v="388.27"/>
    <n v="335.44"/>
    <n v="396.61"/>
    <n v="368.77"/>
    <n v="368.95"/>
    <n v="237.56"/>
    <n v="685.79"/>
    <n v="74.11"/>
    <n v="5035.2699999999995"/>
    <n v="611.67999999999995"/>
  </r>
  <r>
    <x v="11"/>
    <x v="5"/>
    <x v="0"/>
    <s v="4950106"/>
    <n v="721420"/>
    <s v="Sterilization Process Products"/>
    <s v="Respiratory Therapy"/>
    <x v="0"/>
    <n v="1009"/>
    <n v="0"/>
    <n v="0"/>
    <n v="115"/>
    <n v="29.78"/>
    <n v="3.6"/>
    <n v="0"/>
    <n v="103.04"/>
    <n v="-5.2"/>
    <n v="97.84"/>
    <n v="0"/>
    <n v="117.13"/>
    <n v="29.7"/>
    <n v="490.89000000000004"/>
    <n v="87.429999999999993"/>
  </r>
  <r>
    <x v="11"/>
    <x v="5"/>
    <x v="0"/>
    <s v="4950106"/>
    <n v="721610"/>
    <s v="Supplies-Anesthesia - Nonbillable"/>
    <s v="Respiratory Therapy"/>
    <x v="0"/>
    <m/>
    <n v="3122.02"/>
    <n v="7285.6"/>
    <n v="4849.8500000000004"/>
    <n v="14960.04"/>
    <n v="1006.43"/>
    <n v="4282.16"/>
    <n v="4650.08"/>
    <n v="9723.61"/>
    <n v="9095.59"/>
    <n v="6602.16"/>
    <n v="10893.73"/>
    <n v="4010.3"/>
    <n v="80481.570000000007"/>
    <n v="6883.4299999999994"/>
  </r>
  <r>
    <x v="11"/>
    <x v="5"/>
    <x v="0"/>
    <s v="4950106"/>
    <n v="721650"/>
    <s v="Supplies-Pharmacy Drugs - Nonbillable"/>
    <s v="Respiratory Therapy"/>
    <x v="0"/>
    <m/>
    <n v="0"/>
    <n v="92.1"/>
    <n v="0"/>
    <n v="0"/>
    <n v="0"/>
    <n v="0"/>
    <n v="0"/>
    <n v="0"/>
    <n v="0"/>
    <n v="0"/>
    <n v="0"/>
    <n v="0"/>
    <n v="92.1"/>
    <n v="0"/>
  </r>
  <r>
    <x v="11"/>
    <x v="5"/>
    <x v="0"/>
    <s v="4950106"/>
    <n v="721710"/>
    <s v="Supplies-Laboratory - Nonbillable"/>
    <s v="Respiratory Therapy"/>
    <x v="0"/>
    <m/>
    <n v="137.68"/>
    <n v="223.22"/>
    <n v="664.92"/>
    <n v="334.83"/>
    <n v="0"/>
    <n v="217.02"/>
    <n v="143.31"/>
    <n v="222.82"/>
    <n v="222.82"/>
    <n v="215.62"/>
    <n v="138.68"/>
    <n v="115.01"/>
    <n v="2635.93"/>
    <n v="23.67"/>
  </r>
  <r>
    <x v="11"/>
    <x v="5"/>
    <x v="0"/>
    <s v="4950106"/>
    <n v="721710"/>
    <s v="Reagents"/>
    <s v="Respiratory Therapy"/>
    <x v="0"/>
    <n v="1000"/>
    <n v="1671.51"/>
    <n v="5864.51"/>
    <n v="1809.01"/>
    <n v="5193.51"/>
    <n v="5056.01"/>
    <n v="-538.99"/>
    <n v="5845"/>
    <n v="5229.5"/>
    <n v="4683.5"/>
    <n v="4270"/>
    <n v="3772"/>
    <n v="2316"/>
    <n v="45171.56"/>
    <n v="1456"/>
  </r>
  <r>
    <x v="11"/>
    <x v="5"/>
    <x v="0"/>
    <s v="4950106"/>
    <n v="721810"/>
    <s v="Supplies-Dietary/Cafeteria"/>
    <s v="Respiratory Therapy"/>
    <x v="0"/>
    <m/>
    <n v="12.98"/>
    <n v="21.63"/>
    <n v="8.65"/>
    <n v="12.98"/>
    <n v="0"/>
    <n v="12.98"/>
    <n v="8.65"/>
    <n v="23.36"/>
    <n v="12.98"/>
    <n v="16.649999999999999"/>
    <n v="18.18"/>
    <n v="8.65"/>
    <n v="157.69000000000003"/>
    <n v="9.5299999999999994"/>
  </r>
  <r>
    <x v="11"/>
    <x v="5"/>
    <x v="0"/>
    <s v="4950106"/>
    <n v="721830"/>
    <s v="Supplies-Office"/>
    <s v="Respiratory Therapy"/>
    <x v="0"/>
    <m/>
    <n v="282.3"/>
    <n v="26.4"/>
    <n v="534.78"/>
    <n v="171.03"/>
    <n v="-2.5"/>
    <n v="55"/>
    <n v="27.5"/>
    <n v="22.5"/>
    <n v="25"/>
    <n v="247.13"/>
    <n v="-5"/>
    <n v="286.14999999999998"/>
    <n v="1670.29"/>
    <n v="-291.14999999999998"/>
  </r>
  <r>
    <x v="11"/>
    <x v="5"/>
    <x v="0"/>
    <s v="4950106"/>
    <n v="721870"/>
    <s v="Supplies-Environmental Services"/>
    <s v="Respiratory Therapy"/>
    <x v="0"/>
    <m/>
    <n v="77.2"/>
    <n v="18.21"/>
    <n v="26.09"/>
    <n v="50.07"/>
    <n v="0"/>
    <n v="0"/>
    <n v="45.52"/>
    <n v="21.12"/>
    <n v="87.95"/>
    <n v="32.590000000000003"/>
    <n v="45.52"/>
    <n v="68.680000000000007"/>
    <n v="472.95"/>
    <n v="-23.160000000000004"/>
  </r>
  <r>
    <x v="11"/>
    <x v="5"/>
    <x v="0"/>
    <s v="4950106"/>
    <n v="721910"/>
    <s v="Supplies-Small Equipment"/>
    <s v="Respiratory Therapy"/>
    <x v="0"/>
    <m/>
    <n v="-41.4"/>
    <n v="272"/>
    <n v="0"/>
    <n v="-71.239999999999995"/>
    <n v="0"/>
    <n v="3.52"/>
    <n v="67.7"/>
    <n v="266.04000000000002"/>
    <n v="302.60000000000002"/>
    <n v="-24"/>
    <n v="1.36"/>
    <n v="0"/>
    <n v="776.58"/>
    <n v="1.36"/>
  </r>
  <r>
    <x v="11"/>
    <x v="5"/>
    <x v="0"/>
    <s v="4950106"/>
    <n v="721980"/>
    <s v="Supplies-Other"/>
    <s v="Respiratory Therapy"/>
    <x v="0"/>
    <m/>
    <n v="0"/>
    <n v="0"/>
    <n v="0"/>
    <n v="131.97"/>
    <n v="19.010000000000002"/>
    <n v="56.66"/>
    <n v="0"/>
    <n v="0"/>
    <n v="0"/>
    <n v="0"/>
    <n v="0"/>
    <n v="0"/>
    <n v="207.64"/>
    <n v="0"/>
  </r>
  <r>
    <x v="11"/>
    <x v="5"/>
    <x v="0"/>
    <s v="4950106"/>
    <n v="722000"/>
    <s v="Supplies-Freight Expense"/>
    <s v="Respiratory Therapy"/>
    <x v="0"/>
    <m/>
    <n v="33.840000000000003"/>
    <n v="192.32"/>
    <n v="32.06"/>
    <n v="244.76"/>
    <n v="120.5"/>
    <n v="54.86"/>
    <n v="74.599999999999994"/>
    <n v="108.9"/>
    <n v="354.93"/>
    <n v="354.94"/>
    <n v="111.02"/>
    <n v="68.17"/>
    <n v="1750.9"/>
    <n v="42.849999999999994"/>
  </r>
  <r>
    <x v="11"/>
    <x v="5"/>
    <x v="0"/>
    <s v="4950106"/>
    <n v="723000"/>
    <s v="Supply Rebates/Patronage Dividend"/>
    <s v="Respiratory Therapy"/>
    <x v="0"/>
    <m/>
    <n v="0"/>
    <n v="0"/>
    <n v="0"/>
    <n v="0"/>
    <n v="0"/>
    <n v="0"/>
    <n v="0"/>
    <n v="0"/>
    <n v="0"/>
    <n v="0"/>
    <n v="0"/>
    <n v="-112.99"/>
    <n v="-112.99"/>
    <n v="112.99"/>
  </r>
  <r>
    <x v="12"/>
    <x v="5"/>
    <x v="0"/>
    <s v="4950106"/>
    <n v="730020"/>
    <s v="Rental and Leases-Equipment (DO NOT USE)"/>
    <s v="Respiratory Therapy"/>
    <x v="0"/>
    <m/>
    <n v="2256.86"/>
    <n v="813.99"/>
    <n v="813.99"/>
    <n v="813.99"/>
    <n v="813.99"/>
    <n v="813.99"/>
    <n v="0"/>
    <n v="0"/>
    <n v="0"/>
    <n v="0"/>
    <n v="0"/>
    <n v="77.319999999999993"/>
    <n v="6404.1299999999992"/>
    <n v="-77.319999999999993"/>
  </r>
  <r>
    <x v="12"/>
    <x v="5"/>
    <x v="0"/>
    <s v="4950106"/>
    <n v="730020"/>
    <s v="Rental and Leases-Copier Usage Fees (DO NOT USE)"/>
    <s v="Respiratory Therapy"/>
    <x v="0"/>
    <n v="5100"/>
    <n v="90.45"/>
    <n v="94.18"/>
    <n v="92.31"/>
    <n v="92.31"/>
    <n v="92.31"/>
    <n v="92.31"/>
    <n v="-5"/>
    <n v="80.97"/>
    <n v="80.8"/>
    <n v="82.39"/>
    <n v="80.97"/>
    <n v="99.77"/>
    <n v="973.77"/>
    <n v="-18.799999999999997"/>
  </r>
  <r>
    <x v="15"/>
    <x v="5"/>
    <x v="0"/>
    <s v="4950106"/>
    <n v="731060"/>
    <s v="Pagers"/>
    <s v="Respiratory Therapy"/>
    <x v="0"/>
    <n v="1002"/>
    <n v="57.12"/>
    <n v="41.14"/>
    <n v="41.14"/>
    <n v="41.29"/>
    <n v="39.58"/>
    <n v="0"/>
    <n v="80.2"/>
    <n v="40.1"/>
    <n v="40.1"/>
    <n v="40.049999999999997"/>
    <n v="40.049999999999997"/>
    <n v="40.049999999999997"/>
    <n v="500.82000000000005"/>
    <n v="0"/>
  </r>
  <r>
    <x v="16"/>
    <x v="5"/>
    <x v="0"/>
    <s v="4950106"/>
    <n v="732030"/>
    <s v="Repairs---Other"/>
    <s v="Respiratory Therapy"/>
    <x v="0"/>
    <m/>
    <n v="0"/>
    <n v="0"/>
    <n v="0"/>
    <n v="0"/>
    <n v="0"/>
    <n v="0"/>
    <n v="0"/>
    <n v="0"/>
    <n v="0"/>
    <n v="0"/>
    <n v="715"/>
    <n v="0"/>
    <n v="715"/>
    <n v="715"/>
  </r>
  <r>
    <x v="13"/>
    <x v="5"/>
    <x v="0"/>
    <s v="4950106"/>
    <n v="735040"/>
    <s v="Depreciation-Building Improvements"/>
    <s v="Respiratory Therapy"/>
    <x v="0"/>
    <m/>
    <n v="9.99"/>
    <n v="9.98"/>
    <n v="9.99"/>
    <n v="9.98"/>
    <n v="9.99"/>
    <n v="9.98"/>
    <n v="9.99"/>
    <n v="9.98"/>
    <n v="9.99"/>
    <n v="9.98"/>
    <n v="9.99"/>
    <n v="9.98"/>
    <n v="119.82"/>
    <n v="9.9999999999997868E-3"/>
  </r>
  <r>
    <x v="13"/>
    <x v="5"/>
    <x v="0"/>
    <s v="4950106"/>
    <n v="735060"/>
    <s v="Depreciation-Fixed Equipment"/>
    <s v="Respiratory Therapy"/>
    <x v="0"/>
    <m/>
    <n v="1.07"/>
    <n v="1.07"/>
    <n v="1.07"/>
    <n v="1.07"/>
    <n v="1.07"/>
    <n v="1.07"/>
    <n v="1.07"/>
    <n v="1.06"/>
    <n v="1.07"/>
    <n v="1.06"/>
    <n v="1.07"/>
    <n v="1.06"/>
    <n v="12.810000000000002"/>
    <n v="1.0000000000000009E-2"/>
  </r>
  <r>
    <x v="13"/>
    <x v="5"/>
    <x v="0"/>
    <s v="4950106"/>
    <n v="735070"/>
    <s v="Depreciation-Movable Equipment"/>
    <s v="Respiratory Therapy"/>
    <x v="0"/>
    <m/>
    <n v="5821.57"/>
    <n v="5821.52"/>
    <n v="5821.59"/>
    <n v="5821.5"/>
    <n v="5821.62"/>
    <n v="5821.45"/>
    <n v="5821.68"/>
    <n v="5821.41"/>
    <n v="5821.7"/>
    <n v="3949.52"/>
    <n v="3949.91"/>
    <n v="4638.6099999999997"/>
    <n v="64932.079999999987"/>
    <n v="-688.69999999999982"/>
  </r>
  <r>
    <x v="0"/>
    <x v="5"/>
    <x v="0"/>
    <s v="4950106"/>
    <n v="740020"/>
    <s v="Education-Registration Fees"/>
    <s v="Respiratory Therapy"/>
    <x v="0"/>
    <m/>
    <n v="340"/>
    <n v="0"/>
    <n v="0"/>
    <n v="1600"/>
    <n v="735"/>
    <n v="0"/>
    <n v="0"/>
    <n v="0"/>
    <n v="0"/>
    <n v="0"/>
    <n v="275"/>
    <n v="175"/>
    <n v="3125"/>
    <n v="100"/>
  </r>
  <r>
    <x v="0"/>
    <x v="5"/>
    <x v="0"/>
    <s v="4950106"/>
    <n v="743010"/>
    <s v="Dues--Institutional"/>
    <s v="Respiratory Therapy"/>
    <x v="0"/>
    <m/>
    <n v="0"/>
    <n v="0"/>
    <n v="0"/>
    <n v="0"/>
    <n v="554"/>
    <n v="0"/>
    <n v="0"/>
    <n v="0"/>
    <n v="0"/>
    <n v="0"/>
    <n v="0"/>
    <n v="0"/>
    <n v="554"/>
    <n v="0"/>
  </r>
  <r>
    <x v="0"/>
    <x v="5"/>
    <x v="0"/>
    <s v="4950106"/>
    <n v="749510"/>
    <s v="Miscellaneous Expenses"/>
    <s v="Respiratory Therapy"/>
    <x v="0"/>
    <m/>
    <n v="0"/>
    <n v="0"/>
    <n v="0"/>
    <n v="54.29"/>
    <n v="289.52999999999997"/>
    <n v="-31.27"/>
    <n v="0"/>
    <n v="0"/>
    <n v="0"/>
    <n v="0"/>
    <n v="0"/>
    <n v="0"/>
    <n v="312.55"/>
    <n v="0"/>
  </r>
  <r>
    <x v="0"/>
    <x v="5"/>
    <x v="0"/>
    <s v="4950106"/>
    <n v="749510"/>
    <s v="RICE Rewards"/>
    <s v="Respiratory Therapy"/>
    <x v="0"/>
    <n v="5100"/>
    <n v="0"/>
    <n v="0"/>
    <n v="0"/>
    <n v="0"/>
    <n v="0"/>
    <n v="0"/>
    <n v="125.75"/>
    <n v="0"/>
    <n v="15.1"/>
    <n v="0"/>
    <n v="0"/>
    <n v="0"/>
    <n v="140.85"/>
    <n v="0"/>
  </r>
  <r>
    <x v="18"/>
    <x v="6"/>
    <x v="0"/>
    <s v="4950107"/>
    <n v="400010"/>
    <s v="Acute I/P Svcs Rev--Medicare"/>
    <s v="Respiratory Care-Bremerton"/>
    <x v="0"/>
    <n v="1100"/>
    <n v="-2407806.1"/>
    <n v="-2294837.0099999998"/>
    <n v="-2587433.67"/>
    <n v="-2125226.0299999998"/>
    <n v="-2017426.46"/>
    <n v="-2410526.33"/>
    <n v="-2925045.66"/>
    <n v="-3121857.69"/>
    <n v="-3142333.45"/>
    <n v="-2270225.04"/>
    <n v="-2205537.5499999998"/>
    <n v="-2808462.26"/>
    <n v="-30316717.25"/>
    <n v="602924.71"/>
  </r>
  <r>
    <x v="18"/>
    <x v="6"/>
    <x v="0"/>
    <s v="4950107"/>
    <n v="400010"/>
    <s v="Acute I/P Svcs Rev--Medicaid"/>
    <s v="Respiratory Care-Bremerton"/>
    <x v="0"/>
    <n v="1200"/>
    <n v="-407199.36"/>
    <n v="-396951.78"/>
    <n v="-319627.59999999998"/>
    <n v="-602357.64"/>
    <n v="-321844.94"/>
    <n v="-438878.76"/>
    <n v="-347867.46"/>
    <n v="-410130.79"/>
    <n v="-670797.86"/>
    <n v="-416603.5"/>
    <n v="-429422.15"/>
    <n v="-642902.01"/>
    <n v="-5404583.8499999996"/>
    <n v="213479.86"/>
  </r>
  <r>
    <x v="18"/>
    <x v="6"/>
    <x v="0"/>
    <s v="4950107"/>
    <n v="400010"/>
    <s v="Acute I/P Svcs Rev--Comm Insurance"/>
    <s v="Respiratory Care-Bremerton"/>
    <x v="0"/>
    <n v="1300"/>
    <n v="8733.17"/>
    <n v="-30228.86"/>
    <n v="-16327.92"/>
    <n v="-37290.14"/>
    <n v="-16229.37"/>
    <n v="-86736.9"/>
    <n v="61413.86"/>
    <n v="-101444.83"/>
    <n v="-68587.179999999993"/>
    <n v="-13478.74"/>
    <n v="118476.82"/>
    <n v="-4369.8100000000004"/>
    <n v="-186069.89999999997"/>
    <n v="122846.63"/>
  </r>
  <r>
    <x v="18"/>
    <x v="6"/>
    <x v="0"/>
    <s v="4950107"/>
    <n v="400010"/>
    <s v="Acute I/P Svcs Rev--BCBS Comm"/>
    <s v="Respiratory Care-Bremerton"/>
    <x v="0"/>
    <n v="1301"/>
    <n v="-45072.03"/>
    <n v="-129428.74"/>
    <n v="-89361.93"/>
    <n v="-49119.040000000001"/>
    <n v="-94365.21"/>
    <n v="-59313.55"/>
    <n v="-133172.07999999999"/>
    <n v="-51595.35"/>
    <n v="-104802.34"/>
    <n v="-77765.94"/>
    <n v="-182675.14"/>
    <n v="-58788.22"/>
    <n v="-1075459.57"/>
    <n v="-123886.92000000001"/>
  </r>
  <r>
    <x v="18"/>
    <x v="6"/>
    <x v="0"/>
    <s v="4950107"/>
    <n v="400010"/>
    <s v="Acute I/P Svcs Rev--Managed Care"/>
    <s v="Respiratory Care-Bremerton"/>
    <x v="0"/>
    <n v="1400"/>
    <n v="-316151.89"/>
    <n v="-207795.19"/>
    <n v="-334058.84000000003"/>
    <n v="-186839.2"/>
    <n v="-152110.1"/>
    <n v="-138169.71"/>
    <n v="-172129.03"/>
    <n v="-212107.27"/>
    <n v="-219828.18"/>
    <n v="-205092.82"/>
    <n v="-350621.79"/>
    <n v="-374898.2"/>
    <n v="-2869802.22"/>
    <n v="24276.410000000033"/>
  </r>
  <r>
    <x v="18"/>
    <x v="6"/>
    <x v="0"/>
    <s v="4950107"/>
    <n v="400010"/>
    <s v="Acute I/P Svcs Rev--Self Pay"/>
    <s v="Respiratory Care-Bremerton"/>
    <x v="0"/>
    <n v="1500"/>
    <n v="-8874.74"/>
    <n v="-9912.83"/>
    <n v="-133237.25"/>
    <n v="128843.55"/>
    <n v="-8802.08"/>
    <n v="-1886.19"/>
    <n v="-59418.559999999998"/>
    <n v="-21370.080000000002"/>
    <n v="-3138.26"/>
    <n v="-27205.37"/>
    <n v="-26876.560000000001"/>
    <n v="-18764.66"/>
    <n v="-190643.03"/>
    <n v="-8111.9000000000015"/>
  </r>
  <r>
    <x v="18"/>
    <x v="6"/>
    <x v="0"/>
    <s v="4950107"/>
    <n v="400010"/>
    <s v="Acute I/P Svcs Rev--Other"/>
    <s v="Respiratory Care-Bremerton"/>
    <x v="0"/>
    <n v="1700"/>
    <n v="-100908.72"/>
    <n v="-155762.91"/>
    <n v="-292568.37"/>
    <n v="-92504.38"/>
    <n v="-128745.93"/>
    <n v="-61933.26"/>
    <n v="-137553.66"/>
    <n v="-107217.34"/>
    <n v="-401277.5"/>
    <n v="-104200.32000000001"/>
    <n v="-307823.84999999998"/>
    <n v="-130252.16"/>
    <n v="-2020748.4000000001"/>
    <n v="-177571.68999999997"/>
  </r>
  <r>
    <x v="19"/>
    <x v="6"/>
    <x v="0"/>
    <s v="4950107"/>
    <n v="400020"/>
    <s v="O/P Care Svcs Rev--Medicare"/>
    <s v="Respiratory Care-Bremerton"/>
    <x v="0"/>
    <n v="1100"/>
    <n v="-134021.9"/>
    <n v="-117197.25"/>
    <n v="-86356.7"/>
    <n v="-129000.66"/>
    <n v="-131852.29999999999"/>
    <n v="-133614.76"/>
    <n v="-154964.54999999999"/>
    <n v="-114238.26"/>
    <n v="-142384.95000000001"/>
    <n v="-96754.13"/>
    <n v="-144517.60999999999"/>
    <n v="-103187.49"/>
    <n v="-1488090.5599999998"/>
    <n v="-41330.119999999981"/>
  </r>
  <r>
    <x v="19"/>
    <x v="6"/>
    <x v="0"/>
    <s v="4950107"/>
    <n v="400020"/>
    <s v="O/P Care Svcs Rev--Medicaid"/>
    <s v="Respiratory Care-Bremerton"/>
    <x v="0"/>
    <n v="1200"/>
    <n v="-48385.09"/>
    <n v="-34402.870000000003"/>
    <n v="-27270.54"/>
    <n v="-39880.199999999997"/>
    <n v="-15464.87"/>
    <n v="-27274"/>
    <n v="-38927.800000000003"/>
    <n v="-27288.09"/>
    <n v="-41341.480000000003"/>
    <n v="-35386.22"/>
    <n v="-45720.53"/>
    <n v="-18119.560000000001"/>
    <n v="-399461.25000000006"/>
    <n v="-27600.969999999998"/>
  </r>
  <r>
    <x v="19"/>
    <x v="6"/>
    <x v="0"/>
    <s v="4950107"/>
    <n v="400020"/>
    <s v="O/P Care Svcs Rev--Comm Insurance"/>
    <s v="Respiratory Care-Bremerton"/>
    <x v="0"/>
    <n v="1300"/>
    <n v="-2602.62"/>
    <n v="-842.03"/>
    <n v="-729.28"/>
    <n v="-2042.96"/>
    <n v="-595.62"/>
    <n v="-6702.58"/>
    <n v="2692.64"/>
    <n v="-1279.8399999999999"/>
    <n v="-3055.01"/>
    <n v="-2639.78"/>
    <n v="-317.29000000000002"/>
    <n v="-444.6"/>
    <n v="-18558.97"/>
    <n v="127.31"/>
  </r>
  <r>
    <x v="19"/>
    <x v="6"/>
    <x v="0"/>
    <s v="4950107"/>
    <n v="400020"/>
    <s v="O/P Care Svcs Rev--BCBS Comm"/>
    <s v="Respiratory Care-Bremerton"/>
    <x v="0"/>
    <n v="1301"/>
    <n v="-7220.97"/>
    <n v="-17509.93"/>
    <n v="-11399.55"/>
    <n v="-25177.61"/>
    <n v="-16287.69"/>
    <n v="-13280.8"/>
    <n v="-24053.66"/>
    <n v="-12120.19"/>
    <n v="-12813.91"/>
    <n v="-12832.59"/>
    <n v="-6386.31"/>
    <n v="-31972.07"/>
    <n v="-191055.28"/>
    <n v="25585.759999999998"/>
  </r>
  <r>
    <x v="19"/>
    <x v="6"/>
    <x v="0"/>
    <s v="4950107"/>
    <n v="400020"/>
    <s v="O/P Care Svcs Rev--Managed Care"/>
    <s v="Respiratory Care-Bremerton"/>
    <x v="0"/>
    <n v="1400"/>
    <n v="-42057.37"/>
    <n v="-47701.62"/>
    <n v="-37593.629999999997"/>
    <n v="-20989.57"/>
    <n v="-23698.11"/>
    <n v="-21594.880000000001"/>
    <n v="-15321.08"/>
    <n v="-31925.040000000001"/>
    <n v="-24865.35"/>
    <n v="-18265.12"/>
    <n v="-16419.8"/>
    <n v="-20539.21"/>
    <n v="-320970.77999999997"/>
    <n v="4119.41"/>
  </r>
  <r>
    <x v="19"/>
    <x v="6"/>
    <x v="0"/>
    <s v="4950107"/>
    <n v="400020"/>
    <s v="O/P Care Svcs Rev--Self Pay"/>
    <s v="Respiratory Care-Bremerton"/>
    <x v="0"/>
    <n v="1500"/>
    <n v="-1120.6199999999999"/>
    <n v="-2102.5700000000002"/>
    <n v="-31256.46"/>
    <n v="-8639.43"/>
    <n v="-9561.32"/>
    <n v="-11507.91"/>
    <n v="-1812.65"/>
    <n v="-39244.89"/>
    <n v="-2183.84"/>
    <n v="-5680.06"/>
    <n v="-33464.29"/>
    <n v="-12368.32"/>
    <n v="-158942.35999999999"/>
    <n v="-21095.97"/>
  </r>
  <r>
    <x v="19"/>
    <x v="6"/>
    <x v="0"/>
    <s v="4950107"/>
    <n v="400020"/>
    <s v="O/P Care Svcs Rev--Other"/>
    <s v="Respiratory Care-Bremerton"/>
    <x v="0"/>
    <n v="1700"/>
    <n v="-17675.240000000002"/>
    <n v="-16837.650000000001"/>
    <n v="-11850.7"/>
    <n v="-21754.14"/>
    <n v="-13342.36"/>
    <n v="-28286.07"/>
    <n v="-10685.47"/>
    <n v="-19322.080000000002"/>
    <n v="-29577.79"/>
    <n v="-9949.76"/>
    <n v="-11954.26"/>
    <n v="-10761.52"/>
    <n v="-201997.04000000004"/>
    <n v="-1192.7399999999998"/>
  </r>
  <r>
    <x v="5"/>
    <x v="6"/>
    <x v="0"/>
    <s v="4950107"/>
    <n v="700014"/>
    <s v="Salaries-Management-Productive"/>
    <s v="Respiratory Care-Bremerton"/>
    <x v="0"/>
    <m/>
    <n v="8209.86"/>
    <n v="8598.57"/>
    <n v="7156.35"/>
    <n v="7829.25"/>
    <n v="8308.98"/>
    <n v="1467.63"/>
    <n v="7583.61"/>
    <n v="6504.61"/>
    <n v="5629.6"/>
    <n v="8050.29"/>
    <n v="9917.2199999999993"/>
    <n v="7525.62"/>
    <n v="86781.589999999982"/>
    <n v="2391.5999999999995"/>
  </r>
  <r>
    <x v="5"/>
    <x v="6"/>
    <x v="0"/>
    <s v="4950107"/>
    <n v="700032"/>
    <s v="Salaries-Other Pat Care Providers-Productive"/>
    <s v="Respiratory Care-Bremerton"/>
    <x v="0"/>
    <m/>
    <n v="0"/>
    <n v="0"/>
    <n v="119.38"/>
    <n v="297.22000000000003"/>
    <n v="-94.81"/>
    <n v="220.4"/>
    <n v="38.75"/>
    <n v="0"/>
    <n v="0"/>
    <n v="0"/>
    <n v="0"/>
    <n v="79.319999999999993"/>
    <n v="660.26"/>
    <n v="-79.319999999999993"/>
  </r>
  <r>
    <x v="5"/>
    <x v="6"/>
    <x v="0"/>
    <s v="4950107"/>
    <n v="700032"/>
    <s v="Salaries-Other Pat Care Providers-Other"/>
    <s v="Respiratory Care-Bremerton"/>
    <x v="0"/>
    <n v="2000"/>
    <n v="0"/>
    <n v="0"/>
    <n v="0"/>
    <n v="14.32"/>
    <n v="-3.18"/>
    <n v="9.25"/>
    <n v="-1.1499999999999999"/>
    <n v="0"/>
    <n v="0"/>
    <n v="0"/>
    <n v="0"/>
    <n v="6.76"/>
    <n v="26"/>
    <n v="-6.76"/>
  </r>
  <r>
    <x v="5"/>
    <x v="6"/>
    <x v="0"/>
    <s v="4950107"/>
    <n v="700034"/>
    <s v="Salaries-Tech/Professional-Productive"/>
    <s v="Respiratory Care-Bremerton"/>
    <x v="0"/>
    <m/>
    <n v="160433.09"/>
    <n v="158777.72"/>
    <n v="159187.21"/>
    <n v="138627.85999999999"/>
    <n v="141159.29999999999"/>
    <n v="134764.63"/>
    <n v="146903.4"/>
    <n v="145922.54"/>
    <n v="156125.85"/>
    <n v="146791.75"/>
    <n v="141932.76"/>
    <n v="153393.72"/>
    <n v="1784019.83"/>
    <n v="-11460.959999999992"/>
  </r>
  <r>
    <x v="5"/>
    <x v="6"/>
    <x v="0"/>
    <s v="4950107"/>
    <n v="700034"/>
    <s v="Salaries-Tech/Professional-OT"/>
    <s v="Respiratory Care-Bremerton"/>
    <x v="0"/>
    <n v="1000"/>
    <n v="6378.7"/>
    <n v="8544.6200000000008"/>
    <n v="15051.01"/>
    <n v="5520.71"/>
    <n v="8038.97"/>
    <n v="5802.14"/>
    <n v="9853.4500000000007"/>
    <n v="14105.53"/>
    <n v="9733.41"/>
    <n v="6936.39"/>
    <n v="8552.9699999999993"/>
    <n v="10757.5"/>
    <n v="109275.40000000001"/>
    <n v="-2204.5300000000007"/>
  </r>
  <r>
    <x v="5"/>
    <x v="6"/>
    <x v="0"/>
    <s v="4950107"/>
    <n v="700034"/>
    <s v="Salaries-Tech/Professional-Other"/>
    <s v="Respiratory Care-Bremerton"/>
    <x v="0"/>
    <n v="2000"/>
    <n v="9962.16"/>
    <n v="10420.450000000001"/>
    <n v="9948.6"/>
    <n v="8190.24"/>
    <n v="8746.76"/>
    <n v="8693.7900000000009"/>
    <n v="9777.89"/>
    <n v="10299.15"/>
    <n v="9885.8799999999992"/>
    <n v="8539.7999999999993"/>
    <n v="7665.54"/>
    <n v="8098.23"/>
    <n v="110228.48999999999"/>
    <n v="-432.6899999999996"/>
  </r>
  <r>
    <x v="5"/>
    <x v="6"/>
    <x v="0"/>
    <s v="4950107"/>
    <n v="700038"/>
    <s v="Salaries-Service/Support-Productive"/>
    <s v="Respiratory Care-Bremerton"/>
    <x v="0"/>
    <m/>
    <n v="10808.93"/>
    <n v="10508.83"/>
    <n v="7542.04"/>
    <n v="8187.39"/>
    <n v="11568.13"/>
    <n v="8650.91"/>
    <n v="10194.07"/>
    <n v="7214.13"/>
    <n v="10874.05"/>
    <n v="10226.02"/>
    <n v="10549.11"/>
    <n v="10180.73"/>
    <n v="116504.34"/>
    <n v="368.38000000000102"/>
  </r>
  <r>
    <x v="5"/>
    <x v="6"/>
    <x v="0"/>
    <s v="4950107"/>
    <n v="700038"/>
    <s v="Salaries-Service/Support-OT"/>
    <s v="Respiratory Care-Bremerton"/>
    <x v="0"/>
    <n v="1000"/>
    <n v="927.82"/>
    <n v="456.87"/>
    <n v="634.34"/>
    <n v="678.34"/>
    <n v="1069.58"/>
    <n v="187.73"/>
    <n v="261.16000000000003"/>
    <n v="206.12"/>
    <n v="531.53"/>
    <n v="311.89999999999998"/>
    <n v="638.25"/>
    <n v="564.45000000000005"/>
    <n v="6468.0899999999992"/>
    <n v="73.799999999999955"/>
  </r>
  <r>
    <x v="5"/>
    <x v="6"/>
    <x v="0"/>
    <s v="4950107"/>
    <n v="700038"/>
    <s v="Salaries-Service/Support-Other"/>
    <s v="Respiratory Care-Bremerton"/>
    <x v="0"/>
    <n v="2000"/>
    <n v="205.87"/>
    <n v="128.66"/>
    <n v="118.51"/>
    <n v="120.67"/>
    <n v="276.44"/>
    <n v="177.89"/>
    <n v="218.26"/>
    <n v="168.44"/>
    <n v="214.24"/>
    <n v="172.7"/>
    <n v="234.53"/>
    <n v="208.46"/>
    <n v="2244.67"/>
    <n v="26.069999999999993"/>
  </r>
  <r>
    <x v="5"/>
    <x v="6"/>
    <x v="0"/>
    <s v="4950107"/>
    <n v="700054"/>
    <s v="Salaries-Management-Non-productive"/>
    <s v="Respiratory Care-Bremerton"/>
    <x v="0"/>
    <m/>
    <n v="388.32"/>
    <n v="0"/>
    <n v="1164.96"/>
    <n v="1116.45"/>
    <n v="428.5"/>
    <n v="2726.68"/>
    <n v="1808.88"/>
    <n v="1662.53"/>
    <n v="3412.67"/>
    <n v="700.01"/>
    <n v="-874.93"/>
    <n v="1225.08"/>
    <n v="13759.15"/>
    <n v="-2100.0099999999998"/>
  </r>
  <r>
    <x v="5"/>
    <x v="6"/>
    <x v="0"/>
    <s v="4950107"/>
    <n v="700074"/>
    <s v="Salaries-Tech/Professional-Non-productive"/>
    <s v="Respiratory Care-Bremerton"/>
    <x v="0"/>
    <m/>
    <n v="20242.8"/>
    <n v="28590.1"/>
    <n v="23019.759999999998"/>
    <n v="27089.47"/>
    <n v="24291.53"/>
    <n v="27081.81"/>
    <n v="19921.169999999998"/>
    <n v="12486.82"/>
    <n v="8568.11"/>
    <n v="31243.7"/>
    <n v="22221.72"/>
    <n v="22993.02"/>
    <n v="267750.01"/>
    <n v="-771.29999999999927"/>
  </r>
  <r>
    <x v="5"/>
    <x v="6"/>
    <x v="0"/>
    <s v="4950107"/>
    <n v="700074"/>
    <s v="Salaries-Tech/Professional-NonProd-Other"/>
    <s v="Respiratory Care-Bremerton"/>
    <x v="0"/>
    <n v="2000"/>
    <n v="1023.72"/>
    <n v="929.51"/>
    <n v="1255.9000000000001"/>
    <n v="783.39"/>
    <n v="1123.52"/>
    <n v="545.96"/>
    <n v="1005.94"/>
    <n v="144.33000000000001"/>
    <n v="196.16"/>
    <n v="1046.08"/>
    <n v="613.26"/>
    <n v="770.96"/>
    <n v="9438.73"/>
    <n v="-157.70000000000005"/>
  </r>
  <r>
    <x v="5"/>
    <x v="6"/>
    <x v="0"/>
    <s v="4950107"/>
    <n v="700078"/>
    <s v="Salaries-Service/Support-Non-productive"/>
    <s v="Respiratory Care-Bremerton"/>
    <x v="0"/>
    <m/>
    <n v="1239.52"/>
    <n v="51.27"/>
    <n v="662.71"/>
    <n v="620.09"/>
    <n v="734.16"/>
    <n v="1343.33"/>
    <n v="886.6"/>
    <n v="2359.4499999999998"/>
    <n v="41.56"/>
    <n v="1224.67"/>
    <n v="1388.72"/>
    <n v="973.36"/>
    <n v="11525.44"/>
    <n v="415.36"/>
  </r>
  <r>
    <x v="5"/>
    <x v="6"/>
    <x v="0"/>
    <s v="4950107"/>
    <n v="700078"/>
    <s v="Salaries-Service/Support-NonProd-Other"/>
    <s v="Respiratory Care-Bremerton"/>
    <x v="0"/>
    <n v="2000"/>
    <n v="0"/>
    <n v="0"/>
    <n v="0"/>
    <n v="0"/>
    <n v="0"/>
    <n v="0"/>
    <n v="0"/>
    <n v="0"/>
    <n v="72.290000000000006"/>
    <n v="0"/>
    <n v="0"/>
    <n v="0"/>
    <n v="72.290000000000006"/>
    <n v="0"/>
  </r>
  <r>
    <x v="5"/>
    <x v="6"/>
    <x v="0"/>
    <s v="4950107"/>
    <n v="700084"/>
    <s v="Accrued PTO"/>
    <s v="Respiratory Care-Bremerton"/>
    <x v="0"/>
    <m/>
    <n v="847.17"/>
    <n v="-2827.95"/>
    <n v="-5242.99"/>
    <n v="1698.29"/>
    <n v="-9105.5300000000007"/>
    <n v="-5523.92"/>
    <n v="651.78"/>
    <n v="5924.97"/>
    <n v="8754.1200000000008"/>
    <n v="3946.67"/>
    <n v="2691.8"/>
    <n v="178.02"/>
    <n v="1992.4300000000007"/>
    <n v="2513.7800000000002"/>
  </r>
  <r>
    <x v="6"/>
    <x v="6"/>
    <x v="0"/>
    <s v="4950107"/>
    <n v="713010"/>
    <s v="Benefits-FICA/Medicare"/>
    <s v="Respiratory Care-Bremerton"/>
    <x v="0"/>
    <m/>
    <n v="16868.96"/>
    <n v="17305.169999999998"/>
    <n v="17535.37"/>
    <n v="15107.05"/>
    <n v="15093.21"/>
    <n v="14369.36"/>
    <n v="16356.68"/>
    <n v="15204.93"/>
    <n v="15612.18"/>
    <n v="16397.48"/>
    <n v="15401.79"/>
    <n v="16651.330000000002"/>
    <n v="191903.51"/>
    <n v="-1249.5400000000009"/>
  </r>
  <r>
    <x v="6"/>
    <x v="6"/>
    <x v="0"/>
    <s v="4950107"/>
    <n v="713090"/>
    <s v="Benefits-Allocated Amounts"/>
    <s v="Respiratory Care-Bremerton"/>
    <x v="0"/>
    <m/>
    <n v="37287.83"/>
    <n v="34500.86"/>
    <n v="35945.49"/>
    <n v="33327.660000000003"/>
    <n v="39812.42"/>
    <n v="33312.239999999998"/>
    <n v="36226.18"/>
    <n v="36620.11"/>
    <n v="30002.19"/>
    <n v="40795.089999999997"/>
    <n v="35590.74"/>
    <n v="44201.919999999998"/>
    <n v="437622.72999999992"/>
    <n v="-8611.18"/>
  </r>
  <r>
    <x v="6"/>
    <x v="6"/>
    <x v="0"/>
    <s v="4950107"/>
    <n v="713096"/>
    <s v="Employee Recognition"/>
    <s v="Respiratory Care-Bremerton"/>
    <x v="0"/>
    <n v="1017"/>
    <n v="0"/>
    <n v="105.75"/>
    <n v="0"/>
    <n v="0"/>
    <n v="0"/>
    <n v="175"/>
    <n v="0"/>
    <n v="0"/>
    <n v="0"/>
    <n v="0"/>
    <n v="0"/>
    <n v="0"/>
    <n v="280.75"/>
    <n v="0"/>
  </r>
  <r>
    <x v="7"/>
    <x v="6"/>
    <x v="0"/>
    <s v="4950107"/>
    <n v="718050"/>
    <s v="Contract Svcs-Other"/>
    <s v="Respiratory Care-Bremerton"/>
    <x v="0"/>
    <m/>
    <n v="0"/>
    <n v="0"/>
    <n v="44.35"/>
    <n v="0"/>
    <n v="0"/>
    <n v="83.3"/>
    <n v="0"/>
    <n v="41.3"/>
    <n v="0"/>
    <n v="0"/>
    <n v="0"/>
    <n v="0"/>
    <n v="168.95"/>
    <n v="0"/>
  </r>
  <r>
    <x v="7"/>
    <x v="6"/>
    <x v="0"/>
    <s v="4950107"/>
    <n v="718070"/>
    <s v="Contract Srvcs-CHI Clinical Engineering"/>
    <s v="Respiratory Care-Bremerton"/>
    <x v="0"/>
    <m/>
    <n v="1865.39"/>
    <n v="1865.39"/>
    <n v="1534.2"/>
    <n v="1865.39"/>
    <n v="1865.39"/>
    <n v="1582.91"/>
    <n v="1865.39"/>
    <n v="1250.6300000000001"/>
    <n v="1815.55"/>
    <n v="1815.55"/>
    <n v="1769.52"/>
    <n v="2321.86"/>
    <n v="21417.17"/>
    <n v="-552.34000000000015"/>
  </r>
  <r>
    <x v="11"/>
    <x v="6"/>
    <x v="0"/>
    <s v="4950107"/>
    <n v="721010"/>
    <s v="Supplies-Medical - Billable"/>
    <s v="Respiratory Care-Bremerton"/>
    <x v="0"/>
    <m/>
    <n v="0"/>
    <n v="0"/>
    <n v="364.93"/>
    <n v="0"/>
    <n v="0"/>
    <n v="0"/>
    <n v="1912.93"/>
    <n v="0"/>
    <n v="3144.76"/>
    <n v="268.10000000000002"/>
    <n v="-222.35"/>
    <n v="0"/>
    <n v="5468.3700000000008"/>
    <n v="-222.35"/>
  </r>
  <r>
    <x v="11"/>
    <x v="6"/>
    <x v="0"/>
    <s v="4950107"/>
    <n v="721010"/>
    <s v="Patient Monitoring"/>
    <s v="Respiratory Care-Bremerton"/>
    <x v="0"/>
    <n v="1000"/>
    <n v="499.65"/>
    <n v="166.55"/>
    <n v="0"/>
    <n v="166.55"/>
    <n v="499.65"/>
    <n v="499.65"/>
    <n v="166.55"/>
    <n v="76.56"/>
    <n v="0"/>
    <n v="0"/>
    <n v="0"/>
    <n v="0"/>
    <n v="2075.1600000000003"/>
    <n v="0"/>
  </r>
  <r>
    <x v="11"/>
    <x v="6"/>
    <x v="0"/>
    <s v="4950107"/>
    <n v="721020"/>
    <s v="Supplies-Surgical - Billable"/>
    <s v="Respiratory Care-Bremerton"/>
    <x v="0"/>
    <m/>
    <n v="300.83999999999997"/>
    <n v="300.83999999999997"/>
    <n v="0"/>
    <n v="601.67999999999995"/>
    <n v="1084.55"/>
    <n v="561.80999999999995"/>
    <n v="300.83999999999997"/>
    <n v="132.97999999999999"/>
    <n v="1019.2"/>
    <n v="-965.74"/>
    <n v="693.4"/>
    <n v="797.88"/>
    <n v="4828.28"/>
    <n v="-104.48000000000002"/>
  </r>
  <r>
    <x v="11"/>
    <x v="6"/>
    <x v="0"/>
    <s v="4950107"/>
    <n v="721020"/>
    <s v="Tubes Drains &amp; Related Supplies"/>
    <s v="Respiratory Care-Bremerton"/>
    <x v="0"/>
    <n v="1008"/>
    <n v="59.43"/>
    <n v="191.28"/>
    <n v="18.23"/>
    <n v="121.42"/>
    <n v="84.36"/>
    <n v="0"/>
    <n v="257.58"/>
    <n v="3.38"/>
    <n v="131.03"/>
    <n v="0"/>
    <n v="71.260000000000005"/>
    <n v="8.44"/>
    <n v="946.41"/>
    <n v="62.820000000000007"/>
  </r>
  <r>
    <x v="11"/>
    <x v="6"/>
    <x v="0"/>
    <s v="4950107"/>
    <n v="721050"/>
    <s v="Supplies-Cardiac Rhythm - Billable"/>
    <s v="Respiratory Care-Bremerton"/>
    <x v="0"/>
    <m/>
    <n v="1084.18"/>
    <n v="0"/>
    <n v="0"/>
    <n v="0"/>
    <n v="0"/>
    <n v="542.09"/>
    <n v="0"/>
    <n v="1295.8499999999999"/>
    <n v="559.36"/>
    <n v="-61.86"/>
    <n v="767.78"/>
    <n v="0"/>
    <n v="4187.3999999999996"/>
    <n v="767.78"/>
  </r>
  <r>
    <x v="11"/>
    <x v="6"/>
    <x v="0"/>
    <s v="4950107"/>
    <n v="721150"/>
    <s v="Supplies-Other Implants - Billable"/>
    <s v="Respiratory Care-Bremerton"/>
    <x v="0"/>
    <m/>
    <n v="0"/>
    <n v="409.04"/>
    <n v="0"/>
    <n v="46.58"/>
    <n v="0"/>
    <n v="0"/>
    <n v="0"/>
    <n v="0"/>
    <n v="0"/>
    <n v="0"/>
    <n v="0"/>
    <n v="0"/>
    <n v="455.62"/>
    <n v="0"/>
  </r>
  <r>
    <x v="11"/>
    <x v="6"/>
    <x v="0"/>
    <s v="4950107"/>
    <n v="721220"/>
    <s v="Supplies-Medical Gases - Billable"/>
    <s v="Respiratory Care-Bremerton"/>
    <x v="0"/>
    <m/>
    <n v="0"/>
    <n v="1215.6199999999999"/>
    <n v="0"/>
    <n v="1395.88"/>
    <n v="445.57"/>
    <n v="182.6"/>
    <n v="1207.8499999999999"/>
    <n v="899.04"/>
    <n v="0"/>
    <n v="513.82000000000005"/>
    <n v="161.9"/>
    <n v="181.87"/>
    <n v="6204.15"/>
    <n v="-19.97"/>
  </r>
  <r>
    <x v="11"/>
    <x v="6"/>
    <x v="0"/>
    <s v="4950107"/>
    <n v="721240"/>
    <s v="Supplies-IV Solutions/Supplies - Billable"/>
    <s v="Respiratory Care-Bremerton"/>
    <x v="0"/>
    <m/>
    <n v="373.03"/>
    <n v="445.15"/>
    <n v="484.58"/>
    <n v="437.53"/>
    <n v="322.72000000000003"/>
    <n v="396.14"/>
    <n v="299.01"/>
    <n v="533.83000000000004"/>
    <n v="535.78"/>
    <n v="660.63"/>
    <n v="405.43"/>
    <n v="592.04999999999995"/>
    <n v="5485.88"/>
    <n v="-186.61999999999995"/>
  </r>
  <r>
    <x v="11"/>
    <x v="6"/>
    <x v="0"/>
    <s v="4950107"/>
    <n v="721250"/>
    <s v="Supplies-Pharmacy Drugs - Billable"/>
    <s v="Respiratory Care-Bremerton"/>
    <x v="0"/>
    <m/>
    <n v="949.75"/>
    <n v="145.19999999999999"/>
    <n v="281.77999999999997"/>
    <n v="68.680000000000007"/>
    <n v="621.46"/>
    <n v="137.01"/>
    <n v="174"/>
    <n v="168.93"/>
    <n v="162.41"/>
    <n v="107.91"/>
    <n v="38.68"/>
    <n v="114.39"/>
    <n v="2970.1999999999994"/>
    <n v="-75.710000000000008"/>
  </r>
  <r>
    <x v="11"/>
    <x v="6"/>
    <x v="0"/>
    <s v="4950107"/>
    <n v="721410"/>
    <s v="Supplies-Medical - Nonbillable"/>
    <s v="Respiratory Care-Bremerton"/>
    <x v="0"/>
    <m/>
    <n v="1426.12"/>
    <n v="4631.5600000000004"/>
    <n v="4956.3500000000004"/>
    <n v="3600.48"/>
    <n v="2143.17"/>
    <n v="3184.85"/>
    <n v="8749.2800000000007"/>
    <n v="4129.13"/>
    <n v="7874.08"/>
    <n v="5943.11"/>
    <n v="4251.87"/>
    <n v="3055.97"/>
    <n v="53945.97"/>
    <n v="1195.9000000000001"/>
  </r>
  <r>
    <x v="11"/>
    <x v="6"/>
    <x v="0"/>
    <s v="4950107"/>
    <n v="721420"/>
    <s v="Supplies-Surgical Nonbillable"/>
    <s v="Respiratory Care-Bremerton"/>
    <x v="0"/>
    <m/>
    <n v="22.69"/>
    <n v="4234.83"/>
    <n v="0"/>
    <n v="215.46"/>
    <n v="45.38"/>
    <n v="181.43"/>
    <n v="24.72"/>
    <n v="534.17999999999995"/>
    <n v="17.02"/>
    <n v="288.88"/>
    <n v="-5.24"/>
    <n v="416.41"/>
    <n v="5975.7600000000011"/>
    <n v="-421.65000000000003"/>
  </r>
  <r>
    <x v="11"/>
    <x v="6"/>
    <x v="0"/>
    <s v="4950107"/>
    <n v="721420"/>
    <s v="Tubes Drains &amp; Related Supplies"/>
    <s v="Respiratory Care-Bremerton"/>
    <x v="0"/>
    <n v="1008"/>
    <n v="1245.5"/>
    <n v="1415.96"/>
    <n v="1651.24"/>
    <n v="2100.02"/>
    <n v="1616.13"/>
    <n v="2267.6999999999998"/>
    <n v="1837.96"/>
    <n v="1854.77"/>
    <n v="1561.68"/>
    <n v="1475.83"/>
    <n v="1846.52"/>
    <n v="2801.87"/>
    <n v="21675.18"/>
    <n v="-955.34999999999991"/>
  </r>
  <r>
    <x v="11"/>
    <x v="6"/>
    <x v="0"/>
    <s v="4950107"/>
    <n v="721420"/>
    <s v="Sterilization Process Products"/>
    <s v="Respiratory Care-Bremerton"/>
    <x v="0"/>
    <n v="1009"/>
    <n v="335.89"/>
    <n v="49.79"/>
    <n v="19.920000000000002"/>
    <n v="103.56"/>
    <n v="49.79"/>
    <n v="105.54"/>
    <n v="49.79"/>
    <n v="254.36"/>
    <n v="392.38"/>
    <n v="262.43"/>
    <n v="590.70000000000005"/>
    <n v="346.55"/>
    <n v="2560.7000000000003"/>
    <n v="244.15000000000003"/>
  </r>
  <r>
    <x v="11"/>
    <x v="6"/>
    <x v="0"/>
    <s v="4950107"/>
    <n v="721610"/>
    <s v="Supplies-Anesthesia - Nonbillable"/>
    <s v="Respiratory Care-Bremerton"/>
    <x v="0"/>
    <m/>
    <n v="16296.42"/>
    <n v="13945.75"/>
    <n v="16850.53"/>
    <n v="15996.77"/>
    <n v="13801.12"/>
    <n v="17556.11"/>
    <n v="19033.080000000002"/>
    <n v="17564.060000000001"/>
    <n v="21307.64"/>
    <n v="19578.599999999999"/>
    <n v="11207.51"/>
    <n v="17129.560000000001"/>
    <n v="200267.15"/>
    <n v="-5922.0500000000011"/>
  </r>
  <r>
    <x v="11"/>
    <x v="6"/>
    <x v="0"/>
    <s v="4950107"/>
    <n v="721640"/>
    <s v="Supplies-IV Solutions/Supplies - Nonbillable"/>
    <s v="Respiratory Care-Bremerton"/>
    <x v="0"/>
    <m/>
    <n v="28.8"/>
    <n v="4.8"/>
    <n v="14.4"/>
    <n v="14.4"/>
    <n v="14.4"/>
    <n v="21.6"/>
    <n v="16.8"/>
    <n v="12"/>
    <n v="12"/>
    <n v="0"/>
    <n v="0"/>
    <n v="0"/>
    <n v="139.19999999999999"/>
    <n v="0"/>
  </r>
  <r>
    <x v="11"/>
    <x v="6"/>
    <x v="0"/>
    <s v="4950107"/>
    <n v="721650"/>
    <s v="Supplies-Pharmacy Drugs - Nonbillable"/>
    <s v="Respiratory Care-Bremerton"/>
    <x v="0"/>
    <m/>
    <n v="30"/>
    <n v="0"/>
    <n v="0"/>
    <n v="0"/>
    <n v="557.05999999999995"/>
    <n v="-43.52"/>
    <n v="0"/>
    <n v="0"/>
    <n v="263.52999999999997"/>
    <n v="30"/>
    <n v="-21.76"/>
    <n v="0"/>
    <n v="815.31"/>
    <n v="-21.76"/>
  </r>
  <r>
    <x v="11"/>
    <x v="6"/>
    <x v="0"/>
    <s v="4950107"/>
    <n v="721710"/>
    <s v="Supplies-Laboratory - Nonbillable"/>
    <s v="Respiratory Care-Bremerton"/>
    <x v="0"/>
    <m/>
    <n v="48.15"/>
    <n v="32.54"/>
    <n v="13.94"/>
    <n v="103.71"/>
    <n v="24.4"/>
    <n v="11.04"/>
    <n v="162.78"/>
    <n v="649.66999999999996"/>
    <n v="155.81"/>
    <n v="8.1300000000000008"/>
    <n v="13.94"/>
    <n v="34.86"/>
    <n v="1258.97"/>
    <n v="-20.92"/>
  </r>
  <r>
    <x v="11"/>
    <x v="6"/>
    <x v="0"/>
    <s v="4950107"/>
    <n v="721710"/>
    <s v="Reagents"/>
    <s v="Respiratory Care-Bremerton"/>
    <x v="0"/>
    <n v="1000"/>
    <n v="38.15"/>
    <n v="0"/>
    <n v="0"/>
    <n v="0"/>
    <n v="3.15"/>
    <n v="37.549999999999997"/>
    <n v="-2.88"/>
    <n v="3.15"/>
    <n v="0"/>
    <n v="3.15"/>
    <n v="0"/>
    <n v="0"/>
    <n v="82.27000000000001"/>
    <n v="0"/>
  </r>
  <r>
    <x v="11"/>
    <x v="6"/>
    <x v="0"/>
    <s v="4950107"/>
    <n v="721810"/>
    <s v="Supplies-Dietary/Cafeteria"/>
    <s v="Respiratory Care-Bremerton"/>
    <x v="0"/>
    <m/>
    <n v="352.88"/>
    <n v="137.27000000000001"/>
    <n v="339.52"/>
    <n v="1121.1099999999999"/>
    <n v="808.18"/>
    <n v="142.46"/>
    <n v="468.86"/>
    <n v="487.33"/>
    <n v="769.56"/>
    <n v="971.54"/>
    <n v="482.49"/>
    <n v="474.47"/>
    <n v="6555.67"/>
    <n v="8.0199999999999818"/>
  </r>
  <r>
    <x v="11"/>
    <x v="6"/>
    <x v="0"/>
    <s v="4950107"/>
    <n v="721830"/>
    <s v="Supplies-Office"/>
    <s v="Respiratory Care-Bremerton"/>
    <x v="0"/>
    <m/>
    <n v="96.16"/>
    <n v="342.02"/>
    <n v="168.97"/>
    <n v="547.12"/>
    <n v="229.79"/>
    <n v="151.31"/>
    <n v="149.28"/>
    <n v="164.02"/>
    <n v="44.25"/>
    <n v="146.01"/>
    <n v="214.73"/>
    <n v="44.96"/>
    <n v="2298.62"/>
    <n v="169.76999999999998"/>
  </r>
  <r>
    <x v="11"/>
    <x v="6"/>
    <x v="0"/>
    <s v="4950107"/>
    <n v="721835"/>
    <s v="Supplies-Forms"/>
    <s v="Respiratory Care-Bremerton"/>
    <x v="0"/>
    <m/>
    <n v="0"/>
    <n v="0"/>
    <n v="0"/>
    <n v="0"/>
    <n v="35.270000000000003"/>
    <n v="50"/>
    <n v="66.7"/>
    <n v="0"/>
    <n v="11.3"/>
    <n v="0"/>
    <n v="30.45"/>
    <n v="0"/>
    <n v="193.72000000000003"/>
    <n v="30.45"/>
  </r>
  <r>
    <x v="11"/>
    <x v="6"/>
    <x v="0"/>
    <s v="4950107"/>
    <n v="721850"/>
    <s v="Supplies-Maintenance"/>
    <s v="Respiratory Care-Bremerton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4950107"/>
    <n v="721870"/>
    <s v="Supplies-Environmental Services"/>
    <s v="Respiratory Care-Bremerton"/>
    <x v="0"/>
    <m/>
    <n v="51.54"/>
    <n v="31.52"/>
    <n v="31.52"/>
    <n v="28.39"/>
    <n v="52.03"/>
    <n v="19.7"/>
    <n v="27.58"/>
    <n v="11.82"/>
    <n v="11.82"/>
    <n v="15.76"/>
    <n v="23.64"/>
    <n v="15.76"/>
    <n v="321.07999999999993"/>
    <n v="7.8800000000000008"/>
  </r>
  <r>
    <x v="11"/>
    <x v="6"/>
    <x v="0"/>
    <s v="4950107"/>
    <n v="721910"/>
    <s v="Supplies-Small Equipment"/>
    <s v="Respiratory Care-Bremerton"/>
    <x v="0"/>
    <m/>
    <n v="2252.71"/>
    <n v="1226.23"/>
    <n v="131.31"/>
    <n v="5597.87"/>
    <n v="4317.83"/>
    <n v="2346.1999999999998"/>
    <n v="138.5"/>
    <n v="2011.15"/>
    <n v="1137.73"/>
    <n v="429.48"/>
    <n v="1746.76"/>
    <n v="577.23"/>
    <n v="21912.999999999996"/>
    <n v="1169.53"/>
  </r>
  <r>
    <x v="11"/>
    <x v="6"/>
    <x v="0"/>
    <s v="4950107"/>
    <n v="721910"/>
    <s v="Instruments"/>
    <s v="Respiratory Care-Bremerton"/>
    <x v="0"/>
    <n v="1000"/>
    <n v="3845.52"/>
    <n v="0"/>
    <n v="2572.5300000000002"/>
    <n v="1743.79"/>
    <n v="183.12"/>
    <n v="1709.12"/>
    <n v="433.77"/>
    <n v="427.28"/>
    <n v="1709.12"/>
    <n v="427.28"/>
    <n v="0"/>
    <n v="3418.24"/>
    <n v="16469.770000000004"/>
    <n v="-3418.24"/>
  </r>
  <r>
    <x v="11"/>
    <x v="6"/>
    <x v="0"/>
    <s v="4950107"/>
    <n v="721980"/>
    <s v="Supplies-Other"/>
    <s v="Respiratory Care-Bremerton"/>
    <x v="0"/>
    <m/>
    <n v="499.6"/>
    <n v="749.04"/>
    <n v="205.02"/>
    <n v="1049.74"/>
    <n v="366.67"/>
    <n v="272.89999999999998"/>
    <n v="0"/>
    <n v="0"/>
    <n v="214.28"/>
    <n v="234.17"/>
    <n v="0"/>
    <n v="-13.97"/>
    <n v="3577.4500000000003"/>
    <n v="13.97"/>
  </r>
  <r>
    <x v="11"/>
    <x v="6"/>
    <x v="0"/>
    <s v="4950107"/>
    <n v="722000"/>
    <s v="Supplies-Freight Expense"/>
    <s v="Respiratory Care-Bremerton"/>
    <x v="0"/>
    <m/>
    <n v="65.06"/>
    <n v="320.18"/>
    <n v="57.76"/>
    <n v="55.19"/>
    <n v="93.26"/>
    <n v="140.5"/>
    <n v="264.83"/>
    <n v="52.43"/>
    <n v="254.51"/>
    <n v="235.34"/>
    <n v="285.68"/>
    <n v="383.73"/>
    <n v="2208.4700000000003"/>
    <n v="-98.050000000000011"/>
  </r>
  <r>
    <x v="11"/>
    <x v="6"/>
    <x v="0"/>
    <s v="4950107"/>
    <n v="723000"/>
    <s v="Supply Rebates/Patronage Dividend"/>
    <s v="Respiratory Care-Bremerton"/>
    <x v="0"/>
    <m/>
    <n v="0"/>
    <n v="0"/>
    <n v="0"/>
    <n v="0"/>
    <n v="0"/>
    <n v="0"/>
    <n v="0"/>
    <n v="0"/>
    <n v="0"/>
    <n v="0"/>
    <n v="0"/>
    <n v="-44.03"/>
    <n v="-44.03"/>
    <n v="44.03"/>
  </r>
  <r>
    <x v="12"/>
    <x v="6"/>
    <x v="0"/>
    <s v="4950107"/>
    <n v="730020"/>
    <s v="Rental and Leases-Equipment (DO NOT USE)"/>
    <s v="Respiratory Care-Bremerton"/>
    <x v="0"/>
    <m/>
    <n v="16357.9"/>
    <n v="19062.740000000002"/>
    <n v="16257.49"/>
    <n v="25107.83"/>
    <n v="6577.62"/>
    <n v="22282.49"/>
    <n v="19272.07"/>
    <n v="14496.11"/>
    <n v="13452.92"/>
    <n v="15694.97"/>
    <n v="17381.490000000002"/>
    <n v="26040.71"/>
    <n v="211984.34"/>
    <n v="-8659.2199999999975"/>
  </r>
  <r>
    <x v="12"/>
    <x v="6"/>
    <x v="0"/>
    <s v="4950107"/>
    <n v="730020"/>
    <s v="Rental and Leases-Copier Usage Fees (DO NOT USE)"/>
    <s v="Respiratory Care-Bremerton"/>
    <x v="0"/>
    <n v="5100"/>
    <n v="520.4"/>
    <n v="524.29999999999995"/>
    <n v="522.35"/>
    <n v="522.35"/>
    <n v="522.35"/>
    <n v="522.35"/>
    <n v="225"/>
    <n v="326.73"/>
    <n v="326.05"/>
    <n v="966.35"/>
    <n v="326.73"/>
    <n v="353.01"/>
    <n v="5657.9699999999993"/>
    <n v="-26.279999999999973"/>
  </r>
  <r>
    <x v="15"/>
    <x v="6"/>
    <x v="0"/>
    <s v="4950107"/>
    <n v="731060"/>
    <s v="Cell Phones"/>
    <s v="Respiratory Care-Bremerton"/>
    <x v="0"/>
    <n v="1001"/>
    <n v="0"/>
    <n v="220.25"/>
    <n v="207.89"/>
    <n v="0"/>
    <n v="140.97"/>
    <n v="143.36000000000001"/>
    <n v="286.66000000000003"/>
    <n v="0"/>
    <n v="145.96"/>
    <n v="286.85000000000002"/>
    <n v="141.4"/>
    <n v="143.75"/>
    <n v="1717.0900000000001"/>
    <n v="-2.3499999999999943"/>
  </r>
  <r>
    <x v="15"/>
    <x v="6"/>
    <x v="0"/>
    <s v="4950107"/>
    <n v="731060"/>
    <s v="Pagers"/>
    <s v="Respiratory Care-Bremerton"/>
    <x v="0"/>
    <n v="1002"/>
    <n v="49.5"/>
    <n v="49.5"/>
    <n v="49.5"/>
    <n v="49.6"/>
    <n v="0"/>
    <n v="49.6"/>
    <n v="99.2"/>
    <n v="75.52"/>
    <n v="36.979999999999997"/>
    <n v="36.979999999999997"/>
    <n v="36.979999999999997"/>
    <n v="36.979999999999997"/>
    <n v="570.34"/>
    <n v="0"/>
  </r>
  <r>
    <x v="16"/>
    <x v="6"/>
    <x v="0"/>
    <s v="4950107"/>
    <n v="732020"/>
    <s v="Repairs--Clin Equip-Parts-Internal to CHI Programs"/>
    <s v="Respiratory Care-Bremerton"/>
    <x v="0"/>
    <m/>
    <n v="2348.36"/>
    <n v="1768.78"/>
    <n v="1268.06"/>
    <n v="1922.47"/>
    <n v="1228.55"/>
    <n v="2291.2800000000002"/>
    <n v="1377.46"/>
    <n v="2197.4"/>
    <n v="1489.57"/>
    <n v="1820.61"/>
    <n v="1337.83"/>
    <n v="1157.55"/>
    <n v="20207.920000000002"/>
    <n v="180.27999999999997"/>
  </r>
  <r>
    <x v="16"/>
    <x v="6"/>
    <x v="0"/>
    <s v="4950107"/>
    <n v="732030"/>
    <s v="Repairs---Other"/>
    <s v="Respiratory Care-Bremerton"/>
    <x v="0"/>
    <m/>
    <n v="0"/>
    <n v="0"/>
    <n v="0"/>
    <n v="2048.1999999999998"/>
    <n v="0"/>
    <n v="-931.93"/>
    <n v="247.84"/>
    <n v="9.56"/>
    <n v="-14.34"/>
    <n v="0"/>
    <n v="0"/>
    <n v="0"/>
    <n v="1359.33"/>
    <n v="0"/>
  </r>
  <r>
    <x v="13"/>
    <x v="6"/>
    <x v="0"/>
    <s v="4950107"/>
    <n v="735060"/>
    <s v="Depreciation-Fixed Equipment"/>
    <s v="Respiratory Care-Bremerton"/>
    <x v="0"/>
    <m/>
    <n v="44.39"/>
    <n v="44.39"/>
    <n v="44.39"/>
    <n v="44.39"/>
    <n v="44.4"/>
    <n v="44.39"/>
    <n v="44.4"/>
    <n v="44.39"/>
    <n v="44.4"/>
    <n v="44.39"/>
    <n v="44.4"/>
    <n v="44.39"/>
    <n v="532.71999999999991"/>
    <n v="9.9999999999980105E-3"/>
  </r>
  <r>
    <x v="13"/>
    <x v="6"/>
    <x v="0"/>
    <s v="4950107"/>
    <n v="735070"/>
    <s v="Depreciation-Movable Equipment"/>
    <s v="Respiratory Care-Bremerton"/>
    <x v="0"/>
    <m/>
    <n v="9162.1299999999992"/>
    <n v="9053.0300000000007"/>
    <n v="9053.0400000000009"/>
    <n v="9053"/>
    <n v="9053.0499999999993"/>
    <n v="9053"/>
    <n v="9053.07"/>
    <n v="9053"/>
    <n v="9053.09"/>
    <n v="9053"/>
    <n v="9053.11"/>
    <n v="9052.98"/>
    <n v="108745.5"/>
    <n v="0.13000000000101863"/>
  </r>
  <r>
    <x v="0"/>
    <x v="6"/>
    <x v="0"/>
    <s v="4950107"/>
    <n v="740020"/>
    <s v="Education-Registration Fees"/>
    <s v="Respiratory Care-Bremerton"/>
    <x v="0"/>
    <m/>
    <n v="390"/>
    <n v="925"/>
    <n v="1480"/>
    <n v="0"/>
    <n v="165"/>
    <n v="324"/>
    <n v="165"/>
    <n v="380"/>
    <n v="430"/>
    <n v="260"/>
    <n v="260"/>
    <n v="1570.46"/>
    <n v="6349.46"/>
    <n v="-1310.46"/>
  </r>
  <r>
    <x v="0"/>
    <x v="6"/>
    <x v="0"/>
    <s v="4950107"/>
    <n v="742040"/>
    <s v="Freight-Other"/>
    <s v="Respiratory Care-Bremerton"/>
    <x v="0"/>
    <m/>
    <n v="0"/>
    <n v="0"/>
    <n v="0"/>
    <n v="0"/>
    <n v="0"/>
    <n v="0"/>
    <n v="0"/>
    <n v="0"/>
    <n v="0"/>
    <n v="0"/>
    <n v="0"/>
    <n v="209.7"/>
    <n v="209.7"/>
    <n v="-209.7"/>
  </r>
  <r>
    <x v="0"/>
    <x v="6"/>
    <x v="0"/>
    <s v="4950107"/>
    <n v="749510"/>
    <s v="Miscellaneous Expenses"/>
    <s v="Respiratory Care-Bremerton"/>
    <x v="0"/>
    <m/>
    <n v="28.5"/>
    <n v="1252.5999999999999"/>
    <n v="-1204.6500000000001"/>
    <n v="71.97"/>
    <n v="2653.4"/>
    <n v="-435.3"/>
    <n v="90.3"/>
    <n v="-16.18"/>
    <n v="-74.12"/>
    <n v="307.89"/>
    <n v="-396.18"/>
    <n v="338.29"/>
    <n v="2616.52"/>
    <n v="-734.47"/>
  </r>
  <r>
    <x v="0"/>
    <x v="6"/>
    <x v="0"/>
    <s v="4950107"/>
    <n v="749510"/>
    <s v="RICE Rewards"/>
    <s v="Respiratory Care-Bremerton"/>
    <x v="0"/>
    <n v="5100"/>
    <n v="0"/>
    <n v="0"/>
    <n v="0"/>
    <n v="0"/>
    <n v="0"/>
    <n v="0"/>
    <n v="0"/>
    <n v="0"/>
    <n v="0"/>
    <n v="0"/>
    <n v="0"/>
    <n v="120"/>
    <n v="120"/>
    <n v="-120"/>
  </r>
  <r>
    <x v="0"/>
    <x v="6"/>
    <x v="0"/>
    <s v="4950107"/>
    <n v="749530"/>
    <s v="Travel"/>
    <s v="Respiratory Care-Bremerton"/>
    <x v="0"/>
    <m/>
    <n v="0"/>
    <n v="0"/>
    <n v="24"/>
    <n v="0"/>
    <n v="0"/>
    <n v="12"/>
    <n v="0"/>
    <n v="12"/>
    <n v="74.12"/>
    <n v="24"/>
    <n v="47.89"/>
    <n v="12"/>
    <n v="206.01"/>
    <n v="35.89"/>
  </r>
  <r>
    <x v="0"/>
    <x v="6"/>
    <x v="0"/>
    <s v="4950107"/>
    <n v="749530"/>
    <s v="Mileage"/>
    <s v="Respiratory Care-Bremerton"/>
    <x v="0"/>
    <n v="1001"/>
    <n v="0"/>
    <n v="35.97"/>
    <n v="295.95"/>
    <n v="0"/>
    <n v="0"/>
    <n v="74.67"/>
    <n v="0"/>
    <n v="78.3"/>
    <n v="0"/>
    <n v="0"/>
    <n v="0"/>
    <n v="76.56"/>
    <n v="561.45000000000005"/>
    <n v="-76.56"/>
  </r>
  <r>
    <x v="0"/>
    <x v="6"/>
    <x v="0"/>
    <s v="4950107"/>
    <n v="749535"/>
    <s v="Meetings"/>
    <s v="Respiratory Care-Bremerton"/>
    <x v="0"/>
    <m/>
    <n v="0"/>
    <n v="0"/>
    <n v="0"/>
    <n v="40"/>
    <n v="0"/>
    <n v="71.97"/>
    <n v="0"/>
    <n v="0"/>
    <n v="0"/>
    <n v="0"/>
    <n v="0"/>
    <n v="0"/>
    <n v="111.97"/>
    <n v="0"/>
  </r>
  <r>
    <x v="18"/>
    <x v="7"/>
    <x v="0"/>
    <s v="4950150"/>
    <n v="400010"/>
    <s v="Acute I/P Svcs Rev--Medicare"/>
    <s v="Respiratory Therapy"/>
    <x v="0"/>
    <n v="1100"/>
    <n v="-134106.85999999999"/>
    <n v="-117978.66"/>
    <n v="-105849.49"/>
    <n v="-74551.73"/>
    <n v="-125822.45"/>
    <n v="-211547.92"/>
    <n v="-187179.65"/>
    <n v="-113310.01"/>
    <n v="-190996.82"/>
    <n v="-117877.53"/>
    <n v="-157452.57999999999"/>
    <n v="-114711.64"/>
    <n v="-1651385.34"/>
    <n v="-42740.939999999988"/>
  </r>
  <r>
    <x v="18"/>
    <x v="7"/>
    <x v="0"/>
    <s v="4950150"/>
    <n v="400010"/>
    <s v="Acute I/P Svcs Rev--Medicaid"/>
    <s v="Respiratory Therapy"/>
    <x v="0"/>
    <n v="1200"/>
    <n v="-6909.28"/>
    <n v="-21561.27"/>
    <n v="-7892.67"/>
    <n v="-39135.370000000003"/>
    <n v="-21275.43"/>
    <n v="-16318.56"/>
    <n v="-14147.6"/>
    <n v="-14621.12"/>
    <n v="-22074.52"/>
    <n v="-24695.38"/>
    <n v="-28343.25"/>
    <n v="-31517.75"/>
    <n v="-248492.19999999998"/>
    <n v="3174.5"/>
  </r>
  <r>
    <x v="18"/>
    <x v="7"/>
    <x v="0"/>
    <s v="4950150"/>
    <n v="400010"/>
    <s v="Acute I/P Svcs Rev--Comm Insurance"/>
    <s v="Respiratory Therapy"/>
    <x v="0"/>
    <n v="1300"/>
    <n v="12766.32"/>
    <n v="-14931.22"/>
    <n v="-10247.18"/>
    <n v="-1351.11"/>
    <n v="350.32"/>
    <n v="-4278.3900000000003"/>
    <n v="0"/>
    <n v="-1550.92"/>
    <n v="-1351.11"/>
    <n v="-9358.7199999999993"/>
    <n v="-300.14999999999998"/>
    <n v="-350.32"/>
    <n v="-30602.480000000003"/>
    <n v="50.170000000000016"/>
  </r>
  <r>
    <x v="18"/>
    <x v="7"/>
    <x v="0"/>
    <s v="4950150"/>
    <n v="400010"/>
    <s v="Acute I/P Svcs Rev--BCBS Comm"/>
    <s v="Respiratory Therapy"/>
    <x v="0"/>
    <n v="1301"/>
    <n v="-917.13"/>
    <n v="-4438.41"/>
    <n v="-4206.7299999999996"/>
    <n v="-600.29999999999995"/>
    <n v="-6304.26"/>
    <n v="-13983.7"/>
    <n v="-126.78"/>
    <n v="-8654.7199999999993"/>
    <n v="-3502.33"/>
    <n v="-2763.67"/>
    <n v="-1813.05"/>
    <n v="-1550.92"/>
    <n v="-48862"/>
    <n v="-262.12999999999988"/>
  </r>
  <r>
    <x v="18"/>
    <x v="7"/>
    <x v="0"/>
    <s v="4950150"/>
    <n v="400010"/>
    <s v="Acute I/P Svcs Rev--Managed Care"/>
    <s v="Respiratory Therapy"/>
    <x v="0"/>
    <n v="1400"/>
    <n v="-13789.26"/>
    <n v="-8260.4699999999993"/>
    <n v="-2129.35"/>
    <n v="-6136.98"/>
    <n v="-11353.78"/>
    <n v="-22044.07"/>
    <n v="-5108.1499999999996"/>
    <n v="-40666.949999999997"/>
    <n v="-7864.2"/>
    <n v="-12773.58"/>
    <n v="-48922.45"/>
    <n v="-7107.3"/>
    <n v="-186156.53999999998"/>
    <n v="-41815.149999999994"/>
  </r>
  <r>
    <x v="18"/>
    <x v="7"/>
    <x v="0"/>
    <s v="4950150"/>
    <n v="400010"/>
    <s v="Acute I/P Svcs Rev--Self Pay"/>
    <s v="Respiratory Therapy"/>
    <x v="0"/>
    <n v="1500"/>
    <n v="-8144.38"/>
    <n v="-715.17"/>
    <n v="-1149.1300000000001"/>
    <n v="221.37"/>
    <n v="-350.32"/>
    <n v="-910.64"/>
    <n v="-350.32"/>
    <n v="-15429.11"/>
    <n v="0"/>
    <n v="-350.32"/>
    <n v="0"/>
    <n v="-1396.51"/>
    <n v="-28574.529999999995"/>
    <n v="1396.51"/>
  </r>
  <r>
    <x v="18"/>
    <x v="7"/>
    <x v="0"/>
    <s v="4950150"/>
    <n v="400010"/>
    <s v="Acute I/P Svcs Rev--Other"/>
    <s v="Respiratory Therapy"/>
    <x v="0"/>
    <n v="1700"/>
    <n v="333.64"/>
    <n v="-6858.64"/>
    <n v="0"/>
    <n v="0"/>
    <n v="-7788.97"/>
    <n v="-5436.85"/>
    <n v="-11668.32"/>
    <n v="-4561.0200000000004"/>
    <n v="-2225.08"/>
    <n v="-4898.32"/>
    <n v="-16029.11"/>
    <n v="11368.17"/>
    <n v="-47764.500000000007"/>
    <n v="-27397.279999999999"/>
  </r>
  <r>
    <x v="19"/>
    <x v="7"/>
    <x v="0"/>
    <s v="4950150"/>
    <n v="400020"/>
    <s v="O/P Care Svcs Rev--Medicare"/>
    <s v="Respiratory Therapy"/>
    <x v="0"/>
    <n v="1100"/>
    <n v="-81363.63"/>
    <n v="-126271.78"/>
    <n v="-99975.039999999994"/>
    <n v="-96063.77"/>
    <n v="-94156.23"/>
    <n v="-107563.01"/>
    <n v="-107905.44"/>
    <n v="-119139.54"/>
    <n v="-100407.93"/>
    <n v="-103574.28"/>
    <n v="-114084.14"/>
    <n v="-111985.06"/>
    <n v="-1262489.8499999999"/>
    <n v="-2099.0800000000017"/>
  </r>
  <r>
    <x v="19"/>
    <x v="7"/>
    <x v="0"/>
    <s v="4950150"/>
    <n v="400020"/>
    <s v="O/P Care Svcs Rev--Medicaid"/>
    <s v="Respiratory Therapy"/>
    <x v="0"/>
    <n v="1200"/>
    <n v="-22160.12"/>
    <n v="-21496.65"/>
    <n v="-24495.69"/>
    <n v="-27414.86"/>
    <n v="-24950.880000000001"/>
    <n v="-24012.11"/>
    <n v="-37944.910000000003"/>
    <n v="-22603.14"/>
    <n v="-30576.34"/>
    <n v="-36915.620000000003"/>
    <n v="-29156.59"/>
    <n v="-32834.160000000003"/>
    <n v="-334561.07000000007"/>
    <n v="3677.5700000000033"/>
  </r>
  <r>
    <x v="19"/>
    <x v="7"/>
    <x v="0"/>
    <s v="4950150"/>
    <n v="400020"/>
    <s v="O/P Care Svcs Rev--Comm Insurance"/>
    <s v="Respiratory Therapy"/>
    <x v="0"/>
    <n v="1300"/>
    <n v="-3247.61"/>
    <n v="-2070.61"/>
    <n v="-4796.43"/>
    <n v="-2205.84"/>
    <n v="-4878.55"/>
    <n v="-2278.87"/>
    <n v="-4631.83"/>
    <n v="-4495.1099999999997"/>
    <n v="-3446.63"/>
    <n v="-2679.1"/>
    <n v="-6744.64"/>
    <n v="-7007.77"/>
    <n v="-48482.990000000005"/>
    <n v="263.13000000000011"/>
  </r>
  <r>
    <x v="19"/>
    <x v="7"/>
    <x v="0"/>
    <s v="4950150"/>
    <n v="400020"/>
    <s v="O/P Care Svcs Rev--BCBS Comm"/>
    <s v="Respiratory Therapy"/>
    <x v="0"/>
    <n v="1301"/>
    <n v="-10650.56"/>
    <n v="-17002.330000000002"/>
    <n v="-8486.57"/>
    <n v="-10449.48"/>
    <n v="-17409.71"/>
    <n v="-10818.18"/>
    <n v="-20854.64"/>
    <n v="-13815.26"/>
    <n v="-14555.89"/>
    <n v="-20716.22"/>
    <n v="-17704.95"/>
    <n v="-12965.86"/>
    <n v="-175429.65000000002"/>
    <n v="-4739.09"/>
  </r>
  <r>
    <x v="19"/>
    <x v="7"/>
    <x v="0"/>
    <s v="4950150"/>
    <n v="400020"/>
    <s v="O/P Care Svcs Rev--Managed Care"/>
    <s v="Respiratory Therapy"/>
    <x v="0"/>
    <n v="1400"/>
    <n v="-24457.71"/>
    <n v="-37388.089999999997"/>
    <n v="-30064.48"/>
    <n v="-34578.35"/>
    <n v="-40389.620000000003"/>
    <n v="-30834.69"/>
    <n v="-43302.96"/>
    <n v="-25997.58"/>
    <n v="-33720.79"/>
    <n v="-42303.040000000001"/>
    <n v="-40267.85"/>
    <n v="-35867.26"/>
    <n v="-419172.41999999993"/>
    <n v="-4400.5899999999965"/>
  </r>
  <r>
    <x v="19"/>
    <x v="7"/>
    <x v="0"/>
    <s v="4950150"/>
    <n v="400020"/>
    <s v="O/P Care Svcs Rev--Self Pay"/>
    <s v="Respiratory Therapy"/>
    <x v="0"/>
    <n v="1500"/>
    <n v="-2118.6"/>
    <n v="-5121.3599999999997"/>
    <n v="-4368.92"/>
    <n v="-3218.24"/>
    <n v="-3152.88"/>
    <n v="-5622.58"/>
    <n v="-7243.5"/>
    <n v="-5737.99"/>
    <n v="-4624.3900000000003"/>
    <n v="-5680.45"/>
    <n v="-4610.63"/>
    <n v="-2409.35"/>
    <n v="-53908.889999999992"/>
    <n v="-2201.2800000000002"/>
  </r>
  <r>
    <x v="19"/>
    <x v="7"/>
    <x v="0"/>
    <s v="4950150"/>
    <n v="400020"/>
    <s v="O/P Care Svcs Rev--Other"/>
    <s v="Respiratory Therapy"/>
    <x v="0"/>
    <n v="1700"/>
    <n v="-1113.52"/>
    <n v="-7885.04"/>
    <n v="-3629.98"/>
    <n v="-3975.55"/>
    <n v="741.14"/>
    <n v="-1413.91"/>
    <n v="-5879.34"/>
    <n v="-8450.0300000000007"/>
    <n v="-2818.61"/>
    <n v="-5393.76"/>
    <n v="-2752.39"/>
    <n v="-6256.74"/>
    <n v="-48827.73"/>
    <n v="3504.35"/>
  </r>
  <r>
    <x v="5"/>
    <x v="7"/>
    <x v="0"/>
    <s v="4950150"/>
    <n v="700034"/>
    <s v="Salaries-Tech/Professional-Productive"/>
    <s v="Respiratory Therapy"/>
    <x v="0"/>
    <m/>
    <n v="33777.75"/>
    <n v="33602.35"/>
    <n v="33031.94"/>
    <n v="34216.400000000001"/>
    <n v="34390.629999999997"/>
    <n v="32609.83"/>
    <n v="34165.5"/>
    <n v="28350.45"/>
    <n v="35256.379999999997"/>
    <n v="32391.95"/>
    <n v="45375.41"/>
    <n v="30278.36"/>
    <n v="407446.95000000007"/>
    <n v="15097.050000000003"/>
  </r>
  <r>
    <x v="5"/>
    <x v="7"/>
    <x v="0"/>
    <s v="4950150"/>
    <n v="700034"/>
    <s v="Salaries-Tech/Professional-OT"/>
    <s v="Respiratory Therapy"/>
    <x v="0"/>
    <n v="1000"/>
    <n v="266.79000000000002"/>
    <n v="1110.25"/>
    <n v="816.88"/>
    <n v="2623.23"/>
    <n v="-231.83"/>
    <n v="2734.34"/>
    <n v="385.11"/>
    <n v="3261.86"/>
    <n v="565.64"/>
    <n v="2848.74"/>
    <n v="-83.51"/>
    <n v="785.59"/>
    <n v="15083.089999999998"/>
    <n v="-869.1"/>
  </r>
  <r>
    <x v="5"/>
    <x v="7"/>
    <x v="0"/>
    <s v="4950150"/>
    <n v="700034"/>
    <s v="Salaries-Tech/Professional-Other"/>
    <s v="Respiratory Therapy"/>
    <x v="0"/>
    <n v="2000"/>
    <n v="2678.07"/>
    <n v="2654.05"/>
    <n v="1872.59"/>
    <n v="2101.02"/>
    <n v="1660"/>
    <n v="1958.05"/>
    <n v="1801.11"/>
    <n v="1671.32"/>
    <n v="2341.29"/>
    <n v="1959.12"/>
    <n v="3856.04"/>
    <n v="1772.53"/>
    <n v="26325.190000000002"/>
    <n v="2083.5100000000002"/>
  </r>
  <r>
    <x v="5"/>
    <x v="7"/>
    <x v="0"/>
    <s v="4950150"/>
    <n v="700054"/>
    <s v="Salaries-Management-NonProd-Other"/>
    <s v="Respiratory Therapy"/>
    <x v="0"/>
    <n v="2000"/>
    <n v="0"/>
    <n v="0"/>
    <n v="0"/>
    <n v="0"/>
    <n v="0"/>
    <n v="8.56"/>
    <n v="-8.56"/>
    <n v="0"/>
    <n v="0"/>
    <n v="0"/>
    <n v="0"/>
    <n v="0"/>
    <n v="0"/>
    <n v="0"/>
  </r>
  <r>
    <x v="5"/>
    <x v="7"/>
    <x v="0"/>
    <s v="4950150"/>
    <n v="700074"/>
    <s v="Salaries-Tech/Professional-Non-productive"/>
    <s v="Respiratory Therapy"/>
    <x v="0"/>
    <m/>
    <n v="8873.4500000000007"/>
    <n v="7675.66"/>
    <n v="2262.85"/>
    <n v="3849.65"/>
    <n v="3535.16"/>
    <n v="9003.3700000000008"/>
    <n v="1671.9"/>
    <n v="3962.68"/>
    <n v="20151.22"/>
    <n v="5505.86"/>
    <n v="2268.5500000000002"/>
    <n v="4639.22"/>
    <n v="73399.570000000007"/>
    <n v="-2370.67"/>
  </r>
  <r>
    <x v="5"/>
    <x v="7"/>
    <x v="0"/>
    <s v="4950150"/>
    <n v="700074"/>
    <s v="Salaries-Tech/Professional-NonProd-Other"/>
    <s v="Respiratory Therapy"/>
    <x v="0"/>
    <n v="2000"/>
    <n v="232.11"/>
    <n v="226.78"/>
    <n v="162.03"/>
    <n v="159.51"/>
    <n v="192.45"/>
    <n v="235.52"/>
    <n v="33.049999999999997"/>
    <n v="146.77000000000001"/>
    <n v="48.56"/>
    <n v="148.15"/>
    <n v="230.65"/>
    <n v="70.709999999999994"/>
    <n v="1886.29"/>
    <n v="159.94"/>
  </r>
  <r>
    <x v="5"/>
    <x v="7"/>
    <x v="0"/>
    <s v="4950150"/>
    <n v="700084"/>
    <s v="Accrued PTO"/>
    <s v="Respiratory Therapy"/>
    <x v="0"/>
    <m/>
    <n v="-2802.11"/>
    <n v="-3148.47"/>
    <n v="1748.95"/>
    <n v="2139.17"/>
    <n v="1429.13"/>
    <n v="-2586.0500000000002"/>
    <n v="2750.59"/>
    <n v="895.67"/>
    <n v="-15123.82"/>
    <n v="433.29"/>
    <n v="1418.48"/>
    <n v="-105.36"/>
    <n v="-12950.53"/>
    <n v="1523.84"/>
  </r>
  <r>
    <x v="10"/>
    <x v="7"/>
    <x v="0"/>
    <s v="4950150"/>
    <n v="710060"/>
    <s v="Contract Labor-Other"/>
    <s v="Respiratory Therapy"/>
    <x v="0"/>
    <m/>
    <n v="0"/>
    <n v="0"/>
    <n v="0"/>
    <n v="0"/>
    <n v="0"/>
    <n v="0"/>
    <n v="0"/>
    <n v="0"/>
    <n v="0"/>
    <n v="4554.1099999999997"/>
    <n v="0"/>
    <n v="0"/>
    <n v="4554.1099999999997"/>
    <n v="0"/>
  </r>
  <r>
    <x v="6"/>
    <x v="7"/>
    <x v="0"/>
    <s v="4950150"/>
    <n v="713010"/>
    <s v="Benefits-FICA/Medicare"/>
    <s v="Respiratory Therapy"/>
    <x v="0"/>
    <m/>
    <n v="3439.53"/>
    <n v="3476.98"/>
    <n v="2853.67"/>
    <n v="3232.43"/>
    <n v="3006.7"/>
    <n v="3523.13"/>
    <n v="2848.57"/>
    <n v="2801.9"/>
    <n v="4842.53"/>
    <n v="3249.58"/>
    <n v="3863.07"/>
    <n v="2927.85"/>
    <n v="40065.94"/>
    <n v="935.22000000000025"/>
  </r>
  <r>
    <x v="6"/>
    <x v="7"/>
    <x v="0"/>
    <s v="4950150"/>
    <n v="713090"/>
    <s v="Benefits-Allocated Amounts"/>
    <s v="Respiratory Therapy"/>
    <x v="0"/>
    <m/>
    <n v="9021.3799999999992"/>
    <n v="7593.02"/>
    <n v="7447.99"/>
    <n v="8196.1299999999992"/>
    <n v="7637.27"/>
    <n v="8022.49"/>
    <n v="7400.55"/>
    <n v="6612.89"/>
    <n v="9415.84"/>
    <n v="8371.84"/>
    <n v="9539.0400000000009"/>
    <n v="7685.25"/>
    <n v="96943.69"/>
    <n v="1853.7900000000009"/>
  </r>
  <r>
    <x v="6"/>
    <x v="7"/>
    <x v="0"/>
    <s v="4950150"/>
    <n v="713096"/>
    <s v="Employee Recognition"/>
    <s v="Respiratory Therapy"/>
    <x v="0"/>
    <n v="1017"/>
    <n v="0"/>
    <n v="0"/>
    <n v="0"/>
    <n v="0"/>
    <n v="42.22"/>
    <n v="0"/>
    <n v="0"/>
    <n v="0"/>
    <n v="0"/>
    <n v="0"/>
    <n v="0"/>
    <n v="0"/>
    <n v="42.22"/>
    <n v="0"/>
  </r>
  <r>
    <x v="7"/>
    <x v="7"/>
    <x v="0"/>
    <s v="4950150"/>
    <n v="718050"/>
    <s v="Contract Svcs-Other"/>
    <s v="Respiratory Therapy"/>
    <x v="0"/>
    <m/>
    <n v="0"/>
    <n v="0"/>
    <n v="0"/>
    <n v="0"/>
    <n v="0"/>
    <n v="0"/>
    <n v="0"/>
    <n v="0"/>
    <n v="0"/>
    <n v="0"/>
    <n v="0"/>
    <n v="173.04"/>
    <n v="173.04"/>
    <n v="-173.04"/>
  </r>
  <r>
    <x v="7"/>
    <x v="7"/>
    <x v="0"/>
    <s v="4950150"/>
    <n v="718050"/>
    <s v="Translation Services"/>
    <s v="Respiratory Therapy"/>
    <x v="0"/>
    <n v="1025"/>
    <n v="0"/>
    <n v="0"/>
    <n v="0"/>
    <n v="40"/>
    <n v="0"/>
    <n v="0"/>
    <n v="0"/>
    <n v="0"/>
    <n v="0"/>
    <n v="0"/>
    <n v="0"/>
    <n v="0"/>
    <n v="40"/>
    <n v="0"/>
  </r>
  <r>
    <x v="11"/>
    <x v="7"/>
    <x v="0"/>
    <s v="4950150"/>
    <n v="721010"/>
    <s v="Supplies-Medical - Billable"/>
    <s v="Respiratory Therapy"/>
    <x v="0"/>
    <m/>
    <n v="39.299999999999997"/>
    <n v="0"/>
    <n v="0"/>
    <n v="0"/>
    <n v="0"/>
    <n v="0"/>
    <n v="0"/>
    <n v="0"/>
    <n v="0"/>
    <n v="0"/>
    <n v="0"/>
    <n v="0"/>
    <n v="39.299999999999997"/>
    <n v="0"/>
  </r>
  <r>
    <x v="11"/>
    <x v="7"/>
    <x v="0"/>
    <s v="4950150"/>
    <n v="721010"/>
    <s v="Patient Monitoring"/>
    <s v="Respiratory Therapy"/>
    <x v="0"/>
    <n v="1000"/>
    <n v="46.26"/>
    <n v="61.7"/>
    <n v="13.23"/>
    <n v="39.659999999999997"/>
    <n v="-139.78"/>
    <n v="33.04"/>
    <n v="44.77"/>
    <n v="30.83"/>
    <n v="35.26"/>
    <n v="52.88"/>
    <n v="61.69"/>
    <n v="39.659999999999997"/>
    <n v="319.20000000000005"/>
    <n v="22.03"/>
  </r>
  <r>
    <x v="11"/>
    <x v="7"/>
    <x v="0"/>
    <s v="4950150"/>
    <n v="721020"/>
    <s v="Tubes Drains &amp; Related Supplies"/>
    <s v="Respiratory Therapy"/>
    <x v="0"/>
    <n v="1008"/>
    <n v="0"/>
    <n v="0"/>
    <n v="0"/>
    <n v="0"/>
    <n v="0"/>
    <n v="0"/>
    <n v="0"/>
    <n v="0"/>
    <n v="26.52"/>
    <n v="-3.91"/>
    <n v="0"/>
    <n v="0"/>
    <n v="22.61"/>
    <n v="0"/>
  </r>
  <r>
    <x v="11"/>
    <x v="7"/>
    <x v="0"/>
    <s v="4950150"/>
    <n v="721240"/>
    <s v="Supplies-IV Solutions/Supplies - Billable"/>
    <s v="Respiratory Therapy"/>
    <x v="0"/>
    <m/>
    <n v="2.48"/>
    <n v="1.55"/>
    <n v="1.86"/>
    <n v="1.55"/>
    <n v="7.44"/>
    <n v="2.3199999999999998"/>
    <n v="0.93"/>
    <n v="21.36"/>
    <n v="0"/>
    <n v="0.62"/>
    <n v="3.1"/>
    <n v="3.1"/>
    <n v="46.309999999999995"/>
    <n v="0"/>
  </r>
  <r>
    <x v="11"/>
    <x v="7"/>
    <x v="0"/>
    <s v="4950150"/>
    <n v="721410"/>
    <s v="Supplies-Medical - Nonbillable"/>
    <s v="Respiratory Therapy"/>
    <x v="0"/>
    <m/>
    <n v="1118.3599999999999"/>
    <n v="-4.88"/>
    <n v="321.35000000000002"/>
    <n v="412.26"/>
    <n v="382.04"/>
    <n v="678.44"/>
    <n v="506.71"/>
    <n v="701.46"/>
    <n v="481.17"/>
    <n v="6187.1"/>
    <n v="436.49"/>
    <n v="264.33999999999997"/>
    <n v="11484.84"/>
    <n v="172.15000000000003"/>
  </r>
  <r>
    <x v="11"/>
    <x v="7"/>
    <x v="0"/>
    <s v="4950150"/>
    <n v="721410"/>
    <s v="Patient Monitoring"/>
    <s v="Respiratory Therapy"/>
    <x v="0"/>
    <n v="1000"/>
    <n v="260.88"/>
    <n v="0"/>
    <n v="0"/>
    <n v="58.87"/>
    <n v="0"/>
    <n v="0"/>
    <n v="0"/>
    <n v="0"/>
    <n v="58.87"/>
    <n v="0"/>
    <n v="0"/>
    <n v="0"/>
    <n v="378.62"/>
    <n v="0"/>
  </r>
  <r>
    <x v="11"/>
    <x v="7"/>
    <x v="0"/>
    <s v="4950150"/>
    <n v="721420"/>
    <s v="Heart/Lung Machine Supplies"/>
    <s v="Respiratory Therapy"/>
    <x v="0"/>
    <n v="1005"/>
    <n v="0"/>
    <n v="0"/>
    <n v="0"/>
    <n v="0"/>
    <n v="0"/>
    <n v="0"/>
    <n v="0"/>
    <n v="0"/>
    <n v="0"/>
    <n v="0.8"/>
    <n v="0"/>
    <n v="0"/>
    <n v="0.8"/>
    <n v="0"/>
  </r>
  <r>
    <x v="11"/>
    <x v="7"/>
    <x v="0"/>
    <s v="4950150"/>
    <n v="721420"/>
    <s v="Tubes Drains &amp; Related Supplies"/>
    <s v="Respiratory Therapy"/>
    <x v="0"/>
    <n v="1008"/>
    <n v="27.19"/>
    <n v="177.42"/>
    <n v="7.33"/>
    <n v="14.66"/>
    <n v="23.33"/>
    <n v="33.04"/>
    <n v="16.95"/>
    <n v="51.3"/>
    <n v="9.25"/>
    <n v="0"/>
    <n v="22.47"/>
    <n v="9.73"/>
    <n v="392.67000000000007"/>
    <n v="12.739999999999998"/>
  </r>
  <r>
    <x v="11"/>
    <x v="7"/>
    <x v="0"/>
    <s v="4950150"/>
    <n v="721420"/>
    <s v="Sterilization Process Products"/>
    <s v="Respiratory Therapy"/>
    <x v="0"/>
    <n v="1009"/>
    <n v="0"/>
    <n v="0"/>
    <n v="0"/>
    <n v="0"/>
    <n v="0"/>
    <n v="0"/>
    <n v="0"/>
    <n v="0"/>
    <n v="0"/>
    <n v="0"/>
    <n v="0"/>
    <n v="0"/>
    <n v="0"/>
    <n v="0"/>
  </r>
  <r>
    <x v="11"/>
    <x v="7"/>
    <x v="0"/>
    <s v="4950150"/>
    <n v="721610"/>
    <s v="Supplies-Anesthesia - Nonbillable"/>
    <s v="Respiratory Therapy"/>
    <x v="0"/>
    <m/>
    <n v="530.55999999999995"/>
    <n v="1122.27"/>
    <n v="-137.02000000000001"/>
    <n v="386.99"/>
    <n v="513.72"/>
    <n v="669.42"/>
    <n v="508.39"/>
    <n v="1774.74"/>
    <n v="557.01"/>
    <n v="172.54"/>
    <n v="529.89"/>
    <n v="655.1"/>
    <n v="7283.6100000000006"/>
    <n v="-125.21000000000004"/>
  </r>
  <r>
    <x v="11"/>
    <x v="7"/>
    <x v="0"/>
    <s v="4950150"/>
    <n v="721710"/>
    <s v="Supplies-Laboratory - Nonbillable"/>
    <s v="Respiratory Therapy"/>
    <x v="0"/>
    <m/>
    <n v="278.27999999999997"/>
    <n v="0"/>
    <n v="0"/>
    <n v="0"/>
    <n v="0"/>
    <n v="0"/>
    <n v="347.84"/>
    <n v="0"/>
    <n v="0"/>
    <n v="0"/>
    <n v="0"/>
    <n v="0"/>
    <n v="626.11999999999989"/>
    <n v="0"/>
  </r>
  <r>
    <x v="11"/>
    <x v="7"/>
    <x v="0"/>
    <s v="4950150"/>
    <n v="721810"/>
    <s v="Supplies-Dietary/Cafeteria"/>
    <s v="Respiratory Therapy"/>
    <x v="0"/>
    <m/>
    <n v="8"/>
    <n v="0"/>
    <n v="0"/>
    <n v="0"/>
    <n v="0"/>
    <n v="6.5"/>
    <n v="8"/>
    <n v="0"/>
    <n v="6.52"/>
    <n v="7.88"/>
    <n v="0"/>
    <n v="16"/>
    <n v="52.9"/>
    <n v="-16"/>
  </r>
  <r>
    <x v="11"/>
    <x v="7"/>
    <x v="0"/>
    <s v="4950150"/>
    <n v="721830"/>
    <s v="Supplies-Office"/>
    <s v="Respiratory Therapy"/>
    <x v="0"/>
    <m/>
    <n v="130"/>
    <n v="124.24"/>
    <n v="0"/>
    <n v="0"/>
    <n v="0"/>
    <n v="0"/>
    <n v="0"/>
    <n v="0"/>
    <n v="0"/>
    <n v="0"/>
    <n v="0"/>
    <n v="0"/>
    <n v="254.24"/>
    <n v="0"/>
  </r>
  <r>
    <x v="11"/>
    <x v="7"/>
    <x v="0"/>
    <s v="4950150"/>
    <n v="721870"/>
    <s v="Supplies-Environmental Services"/>
    <s v="Respiratory Therapy"/>
    <x v="0"/>
    <m/>
    <n v="0"/>
    <n v="1.82"/>
    <n v="5.26"/>
    <n v="0"/>
    <n v="0.91"/>
    <n v="1.82"/>
    <n v="2.73"/>
    <n v="52.08"/>
    <n v="7.53"/>
    <n v="3.39"/>
    <n v="2.7"/>
    <n v="2.7"/>
    <n v="80.940000000000012"/>
    <n v="0"/>
  </r>
  <r>
    <x v="11"/>
    <x v="7"/>
    <x v="0"/>
    <s v="4950150"/>
    <n v="721910"/>
    <s v="Supplies-Small Equipment"/>
    <s v="Respiratory Therapy"/>
    <x v="0"/>
    <m/>
    <n v="0"/>
    <n v="56.36"/>
    <n v="16.170000000000002"/>
    <n v="44"/>
    <n v="31.39"/>
    <n v="78.91"/>
    <n v="0"/>
    <n v="6.7"/>
    <n v="163.05000000000001"/>
    <n v="29.36"/>
    <n v="-1.03"/>
    <n v="0"/>
    <n v="424.91000000000008"/>
    <n v="-1.03"/>
  </r>
  <r>
    <x v="11"/>
    <x v="7"/>
    <x v="0"/>
    <s v="4950150"/>
    <n v="721980"/>
    <s v="Supplies-Other"/>
    <s v="Respiratory Therapy"/>
    <x v="0"/>
    <m/>
    <n v="0"/>
    <n v="148"/>
    <n v="0"/>
    <n v="0"/>
    <n v="0"/>
    <n v="0"/>
    <n v="0"/>
    <n v="0"/>
    <n v="0"/>
    <n v="0"/>
    <n v="0"/>
    <n v="0"/>
    <n v="148"/>
    <n v="0"/>
  </r>
  <r>
    <x v="11"/>
    <x v="7"/>
    <x v="0"/>
    <s v="4950150"/>
    <n v="722000"/>
    <s v="Supplies-Freight Expense"/>
    <s v="Respiratory Therapy"/>
    <x v="0"/>
    <m/>
    <n v="0"/>
    <n v="30.62"/>
    <n v="0"/>
    <n v="0"/>
    <n v="0"/>
    <n v="115.93"/>
    <n v="10.63"/>
    <n v="0"/>
    <n v="0"/>
    <n v="0"/>
    <n v="15.55"/>
    <n v="0"/>
    <n v="172.73000000000002"/>
    <n v="15.55"/>
  </r>
  <r>
    <x v="12"/>
    <x v="7"/>
    <x v="0"/>
    <s v="4950150"/>
    <n v="730020"/>
    <s v="Rental and Leases-Equipment (DO NOT USE)"/>
    <s v="Respiratory Therapy"/>
    <x v="0"/>
    <m/>
    <n v="0"/>
    <n v="0"/>
    <n v="0"/>
    <n v="-302.82"/>
    <n v="0"/>
    <n v="0"/>
    <n v="0"/>
    <n v="0"/>
    <n v="0"/>
    <n v="-83.25"/>
    <n v="0"/>
    <n v="0"/>
    <n v="-386.07"/>
    <n v="0"/>
  </r>
  <r>
    <x v="12"/>
    <x v="7"/>
    <x v="0"/>
    <s v="4950150"/>
    <n v="730020"/>
    <s v="Rental and Leases-Copier Usage Fees (DO NOT USE)"/>
    <s v="Respiratory Therapy"/>
    <x v="0"/>
    <n v="5100"/>
    <n v="43.67"/>
    <n v="44.38"/>
    <n v="44.02"/>
    <n v="44.02"/>
    <n v="44.02"/>
    <n v="44.02"/>
    <n v="-17.87"/>
    <n v="35.21"/>
    <n v="35.14"/>
    <n v="35.28"/>
    <n v="35.21"/>
    <n v="41"/>
    <n v="428.09999999999997"/>
    <n v="-5.7899999999999991"/>
  </r>
  <r>
    <x v="15"/>
    <x v="7"/>
    <x v="0"/>
    <s v="4950150"/>
    <n v="731060"/>
    <s v="Pagers"/>
    <s v="Respiratory Therapy"/>
    <x v="0"/>
    <n v="1002"/>
    <n v="8.1"/>
    <n v="8.1"/>
    <n v="0"/>
    <n v="0"/>
    <n v="0"/>
    <n v="0"/>
    <n v="0"/>
    <n v="0"/>
    <n v="0"/>
    <n v="0"/>
    <n v="0"/>
    <n v="0"/>
    <n v="16.2"/>
    <n v="0"/>
  </r>
  <r>
    <x v="16"/>
    <x v="7"/>
    <x v="0"/>
    <s v="4950150"/>
    <n v="732020"/>
    <s v="Repairs--Clin Equip-Parts-Internal to CHI Programs"/>
    <s v="Respiratory Therapy"/>
    <x v="0"/>
    <m/>
    <n v="0"/>
    <n v="0"/>
    <n v="0"/>
    <n v="0"/>
    <n v="0"/>
    <n v="0"/>
    <n v="0"/>
    <n v="226"/>
    <n v="19.66"/>
    <n v="0"/>
    <n v="0"/>
    <n v="0"/>
    <n v="245.66"/>
    <n v="0"/>
  </r>
  <r>
    <x v="13"/>
    <x v="7"/>
    <x v="0"/>
    <s v="4950150"/>
    <n v="735070"/>
    <s v="Depreciation-Movable Equipment"/>
    <s v="Respiratory Therapy"/>
    <x v="0"/>
    <m/>
    <n v="722.61"/>
    <n v="722.61"/>
    <n v="722.62"/>
    <n v="722.6"/>
    <n v="722.62"/>
    <n v="722.58"/>
    <n v="722.62"/>
    <n v="722.58"/>
    <n v="722.63"/>
    <n v="722.57"/>
    <n v="722.63"/>
    <n v="1778.25"/>
    <n v="9726.92"/>
    <n v="-1055.6199999999999"/>
  </r>
  <r>
    <x v="0"/>
    <x v="7"/>
    <x v="0"/>
    <s v="4950150"/>
    <n v="740020"/>
    <s v="Education-Registration Fees"/>
    <s v="Respiratory Therapy"/>
    <x v="0"/>
    <m/>
    <n v="0"/>
    <n v="686.92"/>
    <n v="0"/>
    <n v="165"/>
    <n v="335"/>
    <n v="0"/>
    <n v="725"/>
    <n v="45"/>
    <n v="175"/>
    <n v="515"/>
    <n v="0"/>
    <n v="0"/>
    <n v="2646.92"/>
    <n v="0"/>
  </r>
  <r>
    <x v="0"/>
    <x v="7"/>
    <x v="0"/>
    <s v="4950150"/>
    <n v="743030"/>
    <s v="Subscriptions--Institutional"/>
    <s v="Respiratory Therapy"/>
    <x v="0"/>
    <m/>
    <n v="0"/>
    <n v="0"/>
    <n v="-16.5"/>
    <n v="0"/>
    <n v="0"/>
    <n v="0"/>
    <n v="0"/>
    <n v="0"/>
    <n v="0"/>
    <n v="0"/>
    <n v="0"/>
    <n v="0"/>
    <n v="-16.5"/>
    <n v="0"/>
  </r>
  <r>
    <x v="0"/>
    <x v="7"/>
    <x v="0"/>
    <s v="4950150"/>
    <n v="749510"/>
    <s v="Miscellaneous Expenses"/>
    <s v="Respiratory Therapy"/>
    <x v="0"/>
    <m/>
    <n v="-30.08"/>
    <n v="0"/>
    <n v="0"/>
    <n v="50.8"/>
    <n v="112.07"/>
    <n v="-14.82"/>
    <n v="0"/>
    <n v="0"/>
    <n v="438.75"/>
    <n v="31.1"/>
    <n v="0"/>
    <n v="0"/>
    <n v="587.82000000000005"/>
    <n v="0"/>
  </r>
  <r>
    <x v="0"/>
    <x v="7"/>
    <x v="0"/>
    <s v="4950150"/>
    <n v="749510"/>
    <s v="RICE Rewards"/>
    <s v="Respiratory Therapy"/>
    <x v="0"/>
    <n v="5100"/>
    <n v="0"/>
    <n v="0"/>
    <n v="0"/>
    <n v="0"/>
    <n v="0"/>
    <n v="0"/>
    <n v="52.95"/>
    <n v="0"/>
    <n v="5.86"/>
    <n v="0"/>
    <n v="0"/>
    <n v="0"/>
    <n v="58.81"/>
    <n v="0"/>
  </r>
  <r>
    <x v="0"/>
    <x v="7"/>
    <x v="0"/>
    <s v="4950150"/>
    <n v="749530"/>
    <s v="Travel"/>
    <s v="Respiratory Therapy"/>
    <x v="0"/>
    <m/>
    <n v="0"/>
    <n v="0"/>
    <n v="0"/>
    <n v="0"/>
    <n v="45"/>
    <n v="0"/>
    <n v="45"/>
    <n v="0"/>
    <n v="0"/>
    <n v="0"/>
    <n v="0"/>
    <n v="0"/>
    <n v="90"/>
    <n v="0"/>
  </r>
  <r>
    <x v="0"/>
    <x v="7"/>
    <x v="0"/>
    <s v="4950150"/>
    <n v="749530"/>
    <s v="Mileage"/>
    <s v="Respiratory Therapy"/>
    <x v="0"/>
    <n v="1001"/>
    <n v="0"/>
    <n v="32.159999999999997"/>
    <n v="0"/>
    <n v="0"/>
    <n v="0"/>
    <n v="0"/>
    <n v="0"/>
    <n v="16.82"/>
    <n v="0"/>
    <n v="28.42"/>
    <n v="0"/>
    <n v="16.82"/>
    <n v="94.22"/>
    <n v="-16.82"/>
  </r>
  <r>
    <x v="18"/>
    <x v="10"/>
    <x v="0"/>
    <s v="4950306"/>
    <n v="400010"/>
    <s v="Acute I/P Svcs Rev--Medicare"/>
    <s v="Respiratory Therapy"/>
    <x v="0"/>
    <n v="1100"/>
    <n v="-1064050.0900000001"/>
    <n v="-438950.49"/>
    <n v="-443650.75"/>
    <n v="-693970.47"/>
    <n v="-824828.63"/>
    <n v="-549333.96"/>
    <n v="-580235.68000000005"/>
    <n v="-494191.35999999999"/>
    <n v="-483024.9"/>
    <n v="-402851.63"/>
    <n v="-534148.41"/>
    <n v="-612905.9"/>
    <n v="-7122142.2700000005"/>
    <n v="78757.489999999991"/>
  </r>
  <r>
    <x v="18"/>
    <x v="10"/>
    <x v="0"/>
    <s v="4950306"/>
    <n v="400010"/>
    <s v="Acute I/P Svcs Rev--Medicaid"/>
    <s v="Respiratory Therapy"/>
    <x v="0"/>
    <n v="1200"/>
    <n v="-85835.85"/>
    <n v="-81372.929999999993"/>
    <n v="0"/>
    <n v="-24236.85"/>
    <n v="15822.28"/>
    <n v="-102297.8"/>
    <n v="-190236.21"/>
    <n v="-72139.86"/>
    <n v="-107381.39"/>
    <n v="-97495.679999999993"/>
    <n v="-101512.48"/>
    <n v="0"/>
    <n v="-846686.77"/>
    <n v="-101512.48"/>
  </r>
  <r>
    <x v="18"/>
    <x v="10"/>
    <x v="0"/>
    <s v="4950306"/>
    <n v="400010"/>
    <s v="Acute I/P Svcs Rev--Comm Insurance"/>
    <s v="Respiratory Therapy"/>
    <x v="0"/>
    <n v="1300"/>
    <n v="0"/>
    <n v="0"/>
    <n v="0"/>
    <n v="0"/>
    <n v="0"/>
    <n v="0"/>
    <n v="0"/>
    <n v="-58684.57"/>
    <n v="0"/>
    <n v="0"/>
    <n v="0"/>
    <n v="0"/>
    <n v="-58684.57"/>
    <n v="0"/>
  </r>
  <r>
    <x v="18"/>
    <x v="10"/>
    <x v="0"/>
    <s v="4950306"/>
    <n v="400010"/>
    <s v="Acute I/P Svcs Rev--BCBS Comm"/>
    <s v="Respiratory Therapy"/>
    <x v="0"/>
    <n v="1301"/>
    <n v="-19519.509999999998"/>
    <n v="-1080.03"/>
    <n v="-9452.2000000000007"/>
    <n v="0"/>
    <n v="-28306.53"/>
    <n v="0"/>
    <n v="-40993.49"/>
    <n v="-99974.91"/>
    <n v="-87952.99"/>
    <n v="-35705.730000000003"/>
    <n v="-21053.89"/>
    <n v="-33119.269999999997"/>
    <n v="-377158.55"/>
    <n v="12065.379999999997"/>
  </r>
  <r>
    <x v="18"/>
    <x v="10"/>
    <x v="0"/>
    <s v="4950306"/>
    <n v="400010"/>
    <s v="Acute I/P Svcs Rev--Managed Care"/>
    <s v="Respiratory Therapy"/>
    <x v="0"/>
    <n v="1400"/>
    <n v="539829.91"/>
    <n v="-91302.13"/>
    <n v="-87309.45"/>
    <n v="-124965.37"/>
    <n v="-69388.3"/>
    <n v="-69537.97"/>
    <n v="-61017.42"/>
    <n v="-155383.47"/>
    <n v="-204056.01"/>
    <n v="-155524.85999999999"/>
    <n v="-158601.57999999999"/>
    <n v="-83748.789999999994"/>
    <n v="-721005.44"/>
    <n v="-74852.789999999994"/>
  </r>
  <r>
    <x v="18"/>
    <x v="10"/>
    <x v="0"/>
    <s v="4950306"/>
    <n v="400010"/>
    <s v="Acute I/P Svcs Rev--Self Pay"/>
    <s v="Respiratory Therapy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4950306"/>
    <n v="400010"/>
    <s v="Acute I/P Svcs Rev--Other"/>
    <s v="Respiratory Therapy"/>
    <x v="0"/>
    <n v="1700"/>
    <n v="-7106.22"/>
    <n v="0"/>
    <n v="0"/>
    <n v="0"/>
    <n v="0"/>
    <n v="0"/>
    <n v="-2979.61"/>
    <n v="-26241.73"/>
    <n v="-1321.45"/>
    <n v="0"/>
    <n v="0"/>
    <n v="0"/>
    <n v="-37649.009999999995"/>
    <n v="0"/>
  </r>
  <r>
    <x v="5"/>
    <x v="10"/>
    <x v="0"/>
    <s v="4950306"/>
    <n v="700014"/>
    <s v="Salaries-Management-Productive"/>
    <s v="Respiratory Therapy"/>
    <x v="0"/>
    <m/>
    <n v="9005.89"/>
    <n v="9900.57"/>
    <n v="8687.1"/>
    <n v="8853.0300000000007"/>
    <n v="9286.99"/>
    <n v="6629.26"/>
    <n v="10057.19"/>
    <n v="9202.2800000000007"/>
    <n v="6704.6"/>
    <n v="10122.24"/>
    <n v="10188.299999999999"/>
    <n v="8939.57"/>
    <n v="107577.02000000002"/>
    <n v="1248.7299999999996"/>
  </r>
  <r>
    <x v="5"/>
    <x v="10"/>
    <x v="0"/>
    <s v="4950306"/>
    <n v="700034"/>
    <s v="Salaries-Tech/Professional-Productive"/>
    <s v="Respiratory Therapy"/>
    <x v="0"/>
    <m/>
    <n v="67449.22"/>
    <n v="67994.16"/>
    <n v="56475.85"/>
    <n v="72596.55"/>
    <n v="81358.75"/>
    <n v="62462.61"/>
    <n v="73982.8"/>
    <n v="72360.05"/>
    <n v="76950.44"/>
    <n v="63466.82"/>
    <n v="66188.42"/>
    <n v="61374.97"/>
    <n v="822660.6399999999"/>
    <n v="4813.4499999999971"/>
  </r>
  <r>
    <x v="5"/>
    <x v="10"/>
    <x v="0"/>
    <s v="4950306"/>
    <n v="700034"/>
    <s v="Salaries-Tech/Professional-OT"/>
    <s v="Respiratory Therapy"/>
    <x v="0"/>
    <n v="1000"/>
    <n v="2201.15"/>
    <n v="2608.85"/>
    <n v="2472.52"/>
    <n v="2769.5"/>
    <n v="6443.21"/>
    <n v="-1217.06"/>
    <n v="2301.04"/>
    <n v="6824.05"/>
    <n v="3257.75"/>
    <n v="7825.89"/>
    <n v="4990.82"/>
    <n v="-254.73"/>
    <n v="40222.99"/>
    <n v="5245.5499999999993"/>
  </r>
  <r>
    <x v="5"/>
    <x v="10"/>
    <x v="0"/>
    <s v="4950306"/>
    <n v="700034"/>
    <s v="Salaries-Tech/Professional-Other"/>
    <s v="Respiratory Therapy"/>
    <x v="0"/>
    <n v="2000"/>
    <n v="5420.47"/>
    <n v="7065.75"/>
    <n v="5430.59"/>
    <n v="8287.91"/>
    <n v="7514.93"/>
    <n v="4778.47"/>
    <n v="6693.55"/>
    <n v="7309.87"/>
    <n v="7381.18"/>
    <n v="7623.23"/>
    <n v="7065.1"/>
    <n v="11028.67"/>
    <n v="85599.720000000016"/>
    <n v="-3963.5699999999997"/>
  </r>
  <r>
    <x v="5"/>
    <x v="10"/>
    <x v="0"/>
    <s v="4950306"/>
    <n v="700054"/>
    <s v="Salaries-Management-Non-productive"/>
    <s v="Respiratory Therapy"/>
    <x v="0"/>
    <m/>
    <n v="894.24"/>
    <n v="0"/>
    <n v="894.24"/>
    <n v="1267.54"/>
    <n v="557.9"/>
    <n v="3544.12"/>
    <n v="132.07"/>
    <n v="0"/>
    <n v="3483.69"/>
    <n v="-262.89999999999998"/>
    <n v="0"/>
    <n v="920.22"/>
    <n v="11431.119999999999"/>
    <n v="-920.22"/>
  </r>
  <r>
    <x v="5"/>
    <x v="10"/>
    <x v="0"/>
    <s v="4950306"/>
    <n v="700074"/>
    <s v="Salaries-Tech/Professional-Non-productive"/>
    <s v="Respiratory Therapy"/>
    <x v="0"/>
    <m/>
    <n v="11457.09"/>
    <n v="12224.86"/>
    <n v="18637.900000000001"/>
    <n v="7758.92"/>
    <n v="2314.91"/>
    <n v="10946.39"/>
    <n v="4264.54"/>
    <n v="5985.52"/>
    <n v="5424.07"/>
    <n v="12359.9"/>
    <n v="6585.05"/>
    <n v="12485.62"/>
    <n v="110444.77"/>
    <n v="-5900.5700000000006"/>
  </r>
  <r>
    <x v="5"/>
    <x v="10"/>
    <x v="0"/>
    <s v="4950306"/>
    <n v="700074"/>
    <s v="Salaries-Tech/Professional-NonProd-Other"/>
    <s v="Respiratory Therapy"/>
    <x v="0"/>
    <n v="2000"/>
    <n v="535.63"/>
    <n v="755.68"/>
    <n v="281.19"/>
    <n v="354.08"/>
    <n v="-1.47"/>
    <n v="554.1"/>
    <n v="237.79"/>
    <n v="192.03"/>
    <n v="318.31"/>
    <n v="675.57"/>
    <n v="241.48"/>
    <n v="354.72"/>
    <n v="4499.1100000000006"/>
    <n v="-113.24000000000004"/>
  </r>
  <r>
    <x v="5"/>
    <x v="10"/>
    <x v="0"/>
    <s v="4950306"/>
    <n v="700084"/>
    <s v="Accrued PTO"/>
    <s v="Respiratory Therapy"/>
    <x v="0"/>
    <m/>
    <n v="-1964.55"/>
    <n v="-206.34"/>
    <n v="-7286.17"/>
    <n v="-18.52"/>
    <n v="4286.5600000000004"/>
    <n v="-166.53"/>
    <n v="2835.21"/>
    <n v="2741.4"/>
    <n v="2182.6999999999998"/>
    <n v="-2009.46"/>
    <n v="3001.82"/>
    <n v="5101.96"/>
    <n v="8498.0800000000017"/>
    <n v="-2100.14"/>
  </r>
  <r>
    <x v="10"/>
    <x v="10"/>
    <x v="0"/>
    <s v="4950306"/>
    <n v="710060"/>
    <s v="Contract Labor-Other"/>
    <s v="Respiratory Therapy"/>
    <x v="0"/>
    <m/>
    <n v="0"/>
    <n v="0"/>
    <n v="0"/>
    <n v="0"/>
    <n v="0"/>
    <n v="0"/>
    <n v="0"/>
    <n v="0"/>
    <n v="1525.7"/>
    <n v="0"/>
    <n v="0"/>
    <n v="0"/>
    <n v="1525.7"/>
    <n v="0"/>
  </r>
  <r>
    <x v="6"/>
    <x v="10"/>
    <x v="0"/>
    <s v="4950306"/>
    <n v="713010"/>
    <s v="Benefits-FICA/Medicare"/>
    <s v="Respiratory Therapy"/>
    <x v="0"/>
    <m/>
    <n v="7222.56"/>
    <n v="7631.86"/>
    <n v="6915.59"/>
    <n v="7671.77"/>
    <n v="8062.66"/>
    <n v="6607.73"/>
    <n v="7277.6"/>
    <n v="7599.71"/>
    <n v="7748.52"/>
    <n v="7560.67"/>
    <n v="7089.05"/>
    <n v="7092.72"/>
    <n v="88480.44"/>
    <n v="-3.6700000000000728"/>
  </r>
  <r>
    <x v="6"/>
    <x v="10"/>
    <x v="0"/>
    <s v="4950306"/>
    <n v="713090"/>
    <s v="Benefits-Allocated Amounts"/>
    <s v="Respiratory Therapy"/>
    <x v="0"/>
    <m/>
    <n v="16641.93"/>
    <n v="20042.48"/>
    <n v="17760.59"/>
    <n v="17791.599999999999"/>
    <n v="19575.97"/>
    <n v="19458.28"/>
    <n v="18225.75"/>
    <n v="17834.939999999999"/>
    <n v="20916.810000000001"/>
    <n v="19259.099999999999"/>
    <n v="17914.16"/>
    <n v="20212.849999999999"/>
    <n v="225634.46000000002"/>
    <n v="-2298.6899999999987"/>
  </r>
  <r>
    <x v="7"/>
    <x v="10"/>
    <x v="0"/>
    <s v="4950306"/>
    <n v="718050"/>
    <s v="Miscellaneous Purchased Svcs"/>
    <s v="Respiratory Therapy"/>
    <x v="0"/>
    <n v="1020"/>
    <n v="0"/>
    <n v="1860"/>
    <n v="1200"/>
    <n v="0"/>
    <n v="1890"/>
    <n v="1650"/>
    <n v="1500"/>
    <n v="1759.5"/>
    <n v="0"/>
    <n v="913.5"/>
    <n v="850.5"/>
    <n v="2142"/>
    <n v="13765.5"/>
    <n v="-1291.5"/>
  </r>
  <r>
    <x v="11"/>
    <x v="10"/>
    <x v="0"/>
    <s v="4950306"/>
    <n v="721010"/>
    <s v="Supplies-Medical - Billable"/>
    <s v="Respiratory Therapy"/>
    <x v="0"/>
    <m/>
    <n v="0"/>
    <n v="0"/>
    <n v="0"/>
    <n v="0"/>
    <n v="379.5"/>
    <n v="-34.5"/>
    <n v="0"/>
    <n v="0"/>
    <n v="0"/>
    <n v="0"/>
    <n v="0"/>
    <n v="0"/>
    <n v="345"/>
    <n v="0"/>
  </r>
  <r>
    <x v="11"/>
    <x v="10"/>
    <x v="0"/>
    <s v="4950306"/>
    <n v="721010"/>
    <s v="Patient Monitoring"/>
    <s v="Respiratory Therapy"/>
    <x v="0"/>
    <n v="1000"/>
    <n v="0"/>
    <n v="0"/>
    <n v="19.649999999999999"/>
    <n v="0"/>
    <n v="39.299999999999997"/>
    <n v="0"/>
    <n v="0"/>
    <n v="0"/>
    <n v="0"/>
    <n v="0.45"/>
    <n v="0"/>
    <n v="0"/>
    <n v="59.4"/>
    <n v="0"/>
  </r>
  <r>
    <x v="11"/>
    <x v="10"/>
    <x v="0"/>
    <s v="4950306"/>
    <n v="721020"/>
    <s v="Tubes Drains &amp; Related Supplies"/>
    <s v="Respiratory Therapy"/>
    <x v="0"/>
    <n v="1008"/>
    <n v="1006.15"/>
    <n v="1191.57"/>
    <n v="821.48"/>
    <n v="302.36"/>
    <n v="1625.19"/>
    <n v="1031.32"/>
    <n v="1348.45"/>
    <n v="1209.3699999999999"/>
    <n v="1499.25"/>
    <n v="3310.98"/>
    <n v="-235.45"/>
    <n v="643.49"/>
    <n v="13754.159999999998"/>
    <n v="-878.94"/>
  </r>
  <r>
    <x v="11"/>
    <x v="10"/>
    <x v="0"/>
    <s v="4950306"/>
    <n v="721150"/>
    <s v="Supplies-Other Implants - Billable"/>
    <s v="Respiratory Therapy"/>
    <x v="0"/>
    <m/>
    <n v="1402.97"/>
    <n v="491"/>
    <n v="988.26"/>
    <n v="997.65"/>
    <n v="1114.6300000000001"/>
    <n v="1393.58"/>
    <n v="1488.65"/>
    <n v="1013.3"/>
    <n v="1919.01"/>
    <n v="1528.46"/>
    <n v="894.36"/>
    <n v="1068.8"/>
    <n v="14300.669999999998"/>
    <n v="-174.43999999999994"/>
  </r>
  <r>
    <x v="11"/>
    <x v="10"/>
    <x v="0"/>
    <s v="4950306"/>
    <n v="721220"/>
    <s v="Supplies-Medical Gases - Billable"/>
    <s v="Respiratory Therapy"/>
    <x v="0"/>
    <m/>
    <n v="5799.29"/>
    <n v="-51"/>
    <n v="0"/>
    <n v="5200.7299999999996"/>
    <n v="5597.63"/>
    <n v="2058.0100000000002"/>
    <n v="0"/>
    <n v="6805.42"/>
    <n v="0"/>
    <n v="4116.3999999999996"/>
    <n v="1072.01"/>
    <n v="2041.28"/>
    <n v="32639.77"/>
    <n v="-969.27"/>
  </r>
  <r>
    <x v="11"/>
    <x v="10"/>
    <x v="0"/>
    <s v="4950306"/>
    <n v="721240"/>
    <s v="Supplies-IV Solutions/Supplies - Billable"/>
    <s v="Respiratory Therapy"/>
    <x v="0"/>
    <m/>
    <n v="481.14"/>
    <n v="548.54999999999995"/>
    <n v="419.06"/>
    <n v="534.05999999999995"/>
    <n v="498.81"/>
    <n v="440.57"/>
    <n v="530.61"/>
    <n v="583.24"/>
    <n v="565.14"/>
    <n v="599.63"/>
    <n v="513.63"/>
    <n v="365.13"/>
    <n v="6079.5700000000006"/>
    <n v="148.5"/>
  </r>
  <r>
    <x v="11"/>
    <x v="10"/>
    <x v="0"/>
    <s v="4950306"/>
    <n v="721410"/>
    <s v="Supplies-Medical - Nonbillable"/>
    <s v="Respiratory Therapy"/>
    <x v="0"/>
    <m/>
    <n v="10713.1"/>
    <n v="3672.9"/>
    <n v="3925.26"/>
    <n v="7063.88"/>
    <n v="5735.38"/>
    <n v="6337.42"/>
    <n v="5616.19"/>
    <n v="5552.99"/>
    <n v="4685.6899999999996"/>
    <n v="5829.37"/>
    <n v="5736.37"/>
    <n v="3557.38"/>
    <n v="68425.930000000008"/>
    <n v="2178.9899999999998"/>
  </r>
  <r>
    <x v="11"/>
    <x v="10"/>
    <x v="0"/>
    <s v="4950306"/>
    <n v="721410"/>
    <s v="Patient Monitoring"/>
    <s v="Respiratory Therapy"/>
    <x v="0"/>
    <n v="1000"/>
    <n v="0"/>
    <n v="0"/>
    <n v="0"/>
    <n v="-120.45"/>
    <n v="0"/>
    <n v="0"/>
    <n v="0"/>
    <n v="0"/>
    <n v="0"/>
    <n v="0"/>
    <n v="0"/>
    <n v="0"/>
    <n v="-120.45"/>
    <n v="0"/>
  </r>
  <r>
    <x v="11"/>
    <x v="10"/>
    <x v="0"/>
    <s v="4950306"/>
    <n v="721420"/>
    <s v="Supplies-Surgical Nonbillable"/>
    <s v="Respiratory Therapy"/>
    <x v="0"/>
    <m/>
    <n v="0"/>
    <n v="0"/>
    <n v="62.72"/>
    <n v="62.72"/>
    <n v="0"/>
    <n v="0"/>
    <n v="0"/>
    <n v="0"/>
    <n v="0"/>
    <n v="0"/>
    <n v="0"/>
    <n v="0"/>
    <n v="125.44"/>
    <n v="0"/>
  </r>
  <r>
    <x v="11"/>
    <x v="10"/>
    <x v="0"/>
    <s v="4950306"/>
    <n v="721420"/>
    <s v="Tubes Drains &amp; Related Supplies"/>
    <s v="Respiratory Therapy"/>
    <x v="0"/>
    <n v="1008"/>
    <n v="131.94"/>
    <n v="57.67"/>
    <n v="114.23"/>
    <n v="58.32"/>
    <n v="201.03"/>
    <n v="47.25"/>
    <n v="135.44"/>
    <n v="120.51"/>
    <n v="80.66"/>
    <n v="159.47"/>
    <n v="116.97"/>
    <n v="115.03"/>
    <n v="1338.52"/>
    <n v="1.9399999999999977"/>
  </r>
  <r>
    <x v="11"/>
    <x v="10"/>
    <x v="0"/>
    <s v="4950306"/>
    <n v="721420"/>
    <s v="Sterilization Process Products"/>
    <s v="Respiratory Therapy"/>
    <x v="0"/>
    <n v="1009"/>
    <n v="0"/>
    <n v="97.84"/>
    <n v="0"/>
    <n v="0"/>
    <n v="0"/>
    <n v="0"/>
    <n v="97.84"/>
    <n v="0"/>
    <n v="0"/>
    <n v="97.84"/>
    <n v="0"/>
    <n v="0"/>
    <n v="293.52"/>
    <n v="0"/>
  </r>
  <r>
    <x v="11"/>
    <x v="10"/>
    <x v="0"/>
    <s v="4950306"/>
    <n v="721610"/>
    <s v="Supplies-Anesthesia - Nonbillable"/>
    <s v="Respiratory Therapy"/>
    <x v="0"/>
    <m/>
    <n v="4063.93"/>
    <n v="2910.64"/>
    <n v="3940.05"/>
    <n v="2930.83"/>
    <n v="5985.81"/>
    <n v="3486.56"/>
    <n v="4692.3900000000003"/>
    <n v="3541.84"/>
    <n v="3087.05"/>
    <n v="3868.77"/>
    <n v="3780.08"/>
    <n v="2991.07"/>
    <n v="45279.02"/>
    <n v="789.00999999999976"/>
  </r>
  <r>
    <x v="11"/>
    <x v="10"/>
    <x v="0"/>
    <s v="4950306"/>
    <n v="721710"/>
    <s v="Supplies-Laboratory - Nonbillable"/>
    <s v="Respiratory Therapy"/>
    <x v="0"/>
    <m/>
    <n v="31.62"/>
    <n v="26.35"/>
    <n v="36.89"/>
    <n v="40.049999999999997"/>
    <n v="34.26"/>
    <n v="21.08"/>
    <n v="35.840000000000003"/>
    <n v="42.16"/>
    <n v="36.89"/>
    <n v="21.08"/>
    <n v="24.25"/>
    <n v="23.72"/>
    <n v="374.18999999999994"/>
    <n v="0.53000000000000114"/>
  </r>
  <r>
    <x v="11"/>
    <x v="10"/>
    <x v="0"/>
    <s v="4950306"/>
    <n v="721810"/>
    <s v="Supplies-Dietary/Cafeteria"/>
    <s v="Respiratory Therapy"/>
    <x v="0"/>
    <m/>
    <n v="0"/>
    <n v="0"/>
    <n v="0"/>
    <n v="0"/>
    <n v="0"/>
    <n v="0"/>
    <n v="56.38"/>
    <n v="0"/>
    <n v="0"/>
    <n v="0"/>
    <n v="0"/>
    <n v="0"/>
    <n v="56.38"/>
    <n v="0"/>
  </r>
  <r>
    <x v="11"/>
    <x v="10"/>
    <x v="0"/>
    <s v="4950306"/>
    <n v="721910"/>
    <s v="Supplies-Small Equipment"/>
    <s v="Respiratory Therapy"/>
    <x v="0"/>
    <m/>
    <n v="137.28"/>
    <n v="124.06"/>
    <n v="105.84"/>
    <n v="800.22"/>
    <n v="2164.2399999999998"/>
    <n v="1175.67"/>
    <n v="149.44"/>
    <n v="543.70000000000005"/>
    <n v="195.6"/>
    <n v="169.28"/>
    <n v="127.2"/>
    <n v="53.5"/>
    <n v="5746.0299999999988"/>
    <n v="73.7"/>
  </r>
  <r>
    <x v="11"/>
    <x v="10"/>
    <x v="0"/>
    <s v="4950306"/>
    <n v="721980"/>
    <s v="Supplies-Other"/>
    <s v="Respiratory Therapy"/>
    <x v="0"/>
    <m/>
    <n v="986.28"/>
    <n v="0"/>
    <n v="0"/>
    <n v="54.97"/>
    <n v="477.59"/>
    <n v="528.9"/>
    <n v="0"/>
    <n v="0"/>
    <n v="1766.14"/>
    <n v="0"/>
    <n v="366"/>
    <n v="0"/>
    <n v="4179.88"/>
    <n v="366"/>
  </r>
  <r>
    <x v="11"/>
    <x v="10"/>
    <x v="0"/>
    <s v="4950306"/>
    <n v="722000"/>
    <s v="Supplies-Freight Expense"/>
    <s v="Respiratory Therapy"/>
    <x v="0"/>
    <m/>
    <n v="-4.7"/>
    <n v="223.05"/>
    <n v="15.98"/>
    <n v="36.89"/>
    <n v="0"/>
    <n v="83.07"/>
    <n v="87.66"/>
    <n v="16.48"/>
    <n v="55.55"/>
    <n v="16.5"/>
    <n v="30.23"/>
    <n v="115.77"/>
    <n v="676.48"/>
    <n v="-85.539999999999992"/>
  </r>
  <r>
    <x v="12"/>
    <x v="10"/>
    <x v="0"/>
    <s v="4950306"/>
    <n v="730020"/>
    <s v="Rental and Leases-Copier Usage Fees (DO NOT USE)"/>
    <s v="Respiratory Therapy"/>
    <x v="0"/>
    <n v="5100"/>
    <n v="8.6300000000000008"/>
    <n v="8.93"/>
    <n v="8.7799999999999994"/>
    <n v="8.7799999999999994"/>
    <n v="8.7799999999999994"/>
    <n v="8.7799999999999994"/>
    <n v="-99.35"/>
    <n v="0"/>
    <n v="0"/>
    <n v="0"/>
    <n v="0"/>
    <n v="0"/>
    <n v="-46.669999999999987"/>
    <n v="0"/>
  </r>
  <r>
    <x v="13"/>
    <x v="10"/>
    <x v="0"/>
    <s v="4950306"/>
    <n v="735070"/>
    <s v="Depreciation-Movable Equipment"/>
    <s v="Respiratory Therapy"/>
    <x v="0"/>
    <m/>
    <n v="859.22"/>
    <n v="859.2"/>
    <n v="859.22"/>
    <n v="859.18"/>
    <n v="859.23"/>
    <n v="859.16"/>
    <n v="720.89"/>
    <n v="720.84"/>
    <n v="720.89"/>
    <n v="720.83"/>
    <n v="720.89"/>
    <n v="720.83"/>
    <n v="9480.380000000001"/>
    <n v="5.999999999994543E-2"/>
  </r>
  <r>
    <x v="0"/>
    <x v="10"/>
    <x v="0"/>
    <s v="4950306"/>
    <n v="740010"/>
    <s v="Education-Materials"/>
    <s v="Respiratory Therapy"/>
    <x v="0"/>
    <m/>
    <n v="0"/>
    <n v="0"/>
    <n v="0"/>
    <n v="0"/>
    <n v="0"/>
    <n v="0"/>
    <n v="0"/>
    <n v="369.57"/>
    <n v="0"/>
    <n v="0"/>
    <n v="0"/>
    <n v="0"/>
    <n v="369.57"/>
    <n v="0"/>
  </r>
  <r>
    <x v="0"/>
    <x v="10"/>
    <x v="0"/>
    <s v="4950306"/>
    <n v="740020"/>
    <s v="Education-Registration Fees"/>
    <s v="Respiratory Therapy"/>
    <x v="0"/>
    <m/>
    <n v="0"/>
    <n v="0"/>
    <n v="0"/>
    <n v="0"/>
    <n v="0"/>
    <n v="702.8"/>
    <n v="915.32"/>
    <n v="925"/>
    <n v="0"/>
    <n v="0"/>
    <n v="1348"/>
    <n v="175"/>
    <n v="4066.12"/>
    <n v="1173"/>
  </r>
  <r>
    <x v="0"/>
    <x v="10"/>
    <x v="0"/>
    <s v="4950306"/>
    <n v="749510"/>
    <s v="Miscellaneous Expenses"/>
    <s v="Respiratory Therapy"/>
    <x v="0"/>
    <m/>
    <n v="0"/>
    <n v="0"/>
    <n v="0"/>
    <n v="0"/>
    <n v="439"/>
    <n v="-439"/>
    <n v="0"/>
    <n v="0"/>
    <n v="0"/>
    <n v="877"/>
    <n v="-877"/>
    <n v="0"/>
    <n v="0"/>
    <n v="-877"/>
  </r>
  <r>
    <x v="0"/>
    <x v="10"/>
    <x v="0"/>
    <s v="4950306"/>
    <n v="749510"/>
    <s v="RICE Rewards"/>
    <s v="Respiratory Therapy"/>
    <x v="0"/>
    <n v="5100"/>
    <n v="0"/>
    <n v="0"/>
    <n v="0"/>
    <n v="0"/>
    <n v="0"/>
    <n v="0"/>
    <n v="132.37"/>
    <n v="0"/>
    <n v="17.78"/>
    <n v="0"/>
    <n v="0"/>
    <n v="0"/>
    <n v="150.15"/>
    <n v="0"/>
  </r>
  <r>
    <x v="0"/>
    <x v="10"/>
    <x v="0"/>
    <s v="4950306"/>
    <n v="749530"/>
    <s v="Travel"/>
    <s v="Respiratory Therapy"/>
    <x v="0"/>
    <m/>
    <n v="0"/>
    <n v="0"/>
    <n v="0"/>
    <n v="0"/>
    <n v="0"/>
    <n v="0"/>
    <n v="0"/>
    <n v="429.34"/>
    <n v="0"/>
    <n v="0"/>
    <n v="497.36"/>
    <n v="0"/>
    <n v="926.7"/>
    <n v="497.36"/>
  </r>
  <r>
    <x v="18"/>
    <x v="6"/>
    <x v="0"/>
    <s v="4951107"/>
    <n v="400010"/>
    <s v="Acute I/P Svcs Rev--Medicare"/>
    <s v="Respiratory Care-Silverdale"/>
    <x v="0"/>
    <n v="1100"/>
    <n v="-23583.54"/>
    <n v="-29529.279999999999"/>
    <n v="-39702.269999999997"/>
    <n v="-10082.61"/>
    <n v="-8130.29"/>
    <n v="-21762.83"/>
    <n v="-35570.050000000003"/>
    <n v="-11224.84"/>
    <n v="-13336.55"/>
    <n v="-42148.63"/>
    <n v="-16028.19"/>
    <n v="-715.88"/>
    <n v="-251814.96"/>
    <n v="-15312.310000000001"/>
  </r>
  <r>
    <x v="18"/>
    <x v="6"/>
    <x v="0"/>
    <s v="4951107"/>
    <n v="400010"/>
    <s v="Acute I/P Svcs Rev--Medicaid"/>
    <s v="Respiratory Care-Silverdale"/>
    <x v="0"/>
    <n v="1200"/>
    <n v="-39410.31"/>
    <n v="-20961.39"/>
    <n v="-25313.73"/>
    <n v="-27611.02"/>
    <n v="-42293.71"/>
    <n v="-42355.91"/>
    <n v="-30791.51"/>
    <n v="-17338.72"/>
    <n v="-20362.82"/>
    <n v="-39243.589999999997"/>
    <n v="-30632.84"/>
    <n v="-22098.720000000001"/>
    <n v="-358414.27"/>
    <n v="-8534.119999999999"/>
  </r>
  <r>
    <x v="18"/>
    <x v="6"/>
    <x v="0"/>
    <s v="4951107"/>
    <n v="400010"/>
    <s v="Acute I/P Svcs Rev--Comm Insurance"/>
    <s v="Respiratory Care-Silverdale"/>
    <x v="0"/>
    <n v="1300"/>
    <n v="-1284.08"/>
    <n v="-365.33"/>
    <n v="-1504.68"/>
    <n v="-1897.62"/>
    <n v="-2310.16"/>
    <n v="-5934.67"/>
    <n v="-444.64"/>
    <n v="-733.03"/>
    <n v="-471.97"/>
    <n v="-239.59"/>
    <n v="-6193.4"/>
    <n v="132.96"/>
    <n v="-21246.21"/>
    <n v="-6326.36"/>
  </r>
  <r>
    <x v="18"/>
    <x v="6"/>
    <x v="0"/>
    <s v="4951107"/>
    <n v="400010"/>
    <s v="Acute I/P Svcs Rev--BCBS Comm"/>
    <s v="Respiratory Care-Silverdale"/>
    <x v="0"/>
    <n v="1301"/>
    <n v="-7655.19"/>
    <n v="-8455.85"/>
    <n v="-12532.21"/>
    <n v="-16599.29"/>
    <n v="-21625.46"/>
    <n v="-8949.68"/>
    <n v="-15118.78"/>
    <n v="-8915.86"/>
    <n v="-15284.69"/>
    <n v="-4279.47"/>
    <n v="-24254.84"/>
    <n v="-14084.94"/>
    <n v="-157756.26"/>
    <n v="-10169.9"/>
  </r>
  <r>
    <x v="18"/>
    <x v="6"/>
    <x v="0"/>
    <s v="4951107"/>
    <n v="400010"/>
    <s v="Acute I/P Svcs Rev--Managed Care"/>
    <s v="Respiratory Care-Silverdale"/>
    <x v="0"/>
    <n v="1400"/>
    <n v="-6256.55"/>
    <n v="-11656.74"/>
    <n v="-19550.2"/>
    <n v="-7021.96"/>
    <n v="-17165.919999999998"/>
    <n v="-34628.33"/>
    <n v="-16268.9"/>
    <n v="-14678.47"/>
    <n v="-2785.29"/>
    <n v="-137.37"/>
    <n v="-12492.77"/>
    <n v="-5738.16"/>
    <n v="-148380.66"/>
    <n v="-6754.6100000000006"/>
  </r>
  <r>
    <x v="18"/>
    <x v="6"/>
    <x v="0"/>
    <s v="4951107"/>
    <n v="400010"/>
    <s v="Acute I/P Svcs Rev--Self Pay"/>
    <s v="Respiratory Care-Silverdale"/>
    <x v="0"/>
    <n v="1500"/>
    <n v="-354.87"/>
    <n v="-143.04"/>
    <n v="-462.79"/>
    <n v="0"/>
    <n v="-1116.95"/>
    <n v="-4693.76"/>
    <n v="-115.78"/>
    <n v="-918.52"/>
    <n v="-1310.73"/>
    <n v="-7393.04"/>
    <n v="4748.4799999999996"/>
    <n v="0"/>
    <n v="-11761"/>
    <n v="4748.4799999999996"/>
  </r>
  <r>
    <x v="18"/>
    <x v="6"/>
    <x v="0"/>
    <s v="4951107"/>
    <n v="400010"/>
    <s v="Acute I/P Svcs Rev--Other"/>
    <s v="Respiratory Care-Silverdale"/>
    <x v="0"/>
    <n v="1700"/>
    <n v="-2663.18"/>
    <n v="-6583.08"/>
    <n v="-12821.33"/>
    <n v="-8163.38"/>
    <n v="-6857.13"/>
    <n v="-5618.78"/>
    <n v="-15289.06"/>
    <n v="-1011.5"/>
    <n v="-7659.18"/>
    <n v="-5213.07"/>
    <n v="-5819.66"/>
    <n v="-1406.55"/>
    <n v="-79105.900000000009"/>
    <n v="-4413.1099999999997"/>
  </r>
  <r>
    <x v="19"/>
    <x v="6"/>
    <x v="0"/>
    <s v="4951107"/>
    <n v="400020"/>
    <s v="O/P Care Svcs Rev--Medicare"/>
    <s v="Respiratory Care-Silverdale"/>
    <x v="0"/>
    <n v="1100"/>
    <n v="-4589.55"/>
    <n v="-6726.25"/>
    <n v="-3443.25"/>
    <n v="-24058.76"/>
    <n v="-6704.76"/>
    <n v="-9311.86"/>
    <n v="-7771.4"/>
    <n v="-8588.1"/>
    <n v="-10789.24"/>
    <n v="-8423.1"/>
    <n v="-7543.62"/>
    <n v="-4611.5600000000004"/>
    <n v="-102561.45000000001"/>
    <n v="-2932.0599999999995"/>
  </r>
  <r>
    <x v="19"/>
    <x v="6"/>
    <x v="0"/>
    <s v="4951107"/>
    <n v="400020"/>
    <s v="O/P Care Svcs Rev--Medicaid"/>
    <s v="Respiratory Care-Silverdale"/>
    <x v="0"/>
    <n v="1200"/>
    <n v="-3799"/>
    <n v="-7975.75"/>
    <n v="-6389.2"/>
    <n v="-9515.39"/>
    <n v="-13317.32"/>
    <n v="-16319.21"/>
    <n v="-12518.95"/>
    <n v="-11892.33"/>
    <n v="-16906.23"/>
    <n v="-9282.6299999999992"/>
    <n v="-6733.35"/>
    <n v="-7986.13"/>
    <n v="-122635.49000000002"/>
    <n v="1252.7799999999997"/>
  </r>
  <r>
    <x v="19"/>
    <x v="6"/>
    <x v="0"/>
    <s v="4951107"/>
    <n v="400020"/>
    <s v="O/P Care Svcs Rev--Comm Insurance"/>
    <s v="Respiratory Care-Silverdale"/>
    <x v="0"/>
    <n v="1300"/>
    <n v="128.09"/>
    <n v="-513.58000000000004"/>
    <n v="-701.59"/>
    <n v="-306.69"/>
    <n v="-1345.02"/>
    <n v="-454.24"/>
    <n v="-227.12"/>
    <n v="-148.51"/>
    <n v="-160.57"/>
    <n v="-243.79"/>
    <n v="-630.34"/>
    <n v="-1021.24"/>
    <n v="-5624.5999999999995"/>
    <n v="390.9"/>
  </r>
  <r>
    <x v="19"/>
    <x v="6"/>
    <x v="0"/>
    <s v="4951107"/>
    <n v="400020"/>
    <s v="O/P Care Svcs Rev--BCBS Comm"/>
    <s v="Respiratory Care-Silverdale"/>
    <x v="0"/>
    <n v="1301"/>
    <n v="-1521.86"/>
    <n v="-1223.72"/>
    <n v="-2577.89"/>
    <n v="-6163.34"/>
    <n v="-2492.5700000000002"/>
    <n v="-2173.9299999999998"/>
    <n v="-2646.24"/>
    <n v="-3037.24"/>
    <n v="-973.5"/>
    <n v="-2305.44"/>
    <n v="-233.93"/>
    <n v="-2594.46"/>
    <n v="-27944.12"/>
    <n v="2360.5300000000002"/>
  </r>
  <r>
    <x v="19"/>
    <x v="6"/>
    <x v="0"/>
    <s v="4951107"/>
    <n v="400020"/>
    <s v="O/P Care Svcs Rev--Managed Care"/>
    <s v="Respiratory Care-Silverdale"/>
    <x v="0"/>
    <n v="1400"/>
    <n v="-8436.92"/>
    <n v="2069.89"/>
    <n v="-4749.37"/>
    <n v="-2648.82"/>
    <n v="-2014.55"/>
    <n v="-3257.09"/>
    <n v="-5678.96"/>
    <n v="-4315.42"/>
    <n v="-1998.33"/>
    <n v="-6590.84"/>
    <n v="-2660.66"/>
    <n v="-1624.24"/>
    <n v="-41905.310000000005"/>
    <n v="-1036.4199999999998"/>
  </r>
  <r>
    <x v="19"/>
    <x v="6"/>
    <x v="0"/>
    <s v="4951107"/>
    <n v="400020"/>
    <s v="O/P Care Svcs Rev--Self Pay"/>
    <s v="Respiratory Care-Silverdale"/>
    <x v="0"/>
    <n v="1500"/>
    <n v="-513.58000000000004"/>
    <n v="-622.02"/>
    <n v="-1677.96"/>
    <n v="-3029.83"/>
    <n v="-1589.84"/>
    <n v="8.5500000000000007"/>
    <n v="-1639.99"/>
    <n v="-18.95"/>
    <n v="-1617.43"/>
    <n v="-729.38"/>
    <n v="-2063.06"/>
    <n v="-3052.79"/>
    <n v="-16546.28"/>
    <n v="989.73"/>
  </r>
  <r>
    <x v="19"/>
    <x v="6"/>
    <x v="0"/>
    <s v="4951107"/>
    <n v="400020"/>
    <s v="O/P Care Svcs Rev--Other"/>
    <s v="Respiratory Care-Silverdale"/>
    <x v="0"/>
    <n v="1700"/>
    <n v="-2315.56"/>
    <n v="-2751.08"/>
    <n v="-5303.82"/>
    <n v="-4419.99"/>
    <n v="-4473.5200000000004"/>
    <n v="-3861.04"/>
    <n v="-3688.95"/>
    <n v="-4228.18"/>
    <n v="-3212.35"/>
    <n v="-1834.01"/>
    <n v="-9194.9699999999993"/>
    <n v="1654.34"/>
    <n v="-43629.130000000012"/>
    <n v="-10849.31"/>
  </r>
  <r>
    <x v="5"/>
    <x v="6"/>
    <x v="0"/>
    <s v="4951107"/>
    <n v="700014"/>
    <s v="Salaries-Management-Productive"/>
    <s v="Respiratory Care-Silverdale"/>
    <x v="0"/>
    <m/>
    <n v="0"/>
    <n v="0"/>
    <n v="0"/>
    <n v="0"/>
    <n v="0"/>
    <n v="4834.72"/>
    <n v="-349.36"/>
    <n v="0"/>
    <n v="0"/>
    <n v="0"/>
    <n v="0"/>
    <n v="0"/>
    <n v="4485.3600000000006"/>
    <n v="0"/>
  </r>
  <r>
    <x v="5"/>
    <x v="6"/>
    <x v="0"/>
    <s v="4951107"/>
    <n v="700034"/>
    <s v="Salaries-Tech/Professional-Productive"/>
    <s v="Respiratory Care-Silverdale"/>
    <x v="0"/>
    <m/>
    <n v="57392.959999999999"/>
    <n v="58311.17"/>
    <n v="57337.47"/>
    <n v="59091.06"/>
    <n v="65007.61"/>
    <n v="70437.84"/>
    <n v="66105.399999999994"/>
    <n v="59376.63"/>
    <n v="62721.2"/>
    <n v="54024.11"/>
    <n v="62909.14"/>
    <n v="60526.45"/>
    <n v="733241.03999999992"/>
    <n v="2382.6900000000023"/>
  </r>
  <r>
    <x v="5"/>
    <x v="6"/>
    <x v="0"/>
    <s v="4951107"/>
    <n v="700034"/>
    <s v="Salaries-Tech/Professional-OT"/>
    <s v="Respiratory Care-Silverdale"/>
    <x v="0"/>
    <n v="1000"/>
    <n v="7554.36"/>
    <n v="4510.2700000000004"/>
    <n v="2602.31"/>
    <n v="8148.35"/>
    <n v="7752.85"/>
    <n v="4340.78"/>
    <n v="9151.07"/>
    <n v="9669.5300000000007"/>
    <n v="9586.85"/>
    <n v="9837.19"/>
    <n v="4651.08"/>
    <n v="10095.469999999999"/>
    <n v="87900.11"/>
    <n v="-5444.3899999999994"/>
  </r>
  <r>
    <x v="5"/>
    <x v="6"/>
    <x v="0"/>
    <s v="4951107"/>
    <n v="700034"/>
    <s v="Salaries-Tech/Professional-Other"/>
    <s v="Respiratory Care-Silverdale"/>
    <x v="0"/>
    <n v="2000"/>
    <n v="4450.0200000000004"/>
    <n v="4055.51"/>
    <n v="4601.43"/>
    <n v="4028.59"/>
    <n v="4500.12"/>
    <n v="4185.22"/>
    <n v="4749.93"/>
    <n v="4423.04"/>
    <n v="4031.92"/>
    <n v="4455.2"/>
    <n v="5250.97"/>
    <n v="5794.29"/>
    <n v="54526.239999999998"/>
    <n v="-543.31999999999971"/>
  </r>
  <r>
    <x v="5"/>
    <x v="6"/>
    <x v="0"/>
    <s v="4951107"/>
    <n v="700038"/>
    <s v="Salaries-Service/Support-Productive"/>
    <s v="Respiratory Care-Silverdale"/>
    <x v="0"/>
    <m/>
    <n v="0"/>
    <n v="0"/>
    <n v="21.41"/>
    <n v="0"/>
    <n v="0"/>
    <n v="0"/>
    <n v="0"/>
    <n v="0"/>
    <n v="0"/>
    <n v="0"/>
    <n v="0"/>
    <n v="0"/>
    <n v="21.41"/>
    <n v="0"/>
  </r>
  <r>
    <x v="5"/>
    <x v="6"/>
    <x v="0"/>
    <s v="4951107"/>
    <n v="700074"/>
    <s v="Salaries-Tech/Professional-Non-productive"/>
    <s v="Respiratory Care-Silverdale"/>
    <x v="0"/>
    <m/>
    <n v="11309.1"/>
    <n v="14074.77"/>
    <n v="8594.17"/>
    <n v="9075.56"/>
    <n v="7399.34"/>
    <n v="11023.4"/>
    <n v="8925.9500000000007"/>
    <n v="6792.29"/>
    <n v="4212.1499999999996"/>
    <n v="8934.5300000000007"/>
    <n v="4176.0600000000004"/>
    <n v="9455.58"/>
    <n v="103972.9"/>
    <n v="-5279.5199999999995"/>
  </r>
  <r>
    <x v="5"/>
    <x v="6"/>
    <x v="0"/>
    <s v="4951107"/>
    <n v="700074"/>
    <s v="Salaries-Tech/Professional-NonProd-Other"/>
    <s v="Respiratory Care-Silverdale"/>
    <x v="0"/>
    <n v="2000"/>
    <n v="596.45000000000005"/>
    <n v="768.4"/>
    <n v="341.08"/>
    <n v="521.49"/>
    <n v="999.82"/>
    <n v="1520.38"/>
    <n v="745.11"/>
    <n v="-1097.74"/>
    <n v="27.97"/>
    <n v="835.94"/>
    <n v="175.72"/>
    <n v="162.44"/>
    <n v="5597.0600000000013"/>
    <n v="13.280000000000001"/>
  </r>
  <r>
    <x v="5"/>
    <x v="6"/>
    <x v="0"/>
    <s v="4951107"/>
    <n v="700084"/>
    <s v="Accrued PTO"/>
    <s v="Respiratory Care-Silverdale"/>
    <x v="0"/>
    <m/>
    <n v="-3251.64"/>
    <n v="-2532.31"/>
    <n v="-2262.23"/>
    <n v="2289.92"/>
    <n v="395.8"/>
    <n v="-1370.28"/>
    <n v="1249"/>
    <n v="4066.54"/>
    <n v="1035.33"/>
    <n v="2362.1999999999998"/>
    <n v="1827.28"/>
    <n v="536.13"/>
    <n v="4345.74"/>
    <n v="1291.1500000000001"/>
  </r>
  <r>
    <x v="6"/>
    <x v="6"/>
    <x v="0"/>
    <s v="4951107"/>
    <n v="713010"/>
    <s v="Benefits-FICA/Medicare"/>
    <s v="Respiratory Care-Silverdale"/>
    <x v="0"/>
    <m/>
    <n v="6188.2"/>
    <n v="6217.27"/>
    <n v="5591.65"/>
    <n v="6161.51"/>
    <n v="6368.98"/>
    <n v="7249.94"/>
    <n v="7178.47"/>
    <n v="6033.25"/>
    <n v="6171.89"/>
    <n v="5905.66"/>
    <n v="5873.02"/>
    <n v="6551.37"/>
    <n v="75491.210000000006"/>
    <n v="-678.34999999999945"/>
  </r>
  <r>
    <x v="6"/>
    <x v="6"/>
    <x v="0"/>
    <s v="4951107"/>
    <n v="713090"/>
    <s v="Benefits-Allocated Amounts"/>
    <s v="Respiratory Care-Silverdale"/>
    <x v="0"/>
    <m/>
    <n v="12133.81"/>
    <n v="11102.89"/>
    <n v="11119.89"/>
    <n v="11903.42"/>
    <n v="14360.29"/>
    <n v="14715.99"/>
    <n v="13723.17"/>
    <n v="13466.3"/>
    <n v="10442.299999999999"/>
    <n v="13167.7"/>
    <n v="12037"/>
    <n v="15157.59"/>
    <n v="153330.35"/>
    <n v="-3120.59"/>
  </r>
  <r>
    <x v="7"/>
    <x v="6"/>
    <x v="0"/>
    <s v="4951107"/>
    <n v="718070"/>
    <s v="Contract Srvcs-CHI Clinical Engineering"/>
    <s v="Respiratory Care-Silverdale"/>
    <x v="0"/>
    <m/>
    <n v="0"/>
    <n v="0"/>
    <n v="0"/>
    <n v="0"/>
    <n v="0"/>
    <n v="0"/>
    <n v="0"/>
    <n v="0"/>
    <n v="0"/>
    <n v="0"/>
    <n v="0"/>
    <n v="116.72"/>
    <n v="116.72"/>
    <n v="-116.72"/>
  </r>
  <r>
    <x v="11"/>
    <x v="6"/>
    <x v="0"/>
    <s v="4951107"/>
    <n v="721010"/>
    <s v="Supplies-Medical - Billable"/>
    <s v="Respiratory Care-Silverdale"/>
    <x v="0"/>
    <m/>
    <n v="0"/>
    <n v="11.74"/>
    <n v="0"/>
    <n v="0"/>
    <n v="10.77"/>
    <n v="16.420000000000002"/>
    <n v="0"/>
    <n v="0"/>
    <n v="0"/>
    <n v="0"/>
    <n v="0"/>
    <n v="0"/>
    <n v="38.93"/>
    <n v="0"/>
  </r>
  <r>
    <x v="11"/>
    <x v="6"/>
    <x v="0"/>
    <s v="4951107"/>
    <n v="721020"/>
    <s v="Tubes Drains &amp; Related Supplies"/>
    <s v="Respiratory Care-Silverdale"/>
    <x v="0"/>
    <n v="1008"/>
    <n v="3.38"/>
    <n v="0"/>
    <n v="0"/>
    <n v="0"/>
    <n v="0"/>
    <n v="0"/>
    <n v="0"/>
    <n v="0"/>
    <n v="0"/>
    <n v="0"/>
    <n v="0"/>
    <n v="0"/>
    <n v="3.38"/>
    <n v="0"/>
  </r>
  <r>
    <x v="11"/>
    <x v="6"/>
    <x v="0"/>
    <s v="4951107"/>
    <n v="721240"/>
    <s v="Supplies-IV Solutions/Supplies - Billable"/>
    <s v="Respiratory Care-Silverdale"/>
    <x v="0"/>
    <m/>
    <n v="17.95"/>
    <n v="0"/>
    <n v="17.95"/>
    <n v="17.95"/>
    <n v="0"/>
    <n v="35.9"/>
    <n v="0"/>
    <n v="38.21"/>
    <n v="0"/>
    <n v="17.95"/>
    <n v="0"/>
    <n v="17.95"/>
    <n v="163.85999999999999"/>
    <n v="-17.95"/>
  </r>
  <r>
    <x v="11"/>
    <x v="6"/>
    <x v="0"/>
    <s v="4951107"/>
    <n v="721250"/>
    <s v="Supplies-Pharmacy Drugs - Billable"/>
    <s v="Respiratory Care-Silverdale"/>
    <x v="0"/>
    <m/>
    <n v="0"/>
    <n v="0"/>
    <n v="0"/>
    <n v="0"/>
    <n v="0"/>
    <n v="0"/>
    <n v="0"/>
    <n v="0"/>
    <n v="0"/>
    <n v="35.369999999999997"/>
    <n v="0"/>
    <n v="0"/>
    <n v="35.369999999999997"/>
    <n v="0"/>
  </r>
  <r>
    <x v="11"/>
    <x v="6"/>
    <x v="0"/>
    <s v="4951107"/>
    <n v="721410"/>
    <s v="Supplies-Medical - Nonbillable"/>
    <s v="Respiratory Care-Silverdale"/>
    <x v="0"/>
    <m/>
    <n v="25.38"/>
    <n v="0"/>
    <n v="52.26"/>
    <n v="14.71"/>
    <n v="115.33"/>
    <n v="207.33"/>
    <n v="241.93"/>
    <n v="224.9"/>
    <n v="149.18"/>
    <n v="1323.97"/>
    <n v="400.45"/>
    <n v="22.07"/>
    <n v="2777.5099999999998"/>
    <n v="378.38"/>
  </r>
  <r>
    <x v="11"/>
    <x v="6"/>
    <x v="0"/>
    <s v="4951107"/>
    <n v="721420"/>
    <s v="Tubes Drains &amp; Related Supplies"/>
    <s v="Respiratory Care-Silverdale"/>
    <x v="0"/>
    <n v="1008"/>
    <n v="133.74"/>
    <n v="581.78"/>
    <n v="367.36"/>
    <n v="97.99"/>
    <n v="108.91"/>
    <n v="154.68"/>
    <n v="156.11000000000001"/>
    <n v="159.55000000000001"/>
    <n v="216.85"/>
    <n v="235.98"/>
    <n v="375"/>
    <n v="177.35"/>
    <n v="2765.2999999999997"/>
    <n v="197.65"/>
  </r>
  <r>
    <x v="11"/>
    <x v="6"/>
    <x v="0"/>
    <s v="4951107"/>
    <n v="721420"/>
    <s v="Sterilization Process Products"/>
    <s v="Respiratory Care-Silverdale"/>
    <x v="0"/>
    <n v="1009"/>
    <n v="0"/>
    <n v="69.75"/>
    <n v="0"/>
    <n v="0"/>
    <n v="153.34"/>
    <n v="0"/>
    <n v="0"/>
    <n v="0"/>
    <n v="49.8"/>
    <n v="0"/>
    <n v="0"/>
    <n v="0"/>
    <n v="272.89"/>
    <n v="0"/>
  </r>
  <r>
    <x v="11"/>
    <x v="6"/>
    <x v="0"/>
    <s v="4951107"/>
    <n v="721610"/>
    <s v="Supplies-Anesthesia - Nonbillable"/>
    <s v="Respiratory Care-Silverdale"/>
    <x v="0"/>
    <m/>
    <n v="1867.69"/>
    <n v="1583.27"/>
    <n v="1524.31"/>
    <n v="1236.93"/>
    <n v="3370.08"/>
    <n v="1787.71"/>
    <n v="1718.61"/>
    <n v="2021.09"/>
    <n v="1190.94"/>
    <n v="622.4"/>
    <n v="990.44"/>
    <n v="1321.66"/>
    <n v="19235.13"/>
    <n v="-331.22"/>
  </r>
  <r>
    <x v="11"/>
    <x v="6"/>
    <x v="0"/>
    <s v="4951107"/>
    <n v="721710"/>
    <s v="Supplies-Laboratory - Nonbillable"/>
    <s v="Respiratory Care-Silverdale"/>
    <x v="0"/>
    <m/>
    <n v="0"/>
    <n v="0"/>
    <n v="0"/>
    <n v="-331.63"/>
    <n v="0"/>
    <n v="334.54"/>
    <n v="0"/>
    <n v="44"/>
    <n v="0"/>
    <n v="0"/>
    <n v="131.35"/>
    <n v="0"/>
    <n v="178.26000000000002"/>
    <n v="131.35"/>
  </r>
  <r>
    <x v="11"/>
    <x v="6"/>
    <x v="0"/>
    <s v="4951107"/>
    <n v="721810"/>
    <s v="Supplies-Dietary/Cafeteria"/>
    <s v="Respiratory Care-Silverdale"/>
    <x v="0"/>
    <m/>
    <n v="0"/>
    <n v="31.46"/>
    <n v="0"/>
    <n v="22.39"/>
    <n v="0"/>
    <n v="0"/>
    <n v="0"/>
    <n v="0"/>
    <n v="0"/>
    <n v="0"/>
    <n v="0"/>
    <n v="132.15"/>
    <n v="186"/>
    <n v="-132.15"/>
  </r>
  <r>
    <x v="11"/>
    <x v="6"/>
    <x v="0"/>
    <s v="4951107"/>
    <n v="721830"/>
    <s v="Supplies-Office"/>
    <s v="Respiratory Care-Silverdale"/>
    <x v="0"/>
    <m/>
    <n v="0"/>
    <n v="0"/>
    <n v="0"/>
    <n v="0"/>
    <n v="0"/>
    <n v="0"/>
    <n v="69.47"/>
    <n v="0"/>
    <n v="0"/>
    <n v="0"/>
    <n v="0"/>
    <n v="0"/>
    <n v="69.47"/>
    <n v="0"/>
  </r>
  <r>
    <x v="11"/>
    <x v="6"/>
    <x v="0"/>
    <s v="4951107"/>
    <n v="721870"/>
    <s v="Supplies-Environmental Services"/>
    <s v="Respiratory Care-Silverdale"/>
    <x v="0"/>
    <m/>
    <n v="0"/>
    <n v="0"/>
    <n v="0"/>
    <n v="0"/>
    <n v="0"/>
    <n v="0"/>
    <n v="11.82"/>
    <n v="0"/>
    <n v="0"/>
    <n v="0"/>
    <n v="0"/>
    <n v="0"/>
    <n v="11.82"/>
    <n v="0"/>
  </r>
  <r>
    <x v="11"/>
    <x v="6"/>
    <x v="0"/>
    <s v="4951107"/>
    <n v="721910"/>
    <s v="Supplies-Small Equipment"/>
    <s v="Respiratory Care-Silverdale"/>
    <x v="0"/>
    <m/>
    <n v="7.68"/>
    <n v="3.84"/>
    <n v="3.36"/>
    <n v="3.84"/>
    <n v="8.16"/>
    <n v="4.08"/>
    <n v="0"/>
    <n v="17.28"/>
    <n v="0"/>
    <n v="9.1199999999999992"/>
    <n v="0"/>
    <n v="0"/>
    <n v="57.36"/>
    <n v="0"/>
  </r>
  <r>
    <x v="11"/>
    <x v="6"/>
    <x v="0"/>
    <s v="4951107"/>
    <n v="721910"/>
    <s v="Instruments"/>
    <s v="Respiratory Care-Silverdale"/>
    <x v="0"/>
    <n v="1000"/>
    <n v="854.56"/>
    <n v="0"/>
    <n v="0"/>
    <n v="0"/>
    <n v="0"/>
    <n v="0"/>
    <n v="0"/>
    <n v="0"/>
    <n v="0"/>
    <n v="198.51"/>
    <n v="22.59"/>
    <n v="0"/>
    <n v="1075.6599999999999"/>
    <n v="22.59"/>
  </r>
  <r>
    <x v="11"/>
    <x v="6"/>
    <x v="0"/>
    <s v="4951107"/>
    <n v="721980"/>
    <s v="Supplies-Other"/>
    <s v="Respiratory Care-Silverdale"/>
    <x v="0"/>
    <m/>
    <n v="0"/>
    <n v="104"/>
    <n v="0"/>
    <n v="30.11"/>
    <n v="60.36"/>
    <n v="72.510000000000005"/>
    <n v="602.16"/>
    <n v="0"/>
    <n v="0"/>
    <n v="0"/>
    <n v="0"/>
    <n v="0"/>
    <n v="869.14"/>
    <n v="0"/>
  </r>
  <r>
    <x v="11"/>
    <x v="6"/>
    <x v="0"/>
    <s v="4951107"/>
    <n v="722000"/>
    <s v="Supplies-Freight Expense"/>
    <s v="Respiratory Care-Silverdale"/>
    <x v="0"/>
    <m/>
    <n v="8.5500000000000007"/>
    <n v="12.68"/>
    <n v="7.93"/>
    <n v="7.99"/>
    <n v="0"/>
    <n v="0"/>
    <n v="7.99"/>
    <n v="0"/>
    <n v="42.05"/>
    <n v="0"/>
    <n v="43.22"/>
    <n v="0"/>
    <n v="130.41"/>
    <n v="43.22"/>
  </r>
  <r>
    <x v="12"/>
    <x v="6"/>
    <x v="0"/>
    <s v="4951107"/>
    <n v="730020"/>
    <s v="Rental and Leases-Copier Usage Fees (DO NOT USE)"/>
    <s v="Respiratory Care-Silverdale"/>
    <x v="0"/>
    <n v="5100"/>
    <n v="35.549999999999997"/>
    <n v="36.81"/>
    <n v="36.18"/>
    <n v="36.17"/>
    <n v="36.17"/>
    <n v="36.17"/>
    <n v="32.99"/>
    <n v="35.31"/>
    <n v="35.24"/>
    <n v="35.380000000000003"/>
    <n v="35.31"/>
    <n v="44.09"/>
    <n v="435.37"/>
    <n v="-8.7800000000000011"/>
  </r>
  <r>
    <x v="16"/>
    <x v="6"/>
    <x v="0"/>
    <s v="4951107"/>
    <n v="732020"/>
    <s v="Repairs--Clin Equip-Parts-Internal to CHI Programs"/>
    <s v="Respiratory Care-Silverdale"/>
    <x v="0"/>
    <m/>
    <n v="0"/>
    <n v="0"/>
    <n v="151.19999999999999"/>
    <n v="0"/>
    <n v="702.03"/>
    <n v="151.19999999999999"/>
    <n v="302.94"/>
    <n v="0"/>
    <n v="-13.79"/>
    <n v="164.4"/>
    <n v="0"/>
    <n v="0"/>
    <n v="1457.9800000000002"/>
    <n v="0"/>
  </r>
  <r>
    <x v="16"/>
    <x v="6"/>
    <x v="0"/>
    <s v="4951107"/>
    <n v="732030"/>
    <s v="Repairs---Other"/>
    <s v="Respiratory Care-Silverdale"/>
    <x v="0"/>
    <m/>
    <n v="0"/>
    <n v="0"/>
    <n v="0"/>
    <n v="0"/>
    <n v="0"/>
    <n v="0"/>
    <n v="172.93"/>
    <n v="146.36000000000001"/>
    <n v="0"/>
    <n v="0"/>
    <n v="0"/>
    <n v="0"/>
    <n v="319.29000000000002"/>
    <n v="0"/>
  </r>
  <r>
    <x v="13"/>
    <x v="6"/>
    <x v="0"/>
    <s v="4951107"/>
    <n v="735070"/>
    <s v="Depreciation-Movable Equipment"/>
    <s v="Respiratory Care-Silverdale"/>
    <x v="0"/>
    <m/>
    <n v="670.96"/>
    <n v="452.29"/>
    <n v="452.3"/>
    <n v="452.29"/>
    <n v="452.3"/>
    <n v="452.28"/>
    <n v="452.3"/>
    <n v="452.28"/>
    <n v="452.3"/>
    <n v="452.28"/>
    <n v="452.3"/>
    <n v="452.28"/>
    <n v="5646.16"/>
    <n v="2.0000000000038654E-2"/>
  </r>
  <r>
    <x v="0"/>
    <x v="6"/>
    <x v="0"/>
    <s v="4951107"/>
    <n v="740020"/>
    <s v="Education-Registration Fees"/>
    <s v="Respiratory Care-Silverdale"/>
    <x v="0"/>
    <m/>
    <n v="0"/>
    <n v="0"/>
    <n v="0"/>
    <n v="0"/>
    <n v="0"/>
    <n v="600"/>
    <n v="0"/>
    <n v="0"/>
    <n v="385"/>
    <n v="0"/>
    <n v="0"/>
    <n v="0"/>
    <n v="985"/>
    <n v="0"/>
  </r>
  <r>
    <x v="0"/>
    <x v="6"/>
    <x v="0"/>
    <s v="4951107"/>
    <n v="749510"/>
    <s v="Miscellaneous Expenses"/>
    <s v="Respiratory Care-Silverdale"/>
    <x v="0"/>
    <m/>
    <n v="103.56"/>
    <n v="-403.56"/>
    <n v="50.15"/>
    <n v="-50.15"/>
    <n v="600"/>
    <n v="-600"/>
    <n v="385"/>
    <n v="0"/>
    <n v="-385"/>
    <n v="0"/>
    <n v="0"/>
    <n v="116.4"/>
    <n v="-183.6"/>
    <n v="-116.4"/>
  </r>
  <r>
    <x v="0"/>
    <x v="6"/>
    <x v="0"/>
    <s v="4951107"/>
    <n v="749530"/>
    <s v="Travel"/>
    <s v="Respiratory Care-Silverdale"/>
    <x v="0"/>
    <m/>
    <n v="0"/>
    <n v="12"/>
    <n v="0"/>
    <n v="12"/>
    <n v="0"/>
    <n v="0"/>
    <n v="0"/>
    <n v="0"/>
    <n v="0"/>
    <n v="0"/>
    <n v="10"/>
    <n v="0"/>
    <n v="34"/>
    <n v="10"/>
  </r>
  <r>
    <x v="0"/>
    <x v="6"/>
    <x v="0"/>
    <s v="4951107"/>
    <n v="749530"/>
    <s v="Mileage"/>
    <s v="Respiratory Care-Silverdale"/>
    <x v="0"/>
    <n v="1001"/>
    <n v="0"/>
    <n v="91.56"/>
    <n v="0"/>
    <n v="88.84"/>
    <n v="0"/>
    <n v="0"/>
    <n v="0"/>
    <n v="0"/>
    <n v="0"/>
    <n v="0"/>
    <n v="95.12"/>
    <n v="0"/>
    <n v="275.52"/>
    <n v="95.12"/>
  </r>
  <r>
    <x v="0"/>
    <x v="6"/>
    <x v="0"/>
    <s v="4951107"/>
    <n v="749535"/>
    <s v="Meetings"/>
    <s v="Respiratory Care-Silverdale"/>
    <x v="0"/>
    <m/>
    <n v="0"/>
    <n v="0"/>
    <n v="0"/>
    <n v="0"/>
    <n v="0"/>
    <n v="0"/>
    <n v="106.26"/>
    <n v="0"/>
    <n v="0"/>
    <n v="0"/>
    <n v="0"/>
    <n v="0"/>
    <n v="106.26"/>
    <n v="0"/>
  </r>
  <r>
    <x v="5"/>
    <x v="6"/>
    <x v="0"/>
    <s v="4990107"/>
    <n v="700014"/>
    <s v="Salaries-Management-Productive"/>
    <s v="Cardiovascular Service Line"/>
    <x v="0"/>
    <m/>
    <n v="6983.58"/>
    <n v="6983.9"/>
    <n v="6263.09"/>
    <n v="7290.55"/>
    <n v="6910.1"/>
    <n v="4745.17"/>
    <n v="6644.07"/>
    <n v="6136.11"/>
    <n v="4152.34"/>
    <n v="7335.43"/>
    <n v="7151.17"/>
    <n v="5905.57"/>
    <n v="76501.080000000016"/>
    <n v="1245.6000000000004"/>
  </r>
  <r>
    <x v="5"/>
    <x v="6"/>
    <x v="0"/>
    <s v="4990107"/>
    <n v="700026"/>
    <s v="Salaries-RN-Productive"/>
    <s v="Cardiovascular Service Line"/>
    <x v="0"/>
    <m/>
    <n v="22004.03"/>
    <n v="24440.46"/>
    <n v="20584.990000000002"/>
    <n v="23684.06"/>
    <n v="25534.89"/>
    <n v="15361.78"/>
    <n v="18859.09"/>
    <n v="14278.03"/>
    <n v="26378.62"/>
    <n v="22596.58"/>
    <n v="25627.61"/>
    <n v="21655.759999999998"/>
    <n v="261005.89999999997"/>
    <n v="3971.8500000000022"/>
  </r>
  <r>
    <x v="5"/>
    <x v="6"/>
    <x v="0"/>
    <s v="4990107"/>
    <n v="700026"/>
    <s v="Salaries-RN-OT"/>
    <s v="Cardiovascular Service Line"/>
    <x v="0"/>
    <n v="1000"/>
    <n v="0"/>
    <n v="0"/>
    <n v="0"/>
    <n v="0"/>
    <n v="169.03"/>
    <n v="577.33000000000004"/>
    <n v="594.92999999999995"/>
    <n v="-82.48"/>
    <n v="0"/>
    <n v="0"/>
    <n v="0"/>
    <n v="0"/>
    <n v="1258.81"/>
    <n v="0"/>
  </r>
  <r>
    <x v="5"/>
    <x v="6"/>
    <x v="0"/>
    <s v="4990107"/>
    <n v="700026"/>
    <s v="Salaries-RN-Other"/>
    <s v="Cardiovascular Service Line"/>
    <x v="0"/>
    <n v="2000"/>
    <n v="0"/>
    <n v="0"/>
    <n v="5.89"/>
    <n v="1.43"/>
    <n v="0.84"/>
    <n v="80.64"/>
    <n v="60.11"/>
    <n v="9.31"/>
    <n v="-0.44"/>
    <n v="0"/>
    <n v="0"/>
    <n v="0"/>
    <n v="157.78"/>
    <n v="0"/>
  </r>
  <r>
    <x v="5"/>
    <x v="6"/>
    <x v="0"/>
    <s v="4990107"/>
    <n v="700054"/>
    <s v="Salaries-Management-NonProd-Other"/>
    <s v="Cardiovascular Service Line"/>
    <x v="0"/>
    <n v="2000"/>
    <n v="0"/>
    <n v="0"/>
    <n v="0"/>
    <n v="0"/>
    <n v="0"/>
    <n v="168.54"/>
    <n v="-168.54"/>
    <n v="0"/>
    <n v="0"/>
    <n v="0"/>
    <n v="0"/>
    <n v="0"/>
    <n v="0"/>
    <n v="0"/>
  </r>
  <r>
    <x v="5"/>
    <x v="6"/>
    <x v="0"/>
    <s v="4990107"/>
    <n v="700066"/>
    <s v="Salaries-RN-Non-productive"/>
    <s v="Cardiovascular Service Line"/>
    <x v="0"/>
    <m/>
    <n v="4594.72"/>
    <n v="2159.52"/>
    <n v="5422.04"/>
    <n v="3548.99"/>
    <n v="812.97"/>
    <n v="14347.31"/>
    <n v="10501.37"/>
    <n v="6129.7"/>
    <n v="4264.28"/>
    <n v="3862.08"/>
    <n v="1713.89"/>
    <n v="4427.1099999999997"/>
    <n v="61783.979999999996"/>
    <n v="-2713.2199999999993"/>
  </r>
  <r>
    <x v="5"/>
    <x v="6"/>
    <x v="0"/>
    <s v="4990107"/>
    <n v="700066"/>
    <s v="Salaries-RN-NonProd-Other"/>
    <s v="Cardiovascular Service Line"/>
    <x v="0"/>
    <n v="2000"/>
    <n v="0"/>
    <n v="0"/>
    <n v="0"/>
    <n v="0"/>
    <n v="360.07"/>
    <n v="0"/>
    <n v="0"/>
    <n v="-360.07"/>
    <n v="0"/>
    <n v="0"/>
    <n v="0"/>
    <n v="0"/>
    <n v="0"/>
    <n v="0"/>
  </r>
  <r>
    <x v="5"/>
    <x v="6"/>
    <x v="0"/>
    <s v="4990107"/>
    <n v="700084"/>
    <s v="Accrued PTO"/>
    <s v="Cardiovascular Service Line"/>
    <x v="0"/>
    <m/>
    <n v="-429.53"/>
    <n v="1682.5"/>
    <n v="-2198.5300000000002"/>
    <n v="1707.78"/>
    <n v="1959.62"/>
    <n v="-3281.21"/>
    <n v="-6156.19"/>
    <n v="-1953.86"/>
    <n v="2257.56"/>
    <n v="121.92"/>
    <n v="1467.56"/>
    <n v="-120.98"/>
    <n v="-4943.3600000000006"/>
    <n v="1588.54"/>
  </r>
  <r>
    <x v="6"/>
    <x v="6"/>
    <x v="0"/>
    <s v="4990107"/>
    <n v="713010"/>
    <s v="Benefits-FICA/Medicare"/>
    <s v="Cardiovascular Service Line"/>
    <x v="0"/>
    <m/>
    <n v="2529.98"/>
    <n v="2530.1999999999998"/>
    <n v="2430.64"/>
    <n v="2122.77"/>
    <n v="2172.2399999999998"/>
    <n v="2466.5300000000002"/>
    <n v="2713.43"/>
    <n v="1935.94"/>
    <n v="2570.71"/>
    <n v="2488.41"/>
    <n v="2539.83"/>
    <n v="2354.21"/>
    <n v="28854.89"/>
    <n v="185.61999999999989"/>
  </r>
  <r>
    <x v="6"/>
    <x v="6"/>
    <x v="0"/>
    <s v="4990107"/>
    <n v="713090"/>
    <s v="Benefits-Allocated Amounts"/>
    <s v="Cardiovascular Service Line"/>
    <x v="0"/>
    <m/>
    <n v="4415.79"/>
    <n v="4018.17"/>
    <n v="4168.7700000000004"/>
    <n v="4395.8100000000004"/>
    <n v="4867.2700000000004"/>
    <n v="4648.1499999999996"/>
    <n v="4670.25"/>
    <n v="3634.43"/>
    <n v="3846.12"/>
    <n v="4915.96"/>
    <n v="4497.9799999999996"/>
    <n v="5215.4799999999996"/>
    <n v="53294.179999999993"/>
    <n v="-717.5"/>
  </r>
  <r>
    <x v="6"/>
    <x v="6"/>
    <x v="0"/>
    <s v="4990107"/>
    <n v="713096"/>
    <s v="Employee Recognition"/>
    <s v="Cardiovascular Service Line"/>
    <x v="0"/>
    <n v="1017"/>
    <n v="0"/>
    <n v="0"/>
    <n v="0"/>
    <n v="0"/>
    <n v="0"/>
    <n v="0"/>
    <n v="0"/>
    <n v="302.68"/>
    <n v="0"/>
    <n v="0"/>
    <n v="0"/>
    <n v="442.7"/>
    <n v="745.38"/>
    <n v="-442.7"/>
  </r>
  <r>
    <x v="17"/>
    <x v="6"/>
    <x v="0"/>
    <s v="4990107"/>
    <n v="714510"/>
    <s v="Medical Director Fees"/>
    <s v="Cardiovascular Service Line"/>
    <x v="0"/>
    <m/>
    <n v="5960"/>
    <n v="15780"/>
    <n v="23665"/>
    <n v="11150"/>
    <n v="19990"/>
    <n v="-12700"/>
    <n v="27640"/>
    <n v="14935"/>
    <n v="4175"/>
    <n v="-94770"/>
    <n v="1125"/>
    <n v="0"/>
    <n v="16950"/>
    <n v="1125"/>
  </r>
  <r>
    <x v="17"/>
    <x v="6"/>
    <x v="0"/>
    <s v="4990107"/>
    <n v="714530"/>
    <s v="Medical Prof Fees-Intracompany"/>
    <s v="Cardiovascular Service Line"/>
    <x v="0"/>
    <m/>
    <n v="0"/>
    <n v="141.72"/>
    <n v="-3513.09"/>
    <n v="-4572.2299999999996"/>
    <n v="4186.28"/>
    <n v="-5360.07"/>
    <n v="-2992.28"/>
    <n v="-1655.92"/>
    <n v="13765.59"/>
    <n v="0"/>
    <n v="0"/>
    <n v="0"/>
    <n v="0"/>
    <n v="0"/>
  </r>
  <r>
    <x v="11"/>
    <x v="6"/>
    <x v="0"/>
    <s v="4990107"/>
    <n v="721810"/>
    <s v="Supplies-Dietary/Cafeteria"/>
    <s v="Cardiovascular Service Line"/>
    <x v="0"/>
    <m/>
    <n v="82.17"/>
    <n v="105.54"/>
    <n v="164.28"/>
    <n v="249.62"/>
    <n v="334.84"/>
    <n v="135.44999999999999"/>
    <n v="0"/>
    <n v="0"/>
    <n v="232.66"/>
    <n v="0"/>
    <n v="108.37"/>
    <n v="0"/>
    <n v="1412.9300000000003"/>
    <n v="108.37"/>
  </r>
  <r>
    <x v="11"/>
    <x v="6"/>
    <x v="0"/>
    <s v="4990107"/>
    <n v="721830"/>
    <s v="Supplies-Office"/>
    <s v="Cardiovascular Service Line"/>
    <x v="0"/>
    <m/>
    <n v="0"/>
    <n v="0"/>
    <n v="0"/>
    <n v="0"/>
    <n v="0"/>
    <n v="503.87"/>
    <n v="95.75"/>
    <n v="0"/>
    <n v="63.84"/>
    <n v="78.010000000000005"/>
    <n v="63.89"/>
    <n v="0"/>
    <n v="805.36"/>
    <n v="63.89"/>
  </r>
  <r>
    <x v="11"/>
    <x v="6"/>
    <x v="0"/>
    <s v="4990107"/>
    <n v="721835"/>
    <s v="Supplies-Forms"/>
    <s v="Cardiovascular Service Line"/>
    <x v="0"/>
    <m/>
    <n v="0"/>
    <n v="0"/>
    <n v="0"/>
    <n v="0"/>
    <n v="42.2"/>
    <n v="0"/>
    <n v="0"/>
    <n v="0"/>
    <n v="0"/>
    <n v="61.61"/>
    <n v="0"/>
    <n v="0"/>
    <n v="103.81"/>
    <n v="0"/>
  </r>
  <r>
    <x v="11"/>
    <x v="6"/>
    <x v="0"/>
    <s v="4990107"/>
    <n v="721910"/>
    <s v="Supplies-Small Equipment"/>
    <s v="Cardiovascular Service Line"/>
    <x v="0"/>
    <m/>
    <n v="304.94"/>
    <n v="43.26"/>
    <n v="0"/>
    <n v="931.2"/>
    <n v="0"/>
    <n v="0"/>
    <n v="83.81"/>
    <n v="0"/>
    <n v="0"/>
    <n v="0"/>
    <n v="0"/>
    <n v="0"/>
    <n v="1363.21"/>
    <n v="0"/>
  </r>
  <r>
    <x v="11"/>
    <x v="6"/>
    <x v="0"/>
    <s v="4990107"/>
    <n v="721980"/>
    <s v="Supplies-Other"/>
    <s v="Cardiovascular Service Line"/>
    <x v="0"/>
    <m/>
    <n v="0"/>
    <n v="28.5"/>
    <n v="0"/>
    <n v="0"/>
    <n v="0"/>
    <n v="0"/>
    <n v="0"/>
    <n v="0"/>
    <n v="0"/>
    <n v="110"/>
    <n v="358.06"/>
    <n v="-53.49"/>
    <n v="443.07"/>
    <n v="411.55"/>
  </r>
  <r>
    <x v="11"/>
    <x v="6"/>
    <x v="0"/>
    <s v="4990107"/>
    <n v="722000"/>
    <s v="Supplies-Freight Expense"/>
    <s v="Cardiovascular Service Line"/>
    <x v="0"/>
    <m/>
    <n v="0"/>
    <n v="0"/>
    <n v="0"/>
    <n v="0"/>
    <n v="0"/>
    <n v="0"/>
    <n v="20.59"/>
    <n v="0"/>
    <n v="0"/>
    <n v="0"/>
    <n v="0"/>
    <n v="53.49"/>
    <n v="74.08"/>
    <n v="-53.49"/>
  </r>
  <r>
    <x v="15"/>
    <x v="6"/>
    <x v="0"/>
    <s v="4990107"/>
    <n v="731060"/>
    <s v="Telephone"/>
    <s v="Cardiovascular Service Line"/>
    <x v="0"/>
    <m/>
    <n v="0"/>
    <n v="0"/>
    <n v="0"/>
    <n v="0"/>
    <n v="40.33"/>
    <n v="0"/>
    <n v="0"/>
    <n v="0"/>
    <n v="0"/>
    <n v="0"/>
    <n v="0"/>
    <n v="0"/>
    <n v="40.33"/>
    <n v="0"/>
  </r>
  <r>
    <x v="0"/>
    <x v="6"/>
    <x v="0"/>
    <s v="4990107"/>
    <n v="740020"/>
    <s v="Education-Registration Fees"/>
    <s v="Cardiovascular Service Line"/>
    <x v="0"/>
    <m/>
    <n v="0"/>
    <n v="0"/>
    <n v="0"/>
    <n v="0"/>
    <n v="0"/>
    <n v="370"/>
    <n v="0"/>
    <n v="50"/>
    <n v="15"/>
    <n v="25"/>
    <n v="0"/>
    <n v="370"/>
    <n v="830"/>
    <n v="-370"/>
  </r>
  <r>
    <x v="0"/>
    <x v="6"/>
    <x v="0"/>
    <s v="4990107"/>
    <n v="743030"/>
    <s v="Subscriptions--Institutional"/>
    <s v="Cardiovascular Service Line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4990107"/>
    <n v="744012"/>
    <s v="Recruitment-Physician"/>
    <s v="Cardiovascular Service Line"/>
    <x v="0"/>
    <m/>
    <n v="0"/>
    <n v="0"/>
    <n v="0"/>
    <n v="0"/>
    <n v="320"/>
    <n v="0"/>
    <n v="0"/>
    <n v="0"/>
    <n v="0"/>
    <n v="0"/>
    <n v="0"/>
    <n v="0"/>
    <n v="320"/>
    <n v="0"/>
  </r>
  <r>
    <x v="0"/>
    <x v="6"/>
    <x v="0"/>
    <s v="4990107"/>
    <n v="749510"/>
    <s v="Miscellaneous Expenses"/>
    <s v="Cardiovascular Service Line"/>
    <x v="0"/>
    <m/>
    <n v="247.55"/>
    <n v="-151.05000000000001"/>
    <n v="-39.97"/>
    <n v="-120.66"/>
    <n v="-43.52"/>
    <n v="0"/>
    <n v="106.14"/>
    <n v="2600.38"/>
    <n v="0"/>
    <n v="0"/>
    <n v="0"/>
    <n v="0"/>
    <n v="2598.87"/>
    <n v="0"/>
  </r>
  <r>
    <x v="0"/>
    <x v="6"/>
    <x v="0"/>
    <s v="4990107"/>
    <n v="749510"/>
    <s v="Licenses"/>
    <s v="Cardiovascular Service Line"/>
    <x v="0"/>
    <n v="1002"/>
    <n v="0"/>
    <n v="0"/>
    <n v="0"/>
    <n v="0"/>
    <n v="0"/>
    <n v="0"/>
    <n v="0"/>
    <n v="0"/>
    <n v="0"/>
    <n v="0"/>
    <n v="150"/>
    <n v="0"/>
    <n v="150"/>
    <n v="150"/>
  </r>
  <r>
    <x v="0"/>
    <x v="6"/>
    <x v="0"/>
    <s v="4990107"/>
    <n v="749530"/>
    <s v="Travel"/>
    <s v="Cardiovascular Service Line"/>
    <x v="0"/>
    <m/>
    <n v="0"/>
    <n v="0"/>
    <n v="20"/>
    <n v="10"/>
    <n v="0"/>
    <n v="362.95"/>
    <n v="70"/>
    <n v="0"/>
    <n v="17"/>
    <n v="0"/>
    <n v="1013.99"/>
    <n v="74.3"/>
    <n v="1568.24"/>
    <n v="939.69"/>
  </r>
  <r>
    <x v="0"/>
    <x v="6"/>
    <x v="0"/>
    <s v="4990107"/>
    <n v="749530"/>
    <s v="Mileage"/>
    <s v="Cardiovascular Service Line"/>
    <x v="0"/>
    <n v="1001"/>
    <n v="186.94"/>
    <n v="109.01"/>
    <n v="329.75"/>
    <n v="168.98"/>
    <n v="95.93"/>
    <n v="75.22"/>
    <n v="164.72"/>
    <n v="203.58"/>
    <n v="169.94"/>
    <n v="0"/>
    <n v="285.94"/>
    <n v="504.6"/>
    <n v="2294.61"/>
    <n v="-218.66000000000003"/>
  </r>
  <r>
    <x v="0"/>
    <x v="6"/>
    <x v="0"/>
    <s v="4990107"/>
    <n v="749535"/>
    <s v="Meetings"/>
    <s v="Cardiovascular Service Line"/>
    <x v="0"/>
    <m/>
    <n v="207.87"/>
    <n v="166.33"/>
    <n v="0"/>
    <n v="0"/>
    <n v="55"/>
    <n v="59.89"/>
    <n v="130"/>
    <n v="0"/>
    <n v="76"/>
    <n v="0"/>
    <n v="0"/>
    <n v="0"/>
    <n v="695.09"/>
    <n v="0"/>
  </r>
  <r>
    <x v="5"/>
    <x v="9"/>
    <x v="0"/>
    <s v="4990501"/>
    <n v="700014"/>
    <s v="Salaries-Management-Productive"/>
    <s v="Regional Cardiac Admin"/>
    <x v="0"/>
    <m/>
    <n v="35043.199999999997"/>
    <n v="35182.71"/>
    <n v="34912.86"/>
    <n v="37979.629999999997"/>
    <n v="40181.040000000001"/>
    <n v="31010.51"/>
    <n v="40447.379999999997"/>
    <n v="32239.85"/>
    <n v="34464.160000000003"/>
    <n v="38899.879999999997"/>
    <n v="32516.76"/>
    <n v="22662.21"/>
    <n v="415540.19"/>
    <n v="9854.5499999999993"/>
  </r>
  <r>
    <x v="5"/>
    <x v="9"/>
    <x v="0"/>
    <s v="4990501"/>
    <n v="700018"/>
    <s v="Salaries-Supervisory-Productive"/>
    <s v="Regional Cardiac Admin"/>
    <x v="0"/>
    <m/>
    <n v="14112.07"/>
    <n v="14896.79"/>
    <n v="13816.27"/>
    <n v="15854.62"/>
    <n v="15663"/>
    <n v="13053.05"/>
    <n v="20068.91"/>
    <n v="7615.01"/>
    <n v="16788.25"/>
    <n v="14924.04"/>
    <n v="14638.85"/>
    <n v="14332.69"/>
    <n v="175763.55000000002"/>
    <n v="306.15999999999985"/>
  </r>
  <r>
    <x v="5"/>
    <x v="9"/>
    <x v="0"/>
    <s v="4990501"/>
    <n v="700020"/>
    <s v="Salaries-Physician Admin-Productive"/>
    <s v="Regional Cardiac Admin"/>
    <x v="0"/>
    <m/>
    <n v="0"/>
    <n v="0"/>
    <n v="0"/>
    <n v="0"/>
    <n v="0"/>
    <n v="63500"/>
    <n v="53035.18"/>
    <n v="50029.32"/>
    <n v="50995.26"/>
    <n v="-105500"/>
    <n v="76080"/>
    <n v="44420"/>
    <n v="232559.76"/>
    <n v="31660"/>
  </r>
  <r>
    <x v="5"/>
    <x v="9"/>
    <x v="0"/>
    <s v="4990501"/>
    <n v="700020"/>
    <s v="Salaries-Physician Admin-Other"/>
    <s v="Regional Cardiac Admin"/>
    <x v="0"/>
    <n v="2000"/>
    <n v="0"/>
    <n v="0"/>
    <n v="0"/>
    <n v="0"/>
    <n v="0"/>
    <n v="30"/>
    <n v="0"/>
    <n v="0"/>
    <n v="0"/>
    <n v="0"/>
    <n v="0"/>
    <n v="0"/>
    <n v="30"/>
    <n v="0"/>
  </r>
  <r>
    <x v="5"/>
    <x v="9"/>
    <x v="0"/>
    <s v="4990501"/>
    <n v="700026"/>
    <s v="Salaries-RN-Productive"/>
    <s v="Regional Cardiac Admin"/>
    <x v="0"/>
    <m/>
    <n v="49414.83"/>
    <n v="60093.45"/>
    <n v="54487.01"/>
    <n v="59424.28"/>
    <n v="58883.86"/>
    <n v="51321.02"/>
    <n v="62964.21"/>
    <n v="57238.79"/>
    <n v="72196.63"/>
    <n v="74025.14"/>
    <n v="72353.73"/>
    <n v="60919.55"/>
    <n v="733322.50000000012"/>
    <n v="11434.179999999993"/>
  </r>
  <r>
    <x v="5"/>
    <x v="9"/>
    <x v="0"/>
    <s v="4990501"/>
    <n v="700026"/>
    <s v="Salaries-RN-Other"/>
    <s v="Regional Cardiac Admin"/>
    <x v="0"/>
    <n v="2000"/>
    <n v="30"/>
    <n v="0"/>
    <n v="0"/>
    <n v="0"/>
    <n v="0"/>
    <n v="30"/>
    <n v="0"/>
    <n v="0"/>
    <n v="30.04"/>
    <n v="0"/>
    <n v="0"/>
    <n v="0"/>
    <n v="90.039999999999992"/>
    <n v="0"/>
  </r>
  <r>
    <x v="5"/>
    <x v="9"/>
    <x v="0"/>
    <s v="4990501"/>
    <n v="700034"/>
    <s v="Salaries-Tech/Professional-Productive"/>
    <s v="Regional Cardiac Admin"/>
    <x v="0"/>
    <m/>
    <n v="5481.29"/>
    <n v="3846"/>
    <n v="6056.21"/>
    <n v="6681.06"/>
    <n v="5256.32"/>
    <n v="4803.42"/>
    <n v="4946.7700000000004"/>
    <n v="5944.85"/>
    <n v="6943.3"/>
    <n v="5944.72"/>
    <n v="6648.34"/>
    <n v="6126.52"/>
    <n v="68678.800000000017"/>
    <n v="521.81999999999971"/>
  </r>
  <r>
    <x v="5"/>
    <x v="9"/>
    <x v="0"/>
    <s v="4990501"/>
    <n v="700038"/>
    <s v="Salaries-Service/Support-Productive"/>
    <s v="Regional Cardiac Admin"/>
    <x v="0"/>
    <m/>
    <n v="8399.84"/>
    <n v="11687.92"/>
    <n v="8994.09"/>
    <n v="12244.28"/>
    <n v="11552.26"/>
    <n v="8498.0400000000009"/>
    <n v="11656.21"/>
    <n v="9106"/>
    <n v="12202.5"/>
    <n v="11107.92"/>
    <n v="11094.48"/>
    <n v="10361.73"/>
    <n v="126905.27"/>
    <n v="732.75"/>
  </r>
  <r>
    <x v="5"/>
    <x v="9"/>
    <x v="0"/>
    <s v="4990501"/>
    <n v="700038"/>
    <s v="Salaries-Service/Support-OT"/>
    <s v="Regional Cardiac Admin"/>
    <x v="0"/>
    <n v="1000"/>
    <n v="150.57"/>
    <n v="559.24"/>
    <n v="239.13"/>
    <n v="743.39"/>
    <n v="299.75"/>
    <n v="117.08"/>
    <n v="416.22"/>
    <n v="297.2"/>
    <n v="142.88999999999999"/>
    <n v="254.84"/>
    <n v="33.93"/>
    <n v="156.04"/>
    <n v="3410.2799999999997"/>
    <n v="-122.10999999999999"/>
  </r>
  <r>
    <x v="5"/>
    <x v="9"/>
    <x v="0"/>
    <s v="4990501"/>
    <n v="700038"/>
    <s v="Salaries-Service/Support-Other"/>
    <s v="Regional Cardiac Admin"/>
    <x v="0"/>
    <n v="2000"/>
    <n v="361.75"/>
    <n v="356.03"/>
    <n v="356.12"/>
    <n v="324.11"/>
    <n v="321.64999999999998"/>
    <n v="299.58"/>
    <n v="354.44"/>
    <n v="289.27999999999997"/>
    <n v="330.51"/>
    <n v="356.28"/>
    <n v="353.99"/>
    <n v="184.58"/>
    <n v="3888.3199999999997"/>
    <n v="169.41"/>
  </r>
  <r>
    <x v="5"/>
    <x v="9"/>
    <x v="0"/>
    <s v="4990501"/>
    <n v="700054"/>
    <s v="Salaries-Management-Non-productive"/>
    <s v="Regional Cardiac Admin"/>
    <x v="0"/>
    <m/>
    <n v="6065.74"/>
    <n v="5928.13"/>
    <n v="4872.3500000000004"/>
    <n v="3757.11"/>
    <n v="351.27"/>
    <n v="10874.85"/>
    <n v="1503.38"/>
    <n v="5647.34"/>
    <n v="7482.66"/>
    <n v="1692.44"/>
    <n v="3064.51"/>
    <n v="5294.73"/>
    <n v="56534.510000000009"/>
    <n v="-2230.2199999999993"/>
  </r>
  <r>
    <x v="5"/>
    <x v="9"/>
    <x v="0"/>
    <s v="4990501"/>
    <n v="700054"/>
    <s v="Salaries-Management-NonProd-Other"/>
    <s v="Regional Cardiac Admin"/>
    <x v="0"/>
    <n v="2000"/>
    <n v="0"/>
    <n v="0"/>
    <n v="0"/>
    <n v="0"/>
    <n v="0"/>
    <n v="5075.25"/>
    <n v="-5075.25"/>
    <n v="0"/>
    <n v="0"/>
    <n v="0"/>
    <n v="0"/>
    <n v="0"/>
    <n v="0"/>
    <n v="0"/>
  </r>
  <r>
    <x v="5"/>
    <x v="9"/>
    <x v="0"/>
    <s v="4990501"/>
    <n v="700058"/>
    <s v="Salaries-Supervisory-Non-productive"/>
    <s v="Regional Cardiac Admin"/>
    <x v="0"/>
    <m/>
    <n v="1813.14"/>
    <n v="1029.17"/>
    <n v="1596.15"/>
    <n v="280.77"/>
    <n v="0"/>
    <n v="3132.6"/>
    <n v="2174.1799999999998"/>
    <n v="993.42"/>
    <n v="-578.84"/>
    <n v="761.94"/>
    <n v="1570.53"/>
    <n v="1354.04"/>
    <n v="14127.100000000002"/>
    <n v="216.49"/>
  </r>
  <r>
    <x v="5"/>
    <x v="9"/>
    <x v="0"/>
    <s v="4990501"/>
    <n v="700062"/>
    <s v="Salaries-Physician-Non-productive"/>
    <s v="Regional Cardiac Admin"/>
    <x v="0"/>
    <m/>
    <n v="0"/>
    <n v="0"/>
    <n v="0"/>
    <n v="0"/>
    <n v="0"/>
    <n v="1872.14"/>
    <n v="1870.14"/>
    <n v="1842.46"/>
    <n v="1852.45"/>
    <n v="1837.89"/>
    <n v="1834.76"/>
    <n v="1820.77"/>
    <n v="12930.61"/>
    <n v="13.990000000000009"/>
  </r>
  <r>
    <x v="5"/>
    <x v="9"/>
    <x v="0"/>
    <s v="4990501"/>
    <n v="700066"/>
    <s v="Salaries-RN-Non-productive"/>
    <s v="Regional Cardiac Admin"/>
    <x v="0"/>
    <m/>
    <n v="9103.4699999999993"/>
    <n v="5572.3"/>
    <n v="8198.1"/>
    <n v="7239.83"/>
    <n v="5974.42"/>
    <n v="14322.2"/>
    <n v="5628.4"/>
    <n v="5083"/>
    <n v="3621.86"/>
    <n v="514.91"/>
    <n v="4673.53"/>
    <n v="12918.88"/>
    <n v="82850.900000000023"/>
    <n v="-8245.3499999999985"/>
  </r>
  <r>
    <x v="5"/>
    <x v="9"/>
    <x v="0"/>
    <s v="4990501"/>
    <n v="700066"/>
    <s v="Salaries-RN-NonProd-Other"/>
    <s v="Regional Cardiac Admin"/>
    <x v="0"/>
    <n v="2000"/>
    <n v="0"/>
    <n v="0"/>
    <n v="0"/>
    <n v="0"/>
    <n v="251.32"/>
    <n v="0"/>
    <n v="0"/>
    <n v="-251.32"/>
    <n v="0"/>
    <n v="0"/>
    <n v="0"/>
    <n v="0"/>
    <n v="0"/>
    <n v="0"/>
  </r>
  <r>
    <x v="5"/>
    <x v="9"/>
    <x v="0"/>
    <s v="4990501"/>
    <n v="700074"/>
    <s v="Salaries-Tech/Professional-Non-productive"/>
    <s v="Regional Cardiac Admin"/>
    <x v="0"/>
    <m/>
    <n v="1370.32"/>
    <n v="3005.93"/>
    <n v="574.79"/>
    <n v="309.44"/>
    <n v="1540.64"/>
    <n v="2220.33"/>
    <n v="2087.96"/>
    <n v="408.47"/>
    <n v="90.8"/>
    <n v="862.21"/>
    <n v="385.75"/>
    <n v="680.73"/>
    <n v="13537.369999999999"/>
    <n v="-294.98"/>
  </r>
  <r>
    <x v="5"/>
    <x v="9"/>
    <x v="0"/>
    <s v="4990501"/>
    <n v="700078"/>
    <s v="Salaries-Service/Support-Non-productive"/>
    <s v="Regional Cardiac Admin"/>
    <x v="0"/>
    <m/>
    <n v="3115.84"/>
    <n v="-88.88"/>
    <n v="2131.81"/>
    <n v="-310.61"/>
    <n v="0"/>
    <n v="3017.14"/>
    <n v="278.54000000000002"/>
    <n v="1481.09"/>
    <n v="-270.44"/>
    <n v="717.78"/>
    <n v="1037.6099999999999"/>
    <n v="301.60000000000002"/>
    <n v="11411.480000000001"/>
    <n v="736.00999999999988"/>
  </r>
  <r>
    <x v="5"/>
    <x v="9"/>
    <x v="0"/>
    <s v="4990501"/>
    <n v="700078"/>
    <s v="Salaries-Service/Support-NonProd-Other"/>
    <s v="Regional Cardiac Admin"/>
    <x v="0"/>
    <n v="2000"/>
    <n v="0"/>
    <n v="0"/>
    <n v="0"/>
    <n v="0"/>
    <n v="374.85"/>
    <n v="0"/>
    <n v="0"/>
    <n v="-374.85"/>
    <n v="0"/>
    <n v="0"/>
    <n v="0"/>
    <n v="0"/>
    <n v="0"/>
    <n v="0"/>
  </r>
  <r>
    <x v="5"/>
    <x v="9"/>
    <x v="0"/>
    <s v="4990501"/>
    <n v="700084"/>
    <s v="Accrued PTO"/>
    <s v="Regional Cardiac Admin"/>
    <x v="0"/>
    <m/>
    <n v="-3330.24"/>
    <n v="786.77"/>
    <n v="-2325.4699999999998"/>
    <n v="8256.24"/>
    <n v="8551.36"/>
    <n v="-10334.219999999999"/>
    <n v="6433.52"/>
    <n v="5960.45"/>
    <n v="6551.42"/>
    <n v="9870.4"/>
    <n v="5234.62"/>
    <n v="-1841"/>
    <n v="33813.850000000006"/>
    <n v="7075.62"/>
  </r>
  <r>
    <x v="6"/>
    <x v="9"/>
    <x v="0"/>
    <s v="4990501"/>
    <n v="713010"/>
    <s v="Benefits-FICA/Medicare"/>
    <s v="Regional Cardiac Admin"/>
    <x v="0"/>
    <m/>
    <n v="9919.2900000000009"/>
    <n v="10500.47"/>
    <n v="10138.39"/>
    <n v="10732.71"/>
    <n v="9446.82"/>
    <n v="12329.96"/>
    <n v="15773.92"/>
    <n v="13112.86"/>
    <n v="11492.89"/>
    <n v="11446.04"/>
    <n v="16471.759999999998"/>
    <n v="8281.94"/>
    <n v="139647.05000000002"/>
    <n v="8189.8199999999979"/>
  </r>
  <r>
    <x v="6"/>
    <x v="9"/>
    <x v="0"/>
    <s v="4990501"/>
    <n v="713090"/>
    <s v="Benefits-Allocated Amounts"/>
    <s v="Regional Cardiac Admin"/>
    <x v="0"/>
    <m/>
    <n v="22098.94"/>
    <n v="21722.66"/>
    <n v="22327.21"/>
    <n v="22254.03"/>
    <n v="20907.09"/>
    <n v="27085.040000000001"/>
    <n v="29640.49"/>
    <n v="26086.23"/>
    <n v="32573.18"/>
    <n v="20472.189999999999"/>
    <n v="30500.13"/>
    <n v="26706.36"/>
    <n v="302373.55"/>
    <n v="3793.7700000000004"/>
  </r>
  <r>
    <x v="6"/>
    <x v="9"/>
    <x v="0"/>
    <s v="4990501"/>
    <n v="713096"/>
    <s v="Employee Recognition"/>
    <s v="Regional Cardiac Admin"/>
    <x v="0"/>
    <n v="1017"/>
    <n v="0"/>
    <n v="0"/>
    <n v="0"/>
    <n v="0"/>
    <n v="0"/>
    <n v="0"/>
    <n v="0"/>
    <n v="0"/>
    <n v="19.600000000000001"/>
    <n v="0"/>
    <n v="0"/>
    <n v="0"/>
    <n v="19.600000000000001"/>
    <n v="0"/>
  </r>
  <r>
    <x v="17"/>
    <x v="9"/>
    <x v="0"/>
    <s v="4990501"/>
    <n v="714510"/>
    <s v="Medical Director Fees"/>
    <s v="Regional Cardiac Admin"/>
    <x v="0"/>
    <m/>
    <n v="7830"/>
    <n v="0"/>
    <n v="0"/>
    <n v="19760"/>
    <n v="6000"/>
    <n v="9760"/>
    <n v="0"/>
    <n v="26290"/>
    <n v="9745"/>
    <n v="8985"/>
    <n v="0"/>
    <n v="11670"/>
    <n v="100040"/>
    <n v="-11670"/>
  </r>
  <r>
    <x v="17"/>
    <x v="9"/>
    <x v="0"/>
    <s v="4990501"/>
    <n v="714520"/>
    <s v="Other Contracted Professionals"/>
    <s v="Regional Cardiac Admin"/>
    <x v="0"/>
    <m/>
    <n v="0"/>
    <n v="0"/>
    <n v="0"/>
    <n v="0"/>
    <n v="0"/>
    <n v="0"/>
    <n v="0"/>
    <n v="5000"/>
    <n v="0"/>
    <n v="0"/>
    <n v="0"/>
    <n v="0"/>
    <n v="5000"/>
    <n v="0"/>
  </r>
  <r>
    <x v="7"/>
    <x v="9"/>
    <x v="0"/>
    <s v="4990501"/>
    <n v="718050"/>
    <s v="Contract Svcs-Other"/>
    <s v="Regional Cardiac Admin"/>
    <x v="0"/>
    <m/>
    <n v="0"/>
    <n v="0"/>
    <n v="8.1"/>
    <n v="0"/>
    <n v="137"/>
    <n v="0"/>
    <n v="0"/>
    <n v="0"/>
    <n v="0"/>
    <n v="0"/>
    <n v="0"/>
    <n v="0"/>
    <n v="145.1"/>
    <n v="0"/>
  </r>
  <r>
    <x v="7"/>
    <x v="9"/>
    <x v="0"/>
    <s v="4990501"/>
    <n v="718050"/>
    <s v="Document Shredding/Storage"/>
    <s v="Regional Cardiac Admin"/>
    <x v="0"/>
    <n v="1012"/>
    <n v="16.38"/>
    <n v="16.72"/>
    <n v="15.43"/>
    <n v="15.96"/>
    <n v="16.489999999999998"/>
    <n v="16.489999999999998"/>
    <n v="16.32"/>
    <n v="14.03"/>
    <n v="14.52"/>
    <n v="18.98"/>
    <n v="15.96"/>
    <n v="16.489999999999998"/>
    <n v="193.77"/>
    <n v="-0.52999999999999758"/>
  </r>
  <r>
    <x v="7"/>
    <x v="9"/>
    <x v="0"/>
    <s v="4990501"/>
    <n v="718050"/>
    <s v="Miscellaneous Purchased Svcs"/>
    <s v="Regional Cardiac Admin"/>
    <x v="0"/>
    <n v="1020"/>
    <n v="0"/>
    <n v="0"/>
    <n v="0"/>
    <n v="0"/>
    <n v="4861.71"/>
    <n v="0"/>
    <n v="0"/>
    <n v="0"/>
    <n v="0"/>
    <n v="0"/>
    <n v="0"/>
    <n v="0"/>
    <n v="4861.71"/>
    <n v="0"/>
  </r>
  <r>
    <x v="11"/>
    <x v="9"/>
    <x v="0"/>
    <s v="4990501"/>
    <n v="721810"/>
    <s v="Supplies-Dietary/Cafeteria"/>
    <s v="Regional Cardiac Admin"/>
    <x v="0"/>
    <m/>
    <n v="14.63"/>
    <n v="53.39"/>
    <n v="0"/>
    <n v="199.64"/>
    <n v="0"/>
    <n v="0"/>
    <n v="0"/>
    <n v="98.79"/>
    <n v="0"/>
    <n v="0"/>
    <n v="0"/>
    <n v="171.31"/>
    <n v="537.76"/>
    <n v="-171.31"/>
  </r>
  <r>
    <x v="11"/>
    <x v="9"/>
    <x v="0"/>
    <s v="4990501"/>
    <n v="721830"/>
    <s v="Supplies-Office"/>
    <s v="Regional Cardiac Admin"/>
    <x v="0"/>
    <m/>
    <n v="430.86"/>
    <n v="571.36"/>
    <n v="254.1"/>
    <n v="947.97"/>
    <n v="1261.0999999999999"/>
    <n v="972.09"/>
    <n v="532.72"/>
    <n v="481.9"/>
    <n v="1016.72"/>
    <n v="2013.82"/>
    <n v="156.61000000000001"/>
    <n v="118.5"/>
    <n v="8757.75"/>
    <n v="38.110000000000014"/>
  </r>
  <r>
    <x v="11"/>
    <x v="9"/>
    <x v="0"/>
    <s v="4990501"/>
    <n v="721910"/>
    <s v="Supplies-Small Equipment"/>
    <s v="Regional Cardiac Admin"/>
    <x v="0"/>
    <m/>
    <n v="0"/>
    <n v="0"/>
    <n v="0"/>
    <n v="0"/>
    <n v="0"/>
    <n v="35.54"/>
    <n v="170.5"/>
    <n v="0"/>
    <n v="0"/>
    <n v="59.04"/>
    <n v="0"/>
    <n v="0"/>
    <n v="265.08"/>
    <n v="0"/>
  </r>
  <r>
    <x v="12"/>
    <x v="9"/>
    <x v="0"/>
    <s v="4990501"/>
    <n v="730020"/>
    <s v="Rental and Leases-Copier Usage Fees (DO NOT USE)"/>
    <s v="Regional Cardiac Admin"/>
    <x v="0"/>
    <n v="5100"/>
    <n v="21.47"/>
    <n v="22.21"/>
    <n v="21.84"/>
    <n v="21.84"/>
    <n v="21.84"/>
    <n v="21.84"/>
    <n v="20.93"/>
    <n v="22.24"/>
    <n v="22.19"/>
    <n v="22.29"/>
    <n v="22.24"/>
    <n v="25.26"/>
    <n v="266.19"/>
    <n v="-3.0200000000000031"/>
  </r>
  <r>
    <x v="15"/>
    <x v="9"/>
    <x v="0"/>
    <s v="4990501"/>
    <n v="731060"/>
    <s v="Pagers"/>
    <s v="Regional Cardiac Admin"/>
    <x v="0"/>
    <n v="1002"/>
    <n v="8.1"/>
    <n v="8.1"/>
    <n v="8.1"/>
    <n v="8.1199999999999992"/>
    <n v="8.1199999999999992"/>
    <n v="0"/>
    <n v="-11.29"/>
    <n v="8.1199999999999992"/>
    <n v="8.1199999999999992"/>
    <n v="8.1199999999999992"/>
    <n v="8.1199999999999992"/>
    <n v="8.1199999999999992"/>
    <n v="69.84999999999998"/>
    <n v="0"/>
  </r>
  <r>
    <x v="0"/>
    <x v="9"/>
    <x v="0"/>
    <s v="4990501"/>
    <n v="740020"/>
    <s v="Education-Registration Fees"/>
    <s v="Regional Cardiac Admin"/>
    <x v="0"/>
    <m/>
    <n v="0"/>
    <n v="0"/>
    <n v="0"/>
    <n v="255"/>
    <n v="150"/>
    <n v="45"/>
    <n v="3130"/>
    <n v="0"/>
    <n v="0"/>
    <n v="0"/>
    <n v="0"/>
    <n v="0"/>
    <n v="3580"/>
    <n v="0"/>
  </r>
  <r>
    <x v="8"/>
    <x v="9"/>
    <x v="0"/>
    <s v="4990501"/>
    <n v="741012"/>
    <s v="Physician Liab Insurance-CHI Program"/>
    <s v="Regional Cardiac Admin"/>
    <x v="0"/>
    <m/>
    <n v="0"/>
    <n v="0"/>
    <n v="0"/>
    <n v="0"/>
    <n v="0"/>
    <n v="724.13"/>
    <n v="724.13"/>
    <n v="724.12"/>
    <n v="724.13"/>
    <n v="724.12"/>
    <n v="724.13"/>
    <n v="724.12"/>
    <n v="5068.88"/>
    <n v="9.9999999999909051E-3"/>
  </r>
  <r>
    <x v="0"/>
    <x v="9"/>
    <x v="0"/>
    <s v="4990501"/>
    <n v="743010"/>
    <s v="Dues--Institutional"/>
    <s v="Regional Cardiac Admin"/>
    <x v="0"/>
    <m/>
    <n v="30111"/>
    <n v="58721"/>
    <n v="9061"/>
    <n v="56150.77"/>
    <n v="9061"/>
    <n v="22611"/>
    <n v="9869.83"/>
    <n v="15457.83"/>
    <n v="14344.83"/>
    <n v="10885.83"/>
    <n v="9869.83"/>
    <n v="9869.83"/>
    <n v="256013.74999999991"/>
    <n v="0"/>
  </r>
  <r>
    <x v="0"/>
    <x v="9"/>
    <x v="0"/>
    <s v="4990501"/>
    <n v="743030"/>
    <s v="Subscriptions--Institutional"/>
    <s v="Regional Cardiac Admin"/>
    <x v="0"/>
    <m/>
    <n v="0"/>
    <n v="0"/>
    <n v="0"/>
    <n v="0"/>
    <n v="0"/>
    <n v="0"/>
    <n v="0"/>
    <n v="0"/>
    <n v="0"/>
    <n v="65.75"/>
    <n v="26.6"/>
    <n v="0"/>
    <n v="92.35"/>
    <n v="26.6"/>
  </r>
  <r>
    <x v="0"/>
    <x v="9"/>
    <x v="0"/>
    <s v="4990501"/>
    <n v="743040"/>
    <s v="Subscriptions--Individual"/>
    <s v="Regional Cardiac Admin"/>
    <x v="0"/>
    <m/>
    <n v="0"/>
    <n v="0"/>
    <n v="0"/>
    <n v="0"/>
    <n v="0"/>
    <n v="345"/>
    <n v="0"/>
    <n v="0"/>
    <n v="0"/>
    <n v="0"/>
    <n v="0"/>
    <n v="0"/>
    <n v="345"/>
    <n v="0"/>
  </r>
  <r>
    <x v="0"/>
    <x v="9"/>
    <x v="0"/>
    <s v="4990501"/>
    <n v="749510"/>
    <s v="Miscellaneous Expenses"/>
    <s v="Regional Cardiac Admin"/>
    <x v="0"/>
    <m/>
    <n v="-108.46"/>
    <n v="2104.62"/>
    <n v="2248.91"/>
    <n v="-1395.92"/>
    <n v="4099.05"/>
    <n v="5535.45"/>
    <n v="142.06"/>
    <n v="2588.27"/>
    <n v="-718.95"/>
    <n v="910.45"/>
    <n v="4526.2700000000004"/>
    <n v="-870.13"/>
    <n v="19061.62"/>
    <n v="5396.4000000000005"/>
  </r>
  <r>
    <x v="0"/>
    <x v="9"/>
    <x v="0"/>
    <s v="4990501"/>
    <n v="749510"/>
    <s v="RICE Rewards"/>
    <s v="Regional Cardiac Admin"/>
    <x v="0"/>
    <n v="5100"/>
    <n v="0"/>
    <n v="0"/>
    <n v="0"/>
    <n v="0"/>
    <n v="0"/>
    <n v="0"/>
    <n v="111.5"/>
    <n v="0"/>
    <n v="0"/>
    <n v="0"/>
    <n v="296.05"/>
    <n v="141.88999999999999"/>
    <n v="549.44000000000005"/>
    <n v="154.16000000000003"/>
  </r>
  <r>
    <x v="0"/>
    <x v="9"/>
    <x v="0"/>
    <s v="4990501"/>
    <n v="749530"/>
    <s v="Travel"/>
    <s v="Regional Cardiac Admin"/>
    <x v="0"/>
    <m/>
    <n v="0"/>
    <n v="12"/>
    <n v="6"/>
    <n v="119.71"/>
    <n v="666.14"/>
    <n v="338.71"/>
    <n v="931.98"/>
    <n v="3167.04"/>
    <n v="104.8"/>
    <n v="23"/>
    <n v="224.52"/>
    <n v="268.42"/>
    <n v="5862.3200000000006"/>
    <n v="-43.900000000000006"/>
  </r>
  <r>
    <x v="0"/>
    <x v="9"/>
    <x v="0"/>
    <s v="4990501"/>
    <n v="749530"/>
    <s v="Mileage"/>
    <s v="Regional Cardiac Admin"/>
    <x v="0"/>
    <n v="1001"/>
    <n v="0"/>
    <n v="121.01"/>
    <n v="267.07"/>
    <n v="340.11"/>
    <n v="319.39999999999998"/>
    <n v="1230.8499999999999"/>
    <n v="50.15"/>
    <n v="99.38"/>
    <n v="653.66"/>
    <n v="291.16000000000003"/>
    <n v="939.06"/>
    <n v="624.66"/>
    <n v="4936.51"/>
    <n v="314.39999999999998"/>
  </r>
  <r>
    <x v="0"/>
    <x v="9"/>
    <x v="0"/>
    <s v="4990501"/>
    <n v="749532"/>
    <s v="Travel-Physician"/>
    <s v="Regional Cardiac Admin"/>
    <x v="0"/>
    <m/>
    <n v="0"/>
    <n v="0"/>
    <n v="0"/>
    <n v="0"/>
    <n v="0"/>
    <n v="0"/>
    <n v="0"/>
    <n v="0"/>
    <n v="376.19"/>
    <n v="0"/>
    <n v="137"/>
    <n v="30"/>
    <n v="543.19000000000005"/>
    <n v="107"/>
  </r>
  <r>
    <x v="0"/>
    <x v="9"/>
    <x v="0"/>
    <s v="4990501"/>
    <n v="749532"/>
    <s v="Business Meals-Physician"/>
    <s v="Regional Cardiac Admin"/>
    <x v="0"/>
    <n v="2000"/>
    <n v="0"/>
    <n v="0"/>
    <n v="0"/>
    <n v="0"/>
    <n v="0"/>
    <n v="0"/>
    <n v="0"/>
    <n v="0"/>
    <n v="373.14"/>
    <n v="0"/>
    <n v="502.42"/>
    <n v="874.41"/>
    <n v="1749.9699999999998"/>
    <n v="-371.98999999999995"/>
  </r>
  <r>
    <x v="0"/>
    <x v="9"/>
    <x v="0"/>
    <s v="4990501"/>
    <n v="749532"/>
    <s v="Vehicle Expense-Physician"/>
    <s v="Regional Cardiac Admin"/>
    <x v="0"/>
    <n v="2001"/>
    <n v="0"/>
    <n v="0"/>
    <n v="0"/>
    <n v="0"/>
    <n v="0"/>
    <n v="0"/>
    <n v="0"/>
    <n v="0"/>
    <n v="322.14"/>
    <n v="0"/>
    <n v="309.72000000000003"/>
    <n v="251.14"/>
    <n v="883"/>
    <n v="58.580000000000041"/>
  </r>
  <r>
    <x v="0"/>
    <x v="9"/>
    <x v="0"/>
    <s v="4990501"/>
    <n v="749535"/>
    <s v="Meetings"/>
    <s v="Regional Cardiac Admin"/>
    <x v="0"/>
    <m/>
    <n v="0"/>
    <n v="0"/>
    <n v="0"/>
    <n v="211.74"/>
    <n v="0"/>
    <n v="825.7"/>
    <n v="0"/>
    <n v="288.64"/>
    <n v="690.3"/>
    <n v="0"/>
    <n v="292.69"/>
    <n v="77.87"/>
    <n v="2386.9399999999996"/>
    <n v="214.82"/>
  </r>
  <r>
    <x v="0"/>
    <x v="9"/>
    <x v="0"/>
    <s v="4990501"/>
    <n v="749535"/>
    <s v="Employee Functions"/>
    <s v="Regional Cardiac Admin"/>
    <x v="0"/>
    <n v="1004"/>
    <n v="0"/>
    <n v="0"/>
    <n v="0"/>
    <n v="0"/>
    <n v="0"/>
    <n v="0"/>
    <n v="0"/>
    <n v="0"/>
    <n v="0"/>
    <n v="0"/>
    <n v="31.32"/>
    <n v="0"/>
    <n v="31.32"/>
    <n v="31.32"/>
  </r>
  <r>
    <x v="0"/>
    <x v="9"/>
    <x v="0"/>
    <s v="4990501"/>
    <n v="749535"/>
    <s v="Medicare Non-Allowable Beverages"/>
    <s v="Regional Cardiac Admin"/>
    <x v="0"/>
    <n v="1005"/>
    <n v="0"/>
    <n v="0"/>
    <n v="0"/>
    <n v="33"/>
    <n v="0"/>
    <n v="108"/>
    <n v="0"/>
    <n v="0"/>
    <n v="0"/>
    <n v="0"/>
    <n v="0"/>
    <n v="0"/>
    <n v="141"/>
    <n v="0"/>
  </r>
  <r>
    <x v="9"/>
    <x v="9"/>
    <x v="0"/>
    <s v="4990501"/>
    <n v="800015"/>
    <s v="Interest Income-Ext to CHI"/>
    <s v="Regional Cardiac Admin"/>
    <x v="0"/>
    <m/>
    <n v="0"/>
    <n v="0"/>
    <n v="0"/>
    <n v="0"/>
    <n v="0"/>
    <n v="-205.47"/>
    <n v="-203.48"/>
    <n v="-175.79"/>
    <n v="-185.78"/>
    <n v="-171.23"/>
    <n v="-168.09"/>
    <n v="-154.1"/>
    <n v="-1263.9399999999998"/>
    <n v="-13.990000000000009"/>
  </r>
  <r>
    <x v="18"/>
    <x v="0"/>
    <x v="0"/>
    <s v="5050102"/>
    <n v="400010"/>
    <s v="Acute I/P Svcs Rev--Medicare"/>
    <s v="Sleep Lab"/>
    <x v="0"/>
    <n v="1100"/>
    <n v="-3073.58"/>
    <n v="-6147.16"/>
    <n v="-12294.32"/>
    <n v="1536.79"/>
    <n v="-18441.48"/>
    <n v="-9220.74"/>
    <n v="-6147.16"/>
    <n v="-4748.67"/>
    <n v="-20577.57"/>
    <n v="-14246.01"/>
    <n v="-4629.3900000000003"/>
    <n v="-3165.78"/>
    <n v="-101155.06999999998"/>
    <n v="-1463.6100000000001"/>
  </r>
  <r>
    <x v="18"/>
    <x v="0"/>
    <x v="0"/>
    <s v="5050102"/>
    <n v="400010"/>
    <s v="Acute I/P Svcs Rev--Medicaid"/>
    <s v="Sleep Lab"/>
    <x v="0"/>
    <n v="1200"/>
    <n v="-3146.76"/>
    <n v="-9220.74"/>
    <n v="-3073.58"/>
    <n v="-1536.79"/>
    <n v="-1536.79"/>
    <n v="-1536.79"/>
    <n v="-1536.79"/>
    <n v="-1582.89"/>
    <n v="-3165.78"/>
    <n v="-1582.89"/>
    <n v="-4867.95"/>
    <n v="-7914.45"/>
    <n v="-40702.199999999997"/>
    <n v="3046.5"/>
  </r>
  <r>
    <x v="18"/>
    <x v="0"/>
    <x v="0"/>
    <s v="5050102"/>
    <n v="400010"/>
    <s v="Acute I/P Svcs Rev--Comm Insurance"/>
    <s v="Sleep Lab"/>
    <x v="0"/>
    <n v="1300"/>
    <n v="0"/>
    <n v="0"/>
    <n v="0"/>
    <n v="-1536.79"/>
    <n v="1536.79"/>
    <n v="-1536.79"/>
    <n v="0"/>
    <n v="0"/>
    <n v="0"/>
    <n v="0"/>
    <n v="0"/>
    <n v="0"/>
    <n v="-1536.79"/>
    <n v="0"/>
  </r>
  <r>
    <x v="18"/>
    <x v="0"/>
    <x v="0"/>
    <s v="5050102"/>
    <n v="400010"/>
    <s v="Acute I/P Svcs Rev--BCBS Comm"/>
    <s v="Sleep Lab"/>
    <x v="0"/>
    <n v="1301"/>
    <n v="0"/>
    <n v="0"/>
    <n v="0"/>
    <n v="0"/>
    <n v="-1536.79"/>
    <n v="0"/>
    <n v="-1536.79"/>
    <n v="0"/>
    <n v="0"/>
    <n v="0"/>
    <n v="-1582.89"/>
    <n v="0"/>
    <n v="-4656.47"/>
    <n v="-1582.89"/>
  </r>
  <r>
    <x v="18"/>
    <x v="0"/>
    <x v="0"/>
    <s v="5050102"/>
    <n v="400010"/>
    <s v="Acute I/P Svcs Rev--Managed Care"/>
    <s v="Sleep Lab"/>
    <x v="0"/>
    <n v="1400"/>
    <n v="-1536.79"/>
    <n v="-3972.76"/>
    <n v="0"/>
    <n v="-3073.58"/>
    <n v="-7683.95"/>
    <n v="-1536.79"/>
    <n v="0"/>
    <n v="-3165.78"/>
    <n v="-3165.78"/>
    <n v="0"/>
    <n v="-1309.56"/>
    <n v="0"/>
    <n v="-25444.99"/>
    <n v="-1309.56"/>
  </r>
  <r>
    <x v="18"/>
    <x v="0"/>
    <x v="0"/>
    <s v="5050102"/>
    <n v="400010"/>
    <s v="Acute I/P Svcs Rev--Self Pay"/>
    <s v="Sleep Lab"/>
    <x v="0"/>
    <n v="1500"/>
    <n v="-3000.4"/>
    <n v="0"/>
    <n v="0"/>
    <n v="0"/>
    <n v="0"/>
    <n v="-1536.79"/>
    <n v="1536.79"/>
    <n v="0"/>
    <n v="0"/>
    <n v="-1582.89"/>
    <n v="0"/>
    <n v="-1582.89"/>
    <n v="-6166.1800000000012"/>
    <n v="1582.89"/>
  </r>
  <r>
    <x v="18"/>
    <x v="0"/>
    <x v="0"/>
    <s v="5050102"/>
    <n v="400010"/>
    <s v="Acute I/P Svcs Rev--Other"/>
    <s v="Sleep Lab"/>
    <x v="0"/>
    <n v="1700"/>
    <n v="-1536.79"/>
    <n v="1536.79"/>
    <n v="0"/>
    <n v="0"/>
    <n v="0"/>
    <n v="0"/>
    <n v="0"/>
    <n v="0"/>
    <n v="0"/>
    <n v="-1582.89"/>
    <n v="-1582.89"/>
    <n v="-1582.89"/>
    <n v="-4748.67"/>
    <n v="0"/>
  </r>
  <r>
    <x v="19"/>
    <x v="0"/>
    <x v="0"/>
    <s v="5050102"/>
    <n v="400020"/>
    <s v="O/P Care Svcs Rev--Medicare"/>
    <s v="Sleep Lab"/>
    <x v="0"/>
    <n v="1100"/>
    <n v="-181277.39"/>
    <n v="-248910.39"/>
    <n v="-243423.11"/>
    <n v="-247957.99"/>
    <n v="-173697.43"/>
    <n v="-183371.03"/>
    <n v="-243915.67"/>
    <n v="-159932.82"/>
    <n v="-249697.09"/>
    <n v="-271018.37"/>
    <n v="-218024.7"/>
    <n v="-204837.75"/>
    <n v="-2626063.7400000002"/>
    <n v="-13186.950000000012"/>
  </r>
  <r>
    <x v="19"/>
    <x v="0"/>
    <x v="0"/>
    <s v="5050102"/>
    <n v="400020"/>
    <s v="O/P Care Svcs Rev--Medicaid"/>
    <s v="Sleep Lab"/>
    <x v="0"/>
    <n v="1200"/>
    <n v="-127757.99"/>
    <n v="-84563.62"/>
    <n v="-63035.97"/>
    <n v="-78568.289999999994"/>
    <n v="-110792.16"/>
    <n v="-52846.89"/>
    <n v="-64077.42"/>
    <n v="-27253.360000000001"/>
    <n v="-94947.23"/>
    <n v="-45182.73"/>
    <n v="-33569.51"/>
    <n v="-68597.509999999995"/>
    <n v="-851192.67999999993"/>
    <n v="35027.999999999993"/>
  </r>
  <r>
    <x v="19"/>
    <x v="0"/>
    <x v="0"/>
    <s v="5050102"/>
    <n v="400020"/>
    <s v="O/P Care Svcs Rev--Comm Insurance"/>
    <s v="Sleep Lab"/>
    <x v="0"/>
    <n v="1300"/>
    <n v="-2232.86"/>
    <n v="-5161.79"/>
    <n v="-4392.54"/>
    <n v="-12848.63"/>
    <n v="0"/>
    <n v="-8729.5"/>
    <n v="-1392.14"/>
    <n v="-716.95"/>
    <n v="0"/>
    <n v="-14731.22"/>
    <n v="-14010.03"/>
    <n v="-18621.96"/>
    <n v="-82837.62"/>
    <n v="4611.9299999999985"/>
  </r>
  <r>
    <x v="19"/>
    <x v="0"/>
    <x v="0"/>
    <s v="5050102"/>
    <n v="400020"/>
    <s v="O/P Care Svcs Rev--BCBS Comm"/>
    <s v="Sleep Lab"/>
    <x v="0"/>
    <n v="1301"/>
    <n v="-39125.26"/>
    <n v="-50704.77"/>
    <n v="-18378"/>
    <n v="-29650.65"/>
    <n v="-14600.59"/>
    <n v="-42369.65"/>
    <n v="-43697.14"/>
    <n v="-34183.440000000002"/>
    <n v="-48287.24"/>
    <n v="-23569.37"/>
    <n v="-41375.01"/>
    <n v="-24141.57"/>
    <n v="-410082.69"/>
    <n v="-17233.440000000002"/>
  </r>
  <r>
    <x v="19"/>
    <x v="0"/>
    <x v="0"/>
    <s v="5050102"/>
    <n v="400020"/>
    <s v="O/P Care Svcs Rev--Managed Care"/>
    <s v="Sleep Lab"/>
    <x v="0"/>
    <n v="1400"/>
    <n v="-155514.53"/>
    <n v="-151737.13"/>
    <n v="-147799.84"/>
    <n v="-136218.37"/>
    <n v="-189227.27"/>
    <n v="-139607.76"/>
    <n v="-79347.520000000004"/>
    <n v="-95574.51"/>
    <n v="-109090.28"/>
    <n v="-128842.99"/>
    <n v="-104806.38"/>
    <n v="-117464.5"/>
    <n v="-1555231.08"/>
    <n v="12658.119999999995"/>
  </r>
  <r>
    <x v="19"/>
    <x v="0"/>
    <x v="0"/>
    <s v="5050102"/>
    <n v="400020"/>
    <s v="O/P Care Svcs Rev--Self Pay"/>
    <s v="Sleep Lab"/>
    <x v="0"/>
    <n v="1500"/>
    <n v="4723.67"/>
    <n v="-3073.58"/>
    <n v="-7192.71"/>
    <n v="5655.92"/>
    <n v="-10431.93"/>
    <n v="0"/>
    <n v="0"/>
    <n v="-1582.89"/>
    <n v="-10893.87"/>
    <n v="148.99"/>
    <n v="-7408.49"/>
    <n v="0"/>
    <n v="-30054.89"/>
    <n v="-7408.49"/>
  </r>
  <r>
    <x v="19"/>
    <x v="0"/>
    <x v="0"/>
    <s v="5050102"/>
    <n v="400020"/>
    <s v="O/P Care Svcs Rev--Other"/>
    <s v="Sleep Lab"/>
    <x v="0"/>
    <n v="1700"/>
    <n v="-32609.65"/>
    <n v="-18155.07"/>
    <n v="-36801.96"/>
    <n v="-22729.14"/>
    <n v="-15922.21"/>
    <n v="-20556.36"/>
    <n v="-14385.42"/>
    <n v="-7840.37"/>
    <n v="-41362.120000000003"/>
    <n v="-26928.04"/>
    <n v="-56310.13"/>
    <n v="-19577.29"/>
    <n v="-313177.76"/>
    <n v="-36732.839999999997"/>
  </r>
  <r>
    <x v="5"/>
    <x v="0"/>
    <x v="0"/>
    <s v="5050102"/>
    <n v="700014"/>
    <s v="Salaries-Management-Productive"/>
    <s v="Sleep Lab"/>
    <x v="0"/>
    <m/>
    <n v="3272.38"/>
    <n v="3619.78"/>
    <n v="3312.65"/>
    <n v="4259.59"/>
    <n v="3747.02"/>
    <n v="3417.74"/>
    <n v="4124.08"/>
    <n v="3587.68"/>
    <n v="4329.97"/>
    <n v="3793.76"/>
    <n v="2350.62"/>
    <n v="4013.83"/>
    <n v="43829.100000000006"/>
    <n v="-1663.21"/>
  </r>
  <r>
    <x v="5"/>
    <x v="0"/>
    <x v="0"/>
    <s v="5050102"/>
    <n v="700034"/>
    <s v="Salaries-Tech/Professional-Productive"/>
    <s v="Sleep Lab"/>
    <x v="0"/>
    <m/>
    <n v="31897.98"/>
    <n v="32647.91"/>
    <n v="29283.31"/>
    <n v="33898.53"/>
    <n v="32652.5"/>
    <n v="25407.4"/>
    <n v="30873.15"/>
    <n v="18792.3"/>
    <n v="35099.589999999997"/>
    <n v="33670.69"/>
    <n v="27458.26"/>
    <n v="26291.11"/>
    <n v="357972.72999999992"/>
    <n v="1167.1499999999978"/>
  </r>
  <r>
    <x v="5"/>
    <x v="0"/>
    <x v="0"/>
    <s v="5050102"/>
    <n v="700034"/>
    <s v="Salaries-Tech/Professional-OT"/>
    <s v="Sleep Lab"/>
    <x v="0"/>
    <n v="1000"/>
    <n v="0"/>
    <n v="1129.04"/>
    <n v="-62.66"/>
    <n v="574.33000000000004"/>
    <n v="-207.81"/>
    <n v="0"/>
    <n v="190.31"/>
    <n v="-50.07"/>
    <n v="46.75"/>
    <n v="0"/>
    <n v="753.37"/>
    <n v="618.16"/>
    <n v="2991.42"/>
    <n v="135.21000000000004"/>
  </r>
  <r>
    <x v="5"/>
    <x v="0"/>
    <x v="0"/>
    <s v="5050102"/>
    <n v="700034"/>
    <s v="Salaries-Tech/Professional-Other"/>
    <s v="Sleep Lab"/>
    <x v="0"/>
    <n v="2000"/>
    <n v="1678.53"/>
    <n v="1726.07"/>
    <n v="1504.87"/>
    <n v="1606.64"/>
    <n v="2068.5"/>
    <n v="1169.79"/>
    <n v="1386.11"/>
    <n v="909.8"/>
    <n v="1727.38"/>
    <n v="1647.02"/>
    <n v="1481.93"/>
    <n v="1275.5"/>
    <n v="18182.140000000003"/>
    <n v="206.43000000000006"/>
  </r>
  <r>
    <x v="5"/>
    <x v="0"/>
    <x v="0"/>
    <s v="5050102"/>
    <n v="700038"/>
    <s v="Salaries-Service/Support-Productive"/>
    <s v="Sleep Lab"/>
    <x v="0"/>
    <m/>
    <n v="2723.55"/>
    <n v="2594.12"/>
    <n v="2879.14"/>
    <n v="3229.8"/>
    <n v="2325.1799999999998"/>
    <n v="2519.08"/>
    <n v="2667.58"/>
    <n v="2112.9699999999998"/>
    <n v="3013.17"/>
    <n v="2710.52"/>
    <n v="3003.59"/>
    <n v="2773.4"/>
    <n v="32552.100000000006"/>
    <n v="230.19000000000005"/>
  </r>
  <r>
    <x v="5"/>
    <x v="0"/>
    <x v="0"/>
    <s v="5050102"/>
    <n v="700038"/>
    <s v="Salaries-Service/Support-Other"/>
    <s v="Sleep Lab"/>
    <x v="0"/>
    <n v="2000"/>
    <n v="0"/>
    <n v="0"/>
    <n v="0"/>
    <n v="0"/>
    <n v="0"/>
    <n v="0"/>
    <n v="0"/>
    <n v="3.93"/>
    <n v="-1.03"/>
    <n v="0"/>
    <n v="0"/>
    <n v="0"/>
    <n v="2.9000000000000004"/>
    <n v="0"/>
  </r>
  <r>
    <x v="5"/>
    <x v="0"/>
    <x v="0"/>
    <s v="5050102"/>
    <n v="700054"/>
    <s v="Salaries-Management-Non-productive"/>
    <s v="Sleep Lab"/>
    <x v="0"/>
    <m/>
    <n v="1736.33"/>
    <n v="1041.92"/>
    <n v="1389.15"/>
    <n v="-53.4"/>
    <n v="741.16"/>
    <n v="1674.52"/>
    <n v="275.11"/>
    <n v="522.29999999999995"/>
    <n v="-137.43"/>
    <n v="659.74"/>
    <n v="3821.21"/>
    <n v="220.04"/>
    <n v="11890.650000000001"/>
    <n v="3601.17"/>
  </r>
  <r>
    <x v="5"/>
    <x v="0"/>
    <x v="0"/>
    <s v="5050102"/>
    <n v="700074"/>
    <s v="Salaries-Tech/Professional-Non-productive"/>
    <s v="Sleep Lab"/>
    <x v="0"/>
    <m/>
    <n v="3719.93"/>
    <n v="3547.05"/>
    <n v="5171.6899999999996"/>
    <n v="3686.91"/>
    <n v="4732.04"/>
    <n v="10507.19"/>
    <n v="5081.8"/>
    <n v="13482.57"/>
    <n v="3365.74"/>
    <n v="2008.01"/>
    <n v="7188.69"/>
    <n v="9291.2800000000007"/>
    <n v="71782.900000000009"/>
    <n v="-2102.5900000000011"/>
  </r>
  <r>
    <x v="5"/>
    <x v="0"/>
    <x v="0"/>
    <s v="5050102"/>
    <n v="700074"/>
    <s v="Salaries-Tech/Professional-NonProd-Other"/>
    <s v="Sleep Lab"/>
    <x v="0"/>
    <n v="2000"/>
    <n v="166.28"/>
    <n v="96.31"/>
    <n v="262.62"/>
    <n v="131.13999999999999"/>
    <n v="891.66"/>
    <n v="1303.6500000000001"/>
    <n v="296.98"/>
    <n v="-1276.73"/>
    <n v="83.45"/>
    <n v="110.75"/>
    <n v="252.49"/>
    <n v="572.79999999999995"/>
    <n v="2891.3999999999996"/>
    <n v="-320.30999999999995"/>
  </r>
  <r>
    <x v="5"/>
    <x v="0"/>
    <x v="0"/>
    <s v="5050102"/>
    <n v="700078"/>
    <s v="Salaries-Service/Support-Non-productive"/>
    <s v="Sleep Lab"/>
    <x v="0"/>
    <m/>
    <n v="539.19000000000005"/>
    <n v="668.78"/>
    <n v="278.55"/>
    <n v="99.25"/>
    <n v="911.73"/>
    <n v="825.85"/>
    <n v="639.33000000000004"/>
    <n v="935.11"/>
    <n v="322.52"/>
    <n v="531.14"/>
    <n v="346.21"/>
    <n v="431"/>
    <n v="6528.66"/>
    <n v="-84.79000000000002"/>
  </r>
  <r>
    <x v="5"/>
    <x v="0"/>
    <x v="0"/>
    <s v="5050102"/>
    <n v="700084"/>
    <s v="Accrued PTO"/>
    <s v="Sleep Lab"/>
    <x v="0"/>
    <m/>
    <n v="1195.26"/>
    <n v="1796.42"/>
    <n v="354.45"/>
    <n v="3860.21"/>
    <n v="1191.76"/>
    <n v="-5435.71"/>
    <n v="2311.31"/>
    <n v="-487.12"/>
    <n v="3264.46"/>
    <n v="2315.42"/>
    <n v="-653.72"/>
    <n v="-3685.43"/>
    <n v="6027.3100000000013"/>
    <n v="3031.71"/>
  </r>
  <r>
    <x v="6"/>
    <x v="0"/>
    <x v="0"/>
    <s v="5050102"/>
    <n v="713010"/>
    <s v="Benefits-FICA/Medicare"/>
    <s v="Sleep Lab"/>
    <x v="0"/>
    <m/>
    <n v="3299.74"/>
    <n v="3402.68"/>
    <n v="3175.2"/>
    <n v="3433.31"/>
    <n v="3624.18"/>
    <n v="3320.54"/>
    <n v="3279.7"/>
    <n v="2930.92"/>
    <n v="3457.9"/>
    <n v="3254.88"/>
    <n v="3358.02"/>
    <n v="3282.98"/>
    <n v="39820.049999999996"/>
    <n v="75.039999999999964"/>
  </r>
  <r>
    <x v="6"/>
    <x v="0"/>
    <x v="0"/>
    <s v="5050102"/>
    <n v="713090"/>
    <s v="Benefits-Allocated Amounts"/>
    <s v="Sleep Lab"/>
    <x v="0"/>
    <m/>
    <n v="9278.56"/>
    <n v="8410.65"/>
    <n v="8615.49"/>
    <n v="8916.92"/>
    <n v="8971.4"/>
    <n v="8452.7099999999991"/>
    <n v="9171.7099999999991"/>
    <n v="8492.19"/>
    <n v="9163.07"/>
    <n v="9327.02"/>
    <n v="9150.5400000000009"/>
    <n v="9184.35"/>
    <n v="107134.60999999999"/>
    <n v="-33.809999999999491"/>
  </r>
  <r>
    <x v="17"/>
    <x v="0"/>
    <x v="0"/>
    <s v="5050102"/>
    <n v="714510"/>
    <s v="Medical Director Fees"/>
    <s v="Sleep Lab"/>
    <x v="0"/>
    <m/>
    <n v="6160"/>
    <n v="10640"/>
    <n v="4480"/>
    <n v="4480"/>
    <n v="4480"/>
    <n v="4480"/>
    <n v="6160"/>
    <n v="6020"/>
    <n v="-3220"/>
    <n v="-700"/>
    <n v="4480"/>
    <n v="4480"/>
    <n v="51940"/>
    <n v="0"/>
  </r>
  <r>
    <x v="7"/>
    <x v="0"/>
    <x v="0"/>
    <s v="5050102"/>
    <n v="718050"/>
    <s v="Contract Svcs-Other"/>
    <s v="Sleep Lab"/>
    <x v="0"/>
    <m/>
    <n v="0"/>
    <n v="0"/>
    <n v="0"/>
    <n v="0"/>
    <n v="0"/>
    <n v="33.58"/>
    <n v="0"/>
    <n v="0"/>
    <n v="0"/>
    <n v="0"/>
    <n v="0"/>
    <n v="0"/>
    <n v="33.58"/>
    <n v="0"/>
  </r>
  <r>
    <x v="7"/>
    <x v="0"/>
    <x v="0"/>
    <s v="5050102"/>
    <n v="718050"/>
    <s v="Document Shredding/Storage"/>
    <s v="Sleep Lab"/>
    <x v="0"/>
    <n v="1012"/>
    <n v="117.32"/>
    <n v="120.12"/>
    <n v="110.55"/>
    <n v="114.4"/>
    <n v="118.25"/>
    <n v="118.25"/>
    <n v="110.13"/>
    <n v="168.84"/>
    <n v="133.99"/>
    <n v="203.18"/>
    <n v="178.24"/>
    <n v="44.42"/>
    <n v="1537.69"/>
    <n v="133.82"/>
  </r>
  <r>
    <x v="7"/>
    <x v="0"/>
    <x v="0"/>
    <s v="5050102"/>
    <n v="718050"/>
    <s v="Miscellaneous Purchased Svcs"/>
    <s v="Sleep Lab"/>
    <x v="0"/>
    <n v="1020"/>
    <n v="20.65"/>
    <n v="106.8"/>
    <n v="279.35000000000002"/>
    <n v="0"/>
    <n v="72.209999999999994"/>
    <n v="16.149999999999999"/>
    <n v="42.4"/>
    <n v="27.25"/>
    <n v="21.48"/>
    <n v="75.98"/>
    <n v="27.25"/>
    <n v="30.3"/>
    <n v="719.81999999999994"/>
    <n v="-3.0500000000000007"/>
  </r>
  <r>
    <x v="7"/>
    <x v="0"/>
    <x v="0"/>
    <s v="5050102"/>
    <n v="718050"/>
    <s v="Contract Svcs--Medical/Dental"/>
    <s v="Sleep Lab"/>
    <x v="0"/>
    <n v="1024"/>
    <n v="0"/>
    <n v="0"/>
    <n v="0"/>
    <n v="20.65"/>
    <n v="0"/>
    <n v="0"/>
    <n v="0"/>
    <n v="0"/>
    <n v="0"/>
    <n v="0"/>
    <n v="0"/>
    <n v="0"/>
    <n v="20.65"/>
    <n v="0"/>
  </r>
  <r>
    <x v="7"/>
    <x v="0"/>
    <x v="0"/>
    <s v="5050102"/>
    <n v="718050"/>
    <s v="Translation Services"/>
    <s v="Sleep Lab"/>
    <x v="0"/>
    <n v="1025"/>
    <n v="247"/>
    <n v="224"/>
    <n v="0"/>
    <n v="0"/>
    <n v="144"/>
    <n v="288"/>
    <n v="174"/>
    <n v="112"/>
    <n v="184"/>
    <n v="200"/>
    <n v="406"/>
    <n v="0"/>
    <n v="1979"/>
    <n v="406"/>
  </r>
  <r>
    <x v="7"/>
    <x v="0"/>
    <x v="0"/>
    <s v="5050102"/>
    <n v="718050"/>
    <s v="Contract Management--Linen"/>
    <s v="Sleep Lab"/>
    <x v="0"/>
    <n v="1026"/>
    <n v="451.4"/>
    <n v="566.14"/>
    <n v="628.52"/>
    <n v="370.36"/>
    <n v="568.14"/>
    <n v="570.85"/>
    <n v="619.49"/>
    <n v="-580.72"/>
    <n v="557.08000000000004"/>
    <n v="641.84"/>
    <n v="249.45"/>
    <n v="727.32"/>
    <n v="5369.869999999999"/>
    <n v="-477.87000000000006"/>
  </r>
  <r>
    <x v="11"/>
    <x v="0"/>
    <x v="0"/>
    <s v="5050102"/>
    <n v="721010"/>
    <s v="Supplies-Medical - Billable"/>
    <s v="Sleep Lab"/>
    <x v="0"/>
    <m/>
    <n v="0.28999999999999998"/>
    <n v="0"/>
    <n v="0"/>
    <n v="75.569999999999993"/>
    <n v="0"/>
    <n v="0"/>
    <n v="12.5"/>
    <n v="0"/>
    <n v="0"/>
    <n v="0"/>
    <n v="0"/>
    <n v="0"/>
    <n v="88.36"/>
    <n v="0"/>
  </r>
  <r>
    <x v="11"/>
    <x v="0"/>
    <x v="0"/>
    <s v="5050102"/>
    <n v="721010"/>
    <s v="Patient Monitoring"/>
    <s v="Sleep Lab"/>
    <x v="0"/>
    <n v="1000"/>
    <n v="3167.34"/>
    <n v="3437.86"/>
    <n v="3572.6"/>
    <n v="376.2"/>
    <n v="3115.55"/>
    <n v="5269.86"/>
    <n v="2104.66"/>
    <n v="1786.16"/>
    <n v="3368.64"/>
    <n v="2178.7600000000002"/>
    <n v="2165.12"/>
    <n v="5289.31"/>
    <n v="35832.060000000005"/>
    <n v="-3124.1900000000005"/>
  </r>
  <r>
    <x v="11"/>
    <x v="0"/>
    <x v="0"/>
    <s v="5050102"/>
    <n v="721240"/>
    <s v="Supplies-IV Solutions/Supplies - Billable"/>
    <s v="Sleep Lab"/>
    <x v="0"/>
    <m/>
    <n v="0"/>
    <n v="0"/>
    <n v="0"/>
    <n v="0"/>
    <n v="15.85"/>
    <n v="0"/>
    <n v="31.7"/>
    <n v="31.7"/>
    <n v="0"/>
    <n v="0"/>
    <n v="0"/>
    <n v="0"/>
    <n v="79.25"/>
    <n v="0"/>
  </r>
  <r>
    <x v="11"/>
    <x v="0"/>
    <x v="0"/>
    <s v="5050102"/>
    <n v="721410"/>
    <s v="Supplies-Medical - Nonbillable"/>
    <s v="Sleep Lab"/>
    <x v="0"/>
    <m/>
    <n v="3690.73"/>
    <n v="6722.47"/>
    <n v="1890.18"/>
    <n v="2072.88"/>
    <n v="5371.76"/>
    <n v="2065.7800000000002"/>
    <n v="3286.3"/>
    <n v="2207.02"/>
    <n v="2587"/>
    <n v="7244.47"/>
    <n v="3489.39"/>
    <n v="4782.41"/>
    <n v="45410.39"/>
    <n v="-1293.02"/>
  </r>
  <r>
    <x v="11"/>
    <x v="0"/>
    <x v="0"/>
    <s v="5050102"/>
    <n v="721410"/>
    <s v="Patient Monitoring"/>
    <s v="Sleep Lab"/>
    <x v="0"/>
    <n v="1000"/>
    <n v="0"/>
    <n v="240.1"/>
    <n v="80.040000000000006"/>
    <n v="120.05"/>
    <n v="240.1"/>
    <n v="0"/>
    <n v="0"/>
    <n v="120.05"/>
    <n v="120.05"/>
    <n v="240.1"/>
    <n v="425.23"/>
    <n v="0"/>
    <n v="1585.7199999999998"/>
    <n v="425.23"/>
  </r>
  <r>
    <x v="11"/>
    <x v="0"/>
    <x v="0"/>
    <s v="5050102"/>
    <n v="721420"/>
    <s v="Supplies-Surgical Nonbillable"/>
    <s v="Sleep Lab"/>
    <x v="0"/>
    <m/>
    <n v="0"/>
    <n v="0"/>
    <n v="0"/>
    <n v="0"/>
    <n v="0"/>
    <n v="57.2"/>
    <n v="-5.2"/>
    <n v="0"/>
    <n v="0"/>
    <n v="0"/>
    <n v="0"/>
    <n v="0"/>
    <n v="52"/>
    <n v="0"/>
  </r>
  <r>
    <x v="11"/>
    <x v="0"/>
    <x v="0"/>
    <s v="5050102"/>
    <n v="721610"/>
    <s v="Supplies-Anesthesia - Nonbillable"/>
    <s v="Sleep Lab"/>
    <x v="0"/>
    <m/>
    <n v="345.58"/>
    <n v="600"/>
    <n v="405.24"/>
    <n v="-101"/>
    <n v="1213.74"/>
    <n v="403"/>
    <n v="522.08000000000004"/>
    <n v="78.86"/>
    <n v="538"/>
    <n v="118"/>
    <n v="373.08"/>
    <n v="0"/>
    <n v="4496.58"/>
    <n v="373.08"/>
  </r>
  <r>
    <x v="11"/>
    <x v="0"/>
    <x v="0"/>
    <s v="5050102"/>
    <n v="721810"/>
    <s v="Supplies-Dietary/Cafeteria"/>
    <s v="Sleep Lab"/>
    <x v="0"/>
    <m/>
    <n v="31.68"/>
    <n v="107.56"/>
    <n v="101.43"/>
    <n v="69.31"/>
    <n v="36.61"/>
    <n v="44.87"/>
    <n v="18.600000000000001"/>
    <n v="110.79"/>
    <n v="18.329999999999998"/>
    <n v="13.3"/>
    <n v="145.47999999999999"/>
    <n v="86.6"/>
    <n v="784.56000000000006"/>
    <n v="58.879999999999995"/>
  </r>
  <r>
    <x v="11"/>
    <x v="0"/>
    <x v="0"/>
    <s v="5050102"/>
    <n v="721830"/>
    <s v="Supplies-Office"/>
    <s v="Sleep Lab"/>
    <x v="0"/>
    <m/>
    <n v="346.7"/>
    <n v="7.2"/>
    <n v="287.95999999999998"/>
    <n v="131.11000000000001"/>
    <n v="65.94"/>
    <n v="249.05"/>
    <n v="329.99"/>
    <n v="0"/>
    <n v="71.28"/>
    <n v="145.91"/>
    <n v="120"/>
    <n v="63.78"/>
    <n v="1818.9199999999998"/>
    <n v="56.22"/>
  </r>
  <r>
    <x v="11"/>
    <x v="0"/>
    <x v="0"/>
    <s v="5050102"/>
    <n v="721835"/>
    <s v="Supplies-Forms"/>
    <s v="Sleep Lab"/>
    <x v="0"/>
    <m/>
    <n v="0"/>
    <n v="0"/>
    <n v="0"/>
    <n v="0"/>
    <n v="59.2"/>
    <n v="0"/>
    <n v="0"/>
    <n v="0"/>
    <n v="0"/>
    <n v="0"/>
    <n v="0"/>
    <n v="0"/>
    <n v="59.2"/>
    <n v="0"/>
  </r>
  <r>
    <x v="11"/>
    <x v="0"/>
    <x v="0"/>
    <s v="5050102"/>
    <n v="721870"/>
    <s v="Supplies-Environmental Services"/>
    <s v="Sleep Lab"/>
    <x v="0"/>
    <m/>
    <n v="17.37"/>
    <n v="9.6"/>
    <n v="19.2"/>
    <n v="14.4"/>
    <n v="11.33"/>
    <n v="11.33"/>
    <n v="13.44"/>
    <n v="19.2"/>
    <n v="2.97"/>
    <n v="7.77"/>
    <n v="2.97"/>
    <n v="22.17"/>
    <n v="151.75"/>
    <n v="-19.200000000000003"/>
  </r>
  <r>
    <x v="11"/>
    <x v="0"/>
    <x v="0"/>
    <s v="5050102"/>
    <n v="721910"/>
    <s v="Supplies-Small Equipment"/>
    <s v="Sleep Lab"/>
    <x v="0"/>
    <m/>
    <n v="41.87"/>
    <n v="23.04"/>
    <n v="15.36"/>
    <n v="19.2"/>
    <n v="180.4"/>
    <n v="24.48"/>
    <n v="20.399999999999999"/>
    <n v="8.16"/>
    <n v="16.32"/>
    <n v="16.32"/>
    <n v="24.48"/>
    <n v="39.840000000000003"/>
    <n v="429.87"/>
    <n v="-15.360000000000003"/>
  </r>
  <r>
    <x v="11"/>
    <x v="0"/>
    <x v="0"/>
    <s v="5050102"/>
    <n v="721980"/>
    <s v="Supplies-Other"/>
    <s v="Sleep Lab"/>
    <x v="0"/>
    <m/>
    <n v="0"/>
    <n v="-364.28"/>
    <n v="1002.8"/>
    <n v="144.37"/>
    <n v="0"/>
    <n v="0"/>
    <n v="0"/>
    <n v="0"/>
    <n v="249.5"/>
    <n v="3.5"/>
    <n v="0"/>
    <n v="0"/>
    <n v="1035.8899999999999"/>
    <n v="0"/>
  </r>
  <r>
    <x v="11"/>
    <x v="0"/>
    <x v="0"/>
    <s v="5050102"/>
    <n v="722000"/>
    <s v="Supplies-Freight Expense"/>
    <s v="Sleep Lab"/>
    <x v="0"/>
    <m/>
    <n v="15.76"/>
    <n v="77.290000000000006"/>
    <n v="24.62"/>
    <n v="91.92"/>
    <n v="23.97"/>
    <n v="93.71"/>
    <n v="109.01"/>
    <n v="32.15"/>
    <n v="54.91"/>
    <n v="88.89"/>
    <n v="60.6"/>
    <n v="86.4"/>
    <n v="759.23"/>
    <n v="-25.800000000000004"/>
  </r>
  <r>
    <x v="12"/>
    <x v="0"/>
    <x v="0"/>
    <s v="5050102"/>
    <n v="730010"/>
    <s v="Rental and Leases-Building (DO NOT USE)"/>
    <s v="Sleep Lab"/>
    <x v="0"/>
    <m/>
    <n v="11014.8"/>
    <n v="12831.47"/>
    <n v="11245.01"/>
    <n v="14417.93"/>
    <n v="12831.47"/>
    <n v="-18248.43"/>
    <n v="7045.93"/>
    <n v="7045.93"/>
    <n v="7045.93"/>
    <n v="7045.93"/>
    <n v="7216.2"/>
    <n v="0"/>
    <n v="79492.17"/>
    <n v="7216.2"/>
  </r>
  <r>
    <x v="12"/>
    <x v="0"/>
    <x v="0"/>
    <s v="5050102"/>
    <n v="730010"/>
    <s v="Rental-Common Area Maint (DO NOT USE)"/>
    <s v="Sleep Lab"/>
    <x v="0"/>
    <n v="2200"/>
    <n v="0"/>
    <n v="0"/>
    <n v="0"/>
    <n v="0"/>
    <n v="0"/>
    <n v="29986.42"/>
    <n v="4692.0600000000004"/>
    <n v="4692.0600000000004"/>
    <n v="4368.3999999999996"/>
    <n v="4692.0600000000004"/>
    <n v="4692.0600000000004"/>
    <n v="0"/>
    <n v="53123.05999999999"/>
    <n v="4692.0600000000004"/>
  </r>
  <r>
    <x v="12"/>
    <x v="0"/>
    <x v="0"/>
    <s v="5050102"/>
    <n v="730020"/>
    <s v="Rental and Leases-Equipment (DO NOT USE)"/>
    <s v="Sleep Lab"/>
    <x v="0"/>
    <m/>
    <n v="0"/>
    <n v="1255.0999999999999"/>
    <n v="22"/>
    <n v="22"/>
    <n v="20"/>
    <n v="20"/>
    <n v="794"/>
    <n v="20"/>
    <n v="20"/>
    <n v="774"/>
    <n v="218"/>
    <n v="0"/>
    <n v="3165.1"/>
    <n v="218"/>
  </r>
  <r>
    <x v="12"/>
    <x v="0"/>
    <x v="0"/>
    <s v="5050102"/>
    <n v="730020"/>
    <s v="Rental and Leases-Copier Usage Fees (DO NOT USE)"/>
    <s v="Sleep Lab"/>
    <x v="0"/>
    <n v="5100"/>
    <n v="256.98"/>
    <n v="259.19"/>
    <n v="258.08"/>
    <n v="258.08"/>
    <n v="258.08"/>
    <n v="258.08"/>
    <n v="-111.48"/>
    <n v="212.64"/>
    <n v="212.19"/>
    <n v="225.93"/>
    <n v="212.64"/>
    <n v="217.45"/>
    <n v="2517.8599999999992"/>
    <n v="-4.8100000000000023"/>
  </r>
  <r>
    <x v="12"/>
    <x v="0"/>
    <x v="0"/>
    <s v="5050102"/>
    <n v="730040"/>
    <s v="LT Lease-Real Estate"/>
    <s v="Sleep Lab"/>
    <x v="0"/>
    <m/>
    <n v="0"/>
    <n v="0"/>
    <n v="0"/>
    <n v="0"/>
    <n v="0"/>
    <n v="0"/>
    <n v="0"/>
    <n v="0"/>
    <n v="0"/>
    <n v="0"/>
    <n v="0"/>
    <n v="11914.14"/>
    <n v="11914.14"/>
    <n v="-11914.14"/>
  </r>
  <r>
    <x v="13"/>
    <x v="0"/>
    <x v="0"/>
    <s v="5050102"/>
    <n v="735070"/>
    <s v="Depreciation-Movable Equipment"/>
    <s v="Sleep Lab"/>
    <x v="0"/>
    <m/>
    <n v="1679.31"/>
    <n v="1664.17"/>
    <n v="1591.59"/>
    <n v="1591.56"/>
    <n v="1591.6"/>
    <n v="1591.56"/>
    <n v="1591.6"/>
    <n v="1591.56"/>
    <n v="1591.61"/>
    <n v="1591.55"/>
    <n v="1591.61"/>
    <n v="1591.55"/>
    <n v="19259.269999999997"/>
    <n v="5.999999999994543E-2"/>
  </r>
  <r>
    <x v="0"/>
    <x v="0"/>
    <x v="0"/>
    <s v="5050102"/>
    <n v="740020"/>
    <s v="Education-Registration Fees"/>
    <s v="Sleep Lab"/>
    <x v="0"/>
    <m/>
    <n v="0"/>
    <n v="0"/>
    <n v="0"/>
    <n v="135"/>
    <n v="0"/>
    <n v="0"/>
    <n v="0"/>
    <n v="0"/>
    <n v="0"/>
    <n v="0"/>
    <n v="0"/>
    <n v="0"/>
    <n v="135"/>
    <n v="0"/>
  </r>
  <r>
    <x v="0"/>
    <x v="0"/>
    <x v="0"/>
    <s v="5050102"/>
    <n v="743010"/>
    <s v="Dues--Institutional"/>
    <s v="Sleep Lab"/>
    <x v="0"/>
    <m/>
    <n v="0"/>
    <n v="0"/>
    <n v="0"/>
    <n v="1100"/>
    <n v="0"/>
    <n v="0"/>
    <n v="0"/>
    <n v="0"/>
    <n v="0"/>
    <n v="0"/>
    <n v="0"/>
    <n v="0"/>
    <n v="1100"/>
    <n v="0"/>
  </r>
  <r>
    <x v="0"/>
    <x v="0"/>
    <x v="0"/>
    <s v="5050102"/>
    <n v="743030"/>
    <s v="Subscriptions--Institutional"/>
    <s v="Sleep Lab"/>
    <x v="0"/>
    <m/>
    <n v="0"/>
    <n v="0"/>
    <n v="0"/>
    <n v="1114.5899999999999"/>
    <n v="0"/>
    <n v="0"/>
    <n v="0"/>
    <n v="0"/>
    <n v="0"/>
    <n v="0"/>
    <n v="0"/>
    <n v="0"/>
    <n v="1114.5899999999999"/>
    <n v="0"/>
  </r>
  <r>
    <x v="0"/>
    <x v="0"/>
    <x v="0"/>
    <s v="5050102"/>
    <n v="749510"/>
    <s v="Licenses"/>
    <s v="Sleep Lab"/>
    <x v="0"/>
    <n v="1002"/>
    <n v="0"/>
    <n v="0"/>
    <n v="0"/>
    <n v="0"/>
    <n v="0"/>
    <n v="0"/>
    <n v="0"/>
    <n v="4500"/>
    <n v="0"/>
    <n v="0"/>
    <n v="0"/>
    <n v="0"/>
    <n v="4500"/>
    <n v="0"/>
  </r>
  <r>
    <x v="0"/>
    <x v="0"/>
    <x v="0"/>
    <s v="5050102"/>
    <n v="749510"/>
    <s v="RICE Rewards"/>
    <s v="Sleep Lab"/>
    <x v="0"/>
    <n v="5100"/>
    <n v="0"/>
    <n v="0"/>
    <n v="0"/>
    <n v="0"/>
    <n v="0"/>
    <n v="0"/>
    <n v="0"/>
    <n v="148.97999999999999"/>
    <n v="0"/>
    <n v="0"/>
    <n v="0"/>
    <n v="0"/>
    <n v="148.97999999999999"/>
    <n v="0"/>
  </r>
  <r>
    <x v="18"/>
    <x v="4"/>
    <x v="0"/>
    <s v="5050103"/>
    <n v="400010"/>
    <s v="Acute I/P Svcs Rev--Medicare"/>
    <s v="Sleep Lab"/>
    <x v="0"/>
    <n v="1100"/>
    <n v="-3000.4"/>
    <n v="-4610.37"/>
    <n v="-12294.32"/>
    <n v="-4610.37"/>
    <n v="-6147.16"/>
    <n v="-8424.6299999999992"/>
    <n v="-9220.74"/>
    <n v="-13972.68"/>
    <n v="0"/>
    <n v="-7641.12"/>
    <n v="-6058.23"/>
    <n v="-13972.68"/>
    <n v="-89952.699999999983"/>
    <n v="7914.4500000000007"/>
  </r>
  <r>
    <x v="18"/>
    <x v="4"/>
    <x v="0"/>
    <s v="5050103"/>
    <n v="400010"/>
    <s v="Acute I/P Svcs Rev--Medicaid"/>
    <s v="Sleep Lab"/>
    <x v="0"/>
    <n v="1200"/>
    <n v="-1536.79"/>
    <n v="-2808.21"/>
    <n v="-1536.79"/>
    <n v="1536.79"/>
    <n v="-1536.79"/>
    <n v="-5881.79"/>
    <n v="-6147.16"/>
    <n v="-2892.45"/>
    <n v="-1582.89"/>
    <n v="-4748.67"/>
    <n v="-6285.46"/>
    <n v="-1582.89"/>
    <n v="-35003.1"/>
    <n v="-4702.57"/>
  </r>
  <r>
    <x v="18"/>
    <x v="4"/>
    <x v="0"/>
    <s v="5050103"/>
    <n v="400010"/>
    <s v="Acute I/P Svcs Rev--Comm Insurance"/>
    <s v="Sleep Lab"/>
    <x v="0"/>
    <n v="1300"/>
    <n v="0"/>
    <n v="0"/>
    <n v="0"/>
    <n v="-1536.79"/>
    <n v="0"/>
    <n v="0"/>
    <n v="0"/>
    <n v="0"/>
    <n v="0"/>
    <n v="0"/>
    <n v="-1582.89"/>
    <n v="-1582.89"/>
    <n v="-4702.5700000000006"/>
    <n v="0"/>
  </r>
  <r>
    <x v="18"/>
    <x v="4"/>
    <x v="0"/>
    <s v="5050103"/>
    <n v="400010"/>
    <s v="Acute I/P Svcs Rev--BCBS Comm"/>
    <s v="Sleep Lab"/>
    <x v="0"/>
    <n v="1301"/>
    <n v="0"/>
    <n v="0"/>
    <n v="-1536.79"/>
    <n v="1536.79"/>
    <n v="0"/>
    <n v="0"/>
    <n v="0"/>
    <n v="0"/>
    <n v="-1309.56"/>
    <n v="0"/>
    <n v="0"/>
    <n v="0"/>
    <n v="-1309.56"/>
    <n v="0"/>
  </r>
  <r>
    <x v="18"/>
    <x v="4"/>
    <x v="0"/>
    <s v="5050103"/>
    <n v="400010"/>
    <s v="Acute I/P Svcs Rev--Managed Care"/>
    <s v="Sleep Lab"/>
    <x v="0"/>
    <n v="1400"/>
    <n v="-3073.58"/>
    <n v="-1536.79"/>
    <n v="0"/>
    <n v="-1536.79"/>
    <n v="0"/>
    <n v="-1536.79"/>
    <n v="-1536.79"/>
    <n v="0"/>
    <n v="0"/>
    <n v="0"/>
    <n v="3073.58"/>
    <n v="-3165.78"/>
    <n v="-9312.94"/>
    <n v="6239.3600000000006"/>
  </r>
  <r>
    <x v="18"/>
    <x v="4"/>
    <x v="0"/>
    <s v="5050103"/>
    <n v="400010"/>
    <s v="Acute I/P Svcs Rev--Self Pay"/>
    <s v="Sleep Lab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4"/>
    <x v="0"/>
    <s v="5050103"/>
    <n v="400010"/>
    <s v="Acute I/P Svcs Rev--Other"/>
    <s v="Sleep Lab"/>
    <x v="0"/>
    <n v="1700"/>
    <n v="1463.61"/>
    <n v="-1536.79"/>
    <n v="0"/>
    <n v="0"/>
    <n v="-1536.79"/>
    <n v="-1745.53"/>
    <n v="0"/>
    <n v="0"/>
    <n v="0"/>
    <n v="0"/>
    <n v="-1536.79"/>
    <n v="-1582.89"/>
    <n v="-6475.18"/>
    <n v="46.100000000000136"/>
  </r>
  <r>
    <x v="19"/>
    <x v="4"/>
    <x v="0"/>
    <s v="5050103"/>
    <n v="400020"/>
    <s v="O/P Care Svcs Rev--Medicare"/>
    <s v="Sleep Lab"/>
    <x v="0"/>
    <n v="1100"/>
    <n v="-306756.94"/>
    <n v="-326227.21000000002"/>
    <n v="-184270.71"/>
    <n v="-253960.4"/>
    <n v="-234901.92"/>
    <n v="-218184.15"/>
    <n v="-383800.28"/>
    <n v="-296305.40000000002"/>
    <n v="-341183.04"/>
    <n v="-445790.83"/>
    <n v="-517765.16"/>
    <n v="-350173.06"/>
    <n v="-3859319.1"/>
    <n v="-167592.09999999998"/>
  </r>
  <r>
    <x v="19"/>
    <x v="4"/>
    <x v="0"/>
    <s v="5050103"/>
    <n v="400020"/>
    <s v="O/P Care Svcs Rev--Medicaid"/>
    <s v="Sleep Lab"/>
    <x v="0"/>
    <n v="1200"/>
    <n v="-146942.34"/>
    <n v="-189434.82"/>
    <n v="-114946.9"/>
    <n v="-98770.18"/>
    <n v="-125507.54"/>
    <n v="-120850.18"/>
    <n v="-125677.09"/>
    <n v="-99848.71"/>
    <n v="-155603.72"/>
    <n v="-136649.20000000001"/>
    <n v="-208570.55"/>
    <n v="-167438.01"/>
    <n v="-1690239.24"/>
    <n v="-41132.539999999979"/>
  </r>
  <r>
    <x v="19"/>
    <x v="4"/>
    <x v="0"/>
    <s v="5050103"/>
    <n v="400020"/>
    <s v="O/P Care Svcs Rev--Comm Insurance"/>
    <s v="Sleep Lab"/>
    <x v="0"/>
    <n v="1300"/>
    <n v="-26664.43"/>
    <n v="-2088.21"/>
    <n v="-11272.65"/>
    <n v="-31194.240000000002"/>
    <n v="-35249.279999999999"/>
    <n v="-25031.16"/>
    <n v="-9706.7199999999993"/>
    <n v="-8842.39"/>
    <n v="-58283.85"/>
    <n v="-2867.8"/>
    <n v="-15533.93"/>
    <n v="-36058.379999999997"/>
    <n v="-262793.03999999998"/>
    <n v="20524.449999999997"/>
  </r>
  <r>
    <x v="19"/>
    <x v="4"/>
    <x v="0"/>
    <s v="5050103"/>
    <n v="400020"/>
    <s v="O/P Care Svcs Rev--BCBS Comm"/>
    <s v="Sleep Lab"/>
    <x v="0"/>
    <n v="1301"/>
    <n v="-43264.51"/>
    <n v="-28761.759999999998"/>
    <n v="-82397.31"/>
    <n v="-38729.629999999997"/>
    <n v="-14849.48"/>
    <n v="-31922.7"/>
    <n v="-51008.639999999999"/>
    <n v="-51957.63"/>
    <n v="-58265.09"/>
    <n v="-57966.37"/>
    <n v="-75147.16"/>
    <n v="-47415.62"/>
    <n v="-581685.9"/>
    <n v="-27731.54"/>
  </r>
  <r>
    <x v="19"/>
    <x v="4"/>
    <x v="0"/>
    <s v="5050103"/>
    <n v="400020"/>
    <s v="O/P Care Svcs Rev--Managed Care"/>
    <s v="Sleep Lab"/>
    <x v="0"/>
    <n v="1400"/>
    <n v="-176200.82"/>
    <n v="-136538.59"/>
    <n v="-79434.03"/>
    <n v="-127133.21"/>
    <n v="-158982.68"/>
    <n v="-149304.4"/>
    <n v="-238496.27"/>
    <n v="-183440.57"/>
    <n v="-179315.08"/>
    <n v="-184314.99"/>
    <n v="-161111.35"/>
    <n v="-148395.62"/>
    <n v="-1922667.6100000003"/>
    <n v="-12715.73000000001"/>
  </r>
  <r>
    <x v="19"/>
    <x v="4"/>
    <x v="0"/>
    <s v="5050103"/>
    <n v="400020"/>
    <s v="O/P Care Svcs Rev--Self Pay"/>
    <s v="Sleep Lab"/>
    <x v="0"/>
    <n v="1500"/>
    <n v="-696.07"/>
    <n v="-17769.29"/>
    <n v="7192.71"/>
    <n v="-8343.7199999999993"/>
    <n v="-1536.79"/>
    <n v="1151.01"/>
    <n v="-17198.84"/>
    <n v="-716.95"/>
    <n v="-8594.0300000000007"/>
    <n v="0"/>
    <n v="0"/>
    <n v="-716.95"/>
    <n v="-47228.92"/>
    <n v="716.95"/>
  </r>
  <r>
    <x v="19"/>
    <x v="4"/>
    <x v="0"/>
    <s v="5050103"/>
    <n v="400020"/>
    <s v="O/P Care Svcs Rev--Other"/>
    <s v="Sleep Lab"/>
    <x v="0"/>
    <n v="1700"/>
    <n v="-74147.59"/>
    <n v="-112764.47"/>
    <n v="-67473.149999999994"/>
    <n v="-88877.22"/>
    <n v="-20098.63"/>
    <n v="-73247.66"/>
    <n v="-44433.72"/>
    <n v="-117258.81"/>
    <n v="-140028.32999999999"/>
    <n v="-110470.76"/>
    <n v="-49219.53"/>
    <n v="-109894.92"/>
    <n v="-1007914.79"/>
    <n v="60675.39"/>
  </r>
  <r>
    <x v="14"/>
    <x v="4"/>
    <x v="0"/>
    <s v="5050103"/>
    <n v="600026"/>
    <s v="POB Rental"/>
    <s v="Sleep Lab"/>
    <x v="0"/>
    <n v="1001"/>
    <n v="0"/>
    <n v="0"/>
    <n v="0"/>
    <n v="0"/>
    <n v="0"/>
    <n v="0"/>
    <n v="0"/>
    <n v="0"/>
    <n v="-9892.4500000000007"/>
    <n v="0"/>
    <n v="0"/>
    <n v="0"/>
    <n v="-9892.4500000000007"/>
    <n v="0"/>
  </r>
  <r>
    <x v="5"/>
    <x v="4"/>
    <x v="0"/>
    <s v="5050103"/>
    <n v="700014"/>
    <s v="Salaries-Management-Productive"/>
    <s v="Sleep Lab"/>
    <x v="0"/>
    <m/>
    <n v="7818.78"/>
    <n v="7819.13"/>
    <n v="6860.77"/>
    <n v="7899.14"/>
    <n v="7662.65"/>
    <n v="4853.28"/>
    <n v="7776.82"/>
    <n v="5960.23"/>
    <n v="8057.82"/>
    <n v="7673.88"/>
    <n v="7929.94"/>
    <n v="6574.31"/>
    <n v="86886.75"/>
    <n v="1355.6299999999992"/>
  </r>
  <r>
    <x v="5"/>
    <x v="4"/>
    <x v="0"/>
    <s v="5050103"/>
    <n v="700034"/>
    <s v="Salaries-Tech/Professional-Productive"/>
    <s v="Sleep Lab"/>
    <x v="0"/>
    <m/>
    <n v="38385.019999999997"/>
    <n v="38056.81"/>
    <n v="33951.58"/>
    <n v="30760.21"/>
    <n v="37835.79"/>
    <n v="27914.080000000002"/>
    <n v="45602.37"/>
    <n v="38958.629999999997"/>
    <n v="41318.5"/>
    <n v="43368.06"/>
    <n v="38434.89"/>
    <n v="41836.92"/>
    <n v="456422.86"/>
    <n v="-3402.0299999999988"/>
  </r>
  <r>
    <x v="5"/>
    <x v="4"/>
    <x v="0"/>
    <s v="5050103"/>
    <n v="700034"/>
    <s v="Salaries-Tech/Professional-OT"/>
    <s v="Sleep Lab"/>
    <x v="0"/>
    <n v="1000"/>
    <n v="310.51"/>
    <n v="740.27"/>
    <n v="661.09"/>
    <n v="3757.13"/>
    <n v="-1220.68"/>
    <n v="1861.32"/>
    <n v="969.16"/>
    <n v="722.38"/>
    <n v="-109.24"/>
    <n v="900.04"/>
    <n v="1887"/>
    <n v="950.24"/>
    <n v="11429.22"/>
    <n v="936.76"/>
  </r>
  <r>
    <x v="5"/>
    <x v="4"/>
    <x v="0"/>
    <s v="5050103"/>
    <n v="700034"/>
    <s v="Salaries-Tech/Professional-Other"/>
    <s v="Sleep Lab"/>
    <x v="0"/>
    <n v="2000"/>
    <n v="1958.82"/>
    <n v="1829.59"/>
    <n v="1541.83"/>
    <n v="1249.06"/>
    <n v="1484.61"/>
    <n v="1866.97"/>
    <n v="2387.84"/>
    <n v="1859.02"/>
    <n v="2287.37"/>
    <n v="2234.5"/>
    <n v="2734.49"/>
    <n v="2147.73"/>
    <n v="23581.829999999998"/>
    <n v="586.75999999999976"/>
  </r>
  <r>
    <x v="5"/>
    <x v="4"/>
    <x v="0"/>
    <s v="5050103"/>
    <n v="700038"/>
    <s v="Salaries-Service/Support-Productive"/>
    <s v="Sleep Lab"/>
    <x v="0"/>
    <m/>
    <n v="2830.09"/>
    <n v="2766.13"/>
    <n v="3144.04"/>
    <n v="2817.63"/>
    <n v="3006.46"/>
    <n v="2807.43"/>
    <n v="3215.06"/>
    <n v="2982.61"/>
    <n v="3120.63"/>
    <n v="2122.4699999999998"/>
    <n v="2757.19"/>
    <n v="3231.99"/>
    <n v="34801.730000000003"/>
    <n v="-474.79999999999973"/>
  </r>
  <r>
    <x v="5"/>
    <x v="4"/>
    <x v="0"/>
    <s v="5050103"/>
    <n v="700038"/>
    <s v="Salaries-Service/Support-OT"/>
    <s v="Sleep Lab"/>
    <x v="0"/>
    <n v="1000"/>
    <n v="17.39"/>
    <n v="17.41"/>
    <n v="15.4"/>
    <n v="184.18"/>
    <n v="1.57"/>
    <n v="31.28"/>
    <n v="41.52"/>
    <n v="178.82"/>
    <n v="64.55"/>
    <n v="190.62"/>
    <n v="23.08"/>
    <n v="315.73"/>
    <n v="1081.5500000000002"/>
    <n v="-292.65000000000003"/>
  </r>
  <r>
    <x v="5"/>
    <x v="4"/>
    <x v="0"/>
    <s v="5050103"/>
    <n v="700038"/>
    <s v="Salaries-Service/Support-Other"/>
    <s v="Sleep Lab"/>
    <x v="0"/>
    <n v="2000"/>
    <n v="0"/>
    <n v="0"/>
    <n v="5.94"/>
    <n v="0"/>
    <n v="9.0399999999999991"/>
    <n v="23.14"/>
    <n v="-2.1800000000000002"/>
    <n v="0"/>
    <n v="0"/>
    <n v="0"/>
    <n v="0"/>
    <n v="22.36"/>
    <n v="58.300000000000004"/>
    <n v="-22.36"/>
  </r>
  <r>
    <x v="5"/>
    <x v="4"/>
    <x v="0"/>
    <s v="5050103"/>
    <n v="700054"/>
    <s v="Salaries-Management-Non-productive"/>
    <s v="Sleep Lab"/>
    <x v="0"/>
    <m/>
    <n v="0"/>
    <n v="0"/>
    <n v="706.24"/>
    <n v="0"/>
    <n v="0"/>
    <n v="3065.06"/>
    <n v="153.86000000000001"/>
    <n v="1202.24"/>
    <n v="-127.87"/>
    <n v="0"/>
    <n v="0"/>
    <n v="1099.92"/>
    <n v="6099.4500000000007"/>
    <n v="-1099.92"/>
  </r>
  <r>
    <x v="5"/>
    <x v="4"/>
    <x v="0"/>
    <s v="5050103"/>
    <n v="700054"/>
    <s v="Salaries-Management-NonProd-Other"/>
    <s v="Sleep Lab"/>
    <x v="0"/>
    <n v="2000"/>
    <n v="0"/>
    <n v="0"/>
    <n v="0"/>
    <n v="0"/>
    <n v="0"/>
    <n v="978.07"/>
    <n v="-978.07"/>
    <n v="0"/>
    <n v="0"/>
    <n v="0"/>
    <n v="0"/>
    <n v="0"/>
    <n v="0"/>
    <n v="0"/>
  </r>
  <r>
    <x v="5"/>
    <x v="4"/>
    <x v="0"/>
    <s v="5050103"/>
    <n v="700074"/>
    <s v="Salaries-Tech/Professional-Non-productive"/>
    <s v="Sleep Lab"/>
    <x v="0"/>
    <m/>
    <n v="6802.17"/>
    <n v="6106.93"/>
    <n v="7505.12"/>
    <n v="10342.73"/>
    <n v="3105.59"/>
    <n v="13505.49"/>
    <n v="3997.46"/>
    <n v="4048.32"/>
    <n v="7757.09"/>
    <n v="5280.72"/>
    <n v="14074.25"/>
    <n v="6872.19"/>
    <n v="89398.06"/>
    <n v="7202.06"/>
  </r>
  <r>
    <x v="5"/>
    <x v="4"/>
    <x v="0"/>
    <s v="5050103"/>
    <n v="700074"/>
    <s v="Salaries-Tech/Professional-NonProd-Other"/>
    <s v="Sleep Lab"/>
    <x v="0"/>
    <n v="2000"/>
    <n v="259.57"/>
    <n v="540.32000000000005"/>
    <n v="604.12"/>
    <n v="922.34"/>
    <n v="885.63"/>
    <n v="707.98"/>
    <n v="477.04"/>
    <n v="-584.72"/>
    <n v="417.11"/>
    <n v="429.15"/>
    <n v="119.65"/>
    <n v="507.31"/>
    <n v="5285.5"/>
    <n v="-387.65999999999997"/>
  </r>
  <r>
    <x v="5"/>
    <x v="4"/>
    <x v="0"/>
    <s v="5050103"/>
    <n v="700078"/>
    <s v="Salaries-Service/Support-Non-productive"/>
    <s v="Sleep Lab"/>
    <x v="0"/>
    <m/>
    <n v="553.20000000000005"/>
    <n v="622.12"/>
    <n v="144.65"/>
    <n v="495.23"/>
    <n v="271.49"/>
    <n v="576.4"/>
    <n v="154.16999999999999"/>
    <n v="62.53"/>
    <n v="197.44"/>
    <n v="1029.48"/>
    <n v="505.55"/>
    <n v="256.39"/>
    <n v="4868.6500000000015"/>
    <n v="249.16000000000003"/>
  </r>
  <r>
    <x v="5"/>
    <x v="4"/>
    <x v="0"/>
    <s v="5050103"/>
    <n v="700084"/>
    <s v="Accrued PTO"/>
    <s v="Sleep Lab"/>
    <x v="0"/>
    <m/>
    <n v="850.72"/>
    <n v="633.77"/>
    <n v="103.29"/>
    <n v="516.92999999999995"/>
    <n v="1337.99"/>
    <n v="-8811.98"/>
    <n v="2993.44"/>
    <n v="1488.1"/>
    <n v="1333.94"/>
    <n v="3125.4"/>
    <n v="-2825.57"/>
    <n v="-874.36"/>
    <n v="-128.32999999999981"/>
    <n v="-1951.21"/>
  </r>
  <r>
    <x v="6"/>
    <x v="4"/>
    <x v="0"/>
    <s v="5050103"/>
    <n v="713010"/>
    <s v="Benefits-FICA/Medicare"/>
    <s v="Sleep Lab"/>
    <x v="0"/>
    <m/>
    <n v="4382.49"/>
    <n v="4357.6400000000003"/>
    <n v="4094.65"/>
    <n v="4336.87"/>
    <n v="4020.14"/>
    <n v="4287.8500000000004"/>
    <n v="4836.3500000000004"/>
    <n v="4125.95"/>
    <n v="4627.59"/>
    <n v="4649.57"/>
    <n v="5053.82"/>
    <n v="4710.93"/>
    <n v="53483.85"/>
    <n v="342.88999999999942"/>
  </r>
  <r>
    <x v="6"/>
    <x v="4"/>
    <x v="0"/>
    <s v="5050103"/>
    <n v="713090"/>
    <s v="Benefits-Allocated Amounts"/>
    <s v="Sleep Lab"/>
    <x v="0"/>
    <m/>
    <n v="11226.12"/>
    <n v="9499.2900000000009"/>
    <n v="9970.08"/>
    <n v="9882.68"/>
    <n v="9643.2000000000007"/>
    <n v="9671.57"/>
    <n v="12378.37"/>
    <n v="11194.84"/>
    <n v="11475.73"/>
    <n v="12722.69"/>
    <n v="12959.18"/>
    <n v="12661.83"/>
    <n v="133285.57999999999"/>
    <n v="297.35000000000036"/>
  </r>
  <r>
    <x v="17"/>
    <x v="4"/>
    <x v="0"/>
    <s v="5050103"/>
    <n v="714510"/>
    <s v="Medical Director Fees"/>
    <s v="Sleep Lab"/>
    <x v="0"/>
    <m/>
    <n v="3080"/>
    <n v="3080"/>
    <n v="3080"/>
    <n v="3080"/>
    <n v="3080"/>
    <n v="3080"/>
    <n v="3080"/>
    <n v="3080"/>
    <n v="3080"/>
    <n v="3080"/>
    <n v="3080"/>
    <n v="3080"/>
    <n v="36960"/>
    <n v="0"/>
  </r>
  <r>
    <x v="7"/>
    <x v="4"/>
    <x v="0"/>
    <s v="5050103"/>
    <n v="718050"/>
    <s v="Contract Svcs-Other"/>
    <s v="Sleep Lab"/>
    <x v="0"/>
    <m/>
    <n v="0"/>
    <n v="0"/>
    <n v="274.75"/>
    <n v="0"/>
    <n v="0"/>
    <n v="0"/>
    <n v="0"/>
    <n v="0"/>
    <n v="0"/>
    <n v="274.75"/>
    <n v="0"/>
    <n v="0"/>
    <n v="549.5"/>
    <n v="0"/>
  </r>
  <r>
    <x v="7"/>
    <x v="4"/>
    <x v="0"/>
    <s v="5050103"/>
    <n v="718050"/>
    <s v="Document Shredding/Storage"/>
    <s v="Sleep Lab"/>
    <x v="0"/>
    <n v="1012"/>
    <n v="162.11000000000001"/>
    <n v="168.61"/>
    <n v="152.79"/>
    <n v="158.09"/>
    <n v="163.38999999999999"/>
    <n v="163.38999999999999"/>
    <n v="161.75"/>
    <n v="138.71"/>
    <n v="143.75"/>
    <n v="188.24"/>
    <n v="158.22"/>
    <n v="163.26"/>
    <n v="1922.3100000000002"/>
    <n v="-5.039999999999992"/>
  </r>
  <r>
    <x v="7"/>
    <x v="4"/>
    <x v="0"/>
    <s v="5050103"/>
    <n v="718050"/>
    <s v="Miscellaneous Purchased Svcs"/>
    <s v="Sleep Lab"/>
    <x v="0"/>
    <n v="1020"/>
    <n v="22.64"/>
    <n v="22.64"/>
    <n v="11.32"/>
    <n v="560.82000000000005"/>
    <n v="11.32"/>
    <n v="11.32"/>
    <n v="11.32"/>
    <n v="11.32"/>
    <n v="11.32"/>
    <n v="286.08999999999997"/>
    <n v="11.35"/>
    <n v="11.35"/>
    <n v="982.8100000000004"/>
    <n v="0"/>
  </r>
  <r>
    <x v="7"/>
    <x v="4"/>
    <x v="0"/>
    <s v="5050103"/>
    <n v="718050"/>
    <s v="Translation Services"/>
    <s v="Sleep Lab"/>
    <x v="0"/>
    <n v="1025"/>
    <n v="259"/>
    <n v="16.2"/>
    <n v="344"/>
    <n v="240"/>
    <n v="461"/>
    <n v="224"/>
    <n v="224"/>
    <n v="192.33"/>
    <n v="544"/>
    <n v="248"/>
    <n v="32"/>
    <n v="0"/>
    <n v="2784.5299999999997"/>
    <n v="32"/>
  </r>
  <r>
    <x v="7"/>
    <x v="4"/>
    <x v="0"/>
    <s v="5050103"/>
    <n v="718050"/>
    <s v="Contract Management--Linen"/>
    <s v="Sleep Lab"/>
    <x v="0"/>
    <n v="1026"/>
    <n v="403.84"/>
    <n v="682.07"/>
    <n v="643.4"/>
    <n v="424.87"/>
    <n v="878.71"/>
    <n v="580.99"/>
    <n v="629.53"/>
    <n v="950.47"/>
    <n v="968.1"/>
    <n v="2485.62"/>
    <n v="1034.1099999999999"/>
    <n v="1399.67"/>
    <n v="11081.380000000001"/>
    <n v="-365.56000000000017"/>
  </r>
  <r>
    <x v="11"/>
    <x v="4"/>
    <x v="0"/>
    <s v="5050103"/>
    <n v="721010"/>
    <s v="Supplies-Medical - Billable"/>
    <s v="Sleep Lab"/>
    <x v="0"/>
    <m/>
    <n v="5.48"/>
    <n v="106.69"/>
    <n v="0"/>
    <n v="5.18"/>
    <n v="5.18"/>
    <n v="-4.46"/>
    <n v="40.270000000000003"/>
    <n v="54.35"/>
    <n v="109.27"/>
    <n v="-8.91"/>
    <n v="116.71"/>
    <n v="39.5"/>
    <n v="469.25999999999993"/>
    <n v="77.209999999999994"/>
  </r>
  <r>
    <x v="11"/>
    <x v="4"/>
    <x v="0"/>
    <s v="5050103"/>
    <n v="721010"/>
    <s v="Patient Monitoring"/>
    <s v="Sleep Lab"/>
    <x v="0"/>
    <n v="1000"/>
    <n v="1825.58"/>
    <n v="4437.5200000000004"/>
    <n v="911.68"/>
    <n v="3008.74"/>
    <n v="1779.32"/>
    <n v="3829.58"/>
    <n v="3745.67"/>
    <n v="1821.19"/>
    <n v="3794.32"/>
    <n v="3576.5"/>
    <n v="3576.28"/>
    <n v="3947.16"/>
    <n v="36253.539999999994"/>
    <n v="-370.87999999999965"/>
  </r>
  <r>
    <x v="11"/>
    <x v="4"/>
    <x v="0"/>
    <s v="5050103"/>
    <n v="721240"/>
    <s v="Supplies-IV Solutions/Supplies - Billable"/>
    <s v="Sleep Lab"/>
    <x v="0"/>
    <m/>
    <n v="0"/>
    <n v="0"/>
    <n v="0"/>
    <n v="0"/>
    <n v="0"/>
    <n v="0"/>
    <n v="0"/>
    <n v="0"/>
    <n v="0"/>
    <n v="0"/>
    <n v="0"/>
    <n v="1.02"/>
    <n v="1.02"/>
    <n v="-1.02"/>
  </r>
  <r>
    <x v="11"/>
    <x v="4"/>
    <x v="0"/>
    <s v="5050103"/>
    <n v="721410"/>
    <s v="Supplies-Medical - Nonbillable"/>
    <s v="Sleep Lab"/>
    <x v="0"/>
    <m/>
    <n v="2963.86"/>
    <n v="4929.4799999999996"/>
    <n v="4814.03"/>
    <n v="1872.71"/>
    <n v="2899.32"/>
    <n v="7748.27"/>
    <n v="1348"/>
    <n v="2831.53"/>
    <n v="3863.58"/>
    <n v="6073.89"/>
    <n v="1795.37"/>
    <n v="2144.25"/>
    <n v="43284.29"/>
    <n v="-348.88000000000011"/>
  </r>
  <r>
    <x v="11"/>
    <x v="4"/>
    <x v="0"/>
    <s v="5050103"/>
    <n v="721410"/>
    <s v="Patient Monitoring"/>
    <s v="Sleep Lab"/>
    <x v="0"/>
    <n v="1000"/>
    <n v="92.48"/>
    <n v="553.89"/>
    <n v="0"/>
    <n v="189.84"/>
    <n v="184.63"/>
    <n v="0"/>
    <n v="189.03"/>
    <n v="0"/>
    <n v="432.82"/>
    <n v="0"/>
    <n v="308.82"/>
    <n v="0"/>
    <n v="1951.51"/>
    <n v="308.82"/>
  </r>
  <r>
    <x v="11"/>
    <x v="4"/>
    <x v="0"/>
    <s v="5050103"/>
    <n v="721420"/>
    <s v="Supplies-Surgical Nonbillable"/>
    <s v="Sleep Lab"/>
    <x v="0"/>
    <m/>
    <n v="0"/>
    <n v="0"/>
    <n v="1.82"/>
    <n v="0"/>
    <n v="0"/>
    <n v="28.68"/>
    <n v="0"/>
    <n v="14.34"/>
    <n v="34.42"/>
    <n v="0"/>
    <n v="1.82"/>
    <n v="0"/>
    <n v="81.08"/>
    <n v="1.82"/>
  </r>
  <r>
    <x v="11"/>
    <x v="4"/>
    <x v="0"/>
    <s v="5050103"/>
    <n v="721610"/>
    <s v="Supplies-Anesthesia - Nonbillable"/>
    <s v="Sleep Lab"/>
    <x v="0"/>
    <m/>
    <n v="914.95"/>
    <n v="3598.44"/>
    <n v="3441.69"/>
    <n v="2443.98"/>
    <n v="1518.95"/>
    <n v="5868.24"/>
    <n v="3052.4"/>
    <n v="1767.69"/>
    <n v="2620.3000000000002"/>
    <n v="3929.01"/>
    <n v="2990.12"/>
    <n v="2784.86"/>
    <n v="34930.629999999997"/>
    <n v="205.25999999999976"/>
  </r>
  <r>
    <x v="11"/>
    <x v="4"/>
    <x v="0"/>
    <s v="5050103"/>
    <n v="721710"/>
    <s v="Supplies-Laboratory - Nonbillable"/>
    <s v="Sleep Lab"/>
    <x v="0"/>
    <m/>
    <n v="7"/>
    <n v="0"/>
    <n v="0"/>
    <n v="0"/>
    <n v="0"/>
    <n v="0"/>
    <n v="0"/>
    <n v="13.98"/>
    <n v="0"/>
    <n v="0"/>
    <n v="0"/>
    <n v="0"/>
    <n v="20.98"/>
    <n v="0"/>
  </r>
  <r>
    <x v="11"/>
    <x v="4"/>
    <x v="0"/>
    <s v="5050103"/>
    <n v="721810"/>
    <s v="Supplies-Dietary/Cafeteria"/>
    <s v="Sleep Lab"/>
    <x v="0"/>
    <m/>
    <n v="215.83"/>
    <n v="180.96"/>
    <n v="219.11"/>
    <n v="109.93"/>
    <n v="209.25"/>
    <n v="209.25"/>
    <n v="276.66000000000003"/>
    <n v="196.19"/>
    <n v="0"/>
    <n v="637.42999999999995"/>
    <n v="281.23"/>
    <n v="264.38"/>
    <n v="2800.2200000000003"/>
    <n v="16.850000000000023"/>
  </r>
  <r>
    <x v="11"/>
    <x v="4"/>
    <x v="0"/>
    <s v="5050103"/>
    <n v="721830"/>
    <s v="Supplies-Office"/>
    <s v="Sleep Lab"/>
    <x v="0"/>
    <m/>
    <n v="129.16999999999999"/>
    <n v="60.35"/>
    <n v="114.26"/>
    <n v="100.97"/>
    <n v="91.21"/>
    <n v="192.74"/>
    <n v="0"/>
    <n v="35.700000000000003"/>
    <n v="106.99"/>
    <n v="145.34"/>
    <n v="0"/>
    <n v="145.63"/>
    <n v="1122.3600000000001"/>
    <n v="-145.63"/>
  </r>
  <r>
    <x v="11"/>
    <x v="4"/>
    <x v="0"/>
    <s v="5050103"/>
    <n v="721835"/>
    <s v="Supplies-Forms"/>
    <s v="Sleep Lab"/>
    <x v="0"/>
    <m/>
    <n v="0"/>
    <n v="0"/>
    <n v="0"/>
    <n v="0"/>
    <n v="83.31"/>
    <n v="10.199999999999999"/>
    <n v="6"/>
    <n v="0"/>
    <n v="23.1"/>
    <n v="0"/>
    <n v="64.099999999999994"/>
    <n v="51.3"/>
    <n v="238.01"/>
    <n v="12.799999999999997"/>
  </r>
  <r>
    <x v="11"/>
    <x v="4"/>
    <x v="0"/>
    <s v="5050103"/>
    <n v="721870"/>
    <s v="Supplies-Environmental Services"/>
    <s v="Sleep Lab"/>
    <x v="0"/>
    <m/>
    <n v="203.77"/>
    <n v="101.84"/>
    <n v="97.58"/>
    <n v="69.16"/>
    <n v="84.41"/>
    <n v="82.82"/>
    <n v="145.79"/>
    <n v="117.37"/>
    <n v="140.01"/>
    <n v="99.9"/>
    <n v="142.71"/>
    <n v="126.45"/>
    <n v="1411.8100000000002"/>
    <n v="16.260000000000005"/>
  </r>
  <r>
    <x v="11"/>
    <x v="4"/>
    <x v="0"/>
    <s v="5050103"/>
    <n v="721910"/>
    <s v="Supplies-Small Equipment"/>
    <s v="Sleep Lab"/>
    <x v="0"/>
    <m/>
    <n v="106.65"/>
    <n v="143.49"/>
    <n v="19.2"/>
    <n v="109.01"/>
    <n v="62.45"/>
    <n v="20.399999999999999"/>
    <n v="40.799999999999997"/>
    <n v="139.66"/>
    <n v="39.119999999999997"/>
    <n v="21.06"/>
    <n v="48.28"/>
    <n v="32.64"/>
    <n v="782.75999999999988"/>
    <n v="15.64"/>
  </r>
  <r>
    <x v="11"/>
    <x v="4"/>
    <x v="0"/>
    <s v="5050103"/>
    <n v="721910"/>
    <s v="Instruments"/>
    <s v="Sleep Lab"/>
    <x v="0"/>
    <n v="1000"/>
    <n v="0"/>
    <n v="0"/>
    <n v="0"/>
    <n v="-101.41"/>
    <n v="0"/>
    <n v="50.66"/>
    <n v="0"/>
    <n v="0"/>
    <n v="0"/>
    <n v="0"/>
    <n v="0"/>
    <n v="0"/>
    <n v="-50.75"/>
    <n v="0"/>
  </r>
  <r>
    <x v="11"/>
    <x v="4"/>
    <x v="0"/>
    <s v="5050103"/>
    <n v="721980"/>
    <s v="Supplies-Other"/>
    <s v="Sleep Lab"/>
    <x v="0"/>
    <m/>
    <n v="3148.5"/>
    <n v="148.5"/>
    <n v="2005.6"/>
    <n v="0"/>
    <n v="0"/>
    <n v="143.85"/>
    <n v="0"/>
    <n v="1087.51"/>
    <n v="0"/>
    <n v="220.25"/>
    <n v="11.08"/>
    <n v="0"/>
    <n v="6765.2900000000009"/>
    <n v="11.08"/>
  </r>
  <r>
    <x v="11"/>
    <x v="4"/>
    <x v="0"/>
    <s v="5050103"/>
    <n v="722000"/>
    <s v="Supplies-Freight Expense"/>
    <s v="Sleep Lab"/>
    <x v="0"/>
    <m/>
    <n v="106.77"/>
    <n v="207.22"/>
    <n v="311.64"/>
    <n v="156.78"/>
    <n v="86.87"/>
    <n v="122.49"/>
    <n v="215.62"/>
    <n v="110.71"/>
    <n v="281.39999999999998"/>
    <n v="282.44"/>
    <n v="227.07"/>
    <n v="152.06"/>
    <n v="2261.0700000000002"/>
    <n v="75.009999999999991"/>
  </r>
  <r>
    <x v="12"/>
    <x v="4"/>
    <x v="0"/>
    <s v="5050103"/>
    <n v="730010"/>
    <s v="Rental and Leases-Building (DO NOT USE)"/>
    <s v="Sleep Lab"/>
    <x v="0"/>
    <m/>
    <n v="23473.57"/>
    <n v="23346"/>
    <n v="23473.57"/>
    <n v="23473.57"/>
    <n v="23473.57"/>
    <n v="-483.58"/>
    <n v="18500.8"/>
    <n v="18500.8"/>
    <n v="18500.8"/>
    <n v="18110.490000000002"/>
    <n v="18110.490000000002"/>
    <n v="0"/>
    <n v="208480.07999999996"/>
    <n v="18110.490000000002"/>
  </r>
  <r>
    <x v="12"/>
    <x v="4"/>
    <x v="0"/>
    <s v="5050103"/>
    <n v="730010"/>
    <s v="Rental-Common Area Maint (DO NOT USE)"/>
    <s v="Sleep Lab"/>
    <x v="0"/>
    <n v="2200"/>
    <n v="0"/>
    <n v="0"/>
    <n v="0"/>
    <n v="0"/>
    <n v="0"/>
    <n v="23957.15"/>
    <n v="4972.7700000000004"/>
    <n v="4972.7700000000004"/>
    <n v="3206.09"/>
    <n v="5700.92"/>
    <n v="5700.92"/>
    <n v="0"/>
    <n v="48510.619999999995"/>
    <n v="5700.92"/>
  </r>
  <r>
    <x v="12"/>
    <x v="4"/>
    <x v="0"/>
    <s v="5050103"/>
    <n v="730020"/>
    <s v="Rental and Leases-Equipment (DO NOT USE)"/>
    <s v="Sleep Lab"/>
    <x v="0"/>
    <m/>
    <n v="274.75"/>
    <n v="-6.13"/>
    <n v="0"/>
    <n v="-2820.69"/>
    <n v="0"/>
    <n v="80"/>
    <n v="0"/>
    <n v="80"/>
    <n v="40"/>
    <n v="0"/>
    <n v="40"/>
    <n v="0"/>
    <n v="-2312.0700000000002"/>
    <n v="40"/>
  </r>
  <r>
    <x v="12"/>
    <x v="4"/>
    <x v="0"/>
    <s v="5050103"/>
    <n v="730020"/>
    <s v="Rental and Leases-Copier Usage Fees (DO NOT USE)"/>
    <s v="Sleep Lab"/>
    <x v="0"/>
    <n v="5100"/>
    <n v="254.73"/>
    <n v="258.44"/>
    <n v="256.58"/>
    <n v="256.58"/>
    <n v="256.58"/>
    <n v="256.58"/>
    <n v="115.96"/>
    <n v="268.3"/>
    <n v="247.87"/>
    <n v="231.63"/>
    <n v="248.43"/>
    <n v="261.24"/>
    <n v="2912.92"/>
    <n v="-12.810000000000002"/>
  </r>
  <r>
    <x v="12"/>
    <x v="4"/>
    <x v="0"/>
    <s v="5050103"/>
    <n v="730040"/>
    <s v="LT Lease-Real Estate"/>
    <s v="Sleep Lab"/>
    <x v="0"/>
    <m/>
    <n v="0"/>
    <n v="0"/>
    <n v="0"/>
    <n v="0"/>
    <n v="0"/>
    <n v="0"/>
    <n v="0"/>
    <n v="0"/>
    <n v="0"/>
    <n v="0"/>
    <n v="0"/>
    <n v="23811.41"/>
    <n v="23811.41"/>
    <n v="-23811.41"/>
  </r>
  <r>
    <x v="16"/>
    <x v="4"/>
    <x v="0"/>
    <s v="5050103"/>
    <n v="732020"/>
    <s v="Repairs--Clin Equip-Parts-Internal to CHI Programs"/>
    <s v="Sleep Lab"/>
    <x v="0"/>
    <m/>
    <n v="0"/>
    <n v="0"/>
    <n v="0"/>
    <n v="0"/>
    <n v="0"/>
    <n v="0"/>
    <n v="0"/>
    <n v="0"/>
    <n v="0"/>
    <n v="0"/>
    <n v="0"/>
    <n v="38"/>
    <n v="38"/>
    <n v="-38"/>
  </r>
  <r>
    <x v="13"/>
    <x v="4"/>
    <x v="0"/>
    <s v="5050103"/>
    <n v="735050"/>
    <s v="Amortization-Leasehold Improvements"/>
    <s v="Sleep Lab"/>
    <x v="0"/>
    <m/>
    <n v="1934.46"/>
    <n v="1934.46"/>
    <n v="1934.46"/>
    <n v="1934.46"/>
    <n v="1934.46"/>
    <n v="1934.46"/>
    <n v="1934.46"/>
    <n v="1934.46"/>
    <n v="1934.46"/>
    <n v="1934.46"/>
    <n v="1934.46"/>
    <n v="1934.46"/>
    <n v="23213.519999999993"/>
    <n v="0"/>
  </r>
  <r>
    <x v="13"/>
    <x v="4"/>
    <x v="0"/>
    <s v="5050103"/>
    <n v="735070"/>
    <s v="Depreciation-Movable Equipment"/>
    <s v="Sleep Lab"/>
    <x v="0"/>
    <m/>
    <n v="1829.79"/>
    <n v="1808.75"/>
    <n v="1808.76"/>
    <n v="1808.74"/>
    <n v="1808.76"/>
    <n v="1808.74"/>
    <n v="1808.76"/>
    <n v="1808.74"/>
    <n v="1808.76"/>
    <n v="1808.73"/>
    <n v="1808.76"/>
    <n v="1808.72"/>
    <n v="21726.01"/>
    <n v="3.999999999996362E-2"/>
  </r>
  <r>
    <x v="0"/>
    <x v="4"/>
    <x v="0"/>
    <s v="5050103"/>
    <n v="743010"/>
    <s v="Dues--Institutional"/>
    <s v="Sleep Lab"/>
    <x v="0"/>
    <m/>
    <n v="0"/>
    <n v="0"/>
    <n v="0"/>
    <n v="1100"/>
    <n v="0"/>
    <n v="0"/>
    <n v="0"/>
    <n v="0"/>
    <n v="1100"/>
    <n v="0"/>
    <n v="0"/>
    <n v="0"/>
    <n v="2200"/>
    <n v="0"/>
  </r>
  <r>
    <x v="0"/>
    <x v="4"/>
    <x v="0"/>
    <s v="5050103"/>
    <n v="749510"/>
    <s v="Miscellaneous Expenses"/>
    <s v="Sleep Lab"/>
    <x v="0"/>
    <m/>
    <n v="1771.9"/>
    <n v="125"/>
    <n v="0"/>
    <n v="0"/>
    <n v="0"/>
    <n v="0"/>
    <n v="32.5"/>
    <n v="0"/>
    <n v="0"/>
    <n v="12.38"/>
    <n v="0"/>
    <n v="1353.32"/>
    <n v="3295.1000000000004"/>
    <n v="-1353.32"/>
  </r>
  <r>
    <x v="0"/>
    <x v="4"/>
    <x v="0"/>
    <s v="5050103"/>
    <n v="749510"/>
    <s v="Licenses"/>
    <s v="Sleep Lab"/>
    <x v="0"/>
    <n v="1002"/>
    <n v="0"/>
    <n v="0"/>
    <n v="0"/>
    <n v="0"/>
    <n v="0"/>
    <n v="0"/>
    <n v="0"/>
    <n v="4500"/>
    <n v="0"/>
    <n v="0"/>
    <n v="0"/>
    <n v="0"/>
    <n v="4500"/>
    <n v="0"/>
  </r>
  <r>
    <x v="0"/>
    <x v="4"/>
    <x v="0"/>
    <s v="5050103"/>
    <n v="749510"/>
    <s v="RICE Rewards"/>
    <s v="Sleep Lab"/>
    <x v="0"/>
    <n v="5100"/>
    <n v="0"/>
    <n v="0"/>
    <n v="0"/>
    <n v="0"/>
    <n v="0"/>
    <n v="0"/>
    <n v="0"/>
    <n v="148.97999999999999"/>
    <n v="0"/>
    <n v="0"/>
    <n v="0"/>
    <n v="0"/>
    <n v="148.97999999999999"/>
    <n v="0"/>
  </r>
  <r>
    <x v="0"/>
    <x v="4"/>
    <x v="0"/>
    <s v="5050103"/>
    <n v="749535"/>
    <s v="Employee Functions"/>
    <s v="Sleep Lab"/>
    <x v="0"/>
    <n v="1004"/>
    <n v="0"/>
    <n v="0"/>
    <n v="0"/>
    <n v="41.86"/>
    <n v="0"/>
    <n v="0"/>
    <n v="0"/>
    <n v="0"/>
    <n v="0"/>
    <n v="0"/>
    <n v="0"/>
    <n v="0"/>
    <n v="41.86"/>
    <n v="0"/>
  </r>
  <r>
    <x v="18"/>
    <x v="8"/>
    <x v="0"/>
    <s v="5050104"/>
    <n v="400010"/>
    <s v="Acute I/P Svcs Rev--Medicare"/>
    <s v="Sleep Lab"/>
    <x v="0"/>
    <n v="1100"/>
    <n v="-12028.95"/>
    <n v="-4610.37"/>
    <n v="0"/>
    <n v="0"/>
    <n v="-6147.16"/>
    <n v="-10492.16"/>
    <n v="-4345"/>
    <n v="-3165.78"/>
    <n v="-5784.9"/>
    <n v="-3165.78"/>
    <n v="-11080.23"/>
    <n v="-7914.45"/>
    <n v="-68734.78"/>
    <n v="-3165.7799999999997"/>
  </r>
  <r>
    <x v="18"/>
    <x v="8"/>
    <x v="0"/>
    <s v="5050104"/>
    <n v="400010"/>
    <s v="Acute I/P Svcs Rev--Medicaid"/>
    <s v="Sleep Lab"/>
    <x v="0"/>
    <n v="1200"/>
    <n v="-3073.58"/>
    <n v="0"/>
    <n v="-3073.58"/>
    <n v="0"/>
    <n v="-1536.79"/>
    <n v="-1536.79"/>
    <n v="0"/>
    <n v="0"/>
    <n v="0"/>
    <n v="0"/>
    <n v="-4475.34"/>
    <n v="0"/>
    <n v="-13696.08"/>
    <n v="-4475.34"/>
  </r>
  <r>
    <x v="18"/>
    <x v="8"/>
    <x v="0"/>
    <s v="5050104"/>
    <n v="400010"/>
    <s v="Acute I/P Svcs Rev--Comm Insurance"/>
    <s v="Sleep Lab"/>
    <x v="0"/>
    <n v="1300"/>
    <n v="0"/>
    <n v="0"/>
    <n v="0"/>
    <n v="0"/>
    <n v="-1536.79"/>
    <n v="0"/>
    <n v="0"/>
    <n v="0"/>
    <n v="0"/>
    <n v="0"/>
    <n v="0"/>
    <n v="-1582.89"/>
    <n v="-3119.6800000000003"/>
    <n v="1582.89"/>
  </r>
  <r>
    <x v="18"/>
    <x v="8"/>
    <x v="0"/>
    <s v="5050104"/>
    <n v="400010"/>
    <s v="Acute I/P Svcs Rev--BCBS Comm"/>
    <s v="Sleep Lab"/>
    <x v="0"/>
    <n v="1301"/>
    <n v="0"/>
    <n v="0"/>
    <n v="0"/>
    <n v="0"/>
    <n v="0"/>
    <n v="0"/>
    <n v="0"/>
    <n v="0"/>
    <n v="0"/>
    <n v="0"/>
    <n v="0"/>
    <n v="0"/>
    <n v="0"/>
    <n v="0"/>
  </r>
  <r>
    <x v="18"/>
    <x v="8"/>
    <x v="0"/>
    <s v="5050104"/>
    <n v="400010"/>
    <s v="Acute I/P Svcs Rev--Managed Care"/>
    <s v="Sleep Lab"/>
    <x v="0"/>
    <n v="1400"/>
    <n v="0"/>
    <n v="0"/>
    <n v="-1536.79"/>
    <n v="0"/>
    <n v="0"/>
    <n v="-1271.42"/>
    <n v="0"/>
    <n v="-3165.78"/>
    <n v="-1582.89"/>
    <n v="0"/>
    <n v="0"/>
    <n v="-3165.78"/>
    <n v="-10722.66"/>
    <n v="3165.78"/>
  </r>
  <r>
    <x v="18"/>
    <x v="8"/>
    <x v="0"/>
    <s v="5050104"/>
    <n v="400010"/>
    <s v="Acute I/P Svcs Rev--Self Pay"/>
    <s v="Sleep Lab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8"/>
    <x v="0"/>
    <s v="5050104"/>
    <n v="400010"/>
    <s v="Acute I/P Svcs Rev--Other"/>
    <s v="Sleep Lab"/>
    <x v="0"/>
    <n v="1700"/>
    <n v="0"/>
    <n v="0"/>
    <n v="0"/>
    <n v="0"/>
    <n v="0"/>
    <n v="0"/>
    <n v="-2808.21"/>
    <n v="-2892.45"/>
    <n v="0"/>
    <n v="0"/>
    <n v="0"/>
    <n v="0"/>
    <n v="-5700.66"/>
    <n v="0"/>
  </r>
  <r>
    <x v="19"/>
    <x v="8"/>
    <x v="0"/>
    <s v="5050104"/>
    <n v="400020"/>
    <s v="O/P Care Svcs Rev--Medicare"/>
    <s v="Sleep Lab"/>
    <x v="0"/>
    <n v="1100"/>
    <n v="-116151.52"/>
    <n v="-187627.26"/>
    <n v="-102448.44"/>
    <n v="-165388.4"/>
    <n v="-103611.32"/>
    <n v="-72404.649999999994"/>
    <n v="-115001.44"/>
    <n v="-88646.86"/>
    <n v="-122918.39"/>
    <n v="-141658.48000000001"/>
    <n v="-89334.18"/>
    <n v="-96133.1"/>
    <n v="-1401324.04"/>
    <n v="6798.9200000000128"/>
  </r>
  <r>
    <x v="19"/>
    <x v="8"/>
    <x v="0"/>
    <s v="5050104"/>
    <n v="400020"/>
    <s v="O/P Care Svcs Rev--Medicaid"/>
    <s v="Sleep Lab"/>
    <x v="0"/>
    <n v="1200"/>
    <n v="-45417.05"/>
    <n v="-44292.98"/>
    <n v="-14897.65"/>
    <n v="-30100.52"/>
    <n v="-29877.59"/>
    <n v="-33546.85"/>
    <n v="-26423.3"/>
    <n v="-42032.97"/>
    <n v="-37172.68"/>
    <n v="-36517.599999999999"/>
    <n v="-20453.21"/>
    <n v="-16927.45"/>
    <n v="-377659.85"/>
    <n v="-3525.7599999999984"/>
  </r>
  <r>
    <x v="19"/>
    <x v="8"/>
    <x v="0"/>
    <s v="5050104"/>
    <n v="400020"/>
    <s v="O/P Care Svcs Rev--Comm Insurance"/>
    <s v="Sleep Lab"/>
    <x v="0"/>
    <n v="1300"/>
    <n v="-9976.99"/>
    <n v="-1392.14"/>
    <n v="-10431.93"/>
    <n v="-9039.7900000000009"/>
    <n v="-2232.86"/>
    <n v="0"/>
    <n v="-16928.57"/>
    <n v="-2867.8"/>
    <n v="-1582.89"/>
    <n v="-716.95"/>
    <n v="0"/>
    <n v="-10744.88"/>
    <n v="-65914.8"/>
    <n v="10744.88"/>
  </r>
  <r>
    <x v="19"/>
    <x v="8"/>
    <x v="0"/>
    <s v="5050104"/>
    <n v="400020"/>
    <s v="O/P Care Svcs Rev--BCBS Comm"/>
    <s v="Sleep Lab"/>
    <x v="0"/>
    <n v="1301"/>
    <n v="-28719.49"/>
    <n v="-37679.51"/>
    <n v="-12761.27"/>
    <n v="-40025.29"/>
    <n v="-23648.14"/>
    <n v="-21008.51"/>
    <n v="-20863.86"/>
    <n v="-13144.09"/>
    <n v="-28110.06"/>
    <n v="-32312.39"/>
    <n v="-61578.5"/>
    <n v="-21170.16"/>
    <n v="-341021.26999999996"/>
    <n v="-40408.339999999997"/>
  </r>
  <r>
    <x v="19"/>
    <x v="8"/>
    <x v="0"/>
    <s v="5050104"/>
    <n v="400020"/>
    <s v="O/P Care Svcs Rev--Managed Care"/>
    <s v="Sleep Lab"/>
    <x v="0"/>
    <n v="1400"/>
    <n v="-72553.62"/>
    <n v="-29517.37"/>
    <n v="-71451.72"/>
    <n v="-145290.87"/>
    <n v="-56684.12"/>
    <n v="-100263.08"/>
    <n v="-49193.77"/>
    <n v="-45617.72"/>
    <n v="-70918.97"/>
    <n v="-77185.03"/>
    <n v="-64795.39"/>
    <n v="-73694.59"/>
    <n v="-857166.24999999988"/>
    <n v="8899.1999999999971"/>
  </r>
  <r>
    <x v="19"/>
    <x v="8"/>
    <x v="0"/>
    <s v="5050104"/>
    <n v="400020"/>
    <s v="O/P Care Svcs Rev--Self Pay"/>
    <s v="Sleep Lab"/>
    <x v="0"/>
    <n v="1500"/>
    <n v="0"/>
    <n v="0"/>
    <n v="0"/>
    <n v="0"/>
    <n v="0"/>
    <n v="0"/>
    <n v="-696.07"/>
    <n v="-8594.0300000000007"/>
    <n v="0"/>
    <n v="-716.95"/>
    <n v="0"/>
    <n v="0"/>
    <n v="-10007.050000000001"/>
    <n v="0"/>
  </r>
  <r>
    <x v="19"/>
    <x v="8"/>
    <x v="0"/>
    <s v="5050104"/>
    <n v="400020"/>
    <s v="O/P Care Svcs Rev--Other"/>
    <s v="Sleep Lab"/>
    <x v="0"/>
    <n v="1700"/>
    <n v="-15536.43"/>
    <n v="-45699.41"/>
    <n v="-48146.080000000002"/>
    <n v="-22729.14"/>
    <n v="-47305.36"/>
    <n v="-7888.78"/>
    <n v="-37992.230000000003"/>
    <n v="-16719.47"/>
    <n v="-38944.94"/>
    <n v="-16719.47"/>
    <n v="-7408.49"/>
    <n v="-1433.9"/>
    <n v="-306523.69999999995"/>
    <n v="-5974.59"/>
  </r>
  <r>
    <x v="5"/>
    <x v="8"/>
    <x v="0"/>
    <s v="5050104"/>
    <n v="700034"/>
    <s v="Salaries-Tech/Professional-Productive"/>
    <s v="Sleep Lab"/>
    <x v="0"/>
    <m/>
    <n v="15329.81"/>
    <n v="14497.89"/>
    <n v="15891.32"/>
    <n v="18016.43"/>
    <n v="13501.8"/>
    <n v="13023.36"/>
    <n v="14345.87"/>
    <n v="12051.73"/>
    <n v="19027.45"/>
    <n v="18546.25"/>
    <n v="11201.65"/>
    <n v="14081.07"/>
    <n v="179514.63"/>
    <n v="-2879.42"/>
  </r>
  <r>
    <x v="5"/>
    <x v="8"/>
    <x v="0"/>
    <s v="5050104"/>
    <n v="700034"/>
    <s v="Salaries-Tech/Professional-OT"/>
    <s v="Sleep Lab"/>
    <x v="0"/>
    <n v="1000"/>
    <n v="0"/>
    <n v="0"/>
    <n v="995.96"/>
    <n v="-362.15"/>
    <n v="246.59"/>
    <n v="332.59"/>
    <n v="-56.39"/>
    <n v="870.41"/>
    <n v="-203.01"/>
    <n v="0"/>
    <n v="94.82"/>
    <n v="67.63"/>
    <n v="1986.4499999999998"/>
    <n v="27.189999999999998"/>
  </r>
  <r>
    <x v="5"/>
    <x v="8"/>
    <x v="0"/>
    <s v="5050104"/>
    <n v="700034"/>
    <s v="Salaries-Tech/Professional-Other"/>
    <s v="Sleep Lab"/>
    <x v="0"/>
    <n v="2000"/>
    <n v="1206.8900000000001"/>
    <n v="1255.28"/>
    <n v="1457.58"/>
    <n v="1307.71"/>
    <n v="1586.36"/>
    <n v="935.75"/>
    <n v="1059.9100000000001"/>
    <n v="978.5"/>
    <n v="1415.38"/>
    <n v="1445.62"/>
    <n v="1089"/>
    <n v="829.02"/>
    <n v="14567"/>
    <n v="259.98"/>
  </r>
  <r>
    <x v="5"/>
    <x v="8"/>
    <x v="0"/>
    <s v="5050104"/>
    <n v="700038"/>
    <s v="Salaries-Service/Support-Productive"/>
    <s v="Sleep Lab"/>
    <x v="0"/>
    <m/>
    <n v="1904.89"/>
    <n v="1941.02"/>
    <n v="1845.17"/>
    <n v="1600.83"/>
    <n v="1904.91"/>
    <n v="1571.95"/>
    <n v="1734.06"/>
    <n v="1672.96"/>
    <n v="2060.83"/>
    <n v="1448.8"/>
    <n v="1875.06"/>
    <n v="1734.36"/>
    <n v="21294.840000000004"/>
    <n v="140.70000000000005"/>
  </r>
  <r>
    <x v="5"/>
    <x v="8"/>
    <x v="0"/>
    <s v="5050104"/>
    <n v="700038"/>
    <s v="Salaries-Service/Support-Other"/>
    <s v="Sleep Lab"/>
    <x v="0"/>
    <n v="2000"/>
    <n v="55.51"/>
    <n v="54.27"/>
    <n v="55.16"/>
    <n v="51.78"/>
    <n v="59.24"/>
    <n v="44.48"/>
    <n v="53.94"/>
    <n v="50.21"/>
    <n v="61.83"/>
    <n v="46.05"/>
    <n v="59.69"/>
    <n v="52.48"/>
    <n v="644.63999999999987"/>
    <n v="7.2100000000000009"/>
  </r>
  <r>
    <x v="5"/>
    <x v="8"/>
    <x v="0"/>
    <s v="5050104"/>
    <n v="700074"/>
    <s v="Salaries-Tech/Professional-Non-productive"/>
    <s v="Sleep Lab"/>
    <x v="0"/>
    <m/>
    <n v="3086.01"/>
    <n v="3824.62"/>
    <n v="4099.3900000000003"/>
    <n v="397.08"/>
    <n v="8452.1"/>
    <n v="3307.77"/>
    <n v="3792.64"/>
    <n v="4446.62"/>
    <n v="-107.48"/>
    <n v="338.83"/>
    <n v="3300.63"/>
    <n v="383.77"/>
    <n v="35321.979999999996"/>
    <n v="2916.86"/>
  </r>
  <r>
    <x v="5"/>
    <x v="8"/>
    <x v="0"/>
    <s v="5050104"/>
    <n v="700074"/>
    <s v="Salaries-Tech/Professional-NonProd-Other"/>
    <s v="Sleep Lab"/>
    <x v="0"/>
    <n v="2000"/>
    <n v="408.53"/>
    <n v="344.96"/>
    <n v="575.02"/>
    <n v="293.8"/>
    <n v="537.80999999999995"/>
    <n v="385.89"/>
    <n v="451.66"/>
    <n v="543.83000000000004"/>
    <n v="333.29"/>
    <n v="384.68"/>
    <n v="533.47"/>
    <n v="195.43"/>
    <n v="4988.37"/>
    <n v="338.04"/>
  </r>
  <r>
    <x v="5"/>
    <x v="8"/>
    <x v="0"/>
    <s v="5050104"/>
    <n v="700078"/>
    <s v="Salaries-Service/Support-Non-productive"/>
    <s v="Sleep Lab"/>
    <x v="0"/>
    <m/>
    <n v="90.1"/>
    <n v="90.1"/>
    <n v="90.1"/>
    <n v="450.5"/>
    <n v="93.25"/>
    <n v="492.88"/>
    <n v="346.92"/>
    <n v="0"/>
    <n v="0"/>
    <n v="573.63"/>
    <n v="160.11000000000001"/>
    <n v="220.13"/>
    <n v="2607.7200000000003"/>
    <n v="-60.019999999999982"/>
  </r>
  <r>
    <x v="5"/>
    <x v="8"/>
    <x v="0"/>
    <s v="5050104"/>
    <n v="700084"/>
    <s v="Accrued PTO"/>
    <s v="Sleep Lab"/>
    <x v="0"/>
    <m/>
    <n v="-669.4"/>
    <n v="-905.42"/>
    <n v="-1494.64"/>
    <n v="194.61"/>
    <n v="-1606.18"/>
    <n v="-3291"/>
    <n v="31.68"/>
    <n v="2459.86"/>
    <n v="1480.9"/>
    <n v="917.31"/>
    <n v="-869.93"/>
    <n v="1233.6199999999999"/>
    <n v="-2518.5899999999997"/>
    <n v="-2103.5499999999997"/>
  </r>
  <r>
    <x v="6"/>
    <x v="8"/>
    <x v="0"/>
    <s v="5050104"/>
    <n v="713010"/>
    <s v="Benefits-FICA/Medicare"/>
    <s v="Sleep Lab"/>
    <x v="0"/>
    <m/>
    <n v="1664.76"/>
    <n v="1665.44"/>
    <n v="1883.38"/>
    <n v="1639.9"/>
    <n v="1994.61"/>
    <n v="1508.29"/>
    <n v="1636.31"/>
    <n v="1534.99"/>
    <n v="1692.35"/>
    <n v="1708.36"/>
    <n v="1814.67"/>
    <n v="1318.95"/>
    <n v="20062.009999999998"/>
    <n v="495.72"/>
  </r>
  <r>
    <x v="6"/>
    <x v="8"/>
    <x v="0"/>
    <s v="5050104"/>
    <n v="713090"/>
    <s v="Benefits-Allocated Amounts"/>
    <s v="Sleep Lab"/>
    <x v="0"/>
    <m/>
    <n v="4404"/>
    <n v="3888.05"/>
    <n v="4597.1499999999996"/>
    <n v="4114.5200000000004"/>
    <n v="5005.46"/>
    <n v="3626.69"/>
    <n v="4176.5600000000004"/>
    <n v="4371.59"/>
    <n v="4380.12"/>
    <n v="4823.79"/>
    <n v="3713.43"/>
    <n v="3736.85"/>
    <n v="50838.210000000006"/>
    <n v="-23.420000000000073"/>
  </r>
  <r>
    <x v="6"/>
    <x v="8"/>
    <x v="0"/>
    <s v="5050104"/>
    <n v="713096"/>
    <s v="Employee Recognition"/>
    <s v="Sleep Lab"/>
    <x v="0"/>
    <n v="1017"/>
    <n v="0"/>
    <n v="0"/>
    <n v="0"/>
    <n v="0"/>
    <n v="0"/>
    <n v="0"/>
    <n v="0"/>
    <n v="0"/>
    <n v="0"/>
    <n v="0"/>
    <n v="0"/>
    <n v="244.76"/>
    <n v="244.76"/>
    <n v="-244.76"/>
  </r>
  <r>
    <x v="17"/>
    <x v="8"/>
    <x v="0"/>
    <s v="5050104"/>
    <n v="714510"/>
    <s v="Medical Director Fees"/>
    <s v="Sleep Lab"/>
    <x v="0"/>
    <m/>
    <n v="3080"/>
    <n v="3080"/>
    <n v="3080"/>
    <n v="3080"/>
    <n v="3080"/>
    <n v="3080"/>
    <n v="3080"/>
    <n v="3080"/>
    <n v="3080"/>
    <n v="3080"/>
    <n v="3080"/>
    <n v="3080"/>
    <n v="36960"/>
    <n v="0"/>
  </r>
  <r>
    <x v="7"/>
    <x v="8"/>
    <x v="0"/>
    <s v="5050104"/>
    <n v="718050"/>
    <s v="Contract Svcs-Other"/>
    <s v="Sleep Lab"/>
    <x v="0"/>
    <m/>
    <n v="0"/>
    <n v="0"/>
    <n v="0"/>
    <n v="64"/>
    <n v="0"/>
    <n v="0"/>
    <n v="61"/>
    <n v="0"/>
    <n v="0"/>
    <n v="0"/>
    <n v="0"/>
    <n v="0"/>
    <n v="125"/>
    <n v="0"/>
  </r>
  <r>
    <x v="7"/>
    <x v="8"/>
    <x v="0"/>
    <s v="5050104"/>
    <n v="718050"/>
    <s v="Document Shredding/Storage"/>
    <s v="Sleep Lab"/>
    <x v="0"/>
    <n v="1012"/>
    <n v="18.96"/>
    <n v="19.38"/>
    <n v="17.86"/>
    <n v="18.48"/>
    <n v="140.5"/>
    <n v="19.100000000000001"/>
    <n v="18.899999999999999"/>
    <n v="-44.46"/>
    <n v="16.809999999999999"/>
    <n v="21.99"/>
    <n v="25.48"/>
    <n v="12.12"/>
    <n v="285.12"/>
    <n v="13.360000000000001"/>
  </r>
  <r>
    <x v="7"/>
    <x v="8"/>
    <x v="0"/>
    <s v="5050104"/>
    <n v="718050"/>
    <s v="Contract Management--Linen"/>
    <s v="Sleep Lab"/>
    <x v="0"/>
    <n v="1026"/>
    <n v="0"/>
    <n v="435.19"/>
    <n v="266.17"/>
    <n v="242.45"/>
    <n v="334.92"/>
    <n v="0"/>
    <n v="398.98"/>
    <n v="208.04"/>
    <n v="0"/>
    <n v="350.07"/>
    <n v="0"/>
    <n v="375.67"/>
    <n v="2611.4900000000002"/>
    <n v="-375.67"/>
  </r>
  <r>
    <x v="11"/>
    <x v="8"/>
    <x v="0"/>
    <s v="5050104"/>
    <n v="721010"/>
    <s v="Supplies-Medical - Billable"/>
    <s v="Sleep Lab"/>
    <x v="0"/>
    <m/>
    <n v="0"/>
    <n v="0.6"/>
    <n v="5.18"/>
    <n v="0"/>
    <n v="0"/>
    <n v="5.18"/>
    <n v="0"/>
    <n v="0"/>
    <n v="0"/>
    <n v="10.36"/>
    <n v="0"/>
    <n v="56.25"/>
    <n v="77.569999999999993"/>
    <n v="-56.25"/>
  </r>
  <r>
    <x v="11"/>
    <x v="8"/>
    <x v="0"/>
    <s v="5050104"/>
    <n v="721010"/>
    <s v="Patient Monitoring"/>
    <s v="Sleep Lab"/>
    <x v="0"/>
    <n v="1000"/>
    <n v="454.41"/>
    <n v="218.06"/>
    <n v="148.36000000000001"/>
    <n v="0"/>
    <n v="0"/>
    <n v="978.84"/>
    <n v="83.1"/>
    <n v="3.79"/>
    <n v="142.57"/>
    <n v="339.86"/>
    <n v="-131.78"/>
    <n v="512.29999999999995"/>
    <n v="2749.5099999999993"/>
    <n v="-644.07999999999993"/>
  </r>
  <r>
    <x v="11"/>
    <x v="8"/>
    <x v="0"/>
    <s v="5050104"/>
    <n v="721210"/>
    <s v="Supplies-Anesthesia - Billable"/>
    <s v="Sleep Lab"/>
    <x v="0"/>
    <m/>
    <n v="0"/>
    <n v="0"/>
    <n v="0"/>
    <n v="0"/>
    <n v="0"/>
    <n v="0"/>
    <n v="0"/>
    <n v="0"/>
    <n v="0"/>
    <n v="0"/>
    <n v="0"/>
    <n v="129.5"/>
    <n v="129.5"/>
    <n v="-129.5"/>
  </r>
  <r>
    <x v="11"/>
    <x v="8"/>
    <x v="0"/>
    <s v="5050104"/>
    <n v="721240"/>
    <s v="Supplies-IV Solutions/Supplies - Billable"/>
    <s v="Sleep Lab"/>
    <x v="0"/>
    <m/>
    <n v="0"/>
    <n v="15.85"/>
    <n v="0"/>
    <n v="0"/>
    <n v="0"/>
    <n v="0"/>
    <n v="0"/>
    <n v="0"/>
    <n v="31.7"/>
    <n v="-18.399999999999999"/>
    <n v="0"/>
    <n v="0"/>
    <n v="29.15"/>
    <n v="0"/>
  </r>
  <r>
    <x v="11"/>
    <x v="8"/>
    <x v="0"/>
    <s v="5050104"/>
    <n v="721410"/>
    <s v="Supplies-Medical - Nonbillable"/>
    <s v="Sleep Lab"/>
    <x v="0"/>
    <m/>
    <n v="331.06"/>
    <n v="1106.24"/>
    <n v="543.77"/>
    <n v="493.15"/>
    <n v="305.27"/>
    <n v="603.37"/>
    <n v="421.71"/>
    <n v="1677.18"/>
    <n v="1297.23"/>
    <n v="3241.79"/>
    <n v="1196.05"/>
    <n v="567.74"/>
    <n v="11784.56"/>
    <n v="628.30999999999995"/>
  </r>
  <r>
    <x v="11"/>
    <x v="8"/>
    <x v="0"/>
    <s v="5050104"/>
    <n v="721410"/>
    <s v="Patient Monitoring"/>
    <s v="Sleep Lab"/>
    <x v="0"/>
    <n v="1000"/>
    <n v="0"/>
    <n v="170.78"/>
    <n v="157.88999999999999"/>
    <n v="130.11000000000001"/>
    <n v="-15.31"/>
    <n v="79.11"/>
    <n v="78.94"/>
    <n v="0"/>
    <n v="0"/>
    <n v="78.94"/>
    <n v="0"/>
    <n v="118.42"/>
    <n v="798.88"/>
    <n v="-118.42"/>
  </r>
  <r>
    <x v="11"/>
    <x v="8"/>
    <x v="0"/>
    <s v="5050104"/>
    <n v="721420"/>
    <s v="Supplies-Surgical Nonbillable"/>
    <s v="Sleep Lab"/>
    <x v="0"/>
    <m/>
    <n v="141.6"/>
    <n v="84.96"/>
    <n v="0"/>
    <n v="0"/>
    <n v="0"/>
    <n v="0"/>
    <n v="113.27"/>
    <n v="8.6300000000000008"/>
    <n v="0"/>
    <n v="113.27"/>
    <n v="0"/>
    <n v="0"/>
    <n v="461.72999999999996"/>
    <n v="0"/>
  </r>
  <r>
    <x v="11"/>
    <x v="8"/>
    <x v="0"/>
    <s v="5050104"/>
    <n v="721610"/>
    <s v="Supplies-Anesthesia - Nonbillable"/>
    <s v="Sleep Lab"/>
    <x v="0"/>
    <m/>
    <n v="1202.67"/>
    <n v="1086.21"/>
    <n v="2066.6999999999998"/>
    <n v="1213.5899999999999"/>
    <n v="1449.72"/>
    <n v="410.98"/>
    <n v="76.47"/>
    <n v="977.44"/>
    <n v="755.47"/>
    <n v="874.03"/>
    <n v="153.16"/>
    <n v="505"/>
    <n v="10771.44"/>
    <n v="-351.84000000000003"/>
  </r>
  <r>
    <x v="11"/>
    <x v="8"/>
    <x v="0"/>
    <s v="5050104"/>
    <n v="721650"/>
    <s v="Supplies-Pharmacy Drugs - Nonbillable"/>
    <s v="Sleep Lab"/>
    <x v="0"/>
    <m/>
    <n v="0"/>
    <n v="0"/>
    <n v="0"/>
    <n v="0"/>
    <n v="0"/>
    <n v="0"/>
    <n v="0"/>
    <n v="0"/>
    <n v="0"/>
    <n v="0"/>
    <n v="1.53"/>
    <n v="0"/>
    <n v="1.53"/>
    <n v="1.53"/>
  </r>
  <r>
    <x v="11"/>
    <x v="8"/>
    <x v="0"/>
    <s v="5050104"/>
    <n v="721810"/>
    <s v="Supplies-Dietary/Cafeteria"/>
    <s v="Sleep Lab"/>
    <x v="0"/>
    <m/>
    <n v="0"/>
    <n v="43.97"/>
    <n v="0"/>
    <n v="20.48"/>
    <n v="10.82"/>
    <n v="0"/>
    <n v="21.63"/>
    <n v="0"/>
    <n v="48.69"/>
    <n v="135.72"/>
    <n v="16.52"/>
    <n v="0"/>
    <n v="297.83"/>
    <n v="16.52"/>
  </r>
  <r>
    <x v="11"/>
    <x v="8"/>
    <x v="0"/>
    <s v="5050104"/>
    <n v="721830"/>
    <s v="Supplies-Office"/>
    <s v="Sleep Lab"/>
    <x v="0"/>
    <m/>
    <n v="138.9"/>
    <n v="63.27"/>
    <n v="0"/>
    <n v="12.13"/>
    <n v="344.65"/>
    <n v="77.239999999999995"/>
    <n v="45.29"/>
    <n v="33.26"/>
    <n v="17.350000000000001"/>
    <n v="55.16"/>
    <n v="0"/>
    <n v="122.72"/>
    <n v="909.97"/>
    <n v="-122.72"/>
  </r>
  <r>
    <x v="11"/>
    <x v="8"/>
    <x v="0"/>
    <s v="5050104"/>
    <n v="721835"/>
    <s v="Supplies-Forms"/>
    <s v="Sleep Lab"/>
    <x v="0"/>
    <m/>
    <n v="0"/>
    <n v="0"/>
    <n v="0"/>
    <n v="0"/>
    <n v="0"/>
    <n v="0"/>
    <n v="12.3"/>
    <n v="0"/>
    <n v="12.27"/>
    <n v="0"/>
    <n v="13.08"/>
    <n v="0"/>
    <n v="37.65"/>
    <n v="13.08"/>
  </r>
  <r>
    <x v="11"/>
    <x v="8"/>
    <x v="0"/>
    <s v="5050104"/>
    <n v="721870"/>
    <s v="Supplies-Environmental Services"/>
    <s v="Sleep Lab"/>
    <x v="0"/>
    <m/>
    <n v="9.6"/>
    <n v="117.65"/>
    <n v="14.41"/>
    <n v="7.09"/>
    <n v="23.5"/>
    <n v="12.3"/>
    <n v="0"/>
    <n v="0"/>
    <n v="37.33"/>
    <n v="10.83"/>
    <n v="104.4"/>
    <n v="0"/>
    <n v="337.11"/>
    <n v="104.4"/>
  </r>
  <r>
    <x v="11"/>
    <x v="8"/>
    <x v="0"/>
    <s v="5050104"/>
    <n v="721910"/>
    <s v="Supplies-Small Equipment"/>
    <s v="Sleep Lab"/>
    <x v="0"/>
    <m/>
    <n v="8343.7800000000007"/>
    <n v="0"/>
    <n v="196.64"/>
    <n v="0"/>
    <n v="23.04"/>
    <n v="160"/>
    <n v="20.399999999999999"/>
    <n v="336.72"/>
    <n v="173.6"/>
    <n v="16.32"/>
    <n v="35.36"/>
    <n v="188"/>
    <n v="9493.86"/>
    <n v="-152.63999999999999"/>
  </r>
  <r>
    <x v="11"/>
    <x v="8"/>
    <x v="0"/>
    <s v="5050104"/>
    <n v="721980"/>
    <s v="Supplies-Other"/>
    <s v="Sleep Lab"/>
    <x v="0"/>
    <m/>
    <n v="0"/>
    <n v="20.69"/>
    <n v="0"/>
    <n v="0"/>
    <n v="0"/>
    <n v="0"/>
    <n v="0"/>
    <n v="0"/>
    <n v="0"/>
    <n v="0"/>
    <n v="0"/>
    <n v="0"/>
    <n v="20.69"/>
    <n v="0"/>
  </r>
  <r>
    <x v="11"/>
    <x v="8"/>
    <x v="0"/>
    <s v="5050104"/>
    <n v="722000"/>
    <s v="Supplies-Freight Expense"/>
    <s v="Sleep Lab"/>
    <x v="0"/>
    <m/>
    <n v="48.52"/>
    <n v="112.12"/>
    <n v="83.4"/>
    <n v="109.96"/>
    <n v="56.95"/>
    <n v="50.36"/>
    <n v="126.64"/>
    <n v="0"/>
    <n v="42.06"/>
    <n v="98.88"/>
    <n v="75.87"/>
    <n v="0"/>
    <n v="804.76"/>
    <n v="75.87"/>
  </r>
  <r>
    <x v="12"/>
    <x v="8"/>
    <x v="0"/>
    <s v="5050104"/>
    <n v="730010"/>
    <s v="Rental and Leases-Building (DO NOT USE)"/>
    <s v="Sleep Lab"/>
    <x v="0"/>
    <m/>
    <n v="11251.41"/>
    <n v="11251.41"/>
    <n v="11251.41"/>
    <n v="11251.41"/>
    <n v="11251.41"/>
    <n v="-7585.66"/>
    <n v="8280.19"/>
    <n v="8280.19"/>
    <n v="8281.66"/>
    <n v="8279.4500000000007"/>
    <n v="8279.4500000000007"/>
    <n v="0"/>
    <n v="90072.33"/>
    <n v="8279.4500000000007"/>
  </r>
  <r>
    <x v="12"/>
    <x v="8"/>
    <x v="0"/>
    <s v="5050104"/>
    <n v="730010"/>
    <s v="Rental-Common Area Maint (DO NOT USE)"/>
    <s v="Sleep Lab"/>
    <x v="0"/>
    <n v="2200"/>
    <n v="0"/>
    <n v="0"/>
    <n v="0"/>
    <n v="0"/>
    <n v="0"/>
    <n v="19039.02"/>
    <n v="3173.17"/>
    <n v="3173.17"/>
    <n v="4059.14"/>
    <n v="3202.73"/>
    <n v="3202.73"/>
    <n v="0"/>
    <n v="35849.96"/>
    <n v="3202.73"/>
  </r>
  <r>
    <x v="12"/>
    <x v="8"/>
    <x v="0"/>
    <s v="5050104"/>
    <n v="730020"/>
    <s v="Rental and Leases-Equipment (DO NOT USE)"/>
    <s v="Sleep Lab"/>
    <x v="0"/>
    <m/>
    <n v="22.36"/>
    <n v="130.86000000000001"/>
    <n v="32.880000000000003"/>
    <n v="29.98"/>
    <n v="70"/>
    <n v="11.18"/>
    <n v="11.18"/>
    <n v="31.23"/>
    <n v="13.73"/>
    <n v="11.23"/>
    <n v="11.23"/>
    <n v="71.23"/>
    <n v="447.09000000000015"/>
    <n v="-60"/>
  </r>
  <r>
    <x v="12"/>
    <x v="8"/>
    <x v="0"/>
    <s v="5050104"/>
    <n v="730020"/>
    <s v="Rental and Leases-Copier Usage Fees (DO NOT USE)"/>
    <s v="Sleep Lab"/>
    <x v="0"/>
    <n v="5100"/>
    <n v="113.57"/>
    <n v="115.15"/>
    <n v="114.36"/>
    <n v="114.36"/>
    <n v="114.36"/>
    <n v="114.36"/>
    <n v="294.47000000000003"/>
    <n v="125.39"/>
    <n v="125.29"/>
    <n v="104.05"/>
    <n v="114.33"/>
    <n v="126.42"/>
    <n v="1576.11"/>
    <n v="-12.090000000000003"/>
  </r>
  <r>
    <x v="12"/>
    <x v="8"/>
    <x v="0"/>
    <s v="5050104"/>
    <n v="730040"/>
    <s v="LT Lease-Real Estate"/>
    <s v="Sleep Lab"/>
    <x v="0"/>
    <m/>
    <n v="0"/>
    <n v="0"/>
    <n v="0"/>
    <n v="0"/>
    <n v="0"/>
    <n v="0"/>
    <n v="0"/>
    <n v="0"/>
    <n v="0"/>
    <n v="0"/>
    <n v="0"/>
    <n v="11482.18"/>
    <n v="11482.18"/>
    <n v="-11482.18"/>
  </r>
  <r>
    <x v="15"/>
    <x v="8"/>
    <x v="0"/>
    <s v="5050104"/>
    <n v="731070"/>
    <s v="Cable TV"/>
    <s v="Sleep Lab"/>
    <x v="0"/>
    <m/>
    <n v="114.01"/>
    <n v="114.01"/>
    <n v="114.01"/>
    <n v="113.96"/>
    <n v="157.47999999999999"/>
    <n v="140.5"/>
    <n v="140.5"/>
    <n v="140.5"/>
    <n v="140.5"/>
    <n v="140.5"/>
    <n v="140.41999999999999"/>
    <n v="140.41999999999999"/>
    <n v="1596.8100000000002"/>
    <n v="0"/>
  </r>
  <r>
    <x v="16"/>
    <x v="8"/>
    <x v="0"/>
    <s v="5050104"/>
    <n v="732030"/>
    <s v="Repairs---Other"/>
    <s v="Sleep Lab"/>
    <x v="0"/>
    <m/>
    <n v="0"/>
    <n v="0"/>
    <n v="0"/>
    <n v="0"/>
    <n v="81.790000000000006"/>
    <n v="381.38"/>
    <n v="0"/>
    <n v="0"/>
    <n v="600"/>
    <n v="0"/>
    <n v="0"/>
    <n v="27.27"/>
    <n v="1090.44"/>
    <n v="-27.27"/>
  </r>
  <r>
    <x v="16"/>
    <x v="8"/>
    <x v="0"/>
    <s v="5050104"/>
    <n v="732030"/>
    <s v="Repairs&amp;Maintenance-Bldg Routine"/>
    <s v="Sleep Lab"/>
    <x v="0"/>
    <n v="2300"/>
    <n v="0"/>
    <n v="657.09"/>
    <n v="0"/>
    <n v="0"/>
    <n v="0"/>
    <n v="0"/>
    <n v="0"/>
    <n v="0"/>
    <n v="0"/>
    <n v="0"/>
    <n v="0"/>
    <n v="0"/>
    <n v="657.09"/>
    <n v="0"/>
  </r>
  <r>
    <x v="13"/>
    <x v="8"/>
    <x v="0"/>
    <s v="5050104"/>
    <n v="735050"/>
    <s v="Amortization-Leasehold Improvements"/>
    <s v="Sleep Lab"/>
    <x v="0"/>
    <m/>
    <n v="0"/>
    <n v="0"/>
    <n v="0"/>
    <n v="0"/>
    <n v="0"/>
    <n v="0"/>
    <n v="0"/>
    <n v="0"/>
    <n v="0"/>
    <n v="0"/>
    <n v="0"/>
    <n v="200.85"/>
    <n v="200.85"/>
    <n v="-200.85"/>
  </r>
  <r>
    <x v="13"/>
    <x v="8"/>
    <x v="0"/>
    <s v="5050104"/>
    <n v="735070"/>
    <s v="Depreciation-Movable Equipment"/>
    <s v="Sleep Lab"/>
    <x v="0"/>
    <m/>
    <n v="1461.79"/>
    <n v="1461.79"/>
    <n v="1461.8"/>
    <n v="1461.79"/>
    <n v="1461.82"/>
    <n v="1461.79"/>
    <n v="1461.83"/>
    <n v="1461.79"/>
    <n v="1461.84"/>
    <n v="1461.79"/>
    <n v="1461.84"/>
    <n v="1461.79"/>
    <n v="17541.66"/>
    <n v="4.9999999999954525E-2"/>
  </r>
  <r>
    <x v="0"/>
    <x v="8"/>
    <x v="0"/>
    <s v="5050104"/>
    <n v="742010"/>
    <s v="Postage-Regular"/>
    <s v="Sleep Lab"/>
    <x v="0"/>
    <m/>
    <n v="0"/>
    <n v="0"/>
    <n v="0"/>
    <n v="0"/>
    <n v="0"/>
    <n v="0"/>
    <n v="57.34"/>
    <n v="102.36"/>
    <n v="0"/>
    <n v="0"/>
    <n v="0"/>
    <n v="0"/>
    <n v="159.69999999999999"/>
    <n v="0"/>
  </r>
  <r>
    <x v="0"/>
    <x v="8"/>
    <x v="0"/>
    <s v="5050104"/>
    <n v="743010"/>
    <s v="Dues--Institutional"/>
    <s v="Sleep Lab"/>
    <x v="0"/>
    <m/>
    <n v="0"/>
    <n v="0"/>
    <n v="0"/>
    <n v="1100"/>
    <n v="0"/>
    <n v="0"/>
    <n v="0"/>
    <n v="0"/>
    <n v="0"/>
    <n v="1100"/>
    <n v="0"/>
    <n v="0"/>
    <n v="2200"/>
    <n v="0"/>
  </r>
  <r>
    <x v="0"/>
    <x v="8"/>
    <x v="0"/>
    <s v="5050104"/>
    <n v="749510"/>
    <s v="Miscellaneous Expenses"/>
    <s v="Sleep Lab"/>
    <x v="0"/>
    <m/>
    <n v="82.92"/>
    <n v="-82.92"/>
    <n v="0"/>
    <n v="-2117.29"/>
    <n v="-16.899999999999999"/>
    <n v="32.19"/>
    <n v="1705.47"/>
    <n v="205.3"/>
    <n v="-93.33"/>
    <n v="6948"/>
    <n v="289.42"/>
    <n v="-289.42"/>
    <n v="6663.4400000000005"/>
    <n v="578.84"/>
  </r>
  <r>
    <x v="0"/>
    <x v="8"/>
    <x v="0"/>
    <s v="5050104"/>
    <n v="749510"/>
    <s v="RICE Rewards"/>
    <s v="Sleep Lab"/>
    <x v="0"/>
    <n v="5100"/>
    <n v="0"/>
    <n v="0"/>
    <n v="0"/>
    <n v="0"/>
    <n v="0"/>
    <n v="0"/>
    <n v="0"/>
    <n v="148.97999999999999"/>
    <n v="0"/>
    <n v="0"/>
    <n v="0"/>
    <n v="0"/>
    <n v="148.97999999999999"/>
    <n v="0"/>
  </r>
  <r>
    <x v="0"/>
    <x v="8"/>
    <x v="0"/>
    <s v="5050104"/>
    <n v="749530"/>
    <s v="Mileage"/>
    <s v="Sleep Lab"/>
    <x v="0"/>
    <n v="1001"/>
    <n v="0"/>
    <n v="41.46"/>
    <n v="40.9"/>
    <n v="60"/>
    <n v="16.899999999999999"/>
    <n v="32.729999999999997"/>
    <n v="56.57"/>
    <n v="12.76"/>
    <n v="75.98"/>
    <n v="19.14"/>
    <n v="19.14"/>
    <n v="108.46"/>
    <n v="484.03999999999996"/>
    <n v="-89.32"/>
  </r>
  <r>
    <x v="0"/>
    <x v="8"/>
    <x v="0"/>
    <s v="5050104"/>
    <n v="749535"/>
    <s v="Meetings"/>
    <s v="Sleep Lab"/>
    <x v="0"/>
    <m/>
    <n v="0"/>
    <n v="0"/>
    <n v="0"/>
    <n v="125"/>
    <n v="0"/>
    <n v="0"/>
    <n v="0"/>
    <n v="0"/>
    <n v="0"/>
    <n v="0"/>
    <n v="0"/>
    <n v="0"/>
    <n v="125"/>
    <n v="0"/>
  </r>
  <r>
    <x v="18"/>
    <x v="5"/>
    <x v="0"/>
    <s v="5050106"/>
    <n v="400010"/>
    <s v="Acute I/P Svcs Rev--Medicare"/>
    <s v="Sleep Lab"/>
    <x v="0"/>
    <n v="1100"/>
    <n v="-4537.1899999999996"/>
    <n v="-1536.79"/>
    <n v="-1536.79"/>
    <n v="-4610.37"/>
    <n v="-6147.16"/>
    <n v="-7892.69"/>
    <n v="-4610.37"/>
    <n v="-1582.89"/>
    <n v="-3165.78"/>
    <n v="-7914.45"/>
    <n v="-4748.67"/>
    <n v="-4748.67"/>
    <n v="-53031.819999999992"/>
    <n v="0"/>
  </r>
  <r>
    <x v="18"/>
    <x v="5"/>
    <x v="0"/>
    <s v="5050106"/>
    <n v="400010"/>
    <s v="Acute I/P Svcs Rev--Medicaid"/>
    <s v="Sleep Lab"/>
    <x v="0"/>
    <n v="1200"/>
    <n v="-4610.37"/>
    <n v="-3073.58"/>
    <n v="0"/>
    <n v="0"/>
    <n v="-4610.37"/>
    <n v="-3073.58"/>
    <n v="1536.79"/>
    <n v="-2854.31"/>
    <n v="0"/>
    <n v="1271.42"/>
    <n v="-1271.42"/>
    <n v="-1582.89"/>
    <n v="-18268.310000000001"/>
    <n v="311.47000000000003"/>
  </r>
  <r>
    <x v="18"/>
    <x v="5"/>
    <x v="0"/>
    <s v="5050106"/>
    <n v="400010"/>
    <s v="Acute I/P Svcs Rev--Comm Insurance"/>
    <s v="Sleep Lab"/>
    <x v="0"/>
    <n v="1300"/>
    <n v="1463.61"/>
    <n v="0"/>
    <n v="0"/>
    <n v="-1536.79"/>
    <n v="0"/>
    <n v="1536.79"/>
    <n v="0"/>
    <n v="-1582.89"/>
    <n v="-1582.89"/>
    <n v="-1271.42"/>
    <n v="-311.47000000000003"/>
    <n v="0"/>
    <n v="-3285.0600000000004"/>
    <n v="-311.47000000000003"/>
  </r>
  <r>
    <x v="18"/>
    <x v="5"/>
    <x v="0"/>
    <s v="5050106"/>
    <n v="400010"/>
    <s v="Acute I/P Svcs Rev--BCBS Comm"/>
    <s v="Sleep Lab"/>
    <x v="0"/>
    <n v="1301"/>
    <n v="-1536.79"/>
    <n v="0"/>
    <n v="0"/>
    <n v="0"/>
    <n v="0"/>
    <n v="-1536.79"/>
    <n v="-3073.58"/>
    <n v="0"/>
    <n v="0"/>
    <n v="-1582.89"/>
    <n v="-3165.78"/>
    <n v="1582.89"/>
    <n v="-9312.94"/>
    <n v="-4748.67"/>
  </r>
  <r>
    <x v="18"/>
    <x v="5"/>
    <x v="0"/>
    <s v="5050106"/>
    <n v="400010"/>
    <s v="Acute I/P Svcs Rev--Managed Care"/>
    <s v="Sleep Lab"/>
    <x v="0"/>
    <n v="1400"/>
    <n v="-3073.58"/>
    <n v="0"/>
    <n v="0"/>
    <n v="0"/>
    <n v="0"/>
    <n v="-1536.79"/>
    <n v="-1536.79"/>
    <n v="-1582.89"/>
    <n v="0"/>
    <n v="-1582.89"/>
    <n v="-1582.89"/>
    <n v="0"/>
    <n v="-10895.83"/>
    <n v="-1582.89"/>
  </r>
  <r>
    <x v="18"/>
    <x v="5"/>
    <x v="0"/>
    <s v="5050106"/>
    <n v="400010"/>
    <s v="Acute I/P Svcs Rev--Self Pay"/>
    <s v="Sleep Lab"/>
    <x v="0"/>
    <n v="1500"/>
    <n v="-1536.79"/>
    <n v="0"/>
    <n v="0"/>
    <n v="0"/>
    <n v="-1271.42"/>
    <n v="0"/>
    <n v="-1536.79"/>
    <n v="1271.42"/>
    <n v="0"/>
    <n v="0"/>
    <n v="-1582.89"/>
    <n v="0"/>
    <n v="-4656.47"/>
    <n v="-1582.89"/>
  </r>
  <r>
    <x v="19"/>
    <x v="5"/>
    <x v="0"/>
    <s v="5050106"/>
    <n v="400020"/>
    <s v="O/P Care Svcs Rev--Medicare"/>
    <s v="Sleep Lab"/>
    <x v="0"/>
    <n v="1100"/>
    <n v="-145512.59"/>
    <n v="-141946.03"/>
    <n v="-133070.17000000001"/>
    <n v="-107653.99"/>
    <n v="-150644.17000000001"/>
    <n v="-150776.14000000001"/>
    <n v="-73246.179999999993"/>
    <n v="-87340.33"/>
    <n v="-252191.95"/>
    <n v="-204036.18"/>
    <n v="-170954.11"/>
    <n v="-151577.15"/>
    <n v="-1768948.9899999998"/>
    <n v="-19376.959999999992"/>
  </r>
  <r>
    <x v="19"/>
    <x v="5"/>
    <x v="0"/>
    <s v="5050106"/>
    <n v="400020"/>
    <s v="O/P Care Svcs Rev--Medicaid"/>
    <s v="Sleep Lab"/>
    <x v="0"/>
    <n v="1200"/>
    <n v="-47463.24"/>
    <n v="-73192.39"/>
    <n v="-50151.040000000001"/>
    <n v="-93285.89"/>
    <n v="-43340"/>
    <n v="-130502.69"/>
    <n v="-89397.87"/>
    <n v="-69646.31"/>
    <n v="-46699.44"/>
    <n v="-134801.54999999999"/>
    <n v="-63333.36"/>
    <n v="-88245.29"/>
    <n v="-930059.07"/>
    <n v="24911.929999999993"/>
  </r>
  <r>
    <x v="19"/>
    <x v="5"/>
    <x v="0"/>
    <s v="5050106"/>
    <n v="400020"/>
    <s v="O/P Care Svcs Rev--Comm Insurance"/>
    <s v="Sleep Lab"/>
    <x v="0"/>
    <n v="1300"/>
    <n v="-9448.19"/>
    <n v="-9039.7900000000009"/>
    <n v="-7888.78"/>
    <n v="-696.07"/>
    <n v="-3029.52"/>
    <n v="0"/>
    <n v="-9039.7900000000009"/>
    <n v="-1582.89"/>
    <n v="-18770.95"/>
    <n v="6043.88"/>
    <n v="-2299.84"/>
    <n v="-10176.92"/>
    <n v="-65928.86"/>
    <n v="7877.08"/>
  </r>
  <r>
    <x v="19"/>
    <x v="5"/>
    <x v="0"/>
    <s v="5050106"/>
    <n v="400020"/>
    <s v="O/P Care Svcs Rev--BCBS Comm"/>
    <s v="Sleep Lab"/>
    <x v="0"/>
    <n v="1301"/>
    <n v="-55632.13"/>
    <n v="-18411.86"/>
    <n v="662.92"/>
    <n v="-4176.42"/>
    <n v="-11272.65"/>
    <n v="-20167.79"/>
    <n v="-16567.439999999999"/>
    <n v="-2299.84"/>
    <n v="-22604.06"/>
    <n v="-22284.46"/>
    <n v="-48026.17"/>
    <n v="-30878.49"/>
    <n v="-251658.38999999996"/>
    <n v="-17147.679999999997"/>
  </r>
  <r>
    <x v="19"/>
    <x v="5"/>
    <x v="0"/>
    <s v="5050106"/>
    <n v="400020"/>
    <s v="O/P Care Svcs Rev--Managed Care"/>
    <s v="Sleep Lab"/>
    <x v="0"/>
    <n v="1400"/>
    <n v="-54636.03"/>
    <n v="-76320.960000000006"/>
    <n v="-61781.03"/>
    <n v="-72841.59"/>
    <n v="-31330.77"/>
    <n v="-51145.53"/>
    <n v="-48212.49"/>
    <n v="-68765.09"/>
    <n v="-52368.25"/>
    <n v="-103588.87"/>
    <n v="-100115.2"/>
    <n v="-20972.91"/>
    <n v="-742078.72"/>
    <n v="-79142.289999999994"/>
  </r>
  <r>
    <x v="19"/>
    <x v="5"/>
    <x v="0"/>
    <s v="5050106"/>
    <n v="400020"/>
    <s v="O/P Care Svcs Rev--Self Pay"/>
    <s v="Sleep Lab"/>
    <x v="0"/>
    <n v="1500"/>
    <n v="0"/>
    <n v="-8343.7199999999993"/>
    <n v="0"/>
    <n v="-7750.48"/>
    <n v="4676.8999999999996"/>
    <n v="-6843.23"/>
    <n v="-696.07"/>
    <n v="-9310.98"/>
    <n v="6145.2"/>
    <n v="1582.89"/>
    <n v="0"/>
    <n v="-2299.84"/>
    <n v="-22839.329999999998"/>
    <n v="2299.84"/>
  </r>
  <r>
    <x v="19"/>
    <x v="5"/>
    <x v="0"/>
    <s v="5050106"/>
    <n v="400020"/>
    <s v="O/P Care Svcs Rev--Other"/>
    <s v="Sleep Lab"/>
    <x v="0"/>
    <n v="1700"/>
    <n v="0"/>
    <n v="-696.07"/>
    <n v="0"/>
    <n v="-8343.7199999999993"/>
    <n v="-7192.71"/>
    <n v="-1536.79"/>
    <n v="0"/>
    <n v="-7408.49"/>
    <n v="0"/>
    <n v="0"/>
    <n v="0"/>
    <n v="0"/>
    <n v="-25177.78"/>
    <n v="0"/>
  </r>
  <r>
    <x v="2"/>
    <x v="5"/>
    <x v="0"/>
    <s v="5050106"/>
    <n v="450040"/>
    <s v="Contr Allow--Phys Svcs--BCBS Mgnd Care"/>
    <s v="Sleep Lab"/>
    <x v="0"/>
    <n v="1401"/>
    <n v="8.6300000000000008"/>
    <n v="7.64"/>
    <n v="2.02"/>
    <n v="-16.84"/>
    <n v="-85.39"/>
    <n v="-2.37"/>
    <n v="-4.43"/>
    <n v="14.6"/>
    <n v="12.48"/>
    <n v="6.74"/>
    <n v="4.79"/>
    <n v="0.22"/>
    <n v="-51.910000000000011"/>
    <n v="4.57"/>
  </r>
  <r>
    <x v="3"/>
    <x v="5"/>
    <x v="0"/>
    <s v="5050106"/>
    <n v="470040"/>
    <s v="Charity Care-Physician Svcs"/>
    <s v="Sleep Lab"/>
    <x v="0"/>
    <m/>
    <n v="10.06"/>
    <n v="-6.71"/>
    <n v="0.17"/>
    <n v="2.36"/>
    <n v="-4.49"/>
    <n v="-0.82"/>
    <n v="-2.85"/>
    <n v="-5.96"/>
    <n v="-3.02"/>
    <n v="7.26"/>
    <n v="-4"/>
    <n v="2.15"/>
    <n v="-5.8499999999999979"/>
    <n v="-6.15"/>
  </r>
  <r>
    <x v="4"/>
    <x v="5"/>
    <x v="0"/>
    <s v="5050106"/>
    <n v="490010"/>
    <s v="Provision for Bad Debts"/>
    <s v="Sleep Lab"/>
    <x v="0"/>
    <m/>
    <n v="15.05"/>
    <n v="-2.93"/>
    <n v="1.87"/>
    <n v="4.67"/>
    <n v="-2.75"/>
    <n v="-2.12"/>
    <n v="6.78"/>
    <n v="0.34"/>
    <n v="0.94"/>
    <n v="11.44"/>
    <n v="-11.56"/>
    <n v="-8.65"/>
    <n v="13.080000000000004"/>
    <n v="-2.91"/>
  </r>
  <r>
    <x v="14"/>
    <x v="5"/>
    <x v="0"/>
    <s v="5050106"/>
    <n v="600026"/>
    <s v="Rental Revenue-Non-Taxable"/>
    <s v="Sleep Lab"/>
    <x v="0"/>
    <m/>
    <n v="-3893.05"/>
    <n v="-3893.05"/>
    <n v="-3893.05"/>
    <n v="-3893.05"/>
    <n v="-3893.05"/>
    <n v="0"/>
    <n v="0"/>
    <n v="0"/>
    <n v="0"/>
    <n v="19465.25"/>
    <n v="0"/>
    <n v="0"/>
    <n v="0"/>
    <n v="0"/>
  </r>
  <r>
    <x v="14"/>
    <x v="5"/>
    <x v="0"/>
    <s v="5050106"/>
    <n v="600026"/>
    <s v="POB Rental"/>
    <s v="Sleep Lab"/>
    <x v="0"/>
    <n v="1001"/>
    <n v="0"/>
    <n v="0"/>
    <n v="0"/>
    <n v="0"/>
    <n v="0"/>
    <n v="-2458.2199999999998"/>
    <n v="-2458.2199999999998"/>
    <n v="-2458.2199999999998"/>
    <n v="-2458.2199999999998"/>
    <n v="-14749.32"/>
    <n v="-2458.2199999999998"/>
    <n v="-2458.2199999999998"/>
    <n v="-29498.639999999999"/>
    <n v="0"/>
  </r>
  <r>
    <x v="14"/>
    <x v="5"/>
    <x v="0"/>
    <s v="5050106"/>
    <n v="600026"/>
    <s v="Other Rental"/>
    <s v="Sleep Lab"/>
    <x v="0"/>
    <n v="1002"/>
    <n v="0"/>
    <n v="0"/>
    <n v="0"/>
    <n v="0"/>
    <n v="0"/>
    <n v="-1434.83"/>
    <n v="-1434.83"/>
    <n v="-1434.83"/>
    <n v="-1434.83"/>
    <n v="-8582.5"/>
    <n v="-1408.35"/>
    <n v="-1408.35"/>
    <n v="-17138.52"/>
    <n v="0"/>
  </r>
  <r>
    <x v="5"/>
    <x v="5"/>
    <x v="0"/>
    <s v="5050106"/>
    <n v="700014"/>
    <s v="Salaries-Management-Productive"/>
    <s v="Sleep Lab"/>
    <x v="0"/>
    <m/>
    <n v="3272.38"/>
    <n v="3619.78"/>
    <n v="3312.65"/>
    <n v="4259.59"/>
    <n v="3747.02"/>
    <n v="3417.74"/>
    <n v="4124.07"/>
    <n v="3587.67"/>
    <n v="4329.9399999999996"/>
    <n v="3793.76"/>
    <n v="2350.62"/>
    <n v="4013.83"/>
    <n v="43829.05"/>
    <n v="-1663.21"/>
  </r>
  <r>
    <x v="5"/>
    <x v="5"/>
    <x v="0"/>
    <s v="5050106"/>
    <n v="700034"/>
    <s v="Salaries-Tech/Professional-Productive"/>
    <s v="Sleep Lab"/>
    <x v="0"/>
    <m/>
    <n v="12272.87"/>
    <n v="14019.47"/>
    <n v="12368.08"/>
    <n v="15704.45"/>
    <n v="12222.23"/>
    <n v="12612.65"/>
    <n v="9140.2800000000007"/>
    <n v="9210.65"/>
    <n v="16027.39"/>
    <n v="20012.310000000001"/>
    <n v="16991.28"/>
    <n v="14206.69"/>
    <n v="164788.34999999998"/>
    <n v="2784.5899999999983"/>
  </r>
  <r>
    <x v="5"/>
    <x v="5"/>
    <x v="0"/>
    <s v="5050106"/>
    <n v="700034"/>
    <s v="Salaries-Tech/Professional-OT"/>
    <s v="Sleep Lab"/>
    <x v="0"/>
    <n v="1000"/>
    <n v="0"/>
    <n v="351.99"/>
    <n v="-105.58"/>
    <n v="11.73"/>
    <n v="0"/>
    <n v="121.47"/>
    <n v="0"/>
    <n v="0"/>
    <n v="177.54"/>
    <n v="232.28"/>
    <n v="310.19"/>
    <n v="-101.64"/>
    <n v="997.9799999999999"/>
    <n v="411.83"/>
  </r>
  <r>
    <x v="5"/>
    <x v="5"/>
    <x v="0"/>
    <s v="5050106"/>
    <n v="700034"/>
    <s v="Salaries-Tech/Professional-Other"/>
    <s v="Sleep Lab"/>
    <x v="0"/>
    <n v="2000"/>
    <n v="771.09"/>
    <n v="945.33"/>
    <n v="687.61"/>
    <n v="622.44000000000005"/>
    <n v="401.16"/>
    <n v="915.29"/>
    <n v="447.82"/>
    <n v="798.08"/>
    <n v="1130.74"/>
    <n v="1497.94"/>
    <n v="909.35"/>
    <n v="792.87"/>
    <n v="9919.7200000000012"/>
    <n v="116.48000000000002"/>
  </r>
  <r>
    <x v="5"/>
    <x v="5"/>
    <x v="0"/>
    <s v="5050106"/>
    <n v="700038"/>
    <s v="Salaries-Service/Support-Productive"/>
    <s v="Sleep Lab"/>
    <x v="0"/>
    <m/>
    <n v="3556.91"/>
    <n v="2918.83"/>
    <n v="2819.66"/>
    <n v="3757.86"/>
    <n v="2517.12"/>
    <n v="3561.4"/>
    <n v="3718.07"/>
    <n v="2801.09"/>
    <n v="3302.02"/>
    <n v="3734.36"/>
    <n v="3647.86"/>
    <n v="2657.38"/>
    <n v="38992.559999999998"/>
    <n v="990.48"/>
  </r>
  <r>
    <x v="5"/>
    <x v="5"/>
    <x v="0"/>
    <s v="5050106"/>
    <n v="700038"/>
    <s v="Salaries-Service/Support-OT"/>
    <s v="Sleep Lab"/>
    <x v="0"/>
    <n v="1000"/>
    <n v="81.760000000000005"/>
    <n v="12.5"/>
    <n v="-6.81"/>
    <n v="30.45"/>
    <n v="9.31"/>
    <n v="8.74"/>
    <n v="11.07"/>
    <n v="-2.91"/>
    <n v="0"/>
    <n v="69.930000000000007"/>
    <n v="-13.41"/>
    <n v="-7.56"/>
    <n v="193.07000000000002"/>
    <n v="-5.8500000000000005"/>
  </r>
  <r>
    <x v="5"/>
    <x v="5"/>
    <x v="0"/>
    <s v="5050106"/>
    <n v="700038"/>
    <s v="Salaries-Service/Support-Other"/>
    <s v="Sleep Lab"/>
    <x v="0"/>
    <n v="2000"/>
    <n v="0"/>
    <n v="45.71"/>
    <n v="-13.71"/>
    <n v="4"/>
    <n v="0"/>
    <n v="8.5"/>
    <n v="0"/>
    <n v="0"/>
    <n v="0"/>
    <n v="15.43"/>
    <n v="18.059999999999999"/>
    <n v="0"/>
    <n v="77.989999999999995"/>
    <n v="18.059999999999999"/>
  </r>
  <r>
    <x v="5"/>
    <x v="5"/>
    <x v="0"/>
    <s v="5050106"/>
    <n v="700074"/>
    <s v="Salaries-Tech/Professional-Non-productive"/>
    <s v="Sleep Lab"/>
    <x v="0"/>
    <m/>
    <n v="2000.7"/>
    <n v="1629.38"/>
    <n v="2263.46"/>
    <n v="301.92"/>
    <n v="2037.58"/>
    <n v="1762.76"/>
    <n v="904.6"/>
    <n v="2230.58"/>
    <n v="1894.55"/>
    <n v="868.4"/>
    <n v="350.9"/>
    <n v="2058.0100000000002"/>
    <n v="18302.84"/>
    <n v="-1707.1100000000001"/>
  </r>
  <r>
    <x v="5"/>
    <x v="5"/>
    <x v="0"/>
    <s v="5050106"/>
    <n v="700074"/>
    <s v="Salaries-Tech/Professional-NonProd-Other"/>
    <s v="Sleep Lab"/>
    <x v="0"/>
    <n v="2000"/>
    <n v="80.62"/>
    <n v="29.63"/>
    <n v="460.45"/>
    <n v="25.01"/>
    <n v="118.5"/>
    <n v="96.16"/>
    <n v="84.04"/>
    <n v="190.2"/>
    <n v="88.55"/>
    <n v="76.569999999999993"/>
    <n v="57.44"/>
    <n v="145.69999999999999"/>
    <n v="1452.87"/>
    <n v="-88.259999999999991"/>
  </r>
  <r>
    <x v="5"/>
    <x v="5"/>
    <x v="0"/>
    <s v="5050106"/>
    <n v="700078"/>
    <s v="Salaries-Service/Support-Non-productive"/>
    <s v="Sleep Lab"/>
    <x v="0"/>
    <m/>
    <n v="169.6"/>
    <n v="823.74"/>
    <n v="823.78"/>
    <n v="59.08"/>
    <n v="1212.19"/>
    <n v="271.64"/>
    <n v="129.91"/>
    <n v="682.74"/>
    <n v="552.98"/>
    <n v="-34.17"/>
    <n v="153.12"/>
    <n v="1085.3499999999999"/>
    <n v="5929.9599999999991"/>
    <n v="-932.2299999999999"/>
  </r>
  <r>
    <x v="5"/>
    <x v="5"/>
    <x v="0"/>
    <s v="5050106"/>
    <n v="700078"/>
    <s v="Salaries-Service/Support-NonProd-Other"/>
    <s v="Sleep Lab"/>
    <x v="0"/>
    <n v="2000"/>
    <n v="0"/>
    <n v="0"/>
    <n v="0"/>
    <n v="0"/>
    <n v="303.89999999999998"/>
    <n v="0"/>
    <n v="0"/>
    <n v="-303.89999999999998"/>
    <n v="0"/>
    <n v="0"/>
    <n v="0"/>
    <n v="0"/>
    <n v="0"/>
    <n v="0"/>
  </r>
  <r>
    <x v="5"/>
    <x v="5"/>
    <x v="0"/>
    <s v="5050106"/>
    <n v="700084"/>
    <s v="Accrued PTO"/>
    <s v="Sleep Lab"/>
    <x v="0"/>
    <m/>
    <n v="396.86"/>
    <n v="-708.26"/>
    <n v="-981.75"/>
    <n v="1097.6500000000001"/>
    <n v="-563.99"/>
    <n v="-180.06"/>
    <n v="24.1"/>
    <n v="-505.75"/>
    <n v="126.3"/>
    <n v="1112.72"/>
    <n v="1237.21"/>
    <n v="-13.89"/>
    <n v="1041.1400000000001"/>
    <n v="1251.1000000000001"/>
  </r>
  <r>
    <x v="6"/>
    <x v="5"/>
    <x v="0"/>
    <s v="5050106"/>
    <n v="713010"/>
    <s v="Benefits-FICA/Medicare"/>
    <s v="Sleep Lab"/>
    <x v="0"/>
    <m/>
    <n v="1605.56"/>
    <n v="1772.6"/>
    <n v="1965.79"/>
    <n v="1800.24"/>
    <n v="1691.49"/>
    <n v="1639.8"/>
    <n v="1371.81"/>
    <n v="1446.43"/>
    <n v="2052.09"/>
    <n v="2229.54"/>
    <n v="1848.72"/>
    <n v="1848.84"/>
    <n v="21272.91"/>
    <n v="-0.11999999999989086"/>
  </r>
  <r>
    <x v="6"/>
    <x v="5"/>
    <x v="0"/>
    <s v="5050106"/>
    <n v="713090"/>
    <s v="Benefits-Allocated Amounts"/>
    <s v="Sleep Lab"/>
    <x v="0"/>
    <m/>
    <n v="5854.82"/>
    <n v="6202.24"/>
    <n v="5847.72"/>
    <n v="6219.24"/>
    <n v="5915.85"/>
    <n v="5827.8"/>
    <n v="4982.43"/>
    <n v="5303.12"/>
    <n v="6840.55"/>
    <n v="7878.48"/>
    <n v="6544.41"/>
    <n v="6399.36"/>
    <n v="73816.02"/>
    <n v="145.05000000000018"/>
  </r>
  <r>
    <x v="6"/>
    <x v="5"/>
    <x v="0"/>
    <s v="5050106"/>
    <n v="713096"/>
    <s v="Employee Recognition"/>
    <s v="Sleep Lab"/>
    <x v="0"/>
    <n v="1017"/>
    <n v="0"/>
    <n v="0"/>
    <n v="0"/>
    <n v="0"/>
    <n v="0"/>
    <n v="0"/>
    <n v="223.21"/>
    <n v="0"/>
    <n v="0"/>
    <n v="0"/>
    <n v="0"/>
    <n v="0"/>
    <n v="223.21"/>
    <n v="0"/>
  </r>
  <r>
    <x v="17"/>
    <x v="5"/>
    <x v="0"/>
    <s v="5050106"/>
    <n v="714510"/>
    <s v="Medical Director Fees"/>
    <s v="Sleep Lab"/>
    <x v="0"/>
    <m/>
    <n v="1800"/>
    <n v="1800"/>
    <n v="1800"/>
    <n v="1800"/>
    <n v="1800"/>
    <n v="1800"/>
    <n v="1800"/>
    <n v="1800"/>
    <n v="0"/>
    <n v="-24980"/>
    <n v="1680"/>
    <n v="1680"/>
    <n v="-7220"/>
    <n v="0"/>
  </r>
  <r>
    <x v="17"/>
    <x v="5"/>
    <x v="0"/>
    <s v="5050106"/>
    <n v="714520"/>
    <s v="Other Contracted Professionals"/>
    <s v="Sleep Lab"/>
    <x v="0"/>
    <m/>
    <n v="200"/>
    <n v="200"/>
    <n v="200"/>
    <n v="200"/>
    <n v="200"/>
    <n v="200"/>
    <n v="200"/>
    <n v="200"/>
    <n v="0"/>
    <n v="-5400"/>
    <n v="0"/>
    <n v="0"/>
    <n v="-3800"/>
    <n v="0"/>
  </r>
  <r>
    <x v="17"/>
    <x v="5"/>
    <x v="0"/>
    <s v="5050106"/>
    <n v="714530"/>
    <s v="Medical Prof Fees-Intracompany"/>
    <s v="Sleep Lab"/>
    <x v="0"/>
    <m/>
    <n v="-3932.78"/>
    <n v="3059.49"/>
    <n v="-534.96"/>
    <n v="-1020.55"/>
    <n v="167.08"/>
    <n v="-500.66"/>
    <n v="1078.92"/>
    <n v="824"/>
    <n v="89.36"/>
    <n v="-469.18"/>
    <n v="-1329.14"/>
    <n v="19925.39"/>
    <n v="17356.97"/>
    <n v="-21254.53"/>
  </r>
  <r>
    <x v="7"/>
    <x v="5"/>
    <x v="0"/>
    <s v="5050106"/>
    <n v="718050"/>
    <s v="Document Shredding/Storage"/>
    <s v="Sleep Lab"/>
    <x v="0"/>
    <n v="1012"/>
    <n v="635.33000000000004"/>
    <n v="-978.31"/>
    <n v="70.69"/>
    <n v="65.28"/>
    <n v="111.38"/>
    <n v="48.81"/>
    <n v="48.32"/>
    <n v="104.32"/>
    <n v="81.91"/>
    <n v="38.659999999999997"/>
    <n v="67.45"/>
    <n v="64.83"/>
    <n v="358.67000000000007"/>
    <n v="2.6200000000000045"/>
  </r>
  <r>
    <x v="7"/>
    <x v="5"/>
    <x v="0"/>
    <s v="5050106"/>
    <n v="718050"/>
    <s v="Miscellaneous Purchased Svcs"/>
    <s v="Sleep Lab"/>
    <x v="0"/>
    <n v="1020"/>
    <n v="1800"/>
    <n v="1800"/>
    <n v="1800"/>
    <n v="1800"/>
    <n v="1800"/>
    <n v="0"/>
    <n v="1800"/>
    <n v="1800"/>
    <n v="1800"/>
    <n v="1800"/>
    <n v="1800"/>
    <n v="1800"/>
    <n v="19800"/>
    <n v="0"/>
  </r>
  <r>
    <x v="7"/>
    <x v="5"/>
    <x v="0"/>
    <s v="5050106"/>
    <n v="718050"/>
    <s v="Translation Services"/>
    <s v="Sleep Lab"/>
    <x v="0"/>
    <n v="1025"/>
    <n v="0"/>
    <n v="1856"/>
    <n v="32"/>
    <n v="0"/>
    <n v="-1800"/>
    <n v="96"/>
    <n v="35"/>
    <n v="40"/>
    <n v="32"/>
    <n v="0"/>
    <n v="104"/>
    <n v="0"/>
    <n v="395"/>
    <n v="104"/>
  </r>
  <r>
    <x v="7"/>
    <x v="5"/>
    <x v="0"/>
    <s v="5050106"/>
    <n v="718050"/>
    <s v="Contract Management--Linen"/>
    <s v="Sleep Lab"/>
    <x v="0"/>
    <n v="1026"/>
    <n v="0"/>
    <n v="655.16999999999996"/>
    <n v="353.79"/>
    <n v="315.54000000000002"/>
    <n v="417.91"/>
    <n v="241.29"/>
    <n v="246.3"/>
    <n v="362.72"/>
    <n v="0"/>
    <n v="344.5"/>
    <n v="402.36"/>
    <n v="901.32"/>
    <n v="4240.9000000000005"/>
    <n v="-498.96000000000004"/>
  </r>
  <r>
    <x v="7"/>
    <x v="5"/>
    <x v="0"/>
    <s v="5050106"/>
    <n v="718060"/>
    <s v="Contract Services-CHI RRC Fees"/>
    <s v="Sleep Lab"/>
    <x v="0"/>
    <m/>
    <n v="2256"/>
    <n v="2256"/>
    <n v="2256"/>
    <n v="2256"/>
    <n v="2256"/>
    <n v="2256"/>
    <n v="2256"/>
    <n v="2256"/>
    <n v="2256"/>
    <n v="2256"/>
    <n v="2256"/>
    <n v="2256"/>
    <n v="27072"/>
    <n v="0"/>
  </r>
  <r>
    <x v="11"/>
    <x v="5"/>
    <x v="0"/>
    <s v="5050106"/>
    <n v="721010"/>
    <s v="Supplies-Medical - Billable"/>
    <s v="Sleep Lab"/>
    <x v="0"/>
    <m/>
    <n v="0"/>
    <n v="0"/>
    <n v="27.59"/>
    <n v="62.01"/>
    <n v="0"/>
    <n v="0"/>
    <n v="0"/>
    <n v="0"/>
    <n v="5.96"/>
    <n v="0"/>
    <n v="17.64"/>
    <n v="0"/>
    <n v="113.19999999999999"/>
    <n v="17.64"/>
  </r>
  <r>
    <x v="11"/>
    <x v="5"/>
    <x v="0"/>
    <s v="5050106"/>
    <n v="721010"/>
    <s v="Patient Monitoring"/>
    <s v="Sleep Lab"/>
    <x v="0"/>
    <n v="1000"/>
    <n v="5883.34"/>
    <n v="3789.72"/>
    <n v="0"/>
    <n v="4249.55"/>
    <n v="727.65"/>
    <n v="844.65"/>
    <n v="1072.5"/>
    <n v="957.3"/>
    <n v="-254.76"/>
    <n v="4716.2299999999996"/>
    <n v="-367.5"/>
    <n v="285.72000000000003"/>
    <n v="21904.400000000001"/>
    <n v="-653.22"/>
  </r>
  <r>
    <x v="11"/>
    <x v="5"/>
    <x v="0"/>
    <s v="5050106"/>
    <n v="721410"/>
    <s v="Supplies-Medical - Nonbillable"/>
    <s v="Sleep Lab"/>
    <x v="0"/>
    <m/>
    <n v="2889.68"/>
    <n v="1527.64"/>
    <n v="1683.19"/>
    <n v="1174.3399999999999"/>
    <n v="1772.2"/>
    <n v="1405.8"/>
    <n v="672.75"/>
    <n v="487.34"/>
    <n v="895.08"/>
    <n v="3302"/>
    <n v="2074.6"/>
    <n v="-142.82"/>
    <n v="17741.8"/>
    <n v="2217.42"/>
  </r>
  <r>
    <x v="11"/>
    <x v="5"/>
    <x v="0"/>
    <s v="5050106"/>
    <n v="721410"/>
    <s v="Patient Monitoring"/>
    <s v="Sleep Lab"/>
    <x v="0"/>
    <n v="1000"/>
    <n v="0"/>
    <n v="0"/>
    <n v="0"/>
    <n v="282"/>
    <n v="-7.2"/>
    <n v="0"/>
    <n v="211.5"/>
    <n v="0"/>
    <n v="4.8"/>
    <n v="283.95"/>
    <n v="0"/>
    <n v="-4.6500000000000004"/>
    <n v="770.4"/>
    <n v="4.6500000000000004"/>
  </r>
  <r>
    <x v="11"/>
    <x v="5"/>
    <x v="0"/>
    <s v="5050106"/>
    <n v="721610"/>
    <s v="Supplies-Anesthesia - Nonbillable"/>
    <s v="Sleep Lab"/>
    <x v="0"/>
    <m/>
    <n v="328.44"/>
    <n v="22.44"/>
    <n v="779.9"/>
    <n v="0"/>
    <n v="0"/>
    <n v="101.7"/>
    <n v="134.02000000000001"/>
    <n v="0"/>
    <n v="2265.58"/>
    <n v="-33.9"/>
    <n v="166.75"/>
    <n v="0"/>
    <n v="3764.93"/>
    <n v="166.75"/>
  </r>
  <r>
    <x v="11"/>
    <x v="5"/>
    <x v="0"/>
    <s v="5050106"/>
    <n v="721810"/>
    <s v="Supplies-Dietary/Cafeteria"/>
    <s v="Sleep Lab"/>
    <x v="0"/>
    <m/>
    <n v="199.39"/>
    <n v="199.39"/>
    <n v="142.22999999999999"/>
    <n v="124.33"/>
    <n v="0"/>
    <n v="236.64"/>
    <n v="122.61"/>
    <n v="0"/>
    <n v="160.11000000000001"/>
    <n v="320.22000000000003"/>
    <n v="163.95"/>
    <n v="160.11000000000001"/>
    <n v="1828.98"/>
    <n v="3.839999999999975"/>
  </r>
  <r>
    <x v="11"/>
    <x v="5"/>
    <x v="0"/>
    <s v="5050106"/>
    <n v="721830"/>
    <s v="Supplies-Office"/>
    <s v="Sleep Lab"/>
    <x v="0"/>
    <m/>
    <n v="208.99"/>
    <n v="0"/>
    <n v="0"/>
    <n v="271.61"/>
    <n v="341.72"/>
    <n v="178.54"/>
    <n v="103.96"/>
    <n v="63.78"/>
    <n v="125.11"/>
    <n v="39.659999999999997"/>
    <n v="0"/>
    <n v="0"/>
    <n v="1333.37"/>
    <n v="0"/>
  </r>
  <r>
    <x v="11"/>
    <x v="5"/>
    <x v="0"/>
    <s v="5050106"/>
    <n v="721870"/>
    <s v="Supplies-Environmental Services"/>
    <s v="Sleep Lab"/>
    <x v="0"/>
    <m/>
    <n v="0"/>
    <n v="7.14"/>
    <n v="15.23"/>
    <n v="0"/>
    <n v="4.76"/>
    <n v="0"/>
    <n v="22.85"/>
    <n v="0"/>
    <n v="11.42"/>
    <n v="0"/>
    <n v="25.23"/>
    <n v="19.04"/>
    <n v="105.67000000000002"/>
    <n v="6.1900000000000013"/>
  </r>
  <r>
    <x v="11"/>
    <x v="5"/>
    <x v="0"/>
    <s v="5050106"/>
    <n v="721910"/>
    <s v="Supplies-Small Equipment"/>
    <s v="Sleep Lab"/>
    <x v="0"/>
    <m/>
    <n v="0"/>
    <n v="15.36"/>
    <n v="15.36"/>
    <n v="0"/>
    <n v="24.48"/>
    <n v="0"/>
    <n v="0"/>
    <n v="24.48"/>
    <n v="77.150000000000006"/>
    <n v="0"/>
    <n v="24.48"/>
    <n v="24.48"/>
    <n v="205.79"/>
    <n v="0"/>
  </r>
  <r>
    <x v="11"/>
    <x v="5"/>
    <x v="0"/>
    <s v="5050106"/>
    <n v="722000"/>
    <s v="Supplies-Freight Expense"/>
    <s v="Sleep Lab"/>
    <x v="0"/>
    <m/>
    <n v="17.16"/>
    <n v="37.28"/>
    <n v="38.07"/>
    <n v="63.96"/>
    <n v="37.49"/>
    <n v="8"/>
    <n v="129.16"/>
    <n v="27.6"/>
    <n v="71.040000000000006"/>
    <n v="97.83"/>
    <n v="149.5"/>
    <n v="16.54"/>
    <n v="693.63"/>
    <n v="132.96"/>
  </r>
  <r>
    <x v="12"/>
    <x v="5"/>
    <x v="0"/>
    <s v="5050106"/>
    <n v="730010"/>
    <s v="Rental and Leases-Building (DO NOT USE)"/>
    <s v="Sleep Lab"/>
    <x v="0"/>
    <m/>
    <n v="16489.43"/>
    <n v="16489.43"/>
    <n v="16489.43"/>
    <n v="16489.43"/>
    <n v="16489.43"/>
    <n v="-19296.73"/>
    <n v="10525.07"/>
    <n v="10525.07"/>
    <n v="10525.07"/>
    <n v="10525.07"/>
    <n v="5522.15"/>
    <n v="0"/>
    <n v="110772.85"/>
    <n v="5522.15"/>
  </r>
  <r>
    <x v="12"/>
    <x v="5"/>
    <x v="0"/>
    <s v="5050106"/>
    <n v="730010"/>
    <s v="Rental-Common Area Maint (DO NOT USE)"/>
    <s v="Sleep Lab"/>
    <x v="0"/>
    <n v="2200"/>
    <n v="0"/>
    <n v="0"/>
    <n v="0"/>
    <n v="0"/>
    <n v="0"/>
    <n v="35786.160000000003"/>
    <n v="5910.28"/>
    <n v="5937.32"/>
    <n v="5937.32"/>
    <n v="5937.32"/>
    <n v="5937.32"/>
    <n v="0"/>
    <n v="65445.72"/>
    <n v="5937.32"/>
  </r>
  <r>
    <x v="12"/>
    <x v="5"/>
    <x v="0"/>
    <s v="5050106"/>
    <n v="730020"/>
    <s v="Rental and Leases-Equipment (DO NOT USE)"/>
    <s v="Sleep Lab"/>
    <x v="0"/>
    <m/>
    <n v="655.6"/>
    <n v="176"/>
    <n v="88"/>
    <n v="0"/>
    <n v="567.6"/>
    <n v="88"/>
    <n v="655.6"/>
    <n v="176"/>
    <n v="0"/>
    <n v="655.6"/>
    <n v="88"/>
    <n v="176"/>
    <n v="3326.4"/>
    <n v="-88"/>
  </r>
  <r>
    <x v="12"/>
    <x v="5"/>
    <x v="0"/>
    <s v="5050106"/>
    <n v="730020"/>
    <s v="Rental and Leases-Copier Usage Fees (DO NOT USE)"/>
    <s v="Sleep Lab"/>
    <x v="0"/>
    <n v="5100"/>
    <n v="274.77"/>
    <n v="286.81"/>
    <n v="280.79000000000002"/>
    <n v="280.79000000000002"/>
    <n v="280.79000000000002"/>
    <n v="280.79000000000002"/>
    <n v="-677.19"/>
    <n v="145.79"/>
    <n v="145.47999999999999"/>
    <n v="338.33"/>
    <n v="145.79"/>
    <n v="165.38"/>
    <n v="1948.3199999999997"/>
    <n v="-19.590000000000003"/>
  </r>
  <r>
    <x v="12"/>
    <x v="5"/>
    <x v="0"/>
    <s v="5050106"/>
    <n v="730040"/>
    <s v="LT Lease-Real Estate"/>
    <s v="Sleep Lab"/>
    <x v="0"/>
    <m/>
    <n v="0"/>
    <n v="0"/>
    <n v="0"/>
    <n v="0"/>
    <n v="0"/>
    <n v="0"/>
    <n v="0"/>
    <n v="0"/>
    <n v="0"/>
    <n v="0"/>
    <n v="0"/>
    <n v="16776.93"/>
    <n v="16776.93"/>
    <n v="-16776.93"/>
  </r>
  <r>
    <x v="15"/>
    <x v="5"/>
    <x v="0"/>
    <s v="5050106"/>
    <n v="731060"/>
    <s v="Pagers"/>
    <s v="Sleep Lab"/>
    <x v="0"/>
    <n v="1002"/>
    <n v="7.99"/>
    <n v="7.99"/>
    <n v="7.99"/>
    <n v="8.02"/>
    <n v="8.02"/>
    <n v="0"/>
    <n v="16.04"/>
    <n v="8.02"/>
    <n v="27.51"/>
    <n v="0"/>
    <n v="0"/>
    <n v="0"/>
    <n v="91.58"/>
    <n v="0"/>
  </r>
  <r>
    <x v="15"/>
    <x v="5"/>
    <x v="0"/>
    <s v="5050106"/>
    <n v="731065"/>
    <s v="Data Communications"/>
    <s v="Sleep Lab"/>
    <x v="0"/>
    <m/>
    <n v="207.88"/>
    <n v="207.88"/>
    <n v="207.88"/>
    <n v="207.86"/>
    <n v="214.2"/>
    <n v="214.2"/>
    <n v="214.2"/>
    <n v="207.86"/>
    <n v="214.2"/>
    <n v="214.2"/>
    <n v="208.07"/>
    <n v="214.41"/>
    <n v="2532.84"/>
    <n v="-6.3400000000000034"/>
  </r>
  <r>
    <x v="15"/>
    <x v="5"/>
    <x v="0"/>
    <s v="5050106"/>
    <n v="731070"/>
    <s v="Cable TV"/>
    <s v="Sleep Lab"/>
    <x v="0"/>
    <m/>
    <n v="120.04"/>
    <n v="120.04"/>
    <n v="120.04"/>
    <n v="120.04"/>
    <n v="123.7"/>
    <n v="123.7"/>
    <n v="123.7"/>
    <n v="120.04"/>
    <n v="123.7"/>
    <n v="123.7"/>
    <n v="120.16"/>
    <n v="123.82"/>
    <n v="1462.68"/>
    <n v="-3.6599999999999966"/>
  </r>
  <r>
    <x v="16"/>
    <x v="5"/>
    <x v="0"/>
    <s v="5050106"/>
    <n v="732030"/>
    <s v="Repairs---Other"/>
    <s v="Sleep Lab"/>
    <x v="0"/>
    <m/>
    <n v="0"/>
    <n v="0"/>
    <n v="0"/>
    <n v="0"/>
    <n v="0"/>
    <n v="0"/>
    <n v="2245.1"/>
    <n v="0"/>
    <n v="0"/>
    <n v="0"/>
    <n v="0"/>
    <n v="0"/>
    <n v="2245.1"/>
    <n v="0"/>
  </r>
  <r>
    <x v="16"/>
    <x v="5"/>
    <x v="0"/>
    <s v="5050106"/>
    <n v="732030"/>
    <s v="Repairs&amp;Maintenance-Bldg Routine"/>
    <s v="Sleep Lab"/>
    <x v="0"/>
    <n v="2300"/>
    <n v="0"/>
    <n v="0"/>
    <n v="304.33999999999997"/>
    <n v="0"/>
    <n v="0"/>
    <n v="0"/>
    <n v="0"/>
    <n v="0"/>
    <n v="0"/>
    <n v="0"/>
    <n v="0"/>
    <n v="0"/>
    <n v="304.33999999999997"/>
    <n v="0"/>
  </r>
  <r>
    <x v="13"/>
    <x v="5"/>
    <x v="0"/>
    <s v="5050106"/>
    <n v="735070"/>
    <s v="Depreciation-Movable Equipment"/>
    <s v="Sleep Lab"/>
    <x v="0"/>
    <m/>
    <n v="2507.6"/>
    <n v="2507.59"/>
    <n v="2507.6"/>
    <n v="2507.58"/>
    <n v="2507.65"/>
    <n v="2507.56"/>
    <n v="2507.67"/>
    <n v="2507.54"/>
    <n v="2507.67"/>
    <n v="2507.5100000000002"/>
    <n v="2507.71"/>
    <n v="2507.5"/>
    <n v="30091.18"/>
    <n v="0.21000000000003638"/>
  </r>
  <r>
    <x v="0"/>
    <x v="5"/>
    <x v="0"/>
    <s v="5050106"/>
    <n v="743010"/>
    <s v="Dues--Institutional"/>
    <s v="Sleep Lab"/>
    <x v="0"/>
    <m/>
    <n v="0"/>
    <n v="0"/>
    <n v="0"/>
    <n v="1100"/>
    <n v="0"/>
    <n v="0"/>
    <n v="0"/>
    <n v="0"/>
    <n v="0"/>
    <n v="0"/>
    <n v="0"/>
    <n v="0"/>
    <n v="1100"/>
    <n v="0"/>
  </r>
  <r>
    <x v="0"/>
    <x v="5"/>
    <x v="0"/>
    <s v="5050106"/>
    <n v="743020"/>
    <s v="Dues--Individual"/>
    <s v="Sleep Lab"/>
    <x v="0"/>
    <m/>
    <n v="0"/>
    <n v="0"/>
    <n v="0"/>
    <n v="125"/>
    <n v="0"/>
    <n v="0"/>
    <n v="0"/>
    <n v="0"/>
    <n v="0"/>
    <n v="0"/>
    <n v="0"/>
    <n v="0"/>
    <n v="125"/>
    <n v="0"/>
  </r>
  <r>
    <x v="0"/>
    <x v="5"/>
    <x v="0"/>
    <s v="5050106"/>
    <n v="743030"/>
    <s v="Subscriptions--Institutional"/>
    <s v="Sleep Lab"/>
    <x v="0"/>
    <m/>
    <n v="0"/>
    <n v="0"/>
    <n v="0"/>
    <n v="58.55"/>
    <n v="0"/>
    <n v="0"/>
    <n v="0"/>
    <n v="0"/>
    <n v="0"/>
    <n v="0"/>
    <n v="0"/>
    <n v="0"/>
    <n v="58.55"/>
    <n v="0"/>
  </r>
  <r>
    <x v="0"/>
    <x v="5"/>
    <x v="0"/>
    <s v="5050106"/>
    <n v="749510"/>
    <s v="Miscellaneous Expenses"/>
    <s v="Sleep Lab"/>
    <x v="0"/>
    <m/>
    <n v="0"/>
    <n v="0"/>
    <n v="0"/>
    <n v="0"/>
    <n v="1232.96"/>
    <n v="0"/>
    <n v="0"/>
    <n v="0"/>
    <n v="0"/>
    <n v="0"/>
    <n v="0"/>
    <n v="0"/>
    <n v="1232.96"/>
    <n v="0"/>
  </r>
  <r>
    <x v="0"/>
    <x v="5"/>
    <x v="0"/>
    <s v="5050106"/>
    <n v="749510"/>
    <s v="RICE Rewards"/>
    <s v="Sleep Lab"/>
    <x v="0"/>
    <n v="5100"/>
    <n v="0"/>
    <n v="0"/>
    <n v="0"/>
    <n v="0"/>
    <n v="0"/>
    <n v="0"/>
    <n v="0"/>
    <n v="148.97999999999999"/>
    <n v="0"/>
    <n v="0"/>
    <n v="0"/>
    <n v="0"/>
    <n v="148.97999999999999"/>
    <n v="0"/>
  </r>
  <r>
    <x v="18"/>
    <x v="6"/>
    <x v="0"/>
    <s v="5050107"/>
    <n v="400010"/>
    <s v="Acute I/P Svcs Rev--Medicare"/>
    <s v="Sleep Disorder Center"/>
    <x v="0"/>
    <n v="1100"/>
    <n v="-9220.74"/>
    <n v="-6147.16"/>
    <n v="-12294.32"/>
    <n v="-21515.06"/>
    <n v="-4610.37"/>
    <n v="-6147.16"/>
    <n v="-6147.16"/>
    <n v="-6285.46"/>
    <n v="-12543.84"/>
    <n v="-7914.45"/>
    <n v="-15828.9"/>
    <n v="-4748.67"/>
    <n v="-113403.29"/>
    <n v="-11080.23"/>
  </r>
  <r>
    <x v="18"/>
    <x v="6"/>
    <x v="0"/>
    <s v="5050107"/>
    <n v="400010"/>
    <s v="Acute I/P Svcs Rev--Medicaid"/>
    <s v="Sleep Disorder Center"/>
    <x v="0"/>
    <n v="1200"/>
    <n v="0"/>
    <n v="0"/>
    <n v="-3073.58"/>
    <n v="-10757.53"/>
    <n v="-1536.79"/>
    <n v="0"/>
    <n v="0"/>
    <n v="-3119.68"/>
    <n v="-3500.07"/>
    <n v="-4748.67"/>
    <n v="-3165.78"/>
    <n v="-1582.89"/>
    <n v="-31484.989999999998"/>
    <n v="-1582.89"/>
  </r>
  <r>
    <x v="18"/>
    <x v="6"/>
    <x v="0"/>
    <s v="5050107"/>
    <n v="400010"/>
    <s v="Acute I/P Svcs Rev--Comm Insurance"/>
    <s v="Sleep Disorder Center"/>
    <x v="0"/>
    <n v="1300"/>
    <n v="-1536.79"/>
    <n v="1536.79"/>
    <n v="0"/>
    <n v="0"/>
    <n v="0"/>
    <n v="-3073.58"/>
    <n v="0"/>
    <n v="1536.79"/>
    <n v="0"/>
    <n v="-1582.89"/>
    <n v="0"/>
    <n v="0"/>
    <n v="-3119.6800000000003"/>
    <n v="0"/>
  </r>
  <r>
    <x v="18"/>
    <x v="6"/>
    <x v="0"/>
    <s v="5050107"/>
    <n v="400010"/>
    <s v="Acute I/P Svcs Rev--BCBS Comm"/>
    <s v="Sleep Disorder Center"/>
    <x v="0"/>
    <n v="1301"/>
    <n v="0"/>
    <n v="0"/>
    <n v="-1536.79"/>
    <n v="0"/>
    <n v="0"/>
    <n v="0"/>
    <n v="-1536.79"/>
    <n v="0"/>
    <n v="0"/>
    <n v="-1582.89"/>
    <n v="-1582.89"/>
    <n v="0"/>
    <n v="-6239.3600000000006"/>
    <n v="-1582.89"/>
  </r>
  <r>
    <x v="18"/>
    <x v="6"/>
    <x v="0"/>
    <s v="5050107"/>
    <n v="400010"/>
    <s v="Acute I/P Svcs Rev--Managed Care"/>
    <s v="Sleep Disorder Center"/>
    <x v="0"/>
    <n v="1400"/>
    <n v="-3073.58"/>
    <n v="0"/>
    <n v="0"/>
    <n v="0"/>
    <n v="0"/>
    <n v="0"/>
    <n v="-3073.58"/>
    <n v="0"/>
    <n v="-1582.89"/>
    <n v="0"/>
    <n v="0"/>
    <n v="0"/>
    <n v="-7730.05"/>
    <n v="0"/>
  </r>
  <r>
    <x v="18"/>
    <x v="6"/>
    <x v="0"/>
    <s v="5050107"/>
    <n v="400010"/>
    <s v="Acute I/P Svcs Rev--Self Pay"/>
    <s v="Sleep Disorder Center"/>
    <x v="0"/>
    <n v="1500"/>
    <n v="0"/>
    <n v="0"/>
    <n v="-1536.79"/>
    <n v="1536.79"/>
    <n v="0"/>
    <n v="0"/>
    <n v="0"/>
    <n v="0"/>
    <n v="0"/>
    <n v="0"/>
    <n v="0"/>
    <n v="0"/>
    <n v="0"/>
    <n v="0"/>
  </r>
  <r>
    <x v="18"/>
    <x v="6"/>
    <x v="0"/>
    <s v="5050107"/>
    <n v="400010"/>
    <s v="Acute I/P Svcs Rev--Other"/>
    <s v="Sleep Disorder Center"/>
    <x v="0"/>
    <n v="1700"/>
    <n v="0"/>
    <n v="0"/>
    <n v="0"/>
    <n v="-1536.79"/>
    <n v="0"/>
    <n v="0"/>
    <n v="0"/>
    <n v="0"/>
    <n v="-4748.67"/>
    <n v="1582.89"/>
    <n v="0"/>
    <n v="-1582.89"/>
    <n v="-6285.46"/>
    <n v="1582.89"/>
  </r>
  <r>
    <x v="19"/>
    <x v="6"/>
    <x v="0"/>
    <s v="5050107"/>
    <n v="400020"/>
    <s v="O/P Care Svcs Rev--Medicare"/>
    <s v="Sleep Disorder Center"/>
    <x v="0"/>
    <n v="1100"/>
    <n v="-203240.9"/>
    <n v="-409449.69"/>
    <n v="-411284.95"/>
    <n v="-361164.65"/>
    <n v="-300468.64"/>
    <n v="-319941.69"/>
    <n v="-392553.42"/>
    <n v="-253497.98"/>
    <n v="-373422.39"/>
    <n v="-377657.4"/>
    <n v="-386291.29"/>
    <n v="-332708.52"/>
    <n v="-4121681.52"/>
    <n v="-53582.76999999996"/>
  </r>
  <r>
    <x v="19"/>
    <x v="6"/>
    <x v="0"/>
    <s v="5050107"/>
    <n v="400020"/>
    <s v="O/P Care Svcs Rev--Medicaid"/>
    <s v="Sleep Disorder Center"/>
    <x v="0"/>
    <n v="1200"/>
    <n v="-106204.37"/>
    <n v="-141750.44"/>
    <n v="-169015.45"/>
    <n v="-79294.81"/>
    <n v="-101288.31"/>
    <n v="-167647.42000000001"/>
    <n v="-123557.45"/>
    <n v="-103684.21"/>
    <n v="-134069.49"/>
    <n v="-158666.04"/>
    <n v="-77730.3"/>
    <n v="-169043.67"/>
    <n v="-1531951.96"/>
    <n v="91313.37000000001"/>
  </r>
  <r>
    <x v="19"/>
    <x v="6"/>
    <x v="0"/>
    <s v="5050107"/>
    <n v="400020"/>
    <s v="O/P Care Svcs Rev--Comm Insurance"/>
    <s v="Sleep Disorder Center"/>
    <x v="0"/>
    <n v="1300"/>
    <n v="0"/>
    <n v="-23537.64"/>
    <n v="-1536.79"/>
    <n v="0"/>
    <n v="0"/>
    <n v="0"/>
    <n v="-3073.58"/>
    <n v="0"/>
    <n v="-46.1"/>
    <n v="-3165.78"/>
    <n v="1582.89"/>
    <n v="-17689.02"/>
    <n v="-47466.020000000004"/>
    <n v="19271.91"/>
  </r>
  <r>
    <x v="19"/>
    <x v="6"/>
    <x v="0"/>
    <s v="5050107"/>
    <n v="400020"/>
    <s v="O/P Care Svcs Rev--BCBS Comm"/>
    <s v="Sleep Disorder Center"/>
    <x v="0"/>
    <n v="1301"/>
    <n v="-40953.370000000003"/>
    <n v="-22447.5"/>
    <n v="-31664.69"/>
    <n v="-46050.11"/>
    <n v="-15922.21"/>
    <n v="-52370.67"/>
    <n v="-56875.58"/>
    <n v="-68690.009999999995"/>
    <n v="-68683.66"/>
    <n v="-83575.73"/>
    <n v="-107596.31"/>
    <n v="-19375.52"/>
    <n v="-614205.3600000001"/>
    <n v="-88220.79"/>
  </r>
  <r>
    <x v="19"/>
    <x v="6"/>
    <x v="0"/>
    <s v="5050107"/>
    <n v="400020"/>
    <s v="O/P Care Svcs Rev--Managed Care"/>
    <s v="Sleep Disorder Center"/>
    <x v="0"/>
    <n v="1400"/>
    <n v="-79984.17"/>
    <n v="-75632.95"/>
    <n v="-45844.06"/>
    <n v="-84351.3"/>
    <n v="-97443.17"/>
    <n v="-63682.51"/>
    <n v="-70980.679999999993"/>
    <n v="-68061.91"/>
    <n v="-120426.54"/>
    <n v="-54840.08"/>
    <n v="-52467.49"/>
    <n v="-86735"/>
    <n v="-900449.86"/>
    <n v="34267.51"/>
  </r>
  <r>
    <x v="19"/>
    <x v="6"/>
    <x v="0"/>
    <s v="5050107"/>
    <n v="400020"/>
    <s v="O/P Care Svcs Rev--Self Pay"/>
    <s v="Sleep Disorder Center"/>
    <x v="0"/>
    <n v="1500"/>
    <n v="0"/>
    <n v="-1536.79"/>
    <n v="0"/>
    <n v="0"/>
    <n v="0"/>
    <n v="0"/>
    <n v="0"/>
    <n v="-8594.0300000000007"/>
    <n v="0"/>
    <n v="-926.16"/>
    <n v="0"/>
    <n v="0"/>
    <n v="-11056.98"/>
    <n v="0"/>
  </r>
  <r>
    <x v="19"/>
    <x v="6"/>
    <x v="0"/>
    <s v="5050107"/>
    <n v="400020"/>
    <s v="O/P Care Svcs Rev--Other"/>
    <s v="Sleep Disorder Center"/>
    <x v="0"/>
    <n v="1700"/>
    <n v="-152297.04999999999"/>
    <n v="-178642"/>
    <n v="-134243.81"/>
    <n v="-94998.75"/>
    <n v="-104248.78"/>
    <n v="-147405.04"/>
    <n v="-108125.62"/>
    <n v="-55523.3"/>
    <n v="-75532.2"/>
    <n v="-87818.44"/>
    <n v="-81367.289999999994"/>
    <n v="-122591.91"/>
    <n v="-1342794.19"/>
    <n v="41224.62000000001"/>
  </r>
  <r>
    <x v="5"/>
    <x v="6"/>
    <x v="0"/>
    <s v="5050107"/>
    <n v="700014"/>
    <s v="Salaries-Management-Productive"/>
    <s v="Sleep Disorder Center"/>
    <x v="0"/>
    <m/>
    <n v="4787.3900000000003"/>
    <n v="5437.4"/>
    <n v="5310.26"/>
    <n v="5922.01"/>
    <n v="6529.97"/>
    <n v="3468.36"/>
    <n v="6031.33"/>
    <n v="5696.81"/>
    <n v="5885.76"/>
    <n v="4679.3999999999996"/>
    <n v="4054.72"/>
    <n v="7644.2"/>
    <n v="65447.61"/>
    <n v="-3589.48"/>
  </r>
  <r>
    <x v="5"/>
    <x v="6"/>
    <x v="0"/>
    <s v="5050107"/>
    <n v="700032"/>
    <s v="Salaries-Other Pat Care Providers-Productive"/>
    <s v="Sleep Disorder Center"/>
    <x v="0"/>
    <m/>
    <n v="0"/>
    <n v="96.04"/>
    <n v="0"/>
    <n v="42.87"/>
    <n v="-18.86"/>
    <n v="0"/>
    <n v="2987.56"/>
    <n v="3389.52"/>
    <n v="4328.17"/>
    <n v="3903.35"/>
    <n v="4096.3100000000004"/>
    <n v="3614.06"/>
    <n v="22439.02"/>
    <n v="482.25000000000045"/>
  </r>
  <r>
    <x v="5"/>
    <x v="6"/>
    <x v="0"/>
    <s v="5050107"/>
    <n v="700032"/>
    <s v="Salaries-Other Pat Care Providers-OT"/>
    <s v="Sleep Disorder Center"/>
    <x v="0"/>
    <n v="1000"/>
    <n v="0"/>
    <n v="0"/>
    <n v="0"/>
    <n v="0"/>
    <n v="0"/>
    <n v="0"/>
    <n v="134.6"/>
    <n v="120.12"/>
    <n v="83.47"/>
    <n v="512.57000000000005"/>
    <n v="-30"/>
    <n v="-18.61"/>
    <n v="802.15"/>
    <n v="-11.39"/>
  </r>
  <r>
    <x v="5"/>
    <x v="6"/>
    <x v="0"/>
    <s v="5050107"/>
    <n v="700032"/>
    <s v="Salaries-Other Pat Care Providers-Other"/>
    <s v="Sleep Disorder Center"/>
    <x v="0"/>
    <n v="2000"/>
    <n v="0"/>
    <n v="14.4"/>
    <n v="0"/>
    <n v="6.42"/>
    <n v="-2.82"/>
    <n v="0"/>
    <n v="30.04"/>
    <n v="93.49"/>
    <n v="166.6"/>
    <n v="154.77000000000001"/>
    <n v="145.97999999999999"/>
    <n v="20.52"/>
    <n v="629.4"/>
    <n v="125.46"/>
  </r>
  <r>
    <x v="5"/>
    <x v="6"/>
    <x v="0"/>
    <s v="5050107"/>
    <n v="700034"/>
    <s v="Salaries-Tech/Professional-Productive"/>
    <s v="Sleep Disorder Center"/>
    <x v="0"/>
    <m/>
    <n v="21076.59"/>
    <n v="25899.69"/>
    <n v="27885.279999999999"/>
    <n v="22459.96"/>
    <n v="25548.48"/>
    <n v="20653.740000000002"/>
    <n v="25179.69"/>
    <n v="18718.78"/>
    <n v="26725.8"/>
    <n v="24449.919999999998"/>
    <n v="22443.599999999999"/>
    <n v="21697.32"/>
    <n v="282738.84999999998"/>
    <n v="746.27999999999884"/>
  </r>
  <r>
    <x v="5"/>
    <x v="6"/>
    <x v="0"/>
    <s v="5050107"/>
    <n v="700034"/>
    <s v="Salaries-Tech/Professional-OT"/>
    <s v="Sleep Disorder Center"/>
    <x v="0"/>
    <n v="1000"/>
    <n v="973.93"/>
    <n v="4781.93"/>
    <n v="5980.89"/>
    <n v="-267.14999999999998"/>
    <n v="406.71"/>
    <n v="3291"/>
    <n v="1038.6099999999999"/>
    <n v="-0.84"/>
    <n v="603.04999999999995"/>
    <n v="-33.229999999999997"/>
    <n v="932.73"/>
    <n v="3.17"/>
    <n v="17710.8"/>
    <n v="929.56000000000006"/>
  </r>
  <r>
    <x v="5"/>
    <x v="6"/>
    <x v="0"/>
    <s v="5050107"/>
    <n v="700034"/>
    <s v="Salaries-Tech/Professional-Other"/>
    <s v="Sleep Disorder Center"/>
    <x v="0"/>
    <n v="2000"/>
    <n v="2448.58"/>
    <n v="3052.5"/>
    <n v="2974.93"/>
    <n v="2593.12"/>
    <n v="2536.83"/>
    <n v="2979.25"/>
    <n v="2789.02"/>
    <n v="1285.83"/>
    <n v="2117.87"/>
    <n v="2047.8"/>
    <n v="1644.57"/>
    <n v="2208.1"/>
    <n v="28678.399999999994"/>
    <n v="-563.53"/>
  </r>
  <r>
    <x v="5"/>
    <x v="6"/>
    <x v="0"/>
    <s v="5050107"/>
    <n v="700038"/>
    <s v="Salaries-Service/Support-Productive"/>
    <s v="Sleep Disorder Center"/>
    <x v="0"/>
    <m/>
    <n v="557.79"/>
    <n v="504.1"/>
    <n v="533.42999999999995"/>
    <n v="4401.5600000000004"/>
    <n v="4116.33"/>
    <n v="2608.4"/>
    <n v="3984.89"/>
    <n v="3337.06"/>
    <n v="3664.85"/>
    <n v="3331.06"/>
    <n v="2809.93"/>
    <n v="3918.12"/>
    <n v="33767.520000000004"/>
    <n v="-1108.19"/>
  </r>
  <r>
    <x v="5"/>
    <x v="6"/>
    <x v="0"/>
    <s v="5050107"/>
    <n v="700038"/>
    <s v="Salaries-Service/Support-OT"/>
    <s v="Sleep Disorder Center"/>
    <x v="0"/>
    <n v="1000"/>
    <n v="0"/>
    <n v="0"/>
    <n v="0"/>
    <n v="57.45"/>
    <n v="166.44"/>
    <n v="-4.09"/>
    <n v="39.32"/>
    <n v="9.84"/>
    <n v="15.98"/>
    <n v="20.59"/>
    <n v="18.53"/>
    <n v="53.55"/>
    <n v="377.60999999999996"/>
    <n v="-35.019999999999996"/>
  </r>
  <r>
    <x v="5"/>
    <x v="6"/>
    <x v="0"/>
    <s v="5050107"/>
    <n v="700038"/>
    <s v="Salaries-Service/Support-Other"/>
    <s v="Sleep Disorder Center"/>
    <x v="0"/>
    <n v="2000"/>
    <n v="83.65"/>
    <n v="75.61"/>
    <n v="80.010000000000005"/>
    <n v="78.69"/>
    <n v="85.89"/>
    <n v="52.34"/>
    <n v="111.57"/>
    <n v="65.19"/>
    <n v="32.6"/>
    <n v="40.33"/>
    <n v="41.67"/>
    <n v="42.43"/>
    <n v="789.98"/>
    <n v="-0.75999999999999801"/>
  </r>
  <r>
    <x v="5"/>
    <x v="6"/>
    <x v="0"/>
    <s v="5050107"/>
    <n v="700054"/>
    <s v="Salaries-Management-Non-productive"/>
    <s v="Sleep Disorder Center"/>
    <x v="0"/>
    <m/>
    <n v="2372.64"/>
    <n v="1129.77"/>
    <n v="1242.8699999999999"/>
    <n v="790.88"/>
    <n v="0"/>
    <n v="3946.99"/>
    <n v="1075.94"/>
    <n v="406.92"/>
    <n v="1075.44"/>
    <n v="2615.81"/>
    <n v="3342.48"/>
    <n v="-1482.19"/>
    <n v="16517.550000000003"/>
    <n v="4824.67"/>
  </r>
  <r>
    <x v="5"/>
    <x v="6"/>
    <x v="0"/>
    <s v="5050107"/>
    <n v="700072"/>
    <s v="Salaries-Other Pat Care Providers-Non-productive"/>
    <s v="Sleep Disorder Center"/>
    <x v="0"/>
    <m/>
    <n v="0"/>
    <n v="0"/>
    <n v="0"/>
    <n v="0"/>
    <n v="0"/>
    <n v="0"/>
    <n v="0"/>
    <n v="0"/>
    <n v="0"/>
    <n v="0"/>
    <n v="0"/>
    <n v="588.48"/>
    <n v="588.48"/>
    <n v="-588.48"/>
  </r>
  <r>
    <x v="5"/>
    <x v="6"/>
    <x v="0"/>
    <s v="5050107"/>
    <n v="700074"/>
    <s v="Salaries-Tech/Professional-Non-productive"/>
    <s v="Sleep Disorder Center"/>
    <x v="0"/>
    <m/>
    <n v="6461.84"/>
    <n v="2093.94"/>
    <n v="1675.61"/>
    <n v="3940.63"/>
    <n v="1866.7"/>
    <n v="6867.13"/>
    <n v="2891.89"/>
    <n v="5709.45"/>
    <n v="672.86"/>
    <n v="1979.63"/>
    <n v="5058.95"/>
    <n v="-807.44"/>
    <n v="38411.189999999995"/>
    <n v="5866.3899999999994"/>
  </r>
  <r>
    <x v="5"/>
    <x v="6"/>
    <x v="0"/>
    <s v="5050107"/>
    <n v="700074"/>
    <s v="Salaries-Tech/Professional-NonProd-Other"/>
    <s v="Sleep Disorder Center"/>
    <x v="0"/>
    <n v="2000"/>
    <n v="908.54"/>
    <n v="275.64"/>
    <n v="127.92"/>
    <n v="483"/>
    <n v="85.05"/>
    <n v="391.87"/>
    <n v="233.45"/>
    <n v="523.88"/>
    <n v="0.98"/>
    <n v="17.45"/>
    <n v="486.26"/>
    <n v="-133.66999999999999"/>
    <n v="3400.37"/>
    <n v="619.92999999999995"/>
  </r>
  <r>
    <x v="5"/>
    <x v="6"/>
    <x v="0"/>
    <s v="5050107"/>
    <n v="700078"/>
    <s v="Salaries-Service/Support-Non-productive"/>
    <s v="Sleep Disorder Center"/>
    <x v="0"/>
    <m/>
    <n v="0"/>
    <n v="0"/>
    <n v="0"/>
    <n v="0"/>
    <n v="0"/>
    <n v="0"/>
    <n v="96.05"/>
    <n v="208.55"/>
    <n v="-54.87"/>
    <n v="230.49"/>
    <n v="889.01"/>
    <n v="-428.02"/>
    <n v="941.21"/>
    <n v="1317.03"/>
  </r>
  <r>
    <x v="5"/>
    <x v="6"/>
    <x v="0"/>
    <s v="5050107"/>
    <n v="700084"/>
    <s v="Accrued PTO"/>
    <s v="Sleep Disorder Center"/>
    <x v="0"/>
    <m/>
    <n v="-4106.72"/>
    <n v="789.4"/>
    <n v="9.3800000000000008"/>
    <n v="559.20000000000005"/>
    <n v="2079.92"/>
    <n v="-5514.05"/>
    <n v="680.22"/>
    <n v="-129.19999999999999"/>
    <n v="1338.26"/>
    <n v="488.17"/>
    <n v="-2065.73"/>
    <n v="2662.69"/>
    <n v="-3208.4599999999996"/>
    <n v="-4728.42"/>
  </r>
  <r>
    <x v="6"/>
    <x v="6"/>
    <x v="0"/>
    <s v="5050107"/>
    <n v="713010"/>
    <s v="Benefits-FICA/Medicare"/>
    <s v="Sleep Disorder Center"/>
    <x v="0"/>
    <m/>
    <n v="3001.27"/>
    <n v="3285.32"/>
    <n v="3473.85"/>
    <n v="3066.93"/>
    <n v="3142.69"/>
    <n v="3353.49"/>
    <n v="3532.22"/>
    <n v="2996.96"/>
    <n v="3433.18"/>
    <n v="3327.97"/>
    <n v="3479.04"/>
    <n v="3593.12"/>
    <n v="39686.040000000008"/>
    <n v="-114.07999999999993"/>
  </r>
  <r>
    <x v="6"/>
    <x v="6"/>
    <x v="0"/>
    <s v="5050107"/>
    <n v="713090"/>
    <s v="Benefits-Allocated Amounts"/>
    <s v="Sleep Disorder Center"/>
    <x v="0"/>
    <m/>
    <n v="6550.73"/>
    <n v="6524.75"/>
    <n v="7559.12"/>
    <n v="7236.95"/>
    <n v="8534.07"/>
    <n v="7589.39"/>
    <n v="8884.68"/>
    <n v="8198.61"/>
    <n v="7652.56"/>
    <n v="9129.35"/>
    <n v="8659.64"/>
    <n v="8769.93"/>
    <n v="95289.78"/>
    <n v="-110.29000000000087"/>
  </r>
  <r>
    <x v="6"/>
    <x v="6"/>
    <x v="0"/>
    <s v="5050107"/>
    <n v="713096"/>
    <s v="Employee Recognition"/>
    <s v="Sleep Disorder Center"/>
    <x v="0"/>
    <n v="1017"/>
    <n v="0"/>
    <n v="0"/>
    <n v="29.42"/>
    <n v="0"/>
    <n v="0"/>
    <n v="0"/>
    <n v="0"/>
    <n v="0"/>
    <n v="0"/>
    <n v="92.78"/>
    <n v="0"/>
    <n v="0"/>
    <n v="122.2"/>
    <n v="0"/>
  </r>
  <r>
    <x v="17"/>
    <x v="6"/>
    <x v="0"/>
    <s v="5050107"/>
    <n v="714510"/>
    <s v="Medical Director Fees"/>
    <s v="Sleep Disorder Center"/>
    <x v="0"/>
    <m/>
    <n v="0"/>
    <n v="8512.5"/>
    <n v="0"/>
    <n v="9975"/>
    <n v="0"/>
    <n v="6450"/>
    <n v="10800"/>
    <n v="6075"/>
    <n v="3600"/>
    <n v="3375"/>
    <n v="7125"/>
    <n v="10762.5"/>
    <n v="66675"/>
    <n v="-3637.5"/>
  </r>
  <r>
    <x v="7"/>
    <x v="6"/>
    <x v="0"/>
    <s v="5050107"/>
    <n v="718050"/>
    <s v="Contract Management--Linen"/>
    <s v="Sleep Disorder Center"/>
    <x v="0"/>
    <n v="1026"/>
    <n v="642.01"/>
    <n v="1142.6099999999999"/>
    <n v="1166.82"/>
    <n v="774.12"/>
    <n v="687.87"/>
    <n v="820.22"/>
    <n v="1006.16"/>
    <n v="1090.73"/>
    <n v="1063.56"/>
    <n v="1097.24"/>
    <n v="891.25"/>
    <n v="1217.08"/>
    <n v="11599.669999999998"/>
    <n v="-325.82999999999993"/>
  </r>
  <r>
    <x v="7"/>
    <x v="6"/>
    <x v="0"/>
    <s v="5050107"/>
    <n v="718060"/>
    <s v="Contract Services-CHI RRC Fees"/>
    <s v="Sleep Disorder Center"/>
    <x v="0"/>
    <m/>
    <n v="5837"/>
    <n v="5837"/>
    <n v="5837"/>
    <n v="5837"/>
    <n v="5837"/>
    <n v="5837"/>
    <n v="5837"/>
    <n v="5837"/>
    <n v="5837"/>
    <n v="-35022"/>
    <n v="0"/>
    <n v="0"/>
    <n v="17511"/>
    <n v="0"/>
  </r>
  <r>
    <x v="11"/>
    <x v="6"/>
    <x v="0"/>
    <s v="5050107"/>
    <n v="721010"/>
    <s v="Supplies-Medical - Billable"/>
    <s v="Sleep Disorder Center"/>
    <x v="0"/>
    <m/>
    <n v="13.32"/>
    <n v="17.38"/>
    <n v="0"/>
    <n v="29.29"/>
    <n v="0"/>
    <n v="14.65"/>
    <n v="56.98"/>
    <n v="0"/>
    <n v="17.64"/>
    <n v="5.65"/>
    <n v="13.23"/>
    <n v="0"/>
    <n v="168.14"/>
    <n v="13.23"/>
  </r>
  <r>
    <x v="11"/>
    <x v="6"/>
    <x v="0"/>
    <s v="5050107"/>
    <n v="721010"/>
    <s v="Patient Monitoring"/>
    <s v="Sleep Disorder Center"/>
    <x v="0"/>
    <n v="1000"/>
    <n v="46.28"/>
    <n v="59.07"/>
    <n v="478.66"/>
    <n v="392.58"/>
    <n v="27.77"/>
    <n v="30.86"/>
    <n v="30.86"/>
    <n v="30.86"/>
    <n v="425.71"/>
    <n v="521.46"/>
    <n v="135.5"/>
    <n v="1.73"/>
    <n v="2181.3399999999997"/>
    <n v="133.77000000000001"/>
  </r>
  <r>
    <x v="11"/>
    <x v="6"/>
    <x v="0"/>
    <s v="5050107"/>
    <n v="721210"/>
    <s v="Supplies-Anesthesia - Billable"/>
    <s v="Sleep Disorder Center"/>
    <x v="0"/>
    <m/>
    <n v="11.65"/>
    <n v="84.69"/>
    <n v="38.85"/>
    <n v="122.38"/>
    <n v="12.95"/>
    <n v="51.8"/>
    <n v="12.95"/>
    <n v="0"/>
    <n v="0"/>
    <n v="0"/>
    <n v="0"/>
    <n v="0"/>
    <n v="335.27"/>
    <n v="0"/>
  </r>
  <r>
    <x v="11"/>
    <x v="6"/>
    <x v="0"/>
    <s v="5050107"/>
    <n v="721410"/>
    <s v="Supplies-Medical - Nonbillable"/>
    <s v="Sleep Disorder Center"/>
    <x v="0"/>
    <m/>
    <n v="935.96"/>
    <n v="1787.15"/>
    <n v="1551.93"/>
    <n v="207.51"/>
    <n v="1328.04"/>
    <n v="1823.63"/>
    <n v="973.83"/>
    <n v="825.78"/>
    <n v="973.62"/>
    <n v="1234.69"/>
    <n v="1512.77"/>
    <n v="-146.81"/>
    <n v="13008.100000000004"/>
    <n v="1659.58"/>
  </r>
  <r>
    <x v="11"/>
    <x v="6"/>
    <x v="0"/>
    <s v="5050107"/>
    <n v="721410"/>
    <s v="Patient Monitoring"/>
    <s v="Sleep Disorder Center"/>
    <x v="0"/>
    <n v="1000"/>
    <n v="253.9"/>
    <n v="31.94"/>
    <n v="237.92"/>
    <n v="167.98"/>
    <n v="201.79"/>
    <n v="167.98"/>
    <n v="330.89"/>
    <n v="153.55000000000001"/>
    <n v="113.89"/>
    <n v="381.64"/>
    <n v="226.05"/>
    <n v="0"/>
    <n v="2267.5300000000002"/>
    <n v="226.05"/>
  </r>
  <r>
    <x v="11"/>
    <x v="6"/>
    <x v="0"/>
    <s v="5050107"/>
    <n v="721420"/>
    <s v="Supplies-Surgical Nonbillable"/>
    <s v="Sleep Disorder Center"/>
    <x v="0"/>
    <m/>
    <n v="50.03"/>
    <n v="76.900000000000006"/>
    <n v="2.78"/>
    <n v="75.05"/>
    <n v="46.38"/>
    <n v="72.62"/>
    <n v="-1.83"/>
    <n v="50.03"/>
    <n v="0"/>
    <n v="75.400000000000006"/>
    <n v="103.77"/>
    <n v="-15"/>
    <n v="536.13"/>
    <n v="118.77"/>
  </r>
  <r>
    <x v="11"/>
    <x v="6"/>
    <x v="0"/>
    <s v="5050107"/>
    <n v="721610"/>
    <s v="Supplies-Anesthesia - Nonbillable"/>
    <s v="Sleep Disorder Center"/>
    <x v="0"/>
    <m/>
    <n v="1014.59"/>
    <n v="4275.79"/>
    <n v="4695.0200000000004"/>
    <n v="4489.1899999999996"/>
    <n v="1165.94"/>
    <n v="2585.09"/>
    <n v="1919.98"/>
    <n v="1105.6400000000001"/>
    <n v="1633.21"/>
    <n v="1962.2"/>
    <n v="2586.06"/>
    <n v="120.25"/>
    <n v="27552.960000000003"/>
    <n v="2465.81"/>
  </r>
  <r>
    <x v="11"/>
    <x v="6"/>
    <x v="0"/>
    <s v="5050107"/>
    <n v="721810"/>
    <s v="Supplies-Dietary/Cafeteria"/>
    <s v="Sleep Disorder Center"/>
    <x v="0"/>
    <m/>
    <n v="406.43"/>
    <n v="614.16"/>
    <n v="609.6"/>
    <n v="401.83"/>
    <n v="507.52"/>
    <n v="513.1"/>
    <n v="717.6"/>
    <n v="519.34"/>
    <n v="303.5"/>
    <n v="210.63"/>
    <n v="145.53"/>
    <n v="338.2"/>
    <n v="5287.44"/>
    <n v="-192.67"/>
  </r>
  <r>
    <x v="11"/>
    <x v="6"/>
    <x v="0"/>
    <s v="5050107"/>
    <n v="721830"/>
    <s v="Supplies-Office"/>
    <s v="Sleep Disorder Center"/>
    <x v="0"/>
    <m/>
    <n v="163.04"/>
    <n v="82.22"/>
    <n v="35.51"/>
    <n v="599.45000000000005"/>
    <n v="181.82"/>
    <n v="166.81"/>
    <n v="972.42"/>
    <n v="49.54"/>
    <n v="116.26"/>
    <n v="909.97"/>
    <n v="15.66"/>
    <n v="0"/>
    <n v="3292.7"/>
    <n v="15.66"/>
  </r>
  <r>
    <x v="11"/>
    <x v="6"/>
    <x v="0"/>
    <s v="5050107"/>
    <n v="721835"/>
    <s v="Supplies-Forms"/>
    <s v="Sleep Disorder Center"/>
    <x v="0"/>
    <m/>
    <n v="0"/>
    <n v="0"/>
    <n v="0"/>
    <n v="0"/>
    <n v="215.02"/>
    <n v="0"/>
    <n v="84.92"/>
    <n v="0"/>
    <n v="138.62"/>
    <n v="0"/>
    <n v="115.37"/>
    <n v="0"/>
    <n v="553.93000000000006"/>
    <n v="115.37"/>
  </r>
  <r>
    <x v="11"/>
    <x v="6"/>
    <x v="0"/>
    <s v="5050107"/>
    <n v="721870"/>
    <s v="Supplies-Environmental Services"/>
    <s v="Sleep Disorder Center"/>
    <x v="0"/>
    <m/>
    <n v="102.59"/>
    <n v="7.88"/>
    <n v="7.88"/>
    <n v="7.88"/>
    <n v="11.82"/>
    <n v="7.88"/>
    <n v="224.72"/>
    <n v="7.88"/>
    <n v="11.82"/>
    <n v="61.98"/>
    <n v="47.46"/>
    <n v="3.94"/>
    <n v="503.72999999999996"/>
    <n v="43.52"/>
  </r>
  <r>
    <x v="11"/>
    <x v="6"/>
    <x v="0"/>
    <s v="5050107"/>
    <n v="721910"/>
    <s v="Supplies-Small Equipment"/>
    <s v="Sleep Disorder Center"/>
    <x v="0"/>
    <m/>
    <n v="248.87"/>
    <n v="520.49"/>
    <n v="402.09"/>
    <n v="445.29"/>
    <n v="105.45"/>
    <n v="515.70000000000005"/>
    <n v="408.7"/>
    <n v="259.5"/>
    <n v="262.2"/>
    <n v="593.1"/>
    <n v="588.41999999999996"/>
    <n v="127.85"/>
    <n v="4477.66"/>
    <n v="460.56999999999994"/>
  </r>
  <r>
    <x v="11"/>
    <x v="6"/>
    <x v="0"/>
    <s v="5050107"/>
    <n v="721980"/>
    <s v="Supplies-Other"/>
    <s v="Sleep Disorder Center"/>
    <x v="0"/>
    <m/>
    <n v="0"/>
    <n v="0"/>
    <n v="76.290000000000006"/>
    <n v="0"/>
    <n v="0"/>
    <n v="0"/>
    <n v="0"/>
    <n v="0"/>
    <n v="0"/>
    <n v="0"/>
    <n v="0"/>
    <n v="0"/>
    <n v="76.290000000000006"/>
    <n v="0"/>
  </r>
  <r>
    <x v="11"/>
    <x v="6"/>
    <x v="0"/>
    <s v="5050107"/>
    <n v="722000"/>
    <s v="Supplies-Freight Expense"/>
    <s v="Sleep Disorder Center"/>
    <x v="0"/>
    <m/>
    <n v="68.69"/>
    <n v="349.69"/>
    <n v="277.91000000000003"/>
    <n v="374.98"/>
    <n v="101.47"/>
    <n v="416.45"/>
    <n v="456.85"/>
    <n v="142.19"/>
    <n v="278.63"/>
    <n v="271.85000000000002"/>
    <n v="348.7"/>
    <n v="364.7"/>
    <n v="3452.1099999999997"/>
    <n v="-16"/>
  </r>
  <r>
    <x v="12"/>
    <x v="6"/>
    <x v="0"/>
    <s v="5050107"/>
    <n v="730020"/>
    <s v="Rental and Leases-Equipment (DO NOT USE)"/>
    <s v="Sleep Disorder Center"/>
    <x v="0"/>
    <m/>
    <n v="65.400000000000006"/>
    <n v="280.54000000000002"/>
    <n v="42.01"/>
    <n v="173.13"/>
    <n v="120"/>
    <n v="70"/>
    <n v="196.04"/>
    <n v="420"/>
    <n v="98.02"/>
    <n v="0"/>
    <n v="196.04"/>
    <n v="38.020000000000003"/>
    <n v="1699.1999999999998"/>
    <n v="158.01999999999998"/>
  </r>
  <r>
    <x v="12"/>
    <x v="6"/>
    <x v="0"/>
    <s v="5050107"/>
    <n v="730020"/>
    <s v="Rental and Leases-Copier Usage Fees (DO NOT USE)"/>
    <s v="Sleep Disorder Center"/>
    <x v="0"/>
    <n v="5100"/>
    <n v="444.64"/>
    <n v="448.83"/>
    <n v="446.73"/>
    <n v="446.73"/>
    <n v="446.73"/>
    <n v="446.73"/>
    <n v="-922.42"/>
    <n v="226.2"/>
    <n v="225.73"/>
    <n v="658.2"/>
    <n v="226.2"/>
    <n v="253.2"/>
    <n v="3347.4999999999991"/>
    <n v="-27"/>
  </r>
  <r>
    <x v="16"/>
    <x v="6"/>
    <x v="0"/>
    <s v="5050107"/>
    <n v="732030"/>
    <s v="Repairs---Other"/>
    <s v="Sleep Disorder Center"/>
    <x v="0"/>
    <m/>
    <n v="0"/>
    <n v="0"/>
    <n v="0"/>
    <n v="0"/>
    <n v="90.53"/>
    <n v="0"/>
    <n v="35.049999999999997"/>
    <n v="0"/>
    <n v="0"/>
    <n v="0"/>
    <n v="0"/>
    <n v="0"/>
    <n v="125.58"/>
    <n v="0"/>
  </r>
  <r>
    <x v="13"/>
    <x v="6"/>
    <x v="0"/>
    <s v="5050107"/>
    <n v="735070"/>
    <s v="Depreciation-Movable Equipment"/>
    <s v="Sleep Disorder Center"/>
    <x v="0"/>
    <m/>
    <n v="2629.49"/>
    <n v="2629.49"/>
    <n v="2629.5"/>
    <n v="2629.49"/>
    <n v="2629.5"/>
    <n v="2629.46"/>
    <n v="2629.5"/>
    <n v="2629.46"/>
    <n v="2629.51"/>
    <n v="2629.46"/>
    <n v="2629.52"/>
    <n v="2629.45"/>
    <n v="31553.83"/>
    <n v="7.0000000000163709E-2"/>
  </r>
  <r>
    <x v="0"/>
    <x v="6"/>
    <x v="0"/>
    <s v="5050107"/>
    <n v="740020"/>
    <s v="Education-Registration Fees"/>
    <s v="Sleep Disorder Center"/>
    <x v="0"/>
    <m/>
    <n v="0"/>
    <n v="0"/>
    <n v="180"/>
    <n v="580"/>
    <n v="0"/>
    <n v="0"/>
    <n v="180"/>
    <n v="0"/>
    <n v="0"/>
    <n v="0"/>
    <n v="0"/>
    <n v="0"/>
    <n v="940"/>
    <n v="0"/>
  </r>
  <r>
    <x v="0"/>
    <x v="6"/>
    <x v="0"/>
    <s v="5050107"/>
    <n v="743010"/>
    <s v="Dues--Institutional"/>
    <s v="Sleep Disorder Center"/>
    <x v="0"/>
    <m/>
    <n v="0"/>
    <n v="0"/>
    <n v="0"/>
    <n v="1100"/>
    <n v="0"/>
    <n v="0"/>
    <n v="0"/>
    <n v="0"/>
    <n v="0"/>
    <n v="1100"/>
    <n v="0"/>
    <n v="0"/>
    <n v="2200"/>
    <n v="0"/>
  </r>
  <r>
    <x v="0"/>
    <x v="6"/>
    <x v="0"/>
    <s v="5050107"/>
    <n v="749510"/>
    <s v="Miscellaneous Expenses"/>
    <s v="Sleep Disorder Center"/>
    <x v="0"/>
    <m/>
    <n v="0"/>
    <n v="0"/>
    <n v="0"/>
    <n v="0"/>
    <n v="0"/>
    <n v="0"/>
    <n v="45.02"/>
    <n v="-45.02"/>
    <n v="0"/>
    <n v="0"/>
    <n v="0"/>
    <n v="0"/>
    <n v="0"/>
    <n v="0"/>
  </r>
  <r>
    <x v="0"/>
    <x v="6"/>
    <x v="0"/>
    <s v="5050107"/>
    <n v="749510"/>
    <s v="RICE Rewards"/>
    <s v="Sleep Disorder Center"/>
    <x v="0"/>
    <n v="5100"/>
    <n v="0"/>
    <n v="0"/>
    <n v="0"/>
    <n v="0"/>
    <n v="0"/>
    <n v="0"/>
    <n v="0"/>
    <n v="148.97999999999999"/>
    <n v="0"/>
    <n v="0"/>
    <n v="0"/>
    <n v="0"/>
    <n v="148.97999999999999"/>
    <n v="0"/>
  </r>
  <r>
    <x v="0"/>
    <x v="6"/>
    <x v="0"/>
    <s v="5050107"/>
    <n v="749530"/>
    <s v="Travel"/>
    <s v="Sleep Disorder Center"/>
    <x v="0"/>
    <m/>
    <n v="0"/>
    <n v="0"/>
    <n v="139"/>
    <n v="0"/>
    <n v="0"/>
    <n v="0"/>
    <n v="20"/>
    <n v="5"/>
    <n v="0"/>
    <n v="0"/>
    <n v="15"/>
    <n v="0"/>
    <n v="179"/>
    <n v="15"/>
  </r>
  <r>
    <x v="0"/>
    <x v="6"/>
    <x v="0"/>
    <s v="5050107"/>
    <n v="749530"/>
    <s v="Mileage"/>
    <s v="Sleep Disorder Center"/>
    <x v="0"/>
    <n v="1001"/>
    <n v="0"/>
    <n v="0"/>
    <n v="1008.33"/>
    <n v="0"/>
    <n v="0"/>
    <n v="0"/>
    <n v="157.76"/>
    <n v="40.020000000000003"/>
    <n v="0"/>
    <n v="0"/>
    <n v="142.68"/>
    <n v="0"/>
    <n v="1348.7900000000002"/>
    <n v="142.68"/>
  </r>
  <r>
    <x v="0"/>
    <x v="6"/>
    <x v="0"/>
    <s v="5050107"/>
    <n v="749535"/>
    <s v="Meetings"/>
    <s v="Sleep Disorder Center"/>
    <x v="0"/>
    <m/>
    <n v="0"/>
    <n v="0"/>
    <n v="0"/>
    <n v="0"/>
    <n v="0"/>
    <n v="0"/>
    <n v="0"/>
    <n v="110.28"/>
    <n v="0"/>
    <n v="0"/>
    <n v="0"/>
    <n v="0"/>
    <n v="110.28"/>
    <n v="0"/>
  </r>
  <r>
    <x v="18"/>
    <x v="6"/>
    <x v="0"/>
    <s v="5051107"/>
    <n v="400010"/>
    <s v="Acute I/P Svcs Rev--Medicare"/>
    <s v="Sleep Disorder-Poulsbo"/>
    <x v="0"/>
    <n v="1100"/>
    <n v="0"/>
    <n v="0"/>
    <n v="0"/>
    <n v="0"/>
    <n v="0"/>
    <n v="0"/>
    <n v="0"/>
    <n v="0"/>
    <n v="0"/>
    <n v="0"/>
    <n v="0"/>
    <n v="-7408.49"/>
    <n v="-7408.49"/>
    <n v="7408.49"/>
  </r>
  <r>
    <x v="19"/>
    <x v="6"/>
    <x v="0"/>
    <s v="5051107"/>
    <n v="400020"/>
    <s v="O/P Care Svcs Rev--Medicare"/>
    <s v="Sleep Disorder-Poulsbo"/>
    <x v="0"/>
    <n v="1100"/>
    <n v="-181040.18"/>
    <n v="-188052.23"/>
    <n v="-222281.13"/>
    <n v="-236947.1"/>
    <n v="-198743.49"/>
    <n v="-204953.48"/>
    <n v="-211833.89"/>
    <n v="-167285.09"/>
    <n v="-142846.51"/>
    <n v="-250763.92"/>
    <n v="-233327.5"/>
    <n v="-192756.56"/>
    <n v="-2430831.08"/>
    <n v="-40570.94"/>
  </r>
  <r>
    <x v="19"/>
    <x v="6"/>
    <x v="0"/>
    <s v="5051107"/>
    <n v="400020"/>
    <s v="O/P Care Svcs Rev--Medicaid"/>
    <s v="Sleep Disorder-Poulsbo"/>
    <x v="0"/>
    <n v="1200"/>
    <n v="-30385.91"/>
    <n v="-75148.12"/>
    <n v="-87659.14"/>
    <n v="-50684.33"/>
    <n v="-45426.07"/>
    <n v="-51481.78"/>
    <n v="-64930"/>
    <n v="-43466.87"/>
    <n v="-70710.990000000005"/>
    <n v="-52363.29"/>
    <n v="-32435.17"/>
    <n v="-49919.42"/>
    <n v="-654611.09000000008"/>
    <n v="17484.25"/>
  </r>
  <r>
    <x v="19"/>
    <x v="6"/>
    <x v="0"/>
    <s v="5051107"/>
    <n v="400020"/>
    <s v="O/P Care Svcs Rev--Comm Insurance"/>
    <s v="Sleep Disorder-Poulsbo"/>
    <x v="0"/>
    <n v="1300"/>
    <n v="-9039.7900000000009"/>
    <n v="-7546.27"/>
    <n v="-2088.21"/>
    <n v="-662.92"/>
    <n v="-696.07"/>
    <n v="-6496.64"/>
    <n v="0"/>
    <n v="0"/>
    <n v="-716.95"/>
    <n v="0"/>
    <n v="-16250.88"/>
    <n v="0"/>
    <n v="-43497.729999999996"/>
    <n v="-16250.88"/>
  </r>
  <r>
    <x v="19"/>
    <x v="6"/>
    <x v="0"/>
    <s v="5051107"/>
    <n v="400020"/>
    <s v="O/P Care Svcs Rev--BCBS Comm"/>
    <s v="Sleep Disorder-Poulsbo"/>
    <x v="0"/>
    <n v="1301"/>
    <n v="-18320.71"/>
    <n v="-29903.65"/>
    <n v="-37063.21"/>
    <n v="-34142.03"/>
    <n v="-18775.650000000001"/>
    <n v="-2088.21"/>
    <n v="-17392.63"/>
    <n v="-12895.73"/>
    <n v="-43391.92"/>
    <n v="-15318.15"/>
    <n v="-55544.92"/>
    <n v="-13263.59"/>
    <n v="-298100.40000000002"/>
    <n v="-42281.33"/>
  </r>
  <r>
    <x v="19"/>
    <x v="6"/>
    <x v="0"/>
    <s v="5051107"/>
    <n v="400020"/>
    <s v="O/P Care Svcs Rev--Managed Care"/>
    <s v="Sleep Disorder-Poulsbo"/>
    <x v="0"/>
    <n v="1400"/>
    <n v="-42408.84"/>
    <n v="-52065.42"/>
    <n v="-32932.639999999999"/>
    <n v="-77593.47"/>
    <n v="-49875.83"/>
    <n v="-80252.62"/>
    <n v="-57550.8"/>
    <n v="-41327.72"/>
    <n v="-77095.199999999997"/>
    <n v="-31927.8"/>
    <n v="-33448.31"/>
    <n v="-42042.34"/>
    <n v="-618520.98999999987"/>
    <n v="8594.0299999999988"/>
  </r>
  <r>
    <x v="19"/>
    <x v="6"/>
    <x v="0"/>
    <s v="5051107"/>
    <n v="400020"/>
    <s v="O/P Care Svcs Rev--Self Pay"/>
    <s v="Sleep Disorder-Poulsbo"/>
    <x v="0"/>
    <n v="1500"/>
    <n v="0"/>
    <n v="0"/>
    <n v="0"/>
    <n v="-7192.71"/>
    <n v="0"/>
    <n v="-696.07"/>
    <n v="0"/>
    <n v="0"/>
    <n v="0"/>
    <n v="0"/>
    <n v="0"/>
    <n v="-716.95"/>
    <n v="-8605.73"/>
    <n v="716.95"/>
  </r>
  <r>
    <x v="19"/>
    <x v="6"/>
    <x v="0"/>
    <s v="5051107"/>
    <n v="400020"/>
    <s v="O/P Care Svcs Rev--Other"/>
    <s v="Sleep Disorder-Poulsbo"/>
    <x v="0"/>
    <n v="1700"/>
    <n v="-148128.43"/>
    <n v="-71667.77"/>
    <n v="-133989.97"/>
    <n v="-89479.35"/>
    <n v="-96002.86"/>
    <n v="-56800.09"/>
    <n v="-95092.98"/>
    <n v="-81694.86"/>
    <n v="-150493.99"/>
    <n v="-108461.02"/>
    <n v="-65223.75"/>
    <n v="-152204.38"/>
    <n v="-1249239.4499999997"/>
    <n v="86980.63"/>
  </r>
  <r>
    <x v="5"/>
    <x v="6"/>
    <x v="0"/>
    <s v="5051107"/>
    <n v="700014"/>
    <s v="Salaries-Management-Productive"/>
    <s v="Sleep Disorder-Poulsbo"/>
    <x v="0"/>
    <m/>
    <n v="1595.79"/>
    <n v="2189.06"/>
    <n v="1920.75"/>
    <n v="2237.63"/>
    <n v="2176.66"/>
    <n v="1581.78"/>
    <n v="1903.91"/>
    <n v="2034.59"/>
    <n v="2049.14"/>
    <n v="1424.17"/>
    <n v="1613.16"/>
    <n v="2557.79"/>
    <n v="23284.430000000004"/>
    <n v="-944.62999999999988"/>
  </r>
  <r>
    <x v="5"/>
    <x v="6"/>
    <x v="0"/>
    <s v="5051107"/>
    <n v="700034"/>
    <s v="Salaries-Tech/Professional-Productive"/>
    <s v="Sleep Disorder-Poulsbo"/>
    <x v="0"/>
    <m/>
    <n v="18759.12"/>
    <n v="19289"/>
    <n v="21970.66"/>
    <n v="23503.26"/>
    <n v="21229.72"/>
    <n v="16699.240000000002"/>
    <n v="22533.94"/>
    <n v="17747.990000000002"/>
    <n v="21770.55"/>
    <n v="24281.52"/>
    <n v="16426.900000000001"/>
    <n v="22733.72"/>
    <n v="246945.61999999997"/>
    <n v="-6306.82"/>
  </r>
  <r>
    <x v="5"/>
    <x v="6"/>
    <x v="0"/>
    <s v="5051107"/>
    <n v="700034"/>
    <s v="Salaries-Tech/Professional-OT"/>
    <s v="Sleep Disorder-Poulsbo"/>
    <x v="0"/>
    <n v="1000"/>
    <n v="630.85"/>
    <n v="543.5"/>
    <n v="998.76"/>
    <n v="1015.17"/>
    <n v="880.39"/>
    <n v="367.65"/>
    <n v="25.77"/>
    <n v="2292.89"/>
    <n v="-338.88"/>
    <n v="164.49"/>
    <n v="-40.54"/>
    <n v="1443.05"/>
    <n v="7983.0999999999995"/>
    <n v="-1483.59"/>
  </r>
  <r>
    <x v="5"/>
    <x v="6"/>
    <x v="0"/>
    <s v="5051107"/>
    <n v="700034"/>
    <s v="Salaries-Tech/Professional-Other"/>
    <s v="Sleep Disorder-Poulsbo"/>
    <x v="0"/>
    <n v="2000"/>
    <n v="1236.3699999999999"/>
    <n v="1176.6600000000001"/>
    <n v="1441.17"/>
    <n v="1239.9000000000001"/>
    <n v="1406.07"/>
    <n v="873.69"/>
    <n v="1251.55"/>
    <n v="969.22"/>
    <n v="1153.68"/>
    <n v="1161.6600000000001"/>
    <n v="1017.82"/>
    <n v="1015.65"/>
    <n v="13943.439999999999"/>
    <n v="2.1700000000000728"/>
  </r>
  <r>
    <x v="5"/>
    <x v="6"/>
    <x v="0"/>
    <s v="5051107"/>
    <n v="700054"/>
    <s v="Salaries-Management-NonProd-Other"/>
    <s v="Sleep Disorder-Poulsbo"/>
    <x v="0"/>
    <n v="2000"/>
    <n v="0"/>
    <n v="0"/>
    <n v="0"/>
    <n v="0"/>
    <n v="0"/>
    <n v="715.75"/>
    <n v="-715.75"/>
    <n v="0"/>
    <n v="0"/>
    <n v="0"/>
    <n v="0"/>
    <n v="0"/>
    <n v="0"/>
    <n v="0"/>
  </r>
  <r>
    <x v="5"/>
    <x v="6"/>
    <x v="0"/>
    <s v="5051107"/>
    <n v="700074"/>
    <s v="Salaries-Tech/Professional-Non-productive"/>
    <s v="Sleep Disorder-Poulsbo"/>
    <x v="0"/>
    <m/>
    <n v="1986.81"/>
    <n v="3530.04"/>
    <n v="1409.79"/>
    <n v="1647.99"/>
    <n v="2067.25"/>
    <n v="4020.54"/>
    <n v="1775.29"/>
    <n v="2342.04"/>
    <n v="1150.1500000000001"/>
    <n v="-480.67"/>
    <n v="4826.9799999999996"/>
    <n v="-414.9"/>
    <n v="23861.310000000005"/>
    <n v="5241.8799999999992"/>
  </r>
  <r>
    <x v="5"/>
    <x v="6"/>
    <x v="0"/>
    <s v="5051107"/>
    <n v="700074"/>
    <s v="Salaries-Tech/Professional-NonProd-Other"/>
    <s v="Sleep Disorder-Poulsbo"/>
    <x v="0"/>
    <n v="2000"/>
    <n v="0"/>
    <n v="102"/>
    <n v="0"/>
    <n v="192.85"/>
    <n v="-84.85"/>
    <n v="72"/>
    <n v="48.91"/>
    <n v="496.32"/>
    <n v="-133.96"/>
    <n v="134.63999999999999"/>
    <n v="0"/>
    <n v="132.11000000000001"/>
    <n v="960.02"/>
    <n v="-132.11000000000001"/>
  </r>
  <r>
    <x v="5"/>
    <x v="6"/>
    <x v="0"/>
    <s v="5051107"/>
    <n v="700084"/>
    <s v="Accrued PTO"/>
    <s v="Sleep Disorder-Poulsbo"/>
    <x v="0"/>
    <m/>
    <n v="-67.02"/>
    <n v="-2234.66"/>
    <n v="539.01"/>
    <n v="441.66"/>
    <n v="849.36"/>
    <n v="-2204.69"/>
    <n v="524.16"/>
    <n v="-467.73"/>
    <n v="501.67"/>
    <n v="1390.46"/>
    <n v="-1193.99"/>
    <n v="1353.93"/>
    <n v="-567.83999999999969"/>
    <n v="-2547.92"/>
  </r>
  <r>
    <x v="6"/>
    <x v="6"/>
    <x v="0"/>
    <s v="5051107"/>
    <n v="713010"/>
    <s v="Benefits-FICA/Medicare"/>
    <s v="Sleep Disorder-Poulsbo"/>
    <x v="0"/>
    <m/>
    <n v="1808.19"/>
    <n v="2001.28"/>
    <n v="2075.94"/>
    <n v="2234.14"/>
    <n v="2094.2399999999998"/>
    <n v="1814.54"/>
    <n v="2110.41"/>
    <n v="1933.01"/>
    <n v="1911.13"/>
    <n v="1993.29"/>
    <n v="1731.34"/>
    <n v="2032.92"/>
    <n v="23740.43"/>
    <n v="-301.58000000000015"/>
  </r>
  <r>
    <x v="6"/>
    <x v="6"/>
    <x v="0"/>
    <s v="5051107"/>
    <n v="713090"/>
    <s v="Benefits-Allocated Amounts"/>
    <s v="Sleep Disorder-Poulsbo"/>
    <x v="0"/>
    <m/>
    <n v="3938.62"/>
    <n v="3840.54"/>
    <n v="4395.68"/>
    <n v="4601.58"/>
    <n v="4928.79"/>
    <n v="3783.03"/>
    <n v="4598.58"/>
    <n v="4200.5600000000004"/>
    <n v="3601.09"/>
    <n v="4793.91"/>
    <n v="3862.01"/>
    <n v="5338.24"/>
    <n v="51882.630000000005"/>
    <n v="-1476.2299999999996"/>
  </r>
  <r>
    <x v="6"/>
    <x v="6"/>
    <x v="0"/>
    <s v="5051107"/>
    <n v="713096"/>
    <s v="Employee Recognition"/>
    <s v="Sleep Disorder-Poulsbo"/>
    <x v="0"/>
    <n v="1017"/>
    <n v="0"/>
    <n v="0"/>
    <n v="0"/>
    <n v="0"/>
    <n v="0"/>
    <n v="0"/>
    <n v="0"/>
    <n v="0"/>
    <n v="0"/>
    <n v="92.78"/>
    <n v="0"/>
    <n v="0"/>
    <n v="92.78"/>
    <n v="0"/>
  </r>
  <r>
    <x v="7"/>
    <x v="6"/>
    <x v="0"/>
    <s v="5051107"/>
    <n v="718050"/>
    <s v="Contract Management--Linen"/>
    <s v="Sleep Disorder-Poulsbo"/>
    <x v="0"/>
    <n v="1026"/>
    <n v="575.58000000000004"/>
    <n v="998.63"/>
    <n v="630.85"/>
    <n v="630.63"/>
    <n v="640.72"/>
    <n v="516.5"/>
    <n v="422.76"/>
    <n v="821.63"/>
    <n v="0"/>
    <n v="564.03"/>
    <n v="489.64"/>
    <n v="1210.1400000000001"/>
    <n v="7501.1100000000006"/>
    <n v="-720.50000000000011"/>
  </r>
  <r>
    <x v="11"/>
    <x v="6"/>
    <x v="0"/>
    <s v="5051107"/>
    <n v="721010"/>
    <s v="Supplies-Medical - Billable"/>
    <s v="Sleep Disorder-Poulsbo"/>
    <x v="0"/>
    <m/>
    <n v="0"/>
    <n v="22.05"/>
    <n v="0"/>
    <n v="16.940000000000001"/>
    <n v="0"/>
    <n v="0"/>
    <n v="0"/>
    <n v="141.69999999999999"/>
    <n v="0"/>
    <n v="16.940000000000001"/>
    <n v="0"/>
    <n v="0"/>
    <n v="197.63"/>
    <n v="0"/>
  </r>
  <r>
    <x v="11"/>
    <x v="6"/>
    <x v="0"/>
    <s v="5051107"/>
    <n v="721010"/>
    <s v="Patient Monitoring"/>
    <s v="Sleep Disorder-Poulsbo"/>
    <x v="0"/>
    <n v="1000"/>
    <n v="0"/>
    <n v="0"/>
    <n v="0"/>
    <n v="0"/>
    <n v="0"/>
    <n v="0"/>
    <n v="0"/>
    <n v="0"/>
    <n v="407.66"/>
    <n v="-33.659999999999997"/>
    <n v="0"/>
    <n v="0"/>
    <n v="374"/>
    <n v="0"/>
  </r>
  <r>
    <x v="11"/>
    <x v="6"/>
    <x v="0"/>
    <s v="5051107"/>
    <n v="721210"/>
    <s v="Supplies-Anesthesia - Billable"/>
    <s v="Sleep Disorder-Poulsbo"/>
    <x v="0"/>
    <m/>
    <n v="194.25"/>
    <n v="0"/>
    <n v="17.48"/>
    <n v="0"/>
    <n v="0"/>
    <n v="0"/>
    <n v="0"/>
    <n v="0"/>
    <n v="0"/>
    <n v="129.5"/>
    <n v="0"/>
    <n v="0"/>
    <n v="341.23"/>
    <n v="0"/>
  </r>
  <r>
    <x v="11"/>
    <x v="6"/>
    <x v="0"/>
    <s v="5051107"/>
    <n v="721240"/>
    <s v="Supplies-IV Solutions/Supplies - Billable"/>
    <s v="Sleep Disorder-Poulsbo"/>
    <x v="0"/>
    <m/>
    <n v="0"/>
    <n v="0"/>
    <n v="0"/>
    <n v="0"/>
    <n v="0"/>
    <n v="0"/>
    <n v="31.68"/>
    <n v="0"/>
    <n v="0"/>
    <n v="0"/>
    <n v="0"/>
    <n v="0"/>
    <n v="31.68"/>
    <n v="0"/>
  </r>
  <r>
    <x v="11"/>
    <x v="6"/>
    <x v="0"/>
    <s v="5051107"/>
    <n v="721410"/>
    <s v="Supplies-Medical - Nonbillable"/>
    <s v="Sleep Disorder-Poulsbo"/>
    <x v="0"/>
    <m/>
    <n v="570.13"/>
    <n v="885.86"/>
    <n v="1560.66"/>
    <n v="1376.12"/>
    <n v="70.66"/>
    <n v="863.8"/>
    <n v="1887.83"/>
    <n v="1151.5899999999999"/>
    <n v="248.71"/>
    <n v="1876.02"/>
    <n v="495.92"/>
    <n v="888.91"/>
    <n v="11876.21"/>
    <n v="-392.98999999999995"/>
  </r>
  <r>
    <x v="11"/>
    <x v="6"/>
    <x v="0"/>
    <s v="5051107"/>
    <n v="721410"/>
    <s v="Patient Monitoring"/>
    <s v="Sleep Disorder-Poulsbo"/>
    <x v="0"/>
    <n v="1000"/>
    <n v="0"/>
    <n v="79.31"/>
    <n v="0"/>
    <n v="118.96"/>
    <n v="0"/>
    <n v="79.31"/>
    <n v="118.96"/>
    <n v="0"/>
    <n v="39.65"/>
    <n v="0"/>
    <n v="158.62"/>
    <n v="0"/>
    <n v="594.80999999999995"/>
    <n v="158.62"/>
  </r>
  <r>
    <x v="11"/>
    <x v="6"/>
    <x v="0"/>
    <s v="5051107"/>
    <n v="721420"/>
    <s v="Supplies-Surgical Nonbillable"/>
    <s v="Sleep Disorder-Poulsbo"/>
    <x v="0"/>
    <m/>
    <n v="0"/>
    <n v="0"/>
    <n v="0"/>
    <n v="0"/>
    <n v="0"/>
    <n v="0"/>
    <n v="0"/>
    <n v="17.07"/>
    <n v="0"/>
    <n v="0"/>
    <n v="0"/>
    <n v="0"/>
    <n v="17.07"/>
    <n v="0"/>
  </r>
  <r>
    <x v="11"/>
    <x v="6"/>
    <x v="0"/>
    <s v="5051107"/>
    <n v="721610"/>
    <s v="Supplies-Anesthesia - Nonbillable"/>
    <s v="Sleep Disorder-Poulsbo"/>
    <x v="0"/>
    <m/>
    <n v="1216.44"/>
    <n v="1792.2"/>
    <n v="1674.67"/>
    <n v="3013.64"/>
    <n v="1950.16"/>
    <n v="212.81"/>
    <n v="931.95"/>
    <n v="655.55"/>
    <n v="1566.03"/>
    <n v="1277.78"/>
    <n v="1435.78"/>
    <n v="276.05"/>
    <n v="16003.060000000001"/>
    <n v="1159.73"/>
  </r>
  <r>
    <x v="11"/>
    <x v="6"/>
    <x v="0"/>
    <s v="5051107"/>
    <n v="721810"/>
    <s v="Supplies-Dietary/Cafeteria"/>
    <s v="Sleep Disorder-Poulsbo"/>
    <x v="0"/>
    <m/>
    <n v="0"/>
    <n v="0"/>
    <n v="162.59"/>
    <n v="44.08"/>
    <n v="0"/>
    <n v="14.82"/>
    <n v="14.82"/>
    <n v="206.37"/>
    <n v="0"/>
    <n v="120.61"/>
    <n v="0"/>
    <n v="0"/>
    <n v="563.29"/>
    <n v="0"/>
  </r>
  <r>
    <x v="11"/>
    <x v="6"/>
    <x v="0"/>
    <s v="5051107"/>
    <n v="721830"/>
    <s v="Supplies-Office"/>
    <s v="Sleep Disorder-Poulsbo"/>
    <x v="0"/>
    <m/>
    <n v="632.17999999999995"/>
    <n v="65.400000000000006"/>
    <n v="195.47"/>
    <n v="172.33"/>
    <n v="716.58"/>
    <n v="0"/>
    <n v="61.87"/>
    <n v="21.79"/>
    <n v="181.71"/>
    <n v="127.09"/>
    <n v="152.59"/>
    <n v="0"/>
    <n v="2327.0100000000002"/>
    <n v="152.59"/>
  </r>
  <r>
    <x v="11"/>
    <x v="6"/>
    <x v="0"/>
    <s v="5051107"/>
    <n v="721870"/>
    <s v="Supplies-Environmental Services"/>
    <s v="Sleep Disorder-Poulsbo"/>
    <x v="0"/>
    <m/>
    <n v="0"/>
    <n v="23.64"/>
    <n v="0"/>
    <n v="108.2"/>
    <n v="0"/>
    <n v="68.599999999999994"/>
    <n v="0"/>
    <n v="39.4"/>
    <n v="144.68"/>
    <n v="0"/>
    <n v="47.28"/>
    <n v="77.7"/>
    <n v="509.49999999999994"/>
    <n v="-30.42"/>
  </r>
  <r>
    <x v="11"/>
    <x v="6"/>
    <x v="0"/>
    <s v="5051107"/>
    <n v="721910"/>
    <s v="Supplies-Small Equipment"/>
    <s v="Sleep Disorder-Poulsbo"/>
    <x v="0"/>
    <m/>
    <n v="1668.12"/>
    <n v="30.72"/>
    <n v="170.94"/>
    <n v="6815.32"/>
    <n v="-1102.97"/>
    <n v="2083.14"/>
    <n v="-4.32"/>
    <n v="109"/>
    <n v="214.36"/>
    <n v="885.59"/>
    <n v="512.29999999999995"/>
    <n v="51.83"/>
    <n v="11434.03"/>
    <n v="460.46999999999997"/>
  </r>
  <r>
    <x v="11"/>
    <x v="6"/>
    <x v="0"/>
    <s v="5051107"/>
    <n v="721980"/>
    <s v="Supplies-Other"/>
    <s v="Sleep Disorder-Poulsbo"/>
    <x v="0"/>
    <m/>
    <n v="0"/>
    <n v="0"/>
    <n v="3313.75"/>
    <n v="122.95"/>
    <n v="0"/>
    <n v="0"/>
    <n v="0"/>
    <n v="0"/>
    <n v="0"/>
    <n v="0"/>
    <n v="0"/>
    <n v="0"/>
    <n v="3436.7"/>
    <n v="0"/>
  </r>
  <r>
    <x v="11"/>
    <x v="6"/>
    <x v="0"/>
    <s v="5051107"/>
    <n v="722000"/>
    <s v="Supplies-Freight Expense"/>
    <s v="Sleep Disorder-Poulsbo"/>
    <x v="0"/>
    <m/>
    <n v="5.75"/>
    <n v="52.92"/>
    <n v="63.17"/>
    <n v="66.08"/>
    <n v="10.86"/>
    <n v="124.82"/>
    <n v="23.18"/>
    <n v="0"/>
    <n v="29.01"/>
    <n v="59.61"/>
    <n v="40.520000000000003"/>
    <n v="80.72"/>
    <n v="556.64"/>
    <n v="-40.199999999999996"/>
  </r>
  <r>
    <x v="16"/>
    <x v="6"/>
    <x v="0"/>
    <s v="5051107"/>
    <n v="732030"/>
    <s v="Repairs---Other"/>
    <s v="Sleep Disorder-Poulsbo"/>
    <x v="0"/>
    <m/>
    <n v="284.76"/>
    <n v="514.08000000000004"/>
    <n v="46.27"/>
    <n v="1334.39"/>
    <n v="0"/>
    <n v="0"/>
    <n v="0"/>
    <n v="0"/>
    <n v="0"/>
    <n v="0"/>
    <n v="0"/>
    <n v="0"/>
    <n v="2179.5"/>
    <n v="0"/>
  </r>
  <r>
    <x v="13"/>
    <x v="6"/>
    <x v="0"/>
    <s v="5051107"/>
    <n v="735070"/>
    <s v="Depreciation-Movable Equipment"/>
    <s v="Sleep Disorder-Poulsbo"/>
    <x v="0"/>
    <m/>
    <n v="2209.3000000000002"/>
    <n v="2209.29"/>
    <n v="2209.31"/>
    <n v="2209.29"/>
    <n v="2209.31"/>
    <n v="2209.2800000000002"/>
    <n v="2209.31"/>
    <n v="2209.2800000000002"/>
    <n v="2209.3200000000002"/>
    <n v="2209.2800000000002"/>
    <n v="2209.3200000000002"/>
    <n v="2209.27"/>
    <n v="26511.559999999998"/>
    <n v="5.0000000000181899E-2"/>
  </r>
  <r>
    <x v="0"/>
    <x v="6"/>
    <x v="0"/>
    <s v="5051107"/>
    <n v="740020"/>
    <s v="Education-Registration Fees"/>
    <s v="Sleep Disorder-Poulsbo"/>
    <x v="0"/>
    <m/>
    <n v="0"/>
    <n v="0"/>
    <n v="0"/>
    <n v="200"/>
    <n v="0"/>
    <n v="0"/>
    <n v="0"/>
    <n v="0"/>
    <n v="0"/>
    <n v="0"/>
    <n v="0"/>
    <n v="0"/>
    <n v="200"/>
    <n v="0"/>
  </r>
  <r>
    <x v="0"/>
    <x v="6"/>
    <x v="0"/>
    <s v="5051107"/>
    <n v="743010"/>
    <s v="Dues--Institutional"/>
    <s v="Sleep Disorder-Poulsbo"/>
    <x v="0"/>
    <m/>
    <n v="0"/>
    <n v="0"/>
    <n v="0"/>
    <n v="1100"/>
    <n v="0"/>
    <n v="0"/>
    <n v="0"/>
    <n v="0"/>
    <n v="0"/>
    <n v="1100"/>
    <n v="0"/>
    <n v="0"/>
    <n v="2200"/>
    <n v="0"/>
  </r>
  <r>
    <x v="0"/>
    <x v="6"/>
    <x v="0"/>
    <s v="5051107"/>
    <n v="749510"/>
    <s v="Miscellaneous Expenses"/>
    <s v="Sleep Disorder-Poulsbo"/>
    <x v="0"/>
    <m/>
    <n v="0"/>
    <n v="0"/>
    <n v="0"/>
    <n v="268.26"/>
    <n v="-268.26"/>
    <n v="0"/>
    <n v="0"/>
    <n v="0"/>
    <n v="0"/>
    <n v="0"/>
    <n v="0"/>
    <n v="0"/>
    <n v="0"/>
    <n v="0"/>
  </r>
  <r>
    <x v="0"/>
    <x v="6"/>
    <x v="0"/>
    <s v="5051107"/>
    <n v="749510"/>
    <s v="RICE Rewards"/>
    <s v="Sleep Disorder-Poulsbo"/>
    <x v="0"/>
    <n v="5100"/>
    <n v="0"/>
    <n v="0"/>
    <n v="0"/>
    <n v="0"/>
    <n v="0"/>
    <n v="0"/>
    <n v="0"/>
    <n v="148.97999999999999"/>
    <n v="0"/>
    <n v="0"/>
    <n v="0"/>
    <n v="0"/>
    <n v="148.97999999999999"/>
    <n v="0"/>
  </r>
  <r>
    <x v="0"/>
    <x v="6"/>
    <x v="0"/>
    <s v="5051107"/>
    <n v="749530"/>
    <s v="Travel"/>
    <s v="Sleep Disorder-Poulsbo"/>
    <x v="0"/>
    <m/>
    <n v="0"/>
    <n v="0"/>
    <n v="0"/>
    <n v="450.49"/>
    <n v="5"/>
    <n v="5"/>
    <n v="0"/>
    <n v="20"/>
    <n v="10"/>
    <n v="20"/>
    <n v="0"/>
    <n v="0"/>
    <n v="510.49"/>
    <n v="0"/>
  </r>
  <r>
    <x v="0"/>
    <x v="6"/>
    <x v="0"/>
    <s v="5051107"/>
    <n v="749530"/>
    <s v="Mileage"/>
    <s v="Sleep Disorder-Poulsbo"/>
    <x v="0"/>
    <n v="1001"/>
    <n v="0"/>
    <n v="0"/>
    <n v="0"/>
    <n v="119.9"/>
    <n v="103.56"/>
    <n v="125.9"/>
    <n v="0"/>
    <n v="252.3"/>
    <n v="303.33999999999997"/>
    <n v="113.1"/>
    <n v="0"/>
    <n v="0"/>
    <n v="1018.1"/>
    <n v="0"/>
  </r>
  <r>
    <x v="0"/>
    <x v="6"/>
    <x v="0"/>
    <s v="5051107"/>
    <n v="749535"/>
    <s v="Meetings"/>
    <s v="Sleep Disorder-Poulsbo"/>
    <x v="0"/>
    <m/>
    <n v="0"/>
    <n v="0"/>
    <n v="0"/>
    <n v="0"/>
    <n v="35.74"/>
    <n v="0"/>
    <n v="0"/>
    <n v="0"/>
    <n v="103.38"/>
    <n v="0"/>
    <n v="0"/>
    <n v="0"/>
    <n v="139.12"/>
    <n v="0"/>
  </r>
  <r>
    <x v="18"/>
    <x v="3"/>
    <x v="0"/>
    <s v="5055101"/>
    <n v="400010"/>
    <s v="Acute I/P Svcs Rev--Medicare"/>
    <s v="EEG"/>
    <x v="0"/>
    <n v="1100"/>
    <n v="-29465.8"/>
    <n v="-24515.86"/>
    <n v="-42210.25"/>
    <n v="-38895.06"/>
    <n v="-67322.95"/>
    <n v="-44963.37"/>
    <n v="-25711.21"/>
    <n v="-38461.839999999997"/>
    <n v="-39163.49"/>
    <n v="-47865.59"/>
    <n v="-52480.42"/>
    <n v="-40940.959999999999"/>
    <n v="-491996.79999999993"/>
    <n v="-11539.46"/>
  </r>
  <r>
    <x v="18"/>
    <x v="3"/>
    <x v="0"/>
    <s v="5055101"/>
    <n v="400010"/>
    <s v="Acute I/P Svcs Rev--Medicaid"/>
    <s v="EEG"/>
    <x v="0"/>
    <n v="1200"/>
    <n v="-29975.25"/>
    <n v="-24428.03"/>
    <n v="-36589.980000000003"/>
    <n v="-9761.39"/>
    <n v="-15431.69"/>
    <n v="-30911.43"/>
    <n v="-13316.92"/>
    <n v="-15451.15"/>
    <n v="-19837.53"/>
    <n v="-9289.7199999999993"/>
    <n v="-15379.38"/>
    <n v="-23547.75"/>
    <n v="-243920.22000000003"/>
    <n v="8168.3700000000008"/>
  </r>
  <r>
    <x v="18"/>
    <x v="3"/>
    <x v="0"/>
    <s v="5055101"/>
    <n v="400010"/>
    <s v="Acute I/P Svcs Rev--Comm Insurance"/>
    <s v="EEG"/>
    <x v="0"/>
    <n v="1300"/>
    <n v="0"/>
    <n v="1463.61"/>
    <n v="0"/>
    <n v="0"/>
    <n v="0"/>
    <n v="-4345"/>
    <n v="-1536.79"/>
    <n v="1536.79"/>
    <n v="-10419.34"/>
    <n v="0"/>
    <n v="8836.4500000000007"/>
    <n v="273.33"/>
    <n v="-4190.9499999999989"/>
    <n v="8563.1200000000008"/>
  </r>
  <r>
    <x v="18"/>
    <x v="3"/>
    <x v="0"/>
    <s v="5055101"/>
    <n v="400010"/>
    <s v="Acute I/P Svcs Rev--BCBS Comm"/>
    <s v="EEG"/>
    <x v="0"/>
    <n v="1301"/>
    <n v="-1536.79"/>
    <n v="0"/>
    <n v="0"/>
    <n v="-1536.79"/>
    <n v="0"/>
    <n v="-9284.5300000000007"/>
    <n v="-14798.17"/>
    <n v="0"/>
    <n v="-1582.89"/>
    <n v="-7856.13"/>
    <n v="-10918.1"/>
    <n v="-1582.89"/>
    <n v="-49096.289999999994"/>
    <n v="-9335.2100000000009"/>
  </r>
  <r>
    <x v="18"/>
    <x v="3"/>
    <x v="0"/>
    <s v="5055101"/>
    <n v="400010"/>
    <s v="Acute I/P Svcs Rev--Managed Care"/>
    <s v="EEG"/>
    <x v="0"/>
    <n v="1400"/>
    <n v="-8840.92"/>
    <n v="-16127.41"/>
    <n v="-12028.95"/>
    <n v="-13749.15"/>
    <n v="-15732.3"/>
    <n v="-12294.32"/>
    <n v="-4345"/>
    <n v="-23379.87"/>
    <n v="-23525.279999999999"/>
    <n v="-23715.38"/>
    <n v="-7914.45"/>
    <n v="-30038.32"/>
    <n v="-191691.35"/>
    <n v="22123.87"/>
  </r>
  <r>
    <x v="18"/>
    <x v="3"/>
    <x v="0"/>
    <s v="5055101"/>
    <n v="400010"/>
    <s v="Acute I/P Svcs Rev--Self Pay"/>
    <s v="EEG"/>
    <x v="0"/>
    <n v="1500"/>
    <n v="-1463.61"/>
    <n v="0"/>
    <n v="-1271.42"/>
    <n v="0"/>
    <n v="-1536.79"/>
    <n v="0"/>
    <n v="0"/>
    <n v="0"/>
    <n v="0"/>
    <n v="0"/>
    <n v="-1309.56"/>
    <n v="1309.56"/>
    <n v="-4271.82"/>
    <n v="-2619.12"/>
  </r>
  <r>
    <x v="18"/>
    <x v="3"/>
    <x v="0"/>
    <s v="5055101"/>
    <n v="400010"/>
    <s v="Acute I/P Svcs Rev--Other"/>
    <s v="EEG"/>
    <x v="0"/>
    <n v="1700"/>
    <n v="-1210.8800000000001"/>
    <n v="-11323.22"/>
    <n v="-3073.58"/>
    <n v="1536.79"/>
    <n v="-38706.33"/>
    <n v="-1701.37"/>
    <n v="-1536.79"/>
    <n v="-1582.89"/>
    <n v="-10493.43"/>
    <n v="-1582.89"/>
    <n v="-1582.89"/>
    <n v="-7149.75"/>
    <n v="-78407.23000000001"/>
    <n v="5566.86"/>
  </r>
  <r>
    <x v="19"/>
    <x v="3"/>
    <x v="0"/>
    <s v="5055101"/>
    <n v="400020"/>
    <s v="O/P Care Svcs Rev--Medicare"/>
    <s v="EEG"/>
    <x v="0"/>
    <n v="1100"/>
    <n v="-9738.81"/>
    <n v="-7892.69"/>
    <n v="-10757.53"/>
    <n v="-30936.98"/>
    <n v="-25123.1"/>
    <n v="-7749.81"/>
    <n v="-33224.53"/>
    <n v="-13317.23"/>
    <n v="-22160.67"/>
    <n v="-12878.13"/>
    <n v="-20596.98"/>
    <n v="-3269.39"/>
    <n v="-197645.85"/>
    <n v="-17327.59"/>
  </r>
  <r>
    <x v="19"/>
    <x v="3"/>
    <x v="0"/>
    <s v="5055101"/>
    <n v="400020"/>
    <s v="O/P Care Svcs Rev--Medicaid"/>
    <s v="EEG"/>
    <x v="0"/>
    <n v="1200"/>
    <n v="-7784.54"/>
    <n v="-17040.25"/>
    <n v="-19168.29"/>
    <n v="-16714.78"/>
    <n v="-12920.54"/>
    <n v="-11317.89"/>
    <n v="-26852.240000000002"/>
    <n v="-6546.57"/>
    <n v="-14564.63"/>
    <n v="-16043.91"/>
    <n v="-7914.45"/>
    <n v="-14199.91"/>
    <n v="-171068.00000000003"/>
    <n v="6285.46"/>
  </r>
  <r>
    <x v="19"/>
    <x v="3"/>
    <x v="0"/>
    <s v="5055101"/>
    <n v="400020"/>
    <s v="O/P Care Svcs Rev--Comm Insurance"/>
    <s v="EEG"/>
    <x v="0"/>
    <n v="1300"/>
    <n v="0"/>
    <n v="-3282.32"/>
    <n v="0"/>
    <n v="-3073.58"/>
    <n v="-1536.79"/>
    <n v="0"/>
    <n v="-1536.79"/>
    <n v="-1582.89"/>
    <n v="-4760.08"/>
    <n v="0"/>
    <n v="0"/>
    <n v="0"/>
    <n v="-15772.449999999999"/>
    <n v="0"/>
  </r>
  <r>
    <x v="19"/>
    <x v="3"/>
    <x v="0"/>
    <s v="5055101"/>
    <n v="400020"/>
    <s v="O/P Care Svcs Rev--BCBS Comm"/>
    <s v="EEG"/>
    <x v="0"/>
    <n v="1301"/>
    <n v="-3282.32"/>
    <n v="0"/>
    <n v="-6247.75"/>
    <n v="-3282.32"/>
    <n v="-3282.32"/>
    <n v="-6147.16"/>
    <n v="-3073.58"/>
    <n v="0"/>
    <n v="-149.71"/>
    <n v="-3165.78"/>
    <n v="-3165.78"/>
    <n v="-1582.89"/>
    <n v="-33379.609999999993"/>
    <n v="-1582.89"/>
  </r>
  <r>
    <x v="19"/>
    <x v="3"/>
    <x v="0"/>
    <s v="5055101"/>
    <n v="400020"/>
    <s v="O/P Care Svcs Rev--Managed Care"/>
    <s v="EEG"/>
    <x v="0"/>
    <n v="1400"/>
    <n v="-7892.69"/>
    <n v="-4819.1099999999997"/>
    <n v="-10966.27"/>
    <n v="-26861.07"/>
    <n v="-17623.939999999999"/>
    <n v="-18750.810000000001"/>
    <n v="-13831.11"/>
    <n v="-9815.9599999999991"/>
    <n v="-8018.06"/>
    <n v="-12981.74"/>
    <n v="-6331.56"/>
    <n v="-9543.44"/>
    <n v="-147435.75999999998"/>
    <n v="3211.88"/>
  </r>
  <r>
    <x v="19"/>
    <x v="3"/>
    <x v="0"/>
    <s v="5055101"/>
    <n v="400020"/>
    <s v="O/P Care Svcs Rev--Self Pay"/>
    <s v="EEG"/>
    <x v="0"/>
    <n v="1500"/>
    <n v="0"/>
    <n v="1463.61"/>
    <n v="0"/>
    <n v="0"/>
    <n v="0"/>
    <n v="-3174.17"/>
    <n v="0"/>
    <n v="-1582.89"/>
    <n v="-2846.35"/>
    <n v="-1582.89"/>
    <n v="0"/>
    <n v="0"/>
    <n v="-7722.6900000000005"/>
    <n v="0"/>
  </r>
  <r>
    <x v="19"/>
    <x v="3"/>
    <x v="0"/>
    <s v="5055101"/>
    <n v="400020"/>
    <s v="O/P Care Svcs Rev--Other"/>
    <s v="EEG"/>
    <x v="0"/>
    <n v="1700"/>
    <n v="-3073.58"/>
    <n v="0"/>
    <n v="0"/>
    <n v="-1536.79"/>
    <n v="0"/>
    <n v="0"/>
    <n v="0"/>
    <n v="0"/>
    <n v="-1582.89"/>
    <n v="0"/>
    <n v="0"/>
    <n v="-1582.89"/>
    <n v="-7776.1500000000005"/>
    <n v="1582.89"/>
  </r>
  <r>
    <x v="5"/>
    <x v="3"/>
    <x v="0"/>
    <s v="5055101"/>
    <n v="700032"/>
    <s v="Salaries-Other Pat Care Providers-Productive"/>
    <s v="EEG"/>
    <x v="0"/>
    <m/>
    <n v="9440.18"/>
    <n v="9662.9"/>
    <n v="9622.0499999999993"/>
    <n v="12969.12"/>
    <n v="12629.94"/>
    <n v="7320.07"/>
    <n v="12205.58"/>
    <n v="9552.11"/>
    <n v="10789.1"/>
    <n v="10277.040000000001"/>
    <n v="10266.459999999999"/>
    <n v="10676.95"/>
    <n v="125411.49999999999"/>
    <n v="-410.4900000000016"/>
  </r>
  <r>
    <x v="5"/>
    <x v="3"/>
    <x v="0"/>
    <s v="5055101"/>
    <n v="700032"/>
    <s v="Salaries-Other Pat Care Providers-OT"/>
    <s v="EEG"/>
    <x v="0"/>
    <n v="1000"/>
    <n v="110.61"/>
    <n v="38.32"/>
    <n v="94.69"/>
    <n v="425.93"/>
    <n v="1689.04"/>
    <n v="-251.4"/>
    <n v="824.32"/>
    <n v="423.33"/>
    <n v="481.16"/>
    <n v="440.83"/>
    <n v="910.59"/>
    <n v="401.77"/>
    <n v="5589.1900000000005"/>
    <n v="508.82000000000005"/>
  </r>
  <r>
    <x v="5"/>
    <x v="3"/>
    <x v="0"/>
    <s v="5055101"/>
    <n v="700032"/>
    <s v="Salaries-Other Pat Care Providers-Other"/>
    <s v="EEG"/>
    <x v="0"/>
    <n v="2000"/>
    <n v="2171.75"/>
    <n v="2235"/>
    <n v="2075.1799999999998"/>
    <n v="2344.83"/>
    <n v="2102.2399999999998"/>
    <n v="2409.27"/>
    <n v="2291.67"/>
    <n v="2230.87"/>
    <n v="2144.67"/>
    <n v="2182.6999999999998"/>
    <n v="2193.16"/>
    <n v="2281.96"/>
    <n v="26663.300000000003"/>
    <n v="-88.800000000000182"/>
  </r>
  <r>
    <x v="5"/>
    <x v="3"/>
    <x v="0"/>
    <s v="5055101"/>
    <n v="700054"/>
    <s v="Salaries-Management-NonProd-Other"/>
    <s v="EEG"/>
    <x v="0"/>
    <n v="2000"/>
    <n v="0"/>
    <n v="0"/>
    <n v="0"/>
    <n v="0"/>
    <n v="0"/>
    <n v="485.3"/>
    <n v="-485.3"/>
    <n v="0"/>
    <n v="0"/>
    <n v="0"/>
    <n v="0"/>
    <n v="0"/>
    <n v="0"/>
    <n v="0"/>
  </r>
  <r>
    <x v="5"/>
    <x v="3"/>
    <x v="0"/>
    <s v="5055101"/>
    <n v="700072"/>
    <s v="Salaries-Other Pat Care Providers-Non-productive"/>
    <s v="EEG"/>
    <x v="0"/>
    <m/>
    <n v="2707.32"/>
    <n v="2001.97"/>
    <n v="2830.92"/>
    <n v="1177.1500000000001"/>
    <n v="568.91"/>
    <n v="5328.59"/>
    <n v="1786.23"/>
    <n v="2115.7800000000002"/>
    <n v="1748.7"/>
    <n v="1063.3399999999999"/>
    <n v="2261.5500000000002"/>
    <n v="2291.19"/>
    <n v="25881.649999999998"/>
    <n v="-29.639999999999873"/>
  </r>
  <r>
    <x v="5"/>
    <x v="3"/>
    <x v="0"/>
    <s v="5055101"/>
    <n v="700072"/>
    <s v="Salaries-Other Pat Care Providers-NonProd-Other"/>
    <s v="EEG"/>
    <x v="0"/>
    <n v="2000"/>
    <n v="286.60000000000002"/>
    <n v="93.22"/>
    <n v="227.94"/>
    <n v="877.21"/>
    <n v="1240.55"/>
    <n v="458.87"/>
    <n v="440.22"/>
    <n v="-392.13"/>
    <n v="627.74"/>
    <n v="642.12"/>
    <n v="348.53"/>
    <n v="938.28"/>
    <n v="5789.1499999999987"/>
    <n v="-589.75"/>
  </r>
  <r>
    <x v="5"/>
    <x v="3"/>
    <x v="0"/>
    <s v="5055101"/>
    <n v="700084"/>
    <s v="Accrued PTO"/>
    <s v="EEG"/>
    <x v="0"/>
    <m/>
    <n v="-771.75"/>
    <n v="40.61"/>
    <n v="-1103.47"/>
    <n v="883.18"/>
    <n v="1152.43"/>
    <n v="-2290.62"/>
    <n v="47.91"/>
    <n v="-2194.38"/>
    <n v="1929.64"/>
    <n v="345.62"/>
    <n v="-233.01"/>
    <n v="443.87"/>
    <n v="-1749.9700000000003"/>
    <n v="-676.88"/>
  </r>
  <r>
    <x v="6"/>
    <x v="3"/>
    <x v="0"/>
    <s v="5055101"/>
    <n v="713010"/>
    <s v="Benefits-FICA/Medicare"/>
    <s v="EEG"/>
    <x v="0"/>
    <m/>
    <n v="1040.22"/>
    <n v="998.9"/>
    <n v="1048.54"/>
    <n v="1287.5"/>
    <n v="1379.92"/>
    <n v="1081.67"/>
    <n v="1302.17"/>
    <n v="1168.3800000000001"/>
    <n v="1137.58"/>
    <n v="1050"/>
    <n v="1152.3399999999999"/>
    <n v="1196.96"/>
    <n v="13844.18"/>
    <n v="-44.620000000000118"/>
  </r>
  <r>
    <x v="6"/>
    <x v="3"/>
    <x v="0"/>
    <s v="5055101"/>
    <n v="713090"/>
    <s v="Benefits-Allocated Amounts"/>
    <s v="EEG"/>
    <x v="0"/>
    <m/>
    <n v="2873.91"/>
    <n v="2574.13"/>
    <n v="2878.74"/>
    <n v="3360.19"/>
    <n v="3260.69"/>
    <n v="2873.59"/>
    <n v="3426.92"/>
    <n v="2955.85"/>
    <n v="2713.74"/>
    <n v="2832.5"/>
    <n v="3282.47"/>
    <n v="3261.55"/>
    <n v="36294.28"/>
    <n v="20.919999999999618"/>
  </r>
  <r>
    <x v="7"/>
    <x v="3"/>
    <x v="0"/>
    <s v="5055101"/>
    <n v="718050"/>
    <s v="Document Shredding/Storage"/>
    <s v="EEG"/>
    <x v="0"/>
    <n v="1012"/>
    <n v="2.93"/>
    <n v="3.02"/>
    <n v="2.78"/>
    <n v="2.87"/>
    <n v="2.96"/>
    <n v="2.96"/>
    <n v="2.93"/>
    <n v="2.5"/>
    <n v="2.6"/>
    <n v="3.43"/>
    <n v="2.87"/>
    <n v="2.96"/>
    <n v="34.81"/>
    <n v="-8.9999999999999858E-2"/>
  </r>
  <r>
    <x v="7"/>
    <x v="3"/>
    <x v="0"/>
    <s v="5055101"/>
    <n v="718050"/>
    <s v="Translation Services"/>
    <s v="EEG"/>
    <x v="0"/>
    <n v="1025"/>
    <n v="0"/>
    <n v="32"/>
    <n v="40"/>
    <n v="0"/>
    <n v="0"/>
    <n v="0"/>
    <n v="48"/>
    <n v="56"/>
    <n v="0"/>
    <n v="56"/>
    <n v="0"/>
    <n v="32"/>
    <n v="264"/>
    <n v="-32"/>
  </r>
  <r>
    <x v="11"/>
    <x v="3"/>
    <x v="0"/>
    <s v="5055101"/>
    <n v="721010"/>
    <s v="Patient Monitoring"/>
    <s v="EEG"/>
    <x v="0"/>
    <n v="1000"/>
    <n v="911.63"/>
    <n v="1823.26"/>
    <n v="1257.9000000000001"/>
    <n v="4989.07"/>
    <n v="4068.27"/>
    <n v="7726.81"/>
    <n v="2107.31"/>
    <n v="2107.3200000000002"/>
    <n v="4636.09"/>
    <n v="2107.3000000000002"/>
    <n v="2109.23"/>
    <n v="4218.46"/>
    <n v="38062.65"/>
    <n v="-2109.23"/>
  </r>
  <r>
    <x v="11"/>
    <x v="3"/>
    <x v="0"/>
    <s v="5055101"/>
    <n v="721410"/>
    <s v="Supplies-Medical - Nonbillable"/>
    <s v="EEG"/>
    <x v="0"/>
    <m/>
    <n v="13.9"/>
    <n v="186.41"/>
    <n v="11.26"/>
    <n v="190.13"/>
    <n v="149.59"/>
    <n v="99.58"/>
    <n v="84.4"/>
    <n v="27.9"/>
    <n v="96.37"/>
    <n v="172.22"/>
    <n v="22.07"/>
    <n v="42.23"/>
    <n v="1096.06"/>
    <n v="-20.159999999999997"/>
  </r>
  <r>
    <x v="11"/>
    <x v="3"/>
    <x v="0"/>
    <s v="5055101"/>
    <n v="721410"/>
    <s v="Patient Monitoring"/>
    <s v="EEG"/>
    <x v="0"/>
    <n v="1000"/>
    <n v="0"/>
    <n v="120.16"/>
    <n v="240.32"/>
    <n v="120.16"/>
    <n v="200.27"/>
    <n v="440.6"/>
    <n v="0"/>
    <n v="160.22"/>
    <n v="120.16"/>
    <n v="120.16"/>
    <n v="120.27"/>
    <n v="120.27"/>
    <n v="1762.5900000000001"/>
    <n v="0"/>
  </r>
  <r>
    <x v="11"/>
    <x v="3"/>
    <x v="0"/>
    <s v="5055101"/>
    <n v="721420"/>
    <s v="Supplies-Surgical Nonbillable"/>
    <s v="EEG"/>
    <x v="0"/>
    <m/>
    <n v="0"/>
    <n v="0"/>
    <n v="0"/>
    <n v="0"/>
    <n v="52"/>
    <n v="0"/>
    <n v="0"/>
    <n v="0"/>
    <n v="0"/>
    <n v="0"/>
    <n v="0"/>
    <n v="0"/>
    <n v="52"/>
    <n v="0"/>
  </r>
  <r>
    <x v="11"/>
    <x v="3"/>
    <x v="0"/>
    <s v="5055101"/>
    <n v="721810"/>
    <s v="Supplies-Dietary/Cafeteria"/>
    <s v="EEG"/>
    <x v="0"/>
    <m/>
    <n v="0"/>
    <n v="0"/>
    <n v="6.24"/>
    <n v="0"/>
    <n v="0"/>
    <n v="11.66"/>
    <n v="0"/>
    <n v="0"/>
    <n v="0"/>
    <n v="0"/>
    <n v="11.66"/>
    <n v="0"/>
    <n v="29.56"/>
    <n v="11.66"/>
  </r>
  <r>
    <x v="11"/>
    <x v="3"/>
    <x v="0"/>
    <s v="5055101"/>
    <n v="721830"/>
    <s v="Supplies-Office"/>
    <s v="EEG"/>
    <x v="0"/>
    <m/>
    <n v="196.53"/>
    <n v="0"/>
    <n v="196.53"/>
    <n v="196.53"/>
    <n v="178.5"/>
    <n v="393.06"/>
    <n v="-18.03"/>
    <n v="-36.06"/>
    <n v="196.53"/>
    <n v="-18.03"/>
    <n v="196.53"/>
    <n v="-18.03"/>
    <n v="1464.0600000000002"/>
    <n v="214.56"/>
  </r>
  <r>
    <x v="11"/>
    <x v="3"/>
    <x v="0"/>
    <s v="5055101"/>
    <n v="721870"/>
    <s v="Supplies-Environmental Services"/>
    <s v="EEG"/>
    <x v="0"/>
    <m/>
    <n v="0"/>
    <n v="0"/>
    <n v="13.1"/>
    <n v="0"/>
    <n v="0"/>
    <n v="0"/>
    <n v="22.55"/>
    <n v="12.57"/>
    <n v="0"/>
    <n v="0"/>
    <n v="0"/>
    <n v="0"/>
    <n v="48.22"/>
    <n v="0"/>
  </r>
  <r>
    <x v="11"/>
    <x v="3"/>
    <x v="0"/>
    <s v="5055101"/>
    <n v="721910"/>
    <s v="Supplies-Small Equipment"/>
    <s v="EEG"/>
    <x v="0"/>
    <m/>
    <n v="0"/>
    <n v="0"/>
    <n v="0"/>
    <n v="0"/>
    <n v="477.09"/>
    <n v="0"/>
    <n v="246.01"/>
    <n v="552.5"/>
    <n v="-17.82"/>
    <n v="0"/>
    <n v="0"/>
    <n v="0"/>
    <n v="1257.78"/>
    <n v="0"/>
  </r>
  <r>
    <x v="11"/>
    <x v="3"/>
    <x v="0"/>
    <s v="5055101"/>
    <n v="722000"/>
    <s v="Supplies-Freight Expense"/>
    <s v="EEG"/>
    <x v="0"/>
    <m/>
    <n v="0"/>
    <n v="44.72"/>
    <n v="23.08"/>
    <n v="17.079999999999998"/>
    <n v="30.39"/>
    <n v="36.78"/>
    <n v="33.17"/>
    <n v="8.99"/>
    <n v="12.16"/>
    <n v="17.02"/>
    <n v="18.02"/>
    <n v="8.27"/>
    <n v="249.68000000000006"/>
    <n v="9.75"/>
  </r>
  <r>
    <x v="12"/>
    <x v="3"/>
    <x v="0"/>
    <s v="5055101"/>
    <n v="730020"/>
    <s v="Rental and Leases-Copier Usage Fees (DO NOT USE)"/>
    <s v="EEG"/>
    <x v="0"/>
    <n v="5100"/>
    <n v="5.88"/>
    <n v="5.29"/>
    <n v="5.59"/>
    <n v="5.59"/>
    <n v="5.59"/>
    <n v="5.59"/>
    <n v="78.540000000000006"/>
    <n v="11.21"/>
    <n v="11.19"/>
    <n v="11.23"/>
    <n v="11.21"/>
    <n v="11.83"/>
    <n v="168.74"/>
    <n v="-0.61999999999999922"/>
  </r>
  <r>
    <x v="15"/>
    <x v="3"/>
    <x v="0"/>
    <s v="5055101"/>
    <n v="731060"/>
    <s v="Cell Phones"/>
    <s v="EEG"/>
    <x v="0"/>
    <n v="1001"/>
    <n v="0"/>
    <n v="205.36"/>
    <n v="101.35"/>
    <n v="0"/>
    <n v="101.82"/>
    <n v="103.1"/>
    <n v="206.34"/>
    <n v="0"/>
    <n v="104.08"/>
    <n v="206.32"/>
    <n v="102.21"/>
    <n v="103.44"/>
    <n v="1234.0200000000002"/>
    <n v="-1.230000000000004"/>
  </r>
  <r>
    <x v="15"/>
    <x v="3"/>
    <x v="0"/>
    <s v="5055101"/>
    <n v="731060"/>
    <s v="Pagers"/>
    <s v="EEG"/>
    <x v="0"/>
    <n v="1002"/>
    <n v="41.71"/>
    <n v="41.71"/>
    <n v="80.569999999999993"/>
    <n v="25.57"/>
    <n v="25.57"/>
    <n v="0"/>
    <n v="51.14"/>
    <n v="25.57"/>
    <n v="25.57"/>
    <n v="25.57"/>
    <n v="25.57"/>
    <n v="25.57"/>
    <n v="394.11999999999995"/>
    <n v="0"/>
  </r>
  <r>
    <x v="13"/>
    <x v="3"/>
    <x v="0"/>
    <s v="5055101"/>
    <n v="735070"/>
    <s v="Depreciation-Movable Equipment"/>
    <s v="EEG"/>
    <x v="0"/>
    <m/>
    <n v="418.49"/>
    <n v="418.49"/>
    <n v="418.49"/>
    <n v="418.49"/>
    <n v="418.49"/>
    <n v="418.49"/>
    <n v="418.49"/>
    <n v="418.49"/>
    <n v="418.49"/>
    <n v="418.49"/>
    <n v="418.5"/>
    <n v="418.49"/>
    <n v="5021.8899999999985"/>
    <n v="9.9999999999909051E-3"/>
  </r>
  <r>
    <x v="0"/>
    <x v="3"/>
    <x v="0"/>
    <s v="5055101"/>
    <n v="749510"/>
    <s v="Miscellaneous Expenses"/>
    <s v="EEG"/>
    <x v="0"/>
    <m/>
    <n v="0"/>
    <n v="0"/>
    <n v="0"/>
    <n v="0"/>
    <n v="0"/>
    <n v="0"/>
    <n v="0"/>
    <n v="-1"/>
    <n v="0"/>
    <n v="0"/>
    <n v="0"/>
    <n v="0"/>
    <n v="-1"/>
    <n v="0"/>
  </r>
  <r>
    <x v="0"/>
    <x v="3"/>
    <x v="0"/>
    <s v="5055101"/>
    <n v="749510"/>
    <s v="RICE Rewards"/>
    <s v="EEG"/>
    <x v="0"/>
    <n v="5100"/>
    <n v="0"/>
    <n v="0"/>
    <n v="0"/>
    <n v="0"/>
    <n v="0"/>
    <n v="0"/>
    <n v="0"/>
    <n v="99.99"/>
    <n v="0"/>
    <n v="0"/>
    <n v="0"/>
    <n v="0"/>
    <n v="99.99"/>
    <n v="0"/>
  </r>
  <r>
    <x v="15"/>
    <x v="6"/>
    <x v="0"/>
    <s v="5055107"/>
    <n v="731060"/>
    <s v="Pagers"/>
    <s v="EEG"/>
    <x v="0"/>
    <n v="1002"/>
    <n v="1.21"/>
    <n v="1.21"/>
    <n v="1.21"/>
    <n v="1.21"/>
    <n v="0"/>
    <n v="1.21"/>
    <n v="2.42"/>
    <n v="1.21"/>
    <n v="1.21"/>
    <n v="1.21"/>
    <n v="1.21"/>
    <n v="1.21"/>
    <n v="14.520000000000003"/>
    <n v="0"/>
  </r>
  <r>
    <x v="18"/>
    <x v="3"/>
    <x v="0"/>
    <s v="5100101"/>
    <n v="400010"/>
    <s v="Acute I/P Svcs Rev--Medicare"/>
    <s v="Pharmacy"/>
    <x v="0"/>
    <n v="1100"/>
    <n v="-10716148.65"/>
    <n v="-10091783.449999999"/>
    <n v="-10594255.85"/>
    <n v="-13764427.35"/>
    <n v="-12010249.050000001"/>
    <n v="-11858864.65"/>
    <n v="-11805277.199999999"/>
    <n v="-11826657"/>
    <n v="-13323641.300000001"/>
    <n v="-12110362.4"/>
    <n v="-11538453"/>
    <n v="-11899537.050000001"/>
    <n v="-141539656.95000002"/>
    <n v="361084.05000000075"/>
  </r>
  <r>
    <x v="18"/>
    <x v="3"/>
    <x v="0"/>
    <s v="5100101"/>
    <n v="400010"/>
    <s v="Acute I/P Svcs Rev--Medicaid"/>
    <s v="Pharmacy"/>
    <x v="0"/>
    <n v="1200"/>
    <n v="-5550401.3499999996"/>
    <n v="-4833621"/>
    <n v="-4700405.7"/>
    <n v="-4570988.5"/>
    <n v="-5587492.6500000004"/>
    <n v="-5574370.5499999998"/>
    <n v="-6054888.7999999998"/>
    <n v="-5618823"/>
    <n v="-6985279.5499999998"/>
    <n v="-6171591.4000000004"/>
    <n v="-5887853.6500000004"/>
    <n v="-5928414.3499999996"/>
    <n v="-67464130.5"/>
    <n v="40560.699999999255"/>
  </r>
  <r>
    <x v="18"/>
    <x v="3"/>
    <x v="0"/>
    <s v="5100101"/>
    <n v="400010"/>
    <s v="Acute I/P Svcs Rev--Comm Insurance"/>
    <s v="Pharmacy"/>
    <x v="0"/>
    <n v="1300"/>
    <n v="-594179.6"/>
    <n v="112673"/>
    <n v="-286240.09999999998"/>
    <n v="-358453.85"/>
    <n v="-365718.9"/>
    <n v="-590383.85"/>
    <n v="-640419.5"/>
    <n v="15506.85"/>
    <n v="-565878.75"/>
    <n v="-276131.95"/>
    <n v="-289686.3"/>
    <n v="-204013.05"/>
    <n v="-4042925.9999999995"/>
    <n v="-85673.25"/>
  </r>
  <r>
    <x v="18"/>
    <x v="3"/>
    <x v="0"/>
    <s v="5100101"/>
    <n v="400010"/>
    <s v="Acute I/P Svcs Rev--BCBS Comm"/>
    <s v="Pharmacy"/>
    <x v="0"/>
    <n v="1301"/>
    <n v="-393779.85"/>
    <n v="-954070.9"/>
    <n v="-670016.55000000005"/>
    <n v="-549157.4"/>
    <n v="-459176.4"/>
    <n v="-964615.3"/>
    <n v="-1109872.25"/>
    <n v="-956395.4"/>
    <n v="-806654.05"/>
    <n v="-1042342.85"/>
    <n v="-1118586.95"/>
    <n v="-1039903.1"/>
    <n v="-10064571"/>
    <n v="-78683.849999999977"/>
  </r>
  <r>
    <x v="18"/>
    <x v="3"/>
    <x v="0"/>
    <s v="5100101"/>
    <n v="400010"/>
    <s v="Acute I/P Svcs Rev--Managed Care"/>
    <s v="Pharmacy"/>
    <x v="0"/>
    <n v="1400"/>
    <n v="-4738525.4000000004"/>
    <n v="-5267423.3499999996"/>
    <n v="-4116654.05"/>
    <n v="-4381652"/>
    <n v="-3700737.55"/>
    <n v="-4524551.3499999996"/>
    <n v="-4542227.6500000004"/>
    <n v="-4498990.5999999996"/>
    <n v="-4545724.7"/>
    <n v="-4059620.95"/>
    <n v="-4052880.5"/>
    <n v="-4768536.2"/>
    <n v="-53197524.300000012"/>
    <n v="715655.70000000019"/>
  </r>
  <r>
    <x v="18"/>
    <x v="3"/>
    <x v="0"/>
    <s v="5100101"/>
    <n v="400010"/>
    <s v="Acute I/P Svcs Rev--Self Pay"/>
    <s v="Pharmacy"/>
    <x v="0"/>
    <n v="1500"/>
    <n v="-716957.1"/>
    <n v="-529731.80000000005"/>
    <n v="-411777.15"/>
    <n v="-152007.1"/>
    <n v="-136753.5"/>
    <n v="82020.649999999994"/>
    <n v="-301189.05"/>
    <n v="-42674.3"/>
    <n v="-444415.4"/>
    <n v="-69012.7"/>
    <n v="-303530.2"/>
    <n v="270022.59999999998"/>
    <n v="-2756005.05"/>
    <n v="-573552.80000000005"/>
  </r>
  <r>
    <x v="18"/>
    <x v="3"/>
    <x v="0"/>
    <s v="5100101"/>
    <n v="400010"/>
    <s v="Acute I/P Svcs Rev--Other"/>
    <s v="Pharmacy"/>
    <x v="0"/>
    <n v="1700"/>
    <n v="-892246.55"/>
    <n v="-1237612.95"/>
    <n v="-1015804.1"/>
    <n v="-954414.9"/>
    <n v="-588227.80000000005"/>
    <n v="-1420569.7"/>
    <n v="-1081673.6000000001"/>
    <n v="-963849.05"/>
    <n v="-641860.25"/>
    <n v="-656599.6"/>
    <n v="-1044287.8"/>
    <n v="-857343.3"/>
    <n v="-11354489.6"/>
    <n v="-186944.5"/>
  </r>
  <r>
    <x v="19"/>
    <x v="3"/>
    <x v="0"/>
    <s v="5100101"/>
    <n v="400020"/>
    <s v="O/P Care Svcs Rev--Medicare"/>
    <s v="Pharmacy"/>
    <x v="0"/>
    <n v="1100"/>
    <n v="-3495375.3"/>
    <n v="-3770884.5"/>
    <n v="-3318869.35"/>
    <n v="-4232727.1500000004"/>
    <n v="-3922079.4"/>
    <n v="-3424583.25"/>
    <n v="-3972714.25"/>
    <n v="-3443759.95"/>
    <n v="-4556007.9000000004"/>
    <n v="-4258503.2"/>
    <n v="-3935181.48"/>
    <n v="-4004447"/>
    <n v="-46335132.729999997"/>
    <n v="69265.520000000019"/>
  </r>
  <r>
    <x v="19"/>
    <x v="3"/>
    <x v="0"/>
    <s v="5100101"/>
    <n v="400020"/>
    <s v="O/P Care Svcs Rev--Medicaid"/>
    <s v="Pharmacy"/>
    <x v="0"/>
    <n v="1200"/>
    <n v="-1720126.05"/>
    <n v="-2072661.45"/>
    <n v="-1836713.35"/>
    <n v="-2150098.4"/>
    <n v="-1612619.4"/>
    <n v="-1673068.6"/>
    <n v="-2316086.2999999998"/>
    <n v="-1676097.8"/>
    <n v="-1735181.3"/>
    <n v="-2034226.55"/>
    <n v="-1745056.85"/>
    <n v="-1924600.55"/>
    <n v="-22496536.600000005"/>
    <n v="179543.69999999995"/>
  </r>
  <r>
    <x v="19"/>
    <x v="3"/>
    <x v="0"/>
    <s v="5100101"/>
    <n v="400020"/>
    <s v="O/P Care Svcs Rev--Comm Insurance"/>
    <s v="Pharmacy"/>
    <x v="0"/>
    <n v="1300"/>
    <n v="-255594.9"/>
    <n v="-373139.25"/>
    <n v="-395911.35"/>
    <n v="-288489.65000000002"/>
    <n v="-367425.55"/>
    <n v="-281823.7"/>
    <n v="-357614.4"/>
    <n v="-260409.4"/>
    <n v="-461031.8"/>
    <n v="-493625.85"/>
    <n v="-462604.15"/>
    <n v="-441596.45"/>
    <n v="-4439266.4499999993"/>
    <n v="-21007.700000000012"/>
  </r>
  <r>
    <x v="19"/>
    <x v="3"/>
    <x v="0"/>
    <s v="5100101"/>
    <n v="400020"/>
    <s v="O/P Care Svcs Rev--BCBS Comm"/>
    <s v="Pharmacy"/>
    <x v="0"/>
    <n v="1301"/>
    <n v="-469131.2"/>
    <n v="-495318.55"/>
    <n v="-572821.35"/>
    <n v="-357223.2"/>
    <n v="-546792.80000000005"/>
    <n v="-593878.55000000005"/>
    <n v="-579588.05000000005"/>
    <n v="-432480.85"/>
    <n v="-589889.94999999995"/>
    <n v="-591359.80000000005"/>
    <n v="-554069.85"/>
    <n v="-517323.65"/>
    <n v="-6299877.7999999998"/>
    <n v="-36746.199999999953"/>
  </r>
  <r>
    <x v="19"/>
    <x v="3"/>
    <x v="0"/>
    <s v="5100101"/>
    <n v="400020"/>
    <s v="O/P Care Svcs Rev--Managed Care"/>
    <s v="Pharmacy"/>
    <x v="0"/>
    <n v="1400"/>
    <n v="-2286641.4"/>
    <n v="-2651502.5499999998"/>
    <n v="-2105698.9500000002"/>
    <n v="-2410707.2000000002"/>
    <n v="-2592003.2999999998"/>
    <n v="-2842922.85"/>
    <n v="-2957403.8"/>
    <n v="-2239718.0499999998"/>
    <n v="-2414492.5"/>
    <n v="-2454206.9"/>
    <n v="-2698463.95"/>
    <n v="-2161997.1"/>
    <n v="-29815758.549999997"/>
    <n v="-536466.85000000009"/>
  </r>
  <r>
    <x v="19"/>
    <x v="3"/>
    <x v="0"/>
    <s v="5100101"/>
    <n v="400020"/>
    <s v="O/P Care Svcs Rev--Self Pay"/>
    <s v="Pharmacy"/>
    <x v="0"/>
    <n v="1500"/>
    <n v="-123406.1"/>
    <n v="-129586.5"/>
    <n v="-94235.85"/>
    <n v="-127721.55"/>
    <n v="-75421.95"/>
    <n v="-126233.15"/>
    <n v="-174639"/>
    <n v="-140275.04999999999"/>
    <n v="-156247.5"/>
    <n v="-114264.35"/>
    <n v="-107663.1"/>
    <n v="-207676.2"/>
    <n v="-1577370.3"/>
    <n v="100013.1"/>
  </r>
  <r>
    <x v="19"/>
    <x v="3"/>
    <x v="0"/>
    <s v="5100101"/>
    <n v="400020"/>
    <s v="O/P Care Svcs Rev--Other"/>
    <s v="Pharmacy"/>
    <x v="0"/>
    <n v="1700"/>
    <n v="-371336.35"/>
    <n v="-466146.9"/>
    <n v="-414239.5"/>
    <n v="-211761.9"/>
    <n v="-355478.6"/>
    <n v="-280003.15000000002"/>
    <n v="-297433.45"/>
    <n v="-257767.8"/>
    <n v="-409815.85"/>
    <n v="-285803.05"/>
    <n v="-408093.5"/>
    <n v="-382602.6"/>
    <n v="-4140482.65"/>
    <n v="-25490.900000000023"/>
  </r>
  <r>
    <x v="14"/>
    <x v="3"/>
    <x v="0"/>
    <s v="5100101"/>
    <n v="600050"/>
    <s v="Miscellaneous Revenue"/>
    <s v="Pharmacy"/>
    <x v="0"/>
    <m/>
    <n v="-20000"/>
    <n v="0"/>
    <n v="0"/>
    <n v="-126.44"/>
    <n v="0"/>
    <n v="0"/>
    <n v="0"/>
    <n v="0"/>
    <n v="0"/>
    <n v="0"/>
    <n v="0"/>
    <n v="0"/>
    <n v="-20126.439999999999"/>
    <n v="0"/>
  </r>
  <r>
    <x v="5"/>
    <x v="3"/>
    <x v="0"/>
    <s v="5100101"/>
    <n v="700014"/>
    <s v="Salaries-Management-Productive"/>
    <s v="Pharmacy"/>
    <x v="0"/>
    <m/>
    <n v="15499.4"/>
    <n v="15500.1"/>
    <n v="9500.4"/>
    <n v="16998.560000000001"/>
    <n v="15237.88"/>
    <n v="14222.55"/>
    <n v="12515.16"/>
    <n v="14751.89"/>
    <n v="15769.42"/>
    <n v="15260.23"/>
    <n v="15769.43"/>
    <n v="9563.6299999999992"/>
    <n v="170588.65000000002"/>
    <n v="6205.8000000000011"/>
  </r>
  <r>
    <x v="5"/>
    <x v="3"/>
    <x v="0"/>
    <s v="5100101"/>
    <n v="700018"/>
    <s v="Salaries-Supervisory-Productive"/>
    <s v="Pharmacy"/>
    <x v="0"/>
    <m/>
    <n v="3657.09"/>
    <n v="5347.98"/>
    <n v="4450.97"/>
    <n v="6403.81"/>
    <n v="4271.03"/>
    <n v="5619.06"/>
    <n v="5325.93"/>
    <n v="4970.4799999999996"/>
    <n v="5503.07"/>
    <n v="2343.23"/>
    <n v="5005.87"/>
    <n v="5077.1000000000004"/>
    <n v="57975.62000000001"/>
    <n v="-71.230000000000473"/>
  </r>
  <r>
    <x v="5"/>
    <x v="3"/>
    <x v="0"/>
    <s v="5100101"/>
    <n v="700032"/>
    <s v="Salaries-Other Pat Care Providers-Productive"/>
    <s v="Pharmacy"/>
    <x v="0"/>
    <m/>
    <n v="404956"/>
    <n v="397336.54"/>
    <n v="373088.39"/>
    <n v="418024.09"/>
    <n v="400140.57"/>
    <n v="426362.59"/>
    <n v="417754.58"/>
    <n v="368580.23"/>
    <n v="419152.08"/>
    <n v="414246.75"/>
    <n v="428550.13"/>
    <n v="398587.24"/>
    <n v="4866779.1900000004"/>
    <n v="29962.890000000014"/>
  </r>
  <r>
    <x v="5"/>
    <x v="3"/>
    <x v="0"/>
    <s v="5100101"/>
    <n v="700032"/>
    <s v="Salaries-Other Pat Care Providers-OT"/>
    <s v="Pharmacy"/>
    <x v="0"/>
    <n v="1000"/>
    <n v="5528.58"/>
    <n v="3640.54"/>
    <n v="10676.99"/>
    <n v="4605.5200000000004"/>
    <n v="7660.65"/>
    <n v="5883.88"/>
    <n v="7849.16"/>
    <n v="16488.97"/>
    <n v="19705.77"/>
    <n v="16704.82"/>
    <n v="6167.39"/>
    <n v="12353.58"/>
    <n v="117265.85"/>
    <n v="-6186.19"/>
  </r>
  <r>
    <x v="5"/>
    <x v="3"/>
    <x v="0"/>
    <s v="5100101"/>
    <n v="700032"/>
    <s v="Salaries-Other Pat Care Providers-Other"/>
    <s v="Pharmacy"/>
    <x v="0"/>
    <n v="2000"/>
    <n v="20976.65"/>
    <n v="21826.37"/>
    <n v="19353.8"/>
    <n v="23732.26"/>
    <n v="19876.53"/>
    <n v="20569.22"/>
    <n v="20297.87"/>
    <n v="20585.669999999998"/>
    <n v="21362.240000000002"/>
    <n v="21690.87"/>
    <n v="21643.97"/>
    <n v="20256.93"/>
    <n v="252172.37999999998"/>
    <n v="1387.0400000000009"/>
  </r>
  <r>
    <x v="5"/>
    <x v="3"/>
    <x v="0"/>
    <s v="5100101"/>
    <n v="700038"/>
    <s v="Salaries-Service/Support-Productive"/>
    <s v="Pharmacy"/>
    <x v="0"/>
    <m/>
    <n v="10111.56"/>
    <n v="9631.15"/>
    <n v="10182.870000000001"/>
    <n v="10182.209999999999"/>
    <n v="5217.34"/>
    <n v="9215.82"/>
    <n v="10494.38"/>
    <n v="8906.27"/>
    <n v="11200.3"/>
    <n v="11109.74"/>
    <n v="10704.62"/>
    <n v="10264.530000000001"/>
    <n v="117220.79000000001"/>
    <n v="440.09000000000015"/>
  </r>
  <r>
    <x v="5"/>
    <x v="3"/>
    <x v="0"/>
    <s v="5100101"/>
    <n v="700038"/>
    <s v="Salaries-Service/Support-OT"/>
    <s v="Pharmacy"/>
    <x v="0"/>
    <n v="1000"/>
    <n v="0"/>
    <n v="72.42"/>
    <n v="-14.47"/>
    <n v="39.229999999999997"/>
    <n v="81.25"/>
    <n v="30.74"/>
    <n v="28.53"/>
    <n v="49.53"/>
    <n v="102.92"/>
    <n v="6.38"/>
    <n v="52.55"/>
    <n v="98.17"/>
    <n v="547.25"/>
    <n v="-45.620000000000005"/>
  </r>
  <r>
    <x v="5"/>
    <x v="3"/>
    <x v="0"/>
    <s v="5100101"/>
    <n v="700038"/>
    <s v="Salaries-Service/Support-Other"/>
    <s v="Pharmacy"/>
    <x v="0"/>
    <n v="2000"/>
    <n v="231.61"/>
    <n v="244.25"/>
    <n v="223.25"/>
    <n v="219.57"/>
    <n v="246.08"/>
    <n v="170.69"/>
    <n v="188.38"/>
    <n v="154.34"/>
    <n v="228.58"/>
    <n v="219.67"/>
    <n v="265.52999999999997"/>
    <n v="195.28"/>
    <n v="2587.23"/>
    <n v="70.249999999999972"/>
  </r>
  <r>
    <x v="5"/>
    <x v="3"/>
    <x v="0"/>
    <s v="5100101"/>
    <n v="700054"/>
    <s v="Salaries-Management-Non-productive"/>
    <s v="Pharmacy"/>
    <x v="0"/>
    <m/>
    <n v="0"/>
    <n v="0"/>
    <n v="5499.9"/>
    <n v="-1299.9000000000001"/>
    <n v="0"/>
    <n v="1523.78"/>
    <n v="3255.74"/>
    <n v="-508.62"/>
    <n v="0"/>
    <n v="0"/>
    <n v="0"/>
    <n v="5697.31"/>
    <n v="14168.21"/>
    <n v="-5697.31"/>
  </r>
  <r>
    <x v="5"/>
    <x v="3"/>
    <x v="0"/>
    <s v="5100101"/>
    <n v="700054"/>
    <s v="Salaries-Management-NonProd-Other"/>
    <s v="Pharmacy"/>
    <x v="0"/>
    <n v="2000"/>
    <n v="0"/>
    <n v="0"/>
    <n v="0"/>
    <n v="0"/>
    <n v="0"/>
    <n v="4609.49"/>
    <n v="-4609.49"/>
    <n v="0"/>
    <n v="0"/>
    <n v="0"/>
    <n v="0"/>
    <n v="0"/>
    <n v="0"/>
    <n v="0"/>
  </r>
  <r>
    <x v="5"/>
    <x v="3"/>
    <x v="0"/>
    <s v="5100101"/>
    <n v="700058"/>
    <s v="Salaries-Supervisory-Non-productive"/>
    <s v="Pharmacy"/>
    <x v="0"/>
    <m/>
    <n v="1690.64"/>
    <n v="0"/>
    <n v="724.56"/>
    <n v="0"/>
    <n v="1683.88"/>
    <n v="-124.05"/>
    <n v="177.65"/>
    <n v="0"/>
    <n v="0"/>
    <n v="2982.14"/>
    <n v="497.2"/>
    <n v="248.52"/>
    <n v="7880.54"/>
    <n v="248.67999999999998"/>
  </r>
  <r>
    <x v="5"/>
    <x v="3"/>
    <x v="0"/>
    <s v="5100101"/>
    <n v="700072"/>
    <s v="Salaries-Other Pat Care Providers-Non-productive"/>
    <s v="Pharmacy"/>
    <x v="0"/>
    <m/>
    <n v="57941.09"/>
    <n v="62851.09"/>
    <n v="60387.7"/>
    <n v="44572.959999999999"/>
    <n v="35974.129999999997"/>
    <n v="57091.16"/>
    <n v="50497.54"/>
    <n v="54830.93"/>
    <n v="38737.82"/>
    <n v="51208.11"/>
    <n v="33591.03"/>
    <n v="55245.14"/>
    <n v="602928.69999999995"/>
    <n v="-21654.11"/>
  </r>
  <r>
    <x v="5"/>
    <x v="3"/>
    <x v="0"/>
    <s v="5100101"/>
    <n v="700072"/>
    <s v="Salaries-Other Pat Care Providers-NonProd-Other"/>
    <s v="Pharmacy"/>
    <x v="0"/>
    <n v="2000"/>
    <n v="1798.49"/>
    <n v="1833.39"/>
    <n v="2205.09"/>
    <n v="2064.4899999999998"/>
    <n v="2202.4499999999998"/>
    <n v="1977.2"/>
    <n v="1621.76"/>
    <n v="1596.55"/>
    <n v="1722.74"/>
    <n v="1597.93"/>
    <n v="1237.9000000000001"/>
    <n v="2189.4899999999998"/>
    <n v="22047.480000000003"/>
    <n v="-951.58999999999969"/>
  </r>
  <r>
    <x v="5"/>
    <x v="3"/>
    <x v="0"/>
    <s v="5100101"/>
    <n v="700078"/>
    <s v="Salaries-Service/Support-Non-productive"/>
    <s v="Pharmacy"/>
    <x v="0"/>
    <m/>
    <n v="1517.8"/>
    <n v="2275.52"/>
    <n v="983.69"/>
    <n v="1617.23"/>
    <n v="6238.14"/>
    <n v="1902.17"/>
    <n v="1290.8800000000001"/>
    <n v="1578.11"/>
    <n v="648.29"/>
    <n v="276.83"/>
    <n v="1226.49"/>
    <n v="1100.3599999999999"/>
    <n v="20655.510000000006"/>
    <n v="126.13000000000011"/>
  </r>
  <r>
    <x v="5"/>
    <x v="3"/>
    <x v="0"/>
    <s v="5100101"/>
    <n v="700078"/>
    <s v="Salaries-Service/Support-NonProd-Other"/>
    <s v="Pharmacy"/>
    <x v="0"/>
    <n v="2000"/>
    <n v="25.68"/>
    <n v="54.43"/>
    <n v="22.17"/>
    <n v="67.849999999999994"/>
    <n v="19.39"/>
    <n v="92.9"/>
    <n v="70.52"/>
    <n v="72.22"/>
    <n v="59.6"/>
    <n v="33.409999999999997"/>
    <n v="-8.2899999999999991"/>
    <n v="54.55"/>
    <n v="564.42999999999995"/>
    <n v="-62.839999999999996"/>
  </r>
  <r>
    <x v="5"/>
    <x v="3"/>
    <x v="0"/>
    <s v="5100101"/>
    <n v="700084"/>
    <s v="Accrued PTO"/>
    <s v="Pharmacy"/>
    <x v="0"/>
    <m/>
    <n v="11494.31"/>
    <n v="1934.36"/>
    <n v="-2263.54"/>
    <n v="17723.91"/>
    <n v="13162"/>
    <n v="21066.25"/>
    <n v="7729.94"/>
    <n v="2255.9699999999998"/>
    <n v="-1794.9"/>
    <n v="12223.42"/>
    <n v="21995.5"/>
    <n v="46918.77"/>
    <n v="152445.99"/>
    <n v="-24923.269999999997"/>
  </r>
  <r>
    <x v="6"/>
    <x v="3"/>
    <x v="0"/>
    <s v="5100101"/>
    <n v="713010"/>
    <s v="Benefits-FICA/Medicare"/>
    <s v="Pharmacy"/>
    <x v="0"/>
    <m/>
    <n v="38921.050000000003"/>
    <n v="38925.26"/>
    <n v="36904.379999999997"/>
    <n v="38356.19"/>
    <n v="30789.35"/>
    <n v="36362.14"/>
    <n v="39912.160000000003"/>
    <n v="36558.9"/>
    <n v="40022.74"/>
    <n v="39957.760000000002"/>
    <n v="39094.44"/>
    <n v="40112.94"/>
    <n v="455917.31"/>
    <n v="-1018.5"/>
  </r>
  <r>
    <x v="6"/>
    <x v="3"/>
    <x v="0"/>
    <s v="5100101"/>
    <n v="713090"/>
    <s v="Benefits-Allocated Amounts"/>
    <s v="Pharmacy"/>
    <x v="0"/>
    <m/>
    <n v="92385.58"/>
    <n v="85016.78"/>
    <n v="87810.69"/>
    <n v="89826"/>
    <n v="87780.59"/>
    <n v="93642.67"/>
    <n v="96680.26"/>
    <n v="94310.59"/>
    <n v="74464.160000000003"/>
    <n v="96129.69"/>
    <n v="99177.87"/>
    <n v="97267.28"/>
    <n v="1094492.1599999999"/>
    <n v="1910.5899999999965"/>
  </r>
  <r>
    <x v="6"/>
    <x v="3"/>
    <x v="0"/>
    <s v="5100101"/>
    <n v="713096"/>
    <s v="Employee Recognition"/>
    <s v="Pharmacy"/>
    <x v="0"/>
    <n v="1017"/>
    <n v="0"/>
    <n v="0"/>
    <n v="0"/>
    <n v="413.5"/>
    <n v="0"/>
    <n v="0"/>
    <n v="0"/>
    <n v="0"/>
    <n v="0"/>
    <n v="143.6"/>
    <n v="104.98"/>
    <n v="512.88"/>
    <n v="1174.96"/>
    <n v="-407.9"/>
  </r>
  <r>
    <x v="17"/>
    <x v="3"/>
    <x v="0"/>
    <s v="5100101"/>
    <n v="714520"/>
    <s v="Other Contracted Professionals"/>
    <s v="Pharmacy"/>
    <x v="0"/>
    <m/>
    <n v="0"/>
    <n v="1252.5"/>
    <n v="1260"/>
    <n v="832.5"/>
    <n v="1425"/>
    <n v="937.5"/>
    <n v="1387.5"/>
    <n v="1402.5"/>
    <n v="1417.5"/>
    <n v="967.5"/>
    <n v="300"/>
    <n v="750"/>
    <n v="11932.5"/>
    <n v="-450"/>
  </r>
  <r>
    <x v="7"/>
    <x v="3"/>
    <x v="0"/>
    <s v="5100101"/>
    <n v="718050"/>
    <s v="Contract Svcs-Other"/>
    <s v="Pharmacy"/>
    <x v="0"/>
    <m/>
    <n v="892.98"/>
    <n v="5174.7"/>
    <n v="0"/>
    <n v="0"/>
    <n v="272.62"/>
    <n v="470.8"/>
    <n v="269.06"/>
    <n v="14935.26"/>
    <n v="27466.48"/>
    <n v="38673.79"/>
    <n v="-8023.88"/>
    <n v="9.86"/>
    <n v="80141.67"/>
    <n v="-8033.74"/>
  </r>
  <r>
    <x v="7"/>
    <x v="3"/>
    <x v="0"/>
    <s v="5100101"/>
    <n v="718050"/>
    <s v="Document Shredding/Storage"/>
    <s v="Pharmacy"/>
    <x v="0"/>
    <n v="1012"/>
    <n v="105.16"/>
    <n v="77.09"/>
    <n v="24.55"/>
    <n v="67.349999999999994"/>
    <n v="338.54"/>
    <n v="67.03"/>
    <n v="66.349999999999994"/>
    <n v="0.64"/>
    <n v="60.5"/>
    <n v="79.19"/>
    <n v="66.52"/>
    <n v="114.05"/>
    <n v="1066.97"/>
    <n v="-47.53"/>
  </r>
  <r>
    <x v="7"/>
    <x v="3"/>
    <x v="0"/>
    <s v="5100101"/>
    <n v="718050"/>
    <s v="Miscellaneous Purchased Svcs"/>
    <s v="Pharmacy"/>
    <x v="0"/>
    <n v="1020"/>
    <n v="49954.59"/>
    <n v="32972.120000000003"/>
    <n v="43424.97"/>
    <n v="39434.980000000003"/>
    <n v="29907.040000000001"/>
    <n v="32501.94"/>
    <n v="85215.83"/>
    <n v="66441.37"/>
    <n v="25621.49"/>
    <n v="36993.14"/>
    <n v="6043.35"/>
    <n v="40463.800000000003"/>
    <n v="488974.62"/>
    <n v="-34420.450000000004"/>
  </r>
  <r>
    <x v="7"/>
    <x v="3"/>
    <x v="0"/>
    <s v="5100101"/>
    <n v="718050"/>
    <s v="Translation Services"/>
    <s v="Pharmacy"/>
    <x v="0"/>
    <n v="1025"/>
    <n v="0"/>
    <n v="10.08"/>
    <n v="16.2"/>
    <n v="0"/>
    <n v="0"/>
    <n v="0"/>
    <n v="0"/>
    <n v="0"/>
    <n v="0"/>
    <n v="0"/>
    <n v="0"/>
    <n v="0"/>
    <n v="26.28"/>
    <n v="0"/>
  </r>
  <r>
    <x v="7"/>
    <x v="3"/>
    <x v="0"/>
    <s v="5100101"/>
    <n v="718070"/>
    <s v="Contract Srvcs-CHI Clinical Engineering"/>
    <s v="Pharmacy"/>
    <x v="0"/>
    <m/>
    <n v="11107"/>
    <n v="11257.51"/>
    <n v="11257.51"/>
    <n v="11276.49"/>
    <n v="21809"/>
    <n v="11346"/>
    <n v="11346"/>
    <n v="11346"/>
    <n v="11276.48"/>
    <n v="11282"/>
    <n v="10615.49"/>
    <n v="10839.49"/>
    <n v="144758.97"/>
    <n v="-224"/>
  </r>
  <r>
    <x v="7"/>
    <x v="3"/>
    <x v="0"/>
    <s v="5100101"/>
    <n v="718091"/>
    <s v="Contract Services-Intracompany Allocation"/>
    <s v="Pharmacy"/>
    <x v="0"/>
    <m/>
    <n v="41547.93"/>
    <n v="40457.03"/>
    <n v="42165.96"/>
    <n v="41207.440000000002"/>
    <n v="40466.22"/>
    <n v="37124.620000000003"/>
    <n v="42305.440000000002"/>
    <n v="38252.410000000003"/>
    <n v="44250.52"/>
    <n v="38190.46"/>
    <n v="47857.25"/>
    <n v="41492.6"/>
    <n v="495317.88000000006"/>
    <n v="6364.6500000000015"/>
  </r>
  <r>
    <x v="11"/>
    <x v="3"/>
    <x v="0"/>
    <s v="5100101"/>
    <n v="721010"/>
    <s v="Supplies-Medical - Billable"/>
    <s v="Pharmacy"/>
    <x v="0"/>
    <m/>
    <n v="239.96"/>
    <n v="161.6"/>
    <n v="0"/>
    <n v="0"/>
    <n v="11.2"/>
    <n v="0"/>
    <n v="33.880000000000003"/>
    <n v="161.6"/>
    <n v="0.37"/>
    <n v="128.1"/>
    <n v="0"/>
    <n v="108.36"/>
    <n v="845.07"/>
    <n v="-108.36"/>
  </r>
  <r>
    <x v="11"/>
    <x v="3"/>
    <x v="0"/>
    <s v="5100101"/>
    <n v="721020"/>
    <s v="Supplies-Surgical - Billable"/>
    <s v="Pharmacy"/>
    <x v="0"/>
    <m/>
    <n v="33701.410000000003"/>
    <n v="34847.69"/>
    <n v="14222.7"/>
    <n v="25764.77"/>
    <n v="40555.67"/>
    <n v="17211.060000000001"/>
    <n v="27331.68"/>
    <n v="24708.57"/>
    <n v="24794.23"/>
    <n v="18500.7"/>
    <n v="32271.91"/>
    <n v="18263.919999999998"/>
    <n v="312174.31"/>
    <n v="14007.990000000002"/>
  </r>
  <r>
    <x v="11"/>
    <x v="3"/>
    <x v="0"/>
    <s v="5100101"/>
    <n v="721020"/>
    <s v="Suture/Wound Closure"/>
    <s v="Pharmacy"/>
    <x v="0"/>
    <n v="1001"/>
    <n v="15714.42"/>
    <n v="14301.24"/>
    <n v="11084.24"/>
    <n v="12656.92"/>
    <n v="19248.36"/>
    <n v="13904.78"/>
    <n v="22990.98"/>
    <n v="9323.16"/>
    <n v="19587.419999999998"/>
    <n v="6653.08"/>
    <n v="7856.83"/>
    <n v="11357.82"/>
    <n v="164679.24999999997"/>
    <n v="-3500.99"/>
  </r>
  <r>
    <x v="11"/>
    <x v="3"/>
    <x v="0"/>
    <s v="5100101"/>
    <n v="721240"/>
    <s v="Supplies-IV Solutions/Supplies - Billable"/>
    <s v="Pharmacy"/>
    <x v="0"/>
    <m/>
    <n v="72621.66"/>
    <n v="83082.2"/>
    <n v="86395.07"/>
    <n v="92901.31"/>
    <n v="75185.259999999995"/>
    <n v="66150.02"/>
    <n v="69451.44"/>
    <n v="79806.259999999995"/>
    <n v="90756.7"/>
    <n v="85620.800000000003"/>
    <n v="88500.31"/>
    <n v="89063.19"/>
    <n v="979534.22"/>
    <n v="-562.88000000000466"/>
  </r>
  <r>
    <x v="11"/>
    <x v="3"/>
    <x v="0"/>
    <s v="5100101"/>
    <n v="721250"/>
    <s v="Supplies-Pharmacy Drugs - Billable"/>
    <s v="Pharmacy"/>
    <x v="0"/>
    <m/>
    <n v="318519.46999999997"/>
    <n v="974994.23"/>
    <n v="114159.38"/>
    <n v="434024.36"/>
    <n v="315788.99"/>
    <n v="492072.32"/>
    <n v="526471.81000000006"/>
    <n v="515285.01"/>
    <n v="422735"/>
    <n v="290058.7"/>
    <n v="210763.96"/>
    <n v="473710.85"/>
    <n v="5088584.0799999991"/>
    <n v="-262946.89"/>
  </r>
  <r>
    <x v="11"/>
    <x v="3"/>
    <x v="0"/>
    <s v="5100101"/>
    <n v="721250"/>
    <s v="OP Pharmacy Drugs"/>
    <s v="Pharmacy"/>
    <x v="0"/>
    <n v="1002"/>
    <n v="205111.26"/>
    <n v="226415.94"/>
    <n v="146742.84"/>
    <n v="122851.08"/>
    <n v="292898.2"/>
    <n v="288894.8"/>
    <n v="306284.37"/>
    <n v="223383.74"/>
    <n v="306546.77"/>
    <n v="341368.69"/>
    <n v="315900.99"/>
    <n v="202252.65"/>
    <n v="2978651.3299999996"/>
    <n v="113648.34"/>
  </r>
  <r>
    <x v="11"/>
    <x v="3"/>
    <x v="0"/>
    <s v="5100101"/>
    <n v="721251"/>
    <s v="Supplies-340B Pharmacy Drugs - Billable"/>
    <s v="Pharmacy"/>
    <x v="0"/>
    <m/>
    <n v="472409.11"/>
    <n v="410598.74"/>
    <n v="737975.89"/>
    <n v="731847.85"/>
    <n v="653950.97"/>
    <n v="607461.59"/>
    <n v="703998.64"/>
    <n v="470774.16"/>
    <n v="492866.08"/>
    <n v="529119.18999999994"/>
    <n v="682734.27"/>
    <n v="417521.78"/>
    <n v="6911258.2699999986"/>
    <n v="265212.49"/>
  </r>
  <r>
    <x v="11"/>
    <x v="3"/>
    <x v="0"/>
    <s v="5100101"/>
    <n v="721410"/>
    <s v="Supplies-Medical - Nonbillable"/>
    <s v="Pharmacy"/>
    <x v="0"/>
    <m/>
    <n v="8680.42"/>
    <n v="8083.08"/>
    <n v="5566.89"/>
    <n v="4827.91"/>
    <n v="11733.59"/>
    <n v="7246.36"/>
    <n v="6389.13"/>
    <n v="6389.8"/>
    <n v="6188.76"/>
    <n v="5827.57"/>
    <n v="6355.74"/>
    <n v="6416.86"/>
    <n v="83706.110000000015"/>
    <n v="-61.119999999999891"/>
  </r>
  <r>
    <x v="11"/>
    <x v="3"/>
    <x v="0"/>
    <s v="5100101"/>
    <n v="721410"/>
    <s v="Patient Monitoring"/>
    <s v="Pharmacy"/>
    <x v="0"/>
    <n v="1000"/>
    <n v="0"/>
    <n v="0"/>
    <n v="0"/>
    <n v="0"/>
    <n v="0"/>
    <n v="0"/>
    <n v="0"/>
    <n v="0"/>
    <n v="0"/>
    <n v="0.45"/>
    <n v="0"/>
    <n v="0"/>
    <n v="0.45"/>
    <n v="0"/>
  </r>
  <r>
    <x v="11"/>
    <x v="3"/>
    <x v="0"/>
    <s v="5100101"/>
    <n v="721420"/>
    <s v="Tubes Drains &amp; Related Supplies"/>
    <s v="Pharmacy"/>
    <x v="0"/>
    <n v="1008"/>
    <n v="1.34"/>
    <n v="0"/>
    <n v="0"/>
    <n v="0"/>
    <n v="0"/>
    <n v="0"/>
    <n v="0"/>
    <n v="0"/>
    <n v="0"/>
    <n v="0"/>
    <n v="0"/>
    <n v="0"/>
    <n v="1.34"/>
    <n v="0"/>
  </r>
  <r>
    <x v="11"/>
    <x v="3"/>
    <x v="0"/>
    <s v="5100101"/>
    <n v="721610"/>
    <s v="Supplies-Anesthesia - Nonbillable"/>
    <s v="Pharmacy"/>
    <x v="0"/>
    <m/>
    <n v="5169.6000000000004"/>
    <n v="2998.4"/>
    <n v="3153.6"/>
    <n v="2998.4"/>
    <n v="3308.8"/>
    <n v="982.4"/>
    <n v="3464"/>
    <n v="3980.8"/>
    <n v="4139.8599999999997"/>
    <n v="310.39999999999998"/>
    <n v="3464"/>
    <n v="2998.4"/>
    <n v="36968.660000000003"/>
    <n v="465.59999999999991"/>
  </r>
  <r>
    <x v="11"/>
    <x v="3"/>
    <x v="0"/>
    <s v="5100101"/>
    <n v="721640"/>
    <s v="Supplies-IV Solutions/Supplies - Nonbillable"/>
    <s v="Pharmacy"/>
    <x v="0"/>
    <m/>
    <n v="1222.4000000000001"/>
    <n v="378.18"/>
    <n v="189"/>
    <n v="885.6"/>
    <n v="1462.95"/>
    <n v="192.17"/>
    <n v="350.5"/>
    <n v="425.68"/>
    <n v="9545.5300000000007"/>
    <n v="450.41"/>
    <n v="476.5"/>
    <n v="467.47"/>
    <n v="16046.390000000001"/>
    <n v="9.0299999999999727"/>
  </r>
  <r>
    <x v="11"/>
    <x v="3"/>
    <x v="0"/>
    <s v="5100101"/>
    <n v="721650"/>
    <s v="Supplies-Pharmacy Drugs - Nonbillable"/>
    <s v="Pharmacy"/>
    <x v="0"/>
    <m/>
    <n v="710.26"/>
    <n v="0"/>
    <n v="0"/>
    <n v="2723.36"/>
    <n v="-101.92"/>
    <n v="321.49"/>
    <n v="1187.79"/>
    <n v="1392.77"/>
    <n v="1133.53"/>
    <n v="656.64"/>
    <n v="702.9"/>
    <n v="10036.11"/>
    <n v="18762.93"/>
    <n v="-9333.2100000000009"/>
  </r>
  <r>
    <x v="11"/>
    <x v="3"/>
    <x v="0"/>
    <s v="5100101"/>
    <n v="721710"/>
    <s v="Supplies-Laboratory - Nonbillable"/>
    <s v="Pharmacy"/>
    <x v="0"/>
    <m/>
    <n v="24448.07"/>
    <n v="3323.79"/>
    <n v="25800.82"/>
    <n v="25732"/>
    <n v="25167.42"/>
    <n v="28025.53"/>
    <n v="25738.11"/>
    <n v="25181.57"/>
    <n v="26690.95"/>
    <n v="25969.03"/>
    <n v="24913.1"/>
    <n v="54382.91"/>
    <n v="315373.30000000005"/>
    <n v="-29469.810000000005"/>
  </r>
  <r>
    <x v="11"/>
    <x v="3"/>
    <x v="0"/>
    <s v="5100101"/>
    <n v="721710"/>
    <s v="Reagents"/>
    <s v="Pharmacy"/>
    <x v="0"/>
    <n v="1000"/>
    <n v="1199.0999999999999"/>
    <n v="540.6"/>
    <n v="799.4"/>
    <n v="424.97"/>
    <n v="1521.18"/>
    <n v="799.13"/>
    <n v="857.82"/>
    <n v="315.99"/>
    <n v="302.7"/>
    <n v="1113.5999999999999"/>
    <n v="592.13"/>
    <n v="1260.06"/>
    <n v="9726.6799999999985"/>
    <n v="-667.93"/>
  </r>
  <r>
    <x v="11"/>
    <x v="3"/>
    <x v="0"/>
    <s v="5100101"/>
    <n v="721750"/>
    <s v="Supplies-Film/Radiographic - Nonbillable"/>
    <s v="Pharmacy"/>
    <x v="0"/>
    <m/>
    <n v="0"/>
    <n v="0"/>
    <n v="0"/>
    <n v="0"/>
    <n v="0"/>
    <n v="0"/>
    <n v="0"/>
    <n v="0"/>
    <n v="0"/>
    <n v="0.94"/>
    <n v="0"/>
    <n v="0"/>
    <n v="0.94"/>
    <n v="0"/>
  </r>
  <r>
    <x v="11"/>
    <x v="3"/>
    <x v="0"/>
    <s v="5100101"/>
    <n v="721810"/>
    <s v="Supplies-Dietary/Cafeteria"/>
    <s v="Pharmacy"/>
    <x v="0"/>
    <m/>
    <n v="46.84"/>
    <n v="78.97"/>
    <n v="417.8"/>
    <n v="728.51"/>
    <n v="417.27"/>
    <n v="281.57"/>
    <n v="542.14"/>
    <n v="456.52"/>
    <n v="191.63"/>
    <n v="492.36"/>
    <n v="537.70000000000005"/>
    <n v="316.08"/>
    <n v="4507.3900000000003"/>
    <n v="221.62000000000006"/>
  </r>
  <r>
    <x v="11"/>
    <x v="3"/>
    <x v="0"/>
    <s v="5100101"/>
    <n v="721830"/>
    <s v="Supplies-Office"/>
    <s v="Pharmacy"/>
    <x v="0"/>
    <m/>
    <n v="3684.74"/>
    <n v="5218.4399999999996"/>
    <n v="3000.83"/>
    <n v="5912.97"/>
    <n v="3384.8"/>
    <n v="4176.33"/>
    <n v="3505.68"/>
    <n v="3610.61"/>
    <n v="6220.42"/>
    <n v="3552.51"/>
    <n v="4802.91"/>
    <n v="2661.26"/>
    <n v="49731.500000000007"/>
    <n v="2141.6499999999996"/>
  </r>
  <r>
    <x v="11"/>
    <x v="3"/>
    <x v="0"/>
    <s v="5100101"/>
    <n v="721835"/>
    <s v="Supplies-Forms"/>
    <s v="Pharmacy"/>
    <x v="0"/>
    <m/>
    <n v="0"/>
    <n v="0"/>
    <n v="0"/>
    <n v="0"/>
    <n v="570.47"/>
    <n v="117.13"/>
    <n v="83"/>
    <n v="0"/>
    <n v="188.68"/>
    <n v="100.62"/>
    <n v="231.33"/>
    <n v="20.87"/>
    <n v="1312.1"/>
    <n v="210.46"/>
  </r>
  <r>
    <x v="11"/>
    <x v="3"/>
    <x v="0"/>
    <s v="5100101"/>
    <n v="721870"/>
    <s v="Supplies-Environmental Services"/>
    <s v="Pharmacy"/>
    <x v="0"/>
    <m/>
    <n v="865.63"/>
    <n v="854.4"/>
    <n v="31.63"/>
    <n v="448.01"/>
    <n v="1346.25"/>
    <n v="970.15"/>
    <n v="798.55"/>
    <n v="443.22"/>
    <n v="618.73"/>
    <n v="881.95"/>
    <n v="635.39"/>
    <n v="1038.07"/>
    <n v="8931.98"/>
    <n v="-402.67999999999995"/>
  </r>
  <r>
    <x v="11"/>
    <x v="3"/>
    <x v="0"/>
    <s v="5100101"/>
    <n v="721910"/>
    <s v="Supplies-Small Equipment"/>
    <s v="Pharmacy"/>
    <x v="0"/>
    <m/>
    <n v="548.64"/>
    <n v="4050.1"/>
    <n v="2176.14"/>
    <n v="4438.9799999999996"/>
    <n v="5486.29"/>
    <n v="2365.91"/>
    <n v="1889.85"/>
    <n v="3308.83"/>
    <n v="3994.06"/>
    <n v="2786.24"/>
    <n v="8468.86"/>
    <n v="1110.97"/>
    <n v="40624.870000000003"/>
    <n v="7357.89"/>
  </r>
  <r>
    <x v="11"/>
    <x v="3"/>
    <x v="0"/>
    <s v="5100101"/>
    <n v="721980"/>
    <s v="Supplies-Other"/>
    <s v="Pharmacy"/>
    <x v="0"/>
    <m/>
    <n v="4220.04"/>
    <n v="25617.85"/>
    <n v="6604.14"/>
    <n v="2745.03"/>
    <n v="-77.22"/>
    <n v="7154"/>
    <n v="1327.59"/>
    <n v="2817.79"/>
    <n v="3559.37"/>
    <n v="6945.14"/>
    <n v="1501.09"/>
    <n v="2012.71"/>
    <n v="64427.529999999992"/>
    <n v="-511.62000000000012"/>
  </r>
  <r>
    <x v="11"/>
    <x v="3"/>
    <x v="0"/>
    <s v="5100101"/>
    <n v="722000"/>
    <s v="Supplies-Freight Expense"/>
    <s v="Pharmacy"/>
    <x v="0"/>
    <m/>
    <n v="1128.74"/>
    <n v="1332.7"/>
    <n v="492.26"/>
    <n v="968.85"/>
    <n v="1538.55"/>
    <n v="1648.57"/>
    <n v="4770.1000000000004"/>
    <n v="420.42"/>
    <n v="944.21"/>
    <n v="1857.63"/>
    <n v="319.57"/>
    <n v="813.2"/>
    <n v="16234.800000000003"/>
    <n v="-493.63000000000005"/>
  </r>
  <r>
    <x v="11"/>
    <x v="3"/>
    <x v="0"/>
    <s v="5100101"/>
    <n v="722000"/>
    <s v="Rush Order Fees"/>
    <s v="Pharmacy"/>
    <x v="0"/>
    <n v="1005"/>
    <n v="0"/>
    <n v="238.05"/>
    <n v="0"/>
    <n v="0"/>
    <n v="0"/>
    <n v="0"/>
    <n v="0"/>
    <n v="0"/>
    <n v="0"/>
    <n v="0"/>
    <n v="0"/>
    <n v="150"/>
    <n v="388.05"/>
    <n v="-150"/>
  </r>
  <r>
    <x v="11"/>
    <x v="3"/>
    <x v="0"/>
    <s v="5100101"/>
    <n v="723000"/>
    <s v="Supply Rebates/Patronage Dividend"/>
    <s v="Pharmacy"/>
    <x v="0"/>
    <m/>
    <n v="0"/>
    <n v="0"/>
    <n v="-52573.84"/>
    <n v="0"/>
    <n v="0"/>
    <n v="-99743.86"/>
    <n v="-144.53"/>
    <n v="0"/>
    <n v="-58772.97"/>
    <n v="0"/>
    <n v="0"/>
    <n v="-62352.160000000003"/>
    <n v="-273587.36"/>
    <n v="62352.160000000003"/>
  </r>
  <r>
    <x v="12"/>
    <x v="3"/>
    <x v="0"/>
    <s v="5100101"/>
    <n v="730020"/>
    <s v="Rental and Leases-Equipment (DO NOT USE)"/>
    <s v="Pharmacy"/>
    <x v="0"/>
    <m/>
    <n v="0"/>
    <n v="0"/>
    <n v="715.65"/>
    <n v="8148.08"/>
    <n v="0"/>
    <n v="0"/>
    <n v="573.32000000000005"/>
    <n v="0"/>
    <n v="1146.6400000000001"/>
    <n v="0"/>
    <n v="573.32000000000005"/>
    <n v="1796.64"/>
    <n v="12953.649999999998"/>
    <n v="-1223.3200000000002"/>
  </r>
  <r>
    <x v="12"/>
    <x v="3"/>
    <x v="0"/>
    <s v="5100101"/>
    <n v="730020"/>
    <s v="Rental and Leases-Copier Usage Fees (DO NOT USE)"/>
    <s v="Pharmacy"/>
    <x v="0"/>
    <n v="5100"/>
    <n v="1729.84"/>
    <n v="1770.05"/>
    <n v="1749.94"/>
    <n v="1749.94"/>
    <n v="1749.94"/>
    <n v="1749.94"/>
    <n v="2226.69"/>
    <n v="1679.61"/>
    <n v="1277.3800000000001"/>
    <n v="2451.15"/>
    <n v="1223.3900000000001"/>
    <n v="1375.24"/>
    <n v="20733.110000000004"/>
    <n v="-151.84999999999991"/>
  </r>
  <r>
    <x v="15"/>
    <x v="3"/>
    <x v="0"/>
    <s v="5100101"/>
    <n v="731060"/>
    <s v="Cell Phones"/>
    <s v="Pharmacy"/>
    <x v="0"/>
    <n v="1001"/>
    <n v="0"/>
    <n v="308.92"/>
    <n v="148.97999999999999"/>
    <n v="0"/>
    <n v="149.30000000000001"/>
    <n v="152.62"/>
    <n v="314.02999999999997"/>
    <n v="0"/>
    <n v="153.9"/>
    <n v="305.27"/>
    <n v="154.52000000000001"/>
    <n v="152.88999999999999"/>
    <n v="1840.4299999999998"/>
    <n v="1.6300000000000239"/>
  </r>
  <r>
    <x v="15"/>
    <x v="3"/>
    <x v="0"/>
    <s v="5100101"/>
    <n v="731060"/>
    <s v="Pagers"/>
    <s v="Pharmacy"/>
    <x v="0"/>
    <n v="1002"/>
    <n v="62.78"/>
    <n v="90.31"/>
    <n v="90.31"/>
    <n v="118.06"/>
    <n v="90.53"/>
    <n v="0"/>
    <n v="181.06"/>
    <n v="90.53"/>
    <n v="120.55"/>
    <n v="134.30000000000001"/>
    <n v="106.77"/>
    <n v="106.77"/>
    <n v="1191.9699999999998"/>
    <n v="0"/>
  </r>
  <r>
    <x v="15"/>
    <x v="3"/>
    <x v="0"/>
    <s v="5100101"/>
    <n v="731090"/>
    <s v="Other Utilities"/>
    <s v="Pharmacy"/>
    <x v="0"/>
    <m/>
    <n v="35.380000000000003"/>
    <n v="37.909999999999997"/>
    <n v="39.99"/>
    <n v="18.02"/>
    <n v="82.91"/>
    <n v="0"/>
    <n v="32.119999999999997"/>
    <n v="39.64"/>
    <n v="24.89"/>
    <n v="37.21"/>
    <n v="71.69"/>
    <n v="41.64"/>
    <n v="461.4"/>
    <n v="30.049999999999997"/>
  </r>
  <r>
    <x v="16"/>
    <x v="3"/>
    <x v="0"/>
    <s v="5100101"/>
    <n v="732020"/>
    <s v="Repairs--Clin Equip-Parts-Internal to CHI Programs"/>
    <s v="Pharmacy"/>
    <x v="0"/>
    <m/>
    <n v="577.63"/>
    <n v="1036.02"/>
    <n v="0"/>
    <n v="667.58"/>
    <n v="1156.3499999999999"/>
    <n v="-30.62"/>
    <n v="274.95999999999998"/>
    <n v="0"/>
    <n v="-11183.21"/>
    <n v="96.6"/>
    <n v="0"/>
    <n v="566.96"/>
    <n v="-6837.7299999999987"/>
    <n v="-566.96"/>
  </r>
  <r>
    <x v="16"/>
    <x v="3"/>
    <x v="0"/>
    <s v="5100101"/>
    <n v="732030"/>
    <s v="Repairs---Other"/>
    <s v="Pharmacy"/>
    <x v="0"/>
    <m/>
    <n v="0"/>
    <n v="0"/>
    <n v="5906.88"/>
    <n v="0"/>
    <n v="21242.57"/>
    <n v="0"/>
    <n v="0"/>
    <n v="0"/>
    <n v="0"/>
    <n v="0"/>
    <n v="0"/>
    <n v="0"/>
    <n v="27149.45"/>
    <n v="0"/>
  </r>
  <r>
    <x v="16"/>
    <x v="3"/>
    <x v="0"/>
    <s v="5100101"/>
    <n v="733030"/>
    <s v="Maintenance Contracts-Other"/>
    <s v="Pharmacy"/>
    <x v="0"/>
    <m/>
    <n v="0"/>
    <n v="0"/>
    <n v="0"/>
    <n v="0"/>
    <n v="650"/>
    <n v="650"/>
    <n v="650"/>
    <n v="0"/>
    <n v="0"/>
    <n v="1300"/>
    <n v="100"/>
    <n v="0"/>
    <n v="3350"/>
    <n v="100"/>
  </r>
  <r>
    <x v="13"/>
    <x v="3"/>
    <x v="0"/>
    <s v="5100101"/>
    <n v="735060"/>
    <s v="Depreciation-Fixed Equipment"/>
    <s v="Pharmacy"/>
    <x v="0"/>
    <m/>
    <n v="155.27000000000001"/>
    <n v="155.27000000000001"/>
    <n v="155.27000000000001"/>
    <n v="155.27000000000001"/>
    <n v="155.28"/>
    <n v="155.27000000000001"/>
    <n v="155.28"/>
    <n v="155.27000000000001"/>
    <n v="155.28"/>
    <n v="155.26"/>
    <n v="682.39"/>
    <n v="682.36"/>
    <n v="2917.4700000000003"/>
    <n v="2.9999999999972715E-2"/>
  </r>
  <r>
    <x v="13"/>
    <x v="3"/>
    <x v="0"/>
    <s v="5100101"/>
    <n v="735070"/>
    <s v="Depreciation-Movable Equipment"/>
    <s v="Pharmacy"/>
    <x v="0"/>
    <m/>
    <n v="42248.22"/>
    <n v="42248.2"/>
    <n v="42248.23"/>
    <n v="42248.160000000003"/>
    <n v="41678.03"/>
    <n v="41677.919999999998"/>
    <n v="41678.06"/>
    <n v="41677.910000000003"/>
    <n v="41678.06"/>
    <n v="41471.019999999997"/>
    <n v="41471.199999999997"/>
    <n v="41470.980000000003"/>
    <n v="501795.99"/>
    <n v="0.2199999999938882"/>
  </r>
  <r>
    <x v="0"/>
    <x v="3"/>
    <x v="0"/>
    <s v="5100101"/>
    <n v="740010"/>
    <s v="Education-Materials"/>
    <s v="Pharmacy"/>
    <x v="0"/>
    <m/>
    <n v="0"/>
    <n v="0"/>
    <n v="0"/>
    <n v="0"/>
    <n v="0"/>
    <n v="0"/>
    <n v="450"/>
    <n v="0"/>
    <n v="0"/>
    <n v="0"/>
    <n v="0"/>
    <n v="0"/>
    <n v="450"/>
    <n v="0"/>
  </r>
  <r>
    <x v="0"/>
    <x v="3"/>
    <x v="0"/>
    <s v="5100101"/>
    <n v="740020"/>
    <s v="Education-Registration Fees"/>
    <s v="Pharmacy"/>
    <x v="0"/>
    <m/>
    <n v="0"/>
    <n v="770"/>
    <n v="5262"/>
    <n v="1423"/>
    <n v="175"/>
    <n v="0"/>
    <n v="0"/>
    <n v="350"/>
    <n v="960"/>
    <n v="860"/>
    <n v="2040"/>
    <n v="1395"/>
    <n v="13235"/>
    <n v="645"/>
  </r>
  <r>
    <x v="0"/>
    <x v="3"/>
    <x v="0"/>
    <s v="5100101"/>
    <n v="742020"/>
    <s v="Postage-Express Services"/>
    <s v="Pharmacy"/>
    <x v="0"/>
    <m/>
    <n v="0"/>
    <n v="0"/>
    <n v="0"/>
    <n v="39.22"/>
    <n v="0"/>
    <n v="0"/>
    <n v="0"/>
    <n v="0"/>
    <n v="0"/>
    <n v="0"/>
    <n v="0"/>
    <n v="0"/>
    <n v="39.22"/>
    <n v="0"/>
  </r>
  <r>
    <x v="0"/>
    <x v="3"/>
    <x v="0"/>
    <s v="5100101"/>
    <n v="742030"/>
    <s v="Freight-Courier"/>
    <s v="Pharmacy"/>
    <x v="0"/>
    <m/>
    <n v="0"/>
    <n v="0"/>
    <n v="0"/>
    <n v="0"/>
    <n v="0"/>
    <n v="0"/>
    <n v="0"/>
    <n v="0"/>
    <n v="0"/>
    <n v="149.94999999999999"/>
    <n v="179"/>
    <n v="1193.5"/>
    <n v="1522.45"/>
    <n v="-1014.5"/>
  </r>
  <r>
    <x v="0"/>
    <x v="3"/>
    <x v="0"/>
    <s v="5100101"/>
    <n v="743020"/>
    <s v="Dues--Individual"/>
    <s v="Pharmacy"/>
    <x v="0"/>
    <m/>
    <n v="1140"/>
    <n v="215"/>
    <n v="5062.45"/>
    <n v="1035"/>
    <n v="1035"/>
    <n v="4236.5"/>
    <n v="1630"/>
    <n v="0"/>
    <n v="699.95"/>
    <n v="-30"/>
    <n v="770"/>
    <n v="838"/>
    <n v="16631.900000000001"/>
    <n v="-68"/>
  </r>
  <r>
    <x v="0"/>
    <x v="3"/>
    <x v="0"/>
    <s v="5100101"/>
    <n v="743030"/>
    <s v="Subscriptions--Institutional"/>
    <s v="Pharmacy"/>
    <x v="0"/>
    <m/>
    <n v="0"/>
    <n v="650.29999999999995"/>
    <n v="0"/>
    <n v="165.15"/>
    <n v="0"/>
    <n v="0"/>
    <n v="0"/>
    <n v="81.25"/>
    <n v="0"/>
    <n v="572"/>
    <n v="0"/>
    <n v="0"/>
    <n v="1468.6999999999998"/>
    <n v="0"/>
  </r>
  <r>
    <x v="0"/>
    <x v="3"/>
    <x v="0"/>
    <s v="5100101"/>
    <n v="743040"/>
    <s v="Subscriptions--Individual"/>
    <s v="Pharmacy"/>
    <x v="0"/>
    <m/>
    <n v="0"/>
    <n v="0"/>
    <n v="0"/>
    <n v="249"/>
    <n v="495"/>
    <n v="0"/>
    <n v="0"/>
    <n v="0"/>
    <n v="0"/>
    <n v="0"/>
    <n v="183.42"/>
    <n v="256.48"/>
    <n v="1183.9000000000001"/>
    <n v="-73.060000000000031"/>
  </r>
  <r>
    <x v="0"/>
    <x v="3"/>
    <x v="0"/>
    <s v="5100101"/>
    <n v="749510"/>
    <s v="Miscellaneous Expenses"/>
    <s v="Pharmacy"/>
    <x v="0"/>
    <m/>
    <n v="13057.82"/>
    <n v="11346.21"/>
    <n v="908.24"/>
    <n v="663.41"/>
    <n v="3156.88"/>
    <n v="80.739999999999995"/>
    <n v="1043.8599999999999"/>
    <n v="456.62"/>
    <n v="173.75"/>
    <n v="2391.59"/>
    <n v="1885.82"/>
    <n v="-3962.95"/>
    <n v="31201.99"/>
    <n v="5848.7699999999995"/>
  </r>
  <r>
    <x v="0"/>
    <x v="3"/>
    <x v="0"/>
    <s v="5100101"/>
    <n v="749510"/>
    <s v="Licenses"/>
    <s v="Pharmacy"/>
    <x v="0"/>
    <n v="1002"/>
    <n v="590"/>
    <n v="25"/>
    <n v="0"/>
    <n v="0"/>
    <n v="0"/>
    <n v="766"/>
    <n v="35"/>
    <n v="1527"/>
    <n v="1330"/>
    <n v="731"/>
    <n v="35"/>
    <n v="0"/>
    <n v="5039"/>
    <n v="35"/>
  </r>
  <r>
    <x v="0"/>
    <x v="3"/>
    <x v="0"/>
    <s v="5100101"/>
    <n v="749510"/>
    <s v="RICE Rewards"/>
    <s v="Pharmacy"/>
    <x v="0"/>
    <n v="5100"/>
    <n v="0"/>
    <n v="0"/>
    <n v="0"/>
    <n v="0"/>
    <n v="0"/>
    <n v="0"/>
    <n v="0"/>
    <n v="0"/>
    <n v="0"/>
    <n v="0"/>
    <n v="0"/>
    <n v="668.18"/>
    <n v="668.18"/>
    <n v="-668.18"/>
  </r>
  <r>
    <x v="0"/>
    <x v="3"/>
    <x v="0"/>
    <s v="5100101"/>
    <n v="749530"/>
    <s v="Travel"/>
    <s v="Pharmacy"/>
    <x v="0"/>
    <m/>
    <n v="0"/>
    <n v="0"/>
    <n v="404.89"/>
    <n v="219.9"/>
    <n v="179.51"/>
    <n v="357.05"/>
    <n v="80.739999999999995"/>
    <n v="661.7"/>
    <n v="0"/>
    <n v="0"/>
    <n v="6"/>
    <n v="2176.9699999999998"/>
    <n v="4086.7599999999998"/>
    <n v="-2170.9699999999998"/>
  </r>
  <r>
    <x v="0"/>
    <x v="3"/>
    <x v="0"/>
    <s v="5100101"/>
    <n v="749530"/>
    <s v="Mileage"/>
    <s v="Pharmacy"/>
    <x v="0"/>
    <n v="1001"/>
    <n v="0"/>
    <n v="0"/>
    <n v="0"/>
    <n v="0"/>
    <n v="0"/>
    <n v="0"/>
    <n v="0"/>
    <n v="0"/>
    <n v="0"/>
    <n v="0"/>
    <n v="0"/>
    <n v="375.84"/>
    <n v="375.84"/>
    <n v="-375.84"/>
  </r>
  <r>
    <x v="0"/>
    <x v="3"/>
    <x v="0"/>
    <s v="5100101"/>
    <n v="749535"/>
    <s v="Meetings"/>
    <s v="Pharmacy"/>
    <x v="0"/>
    <m/>
    <n v="0"/>
    <n v="0"/>
    <n v="0"/>
    <n v="0"/>
    <n v="0"/>
    <n v="0"/>
    <n v="0"/>
    <n v="0"/>
    <n v="0"/>
    <n v="0"/>
    <n v="-40"/>
    <n v="0"/>
    <n v="-40"/>
    <n v="-40"/>
  </r>
  <r>
    <x v="18"/>
    <x v="0"/>
    <x v="0"/>
    <s v="5100102"/>
    <n v="400010"/>
    <s v="Acute I/P Svcs Rev--Medicare"/>
    <s v="Pharmacy"/>
    <x v="0"/>
    <n v="1100"/>
    <n v="-2740047.6"/>
    <n v="-2548001.1"/>
    <n v="-3217122.85"/>
    <n v="-3787162.95"/>
    <n v="-3382405.92"/>
    <n v="-3245879.55"/>
    <n v="-3244947.52"/>
    <n v="-3006931.25"/>
    <n v="-4592201.9000000004"/>
    <n v="-3926047.4"/>
    <n v="-2589828.1"/>
    <n v="-3043213.8"/>
    <n v="-39323789.939999998"/>
    <n v="453385.69999999972"/>
  </r>
  <r>
    <x v="18"/>
    <x v="0"/>
    <x v="0"/>
    <s v="5100102"/>
    <n v="400010"/>
    <s v="Acute I/P Svcs Rev--Medicaid"/>
    <s v="Pharmacy"/>
    <x v="0"/>
    <n v="1200"/>
    <n v="-1659284.55"/>
    <n v="-2049863.25"/>
    <n v="-1451465.84"/>
    <n v="-1562581.81"/>
    <n v="-1337922.8"/>
    <n v="-1791780.05"/>
    <n v="-1765753.1"/>
    <n v="-1472901.75"/>
    <n v="-1346643.55"/>
    <n v="-1728003.45"/>
    <n v="-2135938.75"/>
    <n v="-1844799.85"/>
    <n v="-20146938.75"/>
    <n v="-291138.89999999991"/>
  </r>
  <r>
    <x v="18"/>
    <x v="0"/>
    <x v="0"/>
    <s v="5100102"/>
    <n v="400010"/>
    <s v="Acute I/P Svcs Rev--Comm Insurance"/>
    <s v="Pharmacy"/>
    <x v="0"/>
    <n v="1300"/>
    <n v="-3412.3"/>
    <n v="-47280.2"/>
    <n v="-55537"/>
    <n v="-35760.449999999997"/>
    <n v="-82924.75"/>
    <n v="13394.4"/>
    <n v="-73914.149999999994"/>
    <n v="-136721.75"/>
    <n v="-192997.4"/>
    <n v="-214305.8"/>
    <n v="-138791.35"/>
    <n v="-45646.05"/>
    <n v="-1013896.7999999999"/>
    <n v="-93145.3"/>
  </r>
  <r>
    <x v="18"/>
    <x v="0"/>
    <x v="0"/>
    <s v="5100102"/>
    <n v="400010"/>
    <s v="Acute I/P Svcs Rev--BCBS Comm"/>
    <s v="Pharmacy"/>
    <x v="0"/>
    <n v="1301"/>
    <n v="-318972.2"/>
    <n v="-322460.09999999998"/>
    <n v="-349926.65"/>
    <n v="-288759.90000000002"/>
    <n v="-397624.65"/>
    <n v="-393846.1"/>
    <n v="-368359.8"/>
    <n v="-451711.65"/>
    <n v="-339420.9"/>
    <n v="-301535.25"/>
    <n v="-632782"/>
    <n v="-706681.15"/>
    <n v="-4872080.3499999996"/>
    <n v="73899.150000000023"/>
  </r>
  <r>
    <x v="18"/>
    <x v="0"/>
    <x v="0"/>
    <s v="5100102"/>
    <n v="400010"/>
    <s v="Acute I/P Svcs Rev--Managed Care"/>
    <s v="Pharmacy"/>
    <x v="0"/>
    <n v="1400"/>
    <n v="-1754747.2"/>
    <n v="-1488064.15"/>
    <n v="-995995.4"/>
    <n v="-1134890.8999999999"/>
    <n v="-1475748.5"/>
    <n v="-869440.05"/>
    <n v="-1214812.95"/>
    <n v="-1209933.1499999999"/>
    <n v="-1288017.5"/>
    <n v="-1000740.7"/>
    <n v="-1032801.95"/>
    <n v="-947368.05"/>
    <n v="-14412560.5"/>
    <n v="-85433.899999999907"/>
  </r>
  <r>
    <x v="18"/>
    <x v="0"/>
    <x v="0"/>
    <s v="5100102"/>
    <n v="400010"/>
    <s v="Acute I/P Svcs Rev--Self Pay"/>
    <s v="Pharmacy"/>
    <x v="0"/>
    <n v="1500"/>
    <n v="-212236.3"/>
    <n v="-185231.55"/>
    <n v="-224913.4"/>
    <n v="123312.5"/>
    <n v="-162119.75"/>
    <n v="-22650.6"/>
    <n v="-125157.05"/>
    <n v="-78101.899999999994"/>
    <n v="-103676.2"/>
    <n v="-330847.65000000002"/>
    <n v="-227127.05"/>
    <n v="54787.6"/>
    <n v="-1493961.3499999999"/>
    <n v="-281914.64999999997"/>
  </r>
  <r>
    <x v="18"/>
    <x v="0"/>
    <x v="0"/>
    <s v="5100102"/>
    <n v="400010"/>
    <s v="Acute I/P Svcs Rev--Other"/>
    <s v="Pharmacy"/>
    <x v="0"/>
    <n v="1700"/>
    <n v="-672757.85"/>
    <n v="-90343.2"/>
    <n v="-128315.7"/>
    <n v="-102038.45"/>
    <n v="-66135.3"/>
    <n v="-309970.7"/>
    <n v="-114560.95"/>
    <n v="-130037.1"/>
    <n v="-130574.7"/>
    <n v="-112008.35"/>
    <n v="-140873.5"/>
    <n v="-143455.25"/>
    <n v="-2141071.0499999998"/>
    <n v="2581.75"/>
  </r>
  <r>
    <x v="19"/>
    <x v="0"/>
    <x v="0"/>
    <s v="5100102"/>
    <n v="400020"/>
    <s v="O/P Care Svcs Rev--Medicare"/>
    <s v="Pharmacy"/>
    <x v="0"/>
    <n v="1100"/>
    <n v="-1600403.99"/>
    <n v="-1671027.24"/>
    <n v="-1786260.86"/>
    <n v="-2262714.4"/>
    <n v="-1864241.03"/>
    <n v="-2108347.66"/>
    <n v="-2302358.87"/>
    <n v="-1594706.61"/>
    <n v="-1825224.05"/>
    <n v="-2013561.47"/>
    <n v="-2197773.34"/>
    <n v="-2193943.5699999998"/>
    <n v="-23420563.09"/>
    <n v="-3829.7700000000186"/>
  </r>
  <r>
    <x v="19"/>
    <x v="0"/>
    <x v="0"/>
    <s v="5100102"/>
    <n v="400020"/>
    <s v="O/P Care Svcs Rev--Medicaid"/>
    <s v="Pharmacy"/>
    <x v="0"/>
    <n v="1200"/>
    <n v="-1199250.51"/>
    <n v="-1100113.54"/>
    <n v="-920916.49"/>
    <n v="-1146199.56"/>
    <n v="-988136.75"/>
    <n v="-1012892.5"/>
    <n v="-1216694.3"/>
    <n v="-1021589.85"/>
    <n v="-1231532.69"/>
    <n v="-1144794.6599999999"/>
    <n v="-1376791.32"/>
    <n v="-1258819.92"/>
    <n v="-13617732.09"/>
    <n v="-117971.40000000014"/>
  </r>
  <r>
    <x v="19"/>
    <x v="0"/>
    <x v="0"/>
    <s v="5100102"/>
    <n v="400020"/>
    <s v="O/P Care Svcs Rev--Comm Insurance"/>
    <s v="Pharmacy"/>
    <x v="0"/>
    <n v="1300"/>
    <n v="-78133.990000000005"/>
    <n v="-41924.53"/>
    <n v="-41516.660000000003"/>
    <n v="-64467.29"/>
    <n v="-70101.919999999998"/>
    <n v="-93078.41"/>
    <n v="-121730.54"/>
    <n v="-71168.28"/>
    <n v="-74794.83"/>
    <n v="-92735.53"/>
    <n v="-101431.79"/>
    <n v="-133145.84"/>
    <n v="-984229.61"/>
    <n v="31714.050000000003"/>
  </r>
  <r>
    <x v="19"/>
    <x v="0"/>
    <x v="0"/>
    <s v="5100102"/>
    <n v="400020"/>
    <s v="O/P Care Svcs Rev--BCBS Comm"/>
    <s v="Pharmacy"/>
    <x v="0"/>
    <n v="1301"/>
    <n v="-246474.71"/>
    <n v="-359017.93"/>
    <n v="-300290.02"/>
    <n v="-387938.18"/>
    <n v="-462460.4"/>
    <n v="-469524.13"/>
    <n v="-671048.25"/>
    <n v="-330276.74"/>
    <n v="-465955.88"/>
    <n v="-468943.5"/>
    <n v="-449103.33"/>
    <n v="-395128.72"/>
    <n v="-5006161.79"/>
    <n v="-53974.610000000044"/>
  </r>
  <r>
    <x v="19"/>
    <x v="0"/>
    <x v="0"/>
    <s v="5100102"/>
    <n v="400020"/>
    <s v="O/P Care Svcs Rev--Managed Care"/>
    <s v="Pharmacy"/>
    <x v="0"/>
    <n v="1400"/>
    <n v="-1017243.95"/>
    <n v="-961556.96"/>
    <n v="-719197.27"/>
    <n v="-782915.34"/>
    <n v="-1117006.1299999999"/>
    <n v="-934782.12"/>
    <n v="-1037135.61"/>
    <n v="-1143216.8700000001"/>
    <n v="-983642.08"/>
    <n v="-1035452.11"/>
    <n v="-1086186.74"/>
    <n v="-966537.15"/>
    <n v="-11784872.33"/>
    <n v="-119649.58999999997"/>
  </r>
  <r>
    <x v="19"/>
    <x v="0"/>
    <x v="0"/>
    <s v="5100102"/>
    <n v="400020"/>
    <s v="O/P Care Svcs Rev--Self Pay"/>
    <s v="Pharmacy"/>
    <x v="0"/>
    <n v="1500"/>
    <n v="-191216.44"/>
    <n v="-116092.49"/>
    <n v="-104535.73"/>
    <n v="-188584.24"/>
    <n v="-91717.19"/>
    <n v="-94779.72"/>
    <n v="-94885.45"/>
    <n v="-105940.78"/>
    <n v="-146956.47"/>
    <n v="-168346.32"/>
    <n v="-178600.13"/>
    <n v="-130688.38"/>
    <n v="-1612343.3399999999"/>
    <n v="-47911.75"/>
  </r>
  <r>
    <x v="19"/>
    <x v="0"/>
    <x v="0"/>
    <s v="5100102"/>
    <n v="400020"/>
    <s v="O/P Care Svcs Rev--Other"/>
    <s v="Pharmacy"/>
    <x v="0"/>
    <n v="1700"/>
    <n v="-505431.89"/>
    <n v="-336702.87"/>
    <n v="-126579.96"/>
    <n v="-103875.39"/>
    <n v="-133976.54999999999"/>
    <n v="-132360.03"/>
    <n v="-141794.48000000001"/>
    <n v="-163686.95000000001"/>
    <n v="-163219.73000000001"/>
    <n v="-137247.54999999999"/>
    <n v="-128488.55"/>
    <n v="-159290.20000000001"/>
    <n v="-2232654.15"/>
    <n v="30801.650000000009"/>
  </r>
  <r>
    <x v="5"/>
    <x v="0"/>
    <x v="0"/>
    <s v="5100102"/>
    <n v="700014"/>
    <s v="Salaries-Management-Productive"/>
    <s v="Pharmacy"/>
    <x v="0"/>
    <m/>
    <n v="11030.94"/>
    <n v="12579.45"/>
    <n v="13063.64"/>
    <n v="15718.68"/>
    <n v="14913.89"/>
    <n v="9545.36"/>
    <n v="17854.2"/>
    <n v="11351.53"/>
    <n v="15931.95"/>
    <n v="9359.6"/>
    <n v="14737.1"/>
    <n v="13492.63"/>
    <n v="159578.97"/>
    <n v="1244.4700000000012"/>
  </r>
  <r>
    <x v="5"/>
    <x v="0"/>
    <x v="0"/>
    <s v="5100102"/>
    <n v="700014"/>
    <s v="Salaries-Management-OT"/>
    <s v="Pharmacy"/>
    <x v="0"/>
    <n v="1000"/>
    <n v="0"/>
    <n v="0"/>
    <n v="0"/>
    <n v="0"/>
    <n v="0"/>
    <n v="0"/>
    <n v="27.19"/>
    <n v="0"/>
    <n v="0"/>
    <n v="0"/>
    <n v="0"/>
    <n v="0"/>
    <n v="27.19"/>
    <n v="0"/>
  </r>
  <r>
    <x v="5"/>
    <x v="0"/>
    <x v="0"/>
    <s v="5100102"/>
    <n v="700014"/>
    <s v="Salaries-Management-Other"/>
    <s v="Pharmacy"/>
    <x v="0"/>
    <n v="2000"/>
    <n v="0"/>
    <n v="0"/>
    <n v="0"/>
    <n v="0"/>
    <n v="0"/>
    <n v="0"/>
    <n v="250.88"/>
    <n v="0"/>
    <n v="0"/>
    <n v="0"/>
    <n v="0"/>
    <n v="0"/>
    <n v="250.88"/>
    <n v="0"/>
  </r>
  <r>
    <x v="5"/>
    <x v="0"/>
    <x v="0"/>
    <s v="5100102"/>
    <n v="700032"/>
    <s v="Salaries-Other Pat Care Providers-Productive"/>
    <s v="Pharmacy"/>
    <x v="0"/>
    <m/>
    <n v="147267.62"/>
    <n v="158754.64000000001"/>
    <n v="133565.62"/>
    <n v="148026.45000000001"/>
    <n v="162642.19"/>
    <n v="150415.35999999999"/>
    <n v="143886.24"/>
    <n v="140547.47"/>
    <n v="161727.63"/>
    <n v="138614.57"/>
    <n v="146513.68"/>
    <n v="141776.67000000001"/>
    <n v="1773738.1400000001"/>
    <n v="4737.0099999999802"/>
  </r>
  <r>
    <x v="5"/>
    <x v="0"/>
    <x v="0"/>
    <s v="5100102"/>
    <n v="700032"/>
    <s v="Salaries-Other Pat Care Providers-OT"/>
    <s v="Pharmacy"/>
    <x v="0"/>
    <n v="1000"/>
    <n v="1569.47"/>
    <n v="2735.96"/>
    <n v="11934.05"/>
    <n v="417.06"/>
    <n v="1924.77"/>
    <n v="3232.05"/>
    <n v="4368.49"/>
    <n v="2173.75"/>
    <n v="3222.93"/>
    <n v="2092.4499999999998"/>
    <n v="216.97"/>
    <n v="1228.49"/>
    <n v="35116.439999999995"/>
    <n v="-1011.52"/>
  </r>
  <r>
    <x v="5"/>
    <x v="0"/>
    <x v="0"/>
    <s v="5100102"/>
    <n v="700032"/>
    <s v="Salaries-Other Pat Care Providers-Other"/>
    <s v="Pharmacy"/>
    <x v="0"/>
    <n v="2000"/>
    <n v="9043.93"/>
    <n v="11850.69"/>
    <n v="8257.1"/>
    <n v="10038.18"/>
    <n v="10446.06"/>
    <n v="9550.4599999999991"/>
    <n v="9582.2099999999991"/>
    <n v="9976.14"/>
    <n v="10466.74"/>
    <n v="9531.66"/>
    <n v="8614.36"/>
    <n v="8734.1299999999992"/>
    <n v="116091.66000000002"/>
    <n v="-119.76999999999862"/>
  </r>
  <r>
    <x v="5"/>
    <x v="0"/>
    <x v="0"/>
    <s v="5100102"/>
    <n v="700054"/>
    <s v="Salaries-Management-Non-productive"/>
    <s v="Pharmacy"/>
    <x v="0"/>
    <m/>
    <n v="3967.16"/>
    <n v="2419.3200000000002"/>
    <n v="1451.52"/>
    <n v="-387.04"/>
    <n v="0"/>
    <n v="5866.16"/>
    <n v="1095.8900000000001"/>
    <n v="2588.89"/>
    <n v="-497.81"/>
    <n v="5576.17"/>
    <n v="697.03"/>
    <n v="1443.82"/>
    <n v="24221.109999999993"/>
    <n v="-746.79"/>
  </r>
  <r>
    <x v="5"/>
    <x v="0"/>
    <x v="0"/>
    <s v="5100102"/>
    <n v="700054"/>
    <s v="Salaries-Management-NonProd-Other"/>
    <s v="Pharmacy"/>
    <x v="0"/>
    <n v="2000"/>
    <n v="0"/>
    <n v="0"/>
    <n v="0"/>
    <n v="0"/>
    <n v="0"/>
    <n v="2108.91"/>
    <n v="-2108.91"/>
    <n v="0"/>
    <n v="0"/>
    <n v="0"/>
    <n v="0"/>
    <n v="0"/>
    <n v="0"/>
    <n v="0"/>
  </r>
  <r>
    <x v="5"/>
    <x v="0"/>
    <x v="0"/>
    <s v="5100102"/>
    <n v="700072"/>
    <s v="Salaries-Other Pat Care Providers-Non-productive"/>
    <s v="Pharmacy"/>
    <x v="0"/>
    <m/>
    <n v="11674.48"/>
    <n v="15882.12"/>
    <n v="18443.45"/>
    <n v="18940.990000000002"/>
    <n v="-4206.41"/>
    <n v="18336.71"/>
    <n v="16703.650000000001"/>
    <n v="13624.73"/>
    <n v="14114.17"/>
    <n v="30161.61"/>
    <n v="13681.49"/>
    <n v="16398.61"/>
    <n v="183755.59999999998"/>
    <n v="-2717.1200000000008"/>
  </r>
  <r>
    <x v="5"/>
    <x v="0"/>
    <x v="0"/>
    <s v="5100102"/>
    <n v="700072"/>
    <s v="Salaries-Other Pat Care Providers-NonProd-Other"/>
    <s v="Pharmacy"/>
    <x v="0"/>
    <n v="2000"/>
    <n v="277"/>
    <n v="720.77"/>
    <n v="366.52"/>
    <n v="684.36"/>
    <n v="1588.17"/>
    <n v="3345.24"/>
    <n v="484.31"/>
    <n v="-3674.49"/>
    <n v="363.87"/>
    <n v="803.53"/>
    <n v="443.05"/>
    <n v="927.21"/>
    <n v="6329.54"/>
    <n v="-484.16"/>
  </r>
  <r>
    <x v="5"/>
    <x v="0"/>
    <x v="0"/>
    <s v="5100102"/>
    <n v="700084"/>
    <s v="Accrued PTO"/>
    <s v="Pharmacy"/>
    <x v="0"/>
    <m/>
    <n v="8137.84"/>
    <n v="1530.98"/>
    <n v="241"/>
    <n v="10346.030000000001"/>
    <n v="16980.61"/>
    <n v="6595.14"/>
    <n v="988.47"/>
    <n v="2727.54"/>
    <n v="25558.79"/>
    <n v="-8257.2000000000007"/>
    <n v="3166.96"/>
    <n v="3010.62"/>
    <n v="71026.78"/>
    <n v="156.34000000000015"/>
  </r>
  <r>
    <x v="6"/>
    <x v="0"/>
    <x v="0"/>
    <s v="5100102"/>
    <n v="713010"/>
    <s v="Benefits-FICA/Medicare"/>
    <s v="Pharmacy"/>
    <x v="0"/>
    <m/>
    <n v="13823.72"/>
    <n v="15649.22"/>
    <n v="13276.49"/>
    <n v="12950.53"/>
    <n v="10492.05"/>
    <n v="12294.25"/>
    <n v="14634.22"/>
    <n v="15455.33"/>
    <n v="14740.72"/>
    <n v="14509.21"/>
    <n v="13739.34"/>
    <n v="14790.89"/>
    <n v="166355.96999999997"/>
    <n v="-1051.5499999999993"/>
  </r>
  <r>
    <x v="6"/>
    <x v="0"/>
    <x v="0"/>
    <s v="5100102"/>
    <n v="713090"/>
    <s v="Benefits-Allocated Amounts"/>
    <s v="Pharmacy"/>
    <x v="0"/>
    <m/>
    <n v="29935.73"/>
    <n v="28739.64"/>
    <n v="28338.43"/>
    <n v="28678.61"/>
    <n v="28486.57"/>
    <n v="29351.64"/>
    <n v="29497.15"/>
    <n v="29280.68"/>
    <n v="32384.05"/>
    <n v="30761.38"/>
    <n v="29343.93"/>
    <n v="30104.959999999999"/>
    <n v="354902.77"/>
    <n v="-761.02999999999884"/>
  </r>
  <r>
    <x v="7"/>
    <x v="0"/>
    <x v="0"/>
    <s v="5100102"/>
    <n v="718050"/>
    <s v="Contract Svcs-Other"/>
    <s v="Pharmacy"/>
    <x v="0"/>
    <m/>
    <n v="462.83"/>
    <n v="3211.27"/>
    <n v="2741.23"/>
    <n v="213.54"/>
    <n v="0"/>
    <n v="0"/>
    <n v="0"/>
    <n v="0"/>
    <n v="3222.51"/>
    <n v="497.61"/>
    <n v="4974.8999999999996"/>
    <n v="0"/>
    <n v="15323.890000000001"/>
    <n v="4974.8999999999996"/>
  </r>
  <r>
    <x v="7"/>
    <x v="0"/>
    <x v="0"/>
    <s v="5100102"/>
    <n v="718050"/>
    <s v="Miscellaneous Purchased Svcs"/>
    <s v="Pharmacy"/>
    <x v="0"/>
    <n v="1020"/>
    <n v="4966.3900000000003"/>
    <n v="7340.62"/>
    <n v="5452.21"/>
    <n v="2863.36"/>
    <n v="1634.56"/>
    <n v="3195.71"/>
    <n v="24553.81"/>
    <n v="14330.05"/>
    <n v="11240.2"/>
    <n v="2587.2800000000002"/>
    <n v="9469.59"/>
    <n v="3704.24"/>
    <n v="91338.02"/>
    <n v="5765.35"/>
  </r>
  <r>
    <x v="7"/>
    <x v="0"/>
    <x v="0"/>
    <s v="5100102"/>
    <n v="718070"/>
    <s v="Contract Srvcs-CHI Clinical Engineering"/>
    <s v="Pharmacy"/>
    <x v="0"/>
    <m/>
    <n v="3993"/>
    <n v="3897"/>
    <n v="161"/>
    <n v="3833"/>
    <n v="3833"/>
    <n v="3833"/>
    <n v="3897"/>
    <n v="3897"/>
    <n v="3897"/>
    <n v="3897"/>
    <n v="4558"/>
    <n v="4236"/>
    <n v="43932"/>
    <n v="322"/>
  </r>
  <r>
    <x v="7"/>
    <x v="0"/>
    <x v="0"/>
    <s v="5100102"/>
    <n v="718091"/>
    <s v="Contract Services-Intracompany Allocation"/>
    <s v="Pharmacy"/>
    <x v="0"/>
    <m/>
    <n v="14939.45"/>
    <n v="14546.77"/>
    <n v="15149.53"/>
    <n v="14814.9"/>
    <n v="14561.03"/>
    <n v="13340.82"/>
    <n v="15221.04"/>
    <n v="13758.68"/>
    <n v="15909.67"/>
    <n v="13735.34"/>
    <n v="17205.419999999998"/>
    <n v="14912.12"/>
    <n v="178094.77000000002"/>
    <n v="2293.2999999999975"/>
  </r>
  <r>
    <x v="11"/>
    <x v="0"/>
    <x v="0"/>
    <s v="5100102"/>
    <n v="721010"/>
    <s v="Supplies-Medical - Billable"/>
    <s v="Pharmacy"/>
    <x v="0"/>
    <m/>
    <n v="27.7"/>
    <n v="3.75"/>
    <n v="0"/>
    <n v="27.7"/>
    <n v="13.85"/>
    <n v="27.7"/>
    <n v="0"/>
    <n v="34.57"/>
    <n v="13.85"/>
    <n v="67.94"/>
    <n v="0.56999999999999995"/>
    <n v="27.7"/>
    <n v="245.32999999999998"/>
    <n v="-27.13"/>
  </r>
  <r>
    <x v="11"/>
    <x v="0"/>
    <x v="0"/>
    <s v="5100102"/>
    <n v="721020"/>
    <s v="Supplies-Surgical - Billable"/>
    <s v="Pharmacy"/>
    <x v="0"/>
    <m/>
    <n v="27867.05"/>
    <n v="8547"/>
    <n v="14690.25"/>
    <n v="18483.060000000001"/>
    <n v="17628.3"/>
    <n v="21456.65"/>
    <n v="17824.25"/>
    <n v="20566.349999999999"/>
    <n v="16738"/>
    <n v="18518.599999999999"/>
    <n v="20744.41"/>
    <n v="12909.65"/>
    <n v="215973.57"/>
    <n v="7834.76"/>
  </r>
  <r>
    <x v="11"/>
    <x v="0"/>
    <x v="0"/>
    <s v="5100102"/>
    <n v="721020"/>
    <s v="Suture/Wound Closure"/>
    <s v="Pharmacy"/>
    <x v="0"/>
    <n v="1001"/>
    <n v="4783.3500000000004"/>
    <n v="0"/>
    <n v="1913.34"/>
    <n v="994.8"/>
    <n v="2469.3200000000002"/>
    <n v="1275.56"/>
    <n v="2349.39"/>
    <n v="2551.12"/>
    <n v="947.92"/>
    <n v="2279.6"/>
    <n v="1139.8"/>
    <n v="2750.69"/>
    <n v="23454.889999999996"/>
    <n v="-1610.89"/>
  </r>
  <r>
    <x v="11"/>
    <x v="0"/>
    <x v="0"/>
    <s v="5100102"/>
    <n v="721150"/>
    <s v="Supplies-Other Implants - Billable"/>
    <s v="Pharmacy"/>
    <x v="0"/>
    <m/>
    <n v="0"/>
    <n v="0"/>
    <n v="0"/>
    <n v="0"/>
    <n v="0"/>
    <n v="0"/>
    <n v="0"/>
    <n v="2320.5"/>
    <n v="0"/>
    <n v="0"/>
    <n v="0"/>
    <n v="0"/>
    <n v="2320.5"/>
    <n v="0"/>
  </r>
  <r>
    <x v="11"/>
    <x v="0"/>
    <x v="0"/>
    <s v="5100102"/>
    <n v="721240"/>
    <s v="Supplies-IV Solutions/Supplies - Billable"/>
    <s v="Pharmacy"/>
    <x v="0"/>
    <m/>
    <n v="28167.87"/>
    <n v="28623.65"/>
    <n v="24321.54"/>
    <n v="31840.22"/>
    <n v="26660.31"/>
    <n v="29055.919999999998"/>
    <n v="27402.01"/>
    <n v="25721.78"/>
    <n v="35101.18"/>
    <n v="31219.25"/>
    <n v="31611.24"/>
    <n v="28429.21"/>
    <n v="348154.18"/>
    <n v="3182.0300000000025"/>
  </r>
  <r>
    <x v="11"/>
    <x v="0"/>
    <x v="0"/>
    <s v="5100102"/>
    <n v="721250"/>
    <s v="Supplies-Pharmacy Drugs - Billable"/>
    <s v="Pharmacy"/>
    <x v="0"/>
    <m/>
    <n v="193614.86"/>
    <n v="306773.31"/>
    <n v="213929.72"/>
    <n v="198187.87"/>
    <n v="162596.5"/>
    <n v="150303.99"/>
    <n v="195807.45"/>
    <n v="181693.62"/>
    <n v="220408.65"/>
    <n v="190839.41"/>
    <n v="73446.06"/>
    <n v="171787.31"/>
    <n v="2259388.7499999995"/>
    <n v="-98341.25"/>
  </r>
  <r>
    <x v="11"/>
    <x v="0"/>
    <x v="0"/>
    <s v="5100102"/>
    <n v="721250"/>
    <s v="OP Pharmacy Drugs"/>
    <s v="Pharmacy"/>
    <x v="0"/>
    <n v="1002"/>
    <n v="35174.51"/>
    <n v="17385.37"/>
    <n v="19974.63"/>
    <n v="18113.16"/>
    <n v="21289.200000000001"/>
    <n v="2734.87"/>
    <n v="1790.88"/>
    <n v="3060.13"/>
    <n v="24441.040000000001"/>
    <n v="46712"/>
    <n v="6253.33"/>
    <n v="26213.57"/>
    <n v="223142.69"/>
    <n v="-19960.239999999998"/>
  </r>
  <r>
    <x v="11"/>
    <x v="0"/>
    <x v="0"/>
    <s v="5100102"/>
    <n v="721251"/>
    <s v="Supplies-340B Pharmacy Drugs - Billable"/>
    <s v="Pharmacy"/>
    <x v="0"/>
    <m/>
    <n v="209748.82"/>
    <n v="226042.51"/>
    <n v="257300.2"/>
    <n v="381767.31"/>
    <n v="372146.91"/>
    <n v="282207.14"/>
    <n v="421788.93"/>
    <n v="206029.27"/>
    <n v="227865.24"/>
    <n v="228140.14"/>
    <n v="350005.13"/>
    <n v="269162.36"/>
    <n v="3432203.96"/>
    <n v="80842.770000000019"/>
  </r>
  <r>
    <x v="11"/>
    <x v="0"/>
    <x v="0"/>
    <s v="5100102"/>
    <n v="721410"/>
    <s v="Supplies-Medical - Nonbillable"/>
    <s v="Pharmacy"/>
    <x v="0"/>
    <m/>
    <n v="2332.73"/>
    <n v="2847.92"/>
    <n v="2493.54"/>
    <n v="2617.13"/>
    <n v="2554.9299999999998"/>
    <n v="2691.09"/>
    <n v="2713.78"/>
    <n v="2500.3200000000002"/>
    <n v="2291.25"/>
    <n v="2336.34"/>
    <n v="2470.17"/>
    <n v="2369.67"/>
    <n v="30218.869999999995"/>
    <n v="100.5"/>
  </r>
  <r>
    <x v="11"/>
    <x v="0"/>
    <x v="0"/>
    <s v="5100102"/>
    <n v="721420"/>
    <s v="Supplies-Surgical Nonbillable"/>
    <s v="Pharmacy"/>
    <x v="0"/>
    <m/>
    <n v="0"/>
    <n v="9.4499999999999993"/>
    <n v="0"/>
    <n v="0"/>
    <n v="0"/>
    <n v="0"/>
    <n v="0"/>
    <n v="0"/>
    <n v="0"/>
    <n v="0"/>
    <n v="0"/>
    <n v="0"/>
    <n v="9.4499999999999993"/>
    <n v="0"/>
  </r>
  <r>
    <x v="11"/>
    <x v="0"/>
    <x v="0"/>
    <s v="5100102"/>
    <n v="721610"/>
    <s v="Supplies-Anesthesia - Nonbillable"/>
    <s v="Pharmacy"/>
    <x v="0"/>
    <m/>
    <n v="6127.4"/>
    <n v="2534"/>
    <n v="2999.6"/>
    <n v="5972.2"/>
    <n v="3801"/>
    <n v="0"/>
    <n v="7394.4"/>
    <n v="4188.3999999999996"/>
    <n v="1344"/>
    <n v="5585.2"/>
    <n v="2094.1999999999998"/>
    <n v="672"/>
    <n v="42712.399999999994"/>
    <n v="1422.1999999999998"/>
  </r>
  <r>
    <x v="11"/>
    <x v="0"/>
    <x v="0"/>
    <s v="5100102"/>
    <n v="721640"/>
    <s v="Supplies-IV Solutions/Supplies - Nonbillable"/>
    <s v="Pharmacy"/>
    <x v="0"/>
    <m/>
    <n v="239.59"/>
    <n v="187"/>
    <n v="3121.6"/>
    <n v="2442.5500000000002"/>
    <n v="324.19"/>
    <n v="144.96"/>
    <n v="197.48"/>
    <n v="453.5"/>
    <n v="84.76"/>
    <n v="220.55"/>
    <n v="300"/>
    <n v="209"/>
    <n v="7925.1799999999994"/>
    <n v="91"/>
  </r>
  <r>
    <x v="11"/>
    <x v="0"/>
    <x v="0"/>
    <s v="5100102"/>
    <n v="721650"/>
    <s v="Supplies-Pharmacy Drugs - Nonbillable"/>
    <s v="Pharmacy"/>
    <x v="0"/>
    <m/>
    <n v="0"/>
    <n v="0"/>
    <n v="0"/>
    <n v="0"/>
    <n v="0"/>
    <n v="0.05"/>
    <n v="0"/>
    <n v="0"/>
    <n v="217.51"/>
    <n v="0"/>
    <n v="0"/>
    <n v="0"/>
    <n v="217.56"/>
    <n v="0"/>
  </r>
  <r>
    <x v="11"/>
    <x v="0"/>
    <x v="0"/>
    <s v="5100102"/>
    <n v="721710"/>
    <s v="Supplies-Laboratory - Nonbillable"/>
    <s v="Pharmacy"/>
    <x v="0"/>
    <m/>
    <n v="121.22"/>
    <n v="0"/>
    <n v="338.07"/>
    <n v="99.33"/>
    <n v="231.44"/>
    <n v="386.07"/>
    <n v="54.04"/>
    <n v="162.26"/>
    <n v="205.97"/>
    <n v="27"/>
    <n v="-18.899999999999999"/>
    <n v="172.7"/>
    <n v="1779.1999999999998"/>
    <n v="-191.6"/>
  </r>
  <r>
    <x v="11"/>
    <x v="0"/>
    <x v="0"/>
    <s v="5100102"/>
    <n v="721810"/>
    <s v="Supplies-Dietary/Cafeteria"/>
    <s v="Pharmacy"/>
    <x v="0"/>
    <m/>
    <n v="41.33"/>
    <n v="23.21"/>
    <n v="12.91"/>
    <n v="276.47000000000003"/>
    <n v="4.5"/>
    <n v="115.97"/>
    <n v="85.39"/>
    <n v="41.17"/>
    <n v="55.26"/>
    <n v="21.25"/>
    <n v="34.57"/>
    <n v="31.75"/>
    <n v="743.78"/>
    <n v="2.8200000000000003"/>
  </r>
  <r>
    <x v="11"/>
    <x v="0"/>
    <x v="0"/>
    <s v="5100102"/>
    <n v="721830"/>
    <s v="Supplies-Office"/>
    <s v="Pharmacy"/>
    <x v="0"/>
    <m/>
    <n v="640.15"/>
    <n v="615.35"/>
    <n v="359.37"/>
    <n v="538.76"/>
    <n v="548.34"/>
    <n v="279.33999999999997"/>
    <n v="855.22"/>
    <n v="331.22"/>
    <n v="474.96"/>
    <n v="644.39"/>
    <n v="332.12"/>
    <n v="115.55"/>
    <n v="5734.7700000000013"/>
    <n v="216.57"/>
  </r>
  <r>
    <x v="11"/>
    <x v="0"/>
    <x v="0"/>
    <s v="5100102"/>
    <n v="721835"/>
    <s v="Supplies-Forms"/>
    <s v="Pharmacy"/>
    <x v="0"/>
    <m/>
    <n v="0"/>
    <n v="0"/>
    <n v="0"/>
    <n v="0"/>
    <n v="23.49"/>
    <n v="0"/>
    <n v="20.350000000000001"/>
    <n v="0"/>
    <n v="0"/>
    <n v="15"/>
    <n v="17.84"/>
    <n v="0"/>
    <n v="76.680000000000007"/>
    <n v="17.84"/>
  </r>
  <r>
    <x v="11"/>
    <x v="0"/>
    <x v="0"/>
    <s v="5100102"/>
    <n v="721870"/>
    <s v="Supplies-Environmental Services"/>
    <s v="Pharmacy"/>
    <x v="0"/>
    <m/>
    <n v="470.98"/>
    <n v="6.12"/>
    <n v="117.4"/>
    <n v="122.2"/>
    <n v="120.98"/>
    <n v="110.5"/>
    <n v="476.44"/>
    <n v="41.98"/>
    <n v="14.4"/>
    <n v="124.91"/>
    <n v="112.6"/>
    <n v="21.91"/>
    <n v="1740.4200000000003"/>
    <n v="90.69"/>
  </r>
  <r>
    <x v="11"/>
    <x v="0"/>
    <x v="0"/>
    <s v="5100102"/>
    <n v="721910"/>
    <s v="Supplies-Small Equipment"/>
    <s v="Pharmacy"/>
    <x v="0"/>
    <m/>
    <n v="0"/>
    <n v="164.56"/>
    <n v="3.36"/>
    <n v="712.66"/>
    <n v="189.06"/>
    <n v="16.8"/>
    <n v="287"/>
    <n v="0"/>
    <n v="32.78"/>
    <n v="144.80000000000001"/>
    <n v="1062.44"/>
    <n v="0"/>
    <n v="2613.46"/>
    <n v="1062.44"/>
  </r>
  <r>
    <x v="11"/>
    <x v="0"/>
    <x v="0"/>
    <s v="5100102"/>
    <n v="721980"/>
    <s v="Supplies-Other"/>
    <s v="Pharmacy"/>
    <x v="0"/>
    <m/>
    <n v="0"/>
    <n v="161.91"/>
    <n v="4353.2299999999996"/>
    <n v="28.5"/>
    <n v="0"/>
    <n v="0"/>
    <n v="785.74"/>
    <n v="412.88"/>
    <n v="-126.52"/>
    <n v="123.31"/>
    <n v="1291"/>
    <n v="0"/>
    <n v="7030.0499999999993"/>
    <n v="1291"/>
  </r>
  <r>
    <x v="11"/>
    <x v="0"/>
    <x v="0"/>
    <s v="5100102"/>
    <n v="722000"/>
    <s v="Supplies-Freight Expense"/>
    <s v="Pharmacy"/>
    <x v="0"/>
    <m/>
    <n v="601.37"/>
    <n v="77.7"/>
    <n v="147.79"/>
    <n v="517.95000000000005"/>
    <n v="602.73"/>
    <n v="98.06"/>
    <n v="588.03"/>
    <n v="288.70999999999998"/>
    <n v="1757.79"/>
    <n v="531.92999999999995"/>
    <n v="446.32"/>
    <n v="439.14"/>
    <n v="6097.52"/>
    <n v="7.1800000000000068"/>
  </r>
  <r>
    <x v="11"/>
    <x v="0"/>
    <x v="0"/>
    <s v="5100102"/>
    <n v="723000"/>
    <s v="Supply Rebates/Patronage Dividend"/>
    <s v="Pharmacy"/>
    <x v="0"/>
    <m/>
    <n v="0"/>
    <n v="0"/>
    <n v="-3972.56"/>
    <n v="0"/>
    <n v="0"/>
    <n v="-18528.52"/>
    <n v="0"/>
    <n v="0"/>
    <n v="-6902.13"/>
    <n v="0"/>
    <n v="0"/>
    <n v="-4346.0200000000004"/>
    <n v="-33749.230000000003"/>
    <n v="4346.0200000000004"/>
  </r>
  <r>
    <x v="12"/>
    <x v="0"/>
    <x v="0"/>
    <s v="5100102"/>
    <n v="730020"/>
    <s v="Rental and Leases-Equipment (DO NOT USE)"/>
    <s v="Pharmacy"/>
    <x v="0"/>
    <m/>
    <n v="0"/>
    <n v="0"/>
    <n v="0"/>
    <n v="6062.29"/>
    <n v="0"/>
    <n v="0"/>
    <n v="423.94"/>
    <n v="0"/>
    <n v="847.88"/>
    <n v="0"/>
    <n v="847.88"/>
    <n v="423.94"/>
    <n v="8605.93"/>
    <n v="423.94"/>
  </r>
  <r>
    <x v="12"/>
    <x v="0"/>
    <x v="0"/>
    <s v="5100102"/>
    <n v="730020"/>
    <s v="Rental and Leases-Copier Usage Fees (DO NOT USE)"/>
    <s v="Pharmacy"/>
    <x v="0"/>
    <n v="5100"/>
    <n v="347.41"/>
    <n v="349.86"/>
    <n v="348.63"/>
    <n v="348.63"/>
    <n v="348.63"/>
    <n v="348.63"/>
    <n v="227.53"/>
    <n v="311.5"/>
    <n v="310.85000000000002"/>
    <n v="406.13"/>
    <n v="311.5"/>
    <n v="369.84"/>
    <n v="4029.1400000000008"/>
    <n v="-58.339999999999975"/>
  </r>
  <r>
    <x v="15"/>
    <x v="0"/>
    <x v="0"/>
    <s v="5100102"/>
    <n v="731060"/>
    <s v="Telephone"/>
    <s v="Pharmacy"/>
    <x v="0"/>
    <m/>
    <n v="0"/>
    <n v="0"/>
    <n v="0"/>
    <n v="0"/>
    <n v="223.73"/>
    <n v="245.53"/>
    <n v="636.47"/>
    <n v="43"/>
    <n v="218.47"/>
    <n v="244.23"/>
    <n v="217.69"/>
    <n v="217.73"/>
    <n v="2046.8500000000001"/>
    <n v="-3.9999999999992042E-2"/>
  </r>
  <r>
    <x v="15"/>
    <x v="0"/>
    <x v="0"/>
    <s v="5100102"/>
    <n v="731060"/>
    <s v="Pagers"/>
    <s v="Pharmacy"/>
    <x v="0"/>
    <n v="1002"/>
    <n v="49.81"/>
    <n v="49.81"/>
    <n v="49.81"/>
    <n v="49.93"/>
    <n v="49.93"/>
    <n v="0"/>
    <n v="90.53"/>
    <n v="13.07"/>
    <n v="40.6"/>
    <n v="40.6"/>
    <n v="40.6"/>
    <n v="40.6"/>
    <n v="515.29000000000008"/>
    <n v="0"/>
  </r>
  <r>
    <x v="16"/>
    <x v="0"/>
    <x v="0"/>
    <s v="5100102"/>
    <n v="732020"/>
    <s v="Repairs--Clin Equip-Parts-Internal to CHI Programs"/>
    <s v="Pharmacy"/>
    <x v="0"/>
    <m/>
    <n v="0"/>
    <n v="0"/>
    <n v="0"/>
    <n v="0"/>
    <n v="928.32"/>
    <n v="0"/>
    <n v="0"/>
    <n v="124.75"/>
    <n v="0"/>
    <n v="666.98"/>
    <n v="115.54"/>
    <n v="50.64"/>
    <n v="1886.2300000000002"/>
    <n v="64.900000000000006"/>
  </r>
  <r>
    <x v="16"/>
    <x v="0"/>
    <x v="0"/>
    <s v="5100102"/>
    <n v="732030"/>
    <s v="Repairs---Other"/>
    <s v="Pharmacy"/>
    <x v="0"/>
    <m/>
    <n v="5940"/>
    <n v="0"/>
    <n v="20380.29"/>
    <n v="0"/>
    <n v="0"/>
    <n v="2911.47"/>
    <n v="0"/>
    <n v="2400"/>
    <n v="1468.28"/>
    <n v="0"/>
    <n v="1165"/>
    <n v="0"/>
    <n v="34265.040000000001"/>
    <n v="1165"/>
  </r>
  <r>
    <x v="13"/>
    <x v="0"/>
    <x v="0"/>
    <s v="5100102"/>
    <n v="735040"/>
    <s v="Depreciation-Building Improvements"/>
    <s v="Pharmacy"/>
    <x v="0"/>
    <m/>
    <n v="3749.19"/>
    <n v="3749.18"/>
    <n v="3749.19"/>
    <n v="3749.17"/>
    <n v="3749.2"/>
    <n v="3749.16"/>
    <n v="3749.21"/>
    <n v="3749.14"/>
    <n v="3749.24"/>
    <n v="3749.13"/>
    <n v="3749.25"/>
    <n v="3749.12"/>
    <n v="44990.18"/>
    <n v="0.13000000000010914"/>
  </r>
  <r>
    <x v="13"/>
    <x v="0"/>
    <x v="0"/>
    <s v="5100102"/>
    <n v="735060"/>
    <s v="Depreciation-Fixed Equipment"/>
    <s v="Pharmacy"/>
    <x v="0"/>
    <m/>
    <n v="58.98"/>
    <n v="58.98"/>
    <n v="58.98"/>
    <n v="58.98"/>
    <n v="58.99"/>
    <n v="58.98"/>
    <n v="58.99"/>
    <n v="58.98"/>
    <n v="58.99"/>
    <n v="58.98"/>
    <n v="58.99"/>
    <n v="832.92"/>
    <n v="1481.74"/>
    <n v="-773.93"/>
  </r>
  <r>
    <x v="13"/>
    <x v="0"/>
    <x v="0"/>
    <s v="5100102"/>
    <n v="735070"/>
    <s v="Depreciation-Movable Equipment"/>
    <s v="Pharmacy"/>
    <x v="0"/>
    <m/>
    <n v="12279.24"/>
    <n v="12279.23"/>
    <n v="12279.24"/>
    <n v="12279.22"/>
    <n v="12279.26"/>
    <n v="12357.44"/>
    <n v="12357.49"/>
    <n v="12357.43"/>
    <n v="12314.82"/>
    <n v="12314.74"/>
    <n v="12314.83"/>
    <n v="12314.72"/>
    <n v="147727.66000000003"/>
    <n v="0.11000000000058208"/>
  </r>
  <r>
    <x v="0"/>
    <x v="0"/>
    <x v="0"/>
    <s v="5100102"/>
    <n v="740020"/>
    <s v="Education-Registration Fees"/>
    <s v="Pharmacy"/>
    <x v="0"/>
    <m/>
    <n v="0"/>
    <n v="175"/>
    <n v="0"/>
    <n v="0"/>
    <n v="0"/>
    <n v="175"/>
    <n v="0"/>
    <n v="0"/>
    <n v="175"/>
    <n v="210"/>
    <n v="0"/>
    <n v="654"/>
    <n v="1389"/>
    <n v="-654"/>
  </r>
  <r>
    <x v="0"/>
    <x v="0"/>
    <x v="0"/>
    <s v="5100102"/>
    <n v="742030"/>
    <s v="Freight-Courier"/>
    <s v="Pharmacy"/>
    <x v="0"/>
    <m/>
    <n v="0"/>
    <n v="0"/>
    <n v="0"/>
    <n v="0"/>
    <n v="0"/>
    <n v="0"/>
    <n v="0"/>
    <n v="0"/>
    <n v="0"/>
    <n v="0"/>
    <n v="0"/>
    <n v="410"/>
    <n v="410"/>
    <n v="-410"/>
  </r>
  <r>
    <x v="0"/>
    <x v="0"/>
    <x v="0"/>
    <s v="5100102"/>
    <n v="742040"/>
    <s v="Freight-Other"/>
    <s v="Pharmacy"/>
    <x v="0"/>
    <m/>
    <n v="0"/>
    <n v="0"/>
    <n v="0"/>
    <n v="440"/>
    <n v="0"/>
    <n v="0"/>
    <n v="0"/>
    <n v="0"/>
    <n v="0"/>
    <n v="0"/>
    <n v="0"/>
    <n v="620"/>
    <n v="1060"/>
    <n v="-620"/>
  </r>
  <r>
    <x v="0"/>
    <x v="0"/>
    <x v="0"/>
    <s v="5100102"/>
    <n v="743020"/>
    <s v="Dues--Individual"/>
    <s v="Pharmacy"/>
    <x v="0"/>
    <m/>
    <n v="0"/>
    <n v="0"/>
    <n v="1907.81"/>
    <n v="320"/>
    <n v="645"/>
    <n v="734"/>
    <n v="0"/>
    <n v="0"/>
    <n v="0"/>
    <n v="0"/>
    <n v="425"/>
    <n v="0"/>
    <n v="4031.81"/>
    <n v="425"/>
  </r>
  <r>
    <x v="0"/>
    <x v="0"/>
    <x v="0"/>
    <s v="5100102"/>
    <n v="743030"/>
    <s v="Subscriptions--Institutional"/>
    <s v="Pharmacy"/>
    <x v="0"/>
    <m/>
    <n v="0"/>
    <n v="0"/>
    <n v="0"/>
    <n v="165.15"/>
    <n v="917.81"/>
    <n v="0"/>
    <n v="0"/>
    <n v="0"/>
    <n v="0"/>
    <n v="0"/>
    <n v="76.849999999999994"/>
    <n v="0"/>
    <n v="1159.81"/>
    <n v="76.849999999999994"/>
  </r>
  <r>
    <x v="0"/>
    <x v="0"/>
    <x v="0"/>
    <s v="5100102"/>
    <n v="749510"/>
    <s v="Miscellaneous Expenses"/>
    <s v="Pharmacy"/>
    <x v="0"/>
    <m/>
    <n v="0"/>
    <n v="0"/>
    <n v="0"/>
    <n v="0"/>
    <n v="0"/>
    <n v="5262.45"/>
    <n v="-500"/>
    <n v="0"/>
    <n v="0"/>
    <n v="434.59"/>
    <n v="0"/>
    <n v="0"/>
    <n v="5197.04"/>
    <n v="0"/>
  </r>
  <r>
    <x v="0"/>
    <x v="0"/>
    <x v="0"/>
    <s v="5100102"/>
    <n v="749510"/>
    <s v="Licenses"/>
    <s v="Pharmacy"/>
    <x v="0"/>
    <n v="1002"/>
    <n v="0"/>
    <n v="0"/>
    <n v="0"/>
    <n v="0"/>
    <n v="0"/>
    <n v="0"/>
    <n v="150"/>
    <n v="0"/>
    <n v="540"/>
    <n v="0"/>
    <n v="790"/>
    <n v="5"/>
    <n v="1485"/>
    <n v="785"/>
  </r>
  <r>
    <x v="0"/>
    <x v="0"/>
    <x v="0"/>
    <s v="5100102"/>
    <n v="749510"/>
    <s v="RICE Rewards"/>
    <s v="Pharmacy"/>
    <x v="0"/>
    <n v="5100"/>
    <n v="0"/>
    <n v="0"/>
    <n v="0"/>
    <n v="0"/>
    <n v="0"/>
    <n v="0"/>
    <n v="0"/>
    <n v="0"/>
    <n v="0"/>
    <n v="0"/>
    <n v="496"/>
    <n v="0"/>
    <n v="496"/>
    <n v="496"/>
  </r>
  <r>
    <x v="0"/>
    <x v="0"/>
    <x v="0"/>
    <s v="5100102"/>
    <n v="749530"/>
    <s v="Travel"/>
    <s v="Pharmacy"/>
    <x v="0"/>
    <m/>
    <n v="0"/>
    <n v="0"/>
    <n v="0"/>
    <n v="0"/>
    <n v="0"/>
    <n v="0"/>
    <n v="0"/>
    <n v="0"/>
    <n v="0"/>
    <n v="0"/>
    <n v="0"/>
    <n v="681.36"/>
    <n v="681.36"/>
    <n v="-681.36"/>
  </r>
  <r>
    <x v="0"/>
    <x v="0"/>
    <x v="0"/>
    <s v="5100102"/>
    <n v="749535"/>
    <s v="Employee Functions"/>
    <s v="Pharmacy"/>
    <x v="0"/>
    <n v="1004"/>
    <n v="0"/>
    <n v="0"/>
    <n v="0"/>
    <n v="0"/>
    <n v="0"/>
    <n v="0"/>
    <n v="500"/>
    <n v="0"/>
    <n v="0"/>
    <n v="0"/>
    <n v="0"/>
    <n v="0"/>
    <n v="500"/>
    <n v="0"/>
  </r>
  <r>
    <x v="18"/>
    <x v="4"/>
    <x v="0"/>
    <s v="5100103"/>
    <n v="400010"/>
    <s v="Acute I/P Svcs Rev--Medicare"/>
    <s v="Pharmacy"/>
    <x v="0"/>
    <n v="1100"/>
    <n v="-2350336.4"/>
    <n v="-3227454.25"/>
    <n v="-2944056.15"/>
    <n v="-3197298.15"/>
    <n v="-2935087.35"/>
    <n v="-3229908.45"/>
    <n v="-3137571.35"/>
    <n v="-3050870.55"/>
    <n v="-3952707.8"/>
    <n v="-3537917"/>
    <n v="-3042336.2"/>
    <n v="-2775073.4"/>
    <n v="-37380617.050000004"/>
    <n v="-267262.80000000028"/>
  </r>
  <r>
    <x v="18"/>
    <x v="4"/>
    <x v="0"/>
    <s v="5100103"/>
    <n v="400010"/>
    <s v="Acute I/P Svcs Rev--Medicaid"/>
    <s v="Pharmacy"/>
    <x v="0"/>
    <n v="1200"/>
    <n v="-1769079.35"/>
    <n v="-1235931.55"/>
    <n v="-1764203.25"/>
    <n v="-1403132.95"/>
    <n v="-1303160.1499999999"/>
    <n v="-2013659.95"/>
    <n v="-1416365.55"/>
    <n v="-2019432.1"/>
    <n v="-2023505.75"/>
    <n v="-2203062.2999999998"/>
    <n v="-1545642.55"/>
    <n v="-1508543.55"/>
    <n v="-20205719"/>
    <n v="-37099"/>
  </r>
  <r>
    <x v="18"/>
    <x v="4"/>
    <x v="0"/>
    <s v="5100103"/>
    <n v="400010"/>
    <s v="Acute I/P Svcs Rev--Comm Insurance"/>
    <s v="Pharmacy"/>
    <x v="0"/>
    <n v="1300"/>
    <n v="-72450.600000000006"/>
    <n v="-76832.45"/>
    <n v="19388.25"/>
    <n v="-63767.75"/>
    <n v="-24434.55"/>
    <n v="-86592.75"/>
    <n v="-55401.95"/>
    <n v="-22757.5"/>
    <n v="5390.3"/>
    <n v="-3579.15"/>
    <n v="-103492.35"/>
    <n v="-87781.2"/>
    <n v="-572311.69999999995"/>
    <n v="-15711.150000000009"/>
  </r>
  <r>
    <x v="18"/>
    <x v="4"/>
    <x v="0"/>
    <s v="5100103"/>
    <n v="400010"/>
    <s v="Acute I/P Svcs Rev--BCBS Comm"/>
    <s v="Pharmacy"/>
    <x v="0"/>
    <n v="1301"/>
    <n v="-191061.95"/>
    <n v="-74853.649999999994"/>
    <n v="-147560.4"/>
    <n v="-114369.60000000001"/>
    <n v="-121354.45"/>
    <n v="-79801.149999999994"/>
    <n v="-143762.95000000001"/>
    <n v="-94834.75"/>
    <n v="-159122.65"/>
    <n v="-215442.35"/>
    <n v="-99429"/>
    <n v="-174487.45"/>
    <n v="-1616080.3499999999"/>
    <n v="75058.450000000012"/>
  </r>
  <r>
    <x v="18"/>
    <x v="4"/>
    <x v="0"/>
    <s v="5100103"/>
    <n v="400010"/>
    <s v="Acute I/P Svcs Rev--Managed Care"/>
    <s v="Pharmacy"/>
    <x v="0"/>
    <n v="1400"/>
    <n v="-400449.8"/>
    <n v="-266120.3"/>
    <n v="-471321.05"/>
    <n v="-536298.65"/>
    <n v="-270832.75"/>
    <n v="-244295.6"/>
    <n v="-654572.25"/>
    <n v="-972911.7"/>
    <n v="-401867.65"/>
    <n v="-223947.4"/>
    <n v="157679.20000000001"/>
    <n v="-328187.15000000002"/>
    <n v="-4613125.1000000006"/>
    <n v="485866.35000000003"/>
  </r>
  <r>
    <x v="18"/>
    <x v="4"/>
    <x v="0"/>
    <s v="5100103"/>
    <n v="400010"/>
    <s v="Acute I/P Svcs Rev--Self Pay"/>
    <s v="Pharmacy"/>
    <x v="0"/>
    <n v="1500"/>
    <n v="-71702.45"/>
    <n v="-70003.55"/>
    <n v="9459.35"/>
    <n v="-28054.9"/>
    <n v="-26436.75"/>
    <n v="-50299.199999999997"/>
    <n v="-35405.9"/>
    <n v="-35254.1"/>
    <n v="-118808.35"/>
    <n v="-46762.45"/>
    <n v="-128094"/>
    <n v="77398"/>
    <n v="-523964.30000000005"/>
    <n v="-205492"/>
  </r>
  <r>
    <x v="18"/>
    <x v="4"/>
    <x v="0"/>
    <s v="5100103"/>
    <n v="400010"/>
    <s v="Acute I/P Svcs Rev--Other"/>
    <s v="Pharmacy"/>
    <x v="0"/>
    <n v="1700"/>
    <n v="-141408.15"/>
    <n v="-254631.5"/>
    <n v="-154418.35"/>
    <n v="-208063.7"/>
    <n v="-219280.35"/>
    <n v="-477523.4"/>
    <n v="-642859.9"/>
    <n v="-299457.34999999998"/>
    <n v="-236544.7"/>
    <n v="-244948.15"/>
    <n v="-721575.65"/>
    <n v="-261390.65"/>
    <n v="-3862101.85"/>
    <n v="-460185"/>
  </r>
  <r>
    <x v="19"/>
    <x v="4"/>
    <x v="0"/>
    <s v="5100103"/>
    <n v="400020"/>
    <s v="O/P Care Svcs Rev--Medicare"/>
    <s v="Pharmacy"/>
    <x v="0"/>
    <n v="1100"/>
    <n v="-1935143.55"/>
    <n v="-2360367.5499999998"/>
    <n v="-2065513.5"/>
    <n v="-2344798.9500000002"/>
    <n v="-2703855.3"/>
    <n v="-2114582.5"/>
    <n v="-2517456.6"/>
    <n v="-2061909.85"/>
    <n v="-2153416.5"/>
    <n v="-2860664.05"/>
    <n v="-3303009.95"/>
    <n v="-2808986.6"/>
    <n v="-29229704.900000002"/>
    <n v="-494023.35000000009"/>
  </r>
  <r>
    <x v="19"/>
    <x v="4"/>
    <x v="0"/>
    <s v="5100103"/>
    <n v="400020"/>
    <s v="O/P Care Svcs Rev--Medicaid"/>
    <s v="Pharmacy"/>
    <x v="0"/>
    <n v="1200"/>
    <n v="-1480497.35"/>
    <n v="-1432321.65"/>
    <n v="-1588758.2"/>
    <n v="-1793719.2"/>
    <n v="-1511955.1"/>
    <n v="-1399126.95"/>
    <n v="-1453256.55"/>
    <n v="-1061674.7"/>
    <n v="-1102887.3"/>
    <n v="-1369661.7"/>
    <n v="-1187145.55"/>
    <n v="-1209268.5"/>
    <n v="-16590272.75"/>
    <n v="22122.949999999953"/>
  </r>
  <r>
    <x v="19"/>
    <x v="4"/>
    <x v="0"/>
    <s v="5100103"/>
    <n v="400020"/>
    <s v="O/P Care Svcs Rev--Comm Insurance"/>
    <s v="Pharmacy"/>
    <x v="0"/>
    <n v="1300"/>
    <n v="-128562.75"/>
    <n v="-179477.15"/>
    <n v="-73173.100000000006"/>
    <n v="-124370.65"/>
    <n v="-50036.2"/>
    <n v="-73674.100000000006"/>
    <n v="-64096.25"/>
    <n v="-64014.5"/>
    <n v="-131864.45000000001"/>
    <n v="-43750.45"/>
    <n v="-44227.75"/>
    <n v="-114495.85"/>
    <n v="-1091743.2"/>
    <n v="70268.100000000006"/>
  </r>
  <r>
    <x v="19"/>
    <x v="4"/>
    <x v="0"/>
    <s v="5100103"/>
    <n v="400020"/>
    <s v="O/P Care Svcs Rev--BCBS Comm"/>
    <s v="Pharmacy"/>
    <x v="0"/>
    <n v="1301"/>
    <n v="-356473.9"/>
    <n v="-334956.55"/>
    <n v="-316993.25"/>
    <n v="-620397.69999999995"/>
    <n v="-573182.75"/>
    <n v="-368532.45"/>
    <n v="-409211"/>
    <n v="-322995.7"/>
    <n v="-331699.25"/>
    <n v="-345453.1"/>
    <n v="-432172.45"/>
    <n v="-327440.7"/>
    <n v="-4739508.8000000007"/>
    <n v="-104731.75"/>
  </r>
  <r>
    <x v="19"/>
    <x v="4"/>
    <x v="0"/>
    <s v="5100103"/>
    <n v="400020"/>
    <s v="O/P Care Svcs Rev--Managed Care"/>
    <s v="Pharmacy"/>
    <x v="0"/>
    <n v="1400"/>
    <n v="-799185.15"/>
    <n v="-1019892.75"/>
    <n v="-771055.25"/>
    <n v="-1013324.55"/>
    <n v="-935505.95"/>
    <n v="-803032.35"/>
    <n v="-972725.55"/>
    <n v="-997066.5"/>
    <n v="-778775.55"/>
    <n v="-951468.9"/>
    <n v="-1001211.6"/>
    <n v="-879422.45"/>
    <n v="-10922666.549999999"/>
    <n v="-121789.15000000002"/>
  </r>
  <r>
    <x v="19"/>
    <x v="4"/>
    <x v="0"/>
    <s v="5100103"/>
    <n v="400020"/>
    <s v="O/P Care Svcs Rev--Self Pay"/>
    <s v="Pharmacy"/>
    <x v="0"/>
    <n v="1500"/>
    <n v="-135862.20000000001"/>
    <n v="-157533.79999999999"/>
    <n v="-71987.25"/>
    <n v="-65712.3"/>
    <n v="-69525.7"/>
    <n v="-74583.100000000006"/>
    <n v="-135360.5"/>
    <n v="-5219.1499999999996"/>
    <n v="-66069.350000000006"/>
    <n v="-52520.6"/>
    <n v="-43329.95"/>
    <n v="-48371.05"/>
    <n v="-926074.95"/>
    <n v="5041.1000000000058"/>
  </r>
  <r>
    <x v="19"/>
    <x v="4"/>
    <x v="0"/>
    <s v="5100103"/>
    <n v="400020"/>
    <s v="O/P Care Svcs Rev--Other"/>
    <s v="Pharmacy"/>
    <x v="0"/>
    <n v="1700"/>
    <n v="-545507.44999999995"/>
    <n v="-523882.5"/>
    <n v="-524495.9"/>
    <n v="-344082.55"/>
    <n v="-509592.55"/>
    <n v="-357237.45"/>
    <n v="-463974"/>
    <n v="-296943.65000000002"/>
    <n v="-354850.5"/>
    <n v="-334268.3"/>
    <n v="-320381.34999999998"/>
    <n v="-323932.95"/>
    <n v="-4899149.1500000004"/>
    <n v="3551.6000000000349"/>
  </r>
  <r>
    <x v="5"/>
    <x v="4"/>
    <x v="0"/>
    <s v="5100103"/>
    <n v="700014"/>
    <s v="Salaries-Management-Productive"/>
    <s v="Pharmacy"/>
    <x v="0"/>
    <m/>
    <n v="12108.44"/>
    <n v="10390.86"/>
    <n v="11700.1"/>
    <n v="12620.44"/>
    <n v="11726.22"/>
    <n v="7431.31"/>
    <n v="11744.29"/>
    <n v="11442.6"/>
    <n v="13550.5"/>
    <n v="11098.11"/>
    <n v="13335.44"/>
    <n v="12303.21"/>
    <n v="139451.52000000002"/>
    <n v="1032.2300000000014"/>
  </r>
  <r>
    <x v="5"/>
    <x v="4"/>
    <x v="0"/>
    <s v="5100103"/>
    <n v="700032"/>
    <s v="Salaries-Other Pat Care Providers-Productive"/>
    <s v="Pharmacy"/>
    <x v="0"/>
    <m/>
    <n v="135529.85999999999"/>
    <n v="129667.39"/>
    <n v="127857.66"/>
    <n v="139979.21"/>
    <n v="136690.63"/>
    <n v="137595.91"/>
    <n v="142958.07"/>
    <n v="128315.21"/>
    <n v="148798.10999999999"/>
    <n v="137382.81"/>
    <n v="136871.79999999999"/>
    <n v="138854.99"/>
    <n v="1640501.65"/>
    <n v="-1983.1900000000023"/>
  </r>
  <r>
    <x v="5"/>
    <x v="4"/>
    <x v="0"/>
    <s v="5100103"/>
    <n v="700032"/>
    <s v="Salaries-Other Pat Care Providers-OT"/>
    <s v="Pharmacy"/>
    <x v="0"/>
    <n v="1000"/>
    <n v="4880.55"/>
    <n v="1613.25"/>
    <n v="3570.56"/>
    <n v="3167.44"/>
    <n v="3706.67"/>
    <n v="2197.2399999999998"/>
    <n v="1609.47"/>
    <n v="7202.39"/>
    <n v="427.69"/>
    <n v="6277.46"/>
    <n v="5118.07"/>
    <n v="2877.11"/>
    <n v="42647.9"/>
    <n v="2240.9599999999996"/>
  </r>
  <r>
    <x v="5"/>
    <x v="4"/>
    <x v="0"/>
    <s v="5100103"/>
    <n v="700032"/>
    <s v="Salaries-Other Pat Care Providers-Other"/>
    <s v="Pharmacy"/>
    <x v="0"/>
    <n v="2000"/>
    <n v="8248"/>
    <n v="7170.72"/>
    <n v="6767.59"/>
    <n v="6998.79"/>
    <n v="7728.21"/>
    <n v="7936.41"/>
    <n v="7927.48"/>
    <n v="7330.95"/>
    <n v="7500.18"/>
    <n v="8046.2"/>
    <n v="7204.81"/>
    <n v="8410.44"/>
    <n v="91269.779999999984"/>
    <n v="-1205.6300000000001"/>
  </r>
  <r>
    <x v="5"/>
    <x v="4"/>
    <x v="0"/>
    <s v="5100103"/>
    <n v="700054"/>
    <s v="Salaries-Management-Non-productive"/>
    <s v="Pharmacy"/>
    <x v="0"/>
    <m/>
    <n v="572.72"/>
    <n v="2290.88"/>
    <n v="572.72"/>
    <n v="572.72"/>
    <n v="1159.72"/>
    <n v="5884.61"/>
    <n v="1592.4"/>
    <n v="602.24"/>
    <n v="-215.05"/>
    <n v="1806.73"/>
    <n v="0"/>
    <n v="602.24"/>
    <n v="15441.93"/>
    <n v="-602.24"/>
  </r>
  <r>
    <x v="5"/>
    <x v="4"/>
    <x v="0"/>
    <s v="5100103"/>
    <n v="700054"/>
    <s v="Salaries-Management-NonProd-Other"/>
    <s v="Pharmacy"/>
    <x v="0"/>
    <n v="2000"/>
    <n v="0"/>
    <n v="0"/>
    <n v="0"/>
    <n v="0"/>
    <n v="0"/>
    <n v="1891.7"/>
    <n v="-1891.7"/>
    <n v="0"/>
    <n v="0"/>
    <n v="0"/>
    <n v="0"/>
    <n v="0"/>
    <n v="0"/>
    <n v="0"/>
  </r>
  <r>
    <x v="5"/>
    <x v="4"/>
    <x v="0"/>
    <s v="5100103"/>
    <n v="700072"/>
    <s v="Salaries-Other Pat Care Providers-Non-productive"/>
    <s v="Pharmacy"/>
    <x v="0"/>
    <m/>
    <n v="18152.939999999999"/>
    <n v="19321.98"/>
    <n v="19672.759999999998"/>
    <n v="9876.34"/>
    <n v="18224.52"/>
    <n v="20017.79"/>
    <n v="11185.01"/>
    <n v="20580.18"/>
    <n v="12366.09"/>
    <n v="23855.05"/>
    <n v="21378.71"/>
    <n v="25104.75"/>
    <n v="219736.11999999997"/>
    <n v="-3726.0400000000009"/>
  </r>
  <r>
    <x v="5"/>
    <x v="4"/>
    <x v="0"/>
    <s v="5100103"/>
    <n v="700072"/>
    <s v="Salaries-Other Pat Care Providers-NonProd-Other"/>
    <s v="Pharmacy"/>
    <x v="0"/>
    <n v="2000"/>
    <n v="616.03"/>
    <n v="374.17"/>
    <n v="930.1"/>
    <n v="224.09"/>
    <n v="1718.1"/>
    <n v="1618.63"/>
    <n v="313.83999999999997"/>
    <n v="-931.64"/>
    <n v="174.89"/>
    <n v="734.87"/>
    <n v="621.13"/>
    <n v="1050"/>
    <n v="7444.2100000000009"/>
    <n v="-428.87"/>
  </r>
  <r>
    <x v="5"/>
    <x v="4"/>
    <x v="0"/>
    <s v="5100103"/>
    <n v="700084"/>
    <s v="Accrued PTO"/>
    <s v="Pharmacy"/>
    <x v="0"/>
    <m/>
    <n v="3232.69"/>
    <n v="-3122.91"/>
    <n v="-952.88"/>
    <n v="11915.93"/>
    <n v="-461.15"/>
    <n v="2000.1"/>
    <n v="4878.54"/>
    <n v="1061.04"/>
    <n v="7658.61"/>
    <n v="-884.75"/>
    <n v="-2362.44"/>
    <n v="1496.82"/>
    <n v="24459.600000000002"/>
    <n v="-3859.26"/>
  </r>
  <r>
    <x v="10"/>
    <x v="4"/>
    <x v="0"/>
    <s v="5100103"/>
    <n v="710060"/>
    <s v="Contract Labor-Other"/>
    <s v="Pharmacy"/>
    <x v="0"/>
    <m/>
    <n v="0"/>
    <n v="0"/>
    <n v="0"/>
    <n v="0"/>
    <n v="0"/>
    <n v="0"/>
    <n v="0"/>
    <n v="0"/>
    <n v="0"/>
    <n v="525.96"/>
    <n v="0"/>
    <n v="0"/>
    <n v="525.96"/>
    <n v="0"/>
  </r>
  <r>
    <x v="6"/>
    <x v="4"/>
    <x v="0"/>
    <s v="5100103"/>
    <n v="713010"/>
    <s v="Benefits-FICA/Medicare"/>
    <s v="Pharmacy"/>
    <x v="0"/>
    <m/>
    <n v="13323.61"/>
    <n v="12614.84"/>
    <n v="12650.87"/>
    <n v="12240.42"/>
    <n v="8398.81"/>
    <n v="10284.84"/>
    <n v="13231.02"/>
    <n v="13063.91"/>
    <n v="13491.76"/>
    <n v="13935.46"/>
    <n v="13635.67"/>
    <n v="13994.98"/>
    <n v="150866.19000000003"/>
    <n v="-359.30999999999949"/>
  </r>
  <r>
    <x v="6"/>
    <x v="4"/>
    <x v="0"/>
    <s v="5100103"/>
    <n v="713090"/>
    <s v="Benefits-Allocated Amounts"/>
    <s v="Pharmacy"/>
    <x v="0"/>
    <m/>
    <n v="27426.54"/>
    <n v="22581.39"/>
    <n v="24982.51"/>
    <n v="24783.94"/>
    <n v="26615.17"/>
    <n v="26110.21"/>
    <n v="27238.19"/>
    <n v="27467.09"/>
    <n v="26670.34"/>
    <n v="29947.51"/>
    <n v="27876.93"/>
    <n v="30047.51"/>
    <n v="321747.33"/>
    <n v="-2170.5799999999981"/>
  </r>
  <r>
    <x v="21"/>
    <x v="4"/>
    <x v="0"/>
    <s v="5100103"/>
    <n v="716046"/>
    <s v="Consulting-Other"/>
    <s v="Pharmacy"/>
    <x v="0"/>
    <m/>
    <n v="0"/>
    <n v="0"/>
    <n v="0"/>
    <n v="0"/>
    <n v="0"/>
    <n v="0"/>
    <n v="0"/>
    <n v="0"/>
    <n v="0"/>
    <n v="0"/>
    <n v="0"/>
    <n v="0"/>
    <n v="0"/>
    <n v="0"/>
  </r>
  <r>
    <x v="7"/>
    <x v="4"/>
    <x v="0"/>
    <s v="5100103"/>
    <n v="718050"/>
    <s v="Contract Svcs-Other"/>
    <s v="Pharmacy"/>
    <x v="0"/>
    <m/>
    <n v="0"/>
    <n v="1193.08"/>
    <n v="1058.99"/>
    <n v="596.54"/>
    <n v="835.74"/>
    <n v="596.54"/>
    <n v="596.54"/>
    <n v="596.54"/>
    <n v="2032.03"/>
    <n v="6556.65"/>
    <n v="380.34"/>
    <n v="598.16999999999996"/>
    <n v="15041.159999999998"/>
    <n v="-217.82999999999998"/>
  </r>
  <r>
    <x v="7"/>
    <x v="4"/>
    <x v="0"/>
    <s v="5100103"/>
    <n v="718050"/>
    <s v="Document Shredding/Storage"/>
    <s v="Pharmacy"/>
    <x v="0"/>
    <n v="1012"/>
    <n v="109.25"/>
    <n v="-134.1"/>
    <n v="100.91"/>
    <n v="64.52"/>
    <n v="-46.47"/>
    <n v="28.13"/>
    <n v="27.84"/>
    <n v="23.91"/>
    <n v="24.76"/>
    <n v="32.39"/>
    <n v="27.22"/>
    <n v="28.13"/>
    <n v="286.49"/>
    <n v="-0.91000000000000014"/>
  </r>
  <r>
    <x v="7"/>
    <x v="4"/>
    <x v="0"/>
    <s v="5100103"/>
    <n v="718050"/>
    <s v="Miscellaneous Purchased Svcs"/>
    <s v="Pharmacy"/>
    <x v="0"/>
    <n v="1020"/>
    <n v="5668.32"/>
    <n v="4115.3500000000004"/>
    <n v="1215.0899999999999"/>
    <n v="8472.2900000000009"/>
    <n v="3221.53"/>
    <n v="3300.45"/>
    <n v="23576.57"/>
    <n v="21517.919999999998"/>
    <n v="2647.39"/>
    <n v="2570.7800000000002"/>
    <n v="7079.12"/>
    <n v="4331.0200000000004"/>
    <n v="87715.83"/>
    <n v="2748.0999999999995"/>
  </r>
  <r>
    <x v="7"/>
    <x v="4"/>
    <x v="0"/>
    <s v="5100103"/>
    <n v="718050"/>
    <s v="Translation Services"/>
    <s v="Pharmacy"/>
    <x v="0"/>
    <n v="1025"/>
    <n v="0"/>
    <n v="0"/>
    <n v="37.26"/>
    <n v="0"/>
    <n v="0"/>
    <n v="0"/>
    <n v="0"/>
    <n v="0"/>
    <n v="0"/>
    <n v="127.19"/>
    <n v="0"/>
    <n v="0"/>
    <n v="164.45"/>
    <n v="0"/>
  </r>
  <r>
    <x v="7"/>
    <x v="4"/>
    <x v="0"/>
    <s v="5100103"/>
    <n v="718070"/>
    <s v="Contract Srvcs-CHI Clinical Engineering"/>
    <s v="Pharmacy"/>
    <x v="0"/>
    <m/>
    <n v="2488"/>
    <n v="2488"/>
    <n v="-2488"/>
    <n v="2488"/>
    <n v="2488"/>
    <n v="2488"/>
    <n v="2488"/>
    <n v="2488"/>
    <n v="2488"/>
    <n v="2488"/>
    <n v="2488"/>
    <n v="2488"/>
    <n v="24880"/>
    <n v="0"/>
  </r>
  <r>
    <x v="7"/>
    <x v="4"/>
    <x v="0"/>
    <s v="5100103"/>
    <n v="718091"/>
    <s v="Contract Services-Intracompany Allocation"/>
    <s v="Pharmacy"/>
    <x v="0"/>
    <m/>
    <n v="15182.19"/>
    <n v="14779.81"/>
    <n v="15298.08"/>
    <n v="15038.63"/>
    <n v="14882.26"/>
    <n v="13492.32"/>
    <n v="15542.26"/>
    <n v="14016.07"/>
    <n v="16155.75"/>
    <n v="13983.8"/>
    <n v="17463.5"/>
    <n v="15094.67"/>
    <n v="180929.34"/>
    <n v="2368.83"/>
  </r>
  <r>
    <x v="11"/>
    <x v="4"/>
    <x v="0"/>
    <s v="5100103"/>
    <n v="721010"/>
    <s v="Supplies-Medical - Billable"/>
    <s v="Pharmacy"/>
    <x v="0"/>
    <m/>
    <n v="0"/>
    <n v="41.55"/>
    <n v="27.7"/>
    <n v="6.93"/>
    <n v="0"/>
    <n v="0"/>
    <n v="98.85"/>
    <n v="0"/>
    <n v="17.27"/>
    <n v="29.13"/>
    <n v="13.85"/>
    <n v="13.85"/>
    <n v="249.13"/>
    <n v="0"/>
  </r>
  <r>
    <x v="11"/>
    <x v="4"/>
    <x v="0"/>
    <s v="5100103"/>
    <n v="721020"/>
    <s v="Supplies-Surgical - Billable"/>
    <s v="Pharmacy"/>
    <x v="0"/>
    <m/>
    <n v="409.55"/>
    <n v="6143.25"/>
    <n v="0"/>
    <n v="409.55"/>
    <n v="4095.5"/>
    <n v="0"/>
    <n v="0"/>
    <n v="2047.75"/>
    <n v="2047.75"/>
    <n v="0"/>
    <n v="3276.4"/>
    <n v="0"/>
    <n v="18429.75"/>
    <n v="3276.4"/>
  </r>
  <r>
    <x v="11"/>
    <x v="4"/>
    <x v="0"/>
    <s v="5100103"/>
    <n v="721020"/>
    <s v="Custom Packs"/>
    <s v="Pharmacy"/>
    <x v="0"/>
    <n v="1000"/>
    <n v="0"/>
    <n v="60"/>
    <n v="0"/>
    <n v="0"/>
    <n v="0"/>
    <n v="0"/>
    <n v="0"/>
    <n v="0"/>
    <n v="0"/>
    <n v="0"/>
    <n v="0"/>
    <n v="0"/>
    <n v="60"/>
    <n v="0"/>
  </r>
  <r>
    <x v="11"/>
    <x v="4"/>
    <x v="0"/>
    <s v="5100103"/>
    <n v="721020"/>
    <s v="Suture/Wound Closure"/>
    <s v="Pharmacy"/>
    <x v="0"/>
    <n v="1001"/>
    <n v="1954.24"/>
    <n v="956.67"/>
    <n v="1275.56"/>
    <n v="956.67"/>
    <n v="1076.5999999999999"/>
    <n v="2788.21"/>
    <n v="1117.5"/>
    <n v="757.71"/>
    <n v="1139.8"/>
    <n v="284.95"/>
    <n v="1610.89"/>
    <n v="950.79"/>
    <n v="14869.59"/>
    <n v="660.10000000000014"/>
  </r>
  <r>
    <x v="11"/>
    <x v="4"/>
    <x v="0"/>
    <s v="5100103"/>
    <n v="721240"/>
    <s v="Supplies-IV Solutions/Supplies - Billable"/>
    <s v="Pharmacy"/>
    <x v="0"/>
    <m/>
    <n v="23266.52"/>
    <n v="23471.52"/>
    <n v="25322.35"/>
    <n v="26916.53"/>
    <n v="23306.61"/>
    <n v="26900.61"/>
    <n v="25452.23"/>
    <n v="25595.38"/>
    <n v="27363.279999999999"/>
    <n v="27302.02"/>
    <n v="26698.95"/>
    <n v="22826.54"/>
    <n v="304422.53999999998"/>
    <n v="3872.41"/>
  </r>
  <r>
    <x v="11"/>
    <x v="4"/>
    <x v="0"/>
    <s v="5100103"/>
    <n v="721250"/>
    <s v="Supplies-Pharmacy Drugs - Billable"/>
    <s v="Pharmacy"/>
    <x v="0"/>
    <m/>
    <n v="230758.62"/>
    <n v="245581.43"/>
    <n v="283876.23"/>
    <n v="125928.31"/>
    <n v="189979.51999999999"/>
    <n v="209887.52"/>
    <n v="233600.05"/>
    <n v="203126.65"/>
    <n v="261960.67"/>
    <n v="206141.31"/>
    <n v="103303.51"/>
    <n v="148626.09"/>
    <n v="2442769.9099999997"/>
    <n v="-45322.58"/>
  </r>
  <r>
    <x v="11"/>
    <x v="4"/>
    <x v="0"/>
    <s v="5100103"/>
    <n v="721250"/>
    <s v="OP Pharmacy Drugs"/>
    <s v="Pharmacy"/>
    <x v="0"/>
    <n v="1002"/>
    <n v="8703.16"/>
    <n v="32784.589999999997"/>
    <n v="2248.7199999999998"/>
    <n v="4882.5"/>
    <n v="4599.45"/>
    <n v="5504.15"/>
    <n v="21513.84"/>
    <n v="11408.19"/>
    <n v="21816.46"/>
    <n v="11565.29"/>
    <n v="6281.16"/>
    <n v="7160.72"/>
    <n v="138468.23000000001"/>
    <n v="-879.5600000000004"/>
  </r>
  <r>
    <x v="11"/>
    <x v="4"/>
    <x v="0"/>
    <s v="5100103"/>
    <n v="721251"/>
    <s v="Supplies-340B Pharmacy Drugs - Billable"/>
    <s v="Pharmacy"/>
    <x v="0"/>
    <m/>
    <n v="310676.26"/>
    <n v="293549.88"/>
    <n v="301859.62"/>
    <n v="418019.69"/>
    <n v="570230.82999999996"/>
    <n v="316070.93"/>
    <n v="314785.55"/>
    <n v="272039.96999999997"/>
    <n v="296642.90000000002"/>
    <n v="290478.34999999998"/>
    <n v="364540.53"/>
    <n v="390453.41"/>
    <n v="4139347.92"/>
    <n v="-25912.879999999946"/>
  </r>
  <r>
    <x v="11"/>
    <x v="4"/>
    <x v="0"/>
    <s v="5100103"/>
    <n v="721410"/>
    <s v="Supplies-Medical - Nonbillable"/>
    <s v="Pharmacy"/>
    <x v="0"/>
    <m/>
    <n v="1713.14"/>
    <n v="3391.39"/>
    <n v="3285.27"/>
    <n v="3535.82"/>
    <n v="3076.4"/>
    <n v="3065.63"/>
    <n v="3159.91"/>
    <n v="3093.78"/>
    <n v="3143.54"/>
    <n v="3047.92"/>
    <n v="3400.63"/>
    <n v="2265.13"/>
    <n v="36178.55999999999"/>
    <n v="1135.5"/>
  </r>
  <r>
    <x v="11"/>
    <x v="4"/>
    <x v="0"/>
    <s v="5100103"/>
    <n v="721420"/>
    <s v="Supplies-Surgical Nonbillable"/>
    <s v="Pharmacy"/>
    <x v="0"/>
    <m/>
    <n v="0"/>
    <n v="12.29"/>
    <n v="18.45"/>
    <n v="0"/>
    <n v="0"/>
    <n v="12.3"/>
    <n v="0"/>
    <n v="30.75"/>
    <n v="0"/>
    <n v="12.3"/>
    <n v="24.6"/>
    <n v="0"/>
    <n v="110.69"/>
    <n v="24.6"/>
  </r>
  <r>
    <x v="11"/>
    <x v="4"/>
    <x v="0"/>
    <s v="5100103"/>
    <n v="721610"/>
    <s v="Supplies-Anesthesia - Nonbillable"/>
    <s v="Pharmacy"/>
    <x v="0"/>
    <m/>
    <n v="826.88"/>
    <n v="285.67"/>
    <n v="310.39999999999998"/>
    <n v="1499.2"/>
    <n v="827.2"/>
    <n v="827.2"/>
    <n v="827.2"/>
    <n v="827.2"/>
    <n v="459.22"/>
    <n v="155.19999999999999"/>
    <n v="0"/>
    <n v="24.73"/>
    <n v="6870.0999999999985"/>
    <n v="-24.73"/>
  </r>
  <r>
    <x v="11"/>
    <x v="4"/>
    <x v="0"/>
    <s v="5100103"/>
    <n v="721640"/>
    <s v="Supplies-IV Solutions/Supplies - Nonbillable"/>
    <s v="Pharmacy"/>
    <x v="0"/>
    <m/>
    <n v="0"/>
    <n v="192.43"/>
    <n v="152.85"/>
    <n v="156.63"/>
    <n v="138.28"/>
    <n v="127.28"/>
    <n v="385.18"/>
    <n v="373.01"/>
    <n v="388.76"/>
    <n v="201.42"/>
    <n v="137.47999999999999"/>
    <n v="80.87"/>
    <n v="2334.1899999999996"/>
    <n v="56.609999999999985"/>
  </r>
  <r>
    <x v="11"/>
    <x v="4"/>
    <x v="0"/>
    <s v="5100103"/>
    <n v="721650"/>
    <s v="Supplies-Pharmacy Drugs - Nonbillable"/>
    <s v="Pharmacy"/>
    <x v="0"/>
    <m/>
    <n v="32.74"/>
    <n v="0"/>
    <n v="0"/>
    <n v="0"/>
    <n v="0"/>
    <n v="0"/>
    <n v="0"/>
    <n v="0"/>
    <n v="0"/>
    <n v="0"/>
    <n v="0"/>
    <n v="0"/>
    <n v="32.74"/>
    <n v="0"/>
  </r>
  <r>
    <x v="11"/>
    <x v="4"/>
    <x v="0"/>
    <s v="5100103"/>
    <n v="721710"/>
    <s v="Supplies-Laboratory - Nonbillable"/>
    <s v="Pharmacy"/>
    <x v="0"/>
    <m/>
    <n v="295.36"/>
    <n v="135.63"/>
    <n v="14.96"/>
    <n v="208.05"/>
    <n v="196.74"/>
    <n v="10.29"/>
    <n v="113.53"/>
    <n v="319.48"/>
    <n v="167.21"/>
    <n v="20.53"/>
    <n v="301.68"/>
    <n v="405.17"/>
    <n v="2188.63"/>
    <n v="-103.49000000000001"/>
  </r>
  <r>
    <x v="11"/>
    <x v="4"/>
    <x v="0"/>
    <s v="5100103"/>
    <n v="721810"/>
    <s v="Supplies-Dietary/Cafeteria"/>
    <s v="Pharmacy"/>
    <x v="0"/>
    <m/>
    <n v="87.61"/>
    <n v="144.04"/>
    <n v="0"/>
    <n v="137.27000000000001"/>
    <n v="165.13"/>
    <n v="165.13"/>
    <n v="79.22"/>
    <n v="7.98"/>
    <n v="7.16"/>
    <n v="124.17"/>
    <n v="32.67"/>
    <n v="127.43"/>
    <n v="1077.81"/>
    <n v="-94.76"/>
  </r>
  <r>
    <x v="11"/>
    <x v="4"/>
    <x v="0"/>
    <s v="5100103"/>
    <n v="721830"/>
    <s v="Supplies-Office"/>
    <s v="Pharmacy"/>
    <x v="0"/>
    <m/>
    <n v="424.17"/>
    <n v="812.38"/>
    <n v="174.96"/>
    <n v="371.61"/>
    <n v="343.11"/>
    <n v="651.52"/>
    <n v="116.41"/>
    <n v="298.60000000000002"/>
    <n v="458.86"/>
    <n v="547.79"/>
    <n v="499.5"/>
    <n v="0"/>
    <n v="4698.91"/>
    <n v="499.5"/>
  </r>
  <r>
    <x v="11"/>
    <x v="4"/>
    <x v="0"/>
    <s v="5100103"/>
    <n v="721835"/>
    <s v="Supplies-Forms"/>
    <s v="Pharmacy"/>
    <x v="0"/>
    <m/>
    <n v="0"/>
    <n v="0"/>
    <n v="0"/>
    <n v="0"/>
    <n v="18.649999999999999"/>
    <n v="0"/>
    <n v="0"/>
    <n v="0"/>
    <n v="0"/>
    <n v="15"/>
    <n v="0"/>
    <n v="0"/>
    <n v="33.65"/>
    <n v="0"/>
  </r>
  <r>
    <x v="11"/>
    <x v="4"/>
    <x v="0"/>
    <s v="5100103"/>
    <n v="721870"/>
    <s v="Supplies-Environmental Services"/>
    <s v="Pharmacy"/>
    <x v="0"/>
    <m/>
    <n v="188.41"/>
    <n v="774.07"/>
    <n v="244.08"/>
    <n v="663.72"/>
    <n v="87.89"/>
    <n v="569.72"/>
    <n v="479.15"/>
    <n v="349.48"/>
    <n v="185.4"/>
    <n v="350.98"/>
    <n v="669.93"/>
    <n v="5.19"/>
    <n v="4568.0200000000004"/>
    <n v="664.7399999999999"/>
  </r>
  <r>
    <x v="11"/>
    <x v="4"/>
    <x v="0"/>
    <s v="5100103"/>
    <n v="721910"/>
    <s v="Supplies-Small Equipment"/>
    <s v="Pharmacy"/>
    <x v="0"/>
    <m/>
    <n v="203.01"/>
    <n v="2087.4499999999998"/>
    <n v="3.84"/>
    <n v="2717.93"/>
    <n v="882.87"/>
    <n v="124"/>
    <n v="637.44000000000005"/>
    <n v="2772.65"/>
    <n v="1940.56"/>
    <n v="10.56"/>
    <n v="185.18"/>
    <n v="-2.0499999999999998"/>
    <n v="11563.439999999999"/>
    <n v="187.23000000000002"/>
  </r>
  <r>
    <x v="11"/>
    <x v="4"/>
    <x v="0"/>
    <s v="5100103"/>
    <n v="721980"/>
    <s v="Supplies-Other"/>
    <s v="Pharmacy"/>
    <x v="0"/>
    <m/>
    <n v="0"/>
    <n v="2372.15"/>
    <n v="1085.98"/>
    <n v="5095.22"/>
    <n v="0"/>
    <n v="122.07"/>
    <n v="0"/>
    <n v="0"/>
    <n v="1651"/>
    <n v="0"/>
    <n v="0"/>
    <n v="0"/>
    <n v="10326.42"/>
    <n v="0"/>
  </r>
  <r>
    <x v="11"/>
    <x v="4"/>
    <x v="0"/>
    <s v="5100103"/>
    <n v="722000"/>
    <s v="Supplies-Freight Expense"/>
    <s v="Pharmacy"/>
    <x v="0"/>
    <m/>
    <n v="-17.21"/>
    <n v="535.99"/>
    <n v="151.75"/>
    <n v="82.95"/>
    <n v="90.56"/>
    <n v="235.33"/>
    <n v="52.27"/>
    <n v="26.12"/>
    <n v="184.55"/>
    <n v="91.89"/>
    <n v="38.31"/>
    <n v="204.21"/>
    <n v="1676.7199999999998"/>
    <n v="-165.9"/>
  </r>
  <r>
    <x v="11"/>
    <x v="4"/>
    <x v="0"/>
    <s v="5100103"/>
    <n v="723000"/>
    <s v="Supply Rebates/Patronage Dividend"/>
    <s v="Pharmacy"/>
    <x v="0"/>
    <m/>
    <n v="0"/>
    <n v="0"/>
    <n v="-2489.91"/>
    <n v="0"/>
    <n v="0"/>
    <n v="-7310.5"/>
    <n v="0"/>
    <n v="0"/>
    <n v="-4858.3100000000004"/>
    <n v="0"/>
    <n v="0"/>
    <n v="-2180.5100000000002"/>
    <n v="-16839.230000000003"/>
    <n v="2180.5100000000002"/>
  </r>
  <r>
    <x v="12"/>
    <x v="4"/>
    <x v="0"/>
    <s v="5100103"/>
    <n v="730020"/>
    <s v="Rental and Leases-Equipment (DO NOT USE)"/>
    <s v="Pharmacy"/>
    <x v="0"/>
    <m/>
    <n v="0"/>
    <n v="0"/>
    <n v="0"/>
    <n v="6988.65"/>
    <n v="0"/>
    <n v="0"/>
    <n v="423.94"/>
    <n v="0"/>
    <n v="847.88"/>
    <n v="0"/>
    <n v="423.94"/>
    <n v="847.88"/>
    <n v="9532.2899999999991"/>
    <n v="-423.94"/>
  </r>
  <r>
    <x v="12"/>
    <x v="4"/>
    <x v="0"/>
    <s v="5100103"/>
    <n v="730020"/>
    <s v="Rental and Leases-Copier Usage Fees (DO NOT USE)"/>
    <s v="Pharmacy"/>
    <x v="0"/>
    <n v="5100"/>
    <n v="455.46"/>
    <n v="460.69"/>
    <n v="458.08"/>
    <n v="458.08"/>
    <n v="458.08"/>
    <n v="458.08"/>
    <n v="1129.06"/>
    <n v="429.92"/>
    <n v="1160.67"/>
    <n v="766.4"/>
    <n v="652.48"/>
    <n v="669.49"/>
    <n v="7556.49"/>
    <n v="-17.009999999999991"/>
  </r>
  <r>
    <x v="15"/>
    <x v="4"/>
    <x v="0"/>
    <s v="5100103"/>
    <n v="731060"/>
    <s v="Telephone"/>
    <s v="Pharmacy"/>
    <x v="0"/>
    <m/>
    <n v="0"/>
    <n v="0"/>
    <n v="0"/>
    <n v="0"/>
    <n v="39"/>
    <n v="0"/>
    <n v="3.94"/>
    <n v="0"/>
    <n v="0"/>
    <n v="0"/>
    <n v="0"/>
    <n v="0"/>
    <n v="42.94"/>
    <n v="0"/>
  </r>
  <r>
    <x v="15"/>
    <x v="4"/>
    <x v="0"/>
    <s v="5100103"/>
    <n v="731060"/>
    <s v="Cell Phones"/>
    <s v="Pharmacy"/>
    <x v="0"/>
    <n v="1001"/>
    <n v="0"/>
    <n v="54.66"/>
    <n v="26.81"/>
    <n v="0"/>
    <n v="26.93"/>
    <n v="27.5"/>
    <n v="57.19"/>
    <n v="0"/>
    <n v="27.55"/>
    <n v="55"/>
    <n v="26.91"/>
    <n v="27.52"/>
    <n v="330.07"/>
    <n v="-0.60999999999999943"/>
  </r>
  <r>
    <x v="15"/>
    <x v="4"/>
    <x v="0"/>
    <s v="5100103"/>
    <n v="731060"/>
    <s v="Pagers"/>
    <s v="Pharmacy"/>
    <x v="0"/>
    <n v="1002"/>
    <n v="45"/>
    <n v="45"/>
    <n v="45"/>
    <n v="45.1"/>
    <n v="71.02"/>
    <n v="0"/>
    <n v="64.959999999999994"/>
    <n v="32.479999999999997"/>
    <n v="32.479999999999997"/>
    <n v="32.479999999999997"/>
    <n v="32.479999999999997"/>
    <n v="32.479999999999997"/>
    <n v="478.48000000000008"/>
    <n v="0"/>
  </r>
  <r>
    <x v="16"/>
    <x v="4"/>
    <x v="0"/>
    <s v="5100103"/>
    <n v="732020"/>
    <s v="Repairs--Clin Equip-Parts-Internal to CHI Programs"/>
    <s v="Pharmacy"/>
    <x v="0"/>
    <m/>
    <n v="370.6"/>
    <n v="0"/>
    <n v="457.82"/>
    <n v="457.82"/>
    <n v="124.64"/>
    <n v="124.64"/>
    <n v="0"/>
    <n v="0"/>
    <n v="124.64"/>
    <n v="0"/>
    <n v="135.99"/>
    <n v="0"/>
    <n v="1796.1500000000003"/>
    <n v="135.99"/>
  </r>
  <r>
    <x v="16"/>
    <x v="4"/>
    <x v="0"/>
    <s v="5100103"/>
    <n v="732030"/>
    <s v="Repairs---Other"/>
    <s v="Pharmacy"/>
    <x v="0"/>
    <m/>
    <n v="0"/>
    <n v="0"/>
    <n v="0"/>
    <n v="0"/>
    <n v="0"/>
    <n v="0"/>
    <n v="0"/>
    <n v="949.93"/>
    <n v="0"/>
    <n v="0"/>
    <n v="3655"/>
    <n v="4022.74"/>
    <n v="8627.67"/>
    <n v="-367.73999999999978"/>
  </r>
  <r>
    <x v="16"/>
    <x v="4"/>
    <x v="0"/>
    <s v="5100103"/>
    <n v="733030"/>
    <s v="Maintenance Contracts-Other"/>
    <s v="Pharmacy"/>
    <x v="0"/>
    <m/>
    <n v="0"/>
    <n v="0"/>
    <n v="0"/>
    <n v="1360"/>
    <n v="0"/>
    <n v="0"/>
    <n v="0"/>
    <n v="0"/>
    <n v="0"/>
    <n v="0"/>
    <n v="0"/>
    <n v="0"/>
    <n v="1360"/>
    <n v="0"/>
  </r>
  <r>
    <x v="13"/>
    <x v="4"/>
    <x v="0"/>
    <s v="5100103"/>
    <n v="735050"/>
    <s v="Amortization-Leasehold Improvements"/>
    <s v="Pharmacy"/>
    <x v="0"/>
    <m/>
    <n v="89.12"/>
    <n v="89.12"/>
    <n v="89.12"/>
    <n v="89.12"/>
    <n v="89.12"/>
    <n v="89.12"/>
    <n v="89.12"/>
    <n v="89.12"/>
    <n v="89.13"/>
    <n v="89.12"/>
    <n v="89.13"/>
    <n v="89.12"/>
    <n v="1069.46"/>
    <n v="9.9999999999909051E-3"/>
  </r>
  <r>
    <x v="13"/>
    <x v="4"/>
    <x v="0"/>
    <s v="5100103"/>
    <n v="735060"/>
    <s v="Depreciation-Fixed Equipment"/>
    <s v="Pharmacy"/>
    <x v="0"/>
    <m/>
    <n v="389.81"/>
    <n v="582.91"/>
    <n v="1523.26"/>
    <n v="943.94"/>
    <n v="1330.15"/>
    <n v="1330.14"/>
    <n v="1463.23"/>
    <n v="1463.22"/>
    <n v="1463.23"/>
    <n v="1463.2"/>
    <n v="1463.24"/>
    <n v="1463.2"/>
    <n v="14879.53"/>
    <n v="3.999999999996362E-2"/>
  </r>
  <r>
    <x v="13"/>
    <x v="4"/>
    <x v="0"/>
    <s v="5100103"/>
    <n v="735070"/>
    <s v="Depreciation-Movable Equipment"/>
    <s v="Pharmacy"/>
    <x v="0"/>
    <m/>
    <n v="8843.51"/>
    <n v="9040.57"/>
    <n v="9040.58"/>
    <n v="9040.57"/>
    <n v="9040.58"/>
    <n v="9040.56"/>
    <n v="9040.59"/>
    <n v="9040.5499999999993"/>
    <n v="9040.59"/>
    <n v="9040.5400000000009"/>
    <n v="9040.61"/>
    <n v="9040.5400000000009"/>
    <n v="108289.79000000001"/>
    <n v="6.9999999999708962E-2"/>
  </r>
  <r>
    <x v="0"/>
    <x v="4"/>
    <x v="0"/>
    <s v="5100103"/>
    <n v="740020"/>
    <s v="Education-Registration Fees"/>
    <s v="Pharmacy"/>
    <x v="0"/>
    <m/>
    <n v="0"/>
    <n v="335"/>
    <n v="0"/>
    <n v="25"/>
    <n v="0"/>
    <n v="0"/>
    <n v="0"/>
    <n v="0"/>
    <n v="0"/>
    <n v="0"/>
    <n v="175"/>
    <n v="0"/>
    <n v="535"/>
    <n v="175"/>
  </r>
  <r>
    <x v="0"/>
    <x v="4"/>
    <x v="0"/>
    <s v="5100103"/>
    <n v="742030"/>
    <s v="Freight-Courier"/>
    <s v="Pharmacy"/>
    <x v="0"/>
    <m/>
    <n v="0"/>
    <n v="0"/>
    <n v="0"/>
    <n v="0"/>
    <n v="0"/>
    <n v="0"/>
    <n v="28"/>
    <n v="0"/>
    <n v="0"/>
    <n v="440"/>
    <n v="400"/>
    <n v="1523"/>
    <n v="2391"/>
    <n v="-1123"/>
  </r>
  <r>
    <x v="0"/>
    <x v="4"/>
    <x v="0"/>
    <s v="5100103"/>
    <n v="742040"/>
    <s v="Freight-Other"/>
    <s v="Pharmacy"/>
    <x v="0"/>
    <m/>
    <n v="0"/>
    <n v="0"/>
    <n v="0"/>
    <n v="1040"/>
    <n v="0"/>
    <n v="0"/>
    <n v="0"/>
    <n v="0"/>
    <n v="0"/>
    <n v="0"/>
    <n v="0"/>
    <n v="920"/>
    <n v="1960"/>
    <n v="-920"/>
  </r>
  <r>
    <x v="0"/>
    <x v="4"/>
    <x v="0"/>
    <s v="5100103"/>
    <n v="743020"/>
    <s v="Dues--Individual"/>
    <s v="Pharmacy"/>
    <x v="0"/>
    <m/>
    <n v="0"/>
    <n v="0"/>
    <n v="1079.5"/>
    <n v="0"/>
    <n v="0"/>
    <n v="499"/>
    <n v="0"/>
    <n v="0"/>
    <n v="0"/>
    <n v="0"/>
    <n v="0"/>
    <n v="0"/>
    <n v="1578.5"/>
    <n v="0"/>
  </r>
  <r>
    <x v="0"/>
    <x v="4"/>
    <x v="0"/>
    <s v="5100103"/>
    <n v="743030"/>
    <s v="Subscriptions--Institutional"/>
    <s v="Pharmacy"/>
    <x v="0"/>
    <m/>
    <n v="0"/>
    <n v="0"/>
    <n v="0"/>
    <n v="165.15"/>
    <n v="290.7"/>
    <n v="0"/>
    <n v="0"/>
    <n v="0"/>
    <n v="0"/>
    <n v="351.3"/>
    <n v="0"/>
    <n v="0"/>
    <n v="807.15000000000009"/>
    <n v="0"/>
  </r>
  <r>
    <x v="0"/>
    <x v="4"/>
    <x v="0"/>
    <s v="5100103"/>
    <n v="749510"/>
    <s v="Miscellaneous Expenses"/>
    <s v="Pharmacy"/>
    <x v="0"/>
    <m/>
    <n v="333.23"/>
    <n v="541.62"/>
    <n v="1136.3800000000001"/>
    <n v="231.38"/>
    <n v="646.30999999999995"/>
    <n v="432.65"/>
    <n v="0"/>
    <n v="1354.8"/>
    <n v="2500.39"/>
    <n v="513.61"/>
    <n v="323.22000000000003"/>
    <n v="842.08"/>
    <n v="8855.67"/>
    <n v="-518.86"/>
  </r>
  <r>
    <x v="0"/>
    <x v="4"/>
    <x v="0"/>
    <s v="5100103"/>
    <n v="749510"/>
    <s v="Licenses"/>
    <s v="Pharmacy"/>
    <x v="0"/>
    <n v="1002"/>
    <n v="0"/>
    <n v="0"/>
    <n v="0"/>
    <n v="0"/>
    <n v="0"/>
    <n v="0"/>
    <n v="0"/>
    <n v="0"/>
    <n v="0"/>
    <n v="790"/>
    <n v="5"/>
    <n v="542.5"/>
    <n v="1337.5"/>
    <n v="-537.5"/>
  </r>
  <r>
    <x v="0"/>
    <x v="4"/>
    <x v="0"/>
    <s v="5100103"/>
    <n v="749510"/>
    <s v="RICE Rewards"/>
    <s v="Pharmacy"/>
    <x v="0"/>
    <n v="5100"/>
    <n v="0"/>
    <n v="0"/>
    <n v="0"/>
    <n v="124.06"/>
    <n v="0"/>
    <n v="64.94"/>
    <n v="3965.24"/>
    <n v="0"/>
    <n v="0"/>
    <n v="0"/>
    <n v="146.27000000000001"/>
    <n v="-3718.91"/>
    <n v="581.60000000000036"/>
    <n v="3865.18"/>
  </r>
  <r>
    <x v="0"/>
    <x v="4"/>
    <x v="0"/>
    <s v="5100103"/>
    <n v="749530"/>
    <s v="Travel"/>
    <s v="Pharmacy"/>
    <x v="0"/>
    <m/>
    <n v="0"/>
    <n v="0"/>
    <n v="0"/>
    <n v="198.9"/>
    <n v="0"/>
    <n v="0"/>
    <n v="229.53"/>
    <n v="0"/>
    <n v="0"/>
    <n v="0"/>
    <n v="0"/>
    <n v="0"/>
    <n v="428.43"/>
    <n v="0"/>
  </r>
  <r>
    <x v="0"/>
    <x v="4"/>
    <x v="0"/>
    <s v="5100103"/>
    <n v="749530"/>
    <s v="Mileage"/>
    <s v="Pharmacy"/>
    <x v="0"/>
    <n v="1001"/>
    <n v="171.18"/>
    <n v="0"/>
    <n v="15.26"/>
    <n v="0"/>
    <n v="0"/>
    <n v="27.25"/>
    <n v="31.61"/>
    <n v="0"/>
    <n v="0"/>
    <n v="0"/>
    <n v="0"/>
    <n v="104.4"/>
    <n v="349.70000000000005"/>
    <n v="-104.4"/>
  </r>
  <r>
    <x v="0"/>
    <x v="4"/>
    <x v="0"/>
    <s v="5100103"/>
    <n v="749535"/>
    <s v="Meetings"/>
    <s v="Pharmacy"/>
    <x v="0"/>
    <m/>
    <n v="0"/>
    <n v="0"/>
    <n v="0"/>
    <n v="455"/>
    <n v="0"/>
    <n v="0"/>
    <n v="0"/>
    <n v="0"/>
    <n v="0"/>
    <n v="0"/>
    <n v="0"/>
    <n v="0"/>
    <n v="455"/>
    <n v="0"/>
  </r>
  <r>
    <x v="0"/>
    <x v="4"/>
    <x v="0"/>
    <s v="5100103"/>
    <n v="766010"/>
    <s v="Property Tax"/>
    <s v="Pharmacy"/>
    <x v="0"/>
    <m/>
    <n v="0"/>
    <n v="0"/>
    <n v="0"/>
    <n v="0"/>
    <n v="0"/>
    <n v="0"/>
    <n v="0"/>
    <n v="455.67"/>
    <n v="0"/>
    <n v="0"/>
    <n v="0"/>
    <n v="0"/>
    <n v="455.67"/>
    <n v="0"/>
  </r>
  <r>
    <x v="18"/>
    <x v="8"/>
    <x v="0"/>
    <s v="5100104"/>
    <n v="400010"/>
    <s v="Acute I/P Svcs Rev--Medicare"/>
    <s v="Pharmacy"/>
    <x v="0"/>
    <n v="1100"/>
    <n v="-2690513.05"/>
    <n v="-2364424.5499999998"/>
    <n v="-2729715.65"/>
    <n v="-2568600.7999999998"/>
    <n v="-2558634.7000000002"/>
    <n v="-3333115.65"/>
    <n v="-3285852.1"/>
    <n v="-2796703.7"/>
    <n v="-3527389.45"/>
    <n v="-2716857.7"/>
    <n v="-2919673.75"/>
    <n v="-2463411.1"/>
    <n v="-33954892.199999996"/>
    <n v="-456262.64999999991"/>
  </r>
  <r>
    <x v="18"/>
    <x v="8"/>
    <x v="0"/>
    <s v="5100104"/>
    <n v="400010"/>
    <s v="Acute I/P Svcs Rev--Medicaid"/>
    <s v="Pharmacy"/>
    <x v="0"/>
    <n v="1200"/>
    <n v="-795497.3"/>
    <n v="-757482.85"/>
    <n v="-1085797.3999999999"/>
    <n v="-903777"/>
    <n v="-616482.69999999995"/>
    <n v="-714223.75"/>
    <n v="-644973.19999999995"/>
    <n v="-904487.5"/>
    <n v="-949840"/>
    <n v="-702171.8"/>
    <n v="-1093589"/>
    <n v="-937696.2"/>
    <n v="-10106018.699999999"/>
    <n v="-155892.80000000005"/>
  </r>
  <r>
    <x v="18"/>
    <x v="8"/>
    <x v="0"/>
    <s v="5100104"/>
    <n v="400010"/>
    <s v="Acute I/P Svcs Rev--Comm Insurance"/>
    <s v="Pharmacy"/>
    <x v="0"/>
    <n v="1300"/>
    <n v="-123193.85"/>
    <n v="42085.599999999999"/>
    <n v="-27548.35"/>
    <n v="-49425.9"/>
    <n v="-329787.84999999998"/>
    <n v="-79460.600000000006"/>
    <n v="-103491.35"/>
    <n v="-29857.3"/>
    <n v="-24551.55"/>
    <n v="-69504.2"/>
    <n v="-47573.8"/>
    <n v="-108769.5"/>
    <n v="-951078.65"/>
    <n v="61195.7"/>
  </r>
  <r>
    <x v="18"/>
    <x v="8"/>
    <x v="0"/>
    <s v="5100104"/>
    <n v="400010"/>
    <s v="Acute I/P Svcs Rev--BCBS Comm"/>
    <s v="Pharmacy"/>
    <x v="0"/>
    <n v="1301"/>
    <n v="-211361.3"/>
    <n v="-205676.35"/>
    <n v="-217088.55"/>
    <n v="-173593"/>
    <n v="-212401.15"/>
    <n v="-203084.95"/>
    <n v="-324098"/>
    <n v="-488540.75"/>
    <n v="-260818.5"/>
    <n v="-286461.65000000002"/>
    <n v="-267232.45"/>
    <n v="-292416.55"/>
    <n v="-3142773.1999999997"/>
    <n v="25184.099999999977"/>
  </r>
  <r>
    <x v="18"/>
    <x v="8"/>
    <x v="0"/>
    <s v="5100104"/>
    <n v="400010"/>
    <s v="Acute I/P Svcs Rev--Managed Care"/>
    <s v="Pharmacy"/>
    <x v="0"/>
    <n v="1400"/>
    <n v="-397251.45"/>
    <n v="-619535.94999999995"/>
    <n v="-804943.3"/>
    <n v="-706125.65"/>
    <n v="-408676"/>
    <n v="-684919.1"/>
    <n v="-601791.85"/>
    <n v="-1179015.45"/>
    <n v="-622631.4"/>
    <n v="-319203.84999999998"/>
    <n v="-490617.5"/>
    <n v="-380932.75"/>
    <n v="-7215644.25"/>
    <n v="-109684.75"/>
  </r>
  <r>
    <x v="18"/>
    <x v="8"/>
    <x v="0"/>
    <s v="5100104"/>
    <n v="400010"/>
    <s v="Acute I/P Svcs Rev--Self Pay"/>
    <s v="Pharmacy"/>
    <x v="0"/>
    <n v="1500"/>
    <n v="-44423.65"/>
    <n v="-59881.25"/>
    <n v="-81081.2"/>
    <n v="-106881.9"/>
    <n v="-14016.8"/>
    <n v="-91559.95"/>
    <n v="-18167.7"/>
    <n v="-12407.75"/>
    <n v="-30620.3"/>
    <n v="-21954.2"/>
    <n v="-254883.35"/>
    <n v="-35633.800000000003"/>
    <n v="-771511.85000000009"/>
    <n v="-219249.55"/>
  </r>
  <r>
    <x v="18"/>
    <x v="8"/>
    <x v="0"/>
    <s v="5100104"/>
    <n v="400010"/>
    <s v="Acute I/P Svcs Rev--Other"/>
    <s v="Pharmacy"/>
    <x v="0"/>
    <n v="1700"/>
    <n v="-157756.45000000001"/>
    <n v="-476198.75"/>
    <n v="-247057.15"/>
    <n v="-360851.3"/>
    <n v="-145547.45000000001"/>
    <n v="-179228.35"/>
    <n v="-308963.55"/>
    <n v="-224219.5"/>
    <n v="-393725.65"/>
    <n v="-422543.4"/>
    <n v="-404209.35"/>
    <n v="-539130.30000000005"/>
    <n v="-3859431.2"/>
    <n v="134920.95000000007"/>
  </r>
  <r>
    <x v="19"/>
    <x v="8"/>
    <x v="0"/>
    <s v="5100104"/>
    <n v="400020"/>
    <s v="O/P Care Svcs Rev--Medicare"/>
    <s v="Pharmacy"/>
    <x v="0"/>
    <n v="1100"/>
    <n v="-2149516.2999999998"/>
    <n v="-1929750.9"/>
    <n v="-1948165.55"/>
    <n v="-1941197.05"/>
    <n v="-2065941.5"/>
    <n v="-1460048.9"/>
    <n v="-1883548.25"/>
    <n v="-1882658.8"/>
    <n v="-2329491.2000000002"/>
    <n v="-2485859.4"/>
    <n v="-2405537.4"/>
    <n v="-2500604.15"/>
    <n v="-24982319.399999999"/>
    <n v="95066.75"/>
  </r>
  <r>
    <x v="19"/>
    <x v="8"/>
    <x v="0"/>
    <s v="5100104"/>
    <n v="400020"/>
    <s v="O/P Care Svcs Rev--Medicaid"/>
    <s v="Pharmacy"/>
    <x v="0"/>
    <n v="1200"/>
    <n v="-629731.35"/>
    <n v="-473725.8"/>
    <n v="-494051.7"/>
    <n v="-437110.1"/>
    <n v="-563133.35"/>
    <n v="-462672.95"/>
    <n v="-624619.6"/>
    <n v="-460855.8"/>
    <n v="-676833.3"/>
    <n v="-616834.25"/>
    <n v="-554469.69999999995"/>
    <n v="-531852"/>
    <n v="-6525889.9000000004"/>
    <n v="-22617.699999999953"/>
  </r>
  <r>
    <x v="19"/>
    <x v="8"/>
    <x v="0"/>
    <s v="5100104"/>
    <n v="400020"/>
    <s v="O/P Care Svcs Rev--Comm Insurance"/>
    <s v="Pharmacy"/>
    <x v="0"/>
    <n v="1300"/>
    <n v="-121152.2"/>
    <n v="-70423.45"/>
    <n v="-198650.9"/>
    <n v="-342528.85"/>
    <n v="-193110.8"/>
    <n v="-320414.75"/>
    <n v="-79902.55"/>
    <n v="-66757.45"/>
    <n v="-214925.6"/>
    <n v="-109995.25"/>
    <n v="-122677.65"/>
    <n v="-60560.55"/>
    <n v="-1901100"/>
    <n v="-62117.099999999991"/>
  </r>
  <r>
    <x v="19"/>
    <x v="8"/>
    <x v="0"/>
    <s v="5100104"/>
    <n v="400020"/>
    <s v="O/P Care Svcs Rev--BCBS Comm"/>
    <s v="Pharmacy"/>
    <x v="0"/>
    <n v="1301"/>
    <n v="-388888.05"/>
    <n v="-302487.5"/>
    <n v="-442368.8"/>
    <n v="-390332.1"/>
    <n v="-470881.3"/>
    <n v="-545365.19999999995"/>
    <n v="-445284.65"/>
    <n v="-501918.55"/>
    <n v="-492184.2"/>
    <n v="-487152.25"/>
    <n v="-675413.4"/>
    <n v="-670347.69999999995"/>
    <n v="-5812623.7000000002"/>
    <n v="-5065.7000000000698"/>
  </r>
  <r>
    <x v="19"/>
    <x v="8"/>
    <x v="0"/>
    <s v="5100104"/>
    <n v="400020"/>
    <s v="O/P Care Svcs Rev--Managed Care"/>
    <s v="Pharmacy"/>
    <x v="0"/>
    <n v="1400"/>
    <n v="-859058"/>
    <n v="-927844.3"/>
    <n v="-894396.25"/>
    <n v="-1133899.3"/>
    <n v="-1055437.1499999999"/>
    <n v="-1038271.35"/>
    <n v="-922179.25"/>
    <n v="-754114.8"/>
    <n v="-821784.25"/>
    <n v="-762306.15"/>
    <n v="-858399.15"/>
    <n v="-814995.4"/>
    <n v="-10842685.35"/>
    <n v="-43403.75"/>
  </r>
  <r>
    <x v="19"/>
    <x v="8"/>
    <x v="0"/>
    <s v="5100104"/>
    <n v="400020"/>
    <s v="O/P Care Svcs Rev--Self Pay"/>
    <s v="Pharmacy"/>
    <x v="0"/>
    <n v="1500"/>
    <n v="-65283.75"/>
    <n v="-28814.799999999999"/>
    <n v="-51292.800000000003"/>
    <n v="-34570.65"/>
    <n v="-51439.25"/>
    <n v="-27736.25"/>
    <n v="-37437.25"/>
    <n v="-53125.5"/>
    <n v="-33087.300000000003"/>
    <n v="-49010.75"/>
    <n v="-38228.25"/>
    <n v="-36252.550000000003"/>
    <n v="-506279.1"/>
    <n v="-1975.6999999999971"/>
  </r>
  <r>
    <x v="19"/>
    <x v="8"/>
    <x v="0"/>
    <s v="5100104"/>
    <n v="400020"/>
    <s v="O/P Care Svcs Rev--Other"/>
    <s v="Pharmacy"/>
    <x v="0"/>
    <n v="1700"/>
    <n v="-151589.70000000001"/>
    <n v="-264589.15000000002"/>
    <n v="-229833.3"/>
    <n v="-303765.45"/>
    <n v="-273311.75"/>
    <n v="-272106.65000000002"/>
    <n v="-284190.7"/>
    <n v="-359816.5"/>
    <n v="-222634"/>
    <n v="-281865.65000000002"/>
    <n v="-341869.35"/>
    <n v="-239549.35"/>
    <n v="-3225121.5500000003"/>
    <n v="-102319.99999999997"/>
  </r>
  <r>
    <x v="14"/>
    <x v="8"/>
    <x v="0"/>
    <s v="5100104"/>
    <n v="600050"/>
    <s v="Miscellaneous Revenue"/>
    <s v="Pharmacy"/>
    <x v="0"/>
    <m/>
    <n v="-9600"/>
    <n v="-9600"/>
    <n v="-9600"/>
    <n v="-9600"/>
    <n v="-9600"/>
    <n v="-9600"/>
    <n v="-9600"/>
    <n v="-9600"/>
    <n v="-12000"/>
    <n v="-9600"/>
    <n v="-9600"/>
    <n v="-12000"/>
    <n v="-120000"/>
    <n v="2400"/>
  </r>
  <r>
    <x v="5"/>
    <x v="8"/>
    <x v="0"/>
    <s v="5100104"/>
    <n v="700014"/>
    <s v="Salaries-Management-Productive"/>
    <s v="Pharmacy"/>
    <x v="0"/>
    <m/>
    <n v="13799.8"/>
    <n v="11655.95"/>
    <n v="12215.33"/>
    <n v="15499.92"/>
    <n v="13833.84"/>
    <n v="8513.6200000000008"/>
    <n v="13128.71"/>
    <n v="7847.78"/>
    <n v="16228.14"/>
    <n v="8719.5300000000007"/>
    <n v="16760.87"/>
    <n v="10463.84"/>
    <n v="148667.32999999999"/>
    <n v="6297.0299999999988"/>
  </r>
  <r>
    <x v="5"/>
    <x v="8"/>
    <x v="0"/>
    <s v="5100104"/>
    <n v="700014"/>
    <s v="Salaries-Management-OT"/>
    <s v="Pharmacy"/>
    <x v="0"/>
    <n v="1000"/>
    <n v="0"/>
    <n v="0"/>
    <n v="0"/>
    <n v="320.04000000000002"/>
    <n v="0"/>
    <n v="0"/>
    <n v="0"/>
    <n v="0"/>
    <n v="0"/>
    <n v="0"/>
    <n v="0"/>
    <n v="0"/>
    <n v="320.04000000000002"/>
    <n v="0"/>
  </r>
  <r>
    <x v="5"/>
    <x v="8"/>
    <x v="0"/>
    <s v="5100104"/>
    <n v="700032"/>
    <s v="Salaries-Other Pat Care Providers-Productive"/>
    <s v="Pharmacy"/>
    <x v="0"/>
    <m/>
    <n v="130797.44"/>
    <n v="136223.54"/>
    <n v="131504.06"/>
    <n v="133921.23000000001"/>
    <n v="137745.79999999999"/>
    <n v="135509.12"/>
    <n v="140647.32"/>
    <n v="126534.36"/>
    <n v="138913.56"/>
    <n v="129952.82"/>
    <n v="132972.81"/>
    <n v="132325.09"/>
    <n v="1607047.1500000004"/>
    <n v="647.72000000000116"/>
  </r>
  <r>
    <x v="5"/>
    <x v="8"/>
    <x v="0"/>
    <s v="5100104"/>
    <n v="700032"/>
    <s v="Salaries-Other Pat Care Providers-OT"/>
    <s v="Pharmacy"/>
    <x v="0"/>
    <n v="1000"/>
    <n v="1577.15"/>
    <n v="1771.58"/>
    <n v="1942.5"/>
    <n v="1154.56"/>
    <n v="1134.82"/>
    <n v="594.62"/>
    <n v="1434.16"/>
    <n v="2321.73"/>
    <n v="1619.18"/>
    <n v="925.31"/>
    <n v="424.57"/>
    <n v="1109.29"/>
    <n v="16009.469999999998"/>
    <n v="-684.72"/>
  </r>
  <r>
    <x v="5"/>
    <x v="8"/>
    <x v="0"/>
    <s v="5100104"/>
    <n v="700032"/>
    <s v="Salaries-Other Pat Care Providers-Other"/>
    <s v="Pharmacy"/>
    <x v="0"/>
    <n v="2000"/>
    <n v="7493.17"/>
    <n v="7780.17"/>
    <n v="6538.65"/>
    <n v="7573.16"/>
    <n v="6467.62"/>
    <n v="8180.66"/>
    <n v="7008.89"/>
    <n v="7118.09"/>
    <n v="6455.41"/>
    <n v="7657.54"/>
    <n v="7425.64"/>
    <n v="8041.98"/>
    <n v="87740.979999999981"/>
    <n v="-616.33999999999924"/>
  </r>
  <r>
    <x v="5"/>
    <x v="8"/>
    <x v="0"/>
    <s v="5100104"/>
    <n v="700054"/>
    <s v="Salaries-Management-Non-productive"/>
    <s v="Pharmacy"/>
    <x v="0"/>
    <m/>
    <n v="652.72"/>
    <n v="2797.23"/>
    <n v="1771.81"/>
    <n v="0"/>
    <n v="677.2"/>
    <n v="6481.61"/>
    <n v="1889.93"/>
    <n v="5716.09"/>
    <n v="-1210.9100000000001"/>
    <n v="5812.78"/>
    <n v="-1743.63"/>
    <n v="4069.15"/>
    <n v="26913.98"/>
    <n v="-5812.7800000000007"/>
  </r>
  <r>
    <x v="5"/>
    <x v="8"/>
    <x v="0"/>
    <s v="5100104"/>
    <n v="700072"/>
    <s v="Salaries-Other Pat Care Providers-Non-productive"/>
    <s v="Pharmacy"/>
    <x v="0"/>
    <m/>
    <n v="31207.22"/>
    <n v="11989.67"/>
    <n v="8094.24"/>
    <n v="17326.990000000002"/>
    <n v="4762.29"/>
    <n v="25641.5"/>
    <n v="8373.9699999999993"/>
    <n v="16297.89"/>
    <n v="4991.28"/>
    <n v="19733.169999999998"/>
    <n v="10047.370000000001"/>
    <n v="13660.69"/>
    <n v="172126.27999999997"/>
    <n v="-3613.3199999999997"/>
  </r>
  <r>
    <x v="5"/>
    <x v="8"/>
    <x v="0"/>
    <s v="5100104"/>
    <n v="700072"/>
    <s v="Salaries-Other Pat Care Providers-NonProd-Other"/>
    <s v="Pharmacy"/>
    <x v="0"/>
    <n v="2000"/>
    <n v="702.34"/>
    <n v="24.91"/>
    <n v="25.45"/>
    <n v="734.54"/>
    <n v="126.04"/>
    <n v="586.07000000000005"/>
    <n v="149.13"/>
    <n v="521.37"/>
    <n v="60.82"/>
    <n v="488.76"/>
    <n v="34.299999999999997"/>
    <n v="148.62"/>
    <n v="3602.3500000000004"/>
    <n v="-114.32000000000001"/>
  </r>
  <r>
    <x v="5"/>
    <x v="8"/>
    <x v="0"/>
    <s v="5100104"/>
    <n v="700084"/>
    <s v="Accrued PTO"/>
    <s v="Pharmacy"/>
    <x v="0"/>
    <m/>
    <n v="4871.08"/>
    <n v="3761.19"/>
    <n v="6368.69"/>
    <n v="7943.82"/>
    <n v="8755.82"/>
    <n v="-5777.81"/>
    <n v="7223.01"/>
    <n v="145.88"/>
    <n v="10105.32"/>
    <n v="-309.61"/>
    <n v="4657.49"/>
    <n v="3316.52"/>
    <n v="51061.399999999987"/>
    <n v="1340.9699999999998"/>
  </r>
  <r>
    <x v="6"/>
    <x v="8"/>
    <x v="0"/>
    <s v="5100104"/>
    <n v="713010"/>
    <s v="Benefits-FICA/Medicare"/>
    <s v="Pharmacy"/>
    <x v="0"/>
    <m/>
    <n v="13966.27"/>
    <n v="12967.55"/>
    <n v="12067.85"/>
    <n v="12067.72"/>
    <n v="7880.55"/>
    <n v="10925.57"/>
    <n v="12919.91"/>
    <n v="12484.58"/>
    <n v="12493.66"/>
    <n v="12984.49"/>
    <n v="12412.38"/>
    <n v="12820.16"/>
    <n v="145990.69000000003"/>
    <n v="-407.78000000000065"/>
  </r>
  <r>
    <x v="6"/>
    <x v="8"/>
    <x v="0"/>
    <s v="5100104"/>
    <n v="713090"/>
    <s v="Benefits-Allocated Amounts"/>
    <s v="Pharmacy"/>
    <x v="0"/>
    <m/>
    <n v="27372.09"/>
    <n v="22850.240000000002"/>
    <n v="23323.48"/>
    <n v="25253.759999999998"/>
    <n v="24260.959999999999"/>
    <n v="25058.06"/>
    <n v="24876.49"/>
    <n v="25593.23"/>
    <n v="25017.05"/>
    <n v="27225.95"/>
    <n v="25142.43"/>
    <n v="25673.06"/>
    <n v="301646.8"/>
    <n v="-530.63000000000102"/>
  </r>
  <r>
    <x v="6"/>
    <x v="8"/>
    <x v="0"/>
    <s v="5100104"/>
    <n v="713096"/>
    <s v="Employee Recognition"/>
    <s v="Pharmacy"/>
    <x v="0"/>
    <n v="1017"/>
    <n v="0"/>
    <n v="0"/>
    <n v="0"/>
    <n v="0"/>
    <n v="0"/>
    <n v="142.13"/>
    <n v="0"/>
    <n v="0"/>
    <n v="0"/>
    <n v="0"/>
    <n v="0"/>
    <n v="0"/>
    <n v="142.13"/>
    <n v="0"/>
  </r>
  <r>
    <x v="7"/>
    <x v="8"/>
    <x v="0"/>
    <s v="5100104"/>
    <n v="718050"/>
    <s v="Contract Svcs-Other"/>
    <s v="Pharmacy"/>
    <x v="0"/>
    <m/>
    <n v="0"/>
    <n v="0"/>
    <n v="0"/>
    <n v="0"/>
    <n v="0"/>
    <n v="0"/>
    <n v="0"/>
    <n v="0"/>
    <n v="0"/>
    <n v="422.94"/>
    <n v="4974.9399999999996"/>
    <n v="0"/>
    <n v="5397.8799999999992"/>
    <n v="4974.9399999999996"/>
  </r>
  <r>
    <x v="7"/>
    <x v="8"/>
    <x v="0"/>
    <s v="5100104"/>
    <n v="718050"/>
    <s v="Document Shredding/Storage"/>
    <s v="Pharmacy"/>
    <x v="0"/>
    <n v="1012"/>
    <n v="23.44"/>
    <n v="23.98"/>
    <n v="22.08"/>
    <n v="22.85"/>
    <n v="23.62"/>
    <n v="100.95"/>
    <n v="99.94"/>
    <n v="64.72"/>
    <n v="78.64"/>
    <n v="-82.92"/>
    <n v="25.2"/>
    <n v="26.05"/>
    <n v="428.55"/>
    <n v="-0.85000000000000142"/>
  </r>
  <r>
    <x v="7"/>
    <x v="8"/>
    <x v="0"/>
    <s v="5100104"/>
    <n v="718050"/>
    <s v="Miscellaneous Purchased Svcs"/>
    <s v="Pharmacy"/>
    <x v="0"/>
    <n v="1020"/>
    <n v="7933.4"/>
    <n v="16448.54"/>
    <n v="5451.19"/>
    <n v="12514.76"/>
    <n v="8101.97"/>
    <n v="8430.43"/>
    <n v="27931.62"/>
    <n v="19836.02"/>
    <n v="-35920.620000000003"/>
    <n v="5585.55"/>
    <n v="6762.01"/>
    <n v="2432.0100000000002"/>
    <n v="85506.87999999999"/>
    <n v="4330"/>
  </r>
  <r>
    <x v="7"/>
    <x v="8"/>
    <x v="0"/>
    <s v="5100104"/>
    <n v="718070"/>
    <s v="Contract Srvcs-CHI Clinical Engineering"/>
    <s v="Pharmacy"/>
    <x v="0"/>
    <m/>
    <n v="2899"/>
    <n v="2899"/>
    <n v="2899"/>
    <n v="2899"/>
    <n v="2899"/>
    <n v="2899"/>
    <n v="2899"/>
    <n v="2899"/>
    <n v="2899"/>
    <n v="2899"/>
    <n v="2899"/>
    <n v="2899"/>
    <n v="34788"/>
    <n v="0"/>
  </r>
  <r>
    <x v="7"/>
    <x v="8"/>
    <x v="0"/>
    <s v="5100104"/>
    <n v="718091"/>
    <s v="Contract Services-Intracompany Allocation"/>
    <s v="Pharmacy"/>
    <x v="0"/>
    <m/>
    <n v="14126.61"/>
    <n v="13747.11"/>
    <n v="14084.98"/>
    <n v="13966.99"/>
    <n v="13977.13"/>
    <n v="12454.26"/>
    <n v="14574.81"/>
    <n v="13093.37"/>
    <n v="15013.44"/>
    <n v="13050.21"/>
    <n v="16216.41"/>
    <n v="13953.7"/>
    <n v="168259.02"/>
    <n v="2262.7099999999991"/>
  </r>
  <r>
    <x v="11"/>
    <x v="8"/>
    <x v="0"/>
    <s v="5100104"/>
    <n v="721010"/>
    <s v="Supplies-Medical - Billable"/>
    <s v="Pharmacy"/>
    <x v="0"/>
    <m/>
    <n v="18.36"/>
    <n v="19.399999999999999"/>
    <n v="20.79"/>
    <n v="5.72"/>
    <n v="40.75"/>
    <n v="0"/>
    <n v="0"/>
    <n v="0"/>
    <n v="40.75"/>
    <n v="0"/>
    <n v="38.159999999999997"/>
    <n v="21.67"/>
    <n v="205.59999999999997"/>
    <n v="16.489999999999995"/>
  </r>
  <r>
    <x v="11"/>
    <x v="8"/>
    <x v="0"/>
    <s v="5100104"/>
    <n v="721020"/>
    <s v="Supplies-Surgical - Billable"/>
    <s v="Pharmacy"/>
    <x v="0"/>
    <m/>
    <n v="12286.5"/>
    <n v="16382"/>
    <n v="16382"/>
    <n v="12298.42"/>
    <n v="12362.11"/>
    <n v="16238"/>
    <n v="16396.95"/>
    <n v="8191"/>
    <n v="20477.5"/>
    <n v="12286.5"/>
    <n v="16449.54"/>
    <n v="16382"/>
    <n v="176132.52"/>
    <n v="67.540000000000873"/>
  </r>
  <r>
    <x v="11"/>
    <x v="8"/>
    <x v="0"/>
    <s v="5100104"/>
    <n v="721020"/>
    <s v="Suture/Wound Closure"/>
    <s v="Pharmacy"/>
    <x v="0"/>
    <n v="1001"/>
    <n v="2071.4"/>
    <n v="2709.18"/>
    <n v="1553.55"/>
    <n v="2627.38"/>
    <n v="1673.48"/>
    <n v="2908.14"/>
    <n v="1354.59"/>
    <n v="3186.13"/>
    <n v="1354.59"/>
    <n v="2623.23"/>
    <n v="1709.7"/>
    <n v="2555.94"/>
    <n v="26327.309999999998"/>
    <n v="-846.24"/>
  </r>
  <r>
    <x v="11"/>
    <x v="8"/>
    <x v="0"/>
    <s v="5100104"/>
    <n v="721020"/>
    <s v="Tubes Drains &amp; Related Supplies"/>
    <s v="Pharmacy"/>
    <x v="0"/>
    <n v="1008"/>
    <n v="0"/>
    <n v="0"/>
    <n v="0"/>
    <n v="0"/>
    <n v="0"/>
    <n v="0"/>
    <n v="0"/>
    <n v="0"/>
    <n v="13.43"/>
    <n v="0"/>
    <n v="0"/>
    <n v="0"/>
    <n v="13.43"/>
    <n v="0"/>
  </r>
  <r>
    <x v="11"/>
    <x v="8"/>
    <x v="0"/>
    <s v="5100104"/>
    <n v="721240"/>
    <s v="Supplies-IV Solutions/Supplies - Billable"/>
    <s v="Pharmacy"/>
    <x v="0"/>
    <m/>
    <n v="17426.07"/>
    <n v="18025.330000000002"/>
    <n v="21069.22"/>
    <n v="20088.169999999998"/>
    <n v="21885.09"/>
    <n v="21272.74"/>
    <n v="20667.68"/>
    <n v="20750.830000000002"/>
    <n v="22977.07"/>
    <n v="20050.32"/>
    <n v="24287.96"/>
    <n v="18798.73"/>
    <n v="247299.21000000002"/>
    <n v="5489.23"/>
  </r>
  <r>
    <x v="11"/>
    <x v="8"/>
    <x v="0"/>
    <s v="5100104"/>
    <n v="721250"/>
    <s v="Supplies-Pharmacy Drugs - Billable"/>
    <s v="Pharmacy"/>
    <x v="0"/>
    <m/>
    <n v="224588.74"/>
    <n v="150961.85999999999"/>
    <n v="189573.51"/>
    <n v="223662.13"/>
    <n v="125142.99"/>
    <n v="208974.24"/>
    <n v="203007.71"/>
    <n v="208743.41"/>
    <n v="220093.52"/>
    <n v="173903.19"/>
    <n v="160113.54"/>
    <n v="169571.32"/>
    <n v="2258336.1599999997"/>
    <n v="-9457.7799999999988"/>
  </r>
  <r>
    <x v="11"/>
    <x v="8"/>
    <x v="0"/>
    <s v="5100104"/>
    <n v="721250"/>
    <s v="OP Pharmacy Drugs"/>
    <s v="Pharmacy"/>
    <x v="0"/>
    <n v="1002"/>
    <n v="421243.86"/>
    <n v="322901.65000000002"/>
    <n v="374428.24"/>
    <n v="411045.56"/>
    <n v="397760.57"/>
    <n v="345361.91999999998"/>
    <n v="344415.12"/>
    <n v="358788.2"/>
    <n v="359282.3"/>
    <n v="429485.8"/>
    <n v="462360.74"/>
    <n v="425948.96"/>
    <n v="4653022.92"/>
    <n v="36411.77999999997"/>
  </r>
  <r>
    <x v="11"/>
    <x v="8"/>
    <x v="0"/>
    <s v="5100104"/>
    <n v="721410"/>
    <s v="Supplies-Medical - Nonbillable"/>
    <s v="Pharmacy"/>
    <x v="0"/>
    <m/>
    <n v="4604.7"/>
    <n v="5750.88"/>
    <n v="3523"/>
    <n v="3908.99"/>
    <n v="3389.56"/>
    <n v="3242.5"/>
    <n v="2428.73"/>
    <n v="3450.8"/>
    <n v="2883.06"/>
    <n v="2872.23"/>
    <n v="6242.46"/>
    <n v="2070.48"/>
    <n v="44367.390000000007"/>
    <n v="4171.9799999999996"/>
  </r>
  <r>
    <x v="11"/>
    <x v="8"/>
    <x v="0"/>
    <s v="5100104"/>
    <n v="721420"/>
    <s v="Supplies-Surgical Nonbillable"/>
    <s v="Pharmacy"/>
    <x v="0"/>
    <m/>
    <n v="0"/>
    <n v="0"/>
    <n v="0"/>
    <n v="0"/>
    <n v="0"/>
    <n v="0"/>
    <n v="0"/>
    <n v="0"/>
    <n v="3.01"/>
    <n v="0"/>
    <n v="0"/>
    <n v="0"/>
    <n v="3.01"/>
    <n v="0"/>
  </r>
  <r>
    <x v="11"/>
    <x v="8"/>
    <x v="0"/>
    <s v="5100104"/>
    <n v="721420"/>
    <s v="Tubes Drains &amp; Related Supplies"/>
    <s v="Pharmacy"/>
    <x v="0"/>
    <n v="1008"/>
    <n v="0"/>
    <n v="0"/>
    <n v="0"/>
    <n v="0"/>
    <n v="0"/>
    <n v="0"/>
    <n v="0"/>
    <n v="0"/>
    <n v="7.81"/>
    <n v="0"/>
    <n v="0"/>
    <n v="0"/>
    <n v="7.81"/>
    <n v="0"/>
  </r>
  <r>
    <x v="11"/>
    <x v="8"/>
    <x v="0"/>
    <s v="5100104"/>
    <n v="721420"/>
    <s v="Sterilization Process Products"/>
    <s v="Pharmacy"/>
    <x v="0"/>
    <n v="1009"/>
    <n v="0"/>
    <n v="0"/>
    <n v="0"/>
    <n v="0"/>
    <n v="0"/>
    <n v="0"/>
    <n v="0"/>
    <n v="0"/>
    <n v="5.92"/>
    <n v="0"/>
    <n v="0"/>
    <n v="0"/>
    <n v="5.92"/>
    <n v="0"/>
  </r>
  <r>
    <x v="11"/>
    <x v="8"/>
    <x v="0"/>
    <s v="5100104"/>
    <n v="721610"/>
    <s v="Supplies-Anesthesia - Nonbillable"/>
    <s v="Pharmacy"/>
    <x v="0"/>
    <m/>
    <n v="1499.2"/>
    <n v="4859.2"/>
    <n v="2843.2"/>
    <n v="6203.2"/>
    <n v="155.19999999999999"/>
    <n v="6875.2"/>
    <n v="2171.1999999999998"/>
    <n v="2998.4"/>
    <n v="4194.95"/>
    <n v="155.19999999999999"/>
    <n v="4187.2"/>
    <n v="4032"/>
    <n v="40174.15"/>
    <n v="155.19999999999982"/>
  </r>
  <r>
    <x v="11"/>
    <x v="8"/>
    <x v="0"/>
    <s v="5100104"/>
    <n v="721640"/>
    <s v="Supplies-IV Solutions/Supplies - Nonbillable"/>
    <s v="Pharmacy"/>
    <x v="0"/>
    <m/>
    <n v="198.6"/>
    <n v="201.22"/>
    <n v="261.64"/>
    <n v="350.9"/>
    <n v="393.82"/>
    <n v="316"/>
    <n v="237.3"/>
    <n v="239.42"/>
    <n v="272.04000000000002"/>
    <n v="224.25"/>
    <n v="314.95999999999998"/>
    <n v="219.05"/>
    <n v="3229.2000000000003"/>
    <n v="95.909999999999968"/>
  </r>
  <r>
    <x v="11"/>
    <x v="8"/>
    <x v="0"/>
    <s v="5100104"/>
    <n v="721650"/>
    <s v="Supplies-Pharmacy Drugs - Nonbillable"/>
    <s v="Pharmacy"/>
    <x v="0"/>
    <m/>
    <n v="0"/>
    <n v="0"/>
    <n v="0"/>
    <n v="0"/>
    <n v="0"/>
    <n v="0"/>
    <n v="0"/>
    <n v="0"/>
    <n v="7.0000000000000007E-2"/>
    <n v="0"/>
    <n v="0"/>
    <n v="0"/>
    <n v="7.0000000000000007E-2"/>
    <n v="0"/>
  </r>
  <r>
    <x v="11"/>
    <x v="8"/>
    <x v="0"/>
    <s v="5100104"/>
    <n v="721710"/>
    <s v="Supplies-Laboratory - Nonbillable"/>
    <s v="Pharmacy"/>
    <x v="0"/>
    <m/>
    <n v="736.94"/>
    <n v="165.84"/>
    <n v="710.35"/>
    <n v="16.73"/>
    <n v="283.52"/>
    <n v="629.53"/>
    <n v="147.76"/>
    <n v="55.2"/>
    <n v="181.32"/>
    <n v="-9.9499999999999993"/>
    <n v="597.95000000000005"/>
    <n v="208.26"/>
    <n v="3723.4500000000007"/>
    <n v="389.69000000000005"/>
  </r>
  <r>
    <x v="11"/>
    <x v="8"/>
    <x v="0"/>
    <s v="5100104"/>
    <n v="721810"/>
    <s v="Supplies-Dietary/Cafeteria"/>
    <s v="Pharmacy"/>
    <x v="0"/>
    <m/>
    <n v="49.52"/>
    <n v="65.56"/>
    <n v="114.51"/>
    <n v="286.52999999999997"/>
    <n v="99.61"/>
    <n v="0"/>
    <n v="126.26"/>
    <n v="83.55"/>
    <n v="94.28"/>
    <n v="15.88"/>
    <n v="3"/>
    <n v="51.31"/>
    <n v="990.01"/>
    <n v="-48.31"/>
  </r>
  <r>
    <x v="11"/>
    <x v="8"/>
    <x v="0"/>
    <s v="5100104"/>
    <n v="721830"/>
    <s v="Supplies-Office"/>
    <s v="Pharmacy"/>
    <x v="0"/>
    <m/>
    <n v="624.96"/>
    <n v="101.6"/>
    <n v="300.14"/>
    <n v="544.66999999999996"/>
    <n v="242.55"/>
    <n v="307.3"/>
    <n v="208.91"/>
    <n v="343.58"/>
    <n v="644.23"/>
    <n v="263.35000000000002"/>
    <n v="238.73"/>
    <n v="171.64"/>
    <n v="3991.6599999999994"/>
    <n v="67.09"/>
  </r>
  <r>
    <x v="11"/>
    <x v="8"/>
    <x v="0"/>
    <s v="5100104"/>
    <n v="721835"/>
    <s v="Supplies-Forms"/>
    <s v="Pharmacy"/>
    <x v="0"/>
    <m/>
    <n v="0"/>
    <n v="0"/>
    <n v="0"/>
    <n v="0"/>
    <n v="0"/>
    <n v="0"/>
    <n v="0"/>
    <n v="0"/>
    <n v="0"/>
    <n v="15"/>
    <n v="0"/>
    <n v="4.59"/>
    <n v="19.59"/>
    <n v="-4.59"/>
  </r>
  <r>
    <x v="11"/>
    <x v="8"/>
    <x v="0"/>
    <s v="5100104"/>
    <n v="721870"/>
    <s v="Supplies-Environmental Services"/>
    <s v="Pharmacy"/>
    <x v="0"/>
    <m/>
    <n v="1075.81"/>
    <n v="1306.83"/>
    <n v="1601.7"/>
    <n v="1671.2"/>
    <n v="1113.55"/>
    <n v="770.91"/>
    <n v="1112.78"/>
    <n v="783.3"/>
    <n v="256.61"/>
    <n v="765.7"/>
    <n v="217.45"/>
    <n v="370.92"/>
    <n v="11046.760000000002"/>
    <n v="-153.47000000000003"/>
  </r>
  <r>
    <x v="11"/>
    <x v="8"/>
    <x v="0"/>
    <s v="5100104"/>
    <n v="721910"/>
    <s v="Supplies-Small Equipment"/>
    <s v="Pharmacy"/>
    <x v="0"/>
    <m/>
    <n v="0"/>
    <n v="54.2"/>
    <n v="113.66"/>
    <n v="354.73"/>
    <n v="0"/>
    <n v="0"/>
    <n v="0"/>
    <n v="0"/>
    <n v="0"/>
    <n v="0"/>
    <n v="7.2"/>
    <n v="0"/>
    <n v="529.79000000000008"/>
    <n v="7.2"/>
  </r>
  <r>
    <x v="11"/>
    <x v="8"/>
    <x v="0"/>
    <s v="5100104"/>
    <n v="721910"/>
    <s v="Instruments"/>
    <s v="Pharmacy"/>
    <x v="0"/>
    <n v="1000"/>
    <n v="0"/>
    <n v="0"/>
    <n v="0"/>
    <n v="-33.880000000000003"/>
    <n v="0"/>
    <n v="0"/>
    <n v="0"/>
    <n v="0"/>
    <n v="0"/>
    <n v="0"/>
    <n v="0"/>
    <n v="0"/>
    <n v="-33.880000000000003"/>
    <n v="0"/>
  </r>
  <r>
    <x v="11"/>
    <x v="8"/>
    <x v="0"/>
    <s v="5100104"/>
    <n v="721980"/>
    <s v="Supplies-Other"/>
    <s v="Pharmacy"/>
    <x v="0"/>
    <m/>
    <n v="27.07"/>
    <n v="0"/>
    <n v="0"/>
    <n v="0"/>
    <n v="0"/>
    <n v="0"/>
    <n v="0"/>
    <n v="0"/>
    <n v="0"/>
    <n v="0"/>
    <n v="0"/>
    <n v="0"/>
    <n v="27.07"/>
    <n v="0"/>
  </r>
  <r>
    <x v="11"/>
    <x v="8"/>
    <x v="0"/>
    <s v="5100104"/>
    <n v="722000"/>
    <s v="Supplies-Freight Expense"/>
    <s v="Pharmacy"/>
    <x v="0"/>
    <m/>
    <n v="140.04"/>
    <n v="756.44"/>
    <n v="164.3"/>
    <n v="298.17"/>
    <n v="45.11"/>
    <n v="387.9"/>
    <n v="216.32"/>
    <n v="31.16"/>
    <n v="165.16"/>
    <n v="75.22"/>
    <n v="94.41"/>
    <n v="603.12"/>
    <n v="2977.3499999999995"/>
    <n v="-508.71000000000004"/>
  </r>
  <r>
    <x v="11"/>
    <x v="8"/>
    <x v="0"/>
    <s v="5100104"/>
    <n v="723000"/>
    <s v="Supply Rebates/Patronage Dividend"/>
    <s v="Pharmacy"/>
    <x v="0"/>
    <m/>
    <n v="0"/>
    <n v="0"/>
    <n v="-7854.09"/>
    <n v="0"/>
    <n v="0"/>
    <n v="-84778.76"/>
    <n v="0"/>
    <n v="0"/>
    <n v="-18710.95"/>
    <n v="0"/>
    <n v="0"/>
    <n v="-13392.48"/>
    <n v="-124736.27999999998"/>
    <n v="13392.48"/>
  </r>
  <r>
    <x v="12"/>
    <x v="8"/>
    <x v="0"/>
    <s v="5100104"/>
    <n v="730020"/>
    <s v="Rental and Leases-Equipment (DO NOT USE)"/>
    <s v="Pharmacy"/>
    <x v="0"/>
    <m/>
    <n v="0"/>
    <n v="0"/>
    <n v="0"/>
    <n v="4760.28"/>
    <n v="365.61"/>
    <n v="0"/>
    <n v="731.22"/>
    <n v="0"/>
    <n v="365.61"/>
    <n v="0"/>
    <n v="365.61"/>
    <n v="731.22"/>
    <n v="7319.5499999999993"/>
    <n v="-365.61"/>
  </r>
  <r>
    <x v="12"/>
    <x v="8"/>
    <x v="0"/>
    <s v="5100104"/>
    <n v="730020"/>
    <s v="Rental and Leases-Copier Usage Fees (DO NOT USE)"/>
    <s v="Pharmacy"/>
    <x v="0"/>
    <n v="5100"/>
    <n v="264.83999999999997"/>
    <n v="273.11"/>
    <n v="268.97000000000003"/>
    <n v="268.97000000000003"/>
    <n v="268.97000000000003"/>
    <n v="268.97000000000003"/>
    <n v="59.56"/>
    <n v="247.42"/>
    <n v="246.9"/>
    <n v="247.94"/>
    <n v="247.42"/>
    <n v="276.07"/>
    <n v="2939.1400000000003"/>
    <n v="-28.650000000000006"/>
  </r>
  <r>
    <x v="15"/>
    <x v="8"/>
    <x v="0"/>
    <s v="5100104"/>
    <n v="731060"/>
    <s v="Pagers"/>
    <s v="Pharmacy"/>
    <x v="0"/>
    <n v="1002"/>
    <n v="24.3"/>
    <n v="24.3"/>
    <n v="24.3"/>
    <n v="24.36"/>
    <n v="24.36"/>
    <n v="0"/>
    <n v="48.72"/>
    <n v="24.36"/>
    <n v="24.36"/>
    <n v="24.36"/>
    <n v="24.36"/>
    <n v="24.36"/>
    <n v="292.14000000000004"/>
    <n v="0"/>
  </r>
  <r>
    <x v="16"/>
    <x v="8"/>
    <x v="0"/>
    <s v="5100104"/>
    <n v="732020"/>
    <s v="Repairs--Clin Equip-Parts-Internal to CHI Programs"/>
    <s v="Pharmacy"/>
    <x v="0"/>
    <m/>
    <n v="246.1"/>
    <n v="0"/>
    <n v="0"/>
    <n v="123.05"/>
    <n v="123.05"/>
    <n v="0"/>
    <n v="0"/>
    <n v="0"/>
    <n v="246.1"/>
    <n v="113.97"/>
    <n v="227.94"/>
    <n v="0"/>
    <n v="1080.21"/>
    <n v="227.94"/>
  </r>
  <r>
    <x v="16"/>
    <x v="8"/>
    <x v="0"/>
    <s v="5100104"/>
    <n v="732030"/>
    <s v="Repairs---Other"/>
    <s v="Pharmacy"/>
    <x v="0"/>
    <m/>
    <n v="0"/>
    <n v="0"/>
    <n v="542.5"/>
    <n v="0"/>
    <n v="0"/>
    <n v="0"/>
    <n v="0"/>
    <n v="0"/>
    <n v="2267.65"/>
    <n v="0"/>
    <n v="0"/>
    <n v="0"/>
    <n v="2810.15"/>
    <n v="0"/>
  </r>
  <r>
    <x v="13"/>
    <x v="8"/>
    <x v="0"/>
    <s v="5100104"/>
    <n v="735030"/>
    <s v="Depreciation-Buildings"/>
    <s v="Pharmacy"/>
    <x v="0"/>
    <m/>
    <n v="2122.9899999999998"/>
    <n v="2122.9499999999998"/>
    <n v="2123.0100000000002"/>
    <n v="2122.92"/>
    <n v="2123.08"/>
    <n v="2122.87"/>
    <n v="2123.09"/>
    <n v="2122.86"/>
    <n v="2123.1"/>
    <n v="2070.29"/>
    <n v="2070.5700000000002"/>
    <n v="2070.27"/>
    <n v="25318"/>
    <n v="0.3000000000001819"/>
  </r>
  <r>
    <x v="13"/>
    <x v="8"/>
    <x v="0"/>
    <s v="5100104"/>
    <n v="735070"/>
    <s v="Depreciation-Movable Equipment"/>
    <s v="Pharmacy"/>
    <x v="0"/>
    <m/>
    <n v="10228.91"/>
    <n v="10228.91"/>
    <n v="10228.91"/>
    <n v="10228.94"/>
    <n v="10228.91"/>
    <n v="10228.959999999999"/>
    <n v="10228.9"/>
    <n v="10228.959999999999"/>
    <n v="10228.9"/>
    <n v="9995.6299999999992"/>
    <n v="9995.67"/>
    <n v="9995.61"/>
    <n v="122047.20999999999"/>
    <n v="5.9999999999490683E-2"/>
  </r>
  <r>
    <x v="0"/>
    <x v="8"/>
    <x v="0"/>
    <s v="5100104"/>
    <n v="742030"/>
    <s v="Freight-Courier"/>
    <s v="Pharmacy"/>
    <x v="0"/>
    <m/>
    <n v="0"/>
    <n v="0"/>
    <n v="0"/>
    <n v="135"/>
    <n v="0"/>
    <n v="0"/>
    <n v="0"/>
    <n v="0"/>
    <n v="0"/>
    <n v="0"/>
    <n v="0"/>
    <n v="0"/>
    <n v="135"/>
    <n v="0"/>
  </r>
  <r>
    <x v="0"/>
    <x v="8"/>
    <x v="0"/>
    <s v="5100104"/>
    <n v="742040"/>
    <s v="Freight-Other"/>
    <s v="Pharmacy"/>
    <x v="0"/>
    <m/>
    <n v="0"/>
    <n v="0"/>
    <n v="0"/>
    <n v="760"/>
    <n v="0"/>
    <n v="0"/>
    <n v="0"/>
    <n v="0"/>
    <n v="0"/>
    <n v="0"/>
    <n v="0"/>
    <n v="1200"/>
    <n v="1960"/>
    <n v="-1200"/>
  </r>
  <r>
    <x v="0"/>
    <x v="8"/>
    <x v="0"/>
    <s v="5100104"/>
    <n v="743010"/>
    <s v="Dues--Institutional"/>
    <s v="Pharmacy"/>
    <x v="0"/>
    <m/>
    <n v="175"/>
    <n v="0"/>
    <n v="0"/>
    <n v="210"/>
    <n v="0"/>
    <n v="0"/>
    <n v="0"/>
    <n v="0"/>
    <n v="0"/>
    <n v="175"/>
    <n v="5"/>
    <n v="0"/>
    <n v="565"/>
    <n v="5"/>
  </r>
  <r>
    <x v="0"/>
    <x v="8"/>
    <x v="0"/>
    <s v="5100104"/>
    <n v="743020"/>
    <s v="Dues--Individual"/>
    <s v="Pharmacy"/>
    <x v="0"/>
    <m/>
    <n v="0"/>
    <n v="0"/>
    <n v="1140.5999999999999"/>
    <n v="875"/>
    <n v="250"/>
    <n v="264"/>
    <n v="0"/>
    <n v="0"/>
    <n v="0"/>
    <n v="0"/>
    <n v="0"/>
    <n v="0"/>
    <n v="2529.6"/>
    <n v="0"/>
  </r>
  <r>
    <x v="0"/>
    <x v="8"/>
    <x v="0"/>
    <s v="5100104"/>
    <n v="743030"/>
    <s v="Subscriptions--Institutional"/>
    <s v="Pharmacy"/>
    <x v="0"/>
    <m/>
    <n v="0"/>
    <n v="0"/>
    <n v="0"/>
    <n v="165.15"/>
    <n v="1162.8"/>
    <n v="0"/>
    <n v="0"/>
    <n v="0"/>
    <n v="0"/>
    <n v="0"/>
    <n v="195.85"/>
    <n v="0"/>
    <n v="1523.8"/>
    <n v="195.85"/>
  </r>
  <r>
    <x v="0"/>
    <x v="8"/>
    <x v="0"/>
    <s v="5100104"/>
    <n v="749510"/>
    <s v="Miscellaneous Expenses"/>
    <s v="Pharmacy"/>
    <x v="0"/>
    <m/>
    <n v="-71.430000000000007"/>
    <n v="-32.17"/>
    <n v="0"/>
    <n v="2298.91"/>
    <n v="114.32"/>
    <n v="-142.13"/>
    <n v="495.19"/>
    <n v="-2766.29"/>
    <n v="0"/>
    <n v="3511.11"/>
    <n v="0"/>
    <n v="33.06"/>
    <n v="3440.57"/>
    <n v="-33.06"/>
  </r>
  <r>
    <x v="0"/>
    <x v="8"/>
    <x v="0"/>
    <s v="5100104"/>
    <n v="749510"/>
    <s v="Licenses"/>
    <s v="Pharmacy"/>
    <x v="0"/>
    <n v="1002"/>
    <n v="330"/>
    <n v="0"/>
    <n v="0"/>
    <n v="0"/>
    <n v="0"/>
    <n v="0"/>
    <n v="0"/>
    <n v="0"/>
    <n v="0"/>
    <n v="790"/>
    <n v="0"/>
    <n v="0"/>
    <n v="1120"/>
    <n v="0"/>
  </r>
  <r>
    <x v="0"/>
    <x v="8"/>
    <x v="0"/>
    <s v="5100104"/>
    <n v="749510"/>
    <s v="RICE Rewards"/>
    <s v="Pharmacy"/>
    <x v="0"/>
    <n v="5100"/>
    <n v="0"/>
    <n v="0"/>
    <n v="0"/>
    <n v="0"/>
    <n v="0"/>
    <n v="0"/>
    <n v="0"/>
    <n v="0"/>
    <n v="159.85"/>
    <n v="0"/>
    <n v="0"/>
    <n v="852.36"/>
    <n v="1012.21"/>
    <n v="-852.36"/>
  </r>
  <r>
    <x v="0"/>
    <x v="8"/>
    <x v="0"/>
    <s v="5100104"/>
    <n v="749530"/>
    <s v="Travel"/>
    <s v="Pharmacy"/>
    <x v="0"/>
    <m/>
    <n v="0"/>
    <n v="0"/>
    <n v="0"/>
    <n v="0"/>
    <n v="0"/>
    <n v="0"/>
    <n v="0"/>
    <n v="430.81"/>
    <n v="0"/>
    <n v="0"/>
    <n v="0"/>
    <n v="0"/>
    <n v="430.81"/>
    <n v="0"/>
  </r>
  <r>
    <x v="0"/>
    <x v="8"/>
    <x v="0"/>
    <s v="5100104"/>
    <n v="749530"/>
    <s v="Mileage"/>
    <s v="Pharmacy"/>
    <x v="0"/>
    <n v="1001"/>
    <n v="103.6"/>
    <n v="32.17"/>
    <n v="52.34"/>
    <n v="31.63"/>
    <n v="27.81"/>
    <n v="34.89"/>
    <n v="30.53"/>
    <n v="64.38"/>
    <n v="11.6"/>
    <n v="41.76"/>
    <n v="41.76"/>
    <n v="60.9"/>
    <n v="533.37"/>
    <n v="-19.14"/>
  </r>
  <r>
    <x v="18"/>
    <x v="5"/>
    <x v="0"/>
    <s v="5100106"/>
    <n v="400010"/>
    <s v="Acute I/P Svcs Rev--Medicare"/>
    <s v="Pharmacy"/>
    <x v="0"/>
    <n v="1100"/>
    <n v="-2251159.7999999998"/>
    <n v="-2721344.95"/>
    <n v="-3151696.6"/>
    <n v="-2994742.55"/>
    <n v="-2417993.1"/>
    <n v="-3124751.85"/>
    <n v="-3665250.05"/>
    <n v="-3125614.6"/>
    <n v="-3166356.95"/>
    <n v="-3077576.95"/>
    <n v="-2723670.25"/>
    <n v="-3030087.4"/>
    <n v="-35450245.049999997"/>
    <n v="306417.14999999991"/>
  </r>
  <r>
    <x v="18"/>
    <x v="5"/>
    <x v="0"/>
    <s v="5100106"/>
    <n v="400010"/>
    <s v="Acute I/P Svcs Rev--Medicaid"/>
    <s v="Pharmacy"/>
    <x v="0"/>
    <n v="1200"/>
    <n v="-1767887.25"/>
    <n v="-1035585.9"/>
    <n v="-1167149.8"/>
    <n v="-1610546.25"/>
    <n v="-1685343.9"/>
    <n v="-1221350.3"/>
    <n v="-1340957.8500000001"/>
    <n v="-2014203.7"/>
    <n v="-1779403.25"/>
    <n v="-1528088.6"/>
    <n v="-1412748.95"/>
    <n v="-1534615.1"/>
    <n v="-18097880.849999998"/>
    <n v="121866.15000000014"/>
  </r>
  <r>
    <x v="18"/>
    <x v="5"/>
    <x v="0"/>
    <s v="5100106"/>
    <n v="400010"/>
    <s v="Acute I/P Svcs Rev--Comm Insurance"/>
    <s v="Pharmacy"/>
    <x v="0"/>
    <n v="1300"/>
    <n v="-72749.399999999994"/>
    <n v="-80127.350000000006"/>
    <n v="71840.5"/>
    <n v="-18121.45"/>
    <n v="-99799"/>
    <n v="-70920.649999999994"/>
    <n v="-28916.05"/>
    <n v="-291767.55"/>
    <n v="-54972.7"/>
    <n v="-231556.4"/>
    <n v="-37725.050000000003"/>
    <n v="-85375.15"/>
    <n v="-1000190.25"/>
    <n v="47650.099999999991"/>
  </r>
  <r>
    <x v="18"/>
    <x v="5"/>
    <x v="0"/>
    <s v="5100106"/>
    <n v="400010"/>
    <s v="Acute I/P Svcs Rev--BCBS Comm"/>
    <s v="Pharmacy"/>
    <x v="0"/>
    <n v="1301"/>
    <n v="-238994.75"/>
    <n v="-176186.45"/>
    <n v="-89643.7"/>
    <n v="-195517.35"/>
    <n v="-262619.55"/>
    <n v="-444043.35"/>
    <n v="-244274.55"/>
    <n v="-286245.2"/>
    <n v="-182863.3"/>
    <n v="-264473.65000000002"/>
    <n v="-215401.1"/>
    <n v="-45534.15"/>
    <n v="-2645797.0999999996"/>
    <n v="-169866.95"/>
  </r>
  <r>
    <x v="18"/>
    <x v="5"/>
    <x v="0"/>
    <s v="5100106"/>
    <n v="400010"/>
    <s v="Acute I/P Svcs Rev--Managed Care"/>
    <s v="Pharmacy"/>
    <x v="0"/>
    <n v="1400"/>
    <n v="-769120.35"/>
    <n v="-648909.4"/>
    <n v="-602274.4"/>
    <n v="-598022.75"/>
    <n v="-505300.15"/>
    <n v="-723559.9"/>
    <n v="-577421.1"/>
    <n v="-647050.69999999995"/>
    <n v="-992007.65"/>
    <n v="-511332.9"/>
    <n v="-447735.45"/>
    <n v="-466727.85"/>
    <n v="-7489462.6000000006"/>
    <n v="18992.399999999965"/>
  </r>
  <r>
    <x v="18"/>
    <x v="5"/>
    <x v="0"/>
    <s v="5100106"/>
    <n v="400010"/>
    <s v="Acute I/P Svcs Rev--Self Pay"/>
    <s v="Pharmacy"/>
    <x v="0"/>
    <n v="1500"/>
    <n v="-18093.75"/>
    <n v="-139432.65"/>
    <n v="-77255.8"/>
    <n v="114533.6"/>
    <n v="-217636.35"/>
    <n v="-55527.45"/>
    <n v="-315462.34999999998"/>
    <n v="-261047.5"/>
    <n v="297009.40000000002"/>
    <n v="-71249.3"/>
    <n v="-131826.54999999999"/>
    <n v="-125429.8"/>
    <n v="-1001418.5"/>
    <n v="-6396.7499999999854"/>
  </r>
  <r>
    <x v="18"/>
    <x v="5"/>
    <x v="0"/>
    <s v="5100106"/>
    <n v="400010"/>
    <s v="Acute I/P Svcs Rev--Other"/>
    <s v="Pharmacy"/>
    <x v="0"/>
    <n v="1700"/>
    <n v="9316.5499999999993"/>
    <n v="6297.8"/>
    <n v="-61671.7"/>
    <n v="-36941.050000000003"/>
    <n v="-48792.4"/>
    <n v="-99459.75"/>
    <n v="-93848.15"/>
    <n v="-78767.3"/>
    <n v="-155219.85"/>
    <n v="-46779.7"/>
    <n v="-168300.85"/>
    <n v="-222290.65"/>
    <n v="-996457.04999999993"/>
    <n v="53989.799999999988"/>
  </r>
  <r>
    <x v="19"/>
    <x v="5"/>
    <x v="0"/>
    <s v="5100106"/>
    <n v="400020"/>
    <s v="O/P Care Svcs Rev--Medicare"/>
    <s v="Pharmacy"/>
    <x v="0"/>
    <n v="1100"/>
    <n v="-2745055.35"/>
    <n v="-2964747.53"/>
    <n v="-2488280.15"/>
    <n v="-2980074.18"/>
    <n v="-2682823.2000000002"/>
    <n v="-2993028.44"/>
    <n v="-3669421.93"/>
    <n v="-3060861.74"/>
    <n v="-3393063.3"/>
    <n v="-3920217.57"/>
    <n v="-3783781.53"/>
    <n v="-3710547.18"/>
    <n v="-38391902.100000001"/>
    <n v="-73234.349999999627"/>
  </r>
  <r>
    <x v="19"/>
    <x v="5"/>
    <x v="0"/>
    <s v="5100106"/>
    <n v="400020"/>
    <s v="O/P Care Svcs Rev--Medicaid"/>
    <s v="Pharmacy"/>
    <x v="0"/>
    <n v="1200"/>
    <n v="-719940.35"/>
    <n v="-1032172.1"/>
    <n v="-1029801.45"/>
    <n v="-1193019.8500000001"/>
    <n v="-998091"/>
    <n v="-1245201.1499999999"/>
    <n v="-1166997.7"/>
    <n v="-874987.63"/>
    <n v="-872688.98"/>
    <n v="-1053569.81"/>
    <n v="-837340.98"/>
    <n v="-1062646.1399999999"/>
    <n v="-12086457.140000002"/>
    <n v="225305.15999999992"/>
  </r>
  <r>
    <x v="19"/>
    <x v="5"/>
    <x v="0"/>
    <s v="5100106"/>
    <n v="400020"/>
    <s v="O/P Care Svcs Rev--Comm Insurance"/>
    <s v="Pharmacy"/>
    <x v="0"/>
    <n v="1300"/>
    <n v="-342466.62"/>
    <n v="-322528.19"/>
    <n v="-356318.94"/>
    <n v="-477907.9"/>
    <n v="-462859.04"/>
    <n v="-260911.53"/>
    <n v="-197609.94"/>
    <n v="-249551.35"/>
    <n v="-138750.29"/>
    <n v="-149376.68"/>
    <n v="-211877.47"/>
    <n v="-164394.20000000001"/>
    <n v="-3334552.1500000004"/>
    <n v="-47483.26999999999"/>
  </r>
  <r>
    <x v="19"/>
    <x v="5"/>
    <x v="0"/>
    <s v="5100106"/>
    <n v="400020"/>
    <s v="O/P Care Svcs Rev--BCBS Comm"/>
    <s v="Pharmacy"/>
    <x v="0"/>
    <n v="1301"/>
    <n v="-602284.13"/>
    <n v="-662560.01"/>
    <n v="-546062.94999999995"/>
    <n v="-850965.3"/>
    <n v="-438122.89"/>
    <n v="-591550.44999999995"/>
    <n v="-640154.36"/>
    <n v="-525001.99"/>
    <n v="-634952.62"/>
    <n v="-729672.35"/>
    <n v="-730250.07"/>
    <n v="-757857.76"/>
    <n v="-7709434.8800000008"/>
    <n v="27607.690000000061"/>
  </r>
  <r>
    <x v="19"/>
    <x v="5"/>
    <x v="0"/>
    <s v="5100106"/>
    <n v="400020"/>
    <s v="O/P Care Svcs Rev--Managed Care"/>
    <s v="Pharmacy"/>
    <x v="0"/>
    <n v="1400"/>
    <n v="-955185.01"/>
    <n v="-1127636.94"/>
    <n v="-850150.83"/>
    <n v="-1213994.52"/>
    <n v="-1008296.53"/>
    <n v="-1046311.68"/>
    <n v="-1058487.8999999999"/>
    <n v="-1027762.36"/>
    <n v="-1470693.44"/>
    <n v="-1647842.16"/>
    <n v="-1364054.45"/>
    <n v="-1381316.08"/>
    <n v="-14151731.9"/>
    <n v="17261.630000000121"/>
  </r>
  <r>
    <x v="19"/>
    <x v="5"/>
    <x v="0"/>
    <s v="5100106"/>
    <n v="400020"/>
    <s v="O/P Care Svcs Rev--Self Pay"/>
    <s v="Pharmacy"/>
    <x v="0"/>
    <n v="1500"/>
    <n v="-86465.05"/>
    <n v="-191716.95"/>
    <n v="-91587.4"/>
    <n v="-64765.35"/>
    <n v="-158592.45000000001"/>
    <n v="-109275.5"/>
    <n v="-103502.8"/>
    <n v="-64278.8"/>
    <n v="-70739.05"/>
    <n v="-99562.09"/>
    <n v="-149581.20000000001"/>
    <n v="-66099.3"/>
    <n v="-1256165.9400000002"/>
    <n v="-83481.900000000009"/>
  </r>
  <r>
    <x v="19"/>
    <x v="5"/>
    <x v="0"/>
    <s v="5100106"/>
    <n v="400020"/>
    <s v="O/P Care Svcs Rev--Other"/>
    <s v="Pharmacy"/>
    <x v="0"/>
    <n v="1700"/>
    <n v="-39358.9"/>
    <n v="-67939.47"/>
    <n v="-44906.52"/>
    <n v="-43740.19"/>
    <n v="-42186.45"/>
    <n v="-47708.15"/>
    <n v="-41929.07"/>
    <n v="-41773.040000000001"/>
    <n v="-119106.79"/>
    <n v="-85137.59"/>
    <n v="-126755.79"/>
    <n v="-90772.21"/>
    <n v="-791314.16999999993"/>
    <n v="-35983.579999999987"/>
  </r>
  <r>
    <x v="14"/>
    <x v="5"/>
    <x v="0"/>
    <s v="5100106"/>
    <n v="600050"/>
    <s v="Miscellaneous Revenue"/>
    <s v="Pharmacy"/>
    <x v="0"/>
    <m/>
    <n v="-3679.48"/>
    <n v="-1880.29"/>
    <n v="-974.68"/>
    <n v="-54.7"/>
    <n v="243.6"/>
    <n v="-3544.23"/>
    <n v="3469.9"/>
    <n v="0"/>
    <n v="-1543.56"/>
    <n v="0"/>
    <n v="1117.3599999999999"/>
    <n v="-10.92"/>
    <n v="-6857.0000000000009"/>
    <n v="1128.28"/>
  </r>
  <r>
    <x v="14"/>
    <x v="5"/>
    <x v="0"/>
    <s v="5100106"/>
    <n v="600050"/>
    <s v="Misc.Revenue-Contract Services"/>
    <s v="Pharmacy"/>
    <x v="0"/>
    <n v="1017"/>
    <n v="-149301.24"/>
    <n v="-184439.35"/>
    <n v="-129125.52"/>
    <n v="-153781.26999999999"/>
    <n v="-180850.06"/>
    <n v="-196200.73"/>
    <n v="-175625.75"/>
    <n v="-161567.93"/>
    <n v="-125132.69"/>
    <n v="-113527.09"/>
    <n v="-110694.98"/>
    <n v="-76317.649999999994"/>
    <n v="-1756564.2599999998"/>
    <n v="-34377.33"/>
  </r>
  <r>
    <x v="5"/>
    <x v="5"/>
    <x v="0"/>
    <s v="5100106"/>
    <n v="700014"/>
    <s v="Salaries-Management-Productive"/>
    <s v="Pharmacy"/>
    <x v="0"/>
    <m/>
    <n v="10131.790000000001"/>
    <n v="11780.68"/>
    <n v="12508.13"/>
    <n v="14116.48"/>
    <n v="14146.08"/>
    <n v="13200.12"/>
    <n v="-896.24"/>
    <n v="0"/>
    <n v="21075.040000000001"/>
    <n v="10537.53"/>
    <n v="14848.69"/>
    <n v="9627.9599999999991"/>
    <n v="131076.25999999998"/>
    <n v="5220.7300000000014"/>
  </r>
  <r>
    <x v="5"/>
    <x v="5"/>
    <x v="0"/>
    <s v="5100106"/>
    <n v="700014"/>
    <s v="Salaries-Management-Other"/>
    <s v="Pharmacy"/>
    <x v="0"/>
    <n v="2000"/>
    <n v="0"/>
    <n v="0"/>
    <n v="0"/>
    <n v="0"/>
    <n v="0"/>
    <n v="0"/>
    <n v="0"/>
    <n v="0"/>
    <n v="30.06"/>
    <n v="-0.02"/>
    <n v="0"/>
    <n v="0"/>
    <n v="30.04"/>
    <n v="0"/>
  </r>
  <r>
    <x v="5"/>
    <x v="5"/>
    <x v="0"/>
    <s v="5100106"/>
    <n v="700018"/>
    <s v="Salaries-Supervisory-Productive"/>
    <s v="Pharmacy"/>
    <x v="0"/>
    <m/>
    <n v="6154.53"/>
    <n v="10210.09"/>
    <n v="10355.049999999999"/>
    <n v="11495.27"/>
    <n v="11187.12"/>
    <n v="9919.6299999999992"/>
    <n v="11130.17"/>
    <n v="9747.3700000000008"/>
    <n v="11764.08"/>
    <n v="11203.55"/>
    <n v="3510.91"/>
    <n v="12473.53"/>
    <n v="119151.3"/>
    <n v="-8962.6200000000008"/>
  </r>
  <r>
    <x v="5"/>
    <x v="5"/>
    <x v="0"/>
    <s v="5100106"/>
    <n v="700032"/>
    <s v="Salaries-Other Pat Care Providers-Productive"/>
    <s v="Pharmacy"/>
    <x v="0"/>
    <m/>
    <n v="170118.25"/>
    <n v="168662.5"/>
    <n v="166287.15"/>
    <n v="183379.4"/>
    <n v="178038.39"/>
    <n v="176328.49"/>
    <n v="177428.24"/>
    <n v="149807.01"/>
    <n v="170865.42"/>
    <n v="152429.64000000001"/>
    <n v="182581.95"/>
    <n v="157654.49"/>
    <n v="2033580.9299999997"/>
    <n v="24927.460000000021"/>
  </r>
  <r>
    <x v="5"/>
    <x v="5"/>
    <x v="0"/>
    <s v="5100106"/>
    <n v="700032"/>
    <s v="Salaries-Other Pat Care Providers-OT"/>
    <s v="Pharmacy"/>
    <x v="0"/>
    <n v="1000"/>
    <n v="1926.01"/>
    <n v="3263.24"/>
    <n v="2016.69"/>
    <n v="1710.67"/>
    <n v="6005.86"/>
    <n v="5409.57"/>
    <n v="3887.93"/>
    <n v="8991.32"/>
    <n v="2307.29"/>
    <n v="2397.81"/>
    <n v="2142.2600000000002"/>
    <n v="3945.66"/>
    <n v="44004.31"/>
    <n v="-1803.3999999999996"/>
  </r>
  <r>
    <x v="5"/>
    <x v="5"/>
    <x v="0"/>
    <s v="5100106"/>
    <n v="700032"/>
    <s v="Salaries-Other Pat Care Providers-Other"/>
    <s v="Pharmacy"/>
    <x v="0"/>
    <n v="2000"/>
    <n v="8476.43"/>
    <n v="10191.49"/>
    <n v="8417.52"/>
    <n v="9695.83"/>
    <n v="8360.68"/>
    <n v="9556.51"/>
    <n v="9484.14"/>
    <n v="7683.38"/>
    <n v="7567.18"/>
    <n v="8034.43"/>
    <n v="8870.1299999999992"/>
    <n v="7992.45"/>
    <n v="104330.17"/>
    <n v="877.67999999999938"/>
  </r>
  <r>
    <x v="5"/>
    <x v="5"/>
    <x v="0"/>
    <s v="5100106"/>
    <n v="700054"/>
    <s v="Salaries-Management-Non-productive"/>
    <s v="Pharmacy"/>
    <x v="0"/>
    <m/>
    <n v="4896.42"/>
    <n v="3248.22"/>
    <n v="2036.16"/>
    <n v="1245.27"/>
    <n v="796.94"/>
    <n v="2241.5300000000002"/>
    <n v="-99.58"/>
    <n v="0"/>
    <n v="0"/>
    <n v="0"/>
    <n v="0"/>
    <n v="4741.93"/>
    <n v="19106.89"/>
    <n v="-4741.93"/>
  </r>
  <r>
    <x v="5"/>
    <x v="5"/>
    <x v="0"/>
    <s v="5100106"/>
    <n v="700054"/>
    <s v="Salaries-Management-NonProd-Other"/>
    <s v="Pharmacy"/>
    <x v="0"/>
    <n v="2000"/>
    <n v="0"/>
    <n v="0"/>
    <n v="0"/>
    <n v="0"/>
    <n v="0"/>
    <n v="1177.79"/>
    <n v="-1177.79"/>
    <n v="0"/>
    <n v="0"/>
    <n v="0"/>
    <n v="0"/>
    <n v="0"/>
    <n v="0"/>
    <n v="0"/>
  </r>
  <r>
    <x v="5"/>
    <x v="5"/>
    <x v="0"/>
    <s v="5100106"/>
    <n v="700058"/>
    <s v="Salaries-Supervisory-Non-productive"/>
    <s v="Pharmacy"/>
    <x v="0"/>
    <m/>
    <n v="0"/>
    <n v="665.28"/>
    <n v="506.88"/>
    <n v="0"/>
    <n v="0"/>
    <n v="1640.79"/>
    <n v="448.3"/>
    <n v="709.55"/>
    <n v="-186.7"/>
    <n v="0"/>
    <n v="8066.47"/>
    <n v="-1269.47"/>
    <n v="10581.1"/>
    <n v="9335.94"/>
  </r>
  <r>
    <x v="5"/>
    <x v="5"/>
    <x v="0"/>
    <s v="5100106"/>
    <n v="700072"/>
    <s v="Salaries-Other Pat Care Providers-Non-productive"/>
    <s v="Pharmacy"/>
    <x v="0"/>
    <m/>
    <n v="38557.43"/>
    <n v="33077.300000000003"/>
    <n v="30346.959999999999"/>
    <n v="26746.81"/>
    <n v="16270.8"/>
    <n v="38816.18"/>
    <n v="37978.29"/>
    <n v="31058.240000000002"/>
    <n v="19267.099999999999"/>
    <n v="40283.97"/>
    <n v="10170.94"/>
    <n v="27977.11"/>
    <n v="350551.12999999995"/>
    <n v="-17806.169999999998"/>
  </r>
  <r>
    <x v="5"/>
    <x v="5"/>
    <x v="0"/>
    <s v="5100106"/>
    <n v="700072"/>
    <s v="Salaries-Other Pat Care Providers-NonProd-Other"/>
    <s v="Pharmacy"/>
    <x v="0"/>
    <n v="2000"/>
    <n v="881.84"/>
    <n v="643.37"/>
    <n v="499.23"/>
    <n v="679.81"/>
    <n v="683.61"/>
    <n v="1238.46"/>
    <n v="872.95"/>
    <n v="809.2"/>
    <n v="-43.22"/>
    <n v="938.17"/>
    <n v="679.3"/>
    <n v="592.22"/>
    <n v="8474.9399999999987"/>
    <n v="87.079999999999927"/>
  </r>
  <r>
    <x v="5"/>
    <x v="5"/>
    <x v="0"/>
    <s v="5100106"/>
    <n v="700084"/>
    <s v="Accrued PTO"/>
    <s v="Pharmacy"/>
    <x v="0"/>
    <m/>
    <n v="-8319.8799999999992"/>
    <n v="-9034.83"/>
    <n v="-8982.91"/>
    <n v="-617.92999999999995"/>
    <n v="8196.01"/>
    <n v="3630.17"/>
    <n v="3431.75"/>
    <n v="-1090.83"/>
    <n v="2369.35"/>
    <n v="-8009.7"/>
    <n v="1558.02"/>
    <n v="3618.68"/>
    <n v="-13252.099999999999"/>
    <n v="-2060.66"/>
  </r>
  <r>
    <x v="6"/>
    <x v="5"/>
    <x v="0"/>
    <s v="5100106"/>
    <n v="713010"/>
    <s v="Benefits-FICA/Medicare"/>
    <s v="Pharmacy"/>
    <x v="0"/>
    <m/>
    <n v="17929.62"/>
    <n v="18009.18"/>
    <n v="17063.689999999999"/>
    <n v="17386.38"/>
    <n v="13775.05"/>
    <n v="16295.06"/>
    <n v="17907.43"/>
    <n v="15714.16"/>
    <n v="17323.330000000002"/>
    <n v="16693.560000000001"/>
    <n v="18263.91"/>
    <n v="16004.04"/>
    <n v="202365.41000000003"/>
    <n v="2259.869999999999"/>
  </r>
  <r>
    <x v="6"/>
    <x v="5"/>
    <x v="0"/>
    <s v="5100106"/>
    <n v="713090"/>
    <s v="Benefits-Allocated Amounts"/>
    <s v="Pharmacy"/>
    <x v="0"/>
    <m/>
    <n v="45362.45"/>
    <n v="45001.440000000002"/>
    <n v="42169.440000000002"/>
    <n v="42149.15"/>
    <n v="42946.2"/>
    <n v="45418.63"/>
    <n v="43852.17"/>
    <n v="39224.879999999997"/>
    <n v="40559.480000000003"/>
    <n v="41748.449999999997"/>
    <n v="41128.54"/>
    <n v="41161.660000000003"/>
    <n v="510722.49"/>
    <n v="-33.120000000002619"/>
  </r>
  <r>
    <x v="7"/>
    <x v="5"/>
    <x v="0"/>
    <s v="5100106"/>
    <n v="718050"/>
    <s v="Contract Svcs-Other"/>
    <s v="Pharmacy"/>
    <x v="0"/>
    <m/>
    <n v="703.87"/>
    <n v="1389.72"/>
    <n v="129"/>
    <n v="0"/>
    <n v="0"/>
    <n v="3140"/>
    <n v="310"/>
    <n v="1328.67"/>
    <n v="0"/>
    <n v="11842.58"/>
    <n v="-6007.28"/>
    <n v="0"/>
    <n v="12836.560000000001"/>
    <n v="-6007.28"/>
  </r>
  <r>
    <x v="7"/>
    <x v="5"/>
    <x v="0"/>
    <s v="5100106"/>
    <n v="718050"/>
    <s v="Miscellaneous Purchased Svcs"/>
    <s v="Pharmacy"/>
    <x v="0"/>
    <n v="1020"/>
    <n v="4061.17"/>
    <n v="3775.24"/>
    <n v="4500.38"/>
    <n v="5842.86"/>
    <n v="11964.25"/>
    <n v="8906.08"/>
    <n v="24832.29"/>
    <n v="16189.81"/>
    <n v="8995.4599999999991"/>
    <n v="4905.6899999999996"/>
    <n v="4196.45"/>
    <n v="6726.35"/>
    <n v="104896.03000000001"/>
    <n v="-2529.9000000000005"/>
  </r>
  <r>
    <x v="7"/>
    <x v="5"/>
    <x v="0"/>
    <s v="5100106"/>
    <n v="718050"/>
    <s v="Translation Services"/>
    <s v="Pharmacy"/>
    <x v="0"/>
    <n v="1025"/>
    <n v="0"/>
    <n v="0"/>
    <n v="0"/>
    <n v="0"/>
    <n v="0"/>
    <n v="0"/>
    <n v="62"/>
    <n v="70"/>
    <n v="0"/>
    <n v="0"/>
    <n v="0"/>
    <n v="0"/>
    <n v="132"/>
    <n v="0"/>
  </r>
  <r>
    <x v="7"/>
    <x v="5"/>
    <x v="0"/>
    <s v="5100106"/>
    <n v="718050"/>
    <s v="Contract Management--Linen"/>
    <s v="Pharmacy"/>
    <x v="0"/>
    <n v="1026"/>
    <n v="4.47"/>
    <n v="13.09"/>
    <n v="12.26"/>
    <n v="-7.76"/>
    <n v="0.05"/>
    <n v="0"/>
    <n v="0"/>
    <n v="0"/>
    <n v="0.23"/>
    <n v="0"/>
    <n v="0"/>
    <n v="0"/>
    <n v="22.340000000000003"/>
    <n v="0"/>
  </r>
  <r>
    <x v="7"/>
    <x v="5"/>
    <x v="0"/>
    <s v="5100106"/>
    <n v="718050"/>
    <s v="Purchased Srvcs--Medical Waste"/>
    <s v="Pharmacy"/>
    <x v="0"/>
    <n v="1027"/>
    <n v="61.6"/>
    <n v="30.8"/>
    <n v="2023.21"/>
    <n v="1542.37"/>
    <n v="30.8"/>
    <n v="30.8"/>
    <n v="320.02999999999997"/>
    <n v="713.44"/>
    <n v="2074.6799999999998"/>
    <n v="206.19"/>
    <n v="733.27"/>
    <n v="0"/>
    <n v="7767.1900000000005"/>
    <n v="733.27"/>
  </r>
  <r>
    <x v="7"/>
    <x v="5"/>
    <x v="0"/>
    <s v="5100106"/>
    <n v="718070"/>
    <s v="Contract Srvcs-CHI Clinical Engineering"/>
    <s v="Pharmacy"/>
    <x v="0"/>
    <m/>
    <n v="3759"/>
    <n v="3773"/>
    <n v="93.99"/>
    <n v="3773"/>
    <n v="3709"/>
    <n v="3709"/>
    <n v="3709"/>
    <n v="3709"/>
    <n v="3773"/>
    <n v="3773"/>
    <n v="3773"/>
    <n v="3709"/>
    <n v="41262.99"/>
    <n v="64"/>
  </r>
  <r>
    <x v="7"/>
    <x v="5"/>
    <x v="0"/>
    <s v="5100106"/>
    <n v="718091"/>
    <s v="Contract Services-Intracompany Allocation"/>
    <s v="Pharmacy"/>
    <x v="0"/>
    <m/>
    <n v="20618.27"/>
    <n v="20075.810000000001"/>
    <n v="20893.18"/>
    <n v="20443.75"/>
    <n v="20109.03"/>
    <n v="18401.93"/>
    <n v="21018.240000000002"/>
    <n v="18993.88"/>
    <n v="21955.37"/>
    <n v="18960.34"/>
    <n v="23742.29"/>
    <n v="20571.349999999999"/>
    <n v="245783.44"/>
    <n v="3170.9400000000023"/>
  </r>
  <r>
    <x v="11"/>
    <x v="5"/>
    <x v="0"/>
    <s v="5100106"/>
    <n v="721010"/>
    <s v="Supplies-Medical - Billable"/>
    <s v="Pharmacy"/>
    <x v="0"/>
    <m/>
    <n v="16.16"/>
    <n v="32.32"/>
    <n v="16.16"/>
    <n v="48.48"/>
    <n v="0"/>
    <n v="32.32"/>
    <n v="16.16"/>
    <n v="32.32"/>
    <n v="16.16"/>
    <n v="33.619999999999997"/>
    <n v="16.16"/>
    <n v="49.91"/>
    <n v="309.77"/>
    <n v="-33.75"/>
  </r>
  <r>
    <x v="11"/>
    <x v="5"/>
    <x v="0"/>
    <s v="5100106"/>
    <n v="721020"/>
    <s v="Supplies-Surgical - Billable"/>
    <s v="Pharmacy"/>
    <x v="0"/>
    <m/>
    <n v="0"/>
    <n v="0"/>
    <n v="0"/>
    <n v="0"/>
    <n v="1351.52"/>
    <n v="1351.52"/>
    <n v="1105.78"/>
    <n v="767.43"/>
    <n v="2252.5300000000002"/>
    <n v="-204.78"/>
    <n v="1353.28"/>
    <n v="0"/>
    <n v="7977.2800000000007"/>
    <n v="1353.28"/>
  </r>
  <r>
    <x v="11"/>
    <x v="5"/>
    <x v="0"/>
    <s v="5100106"/>
    <n v="721020"/>
    <s v="Suture/Wound Closure"/>
    <s v="Pharmacy"/>
    <x v="0"/>
    <n v="1001"/>
    <n v="956.67"/>
    <n v="956.67"/>
    <n v="1196.53"/>
    <n v="2311.2600000000002"/>
    <n v="836.74"/>
    <n v="1831.54"/>
    <n v="1632.58"/>
    <n v="1673.48"/>
    <n v="756.04"/>
    <n v="1421.88"/>
    <n v="1325.94"/>
    <n v="1328.81"/>
    <n v="16228.14"/>
    <n v="-2.8699999999998909"/>
  </r>
  <r>
    <x v="11"/>
    <x v="5"/>
    <x v="0"/>
    <s v="5100106"/>
    <n v="721240"/>
    <s v="Supplies-IV Solutions/Supplies - Billable"/>
    <s v="Pharmacy"/>
    <x v="0"/>
    <m/>
    <n v="10022.39"/>
    <n v="14545.73"/>
    <n v="15974.87"/>
    <n v="17976.27"/>
    <n v="15031.52"/>
    <n v="15666.2"/>
    <n v="18842.46"/>
    <n v="18954.97"/>
    <n v="18288.169999999998"/>
    <n v="17184.939999999999"/>
    <n v="16474.66"/>
    <n v="18030.36"/>
    <n v="196992.54000000004"/>
    <n v="-1555.7000000000007"/>
  </r>
  <r>
    <x v="11"/>
    <x v="5"/>
    <x v="0"/>
    <s v="5100106"/>
    <n v="721250"/>
    <s v="Supplies-Pharmacy Drugs - Billable"/>
    <s v="Pharmacy"/>
    <x v="0"/>
    <m/>
    <n v="128336.85"/>
    <n v="171598.03"/>
    <n v="127271.53"/>
    <n v="180377.95"/>
    <n v="177655.22"/>
    <n v="154546.04"/>
    <n v="139634.79"/>
    <n v="185956.74"/>
    <n v="190768.12"/>
    <n v="173697.13"/>
    <n v="154357.6"/>
    <n v="144915.32999999999"/>
    <n v="1929115.33"/>
    <n v="9442.2700000000186"/>
  </r>
  <r>
    <x v="11"/>
    <x v="5"/>
    <x v="0"/>
    <s v="5100106"/>
    <n v="721250"/>
    <s v="OP Pharmacy Drugs"/>
    <s v="Pharmacy"/>
    <x v="0"/>
    <n v="1002"/>
    <n v="22603.05"/>
    <n v="21617.5"/>
    <n v="4391.6000000000004"/>
    <n v="10600.23"/>
    <n v="11089.94"/>
    <n v="13102.43"/>
    <n v="10460.49"/>
    <n v="11597.32"/>
    <n v="11112.31"/>
    <n v="24662.400000000001"/>
    <n v="12424.43"/>
    <n v="6723.21"/>
    <n v="160384.90999999997"/>
    <n v="5701.22"/>
  </r>
  <r>
    <x v="11"/>
    <x v="5"/>
    <x v="0"/>
    <s v="5100106"/>
    <n v="721251"/>
    <s v="Supplies-340B Pharmacy Drugs - Billable"/>
    <s v="Pharmacy"/>
    <x v="0"/>
    <m/>
    <n v="411563.64"/>
    <n v="408209.55"/>
    <n v="559999.21"/>
    <n v="642103.07999999996"/>
    <n v="500205.25"/>
    <n v="692811.82"/>
    <n v="731200.24"/>
    <n v="482780.67"/>
    <n v="593159.42000000004"/>
    <n v="578174.17000000004"/>
    <n v="599909.42000000004"/>
    <n v="625988.68999999994"/>
    <n v="6826105.1600000001"/>
    <n v="-26079.269999999902"/>
  </r>
  <r>
    <x v="11"/>
    <x v="5"/>
    <x v="0"/>
    <s v="5100106"/>
    <n v="721320"/>
    <s v="Supplies-Purchased Blood - Billable"/>
    <s v="Pharmacy"/>
    <x v="0"/>
    <m/>
    <n v="0"/>
    <n v="0"/>
    <n v="0"/>
    <n v="0"/>
    <n v="0"/>
    <n v="0"/>
    <n v="0"/>
    <n v="0"/>
    <n v="-32.15"/>
    <n v="331.2"/>
    <n v="364.32"/>
    <n v="-33.119999999999997"/>
    <n v="630.25"/>
    <n v="397.44"/>
  </r>
  <r>
    <x v="11"/>
    <x v="5"/>
    <x v="0"/>
    <s v="5100106"/>
    <n v="721410"/>
    <s v="Supplies-Medical - Nonbillable"/>
    <s v="Pharmacy"/>
    <x v="0"/>
    <m/>
    <n v="3236.46"/>
    <n v="3484.4"/>
    <n v="2653.17"/>
    <n v="3580.68"/>
    <n v="2729.44"/>
    <n v="3034.39"/>
    <n v="3235.45"/>
    <n v="2535.46"/>
    <n v="2739.06"/>
    <n v="-5166.8999999999996"/>
    <n v="-173762.5"/>
    <n v="2583.4"/>
    <n v="-149117.49000000002"/>
    <n v="-176345.9"/>
  </r>
  <r>
    <x v="11"/>
    <x v="5"/>
    <x v="0"/>
    <s v="5100106"/>
    <n v="721420"/>
    <s v="Supplies-Surgical Nonbillable"/>
    <s v="Pharmacy"/>
    <x v="0"/>
    <m/>
    <n v="0"/>
    <n v="0"/>
    <n v="2.91"/>
    <n v="0"/>
    <n v="0"/>
    <n v="0"/>
    <n v="0"/>
    <n v="0"/>
    <n v="0"/>
    <n v="0"/>
    <n v="0"/>
    <n v="0"/>
    <n v="2.91"/>
    <n v="0"/>
  </r>
  <r>
    <x v="11"/>
    <x v="5"/>
    <x v="0"/>
    <s v="5100106"/>
    <n v="721610"/>
    <s v="Supplies-Anesthesia - Nonbillable"/>
    <s v="Pharmacy"/>
    <x v="0"/>
    <m/>
    <n v="155.19999999999999"/>
    <n v="155.19999999999999"/>
    <n v="155.19999999999999"/>
    <n v="155.19999999999999"/>
    <n v="1577.4"/>
    <n v="155.19999999999999"/>
    <n v="0"/>
    <n v="155.19999999999999"/>
    <n v="1577.4"/>
    <n v="155.19999999999999"/>
    <n v="1422.2"/>
    <n v="155.19999999999999"/>
    <n v="5818.5999999999995"/>
    <n v="1267"/>
  </r>
  <r>
    <x v="11"/>
    <x v="5"/>
    <x v="0"/>
    <s v="5100106"/>
    <n v="721640"/>
    <s v="Supplies-IV Solutions/Supplies - Nonbillable"/>
    <s v="Pharmacy"/>
    <x v="0"/>
    <m/>
    <n v="125"/>
    <n v="33.15"/>
    <n v="800.52"/>
    <n v="8262.09"/>
    <n v="3966.75"/>
    <n v="0"/>
    <n v="1097.72"/>
    <n v="56.87"/>
    <n v="338.6"/>
    <n v="0"/>
    <n v="0"/>
    <n v="257.5"/>
    <n v="14938.2"/>
    <n v="-257.5"/>
  </r>
  <r>
    <x v="11"/>
    <x v="5"/>
    <x v="0"/>
    <s v="5100106"/>
    <n v="721650"/>
    <s v="Supplies-Pharmacy Drugs - Nonbillable"/>
    <s v="Pharmacy"/>
    <x v="0"/>
    <m/>
    <n v="943.38"/>
    <n v="143.9"/>
    <n v="173.98"/>
    <n v="385.47"/>
    <n v="34.76"/>
    <n v="2129.21"/>
    <n v="845.2"/>
    <n v="1809.15"/>
    <n v="277.43"/>
    <n v="0"/>
    <n v="618.41999999999996"/>
    <n v="1416.18"/>
    <n v="8777.08"/>
    <n v="-797.7600000000001"/>
  </r>
  <r>
    <x v="11"/>
    <x v="5"/>
    <x v="0"/>
    <s v="5100106"/>
    <n v="721710"/>
    <s v="Supplies-Laboratory - Nonbillable"/>
    <s v="Pharmacy"/>
    <x v="0"/>
    <m/>
    <n v="150.15"/>
    <n v="463.06"/>
    <n v="205.66"/>
    <n v="332.05"/>
    <n v="25.52"/>
    <n v="387.7"/>
    <n v="86.79"/>
    <n v="621.58000000000004"/>
    <n v="124.23"/>
    <n v="791.1"/>
    <n v="684.24"/>
    <n v="-51.51"/>
    <n v="3820.5699999999997"/>
    <n v="735.75"/>
  </r>
  <r>
    <x v="11"/>
    <x v="5"/>
    <x v="0"/>
    <s v="5100106"/>
    <n v="721810"/>
    <s v="Supplies-Dietary/Cafeteria"/>
    <s v="Pharmacy"/>
    <x v="0"/>
    <m/>
    <n v="0"/>
    <n v="0"/>
    <n v="0"/>
    <n v="201.23"/>
    <n v="0"/>
    <n v="8"/>
    <n v="7.16"/>
    <n v="37.700000000000003"/>
    <n v="31.33"/>
    <n v="15.71"/>
    <n v="193.35"/>
    <n v="9.9499999999999993"/>
    <n v="504.42999999999989"/>
    <n v="183.4"/>
  </r>
  <r>
    <x v="11"/>
    <x v="5"/>
    <x v="0"/>
    <s v="5100106"/>
    <n v="721830"/>
    <s v="Supplies-Office"/>
    <s v="Pharmacy"/>
    <x v="0"/>
    <m/>
    <n v="678.25"/>
    <n v="256.39999999999998"/>
    <n v="612.42999999999995"/>
    <n v="498.62"/>
    <n v="480.97"/>
    <n v="114.77"/>
    <n v="332.85"/>
    <n v="763.67"/>
    <n v="237.88"/>
    <n v="920.04"/>
    <n v="367.68"/>
    <n v="28.01"/>
    <n v="5291.5700000000006"/>
    <n v="339.67"/>
  </r>
  <r>
    <x v="11"/>
    <x v="5"/>
    <x v="0"/>
    <s v="5100106"/>
    <n v="721835"/>
    <s v="Supplies-Forms"/>
    <s v="Pharmacy"/>
    <x v="0"/>
    <m/>
    <n v="0"/>
    <n v="0"/>
    <n v="0"/>
    <n v="0"/>
    <n v="0.5"/>
    <n v="50"/>
    <n v="0.5"/>
    <n v="0"/>
    <n v="0"/>
    <n v="0"/>
    <n v="0"/>
    <n v="0"/>
    <n v="51"/>
    <n v="0"/>
  </r>
  <r>
    <x v="11"/>
    <x v="5"/>
    <x v="0"/>
    <s v="5100106"/>
    <n v="721870"/>
    <s v="Supplies-Environmental Services"/>
    <s v="Pharmacy"/>
    <x v="0"/>
    <m/>
    <n v="259.47000000000003"/>
    <n v="706.79"/>
    <n v="895.99"/>
    <n v="488.52"/>
    <n v="1141.92"/>
    <n v="33.31"/>
    <n v="465.91"/>
    <n v="32.58"/>
    <n v="488.68"/>
    <n v="489.38"/>
    <n v="409.84"/>
    <n v="350.95"/>
    <n v="5763.34"/>
    <n v="58.889999999999986"/>
  </r>
  <r>
    <x v="11"/>
    <x v="5"/>
    <x v="0"/>
    <s v="5100106"/>
    <n v="721910"/>
    <s v="Supplies-Small Equipment"/>
    <s v="Pharmacy"/>
    <x v="0"/>
    <m/>
    <n v="1.28"/>
    <n v="583.15"/>
    <n v="82.5"/>
    <n v="-57.53"/>
    <n v="82.5"/>
    <n v="0"/>
    <n v="202.82"/>
    <n v="0"/>
    <n v="0"/>
    <n v="-122.1"/>
    <n v="251.58"/>
    <n v="42.48"/>
    <n v="1066.68"/>
    <n v="209.10000000000002"/>
  </r>
  <r>
    <x v="11"/>
    <x v="5"/>
    <x v="0"/>
    <s v="5100106"/>
    <n v="721980"/>
    <s v="Supplies-Other"/>
    <s v="Pharmacy"/>
    <x v="0"/>
    <m/>
    <n v="0"/>
    <n v="0"/>
    <n v="490.5"/>
    <n v="28.5"/>
    <n v="0"/>
    <n v="5365.82"/>
    <n v="536.59"/>
    <n v="0"/>
    <n v="0"/>
    <n v="180.5"/>
    <n v="824.48"/>
    <n v="0"/>
    <n v="7426.3899999999994"/>
    <n v="824.48"/>
  </r>
  <r>
    <x v="11"/>
    <x v="5"/>
    <x v="0"/>
    <s v="5100106"/>
    <n v="722000"/>
    <s v="Supplies-Freight Expense"/>
    <s v="Pharmacy"/>
    <x v="0"/>
    <m/>
    <n v="67.37"/>
    <n v="218.19"/>
    <n v="123.21"/>
    <n v="144.47999999999999"/>
    <n v="84.56"/>
    <n v="106.21"/>
    <n v="277.7"/>
    <n v="337.1"/>
    <n v="427.65"/>
    <n v="150.97999999999999"/>
    <n v="562.21"/>
    <n v="531.13"/>
    <n v="3030.7900000000004"/>
    <n v="31.080000000000041"/>
  </r>
  <r>
    <x v="11"/>
    <x v="5"/>
    <x v="0"/>
    <s v="5100106"/>
    <n v="722000"/>
    <s v="Rush Order Fees"/>
    <s v="Pharmacy"/>
    <x v="0"/>
    <n v="1005"/>
    <n v="0"/>
    <n v="68"/>
    <n v="0"/>
    <n v="0"/>
    <n v="0"/>
    <n v="0"/>
    <n v="0"/>
    <n v="0"/>
    <n v="0"/>
    <n v="0"/>
    <n v="0"/>
    <n v="0"/>
    <n v="68"/>
    <n v="0"/>
  </r>
  <r>
    <x v="11"/>
    <x v="5"/>
    <x v="0"/>
    <s v="5100106"/>
    <n v="723000"/>
    <s v="Supply Rebates/Patronage Dividend"/>
    <s v="Pharmacy"/>
    <x v="0"/>
    <m/>
    <n v="0"/>
    <n v="0"/>
    <n v="-7265.36"/>
    <n v="0"/>
    <n v="0"/>
    <n v="-3797.68"/>
    <n v="0"/>
    <n v="0"/>
    <n v="-3645.4"/>
    <n v="0"/>
    <n v="0"/>
    <n v="-4935.95"/>
    <n v="-19644.39"/>
    <n v="4935.95"/>
  </r>
  <r>
    <x v="12"/>
    <x v="5"/>
    <x v="0"/>
    <s v="5100106"/>
    <n v="730020"/>
    <s v="Rental and Leases-Copier Usage Fees (DO NOT USE)"/>
    <s v="Pharmacy"/>
    <x v="0"/>
    <n v="5100"/>
    <n v="464.07"/>
    <n v="461.1"/>
    <n v="462.58"/>
    <n v="462.58"/>
    <n v="462.58"/>
    <n v="462.58"/>
    <n v="225.64"/>
    <n v="193.97"/>
    <n v="193.56"/>
    <n v="1023.62"/>
    <n v="193.97"/>
    <n v="225.59"/>
    <n v="4831.84"/>
    <n v="-31.620000000000005"/>
  </r>
  <r>
    <x v="15"/>
    <x v="5"/>
    <x v="0"/>
    <s v="5100106"/>
    <n v="731060"/>
    <s v="Telephone"/>
    <s v="Pharmacy"/>
    <x v="0"/>
    <m/>
    <n v="0"/>
    <n v="0"/>
    <n v="0"/>
    <n v="0"/>
    <n v="0"/>
    <n v="0"/>
    <n v="43"/>
    <n v="0"/>
    <n v="4.3"/>
    <n v="0"/>
    <n v="0"/>
    <n v="0"/>
    <n v="47.3"/>
    <n v="0"/>
  </r>
  <r>
    <x v="15"/>
    <x v="5"/>
    <x v="0"/>
    <s v="5100106"/>
    <n v="731060"/>
    <s v="Pagers"/>
    <s v="Pharmacy"/>
    <x v="0"/>
    <n v="1002"/>
    <n v="31.96"/>
    <n v="31.96"/>
    <n v="31.96"/>
    <n v="32.08"/>
    <n v="32.08"/>
    <n v="0"/>
    <n v="64.16"/>
    <n v="32.08"/>
    <n v="16.04"/>
    <n v="16.02"/>
    <n v="16.02"/>
    <n v="16.02"/>
    <n v="320.37999999999994"/>
    <n v="0"/>
  </r>
  <r>
    <x v="16"/>
    <x v="5"/>
    <x v="0"/>
    <s v="5100106"/>
    <n v="732020"/>
    <s v="Repairs--Clin Equip-Parts-Internal to CHI Programs"/>
    <s v="Pharmacy"/>
    <x v="0"/>
    <m/>
    <n v="124.75"/>
    <n v="199.66"/>
    <n v="124.75"/>
    <n v="0"/>
    <n v="0"/>
    <n v="0"/>
    <n v="374.25"/>
    <n v="0"/>
    <n v="0"/>
    <n v="0"/>
    <n v="0"/>
    <n v="0"/>
    <n v="823.41"/>
    <n v="0"/>
  </r>
  <r>
    <x v="16"/>
    <x v="5"/>
    <x v="0"/>
    <s v="5100106"/>
    <n v="732030"/>
    <s v="Repairs---Other"/>
    <s v="Pharmacy"/>
    <x v="0"/>
    <m/>
    <n v="418.99"/>
    <n v="41.5"/>
    <n v="750"/>
    <n v="871.2"/>
    <n v="0"/>
    <n v="3050"/>
    <n v="873.4"/>
    <n v="1006.77"/>
    <n v="3110"/>
    <n v="48550"/>
    <n v="159.5"/>
    <n v="4918.8"/>
    <n v="63750.16"/>
    <n v="-4759.3"/>
  </r>
  <r>
    <x v="16"/>
    <x v="5"/>
    <x v="0"/>
    <s v="5100106"/>
    <n v="733030"/>
    <s v="Maintenance Contracts-Other"/>
    <s v="Pharmacy"/>
    <x v="0"/>
    <m/>
    <n v="0"/>
    <n v="0"/>
    <n v="16909.04"/>
    <n v="0"/>
    <n v="-16909.04"/>
    <n v="0"/>
    <n v="0"/>
    <n v="0"/>
    <n v="0"/>
    <n v="0"/>
    <n v="0"/>
    <n v="0"/>
    <n v="0"/>
    <n v="0"/>
  </r>
  <r>
    <x v="13"/>
    <x v="5"/>
    <x v="0"/>
    <s v="5100106"/>
    <n v="735040"/>
    <s v="Depreciation-Building Improvements"/>
    <s v="Pharmacy"/>
    <x v="0"/>
    <m/>
    <n v="6055.45"/>
    <n v="6055.44"/>
    <n v="6055.46"/>
    <n v="6055.43"/>
    <n v="6055.46"/>
    <n v="6055.41"/>
    <n v="6055.49"/>
    <n v="6055.4"/>
    <n v="6055.49"/>
    <n v="6055.38"/>
    <n v="6055.51"/>
    <n v="6055.36"/>
    <n v="72665.279999999984"/>
    <n v="0.1500000000005457"/>
  </r>
  <r>
    <x v="13"/>
    <x v="5"/>
    <x v="0"/>
    <s v="5100106"/>
    <n v="735060"/>
    <s v="Depreciation-Fixed Equipment"/>
    <s v="Pharmacy"/>
    <x v="0"/>
    <m/>
    <n v="1325.58"/>
    <n v="1325.58"/>
    <n v="1325.58"/>
    <n v="1325.58"/>
    <n v="1325.59"/>
    <n v="1325.58"/>
    <n v="1325.61"/>
    <n v="1325.58"/>
    <n v="1325.62"/>
    <n v="1325.57"/>
    <n v="1325.65"/>
    <n v="1325.56"/>
    <n v="15907.079999999998"/>
    <n v="9.0000000000145519E-2"/>
  </r>
  <r>
    <x v="13"/>
    <x v="5"/>
    <x v="0"/>
    <s v="5100106"/>
    <n v="735070"/>
    <s v="Depreciation-Movable Equipment"/>
    <s v="Pharmacy"/>
    <x v="0"/>
    <m/>
    <n v="20965.900000000001"/>
    <n v="20965.849999999999"/>
    <n v="20965.95"/>
    <n v="20965.82"/>
    <n v="20790.07"/>
    <n v="20789.82"/>
    <n v="20790.11"/>
    <n v="20789.77"/>
    <n v="20790.22"/>
    <n v="20789.72"/>
    <n v="20790.29"/>
    <n v="21406.65"/>
    <n v="250800.17"/>
    <n v="-616.36000000000058"/>
  </r>
  <r>
    <x v="0"/>
    <x v="5"/>
    <x v="0"/>
    <s v="5100106"/>
    <n v="740010"/>
    <s v="Education-Materials"/>
    <s v="Pharmacy"/>
    <x v="0"/>
    <m/>
    <n v="0"/>
    <n v="90"/>
    <n v="0"/>
    <n v="90"/>
    <n v="0"/>
    <n v="110"/>
    <n v="0"/>
    <n v="0"/>
    <n v="110"/>
    <n v="110"/>
    <n v="0"/>
    <n v="0"/>
    <n v="510"/>
    <n v="0"/>
  </r>
  <r>
    <x v="0"/>
    <x v="5"/>
    <x v="0"/>
    <s v="5100106"/>
    <n v="740020"/>
    <s v="Education-Registration Fees"/>
    <s v="Pharmacy"/>
    <x v="0"/>
    <m/>
    <n v="0"/>
    <n v="380"/>
    <n v="0"/>
    <n v="0"/>
    <n v="205"/>
    <n v="0"/>
    <n v="645"/>
    <n v="165"/>
    <n v="0"/>
    <n v="0"/>
    <n v="0"/>
    <n v="330"/>
    <n v="1725"/>
    <n v="-330"/>
  </r>
  <r>
    <x v="0"/>
    <x v="5"/>
    <x v="0"/>
    <s v="5100106"/>
    <n v="742030"/>
    <s v="Freight-Courier"/>
    <s v="Pharmacy"/>
    <x v="0"/>
    <m/>
    <n v="0"/>
    <n v="0"/>
    <n v="0"/>
    <n v="0"/>
    <n v="0"/>
    <n v="0"/>
    <n v="0"/>
    <n v="0"/>
    <n v="0"/>
    <n v="0"/>
    <n v="212"/>
    <n v="0"/>
    <n v="212"/>
    <n v="212"/>
  </r>
  <r>
    <x v="0"/>
    <x v="5"/>
    <x v="0"/>
    <s v="5100106"/>
    <n v="743020"/>
    <s v="Dues--Individual"/>
    <s v="Pharmacy"/>
    <x v="0"/>
    <m/>
    <n v="0"/>
    <n v="0"/>
    <n v="1354.47"/>
    <n v="0"/>
    <n v="0"/>
    <n v="829"/>
    <n v="0"/>
    <n v="0"/>
    <n v="0"/>
    <n v="0"/>
    <n v="275"/>
    <n v="0"/>
    <n v="2458.4700000000003"/>
    <n v="275"/>
  </r>
  <r>
    <x v="0"/>
    <x v="5"/>
    <x v="0"/>
    <s v="5100106"/>
    <n v="743030"/>
    <s v="Subscriptions--Institutional"/>
    <s v="Pharmacy"/>
    <x v="0"/>
    <m/>
    <n v="0"/>
    <n v="0"/>
    <n v="0"/>
    <n v="165.15"/>
    <n v="290.7"/>
    <n v="0"/>
    <n v="0"/>
    <n v="0"/>
    <n v="0"/>
    <n v="0"/>
    <n v="76.849999999999994"/>
    <n v="0"/>
    <n v="532.70000000000005"/>
    <n v="76.849999999999994"/>
  </r>
  <r>
    <x v="0"/>
    <x v="5"/>
    <x v="0"/>
    <s v="5100106"/>
    <n v="743040"/>
    <s v="Subscriptions--Individual"/>
    <s v="Pharmacy"/>
    <x v="0"/>
    <m/>
    <n v="0"/>
    <n v="0"/>
    <n v="320"/>
    <n v="0"/>
    <n v="0"/>
    <n v="90"/>
    <n v="0"/>
    <n v="0"/>
    <n v="110"/>
    <n v="0"/>
    <n v="0"/>
    <n v="110"/>
    <n v="630"/>
    <n v="-110"/>
  </r>
  <r>
    <x v="0"/>
    <x v="5"/>
    <x v="0"/>
    <s v="5100106"/>
    <n v="749510"/>
    <s v="Miscellaneous Expenses"/>
    <s v="Pharmacy"/>
    <x v="0"/>
    <m/>
    <n v="2386.52"/>
    <n v="2944.48"/>
    <n v="-300"/>
    <n v="0"/>
    <n v="166.5"/>
    <n v="316.39999999999998"/>
    <n v="136.29"/>
    <n v="31.9"/>
    <n v="-141.9"/>
    <n v="31.9"/>
    <n v="-31.9"/>
    <n v="-192.78"/>
    <n v="5347.41"/>
    <n v="160.88"/>
  </r>
  <r>
    <x v="0"/>
    <x v="5"/>
    <x v="0"/>
    <s v="5100106"/>
    <n v="749510"/>
    <s v="Licenses"/>
    <s v="Pharmacy"/>
    <x v="0"/>
    <n v="1002"/>
    <n v="620"/>
    <n v="265"/>
    <n v="1031"/>
    <n v="0"/>
    <n v="0"/>
    <n v="0"/>
    <n v="0"/>
    <n v="0"/>
    <n v="1580"/>
    <n v="0"/>
    <n v="5"/>
    <n v="0"/>
    <n v="3501"/>
    <n v="5"/>
  </r>
  <r>
    <x v="0"/>
    <x v="5"/>
    <x v="0"/>
    <s v="5100106"/>
    <n v="749510"/>
    <s v="RICE Rewards"/>
    <s v="Pharmacy"/>
    <x v="0"/>
    <n v="5100"/>
    <n v="0"/>
    <n v="0"/>
    <n v="0"/>
    <n v="0"/>
    <n v="0"/>
    <n v="389.77"/>
    <n v="0"/>
    <n v="0"/>
    <n v="0"/>
    <n v="0"/>
    <n v="0"/>
    <n v="390"/>
    <n v="779.77"/>
    <n v="-390"/>
  </r>
  <r>
    <x v="0"/>
    <x v="5"/>
    <x v="0"/>
    <s v="5100106"/>
    <n v="749530"/>
    <s v="Travel"/>
    <s v="Pharmacy"/>
    <x v="0"/>
    <m/>
    <n v="0"/>
    <n v="0"/>
    <n v="0"/>
    <n v="0"/>
    <n v="519.75"/>
    <n v="807.32"/>
    <n v="0"/>
    <n v="0"/>
    <n v="0"/>
    <n v="0"/>
    <n v="0"/>
    <n v="0"/>
    <n v="1327.0700000000002"/>
    <n v="0"/>
  </r>
  <r>
    <x v="0"/>
    <x v="5"/>
    <x v="0"/>
    <s v="5100106"/>
    <n v="749530"/>
    <s v="Mileage"/>
    <s v="Pharmacy"/>
    <x v="0"/>
    <n v="1001"/>
    <n v="0"/>
    <n v="0"/>
    <n v="76.31"/>
    <n v="0"/>
    <n v="0"/>
    <n v="0"/>
    <n v="0"/>
    <n v="0"/>
    <n v="31.9"/>
    <n v="0"/>
    <n v="63.8"/>
    <n v="0"/>
    <n v="172.01"/>
    <n v="63.8"/>
  </r>
  <r>
    <x v="18"/>
    <x v="6"/>
    <x v="0"/>
    <s v="5100107"/>
    <n v="400010"/>
    <s v="Acute I/P Svcs Rev--Medicare"/>
    <s v="Pharmacy-Bremerton"/>
    <x v="0"/>
    <n v="1100"/>
    <n v="-6753462.2199999997"/>
    <n v="-6370564.6900000004"/>
    <n v="-7182146.1500000004"/>
    <n v="-6530708.6500000004"/>
    <n v="-5971712.5800000001"/>
    <n v="-7459923.2000000002"/>
    <n v="-7787989.8499999996"/>
    <n v="-7423648.6900000004"/>
    <n v="-8059438.7000000002"/>
    <n v="-6499871.7999999998"/>
    <n v="-6679327.0999999996"/>
    <n v="-7605426.5"/>
    <n v="-84324220.129999995"/>
    <n v="926099.40000000037"/>
  </r>
  <r>
    <x v="18"/>
    <x v="6"/>
    <x v="0"/>
    <s v="5100107"/>
    <n v="400010"/>
    <s v="Acute I/P Svcs Rev--Medicaid"/>
    <s v="Pharmacy-Bremerton"/>
    <x v="0"/>
    <n v="1200"/>
    <n v="-1497158.5"/>
    <n v="-2458133.5499999998"/>
    <n v="-1652042.88"/>
    <n v="-1701713.67"/>
    <n v="-1538473.35"/>
    <n v="-1540381.35"/>
    <n v="-1527631.12"/>
    <n v="-2012385.15"/>
    <n v="-1915740.4"/>
    <n v="-1820767.65"/>
    <n v="-2080018.35"/>
    <n v="-2793444.7"/>
    <n v="-22537890.669999998"/>
    <n v="713426.35000000009"/>
  </r>
  <r>
    <x v="18"/>
    <x v="6"/>
    <x v="0"/>
    <s v="5100107"/>
    <n v="400010"/>
    <s v="Acute I/P Svcs Rev--Comm Insurance"/>
    <s v="Pharmacy-Bremerton"/>
    <x v="0"/>
    <n v="1300"/>
    <n v="35098.1"/>
    <n v="9588.7999999999993"/>
    <n v="-14056.4"/>
    <n v="-156143.5"/>
    <n v="-46122.79"/>
    <n v="-253232.5"/>
    <n v="89048.2"/>
    <n v="-541641.80000000005"/>
    <n v="-203896.05"/>
    <n v="-167936.9"/>
    <n v="389016.9"/>
    <n v="-1113.3"/>
    <n v="-861391.24000000011"/>
    <n v="390130.2"/>
  </r>
  <r>
    <x v="18"/>
    <x v="6"/>
    <x v="0"/>
    <s v="5100107"/>
    <n v="400010"/>
    <s v="Acute I/P Svcs Rev--BCBS Comm"/>
    <s v="Pharmacy-Bremerton"/>
    <x v="0"/>
    <n v="1301"/>
    <n v="-296788.2"/>
    <n v="-521642.85"/>
    <n v="-483618.83"/>
    <n v="-396411.35"/>
    <n v="-509745.25"/>
    <n v="-469990.85"/>
    <n v="-517563.2"/>
    <n v="-404242.7"/>
    <n v="-542264.25"/>
    <n v="-754383.1"/>
    <n v="-1303817.2"/>
    <n v="-484862.25"/>
    <n v="-6685330.0300000003"/>
    <n v="-818954.95"/>
  </r>
  <r>
    <x v="18"/>
    <x v="6"/>
    <x v="0"/>
    <s v="5100107"/>
    <n v="400010"/>
    <s v="Acute I/P Svcs Rev--Managed Care"/>
    <s v="Pharmacy-Bremerton"/>
    <x v="0"/>
    <n v="1400"/>
    <n v="-1026090.15"/>
    <n v="-974693.05"/>
    <n v="-1342068.8600000001"/>
    <n v="-200479.5"/>
    <n v="-832050.05"/>
    <n v="-402932.45"/>
    <n v="-981090.2"/>
    <n v="-1107310.8999999999"/>
    <n v="-1098551.8500000001"/>
    <n v="-1066402.95"/>
    <n v="-1208674.2"/>
    <n v="-1024987.9"/>
    <n v="-11265332.059999999"/>
    <n v="-183686.29999999993"/>
  </r>
  <r>
    <x v="18"/>
    <x v="6"/>
    <x v="0"/>
    <s v="5100107"/>
    <n v="400010"/>
    <s v="Acute I/P Svcs Rev--Self Pay"/>
    <s v="Pharmacy-Bremerton"/>
    <x v="0"/>
    <n v="1500"/>
    <n v="123.1"/>
    <n v="-120307.15"/>
    <n v="-213123.75"/>
    <n v="87286.85"/>
    <n v="-70565.3"/>
    <n v="-114916.05"/>
    <n v="-101637.25"/>
    <n v="-146686.5"/>
    <n v="13725.8"/>
    <n v="-24977.4"/>
    <n v="-91754.7"/>
    <n v="-99410.7"/>
    <n v="-882243.04999999993"/>
    <n v="7656"/>
  </r>
  <r>
    <x v="18"/>
    <x v="6"/>
    <x v="0"/>
    <s v="5100107"/>
    <n v="400010"/>
    <s v="Acute I/P Svcs Rev--Other"/>
    <s v="Pharmacy-Bremerton"/>
    <x v="0"/>
    <n v="1700"/>
    <n v="-514501.6"/>
    <n v="-602274.1"/>
    <n v="-883954.03"/>
    <n v="-581935.80000000005"/>
    <n v="-721862.1"/>
    <n v="-286864"/>
    <n v="-295191.45"/>
    <n v="-399545.9"/>
    <n v="-930070.7"/>
    <n v="-340797.6"/>
    <n v="-1015652.4"/>
    <n v="-506759.65"/>
    <n v="-7079409.330000001"/>
    <n v="-508892.75"/>
  </r>
  <r>
    <x v="19"/>
    <x v="6"/>
    <x v="0"/>
    <s v="5100107"/>
    <n v="400020"/>
    <s v="O/P Care Svcs Rev--Medicare"/>
    <s v="Pharmacy-Bremerton"/>
    <x v="0"/>
    <n v="1100"/>
    <n v="-2860611.19"/>
    <n v="-3040268.65"/>
    <n v="-2584551.7000000002"/>
    <n v="-3277917.97"/>
    <n v="-3280091.72"/>
    <n v="-2890212.93"/>
    <n v="-3713603.53"/>
    <n v="-2834814.46"/>
    <n v="-3039648.33"/>
    <n v="-3422257.36"/>
    <n v="-3783655.94"/>
    <n v="-3633113.75"/>
    <n v="-38360747.530000001"/>
    <n v="-150542.18999999994"/>
  </r>
  <r>
    <x v="19"/>
    <x v="6"/>
    <x v="0"/>
    <s v="5100107"/>
    <n v="400020"/>
    <s v="O/P Care Svcs Rev--Medicaid"/>
    <s v="Pharmacy-Bremerton"/>
    <x v="0"/>
    <n v="1200"/>
    <n v="-1162579.1299999999"/>
    <n v="-971770.46"/>
    <n v="-880879.14"/>
    <n v="-1062779.49"/>
    <n v="-1238413.79"/>
    <n v="-1021137.08"/>
    <n v="-1245562.18"/>
    <n v="-852072.37"/>
    <n v="-1139709.69"/>
    <n v="-1051953.23"/>
    <n v="-1342349.72"/>
    <n v="-1454052.53"/>
    <n v="-13423258.809999999"/>
    <n v="111702.81000000006"/>
  </r>
  <r>
    <x v="19"/>
    <x v="6"/>
    <x v="0"/>
    <s v="5100107"/>
    <n v="400020"/>
    <s v="O/P Care Svcs Rev--Comm Insurance"/>
    <s v="Pharmacy-Bremerton"/>
    <x v="0"/>
    <n v="1300"/>
    <n v="-8776.34"/>
    <n v="-34217.15"/>
    <n v="-59351.1"/>
    <n v="-29616.87"/>
    <n v="-54608.5"/>
    <n v="-55692.87"/>
    <n v="-68787.14"/>
    <n v="-115743.91"/>
    <n v="-106580.7"/>
    <n v="-140155.73000000001"/>
    <n v="-160952.51999999999"/>
    <n v="-98438.73"/>
    <n v="-932921.55999999994"/>
    <n v="-62513.789999999994"/>
  </r>
  <r>
    <x v="19"/>
    <x v="6"/>
    <x v="0"/>
    <s v="5100107"/>
    <n v="400020"/>
    <s v="O/P Care Svcs Rev--BCBS Comm"/>
    <s v="Pharmacy-Bremerton"/>
    <x v="0"/>
    <n v="1301"/>
    <n v="-455524.82"/>
    <n v="-392268.55"/>
    <n v="-360423.11"/>
    <n v="-407446.04"/>
    <n v="-361141.38"/>
    <n v="-424959.15"/>
    <n v="-521055.56"/>
    <n v="-478868.76"/>
    <n v="-485971.9"/>
    <n v="-384649.5"/>
    <n v="-665609.82999999996"/>
    <n v="-605043.44999999995"/>
    <n v="-5542962.0499999998"/>
    <n v="-60566.380000000005"/>
  </r>
  <r>
    <x v="19"/>
    <x v="6"/>
    <x v="0"/>
    <s v="5100107"/>
    <n v="400020"/>
    <s v="O/P Care Svcs Rev--Managed Care"/>
    <s v="Pharmacy-Bremerton"/>
    <x v="0"/>
    <n v="1400"/>
    <n v="-785061.53"/>
    <n v="-1121684.19"/>
    <n v="-651870.31999999995"/>
    <n v="-912259.64"/>
    <n v="-962841.62"/>
    <n v="-684212.91"/>
    <n v="-801638.31"/>
    <n v="-796145.97"/>
    <n v="-835384.17"/>
    <n v="-839431.39"/>
    <n v="-765010.45"/>
    <n v="-759457.23"/>
    <n v="-9914997.7299999986"/>
    <n v="-5553.2199999999721"/>
  </r>
  <r>
    <x v="19"/>
    <x v="6"/>
    <x v="0"/>
    <s v="5100107"/>
    <n v="400020"/>
    <s v="O/P Care Svcs Rev--Self Pay"/>
    <s v="Pharmacy-Bremerton"/>
    <x v="0"/>
    <n v="1500"/>
    <n v="-9644.44"/>
    <n v="-41831.4"/>
    <n v="-68156.92"/>
    <n v="-52580.25"/>
    <n v="-39940.28"/>
    <n v="-53115.46"/>
    <n v="-53662.6"/>
    <n v="-60146.91"/>
    <n v="-47623.23"/>
    <n v="-46210.77"/>
    <n v="-80583.53"/>
    <n v="-33757.21"/>
    <n v="-587253"/>
    <n v="-46826.32"/>
  </r>
  <r>
    <x v="19"/>
    <x v="6"/>
    <x v="0"/>
    <s v="5100107"/>
    <n v="400020"/>
    <s v="O/P Care Svcs Rev--Other"/>
    <s v="Pharmacy-Bremerton"/>
    <x v="0"/>
    <n v="1700"/>
    <n v="-254682.68"/>
    <n v="-375789.53"/>
    <n v="-331392.8"/>
    <n v="-305430.40999999997"/>
    <n v="-359893.17"/>
    <n v="-425671.24"/>
    <n v="-197354.54"/>
    <n v="-240591.01"/>
    <n v="-374994.95"/>
    <n v="-297289.31"/>
    <n v="-359134.9"/>
    <n v="-324540.53999999998"/>
    <n v="-3846765.08"/>
    <n v="-34594.360000000044"/>
  </r>
  <r>
    <x v="5"/>
    <x v="6"/>
    <x v="0"/>
    <s v="5100107"/>
    <n v="700014"/>
    <s v="Salaries-Management-Productive"/>
    <s v="Pharmacy-Bremerton"/>
    <x v="0"/>
    <m/>
    <n v="12457.5"/>
    <n v="13299.33"/>
    <n v="15244.21"/>
    <n v="16656.900000000001"/>
    <n v="16203"/>
    <n v="9722.25"/>
    <n v="15471.22"/>
    <n v="14117.7"/>
    <n v="11088.77"/>
    <n v="18390.28"/>
    <n v="15253.67"/>
    <n v="15470.26"/>
    <n v="173375.09000000003"/>
    <n v="-216.59000000000015"/>
  </r>
  <r>
    <x v="5"/>
    <x v="6"/>
    <x v="0"/>
    <s v="5100107"/>
    <n v="700018"/>
    <s v="Salaries-Supervisory-Productive"/>
    <s v="Pharmacy-Bremerton"/>
    <x v="0"/>
    <m/>
    <n v="6217.43"/>
    <n v="5377.55"/>
    <n v="5503.59"/>
    <n v="5315.17"/>
    <n v="6428.4"/>
    <n v="4114.38"/>
    <n v="6180.91"/>
    <n v="5601.07"/>
    <n v="6759.93"/>
    <n v="5622.37"/>
    <n v="6287.82"/>
    <n v="5171.99"/>
    <n v="68580.61"/>
    <n v="1115.83"/>
  </r>
  <r>
    <x v="5"/>
    <x v="6"/>
    <x v="0"/>
    <s v="5100107"/>
    <n v="700032"/>
    <s v="Salaries-Other Pat Care Providers-Productive"/>
    <s v="Pharmacy-Bremerton"/>
    <x v="0"/>
    <m/>
    <n v="232296.61"/>
    <n v="244000.41"/>
    <n v="244678.17"/>
    <n v="234242.71"/>
    <n v="220565.96"/>
    <n v="262231.62"/>
    <n v="257932.09"/>
    <n v="225504.26"/>
    <n v="261730.09"/>
    <n v="242335.44"/>
    <n v="268743.25"/>
    <n v="247365.45"/>
    <n v="2941626.06"/>
    <n v="21377.799999999988"/>
  </r>
  <r>
    <x v="5"/>
    <x v="6"/>
    <x v="0"/>
    <s v="5100107"/>
    <n v="700032"/>
    <s v="Salaries-Other Pat Care Providers-OT"/>
    <s v="Pharmacy-Bremerton"/>
    <x v="0"/>
    <n v="1000"/>
    <n v="5996.38"/>
    <n v="9785.34"/>
    <n v="3740.36"/>
    <n v="5670.84"/>
    <n v="10442.84"/>
    <n v="-1084.1099999999999"/>
    <n v="2138.5100000000002"/>
    <n v="4923.43"/>
    <n v="7094.18"/>
    <n v="3951.49"/>
    <n v="3939.82"/>
    <n v="10894.07"/>
    <n v="67493.149999999994"/>
    <n v="-6954.25"/>
  </r>
  <r>
    <x v="5"/>
    <x v="6"/>
    <x v="0"/>
    <s v="5100107"/>
    <n v="700032"/>
    <s v="Salaries-Other Pat Care Providers-Other"/>
    <s v="Pharmacy-Bremerton"/>
    <x v="0"/>
    <n v="2000"/>
    <n v="22139.69"/>
    <n v="21926.94"/>
    <n v="21400.01"/>
    <n v="21892.3"/>
    <n v="19087"/>
    <n v="23881.16"/>
    <n v="23675.47"/>
    <n v="21218.2"/>
    <n v="25379.09"/>
    <n v="22037.13"/>
    <n v="25404.76"/>
    <n v="24255.24"/>
    <n v="272296.99000000005"/>
    <n v="1149.5199999999968"/>
  </r>
  <r>
    <x v="5"/>
    <x v="6"/>
    <x v="0"/>
    <s v="5100107"/>
    <n v="700038"/>
    <s v="Salaries-Service/Support-Productive"/>
    <s v="Pharmacy-Bremerton"/>
    <x v="0"/>
    <m/>
    <n v="4671.72"/>
    <n v="3979.25"/>
    <n v="3504.88"/>
    <n v="5995.81"/>
    <n v="5111.6400000000003"/>
    <n v="3937.12"/>
    <n v="4846.8900000000003"/>
    <n v="3830.85"/>
    <n v="5620.91"/>
    <n v="5104.01"/>
    <n v="4787.05"/>
    <n v="3960.25"/>
    <n v="55350.380000000012"/>
    <n v="826.80000000000018"/>
  </r>
  <r>
    <x v="5"/>
    <x v="6"/>
    <x v="0"/>
    <s v="5100107"/>
    <n v="700038"/>
    <s v="Salaries-Service/Support-Other"/>
    <s v="Pharmacy-Bremerton"/>
    <x v="0"/>
    <n v="2000"/>
    <n v="0"/>
    <n v="17.04"/>
    <n v="20.88"/>
    <n v="-4.17"/>
    <n v="0"/>
    <n v="0"/>
    <n v="3.95"/>
    <n v="0"/>
    <n v="0"/>
    <n v="8.68"/>
    <n v="-1.36"/>
    <n v="6.45"/>
    <n v="51.470000000000006"/>
    <n v="-7.8100000000000005"/>
  </r>
  <r>
    <x v="5"/>
    <x v="6"/>
    <x v="0"/>
    <s v="5100107"/>
    <n v="700054"/>
    <s v="Salaries-Management-Non-productive"/>
    <s v="Pharmacy-Bremerton"/>
    <x v="0"/>
    <m/>
    <n v="3837.23"/>
    <n v="2996.15"/>
    <n v="525.82000000000005"/>
    <n v="0"/>
    <n v="0"/>
    <n v="7021.39"/>
    <n v="1298.58"/>
    <n v="1027.67"/>
    <n v="5679.43"/>
    <n v="-2163.5"/>
    <n v="1514.53"/>
    <n v="757.26"/>
    <n v="22494.559999999998"/>
    <n v="757.27"/>
  </r>
  <r>
    <x v="5"/>
    <x v="6"/>
    <x v="0"/>
    <s v="5100107"/>
    <n v="700054"/>
    <s v="Salaries-Management-NonProd-Other"/>
    <s v="Pharmacy-Bremerton"/>
    <x v="0"/>
    <n v="2000"/>
    <n v="0"/>
    <n v="0"/>
    <n v="0"/>
    <n v="0"/>
    <n v="0"/>
    <n v="589.95000000000005"/>
    <n v="-589.95000000000005"/>
    <n v="0"/>
    <n v="0"/>
    <n v="0"/>
    <n v="0"/>
    <n v="0"/>
    <n v="0"/>
    <n v="0"/>
  </r>
  <r>
    <x v="5"/>
    <x v="6"/>
    <x v="0"/>
    <s v="5100107"/>
    <n v="700058"/>
    <s v="Salaries-Supervisory-Non-productive"/>
    <s v="Pharmacy-Bremerton"/>
    <x v="0"/>
    <m/>
    <n v="294.08"/>
    <n v="1134.26"/>
    <n v="798.25"/>
    <n v="1302.3699999999999"/>
    <n v="0"/>
    <n v="2528.52"/>
    <n v="472.36"/>
    <n v="407.72"/>
    <n v="-107.28"/>
    <n v="815.45"/>
    <n v="364.82"/>
    <n v="1266.1500000000001"/>
    <n v="9276.6999999999989"/>
    <n v="-901.33000000000015"/>
  </r>
  <r>
    <x v="5"/>
    <x v="6"/>
    <x v="0"/>
    <s v="5100107"/>
    <n v="700072"/>
    <s v="Salaries-Other Pat Care Providers-Non-productive"/>
    <s v="Pharmacy-Bremerton"/>
    <x v="0"/>
    <m/>
    <n v="47864.15"/>
    <n v="28956.63"/>
    <n v="37545.72"/>
    <n v="35515.79"/>
    <n v="49512.87"/>
    <n v="41115.4"/>
    <n v="38061.33"/>
    <n v="44089.3"/>
    <n v="46429.919999999998"/>
    <n v="41207.06"/>
    <n v="40417.51"/>
    <n v="45593.93"/>
    <n v="496309.61"/>
    <n v="-5176.4199999999983"/>
  </r>
  <r>
    <x v="5"/>
    <x v="6"/>
    <x v="0"/>
    <s v="5100107"/>
    <n v="700072"/>
    <s v="Salaries-Other Pat Care Providers-NonProd-Other"/>
    <s v="Pharmacy-Bremerton"/>
    <x v="0"/>
    <n v="2000"/>
    <n v="1422.41"/>
    <n v="836.52"/>
    <n v="1386.66"/>
    <n v="434.18"/>
    <n v="2361.2600000000002"/>
    <n v="1968.85"/>
    <n v="841.59"/>
    <n v="-300.35000000000002"/>
    <n v="1268.78"/>
    <n v="976.52"/>
    <n v="830.8"/>
    <n v="859.62"/>
    <n v="12886.840000000002"/>
    <n v="-28.82000000000005"/>
  </r>
  <r>
    <x v="5"/>
    <x v="6"/>
    <x v="0"/>
    <s v="5100107"/>
    <n v="700078"/>
    <s v="Salaries-Service/Support-Non-productive"/>
    <s v="Pharmacy-Bremerton"/>
    <x v="0"/>
    <m/>
    <n v="688.42"/>
    <n v="1381.14"/>
    <n v="1682.67"/>
    <n v="-635.42999999999995"/>
    <n v="75.650000000000006"/>
    <n v="1423.26"/>
    <n v="521.85"/>
    <n v="1017.85"/>
    <n v="-252.66"/>
    <n v="90.89"/>
    <n v="581.20000000000005"/>
    <n v="1234.8900000000001"/>
    <n v="7809.7300000000014"/>
    <n v="-653.69000000000005"/>
  </r>
  <r>
    <x v="5"/>
    <x v="6"/>
    <x v="0"/>
    <s v="5100107"/>
    <n v="700084"/>
    <s v="Accrued PTO"/>
    <s v="Pharmacy-Bremerton"/>
    <x v="0"/>
    <m/>
    <n v="-13353.02"/>
    <n v="-687"/>
    <n v="-1409.05"/>
    <n v="4967.13"/>
    <n v="6565.62"/>
    <n v="-11671.02"/>
    <n v="1653.7"/>
    <n v="2257.64"/>
    <n v="6560.5"/>
    <n v="6914.06"/>
    <n v="2604.02"/>
    <n v="-5617.89"/>
    <n v="-1215.3100000000004"/>
    <n v="8221.91"/>
  </r>
  <r>
    <x v="6"/>
    <x v="6"/>
    <x v="0"/>
    <s v="5100107"/>
    <n v="713010"/>
    <s v="Benefits-FICA/Medicare"/>
    <s v="Pharmacy-Bremerton"/>
    <x v="0"/>
    <m/>
    <n v="25477.88"/>
    <n v="24299.63"/>
    <n v="24771.01"/>
    <n v="21437.38"/>
    <n v="19142.98"/>
    <n v="21677.53"/>
    <n v="26700.13"/>
    <n v="24513.74"/>
    <n v="28179.4"/>
    <n v="25695.3"/>
    <n v="28085.48"/>
    <n v="27018.43"/>
    <n v="296998.88999999996"/>
    <n v="1067.0499999999993"/>
  </r>
  <r>
    <x v="6"/>
    <x v="6"/>
    <x v="0"/>
    <s v="5100107"/>
    <n v="713090"/>
    <s v="Benefits-Allocated Amounts"/>
    <s v="Pharmacy-Bremerton"/>
    <x v="0"/>
    <m/>
    <n v="46597.97"/>
    <n v="42603.65"/>
    <n v="45153.5"/>
    <n v="44472.63"/>
    <n v="50971.99"/>
    <n v="49426.81"/>
    <n v="49722.42"/>
    <n v="47703.54"/>
    <n v="42609.74"/>
    <n v="51891.28"/>
    <n v="50703.56"/>
    <n v="57206.74"/>
    <n v="579063.82999999996"/>
    <n v="-6503.18"/>
  </r>
  <r>
    <x v="7"/>
    <x v="6"/>
    <x v="0"/>
    <s v="5100107"/>
    <n v="718050"/>
    <s v="Contract Svcs-Other"/>
    <s v="Pharmacy-Bremerton"/>
    <x v="0"/>
    <m/>
    <n v="0"/>
    <n v="0"/>
    <n v="0"/>
    <n v="0"/>
    <n v="0"/>
    <n v="0"/>
    <n v="0"/>
    <n v="0"/>
    <n v="0"/>
    <n v="3615"/>
    <n v="0"/>
    <n v="0"/>
    <n v="3615"/>
    <n v="0"/>
  </r>
  <r>
    <x v="7"/>
    <x v="6"/>
    <x v="0"/>
    <s v="5100107"/>
    <n v="718050"/>
    <s v="Miscellaneous Purchased Svcs"/>
    <s v="Pharmacy-Bremerton"/>
    <x v="0"/>
    <n v="1020"/>
    <n v="0"/>
    <n v="92"/>
    <n v="875.25"/>
    <n v="0"/>
    <n v="0"/>
    <n v="339"/>
    <n v="28642.58"/>
    <n v="15200"/>
    <n v="1863.42"/>
    <n v="0"/>
    <n v="8000"/>
    <n v="-92"/>
    <n v="54920.25"/>
    <n v="8092"/>
  </r>
  <r>
    <x v="7"/>
    <x v="6"/>
    <x v="0"/>
    <s v="5100107"/>
    <n v="718070"/>
    <s v="Contract Srvcs-CHI Clinical Engineering"/>
    <s v="Pharmacy-Bremerton"/>
    <x v="0"/>
    <m/>
    <n v="4132.3"/>
    <n v="4132.3"/>
    <n v="4132.3"/>
    <n v="4132.3"/>
    <n v="4478.17"/>
    <n v="3786.42"/>
    <n v="4132.3"/>
    <n v="4132.3"/>
    <n v="4132.3"/>
    <n v="4132.3"/>
    <n v="4132.3"/>
    <n v="4132.3"/>
    <n v="49587.590000000011"/>
    <n v="0"/>
  </r>
  <r>
    <x v="7"/>
    <x v="6"/>
    <x v="0"/>
    <s v="5100107"/>
    <n v="718091"/>
    <s v="Contract Services-Intracompany Allocation"/>
    <s v="Pharmacy-Bremerton"/>
    <x v="0"/>
    <m/>
    <n v="28527.85"/>
    <n v="27783.66"/>
    <n v="29094.18"/>
    <n v="28318.78"/>
    <n v="27662.02"/>
    <n v="25585.66"/>
    <n v="28940.44"/>
    <n v="26215.86"/>
    <n v="30401.599999999999"/>
    <n v="26185.78"/>
    <n v="32891.230000000003"/>
    <n v="28576.77"/>
    <n v="340183.83"/>
    <n v="4314.4600000000028"/>
  </r>
  <r>
    <x v="11"/>
    <x v="6"/>
    <x v="0"/>
    <s v="5100107"/>
    <n v="721010"/>
    <s v="Supplies-Medical - Billable"/>
    <s v="Pharmacy-Bremerton"/>
    <x v="0"/>
    <m/>
    <n v="39.24"/>
    <n v="5669.07"/>
    <n v="6474.32"/>
    <n v="4881.41"/>
    <n v="33.75"/>
    <n v="6509.49"/>
    <n v="154.57"/>
    <n v="16.16"/>
    <n v="48.48"/>
    <n v="15289.52"/>
    <n v="4797.6899999999996"/>
    <n v="4768.66"/>
    <n v="48682.36"/>
    <n v="29.029999999999745"/>
  </r>
  <r>
    <x v="11"/>
    <x v="6"/>
    <x v="0"/>
    <s v="5100107"/>
    <n v="721010"/>
    <s v="Patient Monitoring"/>
    <s v="Pharmacy-Bremerton"/>
    <x v="0"/>
    <n v="1000"/>
    <n v="0"/>
    <n v="0"/>
    <n v="0"/>
    <n v="0"/>
    <n v="0"/>
    <n v="0"/>
    <n v="18.100000000000001"/>
    <n v="0"/>
    <n v="0"/>
    <n v="0"/>
    <n v="0"/>
    <n v="0"/>
    <n v="18.100000000000001"/>
    <n v="0"/>
  </r>
  <r>
    <x v="11"/>
    <x v="6"/>
    <x v="0"/>
    <s v="5100107"/>
    <n v="721020"/>
    <s v="Supplies-Surgical - Billable"/>
    <s v="Pharmacy-Bremerton"/>
    <x v="0"/>
    <m/>
    <n v="11935.06"/>
    <n v="6092.74"/>
    <n v="7297.42"/>
    <n v="1102.8399999999999"/>
    <n v="7992.37"/>
    <n v="5643.16"/>
    <n v="9255.32"/>
    <n v="2224.1"/>
    <n v="11234.99"/>
    <n v="701.69"/>
    <n v="10752.49"/>
    <n v="7066.54"/>
    <n v="81298.719999999987"/>
    <n v="3685.95"/>
  </r>
  <r>
    <x v="11"/>
    <x v="6"/>
    <x v="0"/>
    <s v="5100107"/>
    <n v="721020"/>
    <s v="Suture/Wound Closure"/>
    <s v="Pharmacy-Bremerton"/>
    <x v="0"/>
    <n v="1001"/>
    <n v="3603.05"/>
    <n v="5396.46"/>
    <n v="6192.3"/>
    <n v="0"/>
    <n v="2463.52"/>
    <n v="4783.3500000000004"/>
    <n v="1989.6"/>
    <n v="2984.4"/>
    <n v="1989.6"/>
    <n v="2270.3000000000002"/>
    <n v="4259.8999999999996"/>
    <n v="3794.55"/>
    <n v="39727.03"/>
    <n v="465.34999999999945"/>
  </r>
  <r>
    <x v="11"/>
    <x v="6"/>
    <x v="0"/>
    <s v="5100107"/>
    <n v="721020"/>
    <s v="Surgical Cardiovascular"/>
    <s v="Pharmacy-Bremerton"/>
    <x v="0"/>
    <n v="1007"/>
    <n v="1831.2"/>
    <n v="1831.2"/>
    <n v="915.6"/>
    <n v="0"/>
    <n v="1831.2"/>
    <n v="840"/>
    <n v="840"/>
    <n v="1755.6"/>
    <n v="-75.599999999999994"/>
    <n v="764.4"/>
    <n v="1831.2"/>
    <n v="1528.8"/>
    <n v="13893.599999999999"/>
    <n v="302.40000000000009"/>
  </r>
  <r>
    <x v="11"/>
    <x v="6"/>
    <x v="0"/>
    <s v="5100107"/>
    <n v="721210"/>
    <s v="Supplies-Anesthesia - Billable"/>
    <s v="Pharmacy-Bremerton"/>
    <x v="0"/>
    <m/>
    <n v="0"/>
    <n v="20.66"/>
    <n v="41.33"/>
    <n v="0"/>
    <n v="82.65"/>
    <n v="0"/>
    <n v="0"/>
    <n v="20.66"/>
    <n v="148.77000000000001"/>
    <n v="0"/>
    <n v="0"/>
    <n v="0"/>
    <n v="314.07"/>
    <n v="0"/>
  </r>
  <r>
    <x v="11"/>
    <x v="6"/>
    <x v="0"/>
    <s v="5100107"/>
    <n v="721240"/>
    <s v="Supplies-IV Solutions/Supplies - Billable"/>
    <s v="Pharmacy-Bremerton"/>
    <x v="0"/>
    <m/>
    <n v="42346.29"/>
    <n v="48311.48"/>
    <n v="41664.49"/>
    <n v="43383.360000000001"/>
    <n v="43762.74"/>
    <n v="19670.75"/>
    <n v="45837.42"/>
    <n v="43790.63"/>
    <n v="44094.65"/>
    <n v="43274.41"/>
    <n v="48653.52"/>
    <n v="42358.59"/>
    <n v="507148.32999999996"/>
    <n v="6294.93"/>
  </r>
  <r>
    <x v="11"/>
    <x v="6"/>
    <x v="0"/>
    <s v="5100107"/>
    <n v="721250"/>
    <s v="Supplies-Pharmacy Drugs - Billable"/>
    <s v="Pharmacy-Bremerton"/>
    <x v="0"/>
    <m/>
    <n v="338155.81"/>
    <n v="623966.19999999995"/>
    <n v="423952.35"/>
    <n v="349611.58"/>
    <n v="314477.99"/>
    <n v="402352.11"/>
    <n v="327631.94"/>
    <n v="385741.67"/>
    <n v="366987.53"/>
    <n v="262336"/>
    <n v="419635.16"/>
    <n v="464498.66"/>
    <n v="4679347"/>
    <n v="-44863.5"/>
  </r>
  <r>
    <x v="11"/>
    <x v="6"/>
    <x v="0"/>
    <s v="5100107"/>
    <n v="721250"/>
    <s v="OP Pharmacy Drugs"/>
    <s v="Pharmacy-Bremerton"/>
    <x v="0"/>
    <n v="1002"/>
    <n v="168517.19"/>
    <n v="143770.04999999999"/>
    <n v="147635.26"/>
    <n v="191909.34"/>
    <n v="285257.71000000002"/>
    <n v="337293.32"/>
    <n v="194669.9"/>
    <n v="218646.41"/>
    <n v="154156.63"/>
    <n v="264085.81"/>
    <n v="196381.57"/>
    <n v="300520.63"/>
    <n v="2602843.8199999998"/>
    <n v="-104139.06"/>
  </r>
  <r>
    <x v="11"/>
    <x v="6"/>
    <x v="0"/>
    <s v="5100107"/>
    <n v="721251"/>
    <s v="Supplies-340B Pharmacy Drugs - Billable"/>
    <s v="Pharmacy-Bremerton"/>
    <x v="0"/>
    <m/>
    <n v="306442.03999999998"/>
    <n v="93940.45"/>
    <n v="228912.74"/>
    <n v="235796.02"/>
    <n v="275031.09999999998"/>
    <n v="254068.7"/>
    <n v="330449.84999999998"/>
    <n v="221861.33"/>
    <n v="362945.23"/>
    <n v="360331.81"/>
    <n v="429260.58"/>
    <n v="355065.59999999998"/>
    <n v="3454105.45"/>
    <n v="74194.98000000004"/>
  </r>
  <r>
    <x v="11"/>
    <x v="6"/>
    <x v="0"/>
    <s v="5100107"/>
    <n v="721410"/>
    <s v="Supplies-Medical - Nonbillable"/>
    <s v="Pharmacy-Bremerton"/>
    <x v="0"/>
    <m/>
    <n v="5309.19"/>
    <n v="7114.92"/>
    <n v="6942.78"/>
    <n v="7154.76"/>
    <n v="4830.32"/>
    <n v="4472.66"/>
    <n v="6087.81"/>
    <n v="4253"/>
    <n v="15086.17"/>
    <n v="8519.76"/>
    <n v="-212162.76"/>
    <n v="5281.44"/>
    <n v="-137109.95000000001"/>
    <n v="-217444.2"/>
  </r>
  <r>
    <x v="11"/>
    <x v="6"/>
    <x v="0"/>
    <s v="5100107"/>
    <n v="721420"/>
    <s v="Supplies-Surgical Nonbillable"/>
    <s v="Pharmacy-Bremerton"/>
    <x v="0"/>
    <m/>
    <n v="0"/>
    <n v="0"/>
    <n v="0"/>
    <n v="29"/>
    <n v="0"/>
    <n v="0"/>
    <n v="0"/>
    <n v="0"/>
    <n v="0"/>
    <n v="0"/>
    <n v="0"/>
    <n v="0"/>
    <n v="29"/>
    <n v="0"/>
  </r>
  <r>
    <x v="11"/>
    <x v="6"/>
    <x v="0"/>
    <s v="5100107"/>
    <n v="721610"/>
    <s v="Supplies-Anesthesia - Nonbillable"/>
    <s v="Pharmacy-Bremerton"/>
    <x v="0"/>
    <m/>
    <n v="0"/>
    <n v="169.75"/>
    <n v="2534"/>
    <n v="0"/>
    <n v="0"/>
    <n v="0"/>
    <n v="0"/>
    <n v="0"/>
    <n v="120.23"/>
    <n v="0"/>
    <n v="0"/>
    <n v="0"/>
    <n v="2823.98"/>
    <n v="0"/>
  </r>
  <r>
    <x v="11"/>
    <x v="6"/>
    <x v="0"/>
    <s v="5100107"/>
    <n v="721640"/>
    <s v="Supplies-IV Solutions/Supplies - Nonbillable"/>
    <s v="Pharmacy-Bremerton"/>
    <x v="0"/>
    <m/>
    <n v="917.02"/>
    <n v="904.46"/>
    <n v="896.88"/>
    <n v="-568.25"/>
    <n v="575.6"/>
    <n v="676.37"/>
    <n v="3273.29"/>
    <n v="1068.1600000000001"/>
    <n v="847.04"/>
    <n v="960.63"/>
    <n v="1021.95"/>
    <n v="584.25"/>
    <n v="11157.4"/>
    <n v="437.70000000000005"/>
  </r>
  <r>
    <x v="11"/>
    <x v="6"/>
    <x v="0"/>
    <s v="5100107"/>
    <n v="721650"/>
    <s v="Supplies-Pharmacy Drugs - Nonbillable"/>
    <s v="Pharmacy-Bremerton"/>
    <x v="0"/>
    <m/>
    <n v="0"/>
    <n v="0"/>
    <n v="0"/>
    <n v="0"/>
    <n v="0"/>
    <n v="0"/>
    <n v="0"/>
    <n v="0"/>
    <n v="0"/>
    <n v="0"/>
    <n v="0"/>
    <n v="1120"/>
    <n v="1120"/>
    <n v="-1120"/>
  </r>
  <r>
    <x v="11"/>
    <x v="6"/>
    <x v="0"/>
    <s v="5100107"/>
    <n v="721710"/>
    <s v="Supplies-Laboratory - Nonbillable"/>
    <s v="Pharmacy-Bremerton"/>
    <x v="0"/>
    <m/>
    <n v="157.80000000000001"/>
    <n v="1029.1099999999999"/>
    <n v="58.96"/>
    <n v="-65.97"/>
    <n v="226.97"/>
    <n v="78.900000000000006"/>
    <n v="500.4"/>
    <n v="0"/>
    <n v="9.6"/>
    <n v="216"/>
    <n v="108"/>
    <n v="-10.9"/>
    <n v="2308.87"/>
    <n v="118.9"/>
  </r>
  <r>
    <x v="11"/>
    <x v="6"/>
    <x v="0"/>
    <s v="5100107"/>
    <n v="721710"/>
    <s v="Reagents"/>
    <s v="Pharmacy-Bremerton"/>
    <x v="0"/>
    <n v="1000"/>
    <n v="32.72"/>
    <n v="38.17"/>
    <n v="0"/>
    <n v="32.72"/>
    <n v="18.899999999999999"/>
    <n v="18.899999999999999"/>
    <n v="0"/>
    <n v="28.35"/>
    <n v="37.799999999999997"/>
    <n v="0"/>
    <n v="18.899999999999999"/>
    <n v="12.6"/>
    <n v="239.06"/>
    <n v="6.2999999999999989"/>
  </r>
  <r>
    <x v="11"/>
    <x v="6"/>
    <x v="0"/>
    <s v="5100107"/>
    <n v="721830"/>
    <s v="Supplies-Office"/>
    <s v="Pharmacy-Bremerton"/>
    <x v="0"/>
    <m/>
    <n v="1385.96"/>
    <n v="1376.13"/>
    <n v="755.98"/>
    <n v="2111.9299999999998"/>
    <n v="1019.94"/>
    <n v="1169.42"/>
    <n v="2589.46"/>
    <n v="959.37"/>
    <n v="1600.53"/>
    <n v="957.55"/>
    <n v="913.24"/>
    <n v="309.61"/>
    <n v="15149.12"/>
    <n v="603.63"/>
  </r>
  <r>
    <x v="11"/>
    <x v="6"/>
    <x v="0"/>
    <s v="5100107"/>
    <n v="721835"/>
    <s v="Supplies-Forms"/>
    <s v="Pharmacy-Bremerton"/>
    <x v="0"/>
    <m/>
    <n v="0"/>
    <n v="0"/>
    <n v="0"/>
    <n v="0"/>
    <n v="0"/>
    <n v="0"/>
    <n v="26.57"/>
    <n v="0"/>
    <n v="0"/>
    <n v="0"/>
    <n v="0"/>
    <n v="21.13"/>
    <n v="47.7"/>
    <n v="-21.13"/>
  </r>
  <r>
    <x v="11"/>
    <x v="6"/>
    <x v="0"/>
    <s v="5100107"/>
    <n v="721870"/>
    <s v="Supplies-Environmental Services"/>
    <s v="Pharmacy-Bremerton"/>
    <x v="0"/>
    <m/>
    <n v="250.65"/>
    <n v="597.25"/>
    <n v="221.93"/>
    <n v="700.14"/>
    <n v="522.5"/>
    <n v="280.13"/>
    <n v="549.17999999999995"/>
    <n v="361.62"/>
    <n v="197.34"/>
    <n v="349.98"/>
    <n v="531.41"/>
    <n v="200.04"/>
    <n v="4762.17"/>
    <n v="331.37"/>
  </r>
  <r>
    <x v="11"/>
    <x v="6"/>
    <x v="0"/>
    <s v="5100107"/>
    <n v="721910"/>
    <s v="Supplies-Small Equipment"/>
    <s v="Pharmacy-Bremerton"/>
    <x v="0"/>
    <m/>
    <n v="663.14"/>
    <n v="718.12"/>
    <n v="161.34"/>
    <n v="387.15"/>
    <n v="0"/>
    <n v="0"/>
    <n v="25.3"/>
    <n v="0"/>
    <n v="559.91"/>
    <n v="182.74"/>
    <n v="0"/>
    <n v="135.54"/>
    <n v="2833.24"/>
    <n v="-135.54"/>
  </r>
  <r>
    <x v="11"/>
    <x v="6"/>
    <x v="0"/>
    <s v="5100107"/>
    <n v="721980"/>
    <s v="Supplies-Other"/>
    <s v="Pharmacy-Bremerton"/>
    <x v="0"/>
    <m/>
    <n v="1328.22"/>
    <n v="3616.97"/>
    <n v="-561.95000000000005"/>
    <n v="1022.68"/>
    <n v="3374.63"/>
    <n v="1630.5"/>
    <n v="523.04999999999995"/>
    <n v="3145.64"/>
    <n v="0"/>
    <n v="-4.67"/>
    <n v="576.35"/>
    <n v="877.01"/>
    <n v="15528.429999999998"/>
    <n v="-300.65999999999997"/>
  </r>
  <r>
    <x v="11"/>
    <x v="6"/>
    <x v="0"/>
    <s v="5100107"/>
    <n v="722000"/>
    <s v="Supplies-Freight Expense"/>
    <s v="Pharmacy-Bremerton"/>
    <x v="0"/>
    <m/>
    <n v="106.03"/>
    <n v="548.03"/>
    <n v="279.52"/>
    <n v="599.28"/>
    <n v="31.92"/>
    <n v="332.31"/>
    <n v="424.39"/>
    <n v="24.71"/>
    <n v="553.94000000000005"/>
    <n v="178.17"/>
    <n v="271.42"/>
    <n v="773.74"/>
    <n v="4123.46"/>
    <n v="-502.32"/>
  </r>
  <r>
    <x v="11"/>
    <x v="6"/>
    <x v="0"/>
    <s v="5100107"/>
    <n v="723000"/>
    <s v="Supply Rebates/Patronage Dividend"/>
    <s v="Pharmacy-Bremerton"/>
    <x v="0"/>
    <m/>
    <n v="0"/>
    <n v="0"/>
    <n v="-31575.15"/>
    <n v="0"/>
    <n v="0"/>
    <n v="-22465.57"/>
    <n v="0"/>
    <n v="0"/>
    <n v="-51676.18"/>
    <n v="0"/>
    <n v="0"/>
    <n v="-33075.93"/>
    <n v="-138792.82999999999"/>
    <n v="33075.93"/>
  </r>
  <r>
    <x v="12"/>
    <x v="6"/>
    <x v="0"/>
    <s v="5100107"/>
    <n v="730020"/>
    <s v="Rental and Leases-Equipment (DO NOT USE)"/>
    <s v="Pharmacy-Bremerton"/>
    <x v="0"/>
    <m/>
    <n v="0"/>
    <n v="84.34"/>
    <n v="42.01"/>
    <n v="42.33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6"/>
    <x v="0"/>
    <s v="5100107"/>
    <n v="730020"/>
    <s v="Rental and Leases-Copier Usage Fees (DO NOT USE)"/>
    <s v="Pharmacy-Bremerton"/>
    <x v="0"/>
    <n v="5100"/>
    <n v="379.92"/>
    <n v="388.4"/>
    <n v="384.16"/>
    <n v="384.16"/>
    <n v="384.16"/>
    <n v="384.16"/>
    <n v="208.83"/>
    <n v="332.54"/>
    <n v="353.86"/>
    <n v="673.93"/>
    <n v="354.56"/>
    <n v="391.77"/>
    <n v="4620.4500000000007"/>
    <n v="-37.20999999999998"/>
  </r>
  <r>
    <x v="15"/>
    <x v="6"/>
    <x v="0"/>
    <s v="5100107"/>
    <n v="731060"/>
    <s v="Telephone"/>
    <s v="Pharmacy-Bremerton"/>
    <x v="0"/>
    <m/>
    <n v="0"/>
    <n v="0"/>
    <n v="0"/>
    <n v="0"/>
    <n v="0"/>
    <n v="39"/>
    <n v="0"/>
    <n v="115.51"/>
    <n v="0"/>
    <n v="0"/>
    <n v="10.08"/>
    <n v="42.51"/>
    <n v="207.1"/>
    <n v="-32.43"/>
  </r>
  <r>
    <x v="15"/>
    <x v="6"/>
    <x v="0"/>
    <s v="5100107"/>
    <n v="731060"/>
    <s v="Cell Phones"/>
    <s v="Pharmacy-Bremerton"/>
    <x v="0"/>
    <n v="1001"/>
    <n v="0"/>
    <n v="53.87"/>
    <n v="26.42"/>
    <n v="0"/>
    <n v="26.47"/>
    <n v="27.06"/>
    <n v="54.14"/>
    <n v="0"/>
    <n v="28.08"/>
    <n v="93.49"/>
    <n v="26.9"/>
    <n v="27.33"/>
    <n v="363.75999999999993"/>
    <n v="-0.42999999999999972"/>
  </r>
  <r>
    <x v="15"/>
    <x v="6"/>
    <x v="0"/>
    <s v="5100107"/>
    <n v="731060"/>
    <s v="Pagers"/>
    <s v="Pharmacy-Bremerton"/>
    <x v="0"/>
    <n v="1002"/>
    <n v="16.2"/>
    <n v="16.2"/>
    <n v="16.2"/>
    <n v="16.239999999999998"/>
    <n v="0"/>
    <n v="16.239999999999998"/>
    <n v="32.479999999999997"/>
    <n v="16.239999999999998"/>
    <n v="16.239999999999998"/>
    <n v="39.770000000000003"/>
    <n v="32.479999999999997"/>
    <n v="32.479999999999997"/>
    <n v="250.76999999999998"/>
    <n v="0"/>
  </r>
  <r>
    <x v="16"/>
    <x v="6"/>
    <x v="0"/>
    <s v="5100107"/>
    <n v="732020"/>
    <s v="Repairs--Clin Equip-Parts-Internal to CHI Programs"/>
    <s v="Pharmacy-Bremerton"/>
    <x v="0"/>
    <m/>
    <n v="123.62"/>
    <n v="0"/>
    <n v="123.62"/>
    <n v="123.62"/>
    <n v="0"/>
    <n v="123.62"/>
    <n v="123.62"/>
    <n v="0"/>
    <n v="123.62"/>
    <n v="114.49"/>
    <n v="114.49"/>
    <n v="114.49"/>
    <n v="1085.19"/>
    <n v="0"/>
  </r>
  <r>
    <x v="16"/>
    <x v="6"/>
    <x v="0"/>
    <s v="5100107"/>
    <n v="732030"/>
    <s v="Repairs---Other"/>
    <s v="Pharmacy-Bremerton"/>
    <x v="0"/>
    <m/>
    <n v="0"/>
    <n v="0"/>
    <n v="4793.28"/>
    <n v="112.68"/>
    <n v="0"/>
    <n v="0"/>
    <n v="1376.25"/>
    <n v="0"/>
    <n v="0"/>
    <n v="1022.42"/>
    <n v="0"/>
    <n v="6275.13"/>
    <n v="13579.76"/>
    <n v="-6275.13"/>
  </r>
  <r>
    <x v="16"/>
    <x v="6"/>
    <x v="0"/>
    <s v="5100107"/>
    <n v="733030"/>
    <s v="Maintenance Contracts-Other"/>
    <s v="Pharmacy-Bremerton"/>
    <x v="0"/>
    <m/>
    <n v="0"/>
    <n v="0"/>
    <n v="0"/>
    <n v="0"/>
    <n v="0"/>
    <n v="376.83"/>
    <n v="0"/>
    <n v="0"/>
    <n v="0"/>
    <n v="0"/>
    <n v="0"/>
    <n v="0"/>
    <n v="376.83"/>
    <n v="0"/>
  </r>
  <r>
    <x v="16"/>
    <x v="6"/>
    <x v="0"/>
    <s v="5100107"/>
    <n v="733030"/>
    <s v="Maintenance Contracts-Software"/>
    <s v="Pharmacy-Bremerton"/>
    <x v="0"/>
    <n v="1002"/>
    <n v="4886.76"/>
    <n v="12648.57"/>
    <n v="9258.9599999999991"/>
    <n v="9113.16"/>
    <n v="0"/>
    <n v="14170.22"/>
    <n v="1213.31"/>
    <n v="6215.13"/>
    <n v="5063.9799999999996"/>
    <n v="12294.34"/>
    <n v="1182.71"/>
    <n v="691.22"/>
    <n v="76738.36"/>
    <n v="491.49"/>
  </r>
  <r>
    <x v="13"/>
    <x v="6"/>
    <x v="0"/>
    <s v="5100107"/>
    <n v="735070"/>
    <s v="Depreciation-Movable Equipment"/>
    <s v="Pharmacy-Bremerton"/>
    <x v="0"/>
    <m/>
    <n v="20545.32"/>
    <n v="16880.310000000001"/>
    <n v="16880.32"/>
    <n v="16880.3"/>
    <n v="16793.52"/>
    <n v="16793.509999999998"/>
    <n v="16793.53"/>
    <n v="16793.509999999998"/>
    <n v="16793.54"/>
    <n v="16793.509999999998"/>
    <n v="16793.560000000001"/>
    <n v="16793.5"/>
    <n v="205534.43000000002"/>
    <n v="6.0000000001309672E-2"/>
  </r>
  <r>
    <x v="0"/>
    <x v="6"/>
    <x v="0"/>
    <s v="5100107"/>
    <n v="740010"/>
    <s v="Education-Materials"/>
    <s v="Pharmacy-Bremerton"/>
    <x v="0"/>
    <m/>
    <n v="0"/>
    <n v="0"/>
    <n v="0"/>
    <n v="0"/>
    <n v="0"/>
    <n v="0"/>
    <n v="0"/>
    <n v="0"/>
    <n v="0"/>
    <n v="0"/>
    <n v="0"/>
    <n v="400"/>
    <n v="400"/>
    <n v="-400"/>
  </r>
  <r>
    <x v="0"/>
    <x v="6"/>
    <x v="0"/>
    <s v="5100107"/>
    <n v="740020"/>
    <s v="Education-Registration Fees"/>
    <s v="Pharmacy-Bremerton"/>
    <x v="0"/>
    <m/>
    <n v="0"/>
    <n v="0"/>
    <n v="0"/>
    <n v="1115"/>
    <n v="0"/>
    <n v="0"/>
    <n v="0"/>
    <n v="0"/>
    <n v="615"/>
    <n v="0"/>
    <n v="0"/>
    <n v="0"/>
    <n v="1730"/>
    <n v="0"/>
  </r>
  <r>
    <x v="0"/>
    <x v="6"/>
    <x v="0"/>
    <s v="5100107"/>
    <n v="740030"/>
    <s v="Education-Travel"/>
    <s v="Pharmacy-Bremerton"/>
    <x v="0"/>
    <m/>
    <n v="0"/>
    <n v="0"/>
    <n v="0"/>
    <n v="1359.8"/>
    <n v="0"/>
    <n v="0"/>
    <n v="0"/>
    <n v="0"/>
    <n v="0"/>
    <n v="0"/>
    <n v="0"/>
    <n v="0"/>
    <n v="1359.8"/>
    <n v="0"/>
  </r>
  <r>
    <x v="0"/>
    <x v="6"/>
    <x v="0"/>
    <s v="5100107"/>
    <n v="742030"/>
    <s v="Freight-Courier"/>
    <s v="Pharmacy-Bremerton"/>
    <x v="0"/>
    <m/>
    <n v="0"/>
    <n v="0"/>
    <n v="0"/>
    <n v="0"/>
    <n v="0"/>
    <n v="0"/>
    <n v="0"/>
    <n v="0"/>
    <n v="0"/>
    <n v="0"/>
    <n v="0"/>
    <n v="92"/>
    <n v="92"/>
    <n v="-92"/>
  </r>
  <r>
    <x v="0"/>
    <x v="6"/>
    <x v="0"/>
    <s v="5100107"/>
    <n v="742040"/>
    <s v="Freight-Other"/>
    <s v="Pharmacy-Bremerton"/>
    <x v="0"/>
    <m/>
    <n v="0"/>
    <n v="0"/>
    <n v="0"/>
    <n v="0"/>
    <n v="0"/>
    <n v="0"/>
    <n v="0"/>
    <n v="0"/>
    <n v="0"/>
    <n v="0"/>
    <n v="0"/>
    <n v="40"/>
    <n v="40"/>
    <n v="-40"/>
  </r>
  <r>
    <x v="0"/>
    <x v="6"/>
    <x v="0"/>
    <s v="5100107"/>
    <n v="743020"/>
    <s v="Dues--Individual"/>
    <s v="Pharmacy-Bremerton"/>
    <x v="0"/>
    <m/>
    <n v="0"/>
    <n v="0"/>
    <n v="3421.82"/>
    <n v="0"/>
    <n v="0"/>
    <n v="0"/>
    <n v="0"/>
    <n v="0"/>
    <n v="0"/>
    <n v="250"/>
    <n v="165"/>
    <n v="0"/>
    <n v="3836.82"/>
    <n v="165"/>
  </r>
  <r>
    <x v="0"/>
    <x v="6"/>
    <x v="0"/>
    <s v="5100107"/>
    <n v="743030"/>
    <s v="Subscriptions--Institutional"/>
    <s v="Pharmacy-Bremerton"/>
    <x v="0"/>
    <m/>
    <n v="0"/>
    <n v="127.5"/>
    <n v="1400.55"/>
    <n v="330.3"/>
    <n v="0"/>
    <n v="0"/>
    <n v="101.29"/>
    <n v="783.17"/>
    <n v="0"/>
    <n v="7330.37"/>
    <n v="0"/>
    <n v="7330.37"/>
    <n v="17403.55"/>
    <n v="-7330.37"/>
  </r>
  <r>
    <x v="0"/>
    <x v="6"/>
    <x v="0"/>
    <s v="5100107"/>
    <n v="743040"/>
    <s v="Subscriptions--Individual"/>
    <s v="Pharmacy-Bremerton"/>
    <x v="0"/>
    <m/>
    <n v="0"/>
    <n v="0"/>
    <n v="226"/>
    <n v="640"/>
    <n v="0"/>
    <n v="0"/>
    <n v="178"/>
    <n v="0"/>
    <n v="259"/>
    <n v="330"/>
    <n v="235"/>
    <n v="0"/>
    <n v="1868"/>
    <n v="235"/>
  </r>
  <r>
    <x v="0"/>
    <x v="6"/>
    <x v="0"/>
    <s v="5100107"/>
    <n v="749510"/>
    <s v="Miscellaneous Expenses"/>
    <s v="Pharmacy-Bremerton"/>
    <x v="0"/>
    <m/>
    <n v="37.729999999999997"/>
    <n v="129.11000000000001"/>
    <n v="-154.13"/>
    <n v="0"/>
    <n v="75.37"/>
    <n v="368.23"/>
    <n v="-296.73"/>
    <n v="-102.18"/>
    <n v="29"/>
    <n v="183.52"/>
    <n v="-170.68"/>
    <n v="212.09"/>
    <n v="311.33000000000004"/>
    <n v="-382.77"/>
  </r>
  <r>
    <x v="0"/>
    <x v="6"/>
    <x v="0"/>
    <s v="5100107"/>
    <n v="749510"/>
    <s v="Licenses"/>
    <s v="Pharmacy-Bremerton"/>
    <x v="0"/>
    <n v="1002"/>
    <n v="0"/>
    <n v="8405"/>
    <n v="4386"/>
    <n v="0"/>
    <n v="0"/>
    <n v="0"/>
    <n v="0"/>
    <n v="0"/>
    <n v="790"/>
    <n v="0"/>
    <n v="0"/>
    <n v="0"/>
    <n v="13581"/>
    <n v="0"/>
  </r>
  <r>
    <x v="0"/>
    <x v="6"/>
    <x v="0"/>
    <s v="5100107"/>
    <n v="749510"/>
    <s v="RICE Rewards"/>
    <s v="Pharmacy-Bremerton"/>
    <x v="0"/>
    <n v="5100"/>
    <n v="0"/>
    <n v="0"/>
    <n v="0"/>
    <n v="0"/>
    <n v="0"/>
    <n v="0"/>
    <n v="0"/>
    <n v="0"/>
    <n v="0"/>
    <n v="0"/>
    <n v="0"/>
    <n v="2726.25"/>
    <n v="2726.25"/>
    <n v="-2726.25"/>
  </r>
  <r>
    <x v="0"/>
    <x v="6"/>
    <x v="0"/>
    <s v="5100107"/>
    <n v="749530"/>
    <s v="Travel"/>
    <s v="Pharmacy-Bremerton"/>
    <x v="0"/>
    <m/>
    <n v="0"/>
    <n v="0"/>
    <n v="0"/>
    <n v="5"/>
    <n v="0"/>
    <n v="1342.57"/>
    <n v="415.1"/>
    <n v="0"/>
    <n v="5"/>
    <n v="10"/>
    <n v="0"/>
    <n v="17"/>
    <n v="1794.67"/>
    <n v="-17"/>
  </r>
  <r>
    <x v="0"/>
    <x v="6"/>
    <x v="0"/>
    <s v="5100107"/>
    <n v="749530"/>
    <s v="Mileage"/>
    <s v="Pharmacy-Bremerton"/>
    <x v="0"/>
    <n v="1001"/>
    <n v="282.35000000000002"/>
    <n v="277.42"/>
    <n v="464.92"/>
    <n v="216.94"/>
    <n v="200.03"/>
    <n v="347.19"/>
    <n v="164.03"/>
    <n v="241.11"/>
    <n v="253.46"/>
    <n v="374.1"/>
    <n v="150.22"/>
    <n v="252.3"/>
    <n v="3224.07"/>
    <n v="-102.08000000000001"/>
  </r>
  <r>
    <x v="0"/>
    <x v="6"/>
    <x v="0"/>
    <s v="5100107"/>
    <n v="749535"/>
    <s v="Meetings"/>
    <s v="Pharmacy-Bremerton"/>
    <x v="0"/>
    <m/>
    <n v="0"/>
    <n v="0"/>
    <n v="0"/>
    <n v="1696.4"/>
    <n v="0"/>
    <n v="0"/>
    <n v="0"/>
    <n v="0"/>
    <n v="0"/>
    <n v="0"/>
    <n v="0"/>
    <n v="0"/>
    <n v="1696.4"/>
    <n v="0"/>
  </r>
  <r>
    <x v="18"/>
    <x v="7"/>
    <x v="0"/>
    <s v="5100150"/>
    <n v="400010"/>
    <s v="Acute I/P Svcs Rev--Medicare"/>
    <s v="Pharmacy"/>
    <x v="0"/>
    <n v="1100"/>
    <n v="-287522.59999999998"/>
    <n v="-405563.95"/>
    <n v="-320464"/>
    <n v="-310817.8"/>
    <n v="-336021.8"/>
    <n v="-358215.85"/>
    <n v="-503223.75"/>
    <n v="-267712.05"/>
    <n v="-434511.7"/>
    <n v="-494545.15"/>
    <n v="-358960"/>
    <n v="-318618.05"/>
    <n v="-4396176.7"/>
    <n v="-40341.950000000012"/>
  </r>
  <r>
    <x v="18"/>
    <x v="7"/>
    <x v="0"/>
    <s v="5100150"/>
    <n v="400010"/>
    <s v="Acute I/P Svcs Rev--Medicaid"/>
    <s v="Pharmacy"/>
    <x v="0"/>
    <n v="1200"/>
    <n v="-174319.45"/>
    <n v="-147081.9"/>
    <n v="-183255.6"/>
    <n v="-129122.3"/>
    <n v="-96520.8"/>
    <n v="-127890.95"/>
    <n v="-140869.85"/>
    <n v="-108079.15"/>
    <n v="-232321.3"/>
    <n v="-96582.2"/>
    <n v="-108079.1"/>
    <n v="-116681.75"/>
    <n v="-1660804.35"/>
    <n v="8602.6499999999942"/>
  </r>
  <r>
    <x v="18"/>
    <x v="7"/>
    <x v="0"/>
    <s v="5100150"/>
    <n v="400010"/>
    <s v="Acute I/P Svcs Rev--Comm Insurance"/>
    <s v="Pharmacy"/>
    <x v="0"/>
    <n v="1300"/>
    <n v="9046.5499999999993"/>
    <n v="-39545.65"/>
    <n v="-22006.75"/>
    <n v="-80943.850000000006"/>
    <n v="47043.95"/>
    <n v="-24507.25"/>
    <n v="-2079.5500000000002"/>
    <n v="-22231.75"/>
    <n v="-15868.65"/>
    <n v="-21086.6"/>
    <n v="-7989.35"/>
    <n v="-5038.05"/>
    <n v="-185206.95"/>
    <n v="-2951.3"/>
  </r>
  <r>
    <x v="18"/>
    <x v="7"/>
    <x v="0"/>
    <s v="5100150"/>
    <n v="400010"/>
    <s v="Acute I/P Svcs Rev--BCBS Comm"/>
    <s v="Pharmacy"/>
    <x v="0"/>
    <n v="1301"/>
    <n v="-36073.65"/>
    <n v="-69461.850000000006"/>
    <n v="-19128.05"/>
    <n v="-58496.65"/>
    <n v="-56117.7"/>
    <n v="-83375.850000000006"/>
    <n v="-29461.4"/>
    <n v="-49417.3"/>
    <n v="-73312.55"/>
    <n v="-74113.7"/>
    <n v="-44400.65"/>
    <n v="-99437.9"/>
    <n v="-692797.25"/>
    <n v="55037.249999999993"/>
  </r>
  <r>
    <x v="18"/>
    <x v="7"/>
    <x v="0"/>
    <s v="5100150"/>
    <n v="400010"/>
    <s v="Acute I/P Svcs Rev--Managed Care"/>
    <s v="Pharmacy"/>
    <x v="0"/>
    <n v="1400"/>
    <n v="-238570.75"/>
    <n v="-196463.75"/>
    <n v="-97155.05"/>
    <n v="-63534.25"/>
    <n v="-194065.25"/>
    <n v="-129675.9"/>
    <n v="-159199.1"/>
    <n v="-146892.4"/>
    <n v="-127527.85"/>
    <n v="-169833.15"/>
    <n v="-98196.85"/>
    <n v="-109057.05"/>
    <n v="-1730171.35"/>
    <n v="10860.199999999997"/>
  </r>
  <r>
    <x v="18"/>
    <x v="7"/>
    <x v="0"/>
    <s v="5100150"/>
    <n v="400010"/>
    <s v="Acute I/P Svcs Rev--Self Pay"/>
    <s v="Pharmacy"/>
    <x v="0"/>
    <n v="1500"/>
    <n v="-14794.85"/>
    <n v="2621.15"/>
    <n v="-1894.55"/>
    <n v="-3709.85"/>
    <n v="-6312.6"/>
    <n v="-15357.65"/>
    <n v="-1209.4000000000001"/>
    <n v="-31820.55"/>
    <n v="-250.5"/>
    <n v="-3447.9"/>
    <n v="-1453.1"/>
    <n v="-19181.349999999999"/>
    <n v="-96811.15"/>
    <n v="17728.25"/>
  </r>
  <r>
    <x v="18"/>
    <x v="7"/>
    <x v="0"/>
    <s v="5100150"/>
    <n v="400010"/>
    <s v="Acute I/P Svcs Rev--Other"/>
    <s v="Pharmacy"/>
    <x v="0"/>
    <n v="1700"/>
    <n v="7210.5"/>
    <n v="-10223.549999999999"/>
    <n v="7753.85"/>
    <n v="495.35"/>
    <n v="-16272.3"/>
    <n v="-17024.7"/>
    <n v="-34537.800000000003"/>
    <n v="-16529.900000000001"/>
    <n v="-21549.55"/>
    <n v="-8922.2000000000007"/>
    <n v="-27525.95"/>
    <n v="13500.3"/>
    <n v="-123625.95"/>
    <n v="-41026.25"/>
  </r>
  <r>
    <x v="19"/>
    <x v="7"/>
    <x v="0"/>
    <s v="5100150"/>
    <n v="400020"/>
    <s v="O/P Care Svcs Rev--Medicare"/>
    <s v="Pharmacy"/>
    <x v="0"/>
    <n v="1100"/>
    <n v="-421289.55"/>
    <n v="-427293.9"/>
    <n v="-412392.75"/>
    <n v="-610823.35"/>
    <n v="-539060.25"/>
    <n v="-554300.25"/>
    <n v="-720378.55"/>
    <n v="-693808.55"/>
    <n v="-593465.85"/>
    <n v="-756132.85"/>
    <n v="-524477.80000000005"/>
    <n v="-544729.94999999995"/>
    <n v="-6798153.5999999987"/>
    <n v="20252.149999999907"/>
  </r>
  <r>
    <x v="19"/>
    <x v="7"/>
    <x v="0"/>
    <s v="5100150"/>
    <n v="400020"/>
    <s v="O/P Care Svcs Rev--Medicaid"/>
    <s v="Pharmacy"/>
    <x v="0"/>
    <n v="1200"/>
    <n v="-306026.55"/>
    <n v="-254918.2"/>
    <n v="-285652.34999999998"/>
    <n v="-284138.8"/>
    <n v="-254098.6"/>
    <n v="-260488.7"/>
    <n v="-435077"/>
    <n v="-206483.20000000001"/>
    <n v="-466476.15"/>
    <n v="-235716.4"/>
    <n v="-216272.95"/>
    <n v="-191654.45"/>
    <n v="-3397003.35"/>
    <n v="-24618.5"/>
  </r>
  <r>
    <x v="19"/>
    <x v="7"/>
    <x v="0"/>
    <s v="5100150"/>
    <n v="400020"/>
    <s v="O/P Care Svcs Rev--Comm Insurance"/>
    <s v="Pharmacy"/>
    <x v="0"/>
    <n v="1300"/>
    <n v="-59213.85"/>
    <n v="-6730.65"/>
    <n v="-20792.75"/>
    <n v="-20600.099999999999"/>
    <n v="-12593.85"/>
    <n v="-27136.25"/>
    <n v="-36883.300000000003"/>
    <n v="-19757.95"/>
    <n v="-33570"/>
    <n v="-44265.65"/>
    <n v="-44063.1"/>
    <n v="-47549.85"/>
    <n v="-373157.3"/>
    <n v="3486.75"/>
  </r>
  <r>
    <x v="19"/>
    <x v="7"/>
    <x v="0"/>
    <s v="5100150"/>
    <n v="400020"/>
    <s v="O/P Care Svcs Rev--BCBS Comm"/>
    <s v="Pharmacy"/>
    <x v="0"/>
    <n v="1301"/>
    <n v="-111161.55"/>
    <n v="-146029.29999999999"/>
    <n v="-109776.15"/>
    <n v="-193742.7"/>
    <n v="-203221"/>
    <n v="-134532.35"/>
    <n v="-169603.45"/>
    <n v="-116744.4"/>
    <n v="-182149.05"/>
    <n v="-164113.85"/>
    <n v="-144895.9"/>
    <n v="-130381.7"/>
    <n v="-1806351.4"/>
    <n v="-14514.199999999997"/>
  </r>
  <r>
    <x v="19"/>
    <x v="7"/>
    <x v="0"/>
    <s v="5100150"/>
    <n v="400020"/>
    <s v="O/P Care Svcs Rev--Managed Care"/>
    <s v="Pharmacy"/>
    <x v="0"/>
    <n v="1400"/>
    <n v="-334589.25"/>
    <n v="-371713"/>
    <n v="-279312.95"/>
    <n v="-329562.34999999998"/>
    <n v="-379617.6"/>
    <n v="-424720.85"/>
    <n v="-431941.05"/>
    <n v="-320351.95"/>
    <n v="-363740.65"/>
    <n v="-365067.8"/>
    <n v="-407358.1"/>
    <n v="-451684.9"/>
    <n v="-4459660.45"/>
    <n v="44326.800000000047"/>
  </r>
  <r>
    <x v="19"/>
    <x v="7"/>
    <x v="0"/>
    <s v="5100150"/>
    <n v="400020"/>
    <s v="O/P Care Svcs Rev--Self Pay"/>
    <s v="Pharmacy"/>
    <x v="0"/>
    <n v="1500"/>
    <n v="-13176.95"/>
    <n v="-7159.85"/>
    <n v="-24923.75"/>
    <n v="-10880.25"/>
    <n v="-29758.35"/>
    <n v="-18970"/>
    <n v="-21440.75"/>
    <n v="-10712.05"/>
    <n v="-24116.3"/>
    <n v="-22862.2"/>
    <n v="-20428.599999999999"/>
    <n v="-23915.8"/>
    <n v="-228344.84999999998"/>
    <n v="3487.2000000000007"/>
  </r>
  <r>
    <x v="19"/>
    <x v="7"/>
    <x v="0"/>
    <s v="5100150"/>
    <n v="400020"/>
    <s v="O/P Care Svcs Rev--Other"/>
    <s v="Pharmacy"/>
    <x v="0"/>
    <n v="1700"/>
    <n v="-50235.8"/>
    <n v="-32778.75"/>
    <n v="-42567.75"/>
    <n v="-46985.9"/>
    <n v="-37112.65"/>
    <n v="-57396.2"/>
    <n v="-36608.300000000003"/>
    <n v="-51678.7"/>
    <n v="-90932.95"/>
    <n v="-64454.75"/>
    <n v="-64295.05"/>
    <n v="-60800.800000000003"/>
    <n v="-635847.60000000009"/>
    <n v="-3494.25"/>
  </r>
  <r>
    <x v="5"/>
    <x v="7"/>
    <x v="0"/>
    <s v="5100150"/>
    <n v="700014"/>
    <s v="Salaries-Management-Productive"/>
    <s v="Pharmacy"/>
    <x v="0"/>
    <m/>
    <n v="10385.83"/>
    <n v="13257.94"/>
    <n v="8424.24"/>
    <n v="13951.65"/>
    <n v="13818.42"/>
    <n v="12343.55"/>
    <n v="14677.63"/>
    <n v="13789.78"/>
    <n v="14577.89"/>
    <n v="12213.49"/>
    <n v="13051.15"/>
    <n v="11869.34"/>
    <n v="152360.91"/>
    <n v="1181.8099999999995"/>
  </r>
  <r>
    <x v="5"/>
    <x v="7"/>
    <x v="0"/>
    <s v="5100150"/>
    <n v="700032"/>
    <s v="Salaries-Other Pat Care Providers-Productive"/>
    <s v="Pharmacy"/>
    <x v="0"/>
    <m/>
    <n v="22415.55"/>
    <n v="17781.12"/>
    <n v="21333.87"/>
    <n v="20725.18"/>
    <n v="19942.990000000002"/>
    <n v="20753.37"/>
    <n v="19474.63"/>
    <n v="18153.87"/>
    <n v="20023.419999999998"/>
    <n v="20951.2"/>
    <n v="21050.19"/>
    <n v="20122.34"/>
    <n v="242727.73"/>
    <n v="927.84999999999854"/>
  </r>
  <r>
    <x v="5"/>
    <x v="7"/>
    <x v="0"/>
    <s v="5100150"/>
    <n v="700032"/>
    <s v="Salaries-Other Pat Care Providers-OT"/>
    <s v="Pharmacy"/>
    <x v="0"/>
    <n v="1000"/>
    <n v="433.65"/>
    <n v="-76.5"/>
    <n v="0"/>
    <n v="0"/>
    <n v="730.74"/>
    <n v="-351.82"/>
    <n v="0"/>
    <n v="0"/>
    <n v="0"/>
    <n v="0"/>
    <n v="91.52"/>
    <n v="-44.06"/>
    <n v="783.53"/>
    <n v="135.57999999999998"/>
  </r>
  <r>
    <x v="5"/>
    <x v="7"/>
    <x v="0"/>
    <s v="5100150"/>
    <n v="700032"/>
    <s v="Salaries-Other Pat Care Providers-Other"/>
    <s v="Pharmacy"/>
    <x v="0"/>
    <n v="2000"/>
    <n v="2204.52"/>
    <n v="1938.53"/>
    <n v="1836.02"/>
    <n v="1514.15"/>
    <n v="1315.34"/>
    <n v="1599.34"/>
    <n v="1280.51"/>
    <n v="1205.1300000000001"/>
    <n v="1450.27"/>
    <n v="1695.75"/>
    <n v="1624.66"/>
    <n v="2158.5500000000002"/>
    <n v="19822.77"/>
    <n v="-533.8900000000001"/>
  </r>
  <r>
    <x v="5"/>
    <x v="7"/>
    <x v="0"/>
    <s v="5100150"/>
    <n v="700054"/>
    <s v="Salaries-Management-Non-productive"/>
    <s v="Pharmacy"/>
    <x v="0"/>
    <m/>
    <n v="4473.32"/>
    <n v="1601.9"/>
    <n v="5956.44"/>
    <n v="1237.25"/>
    <n v="956.47"/>
    <n v="2924.33"/>
    <n v="614.07000000000005"/>
    <n v="20.7"/>
    <n v="712.39"/>
    <n v="2583.06"/>
    <n v="2239.12"/>
    <n v="2927.89"/>
    <n v="26246.94"/>
    <n v="-688.77"/>
  </r>
  <r>
    <x v="5"/>
    <x v="7"/>
    <x v="0"/>
    <s v="5100150"/>
    <n v="700072"/>
    <s v="Salaries-Other Pat Care Providers-Non-productive"/>
    <s v="Pharmacy"/>
    <x v="0"/>
    <m/>
    <n v="2688.01"/>
    <n v="6859.78"/>
    <n v="-397.24"/>
    <n v="201"/>
    <n v="1234.52"/>
    <n v="1847.85"/>
    <n v="962.88"/>
    <n v="1703.44"/>
    <n v="2984.1"/>
    <n v="-288.38"/>
    <n v="2564.92"/>
    <n v="3153.53"/>
    <n v="23514.409999999996"/>
    <n v="-588.61000000000013"/>
  </r>
  <r>
    <x v="5"/>
    <x v="7"/>
    <x v="0"/>
    <s v="5100150"/>
    <n v="700072"/>
    <s v="Salaries-Other Pat Care Providers-NonProd-Other"/>
    <s v="Pharmacy"/>
    <x v="0"/>
    <n v="2000"/>
    <n v="0"/>
    <n v="0"/>
    <n v="0"/>
    <n v="0"/>
    <n v="0"/>
    <n v="0"/>
    <n v="0"/>
    <n v="0"/>
    <n v="0"/>
    <n v="-15.77"/>
    <n v="0"/>
    <n v="0"/>
    <n v="-15.77"/>
    <n v="0"/>
  </r>
  <r>
    <x v="5"/>
    <x v="7"/>
    <x v="0"/>
    <s v="5100150"/>
    <n v="700084"/>
    <s v="Accrued PTO"/>
    <s v="Pharmacy"/>
    <x v="0"/>
    <m/>
    <n v="-1037.83"/>
    <n v="-2758.37"/>
    <n v="-1301.51"/>
    <n v="4945.1000000000004"/>
    <n v="2554.81"/>
    <n v="1837.59"/>
    <n v="2646.06"/>
    <n v="3242.77"/>
    <n v="1386.78"/>
    <n v="2258.54"/>
    <n v="821.34"/>
    <n v="-931.98"/>
    <n v="13663.300000000003"/>
    <n v="1753.3200000000002"/>
  </r>
  <r>
    <x v="6"/>
    <x v="7"/>
    <x v="0"/>
    <s v="5100150"/>
    <n v="713010"/>
    <s v="Benefits-FICA/Medicare"/>
    <s v="Pharmacy"/>
    <x v="0"/>
    <m/>
    <n v="3165.8"/>
    <n v="3038.67"/>
    <n v="2300.9499999999998"/>
    <n v="1753.41"/>
    <n v="1898.88"/>
    <n v="2536.44"/>
    <n v="2736.46"/>
    <n v="2578.13"/>
    <n v="2942.34"/>
    <n v="2746.12"/>
    <n v="3013.89"/>
    <n v="3327.24"/>
    <n v="32038.33"/>
    <n v="-313.34999999999991"/>
  </r>
  <r>
    <x v="6"/>
    <x v="7"/>
    <x v="0"/>
    <s v="5100150"/>
    <n v="713090"/>
    <s v="Benefits-Allocated Amounts"/>
    <s v="Pharmacy"/>
    <x v="0"/>
    <m/>
    <n v="6434.15"/>
    <n v="5503.23"/>
    <n v="5724.15"/>
    <n v="6003.04"/>
    <n v="5952.92"/>
    <n v="5696.09"/>
    <n v="5869.93"/>
    <n v="5348.74"/>
    <n v="5447.93"/>
    <n v="5971.87"/>
    <n v="5998.54"/>
    <n v="6427.34"/>
    <n v="70377.930000000008"/>
    <n v="-428.80000000000018"/>
  </r>
  <r>
    <x v="7"/>
    <x v="7"/>
    <x v="0"/>
    <s v="5100150"/>
    <n v="718050"/>
    <s v="Contract Svcs-Other"/>
    <s v="Pharmacy"/>
    <x v="0"/>
    <m/>
    <n v="0"/>
    <n v="0"/>
    <n v="0"/>
    <n v="0"/>
    <n v="0"/>
    <n v="0"/>
    <n v="0"/>
    <n v="0"/>
    <n v="0"/>
    <n v="5840.72"/>
    <n v="-432.89"/>
    <n v="0"/>
    <n v="5407.83"/>
    <n v="-432.89"/>
  </r>
  <r>
    <x v="7"/>
    <x v="7"/>
    <x v="0"/>
    <s v="5100150"/>
    <n v="718050"/>
    <s v="Miscellaneous Purchased Svcs"/>
    <s v="Pharmacy"/>
    <x v="0"/>
    <n v="1020"/>
    <n v="534.49"/>
    <n v="2498.42"/>
    <n v="2519.4899999999998"/>
    <n v="83.49"/>
    <n v="534.49"/>
    <n v="389.55"/>
    <n v="21123.24"/>
    <n v="339.49"/>
    <n v="388"/>
    <n v="2958.55"/>
    <n v="528.09"/>
    <n v="381.25"/>
    <n v="32278.550000000003"/>
    <n v="146.84000000000003"/>
  </r>
  <r>
    <x v="7"/>
    <x v="7"/>
    <x v="0"/>
    <s v="5100150"/>
    <n v="718070"/>
    <s v="Contract Srvcs-CHI Clinical Engineering"/>
    <s v="Pharmacy"/>
    <x v="0"/>
    <m/>
    <n v="1308"/>
    <n v="1308"/>
    <n v="1308"/>
    <n v="1308"/>
    <n v="1308"/>
    <n v="1308"/>
    <n v="1308"/>
    <n v="1308"/>
    <n v="1308"/>
    <n v="1308"/>
    <n v="1308"/>
    <n v="1308"/>
    <n v="15696"/>
    <n v="0"/>
  </r>
  <r>
    <x v="7"/>
    <x v="7"/>
    <x v="0"/>
    <s v="5100150"/>
    <n v="718091"/>
    <s v="Contract Services-Intracompany Allocation"/>
    <s v="Pharmacy"/>
    <x v="0"/>
    <m/>
    <n v="3149.04"/>
    <n v="3066.79"/>
    <n v="3208.34"/>
    <n v="3125.39"/>
    <n v="3056.25"/>
    <n v="2822.12"/>
    <n v="3197.02"/>
    <n v="2894.95"/>
    <n v="3355.46"/>
    <n v="2891.34"/>
    <n v="3629.99"/>
    <n v="3152.47"/>
    <n v="37549.160000000003"/>
    <n v="477.52"/>
  </r>
  <r>
    <x v="11"/>
    <x v="7"/>
    <x v="0"/>
    <s v="5100150"/>
    <n v="721010"/>
    <s v="Supplies-Medical - Billable"/>
    <s v="Pharmacy"/>
    <x v="0"/>
    <m/>
    <n v="0"/>
    <n v="20.68"/>
    <n v="0"/>
    <n v="0"/>
    <n v="0"/>
    <n v="0"/>
    <n v="20.68"/>
    <n v="4.22"/>
    <n v="0"/>
    <n v="0"/>
    <n v="0"/>
    <n v="0"/>
    <n v="45.58"/>
    <n v="0"/>
  </r>
  <r>
    <x v="11"/>
    <x v="7"/>
    <x v="0"/>
    <s v="5100150"/>
    <n v="721020"/>
    <s v="Suture/Wound Closure"/>
    <s v="Pharmacy"/>
    <x v="0"/>
    <n v="1001"/>
    <n v="0"/>
    <n v="239.86"/>
    <n v="119.93"/>
    <n v="359.79"/>
    <n v="0"/>
    <n v="479.72"/>
    <n v="599.65"/>
    <n v="239.86"/>
    <n v="0"/>
    <n v="191.88"/>
    <n v="287.82"/>
    <n v="287.82"/>
    <n v="2806.3300000000008"/>
    <n v="0"/>
  </r>
  <r>
    <x v="11"/>
    <x v="7"/>
    <x v="0"/>
    <s v="5100150"/>
    <n v="721240"/>
    <s v="Supplies-IV Solutions/Supplies - Billable"/>
    <s v="Pharmacy"/>
    <x v="0"/>
    <m/>
    <n v="3243.92"/>
    <n v="5286.74"/>
    <n v="3420.6"/>
    <n v="5245.94"/>
    <n v="3472.1"/>
    <n v="3475.8"/>
    <n v="4598.04"/>
    <n v="2336.4299999999998"/>
    <n v="5740.87"/>
    <n v="4754.21"/>
    <n v="5059.88"/>
    <n v="4677.01"/>
    <n v="51311.54"/>
    <n v="382.86999999999989"/>
  </r>
  <r>
    <x v="11"/>
    <x v="7"/>
    <x v="0"/>
    <s v="5100150"/>
    <n v="721250"/>
    <s v="Supplies-Pharmacy Drugs - Billable"/>
    <s v="Pharmacy"/>
    <x v="0"/>
    <m/>
    <n v="32767.05"/>
    <n v="53672.23"/>
    <n v="24736.13"/>
    <n v="42644.08"/>
    <n v="46657.59"/>
    <n v="36368.480000000003"/>
    <n v="39892.69"/>
    <n v="35712.61"/>
    <n v="26546.99"/>
    <n v="31895.46"/>
    <n v="48826.13"/>
    <n v="29283.040000000001"/>
    <n v="449002.48"/>
    <n v="19543.089999999997"/>
  </r>
  <r>
    <x v="11"/>
    <x v="7"/>
    <x v="0"/>
    <s v="5100150"/>
    <n v="721250"/>
    <s v="OP Pharmacy Drugs"/>
    <s v="Pharmacy"/>
    <x v="0"/>
    <n v="1002"/>
    <n v="1153.54"/>
    <n v="17596.05"/>
    <n v="-16798.03"/>
    <n v="1320.7"/>
    <n v="185.58"/>
    <n v="9978.7900000000009"/>
    <n v="15726.24"/>
    <n v="918.79"/>
    <n v="4735.08"/>
    <n v="13300.28"/>
    <n v="5654.51"/>
    <n v="6426.72"/>
    <n v="60198.250000000007"/>
    <n v="-772.21"/>
  </r>
  <r>
    <x v="11"/>
    <x v="7"/>
    <x v="0"/>
    <s v="5100150"/>
    <n v="721251"/>
    <s v="Supplies-340B Pharmacy Drugs - Billable"/>
    <s v="Pharmacy"/>
    <x v="0"/>
    <m/>
    <n v="47447.12"/>
    <n v="37337.379999999997"/>
    <n v="29323.8"/>
    <n v="41493.65"/>
    <n v="35696.65"/>
    <n v="37426.42"/>
    <n v="49421.26"/>
    <n v="41871.019999999997"/>
    <n v="38796.01"/>
    <n v="33448.28"/>
    <n v="-2329.9"/>
    <n v="26784.83"/>
    <n v="416716.52000000008"/>
    <n v="-29114.730000000003"/>
  </r>
  <r>
    <x v="11"/>
    <x v="7"/>
    <x v="0"/>
    <s v="5100150"/>
    <n v="721410"/>
    <s v="Supplies-Medical - Nonbillable"/>
    <s v="Pharmacy"/>
    <x v="0"/>
    <m/>
    <n v="808.64"/>
    <n v="1079.32"/>
    <n v="553.66999999999996"/>
    <n v="721.97"/>
    <n v="481.33"/>
    <n v="874.63"/>
    <n v="802.23"/>
    <n v="614"/>
    <n v="764.28"/>
    <n v="-1831.44"/>
    <n v="489.87"/>
    <n v="671.16"/>
    <n v="6029.6600000000008"/>
    <n v="-181.28999999999996"/>
  </r>
  <r>
    <x v="11"/>
    <x v="7"/>
    <x v="0"/>
    <s v="5100150"/>
    <n v="721640"/>
    <s v="Supplies-IV Solutions/Supplies - Nonbillable"/>
    <s v="Pharmacy"/>
    <x v="0"/>
    <m/>
    <n v="28.08"/>
    <n v="323.89999999999998"/>
    <n v="498.56"/>
    <n v="115.4"/>
    <n v="2.2000000000000002"/>
    <n v="136.85"/>
    <n v="170.47"/>
    <n v="0.1"/>
    <n v="2.87"/>
    <n v="152.5"/>
    <n v="19.27"/>
    <n v="-29.65"/>
    <n v="1420.5499999999997"/>
    <n v="48.92"/>
  </r>
  <r>
    <x v="11"/>
    <x v="7"/>
    <x v="0"/>
    <s v="5100150"/>
    <n v="721710"/>
    <s v="Supplies-Laboratory - Nonbillable"/>
    <s v="Pharmacy"/>
    <x v="0"/>
    <m/>
    <n v="36.32"/>
    <n v="139.80000000000001"/>
    <n v="41.2"/>
    <n v="62.62"/>
    <n v="179.88"/>
    <n v="271.74"/>
    <n v="9"/>
    <n v="52.6"/>
    <n v="155.41999999999999"/>
    <n v="174.57"/>
    <n v="-4.7"/>
    <n v="53.26"/>
    <n v="1171.7099999999998"/>
    <n v="-57.96"/>
  </r>
  <r>
    <x v="11"/>
    <x v="7"/>
    <x v="0"/>
    <s v="5100150"/>
    <n v="721810"/>
    <s v="Supplies-Dietary/Cafeteria"/>
    <s v="Pharmacy"/>
    <x v="0"/>
    <m/>
    <n v="0"/>
    <n v="0"/>
    <n v="0"/>
    <n v="0"/>
    <n v="23.71"/>
    <n v="8"/>
    <n v="0"/>
    <n v="0"/>
    <n v="0"/>
    <n v="3.39"/>
    <n v="38.700000000000003"/>
    <n v="15.87"/>
    <n v="89.670000000000016"/>
    <n v="22.830000000000005"/>
  </r>
  <r>
    <x v="11"/>
    <x v="7"/>
    <x v="0"/>
    <s v="5100150"/>
    <n v="721830"/>
    <s v="Supplies-Office"/>
    <s v="Pharmacy"/>
    <x v="0"/>
    <m/>
    <n v="0"/>
    <n v="34.61"/>
    <n v="221.38"/>
    <n v="-44.53"/>
    <n v="34.61"/>
    <n v="274.02"/>
    <n v="331.58"/>
    <n v="166.81"/>
    <n v="27.4"/>
    <n v="195.63"/>
    <n v="4.25"/>
    <n v="53.02"/>
    <n v="1298.7799999999997"/>
    <n v="-48.77"/>
  </r>
  <r>
    <x v="11"/>
    <x v="7"/>
    <x v="0"/>
    <s v="5100150"/>
    <n v="721835"/>
    <s v="Supplies-Forms"/>
    <s v="Pharmacy"/>
    <x v="0"/>
    <m/>
    <n v="0"/>
    <n v="0"/>
    <n v="0"/>
    <n v="0"/>
    <n v="3.48"/>
    <n v="4.32"/>
    <n v="0"/>
    <n v="0"/>
    <n v="0"/>
    <n v="0"/>
    <n v="4.75"/>
    <n v="0"/>
    <n v="12.55"/>
    <n v="4.75"/>
  </r>
  <r>
    <x v="11"/>
    <x v="7"/>
    <x v="0"/>
    <s v="5100150"/>
    <n v="721870"/>
    <s v="Supplies-Environmental Services"/>
    <s v="Pharmacy"/>
    <x v="0"/>
    <m/>
    <n v="107.9"/>
    <n v="106.53"/>
    <n v="0"/>
    <n v="106.53"/>
    <n v="0.46"/>
    <n v="117.97"/>
    <n v="36.479999999999997"/>
    <n v="75.48"/>
    <n v="106.53"/>
    <n v="7.87"/>
    <n v="-24.05"/>
    <n v="228.35"/>
    <n v="870.05000000000007"/>
    <n v="-252.4"/>
  </r>
  <r>
    <x v="11"/>
    <x v="7"/>
    <x v="0"/>
    <s v="5100150"/>
    <n v="721910"/>
    <s v="Supplies-Small Equipment"/>
    <s v="Pharmacy"/>
    <x v="0"/>
    <m/>
    <n v="0"/>
    <n v="1.92"/>
    <n v="1314.59"/>
    <n v="8.9600000000000009"/>
    <n v="3261.55"/>
    <n v="0.68"/>
    <n v="1.28"/>
    <n v="564"/>
    <n v="240.58"/>
    <n v="0"/>
    <n v="0"/>
    <n v="0"/>
    <n v="5393.56"/>
    <n v="0"/>
  </r>
  <r>
    <x v="11"/>
    <x v="7"/>
    <x v="0"/>
    <s v="5100150"/>
    <n v="721980"/>
    <s v="Supplies-Other"/>
    <s v="Pharmacy"/>
    <x v="0"/>
    <m/>
    <n v="0"/>
    <n v="0"/>
    <n v="0"/>
    <n v="0"/>
    <n v="7.2"/>
    <n v="0"/>
    <n v="0.63"/>
    <n v="0"/>
    <n v="0"/>
    <n v="0"/>
    <n v="0"/>
    <n v="0"/>
    <n v="7.83"/>
    <n v="0"/>
  </r>
  <r>
    <x v="11"/>
    <x v="7"/>
    <x v="0"/>
    <s v="5100150"/>
    <n v="722000"/>
    <s v="Supplies-Freight Expense"/>
    <s v="Pharmacy"/>
    <x v="0"/>
    <m/>
    <n v="11.41"/>
    <n v="5.44"/>
    <n v="10.59"/>
    <n v="255.57"/>
    <n v="0"/>
    <n v="0"/>
    <n v="66.89"/>
    <n v="0"/>
    <n v="552.46"/>
    <n v="341.1"/>
    <n v="11.1"/>
    <n v="995.44"/>
    <n v="2250"/>
    <n v="-984.34"/>
  </r>
  <r>
    <x v="11"/>
    <x v="7"/>
    <x v="0"/>
    <s v="5100150"/>
    <n v="723000"/>
    <s v="Supply Rebates/Patronage Dividend"/>
    <s v="Pharmacy"/>
    <x v="0"/>
    <m/>
    <n v="0"/>
    <n v="0"/>
    <n v="-22.62"/>
    <n v="0"/>
    <n v="0"/>
    <n v="-1621.47"/>
    <n v="0"/>
    <n v="0"/>
    <n v="-400.79"/>
    <n v="0"/>
    <n v="0"/>
    <n v="-64.44"/>
    <n v="-2109.3199999999997"/>
    <n v="64.44"/>
  </r>
  <r>
    <x v="12"/>
    <x v="7"/>
    <x v="0"/>
    <s v="5100150"/>
    <n v="730020"/>
    <s v="Rental and Leases-Equipment (DO NOT USE)"/>
    <s v="Pharmacy"/>
    <x v="0"/>
    <m/>
    <n v="0"/>
    <n v="0"/>
    <n v="0"/>
    <n v="4737.2299999999996"/>
    <n v="365.61"/>
    <n v="0"/>
    <n v="365.61"/>
    <n v="0"/>
    <n v="731.22"/>
    <n v="0"/>
    <n v="365.61"/>
    <n v="731.22"/>
    <n v="7296.4999999999991"/>
    <n v="-365.61"/>
  </r>
  <r>
    <x v="12"/>
    <x v="7"/>
    <x v="0"/>
    <s v="5100150"/>
    <n v="730020"/>
    <s v="Rental and Leases-Copier Usage Fees (DO NOT USE)"/>
    <s v="Pharmacy"/>
    <x v="0"/>
    <n v="5100"/>
    <n v="151.05000000000001"/>
    <n v="156.13"/>
    <n v="153.59"/>
    <n v="153.59"/>
    <n v="153.59"/>
    <n v="153.59"/>
    <n v="139.77000000000001"/>
    <n v="155.02000000000001"/>
    <n v="154.69999999999999"/>
    <n v="164.32"/>
    <n v="155.02000000000001"/>
    <n v="181.49"/>
    <n v="1871.8600000000001"/>
    <n v="-26.47"/>
  </r>
  <r>
    <x v="15"/>
    <x v="7"/>
    <x v="0"/>
    <s v="5100150"/>
    <n v="731060"/>
    <s v="Pagers"/>
    <s v="Pharmacy"/>
    <x v="0"/>
    <n v="1002"/>
    <n v="16.2"/>
    <n v="16.2"/>
    <n v="16.2"/>
    <n v="16.239999999999998"/>
    <n v="16.239999999999998"/>
    <n v="0"/>
    <n v="43.77"/>
    <n v="8.1199999999999992"/>
    <n v="8.1199999999999992"/>
    <n v="8.1199999999999992"/>
    <n v="8.1199999999999992"/>
    <n v="8.1199999999999992"/>
    <n v="165.45000000000002"/>
    <n v="0"/>
  </r>
  <r>
    <x v="16"/>
    <x v="7"/>
    <x v="0"/>
    <s v="5100150"/>
    <n v="732020"/>
    <s v="Repairs--Clin Equip-Parts-Internal to CHI Programs"/>
    <s v="Pharmacy"/>
    <x v="0"/>
    <m/>
    <n v="0"/>
    <n v="128.21"/>
    <n v="3.48"/>
    <n v="0"/>
    <n v="0"/>
    <n v="0"/>
    <n v="123.28"/>
    <n v="2.4700000000000002"/>
    <n v="0"/>
    <n v="0"/>
    <n v="0"/>
    <n v="0"/>
    <n v="257.44"/>
    <n v="0"/>
  </r>
  <r>
    <x v="13"/>
    <x v="7"/>
    <x v="0"/>
    <s v="5100150"/>
    <n v="735070"/>
    <s v="Depreciation-Movable Equipment"/>
    <s v="Pharmacy"/>
    <x v="0"/>
    <m/>
    <n v="3883.65"/>
    <n v="3883.65"/>
    <n v="3883.65"/>
    <n v="3883.65"/>
    <n v="3883.65"/>
    <n v="3883.65"/>
    <n v="3883.65"/>
    <n v="3883.64"/>
    <n v="3883.65"/>
    <n v="3883.64"/>
    <n v="3883.66"/>
    <n v="3883.64"/>
    <n v="46603.78"/>
    <n v="1.999999999998181E-2"/>
  </r>
  <r>
    <x v="0"/>
    <x v="7"/>
    <x v="0"/>
    <s v="5100150"/>
    <n v="742030"/>
    <s v="Freight-Courier"/>
    <s v="Pharmacy"/>
    <x v="0"/>
    <m/>
    <n v="0"/>
    <n v="0"/>
    <n v="0"/>
    <n v="256"/>
    <n v="0"/>
    <n v="0"/>
    <n v="0"/>
    <n v="0"/>
    <n v="0"/>
    <n v="0"/>
    <n v="0"/>
    <n v="201"/>
    <n v="457"/>
    <n v="-201"/>
  </r>
  <r>
    <x v="0"/>
    <x v="7"/>
    <x v="0"/>
    <s v="5100150"/>
    <n v="743020"/>
    <s v="Dues--Individual"/>
    <s v="Pharmacy"/>
    <x v="0"/>
    <m/>
    <n v="0"/>
    <n v="0"/>
    <n v="386.99"/>
    <n v="0"/>
    <n v="0"/>
    <n v="499"/>
    <n v="0"/>
    <n v="0"/>
    <n v="0"/>
    <n v="0"/>
    <n v="0"/>
    <n v="0"/>
    <n v="885.99"/>
    <n v="0"/>
  </r>
  <r>
    <x v="0"/>
    <x v="7"/>
    <x v="0"/>
    <s v="5100150"/>
    <n v="743030"/>
    <s v="Subscriptions--Institutional"/>
    <s v="Pharmacy"/>
    <x v="0"/>
    <m/>
    <n v="0"/>
    <n v="0"/>
    <n v="0"/>
    <n v="165.15"/>
    <n v="77.209999999999994"/>
    <n v="0"/>
    <n v="0"/>
    <n v="0"/>
    <n v="0"/>
    <n v="0"/>
    <n v="75.150000000000006"/>
    <n v="0"/>
    <n v="317.51"/>
    <n v="75.150000000000006"/>
  </r>
  <r>
    <x v="0"/>
    <x v="7"/>
    <x v="0"/>
    <s v="5100150"/>
    <n v="749510"/>
    <s v="Miscellaneous Expenses"/>
    <s v="Pharmacy"/>
    <x v="0"/>
    <m/>
    <n v="-15.81"/>
    <n v="0"/>
    <n v="0"/>
    <n v="40.99"/>
    <n v="0"/>
    <n v="0"/>
    <n v="16.82"/>
    <n v="0"/>
    <n v="0"/>
    <n v="-16.82"/>
    <n v="0"/>
    <n v="0"/>
    <n v="25.18"/>
    <n v="0"/>
  </r>
  <r>
    <x v="0"/>
    <x v="7"/>
    <x v="0"/>
    <s v="5100150"/>
    <n v="749510"/>
    <s v="Licenses"/>
    <s v="Pharmacy"/>
    <x v="0"/>
    <n v="1002"/>
    <n v="0"/>
    <n v="0"/>
    <n v="0"/>
    <n v="0"/>
    <n v="0"/>
    <n v="0"/>
    <n v="0"/>
    <n v="0"/>
    <n v="790"/>
    <n v="0"/>
    <n v="5"/>
    <n v="0"/>
    <n v="795"/>
    <n v="5"/>
  </r>
  <r>
    <x v="0"/>
    <x v="7"/>
    <x v="0"/>
    <s v="5100150"/>
    <n v="749530"/>
    <s v="Mileage"/>
    <s v="Pharmacy"/>
    <x v="0"/>
    <n v="1001"/>
    <n v="0"/>
    <n v="15.81"/>
    <n v="0"/>
    <n v="0"/>
    <n v="15.81"/>
    <n v="0"/>
    <n v="0"/>
    <n v="16.82"/>
    <n v="16.82"/>
    <n v="16.82"/>
    <n v="16.82"/>
    <n v="16.82"/>
    <n v="115.71999999999997"/>
    <n v="0"/>
  </r>
  <r>
    <x v="18"/>
    <x v="10"/>
    <x v="0"/>
    <s v="5100306"/>
    <n v="400010"/>
    <s v="Acute I/P Svcs Rev--Medicare"/>
    <s v="Pharmacy"/>
    <x v="0"/>
    <n v="1100"/>
    <n v="-1388209.1"/>
    <n v="-1051225.55"/>
    <n v="-616198.44999999995"/>
    <n v="-743182.3"/>
    <n v="-954493.75"/>
    <n v="-706301.4"/>
    <n v="-611113.05000000005"/>
    <n v="-835637.3"/>
    <n v="-608753.6"/>
    <n v="-549951.19999999995"/>
    <n v="-675753.55"/>
    <n v="-409743.75"/>
    <n v="-9150563"/>
    <n v="-266009.80000000005"/>
  </r>
  <r>
    <x v="18"/>
    <x v="10"/>
    <x v="0"/>
    <s v="5100306"/>
    <n v="400010"/>
    <s v="Acute I/P Svcs Rev--Medicaid"/>
    <s v="Pharmacy"/>
    <x v="0"/>
    <n v="1200"/>
    <n v="-112932.6"/>
    <n v="-146492.79999999999"/>
    <n v="0"/>
    <n v="-38920.400000000001"/>
    <n v="44410.9"/>
    <n v="-203892.6"/>
    <n v="-322391.40000000002"/>
    <n v="-155219.54999999999"/>
    <n v="-133636.95000000001"/>
    <n v="-179886.65"/>
    <n v="-151194.75"/>
    <n v="0"/>
    <n v="-1400156.7999999998"/>
    <n v="-151194.75"/>
  </r>
  <r>
    <x v="18"/>
    <x v="10"/>
    <x v="0"/>
    <s v="5100306"/>
    <n v="400010"/>
    <s v="Acute I/P Svcs Rev--Comm Insurance"/>
    <s v="Pharmacy"/>
    <x v="0"/>
    <n v="1300"/>
    <n v="0"/>
    <n v="0"/>
    <n v="0"/>
    <n v="0"/>
    <n v="0"/>
    <n v="0"/>
    <n v="0"/>
    <n v="-57378.45"/>
    <n v="0"/>
    <n v="0"/>
    <n v="0"/>
    <n v="0"/>
    <n v="-57378.45"/>
    <n v="0"/>
  </r>
  <r>
    <x v="18"/>
    <x v="10"/>
    <x v="0"/>
    <s v="5100306"/>
    <n v="400010"/>
    <s v="Acute I/P Svcs Rev--BCBS Comm"/>
    <s v="Pharmacy"/>
    <x v="0"/>
    <n v="1301"/>
    <n v="-14909.5"/>
    <n v="-4875.3999999999996"/>
    <n v="-94996.3"/>
    <n v="-18985.75"/>
    <n v="-25672.95"/>
    <n v="0"/>
    <n v="-31607.3"/>
    <n v="-132712"/>
    <n v="-119478.15"/>
    <n v="-90840.05"/>
    <n v="-14179.05"/>
    <n v="-28891.75"/>
    <n v="-577148.20000000007"/>
    <n v="14712.7"/>
  </r>
  <r>
    <x v="18"/>
    <x v="10"/>
    <x v="0"/>
    <s v="5100306"/>
    <n v="400010"/>
    <s v="Acute I/P Svcs Rev--Managed Care"/>
    <s v="Pharmacy"/>
    <x v="0"/>
    <n v="1400"/>
    <n v="506528.5"/>
    <n v="-87191.95"/>
    <n v="-191780.95"/>
    <n v="-274305.05"/>
    <n v="-328929.95"/>
    <n v="-461839.1"/>
    <n v="-256810.15"/>
    <n v="-218330.3"/>
    <n v="-232570.8"/>
    <n v="-175173.85"/>
    <n v="-129881.25"/>
    <n v="-230817.65"/>
    <n v="-2081102.5"/>
    <n v="100936.4"/>
  </r>
  <r>
    <x v="18"/>
    <x v="10"/>
    <x v="0"/>
    <s v="5100306"/>
    <n v="400010"/>
    <s v="Acute I/P Svcs Rev--Self Pay"/>
    <s v="Pharmacy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10"/>
    <x v="0"/>
    <s v="5100306"/>
    <n v="400010"/>
    <s v="Acute I/P Svcs Rev--Other"/>
    <s v="Pharmacy"/>
    <x v="0"/>
    <n v="1700"/>
    <n v="-34541.949999999997"/>
    <n v="0"/>
    <n v="0"/>
    <n v="0"/>
    <n v="0"/>
    <n v="0"/>
    <n v="-6230.25"/>
    <n v="-17985"/>
    <n v="-3215.75"/>
    <n v="0"/>
    <n v="0"/>
    <n v="0"/>
    <n v="-61972.95"/>
    <n v="0"/>
  </r>
  <r>
    <x v="7"/>
    <x v="10"/>
    <x v="0"/>
    <s v="5100306"/>
    <n v="718050"/>
    <s v="Miscellaneous Purchased Svcs"/>
    <s v="Pharmacy"/>
    <x v="0"/>
    <n v="1020"/>
    <n v="149301.24"/>
    <n v="184439.35"/>
    <n v="129125.52"/>
    <n v="153781.26999999999"/>
    <n v="180850.06"/>
    <n v="196200.73"/>
    <n v="175625.75"/>
    <n v="161567.93"/>
    <n v="125132.69"/>
    <n v="113527.09"/>
    <n v="110694.98"/>
    <n v="76317.649999999994"/>
    <n v="1756564.2599999998"/>
    <n v="34377.33"/>
  </r>
  <r>
    <x v="13"/>
    <x v="10"/>
    <x v="0"/>
    <s v="5100306"/>
    <n v="735070"/>
    <s v="Depreciation-Movable Equipment"/>
    <s v="Pharmacy"/>
    <x v="0"/>
    <m/>
    <n v="1500"/>
    <n v="1500"/>
    <n v="1500"/>
    <n v="1500"/>
    <n v="1500"/>
    <n v="1500"/>
    <n v="1500"/>
    <n v="1500"/>
    <n v="1500"/>
    <n v="1500"/>
    <n v="1500"/>
    <n v="1500"/>
    <n v="18000"/>
    <n v="0"/>
  </r>
  <r>
    <x v="0"/>
    <x v="10"/>
    <x v="0"/>
    <s v="5100306"/>
    <n v="743020"/>
    <s v="Dues--Individual"/>
    <s v="Pharmacy"/>
    <x v="0"/>
    <m/>
    <n v="0"/>
    <n v="0"/>
    <n v="264.77999999999997"/>
    <n v="0"/>
    <n v="0"/>
    <n v="0"/>
    <n v="0"/>
    <n v="0"/>
    <n v="0"/>
    <n v="0"/>
    <n v="0"/>
    <n v="0"/>
    <n v="264.77999999999997"/>
    <n v="0"/>
  </r>
  <r>
    <x v="18"/>
    <x v="6"/>
    <x v="0"/>
    <s v="5101107"/>
    <n v="400010"/>
    <s v="Acute I/P Svcs Rev--Medicare"/>
    <s v="Brem-Med Oncology Pharm"/>
    <x v="0"/>
    <n v="1100"/>
    <n v="-28159.9"/>
    <n v="-19590.75"/>
    <n v="-36317.9"/>
    <n v="-74374.75"/>
    <n v="-97979.1"/>
    <n v="-60.7"/>
    <n v="-40213.5"/>
    <n v="-129830.39999999999"/>
    <n v="-47006.45"/>
    <n v="-151477.95000000001"/>
    <n v="-2064.9499999999998"/>
    <n v="-597.29999999999995"/>
    <n v="-627673.65"/>
    <n v="-1467.6499999999999"/>
  </r>
  <r>
    <x v="18"/>
    <x v="6"/>
    <x v="0"/>
    <s v="5101107"/>
    <n v="400010"/>
    <s v="Acute I/P Svcs Rev--Medicaid"/>
    <s v="Brem-Med Oncology Pharm"/>
    <x v="0"/>
    <n v="1200"/>
    <n v="0"/>
    <n v="0"/>
    <n v="0"/>
    <n v="0"/>
    <n v="0"/>
    <n v="0"/>
    <n v="-60.65"/>
    <n v="0"/>
    <n v="0"/>
    <n v="-1965.4"/>
    <n v="0"/>
    <n v="0"/>
    <n v="-2026.0500000000002"/>
    <n v="0"/>
  </r>
  <r>
    <x v="18"/>
    <x v="6"/>
    <x v="0"/>
    <s v="5101107"/>
    <n v="400010"/>
    <s v="Acute I/P Svcs Rev--Managed Care"/>
    <s v="Brem-Med Oncology Pharm"/>
    <x v="0"/>
    <n v="1400"/>
    <n v="0"/>
    <n v="0"/>
    <n v="0"/>
    <n v="0"/>
    <n v="0"/>
    <n v="0"/>
    <n v="0"/>
    <n v="0"/>
    <n v="-1533.05"/>
    <n v="0"/>
    <n v="0"/>
    <n v="0"/>
    <n v="-1533.05"/>
    <n v="0"/>
  </r>
  <r>
    <x v="18"/>
    <x v="6"/>
    <x v="0"/>
    <s v="5101107"/>
    <n v="400010"/>
    <s v="Acute I/P Svcs Rev--Other"/>
    <s v="Brem-Med Oncology Pharm"/>
    <x v="0"/>
    <n v="1700"/>
    <n v="-24562.95"/>
    <n v="0"/>
    <n v="0"/>
    <n v="0"/>
    <n v="0"/>
    <n v="0"/>
    <n v="0"/>
    <n v="-291.5"/>
    <n v="0"/>
    <n v="0"/>
    <n v="0"/>
    <n v="0"/>
    <n v="-24854.45"/>
    <n v="0"/>
  </r>
  <r>
    <x v="19"/>
    <x v="6"/>
    <x v="0"/>
    <s v="5101107"/>
    <n v="400020"/>
    <s v="O/P Care Svcs Rev--Medicare"/>
    <s v="Brem-Med Oncology Pharm"/>
    <x v="0"/>
    <n v="1100"/>
    <n v="-8040185.2999999998"/>
    <n v="-9024587.3499999996"/>
    <n v="-7773448.9000000004"/>
    <n v="-8374277.3499999996"/>
    <n v="-8834129.8499999996"/>
    <n v="-8681389.7200000007"/>
    <n v="-9747775.9499999993"/>
    <n v="-8571171.1999999993"/>
    <n v="-8977284.5999999996"/>
    <n v="-8225199"/>
    <n v="-9866085.0500000007"/>
    <n v="-7745945.5999999996"/>
    <n v="-103861479.86999999"/>
    <n v="-2120139.4500000011"/>
  </r>
  <r>
    <x v="19"/>
    <x v="6"/>
    <x v="0"/>
    <s v="5101107"/>
    <n v="400020"/>
    <s v="O/P Care Svcs Rev--Medicaid"/>
    <s v="Brem-Med Oncology Pharm"/>
    <x v="0"/>
    <n v="1200"/>
    <n v="-1728698.85"/>
    <n v="-1723940.1"/>
    <n v="-1563155.4"/>
    <n v="-1805561.9"/>
    <n v="-1669808.75"/>
    <n v="-1626926.9"/>
    <n v="-2226623.9"/>
    <n v="-2054885.3"/>
    <n v="-2105848.15"/>
    <n v="-1497391.5"/>
    <n v="-1742530"/>
    <n v="-1339630.8999999999"/>
    <n v="-21085001.649999999"/>
    <n v="-402899.10000000009"/>
  </r>
  <r>
    <x v="19"/>
    <x v="6"/>
    <x v="0"/>
    <s v="5101107"/>
    <n v="400020"/>
    <s v="O/P Care Svcs Rev--Comm Insurance"/>
    <s v="Brem-Med Oncology Pharm"/>
    <x v="0"/>
    <n v="1300"/>
    <n v="-60748.4"/>
    <n v="-74305.7"/>
    <n v="-30852.45"/>
    <n v="-34945.75"/>
    <n v="-40353.949999999997"/>
    <n v="-27777"/>
    <n v="-120149.1"/>
    <n v="-198172.9"/>
    <n v="-423245.3"/>
    <n v="-209186.7"/>
    <n v="-334084.09999999998"/>
    <n v="-335914.7"/>
    <n v="-1889736.05"/>
    <n v="1830.6000000000349"/>
  </r>
  <r>
    <x v="19"/>
    <x v="6"/>
    <x v="0"/>
    <s v="5101107"/>
    <n v="400020"/>
    <s v="O/P Care Svcs Rev--BCBS Comm"/>
    <s v="Brem-Med Oncology Pharm"/>
    <x v="0"/>
    <n v="1301"/>
    <n v="-1374491.9"/>
    <n v="-1459442.35"/>
    <n v="-1188474.8999999999"/>
    <n v="-1384001"/>
    <n v="-1157986.6499999999"/>
    <n v="-774778.65"/>
    <n v="-1310358.7"/>
    <n v="-1213865.8"/>
    <n v="-1067318.5"/>
    <n v="-1181809.6499999999"/>
    <n v="-1298873.75"/>
    <n v="-1211765.2"/>
    <n v="-14623167.050000001"/>
    <n v="-87108.550000000047"/>
  </r>
  <r>
    <x v="19"/>
    <x v="6"/>
    <x v="0"/>
    <s v="5101107"/>
    <n v="400020"/>
    <s v="O/P Care Svcs Rev--Managed Care"/>
    <s v="Brem-Med Oncology Pharm"/>
    <x v="0"/>
    <n v="1400"/>
    <n v="-1503189.7"/>
    <n v="-1839274.65"/>
    <n v="-1469332.1"/>
    <n v="-1789721.25"/>
    <n v="-1784255.4"/>
    <n v="-1819987.9"/>
    <n v="-2061453"/>
    <n v="-1873235.1"/>
    <n v="-1739005.25"/>
    <n v="-1664061.1"/>
    <n v="-2014777.05"/>
    <n v="-1258201.75"/>
    <n v="-20816494.25"/>
    <n v="-756575.3"/>
  </r>
  <r>
    <x v="19"/>
    <x v="6"/>
    <x v="0"/>
    <s v="5101107"/>
    <n v="400020"/>
    <s v="O/P Care Svcs Rev--Self Pay"/>
    <s v="Brem-Med Oncology Pharm"/>
    <x v="0"/>
    <n v="1500"/>
    <n v="-46413.45"/>
    <n v="-91847.65"/>
    <n v="-60755.95"/>
    <n v="-94845.4"/>
    <n v="-55342.55"/>
    <n v="-187162.95"/>
    <n v="-22977.3"/>
    <n v="7246.15"/>
    <n v="-10820.45"/>
    <n v="-18487.099999999999"/>
    <n v="-62475"/>
    <n v="-92125.75"/>
    <n v="-736007.39999999991"/>
    <n v="29650.75"/>
  </r>
  <r>
    <x v="19"/>
    <x v="6"/>
    <x v="0"/>
    <s v="5101107"/>
    <n v="400020"/>
    <s v="O/P Care Svcs Rev--Other"/>
    <s v="Brem-Med Oncology Pharm"/>
    <x v="0"/>
    <n v="1700"/>
    <n v="-1914063.95"/>
    <n v="-1378517.3"/>
    <n v="-1001832.15"/>
    <n v="-830471.4"/>
    <n v="-1055202.45"/>
    <n v="-785848.5"/>
    <n v="-497988.15"/>
    <n v="-340414.4"/>
    <n v="-1163414.8"/>
    <n v="-950175.3"/>
    <n v="-889539.1"/>
    <n v="-627454.80000000005"/>
    <n v="-11434922.300000003"/>
    <n v="-262084.29999999993"/>
  </r>
  <r>
    <x v="5"/>
    <x v="6"/>
    <x v="0"/>
    <s v="5101107"/>
    <n v="700032"/>
    <s v="Salaries-Other Pat Care Providers-Productive"/>
    <s v="Brem-Med Oncology Pharm"/>
    <x v="0"/>
    <m/>
    <n v="20484.88"/>
    <n v="21665.8"/>
    <n v="23602.51"/>
    <n v="23266.21"/>
    <n v="23480.79"/>
    <n v="20505.650000000001"/>
    <n v="24545.7"/>
    <n v="19641.89"/>
    <n v="24252.560000000001"/>
    <n v="23639.09"/>
    <n v="26653.84"/>
    <n v="16270.18"/>
    <n v="268009.09999999998"/>
    <n v="10383.66"/>
  </r>
  <r>
    <x v="5"/>
    <x v="6"/>
    <x v="0"/>
    <s v="5101107"/>
    <n v="700032"/>
    <s v="Salaries-Other Pat Care Providers-OT"/>
    <s v="Brem-Med Oncology Pharm"/>
    <x v="0"/>
    <n v="1000"/>
    <n v="66.930000000000007"/>
    <n v="-11.8"/>
    <n v="9.82"/>
    <n v="67.599999999999994"/>
    <n v="17.59"/>
    <n v="0"/>
    <n v="0"/>
    <n v="0"/>
    <n v="139.97"/>
    <n v="49.64"/>
    <n v="5.8"/>
    <n v="0"/>
    <n v="345.55"/>
    <n v="5.8"/>
  </r>
  <r>
    <x v="5"/>
    <x v="6"/>
    <x v="0"/>
    <s v="5101107"/>
    <n v="700032"/>
    <s v="Salaries-Other Pat Care Providers-Other"/>
    <s v="Brem-Med Oncology Pharm"/>
    <x v="0"/>
    <n v="2000"/>
    <n v="1012.02"/>
    <n v="1030.54"/>
    <n v="1036.3399999999999"/>
    <n v="1083.51"/>
    <n v="878.37"/>
    <n v="792.1"/>
    <n v="1020.14"/>
    <n v="655.96"/>
    <n v="1077.05"/>
    <n v="868.86"/>
    <n v="1557.86"/>
    <n v="1704.72"/>
    <n v="12717.470000000001"/>
    <n v="-146.86000000000013"/>
  </r>
  <r>
    <x v="5"/>
    <x v="6"/>
    <x v="0"/>
    <s v="5101107"/>
    <n v="700072"/>
    <s v="Salaries-Other Pat Care Providers-Non-productive"/>
    <s v="Brem-Med Oncology Pharm"/>
    <x v="0"/>
    <m/>
    <n v="4290.59"/>
    <n v="2512.0500000000002"/>
    <n v="482.02"/>
    <n v="2901.13"/>
    <n v="1454.07"/>
    <n v="2555.3000000000002"/>
    <n v="669.39"/>
    <n v="1237.5899999999999"/>
    <n v="2134.75"/>
    <n v="781.97"/>
    <n v="1317.18"/>
    <n v="15463.23"/>
    <n v="35799.270000000004"/>
    <n v="-14146.05"/>
  </r>
  <r>
    <x v="5"/>
    <x v="6"/>
    <x v="0"/>
    <s v="5101107"/>
    <n v="700072"/>
    <s v="Salaries-Other Pat Care Providers-NonProd-Other"/>
    <s v="Brem-Med Oncology Pharm"/>
    <x v="0"/>
    <n v="2000"/>
    <n v="58.28"/>
    <n v="-9.36"/>
    <n v="5.84"/>
    <n v="53.95"/>
    <n v="14.02"/>
    <n v="9.1999999999999993"/>
    <n v="5.17"/>
    <n v="8.15"/>
    <n v="45.06"/>
    <n v="12.88"/>
    <n v="10.119999999999999"/>
    <n v="13.9"/>
    <n v="227.21"/>
    <n v="-3.7800000000000011"/>
  </r>
  <r>
    <x v="5"/>
    <x v="6"/>
    <x v="0"/>
    <s v="5101107"/>
    <n v="700084"/>
    <s v="Accrued PTO"/>
    <s v="Brem-Med Oncology Pharm"/>
    <x v="0"/>
    <m/>
    <n v="-1537.45"/>
    <n v="-1088.5999999999999"/>
    <n v="1181.46"/>
    <n v="-25.28"/>
    <n v="552"/>
    <n v="400.38"/>
    <n v="1297.42"/>
    <n v="1286.8"/>
    <n v="712.52"/>
    <n v="544.83000000000004"/>
    <n v="1654.12"/>
    <n v="2536.71"/>
    <n v="7514.91"/>
    <n v="-882.59000000000015"/>
  </r>
  <r>
    <x v="10"/>
    <x v="6"/>
    <x v="0"/>
    <s v="5101107"/>
    <n v="710060"/>
    <s v="Contract Labor-Other"/>
    <s v="Brem-Med Oncology Pharm"/>
    <x v="0"/>
    <m/>
    <n v="0"/>
    <n v="1590.51"/>
    <n v="0"/>
    <n v="0"/>
    <n v="0"/>
    <n v="0"/>
    <n v="0"/>
    <n v="0"/>
    <n v="0"/>
    <n v="0"/>
    <n v="0"/>
    <n v="0"/>
    <n v="1590.51"/>
    <n v="0"/>
  </r>
  <r>
    <x v="6"/>
    <x v="6"/>
    <x v="0"/>
    <s v="5101107"/>
    <n v="713010"/>
    <s v="Benefits-FICA/Medicare"/>
    <s v="Brem-Med Oncology Pharm"/>
    <x v="0"/>
    <m/>
    <n v="1944.47"/>
    <n v="1889.05"/>
    <n v="1886.32"/>
    <n v="2056.2399999999998"/>
    <n v="1940.54"/>
    <n v="1779.16"/>
    <n v="1950.05"/>
    <n v="1596.68"/>
    <n v="2057.84"/>
    <n v="1884.14"/>
    <n v="2202.61"/>
    <n v="2483.37"/>
    <n v="23670.469999999998"/>
    <n v="-280.75999999999976"/>
  </r>
  <r>
    <x v="6"/>
    <x v="6"/>
    <x v="0"/>
    <s v="5101107"/>
    <n v="713090"/>
    <s v="Benefits-Allocated Amounts"/>
    <s v="Brem-Med Oncology Pharm"/>
    <x v="0"/>
    <m/>
    <n v="3834.21"/>
    <n v="3341.56"/>
    <n v="3684.9"/>
    <n v="3914.89"/>
    <n v="4325.8900000000003"/>
    <n v="3825.6"/>
    <n v="4022.85"/>
    <n v="3720.38"/>
    <n v="3530.73"/>
    <n v="4325.3100000000004"/>
    <n v="4501.68"/>
    <n v="5697.58"/>
    <n v="48725.58"/>
    <n v="-1195.8999999999996"/>
  </r>
  <r>
    <x v="7"/>
    <x v="6"/>
    <x v="0"/>
    <s v="5101107"/>
    <n v="718050"/>
    <s v="Contract Svcs-Other"/>
    <s v="Brem-Med Oncology Pharm"/>
    <x v="0"/>
    <m/>
    <n v="0"/>
    <n v="0"/>
    <n v="0"/>
    <n v="0"/>
    <n v="0"/>
    <n v="0"/>
    <n v="0"/>
    <n v="0"/>
    <n v="0"/>
    <n v="0"/>
    <n v="675.8"/>
    <n v="0"/>
    <n v="675.8"/>
    <n v="675.8"/>
  </r>
  <r>
    <x v="7"/>
    <x v="6"/>
    <x v="0"/>
    <s v="5101107"/>
    <n v="718050"/>
    <s v="Miscellaneous Purchased Svcs"/>
    <s v="Brem-Med Oncology Pharm"/>
    <x v="0"/>
    <n v="1020"/>
    <n v="1476.95"/>
    <n v="0"/>
    <n v="0"/>
    <n v="0"/>
    <n v="0"/>
    <n v="1450"/>
    <n v="14867.6"/>
    <n v="0"/>
    <n v="0"/>
    <n v="0"/>
    <n v="0"/>
    <n v="0"/>
    <n v="17794.55"/>
    <n v="0"/>
  </r>
  <r>
    <x v="7"/>
    <x v="6"/>
    <x v="0"/>
    <s v="5101107"/>
    <n v="718091"/>
    <s v="Contract Services-Intracompany Allocation"/>
    <s v="Brem-Med Oncology Pharm"/>
    <x v="0"/>
    <m/>
    <n v="17732.8"/>
    <n v="17229.82"/>
    <n v="16900.919999999998"/>
    <n v="17396.689999999999"/>
    <n v="18221.150000000001"/>
    <n v="15112.1"/>
    <n v="18885.810000000001"/>
    <n v="16706.02"/>
    <n v="18746.669999999998"/>
    <n v="16583.419999999998"/>
    <n v="20184.509999999998"/>
    <n v="17038.53"/>
    <n v="210738.43999999997"/>
    <n v="3145.9799999999996"/>
  </r>
  <r>
    <x v="11"/>
    <x v="6"/>
    <x v="0"/>
    <s v="5101107"/>
    <n v="721240"/>
    <s v="Supplies-IV Solutions/Supplies - Billable"/>
    <s v="Brem-Med Oncology Pharm"/>
    <x v="0"/>
    <m/>
    <n v="27.36"/>
    <n v="0"/>
    <n v="0"/>
    <n v="0"/>
    <n v="0"/>
    <n v="0"/>
    <n v="567.11"/>
    <n v="921.94"/>
    <n v="1268.82"/>
    <n v="854.1"/>
    <n v="1198.25"/>
    <n v="1006.89"/>
    <n v="5844.47"/>
    <n v="191.36"/>
  </r>
  <r>
    <x v="11"/>
    <x v="6"/>
    <x v="0"/>
    <s v="5101107"/>
    <n v="721250"/>
    <s v="Supplies-Pharmacy Drugs - Billable"/>
    <s v="Brem-Med Oncology Pharm"/>
    <x v="0"/>
    <m/>
    <n v="85372"/>
    <n v="2268910.67"/>
    <n v="1815228.18"/>
    <n v="2087319"/>
    <n v="1942451.83"/>
    <n v="2058440.36"/>
    <n v="2228502.2599999998"/>
    <n v="1885105.99"/>
    <n v="2413411.94"/>
    <n v="1727556.31"/>
    <n v="2195510.79"/>
    <n v="1997371.17"/>
    <n v="22705180.5"/>
    <n v="198139.62000000011"/>
  </r>
  <r>
    <x v="11"/>
    <x v="6"/>
    <x v="0"/>
    <s v="5101107"/>
    <n v="721250"/>
    <s v="OP Pharmacy Drugs"/>
    <s v="Brem-Med Oncology Pharm"/>
    <x v="0"/>
    <n v="1002"/>
    <n v="1070523.1000000001"/>
    <n v="-2564.0500000000002"/>
    <n v="760.41"/>
    <n v="1239.97"/>
    <n v="170.15"/>
    <n v="7.82"/>
    <n v="42.34"/>
    <n v="0"/>
    <n v="4377.5"/>
    <n v="0"/>
    <n v="28664.46"/>
    <n v="0"/>
    <n v="1103221.7"/>
    <n v="28664.46"/>
  </r>
  <r>
    <x v="11"/>
    <x v="6"/>
    <x v="0"/>
    <s v="5101107"/>
    <n v="721251"/>
    <s v="Supplies-340B Pharmacy Drugs - Billable"/>
    <s v="Brem-Med Oncology Pharm"/>
    <x v="0"/>
    <m/>
    <n v="951638.46"/>
    <n v="12190.36"/>
    <n v="597.85"/>
    <n v="379.65"/>
    <n v="206.79"/>
    <n v="4.04"/>
    <n v="0"/>
    <n v="0"/>
    <n v="-123.04"/>
    <n v="-55.5"/>
    <n v="0"/>
    <n v="0"/>
    <n v="964838.61"/>
    <n v="0"/>
  </r>
  <r>
    <x v="11"/>
    <x v="6"/>
    <x v="0"/>
    <s v="5101107"/>
    <n v="721410"/>
    <s v="Supplies-Medical - Nonbillable"/>
    <s v="Brem-Med Oncology Pharm"/>
    <x v="0"/>
    <m/>
    <n v="0"/>
    <n v="0"/>
    <n v="9784.7999999999993"/>
    <n v="8258.5400000000009"/>
    <n v="2766.92"/>
    <n v="38.21"/>
    <n v="601.04"/>
    <n v="935.05"/>
    <n v="2135.81"/>
    <n v="1006.15"/>
    <n v="-209711.2"/>
    <n v="1746.11"/>
    <n v="-182438.57"/>
    <n v="-211457.31"/>
  </r>
  <r>
    <x v="11"/>
    <x v="6"/>
    <x v="0"/>
    <s v="5101107"/>
    <n v="721640"/>
    <s v="Supplies-IV Solutions/Supplies - Nonbillable"/>
    <s v="Brem-Med Oncology Pharm"/>
    <x v="0"/>
    <m/>
    <n v="0"/>
    <n v="0"/>
    <n v="0"/>
    <n v="0"/>
    <n v="0"/>
    <n v="1625.19"/>
    <n v="239"/>
    <n v="289.35000000000002"/>
    <n v="307.14999999999998"/>
    <n v="158"/>
    <n v="301.2"/>
    <n v="438.5"/>
    <n v="3358.39"/>
    <n v="-137.30000000000001"/>
  </r>
  <r>
    <x v="11"/>
    <x v="6"/>
    <x v="0"/>
    <s v="5101107"/>
    <n v="721830"/>
    <s v="Supplies-Office"/>
    <s v="Brem-Med Oncology Pharm"/>
    <x v="0"/>
    <m/>
    <n v="0"/>
    <n v="0"/>
    <n v="0"/>
    <n v="0"/>
    <n v="91.04"/>
    <n v="-20.51"/>
    <n v="14.57"/>
    <n v="34.71"/>
    <n v="129.75"/>
    <n v="0"/>
    <n v="70.790000000000006"/>
    <n v="23.24"/>
    <n v="343.59000000000003"/>
    <n v="47.550000000000011"/>
  </r>
  <r>
    <x v="11"/>
    <x v="6"/>
    <x v="0"/>
    <s v="5101107"/>
    <n v="721870"/>
    <s v="Supplies-Environmental Services"/>
    <s v="Brem-Med Oncology Pharm"/>
    <x v="0"/>
    <m/>
    <n v="0"/>
    <n v="0"/>
    <n v="0"/>
    <n v="0"/>
    <n v="0"/>
    <n v="0"/>
    <n v="560.26"/>
    <n v="406.96"/>
    <n v="346.62"/>
    <n v="620.65"/>
    <n v="346.62"/>
    <n v="687.34"/>
    <n v="2968.4500000000003"/>
    <n v="-340.72"/>
  </r>
  <r>
    <x v="11"/>
    <x v="6"/>
    <x v="0"/>
    <s v="5101107"/>
    <n v="721910"/>
    <s v="Supplies-Small Equipment"/>
    <s v="Brem-Med Oncology Pharm"/>
    <x v="0"/>
    <m/>
    <n v="0"/>
    <n v="0"/>
    <n v="0"/>
    <n v="0"/>
    <n v="0"/>
    <n v="0"/>
    <n v="309.31"/>
    <n v="667.12"/>
    <n v="0"/>
    <n v="361.84"/>
    <n v="51.07"/>
    <n v="190.07"/>
    <n v="1579.4099999999999"/>
    <n v="-139"/>
  </r>
  <r>
    <x v="11"/>
    <x v="6"/>
    <x v="0"/>
    <s v="5101107"/>
    <n v="722000"/>
    <s v="Supplies-Freight Expense"/>
    <s v="Brem-Med Oncology Pharm"/>
    <x v="0"/>
    <m/>
    <n v="0"/>
    <n v="0"/>
    <n v="0"/>
    <n v="0"/>
    <n v="0"/>
    <n v="0"/>
    <n v="0"/>
    <n v="0"/>
    <n v="27.55"/>
    <n v="28.92"/>
    <n v="0"/>
    <n v="0"/>
    <n v="56.47"/>
    <n v="0"/>
  </r>
  <r>
    <x v="16"/>
    <x v="6"/>
    <x v="0"/>
    <s v="5101107"/>
    <n v="732020"/>
    <s v="Repairs--Clin Equip-Parts-Internal to CHI Programs"/>
    <s v="Brem-Med Oncology Pharm"/>
    <x v="0"/>
    <m/>
    <n v="0"/>
    <n v="0"/>
    <n v="0"/>
    <n v="0"/>
    <n v="0"/>
    <n v="0"/>
    <n v="123.62"/>
    <n v="0"/>
    <n v="660.91"/>
    <n v="50.18"/>
    <n v="0"/>
    <n v="0"/>
    <n v="834.70999999999992"/>
    <n v="0"/>
  </r>
  <r>
    <x v="16"/>
    <x v="6"/>
    <x v="0"/>
    <s v="5101107"/>
    <n v="732030"/>
    <s v="Repairs---Other"/>
    <s v="Brem-Med Oncology Pharm"/>
    <x v="0"/>
    <m/>
    <n v="0"/>
    <n v="0"/>
    <n v="0"/>
    <n v="3444.4"/>
    <n v="0"/>
    <n v="0"/>
    <n v="0"/>
    <n v="0"/>
    <n v="0"/>
    <n v="0"/>
    <n v="0"/>
    <n v="0"/>
    <n v="3444.4"/>
    <n v="0"/>
  </r>
  <r>
    <x v="0"/>
    <x v="6"/>
    <x v="0"/>
    <s v="5101107"/>
    <n v="749510"/>
    <s v="Licenses"/>
    <s v="Brem-Med Oncology Pharm"/>
    <x v="0"/>
    <n v="1002"/>
    <n v="0"/>
    <n v="0"/>
    <n v="0"/>
    <n v="0"/>
    <n v="0"/>
    <n v="0"/>
    <n v="0"/>
    <n v="0"/>
    <n v="845"/>
    <n v="0"/>
    <n v="0"/>
    <n v="0"/>
    <n v="845"/>
    <n v="0"/>
  </r>
  <r>
    <x v="18"/>
    <x v="6"/>
    <x v="0"/>
    <s v="5102107"/>
    <n v="400010"/>
    <s v="Acute I/P Svcs Rev--Medicare"/>
    <s v="Pharmacy-Silverdale"/>
    <x v="0"/>
    <n v="1100"/>
    <n v="-311185.95"/>
    <n v="-357808.95"/>
    <n v="-369568.75"/>
    <n v="-413328.8"/>
    <n v="-352646.6"/>
    <n v="-322123.05"/>
    <n v="-513128.1"/>
    <n v="-324619.55"/>
    <n v="-454943.2"/>
    <n v="-573112.94999999995"/>
    <n v="-467989.1"/>
    <n v="-427444.75"/>
    <n v="-4887899.7499999991"/>
    <n v="-40544.349999999977"/>
  </r>
  <r>
    <x v="18"/>
    <x v="6"/>
    <x v="0"/>
    <s v="5102107"/>
    <n v="400010"/>
    <s v="Acute I/P Svcs Rev--Medicaid"/>
    <s v="Pharmacy-Silverdale"/>
    <x v="0"/>
    <n v="1200"/>
    <n v="-357503.3"/>
    <n v="-311525.7"/>
    <n v="-301282.3"/>
    <n v="-293813.3"/>
    <n v="-246443.85"/>
    <n v="-280695"/>
    <n v="-370391.35"/>
    <n v="-200312.6"/>
    <n v="-391799.05"/>
    <n v="-376288.45"/>
    <n v="-293156"/>
    <n v="-373910.4"/>
    <n v="-3797121.3000000003"/>
    <n v="80754.400000000023"/>
  </r>
  <r>
    <x v="18"/>
    <x v="6"/>
    <x v="0"/>
    <s v="5102107"/>
    <n v="400010"/>
    <s v="Acute I/P Svcs Rev--Comm Insurance"/>
    <s v="Pharmacy-Silverdale"/>
    <x v="0"/>
    <n v="1300"/>
    <n v="-15650.8"/>
    <n v="-35572"/>
    <n v="-47592.15"/>
    <n v="-28291.55"/>
    <n v="-62964.7"/>
    <n v="-28337.65"/>
    <n v="-20887.2"/>
    <n v="-27220.2"/>
    <n v="-66803.899999999994"/>
    <n v="-43786.15"/>
    <n v="-47556.35"/>
    <n v="-49772.95"/>
    <n v="-474435.60000000003"/>
    <n v="2216.5999999999985"/>
  </r>
  <r>
    <x v="18"/>
    <x v="6"/>
    <x v="0"/>
    <s v="5102107"/>
    <n v="400010"/>
    <s v="Acute I/P Svcs Rev--BCBS Comm"/>
    <s v="Pharmacy-Silverdale"/>
    <x v="0"/>
    <n v="1301"/>
    <n v="-196120.35"/>
    <n v="-176616.1"/>
    <n v="-162428.4"/>
    <n v="-144242.04999999999"/>
    <n v="-236958.2"/>
    <n v="-128443.3"/>
    <n v="-149991.1"/>
    <n v="-173423.25"/>
    <n v="-215741.25"/>
    <n v="-146185.79999999999"/>
    <n v="-199471.15"/>
    <n v="-178515.6"/>
    <n v="-2108136.5499999998"/>
    <n v="-20955.549999999988"/>
  </r>
  <r>
    <x v="18"/>
    <x v="6"/>
    <x v="0"/>
    <s v="5102107"/>
    <n v="400010"/>
    <s v="Acute I/P Svcs Rev--Managed Care"/>
    <s v="Pharmacy-Silverdale"/>
    <x v="0"/>
    <n v="1400"/>
    <n v="-272252.5"/>
    <n v="-230095.25"/>
    <n v="-220108.15"/>
    <n v="-340270.45"/>
    <n v="-296331.3"/>
    <n v="-322666.65000000002"/>
    <n v="-319396.5"/>
    <n v="-257795.45"/>
    <n v="-211022.15"/>
    <n v="-194296.15"/>
    <n v="-242864.4"/>
    <n v="-248063.8"/>
    <n v="-3155162.75"/>
    <n v="5199.3999999999942"/>
  </r>
  <r>
    <x v="18"/>
    <x v="6"/>
    <x v="0"/>
    <s v="5102107"/>
    <n v="400010"/>
    <s v="Acute I/P Svcs Rev--Self Pay"/>
    <s v="Pharmacy-Silverdale"/>
    <x v="0"/>
    <n v="1500"/>
    <n v="-6006.4"/>
    <n v="-9619.4"/>
    <n v="-4563.7"/>
    <n v="3932.9"/>
    <n v="-5773.15"/>
    <n v="-3989.7"/>
    <n v="-4651.8"/>
    <n v="-26599.35"/>
    <n v="-22326.5"/>
    <n v="-3501.2"/>
    <n v="-9354.15"/>
    <n v="-3959.6"/>
    <n v="-96412.05"/>
    <n v="-5394.5499999999993"/>
  </r>
  <r>
    <x v="18"/>
    <x v="6"/>
    <x v="0"/>
    <s v="5102107"/>
    <n v="400010"/>
    <s v="Acute I/P Svcs Rev--Other"/>
    <s v="Pharmacy-Silverdale"/>
    <x v="0"/>
    <n v="1700"/>
    <n v="-125033.3"/>
    <n v="-151882.75"/>
    <n v="-173138.3"/>
    <n v="-156670.85"/>
    <n v="-195087"/>
    <n v="-107006.9"/>
    <n v="-117773"/>
    <n v="-91567.5"/>
    <n v="-171700.55"/>
    <n v="-108141.5"/>
    <n v="-106891.85"/>
    <n v="-119669.75"/>
    <n v="-1624563.2500000002"/>
    <n v="12777.899999999994"/>
  </r>
  <r>
    <x v="19"/>
    <x v="6"/>
    <x v="0"/>
    <s v="5102107"/>
    <n v="400020"/>
    <s v="O/P Care Svcs Rev--Medicare"/>
    <s v="Pharmacy-Silverdale"/>
    <x v="0"/>
    <n v="1100"/>
    <n v="-294349.84999999998"/>
    <n v="-360961.2"/>
    <n v="-353501.65"/>
    <n v="-388668.9"/>
    <n v="-314405.95"/>
    <n v="-352785.75"/>
    <n v="-379503.2"/>
    <n v="-329897.34999999998"/>
    <n v="-419677.1"/>
    <n v="-437433.7"/>
    <n v="-547316.1"/>
    <n v="-431541.3"/>
    <n v="-4610042.0500000007"/>
    <n v="-115774.79999999999"/>
  </r>
  <r>
    <x v="19"/>
    <x v="6"/>
    <x v="0"/>
    <s v="5102107"/>
    <n v="400020"/>
    <s v="O/P Care Svcs Rev--Medicaid"/>
    <s v="Pharmacy-Silverdale"/>
    <x v="0"/>
    <n v="1200"/>
    <n v="-261031.65"/>
    <n v="-323796.7"/>
    <n v="-247647.85"/>
    <n v="-249780.3"/>
    <n v="-331769.40000000002"/>
    <n v="-260241.15"/>
    <n v="-326811"/>
    <n v="-267979.65000000002"/>
    <n v="-368835.2"/>
    <n v="-316897.90000000002"/>
    <n v="-392431.05"/>
    <n v="-378977.25"/>
    <n v="-3726199.0999999996"/>
    <n v="-13453.799999999988"/>
  </r>
  <r>
    <x v="19"/>
    <x v="6"/>
    <x v="0"/>
    <s v="5102107"/>
    <n v="400020"/>
    <s v="O/P Care Svcs Rev--Comm Insurance"/>
    <s v="Pharmacy-Silverdale"/>
    <x v="0"/>
    <n v="1300"/>
    <n v="-102862.85"/>
    <n v="-37094.9"/>
    <n v="-7017.2"/>
    <n v="-43133.2"/>
    <n v="-28634.1"/>
    <n v="-49064.7"/>
    <n v="-72012.55"/>
    <n v="-53316.35"/>
    <n v="-50251.3"/>
    <n v="-59503.75"/>
    <n v="-45235.85"/>
    <n v="-42792.75"/>
    <n v="-590919.5"/>
    <n v="-2443.0999999999985"/>
  </r>
  <r>
    <x v="19"/>
    <x v="6"/>
    <x v="0"/>
    <s v="5102107"/>
    <n v="400020"/>
    <s v="O/P Care Svcs Rev--BCBS Comm"/>
    <s v="Pharmacy-Silverdale"/>
    <x v="0"/>
    <n v="1301"/>
    <n v="-175801.85"/>
    <n v="-202901.65"/>
    <n v="-229296.8"/>
    <n v="-269413.65000000002"/>
    <n v="-231050.05"/>
    <n v="-330965.34999999998"/>
    <n v="-193505.35"/>
    <n v="-238891.25"/>
    <n v="-247261.55"/>
    <n v="-240931.9"/>
    <n v="-254625.6"/>
    <n v="-229845.85"/>
    <n v="-2844490.85"/>
    <n v="-24779.75"/>
  </r>
  <r>
    <x v="19"/>
    <x v="6"/>
    <x v="0"/>
    <s v="5102107"/>
    <n v="400020"/>
    <s v="O/P Care Svcs Rev--Managed Care"/>
    <s v="Pharmacy-Silverdale"/>
    <x v="0"/>
    <n v="1400"/>
    <n v="-353787.95"/>
    <n v="-349799.95"/>
    <n v="-423218.35"/>
    <n v="-487289.59999999998"/>
    <n v="-294645.15000000002"/>
    <n v="-415711.65"/>
    <n v="-345072.65"/>
    <n v="-303408.09999999998"/>
    <n v="-392517.5"/>
    <n v="-311713.45"/>
    <n v="-372304.6"/>
    <n v="-453433.7"/>
    <n v="-4502902.6500000004"/>
    <n v="81129.100000000035"/>
  </r>
  <r>
    <x v="19"/>
    <x v="6"/>
    <x v="0"/>
    <s v="5102107"/>
    <n v="400020"/>
    <s v="O/P Care Svcs Rev--Self Pay"/>
    <s v="Pharmacy-Silverdale"/>
    <x v="0"/>
    <n v="1500"/>
    <n v="-7435.7"/>
    <n v="-35568.550000000003"/>
    <n v="-14776.65"/>
    <n v="-35283.699999999997"/>
    <n v="-40217.4"/>
    <n v="-22485.200000000001"/>
    <n v="-14494.85"/>
    <n v="-28604.75"/>
    <n v="-35929"/>
    <n v="-49215.45"/>
    <n v="-26398.1"/>
    <n v="-49654.9"/>
    <n v="-360064.25"/>
    <n v="23256.800000000003"/>
  </r>
  <r>
    <x v="19"/>
    <x v="6"/>
    <x v="0"/>
    <s v="5102107"/>
    <n v="400020"/>
    <s v="O/P Care Svcs Rev--Other"/>
    <s v="Pharmacy-Silverdale"/>
    <x v="0"/>
    <n v="1700"/>
    <n v="-239002.65"/>
    <n v="-236054.6"/>
    <n v="-235122.05"/>
    <n v="-228637.65"/>
    <n v="-183486.3"/>
    <n v="-190502.65"/>
    <n v="-213850.45"/>
    <n v="-235508.6"/>
    <n v="-259748.05"/>
    <n v="-209456.1"/>
    <n v="-277025.5"/>
    <n v="-231516.35"/>
    <n v="-2739910.95"/>
    <n v="-45509.149999999994"/>
  </r>
  <r>
    <x v="5"/>
    <x v="6"/>
    <x v="0"/>
    <s v="5102107"/>
    <n v="700032"/>
    <s v="Salaries-Other Pat Care Providers-Productive"/>
    <s v="Pharmacy-Silverdale"/>
    <x v="0"/>
    <m/>
    <n v="61345.34"/>
    <n v="58235.040000000001"/>
    <n v="60312.33"/>
    <n v="56519.59"/>
    <n v="60629.34"/>
    <n v="52281.54"/>
    <n v="62542.47"/>
    <n v="56730.49"/>
    <n v="59534.32"/>
    <n v="57146.16"/>
    <n v="61405.01"/>
    <n v="59491.39"/>
    <n v="706173.02"/>
    <n v="1913.6200000000026"/>
  </r>
  <r>
    <x v="5"/>
    <x v="6"/>
    <x v="0"/>
    <s v="5102107"/>
    <n v="700032"/>
    <s v="Salaries-Other Pat Care Providers-OT"/>
    <s v="Pharmacy-Silverdale"/>
    <x v="0"/>
    <n v="1000"/>
    <n v="879.66"/>
    <n v="822.38"/>
    <n v="503.61"/>
    <n v="1009.54"/>
    <n v="650.91"/>
    <n v="542.11"/>
    <n v="755.81"/>
    <n v="465.8"/>
    <n v="708.46"/>
    <n v="659.75"/>
    <n v="934.68"/>
    <n v="2214.6999999999998"/>
    <n v="10147.41"/>
    <n v="-1280.02"/>
  </r>
  <r>
    <x v="5"/>
    <x v="6"/>
    <x v="0"/>
    <s v="5102107"/>
    <n v="700032"/>
    <s v="Salaries-Other Pat Care Providers-Other"/>
    <s v="Pharmacy-Silverdale"/>
    <x v="0"/>
    <n v="2000"/>
    <n v="2748.78"/>
    <n v="2139.14"/>
    <n v="2151.92"/>
    <n v="2081.16"/>
    <n v="2528.4499999999998"/>
    <n v="2033.77"/>
    <n v="2271.16"/>
    <n v="2047.33"/>
    <n v="2199.33"/>
    <n v="2117.04"/>
    <n v="2400.5500000000002"/>
    <n v="1991.83"/>
    <n v="26710.46"/>
    <n v="408.72000000000025"/>
  </r>
  <r>
    <x v="5"/>
    <x v="6"/>
    <x v="0"/>
    <s v="5102107"/>
    <n v="700072"/>
    <s v="Salaries-Other Pat Care Providers-Non-productive"/>
    <s v="Pharmacy-Silverdale"/>
    <x v="0"/>
    <m/>
    <n v="6179.41"/>
    <n v="8090.7"/>
    <n v="4573.9399999999996"/>
    <n v="9410.69"/>
    <n v="2002.4"/>
    <n v="11413.68"/>
    <n v="4600.92"/>
    <n v="4248.5"/>
    <n v="3808.23"/>
    <n v="5882.19"/>
    <n v="4084.63"/>
    <n v="6585.76"/>
    <n v="70881.05"/>
    <n v="-2501.13"/>
  </r>
  <r>
    <x v="5"/>
    <x v="6"/>
    <x v="0"/>
    <s v="5102107"/>
    <n v="700072"/>
    <s v="Salaries-Other Pat Care Providers-NonProd-Other"/>
    <s v="Pharmacy-Silverdale"/>
    <x v="0"/>
    <n v="2000"/>
    <n v="101.03"/>
    <n v="7.65"/>
    <n v="36.57"/>
    <n v="206.97"/>
    <n v="-43.55"/>
    <n v="137.72999999999999"/>
    <n v="35.700000000000003"/>
    <n v="519.55999999999995"/>
    <n v="6.39"/>
    <n v="55.54"/>
    <n v="3.23"/>
    <n v="111.03"/>
    <n v="1177.8499999999999"/>
    <n v="-107.8"/>
  </r>
  <r>
    <x v="5"/>
    <x v="6"/>
    <x v="0"/>
    <s v="5102107"/>
    <n v="700084"/>
    <s v="Accrued PTO"/>
    <s v="Pharmacy-Silverdale"/>
    <x v="0"/>
    <m/>
    <n v="348.67"/>
    <n v="-489.8"/>
    <n v="2225.36"/>
    <n v="714.42"/>
    <n v="223.09"/>
    <n v="662.42"/>
    <n v="4037.44"/>
    <n v="4628.6099999999997"/>
    <n v="-426.27"/>
    <n v="2145.66"/>
    <n v="-435.59"/>
    <n v="244.23"/>
    <n v="13878.239999999998"/>
    <n v="-679.81999999999994"/>
  </r>
  <r>
    <x v="6"/>
    <x v="6"/>
    <x v="0"/>
    <s v="5102107"/>
    <n v="713010"/>
    <s v="Benefits-FICA/Medicare"/>
    <s v="Pharmacy-Silverdale"/>
    <x v="0"/>
    <m/>
    <n v="5026.71"/>
    <n v="4978.88"/>
    <n v="3665.76"/>
    <n v="4685.6400000000003"/>
    <n v="3411.08"/>
    <n v="3610.94"/>
    <n v="5362.24"/>
    <n v="5710.45"/>
    <n v="5059.47"/>
    <n v="5031.3100000000004"/>
    <n v="5255.8"/>
    <n v="5378.05"/>
    <n v="57176.33"/>
    <n v="-122.25"/>
  </r>
  <r>
    <x v="6"/>
    <x v="6"/>
    <x v="0"/>
    <s v="5102107"/>
    <n v="713090"/>
    <s v="Benefits-Allocated Amounts"/>
    <s v="Pharmacy-Silverdale"/>
    <x v="0"/>
    <m/>
    <n v="8574.92"/>
    <n v="7526.46"/>
    <n v="8287.14"/>
    <n v="8299.1"/>
    <n v="9102.02"/>
    <n v="8599.1299999999992"/>
    <n v="9081.08"/>
    <n v="8704.91"/>
    <n v="6762.05"/>
    <n v="9250.0400000000009"/>
    <n v="8852.86"/>
    <n v="10026.709999999999"/>
    <n v="103066.42000000001"/>
    <n v="-1173.8499999999985"/>
  </r>
  <r>
    <x v="7"/>
    <x v="6"/>
    <x v="0"/>
    <s v="5102107"/>
    <n v="718050"/>
    <s v="Contract Svcs-Other"/>
    <s v="Pharmacy-Silverdale"/>
    <x v="0"/>
    <m/>
    <n v="0"/>
    <n v="0"/>
    <n v="0"/>
    <n v="0"/>
    <n v="515.20000000000005"/>
    <n v="0"/>
    <n v="0"/>
    <n v="0"/>
    <n v="0"/>
    <n v="0"/>
    <n v="0"/>
    <n v="0"/>
    <n v="515.20000000000005"/>
    <n v="0"/>
  </r>
  <r>
    <x v="7"/>
    <x v="6"/>
    <x v="0"/>
    <s v="5102107"/>
    <n v="718050"/>
    <s v="Miscellaneous Purchased Svcs"/>
    <s v="Pharmacy-Silverdale"/>
    <x v="0"/>
    <n v="1020"/>
    <n v="0"/>
    <n v="0"/>
    <n v="0"/>
    <n v="416.38"/>
    <n v="0"/>
    <n v="0"/>
    <n v="14867.6"/>
    <n v="4560"/>
    <n v="0"/>
    <n v="0"/>
    <n v="4000"/>
    <n v="0"/>
    <n v="23843.98"/>
    <n v="4000"/>
  </r>
  <r>
    <x v="7"/>
    <x v="6"/>
    <x v="0"/>
    <s v="5102107"/>
    <n v="718070"/>
    <s v="Contract Srvcs-CHI Clinical Engineering"/>
    <s v="Pharmacy-Silverdale"/>
    <x v="0"/>
    <m/>
    <n v="2601"/>
    <n v="2601"/>
    <n v="2601"/>
    <n v="2601"/>
    <n v="2601"/>
    <n v="2601"/>
    <n v="2601"/>
    <n v="2536"/>
    <n v="5072"/>
    <n v="2536"/>
    <n v="2536"/>
    <n v="2536"/>
    <n v="33423"/>
    <n v="0"/>
  </r>
  <r>
    <x v="7"/>
    <x v="6"/>
    <x v="0"/>
    <s v="5102107"/>
    <n v="718091"/>
    <s v="Contract Services-Intracompany Allocation"/>
    <s v="Pharmacy-Silverdale"/>
    <x v="0"/>
    <m/>
    <n v="1724.02"/>
    <n v="1675.12"/>
    <n v="1643.15"/>
    <n v="1691.34"/>
    <n v="1771.5"/>
    <n v="1469.24"/>
    <n v="1836.12"/>
    <n v="1624.19"/>
    <n v="1822.6"/>
    <n v="1612.27"/>
    <n v="1962.39"/>
    <n v="1656.52"/>
    <n v="20488.460000000003"/>
    <n v="305.87000000000012"/>
  </r>
  <r>
    <x v="11"/>
    <x v="6"/>
    <x v="0"/>
    <s v="5102107"/>
    <n v="721010"/>
    <s v="Supplies-Medical - Billable"/>
    <s v="Pharmacy-Silverdale"/>
    <x v="0"/>
    <m/>
    <n v="0"/>
    <n v="0"/>
    <n v="16.16"/>
    <n v="17.89"/>
    <n v="0"/>
    <n v="0"/>
    <n v="0"/>
    <n v="0"/>
    <n v="0"/>
    <n v="0"/>
    <n v="38.5"/>
    <n v="0"/>
    <n v="72.55"/>
    <n v="38.5"/>
  </r>
  <r>
    <x v="11"/>
    <x v="6"/>
    <x v="0"/>
    <s v="5102107"/>
    <n v="721020"/>
    <s v="Supplies-Surgical - Billable"/>
    <s v="Pharmacy-Silverdale"/>
    <x v="0"/>
    <m/>
    <n v="79.2"/>
    <n v="2000.18"/>
    <n v="0"/>
    <n v="819.1"/>
    <n v="1299.72"/>
    <n v="4672.17"/>
    <n v="43.67"/>
    <n v="319.8"/>
    <n v="43.67"/>
    <n v="4151.9799999999996"/>
    <n v="819.1"/>
    <n v="0"/>
    <n v="14248.589999999998"/>
    <n v="819.1"/>
  </r>
  <r>
    <x v="11"/>
    <x v="6"/>
    <x v="0"/>
    <s v="5102107"/>
    <n v="721020"/>
    <s v="Suture/Wound Closure"/>
    <s v="Pharmacy-Silverdale"/>
    <x v="0"/>
    <n v="1001"/>
    <n v="1253.6600000000001"/>
    <n v="2826.21"/>
    <n v="615.88"/>
    <n v="7445.96"/>
    <n v="615.88"/>
    <n v="1275.56"/>
    <n v="1828.64"/>
    <n v="1989.6"/>
    <n v="7390.56"/>
    <n v="479.7"/>
    <n v="3134.45"/>
    <n v="0"/>
    <n v="28856.1"/>
    <n v="3134.45"/>
  </r>
  <r>
    <x v="11"/>
    <x v="6"/>
    <x v="0"/>
    <s v="5102107"/>
    <n v="721020"/>
    <s v="Surgical Cardiovascular"/>
    <s v="Pharmacy-Silverdale"/>
    <x v="0"/>
    <n v="1007"/>
    <n v="0"/>
    <n v="0"/>
    <n v="0"/>
    <n v="0"/>
    <n v="0"/>
    <n v="0"/>
    <n v="915.6"/>
    <n v="-75.599999999999994"/>
    <n v="0"/>
    <n v="0"/>
    <n v="0"/>
    <n v="0"/>
    <n v="840"/>
    <n v="0"/>
  </r>
  <r>
    <x v="11"/>
    <x v="6"/>
    <x v="0"/>
    <s v="5102107"/>
    <n v="721240"/>
    <s v="Supplies-IV Solutions/Supplies - Billable"/>
    <s v="Pharmacy-Silverdale"/>
    <x v="0"/>
    <m/>
    <n v="310.10000000000002"/>
    <n v="161.52000000000001"/>
    <n v="308.36"/>
    <n v="337.37"/>
    <n v="494.48"/>
    <n v="134.56"/>
    <n v="690"/>
    <n v="101.76"/>
    <n v="446.08"/>
    <n v="131.52000000000001"/>
    <n v="301.68"/>
    <n v="351.08"/>
    <n v="3768.5099999999998"/>
    <n v="-49.399999999999977"/>
  </r>
  <r>
    <x v="11"/>
    <x v="6"/>
    <x v="0"/>
    <s v="5102107"/>
    <n v="721250"/>
    <s v="Supplies-Pharmacy Drugs - Billable"/>
    <s v="Pharmacy-Silverdale"/>
    <x v="0"/>
    <m/>
    <n v="62710.1"/>
    <n v="40181.78"/>
    <n v="61964.39"/>
    <n v="80337.38"/>
    <n v="62185.25"/>
    <n v="59842.64"/>
    <n v="76254.89"/>
    <n v="41734.699999999997"/>
    <n v="49405.38"/>
    <n v="52755.94"/>
    <n v="79504.240000000005"/>
    <n v="45173.45"/>
    <n v="712050.1399999999"/>
    <n v="34330.790000000008"/>
  </r>
  <r>
    <x v="11"/>
    <x v="6"/>
    <x v="0"/>
    <s v="5102107"/>
    <n v="721250"/>
    <s v="OP Pharmacy Drugs"/>
    <s v="Pharmacy-Silverdale"/>
    <x v="0"/>
    <n v="1002"/>
    <n v="176.22"/>
    <n v="0"/>
    <n v="0"/>
    <n v="689.75"/>
    <n v="0"/>
    <n v="0"/>
    <n v="0"/>
    <n v="0"/>
    <n v="0"/>
    <n v="0"/>
    <n v="0"/>
    <n v="0"/>
    <n v="865.97"/>
    <n v="0"/>
  </r>
  <r>
    <x v="11"/>
    <x v="6"/>
    <x v="0"/>
    <s v="5102107"/>
    <n v="721410"/>
    <s v="Supplies-Medical - Nonbillable"/>
    <s v="Pharmacy-Silverdale"/>
    <x v="0"/>
    <m/>
    <n v="795.21"/>
    <n v="654.41"/>
    <n v="673.07"/>
    <n v="965.63"/>
    <n v="792.56"/>
    <n v="587.17999999999995"/>
    <n v="983.16"/>
    <n v="704.53"/>
    <n v="658.37"/>
    <n v="879.58"/>
    <n v="941.74"/>
    <n v="1000.64"/>
    <n v="9636.08"/>
    <n v="-58.899999999999977"/>
  </r>
  <r>
    <x v="11"/>
    <x v="6"/>
    <x v="0"/>
    <s v="5102107"/>
    <n v="721640"/>
    <s v="Supplies-IV Solutions/Supplies - Nonbillable"/>
    <s v="Pharmacy-Silverdale"/>
    <x v="0"/>
    <m/>
    <n v="0"/>
    <n v="0"/>
    <n v="0"/>
    <n v="0"/>
    <n v="0"/>
    <n v="0"/>
    <n v="8.64"/>
    <n v="9.6"/>
    <n v="24"/>
    <n v="0"/>
    <n v="7.2"/>
    <n v="2.88"/>
    <n v="52.320000000000007"/>
    <n v="4.32"/>
  </r>
  <r>
    <x v="11"/>
    <x v="6"/>
    <x v="0"/>
    <s v="5102107"/>
    <n v="721710"/>
    <s v="Supplies-Laboratory - Nonbillable"/>
    <s v="Pharmacy-Silverdale"/>
    <x v="0"/>
    <m/>
    <n v="0"/>
    <n v="0"/>
    <n v="0"/>
    <n v="0"/>
    <n v="0"/>
    <n v="0"/>
    <n v="0"/>
    <n v="0"/>
    <n v="0"/>
    <n v="0"/>
    <n v="162"/>
    <n v="0"/>
    <n v="162"/>
    <n v="162"/>
  </r>
  <r>
    <x v="11"/>
    <x v="6"/>
    <x v="0"/>
    <s v="5102107"/>
    <n v="721710"/>
    <s v="Reagents"/>
    <s v="Pharmacy-Silverdale"/>
    <x v="0"/>
    <n v="1000"/>
    <n v="0"/>
    <n v="21.82"/>
    <n v="0"/>
    <n v="0"/>
    <n v="0"/>
    <n v="256.22000000000003"/>
    <n v="0"/>
    <n v="6.3"/>
    <n v="0"/>
    <n v="0"/>
    <n v="0"/>
    <n v="0"/>
    <n v="284.34000000000003"/>
    <n v="0"/>
  </r>
  <r>
    <x v="11"/>
    <x v="6"/>
    <x v="0"/>
    <s v="5102107"/>
    <n v="721810"/>
    <s v="Supplies-Dietary/Cafeteria"/>
    <s v="Pharmacy-Silverdale"/>
    <x v="0"/>
    <m/>
    <n v="0"/>
    <n v="0"/>
    <n v="0"/>
    <n v="0"/>
    <n v="7.16"/>
    <n v="0"/>
    <n v="0"/>
    <n v="0"/>
    <n v="0"/>
    <n v="0"/>
    <n v="0"/>
    <n v="0"/>
    <n v="7.16"/>
    <n v="0"/>
  </r>
  <r>
    <x v="11"/>
    <x v="6"/>
    <x v="0"/>
    <s v="5102107"/>
    <n v="721830"/>
    <s v="Supplies-Office"/>
    <s v="Pharmacy-Silverdale"/>
    <x v="0"/>
    <m/>
    <n v="7.65"/>
    <n v="0"/>
    <n v="104.12"/>
    <n v="0"/>
    <n v="2.13"/>
    <n v="12.54"/>
    <n v="0"/>
    <n v="85.13"/>
    <n v="69.41"/>
    <n v="34.71"/>
    <n v="38.54"/>
    <n v="1.92"/>
    <n v="356.15000000000003"/>
    <n v="36.619999999999997"/>
  </r>
  <r>
    <x v="11"/>
    <x v="6"/>
    <x v="0"/>
    <s v="5102107"/>
    <n v="721870"/>
    <s v="Supplies-Environmental Services"/>
    <s v="Pharmacy-Silverdale"/>
    <x v="0"/>
    <m/>
    <n v="226.79"/>
    <n v="69.06"/>
    <n v="0"/>
    <n v="10.74"/>
    <n v="106.82"/>
    <n v="0"/>
    <n v="106.82"/>
    <n v="0"/>
    <n v="179.4"/>
    <n v="0"/>
    <n v="2.46"/>
    <n v="106.82"/>
    <n v="808.91000000000008"/>
    <n v="-104.36"/>
  </r>
  <r>
    <x v="11"/>
    <x v="6"/>
    <x v="0"/>
    <s v="5102107"/>
    <n v="721910"/>
    <s v="Supplies-Small Equipment"/>
    <s v="Pharmacy-Silverdale"/>
    <x v="0"/>
    <m/>
    <n v="0"/>
    <n v="89.7"/>
    <n v="0"/>
    <n v="0"/>
    <n v="-1.71"/>
    <n v="0"/>
    <n v="0"/>
    <n v="0"/>
    <n v="0"/>
    <n v="0"/>
    <n v="0"/>
    <n v="0"/>
    <n v="87.990000000000009"/>
    <n v="0"/>
  </r>
  <r>
    <x v="11"/>
    <x v="6"/>
    <x v="0"/>
    <s v="5102107"/>
    <n v="721980"/>
    <s v="Supplies-Other"/>
    <s v="Pharmacy-Silverdale"/>
    <x v="0"/>
    <m/>
    <n v="0"/>
    <n v="0"/>
    <n v="43.59"/>
    <n v="0"/>
    <n v="0"/>
    <n v="0"/>
    <n v="0"/>
    <n v="0"/>
    <n v="0"/>
    <n v="0"/>
    <n v="0"/>
    <n v="0"/>
    <n v="43.59"/>
    <n v="0"/>
  </r>
  <r>
    <x v="11"/>
    <x v="6"/>
    <x v="0"/>
    <s v="5102107"/>
    <n v="722000"/>
    <s v="Supplies-Freight Expense"/>
    <s v="Pharmacy-Silverdale"/>
    <x v="0"/>
    <m/>
    <n v="8.4499999999999993"/>
    <n v="59.72"/>
    <n v="44.1"/>
    <n v="19.72"/>
    <n v="0"/>
    <n v="13.13"/>
    <n v="44.72"/>
    <n v="0"/>
    <n v="29.32"/>
    <n v="0"/>
    <n v="0"/>
    <n v="38.96"/>
    <n v="258.12"/>
    <n v="-38.96"/>
  </r>
  <r>
    <x v="11"/>
    <x v="6"/>
    <x v="0"/>
    <s v="5102107"/>
    <n v="723000"/>
    <s v="Supply Rebates/Patronage Dividend"/>
    <s v="Pharmacy-Silverdale"/>
    <x v="0"/>
    <m/>
    <n v="0"/>
    <n v="0"/>
    <n v="-2349.64"/>
    <n v="0"/>
    <n v="0"/>
    <n v="-1334.46"/>
    <n v="0"/>
    <n v="0"/>
    <n v="-2719.32"/>
    <n v="0"/>
    <n v="0"/>
    <n v="-1476.6"/>
    <n v="-7880.02"/>
    <n v="1476.6"/>
  </r>
  <r>
    <x v="12"/>
    <x v="6"/>
    <x v="0"/>
    <s v="5102107"/>
    <n v="730010"/>
    <s v="Rental and Leases-Building (DO NOT USE)"/>
    <s v="Pharmacy-Silverdale"/>
    <x v="0"/>
    <m/>
    <n v="2803.66"/>
    <n v="2803.66"/>
    <n v="2803.66"/>
    <n v="2803.66"/>
    <n v="2803.66"/>
    <n v="-1685.33"/>
    <n v="2098.8200000000002"/>
    <n v="2098.8200000000002"/>
    <n v="2098.8200000000002"/>
    <n v="2098"/>
    <n v="2098"/>
    <n v="0"/>
    <n v="22825.43"/>
    <n v="2098"/>
  </r>
  <r>
    <x v="12"/>
    <x v="6"/>
    <x v="0"/>
    <s v="5102107"/>
    <n v="730010"/>
    <s v="Rental-Common Area Maint (DO NOT USE)"/>
    <s v="Pharmacy-Silverdale"/>
    <x v="0"/>
    <n v="2200"/>
    <n v="0"/>
    <n v="0"/>
    <n v="0"/>
    <n v="0"/>
    <n v="0"/>
    <n v="4562.51"/>
    <n v="778.36"/>
    <n v="778.36"/>
    <n v="778.36"/>
    <n v="723.62"/>
    <n v="723.62"/>
    <n v="0"/>
    <n v="8344.83"/>
    <n v="723.62"/>
  </r>
  <r>
    <x v="12"/>
    <x v="6"/>
    <x v="0"/>
    <s v="5102107"/>
    <n v="730020"/>
    <s v="Rental and Leases-Copier Usage Fees (DO NOT USE)"/>
    <s v="Pharmacy-Silverdale"/>
    <x v="0"/>
    <n v="5100"/>
    <n v="58.38"/>
    <n v="59.14"/>
    <n v="58.76"/>
    <n v="58.76"/>
    <n v="58.76"/>
    <n v="58.76"/>
    <n v="427.78"/>
    <n v="38.85"/>
    <n v="38.770000000000003"/>
    <n v="38.93"/>
    <n v="38.85"/>
    <n v="43.55"/>
    <n v="979.28999999999985"/>
    <n v="-4.6999999999999957"/>
  </r>
  <r>
    <x v="12"/>
    <x v="6"/>
    <x v="0"/>
    <s v="5102107"/>
    <n v="730040"/>
    <s v="LT Lease-Real Estate"/>
    <s v="Pharmacy-Silverdale"/>
    <x v="0"/>
    <m/>
    <n v="0"/>
    <n v="0"/>
    <n v="0"/>
    <n v="0"/>
    <n v="0"/>
    <n v="0"/>
    <n v="0"/>
    <n v="0"/>
    <n v="0"/>
    <n v="0"/>
    <n v="0"/>
    <n v="2821.62"/>
    <n v="2821.62"/>
    <n v="-2821.62"/>
  </r>
  <r>
    <x v="15"/>
    <x v="6"/>
    <x v="0"/>
    <s v="5102107"/>
    <n v="731060"/>
    <s v="Cell Phones"/>
    <s v="Pharmacy-Silverdale"/>
    <x v="0"/>
    <n v="1001"/>
    <n v="0"/>
    <n v="27.38"/>
    <n v="54.74"/>
    <n v="0"/>
    <n v="26.83"/>
    <n v="27.45"/>
    <n v="54.81"/>
    <n v="0"/>
    <n v="27.9"/>
    <n v="101.4"/>
    <n v="26.82"/>
    <n v="27.49"/>
    <n v="374.82"/>
    <n v="-0.66999999999999815"/>
  </r>
  <r>
    <x v="16"/>
    <x v="6"/>
    <x v="0"/>
    <s v="5102107"/>
    <n v="732020"/>
    <s v="Repairs--Clin Equip-Parts-Internal to CHI Programs"/>
    <s v="Pharmacy-Silverdale"/>
    <x v="0"/>
    <m/>
    <n v="0"/>
    <n v="0"/>
    <n v="0"/>
    <n v="0"/>
    <n v="123.62"/>
    <n v="0"/>
    <n v="0"/>
    <n v="0"/>
    <n v="247.23"/>
    <n v="0"/>
    <n v="69.150000000000006"/>
    <n v="0"/>
    <n v="440"/>
    <n v="69.150000000000006"/>
  </r>
  <r>
    <x v="16"/>
    <x v="6"/>
    <x v="0"/>
    <s v="5102107"/>
    <n v="732030"/>
    <s v="Repairs---Other"/>
    <s v="Pharmacy-Silverdale"/>
    <x v="0"/>
    <m/>
    <n v="0"/>
    <n v="0"/>
    <n v="0"/>
    <n v="0"/>
    <n v="150.25"/>
    <n v="1310"/>
    <n v="0"/>
    <n v="0"/>
    <n v="0"/>
    <n v="0"/>
    <n v="0"/>
    <n v="0"/>
    <n v="1460.25"/>
    <n v="0"/>
  </r>
  <r>
    <x v="13"/>
    <x v="6"/>
    <x v="0"/>
    <s v="5102107"/>
    <n v="735070"/>
    <s v="Depreciation-Movable Equipment"/>
    <s v="Pharmacy-Silverdale"/>
    <x v="0"/>
    <m/>
    <n v="7679.38"/>
    <n v="7679.38"/>
    <n v="7679.4"/>
    <n v="7679.38"/>
    <n v="7679.4"/>
    <n v="7679.36"/>
    <n v="7679.4"/>
    <n v="7679.36"/>
    <n v="7679.41"/>
    <n v="7679.36"/>
    <n v="7679.41"/>
    <n v="7679.36"/>
    <n v="92152.6"/>
    <n v="5.0000000000181899E-2"/>
  </r>
  <r>
    <x v="0"/>
    <x v="6"/>
    <x v="0"/>
    <s v="5102107"/>
    <n v="749510"/>
    <s v="Miscellaneous Expenses"/>
    <s v="Pharmacy-Silverdale"/>
    <x v="0"/>
    <m/>
    <n v="0"/>
    <n v="0"/>
    <n v="0"/>
    <n v="0"/>
    <n v="0"/>
    <n v="0"/>
    <n v="150"/>
    <n v="0"/>
    <n v="0"/>
    <n v="0"/>
    <n v="0"/>
    <n v="0"/>
    <n v="150"/>
    <n v="0"/>
  </r>
  <r>
    <x v="0"/>
    <x v="6"/>
    <x v="0"/>
    <s v="5102107"/>
    <n v="749510"/>
    <s v="Licenses"/>
    <s v="Pharmacy-Silverdale"/>
    <x v="0"/>
    <n v="1002"/>
    <n v="0"/>
    <n v="0"/>
    <n v="0"/>
    <n v="0"/>
    <n v="0"/>
    <n v="0"/>
    <n v="0"/>
    <n v="0"/>
    <n v="845"/>
    <n v="845"/>
    <n v="0"/>
    <n v="0"/>
    <n v="1690"/>
    <n v="0"/>
  </r>
  <r>
    <x v="18"/>
    <x v="6"/>
    <x v="0"/>
    <s v="5103107"/>
    <n v="400010"/>
    <s v="Acute I/P Svcs Rev--Medicare"/>
    <s v="Poulsbo-Med Oncology Pharm"/>
    <x v="0"/>
    <n v="1100"/>
    <n v="0"/>
    <n v="-29991.759999999998"/>
    <n v="332.5"/>
    <n v="-320.26"/>
    <n v="-181.95"/>
    <n v="-441.8"/>
    <n v="0"/>
    <n v="-60.65"/>
    <n v="0"/>
    <n v="0"/>
    <n v="0"/>
    <n v="0"/>
    <n v="-30663.919999999998"/>
    <n v="0"/>
  </r>
  <r>
    <x v="18"/>
    <x v="6"/>
    <x v="0"/>
    <s v="5103107"/>
    <n v="400010"/>
    <s v="Acute I/P Svcs Rev--Managed Care"/>
    <s v="Poulsbo-Med Oncology Pharm"/>
    <x v="0"/>
    <n v="1400"/>
    <n v="0"/>
    <n v="0"/>
    <n v="0"/>
    <n v="0"/>
    <n v="-68.930000000000007"/>
    <n v="0"/>
    <n v="0"/>
    <n v="0"/>
    <n v="0"/>
    <n v="0"/>
    <n v="0"/>
    <n v="0"/>
    <n v="-68.930000000000007"/>
    <n v="0"/>
  </r>
  <r>
    <x v="19"/>
    <x v="6"/>
    <x v="0"/>
    <s v="5103107"/>
    <n v="400020"/>
    <s v="O/P Care Svcs Rev--Medicare"/>
    <s v="Poulsbo-Med Oncology Pharm"/>
    <x v="0"/>
    <n v="1100"/>
    <n v="-4837482.01"/>
    <n v="-5275358.6100000003"/>
    <n v="-4707235.99"/>
    <n v="-4682818.66"/>
    <n v="-5058623.0599999996"/>
    <n v="-5449837.2300000004"/>
    <n v="-4980390.4400000004"/>
    <n v="-5158081.5199999996"/>
    <n v="-5755229.9000000004"/>
    <n v="-4789520.8099999996"/>
    <n v="-5341534.2699999996"/>
    <n v="-4724784.49"/>
    <n v="-60760896.990000002"/>
    <n v="-616749.77999999933"/>
  </r>
  <r>
    <x v="19"/>
    <x v="6"/>
    <x v="0"/>
    <s v="5103107"/>
    <n v="400020"/>
    <s v="O/P Care Svcs Rev--Medicaid"/>
    <s v="Poulsbo-Med Oncology Pharm"/>
    <x v="0"/>
    <n v="1200"/>
    <n v="-870260.54"/>
    <n v="-551765.11"/>
    <n v="-832138.14"/>
    <n v="-924896.6"/>
    <n v="-946570.6"/>
    <n v="-774866.25"/>
    <n v="-834189.53"/>
    <n v="-641520.75"/>
    <n v="-582840.04"/>
    <n v="-701270.17"/>
    <n v="-431819.51"/>
    <n v="-539868.47"/>
    <n v="-8632005.7100000009"/>
    <n v="108048.95999999996"/>
  </r>
  <r>
    <x v="19"/>
    <x v="6"/>
    <x v="0"/>
    <s v="5103107"/>
    <n v="400020"/>
    <s v="O/P Care Svcs Rev--Comm Insurance"/>
    <s v="Poulsbo-Med Oncology Pharm"/>
    <x v="0"/>
    <n v="1300"/>
    <n v="-79411.16"/>
    <n v="-78538.94"/>
    <n v="-50981.97"/>
    <n v="-93771.23"/>
    <n v="-56808.56"/>
    <n v="-117409.62"/>
    <n v="-63276.39"/>
    <n v="-65041.35"/>
    <n v="-58608.5"/>
    <n v="-89872"/>
    <n v="-159764.54999999999"/>
    <n v="-13482.05"/>
    <n v="-926966.32000000007"/>
    <n v="-146282.5"/>
  </r>
  <r>
    <x v="19"/>
    <x v="6"/>
    <x v="0"/>
    <s v="5103107"/>
    <n v="400020"/>
    <s v="O/P Care Svcs Rev--BCBS Comm"/>
    <s v="Poulsbo-Med Oncology Pharm"/>
    <x v="0"/>
    <n v="1301"/>
    <n v="-491832.32000000001"/>
    <n v="-747106.57"/>
    <n v="-490554.93"/>
    <n v="-811142.04"/>
    <n v="-558132.93000000005"/>
    <n v="-669174.59"/>
    <n v="-729625.95"/>
    <n v="-589864.98"/>
    <n v="-767362.26"/>
    <n v="-855911.67"/>
    <n v="-638973.22"/>
    <n v="-765185.6"/>
    <n v="-8114867.0599999996"/>
    <n v="126212.38"/>
  </r>
  <r>
    <x v="19"/>
    <x v="6"/>
    <x v="0"/>
    <s v="5103107"/>
    <n v="400020"/>
    <s v="O/P Care Svcs Rev--Managed Care"/>
    <s v="Poulsbo-Med Oncology Pharm"/>
    <x v="0"/>
    <n v="1400"/>
    <n v="-1108460.02"/>
    <n v="-1370059.27"/>
    <n v="-1255624.58"/>
    <n v="-1653172.58"/>
    <n v="-1136953.9099999999"/>
    <n v="-1124646.1499999999"/>
    <n v="-1434510.41"/>
    <n v="-1160675.52"/>
    <n v="-1125891.74"/>
    <n v="-1332132.1100000001"/>
    <n v="-1194399.58"/>
    <n v="-1553542.37"/>
    <n v="-15450068.239999998"/>
    <n v="359142.79000000004"/>
  </r>
  <r>
    <x v="19"/>
    <x v="6"/>
    <x v="0"/>
    <s v="5103107"/>
    <n v="400020"/>
    <s v="O/P Care Svcs Rev--Self Pay"/>
    <s v="Poulsbo-Med Oncology Pharm"/>
    <x v="0"/>
    <n v="1500"/>
    <n v="-13347.19"/>
    <n v="-30407.72"/>
    <n v="24392.15"/>
    <n v="0"/>
    <n v="-271.27"/>
    <n v="-129.58000000000001"/>
    <n v="-16604.099999999999"/>
    <n v="-1044.6600000000001"/>
    <n v="-5375.37"/>
    <n v="22842.16"/>
    <n v="-248.18"/>
    <n v="0"/>
    <n v="-20193.760000000013"/>
    <n v="-248.18"/>
  </r>
  <r>
    <x v="19"/>
    <x v="6"/>
    <x v="0"/>
    <s v="5103107"/>
    <n v="400020"/>
    <s v="O/P Care Svcs Rev--Other"/>
    <s v="Poulsbo-Med Oncology Pharm"/>
    <x v="0"/>
    <n v="1700"/>
    <n v="-168886.05"/>
    <n v="-227726.93"/>
    <n v="-170936.38"/>
    <n v="-212853.82"/>
    <n v="-365845.81"/>
    <n v="-386316.04"/>
    <n v="-228309.42"/>
    <n v="-128079.36"/>
    <n v="-177298.59"/>
    <n v="-544000.16"/>
    <n v="-425186.21"/>
    <n v="-570460.61"/>
    <n v="-3605899.38"/>
    <n v="145274.39999999997"/>
  </r>
  <r>
    <x v="5"/>
    <x v="6"/>
    <x v="0"/>
    <s v="5103107"/>
    <n v="700018"/>
    <s v="Salaries-Supervisory-Productive"/>
    <s v="Poulsbo-Med Oncology Pharm"/>
    <x v="0"/>
    <m/>
    <n v="12147.34"/>
    <n v="12722.48"/>
    <n v="11163.13"/>
    <n v="13005.34"/>
    <n v="12651.09"/>
    <n v="9783.99"/>
    <n v="12037.21"/>
    <n v="10431.66"/>
    <n v="13514.68"/>
    <n v="11487.12"/>
    <n v="11952.16"/>
    <n v="12627.96"/>
    <n v="143524.15999999997"/>
    <n v="-675.79999999999927"/>
  </r>
  <r>
    <x v="5"/>
    <x v="6"/>
    <x v="0"/>
    <s v="5103107"/>
    <n v="700032"/>
    <s v="Salaries-Other Pat Care Providers-Productive"/>
    <s v="Poulsbo-Med Oncology Pharm"/>
    <x v="0"/>
    <m/>
    <n v="14056.9"/>
    <n v="15227.64"/>
    <n v="13472.02"/>
    <n v="18224.07"/>
    <n v="15181.75"/>
    <n v="16180.98"/>
    <n v="15559.38"/>
    <n v="13686.24"/>
    <n v="17811.04"/>
    <n v="11748.36"/>
    <n v="17682.259999999998"/>
    <n v="15122.38"/>
    <n v="183953.02000000002"/>
    <n v="2559.8799999999992"/>
  </r>
  <r>
    <x v="5"/>
    <x v="6"/>
    <x v="0"/>
    <s v="5103107"/>
    <n v="700032"/>
    <s v="Salaries-Other Pat Care Providers-OT"/>
    <s v="Poulsbo-Med Oncology Pharm"/>
    <x v="0"/>
    <n v="1000"/>
    <n v="0"/>
    <n v="9.69"/>
    <n v="30.46"/>
    <n v="71.86"/>
    <n v="6.47"/>
    <n v="120.65"/>
    <n v="0"/>
    <n v="40.28"/>
    <n v="0"/>
    <n v="44.58"/>
    <n v="81.760000000000005"/>
    <n v="15.12"/>
    <n v="420.86999999999995"/>
    <n v="66.64"/>
  </r>
  <r>
    <x v="5"/>
    <x v="6"/>
    <x v="0"/>
    <s v="5103107"/>
    <n v="700032"/>
    <s v="Salaries-Other Pat Care Providers-Other"/>
    <s v="Poulsbo-Med Oncology Pharm"/>
    <x v="0"/>
    <n v="2000"/>
    <n v="615.21"/>
    <n v="577.01"/>
    <n v="553.95000000000005"/>
    <n v="640.39"/>
    <n v="-52.27"/>
    <n v="121.71"/>
    <n v="128.54"/>
    <n v="123.53"/>
    <n v="132.63"/>
    <n v="139.54"/>
    <n v="85.12"/>
    <n v="121.57"/>
    <n v="3186.9300000000003"/>
    <n v="-36.449999999999989"/>
  </r>
  <r>
    <x v="5"/>
    <x v="6"/>
    <x v="0"/>
    <s v="5103107"/>
    <n v="700058"/>
    <s v="Salaries-Supervisory-Non-productive"/>
    <s v="Poulsbo-Med Oncology Pharm"/>
    <x v="0"/>
    <m/>
    <n v="574.55999999999995"/>
    <n v="0"/>
    <n v="1149.1199999999999"/>
    <n v="0"/>
    <n v="0"/>
    <n v="3289.23"/>
    <n v="1056.42"/>
    <n v="1393.66"/>
    <n v="-422.27"/>
    <n v="1182.53"/>
    <n v="1140.23"/>
    <n v="42.29"/>
    <n v="9405.77"/>
    <n v="1097.94"/>
  </r>
  <r>
    <x v="5"/>
    <x v="6"/>
    <x v="0"/>
    <s v="5103107"/>
    <n v="700072"/>
    <s v="Salaries-Other Pat Care Providers-Non-productive"/>
    <s v="Poulsbo-Med Oncology Pharm"/>
    <x v="0"/>
    <m/>
    <n v="2011.09"/>
    <n v="1114.68"/>
    <n v="2728.01"/>
    <n v="320.86"/>
    <n v="2478.96"/>
    <n v="874.23"/>
    <n v="2450.0700000000002"/>
    <n v="2272.4499999999998"/>
    <n v="635.72"/>
    <n v="5219.12"/>
    <n v="1579.36"/>
    <n v="808.51"/>
    <n v="22493.059999999998"/>
    <n v="770.84999999999991"/>
  </r>
  <r>
    <x v="5"/>
    <x v="6"/>
    <x v="0"/>
    <s v="5103107"/>
    <n v="700072"/>
    <s v="Salaries-Other Pat Care Providers-NonProd-Other"/>
    <s v="Poulsbo-Med Oncology Pharm"/>
    <x v="0"/>
    <n v="2000"/>
    <n v="13.14"/>
    <n v="17.399999999999999"/>
    <n v="39.97"/>
    <n v="-14.25"/>
    <n v="465.89"/>
    <n v="474.68"/>
    <n v="20.43"/>
    <n v="-900.82"/>
    <n v="19.05"/>
    <n v="0"/>
    <n v="55.43"/>
    <n v="7.67"/>
    <n v="198.58999999999983"/>
    <n v="47.76"/>
  </r>
  <r>
    <x v="5"/>
    <x v="6"/>
    <x v="0"/>
    <s v="5103107"/>
    <n v="700084"/>
    <s v="Accrued PTO"/>
    <s v="Poulsbo-Med Oncology Pharm"/>
    <x v="0"/>
    <m/>
    <n v="-212.21"/>
    <n v="731.48"/>
    <n v="-416.59"/>
    <n v="1515.71"/>
    <n v="443.71"/>
    <n v="-922.31"/>
    <n v="-202.05"/>
    <n v="203.01"/>
    <n v="1285.23"/>
    <n v="-3097.96"/>
    <n v="8.7200000000000006"/>
    <n v="1529.05"/>
    <n v="865.79"/>
    <n v="-1520.33"/>
  </r>
  <r>
    <x v="6"/>
    <x v="6"/>
    <x v="0"/>
    <s v="5103107"/>
    <n v="713010"/>
    <s v="Benefits-FICA/Medicare"/>
    <s v="Poulsbo-Med Oncology Pharm"/>
    <x v="0"/>
    <m/>
    <n v="2209.0500000000002"/>
    <n v="2228.25"/>
    <n v="2189.9299999999998"/>
    <n v="2428.3000000000002"/>
    <n v="1580"/>
    <n v="1505.42"/>
    <n v="2345.7199999999998"/>
    <n v="2098.1799999999998"/>
    <n v="2379.4499999999998"/>
    <n v="2237.9899999999998"/>
    <n v="2447.14"/>
    <n v="2155.81"/>
    <n v="25805.24"/>
    <n v="291.32999999999993"/>
  </r>
  <r>
    <x v="6"/>
    <x v="6"/>
    <x v="0"/>
    <s v="5103107"/>
    <n v="713090"/>
    <s v="Benefits-Allocated Amounts"/>
    <s v="Poulsbo-Med Oncology Pharm"/>
    <x v="0"/>
    <m/>
    <n v="3791.66"/>
    <n v="3505.24"/>
    <n v="3766.62"/>
    <n v="3969.23"/>
    <n v="4366.4799999999996"/>
    <n v="3890.65"/>
    <n v="4059.41"/>
    <n v="3888.13"/>
    <n v="3403.64"/>
    <n v="4125.37"/>
    <n v="4483.9799999999996"/>
    <n v="4505.78"/>
    <n v="47756.19"/>
    <n v="-21.800000000000182"/>
  </r>
  <r>
    <x v="7"/>
    <x v="6"/>
    <x v="0"/>
    <s v="5103107"/>
    <n v="718050"/>
    <s v="Miscellaneous Purchased Svcs"/>
    <s v="Poulsbo-Med Oncology Pharm"/>
    <x v="0"/>
    <n v="1020"/>
    <n v="0"/>
    <n v="1440"/>
    <n v="0"/>
    <n v="0"/>
    <n v="0"/>
    <n v="0"/>
    <n v="18121.400000000001"/>
    <n v="0"/>
    <n v="391.04"/>
    <n v="0"/>
    <n v="0"/>
    <n v="0"/>
    <n v="19952.440000000002"/>
    <n v="0"/>
  </r>
  <r>
    <x v="7"/>
    <x v="6"/>
    <x v="0"/>
    <s v="5103107"/>
    <n v="718091"/>
    <s v="Contract Services-Intracompany Allocation"/>
    <s v="Poulsbo-Med Oncology Pharm"/>
    <x v="0"/>
    <m/>
    <n v="9482.1200000000008"/>
    <n v="9213.17"/>
    <n v="9037.2999999999993"/>
    <n v="9302.39"/>
    <n v="9743.26"/>
    <n v="8080.78"/>
    <n v="10098.65"/>
    <n v="8933.08"/>
    <n v="10024.27"/>
    <n v="8867.52"/>
    <n v="10793.1"/>
    <n v="9110.89"/>
    <n v="112686.53000000001"/>
    <n v="1682.2100000000009"/>
  </r>
  <r>
    <x v="11"/>
    <x v="6"/>
    <x v="0"/>
    <s v="5103107"/>
    <n v="721010"/>
    <s v="Supplies-Medical - Billable"/>
    <s v="Poulsbo-Med Oncology Pharm"/>
    <x v="0"/>
    <m/>
    <n v="0"/>
    <n v="0"/>
    <n v="0"/>
    <n v="0"/>
    <n v="0"/>
    <n v="0"/>
    <n v="0"/>
    <n v="0"/>
    <n v="0"/>
    <n v="0"/>
    <n v="0"/>
    <n v="39.26"/>
    <n v="39.26"/>
    <n v="-39.26"/>
  </r>
  <r>
    <x v="11"/>
    <x v="6"/>
    <x v="0"/>
    <s v="5103107"/>
    <n v="721240"/>
    <s v="Supplies-IV Solutions/Supplies - Billable"/>
    <s v="Poulsbo-Med Oncology Pharm"/>
    <x v="0"/>
    <m/>
    <n v="1267.97"/>
    <n v="2971.37"/>
    <n v="1174.08"/>
    <n v="1353.85"/>
    <n v="1810.38"/>
    <n v="1228.33"/>
    <n v="987.6"/>
    <n v="1476.82"/>
    <n v="1365.45"/>
    <n v="2586.2399999999998"/>
    <n v="1844.49"/>
    <n v="1090.24"/>
    <n v="19156.820000000003"/>
    <n v="754.25"/>
  </r>
  <r>
    <x v="11"/>
    <x v="6"/>
    <x v="0"/>
    <s v="5103107"/>
    <n v="721250"/>
    <s v="Supplies-Pharmacy Drugs - Billable"/>
    <s v="Poulsbo-Med Oncology Pharm"/>
    <x v="0"/>
    <m/>
    <n v="93503.33"/>
    <n v="1087734.99"/>
    <n v="1022192.43"/>
    <n v="1179391.6299999999"/>
    <n v="997260.42"/>
    <n v="1241883"/>
    <n v="1233817.51"/>
    <n v="1178944.1100000001"/>
    <n v="1115942.26"/>
    <n v="1327293.8500000001"/>
    <n v="1094504.71"/>
    <n v="993505.4"/>
    <n v="12565973.639999999"/>
    <n v="100999.30999999994"/>
  </r>
  <r>
    <x v="11"/>
    <x v="6"/>
    <x v="0"/>
    <s v="5103107"/>
    <n v="721250"/>
    <s v="OP Pharmacy Drugs"/>
    <s v="Poulsbo-Med Oncology Pharm"/>
    <x v="0"/>
    <n v="1002"/>
    <n v="488203.12"/>
    <n v="1319.91"/>
    <n v="0"/>
    <n v="-839.48"/>
    <n v="225.34"/>
    <n v="35.869999999999997"/>
    <n v="-301.42"/>
    <n v="0"/>
    <n v="4884.04"/>
    <n v="-50.72"/>
    <n v="0"/>
    <n v="0"/>
    <n v="493476.66000000003"/>
    <n v="0"/>
  </r>
  <r>
    <x v="11"/>
    <x v="6"/>
    <x v="0"/>
    <s v="5103107"/>
    <n v="721251"/>
    <s v="Supplies-340B Pharmacy Drugs - Billable"/>
    <s v="Poulsbo-Med Oncology Pharm"/>
    <x v="0"/>
    <m/>
    <n v="472449.51"/>
    <n v="-48.28"/>
    <n v="474.69"/>
    <n v="822.39"/>
    <n v="6125.75"/>
    <n v="16.809999999999999"/>
    <n v="6.4"/>
    <n v="0"/>
    <n v="5.75"/>
    <n v="0"/>
    <n v="10409.15"/>
    <n v="51916.85"/>
    <n v="542179.02"/>
    <n v="-41507.699999999997"/>
  </r>
  <r>
    <x v="11"/>
    <x v="6"/>
    <x v="0"/>
    <s v="5103107"/>
    <n v="721320"/>
    <s v="Supplies-Purchased Blood - Billable"/>
    <s v="Poulsbo-Med Oncology Pharm"/>
    <x v="0"/>
    <m/>
    <n v="0"/>
    <n v="0"/>
    <n v="0"/>
    <n v="0"/>
    <n v="0"/>
    <n v="0"/>
    <n v="0"/>
    <n v="0"/>
    <n v="0"/>
    <n v="166.8"/>
    <n v="0"/>
    <n v="0"/>
    <n v="166.8"/>
    <n v="0"/>
  </r>
  <r>
    <x v="11"/>
    <x v="6"/>
    <x v="0"/>
    <s v="5103107"/>
    <n v="721410"/>
    <s v="Supplies-Medical - Nonbillable"/>
    <s v="Poulsbo-Med Oncology Pharm"/>
    <x v="0"/>
    <m/>
    <n v="1001.52"/>
    <n v="2230.04"/>
    <n v="16461.34"/>
    <n v="1169.68"/>
    <n v="1445.61"/>
    <n v="2072.0300000000002"/>
    <n v="1730.29"/>
    <n v="4376.5600000000004"/>
    <n v="1345.37"/>
    <n v="2475.62"/>
    <n v="-149641.68"/>
    <n v="1535.23"/>
    <n v="-113798.39"/>
    <n v="-151176.91"/>
  </r>
  <r>
    <x v="11"/>
    <x v="6"/>
    <x v="0"/>
    <s v="5103107"/>
    <n v="721640"/>
    <s v="Supplies-IV Solutions/Supplies - Nonbillable"/>
    <s v="Poulsbo-Med Oncology Pharm"/>
    <x v="0"/>
    <m/>
    <n v="746.81"/>
    <n v="316"/>
    <n v="158"/>
    <n v="76"/>
    <n v="-16.22"/>
    <n v="1625.19"/>
    <n v="0"/>
    <n v="0"/>
    <n v="0"/>
    <n v="567.5"/>
    <n v="0"/>
    <n v="680.9"/>
    <n v="4154.1799999999994"/>
    <n v="-680.9"/>
  </r>
  <r>
    <x v="11"/>
    <x v="6"/>
    <x v="0"/>
    <s v="5103107"/>
    <n v="721650"/>
    <s v="Supplies-Pharmacy Drugs - Nonbillable"/>
    <s v="Poulsbo-Med Oncology Pharm"/>
    <x v="0"/>
    <m/>
    <n v="0"/>
    <n v="0"/>
    <n v="0"/>
    <n v="60"/>
    <n v="0"/>
    <n v="0"/>
    <n v="0"/>
    <n v="0"/>
    <n v="0"/>
    <n v="0"/>
    <n v="0"/>
    <n v="0"/>
    <n v="60"/>
    <n v="0"/>
  </r>
  <r>
    <x v="11"/>
    <x v="6"/>
    <x v="0"/>
    <s v="5103107"/>
    <n v="721710"/>
    <s v="Supplies-Laboratory - Nonbillable"/>
    <s v="Poulsbo-Med Oncology Pharm"/>
    <x v="0"/>
    <m/>
    <n v="244.48"/>
    <n v="164.24"/>
    <n v="0"/>
    <n v="0"/>
    <n v="263"/>
    <n v="244.48"/>
    <n v="0"/>
    <n v="-38.82"/>
    <n v="285.20999999999998"/>
    <n v="134.1"/>
    <n v="216"/>
    <n v="357.04"/>
    <n v="1869.7299999999998"/>
    <n v="-141.04000000000002"/>
  </r>
  <r>
    <x v="11"/>
    <x v="6"/>
    <x v="0"/>
    <s v="5103107"/>
    <n v="721830"/>
    <s v="Supplies-Office"/>
    <s v="Poulsbo-Med Oncology Pharm"/>
    <x v="0"/>
    <m/>
    <n v="0"/>
    <n v="0"/>
    <n v="96.77"/>
    <n v="98.55"/>
    <n v="91.04"/>
    <n v="-20.51"/>
    <n v="14.57"/>
    <n v="91.76"/>
    <n v="69.41"/>
    <n v="0"/>
    <n v="73.58"/>
    <n v="14.57"/>
    <n v="529.74000000000012"/>
    <n v="59.01"/>
  </r>
  <r>
    <x v="11"/>
    <x v="6"/>
    <x v="0"/>
    <s v="5103107"/>
    <n v="721870"/>
    <s v="Supplies-Environmental Services"/>
    <s v="Poulsbo-Med Oncology Pharm"/>
    <x v="0"/>
    <m/>
    <n v="514.07000000000005"/>
    <n v="182.69"/>
    <n v="354.18"/>
    <n v="75.650000000000006"/>
    <n v="225.91"/>
    <n v="613.9"/>
    <n v="591.99"/>
    <n v="0"/>
    <n v="174.4"/>
    <n v="510.64"/>
    <n v="173.31"/>
    <n v="396.95"/>
    <n v="3813.69"/>
    <n v="-223.64"/>
  </r>
  <r>
    <x v="11"/>
    <x v="6"/>
    <x v="0"/>
    <s v="5103107"/>
    <n v="721910"/>
    <s v="Supplies-Small Equipment"/>
    <s v="Poulsbo-Med Oncology Pharm"/>
    <x v="0"/>
    <m/>
    <n v="0"/>
    <n v="0"/>
    <n v="824.04"/>
    <n v="0"/>
    <n v="0"/>
    <n v="0"/>
    <n v="0"/>
    <n v="0"/>
    <n v="0"/>
    <n v="0"/>
    <n v="0"/>
    <n v="0"/>
    <n v="824.04"/>
    <n v="0"/>
  </r>
  <r>
    <x v="11"/>
    <x v="6"/>
    <x v="0"/>
    <s v="5103107"/>
    <n v="721980"/>
    <s v="Supplies-Other"/>
    <s v="Poulsbo-Med Oncology Pharm"/>
    <x v="0"/>
    <m/>
    <n v="36.79"/>
    <n v="0"/>
    <n v="0"/>
    <n v="0"/>
    <n v="0"/>
    <n v="0"/>
    <n v="0"/>
    <n v="0"/>
    <n v="0"/>
    <n v="0"/>
    <n v="0"/>
    <n v="0"/>
    <n v="36.79"/>
    <n v="0"/>
  </r>
  <r>
    <x v="11"/>
    <x v="6"/>
    <x v="0"/>
    <s v="5103107"/>
    <n v="722000"/>
    <s v="Supplies-Freight Expense"/>
    <s v="Poulsbo-Med Oncology Pharm"/>
    <x v="0"/>
    <m/>
    <n v="-2.2799999999999998"/>
    <n v="46.51"/>
    <n v="31.32"/>
    <n v="22.99"/>
    <n v="7.99"/>
    <n v="104.54"/>
    <n v="8.24"/>
    <n v="0"/>
    <n v="85.16"/>
    <n v="71.59"/>
    <n v="40.049999999999997"/>
    <n v="61.22"/>
    <n v="477.33000000000004"/>
    <n v="-21.17"/>
  </r>
  <r>
    <x v="11"/>
    <x v="6"/>
    <x v="0"/>
    <s v="5103107"/>
    <n v="722000"/>
    <s v="Minimum Order Fees"/>
    <s v="Poulsbo-Med Oncology Pharm"/>
    <x v="0"/>
    <n v="1000"/>
    <n v="0"/>
    <n v="0"/>
    <n v="0"/>
    <n v="95.52"/>
    <n v="0"/>
    <n v="0"/>
    <n v="0"/>
    <n v="0"/>
    <n v="0"/>
    <n v="0"/>
    <n v="0"/>
    <n v="0"/>
    <n v="95.52"/>
    <n v="0"/>
  </r>
  <r>
    <x v="12"/>
    <x v="6"/>
    <x v="0"/>
    <s v="5103107"/>
    <n v="730020"/>
    <s v="Rental and Leases-Copier Usage Fees (DO NOT USE)"/>
    <s v="Poulsbo-Med Oncology Pharm"/>
    <x v="0"/>
    <n v="5100"/>
    <n v="67.19"/>
    <n v="69.010000000000005"/>
    <n v="68.099999999999994"/>
    <n v="68.099999999999994"/>
    <n v="68.099999999999994"/>
    <n v="68.099999999999994"/>
    <n v="-434.11"/>
    <n v="33.119999999999997"/>
    <n v="33.049999999999997"/>
    <n v="33.19"/>
    <n v="33.119999999999997"/>
    <n v="35.950000000000003"/>
    <n v="142.92000000000002"/>
    <n v="-2.8300000000000054"/>
  </r>
  <r>
    <x v="16"/>
    <x v="6"/>
    <x v="0"/>
    <s v="5103107"/>
    <n v="732020"/>
    <s v="Repairs--Clin Equip-Parts-Internal to CHI Programs"/>
    <s v="Poulsbo-Med Oncology Pharm"/>
    <x v="0"/>
    <m/>
    <n v="0"/>
    <n v="0"/>
    <n v="0"/>
    <n v="0"/>
    <n v="0"/>
    <n v="0"/>
    <n v="0"/>
    <n v="0"/>
    <n v="0"/>
    <n v="228.99"/>
    <n v="0"/>
    <n v="0"/>
    <n v="228.99"/>
    <n v="0"/>
  </r>
  <r>
    <x v="16"/>
    <x v="6"/>
    <x v="0"/>
    <s v="5103107"/>
    <n v="732030"/>
    <s v="Repairs---Other"/>
    <s v="Poulsbo-Med Oncology Pharm"/>
    <x v="0"/>
    <m/>
    <n v="37659.5"/>
    <n v="0"/>
    <n v="0"/>
    <n v="3444.4"/>
    <n v="915.48"/>
    <n v="0"/>
    <n v="82.39"/>
    <n v="0"/>
    <n v="0"/>
    <n v="0"/>
    <n v="0.01"/>
    <n v="0"/>
    <n v="42101.780000000006"/>
    <n v="0.01"/>
  </r>
  <r>
    <x v="0"/>
    <x v="6"/>
    <x v="0"/>
    <s v="5103107"/>
    <n v="740020"/>
    <s v="Education-Registration Fees"/>
    <s v="Poulsbo-Med Oncology Pharm"/>
    <x v="0"/>
    <m/>
    <n v="0"/>
    <n v="0"/>
    <n v="0"/>
    <n v="199"/>
    <n v="0"/>
    <n v="0"/>
    <n v="0"/>
    <n v="0"/>
    <n v="0"/>
    <n v="0"/>
    <n v="0"/>
    <n v="0"/>
    <n v="199"/>
    <n v="0"/>
  </r>
  <r>
    <x v="0"/>
    <x v="6"/>
    <x v="0"/>
    <s v="5103107"/>
    <n v="749510"/>
    <s v="Miscellaneous Expenses"/>
    <s v="Poulsbo-Med Oncology Pharm"/>
    <x v="0"/>
    <m/>
    <n v="0"/>
    <n v="0"/>
    <n v="0"/>
    <n v="0"/>
    <n v="0"/>
    <n v="795"/>
    <n v="0"/>
    <n v="0"/>
    <n v="0"/>
    <n v="0"/>
    <n v="0"/>
    <n v="0"/>
    <n v="795"/>
    <n v="0"/>
  </r>
  <r>
    <x v="0"/>
    <x v="6"/>
    <x v="0"/>
    <s v="5103107"/>
    <n v="749530"/>
    <s v="Travel"/>
    <s v="Poulsbo-Med Oncology Pharm"/>
    <x v="0"/>
    <m/>
    <n v="6"/>
    <n v="0"/>
    <n v="0"/>
    <n v="0"/>
    <n v="0"/>
    <n v="0"/>
    <n v="0"/>
    <n v="0"/>
    <n v="0"/>
    <n v="0"/>
    <n v="0"/>
    <n v="0"/>
    <n v="6"/>
    <n v="0"/>
  </r>
  <r>
    <x v="0"/>
    <x v="6"/>
    <x v="0"/>
    <s v="5103107"/>
    <n v="749530"/>
    <s v="Mileage"/>
    <s v="Poulsbo-Med Oncology Pharm"/>
    <x v="0"/>
    <n v="1001"/>
    <n v="52.32"/>
    <n v="0"/>
    <n v="0"/>
    <n v="0"/>
    <n v="0"/>
    <n v="0"/>
    <n v="0"/>
    <n v="0"/>
    <n v="0"/>
    <n v="0"/>
    <n v="0"/>
    <n v="0"/>
    <n v="52.32"/>
    <n v="0"/>
  </r>
  <r>
    <x v="18"/>
    <x v="3"/>
    <x v="0"/>
    <s v="5105101"/>
    <n v="400010"/>
    <s v="Acute I/P Svcs Rev--Medicare"/>
    <s v="Coumadin Clinic"/>
    <x v="0"/>
    <n v="1100"/>
    <n v="-234.48"/>
    <n v="-468.96"/>
    <n v="-468.96"/>
    <n v="-234.48"/>
    <n v="-234.48"/>
    <n v="-622.96"/>
    <n v="-937.92"/>
    <n v="-476.37"/>
    <n v="0"/>
    <n v="-483.78"/>
    <n v="-967.56"/>
    <n v="-303.89"/>
    <n v="-5433.8399999999992"/>
    <n v="-663.67"/>
  </r>
  <r>
    <x v="19"/>
    <x v="3"/>
    <x v="0"/>
    <s v="5105101"/>
    <n v="400020"/>
    <s v="O/P Care Svcs Rev--Medicare"/>
    <s v="Coumadin Clinic"/>
    <x v="0"/>
    <n v="1100"/>
    <n v="-134290.29"/>
    <n v="-146138.41"/>
    <n v="-118931.52"/>
    <n v="-133665.19"/>
    <n v="-117565.65"/>
    <n v="-104321.68"/>
    <n v="-123701.69"/>
    <n v="-100185.31"/>
    <n v="-119352.14"/>
    <n v="-123459.01"/>
    <n v="-122194.89"/>
    <n v="-111454.73"/>
    <n v="-1455260.5099999998"/>
    <n v="-10740.160000000003"/>
  </r>
  <r>
    <x v="19"/>
    <x v="3"/>
    <x v="0"/>
    <s v="5105101"/>
    <n v="400020"/>
    <s v="O/P Care Svcs Rev--Medicaid"/>
    <s v="Coumadin Clinic"/>
    <x v="0"/>
    <n v="1200"/>
    <n v="-27322.04"/>
    <n v="-26978.21"/>
    <n v="-20204.8"/>
    <n v="-22514.65"/>
    <n v="-17702.91"/>
    <n v="-18992.88"/>
    <n v="-23842"/>
    <n v="-19649.02"/>
    <n v="-23526.69"/>
    <n v="-23898.63"/>
    <n v="-25198.38"/>
    <n v="-19793.2"/>
    <n v="-269623.41000000003"/>
    <n v="-5405.18"/>
  </r>
  <r>
    <x v="19"/>
    <x v="3"/>
    <x v="0"/>
    <s v="5105101"/>
    <n v="400020"/>
    <s v="O/P Care Svcs Rev--Comm Insurance"/>
    <s v="Coumadin Clinic"/>
    <x v="0"/>
    <n v="1300"/>
    <n v="-3996.99"/>
    <n v="-2590.11"/>
    <n v="-3282.72"/>
    <n v="-2579.2800000000002"/>
    <n v="-2733.28"/>
    <n v="-2344.8000000000002"/>
    <n v="-2827.59"/>
    <n v="-2902.68"/>
    <n v="-3628.35"/>
    <n v="-3206.57"/>
    <n v="-4961.8"/>
    <n v="-4112.13"/>
    <n v="-39166.299999999996"/>
    <n v="-849.67000000000007"/>
  </r>
  <r>
    <x v="19"/>
    <x v="3"/>
    <x v="0"/>
    <s v="5105101"/>
    <n v="400020"/>
    <s v="O/P Care Svcs Rev--BCBS Comm"/>
    <s v="Coumadin Clinic"/>
    <x v="0"/>
    <n v="1301"/>
    <n v="-8715.2800000000007"/>
    <n v="-9848.16"/>
    <n v="-5862"/>
    <n v="-6330.96"/>
    <n v="-3905.68"/>
    <n v="-4220.6400000000003"/>
    <n v="-3517.2"/>
    <n v="-4354.0200000000004"/>
    <n v="-4989.3900000000003"/>
    <n v="-4595.91"/>
    <n v="-4195.0200000000004"/>
    <n v="-3061.68"/>
    <n v="-63595.94000000001"/>
    <n v="-1133.3400000000006"/>
  </r>
  <r>
    <x v="19"/>
    <x v="3"/>
    <x v="0"/>
    <s v="5105101"/>
    <n v="400020"/>
    <s v="O/P Care Svcs Rev--Managed Care"/>
    <s v="Coumadin Clinic"/>
    <x v="0"/>
    <n v="1400"/>
    <n v="-18296.47"/>
    <n v="-22447.46"/>
    <n v="-20278.32"/>
    <n v="-23052.560000000001"/>
    <n v="-19721.919999999998"/>
    <n v="-17974.48"/>
    <n v="-17505.52"/>
    <n v="-15977.55"/>
    <n v="-20117.98"/>
    <n v="-19247.419999999998"/>
    <n v="-19088.419999999998"/>
    <n v="-16849.41"/>
    <n v="-230557.50999999998"/>
    <n v="-2239.0099999999984"/>
  </r>
  <r>
    <x v="19"/>
    <x v="3"/>
    <x v="0"/>
    <s v="5105101"/>
    <n v="400020"/>
    <s v="O/P Care Svcs Rev--Self Pay"/>
    <s v="Coumadin Clinic"/>
    <x v="0"/>
    <n v="1500"/>
    <n v="-1396.05"/>
    <n v="-937.92"/>
    <n v="-1701.36"/>
    <n v="-2110.3200000000002"/>
    <n v="-1091.92"/>
    <n v="-1641.36"/>
    <n v="-2873.76"/>
    <n v="-3144.57"/>
    <n v="-2683.02"/>
    <n v="-2411.4899999999998"/>
    <n v="-4401.2"/>
    <n v="-3144.57"/>
    <n v="-27537.539999999997"/>
    <n v="-1256.6299999999997"/>
  </r>
  <r>
    <x v="19"/>
    <x v="3"/>
    <x v="0"/>
    <s v="5105101"/>
    <n v="400020"/>
    <s v="O/P Care Svcs Rev--Other"/>
    <s v="Coumadin Clinic"/>
    <x v="0"/>
    <n v="1700"/>
    <n v="-1406.88"/>
    <n v="-1865.01"/>
    <n v="-937.92"/>
    <n v="-997.92"/>
    <n v="-937.92"/>
    <n v="-1466.88"/>
    <n v="-1701.36"/>
    <n v="-967.56"/>
    <n v="-967.56"/>
    <n v="-1451.34"/>
    <n v="-1209.45"/>
    <n v="-725.67"/>
    <n v="-14635.470000000001"/>
    <n v="-483.78000000000009"/>
  </r>
  <r>
    <x v="5"/>
    <x v="3"/>
    <x v="0"/>
    <s v="5105101"/>
    <n v="700018"/>
    <s v="Salaries-Supervisory-Productive"/>
    <s v="Coumadin Clinic"/>
    <x v="0"/>
    <m/>
    <n v="0"/>
    <n v="0"/>
    <n v="0"/>
    <n v="0"/>
    <n v="524.87"/>
    <n v="0"/>
    <n v="713.34"/>
    <n v="-187.7"/>
    <n v="1651.95"/>
    <n v="1351.63"/>
    <n v="-375.4"/>
    <n v="1088.8"/>
    <n v="4767.49"/>
    <n v="-1464.1999999999998"/>
  </r>
  <r>
    <x v="5"/>
    <x v="3"/>
    <x v="0"/>
    <s v="5105101"/>
    <n v="700032"/>
    <s v="Salaries-Other Pat Care Providers-Productive"/>
    <s v="Coumadin Clinic"/>
    <x v="0"/>
    <m/>
    <n v="22227.17"/>
    <n v="22417.39"/>
    <n v="19487.62"/>
    <n v="21840.74"/>
    <n v="29926.36"/>
    <n v="11901.12"/>
    <n v="17517.43"/>
    <n v="15623.43"/>
    <n v="20517.78"/>
    <n v="18698.849999999999"/>
    <n v="18652.8"/>
    <n v="17800.080000000002"/>
    <n v="236610.76999999996"/>
    <n v="852.71999999999753"/>
  </r>
  <r>
    <x v="5"/>
    <x v="3"/>
    <x v="0"/>
    <s v="5105101"/>
    <n v="700032"/>
    <s v="Salaries-Other Pat Care Providers-OT"/>
    <s v="Coumadin Clinic"/>
    <x v="0"/>
    <n v="1000"/>
    <n v="285.19"/>
    <n v="68.47"/>
    <n v="128.16999999999999"/>
    <n v="85.71"/>
    <n v="575.25"/>
    <n v="-105.02"/>
    <n v="22.35"/>
    <n v="22.35"/>
    <n v="71.7"/>
    <n v="64.11"/>
    <n v="0"/>
    <n v="71.47"/>
    <n v="1289.7499999999998"/>
    <n v="-71.47"/>
  </r>
  <r>
    <x v="5"/>
    <x v="3"/>
    <x v="0"/>
    <s v="5105101"/>
    <n v="700032"/>
    <s v="Salaries-Other Pat Care Providers-Other"/>
    <s v="Coumadin Clinic"/>
    <x v="0"/>
    <n v="2000"/>
    <n v="1483.16"/>
    <n v="1332.68"/>
    <n v="1533.81"/>
    <n v="1495.63"/>
    <n v="1304.26"/>
    <n v="1404.32"/>
    <n v="1931.56"/>
    <n v="1274.8900000000001"/>
    <n v="2228"/>
    <n v="1676.93"/>
    <n v="2291.1"/>
    <n v="2264.36"/>
    <n v="20220.7"/>
    <n v="26.739999999999782"/>
  </r>
  <r>
    <x v="5"/>
    <x v="3"/>
    <x v="0"/>
    <s v="5105101"/>
    <n v="700038"/>
    <s v="Salaries-Service/Support-Productive"/>
    <s v="Coumadin Clinic"/>
    <x v="0"/>
    <m/>
    <n v="0"/>
    <n v="0"/>
    <n v="0"/>
    <n v="0"/>
    <n v="0"/>
    <n v="0"/>
    <n v="0"/>
    <n v="103.05"/>
    <n v="164.88"/>
    <n v="0"/>
    <n v="51.53"/>
    <n v="0"/>
    <n v="319.46000000000004"/>
    <n v="51.53"/>
  </r>
  <r>
    <x v="5"/>
    <x v="3"/>
    <x v="0"/>
    <s v="5105101"/>
    <n v="700054"/>
    <s v="Salaries-Management-NonProd-Other"/>
    <s v="Coumadin Clinic"/>
    <x v="0"/>
    <n v="2000"/>
    <n v="0"/>
    <n v="0"/>
    <n v="0"/>
    <n v="0"/>
    <n v="0"/>
    <n v="1120"/>
    <n v="-1120"/>
    <n v="0"/>
    <n v="0"/>
    <n v="0"/>
    <n v="0"/>
    <n v="0"/>
    <n v="0"/>
    <n v="0"/>
  </r>
  <r>
    <x v="5"/>
    <x v="3"/>
    <x v="0"/>
    <s v="5105101"/>
    <n v="700058"/>
    <s v="Salaries-Supervisory-Non-productive"/>
    <s v="Coumadin Clinic"/>
    <x v="0"/>
    <m/>
    <n v="0"/>
    <n v="0"/>
    <n v="0"/>
    <n v="4686.26"/>
    <n v="-2061.9299999999998"/>
    <n v="4648.62"/>
    <n v="1314.91"/>
    <n v="525.64"/>
    <n v="-187.7"/>
    <n v="1802.09"/>
    <n v="-750.81"/>
    <n v="525.64"/>
    <n v="10502.72"/>
    <n v="-1276.4499999999998"/>
  </r>
  <r>
    <x v="5"/>
    <x v="3"/>
    <x v="0"/>
    <s v="5105101"/>
    <n v="700072"/>
    <s v="Salaries-Other Pat Care Providers-Non-productive"/>
    <s v="Coumadin Clinic"/>
    <x v="0"/>
    <m/>
    <n v="30780.94"/>
    <n v="27173.42"/>
    <n v="21203.38"/>
    <n v="16973.55"/>
    <n v="9467.94"/>
    <n v="37341.519999999997"/>
    <n v="24381.66"/>
    <n v="27172.09"/>
    <n v="24947.18"/>
    <n v="19265.810000000001"/>
    <n v="23333.23"/>
    <n v="24696.9"/>
    <n v="286737.62"/>
    <n v="-1363.6700000000019"/>
  </r>
  <r>
    <x v="5"/>
    <x v="3"/>
    <x v="0"/>
    <s v="5105101"/>
    <n v="700072"/>
    <s v="Salaries-Other Pat Care Providers-NonProd-Other"/>
    <s v="Coumadin Clinic"/>
    <x v="0"/>
    <n v="2000"/>
    <n v="1483.22"/>
    <n v="743.84"/>
    <n v="1261.8900000000001"/>
    <n v="372.45"/>
    <n v="1864.27"/>
    <n v="3096.45"/>
    <n v="832.12"/>
    <n v="-904.56"/>
    <n v="749.54"/>
    <n v="310.39999999999998"/>
    <n v="685.22"/>
    <n v="1278.27"/>
    <n v="11773.11"/>
    <n v="-593.04999999999995"/>
  </r>
  <r>
    <x v="5"/>
    <x v="3"/>
    <x v="0"/>
    <s v="5105101"/>
    <n v="700078"/>
    <s v="Salaries-Service/Support-Non-productive"/>
    <s v="Coumadin Clinic"/>
    <x v="0"/>
    <m/>
    <n v="1181.4100000000001"/>
    <n v="386.24"/>
    <n v="1025.24"/>
    <n v="1100.58"/>
    <n v="0.74"/>
    <n v="1551.54"/>
    <n v="212.23"/>
    <n v="794.97"/>
    <n v="373.94"/>
    <n v="-200.19"/>
    <n v="976.02"/>
    <n v="518.24"/>
    <n v="7920.9599999999991"/>
    <n v="457.78"/>
  </r>
  <r>
    <x v="5"/>
    <x v="3"/>
    <x v="0"/>
    <s v="5105101"/>
    <n v="700078"/>
    <s v="Salaries-Service/Support-NonProd-Other"/>
    <s v="Coumadin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105101"/>
    <n v="700084"/>
    <s v="Accrued PTO"/>
    <s v="Coumadin Clinic"/>
    <x v="0"/>
    <m/>
    <n v="-5692.58"/>
    <n v="702.67"/>
    <n v="-1289.23"/>
    <n v="17551.759999999998"/>
    <n v="15884.06"/>
    <n v="-1997.89"/>
    <n v="-506.05"/>
    <n v="1528.85"/>
    <n v="11459.34"/>
    <n v="7381.3"/>
    <n v="9506.2199999999993"/>
    <n v="3319.36"/>
    <n v="57847.810000000005"/>
    <n v="6186.8599999999988"/>
  </r>
  <r>
    <x v="6"/>
    <x v="3"/>
    <x v="0"/>
    <s v="5105101"/>
    <n v="713010"/>
    <s v="Benefits-FICA/Medicare"/>
    <s v="Coumadin Clinic"/>
    <x v="0"/>
    <m/>
    <n v="4689.63"/>
    <n v="4052.24"/>
    <n v="3303.91"/>
    <n v="3494.9"/>
    <n v="3094.89"/>
    <n v="4270.26"/>
    <n v="3590.48"/>
    <n v="3434.13"/>
    <n v="3836.42"/>
    <n v="3205.05"/>
    <n v="3367.48"/>
    <n v="3840.99"/>
    <n v="44180.380000000005"/>
    <n v="-473.50999999999976"/>
  </r>
  <r>
    <x v="6"/>
    <x v="3"/>
    <x v="0"/>
    <s v="5105101"/>
    <n v="713090"/>
    <s v="Benefits-Allocated Amounts"/>
    <s v="Coumadin Clinic"/>
    <x v="0"/>
    <m/>
    <n v="8328.27"/>
    <n v="7772.57"/>
    <n v="7535.27"/>
    <n v="7982.54"/>
    <n v="6933.81"/>
    <n v="8797.1"/>
    <n v="7018.56"/>
    <n v="7869.53"/>
    <n v="6358.41"/>
    <n v="6757.12"/>
    <n v="7835.58"/>
    <n v="7572.11"/>
    <n v="90760.87"/>
    <n v="263.47000000000025"/>
  </r>
  <r>
    <x v="7"/>
    <x v="3"/>
    <x v="0"/>
    <s v="5105101"/>
    <n v="718050"/>
    <s v="Contract Svcs-Other"/>
    <s v="Coumadin Clinic"/>
    <x v="0"/>
    <m/>
    <n v="0"/>
    <n v="0"/>
    <n v="0"/>
    <n v="0"/>
    <n v="0"/>
    <n v="0"/>
    <n v="0"/>
    <n v="0"/>
    <n v="0"/>
    <n v="1782.63"/>
    <n v="0"/>
    <n v="0"/>
    <n v="1782.63"/>
    <n v="0"/>
  </r>
  <r>
    <x v="7"/>
    <x v="3"/>
    <x v="0"/>
    <s v="5105101"/>
    <n v="718050"/>
    <s v="Document Shredding/Storage"/>
    <s v="Coumadin Clinic"/>
    <x v="0"/>
    <n v="1012"/>
    <n v="1.55"/>
    <n v="1.62"/>
    <n v="1.47"/>
    <n v="1.52"/>
    <n v="1.57"/>
    <n v="1.57"/>
    <n v="1.55"/>
    <n v="1.32"/>
    <n v="1.37"/>
    <n v="1.83"/>
    <n v="1.52"/>
    <n v="1.57"/>
    <n v="18.460000000000004"/>
    <n v="-5.0000000000000044E-2"/>
  </r>
  <r>
    <x v="7"/>
    <x v="3"/>
    <x v="0"/>
    <s v="5105101"/>
    <n v="718050"/>
    <s v="Miscellaneous Purchased Svcs"/>
    <s v="Coumadin Clinic"/>
    <x v="0"/>
    <n v="1020"/>
    <n v="248"/>
    <n v="64"/>
    <n v="32"/>
    <n v="45"/>
    <n v="5440.05"/>
    <n v="0"/>
    <n v="0"/>
    <n v="0"/>
    <n v="0"/>
    <n v="180"/>
    <n v="84.8"/>
    <n v="0"/>
    <n v="6093.85"/>
    <n v="84.8"/>
  </r>
  <r>
    <x v="7"/>
    <x v="3"/>
    <x v="0"/>
    <s v="5105101"/>
    <n v="718050"/>
    <s v="Translation Services"/>
    <s v="Coumadin Clinic"/>
    <x v="0"/>
    <n v="1025"/>
    <n v="0"/>
    <n v="345.42"/>
    <n v="115.74"/>
    <n v="161.16"/>
    <n v="0"/>
    <n v="15.8"/>
    <n v="270.54000000000002"/>
    <n v="0"/>
    <n v="188.49"/>
    <n v="0"/>
    <n v="100.33"/>
    <n v="50.56"/>
    <n v="1248.04"/>
    <n v="49.769999999999996"/>
  </r>
  <r>
    <x v="7"/>
    <x v="3"/>
    <x v="0"/>
    <s v="5105101"/>
    <n v="718091"/>
    <s v="Contract Services-Intracompany Allocation"/>
    <s v="Coumadin Clinic"/>
    <x v="0"/>
    <m/>
    <n v="862.01"/>
    <n v="837.56"/>
    <n v="821.57"/>
    <n v="845.68"/>
    <n v="885.75"/>
    <n v="734.61"/>
    <n v="918.06"/>
    <n v="812.1"/>
    <n v="911.3"/>
    <n v="806.14"/>
    <n v="981.19"/>
    <n v="828.26"/>
    <n v="10244.230000000001"/>
    <n v="152.93000000000006"/>
  </r>
  <r>
    <x v="11"/>
    <x v="3"/>
    <x v="0"/>
    <s v="5105101"/>
    <n v="721250"/>
    <s v="Supplies-Pharmacy Drugs - Billable"/>
    <s v="Coumadin Clinic"/>
    <x v="0"/>
    <m/>
    <n v="-8254.26"/>
    <n v="-6899.63"/>
    <n v="-7758.38"/>
    <n v="-7720.98"/>
    <n v="-7258.09"/>
    <n v="-7758.38"/>
    <n v="-6937.03"/>
    <n v="-261.8"/>
    <n v="-6985.09"/>
    <n v="-6824.3"/>
    <n v="-7145.88"/>
    <n v="-6020.35"/>
    <n v="-79824.170000000013"/>
    <n v="-1125.5299999999997"/>
  </r>
  <r>
    <x v="11"/>
    <x v="3"/>
    <x v="0"/>
    <s v="5105101"/>
    <n v="721250"/>
    <s v="OP Pharmacy Drugs"/>
    <s v="Coumadin Clinic"/>
    <x v="0"/>
    <n v="1002"/>
    <n v="10254.34"/>
    <n v="10353.33"/>
    <n v="10174.1"/>
    <n v="10963.24"/>
    <n v="27911.69"/>
    <n v="10476.459999999999"/>
    <n v="10334.629999999999"/>
    <n v="187"/>
    <n v="10047.61"/>
    <n v="6824.3"/>
    <n v="7273.1"/>
    <n v="8914.57"/>
    <n v="123714.37000000002"/>
    <n v="-1641.4699999999993"/>
  </r>
  <r>
    <x v="11"/>
    <x v="3"/>
    <x v="0"/>
    <s v="5105101"/>
    <n v="721410"/>
    <s v="Supplies-Medical - Nonbillable"/>
    <s v="Coumadin Clinic"/>
    <x v="0"/>
    <m/>
    <n v="230.24"/>
    <n v="185.08"/>
    <n v="84.31"/>
    <n v="252.04"/>
    <n v="102.78"/>
    <n v="123.97"/>
    <n v="259.8"/>
    <n v="97.84"/>
    <n v="134.46"/>
    <n v="117.28"/>
    <n v="86.52"/>
    <n v="309.57"/>
    <n v="1983.8899999999999"/>
    <n v="-223.05"/>
  </r>
  <r>
    <x v="11"/>
    <x v="3"/>
    <x v="0"/>
    <s v="5105101"/>
    <n v="721710"/>
    <s v="Supplies-Laboratory - Nonbillable"/>
    <s v="Coumadin Clinic"/>
    <x v="0"/>
    <m/>
    <n v="98.6"/>
    <n v="104.4"/>
    <n v="46.4"/>
    <n v="133.4"/>
    <n v="69.599999999999994"/>
    <n v="34.799999999999997"/>
    <n v="127.6"/>
    <n v="23.2"/>
    <n v="69.599999999999994"/>
    <n v="104.4"/>
    <n v="63.8"/>
    <n v="121.8"/>
    <n v="997.59999999999991"/>
    <n v="-58"/>
  </r>
  <r>
    <x v="11"/>
    <x v="3"/>
    <x v="0"/>
    <s v="5105101"/>
    <n v="721810"/>
    <s v="Supplies-Dietary/Cafeteria"/>
    <s v="Coumadin Clinic"/>
    <x v="0"/>
    <m/>
    <n v="0"/>
    <n v="40.46"/>
    <n v="0"/>
    <n v="0"/>
    <n v="0"/>
    <n v="0"/>
    <n v="0"/>
    <n v="0"/>
    <n v="0"/>
    <n v="0"/>
    <n v="0"/>
    <n v="0"/>
    <n v="40.46"/>
    <n v="0"/>
  </r>
  <r>
    <x v="11"/>
    <x v="3"/>
    <x v="0"/>
    <s v="5105101"/>
    <n v="721830"/>
    <s v="Supplies-Office"/>
    <s v="Coumadin Clinic"/>
    <x v="0"/>
    <m/>
    <n v="108.19"/>
    <n v="147.43"/>
    <n v="0"/>
    <n v="177.37"/>
    <n v="134.59"/>
    <n v="118.48"/>
    <n v="0"/>
    <n v="76.430000000000007"/>
    <n v="63.84"/>
    <n v="126.64"/>
    <n v="63.72"/>
    <n v="0"/>
    <n v="1016.69"/>
    <n v="63.72"/>
  </r>
  <r>
    <x v="11"/>
    <x v="3"/>
    <x v="0"/>
    <s v="5105101"/>
    <n v="721835"/>
    <s v="Supplies-Forms"/>
    <s v="Coumadin Clinic"/>
    <x v="0"/>
    <m/>
    <n v="0"/>
    <n v="0"/>
    <n v="0"/>
    <n v="0"/>
    <n v="0"/>
    <n v="0.5"/>
    <n v="0"/>
    <n v="0"/>
    <n v="0"/>
    <n v="51.8"/>
    <n v="0"/>
    <n v="0"/>
    <n v="52.3"/>
    <n v="0"/>
  </r>
  <r>
    <x v="11"/>
    <x v="3"/>
    <x v="0"/>
    <s v="5105101"/>
    <n v="721870"/>
    <s v="Supplies-Environmental Services"/>
    <s v="Coumadin Clinic"/>
    <x v="0"/>
    <m/>
    <n v="86.43"/>
    <n v="105.64"/>
    <n v="71.63"/>
    <n v="144.04"/>
    <n v="149.38999999999999"/>
    <n v="86.43"/>
    <n v="117.91"/>
    <n v="33.61"/>
    <n v="57.62"/>
    <n v="138.85"/>
    <n v="66.83"/>
    <n v="28.81"/>
    <n v="1087.1899999999998"/>
    <n v="38.019999999999996"/>
  </r>
  <r>
    <x v="11"/>
    <x v="3"/>
    <x v="0"/>
    <s v="5105101"/>
    <n v="721910"/>
    <s v="Supplies-Small Equipment"/>
    <s v="Coumadin Clinic"/>
    <x v="0"/>
    <m/>
    <n v="7.68"/>
    <n v="8.4600000000000009"/>
    <n v="0"/>
    <n v="5.9"/>
    <n v="0"/>
    <n v="4.49"/>
    <n v="8.57"/>
    <n v="0"/>
    <n v="0"/>
    <n v="8.98"/>
    <n v="7.2"/>
    <n v="0"/>
    <n v="51.28"/>
    <n v="7.2"/>
  </r>
  <r>
    <x v="12"/>
    <x v="3"/>
    <x v="0"/>
    <s v="5105101"/>
    <n v="730010"/>
    <s v="Rental and Leases-Building (DO NOT USE)"/>
    <s v="Coumadin Clinic"/>
    <x v="0"/>
    <m/>
    <n v="6266.34"/>
    <n v="6266.43"/>
    <n v="6269.07"/>
    <n v="6269.07"/>
    <n v="6269.07"/>
    <n v="-10513.33"/>
    <n v="3417.42"/>
    <n v="3417.42"/>
    <n v="3417.42"/>
    <n v="3170.49"/>
    <n v="3419.89"/>
    <n v="0"/>
    <n v="37669.289999999994"/>
    <n v="3419.89"/>
  </r>
  <r>
    <x v="12"/>
    <x v="3"/>
    <x v="0"/>
    <s v="5105101"/>
    <n v="730010"/>
    <s v="Rental-Common Area Maint (DO NOT USE)"/>
    <s v="Coumadin Clinic"/>
    <x v="0"/>
    <n v="2200"/>
    <n v="0"/>
    <n v="0"/>
    <n v="0"/>
    <n v="0"/>
    <n v="0"/>
    <n v="16726.2"/>
    <n v="2795.45"/>
    <n v="2795.45"/>
    <n v="1901.31"/>
    <n v="2992.62"/>
    <n v="2795.41"/>
    <n v="49.33"/>
    <n v="30055.770000000004"/>
    <n v="2746.08"/>
  </r>
  <r>
    <x v="12"/>
    <x v="3"/>
    <x v="0"/>
    <s v="5105101"/>
    <n v="730020"/>
    <s v="Rental and Leases-Copier Usage Fees (DO NOT USE)"/>
    <s v="Coumadin Clinic"/>
    <x v="0"/>
    <n v="5100"/>
    <n v="343.89"/>
    <n v="346.36"/>
    <n v="345.12"/>
    <n v="345.12"/>
    <n v="345.12"/>
    <n v="345.12"/>
    <n v="-138.22"/>
    <n v="183.22"/>
    <n v="200.32"/>
    <n v="497.74"/>
    <n v="183.22"/>
    <n v="194.67"/>
    <n v="3191.68"/>
    <n v="-11.449999999999989"/>
  </r>
  <r>
    <x v="12"/>
    <x v="3"/>
    <x v="0"/>
    <s v="5105101"/>
    <n v="730040"/>
    <s v="LT Lease-Real Estate"/>
    <s v="Coumadin Clinic"/>
    <x v="0"/>
    <m/>
    <n v="0"/>
    <n v="0"/>
    <n v="0"/>
    <n v="0"/>
    <n v="0"/>
    <n v="0"/>
    <n v="0"/>
    <n v="0"/>
    <n v="0"/>
    <n v="0"/>
    <n v="0"/>
    <n v="6245.85"/>
    <n v="6245.85"/>
    <n v="-6245.85"/>
  </r>
  <r>
    <x v="16"/>
    <x v="3"/>
    <x v="0"/>
    <s v="5105101"/>
    <n v="732030"/>
    <s v="Repairs---Other"/>
    <s v="Coumadin Clinic"/>
    <x v="0"/>
    <m/>
    <n v="0"/>
    <n v="0"/>
    <n v="0"/>
    <n v="0"/>
    <n v="0"/>
    <n v="0"/>
    <n v="0"/>
    <n v="4238.8500000000004"/>
    <n v="0"/>
    <n v="0"/>
    <n v="0"/>
    <n v="0"/>
    <n v="4238.8500000000004"/>
    <n v="0"/>
  </r>
  <r>
    <x v="0"/>
    <x v="3"/>
    <x v="0"/>
    <s v="5105101"/>
    <n v="740020"/>
    <s v="Education-Registration Fees"/>
    <s v="Coumadin Clinic"/>
    <x v="0"/>
    <m/>
    <n v="0"/>
    <n v="0"/>
    <n v="0"/>
    <n v="0"/>
    <n v="60"/>
    <n v="0"/>
    <n v="0"/>
    <n v="0"/>
    <n v="-50"/>
    <n v="-15"/>
    <n v="635"/>
    <n v="0"/>
    <n v="630"/>
    <n v="635"/>
  </r>
  <r>
    <x v="0"/>
    <x v="3"/>
    <x v="0"/>
    <s v="5105101"/>
    <n v="743020"/>
    <s v="Dues--Individual"/>
    <s v="Coumadin Clinic"/>
    <x v="0"/>
    <m/>
    <n v="500"/>
    <n v="500"/>
    <n v="0"/>
    <n v="814"/>
    <n v="605"/>
    <n v="1430"/>
    <n v="840"/>
    <n v="0"/>
    <n v="510"/>
    <n v="259"/>
    <n v="630"/>
    <n v="580"/>
    <n v="6668"/>
    <n v="50"/>
  </r>
  <r>
    <x v="0"/>
    <x v="3"/>
    <x v="0"/>
    <s v="5105101"/>
    <n v="743030"/>
    <s v="Subscriptions--Institutional"/>
    <s v="Coumadin Clinic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5105101"/>
    <n v="749510"/>
    <s v="Miscellaneous Expenses"/>
    <s v="Coumadin Clinic"/>
    <x v="0"/>
    <m/>
    <n v="736.95"/>
    <n v="-746.82"/>
    <n v="6"/>
    <n v="779"/>
    <n v="-592.38"/>
    <n v="-192.62"/>
    <n v="750.72"/>
    <n v="-744.34"/>
    <n v="-6.38"/>
    <n v="1067.05"/>
    <n v="-266.12"/>
    <n v="-56.28"/>
    <n v="734.77999999999986"/>
    <n v="-209.84"/>
  </r>
  <r>
    <x v="0"/>
    <x v="3"/>
    <x v="0"/>
    <s v="5105101"/>
    <n v="749510"/>
    <s v="Licenses"/>
    <s v="Coumadin Clinic"/>
    <x v="0"/>
    <n v="1002"/>
    <n v="1462"/>
    <n v="1462"/>
    <n v="731"/>
    <n v="0"/>
    <n v="0"/>
    <n v="1462"/>
    <n v="0"/>
    <n v="731"/>
    <n v="0"/>
    <n v="1462"/>
    <n v="0"/>
    <n v="731"/>
    <n v="8041"/>
    <n v="-731"/>
  </r>
  <r>
    <x v="0"/>
    <x v="3"/>
    <x v="0"/>
    <s v="5105101"/>
    <n v="749510"/>
    <s v="RICE Rewards"/>
    <s v="Coumadin Clinic"/>
    <x v="0"/>
    <n v="5100"/>
    <n v="0"/>
    <n v="0"/>
    <n v="0"/>
    <n v="0"/>
    <n v="0"/>
    <n v="212.49"/>
    <n v="0"/>
    <n v="0"/>
    <n v="35.479999999999997"/>
    <n v="611.11"/>
    <n v="0"/>
    <n v="0"/>
    <n v="859.08"/>
    <n v="0"/>
  </r>
  <r>
    <x v="0"/>
    <x v="3"/>
    <x v="0"/>
    <s v="5105101"/>
    <n v="749530"/>
    <s v="Travel"/>
    <s v="Coumadin Clinic"/>
    <x v="0"/>
    <m/>
    <n v="0"/>
    <n v="265.89999999999998"/>
    <n v="0"/>
    <n v="5"/>
    <n v="301.42"/>
    <n v="10"/>
    <n v="0"/>
    <n v="10"/>
    <n v="0"/>
    <n v="0"/>
    <n v="996.41"/>
    <n v="64.98"/>
    <n v="1653.71"/>
    <n v="931.43"/>
  </r>
  <r>
    <x v="0"/>
    <x v="3"/>
    <x v="0"/>
    <s v="5105101"/>
    <n v="749530"/>
    <s v="Mileage"/>
    <s v="Coumadin Clinic"/>
    <x v="0"/>
    <n v="1001"/>
    <n v="14.73"/>
    <n v="58.33"/>
    <n v="10.91"/>
    <n v="39.81"/>
    <n v="74.7"/>
    <n v="273.67"/>
    <n v="12.76"/>
    <n v="135.72"/>
    <n v="23.2"/>
    <n v="101.5"/>
    <n v="44.66"/>
    <n v="22.04"/>
    <n v="812.03"/>
    <n v="22.619999999999997"/>
  </r>
  <r>
    <x v="0"/>
    <x v="3"/>
    <x v="0"/>
    <s v="5105101"/>
    <n v="749535"/>
    <s v="Meetings"/>
    <s v="Coumadin Clinic"/>
    <x v="0"/>
    <m/>
    <n v="0"/>
    <n v="0"/>
    <n v="0"/>
    <n v="0"/>
    <n v="550"/>
    <n v="0"/>
    <n v="0"/>
    <n v="0"/>
    <n v="120"/>
    <n v="0"/>
    <n v="0"/>
    <n v="0"/>
    <n v="670"/>
    <n v="0"/>
  </r>
  <r>
    <x v="18"/>
    <x v="0"/>
    <x v="0"/>
    <s v="5105102"/>
    <n v="400010"/>
    <s v="Acute I/P Svcs Rev--Medicare"/>
    <s v="Coumadin Clinic"/>
    <x v="0"/>
    <n v="1100"/>
    <n v="-223.65"/>
    <n v="-234.48"/>
    <n v="-234.48"/>
    <n v="-468.96"/>
    <n v="-468.96"/>
    <n v="-294.48"/>
    <n v="-703.44"/>
    <n v="-483.78"/>
    <n v="0"/>
    <n v="-400.89"/>
    <n v="0"/>
    <n v="-241.89"/>
    <n v="-3755.0099999999993"/>
    <n v="241.89"/>
  </r>
  <r>
    <x v="19"/>
    <x v="0"/>
    <x v="0"/>
    <s v="5105102"/>
    <n v="400020"/>
    <s v="O/P Care Svcs Rev--Medicare"/>
    <s v="Coumadin Clinic"/>
    <x v="0"/>
    <n v="1100"/>
    <n v="-219607.79"/>
    <n v="-228283.29"/>
    <n v="-190810.4"/>
    <n v="-212777.2"/>
    <n v="-186210.96"/>
    <n v="-167576.79999999999"/>
    <n v="-193323.12"/>
    <n v="-167300.60999999999"/>
    <n v="-188623.67"/>
    <n v="-209094.89"/>
    <n v="-227872.48"/>
    <n v="-179004.63"/>
    <n v="-2370485.84"/>
    <n v="-48867.850000000006"/>
  </r>
  <r>
    <x v="19"/>
    <x v="0"/>
    <x v="0"/>
    <s v="5105102"/>
    <n v="400020"/>
    <s v="O/P Care Svcs Rev--Medicaid"/>
    <s v="Coumadin Clinic"/>
    <x v="0"/>
    <n v="1200"/>
    <n v="-23435.73"/>
    <n v="-27331.85"/>
    <n v="-20326.490000000002"/>
    <n v="-21664.720000000001"/>
    <n v="-20940.400000000001"/>
    <n v="-15445.55"/>
    <n v="-15736.16"/>
    <n v="-14256.37"/>
    <n v="-14168.44"/>
    <n v="-15685.8"/>
    <n v="-15522.07"/>
    <n v="-19351.2"/>
    <n v="-223864.78"/>
    <n v="3829.130000000001"/>
  </r>
  <r>
    <x v="19"/>
    <x v="0"/>
    <x v="0"/>
    <s v="5105102"/>
    <n v="400020"/>
    <s v="O/P Care Svcs Rev--Comm Insurance"/>
    <s v="Coumadin Clinic"/>
    <x v="0"/>
    <n v="1300"/>
    <n v="-3342.72"/>
    <n v="-3517.2"/>
    <n v="-1641.36"/>
    <n v="-1875.84"/>
    <n v="-1172.4000000000001"/>
    <n v="-1466.88"/>
    <n v="-2110.3200000000002"/>
    <n v="-1753.23"/>
    <n v="-4243.54"/>
    <n v="-3628.35"/>
    <n v="-4595.91"/>
    <n v="-1513.34"/>
    <n v="-30861.09"/>
    <n v="-3082.5699999999997"/>
  </r>
  <r>
    <x v="19"/>
    <x v="0"/>
    <x v="0"/>
    <s v="5105102"/>
    <n v="400020"/>
    <s v="O/P Care Svcs Rev--BCBS Comm"/>
    <s v="Coumadin Clinic"/>
    <x v="0"/>
    <n v="1301"/>
    <n v="-12032"/>
    <n v="-13656.75"/>
    <n v="-16843.27"/>
    <n v="-14296.32"/>
    <n v="-9680.24"/>
    <n v="-10625.12"/>
    <n v="-11375.04"/>
    <n v="-10043.19"/>
    <n v="-11831.72"/>
    <n v="-9737.6"/>
    <n v="-11610.72"/>
    <n v="-8708.0400000000009"/>
    <n v="-140440.01"/>
    <n v="-2902.6799999999985"/>
  </r>
  <r>
    <x v="19"/>
    <x v="0"/>
    <x v="0"/>
    <s v="5105102"/>
    <n v="400020"/>
    <s v="O/P Care Svcs Rev--Managed Care"/>
    <s v="Coumadin Clinic"/>
    <x v="0"/>
    <n v="1400"/>
    <n v="-31487.94"/>
    <n v="-31643.97"/>
    <n v="-23446.33"/>
    <n v="-25999.84"/>
    <n v="-24712.959999999999"/>
    <n v="-28666.560000000001"/>
    <n v="-32540.93"/>
    <n v="-24837.89"/>
    <n v="-25161.32"/>
    <n v="-28757.91"/>
    <n v="-28454.02"/>
    <n v="-23767.22"/>
    <n v="-329476.89"/>
    <n v="-4686.7999999999993"/>
  </r>
  <r>
    <x v="19"/>
    <x v="0"/>
    <x v="0"/>
    <s v="5105102"/>
    <n v="400020"/>
    <s v="O/P Care Svcs Rev--Self Pay"/>
    <s v="Coumadin Clinic"/>
    <x v="0"/>
    <n v="1500"/>
    <n v="-4416.1899999999996"/>
    <n v="-6076"/>
    <n v="-6390.96"/>
    <n v="-6484.96"/>
    <n v="-6404.48"/>
    <n v="-5596.21"/>
    <n v="-5403.87"/>
    <n v="-2895.27"/>
    <n v="-5256.23"/>
    <n v="-6834.92"/>
    <n v="-6985.92"/>
    <n v="-2902.68"/>
    <n v="-65647.689999999988"/>
    <n v="-4083.2400000000002"/>
  </r>
  <r>
    <x v="19"/>
    <x v="0"/>
    <x v="0"/>
    <s v="5105102"/>
    <n v="400020"/>
    <s v="O/P Care Svcs Rev--Other"/>
    <s v="Coumadin Clinic"/>
    <x v="0"/>
    <n v="1700"/>
    <n v="-1897.5"/>
    <n v="-3813.5"/>
    <n v="-3038.59"/>
    <n v="-2947.28"/>
    <n v="-1875.84"/>
    <n v="-2110.3200000000002"/>
    <n v="-3282.72"/>
    <n v="-1556.46"/>
    <n v="-1228.26"/>
    <n v="-1935.12"/>
    <n v="-2577.9"/>
    <n v="-1700.64"/>
    <n v="-27964.129999999997"/>
    <n v="-877.26"/>
  </r>
  <r>
    <x v="5"/>
    <x v="0"/>
    <x v="0"/>
    <s v="5105102"/>
    <n v="700018"/>
    <s v="Salaries-Supervisory-Productive"/>
    <s v="Coumadin Clinic"/>
    <x v="0"/>
    <m/>
    <n v="0"/>
    <n v="0"/>
    <n v="0"/>
    <n v="937.26"/>
    <n v="1124.69"/>
    <n v="1087.26"/>
    <n v="0"/>
    <n v="1576.91"/>
    <n v="2402.89"/>
    <n v="2928.42"/>
    <n v="1952.42"/>
    <n v="112.71"/>
    <n v="12122.56"/>
    <n v="1839.71"/>
  </r>
  <r>
    <x v="5"/>
    <x v="0"/>
    <x v="0"/>
    <s v="5105102"/>
    <n v="700032"/>
    <s v="Salaries-Other Pat Care Providers-Productive"/>
    <s v="Coumadin Clinic"/>
    <x v="0"/>
    <m/>
    <n v="29085.54"/>
    <n v="29667"/>
    <n v="25374.560000000001"/>
    <n v="27920.94"/>
    <n v="24183.96"/>
    <n v="24684.42"/>
    <n v="23172.73"/>
    <n v="20281.599999999999"/>
    <n v="26814.16"/>
    <n v="24711.51"/>
    <n v="25336.19"/>
    <n v="24358.2"/>
    <n v="305590.81"/>
    <n v="977.98999999999796"/>
  </r>
  <r>
    <x v="5"/>
    <x v="0"/>
    <x v="0"/>
    <s v="5105102"/>
    <n v="700032"/>
    <s v="Salaries-Other Pat Care Providers-OT"/>
    <s v="Coumadin Clinic"/>
    <x v="0"/>
    <n v="1000"/>
    <n v="0"/>
    <n v="0"/>
    <n v="33.56"/>
    <n v="50.35"/>
    <n v="27.16"/>
    <n v="0.52"/>
    <n v="0"/>
    <n v="64.62"/>
    <n v="0"/>
    <n v="0"/>
    <n v="0"/>
    <n v="0"/>
    <n v="176.20999999999998"/>
    <n v="0"/>
  </r>
  <r>
    <x v="5"/>
    <x v="0"/>
    <x v="0"/>
    <s v="5105102"/>
    <n v="700032"/>
    <s v="Salaries-Other Pat Care Providers-Other"/>
    <s v="Coumadin Clinic"/>
    <x v="0"/>
    <n v="2000"/>
    <n v="32"/>
    <n v="29.17"/>
    <n v="-3.42"/>
    <n v="20.74"/>
    <n v="-5.49"/>
    <n v="0"/>
    <n v="10.18"/>
    <n v="22.71"/>
    <n v="29.93"/>
    <n v="-9"/>
    <n v="8.01"/>
    <n v="8.01"/>
    <n v="142.84"/>
    <n v="0"/>
  </r>
  <r>
    <x v="5"/>
    <x v="0"/>
    <x v="0"/>
    <s v="5105102"/>
    <n v="700038"/>
    <s v="Salaries-Service/Support-Productive"/>
    <s v="Coumadin Clinic"/>
    <x v="0"/>
    <m/>
    <n v="545.25"/>
    <n v="772.47"/>
    <n v="772.51"/>
    <n v="724.32"/>
    <n v="277.08"/>
    <n v="-93.32"/>
    <n v="836.14"/>
    <n v="270.89"/>
    <n v="212.01"/>
    <n v="282.63"/>
    <n v="315.07"/>
    <n v="1024.5999999999999"/>
    <n v="5939.65"/>
    <n v="-709.53"/>
  </r>
  <r>
    <x v="6"/>
    <x v="0"/>
    <x v="0"/>
    <s v="5105102"/>
    <n v="713010"/>
    <s v="Benefits-FICA/Medicare"/>
    <s v="Coumadin Clinic"/>
    <x v="0"/>
    <m/>
    <n v="2209.5100000000002"/>
    <n v="2265.15"/>
    <n v="1942.59"/>
    <n v="2209.75"/>
    <n v="1885.31"/>
    <n v="1897.76"/>
    <n v="1777.82"/>
    <n v="1639.67"/>
    <n v="2217.96"/>
    <n v="2073.38"/>
    <n v="2060.7399999999998"/>
    <n v="1897.02"/>
    <n v="24076.66"/>
    <n v="163.7199999999998"/>
  </r>
  <r>
    <x v="6"/>
    <x v="0"/>
    <x v="0"/>
    <s v="5105102"/>
    <n v="713090"/>
    <s v="Benefits-Allocated Amounts"/>
    <s v="Coumadin Clinic"/>
    <x v="0"/>
    <m/>
    <n v="5046.1499999999996"/>
    <n v="4577.88"/>
    <n v="4204.7700000000004"/>
    <n v="4641.25"/>
    <n v="4028.92"/>
    <n v="3717"/>
    <n v="3992.12"/>
    <n v="3996.81"/>
    <n v="4743.78"/>
    <n v="4420.7700000000004"/>
    <n v="4729.2"/>
    <n v="4369.12"/>
    <n v="52467.77"/>
    <n v="360.07999999999993"/>
  </r>
  <r>
    <x v="7"/>
    <x v="0"/>
    <x v="0"/>
    <s v="5105102"/>
    <n v="718050"/>
    <s v="Miscellaneous Purchased Svcs"/>
    <s v="Coumadin Clinic"/>
    <x v="0"/>
    <n v="1020"/>
    <n v="107"/>
    <n v="0"/>
    <n v="0"/>
    <n v="0"/>
    <n v="0"/>
    <n v="0"/>
    <n v="0"/>
    <n v="34.46"/>
    <n v="0"/>
    <n v="0"/>
    <n v="0"/>
    <n v="0"/>
    <n v="141.46"/>
    <n v="0"/>
  </r>
  <r>
    <x v="7"/>
    <x v="0"/>
    <x v="0"/>
    <s v="5105102"/>
    <n v="718050"/>
    <s v="Translation Services"/>
    <s v="Coumadin Clinic"/>
    <x v="0"/>
    <n v="1025"/>
    <n v="439.83"/>
    <n v="106.11"/>
    <n v="656.91"/>
    <n v="159.57"/>
    <n v="0"/>
    <n v="221.94"/>
    <n v="122.31"/>
    <n v="127.98"/>
    <n v="214.83"/>
    <n v="54.27"/>
    <n v="0"/>
    <n v="0"/>
    <n v="2103.75"/>
    <n v="0"/>
  </r>
  <r>
    <x v="7"/>
    <x v="0"/>
    <x v="0"/>
    <s v="5105102"/>
    <n v="718091"/>
    <s v="Contract Services-Intracompany Allocation"/>
    <s v="Coumadin Clinic"/>
    <x v="0"/>
    <m/>
    <n v="615.72"/>
    <n v="598.26"/>
    <n v="586.84"/>
    <n v="604.04999999999995"/>
    <n v="632.67999999999995"/>
    <n v="524.72"/>
    <n v="655.76"/>
    <n v="580.07000000000005"/>
    <n v="650.92999999999995"/>
    <n v="575.80999999999995"/>
    <n v="700.85"/>
    <n v="591.62"/>
    <n v="7317.31"/>
    <n v="109.23000000000002"/>
  </r>
  <r>
    <x v="11"/>
    <x v="0"/>
    <x v="0"/>
    <s v="5105102"/>
    <n v="721250"/>
    <s v="Supplies-Pharmacy Drugs - Billable"/>
    <s v="Coumadin Clinic"/>
    <x v="0"/>
    <m/>
    <n v="0"/>
    <n v="0"/>
    <n v="99.1"/>
    <n v="0"/>
    <n v="0"/>
    <n v="0"/>
    <n v="0"/>
    <n v="0"/>
    <n v="0"/>
    <n v="0"/>
    <n v="0"/>
    <n v="0"/>
    <n v="99.1"/>
    <n v="0"/>
  </r>
  <r>
    <x v="11"/>
    <x v="0"/>
    <x v="0"/>
    <s v="5105102"/>
    <n v="721250"/>
    <s v="OP Pharmacy Drugs"/>
    <s v="Coumadin Clinic"/>
    <x v="0"/>
    <n v="1002"/>
    <n v="4235.3999999999996"/>
    <n v="4237.6499999999996"/>
    <n v="4719.24"/>
    <n v="4237.6499999999996"/>
    <n v="4237.6499999999996"/>
    <n v="4237.6499999999996"/>
    <n v="149.6"/>
    <n v="4244.1499999999996"/>
    <n v="4244.1499999999996"/>
    <n v="4083.36"/>
    <n v="4083.36"/>
    <n v="3440.2"/>
    <n v="46150.06"/>
    <n v="643.16000000000031"/>
  </r>
  <r>
    <x v="11"/>
    <x v="0"/>
    <x v="0"/>
    <s v="5105102"/>
    <n v="721410"/>
    <s v="Supplies-Medical - Nonbillable"/>
    <s v="Coumadin Clinic"/>
    <x v="0"/>
    <m/>
    <n v="178.34"/>
    <n v="129.66999999999999"/>
    <n v="28.8"/>
    <n v="162.91999999999999"/>
    <n v="252.43"/>
    <n v="43.72"/>
    <n v="104.94"/>
    <n v="115.55"/>
    <n v="152.77000000000001"/>
    <n v="105.57"/>
    <n v="-296.89999999999998"/>
    <n v="66.010000000000005"/>
    <n v="1043.8200000000002"/>
    <n v="-362.90999999999997"/>
  </r>
  <r>
    <x v="11"/>
    <x v="0"/>
    <x v="0"/>
    <s v="5105102"/>
    <n v="721710"/>
    <s v="Supplies-Laboratory - Nonbillable"/>
    <s v="Coumadin Clinic"/>
    <x v="0"/>
    <m/>
    <n v="92.8"/>
    <n v="75.400000000000006"/>
    <n v="46.4"/>
    <n v="104.4"/>
    <n v="69.599999999999994"/>
    <n v="34.799999999999997"/>
    <n v="34.799999999999997"/>
    <n v="34.799999999999997"/>
    <n v="69.599999999999994"/>
    <n v="81.2"/>
    <n v="121.8"/>
    <n v="34.799999999999997"/>
    <n v="800.4"/>
    <n v="87"/>
  </r>
  <r>
    <x v="11"/>
    <x v="0"/>
    <x v="0"/>
    <s v="5105102"/>
    <n v="721835"/>
    <s v="Supplies-Forms"/>
    <s v="Coumadin Clinic"/>
    <x v="0"/>
    <m/>
    <n v="0"/>
    <n v="0"/>
    <n v="0"/>
    <n v="0"/>
    <n v="0"/>
    <n v="0.5"/>
    <n v="0"/>
    <n v="0"/>
    <n v="0"/>
    <n v="0"/>
    <n v="0"/>
    <n v="0"/>
    <n v="0.5"/>
    <n v="0"/>
  </r>
  <r>
    <x v="11"/>
    <x v="0"/>
    <x v="0"/>
    <s v="5105102"/>
    <n v="721870"/>
    <s v="Supplies-Environmental Services"/>
    <s v="Coumadin Clinic"/>
    <x v="0"/>
    <m/>
    <n v="172.86"/>
    <n v="146.72"/>
    <n v="57.62"/>
    <n v="138.85"/>
    <n v="149.22999999999999"/>
    <n v="68"/>
    <n v="57.61"/>
    <n v="57.62"/>
    <n v="129.25"/>
    <n v="117.91"/>
    <n v="129.25"/>
    <n v="48.02"/>
    <n v="1272.94"/>
    <n v="81.22999999999999"/>
  </r>
  <r>
    <x v="11"/>
    <x v="0"/>
    <x v="0"/>
    <s v="5105102"/>
    <n v="721910"/>
    <s v="Supplies-Small Equipment"/>
    <s v="Coumadin Clinic"/>
    <x v="0"/>
    <m/>
    <n v="1.28"/>
    <n v="2.56"/>
    <n v="0"/>
    <n v="10.4"/>
    <n v="1.36"/>
    <n v="5.44"/>
    <n v="3.4"/>
    <n v="6.8"/>
    <n v="11.76"/>
    <n v="0"/>
    <n v="4.08"/>
    <n v="6.8"/>
    <n v="53.879999999999995"/>
    <n v="-2.7199999999999998"/>
  </r>
  <r>
    <x v="11"/>
    <x v="0"/>
    <x v="0"/>
    <s v="5105102"/>
    <n v="723000"/>
    <s v="Supply Rebates/Patronage Dividend"/>
    <s v="Coumadin Clinic"/>
    <x v="0"/>
    <m/>
    <n v="0"/>
    <n v="0"/>
    <n v="-6.63"/>
    <n v="0"/>
    <n v="0"/>
    <n v="0"/>
    <n v="0"/>
    <n v="0"/>
    <n v="0"/>
    <n v="0"/>
    <n v="0"/>
    <n v="0"/>
    <n v="-6.63"/>
    <n v="0"/>
  </r>
  <r>
    <x v="12"/>
    <x v="0"/>
    <x v="0"/>
    <s v="5105102"/>
    <n v="730010"/>
    <s v="Rental and Leases-Building (DO NOT USE)"/>
    <s v="Coumadin Clinic"/>
    <x v="0"/>
    <m/>
    <n v="3491.12"/>
    <n v="4066.9"/>
    <n v="3564.08"/>
    <n v="4569.72"/>
    <n v="4066.9"/>
    <n v="-5783.8"/>
    <n v="2233.19"/>
    <n v="2233.19"/>
    <n v="2233.19"/>
    <n v="2233.19"/>
    <n v="2287.16"/>
    <n v="0"/>
    <n v="25194.84"/>
    <n v="2287.16"/>
  </r>
  <r>
    <x v="12"/>
    <x v="0"/>
    <x v="0"/>
    <s v="5105102"/>
    <n v="730010"/>
    <s v="Rental-Common Area Maint (DO NOT USE)"/>
    <s v="Coumadin Clinic"/>
    <x v="0"/>
    <n v="2200"/>
    <n v="0"/>
    <n v="0"/>
    <n v="0"/>
    <n v="0"/>
    <n v="0"/>
    <n v="9504.1299999999992"/>
    <n v="1487.14"/>
    <n v="1487.14"/>
    <n v="1384.56"/>
    <n v="1487.14"/>
    <n v="1487.14"/>
    <n v="0"/>
    <n v="16837.249999999996"/>
    <n v="1487.14"/>
  </r>
  <r>
    <x v="12"/>
    <x v="0"/>
    <x v="0"/>
    <s v="5105102"/>
    <n v="730020"/>
    <s v="Rental and Leases-Copier Usage Fees (DO NOT USE)"/>
    <s v="Coumadin Clinic"/>
    <x v="0"/>
    <n v="5100"/>
    <n v="160.71"/>
    <n v="161.57"/>
    <n v="161.13999999999999"/>
    <n v="161.13999999999999"/>
    <n v="161.13999999999999"/>
    <n v="161.13999999999999"/>
    <n v="5.44"/>
    <n v="102.48"/>
    <n v="119.48"/>
    <n v="248.85"/>
    <n v="102.48"/>
    <n v="102.48"/>
    <n v="1648.05"/>
    <n v="0"/>
  </r>
  <r>
    <x v="12"/>
    <x v="0"/>
    <x v="0"/>
    <s v="5105102"/>
    <n v="730040"/>
    <s v="LT Lease-Real Estate"/>
    <s v="Coumadin Clinic"/>
    <x v="0"/>
    <m/>
    <n v="0"/>
    <n v="0"/>
    <n v="0"/>
    <n v="0"/>
    <n v="0"/>
    <n v="0"/>
    <n v="0"/>
    <n v="0"/>
    <n v="0"/>
    <n v="0"/>
    <n v="0"/>
    <n v="3776.16"/>
    <n v="3776.16"/>
    <n v="-3776.16"/>
  </r>
  <r>
    <x v="15"/>
    <x v="0"/>
    <x v="0"/>
    <s v="5105102"/>
    <n v="731070"/>
    <s v="Cable TV"/>
    <s v="Coumadin Clinic"/>
    <x v="0"/>
    <m/>
    <n v="103.77"/>
    <n v="103.77"/>
    <n v="103.77"/>
    <n v="103.77"/>
    <n v="109.33"/>
    <n v="109.33"/>
    <n v="109.33"/>
    <n v="109.33"/>
    <n v="109.33"/>
    <n v="109.33"/>
    <n v="109.33"/>
    <n v="109.64"/>
    <n v="1290.0300000000002"/>
    <n v="-0.31000000000000227"/>
  </r>
  <r>
    <x v="0"/>
    <x v="0"/>
    <x v="0"/>
    <s v="5105102"/>
    <n v="740020"/>
    <s v="Education-Registration Fees"/>
    <s v="Coumadin Clinic"/>
    <x v="0"/>
    <m/>
    <n v="0"/>
    <n v="0"/>
    <n v="575"/>
    <n v="0"/>
    <n v="0"/>
    <n v="0"/>
    <n v="0"/>
    <n v="0"/>
    <n v="0"/>
    <n v="0"/>
    <n v="0"/>
    <n v="0"/>
    <n v="575"/>
    <n v="0"/>
  </r>
  <r>
    <x v="0"/>
    <x v="0"/>
    <x v="0"/>
    <s v="5105102"/>
    <n v="743020"/>
    <s v="Dues--Individual"/>
    <s v="Coumadin Clinic"/>
    <x v="0"/>
    <m/>
    <n v="0"/>
    <n v="0"/>
    <n v="270"/>
    <n v="0"/>
    <n v="0"/>
    <n v="0"/>
    <n v="0"/>
    <n v="0"/>
    <n v="0"/>
    <n v="0"/>
    <n v="0"/>
    <n v="0"/>
    <n v="270"/>
    <n v="0"/>
  </r>
  <r>
    <x v="0"/>
    <x v="0"/>
    <x v="0"/>
    <s v="5105102"/>
    <n v="749510"/>
    <s v="Miscellaneous Expenses"/>
    <s v="Coumadin Clinic"/>
    <x v="0"/>
    <m/>
    <n v="0"/>
    <n v="0"/>
    <n v="0"/>
    <n v="0"/>
    <n v="0"/>
    <n v="0"/>
    <n v="0"/>
    <n v="0"/>
    <n v="0"/>
    <n v="0"/>
    <n v="0"/>
    <n v="0"/>
    <n v="0"/>
    <n v="0"/>
  </r>
  <r>
    <x v="18"/>
    <x v="4"/>
    <x v="0"/>
    <s v="5105103"/>
    <n v="400010"/>
    <s v="Acute I/P Svcs Rev--Medicare"/>
    <s v="Coumadin Clinic"/>
    <x v="0"/>
    <n v="1100"/>
    <n v="0"/>
    <n v="-234.48"/>
    <n v="-234.48"/>
    <n v="-468.96"/>
    <n v="0"/>
    <n v="0"/>
    <n v="-234.48"/>
    <n v="-159"/>
    <n v="-725.67"/>
    <n v="-241.89"/>
    <n v="0"/>
    <n v="-241.89"/>
    <n v="-2540.8499999999995"/>
    <n v="241.89"/>
  </r>
  <r>
    <x v="19"/>
    <x v="4"/>
    <x v="0"/>
    <s v="5105103"/>
    <n v="400020"/>
    <s v="O/P Care Svcs Rev--Medicare"/>
    <s v="Coumadin Clinic"/>
    <x v="0"/>
    <n v="1100"/>
    <n v="-219023.39"/>
    <n v="-220843.26"/>
    <n v="-190341.58"/>
    <n v="-225772.08"/>
    <n v="-187438.48"/>
    <n v="-182113.38"/>
    <n v="-210209.76"/>
    <n v="-168207.94"/>
    <n v="-189730.3"/>
    <n v="-195321.78"/>
    <n v="-209433.07"/>
    <n v="-173363.87"/>
    <n v="-2371798.89"/>
    <n v="-36069.200000000012"/>
  </r>
  <r>
    <x v="19"/>
    <x v="4"/>
    <x v="0"/>
    <s v="5105103"/>
    <n v="400020"/>
    <s v="O/P Care Svcs Rev--Medicaid"/>
    <s v="Coumadin Clinic"/>
    <x v="0"/>
    <n v="1200"/>
    <n v="-25689.15"/>
    <n v="-24914.880000000001"/>
    <n v="-21993.200000000001"/>
    <n v="-28952.639999999999"/>
    <n v="-19326.080000000002"/>
    <n v="-19487.84"/>
    <n v="-20124.32"/>
    <n v="-19087.82"/>
    <n v="-26917.1"/>
    <n v="-29094.91"/>
    <n v="-29274.799999999999"/>
    <n v="-25785.23"/>
    <n v="-290647.97000000003"/>
    <n v="-3489.5699999999997"/>
  </r>
  <r>
    <x v="19"/>
    <x v="4"/>
    <x v="0"/>
    <s v="5105103"/>
    <n v="400020"/>
    <s v="O/P Care Svcs Rev--Comm Insurance"/>
    <s v="Coumadin Clinic"/>
    <x v="0"/>
    <n v="1300"/>
    <n v="-3751.68"/>
    <n v="-4669.12"/>
    <n v="-4984.08"/>
    <n v="-5372.56"/>
    <n v="-3356.24"/>
    <n v="-2579.2800000000002"/>
    <n v="-3517.2"/>
    <n v="-1935.12"/>
    <n v="-1209.45"/>
    <n v="-2418.9"/>
    <n v="-4236.13"/>
    <n v="-2418.9"/>
    <n v="-40448.659999999996"/>
    <n v="-1817.23"/>
  </r>
  <r>
    <x v="19"/>
    <x v="4"/>
    <x v="0"/>
    <s v="5105103"/>
    <n v="400020"/>
    <s v="O/P Care Svcs Rev--BCBS Comm"/>
    <s v="Coumadin Clinic"/>
    <x v="0"/>
    <n v="1301"/>
    <n v="-9287.89"/>
    <n v="-10551.6"/>
    <n v="-9848.16"/>
    <n v="-10317.120000000001"/>
    <n v="-9218.24"/>
    <n v="-8621.2800000000007"/>
    <n v="-9519.68"/>
    <n v="-8509.67"/>
    <n v="-10947.05"/>
    <n v="-10885.05"/>
    <n v="-9433.7099999999991"/>
    <n v="-8216.85"/>
    <n v="-115356.30000000002"/>
    <n v="-1216.8599999999988"/>
  </r>
  <r>
    <x v="19"/>
    <x v="4"/>
    <x v="0"/>
    <s v="5105103"/>
    <n v="400020"/>
    <s v="O/P Care Svcs Rev--Managed Care"/>
    <s v="Coumadin Clinic"/>
    <x v="0"/>
    <n v="1400"/>
    <n v="-23490.21"/>
    <n v="-21142.720000000001"/>
    <n v="-19042.05"/>
    <n v="-21786.16"/>
    <n v="-16274.12"/>
    <n v="-15864.16"/>
    <n v="-22455.599999999999"/>
    <n v="-19550.669999999998"/>
    <n v="-19004.900000000001"/>
    <n v="-18058.86"/>
    <n v="-19088.419999999998"/>
    <n v="-18687.53"/>
    <n v="-234445.4"/>
    <n v="-400.88999999999942"/>
  </r>
  <r>
    <x v="19"/>
    <x v="4"/>
    <x v="0"/>
    <s v="5105103"/>
    <n v="400020"/>
    <s v="O/P Care Svcs Rev--Self Pay"/>
    <s v="Coumadin Clinic"/>
    <x v="0"/>
    <n v="1500"/>
    <n v="-4749.6000000000004"/>
    <n v="-3811.68"/>
    <n v="-3037.41"/>
    <n v="-2110.3200000000002"/>
    <n v="-2546.9699999999998"/>
    <n v="-3282.72"/>
    <n v="-3811.68"/>
    <n v="-3862.83"/>
    <n v="-4174.13"/>
    <n v="-4174.13"/>
    <n v="-4416.0200000000004"/>
    <n v="-3386.46"/>
    <n v="-43363.950000000004"/>
    <n v="-1029.5600000000004"/>
  </r>
  <r>
    <x v="19"/>
    <x v="4"/>
    <x v="0"/>
    <s v="5105103"/>
    <n v="400020"/>
    <s v="O/P Care Svcs Rev--Other"/>
    <s v="Coumadin Clinic"/>
    <x v="0"/>
    <n v="1700"/>
    <n v="-2344.8000000000002"/>
    <n v="-2110.3200000000002"/>
    <n v="-3342.72"/>
    <n v="-1406.88"/>
    <n v="-1213.71"/>
    <n v="-2212.46"/>
    <n v="-3202.24"/>
    <n v="-3994.24"/>
    <n v="-3628.35"/>
    <n v="-3870.24"/>
    <n v="-3932.24"/>
    <n v="-4319.0200000000004"/>
    <n v="-35577.22"/>
    <n v="386.78000000000065"/>
  </r>
  <r>
    <x v="5"/>
    <x v="4"/>
    <x v="0"/>
    <s v="5105103"/>
    <n v="700018"/>
    <s v="Salaries-Supervisory-Productive"/>
    <s v="Coumadin Clinic"/>
    <x v="0"/>
    <m/>
    <n v="0"/>
    <n v="0"/>
    <n v="0"/>
    <n v="0"/>
    <n v="1537.08"/>
    <n v="2136.9899999999998"/>
    <n v="2140.0100000000002"/>
    <n v="-37.46"/>
    <n v="3003.58"/>
    <n v="1426.7"/>
    <n v="2290.25"/>
    <n v="2327.89"/>
    <n v="14825.04"/>
    <n v="-37.639999999999873"/>
  </r>
  <r>
    <x v="5"/>
    <x v="4"/>
    <x v="0"/>
    <s v="5105103"/>
    <n v="700032"/>
    <s v="Salaries-Other Pat Care Providers-Productive"/>
    <s v="Coumadin Clinic"/>
    <x v="0"/>
    <m/>
    <n v="35328.980000000003"/>
    <n v="33132.480000000003"/>
    <n v="34940.370000000003"/>
    <n v="39134.75"/>
    <n v="34731.46"/>
    <n v="28641.21"/>
    <n v="34613.06"/>
    <n v="28463.25"/>
    <n v="36084.18"/>
    <n v="32989.629999999997"/>
    <n v="32839.870000000003"/>
    <n v="31421.82"/>
    <n v="402321.06"/>
    <n v="1418.0500000000029"/>
  </r>
  <r>
    <x v="5"/>
    <x v="4"/>
    <x v="0"/>
    <s v="5105103"/>
    <n v="700032"/>
    <s v="Salaries-Other Pat Care Providers-OT"/>
    <s v="Coumadin Clinic"/>
    <x v="0"/>
    <n v="1000"/>
    <n v="0"/>
    <n v="131.97"/>
    <n v="218.1"/>
    <n v="261.04000000000002"/>
    <n v="666.7"/>
    <n v="118.19"/>
    <n v="20.57"/>
    <n v="0"/>
    <n v="162.94"/>
    <n v="149.65"/>
    <n v="117.81"/>
    <n v="100.51"/>
    <n v="1947.48"/>
    <n v="17.299999999999997"/>
  </r>
  <r>
    <x v="5"/>
    <x v="4"/>
    <x v="0"/>
    <s v="5105103"/>
    <n v="700032"/>
    <s v="Salaries-Other Pat Care Providers-Other"/>
    <s v="Coumadin Clinic"/>
    <x v="0"/>
    <n v="2000"/>
    <n v="37.17"/>
    <n v="43.46"/>
    <n v="63.5"/>
    <n v="12.81"/>
    <n v="-13.94"/>
    <n v="0"/>
    <n v="0"/>
    <n v="28.34"/>
    <n v="95.69"/>
    <n v="26.71"/>
    <n v="39.049999999999997"/>
    <n v="7.56"/>
    <n v="340.34999999999997"/>
    <n v="31.49"/>
  </r>
  <r>
    <x v="5"/>
    <x v="4"/>
    <x v="0"/>
    <s v="5105103"/>
    <n v="700038"/>
    <s v="Salaries-Service/Support-Productive"/>
    <s v="Coumadin Clinic"/>
    <x v="0"/>
    <m/>
    <n v="1056.43"/>
    <n v="897.45"/>
    <n v="519.75"/>
    <n v="440.32"/>
    <n v="693.81"/>
    <n v="35.32"/>
    <n v="553.52"/>
    <n v="388.64"/>
    <n v="141.33000000000001"/>
    <n v="188.43"/>
    <n v="212.01"/>
    <n v="0"/>
    <n v="5127.0100000000011"/>
    <n v="212.01"/>
  </r>
  <r>
    <x v="6"/>
    <x v="4"/>
    <x v="0"/>
    <s v="5105103"/>
    <n v="713010"/>
    <s v="Benefits-FICA/Medicare"/>
    <s v="Coumadin Clinic"/>
    <x v="0"/>
    <m/>
    <n v="2718.15"/>
    <n v="2561.0700000000002"/>
    <n v="2660.4"/>
    <n v="2979.05"/>
    <n v="1925.92"/>
    <n v="1590.05"/>
    <n v="2780.89"/>
    <n v="2141.92"/>
    <n v="2981.99"/>
    <n v="2596.81"/>
    <n v="2660.73"/>
    <n v="2534.7399999999998"/>
    <n v="30131.72"/>
    <n v="125.99000000000024"/>
  </r>
  <r>
    <x v="6"/>
    <x v="4"/>
    <x v="0"/>
    <s v="5105103"/>
    <n v="713090"/>
    <s v="Benefits-Allocated Amounts"/>
    <s v="Coumadin Clinic"/>
    <x v="0"/>
    <m/>
    <n v="5669.44"/>
    <n v="4414.6000000000004"/>
    <n v="4677.18"/>
    <n v="5056.1099999999997"/>
    <n v="4880.63"/>
    <n v="3734.8"/>
    <n v="5086.8"/>
    <n v="4021.7"/>
    <n v="4944.41"/>
    <n v="4828.43"/>
    <n v="4765.6000000000004"/>
    <n v="4946"/>
    <n v="57025.7"/>
    <n v="-180.39999999999964"/>
  </r>
  <r>
    <x v="7"/>
    <x v="4"/>
    <x v="0"/>
    <s v="5105103"/>
    <n v="718050"/>
    <s v="Miscellaneous Purchased Svcs"/>
    <s v="Coumadin Clinic"/>
    <x v="0"/>
    <n v="1020"/>
    <n v="0"/>
    <n v="32"/>
    <n v="0"/>
    <n v="0"/>
    <n v="0"/>
    <n v="0"/>
    <n v="0"/>
    <n v="0"/>
    <n v="0"/>
    <n v="375"/>
    <n v="56"/>
    <n v="0"/>
    <n v="463"/>
    <n v="56"/>
  </r>
  <r>
    <x v="7"/>
    <x v="4"/>
    <x v="0"/>
    <s v="5105103"/>
    <n v="718050"/>
    <s v="Translation Services"/>
    <s v="Coumadin Clinic"/>
    <x v="0"/>
    <n v="1025"/>
    <n v="211.41"/>
    <n v="55.89"/>
    <n v="22.68"/>
    <n v="18.170000000000002"/>
    <n v="145.36000000000001"/>
    <n v="0"/>
    <n v="53.72"/>
    <n v="0"/>
    <n v="105.63"/>
    <n v="194.34"/>
    <n v="0"/>
    <n v="0"/>
    <n v="807.2"/>
    <n v="0"/>
  </r>
  <r>
    <x v="7"/>
    <x v="4"/>
    <x v="0"/>
    <s v="5105103"/>
    <n v="718091"/>
    <s v="Contract Services-Intracompany Allocation"/>
    <s v="Coumadin Clinic"/>
    <x v="0"/>
    <m/>
    <n v="615.72"/>
    <n v="598.26"/>
    <n v="586.84"/>
    <n v="604.04999999999995"/>
    <n v="632.67999999999995"/>
    <n v="524.72"/>
    <n v="655.76"/>
    <n v="580.07000000000005"/>
    <n v="650.92999999999995"/>
    <n v="575.80999999999995"/>
    <n v="700.85"/>
    <n v="591.62"/>
    <n v="7317.31"/>
    <n v="109.23000000000002"/>
  </r>
  <r>
    <x v="11"/>
    <x v="4"/>
    <x v="0"/>
    <s v="5105103"/>
    <n v="721250"/>
    <s v="Supplies-Pharmacy Drugs - Billable"/>
    <s v="Coumadin Clinic"/>
    <x v="0"/>
    <m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5105103"/>
    <n v="721250"/>
    <s v="OP Pharmacy Drugs"/>
    <s v="Coumadin Clinic"/>
    <x v="0"/>
    <n v="1002"/>
    <n v="4772.82"/>
    <n v="4775.34"/>
    <n v="4775.34"/>
    <n v="4775.34"/>
    <n v="4237.6499999999996"/>
    <n v="4237.6499999999996"/>
    <n v="0"/>
    <n v="4244.1499999999996"/>
    <n v="4244.1499999999996"/>
    <n v="4244.1499999999996"/>
    <n v="4244.1499999999996"/>
    <n v="0"/>
    <n v="44550.740000000005"/>
    <n v="4244.1499999999996"/>
  </r>
  <r>
    <x v="11"/>
    <x v="4"/>
    <x v="0"/>
    <s v="5105103"/>
    <n v="721410"/>
    <s v="Supplies-Medical - Nonbillable"/>
    <s v="Coumadin Clinic"/>
    <x v="0"/>
    <m/>
    <n v="120.09"/>
    <n v="124.27"/>
    <n v="109.54"/>
    <n v="180.8"/>
    <n v="140.08000000000001"/>
    <n v="118.61"/>
    <n v="103.99"/>
    <n v="116.87"/>
    <n v="75.09"/>
    <n v="192.78"/>
    <n v="57.66"/>
    <n v="111.32"/>
    <n v="1451.1000000000001"/>
    <n v="-53.66"/>
  </r>
  <r>
    <x v="11"/>
    <x v="4"/>
    <x v="0"/>
    <s v="5105103"/>
    <n v="721710"/>
    <s v="Supplies-Laboratory - Nonbillable"/>
    <s v="Coumadin Clinic"/>
    <x v="0"/>
    <m/>
    <n v="58.46"/>
    <n v="75.400000000000006"/>
    <n v="52.2"/>
    <n v="81.2"/>
    <n v="69.599999999999994"/>
    <n v="46.4"/>
    <n v="81.2"/>
    <n v="69.599999999999994"/>
    <n v="46.4"/>
    <n v="92.8"/>
    <n v="46.4"/>
    <n v="81.2"/>
    <n v="800.8599999999999"/>
    <n v="-34.800000000000004"/>
  </r>
  <r>
    <x v="11"/>
    <x v="4"/>
    <x v="0"/>
    <s v="5105103"/>
    <n v="721830"/>
    <s v="Supplies-Office"/>
    <s v="Coumadin Clinic"/>
    <x v="0"/>
    <m/>
    <n v="111.27"/>
    <n v="0"/>
    <n v="0"/>
    <n v="0"/>
    <n v="0"/>
    <n v="79.45"/>
    <n v="0"/>
    <n v="34.4"/>
    <n v="0"/>
    <n v="63.72"/>
    <n v="0"/>
    <n v="63.72"/>
    <n v="352.56000000000006"/>
    <n v="-63.72"/>
  </r>
  <r>
    <x v="11"/>
    <x v="4"/>
    <x v="0"/>
    <s v="5105103"/>
    <n v="721835"/>
    <s v="Supplies-Forms"/>
    <s v="Coumadin Clinic"/>
    <x v="0"/>
    <m/>
    <n v="0"/>
    <n v="0"/>
    <n v="0"/>
    <n v="0"/>
    <n v="0"/>
    <n v="0.5"/>
    <n v="0"/>
    <n v="0"/>
    <n v="0"/>
    <n v="0"/>
    <n v="0"/>
    <n v="0"/>
    <n v="0.5"/>
    <n v="0"/>
  </r>
  <r>
    <x v="11"/>
    <x v="4"/>
    <x v="0"/>
    <s v="5105103"/>
    <n v="721870"/>
    <s v="Supplies-Environmental Services"/>
    <s v="Coumadin Clinic"/>
    <x v="0"/>
    <m/>
    <n v="101.82"/>
    <n v="111.43"/>
    <n v="48.02"/>
    <n v="100.82"/>
    <n v="82.6"/>
    <n v="9.6"/>
    <n v="101.82"/>
    <n v="87.42"/>
    <n v="48.02"/>
    <n v="96.04"/>
    <n v="19.21"/>
    <n v="106.63"/>
    <n v="913.42999999999984"/>
    <n v="-87.419999999999987"/>
  </r>
  <r>
    <x v="11"/>
    <x v="4"/>
    <x v="0"/>
    <s v="5105103"/>
    <n v="721910"/>
    <s v="Supplies-Small Equipment"/>
    <s v="Coumadin Clinic"/>
    <x v="0"/>
    <m/>
    <n v="3.84"/>
    <n v="0"/>
    <n v="0"/>
    <n v="3.84"/>
    <n v="2.04"/>
    <n v="2.04"/>
    <n v="4.08"/>
    <n v="0"/>
    <n v="0"/>
    <n v="8.16"/>
    <n v="0"/>
    <n v="4.08"/>
    <n v="28.08"/>
    <n v="-4.08"/>
  </r>
  <r>
    <x v="12"/>
    <x v="4"/>
    <x v="0"/>
    <s v="5105103"/>
    <n v="730010"/>
    <s v="Rental and Leases-Building (DO NOT USE)"/>
    <s v="Coumadin Clinic"/>
    <x v="0"/>
    <m/>
    <n v="3866.16"/>
    <n v="3866.16"/>
    <n v="3866.16"/>
    <n v="3866.16"/>
    <n v="3866.16"/>
    <n v="-6483.24"/>
    <n v="2141.2600000000002"/>
    <n v="2141.2600000000002"/>
    <n v="2065.21"/>
    <n v="2177.52"/>
    <n v="2194.79"/>
    <n v="0"/>
    <n v="23567.600000000002"/>
    <n v="2194.79"/>
  </r>
  <r>
    <x v="12"/>
    <x v="4"/>
    <x v="0"/>
    <s v="5105103"/>
    <n v="730010"/>
    <s v="Rental-Common Area Maint (DO NOT USE)"/>
    <s v="Coumadin Clinic"/>
    <x v="0"/>
    <n v="2200"/>
    <n v="0"/>
    <n v="0"/>
    <n v="0"/>
    <n v="0"/>
    <n v="0"/>
    <n v="10389.64"/>
    <n v="1765.14"/>
    <n v="1765.14"/>
    <n v="-40.630000000000003"/>
    <n v="1765.14"/>
    <n v="1765.14"/>
    <n v="0"/>
    <n v="17409.57"/>
    <n v="1765.14"/>
  </r>
  <r>
    <x v="12"/>
    <x v="4"/>
    <x v="0"/>
    <s v="5105103"/>
    <n v="730020"/>
    <s v="Rental and Leases-Copier Usage Fees (DO NOT USE)"/>
    <s v="Coumadin Clinic"/>
    <x v="0"/>
    <n v="5100"/>
    <n v="463.39"/>
    <n v="471.74"/>
    <n v="467.56"/>
    <n v="467.56"/>
    <n v="467.56"/>
    <n v="467.56"/>
    <n v="89.78"/>
    <n v="404.18"/>
    <n v="420.45"/>
    <n v="525.28"/>
    <n v="501.88"/>
    <n v="443.36"/>
    <n v="5190.2999999999993"/>
    <n v="58.519999999999982"/>
  </r>
  <r>
    <x v="12"/>
    <x v="4"/>
    <x v="0"/>
    <s v="5105103"/>
    <n v="730040"/>
    <s v="LT Lease-Real Estate"/>
    <s v="Coumadin Clinic"/>
    <x v="0"/>
    <m/>
    <n v="0"/>
    <n v="0"/>
    <n v="0"/>
    <n v="0"/>
    <n v="0"/>
    <n v="0"/>
    <n v="0"/>
    <n v="0"/>
    <n v="0"/>
    <n v="0"/>
    <n v="0"/>
    <n v="3959.93"/>
    <n v="3959.93"/>
    <n v="-3959.93"/>
  </r>
  <r>
    <x v="15"/>
    <x v="4"/>
    <x v="0"/>
    <s v="5105103"/>
    <n v="731070"/>
    <s v="Cable TV"/>
    <s v="Coumadin Clinic"/>
    <x v="0"/>
    <m/>
    <n v="101.45"/>
    <n v="101.45"/>
    <n v="101.45"/>
    <n v="111.43"/>
    <n v="107.2"/>
    <n v="107.2"/>
    <n v="107.2"/>
    <n v="107.2"/>
    <n v="107.2"/>
    <n v="107.2"/>
    <n v="107.39"/>
    <n v="107.39"/>
    <n v="1273.7600000000004"/>
    <n v="0"/>
  </r>
  <r>
    <x v="0"/>
    <x v="4"/>
    <x v="0"/>
    <s v="5105103"/>
    <n v="749510"/>
    <s v="Licenses"/>
    <s v="Coumadin Clinic"/>
    <x v="0"/>
    <n v="1002"/>
    <n v="0"/>
    <n v="0"/>
    <n v="0"/>
    <n v="0"/>
    <n v="0"/>
    <n v="0"/>
    <n v="0"/>
    <n v="0"/>
    <n v="790"/>
    <n v="150"/>
    <n v="0"/>
    <n v="0"/>
    <n v="940"/>
    <n v="0"/>
  </r>
  <r>
    <x v="18"/>
    <x v="8"/>
    <x v="0"/>
    <s v="5105104"/>
    <n v="400010"/>
    <s v="Acute I/P Svcs Rev--Medicare"/>
    <s v="Coumadin Clinic"/>
    <x v="0"/>
    <n v="1100"/>
    <n v="-234.48"/>
    <n v="0"/>
    <n v="0"/>
    <n v="-234.48"/>
    <n v="-154"/>
    <n v="0"/>
    <n v="-234.48"/>
    <n v="-476.37"/>
    <n v="-241.89"/>
    <n v="0"/>
    <n v="-483.78"/>
    <n v="-241.89"/>
    <n v="-2301.3699999999994"/>
    <n v="-241.89"/>
  </r>
  <r>
    <x v="19"/>
    <x v="8"/>
    <x v="0"/>
    <s v="5105104"/>
    <n v="400020"/>
    <s v="O/P Care Svcs Rev--Medicare"/>
    <s v="Coumadin Clinic"/>
    <x v="0"/>
    <n v="1100"/>
    <n v="-109815.24"/>
    <n v="-129337.52"/>
    <n v="-121732.8"/>
    <n v="-138654.48000000001"/>
    <n v="-117343.44"/>
    <n v="-102140.53"/>
    <n v="-124713.65"/>
    <n v="-104280.92"/>
    <n v="-112844.74"/>
    <n v="-114496.19"/>
    <n v="-125448.48"/>
    <n v="-106244.26"/>
    <n v="-1407052.25"/>
    <n v="-19204.22"/>
  </r>
  <r>
    <x v="19"/>
    <x v="8"/>
    <x v="0"/>
    <s v="5105104"/>
    <n v="400020"/>
    <s v="O/P Care Svcs Rev--Medicaid"/>
    <s v="Coumadin Clinic"/>
    <x v="0"/>
    <n v="1200"/>
    <n v="-5312.56"/>
    <n v="-6397.48"/>
    <n v="-5138.08"/>
    <n v="-8105.84"/>
    <n v="-6544.96"/>
    <n v="-3293.55"/>
    <n v="-4123.6000000000004"/>
    <n v="-5542.58"/>
    <n v="-4354.0200000000004"/>
    <n v="-5991.36"/>
    <n v="-8708.0400000000009"/>
    <n v="-5805.36"/>
    <n v="-69317.429999999993"/>
    <n v="-2902.6800000000012"/>
  </r>
  <r>
    <x v="19"/>
    <x v="8"/>
    <x v="0"/>
    <s v="5105104"/>
    <n v="400020"/>
    <s v="O/P Care Svcs Rev--Comm Insurance"/>
    <s v="Coumadin Clinic"/>
    <x v="0"/>
    <n v="1300"/>
    <n v="-1875.84"/>
    <n v="-1875.84"/>
    <n v="-1406.88"/>
    <n v="-1935.84"/>
    <n v="-1091.92"/>
    <n v="-1641.36"/>
    <n v="-2121.15"/>
    <n v="-1693.23"/>
    <n v="-5058.8"/>
    <n v="-4354.0200000000004"/>
    <n v="-3386.46"/>
    <n v="-1693.23"/>
    <n v="-28134.57"/>
    <n v="-1693.23"/>
  </r>
  <r>
    <x v="19"/>
    <x v="8"/>
    <x v="0"/>
    <s v="5105104"/>
    <n v="400020"/>
    <s v="O/P Care Svcs Rev--BCBS Comm"/>
    <s v="Coumadin Clinic"/>
    <x v="0"/>
    <n v="1301"/>
    <n v="-5285.08"/>
    <n v="-6799.92"/>
    <n v="-3751.68"/>
    <n v="-5453.04"/>
    <n v="-6404.48"/>
    <n v="-5922"/>
    <n v="-6531.44"/>
    <n v="-5779.47"/>
    <n v="-6351.14"/>
    <n v="-6047.25"/>
    <n v="-5274.56"/>
    <n v="-4657.91"/>
    <n v="-68257.97"/>
    <n v="-616.65000000000055"/>
  </r>
  <r>
    <x v="19"/>
    <x v="8"/>
    <x v="0"/>
    <s v="5105104"/>
    <n v="400020"/>
    <s v="O/P Care Svcs Rev--Managed Care"/>
    <s v="Coumadin Clinic"/>
    <x v="0"/>
    <n v="1400"/>
    <n v="-10390.64"/>
    <n v="-11623.04"/>
    <n v="-9043.76"/>
    <n v="-11777.04"/>
    <n v="-10825.6"/>
    <n v="-10142.64"/>
    <n v="-10786.08"/>
    <n v="-9075.6299999999992"/>
    <n v="-12481.28"/>
    <n v="-11099.27"/>
    <n v="-11610.72"/>
    <n v="-8466.15"/>
    <n v="-127321.85"/>
    <n v="-3144.5699999999997"/>
  </r>
  <r>
    <x v="19"/>
    <x v="8"/>
    <x v="0"/>
    <s v="5105104"/>
    <n v="400020"/>
    <s v="O/P Care Svcs Rev--Self Pay"/>
    <s v="Coumadin Clinic"/>
    <x v="0"/>
    <n v="1500"/>
    <n v="-234.48"/>
    <n v="-556.44000000000005"/>
    <n v="-468.96"/>
    <n v="-1232.4000000000001"/>
    <n v="-1091.92"/>
    <n v="-1172.4000000000001"/>
    <n v="-1172.4000000000001"/>
    <n v="-740.49"/>
    <n v="-2177.0100000000002"/>
    <n v="-967.56"/>
    <n v="-1112.45"/>
    <n v="-4029.24"/>
    <n v="-14955.75"/>
    <n v="2916.79"/>
  </r>
  <r>
    <x v="19"/>
    <x v="8"/>
    <x v="0"/>
    <s v="5105104"/>
    <n v="400020"/>
    <s v="O/P Care Svcs Rev--Other"/>
    <s v="Coumadin Clinic"/>
    <x v="0"/>
    <n v="1700"/>
    <n v="-1172.4000000000001"/>
    <n v="-1172.4000000000001"/>
    <n v="-1172.4000000000001"/>
    <n v="-1406.88"/>
    <n v="-2089.84"/>
    <n v="-1641.36"/>
    <n v="-2813.76"/>
    <n v="-2660.79"/>
    <n v="-2660.79"/>
    <n v="-3144.57"/>
    <n v="-3628.35"/>
    <n v="-3932.24"/>
    <n v="-27495.78"/>
    <n v="303.88999999999987"/>
  </r>
  <r>
    <x v="5"/>
    <x v="8"/>
    <x v="0"/>
    <s v="5105104"/>
    <n v="700018"/>
    <s v="Salaries-Supervisory-Productive"/>
    <s v="Coumadin Clinic"/>
    <x v="0"/>
    <m/>
    <n v="0"/>
    <n v="0"/>
    <n v="0"/>
    <n v="0"/>
    <n v="2549.29"/>
    <n v="-974.68"/>
    <n v="1764.61"/>
    <n v="-187.7"/>
    <n v="1877.25"/>
    <n v="1802.21"/>
    <n v="2064.9699999999998"/>
    <n v="600.75"/>
    <n v="9496.7000000000007"/>
    <n v="1464.2199999999998"/>
  </r>
  <r>
    <x v="5"/>
    <x v="8"/>
    <x v="0"/>
    <s v="5105104"/>
    <n v="700032"/>
    <s v="Salaries-Other Pat Care Providers-Productive"/>
    <s v="Coumadin Clinic"/>
    <x v="0"/>
    <m/>
    <n v="14852.37"/>
    <n v="16086.76"/>
    <n v="16435.29"/>
    <n v="20793.04"/>
    <n v="14547.19"/>
    <n v="15846.15"/>
    <n v="16165.32"/>
    <n v="15905.82"/>
    <n v="15573.07"/>
    <n v="16152.5"/>
    <n v="17017.91"/>
    <n v="16078.8"/>
    <n v="195454.22"/>
    <n v="939.11000000000058"/>
  </r>
  <r>
    <x v="5"/>
    <x v="8"/>
    <x v="0"/>
    <s v="5105104"/>
    <n v="700032"/>
    <s v="Salaries-Other Pat Care Providers-OT"/>
    <s v="Coumadin Clinic"/>
    <x v="0"/>
    <n v="1000"/>
    <n v="0"/>
    <n v="21.36"/>
    <n v="71.48"/>
    <n v="524.74"/>
    <n v="284.43"/>
    <n v="265.10000000000002"/>
    <n v="100.02"/>
    <n v="29.96"/>
    <n v="39.4"/>
    <n v="87.78"/>
    <n v="258.33"/>
    <n v="268.45"/>
    <n v="1951.0500000000002"/>
    <n v="-10.120000000000005"/>
  </r>
  <r>
    <x v="5"/>
    <x v="8"/>
    <x v="0"/>
    <s v="5105104"/>
    <n v="700032"/>
    <s v="Salaries-Other Pat Care Providers-Other"/>
    <s v="Coumadin Clinic"/>
    <x v="0"/>
    <n v="2000"/>
    <n v="155.27000000000001"/>
    <n v="137.11000000000001"/>
    <n v="112.83"/>
    <n v="173.6"/>
    <n v="82.39"/>
    <n v="123.25"/>
    <n v="135.19"/>
    <n v="117.11"/>
    <n v="125.79"/>
    <n v="144.46"/>
    <n v="148.27000000000001"/>
    <n v="141.51"/>
    <n v="1596.7799999999997"/>
    <n v="6.7600000000000193"/>
  </r>
  <r>
    <x v="5"/>
    <x v="8"/>
    <x v="0"/>
    <s v="5105104"/>
    <n v="700038"/>
    <s v="Salaries-Service/Support-Productive"/>
    <s v="Coumadin Clinic"/>
    <x v="0"/>
    <m/>
    <n v="352.14"/>
    <n v="352.16"/>
    <n v="340.81"/>
    <n v="203.12"/>
    <n v="968.71"/>
    <n v="-305.73"/>
    <n v="388.63"/>
    <n v="270.89"/>
    <n v="0"/>
    <n v="0"/>
    <n v="164.88"/>
    <n v="467.77"/>
    <n v="3203.38"/>
    <n v="-302.89"/>
  </r>
  <r>
    <x v="6"/>
    <x v="8"/>
    <x v="0"/>
    <s v="5105104"/>
    <n v="713010"/>
    <s v="Benefits-FICA/Medicare"/>
    <s v="Coumadin Clinic"/>
    <x v="0"/>
    <m/>
    <n v="1146.79"/>
    <n v="1240.77"/>
    <n v="1265.1500000000001"/>
    <n v="1625.46"/>
    <n v="1353.86"/>
    <n v="1127.8399999999999"/>
    <n v="1384.28"/>
    <n v="1198.72"/>
    <n v="1332.86"/>
    <n v="1359.91"/>
    <n v="1475.21"/>
    <n v="1314.35"/>
    <n v="15825.199999999999"/>
    <n v="160.86000000000013"/>
  </r>
  <r>
    <x v="6"/>
    <x v="8"/>
    <x v="0"/>
    <s v="5105104"/>
    <n v="713090"/>
    <s v="Benefits-Allocated Amounts"/>
    <s v="Coumadin Clinic"/>
    <x v="0"/>
    <m/>
    <n v="2417.52"/>
    <n v="2195.64"/>
    <n v="2478.29"/>
    <n v="3039.49"/>
    <n v="2559.2199999999998"/>
    <n v="1842.78"/>
    <n v="2636.05"/>
    <n v="2493.5300000000002"/>
    <n v="2313.4"/>
    <n v="2821.95"/>
    <n v="2784.03"/>
    <n v="2580.0700000000002"/>
    <n v="30161.969999999998"/>
    <n v="203.96000000000004"/>
  </r>
  <r>
    <x v="7"/>
    <x v="8"/>
    <x v="0"/>
    <s v="5105104"/>
    <n v="718050"/>
    <s v="Miscellaneous Purchased Svcs"/>
    <s v="Coumadin Clinic"/>
    <x v="0"/>
    <n v="1020"/>
    <n v="0"/>
    <n v="176.1"/>
    <n v="35.22"/>
    <n v="35.22"/>
    <n v="35.22"/>
    <n v="0"/>
    <n v="70.44"/>
    <n v="67.22"/>
    <n v="35.22"/>
    <n v="35.22"/>
    <n v="35.22"/>
    <n v="35.22"/>
    <n v="560.30000000000007"/>
    <n v="0"/>
  </r>
  <r>
    <x v="11"/>
    <x v="8"/>
    <x v="0"/>
    <s v="5105104"/>
    <n v="721250"/>
    <s v="Supplies-Pharmacy Drugs - Billable"/>
    <s v="Coumadin Clinic"/>
    <x v="0"/>
    <m/>
    <n v="1018.74"/>
    <n v="0"/>
    <n v="0"/>
    <n v="0"/>
    <n v="0"/>
    <n v="0"/>
    <n v="0"/>
    <n v="0"/>
    <n v="0"/>
    <n v="0"/>
    <n v="0"/>
    <n v="0"/>
    <n v="1018.74"/>
    <n v="0"/>
  </r>
  <r>
    <x v="11"/>
    <x v="8"/>
    <x v="0"/>
    <s v="5105104"/>
    <n v="721250"/>
    <s v="OP Pharmacy Drugs"/>
    <s v="Coumadin Clinic"/>
    <x v="0"/>
    <n v="1002"/>
    <n v="2537.5"/>
    <n v="2538.85"/>
    <n v="2538.85"/>
    <n v="2217.79"/>
    <n v="2538.85"/>
    <n v="3218.37"/>
    <n v="149.6"/>
    <n v="2381.96"/>
    <n v="2542.75"/>
    <n v="2542.75"/>
    <n v="964.74"/>
    <n v="2542.75"/>
    <n v="26714.760000000006"/>
    <n v="-1578.01"/>
  </r>
  <r>
    <x v="11"/>
    <x v="8"/>
    <x v="0"/>
    <s v="5105104"/>
    <n v="721410"/>
    <s v="Supplies-Medical - Nonbillable"/>
    <s v="Coumadin Clinic"/>
    <x v="0"/>
    <m/>
    <n v="0"/>
    <n v="0"/>
    <n v="0"/>
    <n v="0"/>
    <n v="0"/>
    <n v="0"/>
    <n v="10.6"/>
    <n v="0"/>
    <n v="0"/>
    <n v="0"/>
    <n v="20.3"/>
    <n v="0"/>
    <n v="30.9"/>
    <n v="20.3"/>
  </r>
  <r>
    <x v="11"/>
    <x v="8"/>
    <x v="0"/>
    <s v="5105104"/>
    <n v="721835"/>
    <s v="Supplies-Forms"/>
    <s v="Coumadin Clinic"/>
    <x v="0"/>
    <m/>
    <n v="0"/>
    <n v="0"/>
    <n v="0"/>
    <n v="0"/>
    <n v="0"/>
    <n v="4.1100000000000003"/>
    <n v="0"/>
    <n v="0"/>
    <n v="0"/>
    <n v="0"/>
    <n v="0"/>
    <n v="0"/>
    <n v="4.1100000000000003"/>
    <n v="0"/>
  </r>
  <r>
    <x v="12"/>
    <x v="8"/>
    <x v="0"/>
    <s v="5105104"/>
    <n v="730010"/>
    <s v="Rental and Leases-Building (DO NOT USE)"/>
    <s v="Coumadin Clinic"/>
    <x v="0"/>
    <m/>
    <n v="4800"/>
    <n v="4800"/>
    <n v="4800"/>
    <n v="4800"/>
    <n v="4800"/>
    <n v="4800"/>
    <n v="4800"/>
    <n v="4800"/>
    <n v="4800"/>
    <n v="4800"/>
    <n v="4800"/>
    <n v="4800"/>
    <n v="57600"/>
    <n v="0"/>
  </r>
  <r>
    <x v="12"/>
    <x v="8"/>
    <x v="0"/>
    <s v="5105104"/>
    <n v="730020"/>
    <s v="Rental and Leases-Copier Usage Fees (DO NOT USE)"/>
    <s v="Coumadin Clinic"/>
    <x v="0"/>
    <n v="5100"/>
    <n v="169.39"/>
    <n v="172.86"/>
    <n v="171.12"/>
    <n v="171.12"/>
    <n v="171.12"/>
    <n v="171.12"/>
    <n v="-4.13"/>
    <n v="125.18"/>
    <n v="185.81"/>
    <n v="277.26"/>
    <n v="160.85"/>
    <n v="171.21"/>
    <n v="1942.9099999999999"/>
    <n v="-10.360000000000014"/>
  </r>
  <r>
    <x v="18"/>
    <x v="5"/>
    <x v="0"/>
    <s v="5105106"/>
    <n v="400010"/>
    <s v="Acute I/P Svcs Rev--Medicare"/>
    <s v="Anticoagulat Clinic"/>
    <x v="0"/>
    <n v="1100"/>
    <n v="0"/>
    <n v="-234.48"/>
    <n v="-622.96"/>
    <n v="0"/>
    <n v="-234.48"/>
    <n v="-703.44"/>
    <n v="0"/>
    <n v="0"/>
    <n v="-483.78"/>
    <n v="-241.89"/>
    <n v="-241.89"/>
    <n v="0"/>
    <n v="-2762.92"/>
    <n v="-241.89"/>
  </r>
  <r>
    <x v="19"/>
    <x v="5"/>
    <x v="0"/>
    <s v="5105106"/>
    <n v="400020"/>
    <s v="O/P Care Svcs Rev--Medicare"/>
    <s v="Anticoagulat Clinic"/>
    <x v="0"/>
    <n v="1100"/>
    <n v="-115940.17"/>
    <n v="-131968.66"/>
    <n v="-115365.55"/>
    <n v="-130348.25"/>
    <n v="-110964.16"/>
    <n v="-115140.72"/>
    <n v="-124825.23"/>
    <n v="-103091.26"/>
    <n v="-119873.07"/>
    <n v="-130798.52"/>
    <n v="-146329.03"/>
    <n v="-120736.22"/>
    <n v="-1465380.84"/>
    <n v="-25592.809999999998"/>
  </r>
  <r>
    <x v="19"/>
    <x v="5"/>
    <x v="0"/>
    <s v="5105106"/>
    <n v="400020"/>
    <s v="O/P Care Svcs Rev--Medicaid"/>
    <s v="Anticoagulat Clinic"/>
    <x v="0"/>
    <n v="1200"/>
    <n v="-10360.469999999999"/>
    <n v="-11527.86"/>
    <n v="-9593.2000000000007"/>
    <n v="-7469.67"/>
    <n v="-9537.07"/>
    <n v="-9908.16"/>
    <n v="-12232.48"/>
    <n v="-9986.19"/>
    <n v="-14029.62"/>
    <n v="-13303.95"/>
    <n v="-11680.13"/>
    <n v="-11188.94"/>
    <n v="-130817.74"/>
    <n v="-491.18999999999869"/>
  </r>
  <r>
    <x v="19"/>
    <x v="5"/>
    <x v="0"/>
    <s v="5105106"/>
    <n v="400020"/>
    <s v="O/P Care Svcs Rev--Comm Insurance"/>
    <s v="Anticoagulat Clinic"/>
    <x v="0"/>
    <n v="1300"/>
    <n v="-2099.4899999999998"/>
    <n v="-2181.15"/>
    <n v="-3282.72"/>
    <n v="-2344.8000000000002"/>
    <n v="-1875.84"/>
    <n v="-1875.84"/>
    <n v="-2110.3200000000002"/>
    <n v="-1693.23"/>
    <n v="-2418.9"/>
    <n v="-1451.34"/>
    <n v="-1209.45"/>
    <n v="-967.56"/>
    <n v="-23510.640000000003"/>
    <n v="-241.8900000000001"/>
  </r>
  <r>
    <x v="19"/>
    <x v="5"/>
    <x v="0"/>
    <s v="5105106"/>
    <n v="400020"/>
    <s v="O/P Care Svcs Rev--BCBS Comm"/>
    <s v="Anticoagulat Clinic"/>
    <x v="0"/>
    <n v="1301"/>
    <n v="-7023.57"/>
    <n v="-7737.84"/>
    <n v="-6953.92"/>
    <n v="-6471.44"/>
    <n v="-5935.52"/>
    <n v="-6042"/>
    <n v="-7602.88"/>
    <n v="-8328.26"/>
    <n v="-9737.6"/>
    <n v="-8708.0400000000009"/>
    <n v="-9073.93"/>
    <n v="-8832.0400000000009"/>
    <n v="-92447.040000000008"/>
    <n v="-241.88999999999942"/>
  </r>
  <r>
    <x v="19"/>
    <x v="5"/>
    <x v="0"/>
    <s v="5105106"/>
    <n v="400020"/>
    <s v="O/P Care Svcs Rev--Managed Care"/>
    <s v="Anticoagulat Clinic"/>
    <x v="0"/>
    <n v="1400"/>
    <n v="-20489.759999999998"/>
    <n v="-21897.95"/>
    <n v="-18432.61"/>
    <n v="-24740.400000000001"/>
    <n v="-20274.05"/>
    <n v="-20050.8"/>
    <n v="-22619.25"/>
    <n v="-19191.93"/>
    <n v="-22785.55"/>
    <n v="-24355.41"/>
    <n v="-27566.35"/>
    <n v="-21991.1"/>
    <n v="-264395.15999999997"/>
    <n v="-5575.25"/>
  </r>
  <r>
    <x v="19"/>
    <x v="5"/>
    <x v="0"/>
    <s v="5105106"/>
    <n v="400020"/>
    <s v="O/P Care Svcs Rev--Self Pay"/>
    <s v="Anticoagulat Clinic"/>
    <x v="0"/>
    <n v="1500"/>
    <n v="-1935.84"/>
    <n v="-1194.06"/>
    <n v="-1875.84"/>
    <n v="-703.44"/>
    <n v="-1875.84"/>
    <n v="-2793.28"/>
    <n v="-703.44"/>
    <n v="-1209.45"/>
    <n v="-725.67"/>
    <n v="-241.89"/>
    <n v="-483.78"/>
    <n v="0"/>
    <n v="-13742.530000000002"/>
    <n v="-483.78"/>
  </r>
  <r>
    <x v="19"/>
    <x v="5"/>
    <x v="0"/>
    <s v="5105106"/>
    <n v="400020"/>
    <s v="O/P Care Svcs Rev--Other"/>
    <s v="Anticoagulat Clinic"/>
    <x v="0"/>
    <n v="1700"/>
    <n v="-1466.88"/>
    <n v="-468.96"/>
    <n v="-468.96"/>
    <n v="-234.48"/>
    <n v="-234.48"/>
    <n v="0"/>
    <n v="0"/>
    <n v="-241.89"/>
    <n v="227.07"/>
    <n v="-241.89"/>
    <n v="-483.78"/>
    <n v="-241.89"/>
    <n v="-3856.14"/>
    <n v="-241.89"/>
  </r>
  <r>
    <x v="5"/>
    <x v="5"/>
    <x v="0"/>
    <s v="5105106"/>
    <n v="700018"/>
    <s v="Salaries-Supervisory-Productive"/>
    <s v="Anticoagulat Clinic"/>
    <x v="0"/>
    <m/>
    <n v="0"/>
    <n v="0"/>
    <n v="0"/>
    <n v="937.26"/>
    <n v="2136.88"/>
    <n v="75.069999999999993"/>
    <n v="1426.66"/>
    <n v="337.95"/>
    <n v="1989.89"/>
    <n v="300.36"/>
    <n v="1689.56"/>
    <n v="1652.02"/>
    <n v="10545.650000000001"/>
    <n v="37.539999999999964"/>
  </r>
  <r>
    <x v="5"/>
    <x v="5"/>
    <x v="0"/>
    <s v="5105106"/>
    <n v="700032"/>
    <s v="Salaries-Other Pat Care Providers-Productive"/>
    <s v="Anticoagulat Clinic"/>
    <x v="0"/>
    <m/>
    <n v="19191.650000000001"/>
    <n v="19900.150000000001"/>
    <n v="19817.650000000001"/>
    <n v="19339.22"/>
    <n v="18946.82"/>
    <n v="17561.62"/>
    <n v="17704.68"/>
    <n v="15538.84"/>
    <n v="18565.349999999999"/>
    <n v="18856.560000000001"/>
    <n v="20169"/>
    <n v="18723.060000000001"/>
    <n v="224314.6"/>
    <n v="1445.9399999999987"/>
  </r>
  <r>
    <x v="5"/>
    <x v="5"/>
    <x v="0"/>
    <s v="5105106"/>
    <n v="700032"/>
    <s v="Salaries-Other Pat Care Providers-OT"/>
    <s v="Anticoagulat Clinic"/>
    <x v="0"/>
    <n v="1000"/>
    <n v="0"/>
    <n v="0"/>
    <n v="102.62"/>
    <n v="16.41"/>
    <n v="231.6"/>
    <n v="116.49"/>
    <n v="171.86"/>
    <n v="2.14"/>
    <n v="80.989999999999995"/>
    <n v="-29.44"/>
    <n v="23.1"/>
    <n v="0"/>
    <n v="715.77"/>
    <n v="23.1"/>
  </r>
  <r>
    <x v="5"/>
    <x v="5"/>
    <x v="0"/>
    <s v="5105106"/>
    <n v="700032"/>
    <s v="Salaries-Other Pat Care Providers-Other"/>
    <s v="Anticoagulat Clinic"/>
    <x v="0"/>
    <n v="2000"/>
    <n v="9"/>
    <n v="16"/>
    <n v="31.53"/>
    <n v="-1.03"/>
    <n v="0"/>
    <n v="8"/>
    <n v="14.46"/>
    <n v="-1.69"/>
    <n v="0"/>
    <n v="0"/>
    <n v="8.01"/>
    <n v="0"/>
    <n v="84.280000000000015"/>
    <n v="8.01"/>
  </r>
  <r>
    <x v="5"/>
    <x v="5"/>
    <x v="0"/>
    <s v="5105106"/>
    <n v="700038"/>
    <s v="Salaries-Service/Support-Productive"/>
    <s v="Anticoagulat Clinic"/>
    <x v="0"/>
    <m/>
    <n v="193.1"/>
    <n v="124.98"/>
    <n v="159.04"/>
    <n v="293.99"/>
    <n v="834.94"/>
    <n v="517.47"/>
    <n v="469.6"/>
    <n v="884.75"/>
    <n v="1154.18"/>
    <n v="1157.8399999999999"/>
    <n v="1282.22"/>
    <n v="316.56"/>
    <n v="7388.670000000001"/>
    <n v="965.66000000000008"/>
  </r>
  <r>
    <x v="5"/>
    <x v="5"/>
    <x v="0"/>
    <s v="5105106"/>
    <n v="700072"/>
    <s v="Salaries-Other Pat Care Providers-NonProd-Other"/>
    <s v="Anticoagulat Clinic"/>
    <x v="0"/>
    <n v="2000"/>
    <n v="0"/>
    <n v="0"/>
    <n v="0"/>
    <n v="0"/>
    <n v="66.16"/>
    <n v="-31.85"/>
    <n v="0"/>
    <n v="0"/>
    <n v="0"/>
    <n v="0"/>
    <n v="0"/>
    <n v="0"/>
    <n v="34.309999999999995"/>
    <n v="0"/>
  </r>
  <r>
    <x v="6"/>
    <x v="5"/>
    <x v="0"/>
    <s v="5105106"/>
    <n v="713010"/>
    <s v="Benefits-FICA/Medicare"/>
    <s v="Anticoagulat Clinic"/>
    <x v="0"/>
    <m/>
    <n v="1465.52"/>
    <n v="1510.41"/>
    <n v="1516.38"/>
    <n v="1555.15"/>
    <n v="1643.53"/>
    <n v="1371.37"/>
    <n v="1492.6"/>
    <n v="1251.5"/>
    <n v="1647.17"/>
    <n v="1524.33"/>
    <n v="1742.82"/>
    <n v="1563.63"/>
    <n v="18284.410000000003"/>
    <n v="179.18999999999983"/>
  </r>
  <r>
    <x v="6"/>
    <x v="5"/>
    <x v="0"/>
    <s v="5105106"/>
    <n v="713090"/>
    <s v="Benefits-Allocated Amounts"/>
    <s v="Anticoagulat Clinic"/>
    <x v="0"/>
    <m/>
    <n v="3012.09"/>
    <n v="3473.05"/>
    <n v="3181.35"/>
    <n v="3052.14"/>
    <n v="3702.35"/>
    <n v="3025.2"/>
    <n v="3302.69"/>
    <n v="2848.59"/>
    <n v="3770.14"/>
    <n v="3181.49"/>
    <n v="4271.32"/>
    <n v="3118.13"/>
    <n v="39938.539999999994"/>
    <n v="1153.1899999999996"/>
  </r>
  <r>
    <x v="7"/>
    <x v="5"/>
    <x v="0"/>
    <s v="5105106"/>
    <n v="718050"/>
    <s v="Document Shredding/Storage"/>
    <s v="Anticoagulat Clinic"/>
    <x v="0"/>
    <n v="1012"/>
    <n v="4.6500000000000004"/>
    <n v="25.14"/>
    <n v="-5.81"/>
    <n v="4.53"/>
    <n v="4.6900000000000004"/>
    <n v="6.94"/>
    <n v="6.87"/>
    <n v="6.51"/>
    <n v="4.12"/>
    <n v="5.4"/>
    <n v="4.53"/>
    <n v="26.24"/>
    <n v="93.809999999999988"/>
    <n v="-21.709999999999997"/>
  </r>
  <r>
    <x v="7"/>
    <x v="5"/>
    <x v="0"/>
    <s v="5105106"/>
    <n v="718050"/>
    <s v="Miscellaneous Purchased Svcs"/>
    <s v="Anticoagulat Clinic"/>
    <x v="0"/>
    <n v="1020"/>
    <n v="1233.74"/>
    <n v="1390.71"/>
    <n v="1199.31"/>
    <n v="1219.6099999999999"/>
    <n v="1199.31"/>
    <n v="1199.31"/>
    <n v="1199.31"/>
    <n v="1558.91"/>
    <n v="1199.31"/>
    <n v="0"/>
    <n v="-1596.26"/>
    <n v="0"/>
    <n v="9803.2599999999984"/>
    <n v="-1596.26"/>
  </r>
  <r>
    <x v="7"/>
    <x v="5"/>
    <x v="0"/>
    <s v="5105106"/>
    <n v="718060"/>
    <s v="Contract Services-CHI RRC Fees"/>
    <s v="Anticoagulat Clinic"/>
    <x v="0"/>
    <m/>
    <n v="5230"/>
    <n v="5230"/>
    <n v="5230"/>
    <n v="5230"/>
    <n v="5230"/>
    <n v="5230"/>
    <n v="5230"/>
    <n v="5230"/>
    <n v="5230"/>
    <n v="5230"/>
    <n v="5230"/>
    <n v="5230"/>
    <n v="62760"/>
    <n v="0"/>
  </r>
  <r>
    <x v="7"/>
    <x v="5"/>
    <x v="0"/>
    <s v="5105106"/>
    <n v="718091"/>
    <s v="Contract Services-Intracompany Allocation"/>
    <s v="Anticoagulat Clinic"/>
    <x v="0"/>
    <m/>
    <n v="615.72"/>
    <n v="598.26"/>
    <n v="586.84"/>
    <n v="604.04999999999995"/>
    <n v="632.67999999999995"/>
    <n v="524.72"/>
    <n v="655.76"/>
    <n v="580.07000000000005"/>
    <n v="650.92999999999995"/>
    <n v="575.80999999999995"/>
    <n v="700.85"/>
    <n v="591.62"/>
    <n v="7317.31"/>
    <n v="109.23000000000002"/>
  </r>
  <r>
    <x v="11"/>
    <x v="5"/>
    <x v="0"/>
    <s v="5105106"/>
    <n v="721250"/>
    <s v="Supplies-Pharmacy Drugs - Billable"/>
    <s v="Anticoagulat Clinic"/>
    <x v="0"/>
    <m/>
    <n v="2556.1999999999998"/>
    <n v="2557.5500000000002"/>
    <n v="2557.5500000000002"/>
    <n v="2557.5500000000002"/>
    <n v="2557.5500000000002"/>
    <n v="2557.5500000000002"/>
    <n v="2557.5500000000002"/>
    <n v="74.8"/>
    <n v="2561.4499999999998"/>
    <n v="2561.4499999999998"/>
    <n v="2561.4499999999998"/>
    <n v="2561.4499999999998"/>
    <n v="28222.100000000002"/>
    <n v="0"/>
  </r>
  <r>
    <x v="11"/>
    <x v="5"/>
    <x v="0"/>
    <s v="5105106"/>
    <n v="721410"/>
    <s v="Supplies-Medical - Nonbillable"/>
    <s v="Anticoagulat Clinic"/>
    <x v="0"/>
    <m/>
    <n v="45.37"/>
    <n v="92.36"/>
    <n v="21.64"/>
    <n v="103.26"/>
    <n v="89.44"/>
    <n v="40.33"/>
    <n v="75.099999999999994"/>
    <n v="67.23"/>
    <n v="82.7"/>
    <n v="30.26"/>
    <n v="138.59"/>
    <n v="44.61"/>
    <n v="830.8900000000001"/>
    <n v="93.98"/>
  </r>
  <r>
    <x v="11"/>
    <x v="5"/>
    <x v="0"/>
    <s v="5105106"/>
    <n v="721710"/>
    <s v="Supplies-Laboratory - Nonbillable"/>
    <s v="Anticoagulat Clinic"/>
    <x v="0"/>
    <m/>
    <n v="23.2"/>
    <n v="19.739999999999998"/>
    <n v="23.2"/>
    <n v="43.5"/>
    <n v="34.799999999999997"/>
    <n v="34.799999999999997"/>
    <n v="14.5"/>
    <n v="26.1"/>
    <n v="24.84"/>
    <n v="8.6999999999999993"/>
    <n v="69.599999999999994"/>
    <n v="34.799999999999997"/>
    <n v="357.78000000000003"/>
    <n v="34.799999999999997"/>
  </r>
  <r>
    <x v="11"/>
    <x v="5"/>
    <x v="0"/>
    <s v="5105106"/>
    <n v="721810"/>
    <s v="Supplies-Dietary/Cafeteria"/>
    <s v="Anticoagulat Clinic"/>
    <x v="0"/>
    <m/>
    <n v="0"/>
    <n v="17.170000000000002"/>
    <n v="0"/>
    <n v="0"/>
    <n v="0"/>
    <n v="0"/>
    <n v="0"/>
    <n v="0"/>
    <n v="10.81"/>
    <n v="0"/>
    <n v="0"/>
    <n v="0"/>
    <n v="27.980000000000004"/>
    <n v="0"/>
  </r>
  <r>
    <x v="11"/>
    <x v="5"/>
    <x v="0"/>
    <s v="5105106"/>
    <n v="721830"/>
    <s v="Supplies-Office"/>
    <s v="Anticoagulat Clinic"/>
    <x v="0"/>
    <m/>
    <n v="0"/>
    <n v="0"/>
    <n v="64.37"/>
    <n v="54.39"/>
    <n v="0"/>
    <n v="0"/>
    <n v="34.46"/>
    <n v="74.44"/>
    <n v="0"/>
    <n v="149.72999999999999"/>
    <n v="0"/>
    <n v="27.2"/>
    <n v="404.59"/>
    <n v="-27.2"/>
  </r>
  <r>
    <x v="11"/>
    <x v="5"/>
    <x v="0"/>
    <s v="5105106"/>
    <n v="721835"/>
    <s v="Supplies-Forms"/>
    <s v="Anticoagulat Clinic"/>
    <x v="0"/>
    <m/>
    <n v="0"/>
    <n v="0"/>
    <n v="0"/>
    <n v="0"/>
    <n v="0"/>
    <n v="0.5"/>
    <n v="0"/>
    <n v="0"/>
    <n v="0"/>
    <n v="0"/>
    <n v="0"/>
    <n v="0"/>
    <n v="0.5"/>
    <n v="0"/>
  </r>
  <r>
    <x v="11"/>
    <x v="5"/>
    <x v="0"/>
    <s v="5105106"/>
    <n v="721870"/>
    <s v="Supplies-Environmental Services"/>
    <s v="Anticoagulat Clinic"/>
    <x v="0"/>
    <m/>
    <n v="7.62"/>
    <n v="23"/>
    <n v="15.23"/>
    <n v="45.99"/>
    <n v="0"/>
    <n v="15.39"/>
    <n v="53.78"/>
    <n v="15.23"/>
    <n v="0"/>
    <n v="23"/>
    <n v="99.75"/>
    <n v="11.65"/>
    <n v="310.64"/>
    <n v="88.1"/>
  </r>
  <r>
    <x v="11"/>
    <x v="5"/>
    <x v="0"/>
    <s v="5105106"/>
    <n v="721910"/>
    <s v="Supplies-Small Equipment"/>
    <s v="Anticoagulat Clinic"/>
    <x v="0"/>
    <m/>
    <n v="1.28"/>
    <n v="1.28"/>
    <n v="0"/>
    <n v="2.3199999999999998"/>
    <n v="2.04"/>
    <n v="2.04"/>
    <n v="2.04"/>
    <n v="2.04"/>
    <n v="0.68"/>
    <n v="0"/>
    <n v="1.7"/>
    <n v="1.36"/>
    <n v="16.779999999999998"/>
    <n v="0.33999999999999986"/>
  </r>
  <r>
    <x v="12"/>
    <x v="5"/>
    <x v="0"/>
    <s v="5105106"/>
    <n v="730010"/>
    <s v="Rental and Leases-Building (DO NOT USE)"/>
    <s v="Anticoagulat Clinic"/>
    <x v="0"/>
    <m/>
    <n v="1239.96"/>
    <n v="1239.96"/>
    <n v="1239.96"/>
    <n v="1239.96"/>
    <n v="1239.96"/>
    <n v="0"/>
    <n v="0"/>
    <n v="0"/>
    <n v="0"/>
    <n v="-6199.8"/>
    <n v="0"/>
    <n v="0"/>
    <n v="0"/>
    <n v="0"/>
  </r>
  <r>
    <x v="12"/>
    <x v="5"/>
    <x v="0"/>
    <s v="5105106"/>
    <n v="730010"/>
    <s v="Rental-Common Area Maint (DO NOT USE)"/>
    <s v="Anticoagulat Clinic"/>
    <x v="0"/>
    <n v="2200"/>
    <n v="0"/>
    <n v="0"/>
    <n v="0"/>
    <n v="0"/>
    <n v="0"/>
    <n v="1239.96"/>
    <n v="1239.96"/>
    <n v="1239.96"/>
    <n v="1239.96"/>
    <n v="2131.3200000000002"/>
    <n v="1239.96"/>
    <n v="1239.96"/>
    <n v="9571.0799999999981"/>
    <n v="0"/>
  </r>
  <r>
    <x v="12"/>
    <x v="5"/>
    <x v="0"/>
    <s v="5105106"/>
    <n v="730020"/>
    <s v="Rental and Leases-Copier Usage Fees (DO NOT USE)"/>
    <s v="Anticoagulat Clinic"/>
    <x v="0"/>
    <n v="5100"/>
    <n v="212.13"/>
    <n v="222.67"/>
    <n v="217.4"/>
    <n v="217.39"/>
    <n v="217.39"/>
    <n v="217.4"/>
    <n v="279.87"/>
    <n v="224.22"/>
    <n v="223.75"/>
    <n v="234.04"/>
    <n v="224.22"/>
    <n v="224.22"/>
    <n v="2714.7"/>
    <n v="0"/>
  </r>
  <r>
    <x v="0"/>
    <x v="5"/>
    <x v="0"/>
    <s v="5105106"/>
    <n v="749510"/>
    <s v="Licenses"/>
    <s v="Anticoagulat Clinic"/>
    <x v="0"/>
    <n v="1002"/>
    <n v="0"/>
    <n v="0"/>
    <n v="0"/>
    <n v="0"/>
    <n v="0"/>
    <n v="0"/>
    <n v="0"/>
    <n v="0"/>
    <n v="0"/>
    <n v="150"/>
    <n v="0"/>
    <n v="0"/>
    <n v="150"/>
    <n v="0"/>
  </r>
  <r>
    <x v="19"/>
    <x v="6"/>
    <x v="0"/>
    <s v="5105107"/>
    <n v="400020"/>
    <s v="O/P Care Svcs Rev--Medicare"/>
    <s v="Coumadin Clinic"/>
    <x v="0"/>
    <n v="1100"/>
    <n v="-135429.43"/>
    <n v="-145721.53"/>
    <n v="-110637.28"/>
    <n v="-126868.64"/>
    <n v="-115294.56"/>
    <n v="-120386.32"/>
    <n v="-122387.28"/>
    <n v="-104762.19"/>
    <n v="-122546.93"/>
    <n v="-133091.49"/>
    <n v="-140901.97"/>
    <n v="-115289.3"/>
    <n v="-1493316.92"/>
    <n v="-25612.67"/>
  </r>
  <r>
    <x v="19"/>
    <x v="6"/>
    <x v="0"/>
    <s v="5105107"/>
    <n v="400020"/>
    <s v="O/P Care Svcs Rev--Medicaid"/>
    <s v="Coumadin Clinic"/>
    <x v="0"/>
    <n v="1200"/>
    <n v="-8560.8799999999992"/>
    <n v="-9344.7999999999993"/>
    <n v="-9249.2900000000009"/>
    <n v="-10289.68"/>
    <n v="-8949.36"/>
    <n v="-9593.2000000000007"/>
    <n v="-9432.24"/>
    <n v="-10211.950000000001"/>
    <n v="-8586.15"/>
    <n v="-9247.0400000000009"/>
    <n v="-9005.15"/>
    <n v="-6600.36"/>
    <n v="-109070.09999999999"/>
    <n v="-2404.79"/>
  </r>
  <r>
    <x v="19"/>
    <x v="6"/>
    <x v="0"/>
    <s v="5105107"/>
    <n v="400020"/>
    <s v="O/P Care Svcs Rev--Comm Insurance"/>
    <s v="Coumadin Clinic"/>
    <x v="0"/>
    <n v="1300"/>
    <n v="-2110.3200000000002"/>
    <n v="-2793.28"/>
    <n v="-3202.24"/>
    <n v="-2344.8000000000002"/>
    <n v="-4602.16"/>
    <n v="-1641.36"/>
    <n v="-3048.24"/>
    <n v="-1693.23"/>
    <n v="-2480.9"/>
    <n v="-3386.46"/>
    <n v="-2177.0100000000002"/>
    <n v="-3448.46"/>
    <n v="-32928.46"/>
    <n v="1271.4499999999998"/>
  </r>
  <r>
    <x v="19"/>
    <x v="6"/>
    <x v="0"/>
    <s v="5105107"/>
    <n v="400020"/>
    <s v="O/P Care Svcs Rev--BCBS Comm"/>
    <s v="Coumadin Clinic"/>
    <x v="0"/>
    <n v="1301"/>
    <n v="-11000.08"/>
    <n v="-10591.12"/>
    <n v="-9940.7199999999993"/>
    <n v="-9211.2800000000007"/>
    <n v="-8607.36"/>
    <n v="-9117.2800000000007"/>
    <n v="-8588.32"/>
    <n v="-6745.25"/>
    <n v="-8521.3700000000008"/>
    <n v="-8459.3700000000008"/>
    <n v="-9005.15"/>
    <n v="-9150.0400000000009"/>
    <n v="-108937.34"/>
    <n v="144.89000000000124"/>
  </r>
  <r>
    <x v="19"/>
    <x v="6"/>
    <x v="0"/>
    <s v="5105107"/>
    <n v="400020"/>
    <s v="O/P Care Svcs Rev--Managed Care"/>
    <s v="Coumadin Clinic"/>
    <x v="0"/>
    <n v="1400"/>
    <n v="-13491.88"/>
    <n v="-14462.8"/>
    <n v="-10652.63"/>
    <n v="-11294.56"/>
    <n v="-11200.16"/>
    <n v="-11542.56"/>
    <n v="-13035.44"/>
    <n v="-9024.2999999999993"/>
    <n v="-9398.6299999999992"/>
    <n v="-9323.15"/>
    <n v="-7892.7"/>
    <n v="-9191.15"/>
    <n v="-130509.95999999999"/>
    <n v="1298.4499999999998"/>
  </r>
  <r>
    <x v="19"/>
    <x v="6"/>
    <x v="0"/>
    <s v="5105107"/>
    <n v="400020"/>
    <s v="O/P Care Svcs Rev--Self Pay"/>
    <s v="Coumadin Clinic"/>
    <x v="0"/>
    <n v="1500"/>
    <n v="-245.31"/>
    <n v="-1641.36"/>
    <n v="-1326.4"/>
    <n v="-602.48"/>
    <n v="-542.48"/>
    <n v="-388.48"/>
    <n v="-80.48"/>
    <n v="-483.78"/>
    <n v="-241.89"/>
    <n v="241.89"/>
    <n v="-241.89"/>
    <n v="-1126.56"/>
    <n v="-6679.2199999999993"/>
    <n v="884.67"/>
  </r>
  <r>
    <x v="19"/>
    <x v="6"/>
    <x v="0"/>
    <s v="5105107"/>
    <n v="400020"/>
    <s v="O/P Care Svcs Rev--Other"/>
    <s v="Coumadin Clinic"/>
    <x v="0"/>
    <n v="1700"/>
    <n v="-937.92"/>
    <n v="-1742.67"/>
    <n v="-3181.76"/>
    <n v="-4025.68"/>
    <n v="-2733.28"/>
    <n v="-4106.16"/>
    <n v="-1641.36"/>
    <n v="-2177.0100000000002"/>
    <n v="-2550.31"/>
    <n v="-2722.79"/>
    <n v="-1755.23"/>
    <n v="-967.56"/>
    <n v="-28541.730000000007"/>
    <n v="-787.67000000000007"/>
  </r>
  <r>
    <x v="5"/>
    <x v="6"/>
    <x v="0"/>
    <s v="5105107"/>
    <n v="700018"/>
    <s v="Salaries-Supervisory-Productive"/>
    <s v="Coumadin Clinic"/>
    <x v="0"/>
    <m/>
    <n v="0"/>
    <n v="0"/>
    <n v="0"/>
    <n v="937.26"/>
    <n v="3149.09"/>
    <n v="-1462.01"/>
    <n v="713.34"/>
    <n v="525.64"/>
    <n v="-187.7"/>
    <n v="0"/>
    <n v="1051.27"/>
    <n v="563.16"/>
    <n v="5290.05"/>
    <n v="488.11"/>
  </r>
  <r>
    <x v="5"/>
    <x v="6"/>
    <x v="0"/>
    <s v="5105107"/>
    <n v="700032"/>
    <s v="Salaries-Other Pat Care Providers-Productive"/>
    <s v="Coumadin Clinic"/>
    <x v="0"/>
    <m/>
    <n v="14680.73"/>
    <n v="19956.419999999998"/>
    <n v="17490.009999999998"/>
    <n v="17910.16"/>
    <n v="18777.61"/>
    <n v="19223.5"/>
    <n v="17657.79"/>
    <n v="14723.38"/>
    <n v="18664.7"/>
    <n v="16920.990000000002"/>
    <n v="18349.689999999999"/>
    <n v="16719.96"/>
    <n v="211074.94"/>
    <n v="1629.7299999999996"/>
  </r>
  <r>
    <x v="5"/>
    <x v="6"/>
    <x v="0"/>
    <s v="5105107"/>
    <n v="700032"/>
    <s v="Salaries-Other Pat Care Providers-OT"/>
    <s v="Coumadin Clinic"/>
    <x v="0"/>
    <n v="1000"/>
    <n v="311.55"/>
    <n v="196.59"/>
    <n v="233.65"/>
    <n v="171.49"/>
    <n v="545.30999999999995"/>
    <n v="-62.65"/>
    <n v="446.34"/>
    <n v="-69.36"/>
    <n v="457.47"/>
    <n v="346.59"/>
    <n v="354.2"/>
    <n v="-18.38"/>
    <n v="2912.7999999999997"/>
    <n v="372.58"/>
  </r>
  <r>
    <x v="5"/>
    <x v="6"/>
    <x v="0"/>
    <s v="5105107"/>
    <n v="700032"/>
    <s v="Salaries-Other Pat Care Providers-Other"/>
    <s v="Coumadin Clinic"/>
    <x v="0"/>
    <n v="2000"/>
    <n v="37.14"/>
    <n v="23.56"/>
    <n v="28.9"/>
    <n v="50.39"/>
    <n v="-11.24"/>
    <n v="33.14"/>
    <n v="44.8"/>
    <n v="21.81"/>
    <n v="18.440000000000001"/>
    <n v="49.94"/>
    <n v="10.34"/>
    <n v="8.58"/>
    <n v="315.79999999999995"/>
    <n v="1.7599999999999998"/>
  </r>
  <r>
    <x v="5"/>
    <x v="6"/>
    <x v="0"/>
    <s v="5105107"/>
    <n v="700038"/>
    <s v="Salaries-Service/Support-Productive"/>
    <s v="Coumadin Clinic"/>
    <x v="0"/>
    <m/>
    <n v="193.1"/>
    <n v="670.24"/>
    <n v="-68.14"/>
    <n v="587.99"/>
    <n v="70.569999999999993"/>
    <n v="852.58"/>
    <n v="567.58000000000004"/>
    <n v="335.67"/>
    <n v="1239.53"/>
    <n v="1236.5999999999999"/>
    <n v="765.51"/>
    <n v="565.33000000000004"/>
    <n v="7016.5599999999995"/>
    <n v="200.17999999999995"/>
  </r>
  <r>
    <x v="5"/>
    <x v="6"/>
    <x v="0"/>
    <s v="5105107"/>
    <n v="700072"/>
    <s v="Salaries-Other Pat Care Providers-NonProd-Other"/>
    <s v="Coumadin Clinic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5105107"/>
    <n v="713010"/>
    <s v="Benefits-FICA/Medicare"/>
    <s v="Coumadin Clinic"/>
    <x v="0"/>
    <m/>
    <n v="1132.67"/>
    <n v="1561.6"/>
    <n v="1326.61"/>
    <n v="1470.95"/>
    <n v="1651.4"/>
    <n v="795.13"/>
    <n v="1450.29"/>
    <n v="1157.71"/>
    <n v="1524.53"/>
    <n v="1386.85"/>
    <n v="1540.05"/>
    <n v="1339.2"/>
    <n v="16336.990000000002"/>
    <n v="200.84999999999991"/>
  </r>
  <r>
    <x v="6"/>
    <x v="6"/>
    <x v="0"/>
    <s v="5105107"/>
    <n v="713090"/>
    <s v="Benefits-Allocated Amounts"/>
    <s v="Coumadin Clinic"/>
    <x v="0"/>
    <m/>
    <n v="2683.31"/>
    <n v="2368.69"/>
    <n v="2099.15"/>
    <n v="2381.67"/>
    <n v="2797.54"/>
    <n v="2340.3200000000002"/>
    <n v="2387.0300000000002"/>
    <n v="1976.07"/>
    <n v="2186.73"/>
    <n v="3089.25"/>
    <n v="2116.6"/>
    <n v="2683.96"/>
    <n v="29110.319999999996"/>
    <n v="-567.36000000000013"/>
  </r>
  <r>
    <x v="11"/>
    <x v="6"/>
    <x v="0"/>
    <s v="5105107"/>
    <n v="721250"/>
    <s v="Supplies-Pharmacy Drugs - Billable"/>
    <s v="Coumadin Clinic"/>
    <x v="0"/>
    <m/>
    <n v="10908.96"/>
    <n v="2482.75"/>
    <n v="2983.04"/>
    <n v="2822.51"/>
    <n v="2822.51"/>
    <n v="2822.51"/>
    <n v="2501.4499999999998"/>
    <n v="187"/>
    <n v="2561.4499999999998"/>
    <n v="2561.4499999999998"/>
    <n v="2561.4499999999998"/>
    <n v="1757.5"/>
    <n v="36972.580000000009"/>
    <n v="803.94999999999982"/>
  </r>
  <r>
    <x v="11"/>
    <x v="6"/>
    <x v="0"/>
    <s v="5105107"/>
    <n v="721410"/>
    <s v="Supplies-Medical - Nonbillable"/>
    <s v="Coumadin Clinic"/>
    <x v="0"/>
    <m/>
    <n v="82.25"/>
    <n v="48.5"/>
    <n v="114.5"/>
    <n v="113.41"/>
    <n v="13.26"/>
    <n v="188.69"/>
    <n v="73.510000000000005"/>
    <n v="38.799999999999997"/>
    <n v="117.54"/>
    <n v="42.01"/>
    <n v="137"/>
    <n v="138.75"/>
    <n v="1108.2199999999998"/>
    <n v="-1.75"/>
  </r>
  <r>
    <x v="11"/>
    <x v="6"/>
    <x v="0"/>
    <s v="5105107"/>
    <n v="721710"/>
    <s v="Supplies-Laboratory - Nonbillable"/>
    <s v="Coumadin Clinic"/>
    <x v="0"/>
    <m/>
    <n v="0"/>
    <n v="98.6"/>
    <n v="0"/>
    <n v="34.799999999999997"/>
    <n v="46.4"/>
    <n v="46.4"/>
    <n v="58"/>
    <n v="29"/>
    <n v="58"/>
    <n v="46.4"/>
    <n v="58"/>
    <n v="40.6"/>
    <n v="516.19999999999993"/>
    <n v="17.399999999999999"/>
  </r>
  <r>
    <x v="11"/>
    <x v="6"/>
    <x v="0"/>
    <s v="5105107"/>
    <n v="721830"/>
    <s v="Supplies-Office"/>
    <s v="Coumadin Clinic"/>
    <x v="0"/>
    <m/>
    <n v="0"/>
    <n v="0"/>
    <n v="85.97"/>
    <n v="0"/>
    <n v="0"/>
    <n v="112.24"/>
    <n v="0"/>
    <n v="68.92"/>
    <n v="68.38"/>
    <n v="0"/>
    <n v="75.14"/>
    <n v="13.6"/>
    <n v="424.25"/>
    <n v="61.54"/>
  </r>
  <r>
    <x v="11"/>
    <x v="6"/>
    <x v="0"/>
    <s v="5105107"/>
    <n v="721870"/>
    <s v="Supplies-Environmental Services"/>
    <s v="Coumadin Clinic"/>
    <x v="0"/>
    <m/>
    <n v="62.81"/>
    <n v="31.4"/>
    <n v="62.81"/>
    <n v="68.459999999999994"/>
    <n v="37.06"/>
    <n v="74.12"/>
    <n v="74.12"/>
    <n v="37.06"/>
    <n v="37.06"/>
    <n v="121.4"/>
    <n v="3.94"/>
    <n v="94.56"/>
    <n v="704.80000000000018"/>
    <n v="-90.62"/>
  </r>
  <r>
    <x v="11"/>
    <x v="6"/>
    <x v="0"/>
    <s v="5105107"/>
    <n v="721910"/>
    <s v="Supplies-Small Equipment"/>
    <s v="Coumadin Clinic"/>
    <x v="0"/>
    <m/>
    <n v="7.56"/>
    <n v="0"/>
    <n v="0"/>
    <n v="7.68"/>
    <n v="4.08"/>
    <n v="4.08"/>
    <n v="0"/>
    <n v="0"/>
    <n v="0"/>
    <n v="0"/>
    <n v="0"/>
    <n v="4.08"/>
    <n v="27.479999999999997"/>
    <n v="-4.08"/>
  </r>
  <r>
    <x v="12"/>
    <x v="6"/>
    <x v="0"/>
    <s v="5105107"/>
    <n v="730010"/>
    <s v="Rental and Leases-Building (DO NOT USE)"/>
    <s v="Coumadin Clinic"/>
    <x v="0"/>
    <m/>
    <n v="3180.05"/>
    <n v="3180.05"/>
    <n v="3237.3"/>
    <n v="3237.3"/>
    <n v="3237.3"/>
    <n v="-2145.9"/>
    <n v="2340.1"/>
    <n v="2340.1"/>
    <n v="2340.1"/>
    <n v="1837.3"/>
    <n v="2340.1"/>
    <n v="0"/>
    <n v="25123.799999999996"/>
    <n v="2340.1"/>
  </r>
  <r>
    <x v="12"/>
    <x v="6"/>
    <x v="0"/>
    <s v="5105107"/>
    <n v="730010"/>
    <s v="Rental-Common Area Maint (DO NOT USE)"/>
    <s v="Coumadin Clinic"/>
    <x v="0"/>
    <n v="2200"/>
    <n v="0"/>
    <n v="0"/>
    <n v="0"/>
    <n v="0"/>
    <n v="0"/>
    <n v="5383.2"/>
    <n v="897.2"/>
    <n v="897.2"/>
    <n v="897.2"/>
    <n v="897.2"/>
    <n v="897.2"/>
    <n v="0"/>
    <n v="9869.2000000000007"/>
    <n v="897.2"/>
  </r>
  <r>
    <x v="12"/>
    <x v="6"/>
    <x v="0"/>
    <s v="5105107"/>
    <n v="730020"/>
    <s v="Rental and Leases-Copier Usage Fees (DO NOT USE)"/>
    <s v="Coumadin Clinic"/>
    <x v="0"/>
    <n v="5100"/>
    <n v="219.83"/>
    <n v="223.13"/>
    <n v="221.48"/>
    <n v="221.48"/>
    <n v="221.48"/>
    <n v="221.48"/>
    <n v="263.06"/>
    <n v="117.06"/>
    <n v="116.82"/>
    <n v="705.84"/>
    <n v="117.06"/>
    <n v="135.72"/>
    <n v="2784.4399999999996"/>
    <n v="-18.659999999999997"/>
  </r>
  <r>
    <x v="12"/>
    <x v="6"/>
    <x v="0"/>
    <s v="5105107"/>
    <n v="730040"/>
    <s v="LT Lease-Real Estate"/>
    <s v="Coumadin Clinic"/>
    <x v="0"/>
    <m/>
    <n v="0"/>
    <n v="0"/>
    <n v="0"/>
    <n v="0"/>
    <n v="0"/>
    <n v="0"/>
    <n v="0"/>
    <n v="0"/>
    <n v="0"/>
    <n v="0"/>
    <n v="0"/>
    <n v="3237.3"/>
    <n v="3237.3"/>
    <n v="-3237.3"/>
  </r>
  <r>
    <x v="13"/>
    <x v="6"/>
    <x v="0"/>
    <s v="5105107"/>
    <n v="735050"/>
    <s v="Amortization-Leasehold Improvements"/>
    <s v="Coumadin Clinic"/>
    <x v="0"/>
    <m/>
    <n v="505.73"/>
    <n v="505.73"/>
    <n v="505.73"/>
    <n v="505.73"/>
    <n v="505.73"/>
    <n v="505.73"/>
    <n v="505.73"/>
    <n v="505.72"/>
    <n v="505.73"/>
    <n v="505.72"/>
    <n v="505.73"/>
    <n v="505.72"/>
    <n v="6068.7300000000005"/>
    <n v="9.9999999999909051E-3"/>
  </r>
  <r>
    <x v="13"/>
    <x v="6"/>
    <x v="0"/>
    <s v="5105107"/>
    <n v="735060"/>
    <s v="Depreciation-Fixed Equipment"/>
    <s v="Coumadin Clinic"/>
    <x v="0"/>
    <m/>
    <n v="49.85"/>
    <n v="49.85"/>
    <n v="49.85"/>
    <n v="49.85"/>
    <n v="49.85"/>
    <n v="49.85"/>
    <n v="49.85"/>
    <n v="49.85"/>
    <n v="49.85"/>
    <n v="49.84"/>
    <n v="49.85"/>
    <n v="49.84"/>
    <n v="598.18000000000018"/>
    <n v="9.9999999999980105E-3"/>
  </r>
  <r>
    <x v="13"/>
    <x v="6"/>
    <x v="0"/>
    <s v="5105107"/>
    <n v="735070"/>
    <s v="Depreciation-Movable Equipment"/>
    <s v="Coumadin Clinic"/>
    <x v="0"/>
    <m/>
    <n v="184.15"/>
    <n v="184.14"/>
    <n v="184.16"/>
    <n v="184.14"/>
    <n v="184.16"/>
    <n v="184.15"/>
    <n v="184.16"/>
    <n v="184.15"/>
    <n v="184.16"/>
    <n v="184.15"/>
    <n v="184.16"/>
    <n v="140.27000000000001"/>
    <n v="2165.9500000000003"/>
    <n v="43.889999999999986"/>
  </r>
  <r>
    <x v="0"/>
    <x v="6"/>
    <x v="0"/>
    <s v="5105107"/>
    <n v="749510"/>
    <s v="Licenses"/>
    <s v="Coumadin Clinic"/>
    <x v="0"/>
    <n v="1002"/>
    <n v="0"/>
    <n v="0"/>
    <n v="0"/>
    <n v="0"/>
    <n v="0"/>
    <n v="0"/>
    <n v="0"/>
    <n v="0"/>
    <n v="0"/>
    <n v="150"/>
    <n v="0"/>
    <n v="0"/>
    <n v="150"/>
    <n v="0"/>
  </r>
  <r>
    <x v="19"/>
    <x v="7"/>
    <x v="0"/>
    <s v="5105150"/>
    <n v="400020"/>
    <s v="O/P Care Svcs Rev--Medicare"/>
    <s v="Coumadin Clinic"/>
    <x v="0"/>
    <n v="1100"/>
    <n v="-82549"/>
    <n v="-87620.56"/>
    <n v="-69438.64"/>
    <n v="-90097.3"/>
    <n v="-72690.48"/>
    <n v="-73397.759999999995"/>
    <n v="-77256.960000000006"/>
    <n v="-67488.34"/>
    <n v="-78075.13"/>
    <n v="-80929.37"/>
    <n v="-82297.820000000007"/>
    <n v="-68448.09"/>
    <n v="-930289.44999999984"/>
    <n v="-13849.73000000001"/>
  </r>
  <r>
    <x v="19"/>
    <x v="7"/>
    <x v="0"/>
    <s v="5105150"/>
    <n v="400020"/>
    <s v="O/P Care Svcs Rev--Medicaid"/>
    <s v="Coumadin Clinic"/>
    <x v="0"/>
    <n v="1200"/>
    <n v="-7188.4"/>
    <n v="-6282.97"/>
    <n v="-7482.88"/>
    <n v="-6953.92"/>
    <n v="-5386.08"/>
    <n v="-4924.08"/>
    <n v="-4220.6400000000003"/>
    <n v="-3469.35"/>
    <n v="-4513.0200000000004"/>
    <n v="-4354.0200000000004"/>
    <n v="-7961.48"/>
    <n v="-6531.03"/>
    <n v="-69267.87"/>
    <n v="-1430.4499999999998"/>
  </r>
  <r>
    <x v="19"/>
    <x v="7"/>
    <x v="0"/>
    <s v="5105150"/>
    <n v="400020"/>
    <s v="O/P Care Svcs Rev--Comm Insurance"/>
    <s v="Coumadin Clinic"/>
    <x v="0"/>
    <n v="1300"/>
    <n v="-1172.4000000000001"/>
    <n v="-1487.36"/>
    <n v="-857.44"/>
    <n v="-2344.8000000000002"/>
    <n v="-468.96"/>
    <n v="-703.44"/>
    <n v="-468.96"/>
    <n v="-241.89"/>
    <n v="-241.89"/>
    <n v="-241.89"/>
    <n v="-483.78"/>
    <n v="-249.3"/>
    <n v="-8962.11"/>
    <n v="-234.47999999999996"/>
  </r>
  <r>
    <x v="19"/>
    <x v="7"/>
    <x v="0"/>
    <s v="5105150"/>
    <n v="400020"/>
    <s v="O/P Care Svcs Rev--BCBS Comm"/>
    <s v="Coumadin Clinic"/>
    <x v="0"/>
    <n v="1301"/>
    <n v="-4602.12"/>
    <n v="-3773.34"/>
    <n v="-4924.08"/>
    <n v="-6779.44"/>
    <n v="-2866.8"/>
    <n v="-3517.2"/>
    <n v="-4924.08"/>
    <n v="-3870.24"/>
    <n v="-7560.59"/>
    <n v="-6772.92"/>
    <n v="-5563.47"/>
    <n v="-3870.24"/>
    <n v="-59024.52"/>
    <n v="-1693.2300000000005"/>
  </r>
  <r>
    <x v="19"/>
    <x v="7"/>
    <x v="0"/>
    <s v="5105150"/>
    <n v="400020"/>
    <s v="O/P Care Svcs Rev--Managed Care"/>
    <s v="Coumadin Clinic"/>
    <x v="0"/>
    <n v="1400"/>
    <n v="-11020.56"/>
    <n v="-13017.91"/>
    <n v="-9144.7199999999993"/>
    <n v="-10573.26"/>
    <n v="-11160.64"/>
    <n v="-7972.32"/>
    <n v="-11489.52"/>
    <n v="-11272.46"/>
    <n v="-11430.83"/>
    <n v="-11368.83"/>
    <n v="-10401.27"/>
    <n v="-12149.72"/>
    <n v="-131002.04000000002"/>
    <n v="1748.4499999999989"/>
  </r>
  <r>
    <x v="19"/>
    <x v="7"/>
    <x v="0"/>
    <s v="5105150"/>
    <n v="400020"/>
    <s v="O/P Care Svcs Rev--Self Pay"/>
    <s v="Coumadin Clinic"/>
    <x v="0"/>
    <n v="1500"/>
    <n v="223.65"/>
    <n v="-447.3"/>
    <n v="0"/>
    <n v="-703.44"/>
    <n v="-468.96"/>
    <n v="-468.96"/>
    <n v="-763.44"/>
    <n v="-483.78"/>
    <n v="-483.78"/>
    <n v="-967.56"/>
    <n v="-483.78"/>
    <n v="-234.48"/>
    <n v="-5281.829999999999"/>
    <n v="-249.29999999999998"/>
  </r>
  <r>
    <x v="19"/>
    <x v="7"/>
    <x v="0"/>
    <s v="5105150"/>
    <n v="400020"/>
    <s v="O/P Care Svcs Rev--Other"/>
    <s v="Coumadin Clinic"/>
    <x v="0"/>
    <n v="1700"/>
    <n v="-468.96"/>
    <n v="0"/>
    <n v="-1305.92"/>
    <n v="-703.44"/>
    <n v="-234.48"/>
    <n v="-3282.72"/>
    <n v="-703.44"/>
    <n v="-483.78"/>
    <n v="-241.89"/>
    <n v="-241.89"/>
    <n v="-241.89"/>
    <n v="-241.89"/>
    <n v="-8150.300000000002"/>
    <n v="0"/>
  </r>
  <r>
    <x v="5"/>
    <x v="7"/>
    <x v="0"/>
    <s v="5105150"/>
    <n v="700018"/>
    <s v="Salaries-Supervisory-Productive"/>
    <s v="Coumadin Clinic"/>
    <x v="0"/>
    <m/>
    <n v="0"/>
    <n v="0"/>
    <n v="0"/>
    <n v="937.26"/>
    <n v="1124.69"/>
    <n v="-487.34"/>
    <n v="713.34"/>
    <n v="-187.7"/>
    <n v="2402.89"/>
    <n v="225.3"/>
    <n v="2064.96"/>
    <n v="37.590000000000003"/>
    <n v="6830.99"/>
    <n v="2027.3700000000001"/>
  </r>
  <r>
    <x v="5"/>
    <x v="7"/>
    <x v="0"/>
    <s v="5105150"/>
    <n v="700032"/>
    <s v="Salaries-Other Pat Care Providers-Productive"/>
    <s v="Coumadin Clinic"/>
    <x v="0"/>
    <m/>
    <n v="14035.27"/>
    <n v="14540.54"/>
    <n v="11817.31"/>
    <n v="13690.35"/>
    <n v="13721.64"/>
    <n v="12038.16"/>
    <n v="13007.4"/>
    <n v="10425.959999999999"/>
    <n v="14061.41"/>
    <n v="13644.28"/>
    <n v="13165.79"/>
    <n v="12880.48"/>
    <n v="157028.59000000003"/>
    <n v="285.31000000000131"/>
  </r>
  <r>
    <x v="5"/>
    <x v="7"/>
    <x v="0"/>
    <s v="5105150"/>
    <n v="700032"/>
    <s v="Salaries-Other Pat Care Providers-OT"/>
    <s v="Coumadin Clinic"/>
    <x v="0"/>
    <n v="1000"/>
    <n v="0"/>
    <n v="0"/>
    <n v="36.659999999999997"/>
    <n v="-13.33"/>
    <n v="404.36"/>
    <n v="22.05"/>
    <n v="-14.69"/>
    <n v="0"/>
    <n v="0"/>
    <n v="0"/>
    <n v="0"/>
    <n v="0"/>
    <n v="435.05"/>
    <n v="0"/>
  </r>
  <r>
    <x v="5"/>
    <x v="7"/>
    <x v="0"/>
    <s v="5105150"/>
    <n v="700032"/>
    <s v="Salaries-Other Pat Care Providers-Other"/>
    <s v="Coumadin Clinic"/>
    <x v="0"/>
    <n v="2000"/>
    <n v="57.38"/>
    <n v="26.47"/>
    <n v="14.11"/>
    <n v="54.14"/>
    <n v="21.72"/>
    <n v="17.57"/>
    <n v="22.55"/>
    <n v="13.88"/>
    <n v="29.7"/>
    <n v="27.06"/>
    <n v="21.31"/>
    <n v="20.46"/>
    <n v="326.34999999999997"/>
    <n v="0.84999999999999787"/>
  </r>
  <r>
    <x v="5"/>
    <x v="7"/>
    <x v="0"/>
    <s v="5105150"/>
    <n v="700038"/>
    <s v="Salaries-Service/Support-Productive"/>
    <s v="Coumadin Clinic"/>
    <x v="0"/>
    <m/>
    <n v="0"/>
    <n v="318.08"/>
    <n v="658.87"/>
    <n v="271.27999999999997"/>
    <n v="682.07"/>
    <n v="505.7"/>
    <n v="528.47"/>
    <n v="292.97000000000003"/>
    <n v="365.09"/>
    <n v="800.83"/>
    <n v="-235.51"/>
    <n v="659.53"/>
    <n v="4847.38"/>
    <n v="-895.04"/>
  </r>
  <r>
    <x v="5"/>
    <x v="7"/>
    <x v="0"/>
    <s v="5105150"/>
    <n v="700072"/>
    <s v="Salaries-Other Pat Care Providers-NonProd-Other"/>
    <s v="Coumadin Clinic"/>
    <x v="0"/>
    <n v="2000"/>
    <n v="0"/>
    <n v="0"/>
    <n v="0"/>
    <n v="0"/>
    <n v="66.16"/>
    <n v="-31.85"/>
    <n v="0"/>
    <n v="0"/>
    <n v="0"/>
    <n v="0"/>
    <n v="0"/>
    <n v="0"/>
    <n v="34.309999999999995"/>
    <n v="0"/>
  </r>
  <r>
    <x v="6"/>
    <x v="7"/>
    <x v="0"/>
    <s v="5105150"/>
    <n v="713010"/>
    <s v="Benefits-FICA/Medicare"/>
    <s v="Coumadin Clinic"/>
    <x v="0"/>
    <m/>
    <n v="1038.53"/>
    <n v="1087.53"/>
    <n v="909.03"/>
    <n v="1095.21"/>
    <n v="1159.4000000000001"/>
    <n v="460.88"/>
    <n v="1058.0999999999999"/>
    <n v="779.61"/>
    <n v="1270.43"/>
    <n v="1090.69"/>
    <n v="1124.67"/>
    <n v="1012.52"/>
    <n v="12086.6"/>
    <n v="112.15000000000009"/>
  </r>
  <r>
    <x v="6"/>
    <x v="7"/>
    <x v="0"/>
    <s v="5105150"/>
    <n v="713090"/>
    <s v="Benefits-Allocated Amounts"/>
    <s v="Coumadin Clinic"/>
    <x v="0"/>
    <m/>
    <n v="2098.2199999999998"/>
    <n v="1945.8"/>
    <n v="1901.39"/>
    <n v="2026.58"/>
    <n v="2268.54"/>
    <n v="1681.57"/>
    <n v="2047.2"/>
    <n v="1377.17"/>
    <n v="2201.2600000000002"/>
    <n v="2244.0300000000002"/>
    <n v="1859.79"/>
    <n v="1869.83"/>
    <n v="23521.379999999997"/>
    <n v="-10.039999999999964"/>
  </r>
  <r>
    <x v="11"/>
    <x v="7"/>
    <x v="0"/>
    <s v="5105150"/>
    <n v="721250"/>
    <s v="Supplies-Pharmacy Drugs - Billable"/>
    <s v="Coumadin Clinic"/>
    <x v="0"/>
    <m/>
    <n v="1697.9"/>
    <n v="1698.8"/>
    <n v="1698.8"/>
    <n v="1698.8"/>
    <n v="1698.8"/>
    <n v="1698.8"/>
    <n v="1698.8"/>
    <n v="0"/>
    <n v="1701.4"/>
    <n v="1701.4"/>
    <n v="1701.4"/>
    <n v="1701.4"/>
    <n v="18696.3"/>
    <n v="0"/>
  </r>
  <r>
    <x v="11"/>
    <x v="7"/>
    <x v="0"/>
    <s v="5105150"/>
    <n v="721410"/>
    <s v="Supplies-Medical - Nonbillable"/>
    <s v="Coumadin Clinic"/>
    <x v="0"/>
    <m/>
    <n v="-12.15"/>
    <n v="53.62"/>
    <n v="35"/>
    <n v="56.54"/>
    <n v="43.94"/>
    <n v="39.28"/>
    <n v="43.48"/>
    <n v="43.87"/>
    <n v="37.36"/>
    <n v="-92.36"/>
    <n v="44.96"/>
    <n v="47.66"/>
    <n v="341.19999999999993"/>
    <n v="-2.6999999999999957"/>
  </r>
  <r>
    <x v="11"/>
    <x v="7"/>
    <x v="0"/>
    <s v="5105150"/>
    <n v="721710"/>
    <s v="Supplies-Laboratory - Nonbillable"/>
    <s v="Coumadin Clinic"/>
    <x v="0"/>
    <m/>
    <n v="17.399999999999999"/>
    <n v="23.2"/>
    <n v="17.399999999999999"/>
    <n v="34.799999999999997"/>
    <n v="23.2"/>
    <n v="17.399999999999999"/>
    <n v="34.799999999999997"/>
    <n v="17.399999999999999"/>
    <n v="23.2"/>
    <n v="34.799999999999997"/>
    <n v="23.2"/>
    <n v="17.399999999999999"/>
    <n v="284.19999999999993"/>
    <n v="5.8000000000000007"/>
  </r>
  <r>
    <x v="11"/>
    <x v="7"/>
    <x v="0"/>
    <s v="5105150"/>
    <n v="721870"/>
    <s v="Supplies-Environmental Services"/>
    <s v="Coumadin Clinic"/>
    <x v="0"/>
    <m/>
    <n v="-73.39"/>
    <n v="19.2"/>
    <n v="51.09"/>
    <n v="33.6"/>
    <n v="45.88"/>
    <n v="23.79"/>
    <n v="60.76"/>
    <n v="19.2"/>
    <n v="47.61"/>
    <n v="28.8"/>
    <n v="40.06"/>
    <n v="19.2"/>
    <n v="315.8"/>
    <n v="20.860000000000003"/>
  </r>
  <r>
    <x v="11"/>
    <x v="7"/>
    <x v="0"/>
    <s v="5105150"/>
    <n v="721910"/>
    <s v="Supplies-Small Equipment"/>
    <s v="Coumadin Clinic"/>
    <x v="0"/>
    <m/>
    <n v="2.56"/>
    <n v="0"/>
    <n v="3.84"/>
    <n v="3.84"/>
    <n v="0"/>
    <n v="0"/>
    <n v="0"/>
    <n v="4.08"/>
    <n v="0"/>
    <n v="0"/>
    <n v="7.44"/>
    <n v="0"/>
    <n v="21.76"/>
    <n v="7.44"/>
  </r>
  <r>
    <x v="0"/>
    <x v="7"/>
    <x v="0"/>
    <s v="5105150"/>
    <n v="749510"/>
    <s v="Licenses"/>
    <s v="Coumadin Clinic"/>
    <x v="0"/>
    <n v="1002"/>
    <n v="0"/>
    <n v="0"/>
    <n v="0"/>
    <n v="0"/>
    <n v="0"/>
    <n v="0"/>
    <n v="0"/>
    <n v="0"/>
    <n v="0"/>
    <n v="150"/>
    <n v="0"/>
    <n v="0"/>
    <n v="150"/>
    <n v="0"/>
  </r>
  <r>
    <x v="15"/>
    <x v="3"/>
    <x v="0"/>
    <s v="5106101"/>
    <n v="731060"/>
    <s v="Pagers"/>
    <s v="Indigent Care Clinic"/>
    <x v="0"/>
    <n v="1002"/>
    <n v="8.1"/>
    <n v="8.1"/>
    <n v="-16.2"/>
    <n v="0"/>
    <n v="0"/>
    <n v="0"/>
    <n v="0"/>
    <n v="0"/>
    <n v="0"/>
    <n v="0"/>
    <n v="0"/>
    <n v="0"/>
    <n v="0"/>
    <n v="0"/>
  </r>
  <r>
    <x v="5"/>
    <x v="3"/>
    <x v="0"/>
    <s v="5140101"/>
    <n v="700032"/>
    <s v="Salaries-Other Pat Care Providers-Productive"/>
    <s v="Pharmacy-Centralized Services"/>
    <x v="0"/>
    <m/>
    <n v="41262.39"/>
    <n v="41157.120000000003"/>
    <n v="41481.22"/>
    <n v="41739.599999999999"/>
    <n v="35326.660000000003"/>
    <n v="38986.54"/>
    <n v="39303.72"/>
    <n v="35944.79"/>
    <n v="45877.94"/>
    <n v="34436.42"/>
    <n v="47868.3"/>
    <n v="40925.81"/>
    <n v="484310.50999999995"/>
    <n v="6942.4900000000052"/>
  </r>
  <r>
    <x v="5"/>
    <x v="3"/>
    <x v="0"/>
    <s v="5140101"/>
    <n v="700032"/>
    <s v="Salaries-Other Pat Care Providers-OT"/>
    <s v="Pharmacy-Centralized Services"/>
    <x v="0"/>
    <n v="1000"/>
    <n v="327.79"/>
    <n v="216.84"/>
    <n v="3184.92"/>
    <n v="344.37"/>
    <n v="511.16"/>
    <n v="826.11"/>
    <n v="670.13"/>
    <n v="552.67999999999995"/>
    <n v="852.18"/>
    <n v="1503.89"/>
    <n v="1511.79"/>
    <n v="1642.1"/>
    <n v="12143.960000000001"/>
    <n v="-130.30999999999995"/>
  </r>
  <r>
    <x v="5"/>
    <x v="3"/>
    <x v="0"/>
    <s v="5140101"/>
    <n v="700032"/>
    <s v="Salaries-Other Pat Care Providers-Other"/>
    <s v="Pharmacy-Centralized Services"/>
    <x v="0"/>
    <n v="2000"/>
    <n v="1406.42"/>
    <n v="1422.33"/>
    <n v="1361.65"/>
    <n v="1429.28"/>
    <n v="1329.13"/>
    <n v="1381.8"/>
    <n v="1425.89"/>
    <n v="1272.32"/>
    <n v="1554.58"/>
    <n v="1030.28"/>
    <n v="1497.1"/>
    <n v="1308.0899999999999"/>
    <n v="16418.87"/>
    <n v="189.01"/>
  </r>
  <r>
    <x v="5"/>
    <x v="3"/>
    <x v="0"/>
    <s v="5140101"/>
    <n v="700072"/>
    <s v="Salaries-Other Pat Care Providers-Non-productive"/>
    <s v="Pharmacy-Centralized Services"/>
    <x v="0"/>
    <m/>
    <n v="3225.89"/>
    <n v="2423.71"/>
    <n v="4368.96"/>
    <n v="5620.21"/>
    <n v="4415.72"/>
    <n v="3208.79"/>
    <n v="3249.59"/>
    <n v="3561.63"/>
    <n v="1547.16"/>
    <n v="4205.84"/>
    <n v="1061.69"/>
    <n v="2833.36"/>
    <n v="39722.550000000003"/>
    <n v="-1771.67"/>
  </r>
  <r>
    <x v="5"/>
    <x v="3"/>
    <x v="0"/>
    <s v="5140101"/>
    <n v="700072"/>
    <s v="Salaries-Other Pat Care Providers-NonProd-Other"/>
    <s v="Pharmacy-Centralized Services"/>
    <x v="0"/>
    <n v="2000"/>
    <n v="112.23"/>
    <n v="34.1"/>
    <n v="271.27999999999997"/>
    <n v="115.62"/>
    <n v="65.650000000000006"/>
    <n v="61.88"/>
    <n v="83.6"/>
    <n v="67.989999999999995"/>
    <n v="162.08000000000001"/>
    <n v="151.47"/>
    <n v="280.06"/>
    <n v="72.709999999999994"/>
    <n v="1478.67"/>
    <n v="207.35000000000002"/>
  </r>
  <r>
    <x v="5"/>
    <x v="3"/>
    <x v="0"/>
    <s v="5140101"/>
    <n v="700084"/>
    <s v="Accrued PTO"/>
    <s v="Pharmacy-Centralized Services"/>
    <x v="0"/>
    <m/>
    <n v="580.66999999999996"/>
    <n v="1453.22"/>
    <n v="328.73"/>
    <n v="-2399.0300000000002"/>
    <n v="785.11"/>
    <n v="44.65"/>
    <n v="-110.53"/>
    <n v="-109.59"/>
    <n v="1692.06"/>
    <n v="570.91"/>
    <n v="1962.66"/>
    <n v="2204.13"/>
    <n v="7002.99"/>
    <n v="-241.47000000000003"/>
  </r>
  <r>
    <x v="6"/>
    <x v="3"/>
    <x v="0"/>
    <s v="5140101"/>
    <n v="713010"/>
    <s v="Benefits-FICA/Medicare"/>
    <s v="Pharmacy-Centralized Services"/>
    <x v="0"/>
    <m/>
    <n v="3404.98"/>
    <n v="3319.82"/>
    <n v="3726.53"/>
    <n v="3607.32"/>
    <n v="3418.49"/>
    <n v="3154.12"/>
    <n v="3266.64"/>
    <n v="3003.69"/>
    <n v="3642.5"/>
    <n v="3020.45"/>
    <n v="4103.2"/>
    <n v="3405.8"/>
    <n v="41073.539999999994"/>
    <n v="697.39999999999964"/>
  </r>
  <r>
    <x v="6"/>
    <x v="3"/>
    <x v="0"/>
    <s v="5140101"/>
    <n v="713090"/>
    <s v="Benefits-Allocated Amounts"/>
    <s v="Pharmacy-Centralized Services"/>
    <x v="0"/>
    <m/>
    <n v="11431.53"/>
    <n v="10250.73"/>
    <n v="12404.5"/>
    <n v="11562.7"/>
    <n v="10425.02"/>
    <n v="10474.61"/>
    <n v="11618.44"/>
    <n v="11002.42"/>
    <n v="11019.11"/>
    <n v="10675.3"/>
    <n v="13851.39"/>
    <n v="12004.18"/>
    <n v="136719.93000000002"/>
    <n v="1847.2099999999991"/>
  </r>
  <r>
    <x v="7"/>
    <x v="3"/>
    <x v="0"/>
    <s v="5140101"/>
    <n v="718091"/>
    <s v="Contract Services-Intracompany Allocation"/>
    <s v="Pharmacy-Centralized Services"/>
    <x v="0"/>
    <m/>
    <n v="-61926.52"/>
    <n v="-60452.51"/>
    <n v="-67302.429999999993"/>
    <n v="-62194.69"/>
    <n v="-56451.57"/>
    <n v="-58313.13"/>
    <n v="-59682.11"/>
    <n v="-55470.559999999998"/>
    <n v="-66522.23"/>
    <n v="-55769.19"/>
    <n v="-72310.83"/>
    <n v="-64570.8"/>
    <n v="-740966.57"/>
    <n v="-7740.0299999999988"/>
  </r>
  <r>
    <x v="13"/>
    <x v="3"/>
    <x v="0"/>
    <s v="5140101"/>
    <n v="735070"/>
    <s v="Depreciation-Movable Equipment"/>
    <s v="Pharmacy-Centralized Services"/>
    <x v="0"/>
    <m/>
    <n v="174.63"/>
    <n v="174.63"/>
    <n v="174.63"/>
    <n v="174.63"/>
    <n v="174.63"/>
    <n v="174.63"/>
    <n v="174.63"/>
    <n v="174.63"/>
    <n v="174.63"/>
    <n v="174.63"/>
    <n v="174.63"/>
    <n v="174.62"/>
    <n v="2095.5500000000002"/>
    <n v="9.9999999999909051E-3"/>
  </r>
  <r>
    <x v="14"/>
    <x v="9"/>
    <x v="0"/>
    <s v="5145501"/>
    <n v="600050"/>
    <s v="Miscellaneous Revenue"/>
    <s v="Regional Pharmacy Admin"/>
    <x v="0"/>
    <m/>
    <n v="0"/>
    <n v="0"/>
    <n v="-1875"/>
    <n v="0"/>
    <n v="-2750"/>
    <n v="-2500"/>
    <n v="0"/>
    <n v="0"/>
    <n v="0"/>
    <n v="0"/>
    <n v="0"/>
    <n v="0"/>
    <n v="-7125"/>
    <n v="0"/>
  </r>
  <r>
    <x v="5"/>
    <x v="9"/>
    <x v="0"/>
    <s v="5145501"/>
    <n v="700014"/>
    <s v="Salaries-Management-Productive"/>
    <s v="Regional Pharmacy Admin"/>
    <x v="0"/>
    <m/>
    <n v="50203.42"/>
    <n v="51884.31"/>
    <n v="51599.43"/>
    <n v="46954.04"/>
    <n v="63860.45"/>
    <n v="32612.13"/>
    <n v="59291.61"/>
    <n v="50749.95"/>
    <n v="57996.87"/>
    <n v="48538.52"/>
    <n v="61531.46"/>
    <n v="41208.269999999997"/>
    <n v="616430.46000000008"/>
    <n v="20323.190000000002"/>
  </r>
  <r>
    <x v="5"/>
    <x v="9"/>
    <x v="0"/>
    <s v="5145501"/>
    <n v="700014"/>
    <s v="Salaries-Management-Other"/>
    <s v="Regional Pharmacy Admin"/>
    <x v="0"/>
    <n v="2000"/>
    <n v="0"/>
    <n v="0"/>
    <n v="0"/>
    <n v="0"/>
    <n v="0"/>
    <n v="0"/>
    <n v="0"/>
    <n v="0"/>
    <n v="0"/>
    <n v="0"/>
    <n v="0"/>
    <n v="2661.72"/>
    <n v="2661.72"/>
    <n v="-2661.72"/>
  </r>
  <r>
    <x v="5"/>
    <x v="9"/>
    <x v="0"/>
    <s v="5145501"/>
    <n v="700018"/>
    <s v="Salaries-Supervisory-Productive"/>
    <s v="Regional Pharmacy Admin"/>
    <x v="0"/>
    <m/>
    <n v="12725.87"/>
    <n v="12468.54"/>
    <n v="11952.71"/>
    <n v="12917.83"/>
    <n v="6038.79"/>
    <n v="11552.67"/>
    <n v="12884.72"/>
    <n v="11438.16"/>
    <n v="13804.68"/>
    <n v="7888.28"/>
    <n v="15776.54"/>
    <n v="12534"/>
    <n v="141982.79"/>
    <n v="3242.5400000000009"/>
  </r>
  <r>
    <x v="5"/>
    <x v="9"/>
    <x v="0"/>
    <s v="5145501"/>
    <n v="700032"/>
    <s v="Salaries-Other Pat Care Providers-Productive"/>
    <s v="Regional Pharmacy Admin"/>
    <x v="0"/>
    <m/>
    <n v="8913.81"/>
    <n v="7960.1"/>
    <n v="8008.2"/>
    <n v="10919.66"/>
    <n v="10967.76"/>
    <n v="9655.44"/>
    <n v="8298.24"/>
    <n v="10008.34"/>
    <n v="12028.75"/>
    <n v="10509.4"/>
    <n v="9887.1"/>
    <n v="11344.8"/>
    <n v="118501.6"/>
    <n v="-1457.6999999999989"/>
  </r>
  <r>
    <x v="5"/>
    <x v="9"/>
    <x v="0"/>
    <s v="5145501"/>
    <n v="700032"/>
    <s v="Salaries-Other Pat Care Providers-OT"/>
    <s v="Regional Pharmacy Admin"/>
    <x v="0"/>
    <n v="1000"/>
    <n v="466.31"/>
    <n v="688.26"/>
    <n v="826.54"/>
    <n v="737.89"/>
    <n v="73.72"/>
    <n v="54.92"/>
    <n v="674.78"/>
    <n v="111.86"/>
    <n v="221.51"/>
    <n v="465.68"/>
    <n v="377.03"/>
    <n v="58.46"/>
    <n v="4756.96"/>
    <n v="318.57"/>
  </r>
  <r>
    <x v="5"/>
    <x v="9"/>
    <x v="0"/>
    <s v="5145501"/>
    <n v="700032"/>
    <s v="Salaries-Other Pat Care Providers-Other"/>
    <s v="Regional Pharmacy Admin"/>
    <x v="0"/>
    <n v="2000"/>
    <n v="15.35"/>
    <n v="11.66"/>
    <n v="0"/>
    <n v="2.0099999999999998"/>
    <n v="9.9700000000000006"/>
    <n v="-5.22"/>
    <n v="0"/>
    <n v="20.28"/>
    <n v="91.3"/>
    <n v="43.55"/>
    <n v="24.86"/>
    <n v="32.18"/>
    <n v="245.94"/>
    <n v="-7.32"/>
  </r>
  <r>
    <x v="5"/>
    <x v="9"/>
    <x v="0"/>
    <s v="5145501"/>
    <n v="700034"/>
    <s v="Salaries-Tech/Professional-Productive"/>
    <s v="Regional Pharmacy Admin"/>
    <x v="0"/>
    <m/>
    <n v="5083.84"/>
    <n v="3533.72"/>
    <n v="5697.05"/>
    <n v="5260.32"/>
    <n v="5274.16"/>
    <n v="3695.82"/>
    <n v="5468.16"/>
    <n v="4593.8500000000004"/>
    <n v="5858.6"/>
    <n v="4545.34"/>
    <n v="5579.29"/>
    <n v="5342.74"/>
    <n v="59932.89"/>
    <n v="236.55000000000018"/>
  </r>
  <r>
    <x v="5"/>
    <x v="9"/>
    <x v="0"/>
    <s v="5145501"/>
    <n v="700038"/>
    <s v="Salaries-Service/Support-Productive"/>
    <s v="Regional Pharmacy Admin"/>
    <x v="0"/>
    <m/>
    <n v="7577.74"/>
    <n v="6629.11"/>
    <n v="6554.26"/>
    <n v="8395.06"/>
    <n v="6341.89"/>
    <n v="5725.86"/>
    <n v="7773.96"/>
    <n v="3492.74"/>
    <n v="4737.68"/>
    <n v="4482.03"/>
    <n v="4850.43"/>
    <n v="4057.87"/>
    <n v="70618.62999999999"/>
    <n v="792.5600000000004"/>
  </r>
  <r>
    <x v="5"/>
    <x v="9"/>
    <x v="0"/>
    <s v="5145501"/>
    <n v="700038"/>
    <s v="Salaries-Service/Support-OT"/>
    <s v="Regional Pharmacy Admin"/>
    <x v="0"/>
    <n v="1000"/>
    <n v="0"/>
    <n v="14.39"/>
    <n v="-4.3099999999999996"/>
    <n v="29.92"/>
    <n v="166.01"/>
    <n v="-86.26"/>
    <n v="0"/>
    <n v="0"/>
    <n v="10.33"/>
    <n v="0"/>
    <n v="0"/>
    <n v="10.34"/>
    <n v="140.41999999999999"/>
    <n v="-10.34"/>
  </r>
  <r>
    <x v="5"/>
    <x v="9"/>
    <x v="0"/>
    <s v="5145501"/>
    <n v="700054"/>
    <s v="Salaries-Management-Non-productive"/>
    <s v="Regional Pharmacy Admin"/>
    <x v="0"/>
    <m/>
    <n v="10284.94"/>
    <n v="8606.84"/>
    <n v="6941.17"/>
    <n v="14878.48"/>
    <n v="-3712.87"/>
    <n v="29542.36"/>
    <n v="2959.94"/>
    <n v="5471.51"/>
    <n v="4248.8100000000004"/>
    <n v="11697.23"/>
    <n v="714.18"/>
    <n v="7966.52"/>
    <n v="99599.109999999971"/>
    <n v="-7252.34"/>
  </r>
  <r>
    <x v="5"/>
    <x v="9"/>
    <x v="0"/>
    <s v="5145501"/>
    <n v="700054"/>
    <s v="Salaries-Management-NonProd-Other"/>
    <s v="Regional Pharmacy Admin"/>
    <x v="0"/>
    <n v="2000"/>
    <n v="0"/>
    <n v="0"/>
    <n v="0"/>
    <n v="0"/>
    <n v="795.33"/>
    <n v="994.21"/>
    <n v="-615.96"/>
    <n v="-1173.58"/>
    <n v="0"/>
    <n v="0"/>
    <n v="0"/>
    <n v="0"/>
    <n v="0"/>
    <n v="0"/>
  </r>
  <r>
    <x v="5"/>
    <x v="9"/>
    <x v="0"/>
    <s v="5145501"/>
    <n v="700058"/>
    <s v="Salaries-Supervisory-Non-productive"/>
    <s v="Regional Pharmacy Admin"/>
    <x v="0"/>
    <m/>
    <n v="601.91999999999996"/>
    <n v="859.84"/>
    <n v="945.93"/>
    <n v="601.91999999999996"/>
    <n v="7088.85"/>
    <n v="2013.01"/>
    <n v="702.17"/>
    <n v="832.61"/>
    <n v="-219.08"/>
    <n v="5258.62"/>
    <n v="-2190.9299999999998"/>
    <n v="613.53"/>
    <n v="17108.39"/>
    <n v="-2804.46"/>
  </r>
  <r>
    <x v="5"/>
    <x v="9"/>
    <x v="0"/>
    <s v="5145501"/>
    <n v="700072"/>
    <s v="Salaries-Other Pat Care Providers-Non-productive"/>
    <s v="Regional Pharmacy Admin"/>
    <x v="0"/>
    <m/>
    <n v="2979.09"/>
    <n v="4021.92"/>
    <n v="3501.74"/>
    <n v="1188.07"/>
    <n v="798.78"/>
    <n v="2503.75"/>
    <n v="3904.33"/>
    <n v="990.19"/>
    <n v="148.27000000000001"/>
    <n v="1274.42"/>
    <n v="2289.9"/>
    <n v="557.16"/>
    <n v="24157.62"/>
    <n v="1732.7400000000002"/>
  </r>
  <r>
    <x v="5"/>
    <x v="9"/>
    <x v="0"/>
    <s v="5145501"/>
    <n v="700072"/>
    <s v="Salaries-Other Pat Care Providers-NonProd-Other"/>
    <s v="Regional Pharmacy Admin"/>
    <x v="0"/>
    <n v="2000"/>
    <n v="0"/>
    <n v="0"/>
    <n v="0"/>
    <n v="0"/>
    <n v="422.85"/>
    <n v="0"/>
    <n v="0"/>
    <n v="-422.85"/>
    <n v="0"/>
    <n v="0"/>
    <n v="0"/>
    <n v="0"/>
    <n v="0"/>
    <n v="0"/>
  </r>
  <r>
    <x v="5"/>
    <x v="9"/>
    <x v="0"/>
    <s v="5145501"/>
    <n v="700074"/>
    <s v="Salaries-Tech/Professional-Non-productive"/>
    <s v="Regional Pharmacy Admin"/>
    <x v="0"/>
    <m/>
    <n v="504.8"/>
    <n v="2055.16"/>
    <n v="-288.36"/>
    <n v="464.28"/>
    <n v="297.13"/>
    <n v="2061.35"/>
    <n v="298.01"/>
    <n v="613.75"/>
    <n v="-92.97"/>
    <n v="1301.9100000000001"/>
    <n v="532.26"/>
    <n v="571.75"/>
    <n v="8319.07"/>
    <n v="-39.490000000000009"/>
  </r>
  <r>
    <x v="5"/>
    <x v="9"/>
    <x v="0"/>
    <s v="5145501"/>
    <n v="700078"/>
    <s v="Salaries-Service/Support-Non-productive"/>
    <s v="Regional Pharmacy Admin"/>
    <x v="0"/>
    <m/>
    <n v="1022.22"/>
    <n v="1961.66"/>
    <n v="1737.59"/>
    <n v="487.6"/>
    <n v="1980.87"/>
    <n v="2508.77"/>
    <n v="843.74"/>
    <n v="1174.32"/>
    <n v="146.26"/>
    <n v="244.19"/>
    <n v="33.51"/>
    <n v="661.69"/>
    <n v="12802.420000000002"/>
    <n v="-628.18000000000006"/>
  </r>
  <r>
    <x v="5"/>
    <x v="9"/>
    <x v="0"/>
    <s v="5145501"/>
    <n v="700078"/>
    <s v="Salaries-Service/Support-NonProd-Other"/>
    <s v="Regional Pharmacy Admin"/>
    <x v="0"/>
    <n v="2000"/>
    <n v="0"/>
    <n v="0"/>
    <n v="0"/>
    <n v="0"/>
    <n v="256.05"/>
    <n v="0"/>
    <n v="0"/>
    <n v="-256.05"/>
    <n v="0"/>
    <n v="0"/>
    <n v="0"/>
    <n v="0"/>
    <n v="0"/>
    <n v="0"/>
  </r>
  <r>
    <x v="5"/>
    <x v="9"/>
    <x v="0"/>
    <s v="5145501"/>
    <n v="700084"/>
    <s v="Accrued PTO"/>
    <s v="Regional Pharmacy Admin"/>
    <x v="0"/>
    <m/>
    <n v="-1360.7"/>
    <n v="-3724.92"/>
    <n v="-199.88"/>
    <n v="-247.26"/>
    <n v="6505.95"/>
    <n v="-18187.939999999999"/>
    <n v="1855.8"/>
    <n v="5138.62"/>
    <n v="7094.55"/>
    <n v="-3566.05"/>
    <n v="8208.66"/>
    <n v="4539.62"/>
    <n v="6056.449999999998"/>
    <n v="3669.04"/>
  </r>
  <r>
    <x v="6"/>
    <x v="9"/>
    <x v="0"/>
    <s v="5145501"/>
    <n v="713010"/>
    <s v="Benefits-FICA/Medicare"/>
    <s v="Regional Pharmacy Admin"/>
    <x v="0"/>
    <m/>
    <n v="7420.32"/>
    <n v="7455.93"/>
    <n v="4688.3500000000004"/>
    <n v="3723.37"/>
    <n v="3119.88"/>
    <n v="5305.14"/>
    <n v="7649.25"/>
    <n v="6695.73"/>
    <n v="7325.53"/>
    <n v="7124.45"/>
    <n v="7358.05"/>
    <n v="7716.96"/>
    <n v="75582.960000000006"/>
    <n v="-358.90999999999985"/>
  </r>
  <r>
    <x v="6"/>
    <x v="9"/>
    <x v="0"/>
    <s v="5145501"/>
    <n v="713090"/>
    <s v="Benefits-Allocated Amounts"/>
    <s v="Regional Pharmacy Admin"/>
    <x v="0"/>
    <m/>
    <n v="14742"/>
    <n v="13541.76"/>
    <n v="14279.43"/>
    <n v="13768.86"/>
    <n v="13041.49"/>
    <n v="14125.53"/>
    <n v="15750.31"/>
    <n v="13979.46"/>
    <n v="16431.150000000001"/>
    <n v="14385.01"/>
    <n v="14975.54"/>
    <n v="13457.94"/>
    <n v="172478.48"/>
    <n v="1517.6000000000004"/>
  </r>
  <r>
    <x v="7"/>
    <x v="9"/>
    <x v="0"/>
    <s v="5145501"/>
    <n v="718050"/>
    <s v="Document Shredding/Storage"/>
    <s v="Regional Pharmacy Admin"/>
    <x v="0"/>
    <n v="1012"/>
    <n v="205.36"/>
    <n v="-168.77"/>
    <n v="73.48"/>
    <n v="65.11"/>
    <n v="67.3"/>
    <n v="67.3"/>
    <n v="66.62"/>
    <n v="138.97"/>
    <n v="99.06"/>
    <n v="91.84"/>
    <n v="67.959999999999994"/>
    <n v="86.24"/>
    <n v="860.47000000000014"/>
    <n v="-18.28"/>
  </r>
  <r>
    <x v="7"/>
    <x v="9"/>
    <x v="0"/>
    <s v="5145501"/>
    <n v="718050"/>
    <s v="Miscellaneous Purchased Svcs"/>
    <s v="Regional Pharmacy Admin"/>
    <x v="0"/>
    <n v="1020"/>
    <n v="0"/>
    <n v="0"/>
    <n v="0"/>
    <n v="0"/>
    <n v="28.79"/>
    <n v="0"/>
    <n v="0"/>
    <n v="0"/>
    <n v="0"/>
    <n v="0"/>
    <n v="485.15"/>
    <n v="134.81"/>
    <n v="648.75"/>
    <n v="350.34"/>
  </r>
  <r>
    <x v="11"/>
    <x v="9"/>
    <x v="0"/>
    <s v="5145501"/>
    <n v="721810"/>
    <s v="Supplies-Dietary/Cafeteria"/>
    <s v="Regional Pharmacy Admin"/>
    <x v="0"/>
    <m/>
    <n v="0"/>
    <n v="0"/>
    <n v="0"/>
    <n v="0"/>
    <n v="126.11"/>
    <n v="0"/>
    <n v="0"/>
    <n v="0"/>
    <n v="0"/>
    <n v="0"/>
    <n v="0"/>
    <n v="0"/>
    <n v="126.11"/>
    <n v="0"/>
  </r>
  <r>
    <x v="11"/>
    <x v="9"/>
    <x v="0"/>
    <s v="5145501"/>
    <n v="721910"/>
    <s v="Supplies-Small Equipment"/>
    <s v="Regional Pharmacy Admin"/>
    <x v="0"/>
    <m/>
    <n v="0"/>
    <n v="0"/>
    <n v="0"/>
    <n v="0"/>
    <n v="0"/>
    <n v="0"/>
    <n v="0"/>
    <n v="0"/>
    <n v="0"/>
    <n v="0"/>
    <n v="873.56"/>
    <n v="0"/>
    <n v="873.56"/>
    <n v="873.56"/>
  </r>
  <r>
    <x v="11"/>
    <x v="9"/>
    <x v="0"/>
    <s v="5145501"/>
    <n v="721980"/>
    <s v="Supplies-Other"/>
    <s v="Regional Pharmacy Admin"/>
    <x v="0"/>
    <m/>
    <n v="0"/>
    <n v="0"/>
    <n v="0"/>
    <n v="0"/>
    <n v="0"/>
    <n v="0"/>
    <n v="0"/>
    <n v="65.94"/>
    <n v="36.07"/>
    <n v="0"/>
    <n v="0"/>
    <n v="0"/>
    <n v="102.00999999999999"/>
    <n v="0"/>
  </r>
  <r>
    <x v="12"/>
    <x v="9"/>
    <x v="0"/>
    <s v="5145501"/>
    <n v="730010"/>
    <s v="Rental and Leases-Building (DO NOT USE)"/>
    <s v="Regional Pharmacy Admin"/>
    <x v="0"/>
    <m/>
    <n v="660"/>
    <n v="660"/>
    <n v="660"/>
    <n v="660"/>
    <n v="660"/>
    <n v="660"/>
    <n v="660"/>
    <n v="660"/>
    <n v="660"/>
    <n v="660"/>
    <n v="660"/>
    <n v="0"/>
    <n v="7260"/>
    <n v="660"/>
  </r>
  <r>
    <x v="12"/>
    <x v="9"/>
    <x v="0"/>
    <s v="5145501"/>
    <n v="730040"/>
    <s v="LT Lease-Real Estate"/>
    <s v="Regional Pharmacy Admin"/>
    <x v="0"/>
    <m/>
    <n v="0"/>
    <n v="0"/>
    <n v="0"/>
    <n v="0"/>
    <n v="0"/>
    <n v="0"/>
    <n v="0"/>
    <n v="0"/>
    <n v="0"/>
    <n v="0"/>
    <n v="0"/>
    <n v="660"/>
    <n v="660"/>
    <n v="-660"/>
  </r>
  <r>
    <x v="15"/>
    <x v="9"/>
    <x v="0"/>
    <s v="5145501"/>
    <n v="731060"/>
    <s v="Telephone"/>
    <s v="Regional Pharmacy Admin"/>
    <x v="0"/>
    <m/>
    <n v="0"/>
    <n v="0"/>
    <n v="0"/>
    <n v="0"/>
    <n v="0"/>
    <n v="0"/>
    <n v="0"/>
    <n v="0"/>
    <n v="0"/>
    <n v="0"/>
    <n v="375"/>
    <n v="38.25"/>
    <n v="413.25"/>
    <n v="336.75"/>
  </r>
  <r>
    <x v="0"/>
    <x v="9"/>
    <x v="0"/>
    <s v="5145501"/>
    <n v="740020"/>
    <s v="Education-Registration Fees"/>
    <s v="Regional Pharmacy Admin"/>
    <x v="0"/>
    <m/>
    <n v="0"/>
    <n v="0"/>
    <n v="0"/>
    <n v="0"/>
    <n v="740"/>
    <n v="0"/>
    <n v="0"/>
    <n v="0"/>
    <n v="0"/>
    <n v="0"/>
    <n v="0"/>
    <n v="765"/>
    <n v="1505"/>
    <n v="-765"/>
  </r>
  <r>
    <x v="0"/>
    <x v="9"/>
    <x v="0"/>
    <s v="5145501"/>
    <n v="742010"/>
    <s v="Postage-Regular"/>
    <s v="Regional Pharmacy Admin"/>
    <x v="0"/>
    <m/>
    <n v="0"/>
    <n v="0"/>
    <n v="13.05"/>
    <n v="0"/>
    <n v="0"/>
    <n v="0"/>
    <n v="0"/>
    <n v="0"/>
    <n v="0"/>
    <n v="0"/>
    <n v="0"/>
    <n v="0"/>
    <n v="13.05"/>
    <n v="0"/>
  </r>
  <r>
    <x v="0"/>
    <x v="9"/>
    <x v="0"/>
    <s v="5145501"/>
    <n v="743020"/>
    <s v="Dues--Individual"/>
    <s v="Regional Pharmacy Admin"/>
    <x v="0"/>
    <m/>
    <n v="0"/>
    <n v="665"/>
    <n v="-270"/>
    <n v="640"/>
    <n v="0"/>
    <n v="0"/>
    <n v="0"/>
    <n v="0"/>
    <n v="0"/>
    <n v="0"/>
    <n v="0"/>
    <n v="330"/>
    <n v="1365"/>
    <n v="-330"/>
  </r>
  <r>
    <x v="0"/>
    <x v="9"/>
    <x v="0"/>
    <s v="5145501"/>
    <n v="749510"/>
    <s v="Miscellaneous Expenses"/>
    <s v="Regional Pharmacy Admin"/>
    <x v="0"/>
    <m/>
    <n v="967.85"/>
    <n v="-889.85"/>
    <n v="-13.05"/>
    <n v="0"/>
    <n v="4130.09"/>
    <n v="-146.26"/>
    <n v="2027.13"/>
    <n v="722.52"/>
    <n v="-928.06"/>
    <n v="138.44"/>
    <n v="6694.45"/>
    <n v="-3113.2"/>
    <n v="9590.0600000000013"/>
    <n v="9807.65"/>
  </r>
  <r>
    <x v="0"/>
    <x v="9"/>
    <x v="0"/>
    <s v="5145501"/>
    <n v="749510"/>
    <s v="RICE Rewards"/>
    <s v="Regional Pharmacy Admin"/>
    <x v="0"/>
    <n v="5100"/>
    <n v="0"/>
    <n v="0"/>
    <n v="0"/>
    <n v="0"/>
    <n v="0"/>
    <n v="0"/>
    <n v="0"/>
    <n v="0"/>
    <n v="0"/>
    <n v="0"/>
    <n v="0"/>
    <n v="383.14"/>
    <n v="383.14"/>
    <n v="-383.14"/>
  </r>
  <r>
    <x v="0"/>
    <x v="9"/>
    <x v="0"/>
    <s v="5145501"/>
    <n v="749530"/>
    <s v="Travel"/>
    <s v="Regional Pharmacy Admin"/>
    <x v="0"/>
    <m/>
    <n v="0"/>
    <n v="1159.5899999999999"/>
    <n v="541.58000000000004"/>
    <n v="554.19000000000005"/>
    <n v="68.53"/>
    <n v="1970.06"/>
    <n v="89.75"/>
    <n v="1322.53"/>
    <n v="414"/>
    <n v="47.86"/>
    <n v="743.07"/>
    <n v="5263.44"/>
    <n v="12174.599999999999"/>
    <n v="-4520.37"/>
  </r>
  <r>
    <x v="0"/>
    <x v="9"/>
    <x v="0"/>
    <s v="5145501"/>
    <n v="749530"/>
    <s v="Mileage"/>
    <s v="Regional Pharmacy Admin"/>
    <x v="0"/>
    <n v="1001"/>
    <n v="130.27000000000001"/>
    <n v="257.27999999999997"/>
    <n v="122.64"/>
    <n v="683.98"/>
    <n v="137.91"/>
    <n v="124.31"/>
    <n v="0"/>
    <n v="214.02"/>
    <n v="71.92"/>
    <n v="31.9"/>
    <n v="217.5"/>
    <n v="74.239999999999995"/>
    <n v="2065.9700000000003"/>
    <n v="143.26"/>
  </r>
  <r>
    <x v="0"/>
    <x v="9"/>
    <x v="0"/>
    <s v="5145501"/>
    <n v="749535"/>
    <s v="Meetings"/>
    <s v="Regional Pharmacy Admin"/>
    <x v="0"/>
    <m/>
    <n v="0"/>
    <n v="0"/>
    <n v="0"/>
    <n v="0"/>
    <n v="0"/>
    <n v="698.19"/>
    <n v="0"/>
    <n v="0"/>
    <n v="0"/>
    <n v="0"/>
    <n v="105.63"/>
    <n v="365.7"/>
    <n v="1169.52"/>
    <n v="-260.07"/>
  </r>
  <r>
    <x v="18"/>
    <x v="0"/>
    <x v="0"/>
    <s v="5150102"/>
    <n v="400010"/>
    <s v="Acute I/P Svcs Rev--Medicare"/>
    <s v="Radiation Oncology"/>
    <x v="0"/>
    <n v="1100"/>
    <n v="0"/>
    <n v="0"/>
    <n v="0"/>
    <n v="0"/>
    <n v="-44436.42"/>
    <n v="0"/>
    <n v="0"/>
    <n v="0"/>
    <n v="-3761.02"/>
    <n v="-44462.65"/>
    <n v="-41005.269999999997"/>
    <n v="-78523.33"/>
    <n v="-212188.69"/>
    <n v="37518.060000000005"/>
  </r>
  <r>
    <x v="18"/>
    <x v="0"/>
    <x v="0"/>
    <s v="5150102"/>
    <n v="400010"/>
    <s v="Acute I/P Svcs Rev--Medicaid"/>
    <s v="Radiation Oncology"/>
    <x v="0"/>
    <n v="1200"/>
    <n v="0"/>
    <n v="0"/>
    <n v="0"/>
    <n v="0"/>
    <n v="0"/>
    <n v="0"/>
    <n v="0"/>
    <n v="-18285.990000000002"/>
    <n v="0"/>
    <n v="0"/>
    <n v="0"/>
    <n v="0"/>
    <n v="-18285.990000000002"/>
    <n v="0"/>
  </r>
  <r>
    <x v="18"/>
    <x v="0"/>
    <x v="0"/>
    <s v="5150102"/>
    <n v="400010"/>
    <s v="Acute I/P Svcs Rev--Comm Insurance"/>
    <s v="Radiation Oncology"/>
    <x v="0"/>
    <n v="1300"/>
    <n v="0"/>
    <n v="0"/>
    <n v="0"/>
    <n v="0"/>
    <n v="0"/>
    <n v="0"/>
    <n v="-50740.2"/>
    <n v="0"/>
    <n v="0"/>
    <n v="0"/>
    <n v="0"/>
    <n v="1911.42"/>
    <n v="-48828.78"/>
    <n v="-1911.42"/>
  </r>
  <r>
    <x v="18"/>
    <x v="0"/>
    <x v="0"/>
    <s v="5150102"/>
    <n v="400010"/>
    <s v="Acute I/P Svcs Rev--Managed Care"/>
    <s v="Radiation Oncology"/>
    <x v="0"/>
    <n v="1400"/>
    <n v="0"/>
    <n v="0"/>
    <n v="0"/>
    <n v="0"/>
    <n v="0"/>
    <n v="0"/>
    <n v="0"/>
    <n v="0"/>
    <n v="0"/>
    <n v="-12902.71"/>
    <n v="0"/>
    <n v="0"/>
    <n v="-12902.71"/>
    <n v="0"/>
  </r>
  <r>
    <x v="19"/>
    <x v="0"/>
    <x v="0"/>
    <s v="5150102"/>
    <n v="400020"/>
    <s v="O/P Care Svcs Rev--Medicare"/>
    <s v="Radiation Oncology"/>
    <x v="0"/>
    <n v="1100"/>
    <n v="-470"/>
    <n v="25270"/>
    <n v="-162502.39999999999"/>
    <n v="-697023.7"/>
    <n v="-1043527.25"/>
    <n v="-910860.1"/>
    <n v="-1026127.95"/>
    <n v="-925675.47"/>
    <n v="-1505278.75"/>
    <n v="-1552120.07"/>
    <n v="-1490684.22"/>
    <n v="-1089251.76"/>
    <n v="-10378251.67"/>
    <n v="-401432.45999999996"/>
  </r>
  <r>
    <x v="19"/>
    <x v="0"/>
    <x v="0"/>
    <s v="5150102"/>
    <n v="400020"/>
    <s v="O/P Care Svcs Rev--Medicaid"/>
    <s v="Radiation Oncology"/>
    <x v="0"/>
    <n v="1200"/>
    <n v="-161"/>
    <n v="-308"/>
    <n v="-5682.1"/>
    <n v="-147924.6"/>
    <n v="-131683.85"/>
    <n v="-133825.15"/>
    <n v="-291270.15000000002"/>
    <n v="-173278.44"/>
    <n v="-145749.51999999999"/>
    <n v="-186624.98"/>
    <n v="-451837.48"/>
    <n v="-187632.86"/>
    <n v="-1855978.13"/>
    <n v="-264204.62"/>
  </r>
  <r>
    <x v="19"/>
    <x v="0"/>
    <x v="0"/>
    <s v="5150102"/>
    <n v="400020"/>
    <s v="O/P Care Svcs Rev--Comm Insurance"/>
    <s v="Radiation Oncology"/>
    <x v="0"/>
    <n v="1300"/>
    <n v="147"/>
    <n v="0"/>
    <n v="-154"/>
    <n v="0"/>
    <n v="2529.5"/>
    <n v="-39171.25"/>
    <n v="-41088.949999999997"/>
    <n v="-7109.68"/>
    <n v="-333"/>
    <n v="-39933.31"/>
    <n v="-47010.98"/>
    <n v="-3234.78"/>
    <n v="-175359.45"/>
    <n v="-43776.200000000004"/>
  </r>
  <r>
    <x v="19"/>
    <x v="0"/>
    <x v="0"/>
    <s v="5150102"/>
    <n v="400020"/>
    <s v="O/P Care Svcs Rev--BCBS Comm"/>
    <s v="Radiation Oncology"/>
    <x v="0"/>
    <n v="1301"/>
    <n v="0"/>
    <n v="834"/>
    <n v="-11853.7"/>
    <n v="-82120.55"/>
    <n v="-45293.35"/>
    <n v="-114341.45"/>
    <n v="-90482.5"/>
    <n v="-256731.79"/>
    <n v="-550073.19999999995"/>
    <n v="-505417.22"/>
    <n v="-280120.65000000002"/>
    <n v="-159282.16"/>
    <n v="-2094882.57"/>
    <n v="-120838.49000000002"/>
  </r>
  <r>
    <x v="19"/>
    <x v="0"/>
    <x v="0"/>
    <s v="5150102"/>
    <n v="400020"/>
    <s v="O/P Care Svcs Rev--Managed Care"/>
    <s v="Radiation Oncology"/>
    <x v="0"/>
    <n v="1400"/>
    <n v="0"/>
    <n v="-24807"/>
    <n v="-6950.85"/>
    <n v="-266120.40000000002"/>
    <n v="-279155.34999999998"/>
    <n v="-285411.09999999998"/>
    <n v="-250387.95"/>
    <n v="-423105.62"/>
    <n v="-433342.61"/>
    <n v="-369007.07"/>
    <n v="-312256.65000000002"/>
    <n v="-229048.71"/>
    <n v="-2879593.3099999996"/>
    <n v="-83207.940000000031"/>
  </r>
  <r>
    <x v="19"/>
    <x v="0"/>
    <x v="0"/>
    <s v="5150102"/>
    <n v="400020"/>
    <s v="O/P Care Svcs Rev--Self Pay"/>
    <s v="Radiation Oncology"/>
    <x v="0"/>
    <n v="1500"/>
    <n v="0"/>
    <n v="0"/>
    <n v="0"/>
    <n v="0"/>
    <n v="-5194.3500000000004"/>
    <n v="0"/>
    <n v="0"/>
    <n v="0"/>
    <n v="0"/>
    <n v="-28879.31"/>
    <n v="28705.31"/>
    <n v="0"/>
    <n v="-5368.3500000000022"/>
    <n v="28705.31"/>
  </r>
  <r>
    <x v="19"/>
    <x v="0"/>
    <x v="0"/>
    <s v="5150102"/>
    <n v="400020"/>
    <s v="O/P Care Svcs Rev--Other"/>
    <s v="Radiation Oncology"/>
    <x v="0"/>
    <n v="1700"/>
    <n v="0"/>
    <n v="-1172"/>
    <n v="-5673.85"/>
    <n v="-47814.9"/>
    <n v="907.55"/>
    <n v="0"/>
    <n v="0"/>
    <n v="0"/>
    <n v="0"/>
    <n v="1003"/>
    <n v="0"/>
    <n v="-1846.02"/>
    <n v="-54596.219999999994"/>
    <n v="1846.02"/>
  </r>
  <r>
    <x v="5"/>
    <x v="0"/>
    <x v="0"/>
    <s v="5150102"/>
    <n v="700026"/>
    <s v="Salaries-RN-Productive"/>
    <s v="Radiation Oncology"/>
    <x v="0"/>
    <m/>
    <n v="312.79000000000002"/>
    <n v="446.82"/>
    <n v="8634.58"/>
    <n v="10549.44"/>
    <n v="10787.68"/>
    <n v="10062.049999999999"/>
    <n v="10481.1"/>
    <n v="8016.04"/>
    <n v="11041.04"/>
    <n v="11527.4"/>
    <n v="11627.24"/>
    <n v="9706.75"/>
    <n v="103192.93000000001"/>
    <n v="1920.4899999999998"/>
  </r>
  <r>
    <x v="5"/>
    <x v="0"/>
    <x v="0"/>
    <s v="5150102"/>
    <n v="700026"/>
    <s v="Salaries-RN-OT"/>
    <s v="Radiation Oncology"/>
    <x v="0"/>
    <n v="1000"/>
    <n v="0"/>
    <n v="0"/>
    <n v="70.63"/>
    <n v="89.87"/>
    <n v="19.64"/>
    <n v="374.01"/>
    <n v="302.52999999999997"/>
    <n v="153.01"/>
    <n v="950.66"/>
    <n v="1751.9"/>
    <n v="1582.49"/>
    <n v="-507.74"/>
    <n v="4787"/>
    <n v="2090.23"/>
  </r>
  <r>
    <x v="5"/>
    <x v="0"/>
    <x v="0"/>
    <s v="5150102"/>
    <n v="700026"/>
    <s v="Salaries-RN-Other"/>
    <s v="Radiation Oncology"/>
    <x v="0"/>
    <n v="2000"/>
    <n v="0"/>
    <n v="0"/>
    <n v="90.89"/>
    <n v="17.239999999999998"/>
    <n v="0"/>
    <n v="1062.93"/>
    <n v="649.13"/>
    <n v="654.98"/>
    <n v="319.12"/>
    <n v="365.57"/>
    <n v="-43.75"/>
    <n v="236.14"/>
    <n v="3352.25"/>
    <n v="-279.89"/>
  </r>
  <r>
    <x v="5"/>
    <x v="0"/>
    <x v="0"/>
    <s v="5150102"/>
    <n v="700032"/>
    <s v="Salaries-Other Pat Care Providers-Productive"/>
    <s v="Radiation Oncology"/>
    <x v="0"/>
    <m/>
    <n v="0"/>
    <n v="145.44"/>
    <n v="0"/>
    <n v="256.89"/>
    <n v="27.56"/>
    <n v="165.33"/>
    <n v="540.05999999999995"/>
    <n v="677.73"/>
    <n v="524.02"/>
    <n v="1072.92"/>
    <n v="407.39"/>
    <n v="-145.19"/>
    <n v="3672.1499999999996"/>
    <n v="552.57999999999993"/>
  </r>
  <r>
    <x v="5"/>
    <x v="0"/>
    <x v="0"/>
    <s v="5150102"/>
    <n v="700032"/>
    <s v="Salaries-Other Pat Care Providers-OT"/>
    <s v="Radiation Oncology"/>
    <x v="0"/>
    <n v="1000"/>
    <n v="0"/>
    <n v="0"/>
    <n v="0"/>
    <n v="0"/>
    <n v="0"/>
    <n v="0"/>
    <n v="0"/>
    <n v="0"/>
    <n v="0"/>
    <n v="0"/>
    <n v="53.71"/>
    <n v="-19.21"/>
    <n v="34.5"/>
    <n v="72.92"/>
  </r>
  <r>
    <x v="5"/>
    <x v="0"/>
    <x v="0"/>
    <s v="5150102"/>
    <n v="700034"/>
    <s v="Salaries-Tech/Professional-Productive"/>
    <s v="Radiation Oncology"/>
    <x v="0"/>
    <m/>
    <n v="876.45"/>
    <n v="1663.76"/>
    <n v="16649.8"/>
    <n v="30912.1"/>
    <n v="29009.25"/>
    <n v="23977.3"/>
    <n v="22979.08"/>
    <n v="28404.74"/>
    <n v="34786.31"/>
    <n v="28974.86"/>
    <n v="30507.64"/>
    <n v="31188.43"/>
    <n v="279929.72000000003"/>
    <n v="-680.79000000000087"/>
  </r>
  <r>
    <x v="5"/>
    <x v="0"/>
    <x v="0"/>
    <s v="5150102"/>
    <n v="700034"/>
    <s v="Salaries-Tech/Professional-OT"/>
    <s v="Radiation Oncology"/>
    <x v="0"/>
    <n v="1000"/>
    <n v="0"/>
    <n v="0"/>
    <n v="214.24"/>
    <n v="839.11"/>
    <n v="2045"/>
    <n v="2070.58"/>
    <n v="674.15"/>
    <n v="1026.69"/>
    <n v="2777.89"/>
    <n v="3662.61"/>
    <n v="7050.5"/>
    <n v="-2857.89"/>
    <n v="17502.88"/>
    <n v="9908.39"/>
  </r>
  <r>
    <x v="5"/>
    <x v="0"/>
    <x v="0"/>
    <s v="5150102"/>
    <n v="700034"/>
    <s v="Salaries-Tech/Professional-Other"/>
    <s v="Radiation Oncology"/>
    <x v="0"/>
    <n v="2000"/>
    <n v="1243.53"/>
    <n v="706.29"/>
    <n v="-117.66"/>
    <n v="1191.05"/>
    <n v="989.47"/>
    <n v="1838.76"/>
    <n v="2075.5300000000002"/>
    <n v="2120.13"/>
    <n v="1887.47"/>
    <n v="2250.16"/>
    <n v="1895.68"/>
    <n v="1681.12"/>
    <n v="17761.530000000002"/>
    <n v="214.56000000000017"/>
  </r>
  <r>
    <x v="5"/>
    <x v="0"/>
    <x v="0"/>
    <s v="5150102"/>
    <n v="700066"/>
    <s v="Salaries-RN-Non-productive"/>
    <s v="Radiation Oncology"/>
    <x v="0"/>
    <m/>
    <n v="2675.12"/>
    <n v="1526.62"/>
    <n v="-95.11"/>
    <n v="0"/>
    <n v="797.41"/>
    <n v="2748.44"/>
    <n v="857.03"/>
    <n v="1660.52"/>
    <n v="-209.54"/>
    <n v="1979.07"/>
    <n v="1681.22"/>
    <n v="655"/>
    <n v="14275.779999999999"/>
    <n v="1026.22"/>
  </r>
  <r>
    <x v="5"/>
    <x v="0"/>
    <x v="0"/>
    <s v="5150102"/>
    <n v="700066"/>
    <s v="Salaries-RN-NonProd-Other"/>
    <s v="Radiation Oncology"/>
    <x v="0"/>
    <n v="2000"/>
    <n v="0"/>
    <n v="0"/>
    <n v="0"/>
    <n v="0"/>
    <n v="0"/>
    <n v="0"/>
    <n v="0"/>
    <n v="0"/>
    <n v="0"/>
    <n v="21.49"/>
    <n v="0"/>
    <n v="0"/>
    <n v="21.49"/>
    <n v="0"/>
  </r>
  <r>
    <x v="5"/>
    <x v="0"/>
    <x v="0"/>
    <s v="5150102"/>
    <n v="700074"/>
    <s v="Salaries-Tech/Professional-Non-productive"/>
    <s v="Radiation Oncology"/>
    <x v="0"/>
    <m/>
    <n v="9559.1"/>
    <n v="3773.62"/>
    <n v="4609.04"/>
    <n v="2399.33"/>
    <n v="172.31"/>
    <n v="8762.52"/>
    <n v="3260.9"/>
    <n v="1202.1099999999999"/>
    <n v="105.49"/>
    <n v="5520.16"/>
    <n v="3968.43"/>
    <n v="1997.18"/>
    <n v="45330.19"/>
    <n v="1971.2499999999998"/>
  </r>
  <r>
    <x v="5"/>
    <x v="0"/>
    <x v="0"/>
    <s v="5150102"/>
    <n v="700074"/>
    <s v="Salaries-Tech/Professional-NonProd-Other"/>
    <s v="Radiation Oncology"/>
    <x v="0"/>
    <n v="2000"/>
    <n v="0"/>
    <n v="0"/>
    <n v="0"/>
    <n v="0"/>
    <n v="0"/>
    <n v="0"/>
    <n v="180.42"/>
    <n v="135.16999999999999"/>
    <n v="0"/>
    <n v="0"/>
    <n v="29.53"/>
    <n v="363"/>
    <n v="708.12"/>
    <n v="-333.47"/>
  </r>
  <r>
    <x v="5"/>
    <x v="0"/>
    <x v="0"/>
    <s v="5150102"/>
    <n v="700084"/>
    <s v="Accrued PTO"/>
    <s v="Radiation Oncology"/>
    <x v="0"/>
    <m/>
    <n v="-5866.8"/>
    <n v="-2016.85"/>
    <n v="2693.46"/>
    <n v="3735.82"/>
    <n v="3899.18"/>
    <n v="-4237.5"/>
    <n v="-323.37"/>
    <n v="1640.1"/>
    <n v="4200.55"/>
    <n v="-1033.18"/>
    <n v="386.49"/>
    <n v="1052.3399999999999"/>
    <n v="4130.2400000000007"/>
    <n v="-665.84999999999991"/>
  </r>
  <r>
    <x v="10"/>
    <x v="0"/>
    <x v="0"/>
    <s v="5150102"/>
    <n v="710060"/>
    <s v="Contract Labor-Other"/>
    <s v="Radiation Oncology"/>
    <x v="0"/>
    <m/>
    <n v="239.75"/>
    <n v="0"/>
    <n v="0"/>
    <n v="0"/>
    <n v="0"/>
    <n v="0"/>
    <n v="0"/>
    <n v="0"/>
    <n v="0"/>
    <n v="0"/>
    <n v="0"/>
    <n v="242"/>
    <n v="481.75"/>
    <n v="-242"/>
  </r>
  <r>
    <x v="6"/>
    <x v="0"/>
    <x v="0"/>
    <s v="5150102"/>
    <n v="713010"/>
    <s v="Benefits-FICA/Medicare"/>
    <s v="Radiation Oncology"/>
    <x v="0"/>
    <m/>
    <n v="1106.6199999999999"/>
    <n v="626.16"/>
    <n v="2273.64"/>
    <n v="3500.03"/>
    <n v="3298.69"/>
    <n v="3847.23"/>
    <n v="3215.89"/>
    <n v="3305.62"/>
    <n v="3919.2"/>
    <n v="4346.01"/>
    <n v="4419.1400000000003"/>
    <n v="3135.79"/>
    <n v="36994.019999999997"/>
    <n v="1283.3500000000004"/>
  </r>
  <r>
    <x v="6"/>
    <x v="0"/>
    <x v="0"/>
    <s v="5150102"/>
    <n v="713090"/>
    <s v="Benefits-Allocated Amounts"/>
    <s v="Radiation Oncology"/>
    <x v="0"/>
    <m/>
    <n v="1918.23"/>
    <n v="1001.62"/>
    <n v="4650.66"/>
    <n v="6791.09"/>
    <n v="6466.62"/>
    <n v="7102.98"/>
    <n v="6182.03"/>
    <n v="7076.9"/>
    <n v="8021.25"/>
    <n v="8870.5"/>
    <n v="8981.2800000000007"/>
    <n v="6745.14"/>
    <n v="73808.3"/>
    <n v="2236.1400000000003"/>
  </r>
  <r>
    <x v="6"/>
    <x v="0"/>
    <x v="0"/>
    <s v="5150102"/>
    <n v="713096"/>
    <s v="Employee Recognition"/>
    <s v="Radiation Oncology"/>
    <x v="0"/>
    <n v="1017"/>
    <n v="0"/>
    <n v="0"/>
    <n v="0"/>
    <n v="0"/>
    <n v="0"/>
    <n v="0"/>
    <n v="0"/>
    <n v="0"/>
    <n v="0"/>
    <n v="0"/>
    <n v="19.989999999999998"/>
    <n v="0"/>
    <n v="19.989999999999998"/>
    <n v="19.989999999999998"/>
  </r>
  <r>
    <x v="17"/>
    <x v="0"/>
    <x v="0"/>
    <s v="5150102"/>
    <n v="714510"/>
    <s v="Medical Director Fees"/>
    <s v="Radiation Oncology"/>
    <x v="0"/>
    <m/>
    <n v="1837.5"/>
    <n v="937.5"/>
    <n v="937.5"/>
    <n v="1087.5"/>
    <n v="1687.5"/>
    <n v="937.5"/>
    <n v="1087.5"/>
    <n v="0"/>
    <n v="2175"/>
    <n v="0"/>
    <n v="1875"/>
    <n v="937.5"/>
    <n v="13500"/>
    <n v="937.5"/>
  </r>
  <r>
    <x v="7"/>
    <x v="0"/>
    <x v="0"/>
    <s v="5150102"/>
    <n v="718050"/>
    <s v="Contract Svcs-Other"/>
    <s v="Radiation Oncology"/>
    <x v="0"/>
    <m/>
    <n v="0"/>
    <n v="65.900000000000006"/>
    <n v="65.900000000000006"/>
    <n v="0"/>
    <n v="0"/>
    <n v="0"/>
    <n v="0"/>
    <n v="0"/>
    <n v="3000"/>
    <n v="0"/>
    <n v="0"/>
    <n v="0"/>
    <n v="3131.8"/>
    <n v="0"/>
  </r>
  <r>
    <x v="7"/>
    <x v="0"/>
    <x v="0"/>
    <s v="5150102"/>
    <n v="718050"/>
    <s v="Document Shredding/Storage"/>
    <s v="Radiation Oncology"/>
    <x v="0"/>
    <n v="1012"/>
    <n v="10.5"/>
    <n v="728.71"/>
    <n v="32.450000000000003"/>
    <n v="33.590000000000003"/>
    <n v="34.729999999999997"/>
    <n v="34.729999999999997"/>
    <n v="34.380000000000003"/>
    <n v="29.48"/>
    <n v="30.54"/>
    <n v="40.01"/>
    <n v="33.590000000000003"/>
    <n v="34.729999999999997"/>
    <n v="1077.44"/>
    <n v="-1.1399999999999935"/>
  </r>
  <r>
    <x v="7"/>
    <x v="0"/>
    <x v="0"/>
    <s v="5150102"/>
    <n v="718050"/>
    <s v="Miscellaneous Purchased Svcs"/>
    <s v="Radiation Oncology"/>
    <x v="0"/>
    <n v="1020"/>
    <n v="-11080.04"/>
    <n v="28134.5"/>
    <n v="45642.33"/>
    <n v="32280.27"/>
    <n v="78120.679999999993"/>
    <n v="52596.480000000003"/>
    <n v="68422.59"/>
    <n v="93851.39"/>
    <n v="92625.41"/>
    <n v="224161.6"/>
    <n v="126126.07"/>
    <n v="52193.82"/>
    <n v="883075.1"/>
    <n v="73932.25"/>
  </r>
  <r>
    <x v="7"/>
    <x v="0"/>
    <x v="0"/>
    <s v="5150102"/>
    <n v="718050"/>
    <s v="Translation Services"/>
    <s v="Radiation Oncology"/>
    <x v="0"/>
    <n v="1025"/>
    <n v="48"/>
    <n v="32"/>
    <n v="247.35"/>
    <n v="33.299999999999997"/>
    <n v="64"/>
    <n v="96"/>
    <n v="80"/>
    <n v="64"/>
    <n v="213.22"/>
    <n v="24.02"/>
    <n v="164.5"/>
    <n v="0"/>
    <n v="1066.3900000000001"/>
    <n v="164.5"/>
  </r>
  <r>
    <x v="7"/>
    <x v="0"/>
    <x v="0"/>
    <s v="5150102"/>
    <n v="718070"/>
    <s v="Contract Srvcs-CHI Clinical Engineering"/>
    <s v="Radiation Oncology"/>
    <x v="0"/>
    <m/>
    <n v="16734.91"/>
    <n v="6929.91"/>
    <n v="6929.91"/>
    <n v="6929.91"/>
    <n v="6929.91"/>
    <n v="6929.91"/>
    <n v="13229.83"/>
    <n v="629.99"/>
    <n v="6929.91"/>
    <n v="6929.91"/>
    <n v="6929.91"/>
    <n v="6929.91"/>
    <n v="92963.920000000013"/>
    <n v="0"/>
  </r>
  <r>
    <x v="7"/>
    <x v="0"/>
    <x v="0"/>
    <s v="5150102"/>
    <n v="718091"/>
    <s v="Contract Services-Intracompany Allocation"/>
    <s v="Radiation Oncology"/>
    <x v="0"/>
    <m/>
    <n v="21094.68"/>
    <n v="26656.57"/>
    <n v="21232.77"/>
    <n v="26659.4"/>
    <n v="22586.34"/>
    <n v="23689.62"/>
    <n v="24613.15"/>
    <n v="23063.96"/>
    <n v="25007.95"/>
    <n v="25787.85"/>
    <n v="26805.57"/>
    <n v="22448.23"/>
    <n v="289646.08999999997"/>
    <n v="4357.34"/>
  </r>
  <r>
    <x v="11"/>
    <x v="0"/>
    <x v="0"/>
    <s v="5150102"/>
    <n v="721010"/>
    <s v="Supplies-Medical - Billable"/>
    <s v="Radiation Oncology"/>
    <x v="0"/>
    <m/>
    <n v="2.6"/>
    <n v="0"/>
    <n v="25.92"/>
    <n v="0"/>
    <n v="6.91"/>
    <n v="9.59"/>
    <n v="25"/>
    <n v="433.76"/>
    <n v="0"/>
    <n v="2"/>
    <n v="3.42"/>
    <n v="14.48"/>
    <n v="523.67999999999995"/>
    <n v="-11.06"/>
  </r>
  <r>
    <x v="11"/>
    <x v="0"/>
    <x v="0"/>
    <s v="5150102"/>
    <n v="721020"/>
    <s v="Supplies-Surgical - Billable"/>
    <s v="Radiation Oncology"/>
    <x v="0"/>
    <m/>
    <n v="15.4"/>
    <n v="0"/>
    <n v="0"/>
    <n v="0"/>
    <n v="0"/>
    <n v="0"/>
    <n v="0"/>
    <n v="0"/>
    <n v="0"/>
    <n v="0"/>
    <n v="0"/>
    <n v="0"/>
    <n v="15.4"/>
    <n v="0"/>
  </r>
  <r>
    <x v="11"/>
    <x v="0"/>
    <x v="0"/>
    <s v="5150102"/>
    <n v="721150"/>
    <s v="Supplies-Other Implants - Billable"/>
    <s v="Radiation Oncology"/>
    <x v="0"/>
    <m/>
    <n v="0"/>
    <n v="0"/>
    <n v="0"/>
    <n v="0"/>
    <n v="0"/>
    <n v="0"/>
    <n v="0"/>
    <n v="0"/>
    <n v="0"/>
    <n v="0"/>
    <n v="0"/>
    <n v="2813.8"/>
    <n v="2813.8"/>
    <n v="-2813.8"/>
  </r>
  <r>
    <x v="11"/>
    <x v="0"/>
    <x v="0"/>
    <s v="5150102"/>
    <n v="721240"/>
    <s v="Supplies-IV Solutions/Supplies - Billable"/>
    <s v="Radiation Oncology"/>
    <x v="0"/>
    <m/>
    <n v="0"/>
    <n v="0"/>
    <n v="0"/>
    <n v="0"/>
    <n v="0"/>
    <n v="0"/>
    <n v="0"/>
    <n v="0"/>
    <n v="0"/>
    <n v="0"/>
    <n v="48.75"/>
    <n v="0"/>
    <n v="48.75"/>
    <n v="48.75"/>
  </r>
  <r>
    <x v="11"/>
    <x v="0"/>
    <x v="0"/>
    <s v="5150102"/>
    <n v="721350"/>
    <s v="Supplies-Film/Radiographic - Billable"/>
    <s v="Radiation Oncology"/>
    <x v="0"/>
    <m/>
    <n v="93.5"/>
    <n v="0"/>
    <n v="100"/>
    <n v="33.1"/>
    <n v="0"/>
    <n v="750"/>
    <n v="0"/>
    <n v="100"/>
    <n v="0"/>
    <n v="750"/>
    <n v="0"/>
    <n v="0"/>
    <n v="1826.6"/>
    <n v="0"/>
  </r>
  <r>
    <x v="11"/>
    <x v="0"/>
    <x v="0"/>
    <s v="5150102"/>
    <n v="721410"/>
    <s v="Supplies-Medical - Nonbillable"/>
    <s v="Radiation Oncology"/>
    <x v="0"/>
    <m/>
    <n v="16.059999999999999"/>
    <n v="0"/>
    <n v="58.55"/>
    <n v="52.96"/>
    <n v="50.52"/>
    <n v="32"/>
    <n v="79.400000000000006"/>
    <n v="603.95000000000005"/>
    <n v="66.66"/>
    <n v="-725.6"/>
    <n v="97.93"/>
    <n v="102.78"/>
    <n v="435.21000000000004"/>
    <n v="-4.8499999999999943"/>
  </r>
  <r>
    <x v="11"/>
    <x v="0"/>
    <x v="0"/>
    <s v="5150102"/>
    <n v="721420"/>
    <s v="Supplies-Surgical Nonbillable"/>
    <s v="Radiation Oncology"/>
    <x v="0"/>
    <m/>
    <n v="89.97"/>
    <n v="0"/>
    <n v="63.25"/>
    <n v="3.13"/>
    <n v="5.33"/>
    <n v="0"/>
    <n v="0"/>
    <n v="0"/>
    <n v="2.91"/>
    <n v="0"/>
    <n v="0"/>
    <n v="2.91"/>
    <n v="167.5"/>
    <n v="-2.91"/>
  </r>
  <r>
    <x v="11"/>
    <x v="0"/>
    <x v="0"/>
    <s v="5150102"/>
    <n v="721420"/>
    <s v="Tubes Drains &amp; Related Supplies"/>
    <s v="Radiation Oncology"/>
    <x v="0"/>
    <n v="1008"/>
    <n v="0"/>
    <n v="0"/>
    <n v="0"/>
    <n v="0"/>
    <n v="0"/>
    <n v="45.1"/>
    <n v="-4.0999999999999996"/>
    <n v="45.1"/>
    <n v="0"/>
    <n v="401.8"/>
    <n v="0"/>
    <n v="0"/>
    <n v="487.9"/>
    <n v="0"/>
  </r>
  <r>
    <x v="11"/>
    <x v="0"/>
    <x v="0"/>
    <s v="5150102"/>
    <n v="721610"/>
    <s v="Supplies-Anesthesia - Nonbillable"/>
    <s v="Radiation Oncology"/>
    <x v="0"/>
    <m/>
    <n v="0"/>
    <n v="0"/>
    <n v="2.16"/>
    <n v="0.56000000000000005"/>
    <n v="0"/>
    <n v="0"/>
    <n v="1.06"/>
    <n v="0"/>
    <n v="0"/>
    <n v="1.6"/>
    <n v="0"/>
    <n v="0.56000000000000005"/>
    <n v="5.9400000000000013"/>
    <n v="-0.56000000000000005"/>
  </r>
  <r>
    <x v="11"/>
    <x v="0"/>
    <x v="0"/>
    <s v="5150102"/>
    <n v="721650"/>
    <s v="Supplies-Pharmacy Drugs - Nonbillable"/>
    <s v="Radiation Oncology"/>
    <x v="0"/>
    <m/>
    <n v="0"/>
    <n v="0"/>
    <n v="0"/>
    <n v="7.25"/>
    <n v="0"/>
    <n v="0"/>
    <n v="0"/>
    <n v="0"/>
    <n v="2.4"/>
    <n v="7.25"/>
    <n v="0"/>
    <n v="34.380000000000003"/>
    <n v="51.28"/>
    <n v="-34.380000000000003"/>
  </r>
  <r>
    <x v="11"/>
    <x v="0"/>
    <x v="0"/>
    <s v="5150102"/>
    <n v="721710"/>
    <s v="Supplies-Laboratory - Nonbillable"/>
    <s v="Radiation Oncology"/>
    <x v="0"/>
    <m/>
    <n v="0"/>
    <n v="0"/>
    <n v="0"/>
    <n v="0.53"/>
    <n v="8.98"/>
    <n v="0"/>
    <n v="0"/>
    <n v="1.42"/>
    <n v="0"/>
    <n v="1.2"/>
    <n v="0"/>
    <n v="2.91"/>
    <n v="15.04"/>
    <n v="-2.91"/>
  </r>
  <r>
    <x v="11"/>
    <x v="0"/>
    <x v="0"/>
    <s v="5150102"/>
    <n v="721750"/>
    <s v="Supplies-Film/Radiographic - Nonbillable"/>
    <s v="Radiation Oncology"/>
    <x v="0"/>
    <m/>
    <n v="0"/>
    <n v="0"/>
    <n v="583"/>
    <n v="0"/>
    <n v="793.1"/>
    <n v="0"/>
    <n v="1166"/>
    <n v="99"/>
    <n v="0"/>
    <n v="-80"/>
    <n v="0"/>
    <n v="0"/>
    <n v="2561.1"/>
    <n v="0"/>
  </r>
  <r>
    <x v="11"/>
    <x v="0"/>
    <x v="0"/>
    <s v="5150102"/>
    <n v="721810"/>
    <s v="Supplies-Dietary/Cafeteria"/>
    <s v="Radiation Oncology"/>
    <x v="0"/>
    <m/>
    <n v="11.25"/>
    <n v="0"/>
    <n v="194.91"/>
    <n v="132.16"/>
    <n v="80.650000000000006"/>
    <n v="51.88"/>
    <n v="117.67"/>
    <n v="115.17"/>
    <n v="41.55"/>
    <n v="229.18"/>
    <n v="260.52"/>
    <n v="215.07"/>
    <n v="1450.0099999999998"/>
    <n v="45.449999999999989"/>
  </r>
  <r>
    <x v="11"/>
    <x v="0"/>
    <x v="0"/>
    <s v="5150102"/>
    <n v="721830"/>
    <s v="Supplies-Office"/>
    <s v="Radiation Oncology"/>
    <x v="0"/>
    <m/>
    <n v="66.23"/>
    <n v="309.64"/>
    <n v="2216.66"/>
    <n v="512.12"/>
    <n v="238.86"/>
    <n v="0"/>
    <n v="253.39"/>
    <n v="31.64"/>
    <n v="0"/>
    <n v="277.07"/>
    <n v="-18.649999999999999"/>
    <n v="0.8"/>
    <n v="3887.7599999999998"/>
    <n v="-19.45"/>
  </r>
  <r>
    <x v="11"/>
    <x v="0"/>
    <x v="0"/>
    <s v="5150102"/>
    <n v="721835"/>
    <s v="Supplies-Forms"/>
    <s v="Radiation Oncology"/>
    <x v="0"/>
    <m/>
    <n v="0"/>
    <n v="0"/>
    <n v="0"/>
    <n v="0"/>
    <n v="390.6"/>
    <n v="0"/>
    <n v="0"/>
    <n v="0"/>
    <n v="7.5"/>
    <n v="10.5"/>
    <n v="23.72"/>
    <n v="0"/>
    <n v="432.32000000000005"/>
    <n v="23.72"/>
  </r>
  <r>
    <x v="11"/>
    <x v="0"/>
    <x v="0"/>
    <s v="5150102"/>
    <n v="721870"/>
    <s v="Supplies-Environmental Services"/>
    <s v="Radiation Oncology"/>
    <x v="0"/>
    <m/>
    <n v="20.7"/>
    <n v="0"/>
    <n v="0"/>
    <n v="72.400000000000006"/>
    <n v="11.33"/>
    <n v="58.55"/>
    <n v="9.44"/>
    <n v="46.67"/>
    <n v="9.44"/>
    <n v="0"/>
    <n v="49.51"/>
    <n v="0"/>
    <n v="278.04000000000002"/>
    <n v="49.51"/>
  </r>
  <r>
    <x v="11"/>
    <x v="0"/>
    <x v="0"/>
    <s v="5150102"/>
    <n v="721880"/>
    <s v="Supplies-Linen"/>
    <s v="Radiation Oncology"/>
    <x v="0"/>
    <m/>
    <n v="1.99"/>
    <n v="0"/>
    <n v="7.98"/>
    <n v="3.06"/>
    <n v="9.18"/>
    <n v="3.06"/>
    <n v="4.59"/>
    <n v="9.2100000000000009"/>
    <n v="-1.53"/>
    <n v="0"/>
    <n v="3.07"/>
    <n v="0"/>
    <n v="40.61"/>
    <n v="3.07"/>
  </r>
  <r>
    <x v="11"/>
    <x v="0"/>
    <x v="0"/>
    <s v="5150102"/>
    <n v="721910"/>
    <s v="Supplies-Small Equipment"/>
    <s v="Radiation Oncology"/>
    <x v="0"/>
    <m/>
    <n v="4070.24"/>
    <n v="702.08"/>
    <n v="3298.18"/>
    <n v="503.71"/>
    <n v="0"/>
    <n v="0"/>
    <n v="0"/>
    <n v="174.9"/>
    <n v="357.5"/>
    <n v="675.89"/>
    <n v="748.49"/>
    <n v="700.73"/>
    <n v="11231.719999999998"/>
    <n v="47.759999999999991"/>
  </r>
  <r>
    <x v="11"/>
    <x v="0"/>
    <x v="0"/>
    <s v="5150102"/>
    <n v="721910"/>
    <s v="Instruments"/>
    <s v="Radiation Oncology"/>
    <x v="0"/>
    <n v="1000"/>
    <n v="7.8"/>
    <n v="9.81"/>
    <n v="12.17"/>
    <n v="19.62"/>
    <n v="58.86"/>
    <n v="15.6"/>
    <n v="0"/>
    <n v="19.62"/>
    <n v="58.86"/>
    <n v="0"/>
    <n v="360"/>
    <n v="0"/>
    <n v="562.33999999999992"/>
    <n v="360"/>
  </r>
  <r>
    <x v="11"/>
    <x v="0"/>
    <x v="0"/>
    <s v="5150102"/>
    <n v="721980"/>
    <s v="Supplies-Other"/>
    <s v="Radiation Oncology"/>
    <x v="0"/>
    <m/>
    <n v="0"/>
    <n v="2665.11"/>
    <n v="44"/>
    <n v="131.69999999999999"/>
    <n v="15.93"/>
    <n v="0"/>
    <n v="197.67"/>
    <n v="1847.81"/>
    <n v="107.9"/>
    <n v="120"/>
    <n v="0"/>
    <n v="32.950000000000003"/>
    <n v="5163.0699999999988"/>
    <n v="-32.950000000000003"/>
  </r>
  <r>
    <x v="11"/>
    <x v="0"/>
    <x v="0"/>
    <s v="5150102"/>
    <n v="722000"/>
    <s v="Supplies-Freight Expense"/>
    <s v="Radiation Oncology"/>
    <x v="0"/>
    <m/>
    <n v="7.93"/>
    <n v="84.34"/>
    <n v="0"/>
    <n v="56.3"/>
    <n v="0"/>
    <n v="0"/>
    <n v="7.29"/>
    <n v="7.59"/>
    <n v="20.079999999999998"/>
    <n v="21.6"/>
    <n v="0"/>
    <n v="0"/>
    <n v="205.12999999999997"/>
    <n v="0"/>
  </r>
  <r>
    <x v="12"/>
    <x v="0"/>
    <x v="0"/>
    <s v="5150102"/>
    <n v="730020"/>
    <s v="Rental and Leases-Copier Usage Fees (DO NOT USE)"/>
    <s v="Radiation Oncology"/>
    <x v="0"/>
    <n v="5100"/>
    <n v="278.87"/>
    <n v="285.57"/>
    <n v="282.22000000000003"/>
    <n v="282.22000000000003"/>
    <n v="282.22000000000003"/>
    <n v="282.22000000000003"/>
    <n v="261.42"/>
    <n v="273.27"/>
    <n v="228.95"/>
    <n v="267.37"/>
    <n v="255.23"/>
    <n v="276.22000000000003"/>
    <n v="3255.7799999999997"/>
    <n v="-20.990000000000038"/>
  </r>
  <r>
    <x v="15"/>
    <x v="0"/>
    <x v="0"/>
    <s v="5150102"/>
    <n v="731060"/>
    <s v="Telephone"/>
    <s v="Radiation Oncology"/>
    <x v="0"/>
    <m/>
    <n v="0"/>
    <n v="0"/>
    <n v="0"/>
    <n v="0"/>
    <n v="0"/>
    <n v="0"/>
    <n v="0"/>
    <n v="0"/>
    <n v="43"/>
    <n v="4.3"/>
    <n v="0"/>
    <n v="0"/>
    <n v="47.3"/>
    <n v="0"/>
  </r>
  <r>
    <x v="15"/>
    <x v="0"/>
    <x v="0"/>
    <s v="5150102"/>
    <n v="731060"/>
    <s v="Pagers"/>
    <s v="Radiation Oncology"/>
    <x v="0"/>
    <n v="1002"/>
    <n v="33.61"/>
    <n v="33.61"/>
    <n v="33.61"/>
    <n v="6.16"/>
    <n v="33.69"/>
    <n v="0"/>
    <n v="67.38"/>
    <n v="33.69"/>
    <n v="33.69"/>
    <n v="33.69"/>
    <n v="33.69"/>
    <n v="33.69"/>
    <n v="376.51"/>
    <n v="0"/>
  </r>
  <r>
    <x v="16"/>
    <x v="0"/>
    <x v="0"/>
    <s v="5150102"/>
    <n v="732030"/>
    <s v="Repairs---Other"/>
    <s v="Radiation Oncology"/>
    <x v="0"/>
    <m/>
    <n v="0"/>
    <n v="0"/>
    <n v="0"/>
    <n v="0"/>
    <n v="3161.05"/>
    <n v="0"/>
    <n v="0"/>
    <n v="0"/>
    <n v="1351.94"/>
    <n v="0"/>
    <n v="0"/>
    <n v="0"/>
    <n v="4512.99"/>
    <n v="0"/>
  </r>
  <r>
    <x v="16"/>
    <x v="0"/>
    <x v="0"/>
    <s v="5150102"/>
    <n v="733030"/>
    <s v="Maintenance Contracts-Other"/>
    <s v="Radiation Oncology"/>
    <x v="0"/>
    <m/>
    <n v="65010.8"/>
    <n v="0"/>
    <n v="0"/>
    <n v="6492.5"/>
    <n v="0"/>
    <n v="0"/>
    <n v="3558.83"/>
    <n v="0"/>
    <n v="0"/>
    <n v="18575"/>
    <n v="0"/>
    <n v="0"/>
    <n v="93637.13"/>
    <n v="0"/>
  </r>
  <r>
    <x v="13"/>
    <x v="0"/>
    <x v="0"/>
    <s v="5150102"/>
    <n v="735060"/>
    <s v="Depreciation-Fixed Equipment"/>
    <s v="Radiation Oncology"/>
    <x v="0"/>
    <m/>
    <n v="0"/>
    <n v="0"/>
    <n v="0"/>
    <n v="43.6"/>
    <n v="43.6"/>
    <n v="43.6"/>
    <n v="43.6"/>
    <n v="43.6"/>
    <n v="43.61"/>
    <n v="43.6"/>
    <n v="43.61"/>
    <n v="43.6"/>
    <n v="392.42000000000007"/>
    <n v="9.9999999999980105E-3"/>
  </r>
  <r>
    <x v="13"/>
    <x v="0"/>
    <x v="0"/>
    <s v="5150102"/>
    <n v="735070"/>
    <s v="Depreciation-Movable Equipment"/>
    <s v="Radiation Oncology"/>
    <x v="0"/>
    <m/>
    <n v="39906.49"/>
    <n v="50178.54"/>
    <n v="56788.03"/>
    <n v="57888"/>
    <n v="57888.01"/>
    <n v="58539.21"/>
    <n v="55574.61"/>
    <n v="55412.37"/>
    <n v="55412.41"/>
    <n v="56012.3"/>
    <n v="56012.36"/>
    <n v="56012.3"/>
    <n v="655624.63000000012"/>
    <n v="5.9999999997671694E-2"/>
  </r>
  <r>
    <x v="0"/>
    <x v="0"/>
    <x v="0"/>
    <s v="5150102"/>
    <n v="743010"/>
    <s v="Dues--Institutional"/>
    <s v="Radiation Oncology"/>
    <x v="0"/>
    <m/>
    <n v="0"/>
    <n v="0"/>
    <n v="0"/>
    <n v="800"/>
    <n v="0"/>
    <n v="0"/>
    <n v="0"/>
    <n v="0"/>
    <n v="0"/>
    <n v="0"/>
    <n v="0"/>
    <n v="0"/>
    <n v="800"/>
    <n v="0"/>
  </r>
  <r>
    <x v="0"/>
    <x v="0"/>
    <x v="0"/>
    <s v="5150102"/>
    <n v="743030"/>
    <s v="Subscriptions--Institutional"/>
    <s v="Radiation Oncology"/>
    <x v="0"/>
    <m/>
    <n v="0"/>
    <n v="0"/>
    <n v="0"/>
    <n v="0"/>
    <n v="0"/>
    <n v="0"/>
    <n v="18.079999999999998"/>
    <n v="101.17"/>
    <n v="0"/>
    <n v="241.68"/>
    <n v="0"/>
    <n v="0"/>
    <n v="360.93"/>
    <n v="0"/>
  </r>
  <r>
    <x v="0"/>
    <x v="0"/>
    <x v="0"/>
    <s v="5150102"/>
    <n v="749510"/>
    <s v="Miscellaneous Expenses"/>
    <s v="Radiation Oncology"/>
    <x v="0"/>
    <m/>
    <n v="-342.8"/>
    <n v="-541.29999999999995"/>
    <n v="-217.41"/>
    <n v="915.65"/>
    <n v="-778.86"/>
    <n v="-35.340000000000003"/>
    <n v="721.88"/>
    <n v="0"/>
    <n v="0"/>
    <n v="64.06"/>
    <n v="0"/>
    <n v="117"/>
    <n v="-97.120000000000061"/>
    <n v="-117"/>
  </r>
  <r>
    <x v="0"/>
    <x v="0"/>
    <x v="0"/>
    <s v="5150102"/>
    <n v="749530"/>
    <s v="Travel"/>
    <s v="Radiation Oncology"/>
    <x v="0"/>
    <m/>
    <n v="0"/>
    <n v="0"/>
    <n v="0"/>
    <n v="0"/>
    <n v="1569.61"/>
    <n v="35.340000000000003"/>
    <n v="0"/>
    <n v="0"/>
    <n v="765.6"/>
    <n v="0"/>
    <n v="0"/>
    <n v="0"/>
    <n v="2370.5499999999997"/>
    <n v="0"/>
  </r>
  <r>
    <x v="0"/>
    <x v="0"/>
    <x v="0"/>
    <s v="5150102"/>
    <n v="749530"/>
    <s v="Mileage"/>
    <s v="Radiation Oncology"/>
    <x v="0"/>
    <n v="1001"/>
    <n v="1101.51"/>
    <n v="862.26"/>
    <n v="836.69"/>
    <n v="269.23"/>
    <n v="100.85"/>
    <n v="0"/>
    <n v="0"/>
    <n v="0"/>
    <n v="0"/>
    <n v="22.04"/>
    <n v="0"/>
    <n v="0"/>
    <n v="3192.58"/>
    <n v="0"/>
  </r>
  <r>
    <x v="18"/>
    <x v="5"/>
    <x v="0"/>
    <s v="5150106"/>
    <n v="400010"/>
    <s v="Acute I/P Svcs Rev--Medicare"/>
    <s v="Radiation Oncology"/>
    <x v="0"/>
    <n v="1100"/>
    <n v="-26294.94"/>
    <n v="-5562.9"/>
    <n v="-6233.22"/>
    <n v="0"/>
    <n v="0"/>
    <n v="0"/>
    <n v="0"/>
    <n v="0"/>
    <n v="-4983.55"/>
    <n v="0"/>
    <n v="0"/>
    <n v="0"/>
    <n v="-43074.61"/>
    <n v="0"/>
  </r>
  <r>
    <x v="18"/>
    <x v="5"/>
    <x v="0"/>
    <s v="5150106"/>
    <n v="400010"/>
    <s v="Acute I/P Svcs Rev--Managed Care"/>
    <s v="Radiation Oncology"/>
    <x v="0"/>
    <n v="1400"/>
    <n v="0"/>
    <n v="0"/>
    <n v="0"/>
    <n v="0"/>
    <n v="-10028.52"/>
    <n v="0"/>
    <n v="0"/>
    <n v="0"/>
    <n v="-14689.78"/>
    <n v="0"/>
    <n v="0"/>
    <n v="0"/>
    <n v="-24718.300000000003"/>
    <n v="0"/>
  </r>
  <r>
    <x v="19"/>
    <x v="5"/>
    <x v="0"/>
    <s v="5150106"/>
    <n v="400020"/>
    <s v="O/P Care Svcs Rev--Medicare"/>
    <s v="Radiation Oncology"/>
    <x v="0"/>
    <n v="1100"/>
    <n v="-878443.05"/>
    <n v="-1179933.6499999999"/>
    <n v="-877749.95"/>
    <n v="-658198.05000000005"/>
    <n v="-364193"/>
    <n v="-734427.85"/>
    <n v="-956795"/>
    <n v="-1074973.18"/>
    <n v="-463901.25"/>
    <n v="-346741.24"/>
    <n v="-317393.94"/>
    <n v="-408544.08"/>
    <n v="-8261294.2400000002"/>
    <n v="91150.140000000014"/>
  </r>
  <r>
    <x v="19"/>
    <x v="5"/>
    <x v="0"/>
    <s v="5150106"/>
    <n v="400020"/>
    <s v="O/P Care Svcs Rev--Medicaid"/>
    <s v="Radiation Oncology"/>
    <x v="0"/>
    <n v="1200"/>
    <n v="-74186.600000000006"/>
    <n v="-404380.9"/>
    <n v="-319885.65000000002"/>
    <n v="-71495.399999999994"/>
    <n v="-23144.95"/>
    <n v="-31997.35"/>
    <n v="-58448.08"/>
    <n v="-34714.080000000002"/>
    <n v="-316568.09999999998"/>
    <n v="-142346.04"/>
    <n v="-177684.26"/>
    <n v="-253611.32"/>
    <n v="-1908462.73"/>
    <n v="75927.06"/>
  </r>
  <r>
    <x v="19"/>
    <x v="5"/>
    <x v="0"/>
    <s v="5150106"/>
    <n v="400020"/>
    <s v="O/P Care Svcs Rev--Comm Insurance"/>
    <s v="Radiation Oncology"/>
    <x v="0"/>
    <n v="1300"/>
    <n v="-154"/>
    <n v="0"/>
    <n v="0"/>
    <n v="0"/>
    <n v="-254"/>
    <n v="-63321.65"/>
    <n v="-147772.45000000001"/>
    <n v="-38080.949999999997"/>
    <n v="-63367.26"/>
    <n v="-4470.96"/>
    <n v="4311.96"/>
    <n v="0"/>
    <n v="-313109.31"/>
    <n v="4311.96"/>
  </r>
  <r>
    <x v="19"/>
    <x v="5"/>
    <x v="0"/>
    <s v="5150106"/>
    <n v="400020"/>
    <s v="O/P Care Svcs Rev--BCBS Comm"/>
    <s v="Radiation Oncology"/>
    <x v="0"/>
    <n v="1301"/>
    <n v="-123802.15"/>
    <n v="-122869"/>
    <n v="-109429.45"/>
    <n v="-160252.15"/>
    <n v="-61454.35"/>
    <n v="-49199.5"/>
    <n v="-132257.60000000001"/>
    <n v="-115003.07"/>
    <n v="-257030.99"/>
    <n v="-140831.78"/>
    <n v="-119401.68"/>
    <n v="-265564.94"/>
    <n v="-1657096.66"/>
    <n v="146163.26"/>
  </r>
  <r>
    <x v="19"/>
    <x v="5"/>
    <x v="0"/>
    <s v="5150106"/>
    <n v="400020"/>
    <s v="O/P Care Svcs Rev--Managed Care"/>
    <s v="Radiation Oncology"/>
    <x v="0"/>
    <n v="1400"/>
    <n v="-524256.74"/>
    <n v="-518030.35"/>
    <n v="-219934.55"/>
    <n v="-189045.35"/>
    <n v="-207157.45"/>
    <n v="-159285.95000000001"/>
    <n v="-276807.8"/>
    <n v="-361299.26"/>
    <n v="-288415.15999999997"/>
    <n v="-335459.01"/>
    <n v="-566029.53"/>
    <n v="-335854.77"/>
    <n v="-3981575.9200000004"/>
    <n v="-230174.76"/>
  </r>
  <r>
    <x v="19"/>
    <x v="5"/>
    <x v="0"/>
    <s v="5150106"/>
    <n v="400020"/>
    <s v="O/P Care Svcs Rev--Self Pay"/>
    <s v="Radiation Oncology"/>
    <x v="0"/>
    <n v="1500"/>
    <n v="0"/>
    <n v="0"/>
    <n v="-5194.3500000000004"/>
    <n v="5194.3500000000004"/>
    <n v="-5151.1000000000004"/>
    <n v="-81600.75"/>
    <n v="-11317.9"/>
    <n v="-4892.7"/>
    <n v="-4933.83"/>
    <n v="-81870.649999999994"/>
    <n v="-75281.03"/>
    <n v="26777.99"/>
    <n v="-238269.96999999997"/>
    <n v="-102059.02"/>
  </r>
  <r>
    <x v="19"/>
    <x v="5"/>
    <x v="0"/>
    <s v="5150106"/>
    <n v="400020"/>
    <s v="O/P Care Svcs Rev--Other"/>
    <s v="Radiation Oncology"/>
    <x v="0"/>
    <n v="1700"/>
    <n v="-45995"/>
    <n v="-60887.4"/>
    <n v="-31966.2"/>
    <n v="147"/>
    <n v="0"/>
    <n v="0"/>
    <n v="-169"/>
    <n v="0"/>
    <n v="0"/>
    <n v="0"/>
    <n v="0"/>
    <n v="0"/>
    <n v="-138870.6"/>
    <n v="0"/>
  </r>
  <r>
    <x v="14"/>
    <x v="5"/>
    <x v="0"/>
    <s v="5150106"/>
    <n v="600026"/>
    <s v="Other Rental"/>
    <s v="Radiation Oncology"/>
    <x v="0"/>
    <n v="1002"/>
    <n v="-6199.8"/>
    <n v="-6199.8"/>
    <n v="-6199.8"/>
    <n v="-6199.8"/>
    <n v="-6199.8"/>
    <n v="-6199.8"/>
    <n v="-6199.8"/>
    <n v="-6199.8"/>
    <n v="-6199.8"/>
    <n v="20342.39"/>
    <n v="-6199.8"/>
    <n v="-6199.8"/>
    <n v="-47855.410000000018"/>
    <n v="0"/>
  </r>
  <r>
    <x v="5"/>
    <x v="5"/>
    <x v="0"/>
    <s v="5150106"/>
    <n v="700026"/>
    <s v="Salaries-RN-Productive"/>
    <s v="Radiation Oncology"/>
    <x v="0"/>
    <m/>
    <n v="7730.36"/>
    <n v="3686.28"/>
    <n v="4756.1899999999996"/>
    <n v="4673.21"/>
    <n v="9127.7099999999991"/>
    <n v="9641"/>
    <n v="8260.58"/>
    <n v="10178.73"/>
    <n v="10319.83"/>
    <n v="6512.61"/>
    <n v="6684.86"/>
    <n v="7451.46"/>
    <n v="89022.82"/>
    <n v="-766.60000000000036"/>
  </r>
  <r>
    <x v="5"/>
    <x v="5"/>
    <x v="0"/>
    <s v="5150106"/>
    <n v="700026"/>
    <s v="Salaries-RN-OT"/>
    <s v="Radiation Oncology"/>
    <x v="0"/>
    <n v="1000"/>
    <n v="1223.5"/>
    <n v="370.16"/>
    <n v="398.15"/>
    <n v="139.36000000000001"/>
    <n v="977.28"/>
    <n v="1095.6600000000001"/>
    <n v="224.4"/>
    <n v="662.85"/>
    <n v="732.01"/>
    <n v="-65.13"/>
    <n v="130.68"/>
    <n v="82.84"/>
    <n v="5971.76"/>
    <n v="47.84"/>
  </r>
  <r>
    <x v="5"/>
    <x v="5"/>
    <x v="0"/>
    <s v="5150106"/>
    <n v="700026"/>
    <s v="Salaries-RN-Other"/>
    <s v="Radiation Oncology"/>
    <x v="0"/>
    <n v="2000"/>
    <n v="21.55"/>
    <n v="14.85"/>
    <n v="-5.59"/>
    <n v="0"/>
    <n v="0"/>
    <n v="196.31"/>
    <n v="453.74"/>
    <n v="716.98"/>
    <n v="564.67999999999995"/>
    <n v="521.28"/>
    <n v="418.91"/>
    <n v="-25.68"/>
    <n v="2877.03"/>
    <n v="444.59000000000003"/>
  </r>
  <r>
    <x v="5"/>
    <x v="5"/>
    <x v="0"/>
    <s v="5150106"/>
    <n v="700032"/>
    <s v="Salaries-Other Pat Care Providers-Productive"/>
    <s v="Radiation Oncology"/>
    <x v="0"/>
    <m/>
    <n v="0"/>
    <n v="2068.27"/>
    <n v="1477.81"/>
    <n v="44.84"/>
    <n v="-165.98"/>
    <n v="0"/>
    <n v="0"/>
    <n v="0"/>
    <n v="0"/>
    <n v="0"/>
    <n v="0"/>
    <n v="100.74"/>
    <n v="3525.68"/>
    <n v="-100.74"/>
  </r>
  <r>
    <x v="5"/>
    <x v="5"/>
    <x v="0"/>
    <s v="5150106"/>
    <n v="700032"/>
    <s v="Salaries-Other Pat Care Providers-OT"/>
    <s v="Radiation Oncology"/>
    <x v="0"/>
    <n v="1000"/>
    <n v="0"/>
    <n v="14.95"/>
    <n v="35.07"/>
    <n v="-7.79"/>
    <n v="0"/>
    <n v="0"/>
    <n v="0"/>
    <n v="0"/>
    <n v="0"/>
    <n v="0"/>
    <n v="0"/>
    <n v="0"/>
    <n v="42.23"/>
    <n v="0"/>
  </r>
  <r>
    <x v="5"/>
    <x v="5"/>
    <x v="0"/>
    <s v="5150106"/>
    <n v="700034"/>
    <s v="Salaries-Tech/Professional-Productive"/>
    <s v="Radiation Oncology"/>
    <x v="0"/>
    <m/>
    <n v="29254.19"/>
    <n v="37409.279999999999"/>
    <n v="25923.35"/>
    <n v="21575.17"/>
    <n v="19348.88"/>
    <n v="21078.55"/>
    <n v="22503.96"/>
    <n v="18694.75"/>
    <n v="24025.4"/>
    <n v="18469.29"/>
    <n v="20254.669999999998"/>
    <n v="20952.84"/>
    <n v="279490.33"/>
    <n v="-698.17000000000189"/>
  </r>
  <r>
    <x v="5"/>
    <x v="5"/>
    <x v="0"/>
    <s v="5150106"/>
    <n v="700034"/>
    <s v="Salaries-Tech/Professional-OT"/>
    <s v="Radiation Oncology"/>
    <x v="0"/>
    <n v="1000"/>
    <n v="490.58"/>
    <n v="461.52"/>
    <n v="842.53"/>
    <n v="35.03"/>
    <n v="-106.32"/>
    <n v="249.82"/>
    <n v="603.78"/>
    <n v="11.99"/>
    <n v="508.26"/>
    <n v="-179.01"/>
    <n v="0"/>
    <n v="113.74"/>
    <n v="3031.9199999999992"/>
    <n v="-113.74"/>
  </r>
  <r>
    <x v="5"/>
    <x v="5"/>
    <x v="0"/>
    <s v="5150106"/>
    <n v="700034"/>
    <s v="Salaries-Tech/Professional-Other"/>
    <s v="Radiation Oncology"/>
    <x v="0"/>
    <n v="2000"/>
    <n v="1295.8699999999999"/>
    <n v="301.08"/>
    <n v="1212.33"/>
    <n v="1240.98"/>
    <n v="224.95"/>
    <n v="1819.22"/>
    <n v="896"/>
    <n v="605.19000000000005"/>
    <n v="1072.71"/>
    <n v="1099.18"/>
    <n v="1011.42"/>
    <n v="1205.53"/>
    <n v="11984.460000000003"/>
    <n v="-194.11"/>
  </r>
  <r>
    <x v="5"/>
    <x v="5"/>
    <x v="0"/>
    <s v="5150106"/>
    <n v="700066"/>
    <s v="Salaries-RN-Non-productive"/>
    <s v="Radiation Oncology"/>
    <x v="0"/>
    <m/>
    <n v="567.36"/>
    <n v="681.81"/>
    <n v="266.8"/>
    <n v="1012.4"/>
    <n v="519.29999999999995"/>
    <n v="-247.72"/>
    <n v="0"/>
    <n v="0"/>
    <n v="0"/>
    <n v="0"/>
    <n v="0"/>
    <n v="0"/>
    <n v="2799.9500000000003"/>
    <n v="0"/>
  </r>
  <r>
    <x v="5"/>
    <x v="5"/>
    <x v="0"/>
    <s v="5150106"/>
    <n v="700066"/>
    <s v="Salaries-RN-NonProd-Other"/>
    <s v="Radiation Onc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5150106"/>
    <n v="700074"/>
    <s v="Salaries-Tech/Professional-Non-productive"/>
    <s v="Radiation Oncology"/>
    <x v="0"/>
    <m/>
    <n v="393.92"/>
    <n v="211.01"/>
    <n v="1737.47"/>
    <n v="1522.74"/>
    <n v="1379.36"/>
    <n v="1521.76"/>
    <n v="1948.27"/>
    <n v="710.83"/>
    <n v="2160.2199999999998"/>
    <n v="1026.05"/>
    <n v="990.52"/>
    <n v="2907.88"/>
    <n v="16510.03"/>
    <n v="-1917.3600000000001"/>
  </r>
  <r>
    <x v="5"/>
    <x v="5"/>
    <x v="0"/>
    <s v="5150106"/>
    <n v="700084"/>
    <s v="Accrued PTO"/>
    <s v="Radiation Oncology"/>
    <x v="0"/>
    <m/>
    <n v="483.9"/>
    <n v="609.29999999999995"/>
    <n v="-105.03"/>
    <n v="27.84"/>
    <n v="534.71"/>
    <n v="393.76"/>
    <n v="172.15"/>
    <n v="822.22"/>
    <n v="-110.24"/>
    <n v="759.08"/>
    <n v="484.67"/>
    <n v="-7.1"/>
    <n v="4065.2599999999998"/>
    <n v="491.77000000000004"/>
  </r>
  <r>
    <x v="6"/>
    <x v="5"/>
    <x v="0"/>
    <s v="5150106"/>
    <n v="713010"/>
    <s v="Benefits-FICA/Medicare"/>
    <s v="Radiation Oncology"/>
    <x v="0"/>
    <m/>
    <n v="3085.3"/>
    <n v="3408.39"/>
    <n v="2774.23"/>
    <n v="2292.2800000000002"/>
    <n v="2399.2600000000002"/>
    <n v="2697.8"/>
    <n v="2640.01"/>
    <n v="2390.06"/>
    <n v="2985.43"/>
    <n v="2068.8000000000002"/>
    <n v="2228.9"/>
    <n v="2481.67"/>
    <n v="31452.130000000005"/>
    <n v="-252.76999999999998"/>
  </r>
  <r>
    <x v="6"/>
    <x v="5"/>
    <x v="0"/>
    <s v="5150106"/>
    <n v="713090"/>
    <s v="Benefits-Allocated Amounts"/>
    <s v="Radiation Oncology"/>
    <x v="0"/>
    <m/>
    <n v="7391.64"/>
    <n v="9082.23"/>
    <n v="7741.59"/>
    <n v="5965.47"/>
    <n v="6447.84"/>
    <n v="6337.41"/>
    <n v="6906.02"/>
    <n v="6648.23"/>
    <n v="7377.66"/>
    <n v="5235.32"/>
    <n v="5472.92"/>
    <n v="6304.92"/>
    <n v="80911.25"/>
    <n v="-832"/>
  </r>
  <r>
    <x v="6"/>
    <x v="5"/>
    <x v="0"/>
    <s v="5150106"/>
    <n v="713096"/>
    <s v="Employee Recognition"/>
    <s v="Radiation Oncology"/>
    <x v="0"/>
    <n v="1017"/>
    <n v="0"/>
    <n v="0"/>
    <n v="0"/>
    <n v="0"/>
    <n v="39.979999999999997"/>
    <n v="0"/>
    <n v="0"/>
    <n v="0"/>
    <n v="0"/>
    <n v="0"/>
    <n v="0"/>
    <n v="0"/>
    <n v="39.979999999999997"/>
    <n v="0"/>
  </r>
  <r>
    <x v="17"/>
    <x v="5"/>
    <x v="0"/>
    <s v="5150106"/>
    <n v="714510"/>
    <s v="Medical Director Fees"/>
    <s v="Radiation Oncology"/>
    <x v="0"/>
    <m/>
    <n v="900"/>
    <n v="825"/>
    <n v="1200"/>
    <n v="1350"/>
    <n v="1125"/>
    <n v="1275"/>
    <n v="675"/>
    <n v="825"/>
    <n v="1125"/>
    <n v="675"/>
    <n v="600"/>
    <n v="1725"/>
    <n v="12300"/>
    <n v="-1125"/>
  </r>
  <r>
    <x v="7"/>
    <x v="5"/>
    <x v="0"/>
    <s v="5150106"/>
    <n v="718045"/>
    <s v="Contract Svcs-Collection Fees"/>
    <s v="Radiation Oncology"/>
    <x v="0"/>
    <m/>
    <n v="0"/>
    <n v="0"/>
    <n v="0"/>
    <n v="0"/>
    <n v="0"/>
    <n v="0"/>
    <n v="0"/>
    <n v="236.5"/>
    <n v="0"/>
    <n v="0"/>
    <n v="0"/>
    <n v="0"/>
    <n v="236.5"/>
    <n v="0"/>
  </r>
  <r>
    <x v="7"/>
    <x v="5"/>
    <x v="0"/>
    <s v="5150106"/>
    <n v="718050"/>
    <s v="Contract Svcs-Other"/>
    <s v="Radiation Oncology"/>
    <x v="0"/>
    <m/>
    <n v="0"/>
    <n v="0"/>
    <n v="0"/>
    <n v="2469.4699999999998"/>
    <n v="0"/>
    <n v="365.95"/>
    <n v="0"/>
    <n v="236.5"/>
    <n v="236.5"/>
    <n v="236.5"/>
    <n v="275.5"/>
    <n v="236.5"/>
    <n v="4056.9199999999996"/>
    <n v="39"/>
  </r>
  <r>
    <x v="7"/>
    <x v="5"/>
    <x v="0"/>
    <s v="5150106"/>
    <n v="718050"/>
    <s v="Miscellaneous Purchased Svcs"/>
    <s v="Radiation Oncology"/>
    <x v="0"/>
    <n v="1020"/>
    <n v="29307.8"/>
    <n v="29236.5"/>
    <n v="47992.04"/>
    <n v="29035.65"/>
    <n v="89091.55"/>
    <n v="35277.74"/>
    <n v="507167.92"/>
    <n v="88018.74"/>
    <n v="79264.56"/>
    <n v="65285.11"/>
    <n v="71367.199999999997"/>
    <n v="110055.99"/>
    <n v="1181100.8"/>
    <n v="-38688.790000000008"/>
  </r>
  <r>
    <x v="7"/>
    <x v="5"/>
    <x v="0"/>
    <s v="5150106"/>
    <n v="718050"/>
    <s v="Translation Services"/>
    <s v="Radiation Oncology"/>
    <x v="0"/>
    <n v="1025"/>
    <n v="134.75"/>
    <n v="0"/>
    <n v="0"/>
    <n v="367.5"/>
    <n v="0"/>
    <n v="0"/>
    <n v="0"/>
    <n v="0"/>
    <n v="0"/>
    <n v="0"/>
    <n v="239.1"/>
    <n v="0"/>
    <n v="741.35"/>
    <n v="239.1"/>
  </r>
  <r>
    <x v="7"/>
    <x v="5"/>
    <x v="0"/>
    <s v="5150106"/>
    <n v="718050"/>
    <s v="Contract Management--Linen"/>
    <s v="Radiation Oncology"/>
    <x v="0"/>
    <n v="1026"/>
    <n v="158.85"/>
    <n v="78.650000000000006"/>
    <n v="133.27000000000001"/>
    <n v="610.44000000000005"/>
    <n v="613.30999999999995"/>
    <n v="461.11"/>
    <n v="604.54999999999995"/>
    <n v="143.44999999999999"/>
    <n v="104.42"/>
    <n v="249.45"/>
    <n v="498.38"/>
    <n v="65.98"/>
    <n v="3721.86"/>
    <n v="432.4"/>
  </r>
  <r>
    <x v="7"/>
    <x v="5"/>
    <x v="0"/>
    <s v="5150106"/>
    <n v="718070"/>
    <s v="Contract Srvcs-CHI Clinical Engineering"/>
    <s v="Radiation Oncology"/>
    <x v="0"/>
    <m/>
    <n v="7048.8"/>
    <n v="7048.8"/>
    <n v="7048.8"/>
    <n v="7048.8"/>
    <n v="7048.8"/>
    <n v="7048.8"/>
    <n v="7048.8"/>
    <n v="7048.8"/>
    <n v="7048.8"/>
    <n v="7048.8"/>
    <n v="7048.8"/>
    <n v="7048.8"/>
    <n v="84585.60000000002"/>
    <n v="0"/>
  </r>
  <r>
    <x v="7"/>
    <x v="5"/>
    <x v="0"/>
    <s v="5150106"/>
    <n v="718091"/>
    <s v="Contract Services-Intracompany Allocation"/>
    <s v="Radiation Oncology"/>
    <x v="0"/>
    <m/>
    <n v="19233.38"/>
    <n v="24304.52"/>
    <n v="19359.3"/>
    <n v="24307.1"/>
    <n v="20593.43"/>
    <n v="21599.35"/>
    <n v="22441.4"/>
    <n v="21028.9"/>
    <n v="22801.37"/>
    <n v="23512.46"/>
    <n v="24440.37"/>
    <n v="20467.5"/>
    <n v="264089.07999999996"/>
    <n v="3972.869999999999"/>
  </r>
  <r>
    <x v="11"/>
    <x v="5"/>
    <x v="0"/>
    <s v="5150106"/>
    <n v="721010"/>
    <s v="Supplies-Medical - Billable"/>
    <s v="Radiation Oncology"/>
    <x v="0"/>
    <m/>
    <n v="0"/>
    <n v="0"/>
    <n v="3.11"/>
    <n v="0"/>
    <n v="0"/>
    <n v="0"/>
    <n v="12.13"/>
    <n v="0"/>
    <n v="0"/>
    <n v="3.61"/>
    <n v="0"/>
    <n v="0"/>
    <n v="18.850000000000001"/>
    <n v="0"/>
  </r>
  <r>
    <x v="11"/>
    <x v="5"/>
    <x v="0"/>
    <s v="5150106"/>
    <n v="721010"/>
    <s v="Patient Monitoring"/>
    <s v="Radiation Oncology"/>
    <x v="0"/>
    <n v="1000"/>
    <n v="0"/>
    <n v="0"/>
    <n v="0"/>
    <n v="0"/>
    <n v="0"/>
    <n v="0"/>
    <n v="143.55000000000001"/>
    <n v="0"/>
    <n v="0"/>
    <n v="0"/>
    <n v="0"/>
    <n v="0"/>
    <n v="143.55000000000001"/>
    <n v="0"/>
  </r>
  <r>
    <x v="11"/>
    <x v="5"/>
    <x v="0"/>
    <s v="5150106"/>
    <n v="721020"/>
    <s v="Urological Supplies"/>
    <s v="Radiation Oncology"/>
    <x v="0"/>
    <n v="1006"/>
    <n v="0"/>
    <n v="0"/>
    <n v="0"/>
    <n v="0"/>
    <n v="0"/>
    <n v="7.2"/>
    <n v="0"/>
    <n v="0"/>
    <n v="0"/>
    <n v="0"/>
    <n v="0"/>
    <n v="0"/>
    <n v="7.2"/>
    <n v="0"/>
  </r>
  <r>
    <x v="11"/>
    <x v="5"/>
    <x v="0"/>
    <s v="5150106"/>
    <n v="721350"/>
    <s v="Supplies-Film/Radiographic - Billable"/>
    <s v="Radiation Oncology"/>
    <x v="0"/>
    <m/>
    <n v="500"/>
    <n v="50"/>
    <n v="0"/>
    <n v="0"/>
    <n v="0"/>
    <n v="0"/>
    <n v="530"/>
    <n v="0"/>
    <n v="53"/>
    <n v="530"/>
    <n v="0"/>
    <n v="1166"/>
    <n v="2829"/>
    <n v="-1166"/>
  </r>
  <r>
    <x v="11"/>
    <x v="5"/>
    <x v="0"/>
    <s v="5150106"/>
    <n v="721410"/>
    <s v="Supplies-Medical - Nonbillable"/>
    <s v="Radiation Oncology"/>
    <x v="0"/>
    <m/>
    <n v="142.18"/>
    <n v="391.21"/>
    <n v="356.86"/>
    <n v="1180.0999999999999"/>
    <n v="0"/>
    <n v="21.21"/>
    <n v="0"/>
    <n v="1773.69"/>
    <n v="3263.12"/>
    <n v="2269.25"/>
    <n v="1066.83"/>
    <n v="102.94"/>
    <n v="10567.39"/>
    <n v="963.88999999999987"/>
  </r>
  <r>
    <x v="11"/>
    <x v="5"/>
    <x v="0"/>
    <s v="5150106"/>
    <n v="721420"/>
    <s v="Supplies-Surgical Nonbillable"/>
    <s v="Radiation Oncology"/>
    <x v="0"/>
    <m/>
    <n v="0"/>
    <n v="0"/>
    <n v="0"/>
    <n v="0"/>
    <n v="2.98"/>
    <n v="0"/>
    <n v="0"/>
    <n v="3"/>
    <n v="0"/>
    <n v="0"/>
    <n v="0"/>
    <n v="0"/>
    <n v="5.98"/>
    <n v="0"/>
  </r>
  <r>
    <x v="11"/>
    <x v="5"/>
    <x v="0"/>
    <s v="5150106"/>
    <n v="721420"/>
    <s v="Sterilization Process Products"/>
    <s v="Radiation Oncology"/>
    <x v="0"/>
    <n v="1009"/>
    <n v="8.5399999999999991"/>
    <n v="0"/>
    <n v="0"/>
    <n v="0"/>
    <n v="0"/>
    <n v="0"/>
    <n v="0"/>
    <n v="0"/>
    <n v="0"/>
    <n v="0"/>
    <n v="0"/>
    <n v="0"/>
    <n v="8.5399999999999991"/>
    <n v="0"/>
  </r>
  <r>
    <x v="11"/>
    <x v="5"/>
    <x v="0"/>
    <s v="5150106"/>
    <n v="721650"/>
    <s v="Supplies-Pharmacy Drugs - Nonbillable"/>
    <s v="Radiation Oncology"/>
    <x v="0"/>
    <m/>
    <n v="3.08"/>
    <n v="0"/>
    <n v="9.82"/>
    <n v="0"/>
    <n v="0"/>
    <n v="0"/>
    <n v="0"/>
    <n v="2.63"/>
    <n v="0"/>
    <n v="0"/>
    <n v="0"/>
    <n v="0"/>
    <n v="15.530000000000001"/>
    <n v="0"/>
  </r>
  <r>
    <x v="11"/>
    <x v="5"/>
    <x v="0"/>
    <s v="5150106"/>
    <n v="721750"/>
    <s v="Supplies-Film/Radiographic - Nonbillable"/>
    <s v="Radiation Oncology"/>
    <x v="0"/>
    <m/>
    <n v="0"/>
    <n v="0"/>
    <n v="0"/>
    <n v="0"/>
    <n v="0"/>
    <n v="0"/>
    <n v="0"/>
    <n v="0"/>
    <n v="0"/>
    <n v="0"/>
    <n v="275"/>
    <n v="-80"/>
    <n v="195"/>
    <n v="355"/>
  </r>
  <r>
    <x v="11"/>
    <x v="5"/>
    <x v="0"/>
    <s v="5150106"/>
    <n v="721810"/>
    <s v="Supplies-Dietary/Cafeteria"/>
    <s v="Radiation Oncology"/>
    <x v="0"/>
    <m/>
    <n v="17.05"/>
    <n v="85.37"/>
    <n v="0"/>
    <n v="0"/>
    <n v="0"/>
    <n v="0"/>
    <n v="75.05"/>
    <n v="0"/>
    <n v="0"/>
    <n v="0"/>
    <n v="0"/>
    <n v="0"/>
    <n v="177.47"/>
    <n v="0"/>
  </r>
  <r>
    <x v="11"/>
    <x v="5"/>
    <x v="0"/>
    <s v="5150106"/>
    <n v="721830"/>
    <s v="Supplies-Office"/>
    <s v="Radiation Oncology"/>
    <x v="0"/>
    <m/>
    <n v="948.56"/>
    <n v="467.19"/>
    <n v="217"/>
    <n v="865.02"/>
    <n v="0"/>
    <n v="-78.64"/>
    <n v="616.62"/>
    <n v="233.46"/>
    <n v="0"/>
    <n v="1295.68"/>
    <n v="156.37"/>
    <n v="36.78"/>
    <n v="4758.04"/>
    <n v="119.59"/>
  </r>
  <r>
    <x v="11"/>
    <x v="5"/>
    <x v="0"/>
    <s v="5150106"/>
    <n v="721870"/>
    <s v="Supplies-Environmental Services"/>
    <s v="Radiation Oncology"/>
    <x v="0"/>
    <m/>
    <n v="0"/>
    <n v="0"/>
    <n v="23.64"/>
    <n v="0"/>
    <n v="0"/>
    <n v="2.38"/>
    <n v="23.24"/>
    <n v="0"/>
    <n v="0"/>
    <n v="0"/>
    <n v="0"/>
    <n v="0"/>
    <n v="49.26"/>
    <n v="0"/>
  </r>
  <r>
    <x v="11"/>
    <x v="5"/>
    <x v="0"/>
    <s v="5150106"/>
    <n v="721880"/>
    <s v="Supplies-Linen"/>
    <s v="Radiation Oncology"/>
    <x v="0"/>
    <m/>
    <n v="23.93"/>
    <n v="0"/>
    <n v="0"/>
    <n v="0"/>
    <n v="0"/>
    <n v="0"/>
    <n v="0"/>
    <n v="0"/>
    <n v="0"/>
    <n v="0"/>
    <n v="18.36"/>
    <n v="0"/>
    <n v="42.29"/>
    <n v="18.36"/>
  </r>
  <r>
    <x v="11"/>
    <x v="5"/>
    <x v="0"/>
    <s v="5150106"/>
    <n v="721910"/>
    <s v="Supplies-Small Equipment"/>
    <s v="Radiation Oncology"/>
    <x v="0"/>
    <m/>
    <n v="604.29999999999995"/>
    <n v="28.92"/>
    <n v="300"/>
    <n v="30"/>
    <n v="0"/>
    <n v="2700"/>
    <n v="4.08"/>
    <n v="169.4"/>
    <n v="19.62"/>
    <n v="293"/>
    <n v="342.1"/>
    <n v="0"/>
    <n v="4491.42"/>
    <n v="342.1"/>
  </r>
  <r>
    <x v="11"/>
    <x v="5"/>
    <x v="0"/>
    <s v="5150106"/>
    <n v="721980"/>
    <s v="Supplies-Other"/>
    <s v="Radiation Oncology"/>
    <x v="0"/>
    <m/>
    <n v="653.79999999999995"/>
    <n v="2038.88"/>
    <n v="1448.64"/>
    <n v="-94.42"/>
    <n v="0"/>
    <n v="0"/>
    <n v="0"/>
    <n v="0"/>
    <n v="4.66"/>
    <n v="0"/>
    <n v="276.07"/>
    <n v="0"/>
    <n v="4327.63"/>
    <n v="276.07"/>
  </r>
  <r>
    <x v="11"/>
    <x v="5"/>
    <x v="0"/>
    <s v="5150106"/>
    <n v="722000"/>
    <s v="Supplies-Freight Expense"/>
    <s v="Radiation Oncology"/>
    <x v="0"/>
    <m/>
    <n v="0"/>
    <n v="34.71"/>
    <n v="37.700000000000003"/>
    <n v="7.99"/>
    <n v="35.950000000000003"/>
    <n v="0"/>
    <n v="13.28"/>
    <n v="10.3"/>
    <n v="24.11"/>
    <n v="8.33"/>
    <n v="48.84"/>
    <n v="0"/>
    <n v="221.21000000000004"/>
    <n v="48.84"/>
  </r>
  <r>
    <x v="12"/>
    <x v="5"/>
    <x v="0"/>
    <s v="5150106"/>
    <n v="730020"/>
    <s v="Rental and Leases-Copier Usage Fees (DO NOT USE)"/>
    <s v="Radiation Oncology"/>
    <x v="0"/>
    <n v="5100"/>
    <n v="18.899999999999999"/>
    <n v="45.36"/>
    <n v="32.130000000000003"/>
    <n v="32.130000000000003"/>
    <n v="32.130000000000003"/>
    <n v="32.130000000000003"/>
    <n v="3718.13"/>
    <n v="349.09"/>
    <n v="348.36"/>
    <n v="349.82"/>
    <n v="349.09"/>
    <n v="571.91999999999996"/>
    <n v="5879.19"/>
    <n v="-222.82999999999998"/>
  </r>
  <r>
    <x v="15"/>
    <x v="5"/>
    <x v="0"/>
    <s v="5150106"/>
    <n v="731060"/>
    <s v="Pagers"/>
    <s v="Radiation Oncology"/>
    <x v="0"/>
    <n v="1002"/>
    <n v="26.68"/>
    <n v="15.98"/>
    <n v="15.98"/>
    <n v="16.04"/>
    <n v="16.04"/>
    <n v="0"/>
    <n v="32.08"/>
    <n v="16.04"/>
    <n v="16.04"/>
    <n v="16.02"/>
    <n v="16.02"/>
    <n v="16.02"/>
    <n v="202.94000000000003"/>
    <n v="0"/>
  </r>
  <r>
    <x v="16"/>
    <x v="5"/>
    <x v="0"/>
    <s v="5150106"/>
    <n v="732030"/>
    <s v="Repairs---Other"/>
    <s v="Radiation Oncology"/>
    <x v="0"/>
    <m/>
    <n v="0"/>
    <n v="0"/>
    <n v="0"/>
    <n v="0"/>
    <n v="0"/>
    <n v="0"/>
    <n v="0"/>
    <n v="0"/>
    <n v="1900.55"/>
    <n v="0"/>
    <n v="329.15"/>
    <n v="0"/>
    <n v="2229.6999999999998"/>
    <n v="329.15"/>
  </r>
  <r>
    <x v="16"/>
    <x v="5"/>
    <x v="0"/>
    <s v="5150106"/>
    <n v="733030"/>
    <s v="Maintenance Contracts-Other"/>
    <s v="Radiation Oncology"/>
    <x v="0"/>
    <m/>
    <n v="0"/>
    <n v="0"/>
    <n v="0"/>
    <n v="6492.5"/>
    <n v="0"/>
    <n v="0"/>
    <n v="3558.83"/>
    <n v="0"/>
    <n v="0"/>
    <n v="0"/>
    <n v="0"/>
    <n v="135235.65"/>
    <n v="145286.97999999998"/>
    <n v="-135235.65"/>
  </r>
  <r>
    <x v="13"/>
    <x v="5"/>
    <x v="0"/>
    <s v="5150106"/>
    <n v="735040"/>
    <s v="Depreciation-Building Improvements"/>
    <s v="Radiation Oncology"/>
    <x v="0"/>
    <m/>
    <n v="10654.44"/>
    <n v="14829.83"/>
    <n v="10656.11"/>
    <n v="10656.1"/>
    <n v="10656.11"/>
    <n v="10656.1"/>
    <n v="10656.11"/>
    <n v="12507.27"/>
    <n v="13561.79"/>
    <n v="12914.73"/>
    <n v="12914.74"/>
    <n v="18424.88"/>
    <n v="149088.21000000002"/>
    <n v="-5510.1400000000012"/>
  </r>
  <r>
    <x v="13"/>
    <x v="5"/>
    <x v="0"/>
    <s v="5150106"/>
    <n v="735060"/>
    <s v="Depreciation-Fixed Equipment"/>
    <s v="Radiation Oncology"/>
    <x v="0"/>
    <m/>
    <n v="28.88"/>
    <n v="28.87"/>
    <n v="28.88"/>
    <n v="28.87"/>
    <n v="28.88"/>
    <n v="28.87"/>
    <n v="28.88"/>
    <n v="28.87"/>
    <n v="28.88"/>
    <n v="28.87"/>
    <n v="28.88"/>
    <n v="28.87"/>
    <n v="346.5"/>
    <n v="9.9999999999980105E-3"/>
  </r>
  <r>
    <x v="13"/>
    <x v="5"/>
    <x v="0"/>
    <s v="5150106"/>
    <n v="735070"/>
    <s v="Depreciation-Movable Equipment"/>
    <s v="Radiation Oncology"/>
    <x v="0"/>
    <m/>
    <n v="40062.36"/>
    <n v="40305.839999999997"/>
    <n v="40305.86"/>
    <n v="58371.8"/>
    <n v="58371.81"/>
    <n v="58371.8"/>
    <n v="58371.82"/>
    <n v="58575.06"/>
    <n v="58575.08"/>
    <n v="58575.05"/>
    <n v="58575.09"/>
    <n v="58575.05"/>
    <n v="647036.62"/>
    <n v="3.9999999993597157E-2"/>
  </r>
  <r>
    <x v="0"/>
    <x v="5"/>
    <x v="0"/>
    <s v="5150106"/>
    <n v="743010"/>
    <s v="Dues--Institutional"/>
    <s v="Radiation Oncology"/>
    <x v="0"/>
    <m/>
    <n v="0"/>
    <n v="3333"/>
    <n v="-3333"/>
    <n v="0"/>
    <n v="0"/>
    <n v="0"/>
    <n v="0"/>
    <n v="0"/>
    <n v="3000"/>
    <n v="0"/>
    <n v="0"/>
    <n v="0"/>
    <n v="3000"/>
    <n v="0"/>
  </r>
  <r>
    <x v="0"/>
    <x v="5"/>
    <x v="0"/>
    <s v="5150106"/>
    <n v="749510"/>
    <s v="Miscellaneous Expenses"/>
    <s v="Radiation Oncology"/>
    <x v="0"/>
    <m/>
    <n v="0"/>
    <n v="0"/>
    <n v="208.99"/>
    <n v="94"/>
    <n v="623"/>
    <n v="-94"/>
    <n v="0"/>
    <n v="0"/>
    <n v="25.88"/>
    <n v="0"/>
    <n v="0"/>
    <n v="0"/>
    <n v="857.87"/>
    <n v="0"/>
  </r>
  <r>
    <x v="0"/>
    <x v="5"/>
    <x v="0"/>
    <s v="5150106"/>
    <n v="749510"/>
    <s v="Licenses"/>
    <s v="Radiation Oncology"/>
    <x v="0"/>
    <n v="1002"/>
    <n v="0"/>
    <n v="0"/>
    <n v="0"/>
    <n v="0"/>
    <n v="0"/>
    <n v="0"/>
    <n v="0"/>
    <n v="0"/>
    <n v="0"/>
    <n v="0"/>
    <n v="0"/>
    <n v="459.83"/>
    <n v="459.83"/>
    <n v="-459.83"/>
  </r>
  <r>
    <x v="0"/>
    <x v="5"/>
    <x v="0"/>
    <s v="5150106"/>
    <n v="749510"/>
    <s v="RICE Rewards"/>
    <s v="Radiation Oncology"/>
    <x v="0"/>
    <n v="5100"/>
    <n v="0"/>
    <n v="0"/>
    <n v="0"/>
    <n v="0"/>
    <n v="0"/>
    <n v="0"/>
    <n v="0"/>
    <n v="0"/>
    <n v="0"/>
    <n v="0"/>
    <n v="0"/>
    <n v="147.63999999999999"/>
    <n v="147.63999999999999"/>
    <n v="-147.63999999999999"/>
  </r>
  <r>
    <x v="0"/>
    <x v="5"/>
    <x v="0"/>
    <s v="5150106"/>
    <n v="749530"/>
    <s v="Travel"/>
    <s v="Radiation Oncology"/>
    <x v="0"/>
    <m/>
    <n v="0"/>
    <n v="0"/>
    <n v="1642.54"/>
    <n v="601.29999999999995"/>
    <n v="0"/>
    <n v="0"/>
    <n v="0"/>
    <n v="0"/>
    <n v="0"/>
    <n v="0"/>
    <n v="0"/>
    <n v="0"/>
    <n v="2243.84"/>
    <n v="0"/>
  </r>
  <r>
    <x v="0"/>
    <x v="5"/>
    <x v="0"/>
    <s v="5150106"/>
    <n v="749530"/>
    <s v="Mileage"/>
    <s v="Radiation Oncology"/>
    <x v="0"/>
    <n v="1001"/>
    <n v="0"/>
    <n v="0"/>
    <n v="0"/>
    <n v="0"/>
    <n v="0"/>
    <n v="0"/>
    <n v="0"/>
    <n v="0"/>
    <n v="0"/>
    <n v="0"/>
    <n v="21.46"/>
    <n v="0"/>
    <n v="21.46"/>
    <n v="21.46"/>
  </r>
  <r>
    <x v="18"/>
    <x v="6"/>
    <x v="0"/>
    <s v="5150107"/>
    <n v="400010"/>
    <s v="Acute I/P Svcs Rev--Medicare"/>
    <s v="Radiation Oncology"/>
    <x v="0"/>
    <n v="1100"/>
    <n v="-70932.960000000006"/>
    <n v="-177139.62"/>
    <n v="-124132.68"/>
    <n v="-399630.42"/>
    <n v="-123647.58"/>
    <n v="-125114.22"/>
    <n v="-258725.88"/>
    <n v="-126278"/>
    <n v="-73671.95"/>
    <n v="-136297.51999999999"/>
    <n v="-175170.54"/>
    <n v="-166824.38"/>
    <n v="-1957565.75"/>
    <n v="-8346.1600000000035"/>
  </r>
  <r>
    <x v="18"/>
    <x v="6"/>
    <x v="0"/>
    <s v="5150107"/>
    <n v="400010"/>
    <s v="Acute I/P Svcs Rev--Medicaid"/>
    <s v="Radiation Oncology"/>
    <x v="0"/>
    <n v="1200"/>
    <n v="-4575.0600000000004"/>
    <n v="-43246.5"/>
    <n v="-36829.800000000003"/>
    <n v="12644.4"/>
    <n v="-30095.1"/>
    <n v="-2294.46"/>
    <n v="0"/>
    <n v="-33619.53"/>
    <n v="-48189.86"/>
    <n v="-58038.91"/>
    <n v="-65572.649999999994"/>
    <n v="-166362.35999999999"/>
    <n v="-476179.82999999996"/>
    <n v="100789.70999999999"/>
  </r>
  <r>
    <x v="18"/>
    <x v="6"/>
    <x v="0"/>
    <s v="5150107"/>
    <n v="400010"/>
    <s v="Acute I/P Svcs Rev--BCBS Comm"/>
    <s v="Radiation Oncology"/>
    <x v="0"/>
    <n v="1301"/>
    <n v="0"/>
    <n v="0"/>
    <n v="0"/>
    <n v="0"/>
    <n v="0"/>
    <n v="0"/>
    <n v="-67423.86"/>
    <n v="-29946.720000000001"/>
    <n v="-33619.53"/>
    <n v="0"/>
    <n v="-41329.730000000003"/>
    <n v="33619.53"/>
    <n v="-138700.31"/>
    <n v="-74949.260000000009"/>
  </r>
  <r>
    <x v="18"/>
    <x v="6"/>
    <x v="0"/>
    <s v="5150107"/>
    <n v="400010"/>
    <s v="Acute I/P Svcs Rev--Managed Care"/>
    <s v="Radiation Oncology"/>
    <x v="0"/>
    <n v="1400"/>
    <n v="-35687.519999999997"/>
    <n v="3477.6"/>
    <n v="0"/>
    <n v="0"/>
    <n v="-1315.44"/>
    <n v="0"/>
    <n v="0"/>
    <n v="0"/>
    <n v="0"/>
    <n v="-44145.919999999998"/>
    <n v="0"/>
    <n v="0"/>
    <n v="-77671.28"/>
    <n v="0"/>
  </r>
  <r>
    <x v="18"/>
    <x v="6"/>
    <x v="0"/>
    <s v="5150107"/>
    <n v="400010"/>
    <s v="Acute I/P Svcs Rev--Self Pay"/>
    <s v="Radiation Oncology"/>
    <x v="0"/>
    <n v="1500"/>
    <n v="0"/>
    <n v="2428.8000000000002"/>
    <n v="0"/>
    <n v="-12644.4"/>
    <n v="0"/>
    <n v="0"/>
    <n v="0"/>
    <n v="0"/>
    <n v="0"/>
    <n v="0"/>
    <n v="0"/>
    <n v="0"/>
    <n v="-10215.599999999999"/>
    <n v="0"/>
  </r>
  <r>
    <x v="18"/>
    <x v="6"/>
    <x v="0"/>
    <s v="5150107"/>
    <n v="400010"/>
    <s v="Acute I/P Svcs Rev--Other"/>
    <s v="Radiation Oncology"/>
    <x v="0"/>
    <n v="1700"/>
    <n v="-45106.74"/>
    <n v="0"/>
    <n v="0"/>
    <n v="0"/>
    <n v="0"/>
    <n v="-1963.08"/>
    <n v="0"/>
    <n v="0"/>
    <n v="0"/>
    <n v="0"/>
    <n v="0"/>
    <n v="0"/>
    <n v="-47069.82"/>
    <n v="0"/>
  </r>
  <r>
    <x v="19"/>
    <x v="6"/>
    <x v="0"/>
    <s v="5150107"/>
    <n v="400020"/>
    <s v="O/P Care Svcs Rev--Medicare"/>
    <s v="Radiation Oncology"/>
    <x v="0"/>
    <n v="1100"/>
    <n v="-2041202.3"/>
    <n v="-1759611.25"/>
    <n v="-1025049.85"/>
    <n v="-1571990.7"/>
    <n v="-2099597.4"/>
    <n v="-2230307.06"/>
    <n v="-2247530.2000000002"/>
    <n v="-1593727.57"/>
    <n v="-1524605.36"/>
    <n v="-2084567.33"/>
    <n v="-2393808.0499999998"/>
    <n v="-2193526.2000000002"/>
    <n v="-22765523.270000003"/>
    <n v="-200281.84999999963"/>
  </r>
  <r>
    <x v="19"/>
    <x v="6"/>
    <x v="0"/>
    <s v="5150107"/>
    <n v="400020"/>
    <s v="O/P Care Svcs Rev--Medicaid"/>
    <s v="Radiation Oncology"/>
    <x v="0"/>
    <n v="1200"/>
    <n v="-337953.15"/>
    <n v="-271173.45"/>
    <n v="-428363.85"/>
    <n v="-515523.05"/>
    <n v="-469643.69"/>
    <n v="-350038.01"/>
    <n v="-307488.2"/>
    <n v="-165617.46"/>
    <n v="-266718.59999999998"/>
    <n v="-314615.83"/>
    <n v="-445134.24"/>
    <n v="-476030.39"/>
    <n v="-4348299.92"/>
    <n v="30896.150000000023"/>
  </r>
  <r>
    <x v="19"/>
    <x v="6"/>
    <x v="0"/>
    <s v="5150107"/>
    <n v="400020"/>
    <s v="O/P Care Svcs Rev--Comm Insurance"/>
    <s v="Radiation Oncology"/>
    <x v="0"/>
    <n v="1300"/>
    <n v="-122181.3"/>
    <n v="-43045.8"/>
    <n v="-5558.35"/>
    <n v="-154"/>
    <n v="-16965.55"/>
    <n v="-154"/>
    <n v="0"/>
    <n v="-750"/>
    <n v="-1907.49"/>
    <n v="-6358.94"/>
    <n v="-123880.46"/>
    <n v="-156244.6"/>
    <n v="-477200.49"/>
    <n v="32364.14"/>
  </r>
  <r>
    <x v="19"/>
    <x v="6"/>
    <x v="0"/>
    <s v="5150107"/>
    <n v="400020"/>
    <s v="O/P Care Svcs Rev--BCBS Comm"/>
    <s v="Radiation Oncology"/>
    <x v="0"/>
    <n v="1301"/>
    <n v="-402989.5"/>
    <n v="-160966.70000000001"/>
    <n v="-117563.6"/>
    <n v="-378839.25"/>
    <n v="-353960.35"/>
    <n v="-111187.6"/>
    <n v="-289776.27"/>
    <n v="-255916.81"/>
    <n v="-154600.28"/>
    <n v="-72708.69"/>
    <n v="-193269.02"/>
    <n v="-184525.94"/>
    <n v="-2676304.0099999998"/>
    <n v="-8743.0799999999872"/>
  </r>
  <r>
    <x v="19"/>
    <x v="6"/>
    <x v="0"/>
    <s v="5150107"/>
    <n v="400020"/>
    <s v="O/P Care Svcs Rev--Managed Care"/>
    <s v="Radiation Oncology"/>
    <x v="0"/>
    <n v="1400"/>
    <n v="-456830.65"/>
    <n v="-480578.9"/>
    <n v="-127607.85"/>
    <n v="-553651.56000000006"/>
    <n v="-626145.4"/>
    <n v="-459294.5"/>
    <n v="-780272.85"/>
    <n v="-614122.86"/>
    <n v="-483670.38"/>
    <n v="-621486.12"/>
    <n v="-1024393.41"/>
    <n v="-572672.82999999996"/>
    <n v="-6800727.3100000005"/>
    <n v="-451720.58000000007"/>
  </r>
  <r>
    <x v="19"/>
    <x v="6"/>
    <x v="0"/>
    <s v="5150107"/>
    <n v="400020"/>
    <s v="O/P Care Svcs Rev--Self Pay"/>
    <s v="Radiation Oncology"/>
    <x v="0"/>
    <n v="1500"/>
    <n v="-76891.45"/>
    <n v="-61256.45"/>
    <n v="15583.05"/>
    <n v="0"/>
    <n v="-364"/>
    <n v="-22674.400000000001"/>
    <n v="-9342.9"/>
    <n v="-18881.91"/>
    <n v="-105719.88"/>
    <n v="-112335.42"/>
    <n v="0"/>
    <n v="0"/>
    <n v="-391883.36"/>
    <n v="0"/>
  </r>
  <r>
    <x v="19"/>
    <x v="6"/>
    <x v="0"/>
    <s v="5150107"/>
    <n v="400020"/>
    <s v="O/P Care Svcs Rev--Other"/>
    <s v="Radiation Oncology"/>
    <x v="0"/>
    <n v="1700"/>
    <n v="-70783.05"/>
    <n v="-34861.75"/>
    <n v="-141174.6"/>
    <n v="-355228.3"/>
    <n v="-320414.65000000002"/>
    <n v="-97864.9"/>
    <n v="-53457.95"/>
    <n v="16851.5"/>
    <n v="-103580.57"/>
    <n v="-263674.40999999997"/>
    <n v="-329128.26"/>
    <n v="-5725.18"/>
    <n v="-1759042.1199999999"/>
    <n v="-323403.08"/>
  </r>
  <r>
    <x v="5"/>
    <x v="6"/>
    <x v="0"/>
    <s v="5150107"/>
    <n v="700014"/>
    <s v="Salaries-Management-Productive"/>
    <s v="Radiation Oncology"/>
    <x v="0"/>
    <m/>
    <n v="8518.0300000000007"/>
    <n v="10396.58"/>
    <n v="-2011.89"/>
    <n v="8572.7800000000007"/>
    <n v="7509.65"/>
    <n v="6344.02"/>
    <n v="10509"/>
    <n v="8482.43"/>
    <n v="10817.69"/>
    <n v="10302.24"/>
    <n v="9684.43"/>
    <n v="7898.8"/>
    <n v="97023.76"/>
    <n v="1785.63"/>
  </r>
  <r>
    <x v="5"/>
    <x v="6"/>
    <x v="0"/>
    <s v="5150107"/>
    <n v="700026"/>
    <s v="Salaries-RN-Productive"/>
    <s v="Radiation Oncology"/>
    <x v="0"/>
    <m/>
    <n v="8426.85"/>
    <n v="9541.09"/>
    <n v="8054.89"/>
    <n v="8675.68"/>
    <n v="8789.58"/>
    <n v="8867.57"/>
    <n v="8846.7900000000009"/>
    <n v="7081.9"/>
    <n v="8518.7800000000007"/>
    <n v="9228.5300000000007"/>
    <n v="9776.86"/>
    <n v="9644.14"/>
    <n v="105452.66"/>
    <n v="132.72000000000116"/>
  </r>
  <r>
    <x v="5"/>
    <x v="6"/>
    <x v="0"/>
    <s v="5150107"/>
    <n v="700026"/>
    <s v="Salaries-RN-OT"/>
    <s v="Radiation Oncology"/>
    <x v="0"/>
    <n v="1000"/>
    <n v="201.56"/>
    <n v="261.06"/>
    <n v="294.92"/>
    <n v="567.45000000000005"/>
    <n v="193.16"/>
    <n v="600.28"/>
    <n v="476.74"/>
    <n v="71.88"/>
    <n v="125.04"/>
    <n v="475.93"/>
    <n v="333.16"/>
    <n v="478.74"/>
    <n v="4079.92"/>
    <n v="-145.57999999999998"/>
  </r>
  <r>
    <x v="5"/>
    <x v="6"/>
    <x v="0"/>
    <s v="5150107"/>
    <n v="700026"/>
    <s v="Salaries-RN-Other"/>
    <s v="Radiation Oncology"/>
    <x v="0"/>
    <n v="2000"/>
    <n v="0"/>
    <n v="24.99"/>
    <n v="-7.49"/>
    <n v="0"/>
    <n v="0"/>
    <n v="87.69"/>
    <n v="68.77"/>
    <n v="-9.2899999999999991"/>
    <n v="32.99"/>
    <n v="0"/>
    <n v="143.63999999999999"/>
    <n v="-5.29"/>
    <n v="336.00999999999993"/>
    <n v="148.92999999999998"/>
  </r>
  <r>
    <x v="5"/>
    <x v="6"/>
    <x v="0"/>
    <s v="5150107"/>
    <n v="700034"/>
    <s v="Salaries-Tech/Professional-Productive"/>
    <s v="Radiation Oncology"/>
    <x v="0"/>
    <m/>
    <n v="50146.65"/>
    <n v="55192.45"/>
    <n v="45264.46"/>
    <n v="52283.69"/>
    <n v="57083.1"/>
    <n v="54990.1"/>
    <n v="55902.77"/>
    <n v="45979.26"/>
    <n v="55680.23"/>
    <n v="55413.47"/>
    <n v="64732.1"/>
    <n v="54318.43"/>
    <n v="646986.71000000008"/>
    <n v="10413.669999999998"/>
  </r>
  <r>
    <x v="5"/>
    <x v="6"/>
    <x v="0"/>
    <s v="5150107"/>
    <n v="700034"/>
    <s v="Salaries-Tech/Professional-OT"/>
    <s v="Radiation Oncology"/>
    <x v="0"/>
    <n v="1000"/>
    <n v="3039.01"/>
    <n v="2065.52"/>
    <n v="1363.22"/>
    <n v="3987.36"/>
    <n v="4629.34"/>
    <n v="1054.1400000000001"/>
    <n v="2460.4299999999998"/>
    <n v="2102.38"/>
    <n v="2284.13"/>
    <n v="2302.81"/>
    <n v="11419.08"/>
    <n v="6747.53"/>
    <n v="43454.950000000004"/>
    <n v="4671.55"/>
  </r>
  <r>
    <x v="5"/>
    <x v="6"/>
    <x v="0"/>
    <s v="5150107"/>
    <n v="700034"/>
    <s v="Salaries-Tech/Professional-Other"/>
    <s v="Radiation Oncology"/>
    <x v="0"/>
    <n v="2000"/>
    <n v="1506.22"/>
    <n v="1331.21"/>
    <n v="433.72"/>
    <n v="975.46"/>
    <n v="1455.59"/>
    <n v="1904.26"/>
    <n v="687.61"/>
    <n v="440.22"/>
    <n v="1251.76"/>
    <n v="969.93"/>
    <n v="1694.15"/>
    <n v="1751.7"/>
    <n v="14401.830000000002"/>
    <n v="-57.549999999999955"/>
  </r>
  <r>
    <x v="5"/>
    <x v="6"/>
    <x v="0"/>
    <s v="5150107"/>
    <n v="700038"/>
    <s v="Salaries-Service/Support-Productive"/>
    <s v="Radiation Oncology"/>
    <x v="0"/>
    <m/>
    <n v="9416.0300000000007"/>
    <n v="9263.07"/>
    <n v="8407.9"/>
    <n v="10123.27"/>
    <n v="10656.42"/>
    <n v="8252.76"/>
    <n v="10342.27"/>
    <n v="7350.11"/>
    <n v="10706.44"/>
    <n v="9576.26"/>
    <n v="10317.66"/>
    <n v="9712.69"/>
    <n v="114124.88"/>
    <n v="604.96999999999935"/>
  </r>
  <r>
    <x v="5"/>
    <x v="6"/>
    <x v="0"/>
    <s v="5150107"/>
    <n v="700038"/>
    <s v="Salaries-Service/Support-OT"/>
    <s v="Radiation Oncology"/>
    <x v="0"/>
    <n v="1000"/>
    <n v="0"/>
    <n v="147.32"/>
    <n v="526.5"/>
    <n v="323.7"/>
    <n v="162.38999999999999"/>
    <n v="161.75"/>
    <n v="189.26"/>
    <n v="-52.38"/>
    <n v="339.02"/>
    <n v="188.65"/>
    <n v="502.38"/>
    <n v="-131.07"/>
    <n v="2357.5199999999995"/>
    <n v="633.45000000000005"/>
  </r>
  <r>
    <x v="5"/>
    <x v="6"/>
    <x v="0"/>
    <s v="5150107"/>
    <n v="700038"/>
    <s v="Salaries-Service/Support-Other"/>
    <s v="Radiation Oncology"/>
    <x v="0"/>
    <n v="2000"/>
    <n v="361.37"/>
    <n v="423.49"/>
    <n v="117.82"/>
    <n v="449.63"/>
    <n v="483.27"/>
    <n v="280.64999999999998"/>
    <n v="366.19"/>
    <n v="311.20999999999998"/>
    <n v="366.55"/>
    <n v="338.2"/>
    <n v="386.01"/>
    <n v="340.37"/>
    <n v="4224.76"/>
    <n v="45.639999999999986"/>
  </r>
  <r>
    <x v="5"/>
    <x v="6"/>
    <x v="0"/>
    <s v="5150107"/>
    <n v="700054"/>
    <s v="Salaries-Management-Non-productive"/>
    <s v="Radiation Oncology"/>
    <x v="0"/>
    <m/>
    <n v="1878.08"/>
    <n v="0"/>
    <n v="12073.23"/>
    <n v="2012.37"/>
    <n v="2777.5"/>
    <n v="4286.3900000000003"/>
    <n v="138.01"/>
    <n v="1133.23"/>
    <n v="-171.67"/>
    <n v="0"/>
    <n v="961.57"/>
    <n v="2403.92"/>
    <n v="27492.629999999997"/>
    <n v="-1442.35"/>
  </r>
  <r>
    <x v="5"/>
    <x v="6"/>
    <x v="0"/>
    <s v="5150107"/>
    <n v="700066"/>
    <s v="Salaries-RN-Non-productive"/>
    <s v="Radiation Oncology"/>
    <x v="0"/>
    <m/>
    <n v="518.53"/>
    <n v="1330.08"/>
    <n v="57.78"/>
    <n v="404"/>
    <n v="25.76"/>
    <n v="2029.1"/>
    <n v="1978.83"/>
    <n v="1787.96"/>
    <n v="2507.98"/>
    <n v="-253.8"/>
    <n v="1943.68"/>
    <n v="-250.02"/>
    <n v="12079.880000000001"/>
    <n v="2193.7000000000003"/>
  </r>
  <r>
    <x v="5"/>
    <x v="6"/>
    <x v="0"/>
    <s v="5150107"/>
    <n v="700066"/>
    <s v="Salaries-RN-NonProd-Other"/>
    <s v="Radiation Oncology"/>
    <x v="0"/>
    <n v="2000"/>
    <n v="0"/>
    <n v="0"/>
    <n v="0"/>
    <n v="0"/>
    <n v="0"/>
    <n v="0"/>
    <n v="0"/>
    <n v="0"/>
    <n v="32.369999999999997"/>
    <n v="5.9"/>
    <n v="-7.35"/>
    <n v="0"/>
    <n v="30.919999999999995"/>
    <n v="-7.35"/>
  </r>
  <r>
    <x v="5"/>
    <x v="6"/>
    <x v="0"/>
    <s v="5150107"/>
    <n v="700074"/>
    <s v="Salaries-Tech/Professional-Non-productive"/>
    <s v="Radiation Oncology"/>
    <x v="0"/>
    <m/>
    <n v="10081.39"/>
    <n v="5896.07"/>
    <n v="6904.69"/>
    <n v="11862.99"/>
    <n v="6664.99"/>
    <n v="14878.88"/>
    <n v="5267.3"/>
    <n v="8994.69"/>
    <n v="1546.19"/>
    <n v="4574.2700000000004"/>
    <n v="4121.74"/>
    <n v="10500.71"/>
    <n v="91293.91"/>
    <n v="-6378.9699999999993"/>
  </r>
  <r>
    <x v="5"/>
    <x v="6"/>
    <x v="0"/>
    <s v="5150107"/>
    <n v="700074"/>
    <s v="Salaries-Tech/Professional-NonProd-Other"/>
    <s v="Radiation Oncology"/>
    <x v="0"/>
    <n v="2000"/>
    <n v="0"/>
    <n v="165.92"/>
    <n v="346.19"/>
    <n v="469.18"/>
    <n v="-208.01"/>
    <n v="817.84"/>
    <n v="732.84"/>
    <n v="-159.38999999999999"/>
    <n v="308.17"/>
    <n v="86.43"/>
    <n v="0"/>
    <n v="130.69"/>
    <n v="2689.86"/>
    <n v="-130.69"/>
  </r>
  <r>
    <x v="5"/>
    <x v="6"/>
    <x v="0"/>
    <s v="5150107"/>
    <n v="700078"/>
    <s v="Salaries-Service/Support-Non-productive"/>
    <s v="Radiation Oncology"/>
    <x v="0"/>
    <m/>
    <n v="1469.1"/>
    <n v="1454.73"/>
    <n v="358.01"/>
    <n v="1133.95"/>
    <n v="955.49"/>
    <n v="1653.71"/>
    <n v="272.29000000000002"/>
    <n v="2403.2600000000002"/>
    <n v="15.12"/>
    <n v="813.84"/>
    <n v="407.47"/>
    <n v="943.43"/>
    <n v="11880.400000000001"/>
    <n v="-535.95999999999992"/>
  </r>
  <r>
    <x v="5"/>
    <x v="6"/>
    <x v="0"/>
    <s v="5150107"/>
    <n v="700084"/>
    <s v="Accrued PTO"/>
    <s v="Radiation Oncology"/>
    <x v="0"/>
    <m/>
    <n v="-1471.98"/>
    <n v="1238.77"/>
    <n v="-502.2"/>
    <n v="1785.03"/>
    <n v="2456.8200000000002"/>
    <n v="-10027.290000000001"/>
    <n v="2668.37"/>
    <n v="-853.59"/>
    <n v="4234.79"/>
    <n v="4922.6400000000003"/>
    <n v="4592.3500000000004"/>
    <n v="1368.3"/>
    <n v="10412.009999999998"/>
    <n v="3224.05"/>
  </r>
  <r>
    <x v="10"/>
    <x v="6"/>
    <x v="0"/>
    <s v="5150107"/>
    <n v="710060"/>
    <s v="Contract Labor-Other"/>
    <s v="Radiation Oncology"/>
    <x v="0"/>
    <m/>
    <n v="947.7"/>
    <n v="0"/>
    <n v="0"/>
    <n v="0"/>
    <n v="0"/>
    <n v="0"/>
    <n v="0"/>
    <n v="0"/>
    <n v="0"/>
    <n v="0"/>
    <n v="0"/>
    <n v="0"/>
    <n v="947.7"/>
    <n v="0"/>
  </r>
  <r>
    <x v="6"/>
    <x v="6"/>
    <x v="0"/>
    <s v="5150107"/>
    <n v="713010"/>
    <s v="Benefits-FICA/Medicare"/>
    <s v="Radiation Oncology"/>
    <x v="0"/>
    <m/>
    <n v="7268.87"/>
    <n v="7416.3"/>
    <n v="6246.95"/>
    <n v="7749.06"/>
    <n v="6821.46"/>
    <n v="7412.1"/>
    <n v="7461.32"/>
    <n v="6892.01"/>
    <n v="7059.81"/>
    <n v="7135.01"/>
    <n v="8844.0300000000007"/>
    <n v="7934.17"/>
    <n v="88241.09"/>
    <n v="909.86000000000058"/>
  </r>
  <r>
    <x v="6"/>
    <x v="6"/>
    <x v="0"/>
    <s v="5150107"/>
    <n v="713090"/>
    <s v="Benefits-Allocated Amounts"/>
    <s v="Radiation Oncology"/>
    <x v="0"/>
    <m/>
    <n v="13031.51"/>
    <n v="12310.52"/>
    <n v="11480.17"/>
    <n v="13680.66"/>
    <n v="15609.78"/>
    <n v="14162.73"/>
    <n v="14044.35"/>
    <n v="13186.83"/>
    <n v="11023.44"/>
    <n v="14852.29"/>
    <n v="16039.17"/>
    <n v="17062.759999999998"/>
    <n v="166484.21000000002"/>
    <n v="-1023.5899999999983"/>
  </r>
  <r>
    <x v="17"/>
    <x v="6"/>
    <x v="0"/>
    <s v="5150107"/>
    <n v="714510"/>
    <s v="Medical Director Fees"/>
    <s v="Radiation Oncology"/>
    <x v="0"/>
    <m/>
    <n v="3000"/>
    <n v="3000"/>
    <n v="3000"/>
    <n v="3000"/>
    <n v="3000"/>
    <n v="3000"/>
    <n v="3000"/>
    <n v="3000"/>
    <n v="3000"/>
    <n v="3000"/>
    <n v="3000"/>
    <n v="3637.5"/>
    <n v="36637.5"/>
    <n v="-637.5"/>
  </r>
  <r>
    <x v="7"/>
    <x v="6"/>
    <x v="0"/>
    <s v="5150107"/>
    <n v="718050"/>
    <s v="Contract Svcs-Other"/>
    <s v="Radiation Oncology"/>
    <x v="0"/>
    <m/>
    <n v="29460"/>
    <n v="38121"/>
    <n v="38121"/>
    <n v="36450"/>
    <n v="21228"/>
    <n v="6600"/>
    <n v="31600"/>
    <n v="25000"/>
    <n v="28394.35"/>
    <n v="38200"/>
    <n v="52650"/>
    <n v="69800"/>
    <n v="415624.35"/>
    <n v="-17150"/>
  </r>
  <r>
    <x v="7"/>
    <x v="6"/>
    <x v="0"/>
    <s v="5150107"/>
    <n v="718050"/>
    <s v="Contract Management--Linen"/>
    <s v="Radiation Oncology"/>
    <x v="0"/>
    <n v="1026"/>
    <n v="1041.81"/>
    <n v="1549.03"/>
    <n v="899.78"/>
    <n v="1403.77"/>
    <n v="1622.1"/>
    <n v="1250.24"/>
    <n v="969.56"/>
    <n v="1224.53"/>
    <n v="1038.07"/>
    <n v="1399.43"/>
    <n v="1714.52"/>
    <n v="1636.92"/>
    <n v="15749.76"/>
    <n v="77.599999999999909"/>
  </r>
  <r>
    <x v="7"/>
    <x v="6"/>
    <x v="0"/>
    <s v="5150107"/>
    <n v="718060"/>
    <s v="Contract Services-CHI RRC Fees"/>
    <s v="Radiation Oncology"/>
    <x v="0"/>
    <m/>
    <n v="0"/>
    <n v="0"/>
    <n v="0"/>
    <n v="0"/>
    <n v="0"/>
    <n v="0"/>
    <n v="0"/>
    <n v="0"/>
    <n v="0"/>
    <n v="0"/>
    <n v="0"/>
    <n v="47172"/>
    <n v="47172"/>
    <n v="-47172"/>
  </r>
  <r>
    <x v="7"/>
    <x v="6"/>
    <x v="0"/>
    <s v="5150107"/>
    <n v="718070"/>
    <s v="Contract Srvcs-CHI Clinical Engineering"/>
    <s v="Radiation Oncology"/>
    <x v="0"/>
    <m/>
    <n v="32226.89"/>
    <n v="33398.78"/>
    <n v="33267.120000000003"/>
    <n v="33891.1"/>
    <n v="33123.51"/>
    <n v="33607.96"/>
    <n v="33607.97"/>
    <n v="31851.18"/>
    <n v="33607.96"/>
    <n v="33607.96"/>
    <n v="34438.199999999997"/>
    <n v="33466.6"/>
    <n v="400095.23000000004"/>
    <n v="971.59999999999854"/>
  </r>
  <r>
    <x v="7"/>
    <x v="6"/>
    <x v="0"/>
    <s v="5150107"/>
    <n v="718091"/>
    <s v="Contract Services-Intracompany Allocation"/>
    <s v="Radiation Oncology"/>
    <x v="0"/>
    <m/>
    <n v="20474.25"/>
    <n v="25872.55"/>
    <n v="20608.28"/>
    <n v="25875.3"/>
    <n v="21922.04"/>
    <n v="22992.86"/>
    <n v="23889.23"/>
    <n v="22385.61"/>
    <n v="24272.42"/>
    <n v="25029.39"/>
    <n v="26017.17"/>
    <n v="21787.99"/>
    <n v="281127.09000000003"/>
    <n v="4229.1799999999967"/>
  </r>
  <r>
    <x v="11"/>
    <x v="6"/>
    <x v="0"/>
    <s v="5150107"/>
    <n v="721010"/>
    <s v="Supplies-Medical - Billable"/>
    <s v="Radiation Oncology"/>
    <x v="0"/>
    <m/>
    <n v="1096.79"/>
    <n v="78.48"/>
    <n v="73.64"/>
    <n v="173.02"/>
    <n v="611.64"/>
    <n v="2893.54"/>
    <n v="146.87"/>
    <n v="172.24"/>
    <n v="-30.22"/>
    <n v="12.31"/>
    <n v="767.65"/>
    <n v="-60.49"/>
    <n v="5935.47"/>
    <n v="828.14"/>
  </r>
  <r>
    <x v="11"/>
    <x v="6"/>
    <x v="0"/>
    <s v="5150107"/>
    <n v="721010"/>
    <s v="Patient Monitoring"/>
    <s v="Radiation Oncology"/>
    <x v="0"/>
    <n v="1000"/>
    <n v="0"/>
    <n v="27"/>
    <n v="0"/>
    <n v="0"/>
    <n v="0"/>
    <n v="0"/>
    <n v="0"/>
    <n v="0"/>
    <n v="0"/>
    <n v="0"/>
    <n v="0"/>
    <n v="0"/>
    <n v="27"/>
    <n v="0"/>
  </r>
  <r>
    <x v="11"/>
    <x v="6"/>
    <x v="0"/>
    <s v="5150107"/>
    <n v="721020"/>
    <s v="Custom Packs"/>
    <s v="Radiation Oncology"/>
    <x v="0"/>
    <n v="1000"/>
    <n v="0"/>
    <n v="0"/>
    <n v="0"/>
    <n v="26.48"/>
    <n v="0"/>
    <n v="0"/>
    <n v="0"/>
    <n v="468.26"/>
    <n v="0"/>
    <n v="0"/>
    <n v="0"/>
    <n v="0"/>
    <n v="494.74"/>
    <n v="0"/>
  </r>
  <r>
    <x v="11"/>
    <x v="6"/>
    <x v="0"/>
    <s v="5150107"/>
    <n v="721150"/>
    <s v="Supplies-Other Implants - Billable"/>
    <s v="Radiation Oncology"/>
    <x v="0"/>
    <m/>
    <n v="720.49"/>
    <n v="115.27"/>
    <n v="0"/>
    <n v="0"/>
    <n v="0"/>
    <n v="0"/>
    <n v="0"/>
    <n v="0"/>
    <n v="0"/>
    <n v="0"/>
    <n v="0"/>
    <n v="595.14"/>
    <n v="1430.9"/>
    <n v="-595.14"/>
  </r>
  <r>
    <x v="11"/>
    <x v="6"/>
    <x v="0"/>
    <s v="5150107"/>
    <n v="721240"/>
    <s v="Supplies-IV Solutions/Supplies - Billable"/>
    <s v="Radiation Oncology"/>
    <x v="0"/>
    <m/>
    <n v="417.2"/>
    <n v="440"/>
    <n v="144"/>
    <n v="36"/>
    <n v="108"/>
    <n v="180"/>
    <n v="142.5"/>
    <n v="140.4"/>
    <n v="72"/>
    <n v="108"/>
    <n v="233"/>
    <n v="444.63"/>
    <n v="2465.73"/>
    <n v="-211.63"/>
  </r>
  <r>
    <x v="11"/>
    <x v="6"/>
    <x v="0"/>
    <s v="5150107"/>
    <n v="721250"/>
    <s v="Supplies-Pharmacy Drugs - Billable"/>
    <s v="Radiation Oncology"/>
    <x v="0"/>
    <m/>
    <n v="0"/>
    <n v="0"/>
    <n v="0"/>
    <n v="39"/>
    <n v="0"/>
    <n v="0"/>
    <n v="0"/>
    <n v="61.5"/>
    <n v="0"/>
    <n v="0"/>
    <n v="0"/>
    <n v="0"/>
    <n v="100.5"/>
    <n v="0"/>
  </r>
  <r>
    <x v="11"/>
    <x v="6"/>
    <x v="0"/>
    <s v="5150107"/>
    <n v="721350"/>
    <s v="Radiology Imaging - Contrast Media"/>
    <s v="Radiation Oncology"/>
    <x v="0"/>
    <n v="1000"/>
    <n v="0"/>
    <n v="0"/>
    <n v="63.79"/>
    <n v="63.79"/>
    <n v="0.01"/>
    <n v="0"/>
    <n v="0"/>
    <n v="0"/>
    <n v="0"/>
    <n v="140.34"/>
    <n v="0"/>
    <n v="0"/>
    <n v="267.93"/>
    <n v="0"/>
  </r>
  <r>
    <x v="11"/>
    <x v="6"/>
    <x v="0"/>
    <s v="5150107"/>
    <n v="721410"/>
    <s v="Supplies-Medical - Nonbillable"/>
    <s v="Radiation Oncology"/>
    <x v="0"/>
    <m/>
    <n v="232.25"/>
    <n v="140.07"/>
    <n v="218.1"/>
    <n v="101.56"/>
    <n v="94.95"/>
    <n v="135.84"/>
    <n v="483.8"/>
    <n v="346.3"/>
    <n v="271.86"/>
    <n v="3184.09"/>
    <n v="523.09"/>
    <n v="-1219.75"/>
    <n v="4512.16"/>
    <n v="1742.8400000000001"/>
  </r>
  <r>
    <x v="11"/>
    <x v="6"/>
    <x v="0"/>
    <s v="5150107"/>
    <n v="721420"/>
    <s v="Supplies-Surgical Nonbillable"/>
    <s v="Radiation Oncology"/>
    <x v="0"/>
    <m/>
    <n v="0"/>
    <n v="0"/>
    <n v="0"/>
    <n v="0"/>
    <n v="0"/>
    <n v="0"/>
    <n v="0"/>
    <n v="0"/>
    <n v="61.94"/>
    <n v="28.76"/>
    <n v="0"/>
    <n v="0"/>
    <n v="90.7"/>
    <n v="0"/>
  </r>
  <r>
    <x v="11"/>
    <x v="6"/>
    <x v="0"/>
    <s v="5150107"/>
    <n v="721420"/>
    <s v="Sterilization Process Products"/>
    <s v="Radiation Oncology"/>
    <x v="0"/>
    <n v="1009"/>
    <n v="0"/>
    <n v="0"/>
    <n v="0"/>
    <n v="0"/>
    <n v="0"/>
    <n v="0"/>
    <n v="0"/>
    <n v="0"/>
    <n v="0"/>
    <n v="0"/>
    <n v="3.56"/>
    <n v="0"/>
    <n v="3.56"/>
    <n v="3.56"/>
  </r>
  <r>
    <x v="11"/>
    <x v="6"/>
    <x v="0"/>
    <s v="5150107"/>
    <n v="721610"/>
    <s v="Supplies-Anesthesia - Nonbillable"/>
    <s v="Radiation Oncology"/>
    <x v="0"/>
    <m/>
    <n v="0"/>
    <n v="0"/>
    <n v="0"/>
    <n v="0"/>
    <n v="0"/>
    <n v="0"/>
    <n v="0"/>
    <n v="0"/>
    <n v="0"/>
    <n v="7.98"/>
    <n v="0"/>
    <n v="4.26"/>
    <n v="12.24"/>
    <n v="-4.26"/>
  </r>
  <r>
    <x v="11"/>
    <x v="6"/>
    <x v="0"/>
    <s v="5150107"/>
    <n v="721640"/>
    <s v="Supplies-IV Solutions/Supplies - Nonbillable"/>
    <s v="Radiation Oncology"/>
    <x v="0"/>
    <m/>
    <n v="63.36"/>
    <n v="5.28"/>
    <n v="0"/>
    <n v="0"/>
    <n v="0"/>
    <n v="0"/>
    <n v="0"/>
    <n v="0"/>
    <n v="359.86"/>
    <n v="0"/>
    <n v="0"/>
    <n v="52.8"/>
    <n v="481.3"/>
    <n v="-52.8"/>
  </r>
  <r>
    <x v="11"/>
    <x v="6"/>
    <x v="0"/>
    <s v="5150107"/>
    <n v="721650"/>
    <s v="Supplies-Pharmacy Drugs - Nonbillable"/>
    <s v="Radiation Oncology"/>
    <x v="0"/>
    <m/>
    <n v="0"/>
    <n v="0"/>
    <n v="0"/>
    <n v="450"/>
    <n v="0"/>
    <n v="0"/>
    <n v="0"/>
    <n v="0"/>
    <n v="0"/>
    <n v="0"/>
    <n v="0"/>
    <n v="0"/>
    <n v="450"/>
    <n v="0"/>
  </r>
  <r>
    <x v="11"/>
    <x v="6"/>
    <x v="0"/>
    <s v="5150107"/>
    <n v="721710"/>
    <s v="Supplies-Laboratory - Nonbillable"/>
    <s v="Radiation Oncology"/>
    <x v="0"/>
    <m/>
    <n v="0"/>
    <n v="0"/>
    <n v="0"/>
    <n v="13.53"/>
    <n v="0"/>
    <n v="0"/>
    <n v="0"/>
    <n v="0"/>
    <n v="0"/>
    <n v="0"/>
    <n v="0"/>
    <n v="0"/>
    <n v="13.53"/>
    <n v="0"/>
  </r>
  <r>
    <x v="11"/>
    <x v="6"/>
    <x v="0"/>
    <s v="5150107"/>
    <n v="721750"/>
    <s v="Supplies-Film/Radiographic - Nonbillable"/>
    <s v="Radiation Oncology"/>
    <x v="0"/>
    <m/>
    <n v="0"/>
    <n v="2185.4499999999998"/>
    <n v="5.45"/>
    <n v="0"/>
    <n v="0"/>
    <n v="0"/>
    <n v="0"/>
    <n v="2278.1"/>
    <n v="-220.8"/>
    <n v="-87.3"/>
    <n v="0"/>
    <n v="890.55"/>
    <n v="5051.45"/>
    <n v="-890.55"/>
  </r>
  <r>
    <x v="11"/>
    <x v="6"/>
    <x v="0"/>
    <s v="5150107"/>
    <n v="721810"/>
    <s v="Supplies-Dietary/Cafeteria"/>
    <s v="Radiation Oncology"/>
    <x v="0"/>
    <m/>
    <n v="537.94000000000005"/>
    <n v="639.29999999999995"/>
    <n v="559.01"/>
    <n v="671.27"/>
    <n v="614.97"/>
    <n v="585.88"/>
    <n v="643.29"/>
    <n v="635.92999999999995"/>
    <n v="712.34"/>
    <n v="608.27"/>
    <n v="585.36"/>
    <n v="761.19"/>
    <n v="7554.75"/>
    <n v="-175.83000000000004"/>
  </r>
  <r>
    <x v="11"/>
    <x v="6"/>
    <x v="0"/>
    <s v="5150107"/>
    <n v="721830"/>
    <s v="Supplies-Office"/>
    <s v="Radiation Oncology"/>
    <x v="0"/>
    <m/>
    <n v="342.64"/>
    <n v="736.53"/>
    <n v="206.24"/>
    <n v="419.31"/>
    <n v="237.08"/>
    <n v="495.2"/>
    <n v="631.87"/>
    <n v="112.7"/>
    <n v="388.26"/>
    <n v="181.06"/>
    <n v="203.87"/>
    <n v="248.16"/>
    <n v="4202.92"/>
    <n v="-44.289999999999992"/>
  </r>
  <r>
    <x v="11"/>
    <x v="6"/>
    <x v="0"/>
    <s v="5150107"/>
    <n v="721835"/>
    <s v="Supplies-Forms"/>
    <s v="Radiation Oncology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5150107"/>
    <n v="721870"/>
    <s v="Supplies-Environmental Services"/>
    <s v="Radiation Oncology"/>
    <x v="0"/>
    <m/>
    <n v="84.55"/>
    <n v="15.76"/>
    <n v="155.83000000000001"/>
    <n v="0"/>
    <n v="0"/>
    <n v="90.13"/>
    <n v="53.19"/>
    <n v="88.93"/>
    <n v="84.55"/>
    <n v="11.82"/>
    <n v="157.02000000000001"/>
    <n v="166.77"/>
    <n v="908.55"/>
    <n v="-9.75"/>
  </r>
  <r>
    <x v="11"/>
    <x v="6"/>
    <x v="0"/>
    <s v="5150107"/>
    <n v="721910"/>
    <s v="Supplies-Small Equipment"/>
    <s v="Radiation Oncology"/>
    <x v="0"/>
    <m/>
    <n v="446.38"/>
    <n v="10.02"/>
    <n v="0"/>
    <n v="344.28"/>
    <n v="196.92"/>
    <n v="329.03"/>
    <n v="344.92"/>
    <n v="408.82"/>
    <n v="1534.7"/>
    <n v="267.11"/>
    <n v="3550.68"/>
    <n v="-276.60000000000002"/>
    <n v="7156.2599999999993"/>
    <n v="3827.2799999999997"/>
  </r>
  <r>
    <x v="11"/>
    <x v="6"/>
    <x v="0"/>
    <s v="5150107"/>
    <n v="721910"/>
    <s v="Instruments"/>
    <s v="Radiation Oncology"/>
    <x v="0"/>
    <n v="1000"/>
    <n v="0"/>
    <n v="0"/>
    <n v="0"/>
    <n v="287.77"/>
    <n v="-23.77"/>
    <n v="0"/>
    <n v="0"/>
    <n v="0"/>
    <n v="0"/>
    <n v="0"/>
    <n v="0"/>
    <n v="0"/>
    <n v="264"/>
    <n v="0"/>
  </r>
  <r>
    <x v="11"/>
    <x v="6"/>
    <x v="0"/>
    <s v="5150107"/>
    <n v="721980"/>
    <s v="Supplies-Other"/>
    <s v="Radiation Oncology"/>
    <x v="0"/>
    <m/>
    <n v="0"/>
    <n v="43.74"/>
    <n v="1112.5"/>
    <n v="999.5"/>
    <n v="-16.399999999999999"/>
    <n v="0"/>
    <n v="0"/>
    <n v="0"/>
    <n v="0"/>
    <n v="0"/>
    <n v="0"/>
    <n v="0"/>
    <n v="2139.3399999999997"/>
    <n v="0"/>
  </r>
  <r>
    <x v="11"/>
    <x v="6"/>
    <x v="0"/>
    <s v="5150107"/>
    <n v="722000"/>
    <s v="Supplies-Freight Expense"/>
    <s v="Radiation Oncology"/>
    <x v="0"/>
    <m/>
    <n v="26.56"/>
    <n v="33.46"/>
    <n v="104.77"/>
    <n v="115.6"/>
    <n v="0"/>
    <n v="0"/>
    <n v="83.92"/>
    <n v="10.210000000000001"/>
    <n v="16.989999999999998"/>
    <n v="0"/>
    <n v="124.57"/>
    <n v="141.59"/>
    <n v="657.67"/>
    <n v="-17.02000000000001"/>
  </r>
  <r>
    <x v="12"/>
    <x v="6"/>
    <x v="0"/>
    <s v="5150107"/>
    <n v="730020"/>
    <s v="Rental and Leases-Equipment (DO NOT USE)"/>
    <s v="Radiation Oncology"/>
    <x v="0"/>
    <m/>
    <n v="0"/>
    <n v="168.69"/>
    <n v="84.02"/>
    <n v="84.67"/>
    <n v="0"/>
    <n v="0"/>
    <n v="146.04"/>
    <n v="0"/>
    <n v="73.02"/>
    <n v="0"/>
    <n v="146.04"/>
    <n v="73.02"/>
    <n v="775.49999999999989"/>
    <n v="73.02"/>
  </r>
  <r>
    <x v="12"/>
    <x v="6"/>
    <x v="0"/>
    <s v="5150107"/>
    <n v="730020"/>
    <s v="Rental and Leases-Copier Usage Fees (DO NOT USE)"/>
    <s v="Radiation Oncology"/>
    <x v="0"/>
    <n v="5100"/>
    <n v="620.89"/>
    <n v="628.79999999999995"/>
    <n v="624.84"/>
    <n v="624.84"/>
    <n v="624.84"/>
    <n v="624.84"/>
    <n v="160.5"/>
    <n v="369.7"/>
    <n v="368.92"/>
    <n v="1080.6099999999999"/>
    <n v="369.7"/>
    <n v="381.77"/>
    <n v="6480.25"/>
    <n v="-12.069999999999993"/>
  </r>
  <r>
    <x v="16"/>
    <x v="6"/>
    <x v="0"/>
    <s v="5150107"/>
    <n v="732020"/>
    <s v="Repairs--Clin Equip-Parts-Internal to CHI Programs"/>
    <s v="Radiation Oncology"/>
    <x v="0"/>
    <m/>
    <n v="0"/>
    <n v="-31.97"/>
    <n v="0"/>
    <n v="0"/>
    <n v="0"/>
    <n v="0"/>
    <n v="0"/>
    <n v="0"/>
    <n v="0"/>
    <n v="0"/>
    <n v="0"/>
    <n v="0"/>
    <n v="-31.97"/>
    <n v="0"/>
  </r>
  <r>
    <x v="16"/>
    <x v="6"/>
    <x v="0"/>
    <s v="5150107"/>
    <n v="733030"/>
    <s v="Maintenance Contracts-Other"/>
    <s v="Radiation Oncology"/>
    <x v="0"/>
    <m/>
    <n v="0"/>
    <n v="65309.75"/>
    <n v="16327.49"/>
    <n v="16327.49"/>
    <n v="16327.49"/>
    <n v="16327.49"/>
    <n v="16327.49"/>
    <n v="16327.49"/>
    <n v="16327.49"/>
    <n v="16327.48"/>
    <n v="0"/>
    <n v="32654.94"/>
    <n v="228584.6"/>
    <n v="-32654.94"/>
  </r>
  <r>
    <x v="13"/>
    <x v="6"/>
    <x v="0"/>
    <s v="5150107"/>
    <n v="735070"/>
    <s v="Depreciation-Movable Equipment"/>
    <s v="Radiation Oncology"/>
    <x v="0"/>
    <m/>
    <n v="5702.55"/>
    <n v="5452.54"/>
    <n v="5452.55"/>
    <n v="5452.54"/>
    <n v="5452.56"/>
    <n v="5452.53"/>
    <n v="9379.4699999999993"/>
    <n v="10797.65"/>
    <n v="10894.19"/>
    <n v="10894.13"/>
    <n v="10894.21"/>
    <n v="10894.13"/>
    <n v="96719.050000000017"/>
    <n v="7.999999999992724E-2"/>
  </r>
  <r>
    <x v="0"/>
    <x v="6"/>
    <x v="0"/>
    <s v="5150107"/>
    <n v="740020"/>
    <s v="Education-Registration Fees"/>
    <s v="Radiation Oncology"/>
    <x v="0"/>
    <m/>
    <n v="0"/>
    <n v="0"/>
    <n v="0"/>
    <n v="610"/>
    <n v="0"/>
    <n v="0"/>
    <n v="0"/>
    <n v="0"/>
    <n v="0"/>
    <n v="0"/>
    <n v="0"/>
    <n v="0"/>
    <n v="610"/>
    <n v="0"/>
  </r>
  <r>
    <x v="0"/>
    <x v="6"/>
    <x v="0"/>
    <s v="5150107"/>
    <n v="743030"/>
    <s v="Subscriptions--Institutional"/>
    <s v="Radiation Oncology"/>
    <x v="0"/>
    <m/>
    <n v="0"/>
    <n v="0"/>
    <n v="0"/>
    <n v="0"/>
    <n v="0"/>
    <n v="0"/>
    <n v="0"/>
    <n v="0"/>
    <n v="0"/>
    <n v="305.95"/>
    <n v="0"/>
    <n v="0"/>
    <n v="305.95"/>
    <n v="0"/>
  </r>
  <r>
    <x v="0"/>
    <x v="6"/>
    <x v="0"/>
    <s v="5150107"/>
    <n v="749510"/>
    <s v="Miscellaneous Expenses"/>
    <s v="Radiation Oncology"/>
    <x v="0"/>
    <m/>
    <n v="0"/>
    <n v="0"/>
    <n v="436"/>
    <n v="1271.75"/>
    <n v="-1271.75"/>
    <n v="0"/>
    <n v="0"/>
    <n v="0"/>
    <n v="800"/>
    <n v="-545"/>
    <n v="0"/>
    <n v="1090"/>
    <n v="1781"/>
    <n v="-1090"/>
  </r>
  <r>
    <x v="0"/>
    <x v="6"/>
    <x v="0"/>
    <s v="5150107"/>
    <n v="749530"/>
    <s v="Travel"/>
    <s v="Radiation Oncology"/>
    <x v="0"/>
    <m/>
    <n v="0"/>
    <n v="0"/>
    <n v="0"/>
    <n v="0"/>
    <n v="1271.75"/>
    <n v="0"/>
    <n v="0"/>
    <n v="0"/>
    <n v="0"/>
    <n v="0"/>
    <n v="0"/>
    <n v="0"/>
    <n v="1271.75"/>
    <n v="0"/>
  </r>
  <r>
    <x v="0"/>
    <x v="6"/>
    <x v="0"/>
    <s v="5150107"/>
    <n v="749535"/>
    <s v="Meetings"/>
    <s v="Radiation Oncology"/>
    <x v="0"/>
    <m/>
    <n v="0"/>
    <n v="0"/>
    <n v="0"/>
    <n v="0"/>
    <n v="0"/>
    <n v="0"/>
    <n v="0"/>
    <n v="0"/>
    <n v="0"/>
    <n v="0"/>
    <n v="445.65"/>
    <n v="0"/>
    <n v="445.65"/>
    <n v="445.65"/>
  </r>
  <r>
    <x v="18"/>
    <x v="3"/>
    <x v="0"/>
    <s v="5160101"/>
    <n v="400010"/>
    <s v="Acute I/P Svcs Rev--Medicare"/>
    <s v="Oncology"/>
    <x v="0"/>
    <n v="1100"/>
    <n v="-631.73"/>
    <n v="-1757.39"/>
    <n v="0"/>
    <n v="0"/>
    <n v="0"/>
    <n v="0"/>
    <n v="0"/>
    <n v="-1189.6500000000001"/>
    <n v="0"/>
    <n v="-3390.27"/>
    <n v="-283.95"/>
    <n v="0"/>
    <n v="-7252.99"/>
    <n v="-283.95"/>
  </r>
  <r>
    <x v="18"/>
    <x v="3"/>
    <x v="0"/>
    <s v="5160101"/>
    <n v="400010"/>
    <s v="Acute I/P Svcs Rev--Medicaid"/>
    <s v="Oncology"/>
    <x v="0"/>
    <n v="1200"/>
    <n v="0"/>
    <n v="-210.58"/>
    <n v="-214.99"/>
    <n v="-905.15"/>
    <n v="-154"/>
    <n v="-214.99"/>
    <n v="0"/>
    <n v="-1211.92"/>
    <n v="0"/>
    <n v="0"/>
    <n v="0"/>
    <n v="0"/>
    <n v="-2911.63"/>
    <n v="0"/>
  </r>
  <r>
    <x v="18"/>
    <x v="3"/>
    <x v="0"/>
    <s v="5160101"/>
    <n v="400010"/>
    <s v="Acute I/P Svcs Rev--Managed Care"/>
    <s v="Oncology"/>
    <x v="0"/>
    <n v="1400"/>
    <n v="0"/>
    <n v="1757.39"/>
    <n v="0"/>
    <n v="-62.69"/>
    <n v="-2023.1"/>
    <n v="0"/>
    <n v="0"/>
    <n v="0"/>
    <n v="0"/>
    <n v="-429.98"/>
    <n v="0"/>
    <n v="0"/>
    <n v="-758.37999999999988"/>
    <n v="0"/>
  </r>
  <r>
    <x v="19"/>
    <x v="3"/>
    <x v="0"/>
    <s v="5160101"/>
    <n v="400020"/>
    <s v="O/P Care Svcs Rev--Medicare"/>
    <s v="Oncology"/>
    <x v="0"/>
    <n v="1100"/>
    <n v="-169799.93"/>
    <n v="-186580.17"/>
    <n v="-147707"/>
    <n v="-179464.9"/>
    <n v="-168728.4"/>
    <n v="-176545.84"/>
    <n v="-180216.88"/>
    <n v="-152228.22"/>
    <n v="-214842.01"/>
    <n v="-224194.11"/>
    <n v="-224209.52"/>
    <n v="-243166.17"/>
    <n v="-2267683.15"/>
    <n v="18956.650000000023"/>
  </r>
  <r>
    <x v="19"/>
    <x v="3"/>
    <x v="0"/>
    <s v="5160101"/>
    <n v="400020"/>
    <s v="O/P Care Svcs Rev--Medicaid"/>
    <s v="Oncology"/>
    <x v="0"/>
    <n v="1200"/>
    <n v="-83085.740000000005"/>
    <n v="-95380.26"/>
    <n v="-70478.02"/>
    <n v="-119778.95"/>
    <n v="-81317.66"/>
    <n v="-104170.09"/>
    <n v="-158262.29"/>
    <n v="-96512.9"/>
    <n v="-80160.28"/>
    <n v="-115016.8"/>
    <n v="-98998.42"/>
    <n v="-115103.23"/>
    <n v="-1218264.6400000001"/>
    <n v="16104.809999999998"/>
  </r>
  <r>
    <x v="19"/>
    <x v="3"/>
    <x v="0"/>
    <s v="5160101"/>
    <n v="400020"/>
    <s v="O/P Care Svcs Rev--Comm Insurance"/>
    <s v="Oncology"/>
    <x v="0"/>
    <n v="1300"/>
    <n v="-14155.24"/>
    <n v="-22287.34"/>
    <n v="-30264.13"/>
    <n v="-17681.009999999998"/>
    <n v="-20498.52"/>
    <n v="-8728.9500000000007"/>
    <n v="-8177.22"/>
    <n v="-3950.06"/>
    <n v="-13665.03"/>
    <n v="-9542.31"/>
    <n v="-16443.900000000001"/>
    <n v="-8562.2099999999991"/>
    <n v="-173955.91999999998"/>
    <n v="-7881.6900000000023"/>
  </r>
  <r>
    <x v="19"/>
    <x v="3"/>
    <x v="0"/>
    <s v="5160101"/>
    <n v="400020"/>
    <s v="O/P Care Svcs Rev--BCBS Comm"/>
    <s v="Oncology"/>
    <x v="0"/>
    <n v="1301"/>
    <n v="-16105.76"/>
    <n v="-19464.45"/>
    <n v="-21710.33"/>
    <n v="-14339.35"/>
    <n v="-24521.119999999999"/>
    <n v="-28051.91"/>
    <n v="-30857.49"/>
    <n v="-18409.419999999998"/>
    <n v="-26440.45"/>
    <n v="-27697.77"/>
    <n v="-27931.3"/>
    <n v="-28259.88"/>
    <n v="-283789.23"/>
    <n v="328.58000000000175"/>
  </r>
  <r>
    <x v="19"/>
    <x v="3"/>
    <x v="0"/>
    <s v="5160101"/>
    <n v="400020"/>
    <s v="O/P Care Svcs Rev--Managed Care"/>
    <s v="Oncology"/>
    <x v="0"/>
    <n v="1400"/>
    <n v="-117268.15"/>
    <n v="-167562.32999999999"/>
    <n v="-86379.59"/>
    <n v="-111572.3"/>
    <n v="-107079.93"/>
    <n v="-109111.34"/>
    <n v="-89276.81"/>
    <n v="-99363.72"/>
    <n v="-104897.44"/>
    <n v="-109355.95"/>
    <n v="-97660.81"/>
    <n v="-98942.66"/>
    <n v="-1298471.0299999998"/>
    <n v="1281.8500000000058"/>
  </r>
  <r>
    <x v="19"/>
    <x v="3"/>
    <x v="0"/>
    <s v="5160101"/>
    <n v="400020"/>
    <s v="O/P Care Svcs Rev--Self Pay"/>
    <s v="Oncology"/>
    <x v="0"/>
    <n v="1500"/>
    <n v="-12402.16"/>
    <n v="3439.85"/>
    <n v="-5029.8999999999996"/>
    <n v="-3757.15"/>
    <n v="-3089.82"/>
    <n v="-2391.12"/>
    <n v="-2148.91"/>
    <n v="-2398.9899999999998"/>
    <n v="-11429.7"/>
    <n v="-7500.03"/>
    <n v="-15009.44"/>
    <n v="1572.54"/>
    <n v="-60144.829999999994"/>
    <n v="-16581.98"/>
  </r>
  <r>
    <x v="19"/>
    <x v="3"/>
    <x v="0"/>
    <s v="5160101"/>
    <n v="400020"/>
    <s v="O/P Care Svcs Rev--Other"/>
    <s v="Oncology"/>
    <x v="0"/>
    <n v="1700"/>
    <n v="-2732.93"/>
    <n v="-5624.44"/>
    <n v="-9129.84"/>
    <n v="-4433.1400000000003"/>
    <n v="-17687.650000000001"/>
    <n v="-10378.91"/>
    <n v="-14240.93"/>
    <n v="-9341.9500000000007"/>
    <n v="-14182.61"/>
    <n v="-6425.11"/>
    <n v="-7031.09"/>
    <n v="-11975.15"/>
    <n v="-113183.75"/>
    <n v="4944.0599999999995"/>
  </r>
  <r>
    <x v="2"/>
    <x v="3"/>
    <x v="0"/>
    <s v="5160101"/>
    <n v="450040"/>
    <s v="Contr Allow--Phys Svcs--Mcaid"/>
    <s v="Oncology"/>
    <x v="0"/>
    <n v="1200"/>
    <n v="-100.15"/>
    <n v="0"/>
    <n v="0"/>
    <n v="0"/>
    <n v="0"/>
    <n v="0"/>
    <n v="0"/>
    <n v="0"/>
    <n v="0"/>
    <n v="0"/>
    <n v="0"/>
    <n v="0"/>
    <n v="-100.15"/>
    <n v="0"/>
  </r>
  <r>
    <x v="2"/>
    <x v="3"/>
    <x v="0"/>
    <s v="5160101"/>
    <n v="450040"/>
    <s v="Contr Allow--Phys Svcs--Managed Care"/>
    <s v="Oncology"/>
    <x v="0"/>
    <n v="1400"/>
    <n v="0"/>
    <n v="0"/>
    <n v="0"/>
    <n v="0"/>
    <n v="0"/>
    <n v="0"/>
    <n v="0"/>
    <n v="-114.58"/>
    <n v="0"/>
    <n v="0"/>
    <n v="0"/>
    <n v="0"/>
    <n v="-114.58"/>
    <n v="0"/>
  </r>
  <r>
    <x v="4"/>
    <x v="3"/>
    <x v="0"/>
    <s v="5160101"/>
    <n v="490010"/>
    <s v="Provision for Bad Debts"/>
    <s v="Oncology"/>
    <x v="0"/>
    <m/>
    <n v="-31.29"/>
    <n v="0"/>
    <n v="0"/>
    <n v="0"/>
    <n v="0"/>
    <n v="0"/>
    <n v="0"/>
    <n v="0"/>
    <n v="0"/>
    <n v="0"/>
    <n v="0"/>
    <n v="0"/>
    <n v="-31.29"/>
    <n v="0"/>
  </r>
  <r>
    <x v="5"/>
    <x v="3"/>
    <x v="0"/>
    <s v="5160101"/>
    <n v="700026"/>
    <s v="Salaries-RN-Productive"/>
    <s v="Oncology"/>
    <x v="0"/>
    <m/>
    <n v="26640.62"/>
    <n v="31944.57"/>
    <n v="32685.439999999999"/>
    <n v="29395.14"/>
    <n v="35806.82"/>
    <n v="34367.78"/>
    <n v="34649.11"/>
    <n v="25092.959999999999"/>
    <n v="31094.7"/>
    <n v="32391.96"/>
    <n v="23763.21"/>
    <n v="23951.21"/>
    <n v="361783.52"/>
    <n v="-188"/>
  </r>
  <r>
    <x v="5"/>
    <x v="3"/>
    <x v="0"/>
    <s v="5160101"/>
    <n v="700026"/>
    <s v="Salaries-RN-OT"/>
    <s v="Oncology"/>
    <x v="0"/>
    <n v="1000"/>
    <n v="363.72"/>
    <n v="179.55"/>
    <n v="872.65"/>
    <n v="339.8"/>
    <n v="774.89"/>
    <n v="878.16"/>
    <n v="347.8"/>
    <n v="1437.8"/>
    <n v="295.38"/>
    <n v="622.51"/>
    <n v="901.09"/>
    <n v="441.4"/>
    <n v="7454.75"/>
    <n v="459.69000000000005"/>
  </r>
  <r>
    <x v="5"/>
    <x v="3"/>
    <x v="0"/>
    <s v="5160101"/>
    <n v="700026"/>
    <s v="Salaries-RN-Other"/>
    <s v="Oncology"/>
    <x v="0"/>
    <n v="2000"/>
    <n v="1029.42"/>
    <n v="1180.01"/>
    <n v="1288.3599999999999"/>
    <n v="1052.43"/>
    <n v="1426.83"/>
    <n v="1170.9000000000001"/>
    <n v="1307.44"/>
    <n v="850.73"/>
    <n v="1229.6500000000001"/>
    <n v="1085.27"/>
    <n v="761.48"/>
    <n v="974.22"/>
    <n v="13356.74"/>
    <n v="-212.74"/>
  </r>
  <r>
    <x v="5"/>
    <x v="3"/>
    <x v="0"/>
    <s v="5160101"/>
    <n v="700032"/>
    <s v="Salaries-Other Pat Care Providers-Productive"/>
    <s v="Oncology"/>
    <x v="0"/>
    <m/>
    <n v="1996.87"/>
    <n v="1835.2"/>
    <n v="2206.52"/>
    <n v="2901.23"/>
    <n v="3003.85"/>
    <n v="2761.22"/>
    <n v="2785.02"/>
    <n v="1582.22"/>
    <n v="809.37"/>
    <n v="0"/>
    <n v="680.33"/>
    <n v="1952.91"/>
    <n v="22514.74"/>
    <n v="-1272.58"/>
  </r>
  <r>
    <x v="5"/>
    <x v="3"/>
    <x v="0"/>
    <s v="5160101"/>
    <n v="700032"/>
    <s v="Salaries-Other Pat Care Providers-OT"/>
    <s v="Oncology"/>
    <x v="0"/>
    <n v="1000"/>
    <n v="0"/>
    <n v="106.74"/>
    <n v="10.54"/>
    <n v="-3.83"/>
    <n v="6.69"/>
    <n v="6.96"/>
    <n v="0"/>
    <n v="6.99"/>
    <n v="6.97"/>
    <n v="0"/>
    <n v="0"/>
    <n v="0"/>
    <n v="141.06"/>
    <n v="0"/>
  </r>
  <r>
    <x v="5"/>
    <x v="3"/>
    <x v="0"/>
    <s v="5160101"/>
    <n v="700032"/>
    <s v="Salaries-Other Pat Care Providers-Other"/>
    <s v="Oncology"/>
    <x v="0"/>
    <n v="2000"/>
    <n v="12.46"/>
    <n v="6.38"/>
    <n v="13"/>
    <n v="11.97"/>
    <n v="15.73"/>
    <n v="12.56"/>
    <n v="8.0299999999999994"/>
    <n v="13.08"/>
    <n v="3.09"/>
    <n v="0"/>
    <n v="30.07"/>
    <n v="-0.03"/>
    <n v="126.34"/>
    <n v="30.1"/>
  </r>
  <r>
    <x v="5"/>
    <x v="3"/>
    <x v="0"/>
    <s v="5160101"/>
    <n v="700038"/>
    <s v="Salaries-Service/Support-Productive"/>
    <s v="Oncology"/>
    <x v="0"/>
    <m/>
    <n v="2931.51"/>
    <n v="2536.77"/>
    <n v="3422.07"/>
    <n v="3819.39"/>
    <n v="2777.76"/>
    <n v="1444.91"/>
    <n v="3527.74"/>
    <n v="3165.44"/>
    <n v="4143.38"/>
    <n v="3501.03"/>
    <n v="3791.91"/>
    <n v="3404.56"/>
    <n v="38466.47"/>
    <n v="387.34999999999991"/>
  </r>
  <r>
    <x v="5"/>
    <x v="3"/>
    <x v="0"/>
    <s v="5160101"/>
    <n v="700038"/>
    <s v="Salaries-Service/Support-OT"/>
    <s v="Oncology"/>
    <x v="0"/>
    <n v="1000"/>
    <n v="49.37"/>
    <n v="241.84"/>
    <n v="21.27"/>
    <n v="87.03"/>
    <n v="21.79"/>
    <n v="0"/>
    <n v="42.43"/>
    <n v="40.57"/>
    <n v="398.38"/>
    <n v="-17.940000000000001"/>
    <n v="474"/>
    <n v="394.83"/>
    <n v="1753.57"/>
    <n v="79.170000000000016"/>
  </r>
  <r>
    <x v="5"/>
    <x v="3"/>
    <x v="0"/>
    <s v="5160101"/>
    <n v="700038"/>
    <s v="Salaries-Service/Support-Other"/>
    <s v="Oncology"/>
    <x v="0"/>
    <n v="2000"/>
    <n v="0"/>
    <n v="0"/>
    <n v="0"/>
    <n v="0"/>
    <n v="0"/>
    <n v="0"/>
    <n v="9.68"/>
    <n v="153.43"/>
    <n v="6.31"/>
    <n v="0"/>
    <n v="0"/>
    <n v="10.14"/>
    <n v="179.56"/>
    <n v="-10.14"/>
  </r>
  <r>
    <x v="5"/>
    <x v="3"/>
    <x v="0"/>
    <s v="5160101"/>
    <n v="700054"/>
    <s v="Salaries-Management-NonProd-Other"/>
    <s v="Oncology"/>
    <x v="0"/>
    <n v="2000"/>
    <n v="0"/>
    <n v="0"/>
    <n v="0"/>
    <n v="0"/>
    <n v="0"/>
    <n v="1091.94"/>
    <n v="-1091.94"/>
    <n v="0"/>
    <n v="0"/>
    <n v="0"/>
    <n v="0"/>
    <n v="0"/>
    <n v="0"/>
    <n v="0"/>
  </r>
  <r>
    <x v="5"/>
    <x v="3"/>
    <x v="0"/>
    <s v="5160101"/>
    <n v="700066"/>
    <s v="Salaries-RN-Non-productive"/>
    <s v="Oncology"/>
    <x v="0"/>
    <m/>
    <n v="7558.71"/>
    <n v="4394.8500000000004"/>
    <n v="7170.02"/>
    <n v="9538.2199999999993"/>
    <n v="6622.53"/>
    <n v="5542.77"/>
    <n v="5918.93"/>
    <n v="11070.62"/>
    <n v="11258.42"/>
    <n v="4927.1499999999996"/>
    <n v="4754.21"/>
    <n v="1639.06"/>
    <n v="80395.490000000005"/>
    <n v="3115.15"/>
  </r>
  <r>
    <x v="5"/>
    <x v="3"/>
    <x v="0"/>
    <s v="5160101"/>
    <n v="700066"/>
    <s v="Salaries-RN-NonProd-Other"/>
    <s v="Oncology"/>
    <x v="0"/>
    <n v="2000"/>
    <n v="226.6"/>
    <n v="164.45"/>
    <n v="217.32"/>
    <n v="247.97"/>
    <n v="191.72"/>
    <n v="354.99"/>
    <n v="169.08"/>
    <n v="572.61"/>
    <n v="561.53"/>
    <n v="298.26"/>
    <n v="609.09"/>
    <n v="227.74"/>
    <n v="3841.3599999999997"/>
    <n v="381.35"/>
  </r>
  <r>
    <x v="5"/>
    <x v="3"/>
    <x v="0"/>
    <s v="5160101"/>
    <n v="700072"/>
    <s v="Salaries-Other Pat Care Providers-Non-productive"/>
    <s v="Oncology"/>
    <x v="0"/>
    <m/>
    <n v="237.58"/>
    <n v="244.21"/>
    <n v="853.28"/>
    <n v="-9.5399999999999991"/>
    <n v="7.65"/>
    <n v="354.9"/>
    <n v="359.79"/>
    <n v="1236.3399999999999"/>
    <n v="81.62"/>
    <n v="0"/>
    <n v="0"/>
    <n v="0"/>
    <n v="3365.83"/>
    <n v="0"/>
  </r>
  <r>
    <x v="5"/>
    <x v="3"/>
    <x v="0"/>
    <s v="5160101"/>
    <n v="700078"/>
    <s v="Salaries-Service/Support-Non-productive"/>
    <s v="Oncology"/>
    <x v="0"/>
    <m/>
    <n v="933.2"/>
    <n v="1199.81"/>
    <n v="506.6"/>
    <n v="128.27000000000001"/>
    <n v="1195.8900000000001"/>
    <n v="1715.13"/>
    <n v="588.45000000000005"/>
    <n v="123.17"/>
    <n v="0"/>
    <n v="574.66999999999996"/>
    <n v="383.12"/>
    <n v="646.52"/>
    <n v="7994.83"/>
    <n v="-263.39999999999998"/>
  </r>
  <r>
    <x v="5"/>
    <x v="3"/>
    <x v="0"/>
    <s v="5160101"/>
    <n v="700078"/>
    <s v="Salaries-Service/Support-NonProd-Other"/>
    <s v="Oncology"/>
    <x v="0"/>
    <n v="2000"/>
    <n v="0"/>
    <n v="0"/>
    <n v="0"/>
    <n v="0"/>
    <n v="0"/>
    <n v="0"/>
    <n v="0"/>
    <n v="16.25"/>
    <n v="52.16"/>
    <n v="-8.5299999999999994"/>
    <n v="81.22"/>
    <n v="15.42"/>
    <n v="156.51999999999998"/>
    <n v="65.8"/>
  </r>
  <r>
    <x v="5"/>
    <x v="3"/>
    <x v="0"/>
    <s v="5160101"/>
    <n v="700084"/>
    <s v="Accrued PTO"/>
    <s v="Oncology"/>
    <x v="0"/>
    <m/>
    <n v="-2236.0500000000002"/>
    <n v="-19.2"/>
    <n v="-391.46"/>
    <n v="-3033.17"/>
    <n v="-2473.4"/>
    <n v="1410.15"/>
    <n v="102.74"/>
    <n v="-1789.1"/>
    <n v="-872.44"/>
    <n v="142.4"/>
    <n v="-992.75"/>
    <n v="-1614.51"/>
    <n v="-11766.790000000003"/>
    <n v="621.76"/>
  </r>
  <r>
    <x v="10"/>
    <x v="3"/>
    <x v="0"/>
    <s v="5160101"/>
    <n v="710060"/>
    <s v="Contract Labor-Other"/>
    <s v="Oncology"/>
    <x v="0"/>
    <m/>
    <n v="9078"/>
    <n v="14247"/>
    <n v="-3822.75"/>
    <n v="4934.5"/>
    <n v="2751.25"/>
    <n v="0"/>
    <n v="1757.25"/>
    <n v="514.75"/>
    <n v="892.38"/>
    <n v="9798.4500000000007"/>
    <n v="4336.07"/>
    <n v="15894.63"/>
    <n v="60381.53"/>
    <n v="-11558.56"/>
  </r>
  <r>
    <x v="10"/>
    <x v="3"/>
    <x v="0"/>
    <s v="5160101"/>
    <n v="710060"/>
    <s v="Contract Labor-Overtime"/>
    <s v="Oncology"/>
    <x v="0"/>
    <n v="5100"/>
    <n v="0"/>
    <n v="0"/>
    <n v="0"/>
    <n v="0"/>
    <n v="0"/>
    <n v="0"/>
    <n v="0"/>
    <n v="0"/>
    <n v="0"/>
    <n v="0"/>
    <n v="45.25"/>
    <n v="86.88"/>
    <n v="132.13"/>
    <n v="-41.629999999999995"/>
  </r>
  <r>
    <x v="6"/>
    <x v="3"/>
    <x v="0"/>
    <s v="5160101"/>
    <n v="713010"/>
    <s v="Benefits-FICA/Medicare"/>
    <s v="Oncology"/>
    <x v="0"/>
    <m/>
    <n v="3100.8"/>
    <n v="3254.8"/>
    <n v="3657.06"/>
    <n v="3527.5"/>
    <n v="3934.52"/>
    <n v="3824.56"/>
    <n v="3757.89"/>
    <n v="3353.76"/>
    <n v="3696.83"/>
    <n v="3200.84"/>
    <n v="3203.81"/>
    <n v="2686.55"/>
    <n v="41198.92"/>
    <n v="517.25999999999976"/>
  </r>
  <r>
    <x v="6"/>
    <x v="3"/>
    <x v="0"/>
    <s v="5160101"/>
    <n v="713090"/>
    <s v="Benefits-Allocated Amounts"/>
    <s v="Oncology"/>
    <x v="0"/>
    <m/>
    <n v="7921.07"/>
    <n v="7764.76"/>
    <n v="9753.7199999999993"/>
    <n v="9072.7199999999993"/>
    <n v="9911.5400000000009"/>
    <n v="9402.42"/>
    <n v="10103.85"/>
    <n v="9519.41"/>
    <n v="7539.72"/>
    <n v="8441.9599999999991"/>
    <n v="7266.88"/>
    <n v="7042.34"/>
    <n v="103740.38999999998"/>
    <n v="224.53999999999996"/>
  </r>
  <r>
    <x v="7"/>
    <x v="3"/>
    <x v="0"/>
    <s v="5160101"/>
    <n v="718050"/>
    <s v="Document Shredding/Storage"/>
    <s v="Oncology"/>
    <x v="0"/>
    <n v="1012"/>
    <n v="17.41"/>
    <n v="17.8"/>
    <n v="16.399999999999999"/>
    <n v="16.97"/>
    <n v="17.54"/>
    <n v="17.54"/>
    <n v="17.36"/>
    <n v="14.91"/>
    <n v="15.43"/>
    <n v="20.2"/>
    <n v="16.97"/>
    <n v="17.54"/>
    <n v="206.07"/>
    <n v="-0.57000000000000028"/>
  </r>
  <r>
    <x v="7"/>
    <x v="3"/>
    <x v="0"/>
    <s v="5160101"/>
    <n v="718050"/>
    <s v="Miscellaneous Purchased Svcs"/>
    <s v="Oncology"/>
    <x v="0"/>
    <n v="1020"/>
    <n v="13566"/>
    <n v="0"/>
    <n v="0"/>
    <n v="59583.16"/>
    <n v="0"/>
    <n v="12.11"/>
    <n v="26764"/>
    <n v="0"/>
    <n v="35227.67"/>
    <n v="41000"/>
    <n v="40000"/>
    <n v="28982.400000000001"/>
    <n v="245135.34"/>
    <n v="11017.599999999999"/>
  </r>
  <r>
    <x v="7"/>
    <x v="3"/>
    <x v="0"/>
    <s v="5160101"/>
    <n v="718050"/>
    <s v="Translation Services"/>
    <s v="Oncology"/>
    <x v="0"/>
    <n v="1025"/>
    <n v="0"/>
    <n v="332.85"/>
    <n v="57.82"/>
    <n v="678.38"/>
    <n v="0"/>
    <n v="41.87"/>
    <n v="90.57"/>
    <n v="0"/>
    <n v="96.77"/>
    <n v="0"/>
    <n v="57.37"/>
    <n v="121.42"/>
    <n v="1477.0499999999997"/>
    <n v="-64.050000000000011"/>
  </r>
  <r>
    <x v="7"/>
    <x v="3"/>
    <x v="0"/>
    <s v="5160101"/>
    <n v="718050"/>
    <s v="Contract Management--Linen"/>
    <s v="Oncology"/>
    <x v="0"/>
    <n v="1026"/>
    <n v="493.02"/>
    <n v="540.23"/>
    <n v="531.30999999999995"/>
    <n v="230.21"/>
    <n v="450.04"/>
    <n v="423.4"/>
    <n v="446.7"/>
    <n v="366.95"/>
    <n v="404.46"/>
    <n v="488.6"/>
    <n v="330.1"/>
    <n v="666.34"/>
    <n v="5371.3600000000006"/>
    <n v="-336.24"/>
  </r>
  <r>
    <x v="7"/>
    <x v="3"/>
    <x v="0"/>
    <s v="5160101"/>
    <n v="718091"/>
    <s v="Contract Services-Intracompany Allocation"/>
    <s v="Oncology"/>
    <x v="0"/>
    <m/>
    <n v="9720.1"/>
    <n v="12282.93"/>
    <n v="9783.7199999999993"/>
    <n v="12284.24"/>
    <n v="10407.43"/>
    <n v="10915.8"/>
    <n v="11341.36"/>
    <n v="10627.51"/>
    <n v="11523.27"/>
    <n v="11882.64"/>
    <n v="12351.58"/>
    <n v="10343.790000000001"/>
    <n v="133464.37"/>
    <n v="2007.7899999999991"/>
  </r>
  <r>
    <x v="11"/>
    <x v="3"/>
    <x v="0"/>
    <s v="5160101"/>
    <n v="721010"/>
    <s v="Supplies-Medical - Billable"/>
    <s v="Oncology"/>
    <x v="0"/>
    <m/>
    <n v="3059.2"/>
    <n v="3112.42"/>
    <n v="1874.98"/>
    <n v="2752.22"/>
    <n v="2647.84"/>
    <n v="2856.9"/>
    <n v="2834.51"/>
    <n v="3374.68"/>
    <n v="2587.04"/>
    <n v="4145.28"/>
    <n v="1544.18"/>
    <n v="2521.56"/>
    <n v="33310.81"/>
    <n v="-977.37999999999988"/>
  </r>
  <r>
    <x v="11"/>
    <x v="3"/>
    <x v="0"/>
    <s v="5160101"/>
    <n v="721010"/>
    <s v="Patient Monitoring"/>
    <s v="Oncology"/>
    <x v="0"/>
    <n v="1000"/>
    <n v="0"/>
    <n v="0"/>
    <n v="0"/>
    <n v="0"/>
    <n v="0"/>
    <n v="0"/>
    <n v="0"/>
    <n v="13.05"/>
    <n v="0"/>
    <n v="0.88"/>
    <n v="0"/>
    <n v="0"/>
    <n v="13.930000000000001"/>
    <n v="0"/>
  </r>
  <r>
    <x v="11"/>
    <x v="3"/>
    <x v="0"/>
    <s v="5160101"/>
    <n v="721020"/>
    <s v="Custom Packs"/>
    <s v="Oncology"/>
    <x v="0"/>
    <n v="1000"/>
    <n v="0"/>
    <n v="0"/>
    <n v="238.32"/>
    <n v="0"/>
    <n v="0"/>
    <n v="0"/>
    <n v="0"/>
    <n v="0"/>
    <n v="0"/>
    <n v="0"/>
    <n v="0"/>
    <n v="0"/>
    <n v="238.32"/>
    <n v="0"/>
  </r>
  <r>
    <x v="11"/>
    <x v="3"/>
    <x v="0"/>
    <s v="5160101"/>
    <n v="721020"/>
    <s v="Tubes Drains &amp; Related Supplies"/>
    <s v="Oncology"/>
    <x v="0"/>
    <n v="1008"/>
    <n v="0"/>
    <n v="0"/>
    <n v="11.5"/>
    <n v="11.5"/>
    <n v="30.4"/>
    <n v="0"/>
    <n v="20.63"/>
    <n v="30.4"/>
    <n v="11.5"/>
    <n v="0"/>
    <n v="23"/>
    <n v="0"/>
    <n v="138.93"/>
    <n v="23"/>
  </r>
  <r>
    <x v="11"/>
    <x v="3"/>
    <x v="0"/>
    <s v="5160101"/>
    <n v="721240"/>
    <s v="Supplies-IV Solutions/Supplies - Billable"/>
    <s v="Oncology"/>
    <x v="0"/>
    <m/>
    <n v="744.03"/>
    <n v="1517.31"/>
    <n v="795.75"/>
    <n v="1034.75"/>
    <n v="1096.8900000000001"/>
    <n v="1088"/>
    <n v="885.13"/>
    <n v="971.84"/>
    <n v="1020.98"/>
    <n v="1497.81"/>
    <n v="636.13"/>
    <n v="961"/>
    <n v="12249.619999999999"/>
    <n v="-324.87"/>
  </r>
  <r>
    <x v="11"/>
    <x v="3"/>
    <x v="0"/>
    <s v="5160101"/>
    <n v="721250"/>
    <s v="Supplies-Pharmacy Drugs - Billable"/>
    <s v="Oncology"/>
    <x v="0"/>
    <m/>
    <n v="0"/>
    <n v="86.41"/>
    <n v="13.5"/>
    <n v="0"/>
    <n v="10.82"/>
    <n v="0"/>
    <n v="18.61"/>
    <n v="0"/>
    <n v="27"/>
    <n v="0"/>
    <n v="0"/>
    <n v="0"/>
    <n v="156.33999999999997"/>
    <n v="0"/>
  </r>
  <r>
    <x v="11"/>
    <x v="3"/>
    <x v="0"/>
    <s v="5160101"/>
    <n v="721410"/>
    <s v="Supplies-Medical - Nonbillable"/>
    <s v="Oncology"/>
    <x v="0"/>
    <m/>
    <n v="1606.6"/>
    <n v="1280.05"/>
    <n v="1306.6300000000001"/>
    <n v="1654.51"/>
    <n v="736.86"/>
    <n v="1039.54"/>
    <n v="687.77"/>
    <n v="760.73"/>
    <n v="1027.69"/>
    <n v="1186.48"/>
    <n v="1130.81"/>
    <n v="1128.32"/>
    <n v="13545.989999999998"/>
    <n v="2.4900000000000091"/>
  </r>
  <r>
    <x v="11"/>
    <x v="3"/>
    <x v="0"/>
    <s v="5160101"/>
    <n v="721410"/>
    <s v="Patient Monitoring"/>
    <s v="Oncology"/>
    <x v="0"/>
    <n v="1000"/>
    <n v="0"/>
    <n v="0"/>
    <n v="0"/>
    <n v="0"/>
    <n v="2.17"/>
    <n v="1.0900000000000001"/>
    <n v="0"/>
    <n v="0"/>
    <n v="0"/>
    <n v="1.0900000000000001"/>
    <n v="0"/>
    <n v="0"/>
    <n v="4.3499999999999996"/>
    <n v="0"/>
  </r>
  <r>
    <x v="11"/>
    <x v="3"/>
    <x v="0"/>
    <s v="5160101"/>
    <n v="721420"/>
    <s v="Supplies-Surgical Nonbillable"/>
    <s v="Oncology"/>
    <x v="0"/>
    <m/>
    <n v="0"/>
    <n v="0"/>
    <n v="0"/>
    <n v="0"/>
    <n v="1.43"/>
    <n v="10.01"/>
    <n v="0"/>
    <n v="0"/>
    <n v="0"/>
    <n v="0"/>
    <n v="0.61"/>
    <n v="0"/>
    <n v="12.049999999999999"/>
    <n v="0.61"/>
  </r>
  <r>
    <x v="11"/>
    <x v="3"/>
    <x v="0"/>
    <s v="5160101"/>
    <n v="721420"/>
    <s v="Tubes Drains &amp; Related Supplies"/>
    <s v="Oncology"/>
    <x v="0"/>
    <n v="1008"/>
    <n v="0"/>
    <n v="0"/>
    <n v="0"/>
    <n v="6.61"/>
    <n v="2.64"/>
    <n v="0"/>
    <n v="1.34"/>
    <n v="0"/>
    <n v="0"/>
    <n v="0"/>
    <n v="0"/>
    <n v="0"/>
    <n v="10.59"/>
    <n v="0"/>
  </r>
  <r>
    <x v="11"/>
    <x v="3"/>
    <x v="0"/>
    <s v="5160101"/>
    <n v="721610"/>
    <s v="Supplies-Anesthesia - Nonbillable"/>
    <s v="Oncology"/>
    <x v="0"/>
    <m/>
    <n v="0"/>
    <n v="5.36"/>
    <n v="-0.08"/>
    <n v="0"/>
    <n v="2.66"/>
    <n v="0"/>
    <n v="1.06"/>
    <n v="0.53"/>
    <n v="0"/>
    <n v="2.13"/>
    <n v="0"/>
    <n v="0"/>
    <n v="11.66"/>
    <n v="0"/>
  </r>
  <r>
    <x v="11"/>
    <x v="3"/>
    <x v="0"/>
    <s v="5160101"/>
    <n v="721640"/>
    <s v="Supplies-IV Solutions/Supplies - Nonbillable"/>
    <s v="Oncology"/>
    <x v="0"/>
    <m/>
    <n v="1574.41"/>
    <n v="2513.58"/>
    <n v="1258.1400000000001"/>
    <n v="2097.0300000000002"/>
    <n v="1877.2"/>
    <n v="2207.09"/>
    <n v="2169.4899999999998"/>
    <n v="1796.96"/>
    <n v="1982.95"/>
    <n v="2477.75"/>
    <n v="1672.65"/>
    <n v="2252.29"/>
    <n v="23879.540000000005"/>
    <n v="-579.63999999999987"/>
  </r>
  <r>
    <x v="11"/>
    <x v="3"/>
    <x v="0"/>
    <s v="5160101"/>
    <n v="721650"/>
    <s v="Supplies-Pharmacy Drugs - Nonbillable"/>
    <s v="Oncology"/>
    <x v="0"/>
    <m/>
    <n v="0"/>
    <n v="0"/>
    <n v="0"/>
    <n v="0.24"/>
    <n v="1.2"/>
    <n v="0"/>
    <n v="0.05"/>
    <n v="14.58"/>
    <n v="0"/>
    <n v="0"/>
    <n v="0"/>
    <n v="0"/>
    <n v="16.07"/>
    <n v="0"/>
  </r>
  <r>
    <x v="11"/>
    <x v="3"/>
    <x v="0"/>
    <s v="5160101"/>
    <n v="721710"/>
    <s v="Supplies-Laboratory - Nonbillable"/>
    <s v="Oncology"/>
    <x v="0"/>
    <m/>
    <n v="79.099999999999994"/>
    <n v="133.05000000000001"/>
    <n v="21.21"/>
    <n v="83.78"/>
    <n v="173.69"/>
    <n v="145.27000000000001"/>
    <n v="58.74"/>
    <n v="133.03"/>
    <n v="29.37"/>
    <n v="134.44999999999999"/>
    <n v="157.49"/>
    <n v="147.31"/>
    <n v="1296.49"/>
    <n v="10.180000000000007"/>
  </r>
  <r>
    <x v="11"/>
    <x v="3"/>
    <x v="0"/>
    <s v="5160101"/>
    <n v="721750"/>
    <s v="Supplies-Film/Radiographic - Nonbillable"/>
    <s v="Oncology"/>
    <x v="0"/>
    <m/>
    <n v="0"/>
    <n v="0"/>
    <n v="0"/>
    <n v="0"/>
    <n v="0"/>
    <n v="0"/>
    <n v="0"/>
    <n v="0.94"/>
    <n v="0"/>
    <n v="0"/>
    <n v="0"/>
    <n v="0"/>
    <n v="0.94"/>
    <n v="0"/>
  </r>
  <r>
    <x v="11"/>
    <x v="3"/>
    <x v="0"/>
    <s v="5160101"/>
    <n v="721810"/>
    <s v="Supplies-Dietary/Cafeteria"/>
    <s v="Oncology"/>
    <x v="0"/>
    <m/>
    <n v="35"/>
    <n v="45.44"/>
    <n v="86.93"/>
    <n v="40.94"/>
    <n v="82.33"/>
    <n v="84.08"/>
    <n v="54.32"/>
    <n v="27.96"/>
    <n v="53.5"/>
    <n v="44.58"/>
    <n v="49.86"/>
    <n v="50.94"/>
    <n v="655.87999999999988"/>
    <n v="-1.0799999999999983"/>
  </r>
  <r>
    <x v="11"/>
    <x v="3"/>
    <x v="0"/>
    <s v="5160101"/>
    <n v="721830"/>
    <s v="Supplies-Office"/>
    <s v="Oncology"/>
    <x v="0"/>
    <m/>
    <n v="0"/>
    <n v="298.14"/>
    <n v="0"/>
    <n v="156.71"/>
    <n v="0"/>
    <n v="0"/>
    <n v="172.92"/>
    <n v="6.88"/>
    <n v="13.6"/>
    <n v="164.82"/>
    <n v="15.32"/>
    <n v="5.16"/>
    <n v="833.55"/>
    <n v="10.16"/>
  </r>
  <r>
    <x v="11"/>
    <x v="3"/>
    <x v="0"/>
    <s v="5160101"/>
    <n v="721835"/>
    <s v="Supplies-Forms"/>
    <s v="Oncology"/>
    <x v="0"/>
    <m/>
    <n v="0"/>
    <n v="0"/>
    <n v="0"/>
    <n v="0"/>
    <n v="2.76"/>
    <n v="0"/>
    <n v="0"/>
    <n v="0"/>
    <n v="0"/>
    <n v="0"/>
    <n v="0"/>
    <n v="0"/>
    <n v="2.76"/>
    <n v="0"/>
  </r>
  <r>
    <x v="11"/>
    <x v="3"/>
    <x v="0"/>
    <s v="5160101"/>
    <n v="721870"/>
    <s v="Supplies-Environmental Services"/>
    <s v="Oncology"/>
    <x v="0"/>
    <m/>
    <n v="111.12"/>
    <n v="67.22"/>
    <n v="126.87"/>
    <n v="59.98"/>
    <n v="65.760000000000005"/>
    <n v="211.86"/>
    <n v="69.78"/>
    <n v="303.06"/>
    <n v="48"/>
    <n v="286.25"/>
    <n v="99.82"/>
    <n v="99.55"/>
    <n v="1549.27"/>
    <n v="0.26999999999999602"/>
  </r>
  <r>
    <x v="11"/>
    <x v="3"/>
    <x v="0"/>
    <s v="5160101"/>
    <n v="721880"/>
    <s v="Supplies-Linen"/>
    <s v="Oncology"/>
    <x v="0"/>
    <m/>
    <n v="0"/>
    <n v="0"/>
    <n v="0"/>
    <n v="0"/>
    <n v="0"/>
    <n v="0"/>
    <n v="32.1"/>
    <n v="0"/>
    <n v="0"/>
    <n v="0"/>
    <n v="0"/>
    <n v="0"/>
    <n v="32.1"/>
    <n v="0"/>
  </r>
  <r>
    <x v="11"/>
    <x v="3"/>
    <x v="0"/>
    <s v="5160101"/>
    <n v="721910"/>
    <s v="Supplies-Small Equipment"/>
    <s v="Oncology"/>
    <x v="0"/>
    <m/>
    <n v="2.6"/>
    <n v="16.64"/>
    <n v="0"/>
    <n v="184.56"/>
    <n v="0"/>
    <n v="7.2"/>
    <n v="11.4"/>
    <n v="4.8"/>
    <n v="7.8"/>
    <n v="7.2"/>
    <n v="0"/>
    <n v="10"/>
    <n v="252.20000000000002"/>
    <n v="-10"/>
  </r>
  <r>
    <x v="11"/>
    <x v="3"/>
    <x v="0"/>
    <s v="5160101"/>
    <n v="721910"/>
    <s v="Instruments"/>
    <s v="Oncology"/>
    <x v="0"/>
    <n v="1000"/>
    <n v="0"/>
    <n v="0"/>
    <n v="0"/>
    <n v="2.2000000000000002"/>
    <n v="0"/>
    <n v="0"/>
    <n v="0"/>
    <n v="0"/>
    <n v="0"/>
    <n v="0"/>
    <n v="0"/>
    <n v="0"/>
    <n v="2.2000000000000002"/>
    <n v="0"/>
  </r>
  <r>
    <x v="11"/>
    <x v="3"/>
    <x v="0"/>
    <s v="5160101"/>
    <n v="721980"/>
    <s v="Supplies-Other"/>
    <s v="Oncology"/>
    <x v="0"/>
    <m/>
    <n v="876.45"/>
    <n v="104.39"/>
    <n v="26.72"/>
    <n v="232"/>
    <n v="1781.04"/>
    <n v="65.13"/>
    <n v="134.83000000000001"/>
    <n v="39.93"/>
    <n v="0"/>
    <n v="66.58"/>
    <n v="33.630000000000003"/>
    <n v="39.97"/>
    <n v="3400.6699999999996"/>
    <n v="-6.3399999999999963"/>
  </r>
  <r>
    <x v="11"/>
    <x v="3"/>
    <x v="0"/>
    <s v="5160101"/>
    <n v="722000"/>
    <s v="Supplies-Freight Expense"/>
    <s v="Oncology"/>
    <x v="0"/>
    <m/>
    <n v="220.61"/>
    <n v="0"/>
    <n v="14.13"/>
    <n v="16.54"/>
    <n v="0"/>
    <n v="23.12"/>
    <n v="0"/>
    <n v="16.78"/>
    <n v="14.9"/>
    <n v="16.78"/>
    <n v="16.809999999999999"/>
    <n v="18.75"/>
    <n v="358.4199999999999"/>
    <n v="-1.9400000000000013"/>
  </r>
  <r>
    <x v="12"/>
    <x v="3"/>
    <x v="0"/>
    <s v="5160101"/>
    <n v="730020"/>
    <s v="Rental and Leases-Copier Usage Fees (DO NOT USE)"/>
    <s v="Oncology"/>
    <x v="0"/>
    <n v="5100"/>
    <n v="732.82"/>
    <n v="739.97"/>
    <n v="736.4"/>
    <n v="736.4"/>
    <n v="736.4"/>
    <n v="736.4"/>
    <n v="1892.96"/>
    <n v="487.42"/>
    <n v="503.47"/>
    <n v="1411.64"/>
    <n v="487.42"/>
    <n v="570.61"/>
    <n v="9771.9100000000017"/>
    <n v="-83.19"/>
  </r>
  <r>
    <x v="13"/>
    <x v="3"/>
    <x v="0"/>
    <s v="5160101"/>
    <n v="735060"/>
    <s v="Depreciation-Fixed Equipment"/>
    <s v="Oncology"/>
    <x v="0"/>
    <m/>
    <n v="68.209999999999994"/>
    <n v="68.209999999999994"/>
    <n v="68.209999999999994"/>
    <n v="68.209999999999994"/>
    <n v="68.209999999999994"/>
    <n v="68.209999999999994"/>
    <n v="68.209999999999994"/>
    <n v="68.209999999999994"/>
    <n v="68.209999999999994"/>
    <n v="68.2"/>
    <n v="68.209999999999994"/>
    <n v="68.2"/>
    <n v="818.50000000000011"/>
    <n v="9.9999999999909051E-3"/>
  </r>
  <r>
    <x v="13"/>
    <x v="3"/>
    <x v="0"/>
    <s v="5160101"/>
    <n v="735070"/>
    <s v="Depreciation-Movable Equipment"/>
    <s v="Oncology"/>
    <x v="0"/>
    <m/>
    <n v="956.15"/>
    <n v="926.85"/>
    <n v="926.85"/>
    <n v="926.82"/>
    <n v="926.85"/>
    <n v="926.81"/>
    <n v="926.85"/>
    <n v="926.81"/>
    <n v="926.86"/>
    <n v="926.81"/>
    <n v="926.87"/>
    <n v="926.79"/>
    <n v="11151.32"/>
    <n v="8.0000000000040927E-2"/>
  </r>
  <r>
    <x v="0"/>
    <x v="3"/>
    <x v="0"/>
    <s v="5160101"/>
    <n v="740020"/>
    <s v="Education-Registration Fees"/>
    <s v="Oncology"/>
    <x v="0"/>
    <m/>
    <n v="0"/>
    <n v="0"/>
    <n v="0"/>
    <n v="0"/>
    <n v="0"/>
    <n v="0"/>
    <n v="0"/>
    <n v="0"/>
    <n v="103"/>
    <n v="0"/>
    <n v="0"/>
    <n v="0"/>
    <n v="103"/>
    <n v="0"/>
  </r>
  <r>
    <x v="0"/>
    <x v="3"/>
    <x v="0"/>
    <s v="5160101"/>
    <n v="743030"/>
    <s v="Subscriptions--Institutional"/>
    <s v="Oncology"/>
    <x v="0"/>
    <m/>
    <n v="0"/>
    <n v="0"/>
    <n v="0"/>
    <n v="0"/>
    <n v="0"/>
    <n v="0"/>
    <n v="68.989999999999995"/>
    <n v="101.17"/>
    <n v="0"/>
    <n v="0"/>
    <n v="0"/>
    <n v="0"/>
    <n v="170.16"/>
    <n v="0"/>
  </r>
  <r>
    <x v="0"/>
    <x v="3"/>
    <x v="0"/>
    <s v="5160101"/>
    <n v="749510"/>
    <s v="Miscellaneous Expenses"/>
    <s v="Oncology"/>
    <x v="0"/>
    <m/>
    <n v="0"/>
    <n v="0"/>
    <n v="5141.67"/>
    <n v="2229"/>
    <n v="40"/>
    <n v="0"/>
    <n v="0"/>
    <n v="34.6"/>
    <n v="0"/>
    <n v="0"/>
    <n v="0"/>
    <n v="0"/>
    <n v="7445.27"/>
    <n v="0"/>
  </r>
  <r>
    <x v="18"/>
    <x v="0"/>
    <x v="0"/>
    <s v="5160102"/>
    <n v="400010"/>
    <s v="Acute I/P Svcs Rev--Medicare"/>
    <s v="Oncology"/>
    <x v="0"/>
    <n v="1100"/>
    <n v="0"/>
    <n v="0"/>
    <n v="0"/>
    <n v="0"/>
    <n v="0"/>
    <n v="0"/>
    <n v="0"/>
    <n v="0"/>
    <n v="-2337.29"/>
    <n v="0"/>
    <n v="0"/>
    <n v="-3113.24"/>
    <n v="-5450.53"/>
    <n v="3113.24"/>
  </r>
  <r>
    <x v="18"/>
    <x v="0"/>
    <x v="0"/>
    <s v="5160102"/>
    <n v="400010"/>
    <s v="Acute I/P Svcs Rev--Managed Care"/>
    <s v="Oncology"/>
    <x v="0"/>
    <n v="1400"/>
    <n v="0"/>
    <n v="0"/>
    <n v="0"/>
    <n v="0"/>
    <n v="0"/>
    <n v="0"/>
    <n v="0"/>
    <n v="-62"/>
    <n v="0"/>
    <n v="0"/>
    <n v="0"/>
    <n v="0"/>
    <n v="-62"/>
    <n v="0"/>
  </r>
  <r>
    <x v="19"/>
    <x v="0"/>
    <x v="0"/>
    <s v="5160102"/>
    <n v="400020"/>
    <s v="O/P Care Svcs Rev--Medicare"/>
    <s v="Oncology"/>
    <x v="0"/>
    <n v="1100"/>
    <n v="-143125.24"/>
    <n v="-164125.35"/>
    <n v="-160705.62"/>
    <n v="-170633.08"/>
    <n v="-135815.85999999999"/>
    <n v="-155161.85999999999"/>
    <n v="-173445.54"/>
    <n v="-81222.39"/>
    <n v="-100203.09"/>
    <n v="-140955.87"/>
    <n v="-132363.04"/>
    <n v="-103507.92"/>
    <n v="-1661264.8599999999"/>
    <n v="-28855.12000000001"/>
  </r>
  <r>
    <x v="19"/>
    <x v="0"/>
    <x v="0"/>
    <s v="5160102"/>
    <n v="400020"/>
    <s v="O/P Care Svcs Rev--Medicaid"/>
    <s v="Oncology"/>
    <x v="0"/>
    <n v="1200"/>
    <n v="-39788.449999999997"/>
    <n v="-33307.050000000003"/>
    <n v="-32132.2"/>
    <n v="-25558.6"/>
    <n v="-33057.35"/>
    <n v="-33417.269999999997"/>
    <n v="-49815.06"/>
    <n v="-41847.550000000003"/>
    <n v="-55181.64"/>
    <n v="-43404.74"/>
    <n v="-56694.99"/>
    <n v="-46813.01"/>
    <n v="-491017.91"/>
    <n v="-9881.9799999999959"/>
  </r>
  <r>
    <x v="19"/>
    <x v="0"/>
    <x v="0"/>
    <s v="5160102"/>
    <n v="400020"/>
    <s v="O/P Care Svcs Rev--Comm Insurance"/>
    <s v="Oncology"/>
    <x v="0"/>
    <n v="1300"/>
    <n v="-705.71"/>
    <n v="389.18"/>
    <n v="-2826.5"/>
    <n v="-4420.8"/>
    <n v="-1755.44"/>
    <n v="-5645.66"/>
    <n v="-17924.009999999998"/>
    <n v="-1826.67"/>
    <n v="-3775.74"/>
    <n v="-4767.62"/>
    <n v="-17805.91"/>
    <n v="-10751.76"/>
    <n v="-71816.639999999999"/>
    <n v="-7054.15"/>
  </r>
  <r>
    <x v="19"/>
    <x v="0"/>
    <x v="0"/>
    <s v="5160102"/>
    <n v="400020"/>
    <s v="O/P Care Svcs Rev--BCBS Comm"/>
    <s v="Oncology"/>
    <x v="0"/>
    <n v="1301"/>
    <n v="-10025.39"/>
    <n v="-10472.219999999999"/>
    <n v="-11996.05"/>
    <n v="-20321.04"/>
    <n v="-14569.73"/>
    <n v="-23316.9"/>
    <n v="-25222.02"/>
    <n v="-16040.67"/>
    <n v="-35733.769999999997"/>
    <n v="-29498.18"/>
    <n v="-20309.509999999998"/>
    <n v="-9429.67"/>
    <n v="-226935.15"/>
    <n v="-10879.839999999998"/>
  </r>
  <r>
    <x v="19"/>
    <x v="0"/>
    <x v="0"/>
    <s v="5160102"/>
    <n v="400020"/>
    <s v="O/P Care Svcs Rev--Managed Care"/>
    <s v="Oncology"/>
    <x v="0"/>
    <n v="1400"/>
    <n v="-31521.200000000001"/>
    <n v="-27404.28"/>
    <n v="-27694.06"/>
    <n v="-19330.52"/>
    <n v="-39127.4"/>
    <n v="-32614.799999999999"/>
    <n v="-36711.99"/>
    <n v="-44100.08"/>
    <n v="-33719.660000000003"/>
    <n v="-40617.97"/>
    <n v="-37936.83"/>
    <n v="-27731.07"/>
    <n v="-398509.86"/>
    <n v="-10205.760000000002"/>
  </r>
  <r>
    <x v="19"/>
    <x v="0"/>
    <x v="0"/>
    <s v="5160102"/>
    <n v="400020"/>
    <s v="O/P Care Svcs Rev--Self Pay"/>
    <s v="Oncology"/>
    <x v="0"/>
    <n v="1500"/>
    <n v="-2068.0500000000002"/>
    <n v="-2018.4"/>
    <n v="-939.99"/>
    <n v="-1049.78"/>
    <n v="-2299.12"/>
    <n v="-680.44"/>
    <n v="-418.05"/>
    <n v="-769.95"/>
    <n v="-432.69"/>
    <n v="-4952.28"/>
    <n v="-13045.18"/>
    <n v="-11908.78"/>
    <n v="-40582.71"/>
    <n v="-1136.3999999999996"/>
  </r>
  <r>
    <x v="19"/>
    <x v="0"/>
    <x v="0"/>
    <s v="5160102"/>
    <n v="400020"/>
    <s v="O/P Care Svcs Rev--Other"/>
    <s v="Oncology"/>
    <x v="0"/>
    <n v="1700"/>
    <n v="-6490.86"/>
    <n v="-3913.67"/>
    <n v="-2245.36"/>
    <n v="-418.05"/>
    <n v="-2455.87"/>
    <n v="-8550.14"/>
    <n v="-8192.5300000000007"/>
    <n v="-7085.65"/>
    <n v="-5876.38"/>
    <n v="0"/>
    <n v="-1032.27"/>
    <n v="-1032.27"/>
    <n v="-47293.049999999988"/>
    <n v="0"/>
  </r>
  <r>
    <x v="5"/>
    <x v="0"/>
    <x v="0"/>
    <s v="5160102"/>
    <n v="700026"/>
    <s v="Salaries-RN-Productive"/>
    <s v="Oncology"/>
    <x v="0"/>
    <m/>
    <n v="14436.68"/>
    <n v="14646.89"/>
    <n v="15895.52"/>
    <n v="14301.31"/>
    <n v="17618.27"/>
    <n v="19278.8"/>
    <n v="20784.400000000001"/>
    <n v="14851.66"/>
    <n v="18361.75"/>
    <n v="20002.400000000001"/>
    <n v="18236.13"/>
    <n v="13857.12"/>
    <n v="202270.93"/>
    <n v="4379.01"/>
  </r>
  <r>
    <x v="5"/>
    <x v="0"/>
    <x v="0"/>
    <s v="5160102"/>
    <n v="700026"/>
    <s v="Salaries-RN-OT"/>
    <s v="Oncology"/>
    <x v="0"/>
    <n v="1000"/>
    <n v="179.19"/>
    <n v="126.38"/>
    <n v="294.39"/>
    <n v="336.52"/>
    <n v="-19.14"/>
    <n v="108.79"/>
    <n v="305.22000000000003"/>
    <n v="215.78"/>
    <n v="205.42"/>
    <n v="11.25"/>
    <n v="484.9"/>
    <n v="183.97"/>
    <n v="2432.67"/>
    <n v="300.92999999999995"/>
  </r>
  <r>
    <x v="5"/>
    <x v="0"/>
    <x v="0"/>
    <s v="5160102"/>
    <n v="700026"/>
    <s v="Salaries-RN-Other"/>
    <s v="Oncology"/>
    <x v="0"/>
    <n v="2000"/>
    <n v="548.21"/>
    <n v="465.99"/>
    <n v="587.80999999999995"/>
    <n v="646.73"/>
    <n v="591.16"/>
    <n v="661.69"/>
    <n v="559.12"/>
    <n v="488.61"/>
    <n v="526.62"/>
    <n v="644.72"/>
    <n v="622.86"/>
    <n v="605.98"/>
    <n v="6949.5"/>
    <n v="16.879999999999995"/>
  </r>
  <r>
    <x v="5"/>
    <x v="0"/>
    <x v="0"/>
    <s v="5160102"/>
    <n v="700032"/>
    <s v="Salaries-Other Pat Care Providers-Productive"/>
    <s v="Oncology"/>
    <x v="0"/>
    <m/>
    <n v="1955.25"/>
    <n v="235.43"/>
    <n v="922.01"/>
    <n v="1416.33"/>
    <n v="2245.02"/>
    <n v="715.17"/>
    <n v="1125.25"/>
    <n v="1044.06"/>
    <n v="1052.92"/>
    <n v="609.07000000000005"/>
    <n v="598.57000000000005"/>
    <n v="146.54"/>
    <n v="12065.619999999999"/>
    <n v="452.03000000000009"/>
  </r>
  <r>
    <x v="5"/>
    <x v="0"/>
    <x v="0"/>
    <s v="5160102"/>
    <n v="700032"/>
    <s v="Salaries-Other Pat Care Providers-OT"/>
    <s v="Oncology"/>
    <x v="0"/>
    <n v="1000"/>
    <n v="15.1"/>
    <n v="-1.46"/>
    <n v="0"/>
    <n v="0"/>
    <n v="0"/>
    <n v="6.89"/>
    <n v="37.450000000000003"/>
    <n v="8.85"/>
    <n v="23.65"/>
    <n v="15.75"/>
    <n v="-9.84"/>
    <n v="0"/>
    <n v="96.389999999999986"/>
    <n v="-9.84"/>
  </r>
  <r>
    <x v="5"/>
    <x v="0"/>
    <x v="0"/>
    <s v="5160102"/>
    <n v="700038"/>
    <s v="Salaries-Service/Support-Productive"/>
    <s v="Oncology"/>
    <x v="0"/>
    <m/>
    <n v="1832.44"/>
    <n v="2800.73"/>
    <n v="2673.14"/>
    <n v="2790.35"/>
    <n v="1691.61"/>
    <n v="2991.24"/>
    <n v="1956.12"/>
    <n v="2061.5"/>
    <n v="3146.3"/>
    <n v="2802.44"/>
    <n v="3101.69"/>
    <n v="2652.77"/>
    <n v="30500.329999999998"/>
    <n v="448.92000000000007"/>
  </r>
  <r>
    <x v="5"/>
    <x v="0"/>
    <x v="0"/>
    <s v="5160102"/>
    <n v="700038"/>
    <s v="Salaries-Service/Support-OT"/>
    <s v="Oncology"/>
    <x v="0"/>
    <n v="1000"/>
    <n v="0"/>
    <n v="0"/>
    <n v="0"/>
    <n v="0"/>
    <n v="0"/>
    <n v="0"/>
    <n v="0"/>
    <n v="0"/>
    <n v="8.83"/>
    <n v="0"/>
    <n v="0"/>
    <n v="0"/>
    <n v="8.83"/>
    <n v="0"/>
  </r>
  <r>
    <x v="5"/>
    <x v="0"/>
    <x v="0"/>
    <s v="5160102"/>
    <n v="700054"/>
    <s v="Salaries-Management-NonProd-Other"/>
    <s v="Oncology"/>
    <x v="0"/>
    <n v="2000"/>
    <n v="0"/>
    <n v="0"/>
    <n v="0"/>
    <n v="0"/>
    <n v="0"/>
    <n v="572.21"/>
    <n v="-572.21"/>
    <n v="0"/>
    <n v="0"/>
    <n v="0"/>
    <n v="0"/>
    <n v="0"/>
    <n v="0"/>
    <n v="0"/>
  </r>
  <r>
    <x v="5"/>
    <x v="0"/>
    <x v="0"/>
    <s v="5160102"/>
    <n v="700066"/>
    <s v="Salaries-RN-Non-productive"/>
    <s v="Oncology"/>
    <x v="0"/>
    <m/>
    <n v="2253.1"/>
    <n v="1874.67"/>
    <n v="1778.78"/>
    <n v="1581.83"/>
    <n v="2406.34"/>
    <n v="5092.58"/>
    <n v="1146.23"/>
    <n v="8810.51"/>
    <n v="3346.64"/>
    <n v="-948.41"/>
    <n v="1066.02"/>
    <n v="3965.15"/>
    <n v="32373.440000000002"/>
    <n v="-2899.13"/>
  </r>
  <r>
    <x v="5"/>
    <x v="0"/>
    <x v="0"/>
    <s v="5160102"/>
    <n v="700066"/>
    <s v="Salaries-RN-NonProd-Other"/>
    <s v="Oncology"/>
    <x v="0"/>
    <n v="2000"/>
    <n v="52"/>
    <n v="89.84"/>
    <n v="87.26"/>
    <n v="45.22"/>
    <n v="72.489999999999995"/>
    <n v="380.62"/>
    <n v="63.4"/>
    <n v="-133.56"/>
    <n v="216.82"/>
    <n v="-22.78"/>
    <n v="58.21"/>
    <n v="120.67"/>
    <n v="1030.19"/>
    <n v="-62.46"/>
  </r>
  <r>
    <x v="5"/>
    <x v="0"/>
    <x v="0"/>
    <s v="5160102"/>
    <n v="700072"/>
    <s v="Salaries-Other Pat Care Providers-Non-productive"/>
    <s v="Oncology"/>
    <x v="0"/>
    <m/>
    <n v="0"/>
    <n v="0"/>
    <n v="0"/>
    <n v="177.26"/>
    <n v="0"/>
    <n v="885.01"/>
    <n v="283.94"/>
    <n v="-52.54"/>
    <n v="0"/>
    <n v="0"/>
    <n v="1135.29"/>
    <n v="60.5"/>
    <n v="2489.46"/>
    <n v="1074.79"/>
  </r>
  <r>
    <x v="5"/>
    <x v="0"/>
    <x v="0"/>
    <s v="5160102"/>
    <n v="700078"/>
    <s v="Salaries-Service/Support-Non-productive"/>
    <s v="Oncology"/>
    <x v="0"/>
    <m/>
    <n v="1070.1500000000001"/>
    <n v="104.46"/>
    <n v="104.43"/>
    <n v="182.72"/>
    <n v="1452.08"/>
    <n v="80.72"/>
    <n v="1104.21"/>
    <n v="516.28"/>
    <n v="-86.24"/>
    <n v="0"/>
    <n v="188.52"/>
    <n v="377.03"/>
    <n v="5094.3600000000006"/>
    <n v="-188.50999999999996"/>
  </r>
  <r>
    <x v="5"/>
    <x v="0"/>
    <x v="0"/>
    <s v="5160102"/>
    <n v="700078"/>
    <s v="Salaries-Service/Support-NonProd-Other"/>
    <s v="Oncology"/>
    <x v="0"/>
    <n v="2000"/>
    <n v="0"/>
    <n v="0"/>
    <n v="8.9700000000000006"/>
    <n v="-3.26"/>
    <n v="0"/>
    <n v="0"/>
    <n v="0"/>
    <n v="0"/>
    <n v="0"/>
    <n v="0"/>
    <n v="0"/>
    <n v="0"/>
    <n v="5.7100000000000009"/>
    <n v="0"/>
  </r>
  <r>
    <x v="5"/>
    <x v="0"/>
    <x v="0"/>
    <s v="5160102"/>
    <n v="700084"/>
    <s v="Accrued PTO"/>
    <s v="Oncology"/>
    <x v="0"/>
    <m/>
    <n v="325.94"/>
    <n v="1211.3900000000001"/>
    <n v="761.42"/>
    <n v="1127.49"/>
    <n v="404.81"/>
    <n v="-1947.79"/>
    <n v="116.83"/>
    <n v="-3958.97"/>
    <n v="-11.27"/>
    <n v="2754.26"/>
    <n v="2086.25"/>
    <n v="-26.83"/>
    <n v="2843.53"/>
    <n v="2113.08"/>
  </r>
  <r>
    <x v="10"/>
    <x v="0"/>
    <x v="0"/>
    <s v="5160102"/>
    <n v="710060"/>
    <s v="Contract Labor-Other"/>
    <s v="Oncology"/>
    <x v="0"/>
    <m/>
    <n v="1491.56"/>
    <n v="3056.25"/>
    <n v="2964.25"/>
    <n v="2414"/>
    <n v="3070.75"/>
    <n v="1100.5"/>
    <n v="4597.25"/>
    <n v="390.5"/>
    <n v="585.75"/>
    <n v="0"/>
    <n v="0"/>
    <n v="5332.68"/>
    <n v="25003.489999999998"/>
    <n v="-5332.68"/>
  </r>
  <r>
    <x v="6"/>
    <x v="0"/>
    <x v="0"/>
    <s v="5160102"/>
    <n v="713010"/>
    <s v="Benefits-FICA/Medicare"/>
    <s v="Oncology"/>
    <x v="0"/>
    <m/>
    <n v="1642.46"/>
    <n v="1489.67"/>
    <n v="1645.47"/>
    <n v="1576.16"/>
    <n v="2023.12"/>
    <n v="2291.4699999999998"/>
    <n v="2063.9"/>
    <n v="2082.31"/>
    <n v="1976.7"/>
    <n v="1698.64"/>
    <n v="1885.13"/>
    <n v="1646.66"/>
    <n v="22021.69"/>
    <n v="238.47000000000003"/>
  </r>
  <r>
    <x v="6"/>
    <x v="0"/>
    <x v="0"/>
    <s v="5160102"/>
    <n v="713090"/>
    <s v="Benefits-Allocated Amounts"/>
    <s v="Oncology"/>
    <x v="0"/>
    <m/>
    <n v="4682.91"/>
    <n v="3495.59"/>
    <n v="4282.41"/>
    <n v="4136.88"/>
    <n v="5020.18"/>
    <n v="5433.29"/>
    <n v="5191.3599999999997"/>
    <n v="5293.37"/>
    <n v="4829.42"/>
    <n v="4681.26"/>
    <n v="5207.6499999999996"/>
    <n v="4268.91"/>
    <n v="56523.23000000001"/>
    <n v="938.73999999999978"/>
  </r>
  <r>
    <x v="6"/>
    <x v="0"/>
    <x v="0"/>
    <s v="5160102"/>
    <n v="713096"/>
    <s v="Employee Recognition"/>
    <s v="Oncology"/>
    <x v="0"/>
    <n v="1017"/>
    <n v="0"/>
    <n v="0"/>
    <n v="0"/>
    <n v="0"/>
    <n v="0"/>
    <n v="0"/>
    <n v="0"/>
    <n v="0"/>
    <n v="0"/>
    <n v="0"/>
    <n v="19.989999999999998"/>
    <n v="0"/>
    <n v="19.989999999999998"/>
    <n v="19.989999999999998"/>
  </r>
  <r>
    <x v="7"/>
    <x v="0"/>
    <x v="0"/>
    <s v="5160102"/>
    <n v="718050"/>
    <s v="Contract Svcs-Other"/>
    <s v="Oncology"/>
    <x v="0"/>
    <m/>
    <n v="0"/>
    <n v="9.65"/>
    <n v="0"/>
    <n v="0"/>
    <n v="0"/>
    <n v="0"/>
    <n v="0"/>
    <n v="0"/>
    <n v="0"/>
    <n v="0"/>
    <n v="0"/>
    <n v="0"/>
    <n v="9.65"/>
    <n v="0"/>
  </r>
  <r>
    <x v="7"/>
    <x v="0"/>
    <x v="0"/>
    <s v="5160102"/>
    <n v="718050"/>
    <s v="Document Shredding/Storage"/>
    <s v="Oncology"/>
    <x v="0"/>
    <n v="1012"/>
    <n v="1.2"/>
    <n v="1.27"/>
    <n v="1.1399999999999999"/>
    <n v="1.18"/>
    <n v="1.22"/>
    <n v="1.22"/>
    <n v="1.2"/>
    <n v="1.02"/>
    <n v="1.06"/>
    <n v="1.43"/>
    <n v="1.18"/>
    <n v="1.22"/>
    <n v="14.339999999999998"/>
    <n v="-4.0000000000000036E-2"/>
  </r>
  <r>
    <x v="7"/>
    <x v="0"/>
    <x v="0"/>
    <s v="5160102"/>
    <n v="718050"/>
    <s v="Miscellaneous Purchased Svcs"/>
    <s v="Oncology"/>
    <x v="0"/>
    <n v="1020"/>
    <n v="5.53"/>
    <n v="0"/>
    <n v="5.53"/>
    <n v="3.6"/>
    <n v="0"/>
    <n v="0"/>
    <n v="0"/>
    <n v="0"/>
    <n v="0"/>
    <n v="0"/>
    <n v="0"/>
    <n v="0"/>
    <n v="14.66"/>
    <n v="0"/>
  </r>
  <r>
    <x v="7"/>
    <x v="0"/>
    <x v="0"/>
    <s v="5160102"/>
    <n v="718050"/>
    <s v="Translation Services"/>
    <s v="Oncology"/>
    <x v="0"/>
    <n v="1025"/>
    <n v="0"/>
    <n v="0"/>
    <n v="0"/>
    <n v="0"/>
    <n v="49.02"/>
    <n v="96"/>
    <n v="0"/>
    <n v="127.35"/>
    <n v="88"/>
    <n v="30.76"/>
    <n v="0"/>
    <n v="0"/>
    <n v="391.13"/>
    <n v="0"/>
  </r>
  <r>
    <x v="7"/>
    <x v="0"/>
    <x v="0"/>
    <s v="5160102"/>
    <n v="718050"/>
    <s v="Contract Management--Linen"/>
    <s v="Oncology"/>
    <x v="0"/>
    <n v="1026"/>
    <n v="206.58"/>
    <n v="94.87"/>
    <n v="108.17"/>
    <n v="1062.21"/>
    <n v="948.43"/>
    <n v="861.87"/>
    <n v="906.38"/>
    <n v="-848.13"/>
    <n v="1023.18"/>
    <n v="948.47"/>
    <n v="112.44"/>
    <n v="1291.9100000000001"/>
    <n v="6716.38"/>
    <n v="-1179.47"/>
  </r>
  <r>
    <x v="7"/>
    <x v="0"/>
    <x v="0"/>
    <s v="5160102"/>
    <n v="718091"/>
    <s v="Contract Services-Intracompany Allocation"/>
    <s v="Oncology"/>
    <x v="0"/>
    <m/>
    <n v="9306.48"/>
    <n v="11760.25"/>
    <n v="9367.4"/>
    <n v="11761.5"/>
    <n v="9964.56"/>
    <n v="10451.299999999999"/>
    <n v="10858.74"/>
    <n v="10175.280000000001"/>
    <n v="11032.92"/>
    <n v="11376.99"/>
    <n v="11825.99"/>
    <n v="9903.6299999999992"/>
    <n v="127785.04000000001"/>
    <n v="1922.3600000000006"/>
  </r>
  <r>
    <x v="11"/>
    <x v="0"/>
    <x v="0"/>
    <s v="5160102"/>
    <n v="721010"/>
    <s v="Supplies-Medical - Billable"/>
    <s v="Oncology"/>
    <x v="0"/>
    <m/>
    <n v="1216.93"/>
    <n v="1050.03"/>
    <n v="1034.6600000000001"/>
    <n v="1156.73"/>
    <n v="1130.72"/>
    <n v="943.37"/>
    <n v="2280.9899999999998"/>
    <n v="801.08"/>
    <n v="1227.01"/>
    <n v="851.61"/>
    <n v="1504.6"/>
    <n v="1040.1099999999999"/>
    <n v="14237.840000000002"/>
    <n v="464.49"/>
  </r>
  <r>
    <x v="11"/>
    <x v="0"/>
    <x v="0"/>
    <s v="5160102"/>
    <n v="721010"/>
    <s v="Patient Monitoring"/>
    <s v="Oncology"/>
    <x v="0"/>
    <n v="1000"/>
    <n v="0"/>
    <n v="0"/>
    <n v="0"/>
    <n v="0"/>
    <n v="0"/>
    <n v="16.23"/>
    <n v="0"/>
    <n v="0"/>
    <n v="0"/>
    <n v="0"/>
    <n v="0"/>
    <n v="19.57"/>
    <n v="35.799999999999997"/>
    <n v="-19.57"/>
  </r>
  <r>
    <x v="11"/>
    <x v="0"/>
    <x v="0"/>
    <s v="5160102"/>
    <n v="721240"/>
    <s v="Supplies-IV Solutions/Supplies - Billable"/>
    <s v="Oncology"/>
    <x v="0"/>
    <m/>
    <n v="631.5"/>
    <n v="702.13"/>
    <n v="567.5"/>
    <n v="742.33"/>
    <n v="815.5"/>
    <n v="524.29"/>
    <n v="848.51"/>
    <n v="972.25"/>
    <n v="521.6"/>
    <n v="712.45"/>
    <n v="1314.32"/>
    <n v="582.19000000000005"/>
    <n v="8934.5700000000015"/>
    <n v="732.12999999999988"/>
  </r>
  <r>
    <x v="11"/>
    <x v="0"/>
    <x v="0"/>
    <s v="5160102"/>
    <n v="721410"/>
    <s v="Supplies-Medical - Nonbillable"/>
    <s v="Oncology"/>
    <x v="0"/>
    <m/>
    <n v="564.87"/>
    <n v="444.18"/>
    <n v="637.47"/>
    <n v="395.95"/>
    <n v="1393.46"/>
    <n v="628.77"/>
    <n v="681.6"/>
    <n v="558.26"/>
    <n v="711.36"/>
    <n v="1261.22"/>
    <n v="498.2"/>
    <n v="613.65"/>
    <n v="8388.99"/>
    <n v="-115.44999999999999"/>
  </r>
  <r>
    <x v="11"/>
    <x v="0"/>
    <x v="0"/>
    <s v="5160102"/>
    <n v="721420"/>
    <s v="Supplies-Surgical Nonbillable"/>
    <s v="Oncology"/>
    <x v="0"/>
    <m/>
    <n v="112.29"/>
    <n v="0"/>
    <n v="35.090000000000003"/>
    <n v="0"/>
    <n v="0"/>
    <n v="0"/>
    <n v="0"/>
    <n v="0"/>
    <n v="0"/>
    <n v="0"/>
    <n v="0"/>
    <n v="0"/>
    <n v="147.38"/>
    <n v="0"/>
  </r>
  <r>
    <x v="11"/>
    <x v="0"/>
    <x v="0"/>
    <s v="5160102"/>
    <n v="721640"/>
    <s v="Supplies-IV Solutions/Supplies - Nonbillable"/>
    <s v="Oncology"/>
    <x v="0"/>
    <m/>
    <n v="1428.41"/>
    <n v="1075.1099999999999"/>
    <n v="1167.0899999999999"/>
    <n v="1347.3"/>
    <n v="1068.21"/>
    <n v="2033.1"/>
    <n v="1589.58"/>
    <n v="1069.23"/>
    <n v="1067.2"/>
    <n v="775.8"/>
    <n v="1746.85"/>
    <n v="548.75"/>
    <n v="14916.63"/>
    <n v="1198.0999999999999"/>
  </r>
  <r>
    <x v="11"/>
    <x v="0"/>
    <x v="0"/>
    <s v="5160102"/>
    <n v="721650"/>
    <s v="Supplies-Pharmacy Drugs - Nonbillable"/>
    <s v="Oncology"/>
    <x v="0"/>
    <m/>
    <n v="0"/>
    <n v="1.92"/>
    <n v="0"/>
    <n v="1.34"/>
    <n v="0"/>
    <n v="0"/>
    <n v="0"/>
    <n v="0"/>
    <n v="0"/>
    <n v="0"/>
    <n v="0"/>
    <n v="0"/>
    <n v="3.26"/>
    <n v="0"/>
  </r>
  <r>
    <x v="11"/>
    <x v="0"/>
    <x v="0"/>
    <s v="5160102"/>
    <n v="721710"/>
    <s v="Supplies-Laboratory - Nonbillable"/>
    <s v="Oncology"/>
    <x v="0"/>
    <m/>
    <n v="67.22"/>
    <n v="96.22"/>
    <n v="86.33"/>
    <n v="1.1100000000000001"/>
    <n v="77.75"/>
    <n v="93.29"/>
    <n v="84.62"/>
    <n v="65.12"/>
    <n v="62.18"/>
    <n v="91.05"/>
    <n v="79.099999999999994"/>
    <n v="93.79"/>
    <n v="897.78"/>
    <n v="-14.690000000000012"/>
  </r>
  <r>
    <x v="11"/>
    <x v="0"/>
    <x v="0"/>
    <s v="5160102"/>
    <n v="721810"/>
    <s v="Supplies-Dietary/Cafeteria"/>
    <s v="Oncology"/>
    <x v="0"/>
    <m/>
    <n v="28.87"/>
    <n v="283.73"/>
    <n v="135.91999999999999"/>
    <n v="81.56"/>
    <n v="123.78"/>
    <n v="160.22"/>
    <n v="82.89"/>
    <n v="9"/>
    <n v="145.25"/>
    <n v="257.25"/>
    <n v="141.91"/>
    <n v="26.67"/>
    <n v="1477.05"/>
    <n v="115.24"/>
  </r>
  <r>
    <x v="11"/>
    <x v="0"/>
    <x v="0"/>
    <s v="5160102"/>
    <n v="721830"/>
    <s v="Supplies-Office"/>
    <s v="Oncology"/>
    <x v="0"/>
    <m/>
    <n v="142.33000000000001"/>
    <n v="4.62"/>
    <n v="101.91"/>
    <n v="0"/>
    <n v="164.11"/>
    <n v="256.73"/>
    <n v="255.62"/>
    <n v="0"/>
    <n v="0"/>
    <n v="0"/>
    <n v="55.86"/>
    <n v="0"/>
    <n v="981.18000000000006"/>
    <n v="55.86"/>
  </r>
  <r>
    <x v="11"/>
    <x v="0"/>
    <x v="0"/>
    <s v="5160102"/>
    <n v="721835"/>
    <s v="Supplies-Forms"/>
    <s v="Oncology"/>
    <x v="0"/>
    <m/>
    <n v="0"/>
    <n v="0"/>
    <n v="0"/>
    <n v="0"/>
    <n v="105.65"/>
    <n v="0"/>
    <n v="4.95"/>
    <n v="0"/>
    <n v="0"/>
    <n v="0"/>
    <n v="0"/>
    <n v="0"/>
    <n v="110.60000000000001"/>
    <n v="0"/>
  </r>
  <r>
    <x v="11"/>
    <x v="0"/>
    <x v="0"/>
    <s v="5160102"/>
    <n v="721870"/>
    <s v="Supplies-Environmental Services"/>
    <s v="Oncology"/>
    <x v="0"/>
    <m/>
    <n v="0"/>
    <n v="144.57"/>
    <n v="3.44"/>
    <n v="4.8"/>
    <n v="0.45"/>
    <n v="46.9"/>
    <n v="13.54"/>
    <n v="0"/>
    <n v="0"/>
    <n v="26.09"/>
    <n v="30.8"/>
    <n v="194.48"/>
    <n v="465.06999999999994"/>
    <n v="-163.67999999999998"/>
  </r>
  <r>
    <x v="11"/>
    <x v="0"/>
    <x v="0"/>
    <s v="5160102"/>
    <n v="721910"/>
    <s v="Supplies-Small Equipment"/>
    <s v="Oncology"/>
    <x v="0"/>
    <m/>
    <n v="3.31"/>
    <n v="3.84"/>
    <n v="2784"/>
    <n v="0"/>
    <n v="0"/>
    <n v="7.2"/>
    <n v="12.68"/>
    <n v="0"/>
    <n v="2.4"/>
    <n v="0"/>
    <n v="0"/>
    <n v="0"/>
    <n v="2813.43"/>
    <n v="0"/>
  </r>
  <r>
    <x v="11"/>
    <x v="0"/>
    <x v="0"/>
    <s v="5160102"/>
    <n v="721910"/>
    <s v="Instruments"/>
    <s v="Oncology"/>
    <x v="0"/>
    <n v="1000"/>
    <n v="0"/>
    <n v="0"/>
    <n v="0"/>
    <n v="0"/>
    <n v="2"/>
    <n v="0"/>
    <n v="0"/>
    <n v="0"/>
    <n v="0"/>
    <n v="0"/>
    <n v="0"/>
    <n v="0"/>
    <n v="2"/>
    <n v="0"/>
  </r>
  <r>
    <x v="11"/>
    <x v="0"/>
    <x v="0"/>
    <s v="5160102"/>
    <n v="721980"/>
    <s v="Supplies-Other"/>
    <s v="Oncology"/>
    <x v="0"/>
    <m/>
    <n v="35.01"/>
    <n v="14.08"/>
    <n v="125.94"/>
    <n v="14.6"/>
    <n v="23.73"/>
    <n v="0"/>
    <n v="24.22"/>
    <n v="32.950000000000003"/>
    <n v="0"/>
    <n v="33.380000000000003"/>
    <n v="24.25"/>
    <n v="3.6"/>
    <n v="331.76"/>
    <n v="20.65"/>
  </r>
  <r>
    <x v="11"/>
    <x v="0"/>
    <x v="0"/>
    <s v="5160102"/>
    <n v="722000"/>
    <s v="Supplies-Freight Expense"/>
    <s v="Oncology"/>
    <x v="0"/>
    <m/>
    <n v="0"/>
    <n v="0"/>
    <n v="17.96"/>
    <n v="0"/>
    <n v="7.72"/>
    <n v="0"/>
    <n v="6.52"/>
    <n v="0"/>
    <n v="0"/>
    <n v="0"/>
    <n v="0"/>
    <n v="0"/>
    <n v="32.200000000000003"/>
    <n v="0"/>
  </r>
  <r>
    <x v="12"/>
    <x v="0"/>
    <x v="0"/>
    <s v="5160102"/>
    <n v="730010"/>
    <s v="Rental and Leases-Building (DO NOT USE)"/>
    <s v="Oncology"/>
    <x v="0"/>
    <m/>
    <n v="9220.4500000000007"/>
    <n v="10741.17"/>
    <n v="9413.15"/>
    <n v="12069.19"/>
    <n v="10741.17"/>
    <n v="-15275.69"/>
    <n v="5898.12"/>
    <n v="5898.12"/>
    <n v="5898.12"/>
    <n v="5898.12"/>
    <n v="6040.65"/>
    <n v="0"/>
    <n v="66542.570000000007"/>
    <n v="6040.65"/>
  </r>
  <r>
    <x v="12"/>
    <x v="0"/>
    <x v="0"/>
    <s v="5160102"/>
    <n v="730010"/>
    <s v="Rental-Common Area Maint (DO NOT USE)"/>
    <s v="Oncology"/>
    <x v="0"/>
    <n v="2200"/>
    <n v="0"/>
    <n v="0"/>
    <n v="0"/>
    <n v="0"/>
    <n v="0"/>
    <n v="25101.51"/>
    <n v="3927.7"/>
    <n v="3927.7"/>
    <n v="3656.77"/>
    <n v="3927.7"/>
    <n v="3927.7"/>
    <n v="0"/>
    <n v="44469.079999999987"/>
    <n v="3927.7"/>
  </r>
  <r>
    <x v="12"/>
    <x v="0"/>
    <x v="0"/>
    <s v="5160102"/>
    <n v="730020"/>
    <s v="Rental and Leases-Copier Usage Fees (DO NOT USE)"/>
    <s v="Oncology"/>
    <x v="0"/>
    <n v="5100"/>
    <n v="312.08999999999997"/>
    <n v="320.08999999999997"/>
    <n v="316.08999999999997"/>
    <n v="316.08999999999997"/>
    <n v="316.08999999999997"/>
    <n v="316.08999999999997"/>
    <n v="-381.18"/>
    <n v="225.46"/>
    <n v="239.44"/>
    <n v="366.47"/>
    <n v="225.46"/>
    <n v="241.45"/>
    <n v="2813.6399999999994"/>
    <n v="-15.989999999999981"/>
  </r>
  <r>
    <x v="12"/>
    <x v="0"/>
    <x v="0"/>
    <s v="5160102"/>
    <n v="730040"/>
    <s v="LT Lease-Real Estate"/>
    <s v="Oncology"/>
    <x v="0"/>
    <m/>
    <n v="0"/>
    <n v="0"/>
    <n v="0"/>
    <n v="0"/>
    <n v="0"/>
    <n v="0"/>
    <n v="0"/>
    <n v="0"/>
    <n v="0"/>
    <n v="0"/>
    <n v="0"/>
    <n v="9973.27"/>
    <n v="9973.27"/>
    <n v="-9973.27"/>
  </r>
  <r>
    <x v="15"/>
    <x v="0"/>
    <x v="0"/>
    <s v="5160102"/>
    <n v="731060"/>
    <s v="Pagers"/>
    <s v="Oncology"/>
    <x v="0"/>
    <n v="1002"/>
    <n v="11.1"/>
    <n v="11.1"/>
    <n v="11.1"/>
    <n v="11.12"/>
    <n v="11.12"/>
    <n v="0"/>
    <n v="22.24"/>
    <n v="11.12"/>
    <n v="11.12"/>
    <n v="11.12"/>
    <n v="11.12"/>
    <n v="11.12"/>
    <n v="133.38"/>
    <n v="0"/>
  </r>
  <r>
    <x v="16"/>
    <x v="0"/>
    <x v="0"/>
    <s v="5160102"/>
    <n v="732030"/>
    <s v="Repairs---Other"/>
    <s v="Oncology"/>
    <x v="0"/>
    <m/>
    <n v="0"/>
    <n v="0"/>
    <n v="0"/>
    <n v="0"/>
    <n v="0"/>
    <n v="0"/>
    <n v="1359.74"/>
    <n v="504.33"/>
    <n v="0"/>
    <n v="3115.63"/>
    <n v="0"/>
    <n v="0"/>
    <n v="4979.7"/>
    <n v="0"/>
  </r>
  <r>
    <x v="16"/>
    <x v="0"/>
    <x v="0"/>
    <s v="5160102"/>
    <n v="733030"/>
    <s v="Maintenance Contracts-Other"/>
    <s v="Oncology"/>
    <x v="0"/>
    <m/>
    <n v="0"/>
    <n v="0"/>
    <n v="16.52"/>
    <n v="0"/>
    <n v="0"/>
    <n v="0"/>
    <n v="0"/>
    <n v="0"/>
    <n v="0"/>
    <n v="0"/>
    <n v="0"/>
    <n v="0"/>
    <n v="16.52"/>
    <n v="0"/>
  </r>
  <r>
    <x v="13"/>
    <x v="0"/>
    <x v="0"/>
    <s v="5160102"/>
    <n v="735070"/>
    <s v="Depreciation-Movable Equipment"/>
    <s v="Oncology"/>
    <x v="0"/>
    <m/>
    <n v="16.53"/>
    <n v="16.53"/>
    <n v="16.53"/>
    <n v="16.53"/>
    <n v="16.53"/>
    <n v="16.53"/>
    <n v="16.53"/>
    <n v="16.53"/>
    <n v="16.54"/>
    <n v="16.53"/>
    <n v="16.54"/>
    <n v="16.53"/>
    <n v="198.38"/>
    <n v="9.9999999999980105E-3"/>
  </r>
  <r>
    <x v="0"/>
    <x v="0"/>
    <x v="0"/>
    <s v="5160102"/>
    <n v="743010"/>
    <s v="Dues--Institutional"/>
    <s v="Oncology"/>
    <x v="0"/>
    <m/>
    <n v="0"/>
    <n v="0"/>
    <n v="0"/>
    <n v="0"/>
    <n v="0"/>
    <n v="0"/>
    <n v="0"/>
    <n v="0"/>
    <n v="0"/>
    <n v="0"/>
    <n v="465"/>
    <n v="0"/>
    <n v="465"/>
    <n v="465"/>
  </r>
  <r>
    <x v="0"/>
    <x v="0"/>
    <x v="0"/>
    <s v="5160102"/>
    <n v="743030"/>
    <s v="Subscriptions--Institutional"/>
    <s v="Oncology"/>
    <x v="0"/>
    <m/>
    <n v="0"/>
    <n v="0"/>
    <n v="0"/>
    <n v="0"/>
    <n v="0"/>
    <n v="0"/>
    <n v="18.079999999999998"/>
    <n v="101.17"/>
    <n v="0"/>
    <n v="0"/>
    <n v="0"/>
    <n v="0"/>
    <n v="119.25"/>
    <n v="0"/>
  </r>
  <r>
    <x v="0"/>
    <x v="0"/>
    <x v="0"/>
    <s v="5160102"/>
    <n v="749510"/>
    <s v="Miscellaneous Expenses"/>
    <s v="Oncology"/>
    <x v="0"/>
    <m/>
    <n v="0"/>
    <n v="2166.5700000000002"/>
    <n v="0"/>
    <n v="0"/>
    <n v="0"/>
    <n v="0"/>
    <n v="0"/>
    <n v="28.28"/>
    <n v="0"/>
    <n v="0"/>
    <n v="0"/>
    <n v="0"/>
    <n v="2194.8500000000004"/>
    <n v="0"/>
  </r>
  <r>
    <x v="0"/>
    <x v="0"/>
    <x v="0"/>
    <s v="5160102"/>
    <n v="749530"/>
    <s v="Mileage"/>
    <s v="Oncology"/>
    <x v="0"/>
    <n v="1001"/>
    <n v="0"/>
    <n v="0"/>
    <n v="0"/>
    <n v="0"/>
    <n v="12.54"/>
    <n v="0"/>
    <n v="0"/>
    <n v="0"/>
    <n v="0"/>
    <n v="0"/>
    <n v="0"/>
    <n v="0"/>
    <n v="12.54"/>
    <n v="0"/>
  </r>
  <r>
    <x v="18"/>
    <x v="4"/>
    <x v="0"/>
    <s v="5160103"/>
    <n v="400010"/>
    <s v="Acute I/P Svcs Rev--Medicare"/>
    <s v="Oncology"/>
    <x v="0"/>
    <n v="1100"/>
    <n v="0"/>
    <n v="0"/>
    <n v="0"/>
    <n v="-216"/>
    <n v="-429.98"/>
    <n v="0"/>
    <n v="0"/>
    <n v="0"/>
    <n v="0"/>
    <n v="0"/>
    <n v="0"/>
    <n v="0"/>
    <n v="-645.98"/>
    <n v="0"/>
  </r>
  <r>
    <x v="18"/>
    <x v="4"/>
    <x v="0"/>
    <s v="5160103"/>
    <n v="400010"/>
    <s v="Acute I/P Svcs Rev--Medicaid"/>
    <s v="Oncology"/>
    <x v="0"/>
    <n v="1200"/>
    <n v="0"/>
    <n v="0"/>
    <n v="0"/>
    <n v="0"/>
    <n v="0"/>
    <n v="0"/>
    <n v="0"/>
    <n v="-427.01"/>
    <n v="0"/>
    <n v="0"/>
    <n v="0"/>
    <n v="0"/>
    <n v="-427.01"/>
    <n v="0"/>
  </r>
  <r>
    <x v="19"/>
    <x v="4"/>
    <x v="0"/>
    <s v="5160103"/>
    <n v="400020"/>
    <s v="O/P Care Svcs Rev--Medicare"/>
    <s v="Oncology"/>
    <x v="0"/>
    <n v="1100"/>
    <n v="-122445.1"/>
    <n v="-143440.03"/>
    <n v="-118211.94"/>
    <n v="-120801.06"/>
    <n v="-134619.47"/>
    <n v="-99012.88"/>
    <n v="-126468.26"/>
    <n v="-112568.73"/>
    <n v="-151193.75"/>
    <n v="-179436.05"/>
    <n v="-184616.21"/>
    <n v="-151213.32"/>
    <n v="-1644026.8"/>
    <n v="-33402.889999999985"/>
  </r>
  <r>
    <x v="19"/>
    <x v="4"/>
    <x v="0"/>
    <s v="5160103"/>
    <n v="400020"/>
    <s v="O/P Care Svcs Rev--Medicaid"/>
    <s v="Oncology"/>
    <x v="0"/>
    <n v="1200"/>
    <n v="-55322.17"/>
    <n v="-67195.08"/>
    <n v="-78137.009999999995"/>
    <n v="-84153.84"/>
    <n v="-52402.66"/>
    <n v="-61536.7"/>
    <n v="-69406.8"/>
    <n v="-40126.53"/>
    <n v="-59596.14"/>
    <n v="-68409.77"/>
    <n v="-72314.27"/>
    <n v="-63449.11"/>
    <n v="-772050.08000000007"/>
    <n v="-8865.1600000000035"/>
  </r>
  <r>
    <x v="19"/>
    <x v="4"/>
    <x v="0"/>
    <s v="5160103"/>
    <n v="400020"/>
    <s v="O/P Care Svcs Rev--Comm Insurance"/>
    <s v="Oncology"/>
    <x v="0"/>
    <n v="1300"/>
    <n v="-6445.61"/>
    <n v="-11937.82"/>
    <n v="-1365.49"/>
    <n v="-5957.27"/>
    <n v="872.06"/>
    <n v="-2392.52"/>
    <n v="-728.76"/>
    <n v="-2187.6799999999998"/>
    <n v="-3617.3"/>
    <n v="-566.88"/>
    <n v="423.19"/>
    <n v="-4201.74"/>
    <n v="-38105.819999999992"/>
    <n v="4624.9299999999994"/>
  </r>
  <r>
    <x v="19"/>
    <x v="4"/>
    <x v="0"/>
    <s v="5160103"/>
    <n v="400020"/>
    <s v="O/P Care Svcs Rev--BCBS Comm"/>
    <s v="Oncology"/>
    <x v="0"/>
    <n v="1301"/>
    <n v="-17448.3"/>
    <n v="-15440.24"/>
    <n v="-16937.05"/>
    <n v="-33451.64"/>
    <n v="-29303.09"/>
    <n v="-12299.51"/>
    <n v="-9556.4699999999993"/>
    <n v="-10312.07"/>
    <n v="-18764.54"/>
    <n v="-18539.18"/>
    <n v="-11347.34"/>
    <n v="-12528.61"/>
    <n v="-205928.03999999998"/>
    <n v="1181.2700000000004"/>
  </r>
  <r>
    <x v="19"/>
    <x v="4"/>
    <x v="0"/>
    <s v="5160103"/>
    <n v="400020"/>
    <s v="O/P Care Svcs Rev--Managed Care"/>
    <s v="Oncology"/>
    <x v="0"/>
    <n v="1400"/>
    <n v="-35582.78"/>
    <n v="-34308.75"/>
    <n v="-29664.46"/>
    <n v="-42950.27"/>
    <n v="-36935.4"/>
    <n v="-27336.41"/>
    <n v="-67234.77"/>
    <n v="-61682.67"/>
    <n v="-50968.07"/>
    <n v="-45354.81"/>
    <n v="-69249.89"/>
    <n v="-55728.38"/>
    <n v="-556996.65999999992"/>
    <n v="-13521.510000000002"/>
  </r>
  <r>
    <x v="19"/>
    <x v="4"/>
    <x v="0"/>
    <s v="5160103"/>
    <n v="400020"/>
    <s v="O/P Care Svcs Rev--Self Pay"/>
    <s v="Oncology"/>
    <x v="0"/>
    <n v="1500"/>
    <n v="-5624.97"/>
    <n v="-5145.08"/>
    <n v="-433.26"/>
    <n v="-972.03"/>
    <n v="-818.03"/>
    <n v="-2835.28"/>
    <n v="-7195.33"/>
    <n v="2571.94"/>
    <n v="0"/>
    <n v="-1342.6"/>
    <n v="-1301.3599999999999"/>
    <n v="0"/>
    <n v="-23096.000000000004"/>
    <n v="-1301.3599999999999"/>
  </r>
  <r>
    <x v="19"/>
    <x v="4"/>
    <x v="0"/>
    <s v="5160103"/>
    <n v="400020"/>
    <s v="O/P Care Svcs Rev--Other"/>
    <s v="Oncology"/>
    <x v="0"/>
    <n v="1700"/>
    <n v="-6773.17"/>
    <n v="-15893.93"/>
    <n v="-12128.97"/>
    <n v="-5687.21"/>
    <n v="-9391.6200000000008"/>
    <n v="-7573.42"/>
    <n v="-5283.44"/>
    <n v="-5627.52"/>
    <n v="-2926.64"/>
    <n v="-3224"/>
    <n v="-2148.04"/>
    <n v="-2307.48"/>
    <n v="-78965.439999999988"/>
    <n v="159.44000000000005"/>
  </r>
  <r>
    <x v="5"/>
    <x v="4"/>
    <x v="0"/>
    <s v="5160103"/>
    <n v="700026"/>
    <s v="Salaries-RN-Productive"/>
    <s v="Oncology"/>
    <x v="0"/>
    <m/>
    <n v="19025.59"/>
    <n v="23543.759999999998"/>
    <n v="20918.53"/>
    <n v="15115.63"/>
    <n v="17924.22"/>
    <n v="14640.2"/>
    <n v="18467.8"/>
    <n v="14385.4"/>
    <n v="20617.599999999999"/>
    <n v="16832.900000000001"/>
    <n v="16037.2"/>
    <n v="16368.58"/>
    <n v="213877.41"/>
    <n v="-331.3799999999992"/>
  </r>
  <r>
    <x v="5"/>
    <x v="4"/>
    <x v="0"/>
    <s v="5160103"/>
    <n v="700026"/>
    <s v="Salaries-RN-OT"/>
    <s v="Oncology"/>
    <x v="0"/>
    <n v="1000"/>
    <n v="342.84"/>
    <n v="488.09"/>
    <n v="309.93"/>
    <n v="379.47"/>
    <n v="43.74"/>
    <n v="292.35000000000002"/>
    <n v="53.83"/>
    <n v="163.52000000000001"/>
    <n v="20.27"/>
    <n v="393.61"/>
    <n v="-45.55"/>
    <n v="157.09"/>
    <n v="2599.19"/>
    <n v="-202.64"/>
  </r>
  <r>
    <x v="5"/>
    <x v="4"/>
    <x v="0"/>
    <s v="5160103"/>
    <n v="700026"/>
    <s v="Salaries-RN-Other"/>
    <s v="Oncology"/>
    <x v="0"/>
    <n v="2000"/>
    <n v="530.79999999999995"/>
    <n v="567.04"/>
    <n v="418.86"/>
    <n v="302.22000000000003"/>
    <n v="615.04999999999995"/>
    <n v="432.43"/>
    <n v="510.89"/>
    <n v="388.82"/>
    <n v="609.72"/>
    <n v="509.63"/>
    <n v="529.35"/>
    <n v="487.15"/>
    <n v="5901.96"/>
    <n v="42.200000000000045"/>
  </r>
  <r>
    <x v="5"/>
    <x v="4"/>
    <x v="0"/>
    <s v="5160103"/>
    <n v="700032"/>
    <s v="Salaries-Other Pat Care Providers-Productive"/>
    <s v="Oncology"/>
    <x v="0"/>
    <m/>
    <n v="2373.9699999999998"/>
    <n v="1926.89"/>
    <n v="-370.71"/>
    <n v="0"/>
    <n v="0"/>
    <n v="0"/>
    <n v="0"/>
    <n v="0"/>
    <n v="0"/>
    <n v="1914.26"/>
    <n v="2171.15"/>
    <n v="2602.0700000000002"/>
    <n v="10617.63"/>
    <n v="-430.92000000000007"/>
  </r>
  <r>
    <x v="5"/>
    <x v="4"/>
    <x v="0"/>
    <s v="5160103"/>
    <n v="700032"/>
    <s v="Salaries-Other Pat Care Providers-OT"/>
    <s v="Oncology"/>
    <x v="0"/>
    <n v="1000"/>
    <n v="0"/>
    <n v="9.31"/>
    <n v="-2.79"/>
    <n v="0"/>
    <n v="0"/>
    <n v="0"/>
    <n v="0"/>
    <n v="0"/>
    <n v="0"/>
    <n v="0"/>
    <n v="0"/>
    <n v="0"/>
    <n v="6.5200000000000005"/>
    <n v="0"/>
  </r>
  <r>
    <x v="5"/>
    <x v="4"/>
    <x v="0"/>
    <s v="5160103"/>
    <n v="700032"/>
    <s v="Salaries-Other Pat Care Providers-Other"/>
    <s v="Oncology"/>
    <x v="0"/>
    <n v="2000"/>
    <n v="0"/>
    <n v="0"/>
    <n v="0"/>
    <n v="0"/>
    <n v="0"/>
    <n v="0"/>
    <n v="0"/>
    <n v="0"/>
    <n v="0"/>
    <n v="30.06"/>
    <n v="-0.02"/>
    <n v="0"/>
    <n v="30.04"/>
    <n v="-0.02"/>
  </r>
  <r>
    <x v="5"/>
    <x v="4"/>
    <x v="0"/>
    <s v="5160103"/>
    <n v="700038"/>
    <s v="Salaries-Service/Support-Productive"/>
    <s v="Oncology"/>
    <x v="0"/>
    <m/>
    <n v="2237.38"/>
    <n v="2002.82"/>
    <n v="3403.04"/>
    <n v="3221.97"/>
    <n v="3168.57"/>
    <n v="1177.58"/>
    <n v="1926"/>
    <n v="-347.8"/>
    <n v="2299.42"/>
    <n v="3102.08"/>
    <n v="2962.48"/>
    <n v="2809.84"/>
    <n v="27963.380000000005"/>
    <n v="152.63999999999987"/>
  </r>
  <r>
    <x v="5"/>
    <x v="4"/>
    <x v="0"/>
    <s v="5160103"/>
    <n v="700038"/>
    <s v="Salaries-Service/Support-OT"/>
    <s v="Oncology"/>
    <x v="0"/>
    <n v="1000"/>
    <n v="0"/>
    <n v="0"/>
    <n v="8.23"/>
    <n v="0"/>
    <n v="0"/>
    <n v="0"/>
    <n v="0"/>
    <n v="0"/>
    <n v="0"/>
    <n v="0"/>
    <n v="0"/>
    <n v="14.35"/>
    <n v="22.58"/>
    <n v="-14.35"/>
  </r>
  <r>
    <x v="5"/>
    <x v="4"/>
    <x v="0"/>
    <s v="5160103"/>
    <n v="700038"/>
    <s v="Salaries-Service/Support-Other"/>
    <s v="Oncology"/>
    <x v="0"/>
    <n v="2000"/>
    <n v="0"/>
    <n v="0"/>
    <n v="0"/>
    <n v="0"/>
    <n v="0"/>
    <n v="0"/>
    <n v="30.04"/>
    <n v="0"/>
    <n v="30.07"/>
    <n v="-0.02"/>
    <n v="0"/>
    <n v="0"/>
    <n v="60.089999999999996"/>
    <n v="0"/>
  </r>
  <r>
    <x v="5"/>
    <x v="4"/>
    <x v="0"/>
    <s v="5160103"/>
    <n v="700054"/>
    <s v="Salaries-Management-NonProd-Other"/>
    <s v="Oncology"/>
    <x v="0"/>
    <n v="2000"/>
    <n v="0"/>
    <n v="0"/>
    <n v="0"/>
    <n v="0"/>
    <n v="0"/>
    <n v="696.66"/>
    <n v="-696.66"/>
    <n v="0"/>
    <n v="0"/>
    <n v="0"/>
    <n v="0"/>
    <n v="0"/>
    <n v="0"/>
    <n v="0"/>
  </r>
  <r>
    <x v="5"/>
    <x v="4"/>
    <x v="0"/>
    <s v="5160103"/>
    <n v="700066"/>
    <s v="Salaries-RN-Non-productive"/>
    <s v="Oncology"/>
    <x v="0"/>
    <m/>
    <n v="2442.61"/>
    <n v="3796"/>
    <n v="1586.96"/>
    <n v="3980.94"/>
    <n v="3243.68"/>
    <n v="5083.28"/>
    <n v="537.76"/>
    <n v="2684.66"/>
    <n v="749.67"/>
    <n v="365.63"/>
    <n v="2876.1"/>
    <n v="1637.29"/>
    <n v="28984.579999999998"/>
    <n v="1238.81"/>
  </r>
  <r>
    <x v="5"/>
    <x v="4"/>
    <x v="0"/>
    <s v="5160103"/>
    <n v="700066"/>
    <s v="Salaries-RN-NonProd-Other"/>
    <s v="Oncology"/>
    <x v="0"/>
    <n v="2000"/>
    <n v="94.82"/>
    <n v="43.58"/>
    <n v="76.150000000000006"/>
    <n v="211.25"/>
    <n v="35.700000000000003"/>
    <n v="132.16"/>
    <n v="36.74"/>
    <n v="95.29"/>
    <n v="41.5"/>
    <n v="26.5"/>
    <n v="28.04"/>
    <n v="92.09"/>
    <n v="913.81999999999994"/>
    <n v="-64.050000000000011"/>
  </r>
  <r>
    <x v="5"/>
    <x v="4"/>
    <x v="0"/>
    <s v="5160103"/>
    <n v="700072"/>
    <s v="Salaries-Other Pat Care Providers-Non-productive"/>
    <s v="Oncology"/>
    <x v="0"/>
    <m/>
    <n v="139.12"/>
    <n v="0"/>
    <n v="0"/>
    <n v="0"/>
    <n v="0"/>
    <n v="0"/>
    <n v="0"/>
    <n v="0"/>
    <n v="0"/>
    <n v="0"/>
    <n v="709.57"/>
    <n v="-33.32"/>
    <n v="815.37"/>
    <n v="742.8900000000001"/>
  </r>
  <r>
    <x v="5"/>
    <x v="4"/>
    <x v="0"/>
    <s v="5160103"/>
    <n v="700078"/>
    <s v="Salaries-Service/Support-Non-productive"/>
    <s v="Oncology"/>
    <x v="0"/>
    <m/>
    <n v="1047.3499999999999"/>
    <n v="1357.16"/>
    <n v="144.29"/>
    <n v="422.55"/>
    <n v="184.23"/>
    <n v="650.66999999999996"/>
    <n v="0"/>
    <n v="0"/>
    <n v="0"/>
    <n v="0"/>
    <n v="295.11"/>
    <n v="376.08"/>
    <n v="4477.4400000000005"/>
    <n v="-80.96999999999997"/>
  </r>
  <r>
    <x v="5"/>
    <x v="4"/>
    <x v="0"/>
    <s v="5160103"/>
    <n v="700084"/>
    <s v="Accrued PTO"/>
    <s v="Oncology"/>
    <x v="0"/>
    <m/>
    <n v="-197.97"/>
    <n v="762.93"/>
    <n v="167.03"/>
    <n v="-234.49"/>
    <n v="-152.41999999999999"/>
    <n v="-3791.45"/>
    <n v="1687.57"/>
    <n v="-241.87"/>
    <n v="2473.8000000000002"/>
    <n v="2003.23"/>
    <n v="-846.27"/>
    <n v="-211.55"/>
    <n v="1418.5400000000002"/>
    <n v="-634.72"/>
  </r>
  <r>
    <x v="10"/>
    <x v="4"/>
    <x v="0"/>
    <s v="5160103"/>
    <n v="710060"/>
    <s v="Contract Labor-Other"/>
    <s v="Oncology"/>
    <x v="0"/>
    <m/>
    <n v="14544.75"/>
    <n v="10058"/>
    <n v="12674.5"/>
    <n v="-11473.75"/>
    <n v="-752"/>
    <n v="6407.75"/>
    <n v="3692"/>
    <n v="4224.5"/>
    <n v="14725"/>
    <n v="19821.34"/>
    <n v="-3602.5"/>
    <n v="8912.5499999999993"/>
    <n v="79232.14"/>
    <n v="-12515.05"/>
  </r>
  <r>
    <x v="10"/>
    <x v="4"/>
    <x v="0"/>
    <s v="5160103"/>
    <n v="710060"/>
    <s v="Contract Labor-Overtime"/>
    <s v="Oncology"/>
    <x v="0"/>
    <n v="5100"/>
    <n v="0"/>
    <n v="0"/>
    <n v="0"/>
    <n v="0"/>
    <n v="0"/>
    <n v="0"/>
    <n v="71.89"/>
    <n v="0"/>
    <n v="0"/>
    <n v="0"/>
    <n v="0"/>
    <n v="0"/>
    <n v="71.89"/>
    <n v="0"/>
  </r>
  <r>
    <x v="6"/>
    <x v="4"/>
    <x v="0"/>
    <s v="5160103"/>
    <n v="713010"/>
    <s v="Benefits-FICA/Medicare"/>
    <s v="Oncology"/>
    <x v="0"/>
    <m/>
    <n v="2080.42"/>
    <n v="2500.2399999999998"/>
    <n v="1960.4"/>
    <n v="1737.57"/>
    <n v="1869.59"/>
    <n v="1709.99"/>
    <n v="1646.42"/>
    <n v="1276.6500000000001"/>
    <n v="1809.63"/>
    <n v="1720.03"/>
    <n v="1781.44"/>
    <n v="1737.45"/>
    <n v="21829.829999999998"/>
    <n v="43.990000000000009"/>
  </r>
  <r>
    <x v="6"/>
    <x v="4"/>
    <x v="0"/>
    <s v="5160103"/>
    <n v="713090"/>
    <s v="Benefits-Allocated Amounts"/>
    <s v="Oncology"/>
    <x v="0"/>
    <m/>
    <n v="5485.82"/>
    <n v="5425.82"/>
    <n v="4474.13"/>
    <n v="3851.91"/>
    <n v="4302.21"/>
    <n v="3404.78"/>
    <n v="3943.31"/>
    <n v="3000.58"/>
    <n v="4064.1"/>
    <n v="4855.6899999999996"/>
    <n v="5112.1499999999996"/>
    <n v="5056.07"/>
    <n v="52976.57"/>
    <n v="56.079999999999927"/>
  </r>
  <r>
    <x v="7"/>
    <x v="4"/>
    <x v="0"/>
    <s v="5160103"/>
    <n v="718050"/>
    <s v="Document Shredding/Storage"/>
    <s v="Oncology"/>
    <x v="0"/>
    <n v="1012"/>
    <n v="2.41"/>
    <n v="2.5099999999999998"/>
    <n v="2.2799999999999998"/>
    <n v="2.36"/>
    <n v="2.44"/>
    <n v="2.44"/>
    <n v="2.41"/>
    <n v="2.0499999999999998"/>
    <n v="2.13"/>
    <n v="2.84"/>
    <n v="2.36"/>
    <n v="2.44"/>
    <n v="28.669999999999998"/>
    <n v="-8.0000000000000071E-2"/>
  </r>
  <r>
    <x v="7"/>
    <x v="4"/>
    <x v="0"/>
    <s v="5160103"/>
    <n v="718050"/>
    <s v="Miscellaneous Purchased Svcs"/>
    <s v="Oncology"/>
    <x v="0"/>
    <n v="1020"/>
    <n v="0"/>
    <n v="0"/>
    <n v="28.74"/>
    <n v="0"/>
    <n v="0"/>
    <n v="50.66"/>
    <n v="0"/>
    <n v="0"/>
    <n v="0"/>
    <n v="500"/>
    <n v="0"/>
    <n v="1729.83"/>
    <n v="2309.23"/>
    <n v="-1729.83"/>
  </r>
  <r>
    <x v="7"/>
    <x v="4"/>
    <x v="0"/>
    <s v="5160103"/>
    <n v="718050"/>
    <s v="Translation Services"/>
    <s v="Oncology"/>
    <x v="0"/>
    <n v="1025"/>
    <n v="0"/>
    <n v="160"/>
    <n v="109.44"/>
    <n v="52.93"/>
    <n v="96"/>
    <n v="272"/>
    <n v="0"/>
    <n v="2.56"/>
    <n v="0"/>
    <n v="0"/>
    <n v="0"/>
    <n v="0"/>
    <n v="692.93"/>
    <n v="0"/>
  </r>
  <r>
    <x v="7"/>
    <x v="4"/>
    <x v="0"/>
    <s v="5160103"/>
    <n v="718050"/>
    <s v="Contract Management--Linen"/>
    <s v="Oncology"/>
    <x v="0"/>
    <n v="1026"/>
    <n v="57.38"/>
    <n v="210.94"/>
    <n v="199.34"/>
    <n v="356.58"/>
    <n v="276.02999999999997"/>
    <n v="216.68"/>
    <n v="285.77999999999997"/>
    <n v="364.91"/>
    <n v="338.26"/>
    <n v="821.41"/>
    <n v="284.83999999999997"/>
    <n v="456.49"/>
    <n v="3868.6400000000003"/>
    <n v="-171.65000000000003"/>
  </r>
  <r>
    <x v="7"/>
    <x v="4"/>
    <x v="0"/>
    <s v="5160103"/>
    <n v="718091"/>
    <s v="Contract Services-Intracompany Allocation"/>
    <s v="Oncology"/>
    <x v="0"/>
    <m/>
    <n v="9099.67"/>
    <n v="11498.91"/>
    <n v="9159.23"/>
    <n v="11500.14"/>
    <n v="9743.1200000000008"/>
    <n v="10219.049999999999"/>
    <n v="10617.44"/>
    <n v="9949.16"/>
    <n v="10787.74"/>
    <n v="11124.18"/>
    <n v="11563.18"/>
    <n v="9683.5499999999993"/>
    <n v="124945.37000000001"/>
    <n v="1879.630000000001"/>
  </r>
  <r>
    <x v="11"/>
    <x v="4"/>
    <x v="0"/>
    <s v="5160103"/>
    <n v="721010"/>
    <s v="Supplies-Medical - Billable"/>
    <s v="Oncology"/>
    <x v="0"/>
    <m/>
    <n v="1219.3399999999999"/>
    <n v="1104.02"/>
    <n v="1220.49"/>
    <n v="1203.06"/>
    <n v="1228.31"/>
    <n v="399.68"/>
    <n v="1140.43"/>
    <n v="1371.32"/>
    <n v="1494.11"/>
    <n v="1578.99"/>
    <n v="1647.14"/>
    <n v="893.5"/>
    <n v="14500.39"/>
    <n v="753.6400000000001"/>
  </r>
  <r>
    <x v="11"/>
    <x v="4"/>
    <x v="0"/>
    <s v="5160103"/>
    <n v="721010"/>
    <s v="Patient Monitoring"/>
    <s v="Oncology"/>
    <x v="0"/>
    <n v="1000"/>
    <n v="0"/>
    <n v="0"/>
    <n v="0"/>
    <n v="0"/>
    <n v="0.44"/>
    <n v="0"/>
    <n v="0"/>
    <n v="0"/>
    <n v="0"/>
    <n v="134.77000000000001"/>
    <n v="0"/>
    <n v="0"/>
    <n v="135.21"/>
    <n v="0"/>
  </r>
  <r>
    <x v="11"/>
    <x v="4"/>
    <x v="0"/>
    <s v="5160103"/>
    <n v="721020"/>
    <s v="Supplies-Surgical - Billable"/>
    <s v="Oncology"/>
    <x v="0"/>
    <m/>
    <n v="0"/>
    <n v="0"/>
    <n v="0"/>
    <n v="0"/>
    <n v="0"/>
    <n v="0"/>
    <n v="0"/>
    <n v="0"/>
    <n v="-25.99"/>
    <n v="0"/>
    <n v="0"/>
    <n v="0"/>
    <n v="-25.99"/>
    <n v="0"/>
  </r>
  <r>
    <x v="11"/>
    <x v="4"/>
    <x v="0"/>
    <s v="5160103"/>
    <n v="721020"/>
    <s v="Tubes Drains &amp; Related Supplies"/>
    <s v="Oncology"/>
    <x v="0"/>
    <n v="1008"/>
    <n v="68.14"/>
    <n v="0"/>
    <n v="0"/>
    <n v="0"/>
    <n v="0"/>
    <n v="0"/>
    <n v="0"/>
    <n v="0"/>
    <n v="0"/>
    <n v="0"/>
    <n v="0"/>
    <n v="0"/>
    <n v="68.14"/>
    <n v="0"/>
  </r>
  <r>
    <x v="11"/>
    <x v="4"/>
    <x v="0"/>
    <s v="5160103"/>
    <n v="721240"/>
    <s v="Supplies-IV Solutions/Supplies - Billable"/>
    <s v="Oncology"/>
    <x v="0"/>
    <m/>
    <n v="410.75"/>
    <n v="1544.5"/>
    <n v="964.75"/>
    <n v="1040.7"/>
    <n v="1287.0999999999999"/>
    <n v="947.25"/>
    <n v="963.25"/>
    <n v="777.6"/>
    <n v="1171.5"/>
    <n v="1085.0999999999999"/>
    <n v="1189"/>
    <n v="1063"/>
    <n v="12444.5"/>
    <n v="126"/>
  </r>
  <r>
    <x v="11"/>
    <x v="4"/>
    <x v="0"/>
    <s v="5160103"/>
    <n v="721410"/>
    <s v="Supplies-Medical - Nonbillable"/>
    <s v="Oncology"/>
    <x v="0"/>
    <m/>
    <n v="2199.37"/>
    <n v="929.61"/>
    <n v="647.67999999999995"/>
    <n v="802.61"/>
    <n v="428.84"/>
    <n v="440.56"/>
    <n v="536.01"/>
    <n v="478.02"/>
    <n v="656.25"/>
    <n v="870.66"/>
    <n v="543.66999999999996"/>
    <n v="674.11"/>
    <n v="9207.3900000000012"/>
    <n v="-130.44000000000005"/>
  </r>
  <r>
    <x v="11"/>
    <x v="4"/>
    <x v="0"/>
    <s v="5160103"/>
    <n v="721410"/>
    <s v="Patient Monitoring"/>
    <s v="Oncology"/>
    <x v="0"/>
    <n v="1000"/>
    <n v="0"/>
    <n v="0"/>
    <n v="0"/>
    <n v="0"/>
    <n v="0"/>
    <n v="0"/>
    <n v="0"/>
    <n v="0"/>
    <n v="0"/>
    <n v="5.4"/>
    <n v="0"/>
    <n v="-92.48"/>
    <n v="-87.08"/>
    <n v="92.48"/>
  </r>
  <r>
    <x v="11"/>
    <x v="4"/>
    <x v="0"/>
    <s v="5160103"/>
    <n v="721420"/>
    <s v="Supplies-Surgical Nonbillable"/>
    <s v="Oncology"/>
    <x v="0"/>
    <m/>
    <n v="12.76"/>
    <n v="0"/>
    <n v="6.38"/>
    <n v="6.38"/>
    <n v="7.68"/>
    <n v="0"/>
    <n v="0"/>
    <n v="0"/>
    <n v="0"/>
    <n v="3.65"/>
    <n v="0"/>
    <n v="0"/>
    <n v="36.85"/>
    <n v="0"/>
  </r>
  <r>
    <x v="11"/>
    <x v="4"/>
    <x v="0"/>
    <s v="5160103"/>
    <n v="721610"/>
    <s v="Supplies-Anesthesia - Nonbillable"/>
    <s v="Oncology"/>
    <x v="0"/>
    <m/>
    <n v="0"/>
    <n v="2.99"/>
    <n v="0.88"/>
    <n v="0"/>
    <n v="2.13"/>
    <n v="0"/>
    <n v="0"/>
    <n v="0"/>
    <n v="2.13"/>
    <n v="0"/>
    <n v="0"/>
    <n v="2.66"/>
    <n v="10.79"/>
    <n v="-2.66"/>
  </r>
  <r>
    <x v="11"/>
    <x v="4"/>
    <x v="0"/>
    <s v="5160103"/>
    <n v="721640"/>
    <s v="Supplies-IV Solutions/Supplies - Nonbillable"/>
    <s v="Oncology"/>
    <x v="0"/>
    <m/>
    <n v="1083.05"/>
    <n v="1477.68"/>
    <n v="1159.95"/>
    <n v="1786.91"/>
    <n v="1583.37"/>
    <n v="995.16"/>
    <n v="1108.06"/>
    <n v="1065.79"/>
    <n v="1694.37"/>
    <n v="1225.48"/>
    <n v="1703.01"/>
    <n v="1163.95"/>
    <n v="16046.78"/>
    <n v="539.05999999999995"/>
  </r>
  <r>
    <x v="11"/>
    <x v="4"/>
    <x v="0"/>
    <s v="5160103"/>
    <n v="721710"/>
    <s v="Supplies-Laboratory - Nonbillable"/>
    <s v="Oncology"/>
    <x v="0"/>
    <m/>
    <n v="75.680000000000007"/>
    <n v="109.61"/>
    <n v="51.11"/>
    <n v="66.290000000000006"/>
    <n v="52.41"/>
    <n v="39.700000000000003"/>
    <n v="30.41"/>
    <n v="54.34"/>
    <n v="79.23"/>
    <n v="84.95"/>
    <n v="107.02"/>
    <n v="73.12"/>
    <n v="823.87000000000012"/>
    <n v="33.899999999999991"/>
  </r>
  <r>
    <x v="11"/>
    <x v="4"/>
    <x v="0"/>
    <s v="5160103"/>
    <n v="721810"/>
    <s v="Supplies-Dietary/Cafeteria"/>
    <s v="Oncology"/>
    <x v="0"/>
    <m/>
    <n v="199.86"/>
    <n v="207.51"/>
    <n v="123.85"/>
    <n v="194.82"/>
    <n v="148.71"/>
    <n v="171.44"/>
    <n v="204.56"/>
    <n v="141.6"/>
    <n v="12.59"/>
    <n v="255.85"/>
    <n v="102.69"/>
    <n v="141.58000000000001"/>
    <n v="1905.0599999999997"/>
    <n v="-38.890000000000015"/>
  </r>
  <r>
    <x v="11"/>
    <x v="4"/>
    <x v="0"/>
    <s v="5160103"/>
    <n v="721830"/>
    <s v="Supplies-Office"/>
    <s v="Oncology"/>
    <x v="0"/>
    <m/>
    <n v="24.39"/>
    <n v="144.68"/>
    <n v="0"/>
    <n v="10.78"/>
    <n v="3.91"/>
    <n v="85.66"/>
    <n v="7.82"/>
    <n v="0"/>
    <n v="403.92"/>
    <n v="0"/>
    <n v="23.45"/>
    <n v="5.16"/>
    <n v="709.77"/>
    <n v="18.29"/>
  </r>
  <r>
    <x v="11"/>
    <x v="4"/>
    <x v="0"/>
    <s v="5160103"/>
    <n v="721870"/>
    <s v="Supplies-Environmental Services"/>
    <s v="Oncology"/>
    <x v="0"/>
    <m/>
    <n v="20.97"/>
    <n v="25.77"/>
    <n v="10.5"/>
    <n v="13.04"/>
    <n v="23.68"/>
    <n v="40.369999999999997"/>
    <n v="12.88"/>
    <n v="11.51"/>
    <n v="46.5"/>
    <n v="12.88"/>
    <n v="16.420000000000002"/>
    <n v="7.53"/>
    <n v="242.04999999999998"/>
    <n v="8.89"/>
  </r>
  <r>
    <x v="11"/>
    <x v="4"/>
    <x v="0"/>
    <s v="5160103"/>
    <n v="721910"/>
    <s v="Supplies-Small Equipment"/>
    <s v="Oncology"/>
    <x v="0"/>
    <m/>
    <n v="1073.3"/>
    <n v="10.050000000000001"/>
    <n v="115.58"/>
    <n v="196.83"/>
    <n v="10.050000000000001"/>
    <n v="26.8"/>
    <n v="13.4"/>
    <n v="0"/>
    <n v="2004.6"/>
    <n v="799.5"/>
    <n v="7.1"/>
    <n v="21.75"/>
    <n v="4278.96"/>
    <n v="-14.65"/>
  </r>
  <r>
    <x v="11"/>
    <x v="4"/>
    <x v="0"/>
    <s v="5160103"/>
    <n v="722000"/>
    <s v="Supplies-Freight Expense"/>
    <s v="Oncology"/>
    <x v="0"/>
    <m/>
    <n v="8.67"/>
    <n v="17.309999999999999"/>
    <n v="0"/>
    <n v="0"/>
    <n v="0"/>
    <n v="18.170000000000002"/>
    <n v="0"/>
    <n v="0"/>
    <n v="0"/>
    <n v="16.47"/>
    <n v="58.69"/>
    <n v="16.84"/>
    <n v="136.15"/>
    <n v="41.849999999999994"/>
  </r>
  <r>
    <x v="12"/>
    <x v="4"/>
    <x v="0"/>
    <s v="5160103"/>
    <n v="730010"/>
    <s v="Rental and Leases-Building (DO NOT USE)"/>
    <s v="Oncology"/>
    <x v="0"/>
    <m/>
    <n v="17265.37"/>
    <n v="17249.419999999998"/>
    <n v="17265.37"/>
    <n v="17265.37"/>
    <n v="17265.37"/>
    <n v="-2258.96"/>
    <n v="13234.69"/>
    <n v="13234.69"/>
    <n v="13234.69"/>
    <n v="13234.69"/>
    <n v="13234.69"/>
    <n v="0"/>
    <n v="150225.38999999998"/>
    <n v="13234.69"/>
  </r>
  <r>
    <x v="12"/>
    <x v="4"/>
    <x v="0"/>
    <s v="5160103"/>
    <n v="730010"/>
    <s v="Rental-Common Area Maint (DO NOT USE)"/>
    <s v="Oncology"/>
    <x v="0"/>
    <n v="2200"/>
    <n v="0"/>
    <n v="0"/>
    <n v="0"/>
    <n v="0"/>
    <n v="0"/>
    <n v="19524.330000000002"/>
    <n v="4030.68"/>
    <n v="4030.68"/>
    <n v="2598.6"/>
    <n v="4620.87"/>
    <n v="4620.87"/>
    <n v="0"/>
    <n v="39426.030000000006"/>
    <n v="4620.87"/>
  </r>
  <r>
    <x v="12"/>
    <x v="4"/>
    <x v="0"/>
    <s v="5160103"/>
    <n v="730020"/>
    <s v="Rental and Leases-Copier Usage Fees (DO NOT USE)"/>
    <s v="Oncology"/>
    <x v="0"/>
    <n v="5100"/>
    <n v="236.6"/>
    <n v="244.41"/>
    <n v="240.5"/>
    <n v="240.5"/>
    <n v="240.5"/>
    <n v="240.5"/>
    <n v="-9.02"/>
    <n v="196.52"/>
    <n v="220.48"/>
    <n v="366.59"/>
    <n v="255.25"/>
    <n v="255.25"/>
    <n v="2728.08"/>
    <n v="0"/>
  </r>
  <r>
    <x v="12"/>
    <x v="4"/>
    <x v="0"/>
    <s v="5160103"/>
    <n v="730040"/>
    <s v="LT Lease-Real Estate"/>
    <s v="Oncology"/>
    <x v="0"/>
    <m/>
    <n v="0"/>
    <n v="0"/>
    <n v="0"/>
    <n v="0"/>
    <n v="0"/>
    <n v="0"/>
    <n v="0"/>
    <n v="0"/>
    <n v="0"/>
    <n v="0"/>
    <n v="0"/>
    <n v="18120.259999999998"/>
    <n v="18120.259999999998"/>
    <n v="-18120.259999999998"/>
  </r>
  <r>
    <x v="15"/>
    <x v="4"/>
    <x v="0"/>
    <s v="5160103"/>
    <n v="731020"/>
    <s v="Electricity"/>
    <s v="Oncology"/>
    <x v="0"/>
    <m/>
    <n v="0"/>
    <n v="2261.62"/>
    <n v="0"/>
    <n v="2003.14"/>
    <n v="0"/>
    <n v="2234.44"/>
    <n v="0"/>
    <n v="0"/>
    <n v="0"/>
    <n v="0"/>
    <n v="0"/>
    <n v="0"/>
    <n v="6499.2000000000007"/>
    <n v="0"/>
  </r>
  <r>
    <x v="13"/>
    <x v="4"/>
    <x v="0"/>
    <s v="5160103"/>
    <n v="735060"/>
    <s v="Depreciation-Fixed Equipment"/>
    <s v="Oncology"/>
    <x v="0"/>
    <m/>
    <n v="0"/>
    <n v="0"/>
    <n v="420.04"/>
    <n v="420.03"/>
    <n v="420.04"/>
    <n v="420.03"/>
    <n v="420.04"/>
    <n v="420.03"/>
    <n v="420.04"/>
    <n v="420.03"/>
    <n v="420.04"/>
    <n v="420.03"/>
    <n v="4200.3499999999995"/>
    <n v="1.0000000000047748E-2"/>
  </r>
  <r>
    <x v="13"/>
    <x v="4"/>
    <x v="0"/>
    <s v="5160103"/>
    <n v="735070"/>
    <s v="Depreciation-Movable Equipment"/>
    <s v="Oncology"/>
    <x v="0"/>
    <m/>
    <n v="160.25"/>
    <n v="160.25"/>
    <n v="160.25"/>
    <n v="160.25"/>
    <n v="160.26"/>
    <n v="160.25"/>
    <n v="160.26"/>
    <n v="160.25"/>
    <n v="160.26"/>
    <n v="160.25"/>
    <n v="160.26"/>
    <n v="160.25"/>
    <n v="1923.04"/>
    <n v="9.9999999999909051E-3"/>
  </r>
  <r>
    <x v="0"/>
    <x v="4"/>
    <x v="0"/>
    <s v="5160103"/>
    <n v="740020"/>
    <s v="Education-Registration Fees"/>
    <s v="Oncology"/>
    <x v="0"/>
    <m/>
    <n v="0"/>
    <n v="0"/>
    <n v="0"/>
    <n v="237.38"/>
    <n v="0"/>
    <n v="0"/>
    <n v="0"/>
    <n v="0"/>
    <n v="0"/>
    <n v="0"/>
    <n v="0"/>
    <n v="0"/>
    <n v="237.38"/>
    <n v="0"/>
  </r>
  <r>
    <x v="0"/>
    <x v="4"/>
    <x v="0"/>
    <s v="5160103"/>
    <n v="743030"/>
    <s v="Subscriptions--Institutional"/>
    <s v="Oncology"/>
    <x v="0"/>
    <m/>
    <n v="0"/>
    <n v="0"/>
    <n v="0"/>
    <n v="0"/>
    <n v="0"/>
    <n v="68.87"/>
    <n v="0"/>
    <n v="101.17"/>
    <n v="0"/>
    <n v="0"/>
    <n v="0"/>
    <n v="0"/>
    <n v="170.04000000000002"/>
    <n v="0"/>
  </r>
  <r>
    <x v="0"/>
    <x v="4"/>
    <x v="0"/>
    <s v="5160103"/>
    <n v="749510"/>
    <s v="Miscellaneous Expenses"/>
    <s v="Oncology"/>
    <x v="0"/>
    <m/>
    <n v="0"/>
    <n v="0"/>
    <n v="0"/>
    <n v="0"/>
    <n v="0"/>
    <n v="0"/>
    <n v="0"/>
    <n v="0"/>
    <n v="0"/>
    <n v="650"/>
    <n v="-150"/>
    <n v="3483.87"/>
    <n v="3983.87"/>
    <n v="-3633.87"/>
  </r>
  <r>
    <x v="18"/>
    <x v="8"/>
    <x v="0"/>
    <s v="5160104"/>
    <n v="400010"/>
    <s v="Acute I/P Svcs Rev--Medicare"/>
    <s v="Oncology"/>
    <x v="0"/>
    <n v="1100"/>
    <n v="0"/>
    <n v="-428.72"/>
    <n v="0"/>
    <n v="-6383.26"/>
    <n v="0"/>
    <n v="-1273.5899999999999"/>
    <n v="0"/>
    <n v="0"/>
    <n v="0"/>
    <n v="0"/>
    <n v="0"/>
    <n v="-625.70000000000005"/>
    <n v="-8711.27"/>
    <n v="625.70000000000005"/>
  </r>
  <r>
    <x v="18"/>
    <x v="8"/>
    <x v="0"/>
    <s v="5160104"/>
    <n v="400010"/>
    <s v="Acute I/P Svcs Rev--Managed Care"/>
    <s v="Oncology"/>
    <x v="0"/>
    <n v="1400"/>
    <n v="0"/>
    <n v="0"/>
    <n v="0"/>
    <n v="0"/>
    <n v="0"/>
    <n v="0"/>
    <n v="0"/>
    <n v="0"/>
    <n v="0"/>
    <n v="-909.65"/>
    <n v="0"/>
    <n v="0"/>
    <n v="-909.65"/>
    <n v="0"/>
  </r>
  <r>
    <x v="19"/>
    <x v="8"/>
    <x v="0"/>
    <s v="5160104"/>
    <n v="400020"/>
    <s v="O/P Care Svcs Rev--Medicare"/>
    <s v="Oncology"/>
    <x v="0"/>
    <n v="1100"/>
    <n v="-106778.88"/>
    <n v="-128427.13"/>
    <n v="-119914.62"/>
    <n v="-114700.27"/>
    <n v="-141104.84"/>
    <n v="-93747.79"/>
    <n v="-126305.39"/>
    <n v="-126104.97"/>
    <n v="-144706.9"/>
    <n v="-163172.79999999999"/>
    <n v="-185385.04"/>
    <n v="-141851.28"/>
    <n v="-1592199.9100000001"/>
    <n v="-43533.760000000009"/>
  </r>
  <r>
    <x v="19"/>
    <x v="8"/>
    <x v="0"/>
    <s v="5160104"/>
    <n v="400020"/>
    <s v="O/P Care Svcs Rev--Medicaid"/>
    <s v="Oncology"/>
    <x v="0"/>
    <n v="1200"/>
    <n v="-17395.009999999998"/>
    <n v="-15748"/>
    <n v="-10525.15"/>
    <n v="-6618.36"/>
    <n v="-15548.36"/>
    <n v="-17873.87"/>
    <n v="-32877.35"/>
    <n v="-21086.1"/>
    <n v="-30383.52"/>
    <n v="-16158.26"/>
    <n v="-22478.29"/>
    <n v="-22064.07"/>
    <n v="-228756.34000000003"/>
    <n v="-414.22000000000116"/>
  </r>
  <r>
    <x v="19"/>
    <x v="8"/>
    <x v="0"/>
    <s v="5160104"/>
    <n v="400020"/>
    <s v="O/P Care Svcs Rev--Comm Insurance"/>
    <s v="Oncology"/>
    <x v="0"/>
    <n v="1300"/>
    <n v="-25654.43"/>
    <n v="-14668.7"/>
    <n v="-15036.48"/>
    <n v="-18041.11"/>
    <n v="-17138.47"/>
    <n v="-13748.82"/>
    <n v="-6961.23"/>
    <n v="-5665.28"/>
    <n v="-6695.31"/>
    <n v="-2670.28"/>
    <n v="-2960.95"/>
    <n v="-3086.83"/>
    <n v="-132327.88999999998"/>
    <n v="125.88000000000011"/>
  </r>
  <r>
    <x v="19"/>
    <x v="8"/>
    <x v="0"/>
    <s v="5160104"/>
    <n v="400020"/>
    <s v="O/P Care Svcs Rev--BCBS Comm"/>
    <s v="Oncology"/>
    <x v="0"/>
    <n v="1301"/>
    <n v="-8751.39"/>
    <n v="-9482.83"/>
    <n v="-15420.53"/>
    <n v="-15237.98"/>
    <n v="-16418.07"/>
    <n v="-20272.68"/>
    <n v="-12287.12"/>
    <n v="-21113.58"/>
    <n v="-21636.11"/>
    <n v="-20600.72"/>
    <n v="-34254.32"/>
    <n v="-27717.200000000001"/>
    <n v="-223192.53"/>
    <n v="-6537.119999999999"/>
  </r>
  <r>
    <x v="19"/>
    <x v="8"/>
    <x v="0"/>
    <s v="5160104"/>
    <n v="400020"/>
    <s v="O/P Care Svcs Rev--Managed Care"/>
    <s v="Oncology"/>
    <x v="0"/>
    <n v="1400"/>
    <n v="-72089.83"/>
    <n v="-63443.8"/>
    <n v="-48673.08"/>
    <n v="-48390.400000000001"/>
    <n v="-35692.230000000003"/>
    <n v="-46705.4"/>
    <n v="-55967.81"/>
    <n v="-45710.14"/>
    <n v="-44346.29"/>
    <n v="-22860.12"/>
    <n v="-27489.21"/>
    <n v="-17534.34"/>
    <n v="-528902.65"/>
    <n v="-9954.869999999999"/>
  </r>
  <r>
    <x v="19"/>
    <x v="8"/>
    <x v="0"/>
    <s v="5160104"/>
    <n v="400020"/>
    <s v="O/P Care Svcs Rev--Self Pay"/>
    <s v="Oncology"/>
    <x v="0"/>
    <n v="1500"/>
    <n v="0"/>
    <n v="-631.73"/>
    <n v="0"/>
    <n v="0"/>
    <n v="-1303.49"/>
    <n v="0"/>
    <n v="-600.34"/>
    <n v="0"/>
    <n v="-2148.29"/>
    <n v="0"/>
    <n v="0"/>
    <n v="0"/>
    <n v="-4683.8500000000004"/>
    <n v="0"/>
  </r>
  <r>
    <x v="19"/>
    <x v="8"/>
    <x v="0"/>
    <s v="5160104"/>
    <n v="400020"/>
    <s v="O/P Care Svcs Rev--Other"/>
    <s v="Oncology"/>
    <x v="0"/>
    <n v="1700"/>
    <n v="-3089.55"/>
    <n v="-8050.77"/>
    <n v="-6492.26"/>
    <n v="-9083.41"/>
    <n v="-6518.93"/>
    <n v="-13602.06"/>
    <n v="-13210.54"/>
    <n v="-12421.48"/>
    <n v="-9492.76"/>
    <n v="-15981.42"/>
    <n v="-11436.84"/>
    <n v="-10492.39"/>
    <n v="-119872.40999999999"/>
    <n v="-944.45000000000073"/>
  </r>
  <r>
    <x v="5"/>
    <x v="8"/>
    <x v="0"/>
    <s v="5160104"/>
    <n v="700018"/>
    <s v="Salaries-Supervisory-Productive"/>
    <s v="Oncology"/>
    <x v="0"/>
    <m/>
    <n v="4005.88"/>
    <n v="7305.42"/>
    <n v="6902.06"/>
    <n v="7506.39"/>
    <n v="727.77"/>
    <n v="0"/>
    <n v="0"/>
    <n v="0"/>
    <n v="1700.49"/>
    <n v="6127.7"/>
    <n v="3422.27"/>
    <n v="5438.57"/>
    <n v="43136.549999999996"/>
    <n v="-2016.2999999999997"/>
  </r>
  <r>
    <x v="5"/>
    <x v="8"/>
    <x v="0"/>
    <s v="5160104"/>
    <n v="700018"/>
    <s v="Salaries-Supervisory-Other"/>
    <s v="Oncology"/>
    <x v="0"/>
    <n v="2000"/>
    <n v="0"/>
    <n v="0"/>
    <n v="196.8"/>
    <n v="0"/>
    <n v="0"/>
    <n v="0"/>
    <n v="0"/>
    <n v="0"/>
    <n v="0"/>
    <n v="0"/>
    <n v="0"/>
    <n v="0"/>
    <n v="196.8"/>
    <n v="0"/>
  </r>
  <r>
    <x v="5"/>
    <x v="8"/>
    <x v="0"/>
    <s v="5160104"/>
    <n v="700026"/>
    <s v="Salaries-RN-Productive"/>
    <s v="Oncology"/>
    <x v="0"/>
    <m/>
    <n v="19289.240000000002"/>
    <n v="18426.71"/>
    <n v="17409.29"/>
    <n v="16059.21"/>
    <n v="18595.21"/>
    <n v="16732.14"/>
    <n v="24103.94"/>
    <n v="20937.740000000002"/>
    <n v="17112.98"/>
    <n v="15399.81"/>
    <n v="25816.54"/>
    <n v="11072.53"/>
    <n v="220955.34000000003"/>
    <n v="14744.01"/>
  </r>
  <r>
    <x v="5"/>
    <x v="8"/>
    <x v="0"/>
    <s v="5160104"/>
    <n v="700026"/>
    <s v="Salaries-RN-OT"/>
    <s v="Oncology"/>
    <x v="0"/>
    <n v="1000"/>
    <n v="2826.7"/>
    <n v="190.79"/>
    <n v="2412.39"/>
    <n v="814.92"/>
    <n v="2941.61"/>
    <n v="3436.31"/>
    <n v="2431.7800000000002"/>
    <n v="2123.81"/>
    <n v="3567.45"/>
    <n v="1629.99"/>
    <n v="2101.15"/>
    <n v="-212.25"/>
    <n v="24264.650000000005"/>
    <n v="2313.4"/>
  </r>
  <r>
    <x v="5"/>
    <x v="8"/>
    <x v="0"/>
    <s v="5160104"/>
    <n v="700026"/>
    <s v="Salaries-RN-Other"/>
    <s v="Oncology"/>
    <x v="0"/>
    <n v="2000"/>
    <n v="955.37"/>
    <n v="865.48"/>
    <n v="897.56"/>
    <n v="897.32"/>
    <n v="1758.22"/>
    <n v="1246.32"/>
    <n v="2263.4299999999998"/>
    <n v="2050.62"/>
    <n v="1242.76"/>
    <n v="1386.95"/>
    <n v="2486.5"/>
    <n v="686.65"/>
    <n v="16737.18"/>
    <n v="1799.85"/>
  </r>
  <r>
    <x v="5"/>
    <x v="8"/>
    <x v="0"/>
    <s v="5160104"/>
    <n v="700032"/>
    <s v="Salaries-Other Pat Care Providers-Productive"/>
    <s v="Oncology"/>
    <x v="0"/>
    <m/>
    <n v="2900.04"/>
    <n v="2901.61"/>
    <n v="2893"/>
    <n v="3460.6"/>
    <n v="3217.61"/>
    <n v="2630.4"/>
    <n v="3069.07"/>
    <n v="2734.97"/>
    <n v="3570.12"/>
    <n v="2674.23"/>
    <n v="3718.84"/>
    <n v="2829.5"/>
    <n v="36599.990000000005"/>
    <n v="889.34000000000015"/>
  </r>
  <r>
    <x v="5"/>
    <x v="8"/>
    <x v="0"/>
    <s v="5160104"/>
    <n v="700032"/>
    <s v="Salaries-Other Pat Care Providers-OT"/>
    <s v="Oncology"/>
    <x v="0"/>
    <n v="1000"/>
    <n v="0"/>
    <n v="0"/>
    <n v="0"/>
    <n v="0"/>
    <n v="0"/>
    <n v="0"/>
    <n v="0"/>
    <n v="0"/>
    <n v="7.87"/>
    <n v="15.74"/>
    <n v="0"/>
    <n v="31.48"/>
    <n v="55.09"/>
    <n v="-31.48"/>
  </r>
  <r>
    <x v="5"/>
    <x v="8"/>
    <x v="0"/>
    <s v="5160104"/>
    <n v="700038"/>
    <s v="Salaries-Service/Support-Productive"/>
    <s v="Oncology"/>
    <x v="0"/>
    <m/>
    <n v="2774.7"/>
    <n v="3799.32"/>
    <n v="3510.83"/>
    <n v="4069.67"/>
    <n v="3394"/>
    <n v="3703.93"/>
    <n v="4115.4399999999996"/>
    <n v="3333.93"/>
    <n v="4318.16"/>
    <n v="3728.87"/>
    <n v="4216.3999999999996"/>
    <n v="2890.77"/>
    <n v="43856.02"/>
    <n v="1325.6299999999997"/>
  </r>
  <r>
    <x v="5"/>
    <x v="8"/>
    <x v="0"/>
    <s v="5160104"/>
    <n v="700038"/>
    <s v="Salaries-Service/Support-OT"/>
    <s v="Oncology"/>
    <x v="0"/>
    <n v="1000"/>
    <n v="72.69"/>
    <n v="22.07"/>
    <n v="-3.89"/>
    <n v="0"/>
    <n v="0"/>
    <n v="9.36"/>
    <n v="0"/>
    <n v="0"/>
    <n v="0"/>
    <n v="18.75"/>
    <n v="0"/>
    <n v="18.75"/>
    <n v="137.72999999999999"/>
    <n v="-18.75"/>
  </r>
  <r>
    <x v="5"/>
    <x v="8"/>
    <x v="0"/>
    <s v="5160104"/>
    <n v="700058"/>
    <s v="Salaries-Supervisory-Non-productive"/>
    <s v="Oncology"/>
    <x v="0"/>
    <m/>
    <n v="0"/>
    <n v="0"/>
    <n v="336.48"/>
    <n v="0"/>
    <n v="1637.29"/>
    <n v="1030.94"/>
    <n v="1882.9"/>
    <n v="1700.5"/>
    <n v="-303.61"/>
    <n v="-995.95"/>
    <n v="485.79"/>
    <n v="340.1"/>
    <n v="6114.4400000000014"/>
    <n v="145.69"/>
  </r>
  <r>
    <x v="5"/>
    <x v="8"/>
    <x v="0"/>
    <s v="5160104"/>
    <n v="700066"/>
    <s v="Salaries-RN-Non-productive"/>
    <s v="Oncology"/>
    <x v="0"/>
    <m/>
    <n v="1682.98"/>
    <n v="-154.11000000000001"/>
    <n v="2291.65"/>
    <n v="3075.33"/>
    <n v="448.34"/>
    <n v="2476.17"/>
    <n v="1110"/>
    <n v="1142.6300000000001"/>
    <n v="3157.72"/>
    <n v="1603.03"/>
    <n v="872.63"/>
    <n v="2061.09"/>
    <n v="19767.460000000003"/>
    <n v="-1188.46"/>
  </r>
  <r>
    <x v="5"/>
    <x v="8"/>
    <x v="0"/>
    <s v="5160104"/>
    <n v="700066"/>
    <s v="Salaries-RN-NonProd-Other"/>
    <s v="Oncology"/>
    <x v="0"/>
    <n v="2000"/>
    <n v="286.95999999999998"/>
    <n v="31.89"/>
    <n v="42.92"/>
    <n v="79.69"/>
    <n v="464.9"/>
    <n v="331.19"/>
    <n v="60.95"/>
    <n v="48.13"/>
    <n v="581.19000000000005"/>
    <n v="239.86"/>
    <n v="54.02"/>
    <n v="14.42"/>
    <n v="2236.1200000000003"/>
    <n v="39.6"/>
  </r>
  <r>
    <x v="5"/>
    <x v="8"/>
    <x v="0"/>
    <s v="5160104"/>
    <n v="700072"/>
    <s v="Salaries-Other Pat Care Providers-Non-productive"/>
    <s v="Oncology"/>
    <x v="0"/>
    <m/>
    <n v="357.63"/>
    <n v="374.97"/>
    <n v="550.9"/>
    <n v="-17.47"/>
    <n v="228.96"/>
    <n v="990.61"/>
    <n v="637.76"/>
    <n v="574.37"/>
    <n v="130.02000000000001"/>
    <n v="835.43"/>
    <n v="-97.76"/>
    <n v="464.94"/>
    <n v="5030.3599999999988"/>
    <n v="-562.70000000000005"/>
  </r>
  <r>
    <x v="5"/>
    <x v="8"/>
    <x v="0"/>
    <s v="5160104"/>
    <n v="700078"/>
    <s v="Salaries-Service/Support-Non-productive"/>
    <s v="Oncology"/>
    <x v="0"/>
    <m/>
    <n v="1394.87"/>
    <n v="512.35"/>
    <n v="642.99"/>
    <n v="326.81"/>
    <n v="884.73"/>
    <n v="717.59"/>
    <n v="289.33999999999997"/>
    <n v="676.67"/>
    <n v="109.84"/>
    <n v="587.39"/>
    <n v="211.61"/>
    <n v="1269.47"/>
    <n v="7623.6600000000008"/>
    <n v="-1057.8600000000001"/>
  </r>
  <r>
    <x v="5"/>
    <x v="8"/>
    <x v="0"/>
    <s v="5160104"/>
    <n v="700084"/>
    <s v="Accrued PTO"/>
    <s v="Oncology"/>
    <x v="0"/>
    <m/>
    <n v="499.86"/>
    <n v="2084.81"/>
    <n v="-422"/>
    <n v="776.61"/>
    <n v="395.48"/>
    <n v="-870.35"/>
    <n v="-1248.22"/>
    <n v="-932.96"/>
    <n v="269.74"/>
    <n v="794.32"/>
    <n v="1301.25"/>
    <n v="-138.47"/>
    <n v="2510.0700000000006"/>
    <n v="1439.72"/>
  </r>
  <r>
    <x v="10"/>
    <x v="8"/>
    <x v="0"/>
    <s v="5160104"/>
    <n v="710060"/>
    <s v="Contract Labor-Other"/>
    <s v="Oncology"/>
    <x v="0"/>
    <m/>
    <n v="0"/>
    <n v="0"/>
    <n v="568"/>
    <n v="0"/>
    <n v="550.25"/>
    <n v="532.5"/>
    <n v="568"/>
    <n v="0"/>
    <n v="0"/>
    <n v="898.7"/>
    <n v="1815"/>
    <n v="6717.5"/>
    <n v="11649.95"/>
    <n v="-4902.5"/>
  </r>
  <r>
    <x v="6"/>
    <x v="8"/>
    <x v="0"/>
    <s v="5160104"/>
    <n v="713010"/>
    <s v="Benefits-FICA/Medicare"/>
    <s v="Oncology"/>
    <x v="0"/>
    <m/>
    <n v="2821.96"/>
    <n v="2568.44"/>
    <n v="2859.26"/>
    <n v="2715.31"/>
    <n v="2575.92"/>
    <n v="2493.29"/>
    <n v="2993.18"/>
    <n v="2660.02"/>
    <n v="2662.77"/>
    <n v="2445.41"/>
    <n v="3253.89"/>
    <n v="2004.16"/>
    <n v="32053.61"/>
    <n v="1249.7299999999998"/>
  </r>
  <r>
    <x v="6"/>
    <x v="8"/>
    <x v="0"/>
    <s v="5160104"/>
    <n v="713090"/>
    <s v="Benefits-Allocated Amounts"/>
    <s v="Oncology"/>
    <x v="0"/>
    <m/>
    <n v="6845.28"/>
    <n v="5995.22"/>
    <n v="6814.14"/>
    <n v="6739.19"/>
    <n v="6173.77"/>
    <n v="5778.53"/>
    <n v="6923.81"/>
    <n v="6755.06"/>
    <n v="6351.52"/>
    <n v="6663.8"/>
    <n v="7833.62"/>
    <n v="5624.94"/>
    <n v="78498.87999999999"/>
    <n v="2208.6800000000003"/>
  </r>
  <r>
    <x v="7"/>
    <x v="8"/>
    <x v="0"/>
    <s v="5160104"/>
    <n v="718050"/>
    <s v="Document Shredding/Storage"/>
    <s v="Oncology"/>
    <x v="0"/>
    <n v="1012"/>
    <n v="0.34"/>
    <n v="0.37"/>
    <n v="0.33"/>
    <n v="0.34"/>
    <n v="0.35"/>
    <n v="0.35"/>
    <n v="0.34"/>
    <n v="0.28999999999999998"/>
    <n v="0.3"/>
    <n v="0.42"/>
    <n v="0.34"/>
    <n v="0.35"/>
    <n v="4.1199999999999992"/>
    <n v="-9.9999999999999534E-3"/>
  </r>
  <r>
    <x v="7"/>
    <x v="8"/>
    <x v="0"/>
    <s v="5160104"/>
    <n v="718050"/>
    <s v="Miscellaneous Purchased Svcs"/>
    <s v="Oncology"/>
    <x v="0"/>
    <n v="1020"/>
    <n v="50.02"/>
    <n v="0"/>
    <n v="0"/>
    <n v="0"/>
    <n v="0"/>
    <n v="0"/>
    <n v="0"/>
    <n v="0"/>
    <n v="271.25"/>
    <n v="0"/>
    <n v="150"/>
    <n v="5266.67"/>
    <n v="5737.9400000000005"/>
    <n v="-5116.67"/>
  </r>
  <r>
    <x v="7"/>
    <x v="8"/>
    <x v="0"/>
    <s v="5160104"/>
    <n v="718050"/>
    <s v="Contract Management--Linen"/>
    <s v="Oncology"/>
    <x v="0"/>
    <n v="1026"/>
    <n v="124.83"/>
    <n v="270.70999999999998"/>
    <n v="72.67"/>
    <n v="53.29"/>
    <n v="148.71"/>
    <n v="155.09"/>
    <n v="234.86"/>
    <n v="197.55"/>
    <n v="161.47"/>
    <n v="217.95"/>
    <n v="72.31"/>
    <n v="232.35"/>
    <n v="1941.79"/>
    <n v="-160.04"/>
  </r>
  <r>
    <x v="7"/>
    <x v="8"/>
    <x v="0"/>
    <s v="5160104"/>
    <n v="718091"/>
    <s v="Contract Services-Intracompany Allocation"/>
    <s v="Oncology"/>
    <x v="0"/>
    <m/>
    <n v="11374.58"/>
    <n v="14373.64"/>
    <n v="11449.05"/>
    <n v="14375.16"/>
    <n v="12178.91"/>
    <n v="12773.81"/>
    <n v="13271.8"/>
    <n v="12436.45"/>
    <n v="13484.68"/>
    <n v="13905.22"/>
    <n v="14453.98"/>
    <n v="12104.43"/>
    <n v="156181.71000000002"/>
    <n v="2349.5499999999993"/>
  </r>
  <r>
    <x v="11"/>
    <x v="8"/>
    <x v="0"/>
    <s v="5160104"/>
    <n v="721010"/>
    <s v="Supplies-Medical - Billable"/>
    <s v="Oncology"/>
    <x v="0"/>
    <m/>
    <n v="1590.73"/>
    <n v="1793.88"/>
    <n v="2022.95"/>
    <n v="721.88"/>
    <n v="1559.5"/>
    <n v="1402.39"/>
    <n v="1364.82"/>
    <n v="1338.81"/>
    <n v="1373.56"/>
    <n v="924.08"/>
    <n v="1444.36"/>
    <n v="1537.39"/>
    <n v="17074.349999999999"/>
    <n v="-93.0300000000002"/>
  </r>
  <r>
    <x v="11"/>
    <x v="8"/>
    <x v="0"/>
    <s v="5160104"/>
    <n v="721010"/>
    <s v="Patient Monitoring"/>
    <s v="Oncology"/>
    <x v="0"/>
    <n v="1000"/>
    <n v="0"/>
    <n v="0"/>
    <n v="0.88"/>
    <n v="0"/>
    <n v="0"/>
    <n v="0"/>
    <n v="0"/>
    <n v="0"/>
    <n v="0"/>
    <n v="0"/>
    <n v="0"/>
    <n v="0"/>
    <n v="0.88"/>
    <n v="0"/>
  </r>
  <r>
    <x v="11"/>
    <x v="8"/>
    <x v="0"/>
    <s v="5160104"/>
    <n v="721240"/>
    <s v="Supplies-IV Solutions/Supplies - Billable"/>
    <s v="Oncology"/>
    <x v="0"/>
    <m/>
    <n v="1019.59"/>
    <n v="553.79999999999995"/>
    <n v="879"/>
    <n v="335.25"/>
    <n v="617.95000000000005"/>
    <n v="503.5"/>
    <n v="970.55"/>
    <n v="730.25"/>
    <n v="765"/>
    <n v="532.75"/>
    <n v="858.25"/>
    <n v="780.25"/>
    <n v="8546.14"/>
    <n v="78"/>
  </r>
  <r>
    <x v="11"/>
    <x v="8"/>
    <x v="0"/>
    <s v="5160104"/>
    <n v="721250"/>
    <s v="Supplies-Pharmacy Drugs - Billable"/>
    <s v="Oncology"/>
    <x v="0"/>
    <m/>
    <n v="13.5"/>
    <n v="0"/>
    <n v="18.91"/>
    <n v="0"/>
    <n v="38"/>
    <n v="0"/>
    <n v="35.200000000000003"/>
    <n v="0"/>
    <n v="52.09"/>
    <n v="27.5"/>
    <n v="35.200000000000003"/>
    <n v="24.59"/>
    <n v="244.98999999999998"/>
    <n v="10.610000000000003"/>
  </r>
  <r>
    <x v="11"/>
    <x v="8"/>
    <x v="0"/>
    <s v="5160104"/>
    <n v="721410"/>
    <s v="Supplies-Medical - Nonbillable"/>
    <s v="Oncology"/>
    <x v="0"/>
    <m/>
    <n v="672.57"/>
    <n v="928.54"/>
    <n v="994.69"/>
    <n v="581.98"/>
    <n v="693.49"/>
    <n v="604.72"/>
    <n v="899.73"/>
    <n v="502.16"/>
    <n v="1083.33"/>
    <n v="2187.2399999999998"/>
    <n v="920.44"/>
    <n v="561.25"/>
    <n v="10630.140000000001"/>
    <n v="359.19000000000005"/>
  </r>
  <r>
    <x v="11"/>
    <x v="8"/>
    <x v="0"/>
    <s v="5160104"/>
    <n v="721410"/>
    <s v="Patient Monitoring"/>
    <s v="Oncology"/>
    <x v="0"/>
    <n v="1000"/>
    <n v="0"/>
    <n v="52.9"/>
    <n v="3.27"/>
    <n v="0"/>
    <n v="1.0900000000000001"/>
    <n v="3.26"/>
    <n v="0"/>
    <n v="0"/>
    <n v="0"/>
    <n v="0"/>
    <n v="0"/>
    <n v="0"/>
    <n v="60.52"/>
    <n v="0"/>
  </r>
  <r>
    <x v="11"/>
    <x v="8"/>
    <x v="0"/>
    <s v="5160104"/>
    <n v="721420"/>
    <s v="Supplies-Surgical Nonbillable"/>
    <s v="Oncology"/>
    <x v="0"/>
    <m/>
    <n v="0"/>
    <n v="3.03"/>
    <n v="0"/>
    <n v="0"/>
    <n v="0"/>
    <n v="3.03"/>
    <n v="3.28"/>
    <n v="0"/>
    <n v="3.03"/>
    <n v="0"/>
    <n v="0"/>
    <n v="3.03"/>
    <n v="15.399999999999999"/>
    <n v="-3.03"/>
  </r>
  <r>
    <x v="11"/>
    <x v="8"/>
    <x v="0"/>
    <s v="5160104"/>
    <n v="721610"/>
    <s v="Supplies-Anesthesia - Nonbillable"/>
    <s v="Oncology"/>
    <x v="0"/>
    <m/>
    <n v="0"/>
    <n v="0"/>
    <n v="0"/>
    <n v="0"/>
    <n v="0"/>
    <n v="0"/>
    <n v="3.19"/>
    <n v="1.6"/>
    <n v="0"/>
    <n v="187.32"/>
    <n v="1.6"/>
    <n v="495.44"/>
    <n v="689.15"/>
    <n v="-493.84"/>
  </r>
  <r>
    <x v="11"/>
    <x v="8"/>
    <x v="0"/>
    <s v="5160104"/>
    <n v="721640"/>
    <s v="Supplies-IV Solutions/Supplies - Nonbillable"/>
    <s v="Oncology"/>
    <x v="0"/>
    <m/>
    <n v="905.46"/>
    <n v="1351.57"/>
    <n v="1691.46"/>
    <n v="600.1"/>
    <n v="982.68"/>
    <n v="1315.04"/>
    <n v="1254.4100000000001"/>
    <n v="956.58"/>
    <n v="892.25"/>
    <n v="833.31"/>
    <n v="1224.1400000000001"/>
    <n v="1086.46"/>
    <n v="13093.46"/>
    <n v="137.68000000000006"/>
  </r>
  <r>
    <x v="11"/>
    <x v="8"/>
    <x v="0"/>
    <s v="5160104"/>
    <n v="721710"/>
    <s v="Supplies-Laboratory - Nonbillable"/>
    <s v="Oncology"/>
    <x v="0"/>
    <m/>
    <n v="-1.46"/>
    <n v="98.07"/>
    <n v="76.36"/>
    <n v="53.17"/>
    <n v="51.8"/>
    <n v="77.5"/>
    <n v="59.77"/>
    <n v="70.97"/>
    <n v="85.94"/>
    <n v="45.3"/>
    <n v="81.66"/>
    <n v="89.86"/>
    <n v="788.93999999999983"/>
    <n v="-8.2000000000000028"/>
  </r>
  <r>
    <x v="11"/>
    <x v="8"/>
    <x v="0"/>
    <s v="5160104"/>
    <n v="721810"/>
    <s v="Supplies-Dietary/Cafeteria"/>
    <s v="Oncology"/>
    <x v="0"/>
    <m/>
    <n v="367.94"/>
    <n v="499.49"/>
    <n v="398.68"/>
    <n v="386.41"/>
    <n v="317"/>
    <n v="388.47"/>
    <n v="728.01"/>
    <n v="443.93"/>
    <n v="530.29999999999995"/>
    <n v="402.4"/>
    <n v="399.78"/>
    <n v="443.3"/>
    <n v="5305.7099999999991"/>
    <n v="-43.520000000000039"/>
  </r>
  <r>
    <x v="11"/>
    <x v="8"/>
    <x v="0"/>
    <s v="5160104"/>
    <n v="721830"/>
    <s v="Supplies-Office"/>
    <s v="Oncology"/>
    <x v="0"/>
    <m/>
    <n v="0"/>
    <n v="0"/>
    <n v="57.43"/>
    <n v="164.09"/>
    <n v="3.44"/>
    <n v="10.32"/>
    <n v="61.27"/>
    <n v="10.32"/>
    <n v="0"/>
    <n v="58.73"/>
    <n v="0"/>
    <n v="0"/>
    <n v="365.6"/>
    <n v="0"/>
  </r>
  <r>
    <x v="11"/>
    <x v="8"/>
    <x v="0"/>
    <s v="5160104"/>
    <n v="721870"/>
    <s v="Supplies-Environmental Services"/>
    <s v="Oncology"/>
    <x v="0"/>
    <m/>
    <n v="43.22"/>
    <n v="24.01"/>
    <n v="48.18"/>
    <n v="39.49"/>
    <n v="11.33"/>
    <n v="19.21"/>
    <n v="226.43"/>
    <n v="19.21"/>
    <n v="21.77"/>
    <n v="24.01"/>
    <n v="33.54"/>
    <n v="34.96"/>
    <n v="545.36"/>
    <n v="-1.4200000000000017"/>
  </r>
  <r>
    <x v="11"/>
    <x v="8"/>
    <x v="0"/>
    <s v="5160104"/>
    <n v="721910"/>
    <s v="Supplies-Small Equipment"/>
    <s v="Oncology"/>
    <x v="0"/>
    <m/>
    <n v="21.2"/>
    <n v="71.849999999999994"/>
    <n v="51.1"/>
    <n v="70.05"/>
    <n v="134.55000000000001"/>
    <n v="32"/>
    <n v="82.1"/>
    <n v="0"/>
    <n v="45.75"/>
    <n v="67.28"/>
    <n v="96.64"/>
    <n v="1019.71"/>
    <n v="1692.23"/>
    <n v="-923.07"/>
  </r>
  <r>
    <x v="11"/>
    <x v="8"/>
    <x v="0"/>
    <s v="5160104"/>
    <n v="721980"/>
    <s v="Supplies-Other"/>
    <s v="Oncology"/>
    <x v="0"/>
    <m/>
    <n v="0"/>
    <n v="84.76"/>
    <n v="0"/>
    <n v="0"/>
    <n v="0"/>
    <n v="0"/>
    <n v="-91.32"/>
    <n v="0"/>
    <n v="-10.16"/>
    <n v="0"/>
    <n v="0"/>
    <n v="0"/>
    <n v="-16.719999999999988"/>
    <n v="0"/>
  </r>
  <r>
    <x v="11"/>
    <x v="8"/>
    <x v="0"/>
    <s v="5160104"/>
    <n v="722000"/>
    <s v="Supplies-Freight Expense"/>
    <s v="Oncology"/>
    <x v="0"/>
    <m/>
    <n v="7.94"/>
    <n v="33.24"/>
    <n v="0"/>
    <n v="0"/>
    <n v="0"/>
    <n v="0"/>
    <n v="0"/>
    <n v="0"/>
    <n v="8.23"/>
    <n v="0"/>
    <n v="19.670000000000002"/>
    <n v="0"/>
    <n v="69.08"/>
    <n v="19.670000000000002"/>
  </r>
  <r>
    <x v="12"/>
    <x v="8"/>
    <x v="0"/>
    <s v="5160104"/>
    <n v="730010"/>
    <s v="Rental and Leases-Building (DO NOT USE)"/>
    <s v="Oncology"/>
    <x v="0"/>
    <m/>
    <n v="19793.12"/>
    <n v="19793.12"/>
    <n v="19793.12"/>
    <n v="19793.12"/>
    <n v="19793.12"/>
    <n v="-2767.84"/>
    <n v="15985.57"/>
    <n v="15985.57"/>
    <n v="13357.49"/>
    <n v="13357.49"/>
    <n v="15985.57"/>
    <n v="-5256.16"/>
    <n v="165613.28999999998"/>
    <n v="21241.73"/>
  </r>
  <r>
    <x v="12"/>
    <x v="8"/>
    <x v="0"/>
    <s v="5160104"/>
    <n v="730010"/>
    <s v="Rental-Common Area Maint (DO NOT USE)"/>
    <s v="Oncology"/>
    <x v="0"/>
    <n v="2200"/>
    <n v="0"/>
    <n v="0"/>
    <n v="0"/>
    <n v="0"/>
    <n v="0"/>
    <n v="22560.959999999999"/>
    <n v="4184.71"/>
    <n v="3996.13"/>
    <n v="3778.26"/>
    <n v="3996.13"/>
    <n v="3996.13"/>
    <n v="0"/>
    <n v="42512.319999999992"/>
    <n v="3996.13"/>
  </r>
  <r>
    <x v="12"/>
    <x v="8"/>
    <x v="0"/>
    <s v="5160104"/>
    <n v="730020"/>
    <s v="Rental and Leases-Equipment (DO NOT USE)"/>
    <s v="Oncology"/>
    <x v="0"/>
    <m/>
    <n v="0"/>
    <n v="0"/>
    <n v="0"/>
    <n v="0"/>
    <n v="0"/>
    <n v="271.25"/>
    <n v="0"/>
    <n v="0"/>
    <n v="0"/>
    <n v="0"/>
    <n v="0"/>
    <n v="0"/>
    <n v="271.25"/>
    <n v="0"/>
  </r>
  <r>
    <x v="12"/>
    <x v="8"/>
    <x v="0"/>
    <s v="5160104"/>
    <n v="730020"/>
    <s v="Rental and Leases-Copier Usage Fees (DO NOT USE)"/>
    <s v="Oncology"/>
    <x v="0"/>
    <n v="5100"/>
    <n v="668.45"/>
    <n v="689.81"/>
    <n v="679.13"/>
    <n v="679.13"/>
    <n v="679.13"/>
    <n v="679.13"/>
    <n v="671.57"/>
    <n v="614.24"/>
    <n v="613.57000000000005"/>
    <n v="691.07"/>
    <n v="614.24"/>
    <n v="659.63"/>
    <n v="7939.0999999999995"/>
    <n v="-45.389999999999986"/>
  </r>
  <r>
    <x v="12"/>
    <x v="8"/>
    <x v="0"/>
    <s v="5160104"/>
    <n v="730040"/>
    <s v="LT Lease-Real Estate"/>
    <s v="Oncology"/>
    <x v="0"/>
    <m/>
    <n v="0"/>
    <n v="0"/>
    <n v="0"/>
    <n v="0"/>
    <n v="0"/>
    <n v="0"/>
    <n v="0"/>
    <n v="0"/>
    <n v="0"/>
    <n v="0"/>
    <n v="0"/>
    <n v="20301.41"/>
    <n v="20301.41"/>
    <n v="-20301.41"/>
  </r>
  <r>
    <x v="15"/>
    <x v="8"/>
    <x v="0"/>
    <s v="5160104"/>
    <n v="731060"/>
    <s v="Pagers"/>
    <s v="Oncology"/>
    <x v="0"/>
    <n v="1002"/>
    <n v="8.1"/>
    <n v="8.1"/>
    <n v="8.1"/>
    <n v="8.1199999999999992"/>
    <n v="8.1199999999999992"/>
    <n v="0"/>
    <n v="16.239999999999998"/>
    <n v="11.12"/>
    <n v="11.12"/>
    <n v="11.12"/>
    <n v="11.12"/>
    <n v="11.12"/>
    <n v="112.38000000000001"/>
    <n v="0"/>
  </r>
  <r>
    <x v="15"/>
    <x v="8"/>
    <x v="0"/>
    <s v="5160104"/>
    <n v="731070"/>
    <s v="Cable TV"/>
    <s v="Oncology"/>
    <x v="0"/>
    <m/>
    <n v="99.87"/>
    <n v="99.87"/>
    <n v="99.87"/>
    <n v="99.85"/>
    <n v="102.27"/>
    <n v="102.27"/>
    <n v="102.27"/>
    <n v="102.27"/>
    <n v="102.27"/>
    <n v="102.27"/>
    <n v="103.01"/>
    <n v="103.01"/>
    <n v="1219.0999999999999"/>
    <n v="0"/>
  </r>
  <r>
    <x v="16"/>
    <x v="8"/>
    <x v="0"/>
    <s v="5160104"/>
    <n v="732030"/>
    <s v="Repairs---Other"/>
    <s v="Oncology"/>
    <x v="0"/>
    <m/>
    <n v="0"/>
    <n v="0"/>
    <n v="0"/>
    <n v="0"/>
    <n v="0"/>
    <n v="0"/>
    <n v="424.24"/>
    <n v="0"/>
    <n v="0"/>
    <n v="237.66"/>
    <n v="0"/>
    <n v="0"/>
    <n v="661.9"/>
    <n v="0"/>
  </r>
  <r>
    <x v="13"/>
    <x v="8"/>
    <x v="0"/>
    <s v="5160104"/>
    <n v="735050"/>
    <s v="Amortization-Leasehold Improvements"/>
    <s v="Oncology"/>
    <x v="0"/>
    <m/>
    <n v="32815.51"/>
    <n v="32815.56"/>
    <n v="32815.449999999997"/>
    <n v="32815.69"/>
    <n v="32815.269999999997"/>
    <n v="32815.72"/>
    <n v="32815.21"/>
    <n v="32815.75"/>
    <n v="32815.129999999997"/>
    <n v="16886.23"/>
    <n v="16884.669999999998"/>
    <n v="16884.560000000001"/>
    <n v="345994.75"/>
    <n v="0.1099999999969441"/>
  </r>
  <r>
    <x v="13"/>
    <x v="8"/>
    <x v="0"/>
    <s v="5160104"/>
    <n v="735060"/>
    <s v="Depreciation-Fixed Equipment"/>
    <s v="Oncology"/>
    <x v="0"/>
    <m/>
    <n v="616.78"/>
    <n v="616.78"/>
    <n v="616.79"/>
    <n v="616.77"/>
    <n v="616.79999999999995"/>
    <n v="616.76"/>
    <n v="616.80999999999995"/>
    <n v="616.76"/>
    <n v="616.82000000000005"/>
    <n v="616.75"/>
    <n v="616.82000000000005"/>
    <n v="616.75"/>
    <n v="7401.3899999999994"/>
    <n v="7.0000000000050022E-2"/>
  </r>
  <r>
    <x v="13"/>
    <x v="8"/>
    <x v="0"/>
    <s v="5160104"/>
    <n v="735070"/>
    <s v="Depreciation-Movable Equipment"/>
    <s v="Oncology"/>
    <x v="0"/>
    <m/>
    <n v="7406.18"/>
    <n v="7406.12"/>
    <n v="7406.21"/>
    <n v="7406.11"/>
    <n v="7406.22"/>
    <n v="7406.08"/>
    <n v="7406.25"/>
    <n v="7327.86"/>
    <n v="7328.1"/>
    <n v="5809.32"/>
    <n v="5720.49"/>
    <n v="5719.97"/>
    <n v="83748.910000000018"/>
    <n v="0.51999999999952706"/>
  </r>
  <r>
    <x v="0"/>
    <x v="8"/>
    <x v="0"/>
    <s v="5160104"/>
    <n v="740020"/>
    <s v="Education-Registration Fees"/>
    <s v="Oncology"/>
    <x v="0"/>
    <m/>
    <n v="0"/>
    <n v="0"/>
    <n v="99"/>
    <n v="0"/>
    <n v="0"/>
    <n v="0"/>
    <n v="0"/>
    <n v="0"/>
    <n v="0"/>
    <n v="0"/>
    <n v="0"/>
    <n v="0"/>
    <n v="99"/>
    <n v="0"/>
  </r>
  <r>
    <x v="0"/>
    <x v="8"/>
    <x v="0"/>
    <s v="5160104"/>
    <n v="743030"/>
    <s v="Subscriptions--Institutional"/>
    <s v="Oncology"/>
    <x v="0"/>
    <m/>
    <n v="0"/>
    <n v="0"/>
    <n v="0"/>
    <n v="0"/>
    <n v="0"/>
    <n v="0"/>
    <n v="0"/>
    <n v="101.17"/>
    <n v="0"/>
    <n v="0"/>
    <n v="0"/>
    <n v="0"/>
    <n v="101.17"/>
    <n v="0"/>
  </r>
  <r>
    <x v="0"/>
    <x v="8"/>
    <x v="0"/>
    <s v="5160104"/>
    <n v="749510"/>
    <s v="Miscellaneous Expenses"/>
    <s v="Oncology"/>
    <x v="0"/>
    <m/>
    <n v="-32"/>
    <n v="0"/>
    <n v="0"/>
    <n v="434.79"/>
    <n v="0"/>
    <n v="-434.79"/>
    <n v="0"/>
    <n v="0"/>
    <n v="0"/>
    <n v="0"/>
    <n v="0"/>
    <n v="0"/>
    <n v="-32"/>
    <n v="0"/>
  </r>
  <r>
    <x v="0"/>
    <x v="8"/>
    <x v="0"/>
    <s v="5160104"/>
    <n v="749510"/>
    <s v="Licenses"/>
    <s v="Oncology"/>
    <x v="0"/>
    <n v="1002"/>
    <n v="0"/>
    <n v="0"/>
    <n v="0"/>
    <n v="0"/>
    <n v="0"/>
    <n v="0"/>
    <n v="0"/>
    <n v="0"/>
    <n v="0"/>
    <n v="240"/>
    <n v="0"/>
    <n v="0"/>
    <n v="240"/>
    <n v="0"/>
  </r>
  <r>
    <x v="0"/>
    <x v="8"/>
    <x v="0"/>
    <s v="5160104"/>
    <n v="749530"/>
    <s v="Travel"/>
    <s v="Oncology"/>
    <x v="0"/>
    <m/>
    <n v="0"/>
    <n v="35.01"/>
    <n v="12"/>
    <n v="0"/>
    <n v="0"/>
    <n v="379.2"/>
    <n v="0"/>
    <n v="0"/>
    <n v="0"/>
    <n v="0"/>
    <n v="0"/>
    <n v="0"/>
    <n v="426.21"/>
    <n v="0"/>
  </r>
  <r>
    <x v="0"/>
    <x v="8"/>
    <x v="0"/>
    <s v="5160104"/>
    <n v="749530"/>
    <s v="Mileage"/>
    <s v="Oncology"/>
    <x v="0"/>
    <n v="1001"/>
    <n v="0"/>
    <n v="8.7200000000000006"/>
    <n v="0"/>
    <n v="0"/>
    <n v="0"/>
    <n v="55.59"/>
    <n v="0"/>
    <n v="0"/>
    <n v="0"/>
    <n v="0"/>
    <n v="0"/>
    <n v="0"/>
    <n v="64.31"/>
    <n v="0"/>
  </r>
  <r>
    <x v="18"/>
    <x v="5"/>
    <x v="0"/>
    <s v="5160106"/>
    <n v="400010"/>
    <s v="Acute I/P Svcs Rev--Medicare"/>
    <s v="Oncology"/>
    <x v="0"/>
    <n v="1100"/>
    <n v="0"/>
    <n v="0"/>
    <n v="0"/>
    <n v="-3561.51"/>
    <n v="0"/>
    <n v="0"/>
    <n v="0"/>
    <n v="-2750.87"/>
    <n v="0"/>
    <n v="0"/>
    <n v="-2263.92"/>
    <n v="0"/>
    <n v="-8576.2999999999993"/>
    <n v="-2263.92"/>
  </r>
  <r>
    <x v="18"/>
    <x v="5"/>
    <x v="0"/>
    <s v="5160106"/>
    <n v="400010"/>
    <s v="Acute I/P Svcs Rev--Managed Care"/>
    <s v="Oncology"/>
    <x v="0"/>
    <n v="1400"/>
    <n v="0"/>
    <n v="-1998.31"/>
    <n v="0"/>
    <n v="0"/>
    <n v="0"/>
    <n v="0"/>
    <n v="0"/>
    <n v="0"/>
    <n v="0"/>
    <n v="-411.36"/>
    <n v="0"/>
    <n v="0"/>
    <n v="-2409.67"/>
    <n v="0"/>
  </r>
  <r>
    <x v="19"/>
    <x v="5"/>
    <x v="0"/>
    <s v="5160106"/>
    <n v="400020"/>
    <s v="O/P Care Svcs Rev--Medicare"/>
    <s v="Oncology"/>
    <x v="0"/>
    <n v="1100"/>
    <n v="-179133"/>
    <n v="-178200.97"/>
    <n v="-175393.92000000001"/>
    <n v="-235466.55"/>
    <n v="-158815.99"/>
    <n v="-176209.56"/>
    <n v="-198486.07"/>
    <n v="-165266.21"/>
    <n v="-222930.83"/>
    <n v="-212008.56"/>
    <n v="-226256.61"/>
    <n v="-193750.53"/>
    <n v="-2321918.7999999998"/>
    <n v="-32506.079999999987"/>
  </r>
  <r>
    <x v="19"/>
    <x v="5"/>
    <x v="0"/>
    <s v="5160106"/>
    <n v="400020"/>
    <s v="O/P Care Svcs Rev--Medicaid"/>
    <s v="Oncology"/>
    <x v="0"/>
    <n v="1200"/>
    <n v="-31584.23"/>
    <n v="-45186.080000000002"/>
    <n v="-51803.85"/>
    <n v="-48748.88"/>
    <n v="-32112.97"/>
    <n v="-58690.58"/>
    <n v="-29941"/>
    <n v="-31042.69"/>
    <n v="-35664.75"/>
    <n v="-71713.33"/>
    <n v="-59041.19"/>
    <n v="-52517.84"/>
    <n v="-548047.39"/>
    <n v="-6523.3500000000058"/>
  </r>
  <r>
    <x v="19"/>
    <x v="5"/>
    <x v="0"/>
    <s v="5160106"/>
    <n v="400020"/>
    <s v="O/P Care Svcs Rev--Comm Insurance"/>
    <s v="Oncology"/>
    <x v="0"/>
    <n v="1300"/>
    <n v="-8476.39"/>
    <n v="-7650.72"/>
    <n v="-5714.71"/>
    <n v="-12309.39"/>
    <n v="-11930.21"/>
    <n v="-4700.1099999999997"/>
    <n v="-5160.57"/>
    <n v="-14394.13"/>
    <n v="-15888.85"/>
    <n v="-10653.75"/>
    <n v="-12416.6"/>
    <n v="-7344.8"/>
    <n v="-116640.23000000001"/>
    <n v="-5071.8"/>
  </r>
  <r>
    <x v="19"/>
    <x v="5"/>
    <x v="0"/>
    <s v="5160106"/>
    <n v="400020"/>
    <s v="O/P Care Svcs Rev--BCBS Comm"/>
    <s v="Oncology"/>
    <x v="0"/>
    <n v="1301"/>
    <n v="-31443.77"/>
    <n v="-35230.03"/>
    <n v="-32000.78"/>
    <n v="-52780.09"/>
    <n v="-31365.15"/>
    <n v="-21602.26"/>
    <n v="-40371.39"/>
    <n v="-24001.46"/>
    <n v="-48802.13"/>
    <n v="-60343.13"/>
    <n v="-61234.57"/>
    <n v="-49071.34"/>
    <n v="-488246.1"/>
    <n v="-12163.230000000003"/>
  </r>
  <r>
    <x v="19"/>
    <x v="5"/>
    <x v="0"/>
    <s v="5160106"/>
    <n v="400020"/>
    <s v="O/P Care Svcs Rev--Managed Care"/>
    <s v="Oncology"/>
    <x v="0"/>
    <n v="1400"/>
    <n v="-59482.82"/>
    <n v="-74303.98"/>
    <n v="-44290.81"/>
    <n v="-79790.960000000006"/>
    <n v="-39326.81"/>
    <n v="-54601.05"/>
    <n v="-76391.839999999997"/>
    <n v="-62082.95"/>
    <n v="-88943.07"/>
    <n v="-134819.66"/>
    <n v="-117707.36"/>
    <n v="-84000.44"/>
    <n v="-915741.75"/>
    <n v="-33706.92"/>
  </r>
  <r>
    <x v="19"/>
    <x v="5"/>
    <x v="0"/>
    <s v="5160106"/>
    <n v="400020"/>
    <s v="O/P Care Svcs Rev--Self Pay"/>
    <s v="Oncology"/>
    <x v="0"/>
    <n v="1500"/>
    <n v="1724.1"/>
    <n v="0"/>
    <n v="0"/>
    <n v="-553.46"/>
    <n v="-3296.81"/>
    <n v="-402.42"/>
    <n v="1576.91"/>
    <n v="-650.67999999999995"/>
    <n v="-4988.75"/>
    <n v="-2058.09"/>
    <n v="-648.33000000000004"/>
    <n v="363.3"/>
    <n v="-8934.2300000000014"/>
    <n v="-1011.6300000000001"/>
  </r>
  <r>
    <x v="19"/>
    <x v="5"/>
    <x v="0"/>
    <s v="5160106"/>
    <n v="400020"/>
    <s v="O/P Care Svcs Rev--Other"/>
    <s v="Oncology"/>
    <x v="0"/>
    <n v="1700"/>
    <n v="0"/>
    <n v="0"/>
    <n v="0"/>
    <n v="0"/>
    <n v="0"/>
    <n v="0"/>
    <n v="0"/>
    <n v="-5877.57"/>
    <n v="-6091.58"/>
    <n v="-4554.76"/>
    <n v="-14158.56"/>
    <n v="-812"/>
    <n v="-31494.47"/>
    <n v="-13346.56"/>
  </r>
  <r>
    <x v="14"/>
    <x v="5"/>
    <x v="0"/>
    <s v="5160106"/>
    <n v="600026"/>
    <s v="POB Rental"/>
    <s v="Oncology"/>
    <x v="0"/>
    <n v="1001"/>
    <n v="-2014.68"/>
    <n v="-2014.68"/>
    <n v="-2014.68"/>
    <n v="-2014.68"/>
    <n v="-2014.68"/>
    <n v="-2014.68"/>
    <n v="-2014.68"/>
    <n v="-2014.68"/>
    <n v="-2014.68"/>
    <n v="-2014.68"/>
    <n v="-2014.68"/>
    <n v="-2014.68"/>
    <n v="-24176.16"/>
    <n v="0"/>
  </r>
  <r>
    <x v="5"/>
    <x v="5"/>
    <x v="0"/>
    <s v="5160106"/>
    <n v="700026"/>
    <s v="Salaries-RN-Productive"/>
    <s v="Oncology"/>
    <x v="0"/>
    <m/>
    <n v="25810.54"/>
    <n v="21380.65"/>
    <n v="23127.62"/>
    <n v="27914.01"/>
    <n v="26563.7"/>
    <n v="19517.45"/>
    <n v="22470.82"/>
    <n v="20213.87"/>
    <n v="23449.46"/>
    <n v="26367.32"/>
    <n v="22739.18"/>
    <n v="21045.54"/>
    <n v="280600.15999999997"/>
    <n v="1693.6399999999994"/>
  </r>
  <r>
    <x v="5"/>
    <x v="5"/>
    <x v="0"/>
    <s v="5160106"/>
    <n v="700026"/>
    <s v="Salaries-RN-OT"/>
    <s v="Oncology"/>
    <x v="0"/>
    <n v="1000"/>
    <n v="1232.33"/>
    <n v="2528.67"/>
    <n v="2313.67"/>
    <n v="2253.5300000000002"/>
    <n v="405.65"/>
    <n v="1467.19"/>
    <n v="2010.2"/>
    <n v="768.45"/>
    <n v="1408.8"/>
    <n v="1077.6099999999999"/>
    <n v="2186.86"/>
    <n v="1026.94"/>
    <n v="18679.900000000001"/>
    <n v="1159.92"/>
  </r>
  <r>
    <x v="5"/>
    <x v="5"/>
    <x v="0"/>
    <s v="5160106"/>
    <n v="700026"/>
    <s v="Salaries-RN-Other"/>
    <s v="Oncology"/>
    <x v="0"/>
    <n v="2000"/>
    <n v="298.5"/>
    <n v="490.66"/>
    <n v="105.52"/>
    <n v="349.92"/>
    <n v="578.75"/>
    <n v="280.07"/>
    <n v="514.20000000000005"/>
    <n v="291.02999999999997"/>
    <n v="137.25"/>
    <n v="266.49"/>
    <n v="260.37"/>
    <n v="308.88"/>
    <n v="3881.6399999999994"/>
    <n v="-48.509999999999991"/>
  </r>
  <r>
    <x v="5"/>
    <x v="5"/>
    <x v="0"/>
    <s v="5160106"/>
    <n v="700032"/>
    <s v="Salaries-Other Pat Care Providers-Productive"/>
    <s v="Oncology"/>
    <x v="0"/>
    <m/>
    <n v="4185.33"/>
    <n v="1888.85"/>
    <n v="3924.62"/>
    <n v="5369.04"/>
    <n v="4852.8"/>
    <n v="4412.9799999999996"/>
    <n v="2918.45"/>
    <n v="3175.62"/>
    <n v="3965.63"/>
    <n v="4023.86"/>
    <n v="4370.3500000000004"/>
    <n v="2995.37"/>
    <n v="46082.9"/>
    <n v="1374.9800000000005"/>
  </r>
  <r>
    <x v="5"/>
    <x v="5"/>
    <x v="0"/>
    <s v="5160106"/>
    <n v="700032"/>
    <s v="Salaries-Other Pat Care Providers-OT"/>
    <s v="Oncology"/>
    <x v="0"/>
    <n v="1000"/>
    <n v="66.12"/>
    <n v="53.04"/>
    <n v="368.27"/>
    <n v="61.66"/>
    <n v="48.55"/>
    <n v="58.66"/>
    <n v="65.5"/>
    <n v="285.60000000000002"/>
    <n v="45.92"/>
    <n v="56.72"/>
    <n v="81.709999999999994"/>
    <n v="30.4"/>
    <n v="1222.1500000000001"/>
    <n v="51.309999999999995"/>
  </r>
  <r>
    <x v="5"/>
    <x v="5"/>
    <x v="0"/>
    <s v="5160106"/>
    <n v="700032"/>
    <s v="Salaries-Other Pat Care Providers-Other"/>
    <s v="Oncology"/>
    <x v="0"/>
    <n v="2000"/>
    <n v="0"/>
    <n v="0"/>
    <n v="39.5"/>
    <n v="0"/>
    <n v="0"/>
    <n v="0"/>
    <n v="0"/>
    <n v="0"/>
    <n v="0"/>
    <n v="0"/>
    <n v="0"/>
    <n v="0"/>
    <n v="39.5"/>
    <n v="0"/>
  </r>
  <r>
    <x v="5"/>
    <x v="5"/>
    <x v="0"/>
    <s v="5160106"/>
    <n v="700066"/>
    <s v="Salaries-RN-Non-productive"/>
    <s v="Oncology"/>
    <x v="0"/>
    <m/>
    <n v="5673.65"/>
    <n v="9310.41"/>
    <n v="3500.62"/>
    <n v="7083.33"/>
    <n v="-1610.27"/>
    <n v="5047.07"/>
    <n v="3334.71"/>
    <n v="1908.63"/>
    <n v="680.91"/>
    <n v="2935.58"/>
    <n v="4140.18"/>
    <n v="4615.51"/>
    <n v="46620.330000000009"/>
    <n v="-475.32999999999993"/>
  </r>
  <r>
    <x v="5"/>
    <x v="5"/>
    <x v="0"/>
    <s v="5160106"/>
    <n v="700066"/>
    <s v="Salaries-RN-NonProd-Other"/>
    <s v="Oncology"/>
    <x v="0"/>
    <n v="2000"/>
    <n v="103.98"/>
    <n v="102.86"/>
    <n v="-13.71"/>
    <n v="140"/>
    <n v="56"/>
    <n v="36"/>
    <n v="199.18"/>
    <n v="-52.4"/>
    <n v="0"/>
    <n v="32"/>
    <n v="46.28"/>
    <n v="3.43"/>
    <n v="653.61999999999989"/>
    <n v="42.85"/>
  </r>
  <r>
    <x v="5"/>
    <x v="5"/>
    <x v="0"/>
    <s v="5160106"/>
    <n v="700072"/>
    <s v="Salaries-Other Pat Care Providers-Non-productive"/>
    <s v="Oncology"/>
    <x v="0"/>
    <m/>
    <n v="757.64"/>
    <n v="2208.21"/>
    <n v="-86.3"/>
    <n v="594.77"/>
    <n v="-55.72"/>
    <n v="1567.7"/>
    <n v="556.47"/>
    <n v="403.32"/>
    <n v="561.74"/>
    <n v="309.69"/>
    <n v="365.52"/>
    <n v="1720.34"/>
    <n v="8903.3799999999992"/>
    <n v="-1354.82"/>
  </r>
  <r>
    <x v="5"/>
    <x v="5"/>
    <x v="0"/>
    <s v="5160106"/>
    <n v="700072"/>
    <s v="Salaries-Other Pat Care Providers-NonProd-Other"/>
    <s v="Oncology"/>
    <x v="0"/>
    <n v="2000"/>
    <n v="0"/>
    <n v="0"/>
    <n v="0"/>
    <n v="0"/>
    <n v="375.96"/>
    <n v="751.92"/>
    <n v="0"/>
    <n v="-1127.8800000000001"/>
    <n v="0"/>
    <n v="12.61"/>
    <n v="0"/>
    <n v="0"/>
    <n v="12.609999999999772"/>
    <n v="0"/>
  </r>
  <r>
    <x v="5"/>
    <x v="5"/>
    <x v="0"/>
    <s v="5160106"/>
    <n v="700084"/>
    <s v="Accrued PTO"/>
    <s v="Oncology"/>
    <x v="0"/>
    <m/>
    <n v="-1066.55"/>
    <n v="-3648.14"/>
    <n v="-3662.58"/>
    <n v="413.8"/>
    <n v="2988.24"/>
    <n v="-746.16"/>
    <n v="1358.24"/>
    <n v="-757.2"/>
    <n v="2641.29"/>
    <n v="178.19"/>
    <n v="762.56"/>
    <n v="-3255.45"/>
    <n v="-4793.76"/>
    <n v="4018.0099999999998"/>
  </r>
  <r>
    <x v="10"/>
    <x v="5"/>
    <x v="0"/>
    <s v="5160106"/>
    <n v="710060"/>
    <s v="Contract Labor-Other"/>
    <s v="Oncology"/>
    <x v="0"/>
    <m/>
    <n v="7718"/>
    <n v="13243"/>
    <n v="5202"/>
    <n v="13515"/>
    <n v="10653.9"/>
    <n v="-45.9"/>
    <n v="0"/>
    <n v="0"/>
    <n v="0"/>
    <n v="0"/>
    <n v="0"/>
    <n v="0"/>
    <n v="50286"/>
    <n v="0"/>
  </r>
  <r>
    <x v="10"/>
    <x v="5"/>
    <x v="0"/>
    <s v="5160106"/>
    <n v="710060"/>
    <s v="Contract Labor-Overtime"/>
    <s v="Oncology"/>
    <x v="0"/>
    <n v="5100"/>
    <n v="0"/>
    <n v="527.85"/>
    <n v="22.95"/>
    <n v="780.3"/>
    <n v="0"/>
    <n v="45.9"/>
    <n v="0"/>
    <n v="0"/>
    <n v="0"/>
    <n v="0"/>
    <n v="0"/>
    <n v="0"/>
    <n v="1377"/>
    <n v="0"/>
  </r>
  <r>
    <x v="6"/>
    <x v="5"/>
    <x v="0"/>
    <s v="5160106"/>
    <n v="713010"/>
    <s v="Benefits-FICA/Medicare"/>
    <s v="Oncology"/>
    <x v="0"/>
    <m/>
    <n v="2813.87"/>
    <n v="2825.81"/>
    <n v="2464.9899999999998"/>
    <n v="3255.56"/>
    <n v="2341.3000000000002"/>
    <n v="2428.31"/>
    <n v="2367.2199999999998"/>
    <n v="1987.62"/>
    <n v="2230.46"/>
    <n v="2599.46"/>
    <n v="2537.0300000000002"/>
    <n v="2344.96"/>
    <n v="30196.589999999993"/>
    <n v="192.07000000000016"/>
  </r>
  <r>
    <x v="6"/>
    <x v="5"/>
    <x v="0"/>
    <s v="5160106"/>
    <n v="713090"/>
    <s v="Benefits-Allocated Amounts"/>
    <s v="Oncology"/>
    <x v="0"/>
    <m/>
    <n v="7109.23"/>
    <n v="6894.78"/>
    <n v="6071.17"/>
    <n v="8136.75"/>
    <n v="6298.82"/>
    <n v="6198.41"/>
    <n v="5942.19"/>
    <n v="5316.3"/>
    <n v="5644.4"/>
    <n v="6988.96"/>
    <n v="6603.34"/>
    <n v="5906.18"/>
    <n v="77110.53"/>
    <n v="697.15999999999985"/>
  </r>
  <r>
    <x v="7"/>
    <x v="5"/>
    <x v="0"/>
    <s v="5160106"/>
    <n v="718050"/>
    <s v="Contract Svcs-Other"/>
    <s v="Oncology"/>
    <x v="0"/>
    <m/>
    <n v="0"/>
    <n v="150"/>
    <n v="0"/>
    <n v="0"/>
    <n v="0"/>
    <n v="0"/>
    <n v="0"/>
    <n v="0"/>
    <n v="120"/>
    <n v="13200"/>
    <n v="0"/>
    <n v="0"/>
    <n v="13470"/>
    <n v="0"/>
  </r>
  <r>
    <x v="7"/>
    <x v="5"/>
    <x v="0"/>
    <s v="5160106"/>
    <n v="718050"/>
    <s v="Document Shredding/Storage"/>
    <s v="Oncology"/>
    <x v="0"/>
    <n v="1012"/>
    <n v="13.95"/>
    <n v="12.48"/>
    <n v="13.76"/>
    <n v="13.61"/>
    <n v="86.33"/>
    <n v="37.270000000000003"/>
    <n v="36.89"/>
    <n v="-30.07"/>
    <n v="16.149999999999999"/>
    <n v="11.1"/>
    <n v="14.45"/>
    <n v="32.67"/>
    <n v="258.59000000000003"/>
    <n v="-18.220000000000002"/>
  </r>
  <r>
    <x v="7"/>
    <x v="5"/>
    <x v="0"/>
    <s v="5160106"/>
    <n v="718050"/>
    <s v="Miscellaneous Purchased Svcs"/>
    <s v="Oncology"/>
    <x v="0"/>
    <n v="1020"/>
    <n v="6256.57"/>
    <n v="4797.26"/>
    <n v="4820.8599999999997"/>
    <n v="4797.26"/>
    <n v="5785.56"/>
    <n v="5038.66"/>
    <n v="19860.86"/>
    <n v="4797.26"/>
    <n v="4797.26"/>
    <n v="800"/>
    <n v="-6080.74"/>
    <n v="0"/>
    <n v="55670.810000000005"/>
    <n v="-6080.74"/>
  </r>
  <r>
    <x v="7"/>
    <x v="5"/>
    <x v="0"/>
    <s v="5160106"/>
    <n v="718050"/>
    <s v="Translation Services"/>
    <s v="Oncology"/>
    <x v="0"/>
    <n v="1025"/>
    <n v="321.20999999999998"/>
    <n v="134"/>
    <n v="421.66"/>
    <n v="677.15"/>
    <n v="419.33"/>
    <n v="475.5"/>
    <n v="382.75"/>
    <n v="262"/>
    <n v="594.88"/>
    <n v="0.79"/>
    <n v="676.93"/>
    <n v="194.34"/>
    <n v="4560.54"/>
    <n v="482.58999999999992"/>
  </r>
  <r>
    <x v="7"/>
    <x v="5"/>
    <x v="0"/>
    <s v="5160106"/>
    <n v="718050"/>
    <s v="Contract Management--Linen"/>
    <s v="Oncology"/>
    <x v="0"/>
    <n v="1026"/>
    <n v="27.05"/>
    <n v="260.27999999999997"/>
    <n v="268.20999999999998"/>
    <n v="148.80000000000001"/>
    <n v="233.44"/>
    <n v="259.02"/>
    <n v="149.36000000000001"/>
    <n v="276.18"/>
    <n v="311.93"/>
    <n v="450.96"/>
    <n v="316.58"/>
    <n v="333.84"/>
    <n v="3035.65"/>
    <n v="-17.259999999999991"/>
  </r>
  <r>
    <x v="7"/>
    <x v="5"/>
    <x v="0"/>
    <s v="5160106"/>
    <n v="718050"/>
    <s v="Purchased Srvcs--Medical Waste"/>
    <s v="Oncology"/>
    <x v="0"/>
    <n v="1027"/>
    <n v="0"/>
    <n v="0"/>
    <n v="246.51"/>
    <n v="0"/>
    <n v="0"/>
    <n v="0"/>
    <n v="41.86"/>
    <n v="144.5"/>
    <n v="0"/>
    <n v="0"/>
    <n v="55.66"/>
    <n v="116.47"/>
    <n v="605"/>
    <n v="-60.81"/>
  </r>
  <r>
    <x v="7"/>
    <x v="5"/>
    <x v="0"/>
    <s v="5160106"/>
    <n v="718091"/>
    <s v="Contract Services-Intracompany Allocation"/>
    <s v="Oncology"/>
    <x v="0"/>
    <m/>
    <n v="7651.99"/>
    <n v="9669.5400000000009"/>
    <n v="7702.09"/>
    <n v="9670.56"/>
    <n v="8193.09"/>
    <n v="8593.2900000000009"/>
    <n v="8928.2999999999993"/>
    <n v="8366.34"/>
    <n v="9071.51"/>
    <n v="9354.42"/>
    <n v="9723.58"/>
    <n v="8142.99"/>
    <n v="105067.7"/>
    <n v="1580.5900000000001"/>
  </r>
  <r>
    <x v="11"/>
    <x v="5"/>
    <x v="0"/>
    <s v="5160106"/>
    <n v="721010"/>
    <s v="Supplies-Medical - Billable"/>
    <s v="Oncology"/>
    <x v="0"/>
    <m/>
    <n v="761.58"/>
    <n v="915.36"/>
    <n v="880.29"/>
    <n v="1008.86"/>
    <n v="794.89"/>
    <n v="973.28"/>
    <n v="-466.57"/>
    <n v="829.98"/>
    <n v="1163.8499999999999"/>
    <n v="1432.24"/>
    <n v="1549.1"/>
    <n v="1398.88"/>
    <n v="11241.740000000002"/>
    <n v="150.2199999999998"/>
  </r>
  <r>
    <x v="11"/>
    <x v="5"/>
    <x v="0"/>
    <s v="5160106"/>
    <n v="721010"/>
    <s v="Patient Monitoring"/>
    <s v="Oncology"/>
    <x v="0"/>
    <n v="1000"/>
    <n v="0"/>
    <n v="0"/>
    <n v="0"/>
    <n v="0"/>
    <n v="18.899999999999999"/>
    <n v="0"/>
    <n v="37.799999999999997"/>
    <n v="17.62"/>
    <n v="0"/>
    <n v="0"/>
    <n v="0"/>
    <n v="0"/>
    <n v="74.319999999999993"/>
    <n v="0"/>
  </r>
  <r>
    <x v="11"/>
    <x v="5"/>
    <x v="0"/>
    <s v="5160106"/>
    <n v="721020"/>
    <s v="Custom Packs"/>
    <s v="Oncology"/>
    <x v="0"/>
    <n v="1000"/>
    <n v="0"/>
    <n v="0"/>
    <n v="39.72"/>
    <n v="198.66"/>
    <n v="26.48"/>
    <n v="0"/>
    <n v="92.68"/>
    <n v="39.72"/>
    <n v="105.92"/>
    <n v="132.4"/>
    <n v="238.32"/>
    <n v="264.8"/>
    <n v="1138.7"/>
    <n v="-26.480000000000018"/>
  </r>
  <r>
    <x v="11"/>
    <x v="5"/>
    <x v="0"/>
    <s v="5160106"/>
    <n v="721220"/>
    <s v="Supplies-Medical Gases - Billable"/>
    <s v="Oncology"/>
    <x v="0"/>
    <m/>
    <n v="0"/>
    <n v="848.45"/>
    <n v="302.27999999999997"/>
    <n v="172.28"/>
    <n v="0"/>
    <n v="0"/>
    <n v="0"/>
    <n v="147"/>
    <n v="194.26"/>
    <n v="194.26"/>
    <n v="0"/>
    <n v="1031.68"/>
    <n v="2890.21"/>
    <n v="-1031.68"/>
  </r>
  <r>
    <x v="11"/>
    <x v="5"/>
    <x v="0"/>
    <s v="5160106"/>
    <n v="721240"/>
    <s v="Supplies-IV Solutions/Supplies - Billable"/>
    <s v="Oncology"/>
    <x v="0"/>
    <m/>
    <n v="2019.48"/>
    <n v="2103.67"/>
    <n v="1911.68"/>
    <n v="2519.0500000000002"/>
    <n v="1996.33"/>
    <n v="1915.24"/>
    <n v="2049.08"/>
    <n v="1838.73"/>
    <n v="2421.17"/>
    <n v="2512.69"/>
    <n v="2548.5500000000002"/>
    <n v="2227.12"/>
    <n v="26062.789999999997"/>
    <n v="321.43000000000029"/>
  </r>
  <r>
    <x v="11"/>
    <x v="5"/>
    <x v="0"/>
    <s v="5160106"/>
    <n v="721410"/>
    <s v="Supplies-Medical - Nonbillable"/>
    <s v="Oncology"/>
    <x v="0"/>
    <m/>
    <n v="1784.67"/>
    <n v="1169.49"/>
    <n v="1842.12"/>
    <n v="1247.19"/>
    <n v="874.89"/>
    <n v="1290.49"/>
    <n v="1533.91"/>
    <n v="1269.07"/>
    <n v="1091.1300000000001"/>
    <n v="1846.95"/>
    <n v="1542.34"/>
    <n v="1385.71"/>
    <n v="16877.96"/>
    <n v="156.62999999999988"/>
  </r>
  <r>
    <x v="11"/>
    <x v="5"/>
    <x v="0"/>
    <s v="5160106"/>
    <n v="721420"/>
    <s v="Supplies-Surgical Nonbillable"/>
    <s v="Oncology"/>
    <x v="0"/>
    <m/>
    <n v="18.62"/>
    <n v="0"/>
    <n v="5.72"/>
    <n v="0"/>
    <n v="21.65"/>
    <n v="0"/>
    <n v="0"/>
    <n v="18.62"/>
    <n v="0.59"/>
    <n v="0"/>
    <n v="0.59"/>
    <n v="0"/>
    <n v="65.790000000000006"/>
    <n v="0.59"/>
  </r>
  <r>
    <x v="11"/>
    <x v="5"/>
    <x v="0"/>
    <s v="5160106"/>
    <n v="721420"/>
    <s v="Tubes Drains &amp; Related Supplies"/>
    <s v="Oncology"/>
    <x v="0"/>
    <n v="1008"/>
    <n v="0"/>
    <n v="0"/>
    <n v="0"/>
    <n v="0"/>
    <n v="0"/>
    <n v="0"/>
    <n v="0"/>
    <n v="5.39"/>
    <n v="0"/>
    <n v="0"/>
    <n v="0"/>
    <n v="0"/>
    <n v="5.39"/>
    <n v="0"/>
  </r>
  <r>
    <x v="11"/>
    <x v="5"/>
    <x v="0"/>
    <s v="5160106"/>
    <n v="721610"/>
    <s v="Supplies-Anesthesia - Nonbillable"/>
    <s v="Oncology"/>
    <x v="0"/>
    <m/>
    <n v="2.88"/>
    <n v="6.16"/>
    <n v="0.48"/>
    <n v="2.84"/>
    <n v="1.44"/>
    <n v="0"/>
    <n v="0"/>
    <n v="1.06"/>
    <n v="2.13"/>
    <n v="5.32"/>
    <n v="4.25"/>
    <n v="3.64"/>
    <n v="30.2"/>
    <n v="0.60999999999999988"/>
  </r>
  <r>
    <x v="11"/>
    <x v="5"/>
    <x v="0"/>
    <s v="5160106"/>
    <n v="721640"/>
    <s v="Supplies-IV Solutions/Supplies - Nonbillable"/>
    <s v="Oncology"/>
    <x v="0"/>
    <m/>
    <n v="2021.43"/>
    <n v="2075.37"/>
    <n v="2222.0500000000002"/>
    <n v="2165.46"/>
    <n v="619.75"/>
    <n v="1584.3"/>
    <n v="2006.55"/>
    <n v="1467.67"/>
    <n v="819.28"/>
    <n v="4375.49"/>
    <n v="2669.18"/>
    <n v="1957.58"/>
    <n v="23984.11"/>
    <n v="711.59999999999991"/>
  </r>
  <r>
    <x v="11"/>
    <x v="5"/>
    <x v="0"/>
    <s v="5160106"/>
    <n v="721650"/>
    <s v="Supplies-Pharmacy Drugs - Nonbillable"/>
    <s v="Oncology"/>
    <x v="0"/>
    <m/>
    <n v="0"/>
    <n v="0"/>
    <n v="0.48"/>
    <n v="0"/>
    <n v="0"/>
    <n v="0"/>
    <n v="0"/>
    <n v="0"/>
    <n v="1.49"/>
    <n v="0"/>
    <n v="2.4500000000000002"/>
    <n v="0"/>
    <n v="4.42"/>
    <n v="2.4500000000000002"/>
  </r>
  <r>
    <x v="11"/>
    <x v="5"/>
    <x v="0"/>
    <s v="5160106"/>
    <n v="721710"/>
    <s v="Supplies-Laboratory - Nonbillable"/>
    <s v="Oncology"/>
    <x v="0"/>
    <m/>
    <n v="403.69"/>
    <n v="462.43"/>
    <n v="266.54000000000002"/>
    <n v="643.55999999999995"/>
    <n v="373.76"/>
    <n v="343.74"/>
    <n v="448.2"/>
    <n v="331.54"/>
    <n v="493.89"/>
    <n v="455"/>
    <n v="372.01"/>
    <n v="539.92999999999995"/>
    <n v="5134.2900000000009"/>
    <n v="-167.91999999999996"/>
  </r>
  <r>
    <x v="11"/>
    <x v="5"/>
    <x v="0"/>
    <s v="5160106"/>
    <n v="721810"/>
    <s v="Supplies-Dietary/Cafeteria"/>
    <s v="Oncology"/>
    <x v="0"/>
    <m/>
    <n v="858.46"/>
    <n v="1003.02"/>
    <n v="938.38"/>
    <n v="1504.97"/>
    <n v="1651.5"/>
    <n v="817.79"/>
    <n v="2783.74"/>
    <n v="3204.15"/>
    <n v="5264.99"/>
    <n v="2882.8"/>
    <n v="3417.52"/>
    <n v="2986.75"/>
    <n v="27314.07"/>
    <n v="430.77"/>
  </r>
  <r>
    <x v="11"/>
    <x v="5"/>
    <x v="0"/>
    <s v="5160106"/>
    <n v="721830"/>
    <s v="Supplies-Office"/>
    <s v="Oncology"/>
    <x v="0"/>
    <m/>
    <n v="309.77"/>
    <n v="1022.54"/>
    <n v="123.76"/>
    <n v="305.33999999999997"/>
    <n v="0"/>
    <n v="117.23"/>
    <n v="0"/>
    <n v="0"/>
    <n v="0"/>
    <n v="238.71"/>
    <n v="114.87"/>
    <n v="0"/>
    <n v="2232.2199999999998"/>
    <n v="114.87"/>
  </r>
  <r>
    <x v="11"/>
    <x v="5"/>
    <x v="0"/>
    <s v="5160106"/>
    <n v="721870"/>
    <s v="Supplies-Environmental Services"/>
    <s v="Oncology"/>
    <x v="0"/>
    <m/>
    <n v="62.59"/>
    <n v="22.85"/>
    <n v="57.4"/>
    <n v="93.05"/>
    <n v="10.050000000000001"/>
    <n v="75.39"/>
    <n v="40.51"/>
    <n v="12.48"/>
    <n v="109.98"/>
    <n v="66.400000000000006"/>
    <n v="81.63"/>
    <n v="126.01"/>
    <n v="758.34"/>
    <n v="-44.38000000000001"/>
  </r>
  <r>
    <x v="11"/>
    <x v="5"/>
    <x v="0"/>
    <s v="5160106"/>
    <n v="721880"/>
    <s v="Supplies-Linen"/>
    <s v="Oncology"/>
    <x v="0"/>
    <m/>
    <n v="47.86"/>
    <n v="0"/>
    <n v="23.93"/>
    <n v="63.48"/>
    <n v="0"/>
    <n v="0"/>
    <n v="18.36"/>
    <n v="0"/>
    <n v="0"/>
    <n v="0"/>
    <n v="63.48"/>
    <n v="18.36"/>
    <n v="235.46999999999997"/>
    <n v="45.12"/>
  </r>
  <r>
    <x v="11"/>
    <x v="5"/>
    <x v="0"/>
    <s v="5160106"/>
    <n v="721910"/>
    <s v="Supplies-Small Equipment"/>
    <s v="Oncology"/>
    <x v="0"/>
    <m/>
    <n v="6.14"/>
    <n v="4.8"/>
    <n v="8.1199999999999992"/>
    <n v="176.18"/>
    <n v="91.2"/>
    <n v="13.86"/>
    <n v="5.28"/>
    <n v="3.12"/>
    <n v="6.12"/>
    <n v="54.86"/>
    <n v="7.8"/>
    <n v="6.6"/>
    <n v="384.08000000000004"/>
    <n v="1.2000000000000002"/>
  </r>
  <r>
    <x v="11"/>
    <x v="5"/>
    <x v="0"/>
    <s v="5160106"/>
    <n v="721980"/>
    <s v="Supplies-Other"/>
    <s v="Oncology"/>
    <x v="0"/>
    <m/>
    <n v="107.16"/>
    <n v="123.46"/>
    <n v="-71.41"/>
    <n v="-124.01"/>
    <n v="0"/>
    <n v="0"/>
    <n v="0"/>
    <n v="0"/>
    <n v="136.5"/>
    <n v="48.73"/>
    <n v="182.3"/>
    <n v="0"/>
    <n v="402.73"/>
    <n v="182.3"/>
  </r>
  <r>
    <x v="11"/>
    <x v="5"/>
    <x v="0"/>
    <s v="5160106"/>
    <n v="722000"/>
    <s v="Supplies-Freight Expense"/>
    <s v="Oncology"/>
    <x v="0"/>
    <m/>
    <n v="0"/>
    <n v="0"/>
    <n v="0"/>
    <n v="8.2200000000000006"/>
    <n v="0"/>
    <n v="0"/>
    <n v="0"/>
    <n v="0"/>
    <n v="0"/>
    <n v="0"/>
    <n v="0"/>
    <n v="33.6"/>
    <n v="41.82"/>
    <n v="-33.6"/>
  </r>
  <r>
    <x v="12"/>
    <x v="5"/>
    <x v="0"/>
    <s v="5160106"/>
    <n v="730010"/>
    <s v="Rental and Leases-Building (DO NOT USE)"/>
    <s v="Oncology"/>
    <x v="0"/>
    <m/>
    <n v="4959.84"/>
    <n v="4959.84"/>
    <n v="4959.84"/>
    <n v="4959.84"/>
    <n v="4959.84"/>
    <n v="0"/>
    <n v="0"/>
    <n v="0"/>
    <n v="0"/>
    <n v="-24799.200000000001"/>
    <n v="0"/>
    <n v="0"/>
    <n v="0"/>
    <n v="0"/>
  </r>
  <r>
    <x v="12"/>
    <x v="5"/>
    <x v="0"/>
    <s v="5160106"/>
    <n v="730010"/>
    <s v="Rental-Common Area Maint (DO NOT USE)"/>
    <s v="Oncology"/>
    <x v="0"/>
    <n v="2200"/>
    <n v="0"/>
    <n v="0"/>
    <n v="0"/>
    <n v="0"/>
    <n v="0"/>
    <n v="4959.84"/>
    <n v="4959.84"/>
    <n v="4959.84"/>
    <n v="4959.84"/>
    <n v="8525.2900000000009"/>
    <n v="4959.84"/>
    <n v="4959.84"/>
    <n v="38284.33"/>
    <n v="0"/>
  </r>
  <r>
    <x v="12"/>
    <x v="5"/>
    <x v="0"/>
    <s v="5160106"/>
    <n v="730020"/>
    <s v="Rental and Leases-Copier Usage Fees (DO NOT USE)"/>
    <s v="Oncology"/>
    <x v="0"/>
    <n v="5100"/>
    <n v="649.75"/>
    <n v="662.97"/>
    <n v="656.36"/>
    <n v="656.36"/>
    <n v="656.36"/>
    <n v="656.36"/>
    <n v="-1038.0999999999999"/>
    <n v="395.16"/>
    <n v="394.33"/>
    <n v="1500.33"/>
    <n v="395.16"/>
    <n v="455.76"/>
    <n v="6040.8"/>
    <n v="-60.599999999999966"/>
  </r>
  <r>
    <x v="15"/>
    <x v="5"/>
    <x v="0"/>
    <s v="5160106"/>
    <n v="731070"/>
    <s v="Cable TV"/>
    <s v="Oncology"/>
    <x v="0"/>
    <m/>
    <n v="408.03"/>
    <n v="408.03"/>
    <n v="408.03"/>
    <n v="407.98"/>
    <n v="407.98"/>
    <n v="407.98"/>
    <n v="407.98"/>
    <n v="407.98"/>
    <n v="407.98"/>
    <n v="407.98"/>
    <n v="408.58"/>
    <n v="408.58"/>
    <n v="4897.1099999999997"/>
    <n v="0"/>
  </r>
  <r>
    <x v="16"/>
    <x v="5"/>
    <x v="0"/>
    <s v="5160106"/>
    <n v="732030"/>
    <s v="Repairs---Other"/>
    <s v="Oncology"/>
    <x v="0"/>
    <m/>
    <n v="0"/>
    <n v="1000"/>
    <n v="0"/>
    <n v="33.06"/>
    <n v="0"/>
    <n v="600.86"/>
    <n v="440"/>
    <n v="1450.35"/>
    <n v="1503.32"/>
    <n v="657.86"/>
    <n v="3235.82"/>
    <n v="1042.8"/>
    <n v="9964.07"/>
    <n v="2193.0200000000004"/>
  </r>
  <r>
    <x v="13"/>
    <x v="5"/>
    <x v="0"/>
    <s v="5160106"/>
    <n v="735040"/>
    <s v="Depreciation-Building Improvements"/>
    <s v="Oncology"/>
    <x v="0"/>
    <m/>
    <n v="85.14"/>
    <n v="85.12"/>
    <n v="85.15"/>
    <n v="85.12"/>
    <n v="85.15"/>
    <n v="85.12"/>
    <n v="85.16"/>
    <n v="85.12"/>
    <n v="85.17"/>
    <n v="85.08"/>
    <n v="85.19"/>
    <n v="85.08"/>
    <n v="1021.6"/>
    <n v="0.10999999999999943"/>
  </r>
  <r>
    <x v="13"/>
    <x v="5"/>
    <x v="0"/>
    <s v="5160106"/>
    <n v="735060"/>
    <s v="Depreciation-Fixed Equipment"/>
    <s v="Oncology"/>
    <x v="0"/>
    <m/>
    <n v="1.98"/>
    <n v="1.98"/>
    <n v="1.98"/>
    <n v="1.98"/>
    <n v="1.98"/>
    <n v="1.98"/>
    <n v="1.98"/>
    <n v="1.98"/>
    <n v="1.99"/>
    <n v="1.98"/>
    <n v="1.99"/>
    <n v="1.98"/>
    <n v="23.78"/>
    <n v="1.0000000000000009E-2"/>
  </r>
  <r>
    <x v="13"/>
    <x v="5"/>
    <x v="0"/>
    <s v="5160106"/>
    <n v="735070"/>
    <s v="Depreciation-Movable Equipment"/>
    <s v="Oncology"/>
    <x v="0"/>
    <m/>
    <n v="1560.39"/>
    <n v="1559.95"/>
    <n v="1560.66"/>
    <n v="1559.76"/>
    <n v="1560.72"/>
    <n v="1559.75"/>
    <n v="1560.99"/>
    <n v="1559.64"/>
    <n v="1561.66"/>
    <n v="1559.12"/>
    <n v="1562.56"/>
    <n v="1558.61"/>
    <n v="18723.810000000001"/>
    <n v="3.9500000000000455"/>
  </r>
  <r>
    <x v="0"/>
    <x v="5"/>
    <x v="0"/>
    <s v="5160106"/>
    <n v="740020"/>
    <s v="Education-Registration Fees"/>
    <s v="Oncology"/>
    <x v="0"/>
    <m/>
    <n v="0"/>
    <n v="0"/>
    <n v="139"/>
    <n v="0"/>
    <n v="225"/>
    <n v="0"/>
    <n v="0"/>
    <n v="0"/>
    <n v="0"/>
    <n v="0"/>
    <n v="0"/>
    <n v="0"/>
    <n v="364"/>
    <n v="0"/>
  </r>
  <r>
    <x v="0"/>
    <x v="5"/>
    <x v="0"/>
    <s v="5160106"/>
    <n v="743010"/>
    <s v="Dues--Institutional"/>
    <s v="Oncology"/>
    <x v="0"/>
    <m/>
    <n v="0"/>
    <n v="3333"/>
    <n v="-3333"/>
    <n v="0"/>
    <n v="0"/>
    <n v="0"/>
    <n v="0"/>
    <n v="0"/>
    <n v="0"/>
    <n v="0"/>
    <n v="0"/>
    <n v="0"/>
    <n v="0"/>
    <n v="0"/>
  </r>
  <r>
    <x v="0"/>
    <x v="5"/>
    <x v="0"/>
    <s v="5160106"/>
    <n v="743030"/>
    <s v="Subscriptions--Institutional"/>
    <s v="Oncology"/>
    <x v="0"/>
    <m/>
    <n v="5043.96"/>
    <n v="0"/>
    <n v="0"/>
    <n v="0"/>
    <n v="0"/>
    <n v="0"/>
    <n v="0"/>
    <n v="0"/>
    <n v="0"/>
    <n v="0"/>
    <n v="0"/>
    <n v="0"/>
    <n v="5043.96"/>
    <n v="0"/>
  </r>
  <r>
    <x v="0"/>
    <x v="5"/>
    <x v="0"/>
    <s v="5160106"/>
    <n v="749510"/>
    <s v="Miscellaneous Expenses"/>
    <s v="Oncology"/>
    <x v="0"/>
    <m/>
    <n v="0"/>
    <n v="16.45"/>
    <n v="0"/>
    <n v="32.979999999999997"/>
    <n v="68.03"/>
    <n v="16.45"/>
    <n v="-15.39"/>
    <n v="-46.56"/>
    <n v="2.5"/>
    <n v="-49.38"/>
    <n v="-32.9"/>
    <n v="401.76"/>
    <n v="393.94"/>
    <n v="-434.65999999999997"/>
  </r>
  <r>
    <x v="0"/>
    <x v="5"/>
    <x v="0"/>
    <s v="5160106"/>
    <n v="749530"/>
    <s v="Mileage"/>
    <s v="Oncology"/>
    <x v="0"/>
    <n v="1001"/>
    <n v="0"/>
    <n v="0"/>
    <n v="0"/>
    <n v="0"/>
    <n v="28.89"/>
    <n v="0"/>
    <n v="0"/>
    <n v="0"/>
    <n v="0"/>
    <n v="0"/>
    <n v="0"/>
    <n v="0"/>
    <n v="28.89"/>
    <n v="0"/>
  </r>
  <r>
    <x v="14"/>
    <x v="0"/>
    <x v="0"/>
    <s v="5161102"/>
    <n v="600026"/>
    <s v="POB Rental"/>
    <s v="Franciscan Oncology-BonneyLake"/>
    <x v="0"/>
    <n v="1001"/>
    <n v="0"/>
    <n v="0"/>
    <n v="0"/>
    <n v="0"/>
    <n v="0"/>
    <n v="0"/>
    <n v="0"/>
    <n v="-12744.41"/>
    <n v="-12998.84"/>
    <n v="-12998.84"/>
    <n v="-12998.84"/>
    <n v="-12998.84"/>
    <n v="-64739.76999999999"/>
    <n v="0"/>
  </r>
  <r>
    <x v="14"/>
    <x v="0"/>
    <x v="0"/>
    <s v="5161102"/>
    <n v="600026"/>
    <s v="Other Rental"/>
    <s v="Franciscan Oncology-BonneyLake"/>
    <x v="0"/>
    <n v="1002"/>
    <n v="0"/>
    <n v="0"/>
    <n v="0"/>
    <n v="0"/>
    <n v="0"/>
    <n v="0"/>
    <n v="0"/>
    <n v="-6506.45"/>
    <n v="-6506.45"/>
    <n v="-6506.45"/>
    <n v="-6506.45"/>
    <n v="-6506.45"/>
    <n v="-32532.25"/>
    <n v="0"/>
  </r>
  <r>
    <x v="12"/>
    <x v="0"/>
    <x v="0"/>
    <s v="5161102"/>
    <n v="730010"/>
    <s v="Rental and Leases-Building (DO NOT USE)"/>
    <s v="Franciscan Oncology-BonneyLake"/>
    <x v="0"/>
    <m/>
    <n v="1427.93"/>
    <n v="1427.93"/>
    <n v="1427.93"/>
    <n v="1427.93"/>
    <n v="1427.93"/>
    <n v="-27533.31"/>
    <n v="-3348.11"/>
    <n v="15902.75"/>
    <n v="15902.75"/>
    <n v="14432.68"/>
    <n v="15849.15"/>
    <n v="0"/>
    <n v="38345.56"/>
    <n v="15849.15"/>
  </r>
  <r>
    <x v="12"/>
    <x v="0"/>
    <x v="0"/>
    <s v="5161102"/>
    <n v="730010"/>
    <s v="Rental-Common Area Maint (DO NOT USE)"/>
    <s v="Franciscan Oncology-BonneyLake"/>
    <x v="0"/>
    <n v="2200"/>
    <n v="0"/>
    <n v="0"/>
    <n v="0"/>
    <n v="0"/>
    <n v="0"/>
    <n v="28961.24"/>
    <n v="4776.04"/>
    <n v="4776.04"/>
    <n v="4776.04"/>
    <n v="6563.57"/>
    <n v="4837.34"/>
    <n v="4776.04"/>
    <n v="59466.310000000005"/>
    <n v="61.300000000000182"/>
  </r>
  <r>
    <x v="12"/>
    <x v="0"/>
    <x v="0"/>
    <s v="5161102"/>
    <n v="730040"/>
    <s v="LT Lease-Real Estate"/>
    <s v="Franciscan Oncology-BonneyLake"/>
    <x v="0"/>
    <m/>
    <n v="0"/>
    <n v="0"/>
    <n v="0"/>
    <n v="0"/>
    <n v="0"/>
    <n v="0"/>
    <n v="0"/>
    <n v="0"/>
    <n v="0"/>
    <n v="0"/>
    <n v="0"/>
    <n v="15910.45"/>
    <n v="15910.45"/>
    <n v="-15910.45"/>
  </r>
  <r>
    <x v="15"/>
    <x v="0"/>
    <x v="0"/>
    <s v="5161102"/>
    <n v="731010"/>
    <s v="Natural Gas"/>
    <s v="Franciscan Oncology-BonneyLake"/>
    <x v="0"/>
    <m/>
    <n v="18.850000000000001"/>
    <n v="5.31"/>
    <n v="6.76"/>
    <n v="24.19"/>
    <n v="40.68"/>
    <n v="58.91"/>
    <n v="69"/>
    <n v="63.28"/>
    <n v="82.57"/>
    <n v="31.64"/>
    <n v="26.19"/>
    <n v="10.7"/>
    <n v="438.08"/>
    <n v="15.490000000000002"/>
  </r>
  <r>
    <x v="15"/>
    <x v="0"/>
    <x v="0"/>
    <s v="5161102"/>
    <n v="731020"/>
    <s v="Electricity"/>
    <s v="Franciscan Oncology-BonneyLake"/>
    <x v="0"/>
    <m/>
    <n v="361.26"/>
    <n v="437.66"/>
    <n v="406.44"/>
    <n v="339.55"/>
    <n v="352.96"/>
    <n v="390.24"/>
    <n v="379.38"/>
    <n v="387.94"/>
    <n v="421.47"/>
    <n v="363.05"/>
    <n v="353.81"/>
    <n v="363.63"/>
    <n v="4557.3900000000012"/>
    <n v="-9.8199999999999932"/>
  </r>
  <r>
    <x v="13"/>
    <x v="0"/>
    <x v="0"/>
    <s v="5161102"/>
    <n v="735050"/>
    <s v="Amortization-Leasehold Improvements"/>
    <s v="Franciscan Oncology-BonneyLake"/>
    <x v="0"/>
    <m/>
    <n v="7891.11"/>
    <n v="7891.1"/>
    <n v="7891.12"/>
    <n v="7891.08"/>
    <n v="7891.15"/>
    <n v="7891.08"/>
    <n v="7891.17"/>
    <n v="7891.06"/>
    <n v="7891.2"/>
    <n v="7891.04"/>
    <n v="7891.23"/>
    <n v="7891.04"/>
    <n v="94693.379999999976"/>
    <n v="0.18999999999959982"/>
  </r>
  <r>
    <x v="13"/>
    <x v="0"/>
    <x v="0"/>
    <s v="5161102"/>
    <n v="735070"/>
    <s v="Depreciation-Movable Equipment"/>
    <s v="Franciscan Oncology-BonneyLake"/>
    <x v="0"/>
    <m/>
    <n v="115.28"/>
    <n v="115.28"/>
    <n v="115.28"/>
    <n v="115.28"/>
    <n v="115.28"/>
    <n v="115.28"/>
    <n v="115.28"/>
    <n v="115.28"/>
    <n v="115.28"/>
    <n v="115.28"/>
    <n v="115.29"/>
    <n v="115.28"/>
    <n v="1383.37"/>
    <n v="1.0000000000005116E-2"/>
  </r>
  <r>
    <x v="18"/>
    <x v="6"/>
    <x v="0"/>
    <s v="5161107"/>
    <n v="400010"/>
    <s v="Acute I/P Svcs Rev--Medicare"/>
    <s v="Med Oncology Bremerton"/>
    <x v="0"/>
    <n v="1100"/>
    <n v="-5554.56"/>
    <n v="-1042.3800000000001"/>
    <n v="-9418.92"/>
    <n v="-14511.76"/>
    <n v="-11643.06"/>
    <n v="-4828.84"/>
    <n v="-3319.44"/>
    <n v="-5231.3599999999997"/>
    <n v="-705.71"/>
    <n v="-6360.25"/>
    <n v="-2935.35"/>
    <n v="-1779.65"/>
    <n v="-67331.28"/>
    <n v="-1155.6999999999998"/>
  </r>
  <r>
    <x v="18"/>
    <x v="6"/>
    <x v="0"/>
    <s v="5161107"/>
    <n v="400010"/>
    <s v="Acute I/P Svcs Rev--Medicaid"/>
    <s v="Med Oncology Bremerton"/>
    <x v="0"/>
    <n v="1200"/>
    <n v="0"/>
    <n v="0"/>
    <n v="0"/>
    <n v="0"/>
    <n v="0"/>
    <n v="0"/>
    <n v="-124.43"/>
    <n v="0"/>
    <n v="0"/>
    <n v="-283.44"/>
    <n v="0"/>
    <n v="-62"/>
    <n v="-469.87"/>
    <n v="62"/>
  </r>
  <r>
    <x v="18"/>
    <x v="6"/>
    <x v="0"/>
    <s v="5161107"/>
    <n v="400010"/>
    <s v="Acute I/P Svcs Rev--Managed Care"/>
    <s v="Med Oncology Bremerton"/>
    <x v="0"/>
    <n v="1400"/>
    <n v="0"/>
    <n v="0"/>
    <n v="0"/>
    <n v="0"/>
    <n v="0"/>
    <n v="0"/>
    <n v="0"/>
    <n v="0"/>
    <n v="-1099.18"/>
    <n v="0"/>
    <n v="0"/>
    <n v="0"/>
    <n v="-1099.18"/>
    <n v="0"/>
  </r>
  <r>
    <x v="18"/>
    <x v="6"/>
    <x v="0"/>
    <s v="5161107"/>
    <n v="400010"/>
    <s v="Acute I/P Svcs Rev--Other"/>
    <s v="Med Oncology Bremerton"/>
    <x v="0"/>
    <n v="1700"/>
    <n v="-214.99"/>
    <n v="0"/>
    <n v="0"/>
    <n v="0"/>
    <n v="0"/>
    <n v="0"/>
    <n v="0"/>
    <n v="0"/>
    <n v="0"/>
    <n v="0"/>
    <n v="0"/>
    <n v="0"/>
    <n v="-214.99"/>
    <n v="0"/>
  </r>
  <r>
    <x v="19"/>
    <x v="6"/>
    <x v="0"/>
    <s v="5161107"/>
    <n v="400020"/>
    <s v="O/P Care Svcs Rev--Medicare"/>
    <s v="Med Oncology Bremerton"/>
    <x v="0"/>
    <n v="1100"/>
    <n v="-693471.71"/>
    <n v="-780427.04"/>
    <n v="-685137.16"/>
    <n v="-795788.6"/>
    <n v="-779080.09"/>
    <n v="-667089.64"/>
    <n v="-811641.18"/>
    <n v="-680350.08"/>
    <n v="-752074.42"/>
    <n v="-786934.72"/>
    <n v="-835816.27"/>
    <n v="-721086.68"/>
    <n v="-8988897.5899999999"/>
    <n v="-114729.58999999997"/>
  </r>
  <r>
    <x v="19"/>
    <x v="6"/>
    <x v="0"/>
    <s v="5161107"/>
    <n v="400020"/>
    <s v="O/P Care Svcs Rev--Medicaid"/>
    <s v="Med Oncology Bremerton"/>
    <x v="0"/>
    <n v="1200"/>
    <n v="-186925.84"/>
    <n v="-180928.48"/>
    <n v="-204516.81"/>
    <n v="-218614.71"/>
    <n v="-151080.76"/>
    <n v="-140105.28"/>
    <n v="-181836.95"/>
    <n v="-175135.27"/>
    <n v="-254516.81"/>
    <n v="-172119.91"/>
    <n v="-213772.47"/>
    <n v="-179263.12"/>
    <n v="-2258816.4099999997"/>
    <n v="-34509.350000000006"/>
  </r>
  <r>
    <x v="19"/>
    <x v="6"/>
    <x v="0"/>
    <s v="5161107"/>
    <n v="400020"/>
    <s v="O/P Care Svcs Rev--Comm Insurance"/>
    <s v="Med Oncology Bremerton"/>
    <x v="0"/>
    <n v="1300"/>
    <n v="-17036.830000000002"/>
    <n v="-12957.11"/>
    <n v="-4397.46"/>
    <n v="-9254.51"/>
    <n v="-8467.01"/>
    <n v="-7520.93"/>
    <n v="-11506.11"/>
    <n v="-22011.27"/>
    <n v="-48283.86"/>
    <n v="-45298.57"/>
    <n v="-58158.7"/>
    <n v="-46769.89"/>
    <n v="-291662.25000000006"/>
    <n v="-11388.809999999998"/>
  </r>
  <r>
    <x v="19"/>
    <x v="6"/>
    <x v="0"/>
    <s v="5161107"/>
    <n v="400020"/>
    <s v="O/P Care Svcs Rev--BCBS Comm"/>
    <s v="Med Oncology Bremerton"/>
    <x v="0"/>
    <n v="1301"/>
    <n v="-152386.4"/>
    <n v="-179268"/>
    <n v="-128406.34"/>
    <n v="-141796.29999999999"/>
    <n v="-136563.69"/>
    <n v="-99743.54"/>
    <n v="-140358.10999999999"/>
    <n v="-118321.48"/>
    <n v="-99559.09"/>
    <n v="-109133.51"/>
    <n v="-126474.72"/>
    <n v="-118880.28"/>
    <n v="-1550891.4600000002"/>
    <n v="-7594.4400000000023"/>
  </r>
  <r>
    <x v="19"/>
    <x v="6"/>
    <x v="0"/>
    <s v="5161107"/>
    <n v="400020"/>
    <s v="O/P Care Svcs Rev--Managed Care"/>
    <s v="Med Oncology Bremerton"/>
    <x v="0"/>
    <n v="1400"/>
    <n v="-167474.57999999999"/>
    <n v="-205685.87"/>
    <n v="-192900.84"/>
    <n v="-160641.70000000001"/>
    <n v="-176113.29"/>
    <n v="-167891.41"/>
    <n v="-213431.05"/>
    <n v="-170253.28"/>
    <n v="-194076.52"/>
    <n v="-195088.39"/>
    <n v="-213319.82"/>
    <n v="-145200.89000000001"/>
    <n v="-2202077.64"/>
    <n v="-68118.929999999993"/>
  </r>
  <r>
    <x v="19"/>
    <x v="6"/>
    <x v="0"/>
    <s v="5161107"/>
    <n v="400020"/>
    <s v="O/P Care Svcs Rev--Self Pay"/>
    <s v="Med Oncology Bremerton"/>
    <x v="0"/>
    <n v="1500"/>
    <n v="-4945.72"/>
    <n v="-16071.74"/>
    <n v="-12559.87"/>
    <n v="-31506.05"/>
    <n v="-19932.95"/>
    <n v="-18746.740000000002"/>
    <n v="-7427.29"/>
    <n v="272.72000000000003"/>
    <n v="7267.65"/>
    <n v="-10521.66"/>
    <n v="-15528.89"/>
    <n v="-18113.61"/>
    <n v="-147814.15000000002"/>
    <n v="2584.7200000000012"/>
  </r>
  <r>
    <x v="19"/>
    <x v="6"/>
    <x v="0"/>
    <s v="5161107"/>
    <n v="400020"/>
    <s v="O/P Care Svcs Rev--Other"/>
    <s v="Med Oncology Bremerton"/>
    <x v="0"/>
    <n v="1700"/>
    <n v="-136607.79999999999"/>
    <n v="-110400.81"/>
    <n v="-70313.119999999995"/>
    <n v="-74286.350000000006"/>
    <n v="-68924.92"/>
    <n v="-52677.79"/>
    <n v="-38914.699999999997"/>
    <n v="-40407.39"/>
    <n v="-70387.22"/>
    <n v="-81011.12"/>
    <n v="-67310.5"/>
    <n v="-55790.57"/>
    <n v="-867032.2899999998"/>
    <n v="-11519.93"/>
  </r>
  <r>
    <x v="20"/>
    <x v="6"/>
    <x v="0"/>
    <s v="5161107"/>
    <n v="610010"/>
    <s v="Foundation Distributions"/>
    <s v="Med Oncology Bremerton"/>
    <x v="0"/>
    <n v="1175"/>
    <n v="0"/>
    <n v="0"/>
    <n v="0"/>
    <n v="0"/>
    <n v="0"/>
    <n v="0"/>
    <n v="0"/>
    <n v="-1074"/>
    <n v="0"/>
    <n v="0"/>
    <n v="0"/>
    <n v="0"/>
    <n v="-1074"/>
    <n v="0"/>
  </r>
  <r>
    <x v="5"/>
    <x v="6"/>
    <x v="0"/>
    <s v="5161107"/>
    <n v="700014"/>
    <s v="Salaries-Management-Productive"/>
    <s v="Med Oncology Bremerton"/>
    <x v="0"/>
    <m/>
    <n v="7130.78"/>
    <n v="6786.12"/>
    <n v="230.18"/>
    <n v="11095.49"/>
    <n v="8614.08"/>
    <n v="4819.38"/>
    <n v="8808.32"/>
    <n v="7299.76"/>
    <n v="9652.57"/>
    <n v="2895.69"/>
    <n v="-1508.01"/>
    <n v="4290.1499999999996"/>
    <n v="70114.509999999995"/>
    <n v="-5798.16"/>
  </r>
  <r>
    <x v="5"/>
    <x v="6"/>
    <x v="0"/>
    <s v="5161107"/>
    <n v="700018"/>
    <s v="Salaries-Supervisory-Productive"/>
    <s v="Med Oncology Bremerton"/>
    <x v="0"/>
    <m/>
    <n v="3826.13"/>
    <n v="4937.13"/>
    <n v="4196.68"/>
    <n v="5379.16"/>
    <n v="4501.8"/>
    <n v="3910.17"/>
    <n v="3789.14"/>
    <n v="4445.0200000000004"/>
    <n v="5355.21"/>
    <n v="4487.2299999999996"/>
    <n v="4106.43"/>
    <n v="5334.08"/>
    <n v="54268.18"/>
    <n v="-1227.6499999999996"/>
  </r>
  <r>
    <x v="5"/>
    <x v="6"/>
    <x v="0"/>
    <s v="5161107"/>
    <n v="700026"/>
    <s v="Salaries-RN-Productive"/>
    <s v="Med Oncology Bremerton"/>
    <x v="0"/>
    <m/>
    <n v="76717.73"/>
    <n v="82455.39"/>
    <n v="80659.350000000006"/>
    <n v="77072.929999999993"/>
    <n v="79242.2"/>
    <n v="70907.95"/>
    <n v="75573.490000000005"/>
    <n v="63493.37"/>
    <n v="79662.44"/>
    <n v="78599.100000000006"/>
    <n v="88817.4"/>
    <n v="75938.97"/>
    <n v="929140.32000000007"/>
    <n v="12878.429999999993"/>
  </r>
  <r>
    <x v="5"/>
    <x v="6"/>
    <x v="0"/>
    <s v="5161107"/>
    <n v="700026"/>
    <s v="Salaries-RN-OT"/>
    <s v="Med Oncology Bremerton"/>
    <x v="0"/>
    <n v="1000"/>
    <n v="1031.04"/>
    <n v="1306.05"/>
    <n v="210.83"/>
    <n v="721.78"/>
    <n v="1034.82"/>
    <n v="153.63"/>
    <n v="609.83000000000004"/>
    <n v="25.84"/>
    <n v="590.01"/>
    <n v="14.29"/>
    <n v="1532.39"/>
    <n v="289.69"/>
    <n v="7520.2"/>
    <n v="1242.7"/>
  </r>
  <r>
    <x v="5"/>
    <x v="6"/>
    <x v="0"/>
    <s v="5161107"/>
    <n v="700026"/>
    <s v="Salaries-RN-Other"/>
    <s v="Med Oncology Bremerton"/>
    <x v="0"/>
    <n v="2000"/>
    <n v="2180.63"/>
    <n v="3270.69"/>
    <n v="2924.73"/>
    <n v="2453.1799999999998"/>
    <n v="2865.2"/>
    <n v="2226.0100000000002"/>
    <n v="2570.48"/>
    <n v="1771.62"/>
    <n v="2634.14"/>
    <n v="2509.48"/>
    <n v="2742.59"/>
    <n v="2350.69"/>
    <n v="30499.439999999999"/>
    <n v="391.90000000000009"/>
  </r>
  <r>
    <x v="5"/>
    <x v="6"/>
    <x v="0"/>
    <s v="5161107"/>
    <n v="700030"/>
    <s v="Salaries-LPN-Productive"/>
    <s v="Med Oncology Bremerton"/>
    <x v="0"/>
    <m/>
    <n v="8569.14"/>
    <n v="8883.2000000000007"/>
    <n v="4553.67"/>
    <n v="9554.2199999999993"/>
    <n v="8264.64"/>
    <n v="6014.83"/>
    <n v="8327.2000000000007"/>
    <n v="5497.38"/>
    <n v="9172.32"/>
    <n v="5350.52"/>
    <n v="7636.44"/>
    <n v="9647.36"/>
    <n v="91470.920000000013"/>
    <n v="-2010.920000000001"/>
  </r>
  <r>
    <x v="5"/>
    <x v="6"/>
    <x v="0"/>
    <s v="5161107"/>
    <n v="700030"/>
    <s v="Salaries-LPN-OT"/>
    <s v="Med Oncology Bremerton"/>
    <x v="0"/>
    <n v="1000"/>
    <n v="489.69"/>
    <n v="647.79"/>
    <n v="471.83"/>
    <n v="-112.16"/>
    <n v="992.56"/>
    <n v="33.79"/>
    <n v="151.94999999999999"/>
    <n v="148.53"/>
    <n v="97.61"/>
    <n v="0"/>
    <n v="161.31"/>
    <n v="423.03"/>
    <n v="3505.9300000000003"/>
    <n v="-261.71999999999997"/>
  </r>
  <r>
    <x v="5"/>
    <x v="6"/>
    <x v="0"/>
    <s v="5161107"/>
    <n v="700030"/>
    <s v="Salaries-LPN-Other"/>
    <s v="Med Oncology Bremerton"/>
    <x v="0"/>
    <n v="2000"/>
    <n v="0"/>
    <n v="0"/>
    <n v="0"/>
    <n v="0"/>
    <n v="0"/>
    <n v="0"/>
    <n v="0"/>
    <n v="9.23"/>
    <n v="-2.42"/>
    <n v="0"/>
    <n v="0"/>
    <n v="0"/>
    <n v="6.8100000000000005"/>
    <n v="0"/>
  </r>
  <r>
    <x v="5"/>
    <x v="6"/>
    <x v="0"/>
    <s v="5161107"/>
    <n v="700032"/>
    <s v="Salaries-Other Pat Care Providers-Productive"/>
    <s v="Med Oncology Bremerton"/>
    <x v="0"/>
    <m/>
    <n v="18198.990000000002"/>
    <n v="17290.21"/>
    <n v="17764.98"/>
    <n v="18187.96"/>
    <n v="23761.41"/>
    <n v="18601.11"/>
    <n v="20167.34"/>
    <n v="16867"/>
    <n v="24530.99"/>
    <n v="19863.78"/>
    <n v="20516.689999999999"/>
    <n v="21582.36"/>
    <n v="237332.82"/>
    <n v="-1065.6700000000019"/>
  </r>
  <r>
    <x v="5"/>
    <x v="6"/>
    <x v="0"/>
    <s v="5161107"/>
    <n v="700032"/>
    <s v="Salaries-Other Pat Care Providers-OT"/>
    <s v="Med Oncology Bremerton"/>
    <x v="0"/>
    <n v="1000"/>
    <n v="413.98"/>
    <n v="588.45000000000005"/>
    <n v="675.54"/>
    <n v="1269.23"/>
    <n v="1497.55"/>
    <n v="164.81"/>
    <n v="63.6"/>
    <n v="718.84"/>
    <n v="621.44000000000005"/>
    <n v="245.15"/>
    <n v="611.25"/>
    <n v="731.44"/>
    <n v="7601.2800000000007"/>
    <n v="-120.19000000000005"/>
  </r>
  <r>
    <x v="5"/>
    <x v="6"/>
    <x v="0"/>
    <s v="5161107"/>
    <n v="700032"/>
    <s v="Salaries-Other Pat Care Providers-Other"/>
    <s v="Med Oncology Bremerton"/>
    <x v="0"/>
    <n v="2000"/>
    <n v="0"/>
    <n v="0"/>
    <n v="30"/>
    <n v="0"/>
    <n v="30"/>
    <n v="75.819999999999993"/>
    <n v="0"/>
    <n v="0"/>
    <n v="194.27"/>
    <n v="247.12"/>
    <n v="108.63"/>
    <n v="-51.89"/>
    <n v="633.95000000000005"/>
    <n v="160.51999999999998"/>
  </r>
  <r>
    <x v="5"/>
    <x v="6"/>
    <x v="0"/>
    <s v="5161107"/>
    <n v="700038"/>
    <s v="Salaries-Service/Support-Productive"/>
    <s v="Med Oncology Bremerton"/>
    <x v="0"/>
    <m/>
    <n v="17777.810000000001"/>
    <n v="21091.32"/>
    <n v="17346.13"/>
    <n v="18385.96"/>
    <n v="19343.46"/>
    <n v="17101.36"/>
    <n v="19807.150000000001"/>
    <n v="15364.01"/>
    <n v="19788.3"/>
    <n v="15967.98"/>
    <n v="20098.27"/>
    <n v="17583.080000000002"/>
    <n v="219654.83000000002"/>
    <n v="2515.1899999999987"/>
  </r>
  <r>
    <x v="5"/>
    <x v="6"/>
    <x v="0"/>
    <s v="5161107"/>
    <n v="700038"/>
    <s v="Salaries-Service/Support-OT"/>
    <s v="Med Oncology Bremerton"/>
    <x v="0"/>
    <n v="1000"/>
    <n v="150.49"/>
    <n v="117.59"/>
    <n v="162.75"/>
    <n v="23.48"/>
    <n v="266.48"/>
    <n v="-18.059999999999999"/>
    <n v="300.64999999999998"/>
    <n v="53.43"/>
    <n v="359.25"/>
    <n v="508.91"/>
    <n v="-11.34"/>
    <n v="442.63"/>
    <n v="2356.2600000000002"/>
    <n v="-453.96999999999997"/>
  </r>
  <r>
    <x v="5"/>
    <x v="6"/>
    <x v="0"/>
    <s v="5161107"/>
    <n v="700038"/>
    <s v="Salaries-Service/Support-Other"/>
    <s v="Med Oncology Bremerton"/>
    <x v="0"/>
    <n v="2000"/>
    <n v="358.82"/>
    <n v="333.76"/>
    <n v="146.54"/>
    <n v="367.8"/>
    <n v="98.67"/>
    <n v="268.99"/>
    <n v="250.7"/>
    <n v="230.03"/>
    <n v="117.99"/>
    <n v="0"/>
    <n v="0"/>
    <n v="30.04"/>
    <n v="2203.3399999999997"/>
    <n v="-30.04"/>
  </r>
  <r>
    <x v="5"/>
    <x v="6"/>
    <x v="0"/>
    <s v="5161107"/>
    <n v="700054"/>
    <s v="Salaries-Management-Non-productive"/>
    <s v="Med Oncology Bremerton"/>
    <x v="0"/>
    <m/>
    <n v="1782.69"/>
    <n v="2127.77"/>
    <n v="8396.2800000000007"/>
    <n v="-1840.18"/>
    <n v="421.68"/>
    <n v="4517.87"/>
    <n v="543.54"/>
    <n v="1146.21"/>
    <n v="-301.60000000000002"/>
    <n v="6153.32"/>
    <n v="-1508.02"/>
    <n v="0"/>
    <n v="21439.56"/>
    <n v="-1508.02"/>
  </r>
  <r>
    <x v="5"/>
    <x v="6"/>
    <x v="0"/>
    <s v="5161107"/>
    <n v="700054"/>
    <s v="Salaries-Management-NonProd-Other"/>
    <s v="Med Oncology Bremert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5161107"/>
    <n v="700058"/>
    <s v="Salaries-Supervisory-Non-productive"/>
    <s v="Med Oncology Bremerton"/>
    <x v="0"/>
    <m/>
    <n v="1275.3699999999999"/>
    <n v="164.63"/>
    <n v="740.56"/>
    <n v="-164.56"/>
    <n v="570.64"/>
    <n v="1331.52"/>
    <n v="1460.74"/>
    <n v="296.33999999999997"/>
    <n v="-105.81"/>
    <n v="592.66999999999996"/>
    <n v="1142.95"/>
    <n v="-253.94"/>
    <n v="7051.11"/>
    <n v="1396.89"/>
  </r>
  <r>
    <x v="5"/>
    <x v="6"/>
    <x v="0"/>
    <s v="5161107"/>
    <n v="700066"/>
    <s v="Salaries-RN-Non-productive"/>
    <s v="Med Oncology Bremerton"/>
    <x v="0"/>
    <m/>
    <n v="12391.28"/>
    <n v="13712.63"/>
    <n v="7487.21"/>
    <n v="10882.84"/>
    <n v="8647.82"/>
    <n v="15719.77"/>
    <n v="15552.68"/>
    <n v="11208.38"/>
    <n v="7771.18"/>
    <n v="9107.82"/>
    <n v="8888.81"/>
    <n v="15049.87"/>
    <n v="136420.29"/>
    <n v="-6161.0600000000013"/>
  </r>
  <r>
    <x v="5"/>
    <x v="6"/>
    <x v="0"/>
    <s v="5161107"/>
    <n v="700066"/>
    <s v="Salaries-RN-NonProd-Other"/>
    <s v="Med Oncology Bremerton"/>
    <x v="0"/>
    <n v="2000"/>
    <n v="203.87"/>
    <n v="183.22"/>
    <n v="34.08"/>
    <n v="202.21"/>
    <n v="104.49"/>
    <n v="215.49"/>
    <n v="263.17"/>
    <n v="120.37"/>
    <n v="130.41999999999999"/>
    <n v="159.83000000000001"/>
    <n v="151.59"/>
    <n v="220.76"/>
    <n v="1989.5"/>
    <n v="-69.169999999999987"/>
  </r>
  <r>
    <x v="5"/>
    <x v="6"/>
    <x v="0"/>
    <s v="5161107"/>
    <n v="700070"/>
    <s v="Salaries-LPN-Non-productive"/>
    <s v="Med Oncology Bremerton"/>
    <x v="0"/>
    <m/>
    <n v="527.67999999999995"/>
    <n v="0"/>
    <n v="2997.54"/>
    <n v="-183.94"/>
    <n v="474.75"/>
    <n v="2129.37"/>
    <n v="109.53"/>
    <n v="1802.69"/>
    <n v="750.64"/>
    <n v="2134.9499999999998"/>
    <n v="1802.77"/>
    <n v="-589.14"/>
    <n v="11956.84"/>
    <n v="2391.91"/>
  </r>
  <r>
    <x v="5"/>
    <x v="6"/>
    <x v="0"/>
    <s v="5161107"/>
    <n v="700072"/>
    <s v="Salaries-Other Pat Care Providers-Non-productive"/>
    <s v="Med Oncology Bremerton"/>
    <x v="0"/>
    <m/>
    <n v="2611.56"/>
    <n v="3083.17"/>
    <n v="1522.37"/>
    <n v="2159.64"/>
    <n v="965.02"/>
    <n v="3737.18"/>
    <n v="905.96"/>
    <n v="2763.14"/>
    <n v="982.74"/>
    <n v="129.44"/>
    <n v="2149.6799999999998"/>
    <n v="1508.08"/>
    <n v="22517.980000000003"/>
    <n v="641.59999999999991"/>
  </r>
  <r>
    <x v="5"/>
    <x v="6"/>
    <x v="0"/>
    <s v="5161107"/>
    <n v="700078"/>
    <s v="Salaries-Service/Support-Non-productive"/>
    <s v="Med Oncology Bremerton"/>
    <x v="0"/>
    <m/>
    <n v="3090.4"/>
    <n v="1473"/>
    <n v="2589.98"/>
    <n v="4510.99"/>
    <n v="1189.02"/>
    <n v="4586.79"/>
    <n v="2280.21"/>
    <n v="2863.84"/>
    <n v="1316.5"/>
    <n v="1480"/>
    <n v="302.63"/>
    <n v="2198.54"/>
    <n v="27881.9"/>
    <n v="-1895.9099999999999"/>
  </r>
  <r>
    <x v="5"/>
    <x v="6"/>
    <x v="0"/>
    <s v="5161107"/>
    <n v="700084"/>
    <s v="Accrued PTO"/>
    <s v="Med Oncology Bremerton"/>
    <x v="0"/>
    <m/>
    <n v="-954.09"/>
    <n v="-1966.46"/>
    <n v="-114.52"/>
    <n v="5536.32"/>
    <n v="6489.94"/>
    <n v="-7570.91"/>
    <n v="-2741.46"/>
    <n v="-1930.75"/>
    <n v="4472.88"/>
    <n v="-505.33"/>
    <n v="4169.01"/>
    <n v="936"/>
    <n v="5820.6299999999992"/>
    <n v="3233.01"/>
  </r>
  <r>
    <x v="10"/>
    <x v="6"/>
    <x v="0"/>
    <s v="5161107"/>
    <n v="710060"/>
    <s v="Contract Labor-Other"/>
    <s v="Med Oncology Bremerton"/>
    <x v="0"/>
    <m/>
    <n v="0"/>
    <n v="0"/>
    <n v="0"/>
    <n v="0"/>
    <n v="40"/>
    <n v="0"/>
    <n v="0"/>
    <n v="0"/>
    <n v="0"/>
    <n v="0"/>
    <n v="0"/>
    <n v="0"/>
    <n v="40"/>
    <n v="0"/>
  </r>
  <r>
    <x v="6"/>
    <x v="6"/>
    <x v="0"/>
    <s v="5161107"/>
    <n v="713010"/>
    <s v="Benefits-FICA/Medicare"/>
    <s v="Med Oncology Bremerton"/>
    <x v="0"/>
    <m/>
    <n v="11767.45"/>
    <n v="12528.3"/>
    <n v="11428.15"/>
    <n v="11866.89"/>
    <n v="12097.19"/>
    <n v="11590.98"/>
    <n v="11959.23"/>
    <n v="10050.700000000001"/>
    <n v="12070.22"/>
    <n v="12158.05"/>
    <n v="11681.58"/>
    <n v="11812.38"/>
    <n v="141011.12"/>
    <n v="-130.79999999999927"/>
  </r>
  <r>
    <x v="6"/>
    <x v="6"/>
    <x v="0"/>
    <s v="5161107"/>
    <n v="713090"/>
    <s v="Benefits-Allocated Amounts"/>
    <s v="Med Oncology Bremerton"/>
    <x v="0"/>
    <m/>
    <n v="31026.69"/>
    <n v="29241.15"/>
    <n v="29658.71"/>
    <n v="30465.53"/>
    <n v="35581.01"/>
    <n v="31044.15"/>
    <n v="31889.13"/>
    <n v="29023.33"/>
    <n v="27773.360000000001"/>
    <n v="31857.65"/>
    <n v="31479.09"/>
    <n v="37068.36"/>
    <n v="376108.16000000003"/>
    <n v="-5589.27"/>
  </r>
  <r>
    <x v="6"/>
    <x v="6"/>
    <x v="0"/>
    <s v="5161107"/>
    <n v="713096"/>
    <s v="Employee Recognition"/>
    <s v="Med Oncology Bremerton"/>
    <x v="0"/>
    <n v="1017"/>
    <n v="0"/>
    <n v="0"/>
    <n v="0"/>
    <n v="0"/>
    <n v="55.86"/>
    <n v="0"/>
    <n v="0"/>
    <n v="0"/>
    <n v="0"/>
    <n v="0"/>
    <n v="0"/>
    <n v="0"/>
    <n v="55.86"/>
    <n v="0"/>
  </r>
  <r>
    <x v="17"/>
    <x v="6"/>
    <x v="0"/>
    <s v="5161107"/>
    <n v="714510"/>
    <s v="Medical Director Fees"/>
    <s v="Med Oncology Bremerton"/>
    <x v="0"/>
    <m/>
    <n v="13860"/>
    <n v="0"/>
    <n v="0"/>
    <n v="0"/>
    <n v="2137.5"/>
    <n v="0"/>
    <n v="0"/>
    <n v="3787.5"/>
    <n v="0"/>
    <n v="0"/>
    <n v="0"/>
    <n v="0"/>
    <n v="19785"/>
    <n v="0"/>
  </r>
  <r>
    <x v="7"/>
    <x v="6"/>
    <x v="0"/>
    <s v="5161107"/>
    <n v="718050"/>
    <s v="Contract Svcs-Other"/>
    <s v="Med Oncology Bremerton"/>
    <x v="0"/>
    <m/>
    <n v="0"/>
    <n v="0"/>
    <n v="179.6"/>
    <n v="0"/>
    <n v="0"/>
    <n v="45"/>
    <n v="0"/>
    <n v="198.55"/>
    <n v="0"/>
    <n v="0"/>
    <n v="0"/>
    <n v="0"/>
    <n v="423.15"/>
    <n v="0"/>
  </r>
  <r>
    <x v="7"/>
    <x v="6"/>
    <x v="0"/>
    <s v="5161107"/>
    <n v="718050"/>
    <s v="Miscellaneous Purchased Svcs"/>
    <s v="Med Oncology Bremerton"/>
    <x v="0"/>
    <n v="1020"/>
    <n v="579.12"/>
    <n v="868.68"/>
    <n v="1303.02"/>
    <n v="1419.52"/>
    <n v="2468.42"/>
    <n v="1413.9"/>
    <n v="1306.27"/>
    <n v="1183.6500000000001"/>
    <n v="1669.32"/>
    <n v="900"/>
    <n v="300"/>
    <n v="1620"/>
    <n v="15031.9"/>
    <n v="-1320"/>
  </r>
  <r>
    <x v="11"/>
    <x v="6"/>
    <x v="0"/>
    <s v="5161107"/>
    <n v="721010"/>
    <s v="Supplies-Medical - Billable"/>
    <s v="Med Oncology Bremerton"/>
    <x v="0"/>
    <m/>
    <n v="506.21"/>
    <n v="2662.52"/>
    <n v="642.63"/>
    <n v="78.52"/>
    <n v="435.5"/>
    <n v="892.44"/>
    <n v="1280.8"/>
    <n v="623.70000000000005"/>
    <n v="435.18"/>
    <n v="737.17"/>
    <n v="908.52"/>
    <n v="26.2"/>
    <n v="9229.3900000000012"/>
    <n v="882.31999999999994"/>
  </r>
  <r>
    <x v="11"/>
    <x v="6"/>
    <x v="0"/>
    <s v="5161107"/>
    <n v="721010"/>
    <s v="Patient Monitoring"/>
    <s v="Med Oncology Bremerton"/>
    <x v="0"/>
    <n v="1000"/>
    <n v="151.86000000000001"/>
    <n v="0"/>
    <n v="0"/>
    <n v="0"/>
    <n v="0"/>
    <n v="0"/>
    <n v="0"/>
    <n v="0"/>
    <n v="0"/>
    <n v="0"/>
    <n v="0"/>
    <n v="0"/>
    <n v="151.86000000000001"/>
    <n v="0"/>
  </r>
  <r>
    <x v="11"/>
    <x v="6"/>
    <x v="0"/>
    <s v="5161107"/>
    <n v="721020"/>
    <s v="Custom Packs"/>
    <s v="Med Oncology Bremerton"/>
    <x v="0"/>
    <n v="1000"/>
    <n v="0"/>
    <n v="0"/>
    <n v="0"/>
    <n v="0"/>
    <n v="0"/>
    <n v="0"/>
    <n v="662"/>
    <n v="0"/>
    <n v="0"/>
    <n v="0"/>
    <n v="0"/>
    <n v="0"/>
    <n v="662"/>
    <n v="0"/>
  </r>
  <r>
    <x v="11"/>
    <x v="6"/>
    <x v="0"/>
    <s v="5161107"/>
    <n v="721240"/>
    <s v="Supplies-IV Solutions/Supplies - Billable"/>
    <s v="Med Oncology Bremerton"/>
    <x v="0"/>
    <m/>
    <n v="3870.2"/>
    <n v="2935.09"/>
    <n v="1988.7"/>
    <n v="4627.07"/>
    <n v="2640.28"/>
    <n v="2238.36"/>
    <n v="2151.64"/>
    <n v="3913.25"/>
    <n v="2420.88"/>
    <n v="4186.1099999999997"/>
    <n v="2751.4"/>
    <n v="2988.42"/>
    <n v="36711.4"/>
    <n v="-237.01999999999998"/>
  </r>
  <r>
    <x v="11"/>
    <x v="6"/>
    <x v="0"/>
    <s v="5161107"/>
    <n v="721320"/>
    <s v="Supplies-Purchased Blood - Billable"/>
    <s v="Med Oncology Bremerton"/>
    <x v="0"/>
    <m/>
    <n v="342.9"/>
    <n v="342.9"/>
    <n v="457.2"/>
    <n v="914.4"/>
    <n v="228.6"/>
    <n v="457.2"/>
    <n v="457.2"/>
    <n v="0"/>
    <n v="160.02000000000001"/>
    <n v="417"/>
    <n v="417"/>
    <n v="333.6"/>
    <n v="4528.0200000000004"/>
    <n v="83.399999999999977"/>
  </r>
  <r>
    <x v="11"/>
    <x v="6"/>
    <x v="0"/>
    <s v="5161107"/>
    <n v="721410"/>
    <s v="Supplies-Medical - Nonbillable"/>
    <s v="Med Oncology Bremerton"/>
    <x v="0"/>
    <m/>
    <n v="9701.7000000000007"/>
    <n v="9016.8700000000008"/>
    <n v="13873.51"/>
    <n v="10340.84"/>
    <n v="8943.2800000000007"/>
    <n v="10524.97"/>
    <n v="8132.18"/>
    <n v="13059.83"/>
    <n v="6522.26"/>
    <n v="11073.19"/>
    <n v="5599.29"/>
    <n v="7714.88"/>
    <n v="114502.8"/>
    <n v="-2115.59"/>
  </r>
  <r>
    <x v="11"/>
    <x v="6"/>
    <x v="0"/>
    <s v="5161107"/>
    <n v="721420"/>
    <s v="Supplies-Surgical Nonbillable"/>
    <s v="Med Oncology Bremerton"/>
    <x v="0"/>
    <m/>
    <n v="0"/>
    <n v="0"/>
    <n v="0"/>
    <n v="0"/>
    <n v="0"/>
    <n v="0"/>
    <n v="13.21"/>
    <n v="0"/>
    <n v="0"/>
    <n v="-1.0900000000000001"/>
    <n v="34.92"/>
    <n v="13.21"/>
    <n v="60.250000000000007"/>
    <n v="21.71"/>
  </r>
  <r>
    <x v="11"/>
    <x v="6"/>
    <x v="0"/>
    <s v="5161107"/>
    <n v="721420"/>
    <s v="Sterilization Process Products"/>
    <s v="Med Oncology Bremerton"/>
    <x v="0"/>
    <n v="1009"/>
    <n v="0"/>
    <n v="0"/>
    <n v="0"/>
    <n v="0"/>
    <n v="0"/>
    <n v="0"/>
    <n v="0"/>
    <n v="10.66"/>
    <n v="0"/>
    <n v="0"/>
    <n v="0"/>
    <n v="0"/>
    <n v="10.66"/>
    <n v="0"/>
  </r>
  <r>
    <x v="11"/>
    <x v="6"/>
    <x v="0"/>
    <s v="5161107"/>
    <n v="721610"/>
    <s v="Supplies-Anesthesia - Nonbillable"/>
    <s v="Med Oncology Bremerton"/>
    <x v="0"/>
    <m/>
    <n v="0"/>
    <n v="21.32"/>
    <n v="0"/>
    <n v="0"/>
    <n v="0"/>
    <n v="0"/>
    <n v="26.6"/>
    <n v="0"/>
    <n v="0"/>
    <n v="24.14"/>
    <n v="112.15"/>
    <n v="0"/>
    <n v="184.21"/>
    <n v="112.15"/>
  </r>
  <r>
    <x v="11"/>
    <x v="6"/>
    <x v="0"/>
    <s v="5161107"/>
    <n v="721640"/>
    <s v="Supplies-IV Solutions/Supplies - Nonbillable"/>
    <s v="Med Oncology Bremerton"/>
    <x v="0"/>
    <m/>
    <n v="5015.24"/>
    <n v="4523.42"/>
    <n v="4944.26"/>
    <n v="5864.13"/>
    <n v="5730.44"/>
    <n v="2965.82"/>
    <n v="5589.4"/>
    <n v="4770.76"/>
    <n v="4776.7"/>
    <n v="6065.69"/>
    <n v="3430.6"/>
    <n v="2217.5500000000002"/>
    <n v="55894.01"/>
    <n v="1213.0499999999997"/>
  </r>
  <r>
    <x v="11"/>
    <x v="6"/>
    <x v="0"/>
    <s v="5161107"/>
    <n v="721710"/>
    <s v="Supplies-Laboratory - Nonbillable"/>
    <s v="Med Oncology Bremerton"/>
    <x v="0"/>
    <m/>
    <n v="794.92"/>
    <n v="991.78"/>
    <n v="1422.76"/>
    <n v="2943.76"/>
    <n v="1481.9"/>
    <n v="1129.4100000000001"/>
    <n v="652.58000000000004"/>
    <n v="716.7"/>
    <n v="436.98"/>
    <n v="1136.0999999999999"/>
    <n v="810.9"/>
    <n v="812.86"/>
    <n v="13330.650000000001"/>
    <n v="-1.9600000000000364"/>
  </r>
  <r>
    <x v="11"/>
    <x v="6"/>
    <x v="0"/>
    <s v="5161107"/>
    <n v="721710"/>
    <s v="Reagents"/>
    <s v="Med Oncology Bremerton"/>
    <x v="0"/>
    <n v="1000"/>
    <n v="2029.85"/>
    <n v="62.98"/>
    <n v="0"/>
    <n v="1180.44"/>
    <n v="1967.4"/>
    <n v="-196.74"/>
    <n v="0"/>
    <n v="0"/>
    <n v="0"/>
    <n v="2360.88"/>
    <n v="0"/>
    <n v="-57.36"/>
    <n v="7347.4500000000007"/>
    <n v="57.36"/>
  </r>
  <r>
    <x v="11"/>
    <x v="6"/>
    <x v="0"/>
    <s v="5161107"/>
    <n v="721810"/>
    <s v="Supplies-Dietary/Cafeteria"/>
    <s v="Med Oncology Bremerton"/>
    <x v="0"/>
    <m/>
    <n v="1444.78"/>
    <n v="1160.55"/>
    <n v="843.85"/>
    <n v="806.75"/>
    <n v="1237.6600000000001"/>
    <n v="829.29"/>
    <n v="1139.44"/>
    <n v="956.8"/>
    <n v="1653.88"/>
    <n v="1345.07"/>
    <n v="986.25"/>
    <n v="784.54"/>
    <n v="13188.86"/>
    <n v="201.71000000000004"/>
  </r>
  <r>
    <x v="11"/>
    <x v="6"/>
    <x v="0"/>
    <s v="5161107"/>
    <n v="721830"/>
    <s v="Supplies-Office"/>
    <s v="Med Oncology Bremerton"/>
    <x v="0"/>
    <m/>
    <n v="321.37"/>
    <n v="217.56"/>
    <n v="170.73"/>
    <n v="1066.69"/>
    <n v="97.99"/>
    <n v="146.09"/>
    <n v="425.4"/>
    <n v="322.89999999999998"/>
    <n v="303.06"/>
    <n v="874.33"/>
    <n v="1300.71"/>
    <n v="594.78"/>
    <n v="5841.61"/>
    <n v="705.93000000000006"/>
  </r>
  <r>
    <x v="11"/>
    <x v="6"/>
    <x v="0"/>
    <s v="5161107"/>
    <n v="721835"/>
    <s v="Supplies-Forms"/>
    <s v="Med Oncology Bremerton"/>
    <x v="0"/>
    <m/>
    <n v="78.75"/>
    <n v="0"/>
    <n v="397.91"/>
    <n v="0"/>
    <n v="182.87"/>
    <n v="95"/>
    <n v="0"/>
    <n v="0"/>
    <n v="35.5"/>
    <n v="9.1999999999999993"/>
    <n v="0"/>
    <n v="0"/>
    <n v="799.23"/>
    <n v="0"/>
  </r>
  <r>
    <x v="11"/>
    <x v="6"/>
    <x v="0"/>
    <s v="5161107"/>
    <n v="721870"/>
    <s v="Supplies-Environmental Services"/>
    <s v="Med Oncology Bremerton"/>
    <x v="0"/>
    <m/>
    <n v="185.54"/>
    <n v="0"/>
    <n v="163.69"/>
    <n v="82.92"/>
    <n v="128.05000000000001"/>
    <n v="47.28"/>
    <n v="149.9"/>
    <n v="323.8"/>
    <n v="89.18"/>
    <n v="156.94"/>
    <n v="116.41"/>
    <n v="47.28"/>
    <n v="1490.9900000000002"/>
    <n v="69.13"/>
  </r>
  <r>
    <x v="11"/>
    <x v="6"/>
    <x v="0"/>
    <s v="5161107"/>
    <n v="721880"/>
    <s v="Supplies-Linen"/>
    <s v="Med Oncology Bremerton"/>
    <x v="0"/>
    <m/>
    <n v="77.47"/>
    <n v="19.8"/>
    <n v="39.6"/>
    <n v="39.6"/>
    <n v="18.93"/>
    <n v="73.56"/>
    <n v="64.75"/>
    <n v="18.93"/>
    <n v="26.88"/>
    <n v="58.53"/>
    <n v="64.75"/>
    <n v="110.56"/>
    <n v="613.36000000000013"/>
    <n v="-45.81"/>
  </r>
  <r>
    <x v="11"/>
    <x v="6"/>
    <x v="0"/>
    <s v="5161107"/>
    <n v="721910"/>
    <s v="Supplies-Small Equipment"/>
    <s v="Med Oncology Bremerton"/>
    <x v="0"/>
    <m/>
    <n v="0"/>
    <n v="0"/>
    <n v="866.02"/>
    <n v="313.60000000000002"/>
    <n v="0"/>
    <n v="28.22"/>
    <n v="650"/>
    <n v="0"/>
    <n v="0"/>
    <n v="0"/>
    <n v="0"/>
    <n v="0"/>
    <n v="1857.84"/>
    <n v="0"/>
  </r>
  <r>
    <x v="11"/>
    <x v="6"/>
    <x v="0"/>
    <s v="5161107"/>
    <n v="721910"/>
    <s v="Instruments"/>
    <s v="Med Oncology Bremerton"/>
    <x v="0"/>
    <n v="1000"/>
    <n v="0"/>
    <n v="0"/>
    <n v="0"/>
    <n v="0"/>
    <n v="0"/>
    <n v="0"/>
    <n v="0"/>
    <n v="0"/>
    <n v="67.680000000000007"/>
    <n v="12.61"/>
    <n v="0"/>
    <n v="0"/>
    <n v="80.290000000000006"/>
    <n v="0"/>
  </r>
  <r>
    <x v="11"/>
    <x v="6"/>
    <x v="0"/>
    <s v="5161107"/>
    <n v="721980"/>
    <s v="Supplies-Other"/>
    <s v="Med Oncology Bremerton"/>
    <x v="0"/>
    <m/>
    <n v="25.8"/>
    <n v="255.42"/>
    <n v="0"/>
    <n v="0"/>
    <n v="0"/>
    <n v="0"/>
    <n v="0"/>
    <n v="0"/>
    <n v="0"/>
    <n v="0"/>
    <n v="0"/>
    <n v="0"/>
    <n v="281.21999999999997"/>
    <n v="0"/>
  </r>
  <r>
    <x v="11"/>
    <x v="6"/>
    <x v="0"/>
    <s v="5161107"/>
    <n v="722000"/>
    <s v="Supplies-Freight Expense"/>
    <s v="Med Oncology Bremerton"/>
    <x v="0"/>
    <m/>
    <n v="21.72"/>
    <n v="255.67"/>
    <n v="50.64"/>
    <n v="22.62"/>
    <n v="0"/>
    <n v="33.950000000000003"/>
    <n v="33.14"/>
    <n v="0"/>
    <n v="21.04"/>
    <n v="0"/>
    <n v="12.82"/>
    <n v="57.36"/>
    <n v="508.96"/>
    <n v="-44.54"/>
  </r>
  <r>
    <x v="12"/>
    <x v="6"/>
    <x v="0"/>
    <s v="5161107"/>
    <n v="730010"/>
    <s v="Rental and Leases-Building (DO NOT USE)"/>
    <s v="Med Oncology Bremerton"/>
    <x v="0"/>
    <m/>
    <n v="8918.7000000000007"/>
    <n v="8702.81"/>
    <n v="8702.81"/>
    <n v="8702.81"/>
    <n v="8702.81"/>
    <n v="-3340.95"/>
    <n v="6731.49"/>
    <n v="6731.49"/>
    <n v="6731.49"/>
    <n v="6731.49"/>
    <n v="6731.49"/>
    <n v="0"/>
    <n v="74046.44"/>
    <n v="6731.49"/>
  </r>
  <r>
    <x v="12"/>
    <x v="6"/>
    <x v="0"/>
    <s v="5161107"/>
    <n v="730010"/>
    <s v="Rental-Common Area Maint (DO NOT USE)"/>
    <s v="Med Oncology Bremerton"/>
    <x v="0"/>
    <n v="2200"/>
    <n v="0"/>
    <n v="0"/>
    <n v="0"/>
    <n v="0"/>
    <n v="0"/>
    <n v="12043.75"/>
    <n v="1971.31"/>
    <n v="1971.31"/>
    <n v="1971.31"/>
    <n v="1971.31"/>
    <n v="1971.31"/>
    <n v="0"/>
    <n v="21900.300000000003"/>
    <n v="1971.31"/>
  </r>
  <r>
    <x v="12"/>
    <x v="6"/>
    <x v="0"/>
    <s v="5161107"/>
    <n v="730020"/>
    <s v="Rental and Leases-Copier Usage Fees (DO NOT USE)"/>
    <s v="Med Oncology Bremerton"/>
    <x v="0"/>
    <n v="5100"/>
    <n v="312.98"/>
    <n v="318.11"/>
    <n v="315.55"/>
    <n v="315.54000000000002"/>
    <n v="315.55"/>
    <n v="315.54000000000002"/>
    <n v="642.07000000000005"/>
    <n v="272.81"/>
    <n v="272.24"/>
    <n v="545.23"/>
    <n v="272.81"/>
    <n v="275.38"/>
    <n v="4173.8100000000004"/>
    <n v="-2.5699999999999932"/>
  </r>
  <r>
    <x v="12"/>
    <x v="6"/>
    <x v="0"/>
    <s v="5161107"/>
    <n v="730040"/>
    <s v="LT Lease-Real Estate"/>
    <s v="Med Oncology Bremerton"/>
    <x v="0"/>
    <m/>
    <n v="0"/>
    <n v="0"/>
    <n v="0"/>
    <n v="0"/>
    <n v="0"/>
    <n v="0"/>
    <n v="0"/>
    <n v="0"/>
    <n v="0"/>
    <n v="0"/>
    <n v="0"/>
    <n v="8702.7999999999993"/>
    <n v="8702.7999999999993"/>
    <n v="-8702.7999999999993"/>
  </r>
  <r>
    <x v="15"/>
    <x v="6"/>
    <x v="0"/>
    <s v="5161107"/>
    <n v="731050"/>
    <s v="Refuse Disposal"/>
    <s v="Med Oncology Bremerton"/>
    <x v="0"/>
    <m/>
    <n v="1862.16"/>
    <n v="2558.5"/>
    <n v="2294.87"/>
    <n v="0"/>
    <n v="0"/>
    <n v="4529.83"/>
    <n v="2058.14"/>
    <n v="4294.7"/>
    <n v="1732.65"/>
    <n v="3819.84"/>
    <n v="0"/>
    <n v="2484.5"/>
    <n v="25635.190000000002"/>
    <n v="-2484.5"/>
  </r>
  <r>
    <x v="15"/>
    <x v="6"/>
    <x v="0"/>
    <s v="5161107"/>
    <n v="731060"/>
    <s v="Telephone"/>
    <s v="Med Oncology Bremerton"/>
    <x v="0"/>
    <m/>
    <n v="0"/>
    <n v="0"/>
    <n v="0"/>
    <n v="2236.41"/>
    <n v="0"/>
    <n v="0"/>
    <n v="0"/>
    <n v="0"/>
    <n v="0"/>
    <n v="0"/>
    <n v="0"/>
    <n v="0"/>
    <n v="2236.41"/>
    <n v="0"/>
  </r>
  <r>
    <x v="16"/>
    <x v="6"/>
    <x v="0"/>
    <s v="5161107"/>
    <n v="732020"/>
    <s v="Repairs--Clin Equip-Parts-Internal to CHI Programs"/>
    <s v="Med Oncology Bremerton"/>
    <x v="0"/>
    <m/>
    <n v="0"/>
    <n v="0"/>
    <n v="0"/>
    <n v="0"/>
    <n v="0"/>
    <n v="0"/>
    <n v="0"/>
    <n v="73.709999999999994"/>
    <n v="0"/>
    <n v="78.91"/>
    <n v="0"/>
    <n v="0"/>
    <n v="152.62"/>
    <n v="0"/>
  </r>
  <r>
    <x v="13"/>
    <x v="6"/>
    <x v="0"/>
    <s v="5161107"/>
    <n v="735050"/>
    <s v="Amortization-Leasehold Improvements"/>
    <s v="Med Oncology Bremerton"/>
    <x v="0"/>
    <m/>
    <n v="3350.71"/>
    <n v="3350.71"/>
    <n v="3350.71"/>
    <n v="3350.71"/>
    <n v="3350.71"/>
    <n v="3350.71"/>
    <n v="3350.71"/>
    <n v="3350.7"/>
    <n v="3350.71"/>
    <n v="3350.7"/>
    <n v="3350.72"/>
    <n v="3350.7"/>
    <n v="40208.499999999993"/>
    <n v="1.999999999998181E-2"/>
  </r>
  <r>
    <x v="13"/>
    <x v="6"/>
    <x v="0"/>
    <s v="5161107"/>
    <n v="735070"/>
    <s v="Depreciation-Movable Equipment"/>
    <s v="Med Oncology Bremerton"/>
    <x v="0"/>
    <m/>
    <n v="1531.9"/>
    <n v="1203.94"/>
    <n v="1203.96"/>
    <n v="1210.6600000000001"/>
    <n v="1210.68"/>
    <n v="1210.6500000000001"/>
    <n v="1210.69"/>
    <n v="1210.6500000000001"/>
    <n v="1210.7"/>
    <n v="1210.6500000000001"/>
    <n v="1210.7"/>
    <n v="1210.6500000000001"/>
    <n v="14835.830000000002"/>
    <n v="4.9999999999954525E-2"/>
  </r>
  <r>
    <x v="0"/>
    <x v="6"/>
    <x v="0"/>
    <s v="5161107"/>
    <n v="740020"/>
    <s v="Education-Registration Fees"/>
    <s v="Med Oncology Bremerton"/>
    <x v="0"/>
    <m/>
    <n v="0"/>
    <n v="0"/>
    <n v="0"/>
    <n v="0"/>
    <n v="0"/>
    <n v="398"/>
    <n v="199"/>
    <n v="1074"/>
    <n v="0"/>
    <n v="0"/>
    <n v="0"/>
    <n v="0"/>
    <n v="1671"/>
    <n v="0"/>
  </r>
  <r>
    <x v="0"/>
    <x v="6"/>
    <x v="0"/>
    <s v="5161107"/>
    <n v="742010"/>
    <s v="Postage-Regular"/>
    <s v="Med Oncology Bremerton"/>
    <x v="0"/>
    <m/>
    <n v="0"/>
    <n v="0"/>
    <n v="0"/>
    <n v="0"/>
    <n v="58.48"/>
    <n v="0"/>
    <n v="90.62"/>
    <n v="0"/>
    <n v="0"/>
    <n v="0"/>
    <n v="5.76"/>
    <n v="0"/>
    <n v="154.85999999999999"/>
    <n v="5.76"/>
  </r>
  <r>
    <x v="0"/>
    <x v="6"/>
    <x v="0"/>
    <s v="5161107"/>
    <n v="743030"/>
    <s v="Subscriptions--Institutional"/>
    <s v="Med Oncology Bremerton"/>
    <x v="0"/>
    <m/>
    <n v="0"/>
    <n v="0"/>
    <n v="0"/>
    <n v="-250.32"/>
    <n v="0"/>
    <n v="0"/>
    <n v="0"/>
    <n v="231.56"/>
    <n v="0"/>
    <n v="0"/>
    <n v="0"/>
    <n v="0"/>
    <n v="-18.759999999999991"/>
    <n v="0"/>
  </r>
  <r>
    <x v="0"/>
    <x v="6"/>
    <x v="0"/>
    <s v="5161107"/>
    <n v="749510"/>
    <s v="Miscellaneous Expenses"/>
    <s v="Med Oncology Bremerton"/>
    <x v="0"/>
    <m/>
    <n v="-136.81"/>
    <n v="-315.38"/>
    <n v="27.79"/>
    <n v="89.66"/>
    <n v="63.56"/>
    <n v="-127.04"/>
    <n v="41.14"/>
    <n v="-28.1"/>
    <n v="0"/>
    <n v="0"/>
    <n v="0"/>
    <n v="0"/>
    <n v="-385.18000000000006"/>
    <n v="0"/>
  </r>
  <r>
    <x v="0"/>
    <x v="6"/>
    <x v="0"/>
    <s v="5161107"/>
    <n v="749530"/>
    <s v="Travel"/>
    <s v="Med Oncology Bremerton"/>
    <x v="0"/>
    <m/>
    <n v="0"/>
    <n v="0"/>
    <n v="0"/>
    <n v="0"/>
    <n v="0"/>
    <n v="0"/>
    <n v="0"/>
    <n v="333.6"/>
    <n v="0"/>
    <n v="0"/>
    <n v="0"/>
    <n v="0"/>
    <n v="333.6"/>
    <n v="0"/>
  </r>
  <r>
    <x v="0"/>
    <x v="6"/>
    <x v="0"/>
    <s v="5161107"/>
    <n v="749530"/>
    <s v="Mileage"/>
    <s v="Med Oncology Bremerton"/>
    <x v="0"/>
    <n v="1001"/>
    <n v="282.89999999999998"/>
    <n v="176.59"/>
    <n v="98.67"/>
    <n v="81.760000000000005"/>
    <n v="97.57"/>
    <n v="154.26"/>
    <n v="71.959999999999994"/>
    <n v="114.84"/>
    <n v="102.08"/>
    <n v="121.8"/>
    <n v="19.14"/>
    <n v="0"/>
    <n v="1321.57"/>
    <n v="19.14"/>
  </r>
  <r>
    <x v="18"/>
    <x v="6"/>
    <x v="0"/>
    <s v="5162107"/>
    <n v="400010"/>
    <s v="Acute I/P Svcs Rev--Medicare"/>
    <s v="Med Oncology Poulsbo"/>
    <x v="0"/>
    <n v="1100"/>
    <n v="0"/>
    <n v="-1666.59"/>
    <n v="0"/>
    <n v="-662.88"/>
    <n v="-1845.26"/>
    <n v="-62"/>
    <n v="0"/>
    <n v="-1900.62"/>
    <n v="0"/>
    <n v="-62"/>
    <n v="0"/>
    <n v="0"/>
    <n v="-6199.3499999999995"/>
    <n v="0"/>
  </r>
  <r>
    <x v="18"/>
    <x v="6"/>
    <x v="0"/>
    <s v="5162107"/>
    <n v="400010"/>
    <s v="Acute I/P Svcs Rev--Managed Care"/>
    <s v="Med Oncology Poulsbo"/>
    <x v="0"/>
    <n v="1400"/>
    <n v="0"/>
    <n v="0"/>
    <n v="0"/>
    <n v="0"/>
    <n v="-298.77999999999997"/>
    <n v="0"/>
    <n v="0"/>
    <n v="0"/>
    <n v="0"/>
    <n v="0"/>
    <n v="0"/>
    <n v="0"/>
    <n v="-298.77999999999997"/>
    <n v="0"/>
  </r>
  <r>
    <x v="19"/>
    <x v="6"/>
    <x v="0"/>
    <s v="5162107"/>
    <n v="400020"/>
    <s v="O/P Care Svcs Rev--Medicare"/>
    <s v="Med Oncology Poulsbo"/>
    <x v="0"/>
    <n v="1100"/>
    <n v="-478054.29"/>
    <n v="-492596.87"/>
    <n v="-423544.82"/>
    <n v="-464501.46"/>
    <n v="-462946.92"/>
    <n v="-502413.12"/>
    <n v="-530172.31999999995"/>
    <n v="-512188.26"/>
    <n v="-517914.49"/>
    <n v="-516821.37"/>
    <n v="-515008.81"/>
    <n v="-475578.13"/>
    <n v="-5891740.8599999994"/>
    <n v="-39430.679999999993"/>
  </r>
  <r>
    <x v="19"/>
    <x v="6"/>
    <x v="0"/>
    <s v="5162107"/>
    <n v="400020"/>
    <s v="O/P Care Svcs Rev--Medicaid"/>
    <s v="Med Oncology Poulsbo"/>
    <x v="0"/>
    <n v="1200"/>
    <n v="-81825.710000000006"/>
    <n v="-96692.71"/>
    <n v="-119140.9"/>
    <n v="-94537.69"/>
    <n v="-76033.78"/>
    <n v="-53992.22"/>
    <n v="-62941.89"/>
    <n v="-65942.77"/>
    <n v="-65712.929999999993"/>
    <n v="-99494.399999999994"/>
    <n v="-85069.21"/>
    <n v="-80811.83"/>
    <n v="-982196.04"/>
    <n v="-4257.3800000000047"/>
  </r>
  <r>
    <x v="19"/>
    <x v="6"/>
    <x v="0"/>
    <s v="5162107"/>
    <n v="400020"/>
    <s v="O/P Care Svcs Rev--Comm Insurance"/>
    <s v="Med Oncology Poulsbo"/>
    <x v="0"/>
    <n v="1300"/>
    <n v="-3544.44"/>
    <n v="-4022.3"/>
    <n v="-417.78"/>
    <n v="-3408.36"/>
    <n v="-2268.0700000000002"/>
    <n v="-10919.84"/>
    <n v="-3654.85"/>
    <n v="-935.76"/>
    <n v="-2734.33"/>
    <n v="-4646.25"/>
    <n v="-13119.12"/>
    <n v="762.21"/>
    <n v="-48908.89"/>
    <n v="-13881.330000000002"/>
  </r>
  <r>
    <x v="19"/>
    <x v="6"/>
    <x v="0"/>
    <s v="5162107"/>
    <n v="400020"/>
    <s v="O/P Care Svcs Rev--BCBS Comm"/>
    <s v="Med Oncology Poulsbo"/>
    <x v="0"/>
    <n v="1301"/>
    <n v="-74627.839999999997"/>
    <n v="-62548.41"/>
    <n v="-59605.26"/>
    <n v="-82383.14"/>
    <n v="-90537.87"/>
    <n v="-67419.7"/>
    <n v="-87839.98"/>
    <n v="-61433.18"/>
    <n v="-73694.75"/>
    <n v="-87454.81"/>
    <n v="-74994.789999999994"/>
    <n v="-67112.41"/>
    <n v="-889652.14000000025"/>
    <n v="-7882.3799999999901"/>
  </r>
  <r>
    <x v="19"/>
    <x v="6"/>
    <x v="0"/>
    <s v="5162107"/>
    <n v="400020"/>
    <s v="O/P Care Svcs Rev--Managed Care"/>
    <s v="Med Oncology Poulsbo"/>
    <x v="0"/>
    <n v="1400"/>
    <n v="-139082.70000000001"/>
    <n v="-162967.47"/>
    <n v="-189598.38"/>
    <n v="-233290.02"/>
    <n v="-163289.87"/>
    <n v="-125045.38"/>
    <n v="-173711.65"/>
    <n v="-124162.6"/>
    <n v="-133399.26"/>
    <n v="-165225.78"/>
    <n v="-150934.93"/>
    <n v="-187863.8"/>
    <n v="-1948571.84"/>
    <n v="36928.869999999995"/>
  </r>
  <r>
    <x v="19"/>
    <x v="6"/>
    <x v="0"/>
    <s v="5162107"/>
    <n v="400020"/>
    <s v="O/P Care Svcs Rev--Self Pay"/>
    <s v="Med Oncology Poulsbo"/>
    <x v="0"/>
    <n v="1500"/>
    <n v="-4386.71"/>
    <n v="-3821.63"/>
    <n v="-886.8"/>
    <n v="214"/>
    <n v="-1774.57"/>
    <n v="-432.3"/>
    <n v="-6188"/>
    <n v="-2641.33"/>
    <n v="-5268.77"/>
    <n v="11687.12"/>
    <n v="-3284.57"/>
    <n v="185"/>
    <n v="-16598.559999999998"/>
    <n v="-3469.57"/>
  </r>
  <r>
    <x v="19"/>
    <x v="6"/>
    <x v="0"/>
    <s v="5162107"/>
    <n v="400020"/>
    <s v="O/P Care Svcs Rev--Other"/>
    <s v="Med Oncology Poulsbo"/>
    <x v="0"/>
    <n v="1700"/>
    <n v="-56321.46"/>
    <n v="-80344.679999999993"/>
    <n v="-59867.56"/>
    <n v="-59851.85"/>
    <n v="-63548.34"/>
    <n v="-62852.43"/>
    <n v="-33915.230000000003"/>
    <n v="-19426.55"/>
    <n v="-29433.26"/>
    <n v="-51246.81"/>
    <n v="-43855.27"/>
    <n v="-50507.39"/>
    <n v="-611170.82999999996"/>
    <n v="6652.1200000000026"/>
  </r>
  <r>
    <x v="5"/>
    <x v="6"/>
    <x v="0"/>
    <s v="5162107"/>
    <n v="700014"/>
    <s v="Salaries-Management-Productive"/>
    <s v="Med Oncology Poulsbo"/>
    <x v="0"/>
    <m/>
    <n v="7708.95"/>
    <n v="9613.6"/>
    <n v="7433.06"/>
    <n v="8131.46"/>
    <n v="8678.06"/>
    <n v="5817.52"/>
    <n v="9869.07"/>
    <n v="-1591.56"/>
    <n v="0"/>
    <n v="0"/>
    <n v="0"/>
    <n v="0"/>
    <n v="55660.159999999996"/>
    <n v="0"/>
  </r>
  <r>
    <x v="5"/>
    <x v="6"/>
    <x v="0"/>
    <s v="5162107"/>
    <n v="700014"/>
    <s v="Salaries-Management-Other"/>
    <s v="Med Oncology Poulsbo"/>
    <x v="0"/>
    <n v="2000"/>
    <n v="498.19"/>
    <n v="498.22"/>
    <n v="482.15"/>
    <n v="498.22"/>
    <n v="482.13"/>
    <n v="498.22"/>
    <n v="498.98"/>
    <n v="-80.45"/>
    <n v="0"/>
    <n v="0"/>
    <n v="0"/>
    <n v="0"/>
    <n v="3375.6600000000003"/>
    <n v="0"/>
  </r>
  <r>
    <x v="5"/>
    <x v="6"/>
    <x v="0"/>
    <s v="5162107"/>
    <n v="700018"/>
    <s v="Salaries-Supervisory-Productive"/>
    <s v="Med Oncology Poulsbo"/>
    <x v="0"/>
    <m/>
    <n v="4184.7"/>
    <n v="2819.72"/>
    <n v="4155.2"/>
    <n v="4396.57"/>
    <n v="4846.1400000000003"/>
    <n v="4113.93"/>
    <n v="4463.6000000000004"/>
    <n v="4073.1"/>
    <n v="3885.86"/>
    <n v="4681.59"/>
    <n v="4338.41"/>
    <n v="-499.22"/>
    <n v="45459.600000000006"/>
    <n v="4837.63"/>
  </r>
  <r>
    <x v="5"/>
    <x v="6"/>
    <x v="0"/>
    <s v="5162107"/>
    <n v="700026"/>
    <s v="Salaries-RN-Productive"/>
    <s v="Med Oncology Poulsbo"/>
    <x v="0"/>
    <m/>
    <n v="57022.63"/>
    <n v="59203.22"/>
    <n v="59363.69"/>
    <n v="65677.59"/>
    <n v="58582.84"/>
    <n v="59403.58"/>
    <n v="66229.23"/>
    <n v="57049.58"/>
    <n v="70507.210000000006"/>
    <n v="64409.45"/>
    <n v="58777.33"/>
    <n v="54600.36"/>
    <n v="730826.70999999985"/>
    <n v="4176.9700000000012"/>
  </r>
  <r>
    <x v="5"/>
    <x v="6"/>
    <x v="0"/>
    <s v="5162107"/>
    <n v="700026"/>
    <s v="Salaries-RN-OT"/>
    <s v="Med Oncology Poulsbo"/>
    <x v="0"/>
    <n v="1000"/>
    <n v="713.32"/>
    <n v="894"/>
    <n v="531.03"/>
    <n v="973.36"/>
    <n v="-15.02"/>
    <n v="379"/>
    <n v="246.42"/>
    <n v="144.5"/>
    <n v="386.83"/>
    <n v="620.96"/>
    <n v="697.22"/>
    <n v="536"/>
    <n v="6107.6200000000008"/>
    <n v="161.22000000000003"/>
  </r>
  <r>
    <x v="5"/>
    <x v="6"/>
    <x v="0"/>
    <s v="5162107"/>
    <n v="700026"/>
    <s v="Salaries-RN-Other"/>
    <s v="Med Oncology Poulsbo"/>
    <x v="0"/>
    <n v="2000"/>
    <n v="2079.4899999999998"/>
    <n v="2984.91"/>
    <n v="2120.17"/>
    <n v="1846.79"/>
    <n v="1586.05"/>
    <n v="1907.28"/>
    <n v="1584.14"/>
    <n v="1413.82"/>
    <n v="1598.98"/>
    <n v="1992.37"/>
    <n v="1911.24"/>
    <n v="2540.4699999999998"/>
    <n v="23565.710000000003"/>
    <n v="-629.22999999999979"/>
  </r>
  <r>
    <x v="5"/>
    <x v="6"/>
    <x v="0"/>
    <s v="5162107"/>
    <n v="700032"/>
    <s v="Salaries-Other Pat Care Providers-Productive"/>
    <s v="Med Oncology Poulsbo"/>
    <x v="0"/>
    <m/>
    <n v="12835.09"/>
    <n v="12994.04"/>
    <n v="11878.21"/>
    <n v="11690.84"/>
    <n v="11597.9"/>
    <n v="7111.99"/>
    <n v="11707.55"/>
    <n v="9355.69"/>
    <n v="10251.870000000001"/>
    <n v="11856.05"/>
    <n v="11023.72"/>
    <n v="9583.01"/>
    <n v="131885.96"/>
    <n v="1440.7099999999991"/>
  </r>
  <r>
    <x v="5"/>
    <x v="6"/>
    <x v="0"/>
    <s v="5162107"/>
    <n v="700032"/>
    <s v="Salaries-Other Pat Care Providers-OT"/>
    <s v="Med Oncology Poulsbo"/>
    <x v="0"/>
    <n v="1000"/>
    <n v="179.49"/>
    <n v="144.87"/>
    <n v="428.87"/>
    <n v="530.44000000000005"/>
    <n v="554.22"/>
    <n v="195.88"/>
    <n v="162.91999999999999"/>
    <n v="28.62"/>
    <n v="149.26"/>
    <n v="43.95"/>
    <n v="0"/>
    <n v="161.96"/>
    <n v="2580.4799999999996"/>
    <n v="-161.96"/>
  </r>
  <r>
    <x v="5"/>
    <x v="6"/>
    <x v="0"/>
    <s v="5162107"/>
    <n v="700032"/>
    <s v="Salaries-Other Pat Care Providers-Other"/>
    <s v="Med Oncology Poulsbo"/>
    <x v="0"/>
    <n v="2000"/>
    <n v="0"/>
    <n v="0"/>
    <n v="0"/>
    <n v="0"/>
    <n v="0"/>
    <n v="0"/>
    <n v="0"/>
    <n v="0"/>
    <n v="6.39"/>
    <n v="0"/>
    <n v="0"/>
    <n v="0"/>
    <n v="6.39"/>
    <n v="0"/>
  </r>
  <r>
    <x v="5"/>
    <x v="6"/>
    <x v="0"/>
    <s v="5162107"/>
    <n v="700038"/>
    <s v="Salaries-Service/Support-Productive"/>
    <s v="Med Oncology Poulsbo"/>
    <x v="0"/>
    <m/>
    <n v="10695.01"/>
    <n v="10159.18"/>
    <n v="11520.6"/>
    <n v="11615.56"/>
    <n v="12258"/>
    <n v="10410.39"/>
    <n v="10492.34"/>
    <n v="10188.040000000001"/>
    <n v="12960.39"/>
    <n v="11502.55"/>
    <n v="9342.82"/>
    <n v="11006.61"/>
    <n v="132151.49"/>
    <n v="-1663.7900000000009"/>
  </r>
  <r>
    <x v="5"/>
    <x v="6"/>
    <x v="0"/>
    <s v="5162107"/>
    <n v="700038"/>
    <s v="Salaries-Service/Support-OT"/>
    <s v="Med Oncology Poulsbo"/>
    <x v="0"/>
    <n v="1000"/>
    <n v="19.329999999999998"/>
    <n v="9.66"/>
    <n v="161.27000000000001"/>
    <n v="35.53"/>
    <n v="19.09"/>
    <n v="31.67"/>
    <n v="-5.09"/>
    <n v="15.98"/>
    <n v="271.44"/>
    <n v="13.69"/>
    <n v="107.65"/>
    <n v="112.5"/>
    <n v="792.72000000000014"/>
    <n v="-4.8499999999999943"/>
  </r>
  <r>
    <x v="5"/>
    <x v="6"/>
    <x v="0"/>
    <s v="5162107"/>
    <n v="700038"/>
    <s v="Salaries-Service/Support-Other"/>
    <s v="Med Oncology Poulsbo"/>
    <x v="0"/>
    <n v="2000"/>
    <n v="30"/>
    <n v="0"/>
    <n v="3.34"/>
    <n v="-1.21"/>
    <n v="0"/>
    <n v="0"/>
    <n v="0"/>
    <n v="0"/>
    <n v="0"/>
    <n v="0"/>
    <n v="0"/>
    <n v="0"/>
    <n v="32.130000000000003"/>
    <n v="0"/>
  </r>
  <r>
    <x v="5"/>
    <x v="6"/>
    <x v="0"/>
    <s v="5162107"/>
    <n v="700054"/>
    <s v="Salaries-Management-Non-productive"/>
    <s v="Med Oncology Poulsbo"/>
    <x v="0"/>
    <m/>
    <n v="1812.1"/>
    <n v="-92.1"/>
    <n v="1781.4"/>
    <n v="1658.6"/>
    <n v="858.25"/>
    <n v="4037.01"/>
    <n v="0.84"/>
    <n v="0"/>
    <n v="0"/>
    <n v="0"/>
    <n v="0"/>
    <n v="0"/>
    <n v="10056.1"/>
    <n v="0"/>
  </r>
  <r>
    <x v="5"/>
    <x v="6"/>
    <x v="0"/>
    <s v="5162107"/>
    <n v="700054"/>
    <s v="Salaries-Management-NonProd-Other"/>
    <s v="Med Oncology Poulsbo"/>
    <x v="0"/>
    <n v="2000"/>
    <n v="0"/>
    <n v="0"/>
    <n v="0"/>
    <n v="0"/>
    <n v="0"/>
    <n v="222"/>
    <n v="-222"/>
    <n v="0"/>
    <n v="0"/>
    <n v="0"/>
    <n v="0"/>
    <n v="0"/>
    <n v="0"/>
    <n v="0"/>
  </r>
  <r>
    <x v="5"/>
    <x v="6"/>
    <x v="0"/>
    <s v="5162107"/>
    <n v="700058"/>
    <s v="Salaries-Supervisory-Non-productive"/>
    <s v="Med Oncology Poulsbo"/>
    <x v="0"/>
    <m/>
    <n v="415.52"/>
    <n v="1780.71"/>
    <n v="296.89"/>
    <n v="389.56"/>
    <n v="-171.4"/>
    <n v="716.78"/>
    <n v="374.66"/>
    <n v="296.49"/>
    <n v="951.93"/>
    <n v="0"/>
    <n v="499.42"/>
    <n v="2840.24"/>
    <n v="8390.7999999999993"/>
    <n v="-2340.8199999999997"/>
  </r>
  <r>
    <x v="5"/>
    <x v="6"/>
    <x v="0"/>
    <s v="5162107"/>
    <n v="700058"/>
    <s v="Salaries-Supervisory-NonProd-Other"/>
    <s v="Med Oncology Poulsbo"/>
    <x v="0"/>
    <n v="2000"/>
    <n v="0"/>
    <n v="0"/>
    <n v="0"/>
    <n v="0"/>
    <n v="243.05"/>
    <n v="0"/>
    <n v="0"/>
    <n v="-243.05"/>
    <n v="0"/>
    <n v="0"/>
    <n v="0"/>
    <n v="0"/>
    <n v="0"/>
    <n v="0"/>
  </r>
  <r>
    <x v="5"/>
    <x v="6"/>
    <x v="0"/>
    <s v="5162107"/>
    <n v="700066"/>
    <s v="Salaries-RN-Non-productive"/>
    <s v="Med Oncology Poulsbo"/>
    <x v="0"/>
    <m/>
    <n v="7403.91"/>
    <n v="6723.35"/>
    <n v="9060.16"/>
    <n v="6145.81"/>
    <n v="10499.58"/>
    <n v="11200.26"/>
    <n v="7188.95"/>
    <n v="12297.94"/>
    <n v="3841.21"/>
    <n v="8806.7999999999993"/>
    <n v="9274.08"/>
    <n v="9673.74"/>
    <n v="102115.79000000001"/>
    <n v="-399.65999999999985"/>
  </r>
  <r>
    <x v="5"/>
    <x v="6"/>
    <x v="0"/>
    <s v="5162107"/>
    <n v="700066"/>
    <s v="Salaries-RN-NonProd-Other"/>
    <s v="Med Oncology Poulsbo"/>
    <x v="0"/>
    <n v="2000"/>
    <n v="67.13"/>
    <n v="95.43"/>
    <n v="66.459999999999994"/>
    <n v="95.54"/>
    <n v="69.19"/>
    <n v="114.57"/>
    <n v="62.86"/>
    <n v="247.01"/>
    <n v="29.6"/>
    <n v="97.64"/>
    <n v="134.58000000000001"/>
    <n v="66.33"/>
    <n v="1146.3399999999999"/>
    <n v="68.250000000000014"/>
  </r>
  <r>
    <x v="5"/>
    <x v="6"/>
    <x v="0"/>
    <s v="5162107"/>
    <n v="700072"/>
    <s v="Salaries-Other Pat Care Providers-Non-productive"/>
    <s v="Med Oncology Poulsbo"/>
    <x v="0"/>
    <m/>
    <n v="2000.19"/>
    <n v="1102.1099999999999"/>
    <n v="2074.85"/>
    <n v="838.7"/>
    <n v="536.29999999999995"/>
    <n v="4549.8999999999996"/>
    <n v="1346.22"/>
    <n v="2492.42"/>
    <n v="749.29"/>
    <n v="2566.88"/>
    <n v="625.83000000000004"/>
    <n v="1961.5"/>
    <n v="20844.190000000002"/>
    <n v="-1335.67"/>
  </r>
  <r>
    <x v="5"/>
    <x v="6"/>
    <x v="0"/>
    <s v="5162107"/>
    <n v="700078"/>
    <s v="Salaries-Service/Support-Non-productive"/>
    <s v="Med Oncology Poulsbo"/>
    <x v="0"/>
    <m/>
    <n v="2355.2600000000002"/>
    <n v="1708.38"/>
    <n v="139.83000000000001"/>
    <n v="1034.07"/>
    <n v="496.9"/>
    <n v="2535.85"/>
    <n v="934.51"/>
    <n v="1222.29"/>
    <n v="-265.81"/>
    <n v="1434.25"/>
    <n v="213.14"/>
    <n v="845.44"/>
    <n v="12654.11"/>
    <n v="-632.30000000000007"/>
  </r>
  <r>
    <x v="5"/>
    <x v="6"/>
    <x v="0"/>
    <s v="5162107"/>
    <n v="700084"/>
    <s v="Accrued PTO"/>
    <s v="Med Oncology Poulsbo"/>
    <x v="0"/>
    <m/>
    <n v="-760.83"/>
    <n v="650.12"/>
    <n v="-1312.34"/>
    <n v="2928.41"/>
    <n v="1007.66"/>
    <n v="-9379.5400000000009"/>
    <n v="-15677.29"/>
    <n v="13466.36"/>
    <n v="4515.41"/>
    <n v="1515.53"/>
    <n v="729.74"/>
    <n v="-2169.83"/>
    <n v="-4486.6000000000013"/>
    <n v="2899.5699999999997"/>
  </r>
  <r>
    <x v="10"/>
    <x v="6"/>
    <x v="0"/>
    <s v="5162107"/>
    <n v="710060"/>
    <s v="Contract Labor-Other"/>
    <s v="Med Oncology Poulsbo"/>
    <x v="0"/>
    <m/>
    <n v="0"/>
    <n v="0"/>
    <n v="0"/>
    <n v="630"/>
    <n v="365"/>
    <n v="0"/>
    <n v="0"/>
    <n v="0"/>
    <n v="0"/>
    <n v="0"/>
    <n v="0"/>
    <n v="0"/>
    <n v="995"/>
    <n v="0"/>
  </r>
  <r>
    <x v="6"/>
    <x v="6"/>
    <x v="0"/>
    <s v="5162107"/>
    <n v="713010"/>
    <s v="Benefits-FICA/Medicare"/>
    <s v="Med Oncology Poulsbo"/>
    <x v="0"/>
    <m/>
    <n v="8035.93"/>
    <n v="8032.39"/>
    <n v="8134.23"/>
    <n v="8464.73"/>
    <n v="8199.59"/>
    <n v="8274.31"/>
    <n v="8383.14"/>
    <n v="7092.71"/>
    <n v="7670.06"/>
    <n v="7873.96"/>
    <n v="7128.16"/>
    <n v="6931.67"/>
    <n v="94220.88"/>
    <n v="196.48999999999978"/>
  </r>
  <r>
    <x v="6"/>
    <x v="6"/>
    <x v="0"/>
    <s v="5162107"/>
    <n v="713090"/>
    <s v="Benefits-Allocated Amounts"/>
    <s v="Med Oncology Poulsbo"/>
    <x v="0"/>
    <m/>
    <n v="20847.91"/>
    <n v="18200.57"/>
    <n v="20506.79"/>
    <n v="20512.669999999998"/>
    <n v="22579.91"/>
    <n v="20689.5"/>
    <n v="21057.06"/>
    <n v="20633.8"/>
    <n v="17019.79"/>
    <n v="22923.97"/>
    <n v="18355.599999999999"/>
    <n v="21544.92"/>
    <n v="244872.49"/>
    <n v="-3189.3199999999997"/>
  </r>
  <r>
    <x v="6"/>
    <x v="6"/>
    <x v="0"/>
    <s v="5162107"/>
    <n v="713096"/>
    <s v="Employee Recognition"/>
    <s v="Med Oncology Poulsbo"/>
    <x v="0"/>
    <n v="1017"/>
    <n v="0"/>
    <n v="0"/>
    <n v="0"/>
    <n v="0"/>
    <n v="0"/>
    <n v="96.89"/>
    <n v="0"/>
    <n v="129.71"/>
    <n v="0"/>
    <n v="0"/>
    <n v="0"/>
    <n v="0"/>
    <n v="226.60000000000002"/>
    <n v="0"/>
  </r>
  <r>
    <x v="17"/>
    <x v="6"/>
    <x v="0"/>
    <s v="5162107"/>
    <n v="714510"/>
    <s v="Medical Director Fees"/>
    <s v="Med Oncology Poulsbo"/>
    <x v="0"/>
    <m/>
    <n v="5062.5"/>
    <n v="0"/>
    <n v="0"/>
    <n v="0"/>
    <n v="5662.5"/>
    <n v="0"/>
    <n v="0"/>
    <n v="0"/>
    <n v="3750"/>
    <n v="0"/>
    <n v="0"/>
    <n v="0"/>
    <n v="14475"/>
    <n v="0"/>
  </r>
  <r>
    <x v="7"/>
    <x v="6"/>
    <x v="0"/>
    <s v="5162107"/>
    <n v="718050"/>
    <s v="Miscellaneous Purchased Svcs"/>
    <s v="Med Oncology Poulsbo"/>
    <x v="0"/>
    <n v="1020"/>
    <n v="372.24"/>
    <n v="1300.28"/>
    <n v="1334.25"/>
    <n v="740.17"/>
    <n v="928.86"/>
    <n v="1071.29"/>
    <n v="952.24"/>
    <n v="1063.8"/>
    <n v="2221.5500000000002"/>
    <n v="378.19"/>
    <n v="80"/>
    <n v="1713.63"/>
    <n v="12156.5"/>
    <n v="-1633.63"/>
  </r>
  <r>
    <x v="7"/>
    <x v="6"/>
    <x v="0"/>
    <s v="5162107"/>
    <n v="718050"/>
    <s v="Contract Management--Linen"/>
    <s v="Med Oncology Poulsbo"/>
    <x v="0"/>
    <n v="1026"/>
    <n v="0"/>
    <n v="0"/>
    <n v="0"/>
    <n v="0"/>
    <n v="0"/>
    <n v="0"/>
    <n v="0"/>
    <n v="191.03"/>
    <n v="0"/>
    <n v="189.06"/>
    <n v="0"/>
    <n v="0"/>
    <n v="380.09000000000003"/>
    <n v="0"/>
  </r>
  <r>
    <x v="11"/>
    <x v="6"/>
    <x v="0"/>
    <s v="5162107"/>
    <n v="721010"/>
    <s v="Supplies-Medical - Billable"/>
    <s v="Med Oncology Poulsbo"/>
    <x v="0"/>
    <m/>
    <n v="0"/>
    <n v="0"/>
    <n v="0"/>
    <n v="-168.95"/>
    <n v="0"/>
    <n v="0"/>
    <n v="0"/>
    <n v="0"/>
    <n v="0"/>
    <n v="0"/>
    <n v="0"/>
    <n v="0"/>
    <n v="-168.95"/>
    <n v="0"/>
  </r>
  <r>
    <x v="11"/>
    <x v="6"/>
    <x v="0"/>
    <s v="5162107"/>
    <n v="721410"/>
    <s v="Supplies-Medical - Nonbillable"/>
    <s v="Med Oncology Poulsbo"/>
    <x v="0"/>
    <m/>
    <n v="4066.63"/>
    <n v="2679.54"/>
    <n v="3968.85"/>
    <n v="6590.5"/>
    <n v="1531.2"/>
    <n v="7996.32"/>
    <n v="4117.68"/>
    <n v="2032.79"/>
    <n v="4251.34"/>
    <n v="4058.72"/>
    <n v="2046.04"/>
    <n v="3931.78"/>
    <n v="47271.390000000007"/>
    <n v="-1885.7400000000002"/>
  </r>
  <r>
    <x v="11"/>
    <x v="6"/>
    <x v="0"/>
    <s v="5162107"/>
    <n v="721810"/>
    <s v="Supplies-Dietary/Cafeteria"/>
    <s v="Med Oncology Poulsbo"/>
    <x v="0"/>
    <m/>
    <n v="849.95"/>
    <n v="1363.51"/>
    <n v="921.88"/>
    <n v="893.1"/>
    <n v="887.18"/>
    <n v="780.38"/>
    <n v="1904.24"/>
    <n v="615.41999999999996"/>
    <n v="1244.43"/>
    <n v="833.18"/>
    <n v="1129.21"/>
    <n v="981.53"/>
    <n v="12404.01"/>
    <n v="147.68000000000006"/>
  </r>
  <r>
    <x v="11"/>
    <x v="6"/>
    <x v="0"/>
    <s v="5162107"/>
    <n v="721830"/>
    <s v="Supplies-Office"/>
    <s v="Med Oncology Poulsbo"/>
    <x v="0"/>
    <m/>
    <n v="468.02"/>
    <n v="306.04000000000002"/>
    <n v="408.02"/>
    <n v="610.58000000000004"/>
    <n v="507.17"/>
    <n v="504.26"/>
    <n v="545.14"/>
    <n v="322.29000000000002"/>
    <n v="489.19"/>
    <n v="259.33999999999997"/>
    <n v="665.91"/>
    <n v="164.14"/>
    <n v="5250.1"/>
    <n v="501.77"/>
  </r>
  <r>
    <x v="11"/>
    <x v="6"/>
    <x v="0"/>
    <s v="5162107"/>
    <n v="721835"/>
    <s v="Supplies-Forms"/>
    <s v="Med Oncology Poulsbo"/>
    <x v="0"/>
    <m/>
    <n v="0"/>
    <n v="134.62"/>
    <n v="0"/>
    <n v="0"/>
    <n v="30.6"/>
    <n v="95"/>
    <n v="0"/>
    <n v="0"/>
    <n v="0"/>
    <n v="9.1999999999999993"/>
    <n v="0"/>
    <n v="0"/>
    <n v="269.42"/>
    <n v="0"/>
  </r>
  <r>
    <x v="11"/>
    <x v="6"/>
    <x v="0"/>
    <s v="5162107"/>
    <n v="721910"/>
    <s v="Supplies-Small Equipment"/>
    <s v="Med Oncology Poulsbo"/>
    <x v="0"/>
    <m/>
    <n v="69.38"/>
    <n v="0"/>
    <n v="0"/>
    <n v="0"/>
    <n v="0"/>
    <n v="0"/>
    <n v="0"/>
    <n v="52.45"/>
    <n v="0"/>
    <n v="0"/>
    <n v="0"/>
    <n v="0"/>
    <n v="121.83"/>
    <n v="0"/>
  </r>
  <r>
    <x v="11"/>
    <x v="6"/>
    <x v="0"/>
    <s v="5162107"/>
    <n v="721980"/>
    <s v="Supplies-Other"/>
    <s v="Med Oncology Poulsbo"/>
    <x v="0"/>
    <m/>
    <n v="0"/>
    <n v="0"/>
    <n v="0"/>
    <n v="0"/>
    <n v="0"/>
    <n v="0"/>
    <n v="57.11"/>
    <n v="0"/>
    <n v="0"/>
    <n v="0"/>
    <n v="0"/>
    <n v="0"/>
    <n v="57.11"/>
    <n v="0"/>
  </r>
  <r>
    <x v="11"/>
    <x v="6"/>
    <x v="0"/>
    <s v="5162107"/>
    <n v="722000"/>
    <s v="Supplies-Freight Expense"/>
    <s v="Med Oncology Poulsbo"/>
    <x v="0"/>
    <m/>
    <n v="0"/>
    <n v="35"/>
    <n v="0"/>
    <n v="25.15"/>
    <n v="0"/>
    <n v="0"/>
    <n v="0"/>
    <n v="0"/>
    <n v="0"/>
    <n v="0"/>
    <n v="0"/>
    <n v="0"/>
    <n v="60.15"/>
    <n v="0"/>
  </r>
  <r>
    <x v="12"/>
    <x v="6"/>
    <x v="0"/>
    <s v="5162107"/>
    <n v="730010"/>
    <s v="Rental and Leases-Building (DO NOT USE)"/>
    <s v="Med Oncology Poulsbo"/>
    <x v="0"/>
    <m/>
    <n v="9819.24"/>
    <n v="9819.24"/>
    <n v="9819.24"/>
    <n v="9819.24"/>
    <n v="9819.24"/>
    <n v="-6323.22"/>
    <n v="7276.73"/>
    <n v="7276.73"/>
    <n v="7276.73"/>
    <n v="7276.72"/>
    <n v="7276.72"/>
    <n v="0"/>
    <n v="79156.609999999986"/>
    <n v="7276.72"/>
  </r>
  <r>
    <x v="12"/>
    <x v="6"/>
    <x v="0"/>
    <s v="5162107"/>
    <n v="730010"/>
    <s v="Rental-Common Area Maint (DO NOT USE)"/>
    <s v="Med Oncology Poulsbo"/>
    <x v="0"/>
    <n v="2200"/>
    <n v="0"/>
    <n v="0"/>
    <n v="0"/>
    <n v="0"/>
    <n v="0"/>
    <n v="16319.94"/>
    <n v="2719.99"/>
    <n v="2719.99"/>
    <n v="2719.99"/>
    <n v="2719.99"/>
    <n v="2719.99"/>
    <n v="0"/>
    <n v="29919.889999999992"/>
    <n v="2719.99"/>
  </r>
  <r>
    <x v="12"/>
    <x v="6"/>
    <x v="0"/>
    <s v="5162107"/>
    <n v="730020"/>
    <s v="Rental and Leases-Copier Usage Fees (DO NOT USE)"/>
    <s v="Med Oncology Poulsbo"/>
    <x v="0"/>
    <n v="5100"/>
    <n v="21.26"/>
    <n v="21.99"/>
    <n v="21.62"/>
    <n v="21.62"/>
    <n v="21.62"/>
    <n v="21.62"/>
    <n v="20.25"/>
    <n v="22.01"/>
    <n v="21.97"/>
    <n v="22.05"/>
    <n v="22.01"/>
    <n v="24.58"/>
    <n v="262.60000000000002"/>
    <n v="-2.5699999999999967"/>
  </r>
  <r>
    <x v="12"/>
    <x v="6"/>
    <x v="0"/>
    <s v="5162107"/>
    <n v="730040"/>
    <s v="LT Lease-Real Estate"/>
    <s v="Med Oncology Poulsbo"/>
    <x v="0"/>
    <m/>
    <n v="0"/>
    <n v="0"/>
    <n v="0"/>
    <n v="0"/>
    <n v="0"/>
    <n v="0"/>
    <n v="0"/>
    <n v="0"/>
    <n v="0"/>
    <n v="0"/>
    <n v="0"/>
    <n v="9996.7099999999991"/>
    <n v="9996.7099999999991"/>
    <n v="-9996.7099999999991"/>
  </r>
  <r>
    <x v="15"/>
    <x v="6"/>
    <x v="0"/>
    <s v="5162107"/>
    <n v="731050"/>
    <s v="Refuse Disposal"/>
    <s v="Med Oncology Poulsbo"/>
    <x v="0"/>
    <m/>
    <n v="3061.24"/>
    <n v="1974.6"/>
    <n v="0"/>
    <n v="3255.92"/>
    <n v="1937.64"/>
    <n v="2064.1"/>
    <n v="0"/>
    <n v="3364.36"/>
    <n v="1518.96"/>
    <n v="0"/>
    <n v="1541.4"/>
    <n v="1548.35"/>
    <n v="20266.57"/>
    <n v="-6.9499999999998181"/>
  </r>
  <r>
    <x v="16"/>
    <x v="6"/>
    <x v="0"/>
    <s v="5162107"/>
    <n v="732030"/>
    <s v="Repairs---Other"/>
    <s v="Med Oncology Poulsbo"/>
    <x v="0"/>
    <m/>
    <n v="235.4"/>
    <n v="0"/>
    <n v="2284.39"/>
    <n v="203.69"/>
    <n v="0"/>
    <n v="0"/>
    <n v="0"/>
    <n v="0"/>
    <n v="0"/>
    <n v="1772.58"/>
    <n v="0"/>
    <n v="0"/>
    <n v="4496.0599999999995"/>
    <n v="0"/>
  </r>
  <r>
    <x v="16"/>
    <x v="6"/>
    <x v="0"/>
    <s v="5162107"/>
    <n v="732030"/>
    <s v="Repairs&amp;Maintenance-Bldg Routine"/>
    <s v="Med Oncology Poulsbo"/>
    <x v="0"/>
    <n v="2300"/>
    <n v="0"/>
    <n v="0"/>
    <n v="0"/>
    <n v="0"/>
    <n v="0"/>
    <n v="0"/>
    <n v="0"/>
    <n v="114.46"/>
    <n v="0"/>
    <n v="0"/>
    <n v="0"/>
    <n v="0"/>
    <n v="114.46"/>
    <n v="0"/>
  </r>
  <r>
    <x v="13"/>
    <x v="6"/>
    <x v="0"/>
    <s v="5162107"/>
    <n v="735050"/>
    <s v="Amortization-Leasehold Improvements"/>
    <s v="Med Oncology Poulsbo"/>
    <x v="0"/>
    <m/>
    <n v="351.64"/>
    <n v="351.64"/>
    <n v="351.66"/>
    <n v="351.64"/>
    <n v="351.66"/>
    <n v="351.64"/>
    <n v="351.66"/>
    <n v="351.64"/>
    <n v="351.66"/>
    <n v="351.64"/>
    <n v="351.66"/>
    <n v="351.64"/>
    <n v="4219.78"/>
    <n v="2.0000000000038654E-2"/>
  </r>
  <r>
    <x v="13"/>
    <x v="6"/>
    <x v="0"/>
    <s v="5162107"/>
    <n v="735070"/>
    <s v="Depreciation-Movable Equipment"/>
    <s v="Med Oncology Poulsbo"/>
    <x v="0"/>
    <m/>
    <n v="327.76"/>
    <n v="327.76"/>
    <n v="327.76"/>
    <n v="327.75"/>
    <n v="327.78"/>
    <n v="327.75"/>
    <n v="327.78"/>
    <n v="327.75"/>
    <n v="327.78"/>
    <n v="327.75"/>
    <n v="327.78"/>
    <n v="327.75"/>
    <n v="3933.1499999999996"/>
    <n v="2.9999999999972715E-2"/>
  </r>
  <r>
    <x v="0"/>
    <x v="6"/>
    <x v="0"/>
    <s v="5162107"/>
    <n v="740020"/>
    <s v="Education-Registration Fees"/>
    <s v="Med Oncology Poulsbo"/>
    <x v="0"/>
    <m/>
    <n v="0"/>
    <n v="0"/>
    <n v="0"/>
    <n v="279"/>
    <n v="0"/>
    <n v="0"/>
    <n v="0"/>
    <n v="0"/>
    <n v="0"/>
    <n v="0"/>
    <n v="0"/>
    <n v="0"/>
    <n v="279"/>
    <n v="0"/>
  </r>
  <r>
    <x v="0"/>
    <x v="6"/>
    <x v="0"/>
    <s v="5162107"/>
    <n v="743030"/>
    <s v="Subscriptions--Institutional"/>
    <s v="Med Oncology Poulsbo"/>
    <x v="0"/>
    <m/>
    <n v="0"/>
    <n v="0"/>
    <n v="0"/>
    <n v="0"/>
    <n v="0"/>
    <n v="0"/>
    <n v="0"/>
    <n v="231.57"/>
    <n v="0"/>
    <n v="0"/>
    <n v="0"/>
    <n v="0"/>
    <n v="231.57"/>
    <n v="0"/>
  </r>
  <r>
    <x v="0"/>
    <x v="6"/>
    <x v="0"/>
    <s v="5162107"/>
    <n v="749510"/>
    <s v="Miscellaneous Expenses"/>
    <s v="Med Oncology Poulsbo"/>
    <x v="0"/>
    <m/>
    <n v="-32.17"/>
    <n v="-39.79"/>
    <n v="107.94"/>
    <n v="-107.94"/>
    <n v="214.63"/>
    <n v="100.7"/>
    <n v="-19.7"/>
    <n v="-295.63"/>
    <n v="0"/>
    <n v="0"/>
    <n v="0"/>
    <n v="0"/>
    <n v="-71.95999999999998"/>
    <n v="0"/>
  </r>
  <r>
    <x v="0"/>
    <x v="6"/>
    <x v="0"/>
    <s v="5162107"/>
    <n v="749530"/>
    <s v="Travel"/>
    <s v="Med Oncology Poulsbo"/>
    <x v="0"/>
    <m/>
    <n v="11"/>
    <n v="0"/>
    <n v="0"/>
    <n v="0"/>
    <n v="0"/>
    <n v="0"/>
    <n v="189.4"/>
    <n v="165.92"/>
    <n v="0"/>
    <n v="0"/>
    <n v="0"/>
    <n v="0"/>
    <n v="366.32"/>
    <n v="0"/>
  </r>
  <r>
    <x v="0"/>
    <x v="6"/>
    <x v="0"/>
    <s v="5162107"/>
    <n v="749530"/>
    <s v="Mileage"/>
    <s v="Med Oncology Poulsbo"/>
    <x v="0"/>
    <n v="1001"/>
    <n v="55.6"/>
    <n v="232.18"/>
    <n v="0"/>
    <n v="215.88"/>
    <n v="17.989999999999998"/>
    <n v="135.72999999999999"/>
    <n v="230.36"/>
    <n v="89.32"/>
    <n v="0"/>
    <n v="95.12"/>
    <n v="0"/>
    <n v="19.14"/>
    <n v="1091.32"/>
    <n v="-19.14"/>
  </r>
  <r>
    <x v="0"/>
    <x v="6"/>
    <x v="0"/>
    <s v="5162107"/>
    <n v="749535"/>
    <s v="Meetings"/>
    <s v="Med Oncology Poulsbo"/>
    <x v="0"/>
    <m/>
    <n v="76.97"/>
    <n v="0"/>
    <n v="0"/>
    <n v="0"/>
    <n v="0"/>
    <n v="0"/>
    <n v="0"/>
    <n v="0"/>
    <n v="0"/>
    <n v="0"/>
    <n v="0"/>
    <n v="0"/>
    <n v="76.97"/>
    <n v="0"/>
  </r>
  <r>
    <x v="20"/>
    <x v="6"/>
    <x v="0"/>
    <s v="5190107"/>
    <n v="610010"/>
    <s v="Foundation Distributions"/>
    <s v="Oncology Service Line"/>
    <x v="0"/>
    <n v="1175"/>
    <n v="-1969.84"/>
    <n v="0"/>
    <n v="0"/>
    <n v="0"/>
    <n v="0"/>
    <n v="0"/>
    <n v="-2240.31"/>
    <n v="0"/>
    <n v="0"/>
    <n v="0"/>
    <n v="0"/>
    <n v="0"/>
    <n v="-4210.1499999999996"/>
    <n v="0"/>
  </r>
  <r>
    <x v="5"/>
    <x v="6"/>
    <x v="0"/>
    <s v="5190107"/>
    <n v="700014"/>
    <s v="Salaries-Management-Productive"/>
    <s v="Oncology Service Line"/>
    <x v="0"/>
    <m/>
    <n v="0"/>
    <n v="0"/>
    <n v="0"/>
    <n v="0"/>
    <n v="0"/>
    <n v="0"/>
    <n v="0"/>
    <n v="10909.68"/>
    <n v="10278.51"/>
    <n v="10313.219999999999"/>
    <n v="9436.6200000000008"/>
    <n v="9997.98"/>
    <n v="50936.010000000009"/>
    <n v="-561.35999999999876"/>
  </r>
  <r>
    <x v="5"/>
    <x v="6"/>
    <x v="0"/>
    <s v="5190107"/>
    <n v="700018"/>
    <s v="Salaries-Supervisory-Productive"/>
    <s v="Oncology Service Line"/>
    <x v="0"/>
    <m/>
    <n v="5400.51"/>
    <n v="5291.31"/>
    <n v="5327.84"/>
    <n v="1094.82"/>
    <n v="7686.72"/>
    <n v="4049.81"/>
    <n v="3699.15"/>
    <n v="5013.17"/>
    <n v="6008.34"/>
    <n v="4731.4399999999996"/>
    <n v="6196.07"/>
    <n v="5107.2"/>
    <n v="59606.38"/>
    <n v="1088.8699999999999"/>
  </r>
  <r>
    <x v="5"/>
    <x v="6"/>
    <x v="0"/>
    <s v="5190107"/>
    <n v="700026"/>
    <s v="Salaries-RN-Productive"/>
    <s v="Oncology Service Line"/>
    <x v="0"/>
    <m/>
    <n v="12456.78"/>
    <n v="12068.22"/>
    <n v="13244.85"/>
    <n v="5911.33"/>
    <n v="17465.240000000002"/>
    <n v="10518.93"/>
    <n v="14128.63"/>
    <n v="8559.2800000000007"/>
    <n v="16112.6"/>
    <n v="13885.95"/>
    <n v="14081.86"/>
    <n v="14778.33"/>
    <n v="153212"/>
    <n v="-696.46999999999935"/>
  </r>
  <r>
    <x v="5"/>
    <x v="6"/>
    <x v="0"/>
    <s v="5190107"/>
    <n v="700032"/>
    <s v="Salaries-Other Pat Care Providers-Productive"/>
    <s v="Oncology Service Line"/>
    <x v="0"/>
    <m/>
    <n v="14848.63"/>
    <n v="16269.5"/>
    <n v="16812.77"/>
    <n v="17964.11"/>
    <n v="16513.86"/>
    <n v="16140.97"/>
    <n v="19741.64"/>
    <n v="14593.03"/>
    <n v="19511.98"/>
    <n v="20392.12"/>
    <n v="18166.09"/>
    <n v="19724.22"/>
    <n v="210678.92"/>
    <n v="-1558.130000000001"/>
  </r>
  <r>
    <x v="5"/>
    <x v="6"/>
    <x v="0"/>
    <s v="5190107"/>
    <n v="700032"/>
    <s v="Salaries-Other Pat Care Providers-OT"/>
    <s v="Oncology Service Line"/>
    <x v="0"/>
    <n v="1000"/>
    <n v="54.46"/>
    <n v="56.6"/>
    <n v="40.6"/>
    <n v="175.42"/>
    <n v="20.91"/>
    <n v="41.8"/>
    <n v="33.08"/>
    <n v="4.4400000000000004"/>
    <n v="15.42"/>
    <n v="57.28"/>
    <n v="-11"/>
    <n v="15.43"/>
    <n v="504.44"/>
    <n v="-26.43"/>
  </r>
  <r>
    <x v="5"/>
    <x v="6"/>
    <x v="0"/>
    <s v="5190107"/>
    <n v="700032"/>
    <s v="Salaries-Other Pat Care Providers-Other"/>
    <s v="Oncology Service Line"/>
    <x v="0"/>
    <n v="2000"/>
    <n v="0"/>
    <n v="0"/>
    <n v="0"/>
    <n v="126.67"/>
    <n v="72.22"/>
    <n v="124.02"/>
    <n v="75.37"/>
    <n v="66.56"/>
    <n v="97.5"/>
    <n v="96.51"/>
    <n v="74.63"/>
    <n v="56.51"/>
    <n v="789.9899999999999"/>
    <n v="18.119999999999997"/>
  </r>
  <r>
    <x v="5"/>
    <x v="6"/>
    <x v="0"/>
    <s v="5190107"/>
    <n v="700034"/>
    <s v="Salaries-Tech/Professional-Productive"/>
    <s v="Oncology Service Line"/>
    <x v="0"/>
    <m/>
    <n v="4602.1899999999996"/>
    <n v="4384.72"/>
    <n v="3576.27"/>
    <n v="4965.8"/>
    <n v="4070.03"/>
    <n v="3032.8"/>
    <n v="4717.4799999999996"/>
    <n v="2681.79"/>
    <n v="5492.7"/>
    <n v="4620.21"/>
    <n v="4571.92"/>
    <n v="4151.92"/>
    <n v="50867.829999999994"/>
    <n v="420"/>
  </r>
  <r>
    <x v="5"/>
    <x v="6"/>
    <x v="0"/>
    <s v="5190107"/>
    <n v="700038"/>
    <s v="Salaries-Service/Support-Productive"/>
    <s v="Oncology Service Line"/>
    <x v="0"/>
    <m/>
    <n v="4043.67"/>
    <n v="4234.54"/>
    <n v="3099.96"/>
    <n v="3521.85"/>
    <n v="2664.49"/>
    <n v="3351.94"/>
    <n v="4108.2700000000004"/>
    <n v="2891.74"/>
    <n v="4677.74"/>
    <n v="4053.94"/>
    <n v="3149.6"/>
    <n v="4443.0200000000004"/>
    <n v="44240.759999999995"/>
    <n v="-1293.4200000000005"/>
  </r>
  <r>
    <x v="5"/>
    <x v="6"/>
    <x v="0"/>
    <s v="5190107"/>
    <n v="700054"/>
    <s v="Salaries-Management-Non-productive"/>
    <s v="Oncology Service Line"/>
    <x v="0"/>
    <m/>
    <n v="0"/>
    <n v="0"/>
    <n v="0"/>
    <n v="0"/>
    <n v="0"/>
    <n v="0"/>
    <n v="0"/>
    <n v="666.49"/>
    <n v="596.37"/>
    <n v="210.5"/>
    <n v="1438.23"/>
    <n v="526.25"/>
    <n v="3437.84"/>
    <n v="911.98"/>
  </r>
  <r>
    <x v="5"/>
    <x v="6"/>
    <x v="0"/>
    <s v="5190107"/>
    <n v="700058"/>
    <s v="Salaries-Supervisory-Non-productive"/>
    <s v="Oncology Service Line"/>
    <x v="0"/>
    <m/>
    <n v="255.44"/>
    <n v="364.89"/>
    <n v="145.99"/>
    <n v="4687.1000000000004"/>
    <n v="-2062.3000000000002"/>
    <n v="1762.29"/>
    <n v="2121.9699999999998"/>
    <n v="244.12"/>
    <n v="-187.73"/>
    <n v="901.19"/>
    <n v="-375.46"/>
    <n v="525.72"/>
    <n v="8383.2199999999993"/>
    <n v="-901.18000000000006"/>
  </r>
  <r>
    <x v="5"/>
    <x v="6"/>
    <x v="0"/>
    <s v="5190107"/>
    <n v="700066"/>
    <s v="Salaries-RN-Non-productive"/>
    <s v="Oncology Service Line"/>
    <x v="0"/>
    <m/>
    <n v="2496.3200000000002"/>
    <n v="2885.57"/>
    <n v="1226.75"/>
    <n v="9357.89"/>
    <n v="-2615.81"/>
    <n v="4825.99"/>
    <n v="1240.23"/>
    <n v="5320.87"/>
    <n v="-745.19"/>
    <n v="985.26"/>
    <n v="1285.56"/>
    <n v="93.58"/>
    <n v="26357.02"/>
    <n v="1191.98"/>
  </r>
  <r>
    <x v="5"/>
    <x v="6"/>
    <x v="0"/>
    <s v="5190107"/>
    <n v="700072"/>
    <s v="Salaries-Other Pat Care Providers-Non-productive"/>
    <s v="Oncology Service Line"/>
    <x v="0"/>
    <m/>
    <n v="3861.18"/>
    <n v="2645.16"/>
    <n v="1283.8499999999999"/>
    <n v="883.85"/>
    <n v="1083.0999999999999"/>
    <n v="6584.27"/>
    <n v="3121.03"/>
    <n v="5902.2"/>
    <n v="2540.38"/>
    <n v="746.15"/>
    <n v="3969.27"/>
    <n v="1596.54"/>
    <n v="34216.980000000003"/>
    <n v="2372.73"/>
  </r>
  <r>
    <x v="5"/>
    <x v="6"/>
    <x v="0"/>
    <s v="5190107"/>
    <n v="700074"/>
    <s v="Salaries-Tech/Professional-Non-productive"/>
    <s v="Oncology Service Line"/>
    <x v="0"/>
    <m/>
    <n v="217.68"/>
    <n v="435.36"/>
    <n v="1088.4000000000001"/>
    <n v="0"/>
    <n v="769.27"/>
    <n v="1967.96"/>
    <n v="291.11"/>
    <n v="1841.62"/>
    <n v="-484.59"/>
    <n v="226.18"/>
    <n v="436.18"/>
    <n v="694.7"/>
    <n v="7483.87"/>
    <n v="-258.52000000000004"/>
  </r>
  <r>
    <x v="5"/>
    <x v="6"/>
    <x v="0"/>
    <s v="5190107"/>
    <n v="700078"/>
    <s v="Salaries-Service/Support-Non-productive"/>
    <s v="Oncology Service Line"/>
    <x v="0"/>
    <m/>
    <n v="216.45"/>
    <n v="25.77"/>
    <n v="1022.97"/>
    <n v="841.33"/>
    <n v="1581.67"/>
    <n v="1035.93"/>
    <n v="286.42"/>
    <n v="1077.26"/>
    <n v="-283.45999999999998"/>
    <n v="198.45"/>
    <n v="1244.68"/>
    <n v="-190.43"/>
    <n v="7057.04"/>
    <n v="1435.1100000000001"/>
  </r>
  <r>
    <x v="5"/>
    <x v="6"/>
    <x v="0"/>
    <s v="5190107"/>
    <n v="700084"/>
    <s v="Accrued PTO"/>
    <s v="Oncology Service Line"/>
    <x v="0"/>
    <m/>
    <n v="705.75"/>
    <n v="-77.73"/>
    <n v="-605.17999999999995"/>
    <n v="-543.02"/>
    <n v="4341.3999999999996"/>
    <n v="-6288.9"/>
    <n v="18912.45"/>
    <n v="-21710.55"/>
    <n v="4294.3599999999997"/>
    <n v="3840.56"/>
    <n v="2124.64"/>
    <n v="3083.67"/>
    <n v="8077.4500000000007"/>
    <n v="-959.0300000000002"/>
  </r>
  <r>
    <x v="6"/>
    <x v="6"/>
    <x v="0"/>
    <s v="5190107"/>
    <n v="713010"/>
    <s v="Benefits-FICA/Medicare"/>
    <s v="Oncology Service Line"/>
    <x v="0"/>
    <m/>
    <n v="3546.17"/>
    <n v="3551.6"/>
    <n v="3426.87"/>
    <n v="3640.93"/>
    <n v="3470.73"/>
    <n v="3947.4"/>
    <n v="3953.37"/>
    <n v="4395.91"/>
    <n v="4680.59"/>
    <n v="4519.42"/>
    <n v="4684.99"/>
    <n v="4523.41"/>
    <n v="48341.39"/>
    <n v="161.57999999999993"/>
  </r>
  <r>
    <x v="6"/>
    <x v="6"/>
    <x v="0"/>
    <s v="5190107"/>
    <n v="713090"/>
    <s v="Benefits-Allocated Amounts"/>
    <s v="Oncology Service Line"/>
    <x v="0"/>
    <m/>
    <n v="8723.41"/>
    <n v="7759.8"/>
    <n v="8346.4"/>
    <n v="8418.0400000000009"/>
    <n v="9433.67"/>
    <n v="9480.15"/>
    <n v="10357.969999999999"/>
    <n v="9900.6200000000008"/>
    <n v="9434.74"/>
    <n v="11341.86"/>
    <n v="10777.21"/>
    <n v="12382.5"/>
    <n v="116356.37"/>
    <n v="-1605.2900000000009"/>
  </r>
  <r>
    <x v="6"/>
    <x v="6"/>
    <x v="0"/>
    <s v="5190107"/>
    <n v="713096"/>
    <s v="Employee Recognition"/>
    <s v="Oncology Service Line"/>
    <x v="0"/>
    <n v="1017"/>
    <n v="0"/>
    <n v="0"/>
    <n v="0"/>
    <n v="0"/>
    <n v="0"/>
    <n v="0"/>
    <n v="0"/>
    <n v="0"/>
    <n v="0"/>
    <n v="0"/>
    <n v="0"/>
    <n v="0"/>
    <n v="0"/>
    <n v="0"/>
  </r>
  <r>
    <x v="7"/>
    <x v="6"/>
    <x v="0"/>
    <s v="5190107"/>
    <n v="718050"/>
    <s v="Miscellaneous Purchased Svcs"/>
    <s v="Oncology Service Line"/>
    <x v="0"/>
    <n v="1020"/>
    <n v="0"/>
    <n v="0"/>
    <n v="1160"/>
    <n v="150"/>
    <n v="0"/>
    <n v="11738"/>
    <n v="708.5"/>
    <n v="0"/>
    <n v="0"/>
    <n v="0"/>
    <n v="0"/>
    <n v="0"/>
    <n v="13756.5"/>
    <n v="0"/>
  </r>
  <r>
    <x v="11"/>
    <x v="6"/>
    <x v="0"/>
    <s v="5190107"/>
    <n v="721810"/>
    <s v="Supplies-Dietary/Cafeteria"/>
    <s v="Oncology Service Line"/>
    <x v="0"/>
    <m/>
    <n v="0"/>
    <n v="0"/>
    <n v="59.88"/>
    <n v="544.79999999999995"/>
    <n v="129.31"/>
    <n v="36.76"/>
    <n v="42.11"/>
    <n v="61.72"/>
    <n v="135.94999999999999"/>
    <n v="206.28"/>
    <n v="124.29"/>
    <n v="50.36"/>
    <n v="1391.4599999999998"/>
    <n v="73.930000000000007"/>
  </r>
  <r>
    <x v="11"/>
    <x v="6"/>
    <x v="0"/>
    <s v="5190107"/>
    <n v="721830"/>
    <s v="Supplies-Office"/>
    <s v="Oncology Service Line"/>
    <x v="0"/>
    <m/>
    <n v="62.75"/>
    <n v="134.12"/>
    <n v="0"/>
    <n v="62.59"/>
    <n v="0"/>
    <n v="239.44"/>
    <n v="186.28"/>
    <n v="122.81"/>
    <n v="74.8"/>
    <n v="195.57"/>
    <n v="144.69"/>
    <n v="0"/>
    <n v="1223.05"/>
    <n v="144.69"/>
  </r>
  <r>
    <x v="11"/>
    <x v="6"/>
    <x v="0"/>
    <s v="5190107"/>
    <n v="721835"/>
    <s v="Supplies-Forms"/>
    <s v="Oncology Service Line"/>
    <x v="0"/>
    <m/>
    <n v="0"/>
    <n v="28.5"/>
    <n v="0"/>
    <n v="0"/>
    <n v="71.25"/>
    <n v="0"/>
    <n v="4.75"/>
    <n v="0"/>
    <n v="0"/>
    <n v="0"/>
    <n v="0"/>
    <n v="17"/>
    <n v="121.5"/>
    <n v="-17"/>
  </r>
  <r>
    <x v="11"/>
    <x v="6"/>
    <x v="0"/>
    <s v="5190107"/>
    <n v="721980"/>
    <s v="Supplies-Other"/>
    <s v="Oncology Service Line"/>
    <x v="0"/>
    <m/>
    <n v="0"/>
    <n v="0"/>
    <n v="0"/>
    <n v="-56.19"/>
    <n v="0"/>
    <n v="0"/>
    <n v="0"/>
    <n v="0"/>
    <n v="286.58999999999997"/>
    <n v="-9.94"/>
    <n v="0"/>
    <n v="-13.48"/>
    <n v="206.98"/>
    <n v="13.48"/>
  </r>
  <r>
    <x v="12"/>
    <x v="6"/>
    <x v="0"/>
    <s v="5190107"/>
    <n v="730020"/>
    <s v="Rental and Leases-Copier Usage Fees (DO NOT USE)"/>
    <s v="Oncology Service Line"/>
    <x v="0"/>
    <n v="5100"/>
    <n v="54.43"/>
    <n v="54.97"/>
    <n v="155.63999999999999"/>
    <n v="340.4"/>
    <n v="151.36000000000001"/>
    <n v="151.36000000000001"/>
    <n v="-117.88"/>
    <n v="84.55"/>
    <n v="84.37"/>
    <n v="217.83"/>
    <n v="101.02"/>
    <n v="112.53"/>
    <n v="1390.58"/>
    <n v="-11.510000000000005"/>
  </r>
  <r>
    <x v="13"/>
    <x v="6"/>
    <x v="0"/>
    <s v="5190107"/>
    <n v="735070"/>
    <s v="Depreciation-Movable Equipment"/>
    <s v="Oncology Service Line"/>
    <x v="0"/>
    <m/>
    <n v="362.34"/>
    <n v="362.34"/>
    <n v="362.34"/>
    <n v="362.33"/>
    <n v="362.34"/>
    <n v="362.33"/>
    <n v="2783.04"/>
    <n v="2783.02"/>
    <n v="2783.05"/>
    <n v="2783.02"/>
    <n v="2783.06"/>
    <n v="2783.01"/>
    <n v="18872.22"/>
    <n v="4.9999999999727152E-2"/>
  </r>
  <r>
    <x v="0"/>
    <x v="6"/>
    <x v="0"/>
    <s v="5190107"/>
    <n v="740020"/>
    <s v="Education-Registration Fees"/>
    <s v="Oncology Service Line"/>
    <x v="0"/>
    <m/>
    <n v="120"/>
    <n v="275"/>
    <n v="0"/>
    <n v="0"/>
    <n v="0"/>
    <n v="0"/>
    <n v="0"/>
    <n v="0"/>
    <n v="0"/>
    <n v="75"/>
    <n v="0"/>
    <n v="835"/>
    <n v="1305"/>
    <n v="-835"/>
  </r>
  <r>
    <x v="0"/>
    <x v="6"/>
    <x v="0"/>
    <s v="5190107"/>
    <n v="740030"/>
    <s v="Education-Travel"/>
    <s v="Oncology Service Line"/>
    <x v="0"/>
    <m/>
    <n v="8.35"/>
    <n v="0"/>
    <n v="0"/>
    <n v="0"/>
    <n v="0"/>
    <n v="0"/>
    <n v="0"/>
    <n v="0"/>
    <n v="0"/>
    <n v="0"/>
    <n v="0"/>
    <n v="0"/>
    <n v="8.35"/>
    <n v="0"/>
  </r>
  <r>
    <x v="0"/>
    <x v="6"/>
    <x v="0"/>
    <s v="5190107"/>
    <n v="743020"/>
    <s v="Dues--Individual"/>
    <s v="Oncology Service Line"/>
    <x v="0"/>
    <m/>
    <n v="0"/>
    <n v="0"/>
    <n v="0"/>
    <n v="0"/>
    <n v="0"/>
    <n v="141"/>
    <n v="0"/>
    <n v="0"/>
    <n v="0"/>
    <n v="175"/>
    <n v="0"/>
    <n v="0"/>
    <n v="316"/>
    <n v="0"/>
  </r>
  <r>
    <x v="0"/>
    <x v="6"/>
    <x v="0"/>
    <s v="5190107"/>
    <n v="749510"/>
    <s v="Miscellaneous Expenses"/>
    <s v="Oncology Service Line"/>
    <x v="0"/>
    <m/>
    <n v="1971.95"/>
    <n v="-17.440000000000001"/>
    <n v="52.35"/>
    <n v="-22.91"/>
    <n v="-29.44"/>
    <n v="11.46"/>
    <n v="27.98"/>
    <n v="-39.44"/>
    <n v="0"/>
    <n v="0"/>
    <n v="1571.72"/>
    <n v="-1543.88"/>
    <n v="1982.3499999999995"/>
    <n v="3115.6000000000004"/>
  </r>
  <r>
    <x v="0"/>
    <x v="6"/>
    <x v="0"/>
    <s v="5190107"/>
    <n v="749530"/>
    <s v="Travel"/>
    <s v="Oncology Service Line"/>
    <x v="0"/>
    <m/>
    <n v="9"/>
    <n v="307.97000000000003"/>
    <n v="0"/>
    <n v="451.59"/>
    <n v="0"/>
    <n v="0"/>
    <n v="0"/>
    <n v="86.47"/>
    <n v="0"/>
    <n v="0"/>
    <n v="0"/>
    <n v="976.92"/>
    <n v="1831.9499999999998"/>
    <n v="-976.92"/>
  </r>
  <r>
    <x v="0"/>
    <x v="6"/>
    <x v="0"/>
    <s v="5190107"/>
    <n v="749530"/>
    <s v="Mileage"/>
    <s v="Oncology Service Line"/>
    <x v="0"/>
    <n v="1001"/>
    <n v="38.15"/>
    <n v="40.33"/>
    <n v="0"/>
    <n v="67.63"/>
    <n v="69.8"/>
    <n v="86.18"/>
    <n v="11.46"/>
    <n v="73.08"/>
    <n v="66.7"/>
    <n v="85.26"/>
    <n v="99.18"/>
    <n v="89.9"/>
    <n v="727.67"/>
    <n v="9.2800000000000011"/>
  </r>
  <r>
    <x v="20"/>
    <x v="9"/>
    <x v="0"/>
    <s v="5190501"/>
    <n v="610010"/>
    <s v="Foundation Distributions"/>
    <s v="Oncology Support Services"/>
    <x v="0"/>
    <n v="1175"/>
    <n v="0"/>
    <n v="0"/>
    <n v="-25640.01"/>
    <n v="0"/>
    <n v="0"/>
    <n v="0"/>
    <n v="-10001.66"/>
    <n v="0"/>
    <n v="0"/>
    <n v="-16102.58"/>
    <n v="0"/>
    <n v="-22186.95"/>
    <n v="-73931.199999999997"/>
    <n v="22186.95"/>
  </r>
  <r>
    <x v="5"/>
    <x v="9"/>
    <x v="0"/>
    <s v="5190501"/>
    <n v="700014"/>
    <s v="Salaries-Management-Productive"/>
    <s v="Oncology Support Services"/>
    <x v="0"/>
    <m/>
    <n v="24208.76"/>
    <n v="36659.31"/>
    <n v="32683.759999999998"/>
    <n v="42191.5"/>
    <n v="31810.799999999999"/>
    <n v="34936.82"/>
    <n v="34983.879999999997"/>
    <n v="34004.879999999997"/>
    <n v="41325.699999999997"/>
    <n v="31201.01"/>
    <n v="34845.69"/>
    <n v="33616.97"/>
    <n v="412469.07999999996"/>
    <n v="1228.7200000000012"/>
  </r>
  <r>
    <x v="5"/>
    <x v="9"/>
    <x v="0"/>
    <s v="5190501"/>
    <n v="700026"/>
    <s v="Salaries-RN-Productive"/>
    <s v="Oncology Support Services"/>
    <x v="0"/>
    <m/>
    <n v="36577.75"/>
    <n v="47300.24"/>
    <n v="42288.67"/>
    <n v="45992.55"/>
    <n v="45031.89"/>
    <n v="33771.839999999997"/>
    <n v="43415.55"/>
    <n v="30484.39"/>
    <n v="45085.33"/>
    <n v="47914.62"/>
    <n v="47721.05"/>
    <n v="34360.559999999998"/>
    <n v="499944.44"/>
    <n v="13360.490000000005"/>
  </r>
  <r>
    <x v="5"/>
    <x v="9"/>
    <x v="0"/>
    <s v="5190501"/>
    <n v="700032"/>
    <s v="Salaries-Other Pat Care Providers-Productive"/>
    <s v="Oncology Support Services"/>
    <x v="0"/>
    <m/>
    <n v="8327.6200000000008"/>
    <n v="8598.41"/>
    <n v="8849.25"/>
    <n v="9727.69"/>
    <n v="8006.04"/>
    <n v="8983.23"/>
    <n v="9587.0499999999993"/>
    <n v="8714.49"/>
    <n v="10898.1"/>
    <n v="8177.62"/>
    <n v="10489.65"/>
    <n v="8789.34"/>
    <n v="109148.49"/>
    <n v="1700.3099999999995"/>
  </r>
  <r>
    <x v="5"/>
    <x v="9"/>
    <x v="0"/>
    <s v="5190501"/>
    <n v="700032"/>
    <s v="Salaries-Other Pat Care Providers-OT"/>
    <s v="Oncology Support Services"/>
    <x v="0"/>
    <n v="1000"/>
    <n v="35.06"/>
    <n v="-6.18"/>
    <n v="0"/>
    <n v="0"/>
    <n v="0"/>
    <n v="0"/>
    <n v="0"/>
    <n v="0"/>
    <n v="0"/>
    <n v="0"/>
    <n v="0"/>
    <n v="0"/>
    <n v="28.880000000000003"/>
    <n v="0"/>
  </r>
  <r>
    <x v="5"/>
    <x v="9"/>
    <x v="0"/>
    <s v="5190501"/>
    <n v="700032"/>
    <s v="Salaries-Other Pat Care Providers-Other"/>
    <s v="Oncology Support Services"/>
    <x v="0"/>
    <n v="2000"/>
    <n v="160.46"/>
    <n v="163.96"/>
    <n v="177.66"/>
    <n v="184.46"/>
    <n v="155.63"/>
    <n v="194.73"/>
    <n v="179.37"/>
    <n v="183.95"/>
    <n v="201.47"/>
    <n v="152.79"/>
    <n v="196.51"/>
    <n v="164.94"/>
    <n v="2115.9299999999998"/>
    <n v="31.569999999999993"/>
  </r>
  <r>
    <x v="5"/>
    <x v="9"/>
    <x v="0"/>
    <s v="5190501"/>
    <n v="700034"/>
    <s v="Salaries-Tech/Professional-Productive"/>
    <s v="Oncology Support Services"/>
    <x v="0"/>
    <m/>
    <n v="22724.91"/>
    <n v="25279.5"/>
    <n v="17781.07"/>
    <n v="20847.099999999999"/>
    <n v="24287.01"/>
    <n v="17428.98"/>
    <n v="21608.95"/>
    <n v="20664.84"/>
    <n v="21945.17"/>
    <n v="20068.169999999998"/>
    <n v="21831.08"/>
    <n v="20577.77"/>
    <n v="255044.55000000002"/>
    <n v="1253.3100000000013"/>
  </r>
  <r>
    <x v="5"/>
    <x v="9"/>
    <x v="0"/>
    <s v="5190501"/>
    <n v="700034"/>
    <s v="Salaries-Tech/Professional-OT"/>
    <s v="Oncology Support Services"/>
    <x v="0"/>
    <n v="1000"/>
    <n v="62.36"/>
    <n v="251.66"/>
    <n v="31.48"/>
    <n v="3.2"/>
    <n v="158.12"/>
    <n v="789.46"/>
    <n v="2345.3200000000002"/>
    <n v="1146.06"/>
    <n v="3225.69"/>
    <n v="2520.21"/>
    <n v="1904.49"/>
    <n v="1049.5999999999999"/>
    <n v="13487.650000000001"/>
    <n v="854.8900000000001"/>
  </r>
  <r>
    <x v="5"/>
    <x v="9"/>
    <x v="0"/>
    <s v="5190501"/>
    <n v="700034"/>
    <s v="Salaries-Tech/Professional-Other"/>
    <s v="Oncology Support Services"/>
    <x v="0"/>
    <n v="2000"/>
    <n v="401.43"/>
    <n v="405.02"/>
    <n v="360.51"/>
    <n v="414.42"/>
    <n v="407.14"/>
    <n v="331.24"/>
    <n v="329.65"/>
    <n v="288.62"/>
    <n v="431.72"/>
    <n v="347.09"/>
    <n v="358.25"/>
    <n v="389.22"/>
    <n v="4464.3100000000004"/>
    <n v="-30.970000000000027"/>
  </r>
  <r>
    <x v="5"/>
    <x v="9"/>
    <x v="0"/>
    <s v="5190501"/>
    <n v="700038"/>
    <s v="Salaries-Service/Support-Productive"/>
    <s v="Oncology Support Services"/>
    <x v="0"/>
    <m/>
    <n v="8299.7900000000009"/>
    <n v="9003.92"/>
    <n v="12550.6"/>
    <n v="13735.98"/>
    <n v="15185.58"/>
    <n v="11576.29"/>
    <n v="13991.17"/>
    <n v="12390.4"/>
    <n v="13002.47"/>
    <n v="11441.52"/>
    <n v="15656.9"/>
    <n v="14148.54"/>
    <n v="150983.16"/>
    <n v="1508.3599999999988"/>
  </r>
  <r>
    <x v="5"/>
    <x v="9"/>
    <x v="0"/>
    <s v="5190501"/>
    <n v="700038"/>
    <s v="Salaries-Service/Support-OT"/>
    <s v="Oncology Support Services"/>
    <x v="0"/>
    <n v="1000"/>
    <n v="92.33"/>
    <n v="270.05"/>
    <n v="297.33999999999997"/>
    <n v="201.25"/>
    <n v="111.23"/>
    <n v="277.57"/>
    <n v="126.38"/>
    <n v="153.81"/>
    <n v="597.33000000000004"/>
    <n v="91.45"/>
    <n v="497.97"/>
    <n v="525.91"/>
    <n v="3242.62"/>
    <n v="-27.939999999999941"/>
  </r>
  <r>
    <x v="5"/>
    <x v="9"/>
    <x v="0"/>
    <s v="5190501"/>
    <n v="700054"/>
    <s v="Salaries-Management-Non-productive"/>
    <s v="Oncology Support Services"/>
    <x v="0"/>
    <m/>
    <n v="15505.09"/>
    <n v="3056.39"/>
    <n v="5751.29"/>
    <n v="-1754.37"/>
    <n v="7488.15"/>
    <n v="5673.43"/>
    <n v="5689.79"/>
    <n v="2728.89"/>
    <n v="-655.86"/>
    <n v="8155.59"/>
    <n v="5824.13"/>
    <n v="5741.47"/>
    <n v="63203.99"/>
    <n v="82.659999999999854"/>
  </r>
  <r>
    <x v="5"/>
    <x v="9"/>
    <x v="0"/>
    <s v="5190501"/>
    <n v="700054"/>
    <s v="Salaries-Management-NonProd-Other"/>
    <s v="Oncology Support Services"/>
    <x v="0"/>
    <n v="2000"/>
    <n v="0"/>
    <n v="0"/>
    <n v="0"/>
    <n v="0"/>
    <n v="868.85"/>
    <n v="2298.63"/>
    <n v="-560.92999999999995"/>
    <n v="-2606.5500000000002"/>
    <n v="0"/>
    <n v="0"/>
    <n v="0"/>
    <n v="0"/>
    <n v="0"/>
    <n v="0"/>
  </r>
  <r>
    <x v="5"/>
    <x v="9"/>
    <x v="0"/>
    <s v="5190501"/>
    <n v="700066"/>
    <s v="Salaries-RN-Non-productive"/>
    <s v="Oncology Support Services"/>
    <x v="0"/>
    <m/>
    <n v="11248.51"/>
    <n v="528.19000000000005"/>
    <n v="3997.55"/>
    <n v="2950.56"/>
    <n v="2589.65"/>
    <n v="15438.76"/>
    <n v="5871.9"/>
    <n v="14028.77"/>
    <n v="4197.4799999999996"/>
    <n v="-223.18"/>
    <n v="1561.74"/>
    <n v="13333.14"/>
    <n v="75523.069999999992"/>
    <n v="-11771.4"/>
  </r>
  <r>
    <x v="5"/>
    <x v="9"/>
    <x v="0"/>
    <s v="5190501"/>
    <n v="700072"/>
    <s v="Salaries-Other Pat Care Providers-Non-productive"/>
    <s v="Oncology Support Services"/>
    <x v="0"/>
    <m/>
    <n v="2584.46"/>
    <n v="1094.3900000000001"/>
    <n v="716.74"/>
    <n v="637.38"/>
    <n v="2892.89"/>
    <n v="1416.15"/>
    <n v="673.65"/>
    <n v="1012.75"/>
    <n v="-218.32"/>
    <n v="2906.23"/>
    <n v="-495.92"/>
    <n v="1355.26"/>
    <n v="14575.66"/>
    <n v="-1851.18"/>
  </r>
  <r>
    <x v="5"/>
    <x v="9"/>
    <x v="0"/>
    <s v="5190501"/>
    <n v="700072"/>
    <s v="Salaries-Other Pat Care Providers-NonProd-Other"/>
    <s v="Oncology Support Services"/>
    <x v="0"/>
    <n v="2000"/>
    <n v="49.39"/>
    <n v="21.62"/>
    <n v="13.56"/>
    <n v="11.84"/>
    <n v="550.26"/>
    <n v="535.75"/>
    <n v="12.39"/>
    <n v="-974.9"/>
    <n v="-4.21"/>
    <n v="54.61"/>
    <n v="-9.61"/>
    <n v="24.88"/>
    <n v="285.58000000000015"/>
    <n v="-34.489999999999995"/>
  </r>
  <r>
    <x v="5"/>
    <x v="9"/>
    <x v="0"/>
    <s v="5190501"/>
    <n v="700074"/>
    <s v="Salaries-Tech/Professional-Non-productive"/>
    <s v="Oncology Support Services"/>
    <x v="0"/>
    <m/>
    <n v="3365.11"/>
    <n v="3578.1"/>
    <n v="4268.9399999999996"/>
    <n v="3618.83"/>
    <n v="-137.12"/>
    <n v="6679.89"/>
    <n v="2446.33"/>
    <n v="1580.97"/>
    <n v="2841.88"/>
    <n v="3530.3"/>
    <n v="2632.04"/>
    <n v="3739.73"/>
    <n v="38145.000000000007"/>
    <n v="-1107.69"/>
  </r>
  <r>
    <x v="5"/>
    <x v="9"/>
    <x v="0"/>
    <s v="5190501"/>
    <n v="700078"/>
    <s v="Salaries-Service/Support-Non-productive"/>
    <s v="Oncology Support Services"/>
    <x v="0"/>
    <m/>
    <n v="7085.88"/>
    <n v="6302.39"/>
    <n v="2413.56"/>
    <n v="1823.69"/>
    <n v="416.15"/>
    <n v="4195.68"/>
    <n v="1962.31"/>
    <n v="2047.09"/>
    <n v="2853.3"/>
    <n v="4094.9"/>
    <n v="570.25"/>
    <n v="1722.99"/>
    <n v="35488.19"/>
    <n v="-1152.74"/>
  </r>
  <r>
    <x v="5"/>
    <x v="9"/>
    <x v="0"/>
    <s v="5190501"/>
    <n v="700084"/>
    <s v="Accrued PTO"/>
    <s v="Oncology Support Services"/>
    <x v="0"/>
    <m/>
    <n v="-22253.89"/>
    <n v="5243.03"/>
    <n v="18181.32"/>
    <n v="17045.52"/>
    <n v="5980.11"/>
    <n v="-8631.51"/>
    <n v="-471.07"/>
    <n v="4308.29"/>
    <n v="11270.38"/>
    <n v="3158.56"/>
    <n v="5188.88"/>
    <n v="5510.65"/>
    <n v="44530.27"/>
    <n v="-321.76999999999953"/>
  </r>
  <r>
    <x v="10"/>
    <x v="9"/>
    <x v="0"/>
    <s v="5190501"/>
    <n v="710060"/>
    <s v="Contract Labor-Other"/>
    <s v="Oncology Support Services"/>
    <x v="0"/>
    <m/>
    <n v="9916"/>
    <n v="13400"/>
    <n v="10184"/>
    <n v="10720"/>
    <n v="10720"/>
    <n v="7705"/>
    <n v="7504"/>
    <n v="7537.5"/>
    <n v="16080"/>
    <n v="6566"/>
    <n v="16080"/>
    <n v="0"/>
    <n v="116412.5"/>
    <n v="16080"/>
  </r>
  <r>
    <x v="10"/>
    <x v="9"/>
    <x v="0"/>
    <s v="5190501"/>
    <n v="710060"/>
    <s v="Contract Labor-Overtime"/>
    <s v="Oncology Support Services"/>
    <x v="0"/>
    <n v="5100"/>
    <n v="0"/>
    <n v="0"/>
    <n v="45.22"/>
    <n v="0"/>
    <n v="0"/>
    <n v="0"/>
    <n v="0"/>
    <n v="0"/>
    <n v="0"/>
    <n v="0"/>
    <n v="0"/>
    <n v="0"/>
    <n v="45.22"/>
    <n v="0"/>
  </r>
  <r>
    <x v="6"/>
    <x v="9"/>
    <x v="0"/>
    <s v="5190501"/>
    <n v="713010"/>
    <s v="Benefits-FICA/Medicare"/>
    <s v="Oncology Support Services"/>
    <x v="0"/>
    <m/>
    <n v="10424.57"/>
    <n v="10187.64"/>
    <n v="8780.33"/>
    <n v="9403.8799999999992"/>
    <n v="9389.5499999999993"/>
    <n v="9493.98"/>
    <n v="10668.07"/>
    <n v="9604.74"/>
    <n v="10806.48"/>
    <n v="10416.719999999999"/>
    <n v="10665.15"/>
    <n v="10444.379999999999"/>
    <n v="120285.48999999999"/>
    <n v="220.77000000000044"/>
  </r>
  <r>
    <x v="6"/>
    <x v="9"/>
    <x v="0"/>
    <s v="5190501"/>
    <n v="713090"/>
    <s v="Benefits-Allocated Amounts"/>
    <s v="Oncology Support Services"/>
    <x v="0"/>
    <m/>
    <n v="22982.05"/>
    <n v="22814.18"/>
    <n v="23100.44"/>
    <n v="22526.67"/>
    <n v="20997.62"/>
    <n v="23627.8"/>
    <n v="25038.94"/>
    <n v="23724.080000000002"/>
    <n v="28114.799999999999"/>
    <n v="25341.58"/>
    <n v="25386.6"/>
    <n v="25382.55"/>
    <n v="289037.30999999994"/>
    <n v="4.0499999999992724"/>
  </r>
  <r>
    <x v="6"/>
    <x v="9"/>
    <x v="0"/>
    <s v="5190501"/>
    <n v="713096"/>
    <s v="Employee Recognition"/>
    <s v="Oncology Support Services"/>
    <x v="0"/>
    <n v="1017"/>
    <n v="0"/>
    <n v="0"/>
    <n v="0"/>
    <n v="0"/>
    <n v="0"/>
    <n v="0"/>
    <n v="483.06"/>
    <n v="0"/>
    <n v="0"/>
    <n v="0"/>
    <n v="0"/>
    <n v="0"/>
    <n v="483.06"/>
    <n v="0"/>
  </r>
  <r>
    <x v="17"/>
    <x v="9"/>
    <x v="0"/>
    <s v="5190501"/>
    <n v="714510"/>
    <s v="Medical Director Fees"/>
    <s v="Oncology Support Services"/>
    <x v="0"/>
    <m/>
    <n v="11188.46"/>
    <n v="24466.92"/>
    <n v="15078.46"/>
    <n v="12753.46"/>
    <n v="12248.46"/>
    <n v="18082.689999999999"/>
    <n v="24933.46"/>
    <n v="21881.94"/>
    <n v="-8253.48"/>
    <n v="8509.24"/>
    <n v="22466.54"/>
    <n v="26695"/>
    <n v="190051.15"/>
    <n v="-4228.4599999999991"/>
  </r>
  <r>
    <x v="7"/>
    <x v="9"/>
    <x v="0"/>
    <s v="5190501"/>
    <n v="718050"/>
    <s v="Contract Svcs-Other"/>
    <s v="Oncology Support Services"/>
    <x v="0"/>
    <m/>
    <n v="717.75"/>
    <n v="585"/>
    <n v="0"/>
    <n v="0"/>
    <n v="0"/>
    <n v="0"/>
    <n v="0"/>
    <n v="0"/>
    <n v="184.91"/>
    <n v="0"/>
    <n v="0"/>
    <n v="0"/>
    <n v="1487.66"/>
    <n v="0"/>
  </r>
  <r>
    <x v="7"/>
    <x v="9"/>
    <x v="0"/>
    <s v="5190501"/>
    <n v="718050"/>
    <s v="Document Shredding/Storage"/>
    <s v="Oncology Support Services"/>
    <x v="0"/>
    <n v="1012"/>
    <n v="7.92"/>
    <n v="8.1300000000000008"/>
    <n v="7.45"/>
    <n v="7.72"/>
    <n v="7.99"/>
    <n v="7.99"/>
    <n v="7.91"/>
    <n v="6.78"/>
    <n v="7.02"/>
    <n v="9.1999999999999993"/>
    <n v="9.7200000000000006"/>
    <n v="5.99"/>
    <n v="93.82"/>
    <n v="3.7300000000000004"/>
  </r>
  <r>
    <x v="7"/>
    <x v="9"/>
    <x v="0"/>
    <s v="5190501"/>
    <n v="718050"/>
    <s v="Miscellaneous Purchased Svcs"/>
    <s v="Oncology Support Services"/>
    <x v="0"/>
    <n v="1020"/>
    <n v="16125"/>
    <n v="17857.25"/>
    <n v="6002.54"/>
    <n v="18380.07"/>
    <n v="1900"/>
    <n v="15983.94"/>
    <n v="9287.81"/>
    <n v="11146.56"/>
    <n v="19881.25"/>
    <n v="10858.05"/>
    <n v="12436.25"/>
    <n v="15196.29"/>
    <n v="155055.01"/>
    <n v="-2760.0400000000009"/>
  </r>
  <r>
    <x v="7"/>
    <x v="9"/>
    <x v="0"/>
    <s v="5190501"/>
    <n v="718050"/>
    <s v="Translation Services"/>
    <s v="Oncology Support Services"/>
    <x v="0"/>
    <n v="1025"/>
    <n v="0"/>
    <n v="0"/>
    <n v="0"/>
    <n v="0"/>
    <n v="61"/>
    <n v="0"/>
    <n v="0"/>
    <n v="78"/>
    <n v="0"/>
    <n v="0"/>
    <n v="0"/>
    <n v="0"/>
    <n v="139"/>
    <n v="0"/>
  </r>
  <r>
    <x v="7"/>
    <x v="9"/>
    <x v="0"/>
    <s v="5190501"/>
    <n v="718050"/>
    <s v="Contract Management--Linen"/>
    <s v="Oncology Support Services"/>
    <x v="0"/>
    <n v="1026"/>
    <n v="203.24"/>
    <n v="832.17"/>
    <n v="104.22"/>
    <n v="535.92999999999995"/>
    <n v="535.53"/>
    <n v="437.24"/>
    <n v="563.57000000000005"/>
    <n v="559.70000000000005"/>
    <n v="559.70000000000005"/>
    <n v="111.94"/>
    <n v="0"/>
    <n v="892.89"/>
    <n v="5336.13"/>
    <n v="-892.89"/>
  </r>
  <r>
    <x v="11"/>
    <x v="9"/>
    <x v="0"/>
    <s v="5190501"/>
    <n v="721410"/>
    <s v="Supplies-Medical - Nonbillable"/>
    <s v="Oncology Support Services"/>
    <x v="0"/>
    <m/>
    <n v="0"/>
    <n v="0"/>
    <n v="0"/>
    <n v="0"/>
    <n v="0"/>
    <n v="0"/>
    <n v="0"/>
    <n v="43.7"/>
    <n v="-43.7"/>
    <n v="5763.01"/>
    <n v="0"/>
    <n v="0"/>
    <n v="5763.01"/>
    <n v="0"/>
  </r>
  <r>
    <x v="11"/>
    <x v="9"/>
    <x v="0"/>
    <s v="5190501"/>
    <n v="721810"/>
    <s v="Supplies-Dietary/Cafeteria"/>
    <s v="Oncology Support Services"/>
    <x v="0"/>
    <m/>
    <n v="1395.3"/>
    <n v="1244.9100000000001"/>
    <n v="1299.51"/>
    <n v="2018.74"/>
    <n v="2126.37"/>
    <n v="1202.99"/>
    <n v="1569.13"/>
    <n v="1702.04"/>
    <n v="1570.73"/>
    <n v="1498.35"/>
    <n v="1394.79"/>
    <n v="1207.5999999999999"/>
    <n v="18230.46"/>
    <n v="187.19000000000005"/>
  </r>
  <r>
    <x v="11"/>
    <x v="9"/>
    <x v="0"/>
    <s v="5190501"/>
    <n v="721830"/>
    <s v="Supplies-Office"/>
    <s v="Oncology Support Services"/>
    <x v="0"/>
    <m/>
    <n v="700.53"/>
    <n v="959.2"/>
    <n v="404.14"/>
    <n v="523.78"/>
    <n v="850.69"/>
    <n v="353.7"/>
    <n v="748.45"/>
    <n v="200.58"/>
    <n v="436.8"/>
    <n v="278.58"/>
    <n v="141.11000000000001"/>
    <n v="139.30000000000001"/>
    <n v="5736.86"/>
    <n v="1.8100000000000023"/>
  </r>
  <r>
    <x v="11"/>
    <x v="9"/>
    <x v="0"/>
    <s v="5190501"/>
    <n v="721835"/>
    <s v="Supplies-Forms"/>
    <s v="Oncology Support Services"/>
    <x v="0"/>
    <m/>
    <n v="0"/>
    <n v="0"/>
    <n v="0"/>
    <n v="0"/>
    <n v="316.63"/>
    <n v="2.63"/>
    <n v="10"/>
    <n v="0"/>
    <n v="0"/>
    <n v="17.12"/>
    <n v="170.9"/>
    <n v="0"/>
    <n v="517.28"/>
    <n v="170.9"/>
  </r>
  <r>
    <x v="11"/>
    <x v="9"/>
    <x v="0"/>
    <s v="5190501"/>
    <n v="721870"/>
    <s v="Supplies-Environmental Services"/>
    <s v="Oncology Support Services"/>
    <x v="0"/>
    <m/>
    <n v="0"/>
    <n v="0"/>
    <n v="0"/>
    <n v="0"/>
    <n v="0"/>
    <n v="0"/>
    <n v="0"/>
    <n v="0"/>
    <n v="0"/>
    <n v="22.8"/>
    <n v="0"/>
    <n v="0"/>
    <n v="22.8"/>
    <n v="0"/>
  </r>
  <r>
    <x v="11"/>
    <x v="9"/>
    <x v="0"/>
    <s v="5190501"/>
    <n v="721880"/>
    <s v="Supplies-Linen"/>
    <s v="Oncology Support Services"/>
    <x v="0"/>
    <m/>
    <n v="0"/>
    <n v="0"/>
    <n v="0"/>
    <n v="0"/>
    <n v="0"/>
    <n v="0"/>
    <n v="0"/>
    <n v="0"/>
    <n v="0"/>
    <n v="13.1"/>
    <n v="0"/>
    <n v="0"/>
    <n v="13.1"/>
    <n v="0"/>
  </r>
  <r>
    <x v="11"/>
    <x v="9"/>
    <x v="0"/>
    <s v="5190501"/>
    <n v="721910"/>
    <s v="Supplies-Small Equipment"/>
    <s v="Oncology Support Services"/>
    <x v="0"/>
    <m/>
    <n v="0"/>
    <n v="0"/>
    <n v="0"/>
    <n v="-568.1"/>
    <n v="237.93"/>
    <n v="2088.1999999999998"/>
    <n v="24.03"/>
    <n v="0"/>
    <n v="0"/>
    <n v="0"/>
    <n v="0"/>
    <n v="0"/>
    <n v="1782.0599999999997"/>
    <n v="0"/>
  </r>
  <r>
    <x v="11"/>
    <x v="9"/>
    <x v="0"/>
    <s v="5190501"/>
    <n v="721980"/>
    <s v="Supplies-Other"/>
    <s v="Oncology Support Services"/>
    <x v="0"/>
    <m/>
    <n v="0"/>
    <n v="153.66999999999999"/>
    <n v="127.64"/>
    <n v="23.42"/>
    <n v="24.97"/>
    <n v="1"/>
    <n v="40.130000000000003"/>
    <n v="32.78"/>
    <n v="32.979999999999997"/>
    <n v="169.33"/>
    <n v="0"/>
    <n v="43.82"/>
    <n v="649.74000000000012"/>
    <n v="-43.82"/>
  </r>
  <r>
    <x v="11"/>
    <x v="9"/>
    <x v="0"/>
    <s v="5190501"/>
    <n v="722000"/>
    <s v="Supplies-Freight Expense"/>
    <s v="Oncology Support Services"/>
    <x v="0"/>
    <m/>
    <n v="0"/>
    <n v="19.84"/>
    <n v="0"/>
    <n v="53.35"/>
    <n v="0"/>
    <n v="0"/>
    <n v="6.33"/>
    <n v="0"/>
    <n v="0"/>
    <n v="0"/>
    <n v="0"/>
    <n v="0"/>
    <n v="79.52"/>
    <n v="0"/>
  </r>
  <r>
    <x v="12"/>
    <x v="9"/>
    <x v="0"/>
    <s v="5190501"/>
    <n v="730010"/>
    <s v="Rental and Leases-Building (DO NOT USE)"/>
    <s v="Oncology Support Services"/>
    <x v="0"/>
    <m/>
    <n v="12002.61"/>
    <n v="12002.61"/>
    <n v="12002.61"/>
    <n v="12002.61"/>
    <n v="12002.61"/>
    <n v="138.16"/>
    <n v="10054.68"/>
    <n v="10054.68"/>
    <n v="10054.68"/>
    <n v="10054.68"/>
    <n v="10054.68"/>
    <n v="2224.84"/>
    <n v="112649.44999999998"/>
    <n v="7829.84"/>
  </r>
  <r>
    <x v="12"/>
    <x v="9"/>
    <x v="0"/>
    <s v="5190501"/>
    <n v="730010"/>
    <s v="Rental-Common Area Maint (DO NOT USE)"/>
    <s v="Oncology Support Services"/>
    <x v="0"/>
    <n v="2200"/>
    <n v="0"/>
    <n v="0"/>
    <n v="0"/>
    <n v="0"/>
    <n v="0"/>
    <n v="11864.45"/>
    <n v="2458.75"/>
    <n v="2280.1"/>
    <n v="2129.04"/>
    <n v="2280.1"/>
    <n v="2280.1"/>
    <n v="0"/>
    <n v="23292.539999999997"/>
    <n v="2280.1"/>
  </r>
  <r>
    <x v="12"/>
    <x v="9"/>
    <x v="0"/>
    <s v="5190501"/>
    <n v="730020"/>
    <s v="Rental and Leases-Copier Usage Fees (DO NOT USE)"/>
    <s v="Oncology Support Services"/>
    <x v="0"/>
    <n v="5100"/>
    <n v="573.98"/>
    <n v="577.51"/>
    <n v="575.74"/>
    <n v="575.74"/>
    <n v="575.74"/>
    <n v="575.74"/>
    <n v="-4089.58"/>
    <n v="233.75"/>
    <n v="233.26"/>
    <n v="234.24"/>
    <n v="233.75"/>
    <n v="269.63"/>
    <n v="569.49999999999989"/>
    <n v="-35.879999999999995"/>
  </r>
  <r>
    <x v="12"/>
    <x v="9"/>
    <x v="0"/>
    <s v="5190501"/>
    <n v="730040"/>
    <s v="LT Lease-Real Estate"/>
    <s v="Oncology Support Services"/>
    <x v="0"/>
    <m/>
    <n v="0"/>
    <n v="0"/>
    <n v="0"/>
    <n v="0"/>
    <n v="0"/>
    <n v="0"/>
    <n v="0"/>
    <n v="0"/>
    <n v="0"/>
    <n v="0"/>
    <n v="0"/>
    <n v="10109.94"/>
    <n v="10109.94"/>
    <n v="-10109.94"/>
  </r>
  <r>
    <x v="15"/>
    <x v="9"/>
    <x v="0"/>
    <s v="5190501"/>
    <n v="731060"/>
    <s v="Telephone"/>
    <s v="Oncology Support Services"/>
    <x v="0"/>
    <m/>
    <n v="0"/>
    <n v="0"/>
    <n v="156"/>
    <n v="0"/>
    <n v="15.76"/>
    <n v="0"/>
    <n v="0"/>
    <n v="0"/>
    <n v="0"/>
    <n v="0"/>
    <n v="0"/>
    <n v="0"/>
    <n v="171.76"/>
    <n v="0"/>
  </r>
  <r>
    <x v="15"/>
    <x v="9"/>
    <x v="0"/>
    <s v="5190501"/>
    <n v="731060"/>
    <s v="Pagers"/>
    <s v="Oncology Support Services"/>
    <x v="0"/>
    <n v="1002"/>
    <n v="105.3"/>
    <n v="105.3"/>
    <n v="105.3"/>
    <n v="105.56"/>
    <n v="105.56"/>
    <n v="0"/>
    <n v="249.94"/>
    <n v="136.26"/>
    <n v="81.2"/>
    <n v="81.2"/>
    <n v="81.2"/>
    <n v="108.76"/>
    <n v="1265.5800000000002"/>
    <n v="-27.560000000000002"/>
  </r>
  <r>
    <x v="16"/>
    <x v="9"/>
    <x v="0"/>
    <s v="5190501"/>
    <n v="733030"/>
    <s v="Maintenance Contracts-Other"/>
    <s v="Oncology Support Services"/>
    <x v="0"/>
    <m/>
    <n v="379.75"/>
    <n v="759.5"/>
    <n v="379.75"/>
    <n v="871.5"/>
    <n v="379.75"/>
    <n v="0"/>
    <n v="379.75"/>
    <n v="905.81"/>
    <n v="379.75"/>
    <n v="379.75"/>
    <n v="0"/>
    <n v="0"/>
    <n v="4815.3099999999995"/>
    <n v="0"/>
  </r>
  <r>
    <x v="13"/>
    <x v="9"/>
    <x v="0"/>
    <s v="5190501"/>
    <n v="735070"/>
    <s v="Depreciation-Movable Equipment"/>
    <s v="Oncology Support Services"/>
    <x v="0"/>
    <m/>
    <n v="0"/>
    <n v="1573.67"/>
    <n v="1573.68"/>
    <n v="1573.67"/>
    <n v="1573.68"/>
    <n v="1573.67"/>
    <n v="1573.68"/>
    <n v="1573.67"/>
    <n v="1573.68"/>
    <n v="1573.67"/>
    <n v="1573.68"/>
    <n v="1573.67"/>
    <n v="17310.420000000002"/>
    <n v="9.9999999999909051E-3"/>
  </r>
  <r>
    <x v="0"/>
    <x v="9"/>
    <x v="0"/>
    <s v="5190501"/>
    <n v="740020"/>
    <s v="Education-Registration Fees"/>
    <s v="Oncology Support Services"/>
    <x v="0"/>
    <m/>
    <n v="-899"/>
    <n v="309.95"/>
    <n v="656"/>
    <n v="7759.05"/>
    <n v="656"/>
    <n v="0"/>
    <n v="660"/>
    <n v="0"/>
    <n v="785"/>
    <n v="577.70000000000005"/>
    <n v="1525"/>
    <n v="0"/>
    <n v="12029.7"/>
    <n v="1525"/>
  </r>
  <r>
    <x v="0"/>
    <x v="9"/>
    <x v="0"/>
    <s v="5190501"/>
    <n v="742030"/>
    <s v="Freight-Courier"/>
    <s v="Oncology Support Services"/>
    <x v="0"/>
    <m/>
    <n v="0"/>
    <n v="0"/>
    <n v="0"/>
    <n v="0"/>
    <n v="0"/>
    <n v="0"/>
    <n v="0"/>
    <n v="0"/>
    <n v="43.7"/>
    <n v="0"/>
    <n v="0"/>
    <n v="0"/>
    <n v="43.7"/>
    <n v="0"/>
  </r>
  <r>
    <x v="0"/>
    <x v="9"/>
    <x v="0"/>
    <s v="5190501"/>
    <n v="743010"/>
    <s v="Dues--Institutional"/>
    <s v="Oncology Support Services"/>
    <x v="0"/>
    <m/>
    <n v="0"/>
    <n v="0"/>
    <n v="1200"/>
    <n v="0"/>
    <n v="0"/>
    <n v="0"/>
    <n v="10000"/>
    <n v="0"/>
    <n v="0"/>
    <n v="0"/>
    <n v="41000"/>
    <n v="0"/>
    <n v="52200"/>
    <n v="41000"/>
  </r>
  <r>
    <x v="0"/>
    <x v="9"/>
    <x v="0"/>
    <s v="5190501"/>
    <n v="743030"/>
    <s v="Subscriptions--Institutional"/>
    <s v="Oncology Support Services"/>
    <x v="0"/>
    <m/>
    <n v="550.05999999999995"/>
    <n v="0"/>
    <n v="0"/>
    <n v="0"/>
    <n v="1061.8800000000001"/>
    <n v="0"/>
    <n v="1287.5"/>
    <n v="0"/>
    <n v="0"/>
    <n v="1061.8800000000001"/>
    <n v="0"/>
    <n v="0"/>
    <n v="3961.32"/>
    <n v="0"/>
  </r>
  <r>
    <x v="0"/>
    <x v="9"/>
    <x v="0"/>
    <s v="5190501"/>
    <n v="749510"/>
    <s v="Miscellaneous Expenses"/>
    <s v="Oncology Support Services"/>
    <x v="0"/>
    <m/>
    <n v="1710.36"/>
    <n v="4012.44"/>
    <n v="1083.07"/>
    <n v="4083.06"/>
    <n v="-248.04"/>
    <n v="2636.97"/>
    <n v="3020.3"/>
    <n v="4644.46"/>
    <n v="2649.4"/>
    <n v="2543.83"/>
    <n v="2754.83"/>
    <n v="-939.06"/>
    <n v="27951.62"/>
    <n v="3693.89"/>
  </r>
  <r>
    <x v="0"/>
    <x v="9"/>
    <x v="0"/>
    <s v="5190501"/>
    <n v="749510"/>
    <s v="RICE Rewards"/>
    <s v="Oncology Support Services"/>
    <x v="0"/>
    <n v="5100"/>
    <n v="0"/>
    <n v="0"/>
    <n v="0"/>
    <n v="0"/>
    <n v="0"/>
    <n v="0"/>
    <n v="129.66"/>
    <n v="37.06"/>
    <n v="0"/>
    <n v="0"/>
    <n v="528"/>
    <n v="857.5"/>
    <n v="1552.22"/>
    <n v="-329.5"/>
  </r>
  <r>
    <x v="0"/>
    <x v="9"/>
    <x v="0"/>
    <s v="5190501"/>
    <n v="749530"/>
    <s v="Travel"/>
    <s v="Oncology Support Services"/>
    <x v="0"/>
    <m/>
    <n v="251.69"/>
    <n v="1079.03"/>
    <n v="80"/>
    <n v="65"/>
    <n v="0"/>
    <n v="125"/>
    <n v="1630.88"/>
    <n v="11"/>
    <n v="105"/>
    <n v="466.6"/>
    <n v="75.5"/>
    <n v="1596.18"/>
    <n v="5485.88"/>
    <n v="-1520.68"/>
  </r>
  <r>
    <x v="0"/>
    <x v="9"/>
    <x v="0"/>
    <s v="5190501"/>
    <n v="749530"/>
    <s v="Mileage"/>
    <s v="Oncology Support Services"/>
    <x v="0"/>
    <n v="1001"/>
    <n v="0"/>
    <n v="640"/>
    <n v="317.83"/>
    <n v="319.97000000000003"/>
    <n v="92.66"/>
    <n v="453.02"/>
    <n v="356.91"/>
    <n v="83.3"/>
    <n v="766.18"/>
    <n v="384.54"/>
    <n v="510.98"/>
    <n v="720.94"/>
    <n v="4646.33"/>
    <n v="-209.96000000000004"/>
  </r>
  <r>
    <x v="0"/>
    <x v="9"/>
    <x v="0"/>
    <s v="5190501"/>
    <n v="749535"/>
    <s v="Meetings"/>
    <s v="Oncology Support Services"/>
    <x v="0"/>
    <m/>
    <n v="0"/>
    <n v="0"/>
    <n v="177.2"/>
    <n v="0"/>
    <n v="0"/>
    <n v="0"/>
    <n v="0"/>
    <n v="0"/>
    <n v="0"/>
    <n v="120"/>
    <n v="657.81"/>
    <n v="686.41"/>
    <n v="1641.42"/>
    <n v="-28.600000000000023"/>
  </r>
  <r>
    <x v="19"/>
    <x v="3"/>
    <x v="0"/>
    <s v="5200101"/>
    <n v="400020"/>
    <s v="O/P Care Svcs Rev--Medicare"/>
    <s v="Renal Dialysis"/>
    <x v="0"/>
    <n v="1100"/>
    <n v="-158759.13"/>
    <n v="-20013"/>
    <n v="0"/>
    <n v="-23976"/>
    <n v="0"/>
    <n v="0"/>
    <n v="0"/>
    <n v="0"/>
    <n v="-25092"/>
    <n v="-25974"/>
    <n v="0"/>
    <n v="0"/>
    <n v="-253814.13"/>
    <n v="0"/>
  </r>
  <r>
    <x v="19"/>
    <x v="3"/>
    <x v="0"/>
    <s v="5200101"/>
    <n v="400020"/>
    <s v="O/P Care Svcs Rev--Medicaid"/>
    <s v="Renal Dialysis"/>
    <x v="0"/>
    <n v="1200"/>
    <n v="158759.13"/>
    <n v="47952"/>
    <n v="0"/>
    <n v="0"/>
    <n v="0"/>
    <n v="0"/>
    <n v="0"/>
    <n v="0"/>
    <n v="25092"/>
    <n v="25974"/>
    <n v="0"/>
    <n v="0"/>
    <n v="257777.13"/>
    <n v="0"/>
  </r>
  <r>
    <x v="19"/>
    <x v="3"/>
    <x v="0"/>
    <s v="5200101"/>
    <n v="400020"/>
    <s v="O/P Care Svcs Rev--Managed Care"/>
    <s v="Renal Dialysis"/>
    <x v="0"/>
    <n v="1400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5200101"/>
    <n v="400020"/>
    <s v="O/P Care Svcs Rev--Self Pay"/>
    <s v="Renal Dialysis"/>
    <x v="0"/>
    <n v="1500"/>
    <n v="0"/>
    <n v="-27939"/>
    <n v="0"/>
    <n v="0"/>
    <n v="0"/>
    <n v="0"/>
    <n v="0"/>
    <n v="0"/>
    <n v="0"/>
    <n v="0"/>
    <n v="0"/>
    <n v="0"/>
    <n v="-27939"/>
    <n v="0"/>
  </r>
  <r>
    <x v="19"/>
    <x v="3"/>
    <x v="0"/>
    <s v="5200101"/>
    <n v="400020"/>
    <s v="O/P Care Svcs Rev--Other"/>
    <s v="Renal Dialysis"/>
    <x v="0"/>
    <n v="1700"/>
    <n v="0"/>
    <n v="0"/>
    <n v="0"/>
    <n v="23976"/>
    <n v="0"/>
    <n v="0"/>
    <n v="0"/>
    <n v="0"/>
    <n v="0"/>
    <n v="0"/>
    <n v="0"/>
    <n v="0"/>
    <n v="23976"/>
    <n v="0"/>
  </r>
  <r>
    <x v="14"/>
    <x v="3"/>
    <x v="0"/>
    <s v="5200101"/>
    <n v="600026"/>
    <s v="POB Rental"/>
    <s v="Renal Dialysis"/>
    <x v="0"/>
    <n v="1001"/>
    <n v="-44158.75"/>
    <n v="-44158.75"/>
    <n v="-44158.75"/>
    <n v="-44158.75"/>
    <n v="-44158.75"/>
    <n v="-44158.75"/>
    <n v="-44158.75"/>
    <n v="-45919.6"/>
    <n v="-45919.6"/>
    <n v="-45919.6"/>
    <n v="-45919.6"/>
    <n v="-45919.6"/>
    <n v="-538709.24999999988"/>
    <n v="0"/>
  </r>
  <r>
    <x v="14"/>
    <x v="3"/>
    <x v="0"/>
    <s v="5200101"/>
    <n v="600050"/>
    <s v="Miscellaneous Revenue"/>
    <s v="Renal Dialysis"/>
    <x v="0"/>
    <m/>
    <n v="0"/>
    <n v="-46234.19"/>
    <n v="46234.19"/>
    <n v="-60837.32"/>
    <n v="60837.31"/>
    <n v="0"/>
    <n v="0"/>
    <n v="3813.38"/>
    <n v="0"/>
    <n v="0"/>
    <n v="0"/>
    <n v="0"/>
    <n v="3813.3699999999981"/>
    <n v="0"/>
  </r>
  <r>
    <x v="5"/>
    <x v="3"/>
    <x v="0"/>
    <s v="5200101"/>
    <n v="700054"/>
    <s v="Salaries-Management-NonProd-Other"/>
    <s v="Renal Dialysis"/>
    <x v="0"/>
    <n v="2000"/>
    <n v="0"/>
    <n v="0"/>
    <n v="0"/>
    <n v="0"/>
    <n v="0"/>
    <n v="10260.780000000001"/>
    <n v="-10260.780000000001"/>
    <n v="0"/>
    <n v="0"/>
    <n v="0"/>
    <n v="0"/>
    <n v="0"/>
    <n v="0"/>
    <n v="0"/>
  </r>
  <r>
    <x v="10"/>
    <x v="3"/>
    <x v="0"/>
    <s v="5200101"/>
    <n v="710060"/>
    <s v="Contract Labor-Other"/>
    <s v="Renal Dialysis"/>
    <x v="0"/>
    <m/>
    <n v="0"/>
    <n v="0"/>
    <n v="3038"/>
    <n v="-3038"/>
    <n v="0"/>
    <n v="0"/>
    <n v="0"/>
    <n v="0"/>
    <n v="0"/>
    <n v="0"/>
    <n v="0"/>
    <n v="0"/>
    <n v="0"/>
    <n v="0"/>
  </r>
  <r>
    <x v="10"/>
    <x v="3"/>
    <x v="0"/>
    <s v="5200101"/>
    <n v="710060"/>
    <s v="Contract Labor-Overtime"/>
    <s v="Renal Dialysis"/>
    <x v="0"/>
    <n v="5100"/>
    <n v="0"/>
    <n v="0"/>
    <n v="882"/>
    <n v="-882"/>
    <n v="0"/>
    <n v="0"/>
    <n v="0"/>
    <n v="0"/>
    <n v="0"/>
    <n v="0"/>
    <n v="0"/>
    <n v="0"/>
    <n v="0"/>
    <n v="0"/>
  </r>
  <r>
    <x v="10"/>
    <x v="3"/>
    <x v="0"/>
    <s v="5200101"/>
    <n v="710060"/>
    <s v="Contract Labor-Standby Wages"/>
    <s v="Renal Dialysis"/>
    <x v="0"/>
    <n v="5101"/>
    <n v="0"/>
    <n v="0"/>
    <n v="440"/>
    <n v="-440"/>
    <n v="0"/>
    <n v="0"/>
    <n v="0"/>
    <n v="0"/>
    <n v="0"/>
    <n v="0"/>
    <n v="0"/>
    <n v="0"/>
    <n v="0"/>
    <n v="0"/>
  </r>
  <r>
    <x v="6"/>
    <x v="3"/>
    <x v="0"/>
    <s v="5200101"/>
    <n v="713010"/>
    <s v="Benefits-FICA/Medicare"/>
    <s v="Renal Dialysis"/>
    <x v="0"/>
    <m/>
    <n v="0"/>
    <n v="0"/>
    <n v="0"/>
    <n v="0"/>
    <n v="0"/>
    <n v="784.97"/>
    <n v="784.97"/>
    <n v="0"/>
    <n v="0"/>
    <n v="0"/>
    <n v="0"/>
    <n v="0"/>
    <n v="1569.94"/>
    <n v="0"/>
  </r>
  <r>
    <x v="6"/>
    <x v="3"/>
    <x v="0"/>
    <s v="5200101"/>
    <n v="713090"/>
    <s v="Benefits-Allocated Amounts"/>
    <s v="Renal Dialysis"/>
    <x v="0"/>
    <m/>
    <n v="0"/>
    <n v="0"/>
    <n v="0"/>
    <n v="0"/>
    <n v="0"/>
    <n v="566.41"/>
    <n v="-23.35"/>
    <n v="-543.05999999999995"/>
    <n v="0"/>
    <n v="0"/>
    <n v="0"/>
    <n v="0"/>
    <n v="0"/>
    <n v="0"/>
  </r>
  <r>
    <x v="7"/>
    <x v="3"/>
    <x v="0"/>
    <s v="5200101"/>
    <n v="718050"/>
    <s v="Miscellaneous Purchased Svcs"/>
    <s v="Renal Dialysis"/>
    <x v="0"/>
    <n v="1020"/>
    <n v="0"/>
    <n v="0"/>
    <n v="0"/>
    <n v="0"/>
    <n v="0"/>
    <n v="0"/>
    <n v="0"/>
    <n v="0"/>
    <n v="-338571"/>
    <n v="0"/>
    <n v="0"/>
    <n v="0"/>
    <n v="-338571"/>
    <n v="0"/>
  </r>
  <r>
    <x v="7"/>
    <x v="3"/>
    <x v="0"/>
    <s v="5200101"/>
    <n v="718050"/>
    <s v="Translation Services"/>
    <s v="Renal Dialysis"/>
    <x v="0"/>
    <n v="1025"/>
    <n v="0"/>
    <n v="2.4300000000000002"/>
    <n v="0"/>
    <n v="0"/>
    <n v="0"/>
    <n v="0"/>
    <n v="0"/>
    <n v="0"/>
    <n v="0"/>
    <n v="0"/>
    <n v="0"/>
    <n v="0"/>
    <n v="2.4300000000000002"/>
    <n v="0"/>
  </r>
  <r>
    <x v="7"/>
    <x v="3"/>
    <x v="0"/>
    <s v="5200101"/>
    <n v="718050"/>
    <s v="Contract Management--Linen"/>
    <s v="Renal Dialysis"/>
    <x v="0"/>
    <n v="1026"/>
    <n v="530.59"/>
    <n v="361.34"/>
    <n v="368.61"/>
    <n v="1277.08"/>
    <n v="903.94"/>
    <n v="1165.8"/>
    <n v="1265.6600000000001"/>
    <n v="1606.45"/>
    <n v="1177.8800000000001"/>
    <n v="1314.21"/>
    <n v="972.41"/>
    <n v="1626.24"/>
    <n v="12570.209999999997"/>
    <n v="-653.83000000000004"/>
  </r>
  <r>
    <x v="11"/>
    <x v="3"/>
    <x v="0"/>
    <s v="5200101"/>
    <n v="721010"/>
    <s v="Supplies-Medical - Billable"/>
    <s v="Renal Dialysis"/>
    <x v="0"/>
    <m/>
    <n v="9.19"/>
    <n v="0"/>
    <n v="0"/>
    <n v="57.46"/>
    <n v="264.86"/>
    <n v="248.29"/>
    <n v="0"/>
    <n v="0"/>
    <n v="0"/>
    <n v="0"/>
    <n v="0"/>
    <n v="0"/>
    <n v="579.79999999999995"/>
    <n v="0"/>
  </r>
  <r>
    <x v="11"/>
    <x v="3"/>
    <x v="0"/>
    <s v="5200101"/>
    <n v="721010"/>
    <s v="Patient Monitoring"/>
    <s v="Renal Dialysis"/>
    <x v="0"/>
    <n v="1000"/>
    <n v="0"/>
    <n v="0"/>
    <n v="0"/>
    <n v="0"/>
    <n v="0"/>
    <n v="0"/>
    <n v="0"/>
    <n v="6.86"/>
    <n v="0"/>
    <n v="0"/>
    <n v="0"/>
    <n v="0"/>
    <n v="6.86"/>
    <n v="0"/>
  </r>
  <r>
    <x v="11"/>
    <x v="3"/>
    <x v="0"/>
    <s v="5200101"/>
    <n v="721240"/>
    <s v="Supplies-IV Solutions/Supplies - Billable"/>
    <s v="Renal Dialysis"/>
    <x v="0"/>
    <m/>
    <n v="0"/>
    <n v="0"/>
    <n v="0"/>
    <n v="0"/>
    <n v="0"/>
    <n v="0"/>
    <n v="0"/>
    <n v="11.37"/>
    <n v="0"/>
    <n v="0"/>
    <n v="0"/>
    <n v="0"/>
    <n v="11.37"/>
    <n v="0"/>
  </r>
  <r>
    <x v="11"/>
    <x v="3"/>
    <x v="0"/>
    <s v="5200101"/>
    <n v="721250"/>
    <s v="Supplies-Pharmacy Drugs - Billable"/>
    <s v="Renal Dialysis"/>
    <x v="0"/>
    <m/>
    <n v="5.41"/>
    <n v="0"/>
    <n v="0"/>
    <n v="0"/>
    <n v="0"/>
    <n v="0"/>
    <n v="0"/>
    <n v="0"/>
    <n v="0"/>
    <n v="0"/>
    <n v="0"/>
    <n v="0"/>
    <n v="5.41"/>
    <n v="0"/>
  </r>
  <r>
    <x v="11"/>
    <x v="3"/>
    <x v="0"/>
    <s v="5200101"/>
    <n v="721410"/>
    <s v="Supplies-Medical - Nonbillable"/>
    <s v="Renal Dialysis"/>
    <x v="0"/>
    <m/>
    <n v="-0.52"/>
    <n v="0"/>
    <n v="0"/>
    <n v="-14.82"/>
    <n v="297.58999999999997"/>
    <n v="-2533.0500000000002"/>
    <n v="0"/>
    <n v="2.5499999999999998"/>
    <n v="0"/>
    <n v="0"/>
    <n v="0"/>
    <n v="0"/>
    <n v="-2248.25"/>
    <n v="0"/>
  </r>
  <r>
    <x v="11"/>
    <x v="3"/>
    <x v="0"/>
    <s v="5200101"/>
    <n v="721410"/>
    <s v="Patient Monitoring"/>
    <s v="Renal Dialysis"/>
    <x v="0"/>
    <n v="1000"/>
    <n v="0"/>
    <n v="0"/>
    <n v="0"/>
    <n v="11.25"/>
    <n v="0"/>
    <n v="0"/>
    <n v="0"/>
    <n v="0"/>
    <n v="0"/>
    <n v="0"/>
    <n v="0"/>
    <n v="0"/>
    <n v="11.25"/>
    <n v="0"/>
  </r>
  <r>
    <x v="11"/>
    <x v="3"/>
    <x v="0"/>
    <s v="5200101"/>
    <n v="721420"/>
    <s v="Supplies-Surgical Nonbillable"/>
    <s v="Renal Dialysis"/>
    <x v="0"/>
    <m/>
    <n v="0"/>
    <n v="0"/>
    <n v="0"/>
    <n v="-13.35"/>
    <n v="0"/>
    <n v="0"/>
    <n v="0"/>
    <n v="0"/>
    <n v="0"/>
    <n v="0"/>
    <n v="0"/>
    <n v="0"/>
    <n v="-13.35"/>
    <n v="0"/>
  </r>
  <r>
    <x v="11"/>
    <x v="3"/>
    <x v="0"/>
    <s v="5200101"/>
    <n v="721420"/>
    <s v="Tubes Drains &amp; Related Supplies"/>
    <s v="Renal Dialysis"/>
    <x v="0"/>
    <n v="1008"/>
    <n v="0"/>
    <n v="0"/>
    <n v="0"/>
    <n v="0"/>
    <n v="0"/>
    <n v="0"/>
    <n v="0"/>
    <n v="0.48"/>
    <n v="0"/>
    <n v="0"/>
    <n v="0"/>
    <n v="0"/>
    <n v="0.48"/>
    <n v="0"/>
  </r>
  <r>
    <x v="11"/>
    <x v="3"/>
    <x v="0"/>
    <s v="5200101"/>
    <n v="721610"/>
    <s v="Supplies-Anesthesia - Nonbillable"/>
    <s v="Renal Dialysis"/>
    <x v="0"/>
    <m/>
    <n v="0"/>
    <n v="0"/>
    <n v="0"/>
    <n v="0"/>
    <n v="0"/>
    <n v="0"/>
    <n v="0"/>
    <n v="8.2799999999999994"/>
    <n v="0"/>
    <n v="0"/>
    <n v="0"/>
    <n v="0"/>
    <n v="8.2799999999999994"/>
    <n v="0"/>
  </r>
  <r>
    <x v="11"/>
    <x v="3"/>
    <x v="0"/>
    <s v="5200101"/>
    <n v="721640"/>
    <s v="Supplies-IV Solutions/Supplies - Nonbillable"/>
    <s v="Renal Dialysis"/>
    <x v="0"/>
    <m/>
    <n v="0"/>
    <n v="0"/>
    <n v="0"/>
    <n v="0"/>
    <n v="0"/>
    <n v="0"/>
    <n v="0"/>
    <n v="9.9600000000000009"/>
    <n v="0"/>
    <n v="0"/>
    <n v="0"/>
    <n v="0"/>
    <n v="9.9600000000000009"/>
    <n v="0"/>
  </r>
  <r>
    <x v="11"/>
    <x v="3"/>
    <x v="0"/>
    <s v="5200101"/>
    <n v="721710"/>
    <s v="Supplies-Laboratory - Nonbillable"/>
    <s v="Renal Dialysis"/>
    <x v="0"/>
    <m/>
    <n v="0"/>
    <n v="1.5"/>
    <n v="0"/>
    <n v="0"/>
    <n v="0"/>
    <n v="0"/>
    <n v="0"/>
    <n v="13.98"/>
    <n v="0"/>
    <n v="0"/>
    <n v="0"/>
    <n v="25.31"/>
    <n v="40.79"/>
    <n v="-25.31"/>
  </r>
  <r>
    <x v="11"/>
    <x v="3"/>
    <x v="0"/>
    <s v="5200101"/>
    <n v="721710"/>
    <s v="Reagents"/>
    <s v="Renal Dialysis"/>
    <x v="0"/>
    <n v="1000"/>
    <n v="0"/>
    <n v="1.96"/>
    <n v="0"/>
    <n v="0"/>
    <n v="0"/>
    <n v="0"/>
    <n v="0"/>
    <n v="0"/>
    <n v="0"/>
    <n v="0"/>
    <n v="0"/>
    <n v="0"/>
    <n v="1.96"/>
    <n v="0"/>
  </r>
  <r>
    <x v="11"/>
    <x v="3"/>
    <x v="0"/>
    <s v="5200101"/>
    <n v="721830"/>
    <s v="Supplies-Office"/>
    <s v="Renal Dialysis"/>
    <x v="0"/>
    <m/>
    <n v="0"/>
    <n v="0"/>
    <n v="0"/>
    <n v="713.34"/>
    <n v="-105.83"/>
    <n v="0"/>
    <n v="0"/>
    <n v="0"/>
    <n v="0"/>
    <n v="0"/>
    <n v="0"/>
    <n v="95.95"/>
    <n v="703.46"/>
    <n v="-95.95"/>
  </r>
  <r>
    <x v="11"/>
    <x v="3"/>
    <x v="0"/>
    <s v="5200101"/>
    <n v="721870"/>
    <s v="Supplies-Environmental Services"/>
    <s v="Renal Dialysis"/>
    <x v="0"/>
    <m/>
    <n v="0"/>
    <n v="0"/>
    <n v="0"/>
    <n v="189.78"/>
    <n v="36.799999999999997"/>
    <n v="4.07"/>
    <n v="4.07"/>
    <n v="30.05"/>
    <n v="60.1"/>
    <n v="34.25"/>
    <n v="0"/>
    <n v="0"/>
    <n v="359.12"/>
    <n v="0"/>
  </r>
  <r>
    <x v="11"/>
    <x v="3"/>
    <x v="0"/>
    <s v="5200101"/>
    <n v="722010"/>
    <s v="Standard Distribution Fees"/>
    <s v="Renal Dialysis"/>
    <x v="0"/>
    <n v="1000"/>
    <n v="14.06"/>
    <n v="0"/>
    <n v="0"/>
    <n v="0"/>
    <n v="0"/>
    <n v="5.27"/>
    <n v="0"/>
    <n v="57.7"/>
    <n v="0"/>
    <n v="5.9"/>
    <n v="10.63"/>
    <n v="0"/>
    <n v="93.56"/>
    <n v="10.63"/>
  </r>
  <r>
    <x v="12"/>
    <x v="3"/>
    <x v="0"/>
    <s v="5200101"/>
    <n v="730020"/>
    <s v="Rental and Leases-Copier Usage Fees (DO NOT USE)"/>
    <s v="Renal Dialysis"/>
    <x v="0"/>
    <n v="5100"/>
    <n v="601.66999999999996"/>
    <n v="585.91"/>
    <n v="593.79"/>
    <n v="593.79"/>
    <n v="593.79"/>
    <n v="593.79"/>
    <n v="-3309.32"/>
    <n v="163.9"/>
    <n v="163.56"/>
    <n v="616.20000000000005"/>
    <n v="163.9"/>
    <n v="282.83"/>
    <n v="1643.8099999999997"/>
    <n v="-118.92999999999998"/>
  </r>
  <r>
    <x v="16"/>
    <x v="3"/>
    <x v="0"/>
    <s v="5200101"/>
    <n v="732020"/>
    <s v="Repairs--Clin Equip-Parts-Internal to CHI Programs"/>
    <s v="Renal Dialysis"/>
    <x v="0"/>
    <m/>
    <n v="0"/>
    <n v="0"/>
    <n v="0"/>
    <n v="0"/>
    <n v="0"/>
    <n v="0"/>
    <n v="0"/>
    <n v="0"/>
    <n v="0"/>
    <n v="0"/>
    <n v="0"/>
    <n v="-137.34"/>
    <n v="-137.34"/>
    <n v="137.34"/>
  </r>
  <r>
    <x v="0"/>
    <x v="3"/>
    <x v="0"/>
    <s v="5200101"/>
    <n v="749510"/>
    <s v="Miscellaneous Expenses"/>
    <s v="Renal Dialysis"/>
    <x v="0"/>
    <m/>
    <n v="0"/>
    <n v="0"/>
    <n v="0"/>
    <n v="-91"/>
    <n v="0"/>
    <n v="0"/>
    <n v="0"/>
    <n v="0"/>
    <n v="0"/>
    <n v="0"/>
    <n v="0"/>
    <n v="0"/>
    <n v="-91"/>
    <n v="0"/>
  </r>
  <r>
    <x v="0"/>
    <x v="3"/>
    <x v="0"/>
    <s v="5200101"/>
    <n v="749510"/>
    <s v="Special Events"/>
    <s v="Renal Dialysis"/>
    <x v="0"/>
    <n v="4300"/>
    <n v="8102.33"/>
    <n v="2866.54"/>
    <n v="6499.72"/>
    <n v="2402.69"/>
    <n v="7663.93"/>
    <n v="4757.97"/>
    <n v="6366.89"/>
    <n v="2395.4299999999998"/>
    <n v="1303.51"/>
    <n v="331.68"/>
    <n v="-4.29"/>
    <n v="0"/>
    <n v="42686.400000000001"/>
    <n v="-4.29"/>
  </r>
  <r>
    <x v="11"/>
    <x v="5"/>
    <x v="0"/>
    <s v="5200106"/>
    <n v="721010"/>
    <s v="Supplies-Medical - Billable"/>
    <s v="Renal Dialysis"/>
    <x v="0"/>
    <m/>
    <n v="7189.63"/>
    <n v="6008.68"/>
    <n v="7889.09"/>
    <n v="8177.9"/>
    <n v="6357.76"/>
    <n v="4701.93"/>
    <n v="8178.75"/>
    <n v="6906.13"/>
    <n v="5851.71"/>
    <n v="7427.06"/>
    <n v="7992.15"/>
    <n v="3811.65"/>
    <n v="80492.439999999988"/>
    <n v="4180.5"/>
  </r>
  <r>
    <x v="11"/>
    <x v="5"/>
    <x v="0"/>
    <s v="5200106"/>
    <n v="721020"/>
    <s v="Custom Packs"/>
    <s v="Renal Dialysis"/>
    <x v="0"/>
    <n v="1000"/>
    <n v="0"/>
    <n v="0"/>
    <n v="0"/>
    <n v="225.08"/>
    <n v="79.44"/>
    <n v="119.16"/>
    <n v="225.08"/>
    <n v="172.12"/>
    <n v="185.36"/>
    <n v="225.08"/>
    <n v="145.63999999999999"/>
    <n v="145.63999999999999"/>
    <n v="1522.6"/>
    <n v="0"/>
  </r>
  <r>
    <x v="11"/>
    <x v="5"/>
    <x v="0"/>
    <s v="5200106"/>
    <n v="721240"/>
    <s v="Supplies-IV Solutions/Supplies - Billable"/>
    <s v="Renal Dialysis"/>
    <x v="0"/>
    <m/>
    <n v="0"/>
    <n v="0"/>
    <n v="46.25"/>
    <n v="0"/>
    <n v="46.25"/>
    <n v="46.25"/>
    <n v="92.5"/>
    <n v="46.25"/>
    <n v="0"/>
    <n v="37.5"/>
    <n v="0"/>
    <n v="37.5"/>
    <n v="352.5"/>
    <n v="-37.5"/>
  </r>
  <r>
    <x v="11"/>
    <x v="5"/>
    <x v="0"/>
    <s v="5200106"/>
    <n v="721410"/>
    <s v="Supplies-Medical - Nonbillable"/>
    <s v="Renal Dialysis"/>
    <x v="0"/>
    <m/>
    <n v="1307.52"/>
    <n v="1068.3"/>
    <n v="1316.11"/>
    <n v="1426.55"/>
    <n v="1186.3599999999999"/>
    <n v="998.59"/>
    <n v="1074.3699999999999"/>
    <n v="957.41"/>
    <n v="880.97"/>
    <n v="2403.62"/>
    <n v="1366.52"/>
    <n v="570.74"/>
    <n v="14557.06"/>
    <n v="795.78"/>
  </r>
  <r>
    <x v="11"/>
    <x v="5"/>
    <x v="0"/>
    <s v="5200106"/>
    <n v="721640"/>
    <s v="Supplies-IV Solutions/Supplies - Nonbillable"/>
    <s v="Renal Dialysis"/>
    <x v="0"/>
    <m/>
    <n v="0"/>
    <n v="0"/>
    <n v="0"/>
    <n v="0"/>
    <n v="0"/>
    <n v="0"/>
    <n v="0"/>
    <n v="4.74"/>
    <n v="0"/>
    <n v="0"/>
    <n v="0"/>
    <n v="-45.45"/>
    <n v="-40.71"/>
    <n v="45.45"/>
  </r>
  <r>
    <x v="11"/>
    <x v="5"/>
    <x v="0"/>
    <s v="5200106"/>
    <n v="721710"/>
    <s v="Supplies-Laboratory - Nonbillable"/>
    <s v="Renal Dialysis"/>
    <x v="0"/>
    <m/>
    <n v="19.8"/>
    <n v="345.4"/>
    <n v="27.26"/>
    <n v="349.8"/>
    <n v="-15.8"/>
    <n v="247.5"/>
    <n v="16.25"/>
    <n v="-22.5"/>
    <n v="33.04"/>
    <n v="165"/>
    <n v="150"/>
    <n v="-81.040000000000006"/>
    <n v="1234.71"/>
    <n v="231.04000000000002"/>
  </r>
  <r>
    <x v="11"/>
    <x v="5"/>
    <x v="0"/>
    <s v="5200106"/>
    <n v="721710"/>
    <s v="Reagents"/>
    <s v="Renal Dialysis"/>
    <x v="0"/>
    <n v="1000"/>
    <n v="18.54"/>
    <n v="216.06"/>
    <n v="101.41"/>
    <n v="34.18"/>
    <n v="35.24"/>
    <n v="182.39"/>
    <n v="-6.63"/>
    <n v="88"/>
    <n v="221.22"/>
    <n v="20.56"/>
    <n v="164.46"/>
    <n v="23.5"/>
    <n v="1098.9299999999998"/>
    <n v="140.96"/>
  </r>
  <r>
    <x v="11"/>
    <x v="5"/>
    <x v="0"/>
    <s v="5200106"/>
    <n v="721830"/>
    <s v="Supplies-Office"/>
    <s v="Renal Dialysis"/>
    <x v="0"/>
    <m/>
    <n v="0"/>
    <n v="0"/>
    <n v="0"/>
    <n v="0"/>
    <n v="45.65"/>
    <n v="0"/>
    <n v="0"/>
    <n v="0"/>
    <n v="0"/>
    <n v="0"/>
    <n v="0"/>
    <n v="0"/>
    <n v="45.65"/>
    <n v="0"/>
  </r>
  <r>
    <x v="11"/>
    <x v="5"/>
    <x v="0"/>
    <s v="5200106"/>
    <n v="721870"/>
    <s v="Supplies-Environmental Services"/>
    <s v="Renal Dialysis"/>
    <x v="0"/>
    <m/>
    <n v="35.5"/>
    <n v="3.92"/>
    <n v="18.920000000000002"/>
    <n v="61.13"/>
    <n v="44.41"/>
    <n v="2.2000000000000002"/>
    <n v="26"/>
    <n v="17.2"/>
    <n v="6.6"/>
    <n v="19.399999999999999"/>
    <n v="21.6"/>
    <n v="0"/>
    <n v="256.88"/>
    <n v="21.6"/>
  </r>
  <r>
    <x v="11"/>
    <x v="5"/>
    <x v="0"/>
    <s v="5200106"/>
    <n v="721880"/>
    <s v="Supplies-Linen"/>
    <s v="Renal Dialysis"/>
    <x v="0"/>
    <m/>
    <n v="0"/>
    <n v="1.31"/>
    <n v="0"/>
    <n v="1.31"/>
    <n v="2.62"/>
    <n v="0"/>
    <n v="6.55"/>
    <n v="0"/>
    <n v="0"/>
    <n v="1.31"/>
    <n v="2.62"/>
    <n v="0"/>
    <n v="15.719999999999999"/>
    <n v="2.62"/>
  </r>
  <r>
    <x v="11"/>
    <x v="5"/>
    <x v="0"/>
    <s v="5200106"/>
    <n v="721910"/>
    <s v="Supplies-Small Equipment"/>
    <s v="Renal Dialysis"/>
    <x v="0"/>
    <m/>
    <n v="0"/>
    <n v="0"/>
    <n v="450"/>
    <n v="0"/>
    <n v="0"/>
    <n v="0"/>
    <n v="0"/>
    <n v="0"/>
    <n v="0"/>
    <n v="0"/>
    <n v="0"/>
    <n v="0"/>
    <n v="450"/>
    <n v="0"/>
  </r>
  <r>
    <x v="11"/>
    <x v="5"/>
    <x v="0"/>
    <s v="5200106"/>
    <n v="722000"/>
    <s v="Supplies-Freight Expense"/>
    <s v="Renal Dialysis"/>
    <x v="0"/>
    <m/>
    <n v="7.93"/>
    <n v="34.79"/>
    <n v="17.71"/>
    <n v="0"/>
    <n v="7.99"/>
    <n v="24.04"/>
    <n v="25.81"/>
    <n v="8.24"/>
    <n v="10.28"/>
    <n v="10.28"/>
    <n v="8.26"/>
    <n v="49.54"/>
    <n v="204.86999999999998"/>
    <n v="-41.28"/>
  </r>
  <r>
    <x v="18"/>
    <x v="3"/>
    <x v="0"/>
    <s v="5201101"/>
    <n v="400010"/>
    <s v="Acute I/P Svcs Rev--Medicare"/>
    <s v="Acute Renal - Ancillary"/>
    <x v="0"/>
    <n v="1100"/>
    <n v="-506499.25"/>
    <n v="-395096.55"/>
    <n v="-450610.35"/>
    <n v="-494572.25"/>
    <n v="-502125.05"/>
    <n v="-591222.35"/>
    <n v="-618157.1"/>
    <n v="-508401.09"/>
    <n v="-671265.99"/>
    <n v="-547675.43999999994"/>
    <n v="-665185.14"/>
    <n v="-433529.58"/>
    <n v="-6384340.1399999997"/>
    <n v="-231655.56"/>
  </r>
  <r>
    <x v="18"/>
    <x v="3"/>
    <x v="0"/>
    <s v="5201101"/>
    <n v="400010"/>
    <s v="Acute I/P Svcs Rev--Medicaid"/>
    <s v="Acute Renal - Ancillary"/>
    <x v="0"/>
    <n v="1200"/>
    <n v="-157627.5"/>
    <n v="-173991.9"/>
    <n v="-103946.1"/>
    <n v="-77311.3"/>
    <n v="-72701.649999999994"/>
    <n v="5677.25"/>
    <n v="-135382.75"/>
    <n v="-163672.26"/>
    <n v="-233992.98"/>
    <n v="-129332.43"/>
    <n v="-180317.64"/>
    <n v="-156560.31"/>
    <n v="-1579159.5699999998"/>
    <n v="-23757.330000000016"/>
  </r>
  <r>
    <x v="18"/>
    <x v="3"/>
    <x v="0"/>
    <s v="5201101"/>
    <n v="400010"/>
    <s v="Acute I/P Svcs Rev--Comm Insurance"/>
    <s v="Acute Renal - Ancillary"/>
    <x v="0"/>
    <n v="1300"/>
    <n v="41960"/>
    <n v="0"/>
    <n v="0"/>
    <n v="0"/>
    <n v="0"/>
    <n v="-11014.5"/>
    <n v="11014.5"/>
    <n v="0"/>
    <n v="0"/>
    <n v="0"/>
    <n v="-2202.9"/>
    <n v="0"/>
    <n v="39757.1"/>
    <n v="-2202.9"/>
  </r>
  <r>
    <x v="18"/>
    <x v="3"/>
    <x v="0"/>
    <s v="5201101"/>
    <n v="400010"/>
    <s v="Acute I/P Svcs Rev--BCBS Comm"/>
    <s v="Acute Renal - Ancillary"/>
    <x v="0"/>
    <n v="1301"/>
    <n v="0"/>
    <n v="-8811.6"/>
    <n v="0"/>
    <n v="4405.8"/>
    <n v="-2202.9"/>
    <n v="-46408.95"/>
    <n v="-28933.8"/>
    <n v="1938.54"/>
    <n v="-9009.8700000000008"/>
    <n v="-22689.9"/>
    <n v="0"/>
    <n v="-38572.83"/>
    <n v="-150285.51"/>
    <n v="38572.83"/>
  </r>
  <r>
    <x v="18"/>
    <x v="3"/>
    <x v="0"/>
    <s v="5201101"/>
    <n v="400010"/>
    <s v="Acute I/P Svcs Rev--Managed Care"/>
    <s v="Acute Renal - Ancillary"/>
    <x v="0"/>
    <n v="1400"/>
    <n v="-62292"/>
    <n v="-129248.7"/>
    <n v="-55072.5"/>
    <n v="-68289.899999999994"/>
    <n v="-37449.300000000003"/>
    <n v="-28637.7"/>
    <n v="-41855.1"/>
    <n v="-62025.18"/>
    <n v="-101952.06"/>
    <n v="-79633.23"/>
    <n v="-47953.77"/>
    <n v="-65800.710000000006"/>
    <n v="-780210.14999999991"/>
    <n v="17846.94000000001"/>
  </r>
  <r>
    <x v="18"/>
    <x v="3"/>
    <x v="0"/>
    <s v="5201101"/>
    <n v="400010"/>
    <s v="Acute I/P Svcs Rev--Self Pay"/>
    <s v="Acute Renal - Ancillary"/>
    <x v="0"/>
    <n v="1500"/>
    <n v="0"/>
    <n v="0"/>
    <n v="-8811.6"/>
    <n v="-13809.6"/>
    <n v="13513.5"/>
    <n v="4553.8500000000004"/>
    <n v="-9107.7000000000007"/>
    <n v="0"/>
    <n v="0"/>
    <n v="-4690.47"/>
    <n v="0"/>
    <n v="0"/>
    <n v="-18352.02"/>
    <n v="0"/>
  </r>
  <r>
    <x v="18"/>
    <x v="3"/>
    <x v="0"/>
    <s v="5201101"/>
    <n v="400010"/>
    <s v="Acute I/P Svcs Rev--Other"/>
    <s v="Acute Renal - Ancillary"/>
    <x v="0"/>
    <n v="1700"/>
    <n v="-17919.3"/>
    <n v="-15420.3"/>
    <n v="0"/>
    <n v="-4553.8500000000004"/>
    <n v="-19826.099999999999"/>
    <n v="-44058"/>
    <n v="-81507.3"/>
    <n v="-61262.73"/>
    <n v="-56877.24"/>
    <n v="-15882.93"/>
    <n v="0"/>
    <n v="-4537.9799999999996"/>
    <n v="-321845.73"/>
    <n v="4537.9799999999996"/>
  </r>
  <r>
    <x v="19"/>
    <x v="3"/>
    <x v="0"/>
    <s v="5201101"/>
    <n v="400020"/>
    <s v="O/P Care Svcs Rev--Medicare"/>
    <s v="Acute Renal - Ancillary"/>
    <x v="0"/>
    <n v="1100"/>
    <n v="-30840.6"/>
    <n v="-22029"/>
    <n v="-17623.2"/>
    <n v="1102.5"/>
    <n v="-41855.1"/>
    <n v="-30840.6"/>
    <n v="-30840.6"/>
    <n v="-27227.88"/>
    <n v="-63465.63"/>
    <n v="-20420.91"/>
    <n v="-24958.89"/>
    <n v="-34034.85"/>
    <n v="-343034.75999999995"/>
    <n v="9075.9599999999991"/>
  </r>
  <r>
    <x v="19"/>
    <x v="3"/>
    <x v="0"/>
    <s v="5201101"/>
    <n v="400020"/>
    <s v="O/P Care Svcs Rev--Medicaid"/>
    <s v="Acute Renal - Ancillary"/>
    <x v="0"/>
    <n v="1200"/>
    <n v="4196"/>
    <n v="-24231.9"/>
    <n v="-4405.8"/>
    <n v="-104.9"/>
    <n v="-11014.5"/>
    <n v="-6608.7"/>
    <n v="-15420.3"/>
    <n v="-4537.9799999999996"/>
    <n v="-4604.07"/>
    <n v="-11344.95"/>
    <n v="-2268.9899999999998"/>
    <n v="-4537.9799999999996"/>
    <n v="-84884.069999999992"/>
    <n v="2268.9899999999998"/>
  </r>
  <r>
    <x v="19"/>
    <x v="3"/>
    <x v="0"/>
    <s v="5201101"/>
    <n v="400020"/>
    <s v="O/P Care Svcs Rev--Comm Insurance"/>
    <s v="Acute Renal - Ancillary"/>
    <x v="0"/>
    <n v="1300"/>
    <n v="0"/>
    <n v="0"/>
    <n v="0"/>
    <n v="-36244"/>
    <n v="-2202.9"/>
    <n v="0"/>
    <n v="0"/>
    <n v="0"/>
    <n v="0"/>
    <n v="0"/>
    <n v="0"/>
    <n v="0"/>
    <n v="-38446.9"/>
    <n v="0"/>
  </r>
  <r>
    <x v="19"/>
    <x v="3"/>
    <x v="0"/>
    <s v="5201101"/>
    <n v="400020"/>
    <s v="O/P Care Svcs Rev--BCBS Comm"/>
    <s v="Acute Renal - Ancillary"/>
    <x v="0"/>
    <n v="1301"/>
    <n v="-4405.8"/>
    <n v="0"/>
    <n v="0"/>
    <n v="0"/>
    <n v="0"/>
    <n v="0"/>
    <n v="0"/>
    <n v="0"/>
    <n v="0"/>
    <n v="0"/>
    <n v="-6806.97"/>
    <n v="0"/>
    <n v="-11212.77"/>
    <n v="-6806.97"/>
  </r>
  <r>
    <x v="19"/>
    <x v="3"/>
    <x v="0"/>
    <s v="5201101"/>
    <n v="400020"/>
    <s v="O/P Care Svcs Rev--Managed Care"/>
    <s v="Acute Renal - Ancillary"/>
    <x v="0"/>
    <n v="1400"/>
    <n v="0"/>
    <n v="0"/>
    <n v="-2202.9"/>
    <n v="0"/>
    <n v="-2202.9"/>
    <n v="-6608.7"/>
    <n v="-2202.9"/>
    <n v="-2268.9899999999998"/>
    <n v="-2268.9899999999998"/>
    <n v="0"/>
    <n v="0"/>
    <n v="0"/>
    <n v="-17755.379999999997"/>
    <n v="0"/>
  </r>
  <r>
    <x v="19"/>
    <x v="3"/>
    <x v="0"/>
    <s v="5201101"/>
    <n v="400020"/>
    <s v="O/P Care Svcs Rev--Self Pay"/>
    <s v="Acute Renal - Ancillary"/>
    <x v="0"/>
    <n v="1500"/>
    <n v="-2202.9"/>
    <n v="2202.9"/>
    <n v="0"/>
    <n v="0"/>
    <n v="0"/>
    <n v="-2202.9"/>
    <n v="0"/>
    <n v="0"/>
    <n v="0"/>
    <n v="0"/>
    <n v="0"/>
    <n v="0"/>
    <n v="-2202.9"/>
    <n v="0"/>
  </r>
  <r>
    <x v="19"/>
    <x v="3"/>
    <x v="0"/>
    <s v="5201101"/>
    <n v="400020"/>
    <s v="O/P Care Svcs Rev--Other"/>
    <s v="Acute Renal - Ancillary"/>
    <x v="0"/>
    <n v="1700"/>
    <n v="0"/>
    <n v="0"/>
    <n v="-13217.4"/>
    <n v="-4405.8"/>
    <n v="0"/>
    <n v="-2202.9"/>
    <n v="0"/>
    <n v="-6806.97"/>
    <n v="-4537.9799999999996"/>
    <n v="0"/>
    <n v="6806.97"/>
    <n v="-6806.97"/>
    <n v="-31171.050000000003"/>
    <n v="13613.94"/>
  </r>
  <r>
    <x v="14"/>
    <x v="3"/>
    <x v="0"/>
    <s v="5201101"/>
    <n v="600050"/>
    <s v="Miscellaneous Revenue"/>
    <s v="Acute Renal - Ancillary"/>
    <x v="0"/>
    <m/>
    <n v="0"/>
    <n v="-42593.85"/>
    <n v="12818.37"/>
    <n v="53529.120000000003"/>
    <n v="-60884.19"/>
    <n v="0"/>
    <n v="-43.51"/>
    <n v="-1046.5999999999999"/>
    <n v="0"/>
    <n v="512.1"/>
    <n v="0"/>
    <n v="0"/>
    <n v="-37708.559999999998"/>
    <n v="0"/>
  </r>
  <r>
    <x v="5"/>
    <x v="3"/>
    <x v="0"/>
    <s v="5201101"/>
    <n v="700054"/>
    <s v="Salaries-Management-NonProd-Other"/>
    <s v="Acute Renal - Ancillary"/>
    <x v="0"/>
    <n v="2000"/>
    <n v="0"/>
    <n v="0"/>
    <n v="0"/>
    <n v="0"/>
    <n v="0"/>
    <n v="8746.18"/>
    <n v="-8746.18"/>
    <n v="0"/>
    <n v="0"/>
    <n v="0"/>
    <n v="0"/>
    <n v="0"/>
    <n v="0"/>
    <n v="0"/>
  </r>
  <r>
    <x v="6"/>
    <x v="3"/>
    <x v="0"/>
    <s v="5201101"/>
    <n v="713010"/>
    <s v="Benefits-FICA/Medicare"/>
    <s v="Acute Renal - Ancillary"/>
    <x v="0"/>
    <m/>
    <n v="0"/>
    <n v="0"/>
    <n v="0"/>
    <n v="0"/>
    <n v="0"/>
    <n v="669.09"/>
    <n v="669.09"/>
    <n v="0"/>
    <n v="0"/>
    <n v="0"/>
    <n v="0"/>
    <n v="0"/>
    <n v="1338.18"/>
    <n v="0"/>
  </r>
  <r>
    <x v="6"/>
    <x v="3"/>
    <x v="0"/>
    <s v="5201101"/>
    <n v="713090"/>
    <s v="Benefits-Allocated Amounts"/>
    <s v="Acute Renal - Ancillary"/>
    <x v="0"/>
    <m/>
    <n v="0"/>
    <n v="0"/>
    <n v="0"/>
    <n v="0"/>
    <n v="0"/>
    <n v="463.43"/>
    <n v="19.29"/>
    <n v="-482.72"/>
    <n v="0"/>
    <n v="0"/>
    <n v="0"/>
    <n v="0"/>
    <n v="0"/>
    <n v="0"/>
  </r>
  <r>
    <x v="7"/>
    <x v="3"/>
    <x v="0"/>
    <s v="5201101"/>
    <n v="718050"/>
    <s v="Miscellaneous Purchased Svcs"/>
    <s v="Acute Renal - Ancillary"/>
    <x v="0"/>
    <n v="1020"/>
    <n v="202043.51999999999"/>
    <n v="209359.48"/>
    <n v="173192.18"/>
    <n v="195411.6"/>
    <n v="193855.24"/>
    <n v="222947.16"/>
    <n v="262551.18"/>
    <n v="241645.55"/>
    <n v="303068.89"/>
    <n v="222544.25"/>
    <n v="250014.37"/>
    <n v="200372"/>
    <n v="2677005.42"/>
    <n v="49642.369999999995"/>
  </r>
  <r>
    <x v="7"/>
    <x v="3"/>
    <x v="0"/>
    <s v="5201101"/>
    <n v="718050"/>
    <s v="Contract Management--Linen"/>
    <s v="Acute Renal - Ancillary"/>
    <x v="0"/>
    <n v="1026"/>
    <n v="29.7"/>
    <n v="26.08"/>
    <n v="26.13"/>
    <n v="137.09"/>
    <n v="56.22"/>
    <n v="59.83"/>
    <n v="134.63999999999999"/>
    <n v="139.01"/>
    <n v="165.91"/>
    <n v="207.58"/>
    <n v="205.65"/>
    <n v="269.89999999999998"/>
    <n v="1457.7400000000002"/>
    <n v="-64.249999999999972"/>
  </r>
  <r>
    <x v="11"/>
    <x v="3"/>
    <x v="0"/>
    <s v="5201101"/>
    <n v="721010"/>
    <s v="Supplies-Medical - Billable"/>
    <s v="Acute Renal - Ancillary"/>
    <x v="0"/>
    <m/>
    <n v="16540.419999999998"/>
    <n v="7338.96"/>
    <n v="819.28"/>
    <n v="-8227.4500000000007"/>
    <n v="458.29"/>
    <n v="1423.79"/>
    <n v="829.58"/>
    <n v="190.37"/>
    <n v="1610.29"/>
    <n v="914.86"/>
    <n v="800.01"/>
    <n v="989.97"/>
    <n v="23688.37"/>
    <n v="-189.96000000000004"/>
  </r>
  <r>
    <x v="11"/>
    <x v="3"/>
    <x v="0"/>
    <s v="5201101"/>
    <n v="721010"/>
    <s v="Patient Monitoring"/>
    <s v="Acute Renal - Ancillary"/>
    <x v="0"/>
    <n v="1000"/>
    <n v="8.81"/>
    <n v="0"/>
    <n v="5.29"/>
    <n v="0"/>
    <n v="0"/>
    <n v="6.17"/>
    <n v="4.41"/>
    <n v="79.11"/>
    <n v="5.29"/>
    <n v="5.29"/>
    <n v="0"/>
    <n v="0"/>
    <n v="114.37000000000002"/>
    <n v="0"/>
  </r>
  <r>
    <x v="11"/>
    <x v="3"/>
    <x v="0"/>
    <s v="5201101"/>
    <n v="721020"/>
    <s v="Supplies-Surgical - Billable"/>
    <s v="Acute Renal - Ancillary"/>
    <x v="0"/>
    <m/>
    <n v="0"/>
    <n v="6.5"/>
    <n v="113.39"/>
    <n v="0"/>
    <n v="0"/>
    <n v="0"/>
    <n v="15.55"/>
    <n v="9.33"/>
    <n v="0"/>
    <n v="0"/>
    <n v="0"/>
    <n v="0"/>
    <n v="144.77000000000001"/>
    <n v="0"/>
  </r>
  <r>
    <x v="11"/>
    <x v="3"/>
    <x v="0"/>
    <s v="5201101"/>
    <n v="721020"/>
    <s v="Tubes Drains &amp; Related Supplies"/>
    <s v="Acute Renal - Ancillary"/>
    <x v="0"/>
    <n v="1008"/>
    <n v="0"/>
    <n v="0"/>
    <n v="13.43"/>
    <n v="0"/>
    <n v="0"/>
    <n v="0"/>
    <n v="0"/>
    <n v="0"/>
    <n v="0"/>
    <n v="0"/>
    <n v="0"/>
    <n v="0"/>
    <n v="13.43"/>
    <n v="0"/>
  </r>
  <r>
    <x v="11"/>
    <x v="3"/>
    <x v="0"/>
    <s v="5201101"/>
    <n v="721240"/>
    <s v="Supplies-IV Solutions/Supplies - Billable"/>
    <s v="Acute Renal - Ancillary"/>
    <x v="0"/>
    <m/>
    <n v="92.5"/>
    <n v="46.25"/>
    <n v="46.25"/>
    <n v="92.5"/>
    <n v="46.25"/>
    <n v="92.5"/>
    <n v="92.5"/>
    <n v="92.5"/>
    <n v="130"/>
    <n v="75"/>
    <n v="75"/>
    <n v="75"/>
    <n v="956.25"/>
    <n v="0"/>
  </r>
  <r>
    <x v="11"/>
    <x v="3"/>
    <x v="0"/>
    <s v="5201101"/>
    <n v="721250"/>
    <s v="Supplies-Pharmacy Drugs - Billable"/>
    <s v="Acute Renal - Ancillary"/>
    <x v="0"/>
    <m/>
    <n v="0"/>
    <n v="0"/>
    <n v="5.41"/>
    <n v="0"/>
    <n v="0"/>
    <n v="0"/>
    <n v="0"/>
    <n v="0"/>
    <n v="0"/>
    <n v="0"/>
    <n v="0"/>
    <n v="0"/>
    <n v="5.41"/>
    <n v="0"/>
  </r>
  <r>
    <x v="11"/>
    <x v="3"/>
    <x v="0"/>
    <s v="5201101"/>
    <n v="721410"/>
    <s v="Supplies-Medical - Nonbillable"/>
    <s v="Acute Renal - Ancillary"/>
    <x v="0"/>
    <m/>
    <n v="3836.47"/>
    <n v="2072.0300000000002"/>
    <n v="1105.3800000000001"/>
    <n v="-666.72"/>
    <n v="929.42"/>
    <n v="1668.12"/>
    <n v="1785.36"/>
    <n v="1592.7"/>
    <n v="2074.9"/>
    <n v="4045.74"/>
    <n v="1389.95"/>
    <n v="1204.46"/>
    <n v="21037.81"/>
    <n v="185.49"/>
  </r>
  <r>
    <x v="11"/>
    <x v="3"/>
    <x v="0"/>
    <s v="5201101"/>
    <n v="721410"/>
    <s v="Patient Monitoring"/>
    <s v="Acute Renal - Ancillary"/>
    <x v="0"/>
    <n v="1000"/>
    <n v="0"/>
    <n v="0"/>
    <n v="0"/>
    <n v="0"/>
    <n v="0"/>
    <n v="0"/>
    <n v="0"/>
    <n v="3.75"/>
    <n v="0"/>
    <n v="0"/>
    <n v="0"/>
    <n v="13.5"/>
    <n v="17.25"/>
    <n v="-13.5"/>
  </r>
  <r>
    <x v="11"/>
    <x v="3"/>
    <x v="0"/>
    <s v="5201101"/>
    <n v="721420"/>
    <s v="Supplies-Surgical Nonbillable"/>
    <s v="Acute Renal - Ancillary"/>
    <x v="0"/>
    <m/>
    <n v="26.7"/>
    <n v="13.35"/>
    <n v="26.7"/>
    <n v="81.28"/>
    <n v="0"/>
    <n v="20.02"/>
    <n v="13.35"/>
    <n v="27.3"/>
    <n v="46.71"/>
    <n v="26.69"/>
    <n v="0"/>
    <n v="26.69"/>
    <n v="308.79000000000002"/>
    <n v="-26.69"/>
  </r>
  <r>
    <x v="11"/>
    <x v="3"/>
    <x v="0"/>
    <s v="5201101"/>
    <n v="721420"/>
    <s v="Tubes Drains &amp; Related Supplies"/>
    <s v="Acute Renal - Ancillary"/>
    <x v="0"/>
    <n v="1008"/>
    <n v="0"/>
    <n v="0"/>
    <n v="2.0699999999999998"/>
    <n v="0"/>
    <n v="0"/>
    <n v="0"/>
    <n v="0"/>
    <n v="0"/>
    <n v="0"/>
    <n v="0"/>
    <n v="0"/>
    <n v="0"/>
    <n v="2.0699999999999998"/>
    <n v="0"/>
  </r>
  <r>
    <x v="11"/>
    <x v="3"/>
    <x v="0"/>
    <s v="5201101"/>
    <n v="721610"/>
    <s v="Supplies-Anesthesia - Nonbillable"/>
    <s v="Acute Renal - Ancillary"/>
    <x v="0"/>
    <m/>
    <n v="12.61"/>
    <n v="3.09"/>
    <n v="20.010000000000002"/>
    <n v="13.31"/>
    <n v="17.96"/>
    <n v="46.55"/>
    <n v="27.65"/>
    <n v="17.73"/>
    <n v="36.950000000000003"/>
    <n v="56.57"/>
    <n v="59.28"/>
    <n v="16.37"/>
    <n v="328.08000000000004"/>
    <n v="42.91"/>
  </r>
  <r>
    <x v="11"/>
    <x v="3"/>
    <x v="0"/>
    <s v="5201101"/>
    <n v="721640"/>
    <s v="Supplies-IV Solutions/Supplies - Nonbillable"/>
    <s v="Acute Renal - Ancillary"/>
    <x v="0"/>
    <m/>
    <n v="1026.18"/>
    <n v="916.48"/>
    <n v="2109.61"/>
    <n v="424.29"/>
    <n v="1167.54"/>
    <n v="956.86"/>
    <n v="2862.24"/>
    <n v="1044.58"/>
    <n v="53.06"/>
    <n v="1974.92"/>
    <n v="1457.21"/>
    <n v="1543.05"/>
    <n v="15536.02"/>
    <n v="-85.839999999999918"/>
  </r>
  <r>
    <x v="11"/>
    <x v="3"/>
    <x v="0"/>
    <s v="5201101"/>
    <n v="721650"/>
    <s v="Supplies-Pharmacy Drugs - Nonbillable"/>
    <s v="Acute Renal - Ancillary"/>
    <x v="0"/>
    <m/>
    <n v="0"/>
    <n v="0"/>
    <n v="0.05"/>
    <n v="0"/>
    <n v="0"/>
    <n v="0"/>
    <n v="0"/>
    <n v="0"/>
    <n v="0"/>
    <n v="0"/>
    <n v="0"/>
    <n v="0"/>
    <n v="0.05"/>
    <n v="0"/>
  </r>
  <r>
    <x v="11"/>
    <x v="3"/>
    <x v="0"/>
    <s v="5201101"/>
    <n v="721710"/>
    <s v="Supplies-Laboratory - Nonbillable"/>
    <s v="Acute Renal - Ancillary"/>
    <x v="0"/>
    <m/>
    <n v="78.41"/>
    <n v="19.559999999999999"/>
    <n v="23.96"/>
    <n v="0"/>
    <n v="97.25"/>
    <n v="12.42"/>
    <n v="0"/>
    <n v="129.4"/>
    <n v="73.69"/>
    <n v="34.42"/>
    <n v="118.76"/>
    <n v="203.93"/>
    <n v="791.8"/>
    <n v="-85.17"/>
  </r>
  <r>
    <x v="11"/>
    <x v="3"/>
    <x v="0"/>
    <s v="5201101"/>
    <n v="721710"/>
    <s v="Reagents"/>
    <s v="Acute Renal - Ancillary"/>
    <x v="0"/>
    <n v="1000"/>
    <n v="10.78"/>
    <n v="4.41"/>
    <n v="0"/>
    <n v="0"/>
    <n v="0"/>
    <n v="-0.49"/>
    <n v="0"/>
    <n v="0"/>
    <n v="0"/>
    <n v="0"/>
    <n v="0"/>
    <n v="0"/>
    <n v="14.7"/>
    <n v="0"/>
  </r>
  <r>
    <x v="11"/>
    <x v="3"/>
    <x v="0"/>
    <s v="5201101"/>
    <n v="721810"/>
    <s v="Supplies-Dietary/Cafeteria"/>
    <s v="Acute Renal - Ancillary"/>
    <x v="0"/>
    <m/>
    <n v="2.2599999999999998"/>
    <n v="0"/>
    <n v="0"/>
    <n v="8"/>
    <n v="16"/>
    <n v="0"/>
    <n v="0"/>
    <n v="0"/>
    <n v="0"/>
    <n v="0"/>
    <n v="0"/>
    <n v="0"/>
    <n v="26.259999999999998"/>
    <n v="0"/>
  </r>
  <r>
    <x v="11"/>
    <x v="3"/>
    <x v="0"/>
    <s v="5201101"/>
    <n v="721835"/>
    <s v="Supplies-Forms"/>
    <s v="Acute Renal - Ancillary"/>
    <x v="0"/>
    <m/>
    <n v="0"/>
    <n v="0"/>
    <n v="0"/>
    <n v="0"/>
    <n v="31.71"/>
    <n v="0"/>
    <n v="0"/>
    <n v="0"/>
    <n v="0"/>
    <n v="13.08"/>
    <n v="0"/>
    <n v="0"/>
    <n v="44.79"/>
    <n v="0"/>
  </r>
  <r>
    <x v="11"/>
    <x v="3"/>
    <x v="0"/>
    <s v="5201101"/>
    <n v="721870"/>
    <s v="Supplies-Environmental Services"/>
    <s v="Acute Renal - Ancillary"/>
    <x v="0"/>
    <m/>
    <n v="121.03"/>
    <n v="145.13"/>
    <n v="54.02"/>
    <n v="127.54"/>
    <n v="97.48"/>
    <n v="143.63"/>
    <n v="215.59"/>
    <n v="198.56"/>
    <n v="207.8"/>
    <n v="77.17"/>
    <n v="196.12"/>
    <n v="98.93"/>
    <n v="1683.0000000000002"/>
    <n v="97.19"/>
  </r>
  <r>
    <x v="11"/>
    <x v="3"/>
    <x v="0"/>
    <s v="5201101"/>
    <n v="721880"/>
    <s v="Supplies-Linen"/>
    <s v="Acute Renal - Ancillary"/>
    <x v="0"/>
    <m/>
    <n v="26.2"/>
    <n v="27.52"/>
    <n v="17.03"/>
    <n v="23.58"/>
    <n v="27.51"/>
    <n v="24.89"/>
    <n v="41.66"/>
    <n v="11.79"/>
    <n v="33.340000000000003"/>
    <n v="26.53"/>
    <n v="18.34"/>
    <n v="6.55"/>
    <n v="284.94"/>
    <n v="11.79"/>
  </r>
  <r>
    <x v="11"/>
    <x v="3"/>
    <x v="0"/>
    <s v="5201101"/>
    <n v="721910"/>
    <s v="Supplies-Small Equipment"/>
    <s v="Acute Renal - Ancillary"/>
    <x v="0"/>
    <m/>
    <n v="15.76"/>
    <n v="18.649999999999999"/>
    <n v="37.81"/>
    <n v="58.3"/>
    <n v="6.3"/>
    <n v="36.24"/>
    <n v="69.33"/>
    <n v="71.709999999999994"/>
    <n v="121.28"/>
    <n v="542.72"/>
    <n v="86.63"/>
    <n v="126"/>
    <n v="1190.73"/>
    <n v="-39.370000000000005"/>
  </r>
  <r>
    <x v="11"/>
    <x v="3"/>
    <x v="0"/>
    <s v="5201101"/>
    <n v="721980"/>
    <s v="Supplies-Other"/>
    <s v="Acute Renal - Ancillary"/>
    <x v="0"/>
    <m/>
    <n v="0"/>
    <n v="0"/>
    <n v="0"/>
    <n v="-5702.92"/>
    <n v="0"/>
    <n v="0"/>
    <n v="0"/>
    <n v="0"/>
    <n v="0"/>
    <n v="0"/>
    <n v="0"/>
    <n v="0"/>
    <n v="-5702.92"/>
    <n v="0"/>
  </r>
  <r>
    <x v="13"/>
    <x v="3"/>
    <x v="0"/>
    <s v="5201101"/>
    <n v="735070"/>
    <s v="Depreciation-Movable Equipment"/>
    <s v="Acute Renal - Ancillary"/>
    <x v="0"/>
    <m/>
    <n v="27.41"/>
    <n v="27.41"/>
    <n v="27.41"/>
    <n v="27.41"/>
    <n v="27.41"/>
    <n v="27.41"/>
    <n v="27.41"/>
    <n v="27.41"/>
    <n v="27.41"/>
    <n v="27.41"/>
    <n v="27.42"/>
    <n v="27.41"/>
    <n v="328.93000000000006"/>
    <n v="1.0000000000001563E-2"/>
  </r>
  <r>
    <x v="0"/>
    <x v="3"/>
    <x v="0"/>
    <s v="5201101"/>
    <n v="749510"/>
    <s v="Miscellaneous Expenses"/>
    <s v="Acute Renal - Ancillary"/>
    <x v="0"/>
    <m/>
    <n v="0"/>
    <n v="0"/>
    <n v="0"/>
    <n v="-2"/>
    <n v="0"/>
    <n v="0"/>
    <n v="0"/>
    <n v="-1"/>
    <n v="0"/>
    <n v="-1363"/>
    <n v="28.82"/>
    <n v="0"/>
    <n v="-1337.18"/>
    <n v="28.82"/>
  </r>
  <r>
    <x v="0"/>
    <x v="3"/>
    <x v="0"/>
    <s v="5201101"/>
    <n v="749535"/>
    <s v="Meetings"/>
    <s v="Acute Renal - Ancillary"/>
    <x v="0"/>
    <m/>
    <n v="0"/>
    <n v="0"/>
    <n v="0"/>
    <n v="0"/>
    <n v="0"/>
    <n v="0"/>
    <n v="110.11"/>
    <n v="0"/>
    <n v="0"/>
    <n v="0"/>
    <n v="0"/>
    <n v="0"/>
    <n v="110.11"/>
    <n v="0"/>
  </r>
  <r>
    <x v="18"/>
    <x v="0"/>
    <x v="0"/>
    <s v="5201102"/>
    <n v="400010"/>
    <s v="Acute I/P Svcs Rev--Medicare"/>
    <s v="Acute Renal Dialysis"/>
    <x v="0"/>
    <n v="1100"/>
    <n v="-101333.4"/>
    <n v="-100074.6"/>
    <n v="-88708.2"/>
    <n v="-78884.800000000003"/>
    <n v="-88116"/>
    <n v="-107942.1"/>
    <n v="-92521.8"/>
    <n v="-74876.67"/>
    <n v="-49917.78"/>
    <n v="-97566.57"/>
    <n v="-70338.69"/>
    <n v="-56724.75"/>
    <n v="-1007005.3600000001"/>
    <n v="-13613.940000000002"/>
  </r>
  <r>
    <x v="18"/>
    <x v="0"/>
    <x v="0"/>
    <s v="5201102"/>
    <n v="400010"/>
    <s v="Acute I/P Svcs Rev--Medicaid"/>
    <s v="Acute Renal Dialysis"/>
    <x v="0"/>
    <n v="1200"/>
    <n v="0"/>
    <n v="-11014.5"/>
    <n v="-19826.099999999999"/>
    <n v="-24651.5"/>
    <n v="-19826.099999999999"/>
    <n v="-39652.199999999997"/>
    <n v="-41855.1"/>
    <n v="-29562.959999999999"/>
    <n v="-36303.839999999997"/>
    <n v="-38914.81"/>
    <n v="-45837.27"/>
    <n v="-63684.21"/>
    <n v="-371128.59"/>
    <n v="17846.940000000002"/>
  </r>
  <r>
    <x v="18"/>
    <x v="0"/>
    <x v="0"/>
    <s v="5201102"/>
    <n v="400010"/>
    <s v="Acute I/P Svcs Rev--Comm Insurance"/>
    <s v="Acute Renal Dialysis"/>
    <x v="0"/>
    <n v="1300"/>
    <n v="-4405.8"/>
    <n v="-6608.7"/>
    <n v="0"/>
    <n v="-11014.5"/>
    <n v="11014.5"/>
    <n v="0"/>
    <n v="0"/>
    <n v="-4537.9799999999996"/>
    <n v="-2268.9899999999998"/>
    <n v="0"/>
    <n v="0"/>
    <n v="0"/>
    <n v="-17821.47"/>
    <n v="0"/>
  </r>
  <r>
    <x v="18"/>
    <x v="0"/>
    <x v="0"/>
    <s v="5201102"/>
    <n v="400010"/>
    <s v="Acute I/P Svcs Rev--BCBS Comm"/>
    <s v="Acute Renal Dialysis"/>
    <x v="0"/>
    <n v="1301"/>
    <n v="0"/>
    <n v="-4553.8500000000004"/>
    <n v="0"/>
    <n v="0"/>
    <n v="-4510.7"/>
    <n v="0"/>
    <n v="0"/>
    <n v="0"/>
    <n v="0"/>
    <n v="-4196"/>
    <n v="0"/>
    <n v="0"/>
    <n v="-13260.55"/>
    <n v="0"/>
  </r>
  <r>
    <x v="18"/>
    <x v="0"/>
    <x v="0"/>
    <s v="5201102"/>
    <n v="400010"/>
    <s v="Acute I/P Svcs Rev--Managed Care"/>
    <s v="Acute Renal Dialysis"/>
    <x v="0"/>
    <n v="1400"/>
    <n v="-44058"/>
    <n v="-1258.8"/>
    <n v="-9107.7000000000007"/>
    <n v="-6608.7"/>
    <n v="-15315.4"/>
    <n v="-17623.2"/>
    <n v="-11014.5"/>
    <n v="-18151.919999999998"/>
    <n v="-16187.91"/>
    <n v="-20573.400000000001"/>
    <n v="-6806.97"/>
    <n v="0"/>
    <n v="-166706.49999999997"/>
    <n v="-6806.97"/>
  </r>
  <r>
    <x v="18"/>
    <x v="0"/>
    <x v="0"/>
    <s v="5201102"/>
    <n v="400010"/>
    <s v="Acute I/P Svcs Rev--Self Pay"/>
    <s v="Acute Renal Dialysis"/>
    <x v="0"/>
    <n v="1500"/>
    <n v="0"/>
    <n v="-17771.25"/>
    <n v="-8959.65"/>
    <n v="0"/>
    <n v="0"/>
    <n v="0"/>
    <n v="0"/>
    <n v="-2268.9899999999998"/>
    <n v="-6806.97"/>
    <n v="6806.97"/>
    <n v="0"/>
    <n v="0"/>
    <n v="-28999.89"/>
    <n v="0"/>
  </r>
  <r>
    <x v="18"/>
    <x v="0"/>
    <x v="0"/>
    <s v="5201102"/>
    <n v="400010"/>
    <s v="Acute I/P Svcs Rev--Other"/>
    <s v="Acute Renal Dialysis"/>
    <x v="0"/>
    <n v="1700"/>
    <n v="0"/>
    <n v="0"/>
    <n v="-6608.7"/>
    <n v="0"/>
    <n v="0"/>
    <n v="0"/>
    <n v="0"/>
    <n v="0"/>
    <n v="-4537.9799999999996"/>
    <n v="4537.9799999999996"/>
    <n v="0"/>
    <n v="0"/>
    <n v="-6608.7000000000007"/>
    <n v="0"/>
  </r>
  <r>
    <x v="19"/>
    <x v="0"/>
    <x v="0"/>
    <s v="5201102"/>
    <n v="400020"/>
    <s v="O/P Care Svcs Rev--Medicare"/>
    <s v="Acute Renal Dialysis"/>
    <x v="0"/>
    <n v="1100"/>
    <n v="-2202.9"/>
    <n v="-2202.9"/>
    <n v="0"/>
    <n v="-4405.8"/>
    <n v="-22029"/>
    <n v="0"/>
    <n v="-8811.6"/>
    <n v="-2268.9899999999998"/>
    <n v="0"/>
    <n v="-4537.9799999999996"/>
    <n v="-6806.97"/>
    <n v="-9075.9599999999991"/>
    <n v="-62342.1"/>
    <n v="2268.9899999999989"/>
  </r>
  <r>
    <x v="19"/>
    <x v="0"/>
    <x v="0"/>
    <s v="5201102"/>
    <n v="400020"/>
    <s v="O/P Care Svcs Rev--Medicaid"/>
    <s v="Acute Renal Dialysis"/>
    <x v="0"/>
    <n v="1200"/>
    <n v="-2202.9"/>
    <n v="-2202.9"/>
    <n v="0"/>
    <n v="-4405.8"/>
    <n v="0"/>
    <n v="-2202.9"/>
    <n v="0"/>
    <n v="0"/>
    <n v="-4537.9799999999996"/>
    <n v="0"/>
    <n v="-4537.9799999999996"/>
    <n v="-4537.9799999999996"/>
    <n v="-24628.44"/>
    <n v="0"/>
  </r>
  <r>
    <x v="19"/>
    <x v="0"/>
    <x v="0"/>
    <s v="5201102"/>
    <n v="400020"/>
    <s v="O/P Care Svcs Rev--BCBS Comm"/>
    <s v="Acute Renal Dialysis"/>
    <x v="0"/>
    <n v="1301"/>
    <n v="0"/>
    <n v="0"/>
    <n v="0"/>
    <n v="0"/>
    <n v="2098"/>
    <n v="0"/>
    <n v="0"/>
    <n v="0"/>
    <n v="0"/>
    <n v="0"/>
    <n v="0"/>
    <n v="0"/>
    <n v="2098"/>
    <n v="0"/>
  </r>
  <r>
    <x v="19"/>
    <x v="0"/>
    <x v="0"/>
    <s v="5201102"/>
    <n v="400020"/>
    <s v="O/P Care Svcs Rev--Managed Care"/>
    <s v="Acute Renal Dialysis"/>
    <x v="0"/>
    <n v="1400"/>
    <n v="0"/>
    <n v="0"/>
    <n v="0"/>
    <n v="-2202.9"/>
    <n v="0"/>
    <n v="0"/>
    <n v="0"/>
    <n v="0"/>
    <n v="0"/>
    <n v="0"/>
    <n v="0"/>
    <n v="0"/>
    <n v="-2202.9"/>
    <n v="0"/>
  </r>
  <r>
    <x v="19"/>
    <x v="0"/>
    <x v="0"/>
    <s v="5201102"/>
    <n v="400020"/>
    <s v="O/P Care Svcs Rev--Self Pay"/>
    <s v="Acute Renal Dialysis"/>
    <x v="0"/>
    <n v="1500"/>
    <n v="0"/>
    <n v="0"/>
    <n v="0"/>
    <n v="0"/>
    <n v="-2098"/>
    <n v="0"/>
    <n v="0"/>
    <n v="0"/>
    <n v="0"/>
    <n v="0"/>
    <n v="0"/>
    <n v="0"/>
    <n v="-2098"/>
    <n v="0"/>
  </r>
  <r>
    <x v="19"/>
    <x v="0"/>
    <x v="0"/>
    <s v="5201102"/>
    <n v="400020"/>
    <s v="O/P Care Svcs Rev--Other"/>
    <s v="Acute Renal Dialysis"/>
    <x v="0"/>
    <n v="1700"/>
    <n v="0"/>
    <n v="0"/>
    <n v="0"/>
    <n v="-8811.6"/>
    <n v="8811.6"/>
    <n v="0"/>
    <n v="0"/>
    <n v="0"/>
    <n v="0"/>
    <n v="0"/>
    <n v="-2268.9899999999998"/>
    <n v="0"/>
    <n v="-2268.9899999999998"/>
    <n v="-2268.9899999999998"/>
  </r>
  <r>
    <x v="14"/>
    <x v="0"/>
    <x v="0"/>
    <s v="5201102"/>
    <n v="600050"/>
    <s v="Miscellaneous Revenue"/>
    <s v="Acute Renal Dialysis"/>
    <x v="0"/>
    <m/>
    <n v="0"/>
    <n v="0"/>
    <n v="-9277.43"/>
    <n v="-9067.2000000000007"/>
    <n v="-3118.18"/>
    <n v="0"/>
    <n v="-3761.45"/>
    <n v="-10071.68"/>
    <n v="0"/>
    <n v="-9410.91"/>
    <n v="0"/>
    <n v="-7160.55"/>
    <n v="-51867.400000000009"/>
    <n v="7160.55"/>
  </r>
  <r>
    <x v="7"/>
    <x v="0"/>
    <x v="0"/>
    <s v="5201102"/>
    <n v="718050"/>
    <s v="Miscellaneous Purchased Svcs"/>
    <s v="Acute Renal Dialysis"/>
    <x v="0"/>
    <n v="1020"/>
    <n v="44204.25"/>
    <n v="42247.13"/>
    <n v="40100.67"/>
    <n v="42685.09"/>
    <n v="37329.449999999997"/>
    <n v="52009.8"/>
    <n v="45044.480000000003"/>
    <n v="43109.83"/>
    <n v="31470.03"/>
    <n v="44762.7"/>
    <n v="39037.949999999997"/>
    <n v="41450.25"/>
    <n v="503451.63"/>
    <n v="-2412.3000000000029"/>
  </r>
  <r>
    <x v="11"/>
    <x v="0"/>
    <x v="0"/>
    <s v="5201102"/>
    <n v="721010"/>
    <s v="Supplies-Medical - Billable"/>
    <s v="Acute Renal Dialysis"/>
    <x v="0"/>
    <m/>
    <n v="3355.01"/>
    <n v="3496.91"/>
    <n v="2904.2"/>
    <n v="3840.66"/>
    <n v="1840.23"/>
    <n v="2952.74"/>
    <n v="4501.63"/>
    <n v="4970.1400000000003"/>
    <n v="2464.63"/>
    <n v="3460.81"/>
    <n v="1731.68"/>
    <n v="5074.12"/>
    <n v="40592.76"/>
    <n v="-3342.4399999999996"/>
  </r>
  <r>
    <x v="11"/>
    <x v="0"/>
    <x v="0"/>
    <s v="5201102"/>
    <n v="721410"/>
    <s v="Supplies-Medical - Nonbillable"/>
    <s v="Acute Renal Dialysis"/>
    <x v="0"/>
    <m/>
    <n v="412.17"/>
    <n v="1772.32"/>
    <n v="618.05999999999995"/>
    <n v="618.05999999999995"/>
    <n v="418.77"/>
    <n v="1290.81"/>
    <n v="660.16"/>
    <n v="411.78"/>
    <n v="1917.58"/>
    <n v="-52.1"/>
    <n v="331.43"/>
    <n v="646.05999999999995"/>
    <n v="9045.0999999999985"/>
    <n v="-314.62999999999994"/>
  </r>
  <r>
    <x v="11"/>
    <x v="0"/>
    <x v="0"/>
    <s v="5201102"/>
    <n v="721640"/>
    <s v="Supplies-IV Solutions/Supplies - Nonbillable"/>
    <s v="Acute Renal Dialysis"/>
    <x v="0"/>
    <m/>
    <n v="0"/>
    <n v="0"/>
    <n v="457.25"/>
    <n v="0"/>
    <n v="0"/>
    <n v="0"/>
    <n v="0"/>
    <n v="0"/>
    <n v="0"/>
    <n v="0"/>
    <n v="0"/>
    <n v="479.73"/>
    <n v="936.98"/>
    <n v="-479.73"/>
  </r>
  <r>
    <x v="11"/>
    <x v="0"/>
    <x v="0"/>
    <s v="5201102"/>
    <n v="721710"/>
    <s v="Reagents"/>
    <s v="Acute Renal Dialysis"/>
    <x v="0"/>
    <n v="1000"/>
    <n v="13.44"/>
    <n v="0"/>
    <n v="67.28"/>
    <n v="29.9"/>
    <n v="35.25"/>
    <n v="-1.07"/>
    <n v="-2.14"/>
    <n v="11.75"/>
    <n v="10.68"/>
    <n v="21.36"/>
    <n v="59.8"/>
    <n v="38.880000000000003"/>
    <n v="285.13000000000005"/>
    <n v="20.919999999999995"/>
  </r>
  <r>
    <x v="11"/>
    <x v="0"/>
    <x v="0"/>
    <s v="5201102"/>
    <n v="721870"/>
    <s v="Supplies-Environmental Services"/>
    <s v="Acute Renal Dialysis"/>
    <x v="0"/>
    <m/>
    <n v="0"/>
    <n v="7.57"/>
    <n v="0"/>
    <n v="0"/>
    <n v="0"/>
    <n v="0"/>
    <n v="0"/>
    <n v="0"/>
    <n v="0"/>
    <n v="0"/>
    <n v="9.3000000000000007"/>
    <n v="0"/>
    <n v="16.87"/>
    <n v="9.3000000000000007"/>
  </r>
  <r>
    <x v="11"/>
    <x v="0"/>
    <x v="0"/>
    <s v="5201102"/>
    <n v="722000"/>
    <s v="Supplies-Freight Expense"/>
    <s v="Acute Renal Dialysis"/>
    <x v="0"/>
    <m/>
    <n v="15.87"/>
    <n v="0"/>
    <n v="0"/>
    <n v="0"/>
    <n v="0"/>
    <n v="0"/>
    <n v="0"/>
    <n v="0"/>
    <n v="0"/>
    <n v="0"/>
    <n v="0"/>
    <n v="0"/>
    <n v="15.87"/>
    <n v="0"/>
  </r>
  <r>
    <x v="18"/>
    <x v="4"/>
    <x v="0"/>
    <s v="5201103"/>
    <n v="400010"/>
    <s v="Acute I/P Svcs Rev--Medicare"/>
    <s v="Acute Renal Dialysis"/>
    <x v="0"/>
    <n v="1100"/>
    <n v="-30840.6"/>
    <n v="-59478.3"/>
    <n v="-68185"/>
    <n v="-46260.9"/>
    <n v="-76891.7"/>
    <n v="-59478.3"/>
    <n v="-66235.05"/>
    <n v="-97871.55"/>
    <n v="-86221.62"/>
    <n v="-52186.77"/>
    <n v="-54455.76"/>
    <n v="-97871.55"/>
    <n v="-795977.10000000009"/>
    <n v="43415.79"/>
  </r>
  <r>
    <x v="18"/>
    <x v="4"/>
    <x v="0"/>
    <s v="5201103"/>
    <n v="400010"/>
    <s v="Acute I/P Svcs Rev--Medicaid"/>
    <s v="Acute Renal Dialysis"/>
    <x v="0"/>
    <n v="1200"/>
    <n v="-33043.5"/>
    <n v="-8811.6"/>
    <n v="-13322.3"/>
    <n v="-19826.099999999999"/>
    <n v="-11224.3"/>
    <n v="-39652.199999999997"/>
    <n v="-15420.3"/>
    <n v="-29496.87"/>
    <n v="-104831.01"/>
    <n v="-79414.649999999994"/>
    <n v="-47648.79"/>
    <n v="-6959.46"/>
    <n v="-409651.07999999996"/>
    <n v="-40689.33"/>
  </r>
  <r>
    <x v="18"/>
    <x v="4"/>
    <x v="0"/>
    <s v="5201103"/>
    <n v="400010"/>
    <s v="Acute I/P Svcs Rev--Comm Insurance"/>
    <s v="Acute Renal Dialysis"/>
    <x v="0"/>
    <n v="1300"/>
    <n v="0"/>
    <n v="0"/>
    <n v="0"/>
    <n v="0"/>
    <n v="0"/>
    <n v="0"/>
    <n v="0"/>
    <n v="0"/>
    <n v="0"/>
    <n v="0"/>
    <n v="0"/>
    <n v="0"/>
    <n v="0"/>
    <n v="0"/>
  </r>
  <r>
    <x v="18"/>
    <x v="4"/>
    <x v="0"/>
    <s v="5201103"/>
    <n v="400010"/>
    <s v="Acute I/P Svcs Rev--BCBS Comm"/>
    <s v="Acute Renal Dialysis"/>
    <x v="0"/>
    <n v="1301"/>
    <n v="0"/>
    <n v="0"/>
    <n v="0"/>
    <n v="0"/>
    <n v="0"/>
    <n v="0"/>
    <n v="-22029"/>
    <n v="-4471.8900000000003"/>
    <n v="0"/>
    <n v="0"/>
    <n v="0"/>
    <n v="0"/>
    <n v="-26500.89"/>
    <n v="0"/>
  </r>
  <r>
    <x v="18"/>
    <x v="4"/>
    <x v="0"/>
    <s v="5201103"/>
    <n v="400010"/>
    <s v="Acute I/P Svcs Rev--Managed Care"/>
    <s v="Acute Renal Dialysis"/>
    <x v="0"/>
    <n v="1400"/>
    <n v="0"/>
    <n v="0"/>
    <n v="0"/>
    <n v="0"/>
    <n v="0"/>
    <n v="0"/>
    <n v="-42151.199999999997"/>
    <n v="-2268.9899999999998"/>
    <n v="-4537.9799999999996"/>
    <n v="0"/>
    <n v="44420.19"/>
    <n v="-11344.95"/>
    <n v="-15882.929999999997"/>
    <n v="55765.14"/>
  </r>
  <r>
    <x v="18"/>
    <x v="4"/>
    <x v="0"/>
    <s v="5201103"/>
    <n v="400010"/>
    <s v="Acute I/P Svcs Rev--Self Pay"/>
    <s v="Acute Renal Dialysis"/>
    <x v="0"/>
    <n v="1500"/>
    <n v="-4405.8"/>
    <n v="0"/>
    <n v="0"/>
    <n v="0"/>
    <n v="0"/>
    <n v="0"/>
    <n v="0"/>
    <n v="0"/>
    <n v="-2268.9899999999998"/>
    <n v="2268.9899999999998"/>
    <n v="0"/>
    <n v="0"/>
    <n v="-4405.8"/>
    <n v="0"/>
  </r>
  <r>
    <x v="18"/>
    <x v="4"/>
    <x v="0"/>
    <s v="5201103"/>
    <n v="400010"/>
    <s v="Acute I/P Svcs Rev--Other"/>
    <s v="Acute Renal Dialysis"/>
    <x v="0"/>
    <n v="1700"/>
    <n v="-4337"/>
    <n v="0"/>
    <n v="0"/>
    <n v="0"/>
    <n v="0"/>
    <n v="0"/>
    <n v="0"/>
    <n v="0"/>
    <n v="0"/>
    <n v="-4537.9799999999996"/>
    <n v="-53496.15"/>
    <n v="-20420.91"/>
    <n v="-82792.040000000008"/>
    <n v="-33075.240000000005"/>
  </r>
  <r>
    <x v="19"/>
    <x v="4"/>
    <x v="0"/>
    <s v="5201103"/>
    <n v="400020"/>
    <s v="O/P Care Svcs Rev--Medicare"/>
    <s v="Acute Renal Dialysis"/>
    <x v="0"/>
    <n v="1100"/>
    <n v="-15420.3"/>
    <n v="-13217.4"/>
    <n v="0"/>
    <n v="0"/>
    <n v="-6608.7"/>
    <n v="-2202.9"/>
    <n v="0"/>
    <n v="0"/>
    <n v="-4537.9799999999996"/>
    <n v="-4537.9799999999996"/>
    <n v="-4537.9799999999996"/>
    <n v="-4537.9799999999996"/>
    <n v="-55601.219999999987"/>
    <n v="0"/>
  </r>
  <r>
    <x v="19"/>
    <x v="4"/>
    <x v="0"/>
    <s v="5201103"/>
    <n v="400020"/>
    <s v="O/P Care Svcs Rev--Medicaid"/>
    <s v="Acute Renal Dialysis"/>
    <x v="0"/>
    <n v="1200"/>
    <n v="-4405.8"/>
    <n v="-2202.9"/>
    <n v="0"/>
    <n v="-6608.7"/>
    <n v="0"/>
    <n v="0"/>
    <n v="0"/>
    <n v="0"/>
    <n v="0"/>
    <n v="0"/>
    <n v="-2268.9899999999998"/>
    <n v="-2268.9899999999998"/>
    <n v="-17755.38"/>
    <n v="0"/>
  </r>
  <r>
    <x v="19"/>
    <x v="4"/>
    <x v="0"/>
    <s v="5201103"/>
    <n v="400020"/>
    <s v="O/P Care Svcs Rev--Managed Care"/>
    <s v="Acute Renal Dialysis"/>
    <x v="0"/>
    <n v="1400"/>
    <n v="0"/>
    <n v="0"/>
    <n v="0"/>
    <n v="0"/>
    <n v="-4405.8"/>
    <n v="-4405.8"/>
    <n v="0"/>
    <n v="0"/>
    <n v="0"/>
    <n v="0"/>
    <n v="0"/>
    <n v="0"/>
    <n v="-8811.6"/>
    <n v="0"/>
  </r>
  <r>
    <x v="19"/>
    <x v="4"/>
    <x v="0"/>
    <s v="5201103"/>
    <n v="400020"/>
    <s v="O/P Care Svcs Rev--Self Pay"/>
    <s v="Acute Renal Dialysis"/>
    <x v="0"/>
    <n v="1500"/>
    <n v="0"/>
    <n v="0"/>
    <n v="0"/>
    <n v="-6608.7"/>
    <n v="2202.9"/>
    <n v="4405.8"/>
    <n v="0"/>
    <n v="0"/>
    <n v="0"/>
    <n v="0"/>
    <n v="0"/>
    <n v="0"/>
    <n v="9.0949470177292824E-13"/>
    <n v="0"/>
  </r>
  <r>
    <x v="19"/>
    <x v="4"/>
    <x v="0"/>
    <s v="5201103"/>
    <n v="400020"/>
    <s v="O/P Care Svcs Rev--Other"/>
    <s v="Acute Renal Dialysis"/>
    <x v="0"/>
    <n v="1700"/>
    <n v="0"/>
    <n v="-2202.9"/>
    <n v="0"/>
    <n v="0"/>
    <n v="0"/>
    <n v="0"/>
    <n v="0"/>
    <n v="0"/>
    <n v="0"/>
    <n v="0"/>
    <n v="0"/>
    <n v="0"/>
    <n v="-2202.9"/>
    <n v="0"/>
  </r>
  <r>
    <x v="14"/>
    <x v="4"/>
    <x v="0"/>
    <s v="5201103"/>
    <n v="600050"/>
    <s v="Miscellaneous Revenue"/>
    <s v="Acute Renal Dialysis"/>
    <x v="0"/>
    <m/>
    <n v="0"/>
    <n v="0"/>
    <n v="-2341.59"/>
    <n v="-5454.66"/>
    <n v="-3158.16"/>
    <n v="0"/>
    <n v="-4079.02"/>
    <n v="-5709.28"/>
    <n v="0"/>
    <n v="-8571.24"/>
    <n v="0"/>
    <n v="-6710.58"/>
    <n v="-36024.53"/>
    <n v="6710.58"/>
  </r>
  <r>
    <x v="7"/>
    <x v="4"/>
    <x v="0"/>
    <s v="5201103"/>
    <n v="718050"/>
    <s v="Miscellaneous Purchased Svcs"/>
    <s v="Acute Renal Dialysis"/>
    <x v="0"/>
    <n v="1020"/>
    <n v="26643.68"/>
    <n v="24664.880000000001"/>
    <n v="24673.8"/>
    <n v="23577.3"/>
    <n v="31623.83"/>
    <n v="28401.9"/>
    <n v="46580.85"/>
    <n v="40475.75"/>
    <n v="58316.36"/>
    <n v="41621.1"/>
    <n v="34571.629999999997"/>
    <n v="44778.64"/>
    <n v="425929.72"/>
    <n v="-10207.010000000002"/>
  </r>
  <r>
    <x v="11"/>
    <x v="4"/>
    <x v="0"/>
    <s v="5201103"/>
    <n v="721010"/>
    <s v="Supplies-Medical - Billable"/>
    <s v="Acute Renal Dialysis"/>
    <x v="0"/>
    <m/>
    <n v="1858.3"/>
    <n v="1568.62"/>
    <n v="2643.14"/>
    <n v="2173.2399999999998"/>
    <n v="2623.28"/>
    <n v="1659.47"/>
    <n v="3817.09"/>
    <n v="2162.9699999999998"/>
    <n v="4680.59"/>
    <n v="4124.97"/>
    <n v="3176.11"/>
    <n v="3308.7"/>
    <n v="33796.480000000003"/>
    <n v="-132.58999999999969"/>
  </r>
  <r>
    <x v="11"/>
    <x v="4"/>
    <x v="0"/>
    <s v="5201103"/>
    <n v="721020"/>
    <s v="Custom Packs"/>
    <s v="Acute Renal Dialysis"/>
    <x v="0"/>
    <n v="1000"/>
    <n v="0"/>
    <n v="0"/>
    <n v="0"/>
    <n v="66.2"/>
    <n v="0"/>
    <n v="105.92"/>
    <n v="52.96"/>
    <n v="52.96"/>
    <n v="198.6"/>
    <n v="0"/>
    <n v="66.2"/>
    <n v="105.92"/>
    <n v="648.76"/>
    <n v="-39.72"/>
  </r>
  <r>
    <x v="11"/>
    <x v="4"/>
    <x v="0"/>
    <s v="5201103"/>
    <n v="721240"/>
    <s v="Supplies-IV Solutions/Supplies - Billable"/>
    <s v="Acute Renal Dialysis"/>
    <x v="0"/>
    <m/>
    <n v="0"/>
    <n v="0"/>
    <n v="0"/>
    <n v="0"/>
    <n v="0"/>
    <n v="0"/>
    <n v="3.7"/>
    <n v="0"/>
    <n v="0"/>
    <n v="0"/>
    <n v="0"/>
    <n v="0"/>
    <n v="3.7"/>
    <n v="0"/>
  </r>
  <r>
    <x v="11"/>
    <x v="4"/>
    <x v="0"/>
    <s v="5201103"/>
    <n v="721410"/>
    <s v="Supplies-Medical - Nonbillable"/>
    <s v="Acute Renal Dialysis"/>
    <x v="0"/>
    <m/>
    <n v="206.02"/>
    <n v="309.02999999999997"/>
    <n v="206.02"/>
    <n v="412.04"/>
    <n v="776.28"/>
    <n v="673.66"/>
    <n v="536.92999999999995"/>
    <n v="776.41"/>
    <n v="409.36"/>
    <n v="617.41"/>
    <n v="16.8"/>
    <n v="320.23"/>
    <n v="5260.1899999999987"/>
    <n v="-303.43"/>
  </r>
  <r>
    <x v="11"/>
    <x v="4"/>
    <x v="0"/>
    <s v="5201103"/>
    <n v="721640"/>
    <s v="Supplies-IV Solutions/Supplies - Nonbillable"/>
    <s v="Acute Renal Dialysis"/>
    <x v="0"/>
    <m/>
    <n v="0"/>
    <n v="0"/>
    <n v="456.83"/>
    <n v="0"/>
    <n v="0"/>
    <n v="261.56"/>
    <n v="467.42"/>
    <n v="0"/>
    <n v="652.1"/>
    <n v="456.83"/>
    <n v="456.83"/>
    <n v="22.46"/>
    <n v="2774.0299999999997"/>
    <n v="434.37"/>
  </r>
  <r>
    <x v="11"/>
    <x v="4"/>
    <x v="0"/>
    <s v="5201103"/>
    <n v="721710"/>
    <s v="Reagents"/>
    <s v="Acute Renal Dialysis"/>
    <x v="0"/>
    <n v="1000"/>
    <n v="0"/>
    <n v="79.77"/>
    <n v="39.79"/>
    <n v="11.74"/>
    <n v="32.86"/>
    <n v="35"/>
    <n v="25.89"/>
    <n v="0"/>
    <n v="-1.06"/>
    <n v="77.63"/>
    <n v="34.15"/>
    <n v="71.599999999999994"/>
    <n v="407.37"/>
    <n v="-37.449999999999996"/>
  </r>
  <r>
    <x v="11"/>
    <x v="4"/>
    <x v="0"/>
    <s v="5201103"/>
    <n v="721870"/>
    <s v="Supplies-Environmental Services"/>
    <s v="Acute Renal Dialysis"/>
    <x v="0"/>
    <m/>
    <n v="0"/>
    <n v="0.97"/>
    <n v="0"/>
    <n v="8.15"/>
    <n v="0"/>
    <n v="0.26"/>
    <n v="0"/>
    <n v="9.2899999999999991"/>
    <n v="0"/>
    <n v="7.03"/>
    <n v="0"/>
    <n v="0"/>
    <n v="25.700000000000003"/>
    <n v="0"/>
  </r>
  <r>
    <x v="11"/>
    <x v="4"/>
    <x v="0"/>
    <s v="5201103"/>
    <n v="722000"/>
    <s v="Supplies-Freight Expense"/>
    <s v="Acute Renal Dialysis"/>
    <x v="0"/>
    <m/>
    <n v="29.63"/>
    <n v="0"/>
    <n v="17.34"/>
    <n v="15.86"/>
    <n v="0"/>
    <n v="0"/>
    <n v="8.01"/>
    <n v="0"/>
    <n v="0"/>
    <n v="0"/>
    <n v="8.98"/>
    <n v="0"/>
    <n v="79.820000000000007"/>
    <n v="8.98"/>
  </r>
  <r>
    <x v="18"/>
    <x v="8"/>
    <x v="0"/>
    <s v="5201104"/>
    <n v="400010"/>
    <s v="Acute I/P Svcs Rev--Medicare"/>
    <s v="Acute Renal Dialysis"/>
    <x v="0"/>
    <n v="1100"/>
    <n v="-52764.7"/>
    <n v="-63884.1"/>
    <n v="-57423.45"/>
    <n v="-98106"/>
    <n v="-116691.95"/>
    <n v="-100599.1"/>
    <n v="-92669.85"/>
    <n v="-131601.42000000001"/>
    <n v="-183940.68"/>
    <n v="-115718.49"/>
    <n v="-147484.35"/>
    <n v="-31765.86"/>
    <n v="-1192649.9500000002"/>
    <n v="-115718.49"/>
  </r>
  <r>
    <x v="18"/>
    <x v="8"/>
    <x v="0"/>
    <s v="5201104"/>
    <n v="400010"/>
    <s v="Acute I/P Svcs Rev--Medicaid"/>
    <s v="Acute Renal Dialysis"/>
    <x v="0"/>
    <n v="1200"/>
    <n v="-11014.5"/>
    <n v="-22769.25"/>
    <n v="-17623.2"/>
    <n v="5584.2"/>
    <n v="4196"/>
    <n v="-16154.6"/>
    <n v="-22029"/>
    <n v="-2268.9899999999998"/>
    <n v="-31765.86"/>
    <n v="-24958.89"/>
    <n v="-15882.93"/>
    <n v="-45379.8"/>
    <n v="-200066.82"/>
    <n v="29496.870000000003"/>
  </r>
  <r>
    <x v="18"/>
    <x v="8"/>
    <x v="0"/>
    <s v="5201104"/>
    <n v="400010"/>
    <s v="Acute I/P Svcs Rev--Comm Insurance"/>
    <s v="Acute Renal Dialysis"/>
    <x v="0"/>
    <n v="1300"/>
    <n v="-15420.3"/>
    <n v="0"/>
    <n v="0"/>
    <n v="0"/>
    <n v="0"/>
    <n v="0"/>
    <n v="0"/>
    <n v="0"/>
    <n v="0"/>
    <n v="0"/>
    <n v="0"/>
    <n v="0"/>
    <n v="-15420.3"/>
    <n v="0"/>
  </r>
  <r>
    <x v="18"/>
    <x v="8"/>
    <x v="0"/>
    <s v="5201104"/>
    <n v="400010"/>
    <s v="Acute I/P Svcs Rev--BCBS Comm"/>
    <s v="Acute Renal Dialysis"/>
    <x v="0"/>
    <n v="1301"/>
    <n v="0"/>
    <n v="0"/>
    <n v="0"/>
    <n v="0"/>
    <n v="0"/>
    <n v="0"/>
    <n v="0"/>
    <n v="0"/>
    <n v="0"/>
    <n v="-4537.9799999999996"/>
    <n v="0"/>
    <n v="0"/>
    <n v="-4537.9799999999996"/>
    <n v="0"/>
  </r>
  <r>
    <x v="18"/>
    <x v="8"/>
    <x v="0"/>
    <s v="5201104"/>
    <n v="400010"/>
    <s v="Acute I/P Svcs Rev--Managed Care"/>
    <s v="Acute Renal Dialysis"/>
    <x v="0"/>
    <n v="1400"/>
    <n v="-2202.9"/>
    <n v="-15568.35"/>
    <n v="0"/>
    <n v="-4405.8"/>
    <n v="0"/>
    <n v="-22325.1"/>
    <n v="-4553.8500000000004"/>
    <n v="-32680.799999999999"/>
    <n v="-152.49"/>
    <n v="0"/>
    <n v="0"/>
    <n v="0"/>
    <n v="-81889.289999999994"/>
    <n v="0"/>
  </r>
  <r>
    <x v="18"/>
    <x v="8"/>
    <x v="0"/>
    <s v="5201104"/>
    <n v="400010"/>
    <s v="Acute I/P Svcs Rev--Self Pay"/>
    <s v="Acute Renal Dialysis"/>
    <x v="0"/>
    <n v="1500"/>
    <n v="-8742.7999999999993"/>
    <n v="0"/>
    <n v="0"/>
    <n v="0"/>
    <n v="0"/>
    <n v="0"/>
    <n v="0"/>
    <n v="0"/>
    <n v="0"/>
    <n v="0"/>
    <n v="0"/>
    <n v="0"/>
    <n v="-8742.7999999999993"/>
    <n v="0"/>
  </r>
  <r>
    <x v="18"/>
    <x v="8"/>
    <x v="0"/>
    <s v="5201104"/>
    <n v="400010"/>
    <s v="Acute I/P Svcs Rev--Other"/>
    <s v="Acute Renal Dialysis"/>
    <x v="0"/>
    <n v="1700"/>
    <n v="-11014.5"/>
    <n v="-4405.8"/>
    <n v="0"/>
    <n v="0"/>
    <n v="0"/>
    <n v="-4405.8"/>
    <n v="-6608.7"/>
    <n v="-4537.9799999999996"/>
    <n v="0"/>
    <n v="-13613.94"/>
    <n v="-45379.8"/>
    <n v="-24958.89"/>
    <n v="-114925.41"/>
    <n v="-20420.910000000003"/>
  </r>
  <r>
    <x v="19"/>
    <x v="8"/>
    <x v="0"/>
    <s v="5201104"/>
    <n v="400020"/>
    <s v="O/P Care Svcs Rev--Medicare"/>
    <s v="Acute Renal Dialysis"/>
    <x v="0"/>
    <n v="1100"/>
    <n v="-4405.8"/>
    <n v="-13217.4"/>
    <n v="-6608.7"/>
    <n v="-2202.9"/>
    <n v="-6608.7"/>
    <n v="0"/>
    <n v="-6608.7"/>
    <n v="-6806.97"/>
    <n v="-15816.84"/>
    <n v="-15882.93"/>
    <n v="-6806.97"/>
    <n v="0"/>
    <n v="-84965.91"/>
    <n v="-6806.97"/>
  </r>
  <r>
    <x v="19"/>
    <x v="8"/>
    <x v="0"/>
    <s v="5201104"/>
    <n v="400020"/>
    <s v="O/P Care Svcs Rev--Medicaid"/>
    <s v="Acute Renal Dialysis"/>
    <x v="0"/>
    <n v="1200"/>
    <n v="0"/>
    <n v="0"/>
    <n v="0"/>
    <n v="-2202.9"/>
    <n v="-2202.9"/>
    <n v="0"/>
    <n v="0"/>
    <n v="0"/>
    <n v="0"/>
    <n v="0"/>
    <n v="-6806.97"/>
    <n v="2268.9899999999998"/>
    <n v="-8943.7800000000007"/>
    <n v="-9075.9599999999991"/>
  </r>
  <r>
    <x v="19"/>
    <x v="8"/>
    <x v="0"/>
    <s v="5201104"/>
    <n v="400020"/>
    <s v="O/P Care Svcs Rev--BCBS Comm"/>
    <s v="Acute Renal Dialysis"/>
    <x v="0"/>
    <n v="1301"/>
    <n v="0"/>
    <n v="-2202.9"/>
    <n v="0"/>
    <n v="2202.9"/>
    <n v="0"/>
    <n v="0"/>
    <n v="0"/>
    <n v="0"/>
    <n v="0"/>
    <n v="0"/>
    <n v="0"/>
    <n v="-2268.9899999999998"/>
    <n v="-2268.9899999999998"/>
    <n v="2268.9899999999998"/>
  </r>
  <r>
    <x v="19"/>
    <x v="8"/>
    <x v="0"/>
    <s v="5201104"/>
    <n v="400020"/>
    <s v="O/P Care Svcs Rev--Managed Care"/>
    <s v="Acute Renal Dialysis"/>
    <x v="0"/>
    <n v="1400"/>
    <n v="0"/>
    <n v="0"/>
    <n v="0"/>
    <n v="0"/>
    <n v="0"/>
    <n v="-2202.9"/>
    <n v="0"/>
    <n v="0"/>
    <n v="2202.9"/>
    <n v="0"/>
    <n v="0"/>
    <n v="0"/>
    <n v="0"/>
    <n v="0"/>
  </r>
  <r>
    <x v="19"/>
    <x v="8"/>
    <x v="0"/>
    <s v="5201104"/>
    <n v="400020"/>
    <s v="O/P Care Svcs Rev--Self Pay"/>
    <s v="Acute Renal Dialysis"/>
    <x v="0"/>
    <n v="1500"/>
    <n v="0"/>
    <n v="0"/>
    <n v="0"/>
    <n v="-2202.9"/>
    <n v="0"/>
    <n v="0"/>
    <n v="0"/>
    <n v="0"/>
    <n v="0"/>
    <n v="0"/>
    <n v="0"/>
    <n v="0"/>
    <n v="-2202.9"/>
    <n v="0"/>
  </r>
  <r>
    <x v="14"/>
    <x v="8"/>
    <x v="0"/>
    <s v="5201104"/>
    <n v="600050"/>
    <s v="Miscellaneous Revenue"/>
    <s v="Acute Renal Dialysis"/>
    <x v="0"/>
    <m/>
    <n v="0"/>
    <n v="0"/>
    <n v="-5751.74"/>
    <n v="-5525.09"/>
    <n v="-2696.02"/>
    <n v="0"/>
    <n v="-3764.02"/>
    <n v="-7184.38"/>
    <n v="0"/>
    <n v="-10453.82"/>
    <n v="0"/>
    <n v="-11976.59"/>
    <n v="-47351.66"/>
    <n v="11976.59"/>
  </r>
  <r>
    <x v="7"/>
    <x v="8"/>
    <x v="0"/>
    <s v="5201104"/>
    <n v="718050"/>
    <s v="Miscellaneous Purchased Svcs"/>
    <s v="Acute Renal Dialysis"/>
    <x v="0"/>
    <n v="1020"/>
    <n v="30383.89"/>
    <n v="33318.300000000003"/>
    <n v="23763.45"/>
    <n v="31199.25"/>
    <n v="36187.050000000003"/>
    <n v="48280.43"/>
    <n v="38851.800000000003"/>
    <n v="56547.28"/>
    <n v="64067.72"/>
    <n v="53978.400000000001"/>
    <n v="62431.65"/>
    <n v="34259.25"/>
    <n v="513268.47"/>
    <n v="28172.400000000001"/>
  </r>
  <r>
    <x v="11"/>
    <x v="8"/>
    <x v="0"/>
    <s v="5201104"/>
    <n v="721010"/>
    <s v="Supplies-Medical - Billable"/>
    <s v="Acute Renal Dialysis"/>
    <x v="0"/>
    <m/>
    <n v="3087.13"/>
    <n v="2487"/>
    <n v="2132.35"/>
    <n v="1882.68"/>
    <n v="3132.46"/>
    <n v="3359.5"/>
    <n v="2922.14"/>
    <n v="4003.13"/>
    <n v="4209.4799999999996"/>
    <n v="3242.33"/>
    <n v="5850.98"/>
    <n v="2553.4299999999998"/>
    <n v="38862.609999999993"/>
    <n v="3297.5499999999997"/>
  </r>
  <r>
    <x v="11"/>
    <x v="8"/>
    <x v="0"/>
    <s v="5201104"/>
    <n v="721240"/>
    <s v="Supplies-IV Solutions/Supplies - Billable"/>
    <s v="Acute Renal Dialysis"/>
    <x v="0"/>
    <m/>
    <n v="10.39"/>
    <n v="0"/>
    <n v="0"/>
    <n v="0"/>
    <n v="0"/>
    <n v="0"/>
    <n v="0"/>
    <n v="0"/>
    <n v="0"/>
    <n v="0"/>
    <n v="0"/>
    <n v="0"/>
    <n v="10.39"/>
    <n v="0"/>
  </r>
  <r>
    <x v="11"/>
    <x v="8"/>
    <x v="0"/>
    <s v="5201104"/>
    <n v="721410"/>
    <s v="Supplies-Medical - Nonbillable"/>
    <s v="Acute Renal Dialysis"/>
    <x v="0"/>
    <m/>
    <n v="496.97"/>
    <n v="336.05"/>
    <n v="451.79"/>
    <n v="240.92"/>
    <n v="316.79000000000002"/>
    <n v="209.22"/>
    <n v="647.11"/>
    <n v="926.82"/>
    <n v="694.26"/>
    <n v="3062.22"/>
    <n v="420.03"/>
    <n v="505.17"/>
    <n v="8307.3499999999985"/>
    <n v="-85.140000000000043"/>
  </r>
  <r>
    <x v="11"/>
    <x v="8"/>
    <x v="0"/>
    <s v="5201104"/>
    <n v="721610"/>
    <s v="Supplies-Anesthesia - Nonbillable"/>
    <s v="Acute Renal Dialysis"/>
    <x v="0"/>
    <m/>
    <n v="8.07"/>
    <n v="0"/>
    <n v="0"/>
    <n v="0"/>
    <n v="0"/>
    <n v="0"/>
    <n v="0"/>
    <n v="0"/>
    <n v="0"/>
    <n v="0"/>
    <n v="0"/>
    <n v="0"/>
    <n v="8.07"/>
    <n v="0"/>
  </r>
  <r>
    <x v="11"/>
    <x v="8"/>
    <x v="0"/>
    <s v="5201104"/>
    <n v="721640"/>
    <s v="Supplies-IV Solutions/Supplies - Nonbillable"/>
    <s v="Acute Renal Dialysis"/>
    <x v="0"/>
    <m/>
    <n v="0"/>
    <n v="0"/>
    <n v="902.02"/>
    <n v="0"/>
    <n v="0"/>
    <n v="6.3"/>
    <n v="0"/>
    <n v="475.11"/>
    <n v="451.01"/>
    <n v="0"/>
    <n v="902.02"/>
    <n v="44.36"/>
    <n v="2780.82"/>
    <n v="857.66"/>
  </r>
  <r>
    <x v="11"/>
    <x v="8"/>
    <x v="0"/>
    <s v="5201104"/>
    <n v="721710"/>
    <s v="Supplies-Laboratory - Nonbillable"/>
    <s v="Acute Renal Dialysis"/>
    <x v="0"/>
    <m/>
    <n v="39.33"/>
    <n v="118"/>
    <n v="0"/>
    <n v="56.15"/>
    <n v="47.35"/>
    <n v="78.66"/>
    <n v="39.33"/>
    <n v="78.67"/>
    <n v="0"/>
    <n v="37.5"/>
    <n v="120.23"/>
    <n v="0"/>
    <n v="615.22"/>
    <n v="120.23"/>
  </r>
  <r>
    <x v="11"/>
    <x v="8"/>
    <x v="0"/>
    <s v="5201104"/>
    <n v="721710"/>
    <s v="Reagents"/>
    <s v="Acute Renal Dialysis"/>
    <x v="0"/>
    <n v="1000"/>
    <n v="1.96"/>
    <n v="0"/>
    <n v="47.24"/>
    <n v="14.95"/>
    <n v="21.36"/>
    <n v="26.06"/>
    <n v="10.68"/>
    <n v="84.09"/>
    <n v="10.68"/>
    <n v="20.72"/>
    <n v="45.98"/>
    <n v="0"/>
    <n v="283.72000000000003"/>
    <n v="45.98"/>
  </r>
  <r>
    <x v="11"/>
    <x v="8"/>
    <x v="0"/>
    <s v="5201104"/>
    <n v="721850"/>
    <s v="Groundskeeping Supplies"/>
    <s v="Acute Renal Dialysis"/>
    <x v="0"/>
    <n v="1002"/>
    <n v="0"/>
    <n v="0"/>
    <n v="0"/>
    <n v="0"/>
    <n v="0"/>
    <n v="0"/>
    <n v="0"/>
    <n v="0"/>
    <n v="0"/>
    <n v="0"/>
    <n v="0"/>
    <n v="0"/>
    <n v="0"/>
    <n v="0"/>
  </r>
  <r>
    <x v="11"/>
    <x v="8"/>
    <x v="0"/>
    <s v="5201104"/>
    <n v="721870"/>
    <s v="Supplies-Environmental Services"/>
    <s v="Acute Renal Dialysis"/>
    <x v="0"/>
    <m/>
    <n v="0"/>
    <n v="0"/>
    <n v="8.4499999999999993"/>
    <n v="2.52"/>
    <n v="14.85"/>
    <n v="5.63"/>
    <n v="0"/>
    <n v="0"/>
    <n v="56.32"/>
    <n v="0"/>
    <n v="0"/>
    <n v="22.1"/>
    <n v="109.87"/>
    <n v="-22.1"/>
  </r>
  <r>
    <x v="11"/>
    <x v="8"/>
    <x v="0"/>
    <s v="5201104"/>
    <n v="722000"/>
    <s v="Supplies-Freight Expense"/>
    <s v="Acute Renal Dialysis"/>
    <x v="0"/>
    <m/>
    <n v="0"/>
    <n v="7.94"/>
    <n v="0"/>
    <n v="0"/>
    <n v="0"/>
    <n v="16.02"/>
    <n v="0"/>
    <n v="0"/>
    <n v="8.23"/>
    <n v="0"/>
    <n v="0"/>
    <n v="0"/>
    <n v="32.19"/>
    <n v="0"/>
  </r>
  <r>
    <x v="16"/>
    <x v="8"/>
    <x v="0"/>
    <s v="5201104"/>
    <n v="732030"/>
    <s v="Repairs---Other"/>
    <s v="Acute Renal Dialysis"/>
    <x v="0"/>
    <m/>
    <n v="69.94"/>
    <n v="0"/>
    <n v="0"/>
    <n v="0"/>
    <n v="0"/>
    <n v="0"/>
    <n v="0"/>
    <n v="0"/>
    <n v="0"/>
    <n v="0"/>
    <n v="0"/>
    <n v="0"/>
    <n v="69.94"/>
    <n v="0"/>
  </r>
  <r>
    <x v="18"/>
    <x v="5"/>
    <x v="0"/>
    <s v="5201106"/>
    <n v="400010"/>
    <s v="Acute I/P Svcs Rev--Medicare"/>
    <s v="Acute Renal Dialysis"/>
    <x v="0"/>
    <n v="1100"/>
    <n v="-118956.6"/>
    <n v="-81668.38"/>
    <n v="-103331.4"/>
    <n v="-136160.20000000001"/>
    <n v="-72695.7"/>
    <n v="-85913.1"/>
    <n v="-191652.3"/>
    <n v="-115652.4"/>
    <n v="-68069.7"/>
    <n v="-54455.76"/>
    <n v="-97566.57"/>
    <n v="-77608.289999999994"/>
    <n v="-1203730.3999999999"/>
    <n v="-19958.280000000013"/>
  </r>
  <r>
    <x v="18"/>
    <x v="5"/>
    <x v="0"/>
    <s v="5201106"/>
    <n v="400010"/>
    <s v="Acute I/P Svcs Rev--Medicaid"/>
    <s v="Acute Renal Dialysis"/>
    <x v="0"/>
    <n v="1200"/>
    <n v="-35246.400000000001"/>
    <n v="-22448.6"/>
    <n v="-48668.7"/>
    <n v="-30840.6"/>
    <n v="-17623.2"/>
    <n v="-11162.55"/>
    <n v="-11014.5"/>
    <n v="-22689.9"/>
    <n v="-6806.97"/>
    <n v="-24958.89"/>
    <n v="-49917.78"/>
    <n v="-4537.9799999999996"/>
    <n v="-285916.06999999995"/>
    <n v="-45379.8"/>
  </r>
  <r>
    <x v="18"/>
    <x v="5"/>
    <x v="0"/>
    <s v="5201106"/>
    <n v="400010"/>
    <s v="Acute I/P Svcs Rev--Comm Insurance"/>
    <s v="Acute Renal Dialysis"/>
    <x v="0"/>
    <n v="1300"/>
    <n v="0"/>
    <n v="-11014.5"/>
    <n v="11014.5"/>
    <n v="0"/>
    <n v="-8811.6"/>
    <n v="0"/>
    <n v="0"/>
    <n v="-58729.38"/>
    <n v="-31765.86"/>
    <n v="-29496.87"/>
    <n v="-27227.88"/>
    <n v="0"/>
    <n v="-156031.59"/>
    <n v="-27227.88"/>
  </r>
  <r>
    <x v="18"/>
    <x v="5"/>
    <x v="0"/>
    <s v="5201106"/>
    <n v="400010"/>
    <s v="Acute I/P Svcs Rev--BCBS Comm"/>
    <s v="Acute Renal Dialysis"/>
    <x v="0"/>
    <n v="1301"/>
    <n v="-4405.8"/>
    <n v="0"/>
    <n v="-2202.9"/>
    <n v="-4405.8"/>
    <n v="-4405.8"/>
    <n v="-8811.6"/>
    <n v="-8811.6"/>
    <n v="-11344.95"/>
    <n v="0"/>
    <n v="-22689.9"/>
    <n v="-24958.89"/>
    <n v="-2268.9899999999998"/>
    <n v="-94306.23000000001"/>
    <n v="-22689.9"/>
  </r>
  <r>
    <x v="18"/>
    <x v="5"/>
    <x v="0"/>
    <s v="5201106"/>
    <n v="400010"/>
    <s v="Acute I/P Svcs Rev--Managed Care"/>
    <s v="Acute Renal Dialysis"/>
    <x v="0"/>
    <n v="1400"/>
    <n v="0"/>
    <n v="-12797.8"/>
    <n v="-4405.8"/>
    <n v="-7028.3"/>
    <n v="-8811.6"/>
    <n v="0"/>
    <n v="0"/>
    <n v="0"/>
    <n v="-29496.87"/>
    <n v="-11344.95"/>
    <n v="0"/>
    <n v="-15420.3"/>
    <n v="-89305.62"/>
    <n v="15420.3"/>
  </r>
  <r>
    <x v="18"/>
    <x v="5"/>
    <x v="0"/>
    <s v="5201106"/>
    <n v="400010"/>
    <s v="Acute I/P Svcs Rev--Self Pay"/>
    <s v="Acute Renal Dialysis"/>
    <x v="0"/>
    <n v="1500"/>
    <n v="0"/>
    <n v="-2202.9"/>
    <n v="2202.9"/>
    <n v="0"/>
    <n v="0"/>
    <n v="0"/>
    <n v="-19826.099999999999"/>
    <n v="6608.7"/>
    <n v="0"/>
    <n v="0"/>
    <n v="0"/>
    <n v="0"/>
    <n v="-13217.399999999998"/>
    <n v="0"/>
  </r>
  <r>
    <x v="18"/>
    <x v="5"/>
    <x v="0"/>
    <s v="5201106"/>
    <n v="400010"/>
    <s v="Acute I/P Svcs Rev--Other"/>
    <s v="Acute Renal Dialysis"/>
    <x v="0"/>
    <n v="1700"/>
    <n v="0"/>
    <n v="0"/>
    <n v="0"/>
    <n v="0"/>
    <n v="0"/>
    <n v="0"/>
    <n v="0"/>
    <n v="0"/>
    <n v="0"/>
    <n v="0"/>
    <n v="0"/>
    <n v="-20420.91"/>
    <n v="-20420.91"/>
    <n v="20420.91"/>
  </r>
  <r>
    <x v="19"/>
    <x v="5"/>
    <x v="0"/>
    <s v="5201106"/>
    <n v="400020"/>
    <s v="O/P Care Svcs Rev--Medicare"/>
    <s v="Acute Renal Dialysis"/>
    <x v="0"/>
    <n v="1100"/>
    <n v="-4405.8"/>
    <n v="-6398.9"/>
    <n v="-2202.9"/>
    <n v="-6608.7"/>
    <n v="-2202.9"/>
    <n v="-6608.7"/>
    <n v="-4405.8"/>
    <n v="0"/>
    <n v="0"/>
    <n v="0"/>
    <n v="-4537.9799999999996"/>
    <n v="-4537.9799999999996"/>
    <n v="-41909.660000000003"/>
    <n v="0"/>
  </r>
  <r>
    <x v="19"/>
    <x v="5"/>
    <x v="0"/>
    <s v="5201106"/>
    <n v="400020"/>
    <s v="O/P Care Svcs Rev--Medicaid"/>
    <s v="Acute Renal Dialysis"/>
    <x v="0"/>
    <n v="1200"/>
    <n v="0"/>
    <n v="4196"/>
    <n v="-2202.9"/>
    <n v="-2202.9"/>
    <n v="0"/>
    <n v="0"/>
    <n v="-2202.9"/>
    <n v="2202.9"/>
    <n v="-4537.9799999999996"/>
    <n v="-6806.97"/>
    <n v="-2268.9899999999998"/>
    <n v="-4537.9799999999996"/>
    <n v="-18361.72"/>
    <n v="2268.9899999999998"/>
  </r>
  <r>
    <x v="19"/>
    <x v="5"/>
    <x v="0"/>
    <s v="5201106"/>
    <n v="400020"/>
    <s v="O/P Care Svcs Rev--BCBS Comm"/>
    <s v="Acute Renal Dialysis"/>
    <x v="0"/>
    <n v="1301"/>
    <n v="-4405.8"/>
    <n v="0"/>
    <n v="0"/>
    <n v="0"/>
    <n v="0"/>
    <n v="0"/>
    <n v="0"/>
    <n v="0"/>
    <n v="0"/>
    <n v="0"/>
    <n v="0"/>
    <n v="0"/>
    <n v="-4405.8"/>
    <n v="0"/>
  </r>
  <r>
    <x v="19"/>
    <x v="5"/>
    <x v="0"/>
    <s v="5201106"/>
    <n v="400020"/>
    <s v="O/P Care Svcs Rev--Managed Care"/>
    <s v="Acute Renal Dialysis"/>
    <x v="0"/>
    <n v="1400"/>
    <n v="0"/>
    <n v="0"/>
    <n v="0"/>
    <n v="-2202.9"/>
    <n v="0"/>
    <n v="0"/>
    <n v="0"/>
    <n v="0"/>
    <n v="0"/>
    <n v="0"/>
    <n v="0"/>
    <n v="0"/>
    <n v="-2202.9"/>
    <n v="0"/>
  </r>
  <r>
    <x v="19"/>
    <x v="5"/>
    <x v="0"/>
    <s v="5201106"/>
    <n v="400020"/>
    <s v="O/P Care Svcs Rev--Other"/>
    <s v="Acute Renal Dialysis"/>
    <x v="0"/>
    <n v="1700"/>
    <n v="0"/>
    <n v="-4405.8"/>
    <n v="0"/>
    <n v="0"/>
    <n v="0"/>
    <n v="0"/>
    <n v="0"/>
    <n v="0"/>
    <n v="-2268.9899999999998"/>
    <n v="0"/>
    <n v="0"/>
    <n v="0"/>
    <n v="-6674.79"/>
    <n v="0"/>
  </r>
  <r>
    <x v="14"/>
    <x v="5"/>
    <x v="0"/>
    <s v="5201106"/>
    <n v="600050"/>
    <s v="Miscellaneous Revenue"/>
    <s v="Acute Renal Dialysis"/>
    <x v="0"/>
    <m/>
    <n v="0"/>
    <n v="0"/>
    <n v="-18596.29"/>
    <n v="-16167.59"/>
    <n v="-10056.94"/>
    <n v="0"/>
    <n v="-6904.35"/>
    <n v="-13885.53"/>
    <n v="0"/>
    <n v="-14138.14"/>
    <n v="0"/>
    <n v="-17802.810000000001"/>
    <n v="-97551.650000000009"/>
    <n v="17802.810000000001"/>
  </r>
  <r>
    <x v="7"/>
    <x v="5"/>
    <x v="0"/>
    <s v="5201106"/>
    <n v="718050"/>
    <s v="Contract Svcs-Other"/>
    <s v="Acute Renal Dialysis"/>
    <x v="0"/>
    <m/>
    <n v="0"/>
    <n v="0"/>
    <n v="0"/>
    <n v="0"/>
    <n v="0"/>
    <n v="0"/>
    <n v="0"/>
    <n v="0"/>
    <n v="0"/>
    <n v="0"/>
    <n v="0"/>
    <n v="68"/>
    <n v="68"/>
    <n v="-68"/>
  </r>
  <r>
    <x v="7"/>
    <x v="5"/>
    <x v="0"/>
    <s v="5201106"/>
    <n v="718050"/>
    <s v="Miscellaneous Purchased Svcs"/>
    <s v="Acute Renal Dialysis"/>
    <x v="0"/>
    <n v="1020"/>
    <n v="48722.86"/>
    <n v="38267.85"/>
    <n v="44071.66"/>
    <n v="56648.89"/>
    <n v="35761.199999999997"/>
    <n v="32629.81"/>
    <n v="70781.63"/>
    <n v="56259.25"/>
    <n v="41452.94"/>
    <n v="45188.55"/>
    <n v="57818.7"/>
    <n v="37655.85"/>
    <n v="565259.18999999994"/>
    <n v="20162.849999999999"/>
  </r>
  <r>
    <x v="18"/>
    <x v="6"/>
    <x v="0"/>
    <s v="5201107"/>
    <n v="400010"/>
    <s v="Acute I/P Svcs Rev--Medicare"/>
    <s v="Acute Renal Dialysis"/>
    <x v="0"/>
    <n v="1100"/>
    <n v="-200044.3"/>
    <n v="-295188.59999999998"/>
    <n v="-178434.9"/>
    <n v="-140985.60000000001"/>
    <n v="-145590.51"/>
    <n v="-196058.1"/>
    <n v="-163014.6"/>
    <n v="-186057.18"/>
    <n v="-249588.9"/>
    <n v="-174712.23"/>
    <n v="-240512.94"/>
    <n v="-115718.49"/>
    <n v="-2285906.35"/>
    <n v="-124794.45"/>
  </r>
  <r>
    <x v="18"/>
    <x v="6"/>
    <x v="0"/>
    <s v="5201107"/>
    <n v="400010"/>
    <s v="Acute I/P Svcs Rev--Medicaid"/>
    <s v="Acute Renal Dialysis"/>
    <x v="0"/>
    <n v="1200"/>
    <n v="-33043.5"/>
    <n v="-46260.9"/>
    <n v="-77101.5"/>
    <n v="-28864.82"/>
    <n v="-57275.4"/>
    <n v="-22029"/>
    <n v="-30840.6"/>
    <n v="-53464.41"/>
    <n v="-54455.76"/>
    <n v="1277.6400000000001"/>
    <n v="-31765.86"/>
    <n v="-36303.839999999997"/>
    <n v="-470127.94999999995"/>
    <n v="4537.9799999999959"/>
  </r>
  <r>
    <x v="18"/>
    <x v="6"/>
    <x v="0"/>
    <s v="5201107"/>
    <n v="400010"/>
    <s v="Acute I/P Svcs Rev--Comm Insurance"/>
    <s v="Acute Renal Dialysis"/>
    <x v="0"/>
    <n v="1300"/>
    <n v="8392"/>
    <n v="0"/>
    <n v="0"/>
    <n v="0"/>
    <n v="-6608.7"/>
    <n v="-15420.3"/>
    <n v="0"/>
    <n v="-2268.9899999999998"/>
    <n v="0"/>
    <n v="2268.9899999999998"/>
    <n v="0"/>
    <n v="0"/>
    <n v="-13637"/>
    <n v="0"/>
  </r>
  <r>
    <x v="18"/>
    <x v="6"/>
    <x v="0"/>
    <s v="5201107"/>
    <n v="400010"/>
    <s v="Acute I/P Svcs Rev--BCBS Comm"/>
    <s v="Acute Renal Dialysis"/>
    <x v="0"/>
    <n v="1301"/>
    <n v="0"/>
    <n v="0"/>
    <n v="0"/>
    <n v="0"/>
    <n v="0"/>
    <n v="-2202.9"/>
    <n v="0"/>
    <n v="0"/>
    <n v="0"/>
    <n v="0"/>
    <n v="0"/>
    <n v="0"/>
    <n v="-2202.9"/>
    <n v="0"/>
  </r>
  <r>
    <x v="18"/>
    <x v="6"/>
    <x v="0"/>
    <s v="5201107"/>
    <n v="400010"/>
    <s v="Acute I/P Svcs Rev--Managed Care"/>
    <s v="Acute Renal Dialysis"/>
    <x v="0"/>
    <n v="1400"/>
    <n v="-4405.8"/>
    <n v="0"/>
    <n v="4405.8"/>
    <n v="0"/>
    <n v="-19826.099999999999"/>
    <n v="-6608.7"/>
    <n v="-41855.1"/>
    <n v="-3260.34"/>
    <n v="-47648.79"/>
    <n v="-48926.43"/>
    <n v="-9075.9599999999991"/>
    <n v="-2268.9899999999998"/>
    <n v="-179470.40999999997"/>
    <n v="-6806.9699999999993"/>
  </r>
  <r>
    <x v="18"/>
    <x v="6"/>
    <x v="0"/>
    <s v="5201107"/>
    <n v="400010"/>
    <s v="Acute I/P Svcs Rev--Self Pay"/>
    <s v="Acute Renal Dialysis"/>
    <x v="0"/>
    <n v="1500"/>
    <n v="0"/>
    <n v="0"/>
    <n v="0"/>
    <n v="0"/>
    <n v="0"/>
    <n v="0"/>
    <n v="0"/>
    <n v="0"/>
    <n v="0"/>
    <n v="0"/>
    <n v="0"/>
    <n v="0"/>
    <n v="0"/>
    <n v="0"/>
  </r>
  <r>
    <x v="18"/>
    <x v="6"/>
    <x v="0"/>
    <s v="5201107"/>
    <n v="400010"/>
    <s v="Acute I/P Svcs Rev--Other"/>
    <s v="Acute Renal Dialysis"/>
    <x v="0"/>
    <n v="1700"/>
    <n v="0"/>
    <n v="-6608.7"/>
    <n v="-15420.3"/>
    <n v="-2202.9"/>
    <n v="-33043.5"/>
    <n v="-11014.5"/>
    <n v="-2202.9"/>
    <n v="-6806.97"/>
    <n v="0"/>
    <n v="-4537.9799999999996"/>
    <n v="0"/>
    <n v="0"/>
    <n v="-81837.749999999985"/>
    <n v="0"/>
  </r>
  <r>
    <x v="19"/>
    <x v="6"/>
    <x v="0"/>
    <s v="5201107"/>
    <n v="400020"/>
    <s v="O/P Care Svcs Rev--Medicare"/>
    <s v="Acute Renal Dialysis"/>
    <x v="0"/>
    <n v="1100"/>
    <n v="-17623.2"/>
    <n v="-4405.8"/>
    <n v="-13217.4"/>
    <n v="-4405.8"/>
    <n v="-6608.7"/>
    <n v="-6608.7"/>
    <n v="2202.9"/>
    <n v="-24958.89"/>
    <n v="-13613.94"/>
    <n v="-18151.919999999998"/>
    <n v="-13613.94"/>
    <n v="0"/>
    <n v="-121005.39"/>
    <n v="-13613.94"/>
  </r>
  <r>
    <x v="19"/>
    <x v="6"/>
    <x v="0"/>
    <s v="5201107"/>
    <n v="400020"/>
    <s v="O/P Care Svcs Rev--Medicaid"/>
    <s v="Acute Renal Dialysis"/>
    <x v="0"/>
    <n v="1200"/>
    <n v="-4300.8999999999996"/>
    <n v="-6608.7"/>
    <n v="0"/>
    <n v="0"/>
    <n v="0"/>
    <n v="0"/>
    <n v="0"/>
    <n v="-2268.9899999999998"/>
    <n v="-9075.9599999999991"/>
    <n v="0"/>
    <n v="0"/>
    <n v="0"/>
    <n v="-22254.549999999996"/>
    <n v="0"/>
  </r>
  <r>
    <x v="19"/>
    <x v="6"/>
    <x v="0"/>
    <s v="5201107"/>
    <n v="400020"/>
    <s v="O/P Care Svcs Rev--Comm Insurance"/>
    <s v="Acute Renal Dialysis"/>
    <x v="0"/>
    <n v="1300"/>
    <n v="0"/>
    <n v="0"/>
    <n v="0"/>
    <n v="-4405.8"/>
    <n v="-4405.8"/>
    <n v="4405.8"/>
    <n v="0"/>
    <n v="-2202.9"/>
    <n v="2202.9"/>
    <n v="0"/>
    <n v="0"/>
    <n v="0"/>
    <n v="-4405.8000000000011"/>
    <n v="0"/>
  </r>
  <r>
    <x v="19"/>
    <x v="6"/>
    <x v="0"/>
    <s v="5201107"/>
    <n v="400020"/>
    <s v="O/P Care Svcs Rev--BCBS Comm"/>
    <s v="Acute Renal Dialysis"/>
    <x v="0"/>
    <n v="1301"/>
    <n v="0"/>
    <n v="0"/>
    <n v="-2202.9"/>
    <n v="2202.9"/>
    <n v="0"/>
    <n v="0"/>
    <n v="0"/>
    <n v="0"/>
    <n v="0"/>
    <n v="0"/>
    <n v="0"/>
    <n v="0"/>
    <n v="0"/>
    <n v="0"/>
  </r>
  <r>
    <x v="19"/>
    <x v="6"/>
    <x v="0"/>
    <s v="5201107"/>
    <n v="400020"/>
    <s v="O/P Care Svcs Rev--Managed Care"/>
    <s v="Acute Renal Dialysis"/>
    <x v="0"/>
    <n v="1400"/>
    <n v="0"/>
    <n v="-2202.9"/>
    <n v="0"/>
    <n v="0"/>
    <n v="0"/>
    <n v="0"/>
    <n v="-13217.4"/>
    <n v="-2335.08"/>
    <n v="-2202.9"/>
    <n v="-2268.9899999999998"/>
    <n v="2268.9899999999998"/>
    <n v="0"/>
    <n v="-19958.28"/>
    <n v="2268.9899999999998"/>
  </r>
  <r>
    <x v="19"/>
    <x v="6"/>
    <x v="0"/>
    <s v="5201107"/>
    <n v="400020"/>
    <s v="O/P Care Svcs Rev--Other"/>
    <s v="Acute Renal Dialysis"/>
    <x v="0"/>
    <n v="1700"/>
    <n v="0"/>
    <n v="-2202.9"/>
    <n v="0"/>
    <n v="0"/>
    <n v="0"/>
    <n v="0"/>
    <n v="0"/>
    <n v="0"/>
    <n v="0"/>
    <n v="0"/>
    <n v="0"/>
    <n v="0"/>
    <n v="-2202.9"/>
    <n v="0"/>
  </r>
  <r>
    <x v="14"/>
    <x v="6"/>
    <x v="0"/>
    <s v="5201107"/>
    <n v="600050"/>
    <s v="Miscellaneous Revenue"/>
    <s v="Acute Renal Dialysis"/>
    <x v="0"/>
    <m/>
    <n v="0"/>
    <n v="0"/>
    <n v="-18264.849999999999"/>
    <n v="-17314.580000000002"/>
    <n v="-6443.46"/>
    <n v="0"/>
    <n v="-8323.99"/>
    <n v="-15062.69"/>
    <n v="0"/>
    <n v="-14796.99"/>
    <n v="0"/>
    <n v="-14715.7"/>
    <n v="-94922.26"/>
    <n v="14715.7"/>
  </r>
  <r>
    <x v="7"/>
    <x v="6"/>
    <x v="0"/>
    <s v="5201107"/>
    <n v="718050"/>
    <s v="Miscellaneous Purchased Svcs"/>
    <s v="Acute Renal Dialysis"/>
    <x v="0"/>
    <n v="1020"/>
    <n v="69028.5"/>
    <n v="98832.9"/>
    <n v="78856.2"/>
    <n v="53170.06"/>
    <n v="80874.53"/>
    <n v="83887.35"/>
    <n v="73873.509999999995"/>
    <n v="81989.53"/>
    <n v="102163.2"/>
    <n v="69141.34"/>
    <n v="78955.649999999994"/>
    <n v="44132.85"/>
    <n v="914905.61999999988"/>
    <n v="34822.799999999996"/>
  </r>
  <r>
    <x v="11"/>
    <x v="6"/>
    <x v="0"/>
    <s v="5201107"/>
    <n v="721010"/>
    <s v="Supplies-Medical - Billable"/>
    <s v="Acute Renal Dialysis"/>
    <x v="0"/>
    <m/>
    <n v="5877.62"/>
    <n v="7694.72"/>
    <n v="6205.48"/>
    <n v="4184.55"/>
    <n v="7140.29"/>
    <n v="6096.19"/>
    <n v="6310.16"/>
    <n v="5574.59"/>
    <n v="6002.52"/>
    <n v="5389.71"/>
    <n v="7045.6"/>
    <n v="7758.61"/>
    <n v="75280.039999999994"/>
    <n v="-713.00999999999931"/>
  </r>
  <r>
    <x v="11"/>
    <x v="6"/>
    <x v="0"/>
    <s v="5201107"/>
    <n v="721020"/>
    <s v="Supplies-Surgical - Billable"/>
    <s v="Acute Renal Dialysis"/>
    <x v="0"/>
    <m/>
    <n v="0"/>
    <n v="0"/>
    <n v="0"/>
    <n v="0"/>
    <n v="0"/>
    <n v="0"/>
    <n v="0"/>
    <n v="0"/>
    <n v="0"/>
    <n v="0"/>
    <n v="0"/>
    <n v="4.9400000000000004"/>
    <n v="4.9400000000000004"/>
    <n v="-4.9400000000000004"/>
  </r>
  <r>
    <x v="11"/>
    <x v="6"/>
    <x v="0"/>
    <s v="5201107"/>
    <n v="721240"/>
    <s v="Supplies-IV Solutions/Supplies - Billable"/>
    <s v="Acute Renal Dialysis"/>
    <x v="0"/>
    <m/>
    <n v="0"/>
    <n v="0"/>
    <n v="0"/>
    <n v="0"/>
    <n v="0"/>
    <n v="46.25"/>
    <n v="0"/>
    <n v="0"/>
    <n v="0"/>
    <n v="0"/>
    <n v="0"/>
    <n v="0"/>
    <n v="46.25"/>
    <n v="0"/>
  </r>
  <r>
    <x v="11"/>
    <x v="6"/>
    <x v="0"/>
    <s v="5201107"/>
    <n v="721410"/>
    <s v="Supplies-Medical - Nonbillable"/>
    <s v="Acute Renal Dialysis"/>
    <x v="0"/>
    <m/>
    <n v="1596.97"/>
    <n v="2134.29"/>
    <n v="1507.09"/>
    <n v="1343.02"/>
    <n v="1488.71"/>
    <n v="1574.52"/>
    <n v="2300.19"/>
    <n v="1755.71"/>
    <n v="2084.54"/>
    <n v="2250.35"/>
    <n v="1077.33"/>
    <n v="3460.03"/>
    <n v="22572.75"/>
    <n v="-2382.7000000000003"/>
  </r>
  <r>
    <x v="11"/>
    <x v="6"/>
    <x v="0"/>
    <s v="5201107"/>
    <n v="721420"/>
    <s v="Supplies-Surgical Nonbillable"/>
    <s v="Acute Renal Dialysis"/>
    <x v="0"/>
    <m/>
    <n v="80.069999999999993"/>
    <n v="0"/>
    <n v="0"/>
    <n v="0"/>
    <n v="106.76"/>
    <n v="0"/>
    <n v="0"/>
    <n v="0"/>
    <n v="133.44999999999999"/>
    <n v="0"/>
    <n v="0"/>
    <n v="0"/>
    <n v="320.27999999999997"/>
    <n v="0"/>
  </r>
  <r>
    <x v="11"/>
    <x v="6"/>
    <x v="0"/>
    <s v="5201107"/>
    <n v="721610"/>
    <s v="Supplies-Anesthesia - Nonbillable"/>
    <s v="Acute Renal Dialysis"/>
    <x v="0"/>
    <m/>
    <n v="3.9"/>
    <n v="2.92"/>
    <n v="5.85"/>
    <n v="2.13"/>
    <n v="2.4500000000000002"/>
    <n v="2.66"/>
    <n v="2.66"/>
    <n v="0"/>
    <n v="0"/>
    <n v="0"/>
    <n v="0"/>
    <n v="0"/>
    <n v="22.57"/>
    <n v="0"/>
  </r>
  <r>
    <x v="11"/>
    <x v="6"/>
    <x v="0"/>
    <s v="5201107"/>
    <n v="721640"/>
    <s v="Supplies-IV Solutions/Supplies - Nonbillable"/>
    <s v="Acute Renal Dialysis"/>
    <x v="0"/>
    <m/>
    <n v="0"/>
    <n v="0"/>
    <n v="453.09"/>
    <n v="0"/>
    <n v="6.3"/>
    <n v="453.09"/>
    <n v="558.69000000000005"/>
    <n v="0"/>
    <n v="453.09"/>
    <n v="475.37"/>
    <n v="453.09"/>
    <n v="22.28"/>
    <n v="2875.0000000000005"/>
    <n v="430.80999999999995"/>
  </r>
  <r>
    <x v="11"/>
    <x v="6"/>
    <x v="0"/>
    <s v="5201107"/>
    <n v="721710"/>
    <s v="Supplies-Laboratory - Nonbillable"/>
    <s v="Acute Renal Dialysis"/>
    <x v="0"/>
    <m/>
    <n v="82.27"/>
    <n v="157.27000000000001"/>
    <n v="83.73"/>
    <n v="1.86"/>
    <n v="0"/>
    <n v="172.22"/>
    <n v="78.63"/>
    <n v="75"/>
    <n v="75"/>
    <n v="40.75"/>
    <n v="150"/>
    <n v="0"/>
    <n v="916.73"/>
    <n v="150"/>
  </r>
  <r>
    <x v="11"/>
    <x v="6"/>
    <x v="0"/>
    <s v="5201107"/>
    <n v="721710"/>
    <s v="Reagents"/>
    <s v="Acute Renal Dialysis"/>
    <x v="0"/>
    <n v="1000"/>
    <n v="7.84"/>
    <n v="5.88"/>
    <n v="56.76"/>
    <n v="107.9"/>
    <n v="112.64"/>
    <n v="32.04"/>
    <n v="47.54"/>
    <n v="64.89"/>
    <n v="16.02"/>
    <n v="0"/>
    <n v="53.4"/>
    <n v="118.86"/>
    <n v="623.77"/>
    <n v="-65.460000000000008"/>
  </r>
  <r>
    <x v="11"/>
    <x v="6"/>
    <x v="0"/>
    <s v="5201107"/>
    <n v="721810"/>
    <s v="Supplies-Dietary/Cafeteria"/>
    <s v="Acute Renal Dialysis"/>
    <x v="0"/>
    <m/>
    <n v="0"/>
    <n v="0"/>
    <n v="0"/>
    <n v="-25.74"/>
    <n v="0"/>
    <n v="0"/>
    <n v="0"/>
    <n v="0"/>
    <n v="0"/>
    <n v="0"/>
    <n v="0"/>
    <n v="0"/>
    <n v="-25.74"/>
    <n v="0"/>
  </r>
  <r>
    <x v="11"/>
    <x v="6"/>
    <x v="0"/>
    <s v="5201107"/>
    <n v="721870"/>
    <s v="Supplies-Environmental Services"/>
    <s v="Acute Renal Dialysis"/>
    <x v="0"/>
    <m/>
    <n v="20.73"/>
    <n v="18.190000000000001"/>
    <n v="31.37"/>
    <n v="34.770000000000003"/>
    <n v="37.130000000000003"/>
    <n v="37"/>
    <n v="55.15"/>
    <n v="16.79"/>
    <n v="0"/>
    <n v="5.63"/>
    <n v="19.71"/>
    <n v="22.53"/>
    <n v="299"/>
    <n v="-2.8200000000000003"/>
  </r>
  <r>
    <x v="11"/>
    <x v="6"/>
    <x v="0"/>
    <s v="5201107"/>
    <n v="721910"/>
    <s v="Supplies-Small Equipment"/>
    <s v="Acute Renal Dialysis"/>
    <x v="0"/>
    <m/>
    <n v="7.44"/>
    <n v="0"/>
    <n v="7.44"/>
    <n v="0"/>
    <n v="0"/>
    <n v="0"/>
    <n v="0"/>
    <n v="0"/>
    <n v="0"/>
    <n v="0"/>
    <n v="0"/>
    <n v="0"/>
    <n v="14.88"/>
    <n v="0"/>
  </r>
  <r>
    <x v="11"/>
    <x v="6"/>
    <x v="0"/>
    <s v="5201107"/>
    <n v="722000"/>
    <s v="Supplies-Freight Expense"/>
    <s v="Acute Renal Dialysis"/>
    <x v="0"/>
    <m/>
    <n v="-24.65"/>
    <n v="2"/>
    <n v="0"/>
    <n v="0"/>
    <n v="0"/>
    <n v="8.02"/>
    <n v="0"/>
    <n v="0"/>
    <n v="0"/>
    <n v="0"/>
    <n v="0"/>
    <n v="0"/>
    <n v="-14.629999999999999"/>
    <n v="0"/>
  </r>
  <r>
    <x v="18"/>
    <x v="10"/>
    <x v="0"/>
    <s v="5201306"/>
    <n v="400010"/>
    <s v="Acute I/P Svcs Rev--Medicare"/>
    <s v="Acute Renal Dialysis"/>
    <x v="0"/>
    <n v="1100"/>
    <n v="-337882.9"/>
    <n v="-99130.5"/>
    <n v="-83710.2"/>
    <n v="-64196.52"/>
    <n v="-116253.92"/>
    <n v="-77101.5"/>
    <n v="-26434.799999999999"/>
    <n v="-2393.86"/>
    <n v="-54455.76"/>
    <n v="-41146.800000000003"/>
    <n v="-40841.82"/>
    <n v="-20420.91"/>
    <n v="-963969.49000000011"/>
    <n v="-20420.91"/>
  </r>
  <r>
    <x v="18"/>
    <x v="10"/>
    <x v="0"/>
    <s v="5201306"/>
    <n v="400010"/>
    <s v="Acute I/P Svcs Rev--Medicaid"/>
    <s v="Acute Renal Dialysis"/>
    <x v="0"/>
    <n v="1200"/>
    <n v="0"/>
    <n v="0"/>
    <n v="0"/>
    <n v="0"/>
    <n v="0"/>
    <n v="0"/>
    <n v="0"/>
    <n v="0"/>
    <n v="0"/>
    <n v="-27227.88"/>
    <n v="-24958.89"/>
    <n v="0"/>
    <n v="-52186.770000000004"/>
    <n v="-24958.89"/>
  </r>
  <r>
    <x v="18"/>
    <x v="10"/>
    <x v="0"/>
    <s v="5201306"/>
    <n v="400010"/>
    <s v="Acute I/P Svcs Rev--Comm Insurance"/>
    <s v="Acute Renal Dialysis"/>
    <x v="0"/>
    <n v="1300"/>
    <n v="0"/>
    <n v="0"/>
    <n v="0"/>
    <n v="0"/>
    <n v="0"/>
    <n v="0"/>
    <n v="0"/>
    <n v="-29372"/>
    <n v="0"/>
    <n v="0"/>
    <n v="0"/>
    <n v="0"/>
    <n v="-29372"/>
    <n v="0"/>
  </r>
  <r>
    <x v="18"/>
    <x v="10"/>
    <x v="0"/>
    <s v="5201306"/>
    <n v="400010"/>
    <s v="Acute I/P Svcs Rev--BCBS Comm"/>
    <s v="Acute Renal Dialysis"/>
    <x v="0"/>
    <n v="1301"/>
    <n v="-6608.7"/>
    <n v="0"/>
    <n v="0"/>
    <n v="0"/>
    <n v="-208.28"/>
    <n v="0"/>
    <n v="0"/>
    <n v="0"/>
    <n v="0"/>
    <n v="-6806.97"/>
    <n v="0"/>
    <n v="0"/>
    <n v="-13623.95"/>
    <n v="0"/>
  </r>
  <r>
    <x v="18"/>
    <x v="10"/>
    <x v="0"/>
    <s v="5201306"/>
    <n v="400010"/>
    <s v="Acute I/P Svcs Rev--Managed Care"/>
    <s v="Acute Renal Dialysis"/>
    <x v="0"/>
    <n v="1400"/>
    <n v="243368"/>
    <n v="0"/>
    <n v="-30840.6"/>
    <n v="-46260.9"/>
    <n v="1994.62"/>
    <n v="0"/>
    <n v="0"/>
    <n v="-9075.9599999999991"/>
    <n v="-11344.95"/>
    <n v="0"/>
    <n v="0"/>
    <n v="0"/>
    <n v="147840.21"/>
    <n v="0"/>
  </r>
  <r>
    <x v="18"/>
    <x v="10"/>
    <x v="0"/>
    <s v="5201306"/>
    <n v="400010"/>
    <s v="Acute I/P Svcs Rev--Other"/>
    <s v="Acute Renal Dialysis"/>
    <x v="0"/>
    <n v="1700"/>
    <n v="0"/>
    <n v="0"/>
    <n v="0"/>
    <n v="0"/>
    <n v="0"/>
    <n v="0"/>
    <n v="0"/>
    <n v="0"/>
    <n v="0"/>
    <n v="0"/>
    <n v="0"/>
    <n v="0"/>
    <n v="0"/>
    <n v="0"/>
  </r>
  <r>
    <x v="7"/>
    <x v="10"/>
    <x v="0"/>
    <s v="5201306"/>
    <n v="718050"/>
    <s v="Miscellaneous Purchased Svcs"/>
    <s v="Acute Renal Dialysis"/>
    <x v="0"/>
    <n v="1020"/>
    <n v="25946.25"/>
    <n v="27323.25"/>
    <n v="32242.2"/>
    <n v="28493.7"/>
    <n v="32209.69"/>
    <n v="20949.53"/>
    <n v="7655.1"/>
    <n v="11455.93"/>
    <n v="17297.87"/>
    <n v="24304.06"/>
    <n v="20648.63"/>
    <n v="5773.2"/>
    <n v="254299.41"/>
    <n v="14875.43"/>
  </r>
  <r>
    <x v="5"/>
    <x v="3"/>
    <x v="0"/>
    <s v="5205101"/>
    <n v="700054"/>
    <s v="Salaries-Management-NonProd-Other"/>
    <s v="Renal Home Training Service"/>
    <x v="0"/>
    <n v="2000"/>
    <n v="0"/>
    <n v="0"/>
    <n v="0"/>
    <n v="0"/>
    <n v="0"/>
    <n v="942.17"/>
    <n v="-942.17"/>
    <n v="0"/>
    <n v="0"/>
    <n v="0"/>
    <n v="0"/>
    <n v="0"/>
    <n v="0"/>
    <n v="0"/>
  </r>
  <r>
    <x v="6"/>
    <x v="3"/>
    <x v="0"/>
    <s v="5205101"/>
    <n v="713010"/>
    <s v="Benefits-FICA/Medicare"/>
    <s v="Renal Home Training Service"/>
    <x v="0"/>
    <m/>
    <n v="0"/>
    <n v="0"/>
    <n v="0"/>
    <n v="0"/>
    <n v="0"/>
    <n v="72.069999999999993"/>
    <n v="72.069999999999993"/>
    <n v="0"/>
    <n v="0"/>
    <n v="0"/>
    <n v="0"/>
    <n v="0"/>
    <n v="144.13999999999999"/>
    <n v="0"/>
  </r>
  <r>
    <x v="6"/>
    <x v="3"/>
    <x v="0"/>
    <s v="5205101"/>
    <n v="713090"/>
    <s v="Benefits-Allocated Amounts"/>
    <s v="Renal Home Training Service"/>
    <x v="0"/>
    <m/>
    <n v="0"/>
    <n v="0"/>
    <n v="0"/>
    <n v="0"/>
    <n v="0"/>
    <n v="51.49"/>
    <n v="8.85"/>
    <n v="-60.34"/>
    <n v="0"/>
    <n v="0"/>
    <n v="0"/>
    <n v="0"/>
    <n v="0"/>
    <n v="0"/>
  </r>
  <r>
    <x v="19"/>
    <x v="3"/>
    <x v="0"/>
    <s v="5206101"/>
    <n v="400020"/>
    <s v="O/P Care Svcs Rev--Medicare"/>
    <s v="Renal Home Support Services"/>
    <x v="0"/>
    <n v="1100"/>
    <n v="79920"/>
    <n v="0"/>
    <n v="0"/>
    <n v="0"/>
    <n v="0"/>
    <n v="0"/>
    <n v="0"/>
    <n v="0"/>
    <n v="0"/>
    <n v="0"/>
    <n v="0"/>
    <n v="0"/>
    <n v="79920"/>
    <n v="0"/>
  </r>
  <r>
    <x v="19"/>
    <x v="3"/>
    <x v="0"/>
    <s v="5206101"/>
    <n v="400020"/>
    <s v="O/P Care Svcs Rev--BCBS Comm"/>
    <s v="Renal Home Support Services"/>
    <x v="0"/>
    <n v="1301"/>
    <n v="-79920"/>
    <n v="0"/>
    <n v="0"/>
    <n v="0"/>
    <n v="0"/>
    <n v="0"/>
    <n v="0"/>
    <n v="0"/>
    <n v="0"/>
    <n v="0"/>
    <n v="0"/>
    <n v="0"/>
    <n v="-79920"/>
    <n v="0"/>
  </r>
  <r>
    <x v="5"/>
    <x v="3"/>
    <x v="0"/>
    <s v="5206101"/>
    <n v="700054"/>
    <s v="Salaries-Management-NonProd-Other"/>
    <s v="Renal Home Support Services"/>
    <x v="0"/>
    <n v="2000"/>
    <n v="0"/>
    <n v="0"/>
    <n v="0"/>
    <n v="0"/>
    <n v="0"/>
    <n v="2306.41"/>
    <n v="-2306.41"/>
    <n v="0"/>
    <n v="0"/>
    <n v="0"/>
    <n v="0"/>
    <n v="0"/>
    <n v="0"/>
    <n v="0"/>
  </r>
  <r>
    <x v="6"/>
    <x v="3"/>
    <x v="0"/>
    <s v="5206101"/>
    <n v="713010"/>
    <s v="Benefits-FICA/Medicare"/>
    <s v="Renal Home Support Services"/>
    <x v="0"/>
    <m/>
    <n v="0"/>
    <n v="0"/>
    <n v="0"/>
    <n v="0"/>
    <n v="0"/>
    <n v="176.43"/>
    <n v="176.43"/>
    <n v="0"/>
    <n v="0"/>
    <n v="0"/>
    <n v="0"/>
    <n v="0"/>
    <n v="352.86"/>
    <n v="0"/>
  </r>
  <r>
    <x v="6"/>
    <x v="3"/>
    <x v="0"/>
    <s v="5206101"/>
    <n v="713090"/>
    <s v="Benefits-Allocated Amounts"/>
    <s v="Renal Home Support Services"/>
    <x v="0"/>
    <m/>
    <n v="0"/>
    <n v="0"/>
    <n v="0"/>
    <n v="0"/>
    <n v="0"/>
    <n v="102.99"/>
    <n v="17.690000000000001"/>
    <n v="-120.68"/>
    <n v="0"/>
    <n v="0"/>
    <n v="0"/>
    <n v="0"/>
    <n v="-1.4210854715202004E-14"/>
    <n v="0"/>
  </r>
  <r>
    <x v="7"/>
    <x v="3"/>
    <x v="0"/>
    <s v="5206101"/>
    <n v="718050"/>
    <s v="Translation Services"/>
    <s v="Renal Home Support Services"/>
    <x v="0"/>
    <n v="1025"/>
    <n v="0"/>
    <n v="6.36"/>
    <n v="10.53"/>
    <n v="0"/>
    <n v="0"/>
    <n v="0"/>
    <n v="0"/>
    <n v="0"/>
    <n v="3.95"/>
    <n v="0"/>
    <n v="2.37"/>
    <n v="0"/>
    <n v="23.21"/>
    <n v="2.37"/>
  </r>
  <r>
    <x v="11"/>
    <x v="3"/>
    <x v="0"/>
    <s v="5206101"/>
    <n v="721010"/>
    <s v="Supplies-Medical - Billable"/>
    <s v="Renal Home Support Services"/>
    <x v="0"/>
    <m/>
    <n v="0"/>
    <n v="-955.01"/>
    <n v="0"/>
    <n v="297.3"/>
    <n v="0"/>
    <n v="0"/>
    <n v="0"/>
    <n v="0"/>
    <n v="0"/>
    <n v="0"/>
    <n v="0"/>
    <n v="0"/>
    <n v="-657.71"/>
    <n v="0"/>
  </r>
  <r>
    <x v="11"/>
    <x v="3"/>
    <x v="0"/>
    <s v="5206101"/>
    <n v="721410"/>
    <s v="Supplies-Medical - Nonbillable"/>
    <s v="Renal Home Support Services"/>
    <x v="0"/>
    <m/>
    <n v="-273.7"/>
    <n v="0"/>
    <n v="0"/>
    <n v="0"/>
    <n v="0"/>
    <n v="0"/>
    <n v="0.52"/>
    <n v="0"/>
    <n v="0"/>
    <n v="0"/>
    <n v="0"/>
    <n v="0"/>
    <n v="-273.18"/>
    <n v="0"/>
  </r>
  <r>
    <x v="19"/>
    <x v="3"/>
    <x v="0"/>
    <s v="5210101"/>
    <n v="400020"/>
    <s v="O/P Care Svcs Rev--BCBS Comm"/>
    <s v="Renal Dialysis-Puyallup"/>
    <x v="0"/>
    <n v="1301"/>
    <n v="0"/>
    <n v="0"/>
    <n v="0"/>
    <n v="0"/>
    <n v="0"/>
    <n v="0"/>
    <n v="0"/>
    <n v="0"/>
    <n v="0"/>
    <n v="-9990"/>
    <n v="0"/>
    <n v="0"/>
    <n v="-9990"/>
    <n v="0"/>
  </r>
  <r>
    <x v="19"/>
    <x v="3"/>
    <x v="0"/>
    <s v="5210101"/>
    <n v="400020"/>
    <s v="O/P Care Svcs Rev--Managed Care"/>
    <s v="Renal Dialysis-Puyallup"/>
    <x v="0"/>
    <n v="1400"/>
    <n v="0"/>
    <n v="0"/>
    <n v="0"/>
    <n v="0"/>
    <n v="0"/>
    <n v="0"/>
    <n v="0"/>
    <n v="0"/>
    <n v="0"/>
    <n v="9990"/>
    <n v="0"/>
    <n v="0"/>
    <n v="9990"/>
    <n v="0"/>
  </r>
  <r>
    <x v="5"/>
    <x v="3"/>
    <x v="0"/>
    <s v="5210101"/>
    <n v="700054"/>
    <s v="Salaries-Management-NonProd-Other"/>
    <s v="Renal Dialysis-Puyallup"/>
    <x v="0"/>
    <n v="2000"/>
    <n v="0"/>
    <n v="0"/>
    <n v="0"/>
    <n v="0"/>
    <n v="0"/>
    <n v="7590.46"/>
    <n v="-7590.46"/>
    <n v="0"/>
    <n v="0"/>
    <n v="0"/>
    <n v="0"/>
    <n v="0"/>
    <n v="0"/>
    <n v="0"/>
  </r>
  <r>
    <x v="6"/>
    <x v="3"/>
    <x v="0"/>
    <s v="5210101"/>
    <n v="713010"/>
    <s v="Benefits-FICA/Medicare"/>
    <s v="Renal Dialysis-Puyallup"/>
    <x v="0"/>
    <m/>
    <n v="0"/>
    <n v="0"/>
    <n v="0"/>
    <n v="0"/>
    <n v="0"/>
    <n v="580.66999999999996"/>
    <n v="580.66999999999996"/>
    <n v="0"/>
    <n v="0"/>
    <n v="0"/>
    <n v="0"/>
    <n v="0"/>
    <n v="1161.3399999999999"/>
    <n v="0"/>
  </r>
  <r>
    <x v="6"/>
    <x v="3"/>
    <x v="0"/>
    <s v="5210101"/>
    <n v="713090"/>
    <s v="Benefits-Allocated Amounts"/>
    <s v="Renal Dialysis-Puyallup"/>
    <x v="0"/>
    <m/>
    <n v="0"/>
    <n v="0"/>
    <n v="0"/>
    <n v="0"/>
    <n v="0"/>
    <n v="411.94"/>
    <n v="10.44"/>
    <n v="-422.38"/>
    <n v="0"/>
    <n v="0"/>
    <n v="0"/>
    <n v="0"/>
    <n v="0"/>
    <n v="0"/>
  </r>
  <r>
    <x v="11"/>
    <x v="3"/>
    <x v="0"/>
    <s v="5210101"/>
    <n v="721410"/>
    <s v="Supplies-Medical - Nonbillable"/>
    <s v="Renal Dialysis-Puyallup"/>
    <x v="0"/>
    <m/>
    <n v="0"/>
    <n v="0"/>
    <n v="-4213.68"/>
    <n v="0"/>
    <n v="0"/>
    <n v="0"/>
    <n v="0"/>
    <n v="0"/>
    <n v="0"/>
    <n v="-40.22"/>
    <n v="0"/>
    <n v="0"/>
    <n v="-4253.9000000000005"/>
    <n v="0"/>
  </r>
  <r>
    <x v="11"/>
    <x v="3"/>
    <x v="0"/>
    <s v="5210101"/>
    <n v="721640"/>
    <s v="Supplies-IV Solutions/Supplies - Nonbillable"/>
    <s v="Renal Dialysis-Puyallup"/>
    <x v="0"/>
    <m/>
    <n v="0"/>
    <n v="0"/>
    <n v="0"/>
    <n v="-311.04000000000002"/>
    <n v="0"/>
    <n v="0"/>
    <n v="0"/>
    <n v="0"/>
    <n v="0"/>
    <n v="0"/>
    <n v="0"/>
    <n v="0"/>
    <n v="-311.04000000000002"/>
    <n v="0"/>
  </r>
  <r>
    <x v="12"/>
    <x v="3"/>
    <x v="0"/>
    <s v="5210101"/>
    <n v="730020"/>
    <s v="Rental and Leases-Copier Usage Fees (DO NOT USE)"/>
    <s v="Renal Dialysis-Puyallup"/>
    <x v="0"/>
    <n v="5100"/>
    <n v="1400.95"/>
    <n v="1503.89"/>
    <n v="1452.42"/>
    <n v="1452.42"/>
    <n v="1452.42"/>
    <n v="1452.42"/>
    <n v="-21776.639999999999"/>
    <n v="22.24"/>
    <n v="22.19"/>
    <n v="22.29"/>
    <n v="22.24"/>
    <n v="26.17"/>
    <n v="-12946.989999999998"/>
    <n v="-3.9300000000000033"/>
  </r>
  <r>
    <x v="19"/>
    <x v="3"/>
    <x v="0"/>
    <s v="5211101"/>
    <n v="400020"/>
    <s v="O/P Care Svcs Rev--Medicare"/>
    <s v="Renal Dialysis-East Tacoma"/>
    <x v="0"/>
    <n v="1100"/>
    <n v="0"/>
    <n v="0"/>
    <n v="0"/>
    <n v="0"/>
    <n v="0"/>
    <n v="0"/>
    <n v="-25974"/>
    <n v="0"/>
    <n v="0"/>
    <n v="-51948"/>
    <n v="0"/>
    <n v="0"/>
    <n v="-77922"/>
    <n v="0"/>
  </r>
  <r>
    <x v="19"/>
    <x v="3"/>
    <x v="0"/>
    <s v="5211101"/>
    <n v="400020"/>
    <s v="O/P Care Svcs Rev--Medicaid"/>
    <s v="Renal Dialysis-East Tacoma"/>
    <x v="0"/>
    <n v="1200"/>
    <n v="0"/>
    <n v="0"/>
    <n v="0"/>
    <n v="0"/>
    <n v="0"/>
    <n v="0"/>
    <n v="25974"/>
    <n v="0"/>
    <n v="0"/>
    <n v="85914"/>
    <n v="0"/>
    <n v="0"/>
    <n v="111888"/>
    <n v="0"/>
  </r>
  <r>
    <x v="19"/>
    <x v="3"/>
    <x v="0"/>
    <s v="5211101"/>
    <n v="400020"/>
    <s v="O/P Care Svcs Rev--Self Pay"/>
    <s v="Renal Dialysis-East Tacoma"/>
    <x v="0"/>
    <n v="1500"/>
    <n v="0"/>
    <n v="0"/>
    <n v="0"/>
    <n v="0"/>
    <n v="0"/>
    <n v="0"/>
    <n v="0"/>
    <n v="0"/>
    <n v="0"/>
    <n v="-33966"/>
    <n v="0"/>
    <n v="0"/>
    <n v="-33966"/>
    <n v="0"/>
  </r>
  <r>
    <x v="5"/>
    <x v="3"/>
    <x v="0"/>
    <s v="5211101"/>
    <n v="700054"/>
    <s v="Salaries-Management-NonProd-Other"/>
    <s v="Renal Dialysis-East Tacoma"/>
    <x v="0"/>
    <n v="2000"/>
    <n v="0"/>
    <n v="0"/>
    <n v="0"/>
    <n v="0"/>
    <n v="0"/>
    <n v="5894.8"/>
    <n v="-5894.8"/>
    <n v="0"/>
    <n v="0"/>
    <n v="0"/>
    <n v="0"/>
    <n v="0"/>
    <n v="0"/>
    <n v="0"/>
  </r>
  <r>
    <x v="6"/>
    <x v="3"/>
    <x v="0"/>
    <s v="5211101"/>
    <n v="713010"/>
    <s v="Benefits-FICA/Medicare"/>
    <s v="Renal Dialysis-East Tacoma"/>
    <x v="0"/>
    <m/>
    <n v="0"/>
    <n v="0"/>
    <n v="0"/>
    <n v="0"/>
    <n v="0"/>
    <n v="450.95"/>
    <n v="450.95"/>
    <n v="0"/>
    <n v="0"/>
    <n v="0"/>
    <n v="0"/>
    <n v="0"/>
    <n v="901.9"/>
    <n v="0"/>
  </r>
  <r>
    <x v="6"/>
    <x v="3"/>
    <x v="0"/>
    <s v="5211101"/>
    <n v="713090"/>
    <s v="Benefits-Allocated Amounts"/>
    <s v="Renal Dialysis-East Tacoma"/>
    <x v="0"/>
    <m/>
    <n v="0"/>
    <n v="0"/>
    <n v="0"/>
    <n v="0"/>
    <n v="0"/>
    <n v="308.95"/>
    <n v="-7.25"/>
    <n v="-301.7"/>
    <n v="0"/>
    <n v="0"/>
    <n v="0"/>
    <n v="0"/>
    <n v="0"/>
    <n v="0"/>
  </r>
  <r>
    <x v="7"/>
    <x v="3"/>
    <x v="0"/>
    <s v="5211101"/>
    <n v="718050"/>
    <s v="Translation Services"/>
    <s v="Renal Dialysis-East Tacoma"/>
    <x v="0"/>
    <n v="1025"/>
    <n v="0"/>
    <n v="20.25"/>
    <n v="0"/>
    <n v="0"/>
    <n v="0"/>
    <n v="0"/>
    <n v="0"/>
    <n v="0"/>
    <n v="12.64"/>
    <n v="0"/>
    <n v="8.69"/>
    <n v="0"/>
    <n v="41.58"/>
    <n v="8.69"/>
  </r>
  <r>
    <x v="11"/>
    <x v="3"/>
    <x v="0"/>
    <s v="5211101"/>
    <n v="721410"/>
    <s v="Supplies-Medical - Nonbillable"/>
    <s v="Renal Dialysis-East Tacoma"/>
    <x v="0"/>
    <m/>
    <n v="0"/>
    <n v="0"/>
    <n v="-345.07"/>
    <n v="0"/>
    <n v="0"/>
    <n v="0"/>
    <n v="0"/>
    <n v="0"/>
    <n v="0"/>
    <n v="0"/>
    <n v="0"/>
    <n v="0"/>
    <n v="-345.07"/>
    <n v="0"/>
  </r>
  <r>
    <x v="11"/>
    <x v="3"/>
    <x v="0"/>
    <s v="5211101"/>
    <n v="723000"/>
    <s v="Supply Rebates/Patronage Dividend"/>
    <s v="Renal Dialysis-East Tacoma"/>
    <x v="0"/>
    <m/>
    <n v="0"/>
    <n v="0"/>
    <n v="-1665.75"/>
    <n v="0"/>
    <n v="0"/>
    <n v="-673.55"/>
    <n v="0"/>
    <n v="0"/>
    <n v="0"/>
    <n v="0"/>
    <n v="0"/>
    <n v="-53.86"/>
    <n v="-2393.1600000000003"/>
    <n v="53.86"/>
  </r>
  <r>
    <x v="12"/>
    <x v="3"/>
    <x v="0"/>
    <s v="5211101"/>
    <n v="730020"/>
    <s v="Rental and Leases-Copier Usage Fees (DO NOT USE)"/>
    <s v="Renal Dialysis-East Tacoma"/>
    <x v="0"/>
    <n v="5100"/>
    <n v="192.35"/>
    <n v="167.57"/>
    <n v="179.96"/>
    <n v="179.96"/>
    <n v="179.96"/>
    <n v="179.96"/>
    <n v="-2089.8000000000002"/>
    <n v="11.21"/>
    <n v="11.71"/>
    <n v="11.23"/>
    <n v="11.21"/>
    <n v="11.21"/>
    <n v="-953.47"/>
    <n v="0"/>
  </r>
  <r>
    <x v="19"/>
    <x v="3"/>
    <x v="0"/>
    <s v="5212101"/>
    <n v="400020"/>
    <s v="O/P Care Svcs Rev--Medicare"/>
    <s v="Renal Dialysis-Gig Harbor"/>
    <x v="0"/>
    <n v="1100"/>
    <n v="0"/>
    <n v="0"/>
    <n v="0"/>
    <n v="0"/>
    <n v="0"/>
    <n v="-26033.96"/>
    <n v="0"/>
    <n v="0"/>
    <n v="0"/>
    <n v="0"/>
    <n v="0"/>
    <n v="0"/>
    <n v="-26033.96"/>
    <n v="0"/>
  </r>
  <r>
    <x v="19"/>
    <x v="3"/>
    <x v="0"/>
    <s v="5212101"/>
    <n v="400020"/>
    <s v="O/P Care Svcs Rev--Medicaid"/>
    <s v="Renal Dialysis-Gig Harbor"/>
    <x v="0"/>
    <n v="1200"/>
    <n v="0"/>
    <n v="0"/>
    <n v="0"/>
    <n v="0"/>
    <n v="0"/>
    <n v="26033.96"/>
    <n v="0"/>
    <n v="0"/>
    <n v="0"/>
    <n v="0"/>
    <n v="0"/>
    <n v="0"/>
    <n v="26033.96"/>
    <n v="0"/>
  </r>
  <r>
    <x v="5"/>
    <x v="3"/>
    <x v="0"/>
    <s v="5212101"/>
    <n v="700054"/>
    <s v="Salaries-Management-NonProd-Other"/>
    <s v="Renal Dialysis-Gig Harbor"/>
    <x v="0"/>
    <n v="2000"/>
    <n v="0"/>
    <n v="0"/>
    <n v="0"/>
    <n v="0"/>
    <n v="0"/>
    <n v="4535.4399999999996"/>
    <n v="-4535.4399999999996"/>
    <n v="0"/>
    <n v="0"/>
    <n v="0"/>
    <n v="0"/>
    <n v="0"/>
    <n v="0"/>
    <n v="0"/>
  </r>
  <r>
    <x v="6"/>
    <x v="3"/>
    <x v="0"/>
    <s v="5212101"/>
    <n v="713010"/>
    <s v="Benefits-FICA/Medicare"/>
    <s v="Renal Dialysis-Gig Harbor"/>
    <x v="0"/>
    <m/>
    <n v="0"/>
    <n v="0"/>
    <n v="0"/>
    <n v="0"/>
    <n v="0"/>
    <n v="346.96"/>
    <n v="346.96"/>
    <n v="0"/>
    <n v="0"/>
    <n v="0"/>
    <n v="0"/>
    <n v="0"/>
    <n v="693.92"/>
    <n v="0"/>
  </r>
  <r>
    <x v="6"/>
    <x v="3"/>
    <x v="0"/>
    <s v="5212101"/>
    <n v="713090"/>
    <s v="Benefits-Allocated Amounts"/>
    <s v="Renal Dialysis-Gig Harbor"/>
    <x v="0"/>
    <m/>
    <n v="0"/>
    <n v="0"/>
    <n v="0"/>
    <n v="0"/>
    <n v="0"/>
    <n v="257.45999999999998"/>
    <n v="-16.100000000000001"/>
    <n v="-241.36"/>
    <n v="0"/>
    <n v="0"/>
    <n v="0"/>
    <n v="0"/>
    <n v="-2.8421709430404007E-14"/>
    <n v="0"/>
  </r>
  <r>
    <x v="11"/>
    <x v="3"/>
    <x v="0"/>
    <s v="5212101"/>
    <n v="721410"/>
    <s v="Supplies-Medical - Nonbillable"/>
    <s v="Renal Dialysis-Gig Harbor"/>
    <x v="0"/>
    <m/>
    <n v="0"/>
    <n v="0"/>
    <n v="-374.4"/>
    <n v="0"/>
    <n v="0"/>
    <n v="0"/>
    <n v="0"/>
    <n v="0"/>
    <n v="0"/>
    <n v="0"/>
    <n v="0"/>
    <n v="0"/>
    <n v="-374.4"/>
    <n v="0"/>
  </r>
  <r>
    <x v="11"/>
    <x v="3"/>
    <x v="0"/>
    <s v="5212101"/>
    <n v="723000"/>
    <s v="Supply Rebates/Patronage Dividend"/>
    <s v="Renal Dialysis-Gig Harbor"/>
    <x v="0"/>
    <m/>
    <n v="0"/>
    <n v="0"/>
    <n v="-26.8"/>
    <n v="0"/>
    <n v="0"/>
    <n v="0"/>
    <n v="0"/>
    <n v="0"/>
    <n v="0"/>
    <n v="0"/>
    <n v="0"/>
    <n v="-31.9"/>
    <n v="-58.7"/>
    <n v="31.9"/>
  </r>
  <r>
    <x v="12"/>
    <x v="3"/>
    <x v="0"/>
    <s v="5212101"/>
    <n v="730020"/>
    <s v="Rental and Leases-Copier Usage Fees (DO NOT USE)"/>
    <s v="Renal Dialysis-Gig Harbor"/>
    <x v="0"/>
    <n v="5100"/>
    <n v="99.7"/>
    <n v="87.34"/>
    <n v="93.52"/>
    <n v="93.52"/>
    <n v="93.52"/>
    <n v="93.52"/>
    <n v="-1080.96"/>
    <n v="0"/>
    <n v="0"/>
    <n v="0"/>
    <n v="0"/>
    <n v="0"/>
    <n v="-519.84"/>
    <n v="0"/>
  </r>
  <r>
    <x v="19"/>
    <x v="3"/>
    <x v="0"/>
    <s v="5213101"/>
    <n v="400020"/>
    <s v="O/P Care Svcs Rev--Medicare"/>
    <s v="Renal Dialysis-So.Tacoma"/>
    <x v="0"/>
    <n v="1100"/>
    <n v="92698"/>
    <n v="0"/>
    <n v="-196768.12"/>
    <n v="-59614"/>
    <n v="0"/>
    <n v="0"/>
    <n v="0"/>
    <n v="0"/>
    <n v="0"/>
    <n v="0"/>
    <n v="0"/>
    <n v="0"/>
    <n v="-163684.12"/>
    <n v="0"/>
  </r>
  <r>
    <x v="19"/>
    <x v="3"/>
    <x v="0"/>
    <s v="5213101"/>
    <n v="400020"/>
    <s v="O/P Care Svcs Rev--Medicaid"/>
    <s v="Renal Dialysis-So.Tacoma"/>
    <x v="0"/>
    <n v="1200"/>
    <n v="0"/>
    <n v="0"/>
    <n v="196768.12"/>
    <n v="81918"/>
    <n v="0"/>
    <n v="0"/>
    <n v="0"/>
    <n v="0"/>
    <n v="0"/>
    <n v="0"/>
    <n v="0"/>
    <n v="0"/>
    <n v="278686.12"/>
    <n v="0"/>
  </r>
  <r>
    <x v="19"/>
    <x v="3"/>
    <x v="0"/>
    <s v="5213101"/>
    <n v="400020"/>
    <s v="O/P Care Svcs Rev--BCBS Comm"/>
    <s v="Renal Dialysis-So.Tacoma"/>
    <x v="0"/>
    <n v="1301"/>
    <n v="-92698"/>
    <n v="9990"/>
    <n v="0"/>
    <n v="0"/>
    <n v="0"/>
    <n v="0"/>
    <n v="0"/>
    <n v="0"/>
    <n v="0"/>
    <n v="0"/>
    <n v="0"/>
    <n v="0"/>
    <n v="-82708"/>
    <n v="0"/>
  </r>
  <r>
    <x v="19"/>
    <x v="3"/>
    <x v="0"/>
    <s v="5213101"/>
    <n v="400020"/>
    <s v="O/P Care Svcs Rev--Managed Care"/>
    <s v="Renal Dialysis-So.Tacoma"/>
    <x v="0"/>
    <n v="1400"/>
    <n v="0"/>
    <n v="-9990"/>
    <n v="0"/>
    <n v="-22304"/>
    <n v="0"/>
    <n v="0"/>
    <n v="0"/>
    <n v="0"/>
    <n v="0"/>
    <n v="0"/>
    <n v="0"/>
    <n v="0"/>
    <n v="-32294"/>
    <n v="0"/>
  </r>
  <r>
    <x v="5"/>
    <x v="3"/>
    <x v="0"/>
    <s v="5213101"/>
    <n v="700054"/>
    <s v="Salaries-Management-NonProd-Other"/>
    <s v="Renal Dialysis-So.Tacoma"/>
    <x v="0"/>
    <n v="2000"/>
    <n v="0"/>
    <n v="0"/>
    <n v="0"/>
    <n v="0"/>
    <n v="0"/>
    <n v="17001.37"/>
    <n v="-17001.37"/>
    <n v="0"/>
    <n v="0"/>
    <n v="0"/>
    <n v="0"/>
    <n v="0"/>
    <n v="0"/>
    <n v="0"/>
  </r>
  <r>
    <x v="6"/>
    <x v="3"/>
    <x v="0"/>
    <s v="5213101"/>
    <n v="713010"/>
    <s v="Benefits-FICA/Medicare"/>
    <s v="Renal Dialysis-So.Tacoma"/>
    <x v="0"/>
    <m/>
    <n v="0"/>
    <n v="0"/>
    <n v="0"/>
    <n v="0"/>
    <n v="0"/>
    <n v="1300.5999999999999"/>
    <n v="1300.5999999999999"/>
    <n v="0"/>
    <n v="0"/>
    <n v="0"/>
    <n v="0"/>
    <n v="0"/>
    <n v="2601.1999999999998"/>
    <n v="0"/>
  </r>
  <r>
    <x v="6"/>
    <x v="3"/>
    <x v="0"/>
    <s v="5213101"/>
    <n v="713090"/>
    <s v="Benefits-Allocated Amounts"/>
    <s v="Renal Dialysis-So.Tacoma"/>
    <x v="0"/>
    <m/>
    <n v="0"/>
    <n v="0"/>
    <n v="0"/>
    <n v="0"/>
    <n v="0"/>
    <n v="875.37"/>
    <n v="29.73"/>
    <n v="-905.1"/>
    <n v="0"/>
    <n v="0"/>
    <n v="0"/>
    <n v="0"/>
    <n v="0"/>
    <n v="0"/>
  </r>
  <r>
    <x v="7"/>
    <x v="3"/>
    <x v="0"/>
    <s v="5213101"/>
    <n v="718050"/>
    <s v="Translation Services"/>
    <s v="Renal Dialysis-So.Tacoma"/>
    <x v="0"/>
    <n v="1025"/>
    <n v="0"/>
    <n v="46.98"/>
    <n v="0"/>
    <n v="0"/>
    <n v="0"/>
    <n v="0"/>
    <n v="0"/>
    <n v="0"/>
    <n v="0"/>
    <n v="0"/>
    <n v="0"/>
    <n v="0"/>
    <n v="46.98"/>
    <n v="0"/>
  </r>
  <r>
    <x v="11"/>
    <x v="3"/>
    <x v="0"/>
    <s v="5213101"/>
    <n v="721410"/>
    <s v="Supplies-Medical - Nonbillable"/>
    <s v="Renal Dialysis-So.Tacoma"/>
    <x v="0"/>
    <m/>
    <n v="0"/>
    <n v="0"/>
    <n v="0"/>
    <n v="-1384.22"/>
    <n v="0"/>
    <n v="0"/>
    <n v="0"/>
    <n v="0"/>
    <n v="0"/>
    <n v="0"/>
    <n v="0"/>
    <n v="0"/>
    <n v="-1384.22"/>
    <n v="0"/>
  </r>
  <r>
    <x v="11"/>
    <x v="3"/>
    <x v="0"/>
    <s v="5213101"/>
    <n v="723000"/>
    <s v="Supply Rebates/Patronage Dividend"/>
    <s v="Renal Dialysis-So.Tacoma"/>
    <x v="0"/>
    <m/>
    <n v="0"/>
    <n v="0"/>
    <n v="0"/>
    <n v="0"/>
    <n v="0"/>
    <n v="0"/>
    <n v="0"/>
    <n v="0"/>
    <n v="-1.32"/>
    <n v="0"/>
    <n v="0"/>
    <n v="0"/>
    <n v="-1.32"/>
    <n v="0"/>
  </r>
  <r>
    <x v="12"/>
    <x v="3"/>
    <x v="0"/>
    <s v="5213101"/>
    <n v="730020"/>
    <s v="Rental and Leases-Copier Usage Fees (DO NOT USE)"/>
    <s v="Renal Dialysis-So.Tacoma"/>
    <x v="0"/>
    <n v="5100"/>
    <n v="153.25"/>
    <n v="120.7"/>
    <n v="136.97999999999999"/>
    <n v="136.97999999999999"/>
    <n v="137.35"/>
    <n v="137.06"/>
    <n v="642.80999999999995"/>
    <n v="0"/>
    <n v="0"/>
    <n v="0"/>
    <n v="0"/>
    <n v="0"/>
    <n v="1465.1299999999999"/>
    <n v="0"/>
  </r>
  <r>
    <x v="15"/>
    <x v="3"/>
    <x v="0"/>
    <s v="5213101"/>
    <n v="731060"/>
    <s v="Telephone"/>
    <s v="Renal Dialysis-So.Tacoma"/>
    <x v="0"/>
    <m/>
    <n v="536.17999999999995"/>
    <n v="541.78"/>
    <n v="535.80999999999995"/>
    <n v="535.80999999999995"/>
    <n v="536.83000000000004"/>
    <n v="536.95000000000005"/>
    <n v="536.95000000000005"/>
    <n v="96.73"/>
    <n v="0"/>
    <n v="0"/>
    <n v="0"/>
    <n v="-211.84"/>
    <n v="3645.1999999999994"/>
    <n v="211.84"/>
  </r>
  <r>
    <x v="16"/>
    <x v="3"/>
    <x v="0"/>
    <s v="5213101"/>
    <n v="732030"/>
    <s v="Repairs---Other"/>
    <s v="Renal Dialysis-So.Tacoma"/>
    <x v="0"/>
    <m/>
    <n v="0"/>
    <n v="0"/>
    <n v="0"/>
    <n v="170.9"/>
    <n v="0"/>
    <n v="0"/>
    <n v="0"/>
    <n v="0"/>
    <n v="0"/>
    <n v="0"/>
    <n v="0"/>
    <n v="0"/>
    <n v="170.9"/>
    <n v="0"/>
  </r>
  <r>
    <x v="19"/>
    <x v="3"/>
    <x v="0"/>
    <s v="5214101"/>
    <n v="400020"/>
    <s v="O/P Care Svcs Rev--Medicare"/>
    <s v="Renal Dialysis-Bonney Lake"/>
    <x v="0"/>
    <n v="1100"/>
    <n v="0"/>
    <n v="0"/>
    <n v="0"/>
    <n v="0"/>
    <n v="0"/>
    <n v="0"/>
    <n v="0"/>
    <n v="0"/>
    <n v="-22683.84"/>
    <n v="-26753.22"/>
    <n v="-26753.22"/>
    <n v="-20579.400000000001"/>
    <n v="-96769.68"/>
    <n v="-6173.82"/>
  </r>
  <r>
    <x v="10"/>
    <x v="3"/>
    <x v="0"/>
    <s v="5214101"/>
    <n v="710060"/>
    <s v="Contract Labor-Other"/>
    <s v="Renal Dialysis-Bonney Lake"/>
    <x v="0"/>
    <m/>
    <n v="0"/>
    <n v="0"/>
    <n v="8850"/>
    <n v="3600"/>
    <n v="13807.5"/>
    <n v="111611.8"/>
    <n v="-1226.5"/>
    <n v="51029.38"/>
    <n v="33260.080000000002"/>
    <n v="29302.04"/>
    <n v="6324"/>
    <n v="29377"/>
    <n v="285935.30000000005"/>
    <n v="-23053"/>
  </r>
  <r>
    <x v="10"/>
    <x v="3"/>
    <x v="0"/>
    <s v="5214101"/>
    <n v="710060"/>
    <s v="Contract Labor-Overtime"/>
    <s v="Renal Dialysis-Bonney Lake"/>
    <x v="0"/>
    <n v="5100"/>
    <n v="0"/>
    <n v="0"/>
    <n v="0"/>
    <n v="0"/>
    <n v="0"/>
    <n v="0"/>
    <n v="0"/>
    <n v="0"/>
    <n v="451"/>
    <n v="220.5"/>
    <n v="0"/>
    <n v="0"/>
    <n v="671.5"/>
    <n v="0"/>
  </r>
  <r>
    <x v="7"/>
    <x v="3"/>
    <x v="0"/>
    <s v="5214101"/>
    <n v="718050"/>
    <s v="Contract Svcs-Other"/>
    <s v="Renal Dialysis-Bonney Lake"/>
    <x v="0"/>
    <m/>
    <n v="0"/>
    <n v="0"/>
    <n v="0"/>
    <n v="0"/>
    <n v="600"/>
    <n v="600"/>
    <n v="600"/>
    <n v="0"/>
    <n v="738.63"/>
    <n v="1208.75"/>
    <n v="0"/>
    <n v="833.94"/>
    <n v="4581.32"/>
    <n v="-833.94"/>
  </r>
  <r>
    <x v="7"/>
    <x v="3"/>
    <x v="0"/>
    <s v="5214101"/>
    <n v="718050"/>
    <s v="Miscellaneous Purchased Svcs"/>
    <s v="Renal Dialysis-Bonney Lake"/>
    <x v="0"/>
    <n v="1020"/>
    <n v="0"/>
    <n v="0"/>
    <n v="124"/>
    <n v="1301"/>
    <n v="926"/>
    <n v="198.75"/>
    <n v="608.75"/>
    <n v="886"/>
    <n v="218.75"/>
    <n v="625"/>
    <n v="0"/>
    <n v="706"/>
    <n v="5594.25"/>
    <n v="-706"/>
  </r>
  <r>
    <x v="11"/>
    <x v="3"/>
    <x v="0"/>
    <s v="5214101"/>
    <n v="721010"/>
    <s v="Supplies-Medical - Billable"/>
    <s v="Renal Dialysis-Bonney Lake"/>
    <x v="0"/>
    <m/>
    <n v="0"/>
    <n v="1343.3"/>
    <n v="53.37"/>
    <n v="189.2"/>
    <n v="-571.59"/>
    <n v="421.55"/>
    <n v="24.92"/>
    <n v="0"/>
    <n v="855.52"/>
    <n v="0"/>
    <n v="553.69000000000005"/>
    <n v="417.76"/>
    <n v="3287.7200000000003"/>
    <n v="135.93000000000006"/>
  </r>
  <r>
    <x v="11"/>
    <x v="3"/>
    <x v="0"/>
    <s v="5214101"/>
    <n v="721240"/>
    <s v="Supplies-IV Solutions/Supplies - Billable"/>
    <s v="Renal Dialysis-Bonney Lake"/>
    <x v="0"/>
    <m/>
    <n v="0"/>
    <n v="1.85"/>
    <n v="0"/>
    <n v="0"/>
    <n v="0"/>
    <n v="0"/>
    <n v="0"/>
    <n v="0"/>
    <n v="0"/>
    <n v="0"/>
    <n v="0"/>
    <n v="0"/>
    <n v="1.85"/>
    <n v="0"/>
  </r>
  <r>
    <x v="11"/>
    <x v="3"/>
    <x v="0"/>
    <s v="5214101"/>
    <n v="721250"/>
    <s v="Supplies-Pharmacy Drugs - Billable"/>
    <s v="Renal Dialysis-Bonney Lake"/>
    <x v="0"/>
    <m/>
    <n v="0"/>
    <n v="0"/>
    <n v="5043.95"/>
    <n v="0"/>
    <n v="0"/>
    <n v="0"/>
    <n v="0"/>
    <n v="0"/>
    <n v="0"/>
    <n v="0"/>
    <n v="0"/>
    <n v="29.75"/>
    <n v="5073.7"/>
    <n v="-29.75"/>
  </r>
  <r>
    <x v="11"/>
    <x v="3"/>
    <x v="0"/>
    <s v="5214101"/>
    <n v="721410"/>
    <s v="Supplies-Medical - Nonbillable"/>
    <s v="Renal Dialysis-Bonney Lake"/>
    <x v="0"/>
    <m/>
    <n v="0"/>
    <n v="820.1"/>
    <n v="142.9"/>
    <n v="10.31"/>
    <n v="206.02"/>
    <n v="46.11"/>
    <n v="374.86"/>
    <n v="8.75"/>
    <n v="12.19"/>
    <n v="0"/>
    <n v="114.82"/>
    <n v="377.92"/>
    <n v="2113.9799999999996"/>
    <n v="-263.10000000000002"/>
  </r>
  <r>
    <x v="11"/>
    <x v="3"/>
    <x v="0"/>
    <s v="5214101"/>
    <n v="721420"/>
    <s v="Supplies-Surgical Nonbillable"/>
    <s v="Renal Dialysis-Bonney Lake"/>
    <x v="0"/>
    <m/>
    <n v="0"/>
    <n v="26.69"/>
    <n v="0"/>
    <n v="0"/>
    <n v="0"/>
    <n v="0"/>
    <n v="0"/>
    <n v="0"/>
    <n v="0"/>
    <n v="0"/>
    <n v="0"/>
    <n v="0"/>
    <n v="26.69"/>
    <n v="0"/>
  </r>
  <r>
    <x v="11"/>
    <x v="3"/>
    <x v="0"/>
    <s v="5214101"/>
    <n v="721420"/>
    <s v="Tubes Drains &amp; Related Supplies"/>
    <s v="Renal Dialysis-Bonney Lake"/>
    <x v="0"/>
    <n v="1008"/>
    <n v="0"/>
    <n v="0"/>
    <n v="15.01"/>
    <n v="0"/>
    <n v="0"/>
    <n v="0"/>
    <n v="0"/>
    <n v="0"/>
    <n v="0"/>
    <n v="0"/>
    <n v="0"/>
    <n v="0"/>
    <n v="15.01"/>
    <n v="0"/>
  </r>
  <r>
    <x v="11"/>
    <x v="3"/>
    <x v="0"/>
    <s v="5214101"/>
    <n v="721420"/>
    <s v="Sterilization Process Products"/>
    <s v="Renal Dialysis-Bonney Lake"/>
    <x v="0"/>
    <n v="1009"/>
    <n v="0"/>
    <n v="436"/>
    <n v="485.55"/>
    <n v="49.55"/>
    <n v="0"/>
    <n v="0"/>
    <n v="0"/>
    <n v="0"/>
    <n v="0"/>
    <n v="0"/>
    <n v="0"/>
    <n v="0"/>
    <n v="971.09999999999991"/>
    <n v="0"/>
  </r>
  <r>
    <x v="11"/>
    <x v="3"/>
    <x v="0"/>
    <s v="5214101"/>
    <n v="721610"/>
    <s v="Supplies-Anesthesia - Nonbillable"/>
    <s v="Renal Dialysis-Bonney Lake"/>
    <x v="0"/>
    <m/>
    <n v="0"/>
    <n v="39.93"/>
    <n v="20.54"/>
    <n v="0"/>
    <n v="0"/>
    <n v="0"/>
    <n v="0"/>
    <n v="0"/>
    <n v="0"/>
    <n v="0"/>
    <n v="0"/>
    <n v="0"/>
    <n v="60.47"/>
    <n v="0"/>
  </r>
  <r>
    <x v="11"/>
    <x v="3"/>
    <x v="0"/>
    <s v="5214101"/>
    <n v="721640"/>
    <s v="Supplies-IV Solutions/Supplies - Nonbillable"/>
    <s v="Renal Dialysis-Bonney Lake"/>
    <x v="0"/>
    <m/>
    <n v="0"/>
    <n v="26.48"/>
    <n v="0"/>
    <n v="0"/>
    <n v="42.8"/>
    <n v="0"/>
    <n v="0"/>
    <n v="0"/>
    <n v="0"/>
    <n v="0"/>
    <n v="0"/>
    <n v="0"/>
    <n v="69.28"/>
    <n v="0"/>
  </r>
  <r>
    <x v="11"/>
    <x v="3"/>
    <x v="0"/>
    <s v="5214101"/>
    <n v="721650"/>
    <s v="Supplies-Pharmacy Drugs - Nonbillable"/>
    <s v="Renal Dialysis-Bonney Lake"/>
    <x v="0"/>
    <m/>
    <n v="0"/>
    <n v="0"/>
    <n v="0"/>
    <n v="0"/>
    <n v="0"/>
    <n v="0"/>
    <n v="0"/>
    <n v="0"/>
    <n v="121.11"/>
    <n v="0"/>
    <n v="0"/>
    <n v="-11.11"/>
    <n v="110"/>
    <n v="11.11"/>
  </r>
  <r>
    <x v="11"/>
    <x v="3"/>
    <x v="0"/>
    <s v="5214101"/>
    <n v="721710"/>
    <s v="Supplies-Laboratory - Nonbillable"/>
    <s v="Renal Dialysis-Bonney Lake"/>
    <x v="0"/>
    <m/>
    <n v="0"/>
    <n v="144.30000000000001"/>
    <n v="1.1599999999999999"/>
    <n v="50.34"/>
    <n v="0"/>
    <n v="0"/>
    <n v="0"/>
    <n v="0"/>
    <n v="22.02"/>
    <n v="37.5"/>
    <n v="-1.02"/>
    <n v="1.28"/>
    <n v="255.58"/>
    <n v="-2.2999999999999998"/>
  </r>
  <r>
    <x v="11"/>
    <x v="3"/>
    <x v="0"/>
    <s v="5214101"/>
    <n v="721710"/>
    <s v="Reagents"/>
    <s v="Renal Dialysis-Bonney Lake"/>
    <x v="0"/>
    <n v="1000"/>
    <n v="0"/>
    <n v="18.87"/>
    <n v="578.22"/>
    <n v="0"/>
    <n v="0"/>
    <n v="0"/>
    <n v="0"/>
    <n v="0"/>
    <n v="10.68"/>
    <n v="0"/>
    <n v="10.68"/>
    <n v="14.95"/>
    <n v="633.4"/>
    <n v="-4.2699999999999996"/>
  </r>
  <r>
    <x v="11"/>
    <x v="3"/>
    <x v="0"/>
    <s v="5214101"/>
    <n v="721810"/>
    <s v="Supplies-Dietary/Cafeteria"/>
    <s v="Renal Dialysis-Bonney Lake"/>
    <x v="0"/>
    <m/>
    <n v="0"/>
    <n v="52.28"/>
    <n v="2.25"/>
    <n v="0"/>
    <n v="0"/>
    <n v="0"/>
    <n v="4.5"/>
    <n v="0"/>
    <n v="0"/>
    <n v="0"/>
    <n v="0"/>
    <n v="0"/>
    <n v="59.03"/>
    <n v="0"/>
  </r>
  <r>
    <x v="11"/>
    <x v="3"/>
    <x v="0"/>
    <s v="5214101"/>
    <n v="721830"/>
    <s v="Supplies-Office"/>
    <s v="Renal Dialysis-Bonney Lake"/>
    <x v="0"/>
    <m/>
    <n v="0"/>
    <n v="0"/>
    <n v="205.81"/>
    <n v="0"/>
    <n v="0"/>
    <n v="0"/>
    <n v="0"/>
    <n v="0"/>
    <n v="0"/>
    <n v="0"/>
    <n v="0"/>
    <n v="0"/>
    <n v="205.81"/>
    <n v="0"/>
  </r>
  <r>
    <x v="11"/>
    <x v="3"/>
    <x v="0"/>
    <s v="5214101"/>
    <n v="721835"/>
    <s v="Supplies-Forms"/>
    <s v="Renal Dialysis-Bonney Lake"/>
    <x v="0"/>
    <m/>
    <n v="0"/>
    <n v="0"/>
    <n v="0"/>
    <n v="0"/>
    <n v="0"/>
    <n v="0"/>
    <n v="0"/>
    <n v="0"/>
    <n v="0"/>
    <n v="13.08"/>
    <n v="0"/>
    <n v="0"/>
    <n v="13.08"/>
    <n v="0"/>
  </r>
  <r>
    <x v="11"/>
    <x v="3"/>
    <x v="0"/>
    <s v="5214101"/>
    <n v="721870"/>
    <s v="Supplies-Environmental Services"/>
    <s v="Renal Dialysis-Bonney Lake"/>
    <x v="0"/>
    <m/>
    <n v="0"/>
    <n v="214.71"/>
    <n v="65.14"/>
    <n v="7.57"/>
    <n v="0"/>
    <n v="0"/>
    <n v="16.899999999999999"/>
    <n v="0"/>
    <n v="16.899999999999999"/>
    <n v="0"/>
    <n v="0"/>
    <n v="0"/>
    <n v="321.21999999999997"/>
    <n v="0"/>
  </r>
  <r>
    <x v="11"/>
    <x v="3"/>
    <x v="0"/>
    <s v="5214101"/>
    <n v="721880"/>
    <s v="Supplies-Linen"/>
    <s v="Renal Dialysis-Bonney Lake"/>
    <x v="0"/>
    <m/>
    <n v="0"/>
    <n v="13.1"/>
    <n v="0"/>
    <n v="54.93"/>
    <n v="0"/>
    <n v="5.55"/>
    <n v="0"/>
    <n v="0"/>
    <n v="0"/>
    <n v="0"/>
    <n v="0"/>
    <n v="0"/>
    <n v="73.58"/>
    <n v="0"/>
  </r>
  <r>
    <x v="11"/>
    <x v="3"/>
    <x v="0"/>
    <s v="5214101"/>
    <n v="721910"/>
    <s v="Supplies-Small Equipment"/>
    <s v="Renal Dialysis-Bonney Lake"/>
    <x v="0"/>
    <m/>
    <n v="0"/>
    <n v="1.92"/>
    <n v="42.79"/>
    <n v="0.25"/>
    <n v="14.4"/>
    <n v="0"/>
    <n v="0"/>
    <n v="0"/>
    <n v="0"/>
    <n v="0"/>
    <n v="0"/>
    <n v="0"/>
    <n v="59.36"/>
    <n v="0"/>
  </r>
  <r>
    <x v="11"/>
    <x v="3"/>
    <x v="0"/>
    <s v="5214101"/>
    <n v="721910"/>
    <s v="Instruments"/>
    <s v="Renal Dialysis-Bonney Lake"/>
    <x v="0"/>
    <n v="1000"/>
    <n v="0"/>
    <n v="551"/>
    <n v="0"/>
    <n v="0"/>
    <n v="0"/>
    <n v="0"/>
    <n v="0"/>
    <n v="0"/>
    <n v="0"/>
    <n v="0"/>
    <n v="0"/>
    <n v="0"/>
    <n v="551"/>
    <n v="0"/>
  </r>
  <r>
    <x v="11"/>
    <x v="3"/>
    <x v="0"/>
    <s v="5214101"/>
    <n v="722000"/>
    <s v="Supplies-Freight Expense"/>
    <s v="Renal Dialysis-Bonney Lake"/>
    <x v="0"/>
    <m/>
    <n v="0"/>
    <n v="0"/>
    <n v="143.66"/>
    <n v="0"/>
    <n v="0"/>
    <n v="0"/>
    <n v="0"/>
    <n v="0"/>
    <n v="0"/>
    <n v="8.26"/>
    <n v="0"/>
    <n v="0"/>
    <n v="151.91999999999999"/>
    <n v="0"/>
  </r>
  <r>
    <x v="12"/>
    <x v="3"/>
    <x v="0"/>
    <s v="5214101"/>
    <n v="730010"/>
    <s v="Rental and Leases-Building (DO NOT USE)"/>
    <s v="Renal Dialysis-Bonney Lake"/>
    <x v="0"/>
    <m/>
    <n v="13480.49"/>
    <n v="13480.49"/>
    <n v="13480.49"/>
    <n v="13480.49"/>
    <n v="13480.49"/>
    <n v="-4296.67"/>
    <n v="10517.63"/>
    <n v="10517.63"/>
    <n v="10517.63"/>
    <n v="10517.63"/>
    <n v="10517.63"/>
    <n v="0"/>
    <n v="115693.93000000002"/>
    <n v="10517.63"/>
  </r>
  <r>
    <x v="12"/>
    <x v="3"/>
    <x v="0"/>
    <s v="5214101"/>
    <n v="730010"/>
    <s v="Rental-Common Area Maint (DO NOT USE)"/>
    <s v="Renal Dialysis-Bonney Lake"/>
    <x v="0"/>
    <n v="2200"/>
    <n v="0"/>
    <n v="0"/>
    <n v="0"/>
    <n v="0"/>
    <n v="0"/>
    <n v="17777.16"/>
    <n v="3261.5"/>
    <n v="3112.18"/>
    <n v="6238.78"/>
    <n v="3112.18"/>
    <n v="3112.18"/>
    <n v="0"/>
    <n v="36613.979999999996"/>
    <n v="3112.18"/>
  </r>
  <r>
    <x v="12"/>
    <x v="3"/>
    <x v="0"/>
    <s v="5214101"/>
    <n v="730040"/>
    <s v="LT Lease-Real Estate"/>
    <s v="Renal Dialysis-Bonney Lake"/>
    <x v="0"/>
    <m/>
    <n v="0"/>
    <n v="0"/>
    <n v="0"/>
    <n v="0"/>
    <n v="0"/>
    <n v="0"/>
    <n v="0"/>
    <n v="0"/>
    <n v="0"/>
    <n v="0"/>
    <n v="0"/>
    <n v="13892.75"/>
    <n v="13892.75"/>
    <n v="-13892.75"/>
  </r>
  <r>
    <x v="15"/>
    <x v="3"/>
    <x v="0"/>
    <s v="5214101"/>
    <n v="731010"/>
    <s v="Natural Gas"/>
    <s v="Renal Dialysis-Bonney Lake"/>
    <x v="0"/>
    <m/>
    <n v="0"/>
    <n v="0"/>
    <n v="0"/>
    <n v="0"/>
    <n v="0"/>
    <n v="0"/>
    <n v="441.89"/>
    <n v="474.03"/>
    <n v="482.66"/>
    <n v="375.34"/>
    <n v="256.16000000000003"/>
    <n v="201.9"/>
    <n v="2231.98"/>
    <n v="54.260000000000019"/>
  </r>
  <r>
    <x v="15"/>
    <x v="3"/>
    <x v="0"/>
    <s v="5214101"/>
    <n v="731020"/>
    <s v="Electricity"/>
    <s v="Renal Dialysis-Bonney Lake"/>
    <x v="0"/>
    <m/>
    <n v="0"/>
    <n v="842.48"/>
    <n v="698.24"/>
    <n v="675.44"/>
    <n v="567.24"/>
    <n v="567.26"/>
    <n v="1702.62"/>
    <n v="2023.14"/>
    <n v="823.29"/>
    <n v="0"/>
    <n v="0"/>
    <n v="1877.11"/>
    <n v="9776.82"/>
    <n v="-1877.11"/>
  </r>
  <r>
    <x v="15"/>
    <x v="3"/>
    <x v="0"/>
    <s v="5214101"/>
    <n v="731030"/>
    <s v="Water"/>
    <s v="Renal Dialysis-Bonney Lake"/>
    <x v="0"/>
    <m/>
    <n v="0"/>
    <n v="0"/>
    <n v="0"/>
    <n v="0"/>
    <n v="0"/>
    <n v="693.04"/>
    <n v="191.92"/>
    <n v="373.39"/>
    <n v="472.82"/>
    <n v="351.32"/>
    <n v="495.32"/>
    <n v="531.32000000000005"/>
    <n v="3109.13"/>
    <n v="-36.000000000000057"/>
  </r>
  <r>
    <x v="15"/>
    <x v="3"/>
    <x v="0"/>
    <s v="5214101"/>
    <n v="731040"/>
    <s v="Sewer"/>
    <s v="Renal Dialysis-Bonney Lake"/>
    <x v="0"/>
    <m/>
    <n v="0"/>
    <n v="0"/>
    <n v="0"/>
    <n v="0"/>
    <n v="0"/>
    <n v="0"/>
    <n v="186.14"/>
    <n v="318.07"/>
    <n v="371.71"/>
    <n v="289.89999999999998"/>
    <n v="386.86"/>
    <n v="411.1"/>
    <n v="1963.7799999999997"/>
    <n v="-24.240000000000009"/>
  </r>
  <r>
    <x v="15"/>
    <x v="3"/>
    <x v="0"/>
    <s v="5214101"/>
    <n v="731050"/>
    <s v="Refuse Disposal"/>
    <s v="Renal Dialysis-Bonney Lake"/>
    <x v="0"/>
    <m/>
    <n v="0"/>
    <n v="0"/>
    <n v="0"/>
    <n v="117.02"/>
    <n v="206.16"/>
    <n v="988.71"/>
    <n v="206.16"/>
    <n v="245.03"/>
    <n v="216.52"/>
    <n v="1041.51"/>
    <n v="657.07"/>
    <n v="283.81"/>
    <n v="3961.9900000000002"/>
    <n v="373.26000000000005"/>
  </r>
  <r>
    <x v="15"/>
    <x v="3"/>
    <x v="0"/>
    <s v="5214101"/>
    <n v="731060"/>
    <s v="Telephone"/>
    <s v="Renal Dialysis-Bonney Lake"/>
    <x v="0"/>
    <m/>
    <n v="0"/>
    <n v="0"/>
    <n v="0"/>
    <n v="0"/>
    <n v="0"/>
    <n v="0"/>
    <n v="147.01"/>
    <n v="140.22999999999999"/>
    <n v="140.22999999999999"/>
    <n v="9005.26"/>
    <n v="643.75"/>
    <n v="238.25"/>
    <n v="10314.73"/>
    <n v="405.5"/>
  </r>
  <r>
    <x v="15"/>
    <x v="3"/>
    <x v="0"/>
    <s v="5214101"/>
    <n v="731070"/>
    <s v="Cable TV"/>
    <s v="Renal Dialysis-Bonney Lake"/>
    <x v="0"/>
    <m/>
    <n v="0"/>
    <n v="0"/>
    <n v="0"/>
    <n v="0"/>
    <n v="0"/>
    <n v="0"/>
    <n v="639.69000000000005"/>
    <n v="0"/>
    <n v="0"/>
    <n v="0"/>
    <n v="0"/>
    <n v="0"/>
    <n v="639.69000000000005"/>
    <n v="0"/>
  </r>
  <r>
    <x v="16"/>
    <x v="3"/>
    <x v="0"/>
    <s v="5214101"/>
    <n v="732030"/>
    <s v="Repairs---Other"/>
    <s v="Renal Dialysis-Bonney Lake"/>
    <x v="0"/>
    <m/>
    <n v="0"/>
    <n v="0"/>
    <n v="0"/>
    <n v="0"/>
    <n v="0"/>
    <n v="0"/>
    <n v="953.37"/>
    <n v="0"/>
    <n v="953.37"/>
    <n v="0"/>
    <n v="953.37"/>
    <n v="0"/>
    <n v="2860.11"/>
    <n v="953.37"/>
  </r>
  <r>
    <x v="16"/>
    <x v="3"/>
    <x v="0"/>
    <s v="5214101"/>
    <n v="733030"/>
    <s v="Maintenance Contracts-Other"/>
    <s v="Renal Dialysis-Bonney Lake"/>
    <x v="0"/>
    <m/>
    <n v="0"/>
    <n v="0"/>
    <n v="0"/>
    <n v="730"/>
    <n v="0"/>
    <n v="0"/>
    <n v="0"/>
    <n v="0"/>
    <n v="0"/>
    <n v="0"/>
    <n v="0"/>
    <n v="0"/>
    <n v="730"/>
    <n v="0"/>
  </r>
  <r>
    <x v="0"/>
    <x v="3"/>
    <x v="0"/>
    <s v="5214101"/>
    <n v="749510"/>
    <s v="Miscellaneous Expenses"/>
    <s v="Renal Dialysis-Bonney Lake"/>
    <x v="0"/>
    <m/>
    <n v="0"/>
    <n v="0"/>
    <n v="176.48"/>
    <n v="51.18"/>
    <n v="8834.9500000000007"/>
    <n v="19788.3"/>
    <n v="-3096.87"/>
    <n v="-20804.3"/>
    <n v="-465.04"/>
    <n v="-3257.04"/>
    <n v="0"/>
    <n v="5372.08"/>
    <n v="6599.7400000000016"/>
    <n v="-5372.08"/>
  </r>
  <r>
    <x v="0"/>
    <x v="3"/>
    <x v="0"/>
    <s v="5214101"/>
    <n v="749510"/>
    <s v="Licenses"/>
    <s v="Renal Dialysis-Bonney Lake"/>
    <x v="0"/>
    <n v="1002"/>
    <n v="0"/>
    <n v="0"/>
    <n v="365"/>
    <n v="0"/>
    <n v="0"/>
    <n v="0"/>
    <n v="0"/>
    <n v="0"/>
    <n v="0"/>
    <n v="24.6"/>
    <n v="150"/>
    <n v="0"/>
    <n v="539.6"/>
    <n v="150"/>
  </r>
  <r>
    <x v="5"/>
    <x v="3"/>
    <x v="0"/>
    <s v="5219101"/>
    <n v="700014"/>
    <s v="Salaries-Management-Productive"/>
    <s v="Regional Nephrology Svcs Ad"/>
    <x v="0"/>
    <m/>
    <n v="10768.88"/>
    <n v="10551.14"/>
    <n v="9605.26"/>
    <n v="11483.04"/>
    <n v="11159.7"/>
    <n v="8704.9699999999993"/>
    <n v="11251.6"/>
    <n v="6035.33"/>
    <n v="10207.719999999999"/>
    <n v="11176.05"/>
    <n v="11548.97"/>
    <n v="8457.06"/>
    <n v="120949.72000000002"/>
    <n v="3091.91"/>
  </r>
  <r>
    <x v="5"/>
    <x v="3"/>
    <x v="0"/>
    <s v="5219101"/>
    <n v="700054"/>
    <s v="Salaries-Management-Non-productive"/>
    <s v="Regional Nephrology Svcs Ad"/>
    <x v="0"/>
    <m/>
    <n v="509.36"/>
    <n v="727.62"/>
    <n v="1309.82"/>
    <n v="0"/>
    <n v="0"/>
    <n v="2827.11"/>
    <n v="298.45"/>
    <n v="4395.91"/>
    <n v="1341.27"/>
    <n v="0"/>
    <n v="0"/>
    <n v="2719.51"/>
    <n v="14129.050000000001"/>
    <n v="-2719.51"/>
  </r>
  <r>
    <x v="5"/>
    <x v="3"/>
    <x v="0"/>
    <s v="5219101"/>
    <n v="700054"/>
    <s v="Salaries-Management-NonProd-Other"/>
    <s v="Regional Nephrology Svcs Ad"/>
    <x v="0"/>
    <n v="2000"/>
    <n v="0"/>
    <n v="0"/>
    <n v="0"/>
    <n v="0"/>
    <n v="-314.02"/>
    <n v="1861.05"/>
    <n v="-1861.05"/>
    <n v="314.02"/>
    <n v="0"/>
    <n v="0"/>
    <n v="0"/>
    <n v="0"/>
    <n v="0"/>
    <n v="0"/>
  </r>
  <r>
    <x v="5"/>
    <x v="3"/>
    <x v="0"/>
    <s v="5219101"/>
    <n v="700084"/>
    <s v="Accrued PTO"/>
    <s v="Regional Nephrology Svcs Ad"/>
    <x v="0"/>
    <m/>
    <n v="1028.27"/>
    <n v="676.18"/>
    <n v="9.5500000000000007"/>
    <n v="1133.6300000000001"/>
    <n v="130.19999999999999"/>
    <n v="-646.45000000000005"/>
    <n v="971.95"/>
    <n v="-1552.64"/>
    <n v="-511.03"/>
    <n v="1572.81"/>
    <n v="490.86"/>
    <n v="-646.45000000000005"/>
    <n v="2656.88"/>
    <n v="1137.31"/>
  </r>
  <r>
    <x v="6"/>
    <x v="3"/>
    <x v="0"/>
    <s v="5219101"/>
    <n v="713010"/>
    <s v="Benefits-FICA/Medicare"/>
    <s v="Regional Nephrology Svcs Ad"/>
    <x v="0"/>
    <m/>
    <n v="835.22"/>
    <n v="835.29"/>
    <n v="808.36"/>
    <n v="850.88"/>
    <n v="855.38"/>
    <n v="619.08000000000004"/>
    <n v="999.4"/>
    <n v="774.07"/>
    <n v="857.05"/>
    <n v="829.35"/>
    <n v="857.03"/>
    <n v="829.4"/>
    <n v="9950.51"/>
    <n v="27.629999999999995"/>
  </r>
  <r>
    <x v="6"/>
    <x v="3"/>
    <x v="0"/>
    <s v="5219101"/>
    <n v="713090"/>
    <s v="Benefits-Allocated Amounts"/>
    <s v="Regional Nephrology Svcs Ad"/>
    <x v="0"/>
    <m/>
    <n v="1755.67"/>
    <n v="1563.9"/>
    <n v="1646.68"/>
    <n v="1691.57"/>
    <n v="1617.88"/>
    <n v="1740.99"/>
    <n v="1779.51"/>
    <n v="1709.46"/>
    <n v="1107.98"/>
    <n v="1817.54"/>
    <n v="1815.89"/>
    <n v="1752.97"/>
    <n v="20000.04"/>
    <n v="62.920000000000073"/>
  </r>
  <r>
    <x v="11"/>
    <x v="3"/>
    <x v="0"/>
    <s v="5219101"/>
    <n v="721980"/>
    <s v="Supplies-Other"/>
    <s v="Regional Nephrology Svcs Ad"/>
    <x v="0"/>
    <m/>
    <n v="0"/>
    <n v="0"/>
    <n v="98.99"/>
    <n v="142.38"/>
    <n v="55.31"/>
    <n v="0"/>
    <n v="192.86"/>
    <n v="132.99"/>
    <n v="59.02"/>
    <n v="240.39"/>
    <n v="122.78"/>
    <n v="122.34"/>
    <n v="1167.06"/>
    <n v="0.43999999999999773"/>
  </r>
  <r>
    <x v="0"/>
    <x v="3"/>
    <x v="0"/>
    <s v="5219101"/>
    <n v="742010"/>
    <s v="Postage-Regular"/>
    <s v="Regional Nephrology Svcs Ad"/>
    <x v="0"/>
    <m/>
    <n v="0"/>
    <n v="0"/>
    <n v="10.92"/>
    <n v="0"/>
    <n v="0"/>
    <n v="0"/>
    <n v="0"/>
    <n v="0"/>
    <n v="0"/>
    <n v="0"/>
    <n v="0"/>
    <n v="0"/>
    <n v="10.92"/>
    <n v="0"/>
  </r>
  <r>
    <x v="0"/>
    <x v="3"/>
    <x v="0"/>
    <s v="5219101"/>
    <n v="749510"/>
    <s v="Miscellaneous Expenses"/>
    <s v="Regional Nephrology Svcs Ad"/>
    <x v="0"/>
    <m/>
    <n v="114.2"/>
    <n v="0"/>
    <n v="0"/>
    <n v="428.17"/>
    <n v="-99.46"/>
    <n v="0"/>
    <n v="132.99"/>
    <n v="22.51"/>
    <n v="-155.5"/>
    <n v="0"/>
    <n v="0"/>
    <n v="0"/>
    <n v="442.91000000000008"/>
    <n v="0"/>
  </r>
  <r>
    <x v="0"/>
    <x v="3"/>
    <x v="0"/>
    <s v="5219101"/>
    <n v="749510"/>
    <s v="Licenses"/>
    <s v="Regional Nephrology Svcs Ad"/>
    <x v="0"/>
    <n v="1002"/>
    <n v="0"/>
    <n v="0"/>
    <n v="0"/>
    <n v="24"/>
    <n v="0"/>
    <n v="0"/>
    <n v="0"/>
    <n v="0"/>
    <n v="0"/>
    <n v="0"/>
    <n v="0"/>
    <n v="0"/>
    <n v="24"/>
    <n v="0"/>
  </r>
  <r>
    <x v="0"/>
    <x v="3"/>
    <x v="0"/>
    <s v="5219101"/>
    <n v="749510"/>
    <s v="Special Events"/>
    <s v="Regional Nephrology Svcs Ad"/>
    <x v="0"/>
    <n v="4300"/>
    <n v="0"/>
    <n v="0"/>
    <n v="0"/>
    <n v="0"/>
    <n v="-2556.0100000000002"/>
    <n v="0"/>
    <n v="0"/>
    <n v="0"/>
    <n v="0"/>
    <n v="0"/>
    <n v="0"/>
    <n v="0"/>
    <n v="-2556.0100000000002"/>
    <n v="0"/>
  </r>
  <r>
    <x v="0"/>
    <x v="3"/>
    <x v="0"/>
    <s v="5219101"/>
    <n v="749530"/>
    <s v="Travel"/>
    <s v="Regional Nephrology Svcs Ad"/>
    <x v="0"/>
    <m/>
    <n v="0"/>
    <n v="0"/>
    <n v="5"/>
    <n v="0"/>
    <n v="0"/>
    <n v="0"/>
    <n v="0"/>
    <n v="0"/>
    <n v="6"/>
    <n v="0"/>
    <n v="0"/>
    <n v="0"/>
    <n v="11"/>
    <n v="0"/>
  </r>
  <r>
    <x v="0"/>
    <x v="3"/>
    <x v="0"/>
    <s v="5219101"/>
    <n v="749530"/>
    <s v="Mileage"/>
    <s v="Regional Nephrology Svcs Ad"/>
    <x v="0"/>
    <n v="1001"/>
    <n v="153.69"/>
    <n v="0"/>
    <n v="196.21"/>
    <n v="55.59"/>
    <n v="44.15"/>
    <n v="0"/>
    <n v="55.59"/>
    <n v="0"/>
    <n v="90.48"/>
    <n v="0"/>
    <n v="19.72"/>
    <n v="40.6"/>
    <n v="656.03000000000009"/>
    <n v="-20.880000000000003"/>
  </r>
  <r>
    <x v="18"/>
    <x v="3"/>
    <x v="0"/>
    <s v="5240101"/>
    <n v="400010"/>
    <s v="Acute I/P Svcs Rev--Medicare"/>
    <s v="Diabetes"/>
    <x v="0"/>
    <n v="1100"/>
    <n v="-3357.15"/>
    <n v="-2909.53"/>
    <n v="-3133.34"/>
    <n v="-5124.12"/>
    <n v="-3580.96"/>
    <n v="-3548.98"/>
    <n v="-3133.34"/>
    <n v="-2535.7199999999998"/>
    <n v="-4610.3999999999996"/>
    <n v="-2535.7199999999998"/>
    <n v="-2305.1999999999998"/>
    <n v="-3457.8"/>
    <n v="-40232.26"/>
    <n v="1152.6000000000004"/>
  </r>
  <r>
    <x v="18"/>
    <x v="3"/>
    <x v="0"/>
    <s v="5240101"/>
    <n v="400010"/>
    <s v="Acute I/P Svcs Rev--Medicaid"/>
    <s v="Diabetes"/>
    <x v="0"/>
    <n v="1200"/>
    <n v="-2920.19"/>
    <n v="-5371.44"/>
    <n v="-2909.53"/>
    <n v="-4052.09"/>
    <n v="-2685.72"/>
    <n v="-895.24"/>
    <n v="-4252.3900000000003"/>
    <n v="-2535.7199999999998"/>
    <n v="-3688.32"/>
    <n v="-2766.24"/>
    <n v="-3688.32"/>
    <n v="-3227.28"/>
    <n v="-38992.480000000003"/>
    <n v="-461.03999999999996"/>
  </r>
  <r>
    <x v="18"/>
    <x v="3"/>
    <x v="0"/>
    <s v="5240101"/>
    <n v="400010"/>
    <s v="Acute I/P Svcs Rev--Comm Insurance"/>
    <s v="Diabetes"/>
    <x v="0"/>
    <n v="1300"/>
    <n v="-671.43"/>
    <n v="0"/>
    <n v="-223.81"/>
    <n v="0"/>
    <n v="0"/>
    <n v="0"/>
    <n v="0"/>
    <n v="-1383.12"/>
    <n v="-230.52"/>
    <n v="-461.04"/>
    <n v="0"/>
    <n v="0"/>
    <n v="-2969.9199999999996"/>
    <n v="0"/>
  </r>
  <r>
    <x v="18"/>
    <x v="3"/>
    <x v="0"/>
    <s v="5240101"/>
    <n v="400010"/>
    <s v="Acute I/P Svcs Rev--BCBS Comm"/>
    <s v="Diabetes"/>
    <x v="0"/>
    <n v="1301"/>
    <n v="-1119.05"/>
    <n v="-223.81"/>
    <n v="-223.81"/>
    <n v="0"/>
    <n v="-447.62"/>
    <n v="-927.22"/>
    <n v="-223.81"/>
    <n v="-230.52"/>
    <n v="-691.56"/>
    <n v="-230.52"/>
    <n v="0"/>
    <n v="-461.04"/>
    <n v="-4778.96"/>
    <n v="461.04"/>
  </r>
  <r>
    <x v="18"/>
    <x v="3"/>
    <x v="0"/>
    <s v="5240101"/>
    <n v="400010"/>
    <s v="Acute I/P Svcs Rev--Managed Care"/>
    <s v="Diabetes"/>
    <x v="0"/>
    <n v="1400"/>
    <n v="-895.24"/>
    <n v="-2685.72"/>
    <n v="-2238.1"/>
    <n v="-2238.1"/>
    <n v="-447.62"/>
    <n v="-1790.48"/>
    <n v="-4476.2"/>
    <n v="-1844.16"/>
    <n v="-1844.16"/>
    <n v="-1613.64"/>
    <n v="-1613.64"/>
    <n v="-461.04"/>
    <n v="-22148.1"/>
    <n v="-1152.6000000000001"/>
  </r>
  <r>
    <x v="18"/>
    <x v="3"/>
    <x v="0"/>
    <s v="5240101"/>
    <n v="400010"/>
    <s v="Acute I/P Svcs Rev--Self Pay"/>
    <s v="Diabetes"/>
    <x v="0"/>
    <n v="1500"/>
    <n v="-660.77"/>
    <n v="-660.77"/>
    <n v="-895.24"/>
    <n v="-223.81"/>
    <n v="0"/>
    <n v="-447.62"/>
    <n v="-447.62"/>
    <n v="213.15"/>
    <n v="-443.67"/>
    <n v="0"/>
    <n v="0"/>
    <n v="0"/>
    <n v="-3566.3499999999995"/>
    <n v="0"/>
  </r>
  <r>
    <x v="18"/>
    <x v="3"/>
    <x v="0"/>
    <s v="5240101"/>
    <n v="400010"/>
    <s v="Acute I/P Svcs Rev--Other"/>
    <s v="Diabetes"/>
    <x v="0"/>
    <n v="1700"/>
    <n v="0"/>
    <n v="-234.47"/>
    <n v="-223.81"/>
    <n v="0"/>
    <n v="0"/>
    <n v="-447.62"/>
    <n v="-447.62"/>
    <n v="-213.15"/>
    <n v="-478.41"/>
    <n v="-230.52"/>
    <n v="0"/>
    <n v="-1613.64"/>
    <n v="-3889.2400000000007"/>
    <n v="1613.64"/>
  </r>
  <r>
    <x v="19"/>
    <x v="3"/>
    <x v="0"/>
    <s v="5240101"/>
    <n v="400020"/>
    <s v="O/P Care Svcs Rev--Medicare"/>
    <s v="Diabetes"/>
    <x v="0"/>
    <n v="1100"/>
    <n v="0"/>
    <n v="0"/>
    <n v="0"/>
    <n v="0"/>
    <n v="0"/>
    <n v="-223.81"/>
    <n v="-447.62"/>
    <n v="0"/>
    <n v="0"/>
    <n v="0"/>
    <n v="-461.04"/>
    <n v="0"/>
    <n v="-1132.47"/>
    <n v="-461.04"/>
  </r>
  <r>
    <x v="19"/>
    <x v="3"/>
    <x v="0"/>
    <s v="5240101"/>
    <n v="400020"/>
    <s v="O/P Care Svcs Rev--Medicaid"/>
    <s v="Diabetes"/>
    <x v="0"/>
    <n v="1200"/>
    <n v="-447.62"/>
    <n v="0"/>
    <n v="0"/>
    <n v="0"/>
    <n v="0"/>
    <n v="0"/>
    <n v="0"/>
    <n v="0"/>
    <n v="0"/>
    <n v="-230.52"/>
    <n v="-230.52"/>
    <n v="-230.52"/>
    <n v="-1139.18"/>
    <n v="0"/>
  </r>
  <r>
    <x v="19"/>
    <x v="3"/>
    <x v="0"/>
    <s v="5240101"/>
    <n v="400020"/>
    <s v="O/P Care Svcs Rev--BCBS Comm"/>
    <s v="Diabetes"/>
    <x v="0"/>
    <n v="1301"/>
    <n v="0"/>
    <n v="0"/>
    <n v="0"/>
    <n v="0"/>
    <n v="0"/>
    <n v="0"/>
    <n v="0"/>
    <n v="0"/>
    <n v="-461.04"/>
    <n v="0"/>
    <n v="0"/>
    <n v="0"/>
    <n v="-461.04"/>
    <n v="0"/>
  </r>
  <r>
    <x v="19"/>
    <x v="3"/>
    <x v="0"/>
    <s v="5240101"/>
    <n v="400020"/>
    <s v="O/P Care Svcs Rev--Managed Care"/>
    <s v="Diabetes"/>
    <x v="0"/>
    <n v="1400"/>
    <n v="0"/>
    <n v="-671.43"/>
    <n v="0"/>
    <n v="0"/>
    <n v="0"/>
    <n v="-223.81"/>
    <n v="0"/>
    <n v="0"/>
    <n v="0"/>
    <n v="-461.04"/>
    <n v="0"/>
    <n v="-230.52"/>
    <n v="-1586.8"/>
    <n v="230.52"/>
  </r>
  <r>
    <x v="5"/>
    <x v="3"/>
    <x v="0"/>
    <s v="5240101"/>
    <n v="700022"/>
    <s v="Salaries-Physician-Productive"/>
    <s v="Diabetes"/>
    <x v="0"/>
    <m/>
    <n v="1120"/>
    <n v="0"/>
    <n v="0"/>
    <n v="0"/>
    <n v="280"/>
    <n v="1260"/>
    <n v="560"/>
    <n v="0"/>
    <n v="560"/>
    <n v="-3780"/>
    <n v="0"/>
    <n v="0"/>
    <n v="0"/>
    <n v="0"/>
  </r>
  <r>
    <x v="5"/>
    <x v="3"/>
    <x v="0"/>
    <s v="5240101"/>
    <n v="700032"/>
    <s v="Salaries-Other Pat Care Providers-Productive"/>
    <s v="Diabetes"/>
    <x v="0"/>
    <m/>
    <n v="6695.23"/>
    <n v="8072.76"/>
    <n v="6926.96"/>
    <n v="7941.84"/>
    <n v="7785.49"/>
    <n v="6709.56"/>
    <n v="7309.85"/>
    <n v="5934.26"/>
    <n v="8838.93"/>
    <n v="8054.52"/>
    <n v="8079.38"/>
    <n v="6631.56"/>
    <n v="88980.340000000011"/>
    <n v="1447.8199999999997"/>
  </r>
  <r>
    <x v="5"/>
    <x v="3"/>
    <x v="0"/>
    <s v="5240101"/>
    <n v="700072"/>
    <s v="Salaries-Other Pat Care Providers-Non-productive"/>
    <s v="Diabetes"/>
    <x v="0"/>
    <m/>
    <n v="1800.2"/>
    <n v="423.07"/>
    <n v="1294.92"/>
    <n v="725.42"/>
    <n v="236.13"/>
    <n v="1998.84"/>
    <n v="1412.14"/>
    <n v="1942.88"/>
    <n v="-117.75"/>
    <n v="385.05"/>
    <n v="247.93"/>
    <n v="1808.4"/>
    <n v="12157.23"/>
    <n v="-1560.47"/>
  </r>
  <r>
    <x v="5"/>
    <x v="3"/>
    <x v="0"/>
    <s v="5240101"/>
    <n v="700084"/>
    <s v="Accrued PTO"/>
    <s v="Diabetes"/>
    <x v="0"/>
    <m/>
    <n v="-741.46"/>
    <n v="661.37"/>
    <n v="-10.08"/>
    <n v="585.9"/>
    <n v="733.96"/>
    <n v="-427.2"/>
    <n v="-403.6"/>
    <n v="-477.35"/>
    <n v="763.95"/>
    <n v="727.08"/>
    <n v="824.9"/>
    <n v="-341.17"/>
    <n v="1896.3000000000002"/>
    <n v="1166.07"/>
  </r>
  <r>
    <x v="6"/>
    <x v="3"/>
    <x v="0"/>
    <s v="5240101"/>
    <n v="713010"/>
    <s v="Benefits-FICA/Medicare"/>
    <s v="Diabetes"/>
    <x v="0"/>
    <m/>
    <n v="648.15"/>
    <n v="648.17999999999995"/>
    <n v="627.28"/>
    <n v="661.3"/>
    <n v="612.05999999999995"/>
    <n v="664.37"/>
    <n v="703.53"/>
    <n v="600.02"/>
    <n v="664.34"/>
    <n v="642.94000000000005"/>
    <n v="634.29"/>
    <n v="642.91"/>
    <n v="7749.37"/>
    <n v="-8.6200000000000045"/>
  </r>
  <r>
    <x v="6"/>
    <x v="3"/>
    <x v="0"/>
    <s v="5240101"/>
    <n v="713090"/>
    <s v="Benefits-Allocated Amounts"/>
    <s v="Diabetes"/>
    <x v="0"/>
    <m/>
    <n v="1424.83"/>
    <n v="1328.34"/>
    <n v="1345"/>
    <n v="1317.13"/>
    <n v="1223.3"/>
    <n v="1449.02"/>
    <n v="1515.59"/>
    <n v="1417.99"/>
    <n v="1684.18"/>
    <n v="1322.33"/>
    <n v="1390.71"/>
    <n v="1535.96"/>
    <n v="16954.38"/>
    <n v="-145.25"/>
  </r>
  <r>
    <x v="17"/>
    <x v="3"/>
    <x v="0"/>
    <s v="5240101"/>
    <n v="714510"/>
    <s v="Medical Director Fees"/>
    <s v="Diabetes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5240101"/>
    <n v="721240"/>
    <s v="Supplies-IV Solutions/Supplies - Billable"/>
    <s v="Diabetes"/>
    <x v="0"/>
    <m/>
    <n v="0"/>
    <n v="2.2200000000000002"/>
    <n v="0"/>
    <n v="33.75"/>
    <n v="0"/>
    <n v="0"/>
    <n v="18.75"/>
    <n v="0"/>
    <n v="0"/>
    <n v="0"/>
    <n v="0"/>
    <n v="0"/>
    <n v="54.72"/>
    <n v="0"/>
  </r>
  <r>
    <x v="11"/>
    <x v="3"/>
    <x v="0"/>
    <s v="5240101"/>
    <n v="722000"/>
    <s v="Supplies-Freight Expense"/>
    <s v="Diabetes"/>
    <x v="0"/>
    <m/>
    <n v="0"/>
    <n v="11.29"/>
    <n v="0"/>
    <n v="0"/>
    <n v="0"/>
    <n v="0"/>
    <n v="0"/>
    <n v="0"/>
    <n v="0"/>
    <n v="0"/>
    <n v="0"/>
    <n v="0"/>
    <n v="11.29"/>
    <n v="0"/>
  </r>
  <r>
    <x v="12"/>
    <x v="3"/>
    <x v="0"/>
    <s v="5240101"/>
    <n v="730020"/>
    <s v="Rental and Leases-Copier Usage Fees (DO NOT USE)"/>
    <s v="Diabetes"/>
    <x v="0"/>
    <n v="5100"/>
    <n v="69.13"/>
    <n v="-898.74"/>
    <n v="0"/>
    <n v="0"/>
    <n v="0"/>
    <n v="0"/>
    <n v="204.61"/>
    <n v="11.21"/>
    <n v="11.19"/>
    <n v="-10.46"/>
    <n v="0"/>
    <n v="0"/>
    <n v="-613.05999999999995"/>
    <n v="0"/>
  </r>
  <r>
    <x v="15"/>
    <x v="3"/>
    <x v="0"/>
    <s v="5240101"/>
    <n v="731060"/>
    <s v="Pagers"/>
    <s v="Diabetes"/>
    <x v="0"/>
    <n v="1002"/>
    <n v="4.5"/>
    <n v="4.5"/>
    <n v="4.5"/>
    <n v="4.5"/>
    <n v="4.5"/>
    <n v="0"/>
    <n v="9"/>
    <n v="4.5"/>
    <n v="4.5"/>
    <n v="4.5"/>
    <n v="4.5"/>
    <n v="4.5"/>
    <n v="54"/>
    <n v="0"/>
  </r>
  <r>
    <x v="13"/>
    <x v="3"/>
    <x v="0"/>
    <s v="5240101"/>
    <n v="735070"/>
    <s v="Depreciation-Movable Equipment"/>
    <s v="Diabetes"/>
    <x v="0"/>
    <m/>
    <n v="2.85"/>
    <n v="2.85"/>
    <n v="2.85"/>
    <n v="2.85"/>
    <n v="2.85"/>
    <n v="2.85"/>
    <n v="2.85"/>
    <n v="2.84"/>
    <n v="2.85"/>
    <n v="2.84"/>
    <n v="2.85"/>
    <n v="2.84"/>
    <n v="34.17"/>
    <n v="1.0000000000000231E-2"/>
  </r>
  <r>
    <x v="12"/>
    <x v="5"/>
    <x v="0"/>
    <s v="5240106"/>
    <n v="730020"/>
    <s v="Rental and Leases-Copier Usage Fees (DO NOT USE)"/>
    <s v="Diabetes Ed"/>
    <x v="0"/>
    <n v="5100"/>
    <n v="1.23"/>
    <n v="-9.01"/>
    <n v="0"/>
    <n v="0"/>
    <n v="0"/>
    <n v="0"/>
    <n v="0"/>
    <n v="0"/>
    <n v="0"/>
    <n v="0"/>
    <n v="0"/>
    <n v="0"/>
    <n v="-7.7799999999999994"/>
    <n v="0"/>
  </r>
  <r>
    <x v="0"/>
    <x v="5"/>
    <x v="0"/>
    <s v="5240106"/>
    <n v="749530"/>
    <s v="Mileage"/>
    <s v="Diabetes Ed"/>
    <x v="0"/>
    <n v="1001"/>
    <n v="0"/>
    <n v="0"/>
    <n v="0"/>
    <n v="0"/>
    <n v="0"/>
    <n v="0"/>
    <n v="0"/>
    <n v="0"/>
    <n v="0"/>
    <n v="0"/>
    <n v="0"/>
    <n v="17.98"/>
    <n v="17.98"/>
    <n v="-17.98"/>
  </r>
  <r>
    <x v="19"/>
    <x v="6"/>
    <x v="0"/>
    <s v="5240107"/>
    <n v="400020"/>
    <s v="O/P Care Svcs Rev--Medicare"/>
    <s v="Diabetes &amp; Nutrition Center"/>
    <x v="0"/>
    <n v="1100"/>
    <n v="-40772.49"/>
    <n v="-10648.26"/>
    <n v="-481.76"/>
    <n v="-376.82"/>
    <n v="-357"/>
    <n v="0"/>
    <n v="0"/>
    <n v="-1917.47"/>
    <n v="-47.25"/>
    <n v="0"/>
    <n v="0"/>
    <n v="0"/>
    <n v="-54601.05"/>
    <n v="0"/>
  </r>
  <r>
    <x v="19"/>
    <x v="6"/>
    <x v="0"/>
    <s v="5240107"/>
    <n v="400020"/>
    <s v="O/P Care Svcs Rev--Medicaid"/>
    <s v="Diabetes &amp; Nutrition Center"/>
    <x v="0"/>
    <n v="1200"/>
    <n v="-11174.33"/>
    <n v="-4057.98"/>
    <n v="49.61"/>
    <n v="0"/>
    <n v="357"/>
    <n v="0"/>
    <n v="0"/>
    <n v="1917.47"/>
    <n v="0"/>
    <n v="0"/>
    <n v="0"/>
    <n v="0"/>
    <n v="-12908.23"/>
    <n v="0"/>
  </r>
  <r>
    <x v="19"/>
    <x v="6"/>
    <x v="0"/>
    <s v="5240107"/>
    <n v="400020"/>
    <s v="O/P Care Svcs Rev--Comm Insurance"/>
    <s v="Diabetes &amp; Nutrition Center"/>
    <x v="0"/>
    <n v="1300"/>
    <n v="-281.13"/>
    <n v="-374.84"/>
    <n v="0"/>
    <n v="0"/>
    <n v="0"/>
    <n v="0"/>
    <n v="0"/>
    <n v="-357"/>
    <n v="0"/>
    <n v="0"/>
    <n v="0"/>
    <n v="0"/>
    <n v="-1012.97"/>
    <n v="0"/>
  </r>
  <r>
    <x v="19"/>
    <x v="6"/>
    <x v="0"/>
    <s v="5240107"/>
    <n v="400020"/>
    <s v="O/P Care Svcs Rev--BCBS Comm"/>
    <s v="Diabetes &amp; Nutrition Center"/>
    <x v="0"/>
    <n v="1301"/>
    <n v="-7683.01"/>
    <n v="-3081.39"/>
    <n v="662.24"/>
    <n v="555.32000000000005"/>
    <n v="0"/>
    <n v="0"/>
    <n v="0"/>
    <n v="0"/>
    <n v="47.25"/>
    <n v="0"/>
    <n v="0"/>
    <n v="0"/>
    <n v="-9499.59"/>
    <n v="0"/>
  </r>
  <r>
    <x v="19"/>
    <x v="6"/>
    <x v="0"/>
    <s v="5240107"/>
    <n v="400020"/>
    <s v="O/P Care Svcs Rev--Managed Care"/>
    <s v="Diabetes &amp; Nutrition Center"/>
    <x v="0"/>
    <n v="1400"/>
    <n v="-16886.72"/>
    <n v="-6983.06"/>
    <n v="0"/>
    <n v="-178.5"/>
    <n v="0"/>
    <n v="0"/>
    <n v="0"/>
    <n v="357"/>
    <n v="0"/>
    <n v="0"/>
    <n v="0"/>
    <n v="0"/>
    <n v="-23691.280000000002"/>
    <n v="0"/>
  </r>
  <r>
    <x v="19"/>
    <x v="6"/>
    <x v="0"/>
    <s v="5240107"/>
    <n v="400020"/>
    <s v="O/P Care Svcs Rev--Self Pay"/>
    <s v="Diabetes &amp; Nutrition Center"/>
    <x v="0"/>
    <n v="1500"/>
    <n v="-562.26"/>
    <n v="0"/>
    <n v="0"/>
    <n v="0"/>
    <n v="0"/>
    <n v="0"/>
    <n v="0"/>
    <n v="0"/>
    <n v="0"/>
    <n v="0"/>
    <n v="0"/>
    <n v="0"/>
    <n v="-562.26"/>
    <n v="0"/>
  </r>
  <r>
    <x v="19"/>
    <x v="6"/>
    <x v="0"/>
    <s v="5240107"/>
    <n v="400020"/>
    <s v="O/P Care Svcs Rev--Other"/>
    <s v="Diabetes &amp; Nutrition Center"/>
    <x v="0"/>
    <n v="1700"/>
    <n v="-1552.93"/>
    <n v="-351.12"/>
    <n v="0"/>
    <n v="0"/>
    <n v="0"/>
    <n v="0"/>
    <n v="0"/>
    <n v="0"/>
    <n v="0"/>
    <n v="0"/>
    <n v="0"/>
    <n v="0"/>
    <n v="-1904.0500000000002"/>
    <n v="0"/>
  </r>
  <r>
    <x v="14"/>
    <x v="6"/>
    <x v="0"/>
    <s v="5240107"/>
    <n v="600050"/>
    <s v="Miscellaneous Revenue"/>
    <s v="Diabetes &amp; Nutrition Center"/>
    <x v="0"/>
    <m/>
    <n v="-2130"/>
    <n v="-1765"/>
    <n v="-1500"/>
    <n v="-280"/>
    <n v="-60"/>
    <n v="-730"/>
    <n v="-300"/>
    <n v="0"/>
    <n v="0"/>
    <n v="0"/>
    <n v="0"/>
    <n v="0"/>
    <n v="-6765"/>
    <n v="0"/>
  </r>
  <r>
    <x v="5"/>
    <x v="6"/>
    <x v="0"/>
    <s v="5240107"/>
    <n v="700014"/>
    <s v="Salaries-Management-Productive"/>
    <s v="Diabetes &amp; Nutrition Center"/>
    <x v="0"/>
    <m/>
    <n v="2280.1799999999998"/>
    <n v="2280.2800000000002"/>
    <n v="1691.86"/>
    <n v="2367.79"/>
    <n v="2311.65"/>
    <n v="1772.36"/>
    <n v="1883.06"/>
    <n v="1728.61"/>
    <n v="-12895.47"/>
    <n v="0"/>
    <n v="0"/>
    <n v="0"/>
    <n v="3420.3200000000015"/>
    <n v="0"/>
  </r>
  <r>
    <x v="5"/>
    <x v="6"/>
    <x v="0"/>
    <s v="5240107"/>
    <n v="700032"/>
    <s v="Salaries-Other Pat Care Providers-Productive"/>
    <s v="Diabetes &amp; Nutrition Center"/>
    <x v="0"/>
    <m/>
    <n v="17895.29"/>
    <n v="23215.72"/>
    <n v="20434.46"/>
    <n v="18205.09"/>
    <n v="26099.88"/>
    <n v="9567.6200000000008"/>
    <n v="0"/>
    <n v="0"/>
    <n v="-85914.91"/>
    <n v="0"/>
    <n v="0"/>
    <n v="0"/>
    <n v="29503.149999999994"/>
    <n v="0"/>
  </r>
  <r>
    <x v="5"/>
    <x v="6"/>
    <x v="0"/>
    <s v="5240107"/>
    <n v="700032"/>
    <s v="Salaries-Other Pat Care Providers-OT"/>
    <s v="Diabetes &amp; Nutrition Center"/>
    <x v="0"/>
    <n v="1000"/>
    <n v="126.79"/>
    <n v="267.16000000000003"/>
    <n v="136.08000000000001"/>
    <n v="59.94"/>
    <n v="842.07"/>
    <n v="10.54"/>
    <n v="0"/>
    <n v="0"/>
    <n v="-1182.21"/>
    <n v="0"/>
    <n v="0"/>
    <n v="0"/>
    <n v="260.36999999999989"/>
    <n v="0"/>
  </r>
  <r>
    <x v="5"/>
    <x v="6"/>
    <x v="0"/>
    <s v="5240107"/>
    <n v="700032"/>
    <s v="Salaries-Other Pat Care Providers-Other"/>
    <s v="Diabetes &amp; Nutrition Cente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5240107"/>
    <n v="700054"/>
    <s v="Salaries-Management-Non-productive"/>
    <s v="Diabetes &amp; Nutrition Center"/>
    <x v="0"/>
    <m/>
    <n v="411.92"/>
    <n v="0"/>
    <n v="823.84"/>
    <n v="0"/>
    <n v="0"/>
    <n v="1972.56"/>
    <n v="339.99"/>
    <n v="432.16"/>
    <n v="-3568.55"/>
    <n v="0"/>
    <n v="0"/>
    <n v="0"/>
    <n v="411.91999999999916"/>
    <n v="0"/>
  </r>
  <r>
    <x v="5"/>
    <x v="6"/>
    <x v="0"/>
    <s v="5240107"/>
    <n v="700072"/>
    <s v="Salaries-Other Pat Care Providers-Non-productive"/>
    <s v="Diabetes &amp; Nutrition Center"/>
    <x v="0"/>
    <m/>
    <n v="6606.03"/>
    <n v="1165.8900000000001"/>
    <n v="3283.88"/>
    <n v="6940.46"/>
    <n v="-1842.06"/>
    <n v="2696.37"/>
    <n v="0"/>
    <n v="0"/>
    <n v="-11661.6"/>
    <n v="0"/>
    <n v="0"/>
    <n v="0"/>
    <n v="7188.9699999999993"/>
    <n v="0"/>
  </r>
  <r>
    <x v="5"/>
    <x v="6"/>
    <x v="0"/>
    <s v="5240107"/>
    <n v="700084"/>
    <s v="Accrued PTO"/>
    <s v="Diabetes &amp; Nutrition Center"/>
    <x v="0"/>
    <m/>
    <n v="-1757.12"/>
    <n v="2220.92"/>
    <n v="252.63"/>
    <n v="742.76"/>
    <n v="4268.2299999999996"/>
    <n v="-1129.51"/>
    <n v="718.48"/>
    <n v="486.54"/>
    <n v="-6449.59"/>
    <n v="0"/>
    <n v="0"/>
    <n v="0"/>
    <n v="-646.66000000000076"/>
    <n v="0"/>
  </r>
  <r>
    <x v="6"/>
    <x v="6"/>
    <x v="0"/>
    <s v="5240107"/>
    <n v="713010"/>
    <s v="Benefits-FICA/Medicare"/>
    <s v="Diabetes &amp; Nutrition Center"/>
    <x v="0"/>
    <m/>
    <n v="2037.14"/>
    <n v="2008.17"/>
    <n v="1951.59"/>
    <n v="2049.7600000000002"/>
    <n v="2066.09"/>
    <n v="1183.95"/>
    <n v="164.81"/>
    <n v="160.35"/>
    <n v="-8580.64"/>
    <n v="0"/>
    <n v="0"/>
    <n v="0"/>
    <n v="3041.2200000000012"/>
    <n v="0"/>
  </r>
  <r>
    <x v="6"/>
    <x v="6"/>
    <x v="0"/>
    <s v="5240107"/>
    <n v="713090"/>
    <s v="Benefits-Allocated Amounts"/>
    <s v="Diabetes &amp; Nutrition Center"/>
    <x v="0"/>
    <m/>
    <n v="4938.18"/>
    <n v="4452.5600000000004"/>
    <n v="4786.83"/>
    <n v="4842.41"/>
    <n v="5514.52"/>
    <n v="2872.72"/>
    <n v="336.71"/>
    <n v="615.96"/>
    <n v="-20983.69"/>
    <n v="137.93"/>
    <n v="26.16"/>
    <n v="159.09"/>
    <n v="7699.3800000000047"/>
    <n v="-132.93"/>
  </r>
  <r>
    <x v="7"/>
    <x v="6"/>
    <x v="0"/>
    <s v="5240107"/>
    <n v="718050"/>
    <s v="Miscellaneous Purchased Svcs"/>
    <s v="Diabetes &amp; Nutrition Center"/>
    <x v="0"/>
    <n v="1020"/>
    <n v="45.24"/>
    <n v="0"/>
    <n v="0"/>
    <n v="-45.24"/>
    <n v="0"/>
    <n v="0"/>
    <n v="0"/>
    <n v="0"/>
    <n v="0"/>
    <n v="0"/>
    <n v="0"/>
    <n v="0"/>
    <n v="0"/>
    <n v="0"/>
  </r>
  <r>
    <x v="11"/>
    <x v="6"/>
    <x v="0"/>
    <s v="5240107"/>
    <n v="721010"/>
    <s v="Supplies-Medical - Billable"/>
    <s v="Diabetes &amp; Nutrition Center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5240107"/>
    <n v="721410"/>
    <s v="Supplies-Medical - Nonbillable"/>
    <s v="Diabetes &amp; Nutrition Center"/>
    <x v="0"/>
    <m/>
    <n v="0"/>
    <n v="35.01"/>
    <n v="0"/>
    <n v="-35.01"/>
    <n v="0"/>
    <n v="0"/>
    <n v="0"/>
    <n v="0"/>
    <n v="0"/>
    <n v="0"/>
    <n v="0"/>
    <n v="0"/>
    <n v="0"/>
    <n v="0"/>
  </r>
  <r>
    <x v="11"/>
    <x v="6"/>
    <x v="0"/>
    <s v="5240107"/>
    <n v="721710"/>
    <s v="Supplies-Laboratory - Nonbillable"/>
    <s v="Diabetes &amp; Nutrition Center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5240107"/>
    <n v="721810"/>
    <s v="Supplies-Dietary/Cafeteria"/>
    <s v="Diabetes &amp; Nutrition Center"/>
    <x v="0"/>
    <m/>
    <n v="89.61"/>
    <n v="43.76"/>
    <n v="0"/>
    <n v="-133.37"/>
    <n v="0"/>
    <n v="0"/>
    <n v="0"/>
    <n v="0"/>
    <n v="0"/>
    <n v="0"/>
    <n v="0"/>
    <n v="0"/>
    <n v="0"/>
    <n v="0"/>
  </r>
  <r>
    <x v="11"/>
    <x v="6"/>
    <x v="0"/>
    <s v="5240107"/>
    <n v="721830"/>
    <s v="Supplies-Office"/>
    <s v="Diabetes &amp; Nutrition Center"/>
    <x v="0"/>
    <m/>
    <n v="105.35"/>
    <n v="318.36"/>
    <n v="393.77"/>
    <n v="-817.48"/>
    <n v="0"/>
    <n v="0"/>
    <n v="0"/>
    <n v="0"/>
    <n v="0"/>
    <n v="0"/>
    <n v="0"/>
    <n v="0"/>
    <n v="0"/>
    <n v="0"/>
  </r>
  <r>
    <x v="11"/>
    <x v="6"/>
    <x v="0"/>
    <s v="5240107"/>
    <n v="721870"/>
    <s v="Supplies-Environmental Services"/>
    <s v="Diabetes &amp; Nutrition Center"/>
    <x v="0"/>
    <m/>
    <n v="0"/>
    <n v="19.7"/>
    <n v="0"/>
    <n v="-19.7"/>
    <n v="0"/>
    <n v="0"/>
    <n v="0"/>
    <n v="0"/>
    <n v="0"/>
    <n v="0"/>
    <n v="0"/>
    <n v="0"/>
    <n v="0"/>
    <n v="0"/>
  </r>
  <r>
    <x v="11"/>
    <x v="6"/>
    <x v="0"/>
    <s v="5240107"/>
    <n v="721910"/>
    <s v="Supplies-Small Equipment"/>
    <s v="Diabetes &amp; Nutrition Center"/>
    <x v="0"/>
    <m/>
    <n v="0"/>
    <n v="559.16999999999996"/>
    <n v="0"/>
    <n v="-559.16999999999996"/>
    <n v="0"/>
    <n v="0"/>
    <n v="0"/>
    <n v="0"/>
    <n v="0"/>
    <n v="0"/>
    <n v="0"/>
    <n v="0"/>
    <n v="0"/>
    <n v="0"/>
  </r>
  <r>
    <x v="11"/>
    <x v="6"/>
    <x v="0"/>
    <s v="5240107"/>
    <n v="721980"/>
    <s v="Supplies-Other"/>
    <s v="Diabetes &amp; Nutrition Center"/>
    <x v="0"/>
    <m/>
    <n v="50.12"/>
    <n v="0"/>
    <n v="0"/>
    <n v="-50.12"/>
    <n v="0"/>
    <n v="0"/>
    <n v="0"/>
    <n v="0"/>
    <n v="0"/>
    <n v="0"/>
    <n v="0"/>
    <n v="0"/>
    <n v="0"/>
    <n v="0"/>
  </r>
  <r>
    <x v="11"/>
    <x v="6"/>
    <x v="0"/>
    <s v="5240107"/>
    <n v="722000"/>
    <s v="Supplies-Freight Expense"/>
    <s v="Diabetes &amp; Nutrition Center"/>
    <x v="0"/>
    <m/>
    <n v="0"/>
    <n v="0"/>
    <n v="0"/>
    <n v="0"/>
    <n v="0"/>
    <n v="0"/>
    <n v="0"/>
    <n v="0"/>
    <n v="0"/>
    <n v="0"/>
    <n v="0"/>
    <n v="0"/>
    <n v="0"/>
    <n v="0"/>
  </r>
  <r>
    <x v="12"/>
    <x v="6"/>
    <x v="0"/>
    <s v="5240107"/>
    <n v="730020"/>
    <s v="Rental and Leases-Equipment (DO NOT USE)"/>
    <s v="Diabetes &amp; Nutrition Center"/>
    <x v="0"/>
    <m/>
    <n v="0"/>
    <n v="84.34"/>
    <n v="42.01"/>
    <n v="-126.35"/>
    <n v="0"/>
    <n v="0"/>
    <n v="0"/>
    <n v="0"/>
    <n v="0"/>
    <n v="0"/>
    <n v="0"/>
    <n v="0"/>
    <n v="0"/>
    <n v="0"/>
  </r>
  <r>
    <x v="12"/>
    <x v="6"/>
    <x v="0"/>
    <s v="5240107"/>
    <n v="730020"/>
    <s v="Rental and Leases-Copier Usage Fees (DO NOT USE)"/>
    <s v="Diabetes &amp; Nutrition Center"/>
    <x v="0"/>
    <n v="5100"/>
    <n v="880.22"/>
    <n v="895.31"/>
    <n v="887.76"/>
    <n v="-2663.29"/>
    <n v="942.75"/>
    <n v="-942.75"/>
    <n v="0"/>
    <n v="0"/>
    <n v="0"/>
    <n v="0"/>
    <n v="0"/>
    <n v="0"/>
    <n v="0"/>
    <n v="0"/>
  </r>
  <r>
    <x v="0"/>
    <x v="6"/>
    <x v="0"/>
    <s v="5240107"/>
    <n v="743020"/>
    <s v="Dues--Individual"/>
    <s v="Diabetes &amp; Nutrition Center"/>
    <x v="0"/>
    <m/>
    <n v="165"/>
    <n v="0"/>
    <n v="0"/>
    <n v="-165"/>
    <n v="0"/>
    <n v="0"/>
    <n v="0"/>
    <n v="0"/>
    <n v="0"/>
    <n v="0"/>
    <n v="0"/>
    <n v="0"/>
    <n v="0"/>
    <n v="0"/>
  </r>
  <r>
    <x v="0"/>
    <x v="6"/>
    <x v="0"/>
    <s v="5240107"/>
    <n v="743030"/>
    <s v="Subscriptions--Institutional"/>
    <s v="Diabetes &amp; Nutrition Center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5240107"/>
    <n v="749510"/>
    <s v="Miscellaneous Expenses"/>
    <s v="Diabetes &amp; Nutrition Center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5240107"/>
    <n v="749510"/>
    <s v="Licenses"/>
    <s v="Diabetes &amp; Nutrition Center"/>
    <x v="0"/>
    <n v="1002"/>
    <n v="60"/>
    <n v="0"/>
    <n v="0"/>
    <n v="-60"/>
    <n v="0"/>
    <n v="0"/>
    <n v="0"/>
    <n v="0"/>
    <n v="0"/>
    <n v="0"/>
    <n v="0"/>
    <n v="0"/>
    <n v="0"/>
    <n v="0"/>
  </r>
  <r>
    <x v="0"/>
    <x v="6"/>
    <x v="0"/>
    <s v="5240107"/>
    <n v="749535"/>
    <s v="Meetings"/>
    <s v="Diabetes &amp; Nutrition Center"/>
    <x v="0"/>
    <m/>
    <n v="0"/>
    <n v="0"/>
    <n v="0"/>
    <n v="0"/>
    <n v="0"/>
    <n v="0"/>
    <n v="0"/>
    <n v="0"/>
    <n v="0"/>
    <n v="0"/>
    <n v="0"/>
    <n v="0"/>
    <n v="0"/>
    <n v="0"/>
  </r>
  <r>
    <x v="14"/>
    <x v="1"/>
    <x v="0"/>
    <s v="5240200"/>
    <n v="600050"/>
    <s v="Miscellaneous Revenue"/>
    <s v="Diabetes Ed-Shared Svc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240200"/>
    <n v="700022"/>
    <s v="Salaries-Physician-Productive"/>
    <s v="Diabetes Ed-Shared Svc"/>
    <x v="0"/>
    <m/>
    <n v="0"/>
    <n v="0"/>
    <n v="1050"/>
    <n v="70"/>
    <n v="0"/>
    <n v="0"/>
    <n v="0"/>
    <n v="0"/>
    <n v="0"/>
    <n v="0"/>
    <n v="0"/>
    <n v="0"/>
    <n v="1120"/>
    <n v="0"/>
  </r>
  <r>
    <x v="5"/>
    <x v="1"/>
    <x v="0"/>
    <s v="5240200"/>
    <n v="700054"/>
    <s v="Salaries-Management-NonProd-Other"/>
    <s v="Diabetes Ed-Shared Svc"/>
    <x v="0"/>
    <n v="2000"/>
    <n v="0"/>
    <n v="0"/>
    <n v="0"/>
    <n v="0"/>
    <n v="0"/>
    <n v="16.43"/>
    <n v="-16.43"/>
    <n v="0"/>
    <n v="0"/>
    <n v="0"/>
    <n v="0"/>
    <n v="0"/>
    <n v="0"/>
    <n v="0"/>
  </r>
  <r>
    <x v="6"/>
    <x v="1"/>
    <x v="0"/>
    <s v="5240200"/>
    <n v="713010"/>
    <s v="Benefits-FICA/Medicare"/>
    <s v="Diabetes Ed-Shared Svc"/>
    <x v="0"/>
    <m/>
    <n v="0"/>
    <n v="0"/>
    <n v="80.319999999999993"/>
    <n v="5.36"/>
    <n v="0"/>
    <n v="1.26"/>
    <n v="1.26"/>
    <n v="0"/>
    <n v="0"/>
    <n v="0"/>
    <n v="0"/>
    <n v="0"/>
    <n v="88.2"/>
    <n v="0"/>
  </r>
  <r>
    <x v="6"/>
    <x v="1"/>
    <x v="0"/>
    <s v="5240200"/>
    <n v="713090"/>
    <s v="Benefits-Allocated Amounts"/>
    <s v="Diabetes Ed-Shared Svc"/>
    <x v="0"/>
    <m/>
    <n v="0"/>
    <n v="0"/>
    <n v="27.92"/>
    <n v="95.82"/>
    <n v="-78.459999999999994"/>
    <n v="10.37"/>
    <n v="13.17"/>
    <n v="12.1"/>
    <n v="-80.92"/>
    <n v="0"/>
    <n v="0"/>
    <n v="0"/>
    <n v="-1.4210854715202004E-14"/>
    <n v="0"/>
  </r>
  <r>
    <x v="7"/>
    <x v="1"/>
    <x v="0"/>
    <s v="5240200"/>
    <n v="718050"/>
    <s v="Contract Svcs-Other"/>
    <s v="Diabetes Ed-Shared Svc"/>
    <x v="0"/>
    <m/>
    <n v="202.64"/>
    <n v="202.64"/>
    <n v="159.99"/>
    <n v="202.65"/>
    <n v="202.64"/>
    <n v="138.71"/>
    <n v="344.02"/>
    <n v="207.37"/>
    <n v="105.88"/>
    <n v="0"/>
    <n v="91.63"/>
    <n v="0"/>
    <n v="1858.17"/>
    <n v="91.63"/>
  </r>
  <r>
    <x v="7"/>
    <x v="1"/>
    <x v="0"/>
    <s v="5240200"/>
    <n v="718050"/>
    <s v="Translation Services"/>
    <s v="Diabetes Ed-Shared Svc"/>
    <x v="0"/>
    <n v="1025"/>
    <n v="0"/>
    <n v="0"/>
    <n v="0"/>
    <n v="40"/>
    <n v="0"/>
    <n v="32"/>
    <n v="0"/>
    <n v="0"/>
    <n v="0"/>
    <n v="0"/>
    <n v="0"/>
    <n v="0"/>
    <n v="72"/>
    <n v="0"/>
  </r>
  <r>
    <x v="7"/>
    <x v="1"/>
    <x v="0"/>
    <s v="5240200"/>
    <n v="718050"/>
    <s v="Purchased Srvcs--Medical Waste"/>
    <s v="Diabetes Ed-Shared Svc"/>
    <x v="0"/>
    <n v="1027"/>
    <n v="86.04"/>
    <n v="86.04"/>
    <n v="86.04"/>
    <n v="0"/>
    <n v="86.04"/>
    <n v="86.04"/>
    <n v="172.08"/>
    <n v="86.04"/>
    <n v="0"/>
    <n v="172.08"/>
    <n v="0"/>
    <n v="86.04"/>
    <n v="946.44"/>
    <n v="-86.04"/>
  </r>
  <r>
    <x v="11"/>
    <x v="1"/>
    <x v="0"/>
    <s v="5240200"/>
    <n v="721810"/>
    <s v="Supplies-Dietary/Cafeteria"/>
    <s v="Diabetes Ed-Shared Svc"/>
    <x v="0"/>
    <m/>
    <n v="0"/>
    <n v="7.71"/>
    <n v="0"/>
    <n v="0"/>
    <n v="0"/>
    <n v="0"/>
    <n v="0"/>
    <n v="0"/>
    <n v="0"/>
    <n v="0"/>
    <n v="0"/>
    <n v="0"/>
    <n v="7.71"/>
    <n v="0"/>
  </r>
  <r>
    <x v="11"/>
    <x v="1"/>
    <x v="0"/>
    <s v="5240200"/>
    <n v="721830"/>
    <s v="Supplies-Office"/>
    <s v="Diabetes Ed-Shared Svc"/>
    <x v="0"/>
    <m/>
    <n v="0"/>
    <n v="173.94"/>
    <n v="0"/>
    <n v="0"/>
    <n v="0"/>
    <n v="0"/>
    <n v="0"/>
    <n v="0"/>
    <n v="0"/>
    <n v="0"/>
    <n v="0"/>
    <n v="0"/>
    <n v="173.94"/>
    <n v="0"/>
  </r>
  <r>
    <x v="11"/>
    <x v="1"/>
    <x v="0"/>
    <s v="5240200"/>
    <n v="721870"/>
    <s v="Supplies-Environmental Services"/>
    <s v="Diabetes Ed-Shared Svc"/>
    <x v="0"/>
    <m/>
    <n v="0"/>
    <n v="0"/>
    <n v="0"/>
    <n v="0"/>
    <n v="0"/>
    <n v="0"/>
    <n v="819.93"/>
    <n v="567.79999999999995"/>
    <n v="537.25"/>
    <n v="136.61000000000001"/>
    <n v="147.36000000000001"/>
    <n v="0"/>
    <n v="2208.9500000000003"/>
    <n v="147.36000000000001"/>
  </r>
  <r>
    <x v="12"/>
    <x v="1"/>
    <x v="0"/>
    <s v="5240200"/>
    <n v="730020"/>
    <s v="Rental and Leases-Copier Usage Fees (DO NOT USE)"/>
    <s v="Diabetes Ed-Shared Svc"/>
    <x v="0"/>
    <n v="5100"/>
    <n v="151.78"/>
    <n v="152.35"/>
    <n v="152.06"/>
    <n v="152.06"/>
    <n v="152.06"/>
    <n v="152.06"/>
    <n v="-506.57"/>
    <n v="57.46"/>
    <n v="57.34"/>
    <n v="89.97"/>
    <n v="57.46"/>
    <n v="57.46"/>
    <n v="725.49"/>
    <n v="0"/>
  </r>
  <r>
    <x v="0"/>
    <x v="1"/>
    <x v="0"/>
    <s v="5240200"/>
    <n v="749530"/>
    <s v="Mileage"/>
    <s v="Diabetes Ed-Shared Svc"/>
    <x v="0"/>
    <n v="1001"/>
    <n v="0"/>
    <n v="12.54"/>
    <n v="0"/>
    <n v="0"/>
    <n v="0"/>
    <n v="0"/>
    <n v="0"/>
    <n v="0"/>
    <n v="0"/>
    <n v="0"/>
    <n v="0"/>
    <n v="0"/>
    <n v="12.54"/>
    <n v="0"/>
  </r>
  <r>
    <x v="5"/>
    <x v="9"/>
    <x v="0"/>
    <s v="5240501"/>
    <n v="700032"/>
    <s v="Salaries-Other Pat Care Providers-Productive"/>
    <s v="Diabete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240501"/>
    <n v="700072"/>
    <s v="Salaries-Other Pat Care Providers-Non-productive"/>
    <s v="Diabete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240501"/>
    <n v="700084"/>
    <s v="Accrued PTO"/>
    <s v="Diabetes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5240501"/>
    <n v="713010"/>
    <s v="Benefits-FICA/Medicare"/>
    <s v="Diabetes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5240501"/>
    <n v="713090"/>
    <s v="Benefits-Allocated Amounts"/>
    <s v="Diabetes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5240501"/>
    <n v="721240"/>
    <s v="Supplies-IV Solutions/Supplies - Billable"/>
    <s v="Diabetes"/>
    <x v="0"/>
    <m/>
    <n v="0"/>
    <n v="0"/>
    <n v="0"/>
    <n v="0"/>
    <n v="0"/>
    <n v="0"/>
    <n v="0"/>
    <n v="0"/>
    <n v="0"/>
    <n v="0"/>
    <n v="0"/>
    <n v="0"/>
    <n v="0"/>
    <n v="0"/>
  </r>
  <r>
    <x v="12"/>
    <x v="9"/>
    <x v="0"/>
    <s v="5240501"/>
    <n v="730020"/>
    <s v="Rental and Leases-Copier Usage Fees (DO NOT USE)"/>
    <s v="Diabetes"/>
    <x v="0"/>
    <n v="5100"/>
    <n v="0"/>
    <n v="0"/>
    <n v="0"/>
    <n v="0"/>
    <n v="0"/>
    <n v="0"/>
    <n v="0"/>
    <n v="0"/>
    <n v="0"/>
    <n v="0"/>
    <n v="0"/>
    <n v="0"/>
    <n v="0"/>
    <n v="0"/>
  </r>
  <r>
    <x v="15"/>
    <x v="9"/>
    <x v="0"/>
    <s v="5240501"/>
    <n v="731060"/>
    <s v="Pagers"/>
    <s v="Diabetes"/>
    <x v="0"/>
    <n v="1002"/>
    <n v="0"/>
    <n v="0"/>
    <n v="0"/>
    <n v="0"/>
    <n v="0"/>
    <n v="0"/>
    <n v="0"/>
    <n v="0"/>
    <n v="0"/>
    <n v="0"/>
    <n v="0"/>
    <n v="0"/>
    <n v="0"/>
    <n v="0"/>
  </r>
  <r>
    <x v="18"/>
    <x v="6"/>
    <x v="0"/>
    <s v="5260107"/>
    <n v="400010"/>
    <s v="Acute I/P Svcs Rev--Medicare"/>
    <s v="IV Optimum"/>
    <x v="0"/>
    <n v="1100"/>
    <n v="-2548.77"/>
    <n v="-445.07"/>
    <n v="0"/>
    <n v="0"/>
    <n v="0"/>
    <n v="0"/>
    <n v="-124.43"/>
    <n v="-1957.74"/>
    <n v="-650.67999999999995"/>
    <n v="-978.87"/>
    <n v="0"/>
    <n v="0"/>
    <n v="-6705.56"/>
    <n v="0"/>
  </r>
  <r>
    <x v="18"/>
    <x v="6"/>
    <x v="0"/>
    <s v="5260107"/>
    <n v="400010"/>
    <s v="Acute I/P Svcs Rev--Medicaid"/>
    <s v="IV Optimum"/>
    <x v="0"/>
    <n v="1200"/>
    <n v="0"/>
    <n v="0"/>
    <n v="0"/>
    <n v="-97.89"/>
    <n v="0"/>
    <n v="0"/>
    <n v="0"/>
    <n v="0"/>
    <n v="0"/>
    <n v="0"/>
    <n v="0"/>
    <n v="0"/>
    <n v="-97.89"/>
    <n v="0"/>
  </r>
  <r>
    <x v="19"/>
    <x v="6"/>
    <x v="0"/>
    <s v="5260107"/>
    <n v="400020"/>
    <s v="O/P Care Svcs Rev--Medicare"/>
    <s v="IV Optimum"/>
    <x v="0"/>
    <n v="1100"/>
    <n v="-248425.42"/>
    <n v="-259518.55"/>
    <n v="-288548.40000000002"/>
    <n v="-328813.08"/>
    <n v="-320630.01"/>
    <n v="-300472.03999999998"/>
    <n v="-283498.57"/>
    <n v="-215934.1"/>
    <n v="-201067.67"/>
    <n v="-200765.58"/>
    <n v="-211977.52"/>
    <n v="-194395.48"/>
    <n v="-3054046.42"/>
    <n v="-17582.039999999979"/>
  </r>
  <r>
    <x v="19"/>
    <x v="6"/>
    <x v="0"/>
    <s v="5260107"/>
    <n v="400020"/>
    <s v="O/P Care Svcs Rev--Medicaid"/>
    <s v="IV Optimum"/>
    <x v="0"/>
    <n v="1200"/>
    <n v="-54491.59"/>
    <n v="-64427.06"/>
    <n v="-45916.98"/>
    <n v="-47294.66"/>
    <n v="-49234.68"/>
    <n v="-103581.3"/>
    <n v="-35103.17"/>
    <n v="-45346.36"/>
    <n v="-92685.43"/>
    <n v="-60279.5"/>
    <n v="-77248.160000000003"/>
    <n v="-79315.77"/>
    <n v="-754924.66"/>
    <n v="2067.6100000000006"/>
  </r>
  <r>
    <x v="19"/>
    <x v="6"/>
    <x v="0"/>
    <s v="5260107"/>
    <n v="400020"/>
    <s v="O/P Care Svcs Rev--Comm Insurance"/>
    <s v="IV Optimum"/>
    <x v="0"/>
    <n v="1300"/>
    <n v="-9280.16"/>
    <n v="-11301.18"/>
    <n v="-13567.53"/>
    <n v="-11606.63"/>
    <n v="-16564.599999999999"/>
    <n v="-10705.52"/>
    <n v="-9051.7800000000007"/>
    <n v="-10204.14"/>
    <n v="-26862.41"/>
    <n v="-42506.63"/>
    <n v="-23341.119999999999"/>
    <n v="-16504.060000000001"/>
    <n v="-201495.75999999998"/>
    <n v="-6837.0599999999977"/>
  </r>
  <r>
    <x v="19"/>
    <x v="6"/>
    <x v="0"/>
    <s v="5260107"/>
    <n v="400020"/>
    <s v="O/P Care Svcs Rev--BCBS Comm"/>
    <s v="IV Optimum"/>
    <x v="0"/>
    <n v="1301"/>
    <n v="-36901.19"/>
    <n v="-35095.99"/>
    <n v="-42801.86"/>
    <n v="-38986.74"/>
    <n v="-13453.37"/>
    <n v="-31952.21"/>
    <n v="-33890.67"/>
    <n v="-23247.65"/>
    <n v="-17958.490000000002"/>
    <n v="-14107.69"/>
    <n v="-20391.72"/>
    <n v="-26360.93"/>
    <n v="-335148.50999999995"/>
    <n v="5969.2099999999991"/>
  </r>
  <r>
    <x v="19"/>
    <x v="6"/>
    <x v="0"/>
    <s v="5260107"/>
    <n v="400020"/>
    <s v="O/P Care Svcs Rev--Managed Care"/>
    <s v="IV Optimum"/>
    <x v="0"/>
    <n v="1400"/>
    <n v="-86306.87"/>
    <n v="-56197.62"/>
    <n v="-88448.65"/>
    <n v="-63674.97"/>
    <n v="-63715.97"/>
    <n v="-54948.49"/>
    <n v="-57979.11"/>
    <n v="-61606.09"/>
    <n v="-46845.38"/>
    <n v="-48277.22"/>
    <n v="-79080.14"/>
    <n v="-36128.81"/>
    <n v="-743209.31999999983"/>
    <n v="-42951.33"/>
  </r>
  <r>
    <x v="19"/>
    <x v="6"/>
    <x v="0"/>
    <s v="5260107"/>
    <n v="400020"/>
    <s v="O/P Care Svcs Rev--Self Pay"/>
    <s v="IV Optimum"/>
    <x v="0"/>
    <n v="1500"/>
    <n v="0"/>
    <n v="-1512.42"/>
    <n v="-362.25"/>
    <n v="-631.73"/>
    <n v="0"/>
    <n v="-461.38"/>
    <n v="232.35"/>
    <n v="0"/>
    <n v="-19499.96"/>
    <n v="-210.27"/>
    <n v="0"/>
    <n v="-1900.62"/>
    <n v="-24346.28"/>
    <n v="1900.62"/>
  </r>
  <r>
    <x v="19"/>
    <x v="6"/>
    <x v="0"/>
    <s v="5260107"/>
    <n v="400020"/>
    <s v="O/P Care Svcs Rev--Other"/>
    <s v="IV Optimum"/>
    <x v="0"/>
    <n v="1700"/>
    <n v="-15196.64"/>
    <n v="-15404.17"/>
    <n v="-14092.36"/>
    <n v="-9226.1299999999992"/>
    <n v="-14363.82"/>
    <n v="-20344.580000000002"/>
    <n v="-15318.83"/>
    <n v="-21135.18"/>
    <n v="-36721.64"/>
    <n v="-18426.2"/>
    <n v="-11130.38"/>
    <n v="-8893.34"/>
    <n v="-200253.27"/>
    <n v="-2237.0399999999991"/>
  </r>
  <r>
    <x v="5"/>
    <x v="6"/>
    <x v="0"/>
    <s v="5260107"/>
    <n v="700014"/>
    <s v="Salaries-Management-Productive"/>
    <s v="IV Optimum"/>
    <x v="0"/>
    <m/>
    <n v="4581.82"/>
    <n v="5300.15"/>
    <n v="3146.01"/>
    <n v="3769.03"/>
    <n v="6236.68"/>
    <n v="3830.04"/>
    <n v="5348.98"/>
    <n v="4257.84"/>
    <n v="5243.15"/>
    <n v="5418.94"/>
    <n v="4222.6899999999996"/>
    <n v="4539.45"/>
    <n v="55894.780000000006"/>
    <n v="-316.76000000000022"/>
  </r>
  <r>
    <x v="5"/>
    <x v="6"/>
    <x v="0"/>
    <s v="5260107"/>
    <n v="700026"/>
    <s v="Salaries-RN-Productive"/>
    <s v="IV Optimum"/>
    <x v="0"/>
    <m/>
    <n v="28375.65"/>
    <n v="28482.11"/>
    <n v="28462.16"/>
    <n v="30554.74"/>
    <n v="32589.08"/>
    <n v="30155.72"/>
    <n v="27585.45"/>
    <n v="24886.799999999999"/>
    <n v="28579.61"/>
    <n v="23932.07"/>
    <n v="27089.05"/>
    <n v="24536.18"/>
    <n v="335228.62"/>
    <n v="2552.869999999999"/>
  </r>
  <r>
    <x v="5"/>
    <x v="6"/>
    <x v="0"/>
    <s v="5260107"/>
    <n v="700026"/>
    <s v="Salaries-RN-OT"/>
    <s v="IV Optimum"/>
    <x v="0"/>
    <n v="1000"/>
    <n v="647.70000000000005"/>
    <n v="671.39"/>
    <n v="884.25"/>
    <n v="930.93"/>
    <n v="425.05"/>
    <n v="1248.24"/>
    <n v="425.6"/>
    <n v="1281.76"/>
    <n v="669.92"/>
    <n v="719.54"/>
    <n v="654.48"/>
    <n v="118.07"/>
    <n v="8676.93"/>
    <n v="536.41000000000008"/>
  </r>
  <r>
    <x v="5"/>
    <x v="6"/>
    <x v="0"/>
    <s v="5260107"/>
    <n v="700026"/>
    <s v="Salaries-RN-Other"/>
    <s v="IV Optimum"/>
    <x v="0"/>
    <n v="2000"/>
    <n v="2553.4699999999998"/>
    <n v="1725.81"/>
    <n v="1127.3399999999999"/>
    <n v="2135.44"/>
    <n v="1636.36"/>
    <n v="2439.0100000000002"/>
    <n v="1544.28"/>
    <n v="2505.25"/>
    <n v="881.84"/>
    <n v="2883.74"/>
    <n v="1004.41"/>
    <n v="1214.04"/>
    <n v="21650.99"/>
    <n v="-209.63"/>
  </r>
  <r>
    <x v="5"/>
    <x v="6"/>
    <x v="0"/>
    <s v="5260107"/>
    <n v="700032"/>
    <s v="Salaries-Other Pat Care Providers-Productive"/>
    <s v="IV Optimum"/>
    <x v="0"/>
    <m/>
    <n v="8104.57"/>
    <n v="8524.11"/>
    <n v="8639.6299999999992"/>
    <n v="9206.16"/>
    <n v="7887.08"/>
    <n v="9134.61"/>
    <n v="8099.17"/>
    <n v="7584.87"/>
    <n v="8357.89"/>
    <n v="8341.99"/>
    <n v="8682.0300000000007"/>
    <n v="8630.14"/>
    <n v="101192.25"/>
    <n v="51.890000000001237"/>
  </r>
  <r>
    <x v="5"/>
    <x v="6"/>
    <x v="0"/>
    <s v="5260107"/>
    <n v="700032"/>
    <s v="Salaries-Other Pat Care Providers-OT"/>
    <s v="IV Optimum"/>
    <x v="0"/>
    <n v="1000"/>
    <n v="168.36"/>
    <n v="78.900000000000006"/>
    <n v="198.1"/>
    <n v="98.72"/>
    <n v="59.26"/>
    <n v="83.63"/>
    <n v="74.13"/>
    <n v="158.19"/>
    <n v="-10.09"/>
    <n v="177.3"/>
    <n v="65"/>
    <n v="13.76"/>
    <n v="1165.26"/>
    <n v="51.24"/>
  </r>
  <r>
    <x v="5"/>
    <x v="6"/>
    <x v="0"/>
    <s v="5260107"/>
    <n v="700032"/>
    <s v="Salaries-Other Pat Care Providers-Other"/>
    <s v="IV Optimum"/>
    <x v="0"/>
    <n v="2000"/>
    <n v="139.1"/>
    <n v="126.49"/>
    <n v="137.85"/>
    <n v="160.99"/>
    <n v="99.37"/>
    <n v="167.53"/>
    <n v="112.54"/>
    <n v="115.84"/>
    <n v="133.81"/>
    <n v="127.58"/>
    <n v="121.05"/>
    <n v="105.1"/>
    <n v="1547.2499999999995"/>
    <n v="15.950000000000003"/>
  </r>
  <r>
    <x v="5"/>
    <x v="6"/>
    <x v="0"/>
    <s v="5260107"/>
    <n v="700038"/>
    <s v="Salaries-Service/Support-Productive"/>
    <s v="IV Optimum"/>
    <x v="0"/>
    <m/>
    <n v="0"/>
    <n v="0"/>
    <n v="0"/>
    <n v="0"/>
    <n v="0"/>
    <n v="0"/>
    <n v="1259.8699999999999"/>
    <n v="1436.32"/>
    <n v="2314.08"/>
    <n v="2127.0300000000002"/>
    <n v="2012.15"/>
    <n v="1889.52"/>
    <n v="11038.97"/>
    <n v="122.63000000000011"/>
  </r>
  <r>
    <x v="5"/>
    <x v="6"/>
    <x v="0"/>
    <s v="5260107"/>
    <n v="700038"/>
    <s v="Salaries-Service/Support-Other"/>
    <s v="IV Optimum"/>
    <x v="0"/>
    <n v="2000"/>
    <n v="0"/>
    <n v="0"/>
    <n v="0"/>
    <n v="0"/>
    <n v="0"/>
    <n v="0"/>
    <n v="30.05"/>
    <n v="-0.01"/>
    <n v="0"/>
    <n v="0"/>
    <n v="0"/>
    <n v="0"/>
    <n v="30.04"/>
    <n v="0"/>
  </r>
  <r>
    <x v="5"/>
    <x v="6"/>
    <x v="0"/>
    <s v="5260107"/>
    <n v="700054"/>
    <s v="Salaries-Management-Non-productive"/>
    <s v="IV Optimum"/>
    <x v="0"/>
    <m/>
    <n v="718.08"/>
    <n v="0"/>
    <n v="1983.24"/>
    <n v="-107.87"/>
    <n v="-193.25"/>
    <n v="1616.25"/>
    <n v="105.85"/>
    <n v="668.58"/>
    <n v="211.17"/>
    <n v="-140.75"/>
    <n v="1231.6199999999999"/>
    <n v="738.98"/>
    <n v="6831.9"/>
    <n v="492.63999999999987"/>
  </r>
  <r>
    <x v="5"/>
    <x v="6"/>
    <x v="0"/>
    <s v="5260107"/>
    <n v="700066"/>
    <s v="Salaries-RN-Non-productive"/>
    <s v="IV Optimum"/>
    <x v="0"/>
    <m/>
    <n v="8733.57"/>
    <n v="8074.65"/>
    <n v="4213.53"/>
    <n v="2746.21"/>
    <n v="3521.55"/>
    <n v="5548.91"/>
    <n v="3599.43"/>
    <n v="6295.48"/>
    <n v="6352"/>
    <n v="7955.42"/>
    <n v="5126.68"/>
    <n v="8074.12"/>
    <n v="70241.55"/>
    <n v="-2947.4399999999996"/>
  </r>
  <r>
    <x v="5"/>
    <x v="6"/>
    <x v="0"/>
    <s v="5260107"/>
    <n v="700066"/>
    <s v="Salaries-RN-NonProd-Other"/>
    <s v="IV Optimum"/>
    <x v="0"/>
    <n v="2000"/>
    <n v="0"/>
    <n v="20.79"/>
    <n v="0"/>
    <n v="97.17"/>
    <n v="147.28"/>
    <n v="-1.98"/>
    <n v="0"/>
    <n v="9.18"/>
    <n v="-2.41"/>
    <n v="0"/>
    <n v="0"/>
    <n v="21.99"/>
    <n v="292.02"/>
    <n v="-21.99"/>
  </r>
  <r>
    <x v="5"/>
    <x v="6"/>
    <x v="0"/>
    <s v="5260107"/>
    <n v="700072"/>
    <s v="Salaries-Other Pat Care Providers-Non-productive"/>
    <s v="IV Optimum"/>
    <x v="0"/>
    <m/>
    <n v="1134.3399999999999"/>
    <n v="558.59"/>
    <n v="945.51"/>
    <n v="359.35"/>
    <n v="145.77000000000001"/>
    <n v="483.85"/>
    <n v="544.6"/>
    <n v="827.99"/>
    <n v="90.32"/>
    <n v="734.86"/>
    <n v="146.86000000000001"/>
    <n v="711.41"/>
    <n v="6683.449999999998"/>
    <n v="-564.54999999999995"/>
  </r>
  <r>
    <x v="5"/>
    <x v="6"/>
    <x v="0"/>
    <s v="5260107"/>
    <n v="700072"/>
    <s v="Salaries-Other Pat Care Providers-NonProd-Other"/>
    <s v="IV Optimum"/>
    <x v="0"/>
    <n v="2000"/>
    <n v="0"/>
    <n v="4.41"/>
    <n v="0"/>
    <n v="0"/>
    <n v="0"/>
    <n v="9"/>
    <n v="0"/>
    <n v="0"/>
    <n v="0"/>
    <n v="0"/>
    <n v="0"/>
    <n v="0"/>
    <n v="13.41"/>
    <n v="0"/>
  </r>
  <r>
    <x v="5"/>
    <x v="6"/>
    <x v="0"/>
    <s v="5260107"/>
    <n v="700078"/>
    <s v="Salaries-Service/Support-Non-productive"/>
    <s v="IV Optimum"/>
    <x v="0"/>
    <m/>
    <n v="0"/>
    <n v="0"/>
    <n v="0"/>
    <n v="0"/>
    <n v="0"/>
    <n v="0"/>
    <n v="0"/>
    <n v="0"/>
    <n v="0"/>
    <n v="0"/>
    <n v="191.2"/>
    <n v="232.42"/>
    <n v="423.62"/>
    <n v="-41.22"/>
  </r>
  <r>
    <x v="5"/>
    <x v="6"/>
    <x v="0"/>
    <s v="5260107"/>
    <n v="700078"/>
    <s v="Salaries-Service/Support-NonProd-Other"/>
    <s v="IV Optimum"/>
    <x v="0"/>
    <n v="2000"/>
    <n v="0"/>
    <n v="0"/>
    <n v="0"/>
    <n v="0"/>
    <n v="0"/>
    <n v="0"/>
    <n v="0"/>
    <n v="0"/>
    <n v="0"/>
    <n v="9.01"/>
    <n v="0"/>
    <n v="0"/>
    <n v="9.01"/>
    <n v="0"/>
  </r>
  <r>
    <x v="5"/>
    <x v="6"/>
    <x v="0"/>
    <s v="5260107"/>
    <n v="700084"/>
    <s v="Accrued PTO"/>
    <s v="IV Optimum"/>
    <x v="0"/>
    <m/>
    <n v="-2925.69"/>
    <n v="-2165.2600000000002"/>
    <n v="375.47"/>
    <n v="3365.26"/>
    <n v="1072.6600000000001"/>
    <n v="584.1"/>
    <n v="1409.32"/>
    <n v="-424.28"/>
    <n v="11.34"/>
    <n v="-1736.61"/>
    <n v="-1053.04"/>
    <n v="513.74"/>
    <n v="-972.99000000000024"/>
    <n v="-1566.78"/>
  </r>
  <r>
    <x v="6"/>
    <x v="6"/>
    <x v="0"/>
    <s v="5260107"/>
    <n v="713010"/>
    <s v="Benefits-FICA/Medicare"/>
    <s v="IV Optimum"/>
    <x v="0"/>
    <m/>
    <n v="4112.74"/>
    <n v="3990.6"/>
    <n v="3701.88"/>
    <n v="3728.84"/>
    <n v="3942.5"/>
    <n v="4095.62"/>
    <n v="3609.81"/>
    <n v="3718.43"/>
    <n v="3921.52"/>
    <n v="3930.29"/>
    <n v="3701.72"/>
    <n v="3777.26"/>
    <n v="46231.210000000006"/>
    <n v="-75.540000000000418"/>
  </r>
  <r>
    <x v="6"/>
    <x v="6"/>
    <x v="0"/>
    <s v="5260107"/>
    <n v="713090"/>
    <s v="Benefits-Allocated Amounts"/>
    <s v="IV Optimum"/>
    <x v="0"/>
    <m/>
    <n v="8311.0400000000009"/>
    <n v="7324.19"/>
    <n v="7760.77"/>
    <n v="7562.98"/>
    <n v="8900.85"/>
    <n v="8345.99"/>
    <n v="7857.09"/>
    <n v="8375.92"/>
    <n v="7198.83"/>
    <n v="8911.61"/>
    <n v="8225.75"/>
    <n v="9650.16"/>
    <n v="98425.180000000008"/>
    <n v="-1424.4099999999999"/>
  </r>
  <r>
    <x v="7"/>
    <x v="6"/>
    <x v="0"/>
    <s v="5260107"/>
    <n v="718050"/>
    <s v="Contract Svcs-Other"/>
    <s v="IV Optimum"/>
    <x v="0"/>
    <m/>
    <n v="0"/>
    <n v="0"/>
    <n v="0"/>
    <n v="0"/>
    <n v="0"/>
    <n v="0"/>
    <n v="0"/>
    <n v="882"/>
    <n v="0"/>
    <n v="0"/>
    <n v="0"/>
    <n v="0"/>
    <n v="882"/>
    <n v="0"/>
  </r>
  <r>
    <x v="7"/>
    <x v="6"/>
    <x v="0"/>
    <s v="5260107"/>
    <n v="718060"/>
    <s v="Contract Services-CHI RRC Fees"/>
    <s v="IV Optimum"/>
    <x v="0"/>
    <m/>
    <n v="5917"/>
    <n v="5917"/>
    <n v="5917"/>
    <n v="5917"/>
    <n v="5917"/>
    <n v="5917"/>
    <n v="5917"/>
    <n v="5917"/>
    <n v="5917"/>
    <n v="5917"/>
    <n v="5917"/>
    <n v="5917"/>
    <n v="71004"/>
    <n v="0"/>
  </r>
  <r>
    <x v="11"/>
    <x v="6"/>
    <x v="0"/>
    <s v="5260107"/>
    <n v="721010"/>
    <s v="Supplies-Medical - Billable"/>
    <s v="IV Optimum"/>
    <x v="0"/>
    <m/>
    <n v="537.11"/>
    <n v="232.81"/>
    <n v="460.86"/>
    <n v="1451.42"/>
    <n v="457.44"/>
    <n v="1474.49"/>
    <n v="182.21"/>
    <n v="518.08000000000004"/>
    <n v="759.47"/>
    <n v="855.88"/>
    <n v="787.07"/>
    <n v="217.63"/>
    <n v="7934.47"/>
    <n v="569.44000000000005"/>
  </r>
  <r>
    <x v="11"/>
    <x v="6"/>
    <x v="0"/>
    <s v="5260107"/>
    <n v="721240"/>
    <s v="Supplies-IV Solutions/Supplies - Billable"/>
    <s v="IV Optimum"/>
    <x v="0"/>
    <m/>
    <n v="1701.88"/>
    <n v="1405.88"/>
    <n v="1648.89"/>
    <n v="1555"/>
    <n v="1361.75"/>
    <n v="1983.01"/>
    <n v="1738.64"/>
    <n v="1166.76"/>
    <n v="1127.3900000000001"/>
    <n v="2426.88"/>
    <n v="1771.89"/>
    <n v="1649.63"/>
    <n v="19537.599999999999"/>
    <n v="122.25999999999999"/>
  </r>
  <r>
    <x v="11"/>
    <x v="6"/>
    <x v="0"/>
    <s v="5260107"/>
    <n v="721320"/>
    <s v="Supplies-Purchased Blood - Billable"/>
    <s v="IV Optimum"/>
    <x v="0"/>
    <m/>
    <n v="457.2"/>
    <n v="114.3"/>
    <n v="457.2"/>
    <n v="457.2"/>
    <n v="228.6"/>
    <n v="228.6"/>
    <n v="228.6"/>
    <n v="342.9"/>
    <n v="114.3"/>
    <n v="83.4"/>
    <n v="250.2"/>
    <n v="166.8"/>
    <n v="3129.3"/>
    <n v="83.399999999999977"/>
  </r>
  <r>
    <x v="11"/>
    <x v="6"/>
    <x v="0"/>
    <s v="5260107"/>
    <n v="721410"/>
    <s v="Supplies-Medical - Nonbillable"/>
    <s v="IV Optimum"/>
    <x v="0"/>
    <m/>
    <n v="1121.49"/>
    <n v="108.74"/>
    <n v="1742.41"/>
    <n v="1854"/>
    <n v="1199.43"/>
    <n v="1291.92"/>
    <n v="1617.84"/>
    <n v="1159.44"/>
    <n v="845.06"/>
    <n v="1055.79"/>
    <n v="1169.32"/>
    <n v="699.46"/>
    <n v="13864.899999999998"/>
    <n v="469.8599999999999"/>
  </r>
  <r>
    <x v="11"/>
    <x v="6"/>
    <x v="0"/>
    <s v="5260107"/>
    <n v="721420"/>
    <s v="Supplies-Surgical Nonbillable"/>
    <s v="IV Optimum"/>
    <x v="0"/>
    <m/>
    <n v="69.84"/>
    <n v="65.59"/>
    <n v="52.38"/>
    <n v="68.75"/>
    <n v="52.38"/>
    <n v="104.76"/>
    <n v="34.92"/>
    <n v="69.84"/>
    <n v="53.08"/>
    <n v="52.38"/>
    <n v="48.89"/>
    <n v="52.38"/>
    <n v="725.19"/>
    <n v="-3.490000000000002"/>
  </r>
  <r>
    <x v="11"/>
    <x v="6"/>
    <x v="0"/>
    <s v="5260107"/>
    <n v="721610"/>
    <s v="Supplies-Anesthesia - Nonbillable"/>
    <s v="IV Optimum"/>
    <x v="0"/>
    <m/>
    <n v="0"/>
    <n v="0"/>
    <n v="0"/>
    <n v="13.3"/>
    <n v="0"/>
    <n v="0"/>
    <n v="0"/>
    <n v="0"/>
    <n v="1.86"/>
    <n v="0"/>
    <n v="3.19"/>
    <n v="0"/>
    <n v="18.350000000000001"/>
    <n v="3.19"/>
  </r>
  <r>
    <x v="11"/>
    <x v="6"/>
    <x v="0"/>
    <s v="5260107"/>
    <n v="721640"/>
    <s v="Supplies-IV Solutions/Supplies - Nonbillable"/>
    <s v="IV Optimum"/>
    <x v="0"/>
    <m/>
    <n v="2265.4"/>
    <n v="1600.4"/>
    <n v="2402.9699999999998"/>
    <n v="2816.16"/>
    <n v="2017.3"/>
    <n v="2049.08"/>
    <n v="1964.81"/>
    <n v="1586.28"/>
    <n v="1782.84"/>
    <n v="2093.88"/>
    <n v="1935.61"/>
    <n v="956.92"/>
    <n v="23471.649999999998"/>
    <n v="978.68999999999994"/>
  </r>
  <r>
    <x v="11"/>
    <x v="6"/>
    <x v="0"/>
    <s v="5260107"/>
    <n v="721710"/>
    <s v="Supplies-Laboratory - Nonbillable"/>
    <s v="IV Optimum"/>
    <x v="0"/>
    <m/>
    <n v="10.43"/>
    <n v="385.23"/>
    <n v="0"/>
    <n v="149.85"/>
    <n v="11.95"/>
    <n v="42.26"/>
    <n v="7.92"/>
    <n v="11.24"/>
    <n v="64.25"/>
    <n v="0"/>
    <n v="15.76"/>
    <n v="41.04"/>
    <n v="739.93"/>
    <n v="-25.28"/>
  </r>
  <r>
    <x v="11"/>
    <x v="6"/>
    <x v="0"/>
    <s v="5260107"/>
    <n v="721810"/>
    <s v="Supplies-Dietary/Cafeteria"/>
    <s v="IV Optimum"/>
    <x v="0"/>
    <m/>
    <n v="240.21"/>
    <n v="283.08"/>
    <n v="191.5"/>
    <n v="426.75"/>
    <n v="178.39"/>
    <n v="211.24"/>
    <n v="262.67"/>
    <n v="292.61"/>
    <n v="232.48"/>
    <n v="225.04"/>
    <n v="338.19"/>
    <n v="327.8"/>
    <n v="3209.96"/>
    <n v="10.389999999999986"/>
  </r>
  <r>
    <x v="11"/>
    <x v="6"/>
    <x v="0"/>
    <s v="5260107"/>
    <n v="721830"/>
    <s v="Supplies-Office"/>
    <s v="IV Optimum"/>
    <x v="0"/>
    <m/>
    <n v="88.85"/>
    <n v="0"/>
    <n v="76.19"/>
    <n v="107.49"/>
    <n v="0"/>
    <n v="54.39"/>
    <n v="0"/>
    <n v="55.99"/>
    <n v="113.83"/>
    <n v="0"/>
    <n v="34.119999999999997"/>
    <n v="13.6"/>
    <n v="544.45999999999992"/>
    <n v="20.519999999999996"/>
  </r>
  <r>
    <x v="11"/>
    <x v="6"/>
    <x v="0"/>
    <s v="5260107"/>
    <n v="721835"/>
    <s v="Supplies-Forms"/>
    <s v="IV Optimum"/>
    <x v="0"/>
    <m/>
    <n v="0"/>
    <n v="0"/>
    <n v="0"/>
    <n v="0"/>
    <n v="4"/>
    <n v="0"/>
    <n v="0"/>
    <n v="0"/>
    <n v="12"/>
    <n v="0"/>
    <n v="0"/>
    <n v="1"/>
    <n v="17"/>
    <n v="-1"/>
  </r>
  <r>
    <x v="11"/>
    <x v="6"/>
    <x v="0"/>
    <s v="5260107"/>
    <n v="721870"/>
    <s v="Supplies-Environmental Services"/>
    <s v="IV Optimum"/>
    <x v="0"/>
    <m/>
    <n v="63.04"/>
    <n v="85.37"/>
    <n v="77.12"/>
    <n v="91.57"/>
    <n v="72.89"/>
    <n v="97"/>
    <n v="78.91"/>
    <n v="39.4"/>
    <n v="72.98"/>
    <n v="76.83"/>
    <n v="107.9"/>
    <n v="60.09"/>
    <n v="923.1"/>
    <n v="47.81"/>
  </r>
  <r>
    <x v="11"/>
    <x v="6"/>
    <x v="0"/>
    <s v="5260107"/>
    <n v="721910"/>
    <s v="Supplies-Small Equipment"/>
    <s v="IV Optimum"/>
    <x v="0"/>
    <m/>
    <n v="792.95"/>
    <n v="105.72"/>
    <n v="479.74"/>
    <n v="632.84"/>
    <n v="2833.97"/>
    <n v="295.81"/>
    <n v="48.96"/>
    <n v="205.06"/>
    <n v="201.01"/>
    <n v="235.41"/>
    <n v="57.12"/>
    <n v="76.03"/>
    <n v="5964.62"/>
    <n v="-18.910000000000004"/>
  </r>
  <r>
    <x v="11"/>
    <x v="6"/>
    <x v="0"/>
    <s v="5260107"/>
    <n v="721910"/>
    <s v="Instruments"/>
    <s v="IV Optimum"/>
    <x v="0"/>
    <n v="1000"/>
    <n v="0"/>
    <n v="0"/>
    <n v="10.95"/>
    <n v="0"/>
    <n v="0"/>
    <n v="0"/>
    <n v="0"/>
    <n v="0"/>
    <n v="0"/>
    <n v="0"/>
    <n v="0"/>
    <n v="0"/>
    <n v="10.95"/>
    <n v="0"/>
  </r>
  <r>
    <x v="11"/>
    <x v="6"/>
    <x v="0"/>
    <s v="5260107"/>
    <n v="721980"/>
    <s v="Supplies-Other"/>
    <s v="IV Optimum"/>
    <x v="0"/>
    <m/>
    <n v="0"/>
    <n v="595"/>
    <n v="115.46"/>
    <n v="0"/>
    <n v="38.93"/>
    <n v="66.459999999999994"/>
    <n v="89.14"/>
    <n v="0"/>
    <n v="0"/>
    <n v="47.1"/>
    <n v="43.85"/>
    <n v="68.760000000000005"/>
    <n v="1064.7"/>
    <n v="-24.910000000000004"/>
  </r>
  <r>
    <x v="11"/>
    <x v="6"/>
    <x v="0"/>
    <s v="5260107"/>
    <n v="722000"/>
    <s v="Supplies-Freight Expense"/>
    <s v="IV Optimum"/>
    <x v="0"/>
    <m/>
    <n v="0"/>
    <n v="0"/>
    <n v="0"/>
    <n v="15.73"/>
    <n v="0"/>
    <n v="0"/>
    <n v="0"/>
    <n v="0"/>
    <n v="0"/>
    <n v="0"/>
    <n v="0"/>
    <n v="0"/>
    <n v="15.73"/>
    <n v="0"/>
  </r>
  <r>
    <x v="12"/>
    <x v="6"/>
    <x v="0"/>
    <s v="5260107"/>
    <n v="730010"/>
    <s v="Rental and Leases-Building (DO NOT USE)"/>
    <s v="IV Optimum"/>
    <x v="0"/>
    <m/>
    <n v="0"/>
    <n v="1056"/>
    <n v="1056"/>
    <n v="1056"/>
    <n v="1056"/>
    <n v="880"/>
    <n v="880"/>
    <n v="880"/>
    <n v="880"/>
    <n v="0"/>
    <n v="0"/>
    <n v="0"/>
    <n v="7744"/>
    <n v="0"/>
  </r>
  <r>
    <x v="12"/>
    <x v="6"/>
    <x v="0"/>
    <s v="5260107"/>
    <n v="730010"/>
    <s v="Rental-Common Area Maint (DO NOT USE)"/>
    <s v="IV Optimum"/>
    <x v="0"/>
    <n v="2200"/>
    <n v="0"/>
    <n v="0"/>
    <n v="0"/>
    <n v="0"/>
    <n v="0"/>
    <n v="176"/>
    <n v="176"/>
    <n v="365"/>
    <n v="226.6"/>
    <n v="0"/>
    <n v="0"/>
    <n v="0"/>
    <n v="943.6"/>
    <n v="0"/>
  </r>
  <r>
    <x v="13"/>
    <x v="6"/>
    <x v="0"/>
    <s v="5260107"/>
    <n v="735070"/>
    <s v="Depreciation-Movable Equipment"/>
    <s v="IV Optimum"/>
    <x v="0"/>
    <m/>
    <n v="130.05000000000001"/>
    <n v="130.05000000000001"/>
    <n v="130.05000000000001"/>
    <n v="130.05000000000001"/>
    <n v="130.05000000000001"/>
    <n v="130.05000000000001"/>
    <n v="130.05000000000001"/>
    <n v="130.05000000000001"/>
    <n v="130.06"/>
    <n v="130.05000000000001"/>
    <n v="130.06"/>
    <n v="130.05000000000001"/>
    <n v="1560.6199999999997"/>
    <n v="9.9999999999909051E-3"/>
  </r>
  <r>
    <x v="0"/>
    <x v="6"/>
    <x v="0"/>
    <s v="5260107"/>
    <n v="749510"/>
    <s v="Miscellaneous Expenses"/>
    <s v="IV Optimum"/>
    <x v="0"/>
    <m/>
    <n v="0"/>
    <n v="0"/>
    <n v="0"/>
    <n v="39.24"/>
    <n v="-39.24"/>
    <n v="0"/>
    <n v="0"/>
    <n v="0"/>
    <n v="0"/>
    <n v="0"/>
    <n v="0"/>
    <n v="87.2"/>
    <n v="87.2"/>
    <n v="-87.2"/>
  </r>
  <r>
    <x v="0"/>
    <x v="6"/>
    <x v="0"/>
    <s v="5260107"/>
    <n v="749510"/>
    <s v="RICE Rewards"/>
    <s v="IV Optimum"/>
    <x v="0"/>
    <n v="5100"/>
    <n v="0"/>
    <n v="0"/>
    <n v="0"/>
    <n v="0"/>
    <n v="0"/>
    <n v="0"/>
    <n v="0"/>
    <n v="0"/>
    <n v="0"/>
    <n v="0"/>
    <n v="0"/>
    <n v="198.46"/>
    <n v="198.46"/>
    <n v="-198.46"/>
  </r>
  <r>
    <x v="0"/>
    <x v="6"/>
    <x v="0"/>
    <s v="5260107"/>
    <n v="749530"/>
    <s v="Travel"/>
    <s v="IV Optimum"/>
    <x v="0"/>
    <m/>
    <n v="0"/>
    <n v="0"/>
    <n v="0"/>
    <n v="0"/>
    <n v="10"/>
    <n v="0"/>
    <n v="0"/>
    <n v="0"/>
    <n v="0"/>
    <n v="0"/>
    <n v="0"/>
    <n v="0"/>
    <n v="10"/>
    <n v="0"/>
  </r>
  <r>
    <x v="0"/>
    <x v="6"/>
    <x v="0"/>
    <s v="5260107"/>
    <n v="749530"/>
    <s v="Mileage"/>
    <s v="IV Optimum"/>
    <x v="0"/>
    <n v="1001"/>
    <n v="0"/>
    <n v="0"/>
    <n v="0"/>
    <n v="0"/>
    <n v="78.48"/>
    <n v="0"/>
    <n v="0"/>
    <n v="0"/>
    <n v="0"/>
    <n v="0"/>
    <n v="0"/>
    <n v="0"/>
    <n v="78.48"/>
    <n v="0"/>
  </r>
  <r>
    <x v="20"/>
    <x v="9"/>
    <x v="0"/>
    <s v="5300501"/>
    <n v="610010"/>
    <s v="Foundation Distributions"/>
    <s v="Women's &amp; Child Support Svc"/>
    <x v="0"/>
    <n v="1175"/>
    <n v="0"/>
    <n v="0"/>
    <n v="0"/>
    <n v="0"/>
    <n v="0"/>
    <n v="0"/>
    <n v="0"/>
    <n v="-3117.61"/>
    <n v="0"/>
    <n v="-1892.49"/>
    <n v="0"/>
    <n v="-1198"/>
    <n v="-6208.1"/>
    <n v="1198"/>
  </r>
  <r>
    <x v="5"/>
    <x v="9"/>
    <x v="0"/>
    <s v="5300501"/>
    <n v="700014"/>
    <s v="Salaries-Management-Productive"/>
    <s v="Women's &amp; Child Support Svc"/>
    <x v="0"/>
    <m/>
    <n v="26747.02"/>
    <n v="27356.35"/>
    <n v="25488.41"/>
    <n v="24210.48"/>
    <n v="11778.12"/>
    <n v="24727.09"/>
    <n v="28004.240000000002"/>
    <n v="21143.19"/>
    <n v="29200.57"/>
    <n v="24783.53"/>
    <n v="26681.51"/>
    <n v="25913.34"/>
    <n v="296033.85000000003"/>
    <n v="768.16999999999825"/>
  </r>
  <r>
    <x v="5"/>
    <x v="9"/>
    <x v="0"/>
    <s v="5300501"/>
    <n v="700026"/>
    <s v="Salaries-RN-Productive"/>
    <s v="Women's &amp; Child Support Svc"/>
    <x v="0"/>
    <m/>
    <n v="22030.11"/>
    <n v="21146.18"/>
    <n v="24932.25"/>
    <n v="24174.32"/>
    <n v="21086.560000000001"/>
    <n v="18212.72"/>
    <n v="27962.46"/>
    <n v="16535.64"/>
    <n v="15081.87"/>
    <n v="12569.38"/>
    <n v="7201.52"/>
    <n v="26487.41"/>
    <n v="237420.41999999998"/>
    <n v="-19285.89"/>
  </r>
  <r>
    <x v="5"/>
    <x v="9"/>
    <x v="0"/>
    <s v="5300501"/>
    <n v="700026"/>
    <s v="Salaries-RN-OT"/>
    <s v="Women's &amp; Child Support Svc"/>
    <x v="0"/>
    <n v="1000"/>
    <n v="0"/>
    <n v="0"/>
    <n v="0"/>
    <n v="0"/>
    <n v="0"/>
    <n v="0"/>
    <n v="41.23"/>
    <n v="0"/>
    <n v="0"/>
    <n v="0"/>
    <n v="0"/>
    <n v="0"/>
    <n v="41.23"/>
    <n v="0"/>
  </r>
  <r>
    <x v="5"/>
    <x v="9"/>
    <x v="0"/>
    <s v="5300501"/>
    <n v="700026"/>
    <s v="Salaries-RN-Other"/>
    <s v="Women's &amp; Child Support Svc"/>
    <x v="0"/>
    <n v="2000"/>
    <n v="790.34"/>
    <n v="921.8"/>
    <n v="1116.3699999999999"/>
    <n v="897.64"/>
    <n v="584.54999999999995"/>
    <n v="1082.24"/>
    <n v="1342.98"/>
    <n v="279.62"/>
    <n v="632.11"/>
    <n v="993.84"/>
    <n v="-304.74"/>
    <n v="30.04"/>
    <n v="8366.7900000000009"/>
    <n v="-334.78000000000003"/>
  </r>
  <r>
    <x v="5"/>
    <x v="9"/>
    <x v="0"/>
    <s v="5300501"/>
    <n v="700038"/>
    <s v="Salaries-Service/Support-Productive"/>
    <s v="Women's &amp; Child Support Svc"/>
    <x v="0"/>
    <m/>
    <n v="4628.05"/>
    <n v="3218.33"/>
    <n v="4850.74"/>
    <n v="4784.49"/>
    <n v="4258.1899999999996"/>
    <n v="3887.49"/>
    <n v="4526.9799999999996"/>
    <n v="4280.47"/>
    <n v="4173.3"/>
    <n v="5153.83"/>
    <n v="4663.66"/>
    <n v="5053.37"/>
    <n v="53478.9"/>
    <n v="-389.71000000000004"/>
  </r>
  <r>
    <x v="5"/>
    <x v="9"/>
    <x v="0"/>
    <s v="5300501"/>
    <n v="700038"/>
    <s v="Salaries-Service/Support-OT"/>
    <s v="Women's &amp; Child Support Svc"/>
    <x v="0"/>
    <n v="1000"/>
    <n v="12.8"/>
    <n v="-2.25"/>
    <n v="0"/>
    <n v="0"/>
    <n v="0"/>
    <n v="0"/>
    <n v="0"/>
    <n v="0"/>
    <n v="34.42"/>
    <n v="-1.55"/>
    <n v="0"/>
    <n v="65.739999999999995"/>
    <n v="109.16"/>
    <n v="-65.739999999999995"/>
  </r>
  <r>
    <x v="5"/>
    <x v="9"/>
    <x v="0"/>
    <s v="5300501"/>
    <n v="700054"/>
    <s v="Salaries-Management-Non-productive"/>
    <s v="Women's &amp; Child Support Svc"/>
    <x v="0"/>
    <m/>
    <n v="608.08000000000004"/>
    <n v="0"/>
    <n v="985.83"/>
    <n v="3703.01"/>
    <n v="15363.44"/>
    <n v="3320.11"/>
    <n v="86.76"/>
    <n v="4226.76"/>
    <n v="-1112.2"/>
    <n v="2397.83"/>
    <n v="1406.85"/>
    <n v="1269.31"/>
    <n v="32255.779999999995"/>
    <n v="137.53999999999996"/>
  </r>
  <r>
    <x v="5"/>
    <x v="9"/>
    <x v="0"/>
    <s v="5300501"/>
    <n v="700054"/>
    <s v="Salaries-Management-NonProd-Other"/>
    <s v="Women's &amp; Child Support Svc"/>
    <x v="0"/>
    <n v="2000"/>
    <n v="0"/>
    <n v="0"/>
    <n v="0"/>
    <n v="0"/>
    <n v="0"/>
    <n v="2465.9499999999998"/>
    <n v="-2465.9499999999998"/>
    <n v="0"/>
    <n v="0"/>
    <n v="0"/>
    <n v="0"/>
    <n v="0"/>
    <n v="0"/>
    <n v="0"/>
  </r>
  <r>
    <x v="5"/>
    <x v="9"/>
    <x v="0"/>
    <s v="5300501"/>
    <n v="700066"/>
    <s v="Salaries-RN-Non-productive"/>
    <s v="Women's &amp; Child Support Svc"/>
    <x v="0"/>
    <m/>
    <n v="1701.76"/>
    <n v="3550.61"/>
    <n v="646.35"/>
    <n v="823.7"/>
    <n v="1667.35"/>
    <n v="8148.06"/>
    <n v="125.1"/>
    <n v="2646.68"/>
    <n v="2779.91"/>
    <n v="2710.76"/>
    <n v="-288.49"/>
    <n v="807.9"/>
    <n v="25319.69"/>
    <n v="-1096.3899999999999"/>
  </r>
  <r>
    <x v="5"/>
    <x v="9"/>
    <x v="0"/>
    <s v="5300501"/>
    <n v="700078"/>
    <s v="Salaries-Service/Support-Non-productive"/>
    <s v="Women's &amp; Child Support Svc"/>
    <x v="0"/>
    <m/>
    <n v="344.47"/>
    <n v="1764.46"/>
    <n v="-30.07"/>
    <n v="346.83"/>
    <n v="742.27"/>
    <n v="883.94"/>
    <n v="853.02"/>
    <n v="279.62"/>
    <n v="981.24"/>
    <n v="-150.22999999999999"/>
    <n v="472.63"/>
    <n v="-96.49"/>
    <n v="6391.6900000000005"/>
    <n v="569.12"/>
  </r>
  <r>
    <x v="5"/>
    <x v="9"/>
    <x v="0"/>
    <s v="5300501"/>
    <n v="700078"/>
    <s v="Salaries-Service/Support-NonProd-Other"/>
    <s v="Women's &amp; Child Support Svc"/>
    <x v="0"/>
    <n v="2000"/>
    <n v="0"/>
    <n v="0"/>
    <n v="0"/>
    <n v="0"/>
    <n v="0"/>
    <n v="0"/>
    <n v="0"/>
    <n v="9.9"/>
    <n v="-2.6"/>
    <n v="0"/>
    <n v="0"/>
    <n v="0"/>
    <n v="7.3000000000000007"/>
    <n v="0"/>
  </r>
  <r>
    <x v="5"/>
    <x v="9"/>
    <x v="0"/>
    <s v="5300501"/>
    <n v="700084"/>
    <s v="Accrued PTO"/>
    <s v="Women's &amp; Child Support Svc"/>
    <x v="0"/>
    <m/>
    <n v="3664.28"/>
    <n v="1777.53"/>
    <n v="3124.19"/>
    <n v="5385.31"/>
    <n v="-8482.7800000000007"/>
    <n v="-7406.9"/>
    <n v="3544.98"/>
    <n v="1921.72"/>
    <n v="3500.59"/>
    <n v="329.96"/>
    <n v="3211.04"/>
    <n v="6395.78"/>
    <n v="16965.7"/>
    <n v="-3184.74"/>
  </r>
  <r>
    <x v="6"/>
    <x v="9"/>
    <x v="0"/>
    <s v="5300501"/>
    <n v="713010"/>
    <s v="Benefits-FICA/Medicare"/>
    <s v="Women's &amp; Child Support Svc"/>
    <x v="0"/>
    <m/>
    <n v="4109.1499999999996"/>
    <n v="4192.82"/>
    <n v="4203.22"/>
    <n v="3241.5"/>
    <n v="2255.92"/>
    <n v="3780.34"/>
    <n v="4787.2299999999996"/>
    <n v="3584.86"/>
    <n v="3847.32"/>
    <n v="4245.62"/>
    <n v="2871.39"/>
    <n v="4355.2"/>
    <n v="45474.57"/>
    <n v="-1483.81"/>
  </r>
  <r>
    <x v="6"/>
    <x v="9"/>
    <x v="0"/>
    <s v="5300501"/>
    <n v="713090"/>
    <s v="Benefits-Allocated Amounts"/>
    <s v="Women's &amp; Child Support Svc"/>
    <x v="0"/>
    <m/>
    <n v="8438.8700000000008"/>
    <n v="7840.2"/>
    <n v="8507.66"/>
    <n v="7924.52"/>
    <n v="6560.72"/>
    <n v="8454.1200000000008"/>
    <n v="9480.2800000000007"/>
    <n v="7819.63"/>
    <n v="8988.7900000000009"/>
    <n v="7408.88"/>
    <n v="6338.1"/>
    <n v="9652.2999999999993"/>
    <n v="97414.070000000022"/>
    <n v="-3314.1999999999989"/>
  </r>
  <r>
    <x v="6"/>
    <x v="9"/>
    <x v="0"/>
    <s v="5300501"/>
    <n v="713096"/>
    <s v="Employee Recognition"/>
    <s v="Women's &amp; Child Support Svc"/>
    <x v="0"/>
    <n v="1017"/>
    <n v="0"/>
    <n v="0"/>
    <n v="0"/>
    <n v="0"/>
    <n v="88.08"/>
    <n v="0"/>
    <n v="0"/>
    <n v="361.56"/>
    <n v="762.34"/>
    <n v="42.84"/>
    <n v="0"/>
    <n v="0"/>
    <n v="1254.82"/>
    <n v="0"/>
  </r>
  <r>
    <x v="17"/>
    <x v="9"/>
    <x v="0"/>
    <s v="5300501"/>
    <n v="714510"/>
    <s v="Medical Director Fees"/>
    <s v="Women's &amp; Child Support Svc"/>
    <x v="0"/>
    <m/>
    <n v="4500"/>
    <n v="12900"/>
    <n v="8700"/>
    <n v="8700"/>
    <n v="8700"/>
    <n v="8400"/>
    <n v="8700"/>
    <n v="4200"/>
    <n v="8700"/>
    <n v="4500"/>
    <n v="17400"/>
    <n v="13200"/>
    <n v="108600"/>
    <n v="4200"/>
  </r>
  <r>
    <x v="7"/>
    <x v="9"/>
    <x v="0"/>
    <s v="5300501"/>
    <n v="718050"/>
    <s v="Contract Svcs-Other"/>
    <s v="Women's &amp; Child Support Svc"/>
    <x v="0"/>
    <m/>
    <n v="0"/>
    <n v="0"/>
    <n v="0"/>
    <n v="0"/>
    <n v="11.58"/>
    <n v="0"/>
    <n v="0"/>
    <n v="0"/>
    <n v="0"/>
    <n v="0"/>
    <n v="0"/>
    <n v="0"/>
    <n v="11.58"/>
    <n v="0"/>
  </r>
  <r>
    <x v="7"/>
    <x v="9"/>
    <x v="0"/>
    <s v="5300501"/>
    <n v="718050"/>
    <s v="Document Shredding/Storage"/>
    <s v="Women's &amp; Child Support Svc"/>
    <x v="0"/>
    <n v="1012"/>
    <n v="50.33"/>
    <n v="69.77"/>
    <n v="53.21"/>
    <n v="55.01"/>
    <n v="56.86"/>
    <n v="56.86"/>
    <n v="56.29"/>
    <n v="48.3"/>
    <n v="50.04"/>
    <n v="65.47"/>
    <n v="55.01"/>
    <n v="364.28"/>
    <n v="981.43000000000006"/>
    <n v="-309.27"/>
  </r>
  <r>
    <x v="7"/>
    <x v="9"/>
    <x v="0"/>
    <s v="5300501"/>
    <n v="718050"/>
    <s v="Miscellaneous Purchased Svcs"/>
    <s v="Women's &amp; Child Support Svc"/>
    <x v="0"/>
    <n v="1020"/>
    <n v="15.71"/>
    <n v="32.82"/>
    <n v="26.19"/>
    <n v="0"/>
    <n v="31.32"/>
    <n v="12.68"/>
    <n v="38.880000000000003"/>
    <n v="24.27"/>
    <n v="12.68"/>
    <n v="18.22"/>
    <n v="11.59"/>
    <n v="12.69"/>
    <n v="237.05"/>
    <n v="-1.0999999999999996"/>
  </r>
  <r>
    <x v="11"/>
    <x v="9"/>
    <x v="0"/>
    <s v="5300501"/>
    <n v="721810"/>
    <s v="Supplies-Dietary/Cafeteria"/>
    <s v="Women's &amp; Child Support Svc"/>
    <x v="0"/>
    <m/>
    <n v="289.86"/>
    <n v="365.5"/>
    <n v="457.3"/>
    <n v="1881.77"/>
    <n v="429.47"/>
    <n v="109.92"/>
    <n v="54.88"/>
    <n v="35.43"/>
    <n v="86.12"/>
    <n v="54.19"/>
    <n v="35.43"/>
    <n v="0"/>
    <n v="3799.8700000000003"/>
    <n v="35.43"/>
  </r>
  <r>
    <x v="11"/>
    <x v="9"/>
    <x v="0"/>
    <s v="5300501"/>
    <n v="721830"/>
    <s v="Supplies-Office"/>
    <s v="Women's &amp; Child Support Svc"/>
    <x v="0"/>
    <m/>
    <n v="214.62"/>
    <n v="141.34"/>
    <n v="112.48"/>
    <n v="221.69"/>
    <n v="0"/>
    <n v="117.13"/>
    <n v="202.26"/>
    <n v="64.540000000000006"/>
    <n v="26.58"/>
    <n v="302.45"/>
    <n v="0"/>
    <n v="0"/>
    <n v="1403.0900000000001"/>
    <n v="0"/>
  </r>
  <r>
    <x v="11"/>
    <x v="9"/>
    <x v="0"/>
    <s v="5300501"/>
    <n v="721835"/>
    <s v="Supplies-Forms"/>
    <s v="Women's &amp; Child Support Svc"/>
    <x v="0"/>
    <m/>
    <n v="0"/>
    <n v="0"/>
    <n v="28.79"/>
    <n v="0"/>
    <n v="35.68"/>
    <n v="0"/>
    <n v="0"/>
    <n v="0"/>
    <n v="323.87"/>
    <n v="30"/>
    <n v="0"/>
    <n v="0"/>
    <n v="418.34000000000003"/>
    <n v="0"/>
  </r>
  <r>
    <x v="11"/>
    <x v="9"/>
    <x v="0"/>
    <s v="5300501"/>
    <n v="721910"/>
    <s v="Supplies-Small Equipment"/>
    <s v="Women's &amp; Child Support Svc"/>
    <x v="0"/>
    <m/>
    <n v="0"/>
    <n v="0"/>
    <n v="0"/>
    <n v="0"/>
    <n v="0"/>
    <n v="0"/>
    <n v="454.71"/>
    <n v="865.31"/>
    <n v="87.39"/>
    <n v="0"/>
    <n v="0"/>
    <n v="0"/>
    <n v="1407.41"/>
    <n v="0"/>
  </r>
  <r>
    <x v="11"/>
    <x v="9"/>
    <x v="0"/>
    <s v="5300501"/>
    <n v="721980"/>
    <s v="Supplies-Other"/>
    <s v="Women's &amp; Child Support Svc"/>
    <x v="0"/>
    <m/>
    <n v="0"/>
    <n v="57.58"/>
    <n v="75.8"/>
    <n v="0"/>
    <n v="0"/>
    <n v="0"/>
    <n v="0"/>
    <n v="0"/>
    <n v="107.15"/>
    <n v="40.68"/>
    <n v="0"/>
    <n v="0"/>
    <n v="281.20999999999998"/>
    <n v="0"/>
  </r>
  <r>
    <x v="11"/>
    <x v="9"/>
    <x v="0"/>
    <s v="5300501"/>
    <n v="723000"/>
    <s v="Supply Rebates/Patronage Dividend"/>
    <s v="Women's &amp; Child Support Svc"/>
    <x v="0"/>
    <m/>
    <n v="0"/>
    <n v="0"/>
    <n v="0"/>
    <n v="0"/>
    <n v="0"/>
    <n v="0"/>
    <n v="0"/>
    <n v="0"/>
    <n v="0"/>
    <n v="0"/>
    <n v="0"/>
    <n v="-0.98"/>
    <n v="-0.98"/>
    <n v="0.98"/>
  </r>
  <r>
    <x v="12"/>
    <x v="9"/>
    <x v="0"/>
    <s v="5300501"/>
    <n v="730010"/>
    <s v="Rental and Leases-Building (DO NOT USE)"/>
    <s v="Women's &amp; Child Support Svc"/>
    <x v="0"/>
    <m/>
    <n v="7154.1"/>
    <n v="7154.1"/>
    <n v="7154.1"/>
    <n v="7154.1"/>
    <n v="7154.1"/>
    <n v="-11221.7"/>
    <n v="4099.0200000000004"/>
    <n v="4099.0200000000004"/>
    <n v="4099.0200000000004"/>
    <n v="4168.43"/>
    <n v="4201.49"/>
    <n v="0"/>
    <n v="45215.78"/>
    <n v="4201.49"/>
  </r>
  <r>
    <x v="12"/>
    <x v="9"/>
    <x v="0"/>
    <s v="5300501"/>
    <n v="730010"/>
    <s v="Rental-Common Area Maint (DO NOT USE)"/>
    <s v="Women's &amp; Child Support Svc"/>
    <x v="0"/>
    <n v="2200"/>
    <n v="0"/>
    <n v="0"/>
    <n v="0"/>
    <n v="0"/>
    <n v="0"/>
    <n v="18183.330000000002"/>
    <n v="2862.61"/>
    <n v="2862.61"/>
    <n v="-641.84"/>
    <n v="2862.61"/>
    <n v="2862.61"/>
    <n v="0"/>
    <n v="28991.930000000004"/>
    <n v="2862.61"/>
  </r>
  <r>
    <x v="12"/>
    <x v="9"/>
    <x v="0"/>
    <s v="5300501"/>
    <n v="730020"/>
    <s v="Rental and Leases-Copier Usage Fees (DO NOT USE)"/>
    <s v="Women's &amp; Child Support Svc"/>
    <x v="0"/>
    <n v="5100"/>
    <n v="124.46"/>
    <n v="120.36"/>
    <n v="122.41"/>
    <n v="122.41"/>
    <n v="122.41"/>
    <n v="122.41"/>
    <n v="563.79"/>
    <n v="37.159999999999997"/>
    <n v="37.090000000000003"/>
    <n v="488.29"/>
    <n v="37.159999999999997"/>
    <n v="55.44"/>
    <n v="1953.39"/>
    <n v="-18.28"/>
  </r>
  <r>
    <x v="12"/>
    <x v="9"/>
    <x v="0"/>
    <s v="5300501"/>
    <n v="730040"/>
    <s v="LT Lease-Real Estate"/>
    <s v="Women's &amp; Child Support Svc"/>
    <x v="0"/>
    <m/>
    <n v="0"/>
    <n v="0"/>
    <n v="0"/>
    <n v="0"/>
    <n v="0"/>
    <n v="0"/>
    <n v="0"/>
    <n v="0"/>
    <n v="0"/>
    <n v="0"/>
    <n v="0"/>
    <n v="7064.1"/>
    <n v="7064.1"/>
    <n v="-7064.1"/>
  </r>
  <r>
    <x v="15"/>
    <x v="9"/>
    <x v="0"/>
    <s v="5300501"/>
    <n v="731060"/>
    <s v="Cell Phones"/>
    <s v="Women's &amp; Child Support Svc"/>
    <x v="0"/>
    <n v="1001"/>
    <n v="0"/>
    <n v="0"/>
    <n v="0"/>
    <n v="0"/>
    <n v="0"/>
    <n v="0"/>
    <n v="0"/>
    <n v="0"/>
    <n v="132.09"/>
    <n v="33.79"/>
    <n v="16.940000000000001"/>
    <n v="17.600000000000001"/>
    <n v="200.42"/>
    <n v="-0.66000000000000014"/>
  </r>
  <r>
    <x v="16"/>
    <x v="9"/>
    <x v="0"/>
    <s v="5300501"/>
    <n v="732030"/>
    <s v="Repairs&amp;Maintenance-Bldg Routine"/>
    <s v="Women's &amp; Child Support Svc"/>
    <x v="0"/>
    <n v="2300"/>
    <n v="0"/>
    <n v="0"/>
    <n v="30.36"/>
    <n v="0"/>
    <n v="0"/>
    <n v="-14.96"/>
    <n v="0"/>
    <n v="0"/>
    <n v="0"/>
    <n v="0"/>
    <n v="0"/>
    <n v="0"/>
    <n v="15.399999999999999"/>
    <n v="0"/>
  </r>
  <r>
    <x v="0"/>
    <x v="9"/>
    <x v="0"/>
    <s v="5300501"/>
    <n v="740010"/>
    <s v="Education-Materials"/>
    <s v="Women's &amp; Child Support Svc"/>
    <x v="0"/>
    <m/>
    <n v="0"/>
    <n v="0"/>
    <n v="113.95"/>
    <n v="0"/>
    <n v="0"/>
    <n v="2416.19"/>
    <n v="870.85"/>
    <n v="0"/>
    <n v="0"/>
    <n v="0"/>
    <n v="0"/>
    <n v="0"/>
    <n v="3400.99"/>
    <n v="0"/>
  </r>
  <r>
    <x v="0"/>
    <x v="9"/>
    <x v="0"/>
    <s v="5300501"/>
    <n v="740020"/>
    <s v="Education-Registration Fees"/>
    <s v="Women's &amp; Child Support Svc"/>
    <x v="0"/>
    <m/>
    <n v="0"/>
    <n v="0"/>
    <n v="0"/>
    <n v="0"/>
    <n v="0"/>
    <n v="0"/>
    <n v="0"/>
    <n v="9055.94"/>
    <n v="212.5"/>
    <n v="689"/>
    <n v="0"/>
    <n v="599"/>
    <n v="10556.44"/>
    <n v="-599"/>
  </r>
  <r>
    <x v="0"/>
    <x v="9"/>
    <x v="0"/>
    <s v="5300501"/>
    <n v="740030"/>
    <s v="Education-Travel"/>
    <s v="Women's &amp; Child Support Svc"/>
    <x v="0"/>
    <m/>
    <n v="0"/>
    <n v="0"/>
    <n v="0"/>
    <n v="0"/>
    <n v="0"/>
    <n v="0"/>
    <n v="0"/>
    <n v="1143.2"/>
    <n v="0"/>
    <n v="0"/>
    <n v="0"/>
    <n v="0"/>
    <n v="1143.2"/>
    <n v="0"/>
  </r>
  <r>
    <x v="0"/>
    <x v="9"/>
    <x v="0"/>
    <s v="5300501"/>
    <n v="743010"/>
    <s v="Dues--Institutional"/>
    <s v="Women's &amp; Child Support Svc"/>
    <x v="0"/>
    <m/>
    <n v="0"/>
    <n v="0"/>
    <n v="447"/>
    <n v="0"/>
    <n v="0"/>
    <n v="0"/>
    <n v="0"/>
    <n v="0"/>
    <n v="154.5"/>
    <n v="0"/>
    <n v="0"/>
    <n v="0"/>
    <n v="601.5"/>
    <n v="0"/>
  </r>
  <r>
    <x v="0"/>
    <x v="9"/>
    <x v="0"/>
    <s v="5300501"/>
    <n v="743030"/>
    <s v="Subscriptions--Institutional"/>
    <s v="Women's &amp; Child Support Svc"/>
    <x v="0"/>
    <m/>
    <n v="0"/>
    <n v="0"/>
    <n v="0"/>
    <n v="0"/>
    <n v="0"/>
    <n v="0"/>
    <n v="4635"/>
    <n v="0"/>
    <n v="0"/>
    <n v="1892.49"/>
    <n v="0"/>
    <n v="0"/>
    <n v="6527.49"/>
    <n v="0"/>
  </r>
  <r>
    <x v="0"/>
    <x v="9"/>
    <x v="0"/>
    <s v="5300501"/>
    <n v="743040"/>
    <s v="Subscriptions--Individual"/>
    <s v="Women's &amp; Child Support Svc"/>
    <x v="0"/>
    <m/>
    <n v="0"/>
    <n v="0"/>
    <n v="0"/>
    <n v="0"/>
    <n v="0"/>
    <n v="0"/>
    <n v="0"/>
    <n v="16.46"/>
    <n v="300"/>
    <n v="120"/>
    <n v="0"/>
    <n v="0"/>
    <n v="436.46"/>
    <n v="0"/>
  </r>
  <r>
    <x v="0"/>
    <x v="9"/>
    <x v="0"/>
    <s v="5300501"/>
    <n v="749510"/>
    <s v="Miscellaneous Expenses"/>
    <s v="Women's &amp; Child Support Svc"/>
    <x v="0"/>
    <m/>
    <n v="-4005.12"/>
    <n v="1989.59"/>
    <n v="-1092.94"/>
    <n v="119.2"/>
    <n v="2335.11"/>
    <n v="1640.99"/>
    <n v="-350.15"/>
    <n v="3713.28"/>
    <n v="-7609.47"/>
    <n v="-5386.21"/>
    <n v="1581.7"/>
    <n v="-1008.15"/>
    <n v="-8072.170000000001"/>
    <n v="2589.85"/>
  </r>
  <r>
    <x v="0"/>
    <x v="9"/>
    <x v="0"/>
    <s v="5300501"/>
    <n v="749510"/>
    <s v="RICE Rewards"/>
    <s v="Women's &amp; Child Support Svc"/>
    <x v="0"/>
    <n v="5100"/>
    <n v="0"/>
    <n v="0"/>
    <n v="0"/>
    <n v="0"/>
    <n v="0"/>
    <n v="0"/>
    <n v="0"/>
    <n v="0"/>
    <n v="0"/>
    <n v="221.46"/>
    <n v="0"/>
    <n v="0"/>
    <n v="221.46"/>
    <n v="0"/>
  </r>
  <r>
    <x v="0"/>
    <x v="9"/>
    <x v="0"/>
    <s v="5300501"/>
    <n v="749530"/>
    <s v="Travel"/>
    <s v="Women's &amp; Child Support Svc"/>
    <x v="0"/>
    <m/>
    <n v="0"/>
    <n v="0"/>
    <n v="2242.1999999999998"/>
    <n v="0"/>
    <n v="69.150000000000006"/>
    <n v="291.35000000000002"/>
    <n v="176.41"/>
    <n v="1669.31"/>
    <n v="90.2"/>
    <n v="222.32"/>
    <n v="114.15"/>
    <n v="4173.42"/>
    <n v="9048.5099999999984"/>
    <n v="-4059.27"/>
  </r>
  <r>
    <x v="0"/>
    <x v="9"/>
    <x v="0"/>
    <s v="5300501"/>
    <n v="749530"/>
    <s v="Mileage"/>
    <s v="Women's &amp; Child Support Svc"/>
    <x v="0"/>
    <n v="1001"/>
    <n v="0"/>
    <n v="0"/>
    <n v="473.67"/>
    <n v="61.04"/>
    <n v="110.65"/>
    <n v="0"/>
    <n v="306.48"/>
    <n v="49.88"/>
    <n v="87"/>
    <n v="334.08"/>
    <n v="389.76"/>
    <n v="220.4"/>
    <n v="2032.96"/>
    <n v="169.35999999999999"/>
  </r>
  <r>
    <x v="0"/>
    <x v="9"/>
    <x v="0"/>
    <s v="5300501"/>
    <n v="749535"/>
    <s v="Meetings"/>
    <s v="Women's &amp; Child Support Svc"/>
    <x v="0"/>
    <m/>
    <n v="0"/>
    <n v="0"/>
    <n v="369.92"/>
    <n v="0"/>
    <n v="0"/>
    <n v="0"/>
    <n v="0"/>
    <n v="0"/>
    <n v="356.56"/>
    <n v="773.21"/>
    <n v="612.48"/>
    <n v="659.57"/>
    <n v="2771.7400000000002"/>
    <n v="-47.090000000000032"/>
  </r>
  <r>
    <x v="18"/>
    <x v="3"/>
    <x v="0"/>
    <s v="5302101"/>
    <n v="400010"/>
    <s v="Acute I/P Svcs Rev--Medicaid"/>
    <s v="Lactation"/>
    <x v="0"/>
    <n v="1200"/>
    <n v="0"/>
    <n v="0"/>
    <n v="0"/>
    <n v="0"/>
    <n v="0"/>
    <n v="0"/>
    <n v="0"/>
    <n v="0"/>
    <n v="0"/>
    <n v="0"/>
    <n v="0"/>
    <n v="0"/>
    <n v="0"/>
    <n v="0"/>
  </r>
  <r>
    <x v="18"/>
    <x v="3"/>
    <x v="0"/>
    <s v="5302101"/>
    <n v="400010"/>
    <s v="Acute I/P Svcs Rev--BCBS Comm"/>
    <s v="Lactation"/>
    <x v="0"/>
    <n v="1301"/>
    <n v="0"/>
    <n v="0"/>
    <n v="0"/>
    <n v="0"/>
    <n v="0"/>
    <n v="0"/>
    <n v="0"/>
    <n v="0"/>
    <n v="0"/>
    <n v="0"/>
    <n v="0"/>
    <n v="0"/>
    <n v="0"/>
    <n v="0"/>
  </r>
  <r>
    <x v="19"/>
    <x v="3"/>
    <x v="0"/>
    <s v="5302101"/>
    <n v="400020"/>
    <s v="O/P Care Svcs Rev--Medicare"/>
    <s v="Lactation"/>
    <x v="0"/>
    <n v="1100"/>
    <n v="0"/>
    <n v="0"/>
    <n v="0"/>
    <n v="-214"/>
    <n v="214"/>
    <n v="0"/>
    <n v="0"/>
    <n v="0"/>
    <n v="0"/>
    <n v="0"/>
    <n v="0"/>
    <n v="0"/>
    <n v="0"/>
    <n v="0"/>
  </r>
  <r>
    <x v="19"/>
    <x v="3"/>
    <x v="0"/>
    <s v="5302101"/>
    <n v="400020"/>
    <s v="O/P Care Svcs Rev--Medicaid"/>
    <s v="Lactation"/>
    <x v="0"/>
    <n v="1200"/>
    <n v="-18049.55"/>
    <n v="-22190.55"/>
    <n v="-19662.099999999999"/>
    <n v="-22511"/>
    <n v="-21999"/>
    <n v="-20582"/>
    <n v="-24364"/>
    <n v="-16877"/>
    <n v="-25262"/>
    <n v="-27227"/>
    <n v="-23878"/>
    <n v="-17837"/>
    <n v="-260439.2"/>
    <n v="-6041"/>
  </r>
  <r>
    <x v="19"/>
    <x v="3"/>
    <x v="0"/>
    <s v="5302101"/>
    <n v="400020"/>
    <s v="O/P Care Svcs Rev--Comm Insurance"/>
    <s v="Lactation"/>
    <x v="0"/>
    <n v="1300"/>
    <n v="-368"/>
    <n v="-2453"/>
    <n v="-3310"/>
    <n v="-2610"/>
    <n v="-3259"/>
    <n v="-1673"/>
    <n v="-1405"/>
    <n v="-258"/>
    <n v="-2844"/>
    <n v="-5789"/>
    <n v="-1967"/>
    <n v="-2814"/>
    <n v="-28750"/>
    <n v="847"/>
  </r>
  <r>
    <x v="19"/>
    <x v="3"/>
    <x v="0"/>
    <s v="5302101"/>
    <n v="400020"/>
    <s v="O/P Care Svcs Rev--BCBS Comm"/>
    <s v="Lactation"/>
    <x v="0"/>
    <n v="1301"/>
    <n v="-13252.35"/>
    <n v="-20522.45"/>
    <n v="-10465"/>
    <n v="-15471"/>
    <n v="-13582"/>
    <n v="-9474"/>
    <n v="-11599"/>
    <n v="-6121"/>
    <n v="-13538"/>
    <n v="-11783"/>
    <n v="-15702"/>
    <n v="-15411"/>
    <n v="-156920.79999999999"/>
    <n v="-291"/>
  </r>
  <r>
    <x v="19"/>
    <x v="3"/>
    <x v="0"/>
    <s v="5302101"/>
    <n v="400020"/>
    <s v="O/P Care Svcs Rev--Managed Care"/>
    <s v="Lactation"/>
    <x v="0"/>
    <n v="1400"/>
    <n v="-46262.15"/>
    <n v="-41344.300000000003"/>
    <n v="-27609.9"/>
    <n v="-41988"/>
    <n v="-36170"/>
    <n v="-40086"/>
    <n v="-42368"/>
    <n v="-26874"/>
    <n v="-40574"/>
    <n v="-37788"/>
    <n v="-38365"/>
    <n v="-30942"/>
    <n v="-450371.35"/>
    <n v="-7423"/>
  </r>
  <r>
    <x v="19"/>
    <x v="3"/>
    <x v="0"/>
    <s v="5302101"/>
    <n v="400020"/>
    <s v="O/P Care Svcs Rev--Self Pay"/>
    <s v="Lactation"/>
    <x v="0"/>
    <n v="1500"/>
    <n v="-2402.1"/>
    <n v="-2846.05"/>
    <n v="-3650"/>
    <n v="-3039"/>
    <n v="-2928"/>
    <n v="-2376"/>
    <n v="-2416"/>
    <n v="-3286"/>
    <n v="-2709"/>
    <n v="-1198"/>
    <n v="-2673"/>
    <n v="-798"/>
    <n v="-30321.15"/>
    <n v="-1875"/>
  </r>
  <r>
    <x v="19"/>
    <x v="3"/>
    <x v="0"/>
    <s v="5302101"/>
    <n v="400020"/>
    <s v="O/P Care Svcs Rev--Other"/>
    <s v="Lactation"/>
    <x v="0"/>
    <n v="1700"/>
    <n v="-7972.3"/>
    <n v="-8962.15"/>
    <n v="-8418"/>
    <n v="-7593"/>
    <n v="-9162"/>
    <n v="-8827"/>
    <n v="-6848"/>
    <n v="-7345"/>
    <n v="-8456"/>
    <n v="-10349"/>
    <n v="-7283"/>
    <n v="-8057"/>
    <n v="-99272.45"/>
    <n v="774"/>
  </r>
  <r>
    <x v="1"/>
    <x v="3"/>
    <x v="0"/>
    <s v="5302101"/>
    <n v="400040"/>
    <s v="Physician Svcs Rev--Medicaid"/>
    <s v="Lactation"/>
    <x v="0"/>
    <n v="1200"/>
    <n v="0"/>
    <n v="0"/>
    <n v="0"/>
    <n v="0"/>
    <n v="0"/>
    <n v="-70"/>
    <n v="70"/>
    <n v="0"/>
    <n v="0"/>
    <n v="0"/>
    <n v="0"/>
    <n v="0"/>
    <n v="0"/>
    <n v="0"/>
  </r>
  <r>
    <x v="2"/>
    <x v="3"/>
    <x v="0"/>
    <s v="5302101"/>
    <n v="450040"/>
    <s v="Contr Allow--Phys Svcs--BCBS Mgnd Care"/>
    <s v="Lactation"/>
    <x v="0"/>
    <n v="1401"/>
    <n v="0"/>
    <n v="0"/>
    <n v="0"/>
    <n v="97.71"/>
    <n v="-0.02"/>
    <n v="37.700000000000003"/>
    <n v="-34.29"/>
    <n v="1.46"/>
    <n v="7.0000000000000007E-2"/>
    <n v="-34.51"/>
    <n v="1.21"/>
    <n v="-69.33"/>
    <n v="0"/>
    <n v="70.539999999999992"/>
  </r>
  <r>
    <x v="2"/>
    <x v="3"/>
    <x v="0"/>
    <s v="5302101"/>
    <n v="450040"/>
    <s v="Prompt Pay Disc-Phys Svcs-Self Pay"/>
    <s v="Lactation"/>
    <x v="0"/>
    <n v="1500"/>
    <n v="0"/>
    <n v="0"/>
    <n v="0"/>
    <n v="0"/>
    <n v="0"/>
    <n v="0"/>
    <n v="0"/>
    <n v="0"/>
    <n v="0"/>
    <n v="0"/>
    <n v="0"/>
    <n v="132.30000000000001"/>
    <n v="132.30000000000001"/>
    <n v="-132.30000000000001"/>
  </r>
  <r>
    <x v="3"/>
    <x v="3"/>
    <x v="0"/>
    <s v="5302101"/>
    <n v="470040"/>
    <s v="Charity Care-Physician Svcs"/>
    <s v="Lactation"/>
    <x v="0"/>
    <m/>
    <n v="0"/>
    <n v="0"/>
    <n v="0"/>
    <n v="3.35"/>
    <n v="0.14000000000000001"/>
    <n v="0.81"/>
    <n v="-1.22"/>
    <n v="-0.2"/>
    <n v="0.49"/>
    <n v="-1.25"/>
    <n v="-0.24"/>
    <n v="-1.88"/>
    <n v="0"/>
    <n v="1.64"/>
  </r>
  <r>
    <x v="4"/>
    <x v="3"/>
    <x v="0"/>
    <s v="5302101"/>
    <n v="490010"/>
    <s v="Provision for Bad Debts"/>
    <s v="Lactation"/>
    <x v="0"/>
    <m/>
    <n v="-125.46"/>
    <n v="0"/>
    <n v="0"/>
    <n v="12.07"/>
    <n v="-32.76"/>
    <n v="-29.79"/>
    <n v="-5.61"/>
    <n v="-0.73"/>
    <n v="0.65"/>
    <n v="-3.72"/>
    <n v="-0.08"/>
    <n v="-6.87"/>
    <n v="-192.29999999999998"/>
    <n v="6.79"/>
  </r>
  <r>
    <x v="14"/>
    <x v="3"/>
    <x v="0"/>
    <s v="5302101"/>
    <n v="600026"/>
    <s v="POB Rental"/>
    <s v="Lactation"/>
    <x v="0"/>
    <n v="1001"/>
    <n v="-396.5"/>
    <n v="-501"/>
    <n v="-446"/>
    <n v="-108.3"/>
    <n v="-289.3"/>
    <n v="-683"/>
    <n v="-616.5"/>
    <n v="-231.5"/>
    <n v="-309"/>
    <n v="-150"/>
    <n v="-76.5"/>
    <n v="-171"/>
    <n v="-3978.6"/>
    <n v="94.5"/>
  </r>
  <r>
    <x v="14"/>
    <x v="3"/>
    <x v="0"/>
    <s v="5302101"/>
    <n v="600050"/>
    <s v="Miscellaneous Revenue"/>
    <s v="Lactation"/>
    <x v="0"/>
    <m/>
    <n v="-4582.57"/>
    <n v="-4225.09"/>
    <n v="-3582.8"/>
    <n v="-6438.26"/>
    <n v="-3900.06"/>
    <n v="-1713.97"/>
    <n v="-483.37"/>
    <n v="-427.36"/>
    <n v="-3114.4"/>
    <n v="-5713.72"/>
    <n v="-1201.8900000000001"/>
    <n v="1935.33"/>
    <n v="-33448.160000000003"/>
    <n v="-3137.2200000000003"/>
  </r>
  <r>
    <x v="20"/>
    <x v="3"/>
    <x v="0"/>
    <s v="5302101"/>
    <n v="610010"/>
    <s v="Foundation Distributions"/>
    <s v="Lactation"/>
    <x v="0"/>
    <n v="1175"/>
    <n v="0"/>
    <n v="0"/>
    <n v="0"/>
    <n v="0"/>
    <n v="0"/>
    <n v="0"/>
    <n v="0"/>
    <n v="0"/>
    <n v="0"/>
    <n v="0"/>
    <n v="0"/>
    <n v="-2500"/>
    <n v="-2500"/>
    <n v="2500"/>
  </r>
  <r>
    <x v="5"/>
    <x v="3"/>
    <x v="0"/>
    <s v="5302101"/>
    <n v="700018"/>
    <s v="Salaries-Supervisory-Productive"/>
    <s v="Lactation"/>
    <x v="0"/>
    <m/>
    <n v="0"/>
    <n v="0"/>
    <n v="0"/>
    <n v="12829.85"/>
    <n v="9947.73"/>
    <n v="7892.18"/>
    <n v="7406.44"/>
    <n v="7604.76"/>
    <n v="10294.74"/>
    <n v="9962.33"/>
    <n v="9398.1299999999992"/>
    <n v="9464.61"/>
    <n v="84800.77"/>
    <n v="-66.480000000001382"/>
  </r>
  <r>
    <x v="5"/>
    <x v="3"/>
    <x v="0"/>
    <s v="5302101"/>
    <n v="700026"/>
    <s v="Salaries-RN-Productive"/>
    <s v="Lactation"/>
    <x v="0"/>
    <m/>
    <n v="21820.33"/>
    <n v="24355.67"/>
    <n v="24841.55"/>
    <n v="13600.79"/>
    <n v="19914.82"/>
    <n v="13666.44"/>
    <n v="21754.13"/>
    <n v="7868.15"/>
    <n v="22873.360000000001"/>
    <n v="15056.3"/>
    <n v="18498.509999999998"/>
    <n v="14596.67"/>
    <n v="218846.72"/>
    <n v="3901.8399999999983"/>
  </r>
  <r>
    <x v="5"/>
    <x v="3"/>
    <x v="0"/>
    <s v="5302101"/>
    <n v="700026"/>
    <s v="Salaries-RN-OT"/>
    <s v="Lactation"/>
    <x v="0"/>
    <n v="1000"/>
    <n v="153.72999999999999"/>
    <n v="284.26"/>
    <n v="-29.27"/>
    <n v="348.36"/>
    <n v="-70.38"/>
    <n v="72.900000000000006"/>
    <n v="70.48"/>
    <n v="0"/>
    <n v="108.23"/>
    <n v="163.63"/>
    <n v="-25.16"/>
    <n v="56.63"/>
    <n v="1133.4100000000001"/>
    <n v="-81.790000000000006"/>
  </r>
  <r>
    <x v="5"/>
    <x v="3"/>
    <x v="0"/>
    <s v="5302101"/>
    <n v="700026"/>
    <s v="Salaries-RN-Other"/>
    <s v="Lactation"/>
    <x v="0"/>
    <n v="2000"/>
    <n v="374.5"/>
    <n v="338.19"/>
    <n v="143.65"/>
    <n v="431.71"/>
    <n v="78.62"/>
    <n v="516.44000000000005"/>
    <n v="907.21"/>
    <n v="169.22"/>
    <n v="221.35"/>
    <n v="426.93"/>
    <n v="55.65"/>
    <n v="736.43"/>
    <n v="4399.8999999999996"/>
    <n v="-680.78"/>
  </r>
  <r>
    <x v="5"/>
    <x v="3"/>
    <x v="0"/>
    <s v="5302101"/>
    <n v="700032"/>
    <s v="Salaries-Other Pat Care Providers-Productive"/>
    <s v="Lactation"/>
    <x v="0"/>
    <m/>
    <n v="262.85000000000002"/>
    <n v="1474.18"/>
    <n v="403.48"/>
    <n v="963.29"/>
    <n v="2792.92"/>
    <n v="-655.84"/>
    <n v="266.85000000000002"/>
    <n v="-23.16"/>
    <n v="697.78"/>
    <n v="291.18"/>
    <n v="1211.6099999999999"/>
    <n v="956.51"/>
    <n v="8641.65"/>
    <n v="255.09999999999991"/>
  </r>
  <r>
    <x v="5"/>
    <x v="3"/>
    <x v="0"/>
    <s v="5302101"/>
    <n v="700032"/>
    <s v="Salaries-Other Pat Care Providers-Other"/>
    <s v="Lactation"/>
    <x v="0"/>
    <n v="2000"/>
    <n v="1059.06"/>
    <n v="1396.2"/>
    <n v="1896.35"/>
    <n v="2481.4899999999998"/>
    <n v="1826.5"/>
    <n v="1533.19"/>
    <n v="1829.65"/>
    <n v="1609.67"/>
    <n v="1881.25"/>
    <n v="1629.83"/>
    <n v="1968.9"/>
    <n v="1695.53"/>
    <n v="20807.620000000003"/>
    <n v="273.37000000000012"/>
  </r>
  <r>
    <x v="5"/>
    <x v="3"/>
    <x v="0"/>
    <s v="5302101"/>
    <n v="700034"/>
    <s v="Salaries-Tech/Professional-Productive"/>
    <s v="Lactation"/>
    <x v="0"/>
    <m/>
    <n v="0"/>
    <n v="0"/>
    <n v="0"/>
    <n v="0"/>
    <n v="0"/>
    <n v="0"/>
    <n v="0"/>
    <n v="0"/>
    <n v="0"/>
    <n v="512.33000000000004"/>
    <n v="-213.45"/>
    <n v="0"/>
    <n v="298.88000000000005"/>
    <n v="-213.45"/>
  </r>
  <r>
    <x v="5"/>
    <x v="3"/>
    <x v="0"/>
    <s v="5302101"/>
    <n v="700034"/>
    <s v="Salaries-Tech/Professional-OT"/>
    <s v="Lactation"/>
    <x v="0"/>
    <n v="1000"/>
    <n v="0"/>
    <n v="0"/>
    <n v="0"/>
    <n v="0"/>
    <n v="0"/>
    <n v="0"/>
    <n v="0"/>
    <n v="0"/>
    <n v="0"/>
    <n v="170.78"/>
    <n v="-71.14"/>
    <n v="0"/>
    <n v="99.64"/>
    <n v="-71.14"/>
  </r>
  <r>
    <x v="5"/>
    <x v="3"/>
    <x v="0"/>
    <s v="5302101"/>
    <n v="700038"/>
    <s v="Salaries-Service/Support-Productive"/>
    <s v="Lactation"/>
    <x v="0"/>
    <m/>
    <n v="3956.46"/>
    <n v="3877.44"/>
    <n v="4080.31"/>
    <n v="4326.63"/>
    <n v="3820.72"/>
    <n v="3659.41"/>
    <n v="4122.41"/>
    <n v="3108.74"/>
    <n v="3882.93"/>
    <n v="3866.1"/>
    <n v="3736.33"/>
    <n v="3461.7"/>
    <n v="45899.18"/>
    <n v="274.63000000000011"/>
  </r>
  <r>
    <x v="5"/>
    <x v="3"/>
    <x v="0"/>
    <s v="5302101"/>
    <n v="700038"/>
    <s v="Salaries-Service/Support-OT"/>
    <s v="Lactation"/>
    <x v="0"/>
    <n v="1000"/>
    <n v="0"/>
    <n v="0"/>
    <n v="0"/>
    <n v="0"/>
    <n v="0"/>
    <n v="0"/>
    <n v="0"/>
    <n v="0"/>
    <n v="0"/>
    <n v="115.31"/>
    <n v="0"/>
    <n v="0"/>
    <n v="115.31"/>
    <n v="0"/>
  </r>
  <r>
    <x v="5"/>
    <x v="3"/>
    <x v="0"/>
    <s v="5302101"/>
    <n v="700038"/>
    <s v="Salaries-Service/Support-Other"/>
    <s v="Lactation"/>
    <x v="0"/>
    <n v="2000"/>
    <n v="74.569999999999993"/>
    <n v="180.83"/>
    <n v="37.06"/>
    <n v="90.12"/>
    <n v="154.63999999999999"/>
    <n v="60.65"/>
    <n v="102.56"/>
    <n v="292.67"/>
    <n v="204.3"/>
    <n v="269.48"/>
    <n v="173.36"/>
    <n v="305.89999999999998"/>
    <n v="1946.1400000000003"/>
    <n v="-132.53999999999996"/>
  </r>
  <r>
    <x v="5"/>
    <x v="3"/>
    <x v="0"/>
    <s v="5302101"/>
    <n v="700058"/>
    <s v="Salaries-Supervisory-Non-productive"/>
    <s v="Lactation"/>
    <x v="0"/>
    <m/>
    <n v="0"/>
    <n v="0"/>
    <n v="0"/>
    <n v="0"/>
    <n v="0"/>
    <n v="2387.4899999999998"/>
    <n v="2889.27"/>
    <n v="1693.67"/>
    <n v="0"/>
    <n v="0"/>
    <n v="896.61"/>
    <n v="498.18"/>
    <n v="8365.2199999999993"/>
    <n v="398.43"/>
  </r>
  <r>
    <x v="5"/>
    <x v="3"/>
    <x v="0"/>
    <s v="5302101"/>
    <n v="700058"/>
    <s v="Salaries-Supervisory-NonProd-Other"/>
    <s v="Lactation"/>
    <x v="0"/>
    <n v="2000"/>
    <n v="0"/>
    <n v="0"/>
    <n v="0"/>
    <n v="0"/>
    <n v="782.73"/>
    <n v="1565.46"/>
    <n v="0"/>
    <n v="-2348.19"/>
    <n v="0"/>
    <n v="0"/>
    <n v="0"/>
    <n v="0"/>
    <n v="0"/>
    <n v="0"/>
  </r>
  <r>
    <x v="5"/>
    <x v="3"/>
    <x v="0"/>
    <s v="5302101"/>
    <n v="700066"/>
    <s v="Salaries-RN-Non-productive"/>
    <s v="Lactation"/>
    <x v="0"/>
    <m/>
    <n v="10421.81"/>
    <n v="4187.5600000000004"/>
    <n v="4009.01"/>
    <n v="6010.25"/>
    <n v="193.33"/>
    <n v="8831.56"/>
    <n v="3713.54"/>
    <n v="7200.54"/>
    <n v="435.01"/>
    <n v="5461.95"/>
    <n v="1466.14"/>
    <n v="4368.55"/>
    <n v="56299.25"/>
    <n v="-2902.41"/>
  </r>
  <r>
    <x v="5"/>
    <x v="3"/>
    <x v="0"/>
    <s v="5302101"/>
    <n v="700066"/>
    <s v="Salaries-RN-NonProd-Other"/>
    <s v="Lact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302101"/>
    <n v="700072"/>
    <s v="Salaries-Other Pat Care Providers-Non-productive"/>
    <s v="Lactation"/>
    <x v="0"/>
    <m/>
    <n v="1897.99"/>
    <n v="898.41"/>
    <n v="423.97"/>
    <n v="-95.66"/>
    <n v="6459.08"/>
    <n v="689.11"/>
    <n v="1047.99"/>
    <n v="2222.19"/>
    <n v="-229"/>
    <n v="468.64"/>
    <n v="4376.16"/>
    <n v="297.63"/>
    <n v="18456.510000000002"/>
    <n v="4078.5299999999997"/>
  </r>
  <r>
    <x v="5"/>
    <x v="3"/>
    <x v="0"/>
    <s v="5302101"/>
    <n v="700072"/>
    <s v="Salaries-Other Pat Care Providers-NonProd-Other"/>
    <s v="Lact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302101"/>
    <n v="700078"/>
    <s v="Salaries-Service/Support-Non-productive"/>
    <s v="Lactation"/>
    <x v="0"/>
    <m/>
    <n v="678.66"/>
    <n v="1281.01"/>
    <n v="226.98"/>
    <n v="495.2"/>
    <n v="939.61"/>
    <n v="1154.28"/>
    <n v="626.46"/>
    <n v="1297.6300000000001"/>
    <n v="785.22"/>
    <n v="592.53"/>
    <n v="832.28"/>
    <n v="1834.12"/>
    <n v="10743.98"/>
    <n v="-1001.8399999999999"/>
  </r>
  <r>
    <x v="5"/>
    <x v="3"/>
    <x v="0"/>
    <s v="5302101"/>
    <n v="700084"/>
    <s v="Accrued PTO"/>
    <s v="Lactation"/>
    <x v="0"/>
    <m/>
    <n v="-4146.6899999999996"/>
    <n v="350.85"/>
    <n v="2431.1999999999998"/>
    <n v="4053.33"/>
    <n v="4045.69"/>
    <n v="-3780.41"/>
    <n v="-1820.07"/>
    <n v="1114.3"/>
    <n v="9255.15"/>
    <n v="2201.81"/>
    <n v="1272.23"/>
    <n v="795.49"/>
    <n v="15772.88"/>
    <n v="476.74"/>
  </r>
  <r>
    <x v="6"/>
    <x v="3"/>
    <x v="0"/>
    <s v="5302101"/>
    <n v="713010"/>
    <s v="Benefits-FICA/Medicare"/>
    <s v="Lactation"/>
    <x v="0"/>
    <m/>
    <n v="2936.02"/>
    <n v="2775.18"/>
    <n v="3994.43"/>
    <n v="2999.61"/>
    <n v="3651.38"/>
    <n v="2849.07"/>
    <n v="3258.01"/>
    <n v="2778.14"/>
    <n v="2990.41"/>
    <n v="2864.15"/>
    <n v="3070"/>
    <n v="2640.56"/>
    <n v="36806.959999999992"/>
    <n v="429.44000000000005"/>
  </r>
  <r>
    <x v="6"/>
    <x v="3"/>
    <x v="0"/>
    <s v="5302101"/>
    <n v="713090"/>
    <s v="Benefits-Allocated Amounts"/>
    <s v="Lactation"/>
    <x v="0"/>
    <m/>
    <n v="7831.08"/>
    <n v="7040.53"/>
    <n v="7315.19"/>
    <n v="7852.79"/>
    <n v="9391.4500000000007"/>
    <n v="7213.3"/>
    <n v="8696.58"/>
    <n v="7148.69"/>
    <n v="6931.6"/>
    <n v="8119.57"/>
    <n v="9030.01"/>
    <n v="7766.14"/>
    <n v="94336.93"/>
    <n v="1263.8699999999999"/>
  </r>
  <r>
    <x v="6"/>
    <x v="3"/>
    <x v="0"/>
    <s v="5302101"/>
    <n v="713096"/>
    <s v="Employee Recognition"/>
    <s v="Lactation"/>
    <x v="0"/>
    <n v="1017"/>
    <n v="0"/>
    <n v="0"/>
    <n v="0"/>
    <n v="0"/>
    <n v="0"/>
    <n v="0"/>
    <n v="0"/>
    <n v="0"/>
    <n v="32.96"/>
    <n v="0"/>
    <n v="0"/>
    <n v="0"/>
    <n v="32.96"/>
    <n v="0"/>
  </r>
  <r>
    <x v="7"/>
    <x v="3"/>
    <x v="0"/>
    <s v="5302101"/>
    <n v="718050"/>
    <s v="Contract Svcs-Other"/>
    <s v="Lactation"/>
    <x v="0"/>
    <m/>
    <n v="0"/>
    <n v="0"/>
    <n v="0"/>
    <n v="0"/>
    <n v="0"/>
    <n v="0"/>
    <n v="0"/>
    <n v="0"/>
    <n v="0"/>
    <n v="0"/>
    <n v="1413.49"/>
    <n v="-430.12"/>
    <n v="983.37"/>
    <n v="1843.6100000000001"/>
  </r>
  <r>
    <x v="7"/>
    <x v="3"/>
    <x v="0"/>
    <s v="5302101"/>
    <n v="718050"/>
    <s v="Document Shredding/Storage"/>
    <s v="Lactation"/>
    <x v="0"/>
    <n v="1012"/>
    <n v="16.190000000000001"/>
    <n v="16.579999999999998"/>
    <n v="15.28"/>
    <n v="15.8"/>
    <n v="16.32"/>
    <n v="16.32"/>
    <n v="16.149999999999999"/>
    <n v="13.85"/>
    <n v="14.35"/>
    <n v="18.829999999999998"/>
    <n v="15.8"/>
    <n v="16.32"/>
    <n v="191.78999999999996"/>
    <n v="-0.51999999999999957"/>
  </r>
  <r>
    <x v="7"/>
    <x v="3"/>
    <x v="0"/>
    <s v="5302101"/>
    <n v="718050"/>
    <s v="Miscellaneous Purchased Svcs"/>
    <s v="Lactation"/>
    <x v="0"/>
    <n v="1020"/>
    <n v="0"/>
    <n v="0"/>
    <n v="0"/>
    <n v="0"/>
    <n v="0"/>
    <n v="0"/>
    <n v="0"/>
    <n v="0"/>
    <n v="0"/>
    <n v="9.66"/>
    <n v="0"/>
    <n v="0"/>
    <n v="9.66"/>
    <n v="0"/>
  </r>
  <r>
    <x v="7"/>
    <x v="3"/>
    <x v="0"/>
    <s v="5302101"/>
    <n v="718050"/>
    <s v="Translation Services"/>
    <s v="Lactation"/>
    <x v="0"/>
    <n v="1025"/>
    <n v="0"/>
    <n v="40.549999999999997"/>
    <n v="4.59"/>
    <n v="25.28"/>
    <n v="0"/>
    <n v="0"/>
    <n v="32"/>
    <n v="0"/>
    <n v="0"/>
    <n v="0"/>
    <n v="3.95"/>
    <n v="0"/>
    <n v="106.37"/>
    <n v="3.95"/>
  </r>
  <r>
    <x v="11"/>
    <x v="3"/>
    <x v="0"/>
    <s v="5302101"/>
    <n v="721010"/>
    <s v="Supplies-Medical - Billable"/>
    <s v="Lactation"/>
    <x v="0"/>
    <m/>
    <n v="0"/>
    <n v="0"/>
    <n v="0"/>
    <n v="0"/>
    <n v="323.88"/>
    <n v="0"/>
    <n v="0"/>
    <n v="0"/>
    <n v="8744.76"/>
    <n v="0"/>
    <n v="-9538"/>
    <n v="0"/>
    <n v="-469.36000000000058"/>
    <n v="-9538"/>
  </r>
  <r>
    <x v="11"/>
    <x v="3"/>
    <x v="0"/>
    <s v="5302101"/>
    <n v="721020"/>
    <s v="Tubes Drains &amp; Related Supplies"/>
    <s v="Lactation"/>
    <x v="0"/>
    <n v="1008"/>
    <n v="0"/>
    <n v="0"/>
    <n v="0"/>
    <n v="0"/>
    <n v="0"/>
    <n v="26"/>
    <n v="0"/>
    <n v="0"/>
    <n v="26"/>
    <n v="0"/>
    <n v="0"/>
    <n v="0"/>
    <n v="52"/>
    <n v="0"/>
  </r>
  <r>
    <x v="11"/>
    <x v="3"/>
    <x v="0"/>
    <s v="5302101"/>
    <n v="721410"/>
    <s v="Supplies-Medical - Nonbillable"/>
    <s v="Lactation"/>
    <x v="0"/>
    <m/>
    <n v="2021.16"/>
    <n v="1770.59"/>
    <n v="1917"/>
    <n v="2049.1999999999998"/>
    <n v="2715.13"/>
    <n v="3982.83"/>
    <n v="41.12"/>
    <n v="277.77999999999997"/>
    <n v="1511.64"/>
    <n v="3259.58"/>
    <n v="2781.48"/>
    <n v="1400.54"/>
    <n v="23728.05"/>
    <n v="1380.94"/>
  </r>
  <r>
    <x v="11"/>
    <x v="3"/>
    <x v="0"/>
    <s v="5302101"/>
    <n v="721420"/>
    <s v="Sterilization Process Products"/>
    <s v="Lactation"/>
    <x v="0"/>
    <n v="1009"/>
    <n v="0"/>
    <n v="0"/>
    <n v="0"/>
    <n v="0"/>
    <n v="0"/>
    <n v="34.43"/>
    <n v="-3.16"/>
    <n v="0"/>
    <n v="0"/>
    <n v="0"/>
    <n v="0"/>
    <n v="0"/>
    <n v="31.27"/>
    <n v="0"/>
  </r>
  <r>
    <x v="11"/>
    <x v="3"/>
    <x v="0"/>
    <s v="5302101"/>
    <n v="721810"/>
    <s v="Supplies-Dietary/Cafeteria"/>
    <s v="Lactation"/>
    <x v="0"/>
    <m/>
    <n v="0"/>
    <n v="15.36"/>
    <n v="0"/>
    <n v="7.68"/>
    <n v="0"/>
    <n v="7.68"/>
    <n v="49.49"/>
    <n v="2.56"/>
    <n v="7.68"/>
    <n v="0"/>
    <n v="0"/>
    <n v="7.68"/>
    <n v="98.130000000000024"/>
    <n v="-7.68"/>
  </r>
  <r>
    <x v="11"/>
    <x v="3"/>
    <x v="0"/>
    <s v="5302101"/>
    <n v="721830"/>
    <s v="Supplies-Office"/>
    <s v="Lactation"/>
    <x v="0"/>
    <m/>
    <n v="57.16"/>
    <n v="0"/>
    <n v="0"/>
    <n v="112.41"/>
    <n v="0"/>
    <n v="53.78"/>
    <n v="74.64"/>
    <n v="0"/>
    <n v="17.64"/>
    <n v="0"/>
    <n v="0"/>
    <n v="60.59"/>
    <n v="376.22"/>
    <n v="-60.59"/>
  </r>
  <r>
    <x v="11"/>
    <x v="3"/>
    <x v="0"/>
    <s v="5302101"/>
    <n v="721835"/>
    <s v="Supplies-Forms"/>
    <s v="Lactation"/>
    <x v="0"/>
    <m/>
    <n v="0"/>
    <n v="0"/>
    <n v="0"/>
    <n v="0"/>
    <n v="29.78"/>
    <n v="30.53"/>
    <n v="126"/>
    <n v="0"/>
    <n v="92"/>
    <n v="23.7"/>
    <n v="28.5"/>
    <n v="0"/>
    <n v="330.51"/>
    <n v="28.5"/>
  </r>
  <r>
    <x v="11"/>
    <x v="3"/>
    <x v="0"/>
    <s v="5302101"/>
    <n v="721870"/>
    <s v="Supplies-Environmental Services"/>
    <s v="Lactation"/>
    <x v="0"/>
    <m/>
    <n v="0"/>
    <n v="19.21"/>
    <n v="28.81"/>
    <n v="34.659999999999997"/>
    <n v="28.81"/>
    <n v="28.81"/>
    <n v="0"/>
    <n v="28.81"/>
    <n v="0"/>
    <n v="221.41"/>
    <n v="-84.17"/>
    <n v="28.81"/>
    <n v="335.15999999999997"/>
    <n v="-112.98"/>
  </r>
  <r>
    <x v="11"/>
    <x v="3"/>
    <x v="0"/>
    <s v="5302101"/>
    <n v="721880"/>
    <s v="Supplies-Linen"/>
    <s v="Lactation"/>
    <x v="0"/>
    <m/>
    <n v="26.62"/>
    <n v="0"/>
    <n v="64.430000000000007"/>
    <n v="19.79"/>
    <n v="0"/>
    <n v="39.58"/>
    <n v="0"/>
    <n v="0"/>
    <n v="67.290000000000006"/>
    <n v="0"/>
    <n v="18.87"/>
    <n v="1.85"/>
    <n v="238.43000000000004"/>
    <n v="17.02"/>
  </r>
  <r>
    <x v="11"/>
    <x v="3"/>
    <x v="0"/>
    <s v="5302101"/>
    <n v="721910"/>
    <s v="Supplies-Small Equipment"/>
    <s v="Lactation"/>
    <x v="0"/>
    <m/>
    <n v="0"/>
    <n v="176.95"/>
    <n v="183.84"/>
    <n v="1032.19"/>
    <n v="8.57"/>
    <n v="0"/>
    <n v="4.49"/>
    <n v="0"/>
    <n v="0"/>
    <n v="0"/>
    <n v="0"/>
    <n v="0"/>
    <n v="1406.04"/>
    <n v="0"/>
  </r>
  <r>
    <x v="11"/>
    <x v="3"/>
    <x v="0"/>
    <s v="5302101"/>
    <n v="721980"/>
    <s v="Supplies-Other"/>
    <s v="Lactation"/>
    <x v="0"/>
    <m/>
    <n v="-129.19999999999999"/>
    <n v="-3.87"/>
    <n v="0"/>
    <n v="0"/>
    <n v="0"/>
    <n v="0"/>
    <n v="0"/>
    <n v="0"/>
    <n v="0"/>
    <n v="0"/>
    <n v="0"/>
    <n v="0"/>
    <n v="-133.07"/>
    <n v="0"/>
  </r>
  <r>
    <x v="11"/>
    <x v="3"/>
    <x v="0"/>
    <s v="5302101"/>
    <n v="722000"/>
    <s v="Supplies-Freight Expense"/>
    <s v="Lactation"/>
    <x v="0"/>
    <m/>
    <n v="0"/>
    <n v="63.24"/>
    <n v="132.07"/>
    <n v="16.96"/>
    <n v="164.85"/>
    <n v="177.18"/>
    <n v="132.99"/>
    <n v="0"/>
    <n v="47.85"/>
    <n v="77.09"/>
    <n v="116.93"/>
    <n v="39.51"/>
    <n v="968.67000000000007"/>
    <n v="77.420000000000016"/>
  </r>
  <r>
    <x v="12"/>
    <x v="3"/>
    <x v="0"/>
    <s v="5302101"/>
    <n v="730020"/>
    <s v="Rental and Leases-Equipment (DO NOT USE)"/>
    <s v="Lactation"/>
    <x v="0"/>
    <m/>
    <n v="22.68"/>
    <n v="22.68"/>
    <n v="11.34"/>
    <n v="0"/>
    <n v="11.34"/>
    <n v="11.34"/>
    <n v="11.34"/>
    <n v="11.34"/>
    <n v="11.34"/>
    <n v="11.34"/>
    <n v="9549.35"/>
    <n v="11.35"/>
    <n v="9685.44"/>
    <n v="9538"/>
  </r>
  <r>
    <x v="12"/>
    <x v="3"/>
    <x v="0"/>
    <s v="5302101"/>
    <n v="730020"/>
    <s v="Rental and Leases-Copier Usage Fees (DO NOT USE)"/>
    <s v="Lactation"/>
    <x v="0"/>
    <n v="5100"/>
    <n v="144.13999999999999"/>
    <n v="149.18"/>
    <n v="146.66"/>
    <n v="146.66"/>
    <n v="146.66"/>
    <n v="146.66"/>
    <n v="189.88"/>
    <n v="149.30000000000001"/>
    <n v="148.99"/>
    <n v="149.61000000000001"/>
    <n v="149.30000000000001"/>
    <n v="195.23"/>
    <n v="1862.2699999999998"/>
    <n v="-45.929999999999978"/>
  </r>
  <r>
    <x v="15"/>
    <x v="3"/>
    <x v="0"/>
    <s v="5302101"/>
    <n v="731060"/>
    <s v="Pagers"/>
    <s v="Lactation"/>
    <x v="0"/>
    <n v="1002"/>
    <n v="72.31"/>
    <n v="72.31"/>
    <n v="72.31"/>
    <n v="72.33"/>
    <n v="72.33"/>
    <n v="0"/>
    <n v="144.66"/>
    <n v="72.33"/>
    <n v="72.33"/>
    <n v="72.33"/>
    <n v="67.83"/>
    <n v="58.31"/>
    <n v="849.38000000000011"/>
    <n v="9.519999999999996"/>
  </r>
  <r>
    <x v="16"/>
    <x v="3"/>
    <x v="0"/>
    <s v="5302101"/>
    <n v="732020"/>
    <s v="Repairs--Clin Equip-Parts-Internal to CHI Programs"/>
    <s v="Lactation"/>
    <x v="0"/>
    <m/>
    <n v="0"/>
    <n v="0"/>
    <n v="0"/>
    <n v="42.2"/>
    <n v="0"/>
    <n v="-3.87"/>
    <n v="0"/>
    <n v="0"/>
    <n v="0"/>
    <n v="0"/>
    <n v="0"/>
    <n v="0"/>
    <n v="38.330000000000005"/>
    <n v="0"/>
  </r>
  <r>
    <x v="16"/>
    <x v="3"/>
    <x v="0"/>
    <s v="5302101"/>
    <n v="732030"/>
    <s v="Repairs---Other"/>
    <s v="Lactation"/>
    <x v="0"/>
    <m/>
    <n v="0"/>
    <n v="0"/>
    <n v="0"/>
    <n v="0"/>
    <n v="0"/>
    <n v="0"/>
    <n v="0"/>
    <n v="430.12"/>
    <n v="476.58"/>
    <n v="0"/>
    <n v="0"/>
    <n v="0"/>
    <n v="906.7"/>
    <n v="0"/>
  </r>
  <r>
    <x v="13"/>
    <x v="3"/>
    <x v="0"/>
    <s v="5302101"/>
    <n v="735070"/>
    <s v="Depreciation-Movable Equipment"/>
    <s v="Lactation"/>
    <x v="0"/>
    <m/>
    <n v="0"/>
    <n v="0"/>
    <n v="0"/>
    <n v="172.06"/>
    <n v="172.06"/>
    <n v="172.06"/>
    <n v="172.06"/>
    <n v="172.06"/>
    <n v="172.07"/>
    <n v="172.06"/>
    <n v="172.07"/>
    <n v="172.06"/>
    <n v="1548.5599999999997"/>
    <n v="9.9999999999909051E-3"/>
  </r>
  <r>
    <x v="0"/>
    <x v="3"/>
    <x v="0"/>
    <s v="5302101"/>
    <n v="749510"/>
    <s v="Miscellaneous Expenses"/>
    <s v="Lactation"/>
    <x v="0"/>
    <m/>
    <n v="-146.62"/>
    <n v="-12"/>
    <n v="0"/>
    <n v="206.56"/>
    <n v="153.18"/>
    <n v="-233.28"/>
    <n v="-126.46"/>
    <n v="0"/>
    <n v="476.58"/>
    <n v="0"/>
    <n v="6.96"/>
    <n v="2.3199999999999998"/>
    <n v="327.23999999999995"/>
    <n v="4.6400000000000006"/>
  </r>
  <r>
    <x v="0"/>
    <x v="3"/>
    <x v="0"/>
    <s v="5302101"/>
    <n v="749530"/>
    <s v="Travel"/>
    <s v="Lactation"/>
    <x v="0"/>
    <m/>
    <n v="0"/>
    <n v="0"/>
    <n v="0"/>
    <n v="0"/>
    <n v="0"/>
    <n v="18"/>
    <n v="0"/>
    <n v="0"/>
    <n v="0"/>
    <n v="0"/>
    <n v="0"/>
    <n v="0"/>
    <n v="18"/>
    <n v="0"/>
  </r>
  <r>
    <x v="0"/>
    <x v="3"/>
    <x v="0"/>
    <s v="5302101"/>
    <n v="749530"/>
    <s v="Mileage"/>
    <s v="Lactation"/>
    <x v="0"/>
    <n v="1001"/>
    <n v="0"/>
    <n v="123.21"/>
    <n v="268.16000000000003"/>
    <n v="0"/>
    <n v="45.78"/>
    <n v="404.44"/>
    <n v="321.69"/>
    <n v="18.559999999999999"/>
    <n v="12.18"/>
    <n v="0"/>
    <n v="26.1"/>
    <n v="6.96"/>
    <n v="1227.08"/>
    <n v="19.14"/>
  </r>
  <r>
    <x v="18"/>
    <x v="0"/>
    <x v="0"/>
    <s v="5303102"/>
    <n v="400010"/>
    <s v="Acute I/P Svcs Rev--Medicare"/>
    <s v="Women's Breast Center"/>
    <x v="0"/>
    <n v="1100"/>
    <n v="0"/>
    <n v="0"/>
    <n v="-907.8"/>
    <n v="0"/>
    <n v="0"/>
    <n v="0"/>
    <n v="0"/>
    <n v="0"/>
    <n v="0"/>
    <n v="0"/>
    <n v="0"/>
    <n v="0"/>
    <n v="-907.8"/>
    <n v="0"/>
  </r>
  <r>
    <x v="18"/>
    <x v="0"/>
    <x v="0"/>
    <s v="5303102"/>
    <n v="400010"/>
    <s v="Acute I/P Svcs Rev--Medicaid"/>
    <s v="Women's Breast Center"/>
    <x v="0"/>
    <n v="1200"/>
    <n v="-2884.94"/>
    <n v="0"/>
    <n v="0"/>
    <n v="0"/>
    <n v="0"/>
    <n v="0"/>
    <n v="0"/>
    <n v="0"/>
    <n v="-2011.65"/>
    <n v="0"/>
    <n v="0"/>
    <n v="0"/>
    <n v="-4896.59"/>
    <n v="0"/>
  </r>
  <r>
    <x v="19"/>
    <x v="0"/>
    <x v="0"/>
    <s v="5303102"/>
    <n v="400020"/>
    <s v="O/P Care Svcs Rev--Medicare"/>
    <s v="Women's Breast Center"/>
    <x v="0"/>
    <n v="1100"/>
    <n v="-334308.34000000003"/>
    <n v="-401472.63"/>
    <n v="-303863.64"/>
    <n v="-304857.38"/>
    <n v="-309185.23"/>
    <n v="-284383.96000000002"/>
    <n v="-299191.56"/>
    <n v="-252986.46"/>
    <n v="-347573.43"/>
    <n v="-327444.76"/>
    <n v="-383816.64"/>
    <n v="-399694.4"/>
    <n v="-3948778.4299999997"/>
    <n v="15877.760000000009"/>
  </r>
  <r>
    <x v="19"/>
    <x v="0"/>
    <x v="0"/>
    <s v="5303102"/>
    <n v="400020"/>
    <s v="O/P Care Svcs Rev--Medicaid"/>
    <s v="Women's Breast Center"/>
    <x v="0"/>
    <n v="1200"/>
    <n v="-133672.31"/>
    <n v="-145896.78"/>
    <n v="-96611.97"/>
    <n v="-131110.76999999999"/>
    <n v="-106317.5"/>
    <n v="-119154.06"/>
    <n v="-162173.29"/>
    <n v="-98598.9"/>
    <n v="-133848.35"/>
    <n v="-159038.44"/>
    <n v="-110433.55"/>
    <n v="-123063.02"/>
    <n v="-1519918.94"/>
    <n v="12629.470000000001"/>
  </r>
  <r>
    <x v="19"/>
    <x v="0"/>
    <x v="0"/>
    <s v="5303102"/>
    <n v="400020"/>
    <s v="O/P Care Svcs Rev--Comm Insurance"/>
    <s v="Women's Breast Center"/>
    <x v="0"/>
    <n v="1300"/>
    <n v="-46862.52"/>
    <n v="-44331.07"/>
    <n v="-42655.07"/>
    <n v="-62411.4"/>
    <n v="-61031.83"/>
    <n v="-34197.1"/>
    <n v="-59891.13"/>
    <n v="-44687.98"/>
    <n v="-70652.37"/>
    <n v="-45223.79"/>
    <n v="-60248.07"/>
    <n v="-51359.67"/>
    <n v="-623552"/>
    <n v="-8888.4000000000015"/>
  </r>
  <r>
    <x v="19"/>
    <x v="0"/>
    <x v="0"/>
    <s v="5303102"/>
    <n v="400020"/>
    <s v="O/P Care Svcs Rev--BCBS Comm"/>
    <s v="Women's Breast Center"/>
    <x v="0"/>
    <n v="1301"/>
    <n v="-104736.95"/>
    <n v="-105053.33"/>
    <n v="-103457.72"/>
    <n v="-95007.59"/>
    <n v="-105967.33"/>
    <n v="-110298.9"/>
    <n v="-110748.88"/>
    <n v="-85315.57"/>
    <n v="-104901.31"/>
    <n v="-135209.35"/>
    <n v="-140469.21"/>
    <n v="-111191.7"/>
    <n v="-1312357.8400000001"/>
    <n v="-29277.509999999995"/>
  </r>
  <r>
    <x v="19"/>
    <x v="0"/>
    <x v="0"/>
    <s v="5303102"/>
    <n v="400020"/>
    <s v="O/P Care Svcs Rev--Managed Care"/>
    <s v="Women's Breast Center"/>
    <x v="0"/>
    <n v="1400"/>
    <n v="-287975.98"/>
    <n v="-301433.36"/>
    <n v="-261043.03"/>
    <n v="-323318.68"/>
    <n v="-280900.58"/>
    <n v="-293253.90000000002"/>
    <n v="-347958.22"/>
    <n v="-268908.69"/>
    <n v="-373066.6"/>
    <n v="-340385.41"/>
    <n v="-308469.77"/>
    <n v="-307985.15999999997"/>
    <n v="-3694699.3800000008"/>
    <n v="-484.61000000004424"/>
  </r>
  <r>
    <x v="19"/>
    <x v="0"/>
    <x v="0"/>
    <s v="5303102"/>
    <n v="400020"/>
    <s v="O/P Care Svcs Rev--Self Pay"/>
    <s v="Women's Breast Center"/>
    <x v="0"/>
    <n v="1500"/>
    <n v="-17712.86"/>
    <n v="-46328"/>
    <n v="-3093.25"/>
    <n v="-22386.240000000002"/>
    <n v="-32312.11"/>
    <n v="-52264.480000000003"/>
    <n v="-32540.48"/>
    <n v="-22551.35"/>
    <n v="-35635.910000000003"/>
    <n v="-30387.58"/>
    <n v="-25043.72"/>
    <n v="-19637.3"/>
    <n v="-339893.28000000009"/>
    <n v="-5406.4200000000019"/>
  </r>
  <r>
    <x v="19"/>
    <x v="0"/>
    <x v="0"/>
    <s v="5303102"/>
    <n v="400020"/>
    <s v="O/P Care Svcs Rev--Other"/>
    <s v="Women's Breast Center"/>
    <x v="0"/>
    <n v="1700"/>
    <n v="-23881.599999999999"/>
    <n v="-30794.69"/>
    <n v="-9739.39"/>
    <n v="-23326.92"/>
    <n v="-23682.92"/>
    <n v="-13393.7"/>
    <n v="-10273.5"/>
    <n v="-7804.91"/>
    <n v="-11176.56"/>
    <n v="-12752.31"/>
    <n v="-7944.67"/>
    <n v="-11159.38"/>
    <n v="-185930.55"/>
    <n v="3214.7099999999991"/>
  </r>
  <r>
    <x v="5"/>
    <x v="0"/>
    <x v="0"/>
    <s v="5303102"/>
    <n v="700034"/>
    <s v="Salaries-Tech/Professional-Productive"/>
    <s v="Women's Breast Center"/>
    <x v="0"/>
    <m/>
    <n v="31963.43"/>
    <n v="35715.79"/>
    <n v="31240.17"/>
    <n v="36120.239999999998"/>
    <n v="33593.839999999997"/>
    <n v="29436.75"/>
    <n v="37937.39"/>
    <n v="25947.19"/>
    <n v="42304.76"/>
    <n v="35379.919999999998"/>
    <n v="42660.4"/>
    <n v="34225.629999999997"/>
    <n v="416525.51"/>
    <n v="8434.7700000000041"/>
  </r>
  <r>
    <x v="5"/>
    <x v="0"/>
    <x v="0"/>
    <s v="5303102"/>
    <n v="700034"/>
    <s v="Salaries-Tech/Professional-OT"/>
    <s v="Women's Breast Center"/>
    <x v="0"/>
    <n v="1000"/>
    <n v="2208.7199999999998"/>
    <n v="3115.41"/>
    <n v="450.4"/>
    <n v="1515.36"/>
    <n v="4011.88"/>
    <n v="2537.2600000000002"/>
    <n v="2146.84"/>
    <n v="57.26"/>
    <n v="5948.6"/>
    <n v="1975.55"/>
    <n v="5170.41"/>
    <n v="4141.08"/>
    <n v="33278.769999999997"/>
    <n v="1029.33"/>
  </r>
  <r>
    <x v="5"/>
    <x v="0"/>
    <x v="0"/>
    <s v="5303102"/>
    <n v="700034"/>
    <s v="Salaries-Tech/Professional-Other"/>
    <s v="Women's Breast Center"/>
    <x v="0"/>
    <n v="2000"/>
    <n v="639.19000000000005"/>
    <n v="767.96"/>
    <n v="393.02"/>
    <n v="420.25"/>
    <n v="1081.68"/>
    <n v="627.76"/>
    <n v="492.71"/>
    <n v="382.98"/>
    <n v="924.19"/>
    <n v="988.09"/>
    <n v="525.71"/>
    <n v="1260.46"/>
    <n v="8504.0000000000018"/>
    <n v="-734.75"/>
  </r>
  <r>
    <x v="5"/>
    <x v="0"/>
    <x v="0"/>
    <s v="5303102"/>
    <n v="700038"/>
    <s v="Salaries-Service/Support-Productive"/>
    <s v="Women's Breast Center"/>
    <x v="0"/>
    <m/>
    <n v="5696.89"/>
    <n v="6356.64"/>
    <n v="5949.01"/>
    <n v="7069.44"/>
    <n v="6696.93"/>
    <n v="4741.88"/>
    <n v="6245.92"/>
    <n v="5300.82"/>
    <n v="6583.21"/>
    <n v="6963.64"/>
    <n v="6759.87"/>
    <n v="6115.97"/>
    <n v="74480.22"/>
    <n v="643.89999999999964"/>
  </r>
  <r>
    <x v="5"/>
    <x v="0"/>
    <x v="0"/>
    <s v="5303102"/>
    <n v="700038"/>
    <s v="Salaries-Service/Support-OT"/>
    <s v="Women's Breast Center"/>
    <x v="0"/>
    <n v="1000"/>
    <n v="204.61"/>
    <n v="225.48"/>
    <n v="251.48"/>
    <n v="197.58"/>
    <n v="225.51"/>
    <n v="71.53"/>
    <n v="333.75"/>
    <n v="-30.65"/>
    <n v="552.96"/>
    <n v="273.95"/>
    <n v="484.69"/>
    <n v="-6.12"/>
    <n v="2784.77"/>
    <n v="490.81"/>
  </r>
  <r>
    <x v="5"/>
    <x v="0"/>
    <x v="0"/>
    <s v="5303102"/>
    <n v="700038"/>
    <s v="Salaries-Service/Support-Other"/>
    <s v="Women's Breast Center"/>
    <x v="0"/>
    <n v="2000"/>
    <n v="29.03"/>
    <n v="0"/>
    <n v="0"/>
    <n v="0"/>
    <n v="0"/>
    <n v="0"/>
    <n v="0"/>
    <n v="0"/>
    <n v="0"/>
    <n v="0"/>
    <n v="0"/>
    <n v="0"/>
    <n v="29.03"/>
    <n v="0"/>
  </r>
  <r>
    <x v="5"/>
    <x v="0"/>
    <x v="0"/>
    <s v="5303102"/>
    <n v="700054"/>
    <s v="Salaries-Management-NonProd-Other"/>
    <s v="Women's Breast Center"/>
    <x v="0"/>
    <n v="2000"/>
    <n v="0"/>
    <n v="0"/>
    <n v="0"/>
    <n v="0"/>
    <n v="0"/>
    <n v="350"/>
    <n v="-350"/>
    <n v="0"/>
    <n v="0"/>
    <n v="0"/>
    <n v="0"/>
    <n v="0"/>
    <n v="0"/>
    <n v="0"/>
  </r>
  <r>
    <x v="5"/>
    <x v="0"/>
    <x v="0"/>
    <s v="5303102"/>
    <n v="700074"/>
    <s v="Salaries-Tech/Professional-Non-productive"/>
    <s v="Women's Breast Center"/>
    <x v="0"/>
    <m/>
    <n v="5716.39"/>
    <n v="2448.92"/>
    <n v="3883.23"/>
    <n v="3340.13"/>
    <n v="7943.18"/>
    <n v="15833.53"/>
    <n v="4013.04"/>
    <n v="5746.83"/>
    <n v="-304.55"/>
    <n v="6410.86"/>
    <n v="-906.62"/>
    <n v="4275.83"/>
    <n v="58400.770000000004"/>
    <n v="-5182.45"/>
  </r>
  <r>
    <x v="5"/>
    <x v="0"/>
    <x v="0"/>
    <s v="5303102"/>
    <n v="700074"/>
    <s v="Salaries-Tech/Professional-NonProd-Other"/>
    <s v="Women's Breast Center"/>
    <x v="0"/>
    <n v="2000"/>
    <n v="840.27"/>
    <n v="816.2"/>
    <n v="117.93"/>
    <n v="422.07"/>
    <n v="697.48"/>
    <n v="672.08"/>
    <n v="705.32"/>
    <n v="410.51"/>
    <n v="1610.65"/>
    <n v="674.52"/>
    <n v="952.64"/>
    <n v="810.63"/>
    <n v="8730.3000000000011"/>
    <n v="142.01"/>
  </r>
  <r>
    <x v="5"/>
    <x v="0"/>
    <x v="0"/>
    <s v="5303102"/>
    <n v="700078"/>
    <s v="Salaries-Service/Support-Non-productive"/>
    <s v="Women's Breast Center"/>
    <x v="0"/>
    <m/>
    <n v="1512.89"/>
    <n v="443.14"/>
    <n v="706.28"/>
    <n v="-109.97"/>
    <n v="67.5"/>
    <n v="2421.11"/>
    <n v="1222.47"/>
    <n v="879.46"/>
    <n v="423.01"/>
    <n v="-161.93"/>
    <n v="214.81"/>
    <n v="864.14"/>
    <n v="8482.9100000000017"/>
    <n v="-649.32999999999993"/>
  </r>
  <r>
    <x v="5"/>
    <x v="0"/>
    <x v="0"/>
    <s v="5303102"/>
    <n v="700078"/>
    <s v="Salaries-Service/Support-NonProd-Other"/>
    <s v="Women's Breast Center"/>
    <x v="0"/>
    <n v="2000"/>
    <n v="25.48"/>
    <n v="10.19"/>
    <n v="16.010000000000002"/>
    <n v="-5.82"/>
    <n v="20.09"/>
    <n v="-4.46"/>
    <n v="14.16"/>
    <n v="-3.72"/>
    <n v="32.78"/>
    <n v="-11.91"/>
    <n v="50.65"/>
    <n v="2.27"/>
    <n v="145.72000000000003"/>
    <n v="48.379999999999995"/>
  </r>
  <r>
    <x v="5"/>
    <x v="0"/>
    <x v="0"/>
    <s v="5303102"/>
    <n v="700084"/>
    <s v="Accrued PTO"/>
    <s v="Women's Breast Center"/>
    <x v="0"/>
    <m/>
    <n v="263.83999999999997"/>
    <n v="1763.01"/>
    <n v="-24.43"/>
    <n v="3885.24"/>
    <n v="-1354.11"/>
    <n v="-9205.43"/>
    <n v="-2423.86"/>
    <n v="809.74"/>
    <n v="3796.98"/>
    <n v="332.37"/>
    <n v="4447.84"/>
    <n v="2863.31"/>
    <n v="5154.5"/>
    <n v="1584.5300000000002"/>
  </r>
  <r>
    <x v="6"/>
    <x v="0"/>
    <x v="0"/>
    <s v="5303102"/>
    <n v="713010"/>
    <s v="Benefits-FICA/Medicare"/>
    <s v="Women's Breast Center"/>
    <x v="0"/>
    <m/>
    <n v="3662.69"/>
    <n v="3744.01"/>
    <n v="3219.22"/>
    <n v="3672.92"/>
    <n v="4085.89"/>
    <n v="4340.26"/>
    <n v="3999.69"/>
    <n v="2874.7"/>
    <n v="4357.29"/>
    <n v="3928.58"/>
    <n v="4212.43"/>
    <n v="3839.36"/>
    <n v="45937.04"/>
    <n v="373.07000000000016"/>
  </r>
  <r>
    <x v="6"/>
    <x v="0"/>
    <x v="0"/>
    <s v="5303102"/>
    <n v="713090"/>
    <s v="Benefits-Allocated Amounts"/>
    <s v="Women's Breast Center"/>
    <x v="0"/>
    <m/>
    <n v="9582.16"/>
    <n v="8579.1299999999992"/>
    <n v="8302.64"/>
    <n v="8939.39"/>
    <n v="9582.75"/>
    <n v="9766.11"/>
    <n v="9943.48"/>
    <n v="8246.64"/>
    <n v="10364.67"/>
    <n v="10135.299999999999"/>
    <n v="10984.58"/>
    <n v="10324.19"/>
    <n v="114751.04000000001"/>
    <n v="660.38999999999942"/>
  </r>
  <r>
    <x v="7"/>
    <x v="0"/>
    <x v="0"/>
    <s v="5303102"/>
    <n v="718050"/>
    <s v="Contract Svcs-Other"/>
    <s v="Women's Breast Center"/>
    <x v="0"/>
    <m/>
    <n v="0"/>
    <n v="0"/>
    <n v="16.02"/>
    <n v="0"/>
    <n v="0"/>
    <n v="0"/>
    <n v="0"/>
    <n v="0"/>
    <n v="275"/>
    <n v="0"/>
    <n v="0"/>
    <n v="0"/>
    <n v="291.02"/>
    <n v="0"/>
  </r>
  <r>
    <x v="7"/>
    <x v="0"/>
    <x v="0"/>
    <s v="5303102"/>
    <n v="718050"/>
    <s v="Document Shredding/Storage"/>
    <s v="Women's Breast Center"/>
    <x v="0"/>
    <n v="1012"/>
    <n v="224.39"/>
    <n v="195.63"/>
    <n v="-217.42"/>
    <n v="3.35"/>
    <n v="573.58000000000004"/>
    <n v="385.67"/>
    <n v="195.71"/>
    <n v="167.83"/>
    <n v="173.92"/>
    <n v="249.35"/>
    <n v="191.25"/>
    <n v="252.37"/>
    <n v="2395.63"/>
    <n v="-61.120000000000005"/>
  </r>
  <r>
    <x v="7"/>
    <x v="0"/>
    <x v="0"/>
    <s v="5303102"/>
    <n v="718050"/>
    <s v="Miscellaneous Purchased Svcs"/>
    <s v="Women's Breast Center"/>
    <x v="0"/>
    <n v="1020"/>
    <n v="399.43"/>
    <n v="8852.39"/>
    <n v="28.38"/>
    <n v="1252.21"/>
    <n v="403.1"/>
    <n v="711.58"/>
    <n v="22485.33"/>
    <n v="42.99"/>
    <n v="133.80000000000001"/>
    <n v="6378.17"/>
    <n v="-538.25"/>
    <n v="3312.53"/>
    <n v="43461.659999999996"/>
    <n v="-3850.78"/>
  </r>
  <r>
    <x v="7"/>
    <x v="0"/>
    <x v="0"/>
    <s v="5303102"/>
    <n v="718050"/>
    <s v="Translation Services"/>
    <s v="Women's Breast Center"/>
    <x v="0"/>
    <n v="1025"/>
    <n v="3047"/>
    <n v="19.98"/>
    <n v="1257.04"/>
    <n v="1094.6199999999999"/>
    <n v="616"/>
    <n v="1721.22"/>
    <n v="1362.86"/>
    <n v="1438.88"/>
    <n v="1708.94"/>
    <n v="137.08000000000001"/>
    <n v="1877.75"/>
    <n v="0"/>
    <n v="14281.370000000003"/>
    <n v="1877.75"/>
  </r>
  <r>
    <x v="7"/>
    <x v="0"/>
    <x v="0"/>
    <s v="5303102"/>
    <n v="718050"/>
    <s v="Contract Management--Linen"/>
    <s v="Women's Breast Center"/>
    <x v="0"/>
    <n v="1026"/>
    <n v="1898.94"/>
    <n v="1850.57"/>
    <n v="2818.48"/>
    <n v="1393.81"/>
    <n v="2320.4"/>
    <n v="1633.14"/>
    <n v="2576.56"/>
    <n v="2414.4"/>
    <n v="2190.9899999999998"/>
    <n v="2906.68"/>
    <n v="711.06"/>
    <n v="2428.69"/>
    <n v="25143.72"/>
    <n v="-1717.63"/>
  </r>
  <r>
    <x v="7"/>
    <x v="0"/>
    <x v="0"/>
    <s v="5303102"/>
    <n v="718050"/>
    <s v="Purchased Srvcs--Medical Waste"/>
    <s v="Women's Breast Center"/>
    <x v="0"/>
    <n v="1027"/>
    <n v="10.36"/>
    <n v="10.36"/>
    <n v="10.36"/>
    <n v="0"/>
    <n v="10.36"/>
    <n v="10.36"/>
    <n v="20.72"/>
    <n v="10.36"/>
    <n v="0"/>
    <n v="20.72"/>
    <n v="0"/>
    <n v="10.36"/>
    <n v="113.96"/>
    <n v="-10.36"/>
  </r>
  <r>
    <x v="7"/>
    <x v="0"/>
    <x v="0"/>
    <s v="5303102"/>
    <n v="718070"/>
    <s v="Contract Srvcs-CHI Clinical Engineering"/>
    <s v="Women's Breast Center"/>
    <x v="0"/>
    <m/>
    <n v="7588.58"/>
    <n v="7588.56"/>
    <n v="7588.58"/>
    <n v="7588.56"/>
    <n v="7035.01"/>
    <n v="6613.7"/>
    <n v="13607.59"/>
    <n v="7003.09"/>
    <n v="7253.09"/>
    <n v="7253.09"/>
    <n v="7253.09"/>
    <n v="7253.09"/>
    <n v="93626.029999999984"/>
    <n v="0"/>
  </r>
  <r>
    <x v="7"/>
    <x v="0"/>
    <x v="0"/>
    <s v="5303102"/>
    <n v="718077"/>
    <s v="PACS"/>
    <s v="Women's Breast Center"/>
    <x v="0"/>
    <n v="1000"/>
    <n v="2333.25"/>
    <n v="2652.75"/>
    <n v="1982.25"/>
    <n v="2551.5"/>
    <n v="2378.25"/>
    <n v="2225.25"/>
    <n v="2522.25"/>
    <n v="1746"/>
    <n v="2513.25"/>
    <n v="2481.75"/>
    <n v="2353.5"/>
    <n v="2448"/>
    <n v="28188"/>
    <n v="-94.5"/>
  </r>
  <r>
    <x v="7"/>
    <x v="0"/>
    <x v="0"/>
    <s v="5303102"/>
    <n v="718091"/>
    <s v="Contract Services-Intracompany Allocation"/>
    <s v="Women's Breast Center"/>
    <x v="0"/>
    <m/>
    <n v="2116.89"/>
    <n v="2459.5300000000002"/>
    <n v="2421.62"/>
    <n v="2438.98"/>
    <n v="1948.93"/>
    <n v="2279.4"/>
    <n v="2684.18"/>
    <n v="2225.0700000000002"/>
    <n v="1963.26"/>
    <n v="1819.78"/>
    <n v="2068.87"/>
    <n v="2706.43"/>
    <n v="27132.94"/>
    <n v="-637.55999999999995"/>
  </r>
  <r>
    <x v="11"/>
    <x v="0"/>
    <x v="0"/>
    <s v="5303102"/>
    <n v="721010"/>
    <s v="Supplies-Medical - Billable"/>
    <s v="Women's Breast Center"/>
    <x v="0"/>
    <m/>
    <n v="7799.94"/>
    <n v="6553.99"/>
    <n v="5291"/>
    <n v="5503.31"/>
    <n v="183"/>
    <n v="3557.86"/>
    <n v="6534.97"/>
    <n v="4529.09"/>
    <n v="8847.83"/>
    <n v="11072.41"/>
    <n v="13077.76"/>
    <n v="5936.42"/>
    <n v="78887.58"/>
    <n v="7141.34"/>
  </r>
  <r>
    <x v="11"/>
    <x v="0"/>
    <x v="0"/>
    <s v="5303102"/>
    <n v="721020"/>
    <s v="Supplies-Surgical - Billable"/>
    <s v="Women's Breast Center"/>
    <x v="0"/>
    <m/>
    <n v="1202.3"/>
    <n v="1138.5"/>
    <n v="5915.25"/>
    <n v="2722.5"/>
    <n v="-359.95"/>
    <n v="3357.2"/>
    <n v="1740.95"/>
    <n v="1872.35"/>
    <n v="3987"/>
    <n v="1217.54"/>
    <n v="4896.13"/>
    <n v="2593.2600000000002"/>
    <n v="30283.03"/>
    <n v="2302.87"/>
  </r>
  <r>
    <x v="11"/>
    <x v="0"/>
    <x v="0"/>
    <s v="5303102"/>
    <n v="721250"/>
    <s v="Supplies-Pharmacy Drugs - Billable"/>
    <s v="Women's Breast Center"/>
    <x v="0"/>
    <m/>
    <n v="216.44"/>
    <n v="11.04"/>
    <n v="0"/>
    <n v="0"/>
    <n v="17.399999999999999"/>
    <n v="81.5"/>
    <n v="185.6"/>
    <n v="175.99"/>
    <n v="40.75"/>
    <n v="92.55"/>
    <n v="0"/>
    <n v="122.76"/>
    <n v="944.03"/>
    <n v="-122.76"/>
  </r>
  <r>
    <x v="11"/>
    <x v="0"/>
    <x v="0"/>
    <s v="5303102"/>
    <n v="721410"/>
    <s v="Supplies-Medical - Nonbillable"/>
    <s v="Women's Breast Center"/>
    <x v="0"/>
    <m/>
    <n v="415.2"/>
    <n v="583.82000000000005"/>
    <n v="495.55"/>
    <n v="275.62"/>
    <n v="425.4"/>
    <n v="343.97"/>
    <n v="857.93"/>
    <n v="765.64"/>
    <n v="453"/>
    <n v="5363.58"/>
    <n v="585.4"/>
    <n v="649.36"/>
    <n v="11214.47"/>
    <n v="-63.960000000000036"/>
  </r>
  <r>
    <x v="11"/>
    <x v="0"/>
    <x v="0"/>
    <s v="5303102"/>
    <n v="721420"/>
    <s v="Supplies-Surgical Nonbillable"/>
    <s v="Women's Breast Center"/>
    <x v="0"/>
    <m/>
    <n v="188.41"/>
    <n v="184.72"/>
    <n v="241.67"/>
    <n v="66.52"/>
    <n v="136.22"/>
    <n v="204.25"/>
    <n v="159.74"/>
    <n v="178.31"/>
    <n v="200.32"/>
    <n v="195.78"/>
    <n v="243.93"/>
    <n v="206.87"/>
    <n v="2206.7399999999998"/>
    <n v="37.06"/>
  </r>
  <r>
    <x v="11"/>
    <x v="0"/>
    <x v="0"/>
    <s v="5303102"/>
    <n v="721650"/>
    <s v="Supplies-Pharmacy Drugs - Nonbillable"/>
    <s v="Women's Breast Center"/>
    <x v="0"/>
    <m/>
    <n v="7.25"/>
    <n v="0"/>
    <n v="7.25"/>
    <n v="0"/>
    <n v="7.25"/>
    <n v="0"/>
    <n v="7.25"/>
    <n v="0"/>
    <n v="0"/>
    <n v="0"/>
    <n v="0"/>
    <n v="0"/>
    <n v="29"/>
    <n v="0"/>
  </r>
  <r>
    <x v="11"/>
    <x v="0"/>
    <x v="0"/>
    <s v="5303102"/>
    <n v="721710"/>
    <s v="Supplies-Laboratory - Nonbillable"/>
    <s v="Women's Breast Center"/>
    <x v="0"/>
    <m/>
    <n v="86.38"/>
    <n v="90.7"/>
    <n v="18.440000000000001"/>
    <n v="78.680000000000007"/>
    <n v="7.38"/>
    <n v="32.9"/>
    <n v="56.94"/>
    <n v="49.09"/>
    <n v="76.849999999999994"/>
    <n v="66.05"/>
    <n v="33.979999999999997"/>
    <n v="56.03"/>
    <n v="653.41999999999996"/>
    <n v="-22.050000000000004"/>
  </r>
  <r>
    <x v="11"/>
    <x v="0"/>
    <x v="0"/>
    <s v="5303102"/>
    <n v="721750"/>
    <s v="Supplies-Film/Radiographic - Nonbillable"/>
    <s v="Women's Breast Center"/>
    <x v="0"/>
    <m/>
    <n v="470.58"/>
    <n v="4234.2700000000004"/>
    <n v="1007.91"/>
    <n v="513.69000000000005"/>
    <n v="732.83"/>
    <n v="939.29"/>
    <n v="1735.45"/>
    <n v="770"/>
    <n v="1314.01"/>
    <n v="789.9"/>
    <n v="2809.3"/>
    <n v="1547.55"/>
    <n v="16864.78"/>
    <n v="1261.7500000000002"/>
  </r>
  <r>
    <x v="11"/>
    <x v="0"/>
    <x v="0"/>
    <s v="5303102"/>
    <n v="721810"/>
    <s v="Supplies-Dietary/Cafeteria"/>
    <s v="Women's Breast Center"/>
    <x v="0"/>
    <m/>
    <n v="2.25"/>
    <n v="0"/>
    <n v="2.25"/>
    <n v="0"/>
    <n v="2.25"/>
    <n v="0"/>
    <n v="2.25"/>
    <n v="0"/>
    <n v="2.25"/>
    <n v="2.52"/>
    <n v="5.03"/>
    <n v="24"/>
    <n v="42.8"/>
    <n v="-18.97"/>
  </r>
  <r>
    <x v="11"/>
    <x v="0"/>
    <x v="0"/>
    <s v="5303102"/>
    <n v="721830"/>
    <s v="Supplies-Office"/>
    <s v="Women's Breast Center"/>
    <x v="0"/>
    <m/>
    <n v="295.33999999999997"/>
    <n v="82.99"/>
    <n v="88.54"/>
    <n v="170.78"/>
    <n v="268.2"/>
    <n v="256.60000000000002"/>
    <n v="747.07"/>
    <n v="231.22"/>
    <n v="54.39"/>
    <n v="238.18"/>
    <n v="316"/>
    <n v="425.56"/>
    <n v="3174.8699999999994"/>
    <n v="-109.56"/>
  </r>
  <r>
    <x v="11"/>
    <x v="0"/>
    <x v="0"/>
    <s v="5303102"/>
    <n v="721870"/>
    <s v="Supplies-Environmental Services"/>
    <s v="Women's Breast Center"/>
    <x v="0"/>
    <m/>
    <n v="4.8"/>
    <n v="93.58"/>
    <n v="4.8"/>
    <n v="34.630000000000003"/>
    <n v="17"/>
    <n v="28.33"/>
    <n v="181.75"/>
    <n v="53.84"/>
    <n v="19.2"/>
    <n v="96.27"/>
    <n v="14.41"/>
    <n v="54.15"/>
    <n v="602.76"/>
    <n v="-39.739999999999995"/>
  </r>
  <r>
    <x v="11"/>
    <x v="0"/>
    <x v="0"/>
    <s v="5303102"/>
    <n v="721880"/>
    <s v="Supplies-Linen"/>
    <s v="Women's Breast Center"/>
    <x v="0"/>
    <m/>
    <n v="19.690000000000001"/>
    <n v="0"/>
    <n v="19.690000000000001"/>
    <n v="0"/>
    <n v="0"/>
    <n v="19.690000000000001"/>
    <n v="0"/>
    <n v="0"/>
    <n v="19.690000000000001"/>
    <n v="0"/>
    <n v="19.690000000000001"/>
    <n v="0"/>
    <n v="98.45"/>
    <n v="19.690000000000001"/>
  </r>
  <r>
    <x v="11"/>
    <x v="0"/>
    <x v="0"/>
    <s v="5303102"/>
    <n v="721910"/>
    <s v="Supplies-Small Equipment"/>
    <s v="Women's Breast Center"/>
    <x v="0"/>
    <m/>
    <n v="0"/>
    <n v="6.24"/>
    <n v="0"/>
    <n v="0"/>
    <n v="0"/>
    <n v="0"/>
    <n v="0"/>
    <n v="0"/>
    <n v="0"/>
    <n v="0"/>
    <n v="7.2"/>
    <n v="0"/>
    <n v="13.440000000000001"/>
    <n v="7.2"/>
  </r>
  <r>
    <x v="11"/>
    <x v="0"/>
    <x v="0"/>
    <s v="5303102"/>
    <n v="721910"/>
    <s v="Instruments"/>
    <s v="Women's Breast Center"/>
    <x v="0"/>
    <n v="1000"/>
    <n v="0"/>
    <n v="0"/>
    <n v="0"/>
    <n v="0"/>
    <n v="0"/>
    <n v="0"/>
    <n v="0"/>
    <n v="0"/>
    <n v="0"/>
    <n v="52.25"/>
    <n v="0"/>
    <n v="0"/>
    <n v="52.25"/>
    <n v="0"/>
  </r>
  <r>
    <x v="11"/>
    <x v="0"/>
    <x v="0"/>
    <s v="5303102"/>
    <n v="721980"/>
    <s v="Supplies-Other"/>
    <s v="Women's Breast Center"/>
    <x v="0"/>
    <m/>
    <n v="0"/>
    <n v="0"/>
    <n v="0"/>
    <n v="0"/>
    <n v="0"/>
    <n v="0"/>
    <n v="0"/>
    <n v="0"/>
    <n v="0"/>
    <n v="14.04"/>
    <n v="0"/>
    <n v="0"/>
    <n v="14.04"/>
    <n v="0"/>
  </r>
  <r>
    <x v="11"/>
    <x v="0"/>
    <x v="0"/>
    <s v="5303102"/>
    <n v="722000"/>
    <s v="Supplies-Freight Expense"/>
    <s v="Women's Breast Center"/>
    <x v="0"/>
    <m/>
    <n v="9.9"/>
    <n v="228.45"/>
    <n v="105.95"/>
    <n v="4.4000000000000004"/>
    <n v="170.24"/>
    <n v="30.84"/>
    <n v="127.03"/>
    <n v="91.52"/>
    <n v="211.4"/>
    <n v="92.64"/>
    <n v="82.7"/>
    <n v="96.63"/>
    <n v="1251.7000000000003"/>
    <n v="-13.929999999999993"/>
  </r>
  <r>
    <x v="12"/>
    <x v="0"/>
    <x v="0"/>
    <s v="5303102"/>
    <n v="730010"/>
    <s v="Rental and Leases-Building (DO NOT USE)"/>
    <s v="Women's Breast Center"/>
    <x v="0"/>
    <m/>
    <n v="30757.21"/>
    <n v="30757.21"/>
    <n v="30757.21"/>
    <n v="30757.21"/>
    <n v="30757.21"/>
    <n v="-15810.41"/>
    <n v="22027.39"/>
    <n v="22027.39"/>
    <n v="22027.39"/>
    <n v="22027.38"/>
    <n v="22027.38"/>
    <n v="0"/>
    <n v="248112.57"/>
    <n v="22027.38"/>
  </r>
  <r>
    <x v="12"/>
    <x v="0"/>
    <x v="0"/>
    <s v="5303102"/>
    <n v="730010"/>
    <s v="Rental-Common Area Maint (DO NOT USE)"/>
    <s v="Women's Breast Center"/>
    <x v="0"/>
    <n v="2200"/>
    <n v="0"/>
    <n v="0"/>
    <n v="0"/>
    <n v="0"/>
    <n v="0"/>
    <n v="47297.25"/>
    <n v="10105.549999999999"/>
    <n v="9782.5"/>
    <n v="9782.5"/>
    <n v="9987.25"/>
    <n v="9987.25"/>
    <n v="0"/>
    <n v="96942.3"/>
    <n v="9987.25"/>
  </r>
  <r>
    <x v="12"/>
    <x v="0"/>
    <x v="0"/>
    <s v="5303102"/>
    <n v="730020"/>
    <s v="Rental and Leases-Copier Usage Fees (DO NOT USE)"/>
    <s v="Women's Breast Center"/>
    <x v="0"/>
    <n v="5100"/>
    <n v="627.61"/>
    <n v="644.45000000000005"/>
    <n v="636.03"/>
    <n v="636.03"/>
    <n v="636.03"/>
    <n v="636.03"/>
    <n v="987.61"/>
    <n v="503.05"/>
    <n v="646.85"/>
    <n v="797.26"/>
    <n v="647.26"/>
    <n v="740.97"/>
    <n v="8139.18"/>
    <n v="-93.710000000000036"/>
  </r>
  <r>
    <x v="12"/>
    <x v="0"/>
    <x v="0"/>
    <s v="5303102"/>
    <n v="730040"/>
    <s v="LT Lease-Real Estate"/>
    <s v="Women's Breast Center"/>
    <x v="0"/>
    <m/>
    <n v="0"/>
    <n v="0"/>
    <n v="0"/>
    <n v="0"/>
    <n v="0"/>
    <n v="0"/>
    <n v="0"/>
    <n v="0"/>
    <n v="0"/>
    <n v="0"/>
    <n v="0"/>
    <n v="27889.08"/>
    <n v="27889.08"/>
    <n v="-27889.08"/>
  </r>
  <r>
    <x v="16"/>
    <x v="0"/>
    <x v="0"/>
    <s v="5303102"/>
    <n v="732030"/>
    <s v="Repairs&amp;Maintenance-Bldg Routine"/>
    <s v="Women's Breast Center"/>
    <x v="0"/>
    <n v="2300"/>
    <n v="0"/>
    <n v="0"/>
    <n v="1333.99"/>
    <n v="0"/>
    <n v="0"/>
    <n v="11.96"/>
    <n v="0"/>
    <n v="0"/>
    <n v="480.64"/>
    <n v="0"/>
    <n v="26"/>
    <n v="52"/>
    <n v="1904.5900000000001"/>
    <n v="-26"/>
  </r>
  <r>
    <x v="13"/>
    <x v="0"/>
    <x v="0"/>
    <s v="5303102"/>
    <n v="735070"/>
    <s v="Depreciation-Movable Equipment"/>
    <s v="Women's Breast Center"/>
    <x v="0"/>
    <m/>
    <n v="16257.67"/>
    <n v="4190.3"/>
    <n v="4190.3"/>
    <n v="4190.3"/>
    <n v="4190.3"/>
    <n v="4190.29"/>
    <n v="4190.3"/>
    <n v="4190.29"/>
    <n v="4190.3"/>
    <n v="4190.29"/>
    <n v="4190.32"/>
    <n v="4190.29"/>
    <n v="62350.950000000012"/>
    <n v="2.9999999999745341E-2"/>
  </r>
  <r>
    <x v="0"/>
    <x v="0"/>
    <x v="0"/>
    <s v="5303102"/>
    <n v="740020"/>
    <s v="Education-Registration Fees"/>
    <s v="Women's Breast Center"/>
    <x v="0"/>
    <m/>
    <n v="0"/>
    <n v="0"/>
    <n v="0"/>
    <n v="0"/>
    <n v="0"/>
    <n v="0"/>
    <n v="0"/>
    <n v="0"/>
    <n v="45"/>
    <n v="0"/>
    <n v="0"/>
    <n v="65"/>
    <n v="110"/>
    <n v="-65"/>
  </r>
  <r>
    <x v="0"/>
    <x v="0"/>
    <x v="0"/>
    <s v="5303102"/>
    <n v="742010"/>
    <s v="Postage-Regular"/>
    <s v="Women's Breast Center"/>
    <x v="0"/>
    <m/>
    <n v="0"/>
    <n v="0"/>
    <n v="0"/>
    <n v="13.96"/>
    <n v="0"/>
    <n v="0"/>
    <n v="0"/>
    <n v="0"/>
    <n v="22.96"/>
    <n v="25.5"/>
    <n v="0"/>
    <n v="0"/>
    <n v="62.42"/>
    <n v="0"/>
  </r>
  <r>
    <x v="0"/>
    <x v="0"/>
    <x v="0"/>
    <s v="5303102"/>
    <n v="742020"/>
    <s v="Postage-Express Services"/>
    <s v="Women's Breast Center"/>
    <x v="0"/>
    <m/>
    <n v="0"/>
    <n v="0"/>
    <n v="0"/>
    <n v="0"/>
    <n v="0"/>
    <n v="0"/>
    <n v="0"/>
    <n v="0"/>
    <n v="0"/>
    <n v="25.5"/>
    <n v="0"/>
    <n v="0"/>
    <n v="25.5"/>
    <n v="0"/>
  </r>
  <r>
    <x v="0"/>
    <x v="0"/>
    <x v="0"/>
    <s v="5303102"/>
    <n v="743020"/>
    <s v="Dues--Individual"/>
    <s v="Women's Breast Center"/>
    <x v="0"/>
    <m/>
    <n v="0"/>
    <n v="0"/>
    <n v="0"/>
    <n v="0"/>
    <n v="0"/>
    <n v="600"/>
    <n v="0"/>
    <n v="0"/>
    <n v="0"/>
    <n v="0"/>
    <n v="0"/>
    <n v="0"/>
    <n v="600"/>
    <n v="0"/>
  </r>
  <r>
    <x v="0"/>
    <x v="0"/>
    <x v="0"/>
    <s v="5303102"/>
    <n v="749510"/>
    <s v="Miscellaneous Expenses"/>
    <s v="Women's Breast Center"/>
    <x v="0"/>
    <m/>
    <n v="6.56"/>
    <n v="-7.64"/>
    <n v="-15.28"/>
    <n v="19.100000000000001"/>
    <n v="-19.100000000000001"/>
    <n v="0"/>
    <n v="0"/>
    <n v="0"/>
    <n v="0"/>
    <n v="12.18"/>
    <n v="77.180000000000007"/>
    <n v="-89.36"/>
    <n v="-16.36"/>
    <n v="166.54000000000002"/>
  </r>
  <r>
    <x v="0"/>
    <x v="0"/>
    <x v="0"/>
    <s v="5303102"/>
    <n v="749510"/>
    <s v="Licenses"/>
    <s v="Women's Breast Center"/>
    <x v="0"/>
    <n v="1002"/>
    <n v="0"/>
    <n v="265"/>
    <n v="325"/>
    <n v="0"/>
    <n v="0"/>
    <n v="0"/>
    <n v="0"/>
    <n v="0"/>
    <n v="0"/>
    <n v="0"/>
    <n v="0"/>
    <n v="3200"/>
    <n v="3790"/>
    <n v="-3200"/>
  </r>
  <r>
    <x v="0"/>
    <x v="0"/>
    <x v="0"/>
    <s v="5303102"/>
    <n v="749530"/>
    <s v="Mileage"/>
    <s v="Women's Breast Center"/>
    <x v="0"/>
    <n v="1001"/>
    <n v="16.350000000000001"/>
    <n v="22.92"/>
    <n v="22.92"/>
    <n v="0"/>
    <n v="38.200000000000003"/>
    <n v="16.350000000000001"/>
    <n v="4.0599999999999996"/>
    <n v="4.0599999999999996"/>
    <n v="33.06"/>
    <n v="73.66"/>
    <n v="12.18"/>
    <n v="40.6"/>
    <n v="284.36"/>
    <n v="-28.42"/>
  </r>
  <r>
    <x v="0"/>
    <x v="0"/>
    <x v="0"/>
    <s v="5303102"/>
    <n v="749550"/>
    <s v="Cash Over/Short"/>
    <s v="Women's Breast Center"/>
    <x v="0"/>
    <m/>
    <n v="0"/>
    <n v="0"/>
    <n v="0"/>
    <n v="0"/>
    <n v="0"/>
    <n v="0"/>
    <n v="0"/>
    <n v="0"/>
    <n v="0.02"/>
    <n v="0"/>
    <n v="0"/>
    <n v="0"/>
    <n v="0.02"/>
    <n v="0"/>
  </r>
  <r>
    <x v="18"/>
    <x v="5"/>
    <x v="0"/>
    <s v="5303106"/>
    <n v="400010"/>
    <s v="Acute I/P Svcs Rev--Medicare"/>
    <s v="Women's Breast Center-Burien"/>
    <x v="0"/>
    <n v="1100"/>
    <n v="0"/>
    <n v="0"/>
    <n v="0"/>
    <n v="-1354.93"/>
    <n v="-467.87"/>
    <n v="0"/>
    <n v="0"/>
    <n v="0"/>
    <n v="0"/>
    <n v="0"/>
    <n v="0"/>
    <n v="0"/>
    <n v="-1822.8000000000002"/>
    <n v="0"/>
  </r>
  <r>
    <x v="19"/>
    <x v="5"/>
    <x v="0"/>
    <s v="5303106"/>
    <n v="400020"/>
    <s v="O/P Care Svcs Rev--Medicare"/>
    <s v="Women's Breast Center-Burien"/>
    <x v="0"/>
    <n v="1100"/>
    <n v="-197730.26"/>
    <n v="-204223.25"/>
    <n v="-204503.22"/>
    <n v="-255981.04"/>
    <n v="-231106.94"/>
    <n v="-173774.47"/>
    <n v="-228406.31"/>
    <n v="-137917.81"/>
    <n v="-195312.05"/>
    <n v="-209966.63"/>
    <n v="-284956.5"/>
    <n v="-203161.86"/>
    <n v="-2527040.34"/>
    <n v="-81794.640000000014"/>
  </r>
  <r>
    <x v="19"/>
    <x v="5"/>
    <x v="0"/>
    <s v="5303106"/>
    <n v="400020"/>
    <s v="O/P Care Svcs Rev--Medicaid"/>
    <s v="Women's Breast Center-Burien"/>
    <x v="0"/>
    <n v="1200"/>
    <n v="-40546.25"/>
    <n v="-54853.61"/>
    <n v="-73173.81"/>
    <n v="-80015.100000000006"/>
    <n v="-53727.09"/>
    <n v="-51419.040000000001"/>
    <n v="-60089.93"/>
    <n v="-40657.9"/>
    <n v="-59380.160000000003"/>
    <n v="-82432.429999999993"/>
    <n v="-87228.32"/>
    <n v="-58736.22"/>
    <n v="-742259.8600000001"/>
    <n v="-28492.100000000006"/>
  </r>
  <r>
    <x v="19"/>
    <x v="5"/>
    <x v="0"/>
    <s v="5303106"/>
    <n v="400020"/>
    <s v="O/P Care Svcs Rev--Comm Insurance"/>
    <s v="Women's Breast Center-Burien"/>
    <x v="0"/>
    <n v="1300"/>
    <n v="-4606.0200000000004"/>
    <n v="-22347.3"/>
    <n v="-12012.91"/>
    <n v="-21776.35"/>
    <n v="-11981.6"/>
    <n v="-12923.77"/>
    <n v="-5445.21"/>
    <n v="-13025.25"/>
    <n v="-19463.23"/>
    <n v="-15585.79"/>
    <n v="-7837.38"/>
    <n v="-39625.97"/>
    <n v="-186630.78"/>
    <n v="31788.59"/>
  </r>
  <r>
    <x v="19"/>
    <x v="5"/>
    <x v="0"/>
    <s v="5303106"/>
    <n v="400020"/>
    <s v="O/P Care Svcs Rev--BCBS Comm"/>
    <s v="Women's Breast Center-Burien"/>
    <x v="0"/>
    <n v="1301"/>
    <n v="-82439.009999999995"/>
    <n v="-78789.259999999995"/>
    <n v="-66516.27"/>
    <n v="-86825.56"/>
    <n v="-69113.320000000007"/>
    <n v="-73198.460000000006"/>
    <n v="-56391.27"/>
    <n v="-61289.97"/>
    <n v="-76124.37"/>
    <n v="-92560.93"/>
    <n v="-87644.6"/>
    <n v="-63604.78"/>
    <n v="-894497.79999999993"/>
    <n v="-24039.820000000007"/>
  </r>
  <r>
    <x v="19"/>
    <x v="5"/>
    <x v="0"/>
    <s v="5303106"/>
    <n v="400020"/>
    <s v="O/P Care Svcs Rev--Managed Care"/>
    <s v="Women's Breast Center-Burien"/>
    <x v="0"/>
    <n v="1400"/>
    <n v="-172042.29"/>
    <n v="-177744.48"/>
    <n v="-145870.45000000001"/>
    <n v="-256163.65"/>
    <n v="-230224.67"/>
    <n v="-210268.37"/>
    <n v="-190288.55"/>
    <n v="-126142.8"/>
    <n v="-159555.21"/>
    <n v="-217964.14"/>
    <n v="-203463.79"/>
    <n v="-198709.84"/>
    <n v="-2288438.2400000002"/>
    <n v="-4753.9500000000116"/>
  </r>
  <r>
    <x v="19"/>
    <x v="5"/>
    <x v="0"/>
    <s v="5303106"/>
    <n v="400020"/>
    <s v="O/P Care Svcs Rev--Self Pay"/>
    <s v="Women's Breast Center-Burien"/>
    <x v="0"/>
    <n v="1500"/>
    <n v="-2662.37"/>
    <n v="341.12"/>
    <n v="-4102.8500000000004"/>
    <n v="-5924.91"/>
    <n v="-3053.26"/>
    <n v="-894.35"/>
    <n v="-13616.49"/>
    <n v="3140.64"/>
    <n v="-7052.81"/>
    <n v="-2059.2199999999998"/>
    <n v="833.27"/>
    <n v="666.09"/>
    <n v="-34385.140000000007"/>
    <n v="167.17999999999995"/>
  </r>
  <r>
    <x v="19"/>
    <x v="5"/>
    <x v="0"/>
    <s v="5303106"/>
    <n v="400020"/>
    <s v="O/P Care Svcs Rev--Other"/>
    <s v="Women's Breast Center-Burien"/>
    <x v="0"/>
    <n v="1700"/>
    <n v="-6374.12"/>
    <n v="-6227.98"/>
    <n v="-8863.75"/>
    <n v="-9996.0300000000007"/>
    <n v="-8774.7099999999991"/>
    <n v="-1875.8"/>
    <n v="-2706.97"/>
    <n v="-3571.33"/>
    <n v="-7097.64"/>
    <n v="-2843.54"/>
    <n v="-2274.1999999999998"/>
    <n v="-7691.82"/>
    <n v="-68297.89"/>
    <n v="5417.62"/>
  </r>
  <r>
    <x v="5"/>
    <x v="5"/>
    <x v="0"/>
    <s v="5303106"/>
    <n v="700034"/>
    <s v="Salaries-Tech/Professional-Productive"/>
    <s v="Women's Breast Center-Burien"/>
    <x v="0"/>
    <m/>
    <n v="29560.33"/>
    <n v="30749.13"/>
    <n v="30326.81"/>
    <n v="32651.11"/>
    <n v="31888.31"/>
    <n v="27897.19"/>
    <n v="32818.400000000001"/>
    <n v="23690.05"/>
    <n v="35761.79"/>
    <n v="34744.410000000003"/>
    <n v="35828.559999999998"/>
    <n v="34162.93"/>
    <n v="380079.02"/>
    <n v="1665.6299999999974"/>
  </r>
  <r>
    <x v="5"/>
    <x v="5"/>
    <x v="0"/>
    <s v="5303106"/>
    <n v="700034"/>
    <s v="Salaries-Tech/Professional-OT"/>
    <s v="Women's Breast Center-Burien"/>
    <x v="0"/>
    <n v="1000"/>
    <n v="1769.81"/>
    <n v="1614.24"/>
    <n v="1763.51"/>
    <n v="3496.71"/>
    <n v="3503.95"/>
    <n v="751.8"/>
    <n v="3672.44"/>
    <n v="1456.31"/>
    <n v="2597.62"/>
    <n v="2217.2399999999998"/>
    <n v="1812.87"/>
    <n v="3049.51"/>
    <n v="27706.009999999995"/>
    <n v="-1236.6400000000003"/>
  </r>
  <r>
    <x v="5"/>
    <x v="5"/>
    <x v="0"/>
    <s v="5303106"/>
    <n v="700034"/>
    <s v="Salaries-Tech/Professional-Other"/>
    <s v="Women's Breast Center-Burien"/>
    <x v="0"/>
    <n v="2000"/>
    <n v="445.84"/>
    <n v="200.38"/>
    <n v="399.63"/>
    <n v="453.44"/>
    <n v="289.12"/>
    <n v="555.27"/>
    <n v="650.95000000000005"/>
    <n v="14.5"/>
    <n v="642.58000000000004"/>
    <n v="231.78"/>
    <n v="718.53"/>
    <n v="400.56"/>
    <n v="5002.5800000000008"/>
    <n v="317.96999999999997"/>
  </r>
  <r>
    <x v="5"/>
    <x v="5"/>
    <x v="0"/>
    <s v="5303106"/>
    <n v="700038"/>
    <s v="Salaries-Service/Support-Productive"/>
    <s v="Women's Breast Center-Burien"/>
    <x v="0"/>
    <m/>
    <n v="3354.83"/>
    <n v="3613.75"/>
    <n v="5452.49"/>
    <n v="6035.44"/>
    <n v="6411.88"/>
    <n v="5084.6499999999996"/>
    <n v="6253.22"/>
    <n v="4798.1899999999996"/>
    <n v="6506.84"/>
    <n v="4850.09"/>
    <n v="6462.51"/>
    <n v="4818.03"/>
    <n v="63641.920000000006"/>
    <n v="1644.4800000000005"/>
  </r>
  <r>
    <x v="5"/>
    <x v="5"/>
    <x v="0"/>
    <s v="5303106"/>
    <n v="700038"/>
    <s v="Salaries-Service/Support-OT"/>
    <s v="Women's Breast Center-Burien"/>
    <x v="0"/>
    <n v="1000"/>
    <n v="32.99"/>
    <n v="9.51"/>
    <n v="30.43"/>
    <n v="362.75"/>
    <n v="307.12"/>
    <n v="1022.09"/>
    <n v="174.39"/>
    <n v="178.3"/>
    <n v="66.709999999999994"/>
    <n v="200.96"/>
    <n v="82.68"/>
    <n v="308.60000000000002"/>
    <n v="2776.5299999999997"/>
    <n v="-225.92000000000002"/>
  </r>
  <r>
    <x v="5"/>
    <x v="5"/>
    <x v="0"/>
    <s v="5303106"/>
    <n v="700038"/>
    <s v="Salaries-Service/Support-Other"/>
    <s v="Women's Breast Center-Burien"/>
    <x v="0"/>
    <n v="2000"/>
    <n v="0"/>
    <n v="0"/>
    <n v="30"/>
    <n v="0"/>
    <n v="15.75"/>
    <n v="124.1"/>
    <n v="45.23"/>
    <n v="7.98"/>
    <n v="0"/>
    <n v="18.579999999999998"/>
    <n v="0"/>
    <n v="18.03"/>
    <n v="259.66999999999996"/>
    <n v="-18.03"/>
  </r>
  <r>
    <x v="5"/>
    <x v="5"/>
    <x v="0"/>
    <s v="5303106"/>
    <n v="700074"/>
    <s v="Salaries-Tech/Professional-Non-productive"/>
    <s v="Women's Breast Center-Burien"/>
    <x v="0"/>
    <m/>
    <n v="8551.44"/>
    <n v="6049.19"/>
    <n v="7766.18"/>
    <n v="5226.3900000000003"/>
    <n v="2979.36"/>
    <n v="9153.39"/>
    <n v="6834"/>
    <n v="6733.43"/>
    <n v="3108.99"/>
    <n v="3036.54"/>
    <n v="7353.7"/>
    <n v="4360.08"/>
    <n v="71152.69"/>
    <n v="2993.62"/>
  </r>
  <r>
    <x v="5"/>
    <x v="5"/>
    <x v="0"/>
    <s v="5303106"/>
    <n v="700074"/>
    <s v="Salaries-Tech/Professional-NonProd-Other"/>
    <s v="Women's Breast Center-Burien"/>
    <x v="0"/>
    <n v="2000"/>
    <n v="104.65"/>
    <n v="115.98"/>
    <n v="89.01"/>
    <n v="38.57"/>
    <n v="44.36"/>
    <n v="50.96"/>
    <n v="103.11"/>
    <n v="31.18"/>
    <n v="21.55"/>
    <n v="7.23"/>
    <n v="70.08"/>
    <n v="36.08"/>
    <n v="712.76"/>
    <n v="34"/>
  </r>
  <r>
    <x v="5"/>
    <x v="5"/>
    <x v="0"/>
    <s v="5303106"/>
    <n v="700078"/>
    <s v="Salaries-Service/Support-Non-productive"/>
    <s v="Women's Breast Center-Burien"/>
    <x v="0"/>
    <m/>
    <n v="219.24"/>
    <n v="67.86"/>
    <n v="334.08"/>
    <n v="501.12"/>
    <n v="330.15"/>
    <n v="1492.22"/>
    <n v="549.07000000000005"/>
    <n v="981.67"/>
    <n v="-18.61"/>
    <n v="1467.63"/>
    <n v="237.99"/>
    <n v="1754.98"/>
    <n v="7917.4"/>
    <n v="-1516.99"/>
  </r>
  <r>
    <x v="5"/>
    <x v="5"/>
    <x v="0"/>
    <s v="5303106"/>
    <n v="700084"/>
    <s v="Accrued PTO"/>
    <s v="Women's Breast Center-Burien"/>
    <x v="0"/>
    <m/>
    <n v="-1314.87"/>
    <n v="1262.43"/>
    <n v="297.92"/>
    <n v="1407.9"/>
    <n v="2442.1799999999998"/>
    <n v="-1427.58"/>
    <n v="-2031.81"/>
    <n v="-1778.6"/>
    <n v="882.36"/>
    <n v="373.69"/>
    <n v="333.78"/>
    <n v="-1503.94"/>
    <n v="-1056.5399999999995"/>
    <n v="1837.72"/>
  </r>
  <r>
    <x v="6"/>
    <x v="5"/>
    <x v="0"/>
    <s v="5303106"/>
    <n v="713010"/>
    <s v="Benefits-FICA/Medicare"/>
    <s v="Women's Breast Center-Burien"/>
    <x v="0"/>
    <m/>
    <n v="3274.05"/>
    <n v="3151.43"/>
    <n v="3442.38"/>
    <n v="3758.4"/>
    <n v="3399.7"/>
    <n v="3405.55"/>
    <n v="3798.82"/>
    <n v="2790.69"/>
    <n v="3609.7"/>
    <n v="3464.97"/>
    <n v="3910.86"/>
    <n v="3625.16"/>
    <n v="41631.709999999992"/>
    <n v="285.70000000000027"/>
  </r>
  <r>
    <x v="6"/>
    <x v="5"/>
    <x v="0"/>
    <s v="5303106"/>
    <n v="713090"/>
    <s v="Benefits-Allocated Amounts"/>
    <s v="Women's Breast Center-Burien"/>
    <x v="0"/>
    <m/>
    <n v="10022.5"/>
    <n v="9587.84"/>
    <n v="10770.23"/>
    <n v="10868.86"/>
    <n v="11025.01"/>
    <n v="10642.12"/>
    <n v="11775.09"/>
    <n v="9723.65"/>
    <n v="11247.73"/>
    <n v="11486.05"/>
    <n v="12305.11"/>
    <n v="11694.27"/>
    <n v="131148.46"/>
    <n v="610.84000000000015"/>
  </r>
  <r>
    <x v="7"/>
    <x v="5"/>
    <x v="0"/>
    <s v="5303106"/>
    <n v="718010"/>
    <s v="Contract Services-Advertising &amp; Public Relations"/>
    <s v="Women's Breast Center-Burien"/>
    <x v="0"/>
    <m/>
    <n v="0"/>
    <n v="0"/>
    <n v="0"/>
    <n v="1271.8399999999999"/>
    <n v="0"/>
    <n v="0"/>
    <n v="0"/>
    <n v="0"/>
    <n v="0"/>
    <n v="0"/>
    <n v="0"/>
    <n v="0"/>
    <n v="1271.8399999999999"/>
    <n v="0"/>
  </r>
  <r>
    <x v="7"/>
    <x v="5"/>
    <x v="0"/>
    <s v="5303106"/>
    <n v="718050"/>
    <s v="Contract Svcs-Other"/>
    <s v="Women's Breast Center-Burien"/>
    <x v="0"/>
    <m/>
    <n v="0"/>
    <n v="297.01"/>
    <n v="390.42"/>
    <n v="518.98"/>
    <n v="0"/>
    <n v="424.74"/>
    <n v="1137.71"/>
    <n v="347.71"/>
    <n v="417.06"/>
    <n v="327.76"/>
    <n v="0"/>
    <n v="655.52"/>
    <n v="4516.91"/>
    <n v="-655.52"/>
  </r>
  <r>
    <x v="7"/>
    <x v="5"/>
    <x v="0"/>
    <s v="5303106"/>
    <n v="718050"/>
    <s v="Miscellaneous Purchased Svcs"/>
    <s v="Women's Breast Center-Burien"/>
    <x v="0"/>
    <n v="1020"/>
    <n v="0"/>
    <n v="0"/>
    <n v="0"/>
    <n v="0"/>
    <n v="858.19"/>
    <n v="3450"/>
    <n v="2750"/>
    <n v="0"/>
    <n v="0"/>
    <n v="0"/>
    <n v="0"/>
    <n v="12.43"/>
    <n v="7070.6200000000008"/>
    <n v="-12.43"/>
  </r>
  <r>
    <x v="7"/>
    <x v="5"/>
    <x v="0"/>
    <s v="5303106"/>
    <n v="718050"/>
    <s v="Translation Services"/>
    <s v="Women's Breast Center-Burien"/>
    <x v="0"/>
    <n v="1025"/>
    <n v="1348"/>
    <n v="264"/>
    <n v="220.5"/>
    <n v="-377.95"/>
    <n v="616.25"/>
    <n v="82"/>
    <n v="196"/>
    <n v="450.96"/>
    <n v="432.11"/>
    <n v="0"/>
    <n v="88"/>
    <n v="136"/>
    <n v="3455.8700000000003"/>
    <n v="-48"/>
  </r>
  <r>
    <x v="7"/>
    <x v="5"/>
    <x v="0"/>
    <s v="5303106"/>
    <n v="718050"/>
    <s v="Contract Management--Linen"/>
    <s v="Women's Breast Center-Burien"/>
    <x v="0"/>
    <n v="1026"/>
    <n v="2072.2399999999998"/>
    <n v="1625.13"/>
    <n v="1525.19"/>
    <n v="1129.8"/>
    <n v="2302.9"/>
    <n v="1195.25"/>
    <n v="2275.02"/>
    <n v="1617.29"/>
    <n v="2465.9699999999998"/>
    <n v="788.49"/>
    <n v="862.46"/>
    <n v="1699.95"/>
    <n v="19559.689999999999"/>
    <n v="-837.49"/>
  </r>
  <r>
    <x v="7"/>
    <x v="5"/>
    <x v="0"/>
    <s v="5303106"/>
    <n v="718070"/>
    <s v="Contract Srvcs-CHI Clinical Engineering"/>
    <s v="Women's Breast Center-Burien"/>
    <x v="0"/>
    <m/>
    <n v="5297.21"/>
    <n v="5297.21"/>
    <n v="5297.21"/>
    <n v="5297.22"/>
    <n v="5297.21"/>
    <n v="4875.8999999999996"/>
    <n v="12242.06"/>
    <n v="4920.1000000000004"/>
    <n v="8138.06"/>
    <n v="8138.06"/>
    <n v="7845.52"/>
    <n v="12580.52"/>
    <n v="85226.28"/>
    <n v="-4735"/>
  </r>
  <r>
    <x v="11"/>
    <x v="5"/>
    <x v="0"/>
    <s v="5303106"/>
    <n v="721010"/>
    <s v="Supplies-Medical - Billable"/>
    <s v="Women's Breast Center-Burien"/>
    <x v="0"/>
    <m/>
    <n v="5618.48"/>
    <n v="2370.67"/>
    <n v="4796.22"/>
    <n v="5811.1"/>
    <n v="5586.16"/>
    <n v="6954.85"/>
    <n v="1889.64"/>
    <n v="13435.29"/>
    <n v="5839.32"/>
    <n v="3589"/>
    <n v="2035"/>
    <n v="2605.9"/>
    <n v="60531.630000000005"/>
    <n v="-570.90000000000009"/>
  </r>
  <r>
    <x v="11"/>
    <x v="5"/>
    <x v="0"/>
    <s v="5303106"/>
    <n v="721020"/>
    <s v="Supplies-Surgical - Billable"/>
    <s v="Women's Breast Center-Burien"/>
    <x v="0"/>
    <m/>
    <n v="5354.25"/>
    <n v="2846.25"/>
    <n v="1707.75"/>
    <n v="9339"/>
    <n v="-2184.75"/>
    <n v="5845.75"/>
    <n v="285.44"/>
    <n v="4559.7299999999996"/>
    <n v="2026.55"/>
    <n v="1934.45"/>
    <n v="4539.45"/>
    <n v="0"/>
    <n v="36253.869999999995"/>
    <n v="4539.45"/>
  </r>
  <r>
    <x v="11"/>
    <x v="5"/>
    <x v="0"/>
    <s v="5303106"/>
    <n v="721240"/>
    <s v="Supplies-IV Solutions/Supplies - Billable"/>
    <s v="Women's Breast Center-Burien"/>
    <x v="0"/>
    <m/>
    <n v="72"/>
    <n v="0"/>
    <n v="0"/>
    <n v="72"/>
    <n v="0"/>
    <n v="0"/>
    <n v="258"/>
    <n v="0"/>
    <n v="144"/>
    <n v="72"/>
    <n v="0"/>
    <n v="0"/>
    <n v="618"/>
    <n v="0"/>
  </r>
  <r>
    <x v="11"/>
    <x v="5"/>
    <x v="0"/>
    <s v="5303106"/>
    <n v="721250"/>
    <s v="Supplies-Pharmacy Drugs - Billable"/>
    <s v="Women's Breast Center-Burien"/>
    <x v="0"/>
    <m/>
    <n v="102.27"/>
    <n v="0"/>
    <n v="0"/>
    <n v="309.10000000000002"/>
    <n v="236.86"/>
    <n v="61.17"/>
    <n v="108.98"/>
    <n v="232.06"/>
    <n v="0"/>
    <n v="0"/>
    <n v="248.02"/>
    <n v="17.47"/>
    <n v="1315.93"/>
    <n v="230.55"/>
  </r>
  <r>
    <x v="11"/>
    <x v="5"/>
    <x v="0"/>
    <s v="5303106"/>
    <n v="721350"/>
    <s v="Supplies-Film/Radiographic - Billable"/>
    <s v="Women's Breast Center-Burien"/>
    <x v="0"/>
    <m/>
    <n v="480"/>
    <n v="48"/>
    <n v="0"/>
    <n v="0"/>
    <n v="0"/>
    <n v="0"/>
    <n v="242.3"/>
    <n v="0"/>
    <n v="0"/>
    <n v="0"/>
    <n v="0"/>
    <n v="0"/>
    <n v="770.3"/>
    <n v="0"/>
  </r>
  <r>
    <x v="11"/>
    <x v="5"/>
    <x v="0"/>
    <s v="5303106"/>
    <n v="721410"/>
    <s v="Supplies-Medical - Nonbillable"/>
    <s v="Women's Breast Center-Burien"/>
    <x v="0"/>
    <m/>
    <n v="273.16000000000003"/>
    <n v="337.15"/>
    <n v="204.93"/>
    <n v="915.61"/>
    <n v="178.96"/>
    <n v="335.43"/>
    <n v="688.01"/>
    <n v="174.2"/>
    <n v="547.69000000000005"/>
    <n v="-24.98"/>
    <n v="745.24"/>
    <n v="260.18"/>
    <n v="4635.58"/>
    <n v="485.06"/>
  </r>
  <r>
    <x v="11"/>
    <x v="5"/>
    <x v="0"/>
    <s v="5303106"/>
    <n v="721420"/>
    <s v="Supplies-Surgical Nonbillable"/>
    <s v="Women's Breast Center-Burien"/>
    <x v="0"/>
    <m/>
    <n v="280.06"/>
    <n v="231.61"/>
    <n v="17.46"/>
    <n v="210.45"/>
    <n v="183.69"/>
    <n v="125.46"/>
    <n v="267.01"/>
    <n v="127.57"/>
    <n v="189.57"/>
    <n v="43.82"/>
    <n v="316.10000000000002"/>
    <n v="97.6"/>
    <n v="2090.3999999999996"/>
    <n v="218.50000000000003"/>
  </r>
  <r>
    <x v="11"/>
    <x v="5"/>
    <x v="0"/>
    <s v="5303106"/>
    <n v="721650"/>
    <s v="Supplies-Pharmacy Drugs - Nonbillable"/>
    <s v="Women's Breast Center-Burien"/>
    <x v="0"/>
    <m/>
    <n v="0"/>
    <n v="0"/>
    <n v="0"/>
    <n v="14.49"/>
    <n v="0"/>
    <n v="0"/>
    <n v="7.25"/>
    <n v="0"/>
    <n v="0"/>
    <n v="0"/>
    <n v="14.49"/>
    <n v="0"/>
    <n v="36.230000000000004"/>
    <n v="14.49"/>
  </r>
  <r>
    <x v="11"/>
    <x v="5"/>
    <x v="0"/>
    <s v="5303106"/>
    <n v="721710"/>
    <s v="Supplies-Laboratory - Nonbillable"/>
    <s v="Women's Breast Center-Burien"/>
    <x v="0"/>
    <m/>
    <n v="0"/>
    <n v="0"/>
    <n v="64.94"/>
    <n v="0"/>
    <n v="0"/>
    <n v="0"/>
    <n v="0"/>
    <n v="178.6"/>
    <n v="32.47"/>
    <n v="0"/>
    <n v="0"/>
    <n v="0"/>
    <n v="276.01"/>
    <n v="0"/>
  </r>
  <r>
    <x v="11"/>
    <x v="5"/>
    <x v="0"/>
    <s v="5303106"/>
    <n v="721750"/>
    <s v="Supplies-Film/Radiographic - Nonbillable"/>
    <s v="Women's Breast Center-Burien"/>
    <x v="0"/>
    <m/>
    <n v="3225.17"/>
    <n v="106.7"/>
    <n v="7.49"/>
    <n v="11.24"/>
    <n v="1375.24"/>
    <n v="169.29"/>
    <n v="1474.6"/>
    <n v="3418.58"/>
    <n v="13.11"/>
    <n v="37.18"/>
    <n v="1551.24"/>
    <n v="3938.9"/>
    <n v="15328.74"/>
    <n v="-2387.66"/>
  </r>
  <r>
    <x v="11"/>
    <x v="5"/>
    <x v="0"/>
    <s v="5303106"/>
    <n v="721810"/>
    <s v="Supplies-Dietary/Cafeteria"/>
    <s v="Women's Breast Center-Burien"/>
    <x v="0"/>
    <m/>
    <n v="0"/>
    <n v="0"/>
    <n v="69.44"/>
    <n v="0"/>
    <n v="126.48"/>
    <n v="0"/>
    <n v="69.44"/>
    <n v="0"/>
    <n v="0"/>
    <n v="0"/>
    <n v="0"/>
    <n v="51.8"/>
    <n v="317.16000000000003"/>
    <n v="-51.8"/>
  </r>
  <r>
    <x v="11"/>
    <x v="5"/>
    <x v="0"/>
    <s v="5303106"/>
    <n v="721830"/>
    <s v="Supplies-Office"/>
    <s v="Women's Breast Center-Burien"/>
    <x v="0"/>
    <m/>
    <n v="117.58"/>
    <n v="0"/>
    <n v="315.57"/>
    <n v="0"/>
    <n v="117.58"/>
    <n v="0"/>
    <n v="947.96"/>
    <n v="136.94999999999999"/>
    <n v="117.58"/>
    <n v="114.13"/>
    <n v="0"/>
    <n v="117.58"/>
    <n v="1984.9299999999998"/>
    <n v="-117.58"/>
  </r>
  <r>
    <x v="11"/>
    <x v="5"/>
    <x v="0"/>
    <s v="5303106"/>
    <n v="721835"/>
    <s v="Supplies-Forms"/>
    <s v="Women's Breast Center-Burien"/>
    <x v="0"/>
    <m/>
    <n v="713.45"/>
    <n v="0"/>
    <n v="0"/>
    <n v="0"/>
    <n v="0"/>
    <n v="0"/>
    <n v="0"/>
    <n v="0"/>
    <n v="0"/>
    <n v="35.25"/>
    <n v="272"/>
    <n v="0"/>
    <n v="1020.7"/>
    <n v="272"/>
  </r>
  <r>
    <x v="11"/>
    <x v="5"/>
    <x v="0"/>
    <s v="5303106"/>
    <n v="721870"/>
    <s v="Supplies-Environmental Services"/>
    <s v="Women's Breast Center-Burien"/>
    <x v="0"/>
    <m/>
    <n v="211.75"/>
    <n v="284.63"/>
    <n v="124.2"/>
    <n v="65.91"/>
    <n v="448.62"/>
    <n v="19.38"/>
    <n v="650"/>
    <n v="195.8"/>
    <n v="14.16"/>
    <n v="153.12"/>
    <n v="82.47"/>
    <n v="135.33000000000001"/>
    <n v="2385.37"/>
    <n v="-52.860000000000014"/>
  </r>
  <r>
    <x v="11"/>
    <x v="5"/>
    <x v="0"/>
    <s v="5303106"/>
    <n v="721880"/>
    <s v="Supplies-Linen"/>
    <s v="Women's Breast Center-Burien"/>
    <x v="0"/>
    <m/>
    <n v="0"/>
    <n v="0"/>
    <n v="23.93"/>
    <n v="38.049999999999997"/>
    <n v="18.36"/>
    <n v="19.690000000000001"/>
    <n v="36.72"/>
    <n v="0"/>
    <n v="18.36"/>
    <n v="18.36"/>
    <n v="43.62"/>
    <n v="0"/>
    <n v="217.09000000000003"/>
    <n v="43.62"/>
  </r>
  <r>
    <x v="11"/>
    <x v="5"/>
    <x v="0"/>
    <s v="5303106"/>
    <n v="721910"/>
    <s v="Supplies-Small Equipment"/>
    <s v="Women's Breast Center-Burien"/>
    <x v="0"/>
    <m/>
    <n v="0"/>
    <n v="0"/>
    <n v="0"/>
    <n v="0"/>
    <n v="0"/>
    <n v="0"/>
    <n v="0"/>
    <n v="0"/>
    <n v="247.45"/>
    <n v="0"/>
    <n v="24.74"/>
    <n v="0"/>
    <n v="272.19"/>
    <n v="24.74"/>
  </r>
  <r>
    <x v="11"/>
    <x v="5"/>
    <x v="0"/>
    <s v="5303106"/>
    <n v="721910"/>
    <s v="Instruments"/>
    <s v="Women's Breast Center-Burien"/>
    <x v="0"/>
    <n v="1000"/>
    <n v="0"/>
    <n v="75.349999999999994"/>
    <n v="0"/>
    <n v="0"/>
    <n v="0"/>
    <n v="30.14"/>
    <n v="0"/>
    <n v="0"/>
    <n v="0"/>
    <n v="0"/>
    <n v="33.79"/>
    <n v="18.3"/>
    <n v="157.58000000000001"/>
    <n v="15.489999999999998"/>
  </r>
  <r>
    <x v="11"/>
    <x v="5"/>
    <x v="0"/>
    <s v="5303106"/>
    <n v="721980"/>
    <s v="Supplies-Other"/>
    <s v="Women's Breast Center-Burien"/>
    <x v="0"/>
    <m/>
    <n v="0"/>
    <n v="0"/>
    <n v="0"/>
    <n v="0"/>
    <n v="0"/>
    <n v="0"/>
    <n v="528.11"/>
    <n v="0"/>
    <n v="0"/>
    <n v="0"/>
    <n v="0"/>
    <n v="-180"/>
    <n v="348.11"/>
    <n v="180"/>
  </r>
  <r>
    <x v="11"/>
    <x v="5"/>
    <x v="0"/>
    <s v="5303106"/>
    <n v="722000"/>
    <s v="Supplies-Freight Expense"/>
    <s v="Women's Breast Center-Burien"/>
    <x v="0"/>
    <m/>
    <n v="3.98"/>
    <n v="158.97999999999999"/>
    <n v="25.48"/>
    <n v="57.04"/>
    <n v="543.29999999999995"/>
    <n v="36.619999999999997"/>
    <n v="214.93"/>
    <n v="403.1"/>
    <n v="713.17"/>
    <n v="297.33"/>
    <n v="434.85"/>
    <n v="373.43"/>
    <n v="3262.2099999999996"/>
    <n v="61.420000000000016"/>
  </r>
  <r>
    <x v="12"/>
    <x v="5"/>
    <x v="0"/>
    <s v="5303106"/>
    <n v="730010"/>
    <s v="Rental and Leases-Building (DO NOT USE)"/>
    <s v="Women's Breast Center-Burien"/>
    <x v="0"/>
    <m/>
    <n v="13438.99"/>
    <n v="13438.99"/>
    <n v="13438.99"/>
    <n v="13438.99"/>
    <n v="14200.43"/>
    <n v="10731.66"/>
    <n v="10731.66"/>
    <n v="10731.66"/>
    <n v="10731.66"/>
    <n v="-3566.43"/>
    <n v="10731.66"/>
    <n v="10731.66"/>
    <n v="128779.92000000003"/>
    <n v="0"/>
  </r>
  <r>
    <x v="12"/>
    <x v="5"/>
    <x v="0"/>
    <s v="5303106"/>
    <n v="730010"/>
    <s v="Rental-Common Area Maint (DO NOT USE)"/>
    <s v="Women's Breast Center-Burien"/>
    <x v="0"/>
    <n v="2200"/>
    <n v="0"/>
    <n v="0"/>
    <n v="0"/>
    <n v="0"/>
    <n v="0"/>
    <n v="3468.77"/>
    <n v="3468.77"/>
    <n v="3468.77"/>
    <n v="3468.77"/>
    <n v="15540.08"/>
    <n v="3468.77"/>
    <n v="3468.77"/>
    <n v="36352.699999999997"/>
    <n v="0"/>
  </r>
  <r>
    <x v="15"/>
    <x v="5"/>
    <x v="0"/>
    <s v="5303106"/>
    <n v="731060"/>
    <s v="Telephone"/>
    <s v="Women's Breast Center-Burien"/>
    <x v="0"/>
    <m/>
    <n v="202.25"/>
    <n v="183.62"/>
    <n v="165"/>
    <n v="182"/>
    <n v="184.22"/>
    <n v="157.5"/>
    <n v="244.72"/>
    <n v="166"/>
    <n v="187.24"/>
    <n v="189.04"/>
    <n v="205.57"/>
    <n v="168.86"/>
    <n v="2236.0200000000004"/>
    <n v="36.70999999999998"/>
  </r>
  <r>
    <x v="16"/>
    <x v="5"/>
    <x v="0"/>
    <s v="5303106"/>
    <n v="732030"/>
    <s v="Repairs---Other"/>
    <s v="Women's Breast Center-Burien"/>
    <x v="0"/>
    <m/>
    <n v="0"/>
    <n v="4600"/>
    <n v="0"/>
    <n v="37.39"/>
    <n v="0"/>
    <n v="637.5"/>
    <n v="0"/>
    <n v="0"/>
    <n v="0"/>
    <n v="0"/>
    <n v="317.63"/>
    <n v="0"/>
    <n v="5592.52"/>
    <n v="317.63"/>
  </r>
  <r>
    <x v="13"/>
    <x v="5"/>
    <x v="0"/>
    <s v="5303106"/>
    <n v="735070"/>
    <s v="Depreciation-Movable Equipment"/>
    <s v="Women's Breast Center-Burien"/>
    <x v="0"/>
    <m/>
    <n v="21611.49"/>
    <n v="21611.47"/>
    <n v="21611.5"/>
    <n v="21611.47"/>
    <n v="21611.5"/>
    <n v="21611.46"/>
    <n v="21611.5"/>
    <n v="21611.45"/>
    <n v="21611.5"/>
    <n v="21611.45"/>
    <n v="21611.5"/>
    <n v="21611.439999999999"/>
    <n v="259337.73000000004"/>
    <n v="6.0000000001309672E-2"/>
  </r>
  <r>
    <x v="0"/>
    <x v="5"/>
    <x v="0"/>
    <s v="5303106"/>
    <n v="740010"/>
    <s v="Education-Materials"/>
    <s v="Women's Breast Center-Burien"/>
    <x v="0"/>
    <m/>
    <n v="0"/>
    <n v="0"/>
    <n v="0"/>
    <n v="0"/>
    <n v="0"/>
    <n v="0"/>
    <n v="0"/>
    <n v="0"/>
    <n v="0"/>
    <n v="0"/>
    <n v="0"/>
    <n v="125"/>
    <n v="125"/>
    <n v="-125"/>
  </r>
  <r>
    <x v="0"/>
    <x v="5"/>
    <x v="0"/>
    <s v="5303106"/>
    <n v="742030"/>
    <s v="Freight-Courier"/>
    <s v="Women's Breast Center-Burien"/>
    <x v="0"/>
    <m/>
    <n v="18.27"/>
    <n v="0"/>
    <n v="0"/>
    <n v="0"/>
    <n v="0"/>
    <n v="0"/>
    <n v="0"/>
    <n v="0"/>
    <n v="0"/>
    <n v="0"/>
    <n v="0"/>
    <n v="0"/>
    <n v="18.27"/>
    <n v="0"/>
  </r>
  <r>
    <x v="0"/>
    <x v="5"/>
    <x v="0"/>
    <s v="5303106"/>
    <n v="749510"/>
    <s v="Miscellaneous Expenses"/>
    <s v="Women's Breast Center-Burien"/>
    <x v="0"/>
    <m/>
    <n v="-140"/>
    <n v="0"/>
    <n v="0"/>
    <n v="0"/>
    <n v="0"/>
    <n v="0"/>
    <n v="0"/>
    <n v="0"/>
    <n v="0"/>
    <n v="0"/>
    <n v="0"/>
    <n v="0"/>
    <n v="-140"/>
    <n v="0"/>
  </r>
  <r>
    <x v="0"/>
    <x v="5"/>
    <x v="0"/>
    <s v="5303106"/>
    <n v="749510"/>
    <s v="Licenses"/>
    <s v="Women's Breast Center-Burien"/>
    <x v="0"/>
    <n v="1002"/>
    <n v="0"/>
    <n v="0"/>
    <n v="0"/>
    <n v="0"/>
    <n v="349"/>
    <n v="0"/>
    <n v="0"/>
    <n v="0"/>
    <n v="0"/>
    <n v="0"/>
    <n v="0"/>
    <n v="0"/>
    <n v="349"/>
    <n v="0"/>
  </r>
  <r>
    <x v="19"/>
    <x v="0"/>
    <x v="0"/>
    <s v="5304102"/>
    <n v="400020"/>
    <s v="O/P Care Svcs Rev--Medicare"/>
    <s v="Women's Breast Center-Auburn"/>
    <x v="0"/>
    <n v="1100"/>
    <n v="-10088.07"/>
    <n v="-13933.1"/>
    <n v="-7067.35"/>
    <n v="-12910.01"/>
    <n v="-8408.27"/>
    <n v="-6286.92"/>
    <n v="-8325.59"/>
    <n v="-11842.26"/>
    <n v="-13657.63"/>
    <n v="-16502.48"/>
    <n v="-14588.62"/>
    <n v="-9151.9500000000007"/>
    <n v="-132762.25"/>
    <n v="-5436.67"/>
  </r>
  <r>
    <x v="19"/>
    <x v="0"/>
    <x v="0"/>
    <s v="5304102"/>
    <n v="400020"/>
    <s v="O/P Care Svcs Rev--Medicaid"/>
    <s v="Women's Breast Center-Auburn"/>
    <x v="0"/>
    <n v="1200"/>
    <n v="-1653.48"/>
    <n v="-3057.09"/>
    <n v="-2807.22"/>
    <n v="-2339.35"/>
    <n v="-4569.7"/>
    <n v="-1294.6099999999999"/>
    <n v="-2121.35"/>
    <n v="-963.82"/>
    <n v="-2297.2800000000002"/>
    <n v="-7215.79"/>
    <n v="-2409.5500000000002"/>
    <n v="-2297.2800000000002"/>
    <n v="-33026.519999999997"/>
    <n v="-112.26999999999998"/>
  </r>
  <r>
    <x v="19"/>
    <x v="0"/>
    <x v="0"/>
    <s v="5304102"/>
    <n v="400020"/>
    <s v="O/P Care Svcs Rev--Comm Insurance"/>
    <s v="Women's Breast Center-Auburn"/>
    <x v="0"/>
    <n v="1300"/>
    <n v="-935.74"/>
    <n v="-467.87"/>
    <n v="0"/>
    <n v="0"/>
    <n v="-467.87"/>
    <n v="0"/>
    <n v="-1403.61"/>
    <n v="-481.91"/>
    <n v="-481.91"/>
    <n v="-481.91"/>
    <n v="-481.91"/>
    <n v="0"/>
    <n v="-5202.7299999999996"/>
    <n v="-481.91"/>
  </r>
  <r>
    <x v="19"/>
    <x v="0"/>
    <x v="0"/>
    <s v="5304102"/>
    <n v="400020"/>
    <s v="O/P Care Svcs Rev--BCBS Comm"/>
    <s v="Women's Breast Center-Auburn"/>
    <x v="0"/>
    <n v="1301"/>
    <n v="-2121.35"/>
    <n v="-1294.6099999999999"/>
    <n v="-3415.96"/>
    <n v="-3992.83"/>
    <n v="-1403.61"/>
    <n v="-3992.83"/>
    <n v="-2807.22"/>
    <n v="-2891.46"/>
    <n v="-2666.92"/>
    <n v="-2891.46"/>
    <n v="-1445.73"/>
    <n v="-2297.2800000000002"/>
    <n v="-31221.26"/>
    <n v="851.55000000000018"/>
  </r>
  <r>
    <x v="19"/>
    <x v="0"/>
    <x v="0"/>
    <s v="5304102"/>
    <n v="400020"/>
    <s v="O/P Care Svcs Rev--Managed Care"/>
    <s v="Women's Breast Center-Auburn"/>
    <x v="0"/>
    <n v="1400"/>
    <n v="-5037.57"/>
    <n v="-9171.27"/>
    <n v="-4101.83"/>
    <n v="-6441.18"/>
    <n v="-7626.79"/>
    <n v="-7190.79"/>
    <n v="-5973.31"/>
    <n v="-4337.1899999999996"/>
    <n v="-10522.58"/>
    <n v="-9156.2900000000009"/>
    <n v="-5928.02"/>
    <n v="-6152.56"/>
    <n v="-81639.38"/>
    <n v="224.53999999999996"/>
  </r>
  <r>
    <x v="19"/>
    <x v="0"/>
    <x v="0"/>
    <s v="5304102"/>
    <n v="400020"/>
    <s v="O/P Care Svcs Rev--Self Pay"/>
    <s v="Women's Breast Center-Auburn"/>
    <x v="0"/>
    <n v="1500"/>
    <n v="0"/>
    <n v="0"/>
    <n v="0"/>
    <n v="0"/>
    <n v="0"/>
    <n v="0"/>
    <n v="0"/>
    <n v="0"/>
    <n v="0"/>
    <n v="0"/>
    <n v="0"/>
    <n v="-481.91"/>
    <n v="-481.91"/>
    <n v="481.91"/>
  </r>
  <r>
    <x v="19"/>
    <x v="0"/>
    <x v="0"/>
    <s v="5304102"/>
    <n v="400020"/>
    <s v="O/P Care Svcs Rev--Other"/>
    <s v="Women's Breast Center-Auburn"/>
    <x v="0"/>
    <n v="1700"/>
    <n v="0"/>
    <n v="0"/>
    <n v="0"/>
    <n v="0"/>
    <n v="0"/>
    <n v="0"/>
    <n v="-467.87"/>
    <n v="0"/>
    <n v="-963.82"/>
    <n v="-481.91"/>
    <n v="0"/>
    <n v="0"/>
    <n v="-1913.6000000000001"/>
    <n v="0"/>
  </r>
  <r>
    <x v="5"/>
    <x v="0"/>
    <x v="0"/>
    <s v="5304102"/>
    <n v="700034"/>
    <s v="Salaries-Tech/Professional-Productive"/>
    <s v="Women's Breast Center-Auburn"/>
    <x v="0"/>
    <m/>
    <n v="2273.2399999999998"/>
    <n v="2670.85"/>
    <n v="2099.39"/>
    <n v="2604.69"/>
    <n v="2485.02"/>
    <n v="2708.96"/>
    <n v="2344.89"/>
    <n v="1658.95"/>
    <n v="4299.0200000000004"/>
    <n v="3114.89"/>
    <n v="573.41"/>
    <n v="3368.55"/>
    <n v="30201.86"/>
    <n v="-2795.1400000000003"/>
  </r>
  <r>
    <x v="5"/>
    <x v="0"/>
    <x v="0"/>
    <s v="5304102"/>
    <n v="700034"/>
    <s v="Salaries-Tech/Professional-Other"/>
    <s v="Women's Breast Center-Auburn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5304102"/>
    <n v="713010"/>
    <s v="Benefits-FICA/Medicare"/>
    <s v="Women's Breast Center-Auburn"/>
    <x v="0"/>
    <m/>
    <n v="173.91"/>
    <n v="204.32"/>
    <n v="160.6"/>
    <n v="199.26"/>
    <n v="190.11"/>
    <n v="207.22"/>
    <n v="179.14"/>
    <n v="126.7"/>
    <n v="328.41"/>
    <n v="237.92"/>
    <n v="43.8"/>
    <n v="257.32"/>
    <n v="2308.7100000000005"/>
    <n v="-213.51999999999998"/>
  </r>
  <r>
    <x v="6"/>
    <x v="0"/>
    <x v="0"/>
    <s v="5304102"/>
    <n v="713090"/>
    <s v="Benefits-Allocated Amounts"/>
    <s v="Women's Breast Center-Auburn"/>
    <x v="0"/>
    <m/>
    <n v="444.46"/>
    <n v="467.64"/>
    <n v="406.69"/>
    <n v="453.32"/>
    <n v="456.26"/>
    <n v="473.1"/>
    <n v="471.88"/>
    <n v="315.29000000000002"/>
    <n v="750.51"/>
    <n v="638.46"/>
    <n v="116.24"/>
    <n v="645.13"/>
    <n v="5638.98"/>
    <n v="-528.89"/>
  </r>
  <r>
    <x v="7"/>
    <x v="0"/>
    <x v="0"/>
    <s v="5304102"/>
    <n v="718050"/>
    <s v="Cleaning Services"/>
    <s v="Women's Breast Center-Auburn"/>
    <x v="0"/>
    <n v="1011"/>
    <n v="0"/>
    <n v="354.75"/>
    <n v="354.75"/>
    <n v="354.75"/>
    <n v="325"/>
    <n v="325"/>
    <n v="770"/>
    <n v="0"/>
    <n v="325"/>
    <n v="325"/>
    <n v="325"/>
    <n v="325"/>
    <n v="3784.25"/>
    <n v="0"/>
  </r>
  <r>
    <x v="7"/>
    <x v="0"/>
    <x v="0"/>
    <s v="5304102"/>
    <n v="718050"/>
    <s v="Miscellaneous Purchased Svcs"/>
    <s v="Women's Breast Center-Auburn"/>
    <x v="0"/>
    <n v="1020"/>
    <n v="1821.88"/>
    <n v="0"/>
    <n v="34.43"/>
    <n v="0"/>
    <n v="1472.78"/>
    <n v="0"/>
    <n v="0"/>
    <n v="0"/>
    <n v="4487.5"/>
    <n v="0"/>
    <n v="0"/>
    <n v="2430.23"/>
    <n v="10246.82"/>
    <n v="-2430.23"/>
  </r>
  <r>
    <x v="7"/>
    <x v="0"/>
    <x v="0"/>
    <s v="5304102"/>
    <n v="718050"/>
    <s v="Translation Services"/>
    <s v="Women's Breast Center-Auburn"/>
    <x v="0"/>
    <n v="1025"/>
    <n v="0"/>
    <n v="0"/>
    <n v="0"/>
    <n v="0"/>
    <n v="0"/>
    <n v="0"/>
    <n v="32"/>
    <n v="0"/>
    <n v="0"/>
    <n v="0"/>
    <n v="0"/>
    <n v="0"/>
    <n v="32"/>
    <n v="0"/>
  </r>
  <r>
    <x v="7"/>
    <x v="0"/>
    <x v="0"/>
    <s v="5304102"/>
    <n v="718050"/>
    <s v="Contract Management--Linen"/>
    <s v="Women's Breast Center-Auburn"/>
    <x v="0"/>
    <n v="1026"/>
    <n v="126.9"/>
    <n v="84.6"/>
    <n v="84.6"/>
    <n v="0"/>
    <n v="0"/>
    <n v="84.6"/>
    <n v="298.14"/>
    <n v="172.26"/>
    <n v="129.96"/>
    <n v="86.64"/>
    <n v="43.32"/>
    <n v="259.92"/>
    <n v="1370.94"/>
    <n v="-216.60000000000002"/>
  </r>
  <r>
    <x v="7"/>
    <x v="0"/>
    <x v="0"/>
    <s v="5304102"/>
    <n v="718070"/>
    <s v="Contract Srvcs-CHI Clinical Engineering"/>
    <s v="Women's Breast Center-Auburn"/>
    <x v="0"/>
    <m/>
    <n v="749.67"/>
    <n v="749.67"/>
    <n v="749.67"/>
    <n v="749.67"/>
    <n v="749.67"/>
    <n v="749.67"/>
    <n v="749.67"/>
    <n v="749.67"/>
    <n v="7703.14"/>
    <n v="2945.5"/>
    <n v="2945.5"/>
    <n v="2945.5"/>
    <n v="22537"/>
    <n v="0"/>
  </r>
  <r>
    <x v="7"/>
    <x v="0"/>
    <x v="0"/>
    <s v="5304102"/>
    <n v="718091"/>
    <s v="Contract Services-Intracompany Allocation"/>
    <s v="Women's Breast Center-Auburn"/>
    <x v="0"/>
    <m/>
    <n v="407.09"/>
    <n v="472.99"/>
    <n v="465.7"/>
    <n v="469.03"/>
    <n v="374.8"/>
    <n v="438.34"/>
    <n v="516.19000000000005"/>
    <n v="427.9"/>
    <n v="377.55"/>
    <n v="349.96"/>
    <n v="397.86"/>
    <n v="520.46"/>
    <n v="5217.87"/>
    <n v="-122.60000000000002"/>
  </r>
  <r>
    <x v="11"/>
    <x v="0"/>
    <x v="0"/>
    <s v="5304102"/>
    <n v="721835"/>
    <s v="Supplies-Forms"/>
    <s v="Women's Breast Center-Auburn"/>
    <x v="0"/>
    <m/>
    <n v="0"/>
    <n v="0"/>
    <n v="0"/>
    <n v="0"/>
    <n v="0"/>
    <n v="0"/>
    <n v="0"/>
    <n v="0"/>
    <n v="0"/>
    <n v="0"/>
    <n v="0"/>
    <n v="52"/>
    <n v="52"/>
    <n v="-52"/>
  </r>
  <r>
    <x v="11"/>
    <x v="0"/>
    <x v="0"/>
    <s v="5304102"/>
    <n v="721870"/>
    <s v="Supplies-Environmental Services"/>
    <s v="Women's Breast Center-Auburn"/>
    <x v="0"/>
    <m/>
    <n v="26.82"/>
    <n v="44.82"/>
    <n v="26.82"/>
    <n v="0"/>
    <n v="0"/>
    <n v="0"/>
    <n v="0"/>
    <n v="0"/>
    <n v="0"/>
    <n v="0"/>
    <n v="0"/>
    <n v="0"/>
    <n v="98.460000000000008"/>
    <n v="0"/>
  </r>
  <r>
    <x v="12"/>
    <x v="0"/>
    <x v="0"/>
    <s v="5304102"/>
    <n v="730020"/>
    <s v="Rental and Leases-Copier Usage Fees (DO NOT USE)"/>
    <s v="Women's Breast Center-Auburn"/>
    <x v="0"/>
    <n v="5100"/>
    <n v="44.12"/>
    <n v="43.76"/>
    <n v="43.94"/>
    <n v="43.94"/>
    <n v="43.93"/>
    <n v="43.94"/>
    <n v="68.22"/>
    <n v="46.84"/>
    <n v="46.75"/>
    <n v="47.58"/>
    <n v="46.84"/>
    <n v="46.84"/>
    <n v="566.70000000000005"/>
    <n v="0"/>
  </r>
  <r>
    <x v="16"/>
    <x v="0"/>
    <x v="0"/>
    <s v="5304102"/>
    <n v="732030"/>
    <s v="Repairs---Other"/>
    <s v="Women's Breast Center-Auburn"/>
    <x v="0"/>
    <m/>
    <n v="0"/>
    <n v="0"/>
    <n v="0"/>
    <n v="0"/>
    <n v="0"/>
    <n v="0"/>
    <n v="825"/>
    <n v="126.7"/>
    <n v="0"/>
    <n v="0"/>
    <n v="0"/>
    <n v="0"/>
    <n v="951.7"/>
    <n v="0"/>
  </r>
  <r>
    <x v="13"/>
    <x v="0"/>
    <x v="0"/>
    <s v="5304102"/>
    <n v="735050"/>
    <s v="Amortization-Leasehold Improvements"/>
    <s v="Women's Breast Center-Auburn"/>
    <x v="0"/>
    <m/>
    <n v="6734.51"/>
    <n v="6734.51"/>
    <n v="6734.51"/>
    <n v="6734.51"/>
    <n v="6734.51"/>
    <n v="6734.51"/>
    <n v="6734.51"/>
    <n v="6734.5"/>
    <n v="6734.51"/>
    <n v="6734.5"/>
    <n v="6734.51"/>
    <n v="6734.5"/>
    <n v="80814.090000000011"/>
    <n v="1.0000000000218279E-2"/>
  </r>
  <r>
    <x v="13"/>
    <x v="0"/>
    <x v="0"/>
    <s v="5304102"/>
    <n v="735070"/>
    <s v="Depreciation-Movable Equipment"/>
    <s v="Women's Breast Center-Auburn"/>
    <x v="0"/>
    <m/>
    <n v="7051.45"/>
    <n v="7051.44"/>
    <n v="7051.45"/>
    <n v="7051.43"/>
    <n v="7051.45"/>
    <n v="7051.43"/>
    <n v="7051.45"/>
    <n v="7051.43"/>
    <n v="7051.45"/>
    <n v="7051.43"/>
    <n v="7051.45"/>
    <n v="7051.43"/>
    <n v="84617.290000000008"/>
    <n v="1.9999999999527063E-2"/>
  </r>
  <r>
    <x v="0"/>
    <x v="0"/>
    <x v="0"/>
    <s v="5304102"/>
    <n v="749510"/>
    <s v="Miscellaneous Expenses"/>
    <s v="Women's Breast Center-Auburn"/>
    <x v="0"/>
    <m/>
    <n v="17.600000000000001"/>
    <n v="0"/>
    <n v="8.8000000000000007"/>
    <n v="26.4"/>
    <n v="0"/>
    <n v="0"/>
    <n v="0"/>
    <n v="0"/>
    <n v="0"/>
    <n v="0"/>
    <n v="0"/>
    <n v="0"/>
    <n v="52.8"/>
    <n v="0"/>
  </r>
  <r>
    <x v="0"/>
    <x v="0"/>
    <x v="0"/>
    <s v="5304102"/>
    <n v="749510"/>
    <s v="Licenses"/>
    <s v="Women's Breast Center-Auburn"/>
    <x v="0"/>
    <n v="1002"/>
    <n v="0"/>
    <n v="0"/>
    <n v="0"/>
    <n v="0"/>
    <n v="0"/>
    <n v="0"/>
    <n v="0"/>
    <n v="0"/>
    <n v="0"/>
    <n v="0"/>
    <n v="0"/>
    <n v="2800"/>
    <n v="2800"/>
    <n v="-2800"/>
  </r>
  <r>
    <x v="5"/>
    <x v="4"/>
    <x v="0"/>
    <s v="5340103"/>
    <n v="700054"/>
    <s v="Salaries-Management-NonProd-Other"/>
    <s v="Pain Management Program"/>
    <x v="0"/>
    <n v="2000"/>
    <n v="0"/>
    <n v="0"/>
    <n v="0"/>
    <n v="0"/>
    <n v="0"/>
    <n v="1030.74"/>
    <n v="-1030.74"/>
    <n v="0"/>
    <n v="0"/>
    <n v="0"/>
    <n v="0"/>
    <n v="0"/>
    <n v="0"/>
    <n v="0"/>
  </r>
  <r>
    <x v="6"/>
    <x v="4"/>
    <x v="0"/>
    <s v="5340103"/>
    <n v="713010"/>
    <s v="Benefits-FICA/Medicare"/>
    <s v="Pain Management Program"/>
    <x v="0"/>
    <m/>
    <n v="0"/>
    <n v="0"/>
    <n v="0"/>
    <n v="0"/>
    <n v="0"/>
    <n v="78.849999999999994"/>
    <n v="78.849999999999994"/>
    <n v="0"/>
    <n v="0"/>
    <n v="0"/>
    <n v="0"/>
    <n v="0"/>
    <n v="157.69999999999999"/>
    <n v="0"/>
  </r>
  <r>
    <x v="6"/>
    <x v="4"/>
    <x v="0"/>
    <s v="5340103"/>
    <n v="713090"/>
    <s v="Benefits-Allocated Amounts"/>
    <s v="Pain Management Program"/>
    <x v="0"/>
    <m/>
    <n v="0"/>
    <n v="0"/>
    <n v="0"/>
    <n v="0"/>
    <n v="0"/>
    <n v="45.27"/>
    <n v="7.78"/>
    <n v="-53.05"/>
    <n v="0"/>
    <n v="0"/>
    <n v="0"/>
    <n v="0"/>
    <n v="7.1054273576010019E-15"/>
    <n v="0"/>
  </r>
  <r>
    <x v="17"/>
    <x v="4"/>
    <x v="0"/>
    <s v="5340103"/>
    <n v="714530"/>
    <s v="Medical Prof Fees-Intracompany"/>
    <s v="Pain Management Program"/>
    <x v="0"/>
    <m/>
    <n v="39144.050000000003"/>
    <n v="-39144.050000000003"/>
    <n v="0"/>
    <n v="0"/>
    <n v="0"/>
    <n v="0"/>
    <n v="0"/>
    <n v="0"/>
    <n v="0"/>
    <n v="0"/>
    <n v="0"/>
    <n v="0"/>
    <n v="0"/>
    <n v="0"/>
  </r>
  <r>
    <x v="11"/>
    <x v="4"/>
    <x v="0"/>
    <s v="5340103"/>
    <n v="721830"/>
    <s v="Supplies-Office"/>
    <s v="Pain Management Program"/>
    <x v="0"/>
    <m/>
    <n v="0"/>
    <n v="0"/>
    <n v="0"/>
    <n v="0"/>
    <n v="-40.47"/>
    <n v="0"/>
    <n v="0"/>
    <n v="0"/>
    <n v="0"/>
    <n v="0"/>
    <n v="0"/>
    <n v="0"/>
    <n v="-40.47"/>
    <n v="0"/>
  </r>
  <r>
    <x v="12"/>
    <x v="4"/>
    <x v="0"/>
    <s v="5340103"/>
    <n v="730020"/>
    <s v="Rental and Leases-Copier Usage Fees (DO NOT USE)"/>
    <s v="Pain Management Program"/>
    <x v="0"/>
    <n v="5100"/>
    <n v="112.56"/>
    <n v="-937.9"/>
    <n v="0"/>
    <n v="0"/>
    <n v="0"/>
    <n v="0"/>
    <n v="0"/>
    <n v="0"/>
    <n v="0"/>
    <n v="0"/>
    <n v="0"/>
    <n v="0"/>
    <n v="-825.33999999999992"/>
    <n v="0"/>
  </r>
  <r>
    <x v="18"/>
    <x v="3"/>
    <x v="0"/>
    <s v="5341101"/>
    <n v="400010"/>
    <s v="Acute I/P Svcs Rev--Medicare"/>
    <s v="Interventional Pain Care"/>
    <x v="0"/>
    <n v="1100"/>
    <n v="0"/>
    <n v="0"/>
    <n v="0"/>
    <n v="-5090.8500000000004"/>
    <n v="0"/>
    <n v="-681.15"/>
    <n v="0"/>
    <n v="0"/>
    <n v="0"/>
    <n v="0"/>
    <n v="-3383.21"/>
    <n v="0"/>
    <n v="-9155.2099999999991"/>
    <n v="-3383.21"/>
  </r>
  <r>
    <x v="18"/>
    <x v="3"/>
    <x v="0"/>
    <s v="5341101"/>
    <n v="400010"/>
    <s v="Acute I/P Svcs Rev--Medicaid"/>
    <s v="Interventional Pain Care"/>
    <x v="0"/>
    <n v="1200"/>
    <n v="0"/>
    <n v="-4672.01"/>
    <n v="0"/>
    <n v="0"/>
    <n v="0"/>
    <n v="0"/>
    <n v="0"/>
    <n v="0"/>
    <n v="0"/>
    <n v="0"/>
    <n v="0"/>
    <n v="0"/>
    <n v="-4672.01"/>
    <n v="0"/>
  </r>
  <r>
    <x v="18"/>
    <x v="3"/>
    <x v="0"/>
    <s v="5341101"/>
    <n v="400010"/>
    <s v="Acute I/P Svcs Rev--Managed Care"/>
    <s v="Interventional Pain Care"/>
    <x v="0"/>
    <n v="1400"/>
    <n v="0"/>
    <n v="0"/>
    <n v="0"/>
    <n v="0"/>
    <n v="0"/>
    <n v="0"/>
    <n v="0"/>
    <n v="0"/>
    <n v="0"/>
    <n v="0"/>
    <n v="0"/>
    <n v="-3418.72"/>
    <n v="-3418.72"/>
    <n v="3418.72"/>
  </r>
  <r>
    <x v="19"/>
    <x v="3"/>
    <x v="0"/>
    <s v="5341101"/>
    <n v="400020"/>
    <s v="O/P Care Svcs Rev--Medicare"/>
    <s v="Interventional Pain Care"/>
    <x v="0"/>
    <n v="1100"/>
    <n v="-197927.7"/>
    <n v="-121709.07"/>
    <n v="-102178.7"/>
    <n v="-98644.29"/>
    <n v="-141021.95000000001"/>
    <n v="-69131.03"/>
    <n v="-127079.45"/>
    <n v="-98492.11"/>
    <n v="-167959.94"/>
    <n v="-104077.8"/>
    <n v="-156420.9"/>
    <n v="-96939.32"/>
    <n v="-1481582.26"/>
    <n v="-59481.579999999987"/>
  </r>
  <r>
    <x v="19"/>
    <x v="3"/>
    <x v="0"/>
    <s v="5341101"/>
    <n v="400020"/>
    <s v="O/P Care Svcs Rev--Medicaid"/>
    <s v="Interventional Pain Care"/>
    <x v="0"/>
    <n v="1200"/>
    <n v="-37356.050000000003"/>
    <n v="-21212.69"/>
    <n v="-32755.35"/>
    <n v="-25629.79"/>
    <n v="-25412.52"/>
    <n v="-26267.52"/>
    <n v="-38631.67"/>
    <n v="-19664.349999999999"/>
    <n v="-18980.96"/>
    <n v="-26575.72"/>
    <n v="-18448.400000000001"/>
    <n v="-40205.660000000003"/>
    <n v="-331140.68000000005"/>
    <n v="21757.260000000002"/>
  </r>
  <r>
    <x v="19"/>
    <x v="3"/>
    <x v="0"/>
    <s v="5341101"/>
    <n v="400020"/>
    <s v="O/P Care Svcs Rev--Comm Insurance"/>
    <s v="Interventional Pain Care"/>
    <x v="0"/>
    <n v="1300"/>
    <n v="-7772.69"/>
    <n v="-12489.35"/>
    <n v="-3011.26"/>
    <n v="-3011.26"/>
    <n v="-4004.89"/>
    <n v="-6362.87"/>
    <n v="-3350.46"/>
    <n v="-15315.79"/>
    <n v="-6762.27"/>
    <n v="-19210.47"/>
    <n v="-12401.89"/>
    <n v="-3365.77"/>
    <n v="-97058.970000000016"/>
    <n v="-9036.119999999999"/>
  </r>
  <r>
    <x v="19"/>
    <x v="3"/>
    <x v="0"/>
    <s v="5341101"/>
    <n v="400020"/>
    <s v="O/P Care Svcs Rev--BCBS Comm"/>
    <s v="Interventional Pain Care"/>
    <x v="0"/>
    <n v="1301"/>
    <n v="-14028.93"/>
    <n v="-17335.310000000001"/>
    <n v="-17584.009999999998"/>
    <n v="-14379.35"/>
    <n v="-16521.73"/>
    <n v="-6635.74"/>
    <n v="-21443.87"/>
    <n v="-12215.79"/>
    <n v="-10723.97"/>
    <n v="-28898.71"/>
    <n v="-12047.03"/>
    <n v="-10458.379999999999"/>
    <n v="-182272.82"/>
    <n v="-1588.6500000000015"/>
  </r>
  <r>
    <x v="19"/>
    <x v="3"/>
    <x v="0"/>
    <s v="5341101"/>
    <n v="400020"/>
    <s v="O/P Care Svcs Rev--Managed Care"/>
    <s v="Interventional Pain Care"/>
    <x v="0"/>
    <n v="1400"/>
    <n v="-36326.26"/>
    <n v="-38232.65"/>
    <n v="-37784.92"/>
    <n v="-81973.98"/>
    <n v="-57343.32"/>
    <n v="-31345.97"/>
    <n v="-50084.84"/>
    <n v="-39814.14"/>
    <n v="-40032.120000000003"/>
    <n v="-61866.73"/>
    <n v="-59149.2"/>
    <n v="-45874.35"/>
    <n v="-579828.47999999986"/>
    <n v="-13274.849999999999"/>
  </r>
  <r>
    <x v="19"/>
    <x v="3"/>
    <x v="0"/>
    <s v="5341101"/>
    <n v="400020"/>
    <s v="O/P Care Svcs Rev--Self Pay"/>
    <s v="Interventional Pain Care"/>
    <x v="0"/>
    <n v="1500"/>
    <n v="-154"/>
    <n v="0"/>
    <n v="0"/>
    <n v="0"/>
    <n v="0"/>
    <n v="0"/>
    <n v="-686.31"/>
    <n v="-3364.01"/>
    <n v="0"/>
    <n v="0"/>
    <n v="0"/>
    <n v="-3487.06"/>
    <n v="-7691.3799999999992"/>
    <n v="3487.06"/>
  </r>
  <r>
    <x v="19"/>
    <x v="3"/>
    <x v="0"/>
    <s v="5341101"/>
    <n v="400020"/>
    <s v="O/P Care Svcs Rev--Other"/>
    <s v="Interventional Pain Care"/>
    <x v="0"/>
    <n v="1700"/>
    <n v="-18038.349999999999"/>
    <n v="-9058.81"/>
    <n v="-11926.84"/>
    <n v="-18204.84"/>
    <n v="-9210.93"/>
    <n v="-4834.25"/>
    <n v="-6855.58"/>
    <n v="-15274.18"/>
    <n v="-13534.22"/>
    <n v="-14845.64"/>
    <n v="-12278.48"/>
    <n v="-21614.71"/>
    <n v="-155676.82999999999"/>
    <n v="9336.23"/>
  </r>
  <r>
    <x v="5"/>
    <x v="3"/>
    <x v="0"/>
    <s v="5341101"/>
    <n v="700026"/>
    <s v="Salaries-RN-Productive"/>
    <s v="Interventional Pain Care"/>
    <x v="0"/>
    <m/>
    <n v="10297.94"/>
    <n v="9134.9"/>
    <n v="7806.77"/>
    <n v="11616.76"/>
    <n v="8210.0400000000009"/>
    <n v="5001.6099999999997"/>
    <n v="8368.92"/>
    <n v="6763.92"/>
    <n v="6526.78"/>
    <n v="7436.65"/>
    <n v="10133.85"/>
    <n v="5519.88"/>
    <n v="96818.02"/>
    <n v="4613.97"/>
  </r>
  <r>
    <x v="5"/>
    <x v="3"/>
    <x v="0"/>
    <s v="5341101"/>
    <n v="700026"/>
    <s v="Salaries-RN-OT"/>
    <s v="Interventional Pain Care"/>
    <x v="0"/>
    <n v="1000"/>
    <n v="853.68"/>
    <n v="319.83"/>
    <n v="247.55"/>
    <n v="803.95"/>
    <n v="404.07"/>
    <n v="112.32"/>
    <n v="354.27"/>
    <n v="336.91"/>
    <n v="437.05"/>
    <n v="1185.44"/>
    <n v="53.18"/>
    <n v="940.38"/>
    <n v="6048.630000000001"/>
    <n v="-887.2"/>
  </r>
  <r>
    <x v="5"/>
    <x v="3"/>
    <x v="0"/>
    <s v="5341101"/>
    <n v="700026"/>
    <s v="Salaries-RN-Other"/>
    <s v="Interventional Pain Care"/>
    <x v="0"/>
    <n v="2000"/>
    <n v="237.38"/>
    <n v="241.86"/>
    <n v="189.51"/>
    <n v="322.23"/>
    <n v="163.30000000000001"/>
    <n v="161.55000000000001"/>
    <n v="206.42"/>
    <n v="176.17"/>
    <n v="159.02000000000001"/>
    <n v="96.56"/>
    <n v="163.43"/>
    <n v="-64.180000000000007"/>
    <n v="2053.25"/>
    <n v="227.61"/>
  </r>
  <r>
    <x v="5"/>
    <x v="3"/>
    <x v="0"/>
    <s v="5341101"/>
    <n v="700038"/>
    <s v="Salaries-Service/Support-Productive"/>
    <s v="Interventional Pain Care"/>
    <x v="0"/>
    <m/>
    <n v="2928.44"/>
    <n v="2268.48"/>
    <n v="2805.21"/>
    <n v="3545.22"/>
    <n v="2684.35"/>
    <n v="2736.49"/>
    <n v="2814.52"/>
    <n v="2309.65"/>
    <n v="5545.44"/>
    <n v="3175.05"/>
    <n v="3051.98"/>
    <n v="2330.0300000000002"/>
    <n v="36194.86"/>
    <n v="721.94999999999982"/>
  </r>
  <r>
    <x v="5"/>
    <x v="3"/>
    <x v="0"/>
    <s v="5341101"/>
    <n v="700038"/>
    <s v="Salaries-Service/Support-Other"/>
    <s v="Interventional Pain Care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3"/>
    <x v="0"/>
    <s v="5341101"/>
    <n v="700066"/>
    <s v="Salaries-RN-Non-productive"/>
    <s v="Interventional Pain Care"/>
    <x v="0"/>
    <m/>
    <n v="0"/>
    <n v="0"/>
    <n v="401.07"/>
    <n v="0"/>
    <n v="0"/>
    <n v="0"/>
    <n v="0"/>
    <n v="0"/>
    <n v="0"/>
    <n v="0"/>
    <n v="0"/>
    <n v="0"/>
    <n v="401.07"/>
    <n v="0"/>
  </r>
  <r>
    <x v="5"/>
    <x v="3"/>
    <x v="0"/>
    <s v="5341101"/>
    <n v="700066"/>
    <s v="Salaries-RN-NonProd-Other"/>
    <s v="Interventional Pain Care"/>
    <x v="0"/>
    <n v="2000"/>
    <n v="14.39"/>
    <n v="0"/>
    <n v="16.309999999999999"/>
    <n v="0"/>
    <n v="0"/>
    <n v="0"/>
    <n v="0"/>
    <n v="0"/>
    <n v="0"/>
    <n v="0"/>
    <n v="0"/>
    <n v="0"/>
    <n v="30.7"/>
    <n v="0"/>
  </r>
  <r>
    <x v="5"/>
    <x v="3"/>
    <x v="0"/>
    <s v="5341101"/>
    <n v="700078"/>
    <s v="Salaries-Service/Support-Non-productive"/>
    <s v="Interventional Pain Care"/>
    <x v="0"/>
    <m/>
    <n v="1935.15"/>
    <n v="1320.06"/>
    <n v="978.72"/>
    <n v="392.76"/>
    <n v="752.43"/>
    <n v="1085.05"/>
    <n v="729.54"/>
    <n v="-27.04"/>
    <n v="0"/>
    <n v="0"/>
    <n v="89.69"/>
    <n v="94.31"/>
    <n v="7350.670000000001"/>
    <n v="-4.6200000000000045"/>
  </r>
  <r>
    <x v="5"/>
    <x v="3"/>
    <x v="0"/>
    <s v="5341101"/>
    <n v="700078"/>
    <s v="Salaries-Service/Support-NonProd-Other"/>
    <s v="Interventional Pain C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341101"/>
    <n v="700084"/>
    <s v="Accrued PTO"/>
    <s v="Interventional Pain Care"/>
    <x v="0"/>
    <m/>
    <n v="-1045.1300000000001"/>
    <n v="-583.95000000000005"/>
    <n v="-424.83"/>
    <n v="598.85"/>
    <n v="7.49"/>
    <n v="-4519.62"/>
    <n v="3883.05"/>
    <n v="355.02"/>
    <n v="631.38"/>
    <n v="449.31"/>
    <n v="317.88"/>
    <n v="97.37"/>
    <n v="-233.18000000000029"/>
    <n v="220.51"/>
  </r>
  <r>
    <x v="6"/>
    <x v="3"/>
    <x v="0"/>
    <s v="5341101"/>
    <n v="713010"/>
    <s v="Benefits-FICA/Medicare"/>
    <s v="Interventional Pain Care"/>
    <x v="0"/>
    <m/>
    <n v="1191.76"/>
    <n v="965.11"/>
    <n v="900.38"/>
    <n v="1222.74"/>
    <n v="884.87"/>
    <n v="659.51"/>
    <n v="1548.62"/>
    <n v="711.2"/>
    <n v="950.06"/>
    <n v="892.37"/>
    <n v="1010.56"/>
    <n v="661.4"/>
    <n v="11598.58"/>
    <n v="349.15999999999997"/>
  </r>
  <r>
    <x v="6"/>
    <x v="3"/>
    <x v="0"/>
    <s v="5341101"/>
    <n v="713090"/>
    <s v="Benefits-Allocated Amounts"/>
    <s v="Interventional Pain Care"/>
    <x v="0"/>
    <m/>
    <n v="3431.58"/>
    <n v="2472.17"/>
    <n v="2783.26"/>
    <n v="3347.74"/>
    <n v="2620.91"/>
    <n v="1825.44"/>
    <n v="2947.85"/>
    <n v="2344.63"/>
    <n v="2869.49"/>
    <n v="2822.47"/>
    <n v="3120.98"/>
    <n v="2079.37"/>
    <n v="32665.89"/>
    <n v="1041.6100000000001"/>
  </r>
  <r>
    <x v="6"/>
    <x v="3"/>
    <x v="0"/>
    <s v="5341101"/>
    <n v="713096"/>
    <s v="Employee Recognition"/>
    <s v="Interventional Pain Care"/>
    <x v="0"/>
    <n v="1017"/>
    <n v="0"/>
    <n v="0"/>
    <n v="0"/>
    <n v="0"/>
    <n v="0"/>
    <n v="0"/>
    <n v="0"/>
    <n v="0"/>
    <n v="0"/>
    <n v="0"/>
    <n v="0"/>
    <n v="37.9"/>
    <n v="37.9"/>
    <n v="-37.9"/>
  </r>
  <r>
    <x v="17"/>
    <x v="3"/>
    <x v="0"/>
    <s v="5341101"/>
    <n v="714530"/>
    <s v="Medical Prof Fees-Intracompany"/>
    <s v="Interventional Pain Care"/>
    <x v="0"/>
    <m/>
    <n v="2498.56"/>
    <n v="-2498.56"/>
    <n v="0"/>
    <n v="0"/>
    <n v="0"/>
    <n v="0"/>
    <n v="0"/>
    <n v="0"/>
    <n v="0"/>
    <n v="0"/>
    <n v="0"/>
    <n v="0"/>
    <n v="0"/>
    <n v="0"/>
  </r>
  <r>
    <x v="7"/>
    <x v="3"/>
    <x v="0"/>
    <s v="5341101"/>
    <n v="718050"/>
    <s v="Miscellaneous Purchased Svcs"/>
    <s v="Interventional Pain Care"/>
    <x v="0"/>
    <n v="1020"/>
    <n v="0"/>
    <n v="40"/>
    <n v="120"/>
    <n v="20"/>
    <n v="0"/>
    <n v="20"/>
    <n v="20"/>
    <n v="0"/>
    <n v="84"/>
    <n v="20"/>
    <n v="20"/>
    <n v="0"/>
    <n v="344"/>
    <n v="20"/>
  </r>
  <r>
    <x v="7"/>
    <x v="3"/>
    <x v="0"/>
    <s v="5341101"/>
    <n v="718050"/>
    <s v="Translation Services"/>
    <s v="Interventional Pain Care"/>
    <x v="0"/>
    <n v="1025"/>
    <n v="0"/>
    <n v="50"/>
    <n v="130"/>
    <n v="0"/>
    <n v="0"/>
    <n v="0"/>
    <n v="123.5"/>
    <n v="0"/>
    <n v="0"/>
    <n v="0"/>
    <n v="0"/>
    <n v="0"/>
    <n v="303.5"/>
    <n v="0"/>
  </r>
  <r>
    <x v="11"/>
    <x v="3"/>
    <x v="0"/>
    <s v="5341101"/>
    <n v="721010"/>
    <s v="Supplies-Medical - Billable"/>
    <s v="Interventional Pain Care"/>
    <x v="0"/>
    <m/>
    <n v="452.27"/>
    <n v="370.61"/>
    <n v="335.09"/>
    <n v="916.71"/>
    <n v="1958.29"/>
    <n v="1736.32"/>
    <n v="4222.3500000000004"/>
    <n v="720.56"/>
    <n v="236.06"/>
    <n v="326.7"/>
    <n v="3077.62"/>
    <n v="296.14"/>
    <n v="14648.719999999998"/>
    <n v="2781.48"/>
  </r>
  <r>
    <x v="11"/>
    <x v="3"/>
    <x v="0"/>
    <s v="5341101"/>
    <n v="721020"/>
    <s v="Supplies-Surgical - Billable"/>
    <s v="Interventional Pain Care"/>
    <x v="0"/>
    <m/>
    <n v="51.8"/>
    <n v="16.8"/>
    <n v="72.8"/>
    <n v="28"/>
    <n v="0"/>
    <n v="0"/>
    <n v="0"/>
    <n v="0"/>
    <n v="0"/>
    <n v="0"/>
    <n v="119"/>
    <n v="0"/>
    <n v="288.39999999999998"/>
    <n v="119"/>
  </r>
  <r>
    <x v="11"/>
    <x v="3"/>
    <x v="0"/>
    <s v="5341101"/>
    <n v="721020"/>
    <s v="Custom Packs"/>
    <s v="Interventional Pain Care"/>
    <x v="0"/>
    <n v="1000"/>
    <n v="-16.09"/>
    <n v="79.790000000000006"/>
    <n v="99.74"/>
    <n v="19.95"/>
    <n v="68.319999999999993"/>
    <n v="0"/>
    <n v="79.790000000000006"/>
    <n v="19.95"/>
    <n v="29.92"/>
    <n v="99.74"/>
    <n v="0"/>
    <n v="49.87"/>
    <n v="530.98"/>
    <n v="-49.87"/>
  </r>
  <r>
    <x v="11"/>
    <x v="3"/>
    <x v="0"/>
    <s v="5341101"/>
    <n v="721020"/>
    <s v="Suture/Wound Closure"/>
    <s v="Interventional Pain Care"/>
    <x v="0"/>
    <n v="1001"/>
    <n v="0"/>
    <n v="0"/>
    <n v="0"/>
    <n v="0"/>
    <n v="0"/>
    <n v="46.32"/>
    <n v="46.32"/>
    <n v="0"/>
    <n v="0"/>
    <n v="0"/>
    <n v="0"/>
    <n v="0"/>
    <n v="92.64"/>
    <n v="0"/>
  </r>
  <r>
    <x v="11"/>
    <x v="3"/>
    <x v="0"/>
    <s v="5341101"/>
    <n v="721020"/>
    <s v="Urological Supplies"/>
    <s v="Interventional Pain Care"/>
    <x v="0"/>
    <n v="1006"/>
    <n v="0"/>
    <n v="0"/>
    <n v="0"/>
    <n v="0"/>
    <n v="429.89"/>
    <n v="0"/>
    <n v="3336.7"/>
    <n v="0"/>
    <n v="0"/>
    <n v="0"/>
    <n v="0"/>
    <n v="0"/>
    <n v="3766.5899999999997"/>
    <n v="0"/>
  </r>
  <r>
    <x v="11"/>
    <x v="3"/>
    <x v="0"/>
    <s v="5341101"/>
    <n v="721020"/>
    <s v="Tubes Drains &amp; Related Supplies"/>
    <s v="Interventional Pain Care"/>
    <x v="0"/>
    <n v="1008"/>
    <n v="0"/>
    <n v="67.5"/>
    <n v="135"/>
    <n v="0"/>
    <n v="0"/>
    <n v="0"/>
    <n v="0"/>
    <n v="0"/>
    <n v="0"/>
    <n v="0"/>
    <n v="0"/>
    <n v="0"/>
    <n v="202.5"/>
    <n v="0"/>
  </r>
  <r>
    <x v="11"/>
    <x v="3"/>
    <x v="0"/>
    <s v="5341101"/>
    <n v="721240"/>
    <s v="Supplies-IV Solutions/Supplies - Billable"/>
    <s v="Interventional Pain Care"/>
    <x v="0"/>
    <m/>
    <n v="0"/>
    <n v="0"/>
    <n v="0"/>
    <n v="0"/>
    <n v="0.98"/>
    <n v="0"/>
    <n v="35.9"/>
    <n v="0"/>
    <n v="8.9"/>
    <n v="0"/>
    <n v="0"/>
    <n v="0"/>
    <n v="45.779999999999994"/>
    <n v="0"/>
  </r>
  <r>
    <x v="11"/>
    <x v="3"/>
    <x v="0"/>
    <s v="5341101"/>
    <n v="721410"/>
    <s v="Supplies-Medical - Nonbillable"/>
    <s v="Interventional Pain Care"/>
    <x v="0"/>
    <m/>
    <n v="650.45000000000005"/>
    <n v="530.48"/>
    <n v="867.27"/>
    <n v="532.76"/>
    <n v="579"/>
    <n v="520.46"/>
    <n v="2025.49"/>
    <n v="1407.63"/>
    <n v="217.88"/>
    <n v="-1942.88"/>
    <n v="245.12"/>
    <n v="147.18"/>
    <n v="5780.84"/>
    <n v="97.94"/>
  </r>
  <r>
    <x v="11"/>
    <x v="3"/>
    <x v="0"/>
    <s v="5341101"/>
    <n v="721420"/>
    <s v="Supplies-Surgical Nonbillable"/>
    <s v="Interventional Pain Care"/>
    <x v="0"/>
    <m/>
    <n v="143.6"/>
    <n v="53.38"/>
    <n v="113.52"/>
    <n v="101.87"/>
    <n v="163.05000000000001"/>
    <n v="15.04"/>
    <n v="182.69"/>
    <n v="73.44"/>
    <n v="101.87"/>
    <n v="122.14"/>
    <n v="26.69"/>
    <n v="101.87"/>
    <n v="1199.1600000000003"/>
    <n v="-75.180000000000007"/>
  </r>
  <r>
    <x v="11"/>
    <x v="3"/>
    <x v="0"/>
    <s v="5341101"/>
    <n v="721420"/>
    <s v="Tubes Drains &amp; Related Supplies"/>
    <s v="Interventional Pain Care"/>
    <x v="0"/>
    <n v="1008"/>
    <n v="0"/>
    <n v="0"/>
    <n v="-18.510000000000002"/>
    <n v="0"/>
    <n v="0"/>
    <n v="0"/>
    <n v="0"/>
    <n v="0"/>
    <n v="0"/>
    <n v="0"/>
    <n v="0"/>
    <n v="0"/>
    <n v="-18.510000000000002"/>
    <n v="0"/>
  </r>
  <r>
    <x v="11"/>
    <x v="3"/>
    <x v="0"/>
    <s v="5341101"/>
    <n v="721420"/>
    <s v="Sterilization Process Products"/>
    <s v="Interventional Pain Care"/>
    <x v="0"/>
    <n v="1009"/>
    <n v="53.95"/>
    <n v="53.95"/>
    <n v="99.09"/>
    <n v="57.03"/>
    <n v="147.55000000000001"/>
    <n v="52.31"/>
    <n v="44.6"/>
    <n v="-0.55000000000000004"/>
    <n v="0"/>
    <n v="107.9"/>
    <n v="152.05000000000001"/>
    <n v="-14.95"/>
    <n v="752.93000000000006"/>
    <n v="167"/>
  </r>
  <r>
    <x v="11"/>
    <x v="3"/>
    <x v="0"/>
    <s v="5341101"/>
    <n v="721610"/>
    <s v="Supplies-Anesthesia - Nonbillable"/>
    <s v="Interventional Pain Care"/>
    <x v="0"/>
    <m/>
    <n v="394.82"/>
    <n v="290.97000000000003"/>
    <n v="96.99"/>
    <n v="387.96"/>
    <n v="680.53"/>
    <n v="487.08"/>
    <n v="246.65"/>
    <n v="102"/>
    <n v="27.4"/>
    <n v="1.06"/>
    <n v="93.87"/>
    <n v="360.6"/>
    <n v="3169.93"/>
    <n v="-266.73"/>
  </r>
  <r>
    <x v="11"/>
    <x v="3"/>
    <x v="0"/>
    <s v="5341101"/>
    <n v="721640"/>
    <s v="Supplies-IV Solutions/Supplies - Nonbillable"/>
    <s v="Interventional Pain Care"/>
    <x v="0"/>
    <m/>
    <n v="107"/>
    <n v="0"/>
    <n v="0"/>
    <n v="0"/>
    <n v="207.81"/>
    <n v="0"/>
    <n v="116.43"/>
    <n v="0"/>
    <n v="13.91"/>
    <n v="0"/>
    <n v="90"/>
    <n v="107"/>
    <n v="642.15000000000009"/>
    <n v="-17"/>
  </r>
  <r>
    <x v="11"/>
    <x v="3"/>
    <x v="0"/>
    <s v="5341101"/>
    <n v="721710"/>
    <s v="Supplies-Laboratory - Nonbillable"/>
    <s v="Interventional Pain Care"/>
    <x v="0"/>
    <m/>
    <n v="0"/>
    <n v="0"/>
    <n v="0"/>
    <n v="0"/>
    <n v="5.8"/>
    <n v="707.94"/>
    <n v="0"/>
    <n v="-64.94"/>
    <n v="0"/>
    <n v="0"/>
    <n v="0"/>
    <n v="0"/>
    <n v="648.79999999999995"/>
    <n v="0"/>
  </r>
  <r>
    <x v="11"/>
    <x v="3"/>
    <x v="0"/>
    <s v="5341101"/>
    <n v="721830"/>
    <s v="Supplies-Office"/>
    <s v="Interventional Pain Care"/>
    <x v="0"/>
    <m/>
    <n v="0"/>
    <n v="78.64"/>
    <n v="0"/>
    <n v="310.69"/>
    <n v="149.52000000000001"/>
    <n v="17.329999999999998"/>
    <n v="31.38"/>
    <n v="200.62"/>
    <n v="66.48"/>
    <n v="256.06"/>
    <n v="0"/>
    <n v="63.89"/>
    <n v="1174.6100000000001"/>
    <n v="-63.89"/>
  </r>
  <r>
    <x v="11"/>
    <x v="3"/>
    <x v="0"/>
    <s v="5341101"/>
    <n v="721870"/>
    <s v="Supplies-Environmental Services"/>
    <s v="Interventional Pain Care"/>
    <x v="0"/>
    <m/>
    <n v="0"/>
    <n v="11.88"/>
    <n v="4.8"/>
    <n v="4.68"/>
    <n v="6.13"/>
    <n v="0"/>
    <n v="4.8"/>
    <n v="4.8"/>
    <n v="4.8"/>
    <n v="4.8"/>
    <n v="14.86"/>
    <n v="14.4"/>
    <n v="75.949999999999989"/>
    <n v="0.45999999999999908"/>
  </r>
  <r>
    <x v="11"/>
    <x v="3"/>
    <x v="0"/>
    <s v="5341101"/>
    <n v="721910"/>
    <s v="Instruments"/>
    <s v="Interventional Pain Care"/>
    <x v="0"/>
    <n v="1000"/>
    <n v="4.4000000000000004"/>
    <n v="11"/>
    <n v="8.07"/>
    <n v="7.33"/>
    <n v="11"/>
    <n v="4.4000000000000004"/>
    <n v="21.13"/>
    <n v="9.92"/>
    <n v="15.18"/>
    <n v="12.14"/>
    <n v="11.33"/>
    <n v="5.39"/>
    <n v="121.29"/>
    <n v="5.94"/>
  </r>
  <r>
    <x v="11"/>
    <x v="3"/>
    <x v="0"/>
    <s v="5341101"/>
    <n v="722000"/>
    <s v="Supplies-Freight Expense"/>
    <s v="Interventional Pain Care"/>
    <x v="0"/>
    <m/>
    <n v="0"/>
    <n v="12.88"/>
    <n v="0"/>
    <n v="12.88"/>
    <n v="8.27"/>
    <n v="26"/>
    <n v="79.11"/>
    <n v="93.26"/>
    <n v="27.17"/>
    <n v="8.77"/>
    <n v="0"/>
    <n v="9.2899999999999991"/>
    <n v="277.63"/>
    <n v="-9.2899999999999991"/>
  </r>
  <r>
    <x v="0"/>
    <x v="3"/>
    <x v="0"/>
    <s v="5341101"/>
    <n v="749510"/>
    <s v="Miscellaneous Expenses"/>
    <s v="Interventional Pain Care"/>
    <x v="0"/>
    <m/>
    <n v="0"/>
    <n v="0"/>
    <n v="0"/>
    <n v="0"/>
    <n v="0"/>
    <n v="0"/>
    <n v="211.39"/>
    <n v="0"/>
    <n v="0"/>
    <n v="0"/>
    <n v="0"/>
    <n v="0"/>
    <n v="211.39"/>
    <n v="0"/>
  </r>
  <r>
    <x v="19"/>
    <x v="0"/>
    <x v="0"/>
    <s v="5341102"/>
    <n v="400020"/>
    <s v="O/P Care Svcs Rev--Medicare"/>
    <s v="Interventional Pain Care"/>
    <x v="0"/>
    <n v="1100"/>
    <n v="-18003.53"/>
    <n v="-13449.63"/>
    <n v="-2080.23"/>
    <n v="-10941.57"/>
    <n v="-4982.34"/>
    <n v="-13728.18"/>
    <n v="-7560.3"/>
    <n v="-3285.66"/>
    <n v="-11619.3"/>
    <n v="-10810.6"/>
    <n v="0"/>
    <n v="0"/>
    <n v="-96461.340000000011"/>
    <n v="0"/>
  </r>
  <r>
    <x v="19"/>
    <x v="0"/>
    <x v="0"/>
    <s v="5341102"/>
    <n v="400020"/>
    <s v="O/P Care Svcs Rev--Medicaid"/>
    <s v="Interventional Pain Care"/>
    <x v="0"/>
    <n v="1200"/>
    <n v="-8946.33"/>
    <n v="-3138.88"/>
    <n v="0"/>
    <n v="-3611.44"/>
    <n v="-3062.29"/>
    <n v="-277.81"/>
    <n v="-5129.6000000000004"/>
    <n v="0"/>
    <n v="-6944.36"/>
    <n v="-8879.35"/>
    <n v="0"/>
    <n v="0"/>
    <n v="-39990.06"/>
    <n v="0"/>
  </r>
  <r>
    <x v="19"/>
    <x v="0"/>
    <x v="0"/>
    <s v="5341102"/>
    <n v="400020"/>
    <s v="O/P Care Svcs Rev--Comm Insurance"/>
    <s v="Interventional Pain Care"/>
    <x v="0"/>
    <n v="1300"/>
    <n v="0"/>
    <n v="0"/>
    <n v="0"/>
    <n v="0"/>
    <n v="0"/>
    <n v="0"/>
    <n v="0"/>
    <n v="0"/>
    <n v="0"/>
    <n v="-2262.33"/>
    <n v="0"/>
    <n v="0"/>
    <n v="-2262.33"/>
    <n v="0"/>
  </r>
  <r>
    <x v="19"/>
    <x v="0"/>
    <x v="0"/>
    <s v="5341102"/>
    <n v="400020"/>
    <s v="O/P Care Svcs Rev--BCBS Comm"/>
    <s v="Interventional Pain Care"/>
    <x v="0"/>
    <n v="1301"/>
    <n v="-2998.48"/>
    <n v="-3126.1"/>
    <n v="-3011.26"/>
    <n v="-5980.92"/>
    <n v="-6427.05"/>
    <n v="-6056.88"/>
    <n v="0"/>
    <n v="0"/>
    <n v="0"/>
    <n v="-5219.0600000000004"/>
    <n v="0"/>
    <n v="0"/>
    <n v="-32819.75"/>
    <n v="0"/>
  </r>
  <r>
    <x v="19"/>
    <x v="0"/>
    <x v="0"/>
    <s v="5341102"/>
    <n v="400020"/>
    <s v="O/P Care Svcs Rev--Managed Care"/>
    <s v="Interventional Pain Care"/>
    <x v="0"/>
    <n v="1400"/>
    <n v="-5154.76"/>
    <n v="-1531.38"/>
    <n v="-9714.08"/>
    <n v="-5970.16"/>
    <n v="-5544.68"/>
    <n v="-5105.43"/>
    <n v="-8499.19"/>
    <n v="-8635.27"/>
    <n v="-5734.51"/>
    <n v="-3472.18"/>
    <n v="0"/>
    <n v="0"/>
    <n v="-59361.640000000014"/>
    <n v="0"/>
  </r>
  <r>
    <x v="19"/>
    <x v="0"/>
    <x v="0"/>
    <s v="5341102"/>
    <n v="400020"/>
    <s v="O/P Care Svcs Rev--Other"/>
    <s v="Interventional Pain Care"/>
    <x v="0"/>
    <n v="1700"/>
    <n v="0"/>
    <n v="0"/>
    <n v="0"/>
    <n v="-2837.94"/>
    <n v="0"/>
    <n v="0"/>
    <n v="0"/>
    <n v="0"/>
    <n v="-2262.33"/>
    <n v="-2262.33"/>
    <n v="0"/>
    <n v="0"/>
    <n v="-7362.6"/>
    <n v="0"/>
  </r>
  <r>
    <x v="5"/>
    <x v="0"/>
    <x v="0"/>
    <s v="5341102"/>
    <n v="700026"/>
    <s v="Salaries-RN-Productive"/>
    <s v="Interventional Pain Care"/>
    <x v="0"/>
    <m/>
    <n v="1182.58"/>
    <n v="376.53"/>
    <n v="1320.7"/>
    <n v="337.42"/>
    <n v="1389.79"/>
    <n v="63.57"/>
    <n v="748.05"/>
    <n v="550.54"/>
    <n v="767.25"/>
    <n v="1459.63"/>
    <n v="-608.12"/>
    <n v="0"/>
    <n v="7587.9400000000014"/>
    <n v="-608.12"/>
  </r>
  <r>
    <x v="5"/>
    <x v="0"/>
    <x v="0"/>
    <s v="5341102"/>
    <n v="700026"/>
    <s v="Salaries-RN-OT"/>
    <s v="Interventional Pain Care"/>
    <x v="0"/>
    <n v="1000"/>
    <n v="112.01"/>
    <n v="51.49"/>
    <n v="0"/>
    <n v="29.89"/>
    <n v="262.42"/>
    <n v="31.25"/>
    <n v="0"/>
    <n v="0"/>
    <n v="0"/>
    <n v="108.28"/>
    <n v="-45.11"/>
    <n v="0"/>
    <n v="550.23"/>
    <n v="-45.11"/>
  </r>
  <r>
    <x v="5"/>
    <x v="0"/>
    <x v="0"/>
    <s v="5341102"/>
    <n v="700026"/>
    <s v="Salaries-RN-Other"/>
    <s v="Interventional Pain Care"/>
    <x v="0"/>
    <n v="2000"/>
    <n v="19.809999999999999"/>
    <n v="9.4499999999999993"/>
    <n v="33.74"/>
    <n v="-8.99"/>
    <n v="41.23"/>
    <n v="2.09"/>
    <n v="16.329999999999998"/>
    <n v="12.4"/>
    <n v="18.03"/>
    <n v="33.799999999999997"/>
    <n v="-14.08"/>
    <n v="0"/>
    <n v="163.80999999999997"/>
    <n v="-14.08"/>
  </r>
  <r>
    <x v="6"/>
    <x v="0"/>
    <x v="0"/>
    <s v="5341102"/>
    <n v="713010"/>
    <s v="Benefits-FICA/Medicare"/>
    <s v="Interventional Pain Care"/>
    <x v="0"/>
    <m/>
    <n v="98.6"/>
    <n v="32.909999999999997"/>
    <n v="101.8"/>
    <n v="26.93"/>
    <n v="127.66"/>
    <n v="7.36"/>
    <n v="57.45"/>
    <n v="42.29"/>
    <n v="59.08"/>
    <n v="120.5"/>
    <n v="-50.2"/>
    <n v="0"/>
    <n v="624.38"/>
    <n v="-50.2"/>
  </r>
  <r>
    <x v="6"/>
    <x v="0"/>
    <x v="0"/>
    <s v="5341102"/>
    <n v="713090"/>
    <s v="Benefits-Allocated Amounts"/>
    <s v="Interventional Pain Care"/>
    <x v="0"/>
    <m/>
    <n v="227.09"/>
    <n v="49"/>
    <n v="220.32"/>
    <n v="81.77"/>
    <n v="189.4"/>
    <n v="2.94"/>
    <n v="83.92"/>
    <n v="102.26"/>
    <n v="127.59"/>
    <n v="444.88"/>
    <n v="-133.57"/>
    <n v="-96.48"/>
    <n v="1299.1200000000001"/>
    <n v="-37.089999999999989"/>
  </r>
  <r>
    <x v="11"/>
    <x v="0"/>
    <x v="0"/>
    <s v="5341102"/>
    <n v="721010"/>
    <s v="Supplies-Medical - Billable"/>
    <s v="Interventional Pain Care"/>
    <x v="0"/>
    <m/>
    <n v="0"/>
    <n v="0"/>
    <n v="15.57"/>
    <n v="0"/>
    <n v="131.5"/>
    <n v="0"/>
    <n v="0"/>
    <n v="0"/>
    <n v="0"/>
    <n v="64.930000000000007"/>
    <n v="0"/>
    <n v="0"/>
    <n v="212"/>
    <n v="0"/>
  </r>
  <r>
    <x v="11"/>
    <x v="0"/>
    <x v="0"/>
    <s v="5341102"/>
    <n v="721410"/>
    <s v="Supplies-Medical - Nonbillable"/>
    <s v="Interventional Pain Care"/>
    <x v="0"/>
    <m/>
    <n v="31.67"/>
    <n v="0"/>
    <n v="30.89"/>
    <n v="0"/>
    <n v="70.64"/>
    <n v="38.21"/>
    <n v="0"/>
    <n v="0"/>
    <n v="0"/>
    <n v="115.92"/>
    <n v="0"/>
    <n v="0"/>
    <n v="287.33"/>
    <n v="0"/>
  </r>
  <r>
    <x v="11"/>
    <x v="0"/>
    <x v="0"/>
    <s v="5341102"/>
    <n v="721420"/>
    <s v="Supplies-Surgical Nonbillable"/>
    <s v="Interventional Pain Care"/>
    <x v="0"/>
    <m/>
    <n v="62.63"/>
    <n v="0"/>
    <n v="57.87"/>
    <n v="0"/>
    <n v="53.62"/>
    <n v="92.2"/>
    <n v="0"/>
    <n v="0"/>
    <n v="0"/>
    <n v="132.19999999999999"/>
    <n v="0"/>
    <n v="0"/>
    <n v="398.52"/>
    <n v="0"/>
  </r>
  <r>
    <x v="11"/>
    <x v="0"/>
    <x v="0"/>
    <s v="5341102"/>
    <n v="721610"/>
    <s v="Supplies-Anesthesia - Nonbillable"/>
    <s v="Interventional Pain Care"/>
    <x v="0"/>
    <m/>
    <n v="0"/>
    <n v="0"/>
    <n v="0"/>
    <n v="435.21"/>
    <n v="250.57"/>
    <n v="-26.38"/>
    <n v="0"/>
    <n v="0"/>
    <n v="0"/>
    <n v="290.14"/>
    <n v="-26.38"/>
    <n v="0"/>
    <n v="923.16"/>
    <n v="-26.38"/>
  </r>
  <r>
    <x v="11"/>
    <x v="0"/>
    <x v="0"/>
    <s v="5341102"/>
    <n v="721640"/>
    <s v="Supplies-IV Solutions/Supplies - Nonbillable"/>
    <s v="Interventional Pain Care"/>
    <x v="0"/>
    <m/>
    <n v="0"/>
    <n v="0"/>
    <n v="0"/>
    <n v="0"/>
    <n v="10.7"/>
    <n v="0"/>
    <n v="0"/>
    <n v="0"/>
    <n v="0"/>
    <n v="0"/>
    <n v="0"/>
    <n v="0"/>
    <n v="10.7"/>
    <n v="0"/>
  </r>
  <r>
    <x v="11"/>
    <x v="0"/>
    <x v="0"/>
    <s v="5341102"/>
    <n v="721835"/>
    <s v="Supplies-Forms"/>
    <s v="Interventional Pain Care"/>
    <x v="0"/>
    <m/>
    <n v="0"/>
    <n v="0"/>
    <n v="0"/>
    <n v="0"/>
    <n v="0"/>
    <n v="41"/>
    <n v="0"/>
    <n v="0"/>
    <n v="0"/>
    <n v="0"/>
    <n v="0"/>
    <n v="0"/>
    <n v="41"/>
    <n v="0"/>
  </r>
  <r>
    <x v="11"/>
    <x v="0"/>
    <x v="0"/>
    <s v="5341102"/>
    <n v="721910"/>
    <s v="Instruments"/>
    <s v="Interventional Pain Care"/>
    <x v="0"/>
    <n v="1000"/>
    <n v="0"/>
    <n v="0"/>
    <n v="0"/>
    <n v="0"/>
    <n v="1.47"/>
    <n v="0"/>
    <n v="0"/>
    <n v="0"/>
    <n v="0"/>
    <n v="0"/>
    <n v="0"/>
    <n v="0"/>
    <n v="1.47"/>
    <n v="0"/>
  </r>
  <r>
    <x v="18"/>
    <x v="8"/>
    <x v="0"/>
    <s v="5341104"/>
    <n v="400010"/>
    <s v="Acute I/P Svcs Rev--Medicare"/>
    <s v="Interventional Pain Care"/>
    <x v="0"/>
    <n v="1100"/>
    <n v="0"/>
    <n v="0"/>
    <n v="0"/>
    <n v="0"/>
    <n v="0"/>
    <n v="0"/>
    <n v="-1629.79"/>
    <n v="0"/>
    <n v="1629.79"/>
    <n v="0"/>
    <n v="0"/>
    <n v="0"/>
    <n v="0"/>
    <n v="0"/>
  </r>
  <r>
    <x v="19"/>
    <x v="8"/>
    <x v="0"/>
    <s v="5341104"/>
    <n v="400020"/>
    <s v="O/P Care Svcs Rev--Medicare"/>
    <s v="Interventional Pain Care"/>
    <x v="0"/>
    <n v="1100"/>
    <n v="-208.05"/>
    <n v="-1089.51"/>
    <n v="0"/>
    <n v="-96887.79"/>
    <n v="-86811.53"/>
    <n v="-76279.289999999994"/>
    <n v="-134515.76"/>
    <n v="-57351.79"/>
    <n v="-82265.34"/>
    <n v="-152820.54999999999"/>
    <n v="-240335.28"/>
    <n v="-217955.48"/>
    <n v="-1146520.3699999999"/>
    <n v="-22379.799999999988"/>
  </r>
  <r>
    <x v="19"/>
    <x v="8"/>
    <x v="0"/>
    <s v="5341104"/>
    <n v="400020"/>
    <s v="O/P Care Svcs Rev--Medicaid"/>
    <s v="Interventional Pain Care"/>
    <x v="0"/>
    <n v="1200"/>
    <n v="0"/>
    <n v="-224.68"/>
    <n v="0"/>
    <n v="-19412.84"/>
    <n v="-13969.63"/>
    <n v="-23562.57"/>
    <n v="-44962.81"/>
    <n v="-36397.449999999997"/>
    <n v="-82562.039999999994"/>
    <n v="-114578.6"/>
    <n v="-83853.100000000006"/>
    <n v="-106154.1"/>
    <n v="-525677.81999999995"/>
    <n v="22301"/>
  </r>
  <r>
    <x v="19"/>
    <x v="8"/>
    <x v="0"/>
    <s v="5341104"/>
    <n v="400020"/>
    <s v="O/P Care Svcs Rev--Comm Insurance"/>
    <s v="Interventional Pain Care"/>
    <x v="0"/>
    <n v="1300"/>
    <n v="0"/>
    <n v="0"/>
    <n v="0"/>
    <n v="-1463.88"/>
    <n v="-2004.87"/>
    <n v="-18383.2"/>
    <n v="-3579.07"/>
    <n v="0"/>
    <n v="-7035.13"/>
    <n v="0"/>
    <n v="-4873.04"/>
    <n v="-13238.22"/>
    <n v="-50577.41"/>
    <n v="8365.18"/>
  </r>
  <r>
    <x v="19"/>
    <x v="8"/>
    <x v="0"/>
    <s v="5341104"/>
    <n v="400020"/>
    <s v="O/P Care Svcs Rev--BCBS Comm"/>
    <s v="Interventional Pain Care"/>
    <x v="0"/>
    <n v="1301"/>
    <n v="-80.430000000000007"/>
    <n v="-95.71"/>
    <n v="0"/>
    <n v="-9903.19"/>
    <n v="-30311.29"/>
    <n v="-20151.75"/>
    <n v="-21029.32"/>
    <n v="-13874.99"/>
    <n v="-10833.1"/>
    <n v="-11947.63"/>
    <n v="-11667.64"/>
    <n v="-16619.669999999998"/>
    <n v="-146514.72000000003"/>
    <n v="4952.0299999999988"/>
  </r>
  <r>
    <x v="19"/>
    <x v="8"/>
    <x v="0"/>
    <s v="5341104"/>
    <n v="400020"/>
    <s v="O/P Care Svcs Rev--Managed Care"/>
    <s v="Interventional Pain Care"/>
    <x v="0"/>
    <n v="1400"/>
    <n v="0"/>
    <n v="-208.05"/>
    <n v="0"/>
    <n v="-26230.13"/>
    <n v="-19813.439999999999"/>
    <n v="-39287.160000000003"/>
    <n v="-90764.57"/>
    <n v="-23414.58"/>
    <n v="-32231.19"/>
    <n v="-43103.31"/>
    <n v="-40435.19"/>
    <n v="-57151.94"/>
    <n v="-372639.56"/>
    <n v="16716.75"/>
  </r>
  <r>
    <x v="19"/>
    <x v="8"/>
    <x v="0"/>
    <s v="5341104"/>
    <n v="400020"/>
    <s v="O/P Care Svcs Rev--Self Pay"/>
    <s v="Interventional Pain Care"/>
    <x v="0"/>
    <n v="1500"/>
    <n v="0"/>
    <n v="0"/>
    <n v="0"/>
    <n v="0"/>
    <n v="0"/>
    <n v="-6443.97"/>
    <n v="3579.07"/>
    <n v="0"/>
    <n v="0"/>
    <n v="-16186.32"/>
    <n v="-5916.21"/>
    <n v="-5916.21"/>
    <n v="-30883.64"/>
    <n v="0"/>
  </r>
  <r>
    <x v="19"/>
    <x v="8"/>
    <x v="0"/>
    <s v="5341104"/>
    <n v="400020"/>
    <s v="O/P Care Svcs Rev--Other"/>
    <s v="Interventional Pain Care"/>
    <x v="0"/>
    <n v="1700"/>
    <n v="0"/>
    <n v="-63.81"/>
    <n v="0"/>
    <n v="0"/>
    <n v="-1424.35"/>
    <n v="-5254.39"/>
    <n v="-6556.51"/>
    <n v="-5277.73"/>
    <n v="-8368.81"/>
    <n v="-38312.400000000001"/>
    <n v="-23885.88"/>
    <n v="-31876.1"/>
    <n v="-121019.98000000001"/>
    <n v="7990.2199999999975"/>
  </r>
  <r>
    <x v="5"/>
    <x v="8"/>
    <x v="0"/>
    <s v="5341104"/>
    <n v="700026"/>
    <s v="Salaries-RN-Productive"/>
    <s v="Interventional Pain Care"/>
    <x v="0"/>
    <m/>
    <n v="0"/>
    <n v="0"/>
    <n v="0"/>
    <n v="3777.4"/>
    <n v="3227.66"/>
    <n v="6476.54"/>
    <n v="6815.76"/>
    <n v="912.37"/>
    <n v="7368"/>
    <n v="7028.26"/>
    <n v="5305.06"/>
    <n v="8505.58"/>
    <n v="49416.63"/>
    <n v="-3200.5199999999995"/>
  </r>
  <r>
    <x v="5"/>
    <x v="8"/>
    <x v="0"/>
    <s v="5341104"/>
    <n v="700026"/>
    <s v="Salaries-RN-OT"/>
    <s v="Interventional Pain Care"/>
    <x v="0"/>
    <n v="1000"/>
    <n v="0"/>
    <n v="0"/>
    <n v="0"/>
    <n v="362.41"/>
    <n v="-10.74"/>
    <n v="950.36"/>
    <n v="473.14"/>
    <n v="-97.12"/>
    <n v="505.17"/>
    <n v="398.01"/>
    <n v="807.54"/>
    <n v="918.37"/>
    <n v="4307.1400000000003"/>
    <n v="-110.83000000000004"/>
  </r>
  <r>
    <x v="5"/>
    <x v="8"/>
    <x v="0"/>
    <s v="5341104"/>
    <n v="700026"/>
    <s v="Salaries-RN-Other"/>
    <s v="Interventional Pain Care"/>
    <x v="0"/>
    <n v="2000"/>
    <n v="0"/>
    <n v="0"/>
    <n v="0"/>
    <n v="62.75"/>
    <n v="67.31"/>
    <n v="118.17"/>
    <n v="126.52"/>
    <n v="8.7799999999999994"/>
    <n v="120.53"/>
    <n v="90.01"/>
    <n v="49.09"/>
    <n v="38.090000000000003"/>
    <n v="681.25"/>
    <n v="11"/>
  </r>
  <r>
    <x v="5"/>
    <x v="8"/>
    <x v="0"/>
    <s v="5341104"/>
    <n v="700034"/>
    <s v="Salaries-Tech/Professional-Productive"/>
    <s v="Interventional Pain Care"/>
    <x v="0"/>
    <m/>
    <n v="0"/>
    <n v="0"/>
    <n v="0"/>
    <n v="0"/>
    <n v="0"/>
    <n v="0"/>
    <n v="0"/>
    <n v="0"/>
    <n v="1110.1400000000001"/>
    <n v="670.9"/>
    <n v="990.48"/>
    <n v="-561.03"/>
    <n v="2210.4899999999998"/>
    <n v="1551.51"/>
  </r>
  <r>
    <x v="5"/>
    <x v="8"/>
    <x v="0"/>
    <s v="5341104"/>
    <n v="700034"/>
    <s v="Salaries-Tech/Professional-OT"/>
    <s v="Interventional Pain Care"/>
    <x v="0"/>
    <n v="1000"/>
    <n v="0"/>
    <n v="0"/>
    <n v="0"/>
    <n v="0"/>
    <n v="0"/>
    <n v="0"/>
    <n v="0"/>
    <n v="0"/>
    <n v="65.81"/>
    <n v="39.35"/>
    <n v="-24.61"/>
    <n v="0"/>
    <n v="80.55"/>
    <n v="-24.61"/>
  </r>
  <r>
    <x v="5"/>
    <x v="8"/>
    <x v="0"/>
    <s v="5341104"/>
    <n v="700034"/>
    <s v="Salaries-Tech/Professional-Other"/>
    <s v="Interventional Pain Care"/>
    <x v="0"/>
    <n v="2000"/>
    <n v="0"/>
    <n v="0"/>
    <n v="0"/>
    <n v="0"/>
    <n v="0"/>
    <n v="0"/>
    <n v="0"/>
    <n v="0"/>
    <n v="18.54"/>
    <n v="9.0500000000000007"/>
    <n v="20.57"/>
    <n v="-11.04"/>
    <n v="37.119999999999997"/>
    <n v="31.61"/>
  </r>
  <r>
    <x v="6"/>
    <x v="8"/>
    <x v="0"/>
    <s v="5341104"/>
    <n v="713010"/>
    <s v="Benefits-FICA/Medicare"/>
    <s v="Interventional Pain Care"/>
    <x v="0"/>
    <m/>
    <n v="0"/>
    <n v="0"/>
    <n v="0"/>
    <n v="318.3"/>
    <n v="248.01"/>
    <n v="570.20000000000005"/>
    <n v="560.04999999999995"/>
    <n v="62.19"/>
    <n v="693.62"/>
    <n v="624.36"/>
    <n v="541.63"/>
    <n v="672.53"/>
    <n v="4290.8900000000003"/>
    <n v="-130.89999999999998"/>
  </r>
  <r>
    <x v="6"/>
    <x v="8"/>
    <x v="0"/>
    <s v="5341104"/>
    <n v="713090"/>
    <s v="Benefits-Allocated Amounts"/>
    <s v="Interventional Pain Care"/>
    <x v="0"/>
    <m/>
    <n v="0"/>
    <n v="0"/>
    <n v="0"/>
    <n v="614.32000000000005"/>
    <n v="527.95000000000005"/>
    <n v="1085.33"/>
    <n v="1194.78"/>
    <n v="-105.74"/>
    <n v="1687.87"/>
    <n v="1241.67"/>
    <n v="1015.86"/>
    <n v="1352.63"/>
    <n v="8614.67"/>
    <n v="-336.7700000000001"/>
  </r>
  <r>
    <x v="11"/>
    <x v="8"/>
    <x v="0"/>
    <s v="5341104"/>
    <n v="721010"/>
    <s v="Supplies-Medical - Billable"/>
    <s v="Interventional Pain Care"/>
    <x v="0"/>
    <m/>
    <n v="0"/>
    <n v="0"/>
    <n v="0"/>
    <n v="0"/>
    <n v="0"/>
    <n v="0"/>
    <n v="1003.44"/>
    <n v="0"/>
    <n v="1872.69"/>
    <n v="1817.8"/>
    <n v="1690.85"/>
    <n v="5588.55"/>
    <n v="11973.330000000002"/>
    <n v="-3897.7000000000003"/>
  </r>
  <r>
    <x v="11"/>
    <x v="8"/>
    <x v="0"/>
    <s v="5341104"/>
    <n v="721010"/>
    <s v="Patient Monitoring"/>
    <s v="Interventional Pain Care"/>
    <x v="0"/>
    <n v="1000"/>
    <n v="0"/>
    <n v="0"/>
    <n v="0"/>
    <n v="0"/>
    <n v="0"/>
    <n v="0"/>
    <n v="0"/>
    <n v="0"/>
    <n v="0"/>
    <n v="0"/>
    <n v="2.2000000000000002"/>
    <n v="0"/>
    <n v="2.2000000000000002"/>
    <n v="2.2000000000000002"/>
  </r>
  <r>
    <x v="11"/>
    <x v="8"/>
    <x v="0"/>
    <s v="5341104"/>
    <n v="721020"/>
    <s v="Supplies-Surgical - Billable"/>
    <s v="Interventional Pain Care"/>
    <x v="0"/>
    <m/>
    <n v="0"/>
    <n v="0"/>
    <n v="0"/>
    <n v="0"/>
    <n v="0"/>
    <n v="0"/>
    <n v="0"/>
    <n v="0"/>
    <n v="533.1"/>
    <n v="1111.51"/>
    <n v="0"/>
    <n v="12690.63"/>
    <n v="14335.24"/>
    <n v="-12690.63"/>
  </r>
  <r>
    <x v="11"/>
    <x v="8"/>
    <x v="0"/>
    <s v="5341104"/>
    <n v="721020"/>
    <s v="Custom Packs"/>
    <s v="Interventional Pain Care"/>
    <x v="0"/>
    <n v="1000"/>
    <n v="0"/>
    <n v="0"/>
    <n v="0"/>
    <n v="0"/>
    <n v="0"/>
    <n v="0"/>
    <n v="0"/>
    <n v="108.22"/>
    <n v="0"/>
    <n v="0"/>
    <n v="0"/>
    <n v="0"/>
    <n v="108.22"/>
    <n v="0"/>
  </r>
  <r>
    <x v="11"/>
    <x v="8"/>
    <x v="0"/>
    <s v="5341104"/>
    <n v="721020"/>
    <s v="Urological Supplies"/>
    <s v="Interventional Pain Care"/>
    <x v="0"/>
    <n v="1006"/>
    <n v="0"/>
    <n v="0"/>
    <n v="0"/>
    <n v="0"/>
    <n v="0"/>
    <n v="0"/>
    <n v="0"/>
    <n v="0"/>
    <n v="0"/>
    <n v="0"/>
    <n v="0"/>
    <n v="493.68"/>
    <n v="493.68"/>
    <n v="-493.68"/>
  </r>
  <r>
    <x v="11"/>
    <x v="8"/>
    <x v="0"/>
    <s v="5341104"/>
    <n v="721240"/>
    <s v="Supplies-IV Solutions/Supplies - Billable"/>
    <s v="Interventional Pain Care"/>
    <x v="0"/>
    <m/>
    <n v="0"/>
    <n v="0"/>
    <n v="0"/>
    <n v="0"/>
    <n v="0"/>
    <n v="0"/>
    <n v="0"/>
    <n v="0"/>
    <n v="7.8"/>
    <n v="40.049999999999997"/>
    <n v="26.15"/>
    <n v="0"/>
    <n v="74"/>
    <n v="26.15"/>
  </r>
  <r>
    <x v="11"/>
    <x v="8"/>
    <x v="0"/>
    <s v="5341104"/>
    <n v="721410"/>
    <s v="Supplies-Medical - Nonbillable"/>
    <s v="Interventional Pain Care"/>
    <x v="0"/>
    <m/>
    <n v="0"/>
    <n v="0"/>
    <n v="0"/>
    <n v="0"/>
    <n v="0"/>
    <n v="0"/>
    <n v="0"/>
    <n v="136.41999999999999"/>
    <n v="142.69999999999999"/>
    <n v="131.32"/>
    <n v="278.92"/>
    <n v="169.5"/>
    <n v="858.86"/>
    <n v="109.42000000000002"/>
  </r>
  <r>
    <x v="11"/>
    <x v="8"/>
    <x v="0"/>
    <s v="5341104"/>
    <n v="721410"/>
    <s v="Patient Monitoring"/>
    <s v="Interventional Pain Care"/>
    <x v="0"/>
    <n v="1000"/>
    <n v="0"/>
    <n v="0"/>
    <n v="0"/>
    <n v="0"/>
    <n v="0"/>
    <n v="0"/>
    <n v="0"/>
    <n v="0"/>
    <n v="4.4400000000000004"/>
    <n v="0"/>
    <n v="0"/>
    <n v="0"/>
    <n v="4.4400000000000004"/>
    <n v="0"/>
  </r>
  <r>
    <x v="11"/>
    <x v="8"/>
    <x v="0"/>
    <s v="5341104"/>
    <n v="721420"/>
    <s v="Supplies-Surgical Nonbillable"/>
    <s v="Interventional Pain Care"/>
    <x v="0"/>
    <m/>
    <n v="0"/>
    <n v="0"/>
    <n v="0"/>
    <n v="0"/>
    <n v="0"/>
    <n v="0"/>
    <n v="0"/>
    <n v="0"/>
    <n v="212.27"/>
    <n v="452.3"/>
    <n v="486.38"/>
    <n v="276.5"/>
    <n v="1427.45"/>
    <n v="209.88"/>
  </r>
  <r>
    <x v="11"/>
    <x v="8"/>
    <x v="0"/>
    <s v="5341104"/>
    <n v="721420"/>
    <s v="Sterilization Process Products"/>
    <s v="Interventional Pain Care"/>
    <x v="0"/>
    <n v="1009"/>
    <n v="0"/>
    <n v="0"/>
    <n v="0"/>
    <n v="0"/>
    <n v="0"/>
    <n v="0"/>
    <n v="53.17"/>
    <n v="53.17"/>
    <n v="-8.34"/>
    <n v="53.17"/>
    <n v="159.49"/>
    <n v="0"/>
    <n v="310.66000000000003"/>
    <n v="159.49"/>
  </r>
  <r>
    <x v="11"/>
    <x v="8"/>
    <x v="0"/>
    <s v="5341104"/>
    <n v="721610"/>
    <s v="Supplies-Anesthesia - Nonbillable"/>
    <s v="Interventional Pain Care"/>
    <x v="0"/>
    <m/>
    <n v="0"/>
    <n v="0"/>
    <n v="0"/>
    <n v="0"/>
    <n v="0"/>
    <n v="0"/>
    <n v="0"/>
    <n v="0"/>
    <n v="2.66"/>
    <n v="0"/>
    <n v="2.66"/>
    <n v="0"/>
    <n v="5.32"/>
    <n v="2.66"/>
  </r>
  <r>
    <x v="11"/>
    <x v="8"/>
    <x v="0"/>
    <s v="5341104"/>
    <n v="721640"/>
    <s v="Supplies-IV Solutions/Supplies - Nonbillable"/>
    <s v="Interventional Pain Care"/>
    <x v="0"/>
    <m/>
    <n v="0"/>
    <n v="0"/>
    <n v="0"/>
    <n v="0"/>
    <n v="0"/>
    <n v="0"/>
    <n v="0"/>
    <n v="0"/>
    <n v="5.5"/>
    <n v="13.29"/>
    <n v="63.66"/>
    <n v="82.18"/>
    <n v="164.63"/>
    <n v="-18.52000000000001"/>
  </r>
  <r>
    <x v="11"/>
    <x v="8"/>
    <x v="0"/>
    <s v="5341104"/>
    <n v="721830"/>
    <s v="Supplies-Office"/>
    <s v="Interventional Pain Care"/>
    <x v="0"/>
    <m/>
    <n v="0"/>
    <n v="0"/>
    <n v="0"/>
    <n v="0"/>
    <n v="0"/>
    <n v="0"/>
    <n v="0"/>
    <n v="0"/>
    <n v="264.38"/>
    <n v="102.08"/>
    <n v="105.6"/>
    <n v="70.400000000000006"/>
    <n v="542.45999999999992"/>
    <n v="35.199999999999989"/>
  </r>
  <r>
    <x v="11"/>
    <x v="8"/>
    <x v="0"/>
    <s v="5341104"/>
    <n v="721870"/>
    <s v="Supplies-Environmental Services"/>
    <s v="Interventional Pain Care"/>
    <x v="0"/>
    <m/>
    <n v="0"/>
    <n v="0"/>
    <n v="0"/>
    <n v="0"/>
    <n v="0"/>
    <n v="0"/>
    <n v="0"/>
    <n v="0"/>
    <n v="4.8"/>
    <n v="4.8"/>
    <n v="14.4"/>
    <n v="9.6"/>
    <n v="33.6"/>
    <n v="4.8000000000000007"/>
  </r>
  <r>
    <x v="11"/>
    <x v="8"/>
    <x v="0"/>
    <s v="5341104"/>
    <n v="721910"/>
    <s v="Instruments"/>
    <s v="Interventional Pain Care"/>
    <x v="0"/>
    <n v="1000"/>
    <n v="0"/>
    <n v="0"/>
    <n v="0"/>
    <n v="0"/>
    <n v="0"/>
    <n v="0"/>
    <n v="0"/>
    <n v="0"/>
    <n v="2.31"/>
    <n v="0"/>
    <n v="1.5"/>
    <n v="0"/>
    <n v="3.81"/>
    <n v="1.5"/>
  </r>
  <r>
    <x v="11"/>
    <x v="8"/>
    <x v="0"/>
    <s v="5341104"/>
    <n v="722000"/>
    <s v="Supplies-Freight Expense"/>
    <s v="Interventional Pain Care"/>
    <x v="0"/>
    <m/>
    <n v="0"/>
    <n v="0"/>
    <n v="0"/>
    <n v="0"/>
    <n v="0"/>
    <n v="0"/>
    <n v="0"/>
    <n v="0"/>
    <n v="21.45"/>
    <n v="40.92"/>
    <n v="35.229999999999997"/>
    <n v="0"/>
    <n v="97.6"/>
    <n v="35.229999999999997"/>
  </r>
  <r>
    <x v="18"/>
    <x v="3"/>
    <x v="0"/>
    <s v="5350101"/>
    <n v="400010"/>
    <s v="Acute I/P Svcs Rev--Medicare"/>
    <s v="Hyperbaric Oxygen Service"/>
    <x v="0"/>
    <n v="1100"/>
    <n v="0"/>
    <n v="0"/>
    <n v="0"/>
    <n v="0"/>
    <n v="0"/>
    <n v="0"/>
    <n v="0"/>
    <n v="0"/>
    <n v="-804.39"/>
    <n v="0"/>
    <n v="0"/>
    <n v="0"/>
    <n v="-804.39"/>
    <n v="0"/>
  </r>
  <r>
    <x v="18"/>
    <x v="3"/>
    <x v="0"/>
    <s v="5350101"/>
    <n v="400010"/>
    <s v="Acute I/P Svcs Rev--Medicaid"/>
    <s v="Hyperbaric Oxygen Service"/>
    <x v="0"/>
    <n v="1200"/>
    <n v="0"/>
    <n v="0"/>
    <n v="-780.96"/>
    <n v="0"/>
    <n v="0"/>
    <n v="0"/>
    <n v="0"/>
    <n v="0"/>
    <n v="0"/>
    <n v="0"/>
    <n v="0"/>
    <n v="0"/>
    <n v="-780.96"/>
    <n v="0"/>
  </r>
  <r>
    <x v="19"/>
    <x v="3"/>
    <x v="0"/>
    <s v="5350101"/>
    <n v="400020"/>
    <s v="O/P Care Svcs Rev--Medicare"/>
    <s v="Hyperbaric Oxygen Service"/>
    <x v="0"/>
    <n v="1100"/>
    <n v="-81361.22"/>
    <n v="-21863.81"/>
    <n v="-29707"/>
    <n v="-59047.39"/>
    <n v="-197448.08"/>
    <n v="-178234.44"/>
    <n v="-101743.94"/>
    <n v="-46593.38"/>
    <n v="-132671.57999999999"/>
    <n v="-165702.67000000001"/>
    <n v="-142080.76999999999"/>
    <n v="-98292.1"/>
    <n v="-1254746.3799999999"/>
    <n v="-43788.669999999984"/>
  </r>
  <r>
    <x v="19"/>
    <x v="3"/>
    <x v="0"/>
    <s v="5350101"/>
    <n v="400020"/>
    <s v="O/P Care Svcs Rev--Medicaid"/>
    <s v="Hyperbaric Oxygen Service"/>
    <x v="0"/>
    <n v="1200"/>
    <n v="-5799.46"/>
    <n v="-4722.95"/>
    <n v="-3680.69"/>
    <n v="-8366.4500000000007"/>
    <n v="-1838.81"/>
    <n v="-63144.800000000003"/>
    <n v="-74650.570000000007"/>
    <n v="-49874.03"/>
    <n v="-10928.1"/>
    <n v="-3217.56"/>
    <n v="-4242.95"/>
    <n v="-6951.12"/>
    <n v="-237417.49000000002"/>
    <n v="2708.17"/>
  </r>
  <r>
    <x v="19"/>
    <x v="3"/>
    <x v="0"/>
    <s v="5350101"/>
    <n v="400020"/>
    <s v="O/P Care Svcs Rev--Comm Insurance"/>
    <s v="Hyperbaric Oxygen Service"/>
    <x v="0"/>
    <n v="1300"/>
    <n v="0"/>
    <n v="-1524.73"/>
    <n v="-3358.3"/>
    <n v="0"/>
    <n v="0"/>
    <n v="-2686.64"/>
    <n v="0"/>
    <n v="0"/>
    <n v="0"/>
    <n v="-804.39"/>
    <n v="-804.39"/>
    <n v="-804.39"/>
    <n v="-9982.8399999999983"/>
    <n v="0"/>
  </r>
  <r>
    <x v="19"/>
    <x v="3"/>
    <x v="0"/>
    <s v="5350101"/>
    <n v="400020"/>
    <s v="O/P Care Svcs Rev--BCBS Comm"/>
    <s v="Hyperbaric Oxygen Service"/>
    <x v="0"/>
    <n v="1301"/>
    <n v="-1561.92"/>
    <n v="-780.96"/>
    <n v="-1375.15"/>
    <n v="-60020.959999999999"/>
    <n v="-57058.96"/>
    <n v="-5557.8"/>
    <n v="-1894.66"/>
    <n v="-1378.39"/>
    <n v="-12844.53"/>
    <n v="-84880.320000000007"/>
    <n v="-123986.71"/>
    <n v="-804.39"/>
    <n v="-352144.75000000006"/>
    <n v="-123182.32"/>
  </r>
  <r>
    <x v="19"/>
    <x v="3"/>
    <x v="0"/>
    <s v="5350101"/>
    <n v="400020"/>
    <s v="O/P Care Svcs Rev--Managed Care"/>
    <s v="Hyperbaric Oxygen Service"/>
    <x v="0"/>
    <n v="1400"/>
    <n v="-102139.45"/>
    <n v="-51617.41"/>
    <n v="-5012.57"/>
    <n v="-72030.8"/>
    <n v="-56996.69"/>
    <n v="-819.68"/>
    <n v="-55148.54"/>
    <n v="-78454.34"/>
    <n v="-27018.65"/>
    <n v="-70852.92"/>
    <n v="-102454.5"/>
    <n v="-155803.23000000001"/>
    <n v="-778348.78"/>
    <n v="53348.73000000001"/>
  </r>
  <r>
    <x v="19"/>
    <x v="3"/>
    <x v="0"/>
    <s v="5350101"/>
    <n v="400020"/>
    <s v="O/P Care Svcs Rev--Self Pay"/>
    <s v="Hyperbaric Oxygen Service"/>
    <x v="0"/>
    <n v="1500"/>
    <n v="-1337.81"/>
    <n v="0"/>
    <n v="-780.96"/>
    <n v="-780.96"/>
    <n v="-501"/>
    <n v="0"/>
    <n v="-55.85"/>
    <n v="0"/>
    <n v="-1608.78"/>
    <n v="804.39"/>
    <n v="-804.39"/>
    <n v="0"/>
    <n v="-5065.3599999999997"/>
    <n v="-804.39"/>
  </r>
  <r>
    <x v="19"/>
    <x v="3"/>
    <x v="0"/>
    <s v="5350101"/>
    <n v="400020"/>
    <s v="O/P Care Svcs Rev--Other"/>
    <s v="Hyperbaric Oxygen Service"/>
    <x v="0"/>
    <n v="1700"/>
    <n v="-32585.27"/>
    <n v="-48729.96"/>
    <n v="-36324.959999999999"/>
    <n v="-557"/>
    <n v="-556.85"/>
    <n v="-2686.64"/>
    <n v="-556.85"/>
    <n v="0"/>
    <n v="-2083.63"/>
    <n v="-2669.1"/>
    <n v="0"/>
    <n v="0"/>
    <n v="-126750.26000000002"/>
    <n v="0"/>
  </r>
  <r>
    <x v="14"/>
    <x v="3"/>
    <x v="0"/>
    <s v="5350101"/>
    <n v="600050"/>
    <s v="Miscellaneous Revenue"/>
    <s v="Hyperbaric Oxygen Service"/>
    <x v="0"/>
    <m/>
    <n v="0"/>
    <n v="-69000"/>
    <n v="0"/>
    <n v="0"/>
    <n v="0"/>
    <n v="0"/>
    <n v="0"/>
    <n v="0"/>
    <n v="0"/>
    <n v="0"/>
    <n v="0"/>
    <n v="0"/>
    <n v="-69000"/>
    <n v="0"/>
  </r>
  <r>
    <x v="5"/>
    <x v="3"/>
    <x v="0"/>
    <s v="5350101"/>
    <n v="700014"/>
    <s v="Salaries-Management-Productive"/>
    <s v="Hyperbaric Oxygen Service"/>
    <x v="0"/>
    <m/>
    <n v="0"/>
    <n v="0"/>
    <n v="0"/>
    <n v="0"/>
    <n v="0"/>
    <n v="0"/>
    <n v="0"/>
    <n v="0"/>
    <n v="0"/>
    <n v="0"/>
    <n v="0"/>
    <n v="3257.75"/>
    <n v="3257.75"/>
    <n v="-3257.75"/>
  </r>
  <r>
    <x v="5"/>
    <x v="3"/>
    <x v="0"/>
    <s v="5350101"/>
    <n v="700014"/>
    <s v="Salaries-Management-OT"/>
    <s v="Hyperbaric Oxygen Service"/>
    <x v="0"/>
    <n v="1000"/>
    <n v="0"/>
    <n v="0"/>
    <n v="0"/>
    <n v="0"/>
    <n v="0"/>
    <n v="0"/>
    <n v="0"/>
    <n v="0"/>
    <n v="0"/>
    <n v="0"/>
    <n v="0"/>
    <n v="529.64"/>
    <n v="529.64"/>
    <n v="-529.64"/>
  </r>
  <r>
    <x v="5"/>
    <x v="3"/>
    <x v="0"/>
    <s v="5350101"/>
    <n v="700014"/>
    <s v="Salaries-Management-Other"/>
    <s v="Hyperbaric Oxygen Service"/>
    <x v="0"/>
    <n v="2000"/>
    <n v="0"/>
    <n v="0"/>
    <n v="0"/>
    <n v="0"/>
    <n v="0"/>
    <n v="0"/>
    <n v="0"/>
    <n v="0"/>
    <n v="0"/>
    <n v="0"/>
    <n v="0"/>
    <n v="73.900000000000006"/>
    <n v="73.900000000000006"/>
    <n v="-73.900000000000006"/>
  </r>
  <r>
    <x v="5"/>
    <x v="3"/>
    <x v="0"/>
    <s v="5350101"/>
    <n v="700026"/>
    <s v="Salaries-RN-Productive"/>
    <s v="Hyperbaric Oxygen Service"/>
    <x v="0"/>
    <m/>
    <n v="5322.31"/>
    <n v="6476.42"/>
    <n v="5071.79"/>
    <n v="7119.54"/>
    <n v="6568.04"/>
    <n v="6067.51"/>
    <n v="5395.32"/>
    <n v="6329.6"/>
    <n v="6866.82"/>
    <n v="5561.67"/>
    <n v="10188.81"/>
    <n v="7892.88"/>
    <n v="78860.710000000006"/>
    <n v="2295.9299999999994"/>
  </r>
  <r>
    <x v="5"/>
    <x v="3"/>
    <x v="0"/>
    <s v="5350101"/>
    <n v="700026"/>
    <s v="Salaries-RN-OT"/>
    <s v="Hyperbaric Oxygen Service"/>
    <x v="0"/>
    <n v="1000"/>
    <n v="0"/>
    <n v="0"/>
    <n v="0"/>
    <n v="0"/>
    <n v="0"/>
    <n v="0"/>
    <n v="0"/>
    <n v="0"/>
    <n v="0"/>
    <n v="0"/>
    <n v="484.35"/>
    <n v="413.21"/>
    <n v="897.56"/>
    <n v="71.140000000000043"/>
  </r>
  <r>
    <x v="5"/>
    <x v="3"/>
    <x v="0"/>
    <s v="5350101"/>
    <n v="700026"/>
    <s v="Salaries-RN-Other"/>
    <s v="Hyperbaric Oxygen Service"/>
    <x v="0"/>
    <n v="2000"/>
    <n v="96.2"/>
    <n v="117.08"/>
    <n v="91.68"/>
    <n v="128.69"/>
    <n v="118.73"/>
    <n v="109.68"/>
    <n v="97.52"/>
    <n v="114.41"/>
    <n v="124.12"/>
    <n v="100.54"/>
    <n v="213.15"/>
    <n v="136.49"/>
    <n v="1448.29"/>
    <n v="76.66"/>
  </r>
  <r>
    <x v="5"/>
    <x v="3"/>
    <x v="0"/>
    <s v="5350101"/>
    <n v="700030"/>
    <s v="Salaries-LPN-Productive"/>
    <s v="Hyperbaric Oxygen Service"/>
    <x v="0"/>
    <m/>
    <n v="2252.3000000000002"/>
    <n v="544.42999999999995"/>
    <n v="-97.43"/>
    <n v="0"/>
    <n v="721.5"/>
    <n v="858.54"/>
    <n v="1323.99"/>
    <n v="-292.04000000000002"/>
    <n v="76.44"/>
    <n v="68.790000000000006"/>
    <n v="122.3"/>
    <n v="0"/>
    <n v="5578.82"/>
    <n v="122.3"/>
  </r>
  <r>
    <x v="5"/>
    <x v="3"/>
    <x v="0"/>
    <s v="5350101"/>
    <n v="700032"/>
    <s v="Salaries-Other Pat Care Providers-Productive"/>
    <s v="Hyperbaric Oxygen Service"/>
    <x v="0"/>
    <m/>
    <n v="0"/>
    <n v="0"/>
    <n v="0"/>
    <n v="0"/>
    <n v="0"/>
    <n v="0"/>
    <n v="0"/>
    <n v="0"/>
    <n v="0"/>
    <n v="740.14"/>
    <n v="-308.36"/>
    <n v="0"/>
    <n v="431.78"/>
    <n v="-308.36"/>
  </r>
  <r>
    <x v="5"/>
    <x v="3"/>
    <x v="0"/>
    <s v="5350101"/>
    <n v="700034"/>
    <s v="Salaries-Tech/Professional-Productive"/>
    <s v="Hyperbaric Oxygen Service"/>
    <x v="0"/>
    <m/>
    <n v="8195.82"/>
    <n v="9379.33"/>
    <n v="10354.77"/>
    <n v="6343.86"/>
    <n v="13938.12"/>
    <n v="9355.41"/>
    <n v="11454.67"/>
    <n v="6540.61"/>
    <n v="9437.81"/>
    <n v="12145.9"/>
    <n v="14108.18"/>
    <n v="3503.67"/>
    <n v="114758.14999999998"/>
    <n v="10604.51"/>
  </r>
  <r>
    <x v="5"/>
    <x v="3"/>
    <x v="0"/>
    <s v="5350101"/>
    <n v="700034"/>
    <s v="Salaries-Tech/Professional-OT"/>
    <s v="Hyperbaric Oxygen Service"/>
    <x v="0"/>
    <n v="1000"/>
    <n v="151.56"/>
    <n v="5.98"/>
    <n v="-7.16"/>
    <n v="143.21"/>
    <n v="383.12"/>
    <n v="225.86"/>
    <n v="351.65"/>
    <n v="498.35"/>
    <n v="170.95"/>
    <n v="1905.11"/>
    <n v="1054.02"/>
    <n v="-87.17"/>
    <n v="4795.4799999999996"/>
    <n v="1141.19"/>
  </r>
  <r>
    <x v="5"/>
    <x v="3"/>
    <x v="0"/>
    <s v="5350101"/>
    <n v="700034"/>
    <s v="Salaries-Tech/Professional-Other"/>
    <s v="Hyperbaric Oxygen Service"/>
    <x v="0"/>
    <n v="2000"/>
    <n v="160.31"/>
    <n v="177.47"/>
    <n v="197.43"/>
    <n v="128.87"/>
    <n v="271.08999999999997"/>
    <n v="195.98"/>
    <n v="246.49"/>
    <n v="127.23"/>
    <n v="184.85"/>
    <n v="280.64999999999998"/>
    <n v="298.36"/>
    <n v="44.73"/>
    <n v="2313.46"/>
    <n v="253.63000000000002"/>
  </r>
  <r>
    <x v="5"/>
    <x v="3"/>
    <x v="0"/>
    <s v="5350101"/>
    <n v="700054"/>
    <s v="Salaries-Management-Non-productive"/>
    <s v="Hyperbaric Oxygen Service"/>
    <x v="0"/>
    <m/>
    <n v="0"/>
    <n v="0"/>
    <n v="0"/>
    <n v="0"/>
    <n v="0"/>
    <n v="0"/>
    <n v="0"/>
    <n v="0"/>
    <n v="0"/>
    <n v="0"/>
    <n v="0"/>
    <n v="361.97"/>
    <n v="361.97"/>
    <n v="-361.97"/>
  </r>
  <r>
    <x v="5"/>
    <x v="3"/>
    <x v="0"/>
    <s v="5350101"/>
    <n v="700054"/>
    <s v="Salaries-Management-NonProd-Other"/>
    <s v="Hyperbaric Oxygen Service"/>
    <x v="0"/>
    <n v="2000"/>
    <n v="0"/>
    <n v="0"/>
    <n v="0"/>
    <n v="0"/>
    <n v="0"/>
    <n v="375.56"/>
    <n v="-375.56"/>
    <n v="0"/>
    <n v="0"/>
    <n v="0"/>
    <n v="0"/>
    <n v="6.41"/>
    <n v="6.41"/>
    <n v="-6.41"/>
  </r>
  <r>
    <x v="5"/>
    <x v="3"/>
    <x v="0"/>
    <s v="5350101"/>
    <n v="700066"/>
    <s v="Salaries-RN-Non-productive"/>
    <s v="Hyperbaric Oxygen Service"/>
    <x v="0"/>
    <m/>
    <n v="1770.24"/>
    <n v="0"/>
    <n v="1772.21"/>
    <n v="-71.12"/>
    <n v="1770.24"/>
    <n v="1390.87"/>
    <n v="2912.6"/>
    <n v="-316.52999999999997"/>
    <n v="0"/>
    <n v="2089.37"/>
    <n v="-316.52999999999997"/>
    <n v="0"/>
    <n v="11001.349999999997"/>
    <n v="-316.52999999999997"/>
  </r>
  <r>
    <x v="5"/>
    <x v="3"/>
    <x v="0"/>
    <s v="5350101"/>
    <n v="700066"/>
    <s v="Salaries-RN-NonProd-Other"/>
    <s v="Hyperbaric Oxygen Service"/>
    <x v="0"/>
    <n v="2000"/>
    <n v="32"/>
    <n v="0"/>
    <n v="32.03"/>
    <n v="-1.28"/>
    <n v="32"/>
    <n v="25.14"/>
    <n v="52.65"/>
    <n v="-5.72"/>
    <n v="0"/>
    <n v="37.75"/>
    <n v="-5.71"/>
    <n v="0"/>
    <n v="198.85999999999999"/>
    <n v="-5.71"/>
  </r>
  <r>
    <x v="5"/>
    <x v="3"/>
    <x v="0"/>
    <s v="5350101"/>
    <n v="700074"/>
    <s v="Salaries-Tech/Professional-Non-productive"/>
    <s v="Hyperbaric Oxygen Service"/>
    <x v="0"/>
    <m/>
    <n v="2982.62"/>
    <n v="1810.4"/>
    <n v="1080.47"/>
    <n v="4553.3900000000003"/>
    <n v="-1276.24"/>
    <n v="3049.21"/>
    <n v="786.95"/>
    <n v="2491.2800000000002"/>
    <n v="1604.1"/>
    <n v="2019.17"/>
    <n v="-74.569999999999993"/>
    <n v="3813.15"/>
    <n v="22839.930000000008"/>
    <n v="-3887.7200000000003"/>
  </r>
  <r>
    <x v="5"/>
    <x v="3"/>
    <x v="0"/>
    <s v="5350101"/>
    <n v="700074"/>
    <s v="Salaries-Tech/Professional-NonProd-Other"/>
    <s v="Hyperbaric Oxygen Service"/>
    <x v="0"/>
    <n v="2000"/>
    <n v="56.71"/>
    <n v="36"/>
    <n v="20.65"/>
    <n v="84"/>
    <n v="-21.89"/>
    <n v="55.89"/>
    <n v="15.05"/>
    <n v="49.66"/>
    <n v="29.06"/>
    <n v="39.65"/>
    <n v="-2.62"/>
    <n v="71.48"/>
    <n v="433.64000000000004"/>
    <n v="-74.100000000000009"/>
  </r>
  <r>
    <x v="5"/>
    <x v="3"/>
    <x v="0"/>
    <s v="5350101"/>
    <n v="700084"/>
    <s v="Accrued PTO"/>
    <s v="Hyperbaric Oxygen Service"/>
    <x v="0"/>
    <m/>
    <n v="-2091.77"/>
    <n v="1004.23"/>
    <n v="-306.26"/>
    <n v="-107.8"/>
    <n v="397.76"/>
    <n v="-388.09"/>
    <n v="-202.7"/>
    <n v="20660.759999999998"/>
    <n v="1317.74"/>
    <n v="84.14"/>
    <n v="-18968.2"/>
    <n v="-963.62"/>
    <n v="436.18999999999767"/>
    <n v="-18004.580000000002"/>
  </r>
  <r>
    <x v="6"/>
    <x v="3"/>
    <x v="0"/>
    <s v="5350101"/>
    <n v="713010"/>
    <s v="Benefits-FICA/Medicare"/>
    <s v="Hyperbaric Oxygen Service"/>
    <x v="0"/>
    <m/>
    <n v="1581.87"/>
    <n v="1397.17"/>
    <n v="1396.45"/>
    <n v="1390.11"/>
    <n v="1700.27"/>
    <n v="1623.41"/>
    <n v="1708.1"/>
    <n v="1144.1600000000001"/>
    <n v="1366.14"/>
    <n v="1858.9"/>
    <n v="1919.41"/>
    <n v="1482.3"/>
    <n v="18568.289999999997"/>
    <n v="437.11000000000013"/>
  </r>
  <r>
    <x v="6"/>
    <x v="3"/>
    <x v="0"/>
    <s v="5350101"/>
    <n v="713090"/>
    <s v="Benefits-Allocated Amounts"/>
    <s v="Hyperbaric Oxygen Service"/>
    <x v="0"/>
    <m/>
    <n v="3909.08"/>
    <n v="3214.86"/>
    <n v="3456.08"/>
    <n v="3235.04"/>
    <n v="4180.0600000000004"/>
    <n v="4009.24"/>
    <n v="4232.3100000000004"/>
    <n v="4288.22"/>
    <n v="2815.71"/>
    <n v="4638.12"/>
    <n v="3946.78"/>
    <n v="3592.42"/>
    <n v="45517.920000000006"/>
    <n v="354.36000000000013"/>
  </r>
  <r>
    <x v="7"/>
    <x v="3"/>
    <x v="0"/>
    <s v="5350101"/>
    <n v="718050"/>
    <s v="Contract Svcs-Other"/>
    <s v="Hyperbaric Oxygen Service"/>
    <x v="0"/>
    <m/>
    <n v="46382.32"/>
    <n v="38347.360000000001"/>
    <n v="-15255.54"/>
    <n v="-2676.16"/>
    <n v="20000"/>
    <n v="15403.68"/>
    <n v="26213.279999999999"/>
    <n v="18103.84"/>
    <n v="20000"/>
    <n v="12187.6"/>
    <n v="13782.24"/>
    <n v="59109.03"/>
    <n v="251597.64999999997"/>
    <n v="-45326.79"/>
  </r>
  <r>
    <x v="7"/>
    <x v="3"/>
    <x v="0"/>
    <s v="5350101"/>
    <n v="718050"/>
    <s v="Miscellaneous Purchased Svcs"/>
    <s v="Hyperbaric Oxygen Service"/>
    <x v="0"/>
    <n v="1020"/>
    <n v="0"/>
    <n v="38.54"/>
    <n v="38.54"/>
    <n v="0"/>
    <n v="0"/>
    <n v="0"/>
    <n v="38.08"/>
    <n v="38.08"/>
    <n v="76.16"/>
    <n v="0"/>
    <n v="38.08"/>
    <n v="0"/>
    <n v="267.48"/>
    <n v="38.08"/>
  </r>
  <r>
    <x v="7"/>
    <x v="3"/>
    <x v="0"/>
    <s v="5350101"/>
    <n v="718050"/>
    <s v="Translation Services"/>
    <s v="Hyperbaric Oxygen Service"/>
    <x v="0"/>
    <n v="1025"/>
    <n v="0"/>
    <n v="0"/>
    <n v="0"/>
    <n v="0"/>
    <n v="56"/>
    <n v="0"/>
    <n v="0"/>
    <n v="0"/>
    <n v="0"/>
    <n v="0"/>
    <n v="0"/>
    <n v="0"/>
    <n v="56"/>
    <n v="0"/>
  </r>
  <r>
    <x v="7"/>
    <x v="3"/>
    <x v="0"/>
    <s v="5350101"/>
    <n v="718050"/>
    <s v="Contract Management--Linen"/>
    <s v="Hyperbaric Oxygen Service"/>
    <x v="0"/>
    <n v="1026"/>
    <n v="545.45000000000005"/>
    <n v="365.83"/>
    <n v="372.45"/>
    <n v="427.44"/>
    <n v="951.76"/>
    <n v="616.86"/>
    <n v="687.32"/>
    <n v="699.1"/>
    <n v="494.37"/>
    <n v="1163.5"/>
    <n v="872.71"/>
    <n v="1047.21"/>
    <n v="8244"/>
    <n v="-174.5"/>
  </r>
  <r>
    <x v="11"/>
    <x v="3"/>
    <x v="0"/>
    <s v="5350101"/>
    <n v="721010"/>
    <s v="Supplies-Medical - Billable"/>
    <s v="Hyperbaric Oxygen Service"/>
    <x v="0"/>
    <m/>
    <n v="0"/>
    <n v="0"/>
    <n v="5.26"/>
    <n v="5.77"/>
    <n v="3.4"/>
    <n v="7.38"/>
    <n v="0"/>
    <n v="0"/>
    <n v="0"/>
    <n v="0"/>
    <n v="0"/>
    <n v="0"/>
    <n v="21.81"/>
    <n v="0"/>
  </r>
  <r>
    <x v="11"/>
    <x v="3"/>
    <x v="0"/>
    <s v="5350101"/>
    <n v="721240"/>
    <s v="Supplies-IV Solutions/Supplies - Billable"/>
    <s v="Hyperbaric Oxygen Service"/>
    <x v="0"/>
    <m/>
    <n v="0"/>
    <n v="0"/>
    <n v="0"/>
    <n v="0"/>
    <n v="0"/>
    <n v="3.12"/>
    <n v="0"/>
    <n v="0"/>
    <n v="0"/>
    <n v="3.06"/>
    <n v="0"/>
    <n v="0"/>
    <n v="6.18"/>
    <n v="0"/>
  </r>
  <r>
    <x v="11"/>
    <x v="3"/>
    <x v="0"/>
    <s v="5350101"/>
    <n v="721250"/>
    <s v="Supplies-Pharmacy Drugs - Billable"/>
    <s v="Hyperbaric Oxygen Service"/>
    <x v="0"/>
    <m/>
    <n v="0"/>
    <n v="0"/>
    <n v="5.41"/>
    <n v="0"/>
    <n v="0"/>
    <n v="0"/>
    <n v="0"/>
    <n v="0"/>
    <n v="0"/>
    <n v="0"/>
    <n v="0"/>
    <n v="5.41"/>
    <n v="10.82"/>
    <n v="-5.41"/>
  </r>
  <r>
    <x v="11"/>
    <x v="3"/>
    <x v="0"/>
    <s v="5350101"/>
    <n v="721410"/>
    <s v="Supplies-Medical - Nonbillable"/>
    <s v="Hyperbaric Oxygen Service"/>
    <x v="0"/>
    <m/>
    <n v="95.58"/>
    <n v="34.44"/>
    <n v="177.56"/>
    <n v="104.36"/>
    <n v="176.53"/>
    <n v="134.88999999999999"/>
    <n v="85.62"/>
    <n v="19.05"/>
    <n v="76.19"/>
    <n v="-160.66999999999999"/>
    <n v="102.36"/>
    <n v="99.83"/>
    <n v="945.74000000000012"/>
    <n v="2.5300000000000011"/>
  </r>
  <r>
    <x v="11"/>
    <x v="3"/>
    <x v="0"/>
    <s v="5350101"/>
    <n v="721410"/>
    <s v="Patient Monitoring"/>
    <s v="Hyperbaric Oxygen Service"/>
    <x v="0"/>
    <n v="1000"/>
    <n v="0"/>
    <n v="0"/>
    <n v="0"/>
    <n v="0"/>
    <n v="0"/>
    <n v="11.09"/>
    <n v="0"/>
    <n v="0"/>
    <n v="0"/>
    <n v="0"/>
    <n v="0"/>
    <n v="0"/>
    <n v="11.09"/>
    <n v="0"/>
  </r>
  <r>
    <x v="11"/>
    <x v="3"/>
    <x v="0"/>
    <s v="5350101"/>
    <n v="721610"/>
    <s v="Supplies-Anesthesia - Nonbillable"/>
    <s v="Hyperbaric Oxygen Service"/>
    <x v="0"/>
    <m/>
    <n v="0"/>
    <n v="0"/>
    <n v="0"/>
    <n v="0"/>
    <n v="0"/>
    <n v="2.66"/>
    <n v="0"/>
    <n v="0"/>
    <n v="0"/>
    <n v="32.880000000000003"/>
    <n v="0"/>
    <n v="0"/>
    <n v="35.540000000000006"/>
    <n v="0"/>
  </r>
  <r>
    <x v="11"/>
    <x v="3"/>
    <x v="0"/>
    <s v="5350101"/>
    <n v="721650"/>
    <s v="Supplies-Pharmacy Drugs - Nonbillable"/>
    <s v="Hyperbaric Oxygen Service"/>
    <x v="0"/>
    <m/>
    <n v="0"/>
    <n v="0.05"/>
    <n v="0"/>
    <n v="0"/>
    <n v="0"/>
    <n v="0.05"/>
    <n v="0"/>
    <n v="0"/>
    <n v="0"/>
    <n v="0"/>
    <n v="0"/>
    <n v="0"/>
    <n v="0.1"/>
    <n v="0"/>
  </r>
  <r>
    <x v="11"/>
    <x v="3"/>
    <x v="0"/>
    <s v="5350101"/>
    <n v="721710"/>
    <s v="Supplies-Laboratory - Nonbillable"/>
    <s v="Hyperbaric Oxygen Service"/>
    <x v="0"/>
    <m/>
    <n v="317.06"/>
    <n v="67.16"/>
    <n v="0"/>
    <n v="0"/>
    <n v="17.399999999999999"/>
    <n v="0"/>
    <n v="0"/>
    <n v="0"/>
    <n v="0"/>
    <n v="5.8"/>
    <n v="3.58"/>
    <n v="0"/>
    <n v="411"/>
    <n v="3.58"/>
  </r>
  <r>
    <x v="11"/>
    <x v="3"/>
    <x v="0"/>
    <s v="5350101"/>
    <n v="721810"/>
    <s v="Supplies-Dietary/Cafeteria"/>
    <s v="Hyperbaric Oxygen Service"/>
    <x v="0"/>
    <m/>
    <n v="24.91"/>
    <n v="12.52"/>
    <n v="15.46"/>
    <n v="5.91"/>
    <n v="2.16"/>
    <n v="4.5"/>
    <n v="9.36"/>
    <n v="14.8"/>
    <n v="13.52"/>
    <n v="0"/>
    <n v="15.46"/>
    <n v="24.66"/>
    <n v="143.26"/>
    <n v="-9.1999999999999993"/>
  </r>
  <r>
    <x v="11"/>
    <x v="3"/>
    <x v="0"/>
    <s v="5350101"/>
    <n v="721830"/>
    <s v="Supplies-Office"/>
    <s v="Hyperbaric Oxygen Service"/>
    <x v="0"/>
    <m/>
    <n v="0"/>
    <n v="0"/>
    <n v="0"/>
    <n v="114.16"/>
    <n v="0"/>
    <n v="0"/>
    <n v="205.87"/>
    <n v="0"/>
    <n v="0"/>
    <n v="27.2"/>
    <n v="0"/>
    <n v="0"/>
    <n v="347.22999999999996"/>
    <n v="0"/>
  </r>
  <r>
    <x v="11"/>
    <x v="3"/>
    <x v="0"/>
    <s v="5350101"/>
    <n v="721870"/>
    <s v="Supplies-Environmental Services"/>
    <s v="Hyperbaric Oxygen Service"/>
    <x v="0"/>
    <m/>
    <n v="365.85"/>
    <n v="2.2799999999999998"/>
    <n v="94.03"/>
    <n v="159"/>
    <n v="98.1"/>
    <n v="8.14"/>
    <n v="40.68"/>
    <n v="0"/>
    <n v="0"/>
    <n v="0"/>
    <n v="102.12"/>
    <n v="145.1"/>
    <n v="1015.3"/>
    <n v="-42.97999999999999"/>
  </r>
  <r>
    <x v="11"/>
    <x v="3"/>
    <x v="0"/>
    <s v="5350101"/>
    <n v="721910"/>
    <s v="Supplies-Small Equipment"/>
    <s v="Hyperbaric Oxygen Service"/>
    <x v="0"/>
    <m/>
    <n v="0"/>
    <n v="0"/>
    <n v="0"/>
    <n v="6.24"/>
    <n v="0"/>
    <n v="0"/>
    <n v="0"/>
    <n v="252.49"/>
    <n v="0"/>
    <n v="0"/>
    <n v="0"/>
    <n v="8.58"/>
    <n v="267.31"/>
    <n v="-8.58"/>
  </r>
  <r>
    <x v="11"/>
    <x v="3"/>
    <x v="0"/>
    <s v="5350101"/>
    <n v="721910"/>
    <s v="Instruments"/>
    <s v="Hyperbaric Oxygen Service"/>
    <x v="0"/>
    <n v="1000"/>
    <n v="0"/>
    <n v="0"/>
    <n v="0"/>
    <n v="0"/>
    <n v="0"/>
    <n v="0"/>
    <n v="0"/>
    <n v="0"/>
    <n v="2.91"/>
    <n v="0"/>
    <n v="0"/>
    <n v="0"/>
    <n v="2.91"/>
    <n v="0"/>
  </r>
  <r>
    <x v="11"/>
    <x v="3"/>
    <x v="0"/>
    <s v="5350101"/>
    <n v="721980"/>
    <s v="Supplies-Other"/>
    <s v="Hyperbaric Oxygen Service"/>
    <x v="0"/>
    <m/>
    <n v="0"/>
    <n v="0"/>
    <n v="0"/>
    <n v="0"/>
    <n v="0"/>
    <n v="0"/>
    <n v="0"/>
    <n v="3.75"/>
    <n v="0"/>
    <n v="0"/>
    <n v="0"/>
    <n v="0"/>
    <n v="3.75"/>
    <n v="0"/>
  </r>
  <r>
    <x v="11"/>
    <x v="3"/>
    <x v="0"/>
    <s v="5350101"/>
    <n v="722000"/>
    <s v="Supplies-Freight Expense"/>
    <s v="Hyperbaric Oxygen Service"/>
    <x v="0"/>
    <m/>
    <n v="0"/>
    <n v="7.93"/>
    <n v="0"/>
    <n v="0"/>
    <n v="0"/>
    <n v="0"/>
    <n v="0"/>
    <n v="0"/>
    <n v="0"/>
    <n v="0"/>
    <n v="0"/>
    <n v="0"/>
    <n v="7.93"/>
    <n v="0"/>
  </r>
  <r>
    <x v="12"/>
    <x v="3"/>
    <x v="0"/>
    <s v="5350101"/>
    <n v="730020"/>
    <s v="Rental and Leases-Copier Usage Fees (DO NOT USE)"/>
    <s v="Hyperbaric Oxygen Service"/>
    <x v="0"/>
    <n v="5100"/>
    <n v="155"/>
    <n v="145.87"/>
    <n v="150.44"/>
    <n v="150.43"/>
    <n v="150.44"/>
    <n v="150.44"/>
    <n v="625.9"/>
    <n v="82.5"/>
    <n v="82.33"/>
    <n v="472.37"/>
    <n v="82.5"/>
    <n v="95.4"/>
    <n v="2343.62"/>
    <n v="-12.900000000000006"/>
  </r>
  <r>
    <x v="13"/>
    <x v="3"/>
    <x v="0"/>
    <s v="5350101"/>
    <n v="735040"/>
    <s v="Depreciation-Building Improvements"/>
    <s v="Hyperbaric Oxygen Service"/>
    <x v="0"/>
    <m/>
    <n v="534.73"/>
    <n v="534.73"/>
    <n v="534.73"/>
    <n v="534.73"/>
    <n v="534.73"/>
    <n v="534.72"/>
    <n v="534.73"/>
    <n v="534.72"/>
    <n v="534.73"/>
    <n v="534.72"/>
    <n v="534.73"/>
    <n v="534.72"/>
    <n v="6416.72"/>
    <n v="9.9999999999909051E-3"/>
  </r>
  <r>
    <x v="13"/>
    <x v="3"/>
    <x v="0"/>
    <s v="5350101"/>
    <n v="735070"/>
    <s v="Depreciation-Movable Equipment"/>
    <s v="Hyperbaric Oxygen Service"/>
    <x v="0"/>
    <m/>
    <n v="30.05"/>
    <n v="30.05"/>
    <n v="30.05"/>
    <n v="30.05"/>
    <n v="30.05"/>
    <n v="30.05"/>
    <n v="30.05"/>
    <n v="30.05"/>
    <n v="30.05"/>
    <n v="30.04"/>
    <n v="30.05"/>
    <n v="30.04"/>
    <n v="360.5800000000001"/>
    <n v="1.0000000000001563E-2"/>
  </r>
  <r>
    <x v="0"/>
    <x v="3"/>
    <x v="0"/>
    <s v="5350101"/>
    <n v="749510"/>
    <s v="Miscellaneous Expenses"/>
    <s v="Hyperbaric Oxygen Service"/>
    <x v="0"/>
    <m/>
    <n v="0"/>
    <n v="0"/>
    <n v="937"/>
    <n v="0"/>
    <n v="94.64"/>
    <n v="0"/>
    <n v="0"/>
    <n v="0"/>
    <n v="0"/>
    <n v="0"/>
    <n v="0"/>
    <n v="0"/>
    <n v="1031.6400000000001"/>
    <n v="0"/>
  </r>
  <r>
    <x v="0"/>
    <x v="3"/>
    <x v="0"/>
    <s v="5350101"/>
    <n v="749510"/>
    <s v="RICE Rewards"/>
    <s v="Hyperbaric Oxygen Service"/>
    <x v="0"/>
    <n v="5100"/>
    <n v="0"/>
    <n v="0"/>
    <n v="0"/>
    <n v="0"/>
    <n v="0"/>
    <n v="0"/>
    <n v="0"/>
    <n v="0"/>
    <n v="0"/>
    <n v="0"/>
    <n v="0"/>
    <n v="72.150000000000006"/>
    <n v="72.150000000000006"/>
    <n v="-72.150000000000006"/>
  </r>
  <r>
    <x v="11"/>
    <x v="5"/>
    <x v="0"/>
    <s v="5350106"/>
    <n v="721810"/>
    <s v="Supplies-Dietary/Cafeteria"/>
    <s v="Hyperbaric Oxygen Service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5350106"/>
    <n v="721980"/>
    <s v="Supplies-Other"/>
    <s v="Hyperbaric Oxygen Service"/>
    <x v="0"/>
    <m/>
    <n v="0"/>
    <n v="-759.08"/>
    <n v="0"/>
    <n v="0"/>
    <n v="0"/>
    <n v="0"/>
    <n v="0"/>
    <n v="0"/>
    <n v="0"/>
    <n v="0"/>
    <n v="0"/>
    <n v="0"/>
    <n v="-759.08"/>
    <n v="0"/>
  </r>
  <r>
    <x v="15"/>
    <x v="5"/>
    <x v="0"/>
    <s v="5350106"/>
    <n v="731070"/>
    <s v="Cable TV"/>
    <s v="Hyperbaric Oxygen Service"/>
    <x v="0"/>
    <m/>
    <n v="0"/>
    <n v="81.34"/>
    <n v="0"/>
    <n v="0"/>
    <n v="0"/>
    <n v="0"/>
    <n v="0"/>
    <n v="0"/>
    <n v="0"/>
    <n v="0"/>
    <n v="0"/>
    <n v="0"/>
    <n v="81.34"/>
    <n v="0"/>
  </r>
  <r>
    <x v="18"/>
    <x v="3"/>
    <x v="0"/>
    <s v="5360101"/>
    <n v="400010"/>
    <s v="Acute I/P Svcs Rev--Medicare"/>
    <s v="Wound Care"/>
    <x v="0"/>
    <n v="1100"/>
    <n v="-1155.92"/>
    <n v="-501"/>
    <n v="-14043.99"/>
    <n v="-3641.16"/>
    <n v="-2168.8200000000002"/>
    <n v="0"/>
    <n v="-4854.88"/>
    <n v="-214"/>
    <n v="0"/>
    <n v="-3551.28"/>
    <n v="-1195"/>
    <n v="-304"/>
    <n v="-31630.05"/>
    <n v="-891"/>
  </r>
  <r>
    <x v="18"/>
    <x v="3"/>
    <x v="0"/>
    <s v="5360101"/>
    <n v="400010"/>
    <s v="Acute I/P Svcs Rev--Medicaid"/>
    <s v="Wound Care"/>
    <x v="0"/>
    <n v="1200"/>
    <n v="0"/>
    <n v="0"/>
    <n v="-501"/>
    <n v="-1714.72"/>
    <n v="-712.72"/>
    <n v="-1213.72"/>
    <n v="-501"/>
    <n v="-399.72"/>
    <n v="0"/>
    <n v="0"/>
    <n v="0"/>
    <n v="0"/>
    <n v="-5042.880000000001"/>
    <n v="0"/>
  </r>
  <r>
    <x v="18"/>
    <x v="3"/>
    <x v="0"/>
    <s v="5360101"/>
    <n v="400010"/>
    <s v="Acute I/P Svcs Rev--Managed Care"/>
    <s v="Wound Care"/>
    <x v="0"/>
    <n v="1400"/>
    <n v="0"/>
    <n v="0"/>
    <n v="-1213.72"/>
    <n v="0"/>
    <n v="0"/>
    <n v="0"/>
    <n v="0"/>
    <n v="0"/>
    <n v="-1250.1300000000001"/>
    <n v="0"/>
    <n v="-1250.1300000000001"/>
    <n v="0"/>
    <n v="-3713.9800000000005"/>
    <n v="-1250.1300000000001"/>
  </r>
  <r>
    <x v="18"/>
    <x v="3"/>
    <x v="0"/>
    <s v="5360101"/>
    <n v="400010"/>
    <s v="Acute I/P Svcs Rev--Other"/>
    <s v="Wound Care"/>
    <x v="0"/>
    <n v="1700"/>
    <n v="0"/>
    <n v="0"/>
    <n v="0"/>
    <n v="0"/>
    <n v="0"/>
    <n v="0"/>
    <n v="0"/>
    <n v="1155.92"/>
    <n v="0"/>
    <n v="0"/>
    <n v="0"/>
    <n v="0"/>
    <n v="1155.92"/>
    <n v="0"/>
  </r>
  <r>
    <x v="19"/>
    <x v="3"/>
    <x v="0"/>
    <s v="5360101"/>
    <n v="400020"/>
    <s v="O/P Care Svcs Rev--Medicare"/>
    <s v="Wound Care"/>
    <x v="0"/>
    <n v="1100"/>
    <n v="-1138818.67"/>
    <n v="-1606141.15"/>
    <n v="-1153615.98"/>
    <n v="-1381629.79"/>
    <n v="-1406757.19"/>
    <n v="-1140573.07"/>
    <n v="-1463059.09"/>
    <n v="-1041532.71"/>
    <n v="-1114815.05"/>
    <n v="-1153248.99"/>
    <n v="-1090665.73"/>
    <n v="-895578.26"/>
    <n v="-14586435.68"/>
    <n v="-195087.46999999997"/>
  </r>
  <r>
    <x v="19"/>
    <x v="3"/>
    <x v="0"/>
    <s v="5360101"/>
    <n v="400020"/>
    <s v="O/P Care Svcs Rev--Medicaid"/>
    <s v="Wound Care"/>
    <x v="0"/>
    <n v="1200"/>
    <n v="-496391.29"/>
    <n v="-421822.32"/>
    <n v="-372045.84"/>
    <n v="-401823.68"/>
    <n v="-239074.24"/>
    <n v="-297190.59000000003"/>
    <n v="-394500.29"/>
    <n v="-250716.75"/>
    <n v="-331073.63"/>
    <n v="-438752.02"/>
    <n v="-298057.62"/>
    <n v="-221238.52"/>
    <n v="-4162686.79"/>
    <n v="-76819.100000000006"/>
  </r>
  <r>
    <x v="19"/>
    <x v="3"/>
    <x v="0"/>
    <s v="5360101"/>
    <n v="400020"/>
    <s v="O/P Care Svcs Rev--Comm Insurance"/>
    <s v="Wound Care"/>
    <x v="0"/>
    <n v="1300"/>
    <n v="-5402.06"/>
    <n v="-50559.55"/>
    <n v="-50290.59"/>
    <n v="-66623.509999999995"/>
    <n v="-13074.56"/>
    <n v="56.23"/>
    <n v="-17479.16"/>
    <n v="-9591.39"/>
    <n v="-11786.35"/>
    <n v="-7327.63"/>
    <n v="-18054.689999999999"/>
    <n v="-35854.239999999998"/>
    <n v="-285987.5"/>
    <n v="17799.55"/>
  </r>
  <r>
    <x v="19"/>
    <x v="3"/>
    <x v="0"/>
    <s v="5360101"/>
    <n v="400020"/>
    <s v="O/P Care Svcs Rev--BCBS Comm"/>
    <s v="Wound Care"/>
    <x v="0"/>
    <n v="1301"/>
    <n v="-47778.84"/>
    <n v="-60943.93"/>
    <n v="-41575.21"/>
    <n v="-35608.639999999999"/>
    <n v="-74446.64"/>
    <n v="-32613.98"/>
    <n v="-35669.81"/>
    <n v="-14280.39"/>
    <n v="-50485.21"/>
    <n v="-90313.04"/>
    <n v="-77619.649999999994"/>
    <n v="-54153.760000000002"/>
    <n v="-615489.1"/>
    <n v="-23465.889999999992"/>
  </r>
  <r>
    <x v="19"/>
    <x v="3"/>
    <x v="0"/>
    <s v="5360101"/>
    <n v="400020"/>
    <s v="O/P Care Svcs Rev--Managed Care"/>
    <s v="Wound Care"/>
    <x v="0"/>
    <n v="1400"/>
    <n v="-174400.74"/>
    <n v="-241457.37"/>
    <n v="-160079.29"/>
    <n v="-286531.65000000002"/>
    <n v="-195928.28"/>
    <n v="-186947.01"/>
    <n v="-149808.29"/>
    <n v="-77021.06"/>
    <n v="-146144.95999999999"/>
    <n v="-185347.03"/>
    <n v="-153210.10999999999"/>
    <n v="-138003.9"/>
    <n v="-2094879.69"/>
    <n v="-15206.209999999992"/>
  </r>
  <r>
    <x v="19"/>
    <x v="3"/>
    <x v="0"/>
    <s v="5360101"/>
    <n v="400020"/>
    <s v="O/P Care Svcs Rev--Self Pay"/>
    <s v="Wound Care"/>
    <x v="0"/>
    <n v="1500"/>
    <n v="-54805.83"/>
    <n v="-41393.47"/>
    <n v="-24363.46"/>
    <n v="-26380.71"/>
    <n v="-31833.98"/>
    <n v="14975.04"/>
    <n v="-30415.86"/>
    <n v="-20248.310000000001"/>
    <n v="-36644.559999999998"/>
    <n v="8573.7099999999991"/>
    <n v="-48862.81"/>
    <n v="-31342.61"/>
    <n v="-322742.84999999998"/>
    <n v="-17520.199999999997"/>
  </r>
  <r>
    <x v="19"/>
    <x v="3"/>
    <x v="0"/>
    <s v="5360101"/>
    <n v="400020"/>
    <s v="O/P Care Svcs Rev--Other"/>
    <s v="Wound Care"/>
    <x v="0"/>
    <n v="1700"/>
    <n v="-27366.18"/>
    <n v="-38201.89"/>
    <n v="-28987.33"/>
    <n v="-44595.64"/>
    <n v="-83722.36"/>
    <n v="-36061.129999999997"/>
    <n v="-30266.57"/>
    <n v="-14211.3"/>
    <n v="-23563.16"/>
    <n v="-20119.43"/>
    <n v="-20746.84"/>
    <n v="-16430.8"/>
    <n v="-384272.63"/>
    <n v="-4316.0400000000009"/>
  </r>
  <r>
    <x v="5"/>
    <x v="3"/>
    <x v="0"/>
    <s v="5360101"/>
    <n v="700014"/>
    <s v="Salaries-Management-Productive"/>
    <s v="Wound Care"/>
    <x v="0"/>
    <m/>
    <n v="10046.67"/>
    <n v="10522.36"/>
    <n v="8961.1299999999992"/>
    <n v="11112.45"/>
    <n v="10564.86"/>
    <n v="7607.12"/>
    <n v="9628.85"/>
    <n v="10051.58"/>
    <n v="10933.4"/>
    <n v="10580.35"/>
    <n v="10933.39"/>
    <n v="10580.86"/>
    <n v="121523.02"/>
    <n v="352.52999999999884"/>
  </r>
  <r>
    <x v="5"/>
    <x v="3"/>
    <x v="0"/>
    <s v="5360101"/>
    <n v="700026"/>
    <s v="Salaries-RN-Productive"/>
    <s v="Wound Care"/>
    <x v="0"/>
    <m/>
    <n v="74449.63"/>
    <n v="81511.89"/>
    <n v="75690.33"/>
    <n v="82126.73"/>
    <n v="86916.77"/>
    <n v="68798.3"/>
    <n v="72807.520000000004"/>
    <n v="52385.78"/>
    <n v="77780.600000000006"/>
    <n v="73860.09"/>
    <n v="79505.399999999994"/>
    <n v="70332.95"/>
    <n v="896165.99"/>
    <n v="9172.4499999999971"/>
  </r>
  <r>
    <x v="5"/>
    <x v="3"/>
    <x v="0"/>
    <s v="5360101"/>
    <n v="700026"/>
    <s v="Salaries-RN-OT"/>
    <s v="Wound Care"/>
    <x v="0"/>
    <n v="1000"/>
    <n v="211.4"/>
    <n v="462.46"/>
    <n v="206.96"/>
    <n v="521.35"/>
    <n v="512.04"/>
    <n v="1045"/>
    <n v="2238.4899999999998"/>
    <n v="-20.45"/>
    <n v="1574.05"/>
    <n v="5197"/>
    <n v="2180.69"/>
    <n v="664.34"/>
    <n v="14793.33"/>
    <n v="1516.35"/>
  </r>
  <r>
    <x v="5"/>
    <x v="3"/>
    <x v="0"/>
    <s v="5360101"/>
    <n v="700026"/>
    <s v="Salaries-RN-Other"/>
    <s v="Wound Care"/>
    <x v="0"/>
    <n v="2000"/>
    <n v="1072.46"/>
    <n v="1348.53"/>
    <n v="1209.17"/>
    <n v="1544.81"/>
    <n v="1344.15"/>
    <n v="1117.93"/>
    <n v="1325.39"/>
    <n v="859.88"/>
    <n v="1472.85"/>
    <n v="1670.66"/>
    <n v="1684.68"/>
    <n v="1406.76"/>
    <n v="16057.269999999999"/>
    <n v="277.92000000000007"/>
  </r>
  <r>
    <x v="5"/>
    <x v="3"/>
    <x v="0"/>
    <s v="5360101"/>
    <n v="700030"/>
    <s v="Salaries-LPN-Productive"/>
    <s v="Wound Care"/>
    <x v="0"/>
    <m/>
    <n v="3970.02"/>
    <n v="10784.78"/>
    <n v="9143.8799999999992"/>
    <n v="8688.51"/>
    <n v="10521.24"/>
    <n v="5613.89"/>
    <n v="10847.68"/>
    <n v="7807.67"/>
    <n v="11214.68"/>
    <n v="11201.01"/>
    <n v="10890.09"/>
    <n v="10899.68"/>
    <n v="111583.13"/>
    <n v="-9.5900000000001455"/>
  </r>
  <r>
    <x v="5"/>
    <x v="3"/>
    <x v="0"/>
    <s v="5360101"/>
    <n v="700030"/>
    <s v="Salaries-LPN-OT"/>
    <s v="Wound Care"/>
    <x v="0"/>
    <n v="1000"/>
    <n v="0"/>
    <n v="115.02"/>
    <n v="-10.75"/>
    <n v="120.88"/>
    <n v="-11.96"/>
    <n v="0"/>
    <n v="14.51"/>
    <n v="28.28"/>
    <n v="77.930000000000007"/>
    <n v="-13.74"/>
    <n v="85.49"/>
    <n v="158"/>
    <n v="563.66"/>
    <n v="-72.510000000000005"/>
  </r>
  <r>
    <x v="5"/>
    <x v="3"/>
    <x v="0"/>
    <s v="5360101"/>
    <n v="700030"/>
    <s v="Salaries-LPN-Other"/>
    <s v="Wound Care"/>
    <x v="0"/>
    <n v="2000"/>
    <n v="144.94999999999999"/>
    <n v="255.85"/>
    <n v="111.63"/>
    <n v="280.85000000000002"/>
    <n v="222.82"/>
    <n v="34.020000000000003"/>
    <n v="346.68"/>
    <n v="119.57"/>
    <n v="234.4"/>
    <n v="424.6"/>
    <n v="297.26"/>
    <n v="235.08"/>
    <n v="2707.71"/>
    <n v="62.179999999999978"/>
  </r>
  <r>
    <x v="5"/>
    <x v="3"/>
    <x v="0"/>
    <s v="5360101"/>
    <n v="700032"/>
    <s v="Salaries-Other Pat Care Providers-Productive"/>
    <s v="Wound Care"/>
    <x v="0"/>
    <m/>
    <n v="7714.72"/>
    <n v="6935.81"/>
    <n v="5531.41"/>
    <n v="9062.7999999999993"/>
    <n v="6066.68"/>
    <n v="6117.67"/>
    <n v="7387.02"/>
    <n v="6280.16"/>
    <n v="6894.47"/>
    <n v="3065.18"/>
    <n v="3869.77"/>
    <n v="4570.0600000000004"/>
    <n v="73495.75"/>
    <n v="-700.29000000000042"/>
  </r>
  <r>
    <x v="5"/>
    <x v="3"/>
    <x v="0"/>
    <s v="5360101"/>
    <n v="700032"/>
    <s v="Salaries-Other Pat Care Providers-OT"/>
    <s v="Wound Care"/>
    <x v="0"/>
    <n v="1000"/>
    <n v="136.77000000000001"/>
    <n v="130.57"/>
    <n v="-39.71"/>
    <n v="304.81"/>
    <n v="-84.76"/>
    <n v="-14.27"/>
    <n v="0"/>
    <n v="74.400000000000006"/>
    <n v="151.44999999999999"/>
    <n v="-39.94"/>
    <n v="0"/>
    <n v="17.54"/>
    <n v="636.8599999999999"/>
    <n v="-17.54"/>
  </r>
  <r>
    <x v="5"/>
    <x v="3"/>
    <x v="0"/>
    <s v="5360101"/>
    <n v="700032"/>
    <s v="Salaries-Other Pat Care Providers-Other"/>
    <s v="Wound Care"/>
    <x v="0"/>
    <n v="2000"/>
    <n v="102.47"/>
    <n v="8.4600000000000009"/>
    <n v="180.19"/>
    <n v="340.05"/>
    <n v="189.83"/>
    <n v="241.57"/>
    <n v="339.43"/>
    <n v="213.75"/>
    <n v="235.24"/>
    <n v="293.38"/>
    <n v="195.22"/>
    <n v="254.83"/>
    <n v="2594.42"/>
    <n v="-59.610000000000014"/>
  </r>
  <r>
    <x v="5"/>
    <x v="3"/>
    <x v="0"/>
    <s v="5360101"/>
    <n v="700034"/>
    <s v="Salaries-Tech/Professional-Productive"/>
    <s v="Wound Care"/>
    <x v="0"/>
    <m/>
    <n v="443.66"/>
    <n v="-78.260000000000005"/>
    <n v="0"/>
    <n v="1543.82"/>
    <n v="219.85"/>
    <n v="-246.73"/>
    <n v="746.88"/>
    <n v="339.82"/>
    <n v="855.4"/>
    <n v="-190.07"/>
    <n v="0"/>
    <n v="147.06"/>
    <n v="3781.4300000000003"/>
    <n v="-147.06"/>
  </r>
  <r>
    <x v="5"/>
    <x v="3"/>
    <x v="0"/>
    <s v="5360101"/>
    <n v="700034"/>
    <s v="Salaries-Tech/Professional-OT"/>
    <s v="Wound Care"/>
    <x v="0"/>
    <n v="1000"/>
    <n v="0"/>
    <n v="0"/>
    <n v="0"/>
    <n v="0"/>
    <n v="161.1"/>
    <n v="-77.56"/>
    <n v="0"/>
    <n v="0"/>
    <n v="33.47"/>
    <n v="0"/>
    <n v="0"/>
    <n v="54.86"/>
    <n v="171.87"/>
    <n v="-54.86"/>
  </r>
  <r>
    <x v="5"/>
    <x v="3"/>
    <x v="0"/>
    <s v="5360101"/>
    <n v="700034"/>
    <s v="Salaries-Tech/Professional-Other"/>
    <s v="Wound Care"/>
    <x v="0"/>
    <n v="2000"/>
    <n v="8.01"/>
    <n v="-1.41"/>
    <n v="0"/>
    <n v="27.88"/>
    <n v="5.9"/>
    <n v="-5.38"/>
    <n v="24.83"/>
    <n v="3.18"/>
    <n v="15.83"/>
    <n v="-3.42"/>
    <n v="0"/>
    <n v="3.24"/>
    <n v="78.659999999999982"/>
    <n v="-3.24"/>
  </r>
  <r>
    <x v="5"/>
    <x v="3"/>
    <x v="0"/>
    <s v="5360101"/>
    <n v="700038"/>
    <s v="Salaries-Service/Support-Productive"/>
    <s v="Wound Care"/>
    <x v="0"/>
    <m/>
    <n v="19859.240000000002"/>
    <n v="21266.44"/>
    <n v="20903"/>
    <n v="22272.63"/>
    <n v="22133.200000000001"/>
    <n v="18045.669999999998"/>
    <n v="20777.349999999999"/>
    <n v="16350.84"/>
    <n v="21928.87"/>
    <n v="22232.14"/>
    <n v="22349.42"/>
    <n v="20053.009999999998"/>
    <n v="248171.81"/>
    <n v="2296.41"/>
  </r>
  <r>
    <x v="5"/>
    <x v="3"/>
    <x v="0"/>
    <s v="5360101"/>
    <n v="700038"/>
    <s v="Salaries-Service/Support-OT"/>
    <s v="Wound Care"/>
    <x v="0"/>
    <n v="1000"/>
    <n v="120.89"/>
    <n v="425.72"/>
    <n v="413.39"/>
    <n v="802.98"/>
    <n v="347.8"/>
    <n v="565.19000000000005"/>
    <n v="1113.8800000000001"/>
    <n v="-149.47999999999999"/>
    <n v="1029.43"/>
    <n v="738.09"/>
    <n v="417.19"/>
    <n v="674.35"/>
    <n v="6499.43"/>
    <n v="-257.16000000000003"/>
  </r>
  <r>
    <x v="5"/>
    <x v="3"/>
    <x v="0"/>
    <s v="5360101"/>
    <n v="700038"/>
    <s v="Salaries-Service/Support-Other"/>
    <s v="Wound Care"/>
    <x v="0"/>
    <n v="2000"/>
    <n v="0"/>
    <n v="403.65"/>
    <n v="385.07"/>
    <n v="409.24"/>
    <n v="530.94000000000005"/>
    <n v="390.89"/>
    <n v="327.26"/>
    <n v="313.93"/>
    <n v="280.55"/>
    <n v="288.29000000000002"/>
    <n v="316.14999999999998"/>
    <n v="215.46"/>
    <n v="3861.4300000000003"/>
    <n v="100.68999999999997"/>
  </r>
  <r>
    <x v="5"/>
    <x v="3"/>
    <x v="0"/>
    <s v="5360101"/>
    <n v="700054"/>
    <s v="Salaries-Management-Non-productive"/>
    <s v="Wound Care"/>
    <x v="0"/>
    <m/>
    <n v="475.2"/>
    <n v="0"/>
    <n v="1221.92"/>
    <n v="-271.52"/>
    <n v="0"/>
    <n v="3310.27"/>
    <n v="1305.56"/>
    <n v="-176.31"/>
    <n v="0"/>
    <n v="0"/>
    <n v="0"/>
    <n v="0"/>
    <n v="5865.12"/>
    <n v="0"/>
  </r>
  <r>
    <x v="5"/>
    <x v="3"/>
    <x v="0"/>
    <s v="5360101"/>
    <n v="700054"/>
    <s v="Salaries-Management-NonProd-Other"/>
    <s v="Wound Care"/>
    <x v="0"/>
    <n v="2000"/>
    <n v="0"/>
    <n v="0"/>
    <n v="0"/>
    <n v="0"/>
    <n v="407.08"/>
    <n v="1871.37"/>
    <n v="-1464.29"/>
    <n v="-814.16"/>
    <n v="0"/>
    <n v="0"/>
    <n v="0"/>
    <n v="0"/>
    <n v="-1.1368683772161603E-13"/>
    <n v="0"/>
  </r>
  <r>
    <x v="5"/>
    <x v="3"/>
    <x v="0"/>
    <s v="5360101"/>
    <n v="700066"/>
    <s v="Salaries-RN-Non-productive"/>
    <s v="Wound Care"/>
    <x v="0"/>
    <m/>
    <n v="13309.79"/>
    <n v="9267.8700000000008"/>
    <n v="11719.08"/>
    <n v="12552.18"/>
    <n v="3734.26"/>
    <n v="24749"/>
    <n v="14840.28"/>
    <n v="21915.39"/>
    <n v="2546.02"/>
    <n v="12680.67"/>
    <n v="4264.32"/>
    <n v="10179.969999999999"/>
    <n v="141758.83000000002"/>
    <n v="-5915.65"/>
  </r>
  <r>
    <x v="5"/>
    <x v="3"/>
    <x v="0"/>
    <s v="5360101"/>
    <n v="700066"/>
    <s v="Salaries-RN-NonProd-Other"/>
    <s v="Wound Care"/>
    <x v="0"/>
    <n v="2000"/>
    <n v="210.95"/>
    <n v="125.45"/>
    <n v="169.33"/>
    <n v="230.62"/>
    <n v="450.84"/>
    <n v="803.16"/>
    <n v="247.77"/>
    <n v="-434.65"/>
    <n v="93.01"/>
    <n v="184.36"/>
    <n v="165.24"/>
    <n v="247"/>
    <n v="2493.08"/>
    <n v="-81.759999999999991"/>
  </r>
  <r>
    <x v="5"/>
    <x v="3"/>
    <x v="0"/>
    <s v="5360101"/>
    <n v="700070"/>
    <s v="Salaries-LPN-Non-productive"/>
    <s v="Wound Care"/>
    <x v="0"/>
    <m/>
    <n v="3863.26"/>
    <n v="645.54999999999995"/>
    <n v="1424.73"/>
    <n v="3310.18"/>
    <n v="-143.72"/>
    <n v="3258.83"/>
    <n v="313.7"/>
    <n v="2250.0500000000002"/>
    <n v="466.76"/>
    <n v="1350.31"/>
    <n v="976.66"/>
    <n v="851.92"/>
    <n v="18568.23"/>
    <n v="124.74000000000001"/>
  </r>
  <r>
    <x v="5"/>
    <x v="3"/>
    <x v="0"/>
    <s v="5360101"/>
    <n v="700070"/>
    <s v="Salaries-LPN-NonProd-Other"/>
    <s v="Wound Care"/>
    <x v="0"/>
    <n v="2000"/>
    <n v="13.53"/>
    <n v="29.97"/>
    <n v="17.399999999999999"/>
    <n v="60.41"/>
    <n v="34.75"/>
    <n v="-5.95"/>
    <n v="23.19"/>
    <n v="32.090000000000003"/>
    <n v="6.91"/>
    <n v="71.06"/>
    <n v="-29.6"/>
    <n v="56.26"/>
    <n v="310.02000000000004"/>
    <n v="-85.86"/>
  </r>
  <r>
    <x v="5"/>
    <x v="3"/>
    <x v="0"/>
    <s v="5360101"/>
    <n v="700072"/>
    <s v="Salaries-Other Pat Care Providers-Non-productive"/>
    <s v="Wound Care"/>
    <x v="0"/>
    <m/>
    <n v="1360.95"/>
    <n v="1484.19"/>
    <n v="2032.05"/>
    <n v="-99.64"/>
    <n v="2431.1999999999998"/>
    <n v="426.45"/>
    <n v="1550.92"/>
    <n v="829.47"/>
    <n v="1452.78"/>
    <n v="460.54"/>
    <n v="726.71"/>
    <n v="1040.99"/>
    <n v="13696.609999999999"/>
    <n v="-314.27999999999997"/>
  </r>
  <r>
    <x v="5"/>
    <x v="3"/>
    <x v="0"/>
    <s v="5360101"/>
    <n v="700072"/>
    <s v="Salaries-Other Pat Care Providers-NonProd-Other"/>
    <s v="Wound Care"/>
    <x v="0"/>
    <n v="2000"/>
    <n v="0"/>
    <n v="0"/>
    <n v="23.91"/>
    <n v="0"/>
    <n v="17.07"/>
    <n v="-5.45"/>
    <n v="0"/>
    <n v="0"/>
    <n v="0"/>
    <n v="0"/>
    <n v="0"/>
    <n v="6.29"/>
    <n v="41.82"/>
    <n v="-6.29"/>
  </r>
  <r>
    <x v="5"/>
    <x v="3"/>
    <x v="0"/>
    <s v="5360101"/>
    <n v="700078"/>
    <s v="Salaries-Service/Support-Non-productive"/>
    <s v="Wound Care"/>
    <x v="0"/>
    <m/>
    <n v="5334.01"/>
    <n v="2946.71"/>
    <n v="1845.02"/>
    <n v="1998.44"/>
    <n v="2870.16"/>
    <n v="7340.62"/>
    <n v="3174.53"/>
    <n v="5638.63"/>
    <n v="996.71"/>
    <n v="1101.0899999999999"/>
    <n v="1686.49"/>
    <n v="3861.46"/>
    <n v="38793.869999999995"/>
    <n v="-2174.9700000000003"/>
  </r>
  <r>
    <x v="5"/>
    <x v="3"/>
    <x v="0"/>
    <s v="5360101"/>
    <n v="700078"/>
    <s v="Salaries-Service/Support-NonProd-Other"/>
    <s v="Wound Care"/>
    <x v="0"/>
    <n v="2000"/>
    <n v="0"/>
    <n v="0"/>
    <n v="12.38"/>
    <n v="0"/>
    <n v="0"/>
    <n v="57.38"/>
    <n v="32.39"/>
    <n v="-6.84"/>
    <n v="0"/>
    <n v="50.16"/>
    <n v="40.68"/>
    <n v="-2.8"/>
    <n v="183.35"/>
    <n v="43.48"/>
  </r>
  <r>
    <x v="5"/>
    <x v="3"/>
    <x v="0"/>
    <s v="5360101"/>
    <n v="700084"/>
    <s v="Accrued PTO"/>
    <s v="Wound Care"/>
    <x v="0"/>
    <m/>
    <n v="-5322.42"/>
    <n v="3762.95"/>
    <n v="-940.53"/>
    <n v="3191.02"/>
    <n v="9169.41"/>
    <n v="-11531.35"/>
    <n v="-1381.18"/>
    <n v="-3320.74"/>
    <n v="10038.01"/>
    <n v="3970.11"/>
    <n v="6055.28"/>
    <n v="488.12"/>
    <n v="14178.680000000002"/>
    <n v="5567.16"/>
  </r>
  <r>
    <x v="6"/>
    <x v="3"/>
    <x v="0"/>
    <s v="5360101"/>
    <n v="713010"/>
    <s v="Benefits-FICA/Medicare"/>
    <s v="Wound Care"/>
    <x v="0"/>
    <m/>
    <n v="10631.24"/>
    <n v="11085.47"/>
    <n v="10559.44"/>
    <n v="11710.7"/>
    <n v="11281.66"/>
    <n v="10952.15"/>
    <n v="11188.4"/>
    <n v="9289.69"/>
    <n v="10353.24"/>
    <n v="10782.1"/>
    <n v="10440.67"/>
    <n v="10122.49"/>
    <n v="128397.25000000001"/>
    <n v="318.18000000000029"/>
  </r>
  <r>
    <x v="6"/>
    <x v="3"/>
    <x v="0"/>
    <s v="5360101"/>
    <n v="713090"/>
    <s v="Benefits-Allocated Amounts"/>
    <s v="Wound Care"/>
    <x v="0"/>
    <m/>
    <n v="30618.14"/>
    <n v="29504.57"/>
    <n v="30482.97"/>
    <n v="32420.12"/>
    <n v="31808.79"/>
    <n v="29698.04"/>
    <n v="32453.279999999999"/>
    <n v="29617.59"/>
    <n v="24684.46"/>
    <n v="30867.35"/>
    <n v="31665.09"/>
    <n v="30224.560000000001"/>
    <n v="364044.96"/>
    <n v="1440.5299999999988"/>
  </r>
  <r>
    <x v="17"/>
    <x v="3"/>
    <x v="0"/>
    <s v="5360101"/>
    <n v="714510"/>
    <s v="Medical Director Fees"/>
    <s v="Wound Care"/>
    <x v="0"/>
    <m/>
    <n v="3500"/>
    <n v="3500"/>
    <n v="3500"/>
    <n v="0"/>
    <n v="0"/>
    <n v="0"/>
    <n v="0"/>
    <n v="0"/>
    <n v="0"/>
    <n v="0"/>
    <n v="0"/>
    <n v="0"/>
    <n v="10500"/>
    <n v="0"/>
  </r>
  <r>
    <x v="17"/>
    <x v="3"/>
    <x v="0"/>
    <s v="5360101"/>
    <n v="714530"/>
    <s v="Medical Prof Fees-Intracompany"/>
    <s v="Wound Care"/>
    <x v="0"/>
    <m/>
    <n v="-19011.080000000002"/>
    <n v="2524.21"/>
    <n v="10920.73"/>
    <n v="5144.1899999999996"/>
    <n v="19270.580000000002"/>
    <n v="8301.2800000000007"/>
    <n v="12404.77"/>
    <n v="25293.83"/>
    <n v="19495.39"/>
    <n v="18543.79"/>
    <n v="-11725.98"/>
    <n v="40384.9"/>
    <n v="131546.61000000002"/>
    <n v="-52110.880000000005"/>
  </r>
  <r>
    <x v="7"/>
    <x v="3"/>
    <x v="0"/>
    <s v="5360101"/>
    <n v="718050"/>
    <s v="Contract Svcs-Other"/>
    <s v="Wound Care"/>
    <x v="0"/>
    <m/>
    <n v="32950.269999999997"/>
    <n v="39606.230000000003"/>
    <n v="35959.24"/>
    <n v="33774.03"/>
    <n v="37000"/>
    <n v="33774.03"/>
    <n v="33774.03"/>
    <n v="30548.06"/>
    <n v="37000"/>
    <n v="29774.03"/>
    <n v="33774.03"/>
    <n v="64581.39"/>
    <n v="442515.34000000008"/>
    <n v="-30807.360000000001"/>
  </r>
  <r>
    <x v="7"/>
    <x v="3"/>
    <x v="0"/>
    <s v="5360101"/>
    <n v="718050"/>
    <s v="Document Shredding/Storage"/>
    <s v="Wound Care"/>
    <x v="0"/>
    <n v="1012"/>
    <n v="19.29"/>
    <n v="21.31"/>
    <n v="18.7"/>
    <n v="19.329999999999998"/>
    <n v="103"/>
    <n v="19.96"/>
    <n v="19.760000000000002"/>
    <n v="-24.59"/>
    <n v="17.559999999999999"/>
    <n v="159.25"/>
    <n v="87.44"/>
    <n v="-110.15"/>
    <n v="350.86"/>
    <n v="197.59"/>
  </r>
  <r>
    <x v="7"/>
    <x v="3"/>
    <x v="0"/>
    <s v="5360101"/>
    <n v="718050"/>
    <s v="Miscellaneous Purchased Svcs"/>
    <s v="Wound Care"/>
    <x v="0"/>
    <n v="1020"/>
    <n v="8866.07"/>
    <n v="94.46"/>
    <n v="124.3"/>
    <n v="47.23"/>
    <n v="47.23"/>
    <n v="199.55"/>
    <n v="3732.23"/>
    <n v="123.39"/>
    <n v="123.39"/>
    <n v="993.27"/>
    <n v="430.98"/>
    <n v="123.44"/>
    <n v="14905.539999999995"/>
    <n v="307.54000000000002"/>
  </r>
  <r>
    <x v="7"/>
    <x v="3"/>
    <x v="0"/>
    <s v="5360101"/>
    <n v="718050"/>
    <s v="Translation Services"/>
    <s v="Wound Care"/>
    <x v="0"/>
    <n v="1025"/>
    <n v="960"/>
    <n v="1300.3499999999999"/>
    <n v="853.62"/>
    <n v="1057.76"/>
    <n v="0"/>
    <n v="2206.84"/>
    <n v="594.01"/>
    <n v="0"/>
    <n v="56.85"/>
    <n v="0"/>
    <n v="41.63"/>
    <n v="84.98"/>
    <n v="7156.04"/>
    <n v="-43.35"/>
  </r>
  <r>
    <x v="7"/>
    <x v="3"/>
    <x v="0"/>
    <s v="5360101"/>
    <n v="718050"/>
    <s v="Contract Management--Linen"/>
    <s v="Wound Care"/>
    <x v="0"/>
    <n v="1026"/>
    <n v="707.24"/>
    <n v="886.47"/>
    <n v="991.14"/>
    <n v="734.04"/>
    <n v="1039.1199999999999"/>
    <n v="765.66"/>
    <n v="895.37"/>
    <n v="577.96"/>
    <n v="894.4"/>
    <n v="769.51"/>
    <n v="703.18"/>
    <n v="771.38"/>
    <n v="9735.4699999999993"/>
    <n v="-68.200000000000045"/>
  </r>
  <r>
    <x v="11"/>
    <x v="3"/>
    <x v="0"/>
    <s v="5360101"/>
    <n v="721010"/>
    <s v="Supplies-Medical - Billable"/>
    <s v="Wound Care"/>
    <x v="0"/>
    <m/>
    <n v="37575.94"/>
    <n v="39634.71"/>
    <n v="29471.08"/>
    <n v="32332.02"/>
    <n v="52838.68"/>
    <n v="43602.53"/>
    <n v="69298.27"/>
    <n v="54015.96"/>
    <n v="21152.45"/>
    <n v="14545.03"/>
    <n v="20156.18"/>
    <n v="13320.26"/>
    <n v="427943.11000000004"/>
    <n v="6835.92"/>
  </r>
  <r>
    <x v="11"/>
    <x v="3"/>
    <x v="0"/>
    <s v="5360101"/>
    <n v="721010"/>
    <s v="Patient Monitoring"/>
    <s v="Wound Care"/>
    <x v="0"/>
    <n v="1000"/>
    <n v="0"/>
    <n v="0"/>
    <n v="0"/>
    <n v="0"/>
    <n v="0"/>
    <n v="0"/>
    <n v="0"/>
    <n v="495.45"/>
    <n v="0"/>
    <n v="0"/>
    <n v="0"/>
    <n v="0"/>
    <n v="495.45"/>
    <n v="0"/>
  </r>
  <r>
    <x v="11"/>
    <x v="3"/>
    <x v="0"/>
    <s v="5360101"/>
    <n v="721020"/>
    <s v="Supplies-Surgical - Billable"/>
    <s v="Wound Care"/>
    <x v="0"/>
    <m/>
    <n v="0"/>
    <n v="0"/>
    <n v="0"/>
    <n v="0"/>
    <n v="0"/>
    <n v="338.26"/>
    <n v="0"/>
    <n v="0"/>
    <n v="0"/>
    <n v="0"/>
    <n v="0"/>
    <n v="0"/>
    <n v="338.26"/>
    <n v="0"/>
  </r>
  <r>
    <x v="11"/>
    <x v="3"/>
    <x v="0"/>
    <s v="5360101"/>
    <n v="721020"/>
    <s v="Custom Packs"/>
    <s v="Wound Care"/>
    <x v="0"/>
    <n v="1000"/>
    <n v="0"/>
    <n v="0"/>
    <n v="0"/>
    <n v="0"/>
    <n v="40.53"/>
    <n v="0"/>
    <n v="20.27"/>
    <n v="12.58"/>
    <n v="0"/>
    <n v="30.4"/>
    <n v="0"/>
    <n v="31.45"/>
    <n v="135.22999999999999"/>
    <n v="-31.45"/>
  </r>
  <r>
    <x v="11"/>
    <x v="3"/>
    <x v="0"/>
    <s v="5360101"/>
    <n v="721020"/>
    <s v="Suture/Wound Closure"/>
    <s v="Wound Care"/>
    <x v="0"/>
    <n v="1001"/>
    <n v="180"/>
    <n v="1193"/>
    <n v="900"/>
    <n v="1837.43"/>
    <n v="12.27"/>
    <n v="0"/>
    <n v="0"/>
    <n v="1171.76"/>
    <n v="1255"/>
    <n v="17.43"/>
    <n v="102.92"/>
    <n v="135.18"/>
    <n v="6804.9900000000016"/>
    <n v="-32.260000000000005"/>
  </r>
  <r>
    <x v="11"/>
    <x v="3"/>
    <x v="0"/>
    <s v="5360101"/>
    <n v="721150"/>
    <s v="Supplies-Other Implants - Billable"/>
    <s v="Wound Care"/>
    <x v="0"/>
    <m/>
    <n v="19125"/>
    <n v="17850"/>
    <n v="8925"/>
    <n v="32928.199999999997"/>
    <n v="26922.400000000001"/>
    <n v="19278.2"/>
    <n v="40778.199999999997"/>
    <n v="35334.6"/>
    <n v="13031.4"/>
    <n v="24319.200000000001"/>
    <n v="11456.4"/>
    <n v="20906.400000000001"/>
    <n v="270855"/>
    <n v="-9450.0000000000018"/>
  </r>
  <r>
    <x v="11"/>
    <x v="3"/>
    <x v="0"/>
    <s v="5360101"/>
    <n v="721150"/>
    <s v="Surgical Orthopedic"/>
    <s v="Wound Care"/>
    <x v="0"/>
    <n v="1000"/>
    <n v="12327.5"/>
    <n v="18843.5"/>
    <n v="2590"/>
    <n v="4185"/>
    <n v="313.5"/>
    <n v="313.5"/>
    <n v="0"/>
    <n v="0"/>
    <n v="0"/>
    <n v="0"/>
    <n v="0"/>
    <n v="0"/>
    <n v="38573"/>
    <n v="0"/>
  </r>
  <r>
    <x v="11"/>
    <x v="3"/>
    <x v="0"/>
    <s v="5360101"/>
    <n v="721240"/>
    <s v="Supplies-IV Solutions/Supplies - Billable"/>
    <s v="Wound Care"/>
    <x v="0"/>
    <m/>
    <n v="239.09"/>
    <n v="406.52"/>
    <n v="202.53"/>
    <n v="367.6"/>
    <n v="267"/>
    <n v="378.74"/>
    <n v="257.98"/>
    <n v="312.45999999999998"/>
    <n v="147.04"/>
    <n v="294.08"/>
    <n v="238.94"/>
    <n v="257.32"/>
    <n v="3369.3"/>
    <n v="-18.379999999999995"/>
  </r>
  <r>
    <x v="11"/>
    <x v="3"/>
    <x v="0"/>
    <s v="5360101"/>
    <n v="721250"/>
    <s v="Supplies-Pharmacy Drugs - Billable"/>
    <s v="Wound Care"/>
    <x v="0"/>
    <m/>
    <n v="6840.57"/>
    <n v="5247.11"/>
    <n v="6986.93"/>
    <n v="11472.59"/>
    <n v="10024.879999999999"/>
    <n v="5874.62"/>
    <n v="7725.55"/>
    <n v="5701.23"/>
    <n v="8171.81"/>
    <n v="6374.59"/>
    <n v="3404.39"/>
    <n v="1608.78"/>
    <n v="79433.05"/>
    <n v="1795.61"/>
  </r>
  <r>
    <x v="11"/>
    <x v="3"/>
    <x v="0"/>
    <s v="5360101"/>
    <n v="721410"/>
    <s v="Supplies-Medical - Nonbillable"/>
    <s v="Wound Care"/>
    <x v="0"/>
    <m/>
    <n v="11199.81"/>
    <n v="13197.5"/>
    <n v="7403.6"/>
    <n v="15079.89"/>
    <n v="7364.54"/>
    <n v="15281.02"/>
    <n v="7073.17"/>
    <n v="7591.66"/>
    <n v="4866.5600000000004"/>
    <n v="20396.02"/>
    <n v="5971.96"/>
    <n v="8385.2800000000007"/>
    <n v="123811.01000000001"/>
    <n v="-2413.3200000000006"/>
  </r>
  <r>
    <x v="11"/>
    <x v="3"/>
    <x v="0"/>
    <s v="5360101"/>
    <n v="721420"/>
    <s v="Supplies-Surgical Nonbillable"/>
    <s v="Wound Care"/>
    <x v="0"/>
    <m/>
    <n v="152.79"/>
    <n v="481.03"/>
    <n v="111.89"/>
    <n v="51.52"/>
    <n v="979.79"/>
    <n v="505.15"/>
    <n v="249.39"/>
    <n v="265.89"/>
    <n v="47.7"/>
    <n v="211.16"/>
    <n v="252.33"/>
    <n v="1019.72"/>
    <n v="4328.3599999999997"/>
    <n v="-767.39"/>
  </r>
  <r>
    <x v="11"/>
    <x v="3"/>
    <x v="0"/>
    <s v="5360101"/>
    <n v="721420"/>
    <s v="Sterilization Process Products"/>
    <s v="Wound Care"/>
    <x v="0"/>
    <n v="1009"/>
    <n v="243.71"/>
    <n v="216.68"/>
    <n v="294.51"/>
    <n v="369.58"/>
    <n v="369.72"/>
    <n v="488.22"/>
    <n v="469.77"/>
    <n v="357.52"/>
    <n v="428.95"/>
    <n v="270.85000000000002"/>
    <n v="108.34"/>
    <n v="108.44"/>
    <n v="3726.29"/>
    <n v="-9.9999999999994316E-2"/>
  </r>
  <r>
    <x v="11"/>
    <x v="3"/>
    <x v="0"/>
    <s v="5360101"/>
    <n v="721610"/>
    <s v="Supplies-Anesthesia - Nonbillable"/>
    <s v="Wound Care"/>
    <x v="0"/>
    <m/>
    <n v="0"/>
    <n v="0"/>
    <n v="0"/>
    <n v="0"/>
    <n v="0"/>
    <n v="0"/>
    <n v="0"/>
    <n v="0"/>
    <n v="0"/>
    <n v="0"/>
    <n v="0"/>
    <n v="46.47"/>
    <n v="46.47"/>
    <n v="-46.47"/>
  </r>
  <r>
    <x v="11"/>
    <x v="3"/>
    <x v="0"/>
    <s v="5360101"/>
    <n v="721640"/>
    <s v="Supplies-IV Solutions/Supplies - Nonbillable"/>
    <s v="Wound Care"/>
    <x v="0"/>
    <m/>
    <n v="25.95"/>
    <n v="0"/>
    <n v="0"/>
    <n v="25.95"/>
    <n v="51.9"/>
    <n v="0"/>
    <n v="0"/>
    <n v="34.6"/>
    <n v="0"/>
    <n v="0"/>
    <n v="34.6"/>
    <n v="0"/>
    <n v="173"/>
    <n v="34.6"/>
  </r>
  <r>
    <x v="11"/>
    <x v="3"/>
    <x v="0"/>
    <s v="5360101"/>
    <n v="721710"/>
    <s v="Supplies-Laboratory - Nonbillable"/>
    <s v="Wound Care"/>
    <x v="0"/>
    <m/>
    <n v="504.5"/>
    <n v="275.36"/>
    <n v="161.65"/>
    <n v="356.55"/>
    <n v="419.6"/>
    <n v="779.12"/>
    <n v="172.27"/>
    <n v="505.38"/>
    <n v="133.28"/>
    <n v="324.27"/>
    <n v="287.64999999999998"/>
    <n v="549.07000000000005"/>
    <n v="4468.7"/>
    <n v="-261.42000000000007"/>
  </r>
  <r>
    <x v="11"/>
    <x v="3"/>
    <x v="0"/>
    <s v="5360101"/>
    <n v="721750"/>
    <s v="Supplies-Film/Radiographic - Nonbillable"/>
    <s v="Wound Care"/>
    <x v="0"/>
    <m/>
    <n v="0"/>
    <n v="2.81"/>
    <n v="0"/>
    <n v="0"/>
    <n v="0"/>
    <n v="7.49"/>
    <n v="0.94"/>
    <n v="1.87"/>
    <n v="0"/>
    <n v="0"/>
    <n v="0"/>
    <n v="0"/>
    <n v="13.11"/>
    <n v="0"/>
  </r>
  <r>
    <x v="11"/>
    <x v="3"/>
    <x v="0"/>
    <s v="5360101"/>
    <n v="721810"/>
    <s v="Supplies-Dietary/Cafeteria"/>
    <s v="Wound Care"/>
    <x v="0"/>
    <m/>
    <n v="156.96"/>
    <n v="163.13999999999999"/>
    <n v="170.12"/>
    <n v="60.91"/>
    <n v="91.34"/>
    <n v="42"/>
    <n v="96.75"/>
    <n v="5"/>
    <n v="6"/>
    <n v="110.18"/>
    <n v="92.66"/>
    <n v="9.09"/>
    <n v="1004.1500000000001"/>
    <n v="83.57"/>
  </r>
  <r>
    <x v="11"/>
    <x v="3"/>
    <x v="0"/>
    <s v="5360101"/>
    <n v="721830"/>
    <s v="Supplies-Office"/>
    <s v="Wound Care"/>
    <x v="0"/>
    <m/>
    <n v="831.6"/>
    <n v="899.39"/>
    <n v="1377.94"/>
    <n v="1472.05"/>
    <n v="1381.34"/>
    <n v="2239.31"/>
    <n v="364.16"/>
    <n v="419.18"/>
    <n v="558.19000000000005"/>
    <n v="1459.2"/>
    <n v="378.34"/>
    <n v="324.06"/>
    <n v="11704.760000000002"/>
    <n v="54.279999999999973"/>
  </r>
  <r>
    <x v="11"/>
    <x v="3"/>
    <x v="0"/>
    <s v="5360101"/>
    <n v="721835"/>
    <s v="Supplies-Forms"/>
    <s v="Wound Care"/>
    <x v="0"/>
    <m/>
    <n v="0"/>
    <n v="0"/>
    <n v="0"/>
    <n v="0"/>
    <n v="258"/>
    <n v="79"/>
    <n v="44.7"/>
    <n v="0"/>
    <n v="49.2"/>
    <n v="174.76"/>
    <n v="0"/>
    <n v="90.5"/>
    <n v="696.16"/>
    <n v="-90.5"/>
  </r>
  <r>
    <x v="11"/>
    <x v="3"/>
    <x v="0"/>
    <s v="5360101"/>
    <n v="721870"/>
    <s v="Supplies-Environmental Services"/>
    <s v="Wound Care"/>
    <x v="0"/>
    <m/>
    <n v="458.99"/>
    <n v="361.83"/>
    <n v="332.2"/>
    <n v="469.8"/>
    <n v="214.73"/>
    <n v="255.69"/>
    <n v="209.85"/>
    <n v="150.96"/>
    <n v="409.66"/>
    <n v="149.47"/>
    <n v="149.29"/>
    <n v="57.62"/>
    <n v="3220.0899999999992"/>
    <n v="91.669999999999987"/>
  </r>
  <r>
    <x v="11"/>
    <x v="3"/>
    <x v="0"/>
    <s v="5360101"/>
    <n v="721880"/>
    <s v="Supplies-Linen"/>
    <s v="Wound Care"/>
    <x v="0"/>
    <m/>
    <n v="0"/>
    <n v="0"/>
    <n v="0"/>
    <n v="572"/>
    <n v="730.8"/>
    <n v="308.8"/>
    <n v="0"/>
    <n v="0"/>
    <n v="139.4"/>
    <n v="-139.4"/>
    <n v="0"/>
    <n v="0"/>
    <n v="1611.6"/>
    <n v="0"/>
  </r>
  <r>
    <x v="11"/>
    <x v="3"/>
    <x v="0"/>
    <s v="5360101"/>
    <n v="721910"/>
    <s v="Supplies-Small Equipment"/>
    <s v="Wound Care"/>
    <x v="0"/>
    <m/>
    <n v="6337.5"/>
    <n v="143.13"/>
    <n v="0"/>
    <n v="1321.2"/>
    <n v="18.48"/>
    <n v="160.01"/>
    <n v="1783.2"/>
    <n v="8.9"/>
    <n v="1771.51"/>
    <n v="3.4"/>
    <n v="1249.58"/>
    <n v="1338.44"/>
    <n v="14135.35"/>
    <n v="-88.860000000000127"/>
  </r>
  <r>
    <x v="11"/>
    <x v="3"/>
    <x v="0"/>
    <s v="5360101"/>
    <n v="721910"/>
    <s v="Instruments"/>
    <s v="Wound Care"/>
    <x v="0"/>
    <n v="1000"/>
    <n v="2608.5"/>
    <n v="2313.14"/>
    <n v="671.03"/>
    <n v="1004.66"/>
    <n v="1611.64"/>
    <n v="3417.94"/>
    <n v="1678.73"/>
    <n v="1572.23"/>
    <n v="1747.09"/>
    <n v="1214.9000000000001"/>
    <n v="2535.17"/>
    <n v="566.71"/>
    <n v="20941.739999999998"/>
    <n v="1968.46"/>
  </r>
  <r>
    <x v="11"/>
    <x v="3"/>
    <x v="0"/>
    <s v="5360101"/>
    <n v="721980"/>
    <s v="Supplies-Other"/>
    <s v="Wound Care"/>
    <x v="0"/>
    <m/>
    <n v="48.66"/>
    <n v="26.86"/>
    <n v="12.87"/>
    <n v="36.950000000000003"/>
    <n v="31.58"/>
    <n v="479.46"/>
    <n v="34.03"/>
    <n v="0"/>
    <n v="505.33"/>
    <n v="366.51"/>
    <n v="7.69"/>
    <n v="0"/>
    <n v="1549.94"/>
    <n v="7.69"/>
  </r>
  <r>
    <x v="11"/>
    <x v="3"/>
    <x v="0"/>
    <s v="5360101"/>
    <n v="722000"/>
    <s v="Supplies-Freight Expense"/>
    <s v="Wound Care"/>
    <x v="0"/>
    <m/>
    <n v="110.68"/>
    <n v="708.45"/>
    <n v="571.33000000000004"/>
    <n v="352.25"/>
    <n v="210.74"/>
    <n v="217.67"/>
    <n v="372.18"/>
    <n v="572"/>
    <n v="206.82"/>
    <n v="105.71"/>
    <n v="46.06"/>
    <n v="69.150000000000006"/>
    <n v="3543.04"/>
    <n v="-23.090000000000003"/>
  </r>
  <r>
    <x v="12"/>
    <x v="3"/>
    <x v="0"/>
    <s v="5360101"/>
    <n v="730010"/>
    <s v="Rental and Leases-Building (DO NOT USE)"/>
    <s v="Wound Care"/>
    <x v="0"/>
    <m/>
    <n v="20329.669999999998"/>
    <n v="20329.669999999998"/>
    <n v="20329.669999999998"/>
    <n v="20329.669999999998"/>
    <n v="20329.669999999998"/>
    <n v="-31759.75"/>
    <n v="11648.1"/>
    <n v="11648.1"/>
    <n v="11648.1"/>
    <n v="11845.36"/>
    <n v="11939.31"/>
    <n v="0"/>
    <n v="128617.57"/>
    <n v="11939.31"/>
  </r>
  <r>
    <x v="12"/>
    <x v="3"/>
    <x v="0"/>
    <s v="5360101"/>
    <n v="730010"/>
    <s v="Rental-Common Area Maint (DO NOT USE)"/>
    <s v="Wound Care"/>
    <x v="0"/>
    <n v="2200"/>
    <n v="0"/>
    <n v="0"/>
    <n v="0"/>
    <n v="0"/>
    <n v="0"/>
    <n v="51542.5"/>
    <n v="8134.65"/>
    <n v="8134.65"/>
    <n v="-1823.9"/>
    <n v="8134.65"/>
    <n v="8134.65"/>
    <n v="0"/>
    <n v="82257.2"/>
    <n v="8134.65"/>
  </r>
  <r>
    <x v="12"/>
    <x v="3"/>
    <x v="0"/>
    <s v="5360101"/>
    <n v="730020"/>
    <s v="Rental and Leases-Copier Usage Fees (DO NOT USE)"/>
    <s v="Wound Care"/>
    <x v="0"/>
    <n v="5100"/>
    <n v="857.03"/>
    <n v="854.96"/>
    <n v="855.99"/>
    <n v="855.99"/>
    <n v="855.99"/>
    <n v="855.99"/>
    <n v="1232.29"/>
    <n v="469.84"/>
    <n v="485.61"/>
    <n v="1400.71"/>
    <n v="469.84"/>
    <n v="675.99"/>
    <n v="9870.23"/>
    <n v="-206.15000000000003"/>
  </r>
  <r>
    <x v="12"/>
    <x v="3"/>
    <x v="0"/>
    <s v="5360101"/>
    <n v="730040"/>
    <s v="LT Lease-Real Estate"/>
    <s v="Wound Care"/>
    <x v="0"/>
    <m/>
    <n v="0"/>
    <n v="0"/>
    <n v="0"/>
    <n v="0"/>
    <n v="0"/>
    <n v="0"/>
    <n v="0"/>
    <n v="0"/>
    <n v="0"/>
    <n v="0"/>
    <n v="0"/>
    <n v="20073.96"/>
    <n v="20073.96"/>
    <n v="-20073.96"/>
  </r>
  <r>
    <x v="15"/>
    <x v="3"/>
    <x v="0"/>
    <s v="5360101"/>
    <n v="731070"/>
    <s v="Cable TV"/>
    <s v="Wound Care"/>
    <x v="0"/>
    <m/>
    <n v="239.37"/>
    <n v="159.58000000000001"/>
    <n v="79.790000000000006"/>
    <n v="239.37"/>
    <n v="159.58000000000001"/>
    <n v="79.790000000000006"/>
    <n v="266.31"/>
    <n v="88.77"/>
    <n v="177.54"/>
    <n v="266.31"/>
    <n v="177.54"/>
    <n v="88.77"/>
    <n v="2022.72"/>
    <n v="88.77"/>
  </r>
  <r>
    <x v="16"/>
    <x v="3"/>
    <x v="0"/>
    <s v="5360101"/>
    <n v="732030"/>
    <s v="Repairs&amp;Maintenance-Bldg Routine"/>
    <s v="Wound Care"/>
    <x v="0"/>
    <n v="2300"/>
    <n v="77.02"/>
    <n v="46.21"/>
    <n v="46.21"/>
    <n v="383.58"/>
    <n v="0"/>
    <n v="0"/>
    <n v="0"/>
    <n v="0"/>
    <n v="0"/>
    <n v="123.23"/>
    <n v="0"/>
    <n v="0"/>
    <n v="676.25"/>
    <n v="0"/>
  </r>
  <r>
    <x v="13"/>
    <x v="3"/>
    <x v="0"/>
    <s v="5360101"/>
    <n v="735070"/>
    <s v="Depreciation-Movable Equipment"/>
    <s v="Wound Care"/>
    <x v="0"/>
    <m/>
    <n v="2731.06"/>
    <n v="2731.05"/>
    <n v="2731.05"/>
    <n v="2658.23"/>
    <n v="2658.27"/>
    <n v="2658.23"/>
    <n v="2658.28"/>
    <n v="2658.23"/>
    <n v="2658.29"/>
    <n v="2658.23"/>
    <n v="2658.29"/>
    <n v="2658.23"/>
    <n v="32117.439999999999"/>
    <n v="5.999999999994543E-2"/>
  </r>
  <r>
    <x v="0"/>
    <x v="3"/>
    <x v="0"/>
    <s v="5360101"/>
    <n v="740030"/>
    <s v="Education-Travel"/>
    <s v="Wound Care"/>
    <x v="0"/>
    <m/>
    <n v="0"/>
    <n v="0"/>
    <n v="0"/>
    <n v="0"/>
    <n v="0"/>
    <n v="0"/>
    <n v="0"/>
    <n v="0"/>
    <n v="863.08"/>
    <n v="0"/>
    <n v="0"/>
    <n v="0"/>
    <n v="863.08"/>
    <n v="0"/>
  </r>
  <r>
    <x v="0"/>
    <x v="3"/>
    <x v="0"/>
    <s v="5360101"/>
    <n v="743010"/>
    <s v="Dues--Institutional"/>
    <s v="Wound Care"/>
    <x v="0"/>
    <m/>
    <n v="0"/>
    <n v="111.98"/>
    <n v="0"/>
    <n v="0"/>
    <n v="0"/>
    <n v="0"/>
    <n v="0"/>
    <n v="0"/>
    <n v="0"/>
    <n v="0"/>
    <n v="0"/>
    <n v="0"/>
    <n v="111.98"/>
    <n v="0"/>
  </r>
  <r>
    <x v="0"/>
    <x v="3"/>
    <x v="0"/>
    <s v="5360101"/>
    <n v="743030"/>
    <s v="Subscriptions--Institutional"/>
    <s v="Wound Care"/>
    <x v="0"/>
    <m/>
    <n v="0"/>
    <n v="0"/>
    <n v="0"/>
    <n v="0"/>
    <n v="0"/>
    <n v="0"/>
    <n v="280.43"/>
    <n v="0"/>
    <n v="0"/>
    <n v="0"/>
    <n v="0"/>
    <n v="0"/>
    <n v="280.43"/>
    <n v="0"/>
  </r>
  <r>
    <x v="0"/>
    <x v="3"/>
    <x v="0"/>
    <s v="5360101"/>
    <n v="749510"/>
    <s v="Miscellaneous Expenses"/>
    <s v="Wound Care"/>
    <x v="0"/>
    <m/>
    <n v="-272.13"/>
    <n v="34.409999999999997"/>
    <n v="3225"/>
    <n v="-1"/>
    <n v="325.73"/>
    <n v="91"/>
    <n v="0"/>
    <n v="0"/>
    <n v="0"/>
    <n v="0"/>
    <n v="0"/>
    <n v="0"/>
    <n v="3403.01"/>
    <n v="0"/>
  </r>
  <r>
    <x v="0"/>
    <x v="3"/>
    <x v="0"/>
    <s v="5360101"/>
    <n v="749510"/>
    <s v="Licenses"/>
    <s v="Wound Care"/>
    <x v="0"/>
    <n v="1002"/>
    <n v="0"/>
    <n v="265"/>
    <n v="0"/>
    <n v="0"/>
    <n v="0"/>
    <n v="0"/>
    <n v="0"/>
    <n v="0"/>
    <n v="0"/>
    <n v="0"/>
    <n v="0"/>
    <n v="0"/>
    <n v="265"/>
    <n v="0"/>
  </r>
  <r>
    <x v="0"/>
    <x v="3"/>
    <x v="0"/>
    <s v="5360101"/>
    <n v="749510"/>
    <s v="RICE Rewards"/>
    <s v="Wound Care"/>
    <x v="0"/>
    <n v="5100"/>
    <n v="0"/>
    <n v="0"/>
    <n v="0"/>
    <n v="0"/>
    <n v="0"/>
    <n v="0"/>
    <n v="0"/>
    <n v="0"/>
    <n v="0"/>
    <n v="0"/>
    <n v="0"/>
    <n v="907.02"/>
    <n v="907.02"/>
    <n v="-907.02"/>
  </r>
  <r>
    <x v="0"/>
    <x v="3"/>
    <x v="0"/>
    <s v="5360101"/>
    <n v="749530"/>
    <s v="Travel"/>
    <s v="Wound Care"/>
    <x v="0"/>
    <m/>
    <n v="0"/>
    <n v="0"/>
    <n v="0"/>
    <n v="0"/>
    <n v="0"/>
    <n v="0"/>
    <n v="0"/>
    <n v="0"/>
    <n v="0"/>
    <n v="899.86"/>
    <n v="0"/>
    <n v="0"/>
    <n v="899.86"/>
    <n v="0"/>
  </r>
  <r>
    <x v="18"/>
    <x v="5"/>
    <x v="0"/>
    <s v="5360106"/>
    <n v="400010"/>
    <s v="Acute I/P Svcs Rev--Medicare"/>
    <s v="Wound Care"/>
    <x v="0"/>
    <n v="1100"/>
    <n v="-422.29"/>
    <n v="0"/>
    <n v="0"/>
    <n v="0"/>
    <n v="0"/>
    <n v="0"/>
    <n v="-295"/>
    <n v="0"/>
    <n v="0"/>
    <n v="0"/>
    <n v="-375"/>
    <n v="0"/>
    <n v="-1092.29"/>
    <n v="-375"/>
  </r>
  <r>
    <x v="18"/>
    <x v="5"/>
    <x v="0"/>
    <s v="5360106"/>
    <n v="400010"/>
    <s v="Acute I/P Svcs Rev--Medicaid"/>
    <s v="Wound Care"/>
    <x v="0"/>
    <n v="1200"/>
    <n v="0"/>
    <n v="0"/>
    <n v="0"/>
    <n v="0"/>
    <n v="-1620.9"/>
    <n v="0"/>
    <n v="0"/>
    <n v="-304"/>
    <n v="0"/>
    <n v="0"/>
    <n v="0"/>
    <n v="0"/>
    <n v="-1924.9"/>
    <n v="0"/>
  </r>
  <r>
    <x v="19"/>
    <x v="5"/>
    <x v="0"/>
    <s v="5360106"/>
    <n v="400020"/>
    <s v="O/P Care Svcs Rev--Medicare"/>
    <s v="Wound Care"/>
    <x v="0"/>
    <n v="1100"/>
    <n v="-190217.83"/>
    <n v="-195583.79"/>
    <n v="-175078.28"/>
    <n v="-244943.69"/>
    <n v="-224508.97"/>
    <n v="-256452.23"/>
    <n v="-225034.25"/>
    <n v="-296678.43"/>
    <n v="-494080.28"/>
    <n v="-610529.49"/>
    <n v="-485885.22"/>
    <n v="-582663.62"/>
    <n v="-3981656.08"/>
    <n v="96778.400000000023"/>
  </r>
  <r>
    <x v="19"/>
    <x v="5"/>
    <x v="0"/>
    <s v="5360106"/>
    <n v="400020"/>
    <s v="O/P Care Svcs Rev--Medicaid"/>
    <s v="Wound Care"/>
    <x v="0"/>
    <n v="1200"/>
    <n v="-40802.15"/>
    <n v="-51523.64"/>
    <n v="-39224.33"/>
    <n v="-72258.16"/>
    <n v="-44117.01"/>
    <n v="-62776.55"/>
    <n v="-83484.19"/>
    <n v="-77039.58"/>
    <n v="-114184.71"/>
    <n v="-95754.34"/>
    <n v="-35638.160000000003"/>
    <n v="-68183.17"/>
    <n v="-784985.99000000011"/>
    <n v="32545.009999999995"/>
  </r>
  <r>
    <x v="19"/>
    <x v="5"/>
    <x v="0"/>
    <s v="5360106"/>
    <n v="400020"/>
    <s v="O/P Care Svcs Rev--Comm Insurance"/>
    <s v="Wound Care"/>
    <x v="0"/>
    <n v="1300"/>
    <n v="6156.35"/>
    <n v="-1292.33"/>
    <n v="1845.9"/>
    <n v="-230.52"/>
    <n v="-6309.06"/>
    <n v="-5962.98"/>
    <n v="-8791.0400000000009"/>
    <n v="-5304.52"/>
    <n v="-4207.09"/>
    <n v="-1874.83"/>
    <n v="-703.72"/>
    <n v="-946.13"/>
    <n v="-27619.970000000005"/>
    <n v="242.40999999999997"/>
  </r>
  <r>
    <x v="19"/>
    <x v="5"/>
    <x v="0"/>
    <s v="5360106"/>
    <n v="400020"/>
    <s v="O/P Care Svcs Rev--BCBS Comm"/>
    <s v="Wound Care"/>
    <x v="0"/>
    <n v="1301"/>
    <n v="-15922.76"/>
    <n v="-17782.86"/>
    <n v="-9780.85"/>
    <n v="-4833.24"/>
    <n v="-10627.88"/>
    <n v="-10615.94"/>
    <n v="-33066.980000000003"/>
    <n v="-5985.34"/>
    <n v="-35079.67"/>
    <n v="-13647.26"/>
    <n v="-7733.98"/>
    <n v="-6906.94"/>
    <n v="-171983.70000000004"/>
    <n v="-827.04"/>
  </r>
  <r>
    <x v="19"/>
    <x v="5"/>
    <x v="0"/>
    <s v="5360106"/>
    <n v="400020"/>
    <s v="O/P Care Svcs Rev--Managed Care"/>
    <s v="Wound Care"/>
    <x v="0"/>
    <n v="1400"/>
    <n v="-33932.44"/>
    <n v="-48896.85"/>
    <n v="-48205.14"/>
    <n v="-59356.76"/>
    <n v="-56167.46"/>
    <n v="-85931.16"/>
    <n v="-41629.879999999997"/>
    <n v="-28325.07"/>
    <n v="-37422.589999999997"/>
    <n v="-46216.94"/>
    <n v="-33019.449999999997"/>
    <n v="-29391.05"/>
    <n v="-548494.79"/>
    <n v="-3628.3999999999978"/>
  </r>
  <r>
    <x v="19"/>
    <x v="5"/>
    <x v="0"/>
    <s v="5360106"/>
    <n v="400020"/>
    <s v="O/P Care Svcs Rev--Self Pay"/>
    <s v="Wound Care"/>
    <x v="0"/>
    <n v="1500"/>
    <n v="0"/>
    <n v="0"/>
    <n v="-3359.35"/>
    <n v="-11230.2"/>
    <n v="8443.84"/>
    <n v="-595.64"/>
    <n v="-8471.76"/>
    <n v="-304"/>
    <n v="-10421.83"/>
    <n v="-29118.42"/>
    <n v="-33871.629999999997"/>
    <n v="-5304.52"/>
    <n v="-94233.51"/>
    <n v="-28567.109999999997"/>
  </r>
  <r>
    <x v="19"/>
    <x v="5"/>
    <x v="0"/>
    <s v="5360106"/>
    <n v="400020"/>
    <s v="O/P Care Svcs Rev--Other"/>
    <s v="Wound Care"/>
    <x v="0"/>
    <n v="1700"/>
    <n v="-7426.65"/>
    <n v="-3183.83"/>
    <n v="-6713"/>
    <n v="-4588.54"/>
    <n v="-2662.1"/>
    <n v="-1189.04"/>
    <n v="-2824"/>
    <n v="0"/>
    <n v="-6486.52"/>
    <n v="-1698.92"/>
    <n v="-8004.79"/>
    <n v="-2804.26"/>
    <n v="-47581.65"/>
    <n v="-5200.53"/>
  </r>
  <r>
    <x v="4"/>
    <x v="5"/>
    <x v="0"/>
    <s v="5360106"/>
    <n v="490010"/>
    <s v="Provision for Bad Debts"/>
    <s v="Wound Care"/>
    <x v="0"/>
    <m/>
    <n v="-24.93"/>
    <n v="0"/>
    <n v="0"/>
    <n v="0"/>
    <n v="0"/>
    <n v="0"/>
    <n v="0"/>
    <n v="0"/>
    <n v="0"/>
    <n v="0"/>
    <n v="0"/>
    <n v="0"/>
    <n v="-24.93"/>
    <n v="0"/>
  </r>
  <r>
    <x v="5"/>
    <x v="5"/>
    <x v="0"/>
    <s v="5360106"/>
    <n v="700026"/>
    <s v="Salaries-RN-Productive"/>
    <s v="Wound Care"/>
    <x v="0"/>
    <m/>
    <n v="8642.42"/>
    <n v="10401.43"/>
    <n v="7887.59"/>
    <n v="6563.06"/>
    <n v="9381.7000000000007"/>
    <n v="6246.15"/>
    <n v="10987.15"/>
    <n v="6922.16"/>
    <n v="9877.83"/>
    <n v="7607.36"/>
    <n v="17046.63"/>
    <n v="6696.87"/>
    <n v="108260.35"/>
    <n v="10349.760000000002"/>
  </r>
  <r>
    <x v="5"/>
    <x v="5"/>
    <x v="0"/>
    <s v="5360106"/>
    <n v="700026"/>
    <s v="Salaries-RN-OT"/>
    <s v="Wound Care"/>
    <x v="0"/>
    <n v="1000"/>
    <n v="0"/>
    <n v="206.4"/>
    <n v="-61.91"/>
    <n v="663.47"/>
    <n v="-188.71"/>
    <n v="3964.6"/>
    <n v="1338.1"/>
    <n v="655.55"/>
    <n v="622.49"/>
    <n v="1289.03"/>
    <n v="1783.62"/>
    <n v="357.42"/>
    <n v="10630.06"/>
    <n v="1426.1999999999998"/>
  </r>
  <r>
    <x v="5"/>
    <x v="5"/>
    <x v="0"/>
    <s v="5360106"/>
    <n v="700026"/>
    <s v="Salaries-RN-Other"/>
    <s v="Wound Care"/>
    <x v="0"/>
    <n v="2000"/>
    <n v="426.96"/>
    <n v="457.28"/>
    <n v="378.06"/>
    <n v="280.45"/>
    <n v="405.6"/>
    <n v="498.05"/>
    <n v="566.88"/>
    <n v="308.95"/>
    <n v="641.29"/>
    <n v="338.19"/>
    <n v="1043.93"/>
    <n v="462.61"/>
    <n v="5808.25"/>
    <n v="581.32000000000005"/>
  </r>
  <r>
    <x v="5"/>
    <x v="5"/>
    <x v="0"/>
    <s v="5360106"/>
    <n v="700030"/>
    <s v="Salaries-LPN-Productive"/>
    <s v="Wound Care"/>
    <x v="0"/>
    <m/>
    <n v="9008.3700000000008"/>
    <n v="6744.4"/>
    <n v="6459.61"/>
    <n v="8619.56"/>
    <n v="9459.2199999999993"/>
    <n v="5542.95"/>
    <n v="4941.67"/>
    <n v="3990.98"/>
    <n v="5416.03"/>
    <n v="5156.4399999999996"/>
    <n v="5299.48"/>
    <n v="3720.9"/>
    <n v="74359.61"/>
    <n v="1578.5799999999995"/>
  </r>
  <r>
    <x v="5"/>
    <x v="5"/>
    <x v="0"/>
    <s v="5360106"/>
    <n v="700030"/>
    <s v="Salaries-LPN-OT"/>
    <s v="Wound Care"/>
    <x v="0"/>
    <n v="1000"/>
    <n v="0"/>
    <n v="0"/>
    <n v="0"/>
    <n v="0"/>
    <n v="0"/>
    <n v="405.02"/>
    <n v="333.58"/>
    <n v="-10.46"/>
    <n v="354.5"/>
    <n v="462.47"/>
    <n v="240.93"/>
    <n v="269.10000000000002"/>
    <n v="2055.14"/>
    <n v="-28.170000000000016"/>
  </r>
  <r>
    <x v="5"/>
    <x v="5"/>
    <x v="0"/>
    <s v="5360106"/>
    <n v="700032"/>
    <s v="Salaries-Other Pat Care Providers-Productive"/>
    <s v="Wound Care"/>
    <x v="0"/>
    <m/>
    <n v="0"/>
    <n v="0"/>
    <n v="0"/>
    <n v="0"/>
    <n v="0"/>
    <n v="0"/>
    <n v="0"/>
    <n v="0"/>
    <n v="-3.81"/>
    <n v="0"/>
    <n v="0"/>
    <n v="0"/>
    <n v="-3.81"/>
    <n v="0"/>
  </r>
  <r>
    <x v="5"/>
    <x v="5"/>
    <x v="0"/>
    <s v="5360106"/>
    <n v="700066"/>
    <s v="Salaries-RN-Non-productive"/>
    <s v="Wound Care"/>
    <x v="0"/>
    <m/>
    <n v="437.68"/>
    <n v="0"/>
    <n v="2188.4"/>
    <n v="2188.4"/>
    <n v="164.13"/>
    <n v="437.68"/>
    <n v="4169.66"/>
    <n v="-44.97"/>
    <n v="3766.45"/>
    <n v="-1275.3499999999999"/>
    <n v="0"/>
    <n v="5420.45"/>
    <n v="17452.53"/>
    <n v="-5420.45"/>
  </r>
  <r>
    <x v="5"/>
    <x v="5"/>
    <x v="0"/>
    <s v="5360106"/>
    <n v="700066"/>
    <s v="Salaries-RN-NonProd-Other"/>
    <s v="Wound Care"/>
    <x v="0"/>
    <n v="2000"/>
    <n v="8"/>
    <n v="0"/>
    <n v="40"/>
    <n v="40"/>
    <n v="3"/>
    <n v="8"/>
    <n v="75.989999999999995"/>
    <n v="-1.1399999999999999"/>
    <n v="67.5"/>
    <n v="-22.85"/>
    <n v="0"/>
    <n v="97.14"/>
    <n v="315.64000000000004"/>
    <n v="-97.14"/>
  </r>
  <r>
    <x v="5"/>
    <x v="5"/>
    <x v="0"/>
    <s v="5360106"/>
    <n v="700070"/>
    <s v="Salaries-LPN-Non-productive"/>
    <s v="Wound Care"/>
    <x v="0"/>
    <m/>
    <n v="1133.43"/>
    <n v="3512.76"/>
    <n v="3184.04"/>
    <n v="773.42"/>
    <n v="1.44"/>
    <n v="2676.96"/>
    <n v="372.4"/>
    <n v="815.91"/>
    <n v="-171.86"/>
    <n v="0"/>
    <n v="0"/>
    <n v="1596.92"/>
    <n v="13895.419999999998"/>
    <n v="-1596.92"/>
  </r>
  <r>
    <x v="5"/>
    <x v="5"/>
    <x v="0"/>
    <s v="5360106"/>
    <n v="700084"/>
    <s v="Accrued PTO"/>
    <s v="Wound Care"/>
    <x v="0"/>
    <m/>
    <n v="256.49"/>
    <n v="-971.29"/>
    <n v="-1275.58"/>
    <n v="-1624.74"/>
    <n v="1365.5"/>
    <n v="-721.9"/>
    <n v="1101.58"/>
    <n v="-396"/>
    <n v="-7560.31"/>
    <n v="1282.45"/>
    <n v="1275.74"/>
    <n v="-4172.2"/>
    <n v="-11440.259999999998"/>
    <n v="5447.94"/>
  </r>
  <r>
    <x v="6"/>
    <x v="5"/>
    <x v="0"/>
    <s v="5360106"/>
    <n v="713010"/>
    <s v="Benefits-FICA/Medicare"/>
    <s v="Wound Care"/>
    <x v="0"/>
    <m/>
    <n v="1497.33"/>
    <n v="1624.85"/>
    <n v="1529.67"/>
    <n v="1456.97"/>
    <n v="1464.69"/>
    <n v="1495.06"/>
    <n v="1714.86"/>
    <n v="942.11"/>
    <n v="1547.41"/>
    <n v="1010.64"/>
    <n v="1916.89"/>
    <n v="1398.14"/>
    <n v="17598.62"/>
    <n v="518.75"/>
  </r>
  <r>
    <x v="6"/>
    <x v="5"/>
    <x v="0"/>
    <s v="5360106"/>
    <n v="713090"/>
    <s v="Benefits-Allocated Amounts"/>
    <s v="Wound Care"/>
    <x v="0"/>
    <m/>
    <n v="4604.3"/>
    <n v="4725.9399999999996"/>
    <n v="4438.3100000000004"/>
    <n v="3971.77"/>
    <n v="4525.62"/>
    <n v="4095.79"/>
    <n v="4587.47"/>
    <n v="2893.58"/>
    <n v="3525.57"/>
    <n v="3010.97"/>
    <n v="5043.17"/>
    <n v="3556.9"/>
    <n v="48979.39"/>
    <n v="1486.27"/>
  </r>
  <r>
    <x v="17"/>
    <x v="5"/>
    <x v="0"/>
    <s v="5360106"/>
    <n v="714510"/>
    <s v="Medical Director Fees"/>
    <s v="Wound Care"/>
    <x v="0"/>
    <m/>
    <n v="19800"/>
    <n v="3300"/>
    <n v="3300"/>
    <n v="3300"/>
    <n v="900"/>
    <n v="900"/>
    <n v="0"/>
    <n v="1800"/>
    <n v="900"/>
    <n v="900"/>
    <n v="900"/>
    <n v="900"/>
    <n v="36900"/>
    <n v="0"/>
  </r>
  <r>
    <x v="17"/>
    <x v="5"/>
    <x v="0"/>
    <s v="5360106"/>
    <n v="714520"/>
    <s v="Other Contracted Professionals"/>
    <s v="Wound Care"/>
    <x v="0"/>
    <m/>
    <n v="48236.6"/>
    <n v="45000"/>
    <n v="45000"/>
    <n v="45000"/>
    <n v="18680.509999999998"/>
    <n v="33635.43"/>
    <n v="45000"/>
    <n v="43011.29"/>
    <n v="45000"/>
    <n v="31183.22"/>
    <n v="46411.28"/>
    <n v="48041.29"/>
    <n v="494199.62000000005"/>
    <n v="-1630.010000000002"/>
  </r>
  <r>
    <x v="17"/>
    <x v="5"/>
    <x v="0"/>
    <s v="5360106"/>
    <n v="714530"/>
    <s v="Medical Prof Fees-Intracompany"/>
    <s v="Wound Care"/>
    <x v="0"/>
    <m/>
    <n v="5794.96"/>
    <n v="-4443.25"/>
    <n v="-2959.1"/>
    <n v="-1982"/>
    <n v="2644.74"/>
    <n v="-20407.150000000001"/>
    <n v="-10415.84"/>
    <n v="147833.21"/>
    <n v="-27862.880000000001"/>
    <n v="7652.17"/>
    <n v="7472.31"/>
    <n v="14556.5"/>
    <n v="117883.66999999998"/>
    <n v="-7084.19"/>
  </r>
  <r>
    <x v="7"/>
    <x v="5"/>
    <x v="0"/>
    <s v="5360106"/>
    <n v="718050"/>
    <s v="Miscellaneous Purchased Svcs"/>
    <s v="Wound Care"/>
    <x v="0"/>
    <n v="1020"/>
    <n v="47.19"/>
    <n v="0"/>
    <n v="94.38"/>
    <n v="47.19"/>
    <n v="53.24"/>
    <n v="47.19"/>
    <n v="157.53"/>
    <n v="17.760000000000002"/>
    <n v="219.45"/>
    <n v="47.19"/>
    <n v="0"/>
    <n v="47.19"/>
    <n v="778.31000000000017"/>
    <n v="-47.19"/>
  </r>
  <r>
    <x v="7"/>
    <x v="5"/>
    <x v="0"/>
    <s v="5360106"/>
    <n v="718050"/>
    <s v="Translation Services"/>
    <s v="Wound Care"/>
    <x v="0"/>
    <n v="1025"/>
    <n v="0"/>
    <n v="0"/>
    <n v="110.25"/>
    <n v="340.62"/>
    <n v="128"/>
    <n v="0"/>
    <n v="354.72"/>
    <n v="0"/>
    <n v="174.5"/>
    <n v="0"/>
    <n v="0"/>
    <n v="0"/>
    <n v="1108.0900000000001"/>
    <n v="0"/>
  </r>
  <r>
    <x v="7"/>
    <x v="5"/>
    <x v="0"/>
    <s v="5360106"/>
    <n v="718050"/>
    <s v="Contract Management--Linen"/>
    <s v="Wound Care"/>
    <x v="0"/>
    <n v="1026"/>
    <n v="-413"/>
    <n v="67.56"/>
    <n v="63.76"/>
    <n v="233.26"/>
    <n v="46.14"/>
    <n v="27.28"/>
    <n v="244.4"/>
    <n v="3.29"/>
    <n v="51.15"/>
    <n v="196.59"/>
    <n v="128"/>
    <n v="132.32"/>
    <n v="780.75"/>
    <n v="-4.3199999999999932"/>
  </r>
  <r>
    <x v="7"/>
    <x v="5"/>
    <x v="0"/>
    <s v="5360106"/>
    <n v="718060"/>
    <s v="Contract Services-CHI RRC Fees"/>
    <s v="Wound Care"/>
    <x v="0"/>
    <m/>
    <n v="6210"/>
    <n v="6210"/>
    <n v="6210"/>
    <n v="6210"/>
    <n v="6210"/>
    <n v="6210"/>
    <n v="6210"/>
    <n v="6210"/>
    <n v="6210"/>
    <n v="6210"/>
    <n v="6210"/>
    <n v="6210"/>
    <n v="74520"/>
    <n v="0"/>
  </r>
  <r>
    <x v="11"/>
    <x v="5"/>
    <x v="0"/>
    <s v="5360106"/>
    <n v="721010"/>
    <s v="Supplies-Medical - Billable"/>
    <s v="Wound Care"/>
    <x v="0"/>
    <m/>
    <n v="5844.7"/>
    <n v="5972.85"/>
    <n v="16150.59"/>
    <n v="16746.169999999998"/>
    <n v="1389.51"/>
    <n v="14586.64"/>
    <n v="12667.66"/>
    <n v="11294.49"/>
    <n v="5394.24"/>
    <n v="5217.07"/>
    <n v="20199.009999999998"/>
    <n v="26266.67"/>
    <n v="141729.60000000001"/>
    <n v="-6067.66"/>
  </r>
  <r>
    <x v="11"/>
    <x v="5"/>
    <x v="0"/>
    <s v="5360106"/>
    <n v="721020"/>
    <s v="Supplies-Surgical - Billable"/>
    <s v="Wound Care"/>
    <x v="0"/>
    <m/>
    <n v="7.54"/>
    <n v="84.72"/>
    <n v="0"/>
    <n v="-11.12"/>
    <n v="0"/>
    <n v="2624.94"/>
    <n v="199.56"/>
    <n v="0"/>
    <n v="0"/>
    <n v="0"/>
    <n v="0"/>
    <n v="0"/>
    <n v="2905.64"/>
    <n v="0"/>
  </r>
  <r>
    <x v="11"/>
    <x v="5"/>
    <x v="0"/>
    <s v="5360106"/>
    <n v="721020"/>
    <s v="Suture/Wound Closure"/>
    <s v="Wound Care"/>
    <x v="0"/>
    <n v="1001"/>
    <n v="0"/>
    <n v="0"/>
    <n v="0"/>
    <n v="0"/>
    <n v="0"/>
    <n v="0"/>
    <n v="0"/>
    <n v="0"/>
    <n v="0"/>
    <n v="0"/>
    <n v="2510"/>
    <n v="5020"/>
    <n v="7530"/>
    <n v="-2510"/>
  </r>
  <r>
    <x v="11"/>
    <x v="5"/>
    <x v="0"/>
    <s v="5360106"/>
    <n v="721150"/>
    <s v="Supplies-Other Implants - Billable"/>
    <s v="Wound Care"/>
    <x v="0"/>
    <m/>
    <n v="7650"/>
    <n v="6375"/>
    <n v="1291.75"/>
    <n v="21675"/>
    <n v="3825"/>
    <n v="14266.11"/>
    <n v="1175"/>
    <n v="2450"/>
    <n v="0"/>
    <n v="2550"/>
    <n v="11475"/>
    <n v="2550"/>
    <n v="75282.86"/>
    <n v="8925"/>
  </r>
  <r>
    <x v="11"/>
    <x v="5"/>
    <x v="0"/>
    <s v="5360106"/>
    <n v="721150"/>
    <s v="Surgical Orthopedic"/>
    <s v="Wound Care"/>
    <x v="0"/>
    <n v="1000"/>
    <n v="0"/>
    <n v="1489"/>
    <n v="7013.5"/>
    <n v="11693"/>
    <n v="8308.5"/>
    <n v="6319"/>
    <n v="0"/>
    <n v="0"/>
    <n v="5968.5"/>
    <n v="0"/>
    <n v="0"/>
    <n v="1939.5"/>
    <n v="42731"/>
    <n v="-1939.5"/>
  </r>
  <r>
    <x v="11"/>
    <x v="5"/>
    <x v="0"/>
    <s v="5360106"/>
    <n v="721220"/>
    <s v="Supplies-Medical Gases - Billable"/>
    <s v="Wound Care"/>
    <x v="0"/>
    <m/>
    <n v="0"/>
    <n v="0"/>
    <n v="4344.82"/>
    <n v="1512.79"/>
    <n v="2104.71"/>
    <n v="40.25"/>
    <n v="2938.28"/>
    <n v="1473.49"/>
    <n v="1563.72"/>
    <n v="819.71"/>
    <n v="628.16999999999996"/>
    <n v="1975.55"/>
    <n v="17401.490000000002"/>
    <n v="-1347.38"/>
  </r>
  <r>
    <x v="11"/>
    <x v="5"/>
    <x v="0"/>
    <s v="5360106"/>
    <n v="721240"/>
    <s v="Supplies-IV Solutions/Supplies - Billable"/>
    <s v="Wound Care"/>
    <x v="0"/>
    <m/>
    <n v="39.78"/>
    <n v="36.72"/>
    <n v="42.84"/>
    <n v="27.54"/>
    <n v="42.84"/>
    <n v="63.36"/>
    <n v="48.96"/>
    <n v="48.96"/>
    <n v="33.659999999999997"/>
    <n v="73.44"/>
    <n v="36.72"/>
    <n v="42.84"/>
    <n v="537.66"/>
    <n v="-6.1200000000000045"/>
  </r>
  <r>
    <x v="11"/>
    <x v="5"/>
    <x v="0"/>
    <s v="5360106"/>
    <n v="721250"/>
    <s v="Supplies-Pharmacy Drugs - Billable"/>
    <s v="Wound Care"/>
    <x v="0"/>
    <m/>
    <n v="1685.56"/>
    <n v="672.86"/>
    <n v="1855.5"/>
    <n v="1295.48"/>
    <n v="1008.54"/>
    <n v="1004"/>
    <n v="1515.15"/>
    <n v="0"/>
    <n v="1031.95"/>
    <n v="1005.6"/>
    <n v="2044.82"/>
    <n v="1008.83"/>
    <n v="14128.29"/>
    <n v="1035.9899999999998"/>
  </r>
  <r>
    <x v="11"/>
    <x v="5"/>
    <x v="0"/>
    <s v="5360106"/>
    <n v="721410"/>
    <s v="Supplies-Medical - Nonbillable"/>
    <s v="Wound Care"/>
    <x v="0"/>
    <m/>
    <n v="3530.15"/>
    <n v="1243.8399999999999"/>
    <n v="1926.37"/>
    <n v="1693.24"/>
    <n v="1471.4"/>
    <n v="2606.21"/>
    <n v="2235.4"/>
    <n v="1050.7"/>
    <n v="1889.38"/>
    <n v="59835.06"/>
    <n v="-59806.18"/>
    <n v="1675.01"/>
    <n v="19350.579999999998"/>
    <n v="-61481.19"/>
  </r>
  <r>
    <x v="11"/>
    <x v="5"/>
    <x v="0"/>
    <s v="5360106"/>
    <n v="721420"/>
    <s v="Supplies-Surgical Nonbillable"/>
    <s v="Wound Care"/>
    <x v="0"/>
    <m/>
    <n v="170.64"/>
    <n v="77.22"/>
    <n v="115.58"/>
    <n v="140.86000000000001"/>
    <n v="58.38"/>
    <n v="98.06"/>
    <n v="64.349999999999994"/>
    <n v="100.1"/>
    <n v="129.44"/>
    <n v="57.2"/>
    <n v="85.8"/>
    <n v="67.5"/>
    <n v="1165.1300000000001"/>
    <n v="18.299999999999997"/>
  </r>
  <r>
    <x v="11"/>
    <x v="5"/>
    <x v="0"/>
    <s v="5360106"/>
    <n v="721610"/>
    <s v="Supplies-Anesthesia - Nonbillable"/>
    <s v="Wound Care"/>
    <x v="0"/>
    <m/>
    <n v="0"/>
    <n v="0"/>
    <n v="0"/>
    <n v="0"/>
    <n v="0"/>
    <n v="15.33"/>
    <n v="0"/>
    <n v="0"/>
    <n v="0"/>
    <n v="0"/>
    <n v="0"/>
    <n v="0"/>
    <n v="15.33"/>
    <n v="0"/>
  </r>
  <r>
    <x v="11"/>
    <x v="5"/>
    <x v="0"/>
    <s v="5360106"/>
    <n v="721650"/>
    <s v="Supplies-Pharmacy Drugs - Nonbillable"/>
    <s v="Wound Care"/>
    <x v="0"/>
    <m/>
    <n v="9.82"/>
    <n v="0"/>
    <n v="9.82"/>
    <n v="0"/>
    <n v="4.91"/>
    <n v="0"/>
    <n v="9.82"/>
    <n v="9.82"/>
    <n v="0"/>
    <n v="25.03"/>
    <n v="0"/>
    <n v="10.37"/>
    <n v="79.59"/>
    <n v="-10.37"/>
  </r>
  <r>
    <x v="11"/>
    <x v="5"/>
    <x v="0"/>
    <s v="5360106"/>
    <n v="721710"/>
    <s v="Supplies-Laboratory - Nonbillable"/>
    <s v="Wound Care"/>
    <x v="0"/>
    <m/>
    <n v="0"/>
    <n v="0"/>
    <n v="0"/>
    <n v="3.1"/>
    <n v="0"/>
    <n v="0"/>
    <n v="0"/>
    <n v="0"/>
    <n v="0"/>
    <n v="0"/>
    <n v="0"/>
    <n v="0"/>
    <n v="3.1"/>
    <n v="0"/>
  </r>
  <r>
    <x v="11"/>
    <x v="5"/>
    <x v="0"/>
    <s v="5360106"/>
    <n v="721810"/>
    <s v="Supplies-Dietary/Cafeteria"/>
    <s v="Wound Care"/>
    <x v="0"/>
    <m/>
    <n v="111.77"/>
    <n v="0"/>
    <n v="103.62"/>
    <n v="0"/>
    <n v="0"/>
    <n v="139.9"/>
    <n v="-53.71"/>
    <n v="0"/>
    <n v="0"/>
    <n v="0"/>
    <n v="0"/>
    <n v="0"/>
    <n v="301.58"/>
    <n v="0"/>
  </r>
  <r>
    <x v="11"/>
    <x v="5"/>
    <x v="0"/>
    <s v="5360106"/>
    <n v="721830"/>
    <s v="Supplies-Office"/>
    <s v="Wound Care"/>
    <x v="0"/>
    <m/>
    <n v="332.73"/>
    <n v="150.76"/>
    <n v="172.85"/>
    <n v="420.59"/>
    <n v="137.29"/>
    <n v="321.70999999999998"/>
    <n v="1394.31"/>
    <n v="317.08"/>
    <n v="130.31"/>
    <n v="505.09"/>
    <n v="632.33000000000004"/>
    <n v="121.99"/>
    <n v="4637.04"/>
    <n v="510.34000000000003"/>
  </r>
  <r>
    <x v="11"/>
    <x v="5"/>
    <x v="0"/>
    <s v="5360106"/>
    <n v="721835"/>
    <s v="Supplies-Forms"/>
    <s v="Wound Care"/>
    <x v="0"/>
    <m/>
    <n v="0"/>
    <n v="0"/>
    <n v="0"/>
    <n v="0"/>
    <n v="1.5"/>
    <n v="0"/>
    <n v="0"/>
    <n v="0"/>
    <n v="13.8"/>
    <n v="0"/>
    <n v="4.5"/>
    <n v="0"/>
    <n v="19.8"/>
    <n v="4.5"/>
  </r>
  <r>
    <x v="11"/>
    <x v="5"/>
    <x v="0"/>
    <s v="5360106"/>
    <n v="721870"/>
    <s v="Supplies-Environmental Services"/>
    <s v="Wound Care"/>
    <x v="0"/>
    <m/>
    <n v="103.65"/>
    <n v="250.88"/>
    <n v="74.099999999999994"/>
    <n v="25.02"/>
    <n v="50.63"/>
    <n v="118.82"/>
    <n v="91.83"/>
    <n v="118.2"/>
    <n v="46.52"/>
    <n v="88.65"/>
    <n v="135.47999999999999"/>
    <n v="-23.95"/>
    <n v="1079.83"/>
    <n v="159.42999999999998"/>
  </r>
  <r>
    <x v="11"/>
    <x v="5"/>
    <x v="0"/>
    <s v="5360106"/>
    <n v="721880"/>
    <s v="Supplies-Linen"/>
    <s v="Wound Care"/>
    <x v="0"/>
    <m/>
    <n v="0"/>
    <n v="0"/>
    <n v="0"/>
    <n v="0"/>
    <n v="93.85"/>
    <n v="0"/>
    <n v="0"/>
    <n v="0"/>
    <n v="0"/>
    <n v="45.12"/>
    <n v="0"/>
    <n v="0"/>
    <n v="138.97"/>
    <n v="0"/>
  </r>
  <r>
    <x v="11"/>
    <x v="5"/>
    <x v="0"/>
    <s v="5360106"/>
    <n v="721910"/>
    <s v="Supplies-Small Equipment"/>
    <s v="Wound Care"/>
    <x v="0"/>
    <m/>
    <n v="0"/>
    <n v="2.42"/>
    <n v="0"/>
    <n v="0.68"/>
    <n v="0"/>
    <n v="0"/>
    <n v="6.68"/>
    <n v="0"/>
    <n v="0"/>
    <n v="0"/>
    <n v="0"/>
    <n v="0"/>
    <n v="9.7799999999999994"/>
    <n v="0"/>
  </r>
  <r>
    <x v="11"/>
    <x v="5"/>
    <x v="0"/>
    <s v="5360106"/>
    <n v="721910"/>
    <s v="Instruments"/>
    <s v="Wound Care"/>
    <x v="0"/>
    <n v="1000"/>
    <n v="110.8"/>
    <n v="0"/>
    <n v="385.2"/>
    <n v="-268.23"/>
    <n v="-163.18"/>
    <n v="291.36"/>
    <n v="536.39"/>
    <n v="1064.24"/>
    <n v="445.2"/>
    <n v="828.83"/>
    <n v="789.9"/>
    <n v="532.05999999999995"/>
    <n v="4552.57"/>
    <n v="257.84000000000003"/>
  </r>
  <r>
    <x v="11"/>
    <x v="5"/>
    <x v="0"/>
    <s v="5360106"/>
    <n v="721980"/>
    <s v="Supplies-Other"/>
    <s v="Wound Care"/>
    <x v="0"/>
    <m/>
    <n v="3856.43"/>
    <n v="1231.74"/>
    <n v="114.59"/>
    <n v="-977.82"/>
    <n v="273.33"/>
    <n v="23.61"/>
    <n v="595"/>
    <n v="738.84"/>
    <n v="214.25"/>
    <n v="158.66999999999999"/>
    <n v="537.86"/>
    <n v="301.62"/>
    <n v="7068.12"/>
    <n v="236.24"/>
  </r>
  <r>
    <x v="11"/>
    <x v="5"/>
    <x v="0"/>
    <s v="5360106"/>
    <n v="722000"/>
    <s v="Supplies-Freight Expense"/>
    <s v="Wound Care"/>
    <x v="0"/>
    <m/>
    <n v="23.74"/>
    <n v="8.27"/>
    <n v="0"/>
    <n v="53.69"/>
    <n v="0"/>
    <n v="74.61"/>
    <n v="17.27"/>
    <n v="0"/>
    <n v="0"/>
    <n v="0"/>
    <n v="0"/>
    <n v="101.08"/>
    <n v="278.66000000000003"/>
    <n v="-101.08"/>
  </r>
  <r>
    <x v="12"/>
    <x v="5"/>
    <x v="0"/>
    <s v="5360106"/>
    <n v="730010"/>
    <s v="Rental and Leases-Building (DO NOT USE)"/>
    <s v="Wound Care"/>
    <x v="0"/>
    <m/>
    <n v="8923.69"/>
    <n v="8923.69"/>
    <n v="8923.69"/>
    <n v="8923.69"/>
    <n v="8923.69"/>
    <n v="-10507.37"/>
    <n v="5728.78"/>
    <n v="5728.78"/>
    <n v="5728.78"/>
    <n v="5728.78"/>
    <n v="3005.05"/>
    <n v="0"/>
    <n v="60031.25"/>
    <n v="3005.05"/>
  </r>
  <r>
    <x v="12"/>
    <x v="5"/>
    <x v="0"/>
    <s v="5360106"/>
    <n v="730010"/>
    <s v="Rental-Common Area Maint (DO NOT USE)"/>
    <s v="Wound Care"/>
    <x v="0"/>
    <n v="2200"/>
    <n v="0"/>
    <n v="0"/>
    <n v="0"/>
    <n v="0"/>
    <n v="0"/>
    <n v="19483.38"/>
    <n v="3217.79"/>
    <n v="3232.51"/>
    <n v="3232.51"/>
    <n v="3232.51"/>
    <n v="3232.51"/>
    <n v="0"/>
    <n v="35631.210000000006"/>
    <n v="3232.51"/>
  </r>
  <r>
    <x v="12"/>
    <x v="5"/>
    <x v="0"/>
    <s v="5360106"/>
    <n v="730020"/>
    <s v="Rental and Leases-Equipment (DO NOT USE)"/>
    <s v="Wound Care"/>
    <x v="0"/>
    <m/>
    <n v="0"/>
    <n v="0"/>
    <n v="47.19"/>
    <n v="0"/>
    <n v="0"/>
    <n v="0"/>
    <n v="0"/>
    <n v="0"/>
    <n v="0"/>
    <n v="0"/>
    <n v="0"/>
    <n v="0"/>
    <n v="47.19"/>
    <n v="0"/>
  </r>
  <r>
    <x v="12"/>
    <x v="5"/>
    <x v="0"/>
    <s v="5360106"/>
    <n v="730020"/>
    <s v="Rental and Leases-Copier Usage Fees (DO NOT USE)"/>
    <s v="Wound Care"/>
    <x v="0"/>
    <n v="5100"/>
    <n v="354.9"/>
    <n v="360.9"/>
    <n v="357.9"/>
    <n v="357.9"/>
    <n v="357.9"/>
    <n v="357.9"/>
    <n v="-239.77"/>
    <n v="286.95"/>
    <n v="286.35000000000002"/>
    <n v="413.97"/>
    <n v="286.95"/>
    <n v="307.16000000000003"/>
    <n v="3489.0099999999993"/>
    <n v="-20.210000000000036"/>
  </r>
  <r>
    <x v="12"/>
    <x v="5"/>
    <x v="0"/>
    <s v="5360106"/>
    <n v="730040"/>
    <s v="LT Lease-Real Estate"/>
    <s v="Wound Care"/>
    <x v="0"/>
    <m/>
    <n v="0"/>
    <n v="0"/>
    <n v="0"/>
    <n v="0"/>
    <n v="0"/>
    <n v="0"/>
    <n v="0"/>
    <n v="0"/>
    <n v="0"/>
    <n v="0"/>
    <n v="0"/>
    <n v="9078.82"/>
    <n v="9078.82"/>
    <n v="-9078.82"/>
  </r>
  <r>
    <x v="15"/>
    <x v="5"/>
    <x v="0"/>
    <s v="5360106"/>
    <n v="731070"/>
    <s v="Cable TV"/>
    <s v="Wound Care"/>
    <x v="0"/>
    <m/>
    <n v="81.34"/>
    <n v="0"/>
    <n v="0"/>
    <n v="162.66"/>
    <n v="77.88"/>
    <n v="77.88"/>
    <n v="77.88"/>
    <n v="77.88"/>
    <n v="77.88"/>
    <n v="77.88"/>
    <n v="77.98"/>
    <n v="77.98"/>
    <n v="867.24"/>
    <n v="0"/>
  </r>
  <r>
    <x v="16"/>
    <x v="5"/>
    <x v="0"/>
    <s v="5360106"/>
    <n v="732030"/>
    <s v="Repairs---Other"/>
    <s v="Wound Care"/>
    <x v="0"/>
    <m/>
    <n v="0"/>
    <n v="0"/>
    <n v="48.88"/>
    <n v="0"/>
    <n v="0"/>
    <n v="0"/>
    <n v="0"/>
    <n v="0"/>
    <n v="0"/>
    <n v="0"/>
    <n v="0"/>
    <n v="0"/>
    <n v="48.88"/>
    <n v="0"/>
  </r>
  <r>
    <x v="16"/>
    <x v="5"/>
    <x v="0"/>
    <s v="5360106"/>
    <n v="732030"/>
    <s v="Repairs&amp;Maintenance-Bldg Routine"/>
    <s v="Wound Care"/>
    <x v="0"/>
    <n v="2300"/>
    <n v="0"/>
    <n v="0"/>
    <n v="250"/>
    <n v="0"/>
    <n v="0"/>
    <n v="0"/>
    <n v="0"/>
    <n v="0"/>
    <n v="0"/>
    <n v="0"/>
    <n v="0"/>
    <n v="429"/>
    <n v="679"/>
    <n v="-429"/>
  </r>
  <r>
    <x v="13"/>
    <x v="5"/>
    <x v="0"/>
    <s v="5360106"/>
    <n v="735040"/>
    <s v="Depreciation-Building Improvements"/>
    <s v="Wound Care"/>
    <x v="0"/>
    <m/>
    <n v="7645.38"/>
    <n v="7645.37"/>
    <n v="7645.39"/>
    <n v="7645.37"/>
    <n v="7645.4"/>
    <n v="7645.36"/>
    <n v="7645.4"/>
    <n v="7645.36"/>
    <n v="7645.4"/>
    <n v="7645.36"/>
    <n v="7502.39"/>
    <n v="7502.36"/>
    <n v="91458.54"/>
    <n v="3.0000000000654836E-2"/>
  </r>
  <r>
    <x v="13"/>
    <x v="5"/>
    <x v="0"/>
    <s v="5360106"/>
    <n v="735050"/>
    <s v="Amortization-Leasehold Improvements"/>
    <s v="Wound Care"/>
    <x v="0"/>
    <m/>
    <n v="0.71"/>
    <n v="0.7"/>
    <n v="0.71"/>
    <n v="0.7"/>
    <n v="0.71"/>
    <n v="0.7"/>
    <n v="0.71"/>
    <n v="0.69"/>
    <n v="0.71"/>
    <n v="0.69"/>
    <n v="0.71"/>
    <n v="0.69"/>
    <n v="8.4300000000000015"/>
    <n v="2.0000000000000018E-2"/>
  </r>
  <r>
    <x v="13"/>
    <x v="5"/>
    <x v="0"/>
    <s v="5360106"/>
    <n v="735060"/>
    <s v="Depreciation-Fixed Equipment"/>
    <s v="Wound Care"/>
    <x v="0"/>
    <m/>
    <n v="0.56999999999999995"/>
    <n v="0.56000000000000005"/>
    <n v="0.56999999999999995"/>
    <n v="0.56000000000000005"/>
    <n v="0.56999999999999995"/>
    <n v="0.56000000000000005"/>
    <n v="0.56999999999999995"/>
    <n v="0.56000000000000005"/>
    <n v="0.56999999999999995"/>
    <n v="0.56000000000000005"/>
    <n v="0.56999999999999995"/>
    <n v="0.56000000000000005"/>
    <n v="6.7800000000000011"/>
    <n v="9.9999999999998979E-3"/>
  </r>
  <r>
    <x v="13"/>
    <x v="5"/>
    <x v="0"/>
    <s v="5360106"/>
    <n v="735070"/>
    <s v="Depreciation-Movable Equipment"/>
    <s v="Wound Care"/>
    <x v="0"/>
    <m/>
    <n v="1933.75"/>
    <n v="1933.69"/>
    <n v="1933.76"/>
    <n v="1933.68"/>
    <n v="1933.77"/>
    <n v="1933.68"/>
    <n v="1933.81"/>
    <n v="1933.66"/>
    <n v="1933.88"/>
    <n v="1933.65"/>
    <n v="1933.89"/>
    <n v="1933.64"/>
    <n v="23204.86"/>
    <n v="0.25"/>
  </r>
  <r>
    <x v="0"/>
    <x v="5"/>
    <x v="0"/>
    <s v="5360106"/>
    <n v="749510"/>
    <s v="Miscellaneous Expenses"/>
    <s v="Wound Care"/>
    <x v="0"/>
    <m/>
    <n v="1040.0899999999999"/>
    <n v="-1040.0899999999999"/>
    <n v="0"/>
    <n v="0"/>
    <n v="0"/>
    <n v="0"/>
    <n v="0"/>
    <n v="0"/>
    <n v="0"/>
    <n v="0"/>
    <n v="0"/>
    <n v="0"/>
    <n v="0"/>
    <n v="0"/>
  </r>
  <r>
    <x v="0"/>
    <x v="5"/>
    <x v="0"/>
    <s v="5360106"/>
    <n v="749530"/>
    <s v="Travel"/>
    <s v="Wound Care"/>
    <x v="0"/>
    <m/>
    <n v="0"/>
    <n v="0"/>
    <n v="1040.0899999999999"/>
    <n v="0"/>
    <n v="0"/>
    <n v="0"/>
    <n v="0"/>
    <n v="0"/>
    <n v="0"/>
    <n v="0"/>
    <n v="0"/>
    <n v="0"/>
    <n v="1040.0899999999999"/>
    <n v="0"/>
  </r>
  <r>
    <x v="18"/>
    <x v="6"/>
    <x v="0"/>
    <s v="5360107"/>
    <n v="400010"/>
    <s v="Acute I/P Svcs Rev--Medicare"/>
    <s v="Wound Care"/>
    <x v="0"/>
    <n v="1100"/>
    <n v="-60773.15"/>
    <n v="-33316.550000000003"/>
    <n v="-39452.19"/>
    <n v="-19980.2"/>
    <n v="-15816.23"/>
    <n v="-32201.439999999999"/>
    <n v="-30573.27"/>
    <n v="-48834.3"/>
    <n v="-49754.46"/>
    <n v="-37829.51"/>
    <n v="-36571.82"/>
    <n v="-55067.58"/>
    <n v="-460170.70000000007"/>
    <n v="18495.760000000002"/>
  </r>
  <r>
    <x v="18"/>
    <x v="6"/>
    <x v="0"/>
    <s v="5360107"/>
    <n v="400010"/>
    <s v="Acute I/P Svcs Rev--Medicaid"/>
    <s v="Wound Care"/>
    <x v="0"/>
    <n v="1200"/>
    <n v="-4090.37"/>
    <n v="-24840.58"/>
    <n v="-11042.4"/>
    <n v="-9491.68"/>
    <n v="-13102.08"/>
    <n v="-10297.700000000001"/>
    <n v="-8329.36"/>
    <n v="-13560.18"/>
    <n v="-3816.59"/>
    <n v="-6154.81"/>
    <n v="-3732.9"/>
    <n v="-18031.560000000001"/>
    <n v="-126490.20999999999"/>
    <n v="14298.660000000002"/>
  </r>
  <r>
    <x v="18"/>
    <x v="6"/>
    <x v="0"/>
    <s v="5360107"/>
    <n v="400010"/>
    <s v="Acute I/P Svcs Rev--Comm Insurance"/>
    <s v="Wound Care"/>
    <x v="0"/>
    <n v="1300"/>
    <n v="386.39"/>
    <n v="1407.05"/>
    <n v="-257.99"/>
    <n v="-1554.82"/>
    <n v="-577.15"/>
    <n v="-3184.28"/>
    <n v="2275.6799999999998"/>
    <n v="0"/>
    <n v="0"/>
    <n v="-721.29"/>
    <n v="-2989.02"/>
    <n v="0"/>
    <n v="-5215.43"/>
    <n v="-2989.02"/>
  </r>
  <r>
    <x v="18"/>
    <x v="6"/>
    <x v="0"/>
    <s v="5360107"/>
    <n v="400010"/>
    <s v="Acute I/P Svcs Rev--BCBS Comm"/>
    <s v="Wound Care"/>
    <x v="0"/>
    <n v="1301"/>
    <n v="-1328.92"/>
    <n v="-1937.1"/>
    <n v="-3335.98"/>
    <n v="-660.44"/>
    <n v="-77.180000000000007"/>
    <n v="-730.18"/>
    <n v="-2081.0700000000002"/>
    <n v="-1020.64"/>
    <n v="-2124.38"/>
    <n v="-3113.42"/>
    <n v="-6533.94"/>
    <n v="-908.62"/>
    <n v="-23851.869999999995"/>
    <n v="-5625.32"/>
  </r>
  <r>
    <x v="18"/>
    <x v="6"/>
    <x v="0"/>
    <s v="5360107"/>
    <n v="400010"/>
    <s v="Acute I/P Svcs Rev--Managed Care"/>
    <s v="Wound Care"/>
    <x v="0"/>
    <n v="1400"/>
    <n v="-2896.33"/>
    <n v="-4226.1099999999997"/>
    <n v="-13002.06"/>
    <n v="551.92999999999995"/>
    <n v="-1078.46"/>
    <n v="-4637.47"/>
    <n v="-5428.01"/>
    <n v="-1708.44"/>
    <n v="-3937.75"/>
    <n v="-2100.66"/>
    <n v="-2980.82"/>
    <n v="-3092.58"/>
    <n v="-44536.76"/>
    <n v="111.75999999999976"/>
  </r>
  <r>
    <x v="18"/>
    <x v="6"/>
    <x v="0"/>
    <s v="5360107"/>
    <n v="400010"/>
    <s v="Acute I/P Svcs Rev--Self Pay"/>
    <s v="Wound Care"/>
    <x v="0"/>
    <n v="1500"/>
    <n v="0"/>
    <n v="-769.33"/>
    <n v="-1554.82"/>
    <n v="1554.82"/>
    <n v="0"/>
    <n v="-257.99"/>
    <n v="0"/>
    <n v="-257.99"/>
    <n v="0"/>
    <n v="0"/>
    <n v="-265.73"/>
    <n v="0"/>
    <n v="-1551.0400000000002"/>
    <n v="-265.73"/>
  </r>
  <r>
    <x v="18"/>
    <x v="6"/>
    <x v="0"/>
    <s v="5360107"/>
    <n v="400010"/>
    <s v="Acute I/P Svcs Rev--Other"/>
    <s v="Wound Care"/>
    <x v="0"/>
    <n v="1700"/>
    <n v="-1729"/>
    <n v="-577.5"/>
    <n v="-257.99"/>
    <n v="484.61"/>
    <n v="-663.94"/>
    <n v="-2070.48"/>
    <n v="-257.99"/>
    <n v="-857.96"/>
    <n v="-587.01"/>
    <n v="-329.02"/>
    <n v="-797.19"/>
    <n v="-1870.57"/>
    <n v="-9514.0399999999991"/>
    <n v="1073.3799999999999"/>
  </r>
  <r>
    <x v="19"/>
    <x v="6"/>
    <x v="0"/>
    <s v="5360107"/>
    <n v="400020"/>
    <s v="O/P Care Svcs Rev--Medicare"/>
    <s v="Wound Care"/>
    <x v="0"/>
    <n v="1100"/>
    <n v="-551541.1"/>
    <n v="-659891.98"/>
    <n v="-537532.1"/>
    <n v="-715881.73"/>
    <n v="-673672.92"/>
    <n v="-599792.59"/>
    <n v="-638504.29"/>
    <n v="-540920.48"/>
    <n v="-839157.26"/>
    <n v="-895195.57"/>
    <n v="-1246874.99"/>
    <n v="-816832.04"/>
    <n v="-8715797.0500000007"/>
    <n v="-430042.94999999995"/>
  </r>
  <r>
    <x v="19"/>
    <x v="6"/>
    <x v="0"/>
    <s v="5360107"/>
    <n v="400020"/>
    <s v="O/P Care Svcs Rev--Medicaid"/>
    <s v="Wound Care"/>
    <x v="0"/>
    <n v="1200"/>
    <n v="-100135.39"/>
    <n v="-116814.1"/>
    <n v="-133867.97"/>
    <n v="-135248.15"/>
    <n v="-172288.62"/>
    <n v="-90495.06"/>
    <n v="-155026.89000000001"/>
    <n v="-220414.45"/>
    <n v="-127662.09"/>
    <n v="-131261.04999999999"/>
    <n v="-184514.89"/>
    <n v="-250922.3"/>
    <n v="-1818650.9600000002"/>
    <n v="66407.409999999974"/>
  </r>
  <r>
    <x v="19"/>
    <x v="6"/>
    <x v="0"/>
    <s v="5360107"/>
    <n v="400020"/>
    <s v="O/P Care Svcs Rev--Comm Insurance"/>
    <s v="Wound Care"/>
    <x v="0"/>
    <n v="1300"/>
    <n v="-38922.07"/>
    <n v="-18343.650000000001"/>
    <n v="-3741.86"/>
    <n v="-34866.99"/>
    <n v="-21862.98"/>
    <n v="-11097.23"/>
    <n v="-12933.22"/>
    <n v="-12647.46"/>
    <n v="-3700.69"/>
    <n v="-3920.06"/>
    <n v="-10086.57"/>
    <n v="-46112.160000000003"/>
    <n v="-218234.94"/>
    <n v="36025.590000000004"/>
  </r>
  <r>
    <x v="19"/>
    <x v="6"/>
    <x v="0"/>
    <s v="5360107"/>
    <n v="400020"/>
    <s v="O/P Care Svcs Rev--BCBS Comm"/>
    <s v="Wound Care"/>
    <x v="0"/>
    <n v="1301"/>
    <n v="-115696.82"/>
    <n v="-125702.26"/>
    <n v="-49626.17"/>
    <n v="-37429.03"/>
    <n v="-42320.46"/>
    <n v="-90633.52"/>
    <n v="-36110.449999999997"/>
    <n v="-32708.1"/>
    <n v="-43900.72"/>
    <n v="-108395.24"/>
    <n v="-107386.16"/>
    <n v="-37876.26"/>
    <n v="-827785.19000000006"/>
    <n v="-69509.899999999994"/>
  </r>
  <r>
    <x v="19"/>
    <x v="6"/>
    <x v="0"/>
    <s v="5360107"/>
    <n v="400020"/>
    <s v="O/P Care Svcs Rev--Managed Care"/>
    <s v="Wound Care"/>
    <x v="0"/>
    <n v="1400"/>
    <n v="-115584.12"/>
    <n v="-43756.14"/>
    <n v="-58400.53"/>
    <n v="-101123.95"/>
    <n v="-89060.37"/>
    <n v="-45520.480000000003"/>
    <n v="-70855.19"/>
    <n v="-39104.5"/>
    <n v="-40200.57"/>
    <n v="-60734.99"/>
    <n v="-65951.009999999995"/>
    <n v="-44640.93"/>
    <n v="-774932.78"/>
    <n v="-21310.079999999994"/>
  </r>
  <r>
    <x v="19"/>
    <x v="6"/>
    <x v="0"/>
    <s v="5360107"/>
    <n v="400020"/>
    <s v="O/P Care Svcs Rev--Self Pay"/>
    <s v="Wound Care"/>
    <x v="0"/>
    <n v="1500"/>
    <n v="-3386.23"/>
    <n v="-1068.28"/>
    <n v="-7429.03"/>
    <n v="6215.66"/>
    <n v="-20510.55"/>
    <n v="417.72"/>
    <n v="1205.72"/>
    <n v="-2248.85"/>
    <n v="-25223.86"/>
    <n v="-2500.2600000000002"/>
    <n v="-4806.3900000000003"/>
    <n v="-10273.9"/>
    <n v="-69608.25"/>
    <n v="5467.5099999999993"/>
  </r>
  <r>
    <x v="19"/>
    <x v="6"/>
    <x v="0"/>
    <s v="5360107"/>
    <n v="400020"/>
    <s v="O/P Care Svcs Rev--Other"/>
    <s v="Wound Care"/>
    <x v="0"/>
    <n v="1700"/>
    <n v="-72789.08"/>
    <n v="-68542.81"/>
    <n v="-36041.629999999997"/>
    <n v="-27010.45"/>
    <n v="-42847.81"/>
    <n v="-20851"/>
    <n v="-26672.66"/>
    <n v="-6317.08"/>
    <n v="-33578.97"/>
    <n v="-64617.47"/>
    <n v="-44845.14"/>
    <n v="-49827.14"/>
    <n v="-493941.24"/>
    <n v="4982"/>
  </r>
  <r>
    <x v="5"/>
    <x v="6"/>
    <x v="0"/>
    <s v="5360107"/>
    <n v="700026"/>
    <s v="Salaries-RN-Productive"/>
    <s v="Wound Care"/>
    <x v="0"/>
    <m/>
    <n v="31172.42"/>
    <n v="26969.96"/>
    <n v="28433.759999999998"/>
    <n v="27076.26"/>
    <n v="31817.3"/>
    <n v="23424.93"/>
    <n v="26166.03"/>
    <n v="23114.26"/>
    <n v="35035.279999999999"/>
    <n v="34441.019999999997"/>
    <n v="31487.3"/>
    <n v="33369.019999999997"/>
    <n v="352507.54"/>
    <n v="-1881.7199999999975"/>
  </r>
  <r>
    <x v="5"/>
    <x v="6"/>
    <x v="0"/>
    <s v="5360107"/>
    <n v="700026"/>
    <s v="Salaries-RN-OT"/>
    <s v="Wound Care"/>
    <x v="0"/>
    <n v="1000"/>
    <n v="1245.79"/>
    <n v="1363.05"/>
    <n v="328.85"/>
    <n v="780.81"/>
    <n v="466.57"/>
    <n v="-40.31"/>
    <n v="484.02"/>
    <n v="782.67"/>
    <n v="185.29"/>
    <n v="3059.01"/>
    <n v="817.22"/>
    <n v="2502.91"/>
    <n v="11975.88"/>
    <n v="-1685.6899999999998"/>
  </r>
  <r>
    <x v="5"/>
    <x v="6"/>
    <x v="0"/>
    <s v="5360107"/>
    <n v="700026"/>
    <s v="Salaries-RN-Other"/>
    <s v="Wound Care"/>
    <x v="0"/>
    <n v="2000"/>
    <n v="1382.93"/>
    <n v="1409.93"/>
    <n v="1150.05"/>
    <n v="967.02"/>
    <n v="1186.5999999999999"/>
    <n v="943.36"/>
    <n v="312.73"/>
    <n v="768.97"/>
    <n v="1424.39"/>
    <n v="1746.37"/>
    <n v="2194.7600000000002"/>
    <n v="1614.3"/>
    <n v="15101.410000000002"/>
    <n v="580.46000000000026"/>
  </r>
  <r>
    <x v="5"/>
    <x v="6"/>
    <x v="0"/>
    <s v="5360107"/>
    <n v="700030"/>
    <s v="Salaries-LPN-Productive"/>
    <s v="Wound Care"/>
    <x v="0"/>
    <m/>
    <n v="7238.94"/>
    <n v="10672.44"/>
    <n v="9900.7099999999991"/>
    <n v="10239.35"/>
    <n v="10875.85"/>
    <n v="8685.31"/>
    <n v="8874.73"/>
    <n v="6694.62"/>
    <n v="9350"/>
    <n v="5468.93"/>
    <n v="6302.71"/>
    <n v="10419.280000000001"/>
    <n v="104722.87000000001"/>
    <n v="-4116.5700000000006"/>
  </r>
  <r>
    <x v="5"/>
    <x v="6"/>
    <x v="0"/>
    <s v="5360107"/>
    <n v="700030"/>
    <s v="Salaries-LPN-OT"/>
    <s v="Wound Care"/>
    <x v="0"/>
    <n v="1000"/>
    <n v="50.69"/>
    <n v="51.24"/>
    <n v="461.91"/>
    <n v="199.4"/>
    <n v="181.43"/>
    <n v="77.45"/>
    <n v="98.96"/>
    <n v="7.36"/>
    <n v="18.2"/>
    <n v="314.95999999999998"/>
    <n v="70.69"/>
    <n v="189.69"/>
    <n v="1721.9800000000002"/>
    <n v="-119"/>
  </r>
  <r>
    <x v="5"/>
    <x v="6"/>
    <x v="0"/>
    <s v="5360107"/>
    <n v="700030"/>
    <s v="Salaries-LPN-Other"/>
    <s v="Wound Care"/>
    <x v="0"/>
    <n v="2000"/>
    <n v="402.93"/>
    <n v="497.13"/>
    <n v="480.31"/>
    <n v="572.29"/>
    <n v="532.84"/>
    <n v="318.14999999999998"/>
    <n v="333.93"/>
    <n v="150.84"/>
    <n v="4.8"/>
    <n v="15.86"/>
    <n v="-6.6"/>
    <n v="567.75"/>
    <n v="3870.2300000000005"/>
    <n v="-574.35"/>
  </r>
  <r>
    <x v="5"/>
    <x v="6"/>
    <x v="0"/>
    <s v="5360107"/>
    <n v="700032"/>
    <s v="Salaries-Other Pat Care Providers-Productive"/>
    <s v="Wound Care"/>
    <x v="0"/>
    <m/>
    <n v="6083.65"/>
    <n v="6865.91"/>
    <n v="6129.91"/>
    <n v="7445.67"/>
    <n v="4528.79"/>
    <n v="5843.17"/>
    <n v="6793.92"/>
    <n v="6786.18"/>
    <n v="6910.75"/>
    <n v="7506.24"/>
    <n v="6656.71"/>
    <n v="6591.09"/>
    <n v="78141.989999999991"/>
    <n v="65.619999999999891"/>
  </r>
  <r>
    <x v="5"/>
    <x v="6"/>
    <x v="0"/>
    <s v="5360107"/>
    <n v="700032"/>
    <s v="Salaries-Other Pat Care Providers-OT"/>
    <s v="Wound Care"/>
    <x v="0"/>
    <n v="1000"/>
    <n v="74.400000000000006"/>
    <n v="81.02"/>
    <n v="86.72"/>
    <n v="897.88"/>
    <n v="-115.39"/>
    <n v="-3.39"/>
    <n v="8.9600000000000009"/>
    <n v="43.37"/>
    <n v="23.72"/>
    <n v="11.71"/>
    <n v="0"/>
    <n v="42.9"/>
    <n v="1151.8999999999999"/>
    <n v="-42.9"/>
  </r>
  <r>
    <x v="5"/>
    <x v="6"/>
    <x v="0"/>
    <s v="5360107"/>
    <n v="700032"/>
    <s v="Salaries-Other Pat Care Providers-Other"/>
    <s v="Wound Care"/>
    <x v="0"/>
    <n v="2000"/>
    <n v="0"/>
    <n v="0"/>
    <n v="0"/>
    <n v="0"/>
    <n v="0"/>
    <n v="0"/>
    <n v="0"/>
    <n v="0"/>
    <n v="0"/>
    <n v="0"/>
    <n v="0"/>
    <n v="14.49"/>
    <n v="14.49"/>
    <n v="-14.49"/>
  </r>
  <r>
    <x v="5"/>
    <x v="6"/>
    <x v="0"/>
    <s v="5360107"/>
    <n v="700066"/>
    <s v="Salaries-RN-Non-productive"/>
    <s v="Wound Care"/>
    <x v="0"/>
    <m/>
    <n v="1248.96"/>
    <n v="6923.59"/>
    <n v="790.37"/>
    <n v="6046.9"/>
    <n v="-1051.9000000000001"/>
    <n v="8626.84"/>
    <n v="2602.2800000000002"/>
    <n v="5381.91"/>
    <n v="138.18"/>
    <n v="575.41999999999996"/>
    <n v="5630.92"/>
    <n v="-207.22"/>
    <n v="36706.25"/>
    <n v="5838.14"/>
  </r>
  <r>
    <x v="5"/>
    <x v="6"/>
    <x v="0"/>
    <s v="5360107"/>
    <n v="700066"/>
    <s v="Salaries-RN-NonProd-Other"/>
    <s v="Wound Care"/>
    <x v="0"/>
    <n v="2000"/>
    <n v="32"/>
    <n v="169.7"/>
    <n v="23.04"/>
    <n v="-5.21"/>
    <n v="38.93"/>
    <n v="141.57"/>
    <n v="55.97"/>
    <n v="15.03"/>
    <n v="18.989999999999998"/>
    <n v="20.91"/>
    <n v="122.83"/>
    <n v="-13.38"/>
    <n v="620.38"/>
    <n v="136.21"/>
  </r>
  <r>
    <x v="5"/>
    <x v="6"/>
    <x v="0"/>
    <s v="5360107"/>
    <n v="700070"/>
    <s v="Salaries-LPN-Non-productive"/>
    <s v="Wound Care"/>
    <x v="0"/>
    <m/>
    <n v="255.8"/>
    <n v="0"/>
    <n v="321.57"/>
    <n v="1142.57"/>
    <n v="337.11"/>
    <n v="1066.3800000000001"/>
    <n v="716.47"/>
    <n v="1650.34"/>
    <n v="-351.94"/>
    <n v="2178.41"/>
    <n v="1510.15"/>
    <n v="562.9"/>
    <n v="9389.76"/>
    <n v="947.25000000000011"/>
  </r>
  <r>
    <x v="5"/>
    <x v="6"/>
    <x v="0"/>
    <s v="5360107"/>
    <n v="700072"/>
    <s v="Salaries-Other Pat Care Providers-Non-productive"/>
    <s v="Wound Care"/>
    <x v="0"/>
    <m/>
    <n v="632.79999999999995"/>
    <n v="662.3"/>
    <n v="875.72"/>
    <n v="465.01"/>
    <n v="3566.38"/>
    <n v="903.55"/>
    <n v="1356.06"/>
    <n v="1406.29"/>
    <n v="1013.34"/>
    <n v="221.35"/>
    <n v="928.42"/>
    <n v="997.83"/>
    <n v="13029.050000000001"/>
    <n v="-69.410000000000082"/>
  </r>
  <r>
    <x v="5"/>
    <x v="6"/>
    <x v="0"/>
    <s v="5360107"/>
    <n v="700072"/>
    <s v="Salaries-Other Pat Care Providers-NonProd-Other"/>
    <s v="Wound C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5360107"/>
    <n v="700084"/>
    <s v="Accrued PTO"/>
    <s v="Wound Care"/>
    <x v="0"/>
    <m/>
    <n v="1345.6"/>
    <n v="-1996.78"/>
    <n v="860.54"/>
    <n v="-433.57"/>
    <n v="1961.07"/>
    <n v="-5132.75"/>
    <n v="268.94"/>
    <n v="-2494.5"/>
    <n v="2340.38"/>
    <n v="853.71"/>
    <n v="-1010.81"/>
    <n v="2172.5"/>
    <n v="-1265.6700000000005"/>
    <n v="-3183.31"/>
  </r>
  <r>
    <x v="6"/>
    <x v="6"/>
    <x v="0"/>
    <s v="5360107"/>
    <n v="713010"/>
    <s v="Benefits-FICA/Medicare"/>
    <s v="Wound Care"/>
    <x v="0"/>
    <m/>
    <n v="3719.84"/>
    <n v="4167.08"/>
    <n v="3658.78"/>
    <n v="4161.7700000000004"/>
    <n v="3920.07"/>
    <n v="3733.39"/>
    <n v="3547.69"/>
    <n v="3495.49"/>
    <n v="3994.86"/>
    <n v="4142.3"/>
    <n v="4151.3999999999996"/>
    <n v="4223.3100000000004"/>
    <n v="46915.98"/>
    <n v="-71.910000000000764"/>
  </r>
  <r>
    <x v="6"/>
    <x v="6"/>
    <x v="0"/>
    <s v="5360107"/>
    <n v="713090"/>
    <s v="Benefits-Allocated Amounts"/>
    <s v="Wound Care"/>
    <x v="0"/>
    <m/>
    <n v="9551.1"/>
    <n v="9587.2199999999993"/>
    <n v="9695.4699999999993"/>
    <n v="10648.33"/>
    <n v="11715.64"/>
    <n v="9819.66"/>
    <n v="9872.19"/>
    <n v="9734.2900000000009"/>
    <n v="9142.25"/>
    <n v="11271.97"/>
    <n v="10422.91"/>
    <n v="12709.13"/>
    <n v="124170.16"/>
    <n v="-2286.2199999999993"/>
  </r>
  <r>
    <x v="17"/>
    <x v="6"/>
    <x v="0"/>
    <s v="5360107"/>
    <n v="714510"/>
    <s v="Medical Director Fees"/>
    <s v="Wound Care"/>
    <x v="0"/>
    <m/>
    <n v="0"/>
    <n v="1680"/>
    <n v="1400"/>
    <n v="0"/>
    <n v="0"/>
    <n v="2240"/>
    <n v="2030"/>
    <n v="12000"/>
    <n v="2400"/>
    <n v="2400"/>
    <n v="4570"/>
    <n v="4570"/>
    <n v="33290"/>
    <n v="0"/>
  </r>
  <r>
    <x v="17"/>
    <x v="6"/>
    <x v="0"/>
    <s v="5360107"/>
    <n v="714530"/>
    <s v="Medical Prof Fees-Intracompany"/>
    <s v="Wound Care"/>
    <x v="0"/>
    <m/>
    <n v="5950.7"/>
    <n v="16660.79"/>
    <n v="23055.88"/>
    <n v="-122465.57"/>
    <n v="126428.29"/>
    <n v="27005.37"/>
    <n v="18923.580000000002"/>
    <n v="27892.720000000001"/>
    <n v="13212.17"/>
    <n v="19253.349999999999"/>
    <n v="10869.26"/>
    <n v="15010.42"/>
    <n v="181796.96000000002"/>
    <n v="-4141.16"/>
  </r>
  <r>
    <x v="7"/>
    <x v="6"/>
    <x v="0"/>
    <s v="5360107"/>
    <n v="718050"/>
    <s v="Miscellaneous Purchased Svcs"/>
    <s v="Wound Care"/>
    <x v="0"/>
    <n v="1020"/>
    <n v="75981.119999999995"/>
    <n v="84553.94"/>
    <n v="131182.34"/>
    <n v="86386.01"/>
    <n v="40873.730000000003"/>
    <n v="84061.43"/>
    <n v="153908.10999999999"/>
    <n v="95418.95"/>
    <n v="75729.23"/>
    <n v="71657.25"/>
    <n v="-32375.46"/>
    <n v="242778.15"/>
    <n v="1110154.7999999998"/>
    <n v="-275153.61"/>
  </r>
  <r>
    <x v="7"/>
    <x v="6"/>
    <x v="0"/>
    <s v="5360107"/>
    <n v="718050"/>
    <s v="Contract Management--Linen"/>
    <s v="Wound Care"/>
    <x v="0"/>
    <n v="1026"/>
    <n v="3966.57"/>
    <n v="3342.55"/>
    <n v="2950.85"/>
    <n v="1705.1"/>
    <n v="6380.84"/>
    <n v="2515.6"/>
    <n v="5971.66"/>
    <n v="2181.2600000000002"/>
    <n v="2668.29"/>
    <n v="4097.28"/>
    <n v="0"/>
    <n v="6522.69"/>
    <n v="42302.69"/>
    <n v="-6522.69"/>
  </r>
  <r>
    <x v="11"/>
    <x v="6"/>
    <x v="0"/>
    <s v="5360107"/>
    <n v="721010"/>
    <s v="Supplies-Medical - Billable"/>
    <s v="Wound Care"/>
    <x v="0"/>
    <m/>
    <n v="27688.25"/>
    <n v="30391.22"/>
    <n v="18384.560000000001"/>
    <n v="22739.98"/>
    <n v="23474.05"/>
    <n v="13862.04"/>
    <n v="15391.93"/>
    <n v="28855.75"/>
    <n v="17403.55"/>
    <n v="47659.18"/>
    <n v="48340.31"/>
    <n v="35445.47"/>
    <n v="329636.28999999992"/>
    <n v="12894.839999999997"/>
  </r>
  <r>
    <x v="11"/>
    <x v="6"/>
    <x v="0"/>
    <s v="5360107"/>
    <n v="721020"/>
    <s v="Supplies-Surgical - Billable"/>
    <s v="Wound Care"/>
    <x v="0"/>
    <m/>
    <n v="0"/>
    <n v="0"/>
    <n v="0"/>
    <n v="0"/>
    <n v="106.6"/>
    <n v="0"/>
    <n v="0"/>
    <n v="0"/>
    <n v="239.09"/>
    <n v="0"/>
    <n v="0"/>
    <n v="0"/>
    <n v="345.69"/>
    <n v="0"/>
  </r>
  <r>
    <x v="11"/>
    <x v="6"/>
    <x v="0"/>
    <s v="5360107"/>
    <n v="721020"/>
    <s v="Suture/Wound Closure"/>
    <s v="Wound Care"/>
    <x v="0"/>
    <n v="1001"/>
    <n v="0"/>
    <n v="15.84"/>
    <n v="0"/>
    <n v="0"/>
    <n v="39.6"/>
    <n v="0"/>
    <n v="0"/>
    <n v="0"/>
    <n v="0"/>
    <n v="18964"/>
    <n v="13247"/>
    <n v="21335"/>
    <n v="53601.440000000002"/>
    <n v="-8088"/>
  </r>
  <r>
    <x v="11"/>
    <x v="6"/>
    <x v="0"/>
    <s v="5360107"/>
    <n v="721150"/>
    <s v="Supplies-Other Implants - Billable"/>
    <s v="Wound Care"/>
    <x v="0"/>
    <m/>
    <n v="0"/>
    <n v="0"/>
    <n v="0"/>
    <n v="0"/>
    <n v="0"/>
    <n v="0"/>
    <n v="0"/>
    <n v="1295"/>
    <n v="1295"/>
    <n v="0"/>
    <n v="-1315"/>
    <n v="0"/>
    <n v="1275"/>
    <n v="-1315"/>
  </r>
  <r>
    <x v="11"/>
    <x v="6"/>
    <x v="0"/>
    <s v="5360107"/>
    <n v="721150"/>
    <s v="Surgical Orthopedic"/>
    <s v="Wound Care"/>
    <x v="0"/>
    <n v="1000"/>
    <n v="19895"/>
    <n v="-1450"/>
    <n v="6375"/>
    <n v="14722.5"/>
    <n v="0"/>
    <n v="0"/>
    <n v="0"/>
    <n v="0"/>
    <n v="0"/>
    <n v="0"/>
    <n v="0"/>
    <n v="0"/>
    <n v="39542.5"/>
    <n v="0"/>
  </r>
  <r>
    <x v="11"/>
    <x v="6"/>
    <x v="0"/>
    <s v="5360107"/>
    <n v="721240"/>
    <s v="Supplies-IV Solutions/Supplies - Billable"/>
    <s v="Wound Care"/>
    <x v="0"/>
    <m/>
    <n v="0"/>
    <n v="9"/>
    <n v="72"/>
    <n v="0"/>
    <n v="473.5"/>
    <n v="0"/>
    <n v="0"/>
    <n v="144"/>
    <n v="0"/>
    <n v="0"/>
    <n v="0"/>
    <n v="0"/>
    <n v="698.5"/>
    <n v="0"/>
  </r>
  <r>
    <x v="11"/>
    <x v="6"/>
    <x v="0"/>
    <s v="5360107"/>
    <n v="721250"/>
    <s v="Supplies-Pharmacy Drugs - Billable"/>
    <s v="Wound Care"/>
    <x v="0"/>
    <m/>
    <n v="2665.18"/>
    <n v="2545.54"/>
    <n v="3131.76"/>
    <n v="2251.44"/>
    <n v="3008.53"/>
    <n v="2059.38"/>
    <n v="3181.6"/>
    <n v="1319.95"/>
    <n v="2383.6"/>
    <n v="1419.27"/>
    <n v="1840.07"/>
    <n v="326.52"/>
    <n v="26132.84"/>
    <n v="1513.55"/>
  </r>
  <r>
    <x v="11"/>
    <x v="6"/>
    <x v="0"/>
    <s v="5360107"/>
    <n v="721410"/>
    <s v="Supplies-Medical - Nonbillable"/>
    <s v="Wound Care"/>
    <x v="0"/>
    <m/>
    <n v="5564.14"/>
    <n v="5061.7700000000004"/>
    <n v="4990.32"/>
    <n v="4673.42"/>
    <n v="4588.4399999999996"/>
    <n v="4638.76"/>
    <n v="5165.3100000000004"/>
    <n v="6725.34"/>
    <n v="5660.76"/>
    <n v="6382.31"/>
    <n v="6480.2"/>
    <n v="5431.65"/>
    <n v="65362.42"/>
    <n v="1048.5500000000002"/>
  </r>
  <r>
    <x v="11"/>
    <x v="6"/>
    <x v="0"/>
    <s v="5360107"/>
    <n v="721420"/>
    <s v="Supplies-Surgical Nonbillable"/>
    <s v="Wound Care"/>
    <x v="0"/>
    <m/>
    <n v="60.64"/>
    <n v="195"/>
    <n v="11.6"/>
    <n v="29"/>
    <n v="30.77"/>
    <n v="6.98"/>
    <n v="66.94"/>
    <n v="11.6"/>
    <n v="25.55"/>
    <n v="23.2"/>
    <n v="199.11"/>
    <n v="43.38"/>
    <n v="703.7700000000001"/>
    <n v="155.73000000000002"/>
  </r>
  <r>
    <x v="11"/>
    <x v="6"/>
    <x v="0"/>
    <s v="5360107"/>
    <n v="721420"/>
    <s v="Tubes Drains &amp; Related Supplies"/>
    <s v="Wound Care"/>
    <x v="0"/>
    <n v="1008"/>
    <n v="0"/>
    <n v="0"/>
    <n v="0"/>
    <n v="0"/>
    <n v="94.64"/>
    <n v="0"/>
    <n v="0"/>
    <n v="0"/>
    <n v="0"/>
    <n v="0"/>
    <n v="0"/>
    <n v="0"/>
    <n v="94.64"/>
    <n v="0"/>
  </r>
  <r>
    <x v="11"/>
    <x v="6"/>
    <x v="0"/>
    <s v="5360107"/>
    <n v="721420"/>
    <s v="Sterilization Process Products"/>
    <s v="Wound Care"/>
    <x v="0"/>
    <n v="1009"/>
    <n v="99.58"/>
    <n v="298.74"/>
    <n v="151.36000000000001"/>
    <n v="152.44999999999999"/>
    <n v="99.58"/>
    <n v="149.37"/>
    <n v="298.75"/>
    <n v="149.38"/>
    <n v="348.55"/>
    <n v="497.93"/>
    <n v="298.76"/>
    <n v="252.04"/>
    <n v="2796.49"/>
    <n v="46.72"/>
  </r>
  <r>
    <x v="11"/>
    <x v="6"/>
    <x v="0"/>
    <s v="5360107"/>
    <n v="721610"/>
    <s v="Supplies-Anesthesia - Nonbillable"/>
    <s v="Wound Care"/>
    <x v="0"/>
    <m/>
    <n v="0"/>
    <n v="-13.34"/>
    <n v="0"/>
    <n v="0"/>
    <n v="0"/>
    <n v="0"/>
    <n v="0"/>
    <n v="0"/>
    <n v="0"/>
    <n v="0"/>
    <n v="0"/>
    <n v="8.4499999999999993"/>
    <n v="-4.8900000000000006"/>
    <n v="-8.4499999999999993"/>
  </r>
  <r>
    <x v="11"/>
    <x v="6"/>
    <x v="0"/>
    <s v="5360107"/>
    <n v="721640"/>
    <s v="Supplies-IV Solutions/Supplies - Nonbillable"/>
    <s v="Wound Care"/>
    <x v="0"/>
    <m/>
    <n v="11.5"/>
    <n v="0"/>
    <n v="11.5"/>
    <n v="0"/>
    <n v="11.5"/>
    <n v="11.5"/>
    <n v="0"/>
    <n v="11.5"/>
    <n v="0"/>
    <n v="11.5"/>
    <n v="0"/>
    <n v="0"/>
    <n v="69"/>
    <n v="0"/>
  </r>
  <r>
    <x v="11"/>
    <x v="6"/>
    <x v="0"/>
    <s v="5360107"/>
    <n v="721710"/>
    <s v="Supplies-Laboratory - Nonbillable"/>
    <s v="Wound Care"/>
    <x v="0"/>
    <m/>
    <n v="196.49"/>
    <n v="394.05"/>
    <n v="354.83"/>
    <n v="363.15"/>
    <n v="347.18"/>
    <n v="180.69"/>
    <n v="570.76"/>
    <n v="175.36"/>
    <n v="206.81"/>
    <n v="187.39"/>
    <n v="1204.8499999999999"/>
    <n v="50.88"/>
    <n v="4232.4399999999996"/>
    <n v="1153.9699999999998"/>
  </r>
  <r>
    <x v="11"/>
    <x v="6"/>
    <x v="0"/>
    <s v="5360107"/>
    <n v="721710"/>
    <s v="Reagents"/>
    <s v="Wound Care"/>
    <x v="0"/>
    <n v="1000"/>
    <n v="0"/>
    <n v="0"/>
    <n v="0"/>
    <n v="0"/>
    <n v="0"/>
    <n v="0"/>
    <n v="0"/>
    <n v="0"/>
    <n v="0"/>
    <n v="0"/>
    <n v="238.7"/>
    <n v="0"/>
    <n v="238.7"/>
    <n v="238.7"/>
  </r>
  <r>
    <x v="11"/>
    <x v="6"/>
    <x v="0"/>
    <s v="5360107"/>
    <n v="721750"/>
    <s v="Supplies-Film/Radiographic - Nonbillable"/>
    <s v="Wound Care"/>
    <x v="0"/>
    <m/>
    <n v="0"/>
    <n v="0"/>
    <n v="3.75"/>
    <n v="0"/>
    <n v="0"/>
    <n v="0"/>
    <n v="3.75"/>
    <n v="0"/>
    <n v="4.68"/>
    <n v="0"/>
    <n v="0"/>
    <n v="0"/>
    <n v="12.18"/>
    <n v="0"/>
  </r>
  <r>
    <x v="11"/>
    <x v="6"/>
    <x v="0"/>
    <s v="5360107"/>
    <n v="721810"/>
    <s v="Supplies-Dietary/Cafeteria"/>
    <s v="Wound Care"/>
    <x v="0"/>
    <m/>
    <n v="959.1"/>
    <n v="884.94"/>
    <n v="703.76"/>
    <n v="864.91"/>
    <n v="1045.96"/>
    <n v="646.05999999999995"/>
    <n v="857.18"/>
    <n v="1118.69"/>
    <n v="795.31"/>
    <n v="712.12"/>
    <n v="1056.45"/>
    <n v="722.15"/>
    <n v="10366.630000000001"/>
    <n v="334.30000000000007"/>
  </r>
  <r>
    <x v="11"/>
    <x v="6"/>
    <x v="0"/>
    <s v="5360107"/>
    <n v="721830"/>
    <s v="Supplies-Office"/>
    <s v="Wound Care"/>
    <x v="0"/>
    <m/>
    <n v="27.2"/>
    <n v="28.5"/>
    <n v="107.49"/>
    <n v="5.0599999999999996"/>
    <n v="0"/>
    <n v="27.2"/>
    <n v="0"/>
    <n v="81.59"/>
    <n v="0"/>
    <n v="0"/>
    <n v="0"/>
    <n v="0"/>
    <n v="277.03999999999996"/>
    <n v="0"/>
  </r>
  <r>
    <x v="11"/>
    <x v="6"/>
    <x v="0"/>
    <s v="5360107"/>
    <n v="721835"/>
    <s v="Supplies-Forms"/>
    <s v="Wound Care"/>
    <x v="0"/>
    <m/>
    <n v="0"/>
    <n v="0"/>
    <n v="0"/>
    <n v="0"/>
    <n v="19.84"/>
    <n v="137.74"/>
    <n v="0"/>
    <n v="0"/>
    <n v="0"/>
    <n v="0"/>
    <n v="45.71"/>
    <n v="0"/>
    <n v="203.29000000000002"/>
    <n v="45.71"/>
  </r>
  <r>
    <x v="11"/>
    <x v="6"/>
    <x v="0"/>
    <s v="5360107"/>
    <n v="721870"/>
    <s v="Supplies-Environmental Services"/>
    <s v="Wound Care"/>
    <x v="0"/>
    <m/>
    <n v="141.84"/>
    <n v="327.02"/>
    <n v="141.84"/>
    <n v="246.25"/>
    <n v="302.93"/>
    <n v="177.48"/>
    <n v="302.02"/>
    <n v="175.33"/>
    <n v="245.62"/>
    <n v="297.02"/>
    <n v="305.52999999999997"/>
    <n v="437.7"/>
    <n v="3100.58"/>
    <n v="-132.17000000000002"/>
  </r>
  <r>
    <x v="11"/>
    <x v="6"/>
    <x v="0"/>
    <s v="5360107"/>
    <n v="721880"/>
    <s v="Supplies-Linen"/>
    <s v="Wound Care"/>
    <x v="0"/>
    <m/>
    <n v="36.68"/>
    <n v="36.68"/>
    <n v="73.36"/>
    <n v="36.68"/>
    <n v="0"/>
    <n v="0"/>
    <n v="0"/>
    <n v="0"/>
    <n v="0"/>
    <n v="0"/>
    <n v="0"/>
    <n v="0"/>
    <n v="183.4"/>
    <n v="0"/>
  </r>
  <r>
    <x v="11"/>
    <x v="6"/>
    <x v="0"/>
    <s v="5360107"/>
    <n v="721910"/>
    <s v="Supplies-Small Equipment"/>
    <s v="Wound Care"/>
    <x v="0"/>
    <m/>
    <n v="2553.8000000000002"/>
    <n v="247.33"/>
    <n v="-0.62"/>
    <n v="1.92"/>
    <n v="0"/>
    <n v="117.2"/>
    <n v="8.16"/>
    <n v="4.08"/>
    <n v="239.71"/>
    <n v="-215.63"/>
    <n v="1671.5"/>
    <n v="317.99"/>
    <n v="4945.4399999999996"/>
    <n v="1353.51"/>
  </r>
  <r>
    <x v="11"/>
    <x v="6"/>
    <x v="0"/>
    <s v="5360107"/>
    <n v="721910"/>
    <s v="Instruments"/>
    <s v="Wound Care"/>
    <x v="0"/>
    <n v="1000"/>
    <n v="1377.54"/>
    <n v="45.61"/>
    <n v="900.23"/>
    <n v="1466.63"/>
    <n v="182.44"/>
    <n v="1224.3"/>
    <n v="838.59"/>
    <n v="2033.51"/>
    <n v="1207.9000000000001"/>
    <n v="832"/>
    <n v="942.83"/>
    <n v="1435.69"/>
    <n v="12487.27"/>
    <n v="-492.86"/>
  </r>
  <r>
    <x v="11"/>
    <x v="6"/>
    <x v="0"/>
    <s v="5360107"/>
    <n v="721980"/>
    <s v="Supplies-Other"/>
    <s v="Wound Care"/>
    <x v="0"/>
    <m/>
    <n v="1335.79"/>
    <n v="1337.26"/>
    <n v="1327.86"/>
    <n v="23.93"/>
    <n v="32.15"/>
    <n v="95.9"/>
    <n v="0"/>
    <n v="0"/>
    <n v="0"/>
    <n v="0"/>
    <n v="0"/>
    <n v="0"/>
    <n v="4152.8899999999994"/>
    <n v="0"/>
  </r>
  <r>
    <x v="11"/>
    <x v="6"/>
    <x v="0"/>
    <s v="5360107"/>
    <n v="722000"/>
    <s v="Supplies-Freight Expense"/>
    <s v="Wound Care"/>
    <x v="0"/>
    <m/>
    <n v="0"/>
    <n v="14.01"/>
    <n v="0"/>
    <n v="29.81"/>
    <n v="0"/>
    <n v="0"/>
    <n v="45.25"/>
    <n v="144"/>
    <n v="288"/>
    <n v="15.91"/>
    <n v="95.91"/>
    <n v="25.15"/>
    <n v="658.03999999999985"/>
    <n v="70.759999999999991"/>
  </r>
  <r>
    <x v="12"/>
    <x v="6"/>
    <x v="0"/>
    <s v="5360107"/>
    <n v="730010"/>
    <s v="Rental and Leases-Building (DO NOT USE)"/>
    <s v="Wound Care"/>
    <x v="0"/>
    <m/>
    <n v="6994"/>
    <n v="2112"/>
    <n v="2112"/>
    <n v="2112"/>
    <n v="2112"/>
    <n v="1760"/>
    <n v="1760"/>
    <n v="1760"/>
    <n v="1760"/>
    <n v="0"/>
    <n v="0"/>
    <n v="0"/>
    <n v="22482"/>
    <n v="0"/>
  </r>
  <r>
    <x v="12"/>
    <x v="6"/>
    <x v="0"/>
    <s v="5360107"/>
    <n v="730010"/>
    <s v="Rental-Common Area Maint (DO NOT USE)"/>
    <s v="Wound Care"/>
    <x v="0"/>
    <n v="2200"/>
    <n v="0"/>
    <n v="0"/>
    <n v="0"/>
    <n v="0"/>
    <n v="0"/>
    <n v="352"/>
    <n v="352"/>
    <n v="730"/>
    <n v="453.2"/>
    <n v="0"/>
    <n v="0"/>
    <n v="0"/>
    <n v="1887.2"/>
    <n v="0"/>
  </r>
  <r>
    <x v="12"/>
    <x v="6"/>
    <x v="0"/>
    <s v="5360107"/>
    <n v="730020"/>
    <s v="Rental and Leases-Copier Usage Fees (DO NOT USE)"/>
    <s v="Wound Care"/>
    <x v="0"/>
    <n v="5100"/>
    <n v="609"/>
    <n v="611.55999999999995"/>
    <n v="610.28"/>
    <n v="610.28"/>
    <n v="610.28"/>
    <n v="610.28"/>
    <n v="439.78"/>
    <n v="399.48"/>
    <n v="398.64"/>
    <n v="983.67"/>
    <n v="399.48"/>
    <n v="455.74"/>
    <n v="6738.4699999999993"/>
    <n v="-56.259999999999991"/>
  </r>
  <r>
    <x v="15"/>
    <x v="6"/>
    <x v="0"/>
    <s v="5360107"/>
    <n v="731010"/>
    <s v="Natural Gas"/>
    <s v="Wound Care"/>
    <x v="0"/>
    <m/>
    <n v="18.3"/>
    <n v="21.22"/>
    <n v="22.16"/>
    <n v="51.28"/>
    <n v="93.52"/>
    <n v="160.01"/>
    <n v="248.15"/>
    <n v="240.92"/>
    <n v="182.55"/>
    <n v="77.680000000000007"/>
    <n v="51.8"/>
    <n v="32.36"/>
    <n v="1199.9499999999998"/>
    <n v="19.439999999999998"/>
  </r>
  <r>
    <x v="15"/>
    <x v="6"/>
    <x v="0"/>
    <s v="5360107"/>
    <n v="731020"/>
    <s v="Electricity"/>
    <s v="Wound Care"/>
    <x v="0"/>
    <m/>
    <n v="15.6"/>
    <n v="15.6"/>
    <n v="15.6"/>
    <n v="15.6"/>
    <n v="15.57"/>
    <n v="15.57"/>
    <n v="15.6"/>
    <n v="15.72"/>
    <n v="15.72"/>
    <n v="15.72"/>
    <n v="15.68"/>
    <n v="15.46"/>
    <n v="187.44"/>
    <n v="0.21999999999999886"/>
  </r>
  <r>
    <x v="15"/>
    <x v="6"/>
    <x v="0"/>
    <s v="5360107"/>
    <n v="731060"/>
    <s v="Telephone"/>
    <s v="Wound Care"/>
    <x v="0"/>
    <m/>
    <n v="224.22"/>
    <n v="148.47"/>
    <n v="79.55"/>
    <n v="72.95"/>
    <n v="153.44"/>
    <n v="161.07"/>
    <n v="299.29000000000002"/>
    <n v="72.92"/>
    <n v="150.01"/>
    <n v="157.16999999999999"/>
    <n v="149.4"/>
    <n v="149.41999999999999"/>
    <n v="1817.9100000000003"/>
    <n v="-1.999999999998181E-2"/>
  </r>
  <r>
    <x v="15"/>
    <x v="6"/>
    <x v="0"/>
    <s v="5360107"/>
    <n v="731060"/>
    <s v="Pagers"/>
    <s v="Wound Care"/>
    <x v="0"/>
    <n v="1002"/>
    <n v="25.22"/>
    <n v="25.22"/>
    <n v="25.22"/>
    <n v="25.28"/>
    <n v="0"/>
    <n v="25.28"/>
    <n v="50.56"/>
    <n v="25.28"/>
    <n v="25.28"/>
    <n v="25.28"/>
    <n v="25.28"/>
    <n v="25.28"/>
    <n v="303.17999999999995"/>
    <n v="0"/>
  </r>
  <r>
    <x v="16"/>
    <x v="6"/>
    <x v="0"/>
    <s v="5360107"/>
    <n v="732030"/>
    <s v="Repairs---Other"/>
    <s v="Wound Care"/>
    <x v="0"/>
    <m/>
    <n v="0"/>
    <n v="0"/>
    <n v="0"/>
    <n v="53.74"/>
    <n v="0"/>
    <n v="0"/>
    <n v="60.03"/>
    <n v="0"/>
    <n v="0"/>
    <n v="0"/>
    <n v="2326.31"/>
    <n v="-73.78"/>
    <n v="2366.2999999999997"/>
    <n v="2400.09"/>
  </r>
  <r>
    <x v="16"/>
    <x v="6"/>
    <x v="0"/>
    <s v="5360107"/>
    <n v="733030"/>
    <s v="Maintenance Contracts-Other"/>
    <s v="Wound Care"/>
    <x v="0"/>
    <m/>
    <n v="0"/>
    <n v="0"/>
    <n v="1174.02"/>
    <n v="777.21"/>
    <n v="2053.23"/>
    <n v="0"/>
    <n v="-436.45"/>
    <n v="941.65"/>
    <n v="1951.24"/>
    <n v="0"/>
    <n v="436.45"/>
    <n v="0"/>
    <n v="6897.3499999999995"/>
    <n v="436.45"/>
  </r>
  <r>
    <x v="13"/>
    <x v="6"/>
    <x v="0"/>
    <s v="5360107"/>
    <n v="735050"/>
    <s v="Amortization-Leasehold Improvements"/>
    <s v="Wound Care"/>
    <x v="0"/>
    <m/>
    <n v="10524.27"/>
    <n v="10524.24"/>
    <n v="10524.3"/>
    <n v="10524.23"/>
    <n v="10524.33"/>
    <n v="10524.22"/>
    <n v="10524.33"/>
    <n v="10524.2"/>
    <n v="10524.36"/>
    <n v="10524.16"/>
    <n v="10524.38"/>
    <n v="10524.15"/>
    <n v="126291.17"/>
    <n v="0.22999999999956344"/>
  </r>
  <r>
    <x v="13"/>
    <x v="6"/>
    <x v="0"/>
    <s v="5360107"/>
    <n v="735070"/>
    <s v="Depreciation-Movable Equipment"/>
    <s v="Wound Care"/>
    <x v="0"/>
    <m/>
    <n v="3064.65"/>
    <n v="3064.51"/>
    <n v="1353.38"/>
    <n v="1353.34"/>
    <n v="1353.38"/>
    <n v="1353.32"/>
    <n v="1330.98"/>
    <n v="1329.62"/>
    <n v="1329.69"/>
    <n v="1326.58"/>
    <n v="1326.7"/>
    <n v="1326.57"/>
    <n v="19512.719999999998"/>
    <n v="0.13000000000010914"/>
  </r>
  <r>
    <x v="0"/>
    <x v="6"/>
    <x v="0"/>
    <s v="5360107"/>
    <n v="749510"/>
    <s v="Miscellaneous Expenses"/>
    <s v="Wound Care"/>
    <x v="0"/>
    <m/>
    <n v="0"/>
    <n v="0"/>
    <n v="2643.58"/>
    <n v="0"/>
    <n v="2551.98"/>
    <n v="-126.68"/>
    <n v="0"/>
    <n v="0"/>
    <n v="0"/>
    <n v="0"/>
    <n v="0"/>
    <n v="0"/>
    <n v="5068.8799999999992"/>
    <n v="0"/>
  </r>
  <r>
    <x v="0"/>
    <x v="6"/>
    <x v="0"/>
    <s v="5360107"/>
    <n v="749510"/>
    <s v="Licenses"/>
    <s v="Wound Care"/>
    <x v="0"/>
    <n v="1002"/>
    <n v="0"/>
    <n v="0"/>
    <n v="75"/>
    <n v="0"/>
    <n v="0"/>
    <n v="0"/>
    <n v="0"/>
    <n v="0"/>
    <n v="0"/>
    <n v="0"/>
    <n v="150"/>
    <n v="0"/>
    <n v="225"/>
    <n v="150"/>
  </r>
  <r>
    <x v="0"/>
    <x v="6"/>
    <x v="0"/>
    <s v="5360107"/>
    <n v="749530"/>
    <s v="Travel"/>
    <s v="Wound Care"/>
    <x v="0"/>
    <m/>
    <n v="0"/>
    <n v="0"/>
    <n v="0"/>
    <n v="0"/>
    <n v="0"/>
    <n v="48.2"/>
    <n v="0"/>
    <n v="0"/>
    <n v="0"/>
    <n v="0"/>
    <n v="0"/>
    <n v="0"/>
    <n v="48.2"/>
    <n v="0"/>
  </r>
  <r>
    <x v="0"/>
    <x v="6"/>
    <x v="0"/>
    <s v="5360107"/>
    <n v="749530"/>
    <s v="Mileage"/>
    <s v="Wound Care"/>
    <x v="0"/>
    <n v="1001"/>
    <n v="0"/>
    <n v="0"/>
    <n v="0"/>
    <n v="0"/>
    <n v="0"/>
    <n v="86.11"/>
    <n v="0"/>
    <n v="0"/>
    <n v="0"/>
    <n v="16.239999999999998"/>
    <n v="0"/>
    <n v="0"/>
    <n v="102.35"/>
    <n v="0"/>
  </r>
  <r>
    <x v="18"/>
    <x v="3"/>
    <x v="0"/>
    <s v="5361101"/>
    <n v="400010"/>
    <s v="Acute I/P Svcs Rev--Medicare"/>
    <s v="Trauma Clinic"/>
    <x v="0"/>
    <n v="1100"/>
    <n v="0"/>
    <n v="0"/>
    <n v="0"/>
    <n v="0"/>
    <n v="0"/>
    <n v="-579.66999999999996"/>
    <n v="0"/>
    <n v="0"/>
    <n v="0"/>
    <n v="0"/>
    <n v="0"/>
    <n v="0"/>
    <n v="-579.66999999999996"/>
    <n v="0"/>
  </r>
  <r>
    <x v="18"/>
    <x v="3"/>
    <x v="0"/>
    <s v="5361101"/>
    <n v="400010"/>
    <s v="Acute I/P Svcs Rev--Medicaid"/>
    <s v="Trauma Clinic"/>
    <x v="0"/>
    <n v="1200"/>
    <n v="0"/>
    <n v="0"/>
    <n v="-154"/>
    <n v="-368"/>
    <n v="0"/>
    <n v="0"/>
    <n v="0"/>
    <n v="0"/>
    <n v="0"/>
    <n v="0"/>
    <n v="-375"/>
    <n v="0"/>
    <n v="-897"/>
    <n v="-375"/>
  </r>
  <r>
    <x v="18"/>
    <x v="3"/>
    <x v="0"/>
    <s v="5361101"/>
    <n v="400010"/>
    <s v="Acute I/P Svcs Rev--Managed Care"/>
    <s v="Trauma Clinic"/>
    <x v="0"/>
    <n v="1400"/>
    <n v="-214"/>
    <n v="0"/>
    <n v="0"/>
    <n v="0"/>
    <n v="-214"/>
    <n v="0"/>
    <n v="0"/>
    <n v="0"/>
    <n v="0"/>
    <n v="0"/>
    <n v="0"/>
    <n v="0"/>
    <n v="-428"/>
    <n v="0"/>
  </r>
  <r>
    <x v="19"/>
    <x v="3"/>
    <x v="0"/>
    <s v="5361101"/>
    <n v="400020"/>
    <s v="O/P Care Svcs Rev--Medicare"/>
    <s v="Trauma Clinic"/>
    <x v="0"/>
    <n v="1100"/>
    <n v="-7424"/>
    <n v="-8656"/>
    <n v="-6045"/>
    <n v="-6512"/>
    <n v="-6747"/>
    <n v="-4338"/>
    <n v="-7077.02"/>
    <n v="-4414"/>
    <n v="-6736.81"/>
    <n v="-12837.81"/>
    <n v="-7287"/>
    <n v="-9697.4"/>
    <n v="-87772.04"/>
    <n v="2410.3999999999996"/>
  </r>
  <r>
    <x v="19"/>
    <x v="3"/>
    <x v="0"/>
    <s v="5361101"/>
    <n v="400020"/>
    <s v="O/P Care Svcs Rev--Medicaid"/>
    <s v="Trauma Clinic"/>
    <x v="0"/>
    <n v="1200"/>
    <n v="-5027"/>
    <n v="-6920.73"/>
    <n v="-4432"/>
    <n v="-5252"/>
    <n v="-7121.39"/>
    <n v="-4713"/>
    <n v="-7479.02"/>
    <n v="-7179.11"/>
    <n v="-11973.7"/>
    <n v="-7816"/>
    <n v="-11057"/>
    <n v="-6071"/>
    <n v="-85041.95"/>
    <n v="-4986"/>
  </r>
  <r>
    <x v="19"/>
    <x v="3"/>
    <x v="0"/>
    <s v="5361101"/>
    <n v="400020"/>
    <s v="O/P Care Svcs Rev--Comm Insurance"/>
    <s v="Trauma Clinic"/>
    <x v="0"/>
    <n v="1300"/>
    <n v="266"/>
    <n v="-490"/>
    <n v="-630"/>
    <n v="-462"/>
    <n v="-469"/>
    <n v="-462"/>
    <n v="-1201.95"/>
    <n v="-458"/>
    <n v="-1741"/>
    <n v="-1575"/>
    <n v="-936.11"/>
    <n v="-2171"/>
    <n v="-10330.06"/>
    <n v="1234.8899999999999"/>
  </r>
  <r>
    <x v="19"/>
    <x v="3"/>
    <x v="0"/>
    <s v="5361101"/>
    <n v="400020"/>
    <s v="O/P Care Svcs Rev--BCBS Comm"/>
    <s v="Trauma Clinic"/>
    <x v="0"/>
    <n v="1301"/>
    <n v="-1078"/>
    <n v="-1446"/>
    <n v="-1424.42"/>
    <n v="-874"/>
    <n v="-522"/>
    <n v="-763"/>
    <n v="-2546"/>
    <n v="-2119"/>
    <n v="-2632.7"/>
    <n v="-2466.6999999999998"/>
    <n v="-2236"/>
    <n v="-2183"/>
    <n v="-20290.82"/>
    <n v="-53"/>
  </r>
  <r>
    <x v="19"/>
    <x v="3"/>
    <x v="0"/>
    <s v="5361101"/>
    <n v="400020"/>
    <s v="O/P Care Svcs Rev--Managed Care"/>
    <s v="Trauma Clinic"/>
    <x v="0"/>
    <n v="1400"/>
    <n v="-5078"/>
    <n v="-3924"/>
    <n v="-2738"/>
    <n v="-6008.95"/>
    <n v="-3000"/>
    <n v="-3722"/>
    <n v="-9393.75"/>
    <n v="-5134"/>
    <n v="-7086"/>
    <n v="-9349.7000000000007"/>
    <n v="-8028.4"/>
    <n v="-5646"/>
    <n v="-69108.799999999988"/>
    <n v="-2382.3999999999996"/>
  </r>
  <r>
    <x v="19"/>
    <x v="3"/>
    <x v="0"/>
    <s v="5361101"/>
    <n v="400020"/>
    <s v="O/P Care Svcs Rev--Self Pay"/>
    <s v="Trauma Clinic"/>
    <x v="0"/>
    <n v="1500"/>
    <n v="-637"/>
    <n v="-1446"/>
    <n v="-770"/>
    <n v="-1649.32"/>
    <n v="-359.68"/>
    <n v="-462"/>
    <n v="-389"/>
    <n v="-993"/>
    <n v="-530"/>
    <n v="-1879"/>
    <n v="-525"/>
    <n v="-1508"/>
    <n v="-11148"/>
    <n v="983"/>
  </r>
  <r>
    <x v="19"/>
    <x v="3"/>
    <x v="0"/>
    <s v="5361101"/>
    <n v="400020"/>
    <s v="O/P Care Svcs Rev--Other"/>
    <s v="Trauma Clinic"/>
    <x v="0"/>
    <n v="1700"/>
    <n v="-2472"/>
    <n v="-2122"/>
    <n v="-2377"/>
    <n v="-2213"/>
    <n v="-1901"/>
    <n v="-676"/>
    <n v="-1647"/>
    <n v="-2957"/>
    <n v="-3462"/>
    <n v="-3675"/>
    <n v="-3391"/>
    <n v="-154"/>
    <n v="-27047"/>
    <n v="-3237"/>
  </r>
  <r>
    <x v="5"/>
    <x v="3"/>
    <x v="0"/>
    <s v="5361101"/>
    <n v="700026"/>
    <s v="Salaries-RN-Productive"/>
    <s v="Trauma Clinic"/>
    <x v="0"/>
    <m/>
    <n v="5430.98"/>
    <n v="5931.79"/>
    <n v="4755.55"/>
    <n v="5541.24"/>
    <n v="7007.19"/>
    <n v="5182.83"/>
    <n v="7421.42"/>
    <n v="2673.44"/>
    <n v="14463.69"/>
    <n v="9889.2999999999993"/>
    <n v="9291.24"/>
    <n v="8569.81"/>
    <n v="86158.48"/>
    <n v="721.43000000000029"/>
  </r>
  <r>
    <x v="5"/>
    <x v="3"/>
    <x v="0"/>
    <s v="5361101"/>
    <n v="700026"/>
    <s v="Salaries-RN-OT"/>
    <s v="Trauma Clinic"/>
    <x v="0"/>
    <n v="1000"/>
    <n v="0"/>
    <n v="0"/>
    <n v="0"/>
    <n v="0"/>
    <n v="0"/>
    <n v="0"/>
    <n v="211.71"/>
    <n v="-18.78"/>
    <n v="17.55"/>
    <n v="0"/>
    <n v="0"/>
    <n v="203.85"/>
    <n v="414.33000000000004"/>
    <n v="-203.85"/>
  </r>
  <r>
    <x v="5"/>
    <x v="3"/>
    <x v="0"/>
    <s v="5361101"/>
    <n v="700026"/>
    <s v="Salaries-RN-Other"/>
    <s v="Trauma Clinic"/>
    <x v="0"/>
    <n v="2000"/>
    <n v="0"/>
    <n v="0"/>
    <n v="0"/>
    <n v="0"/>
    <n v="0"/>
    <n v="0"/>
    <n v="0"/>
    <n v="0"/>
    <n v="7.86"/>
    <n v="63.24"/>
    <n v="72.61"/>
    <n v="56.87"/>
    <n v="200.58"/>
    <n v="15.740000000000002"/>
  </r>
  <r>
    <x v="5"/>
    <x v="3"/>
    <x v="0"/>
    <s v="5361101"/>
    <n v="700030"/>
    <s v="Salaries-LPN-Productive"/>
    <s v="Trauma Clinic"/>
    <x v="0"/>
    <m/>
    <n v="0"/>
    <n v="0"/>
    <n v="0"/>
    <n v="0"/>
    <n v="0"/>
    <n v="0"/>
    <n v="0"/>
    <n v="0"/>
    <n v="91.72"/>
    <n v="0"/>
    <n v="0"/>
    <n v="0"/>
    <n v="91.72"/>
    <n v="0"/>
  </r>
  <r>
    <x v="5"/>
    <x v="3"/>
    <x v="0"/>
    <s v="5361101"/>
    <n v="700032"/>
    <s v="Salaries-Other Pat Care Providers-Productive"/>
    <s v="Trauma Clinic"/>
    <x v="0"/>
    <m/>
    <n v="2248.66"/>
    <n v="2282.8000000000002"/>
    <n v="2523.25"/>
    <n v="2603.14"/>
    <n v="221.54"/>
    <n v="600.58000000000004"/>
    <n v="326.58"/>
    <n v="161.01"/>
    <n v="514.24"/>
    <n v="78.08"/>
    <n v="129.28"/>
    <n v="47.01"/>
    <n v="11736.170000000002"/>
    <n v="82.27000000000001"/>
  </r>
  <r>
    <x v="5"/>
    <x v="3"/>
    <x v="0"/>
    <s v="5361101"/>
    <n v="700034"/>
    <s v="Salaries-Tech/Professional-Productive"/>
    <s v="Trauma Clinic"/>
    <x v="0"/>
    <m/>
    <n v="0"/>
    <n v="0"/>
    <n v="0"/>
    <n v="0"/>
    <n v="169.76"/>
    <n v="-43.84"/>
    <n v="0"/>
    <n v="0"/>
    <n v="0"/>
    <n v="0"/>
    <n v="0"/>
    <n v="0"/>
    <n v="125.91999999999999"/>
    <n v="0"/>
  </r>
  <r>
    <x v="5"/>
    <x v="3"/>
    <x v="0"/>
    <s v="5361101"/>
    <n v="700038"/>
    <s v="Salaries-Service/Support-Productive"/>
    <s v="Trauma Clinic"/>
    <x v="0"/>
    <m/>
    <n v="0"/>
    <n v="0"/>
    <n v="0"/>
    <n v="0"/>
    <n v="0"/>
    <n v="51"/>
    <n v="0"/>
    <n v="0"/>
    <n v="714.06"/>
    <n v="0"/>
    <n v="246.24"/>
    <n v="-118.55"/>
    <n v="892.75"/>
    <n v="364.79"/>
  </r>
  <r>
    <x v="5"/>
    <x v="3"/>
    <x v="0"/>
    <s v="5361101"/>
    <n v="700066"/>
    <s v="Salaries-RN-Non-productive"/>
    <s v="Trauma Clinic"/>
    <x v="0"/>
    <m/>
    <n v="775.85"/>
    <n v="275.35000000000002"/>
    <n v="1251.4100000000001"/>
    <n v="791.61"/>
    <n v="-282.22000000000003"/>
    <n v="1180.18"/>
    <n v="645.71"/>
    <n v="507.74"/>
    <n v="-133.6"/>
    <n v="0"/>
    <n v="0"/>
    <n v="0"/>
    <n v="5012.03"/>
    <n v="0"/>
  </r>
  <r>
    <x v="5"/>
    <x v="3"/>
    <x v="0"/>
    <s v="5361101"/>
    <n v="700072"/>
    <s v="Salaries-Other Pat Care Providers-Non-productive"/>
    <s v="Trauma Clinic"/>
    <x v="0"/>
    <m/>
    <n v="443.94"/>
    <n v="169.12"/>
    <n v="417.52"/>
    <n v="181.92"/>
    <n v="-68.41"/>
    <n v="0"/>
    <n v="0"/>
    <n v="0"/>
    <n v="0"/>
    <n v="0"/>
    <n v="0"/>
    <n v="0"/>
    <n v="1144.0899999999999"/>
    <n v="0"/>
  </r>
  <r>
    <x v="5"/>
    <x v="3"/>
    <x v="0"/>
    <s v="5361101"/>
    <n v="700072"/>
    <s v="Salaries-Other Pat Care Providers-NonProd-Other"/>
    <s v="Trauma Clini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361101"/>
    <n v="700084"/>
    <s v="Accrued PTO"/>
    <s v="Trauma Clinic"/>
    <x v="0"/>
    <m/>
    <n v="-109.14"/>
    <n v="439.65"/>
    <n v="-509.56"/>
    <n v="257.52999999999997"/>
    <n v="663.18"/>
    <n v="0"/>
    <n v="0"/>
    <n v="0"/>
    <n v="0"/>
    <n v="0"/>
    <n v="0"/>
    <n v="0"/>
    <n v="741.65999999999985"/>
    <n v="0"/>
  </r>
  <r>
    <x v="10"/>
    <x v="3"/>
    <x v="0"/>
    <s v="5361101"/>
    <n v="710060"/>
    <s v="Contract Labor-Other"/>
    <s v="Trauma Clinic"/>
    <x v="0"/>
    <m/>
    <n v="0"/>
    <n v="0"/>
    <n v="0"/>
    <n v="0"/>
    <n v="0"/>
    <n v="0"/>
    <n v="0"/>
    <n v="3600"/>
    <n v="0"/>
    <n v="0"/>
    <n v="0"/>
    <n v="0"/>
    <n v="3600"/>
    <n v="0"/>
  </r>
  <r>
    <x v="10"/>
    <x v="3"/>
    <x v="0"/>
    <s v="5361101"/>
    <n v="710060"/>
    <s v="Contract Labor-Overtime"/>
    <s v="Trauma Clinic"/>
    <x v="0"/>
    <n v="5100"/>
    <n v="0"/>
    <n v="0"/>
    <n v="0"/>
    <n v="0"/>
    <n v="0"/>
    <n v="0"/>
    <n v="0"/>
    <n v="1002.38"/>
    <n v="0"/>
    <n v="0"/>
    <n v="0"/>
    <n v="0"/>
    <n v="1002.38"/>
    <n v="0"/>
  </r>
  <r>
    <x v="6"/>
    <x v="3"/>
    <x v="0"/>
    <s v="5361101"/>
    <n v="713010"/>
    <s v="Benefits-FICA/Medicare"/>
    <s v="Trauma Clinic"/>
    <x v="0"/>
    <m/>
    <n v="653.82000000000005"/>
    <n v="635.44000000000005"/>
    <n v="658.4"/>
    <n v="670.56"/>
    <n v="567.12"/>
    <n v="529.79"/>
    <n v="653.72"/>
    <n v="251.45"/>
    <n v="1175.97"/>
    <n v="733.78"/>
    <n v="696.83"/>
    <n v="627.32000000000005"/>
    <n v="7854.2"/>
    <n v="69.509999999999991"/>
  </r>
  <r>
    <x v="6"/>
    <x v="3"/>
    <x v="0"/>
    <s v="5361101"/>
    <n v="713090"/>
    <s v="Benefits-Allocated Amounts"/>
    <s v="Trauma Clinic"/>
    <x v="0"/>
    <m/>
    <n v="2110.4299999999998"/>
    <n v="1881.26"/>
    <n v="2184.9499999999998"/>
    <n v="2113.4299999999998"/>
    <n v="1382.24"/>
    <n v="1383.75"/>
    <n v="1611.99"/>
    <n v="1010.22"/>
    <n v="2583.7199999999998"/>
    <n v="1918.58"/>
    <n v="2097.59"/>
    <n v="1618.66"/>
    <n v="21896.82"/>
    <n v="478.93000000000006"/>
  </r>
  <r>
    <x v="7"/>
    <x v="3"/>
    <x v="0"/>
    <s v="5361101"/>
    <n v="718050"/>
    <s v="Document Shredding/Storage"/>
    <s v="Trauma Clinic"/>
    <x v="0"/>
    <n v="1012"/>
    <n v="0.35"/>
    <n v="0.32"/>
    <n v="0.34"/>
    <n v="0.34"/>
    <n v="0.34"/>
    <n v="0.34"/>
    <n v="0.33"/>
    <n v="0.31"/>
    <n v="0.31"/>
    <n v="0.39"/>
    <n v="0.34"/>
    <n v="19.91"/>
    <n v="23.62"/>
    <n v="-19.57"/>
  </r>
  <r>
    <x v="7"/>
    <x v="3"/>
    <x v="0"/>
    <s v="5361101"/>
    <n v="718050"/>
    <s v="Miscellaneous Purchased Svcs"/>
    <s v="Trauma Clinic"/>
    <x v="0"/>
    <n v="1020"/>
    <n v="0"/>
    <n v="0"/>
    <n v="0"/>
    <n v="0"/>
    <n v="0"/>
    <n v="0"/>
    <n v="0"/>
    <n v="0"/>
    <n v="275.25"/>
    <n v="0"/>
    <n v="0"/>
    <n v="3341.13"/>
    <n v="3616.38"/>
    <n v="-3341.13"/>
  </r>
  <r>
    <x v="7"/>
    <x v="3"/>
    <x v="0"/>
    <s v="5361101"/>
    <n v="718050"/>
    <s v="Translation Services"/>
    <s v="Trauma Clinic"/>
    <x v="0"/>
    <n v="1025"/>
    <n v="0"/>
    <n v="34.83"/>
    <n v="98.82"/>
    <n v="47.4"/>
    <n v="0"/>
    <n v="0"/>
    <n v="0"/>
    <n v="0"/>
    <n v="0"/>
    <n v="0"/>
    <n v="0"/>
    <n v="0"/>
    <n v="181.04999999999998"/>
    <n v="0"/>
  </r>
  <r>
    <x v="11"/>
    <x v="3"/>
    <x v="0"/>
    <s v="5361101"/>
    <n v="721010"/>
    <s v="Supplies-Medical - Billable"/>
    <s v="Trauma Clinic"/>
    <x v="0"/>
    <m/>
    <n v="25.57"/>
    <n v="-64.819999999999993"/>
    <n v="38.44"/>
    <n v="4.9800000000000004"/>
    <n v="23.06"/>
    <n v="539.01"/>
    <n v="80.84"/>
    <n v="0"/>
    <n v="-492.43"/>
    <n v="0"/>
    <n v="0"/>
    <n v="0"/>
    <n v="154.65000000000003"/>
    <n v="0"/>
  </r>
  <r>
    <x v="11"/>
    <x v="3"/>
    <x v="0"/>
    <s v="5361101"/>
    <n v="721020"/>
    <s v="Supplies-Surgical - Billable"/>
    <s v="Trauma Clinic"/>
    <x v="0"/>
    <m/>
    <n v="0"/>
    <n v="-17"/>
    <n v="0"/>
    <n v="0"/>
    <n v="0"/>
    <n v="0"/>
    <n v="8.5"/>
    <n v="0"/>
    <n v="-30.33"/>
    <n v="0"/>
    <n v="0"/>
    <n v="0"/>
    <n v="-38.83"/>
    <n v="0"/>
  </r>
  <r>
    <x v="11"/>
    <x v="3"/>
    <x v="0"/>
    <s v="5361101"/>
    <n v="721020"/>
    <s v="Suture/Wound Closure"/>
    <s v="Trauma Clinic"/>
    <x v="0"/>
    <n v="1001"/>
    <n v="0"/>
    <n v="0"/>
    <n v="0"/>
    <n v="0"/>
    <n v="0"/>
    <n v="0"/>
    <n v="0"/>
    <n v="0"/>
    <n v="-102.94"/>
    <n v="0"/>
    <n v="0"/>
    <n v="0"/>
    <n v="-102.94"/>
    <n v="0"/>
  </r>
  <r>
    <x v="11"/>
    <x v="3"/>
    <x v="0"/>
    <s v="5361101"/>
    <n v="721240"/>
    <s v="Supplies-IV Solutions/Supplies - Billable"/>
    <s v="Trauma Clinic"/>
    <x v="0"/>
    <m/>
    <n v="0"/>
    <n v="5.81"/>
    <n v="0"/>
    <n v="0"/>
    <n v="0"/>
    <n v="0"/>
    <n v="0"/>
    <n v="0"/>
    <n v="0"/>
    <n v="0"/>
    <n v="0"/>
    <n v="0"/>
    <n v="5.81"/>
    <n v="0"/>
  </r>
  <r>
    <x v="11"/>
    <x v="3"/>
    <x v="0"/>
    <s v="5361101"/>
    <n v="721410"/>
    <s v="Supplies-Medical - Nonbillable"/>
    <s v="Trauma Clinic"/>
    <x v="0"/>
    <m/>
    <n v="60.3"/>
    <n v="30.77"/>
    <n v="43.69"/>
    <n v="17.16"/>
    <n v="39.4"/>
    <n v="48.3"/>
    <n v="72.260000000000005"/>
    <n v="10"/>
    <n v="-187.3"/>
    <n v="0"/>
    <n v="0"/>
    <n v="0"/>
    <n v="134.57999999999998"/>
    <n v="0"/>
  </r>
  <r>
    <x v="11"/>
    <x v="3"/>
    <x v="0"/>
    <s v="5361101"/>
    <n v="721420"/>
    <s v="Supplies-Surgical Nonbillable"/>
    <s v="Trauma Clinic"/>
    <x v="0"/>
    <m/>
    <n v="12.87"/>
    <n v="-3.4"/>
    <n v="17.16"/>
    <n v="8.58"/>
    <n v="11.44"/>
    <n v="5.72"/>
    <n v="8.58"/>
    <n v="0"/>
    <n v="-28.67"/>
    <n v="0"/>
    <n v="0"/>
    <n v="0"/>
    <n v="32.279999999999994"/>
    <n v="0"/>
  </r>
  <r>
    <x v="11"/>
    <x v="3"/>
    <x v="0"/>
    <s v="5361101"/>
    <n v="721420"/>
    <s v="Sterilization Process Products"/>
    <s v="Trauma Clinic"/>
    <x v="0"/>
    <n v="1009"/>
    <n v="0"/>
    <n v="0"/>
    <n v="0"/>
    <n v="36.54"/>
    <n v="0"/>
    <n v="0"/>
    <n v="0"/>
    <n v="0"/>
    <n v="0"/>
    <n v="0"/>
    <n v="0"/>
    <n v="0"/>
    <n v="36.54"/>
    <n v="0"/>
  </r>
  <r>
    <x v="11"/>
    <x v="3"/>
    <x v="0"/>
    <s v="5361101"/>
    <n v="721640"/>
    <s v="Supplies-IV Solutions/Supplies - Nonbillable"/>
    <s v="Trauma Clinic"/>
    <x v="0"/>
    <m/>
    <n v="0"/>
    <n v="0"/>
    <n v="0"/>
    <n v="0"/>
    <n v="0"/>
    <n v="0"/>
    <n v="0"/>
    <n v="0"/>
    <n v="-3.11"/>
    <n v="0"/>
    <n v="0"/>
    <n v="0"/>
    <n v="-3.11"/>
    <n v="0"/>
  </r>
  <r>
    <x v="11"/>
    <x v="3"/>
    <x v="0"/>
    <s v="5361101"/>
    <n v="721650"/>
    <s v="Supplies-Pharmacy Drugs - Nonbillable"/>
    <s v="Trauma Clinic"/>
    <x v="0"/>
    <m/>
    <n v="0"/>
    <n v="0"/>
    <n v="7.25"/>
    <n v="0"/>
    <n v="0"/>
    <n v="0.5"/>
    <n v="0.5"/>
    <n v="0"/>
    <n v="-0.63"/>
    <n v="0"/>
    <n v="0"/>
    <n v="0"/>
    <n v="7.62"/>
    <n v="0"/>
  </r>
  <r>
    <x v="11"/>
    <x v="3"/>
    <x v="0"/>
    <s v="5361101"/>
    <n v="721710"/>
    <s v="Supplies-Laboratory - Nonbillable"/>
    <s v="Trauma Clinic"/>
    <x v="0"/>
    <m/>
    <n v="0.53"/>
    <n v="0"/>
    <n v="2.93"/>
    <n v="7.8"/>
    <n v="0"/>
    <n v="0"/>
    <n v="11.52"/>
    <n v="0"/>
    <n v="-12.18"/>
    <n v="0"/>
    <n v="0"/>
    <n v="0"/>
    <n v="10.600000000000001"/>
    <n v="0"/>
  </r>
  <r>
    <x v="11"/>
    <x v="3"/>
    <x v="0"/>
    <s v="5361101"/>
    <n v="721810"/>
    <s v="Supplies-Dietary/Cafeteria"/>
    <s v="Trauma Clinic"/>
    <x v="0"/>
    <m/>
    <n v="37.51"/>
    <n v="35.340000000000003"/>
    <n v="45.36"/>
    <n v="0"/>
    <n v="0"/>
    <n v="43.19"/>
    <n v="43.19"/>
    <n v="0"/>
    <n v="0"/>
    <n v="0"/>
    <n v="0"/>
    <n v="0"/>
    <n v="204.58999999999997"/>
    <n v="0"/>
  </r>
  <r>
    <x v="11"/>
    <x v="3"/>
    <x v="0"/>
    <s v="5361101"/>
    <n v="721830"/>
    <s v="Supplies-Office"/>
    <s v="Trauma Clinic"/>
    <x v="0"/>
    <m/>
    <n v="465.95"/>
    <n v="70.010000000000005"/>
    <n v="223.4"/>
    <n v="120.77"/>
    <n v="0"/>
    <n v="357.89"/>
    <n v="103.91"/>
    <n v="0"/>
    <n v="0"/>
    <n v="0"/>
    <n v="0"/>
    <n v="0"/>
    <n v="1341.93"/>
    <n v="0"/>
  </r>
  <r>
    <x v="11"/>
    <x v="3"/>
    <x v="0"/>
    <s v="5361101"/>
    <n v="721835"/>
    <s v="Supplies-Forms"/>
    <s v="Trauma Clinic"/>
    <x v="0"/>
    <m/>
    <n v="0"/>
    <n v="0"/>
    <n v="0"/>
    <n v="0"/>
    <n v="0"/>
    <n v="0"/>
    <n v="0"/>
    <n v="0"/>
    <n v="5.65"/>
    <n v="0"/>
    <n v="19"/>
    <n v="0"/>
    <n v="24.65"/>
    <n v="19"/>
  </r>
  <r>
    <x v="11"/>
    <x v="3"/>
    <x v="0"/>
    <s v="5361101"/>
    <n v="721870"/>
    <s v="Supplies-Environmental Services"/>
    <s v="Trauma Clinic"/>
    <x v="0"/>
    <m/>
    <n v="14.4"/>
    <n v="0"/>
    <n v="29.74"/>
    <n v="39.46"/>
    <n v="0"/>
    <n v="12.07"/>
    <n v="9.6"/>
    <n v="0"/>
    <n v="-9.6"/>
    <n v="0"/>
    <n v="0"/>
    <n v="0"/>
    <n v="95.669999999999987"/>
    <n v="0"/>
  </r>
  <r>
    <x v="11"/>
    <x v="3"/>
    <x v="0"/>
    <s v="5361101"/>
    <n v="721880"/>
    <s v="Supplies-Linen"/>
    <s v="Trauma Clinic"/>
    <x v="0"/>
    <m/>
    <n v="0"/>
    <n v="12.26"/>
    <n v="-10.8"/>
    <n v="11.58"/>
    <n v="0"/>
    <n v="9.18"/>
    <n v="9.18"/>
    <n v="0"/>
    <n v="0"/>
    <n v="0"/>
    <n v="0"/>
    <n v="0"/>
    <n v="31.4"/>
    <n v="0"/>
  </r>
  <r>
    <x v="11"/>
    <x v="3"/>
    <x v="0"/>
    <s v="5361101"/>
    <n v="721910"/>
    <s v="Instruments"/>
    <s v="Trauma Clinic"/>
    <x v="0"/>
    <n v="1000"/>
    <n v="10"/>
    <n v="20"/>
    <n v="0"/>
    <n v="0"/>
    <n v="0"/>
    <n v="10"/>
    <n v="44"/>
    <n v="16"/>
    <n v="-21.95"/>
    <n v="0"/>
    <n v="0"/>
    <n v="0"/>
    <n v="78.05"/>
    <n v="0"/>
  </r>
  <r>
    <x v="11"/>
    <x v="3"/>
    <x v="0"/>
    <s v="5361101"/>
    <n v="721980"/>
    <s v="Supplies-Other"/>
    <s v="Trauma Clinic"/>
    <x v="0"/>
    <m/>
    <n v="0"/>
    <n v="0"/>
    <n v="0"/>
    <n v="0"/>
    <n v="0"/>
    <n v="0"/>
    <n v="0"/>
    <n v="0"/>
    <n v="0"/>
    <n v="1772.71"/>
    <n v="0"/>
    <n v="0"/>
    <n v="1772.71"/>
    <n v="0"/>
  </r>
  <r>
    <x v="11"/>
    <x v="3"/>
    <x v="0"/>
    <s v="5361101"/>
    <n v="722000"/>
    <s v="Supplies-Freight Expense"/>
    <s v="Trauma Clinic"/>
    <x v="0"/>
    <m/>
    <n v="0"/>
    <n v="0"/>
    <n v="0"/>
    <n v="0"/>
    <n v="0"/>
    <n v="0"/>
    <n v="8.3800000000000008"/>
    <n v="0"/>
    <n v="0"/>
    <n v="0"/>
    <n v="0"/>
    <n v="0"/>
    <n v="8.3800000000000008"/>
    <n v="0"/>
  </r>
  <r>
    <x v="11"/>
    <x v="3"/>
    <x v="0"/>
    <s v="5361101"/>
    <n v="722000"/>
    <s v="Minimum Order Fees"/>
    <s v="Trauma Clinic"/>
    <x v="0"/>
    <n v="1000"/>
    <n v="0"/>
    <n v="0"/>
    <n v="0"/>
    <n v="5"/>
    <n v="0"/>
    <n v="0"/>
    <n v="0"/>
    <n v="0"/>
    <n v="0"/>
    <n v="0"/>
    <n v="0"/>
    <n v="0"/>
    <n v="5"/>
    <n v="0"/>
  </r>
  <r>
    <x v="12"/>
    <x v="3"/>
    <x v="0"/>
    <s v="5361101"/>
    <n v="730010"/>
    <s v="Rental and Leases-Building (DO NOT USE)"/>
    <s v="Trauma Clinic"/>
    <x v="0"/>
    <m/>
    <n v="7900.18"/>
    <n v="7900.18"/>
    <n v="7900.18"/>
    <n v="7900.18"/>
    <n v="7900.18"/>
    <n v="7900.18"/>
    <n v="7900.18"/>
    <n v="7900.18"/>
    <n v="7900.18"/>
    <n v="7900.18"/>
    <n v="7900.18"/>
    <n v="7900.18"/>
    <n v="94802.159999999974"/>
    <n v="0"/>
  </r>
  <r>
    <x v="12"/>
    <x v="3"/>
    <x v="0"/>
    <s v="5361101"/>
    <n v="730020"/>
    <s v="Rental and Leases-Copier Usage Fees (DO NOT USE)"/>
    <s v="Trauma Clinic"/>
    <x v="0"/>
    <n v="5100"/>
    <n v="211.42"/>
    <n v="217.93"/>
    <n v="214.68"/>
    <n v="214.68"/>
    <n v="214.67"/>
    <n v="214.68"/>
    <n v="236.32"/>
    <n v="203.92"/>
    <n v="204.22"/>
    <n v="205.35"/>
    <n v="203.92"/>
    <n v="249.29"/>
    <n v="2591.0800000000004"/>
    <n v="-45.370000000000005"/>
  </r>
  <r>
    <x v="13"/>
    <x v="3"/>
    <x v="0"/>
    <s v="5361101"/>
    <n v="735070"/>
    <s v="Depreciation-Movable Equipment"/>
    <s v="Trauma Clinic"/>
    <x v="0"/>
    <m/>
    <n v="145.63"/>
    <n v="145.63"/>
    <n v="145.63999999999999"/>
    <n v="145.63"/>
    <n v="145.63999999999999"/>
    <n v="145.62"/>
    <n v="145.63999999999999"/>
    <n v="145.62"/>
    <n v="145.63999999999999"/>
    <n v="145.62"/>
    <n v="145.63999999999999"/>
    <n v="145.62"/>
    <n v="1747.5699999999997"/>
    <n v="1.999999999998181E-2"/>
  </r>
  <r>
    <x v="0"/>
    <x v="3"/>
    <x v="0"/>
    <s v="5361101"/>
    <n v="749510"/>
    <s v="Licenses"/>
    <s v="Trauma Clinic"/>
    <x v="0"/>
    <n v="1002"/>
    <n v="265"/>
    <n v="0"/>
    <n v="0"/>
    <n v="0"/>
    <n v="0"/>
    <n v="0"/>
    <n v="0"/>
    <n v="0"/>
    <n v="0"/>
    <n v="0"/>
    <n v="0"/>
    <n v="0"/>
    <n v="265"/>
    <n v="0"/>
  </r>
  <r>
    <x v="0"/>
    <x v="3"/>
    <x v="0"/>
    <s v="5361101"/>
    <n v="749510"/>
    <s v="RICE Rewards"/>
    <s v="Trauma Clinic"/>
    <x v="0"/>
    <n v="5100"/>
    <n v="0"/>
    <n v="0"/>
    <n v="0"/>
    <n v="0"/>
    <n v="0"/>
    <n v="0"/>
    <n v="0"/>
    <n v="0"/>
    <n v="0"/>
    <n v="0"/>
    <n v="0"/>
    <n v="51.54"/>
    <n v="51.54"/>
    <n v="-51.54"/>
  </r>
  <r>
    <x v="18"/>
    <x v="3"/>
    <x v="0"/>
    <s v="5390101"/>
    <n v="400010"/>
    <s v="Acute I/P Svcs Rev--Medicare"/>
    <s v="Periop Surgical Home"/>
    <x v="0"/>
    <n v="1100"/>
    <n v="-281"/>
    <n v="-295"/>
    <n v="-940.32"/>
    <n v="0"/>
    <n v="-2500.2800000000002"/>
    <n v="0"/>
    <n v="0"/>
    <n v="-645.32000000000005"/>
    <n v="-525"/>
    <n v="0"/>
    <n v="-304"/>
    <n v="0"/>
    <n v="-5490.92"/>
    <n v="-304"/>
  </r>
  <r>
    <x v="18"/>
    <x v="3"/>
    <x v="0"/>
    <s v="5390101"/>
    <n v="400010"/>
    <s v="Acute I/P Svcs Rev--Other"/>
    <s v="Periop Surgical Home"/>
    <x v="0"/>
    <n v="1700"/>
    <n v="0"/>
    <n v="0"/>
    <n v="0"/>
    <n v="-645.32000000000005"/>
    <n v="0"/>
    <n v="0"/>
    <n v="0"/>
    <n v="0"/>
    <n v="0"/>
    <n v="0"/>
    <n v="0"/>
    <n v="0"/>
    <n v="-645.32000000000005"/>
    <n v="0"/>
  </r>
  <r>
    <x v="19"/>
    <x v="3"/>
    <x v="0"/>
    <s v="5390101"/>
    <n v="400020"/>
    <s v="O/P Care Svcs Rev--Medicare"/>
    <s v="Periop Surgical Home"/>
    <x v="0"/>
    <n v="1100"/>
    <n v="-31713.08"/>
    <n v="-22006.880000000001"/>
    <n v="-36818"/>
    <n v="-42518.559999999998"/>
    <n v="-15159.52"/>
    <n v="-17627.04"/>
    <n v="-31444.76"/>
    <n v="-20419.04"/>
    <n v="-27929.16"/>
    <n v="-25857.88"/>
    <n v="-28841.52"/>
    <n v="-20964.28"/>
    <n v="-321299.72000000009"/>
    <n v="-7877.2400000000016"/>
  </r>
  <r>
    <x v="19"/>
    <x v="3"/>
    <x v="0"/>
    <s v="5390101"/>
    <n v="400020"/>
    <s v="O/P Care Svcs Rev--Medicaid"/>
    <s v="Periop Surgical Home"/>
    <x v="0"/>
    <n v="1200"/>
    <n v="-4050.24"/>
    <n v="-4166.92"/>
    <n v="-1599.32"/>
    <n v="-6235.88"/>
    <n v="-1663.32"/>
    <n v="-1880.64"/>
    <n v="-8455.8799999999992"/>
    <n v="-5592.6"/>
    <n v="-5409.24"/>
    <n v="-11823.12"/>
    <n v="-9989.48"/>
    <n v="-9869.7999999999993"/>
    <n v="-70736.44"/>
    <n v="-119.68000000000029"/>
  </r>
  <r>
    <x v="19"/>
    <x v="3"/>
    <x v="0"/>
    <s v="5390101"/>
    <n v="400020"/>
    <s v="O/P Care Svcs Rev--Comm Insurance"/>
    <s v="Periop Surgical Home"/>
    <x v="0"/>
    <n v="1300"/>
    <n v="-940.32"/>
    <n v="-2200.2800000000002"/>
    <n v="-995.64"/>
    <n v="-676"/>
    <n v="-885"/>
    <n v="-645.32000000000005"/>
    <n v="-1935.96"/>
    <n v="-1612.64"/>
    <n v="0"/>
    <n v="-2257.96"/>
    <n v="-1953.96"/>
    <n v="-1308.6400000000001"/>
    <n v="-15411.719999999998"/>
    <n v="-645.31999999999994"/>
  </r>
  <r>
    <x v="19"/>
    <x v="3"/>
    <x v="0"/>
    <s v="5390101"/>
    <n v="400020"/>
    <s v="O/P Care Svcs Rev--BCBS Comm"/>
    <s v="Periop Surgical Home"/>
    <x v="0"/>
    <n v="1301"/>
    <n v="-2581.2800000000002"/>
    <n v="-1880.64"/>
    <n v="-4517.24"/>
    <n v="-3704.92"/>
    <n v="-2144.96"/>
    <n v="-2230.96"/>
    <n v="-3521.6"/>
    <n v="-1769.32"/>
    <n v="-2800.96"/>
    <n v="-4450.92"/>
    <n v="-1612.64"/>
    <n v="-2921.28"/>
    <n v="-34136.719999999994"/>
    <n v="1308.6400000000001"/>
  </r>
  <r>
    <x v="19"/>
    <x v="3"/>
    <x v="0"/>
    <s v="5390101"/>
    <n v="400020"/>
    <s v="O/P Care Svcs Rev--Managed Care"/>
    <s v="Periop Surgical Home"/>
    <x v="0"/>
    <n v="1400"/>
    <n v="-11326.8"/>
    <n v="-8253.8799999999992"/>
    <n v="-5144.92"/>
    <n v="-9788.16"/>
    <n v="-5800.6"/>
    <n v="-4380.92"/>
    <n v="-9026.16"/>
    <n v="-9123.16"/>
    <n v="-3575.6"/>
    <n v="-8210.2000000000007"/>
    <n v="-6902.2"/>
    <n v="-13219.08"/>
    <n v="-94751.679999999993"/>
    <n v="6316.88"/>
  </r>
  <r>
    <x v="19"/>
    <x v="3"/>
    <x v="0"/>
    <s v="5390101"/>
    <n v="400020"/>
    <s v="O/P Care Svcs Rev--Self Pay"/>
    <s v="Periop Surgical Home"/>
    <x v="0"/>
    <n v="1500"/>
    <n v="0"/>
    <n v="-645.32000000000005"/>
    <n v="0"/>
    <n v="0"/>
    <n v="-1209.6400000000001"/>
    <n v="645.32000000000005"/>
    <n v="-645.32000000000005"/>
    <n v="-304"/>
    <n v="0"/>
    <n v="0"/>
    <n v="-9"/>
    <n v="0"/>
    <n v="-2167.96"/>
    <n v="-9"/>
  </r>
  <r>
    <x v="19"/>
    <x v="3"/>
    <x v="0"/>
    <s v="5390101"/>
    <n v="400020"/>
    <s v="O/P Care Svcs Rev--Other"/>
    <s v="Periop Surgical Home"/>
    <x v="0"/>
    <n v="1700"/>
    <n v="-3535.6"/>
    <n v="-1866.64"/>
    <n v="-3385.28"/>
    <n v="-9295.48"/>
    <n v="-3415.96"/>
    <n v="-350.32"/>
    <n v="-3521.6"/>
    <n v="-1897.96"/>
    <n v="-2257.96"/>
    <n v="-663.32"/>
    <n v="-2608.2800000000002"/>
    <n v="-2321.96"/>
    <n v="-35120.359999999993"/>
    <n v="-286.32000000000016"/>
  </r>
  <r>
    <x v="1"/>
    <x v="3"/>
    <x v="0"/>
    <s v="5390101"/>
    <n v="400040"/>
    <s v="Physician Svcs Rev--Medicare"/>
    <s v="Periop Surgical Home"/>
    <x v="0"/>
    <n v="1100"/>
    <n v="-13075"/>
    <n v="-9520"/>
    <n v="-16066"/>
    <n v="-16946"/>
    <n v="-13348"/>
    <n v="-13204"/>
    <n v="-12176"/>
    <n v="-8581"/>
    <n v="-19832"/>
    <n v="-14977"/>
    <n v="-22012"/>
    <n v="-11894"/>
    <n v="-171631"/>
    <n v="-10118"/>
  </r>
  <r>
    <x v="1"/>
    <x v="3"/>
    <x v="0"/>
    <s v="5390101"/>
    <n v="400040"/>
    <s v="Physician Svcs Rev--Medicaid"/>
    <s v="Periop Surgical Home"/>
    <x v="0"/>
    <n v="1200"/>
    <n v="-1065"/>
    <n v="-1717"/>
    <n v="-1857"/>
    <n v="-1848"/>
    <n v="-1702"/>
    <n v="-1319"/>
    <n v="-3803"/>
    <n v="-3358"/>
    <n v="-4263"/>
    <n v="-9067"/>
    <n v="-5294"/>
    <n v="-5382"/>
    <n v="-40675"/>
    <n v="88"/>
  </r>
  <r>
    <x v="1"/>
    <x v="3"/>
    <x v="0"/>
    <s v="5390101"/>
    <n v="400040"/>
    <s v="Physician Svcs Rev--Comm Insurance"/>
    <s v="Periop Surgical Home"/>
    <x v="0"/>
    <n v="1300"/>
    <n v="-216"/>
    <n v="-356"/>
    <n v="-989"/>
    <n v="-778"/>
    <n v="-422"/>
    <n v="-567"/>
    <n v="-999"/>
    <n v="-356"/>
    <n v="-567"/>
    <n v="-1030"/>
    <n v="-609"/>
    <n v="-1030"/>
    <n v="-7919"/>
    <n v="421"/>
  </r>
  <r>
    <x v="1"/>
    <x v="3"/>
    <x v="0"/>
    <s v="5390101"/>
    <n v="400040"/>
    <s v="Physician Svcs Rev--BCBS Comm"/>
    <s v="Periop Surgical Home"/>
    <x v="0"/>
    <n v="1301"/>
    <n v="-211"/>
    <n v="-774"/>
    <n v="-1201"/>
    <n v="-1763"/>
    <n v="-983"/>
    <n v="-1486"/>
    <n v="-1706"/>
    <n v="-502"/>
    <n v="-1490"/>
    <n v="-1879"/>
    <n v="-1062"/>
    <n v="-1207"/>
    <n v="-14264"/>
    <n v="145"/>
  </r>
  <r>
    <x v="1"/>
    <x v="3"/>
    <x v="0"/>
    <s v="5390101"/>
    <n v="400040"/>
    <s v="Physician Svcs Rev--Managed Care"/>
    <s v="Periop Surgical Home"/>
    <x v="0"/>
    <n v="1400"/>
    <n v="-3989"/>
    <n v="-4099"/>
    <n v="-3607"/>
    <n v="-3536"/>
    <n v="-3783"/>
    <n v="-4136"/>
    <n v="-4084"/>
    <n v="-3412"/>
    <n v="-4919"/>
    <n v="-4563"/>
    <n v="-3252"/>
    <n v="-6479"/>
    <n v="-49859"/>
    <n v="3227"/>
  </r>
  <r>
    <x v="1"/>
    <x v="3"/>
    <x v="0"/>
    <s v="5390101"/>
    <n v="400040"/>
    <s v="Physician Svcs Rev--Self Pay"/>
    <s v="Periop Surgical Home"/>
    <x v="0"/>
    <n v="1500"/>
    <n v="0"/>
    <n v="-356"/>
    <n v="0"/>
    <n v="0"/>
    <n v="0"/>
    <n v="-928"/>
    <n v="-356"/>
    <n v="0"/>
    <n v="-211"/>
    <n v="-211"/>
    <n v="-421"/>
    <n v="0"/>
    <n v="-2483"/>
    <n v="-421"/>
  </r>
  <r>
    <x v="1"/>
    <x v="3"/>
    <x v="0"/>
    <s v="5390101"/>
    <n v="400040"/>
    <s v="Physician Svcs Rev--Other"/>
    <s v="Periop Surgical Home"/>
    <x v="0"/>
    <n v="1700"/>
    <n v="-1833"/>
    <n v="-1247"/>
    <n v="-1060"/>
    <n v="-3320"/>
    <n v="-2835"/>
    <n v="-216"/>
    <n v="-778"/>
    <n v="-1987"/>
    <n v="-2363"/>
    <n v="-2011"/>
    <n v="-312"/>
    <n v="-1624"/>
    <n v="-19586"/>
    <n v="1312"/>
  </r>
  <r>
    <x v="2"/>
    <x v="3"/>
    <x v="0"/>
    <s v="5390101"/>
    <n v="450040"/>
    <s v="Contr Allow--Phys Svcs--Mcare"/>
    <s v="Periop Surgical Home"/>
    <x v="0"/>
    <n v="1100"/>
    <n v="11521.15"/>
    <n v="7506.67"/>
    <n v="7130.55"/>
    <n v="11700.49"/>
    <n v="9683.2900000000009"/>
    <n v="7950.51"/>
    <n v="8479.9599999999991"/>
    <n v="6559.45"/>
    <n v="10301.91"/>
    <n v="11545.63"/>
    <n v="11604.91"/>
    <n v="11398.18"/>
    <n v="115382.70000000001"/>
    <n v="206.72999999999956"/>
  </r>
  <r>
    <x v="2"/>
    <x v="3"/>
    <x v="0"/>
    <s v="5390101"/>
    <n v="450040"/>
    <s v="Contr Allow--Phys Svcs--Mcaid"/>
    <s v="Periop Surgical Home"/>
    <x v="0"/>
    <n v="1200"/>
    <n v="1541.55"/>
    <n v="1388.39"/>
    <n v="2281.0300000000002"/>
    <n v="1152.47"/>
    <n v="-42.66"/>
    <n v="565.26"/>
    <n v="2158.75"/>
    <n v="1940.3"/>
    <n v="3807.5"/>
    <n v="4346.3900000000003"/>
    <n v="5654.98"/>
    <n v="4826.93"/>
    <n v="29620.89"/>
    <n v="828.04999999999927"/>
  </r>
  <r>
    <x v="2"/>
    <x v="3"/>
    <x v="0"/>
    <s v="5390101"/>
    <n v="450040"/>
    <s v="Contr Allow--Phys Svcs--Comm Insurance"/>
    <s v="Periop Surgical Home"/>
    <x v="0"/>
    <n v="1300"/>
    <n v="159.54"/>
    <n v="-77.16"/>
    <n v="506.32"/>
    <n v="181.54"/>
    <n v="367.36"/>
    <n v="250.4"/>
    <n v="89.49"/>
    <n v="359.23"/>
    <n v="312.08"/>
    <n v="253.39"/>
    <n v="287.01"/>
    <n v="548.01"/>
    <n v="3237.21"/>
    <n v="-261"/>
  </r>
  <r>
    <x v="2"/>
    <x v="3"/>
    <x v="0"/>
    <s v="5390101"/>
    <n v="450040"/>
    <s v="Contr Allow--Phys Svcs--BCBS Comm Ins"/>
    <s v="Periop Surgical Home"/>
    <x v="0"/>
    <n v="1301"/>
    <n v="338.34"/>
    <n v="151.18"/>
    <n v="263.95999999999998"/>
    <n v="447.02"/>
    <n v="188.25"/>
    <n v="419.01"/>
    <n v="190.44"/>
    <n v="434.91"/>
    <n v="138.65"/>
    <n v="449.01"/>
    <n v="493.79"/>
    <n v="172.25"/>
    <n v="3686.8100000000004"/>
    <n v="321.54000000000002"/>
  </r>
  <r>
    <x v="2"/>
    <x v="3"/>
    <x v="0"/>
    <s v="5390101"/>
    <n v="450040"/>
    <s v="Contr Allow--Phys Svcs--Managed Care"/>
    <s v="Periop Surgical Home"/>
    <x v="0"/>
    <n v="1400"/>
    <n v="1443.04"/>
    <n v="1873.27"/>
    <n v="1685.74"/>
    <n v="1057.93"/>
    <n v="1771.49"/>
    <n v="1438.19"/>
    <n v="1746.57"/>
    <n v="586.36"/>
    <n v="2171.17"/>
    <n v="898.94"/>
    <n v="1628.56"/>
    <n v="1559.89"/>
    <n v="17861.150000000001"/>
    <n v="68.669999999999845"/>
  </r>
  <r>
    <x v="2"/>
    <x v="3"/>
    <x v="0"/>
    <s v="5390101"/>
    <n v="450040"/>
    <s v="Contr Allow--Phys Svcs--BCBS Mgnd Care"/>
    <s v="Periop Surgical Home"/>
    <x v="0"/>
    <n v="1401"/>
    <n v="-3227.61"/>
    <n v="-2553.4299999999998"/>
    <n v="1838.81"/>
    <n v="1164.03"/>
    <n v="575.32000000000005"/>
    <n v="996.63"/>
    <n v="1142.28"/>
    <n v="758.88"/>
    <n v="2472.46"/>
    <n v="1915.43"/>
    <n v="400.11"/>
    <n v="-2556.42"/>
    <n v="2926.49"/>
    <n v="2956.53"/>
  </r>
  <r>
    <x v="2"/>
    <x v="3"/>
    <x v="0"/>
    <s v="5390101"/>
    <n v="450040"/>
    <s v="Prompt Pay Disc-Phys Svcs-Self Pay"/>
    <s v="Periop Surgical Home"/>
    <x v="0"/>
    <n v="1500"/>
    <n v="0"/>
    <n v="0"/>
    <n v="0"/>
    <n v="0"/>
    <n v="0"/>
    <n v="0"/>
    <n v="0"/>
    <n v="0"/>
    <n v="0"/>
    <n v="0"/>
    <n v="132.93"/>
    <n v="0"/>
    <n v="132.93"/>
    <n v="132.93"/>
  </r>
  <r>
    <x v="2"/>
    <x v="3"/>
    <x v="0"/>
    <s v="5390101"/>
    <n v="450040"/>
    <s v="Admin Adjust-Phys Svcs-Self Pay"/>
    <s v="Periop Surgical Home"/>
    <x v="0"/>
    <n v="1600"/>
    <n v="19.600000000000001"/>
    <n v="132.41"/>
    <n v="65.66"/>
    <n v="248.97"/>
    <n v="118.14"/>
    <n v="343.36"/>
    <n v="131.72"/>
    <n v="107.59"/>
    <n v="31.07"/>
    <n v="-432.93"/>
    <n v="157.57"/>
    <n v="12.57"/>
    <n v="935.72999999999968"/>
    <n v="145"/>
  </r>
  <r>
    <x v="2"/>
    <x v="3"/>
    <x v="0"/>
    <s v="5390101"/>
    <n v="450040"/>
    <s v="Contr Allow--Phys Svcs--Other"/>
    <s v="Periop Surgical Home"/>
    <x v="0"/>
    <n v="1700"/>
    <n v="1017.11"/>
    <n v="1606.48"/>
    <n v="288.27"/>
    <n v="330.18"/>
    <n v="403.48"/>
    <n v="863.88"/>
    <n v="754.2"/>
    <n v="266.95"/>
    <n v="1835.98"/>
    <n v="1279.49"/>
    <n v="1283.43"/>
    <n v="1321.92"/>
    <n v="11251.369999999999"/>
    <n v="-38.490000000000009"/>
  </r>
  <r>
    <x v="3"/>
    <x v="3"/>
    <x v="0"/>
    <s v="5390101"/>
    <n v="470040"/>
    <s v="Charity Care-Physician Svcs"/>
    <s v="Periop Surgical Home"/>
    <x v="0"/>
    <m/>
    <n v="68.650000000000006"/>
    <n v="304.52999999999997"/>
    <n v="156.99"/>
    <n v="113.38"/>
    <n v="158.66"/>
    <n v="117.26"/>
    <n v="606.49"/>
    <n v="39.69"/>
    <n v="266.86"/>
    <n v="187.63"/>
    <n v="73.45"/>
    <n v="95.83"/>
    <n v="2189.42"/>
    <n v="-22.379999999999995"/>
  </r>
  <r>
    <x v="4"/>
    <x v="3"/>
    <x v="0"/>
    <s v="5390101"/>
    <n v="490010"/>
    <s v="Provision for Bad Debts"/>
    <s v="Periop Surgical Home"/>
    <x v="0"/>
    <m/>
    <n v="-679.85"/>
    <n v="-829.78"/>
    <n v="269.7"/>
    <n v="270.47000000000003"/>
    <n v="-108.57"/>
    <n v="181.34"/>
    <n v="250.24"/>
    <n v="-1.02"/>
    <n v="29.54"/>
    <n v="153.22"/>
    <n v="356.75"/>
    <n v="247.03"/>
    <n v="139.07000000000008"/>
    <n v="109.72"/>
  </r>
  <r>
    <x v="5"/>
    <x v="3"/>
    <x v="0"/>
    <s v="5390101"/>
    <n v="700030"/>
    <s v="Salaries-LPN-Productive"/>
    <s v="Periop Surgical Home"/>
    <x v="0"/>
    <m/>
    <n v="0"/>
    <n v="0"/>
    <n v="0"/>
    <n v="0"/>
    <n v="0"/>
    <n v="0"/>
    <n v="0"/>
    <n v="2420.61"/>
    <n v="-2420.61"/>
    <n v="3024.7"/>
    <n v="0"/>
    <n v="5206.58"/>
    <n v="8231.2799999999988"/>
    <n v="-5206.58"/>
  </r>
  <r>
    <x v="5"/>
    <x v="3"/>
    <x v="0"/>
    <s v="5390101"/>
    <n v="700030"/>
    <s v="Salaries-LPN-Other"/>
    <s v="Periop Surgical Home"/>
    <x v="0"/>
    <n v="2000"/>
    <n v="1446.23"/>
    <n v="1587.37"/>
    <n v="1488.93"/>
    <n v="1713.06"/>
    <n v="1424.97"/>
    <n v="881.68"/>
    <n v="1200.3800000000001"/>
    <n v="1041.79"/>
    <n v="1135.51"/>
    <n v="986.68"/>
    <n v="1221.02"/>
    <n v="950.7"/>
    <n v="15078.320000000002"/>
    <n v="270.31999999999994"/>
  </r>
  <r>
    <x v="5"/>
    <x v="3"/>
    <x v="0"/>
    <s v="5390101"/>
    <n v="700054"/>
    <s v="Salaries-Management-NonProd-Other"/>
    <s v="Periop Surgical Home"/>
    <x v="0"/>
    <n v="2000"/>
    <n v="0"/>
    <n v="0"/>
    <n v="0"/>
    <n v="0"/>
    <n v="0"/>
    <n v="105.35"/>
    <n v="-105.35"/>
    <n v="0"/>
    <n v="0"/>
    <n v="0"/>
    <n v="0"/>
    <n v="0"/>
    <n v="0"/>
    <n v="0"/>
  </r>
  <r>
    <x v="5"/>
    <x v="3"/>
    <x v="0"/>
    <s v="5390101"/>
    <n v="700070"/>
    <s v="Salaries-LPN-Non-productive"/>
    <s v="Periop Surgical Home"/>
    <x v="0"/>
    <m/>
    <n v="0"/>
    <n v="0"/>
    <n v="255.04"/>
    <n v="255.04"/>
    <n v="590.80999999999995"/>
    <n v="1252.1400000000001"/>
    <n v="171.97"/>
    <n v="341.75"/>
    <n v="295.12"/>
    <n v="0"/>
    <n v="0"/>
    <n v="0"/>
    <n v="3161.8699999999994"/>
    <n v="0"/>
  </r>
  <r>
    <x v="5"/>
    <x v="3"/>
    <x v="0"/>
    <s v="5390101"/>
    <n v="700070"/>
    <s v="Salaries-LPN-NonProd-Other"/>
    <s v="Periop Surgical Home"/>
    <x v="0"/>
    <n v="2000"/>
    <n v="0"/>
    <n v="0"/>
    <n v="0"/>
    <n v="0"/>
    <n v="0"/>
    <n v="0"/>
    <n v="0"/>
    <n v="555.69000000000005"/>
    <n v="-14.85"/>
    <n v="-96.99"/>
    <n v="0"/>
    <n v="0"/>
    <n v="443.85"/>
    <n v="0"/>
  </r>
  <r>
    <x v="5"/>
    <x v="3"/>
    <x v="0"/>
    <s v="5390101"/>
    <n v="700084"/>
    <s v="Accrued PTO"/>
    <s v="Periop Surgical Home"/>
    <x v="0"/>
    <m/>
    <n v="-1644.58"/>
    <n v="-669.2"/>
    <n v="-596.97"/>
    <n v="615.16999999999996"/>
    <n v="1233.0899999999999"/>
    <n v="-910.38"/>
    <n v="-65.58"/>
    <n v="-413.62"/>
    <n v="156.99"/>
    <n v="701.94"/>
    <n v="209.62"/>
    <n v="-84.78"/>
    <n v="-1468.3"/>
    <n v="294.39999999999998"/>
  </r>
  <r>
    <x v="6"/>
    <x v="3"/>
    <x v="0"/>
    <s v="5390101"/>
    <n v="713010"/>
    <s v="Benefits-FICA/Medicare"/>
    <s v="Periop Surgical Home"/>
    <x v="0"/>
    <m/>
    <n v="110.61"/>
    <n v="121.47"/>
    <n v="131.35"/>
    <n v="148.5"/>
    <n v="164.09"/>
    <n v="165.3"/>
    <n v="111.99"/>
    <n v="307.89"/>
    <n v="-48.54"/>
    <n v="308.79000000000002"/>
    <n v="168.53"/>
    <n v="460.43"/>
    <n v="2150.41"/>
    <n v="-291.89999999999998"/>
  </r>
  <r>
    <x v="6"/>
    <x v="3"/>
    <x v="0"/>
    <s v="5390101"/>
    <n v="713090"/>
    <s v="Benefits-Allocated Amounts"/>
    <s v="Periop Surgical Home"/>
    <x v="0"/>
    <m/>
    <n v="-8.57"/>
    <n v="42.62"/>
    <n v="144.88"/>
    <n v="162.6"/>
    <n v="341.43"/>
    <n v="245.94"/>
    <n v="-19.28"/>
    <n v="898.24"/>
    <n v="-670.52"/>
    <n v="829.59"/>
    <n v="217.77"/>
    <n v="1373.63"/>
    <n v="3558.3300000000004"/>
    <n v="-1155.8600000000001"/>
  </r>
  <r>
    <x v="7"/>
    <x v="3"/>
    <x v="0"/>
    <s v="5390101"/>
    <n v="718050"/>
    <s v="Translation Services"/>
    <s v="Periop Surgical Home"/>
    <x v="0"/>
    <n v="1025"/>
    <n v="0"/>
    <n v="124.92"/>
    <n v="148.88999999999999"/>
    <n v="28.2"/>
    <n v="0"/>
    <n v="135.06"/>
    <n v="97.87"/>
    <n v="0"/>
    <n v="48"/>
    <n v="0"/>
    <n v="39.74"/>
    <n v="205.4"/>
    <n v="828.08"/>
    <n v="-165.66"/>
  </r>
  <r>
    <x v="7"/>
    <x v="3"/>
    <x v="0"/>
    <s v="5390101"/>
    <n v="718050"/>
    <s v="Contract Management--Linen"/>
    <s v="Periop Surgical Home"/>
    <x v="0"/>
    <n v="1026"/>
    <n v="0"/>
    <n v="0"/>
    <n v="0"/>
    <n v="56.33"/>
    <n v="0"/>
    <n v="0"/>
    <n v="0"/>
    <n v="0"/>
    <n v="0"/>
    <n v="0"/>
    <n v="0"/>
    <n v="0"/>
    <n v="56.33"/>
    <n v="0"/>
  </r>
  <r>
    <x v="7"/>
    <x v="3"/>
    <x v="0"/>
    <s v="5390101"/>
    <n v="718091"/>
    <s v="Contract Services-Intracompany Allocation"/>
    <s v="Periop Surgical Home"/>
    <x v="0"/>
    <m/>
    <n v="13942.3"/>
    <n v="14571.91"/>
    <n v="12817.61"/>
    <n v="19257.91"/>
    <n v="9703.5499999999993"/>
    <n v="14443.32"/>
    <n v="16323.04"/>
    <n v="13632.08"/>
    <n v="14204.45"/>
    <n v="14666.04"/>
    <n v="14810.91"/>
    <n v="13819.6"/>
    <n v="172192.72000000003"/>
    <n v="991.30999999999949"/>
  </r>
  <r>
    <x v="11"/>
    <x v="3"/>
    <x v="0"/>
    <s v="5390101"/>
    <n v="721010"/>
    <s v="Patient Monitoring"/>
    <s v="Periop Surgical Home"/>
    <x v="0"/>
    <n v="1000"/>
    <n v="0"/>
    <n v="0"/>
    <n v="0"/>
    <n v="0"/>
    <n v="78.66"/>
    <n v="0"/>
    <n v="0"/>
    <n v="0"/>
    <n v="0"/>
    <n v="0"/>
    <n v="0"/>
    <n v="0"/>
    <n v="78.66"/>
    <n v="0"/>
  </r>
  <r>
    <x v="11"/>
    <x v="3"/>
    <x v="0"/>
    <s v="5390101"/>
    <n v="721410"/>
    <s v="Supplies-Medical - Nonbillable"/>
    <s v="Periop Surgical Home"/>
    <x v="0"/>
    <m/>
    <n v="0"/>
    <n v="0"/>
    <n v="-89.47"/>
    <n v="1.35"/>
    <n v="11.73"/>
    <n v="57.96"/>
    <n v="0"/>
    <n v="1.35"/>
    <n v="62.37"/>
    <n v="0"/>
    <n v="1.48"/>
    <n v="0"/>
    <n v="46.769999999999996"/>
    <n v="1.48"/>
  </r>
  <r>
    <x v="11"/>
    <x v="3"/>
    <x v="0"/>
    <s v="5390101"/>
    <n v="721410"/>
    <s v="Patient Monitoring"/>
    <s v="Periop Surgical Home"/>
    <x v="0"/>
    <n v="1000"/>
    <n v="0"/>
    <n v="0"/>
    <n v="0"/>
    <n v="0"/>
    <n v="121.11"/>
    <n v="20.260000000000002"/>
    <n v="141.37"/>
    <n v="0"/>
    <n v="0"/>
    <n v="0"/>
    <n v="0"/>
    <n v="0"/>
    <n v="282.74"/>
    <n v="0"/>
  </r>
  <r>
    <x v="11"/>
    <x v="3"/>
    <x v="0"/>
    <s v="5390101"/>
    <n v="721420"/>
    <s v="Supplies-Surgical Nonbillable"/>
    <s v="Periop Surgical Home"/>
    <x v="0"/>
    <m/>
    <n v="0"/>
    <n v="0"/>
    <n v="0"/>
    <n v="0"/>
    <n v="0"/>
    <n v="0.48"/>
    <n v="0"/>
    <n v="0"/>
    <n v="0"/>
    <n v="0"/>
    <n v="0"/>
    <n v="0"/>
    <n v="0.48"/>
    <n v="0"/>
  </r>
  <r>
    <x v="11"/>
    <x v="3"/>
    <x v="0"/>
    <s v="5390101"/>
    <n v="721710"/>
    <s v="Supplies-Laboratory - Nonbillable"/>
    <s v="Periop Surgical Home"/>
    <x v="0"/>
    <m/>
    <n v="0"/>
    <n v="0"/>
    <n v="0"/>
    <n v="0"/>
    <n v="0"/>
    <n v="28.7"/>
    <n v="0"/>
    <n v="4.26"/>
    <n v="85.24"/>
    <n v="0"/>
    <n v="58.22"/>
    <n v="50.69"/>
    <n v="227.10999999999999"/>
    <n v="7.5300000000000011"/>
  </r>
  <r>
    <x v="11"/>
    <x v="3"/>
    <x v="0"/>
    <s v="5390101"/>
    <n v="721810"/>
    <s v="Supplies-Dietary/Cafeteria"/>
    <s v="Periop Surgical Home"/>
    <x v="0"/>
    <m/>
    <n v="0"/>
    <n v="0"/>
    <n v="9"/>
    <n v="13.5"/>
    <n v="0"/>
    <n v="2.25"/>
    <n v="0"/>
    <n v="13.5"/>
    <n v="0"/>
    <n v="0"/>
    <n v="9.27"/>
    <n v="0"/>
    <n v="47.519999999999996"/>
    <n v="9.27"/>
  </r>
  <r>
    <x v="11"/>
    <x v="3"/>
    <x v="0"/>
    <s v="5390101"/>
    <n v="721830"/>
    <s v="Supplies-Office"/>
    <s v="Periop Surgical Home"/>
    <x v="0"/>
    <m/>
    <n v="0"/>
    <n v="0"/>
    <n v="0"/>
    <n v="0"/>
    <n v="0"/>
    <n v="86.03"/>
    <n v="0"/>
    <n v="0"/>
    <n v="0"/>
    <n v="0"/>
    <n v="0"/>
    <n v="0"/>
    <n v="86.03"/>
    <n v="0"/>
  </r>
  <r>
    <x v="11"/>
    <x v="3"/>
    <x v="0"/>
    <s v="5390101"/>
    <n v="721835"/>
    <s v="Supplies-Forms"/>
    <s v="Periop Surgical Home"/>
    <x v="0"/>
    <m/>
    <n v="0"/>
    <n v="0"/>
    <n v="0"/>
    <n v="0"/>
    <n v="15.3"/>
    <n v="0"/>
    <n v="0"/>
    <n v="0"/>
    <n v="0"/>
    <n v="0"/>
    <n v="0"/>
    <n v="0"/>
    <n v="15.3"/>
    <n v="0"/>
  </r>
  <r>
    <x v="11"/>
    <x v="3"/>
    <x v="0"/>
    <s v="5390101"/>
    <n v="721870"/>
    <s v="Supplies-Environmental Services"/>
    <s v="Periop Surgical Home"/>
    <x v="0"/>
    <m/>
    <n v="0"/>
    <n v="0"/>
    <n v="0"/>
    <n v="0"/>
    <n v="0"/>
    <n v="81.52"/>
    <n v="0"/>
    <n v="0"/>
    <n v="0"/>
    <n v="0"/>
    <n v="0"/>
    <n v="0"/>
    <n v="81.52"/>
    <n v="0"/>
  </r>
  <r>
    <x v="11"/>
    <x v="3"/>
    <x v="0"/>
    <s v="5390101"/>
    <n v="721880"/>
    <s v="Supplies-Linen"/>
    <s v="Periop Surgical Home"/>
    <x v="0"/>
    <m/>
    <n v="14.95"/>
    <n v="0"/>
    <n v="6.12"/>
    <n v="10.26"/>
    <n v="0"/>
    <n v="34.31"/>
    <n v="0"/>
    <n v="0"/>
    <n v="13.77"/>
    <n v="0"/>
    <n v="11.97"/>
    <n v="48.27"/>
    <n v="139.65"/>
    <n v="-36.300000000000004"/>
  </r>
  <r>
    <x v="11"/>
    <x v="3"/>
    <x v="0"/>
    <s v="5390101"/>
    <n v="721910"/>
    <s v="Supplies-Small Equipment"/>
    <s v="Periop Surgical Home"/>
    <x v="0"/>
    <m/>
    <n v="0"/>
    <n v="0"/>
    <n v="0"/>
    <n v="0"/>
    <n v="0"/>
    <n v="28.51"/>
    <n v="0"/>
    <n v="0"/>
    <n v="0"/>
    <n v="0"/>
    <n v="0"/>
    <n v="0"/>
    <n v="28.51"/>
    <n v="0"/>
  </r>
  <r>
    <x v="11"/>
    <x v="3"/>
    <x v="0"/>
    <s v="5390101"/>
    <n v="721910"/>
    <s v="Instruments"/>
    <s v="Periop Surgical Home"/>
    <x v="0"/>
    <n v="1000"/>
    <n v="0"/>
    <n v="0"/>
    <n v="0"/>
    <n v="0"/>
    <n v="0"/>
    <n v="0.73"/>
    <n v="0"/>
    <n v="0"/>
    <n v="0"/>
    <n v="0"/>
    <n v="0"/>
    <n v="0"/>
    <n v="0.73"/>
    <n v="0"/>
  </r>
  <r>
    <x v="11"/>
    <x v="3"/>
    <x v="0"/>
    <s v="5390101"/>
    <n v="721980"/>
    <s v="Supplies-Other"/>
    <s v="Periop Surgical Home"/>
    <x v="0"/>
    <m/>
    <n v="123.48"/>
    <n v="0"/>
    <n v="65.2"/>
    <n v="0"/>
    <n v="0"/>
    <n v="110.06"/>
    <n v="0"/>
    <n v="0"/>
    <n v="0"/>
    <n v="0"/>
    <n v="0"/>
    <n v="0"/>
    <n v="298.74"/>
    <n v="0"/>
  </r>
  <r>
    <x v="11"/>
    <x v="3"/>
    <x v="0"/>
    <s v="5390101"/>
    <n v="722000"/>
    <s v="Supplies-Freight Expense"/>
    <s v="Periop Surgical Home"/>
    <x v="0"/>
    <m/>
    <n v="0"/>
    <n v="0"/>
    <n v="0"/>
    <n v="0"/>
    <n v="0"/>
    <n v="0"/>
    <n v="0"/>
    <n v="0"/>
    <n v="22.65"/>
    <n v="0"/>
    <n v="0"/>
    <n v="0"/>
    <n v="22.65"/>
    <n v="0"/>
  </r>
  <r>
    <x v="12"/>
    <x v="3"/>
    <x v="0"/>
    <s v="5390101"/>
    <n v="730020"/>
    <s v="Rental and Leases-Copier Usage Fees (DO NOT USE)"/>
    <s v="Periop Surgical Home"/>
    <x v="0"/>
    <n v="5100"/>
    <n v="528.45000000000005"/>
    <n v="549.13"/>
    <n v="538.79"/>
    <n v="538.79"/>
    <n v="538.79"/>
    <n v="538.79"/>
    <n v="3497.5"/>
    <n v="409.05"/>
    <n v="418.5"/>
    <n v="1453.05"/>
    <n v="409.05"/>
    <n v="455"/>
    <n v="9874.89"/>
    <n v="-45.949999999999989"/>
  </r>
  <r>
    <x v="13"/>
    <x v="3"/>
    <x v="0"/>
    <s v="5390101"/>
    <n v="735070"/>
    <s v="Depreciation-Movable Equipment"/>
    <s v="Periop Surgical Home"/>
    <x v="0"/>
    <m/>
    <n v="16.309999999999999"/>
    <n v="16.309999999999999"/>
    <n v="16.309999999999999"/>
    <n v="16.309999999999999"/>
    <n v="16.309999999999999"/>
    <n v="16.309999999999999"/>
    <n v="16.309999999999999"/>
    <n v="16.309999999999999"/>
    <n v="16.309999999999999"/>
    <n v="16.309999999999999"/>
    <n v="16.309999999999999"/>
    <n v="16.309999999999999"/>
    <n v="195.72"/>
    <n v="0"/>
  </r>
  <r>
    <x v="0"/>
    <x v="3"/>
    <x v="0"/>
    <s v="5390101"/>
    <n v="749510"/>
    <s v="Miscellaneous Expenses"/>
    <s v="Periop Surgical Home"/>
    <x v="0"/>
    <m/>
    <n v="0"/>
    <n v="0"/>
    <n v="0"/>
    <n v="0"/>
    <n v="0"/>
    <n v="0"/>
    <n v="0"/>
    <n v="0"/>
    <n v="0"/>
    <n v="-326"/>
    <n v="0"/>
    <n v="0"/>
    <n v="-326"/>
    <n v="0"/>
  </r>
  <r>
    <x v="19"/>
    <x v="0"/>
    <x v="0"/>
    <s v="5390102"/>
    <n v="400020"/>
    <s v="O/P Care Svcs Rev--Medicare"/>
    <s v="Periop Surgical Home"/>
    <x v="0"/>
    <n v="1100"/>
    <n v="-4461.92"/>
    <n v="-13791.4"/>
    <n v="-16372.68"/>
    <n v="-15672.04"/>
    <n v="-7407.2"/>
    <n v="-6342.56"/>
    <n v="-9265.84"/>
    <n v="-5703.6"/>
    <n v="-3022.6"/>
    <n v="0"/>
    <n v="0"/>
    <n v="0"/>
    <n v="-82039.840000000011"/>
    <n v="0"/>
  </r>
  <r>
    <x v="19"/>
    <x v="0"/>
    <x v="0"/>
    <s v="5390102"/>
    <n v="400020"/>
    <s v="O/P Care Svcs Rev--Medicaid"/>
    <s v="Periop Surgical Home"/>
    <x v="0"/>
    <n v="1200"/>
    <n v="333.64"/>
    <n v="-4812.24"/>
    <n v="-2525.96"/>
    <n v="-1935.96"/>
    <n v="-2286.2800000000002"/>
    <n v="350.32"/>
    <n v="-3816.6"/>
    <n v="-3529.28"/>
    <n v="-1004.64"/>
    <n v="0"/>
    <n v="0"/>
    <n v="0"/>
    <n v="-19227"/>
    <n v="0"/>
  </r>
  <r>
    <x v="19"/>
    <x v="0"/>
    <x v="0"/>
    <s v="5390102"/>
    <n v="400020"/>
    <s v="O/P Care Svcs Rev--Comm Insurance"/>
    <s v="Periop Surgical Home"/>
    <x v="0"/>
    <n v="1300"/>
    <n v="0"/>
    <n v="-645.32000000000005"/>
    <n v="-1290.6400000000001"/>
    <n v="0"/>
    <n v="0"/>
    <n v="0"/>
    <n v="0"/>
    <n v="0"/>
    <n v="0"/>
    <n v="0"/>
    <n v="0"/>
    <n v="0"/>
    <n v="-1935.96"/>
    <n v="0"/>
  </r>
  <r>
    <x v="19"/>
    <x v="0"/>
    <x v="0"/>
    <s v="5390102"/>
    <n v="400020"/>
    <s v="O/P Care Svcs Rev--BCBS Comm"/>
    <s v="Periop Surgical Home"/>
    <x v="0"/>
    <n v="1301"/>
    <n v="0"/>
    <n v="-1290.6400000000001"/>
    <n v="-3871.92"/>
    <n v="-2581.2800000000002"/>
    <n v="-3226.6"/>
    <n v="350.32"/>
    <n v="-940.32"/>
    <n v="-2266.96"/>
    <n v="0"/>
    <n v="0"/>
    <n v="0"/>
    <n v="0"/>
    <n v="-13827.400000000001"/>
    <n v="0"/>
  </r>
  <r>
    <x v="19"/>
    <x v="0"/>
    <x v="0"/>
    <s v="5390102"/>
    <n v="400020"/>
    <s v="O/P Care Svcs Rev--Managed Care"/>
    <s v="Periop Surgical Home"/>
    <x v="0"/>
    <n v="1400"/>
    <n v="-2230.96"/>
    <n v="-3521.6"/>
    <n v="-3871.92"/>
    <n v="-7743.84"/>
    <n v="-6149.88"/>
    <n v="-1180"/>
    <n v="-1935.96"/>
    <n v="-3262.6"/>
    <n v="-875.32"/>
    <n v="0"/>
    <n v="0"/>
    <n v="0"/>
    <n v="-30772.079999999998"/>
    <n v="0"/>
  </r>
  <r>
    <x v="19"/>
    <x v="0"/>
    <x v="0"/>
    <s v="5390102"/>
    <n v="400020"/>
    <s v="O/P Care Svcs Rev--Self Pay"/>
    <s v="Periop Surgical Home"/>
    <x v="0"/>
    <n v="1500"/>
    <n v="0"/>
    <n v="0"/>
    <n v="-1935.96"/>
    <n v="645.32000000000005"/>
    <n v="0"/>
    <n v="0"/>
    <n v="0"/>
    <n v="0"/>
    <n v="0"/>
    <n v="0"/>
    <n v="0"/>
    <n v="0"/>
    <n v="-1290.6399999999999"/>
    <n v="0"/>
  </r>
  <r>
    <x v="19"/>
    <x v="0"/>
    <x v="0"/>
    <s v="5390102"/>
    <n v="400020"/>
    <s v="O/P Care Svcs Rev--Other"/>
    <s v="Periop Surgical Home"/>
    <x v="0"/>
    <n v="1700"/>
    <n v="-645.32000000000005"/>
    <n v="-1290.6400000000001"/>
    <n v="-645.32000000000005"/>
    <n v="0"/>
    <n v="-645.32000000000005"/>
    <n v="0"/>
    <n v="-1935.96"/>
    <n v="-654.32000000000005"/>
    <n v="0"/>
    <n v="0"/>
    <n v="0"/>
    <n v="0"/>
    <n v="-5816.88"/>
    <n v="0"/>
  </r>
  <r>
    <x v="1"/>
    <x v="0"/>
    <x v="0"/>
    <s v="5390102"/>
    <n v="400040"/>
    <s v="Physician Svcs Rev--Medicare"/>
    <s v="Periop Surgical Home"/>
    <x v="0"/>
    <n v="1100"/>
    <n v="-1642"/>
    <n v="-5812"/>
    <n v="-6599"/>
    <n v="-6023"/>
    <n v="-1913"/>
    <n v="-4057"/>
    <n v="-2696"/>
    <n v="-2410"/>
    <n v="-2908"/>
    <n v="0"/>
    <n v="0"/>
    <n v="0"/>
    <n v="-34060"/>
    <n v="0"/>
  </r>
  <r>
    <x v="1"/>
    <x v="0"/>
    <x v="0"/>
    <s v="5390102"/>
    <n v="400040"/>
    <s v="Physician Svcs Rev--Medicaid"/>
    <s v="Periop Surgical Home"/>
    <x v="0"/>
    <n v="1200"/>
    <n v="-422"/>
    <n v="-1773"/>
    <n v="-995"/>
    <n v="-1209"/>
    <n v="-427"/>
    <n v="-211"/>
    <n v="-1917"/>
    <n v="-1064"/>
    <n v="-1350"/>
    <n v="0"/>
    <n v="0"/>
    <n v="0"/>
    <n v="-9368"/>
    <n v="0"/>
  </r>
  <r>
    <x v="1"/>
    <x v="0"/>
    <x v="0"/>
    <s v="5390102"/>
    <n v="400040"/>
    <s v="Physician Svcs Rev--Comm Insurance"/>
    <s v="Periop Surgical Home"/>
    <x v="0"/>
    <n v="1300"/>
    <n v="0"/>
    <n v="0"/>
    <n v="-633"/>
    <n v="0"/>
    <n v="0"/>
    <n v="0"/>
    <n v="-5"/>
    <n v="0"/>
    <n v="0"/>
    <n v="0"/>
    <n v="0"/>
    <n v="0"/>
    <n v="-638"/>
    <n v="0"/>
  </r>
  <r>
    <x v="1"/>
    <x v="0"/>
    <x v="0"/>
    <s v="5390102"/>
    <n v="400040"/>
    <s v="Physician Svcs Rev--BCBS Comm"/>
    <s v="Periop Surgical Home"/>
    <x v="0"/>
    <n v="1301"/>
    <n v="0"/>
    <n v="-216"/>
    <n v="-999"/>
    <n v="-211"/>
    <n v="-919"/>
    <n v="-211"/>
    <n v="-141"/>
    <n v="-638"/>
    <n v="-211"/>
    <n v="0"/>
    <n v="0"/>
    <n v="0"/>
    <n v="-3546"/>
    <n v="0"/>
  </r>
  <r>
    <x v="1"/>
    <x v="0"/>
    <x v="0"/>
    <s v="5390102"/>
    <n v="400040"/>
    <s v="Physician Svcs Rev--Managed Care"/>
    <s v="Periop Surgical Home"/>
    <x v="0"/>
    <n v="1400"/>
    <n v="-638"/>
    <n v="-1919"/>
    <n v="-1627"/>
    <n v="-3465"/>
    <n v="-2199"/>
    <n v="-1286"/>
    <n v="-999"/>
    <n v="-1055"/>
    <n v="-788"/>
    <n v="0"/>
    <n v="0"/>
    <n v="0"/>
    <n v="-13976"/>
    <n v="0"/>
  </r>
  <r>
    <x v="1"/>
    <x v="0"/>
    <x v="0"/>
    <s v="5390102"/>
    <n v="400040"/>
    <s v="Physician Svcs Rev--Self Pay"/>
    <s v="Periop Surgical Home"/>
    <x v="0"/>
    <n v="1500"/>
    <n v="0"/>
    <n v="0"/>
    <n v="-422"/>
    <n v="211"/>
    <n v="0"/>
    <n v="0"/>
    <n v="0"/>
    <n v="0"/>
    <n v="0"/>
    <n v="0"/>
    <n v="0"/>
    <n v="0"/>
    <n v="-211"/>
    <n v="0"/>
  </r>
  <r>
    <x v="1"/>
    <x v="0"/>
    <x v="0"/>
    <s v="5390102"/>
    <n v="400040"/>
    <s v="Physician Svcs Rev--Other"/>
    <s v="Periop Surgical Home"/>
    <x v="0"/>
    <n v="1700"/>
    <n v="-216"/>
    <n v="-211"/>
    <n v="-422"/>
    <n v="-211"/>
    <n v="0"/>
    <n v="-211"/>
    <n v="-708"/>
    <n v="0"/>
    <n v="-211"/>
    <n v="0"/>
    <n v="0"/>
    <n v="0"/>
    <n v="-2190"/>
    <n v="0"/>
  </r>
  <r>
    <x v="2"/>
    <x v="0"/>
    <x v="0"/>
    <s v="5390102"/>
    <n v="450040"/>
    <s v="Contr Allow--Phys Svcs--Mcare"/>
    <s v="Periop Surgical Home"/>
    <x v="0"/>
    <n v="1100"/>
    <n v="765.55"/>
    <n v="1748.64"/>
    <n v="1980.74"/>
    <n v="4539.87"/>
    <n v="1860.29"/>
    <n v="1919.33"/>
    <n v="4984.5200000000004"/>
    <n v="1652.21"/>
    <n v="1694.51"/>
    <n v="871.59"/>
    <n v="581.20000000000005"/>
    <n v="23.17"/>
    <n v="22621.62"/>
    <n v="558.03000000000009"/>
  </r>
  <r>
    <x v="2"/>
    <x v="0"/>
    <x v="0"/>
    <s v="5390102"/>
    <n v="450040"/>
    <s v="Contr Allow--Phys Svcs--Mcaid"/>
    <s v="Periop Surgical Home"/>
    <x v="0"/>
    <n v="1200"/>
    <n v="788.35"/>
    <n v="343.37"/>
    <n v="333.38"/>
    <n v="111.65"/>
    <n v="170.97"/>
    <n v="275.95999999999998"/>
    <n v="2089.71"/>
    <n v="777.99"/>
    <n v="1220.68"/>
    <n v="166.15"/>
    <n v="356"/>
    <n v="0"/>
    <n v="6634.21"/>
    <n v="356"/>
  </r>
  <r>
    <x v="2"/>
    <x v="0"/>
    <x v="0"/>
    <s v="5390102"/>
    <n v="450040"/>
    <s v="Contr Allow--Phys Svcs--Comm Insurance"/>
    <s v="Periop Surgical Home"/>
    <x v="0"/>
    <n v="1300"/>
    <n v="0"/>
    <n v="0"/>
    <n v="70.91"/>
    <n v="77.16"/>
    <n v="0"/>
    <n v="0"/>
    <n v="0"/>
    <n v="0"/>
    <n v="0"/>
    <n v="0"/>
    <n v="0"/>
    <n v="0"/>
    <n v="148.07"/>
    <n v="0"/>
  </r>
  <r>
    <x v="2"/>
    <x v="0"/>
    <x v="0"/>
    <s v="5390102"/>
    <n v="450040"/>
    <s v="Contr Allow--Phys Svcs--BCBS Comm Ins"/>
    <s v="Periop Surgical Home"/>
    <x v="0"/>
    <n v="1301"/>
    <n v="0"/>
    <n v="0"/>
    <n v="58.54"/>
    <n v="267.98"/>
    <n v="102.92"/>
    <n v="224.24"/>
    <n v="0.6"/>
    <n v="85.86"/>
    <n v="155.71"/>
    <n v="0"/>
    <n v="0"/>
    <n v="0"/>
    <n v="895.85000000000014"/>
    <n v="0"/>
  </r>
  <r>
    <x v="2"/>
    <x v="0"/>
    <x v="0"/>
    <s v="5390102"/>
    <n v="450040"/>
    <s v="Contr Allow--Phys Svcs--Managed Care"/>
    <s v="Periop Surgical Home"/>
    <x v="0"/>
    <n v="1400"/>
    <n v="225.91"/>
    <n v="143.19"/>
    <n v="755.5"/>
    <n v="628.03"/>
    <n v="1249.23"/>
    <n v="499.25"/>
    <n v="494.52"/>
    <n v="101.22"/>
    <n v="391.28"/>
    <n v="72.48"/>
    <n v="0"/>
    <n v="70.709999999999994"/>
    <n v="4631.3199999999988"/>
    <n v="-70.709999999999994"/>
  </r>
  <r>
    <x v="2"/>
    <x v="0"/>
    <x v="0"/>
    <s v="5390102"/>
    <n v="450040"/>
    <s v="Contr Allow--Phys Svcs--BCBS Mgnd Care"/>
    <s v="Periop Surgical Home"/>
    <x v="0"/>
    <n v="1401"/>
    <n v="-101.54"/>
    <n v="3134.45"/>
    <n v="2919.18"/>
    <n v="508.97"/>
    <n v="-1031.74"/>
    <n v="334.1"/>
    <n v="-2794.43"/>
    <n v="222.6"/>
    <n v="-831.85"/>
    <n v="-1416.13"/>
    <n v="-624.03"/>
    <n v="-345.97"/>
    <n v="-26.389999999998963"/>
    <n v="-278.05999999999995"/>
  </r>
  <r>
    <x v="2"/>
    <x v="0"/>
    <x v="0"/>
    <s v="5390102"/>
    <n v="450040"/>
    <s v="Admin Adjust-Phys Svcs-Self Pay"/>
    <s v="Periop Surgical Home"/>
    <x v="0"/>
    <n v="1600"/>
    <n v="0"/>
    <n v="0"/>
    <n v="156.13999999999999"/>
    <n v="-78.069999999999993"/>
    <n v="0"/>
    <n v="0"/>
    <n v="0.3"/>
    <n v="0"/>
    <n v="0"/>
    <n v="15"/>
    <n v="0"/>
    <n v="0.67"/>
    <n v="94.039999999999992"/>
    <n v="-0.67"/>
  </r>
  <r>
    <x v="2"/>
    <x v="0"/>
    <x v="0"/>
    <s v="5390102"/>
    <n v="450040"/>
    <s v="Contr Allow--Phys Svcs--Other"/>
    <s v="Periop Surgical Home"/>
    <x v="0"/>
    <n v="1700"/>
    <n v="264.93"/>
    <n v="128.72"/>
    <n v="0"/>
    <n v="128.72"/>
    <n v="184.4"/>
    <n v="0"/>
    <n v="208.61"/>
    <n v="308.02999999999997"/>
    <n v="88.99"/>
    <n v="97.06"/>
    <n v="0"/>
    <n v="0"/>
    <n v="1409.4599999999998"/>
    <n v="0"/>
  </r>
  <r>
    <x v="3"/>
    <x v="0"/>
    <x v="0"/>
    <s v="5390102"/>
    <n v="470040"/>
    <s v="Charity Care-Physician Svcs"/>
    <s v="Periop Surgical Home"/>
    <x v="0"/>
    <m/>
    <n v="-9.32"/>
    <n v="133.74"/>
    <n v="85.52"/>
    <n v="14.41"/>
    <n v="-24.2"/>
    <n v="-20.37"/>
    <n v="-28.07"/>
    <n v="58.43"/>
    <n v="-0.84"/>
    <n v="39.4"/>
    <n v="9.65"/>
    <n v="44.39"/>
    <n v="302.74"/>
    <n v="-34.74"/>
  </r>
  <r>
    <x v="4"/>
    <x v="0"/>
    <x v="0"/>
    <s v="5390102"/>
    <n v="490010"/>
    <s v="Provision for Bad Debts"/>
    <s v="Periop Surgical Home"/>
    <x v="0"/>
    <m/>
    <n v="-6.74"/>
    <n v="436.41"/>
    <n v="328.25"/>
    <n v="-32.270000000000003"/>
    <n v="-43.62"/>
    <n v="5.87"/>
    <n v="-415.57"/>
    <n v="8.74"/>
    <n v="257.49"/>
    <n v="5.55"/>
    <n v="5.0199999999999996"/>
    <n v="538.85"/>
    <n v="1087.98"/>
    <n v="-533.83000000000004"/>
  </r>
  <r>
    <x v="7"/>
    <x v="0"/>
    <x v="0"/>
    <s v="5390102"/>
    <n v="718091"/>
    <s v="Contract Services-Intracompany Allocation"/>
    <s v="Periop Surgical Home"/>
    <x v="0"/>
    <m/>
    <n v="3494.87"/>
    <n v="3652.69"/>
    <n v="3212.95"/>
    <n v="4827.32"/>
    <n v="2432.35"/>
    <n v="3620.46"/>
    <n v="4091.64"/>
    <n v="3417.11"/>
    <n v="3560.58"/>
    <n v="3676.29"/>
    <n v="3712.6"/>
    <n v="3464.12"/>
    <n v="43162.979999999996"/>
    <n v="248.48000000000002"/>
  </r>
  <r>
    <x v="18"/>
    <x v="4"/>
    <x v="0"/>
    <s v="5390103"/>
    <n v="400010"/>
    <s v="Acute I/P Svcs Rev--Medicare"/>
    <s v="Periop Surgical Home"/>
    <x v="0"/>
    <n v="1100"/>
    <n v="-909.64"/>
    <n v="0"/>
    <n v="0"/>
    <n v="-254"/>
    <n v="0"/>
    <n v="0"/>
    <n v="0"/>
    <n v="0"/>
    <n v="0"/>
    <n v="0"/>
    <n v="0"/>
    <n v="0"/>
    <n v="-1163.6399999999999"/>
    <n v="0"/>
  </r>
  <r>
    <x v="18"/>
    <x v="4"/>
    <x v="0"/>
    <s v="5390103"/>
    <n v="400010"/>
    <s v="Acute I/P Svcs Rev--Medicaid"/>
    <s v="Periop Surgical Home"/>
    <x v="0"/>
    <n v="1200"/>
    <n v="-214"/>
    <n v="0"/>
    <n v="0"/>
    <n v="-254"/>
    <n v="0"/>
    <n v="0"/>
    <n v="0"/>
    <n v="0"/>
    <n v="0"/>
    <n v="0"/>
    <n v="0"/>
    <n v="-161"/>
    <n v="-629"/>
    <n v="161"/>
  </r>
  <r>
    <x v="19"/>
    <x v="4"/>
    <x v="0"/>
    <s v="5390103"/>
    <n v="400020"/>
    <s v="O/P Care Svcs Rev--Medicare"/>
    <s v="Periop Surgical Home"/>
    <x v="0"/>
    <n v="1100"/>
    <n v="-9686.2000000000007"/>
    <n v="-4533.6000000000004"/>
    <n v="-4320.92"/>
    <n v="-10073.799999999999"/>
    <n v="-11262.12"/>
    <n v="-6397.88"/>
    <n v="-10889.44"/>
    <n v="-3842.28"/>
    <n v="-12302.76"/>
    <n v="-7593.2"/>
    <n v="-11077.12"/>
    <n v="-13307.4"/>
    <n v="-105286.71999999999"/>
    <n v="2230.2799999999988"/>
  </r>
  <r>
    <x v="19"/>
    <x v="4"/>
    <x v="0"/>
    <s v="5390103"/>
    <n v="400020"/>
    <s v="O/P Care Svcs Rev--Medicaid"/>
    <s v="Periop Surgical Home"/>
    <x v="0"/>
    <n v="1200"/>
    <n v="-2581.2800000000002"/>
    <n v="-1342.64"/>
    <n v="-3827.6"/>
    <n v="-1799.64"/>
    <n v="-4517.24"/>
    <n v="-3440.6"/>
    <n v="-2068.96"/>
    <n v="-654.32000000000005"/>
    <n v="-5609.56"/>
    <n v="-5234.5600000000004"/>
    <n v="-1612.64"/>
    <n v="-1962.96"/>
    <n v="-34652"/>
    <n v="350.31999999999994"/>
  </r>
  <r>
    <x v="19"/>
    <x v="4"/>
    <x v="0"/>
    <s v="5390103"/>
    <n v="400020"/>
    <s v="O/P Care Svcs Rev--Comm Insurance"/>
    <s v="Periop Surgical Home"/>
    <x v="0"/>
    <n v="1300"/>
    <n v="-645.32000000000005"/>
    <n v="-214"/>
    <n v="-692.32"/>
    <n v="-645.32000000000005"/>
    <n v="0"/>
    <n v="0"/>
    <n v="0"/>
    <n v="0"/>
    <n v="-958.32"/>
    <n v="0"/>
    <n v="-654.32000000000005"/>
    <n v="-958.32"/>
    <n v="-4767.92"/>
    <n v="304"/>
  </r>
  <r>
    <x v="19"/>
    <x v="4"/>
    <x v="0"/>
    <s v="5390103"/>
    <n v="400020"/>
    <s v="O/P Care Svcs Rev--BCBS Comm"/>
    <s v="Periop Surgical Home"/>
    <x v="0"/>
    <n v="1301"/>
    <n v="0"/>
    <n v="-214"/>
    <n v="0"/>
    <n v="-645.32000000000005"/>
    <n v="-940.32"/>
    <n v="-1290.6400000000001"/>
    <n v="0"/>
    <n v="-654.32000000000005"/>
    <n v="-654.32000000000005"/>
    <n v="-1962.96"/>
    <n v="-654.32000000000005"/>
    <n v="-654.32000000000005"/>
    <n v="-7670.5199999999995"/>
    <n v="0"/>
  </r>
  <r>
    <x v="19"/>
    <x v="4"/>
    <x v="0"/>
    <s v="5390103"/>
    <n v="400020"/>
    <s v="O/P Care Svcs Rev--Managed Care"/>
    <s v="Periop Surgical Home"/>
    <x v="0"/>
    <n v="1400"/>
    <n v="-3226.6"/>
    <n v="-2130.2800000000002"/>
    <n v="-1384.64"/>
    <n v="-6372.2"/>
    <n v="0"/>
    <n v="-1935.96"/>
    <n v="-2230.96"/>
    <n v="-1603.64"/>
    <n v="-5455.56"/>
    <n v="-2617.2800000000002"/>
    <n v="-1612.64"/>
    <n v="-3271.6"/>
    <n v="-31841.359999999997"/>
    <n v="1658.9599999999998"/>
  </r>
  <r>
    <x v="19"/>
    <x v="4"/>
    <x v="0"/>
    <s v="5390103"/>
    <n v="400020"/>
    <s v="O/P Care Svcs Rev--Self Pay"/>
    <s v="Periop Surgical Home"/>
    <x v="0"/>
    <n v="1500"/>
    <n v="0"/>
    <n v="0"/>
    <n v="-692.32"/>
    <n v="692.32"/>
    <n v="-645.32000000000005"/>
    <n v="0"/>
    <n v="0"/>
    <n v="0"/>
    <n v="0"/>
    <n v="0"/>
    <n v="0"/>
    <n v="0"/>
    <n v="-645.32000000000005"/>
    <n v="0"/>
  </r>
  <r>
    <x v="19"/>
    <x v="4"/>
    <x v="0"/>
    <s v="5390103"/>
    <n v="400020"/>
    <s v="O/P Care Svcs Rev--Other"/>
    <s v="Periop Surgical Home"/>
    <x v="0"/>
    <n v="1700"/>
    <n v="-645.32000000000005"/>
    <n v="-555"/>
    <n v="-1290.6400000000001"/>
    <n v="-1290.6400000000001"/>
    <n v="0"/>
    <n v="-645.32000000000005"/>
    <n v="-940.32"/>
    <n v="-958.32"/>
    <n v="-2617.2800000000002"/>
    <n v="-654.32000000000005"/>
    <n v="-1962.96"/>
    <n v="-654.32000000000005"/>
    <n v="-12214.439999999999"/>
    <n v="-1308.6399999999999"/>
  </r>
  <r>
    <x v="1"/>
    <x v="4"/>
    <x v="0"/>
    <s v="5390103"/>
    <n v="400040"/>
    <s v="Physician Svcs Rev--Medicare"/>
    <s v="Periop Surgical Home"/>
    <x v="0"/>
    <n v="1100"/>
    <n v="-3709"/>
    <n v="-4882"/>
    <n v="-1562"/>
    <n v="-2988"/>
    <n v="-4534"/>
    <n v="-4266"/>
    <n v="-2791"/>
    <n v="-2456"/>
    <n v="-4703"/>
    <n v="-4559"/>
    <n v="-5959"/>
    <n v="-5236"/>
    <n v="-47645"/>
    <n v="-723"/>
  </r>
  <r>
    <x v="1"/>
    <x v="4"/>
    <x v="0"/>
    <s v="5390103"/>
    <n v="400040"/>
    <s v="Physician Svcs Rev--Medicaid"/>
    <s v="Periop Surgical Home"/>
    <x v="0"/>
    <n v="1200"/>
    <n v="-356"/>
    <n v="-1701"/>
    <n v="-1566"/>
    <n v="-953"/>
    <n v="-1064"/>
    <n v="-2494"/>
    <n v="-859"/>
    <n v="-216"/>
    <n v="-1350"/>
    <n v="-3248"/>
    <n v="-1636"/>
    <n v="-683"/>
    <n v="-16126"/>
    <n v="-953"/>
  </r>
  <r>
    <x v="1"/>
    <x v="4"/>
    <x v="0"/>
    <s v="5390103"/>
    <n v="400040"/>
    <s v="Physician Svcs Rev--Comm Insurance"/>
    <s v="Periop Surgical Home"/>
    <x v="0"/>
    <n v="1300"/>
    <n v="-211"/>
    <n v="-211"/>
    <n v="-211"/>
    <n v="0"/>
    <n v="-356"/>
    <n v="0"/>
    <n v="0"/>
    <n v="0"/>
    <n v="-427"/>
    <n v="0"/>
    <n v="-188"/>
    <n v="-524"/>
    <n v="-2128"/>
    <n v="336"/>
  </r>
  <r>
    <x v="1"/>
    <x v="4"/>
    <x v="0"/>
    <s v="5390103"/>
    <n v="400040"/>
    <s v="Physician Svcs Rev--BCBS Comm"/>
    <s v="Periop Surgical Home"/>
    <x v="0"/>
    <n v="1301"/>
    <n v="0"/>
    <n v="0"/>
    <n v="-141"/>
    <n v="-356"/>
    <n v="-422"/>
    <n v="-357"/>
    <n v="0"/>
    <n v="0"/>
    <n v="-712"/>
    <n v="-917"/>
    <n v="0"/>
    <n v="-139"/>
    <n v="-3044"/>
    <n v="139"/>
  </r>
  <r>
    <x v="1"/>
    <x v="4"/>
    <x v="0"/>
    <s v="5390103"/>
    <n v="400040"/>
    <s v="Physician Svcs Rev--Managed Care"/>
    <s v="Periop Surgical Home"/>
    <x v="0"/>
    <n v="1400"/>
    <n v="-422"/>
    <n v="-2695"/>
    <n v="-567"/>
    <n v="-1557"/>
    <n v="-778"/>
    <n v="-567"/>
    <n v="-995"/>
    <n v="-497"/>
    <n v="-1890"/>
    <n v="-1509"/>
    <n v="-1267"/>
    <n v="-1169"/>
    <n v="-13913"/>
    <n v="-98"/>
  </r>
  <r>
    <x v="1"/>
    <x v="4"/>
    <x v="0"/>
    <s v="5390103"/>
    <n v="400040"/>
    <s v="Physician Svcs Rev--Self Pay"/>
    <s v="Periop Surgical Home"/>
    <x v="0"/>
    <n v="1500"/>
    <n v="0"/>
    <n v="0"/>
    <n v="-211"/>
    <n v="0"/>
    <n v="0"/>
    <n v="-211"/>
    <n v="0"/>
    <n v="0"/>
    <n v="0"/>
    <n v="0"/>
    <n v="0"/>
    <n v="0"/>
    <n v="-422"/>
    <n v="0"/>
  </r>
  <r>
    <x v="1"/>
    <x v="4"/>
    <x v="0"/>
    <s v="5390103"/>
    <n v="400040"/>
    <s v="Physician Svcs Rev--Other"/>
    <s v="Periop Surgical Home"/>
    <x v="0"/>
    <n v="1700"/>
    <n v="0"/>
    <n v="-211"/>
    <n v="-427"/>
    <n v="-333"/>
    <n v="0"/>
    <n v="-427"/>
    <n v="-356"/>
    <n v="-567"/>
    <n v="-778"/>
    <n v="-567"/>
    <n v="-333"/>
    <n v="-916"/>
    <n v="-4915"/>
    <n v="583"/>
  </r>
  <r>
    <x v="2"/>
    <x v="4"/>
    <x v="0"/>
    <s v="5390103"/>
    <n v="450040"/>
    <s v="Contr Allow--Phys Svcs--Mcare"/>
    <s v="Periop Surgical Home"/>
    <x v="0"/>
    <n v="1100"/>
    <n v="2287.0300000000002"/>
    <n v="2526.15"/>
    <n v="1202.05"/>
    <n v="2128.75"/>
    <n v="2175.66"/>
    <n v="2639.49"/>
    <n v="3061.63"/>
    <n v="745.76"/>
    <n v="1749.42"/>
    <n v="2714.73"/>
    <n v="3079.2"/>
    <n v="4091.61"/>
    <n v="28401.479999999996"/>
    <n v="-1012.4100000000003"/>
  </r>
  <r>
    <x v="2"/>
    <x v="4"/>
    <x v="0"/>
    <s v="5390103"/>
    <n v="450040"/>
    <s v="Contr Allow--Phys Svcs--Mcaid"/>
    <s v="Periop Surgical Home"/>
    <x v="0"/>
    <n v="1200"/>
    <n v="611.1"/>
    <n v="327.36"/>
    <n v="445.9"/>
    <n v="1804.29"/>
    <n v="330.83"/>
    <n v="1546.53"/>
    <n v="1395.59"/>
    <n v="167.15"/>
    <n v="334.65"/>
    <n v="1768.43"/>
    <n v="2489.23"/>
    <n v="518.51"/>
    <n v="11739.57"/>
    <n v="1970.72"/>
  </r>
  <r>
    <x v="2"/>
    <x v="4"/>
    <x v="0"/>
    <s v="5390103"/>
    <n v="450040"/>
    <s v="Contr Allow--Phys Svcs--Comm Insurance"/>
    <s v="Periop Surgical Home"/>
    <x v="0"/>
    <n v="1300"/>
    <n v="0"/>
    <n v="0"/>
    <n v="166.02"/>
    <n v="0"/>
    <n v="181.54"/>
    <n v="0"/>
    <n v="0"/>
    <n v="-346"/>
    <n v="0"/>
    <n v="194.11"/>
    <n v="0"/>
    <n v="105.27"/>
    <n v="300.94"/>
    <n v="-105.27"/>
  </r>
  <r>
    <x v="2"/>
    <x v="4"/>
    <x v="0"/>
    <s v="5390103"/>
    <n v="450040"/>
    <s v="Contr Allow--Phys Svcs--BCBS Comm Ins"/>
    <s v="Periop Surgical Home"/>
    <x v="0"/>
    <n v="1301"/>
    <n v="0"/>
    <n v="0"/>
    <n v="0"/>
    <n v="38.4"/>
    <n v="189.84"/>
    <n v="34.4"/>
    <n v="52.79"/>
    <n v="0"/>
    <n v="86.92"/>
    <n v="133.05000000000001"/>
    <n v="172.25"/>
    <n v="0"/>
    <n v="707.65000000000009"/>
    <n v="172.25"/>
  </r>
  <r>
    <x v="2"/>
    <x v="4"/>
    <x v="0"/>
    <s v="5390103"/>
    <n v="450040"/>
    <s v="Contr Allow--Phys Svcs--Managed Care"/>
    <s v="Periop Surgical Home"/>
    <x v="0"/>
    <n v="1400"/>
    <n v="210.28"/>
    <n v="415.99"/>
    <n v="487.26"/>
    <n v="337.18"/>
    <n v="809.76"/>
    <n v="267.79000000000002"/>
    <n v="731.06"/>
    <n v="-48.76"/>
    <n v="440.11"/>
    <n v="1017.15"/>
    <n v="394.43"/>
    <n v="305.27999999999997"/>
    <n v="5367.53"/>
    <n v="89.150000000000034"/>
  </r>
  <r>
    <x v="2"/>
    <x v="4"/>
    <x v="0"/>
    <s v="5390103"/>
    <n v="450040"/>
    <s v="Contr Allow--Phys Svcs--BCBS Mgnd Care"/>
    <s v="Periop Surgical Home"/>
    <x v="0"/>
    <n v="1401"/>
    <n v="-49.03"/>
    <n v="2244.3200000000002"/>
    <n v="71.14"/>
    <n v="-699.61"/>
    <n v="-142.97"/>
    <n v="963.65"/>
    <n v="-1603.58"/>
    <n v="679.04"/>
    <n v="2807.09"/>
    <n v="-61.31"/>
    <n v="-121.85"/>
    <n v="-738.3"/>
    <n v="3348.5899999999992"/>
    <n v="616.44999999999993"/>
  </r>
  <r>
    <x v="2"/>
    <x v="4"/>
    <x v="0"/>
    <s v="5390103"/>
    <n v="450040"/>
    <s v="Admin Adjust-Phys Svcs-Self Pay"/>
    <s v="Periop Surgical Home"/>
    <x v="0"/>
    <n v="1600"/>
    <n v="8.5399999999999991"/>
    <n v="0"/>
    <n v="78.069999999999993"/>
    <n v="0"/>
    <n v="0"/>
    <n v="78.069999999999993"/>
    <n v="16"/>
    <n v="50"/>
    <n v="0"/>
    <n v="0"/>
    <n v="0"/>
    <n v="0"/>
    <n v="230.67999999999998"/>
    <n v="0"/>
  </r>
  <r>
    <x v="2"/>
    <x v="4"/>
    <x v="0"/>
    <s v="5390103"/>
    <n v="450040"/>
    <s v="Contr Allow--Phys Svcs--Other"/>
    <s v="Periop Surgical Home"/>
    <x v="0"/>
    <n v="1700"/>
    <n v="0"/>
    <n v="0"/>
    <n v="0"/>
    <n v="267.69"/>
    <n v="204.92"/>
    <n v="0"/>
    <n v="134.86000000000001"/>
    <n v="392.95"/>
    <n v="0"/>
    <n v="493.83"/>
    <n v="225.16"/>
    <n v="1179.55"/>
    <n v="2898.96"/>
    <n v="-954.39"/>
  </r>
  <r>
    <x v="3"/>
    <x v="4"/>
    <x v="0"/>
    <s v="5390103"/>
    <n v="470040"/>
    <s v="Charity Care-Physician Svcs"/>
    <s v="Periop Surgical Home"/>
    <x v="0"/>
    <m/>
    <n v="15.5"/>
    <n v="108.85"/>
    <n v="-14.29"/>
    <n v="33.840000000000003"/>
    <n v="2.2599999999999998"/>
    <n v="134.34"/>
    <n v="156.25"/>
    <n v="8.65"/>
    <n v="196.4"/>
    <n v="10.9"/>
    <n v="-9.6"/>
    <n v="61.28"/>
    <n v="704.37999999999988"/>
    <n v="-70.88"/>
  </r>
  <r>
    <x v="4"/>
    <x v="4"/>
    <x v="0"/>
    <s v="5390103"/>
    <n v="490010"/>
    <s v="Provision for Bad Debts"/>
    <s v="Periop Surgical Home"/>
    <x v="0"/>
    <m/>
    <n v="-102.77"/>
    <n v="258.31"/>
    <n v="-24.79"/>
    <n v="279.27"/>
    <n v="221.72"/>
    <n v="1.3"/>
    <n v="-339.08"/>
    <n v="29.5"/>
    <n v="632.87"/>
    <n v="-1.07"/>
    <n v="-58.03"/>
    <n v="-76.97"/>
    <n v="820.25999999999988"/>
    <n v="18.939999999999998"/>
  </r>
  <r>
    <x v="7"/>
    <x v="4"/>
    <x v="0"/>
    <s v="5390103"/>
    <n v="718050"/>
    <s v="Contract Management--Linen"/>
    <s v="Periop Surgical Home"/>
    <x v="0"/>
    <n v="1026"/>
    <n v="0"/>
    <n v="0"/>
    <n v="0"/>
    <n v="0"/>
    <n v="0"/>
    <n v="0"/>
    <n v="8.74"/>
    <n v="8.1999999999999993"/>
    <n v="-0.1"/>
    <n v="0"/>
    <n v="0"/>
    <n v="0"/>
    <n v="16.839999999999996"/>
    <n v="0"/>
  </r>
  <r>
    <x v="7"/>
    <x v="4"/>
    <x v="0"/>
    <s v="5390103"/>
    <n v="718091"/>
    <s v="Contract Services-Intracompany Allocation"/>
    <s v="Periop Surgical Home"/>
    <x v="0"/>
    <m/>
    <n v="6952.56"/>
    <n v="7266.53"/>
    <n v="6391.71"/>
    <n v="9603.2800000000007"/>
    <n v="4838.83"/>
    <n v="7202.41"/>
    <n v="8139.76"/>
    <n v="6797.86"/>
    <n v="7083.28"/>
    <n v="7313.47"/>
    <n v="7385.71"/>
    <n v="6891.37"/>
    <n v="85866.77"/>
    <n v="494.34000000000015"/>
  </r>
  <r>
    <x v="11"/>
    <x v="4"/>
    <x v="0"/>
    <s v="5390103"/>
    <n v="721830"/>
    <s v="Supplies-Office"/>
    <s v="Periop Surgical Home"/>
    <x v="0"/>
    <m/>
    <n v="0"/>
    <n v="0"/>
    <n v="0"/>
    <n v="0"/>
    <n v="0"/>
    <n v="0"/>
    <n v="0"/>
    <n v="0"/>
    <n v="127.67"/>
    <n v="231.93"/>
    <n v="0"/>
    <n v="0"/>
    <n v="359.6"/>
    <n v="0"/>
  </r>
  <r>
    <x v="12"/>
    <x v="4"/>
    <x v="0"/>
    <s v="5390103"/>
    <n v="730020"/>
    <s v="Rental and Leases-Copier Usage Fees (DO NOT USE)"/>
    <s v="Periop Surgical Home"/>
    <x v="0"/>
    <n v="5100"/>
    <n v="55.42"/>
    <n v="57.36"/>
    <n v="56.39"/>
    <n v="56.39"/>
    <n v="56.39"/>
    <n v="56.39"/>
    <n v="50.13"/>
    <n v="57.41"/>
    <n v="66.25"/>
    <n v="57.53"/>
    <n v="57.41"/>
    <n v="57.41"/>
    <n v="684.4799999999999"/>
    <n v="0"/>
  </r>
  <r>
    <x v="15"/>
    <x v="4"/>
    <x v="0"/>
    <s v="5390103"/>
    <n v="731020"/>
    <s v="Electricity"/>
    <s v="Periop Surgical Home"/>
    <x v="0"/>
    <m/>
    <n v="0"/>
    <n v="187.05"/>
    <n v="0"/>
    <n v="165.67"/>
    <n v="0"/>
    <n v="184.8"/>
    <n v="0"/>
    <n v="0"/>
    <n v="0"/>
    <n v="0"/>
    <n v="0"/>
    <n v="0"/>
    <n v="537.52"/>
    <n v="0"/>
  </r>
  <r>
    <x v="7"/>
    <x v="8"/>
    <x v="0"/>
    <s v="5390104"/>
    <n v="718091"/>
    <s v="Contract Services-Intracompany Allocation"/>
    <s v="Periop Surgical Home"/>
    <x v="0"/>
    <m/>
    <n v="3494.87"/>
    <n v="3652.69"/>
    <n v="3212.95"/>
    <n v="4827.32"/>
    <n v="2432.35"/>
    <n v="3620.46"/>
    <n v="4091.64"/>
    <n v="3417.11"/>
    <n v="3560.58"/>
    <n v="3676.29"/>
    <n v="3712.6"/>
    <n v="3464.12"/>
    <n v="43162.979999999996"/>
    <n v="248.48000000000002"/>
  </r>
  <r>
    <x v="5"/>
    <x v="5"/>
    <x v="0"/>
    <s v="5390106"/>
    <n v="700022"/>
    <s v="Salaries-Physician-Other"/>
    <s v="Periop Surgical Home"/>
    <x v="0"/>
    <n v="2000"/>
    <n v="0"/>
    <n v="0"/>
    <n v="0"/>
    <n v="0"/>
    <n v="0"/>
    <n v="0"/>
    <n v="0"/>
    <n v="0"/>
    <n v="0"/>
    <n v="0"/>
    <n v="0"/>
    <n v="932.82"/>
    <n v="932.82"/>
    <n v="-932.82"/>
  </r>
  <r>
    <x v="6"/>
    <x v="5"/>
    <x v="0"/>
    <s v="5390106"/>
    <n v="713010"/>
    <s v="Benefits-FICA/Medicare"/>
    <s v="Periop Surgical Home"/>
    <x v="0"/>
    <m/>
    <n v="0"/>
    <n v="0"/>
    <n v="0"/>
    <n v="0"/>
    <n v="0"/>
    <n v="0"/>
    <n v="0"/>
    <n v="0"/>
    <n v="0"/>
    <n v="0"/>
    <n v="0"/>
    <n v="13.15"/>
    <n v="13.15"/>
    <n v="-13.15"/>
  </r>
  <r>
    <x v="6"/>
    <x v="5"/>
    <x v="0"/>
    <s v="5390106"/>
    <n v="713090"/>
    <s v="Benefits-Allocated Amounts"/>
    <s v="Periop Surgical Home"/>
    <x v="0"/>
    <m/>
    <n v="0"/>
    <n v="0"/>
    <n v="0"/>
    <n v="0"/>
    <n v="0"/>
    <n v="0"/>
    <n v="0"/>
    <n v="0"/>
    <n v="0"/>
    <n v="0"/>
    <n v="0"/>
    <n v="62.16"/>
    <n v="62.16"/>
    <n v="-62.16"/>
  </r>
  <r>
    <x v="19"/>
    <x v="7"/>
    <x v="0"/>
    <s v="5390150"/>
    <n v="400020"/>
    <s v="O/P Care Svcs Rev--Medicare"/>
    <s v="Periop Surgical Home"/>
    <x v="0"/>
    <n v="1100"/>
    <n v="0"/>
    <n v="0"/>
    <n v="0"/>
    <n v="0"/>
    <n v="-1799.64"/>
    <n v="-590"/>
    <n v="0"/>
    <n v="0"/>
    <n v="0"/>
    <n v="0"/>
    <n v="0"/>
    <n v="0"/>
    <n v="-2389.6400000000003"/>
    <n v="0"/>
  </r>
  <r>
    <x v="19"/>
    <x v="7"/>
    <x v="0"/>
    <s v="5390150"/>
    <n v="400020"/>
    <s v="O/P Care Svcs Rev--Medicaid"/>
    <s v="Periop Surgical Home"/>
    <x v="0"/>
    <n v="1200"/>
    <n v="0"/>
    <n v="0"/>
    <n v="0"/>
    <n v="0"/>
    <n v="-295"/>
    <n v="0"/>
    <n v="0"/>
    <n v="0"/>
    <n v="0"/>
    <n v="0"/>
    <n v="0"/>
    <n v="0"/>
    <n v="-295"/>
    <n v="0"/>
  </r>
  <r>
    <x v="19"/>
    <x v="7"/>
    <x v="0"/>
    <s v="5390150"/>
    <n v="400020"/>
    <s v="O/P Care Svcs Rev--BCBS Comm"/>
    <s v="Periop Surgical Home"/>
    <x v="0"/>
    <n v="1301"/>
    <n v="0"/>
    <n v="0"/>
    <n v="0"/>
    <n v="0"/>
    <n v="-295"/>
    <n v="0"/>
    <n v="0"/>
    <n v="0"/>
    <n v="0"/>
    <n v="0"/>
    <n v="0"/>
    <n v="0"/>
    <n v="-295"/>
    <n v="0"/>
  </r>
  <r>
    <x v="19"/>
    <x v="7"/>
    <x v="0"/>
    <s v="5390150"/>
    <n v="400020"/>
    <s v="O/P Care Svcs Rev--Managed Care"/>
    <s v="Periop Surgical Home"/>
    <x v="0"/>
    <n v="1400"/>
    <n v="0"/>
    <n v="0"/>
    <n v="0"/>
    <n v="0"/>
    <n v="-295"/>
    <n v="-154"/>
    <n v="0"/>
    <n v="0"/>
    <n v="0"/>
    <n v="0"/>
    <n v="0"/>
    <n v="0"/>
    <n v="-449"/>
    <n v="0"/>
  </r>
  <r>
    <x v="18"/>
    <x v="3"/>
    <x v="0"/>
    <s v="5391101"/>
    <n v="400010"/>
    <s v="Acute I/P Svcs Rev--Medicare"/>
    <s v="Enterostomy"/>
    <x v="0"/>
    <n v="1100"/>
    <n v="-35023.58"/>
    <n v="-22150.48"/>
    <n v="-24161.84"/>
    <n v="-57554.67"/>
    <n v="-42441.45"/>
    <n v="-46457.11"/>
    <n v="-41260.050000000003"/>
    <n v="-45749.17"/>
    <n v="-43049.82"/>
    <n v="-40892.86"/>
    <n v="-38390.080000000002"/>
    <n v="-34150.86"/>
    <n v="-471281.97"/>
    <n v="-4239.2200000000012"/>
  </r>
  <r>
    <x v="18"/>
    <x v="3"/>
    <x v="0"/>
    <s v="5391101"/>
    <n v="400010"/>
    <s v="Acute I/P Svcs Rev--Medicaid"/>
    <s v="Enterostomy"/>
    <x v="0"/>
    <n v="1200"/>
    <n v="-14536.29"/>
    <n v="-34199"/>
    <n v="-28273.119999999999"/>
    <n v="-32138.62"/>
    <n v="-24948.97"/>
    <n v="-19128.09"/>
    <n v="-12907.71"/>
    <n v="-9151.98"/>
    <n v="-14117.7"/>
    <n v="-13335.17"/>
    <n v="-14478.02"/>
    <n v="-16836.57"/>
    <n v="-234051.24000000002"/>
    <n v="2358.5499999999993"/>
  </r>
  <r>
    <x v="18"/>
    <x v="3"/>
    <x v="0"/>
    <s v="5391101"/>
    <n v="400010"/>
    <s v="Acute I/P Svcs Rev--Comm Insurance"/>
    <s v="Enterostomy"/>
    <x v="0"/>
    <n v="1300"/>
    <n v="-1604.86"/>
    <n v="636.01"/>
    <n v="0"/>
    <n v="-1562.73"/>
    <n v="0"/>
    <n v="-298.2"/>
    <n v="-267.29000000000002"/>
    <n v="149.1"/>
    <n v="-2161.9299999999998"/>
    <n v="-3582.73"/>
    <n v="-429.82"/>
    <n v="-5709.28"/>
    <n v="-14831.73"/>
    <n v="5279.46"/>
  </r>
  <r>
    <x v="18"/>
    <x v="3"/>
    <x v="0"/>
    <s v="5391101"/>
    <n v="400010"/>
    <s v="Acute I/P Svcs Rev--BCBS Comm"/>
    <s v="Enterostomy"/>
    <x v="0"/>
    <n v="1301"/>
    <n v="-295.05"/>
    <n v="-2756.08"/>
    <n v="-603.96"/>
    <n v="-295.05"/>
    <n v="-3009.69"/>
    <n v="-2842.32"/>
    <n v="-1534.05"/>
    <n v="-749.48"/>
    <n v="-1604.78"/>
    <n v="-1278.33"/>
    <n v="-1203.71"/>
    <n v="-997.11"/>
    <n v="-17169.61"/>
    <n v="-206.60000000000002"/>
  </r>
  <r>
    <x v="18"/>
    <x v="3"/>
    <x v="0"/>
    <s v="5391101"/>
    <n v="400010"/>
    <s v="Acute I/P Svcs Rev--Managed Care"/>
    <s v="Enterostomy"/>
    <x v="0"/>
    <n v="1400"/>
    <n v="-21722.39"/>
    <n v="-9454.2800000000007"/>
    <n v="-8043.69"/>
    <n v="-7494.7"/>
    <n v="-6695.79"/>
    <n v="-2820.87"/>
    <n v="-16977.89"/>
    <n v="-5686.58"/>
    <n v="-7902.05"/>
    <n v="-13661.37"/>
    <n v="-16356.88"/>
    <n v="-10536.73"/>
    <n v="-127353.22"/>
    <n v="-5820.15"/>
  </r>
  <r>
    <x v="18"/>
    <x v="3"/>
    <x v="0"/>
    <s v="5391101"/>
    <n v="400010"/>
    <s v="Acute I/P Svcs Rev--Self Pay"/>
    <s v="Enterostomy"/>
    <x v="0"/>
    <n v="1500"/>
    <n v="-428.4"/>
    <n v="-3064.2"/>
    <n v="-2259.67"/>
    <n v="-590.1"/>
    <n v="590.1"/>
    <n v="0"/>
    <n v="0"/>
    <n v="-153.57"/>
    <n v="-1346.47"/>
    <n v="-153.57"/>
    <n v="153.57"/>
    <n v="-1279.4100000000001"/>
    <n v="-8531.7200000000012"/>
    <n v="1432.98"/>
  </r>
  <r>
    <x v="18"/>
    <x v="3"/>
    <x v="0"/>
    <s v="5391101"/>
    <n v="400010"/>
    <s v="Acute I/P Svcs Rev--Other"/>
    <s v="Enterostomy"/>
    <x v="0"/>
    <n v="1700"/>
    <n v="0"/>
    <n v="-3254.97"/>
    <n v="-3502.21"/>
    <n v="-4465.4799999999996"/>
    <n v="-2055.9"/>
    <n v="-941.85"/>
    <n v="-3095.96"/>
    <n v="-2230.36"/>
    <n v="-521.34"/>
    <n v="-8416.8700000000008"/>
    <n v="-3674.31"/>
    <n v="1534.12"/>
    <n v="-30625.130000000005"/>
    <n v="-5208.43"/>
  </r>
  <r>
    <x v="19"/>
    <x v="3"/>
    <x v="0"/>
    <s v="5391101"/>
    <n v="400020"/>
    <s v="O/P Care Svcs Rev--Medicare"/>
    <s v="Enterostomy"/>
    <x v="0"/>
    <n v="1100"/>
    <n v="-7814.02"/>
    <n v="-10192.870000000001"/>
    <n v="-9493.66"/>
    <n v="-11904.01"/>
    <n v="-9848.51"/>
    <n v="-8871.26"/>
    <n v="-9898.74"/>
    <n v="-8483.89"/>
    <n v="-7439.36"/>
    <n v="-8148.21"/>
    <n v="-8901.8700000000008"/>
    <n v="-8473.2000000000007"/>
    <n v="-109469.6"/>
    <n v="-428.67000000000007"/>
  </r>
  <r>
    <x v="19"/>
    <x v="3"/>
    <x v="0"/>
    <s v="5391101"/>
    <n v="400020"/>
    <s v="O/P Care Svcs Rev--Medicaid"/>
    <s v="Enterostomy"/>
    <x v="0"/>
    <n v="1200"/>
    <n v="-2289.0500000000002"/>
    <n v="-2647.05"/>
    <n v="-3347.06"/>
    <n v="-4693.24"/>
    <n v="-1260.8"/>
    <n v="-1536.02"/>
    <n v="-1329.1"/>
    <n v="-154.9"/>
    <n v="-2045.7"/>
    <n v="-3651.4"/>
    <n v="-2771.32"/>
    <n v="-2798.7"/>
    <n v="-28524.340000000004"/>
    <n v="27.379999999999654"/>
  </r>
  <r>
    <x v="19"/>
    <x v="3"/>
    <x v="0"/>
    <s v="5391101"/>
    <n v="400020"/>
    <s v="O/P Care Svcs Rev--Comm Insurance"/>
    <s v="Enterostomy"/>
    <x v="0"/>
    <n v="1300"/>
    <n v="0"/>
    <n v="0"/>
    <n v="-509"/>
    <n v="0"/>
    <n v="0"/>
    <n v="0"/>
    <n v="0"/>
    <n v="0"/>
    <n v="0"/>
    <n v="-304"/>
    <n v="0"/>
    <n v="0"/>
    <n v="-813"/>
    <n v="0"/>
  </r>
  <r>
    <x v="19"/>
    <x v="3"/>
    <x v="0"/>
    <s v="5391101"/>
    <n v="400020"/>
    <s v="O/P Care Svcs Rev--BCBS Comm"/>
    <s v="Enterostomy"/>
    <x v="0"/>
    <n v="1301"/>
    <n v="-1455.02"/>
    <n v="-295"/>
    <n v="-295"/>
    <n v="-295"/>
    <n v="-509"/>
    <n v="-295"/>
    <n v="-509"/>
    <n v="-304"/>
    <n v="-912"/>
    <n v="-633.25"/>
    <n v="-608"/>
    <n v="-912"/>
    <n v="-7022.27"/>
    <n v="304"/>
  </r>
  <r>
    <x v="19"/>
    <x v="3"/>
    <x v="0"/>
    <s v="5391101"/>
    <n v="400020"/>
    <s v="O/P Care Svcs Rev--Managed Care"/>
    <s v="Enterostomy"/>
    <x v="0"/>
    <n v="1400"/>
    <n v="-5647.83"/>
    <n v="-5383"/>
    <n v="-4206.96"/>
    <n v="-5075.95"/>
    <n v="-7268.98"/>
    <n v="-7.2"/>
    <n v="-1394"/>
    <n v="-2736"/>
    <n v="-3040"/>
    <n v="-4318.7"/>
    <n v="-2798.6"/>
    <n v="-829.1"/>
    <n v="-42706.319999999992"/>
    <n v="-1969.5"/>
  </r>
  <r>
    <x v="19"/>
    <x v="3"/>
    <x v="0"/>
    <s v="5391101"/>
    <n v="400020"/>
    <s v="O/P Care Svcs Rev--Self Pay"/>
    <s v="Enterostomy"/>
    <x v="0"/>
    <n v="1500"/>
    <n v="0"/>
    <n v="0"/>
    <n v="0"/>
    <n v="0"/>
    <n v="0"/>
    <n v="0"/>
    <n v="-509"/>
    <n v="-304"/>
    <n v="-304"/>
    <n v="-670.7"/>
    <n v="-1645.4"/>
    <n v="0"/>
    <n v="-3433.1000000000004"/>
    <n v="-1645.4"/>
  </r>
  <r>
    <x v="19"/>
    <x v="3"/>
    <x v="0"/>
    <s v="5391101"/>
    <n v="400020"/>
    <s v="O/P Care Svcs Rev--Other"/>
    <s v="Enterostomy"/>
    <x v="0"/>
    <n v="1700"/>
    <n v="0"/>
    <n v="-1597.04"/>
    <n v="-295"/>
    <n v="0"/>
    <n v="0"/>
    <n v="-651.02"/>
    <n v="-946.02"/>
    <n v="-304"/>
    <n v="-304"/>
    <n v="-304"/>
    <n v="-670.7"/>
    <n v="-304"/>
    <n v="-5375.78"/>
    <n v="-366.70000000000005"/>
  </r>
  <r>
    <x v="5"/>
    <x v="3"/>
    <x v="0"/>
    <s v="5391101"/>
    <n v="700026"/>
    <s v="Salaries-RN-Productive"/>
    <s v="Enterostomy"/>
    <x v="0"/>
    <m/>
    <n v="36193.980000000003"/>
    <n v="27639.27"/>
    <n v="29869.05"/>
    <n v="22603.16"/>
    <n v="19150.310000000001"/>
    <n v="17135.03"/>
    <n v="26948.87"/>
    <n v="19919.810000000001"/>
    <n v="25074.98"/>
    <n v="23753.48"/>
    <n v="21530.52"/>
    <n v="23218.7"/>
    <n v="293037.16000000003"/>
    <n v="-1688.1800000000003"/>
  </r>
  <r>
    <x v="5"/>
    <x v="3"/>
    <x v="0"/>
    <s v="5391101"/>
    <n v="700026"/>
    <s v="Salaries-RN-Other"/>
    <s v="Enterostomy"/>
    <x v="0"/>
    <n v="2000"/>
    <n v="399.92"/>
    <n v="559.37"/>
    <n v="462.21"/>
    <n v="-112.76"/>
    <n v="329.97"/>
    <n v="0"/>
    <n v="0"/>
    <n v="0"/>
    <n v="0"/>
    <n v="0"/>
    <n v="0"/>
    <n v="0"/>
    <n v="1638.71"/>
    <n v="0"/>
  </r>
  <r>
    <x v="5"/>
    <x v="3"/>
    <x v="0"/>
    <s v="5391101"/>
    <n v="700054"/>
    <s v="Salaries-Management-NonProd-Other"/>
    <s v="Enterostomy"/>
    <x v="0"/>
    <n v="2000"/>
    <n v="0"/>
    <n v="0"/>
    <n v="0"/>
    <n v="0"/>
    <n v="0"/>
    <n v="776.24"/>
    <n v="-776.24"/>
    <n v="0"/>
    <n v="0"/>
    <n v="0"/>
    <n v="0"/>
    <n v="0"/>
    <n v="0"/>
    <n v="0"/>
  </r>
  <r>
    <x v="5"/>
    <x v="3"/>
    <x v="0"/>
    <s v="5391101"/>
    <n v="700066"/>
    <s v="Salaries-RN-Non-productive"/>
    <s v="Enterostomy"/>
    <x v="0"/>
    <m/>
    <n v="8758.34"/>
    <n v="7556.83"/>
    <n v="1268.67"/>
    <n v="10062.25"/>
    <n v="4886.2"/>
    <n v="4570.8500000000004"/>
    <n v="404.42"/>
    <n v="5302.44"/>
    <n v="1781.82"/>
    <n v="2908.2"/>
    <n v="3911.15"/>
    <n v="1714.6"/>
    <n v="53125.77"/>
    <n v="2196.5500000000002"/>
  </r>
  <r>
    <x v="5"/>
    <x v="3"/>
    <x v="0"/>
    <s v="5391101"/>
    <n v="700066"/>
    <s v="Salaries-RN-NonProd-Other"/>
    <s v="Enterostom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391101"/>
    <n v="700084"/>
    <s v="Accrued PTO"/>
    <s v="Enterostomy"/>
    <x v="0"/>
    <m/>
    <n v="-1876.12"/>
    <n v="-994.35"/>
    <n v="2098.36"/>
    <n v="-1856.34"/>
    <n v="-3265.45"/>
    <n v="-141.88"/>
    <n v="3286.69"/>
    <n v="-172.35"/>
    <n v="1755.24"/>
    <n v="2176.94"/>
    <n v="750.15"/>
    <n v="3152.63"/>
    <n v="4913.5200000000004"/>
    <n v="-2402.48"/>
  </r>
  <r>
    <x v="10"/>
    <x v="3"/>
    <x v="0"/>
    <s v="5391101"/>
    <n v="710060"/>
    <s v="Contract Labor-Other"/>
    <s v="Enterostomy"/>
    <x v="0"/>
    <m/>
    <n v="27967.5"/>
    <n v="18000"/>
    <n v="16532.009999999998"/>
    <n v="37664.74"/>
    <n v="38567.01"/>
    <n v="62456"/>
    <n v="13458.26"/>
    <n v="13095"/>
    <n v="4544.01"/>
    <n v="0"/>
    <n v="0"/>
    <n v="32130"/>
    <n v="264414.53000000003"/>
    <n v="-32130"/>
  </r>
  <r>
    <x v="10"/>
    <x v="3"/>
    <x v="0"/>
    <s v="5391101"/>
    <n v="710060"/>
    <s v="Contract Labor-Overtime"/>
    <s v="Enterostomy"/>
    <x v="0"/>
    <n v="5100"/>
    <n v="2490.7600000000002"/>
    <n v="5133.37"/>
    <n v="3734.12"/>
    <n v="5584.94"/>
    <n v="5106.03"/>
    <n v="13770.68"/>
    <n v="8634.26"/>
    <n v="2673"/>
    <n v="934.53"/>
    <n v="0"/>
    <n v="0"/>
    <n v="6743.25"/>
    <n v="54804.939999999995"/>
    <n v="-6743.25"/>
  </r>
  <r>
    <x v="6"/>
    <x v="3"/>
    <x v="0"/>
    <s v="5391101"/>
    <n v="713010"/>
    <s v="Benefits-FICA/Medicare"/>
    <s v="Enterostomy"/>
    <x v="0"/>
    <m/>
    <n v="3385.52"/>
    <n v="2655.06"/>
    <n v="2353.84"/>
    <n v="2401.21"/>
    <n v="1805.53"/>
    <n v="1674.57"/>
    <n v="2108.59"/>
    <n v="1898.17"/>
    <n v="2007.65"/>
    <n v="1990.87"/>
    <n v="1905.54"/>
    <n v="1874.27"/>
    <n v="26060.82"/>
    <n v="31.269999999999982"/>
  </r>
  <r>
    <x v="6"/>
    <x v="3"/>
    <x v="0"/>
    <s v="5391101"/>
    <n v="713090"/>
    <s v="Benefits-Allocated Amounts"/>
    <s v="Enterostomy"/>
    <x v="0"/>
    <m/>
    <n v="7547.73"/>
    <n v="5418.14"/>
    <n v="5447.45"/>
    <n v="5184.5200000000004"/>
    <n v="3918.83"/>
    <n v="3574.79"/>
    <n v="4992.4799999999996"/>
    <n v="4610.04"/>
    <n v="3422"/>
    <n v="4530.55"/>
    <n v="4694.84"/>
    <n v="4692.92"/>
    <n v="58034.290000000008"/>
    <n v="1.9200000000000728"/>
  </r>
  <r>
    <x v="7"/>
    <x v="3"/>
    <x v="0"/>
    <s v="5391101"/>
    <n v="718050"/>
    <s v="Document Shredding/Storage"/>
    <s v="Enterostomy"/>
    <x v="0"/>
    <n v="1012"/>
    <n v="4.32"/>
    <n v="4.3899999999999997"/>
    <n v="4.0599999999999996"/>
    <n v="4.2"/>
    <n v="4.34"/>
    <n v="4.34"/>
    <n v="4.29"/>
    <n v="3.71"/>
    <n v="3.82"/>
    <n v="4.99"/>
    <n v="4.2"/>
    <n v="4.34"/>
    <n v="51"/>
    <n v="-0.13999999999999968"/>
  </r>
  <r>
    <x v="7"/>
    <x v="3"/>
    <x v="0"/>
    <s v="5391101"/>
    <n v="718050"/>
    <s v="Translation Services"/>
    <s v="Enterostomy"/>
    <x v="0"/>
    <n v="1025"/>
    <n v="0"/>
    <n v="0"/>
    <n v="32"/>
    <n v="0"/>
    <n v="0"/>
    <n v="128"/>
    <n v="32"/>
    <n v="0"/>
    <n v="0"/>
    <n v="0"/>
    <n v="0"/>
    <n v="0"/>
    <n v="192"/>
    <n v="0"/>
  </r>
  <r>
    <x v="7"/>
    <x v="3"/>
    <x v="0"/>
    <s v="5391101"/>
    <n v="718050"/>
    <s v="Contract Management--Linen"/>
    <s v="Enterostomy"/>
    <x v="0"/>
    <n v="1026"/>
    <n v="108.14"/>
    <n v="154.09"/>
    <n v="149.84"/>
    <n v="49.48"/>
    <n v="82.82"/>
    <n v="55.87"/>
    <n v="51.48"/>
    <n v="80.66"/>
    <n v="54.31"/>
    <n v="87.23"/>
    <n v="49.48"/>
    <n v="73.16"/>
    <n v="996.56000000000006"/>
    <n v="-23.68"/>
  </r>
  <r>
    <x v="11"/>
    <x v="3"/>
    <x v="0"/>
    <s v="5391101"/>
    <n v="721010"/>
    <s v="Supplies-Medical - Billable"/>
    <s v="Enterostomy"/>
    <x v="0"/>
    <m/>
    <n v="293.61"/>
    <n v="292.04000000000002"/>
    <n v="266.72000000000003"/>
    <n v="249.58"/>
    <n v="714.01"/>
    <n v="706.67"/>
    <n v="383.58"/>
    <n v="52.9"/>
    <n v="206.37"/>
    <n v="363.31"/>
    <n v="325.54000000000002"/>
    <n v="118.44"/>
    <n v="3972.77"/>
    <n v="207.10000000000002"/>
  </r>
  <r>
    <x v="11"/>
    <x v="3"/>
    <x v="0"/>
    <s v="5391101"/>
    <n v="721410"/>
    <s v="Supplies-Medical - Nonbillable"/>
    <s v="Enterostomy"/>
    <x v="0"/>
    <m/>
    <n v="79.010000000000005"/>
    <n v="38.43"/>
    <n v="9.7899999999999991"/>
    <n v="296.41000000000003"/>
    <n v="30.72"/>
    <n v="386.87"/>
    <n v="45.12"/>
    <n v="-1441.21"/>
    <n v="310.37"/>
    <n v="6248.02"/>
    <n v="109.52"/>
    <n v="36.869999999999997"/>
    <n v="6149.920000000001"/>
    <n v="72.650000000000006"/>
  </r>
  <r>
    <x v="11"/>
    <x v="3"/>
    <x v="0"/>
    <s v="5391101"/>
    <n v="721420"/>
    <s v="Supplies-Surgical Nonbillable"/>
    <s v="Enterostomy"/>
    <x v="0"/>
    <m/>
    <n v="0"/>
    <n v="0"/>
    <n v="19.5"/>
    <n v="19.5"/>
    <n v="0"/>
    <n v="19.5"/>
    <n v="19.5"/>
    <n v="0"/>
    <n v="39"/>
    <n v="0"/>
    <n v="0"/>
    <n v="0"/>
    <n v="117"/>
    <n v="0"/>
  </r>
  <r>
    <x v="11"/>
    <x v="3"/>
    <x v="0"/>
    <s v="5391101"/>
    <n v="721640"/>
    <s v="Supplies-IV Solutions/Supplies - Nonbillable"/>
    <s v="Enterostomy"/>
    <x v="0"/>
    <m/>
    <n v="65.430000000000007"/>
    <n v="21.81"/>
    <n v="0"/>
    <n v="0"/>
    <n v="0"/>
    <n v="0"/>
    <n v="0"/>
    <n v="0"/>
    <n v="0"/>
    <n v="0"/>
    <n v="14.54"/>
    <n v="0"/>
    <n v="101.78"/>
    <n v="14.54"/>
  </r>
  <r>
    <x v="11"/>
    <x v="3"/>
    <x v="0"/>
    <s v="5391101"/>
    <n v="721710"/>
    <s v="Supplies-Laboratory - Nonbillable"/>
    <s v="Enterostomy"/>
    <x v="0"/>
    <m/>
    <n v="0"/>
    <n v="0"/>
    <n v="2.09"/>
    <n v="0"/>
    <n v="0"/>
    <n v="0"/>
    <n v="1.67"/>
    <n v="0"/>
    <n v="0"/>
    <n v="1.28"/>
    <n v="7.04"/>
    <n v="0"/>
    <n v="12.08"/>
    <n v="7.04"/>
  </r>
  <r>
    <x v="11"/>
    <x v="3"/>
    <x v="0"/>
    <s v="5391101"/>
    <n v="721830"/>
    <s v="Supplies-Office"/>
    <s v="Enterostomy"/>
    <x v="0"/>
    <m/>
    <n v="0"/>
    <n v="93.75"/>
    <n v="0"/>
    <n v="43.41"/>
    <n v="54.42"/>
    <n v="0"/>
    <n v="32.1"/>
    <n v="47.53"/>
    <n v="28.79"/>
    <n v="66.64"/>
    <n v="0"/>
    <n v="0"/>
    <n v="366.64"/>
    <n v="0"/>
  </r>
  <r>
    <x v="11"/>
    <x v="3"/>
    <x v="0"/>
    <s v="5391101"/>
    <n v="721835"/>
    <s v="Supplies-Forms"/>
    <s v="Enterostomy"/>
    <x v="0"/>
    <m/>
    <n v="0"/>
    <n v="0"/>
    <n v="0"/>
    <n v="0"/>
    <n v="57.7"/>
    <n v="3.85"/>
    <n v="0"/>
    <n v="0"/>
    <n v="16.350000000000001"/>
    <n v="0"/>
    <n v="0"/>
    <n v="0"/>
    <n v="77.900000000000006"/>
    <n v="0"/>
  </r>
  <r>
    <x v="11"/>
    <x v="3"/>
    <x v="0"/>
    <s v="5391101"/>
    <n v="721870"/>
    <s v="Supplies-Environmental Services"/>
    <s v="Enterostomy"/>
    <x v="0"/>
    <m/>
    <n v="9.6"/>
    <n v="0"/>
    <n v="4.8"/>
    <n v="0"/>
    <n v="0"/>
    <n v="55.22"/>
    <n v="-9.6"/>
    <n v="0"/>
    <n v="9.6"/>
    <n v="9.6"/>
    <n v="28.95"/>
    <n v="4.8"/>
    <n v="112.97"/>
    <n v="24.15"/>
  </r>
  <r>
    <x v="11"/>
    <x v="3"/>
    <x v="0"/>
    <s v="5391101"/>
    <n v="721910"/>
    <s v="Instruments"/>
    <s v="Enterostomy"/>
    <x v="0"/>
    <n v="1000"/>
    <n v="0"/>
    <n v="0"/>
    <n v="0"/>
    <n v="0"/>
    <n v="0"/>
    <n v="161.62"/>
    <n v="9.5299999999999994"/>
    <n v="0"/>
    <n v="0"/>
    <n v="0"/>
    <n v="6"/>
    <n v="0"/>
    <n v="177.15"/>
    <n v="6"/>
  </r>
  <r>
    <x v="11"/>
    <x v="3"/>
    <x v="0"/>
    <s v="5391101"/>
    <n v="721980"/>
    <s v="Supplies-Other"/>
    <s v="Enterostomy"/>
    <x v="0"/>
    <m/>
    <n v="0"/>
    <n v="0"/>
    <n v="0"/>
    <n v="0"/>
    <n v="0"/>
    <n v="39.97"/>
    <n v="0"/>
    <n v="0"/>
    <n v="0"/>
    <n v="0"/>
    <n v="0"/>
    <n v="0"/>
    <n v="39.97"/>
    <n v="0"/>
  </r>
  <r>
    <x v="12"/>
    <x v="3"/>
    <x v="0"/>
    <s v="5391101"/>
    <n v="730010"/>
    <s v="Rental and Leases-Building (DO NOT USE)"/>
    <s v="Enterostomy"/>
    <x v="0"/>
    <m/>
    <n v="4154.4399999999996"/>
    <n v="4154.4399999999996"/>
    <n v="4154.4399999999996"/>
    <n v="4154.4399999999996"/>
    <n v="4154.4399999999996"/>
    <n v="-7867.94"/>
    <n v="2150.71"/>
    <n v="2150.71"/>
    <n v="2150.71"/>
    <n v="2187.14"/>
    <n v="2204.48"/>
    <n v="0"/>
    <n v="23748.009999999995"/>
    <n v="2204.48"/>
  </r>
  <r>
    <x v="12"/>
    <x v="3"/>
    <x v="0"/>
    <s v="5391101"/>
    <n v="730010"/>
    <s v="Rental-Common Area Maint (DO NOT USE)"/>
    <s v="Enterostomy"/>
    <x v="0"/>
    <n v="2200"/>
    <n v="0"/>
    <n v="0"/>
    <n v="0"/>
    <n v="0"/>
    <n v="0"/>
    <n v="12061.17"/>
    <n v="2042.52"/>
    <n v="2042.52"/>
    <n v="682.3"/>
    <n v="2042.52"/>
    <n v="2042.52"/>
    <n v="0"/>
    <n v="20913.550000000003"/>
    <n v="2042.52"/>
  </r>
  <r>
    <x v="12"/>
    <x v="3"/>
    <x v="0"/>
    <s v="5391101"/>
    <n v="730020"/>
    <s v="Rental and Leases-Copier Usage Fees (DO NOT USE)"/>
    <s v="Enterostomy"/>
    <x v="0"/>
    <n v="5100"/>
    <n v="5.88"/>
    <n v="5.29"/>
    <n v="5.59"/>
    <n v="5.59"/>
    <n v="5.59"/>
    <n v="5.59"/>
    <n v="79.11"/>
    <n v="11.21"/>
    <n v="11.73"/>
    <n v="11.23"/>
    <n v="11.21"/>
    <n v="11.21"/>
    <n v="169.23"/>
    <n v="0"/>
  </r>
  <r>
    <x v="12"/>
    <x v="3"/>
    <x v="0"/>
    <s v="5391101"/>
    <n v="730040"/>
    <s v="LT Lease-Real Estate"/>
    <s v="Enterostomy"/>
    <x v="0"/>
    <m/>
    <n v="0"/>
    <n v="0"/>
    <n v="0"/>
    <n v="0"/>
    <n v="0"/>
    <n v="0"/>
    <n v="0"/>
    <n v="0"/>
    <n v="0"/>
    <n v="0"/>
    <n v="0"/>
    <n v="4247"/>
    <n v="4247"/>
    <n v="-4247"/>
  </r>
  <r>
    <x v="15"/>
    <x v="3"/>
    <x v="0"/>
    <s v="5391101"/>
    <n v="731060"/>
    <s v="Cell Phones"/>
    <s v="Enterostomy"/>
    <x v="0"/>
    <n v="1001"/>
    <n v="0"/>
    <n v="690.05"/>
    <n v="331.1"/>
    <n v="0"/>
    <n v="331.93"/>
    <n v="357.02"/>
    <n v="671.48"/>
    <n v="0"/>
    <n v="335.84"/>
    <n v="671.02"/>
    <n v="331.81"/>
    <n v="336.25"/>
    <n v="4056.5"/>
    <n v="-4.4399999999999977"/>
  </r>
  <r>
    <x v="15"/>
    <x v="3"/>
    <x v="0"/>
    <s v="5391101"/>
    <n v="731060"/>
    <s v="Pagers"/>
    <s v="Enterostomy"/>
    <x v="0"/>
    <n v="1002"/>
    <n v="74.41"/>
    <n v="74.41"/>
    <n v="74.41"/>
    <n v="74.569999999999993"/>
    <n v="74.569999999999993"/>
    <n v="0"/>
    <n v="149.13999999999999"/>
    <n v="74.569999999999993"/>
    <n v="0"/>
    <n v="0"/>
    <n v="27.56"/>
    <n v="15.95"/>
    <n v="639.58999999999992"/>
    <n v="11.61"/>
  </r>
  <r>
    <x v="13"/>
    <x v="3"/>
    <x v="0"/>
    <s v="5391101"/>
    <n v="735040"/>
    <s v="Depreciation-Building Improvements"/>
    <s v="Enterostomy"/>
    <x v="0"/>
    <m/>
    <n v="444.68"/>
    <n v="444.68"/>
    <n v="444.68"/>
    <n v="444.68"/>
    <n v="444.68"/>
    <n v="444.68"/>
    <n v="444.68"/>
    <n v="444.67"/>
    <n v="444.68"/>
    <n v="444.67"/>
    <n v="444.68"/>
    <n v="444.65"/>
    <n v="5336.11"/>
    <n v="3.0000000000029559E-2"/>
  </r>
  <r>
    <x v="13"/>
    <x v="3"/>
    <x v="0"/>
    <s v="5391101"/>
    <n v="735070"/>
    <s v="Depreciation-Movable Equipment"/>
    <s v="Enterostomy"/>
    <x v="0"/>
    <m/>
    <n v="48.75"/>
    <n v="48.75"/>
    <n v="48.76"/>
    <n v="48.75"/>
    <n v="48.76"/>
    <n v="48.75"/>
    <n v="48.76"/>
    <n v="48.75"/>
    <n v="48.76"/>
    <n v="48.75"/>
    <n v="48.76"/>
    <n v="48.75"/>
    <n v="585.04999999999995"/>
    <n v="9.9999999999980105E-3"/>
  </r>
  <r>
    <x v="0"/>
    <x v="3"/>
    <x v="0"/>
    <s v="5391101"/>
    <n v="740020"/>
    <s v="Education-Registration Fees"/>
    <s v="Enterostomy"/>
    <x v="0"/>
    <m/>
    <n v="0"/>
    <n v="0"/>
    <n v="78.5"/>
    <n v="0"/>
    <n v="0"/>
    <n v="0"/>
    <n v="175"/>
    <n v="0"/>
    <n v="0"/>
    <n v="0"/>
    <n v="0"/>
    <n v="0"/>
    <n v="253.5"/>
    <n v="0"/>
  </r>
  <r>
    <x v="0"/>
    <x v="3"/>
    <x v="0"/>
    <s v="5391101"/>
    <n v="740030"/>
    <s v="Education-Travel"/>
    <s v="Enterostomy"/>
    <x v="0"/>
    <m/>
    <n v="0"/>
    <n v="0"/>
    <n v="997.12"/>
    <n v="0"/>
    <n v="0"/>
    <n v="0"/>
    <n v="0"/>
    <n v="0"/>
    <n v="0"/>
    <n v="0"/>
    <n v="0"/>
    <n v="0"/>
    <n v="997.12"/>
    <n v="0"/>
  </r>
  <r>
    <x v="0"/>
    <x v="3"/>
    <x v="0"/>
    <s v="5391101"/>
    <n v="743030"/>
    <s v="Subscriptions--Institutional"/>
    <s v="Enterostomy"/>
    <x v="0"/>
    <m/>
    <n v="0"/>
    <n v="0"/>
    <n v="0"/>
    <n v="0"/>
    <n v="0"/>
    <n v="0"/>
    <n v="127.81"/>
    <n v="0"/>
    <n v="0"/>
    <n v="0"/>
    <n v="0"/>
    <n v="0"/>
    <n v="127.81"/>
    <n v="0"/>
  </r>
  <r>
    <x v="0"/>
    <x v="3"/>
    <x v="0"/>
    <s v="5391101"/>
    <n v="749510"/>
    <s v="Miscellaneous Expenses"/>
    <s v="Enterostomy"/>
    <x v="0"/>
    <m/>
    <n v="0"/>
    <n v="134.24"/>
    <n v="369.36"/>
    <n v="97.58"/>
    <n v="32"/>
    <n v="99.22"/>
    <n v="21.26"/>
    <n v="68.239999999999995"/>
    <n v="-46.98"/>
    <n v="33.64"/>
    <n v="207.17"/>
    <n v="-38.86"/>
    <n v="976.87"/>
    <n v="246.02999999999997"/>
  </r>
  <r>
    <x v="0"/>
    <x v="3"/>
    <x v="0"/>
    <s v="5391101"/>
    <n v="749530"/>
    <s v="Travel"/>
    <s v="Enterostomy"/>
    <x v="0"/>
    <m/>
    <n v="20"/>
    <n v="21"/>
    <n v="35"/>
    <n v="0"/>
    <n v="0"/>
    <n v="0"/>
    <n v="10"/>
    <n v="40"/>
    <n v="40"/>
    <n v="0"/>
    <n v="0"/>
    <n v="125"/>
    <n v="291"/>
    <n v="-125"/>
  </r>
  <r>
    <x v="0"/>
    <x v="3"/>
    <x v="0"/>
    <s v="5391101"/>
    <n v="749530"/>
    <s v="Mileage"/>
    <s v="Enterostomy"/>
    <x v="0"/>
    <n v="1001"/>
    <n v="415.52"/>
    <n v="311.31"/>
    <n v="129.19"/>
    <n v="0"/>
    <n v="112.29"/>
    <n v="0"/>
    <n v="50.15"/>
    <n v="239.4"/>
    <n v="289.42"/>
    <n v="0"/>
    <n v="33.64"/>
    <n v="669.9"/>
    <n v="2250.8200000000002"/>
    <n v="-636.26"/>
  </r>
  <r>
    <x v="18"/>
    <x v="0"/>
    <x v="0"/>
    <s v="5391102"/>
    <n v="400010"/>
    <s v="Acute I/P Svcs Rev--Medicare"/>
    <s v="Enterostomy"/>
    <x v="0"/>
    <n v="1100"/>
    <n v="-10473.48"/>
    <n v="-11494.5"/>
    <n v="-5554.92"/>
    <n v="-20514.12"/>
    <n v="-7890.19"/>
    <n v="-13172.3"/>
    <n v="-5483.59"/>
    <n v="-7324.2"/>
    <n v="-8147.17"/>
    <n v="-11408.2"/>
    <n v="-6480.22"/>
    <n v="-8160.38"/>
    <n v="-116103.27"/>
    <n v="1680.1599999999999"/>
  </r>
  <r>
    <x v="18"/>
    <x v="0"/>
    <x v="0"/>
    <s v="5391102"/>
    <n v="400010"/>
    <s v="Acute I/P Svcs Rev--Medicaid"/>
    <s v="Enterostomy"/>
    <x v="0"/>
    <n v="1200"/>
    <n v="-2686.95"/>
    <n v="-6682.97"/>
    <n v="-981.98"/>
    <n v="-12104.26"/>
    <n v="-4214.28"/>
    <n v="-4472.92"/>
    <n v="-4418.72"/>
    <n v="-3205.85"/>
    <n v="-1957.51"/>
    <n v="-1426.5"/>
    <n v="-1276.17"/>
    <n v="-7112.53"/>
    <n v="-50540.639999999999"/>
    <n v="5836.36"/>
  </r>
  <r>
    <x v="18"/>
    <x v="0"/>
    <x v="0"/>
    <s v="5391102"/>
    <n v="400010"/>
    <s v="Acute I/P Svcs Rev--Comm Insurance"/>
    <s v="Enterostomy"/>
    <x v="0"/>
    <n v="1300"/>
    <n v="0"/>
    <n v="0"/>
    <n v="0"/>
    <n v="0"/>
    <n v="-149.1"/>
    <n v="149.1"/>
    <n v="-149.1"/>
    <n v="0"/>
    <n v="-153.57"/>
    <n v="0"/>
    <n v="0"/>
    <n v="-653.38"/>
    <n v="-956.05"/>
    <n v="653.38"/>
  </r>
  <r>
    <x v="18"/>
    <x v="0"/>
    <x v="0"/>
    <s v="5391102"/>
    <n v="400010"/>
    <s v="Acute I/P Svcs Rev--BCBS Comm"/>
    <s v="Enterostomy"/>
    <x v="0"/>
    <n v="1301"/>
    <n v="-428.4"/>
    <n v="-1297.05"/>
    <n v="-444.15"/>
    <n v="0"/>
    <n v="-659.4"/>
    <n v="-942.9"/>
    <n v="-149.1"/>
    <n v="-153.57"/>
    <n v="-3026.39"/>
    <n v="-980.34"/>
    <n v="-220.63"/>
    <n v="-4260.7299999999996"/>
    <n v="-12562.66"/>
    <n v="4040.0999999999995"/>
  </r>
  <r>
    <x v="18"/>
    <x v="0"/>
    <x v="0"/>
    <s v="5391102"/>
    <n v="400010"/>
    <s v="Acute I/P Svcs Rev--Managed Care"/>
    <s v="Enterostomy"/>
    <x v="0"/>
    <n v="1400"/>
    <n v="-573.09"/>
    <n v="-5685.1"/>
    <n v="-1023.75"/>
    <n v="-4960.13"/>
    <n v="-3149.28"/>
    <n v="-723.45"/>
    <n v="-512.4"/>
    <n v="-2138.4"/>
    <n v="-3720.58"/>
    <n v="-3230.64"/>
    <n v="-661.89"/>
    <n v="54.2"/>
    <n v="-26324.51"/>
    <n v="-716.09"/>
  </r>
  <r>
    <x v="18"/>
    <x v="0"/>
    <x v="0"/>
    <s v="5391102"/>
    <n v="400010"/>
    <s v="Acute I/P Svcs Rev--Self Pay"/>
    <s v="Enterostomy"/>
    <x v="0"/>
    <n v="1500"/>
    <n v="-4184.0600000000004"/>
    <n v="-363.3"/>
    <n v="0"/>
    <n v="3844.68"/>
    <n v="0"/>
    <n v="0"/>
    <n v="0"/>
    <n v="0"/>
    <n v="0"/>
    <n v="0"/>
    <n v="-750.56"/>
    <n v="-153.57"/>
    <n v="-1606.8100000000006"/>
    <n v="-596.99"/>
  </r>
  <r>
    <x v="18"/>
    <x v="0"/>
    <x v="0"/>
    <s v="5391102"/>
    <n v="400010"/>
    <s v="Acute I/P Svcs Rev--Other"/>
    <s v="Enterostomy"/>
    <x v="0"/>
    <n v="1700"/>
    <n v="0"/>
    <n v="0"/>
    <n v="0"/>
    <n v="-295.05"/>
    <n v="-601.05999999999995"/>
    <n v="0"/>
    <n v="0"/>
    <n v="0"/>
    <n v="451.96"/>
    <n v="0"/>
    <n v="-220.63"/>
    <n v="0"/>
    <n v="-664.78"/>
    <n v="-220.63"/>
  </r>
  <r>
    <x v="19"/>
    <x v="0"/>
    <x v="0"/>
    <s v="5391102"/>
    <n v="400020"/>
    <s v="O/P Care Svcs Rev--Medicare"/>
    <s v="Enterostomy"/>
    <x v="0"/>
    <n v="1100"/>
    <n v="0"/>
    <n v="0"/>
    <n v="0"/>
    <n v="-379.65"/>
    <n v="0"/>
    <n v="0"/>
    <n v="0"/>
    <n v="-441.26"/>
    <n v="220.63"/>
    <n v="220.63"/>
    <n v="0"/>
    <n v="0"/>
    <n v="-379.65"/>
    <n v="0"/>
  </r>
  <r>
    <x v="19"/>
    <x v="0"/>
    <x v="0"/>
    <s v="5391102"/>
    <n v="400020"/>
    <s v="O/P Care Svcs Rev--Medicaid"/>
    <s v="Enterostomy"/>
    <x v="0"/>
    <n v="1200"/>
    <n v="0"/>
    <n v="0"/>
    <n v="0"/>
    <n v="135"/>
    <n v="-24.1"/>
    <n v="0"/>
    <n v="0"/>
    <n v="0"/>
    <n v="0"/>
    <n v="0"/>
    <n v="0"/>
    <n v="0"/>
    <n v="110.9"/>
    <n v="0"/>
  </r>
  <r>
    <x v="19"/>
    <x v="0"/>
    <x v="0"/>
    <s v="5391102"/>
    <n v="400020"/>
    <s v="O/P Care Svcs Rev--Managed Care"/>
    <s v="Enterostomy"/>
    <x v="0"/>
    <n v="1400"/>
    <n v="0"/>
    <n v="0"/>
    <n v="0"/>
    <n v="0"/>
    <n v="0"/>
    <n v="0"/>
    <n v="0"/>
    <n v="-53.03"/>
    <n v="0"/>
    <n v="0"/>
    <n v="0"/>
    <n v="0"/>
    <n v="-53.03"/>
    <n v="0"/>
  </r>
  <r>
    <x v="5"/>
    <x v="0"/>
    <x v="0"/>
    <s v="5391102"/>
    <n v="700026"/>
    <s v="Salaries-RN-Productive"/>
    <s v="Enterostomy"/>
    <x v="0"/>
    <m/>
    <n v="187.98"/>
    <n v="2279.87"/>
    <n v="2012.58"/>
    <n v="401.69"/>
    <n v="1114.96"/>
    <n v="698.88"/>
    <n v="2888.56"/>
    <n v="2528.21"/>
    <n v="3713.51"/>
    <n v="3286.93"/>
    <n v="2745.14"/>
    <n v="3220.75"/>
    <n v="25079.059999999998"/>
    <n v="-475.61000000000013"/>
  </r>
  <r>
    <x v="6"/>
    <x v="0"/>
    <x v="0"/>
    <s v="5391102"/>
    <n v="713010"/>
    <s v="Benefits-FICA/Medicare"/>
    <s v="Enterostomy"/>
    <x v="0"/>
    <m/>
    <n v="14.38"/>
    <n v="174.26"/>
    <n v="143.82"/>
    <n v="33.65"/>
    <n v="84.02"/>
    <n v="49.08"/>
    <n v="214.96"/>
    <n v="189.02"/>
    <n v="256.18"/>
    <n v="229.52"/>
    <n v="188.89"/>
    <n v="224.2"/>
    <n v="1801.9799999999998"/>
    <n v="-35.31"/>
  </r>
  <r>
    <x v="6"/>
    <x v="0"/>
    <x v="0"/>
    <s v="5391102"/>
    <n v="713090"/>
    <s v="Benefits-Allocated Amounts"/>
    <s v="Enterostomy"/>
    <x v="0"/>
    <m/>
    <n v="35.53"/>
    <n v="304.42"/>
    <n v="322.89"/>
    <n v="116.25"/>
    <n v="107.8"/>
    <n v="153.26"/>
    <n v="470.39"/>
    <n v="247.7"/>
    <n v="718.95"/>
    <n v="690.69"/>
    <n v="262.18"/>
    <n v="495.37"/>
    <n v="3925.43"/>
    <n v="-233.19"/>
  </r>
  <r>
    <x v="18"/>
    <x v="4"/>
    <x v="0"/>
    <s v="5391103"/>
    <n v="400010"/>
    <s v="Acute I/P Svcs Rev--Medicare"/>
    <s v="Enterostomy"/>
    <x v="0"/>
    <n v="1100"/>
    <n v="-15188.55"/>
    <n v="-13727.85"/>
    <n v="-5560.58"/>
    <n v="-16782.84"/>
    <n v="-9351.6299999999992"/>
    <n v="-9417.1299999999992"/>
    <n v="-7421.51"/>
    <n v="-5348.19"/>
    <n v="-6678.46"/>
    <n v="-5729.54"/>
    <n v="-6408"/>
    <n v="-4476.6400000000003"/>
    <n v="-106090.92"/>
    <n v="-1931.3599999999997"/>
  </r>
  <r>
    <x v="18"/>
    <x v="4"/>
    <x v="0"/>
    <s v="5391103"/>
    <n v="400010"/>
    <s v="Acute I/P Svcs Rev--Medicaid"/>
    <s v="Enterostomy"/>
    <x v="0"/>
    <n v="1200"/>
    <n v="-4475.7299999999996"/>
    <n v="1677.22"/>
    <n v="-4033.07"/>
    <n v="-4575.24"/>
    <n v="-9704.01"/>
    <n v="-13688.04"/>
    <n v="-6271.18"/>
    <n v="-4513.1899999999996"/>
    <n v="-4863.99"/>
    <n v="-10425.91"/>
    <n v="-6657.55"/>
    <n v="-2429.39"/>
    <n v="-69960.08"/>
    <n v="-4228.16"/>
  </r>
  <r>
    <x v="18"/>
    <x v="4"/>
    <x v="0"/>
    <s v="5391103"/>
    <n v="400010"/>
    <s v="Acute I/P Svcs Rev--Comm Insurance"/>
    <s v="Enterostomy"/>
    <x v="0"/>
    <n v="1300"/>
    <n v="-221.3"/>
    <n v="65.099999999999994"/>
    <n v="149.1"/>
    <n v="0"/>
    <n v="0"/>
    <n v="-149.1"/>
    <n v="0"/>
    <n v="-153.57"/>
    <n v="0"/>
    <n v="149.1"/>
    <n v="-2113.87"/>
    <n v="0"/>
    <n v="-2274.54"/>
    <n v="-2113.87"/>
  </r>
  <r>
    <x v="18"/>
    <x v="4"/>
    <x v="0"/>
    <s v="5391103"/>
    <n v="400010"/>
    <s v="Acute I/P Svcs Rev--BCBS Comm"/>
    <s v="Enterostomy"/>
    <x v="0"/>
    <n v="1301"/>
    <n v="0"/>
    <n v="0"/>
    <n v="0"/>
    <n v="0"/>
    <n v="0"/>
    <n v="0"/>
    <n v="-214.2"/>
    <n v="-303.89999999999998"/>
    <n v="214.2"/>
    <n v="-153.57"/>
    <n v="-374.2"/>
    <n v="-1790.19"/>
    <n v="-2621.8599999999997"/>
    <n v="1415.99"/>
  </r>
  <r>
    <x v="18"/>
    <x v="4"/>
    <x v="0"/>
    <s v="5391103"/>
    <n v="400010"/>
    <s v="Acute I/P Svcs Rev--Managed Care"/>
    <s v="Enterostomy"/>
    <x v="0"/>
    <n v="1400"/>
    <n v="-363.3"/>
    <n v="0"/>
    <n v="0"/>
    <n v="0"/>
    <n v="-658.35"/>
    <n v="-214.2"/>
    <n v="-214.2"/>
    <n v="-1653.61"/>
    <n v="-779.38"/>
    <n v="-597.4"/>
    <n v="-527.77"/>
    <n v="0"/>
    <n v="-5008.2099999999991"/>
    <n v="-527.77"/>
  </r>
  <r>
    <x v="18"/>
    <x v="4"/>
    <x v="0"/>
    <s v="5391103"/>
    <n v="400010"/>
    <s v="Acute I/P Svcs Rev--Self Pay"/>
    <s v="Enterostomy"/>
    <x v="0"/>
    <n v="1500"/>
    <n v="-284"/>
    <n v="0"/>
    <n v="0"/>
    <n v="-214.2"/>
    <n v="0"/>
    <n v="0"/>
    <n v="0"/>
    <n v="-244.73"/>
    <n v="244.73"/>
    <n v="-78.63"/>
    <n v="220.63"/>
    <n v="0"/>
    <n v="-356.19999999999993"/>
    <n v="220.63"/>
  </r>
  <r>
    <x v="18"/>
    <x v="4"/>
    <x v="0"/>
    <s v="5391103"/>
    <n v="400010"/>
    <s v="Acute I/P Svcs Rev--Other"/>
    <s v="Enterostomy"/>
    <x v="0"/>
    <n v="1700"/>
    <n v="-637.58000000000004"/>
    <n v="-1841.21"/>
    <n v="-1022.7"/>
    <n v="-407.63"/>
    <n v="-578.54999999999995"/>
    <n v="-1762.95"/>
    <n v="-1218.6600000000001"/>
    <n v="-146.21"/>
    <n v="-251.16"/>
    <n v="-303.89999999999998"/>
    <n v="214.2"/>
    <n v="-2261.69"/>
    <n v="-10218.039999999999"/>
    <n v="2475.89"/>
  </r>
  <r>
    <x v="19"/>
    <x v="4"/>
    <x v="0"/>
    <s v="5391103"/>
    <n v="400020"/>
    <s v="O/P Care Svcs Rev--Medicare"/>
    <s v="Enterostomy"/>
    <x v="0"/>
    <n v="1100"/>
    <n v="0"/>
    <n v="0"/>
    <n v="0"/>
    <n v="-214.2"/>
    <n v="-24.1"/>
    <n v="214.2"/>
    <n v="0"/>
    <n v="0"/>
    <n v="-367.77"/>
    <n v="0"/>
    <n v="-441.26"/>
    <n v="441.26"/>
    <n v="-391.87"/>
    <n v="-882.52"/>
  </r>
  <r>
    <x v="19"/>
    <x v="4"/>
    <x v="0"/>
    <s v="5391103"/>
    <n v="400020"/>
    <s v="O/P Care Svcs Rev--Medicaid"/>
    <s v="Enterostomy"/>
    <x v="0"/>
    <n v="1200"/>
    <n v="0"/>
    <n v="-2618.92"/>
    <n v="-295.05"/>
    <n v="-1070.93"/>
    <n v="461.05"/>
    <n v="0"/>
    <n v="0"/>
    <n v="0"/>
    <n v="0"/>
    <n v="0"/>
    <n v="0"/>
    <n v="0"/>
    <n v="-3523.8500000000004"/>
    <n v="0"/>
  </r>
  <r>
    <x v="19"/>
    <x v="4"/>
    <x v="0"/>
    <s v="5391103"/>
    <n v="400020"/>
    <s v="O/P Care Svcs Rev--BCBS Comm"/>
    <s v="Enterostomy"/>
    <x v="0"/>
    <n v="1301"/>
    <n v="0"/>
    <n v="0"/>
    <n v="0"/>
    <n v="0"/>
    <n v="0"/>
    <n v="0"/>
    <n v="0"/>
    <n v="0"/>
    <n v="0"/>
    <n v="0"/>
    <n v="0"/>
    <n v="0"/>
    <n v="0"/>
    <n v="0"/>
  </r>
  <r>
    <x v="19"/>
    <x v="4"/>
    <x v="0"/>
    <s v="5391103"/>
    <n v="400020"/>
    <s v="O/P Care Svcs Rev--Managed Care"/>
    <s v="Enterostomy"/>
    <x v="0"/>
    <n v="1400"/>
    <n v="-1781.85"/>
    <n v="1781.85"/>
    <n v="0"/>
    <n v="0"/>
    <n v="0"/>
    <n v="0"/>
    <n v="-1996.05"/>
    <n v="0"/>
    <n v="214.2"/>
    <n v="0"/>
    <n v="0"/>
    <n v="0"/>
    <n v="-1781.85"/>
    <n v="0"/>
  </r>
  <r>
    <x v="19"/>
    <x v="4"/>
    <x v="0"/>
    <s v="5391103"/>
    <n v="400020"/>
    <s v="O/P Care Svcs Rev--Other"/>
    <s v="Enterostomy"/>
    <x v="0"/>
    <n v="1700"/>
    <n v="0"/>
    <n v="-1781.85"/>
    <n v="0"/>
    <n v="-52.77"/>
    <n v="0"/>
    <n v="0"/>
    <n v="1781.85"/>
    <n v="0"/>
    <n v="0"/>
    <n v="0"/>
    <n v="0"/>
    <n v="0"/>
    <n v="-52.769999999999982"/>
    <n v="0"/>
  </r>
  <r>
    <x v="5"/>
    <x v="4"/>
    <x v="0"/>
    <s v="5391103"/>
    <n v="700026"/>
    <s v="Salaries-RN-Productive"/>
    <s v="Enterostomy"/>
    <x v="0"/>
    <m/>
    <n v="0"/>
    <n v="2621.39"/>
    <n v="2326.04"/>
    <n v="689.35"/>
    <n v="2428.7399999999998"/>
    <n v="1199.2"/>
    <n v="1501.63"/>
    <n v="2081.84"/>
    <n v="2428.38"/>
    <n v="2093.89"/>
    <n v="4790.2700000000004"/>
    <n v="1696.42"/>
    <n v="23857.15"/>
    <n v="3093.8500000000004"/>
  </r>
  <r>
    <x v="6"/>
    <x v="4"/>
    <x v="0"/>
    <s v="5391103"/>
    <n v="713010"/>
    <s v="Benefits-FICA/Medicare"/>
    <s v="Enterostomy"/>
    <x v="0"/>
    <m/>
    <n v="0"/>
    <n v="198.31"/>
    <n v="172.45"/>
    <n v="54.76"/>
    <n v="174.84"/>
    <n v="87.06"/>
    <n v="111.92"/>
    <n v="154.74"/>
    <n v="168.88"/>
    <n v="147.47"/>
    <n v="341.24"/>
    <n v="116.48"/>
    <n v="1728.15"/>
    <n v="224.76"/>
  </r>
  <r>
    <x v="6"/>
    <x v="4"/>
    <x v="0"/>
    <s v="5391103"/>
    <n v="713090"/>
    <s v="Benefits-Allocated Amounts"/>
    <s v="Enterostomy"/>
    <x v="0"/>
    <m/>
    <n v="0"/>
    <n v="433.73"/>
    <n v="285.55"/>
    <n v="107.95"/>
    <n v="359.96"/>
    <n v="188.51"/>
    <n v="213.94"/>
    <n v="308.44"/>
    <n v="367.69"/>
    <n v="385.97"/>
    <n v="794.29"/>
    <n v="334.51"/>
    <n v="3780.54"/>
    <n v="459.78"/>
  </r>
  <r>
    <x v="18"/>
    <x v="8"/>
    <x v="0"/>
    <s v="5391104"/>
    <n v="400010"/>
    <s v="Acute I/P Svcs Rev--Medicare"/>
    <s v="Enterostomy"/>
    <x v="0"/>
    <n v="1100"/>
    <n v="-21928.959999999999"/>
    <n v="-4568.7700000000004"/>
    <n v="-2918.43"/>
    <n v="-3762.87"/>
    <n v="-11944.89"/>
    <n v="-8773.2099999999991"/>
    <n v="-5905.91"/>
    <n v="-4237.58"/>
    <n v="-4778.97"/>
    <n v="-6404.16"/>
    <n v="-4796.41"/>
    <n v="-3747.96"/>
    <n v="-83768.12000000001"/>
    <n v="-1048.4499999999998"/>
  </r>
  <r>
    <x v="18"/>
    <x v="8"/>
    <x v="0"/>
    <s v="5391104"/>
    <n v="400010"/>
    <s v="Acute I/P Svcs Rev--Medicaid"/>
    <s v="Enterostomy"/>
    <x v="0"/>
    <n v="1200"/>
    <n v="-6324.18"/>
    <n v="-2403.0300000000002"/>
    <n v="-1156.26"/>
    <n v="-6717.12"/>
    <n v="-1319.22"/>
    <n v="-977.4"/>
    <n v="-1155"/>
    <n v="-1861.4"/>
    <n v="-595.91"/>
    <n v="-5890.55"/>
    <n v="-733.38"/>
    <n v="-3270.32"/>
    <n v="-32403.770000000004"/>
    <n v="2536.94"/>
  </r>
  <r>
    <x v="18"/>
    <x v="8"/>
    <x v="0"/>
    <s v="5391104"/>
    <n v="400010"/>
    <s v="Acute I/P Svcs Rev--Comm Insurance"/>
    <s v="Enterostomy"/>
    <x v="0"/>
    <n v="1300"/>
    <n v="0"/>
    <n v="2225.17"/>
    <n v="0"/>
    <n v="-214.2"/>
    <n v="0"/>
    <n v="-1566.35"/>
    <n v="0"/>
    <n v="0"/>
    <n v="0"/>
    <n v="0"/>
    <n v="0"/>
    <n v="0"/>
    <n v="444.62000000000012"/>
    <n v="0"/>
  </r>
  <r>
    <x v="18"/>
    <x v="8"/>
    <x v="0"/>
    <s v="5391104"/>
    <n v="400010"/>
    <s v="Acute I/P Svcs Rev--BCBS Comm"/>
    <s v="Enterostomy"/>
    <x v="0"/>
    <n v="1301"/>
    <n v="0"/>
    <n v="-727.65"/>
    <n v="0"/>
    <n v="0"/>
    <n v="0"/>
    <n v="0"/>
    <n v="-295.05"/>
    <n v="0"/>
    <n v="-374.2"/>
    <n v="0"/>
    <n v="0"/>
    <n v="-971.19"/>
    <n v="-2368.09"/>
    <n v="971.19"/>
  </r>
  <r>
    <x v="18"/>
    <x v="8"/>
    <x v="0"/>
    <s v="5391104"/>
    <n v="400010"/>
    <s v="Acute I/P Svcs Rev--Managed Care"/>
    <s v="Enterostomy"/>
    <x v="0"/>
    <n v="1400"/>
    <n v="-2296.48"/>
    <n v="-877.8"/>
    <n v="-3838.25"/>
    <n v="-6009.98"/>
    <n v="-1261.68"/>
    <n v="-578.54999999999995"/>
    <n v="-856.8"/>
    <n v="-2752.66"/>
    <n v="0"/>
    <n v="-955.02"/>
    <n v="-749.48"/>
    <n v="-2592.25"/>
    <n v="-22768.949999999997"/>
    <n v="1842.77"/>
  </r>
  <r>
    <x v="18"/>
    <x v="8"/>
    <x v="0"/>
    <s v="5391104"/>
    <n v="400010"/>
    <s v="Acute I/P Svcs Rev--Self Pay"/>
    <s v="Enterostomy"/>
    <x v="0"/>
    <n v="1500"/>
    <n v="-364.35"/>
    <n v="0"/>
    <n v="0"/>
    <n v="-214.2"/>
    <n v="0"/>
    <n v="0"/>
    <n v="-295.05"/>
    <n v="0"/>
    <n v="0"/>
    <n v="-220.63"/>
    <n v="0"/>
    <n v="0"/>
    <n v="-1094.23"/>
    <n v="0"/>
  </r>
  <r>
    <x v="18"/>
    <x v="8"/>
    <x v="0"/>
    <s v="5391104"/>
    <n v="400010"/>
    <s v="Acute I/P Svcs Rev--Other"/>
    <s v="Enterostomy"/>
    <x v="0"/>
    <n v="1700"/>
    <n v="0"/>
    <n v="-727.65"/>
    <n v="-149.1"/>
    <n v="-1005.9"/>
    <n v="-658.35"/>
    <n v="-214.2"/>
    <n v="-214.2"/>
    <n v="0"/>
    <n v="-161.08000000000001"/>
    <n v="-375.28"/>
    <n v="0"/>
    <n v="-657.48"/>
    <n v="-4163.24"/>
    <n v="657.48"/>
  </r>
  <r>
    <x v="19"/>
    <x v="8"/>
    <x v="0"/>
    <s v="5391104"/>
    <n v="400020"/>
    <s v="O/P Care Svcs Rev--Medicare"/>
    <s v="Enterostomy"/>
    <x v="0"/>
    <n v="1100"/>
    <n v="0"/>
    <n v="0"/>
    <n v="-149.1"/>
    <n v="125"/>
    <n v="-52.71"/>
    <n v="0"/>
    <n v="0"/>
    <n v="0"/>
    <n v="0"/>
    <n v="-375.28"/>
    <n v="-515.47"/>
    <n v="0"/>
    <n v="-967.56"/>
    <n v="-515.47"/>
  </r>
  <r>
    <x v="19"/>
    <x v="8"/>
    <x v="0"/>
    <s v="5391104"/>
    <n v="400020"/>
    <s v="O/P Care Svcs Rev--Medicaid"/>
    <s v="Enterostomy"/>
    <x v="0"/>
    <n v="1200"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5391104"/>
    <n v="700026"/>
    <s v="Salaries-RN-Productive"/>
    <s v="Enterostomy"/>
    <x v="0"/>
    <m/>
    <n v="0"/>
    <n v="399.91"/>
    <n v="-61.8"/>
    <n v="168.35"/>
    <n v="325.29000000000002"/>
    <n v="1250.23"/>
    <n v="2963.93"/>
    <n v="571.42999999999995"/>
    <n v="2077.1999999999998"/>
    <n v="1095.9000000000001"/>
    <n v="1422.11"/>
    <n v="3860.76"/>
    <n v="14073.310000000001"/>
    <n v="-2438.6500000000005"/>
  </r>
  <r>
    <x v="6"/>
    <x v="8"/>
    <x v="0"/>
    <s v="5391104"/>
    <n v="713010"/>
    <s v="Benefits-FICA/Medicare"/>
    <s v="Enterostomy"/>
    <x v="0"/>
    <m/>
    <n v="0"/>
    <n v="29.28"/>
    <n v="-4.71"/>
    <n v="12.45"/>
    <n v="22.53"/>
    <n v="92.32"/>
    <n v="220.65"/>
    <n v="42.48"/>
    <n v="145.82"/>
    <n v="75.44"/>
    <n v="99.27"/>
    <n v="270.02999999999997"/>
    <n v="1005.56"/>
    <n v="-170.76"/>
  </r>
  <r>
    <x v="6"/>
    <x v="8"/>
    <x v="0"/>
    <s v="5391104"/>
    <n v="713090"/>
    <s v="Benefits-Allocated Amounts"/>
    <s v="Enterostomy"/>
    <x v="0"/>
    <m/>
    <n v="0"/>
    <n v="70.58"/>
    <n v="-14.27"/>
    <n v="7.42"/>
    <n v="24.45"/>
    <n v="252.75"/>
    <n v="463.59"/>
    <n v="8.19"/>
    <n v="364.55"/>
    <n v="383.08"/>
    <n v="152.38999999999999"/>
    <n v="373.65"/>
    <n v="2086.38"/>
    <n v="-221.26"/>
  </r>
  <r>
    <x v="18"/>
    <x v="5"/>
    <x v="0"/>
    <s v="5391106"/>
    <n v="400010"/>
    <s v="Acute I/P Svcs Rev--Medicare"/>
    <s v="Enterostomal Therapy"/>
    <x v="0"/>
    <n v="1100"/>
    <n v="-7982.32"/>
    <n v="-3490.47"/>
    <n v="-7267.03"/>
    <n v="-6553.93"/>
    <n v="-6948.03"/>
    <n v="-4728.07"/>
    <n v="-11840.55"/>
    <n v="-3313.97"/>
    <n v="-8180.69"/>
    <n v="-15360.9"/>
    <n v="-14606.56"/>
    <n v="-6229.2"/>
    <n v="-96501.719999999987"/>
    <n v="-8377.36"/>
  </r>
  <r>
    <x v="18"/>
    <x v="5"/>
    <x v="0"/>
    <s v="5391106"/>
    <n v="400010"/>
    <s v="Acute I/P Svcs Rev--Medicaid"/>
    <s v="Enterostomal Therapy"/>
    <x v="0"/>
    <n v="1200"/>
    <n v="-6539.75"/>
    <n v="-8291.14"/>
    <n v="-2445.73"/>
    <n v="-2719.52"/>
    <n v="-5933.94"/>
    <n v="-1591.57"/>
    <n v="-3721.8"/>
    <n v="-2190.79"/>
    <n v="-4733.17"/>
    <n v="-5432.62"/>
    <n v="-3670.55"/>
    <n v="-3234.98"/>
    <n v="-50505.560000000005"/>
    <n v="-435.57000000000016"/>
  </r>
  <r>
    <x v="18"/>
    <x v="5"/>
    <x v="0"/>
    <s v="5391106"/>
    <n v="400010"/>
    <s v="Acute I/P Svcs Rev--Comm Insurance"/>
    <s v="Enterostomal Therapy"/>
    <x v="0"/>
    <n v="1300"/>
    <n v="0"/>
    <n v="-204"/>
    <n v="0"/>
    <n v="0"/>
    <n v="-444.15"/>
    <n v="0"/>
    <n v="0"/>
    <n v="0"/>
    <n v="0"/>
    <n v="-828.43"/>
    <n v="0"/>
    <n v="0"/>
    <n v="-1476.58"/>
    <n v="0"/>
  </r>
  <r>
    <x v="18"/>
    <x v="5"/>
    <x v="0"/>
    <s v="5391106"/>
    <n v="400010"/>
    <s v="Acute I/P Svcs Rev--BCBS Comm"/>
    <s v="Enterostomal Therapy"/>
    <x v="0"/>
    <n v="1301"/>
    <n v="-295.05"/>
    <n v="-1242.1500000000001"/>
    <n v="0"/>
    <n v="0"/>
    <n v="-498.52"/>
    <n v="-240.68"/>
    <n v="-827.99"/>
    <n v="-153.57"/>
    <n v="-307.14"/>
    <n v="0"/>
    <n v="0"/>
    <n v="0"/>
    <n v="-3565.1000000000004"/>
    <n v="0"/>
  </r>
  <r>
    <x v="18"/>
    <x v="5"/>
    <x v="0"/>
    <s v="5391106"/>
    <n v="400010"/>
    <s v="Acute I/P Svcs Rev--Managed Care"/>
    <s v="Enterostomal Therapy"/>
    <x v="0"/>
    <n v="1400"/>
    <n v="-1398.6"/>
    <n v="-2130.3000000000002"/>
    <n v="-214.2"/>
    <n v="-4421.97"/>
    <n v="-149.1"/>
    <n v="-2782.5"/>
    <n v="252.23"/>
    <n v="0"/>
    <n v="-220.63"/>
    <n v="-307.14"/>
    <n v="-641.27"/>
    <n v="-2017.95"/>
    <n v="-14031.43"/>
    <n v="1376.68"/>
  </r>
  <r>
    <x v="18"/>
    <x v="5"/>
    <x v="0"/>
    <s v="5391106"/>
    <n v="400010"/>
    <s v="Acute I/P Svcs Rev--Self Pay"/>
    <s v="Enterostomal Therapy"/>
    <x v="0"/>
    <n v="1500"/>
    <n v="0"/>
    <n v="0"/>
    <n v="-363.3"/>
    <n v="0"/>
    <n v="-295.05"/>
    <n v="0"/>
    <n v="0"/>
    <n v="0"/>
    <n v="0"/>
    <n v="0"/>
    <n v="0"/>
    <n v="0"/>
    <n v="-658.35"/>
    <n v="0"/>
  </r>
  <r>
    <x v="18"/>
    <x v="5"/>
    <x v="0"/>
    <s v="5391106"/>
    <n v="400010"/>
    <s v="Acute I/P Svcs Rev--Other"/>
    <s v="Enterostomal Therapy"/>
    <x v="0"/>
    <n v="1700"/>
    <n v="0"/>
    <n v="0"/>
    <n v="0"/>
    <n v="0"/>
    <n v="0"/>
    <n v="0"/>
    <n v="0"/>
    <n v="0"/>
    <n v="-375.28"/>
    <n v="0"/>
    <n v="0"/>
    <n v="0"/>
    <n v="-375.28"/>
    <n v="0"/>
  </r>
  <r>
    <x v="19"/>
    <x v="5"/>
    <x v="0"/>
    <s v="5391106"/>
    <n v="400020"/>
    <s v="O/P Care Svcs Rev--Medicare"/>
    <s v="Enterostomal Therapy"/>
    <x v="0"/>
    <n v="1100"/>
    <n v="0"/>
    <n v="0"/>
    <n v="0"/>
    <n v="-108.89"/>
    <n v="-70.3"/>
    <n v="0"/>
    <n v="0"/>
    <n v="-200.32"/>
    <n v="0"/>
    <n v="0"/>
    <n v="0"/>
    <n v="0"/>
    <n v="-379.51"/>
    <n v="0"/>
  </r>
  <r>
    <x v="19"/>
    <x v="5"/>
    <x v="0"/>
    <s v="5391106"/>
    <n v="400020"/>
    <s v="O/P Care Svcs Rev--Medicaid"/>
    <s v="Enterostomal Therapy"/>
    <x v="0"/>
    <n v="1200"/>
    <n v="0"/>
    <n v="0"/>
    <n v="0"/>
    <n v="0"/>
    <n v="-1378.77"/>
    <n v="0"/>
    <n v="0"/>
    <n v="0"/>
    <n v="0"/>
    <n v="0"/>
    <n v="0"/>
    <n v="0"/>
    <n v="-1378.77"/>
    <n v="0"/>
  </r>
  <r>
    <x v="19"/>
    <x v="5"/>
    <x v="0"/>
    <s v="5391106"/>
    <n v="400020"/>
    <s v="O/P Care Svcs Rev--Managed Care"/>
    <s v="Enterostomal Therapy"/>
    <x v="0"/>
    <n v="1400"/>
    <n v="0"/>
    <n v="0"/>
    <n v="0"/>
    <n v="0"/>
    <n v="0"/>
    <n v="0"/>
    <n v="0"/>
    <n v="0"/>
    <n v="-184.61"/>
    <n v="0"/>
    <n v="0"/>
    <n v="0"/>
    <n v="-184.61"/>
    <n v="0"/>
  </r>
  <r>
    <x v="19"/>
    <x v="5"/>
    <x v="0"/>
    <s v="5391106"/>
    <n v="400020"/>
    <s v="O/P Care Svcs Rev--Other"/>
    <s v="Enterostomal Therapy"/>
    <x v="0"/>
    <n v="1700"/>
    <n v="0"/>
    <n v="0"/>
    <n v="0"/>
    <n v="0"/>
    <n v="0"/>
    <n v="0"/>
    <n v="0"/>
    <n v="0"/>
    <n v="0"/>
    <n v="0"/>
    <n v="0"/>
    <n v="0"/>
    <n v="0"/>
    <n v="0"/>
  </r>
  <r>
    <x v="14"/>
    <x v="5"/>
    <x v="0"/>
    <s v="5391106"/>
    <n v="600050"/>
    <s v="Miscellaneous Revenue"/>
    <s v="Enterostomal Therapy"/>
    <x v="0"/>
    <m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5391106"/>
    <n v="700026"/>
    <s v="Salaries-RN-Productive"/>
    <s v="Enterostomal Therapy"/>
    <x v="0"/>
    <m/>
    <n v="6972.09"/>
    <n v="7894.18"/>
    <n v="8647.64"/>
    <n v="9010.17"/>
    <n v="8813.11"/>
    <n v="6244.67"/>
    <n v="8924.76"/>
    <n v="2604.46"/>
    <n v="9960.19"/>
    <n v="8902.86"/>
    <n v="8560.09"/>
    <n v="7534.48"/>
    <n v="94068.7"/>
    <n v="1025.6100000000006"/>
  </r>
  <r>
    <x v="5"/>
    <x v="5"/>
    <x v="0"/>
    <s v="5391106"/>
    <n v="700066"/>
    <s v="Salaries-RN-Non-productive"/>
    <s v="Enterostomal Therapy"/>
    <x v="0"/>
    <m/>
    <n v="462.08"/>
    <n v="1320.16"/>
    <n v="1254.27"/>
    <n v="1427.38"/>
    <n v="-744.21"/>
    <n v="2976.86"/>
    <n v="339.04"/>
    <n v="4946.1499999999996"/>
    <n v="542.12"/>
    <n v="677.6"/>
    <n v="914.67"/>
    <n v="33.93"/>
    <n v="14150.050000000001"/>
    <n v="880.74"/>
  </r>
  <r>
    <x v="5"/>
    <x v="5"/>
    <x v="0"/>
    <s v="5391106"/>
    <n v="700084"/>
    <s v="Accrued PTO"/>
    <s v="Enterostomal Therapy"/>
    <x v="0"/>
    <m/>
    <n v="1237.1199999999999"/>
    <n v="319.99"/>
    <n v="-142.09"/>
    <n v="1014.2"/>
    <n v="1202.3599999999999"/>
    <n v="-929.44"/>
    <n v="801.56"/>
    <n v="-2987.23"/>
    <n v="327.97"/>
    <n v="327.97"/>
    <n v="800.97"/>
    <n v="1439.16"/>
    <n v="3412.54"/>
    <n v="-638.19000000000005"/>
  </r>
  <r>
    <x v="6"/>
    <x v="5"/>
    <x v="0"/>
    <s v="5391106"/>
    <n v="713010"/>
    <s v="Benefits-FICA/Medicare"/>
    <s v="Enterostomal Therapy"/>
    <x v="0"/>
    <m/>
    <n v="749.77"/>
    <n v="749.81"/>
    <n v="725.63"/>
    <n v="765.55"/>
    <n v="747.96"/>
    <n v="767.33"/>
    <n v="765.46"/>
    <n v="691.38"/>
    <n v="765.47"/>
    <n v="740.74"/>
    <n v="765.46"/>
    <n v="740.78"/>
    <n v="8975.340000000002"/>
    <n v="24.680000000000064"/>
  </r>
  <r>
    <x v="6"/>
    <x v="5"/>
    <x v="0"/>
    <s v="5391106"/>
    <n v="713090"/>
    <s v="Benefits-Allocated Amounts"/>
    <s v="Enterostomal Therapy"/>
    <x v="0"/>
    <m/>
    <n v="1809.52"/>
    <n v="1234.56"/>
    <n v="1662.72"/>
    <n v="1713.85"/>
    <n v="1440.96"/>
    <n v="1522.33"/>
    <n v="1608.95"/>
    <n v="1217.28"/>
    <n v="1754.49"/>
    <n v="1615.43"/>
    <n v="1588.45"/>
    <n v="1251.18"/>
    <n v="18419.72"/>
    <n v="337.27"/>
  </r>
  <r>
    <x v="15"/>
    <x v="5"/>
    <x v="0"/>
    <s v="5391106"/>
    <n v="731060"/>
    <s v="Cell Phones"/>
    <s v="Enterostomal Therapy"/>
    <x v="0"/>
    <n v="1001"/>
    <n v="0"/>
    <n v="66.41"/>
    <n v="32.46"/>
    <n v="0"/>
    <n v="32.520000000000003"/>
    <n v="33.1"/>
    <n v="66.23"/>
    <n v="0"/>
    <n v="33.72"/>
    <n v="66.17"/>
    <n v="32.51"/>
    <n v="73.599999999999994"/>
    <n v="436.72"/>
    <n v="-41.089999999999996"/>
  </r>
  <r>
    <x v="18"/>
    <x v="7"/>
    <x v="0"/>
    <s v="5391150"/>
    <n v="400010"/>
    <s v="Acute I/P Svcs Rev--Medicare"/>
    <s v="Enterostomy"/>
    <x v="0"/>
    <n v="1100"/>
    <n v="-643.19000000000005"/>
    <n v="0"/>
    <n v="-513.45000000000005"/>
    <n v="0"/>
    <n v="0"/>
    <n v="0"/>
    <n v="-509.25"/>
    <n v="-375.28"/>
    <n v="-457.47"/>
    <n v="-524.53"/>
    <n v="-220.63"/>
    <n v="-220.63"/>
    <n v="-3464.4300000000003"/>
    <n v="0"/>
  </r>
  <r>
    <x v="18"/>
    <x v="7"/>
    <x v="0"/>
    <s v="5391150"/>
    <n v="400010"/>
    <s v="Acute I/P Svcs Rev--Medicaid"/>
    <s v="Enterostomy"/>
    <x v="0"/>
    <n v="1200"/>
    <n v="-694"/>
    <n v="0"/>
    <n v="0"/>
    <n v="0"/>
    <n v="0"/>
    <n v="-428.4"/>
    <n v="0"/>
    <n v="-153.57"/>
    <n v="0"/>
    <n v="0"/>
    <n v="0"/>
    <n v="0"/>
    <n v="-1275.97"/>
    <n v="0"/>
  </r>
  <r>
    <x v="18"/>
    <x v="7"/>
    <x v="0"/>
    <s v="5391150"/>
    <n v="400010"/>
    <s v="Acute I/P Svcs Rev--Self Pay"/>
    <s v="Enterostomy"/>
    <x v="0"/>
    <n v="1500"/>
    <n v="694"/>
    <n v="0"/>
    <n v="0"/>
    <n v="0"/>
    <n v="0"/>
    <n v="0"/>
    <n v="0"/>
    <n v="0"/>
    <n v="0"/>
    <n v="0"/>
    <n v="0"/>
    <n v="0"/>
    <n v="694"/>
    <n v="0"/>
  </r>
  <r>
    <x v="5"/>
    <x v="7"/>
    <x v="0"/>
    <s v="5391150"/>
    <n v="700026"/>
    <s v="Salaries-RN-Productive"/>
    <s v="Enterostomy"/>
    <x v="0"/>
    <m/>
    <n v="0"/>
    <n v="62.66"/>
    <n v="304.66000000000003"/>
    <n v="-110.78"/>
    <n v="0"/>
    <n v="249.6"/>
    <n v="323.02"/>
    <n v="339.35"/>
    <n v="-71.400000000000006"/>
    <n v="555.92999999999995"/>
    <n v="419.57"/>
    <n v="-15.3"/>
    <n v="2057.31"/>
    <n v="434.87"/>
  </r>
  <r>
    <x v="6"/>
    <x v="7"/>
    <x v="0"/>
    <s v="5391150"/>
    <n v="713010"/>
    <s v="Benefits-FICA/Medicare"/>
    <s v="Enterostomy"/>
    <x v="0"/>
    <m/>
    <n v="0"/>
    <n v="4.79"/>
    <n v="21.29"/>
    <n v="-7.73"/>
    <n v="0"/>
    <n v="17.510000000000002"/>
    <n v="24.59"/>
    <n v="25.26"/>
    <n v="-5.3"/>
    <n v="40.36"/>
    <n v="31.67"/>
    <n v="-1.1499999999999999"/>
    <n v="151.29"/>
    <n v="32.82"/>
  </r>
  <r>
    <x v="6"/>
    <x v="7"/>
    <x v="0"/>
    <s v="5391150"/>
    <n v="713090"/>
    <s v="Benefits-Allocated Amounts"/>
    <s v="Enterostomy"/>
    <x v="0"/>
    <m/>
    <n v="0"/>
    <n v="2.67"/>
    <n v="20.85"/>
    <n v="27.6"/>
    <n v="-9.25"/>
    <n v="5.27"/>
    <n v="44.81"/>
    <n v="58.76"/>
    <n v="23.79"/>
    <n v="-4.9000000000000004"/>
    <n v="98.61"/>
    <n v="40.99"/>
    <n v="309.2"/>
    <n v="57.62"/>
  </r>
  <r>
    <x v="2"/>
    <x v="5"/>
    <x v="0"/>
    <s v="5400106"/>
    <n v="450060"/>
    <s v="Contr Allow--Home-Based-Mcare"/>
    <s v="Home Health"/>
    <x v="0"/>
    <n v="1100"/>
    <n v="0"/>
    <n v="0"/>
    <n v="-2050.67"/>
    <n v="2050.67"/>
    <n v="0"/>
    <n v="0"/>
    <n v="0"/>
    <n v="0"/>
    <n v="0"/>
    <n v="0"/>
    <n v="0"/>
    <n v="0"/>
    <n v="0"/>
    <n v="0"/>
  </r>
  <r>
    <x v="7"/>
    <x v="5"/>
    <x v="0"/>
    <s v="5400106"/>
    <n v="718050"/>
    <s v="Document Shredding/Storage"/>
    <s v="Home Health"/>
    <x v="0"/>
    <n v="1012"/>
    <n v="12.58"/>
    <n v="-12.58"/>
    <n v="0"/>
    <n v="0"/>
    <n v="0"/>
    <n v="0"/>
    <n v="0"/>
    <n v="0"/>
    <n v="0"/>
    <n v="0"/>
    <n v="0"/>
    <n v="0"/>
    <n v="0"/>
    <n v="0"/>
  </r>
  <r>
    <x v="11"/>
    <x v="5"/>
    <x v="0"/>
    <s v="5400106"/>
    <n v="721010"/>
    <s v="Supplies-Medical - Billable"/>
    <s v="Home Health"/>
    <x v="0"/>
    <m/>
    <n v="0"/>
    <n v="0"/>
    <n v="0"/>
    <n v="0"/>
    <n v="0"/>
    <n v="0"/>
    <n v="0"/>
    <n v="0"/>
    <n v="0"/>
    <n v="0"/>
    <n v="0"/>
    <n v="0"/>
    <n v="0"/>
    <n v="0"/>
  </r>
  <r>
    <x v="12"/>
    <x v="5"/>
    <x v="0"/>
    <s v="5400106"/>
    <n v="730020"/>
    <s v="Rental and Leases-Copier Usage Fees (DO NOT USE)"/>
    <s v="Home Health"/>
    <x v="0"/>
    <n v="5100"/>
    <n v="741.08"/>
    <n v="-741.08"/>
    <n v="0"/>
    <n v="0"/>
    <n v="0"/>
    <n v="0"/>
    <n v="0"/>
    <n v="0"/>
    <n v="0"/>
    <n v="0"/>
    <n v="0"/>
    <n v="0"/>
    <n v="0"/>
    <n v="0"/>
  </r>
  <r>
    <x v="15"/>
    <x v="5"/>
    <x v="0"/>
    <s v="5400106"/>
    <n v="731060"/>
    <s v="Telephone"/>
    <s v="Home Health"/>
    <x v="0"/>
    <m/>
    <n v="867.35"/>
    <n v="-867.35"/>
    <n v="0"/>
    <n v="0"/>
    <n v="0"/>
    <n v="0"/>
    <n v="0"/>
    <n v="0"/>
    <n v="0"/>
    <n v="0"/>
    <n v="0"/>
    <n v="0"/>
    <n v="0"/>
    <n v="0"/>
  </r>
  <r>
    <x v="11"/>
    <x v="6"/>
    <x v="0"/>
    <s v="5400107"/>
    <n v="721010"/>
    <s v="Supplies-Medical - Billable"/>
    <s v="Home Health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5400107"/>
    <n v="722000"/>
    <s v="Supplies-Freight Expense"/>
    <s v="Home Health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5400107"/>
    <n v="722010"/>
    <s v="Standard Distribution Fees"/>
    <s v="Home Health"/>
    <x v="0"/>
    <n v="1000"/>
    <n v="6.63"/>
    <n v="0.5"/>
    <n v="0"/>
    <n v="-7.13"/>
    <n v="0"/>
    <n v="0"/>
    <n v="0"/>
    <n v="0"/>
    <n v="0"/>
    <n v="0"/>
    <n v="0"/>
    <n v="0"/>
    <n v="0"/>
    <n v="0"/>
  </r>
  <r>
    <x v="12"/>
    <x v="6"/>
    <x v="0"/>
    <s v="5400107"/>
    <n v="730020"/>
    <s v="Rental and Leases-Copier Usage Fees (DO NOT USE)"/>
    <s v="Home Health"/>
    <x v="0"/>
    <n v="5100"/>
    <n v="-62.43"/>
    <n v="534.72"/>
    <n v="0"/>
    <n v="-472.29"/>
    <n v="0"/>
    <n v="0"/>
    <n v="0"/>
    <n v="0"/>
    <n v="0"/>
    <n v="0"/>
    <n v="0"/>
    <n v="0"/>
    <n v="0"/>
    <n v="0"/>
  </r>
  <r>
    <x v="0"/>
    <x v="6"/>
    <x v="0"/>
    <s v="5400107"/>
    <n v="740010"/>
    <s v="Education-Materials"/>
    <s v="Home Health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5400107"/>
    <n v="743030"/>
    <s v="Subscriptions--Institutional"/>
    <s v="Home Health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5400107"/>
    <n v="749510"/>
    <s v="Miscellaneous Expenses"/>
    <s v="Home Health"/>
    <x v="0"/>
    <m/>
    <n v="0"/>
    <n v="94"/>
    <n v="0"/>
    <n v="-94"/>
    <n v="0"/>
    <n v="0"/>
    <n v="0"/>
    <n v="0"/>
    <n v="0"/>
    <n v="0"/>
    <n v="0"/>
    <n v="0"/>
    <n v="0"/>
    <n v="0"/>
  </r>
  <r>
    <x v="5"/>
    <x v="5"/>
    <x v="0"/>
    <s v="5490106"/>
    <n v="700054"/>
    <s v="Salaries-Management-NonProd-Other"/>
    <s v="HL Home Health Admin"/>
    <x v="0"/>
    <n v="2000"/>
    <n v="0"/>
    <n v="0"/>
    <n v="0"/>
    <n v="0"/>
    <n v="0"/>
    <n v="4287.3100000000004"/>
    <n v="-4287.3100000000004"/>
    <n v="0"/>
    <n v="0"/>
    <n v="0"/>
    <n v="0"/>
    <n v="0"/>
    <n v="0"/>
    <n v="0"/>
  </r>
  <r>
    <x v="6"/>
    <x v="5"/>
    <x v="0"/>
    <s v="5490106"/>
    <n v="713010"/>
    <s v="Benefits-FICA/Medicare"/>
    <s v="HL Home Health Admin"/>
    <x v="0"/>
    <m/>
    <n v="0"/>
    <n v="0"/>
    <n v="0"/>
    <n v="0"/>
    <n v="0"/>
    <n v="327.98"/>
    <n v="327.98"/>
    <n v="0"/>
    <n v="0"/>
    <n v="0"/>
    <n v="-655.96"/>
    <n v="0"/>
    <n v="0"/>
    <n v="-655.96"/>
  </r>
  <r>
    <x v="6"/>
    <x v="5"/>
    <x v="0"/>
    <s v="5490106"/>
    <n v="713090"/>
    <s v="Benefits-Allocated Amounts"/>
    <s v="HL Home Health Admin"/>
    <x v="0"/>
    <m/>
    <n v="0"/>
    <n v="0"/>
    <n v="0"/>
    <n v="0"/>
    <n v="0"/>
    <n v="233.99"/>
    <n v="1.98"/>
    <n v="-235.97"/>
    <n v="0"/>
    <n v="0"/>
    <n v="0"/>
    <n v="0"/>
    <n v="0"/>
    <n v="0"/>
  </r>
  <r>
    <x v="1"/>
    <x v="3"/>
    <x v="0"/>
    <s v="5500101"/>
    <n v="400040"/>
    <s v="Physician Svcs Rev--Medicare"/>
    <s v="Outpatient Hospice"/>
    <x v="0"/>
    <n v="1100"/>
    <n v="-25922.38"/>
    <n v="-20150.55"/>
    <n v="-26091.84"/>
    <n v="-24987.82"/>
    <n v="-25239.91"/>
    <n v="-22980.53"/>
    <n v="-29084.74"/>
    <n v="-16319.35"/>
    <n v="-23223.18"/>
    <n v="-33196.44"/>
    <n v="-30090.06"/>
    <n v="-33155.17"/>
    <n v="-310441.96999999997"/>
    <n v="3065.1099999999969"/>
  </r>
  <r>
    <x v="1"/>
    <x v="3"/>
    <x v="0"/>
    <s v="5500101"/>
    <n v="400040"/>
    <s v="Physician Svcs Rev--Medicaid"/>
    <s v="Outpatient Hospice"/>
    <x v="0"/>
    <n v="1200"/>
    <n v="-863.4"/>
    <n v="-558.30999999999995"/>
    <n v="-984.04"/>
    <n v="-906.16"/>
    <n v="-1384.65"/>
    <n v="-1383.91"/>
    <n v="-2724.75"/>
    <n v="-1327.21"/>
    <n v="-2441.23"/>
    <n v="-2436.02"/>
    <n v="-1445.41"/>
    <n v="-881.49"/>
    <n v="-17336.580000000002"/>
    <n v="-563.92000000000007"/>
  </r>
  <r>
    <x v="1"/>
    <x v="3"/>
    <x v="0"/>
    <s v="5500101"/>
    <n v="400040"/>
    <s v="Physician Svcs Rev--Comm Insurance"/>
    <s v="Outpatient Hospice"/>
    <x v="0"/>
    <n v="1300"/>
    <n v="-458.05"/>
    <n v="-1547.23"/>
    <n v="-696.03"/>
    <n v="-2262.71"/>
    <n v="-687.71"/>
    <n v="-2005.51"/>
    <n v="-1682.2"/>
    <n v="-688.25"/>
    <n v="-1416.67"/>
    <n v="-2249.08"/>
    <n v="-2888.07"/>
    <n v="-2388.85"/>
    <n v="-18970.36"/>
    <n v="-499.22000000000025"/>
  </r>
  <r>
    <x v="1"/>
    <x v="3"/>
    <x v="0"/>
    <s v="5500101"/>
    <n v="400040"/>
    <s v="Physician Svcs Rev--BCBS Comm"/>
    <s v="Outpatient Hospice"/>
    <x v="0"/>
    <n v="1301"/>
    <n v="-2271.7600000000002"/>
    <n v="-1608.55"/>
    <n v="-1759.01"/>
    <n v="-2324.7800000000002"/>
    <n v="-250"/>
    <n v="-2498.69"/>
    <n v="-2192.1"/>
    <n v="-1458.82"/>
    <n v="-1834.82"/>
    <n v="-1958.31"/>
    <n v="-1217.32"/>
    <n v="-2232.46"/>
    <n v="-21606.62"/>
    <n v="1015.1400000000001"/>
  </r>
  <r>
    <x v="1"/>
    <x v="3"/>
    <x v="0"/>
    <s v="5500101"/>
    <n v="400040"/>
    <s v="Physician Svcs Rev--Self Pay"/>
    <s v="Outpatient Hospice"/>
    <x v="0"/>
    <n v="1500"/>
    <n v="0"/>
    <n v="0"/>
    <n v="0"/>
    <n v="-20"/>
    <n v="-298.93"/>
    <n v="-186.24"/>
    <n v="0"/>
    <n v="0"/>
    <n v="0"/>
    <n v="0"/>
    <n v="0"/>
    <n v="0"/>
    <n v="-505.17"/>
    <n v="0"/>
  </r>
  <r>
    <x v="1"/>
    <x v="3"/>
    <x v="0"/>
    <s v="5500101"/>
    <n v="400040"/>
    <s v="Physician Svcs Rev--Other"/>
    <s v="Outpatient Hospice"/>
    <x v="0"/>
    <n v="1700"/>
    <n v="0"/>
    <n v="0"/>
    <n v="-421.69"/>
    <n v="0"/>
    <n v="250.73"/>
    <n v="-199.17"/>
    <n v="0"/>
    <n v="-66.67"/>
    <n v="-146.29"/>
    <n v="-250.73"/>
    <n v="250.73"/>
    <n v="-250.73"/>
    <n v="-833.82"/>
    <n v="501.46"/>
  </r>
  <r>
    <x v="23"/>
    <x v="3"/>
    <x v="0"/>
    <s v="5500101"/>
    <n v="400060"/>
    <s v="Home-Based Svcs Rev--Medicare"/>
    <s v="Outpatient Hospice"/>
    <x v="0"/>
    <n v="1100"/>
    <n v="-4649071.42"/>
    <n v="-4631686.0599999996"/>
    <n v="-4416374.28"/>
    <n v="-4686086.6900000004"/>
    <n v="-4386035.42"/>
    <n v="-4630039.6500000004"/>
    <n v="-4728859.1100000003"/>
    <n v="-4194859.33"/>
    <n v="-4547582.67"/>
    <n v="-4302643.5999999996"/>
    <n v="-4373043.5199999996"/>
    <n v="-4403746.68"/>
    <n v="-53950028.43"/>
    <n v="30703.160000000149"/>
  </r>
  <r>
    <x v="23"/>
    <x v="3"/>
    <x v="0"/>
    <s v="5500101"/>
    <n v="400060"/>
    <s v="Home-Based Svcs Rev--Medicaid"/>
    <s v="Outpatient Hospice"/>
    <x v="0"/>
    <n v="1200"/>
    <n v="-883055.7"/>
    <n v="-903709.41"/>
    <n v="-837134.17"/>
    <n v="-831936.24"/>
    <n v="-786055.28"/>
    <n v="-923875.89"/>
    <n v="-888116.62"/>
    <n v="-745478.24"/>
    <n v="-742645.1"/>
    <n v="-695196.33"/>
    <n v="-754710.42"/>
    <n v="-638352.19999999995"/>
    <n v="-9630265.5999999996"/>
    <n v="-116358.22000000009"/>
  </r>
  <r>
    <x v="23"/>
    <x v="3"/>
    <x v="0"/>
    <s v="5500101"/>
    <n v="400060"/>
    <s v="Home-Based Svcs Rev--Comm Insurance"/>
    <s v="Outpatient Hospice"/>
    <x v="0"/>
    <n v="1300"/>
    <n v="-52662.16"/>
    <n v="-56106.03"/>
    <n v="-24624.74"/>
    <n v="-52327.77"/>
    <n v="-33039.71"/>
    <n v="-56945.71"/>
    <n v="-37064.61"/>
    <n v="-24024.73"/>
    <n v="-49905.04"/>
    <n v="-52431.78"/>
    <n v="-115304.19"/>
    <n v="-92950.11"/>
    <n v="-647386.57999999996"/>
    <n v="-22354.080000000002"/>
  </r>
  <r>
    <x v="23"/>
    <x v="3"/>
    <x v="0"/>
    <s v="5500101"/>
    <n v="400060"/>
    <s v="Home-Based Svcs Rev--BCBS Comm"/>
    <s v="Outpatient Hospice"/>
    <x v="0"/>
    <n v="1301"/>
    <n v="-59941.2"/>
    <n v="-47649.27"/>
    <n v="-73304.039999999994"/>
    <n v="-71941.679999999993"/>
    <n v="-170570.72"/>
    <n v="-85962.32"/>
    <n v="-65324.42"/>
    <n v="-49176.78"/>
    <n v="-74838.100000000006"/>
    <n v="-81512.53"/>
    <n v="-131177.39000000001"/>
    <n v="-102460"/>
    <n v="-1013858.4500000001"/>
    <n v="-28717.390000000014"/>
  </r>
  <r>
    <x v="23"/>
    <x v="3"/>
    <x v="0"/>
    <s v="5500101"/>
    <n v="400060"/>
    <s v="Home-Based Svcs Rev--Self Pay"/>
    <s v="Outpatient Hospice"/>
    <x v="0"/>
    <n v="1500"/>
    <n v="-1711.16"/>
    <n v="-9591.4500000000007"/>
    <n v="-11554.81"/>
    <n v="-13903.53"/>
    <n v="-11156.1"/>
    <n v="-8658.99"/>
    <n v="-10469.17"/>
    <n v="-5207.2299999999996"/>
    <n v="-5848.34"/>
    <n v="-12792.62"/>
    <n v="-29847.71"/>
    <n v="-21447.040000000001"/>
    <n v="-142188.15"/>
    <n v="-8400.6699999999983"/>
  </r>
  <r>
    <x v="23"/>
    <x v="3"/>
    <x v="0"/>
    <s v="5500101"/>
    <n v="400060"/>
    <s v="Home-Based Svcs Rev--Other"/>
    <s v="Outpatient Hospice"/>
    <x v="0"/>
    <n v="1700"/>
    <n v="-56595.93"/>
    <n v="-72039.8"/>
    <n v="-64206.58"/>
    <n v="-58009.78"/>
    <n v="-50402.3"/>
    <n v="-63744.959999999999"/>
    <n v="-69059.899999999994"/>
    <n v="-66043.179999999993"/>
    <n v="-79262.289999999994"/>
    <n v="-79535.09"/>
    <n v="-65907.3"/>
    <n v="-66646.59"/>
    <n v="-791453.7"/>
    <n v="739.2899999999936"/>
  </r>
  <r>
    <x v="2"/>
    <x v="3"/>
    <x v="0"/>
    <s v="5500101"/>
    <n v="450060"/>
    <s v="Admin Adjust-Home-Based-Self Pay"/>
    <s v="Outpatient Hospice"/>
    <x v="0"/>
    <n v="1600"/>
    <n v="7555.14"/>
    <n v="0"/>
    <n v="10079.94"/>
    <n v="10915.15"/>
    <n v="0"/>
    <n v="6307.75"/>
    <n v="9441.69"/>
    <n v="51391.09"/>
    <n v="-1373.61"/>
    <n v="33037.58"/>
    <n v="8576.0300000000007"/>
    <n v="5879.12"/>
    <n v="141809.88"/>
    <n v="2696.9100000000008"/>
  </r>
  <r>
    <x v="3"/>
    <x v="3"/>
    <x v="0"/>
    <s v="5500101"/>
    <n v="470060"/>
    <s v="Charity Care-Home-Based Svcs"/>
    <s v="Outpatient Hospice"/>
    <x v="0"/>
    <m/>
    <n v="0"/>
    <n v="0"/>
    <n v="40295.06"/>
    <n v="12963.04"/>
    <n v="19000.490000000002"/>
    <n v="27877.29"/>
    <n v="0"/>
    <n v="0"/>
    <n v="12598.24"/>
    <n v="14227.72"/>
    <n v="6192"/>
    <n v="11822.05"/>
    <n v="144975.89000000001"/>
    <n v="-5630.0499999999993"/>
  </r>
  <r>
    <x v="4"/>
    <x v="3"/>
    <x v="0"/>
    <s v="5500101"/>
    <n v="490010"/>
    <s v="Provision for Bad Debts"/>
    <s v="Outpatient Hospice"/>
    <x v="0"/>
    <m/>
    <n v="0"/>
    <n v="0"/>
    <n v="0"/>
    <n v="0"/>
    <n v="0"/>
    <n v="0"/>
    <n v="0"/>
    <n v="0"/>
    <n v="0"/>
    <n v="0"/>
    <n v="0"/>
    <n v="500"/>
    <n v="500"/>
    <n v="-500"/>
  </r>
  <r>
    <x v="14"/>
    <x v="3"/>
    <x v="0"/>
    <s v="5500101"/>
    <n v="600026"/>
    <s v="POB Rental"/>
    <s v="Outpatient Hospice"/>
    <x v="0"/>
    <n v="1001"/>
    <n v="-1650.2"/>
    <n v="-1650.2"/>
    <n v="-1650.2"/>
    <n v="-1650.2"/>
    <n v="-1732.72"/>
    <n v="-1691.46"/>
    <n v="-1691.46"/>
    <n v="-1691.46"/>
    <n v="-1691.46"/>
    <n v="-1691.46"/>
    <n v="-1691.46"/>
    <n v="-1691.46"/>
    <n v="-20173.739999999994"/>
    <n v="0"/>
  </r>
  <r>
    <x v="14"/>
    <x v="3"/>
    <x v="0"/>
    <s v="5500101"/>
    <n v="600026"/>
    <s v="Other Rental"/>
    <s v="Outpatient Hospice"/>
    <x v="0"/>
    <n v="1002"/>
    <n v="-589.38"/>
    <n v="-589.38"/>
    <n v="-589.38"/>
    <n v="-589.38"/>
    <n v="-589.38"/>
    <n v="-589.38"/>
    <n v="-589.38"/>
    <n v="-589.38"/>
    <n v="-589.38"/>
    <n v="-589.38"/>
    <n v="-589.38"/>
    <n v="-589.38"/>
    <n v="-7072.56"/>
    <n v="0"/>
  </r>
  <r>
    <x v="14"/>
    <x v="3"/>
    <x v="0"/>
    <s v="5500101"/>
    <n v="600034"/>
    <s v="Vending Commission"/>
    <s v="Outpatient Hospice"/>
    <x v="0"/>
    <n v="1002"/>
    <n v="0"/>
    <n v="0"/>
    <n v="0"/>
    <n v="0"/>
    <n v="0"/>
    <n v="0"/>
    <n v="0"/>
    <n v="-956.56"/>
    <n v="0"/>
    <n v="0"/>
    <n v="0"/>
    <n v="0"/>
    <n v="-956.56"/>
    <n v="0"/>
  </r>
  <r>
    <x v="20"/>
    <x v="3"/>
    <x v="0"/>
    <s v="5500101"/>
    <n v="610010"/>
    <s v="Foundation Distributions"/>
    <s v="Outpatient Hospice"/>
    <x v="0"/>
    <n v="1175"/>
    <n v="-21290"/>
    <n v="0"/>
    <n v="0"/>
    <n v="-80685.25"/>
    <n v="-24629.97"/>
    <n v="-2838.09"/>
    <n v="-23721"/>
    <n v="0"/>
    <n v="-39298.18"/>
    <n v="-40096.449999999997"/>
    <n v="-26064.41"/>
    <n v="-38055"/>
    <n v="-296678.34999999998"/>
    <n v="11990.59"/>
  </r>
  <r>
    <x v="5"/>
    <x v="3"/>
    <x v="0"/>
    <s v="5500101"/>
    <n v="700014"/>
    <s v="Salaries-Management-Productive"/>
    <s v="Outpatient Hospice"/>
    <x v="0"/>
    <m/>
    <n v="109361.96"/>
    <n v="126402.85"/>
    <n v="112030.03"/>
    <n v="127372.56"/>
    <n v="102116.1"/>
    <n v="92922.69"/>
    <n v="114652.19"/>
    <n v="99865.58"/>
    <n v="122966.88"/>
    <n v="117135.93"/>
    <n v="111016.59"/>
    <n v="92689.96"/>
    <n v="1328533.3199999998"/>
    <n v="18326.62999999999"/>
  </r>
  <r>
    <x v="5"/>
    <x v="3"/>
    <x v="0"/>
    <s v="5500101"/>
    <n v="700018"/>
    <s v="Salaries-Supervisory-Productive"/>
    <s v="Outpatient Hospice"/>
    <x v="0"/>
    <m/>
    <n v="19298.650000000001"/>
    <n v="15441.26"/>
    <n v="20139.490000000002"/>
    <n v="21532.55"/>
    <n v="22709.279999999999"/>
    <n v="16328.49"/>
    <n v="20937.22"/>
    <n v="19773.560000000001"/>
    <n v="17509.91"/>
    <n v="21016.28"/>
    <n v="13066.59"/>
    <n v="18730.47"/>
    <n v="226483.75"/>
    <n v="-5663.880000000001"/>
  </r>
  <r>
    <x v="5"/>
    <x v="3"/>
    <x v="0"/>
    <s v="5500101"/>
    <n v="700020"/>
    <s v="Salaries-Physician Admin-Productive"/>
    <s v="Outpatient Hospice"/>
    <x v="0"/>
    <m/>
    <n v="19473.03"/>
    <n v="20358.18"/>
    <n v="17702.759999999998"/>
    <n v="20358.169999999998"/>
    <n v="19473.04"/>
    <n v="18587.89"/>
    <n v="20389.34"/>
    <n v="17728.740000000002"/>
    <n v="18615.18"/>
    <n v="19501.61"/>
    <n v="20388.060000000001"/>
    <n v="17695.310000000001"/>
    <n v="230271.31"/>
    <n v="2692.75"/>
  </r>
  <r>
    <x v="5"/>
    <x v="3"/>
    <x v="0"/>
    <s v="5500101"/>
    <n v="700022"/>
    <s v="Salaries-Physician-Productive"/>
    <s v="Outpatient Hospice"/>
    <x v="0"/>
    <m/>
    <n v="63243.93"/>
    <n v="67883.179999999993"/>
    <n v="54041.29"/>
    <n v="75974.710000000006"/>
    <n v="73417.509999999995"/>
    <n v="82844.12"/>
    <n v="87320.23"/>
    <n v="90363.05"/>
    <n v="112599.98"/>
    <n v="73611.59"/>
    <n v="77891.09"/>
    <n v="64267.26"/>
    <n v="923457.94"/>
    <n v="13623.829999999994"/>
  </r>
  <r>
    <x v="5"/>
    <x v="3"/>
    <x v="0"/>
    <s v="5500101"/>
    <n v="700022"/>
    <s v="Salaries-Physician-Other"/>
    <s v="Outpatient Hospice"/>
    <x v="0"/>
    <n v="2000"/>
    <n v="4555"/>
    <n v="4530.17"/>
    <n v="2957.81"/>
    <n v="3075.16"/>
    <n v="-677.5"/>
    <n v="4050"/>
    <n v="3859.01"/>
    <n v="4150.46"/>
    <n v="-761.11"/>
    <n v="0"/>
    <n v="1902.79"/>
    <n v="1733.3"/>
    <n v="29375.09"/>
    <n v="169.49"/>
  </r>
  <r>
    <x v="5"/>
    <x v="3"/>
    <x v="0"/>
    <s v="5500101"/>
    <n v="700022"/>
    <s v="Salaries-Physician-Provider Incentive"/>
    <s v="Outpatient Hospice"/>
    <x v="0"/>
    <n v="4003"/>
    <n v="0"/>
    <n v="0"/>
    <n v="0"/>
    <n v="5850"/>
    <n v="0"/>
    <n v="0"/>
    <n v="0"/>
    <n v="0"/>
    <n v="0"/>
    <n v="0"/>
    <n v="0"/>
    <n v="0"/>
    <n v="5850"/>
    <n v="0"/>
  </r>
  <r>
    <x v="5"/>
    <x v="3"/>
    <x v="0"/>
    <s v="5500101"/>
    <n v="700024"/>
    <s v="Salaries-Advanced Practice Clinician-Productive"/>
    <s v="Outpatient Hospice"/>
    <x v="0"/>
    <m/>
    <n v="53240.42"/>
    <n v="50509.7"/>
    <n v="42211.61"/>
    <n v="55942.36"/>
    <n v="48865.48"/>
    <n v="44081.72"/>
    <n v="69828.98"/>
    <n v="73497.87"/>
    <n v="72712.350000000006"/>
    <n v="70006.37"/>
    <n v="69476.89"/>
    <n v="61532.43"/>
    <n v="711906.18"/>
    <n v="7944.4599999999991"/>
  </r>
  <r>
    <x v="5"/>
    <x v="3"/>
    <x v="0"/>
    <s v="5500101"/>
    <n v="700024"/>
    <s v="Salaries-Advanced Practice Clinician-Other"/>
    <s v="Outpatient Hospice"/>
    <x v="0"/>
    <n v="2000"/>
    <n v="0"/>
    <n v="516"/>
    <n v="0"/>
    <n v="0"/>
    <n v="0"/>
    <n v="0"/>
    <n v="0"/>
    <n v="0"/>
    <n v="0"/>
    <n v="0"/>
    <n v="0"/>
    <n v="0"/>
    <n v="516"/>
    <n v="0"/>
  </r>
  <r>
    <x v="5"/>
    <x v="3"/>
    <x v="0"/>
    <s v="5500101"/>
    <n v="700026"/>
    <s v="Salaries-RN-Productive"/>
    <s v="Outpatient Hospice"/>
    <x v="0"/>
    <m/>
    <n v="798038.92"/>
    <n v="815569.97"/>
    <n v="773721.66"/>
    <n v="869251.55"/>
    <n v="791977.08"/>
    <n v="789186.81"/>
    <n v="800788.56"/>
    <n v="667345.61"/>
    <n v="808452.88"/>
    <n v="726010.93"/>
    <n v="766112.28"/>
    <n v="711505.78"/>
    <n v="9317962.0299999993"/>
    <n v="54606.5"/>
  </r>
  <r>
    <x v="5"/>
    <x v="3"/>
    <x v="0"/>
    <s v="5500101"/>
    <n v="700026"/>
    <s v="Salaries-RN-OT"/>
    <s v="Outpatient Hospice"/>
    <x v="0"/>
    <n v="1000"/>
    <n v="6498.56"/>
    <n v="9837.4699999999993"/>
    <n v="9130.94"/>
    <n v="1818.03"/>
    <n v="2466.44"/>
    <n v="4425.8500000000004"/>
    <n v="1564.13"/>
    <n v="4725.3999999999996"/>
    <n v="9145.7800000000007"/>
    <n v="13573.01"/>
    <n v="4125.91"/>
    <n v="8754.8799999999992"/>
    <n v="76066.400000000009"/>
    <n v="-4628.9699999999993"/>
  </r>
  <r>
    <x v="5"/>
    <x v="3"/>
    <x v="0"/>
    <s v="5500101"/>
    <n v="700026"/>
    <s v="Salaries-RN-Other"/>
    <s v="Outpatient Hospice"/>
    <x v="0"/>
    <n v="2000"/>
    <n v="19143.98"/>
    <n v="19579.259999999998"/>
    <n v="18913.28"/>
    <n v="23231.85"/>
    <n v="15721.96"/>
    <n v="17264.02"/>
    <n v="16466.2"/>
    <n v="12548.21"/>
    <n v="16685.61"/>
    <n v="13677.47"/>
    <n v="14076.4"/>
    <n v="18534.98"/>
    <n v="205843.22"/>
    <n v="-4458.58"/>
  </r>
  <r>
    <x v="5"/>
    <x v="3"/>
    <x v="0"/>
    <s v="5500101"/>
    <n v="700030"/>
    <s v="Salaries-LPN-Productive"/>
    <s v="Outpatient Hospice"/>
    <x v="0"/>
    <m/>
    <n v="5216.51"/>
    <n v="2986.06"/>
    <n v="2640.5"/>
    <n v="4232.7700000000004"/>
    <n v="789.26"/>
    <n v="-24.63"/>
    <n v="963.96"/>
    <n v="1526.87"/>
    <n v="711.22"/>
    <n v="1496.09"/>
    <n v="907.05"/>
    <n v="2260.31"/>
    <n v="23705.97"/>
    <n v="-1353.26"/>
  </r>
  <r>
    <x v="5"/>
    <x v="3"/>
    <x v="0"/>
    <s v="5500101"/>
    <n v="700030"/>
    <s v="Salaries-LPN-OT"/>
    <s v="Outpatient Hospice"/>
    <x v="0"/>
    <n v="1000"/>
    <n v="311.70999999999998"/>
    <n v="1147.57"/>
    <n v="173.49"/>
    <n v="1153.23"/>
    <n v="364.2"/>
    <n v="-232.92"/>
    <n v="112.9"/>
    <n v="228.61"/>
    <n v="246.35"/>
    <n v="-26.5"/>
    <n v="56.67"/>
    <n v="275.52"/>
    <n v="3810.83"/>
    <n v="-218.84999999999997"/>
  </r>
  <r>
    <x v="5"/>
    <x v="3"/>
    <x v="0"/>
    <s v="5500101"/>
    <n v="700030"/>
    <s v="Salaries-LPN-Other"/>
    <s v="Outpatient Hospice"/>
    <x v="0"/>
    <n v="2000"/>
    <n v="968.36"/>
    <n v="857.07"/>
    <n v="617.92999999999995"/>
    <n v="864.14"/>
    <n v="435.88"/>
    <n v="-32.1"/>
    <n v="213.44"/>
    <n v="315.81"/>
    <n v="176.94"/>
    <n v="209.7"/>
    <n v="169.65"/>
    <n v="504.49"/>
    <n v="5301.3099999999995"/>
    <n v="-334.84000000000003"/>
  </r>
  <r>
    <x v="5"/>
    <x v="3"/>
    <x v="0"/>
    <s v="5500101"/>
    <n v="700032"/>
    <s v="Salaries-Other Pat Care Providers-Productive"/>
    <s v="Outpatient Hospice"/>
    <x v="0"/>
    <m/>
    <n v="421009.66"/>
    <n v="440518.52"/>
    <n v="405832.6"/>
    <n v="446311.24"/>
    <n v="445034.78"/>
    <n v="380227.6"/>
    <n v="423666.91"/>
    <n v="366097.14"/>
    <n v="476974.6"/>
    <n v="384357.02"/>
    <n v="426109.24"/>
    <n v="400259.8"/>
    <n v="5016399.1100000003"/>
    <n v="25849.440000000002"/>
  </r>
  <r>
    <x v="5"/>
    <x v="3"/>
    <x v="0"/>
    <s v="5500101"/>
    <n v="700032"/>
    <s v="Salaries-Other Pat Care Providers-OT"/>
    <s v="Outpatient Hospice"/>
    <x v="0"/>
    <n v="1000"/>
    <n v="5927.04"/>
    <n v="5130.4799999999996"/>
    <n v="7835.99"/>
    <n v="5656.83"/>
    <n v="2595.0700000000002"/>
    <n v="6554.47"/>
    <n v="4253.49"/>
    <n v="3533.87"/>
    <n v="4084.69"/>
    <n v="2289.19"/>
    <n v="4515.88"/>
    <n v="7081.45"/>
    <n v="59458.450000000004"/>
    <n v="-2565.5699999999997"/>
  </r>
  <r>
    <x v="5"/>
    <x v="3"/>
    <x v="0"/>
    <s v="5500101"/>
    <n v="700032"/>
    <s v="Salaries-Other Pat Care Providers-Other"/>
    <s v="Outpatient Hospice"/>
    <x v="0"/>
    <n v="2000"/>
    <n v="6222.18"/>
    <n v="6558.05"/>
    <n v="7007.41"/>
    <n v="5482.32"/>
    <n v="5190.51"/>
    <n v="4867.67"/>
    <n v="4649.63"/>
    <n v="5143.74"/>
    <n v="6196.9"/>
    <n v="7290"/>
    <n v="6688.49"/>
    <n v="7290.79"/>
    <n v="72587.689999999988"/>
    <n v="-602.30000000000018"/>
  </r>
  <r>
    <x v="5"/>
    <x v="3"/>
    <x v="0"/>
    <s v="5500101"/>
    <n v="700034"/>
    <s v="Salaries-Tech/Professional-Productive"/>
    <s v="Outpatient Hospice"/>
    <x v="0"/>
    <m/>
    <n v="94183.02"/>
    <n v="101728.82"/>
    <n v="89744.26"/>
    <n v="98128.13"/>
    <n v="99150.19"/>
    <n v="82128.639999999999"/>
    <n v="89394.49"/>
    <n v="77400.52"/>
    <n v="101276.39"/>
    <n v="89013.09"/>
    <n v="88553.01"/>
    <n v="75137.78"/>
    <n v="1085838.3400000001"/>
    <n v="13415.229999999996"/>
  </r>
  <r>
    <x v="5"/>
    <x v="3"/>
    <x v="0"/>
    <s v="5500101"/>
    <n v="700034"/>
    <s v="Salaries-Tech/Professional-OT"/>
    <s v="Outpatient Hospice"/>
    <x v="0"/>
    <n v="1000"/>
    <n v="46"/>
    <n v="82.97"/>
    <n v="-2.57"/>
    <n v="782.35"/>
    <n v="-344.23"/>
    <n v="-438.12"/>
    <n v="0"/>
    <n v="0"/>
    <n v="0"/>
    <n v="0"/>
    <n v="1682.84"/>
    <n v="-647.70000000000005"/>
    <n v="1161.5399999999997"/>
    <n v="2330.54"/>
  </r>
  <r>
    <x v="5"/>
    <x v="3"/>
    <x v="0"/>
    <s v="5500101"/>
    <n v="700034"/>
    <s v="Salaries-Tech/Professional-Other"/>
    <s v="Outpatient Hospice"/>
    <x v="0"/>
    <n v="2000"/>
    <n v="1036.1400000000001"/>
    <n v="1985.73"/>
    <n v="886.98"/>
    <n v="1193.96"/>
    <n v="1630.94"/>
    <n v="799.41"/>
    <n v="605.51"/>
    <n v="908.59"/>
    <n v="844.8"/>
    <n v="1609.44"/>
    <n v="898.34"/>
    <n v="1155.79"/>
    <n v="13555.630000000001"/>
    <n v="-257.44999999999993"/>
  </r>
  <r>
    <x v="5"/>
    <x v="3"/>
    <x v="0"/>
    <s v="5500101"/>
    <n v="700038"/>
    <s v="Salaries-Service/Support-Productive"/>
    <s v="Outpatient Hospice"/>
    <x v="0"/>
    <m/>
    <n v="112214.36"/>
    <n v="120626.91"/>
    <n v="107048.88"/>
    <n v="120316.39"/>
    <n v="113896.56"/>
    <n v="95876.15"/>
    <n v="114697.28"/>
    <n v="95142.86"/>
    <n v="115948.66"/>
    <n v="117436.18"/>
    <n v="110827.45"/>
    <n v="105323.91"/>
    <n v="1329355.5900000001"/>
    <n v="5503.5399999999936"/>
  </r>
  <r>
    <x v="5"/>
    <x v="3"/>
    <x v="0"/>
    <s v="5500101"/>
    <n v="700038"/>
    <s v="Salaries-Service/Support-OT"/>
    <s v="Outpatient Hospice"/>
    <x v="0"/>
    <n v="1000"/>
    <n v="2436.2399999999998"/>
    <n v="3384.42"/>
    <n v="2996.04"/>
    <n v="3592.42"/>
    <n v="2271.83"/>
    <n v="3179.98"/>
    <n v="3798.44"/>
    <n v="2646.86"/>
    <n v="3707.73"/>
    <n v="4235.28"/>
    <n v="2691.17"/>
    <n v="4085.63"/>
    <n v="39026.039999999994"/>
    <n v="-1394.46"/>
  </r>
  <r>
    <x v="5"/>
    <x v="3"/>
    <x v="0"/>
    <s v="5500101"/>
    <n v="700038"/>
    <s v="Salaries-Service/Support-Other"/>
    <s v="Outpatient Hospice"/>
    <x v="0"/>
    <n v="2000"/>
    <n v="1032.8499999999999"/>
    <n v="-23816.03"/>
    <n v="1109.1199999999999"/>
    <n v="1462.57"/>
    <n v="744.85"/>
    <n v="890.67"/>
    <n v="1010.37"/>
    <n v="698.38"/>
    <n v="1032.32"/>
    <n v="1002.72"/>
    <n v="1200.03"/>
    <n v="629.04"/>
    <n v="-13003.110000000004"/>
    <n v="570.99"/>
  </r>
  <r>
    <x v="5"/>
    <x v="3"/>
    <x v="0"/>
    <s v="5500101"/>
    <n v="700054"/>
    <s v="Salaries-Management-Non-productive"/>
    <s v="Outpatient Hospice"/>
    <x v="0"/>
    <m/>
    <n v="26697.16"/>
    <n v="13344.3"/>
    <n v="16019.58"/>
    <n v="4420.3900000000003"/>
    <n v="13240.48"/>
    <n v="30679.65"/>
    <n v="14792.43"/>
    <n v="17073.43"/>
    <n v="6604.11"/>
    <n v="7906.61"/>
    <n v="17736.86"/>
    <n v="32388.560000000001"/>
    <n v="200903.55999999994"/>
    <n v="-14651.7"/>
  </r>
  <r>
    <x v="5"/>
    <x v="3"/>
    <x v="0"/>
    <s v="5500101"/>
    <n v="700054"/>
    <s v="Salaries-Management-NonProd-Other"/>
    <s v="Outpatient Hospice"/>
    <x v="0"/>
    <n v="2000"/>
    <n v="0"/>
    <n v="0"/>
    <n v="0"/>
    <n v="0"/>
    <n v="405.1"/>
    <n v="14193.81"/>
    <n v="-13531.84"/>
    <n v="-1067.07"/>
    <n v="0"/>
    <n v="0"/>
    <n v="0"/>
    <n v="0"/>
    <n v="-2.2737367544323206E-13"/>
    <n v="0"/>
  </r>
  <r>
    <x v="5"/>
    <x v="3"/>
    <x v="0"/>
    <s v="5500101"/>
    <n v="700058"/>
    <s v="Salaries-Supervisory-Non-productive"/>
    <s v="Outpatient Hospice"/>
    <x v="0"/>
    <m/>
    <n v="4244.46"/>
    <n v="8102.94"/>
    <n v="2645.56"/>
    <n v="2465.9499999999998"/>
    <n v="619.80999999999995"/>
    <n v="7779.02"/>
    <n v="3207.93"/>
    <n v="2032.74"/>
    <n v="6632.94"/>
    <n v="2347.0300000000002"/>
    <n v="11076.28"/>
    <n v="4633.91"/>
    <n v="55788.570000000007"/>
    <n v="6442.3700000000008"/>
  </r>
  <r>
    <x v="5"/>
    <x v="3"/>
    <x v="0"/>
    <s v="5500101"/>
    <n v="700062"/>
    <s v="Salaries-Physician-Non-productive"/>
    <s v="Outpatient Hospice"/>
    <x v="0"/>
    <m/>
    <n v="0"/>
    <n v="0"/>
    <n v="0"/>
    <n v="0"/>
    <n v="0"/>
    <n v="0"/>
    <n v="0"/>
    <n v="5687.86"/>
    <n v="704.35"/>
    <n v="698.45"/>
    <n v="7322.53"/>
    <n v="10494.61"/>
    <n v="24907.8"/>
    <n v="-3172.0800000000008"/>
  </r>
  <r>
    <x v="5"/>
    <x v="3"/>
    <x v="0"/>
    <s v="5500101"/>
    <n v="700064"/>
    <s v="Salaries-Advanced Practice Clinician-Non-Productive"/>
    <s v="Outpatient Hospice"/>
    <x v="0"/>
    <m/>
    <n v="6028.85"/>
    <n v="6105.78"/>
    <n v="7019.25"/>
    <n v="2236.15"/>
    <n v="6953.22"/>
    <n v="14084.79"/>
    <n v="8368.69"/>
    <n v="4733.8599999999997"/>
    <n v="8223.07"/>
    <n v="15356.56"/>
    <n v="18325.21"/>
    <n v="15656.74"/>
    <n v="113092.17000000003"/>
    <n v="2668.4699999999993"/>
  </r>
  <r>
    <x v="5"/>
    <x v="3"/>
    <x v="0"/>
    <s v="5500101"/>
    <n v="700066"/>
    <s v="Salaries-RN-Non-productive"/>
    <s v="Outpatient Hospice"/>
    <x v="0"/>
    <m/>
    <n v="121189.74"/>
    <n v="110238.61"/>
    <n v="110326.64"/>
    <n v="89574.68"/>
    <n v="107659.85"/>
    <n v="141146.25"/>
    <n v="100054.44"/>
    <n v="115484.64"/>
    <n v="70861.259999999995"/>
    <n v="113217.09"/>
    <n v="86366.76"/>
    <n v="111573.3"/>
    <n v="1277693.26"/>
    <n v="-25206.540000000008"/>
  </r>
  <r>
    <x v="5"/>
    <x v="3"/>
    <x v="0"/>
    <s v="5500101"/>
    <n v="700066"/>
    <s v="Salaries-RN-NonProd-Other"/>
    <s v="Outpatient Hospice"/>
    <x v="0"/>
    <n v="2000"/>
    <n v="1224.1199999999999"/>
    <n v="1395.67"/>
    <n v="551.84"/>
    <n v="430.19"/>
    <n v="9549.73"/>
    <n v="11529.52"/>
    <n v="1850.29"/>
    <n v="-15418.76"/>
    <n v="1801.48"/>
    <n v="2268.2399999999998"/>
    <n v="2239.84"/>
    <n v="1430.12"/>
    <n v="18852.28"/>
    <n v="809.72000000000025"/>
  </r>
  <r>
    <x v="5"/>
    <x v="3"/>
    <x v="0"/>
    <s v="5500101"/>
    <n v="700070"/>
    <s v="Salaries-LPN-Non-productive"/>
    <s v="Outpatient Hospice"/>
    <x v="0"/>
    <m/>
    <n v="234.3"/>
    <n v="0"/>
    <n v="0"/>
    <n v="117.15"/>
    <n v="0"/>
    <n v="0"/>
    <n v="0"/>
    <n v="0"/>
    <n v="0"/>
    <n v="0"/>
    <n v="0"/>
    <n v="0"/>
    <n v="351.45000000000005"/>
    <n v="0"/>
  </r>
  <r>
    <x v="5"/>
    <x v="3"/>
    <x v="0"/>
    <s v="5500101"/>
    <n v="700070"/>
    <s v="Salaries-LPN-NonProd-Other"/>
    <s v="Outpatient Hospice"/>
    <x v="0"/>
    <n v="2000"/>
    <n v="210.43"/>
    <n v="205.19"/>
    <n v="29.02"/>
    <n v="234.55"/>
    <n v="18.920000000000002"/>
    <n v="-33.78"/>
    <n v="0"/>
    <n v="29.05"/>
    <n v="24.67"/>
    <n v="-10.56"/>
    <n v="12.33"/>
    <n v="39.619999999999997"/>
    <n v="759.44"/>
    <n v="-27.29"/>
  </r>
  <r>
    <x v="5"/>
    <x v="3"/>
    <x v="0"/>
    <s v="5500101"/>
    <n v="700072"/>
    <s v="Salaries-Other Pat Care Providers-Non-productive"/>
    <s v="Outpatient Hospice"/>
    <x v="0"/>
    <m/>
    <n v="79360.240000000005"/>
    <n v="59253.66"/>
    <n v="84630.5"/>
    <n v="47181.22"/>
    <n v="43764.1"/>
    <n v="113857.8"/>
    <n v="77302.899999999994"/>
    <n v="86961.26"/>
    <n v="41861.99"/>
    <n v="58677.39"/>
    <n v="41682.43"/>
    <n v="63087.35"/>
    <n v="797620.84"/>
    <n v="-21404.92"/>
  </r>
  <r>
    <x v="5"/>
    <x v="3"/>
    <x v="0"/>
    <s v="5500101"/>
    <n v="700072"/>
    <s v="Salaries-Other Pat Care Providers-NonProd-Other"/>
    <s v="Outpatient Hospice"/>
    <x v="0"/>
    <n v="2000"/>
    <n v="0"/>
    <n v="20.5"/>
    <n v="0"/>
    <n v="0"/>
    <n v="3932.67"/>
    <n v="3023"/>
    <n v="0"/>
    <n v="-6955.67"/>
    <n v="4.3899999999999997"/>
    <n v="0"/>
    <n v="0"/>
    <n v="0"/>
    <n v="24.89"/>
    <n v="0"/>
  </r>
  <r>
    <x v="5"/>
    <x v="3"/>
    <x v="0"/>
    <s v="5500101"/>
    <n v="700074"/>
    <s v="Salaries-Tech/Professional-Non-productive"/>
    <s v="Outpatient Hospice"/>
    <x v="0"/>
    <m/>
    <n v="13446.48"/>
    <n v="15253.07"/>
    <n v="6106.15"/>
    <n v="6767.99"/>
    <n v="5283.09"/>
    <n v="22242.02"/>
    <n v="11949.04"/>
    <n v="14203.57"/>
    <n v="2967.67"/>
    <n v="12987.12"/>
    <n v="2423.36"/>
    <n v="12586.78"/>
    <n v="126216.34"/>
    <n v="-10163.42"/>
  </r>
  <r>
    <x v="5"/>
    <x v="3"/>
    <x v="0"/>
    <s v="5500101"/>
    <n v="700074"/>
    <s v="Salaries-Tech/Professional-NonProd-Other"/>
    <s v="Outpatient Hospice"/>
    <x v="0"/>
    <n v="2000"/>
    <n v="0"/>
    <n v="0"/>
    <n v="0"/>
    <n v="0"/>
    <n v="312.92"/>
    <n v="0"/>
    <n v="0"/>
    <n v="-312.92"/>
    <n v="0"/>
    <n v="0"/>
    <n v="0"/>
    <n v="0"/>
    <n v="0"/>
    <n v="0"/>
  </r>
  <r>
    <x v="5"/>
    <x v="3"/>
    <x v="0"/>
    <s v="5500101"/>
    <n v="700078"/>
    <s v="Salaries-Service/Support-Non-productive"/>
    <s v="Outpatient Hospice"/>
    <x v="0"/>
    <m/>
    <n v="18084.84"/>
    <n v="13137.76"/>
    <n v="20453.47"/>
    <n v="14637.43"/>
    <n v="11635.89"/>
    <n v="33458.19"/>
    <n v="19984.73"/>
    <n v="22795.96"/>
    <n v="15600.17"/>
    <n v="13143.46"/>
    <n v="19609.55"/>
    <n v="19739.68"/>
    <n v="222281.12999999998"/>
    <n v="-130.13000000000102"/>
  </r>
  <r>
    <x v="5"/>
    <x v="3"/>
    <x v="0"/>
    <s v="5500101"/>
    <n v="700078"/>
    <s v="Salaries-Service/Support-NonProd-Other"/>
    <s v="Outpatient Hospice"/>
    <x v="0"/>
    <n v="2000"/>
    <n v="64.05"/>
    <n v="135.77000000000001"/>
    <n v="287.05"/>
    <n v="313.23"/>
    <n v="3274.82"/>
    <n v="2731.61"/>
    <n v="197.39"/>
    <n v="-5181.3100000000004"/>
    <n v="519.09"/>
    <n v="239.24"/>
    <n v="440.13"/>
    <n v="391.62"/>
    <n v="3412.6900000000005"/>
    <n v="48.509999999999991"/>
  </r>
  <r>
    <x v="5"/>
    <x v="3"/>
    <x v="0"/>
    <s v="5500101"/>
    <n v="700084"/>
    <s v="Accrued PTO"/>
    <s v="Outpatient Hospice"/>
    <x v="0"/>
    <m/>
    <n v="-10004.790000000001"/>
    <n v="6258.75"/>
    <n v="-17063.79"/>
    <n v="85262.48"/>
    <n v="59493.599999999999"/>
    <n v="-39107.42"/>
    <n v="1022.02"/>
    <n v="26973.17"/>
    <n v="66861.899999999994"/>
    <n v="45667.91"/>
    <n v="61771.9"/>
    <n v="-15335.48"/>
    <n v="271800.25"/>
    <n v="77107.38"/>
  </r>
  <r>
    <x v="6"/>
    <x v="3"/>
    <x v="0"/>
    <s v="5500101"/>
    <n v="713010"/>
    <s v="Benefits-FICA/Medicare"/>
    <s v="Outpatient Hospice"/>
    <x v="0"/>
    <m/>
    <n v="147631.29999999999"/>
    <n v="147412.51999999999"/>
    <n v="140199.31"/>
    <n v="147558.44"/>
    <n v="141792.32000000001"/>
    <n v="147429.91"/>
    <n v="151227.22"/>
    <n v="135018.01"/>
    <n v="152528.54999999999"/>
    <n v="139684.82"/>
    <n v="144196.92000000001"/>
    <n v="140162.18"/>
    <n v="1734841.4999999998"/>
    <n v="4034.7400000000198"/>
  </r>
  <r>
    <x v="6"/>
    <x v="3"/>
    <x v="0"/>
    <s v="5500101"/>
    <n v="713090"/>
    <s v="Benefits-Allocated Amounts"/>
    <s v="Outpatient Hospice"/>
    <x v="0"/>
    <m/>
    <n v="424244.99"/>
    <n v="395781.43"/>
    <n v="414154.15"/>
    <n v="422565.13"/>
    <n v="409301.8"/>
    <n v="411616.1"/>
    <n v="435355.47"/>
    <n v="419371.37"/>
    <n v="357503.98"/>
    <n v="405560.19"/>
    <n v="438512.98"/>
    <n v="417828.36"/>
    <n v="4951795.95"/>
    <n v="20684.619999999995"/>
  </r>
  <r>
    <x v="6"/>
    <x v="3"/>
    <x v="0"/>
    <s v="5500101"/>
    <n v="713096"/>
    <s v="Employee Recognition"/>
    <s v="Outpatient Hospice"/>
    <x v="0"/>
    <n v="1017"/>
    <n v="0"/>
    <n v="0"/>
    <n v="49.81"/>
    <n v="0"/>
    <n v="15.87"/>
    <n v="87.61"/>
    <n v="0"/>
    <n v="130"/>
    <n v="14.8"/>
    <n v="0"/>
    <n v="2174.37"/>
    <n v="143.96"/>
    <n v="2616.42"/>
    <n v="2030.4099999999999"/>
  </r>
  <r>
    <x v="21"/>
    <x v="3"/>
    <x v="0"/>
    <s v="5500101"/>
    <n v="716026"/>
    <s v="Consulting-Clinical"/>
    <s v="Outpatient Hospice"/>
    <x v="0"/>
    <m/>
    <n v="0"/>
    <n v="0"/>
    <n v="2000"/>
    <n v="5000"/>
    <n v="0"/>
    <n v="2000"/>
    <n v="5000"/>
    <n v="3000"/>
    <n v="2000"/>
    <n v="0"/>
    <n v="2000"/>
    <n v="4000"/>
    <n v="25000"/>
    <n v="-2000"/>
  </r>
  <r>
    <x v="21"/>
    <x v="3"/>
    <x v="0"/>
    <s v="5500101"/>
    <n v="716046"/>
    <s v="Consulting-Other"/>
    <s v="Outpatient Hospice"/>
    <x v="0"/>
    <m/>
    <n v="4000"/>
    <n v="0"/>
    <n v="0"/>
    <n v="0"/>
    <n v="0"/>
    <n v="0"/>
    <n v="0"/>
    <n v="0"/>
    <n v="0"/>
    <n v="0"/>
    <n v="0"/>
    <n v="0"/>
    <n v="4000"/>
    <n v="0"/>
  </r>
  <r>
    <x v="7"/>
    <x v="3"/>
    <x v="0"/>
    <s v="5500101"/>
    <n v="718010"/>
    <s v="Contract Services-Advertising &amp; Public Relations"/>
    <s v="Outpatient Hospice"/>
    <x v="0"/>
    <m/>
    <n v="0"/>
    <n v="2775"/>
    <n v="0"/>
    <n v="730"/>
    <n v="2710"/>
    <n v="1995"/>
    <n v="1483"/>
    <n v="5600"/>
    <n v="0"/>
    <n v="730"/>
    <n v="0"/>
    <n v="2025"/>
    <n v="18048"/>
    <n v="-2025"/>
  </r>
  <r>
    <x v="7"/>
    <x v="3"/>
    <x v="0"/>
    <s v="5500101"/>
    <n v="718040"/>
    <s v="Contract Svcs-Laboratory"/>
    <s v="Outpatient Hospice"/>
    <x v="0"/>
    <m/>
    <n v="528.1"/>
    <n v="2055.0500000000002"/>
    <n v="1703.86"/>
    <n v="2128.56"/>
    <n v="16.61"/>
    <n v="699.99"/>
    <n v="655.79"/>
    <n v="1295.93"/>
    <n v="657.34"/>
    <n v="0"/>
    <n v="420.74"/>
    <n v="22.1"/>
    <n v="10184.07"/>
    <n v="398.64"/>
  </r>
  <r>
    <x v="7"/>
    <x v="3"/>
    <x v="0"/>
    <s v="5500101"/>
    <n v="718050"/>
    <s v="Contract Svcs-Other"/>
    <s v="Outpatient Hospice"/>
    <x v="0"/>
    <m/>
    <n v="40219.93"/>
    <n v="40471.19"/>
    <n v="38366.99"/>
    <n v="43578.26"/>
    <n v="41474.99"/>
    <n v="31279.78"/>
    <n v="55346.46"/>
    <n v="28309.54"/>
    <n v="57582.47"/>
    <n v="31248.27"/>
    <n v="42325"/>
    <n v="41565.75"/>
    <n v="491768.63"/>
    <n v="759.25"/>
  </r>
  <r>
    <x v="7"/>
    <x v="3"/>
    <x v="0"/>
    <s v="5500101"/>
    <n v="718050"/>
    <s v="Cleaning Services"/>
    <s v="Outpatient Hospice"/>
    <x v="0"/>
    <n v="1011"/>
    <n v="0"/>
    <n v="0"/>
    <n v="0"/>
    <n v="0"/>
    <n v="0"/>
    <n v="0"/>
    <n v="27573.58"/>
    <n v="-27573.58"/>
    <n v="0"/>
    <n v="0"/>
    <n v="0"/>
    <n v="0"/>
    <n v="0"/>
    <n v="0"/>
  </r>
  <r>
    <x v="7"/>
    <x v="3"/>
    <x v="0"/>
    <s v="5500101"/>
    <n v="718050"/>
    <s v="Document Shredding/Storage"/>
    <s v="Outpatient Hospice"/>
    <x v="0"/>
    <n v="1012"/>
    <n v="440.42"/>
    <n v="470.3"/>
    <n v="564.36"/>
    <n v="504.18"/>
    <n v="294.8"/>
    <n v="444"/>
    <n v="439.56"/>
    <n v="438.64"/>
    <n v="391.57"/>
    <n v="512.67999999999995"/>
    <n v="430.59"/>
    <n v="504.44"/>
    <n v="5435.54"/>
    <n v="-73.850000000000023"/>
  </r>
  <r>
    <x v="7"/>
    <x v="3"/>
    <x v="0"/>
    <s v="5500101"/>
    <n v="718050"/>
    <s v="Radiology"/>
    <s v="Outpatient Hospice"/>
    <x v="0"/>
    <n v="1017"/>
    <n v="-5.08"/>
    <n v="3764.87"/>
    <n v="2214.06"/>
    <n v="1132.92"/>
    <n v="2131.3000000000002"/>
    <n v="1815.07"/>
    <n v="8030.84"/>
    <n v="10407.35"/>
    <n v="8584.5400000000009"/>
    <n v="2765.49"/>
    <n v="7462.66"/>
    <n v="4669.93"/>
    <n v="52973.950000000004"/>
    <n v="2792.7299999999996"/>
  </r>
  <r>
    <x v="7"/>
    <x v="3"/>
    <x v="0"/>
    <s v="5500101"/>
    <n v="718050"/>
    <s v="Miscellaneous Purchased Svcs"/>
    <s v="Outpatient Hospice"/>
    <x v="0"/>
    <n v="1020"/>
    <n v="32858.949999999997"/>
    <n v="66157.27"/>
    <n v="57251.01"/>
    <n v="51476.47"/>
    <n v="24159.25"/>
    <n v="49643.11"/>
    <n v="50529.760000000002"/>
    <n v="87536.12"/>
    <n v="20934.16"/>
    <n v="29750.13"/>
    <n v="26219.94"/>
    <n v="28760"/>
    <n v="525276.16999999993"/>
    <n v="-2540.0600000000013"/>
  </r>
  <r>
    <x v="7"/>
    <x v="3"/>
    <x v="0"/>
    <s v="5500101"/>
    <n v="718050"/>
    <s v="Printing"/>
    <s v="Outpatient Hospice"/>
    <x v="0"/>
    <n v="1021"/>
    <n v="145.33000000000001"/>
    <n v="0"/>
    <n v="0"/>
    <n v="0"/>
    <n v="0"/>
    <n v="81.2"/>
    <n v="1399.28"/>
    <n v="0"/>
    <n v="0"/>
    <n v="325.58"/>
    <n v="0"/>
    <n v="0"/>
    <n v="1951.3899999999999"/>
    <n v="0"/>
  </r>
  <r>
    <x v="7"/>
    <x v="3"/>
    <x v="0"/>
    <s v="5500101"/>
    <n v="718050"/>
    <s v="Contract Svcs--Medical/Dental"/>
    <s v="Outpatient Hospice"/>
    <x v="0"/>
    <n v="1024"/>
    <n v="43899.3"/>
    <n v="72658.3"/>
    <n v="51211.19"/>
    <n v="83478.600000000006"/>
    <n v="34616.01"/>
    <n v="52602.400000000001"/>
    <n v="78524.42"/>
    <n v="67917.86"/>
    <n v="41963.8"/>
    <n v="71899.63"/>
    <n v="-972.14"/>
    <n v="24195.74"/>
    <n v="621995.11"/>
    <n v="-25167.88"/>
  </r>
  <r>
    <x v="7"/>
    <x v="3"/>
    <x v="0"/>
    <s v="5500101"/>
    <n v="718050"/>
    <s v="Translation Services"/>
    <s v="Outpatient Hospice"/>
    <x v="0"/>
    <n v="1025"/>
    <n v="0"/>
    <n v="339.65"/>
    <n v="205.29"/>
    <n v="94.13"/>
    <n v="0"/>
    <n v="26.07"/>
    <n v="301.86"/>
    <n v="0"/>
    <n v="201.77"/>
    <n v="0"/>
    <n v="11.44"/>
    <n v="190.44"/>
    <n v="1370.65"/>
    <n v="-179"/>
  </r>
  <r>
    <x v="7"/>
    <x v="3"/>
    <x v="0"/>
    <s v="5500101"/>
    <n v="718050"/>
    <s v="Purchased Srvcs-Hospital Care"/>
    <s v="Outpatient Hospice"/>
    <x v="0"/>
    <n v="5110"/>
    <n v="101571.13"/>
    <n v="88062.96"/>
    <n v="48430.55"/>
    <n v="30867.05"/>
    <n v="140670.37"/>
    <n v="34338.54"/>
    <n v="41921.47"/>
    <n v="33910.06"/>
    <n v="58671.63"/>
    <n v="114741.3"/>
    <n v="71490.59"/>
    <n v="38822.11"/>
    <n v="803497.75999999989"/>
    <n v="32668.479999999996"/>
  </r>
  <r>
    <x v="7"/>
    <x v="3"/>
    <x v="0"/>
    <s v="5500101"/>
    <n v="718050"/>
    <s v="Purchased Srvcs-Nursing Home Care"/>
    <s v="Outpatient Hospice"/>
    <x v="0"/>
    <n v="5111"/>
    <n v="638313.69999999995"/>
    <n v="650973.72"/>
    <n v="952032.76"/>
    <n v="865595.1"/>
    <n v="790832.02"/>
    <n v="760771.58"/>
    <n v="765678.18"/>
    <n v="905614.95"/>
    <n v="968300.59"/>
    <n v="933954.47"/>
    <n v="1060406.8500000001"/>
    <n v="885214.34"/>
    <n v="10177688.26"/>
    <n v="175192.51000000013"/>
  </r>
  <r>
    <x v="7"/>
    <x v="3"/>
    <x v="0"/>
    <s v="5500101"/>
    <n v="718071"/>
    <s v="Contract Srvcs-CHI Facilities Mgmt"/>
    <s v="Outpatient Hospice"/>
    <x v="0"/>
    <m/>
    <n v="21.33"/>
    <n v="21.33"/>
    <n v="23.7"/>
    <n v="18.96"/>
    <n v="26.07"/>
    <n v="18.96"/>
    <n v="23.7"/>
    <n v="21.33"/>
    <n v="0"/>
    <n v="18.96"/>
    <n v="26.07"/>
    <n v="18.96"/>
    <n v="239.37"/>
    <n v="7.1099999999999994"/>
  </r>
  <r>
    <x v="11"/>
    <x v="3"/>
    <x v="0"/>
    <s v="5500101"/>
    <n v="721010"/>
    <s v="Supplies-Medical - Billable"/>
    <s v="Outpatient Hospice"/>
    <x v="0"/>
    <m/>
    <n v="0"/>
    <n v="0"/>
    <n v="14.68"/>
    <n v="73.39"/>
    <n v="-383.21"/>
    <n v="142.44999999999999"/>
    <n v="54.27"/>
    <n v="106.57"/>
    <n v="123.21"/>
    <n v="196.82"/>
    <n v="183.39"/>
    <n v="263.89"/>
    <n v="775.46"/>
    <n v="-80.5"/>
  </r>
  <r>
    <x v="11"/>
    <x v="3"/>
    <x v="0"/>
    <s v="5500101"/>
    <n v="721020"/>
    <s v="Urological Supplies"/>
    <s v="Outpatient Hospice"/>
    <x v="0"/>
    <n v="1006"/>
    <n v="0"/>
    <n v="0"/>
    <n v="0"/>
    <n v="0"/>
    <n v="0"/>
    <n v="0"/>
    <n v="0"/>
    <n v="0"/>
    <n v="0"/>
    <n v="0"/>
    <n v="4.8"/>
    <n v="7.2"/>
    <n v="12"/>
    <n v="-2.4000000000000004"/>
  </r>
  <r>
    <x v="11"/>
    <x v="3"/>
    <x v="0"/>
    <s v="5500101"/>
    <n v="721240"/>
    <s v="Supplies-IV Solutions/Supplies - Billable"/>
    <s v="Outpatient Hospice"/>
    <x v="0"/>
    <m/>
    <n v="0"/>
    <n v="0"/>
    <n v="0"/>
    <n v="6.12"/>
    <n v="9"/>
    <n v="0"/>
    <n v="0"/>
    <n v="0"/>
    <n v="0"/>
    <n v="0"/>
    <n v="0"/>
    <n v="3"/>
    <n v="18.12"/>
    <n v="-3"/>
  </r>
  <r>
    <x v="11"/>
    <x v="3"/>
    <x v="0"/>
    <s v="5500101"/>
    <n v="721250"/>
    <s v="Supplies-Pharmacy Drugs - Billable"/>
    <s v="Outpatient Hospice"/>
    <x v="0"/>
    <m/>
    <n v="0"/>
    <n v="0"/>
    <n v="0"/>
    <n v="0"/>
    <n v="0"/>
    <n v="0"/>
    <n v="0"/>
    <n v="21.2"/>
    <n v="0"/>
    <n v="0"/>
    <n v="0"/>
    <n v="0"/>
    <n v="21.2"/>
    <n v="0"/>
  </r>
  <r>
    <x v="11"/>
    <x v="3"/>
    <x v="0"/>
    <s v="5500101"/>
    <n v="721410"/>
    <s v="Supplies-Medical - Nonbillable"/>
    <s v="Outpatient Hospice"/>
    <x v="0"/>
    <m/>
    <n v="11303.72"/>
    <n v="28899.69"/>
    <n v="28658.400000000001"/>
    <n v="10247.209999999999"/>
    <n v="10179.06"/>
    <n v="14450.02"/>
    <n v="23678.06"/>
    <n v="23063.66"/>
    <n v="7140.08"/>
    <n v="12502.49"/>
    <n v="7434.52"/>
    <n v="12657.9"/>
    <n v="190214.80999999994"/>
    <n v="-5223.3799999999992"/>
  </r>
  <r>
    <x v="11"/>
    <x v="3"/>
    <x v="0"/>
    <s v="5500101"/>
    <n v="721420"/>
    <s v="Supplies-Surgical Nonbillable"/>
    <s v="Outpatient Hospice"/>
    <x v="0"/>
    <m/>
    <n v="0"/>
    <n v="0.24"/>
    <n v="0.48"/>
    <n v="0"/>
    <n v="0"/>
    <n v="0"/>
    <n v="0.36"/>
    <n v="150"/>
    <n v="0"/>
    <n v="0"/>
    <n v="0"/>
    <n v="0"/>
    <n v="151.08000000000001"/>
    <n v="0"/>
  </r>
  <r>
    <x v="11"/>
    <x v="3"/>
    <x v="0"/>
    <s v="5500101"/>
    <n v="721420"/>
    <s v="Tubes Drains &amp; Related Supplies"/>
    <s v="Outpatient Hospice"/>
    <x v="0"/>
    <n v="1008"/>
    <n v="0"/>
    <n v="0"/>
    <n v="0"/>
    <n v="0"/>
    <n v="5.34"/>
    <n v="0"/>
    <n v="0"/>
    <n v="0"/>
    <n v="15.07"/>
    <n v="0"/>
    <n v="0"/>
    <n v="0"/>
    <n v="20.41"/>
    <n v="0"/>
  </r>
  <r>
    <x v="11"/>
    <x v="3"/>
    <x v="0"/>
    <s v="5500101"/>
    <n v="721610"/>
    <s v="Supplies-Anesthesia - Nonbillable"/>
    <s v="Outpatient Hospice"/>
    <x v="0"/>
    <m/>
    <n v="0"/>
    <n v="0"/>
    <n v="0"/>
    <n v="0"/>
    <n v="0"/>
    <n v="0"/>
    <n v="0"/>
    <n v="0"/>
    <n v="0"/>
    <n v="0"/>
    <n v="0"/>
    <n v="10.6"/>
    <n v="10.6"/>
    <n v="-10.6"/>
  </r>
  <r>
    <x v="11"/>
    <x v="3"/>
    <x v="0"/>
    <s v="5500101"/>
    <n v="721640"/>
    <s v="Supplies-IV Solutions/Supplies - Nonbillable"/>
    <s v="Outpatient Hospice"/>
    <x v="0"/>
    <m/>
    <n v="1580"/>
    <n v="79.790000000000006"/>
    <n v="0.56999999999999995"/>
    <n v="0"/>
    <n v="0"/>
    <n v="0"/>
    <n v="0"/>
    <n v="0"/>
    <n v="0"/>
    <n v="0"/>
    <n v="0"/>
    <n v="0"/>
    <n v="1660.36"/>
    <n v="0"/>
  </r>
  <r>
    <x v="11"/>
    <x v="3"/>
    <x v="0"/>
    <s v="5500101"/>
    <n v="721650"/>
    <s v="Supplies-Pharmacy Drugs - Nonbillable"/>
    <s v="Outpatient Hospice"/>
    <x v="0"/>
    <m/>
    <n v="0"/>
    <n v="0"/>
    <n v="0"/>
    <n v="0"/>
    <n v="19.64"/>
    <n v="0"/>
    <n v="21.98"/>
    <n v="29.46"/>
    <n v="19.64"/>
    <n v="4.91"/>
    <n v="25.37"/>
    <n v="31.1"/>
    <n v="152.10000000000002"/>
    <n v="-5.73"/>
  </r>
  <r>
    <x v="11"/>
    <x v="3"/>
    <x v="0"/>
    <s v="5500101"/>
    <n v="721710"/>
    <s v="Supplies-Laboratory - Nonbillable"/>
    <s v="Outpatient Hospice"/>
    <x v="0"/>
    <m/>
    <n v="0"/>
    <n v="0"/>
    <n v="0"/>
    <n v="440.65"/>
    <n v="0.65"/>
    <n v="155"/>
    <n v="185"/>
    <n v="55.37"/>
    <n v="0.24"/>
    <n v="0"/>
    <n v="0"/>
    <n v="0"/>
    <n v="836.91"/>
    <n v="0"/>
  </r>
  <r>
    <x v="11"/>
    <x v="3"/>
    <x v="0"/>
    <s v="5500101"/>
    <n v="721810"/>
    <s v="Supplies-Dietary/Cafeteria"/>
    <s v="Outpatient Hospice"/>
    <x v="0"/>
    <m/>
    <n v="316.37"/>
    <n v="318.39"/>
    <n v="269.66000000000003"/>
    <n v="44.03"/>
    <n v="535.45000000000005"/>
    <n v="1085.74"/>
    <n v="94.23"/>
    <n v="48.06"/>
    <n v="318.05"/>
    <n v="74.650000000000006"/>
    <n v="77.319999999999993"/>
    <n v="47.99"/>
    <n v="3229.9400000000005"/>
    <n v="29.329999999999991"/>
  </r>
  <r>
    <x v="11"/>
    <x v="3"/>
    <x v="0"/>
    <s v="5500101"/>
    <n v="721830"/>
    <s v="Supplies-Office"/>
    <s v="Outpatient Hospice"/>
    <x v="0"/>
    <m/>
    <n v="2088.98"/>
    <n v="3829.17"/>
    <n v="2279.38"/>
    <n v="5906.2"/>
    <n v="3058.51"/>
    <n v="3875.59"/>
    <n v="2545.77"/>
    <n v="2309.08"/>
    <n v="4601.92"/>
    <n v="3114.04"/>
    <n v="3854.05"/>
    <n v="1727.54"/>
    <n v="39190.230000000003"/>
    <n v="2126.5100000000002"/>
  </r>
  <r>
    <x v="11"/>
    <x v="3"/>
    <x v="0"/>
    <s v="5500101"/>
    <n v="721835"/>
    <s v="Supplies-Forms"/>
    <s v="Outpatient Hospice"/>
    <x v="0"/>
    <m/>
    <n v="0"/>
    <n v="0"/>
    <n v="0"/>
    <n v="0"/>
    <n v="1785.24"/>
    <n v="382.1"/>
    <n v="687.27"/>
    <n v="0"/>
    <n v="884.91"/>
    <n v="527.07000000000005"/>
    <n v="564.54999999999995"/>
    <n v="1291.32"/>
    <n v="6122.46"/>
    <n v="-726.77"/>
  </r>
  <r>
    <x v="11"/>
    <x v="3"/>
    <x v="0"/>
    <s v="5500101"/>
    <n v="721880"/>
    <s v="Supplies-Linen"/>
    <s v="Outpatient Hospice"/>
    <x v="0"/>
    <m/>
    <n v="0"/>
    <n v="0"/>
    <n v="0"/>
    <n v="1.31"/>
    <n v="0"/>
    <n v="0"/>
    <n v="0"/>
    <n v="0"/>
    <n v="0"/>
    <n v="0"/>
    <n v="0"/>
    <n v="0"/>
    <n v="1.31"/>
    <n v="0"/>
  </r>
  <r>
    <x v="11"/>
    <x v="3"/>
    <x v="0"/>
    <s v="5500101"/>
    <n v="721910"/>
    <s v="Supplies-Small Equipment"/>
    <s v="Outpatient Hospice"/>
    <x v="0"/>
    <m/>
    <n v="0"/>
    <n v="3043.12"/>
    <n v="0"/>
    <n v="240.18"/>
    <n v="1071.05"/>
    <n v="1183.48"/>
    <n v="1540"/>
    <n v="1143.46"/>
    <n v="1465.02"/>
    <n v="-140"/>
    <n v="392"/>
    <n v="194"/>
    <n v="10132.310000000001"/>
    <n v="198"/>
  </r>
  <r>
    <x v="11"/>
    <x v="3"/>
    <x v="0"/>
    <s v="5500101"/>
    <n v="721980"/>
    <s v="Supplies-Other"/>
    <s v="Outpatient Hospice"/>
    <x v="0"/>
    <m/>
    <n v="562.14"/>
    <n v="673.57"/>
    <n v="848.22"/>
    <n v="26870.74"/>
    <n v="1623.38"/>
    <n v="1201.01"/>
    <n v="742.57"/>
    <n v="3456.99"/>
    <n v="7398.88"/>
    <n v="1413.89"/>
    <n v="6924.87"/>
    <n v="799.65"/>
    <n v="52515.91"/>
    <n v="6125.22"/>
  </r>
  <r>
    <x v="11"/>
    <x v="3"/>
    <x v="0"/>
    <s v="5500101"/>
    <n v="722000"/>
    <s v="Supplies-Freight Expense"/>
    <s v="Outpatient Hospice"/>
    <x v="0"/>
    <m/>
    <n v="122.25"/>
    <n v="0"/>
    <n v="5.59"/>
    <n v="0"/>
    <n v="43.98"/>
    <n v="0"/>
    <n v="73"/>
    <n v="0"/>
    <n v="0"/>
    <n v="41.39"/>
    <n v="0"/>
    <n v="97.32"/>
    <n v="383.53"/>
    <n v="-97.32"/>
  </r>
  <r>
    <x v="11"/>
    <x v="3"/>
    <x v="0"/>
    <s v="5500101"/>
    <n v="723000"/>
    <s v="Supply Rebates/Patronage Dividend"/>
    <s v="Outpatient Hospice"/>
    <x v="0"/>
    <m/>
    <n v="0"/>
    <n v="0"/>
    <n v="-13.66"/>
    <n v="0"/>
    <n v="0"/>
    <n v="-3.28"/>
    <n v="0"/>
    <n v="0"/>
    <n v="-29.78"/>
    <n v="0"/>
    <n v="0"/>
    <n v="-11.22"/>
    <n v="-57.94"/>
    <n v="11.22"/>
  </r>
  <r>
    <x v="12"/>
    <x v="3"/>
    <x v="0"/>
    <s v="5500101"/>
    <n v="730010"/>
    <s v="Rental and Leases-Building (DO NOT USE)"/>
    <s v="Outpatient Hospice"/>
    <x v="0"/>
    <m/>
    <n v="23398.12"/>
    <n v="24441.200000000001"/>
    <n v="22748.11"/>
    <n v="24448.12"/>
    <n v="22748.12"/>
    <n v="16487.439999999999"/>
    <n v="21395.05"/>
    <n v="21395.05"/>
    <n v="21395.040000000001"/>
    <n v="17621.7"/>
    <n v="21395.68"/>
    <n v="2816.67"/>
    <n v="240290.3"/>
    <n v="18579.010000000002"/>
  </r>
  <r>
    <x v="12"/>
    <x v="3"/>
    <x v="0"/>
    <s v="5500101"/>
    <n v="730010"/>
    <s v="Rental-Common Area Maint (DO NOT USE)"/>
    <s v="Outpatient Hospice"/>
    <x v="0"/>
    <n v="2200"/>
    <n v="0"/>
    <n v="0"/>
    <n v="0"/>
    <n v="0"/>
    <n v="0"/>
    <n v="9303.2199999999993"/>
    <n v="1778.35"/>
    <n v="1778.35"/>
    <n v="1567.99"/>
    <n v="5938.3"/>
    <n v="2608.83"/>
    <n v="754.67"/>
    <n v="23729.71"/>
    <n v="1854.1599999999999"/>
  </r>
  <r>
    <x v="12"/>
    <x v="3"/>
    <x v="0"/>
    <s v="5500101"/>
    <n v="730020"/>
    <s v="Rental and Leases-Equipment (DO NOT USE)"/>
    <s v="Outpatient Hospice"/>
    <x v="0"/>
    <m/>
    <n v="134"/>
    <n v="674.18"/>
    <n v="438.11"/>
    <n v="863.28"/>
    <n v="173"/>
    <n v="593.6"/>
    <n v="319.44"/>
    <n v="558"/>
    <n v="0"/>
    <n v="173"/>
    <n v="134"/>
    <n v="0"/>
    <n v="4060.6099999999997"/>
    <n v="134"/>
  </r>
  <r>
    <x v="12"/>
    <x v="3"/>
    <x v="0"/>
    <s v="5500101"/>
    <n v="730020"/>
    <s v="Rental and Leases-Copier Usage Fees (DO NOT USE)"/>
    <s v="Outpatient Hospice"/>
    <x v="0"/>
    <n v="5100"/>
    <n v="1735.88"/>
    <n v="1568.93"/>
    <n v="1652.4"/>
    <n v="1652.4"/>
    <n v="1652.41"/>
    <n v="1652.41"/>
    <n v="3540.99"/>
    <n v="1474.88"/>
    <n v="1708.07"/>
    <n v="3127.88"/>
    <n v="1551.29"/>
    <n v="1796.5"/>
    <n v="23114.04"/>
    <n v="-245.21000000000004"/>
  </r>
  <r>
    <x v="12"/>
    <x v="3"/>
    <x v="0"/>
    <s v="5500101"/>
    <n v="730040"/>
    <s v="LT Lease-Real Estate"/>
    <s v="Outpatient Hospice"/>
    <x v="0"/>
    <m/>
    <n v="0"/>
    <n v="0"/>
    <n v="0"/>
    <n v="0"/>
    <n v="0"/>
    <n v="0"/>
    <n v="0"/>
    <n v="0"/>
    <n v="0"/>
    <n v="0"/>
    <n v="0"/>
    <n v="19805.68"/>
    <n v="19805.68"/>
    <n v="-19805.68"/>
  </r>
  <r>
    <x v="15"/>
    <x v="3"/>
    <x v="0"/>
    <s v="5500101"/>
    <n v="731010"/>
    <s v="Natural Gas"/>
    <s v="Outpatient Hospice"/>
    <x v="0"/>
    <m/>
    <n v="138.13999999999999"/>
    <n v="215.65"/>
    <n v="0"/>
    <n v="121.3"/>
    <n v="212.4"/>
    <n v="301.70999999999998"/>
    <n v="904.35"/>
    <n v="132.19999999999999"/>
    <n v="502.36"/>
    <n v="342.36"/>
    <n v="214.25"/>
    <n v="158.91"/>
    <n v="3243.63"/>
    <n v="55.34"/>
  </r>
  <r>
    <x v="15"/>
    <x v="3"/>
    <x v="0"/>
    <s v="5500101"/>
    <n v="731020"/>
    <s v="Electricity"/>
    <s v="Outpatient Hospice"/>
    <x v="0"/>
    <m/>
    <n v="1109.02"/>
    <n v="1060.3399999999999"/>
    <n v="1464.01"/>
    <n v="1035.75"/>
    <n v="942.47"/>
    <n v="1132.47"/>
    <n v="1197.98"/>
    <n v="1261.05"/>
    <n v="1271.32"/>
    <n v="1148.68"/>
    <n v="1146.5899999999999"/>
    <n v="971.51"/>
    <n v="13741.19"/>
    <n v="175.07999999999993"/>
  </r>
  <r>
    <x v="15"/>
    <x v="3"/>
    <x v="0"/>
    <s v="5500101"/>
    <n v="731030"/>
    <s v="Water"/>
    <s v="Outpatient Hospice"/>
    <x v="0"/>
    <m/>
    <n v="336.16"/>
    <n v="307.62"/>
    <n v="354"/>
    <n v="302.64999999999998"/>
    <n v="252.58"/>
    <n v="259.72000000000003"/>
    <n v="299.67"/>
    <n v="330.61"/>
    <n v="271.08999999999997"/>
    <n v="334.85"/>
    <n v="382.83"/>
    <n v="383.1"/>
    <n v="3814.8799999999997"/>
    <n v="-0.27000000000003865"/>
  </r>
  <r>
    <x v="15"/>
    <x v="3"/>
    <x v="0"/>
    <s v="5500101"/>
    <n v="731040"/>
    <s v="Sewer"/>
    <s v="Outpatient Hospice"/>
    <x v="0"/>
    <m/>
    <n v="290.89999999999998"/>
    <n v="290.89999999999998"/>
    <n v="290.89999999999998"/>
    <n v="372.79"/>
    <n v="290.89999999999998"/>
    <n v="290.89999999999998"/>
    <n v="371.01"/>
    <n v="228.87"/>
    <n v="228.87"/>
    <n v="228.87"/>
    <n v="228.87"/>
    <n v="228.87"/>
    <n v="3342.6499999999996"/>
    <n v="0"/>
  </r>
  <r>
    <x v="15"/>
    <x v="3"/>
    <x v="0"/>
    <s v="5500101"/>
    <n v="731050"/>
    <s v="Refuse Disposal"/>
    <s v="Outpatient Hospice"/>
    <x v="0"/>
    <m/>
    <n v="771.61"/>
    <n v="948.62"/>
    <n v="782.16"/>
    <n v="958.22"/>
    <n v="778.64"/>
    <n v="778.64"/>
    <n v="802.26"/>
    <n v="820.08"/>
    <n v="828.08"/>
    <n v="815.33"/>
    <n v="816.18"/>
    <n v="816.17"/>
    <n v="9915.9900000000016"/>
    <n v="9.9999999999909051E-3"/>
  </r>
  <r>
    <x v="15"/>
    <x v="3"/>
    <x v="0"/>
    <s v="5500101"/>
    <n v="731060"/>
    <s v="Telephone"/>
    <s v="Outpatient Hospice"/>
    <x v="0"/>
    <m/>
    <n v="19.7"/>
    <n v="0"/>
    <n v="0"/>
    <n v="314"/>
    <n v="31.4"/>
    <n v="0"/>
    <n v="0"/>
    <n v="0"/>
    <n v="0"/>
    <n v="0"/>
    <n v="0"/>
    <n v="22327.24"/>
    <n v="22692.34"/>
    <n v="-22327.24"/>
  </r>
  <r>
    <x v="15"/>
    <x v="3"/>
    <x v="0"/>
    <s v="5500101"/>
    <n v="731060"/>
    <s v="Cell Phones"/>
    <s v="Outpatient Hospice"/>
    <x v="0"/>
    <n v="1001"/>
    <n v="21761.89"/>
    <n v="22974.14"/>
    <n v="23475.48"/>
    <n v="20817.349999999999"/>
    <n v="459.84"/>
    <n v="43260.34"/>
    <n v="19797.88"/>
    <n v="20671.41"/>
    <n v="21569.47"/>
    <n v="23735.200000000001"/>
    <n v="21041.14"/>
    <n v="0"/>
    <n v="239564.14"/>
    <n v="21041.14"/>
  </r>
  <r>
    <x v="15"/>
    <x v="3"/>
    <x v="0"/>
    <s v="5500101"/>
    <n v="731060"/>
    <s v="Pagers"/>
    <s v="Outpatient Hospice"/>
    <x v="0"/>
    <n v="1002"/>
    <n v="195.11"/>
    <n v="222.64"/>
    <n v="195.11"/>
    <n v="195.51"/>
    <n v="195.51"/>
    <n v="0"/>
    <n v="382.54"/>
    <n v="187.03"/>
    <n v="187.03"/>
    <n v="186.96"/>
    <n v="186.96"/>
    <n v="186.96"/>
    <n v="2321.36"/>
    <n v="0"/>
  </r>
  <r>
    <x v="16"/>
    <x v="3"/>
    <x v="0"/>
    <s v="5500101"/>
    <n v="732030"/>
    <s v="Repairs---Other"/>
    <s v="Outpatient Hospice"/>
    <x v="0"/>
    <m/>
    <n v="129.68"/>
    <n v="302.12"/>
    <n v="0"/>
    <n v="4000.92"/>
    <n v="270.68"/>
    <n v="146.06"/>
    <n v="0"/>
    <n v="0"/>
    <n v="1584.23"/>
    <n v="4413.2299999999996"/>
    <n v="206.06"/>
    <n v="209.77"/>
    <n v="11262.75"/>
    <n v="-3.710000000000008"/>
  </r>
  <r>
    <x v="16"/>
    <x v="3"/>
    <x v="0"/>
    <s v="5500101"/>
    <n v="732030"/>
    <s v="Repairs&amp;Maintenance-Bldg Routine"/>
    <s v="Outpatient Hospice"/>
    <x v="0"/>
    <n v="2300"/>
    <n v="2114.4499999999998"/>
    <n v="61.08"/>
    <n v="196.88"/>
    <n v="28.56"/>
    <n v="42.6"/>
    <n v="411.87"/>
    <n v="35.799999999999997"/>
    <n v="840"/>
    <n v="88.93"/>
    <n v="0"/>
    <n v="913.83"/>
    <n v="583.38"/>
    <n v="5317.38"/>
    <n v="330.45000000000005"/>
  </r>
  <r>
    <x v="16"/>
    <x v="3"/>
    <x v="0"/>
    <s v="5500101"/>
    <n v="733030"/>
    <s v="Maintenance Contracts-Other"/>
    <s v="Outpatient Hospice"/>
    <x v="0"/>
    <m/>
    <n v="0"/>
    <n v="2696.05"/>
    <n v="0"/>
    <n v="0"/>
    <n v="0"/>
    <n v="0"/>
    <n v="0"/>
    <n v="0"/>
    <n v="0"/>
    <n v="5339.99"/>
    <n v="0"/>
    <n v="0"/>
    <n v="8036.04"/>
    <n v="0"/>
  </r>
  <r>
    <x v="13"/>
    <x v="3"/>
    <x v="0"/>
    <s v="5500101"/>
    <n v="735050"/>
    <s v="Amortization-Leasehold Improvements"/>
    <s v="Outpatient Hospice"/>
    <x v="0"/>
    <m/>
    <n v="25.82"/>
    <n v="25.82"/>
    <n v="25.82"/>
    <n v="25.82"/>
    <n v="25.82"/>
    <n v="25.82"/>
    <n v="25.83"/>
    <n v="25.82"/>
    <n v="25.83"/>
    <n v="25.82"/>
    <n v="25.83"/>
    <n v="25.82"/>
    <n v="309.86999999999995"/>
    <n v="9.9999999999980105E-3"/>
  </r>
  <r>
    <x v="13"/>
    <x v="3"/>
    <x v="0"/>
    <s v="5500101"/>
    <n v="735060"/>
    <s v="Depreciation-Fixed Equipment"/>
    <s v="Outpatient Hospice"/>
    <x v="0"/>
    <m/>
    <n v="128.11000000000001"/>
    <n v="128.11000000000001"/>
    <n v="128.11000000000001"/>
    <n v="128.11000000000001"/>
    <n v="128.11000000000001"/>
    <n v="128.1"/>
    <n v="128.11000000000001"/>
    <n v="128.1"/>
    <n v="128.12"/>
    <n v="128.1"/>
    <n v="128.12"/>
    <n v="128.09"/>
    <n v="1537.2899999999997"/>
    <n v="3.0000000000001137E-2"/>
  </r>
  <r>
    <x v="13"/>
    <x v="3"/>
    <x v="0"/>
    <s v="5500101"/>
    <n v="735070"/>
    <s v="Depreciation-Movable Equipment"/>
    <s v="Outpatient Hospice"/>
    <x v="0"/>
    <m/>
    <n v="120.99"/>
    <n v="120.99"/>
    <n v="120.99"/>
    <n v="120.99"/>
    <n v="120.99"/>
    <n v="120.99"/>
    <n v="165.05"/>
    <n v="165.03"/>
    <n v="165.06"/>
    <n v="165.03"/>
    <n v="140.83000000000001"/>
    <n v="140.81"/>
    <n v="1667.7499999999998"/>
    <n v="2.0000000000010232E-2"/>
  </r>
  <r>
    <x v="0"/>
    <x v="3"/>
    <x v="0"/>
    <s v="5500101"/>
    <n v="740010"/>
    <s v="Education-Materials"/>
    <s v="Outpatient Hospice"/>
    <x v="0"/>
    <m/>
    <n v="0"/>
    <n v="11247.98"/>
    <n v="0"/>
    <n v="0"/>
    <n v="0"/>
    <n v="45"/>
    <n v="0"/>
    <n v="224.97"/>
    <n v="584.66999999999996"/>
    <n v="0"/>
    <n v="0"/>
    <n v="0"/>
    <n v="12102.619999999999"/>
    <n v="0"/>
  </r>
  <r>
    <x v="0"/>
    <x v="3"/>
    <x v="0"/>
    <s v="5500101"/>
    <n v="740020"/>
    <s v="Education-Registration Fees"/>
    <s v="Outpatient Hospice"/>
    <x v="0"/>
    <m/>
    <n v="349.99"/>
    <n v="3870"/>
    <n v="1308.75"/>
    <n v="439"/>
    <n v="400"/>
    <n v="3400"/>
    <n v="1281.5"/>
    <n v="795"/>
    <n v="404"/>
    <n v="2800"/>
    <n v="0"/>
    <n v="2305"/>
    <n v="17353.239999999998"/>
    <n v="-2305"/>
  </r>
  <r>
    <x v="0"/>
    <x v="3"/>
    <x v="0"/>
    <s v="5500101"/>
    <n v="740022"/>
    <s v="Education-Physician"/>
    <s v="Outpatient Hospice"/>
    <x v="0"/>
    <m/>
    <n v="0"/>
    <n v="0"/>
    <n v="0"/>
    <n v="0"/>
    <n v="0"/>
    <n v="1230"/>
    <n v="0"/>
    <n v="895"/>
    <n v="1244"/>
    <n v="800"/>
    <n v="0"/>
    <n v="425"/>
    <n v="4594"/>
    <n v="-425"/>
  </r>
  <r>
    <x v="0"/>
    <x v="3"/>
    <x v="0"/>
    <s v="5500101"/>
    <n v="740023"/>
    <s v="Education-Advanced Practice Clinician"/>
    <s v="Outpatient Hospice"/>
    <x v="0"/>
    <m/>
    <n v="1149"/>
    <n v="0"/>
    <n v="449"/>
    <n v="550"/>
    <n v="0"/>
    <n v="0"/>
    <n v="588"/>
    <n v="0"/>
    <n v="0"/>
    <n v="914.99"/>
    <n v="250"/>
    <n v="600"/>
    <n v="4500.99"/>
    <n v="-350"/>
  </r>
  <r>
    <x v="0"/>
    <x v="3"/>
    <x v="0"/>
    <s v="5500101"/>
    <n v="740030"/>
    <s v="Education-Travel"/>
    <s v="Outpatient Hospice"/>
    <x v="0"/>
    <m/>
    <n v="0"/>
    <n v="0"/>
    <n v="0"/>
    <n v="0"/>
    <n v="0"/>
    <n v="1868.13"/>
    <n v="0"/>
    <n v="0"/>
    <n v="0"/>
    <n v="0"/>
    <n v="0"/>
    <n v="9"/>
    <n v="1877.13"/>
    <n v="-9"/>
  </r>
  <r>
    <x v="8"/>
    <x v="3"/>
    <x v="0"/>
    <s v="5500101"/>
    <n v="741012"/>
    <s v="Physician Liab Insurance-CHI Program"/>
    <s v="Outpatient Hospice"/>
    <x v="0"/>
    <m/>
    <n v="2496.23"/>
    <n v="2496.23"/>
    <n v="2089.79"/>
    <n v="2155.19"/>
    <n v="2672.98"/>
    <n v="3059.16"/>
    <n v="3059.18"/>
    <n v="3059.16"/>
    <n v="3059.18"/>
    <n v="2282.48"/>
    <n v="2388.7800000000002"/>
    <n v="2388.75"/>
    <n v="31207.109999999997"/>
    <n v="3.0000000000200089E-2"/>
  </r>
  <r>
    <x v="0"/>
    <x v="3"/>
    <x v="0"/>
    <s v="5500101"/>
    <n v="742010"/>
    <s v="Postage-Regular"/>
    <s v="Outpatient Hospice"/>
    <x v="0"/>
    <m/>
    <n v="0"/>
    <n v="40.200000000000003"/>
    <n v="818.82"/>
    <n v="107.2"/>
    <n v="107.2"/>
    <n v="13.4"/>
    <n v="93.8"/>
    <n v="154.65"/>
    <n v="61.35"/>
    <n v="68.599999999999994"/>
    <n v="66.430000000000007"/>
    <n v="152.04"/>
    <n v="1683.69"/>
    <n v="-85.609999999999985"/>
  </r>
  <r>
    <x v="0"/>
    <x v="3"/>
    <x v="0"/>
    <s v="5500101"/>
    <n v="742040"/>
    <s v="Freight-Other"/>
    <s v="Outpatient Hospice"/>
    <x v="0"/>
    <m/>
    <n v="0"/>
    <n v="0"/>
    <n v="0"/>
    <n v="94.91"/>
    <n v="0"/>
    <n v="0"/>
    <n v="0"/>
    <n v="0"/>
    <n v="0"/>
    <n v="0"/>
    <n v="0"/>
    <n v="9555.16"/>
    <n v="9650.07"/>
    <n v="-9555.16"/>
  </r>
  <r>
    <x v="0"/>
    <x v="3"/>
    <x v="0"/>
    <s v="5500101"/>
    <n v="743010"/>
    <s v="Dues--Institutional"/>
    <s v="Outpatient Hospice"/>
    <x v="0"/>
    <m/>
    <n v="0"/>
    <n v="0"/>
    <n v="0"/>
    <n v="0"/>
    <n v="0"/>
    <n v="0"/>
    <n v="25687.5"/>
    <n v="99"/>
    <n v="7512.5"/>
    <n v="6000"/>
    <n v="7512.5"/>
    <n v="0"/>
    <n v="46811.5"/>
    <n v="7512.5"/>
  </r>
  <r>
    <x v="0"/>
    <x v="3"/>
    <x v="0"/>
    <s v="5500101"/>
    <n v="743020"/>
    <s v="Dues--Individual"/>
    <s v="Outpatient Hospice"/>
    <x v="0"/>
    <m/>
    <n v="0"/>
    <n v="0"/>
    <n v="125"/>
    <n v="0"/>
    <n v="0"/>
    <n v="0"/>
    <n v="0"/>
    <n v="0"/>
    <n v="75"/>
    <n v="0"/>
    <n v="0"/>
    <n v="506"/>
    <n v="706"/>
    <n v="-506"/>
  </r>
  <r>
    <x v="0"/>
    <x v="3"/>
    <x v="0"/>
    <s v="5500101"/>
    <n v="743020"/>
    <s v="Provider-Dues"/>
    <s v="Outpatient Hospice"/>
    <x v="0"/>
    <n v="2200"/>
    <n v="0"/>
    <n v="0"/>
    <n v="0"/>
    <n v="0"/>
    <n v="0"/>
    <n v="285"/>
    <n v="0"/>
    <n v="2140"/>
    <n v="0"/>
    <n v="0"/>
    <n v="1120"/>
    <n v="0"/>
    <n v="3545"/>
    <n v="1120"/>
  </r>
  <r>
    <x v="0"/>
    <x v="3"/>
    <x v="0"/>
    <s v="5500101"/>
    <n v="743022"/>
    <s v="Dues-Physician"/>
    <s v="Outpatient Hospice"/>
    <x v="0"/>
    <m/>
    <n v="510"/>
    <n v="0"/>
    <n v="0"/>
    <n v="0"/>
    <n v="0"/>
    <n v="0"/>
    <n v="0"/>
    <n v="0"/>
    <n v="0"/>
    <n v="0"/>
    <n v="0"/>
    <n v="0"/>
    <n v="510"/>
    <n v="0"/>
  </r>
  <r>
    <x v="0"/>
    <x v="3"/>
    <x v="0"/>
    <s v="5500101"/>
    <n v="743023"/>
    <s v="Dues-Advanced Practice Clinician"/>
    <s v="Outpatient Hospice"/>
    <x v="0"/>
    <m/>
    <n v="0"/>
    <n v="0"/>
    <n v="0"/>
    <n v="0"/>
    <n v="0"/>
    <n v="0"/>
    <n v="0"/>
    <n v="0"/>
    <n v="0"/>
    <n v="0"/>
    <n v="0"/>
    <n v="135"/>
    <n v="135"/>
    <n v="-135"/>
  </r>
  <r>
    <x v="0"/>
    <x v="3"/>
    <x v="0"/>
    <s v="5500101"/>
    <n v="743030"/>
    <s v="Subscriptions--Institutional"/>
    <s v="Outpatient Hospice"/>
    <x v="0"/>
    <m/>
    <n v="2846.4"/>
    <n v="108.4"/>
    <n v="0"/>
    <n v="0"/>
    <n v="1031.5899999999999"/>
    <n v="2497"/>
    <n v="1764.72"/>
    <n v="195.75"/>
    <n v="0"/>
    <n v="961.45"/>
    <n v="678.49"/>
    <n v="0"/>
    <n v="10083.800000000001"/>
    <n v="678.49"/>
  </r>
  <r>
    <x v="0"/>
    <x v="3"/>
    <x v="0"/>
    <s v="5500101"/>
    <n v="743042"/>
    <s v="Subscriptions-Physician"/>
    <s v="Outpatient Hospice"/>
    <x v="0"/>
    <m/>
    <n v="1564.33"/>
    <n v="0"/>
    <n v="0"/>
    <n v="0"/>
    <n v="0"/>
    <n v="0"/>
    <n v="0"/>
    <n v="0"/>
    <n v="0"/>
    <n v="0"/>
    <n v="1868.47"/>
    <n v="0"/>
    <n v="3432.8"/>
    <n v="1868.47"/>
  </r>
  <r>
    <x v="0"/>
    <x v="3"/>
    <x v="0"/>
    <s v="5500101"/>
    <n v="749510"/>
    <s v="Miscellaneous Expenses"/>
    <s v="Outpatient Hospice"/>
    <x v="0"/>
    <m/>
    <n v="-6843.35"/>
    <n v="8175.97"/>
    <n v="6579.39"/>
    <n v="14944.5"/>
    <n v="6802.76"/>
    <n v="18901.16"/>
    <n v="2691.34"/>
    <n v="4106.2700000000004"/>
    <n v="-16836.79"/>
    <n v="7278.41"/>
    <n v="4125.34"/>
    <n v="2029.46"/>
    <n v="51954.46"/>
    <n v="2095.88"/>
  </r>
  <r>
    <x v="0"/>
    <x v="3"/>
    <x v="0"/>
    <s v="5500101"/>
    <n v="749510"/>
    <s v="Licenses"/>
    <s v="Outpatient Hospice"/>
    <x v="0"/>
    <n v="1002"/>
    <n v="0"/>
    <n v="0"/>
    <n v="0"/>
    <n v="0"/>
    <n v="0"/>
    <n v="110"/>
    <n v="0"/>
    <n v="0"/>
    <n v="0"/>
    <n v="0"/>
    <n v="0"/>
    <n v="150"/>
    <n v="260"/>
    <n v="-150"/>
  </r>
  <r>
    <x v="0"/>
    <x v="3"/>
    <x v="0"/>
    <s v="5500101"/>
    <n v="749510"/>
    <s v="Promotional Items"/>
    <s v="Outpatient Hospice"/>
    <x v="0"/>
    <n v="1004"/>
    <n v="0"/>
    <n v="0"/>
    <n v="0"/>
    <n v="0"/>
    <n v="0"/>
    <n v="2303"/>
    <n v="0"/>
    <n v="0"/>
    <n v="0"/>
    <n v="0"/>
    <n v="0"/>
    <n v="0"/>
    <n v="2303"/>
    <n v="0"/>
  </r>
  <r>
    <x v="0"/>
    <x v="3"/>
    <x v="0"/>
    <s v="5500101"/>
    <n v="749510"/>
    <s v="Patient Discharge Assistance"/>
    <s v="Outpatient Hospice"/>
    <x v="0"/>
    <n v="1024"/>
    <n v="18469.95"/>
    <n v="28822.55"/>
    <n v="29580.61"/>
    <n v="19517.990000000002"/>
    <n v="10491"/>
    <n v="17998.28"/>
    <n v="18399.07"/>
    <n v="32135.96"/>
    <n v="10715.72"/>
    <n v="17153"/>
    <n v="22379.78"/>
    <n v="4878.83"/>
    <n v="230542.74"/>
    <n v="17500.949999999997"/>
  </r>
  <r>
    <x v="0"/>
    <x v="3"/>
    <x v="0"/>
    <s v="5500101"/>
    <n v="749510"/>
    <s v="RICE Rewards"/>
    <s v="Outpatient Hospice"/>
    <x v="0"/>
    <n v="5100"/>
    <n v="0"/>
    <n v="0"/>
    <n v="0"/>
    <n v="0"/>
    <n v="0"/>
    <n v="607.70000000000005"/>
    <n v="249.99"/>
    <n v="620.95000000000005"/>
    <n v="691.88"/>
    <n v="751.43"/>
    <n v="1830.76"/>
    <n v="3591.52"/>
    <n v="8344.23"/>
    <n v="-1760.76"/>
  </r>
  <r>
    <x v="0"/>
    <x v="3"/>
    <x v="0"/>
    <s v="5500101"/>
    <n v="749512"/>
    <s v="Licenses-Physician"/>
    <s v="Outpatient Hospice"/>
    <x v="0"/>
    <n v="2000"/>
    <n v="0"/>
    <n v="0"/>
    <n v="731"/>
    <n v="0"/>
    <n v="731"/>
    <n v="0"/>
    <n v="0"/>
    <n v="0"/>
    <n v="0"/>
    <n v="0"/>
    <n v="0"/>
    <n v="657"/>
    <n v="2119"/>
    <n v="-657"/>
  </r>
  <r>
    <x v="0"/>
    <x v="3"/>
    <x v="0"/>
    <s v="5500101"/>
    <n v="749513"/>
    <s v="Licenses-Advanced Practice Clinician"/>
    <s v="Outpatient Hospice"/>
    <x v="0"/>
    <n v="2000"/>
    <n v="0"/>
    <n v="0"/>
    <n v="0"/>
    <n v="495"/>
    <n v="0"/>
    <n v="0"/>
    <n v="0"/>
    <n v="0"/>
    <n v="0"/>
    <n v="0"/>
    <n v="490"/>
    <n v="1462"/>
    <n v="2447"/>
    <n v="-972"/>
  </r>
  <r>
    <x v="0"/>
    <x v="3"/>
    <x v="0"/>
    <s v="5500101"/>
    <n v="749530"/>
    <s v="Travel"/>
    <s v="Outpatient Hospice"/>
    <x v="0"/>
    <m/>
    <n v="2955.85"/>
    <n v="2076.35"/>
    <n v="2373.98"/>
    <n v="2540.75"/>
    <n v="2943.05"/>
    <n v="4917.5600000000004"/>
    <n v="2037.16"/>
    <n v="2723.46"/>
    <n v="1760"/>
    <n v="3860.95"/>
    <n v="5837.1"/>
    <n v="4465.47"/>
    <n v="38491.68"/>
    <n v="1371.63"/>
  </r>
  <r>
    <x v="0"/>
    <x v="3"/>
    <x v="0"/>
    <s v="5500101"/>
    <n v="749530"/>
    <s v="Mileage"/>
    <s v="Outpatient Hospice"/>
    <x v="0"/>
    <n v="1001"/>
    <n v="46843.43"/>
    <n v="47803.1"/>
    <n v="48709.53"/>
    <n v="50627.32"/>
    <n v="50424.2"/>
    <n v="76066.14"/>
    <n v="50368.59"/>
    <n v="56730.95"/>
    <n v="50401.67"/>
    <n v="56030.38"/>
    <n v="53977.7"/>
    <n v="108613.83"/>
    <n v="696596.84"/>
    <n v="-54636.130000000005"/>
  </r>
  <r>
    <x v="0"/>
    <x v="3"/>
    <x v="0"/>
    <s v="5500101"/>
    <n v="749532"/>
    <s v="Travel-Physician"/>
    <s v="Outpatient Hospice"/>
    <x v="0"/>
    <m/>
    <n v="10.81"/>
    <n v="27.78"/>
    <n v="17.670000000000002"/>
    <n v="32.18"/>
    <n v="0"/>
    <n v="445.53"/>
    <n v="17.420000000000002"/>
    <n v="15"/>
    <n v="869.6"/>
    <n v="1407.22"/>
    <n v="582.12"/>
    <n v="2206.14"/>
    <n v="5631.4699999999993"/>
    <n v="-1624.02"/>
  </r>
  <r>
    <x v="0"/>
    <x v="3"/>
    <x v="0"/>
    <s v="5500101"/>
    <n v="749532"/>
    <s v="Business Meals-Physician"/>
    <s v="Outpatient Hospice"/>
    <x v="0"/>
    <n v="2000"/>
    <n v="0"/>
    <n v="0"/>
    <n v="0"/>
    <n v="0"/>
    <n v="123.15"/>
    <n v="0"/>
    <n v="0"/>
    <n v="0"/>
    <n v="0"/>
    <n v="0"/>
    <n v="0"/>
    <n v="0"/>
    <n v="123.15"/>
    <n v="0"/>
  </r>
  <r>
    <x v="0"/>
    <x v="3"/>
    <x v="0"/>
    <s v="5500101"/>
    <n v="749532"/>
    <s v="Vehicle Expense-Physician"/>
    <s v="Outpatient Hospice"/>
    <x v="0"/>
    <n v="2001"/>
    <n v="95.39"/>
    <n v="147.15"/>
    <n v="149.34"/>
    <n v="76.86"/>
    <n v="0"/>
    <n v="434.92"/>
    <n v="432.27"/>
    <n v="93.38"/>
    <n v="236.64"/>
    <n v="277.82"/>
    <n v="246.5"/>
    <n v="87"/>
    <n v="2277.2699999999995"/>
    <n v="159.5"/>
  </r>
  <r>
    <x v="0"/>
    <x v="3"/>
    <x v="0"/>
    <s v="5500101"/>
    <n v="749533"/>
    <s v="Travel-Advanced Practice Clinician"/>
    <s v="Outpatient Hospice"/>
    <x v="0"/>
    <m/>
    <n v="0"/>
    <n v="23.85"/>
    <n v="930.51"/>
    <n v="63.85"/>
    <n v="0"/>
    <n v="18.350000000000001"/>
    <n v="0"/>
    <n v="0"/>
    <n v="0"/>
    <n v="15"/>
    <n v="0"/>
    <n v="14.7"/>
    <n v="1066.26"/>
    <n v="-14.7"/>
  </r>
  <r>
    <x v="0"/>
    <x v="3"/>
    <x v="0"/>
    <s v="5500101"/>
    <n v="749533"/>
    <s v="Vehicle Expense-Advanced Practice Clinician"/>
    <s v="Outpatient Hospice"/>
    <x v="0"/>
    <n v="2001"/>
    <n v="0"/>
    <n v="0"/>
    <n v="0"/>
    <n v="143.34"/>
    <n v="0"/>
    <n v="0"/>
    <n v="49.3"/>
    <n v="0"/>
    <n v="0"/>
    <n v="54.52"/>
    <n v="0"/>
    <n v="99.18"/>
    <n v="346.34000000000003"/>
    <n v="-99.18"/>
  </r>
  <r>
    <x v="0"/>
    <x v="3"/>
    <x v="0"/>
    <s v="5500101"/>
    <n v="749535"/>
    <s v="Meetings"/>
    <s v="Outpatient Hospice"/>
    <x v="0"/>
    <m/>
    <n v="1159.98"/>
    <n v="33.86"/>
    <n v="6.5"/>
    <n v="4233.79"/>
    <n v="89.99"/>
    <n v="368.35"/>
    <n v="0"/>
    <n v="2589.7399999999998"/>
    <n v="272.54000000000002"/>
    <n v="298.22000000000003"/>
    <n v="26.21"/>
    <n v="1494.46"/>
    <n v="10573.64"/>
    <n v="-1468.25"/>
  </r>
  <r>
    <x v="0"/>
    <x v="3"/>
    <x v="0"/>
    <s v="5500101"/>
    <n v="749535"/>
    <s v="Employee Functions"/>
    <s v="Outpatient Hospice"/>
    <x v="0"/>
    <n v="1004"/>
    <n v="0"/>
    <n v="0"/>
    <n v="0"/>
    <n v="0"/>
    <n v="0"/>
    <n v="0"/>
    <n v="0"/>
    <n v="0"/>
    <n v="0"/>
    <n v="0"/>
    <n v="0"/>
    <n v="49.29"/>
    <n v="49.29"/>
    <n v="-49.29"/>
  </r>
  <r>
    <x v="0"/>
    <x v="3"/>
    <x v="0"/>
    <s v="5500101"/>
    <n v="749535"/>
    <s v="Medicare Non-Allowable Marketing"/>
    <s v="Outpatient Hospice"/>
    <x v="0"/>
    <n v="1009"/>
    <n v="0"/>
    <n v="0"/>
    <n v="0"/>
    <n v="0"/>
    <n v="33"/>
    <n v="0"/>
    <n v="0"/>
    <n v="0"/>
    <n v="0"/>
    <n v="0"/>
    <n v="0"/>
    <n v="0"/>
    <n v="33"/>
    <n v="0"/>
  </r>
  <r>
    <x v="0"/>
    <x v="3"/>
    <x v="0"/>
    <s v="5500101"/>
    <n v="766010"/>
    <s v="Property Tax"/>
    <s v="Outpatient Hospice"/>
    <x v="0"/>
    <m/>
    <n v="0"/>
    <n v="0"/>
    <n v="0"/>
    <n v="0"/>
    <n v="-1038.67"/>
    <n v="0"/>
    <n v="0"/>
    <n v="0"/>
    <n v="0"/>
    <n v="0"/>
    <n v="0"/>
    <n v="0"/>
    <n v="-1038.67"/>
    <n v="0"/>
  </r>
  <r>
    <x v="9"/>
    <x v="3"/>
    <x v="0"/>
    <s v="5500101"/>
    <n v="800015"/>
    <s v="Interest Income-Ext to CHI"/>
    <s v="Outpatient Hospice"/>
    <x v="0"/>
    <m/>
    <n v="0"/>
    <n v="0"/>
    <n v="0"/>
    <n v="-21.4"/>
    <n v="-123.07"/>
    <n v="-147.32"/>
    <n v="-212.77"/>
    <n v="-315.35000000000002"/>
    <n v="-361.72"/>
    <n v="-333.61"/>
    <n v="-327.75"/>
    <n v="-300.75"/>
    <n v="-2143.7400000000002"/>
    <n v="-27"/>
  </r>
  <r>
    <x v="11"/>
    <x v="5"/>
    <x v="0"/>
    <s v="5500106"/>
    <n v="721810"/>
    <s v="Supplies-Dietary/Cafeteria"/>
    <s v="Hospice"/>
    <x v="0"/>
    <m/>
    <n v="0"/>
    <n v="0"/>
    <n v="10.050000000000001"/>
    <n v="-10.050000000000001"/>
    <n v="0"/>
    <n v="0"/>
    <n v="0"/>
    <n v="0"/>
    <n v="0"/>
    <n v="0"/>
    <n v="0"/>
    <n v="0"/>
    <n v="0"/>
    <n v="0"/>
  </r>
  <r>
    <x v="5"/>
    <x v="3"/>
    <x v="0"/>
    <s v="5501101"/>
    <n v="700014"/>
    <s v="Salaries-Management-Productive"/>
    <s v="Hospice HME"/>
    <x v="0"/>
    <m/>
    <n v="6156.03"/>
    <n v="7233.75"/>
    <n v="7336.47"/>
    <n v="8096.28"/>
    <n v="7501.16"/>
    <n v="5875.27"/>
    <n v="7828.3"/>
    <n v="6855.7"/>
    <n v="8274.17"/>
    <n v="7879.9"/>
    <n v="7775.1"/>
    <n v="7144.79"/>
    <n v="87956.92"/>
    <n v="630.3100000000004"/>
  </r>
  <r>
    <x v="5"/>
    <x v="3"/>
    <x v="0"/>
    <s v="5501101"/>
    <n v="700038"/>
    <s v="Salaries-Service/Support-Productive"/>
    <s v="Hospice HME"/>
    <x v="0"/>
    <m/>
    <n v="29234.21"/>
    <n v="34699.769999999997"/>
    <n v="30973.51"/>
    <n v="34460.03"/>
    <n v="34636.97"/>
    <n v="32724.19"/>
    <n v="33159.26"/>
    <n v="27836.87"/>
    <n v="33847.86"/>
    <n v="38234.17"/>
    <n v="37112.050000000003"/>
    <n v="29387.39"/>
    <n v="396306.27999999997"/>
    <n v="7724.6600000000035"/>
  </r>
  <r>
    <x v="5"/>
    <x v="3"/>
    <x v="0"/>
    <s v="5501101"/>
    <n v="700038"/>
    <s v="Salaries-Service/Support-OT"/>
    <s v="Hospice HME"/>
    <x v="0"/>
    <n v="1000"/>
    <n v="2558.79"/>
    <n v="1548.25"/>
    <n v="1335.24"/>
    <n v="1411.05"/>
    <n v="2344.4899999999998"/>
    <n v="3557.23"/>
    <n v="2958.88"/>
    <n v="1162.3399999999999"/>
    <n v="3664.07"/>
    <n v="2902.51"/>
    <n v="2328.09"/>
    <n v="2553.87"/>
    <n v="28324.809999999998"/>
    <n v="-225.77999999999975"/>
  </r>
  <r>
    <x v="5"/>
    <x v="3"/>
    <x v="0"/>
    <s v="5501101"/>
    <n v="700038"/>
    <s v="Salaries-Service/Support-Other"/>
    <s v="Hospice HME"/>
    <x v="0"/>
    <n v="2000"/>
    <n v="4107.49"/>
    <n v="4037"/>
    <n v="3957.6"/>
    <n v="4251.8900000000003"/>
    <n v="3858.42"/>
    <n v="4048.71"/>
    <n v="3734.08"/>
    <n v="3201.38"/>
    <n v="4119.59"/>
    <n v="4604.67"/>
    <n v="4326.04"/>
    <n v="3901.83"/>
    <n v="48148.700000000004"/>
    <n v="424.21000000000004"/>
  </r>
  <r>
    <x v="5"/>
    <x v="3"/>
    <x v="0"/>
    <s v="5501101"/>
    <n v="700054"/>
    <s v="Salaries-Management-Non-productive"/>
    <s v="Hospice HME"/>
    <x v="0"/>
    <m/>
    <n v="1795.6"/>
    <n v="718.24"/>
    <n v="359.12"/>
    <n v="0"/>
    <n v="367.2"/>
    <n v="2255.63"/>
    <n v="315.32"/>
    <n v="499.06"/>
    <n v="-131.31"/>
    <n v="0"/>
    <n v="367.75"/>
    <n v="735.49"/>
    <n v="7282.0999999999995"/>
    <n v="-367.74"/>
  </r>
  <r>
    <x v="5"/>
    <x v="3"/>
    <x v="0"/>
    <s v="5501101"/>
    <n v="700054"/>
    <s v="Salaries-Management-NonProd-Other"/>
    <s v="Hospice HME"/>
    <x v="0"/>
    <n v="2000"/>
    <n v="0"/>
    <n v="0"/>
    <n v="0"/>
    <n v="0"/>
    <n v="375.92"/>
    <n v="669.03"/>
    <n v="-669.03"/>
    <n v="-375.92"/>
    <n v="0"/>
    <n v="0"/>
    <n v="0"/>
    <n v="0"/>
    <n v="5.6843418860808015E-14"/>
    <n v="0"/>
  </r>
  <r>
    <x v="5"/>
    <x v="3"/>
    <x v="0"/>
    <s v="5501101"/>
    <n v="700078"/>
    <s v="Salaries-Service/Support-Non-productive"/>
    <s v="Hospice HME"/>
    <x v="0"/>
    <m/>
    <n v="5586.08"/>
    <n v="1406.07"/>
    <n v="4053.86"/>
    <n v="3089.07"/>
    <n v="476.44"/>
    <n v="5139.3900000000003"/>
    <n v="4727.8500000000004"/>
    <n v="4641.4399999999996"/>
    <n v="764.38"/>
    <n v="2385.23"/>
    <n v="2343.94"/>
    <n v="4603.8500000000004"/>
    <n v="39217.599999999999"/>
    <n v="-2259.9100000000003"/>
  </r>
  <r>
    <x v="5"/>
    <x v="3"/>
    <x v="0"/>
    <s v="5501101"/>
    <n v="700078"/>
    <s v="Salaries-Service/Support-NonProd-Other"/>
    <s v="Hospice HME"/>
    <x v="0"/>
    <n v="2000"/>
    <n v="309.27999999999997"/>
    <n v="250.4"/>
    <n v="151.86000000000001"/>
    <n v="97.06"/>
    <n v="944.91"/>
    <n v="226.45"/>
    <n v="196.98"/>
    <n v="-503.07"/>
    <n v="387.86"/>
    <n v="344.62"/>
    <n v="-97.31"/>
    <n v="395.83"/>
    <n v="2704.8699999999994"/>
    <n v="-493.14"/>
  </r>
  <r>
    <x v="5"/>
    <x v="3"/>
    <x v="0"/>
    <s v="5501101"/>
    <n v="700084"/>
    <s v="Accrued PTO"/>
    <s v="Hospice HME"/>
    <x v="0"/>
    <m/>
    <n v="-1324.23"/>
    <n v="1283.95"/>
    <n v="3114.29"/>
    <n v="2871.66"/>
    <n v="2042.66"/>
    <n v="74.41"/>
    <n v="1946.09"/>
    <n v="-789.87"/>
    <n v="1257.06"/>
    <n v="1083.67"/>
    <n v="1128.71"/>
    <n v="-585.13"/>
    <n v="12103.269999999999"/>
    <n v="1713.8400000000001"/>
  </r>
  <r>
    <x v="6"/>
    <x v="3"/>
    <x v="0"/>
    <s v="5501101"/>
    <n v="713010"/>
    <s v="Benefits-FICA/Medicare"/>
    <s v="Hospice HME"/>
    <x v="0"/>
    <m/>
    <n v="3606.46"/>
    <n v="3654.76"/>
    <n v="3526.62"/>
    <n v="3793.62"/>
    <n v="3916.05"/>
    <n v="3957.01"/>
    <n v="3970.35"/>
    <n v="3288.58"/>
    <n v="4162.7299999999996"/>
    <n v="4040.2"/>
    <n v="4011.36"/>
    <n v="3549.95"/>
    <n v="45477.689999999988"/>
    <n v="461.41000000000031"/>
  </r>
  <r>
    <x v="6"/>
    <x v="3"/>
    <x v="0"/>
    <s v="5501101"/>
    <n v="713090"/>
    <s v="Benefits-Allocated Amounts"/>
    <s v="Hospice HME"/>
    <x v="0"/>
    <m/>
    <n v="15022.25"/>
    <n v="14021.78"/>
    <n v="15181.17"/>
    <n v="15703.56"/>
    <n v="15292.65"/>
    <n v="16093.12"/>
    <n v="16880.97"/>
    <n v="14947.91"/>
    <n v="13078.28"/>
    <n v="18015.72"/>
    <n v="18343.669999999998"/>
    <n v="15598.06"/>
    <n v="188179.14"/>
    <n v="2745.6099999999988"/>
  </r>
  <r>
    <x v="7"/>
    <x v="3"/>
    <x v="0"/>
    <s v="5501101"/>
    <n v="718050"/>
    <s v="Contract Svcs-Other"/>
    <s v="Hospice HME"/>
    <x v="0"/>
    <m/>
    <n v="0"/>
    <n v="0"/>
    <n v="0"/>
    <n v="0"/>
    <n v="0"/>
    <n v="0"/>
    <n v="0"/>
    <n v="0"/>
    <n v="154.27000000000001"/>
    <n v="0"/>
    <n v="0"/>
    <n v="0"/>
    <n v="154.27000000000001"/>
    <n v="0"/>
  </r>
  <r>
    <x v="7"/>
    <x v="3"/>
    <x v="0"/>
    <s v="5501101"/>
    <n v="718050"/>
    <s v="Miscellaneous Purchased Svcs"/>
    <s v="Hospice HME"/>
    <x v="0"/>
    <n v="1020"/>
    <n v="2841.43"/>
    <n v="1222.99"/>
    <n v="1958.95"/>
    <n v="3520.01"/>
    <n v="3397.42"/>
    <n v="396.84"/>
    <n v="4215.4399999999996"/>
    <n v="5086.32"/>
    <n v="91.85"/>
    <n v="4876.76"/>
    <n v="2660.47"/>
    <n v="4401.93"/>
    <n v="34670.410000000003"/>
    <n v="-1741.4600000000005"/>
  </r>
  <r>
    <x v="7"/>
    <x v="3"/>
    <x v="0"/>
    <s v="5501101"/>
    <n v="718050"/>
    <s v="Translation Services"/>
    <s v="Hospice HME"/>
    <x v="0"/>
    <n v="1025"/>
    <n v="0"/>
    <n v="0"/>
    <n v="0"/>
    <n v="15.8"/>
    <n v="0"/>
    <n v="0"/>
    <n v="0"/>
    <n v="0"/>
    <n v="0"/>
    <n v="0"/>
    <n v="0"/>
    <n v="0"/>
    <n v="15.8"/>
    <n v="0"/>
  </r>
  <r>
    <x v="7"/>
    <x v="3"/>
    <x v="0"/>
    <s v="5501101"/>
    <n v="718050"/>
    <s v="Purchased Srvcs-Nursing Home Care"/>
    <s v="Hospice HME"/>
    <x v="0"/>
    <n v="5111"/>
    <n v="0"/>
    <n v="263.27999999999997"/>
    <n v="3514.14"/>
    <n v="0"/>
    <n v="0"/>
    <n v="0"/>
    <n v="0"/>
    <n v="0"/>
    <n v="0"/>
    <n v="0"/>
    <n v="0"/>
    <n v="300"/>
    <n v="4077.42"/>
    <n v="-300"/>
  </r>
  <r>
    <x v="11"/>
    <x v="3"/>
    <x v="0"/>
    <s v="5501101"/>
    <n v="721010"/>
    <s v="Supplies-Medical - Billable"/>
    <s v="Hospice HME"/>
    <x v="0"/>
    <m/>
    <n v="11720.9"/>
    <n v="4649.8"/>
    <n v="8500.82"/>
    <n v="15046.19"/>
    <n v="8004.01"/>
    <n v="2510.12"/>
    <n v="11466.06"/>
    <n v="12559.54"/>
    <n v="3511.6"/>
    <n v="16484.04"/>
    <n v="8145.75"/>
    <n v="7434.68"/>
    <n v="110033.51000000001"/>
    <n v="711.06999999999971"/>
  </r>
  <r>
    <x v="11"/>
    <x v="3"/>
    <x v="0"/>
    <s v="5501101"/>
    <n v="721020"/>
    <s v="Custom Packs"/>
    <s v="Hospice HME"/>
    <x v="0"/>
    <n v="1000"/>
    <n v="0"/>
    <n v="0"/>
    <n v="662"/>
    <n v="1324"/>
    <n v="662"/>
    <n v="0"/>
    <n v="0"/>
    <n v="675.24"/>
    <n v="0"/>
    <n v="662"/>
    <n v="662"/>
    <n v="0"/>
    <n v="4647.24"/>
    <n v="662"/>
  </r>
  <r>
    <x v="11"/>
    <x v="3"/>
    <x v="0"/>
    <s v="5501101"/>
    <n v="721220"/>
    <s v="Supplies-Medical Gases - Billable"/>
    <s v="Hospice HME"/>
    <x v="0"/>
    <m/>
    <n v="2156.7800000000002"/>
    <n v="5368.17"/>
    <n v="1839.96"/>
    <n v="2152.9"/>
    <n v="0"/>
    <n v="2114.5100000000002"/>
    <n v="1540.75"/>
    <n v="4917.01"/>
    <n v="0"/>
    <n v="3405.26"/>
    <n v="1409.93"/>
    <n v="4160.7"/>
    <n v="29065.970000000005"/>
    <n v="-2750.7699999999995"/>
  </r>
  <r>
    <x v="11"/>
    <x v="3"/>
    <x v="0"/>
    <s v="5501101"/>
    <n v="721240"/>
    <s v="Supplies-IV Solutions/Supplies - Billable"/>
    <s v="Hospice HME"/>
    <x v="0"/>
    <m/>
    <n v="0"/>
    <n v="0"/>
    <n v="0"/>
    <n v="0"/>
    <n v="0"/>
    <n v="0"/>
    <n v="0"/>
    <n v="0"/>
    <n v="0"/>
    <n v="4.03"/>
    <n v="0"/>
    <n v="0"/>
    <n v="4.03"/>
    <n v="0"/>
  </r>
  <r>
    <x v="11"/>
    <x v="3"/>
    <x v="0"/>
    <s v="5501101"/>
    <n v="721410"/>
    <s v="Supplies-Medical - Nonbillable"/>
    <s v="Hospice HME"/>
    <x v="0"/>
    <m/>
    <n v="11870.6"/>
    <n v="11613.64"/>
    <n v="6892.88"/>
    <n v="8884.23"/>
    <n v="9612.9"/>
    <n v="4809.01"/>
    <n v="8976.32"/>
    <n v="9785.1"/>
    <n v="5508.91"/>
    <n v="-13019.35"/>
    <n v="6918.76"/>
    <n v="5592.02"/>
    <n v="77445.020000000019"/>
    <n v="1326.7399999999998"/>
  </r>
  <r>
    <x v="11"/>
    <x v="3"/>
    <x v="0"/>
    <s v="5501101"/>
    <n v="721420"/>
    <s v="Supplies-Surgical Nonbillable"/>
    <s v="Hospice HME"/>
    <x v="0"/>
    <m/>
    <n v="98.74"/>
    <n v="26.69"/>
    <n v="18.190000000000001"/>
    <n v="0"/>
    <n v="0"/>
    <n v="0"/>
    <n v="0"/>
    <n v="0"/>
    <n v="13.8"/>
    <n v="20.29"/>
    <n v="145.78"/>
    <n v="0"/>
    <n v="323.49"/>
    <n v="145.78"/>
  </r>
  <r>
    <x v="11"/>
    <x v="3"/>
    <x v="0"/>
    <s v="5501101"/>
    <n v="721420"/>
    <s v="Sterilization Process Products"/>
    <s v="Hospice HME"/>
    <x v="0"/>
    <n v="1009"/>
    <n v="0"/>
    <n v="0"/>
    <n v="0"/>
    <n v="137.32"/>
    <n v="91.55"/>
    <n v="0"/>
    <n v="0"/>
    <n v="0"/>
    <n v="41.65"/>
    <n v="124.95"/>
    <n v="0"/>
    <n v="0"/>
    <n v="395.46999999999997"/>
    <n v="0"/>
  </r>
  <r>
    <x v="11"/>
    <x v="3"/>
    <x v="0"/>
    <s v="5501101"/>
    <n v="721610"/>
    <s v="Supplies-Anesthesia - Nonbillable"/>
    <s v="Hospice HME"/>
    <x v="0"/>
    <m/>
    <n v="618.59"/>
    <n v="1081.3399999999999"/>
    <n v="1209.74"/>
    <n v="2897.41"/>
    <n v="481.45"/>
    <n v="2895.4"/>
    <n v="167.37"/>
    <n v="311.54000000000002"/>
    <n v="1012"/>
    <n v="1770.81"/>
    <n v="3240.2"/>
    <n v="218.57"/>
    <n v="15904.420000000002"/>
    <n v="3021.6299999999997"/>
  </r>
  <r>
    <x v="11"/>
    <x v="3"/>
    <x v="0"/>
    <s v="5501101"/>
    <n v="721640"/>
    <s v="Supplies-IV Solutions/Supplies - Nonbillable"/>
    <s v="Hospice HME"/>
    <x v="0"/>
    <m/>
    <n v="187"/>
    <n v="278.04000000000002"/>
    <n v="0"/>
    <n v="200.09"/>
    <n v="0"/>
    <n v="0"/>
    <n v="201.95"/>
    <n v="0"/>
    <n v="117.72"/>
    <n v="-16.170000000000002"/>
    <n v="296.75"/>
    <n v="0"/>
    <n v="1265.3800000000001"/>
    <n v="296.75"/>
  </r>
  <r>
    <x v="11"/>
    <x v="3"/>
    <x v="0"/>
    <s v="5501101"/>
    <n v="721650"/>
    <s v="Supplies-Pharmacy Drugs - Nonbillable"/>
    <s v="Hospice HME"/>
    <x v="0"/>
    <m/>
    <n v="0"/>
    <n v="34.71"/>
    <n v="0.6"/>
    <n v="0"/>
    <n v="0"/>
    <n v="0"/>
    <n v="0"/>
    <n v="0"/>
    <n v="0"/>
    <n v="0"/>
    <n v="0"/>
    <n v="0"/>
    <n v="35.31"/>
    <n v="0"/>
  </r>
  <r>
    <x v="11"/>
    <x v="3"/>
    <x v="0"/>
    <s v="5501101"/>
    <n v="721710"/>
    <s v="Supplies-Laboratory - Nonbillable"/>
    <s v="Hospice HME"/>
    <x v="0"/>
    <m/>
    <n v="0"/>
    <n v="53.85"/>
    <n v="0"/>
    <n v="247.17"/>
    <n v="0"/>
    <n v="0"/>
    <n v="-3.31"/>
    <n v="37.79"/>
    <n v="0"/>
    <n v="0"/>
    <n v="0"/>
    <n v="52.75"/>
    <n v="388.25"/>
    <n v="-52.75"/>
  </r>
  <r>
    <x v="11"/>
    <x v="3"/>
    <x v="0"/>
    <s v="5501101"/>
    <n v="721810"/>
    <s v="Supplies-Dietary/Cafeteria"/>
    <s v="Hospice HME"/>
    <x v="0"/>
    <m/>
    <n v="0"/>
    <n v="0"/>
    <n v="0"/>
    <n v="7.71"/>
    <n v="0"/>
    <n v="508.85"/>
    <n v="0"/>
    <n v="0"/>
    <n v="0"/>
    <n v="0"/>
    <n v="0"/>
    <n v="0"/>
    <n v="516.56000000000006"/>
    <n v="0"/>
  </r>
  <r>
    <x v="11"/>
    <x v="3"/>
    <x v="0"/>
    <s v="5501101"/>
    <n v="721830"/>
    <s v="Supplies-Office"/>
    <s v="Hospice HME"/>
    <x v="0"/>
    <m/>
    <n v="408.27"/>
    <n v="1460.4"/>
    <n v="74.52"/>
    <n v="649.54"/>
    <n v="210.76"/>
    <n v="327.27"/>
    <n v="279.81"/>
    <n v="205.37"/>
    <n v="124.64"/>
    <n v="285.43"/>
    <n v="589.66"/>
    <n v="568.89"/>
    <n v="5184.5599999999995"/>
    <n v="20.769999999999982"/>
  </r>
  <r>
    <x v="11"/>
    <x v="3"/>
    <x v="0"/>
    <s v="5501101"/>
    <n v="721835"/>
    <s v="Supplies-Forms"/>
    <s v="Hospice HME"/>
    <x v="0"/>
    <m/>
    <n v="0"/>
    <n v="0"/>
    <n v="0"/>
    <n v="0"/>
    <n v="2579.6999999999998"/>
    <n v="543.4"/>
    <n v="928.25"/>
    <n v="0"/>
    <n v="1850.19"/>
    <n v="1591.5"/>
    <n v="597.5"/>
    <n v="1700.17"/>
    <n v="9790.7099999999991"/>
    <n v="-1102.67"/>
  </r>
  <r>
    <x v="11"/>
    <x v="3"/>
    <x v="0"/>
    <s v="5501101"/>
    <n v="721870"/>
    <s v="Supplies-Environmental Services"/>
    <s v="Hospice HME"/>
    <x v="0"/>
    <m/>
    <n v="245.55"/>
    <n v="311.92"/>
    <n v="317.82"/>
    <n v="327.07"/>
    <n v="267.20999999999998"/>
    <n v="104.31"/>
    <n v="256.64"/>
    <n v="160.30000000000001"/>
    <n v="293.42"/>
    <n v="197.84"/>
    <n v="169.56"/>
    <n v="0"/>
    <n v="2651.64"/>
    <n v="169.56"/>
  </r>
  <r>
    <x v="11"/>
    <x v="3"/>
    <x v="0"/>
    <s v="5501101"/>
    <n v="721880"/>
    <s v="Supplies-Linen"/>
    <s v="Hospice HME"/>
    <x v="0"/>
    <m/>
    <n v="0"/>
    <n v="0"/>
    <n v="0"/>
    <n v="607.42999999999995"/>
    <n v="393.65"/>
    <n v="0"/>
    <n v="0"/>
    <n v="0"/>
    <n v="352.5"/>
    <n v="430.65"/>
    <n v="235"/>
    <n v="0"/>
    <n v="2019.23"/>
    <n v="235"/>
  </r>
  <r>
    <x v="11"/>
    <x v="3"/>
    <x v="0"/>
    <s v="5501101"/>
    <n v="721910"/>
    <s v="Supplies-Small Equipment"/>
    <s v="Hospice HME"/>
    <x v="0"/>
    <m/>
    <n v="24762.52"/>
    <n v="18011.150000000001"/>
    <n v="7290.47"/>
    <n v="11510.29"/>
    <n v="755.04"/>
    <n v="6482.2"/>
    <n v="17259.68"/>
    <n v="20407.78"/>
    <n v="0"/>
    <n v="25731.07"/>
    <n v="2472.0500000000002"/>
    <n v="3732.15"/>
    <n v="138414.39999999999"/>
    <n v="-1260.0999999999999"/>
  </r>
  <r>
    <x v="11"/>
    <x v="3"/>
    <x v="0"/>
    <s v="5501101"/>
    <n v="721910"/>
    <s v="Instruments"/>
    <s v="Hospice HME"/>
    <x v="0"/>
    <n v="1000"/>
    <n v="0"/>
    <n v="0"/>
    <n v="0"/>
    <n v="0"/>
    <n v="0"/>
    <n v="2"/>
    <n v="0"/>
    <n v="0"/>
    <n v="0"/>
    <n v="4"/>
    <n v="0"/>
    <n v="0"/>
    <n v="6"/>
    <n v="0"/>
  </r>
  <r>
    <x v="11"/>
    <x v="3"/>
    <x v="0"/>
    <s v="5501101"/>
    <n v="721980"/>
    <s v="Supplies-Other"/>
    <s v="Hospice HME"/>
    <x v="0"/>
    <m/>
    <n v="25411.53"/>
    <n v="71295.98"/>
    <n v="47106.07"/>
    <n v="52034.85"/>
    <n v="8533.3700000000008"/>
    <n v="30455.919999999998"/>
    <n v="29240.63"/>
    <n v="80389.59"/>
    <n v="32776.69"/>
    <n v="34504.449999999997"/>
    <n v="-17056.45"/>
    <n v="109298.78"/>
    <n v="503991.40999999992"/>
    <n v="-126355.23"/>
  </r>
  <r>
    <x v="11"/>
    <x v="3"/>
    <x v="0"/>
    <s v="5501101"/>
    <n v="722000"/>
    <s v="Supplies-Freight Expense"/>
    <s v="Hospice HME"/>
    <x v="0"/>
    <m/>
    <n v="2720"/>
    <n v="2907.97"/>
    <n v="5906.17"/>
    <n v="3716.06"/>
    <n v="2862.1"/>
    <n v="3173.05"/>
    <n v="47.16"/>
    <n v="2770.61"/>
    <n v="3925.5"/>
    <n v="6815.02"/>
    <n v="-22323.27"/>
    <n v="1676.02"/>
    <n v="14196.39"/>
    <n v="-23999.29"/>
  </r>
  <r>
    <x v="11"/>
    <x v="3"/>
    <x v="0"/>
    <s v="5501101"/>
    <n v="722000"/>
    <s v="Minimum Order Fees"/>
    <s v="Hospice HME"/>
    <x v="0"/>
    <n v="1000"/>
    <n v="0"/>
    <n v="0"/>
    <n v="0"/>
    <n v="0"/>
    <n v="0"/>
    <n v="0"/>
    <n v="0"/>
    <n v="0"/>
    <n v="0"/>
    <n v="0"/>
    <n v="0"/>
    <n v="25"/>
    <n v="25"/>
    <n v="-25"/>
  </r>
  <r>
    <x v="11"/>
    <x v="3"/>
    <x v="0"/>
    <s v="5501101"/>
    <n v="722010"/>
    <s v="Standard Distribution Fees"/>
    <s v="Hospice HME"/>
    <x v="0"/>
    <n v="1000"/>
    <n v="276.88"/>
    <n v="239.58"/>
    <n v="0"/>
    <n v="505"/>
    <n v="198.24"/>
    <n v="462.42"/>
    <n v="5.95"/>
    <n v="133.53"/>
    <n v="238.14"/>
    <n v="282.58"/>
    <n v="212.78"/>
    <n v="331.27"/>
    <n v="2886.3700000000003"/>
    <n v="-118.48999999999998"/>
  </r>
  <r>
    <x v="11"/>
    <x v="3"/>
    <x v="0"/>
    <s v="5501101"/>
    <n v="723000"/>
    <s v="Supply Rebates/Patronage Dividend"/>
    <s v="Hospice HME"/>
    <x v="0"/>
    <m/>
    <n v="0"/>
    <n v="0"/>
    <n v="0"/>
    <n v="0"/>
    <n v="0"/>
    <n v="-516.96"/>
    <n v="0"/>
    <n v="0"/>
    <n v="-474.41"/>
    <n v="0"/>
    <n v="0"/>
    <n v="-401.26"/>
    <n v="-1392.63"/>
    <n v="401.26"/>
  </r>
  <r>
    <x v="12"/>
    <x v="3"/>
    <x v="0"/>
    <s v="5501101"/>
    <n v="730010"/>
    <s v="Rental and Leases-Building (DO NOT USE)"/>
    <s v="Hospice HME"/>
    <x v="0"/>
    <m/>
    <n v="7201.16"/>
    <n v="7201.16"/>
    <n v="7201.16"/>
    <n v="7201.16"/>
    <n v="7201.16"/>
    <n v="798.48"/>
    <n v="6287.4"/>
    <n v="6287.4"/>
    <n v="6287.4"/>
    <n v="6287.4"/>
    <n v="6287.4"/>
    <n v="0"/>
    <n v="68241.280000000013"/>
    <n v="6287.4"/>
  </r>
  <r>
    <x v="12"/>
    <x v="3"/>
    <x v="0"/>
    <s v="5501101"/>
    <n v="730010"/>
    <s v="Rental-Common Area Maint (DO NOT USE)"/>
    <s v="Hospice HME"/>
    <x v="0"/>
    <n v="2200"/>
    <n v="0"/>
    <n v="0"/>
    <n v="0"/>
    <n v="0"/>
    <n v="0"/>
    <n v="6402.67"/>
    <n v="1067.1199999999999"/>
    <n v="1067.1199999999999"/>
    <n v="1067.1199999999999"/>
    <n v="1936"/>
    <n v="1159.96"/>
    <n v="0"/>
    <n v="12699.989999999998"/>
    <n v="1159.96"/>
  </r>
  <r>
    <x v="12"/>
    <x v="3"/>
    <x v="0"/>
    <s v="5501101"/>
    <n v="730020"/>
    <s v="Rental and Leases-Equipment (DO NOT USE)"/>
    <s v="Hospice HME"/>
    <x v="0"/>
    <m/>
    <n v="19335.89"/>
    <n v="57509.48"/>
    <n v="54072.87"/>
    <n v="38405.5"/>
    <n v="29045.71"/>
    <n v="27097.87"/>
    <n v="33483.06"/>
    <n v="97252.96"/>
    <n v="32751.9"/>
    <n v="19216.48"/>
    <n v="9406.77"/>
    <n v="39919.550000000003"/>
    <n v="457498.04"/>
    <n v="-30512.780000000002"/>
  </r>
  <r>
    <x v="12"/>
    <x v="3"/>
    <x v="0"/>
    <s v="5501101"/>
    <n v="730020"/>
    <s v="Rental and Leases-Copier Usage Fees (DO NOT USE)"/>
    <s v="Hospice HME"/>
    <x v="0"/>
    <n v="5100"/>
    <n v="761.66"/>
    <n v="750.56"/>
    <n v="756.11"/>
    <n v="756.11"/>
    <n v="756.11"/>
    <n v="756.11"/>
    <n v="-836.87"/>
    <n v="541.62"/>
    <n v="540.48"/>
    <n v="807.55"/>
    <n v="541.62"/>
    <n v="681.77"/>
    <n v="6812.83"/>
    <n v="-140.14999999999998"/>
  </r>
  <r>
    <x v="12"/>
    <x v="3"/>
    <x v="0"/>
    <s v="5501101"/>
    <n v="730040"/>
    <s v="LT Lease-Real Estate"/>
    <s v="Hospice HME"/>
    <x v="0"/>
    <m/>
    <n v="0"/>
    <n v="0"/>
    <n v="0"/>
    <n v="0"/>
    <n v="0"/>
    <n v="0"/>
    <n v="0"/>
    <n v="0"/>
    <n v="0"/>
    <n v="0"/>
    <n v="0"/>
    <n v="7447.36"/>
    <n v="7447.36"/>
    <n v="-7447.36"/>
  </r>
  <r>
    <x v="15"/>
    <x v="3"/>
    <x v="0"/>
    <s v="5501101"/>
    <n v="731010"/>
    <s v="Natural Gas"/>
    <s v="Hospice HME"/>
    <x v="0"/>
    <m/>
    <n v="0"/>
    <n v="0"/>
    <n v="0"/>
    <n v="0"/>
    <n v="74.010000000000005"/>
    <n v="0"/>
    <n v="453.88"/>
    <n v="353.81"/>
    <n v="0"/>
    <n v="0"/>
    <n v="0"/>
    <n v="0"/>
    <n v="881.7"/>
    <n v="0"/>
  </r>
  <r>
    <x v="15"/>
    <x v="3"/>
    <x v="0"/>
    <s v="5501101"/>
    <n v="731020"/>
    <s v="Electricity"/>
    <s v="Hospice HME"/>
    <x v="0"/>
    <m/>
    <n v="206.6"/>
    <n v="204.5"/>
    <n v="206.65"/>
    <n v="204.68"/>
    <n v="236.59"/>
    <n v="272.72000000000003"/>
    <n v="290.74"/>
    <n v="307.81"/>
    <n v="355.09"/>
    <n v="316.39"/>
    <n v="268.56"/>
    <n v="241.42"/>
    <n v="3111.75"/>
    <n v="27.140000000000015"/>
  </r>
  <r>
    <x v="15"/>
    <x v="3"/>
    <x v="0"/>
    <s v="5501101"/>
    <n v="731040"/>
    <s v="Sewer"/>
    <s v="Hospice HME"/>
    <x v="0"/>
    <m/>
    <n v="0"/>
    <n v="0"/>
    <n v="0"/>
    <n v="219.19"/>
    <n v="0"/>
    <n v="0"/>
    <n v="214.41"/>
    <n v="0"/>
    <n v="0"/>
    <n v="0"/>
    <n v="0"/>
    <n v="0"/>
    <n v="433.6"/>
    <n v="0"/>
  </r>
  <r>
    <x v="15"/>
    <x v="3"/>
    <x v="0"/>
    <s v="5501101"/>
    <n v="731050"/>
    <s v="Refuse Disposal"/>
    <s v="Hospice HME"/>
    <x v="0"/>
    <m/>
    <n v="268.77999999999997"/>
    <n v="83.6"/>
    <n v="218.17"/>
    <n v="219.74"/>
    <n v="218.64"/>
    <n v="218.64"/>
    <n v="219.52"/>
    <n v="220.75"/>
    <n v="222.4"/>
    <n v="242.15"/>
    <n v="242.61"/>
    <n v="381.8"/>
    <n v="2756.8"/>
    <n v="-139.19"/>
  </r>
  <r>
    <x v="15"/>
    <x v="3"/>
    <x v="0"/>
    <s v="5501101"/>
    <n v="731060"/>
    <s v="Cell Phones"/>
    <s v="Hospice HME"/>
    <x v="0"/>
    <n v="1001"/>
    <n v="0"/>
    <n v="538.37"/>
    <n v="429.25"/>
    <n v="0"/>
    <n v="478.71"/>
    <n v="288.86"/>
    <n v="646.83000000000004"/>
    <n v="0"/>
    <n v="322.70999999999998"/>
    <n v="644.98"/>
    <n v="316.55"/>
    <n v="323.17"/>
    <n v="3989.4300000000003"/>
    <n v="-6.6200000000000045"/>
  </r>
  <r>
    <x v="16"/>
    <x v="3"/>
    <x v="0"/>
    <s v="5501101"/>
    <n v="732030"/>
    <s v="Repairs&amp;Maintenance-Bldg Routine"/>
    <s v="Hospice HME"/>
    <x v="0"/>
    <n v="2300"/>
    <n v="0"/>
    <n v="0"/>
    <n v="526.91"/>
    <n v="0"/>
    <n v="0"/>
    <n v="0"/>
    <n v="95.81"/>
    <n v="0"/>
    <n v="0"/>
    <n v="0"/>
    <n v="0"/>
    <n v="0"/>
    <n v="622.72"/>
    <n v="0"/>
  </r>
  <r>
    <x v="13"/>
    <x v="3"/>
    <x v="0"/>
    <s v="5501101"/>
    <n v="735070"/>
    <s v="Depreciation-Movable Equipment"/>
    <s v="Hospice HME"/>
    <x v="0"/>
    <m/>
    <n v="1282.82"/>
    <n v="1282.82"/>
    <n v="1282.82"/>
    <n v="1282.8"/>
    <n v="237.94"/>
    <n v="237.93"/>
    <n v="237.94"/>
    <n v="392.31"/>
    <n v="392.33"/>
    <n v="392.31"/>
    <n v="392.33"/>
    <n v="392.31"/>
    <n v="7806.6600000000008"/>
    <n v="1.999999999998181E-2"/>
  </r>
  <r>
    <x v="0"/>
    <x v="3"/>
    <x v="0"/>
    <s v="5501101"/>
    <n v="742010"/>
    <s v="Postage-Regular"/>
    <s v="Hospice HME"/>
    <x v="0"/>
    <m/>
    <n v="0"/>
    <n v="0"/>
    <n v="0"/>
    <n v="0"/>
    <n v="0"/>
    <n v="0"/>
    <n v="0"/>
    <n v="0"/>
    <n v="0"/>
    <n v="0"/>
    <n v="24819.85"/>
    <n v="3119.99"/>
    <n v="27939.839999999997"/>
    <n v="21699.86"/>
  </r>
  <r>
    <x v="0"/>
    <x v="3"/>
    <x v="0"/>
    <s v="5501101"/>
    <n v="742040"/>
    <s v="Freight-Other"/>
    <s v="Hospice HME"/>
    <x v="0"/>
    <m/>
    <n v="0"/>
    <n v="0"/>
    <n v="0"/>
    <n v="0"/>
    <n v="0"/>
    <n v="0"/>
    <n v="0"/>
    <n v="0"/>
    <n v="0"/>
    <n v="0"/>
    <n v="0"/>
    <n v="25.15"/>
    <n v="25.15"/>
    <n v="-25.15"/>
  </r>
  <r>
    <x v="0"/>
    <x v="3"/>
    <x v="0"/>
    <s v="5501101"/>
    <n v="743010"/>
    <s v="Dues--Institutional"/>
    <s v="Hospice HME"/>
    <x v="0"/>
    <m/>
    <n v="150"/>
    <n v="150"/>
    <n v="150"/>
    <n v="150"/>
    <n v="0"/>
    <n v="150"/>
    <n v="300"/>
    <n v="0"/>
    <n v="0"/>
    <n v="300"/>
    <n v="150"/>
    <n v="0"/>
    <n v="1500"/>
    <n v="150"/>
  </r>
  <r>
    <x v="0"/>
    <x v="3"/>
    <x v="0"/>
    <s v="5501101"/>
    <n v="748520"/>
    <s v="COGS-Durable Medical Eqpt-Retail"/>
    <s v="Hospice HME"/>
    <x v="0"/>
    <m/>
    <n v="0"/>
    <n v="0"/>
    <n v="0"/>
    <n v="0"/>
    <n v="0"/>
    <n v="155.94"/>
    <n v="0"/>
    <n v="0"/>
    <n v="0"/>
    <n v="0"/>
    <n v="0"/>
    <n v="0"/>
    <n v="155.94"/>
    <n v="0"/>
  </r>
  <r>
    <x v="0"/>
    <x v="3"/>
    <x v="0"/>
    <s v="5501101"/>
    <n v="749510"/>
    <s v="Miscellaneous Expenses"/>
    <s v="Hospice HME"/>
    <x v="0"/>
    <m/>
    <n v="0"/>
    <n v="48.11"/>
    <n v="-0.41"/>
    <n v="-47.7"/>
    <n v="0"/>
    <n v="75.81"/>
    <n v="6"/>
    <n v="-6"/>
    <n v="26.13"/>
    <n v="-26.13"/>
    <n v="0"/>
    <n v="0"/>
    <n v="75.81"/>
    <n v="0"/>
  </r>
  <r>
    <x v="0"/>
    <x v="3"/>
    <x v="0"/>
    <s v="5501101"/>
    <n v="749510"/>
    <s v="Fundraising"/>
    <s v="Hospice HME"/>
    <x v="0"/>
    <n v="1020"/>
    <n v="0"/>
    <n v="0"/>
    <n v="0"/>
    <n v="0"/>
    <n v="0"/>
    <n v="0"/>
    <n v="0"/>
    <n v="0"/>
    <n v="24"/>
    <n v="0"/>
    <n v="0"/>
    <n v="0"/>
    <n v="24"/>
    <n v="0"/>
  </r>
  <r>
    <x v="0"/>
    <x v="3"/>
    <x v="0"/>
    <s v="5501101"/>
    <n v="749530"/>
    <s v="Travel"/>
    <s v="Hospice HME"/>
    <x v="0"/>
    <m/>
    <n v="0"/>
    <n v="0"/>
    <n v="0"/>
    <n v="66.05"/>
    <n v="0"/>
    <n v="0"/>
    <n v="0"/>
    <n v="6"/>
    <n v="0"/>
    <n v="0"/>
    <n v="0"/>
    <n v="47.7"/>
    <n v="119.75"/>
    <n v="-47.7"/>
  </r>
  <r>
    <x v="0"/>
    <x v="3"/>
    <x v="0"/>
    <s v="5501101"/>
    <n v="749535"/>
    <s v="Meetings"/>
    <s v="Hospice HME"/>
    <x v="0"/>
    <m/>
    <n v="0"/>
    <n v="0"/>
    <n v="48.11"/>
    <n v="0"/>
    <n v="0"/>
    <n v="0"/>
    <n v="0"/>
    <n v="0"/>
    <n v="0"/>
    <n v="0"/>
    <n v="0"/>
    <n v="0"/>
    <n v="48.11"/>
    <n v="0"/>
  </r>
  <r>
    <x v="1"/>
    <x v="3"/>
    <x v="0"/>
    <s v="5502101"/>
    <n v="400029"/>
    <s v="MD Practice Other Rev--Medicare"/>
    <s v="Palliative Medicine Tacoma"/>
    <x v="0"/>
    <n v="1100"/>
    <n v="0"/>
    <n v="0"/>
    <n v="-54"/>
    <n v="-162"/>
    <n v="-177"/>
    <n v="-54"/>
    <n v="0"/>
    <n v="0"/>
    <n v="0"/>
    <n v="-251"/>
    <n v="0"/>
    <n v="0"/>
    <n v="-698"/>
    <n v="0"/>
  </r>
  <r>
    <x v="1"/>
    <x v="3"/>
    <x v="0"/>
    <s v="5502101"/>
    <n v="400029"/>
    <s v="MD Practice Other Rev--Medicaid"/>
    <s v="Palliative Medicine Tacoma"/>
    <x v="0"/>
    <n v="1200"/>
    <n v="0"/>
    <n v="0"/>
    <n v="0"/>
    <n v="-59"/>
    <n v="-143"/>
    <n v="0"/>
    <n v="0"/>
    <n v="0"/>
    <n v="0"/>
    <n v="0"/>
    <n v="-65"/>
    <n v="0"/>
    <n v="-267"/>
    <n v="-65"/>
  </r>
  <r>
    <x v="1"/>
    <x v="3"/>
    <x v="0"/>
    <s v="5502101"/>
    <n v="400029"/>
    <s v="MD Practice Other Rev--Comm Insurance"/>
    <s v="Palliative Medicine Tacoma"/>
    <x v="0"/>
    <n v="1300"/>
    <n v="0"/>
    <n v="0"/>
    <n v="0"/>
    <n v="0"/>
    <n v="0"/>
    <n v="0"/>
    <n v="0"/>
    <n v="0"/>
    <n v="0"/>
    <n v="-54"/>
    <n v="0"/>
    <n v="0"/>
    <n v="-54"/>
    <n v="0"/>
  </r>
  <r>
    <x v="1"/>
    <x v="3"/>
    <x v="0"/>
    <s v="5502101"/>
    <n v="400029"/>
    <s v="MD Practice Other Rev--BCBS Comm"/>
    <s v="Palliative Medicine Tacoma"/>
    <x v="0"/>
    <n v="1301"/>
    <n v="0"/>
    <n v="0"/>
    <n v="0"/>
    <n v="0"/>
    <n v="0"/>
    <n v="0"/>
    <n v="0"/>
    <n v="0"/>
    <n v="-54"/>
    <n v="0"/>
    <n v="0"/>
    <n v="0"/>
    <n v="-54"/>
    <n v="0"/>
  </r>
  <r>
    <x v="1"/>
    <x v="3"/>
    <x v="0"/>
    <s v="5502101"/>
    <n v="400029"/>
    <s v="MD Practice Other Rev--Managed Care"/>
    <s v="Palliative Medicine Tacoma"/>
    <x v="0"/>
    <n v="1400"/>
    <n v="0"/>
    <n v="0"/>
    <n v="0"/>
    <n v="-76"/>
    <n v="0"/>
    <n v="-298"/>
    <n v="0"/>
    <n v="0"/>
    <n v="0"/>
    <n v="0"/>
    <n v="0"/>
    <n v="-68"/>
    <n v="-442"/>
    <n v="68"/>
  </r>
  <r>
    <x v="1"/>
    <x v="3"/>
    <x v="0"/>
    <s v="5502101"/>
    <n v="400040"/>
    <s v="Physician Svcs Rev--Medicare"/>
    <s v="Palliative Medicine Tacoma"/>
    <x v="0"/>
    <n v="1100"/>
    <n v="-120929"/>
    <n v="-101152"/>
    <n v="-138236"/>
    <n v="-148519"/>
    <n v="-139333"/>
    <n v="-145469"/>
    <n v="-147383"/>
    <n v="-160643"/>
    <n v="-172188"/>
    <n v="-166813"/>
    <n v="-156167"/>
    <n v="-159277.71"/>
    <n v="-1756109.71"/>
    <n v="3110.7099999999919"/>
  </r>
  <r>
    <x v="1"/>
    <x v="3"/>
    <x v="0"/>
    <s v="5502101"/>
    <n v="400040"/>
    <s v="Physician Svcs Rev--Medicaid"/>
    <s v="Palliative Medicine Tacoma"/>
    <x v="0"/>
    <n v="1200"/>
    <n v="-9725"/>
    <n v="-15986"/>
    <n v="-22391"/>
    <n v="-23929"/>
    <n v="-25778"/>
    <n v="-31521"/>
    <n v="-18298"/>
    <n v="-21347"/>
    <n v="-35088"/>
    <n v="-25408"/>
    <n v="-26185"/>
    <n v="-30404"/>
    <n v="-286060"/>
    <n v="4219"/>
  </r>
  <r>
    <x v="1"/>
    <x v="3"/>
    <x v="0"/>
    <s v="5502101"/>
    <n v="400040"/>
    <s v="Physician Svcs Rev--Comm Insurance"/>
    <s v="Palliative Medicine Tacoma"/>
    <x v="0"/>
    <n v="1300"/>
    <n v="-2525"/>
    <n v="1279"/>
    <n v="-1697"/>
    <n v="-3781"/>
    <n v="-3089"/>
    <n v="-2003"/>
    <n v="-221"/>
    <n v="-1141"/>
    <n v="-3199"/>
    <n v="-1074"/>
    <n v="-3289"/>
    <n v="-1665"/>
    <n v="-22405"/>
    <n v="-1624"/>
  </r>
  <r>
    <x v="1"/>
    <x v="3"/>
    <x v="0"/>
    <s v="5502101"/>
    <n v="400040"/>
    <s v="Physician Svcs Rev--BCBS Comm"/>
    <s v="Palliative Medicine Tacoma"/>
    <x v="0"/>
    <n v="1301"/>
    <n v="-2790"/>
    <n v="-4564"/>
    <n v="-4651"/>
    <n v="-3956"/>
    <n v="-3012"/>
    <n v="-5625"/>
    <n v="-7686"/>
    <n v="-5370"/>
    <n v="-1959"/>
    <n v="-2167"/>
    <n v="-1053"/>
    <n v="-4756"/>
    <n v="-47589"/>
    <n v="3703"/>
  </r>
  <r>
    <x v="1"/>
    <x v="3"/>
    <x v="0"/>
    <s v="5502101"/>
    <n v="400040"/>
    <s v="Physician Svcs Rev--Managed Care"/>
    <s v="Palliative Medicine Tacoma"/>
    <x v="0"/>
    <n v="1400"/>
    <n v="-12404"/>
    <n v="-20778"/>
    <n v="-20320"/>
    <n v="-12418"/>
    <n v="-17073"/>
    <n v="-21626"/>
    <n v="-12106"/>
    <n v="-15925"/>
    <n v="-19545"/>
    <n v="-18825"/>
    <n v="-26848"/>
    <n v="-14088"/>
    <n v="-211956"/>
    <n v="-12760"/>
  </r>
  <r>
    <x v="1"/>
    <x v="3"/>
    <x v="0"/>
    <s v="5502101"/>
    <n v="400040"/>
    <s v="Physician Svcs Rev--Self Pay"/>
    <s v="Palliative Medicine Tacoma"/>
    <x v="0"/>
    <n v="1500"/>
    <n v="1802"/>
    <n v="-3070"/>
    <n v="-830"/>
    <n v="-3322"/>
    <n v="-156"/>
    <n v="-2746"/>
    <n v="-2589"/>
    <n v="-915"/>
    <n v="-5360"/>
    <n v="-1977"/>
    <n v="-1770"/>
    <n v="-1937"/>
    <n v="-22870"/>
    <n v="167"/>
  </r>
  <r>
    <x v="1"/>
    <x v="3"/>
    <x v="0"/>
    <s v="5502101"/>
    <n v="400040"/>
    <s v="Physician Svcs Rev--Other"/>
    <s v="Palliative Medicine Tacoma"/>
    <x v="0"/>
    <n v="1700"/>
    <n v="-4133"/>
    <n v="-7706"/>
    <n v="-9191"/>
    <n v="-12620"/>
    <n v="-9805"/>
    <n v="-8747"/>
    <n v="-5710"/>
    <n v="-5077"/>
    <n v="-919"/>
    <n v="-7549"/>
    <n v="-2869"/>
    <n v="-10715"/>
    <n v="-85041"/>
    <n v="7846"/>
  </r>
  <r>
    <x v="2"/>
    <x v="3"/>
    <x v="0"/>
    <s v="5502101"/>
    <n v="450029"/>
    <s v="Contr Allow--MD Other-Medicare"/>
    <s v="Palliative Medicine Tacoma"/>
    <x v="0"/>
    <n v="1100"/>
    <n v="0"/>
    <n v="0"/>
    <n v="0"/>
    <n v="102.64"/>
    <n v="78.38"/>
    <n v="69.33"/>
    <n v="34.340000000000003"/>
    <n v="0"/>
    <n v="0"/>
    <n v="121.7"/>
    <n v="33.130000000000003"/>
    <n v="0"/>
    <n v="439.51999999999992"/>
    <n v="33.130000000000003"/>
  </r>
  <r>
    <x v="2"/>
    <x v="3"/>
    <x v="0"/>
    <s v="5502101"/>
    <n v="450029"/>
    <s v="Contr Allow--MD Other-Medicaid"/>
    <s v="Palliative Medicine Tacoma"/>
    <x v="0"/>
    <n v="1200"/>
    <n v="0"/>
    <n v="0"/>
    <n v="0"/>
    <n v="45.74"/>
    <n v="108.89"/>
    <n v="0"/>
    <n v="0"/>
    <n v="0"/>
    <n v="0"/>
    <n v="0"/>
    <n v="49.45"/>
    <n v="0"/>
    <n v="204.07999999999998"/>
    <n v="49.45"/>
  </r>
  <r>
    <x v="2"/>
    <x v="3"/>
    <x v="0"/>
    <s v="5502101"/>
    <n v="450029"/>
    <s v="Contr Allow--MD Other-Comm Insurance"/>
    <s v="Palliative Medicine Tacoma"/>
    <x v="0"/>
    <n v="1300"/>
    <n v="0"/>
    <n v="0"/>
    <n v="0"/>
    <n v="0"/>
    <n v="0"/>
    <n v="0"/>
    <n v="0"/>
    <n v="0"/>
    <n v="0"/>
    <n v="16.95"/>
    <n v="0"/>
    <n v="0"/>
    <n v="16.95"/>
    <n v="0"/>
  </r>
  <r>
    <x v="2"/>
    <x v="3"/>
    <x v="0"/>
    <s v="5502101"/>
    <n v="450029"/>
    <s v="Contr Allow--MD Other BCBS Comm"/>
    <s v="Palliative Medicine Tacoma"/>
    <x v="0"/>
    <n v="1301"/>
    <n v="0"/>
    <n v="0"/>
    <n v="0"/>
    <n v="0"/>
    <n v="0"/>
    <n v="0"/>
    <n v="0"/>
    <n v="0"/>
    <n v="0"/>
    <n v="13.56"/>
    <n v="0"/>
    <n v="0"/>
    <n v="13.56"/>
    <n v="0"/>
  </r>
  <r>
    <x v="2"/>
    <x v="3"/>
    <x v="0"/>
    <s v="5502101"/>
    <n v="450029"/>
    <s v="Contr Allow--MD Other-Managed Care"/>
    <s v="Palliative Medicine Tacoma"/>
    <x v="0"/>
    <n v="1400"/>
    <n v="0"/>
    <n v="0"/>
    <n v="0"/>
    <n v="29.48"/>
    <n v="0"/>
    <n v="104.68"/>
    <n v="0"/>
    <n v="0"/>
    <n v="0"/>
    <n v="0"/>
    <n v="0"/>
    <n v="0"/>
    <n v="134.16"/>
    <n v="0"/>
  </r>
  <r>
    <x v="2"/>
    <x v="3"/>
    <x v="0"/>
    <s v="5502101"/>
    <n v="450040"/>
    <s v="Contr Allow--Phys Svcs--Mcare"/>
    <s v="Palliative Medicine Tacoma"/>
    <x v="0"/>
    <n v="1100"/>
    <n v="77116.63"/>
    <n v="87336.99"/>
    <n v="114577.24"/>
    <n v="91732.81"/>
    <n v="87706.81"/>
    <n v="97058.93"/>
    <n v="94779.38"/>
    <n v="84315.73"/>
    <n v="95924.08"/>
    <n v="99346.06"/>
    <n v="93029.08"/>
    <n v="107980.14"/>
    <n v="1130903.8799999999"/>
    <n v="-14951.059999999998"/>
  </r>
  <r>
    <x v="2"/>
    <x v="3"/>
    <x v="0"/>
    <s v="5502101"/>
    <n v="450040"/>
    <s v="Contr Allow--Phys Svcs--Mcaid"/>
    <s v="Palliative Medicine Tacoma"/>
    <x v="0"/>
    <n v="1200"/>
    <n v="13373.02"/>
    <n v="9423.76"/>
    <n v="12932.79"/>
    <n v="13519.85"/>
    <n v="18457.78"/>
    <n v="20815.419999999998"/>
    <n v="13820.53"/>
    <n v="16574.75"/>
    <n v="20237.2"/>
    <n v="21835.25"/>
    <n v="13627.75"/>
    <n v="19764.810000000001"/>
    <n v="194382.91"/>
    <n v="-6137.0600000000013"/>
  </r>
  <r>
    <x v="2"/>
    <x v="3"/>
    <x v="0"/>
    <s v="5502101"/>
    <n v="450040"/>
    <s v="Contr Allow--Phys Svcs--Comm Insurance"/>
    <s v="Palliative Medicine Tacoma"/>
    <x v="0"/>
    <n v="1300"/>
    <n v="280.48"/>
    <n v="-38.01"/>
    <n v="954.4"/>
    <n v="1818.56"/>
    <n v="1507.36"/>
    <n v="1607.3"/>
    <n v="171.16"/>
    <n v="386.51"/>
    <n v="542.07000000000005"/>
    <n v="1050.49"/>
    <n v="720.57"/>
    <n v="1942.56"/>
    <n v="10943.449999999999"/>
    <n v="-1221.9899999999998"/>
  </r>
  <r>
    <x v="2"/>
    <x v="3"/>
    <x v="0"/>
    <s v="5502101"/>
    <n v="450040"/>
    <s v="Contr Allow--Phys Svcs--BCBS Comm Ins"/>
    <s v="Palliative Medicine Tacoma"/>
    <x v="0"/>
    <n v="1301"/>
    <n v="1188.56"/>
    <n v="1100.32"/>
    <n v="1609.75"/>
    <n v="1380.75"/>
    <n v="817.15"/>
    <n v="1389.6"/>
    <n v="1522.91"/>
    <n v="2680.78"/>
    <n v="2183.88"/>
    <n v="840.51"/>
    <n v="641.63"/>
    <n v="425.12"/>
    <n v="15780.960000000001"/>
    <n v="216.51"/>
  </r>
  <r>
    <x v="2"/>
    <x v="3"/>
    <x v="0"/>
    <s v="5502101"/>
    <n v="450040"/>
    <s v="Contr Allow--Phys Svcs--Managed Care"/>
    <s v="Palliative Medicine Tacoma"/>
    <x v="0"/>
    <n v="1400"/>
    <n v="3011.4"/>
    <n v="6703.51"/>
    <n v="5274.71"/>
    <n v="7464.93"/>
    <n v="6903.73"/>
    <n v="7242.23"/>
    <n v="6089.2"/>
    <n v="3117.35"/>
    <n v="7300.5"/>
    <n v="4340.57"/>
    <n v="6339.74"/>
    <n v="12208.1"/>
    <n v="75995.969999999987"/>
    <n v="-5868.3600000000006"/>
  </r>
  <r>
    <x v="2"/>
    <x v="3"/>
    <x v="0"/>
    <s v="5502101"/>
    <n v="450040"/>
    <s v="Contr Allow--Phys Svcs--BCBS Mgnd Care"/>
    <s v="Palliative Medicine Tacoma"/>
    <x v="0"/>
    <n v="1401"/>
    <n v="-4198.34"/>
    <n v="-13056.92"/>
    <n v="-9239.0499999999993"/>
    <n v="5217.74"/>
    <n v="-590.59"/>
    <n v="6877.26"/>
    <n v="5377.83"/>
    <n v="19882.53"/>
    <n v="14287.23"/>
    <n v="15952.45"/>
    <n v="19293.919999999998"/>
    <n v="-25633.58"/>
    <n v="34170.479999999996"/>
    <n v="44927.5"/>
  </r>
  <r>
    <x v="2"/>
    <x v="3"/>
    <x v="0"/>
    <s v="5502101"/>
    <n v="450040"/>
    <s v="Prompt Pay Disc-Phys Svcs-Self Pay"/>
    <s v="Palliative Medicine Tacoma"/>
    <x v="0"/>
    <n v="1500"/>
    <n v="0"/>
    <n v="0"/>
    <n v="-357.3"/>
    <n v="295.52"/>
    <n v="0"/>
    <n v="0"/>
    <n v="0"/>
    <n v="0"/>
    <n v="302.02"/>
    <n v="234.99"/>
    <n v="0"/>
    <n v="935.37"/>
    <n v="1410.6"/>
    <n v="-935.37"/>
  </r>
  <r>
    <x v="2"/>
    <x v="3"/>
    <x v="0"/>
    <s v="5502101"/>
    <n v="450040"/>
    <s v="Admin Adjust-Phys Svcs-Self Pay"/>
    <s v="Palliative Medicine Tacoma"/>
    <x v="0"/>
    <n v="1600"/>
    <n v="-1028.04"/>
    <n v="1188.96"/>
    <n v="5546.37"/>
    <n v="1272.7"/>
    <n v="576.53"/>
    <n v="1211.42"/>
    <n v="644.98"/>
    <n v="72.599999999999994"/>
    <n v="83"/>
    <n v="-6200.58"/>
    <n v="962.31"/>
    <n v="25957.24"/>
    <n v="30287.489999999998"/>
    <n v="-24994.93"/>
  </r>
  <r>
    <x v="2"/>
    <x v="3"/>
    <x v="0"/>
    <s v="5502101"/>
    <n v="450040"/>
    <s v="Contr Allow--Phys Svcs--Other"/>
    <s v="Palliative Medicine Tacoma"/>
    <x v="0"/>
    <n v="1700"/>
    <n v="2265.7800000000002"/>
    <n v="3158.19"/>
    <n v="2866.59"/>
    <n v="5105.96"/>
    <n v="7376.58"/>
    <n v="3988.03"/>
    <n v="3679.48"/>
    <n v="7038.17"/>
    <n v="9172.68"/>
    <n v="3273.22"/>
    <n v="4385.5"/>
    <n v="7904.22"/>
    <n v="60214.400000000001"/>
    <n v="-3518.7200000000003"/>
  </r>
  <r>
    <x v="3"/>
    <x v="3"/>
    <x v="0"/>
    <s v="5502101"/>
    <n v="470040"/>
    <s v="Charity Care-Physician Svcs"/>
    <s v="Palliative Medicine Tacoma"/>
    <x v="0"/>
    <m/>
    <n v="-541.72"/>
    <n v="980.11"/>
    <n v="-170.77"/>
    <n v="454.35"/>
    <n v="253.97"/>
    <n v="-129.81"/>
    <n v="1033.72"/>
    <n v="595.84"/>
    <n v="2594.65"/>
    <n v="1063.6099999999999"/>
    <n v="290.22000000000003"/>
    <n v="4117.13"/>
    <n v="10541.3"/>
    <n v="-3826.91"/>
  </r>
  <r>
    <x v="4"/>
    <x v="3"/>
    <x v="0"/>
    <s v="5502101"/>
    <n v="490010"/>
    <s v="Provision for Bad Debts"/>
    <s v="Palliative Medicine Tacoma"/>
    <x v="0"/>
    <m/>
    <n v="4480.57"/>
    <n v="3902.69"/>
    <n v="1390.43"/>
    <n v="3082.6"/>
    <n v="7009.13"/>
    <n v="1627.35"/>
    <n v="4354.43"/>
    <n v="3157.4"/>
    <n v="4666.0600000000004"/>
    <n v="3042.72"/>
    <n v="5014.25"/>
    <n v="656.17"/>
    <n v="42383.8"/>
    <n v="4358.08"/>
  </r>
  <r>
    <x v="5"/>
    <x v="3"/>
    <x v="0"/>
    <s v="5502101"/>
    <n v="700022"/>
    <s v="Salaries-Physician-Productive"/>
    <s v="Palliative Medicine Tacoma"/>
    <x v="0"/>
    <m/>
    <n v="32877.879999999997"/>
    <n v="35819.25"/>
    <n v="48302.9"/>
    <n v="49292.31"/>
    <n v="47976.959999999999"/>
    <n v="38199.040000000001"/>
    <n v="44346.68"/>
    <n v="37545.370000000003"/>
    <n v="40427.51"/>
    <n v="86247.73"/>
    <n v="104936.01"/>
    <n v="63854.42"/>
    <n v="629826.06000000006"/>
    <n v="41081.589999999997"/>
  </r>
  <r>
    <x v="5"/>
    <x v="3"/>
    <x v="0"/>
    <s v="5502101"/>
    <n v="700022"/>
    <s v="Salaries-Physician-Other"/>
    <s v="Palliative Medicine Tacoma"/>
    <x v="0"/>
    <n v="2000"/>
    <n v="2280"/>
    <n v="-380"/>
    <n v="2850"/>
    <n v="7790"/>
    <n v="760"/>
    <n v="3990"/>
    <n v="1712.79"/>
    <n v="0"/>
    <n v="0"/>
    <n v="7040.32"/>
    <n v="-1331.95"/>
    <n v="7703.6"/>
    <n v="32414.760000000002"/>
    <n v="-9035.5500000000011"/>
  </r>
  <r>
    <x v="5"/>
    <x v="3"/>
    <x v="0"/>
    <s v="5502101"/>
    <n v="700022"/>
    <s v="Salaries-Physician-Provider Incentive"/>
    <s v="Palliative Medicine Tacoma"/>
    <x v="0"/>
    <n v="4003"/>
    <n v="0"/>
    <n v="0"/>
    <n v="0"/>
    <n v="11375"/>
    <n v="0"/>
    <n v="0"/>
    <n v="0"/>
    <n v="0"/>
    <n v="0"/>
    <n v="0"/>
    <n v="0"/>
    <n v="0"/>
    <n v="11375"/>
    <n v="0"/>
  </r>
  <r>
    <x v="5"/>
    <x v="3"/>
    <x v="0"/>
    <s v="5502101"/>
    <n v="700024"/>
    <s v="Salaries-Advanced Practice Clinician-Productive"/>
    <s v="Palliative Medicine Tacoma"/>
    <x v="0"/>
    <m/>
    <n v="53602.33"/>
    <n v="65144.160000000003"/>
    <n v="61173.02"/>
    <n v="76245.63"/>
    <n v="73471.45"/>
    <n v="57241.86"/>
    <n v="75762.77"/>
    <n v="62018.14"/>
    <n v="61144.88"/>
    <n v="69455.38"/>
    <n v="63177.66"/>
    <n v="65172.83"/>
    <n v="783610.11"/>
    <n v="-1995.1699999999983"/>
  </r>
  <r>
    <x v="5"/>
    <x v="3"/>
    <x v="0"/>
    <s v="5502101"/>
    <n v="700024"/>
    <s v="Salaries-Advanced Practice Clinician-Other"/>
    <s v="Palliative Medicine Tacoma"/>
    <x v="0"/>
    <n v="2000"/>
    <n v="1268.4000000000001"/>
    <n v="1905.6"/>
    <n v="1032"/>
    <n v="-516"/>
    <n v="1032"/>
    <n v="1032"/>
    <n v="1446.91"/>
    <n v="620.11"/>
    <n v="0"/>
    <n v="1031.43"/>
    <n v="3042.4"/>
    <n v="2600.3200000000002"/>
    <n v="14495.169999999998"/>
    <n v="442.07999999999993"/>
  </r>
  <r>
    <x v="5"/>
    <x v="3"/>
    <x v="0"/>
    <s v="5502101"/>
    <n v="700024"/>
    <s v="Salaries-Advanced Practice Clinician-Provider Incentive"/>
    <s v="Palliative Medicine Tacoma"/>
    <x v="0"/>
    <n v="4003"/>
    <n v="0"/>
    <n v="0"/>
    <n v="0"/>
    <n v="18525"/>
    <n v="0"/>
    <n v="0"/>
    <n v="0"/>
    <n v="0"/>
    <n v="0"/>
    <n v="0"/>
    <n v="0"/>
    <n v="0"/>
    <n v="18525"/>
    <n v="0"/>
  </r>
  <r>
    <x v="5"/>
    <x v="3"/>
    <x v="0"/>
    <s v="5502101"/>
    <n v="700026"/>
    <s v="Salaries-RN-Productive"/>
    <s v="Palliative Medicine Tacoma"/>
    <x v="0"/>
    <m/>
    <n v="28893.57"/>
    <n v="31580.67"/>
    <n v="25115.4"/>
    <n v="34331.26"/>
    <n v="25631.11"/>
    <n v="28384.43"/>
    <n v="29742.560000000001"/>
    <n v="19814.330000000002"/>
    <n v="35208.11"/>
    <n v="30384.59"/>
    <n v="31823.02"/>
    <n v="37483.910000000003"/>
    <n v="358392.96000000008"/>
    <n v="-5660.8900000000031"/>
  </r>
  <r>
    <x v="5"/>
    <x v="3"/>
    <x v="0"/>
    <s v="5502101"/>
    <n v="700032"/>
    <s v="Salaries-Other Pat Care Providers-Productive"/>
    <s v="Palliative Medicine Tacoma"/>
    <x v="0"/>
    <m/>
    <n v="21940.21"/>
    <n v="25366.44"/>
    <n v="24589.01"/>
    <n v="26557.95"/>
    <n v="22030.2"/>
    <n v="23121.72"/>
    <n v="21745.61"/>
    <n v="20487.099999999999"/>
    <n v="22487.71"/>
    <n v="23221.45"/>
    <n v="25590.42"/>
    <n v="20311.62"/>
    <n v="277449.43999999994"/>
    <n v="5278.7999999999993"/>
  </r>
  <r>
    <x v="5"/>
    <x v="3"/>
    <x v="0"/>
    <s v="5502101"/>
    <n v="700032"/>
    <s v="Salaries-Other Pat Care Providers-OT"/>
    <s v="Palliative Medicine Tacoma"/>
    <x v="0"/>
    <n v="1000"/>
    <n v="327.76"/>
    <n v="-57.82"/>
    <n v="0"/>
    <n v="0"/>
    <n v="0"/>
    <n v="0"/>
    <n v="0"/>
    <n v="0"/>
    <n v="0"/>
    <n v="0"/>
    <n v="0"/>
    <n v="0"/>
    <n v="269.94"/>
    <n v="0"/>
  </r>
  <r>
    <x v="5"/>
    <x v="3"/>
    <x v="0"/>
    <s v="5502101"/>
    <n v="700032"/>
    <s v="Salaries-Other Pat Care Providers-Other"/>
    <s v="Palliative Medicine Tacoma"/>
    <x v="0"/>
    <n v="2000"/>
    <n v="0"/>
    <n v="77.430000000000007"/>
    <n v="143.09"/>
    <n v="59.84"/>
    <n v="109.23"/>
    <n v="45.92"/>
    <n v="0"/>
    <n v="0"/>
    <n v="0"/>
    <n v="0"/>
    <n v="0"/>
    <n v="0"/>
    <n v="435.51000000000005"/>
    <n v="0"/>
  </r>
  <r>
    <x v="5"/>
    <x v="3"/>
    <x v="0"/>
    <s v="5502101"/>
    <n v="700038"/>
    <s v="Salaries-Service/Support-Productive"/>
    <s v="Palliative Medicine Tacoma"/>
    <x v="0"/>
    <m/>
    <n v="4040.65"/>
    <n v="1958.26"/>
    <n v="4340.28"/>
    <n v="3771.7"/>
    <n v="3801.27"/>
    <n v="3555.31"/>
    <n v="2772.21"/>
    <n v="2769.62"/>
    <n v="4284.4399999999996"/>
    <n v="3598.27"/>
    <n v="4077.19"/>
    <n v="2119.63"/>
    <n v="41088.829999999994"/>
    <n v="1957.56"/>
  </r>
  <r>
    <x v="5"/>
    <x v="3"/>
    <x v="0"/>
    <s v="5502101"/>
    <n v="700038"/>
    <s v="Salaries-Service/Support-OT"/>
    <s v="Palliative Medicine Tacoma"/>
    <x v="0"/>
    <n v="1000"/>
    <n v="0"/>
    <n v="0"/>
    <n v="0"/>
    <n v="0"/>
    <n v="0"/>
    <n v="0"/>
    <n v="0"/>
    <n v="0"/>
    <n v="9.25"/>
    <n v="0"/>
    <n v="0"/>
    <n v="0"/>
    <n v="9.25"/>
    <n v="0"/>
  </r>
  <r>
    <x v="5"/>
    <x v="3"/>
    <x v="0"/>
    <s v="5502101"/>
    <n v="700054"/>
    <s v="Salaries-Management-NonProd-Other"/>
    <s v="Palliative Medicine Tacoma"/>
    <x v="0"/>
    <n v="2000"/>
    <n v="0"/>
    <n v="0"/>
    <n v="0"/>
    <n v="0"/>
    <n v="0"/>
    <n v="2108.2600000000002"/>
    <n v="-2108.2600000000002"/>
    <n v="0"/>
    <n v="0"/>
    <n v="0"/>
    <n v="0"/>
    <n v="0"/>
    <n v="0"/>
    <n v="0"/>
  </r>
  <r>
    <x v="5"/>
    <x v="3"/>
    <x v="0"/>
    <s v="5502101"/>
    <n v="700062"/>
    <s v="Salaries-Physician-Non-productive"/>
    <s v="Palliative Medicine Tacoma"/>
    <x v="0"/>
    <m/>
    <n v="21868.27"/>
    <n v="21415.38"/>
    <n v="1466.35"/>
    <n v="7942.32"/>
    <n v="6769.24"/>
    <n v="14058.65"/>
    <n v="12975.53"/>
    <n v="12296.87"/>
    <n v="11906.86"/>
    <n v="10346.370000000001"/>
    <n v="4239.6899999999996"/>
    <n v="12886.3"/>
    <n v="138171.82999999999"/>
    <n v="-8646.61"/>
  </r>
  <r>
    <x v="5"/>
    <x v="3"/>
    <x v="0"/>
    <s v="5502101"/>
    <n v="700064"/>
    <s v="Salaries-Advanced Practice Clinician-Non-Productive"/>
    <s v="Palliative Medicine Tacoma"/>
    <x v="0"/>
    <m/>
    <n v="15692.07"/>
    <n v="14731.07"/>
    <n v="11882.05"/>
    <n v="9547.73"/>
    <n v="7332.56"/>
    <n v="22078.720000000001"/>
    <n v="11719.28"/>
    <n v="12713.58"/>
    <n v="17569.93"/>
    <n v="15395.71"/>
    <n v="22663.33"/>
    <n v="10156.870000000001"/>
    <n v="171482.89999999997"/>
    <n v="12506.460000000001"/>
  </r>
  <r>
    <x v="5"/>
    <x v="3"/>
    <x v="0"/>
    <s v="5502101"/>
    <n v="700064"/>
    <s v="Salaries-Advanced Practice Clinician-Non-Prod-Other"/>
    <s v="Palliative Medicine Tacoma"/>
    <x v="0"/>
    <n v="2000"/>
    <n v="0"/>
    <n v="0"/>
    <n v="0"/>
    <n v="0"/>
    <n v="0"/>
    <n v="0"/>
    <n v="0"/>
    <n v="0"/>
    <n v="0"/>
    <n v="-1571.52"/>
    <n v="-5176.83"/>
    <n v="2022.2"/>
    <n v="-4726.1500000000005"/>
    <n v="-7199.03"/>
  </r>
  <r>
    <x v="5"/>
    <x v="3"/>
    <x v="0"/>
    <s v="5502101"/>
    <n v="700066"/>
    <s v="Salaries-RN-Non-productive"/>
    <s v="Palliative Medicine Tacoma"/>
    <x v="0"/>
    <m/>
    <n v="4608.9399999999996"/>
    <n v="3481.55"/>
    <n v="9697.56"/>
    <n v="-102.78"/>
    <n v="3304.69"/>
    <n v="7536.97"/>
    <n v="4541.8900000000003"/>
    <n v="8217.77"/>
    <n v="-27.78"/>
    <n v="2866.26"/>
    <n v="2561.4299999999998"/>
    <n v="4605.62"/>
    <n v="51292.12"/>
    <n v="-2044.19"/>
  </r>
  <r>
    <x v="5"/>
    <x v="3"/>
    <x v="0"/>
    <s v="5502101"/>
    <n v="700066"/>
    <s v="Salaries-RN-NonProd-Other"/>
    <s v="Palliative Medicine Tacoma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502101"/>
    <n v="700072"/>
    <s v="Salaries-Other Pat Care Providers-Non-productive"/>
    <s v="Palliative Medicine Tacoma"/>
    <x v="0"/>
    <m/>
    <n v="6645.96"/>
    <n v="5823.2"/>
    <n v="-225.44"/>
    <n v="340.69"/>
    <n v="4105.6400000000003"/>
    <n v="3439.77"/>
    <n v="4550.75"/>
    <n v="3262.02"/>
    <n v="3806.2"/>
    <n v="2223.4499999999998"/>
    <n v="703.48"/>
    <n v="5134.41"/>
    <n v="39810.130000000005"/>
    <n v="-4430.93"/>
  </r>
  <r>
    <x v="5"/>
    <x v="3"/>
    <x v="0"/>
    <s v="5502101"/>
    <n v="700072"/>
    <s v="Salaries-Other Pat Care Providers-NonProd-Other"/>
    <s v="Palliative Medicine Tacoma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502101"/>
    <n v="700078"/>
    <s v="Salaries-Service/Support-Non-productive"/>
    <s v="Palliative Medicine Tacoma"/>
    <x v="0"/>
    <m/>
    <n v="191.12"/>
    <n v="2273.6999999999998"/>
    <n v="-244.76"/>
    <n v="563.13"/>
    <n v="417.49"/>
    <n v="804.21"/>
    <n v="1594.12"/>
    <n v="1173.76"/>
    <n v="81.459999999999994"/>
    <n v="626.66999999999996"/>
    <n v="288.72000000000003"/>
    <n v="2105.5100000000002"/>
    <n v="9875.130000000001"/>
    <n v="-1816.7900000000002"/>
  </r>
  <r>
    <x v="5"/>
    <x v="3"/>
    <x v="0"/>
    <s v="5502101"/>
    <n v="700084"/>
    <s v="Accrued PTO"/>
    <s v="Palliative Medicine Tacoma"/>
    <x v="0"/>
    <m/>
    <n v="-2326.5300000000002"/>
    <n v="-1968.84"/>
    <n v="-2571.58"/>
    <n v="6302.14"/>
    <n v="1931.07"/>
    <n v="-1001.29"/>
    <n v="-1636.42"/>
    <n v="-3276.81"/>
    <n v="2837.7"/>
    <n v="2680.23"/>
    <n v="4218.41"/>
    <n v="1444.74"/>
    <n v="6632.82"/>
    <n v="2773.67"/>
  </r>
  <r>
    <x v="6"/>
    <x v="3"/>
    <x v="0"/>
    <s v="5502101"/>
    <n v="713010"/>
    <s v="Benefits-FICA/Medicare"/>
    <s v="Palliative Medicine Tacoma"/>
    <x v="0"/>
    <m/>
    <n v="12568.43"/>
    <n v="12169.27"/>
    <n v="10945.8"/>
    <n v="15036.74"/>
    <n v="10087.530000000001"/>
    <n v="13615.56"/>
    <n v="16025.08"/>
    <n v="13464.51"/>
    <n v="14688.16"/>
    <n v="18731.66"/>
    <n v="19221.55"/>
    <n v="17646.16"/>
    <n v="174200.44999999998"/>
    <n v="1575.3899999999994"/>
  </r>
  <r>
    <x v="6"/>
    <x v="3"/>
    <x v="0"/>
    <s v="5502101"/>
    <n v="713090"/>
    <s v="Benefits-Allocated Amounts"/>
    <s v="Palliative Medicine Tacoma"/>
    <x v="0"/>
    <m/>
    <n v="28002.07"/>
    <n v="27237.19"/>
    <n v="27971.1"/>
    <n v="30173.1"/>
    <n v="27650.81"/>
    <n v="29928.87"/>
    <n v="32594.6"/>
    <n v="30321.97"/>
    <n v="29619.21"/>
    <n v="34608.06"/>
    <n v="35925.68"/>
    <n v="36447.94"/>
    <n v="370480.6"/>
    <n v="-522.26000000000204"/>
  </r>
  <r>
    <x v="7"/>
    <x v="3"/>
    <x v="0"/>
    <s v="5502101"/>
    <n v="718040"/>
    <s v="Contract Svcs-Laboratory"/>
    <s v="Palliative Medicine Tacoma"/>
    <x v="0"/>
    <m/>
    <n v="304.8"/>
    <n v="0"/>
    <n v="0"/>
    <n v="0"/>
    <n v="0"/>
    <n v="0"/>
    <n v="51.2"/>
    <n v="0"/>
    <n v="0"/>
    <n v="0"/>
    <n v="0"/>
    <n v="0"/>
    <n v="356"/>
    <n v="0"/>
  </r>
  <r>
    <x v="7"/>
    <x v="3"/>
    <x v="0"/>
    <s v="5502101"/>
    <n v="718050"/>
    <s v="Miscellaneous Purchased Svcs"/>
    <s v="Palliative Medicine Tacoma"/>
    <x v="0"/>
    <n v="1020"/>
    <n v="0"/>
    <n v="0"/>
    <n v="0"/>
    <n v="0"/>
    <n v="0"/>
    <n v="0"/>
    <n v="0"/>
    <n v="0"/>
    <n v="0"/>
    <n v="0"/>
    <n v="0"/>
    <n v="4024.69"/>
    <n v="4024.69"/>
    <n v="-4024.69"/>
  </r>
  <r>
    <x v="11"/>
    <x v="3"/>
    <x v="0"/>
    <s v="5502101"/>
    <n v="721830"/>
    <s v="Supplies-Office"/>
    <s v="Palliative Medicine Tacoma"/>
    <x v="0"/>
    <m/>
    <n v="0"/>
    <n v="117.63"/>
    <n v="0"/>
    <n v="54.03"/>
    <n v="0"/>
    <n v="0"/>
    <n v="9.9600000000000009"/>
    <n v="880"/>
    <n v="463.43"/>
    <n v="-102.86"/>
    <n v="60.68"/>
    <n v="0"/>
    <n v="1482.8700000000001"/>
    <n v="60.68"/>
  </r>
  <r>
    <x v="11"/>
    <x v="3"/>
    <x v="0"/>
    <s v="5502101"/>
    <n v="721835"/>
    <s v="Supplies-Forms"/>
    <s v="Palliative Medicine Tacoma"/>
    <x v="0"/>
    <m/>
    <n v="0"/>
    <n v="0"/>
    <n v="0"/>
    <n v="0"/>
    <n v="7.65"/>
    <n v="0"/>
    <n v="5"/>
    <n v="0"/>
    <n v="467.06"/>
    <n v="0"/>
    <n v="0"/>
    <n v="0"/>
    <n v="479.71"/>
    <n v="0"/>
  </r>
  <r>
    <x v="11"/>
    <x v="3"/>
    <x v="0"/>
    <s v="5502101"/>
    <n v="721980"/>
    <s v="Supplies-Other"/>
    <s v="Palliative Medicine Tacoma"/>
    <x v="0"/>
    <m/>
    <n v="0"/>
    <n v="148.88999999999999"/>
    <n v="0"/>
    <n v="74.12"/>
    <n v="0"/>
    <n v="0"/>
    <n v="137.6"/>
    <n v="0"/>
    <n v="0"/>
    <n v="0"/>
    <n v="0"/>
    <n v="0"/>
    <n v="360.61"/>
    <n v="0"/>
  </r>
  <r>
    <x v="12"/>
    <x v="3"/>
    <x v="0"/>
    <s v="5502101"/>
    <n v="730020"/>
    <s v="Rental and Leases-Copier Usage Fees (DO NOT USE)"/>
    <s v="Palliative Medicine Tacoma"/>
    <x v="0"/>
    <n v="5100"/>
    <n v="34.44"/>
    <n v="35.64"/>
    <n v="35.04"/>
    <n v="35.04"/>
    <n v="35.04"/>
    <n v="35.04"/>
    <n v="48.86"/>
    <n v="36.380000000000003"/>
    <n v="36.31"/>
    <n v="36.450000000000003"/>
    <n v="36.380000000000003"/>
    <n v="49.06"/>
    <n v="453.67999999999995"/>
    <n v="-12.68"/>
  </r>
  <r>
    <x v="15"/>
    <x v="3"/>
    <x v="0"/>
    <s v="5502101"/>
    <n v="731060"/>
    <s v="Pagers"/>
    <s v="Palliative Medicine Tacoma"/>
    <x v="0"/>
    <n v="1002"/>
    <n v="8.1"/>
    <n v="35.630000000000003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124.91000000000003"/>
    <n v="0"/>
  </r>
  <r>
    <x v="0"/>
    <x v="3"/>
    <x v="0"/>
    <s v="5502101"/>
    <n v="740010"/>
    <s v="Education-Materials"/>
    <s v="Palliative Medicine Tacoma"/>
    <x v="0"/>
    <m/>
    <n v="0"/>
    <n v="0"/>
    <n v="0"/>
    <n v="0"/>
    <n v="0"/>
    <n v="0"/>
    <n v="0"/>
    <n v="0"/>
    <n v="0"/>
    <n v="2016.67"/>
    <n v="0"/>
    <n v="0"/>
    <n v="2016.67"/>
    <n v="0"/>
  </r>
  <r>
    <x v="0"/>
    <x v="3"/>
    <x v="0"/>
    <s v="5502101"/>
    <n v="740020"/>
    <s v="Education-Registration Fees"/>
    <s v="Palliative Medicine Tacoma"/>
    <x v="0"/>
    <m/>
    <n v="0"/>
    <n v="0"/>
    <n v="0"/>
    <n v="0"/>
    <n v="0"/>
    <n v="0"/>
    <n v="0"/>
    <n v="400"/>
    <n v="0"/>
    <n v="575"/>
    <n v="0"/>
    <n v="0"/>
    <n v="975"/>
    <n v="0"/>
  </r>
  <r>
    <x v="0"/>
    <x v="3"/>
    <x v="0"/>
    <s v="5502101"/>
    <n v="740022"/>
    <s v="Education-Physician"/>
    <s v="Palliative Medicine Tacoma"/>
    <x v="0"/>
    <m/>
    <n v="0"/>
    <n v="0"/>
    <n v="895"/>
    <n v="0"/>
    <n v="333.75"/>
    <n v="0"/>
    <n v="0"/>
    <n v="1045"/>
    <n v="1927"/>
    <n v="1395"/>
    <n v="375"/>
    <n v="525"/>
    <n v="6495.75"/>
    <n v="-150"/>
  </r>
  <r>
    <x v="0"/>
    <x v="3"/>
    <x v="0"/>
    <s v="5502101"/>
    <n v="740022"/>
    <s v="Education Travel-Physician"/>
    <s v="Palliative Medicine Tacoma"/>
    <x v="0"/>
    <n v="2001"/>
    <n v="0"/>
    <n v="0"/>
    <n v="0"/>
    <n v="0"/>
    <n v="0"/>
    <n v="0"/>
    <n v="0"/>
    <n v="0"/>
    <n v="0"/>
    <n v="293.24"/>
    <n v="0"/>
    <n v="0"/>
    <n v="293.24"/>
    <n v="0"/>
  </r>
  <r>
    <x v="0"/>
    <x v="3"/>
    <x v="0"/>
    <s v="5502101"/>
    <n v="740023"/>
    <s v="Education-Advanced Practice Clinician"/>
    <s v="Palliative Medicine Tacoma"/>
    <x v="0"/>
    <m/>
    <n v="0"/>
    <n v="0"/>
    <n v="2945.29"/>
    <n v="0"/>
    <n v="4035"/>
    <n v="0"/>
    <n v="1020"/>
    <n v="0"/>
    <n v="0"/>
    <n v="2500"/>
    <n v="433.88"/>
    <n v="0"/>
    <n v="10934.17"/>
    <n v="433.88"/>
  </r>
  <r>
    <x v="8"/>
    <x v="3"/>
    <x v="0"/>
    <s v="5502101"/>
    <n v="741012"/>
    <s v="Physician Liab Insurance-CHI Program"/>
    <s v="Palliative Medicine Tacoma"/>
    <x v="0"/>
    <m/>
    <n v="1373.64"/>
    <n v="1373.64"/>
    <n v="1373.64"/>
    <n v="1373.64"/>
    <n v="1373.64"/>
    <n v="1373.62"/>
    <n v="1373.64"/>
    <n v="1373.62"/>
    <n v="1373.64"/>
    <n v="2410.62"/>
    <n v="2410.65"/>
    <n v="2410.62"/>
    <n v="19594.609999999997"/>
    <n v="3.0000000000200089E-2"/>
  </r>
  <r>
    <x v="0"/>
    <x v="3"/>
    <x v="0"/>
    <s v="5502101"/>
    <n v="743020"/>
    <s v="Provider-Dues"/>
    <s v="Palliative Medicine Tacoma"/>
    <x v="0"/>
    <n v="2200"/>
    <n v="0"/>
    <n v="0"/>
    <n v="0"/>
    <n v="0"/>
    <n v="0"/>
    <n v="0"/>
    <n v="0"/>
    <n v="1355"/>
    <n v="0"/>
    <n v="0"/>
    <n v="0"/>
    <n v="0"/>
    <n v="1355"/>
    <n v="0"/>
  </r>
  <r>
    <x v="0"/>
    <x v="3"/>
    <x v="0"/>
    <s v="5502101"/>
    <n v="743022"/>
    <s v="Dues-Physician"/>
    <s v="Palliative Medicine Tacoma"/>
    <x v="0"/>
    <m/>
    <n v="0"/>
    <n v="0"/>
    <n v="0"/>
    <n v="0"/>
    <n v="0"/>
    <n v="140"/>
    <n v="0"/>
    <n v="1355"/>
    <n v="535"/>
    <n v="0"/>
    <n v="0"/>
    <n v="535"/>
    <n v="2565"/>
    <n v="-535"/>
  </r>
  <r>
    <x v="0"/>
    <x v="3"/>
    <x v="0"/>
    <s v="5502101"/>
    <n v="743023"/>
    <s v="Dues-Advanced Practice Clinician"/>
    <s v="Palliative Medicine Tacoma"/>
    <x v="0"/>
    <m/>
    <n v="0"/>
    <n v="0"/>
    <n v="0"/>
    <n v="0"/>
    <n v="0"/>
    <n v="0"/>
    <n v="0"/>
    <n v="0"/>
    <n v="210"/>
    <n v="0"/>
    <n v="380"/>
    <n v="360"/>
    <n v="950"/>
    <n v="20"/>
  </r>
  <r>
    <x v="0"/>
    <x v="3"/>
    <x v="0"/>
    <s v="5502101"/>
    <n v="743030"/>
    <s v="Subscriptions--Institutional"/>
    <s v="Palliative Medicine Tacoma"/>
    <x v="0"/>
    <m/>
    <n v="0"/>
    <n v="0"/>
    <n v="0"/>
    <n v="0"/>
    <n v="0"/>
    <n v="0"/>
    <n v="0"/>
    <n v="0"/>
    <n v="0"/>
    <n v="311.64999999999998"/>
    <n v="925.21"/>
    <n v="0"/>
    <n v="1236.8600000000001"/>
    <n v="925.21"/>
  </r>
  <r>
    <x v="0"/>
    <x v="3"/>
    <x v="0"/>
    <s v="5502101"/>
    <n v="743042"/>
    <s v="Subscriptions-Physician"/>
    <s v="Palliative Medicine Tacoma"/>
    <x v="0"/>
    <m/>
    <n v="1503.43"/>
    <n v="0"/>
    <n v="348"/>
    <n v="67.86"/>
    <n v="0"/>
    <n v="0"/>
    <n v="0"/>
    <n v="0"/>
    <n v="0"/>
    <n v="0"/>
    <n v="0"/>
    <n v="989"/>
    <n v="2908.29"/>
    <n v="-989"/>
  </r>
  <r>
    <x v="0"/>
    <x v="3"/>
    <x v="0"/>
    <s v="5502101"/>
    <n v="743043"/>
    <s v="Subscriptions-Advanced Practice Clinician"/>
    <s v="Palliative Medicine Tacoma"/>
    <x v="0"/>
    <m/>
    <n v="0"/>
    <n v="0"/>
    <n v="0"/>
    <n v="0"/>
    <n v="0"/>
    <n v="0"/>
    <n v="0"/>
    <n v="0"/>
    <n v="322.33"/>
    <n v="1259.92"/>
    <n v="0"/>
    <n v="1485.5"/>
    <n v="3067.75"/>
    <n v="-1485.5"/>
  </r>
  <r>
    <x v="0"/>
    <x v="3"/>
    <x v="0"/>
    <s v="5502101"/>
    <n v="749510"/>
    <s v="Miscellaneous Expenses"/>
    <s v="Palliative Medicine Tacoma"/>
    <x v="0"/>
    <m/>
    <n v="-1565.43"/>
    <n v="0"/>
    <n v="1715.98"/>
    <n v="-1465.98"/>
    <n v="-250"/>
    <n v="0"/>
    <n v="481"/>
    <n v="264"/>
    <n v="-745"/>
    <n v="913.88"/>
    <n v="782.63"/>
    <n v="-226.51"/>
    <n v="-95.430000000000064"/>
    <n v="1009.14"/>
  </r>
  <r>
    <x v="0"/>
    <x v="3"/>
    <x v="0"/>
    <s v="5502101"/>
    <n v="749512"/>
    <s v="Licenses-Physician"/>
    <s v="Palliative Medicine Tacoma"/>
    <x v="0"/>
    <n v="2000"/>
    <n v="0"/>
    <n v="0"/>
    <n v="0"/>
    <n v="731"/>
    <n v="0"/>
    <n v="0"/>
    <n v="0"/>
    <n v="657"/>
    <n v="0"/>
    <n v="0"/>
    <n v="0"/>
    <n v="657"/>
    <n v="2045"/>
    <n v="-657"/>
  </r>
  <r>
    <x v="0"/>
    <x v="3"/>
    <x v="0"/>
    <s v="5502101"/>
    <n v="749513"/>
    <s v="Licenses-Advanced Practice Clinician"/>
    <s v="Palliative Medicine Tacoma"/>
    <x v="0"/>
    <n v="2000"/>
    <n v="0"/>
    <n v="0"/>
    <n v="245"/>
    <n v="372.5"/>
    <n v="370"/>
    <n v="0"/>
    <n v="0"/>
    <n v="731"/>
    <n v="120"/>
    <n v="0"/>
    <n v="120"/>
    <n v="0"/>
    <n v="1958.5"/>
    <n v="120"/>
  </r>
  <r>
    <x v="0"/>
    <x v="3"/>
    <x v="0"/>
    <s v="5502101"/>
    <n v="749530"/>
    <s v="Travel"/>
    <s v="Palliative Medicine Tacoma"/>
    <x v="0"/>
    <m/>
    <n v="0"/>
    <n v="0"/>
    <n v="0"/>
    <n v="6"/>
    <n v="0"/>
    <n v="5"/>
    <n v="5"/>
    <n v="5"/>
    <n v="20"/>
    <n v="5"/>
    <n v="0"/>
    <n v="0"/>
    <n v="46"/>
    <n v="0"/>
  </r>
  <r>
    <x v="0"/>
    <x v="3"/>
    <x v="0"/>
    <s v="5502101"/>
    <n v="749530"/>
    <s v="Mileage"/>
    <s v="Palliative Medicine Tacoma"/>
    <x v="0"/>
    <n v="1001"/>
    <n v="89.93"/>
    <n v="79.569999999999993"/>
    <n v="99.74"/>
    <n v="180.41"/>
    <n v="367.89"/>
    <n v="693.26"/>
    <n v="602.62"/>
    <n v="873.48"/>
    <n v="596.82000000000005"/>
    <n v="508.66"/>
    <n v="428.62"/>
    <n v="1046.9000000000001"/>
    <n v="5567.9"/>
    <n v="-618.28000000000009"/>
  </r>
  <r>
    <x v="0"/>
    <x v="3"/>
    <x v="0"/>
    <s v="5502101"/>
    <n v="749532"/>
    <s v="Travel-Physician"/>
    <s v="Palliative Medicine Tacoma"/>
    <x v="0"/>
    <m/>
    <n v="0"/>
    <n v="0"/>
    <n v="1148.51"/>
    <n v="0"/>
    <n v="244.64"/>
    <n v="0"/>
    <n v="0"/>
    <n v="2826.22"/>
    <n v="0"/>
    <n v="0"/>
    <n v="444.8"/>
    <n v="1216.6600000000001"/>
    <n v="5880.83"/>
    <n v="-771.86000000000013"/>
  </r>
  <r>
    <x v="0"/>
    <x v="3"/>
    <x v="0"/>
    <s v="5502101"/>
    <n v="749532"/>
    <s v="Vehicle Expense-Physician"/>
    <s v="Palliative Medicine Tacoma"/>
    <x v="0"/>
    <n v="2001"/>
    <n v="0"/>
    <n v="0"/>
    <n v="0"/>
    <n v="0"/>
    <n v="0"/>
    <n v="0"/>
    <n v="0"/>
    <n v="0"/>
    <n v="0"/>
    <n v="176.32"/>
    <n v="139.19999999999999"/>
    <n v="83.52"/>
    <n v="399.03999999999996"/>
    <n v="55.679999999999993"/>
  </r>
  <r>
    <x v="0"/>
    <x v="3"/>
    <x v="0"/>
    <s v="5502101"/>
    <n v="749533"/>
    <s v="Travel-Advanced Practice Clinician"/>
    <s v="Palliative Medicine Tacoma"/>
    <x v="0"/>
    <m/>
    <n v="0"/>
    <n v="0"/>
    <n v="0"/>
    <n v="1448.53"/>
    <n v="0"/>
    <n v="5"/>
    <n v="818.88"/>
    <n v="481"/>
    <n v="66.48"/>
    <n v="2034.79"/>
    <n v="5"/>
    <n v="147.85"/>
    <n v="5007.5300000000007"/>
    <n v="-142.85"/>
  </r>
  <r>
    <x v="0"/>
    <x v="3"/>
    <x v="0"/>
    <s v="5502101"/>
    <n v="749533"/>
    <s v="Vehicle Expense-Advanced Practice Clinician"/>
    <s v="Palliative Medicine Tacoma"/>
    <x v="0"/>
    <n v="2001"/>
    <n v="12"/>
    <n v="0"/>
    <n v="0"/>
    <n v="49.61"/>
    <n v="0"/>
    <n v="34.880000000000003"/>
    <n v="0"/>
    <n v="0"/>
    <n v="0"/>
    <n v="0"/>
    <n v="20.3"/>
    <n v="17.98"/>
    <n v="134.77000000000001"/>
    <n v="2.3200000000000003"/>
  </r>
  <r>
    <x v="9"/>
    <x v="3"/>
    <x v="0"/>
    <s v="5502101"/>
    <n v="800015"/>
    <s v="Interest Income-Ext to CHI"/>
    <s v="Palliative Medicine Tacoma"/>
    <x v="0"/>
    <m/>
    <n v="-40.82"/>
    <n v="-61.84"/>
    <n v="-85.58"/>
    <n v="-107.03"/>
    <n v="-98.56"/>
    <n v="-96.67"/>
    <n v="-91.51"/>
    <n v="-77.97"/>
    <n v="-81.14"/>
    <n v="-137.62"/>
    <n v="-176.62"/>
    <n v="-161.44999999999999"/>
    <n v="-1216.8100000000002"/>
    <n v="-15.170000000000016"/>
  </r>
  <r>
    <x v="5"/>
    <x v="3"/>
    <x v="0"/>
    <s v="5503101"/>
    <n v="700024"/>
    <s v="Salaries-Advanced Practice Clinician-Productive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503101"/>
    <n v="700064"/>
    <s v="Salaries-Advanced Practice Clinician-Non-Productive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503101"/>
    <n v="700084"/>
    <s v="Accrued PTO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5503101"/>
    <n v="713010"/>
    <s v="Benefits-FICA/Medicare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5503101"/>
    <n v="713090"/>
    <s v="Benefits-Allocated Amounts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7"/>
    <x v="3"/>
    <x v="0"/>
    <s v="5503101"/>
    <n v="718050"/>
    <s v="Printing"/>
    <s v="Palliative Care Outreach"/>
    <x v="0"/>
    <n v="1021"/>
    <n v="0"/>
    <n v="0"/>
    <n v="0"/>
    <n v="0"/>
    <n v="0"/>
    <n v="0"/>
    <n v="0"/>
    <n v="0"/>
    <n v="0"/>
    <n v="0"/>
    <n v="0"/>
    <n v="0"/>
    <n v="0"/>
    <n v="0"/>
  </r>
  <r>
    <x v="7"/>
    <x v="3"/>
    <x v="0"/>
    <s v="5503101"/>
    <n v="718050"/>
    <s v="Translation Services"/>
    <s v="Palliative Care Outreach"/>
    <x v="0"/>
    <n v="1025"/>
    <n v="0"/>
    <n v="0"/>
    <n v="0"/>
    <n v="0"/>
    <n v="0"/>
    <n v="0"/>
    <n v="0"/>
    <n v="0"/>
    <n v="0"/>
    <n v="0"/>
    <n v="0"/>
    <n v="0"/>
    <n v="0"/>
    <n v="0"/>
  </r>
  <r>
    <x v="12"/>
    <x v="3"/>
    <x v="0"/>
    <s v="5503101"/>
    <n v="730020"/>
    <s v="Rental and Leases-Copier Usage Fees (DO NOT USE)"/>
    <s v="Palliative Care Outreach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5503101"/>
    <n v="740020"/>
    <s v="Education-Registration Fees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5503101"/>
    <n v="740023"/>
    <s v="Education-Advanced Practice Clinician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5503101"/>
    <n v="749510"/>
    <s v="Miscellaneous Expenses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5503101"/>
    <n v="749530"/>
    <s v="Travel"/>
    <s v="Palliative Care Outreach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5503101"/>
    <n v="749530"/>
    <s v="Mileage"/>
    <s v="Palliative Care Outreach"/>
    <x v="0"/>
    <n v="1001"/>
    <n v="0"/>
    <n v="0"/>
    <n v="0"/>
    <n v="0"/>
    <n v="0"/>
    <n v="0"/>
    <n v="0"/>
    <n v="0"/>
    <n v="0"/>
    <n v="0"/>
    <n v="0"/>
    <n v="0"/>
    <n v="0"/>
    <n v="0"/>
  </r>
  <r>
    <x v="1"/>
    <x v="3"/>
    <x v="0"/>
    <s v="5504101"/>
    <n v="400040"/>
    <s v="Physician Svcs Rev--Medicare"/>
    <s v="Palliative Medicine Bremerton"/>
    <x v="0"/>
    <n v="1100"/>
    <n v="-353"/>
    <n v="0"/>
    <n v="0"/>
    <n v="0"/>
    <n v="0"/>
    <n v="0"/>
    <n v="0"/>
    <n v="0"/>
    <n v="0"/>
    <n v="0"/>
    <n v="0"/>
    <n v="0"/>
    <n v="-353"/>
    <n v="0"/>
  </r>
  <r>
    <x v="2"/>
    <x v="3"/>
    <x v="0"/>
    <s v="5504101"/>
    <n v="450040"/>
    <s v="Contr Allow--Phys Svcs--Mcare"/>
    <s v="Palliative Medicine Bremerton"/>
    <x v="0"/>
    <n v="1100"/>
    <n v="401.03"/>
    <n v="259.85000000000002"/>
    <n v="548"/>
    <n v="0"/>
    <n v="-190.33"/>
    <n v="63.85"/>
    <n v="40.630000000000003"/>
    <n v="-342.9"/>
    <n v="0"/>
    <n v="0"/>
    <n v="175.39"/>
    <n v="0"/>
    <n v="955.52000000000021"/>
    <n v="175.39"/>
  </r>
  <r>
    <x v="2"/>
    <x v="3"/>
    <x v="0"/>
    <s v="5504101"/>
    <n v="450040"/>
    <s v="Contr Allow--Phys Svcs--Mcaid"/>
    <s v="Palliative Medicine Bremerton"/>
    <x v="0"/>
    <n v="1200"/>
    <n v="0"/>
    <n v="0"/>
    <n v="0"/>
    <n v="0"/>
    <n v="0"/>
    <n v="731.17"/>
    <n v="0"/>
    <n v="0"/>
    <n v="0"/>
    <n v="0"/>
    <n v="0"/>
    <n v="0"/>
    <n v="731.17"/>
    <n v="0"/>
  </r>
  <r>
    <x v="2"/>
    <x v="3"/>
    <x v="0"/>
    <s v="5504101"/>
    <n v="450040"/>
    <s v="Contr Allow--Phys Svcs--Managed Care"/>
    <s v="Palliative Medicine Bremerton"/>
    <x v="0"/>
    <n v="1400"/>
    <n v="0"/>
    <n v="0"/>
    <n v="0"/>
    <n v="0"/>
    <n v="0"/>
    <n v="0"/>
    <n v="0"/>
    <n v="-871.81"/>
    <n v="0"/>
    <n v="0"/>
    <n v="0"/>
    <n v="0"/>
    <n v="-871.81"/>
    <n v="0"/>
  </r>
  <r>
    <x v="2"/>
    <x v="3"/>
    <x v="0"/>
    <s v="5504101"/>
    <n v="450040"/>
    <s v="Contr Allow--Phys Svcs--BCBS Mgnd Care"/>
    <s v="Palliative Medicine Bremerton"/>
    <x v="0"/>
    <n v="1401"/>
    <n v="-252.75"/>
    <n v="-93.77"/>
    <n v="-512.29"/>
    <n v="-19.579999999999998"/>
    <n v="181.19"/>
    <n v="164.7"/>
    <n v="-3.49"/>
    <n v="-289.89"/>
    <n v="-280.19"/>
    <n v="480.9"/>
    <n v="-231.41"/>
    <n v="-3.33"/>
    <n v="-859.91"/>
    <n v="-228.07999999999998"/>
  </r>
  <r>
    <x v="2"/>
    <x v="3"/>
    <x v="0"/>
    <s v="5504101"/>
    <n v="450040"/>
    <s v="Prompt Pay Disc-Phys Svcs-Self Pay"/>
    <s v="Palliative Medicine Bremerton"/>
    <x v="0"/>
    <n v="1500"/>
    <n v="0"/>
    <n v="0"/>
    <n v="348.13"/>
    <n v="0"/>
    <n v="0"/>
    <n v="0"/>
    <n v="0"/>
    <n v="0"/>
    <n v="0"/>
    <n v="0"/>
    <n v="0"/>
    <n v="0"/>
    <n v="348.13"/>
    <n v="0"/>
  </r>
  <r>
    <x v="2"/>
    <x v="3"/>
    <x v="0"/>
    <s v="5504101"/>
    <n v="450040"/>
    <s v="Admin Adjust-Phys Svcs-Self Pay"/>
    <s v="Palliative Medicine Bremerton"/>
    <x v="0"/>
    <n v="1600"/>
    <n v="0"/>
    <n v="15.57"/>
    <n v="-102.42"/>
    <n v="1.69"/>
    <n v="0"/>
    <n v="-938"/>
    <n v="0"/>
    <n v="0"/>
    <n v="0"/>
    <n v="-905"/>
    <n v="0"/>
    <n v="0"/>
    <n v="-1928.1599999999999"/>
    <n v="0"/>
  </r>
  <r>
    <x v="2"/>
    <x v="3"/>
    <x v="0"/>
    <s v="5504101"/>
    <n v="450040"/>
    <s v="Contr Allow--Phys Svcs--Other"/>
    <s v="Palliative Medicine Bremerton"/>
    <x v="0"/>
    <n v="1700"/>
    <n v="0"/>
    <n v="0"/>
    <n v="0"/>
    <n v="0"/>
    <n v="0"/>
    <n v="0"/>
    <n v="0"/>
    <n v="241.47"/>
    <n v="329.32"/>
    <n v="0"/>
    <n v="125.3"/>
    <n v="0"/>
    <n v="696.08999999999992"/>
    <n v="125.3"/>
  </r>
  <r>
    <x v="3"/>
    <x v="3"/>
    <x v="0"/>
    <s v="5504101"/>
    <n v="470040"/>
    <s v="Charity Care-Physician Svcs"/>
    <s v="Palliative Medicine Bremerton"/>
    <x v="0"/>
    <m/>
    <n v="-11.47"/>
    <n v="4.67"/>
    <n v="-20.93"/>
    <n v="-0.89"/>
    <n v="7.28"/>
    <n v="2.3199999999999998"/>
    <n v="-1.28"/>
    <n v="-10.3"/>
    <n v="-6.32"/>
    <n v="14.45"/>
    <n v="-9.5299999999999994"/>
    <n v="3.25"/>
    <n v="-28.75"/>
    <n v="-12.78"/>
  </r>
  <r>
    <x v="4"/>
    <x v="3"/>
    <x v="0"/>
    <s v="5504101"/>
    <n v="490010"/>
    <s v="Provision for Bad Debts"/>
    <s v="Palliative Medicine Bremerton"/>
    <x v="0"/>
    <m/>
    <n v="-53.68"/>
    <n v="-15.82"/>
    <n v="-75.58"/>
    <n v="18.37"/>
    <n v="27.43"/>
    <n v="12.89"/>
    <n v="12.69"/>
    <n v="329.58"/>
    <n v="-25.28"/>
    <n v="62.49"/>
    <n v="-35.18"/>
    <n v="3.64"/>
    <n v="261.54999999999995"/>
    <n v="-38.82"/>
  </r>
  <r>
    <x v="11"/>
    <x v="3"/>
    <x v="0"/>
    <s v="5504101"/>
    <n v="721830"/>
    <s v="Supplies-Office"/>
    <s v="Palliative Medicine Bremerton"/>
    <x v="0"/>
    <m/>
    <n v="0"/>
    <n v="55.31"/>
    <n v="0"/>
    <n v="0"/>
    <n v="57.53"/>
    <n v="0"/>
    <n v="258.77"/>
    <n v="76.94"/>
    <n v="0"/>
    <n v="55.8"/>
    <n v="0"/>
    <n v="0"/>
    <n v="504.35"/>
    <n v="0"/>
  </r>
  <r>
    <x v="12"/>
    <x v="3"/>
    <x v="0"/>
    <s v="5504101"/>
    <n v="730020"/>
    <s v="Rental and Leases-Copier Usage Fees (DO NOT USE)"/>
    <s v="Palliative Medicine Bremerton"/>
    <x v="0"/>
    <n v="5100"/>
    <n v="6.31"/>
    <n v="5.0599999999999996"/>
    <n v="5.68"/>
    <n v="5.68"/>
    <n v="5.68"/>
    <n v="5.68"/>
    <n v="-73.819999999999993"/>
    <n v="0"/>
    <n v="0"/>
    <n v="0"/>
    <n v="0"/>
    <n v="0"/>
    <n v="-39.729999999999997"/>
    <n v="0"/>
  </r>
  <r>
    <x v="15"/>
    <x v="3"/>
    <x v="0"/>
    <s v="5504101"/>
    <n v="731060"/>
    <s v="Pagers"/>
    <s v="Palliative Medicine Bremerton"/>
    <x v="0"/>
    <n v="1002"/>
    <n v="40.5"/>
    <n v="40.5"/>
    <n v="40.5"/>
    <n v="40.6"/>
    <n v="40.6"/>
    <n v="0"/>
    <n v="81.2"/>
    <n v="40.6"/>
    <n v="40.6"/>
    <n v="40.6"/>
    <n v="40.6"/>
    <n v="40.6"/>
    <n v="486.90000000000009"/>
    <n v="0"/>
  </r>
  <r>
    <x v="3"/>
    <x v="3"/>
    <x v="0"/>
    <s v="5550101"/>
    <n v="470020"/>
    <s v="Charity Care-O/P Care Svcs"/>
    <s v="Franciscan Home Medical Supply"/>
    <x v="0"/>
    <m/>
    <n v="1231.43"/>
    <n v="3476.91"/>
    <n v="372.68"/>
    <n v="835.97"/>
    <n v="2332.27"/>
    <n v="489.64"/>
    <n v="1663.13"/>
    <n v="353.57"/>
    <n v="176.48"/>
    <n v="2575.59"/>
    <n v="2974.74"/>
    <n v="325.58"/>
    <n v="16807.989999999998"/>
    <n v="2649.16"/>
  </r>
  <r>
    <x v="14"/>
    <x v="3"/>
    <x v="0"/>
    <s v="5550101"/>
    <n v="600032"/>
    <s v="DME Revenue"/>
    <s v="Franciscan Home Medical Supply"/>
    <x v="0"/>
    <m/>
    <n v="-303429.53999999998"/>
    <n v="-246452.45"/>
    <n v="-246605.49"/>
    <n v="-291630.74"/>
    <n v="-281258.53000000003"/>
    <n v="-262574.59999999998"/>
    <n v="-263747.99"/>
    <n v="-233502.66"/>
    <n v="-256803.14"/>
    <n v="-269479.2"/>
    <n v="-314870.99"/>
    <n v="-266618.90000000002"/>
    <n v="-3236974.23"/>
    <n v="-48252.089999999967"/>
  </r>
  <r>
    <x v="14"/>
    <x v="3"/>
    <x v="0"/>
    <s v="5550101"/>
    <n v="600032"/>
    <s v="Deductions From Revenue--DME"/>
    <s v="Franciscan Home Medical Supply"/>
    <x v="0"/>
    <n v="4900"/>
    <n v="90798.07"/>
    <n v="41416.639999999999"/>
    <n v="44276.75"/>
    <n v="81800.31"/>
    <n v="36662.839999999997"/>
    <n v="92547.94"/>
    <n v="259331.85"/>
    <n v="48255.06"/>
    <n v="70458.67"/>
    <n v="60684.43"/>
    <n v="57460.19"/>
    <n v="60588.4"/>
    <n v="944281.15"/>
    <n v="-3128.2099999999991"/>
  </r>
  <r>
    <x v="5"/>
    <x v="3"/>
    <x v="0"/>
    <s v="5550101"/>
    <n v="700018"/>
    <s v="Salaries-Supervisory-Productive"/>
    <s v="Franciscan Home Medical Supply"/>
    <x v="0"/>
    <m/>
    <n v="5510.21"/>
    <n v="7174.73"/>
    <n v="4633.3900000000003"/>
    <n v="6510.4"/>
    <n v="6300.86"/>
    <n v="4317.51"/>
    <n v="7198.59"/>
    <n v="6543.98"/>
    <n v="6731.02"/>
    <n v="7198.18"/>
    <n v="7245.16"/>
    <n v="5048.37"/>
    <n v="74412.399999999994"/>
    <n v="2196.79"/>
  </r>
  <r>
    <x v="5"/>
    <x v="3"/>
    <x v="0"/>
    <s v="5550101"/>
    <n v="700032"/>
    <s v="Salaries-Other Pat Care Providers-Productive"/>
    <s v="Franciscan Home Medical Supply"/>
    <x v="0"/>
    <m/>
    <n v="885.85"/>
    <n v="1603.53"/>
    <n v="1427.29"/>
    <n v="1182.06"/>
    <n v="1237.51"/>
    <n v="1321.21"/>
    <n v="1387.45"/>
    <n v="1100.6300000000001"/>
    <n v="2013.03"/>
    <n v="1106.67"/>
    <n v="1087.58"/>
    <n v="2077.16"/>
    <n v="16429.97"/>
    <n v="-989.57999999999993"/>
  </r>
  <r>
    <x v="5"/>
    <x v="3"/>
    <x v="0"/>
    <s v="5550101"/>
    <n v="700032"/>
    <s v="Salaries-Other Pat Care Providers-OT"/>
    <s v="Franciscan Home Medical Supply"/>
    <x v="0"/>
    <n v="1000"/>
    <n v="0"/>
    <n v="151.04"/>
    <n v="-45.3"/>
    <n v="-187.81"/>
    <n v="82.63"/>
    <n v="0"/>
    <n v="0"/>
    <n v="0"/>
    <n v="0"/>
    <n v="0"/>
    <n v="0"/>
    <n v="0"/>
    <n v="0.55999999999998806"/>
    <n v="0"/>
  </r>
  <r>
    <x v="5"/>
    <x v="3"/>
    <x v="0"/>
    <s v="5550101"/>
    <n v="700032"/>
    <s v="Salaries-Other Pat Care Providers-Other"/>
    <s v="Franciscan Home Medical Supply"/>
    <x v="0"/>
    <n v="2000"/>
    <n v="0"/>
    <n v="21.42"/>
    <n v="-6.42"/>
    <n v="-26.78"/>
    <n v="11.78"/>
    <n v="0"/>
    <n v="0"/>
    <n v="0"/>
    <n v="0"/>
    <n v="0"/>
    <n v="0"/>
    <n v="0"/>
    <n v="0"/>
    <n v="0"/>
  </r>
  <r>
    <x v="5"/>
    <x v="3"/>
    <x v="0"/>
    <s v="5550101"/>
    <n v="700038"/>
    <s v="Salaries-Service/Support-Productive"/>
    <s v="Franciscan Home Medical Supply"/>
    <x v="0"/>
    <m/>
    <n v="33973.910000000003"/>
    <n v="32668.7"/>
    <n v="31655.66"/>
    <n v="32157.52"/>
    <n v="35485.17"/>
    <n v="29970.51"/>
    <n v="30433.69"/>
    <n v="32341.96"/>
    <n v="36965.599999999999"/>
    <n v="39724.36"/>
    <n v="42908.24"/>
    <n v="35601.01"/>
    <n v="413886.33"/>
    <n v="7307.2299999999959"/>
  </r>
  <r>
    <x v="5"/>
    <x v="3"/>
    <x v="0"/>
    <s v="5550101"/>
    <n v="700038"/>
    <s v="Salaries-Service/Support-OT"/>
    <s v="Franciscan Home Medical Supply"/>
    <x v="0"/>
    <n v="1000"/>
    <n v="95.4"/>
    <n v="-16.82"/>
    <n v="0"/>
    <n v="33.75"/>
    <n v="44.32"/>
    <n v="-7.55"/>
    <n v="-1.22"/>
    <n v="28.31"/>
    <n v="21.89"/>
    <n v="196.3"/>
    <n v="-35.549999999999997"/>
    <n v="81.92"/>
    <n v="440.75"/>
    <n v="-117.47"/>
  </r>
  <r>
    <x v="5"/>
    <x v="3"/>
    <x v="0"/>
    <s v="5550101"/>
    <n v="700038"/>
    <s v="Salaries-Service/Support-Other"/>
    <s v="Franciscan Home Medical Supply"/>
    <x v="0"/>
    <n v="2000"/>
    <n v="2339.4899999999998"/>
    <n v="2389.7600000000002"/>
    <n v="1934.86"/>
    <n v="2484.37"/>
    <n v="2354.8200000000002"/>
    <n v="2077.46"/>
    <n v="2732.22"/>
    <n v="1867.76"/>
    <n v="2520.96"/>
    <n v="2785.88"/>
    <n v="2323.1999999999998"/>
    <n v="2906.67"/>
    <n v="28717.449999999997"/>
    <n v="-583.47000000000025"/>
  </r>
  <r>
    <x v="5"/>
    <x v="3"/>
    <x v="0"/>
    <s v="5550101"/>
    <n v="700054"/>
    <s v="Salaries-Management-NonProd-Other"/>
    <s v="Franciscan Home Medical Supply"/>
    <x v="0"/>
    <n v="2000"/>
    <n v="0"/>
    <n v="0"/>
    <n v="0"/>
    <n v="0"/>
    <n v="0"/>
    <n v="255.58"/>
    <n v="-255.58"/>
    <n v="0"/>
    <n v="0"/>
    <n v="0"/>
    <n v="0"/>
    <n v="0"/>
    <n v="0"/>
    <n v="0"/>
  </r>
  <r>
    <x v="5"/>
    <x v="3"/>
    <x v="0"/>
    <s v="5550101"/>
    <n v="700058"/>
    <s v="Salaries-Supervisory-Non-productive"/>
    <s v="Franciscan Home Medical Supply"/>
    <x v="0"/>
    <m/>
    <n v="1461.86"/>
    <n v="-202.34"/>
    <n v="2114.16"/>
    <n v="673.42"/>
    <n v="700.09"/>
    <n v="2917.06"/>
    <n v="47.26"/>
    <n v="0"/>
    <n v="514.13"/>
    <n v="-186.94"/>
    <n v="0"/>
    <n v="1963.18"/>
    <n v="10001.879999999999"/>
    <n v="-1963.18"/>
  </r>
  <r>
    <x v="5"/>
    <x v="3"/>
    <x v="0"/>
    <s v="5550101"/>
    <n v="700078"/>
    <s v="Salaries-Service/Support-Non-productive"/>
    <s v="Franciscan Home Medical Supply"/>
    <x v="0"/>
    <m/>
    <n v="6877.79"/>
    <n v="5689.77"/>
    <n v="6103.24"/>
    <n v="5274.62"/>
    <n v="3360.63"/>
    <n v="7750.14"/>
    <n v="5274.97"/>
    <n v="4265.72"/>
    <n v="2087.5"/>
    <n v="469.71"/>
    <n v="2502.9299999999998"/>
    <n v="6184.48"/>
    <n v="55841.5"/>
    <n v="-3681.5499999999997"/>
  </r>
  <r>
    <x v="5"/>
    <x v="3"/>
    <x v="0"/>
    <s v="5550101"/>
    <n v="700078"/>
    <s v="Salaries-Service/Support-NonProd-Other"/>
    <s v="Franciscan Home Medical Supply"/>
    <x v="0"/>
    <n v="2000"/>
    <n v="4.68"/>
    <n v="0"/>
    <n v="219.11"/>
    <n v="-79.67"/>
    <n v="520.84"/>
    <n v="-65.5"/>
    <n v="75.63"/>
    <n v="-369.58"/>
    <n v="31.81"/>
    <n v="-7.41"/>
    <n v="0"/>
    <n v="0"/>
    <n v="329.91"/>
    <n v="0"/>
  </r>
  <r>
    <x v="5"/>
    <x v="3"/>
    <x v="0"/>
    <s v="5550101"/>
    <n v="700084"/>
    <s v="Accrued PTO"/>
    <s v="Franciscan Home Medical Supply"/>
    <x v="0"/>
    <m/>
    <n v="-3230.24"/>
    <n v="324.02999999999997"/>
    <n v="-2577.62"/>
    <n v="2104.35"/>
    <n v="1879.15"/>
    <n v="-3098.85"/>
    <n v="-2545.17"/>
    <n v="615.69000000000005"/>
    <n v="3365.01"/>
    <n v="3589.45"/>
    <n v="3128.44"/>
    <n v="-237.59"/>
    <n v="3316.65"/>
    <n v="3366.03"/>
  </r>
  <r>
    <x v="6"/>
    <x v="3"/>
    <x v="0"/>
    <s v="5550101"/>
    <n v="713010"/>
    <s v="Benefits-FICA/Medicare"/>
    <s v="Franciscan Home Medical Supply"/>
    <x v="0"/>
    <m/>
    <n v="3735.47"/>
    <n v="3609.24"/>
    <n v="3505.55"/>
    <n v="3560.74"/>
    <n v="3883.04"/>
    <n v="3876.4"/>
    <n v="3483.38"/>
    <n v="3399.88"/>
    <n v="3739.81"/>
    <n v="3791.63"/>
    <n v="4153.03"/>
    <n v="4278.8999999999996"/>
    <n v="45017.07"/>
    <n v="-125.86999999999989"/>
  </r>
  <r>
    <x v="6"/>
    <x v="3"/>
    <x v="0"/>
    <s v="5550101"/>
    <n v="713090"/>
    <s v="Benefits-Allocated Amounts"/>
    <s v="Franciscan Home Medical Supply"/>
    <x v="0"/>
    <m/>
    <n v="16001.82"/>
    <n v="13961.83"/>
    <n v="15074.54"/>
    <n v="14501.14"/>
    <n v="15434.82"/>
    <n v="14149.72"/>
    <n v="14816.26"/>
    <n v="15587.57"/>
    <n v="13798.2"/>
    <n v="16799.77"/>
    <n v="19501.419999999998"/>
    <n v="17217.8"/>
    <n v="186844.88999999996"/>
    <n v="2283.619999999999"/>
  </r>
  <r>
    <x v="7"/>
    <x v="3"/>
    <x v="0"/>
    <s v="5550101"/>
    <n v="718050"/>
    <s v="Miscellaneous Purchased Svcs"/>
    <s v="Franciscan Home Medical Supply"/>
    <x v="0"/>
    <n v="1020"/>
    <n v="2667.95"/>
    <n v="5710.57"/>
    <n v="1064.46"/>
    <n v="4292.55"/>
    <n v="2630.02"/>
    <n v="2730.73"/>
    <n v="3315.74"/>
    <n v="3340.9"/>
    <n v="1968.32"/>
    <n v="2892.6"/>
    <n v="2710.94"/>
    <n v="2661.05"/>
    <n v="35985.83"/>
    <n v="49.889999999999873"/>
  </r>
  <r>
    <x v="7"/>
    <x v="3"/>
    <x v="0"/>
    <s v="5550101"/>
    <n v="718050"/>
    <s v="Translation Services"/>
    <s v="Franciscan Home Medical Supply"/>
    <x v="0"/>
    <n v="1025"/>
    <n v="0"/>
    <n v="0"/>
    <n v="68.05"/>
    <n v="112"/>
    <n v="0"/>
    <n v="0"/>
    <n v="0"/>
    <n v="0"/>
    <n v="0"/>
    <n v="0"/>
    <n v="0"/>
    <n v="136"/>
    <n v="316.05"/>
    <n v="-136"/>
  </r>
  <r>
    <x v="7"/>
    <x v="3"/>
    <x v="0"/>
    <s v="5550101"/>
    <n v="718091"/>
    <s v="Contract Services-Intracompany Allocation"/>
    <s v="Franciscan Home Medical Supply"/>
    <x v="0"/>
    <m/>
    <n v="1847.17"/>
    <n v="1794.77"/>
    <n v="1760.51"/>
    <n v="1812.16"/>
    <n v="1898.03"/>
    <n v="1574.18"/>
    <n v="1967.27"/>
    <n v="1740.21"/>
    <n v="1952.78"/>
    <n v="1727.44"/>
    <n v="2102.5500000000002"/>
    <n v="1774.85"/>
    <n v="21951.919999999998"/>
    <n v="327.70000000000027"/>
  </r>
  <r>
    <x v="11"/>
    <x v="3"/>
    <x v="0"/>
    <s v="5550101"/>
    <n v="721010"/>
    <s v="Supplies-Medical - Billable"/>
    <s v="Franciscan Home Medical Suppl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5550101"/>
    <n v="721410"/>
    <s v="Supplies-Medical - Nonbillable"/>
    <s v="Franciscan Home Medical Suppl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5550101"/>
    <n v="721830"/>
    <s v="Supplies-Office"/>
    <s v="Franciscan Home Medical Supply"/>
    <x v="0"/>
    <m/>
    <n v="0"/>
    <n v="0"/>
    <n v="0"/>
    <n v="0"/>
    <n v="0"/>
    <n v="0"/>
    <n v="0"/>
    <n v="0"/>
    <n v="533.09"/>
    <n v="-533.09"/>
    <n v="0"/>
    <n v="0"/>
    <n v="0"/>
    <n v="0"/>
  </r>
  <r>
    <x v="11"/>
    <x v="3"/>
    <x v="0"/>
    <s v="5550101"/>
    <n v="721835"/>
    <s v="Supplies-Forms"/>
    <s v="Franciscan Home Medical Supply"/>
    <x v="0"/>
    <m/>
    <n v="0"/>
    <n v="0"/>
    <n v="0"/>
    <n v="0"/>
    <n v="0"/>
    <n v="0"/>
    <n v="0"/>
    <n v="0"/>
    <n v="596"/>
    <n v="-596"/>
    <n v="0"/>
    <n v="0"/>
    <n v="0"/>
    <n v="0"/>
  </r>
  <r>
    <x v="11"/>
    <x v="3"/>
    <x v="0"/>
    <s v="5550101"/>
    <n v="721980"/>
    <s v="Supplies-Other"/>
    <s v="Franciscan Home Medical Suppl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5550101"/>
    <n v="722000"/>
    <s v="Supplies-Freight Expense"/>
    <s v="Franciscan Home Medical Supply"/>
    <x v="0"/>
    <m/>
    <n v="0"/>
    <n v="0"/>
    <n v="0"/>
    <n v="0"/>
    <n v="0"/>
    <n v="0"/>
    <n v="0"/>
    <n v="0"/>
    <n v="1124.44"/>
    <n v="-1124.44"/>
    <n v="0"/>
    <n v="0"/>
    <n v="0"/>
    <n v="0"/>
  </r>
  <r>
    <x v="11"/>
    <x v="3"/>
    <x v="0"/>
    <s v="5550101"/>
    <n v="722000"/>
    <s v="Minimum Order Fees"/>
    <s v="Franciscan Home Medical Supply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5550101"/>
    <n v="723000"/>
    <s v="Supply Rebates/Patronage Dividend"/>
    <s v="Franciscan Home Medical Supply"/>
    <x v="0"/>
    <m/>
    <n v="0"/>
    <n v="0"/>
    <n v="0"/>
    <n v="0"/>
    <n v="0"/>
    <n v="0"/>
    <n v="0"/>
    <n v="0"/>
    <n v="-64.87"/>
    <n v="64.87"/>
    <n v="0"/>
    <n v="0"/>
    <n v="0"/>
    <n v="0"/>
  </r>
  <r>
    <x v="12"/>
    <x v="3"/>
    <x v="0"/>
    <s v="5550101"/>
    <n v="730010"/>
    <s v="Rental and Leases-Building (DO NOT USE)"/>
    <s v="Franciscan Home Medical Supply"/>
    <x v="0"/>
    <m/>
    <n v="14279.26"/>
    <n v="14532.11"/>
    <n v="14311.3"/>
    <n v="14752.92"/>
    <n v="14532.11"/>
    <n v="-18379.3"/>
    <n v="11740.39"/>
    <n v="11740.39"/>
    <n v="11740.39"/>
    <n v="11753.61"/>
    <n v="11777.31"/>
    <n v="0"/>
    <n v="112780.48999999999"/>
    <n v="11777.31"/>
  </r>
  <r>
    <x v="12"/>
    <x v="3"/>
    <x v="0"/>
    <s v="5550101"/>
    <n v="730010"/>
    <s v="Rental-Common Area Maint (DO NOT USE)"/>
    <s v="Franciscan Home Medical Supply"/>
    <x v="0"/>
    <n v="2200"/>
    <n v="0"/>
    <n v="0"/>
    <n v="0"/>
    <n v="0"/>
    <n v="0"/>
    <n v="32759.22"/>
    <n v="2872.31"/>
    <n v="2872.31"/>
    <n v="2827.26"/>
    <n v="2112.94"/>
    <n v="2939.66"/>
    <n v="1445.13"/>
    <n v="47828.829999999994"/>
    <n v="1494.5299999999997"/>
  </r>
  <r>
    <x v="12"/>
    <x v="3"/>
    <x v="0"/>
    <s v="5550101"/>
    <n v="730020"/>
    <s v="Rental and Leases-Copier Usage Fees (DO NOT USE)"/>
    <s v="Franciscan Home Medical Supply"/>
    <x v="0"/>
    <n v="5100"/>
    <n v="266.85000000000002"/>
    <n v="275.54000000000002"/>
    <n v="271.19"/>
    <n v="271.19"/>
    <n v="271.19"/>
    <n v="271.19"/>
    <n v="153.80000000000001"/>
    <n v="262.83999999999997"/>
    <n v="262.27999999999997"/>
    <n v="264.04000000000002"/>
    <n v="301.77999999999997"/>
    <n v="363.42"/>
    <n v="3235.3100000000004"/>
    <n v="-61.640000000000043"/>
  </r>
  <r>
    <x v="12"/>
    <x v="3"/>
    <x v="0"/>
    <s v="5550101"/>
    <n v="730040"/>
    <s v="LT Lease-Real Estate"/>
    <s v="Franciscan Home Medical Supply"/>
    <x v="0"/>
    <m/>
    <n v="0"/>
    <n v="0"/>
    <n v="0"/>
    <n v="0"/>
    <n v="0"/>
    <n v="0"/>
    <n v="0"/>
    <n v="0"/>
    <n v="0"/>
    <n v="0"/>
    <n v="0"/>
    <n v="13272.66"/>
    <n v="13272.66"/>
    <n v="-13272.66"/>
  </r>
  <r>
    <x v="15"/>
    <x v="3"/>
    <x v="0"/>
    <s v="5550101"/>
    <n v="731010"/>
    <s v="Natural Gas"/>
    <s v="Franciscan Home Medical Supply"/>
    <x v="0"/>
    <m/>
    <n v="0"/>
    <n v="0"/>
    <n v="0"/>
    <n v="0"/>
    <n v="53.69"/>
    <n v="0"/>
    <n v="329.25"/>
    <n v="256.66000000000003"/>
    <n v="0"/>
    <n v="0"/>
    <n v="0"/>
    <n v="0"/>
    <n v="639.6"/>
    <n v="0"/>
  </r>
  <r>
    <x v="15"/>
    <x v="3"/>
    <x v="0"/>
    <s v="5550101"/>
    <n v="731020"/>
    <s v="Electricity"/>
    <s v="Franciscan Home Medical Supply"/>
    <x v="0"/>
    <m/>
    <n v="162.13"/>
    <n v="160.47"/>
    <n v="162.16"/>
    <n v="160.61000000000001"/>
    <n v="185.66"/>
    <n v="214.01"/>
    <n v="228.15"/>
    <n v="241.54"/>
    <n v="278.64999999999998"/>
    <n v="248.27"/>
    <n v="210.74"/>
    <n v="189.44"/>
    <n v="2441.8300000000004"/>
    <n v="21.300000000000011"/>
  </r>
  <r>
    <x v="15"/>
    <x v="3"/>
    <x v="0"/>
    <s v="5550101"/>
    <n v="731040"/>
    <s v="Sewer"/>
    <s v="Franciscan Home Medical Supply"/>
    <x v="0"/>
    <m/>
    <n v="0"/>
    <n v="0"/>
    <n v="0"/>
    <n v="159.01"/>
    <n v="0"/>
    <n v="0"/>
    <n v="155.54"/>
    <n v="0"/>
    <n v="0"/>
    <n v="0"/>
    <n v="0"/>
    <n v="0"/>
    <n v="314.54999999999995"/>
    <n v="0"/>
  </r>
  <r>
    <x v="15"/>
    <x v="3"/>
    <x v="0"/>
    <s v="5550101"/>
    <n v="731050"/>
    <s v="Refuse Disposal"/>
    <s v="Franciscan Home Medical Supply"/>
    <x v="0"/>
    <m/>
    <n v="65.59"/>
    <n v="65.59"/>
    <n v="65.59"/>
    <n v="66.260000000000005"/>
    <n v="65.59"/>
    <n v="65.59"/>
    <n v="65.59"/>
    <n v="65.59"/>
    <n v="65.59"/>
    <n v="68.010000000000005"/>
    <n v="68.67"/>
    <n v="68.67"/>
    <n v="796.33"/>
    <n v="0"/>
  </r>
  <r>
    <x v="15"/>
    <x v="3"/>
    <x v="0"/>
    <s v="5550101"/>
    <n v="731060"/>
    <s v="Cell Phones"/>
    <s v="Franciscan Home Medical Supply"/>
    <x v="0"/>
    <n v="1001"/>
    <n v="0"/>
    <n v="0"/>
    <n v="23.3"/>
    <n v="0"/>
    <n v="46.08"/>
    <n v="29.3"/>
    <n v="112.5"/>
    <n v="0"/>
    <n v="55.38"/>
    <n v="107.5"/>
    <n v="53.8"/>
    <n v="55.2"/>
    <n v="483.06"/>
    <n v="-1.4000000000000057"/>
  </r>
  <r>
    <x v="16"/>
    <x v="3"/>
    <x v="0"/>
    <s v="5550101"/>
    <n v="732030"/>
    <s v="Repairs&amp;Maintenance-Bldg Routine"/>
    <s v="Franciscan Home Medical Supply"/>
    <x v="0"/>
    <n v="2300"/>
    <n v="0"/>
    <n v="0"/>
    <n v="382.25"/>
    <n v="0"/>
    <n v="0"/>
    <n v="0"/>
    <n v="69.510000000000005"/>
    <n v="0"/>
    <n v="0"/>
    <n v="0"/>
    <n v="0"/>
    <n v="0"/>
    <n v="451.76"/>
    <n v="0"/>
  </r>
  <r>
    <x v="13"/>
    <x v="3"/>
    <x v="0"/>
    <s v="5550101"/>
    <n v="735050"/>
    <s v="Amortization-Leasehold Improvements"/>
    <s v="Franciscan Home Medical Supply"/>
    <x v="0"/>
    <m/>
    <n v="735.48"/>
    <n v="735.45"/>
    <n v="735.48"/>
    <n v="735.45"/>
    <n v="735.49"/>
    <n v="735.45"/>
    <n v="735.51"/>
    <n v="735.44"/>
    <n v="735.52"/>
    <n v="735.44"/>
    <n v="735.53"/>
    <n v="735.44"/>
    <n v="8825.68"/>
    <n v="8.9999999999918145E-2"/>
  </r>
  <r>
    <x v="13"/>
    <x v="3"/>
    <x v="0"/>
    <s v="5550101"/>
    <n v="735060"/>
    <s v="Depreciation-Fixed Equipment"/>
    <s v="Franciscan Home Medical Supply"/>
    <x v="0"/>
    <m/>
    <n v="10.75"/>
    <n v="10.75"/>
    <n v="10.75"/>
    <n v="10.75"/>
    <n v="10.75"/>
    <n v="10.75"/>
    <n v="10.75"/>
    <n v="10.75"/>
    <n v="10.75"/>
    <n v="10.75"/>
    <n v="10.75"/>
    <n v="10.74"/>
    <n v="128.99"/>
    <n v="9.9999999999997868E-3"/>
  </r>
  <r>
    <x v="13"/>
    <x v="3"/>
    <x v="0"/>
    <s v="5550101"/>
    <n v="735070"/>
    <s v="Depreciation-Movable Equipment"/>
    <s v="Franciscan Home Medical Supply"/>
    <x v="0"/>
    <m/>
    <n v="321.37"/>
    <n v="321.37"/>
    <n v="321.37"/>
    <n v="321.37"/>
    <n v="321.37"/>
    <n v="321.37"/>
    <n v="321.37"/>
    <n v="321.37"/>
    <n v="321.37"/>
    <n v="321.37"/>
    <n v="321.37"/>
    <n v="321.36"/>
    <n v="3856.4299999999994"/>
    <n v="9.9999999999909051E-3"/>
  </r>
  <r>
    <x v="0"/>
    <x v="3"/>
    <x v="0"/>
    <s v="5550101"/>
    <n v="742010"/>
    <s v="Postage-Regular"/>
    <s v="Franciscan Home Medical Supply"/>
    <x v="0"/>
    <m/>
    <n v="2050"/>
    <n v="1700"/>
    <n v="3925"/>
    <n v="1820"/>
    <n v="2420"/>
    <n v="2275"/>
    <n v="0"/>
    <n v="1945"/>
    <n v="1665"/>
    <n v="4050"/>
    <n v="304.83999999999997"/>
    <n v="3854.99"/>
    <n v="26009.83"/>
    <n v="-3550.1499999999996"/>
  </r>
  <r>
    <x v="0"/>
    <x v="3"/>
    <x v="0"/>
    <s v="5550101"/>
    <n v="742040"/>
    <s v="Freight-Other"/>
    <s v="Franciscan Home Medical Supply"/>
    <x v="0"/>
    <m/>
    <n v="0"/>
    <n v="0"/>
    <n v="0"/>
    <n v="0"/>
    <n v="0"/>
    <n v="0"/>
    <n v="0"/>
    <n v="0"/>
    <n v="0"/>
    <n v="0"/>
    <n v="0"/>
    <n v="7.95"/>
    <n v="7.95"/>
    <n v="-7.95"/>
  </r>
  <r>
    <x v="0"/>
    <x v="3"/>
    <x v="0"/>
    <s v="5550101"/>
    <n v="748520"/>
    <s v="COGS-Durable Medical Eqpt-Retail"/>
    <s v="Franciscan Home Medical Supply"/>
    <x v="0"/>
    <m/>
    <n v="799.8"/>
    <n v="213375.46"/>
    <n v="48816.36"/>
    <n v="96924.93"/>
    <n v="81738.100000000006"/>
    <n v="52020.63"/>
    <n v="130701.35"/>
    <n v="59221.81"/>
    <n v="98061.87"/>
    <n v="7063.29"/>
    <n v="124118.27"/>
    <n v="103261.61"/>
    <n v="1016103.48"/>
    <n v="20856.660000000003"/>
  </r>
  <r>
    <x v="0"/>
    <x v="3"/>
    <x v="0"/>
    <s v="5550101"/>
    <n v="748521"/>
    <s v="COGS-Pharmacy Drugs-Retail"/>
    <s v="Franciscan Home Medical Supply"/>
    <x v="0"/>
    <m/>
    <n v="2804.18"/>
    <n v="2768.46"/>
    <n v="1635.29"/>
    <n v="2395.23"/>
    <n v="2690.44"/>
    <n v="1264.29"/>
    <n v="1606.1"/>
    <n v="806.6"/>
    <n v="1671.49"/>
    <n v="341.89"/>
    <n v="2067.39"/>
    <n v="1415.18"/>
    <n v="21466.54"/>
    <n v="652.20999999999981"/>
  </r>
  <r>
    <x v="0"/>
    <x v="3"/>
    <x v="0"/>
    <s v="5550101"/>
    <n v="748549"/>
    <s v="COGS-Supply Rebate"/>
    <s v="Franciscan Home Medical Supply"/>
    <x v="0"/>
    <m/>
    <n v="0"/>
    <n v="0"/>
    <n v="0"/>
    <n v="0"/>
    <n v="0"/>
    <n v="0"/>
    <n v="0"/>
    <n v="0"/>
    <n v="0"/>
    <n v="-64.87"/>
    <n v="0"/>
    <n v="-30.02"/>
    <n v="-94.89"/>
    <n v="30.02"/>
  </r>
  <r>
    <x v="0"/>
    <x v="3"/>
    <x v="0"/>
    <s v="5550101"/>
    <n v="748550"/>
    <s v="COGS-Other Retail Supply Costs"/>
    <s v="Franciscan Home Medical Supply"/>
    <x v="0"/>
    <m/>
    <n v="0"/>
    <n v="-2701.08"/>
    <n v="0"/>
    <n v="-3034.55"/>
    <n v="-2586.4299999999998"/>
    <n v="-2113.48"/>
    <n v="-4647.79"/>
    <n v="-1996.39"/>
    <n v="-1529.03"/>
    <n v="-2305.88"/>
    <n v="-1198.32"/>
    <n v="0"/>
    <n v="-22112.949999999997"/>
    <n v="-1198.32"/>
  </r>
  <r>
    <x v="0"/>
    <x v="3"/>
    <x v="0"/>
    <s v="5550101"/>
    <n v="749510"/>
    <s v="Miscellaneous Expenses"/>
    <s v="Franciscan Home Medical Supply"/>
    <x v="0"/>
    <m/>
    <n v="0"/>
    <n v="19.63"/>
    <n v="12.54"/>
    <n v="0"/>
    <n v="-32.17"/>
    <n v="0"/>
    <n v="0"/>
    <n v="0"/>
    <n v="0"/>
    <n v="430.75"/>
    <n v="-265.26"/>
    <n v="554"/>
    <n v="719.49"/>
    <n v="-819.26"/>
  </r>
  <r>
    <x v="0"/>
    <x v="3"/>
    <x v="0"/>
    <s v="5550101"/>
    <n v="749530"/>
    <s v="Travel"/>
    <s v="Franciscan Home Medical Supply"/>
    <x v="0"/>
    <m/>
    <n v="0"/>
    <n v="0"/>
    <n v="0"/>
    <n v="0"/>
    <n v="16"/>
    <n v="0"/>
    <n v="0"/>
    <n v="0"/>
    <n v="0"/>
    <n v="0"/>
    <n v="35"/>
    <n v="0"/>
    <n v="51"/>
    <n v="35"/>
  </r>
  <r>
    <x v="0"/>
    <x v="3"/>
    <x v="0"/>
    <s v="5550101"/>
    <n v="749530"/>
    <s v="Mileage"/>
    <s v="Franciscan Home Medical Supply"/>
    <x v="0"/>
    <n v="1001"/>
    <n v="0"/>
    <n v="0"/>
    <n v="0"/>
    <n v="0"/>
    <n v="93.21"/>
    <n v="0"/>
    <n v="0"/>
    <n v="0"/>
    <n v="0"/>
    <n v="0"/>
    <n v="230.26"/>
    <n v="0"/>
    <n v="323.46999999999997"/>
    <n v="230.26"/>
  </r>
  <r>
    <x v="0"/>
    <x v="3"/>
    <x v="0"/>
    <s v="5550101"/>
    <n v="749535"/>
    <s v="Meetings"/>
    <s v="Franciscan Home Medical Supply"/>
    <x v="0"/>
    <m/>
    <n v="0"/>
    <n v="0"/>
    <n v="0"/>
    <n v="0"/>
    <n v="227.44"/>
    <n v="0"/>
    <n v="0"/>
    <n v="0"/>
    <n v="0"/>
    <n v="0"/>
    <n v="0"/>
    <n v="0"/>
    <n v="227.44"/>
    <n v="0"/>
  </r>
  <r>
    <x v="0"/>
    <x v="3"/>
    <x v="0"/>
    <s v="5550101"/>
    <n v="750015"/>
    <s v="Provision for Bad Debts--Non-Patient"/>
    <s v="Franciscan Home Medical Supply"/>
    <x v="0"/>
    <m/>
    <n v="9165.84"/>
    <n v="23421.919999999998"/>
    <n v="22874.95"/>
    <n v="7163.2"/>
    <n v="-101591.22"/>
    <n v="-16932.490000000002"/>
    <n v="-52315.03"/>
    <n v="-25743.33"/>
    <n v="-5538.85"/>
    <n v="4619.8500000000004"/>
    <n v="13758.6"/>
    <n v="23423.83"/>
    <n v="-97692.73"/>
    <n v="-9665.2300000000014"/>
  </r>
  <r>
    <x v="1"/>
    <x v="1"/>
    <x v="0"/>
    <s v="5600200"/>
    <n v="400029"/>
    <s v="MD Practice Other Rev--Medicaid"/>
    <s v="Diabetes Ed-Education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5600200"/>
    <n v="400040"/>
    <s v="Physician Svcs Rev--Medicare"/>
    <s v="Diabetes Ed-Education"/>
    <x v="0"/>
    <n v="1100"/>
    <n v="-4012.07"/>
    <n v="-7128.6"/>
    <n v="-1682"/>
    <n v="-2311.8000000000002"/>
    <n v="-2484.1999999999998"/>
    <n v="-6154.01"/>
    <n v="-8320.4"/>
    <n v="-2025"/>
    <n v="-3631"/>
    <n v="-7586"/>
    <n v="-5826"/>
    <n v="-5638"/>
    <n v="-56799.08"/>
    <n v="-188"/>
  </r>
  <r>
    <x v="1"/>
    <x v="1"/>
    <x v="0"/>
    <s v="5600200"/>
    <n v="400040"/>
    <s v="Physician Svcs Rev--Medicaid"/>
    <s v="Diabetes Ed-Education"/>
    <x v="0"/>
    <n v="1200"/>
    <n v="-144.02000000000001"/>
    <n v="-1520.6"/>
    <n v="-2067.1999999999998"/>
    <n v="-368.6"/>
    <n v="-166"/>
    <n v="-1435.99"/>
    <n v="-961.6"/>
    <n v="-954"/>
    <n v="-1098"/>
    <n v="-294"/>
    <n v="-1108.8"/>
    <n v="-954"/>
    <n v="-11072.81"/>
    <n v="-154.79999999999995"/>
  </r>
  <r>
    <x v="1"/>
    <x v="1"/>
    <x v="0"/>
    <s v="5600200"/>
    <n v="400040"/>
    <s v="Physician Svcs Rev--Comm Insurance"/>
    <s v="Diabetes Ed-Education"/>
    <x v="0"/>
    <n v="1300"/>
    <n v="0"/>
    <n v="0"/>
    <n v="0"/>
    <n v="0"/>
    <n v="0"/>
    <n v="0"/>
    <n v="0"/>
    <n v="0"/>
    <n v="0"/>
    <n v="-294"/>
    <n v="0"/>
    <n v="294"/>
    <n v="0"/>
    <n v="-294"/>
  </r>
  <r>
    <x v="1"/>
    <x v="1"/>
    <x v="0"/>
    <s v="5600200"/>
    <n v="400040"/>
    <s v="Physician Svcs Rev--BCBS Comm"/>
    <s v="Diabetes Ed-Education"/>
    <x v="0"/>
    <n v="1301"/>
    <n v="-147"/>
    <n v="-294"/>
    <n v="-147"/>
    <n v="-160"/>
    <n v="-320"/>
    <n v="-3246"/>
    <n v="-147"/>
    <n v="-221"/>
    <n v="-160"/>
    <n v="-147"/>
    <n v="-212"/>
    <n v="-307"/>
    <n v="-5508"/>
    <n v="95"/>
  </r>
  <r>
    <x v="1"/>
    <x v="1"/>
    <x v="0"/>
    <s v="5600200"/>
    <n v="400040"/>
    <s v="Physician Svcs Rev--Managed Care"/>
    <s v="Diabetes Ed-Education"/>
    <x v="0"/>
    <n v="1400"/>
    <n v="-3737"/>
    <n v="-3343"/>
    <n v="-353.4"/>
    <n v="-88"/>
    <n v="-232"/>
    <n v="-1069.5999999999999"/>
    <n v="-5477"/>
    <n v="-2145"/>
    <n v="-1189"/>
    <n v="-882"/>
    <n v="-1470"/>
    <n v="-2109"/>
    <n v="-22095"/>
    <n v="639"/>
  </r>
  <r>
    <x v="1"/>
    <x v="1"/>
    <x v="0"/>
    <s v="5600200"/>
    <n v="400040"/>
    <s v="Physician Svcs Rev--Self Pay"/>
    <s v="Diabetes Ed-Education"/>
    <x v="0"/>
    <n v="1500"/>
    <n v="0"/>
    <n v="0"/>
    <n v="0"/>
    <n v="0"/>
    <n v="0"/>
    <n v="0"/>
    <n v="0"/>
    <n v="0"/>
    <n v="0"/>
    <n v="0"/>
    <n v="0"/>
    <n v="-294"/>
    <n v="-294"/>
    <n v="294"/>
  </r>
  <r>
    <x v="1"/>
    <x v="1"/>
    <x v="0"/>
    <s v="5600200"/>
    <n v="400040"/>
    <s v="Physician Svcs Rev--Other"/>
    <s v="Diabetes Ed-Education"/>
    <x v="0"/>
    <n v="1700"/>
    <n v="-72"/>
    <n v="-259.2"/>
    <n v="-187.2"/>
    <n v="-230.4"/>
    <n v="-409.2"/>
    <n v="-150"/>
    <n v="-438"/>
    <n v="-1026"/>
    <n v="-954"/>
    <n v="-954"/>
    <n v="-735"/>
    <n v="-588"/>
    <n v="-6003"/>
    <n v="-147"/>
  </r>
  <r>
    <x v="2"/>
    <x v="1"/>
    <x v="0"/>
    <s v="5600200"/>
    <n v="450040"/>
    <s v="Contr Allow--Phys Svcs--Mcare"/>
    <s v="Diabetes Ed-Education"/>
    <x v="0"/>
    <n v="1100"/>
    <n v="3999.7"/>
    <n v="3953.95"/>
    <n v="3603.24"/>
    <n v="867.63"/>
    <n v="2206.4499999999998"/>
    <n v="3820.77"/>
    <n v="1425.45"/>
    <n v="3581.85"/>
    <n v="2562.67"/>
    <n v="4136.8"/>
    <n v="4815.09"/>
    <n v="2364.4299999999998"/>
    <n v="37338.03"/>
    <n v="2450.6600000000003"/>
  </r>
  <r>
    <x v="2"/>
    <x v="1"/>
    <x v="0"/>
    <s v="5600200"/>
    <n v="450040"/>
    <s v="Contr Allow--Phys Svcs--Mcaid"/>
    <s v="Diabetes Ed-Education"/>
    <x v="0"/>
    <n v="1200"/>
    <n v="506.36"/>
    <n v="-1656.1"/>
    <n v="1108.06"/>
    <n v="743.38"/>
    <n v="-330.07"/>
    <n v="-610.4"/>
    <n v="924.97"/>
    <n v="315.52999999999997"/>
    <n v="508.74"/>
    <n v="1150.8499999999999"/>
    <n v="910.07"/>
    <n v="1068.83"/>
    <n v="4640.22"/>
    <n v="-158.75999999999988"/>
  </r>
  <r>
    <x v="2"/>
    <x v="1"/>
    <x v="0"/>
    <s v="5600200"/>
    <n v="450040"/>
    <s v="Contr Allow--Phys Svcs--Comm Insurance"/>
    <s v="Diabetes Ed-Education"/>
    <x v="0"/>
    <n v="1300"/>
    <n v="0"/>
    <n v="0"/>
    <n v="0"/>
    <n v="229.77"/>
    <n v="0"/>
    <n v="0"/>
    <n v="0"/>
    <n v="0"/>
    <n v="0"/>
    <n v="77.06"/>
    <n v="0"/>
    <n v="-77.06"/>
    <n v="229.77000000000004"/>
    <n v="77.06"/>
  </r>
  <r>
    <x v="2"/>
    <x v="1"/>
    <x v="0"/>
    <s v="5600200"/>
    <n v="450040"/>
    <s v="Contr Allow--Phys Svcs--BCBS Comm Ins"/>
    <s v="Diabetes Ed-Education"/>
    <x v="0"/>
    <n v="1301"/>
    <n v="145.52000000000001"/>
    <n v="81.680000000000007"/>
    <n v="40.840000000000003"/>
    <n v="0"/>
    <n v="302.23"/>
    <n v="35.979999999999997"/>
    <n v="35.979999999999997"/>
    <n v="0"/>
    <n v="1829.81"/>
    <n v="39.44"/>
    <n v="112.37"/>
    <n v="137.78"/>
    <n v="2761.63"/>
    <n v="-25.409999999999997"/>
  </r>
  <r>
    <x v="2"/>
    <x v="1"/>
    <x v="0"/>
    <s v="5600200"/>
    <n v="450040"/>
    <s v="Contr Allow--Phys Svcs--Managed Care"/>
    <s v="Diabetes Ed-Education"/>
    <x v="0"/>
    <n v="1400"/>
    <n v="613.94000000000005"/>
    <n v="1293.8699999999999"/>
    <n v="472.35"/>
    <n v="345.17"/>
    <n v="514.49"/>
    <n v="208.99"/>
    <n v="451.99"/>
    <n v="3594.57"/>
    <n v="675.48"/>
    <n v="525.05999999999995"/>
    <n v="449.7"/>
    <n v="457.33"/>
    <n v="9602.9399999999987"/>
    <n v="-7.6299999999999955"/>
  </r>
  <r>
    <x v="2"/>
    <x v="1"/>
    <x v="0"/>
    <s v="5600200"/>
    <n v="450040"/>
    <s v="Contr Allow--Phys Svcs--BCBS Mgnd Care"/>
    <s v="Diabetes Ed-Education"/>
    <x v="0"/>
    <n v="1401"/>
    <n v="-424.93"/>
    <n v="1372.61"/>
    <n v="-2524.83"/>
    <n v="-499.62"/>
    <n v="-670.02"/>
    <n v="3284.97"/>
    <n v="5065.46"/>
    <n v="-2573.1999999999998"/>
    <n v="-1049.2"/>
    <n v="-1441.39"/>
    <n v="-704.07"/>
    <n v="1101.3"/>
    <n v="937.07999999999936"/>
    <n v="-1805.37"/>
  </r>
  <r>
    <x v="2"/>
    <x v="1"/>
    <x v="0"/>
    <s v="5600200"/>
    <n v="450040"/>
    <s v="Admin Adjust-Phys Svcs-Self Pay"/>
    <s v="Diabetes Ed-Education"/>
    <x v="0"/>
    <n v="1600"/>
    <n v="0"/>
    <n v="0"/>
    <n v="648"/>
    <n v="65.84"/>
    <n v="0"/>
    <n v="-2.12"/>
    <n v="143.84"/>
    <n v="-143.84"/>
    <n v="261.99"/>
    <n v="-8.9600000000000009"/>
    <n v="-562.82000000000005"/>
    <n v="108.78"/>
    <n v="510.70999999999992"/>
    <n v="-671.6"/>
  </r>
  <r>
    <x v="2"/>
    <x v="1"/>
    <x v="0"/>
    <s v="5600200"/>
    <n v="450040"/>
    <s v="Contr Allow--Phys Svcs--Other"/>
    <s v="Diabetes Ed-Education"/>
    <x v="0"/>
    <n v="1700"/>
    <n v="104.32"/>
    <n v="54.16"/>
    <n v="54.16"/>
    <n v="370.86"/>
    <n v="354.22"/>
    <n v="-43.38"/>
    <n v="54.16"/>
    <n v="368.39"/>
    <n v="54.16"/>
    <n v="996.74"/>
    <n v="588.04"/>
    <n v="463.12"/>
    <n v="3418.95"/>
    <n v="124.91999999999996"/>
  </r>
  <r>
    <x v="3"/>
    <x v="1"/>
    <x v="0"/>
    <s v="5600200"/>
    <n v="470040"/>
    <s v="Charity Care-Physician Svcs"/>
    <s v="Diabetes Ed-Education"/>
    <x v="0"/>
    <m/>
    <n v="-29.99"/>
    <n v="181.41"/>
    <n v="-67.03"/>
    <n v="15.59"/>
    <n v="-17.57"/>
    <n v="250.85"/>
    <n v="145.22999999999999"/>
    <n v="-38.85"/>
    <n v="84.85"/>
    <n v="-59.11"/>
    <n v="-47.56"/>
    <n v="367.11"/>
    <n v="784.93000000000006"/>
    <n v="-414.67"/>
  </r>
  <r>
    <x v="4"/>
    <x v="1"/>
    <x v="0"/>
    <s v="5600200"/>
    <n v="490010"/>
    <s v="Provision for Bad Debts"/>
    <s v="Diabetes Ed-Education"/>
    <x v="0"/>
    <m/>
    <n v="-1167.25"/>
    <n v="-63.15"/>
    <n v="-612.01"/>
    <n v="-149.66"/>
    <n v="-105.62"/>
    <n v="126.38"/>
    <n v="393.44"/>
    <n v="-588.88"/>
    <n v="-700.21"/>
    <n v="693.58"/>
    <n v="-224.96"/>
    <n v="129.13"/>
    <n v="-2269.21"/>
    <n v="-354.09000000000003"/>
  </r>
  <r>
    <x v="5"/>
    <x v="1"/>
    <x v="0"/>
    <s v="5600200"/>
    <n v="700054"/>
    <s v="Salaries-Management-NonProd-Other"/>
    <s v="Diabetes Ed-Education"/>
    <x v="0"/>
    <n v="2000"/>
    <n v="0"/>
    <n v="0"/>
    <n v="0"/>
    <n v="0"/>
    <n v="0"/>
    <n v="1067.06"/>
    <n v="-1067.06"/>
    <n v="0"/>
    <n v="0"/>
    <n v="0"/>
    <n v="0"/>
    <n v="0"/>
    <n v="0"/>
    <n v="0"/>
  </r>
  <r>
    <x v="6"/>
    <x v="1"/>
    <x v="0"/>
    <s v="5600200"/>
    <n v="713010"/>
    <s v="Benefits-FICA/Medicare"/>
    <s v="Diabetes Ed-Education"/>
    <x v="0"/>
    <m/>
    <n v="0"/>
    <n v="0"/>
    <n v="0"/>
    <n v="0"/>
    <n v="0"/>
    <n v="81.63"/>
    <n v="81.63"/>
    <n v="0"/>
    <n v="0"/>
    <n v="0"/>
    <n v="0"/>
    <n v="0"/>
    <n v="163.26"/>
    <n v="0"/>
  </r>
  <r>
    <x v="6"/>
    <x v="1"/>
    <x v="0"/>
    <s v="5600200"/>
    <n v="713090"/>
    <s v="Benefits-Allocated Amounts"/>
    <s v="Diabetes Ed-Education"/>
    <x v="0"/>
    <m/>
    <n v="0"/>
    <n v="0"/>
    <n v="0"/>
    <n v="0"/>
    <n v="0"/>
    <n v="55.65"/>
    <n v="13.17"/>
    <n v="-68.819999999999993"/>
    <n v="0"/>
    <n v="0"/>
    <n v="0"/>
    <n v="0"/>
    <n v="0"/>
    <n v="0"/>
  </r>
  <r>
    <x v="7"/>
    <x v="1"/>
    <x v="0"/>
    <s v="5600200"/>
    <n v="718050"/>
    <s v="Translation Services"/>
    <s v="Diabetes Ed-Education"/>
    <x v="0"/>
    <n v="1025"/>
    <n v="0"/>
    <n v="0"/>
    <n v="40"/>
    <n v="40"/>
    <n v="0"/>
    <n v="0"/>
    <n v="0"/>
    <n v="0"/>
    <n v="0"/>
    <n v="0"/>
    <n v="0"/>
    <n v="0"/>
    <n v="80"/>
    <n v="0"/>
  </r>
  <r>
    <x v="12"/>
    <x v="1"/>
    <x v="0"/>
    <s v="5600200"/>
    <n v="730040"/>
    <s v="LT Lease-Real Estate"/>
    <s v="Diabetes Ed-Education"/>
    <x v="0"/>
    <m/>
    <n v="0"/>
    <n v="0"/>
    <n v="0"/>
    <n v="0"/>
    <n v="0"/>
    <n v="0"/>
    <n v="0"/>
    <n v="0"/>
    <n v="0"/>
    <n v="0"/>
    <n v="0"/>
    <n v="4133"/>
    <n v="4133"/>
    <n v="-4133"/>
  </r>
  <r>
    <x v="0"/>
    <x v="1"/>
    <x v="0"/>
    <s v="5600200"/>
    <n v="740020"/>
    <s v="Education-Registration Fees"/>
    <s v="Diabetes Ed-Education"/>
    <x v="0"/>
    <m/>
    <n v="0"/>
    <n v="0"/>
    <n v="0"/>
    <n v="0"/>
    <n v="0"/>
    <n v="0"/>
    <n v="0"/>
    <n v="0"/>
    <n v="0"/>
    <n v="170"/>
    <n v="0"/>
    <n v="0"/>
    <n v="170"/>
    <n v="0"/>
  </r>
  <r>
    <x v="1"/>
    <x v="1"/>
    <x v="0"/>
    <s v="5601200"/>
    <n v="400029"/>
    <s v="MD Practice Other Rev--Medicaid"/>
    <s v="Hospitalist-Neurology"/>
    <x v="0"/>
    <n v="1200"/>
    <n v="0"/>
    <n v="-753"/>
    <n v="0"/>
    <n v="0"/>
    <n v="0"/>
    <n v="0"/>
    <n v="0"/>
    <n v="0"/>
    <n v="0"/>
    <n v="0"/>
    <n v="0"/>
    <n v="0"/>
    <n v="-753"/>
    <n v="0"/>
  </r>
  <r>
    <x v="1"/>
    <x v="1"/>
    <x v="0"/>
    <s v="5601200"/>
    <n v="400029"/>
    <s v="MD Practice Other Rev--Managed Care"/>
    <s v="Hospitalist-Neurology"/>
    <x v="0"/>
    <n v="1400"/>
    <n v="0"/>
    <n v="0"/>
    <n v="-753"/>
    <n v="0"/>
    <n v="0"/>
    <n v="0"/>
    <n v="0"/>
    <n v="-753"/>
    <n v="0"/>
    <n v="0"/>
    <n v="0"/>
    <n v="0"/>
    <n v="-1506"/>
    <n v="0"/>
  </r>
  <r>
    <x v="1"/>
    <x v="1"/>
    <x v="0"/>
    <s v="5601200"/>
    <n v="400040"/>
    <s v="Physician Svcs Rev--Medicare"/>
    <s v="Hospitalist-Neurology"/>
    <x v="0"/>
    <n v="1100"/>
    <n v="-44699"/>
    <n v="-46904"/>
    <n v="-53091"/>
    <n v="-51734"/>
    <n v="-67322"/>
    <n v="-74595"/>
    <n v="-76287"/>
    <n v="-55430"/>
    <n v="-60907"/>
    <n v="-64052"/>
    <n v="-70346"/>
    <n v="-77193.399999999994"/>
    <n v="-742560.4"/>
    <n v="6847.3999999999942"/>
  </r>
  <r>
    <x v="1"/>
    <x v="1"/>
    <x v="0"/>
    <s v="5601200"/>
    <n v="400040"/>
    <s v="Physician Svcs Rev--Medicaid"/>
    <s v="Hospitalist-Neurology"/>
    <x v="0"/>
    <n v="1200"/>
    <n v="-39911.5"/>
    <n v="-41436.5"/>
    <n v="-33962"/>
    <n v="-39728"/>
    <n v="-32278"/>
    <n v="-52230"/>
    <n v="-47124"/>
    <n v="-36231"/>
    <n v="-47916"/>
    <n v="-34143"/>
    <n v="-49144"/>
    <n v="-30993"/>
    <n v="-485097"/>
    <n v="-18151"/>
  </r>
  <r>
    <x v="1"/>
    <x v="1"/>
    <x v="0"/>
    <s v="5601200"/>
    <n v="400040"/>
    <s v="Physician Svcs Rev--Comm Insurance"/>
    <s v="Hospitalist-Neurology"/>
    <x v="0"/>
    <n v="1300"/>
    <n v="-4797"/>
    <n v="-892"/>
    <n v="-3386"/>
    <n v="-5305"/>
    <n v="-8358"/>
    <n v="-8477"/>
    <n v="-8817"/>
    <n v="-1571"/>
    <n v="-2093"/>
    <n v="-5988"/>
    <n v="-6762"/>
    <n v="-2545"/>
    <n v="-58991"/>
    <n v="-4217"/>
  </r>
  <r>
    <x v="1"/>
    <x v="1"/>
    <x v="0"/>
    <s v="5601200"/>
    <n v="400040"/>
    <s v="Physician Svcs Rev--BCBS Comm"/>
    <s v="Hospitalist-Neurology"/>
    <x v="0"/>
    <n v="1301"/>
    <n v="-4314"/>
    <n v="-5360.5"/>
    <n v="-10432"/>
    <n v="-6773"/>
    <n v="-8362"/>
    <n v="-21959"/>
    <n v="-9393"/>
    <n v="-11253"/>
    <n v="-7524"/>
    <n v="-10013"/>
    <n v="-20123"/>
    <n v="-9079"/>
    <n v="-124585.5"/>
    <n v="-11044"/>
  </r>
  <r>
    <x v="1"/>
    <x v="1"/>
    <x v="0"/>
    <s v="5601200"/>
    <n v="400040"/>
    <s v="Physician Svcs Rev--Managed Care"/>
    <s v="Hospitalist-Neurology"/>
    <x v="0"/>
    <n v="1400"/>
    <n v="-22068"/>
    <n v="-29886"/>
    <n v="-28370"/>
    <n v="-35677"/>
    <n v="-34310"/>
    <n v="-43836"/>
    <n v="-42584"/>
    <n v="-43817"/>
    <n v="-44169.2"/>
    <n v="-48777"/>
    <n v="-45670"/>
    <n v="-36353"/>
    <n v="-455517.2"/>
    <n v="-9317"/>
  </r>
  <r>
    <x v="1"/>
    <x v="1"/>
    <x v="0"/>
    <s v="5601200"/>
    <n v="400040"/>
    <s v="Physician Svcs Rev--Self Pay"/>
    <s v="Hospitalist-Neurology"/>
    <x v="0"/>
    <n v="1500"/>
    <n v="-1205"/>
    <n v="-1649"/>
    <n v="-161"/>
    <n v="-853"/>
    <n v="-2906"/>
    <n v="-2988"/>
    <n v="-2956"/>
    <n v="-3634"/>
    <n v="-2156"/>
    <n v="-4198"/>
    <n v="-4167"/>
    <n v="622"/>
    <n v="-26251"/>
    <n v="-4789"/>
  </r>
  <r>
    <x v="1"/>
    <x v="1"/>
    <x v="0"/>
    <s v="5601200"/>
    <n v="400040"/>
    <s v="Physician Svcs Rev--Other"/>
    <s v="Hospitalist-Neurology"/>
    <x v="0"/>
    <n v="1700"/>
    <n v="-4859"/>
    <n v="-1869"/>
    <n v="-5570"/>
    <n v="-4219"/>
    <n v="-6887"/>
    <n v="-10983"/>
    <n v="-11712"/>
    <n v="-3787"/>
    <n v="-2710"/>
    <n v="-8325"/>
    <n v="-10946"/>
    <n v="-13800"/>
    <n v="-85667"/>
    <n v="2854"/>
  </r>
  <r>
    <x v="2"/>
    <x v="1"/>
    <x v="0"/>
    <s v="5601200"/>
    <n v="450029"/>
    <s v="Contr Allow--MD Other-Medicaid"/>
    <s v="Hospitalist-Neurology"/>
    <x v="0"/>
    <n v="1200"/>
    <n v="0"/>
    <n v="580.15"/>
    <n v="0"/>
    <n v="0"/>
    <n v="0"/>
    <n v="0"/>
    <n v="0"/>
    <n v="0"/>
    <n v="0"/>
    <n v="0"/>
    <n v="0"/>
    <n v="0"/>
    <n v="580.15"/>
    <n v="0"/>
  </r>
  <r>
    <x v="2"/>
    <x v="1"/>
    <x v="0"/>
    <s v="5601200"/>
    <n v="450029"/>
    <s v="Contr Allow--MD Other-Managed Care"/>
    <s v="Hospitalist-Neurology"/>
    <x v="0"/>
    <n v="1400"/>
    <n v="0"/>
    <n v="0"/>
    <n v="387"/>
    <n v="0"/>
    <n v="0"/>
    <n v="0"/>
    <n v="0"/>
    <n v="0"/>
    <n v="319.14999999999998"/>
    <n v="0"/>
    <n v="0"/>
    <n v="0"/>
    <n v="706.15"/>
    <n v="0"/>
  </r>
  <r>
    <x v="2"/>
    <x v="1"/>
    <x v="0"/>
    <s v="5601200"/>
    <n v="450040"/>
    <s v="Contr Allow--Phys Svcs--Mcare"/>
    <s v="Hospitalist-Neurology"/>
    <x v="0"/>
    <n v="1100"/>
    <n v="28880.240000000002"/>
    <n v="27963.08"/>
    <n v="33108.129999999997"/>
    <n v="41835.839999999997"/>
    <n v="34430.67"/>
    <n v="34944.5"/>
    <n v="43379.88"/>
    <n v="24447.07"/>
    <n v="67418.600000000006"/>
    <n v="42168.6"/>
    <n v="38462.46"/>
    <n v="54867.07"/>
    <n v="471906.14"/>
    <n v="-16404.61"/>
  </r>
  <r>
    <x v="2"/>
    <x v="1"/>
    <x v="0"/>
    <s v="5601200"/>
    <n v="450040"/>
    <s v="Contr Allow--Phys Svcs--Mcaid"/>
    <s v="Hospitalist-Neurology"/>
    <x v="0"/>
    <n v="1200"/>
    <n v="41030.92"/>
    <n v="26145.99"/>
    <n v="31266.18"/>
    <n v="30663.599999999999"/>
    <n v="18056.560000000001"/>
    <n v="38513.4"/>
    <n v="33989.629999999997"/>
    <n v="24307.56"/>
    <n v="28032.58"/>
    <n v="33221.660000000003"/>
    <n v="38879.339999999997"/>
    <n v="27144.22"/>
    <n v="371251.6399999999"/>
    <n v="11735.119999999995"/>
  </r>
  <r>
    <x v="2"/>
    <x v="1"/>
    <x v="0"/>
    <s v="5601200"/>
    <n v="450040"/>
    <s v="Contr Allow--Phys Svcs--Comm Insurance"/>
    <s v="Hospitalist-Neurology"/>
    <x v="0"/>
    <n v="1300"/>
    <n v="1945.94"/>
    <n v="2590.2399999999998"/>
    <n v="985.35"/>
    <n v="2227.7800000000002"/>
    <n v="1781.01"/>
    <n v="1321.84"/>
    <n v="2777.76"/>
    <n v="2695.98"/>
    <n v="214.54"/>
    <n v="2743.77"/>
    <n v="926.4"/>
    <n v="2155.5"/>
    <n v="22366.110000000004"/>
    <n v="-1229.0999999999999"/>
  </r>
  <r>
    <x v="2"/>
    <x v="1"/>
    <x v="0"/>
    <s v="5601200"/>
    <n v="450040"/>
    <s v="Contr Allow--Phys Svcs--BCBS Comm Ins"/>
    <s v="Hospitalist-Neurology"/>
    <x v="0"/>
    <n v="1301"/>
    <n v="1925.29"/>
    <n v="1705.3"/>
    <n v="4334.1899999999996"/>
    <n v="1106.99"/>
    <n v="1516.22"/>
    <n v="4592.47"/>
    <n v="3776.91"/>
    <n v="1940.19"/>
    <n v="3680.77"/>
    <n v="2656.91"/>
    <n v="3761.22"/>
    <n v="5143.62"/>
    <n v="36140.080000000002"/>
    <n v="-1382.4"/>
  </r>
  <r>
    <x v="2"/>
    <x v="1"/>
    <x v="0"/>
    <s v="5601200"/>
    <n v="450040"/>
    <s v="Contr Allow--Phys Svcs--Managed Care"/>
    <s v="Hospitalist-Neurology"/>
    <x v="0"/>
    <n v="1400"/>
    <n v="10127.44"/>
    <n v="10201.530000000001"/>
    <n v="8543.0499999999993"/>
    <n v="10544.38"/>
    <n v="11770.12"/>
    <n v="16540.43"/>
    <n v="10645.66"/>
    <n v="12974.91"/>
    <n v="18623.98"/>
    <n v="16066.52"/>
    <n v="19197.32"/>
    <n v="15045.45"/>
    <n v="160280.79000000004"/>
    <n v="4151.869999999999"/>
  </r>
  <r>
    <x v="2"/>
    <x v="1"/>
    <x v="0"/>
    <s v="5601200"/>
    <n v="450040"/>
    <s v="Contr Allow--Phys Svcs--BCBS Mgnd Care"/>
    <s v="Hospitalist-Neurology"/>
    <x v="0"/>
    <n v="1401"/>
    <n v="-10930.01"/>
    <n v="-1442.43"/>
    <n v="-1676.88"/>
    <n v="-11219.81"/>
    <n v="20513.330000000002"/>
    <n v="19663.740000000002"/>
    <n v="15168.6"/>
    <n v="21741.29"/>
    <n v="-27424.14"/>
    <n v="-5810.58"/>
    <n v="10155.02"/>
    <n v="-14554.6"/>
    <n v="14183.530000000008"/>
    <n v="24709.620000000003"/>
  </r>
  <r>
    <x v="2"/>
    <x v="1"/>
    <x v="0"/>
    <s v="5601200"/>
    <n v="450040"/>
    <s v="Prompt Pay Disc-Phys Svcs-Self Pay"/>
    <s v="Hospitalist-Neurology"/>
    <x v="0"/>
    <n v="1500"/>
    <n v="0"/>
    <n v="0"/>
    <n v="0"/>
    <n v="0"/>
    <n v="0"/>
    <n v="0"/>
    <n v="-630.33000000000004"/>
    <n v="0"/>
    <n v="0"/>
    <n v="0"/>
    <n v="665.07"/>
    <n v="0"/>
    <n v="34.740000000000009"/>
    <n v="665.07"/>
  </r>
  <r>
    <x v="2"/>
    <x v="1"/>
    <x v="0"/>
    <s v="5601200"/>
    <n v="450040"/>
    <s v="Admin Adjust-Phys Svcs-Self Pay"/>
    <s v="Hospitalist-Neurology"/>
    <x v="0"/>
    <n v="1600"/>
    <n v="2804.61"/>
    <n v="411.35"/>
    <n v="2731.84"/>
    <n v="810.55"/>
    <n v="1749.04"/>
    <n v="735.56"/>
    <n v="1576.69"/>
    <n v="2851.17"/>
    <n v="3379.76"/>
    <n v="821.95"/>
    <n v="102.42"/>
    <n v="-108.59"/>
    <n v="17866.349999999999"/>
    <n v="211.01"/>
  </r>
  <r>
    <x v="2"/>
    <x v="1"/>
    <x v="0"/>
    <s v="5601200"/>
    <n v="450040"/>
    <s v="Contr Allow--Phys Svcs--Other"/>
    <s v="Hospitalist-Neurology"/>
    <x v="0"/>
    <n v="1700"/>
    <n v="1431.11"/>
    <n v="2636.02"/>
    <n v="1852.61"/>
    <n v="3136.59"/>
    <n v="2998.35"/>
    <n v="2445.02"/>
    <n v="6704.51"/>
    <n v="2637.11"/>
    <n v="3653.33"/>
    <n v="6769.4"/>
    <n v="4041.79"/>
    <n v="8060.64"/>
    <n v="46366.48"/>
    <n v="-4018.8500000000004"/>
  </r>
  <r>
    <x v="3"/>
    <x v="1"/>
    <x v="0"/>
    <s v="5601200"/>
    <n v="470040"/>
    <s v="Charity Care-Physician Svcs"/>
    <s v="Hospitalist-Neurology"/>
    <x v="0"/>
    <m/>
    <n v="-85.47"/>
    <n v="3388.93"/>
    <n v="97.09"/>
    <n v="148.22"/>
    <n v="2884.75"/>
    <n v="1542.45"/>
    <n v="1255.0999999999999"/>
    <n v="1214.22"/>
    <n v="2119.63"/>
    <n v="452.54"/>
    <n v="1725.98"/>
    <n v="2332.89"/>
    <n v="17076.329999999998"/>
    <n v="-606.90999999999985"/>
  </r>
  <r>
    <x v="4"/>
    <x v="1"/>
    <x v="0"/>
    <s v="5601200"/>
    <n v="490010"/>
    <s v="Provision for Bad Debts"/>
    <s v="Hospitalist-Neurology"/>
    <x v="0"/>
    <m/>
    <n v="141.51"/>
    <n v="1484.08"/>
    <n v="562.64"/>
    <n v="6842.26"/>
    <n v="5682.66"/>
    <n v="2899.01"/>
    <n v="2310.9"/>
    <n v="2095.11"/>
    <n v="1644.94"/>
    <n v="1619.04"/>
    <n v="6108.62"/>
    <n v="2589.04"/>
    <n v="33979.81"/>
    <n v="3519.58"/>
  </r>
  <r>
    <x v="14"/>
    <x v="1"/>
    <x v="0"/>
    <s v="5601200"/>
    <n v="600050"/>
    <s v="Miscellaneous Revenue"/>
    <s v="Hospitalist-Neurology"/>
    <x v="0"/>
    <m/>
    <n v="-3500"/>
    <n v="-3500"/>
    <n v="-3500"/>
    <n v="-3500"/>
    <n v="-3500"/>
    <n v="-3654.73"/>
    <n v="-3500"/>
    <n v="-3500"/>
    <n v="-3500"/>
    <n v="-3500"/>
    <n v="-3500"/>
    <n v="-3500"/>
    <n v="-42154.729999999996"/>
    <n v="0"/>
  </r>
  <r>
    <x v="5"/>
    <x v="1"/>
    <x v="0"/>
    <s v="5601200"/>
    <n v="700014"/>
    <s v="Salaries-Management-Productive"/>
    <s v="Hospitalist-Neurology"/>
    <x v="0"/>
    <m/>
    <n v="0"/>
    <n v="0"/>
    <n v="0"/>
    <n v="545.47"/>
    <n v="-242.43"/>
    <n v="0"/>
    <n v="0"/>
    <n v="0"/>
    <n v="0"/>
    <n v="0"/>
    <n v="0"/>
    <n v="0"/>
    <n v="303.04000000000002"/>
    <n v="0"/>
  </r>
  <r>
    <x v="5"/>
    <x v="1"/>
    <x v="0"/>
    <s v="5601200"/>
    <n v="700020"/>
    <s v="Salaries-Physician Admin-Other"/>
    <s v="Hospitalist-Neurology"/>
    <x v="0"/>
    <n v="2000"/>
    <n v="3500"/>
    <n v="3500"/>
    <n v="3500"/>
    <n v="3500"/>
    <n v="3500"/>
    <n v="3500"/>
    <n v="3500"/>
    <n v="3500"/>
    <n v="3500"/>
    <n v="3500"/>
    <n v="3500"/>
    <n v="3500"/>
    <n v="42000"/>
    <n v="0"/>
  </r>
  <r>
    <x v="5"/>
    <x v="1"/>
    <x v="0"/>
    <s v="5601200"/>
    <n v="700022"/>
    <s v="Salaries-Physician-Productive"/>
    <s v="Hospitalist-Neurology"/>
    <x v="0"/>
    <m/>
    <n v="73699.97"/>
    <n v="77050.03"/>
    <n v="67000"/>
    <n v="96780.76"/>
    <n v="97815.4"/>
    <n v="93369.21"/>
    <n v="98027.02"/>
    <n v="89053.52"/>
    <n v="93506.21"/>
    <n v="97958.82"/>
    <n v="102371.66"/>
    <n v="88910.92"/>
    <n v="1075543.52"/>
    <n v="13460.740000000005"/>
  </r>
  <r>
    <x v="5"/>
    <x v="1"/>
    <x v="0"/>
    <s v="5601200"/>
    <n v="700022"/>
    <s v="Salaries-Physician-Other"/>
    <s v="Hospitalist-Neurology"/>
    <x v="0"/>
    <n v="2000"/>
    <n v="0"/>
    <n v="10500"/>
    <n v="0"/>
    <n v="29400"/>
    <n v="12600"/>
    <n v="0"/>
    <n v="10515.4"/>
    <n v="0"/>
    <n v="0"/>
    <n v="0"/>
    <n v="0"/>
    <n v="0"/>
    <n v="63015.4"/>
    <n v="0"/>
  </r>
  <r>
    <x v="5"/>
    <x v="1"/>
    <x v="0"/>
    <s v="5601200"/>
    <n v="700022"/>
    <s v="Salaries-Physician-Provider Incentive"/>
    <s v="Hospitalist-Neurology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5601200"/>
    <n v="700026"/>
    <s v="Salaries-RN-Productive"/>
    <s v="Hospitalist-Neurology"/>
    <x v="0"/>
    <m/>
    <n v="0"/>
    <n v="0"/>
    <n v="0"/>
    <n v="0"/>
    <n v="0"/>
    <n v="0"/>
    <n v="0"/>
    <n v="0"/>
    <n v="0"/>
    <n v="944.23"/>
    <n v="1851.48"/>
    <n v="0"/>
    <n v="2795.71"/>
    <n v="1851.48"/>
  </r>
  <r>
    <x v="5"/>
    <x v="1"/>
    <x v="0"/>
    <s v="5601200"/>
    <n v="700030"/>
    <s v="Salaries-LPN-Productive"/>
    <s v="Hospitalist-Neurology"/>
    <x v="0"/>
    <m/>
    <n v="6599.51"/>
    <n v="9562.75"/>
    <n v="6232.18"/>
    <n v="8285.5400000000009"/>
    <n v="7682.62"/>
    <n v="7492.3"/>
    <n v="7887.37"/>
    <n v="7344.66"/>
    <n v="7748.51"/>
    <n v="2811.07"/>
    <n v="9461.1299999999992"/>
    <n v="7441.32"/>
    <n v="88548.960000000021"/>
    <n v="2019.8099999999995"/>
  </r>
  <r>
    <x v="5"/>
    <x v="1"/>
    <x v="0"/>
    <s v="5601200"/>
    <n v="700030"/>
    <s v="Salaries-LPN-OT"/>
    <s v="Hospitalist-Neurology"/>
    <x v="0"/>
    <n v="1000"/>
    <n v="630.28"/>
    <n v="150.16"/>
    <n v="593.22"/>
    <n v="29.74"/>
    <n v="327.48"/>
    <n v="126.03"/>
    <n v="1372.76"/>
    <n v="-212.88"/>
    <n v="-255.84"/>
    <n v="667.92"/>
    <n v="1424.69"/>
    <n v="958.32"/>
    <n v="5811.8799999999992"/>
    <n v="466.37"/>
  </r>
  <r>
    <x v="5"/>
    <x v="1"/>
    <x v="0"/>
    <s v="5601200"/>
    <n v="700030"/>
    <s v="Salaries-LPN-Other"/>
    <s v="Hospitalist-Neurology"/>
    <x v="0"/>
    <n v="2000"/>
    <n v="0"/>
    <n v="0"/>
    <n v="0"/>
    <n v="0"/>
    <n v="0"/>
    <n v="12.8"/>
    <n v="0"/>
    <n v="0"/>
    <n v="0"/>
    <n v="0"/>
    <n v="0"/>
    <n v="0"/>
    <n v="12.8"/>
    <n v="0"/>
  </r>
  <r>
    <x v="5"/>
    <x v="1"/>
    <x v="0"/>
    <s v="5601200"/>
    <n v="700032"/>
    <s v="Salaries-Other Pat Care Providers-Productive"/>
    <s v="Hospitalist-Neurology"/>
    <x v="0"/>
    <m/>
    <n v="0"/>
    <n v="3309.59"/>
    <n v="2418.09"/>
    <n v="-637.49"/>
    <n v="0"/>
    <n v="0"/>
    <n v="0"/>
    <n v="0"/>
    <n v="0"/>
    <n v="0"/>
    <n v="1478.89"/>
    <n v="0"/>
    <n v="6569.0800000000008"/>
    <n v="1478.89"/>
  </r>
  <r>
    <x v="5"/>
    <x v="1"/>
    <x v="0"/>
    <s v="5601200"/>
    <n v="700054"/>
    <s v="Salaries-Management-NonProd-Other"/>
    <s v="Hospitalist-Neurology"/>
    <x v="0"/>
    <n v="2000"/>
    <n v="0"/>
    <n v="0"/>
    <n v="0"/>
    <n v="0"/>
    <n v="0"/>
    <n v="349.49"/>
    <n v="-349.49"/>
    <n v="0"/>
    <n v="0"/>
    <n v="0"/>
    <n v="0"/>
    <n v="0"/>
    <n v="0"/>
    <n v="0"/>
  </r>
  <r>
    <x v="5"/>
    <x v="1"/>
    <x v="0"/>
    <s v="5601200"/>
    <n v="700062"/>
    <s v="Salaries-Physician-Non-productive"/>
    <s v="Hospitalist-Neurology"/>
    <x v="0"/>
    <m/>
    <n v="0"/>
    <n v="0"/>
    <n v="0"/>
    <n v="0"/>
    <n v="0"/>
    <n v="0"/>
    <n v="4391.03"/>
    <n v="0"/>
    <n v="0"/>
    <n v="0"/>
    <n v="0"/>
    <n v="0"/>
    <n v="4391.03"/>
    <n v="0"/>
  </r>
  <r>
    <x v="5"/>
    <x v="1"/>
    <x v="0"/>
    <s v="5601200"/>
    <n v="700064"/>
    <s v="Salaries-Advanced Practice Clinician-Non-Productive"/>
    <s v="Hospitalist-Neurology"/>
    <x v="0"/>
    <m/>
    <n v="0"/>
    <n v="0"/>
    <n v="0"/>
    <n v="850.45"/>
    <n v="931.79"/>
    <n v="930.65"/>
    <n v="926.22"/>
    <n v="913.24"/>
    <n v="917.38"/>
    <n v="910.38"/>
    <n v="908.53"/>
    <n v="901.82"/>
    <n v="8190.4599999999991"/>
    <n v="6.7099999999999227"/>
  </r>
  <r>
    <x v="5"/>
    <x v="1"/>
    <x v="0"/>
    <s v="5601200"/>
    <n v="700070"/>
    <s v="Salaries-LPN-Non-productive"/>
    <s v="Hospitalist-Neurology"/>
    <x v="0"/>
    <m/>
    <n v="1804.39"/>
    <n v="44.24"/>
    <n v="717.77"/>
    <n v="2241.86"/>
    <n v="2036.22"/>
    <n v="1068.27"/>
    <n v="2281.63"/>
    <n v="737.23"/>
    <n v="997.13"/>
    <n v="356.71"/>
    <n v="-73.25"/>
    <n v="343.4"/>
    <n v="12555.599999999999"/>
    <n v="-416.65"/>
  </r>
  <r>
    <x v="5"/>
    <x v="1"/>
    <x v="0"/>
    <s v="5601200"/>
    <n v="700070"/>
    <s v="Salaries-LPN-NonProd-Other"/>
    <s v="Hospitalist-Neurology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01200"/>
    <n v="700072"/>
    <s v="Salaries-Other Pat Care Providers-Non-productive"/>
    <s v="Hospitalist-Neurology"/>
    <x v="0"/>
    <m/>
    <n v="0"/>
    <n v="297.98"/>
    <n v="185.63"/>
    <n v="-24.42"/>
    <n v="0"/>
    <n v="0"/>
    <n v="0"/>
    <n v="0"/>
    <n v="0"/>
    <n v="0"/>
    <n v="0"/>
    <n v="0"/>
    <n v="459.19"/>
    <n v="0"/>
  </r>
  <r>
    <x v="5"/>
    <x v="1"/>
    <x v="0"/>
    <s v="5601200"/>
    <n v="700084"/>
    <s v="Accrued PTO"/>
    <s v="Hospitalist-Neurology"/>
    <x v="0"/>
    <m/>
    <n v="-1060.18"/>
    <n v="927.94"/>
    <n v="368.38"/>
    <n v="-1281.6400000000001"/>
    <n v="-134.63999999999999"/>
    <n v="-55.11"/>
    <n v="-153.37"/>
    <n v="106"/>
    <n v="62.89"/>
    <n v="20.77"/>
    <n v="947.4"/>
    <n v="1308.1300000000001"/>
    <n v="1056.5700000000002"/>
    <n v="-360.73000000000013"/>
  </r>
  <r>
    <x v="6"/>
    <x v="1"/>
    <x v="0"/>
    <s v="5601200"/>
    <n v="713010"/>
    <s v="Benefits-FICA/Medicare"/>
    <s v="Hospitalist-Neurology"/>
    <x v="0"/>
    <m/>
    <n v="1827.73"/>
    <n v="2363.9299999999998"/>
    <n v="1820.13"/>
    <n v="3916.95"/>
    <n v="4056.4"/>
    <n v="5839.66"/>
    <n v="9697.2999999999993"/>
    <n v="7584.2"/>
    <n v="7967.27"/>
    <n v="8048.32"/>
    <n v="7348.86"/>
    <n v="1837.36"/>
    <n v="62308.109999999993"/>
    <n v="5511.5"/>
  </r>
  <r>
    <x v="6"/>
    <x v="1"/>
    <x v="0"/>
    <s v="5601200"/>
    <n v="713090"/>
    <s v="Benefits-Allocated Amounts"/>
    <s v="Hospitalist-Neurology"/>
    <x v="0"/>
    <m/>
    <n v="0"/>
    <n v="0"/>
    <n v="0"/>
    <n v="0"/>
    <n v="0"/>
    <n v="0"/>
    <n v="0"/>
    <n v="0"/>
    <n v="35155.99"/>
    <n v="3902.83"/>
    <n v="4560.25"/>
    <n v="4052.86"/>
    <n v="47671.93"/>
    <n v="507.38999999999987"/>
  </r>
  <r>
    <x v="6"/>
    <x v="1"/>
    <x v="0"/>
    <s v="5601200"/>
    <n v="713092"/>
    <s v="Allocated Benefits-Physician"/>
    <s v="Hospitalist-Neurology"/>
    <x v="0"/>
    <m/>
    <n v="7970.44"/>
    <n v="8813.2999999999993"/>
    <n v="8086.27"/>
    <n v="10007.18"/>
    <n v="9957.83"/>
    <n v="10115.92"/>
    <n v="12254.76"/>
    <n v="10970.16"/>
    <n v="-23470.2"/>
    <n v="6073.14"/>
    <n v="7096.13"/>
    <n v="6306.6"/>
    <n v="74181.530000000013"/>
    <n v="789.52999999999975"/>
  </r>
  <r>
    <x v="7"/>
    <x v="1"/>
    <x v="0"/>
    <s v="5601200"/>
    <n v="718050"/>
    <s v="Miscellaneous Purchased Svcs"/>
    <s v="Hospitalist-Neurology"/>
    <x v="0"/>
    <n v="1020"/>
    <n v="51.41"/>
    <n v="-55.1"/>
    <n v="54.67"/>
    <n v="38.89"/>
    <n v="80.260000000000005"/>
    <n v="41.62"/>
    <n v="54.67"/>
    <n v="50.19"/>
    <n v="69.7"/>
    <n v="4.5599999999999996"/>
    <n v="90.16"/>
    <n v="58.89"/>
    <n v="539.91999999999996"/>
    <n v="31.269999999999996"/>
  </r>
  <r>
    <x v="11"/>
    <x v="1"/>
    <x v="0"/>
    <s v="5601200"/>
    <n v="721250"/>
    <s v="Supplies-Pharmacy Drugs - Billable"/>
    <s v="Hospitalist-Neurology"/>
    <x v="0"/>
    <m/>
    <n v="0"/>
    <n v="0"/>
    <n v="0"/>
    <n v="0"/>
    <n v="0"/>
    <n v="0"/>
    <n v="0"/>
    <n v="0"/>
    <n v="0"/>
    <n v="10.5"/>
    <n v="0"/>
    <n v="0"/>
    <n v="10.5"/>
    <n v="0"/>
  </r>
  <r>
    <x v="11"/>
    <x v="1"/>
    <x v="0"/>
    <s v="5601200"/>
    <n v="721980"/>
    <s v="Supplies-Other"/>
    <s v="Hospitalist-Neurology"/>
    <x v="0"/>
    <m/>
    <n v="0"/>
    <n v="0"/>
    <n v="0"/>
    <n v="0"/>
    <n v="0"/>
    <n v="0"/>
    <n v="0"/>
    <n v="0"/>
    <n v="0"/>
    <n v="17.239999999999998"/>
    <n v="0"/>
    <n v="0"/>
    <n v="17.239999999999998"/>
    <n v="0"/>
  </r>
  <r>
    <x v="0"/>
    <x v="1"/>
    <x v="0"/>
    <s v="5601200"/>
    <n v="740022"/>
    <s v="Education-Physician"/>
    <s v="Hospitalist-Neurology"/>
    <x v="0"/>
    <m/>
    <n v="0"/>
    <n v="0"/>
    <n v="0"/>
    <n v="0"/>
    <n v="0"/>
    <n v="0"/>
    <n v="0"/>
    <n v="0"/>
    <n v="0"/>
    <n v="175"/>
    <n v="1005"/>
    <n v="2175"/>
    <n v="3355"/>
    <n v="-1170"/>
  </r>
  <r>
    <x v="8"/>
    <x v="1"/>
    <x v="0"/>
    <s v="5601200"/>
    <n v="741012"/>
    <s v="Physician Liab Insurance-CHI Program"/>
    <s v="Hospitalist-Neurology"/>
    <x v="0"/>
    <m/>
    <n v="1539.42"/>
    <n v="1539.42"/>
    <n v="1539.42"/>
    <n v="1999.68"/>
    <n v="1999.68"/>
    <n v="1999.67"/>
    <n v="1999.68"/>
    <n v="1999.66"/>
    <n v="1999.68"/>
    <n v="1999.66"/>
    <n v="1999.68"/>
    <n v="1999.66"/>
    <n v="22615.31"/>
    <n v="1.999999999998181E-2"/>
  </r>
  <r>
    <x v="0"/>
    <x v="1"/>
    <x v="0"/>
    <s v="5601200"/>
    <n v="743020"/>
    <s v="Provider-Dues"/>
    <s v="Hospitalist-Neurology"/>
    <x v="0"/>
    <n v="2200"/>
    <n v="0"/>
    <n v="0"/>
    <n v="0"/>
    <n v="0"/>
    <n v="0"/>
    <n v="0"/>
    <n v="0"/>
    <n v="998"/>
    <n v="0"/>
    <n v="0"/>
    <n v="0"/>
    <n v="0"/>
    <n v="998"/>
    <n v="0"/>
  </r>
  <r>
    <x v="0"/>
    <x v="1"/>
    <x v="0"/>
    <s v="5601200"/>
    <n v="743022"/>
    <s v="Dues-Physician"/>
    <s v="Hospitalist-Neurology"/>
    <x v="0"/>
    <m/>
    <n v="0"/>
    <n v="0"/>
    <n v="0"/>
    <n v="0"/>
    <n v="0"/>
    <n v="1739"/>
    <n v="1155"/>
    <n v="834"/>
    <n v="0"/>
    <n v="0"/>
    <n v="0"/>
    <n v="0"/>
    <n v="3728"/>
    <n v="0"/>
  </r>
  <r>
    <x v="0"/>
    <x v="1"/>
    <x v="0"/>
    <s v="5601200"/>
    <n v="743042"/>
    <s v="Subscriptions-Physician"/>
    <s v="Hospitalist-Neurology"/>
    <x v="0"/>
    <m/>
    <n v="0"/>
    <n v="0"/>
    <n v="0"/>
    <n v="0"/>
    <n v="0"/>
    <n v="0"/>
    <n v="0"/>
    <n v="0"/>
    <n v="383.55"/>
    <n v="0"/>
    <n v="0"/>
    <n v="0"/>
    <n v="383.55"/>
    <n v="0"/>
  </r>
  <r>
    <x v="0"/>
    <x v="1"/>
    <x v="0"/>
    <s v="5601200"/>
    <n v="744012"/>
    <s v="Recruitment-Physician"/>
    <s v="Hospitalist-Neurology"/>
    <x v="0"/>
    <m/>
    <n v="0"/>
    <n v="0"/>
    <n v="0"/>
    <n v="0"/>
    <n v="0"/>
    <n v="0"/>
    <n v="0"/>
    <n v="0"/>
    <n v="0"/>
    <n v="162.5"/>
    <n v="0"/>
    <n v="0"/>
    <n v="162.5"/>
    <n v="0"/>
  </r>
  <r>
    <x v="0"/>
    <x v="1"/>
    <x v="0"/>
    <s v="5601200"/>
    <n v="749510"/>
    <s v="Miscellaneous Expenses"/>
    <s v="Hospitalist-Neurology"/>
    <x v="0"/>
    <m/>
    <n v="-3913.23"/>
    <n v="0"/>
    <n v="0"/>
    <n v="0"/>
    <n v="485"/>
    <n v="-485"/>
    <n v="1565"/>
    <n v="-1181.45"/>
    <n v="-383.55"/>
    <n v="0"/>
    <n v="1400"/>
    <n v="-1400"/>
    <n v="-3913.2300000000005"/>
    <n v="2800"/>
  </r>
  <r>
    <x v="0"/>
    <x v="1"/>
    <x v="0"/>
    <s v="5601200"/>
    <n v="749512"/>
    <s v="Licenses-Physician"/>
    <s v="Hospitalist-Neurology"/>
    <x v="0"/>
    <n v="2000"/>
    <n v="0"/>
    <n v="0"/>
    <n v="731"/>
    <n v="0"/>
    <n v="731"/>
    <n v="441"/>
    <n v="0"/>
    <n v="731"/>
    <n v="0"/>
    <n v="1314.55"/>
    <n v="0"/>
    <n v="0"/>
    <n v="3948.55"/>
    <n v="0"/>
  </r>
  <r>
    <x v="0"/>
    <x v="1"/>
    <x v="0"/>
    <s v="5601200"/>
    <n v="749532"/>
    <s v="Travel-Physician"/>
    <s v="Hospitalist-Neurology"/>
    <x v="0"/>
    <m/>
    <n v="0"/>
    <n v="0"/>
    <n v="0"/>
    <n v="0"/>
    <n v="0"/>
    <n v="0"/>
    <n v="0"/>
    <n v="0"/>
    <n v="0"/>
    <n v="0"/>
    <n v="1738.56"/>
    <n v="771.27"/>
    <n v="2509.83"/>
    <n v="967.29"/>
  </r>
  <r>
    <x v="9"/>
    <x v="1"/>
    <x v="0"/>
    <s v="5601200"/>
    <n v="800015"/>
    <s v="Interest Income-Ext to CHI"/>
    <s v="Hospitalist-Neurology"/>
    <x v="0"/>
    <m/>
    <n v="0"/>
    <n v="0"/>
    <n v="0"/>
    <n v="-17.12"/>
    <n v="-98.45"/>
    <n v="-97.31"/>
    <n v="-92.89"/>
    <n v="-79.900000000000006"/>
    <n v="-84.04"/>
    <n v="-77.05"/>
    <n v="-75.19"/>
    <n v="-68.489999999999995"/>
    <n v="-690.44"/>
    <n v="-6.7000000000000028"/>
  </r>
  <r>
    <x v="1"/>
    <x v="1"/>
    <x v="0"/>
    <s v="5602200"/>
    <n v="400040"/>
    <s v="Physician Svcs Rev--Medicare"/>
    <s v="Hospitalist-Gen Surg/FAST"/>
    <x v="0"/>
    <n v="1100"/>
    <n v="-3223"/>
    <n v="-1247"/>
    <n v="0"/>
    <n v="0"/>
    <n v="-1740"/>
    <n v="-2823"/>
    <n v="-2987"/>
    <n v="-279"/>
    <n v="-2382"/>
    <n v="-2440"/>
    <n v="-3852"/>
    <n v="0"/>
    <n v="-20973"/>
    <n v="-3852"/>
  </r>
  <r>
    <x v="1"/>
    <x v="1"/>
    <x v="0"/>
    <s v="5602200"/>
    <n v="400040"/>
    <s v="Physician Svcs Rev--Medicaid"/>
    <s v="Hospitalist-Gen Surg/FAST"/>
    <x v="0"/>
    <n v="1200"/>
    <n v="-2520"/>
    <n v="-3692"/>
    <n v="0"/>
    <n v="-1686"/>
    <n v="-1814"/>
    <n v="0"/>
    <n v="-1686"/>
    <n v="-952"/>
    <n v="-3410"/>
    <n v="-6050"/>
    <n v="0"/>
    <n v="0"/>
    <n v="-21810"/>
    <n v="0"/>
  </r>
  <r>
    <x v="1"/>
    <x v="1"/>
    <x v="0"/>
    <s v="5602200"/>
    <n v="400040"/>
    <s v="Physician Svcs Rev--Comm Insurance"/>
    <s v="Hospitalist-Gen Surg/FAST"/>
    <x v="0"/>
    <n v="1300"/>
    <n v="0"/>
    <n v="0"/>
    <n v="0"/>
    <n v="0"/>
    <n v="0"/>
    <n v="0"/>
    <n v="-548"/>
    <n v="0"/>
    <n v="0"/>
    <n v="0"/>
    <n v="-376"/>
    <n v="0"/>
    <n v="-924"/>
    <n v="-376"/>
  </r>
  <r>
    <x v="1"/>
    <x v="1"/>
    <x v="0"/>
    <s v="5602200"/>
    <n v="400040"/>
    <s v="Physician Svcs Rev--BCBS Comm"/>
    <s v="Hospitalist-Gen Surg/FAST"/>
    <x v="0"/>
    <n v="1301"/>
    <n v="-293"/>
    <n v="0"/>
    <n v="0"/>
    <n v="0"/>
    <n v="-376"/>
    <n v="0"/>
    <n v="0"/>
    <n v="-316"/>
    <n v="-374"/>
    <n v="0"/>
    <n v="0"/>
    <n v="0"/>
    <n v="-1359"/>
    <n v="0"/>
  </r>
  <r>
    <x v="1"/>
    <x v="1"/>
    <x v="0"/>
    <s v="5602200"/>
    <n v="400040"/>
    <s v="Physician Svcs Rev--Managed Care"/>
    <s v="Hospitalist-Gen Surg/FAST"/>
    <x v="0"/>
    <n v="1400"/>
    <n v="-495"/>
    <n v="0"/>
    <n v="0"/>
    <n v="-279"/>
    <n v="-942"/>
    <n v="0"/>
    <n v="-3758"/>
    <n v="-170"/>
    <n v="-1"/>
    <n v="-27563"/>
    <n v="-2997"/>
    <n v="0"/>
    <n v="-36205"/>
    <n v="-2997"/>
  </r>
  <r>
    <x v="1"/>
    <x v="1"/>
    <x v="0"/>
    <s v="5602200"/>
    <n v="400040"/>
    <s v="Physician Svcs Rev--Self Pay"/>
    <s v="Hospitalist-Gen Surg/FAST"/>
    <x v="0"/>
    <n v="1500"/>
    <n v="0"/>
    <n v="-1686"/>
    <n v="-3372"/>
    <n v="0"/>
    <n v="0"/>
    <n v="-1846"/>
    <n v="0"/>
    <n v="0"/>
    <n v="0"/>
    <n v="0"/>
    <n v="-3441"/>
    <n v="0"/>
    <n v="-10345"/>
    <n v="-3441"/>
  </r>
  <r>
    <x v="1"/>
    <x v="1"/>
    <x v="0"/>
    <s v="5602200"/>
    <n v="400040"/>
    <s v="Physician Svcs Rev--Other"/>
    <s v="Hospitalist-Gen Surg/FAST"/>
    <x v="0"/>
    <n v="1700"/>
    <n v="293"/>
    <n v="0"/>
    <n v="3372"/>
    <n v="3918"/>
    <n v="0"/>
    <n v="0"/>
    <n v="337"/>
    <n v="0"/>
    <n v="0"/>
    <n v="-2064"/>
    <n v="0"/>
    <n v="0"/>
    <n v="5856"/>
    <n v="0"/>
  </r>
  <r>
    <x v="2"/>
    <x v="1"/>
    <x v="0"/>
    <s v="5602200"/>
    <n v="450040"/>
    <s v="Contr Allow--Phys Svcs--Mcare"/>
    <s v="Hospitalist-Gen Surg/FAST"/>
    <x v="0"/>
    <n v="1100"/>
    <n v="886.6"/>
    <n v="1169.28"/>
    <n v="797.8"/>
    <n v="376"/>
    <n v="717.26"/>
    <n v="864.54"/>
    <n v="2312.59"/>
    <n v="-284.45"/>
    <n v="1642.21"/>
    <n v="618.11"/>
    <n v="1422.86"/>
    <n v="2782.23"/>
    <n v="13305.030000000002"/>
    <n v="-1359.3700000000001"/>
  </r>
  <r>
    <x v="2"/>
    <x v="1"/>
    <x v="0"/>
    <s v="5602200"/>
    <n v="450040"/>
    <s v="Contr Allow--Phys Svcs--Mcaid"/>
    <s v="Hospitalist-Gen Surg/FAST"/>
    <x v="0"/>
    <n v="1200"/>
    <n v="131.74"/>
    <n v="1912.33"/>
    <n v="6209"/>
    <n v="1708.69"/>
    <n v="3674.61"/>
    <n v="131.74"/>
    <n v="1826.32"/>
    <n v="1302.6300000000001"/>
    <n v="-419.13"/>
    <n v="890.81"/>
    <n v="1423.2"/>
    <n v="7896"/>
    <n v="26687.940000000002"/>
    <n v="-6472.8"/>
  </r>
  <r>
    <x v="2"/>
    <x v="1"/>
    <x v="0"/>
    <s v="5602200"/>
    <n v="450040"/>
    <s v="Contr Allow--Phys Svcs--Comm Insurance"/>
    <s v="Hospitalist-Gen Surg/FAST"/>
    <x v="0"/>
    <n v="1300"/>
    <n v="0"/>
    <n v="0"/>
    <n v="126.56"/>
    <n v="0"/>
    <n v="0"/>
    <n v="0"/>
    <n v="184"/>
    <n v="0"/>
    <n v="0"/>
    <n v="0"/>
    <n v="0"/>
    <n v="91.5"/>
    <n v="402.06"/>
    <n v="-91.5"/>
  </r>
  <r>
    <x v="2"/>
    <x v="1"/>
    <x v="0"/>
    <s v="5602200"/>
    <n v="450040"/>
    <s v="Contr Allow--Phys Svcs--BCBS Comm Ins"/>
    <s v="Hospitalist-Gen Surg/FAST"/>
    <x v="0"/>
    <n v="1301"/>
    <n v="149.16"/>
    <n v="-154.72999999999999"/>
    <n v="0"/>
    <n v="0"/>
    <n v="0"/>
    <n v="1723.58"/>
    <n v="0"/>
    <n v="0"/>
    <n v="134.31"/>
    <n v="-578.1"/>
    <n v="0"/>
    <n v="-832.58"/>
    <n v="441.63999999999976"/>
    <n v="832.58"/>
  </r>
  <r>
    <x v="2"/>
    <x v="1"/>
    <x v="0"/>
    <s v="5602200"/>
    <n v="450040"/>
    <s v="Contr Allow--Phys Svcs--Managed Care"/>
    <s v="Hospitalist-Gen Surg/FAST"/>
    <x v="0"/>
    <n v="1400"/>
    <n v="0"/>
    <n v="1359.81"/>
    <n v="0"/>
    <n v="958.21"/>
    <n v="2611.73"/>
    <n v="162.74"/>
    <n v="0"/>
    <n v="3532.98"/>
    <n v="119.57"/>
    <n v="35.04"/>
    <n v="1860.55"/>
    <n v="27563"/>
    <n v="38203.629999999997"/>
    <n v="-25702.45"/>
  </r>
  <r>
    <x v="2"/>
    <x v="1"/>
    <x v="0"/>
    <s v="5602200"/>
    <n v="450040"/>
    <s v="Contr Allow--Phys Svcs--BCBS Mgnd Care"/>
    <s v="Hospitalist-Gen Surg/FAST"/>
    <x v="0"/>
    <n v="1401"/>
    <n v="2028.3"/>
    <n v="-4746.7"/>
    <n v="-1929.63"/>
    <n v="-5564.98"/>
    <n v="-2212.41"/>
    <n v="-280.06"/>
    <n v="531.86"/>
    <n v="-2618.1799999999998"/>
    <n v="836.54"/>
    <n v="19525.64"/>
    <n v="-1069.0899999999999"/>
    <n v="-24845.31"/>
    <n v="-20344.02"/>
    <n v="23776.22"/>
  </r>
  <r>
    <x v="2"/>
    <x v="1"/>
    <x v="0"/>
    <s v="5602200"/>
    <n v="450040"/>
    <s v="Prompt Pay Disc-Phys Svcs-Self Pay"/>
    <s v="Hospitalist-Gen Surg/FAST"/>
    <x v="0"/>
    <n v="1500"/>
    <n v="0"/>
    <n v="0"/>
    <n v="0"/>
    <n v="0"/>
    <n v="0"/>
    <n v="0"/>
    <n v="-38.14"/>
    <n v="0"/>
    <n v="0"/>
    <n v="0"/>
    <n v="0"/>
    <n v="0"/>
    <n v="-38.14"/>
    <n v="0"/>
  </r>
  <r>
    <x v="2"/>
    <x v="1"/>
    <x v="0"/>
    <s v="5602200"/>
    <n v="450040"/>
    <s v="Admin Adjust-Phys Svcs-Self Pay"/>
    <s v="Hospitalist-Gen Surg/FAST"/>
    <x v="0"/>
    <n v="1600"/>
    <n v="0"/>
    <n v="4195.12"/>
    <n v="-1929.92"/>
    <n v="1632.4"/>
    <n v="0"/>
    <n v="684.77"/>
    <n v="-346.99"/>
    <n v="238.06"/>
    <n v="0"/>
    <n v="0"/>
    <n v="1273.17"/>
    <n v="4894.26"/>
    <n v="10640.87"/>
    <n v="-3621.09"/>
  </r>
  <r>
    <x v="2"/>
    <x v="1"/>
    <x v="0"/>
    <s v="5602200"/>
    <n v="450040"/>
    <s v="Contr Allow--Phys Svcs--Other"/>
    <s v="Hospitalist-Gen Surg/FAST"/>
    <x v="0"/>
    <n v="1700"/>
    <n v="-802.92"/>
    <n v="175.77"/>
    <n v="-1086.73"/>
    <n v="531.6"/>
    <n v="0"/>
    <n v="0"/>
    <n v="-143.55000000000001"/>
    <n v="-97.07"/>
    <n v="0"/>
    <n v="0"/>
    <n v="0"/>
    <n v="1304.1400000000001"/>
    <n v="-118.75999999999999"/>
    <n v="-1304.1400000000001"/>
  </r>
  <r>
    <x v="3"/>
    <x v="1"/>
    <x v="0"/>
    <s v="5602200"/>
    <n v="470040"/>
    <s v="Charity Care-Physician Svcs"/>
    <s v="Hospitalist-Gen Surg/FAST"/>
    <x v="0"/>
    <m/>
    <n v="-8.7100000000000009"/>
    <n v="1314.36"/>
    <n v="-106.31"/>
    <n v="170.26"/>
    <n v="203.61"/>
    <n v="-121.35"/>
    <n v="294.91000000000003"/>
    <n v="-142.07"/>
    <n v="1943.67"/>
    <n v="564.1"/>
    <n v="-215.44"/>
    <n v="-743.19"/>
    <n v="3153.84"/>
    <n v="527.75"/>
  </r>
  <r>
    <x v="4"/>
    <x v="1"/>
    <x v="0"/>
    <s v="5602200"/>
    <n v="490010"/>
    <s v="Provision for Bad Debts"/>
    <s v="Hospitalist-Gen Surg/FAST"/>
    <x v="0"/>
    <m/>
    <n v="-296.61"/>
    <n v="2501.88"/>
    <n v="-785.63"/>
    <n v="-1929.12"/>
    <n v="-1776.32"/>
    <n v="1059.3"/>
    <n v="1044.6300000000001"/>
    <n v="639.66"/>
    <n v="-383.14"/>
    <n v="923.14"/>
    <n v="4742.49"/>
    <n v="-2823.4"/>
    <n v="2916.8799999999997"/>
    <n v="7565.8899999999994"/>
  </r>
  <r>
    <x v="14"/>
    <x v="1"/>
    <x v="0"/>
    <s v="5602200"/>
    <n v="600050"/>
    <s v="Miscellaneous Revenue"/>
    <s v="Hospitalist-Gen Surg/FAST"/>
    <x v="0"/>
    <m/>
    <n v="0"/>
    <n v="-2400"/>
    <n v="-8426"/>
    <n v="-4924"/>
    <n v="-2163"/>
    <n v="0"/>
    <n v="-8400"/>
    <n v="-5680"/>
    <n v="0"/>
    <n v="-6880"/>
    <n v="-3600"/>
    <n v="42473"/>
    <n v="0"/>
    <n v="-46073"/>
  </r>
  <r>
    <x v="5"/>
    <x v="1"/>
    <x v="0"/>
    <s v="5602200"/>
    <n v="700022"/>
    <s v="Salaries-Physician-Productive"/>
    <s v="Hospitalist-Gen Surg/FAST"/>
    <x v="0"/>
    <m/>
    <n v="32307.7"/>
    <n v="36120.629999999997"/>
    <n v="65488.93"/>
    <n v="34188.620000000003"/>
    <n v="34551.4"/>
    <n v="29378.46"/>
    <n v="-341635.3"/>
    <n v="104203.61"/>
    <n v="0"/>
    <n v="0"/>
    <n v="0"/>
    <n v="0"/>
    <n v="-5395.9499999999971"/>
    <n v="0"/>
  </r>
  <r>
    <x v="5"/>
    <x v="1"/>
    <x v="0"/>
    <s v="5602200"/>
    <n v="700022"/>
    <s v="Salaries-Physician-Other"/>
    <s v="Hospitalist-Gen Surg/FAST"/>
    <x v="0"/>
    <n v="2000"/>
    <n v="0"/>
    <n v="2400"/>
    <n v="8426"/>
    <n v="4924"/>
    <n v="2163"/>
    <n v="0"/>
    <n v="8400"/>
    <n v="5680"/>
    <n v="0"/>
    <n v="6880"/>
    <n v="3600"/>
    <n v="-42473"/>
    <n v="0"/>
    <n v="46073"/>
  </r>
  <r>
    <x v="5"/>
    <x v="1"/>
    <x v="0"/>
    <s v="5602200"/>
    <n v="700024"/>
    <s v="Salaries-Advanced Practice Clinician-Productive"/>
    <s v="Hospitalist-Gen Surg/FAST"/>
    <x v="0"/>
    <m/>
    <n v="8800.02"/>
    <n v="9815.41"/>
    <n v="7615.4"/>
    <n v="9730.7900000000009"/>
    <n v="3384.64"/>
    <n v="9984.6299999999992"/>
    <n v="8898.0300000000007"/>
    <n v="3610.02"/>
    <n v="-94425.19"/>
    <n v="32514.36"/>
    <n v="0"/>
    <n v="0"/>
    <n v="-71.890000000006694"/>
    <n v="0"/>
  </r>
  <r>
    <x v="5"/>
    <x v="1"/>
    <x v="0"/>
    <s v="5602200"/>
    <n v="700054"/>
    <s v="Salaries-Management-NonProd-Other"/>
    <s v="Hospitalist-Gen Surg/FAST"/>
    <x v="0"/>
    <n v="2000"/>
    <n v="0"/>
    <n v="0"/>
    <n v="0"/>
    <n v="0"/>
    <n v="0"/>
    <n v="578.48"/>
    <n v="-578.48"/>
    <n v="0"/>
    <n v="0"/>
    <n v="0"/>
    <n v="0"/>
    <n v="0"/>
    <n v="0"/>
    <n v="0"/>
  </r>
  <r>
    <x v="5"/>
    <x v="1"/>
    <x v="0"/>
    <s v="5602200"/>
    <n v="700062"/>
    <s v="Salaries-Physician-Non-productive"/>
    <s v="Hospitalist-Gen Surg/FAST"/>
    <x v="0"/>
    <m/>
    <n v="5728.16"/>
    <n v="258.7"/>
    <n v="11364.61"/>
    <n v="0"/>
    <n v="9230.77"/>
    <n v="4769.22"/>
    <n v="-33125.199999999997"/>
    <n v="9860.59"/>
    <n v="0"/>
    <n v="0"/>
    <n v="0"/>
    <n v="0"/>
    <n v="8086.8500000000058"/>
    <n v="0"/>
  </r>
  <r>
    <x v="5"/>
    <x v="1"/>
    <x v="0"/>
    <s v="5602200"/>
    <n v="700064"/>
    <s v="Salaries-Advanced Practice Clinician-Non-Productive"/>
    <s v="Hospitalist-Gen Surg/FAST"/>
    <x v="0"/>
    <m/>
    <n v="1675.71"/>
    <n v="1078.07"/>
    <n v="1999.8"/>
    <n v="1152.07"/>
    <n v="7066.45"/>
    <n v="41.45"/>
    <n v="1983.8"/>
    <n v="2236.5500000000002"/>
    <n v="-10785.56"/>
    <n v="4965.7700000000004"/>
    <n v="1114.9100000000001"/>
    <n v="-12529.02"/>
    <n v="0"/>
    <n v="13643.93"/>
  </r>
  <r>
    <x v="10"/>
    <x v="1"/>
    <x v="0"/>
    <s v="5602200"/>
    <n v="710040"/>
    <s v="Contract Labor-Physician (Locum Tenum)"/>
    <s v="Hospitalist-Gen Surg/FAST"/>
    <x v="0"/>
    <m/>
    <n v="0"/>
    <n v="0"/>
    <n v="0"/>
    <n v="0"/>
    <n v="0"/>
    <n v="0"/>
    <n v="0"/>
    <n v="0"/>
    <n v="0"/>
    <n v="0"/>
    <n v="0"/>
    <n v="194014.65"/>
    <n v="194014.65"/>
    <n v="-194014.65"/>
  </r>
  <r>
    <x v="6"/>
    <x v="1"/>
    <x v="0"/>
    <s v="5602200"/>
    <n v="713010"/>
    <s v="Benefits-FICA/Medicare"/>
    <s v="Hospitalist-Gen Surg/FAST"/>
    <x v="0"/>
    <m/>
    <n v="3378.09"/>
    <n v="3545.31"/>
    <n v="6161.05"/>
    <n v="760.12"/>
    <n v="1983.54"/>
    <n v="2400.54"/>
    <n v="-20115.849999999999"/>
    <n v="6907.68"/>
    <n v="-8278.7999999999993"/>
    <n v="2777.53"/>
    <n v="0"/>
    <n v="0"/>
    <n v="-480.78999999999587"/>
    <n v="0"/>
  </r>
  <r>
    <x v="6"/>
    <x v="1"/>
    <x v="0"/>
    <s v="5602200"/>
    <n v="713090"/>
    <s v="Benefits-Allocated Amounts"/>
    <s v="Hospitalist-Gen Surg/FAST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02200"/>
    <n v="713092"/>
    <s v="Allocated Benefits-Physician"/>
    <s v="Hospitalist-Gen Surg/FAST"/>
    <x v="0"/>
    <m/>
    <n v="3035.91"/>
    <n v="2764.9"/>
    <n v="5246.37"/>
    <n v="2792.99"/>
    <n v="3264.85"/>
    <n v="3051.86"/>
    <n v="-15319.83"/>
    <n v="4325.09"/>
    <n v="-9058.2900000000009"/>
    <n v="1001.08"/>
    <n v="124.22"/>
    <n v="-1308.49"/>
    <n v="-79.339999999999691"/>
    <n v="1432.71"/>
  </r>
  <r>
    <x v="6"/>
    <x v="1"/>
    <x v="0"/>
    <s v="5602200"/>
    <n v="713093"/>
    <s v="Allocated Benefits-Advanced Practice Clinician"/>
    <s v="Hospitalist-Gen Surg/FAST"/>
    <x v="0"/>
    <m/>
    <n v="751.35"/>
    <n v="684.27"/>
    <n v="1298.4100000000001"/>
    <n v="691.22"/>
    <n v="808.01"/>
    <n v="755.29"/>
    <n v="-3791.44"/>
    <n v="1070.3900000000001"/>
    <n v="-2186.41"/>
    <n v="781.62"/>
    <n v="96.99"/>
    <n v="-1021.65"/>
    <n v="-61.949999999999818"/>
    <n v="1118.6399999999999"/>
  </r>
  <r>
    <x v="7"/>
    <x v="1"/>
    <x v="0"/>
    <s v="5602200"/>
    <n v="718040"/>
    <s v="Contract Svcs-Laboratory"/>
    <s v="Hospitalist-Gen Surg/FAST"/>
    <x v="0"/>
    <m/>
    <n v="0"/>
    <n v="0"/>
    <n v="0"/>
    <n v="0"/>
    <n v="0"/>
    <n v="0"/>
    <n v="0"/>
    <n v="0"/>
    <n v="86"/>
    <n v="0"/>
    <n v="0"/>
    <n v="0"/>
    <n v="86"/>
    <n v="0"/>
  </r>
  <r>
    <x v="0"/>
    <x v="1"/>
    <x v="0"/>
    <s v="5602200"/>
    <n v="740023"/>
    <s v="Books-Advanced Practice Clinician"/>
    <s v="Hospitalist-Gen Surg/FAST"/>
    <x v="0"/>
    <n v="2000"/>
    <n v="0"/>
    <n v="0"/>
    <n v="0"/>
    <n v="0"/>
    <n v="0"/>
    <n v="0"/>
    <n v="0"/>
    <n v="0"/>
    <n v="399"/>
    <n v="0"/>
    <n v="0"/>
    <n v="0"/>
    <n v="399"/>
    <n v="0"/>
  </r>
  <r>
    <x v="8"/>
    <x v="1"/>
    <x v="0"/>
    <s v="5602200"/>
    <n v="741012"/>
    <s v="Physician Liab Insurance-CHI Program"/>
    <s v="Hospitalist-Gen Surg/FAST"/>
    <x v="0"/>
    <m/>
    <n v="4788.57"/>
    <n v="3978.8"/>
    <n v="0"/>
    <n v="0"/>
    <n v="0"/>
    <n v="0"/>
    <n v="0"/>
    <n v="3978.79"/>
    <n v="0"/>
    <n v="0"/>
    <n v="0"/>
    <n v="0"/>
    <n v="12746.16"/>
    <n v="0"/>
  </r>
  <r>
    <x v="0"/>
    <x v="1"/>
    <x v="0"/>
    <s v="5602200"/>
    <n v="743020"/>
    <s v="Provider-Dues"/>
    <s v="Hospitalist-Gen Surg/FAST"/>
    <x v="0"/>
    <n v="2200"/>
    <n v="0"/>
    <n v="0"/>
    <n v="0"/>
    <n v="0"/>
    <n v="0"/>
    <n v="0"/>
    <n v="0"/>
    <n v="85"/>
    <n v="0"/>
    <n v="0"/>
    <n v="0"/>
    <n v="0"/>
    <n v="85"/>
    <n v="0"/>
  </r>
  <r>
    <x v="0"/>
    <x v="1"/>
    <x v="0"/>
    <s v="5602200"/>
    <n v="743043"/>
    <s v="Subscriptions-Advanced Practice Clinician"/>
    <s v="Hospitalist-Gen Surg/FAST"/>
    <x v="0"/>
    <m/>
    <n v="0"/>
    <n v="327.99"/>
    <n v="0"/>
    <n v="0"/>
    <n v="0"/>
    <n v="0"/>
    <n v="0"/>
    <n v="0"/>
    <n v="0"/>
    <n v="0"/>
    <n v="0"/>
    <n v="0"/>
    <n v="327.99"/>
    <n v="0"/>
  </r>
  <r>
    <x v="0"/>
    <x v="1"/>
    <x v="0"/>
    <s v="5602200"/>
    <n v="749510"/>
    <s v="Miscellaneous Expenses"/>
    <s v="Hospitalist-Gen Surg/FAST"/>
    <x v="0"/>
    <m/>
    <n v="-400.8"/>
    <n v="-327.99"/>
    <n v="0"/>
    <n v="0"/>
    <n v="1047.03"/>
    <n v="-1047.03"/>
    <n v="0"/>
    <n v="0"/>
    <n v="0"/>
    <n v="0"/>
    <n v="0"/>
    <n v="0"/>
    <n v="-728.79"/>
    <n v="0"/>
  </r>
  <r>
    <x v="0"/>
    <x v="1"/>
    <x v="0"/>
    <s v="5602200"/>
    <n v="749512"/>
    <s v="Licenses-Physician"/>
    <s v="Hospitalist-Gen Surg/FAST"/>
    <x v="0"/>
    <n v="2000"/>
    <n v="0"/>
    <n v="0"/>
    <n v="0"/>
    <n v="0"/>
    <n v="0"/>
    <n v="731"/>
    <n v="0"/>
    <n v="0"/>
    <n v="0"/>
    <n v="0"/>
    <n v="0"/>
    <n v="0"/>
    <n v="731"/>
    <n v="0"/>
  </r>
  <r>
    <x v="0"/>
    <x v="1"/>
    <x v="0"/>
    <s v="5602200"/>
    <n v="749513"/>
    <s v="Licenses-Advanced Practice Clinician"/>
    <s v="Hospitalist-Gen Surg/FAST"/>
    <x v="0"/>
    <n v="2000"/>
    <n v="0"/>
    <n v="0"/>
    <n v="0"/>
    <n v="0"/>
    <n v="0"/>
    <n v="0"/>
    <n v="0"/>
    <n v="0"/>
    <n v="202"/>
    <n v="0"/>
    <n v="0"/>
    <n v="0"/>
    <n v="202"/>
    <n v="0"/>
  </r>
  <r>
    <x v="0"/>
    <x v="1"/>
    <x v="0"/>
    <s v="5602200"/>
    <n v="749532"/>
    <s v="Travel-Physician"/>
    <s v="Hospitalist-Gen Surg/FAST"/>
    <x v="0"/>
    <m/>
    <n v="1582.63"/>
    <n v="0"/>
    <n v="1776.97"/>
    <n v="0"/>
    <n v="0"/>
    <n v="1047.03"/>
    <n v="929.75"/>
    <n v="0"/>
    <n v="0"/>
    <n v="0"/>
    <n v="0"/>
    <n v="0"/>
    <n v="5336.38"/>
    <n v="0"/>
  </r>
  <r>
    <x v="9"/>
    <x v="1"/>
    <x v="0"/>
    <s v="5602200"/>
    <n v="800015"/>
    <s v="Interest Income-Ext to CHI"/>
    <s v="Hospitalist-Gen Surg/FAST"/>
    <x v="0"/>
    <m/>
    <n v="-126.32"/>
    <n v="-121.02"/>
    <n v="-111.98"/>
    <n v="-110.4"/>
    <n v="-101.71"/>
    <n v="-99.78"/>
    <n v="-94.47"/>
    <n v="-80.540000000000006"/>
    <n v="-83.86"/>
    <n v="-76.02"/>
    <n v="-73.25"/>
    <n v="-65.739999999999995"/>
    <n v="-1145.0899999999999"/>
    <n v="-7.5100000000000051"/>
  </r>
  <r>
    <x v="18"/>
    <x v="5"/>
    <x v="0"/>
    <s v="5603106"/>
    <n v="400010"/>
    <s v="Acute I/P Svcs Rev--Medicare"/>
    <s v="Oncology Physician"/>
    <x v="0"/>
    <n v="1100"/>
    <n v="0"/>
    <n v="-338.43"/>
    <n v="-276"/>
    <n v="0"/>
    <n v="-571.99"/>
    <n v="-1140"/>
    <n v="0"/>
    <n v="0"/>
    <n v="-366"/>
    <n v="-62"/>
    <n v="-443.55"/>
    <n v="0"/>
    <n v="-3197.9700000000003"/>
    <n v="-443.55"/>
  </r>
  <r>
    <x v="18"/>
    <x v="5"/>
    <x v="0"/>
    <s v="5603106"/>
    <n v="400010"/>
    <s v="Acute I/P Svcs Rev--Medicaid"/>
    <s v="Oncology Physician"/>
    <x v="0"/>
    <n v="1200"/>
    <n v="0"/>
    <n v="0"/>
    <n v="0"/>
    <n v="0"/>
    <n v="0"/>
    <n v="0"/>
    <n v="-214"/>
    <n v="0"/>
    <n v="0"/>
    <n v="0"/>
    <n v="0"/>
    <n v="-221"/>
    <n v="-435"/>
    <n v="221"/>
  </r>
  <r>
    <x v="19"/>
    <x v="5"/>
    <x v="0"/>
    <s v="5603106"/>
    <n v="400020"/>
    <s v="O/P Care Svcs Rev--Medicare"/>
    <s v="Oncology Physician"/>
    <x v="0"/>
    <n v="1100"/>
    <n v="-88121.87"/>
    <n v="-71842.83"/>
    <n v="-75639.03"/>
    <n v="-78988.7"/>
    <n v="-79185.039999999994"/>
    <n v="-71797.55"/>
    <n v="-87300"/>
    <n v="-71132.960000000006"/>
    <n v="-73972.25"/>
    <n v="-80207.63"/>
    <n v="-68858.559999999998"/>
    <n v="-79052.460000000006"/>
    <n v="-926098.87999999989"/>
    <n v="10193.900000000009"/>
  </r>
  <r>
    <x v="19"/>
    <x v="5"/>
    <x v="0"/>
    <s v="5603106"/>
    <n v="400020"/>
    <s v="O/P Care Svcs Rev--Medicaid"/>
    <s v="Oncology Physician"/>
    <x v="0"/>
    <n v="1200"/>
    <n v="-13655.82"/>
    <n v="-12581.98"/>
    <n v="-11903.69"/>
    <n v="-14177.34"/>
    <n v="-15156.86"/>
    <n v="-10154.33"/>
    <n v="-11259.74"/>
    <n v="-11170.74"/>
    <n v="-17247.419999999998"/>
    <n v="-15196.11"/>
    <n v="-14057.39"/>
    <n v="-9560.02"/>
    <n v="-156121.44000000003"/>
    <n v="-4497.369999999999"/>
  </r>
  <r>
    <x v="19"/>
    <x v="5"/>
    <x v="0"/>
    <s v="5603106"/>
    <n v="400020"/>
    <s v="O/P Care Svcs Rev--Comm Insurance"/>
    <s v="Oncology Physician"/>
    <x v="0"/>
    <n v="1300"/>
    <n v="-3251.84"/>
    <n v="-4325.3"/>
    <n v="-2266.84"/>
    <n v="-1960.3"/>
    <n v="-3551.84"/>
    <n v="-3071.84"/>
    <n v="-4766.04"/>
    <n v="-4643.04"/>
    <n v="-2751.71"/>
    <n v="-1607.44"/>
    <n v="-4466.78"/>
    <n v="-815.9"/>
    <n v="-37478.870000000003"/>
    <n v="-3650.8799999999997"/>
  </r>
  <r>
    <x v="19"/>
    <x v="5"/>
    <x v="0"/>
    <s v="5603106"/>
    <n v="400020"/>
    <s v="O/P Care Svcs Rev--BCBS Comm"/>
    <s v="Oncology Physician"/>
    <x v="0"/>
    <n v="1301"/>
    <n v="-8853.85"/>
    <n v="-8063.29"/>
    <n v="-8455.8799999999992"/>
    <n v="-9793.07"/>
    <n v="-10687.12"/>
    <n v="-7390.31"/>
    <n v="-13397.12"/>
    <n v="-5943.82"/>
    <n v="-8193.2999999999993"/>
    <n v="-8844.27"/>
    <n v="-7345.91"/>
    <n v="-8179.29"/>
    <n v="-105147.23"/>
    <n v="833.38000000000011"/>
  </r>
  <r>
    <x v="19"/>
    <x v="5"/>
    <x v="0"/>
    <s v="5603106"/>
    <n v="400020"/>
    <s v="O/P Care Svcs Rev--Managed Care"/>
    <s v="Oncology Physician"/>
    <x v="0"/>
    <n v="1400"/>
    <n v="-21059.35"/>
    <n v="-20928.310000000001"/>
    <n v="-19129.3"/>
    <n v="-23194.7"/>
    <n v="-21599.73"/>
    <n v="-21359.439999999999"/>
    <n v="-22965.11"/>
    <n v="-20501.11"/>
    <n v="-18459.16"/>
    <n v="-24691.53"/>
    <n v="-15791.18"/>
    <n v="-19161.14"/>
    <n v="-248840.06"/>
    <n v="3369.9599999999991"/>
  </r>
  <r>
    <x v="19"/>
    <x v="5"/>
    <x v="0"/>
    <s v="5603106"/>
    <n v="400020"/>
    <s v="O/P Care Svcs Rev--Self Pay"/>
    <s v="Oncology Physician"/>
    <x v="0"/>
    <n v="1500"/>
    <n v="-429.05"/>
    <n v="-808.38"/>
    <n v="-704"/>
    <n v="-583.62"/>
    <n v="-4076"/>
    <n v="-1649"/>
    <n v="-2142.7800000000002"/>
    <n v="-1037.9000000000001"/>
    <n v="-1110.81"/>
    <n v="-1440.44"/>
    <n v="-2394.11"/>
    <n v="-2371.2199999999998"/>
    <n v="-18747.310000000001"/>
    <n v="-22.890000000000327"/>
  </r>
  <r>
    <x v="19"/>
    <x v="5"/>
    <x v="0"/>
    <s v="5603106"/>
    <n v="400020"/>
    <s v="O/P Care Svcs Rev--Other"/>
    <s v="Oncology Physician"/>
    <x v="0"/>
    <n v="1700"/>
    <n v="0"/>
    <n v="0"/>
    <n v="0"/>
    <n v="0"/>
    <n v="0"/>
    <n v="0"/>
    <n v="-419"/>
    <n v="-2253.44"/>
    <n v="-1595.88"/>
    <n v="-1121.44"/>
    <n v="-366"/>
    <n v="-366"/>
    <n v="-6121.76"/>
    <n v="0"/>
  </r>
  <r>
    <x v="1"/>
    <x v="5"/>
    <x v="0"/>
    <s v="5603106"/>
    <n v="400040"/>
    <s v="Physician Svcs Rev--Medicare"/>
    <s v="Oncology Physician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5"/>
    <x v="0"/>
    <s v="5603106"/>
    <n v="400040"/>
    <s v="Physician Svcs Rev--Medicaid"/>
    <s v="Oncology Physician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5"/>
    <x v="0"/>
    <s v="5603106"/>
    <n v="400040"/>
    <s v="Physician Svcs Rev--Comm Insurance"/>
    <s v="Oncology Physician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5"/>
    <x v="0"/>
    <s v="5603106"/>
    <n v="400040"/>
    <s v="Physician Svcs Rev--BCBS Comm"/>
    <s v="Oncology Physician"/>
    <x v="0"/>
    <n v="1301"/>
    <n v="0"/>
    <n v="0"/>
    <n v="0"/>
    <n v="0"/>
    <n v="0"/>
    <n v="0"/>
    <n v="0"/>
    <n v="0"/>
    <n v="0"/>
    <n v="0"/>
    <n v="0"/>
    <n v="0"/>
    <n v="0"/>
    <n v="0"/>
  </r>
  <r>
    <x v="1"/>
    <x v="5"/>
    <x v="0"/>
    <s v="5603106"/>
    <n v="400040"/>
    <s v="Physician Svcs Rev--Managed Care"/>
    <s v="Oncology Physician"/>
    <x v="0"/>
    <n v="1400"/>
    <n v="0"/>
    <n v="0"/>
    <n v="0"/>
    <n v="0"/>
    <n v="0"/>
    <n v="0"/>
    <n v="0"/>
    <n v="0"/>
    <n v="0"/>
    <n v="0"/>
    <n v="0"/>
    <n v="0"/>
    <n v="0"/>
    <n v="0"/>
  </r>
  <r>
    <x v="1"/>
    <x v="5"/>
    <x v="0"/>
    <s v="5603106"/>
    <n v="400040"/>
    <s v="Physician Svcs Rev--Self Pay"/>
    <s v="Oncology Physician"/>
    <x v="0"/>
    <n v="1500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Contr Allow--Phys Svcs--Mcare"/>
    <s v="Oncology Physician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Contr Allow--Phys Svcs--Mcaid"/>
    <s v="Oncology Physician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Contr Allow--Phys Svcs--Comm Insurance"/>
    <s v="Oncology Physician"/>
    <x v="0"/>
    <n v="1300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Contr Allow--Phys Svcs--BCBS Comm Ins"/>
    <s v="Oncology Physician"/>
    <x v="0"/>
    <n v="1301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Contr Allow--Phys Svcs--Managed Care"/>
    <s v="Oncology Physician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Contr Allow--Phys Svcs--BCBS Mgnd Care"/>
    <s v="Oncology Physician"/>
    <x v="0"/>
    <n v="1401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Admin Adjust-Phys Svcs-Self Pay"/>
    <s v="Oncology Physician"/>
    <x v="0"/>
    <n v="1600"/>
    <n v="0"/>
    <n v="0"/>
    <n v="0"/>
    <n v="0"/>
    <n v="0"/>
    <n v="0"/>
    <n v="0"/>
    <n v="0"/>
    <n v="0"/>
    <n v="0"/>
    <n v="0"/>
    <n v="0"/>
    <n v="0"/>
    <n v="0"/>
  </r>
  <r>
    <x v="2"/>
    <x v="5"/>
    <x v="0"/>
    <s v="5603106"/>
    <n v="450040"/>
    <s v="Contr Allow--Phys Svcs--Other"/>
    <s v="Oncology Physician"/>
    <x v="0"/>
    <n v="1700"/>
    <n v="0"/>
    <n v="0"/>
    <n v="0"/>
    <n v="0"/>
    <n v="0"/>
    <n v="0"/>
    <n v="0"/>
    <n v="0"/>
    <n v="0"/>
    <n v="0"/>
    <n v="0"/>
    <n v="0"/>
    <n v="0"/>
    <n v="0"/>
  </r>
  <r>
    <x v="3"/>
    <x v="5"/>
    <x v="0"/>
    <s v="5603106"/>
    <n v="470040"/>
    <s v="Charity Care-Physician Svcs"/>
    <s v="Oncology Physician"/>
    <x v="0"/>
    <m/>
    <n v="0"/>
    <n v="0"/>
    <n v="0"/>
    <n v="0"/>
    <n v="0"/>
    <n v="0"/>
    <n v="0"/>
    <n v="0"/>
    <n v="0"/>
    <n v="0"/>
    <n v="0"/>
    <n v="0"/>
    <n v="0"/>
    <n v="0"/>
  </r>
  <r>
    <x v="4"/>
    <x v="5"/>
    <x v="0"/>
    <s v="5603106"/>
    <n v="490010"/>
    <s v="Provision for Bad Debts"/>
    <s v="Oncology Physician"/>
    <x v="0"/>
    <m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5603106"/>
    <n v="700014"/>
    <s v="Salaries-Management-Productive"/>
    <s v="Oncology Physician"/>
    <x v="0"/>
    <m/>
    <n v="10483.69"/>
    <n v="12127.27"/>
    <n v="9545.52"/>
    <n v="8376.4500000000007"/>
    <n v="25793.54"/>
    <n v="15226.1"/>
    <n v="15101.72"/>
    <n v="8642.0499999999993"/>
    <n v="8973.2000000000007"/>
    <n v="10586.86"/>
    <n v="9429.4699999999993"/>
    <n v="4781.8100000000004"/>
    <n v="139067.68"/>
    <n v="4647.6599999999989"/>
  </r>
  <r>
    <x v="5"/>
    <x v="5"/>
    <x v="0"/>
    <s v="5603106"/>
    <n v="700014"/>
    <s v="Salaries-Management-Other"/>
    <s v="Oncology Physician"/>
    <x v="0"/>
    <n v="2000"/>
    <n v="0"/>
    <n v="0"/>
    <n v="0"/>
    <n v="0"/>
    <n v="30"/>
    <n v="0"/>
    <n v="0"/>
    <n v="0"/>
    <n v="0"/>
    <n v="0"/>
    <n v="0"/>
    <n v="0"/>
    <n v="30"/>
    <n v="0"/>
  </r>
  <r>
    <x v="5"/>
    <x v="5"/>
    <x v="0"/>
    <s v="5603106"/>
    <n v="700026"/>
    <s v="Salaries-RN-Productive"/>
    <s v="Oncology Physician"/>
    <x v="0"/>
    <m/>
    <n v="19103.87"/>
    <n v="14444.06"/>
    <n v="19712.849999999999"/>
    <n v="25226.28"/>
    <n v="24045.31"/>
    <n v="22241.5"/>
    <n v="22644.47"/>
    <n v="22253.5"/>
    <n v="34114.5"/>
    <n v="27666.42"/>
    <n v="19455.91"/>
    <n v="32982.94"/>
    <n v="283891.61"/>
    <n v="-13527.030000000002"/>
  </r>
  <r>
    <x v="5"/>
    <x v="5"/>
    <x v="0"/>
    <s v="5603106"/>
    <n v="700026"/>
    <s v="Salaries-RN-OT"/>
    <s v="Oncology Physician"/>
    <x v="0"/>
    <n v="1000"/>
    <n v="862.26"/>
    <n v="496.3"/>
    <n v="1415.12"/>
    <n v="1275.1600000000001"/>
    <n v="368.3"/>
    <n v="667.73"/>
    <n v="606.41999999999996"/>
    <n v="644.05999999999995"/>
    <n v="1156.08"/>
    <n v="935.28"/>
    <n v="702.38"/>
    <n v="1214.3800000000001"/>
    <n v="10343.470000000001"/>
    <n v="-512.00000000000011"/>
  </r>
  <r>
    <x v="5"/>
    <x v="5"/>
    <x v="0"/>
    <s v="5603106"/>
    <n v="700026"/>
    <s v="Salaries-RN-Other"/>
    <s v="Oncology Physician"/>
    <x v="0"/>
    <n v="2000"/>
    <n v="390.25"/>
    <n v="238.77"/>
    <n v="542.26"/>
    <n v="303.14"/>
    <n v="322.82"/>
    <n v="277.02"/>
    <n v="136.32"/>
    <n v="345.52"/>
    <n v="773.42"/>
    <n v="430.19"/>
    <n v="516.09"/>
    <n v="824.8"/>
    <n v="5100.6000000000004"/>
    <n v="-308.70999999999992"/>
  </r>
  <r>
    <x v="5"/>
    <x v="5"/>
    <x v="0"/>
    <s v="5603106"/>
    <n v="700032"/>
    <s v="Salaries-Other Pat Care Providers-Productive"/>
    <s v="Oncology Physician"/>
    <x v="0"/>
    <m/>
    <n v="11251.7"/>
    <n v="8414.41"/>
    <n v="12424.07"/>
    <n v="12149.84"/>
    <n v="16347.54"/>
    <n v="6433.12"/>
    <n v="11647.83"/>
    <n v="13612.49"/>
    <n v="16675.43"/>
    <n v="17617.59"/>
    <n v="18244.96"/>
    <n v="14881.47"/>
    <n v="159700.45000000001"/>
    <n v="3363.49"/>
  </r>
  <r>
    <x v="5"/>
    <x v="5"/>
    <x v="0"/>
    <s v="5603106"/>
    <n v="700032"/>
    <s v="Salaries-Other Pat Care Providers-OT"/>
    <s v="Oncology Physician"/>
    <x v="0"/>
    <n v="1000"/>
    <n v="650.54999999999995"/>
    <n v="928.17"/>
    <n v="380.14"/>
    <n v="215.16"/>
    <n v="378.73"/>
    <n v="150.84"/>
    <n v="334.98"/>
    <n v="521.24"/>
    <n v="991.55"/>
    <n v="7.2"/>
    <n v="251.99"/>
    <n v="156.74"/>
    <n v="4967.2899999999991"/>
    <n v="95.25"/>
  </r>
  <r>
    <x v="5"/>
    <x v="5"/>
    <x v="0"/>
    <s v="5603106"/>
    <n v="700032"/>
    <s v="Salaries-Other Pat Care Providers-Other"/>
    <s v="Oncology Physician"/>
    <x v="0"/>
    <n v="2000"/>
    <n v="4"/>
    <n v="4"/>
    <n v="6.28"/>
    <n v="-2.2799999999999998"/>
    <n v="30"/>
    <n v="0"/>
    <n v="30.05"/>
    <n v="-0.01"/>
    <n v="30.07"/>
    <n v="425.31"/>
    <n v="473.24"/>
    <n v="337.35"/>
    <n v="1338.01"/>
    <n v="135.88999999999999"/>
  </r>
  <r>
    <x v="5"/>
    <x v="5"/>
    <x v="0"/>
    <s v="5603106"/>
    <n v="700034"/>
    <s v="Salaries-Tech/Professional-Productive"/>
    <s v="Oncology Physician"/>
    <x v="0"/>
    <m/>
    <n v="0"/>
    <n v="0"/>
    <n v="0"/>
    <n v="0"/>
    <n v="3234.74"/>
    <n v="4451.8"/>
    <n v="4001.86"/>
    <n v="2962.61"/>
    <n v="533.25"/>
    <n v="0"/>
    <n v="0"/>
    <n v="0"/>
    <n v="15184.26"/>
    <n v="0"/>
  </r>
  <r>
    <x v="5"/>
    <x v="5"/>
    <x v="0"/>
    <s v="5603106"/>
    <n v="700034"/>
    <s v="Salaries-Tech/Professional-Other"/>
    <s v="Oncology Physician"/>
    <x v="0"/>
    <n v="2000"/>
    <n v="0"/>
    <n v="0"/>
    <n v="0"/>
    <n v="0"/>
    <n v="0"/>
    <n v="717"/>
    <n v="0"/>
    <n v="0"/>
    <n v="0"/>
    <n v="0"/>
    <n v="0"/>
    <n v="0"/>
    <n v="717"/>
    <n v="0"/>
  </r>
  <r>
    <x v="5"/>
    <x v="5"/>
    <x v="0"/>
    <s v="5603106"/>
    <n v="700038"/>
    <s v="Salaries-Service/Support-Productive"/>
    <s v="Oncology Physician"/>
    <x v="0"/>
    <m/>
    <n v="8379.2099999999991"/>
    <n v="8744.77"/>
    <n v="8476.51"/>
    <n v="9861.7199999999993"/>
    <n v="4288.74"/>
    <n v="4476.13"/>
    <n v="6356.24"/>
    <n v="4663.92"/>
    <n v="5900.52"/>
    <n v="5754.55"/>
    <n v="5522.19"/>
    <n v="5309.73"/>
    <n v="77734.23"/>
    <n v="212.46000000000004"/>
  </r>
  <r>
    <x v="5"/>
    <x v="5"/>
    <x v="0"/>
    <s v="5603106"/>
    <n v="700038"/>
    <s v="Salaries-Service/Support-OT"/>
    <s v="Oncology Physician"/>
    <x v="0"/>
    <n v="1000"/>
    <n v="355.19"/>
    <n v="-41.62"/>
    <n v="45.36"/>
    <n v="60.94"/>
    <n v="28.31"/>
    <n v="-7.03"/>
    <n v="454.11"/>
    <n v="36.4"/>
    <n v="41.8"/>
    <n v="-1.24"/>
    <n v="0"/>
    <n v="29.29"/>
    <n v="1001.5099999999999"/>
    <n v="-29.29"/>
  </r>
  <r>
    <x v="5"/>
    <x v="5"/>
    <x v="0"/>
    <s v="5603106"/>
    <n v="700038"/>
    <s v="Salaries-Service/Support-Other"/>
    <s v="Oncology Physician"/>
    <x v="0"/>
    <n v="2000"/>
    <n v="266.41000000000003"/>
    <n v="215.77"/>
    <n v="205.25"/>
    <n v="278.91000000000003"/>
    <n v="243.48"/>
    <n v="309.02"/>
    <n v="451.23"/>
    <n v="212.99"/>
    <n v="255.15"/>
    <n v="300.54000000000002"/>
    <n v="253.99"/>
    <n v="264.52"/>
    <n v="3257.2600000000007"/>
    <n v="-10.529999999999973"/>
  </r>
  <r>
    <x v="5"/>
    <x v="5"/>
    <x v="0"/>
    <s v="5603106"/>
    <n v="700054"/>
    <s v="Salaries-Management-Non-productive"/>
    <s v="Oncology Physician"/>
    <x v="0"/>
    <m/>
    <n v="1643.04"/>
    <n v="0"/>
    <n v="2190.7199999999998"/>
    <n v="4019.39"/>
    <n v="-643.07000000000005"/>
    <n v="6491.86"/>
    <n v="1127.8"/>
    <n v="1353.7"/>
    <n v="1291.33"/>
    <n v="-529.74"/>
    <n v="936.25"/>
    <n v="5249.65"/>
    <n v="23130.929999999993"/>
    <n v="-4313.3999999999996"/>
  </r>
  <r>
    <x v="5"/>
    <x v="5"/>
    <x v="0"/>
    <s v="5603106"/>
    <n v="700054"/>
    <s v="Salaries-Management-NonProd-Other"/>
    <s v="Oncology Physician"/>
    <x v="0"/>
    <n v="2000"/>
    <n v="0"/>
    <n v="0"/>
    <n v="0"/>
    <n v="0"/>
    <n v="0"/>
    <n v="506.35"/>
    <n v="-486.51"/>
    <n v="-19.84"/>
    <n v="0"/>
    <n v="0"/>
    <n v="0"/>
    <n v="0"/>
    <n v="3.1974423109204508E-14"/>
    <n v="0"/>
  </r>
  <r>
    <x v="5"/>
    <x v="5"/>
    <x v="0"/>
    <s v="5603106"/>
    <n v="700066"/>
    <s v="Salaries-RN-Non-productive"/>
    <s v="Oncology Physician"/>
    <x v="0"/>
    <m/>
    <n v="5201.88"/>
    <n v="9110.8700000000008"/>
    <n v="9566.36"/>
    <n v="4038.93"/>
    <n v="1652"/>
    <n v="3750.35"/>
    <n v="6921.51"/>
    <n v="4573.1899999999996"/>
    <n v="1639.46"/>
    <n v="2305.27"/>
    <n v="8484.42"/>
    <n v="259.04000000000002"/>
    <n v="57503.28"/>
    <n v="8225.3799999999992"/>
  </r>
  <r>
    <x v="5"/>
    <x v="5"/>
    <x v="0"/>
    <s v="5603106"/>
    <n v="700066"/>
    <s v="Salaries-RN-NonProd-Other"/>
    <s v="Oncology Physician"/>
    <x v="0"/>
    <n v="2000"/>
    <n v="0"/>
    <n v="0"/>
    <n v="57.99"/>
    <n v="-15.99"/>
    <n v="0"/>
    <n v="59.99"/>
    <n v="324.05"/>
    <n v="300.95"/>
    <n v="-42.62"/>
    <n v="79.989999999999995"/>
    <n v="298.10000000000002"/>
    <n v="375.46"/>
    <n v="1437.92"/>
    <n v="-77.359999999999957"/>
  </r>
  <r>
    <x v="5"/>
    <x v="5"/>
    <x v="0"/>
    <s v="5603106"/>
    <n v="700072"/>
    <s v="Salaries-Other Pat Care Providers-Non-productive"/>
    <s v="Oncology Physician"/>
    <x v="0"/>
    <m/>
    <n v="484.64"/>
    <n v="113.88"/>
    <n v="1058.21"/>
    <n v="317"/>
    <n v="117.51"/>
    <n v="3724.99"/>
    <n v="1936.17"/>
    <n v="619.97"/>
    <n v="1085.01"/>
    <n v="147.46"/>
    <n v="813.16"/>
    <n v="667.29"/>
    <n v="11085.289999999997"/>
    <n v="145.87"/>
  </r>
  <r>
    <x v="5"/>
    <x v="5"/>
    <x v="0"/>
    <s v="5603106"/>
    <n v="700072"/>
    <s v="Salaries-Other Pat Care Providers-NonProd-Other"/>
    <s v="Oncology Physician"/>
    <x v="0"/>
    <n v="2000"/>
    <n v="0"/>
    <n v="0"/>
    <n v="0"/>
    <n v="0"/>
    <n v="583.25"/>
    <n v="1166.5"/>
    <n v="0"/>
    <n v="-1749.75"/>
    <n v="0"/>
    <n v="0"/>
    <n v="0"/>
    <n v="0"/>
    <n v="0"/>
    <n v="0"/>
  </r>
  <r>
    <x v="5"/>
    <x v="5"/>
    <x v="0"/>
    <s v="5603106"/>
    <n v="700074"/>
    <s v="Salaries-Tech/Professional-Non-productive"/>
    <s v="Oncology Physician"/>
    <x v="0"/>
    <m/>
    <n v="0"/>
    <n v="0"/>
    <n v="0"/>
    <n v="0"/>
    <n v="2281.8000000000002"/>
    <n v="-65.63"/>
    <n v="384.42"/>
    <n v="1210.8399999999999"/>
    <n v="-262.70999999999998"/>
    <n v="0"/>
    <n v="0"/>
    <n v="0"/>
    <n v="3548.7200000000003"/>
    <n v="0"/>
  </r>
  <r>
    <x v="5"/>
    <x v="5"/>
    <x v="0"/>
    <s v="5603106"/>
    <n v="700078"/>
    <s v="Salaries-Service/Support-Non-productive"/>
    <s v="Oncology Physician"/>
    <x v="0"/>
    <m/>
    <n v="972.24"/>
    <n v="311.75"/>
    <n v="643.41"/>
    <n v="-26.12"/>
    <n v="0"/>
    <n v="1752.67"/>
    <n v="68.19"/>
    <n v="362.27"/>
    <n v="0"/>
    <n v="61.09"/>
    <n v="352.48"/>
    <n v="720.73"/>
    <n v="5218.7099999999991"/>
    <n v="-368.25"/>
  </r>
  <r>
    <x v="5"/>
    <x v="5"/>
    <x v="0"/>
    <s v="5603106"/>
    <n v="700084"/>
    <s v="Accrued PTO"/>
    <s v="Oncology Physician"/>
    <x v="0"/>
    <m/>
    <n v="-1428.6"/>
    <n v="2452.73"/>
    <n v="-789.63"/>
    <n v="-2491.58"/>
    <n v="4515.12"/>
    <n v="-5414.98"/>
    <n v="-2333.48"/>
    <n v="1049.24"/>
    <n v="3141.8"/>
    <n v="4731.72"/>
    <n v="-298.75"/>
    <n v="26.39"/>
    <n v="3159.98"/>
    <n v="-325.14"/>
  </r>
  <r>
    <x v="6"/>
    <x v="5"/>
    <x v="0"/>
    <s v="5603106"/>
    <n v="713010"/>
    <s v="Benefits-FICA/Medicare"/>
    <s v="Oncology Physician"/>
    <x v="0"/>
    <m/>
    <n v="4416.17"/>
    <n v="4040.27"/>
    <n v="4888.46"/>
    <n v="4875.29"/>
    <n v="5138.2700000000004"/>
    <n v="4783.9399999999996"/>
    <n v="5380.55"/>
    <n v="4565.25"/>
    <n v="6765.92"/>
    <n v="4875.21"/>
    <n v="4799.88"/>
    <n v="4986.38"/>
    <n v="59515.59"/>
    <n v="-186.5"/>
  </r>
  <r>
    <x v="6"/>
    <x v="5"/>
    <x v="0"/>
    <s v="5603106"/>
    <n v="713090"/>
    <s v="Benefits-Allocated Amounts"/>
    <s v="Oncology Physician"/>
    <x v="0"/>
    <m/>
    <n v="13872.35"/>
    <n v="12789.83"/>
    <n v="14679.21"/>
    <n v="13968.68"/>
    <n v="17960.509999999998"/>
    <n v="15248.21"/>
    <n v="16781.29"/>
    <n v="15399.95"/>
    <n v="16535.34"/>
    <n v="16197.42"/>
    <n v="15667.99"/>
    <n v="15601.36"/>
    <n v="184702.14"/>
    <n v="66.6299999999992"/>
  </r>
  <r>
    <x v="6"/>
    <x v="5"/>
    <x v="0"/>
    <s v="5603106"/>
    <n v="713096"/>
    <s v="Employee Recognition"/>
    <s v="Oncology Physician"/>
    <x v="0"/>
    <n v="1017"/>
    <n v="0"/>
    <n v="0"/>
    <n v="0"/>
    <n v="0"/>
    <n v="0"/>
    <n v="0"/>
    <n v="0"/>
    <n v="0"/>
    <n v="0"/>
    <n v="0"/>
    <n v="52.74"/>
    <n v="107.81"/>
    <n v="160.55000000000001"/>
    <n v="-55.07"/>
  </r>
  <r>
    <x v="17"/>
    <x v="5"/>
    <x v="0"/>
    <s v="5603106"/>
    <n v="714520"/>
    <s v="Other Contracted Professionals"/>
    <s v="Oncology Physician"/>
    <x v="0"/>
    <m/>
    <n v="4000"/>
    <n v="8000"/>
    <n v="2000"/>
    <n v="4000"/>
    <n v="4000"/>
    <n v="4000"/>
    <n v="4000"/>
    <n v="2000"/>
    <n v="2000"/>
    <n v="4000"/>
    <n v="0"/>
    <n v="0"/>
    <n v="38000"/>
    <n v="0"/>
  </r>
  <r>
    <x v="17"/>
    <x v="5"/>
    <x v="0"/>
    <s v="5603106"/>
    <n v="714530"/>
    <s v="Medical Prof Fees-Intracompany"/>
    <s v="Oncology Physician"/>
    <x v="0"/>
    <m/>
    <n v="27417.119999999999"/>
    <n v="55249.56"/>
    <n v="49934.21"/>
    <n v="100542.51"/>
    <n v="73822.02"/>
    <n v="81070.87"/>
    <n v="100098.25"/>
    <n v="65893.02"/>
    <n v="63641.02"/>
    <n v="72202.75"/>
    <n v="68395.38"/>
    <n v="52023.63"/>
    <n v="810290.34"/>
    <n v="16371.750000000007"/>
  </r>
  <r>
    <x v="7"/>
    <x v="5"/>
    <x v="0"/>
    <s v="5603106"/>
    <n v="718050"/>
    <s v="Contract Svcs-Other"/>
    <s v="Oncology Physician"/>
    <x v="0"/>
    <m/>
    <n v="0"/>
    <n v="0"/>
    <n v="0"/>
    <n v="0"/>
    <n v="0"/>
    <n v="0"/>
    <n v="0"/>
    <n v="32"/>
    <n v="32"/>
    <n v="0"/>
    <n v="0"/>
    <n v="0"/>
    <n v="64"/>
    <n v="0"/>
  </r>
  <r>
    <x v="7"/>
    <x v="5"/>
    <x v="0"/>
    <s v="5603106"/>
    <n v="718050"/>
    <s v="Miscellaneous Purchased Svcs"/>
    <s v="Oncology Physician"/>
    <x v="0"/>
    <n v="1020"/>
    <n v="0"/>
    <n v="0"/>
    <n v="11010"/>
    <n v="40"/>
    <n v="57.53"/>
    <n v="800"/>
    <n v="0"/>
    <n v="0"/>
    <n v="800"/>
    <n v="0"/>
    <n v="133.38"/>
    <n v="1600"/>
    <n v="14440.91"/>
    <n v="-1466.62"/>
  </r>
  <r>
    <x v="7"/>
    <x v="5"/>
    <x v="0"/>
    <s v="5603106"/>
    <n v="718060"/>
    <s v="Contract Services-CHI RRC Fees"/>
    <s v="Oncology Physician"/>
    <x v="0"/>
    <m/>
    <n v="10547"/>
    <n v="10547"/>
    <n v="10547"/>
    <n v="10547"/>
    <n v="10547"/>
    <n v="10547"/>
    <n v="10547"/>
    <n v="10547"/>
    <n v="10547"/>
    <n v="10547"/>
    <n v="10547"/>
    <n v="10547"/>
    <n v="126564"/>
    <n v="0"/>
  </r>
  <r>
    <x v="7"/>
    <x v="5"/>
    <x v="0"/>
    <s v="5603106"/>
    <n v="718091"/>
    <s v="Contract Services-Intracompany Allocation"/>
    <s v="Oncology Physician"/>
    <x v="0"/>
    <m/>
    <n v="25437.7"/>
    <n v="32144.69"/>
    <n v="25604.22"/>
    <n v="32148.11"/>
    <n v="27236.47"/>
    <n v="28566.880000000001"/>
    <n v="29680.57"/>
    <n v="27812.42"/>
    <n v="30156.639999999999"/>
    <n v="31097.13"/>
    <n v="32324.36"/>
    <n v="27069.919999999998"/>
    <n v="349279.11"/>
    <n v="5254.4400000000023"/>
  </r>
  <r>
    <x v="11"/>
    <x v="5"/>
    <x v="0"/>
    <s v="5603106"/>
    <n v="721410"/>
    <s v="Supplies-Medical - Nonbillable"/>
    <s v="Oncology Physician"/>
    <x v="0"/>
    <m/>
    <n v="0"/>
    <n v="0"/>
    <n v="0"/>
    <n v="0"/>
    <n v="0"/>
    <n v="0"/>
    <n v="0"/>
    <n v="77.08"/>
    <n v="0"/>
    <n v="0"/>
    <n v="0"/>
    <n v="0"/>
    <n v="77.08"/>
    <n v="0"/>
  </r>
  <r>
    <x v="11"/>
    <x v="5"/>
    <x v="0"/>
    <s v="5603106"/>
    <n v="721810"/>
    <s v="Supplies-Dietary/Cafeteria"/>
    <s v="Oncology Physician"/>
    <x v="0"/>
    <m/>
    <n v="357.93"/>
    <n v="232.26"/>
    <n v="281.05"/>
    <n v="359.55"/>
    <n v="291.85000000000002"/>
    <n v="298.35000000000002"/>
    <n v="92.64"/>
    <n v="92.64"/>
    <n v="109.87"/>
    <n v="185.28"/>
    <n v="92.64"/>
    <n v="92.64"/>
    <n v="2486.6999999999998"/>
    <n v="0"/>
  </r>
  <r>
    <x v="11"/>
    <x v="5"/>
    <x v="0"/>
    <s v="5603106"/>
    <n v="721830"/>
    <s v="Supplies-Office"/>
    <s v="Oncology Physician"/>
    <x v="0"/>
    <m/>
    <n v="0"/>
    <n v="472.69"/>
    <n v="0"/>
    <n v="0"/>
    <n v="0"/>
    <n v="109.16"/>
    <n v="0"/>
    <n v="740.18"/>
    <n v="0"/>
    <n v="1244.45"/>
    <n v="469.33"/>
    <n v="63.78"/>
    <n v="3099.59"/>
    <n v="405.54999999999995"/>
  </r>
  <r>
    <x v="11"/>
    <x v="5"/>
    <x v="0"/>
    <s v="5603106"/>
    <n v="721835"/>
    <s v="Supplies-Forms"/>
    <s v="Oncology Physician"/>
    <x v="0"/>
    <m/>
    <n v="0"/>
    <n v="0"/>
    <n v="28.79"/>
    <n v="0"/>
    <n v="0"/>
    <n v="0"/>
    <n v="0"/>
    <n v="0"/>
    <n v="11.8"/>
    <n v="0"/>
    <n v="7.9"/>
    <n v="0"/>
    <n v="48.49"/>
    <n v="7.9"/>
  </r>
  <r>
    <x v="11"/>
    <x v="5"/>
    <x v="0"/>
    <s v="5603106"/>
    <n v="721870"/>
    <s v="Supplies-Environmental Services"/>
    <s v="Oncology Physician"/>
    <x v="0"/>
    <m/>
    <n v="0"/>
    <n v="0"/>
    <n v="0"/>
    <n v="0"/>
    <n v="0"/>
    <n v="0"/>
    <n v="171.05"/>
    <n v="0"/>
    <n v="0"/>
    <n v="0"/>
    <n v="246.74"/>
    <n v="0"/>
    <n v="417.79"/>
    <n v="246.74"/>
  </r>
  <r>
    <x v="11"/>
    <x v="5"/>
    <x v="0"/>
    <s v="5603106"/>
    <n v="721980"/>
    <s v="Supplies-Other"/>
    <s v="Oncology Physician"/>
    <x v="0"/>
    <m/>
    <n v="17.86"/>
    <n v="149.11000000000001"/>
    <n v="11.27"/>
    <n v="18.600000000000001"/>
    <n v="0"/>
    <n v="0"/>
    <n v="0"/>
    <n v="0"/>
    <n v="226"/>
    <n v="8.15"/>
    <n v="0"/>
    <n v="0"/>
    <n v="430.99"/>
    <n v="0"/>
  </r>
  <r>
    <x v="12"/>
    <x v="5"/>
    <x v="0"/>
    <s v="5603106"/>
    <n v="730020"/>
    <s v="Rental and Leases-Copier Usage Fees (DO NOT USE)"/>
    <s v="Oncology Physician"/>
    <x v="0"/>
    <n v="5100"/>
    <n v="0"/>
    <n v="0"/>
    <n v="0"/>
    <n v="0"/>
    <n v="0"/>
    <n v="0"/>
    <n v="69.77"/>
    <n v="0"/>
    <n v="0"/>
    <n v="0"/>
    <n v="0"/>
    <n v="0"/>
    <n v="69.77"/>
    <n v="0"/>
  </r>
  <r>
    <x v="16"/>
    <x v="5"/>
    <x v="0"/>
    <s v="5603106"/>
    <n v="732030"/>
    <s v="Repairs---Other"/>
    <s v="Oncology Physician"/>
    <x v="0"/>
    <m/>
    <n v="0"/>
    <n v="1000"/>
    <n v="0"/>
    <n v="0"/>
    <n v="0"/>
    <n v="165"/>
    <n v="0"/>
    <n v="1450.35"/>
    <n v="1475.42"/>
    <n v="657.86"/>
    <n v="1468.43"/>
    <n v="0"/>
    <n v="6217.06"/>
    <n v="1468.43"/>
  </r>
  <r>
    <x v="0"/>
    <x v="5"/>
    <x v="0"/>
    <s v="5603106"/>
    <n v="740020"/>
    <s v="Education-Registration Fees"/>
    <s v="Oncology Physician"/>
    <x v="0"/>
    <m/>
    <n v="0"/>
    <n v="0"/>
    <n v="475"/>
    <n v="0"/>
    <n v="0"/>
    <n v="0"/>
    <n v="0"/>
    <n v="0"/>
    <n v="0"/>
    <n v="520"/>
    <n v="0"/>
    <n v="0"/>
    <n v="995"/>
    <n v="0"/>
  </r>
  <r>
    <x v="0"/>
    <x v="5"/>
    <x v="0"/>
    <s v="5603106"/>
    <n v="742010"/>
    <s v="Postage-Regular"/>
    <s v="Oncology Physician"/>
    <x v="0"/>
    <m/>
    <n v="0"/>
    <n v="0"/>
    <n v="0"/>
    <n v="225"/>
    <n v="0"/>
    <n v="0"/>
    <n v="0"/>
    <n v="0"/>
    <n v="0"/>
    <n v="0"/>
    <n v="0"/>
    <n v="0"/>
    <n v="225"/>
    <n v="0"/>
  </r>
  <r>
    <x v="0"/>
    <x v="5"/>
    <x v="0"/>
    <s v="5603106"/>
    <n v="743010"/>
    <s v="Dues--Institutional"/>
    <s v="Oncology Physician"/>
    <x v="0"/>
    <m/>
    <n v="0"/>
    <n v="3334"/>
    <n v="-3334"/>
    <n v="0"/>
    <n v="0"/>
    <n v="0"/>
    <n v="0"/>
    <n v="0"/>
    <n v="0"/>
    <n v="0"/>
    <n v="0"/>
    <n v="0"/>
    <n v="0"/>
    <n v="0"/>
  </r>
  <r>
    <x v="0"/>
    <x v="5"/>
    <x v="0"/>
    <s v="5603106"/>
    <n v="743040"/>
    <s v="Subscriptions--Individual"/>
    <s v="Oncology Physician"/>
    <x v="0"/>
    <m/>
    <n v="0"/>
    <n v="0"/>
    <n v="0"/>
    <n v="0"/>
    <n v="0"/>
    <n v="21.64"/>
    <n v="0"/>
    <n v="0"/>
    <n v="0"/>
    <n v="0"/>
    <n v="0"/>
    <n v="0"/>
    <n v="21.64"/>
    <n v="0"/>
  </r>
  <r>
    <x v="0"/>
    <x v="5"/>
    <x v="0"/>
    <s v="5603106"/>
    <n v="749510"/>
    <s v="Miscellaneous Expenses"/>
    <s v="Oncology Physician"/>
    <x v="0"/>
    <m/>
    <n v="0"/>
    <n v="0"/>
    <n v="0"/>
    <n v="0"/>
    <n v="1933.73"/>
    <n v="-1631.5"/>
    <n v="738"/>
    <n v="0"/>
    <n v="749"/>
    <n v="-261.36"/>
    <n v="-487.64"/>
    <n v="601.59"/>
    <n v="1641.8200000000002"/>
    <n v="-1089.23"/>
  </r>
  <r>
    <x v="0"/>
    <x v="5"/>
    <x v="0"/>
    <s v="5603106"/>
    <n v="749510"/>
    <s v="Miscellaneous Employee Expense"/>
    <s v="Oncology Physician"/>
    <x v="0"/>
    <n v="1010"/>
    <n v="0"/>
    <n v="0"/>
    <n v="0"/>
    <n v="0"/>
    <n v="0"/>
    <n v="0"/>
    <n v="2698.74"/>
    <n v="0"/>
    <n v="0"/>
    <n v="0"/>
    <n v="0"/>
    <n v="0"/>
    <n v="2698.74"/>
    <n v="0"/>
  </r>
  <r>
    <x v="0"/>
    <x v="5"/>
    <x v="0"/>
    <s v="5603106"/>
    <n v="749510"/>
    <s v="RICE Rewards"/>
    <s v="Oncology Physician"/>
    <x v="0"/>
    <n v="5100"/>
    <n v="0"/>
    <n v="0"/>
    <n v="0"/>
    <n v="0"/>
    <n v="0"/>
    <n v="0"/>
    <n v="111.38"/>
    <n v="0"/>
    <n v="0"/>
    <n v="0"/>
    <n v="0"/>
    <n v="0"/>
    <n v="111.38"/>
    <n v="0"/>
  </r>
  <r>
    <x v="0"/>
    <x v="5"/>
    <x v="0"/>
    <s v="5603106"/>
    <n v="749510"/>
    <s v="Marketing-General"/>
    <s v="Oncology Physician"/>
    <x v="0"/>
    <n v="5110"/>
    <n v="0"/>
    <n v="57.53"/>
    <n v="0"/>
    <n v="0"/>
    <n v="0"/>
    <n v="0"/>
    <n v="0"/>
    <n v="0"/>
    <n v="0"/>
    <n v="0"/>
    <n v="0"/>
    <n v="0"/>
    <n v="57.53"/>
    <n v="0"/>
  </r>
  <r>
    <x v="0"/>
    <x v="5"/>
    <x v="0"/>
    <s v="5603106"/>
    <n v="749530"/>
    <s v="Travel"/>
    <s v="Oncology Physician"/>
    <x v="0"/>
    <m/>
    <n v="0"/>
    <n v="0"/>
    <n v="0"/>
    <n v="0"/>
    <n v="0"/>
    <n v="1686.86"/>
    <n v="17.8"/>
    <n v="0"/>
    <n v="0"/>
    <n v="32.700000000000003"/>
    <n v="0"/>
    <n v="0"/>
    <n v="1737.36"/>
    <n v="0"/>
  </r>
  <r>
    <x v="0"/>
    <x v="5"/>
    <x v="0"/>
    <s v="5603106"/>
    <n v="749530"/>
    <s v="Mileage"/>
    <s v="Oncology Physician"/>
    <x v="0"/>
    <n v="1001"/>
    <n v="0"/>
    <n v="0"/>
    <n v="0"/>
    <n v="32.700000000000003"/>
    <n v="0"/>
    <n v="29.43"/>
    <n v="30.52"/>
    <n v="0"/>
    <n v="0"/>
    <n v="219.15"/>
    <n v="0"/>
    <n v="33.06"/>
    <n v="344.86"/>
    <n v="-33.06"/>
  </r>
  <r>
    <x v="0"/>
    <x v="5"/>
    <x v="0"/>
    <s v="5603106"/>
    <n v="749535"/>
    <s v="Meetings"/>
    <s v="Oncology Physician"/>
    <x v="0"/>
    <m/>
    <n v="0"/>
    <n v="0"/>
    <n v="0"/>
    <n v="40"/>
    <n v="0"/>
    <n v="0"/>
    <n v="0"/>
    <n v="0"/>
    <n v="0"/>
    <n v="0"/>
    <n v="0"/>
    <n v="31.62"/>
    <n v="71.62"/>
    <n v="-31.62"/>
  </r>
  <r>
    <x v="13"/>
    <x v="1"/>
    <x v="0"/>
    <s v="5603200"/>
    <n v="735070"/>
    <s v="Depreciation-Movable Equipment"/>
    <s v="WH-Pearl Place-OB Hosp"/>
    <x v="0"/>
    <m/>
    <n v="995.14"/>
    <n v="995.14"/>
    <n v="995.14"/>
    <n v="995.14"/>
    <n v="995.14"/>
    <n v="995.14"/>
    <n v="995.14"/>
    <n v="995.14"/>
    <n v="995.15"/>
    <n v="995.13"/>
    <n v="995.15"/>
    <n v="995.13"/>
    <n v="11941.679999999998"/>
    <n v="1.999999999998181E-2"/>
  </r>
  <r>
    <x v="1"/>
    <x v="1"/>
    <x v="0"/>
    <s v="5604200"/>
    <n v="400040"/>
    <s v="Physician Svcs Rev--Medicaid"/>
    <s v="Transitional Clinic-Int Med"/>
    <x v="0"/>
    <n v="1200"/>
    <n v="3"/>
    <n v="0"/>
    <n v="0"/>
    <n v="0"/>
    <n v="-409"/>
    <n v="409"/>
    <n v="0"/>
    <n v="0"/>
    <n v="0"/>
    <n v="0"/>
    <n v="0"/>
    <n v="0"/>
    <n v="3"/>
    <n v="0"/>
  </r>
  <r>
    <x v="1"/>
    <x v="1"/>
    <x v="0"/>
    <s v="5604200"/>
    <n v="400040"/>
    <s v="Physician Svcs Rev--Comm Insurance"/>
    <s v="Transitional Clinic-Int Med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5604200"/>
    <n v="400040"/>
    <s v="Physician Svcs Rev--Managed Care"/>
    <s v="Transitional Clinic-Int Med"/>
    <x v="0"/>
    <n v="1400"/>
    <n v="0"/>
    <n v="0"/>
    <n v="0"/>
    <n v="0"/>
    <n v="409"/>
    <n v="-409"/>
    <n v="0"/>
    <n v="0"/>
    <n v="0"/>
    <n v="0"/>
    <n v="0"/>
    <n v="0"/>
    <n v="0"/>
    <n v="0"/>
  </r>
  <r>
    <x v="2"/>
    <x v="1"/>
    <x v="0"/>
    <s v="5604200"/>
    <n v="450029"/>
    <s v="Contr Allow--MD Other-Medicare"/>
    <s v="Transitional Clinic-Int Med"/>
    <x v="0"/>
    <n v="1100"/>
    <n v="0"/>
    <n v="0"/>
    <n v="0"/>
    <n v="0"/>
    <n v="0"/>
    <n v="0"/>
    <n v="0"/>
    <n v="-0.05"/>
    <n v="0"/>
    <n v="0"/>
    <n v="0"/>
    <n v="0"/>
    <n v="-0.05"/>
    <n v="0"/>
  </r>
  <r>
    <x v="2"/>
    <x v="1"/>
    <x v="0"/>
    <s v="5604200"/>
    <n v="450029"/>
    <s v="Admin Adjust-MD Other-Self Pay"/>
    <s v="Transitional Clinic-Int Med"/>
    <x v="0"/>
    <n v="1600"/>
    <n v="8"/>
    <n v="2.2000000000000002"/>
    <n v="0"/>
    <n v="7.56"/>
    <n v="0"/>
    <n v="0"/>
    <n v="7.38"/>
    <n v="2.84"/>
    <n v="0"/>
    <n v="0"/>
    <n v="0"/>
    <n v="0"/>
    <n v="27.979999999999997"/>
    <n v="0"/>
  </r>
  <r>
    <x v="2"/>
    <x v="1"/>
    <x v="0"/>
    <s v="5604200"/>
    <n v="450040"/>
    <s v="Contr Allow--Phys Svcs--Mcare"/>
    <s v="Transitional Clinic-Int Med"/>
    <x v="0"/>
    <n v="1100"/>
    <n v="185.35"/>
    <n v="0"/>
    <n v="0"/>
    <n v="0"/>
    <n v="391"/>
    <n v="0.4"/>
    <n v="21.4"/>
    <n v="18.41"/>
    <n v="0"/>
    <n v="-225.38"/>
    <n v="225.38"/>
    <n v="0"/>
    <n v="616.55999999999995"/>
    <n v="225.38"/>
  </r>
  <r>
    <x v="2"/>
    <x v="1"/>
    <x v="0"/>
    <s v="5604200"/>
    <n v="450040"/>
    <s v="Contr Allow--Phys Svcs--Mcaid"/>
    <s v="Transitional Clinic-Int Med"/>
    <x v="0"/>
    <n v="1200"/>
    <n v="293"/>
    <n v="225.38"/>
    <n v="231.2"/>
    <n v="517.66999999999996"/>
    <n v="-444.76"/>
    <n v="0"/>
    <n v="0"/>
    <n v="0"/>
    <n v="0"/>
    <n v="0"/>
    <n v="0"/>
    <n v="0"/>
    <n v="822.49"/>
    <n v="0"/>
  </r>
  <r>
    <x v="2"/>
    <x v="1"/>
    <x v="0"/>
    <s v="5604200"/>
    <n v="450040"/>
    <s v="Contr Allow--Phys Svcs--BCBS Comm Ins"/>
    <s v="Transitional Clinic-Int Med"/>
    <x v="0"/>
    <n v="1301"/>
    <n v="0"/>
    <n v="0"/>
    <n v="0"/>
    <n v="0"/>
    <n v="-86.3"/>
    <n v="0"/>
    <n v="0"/>
    <n v="0"/>
    <n v="0"/>
    <n v="0"/>
    <n v="0"/>
    <n v="0"/>
    <n v="-86.3"/>
    <n v="0"/>
  </r>
  <r>
    <x v="2"/>
    <x v="1"/>
    <x v="0"/>
    <s v="5604200"/>
    <n v="450040"/>
    <s v="Contr Allow--Phys Svcs--Managed Care"/>
    <s v="Transitional Clinic-Int Med"/>
    <x v="0"/>
    <n v="1400"/>
    <n v="0"/>
    <n v="0"/>
    <n v="0"/>
    <n v="0"/>
    <n v="-140.82"/>
    <n v="140.82"/>
    <n v="53.63"/>
    <n v="0"/>
    <n v="0"/>
    <n v="0"/>
    <n v="0"/>
    <n v="0"/>
    <n v="53.63"/>
    <n v="0"/>
  </r>
  <r>
    <x v="2"/>
    <x v="1"/>
    <x v="0"/>
    <s v="5604200"/>
    <n v="450040"/>
    <s v="Contr Allow--Phys Svcs--BCBS Mgnd Care"/>
    <s v="Transitional Clinic-Int Med"/>
    <x v="0"/>
    <n v="1401"/>
    <n v="-829.59"/>
    <n v="94.4"/>
    <n v="-402.86"/>
    <n v="-754.71"/>
    <n v="-58.47"/>
    <n v="230.97"/>
    <n v="58.76"/>
    <n v="39.35"/>
    <n v="13.73"/>
    <n v="139.57"/>
    <n v="-73.3"/>
    <n v="-480.79"/>
    <n v="-2022.9400000000003"/>
    <n v="407.49"/>
  </r>
  <r>
    <x v="2"/>
    <x v="1"/>
    <x v="0"/>
    <s v="5604200"/>
    <n v="450040"/>
    <s v="Admin Adjust-Phys Svcs-Self Pay"/>
    <s v="Transitional Clinic-Int Med"/>
    <x v="0"/>
    <n v="1600"/>
    <n v="415.38"/>
    <n v="-113.85"/>
    <n v="583"/>
    <n v="949.13"/>
    <n v="45"/>
    <n v="-290"/>
    <n v="0"/>
    <n v="104.71"/>
    <n v="0"/>
    <n v="0"/>
    <n v="0"/>
    <n v="20"/>
    <n v="1713.37"/>
    <n v="-20"/>
  </r>
  <r>
    <x v="2"/>
    <x v="1"/>
    <x v="0"/>
    <s v="5604200"/>
    <n v="450040"/>
    <s v="Contr Allow--Phys Svcs--Other"/>
    <s v="Transitional Clinic-Int Med"/>
    <x v="0"/>
    <n v="1700"/>
    <n v="0"/>
    <n v="310.73"/>
    <n v="0"/>
    <n v="203"/>
    <n v="0"/>
    <n v="0"/>
    <n v="0"/>
    <n v="0"/>
    <n v="0"/>
    <n v="0"/>
    <n v="0"/>
    <n v="0"/>
    <n v="513.73"/>
    <n v="0"/>
  </r>
  <r>
    <x v="3"/>
    <x v="1"/>
    <x v="0"/>
    <s v="5604200"/>
    <n v="470040"/>
    <s v="Charity Care-Physician Svcs"/>
    <s v="Transitional Clinic-Int Med"/>
    <x v="0"/>
    <m/>
    <n v="-36.15"/>
    <n v="47.41"/>
    <n v="1144.4000000000001"/>
    <n v="-27.79"/>
    <n v="405.19"/>
    <n v="174.8"/>
    <n v="-4.16"/>
    <n v="-9.93"/>
    <n v="315.52"/>
    <n v="14.83"/>
    <n v="-21.31"/>
    <n v="769.88"/>
    <n v="2772.69"/>
    <n v="-791.18999999999994"/>
  </r>
  <r>
    <x v="4"/>
    <x v="1"/>
    <x v="0"/>
    <s v="5604200"/>
    <n v="490010"/>
    <s v="Provision for Bad Debts"/>
    <s v="Transitional Clinic-Int Med"/>
    <x v="0"/>
    <m/>
    <n v="175.9"/>
    <n v="-148.22999999999999"/>
    <n v="-1435.1"/>
    <n v="-593.55999999999995"/>
    <n v="220.61"/>
    <n v="-935.12"/>
    <n v="-151.85"/>
    <n v="-276.41000000000003"/>
    <n v="-352.83"/>
    <n v="-258.22000000000003"/>
    <n v="-110.89"/>
    <n v="-257.98"/>
    <n v="-4123.6799999999994"/>
    <n v="147.09000000000003"/>
  </r>
  <r>
    <x v="17"/>
    <x v="6"/>
    <x v="0"/>
    <s v="5605107"/>
    <n v="714520"/>
    <s v="Other Contracted Professionals"/>
    <s v="Hospitalist Program"/>
    <x v="0"/>
    <m/>
    <n v="340000"/>
    <n v="656494"/>
    <n v="340000"/>
    <n v="380800"/>
    <n v="554430"/>
    <n v="384472.63"/>
    <n v="455450"/>
    <n v="395000"/>
    <n v="548558.5"/>
    <n v="444430"/>
    <n v="395561.75"/>
    <n v="398161.85"/>
    <n v="5293358.7299999995"/>
    <n v="-2600.0999999999767"/>
  </r>
  <r>
    <x v="11"/>
    <x v="6"/>
    <x v="0"/>
    <s v="5605107"/>
    <n v="721810"/>
    <s v="Supplies-Dietary/Cafeteria"/>
    <s v="Hospitalist Program"/>
    <x v="0"/>
    <m/>
    <n v="211.58"/>
    <n v="83.4"/>
    <n v="102.45"/>
    <n v="415.24"/>
    <n v="152.22"/>
    <n v="406.62"/>
    <n v="555.23"/>
    <n v="377.78"/>
    <n v="289.55"/>
    <n v="463.44"/>
    <n v="424.39"/>
    <n v="213.6"/>
    <n v="3695.5000000000005"/>
    <n v="210.79"/>
  </r>
  <r>
    <x v="11"/>
    <x v="6"/>
    <x v="0"/>
    <s v="5605107"/>
    <n v="721910"/>
    <s v="Supplies-Small Equipment"/>
    <s v="Hospitalist Program"/>
    <x v="0"/>
    <m/>
    <n v="0"/>
    <n v="0"/>
    <n v="817.56"/>
    <n v="0"/>
    <n v="0"/>
    <n v="0"/>
    <n v="0"/>
    <n v="0"/>
    <n v="0"/>
    <n v="0"/>
    <n v="0"/>
    <n v="0"/>
    <n v="817.56"/>
    <n v="0"/>
  </r>
  <r>
    <x v="12"/>
    <x v="6"/>
    <x v="0"/>
    <s v="5605107"/>
    <n v="730020"/>
    <s v="Rental and Leases-Copier Usage Fees (DO NOT USE)"/>
    <s v="Hospitalist Program"/>
    <x v="0"/>
    <n v="5100"/>
    <n v="303.01"/>
    <n v="306.02999999999997"/>
    <n v="304.52"/>
    <n v="304.52"/>
    <n v="304.52"/>
    <n v="304.52"/>
    <n v="-1355.01"/>
    <n v="73.89"/>
    <n v="73.73"/>
    <n v="382.97"/>
    <n v="73.89"/>
    <n v="84.33"/>
    <n v="1160.9199999999998"/>
    <n v="-10.439999999999998"/>
  </r>
  <r>
    <x v="15"/>
    <x v="6"/>
    <x v="0"/>
    <s v="5605107"/>
    <n v="731060"/>
    <s v="Pagers"/>
    <s v="Hospitalist Program"/>
    <x v="0"/>
    <n v="1002"/>
    <n v="340.2"/>
    <n v="385.01"/>
    <n v="382.86"/>
    <n v="373.52"/>
    <n v="0"/>
    <n v="417.28"/>
    <n v="695.37"/>
    <n v="349.16"/>
    <n v="416.53"/>
    <n v="329.75"/>
    <n v="384.84"/>
    <n v="361.08"/>
    <n v="4435.6000000000004"/>
    <n v="23.759999999999991"/>
  </r>
  <r>
    <x v="0"/>
    <x v="6"/>
    <x v="0"/>
    <s v="5605107"/>
    <n v="744010"/>
    <s v="Recruitment"/>
    <s v="Hospitalist Program"/>
    <x v="0"/>
    <m/>
    <n v="0"/>
    <n v="0"/>
    <n v="0"/>
    <n v="0"/>
    <n v="0"/>
    <n v="0"/>
    <n v="0"/>
    <n v="0"/>
    <n v="0"/>
    <n v="10000"/>
    <n v="0"/>
    <n v="0"/>
    <n v="10000"/>
    <n v="0"/>
  </r>
  <r>
    <x v="7"/>
    <x v="1"/>
    <x v="0"/>
    <s v="5605200"/>
    <n v="718050"/>
    <s v="Document Shredding/Storage"/>
    <s v="Transitional Clinic-Fam Med"/>
    <x v="0"/>
    <n v="1012"/>
    <n v="67.25"/>
    <n v="-134.5"/>
    <n v="0"/>
    <n v="0"/>
    <n v="0"/>
    <n v="0"/>
    <n v="0"/>
    <n v="0"/>
    <n v="0"/>
    <n v="0"/>
    <n v="0"/>
    <n v="0"/>
    <n v="-67.25"/>
    <n v="0"/>
  </r>
  <r>
    <x v="13"/>
    <x v="1"/>
    <x v="0"/>
    <s v="5606200"/>
    <n v="735070"/>
    <s v="Depreciation-Movable Equipment"/>
    <s v="WH-Federal Way-OB Hosp"/>
    <x v="0"/>
    <m/>
    <n v="748.9"/>
    <n v="748.9"/>
    <n v="748.9"/>
    <n v="748.9"/>
    <n v="748.9"/>
    <n v="748.9"/>
    <n v="748.9"/>
    <n v="748.9"/>
    <n v="748.91"/>
    <n v="748.9"/>
    <n v="748.91"/>
    <n v="748.9"/>
    <n v="8986.8199999999979"/>
    <n v="9.9999999999909051E-3"/>
  </r>
  <r>
    <x v="1"/>
    <x v="3"/>
    <x v="0"/>
    <s v="5608101"/>
    <n v="400040"/>
    <s v="Physician Svcs Rev--Medicare"/>
    <s v="Inp Psychiatric Physician"/>
    <x v="0"/>
    <n v="1100"/>
    <n v="-40979"/>
    <n v="-45000"/>
    <n v="-27494"/>
    <n v="-33578"/>
    <n v="-33239"/>
    <n v="-41314"/>
    <n v="-39123"/>
    <n v="-39469"/>
    <n v="-34126"/>
    <n v="-31098"/>
    <n v="-46212"/>
    <n v="-8843"/>
    <n v="-420475"/>
    <n v="-37369"/>
  </r>
  <r>
    <x v="1"/>
    <x v="3"/>
    <x v="0"/>
    <s v="5608101"/>
    <n v="400040"/>
    <s v="Physician Svcs Rev--Medicaid"/>
    <s v="Inp Psychiatric Physician"/>
    <x v="0"/>
    <n v="1200"/>
    <n v="-9595"/>
    <n v="-38027"/>
    <n v="-31673"/>
    <n v="-29152"/>
    <n v="-27334"/>
    <n v="-26177"/>
    <n v="-32268"/>
    <n v="-20751"/>
    <n v="-26814"/>
    <n v="-40662"/>
    <n v="-47523"/>
    <n v="-21933"/>
    <n v="-351909"/>
    <n v="-25590"/>
  </r>
  <r>
    <x v="1"/>
    <x v="3"/>
    <x v="0"/>
    <s v="5608101"/>
    <n v="400040"/>
    <s v="Physician Svcs Rev--Comm Insurance"/>
    <s v="Inp Psychiatric Physician"/>
    <x v="0"/>
    <n v="1300"/>
    <n v="0"/>
    <n v="-556"/>
    <n v="0"/>
    <n v="-1632"/>
    <n v="-745"/>
    <n v="-5741"/>
    <n v="0"/>
    <n v="-458"/>
    <n v="-745"/>
    <n v="-458"/>
    <n v="0"/>
    <n v="-577"/>
    <n v="-10912"/>
    <n v="577"/>
  </r>
  <r>
    <x v="1"/>
    <x v="3"/>
    <x v="0"/>
    <s v="5608101"/>
    <n v="400040"/>
    <s v="Physician Svcs Rev--BCBS Comm"/>
    <s v="Inp Psychiatric Physician"/>
    <x v="0"/>
    <n v="1301"/>
    <n v="-5312"/>
    <n v="-6682"/>
    <n v="-7317"/>
    <n v="-11264"/>
    <n v="-4691"/>
    <n v="-1152"/>
    <n v="-977"/>
    <n v="-2873"/>
    <n v="-1128"/>
    <n v="-2845"/>
    <n v="-3650"/>
    <n v="-844"/>
    <n v="-48735"/>
    <n v="-2806"/>
  </r>
  <r>
    <x v="1"/>
    <x v="3"/>
    <x v="0"/>
    <s v="5608101"/>
    <n v="400040"/>
    <s v="Physician Svcs Rev--Managed Care"/>
    <s v="Inp Psychiatric Physician"/>
    <x v="0"/>
    <n v="1400"/>
    <n v="-7461"/>
    <n v="-24328"/>
    <n v="-23260"/>
    <n v="-10785"/>
    <n v="-16300"/>
    <n v="-8300"/>
    <n v="-20475"/>
    <n v="-23197"/>
    <n v="-10035"/>
    <n v="-12900"/>
    <n v="-15531"/>
    <n v="-4676"/>
    <n v="-177248"/>
    <n v="-10855"/>
  </r>
  <r>
    <x v="1"/>
    <x v="3"/>
    <x v="0"/>
    <s v="5608101"/>
    <n v="400040"/>
    <s v="Physician Svcs Rev--Self Pay"/>
    <s v="Inp Psychiatric Physician"/>
    <x v="0"/>
    <n v="1500"/>
    <n v="567"/>
    <n v="-5577"/>
    <n v="-400"/>
    <n v="-5925"/>
    <n v="-801"/>
    <n v="4147"/>
    <n v="-84"/>
    <n v="-6198"/>
    <n v="-13070"/>
    <n v="-3134"/>
    <n v="-3069"/>
    <n v="1015"/>
    <n v="-32529"/>
    <n v="-4084"/>
  </r>
  <r>
    <x v="1"/>
    <x v="3"/>
    <x v="0"/>
    <s v="5608101"/>
    <n v="400040"/>
    <s v="Physician Svcs Rev--Other"/>
    <s v="Inp Psychiatric Physician"/>
    <x v="0"/>
    <n v="1700"/>
    <n v="1721"/>
    <n v="-2729"/>
    <n v="-3740"/>
    <n v="2828"/>
    <n v="-2401.5500000000002"/>
    <n v="-3988"/>
    <n v="-2635"/>
    <n v="-2793"/>
    <n v="-76"/>
    <n v="-4371"/>
    <n v="-1621"/>
    <n v="-957"/>
    <n v="-20762.55"/>
    <n v="-664"/>
  </r>
  <r>
    <x v="2"/>
    <x v="3"/>
    <x v="0"/>
    <s v="5608101"/>
    <n v="450040"/>
    <s v="Contr Allow--Phys Svcs--Mcare"/>
    <s v="Inp Psychiatric Physician"/>
    <x v="0"/>
    <n v="1100"/>
    <n v="30743.86"/>
    <n v="12634.02"/>
    <n v="6702.9"/>
    <n v="40823.160000000003"/>
    <n v="12323.87"/>
    <n v="12000.68"/>
    <n v="10001.83"/>
    <n v="10613.93"/>
    <n v="10290.280000000001"/>
    <n v="88867.79"/>
    <n v="19914.599999999999"/>
    <n v="24291"/>
    <n v="279207.92000000004"/>
    <n v="-4376.4000000000015"/>
  </r>
  <r>
    <x v="2"/>
    <x v="3"/>
    <x v="0"/>
    <s v="5608101"/>
    <n v="450040"/>
    <s v="Contr Allow--Phys Svcs--Mcaid"/>
    <s v="Inp Psychiatric Physician"/>
    <x v="0"/>
    <n v="1200"/>
    <n v="29108.16"/>
    <n v="27918.79"/>
    <n v="31299"/>
    <n v="19915.72"/>
    <n v="20838.78"/>
    <n v="20527"/>
    <n v="30423.22"/>
    <n v="15071.31"/>
    <n v="27062.52"/>
    <n v="29058.959999999999"/>
    <n v="35171.01"/>
    <n v="28121.71"/>
    <n v="314516.18"/>
    <n v="7049.3000000000029"/>
  </r>
  <r>
    <x v="2"/>
    <x v="3"/>
    <x v="0"/>
    <s v="5608101"/>
    <n v="450040"/>
    <s v="Contr Allow--Phys Svcs--Comm Insurance"/>
    <s v="Inp Psychiatric Physician"/>
    <x v="0"/>
    <n v="1300"/>
    <n v="1072.92"/>
    <n v="821.19"/>
    <n v="0"/>
    <n v="367.65"/>
    <n v="583.54"/>
    <n v="708.54"/>
    <n v="152.54"/>
    <n v="3228.98"/>
    <n v="879.37"/>
    <n v="1989"/>
    <n v="0"/>
    <n v="501.37"/>
    <n v="10305.1"/>
    <n v="-501.37"/>
  </r>
  <r>
    <x v="2"/>
    <x v="3"/>
    <x v="0"/>
    <s v="5608101"/>
    <n v="450040"/>
    <s v="Contr Allow--Phys Svcs--BCBS Comm Ins"/>
    <s v="Inp Psychiatric Physician"/>
    <x v="0"/>
    <n v="1301"/>
    <n v="2187.9299999999998"/>
    <n v="2060.36"/>
    <n v="1881"/>
    <n v="1540.89"/>
    <n v="1533.55"/>
    <n v="1683.35"/>
    <n v="334.49"/>
    <n v="577.24"/>
    <n v="-20.74"/>
    <n v="837.86"/>
    <n v="1478.94"/>
    <n v="385.31"/>
    <n v="14480.18"/>
    <n v="1093.6300000000001"/>
  </r>
  <r>
    <x v="2"/>
    <x v="3"/>
    <x v="0"/>
    <s v="5608101"/>
    <n v="450040"/>
    <s v="Contr Allow--Phys Svcs--Managed Care"/>
    <s v="Inp Psychiatric Physician"/>
    <x v="0"/>
    <n v="1400"/>
    <n v="8390.8799999999992"/>
    <n v="8344.33"/>
    <n v="13052.77"/>
    <n v="8297.91"/>
    <n v="5025.3900000000003"/>
    <n v="5839.77"/>
    <n v="14380.99"/>
    <n v="7991.17"/>
    <n v="8699.5400000000009"/>
    <n v="8164.21"/>
    <n v="6070.35"/>
    <n v="3479.59"/>
    <n v="97736.900000000009"/>
    <n v="2590.7600000000002"/>
  </r>
  <r>
    <x v="2"/>
    <x v="3"/>
    <x v="0"/>
    <s v="5608101"/>
    <n v="450040"/>
    <s v="Contr Allow--Phys Svcs--BCBS Mgnd Care"/>
    <s v="Inp Psychiatric Physician"/>
    <x v="0"/>
    <n v="1401"/>
    <n v="-23647.73"/>
    <n v="12388.07"/>
    <n v="1573.24"/>
    <n v="75991.61"/>
    <n v="-88144.33"/>
    <n v="8753.4699999999993"/>
    <n v="9406.7800000000007"/>
    <n v="18070.37"/>
    <n v="4270.1400000000003"/>
    <n v="-46566.33"/>
    <n v="12985.49"/>
    <n v="-30185.55"/>
    <n v="-45104.770000000004"/>
    <n v="43171.040000000001"/>
  </r>
  <r>
    <x v="2"/>
    <x v="3"/>
    <x v="0"/>
    <s v="5608101"/>
    <n v="450040"/>
    <s v="Prompt Pay Disc-Phys Svcs-Self Pay"/>
    <s v="Inp Psychiatric Physician"/>
    <x v="0"/>
    <n v="1500"/>
    <n v="196.56"/>
    <n v="0"/>
    <n v="0"/>
    <n v="-288.22000000000003"/>
    <n v="0"/>
    <n v="288.27999999999997"/>
    <n v="0"/>
    <n v="227.08"/>
    <n v="-227.08"/>
    <n v="0"/>
    <n v="347.86"/>
    <n v="0"/>
    <n v="544.4799999999999"/>
    <n v="347.86"/>
  </r>
  <r>
    <x v="2"/>
    <x v="3"/>
    <x v="0"/>
    <s v="5608101"/>
    <n v="450040"/>
    <s v="Admin Adjust-Phys Svcs-Self Pay"/>
    <s v="Inp Psychiatric Physician"/>
    <x v="0"/>
    <n v="1600"/>
    <n v="-642.45000000000005"/>
    <n v="14988.42"/>
    <n v="2493.4899999999998"/>
    <n v="2802.42"/>
    <n v="582.66999999999996"/>
    <n v="244.87"/>
    <n v="1303.32"/>
    <n v="2280.79"/>
    <n v="456.85"/>
    <n v="-4866.42"/>
    <n v="-1168.5"/>
    <n v="2200.08"/>
    <n v="20675.539999999994"/>
    <n v="-3368.58"/>
  </r>
  <r>
    <x v="2"/>
    <x v="3"/>
    <x v="0"/>
    <s v="5608101"/>
    <n v="450040"/>
    <s v="Contr Allow--Phys Svcs--Other"/>
    <s v="Inp Psychiatric Physician"/>
    <x v="0"/>
    <n v="1700"/>
    <n v="429.83"/>
    <n v="866.17"/>
    <n v="1649.19"/>
    <n v="585.15"/>
    <n v="1639.95"/>
    <n v="1782.2"/>
    <n v="406.7"/>
    <n v="646.58000000000004"/>
    <n v="3701.14"/>
    <n v="2982.82"/>
    <n v="2560.77"/>
    <n v="3217.53"/>
    <n v="20468.03"/>
    <n v="-656.76000000000022"/>
  </r>
  <r>
    <x v="3"/>
    <x v="3"/>
    <x v="0"/>
    <s v="5608101"/>
    <n v="470040"/>
    <s v="Charity Care-Physician Svcs"/>
    <s v="Inp Psychiatric Physician"/>
    <x v="0"/>
    <m/>
    <n v="-295.85000000000002"/>
    <n v="2654.47"/>
    <n v="492.51"/>
    <n v="2775.16"/>
    <n v="-2282.7199999999998"/>
    <n v="732.6"/>
    <n v="1874.58"/>
    <n v="977.48"/>
    <n v="1022.38"/>
    <n v="-1297.6199999999999"/>
    <n v="491.8"/>
    <n v="1034.17"/>
    <n v="8178.96"/>
    <n v="-542.37000000000012"/>
  </r>
  <r>
    <x v="4"/>
    <x v="3"/>
    <x v="0"/>
    <s v="5608101"/>
    <n v="490010"/>
    <s v="Provision for Bad Debts"/>
    <s v="Inp Psychiatric Physician"/>
    <x v="0"/>
    <m/>
    <n v="-1278.6099999999999"/>
    <n v="6131.06"/>
    <n v="3713.77"/>
    <n v="21974.799999999999"/>
    <n v="-5050.28"/>
    <n v="1992.62"/>
    <n v="-322.87"/>
    <n v="1493.71"/>
    <n v="3929.58"/>
    <n v="-7318.62"/>
    <n v="1360.08"/>
    <n v="-570.21"/>
    <n v="26055.03"/>
    <n v="1930.29"/>
  </r>
  <r>
    <x v="17"/>
    <x v="3"/>
    <x v="0"/>
    <s v="5608101"/>
    <n v="714520"/>
    <s v="Other Contracted Professionals"/>
    <s v="Inp Psychiatric Physician"/>
    <x v="0"/>
    <m/>
    <n v="22309.75"/>
    <n v="36138.99"/>
    <n v="29047.13"/>
    <n v="32255.03"/>
    <n v="30577.759999999998"/>
    <n v="29602.79"/>
    <n v="38377.07"/>
    <n v="34194.699999999997"/>
    <n v="30814.43"/>
    <n v="34063.5"/>
    <n v="42205.46"/>
    <n v="-12001.16"/>
    <n v="347585.45000000007"/>
    <n v="54206.619999999995"/>
  </r>
  <r>
    <x v="1"/>
    <x v="0"/>
    <x v="0"/>
    <s v="5608102"/>
    <n v="400040"/>
    <s v="Physician Svcs Rev--Medicare"/>
    <s v="Inp Psychiatric Physician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0"/>
    <x v="0"/>
    <s v="5608102"/>
    <n v="450040"/>
    <s v="Contr Allow--Phys Svcs--Mcare"/>
    <s v="Inp Psychiatric Physician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0"/>
    <x v="0"/>
    <s v="5608102"/>
    <n v="450040"/>
    <s v="Contr Allow--Phys Svcs--Mcaid"/>
    <s v="Inp Psychiatric Physician"/>
    <x v="0"/>
    <n v="1200"/>
    <n v="0"/>
    <n v="0"/>
    <n v="0"/>
    <n v="0"/>
    <n v="0"/>
    <n v="0"/>
    <n v="0"/>
    <n v="0"/>
    <n v="0"/>
    <n v="0"/>
    <n v="150.47"/>
    <n v="0"/>
    <n v="150.47"/>
    <n v="150.47"/>
  </r>
  <r>
    <x v="2"/>
    <x v="0"/>
    <x v="0"/>
    <s v="5608102"/>
    <n v="450040"/>
    <s v="Contr Allow--Phys Svcs--Managed Care"/>
    <s v="Inp Psychiatric Physician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0"/>
    <x v="0"/>
    <s v="5608102"/>
    <n v="450040"/>
    <s v="Admin Adjust-Phys Svcs-Self Pay"/>
    <s v="Inp Psychiatric Physician"/>
    <x v="0"/>
    <n v="1600"/>
    <n v="0"/>
    <n v="0"/>
    <n v="0"/>
    <n v="0"/>
    <n v="0"/>
    <n v="0"/>
    <n v="-28.69"/>
    <n v="28.69"/>
    <n v="0"/>
    <n v="0"/>
    <n v="-277"/>
    <n v="0"/>
    <n v="-277"/>
    <n v="-277"/>
  </r>
  <r>
    <x v="3"/>
    <x v="0"/>
    <x v="0"/>
    <s v="5608102"/>
    <n v="470040"/>
    <s v="Charity Care-Physician Svcs"/>
    <s v="Inp Psychiatric Physician"/>
    <x v="0"/>
    <m/>
    <n v="0"/>
    <n v="0"/>
    <n v="0"/>
    <n v="0"/>
    <n v="0"/>
    <n v="0"/>
    <n v="0"/>
    <n v="0"/>
    <n v="0"/>
    <n v="0"/>
    <n v="0"/>
    <n v="0"/>
    <n v="0"/>
    <n v="0"/>
  </r>
  <r>
    <x v="4"/>
    <x v="0"/>
    <x v="0"/>
    <s v="5608102"/>
    <n v="490010"/>
    <s v="Provision for Bad Debts"/>
    <s v="Inp Psychiatric Physician"/>
    <x v="0"/>
    <m/>
    <n v="0"/>
    <n v="0"/>
    <n v="0"/>
    <n v="0"/>
    <n v="0"/>
    <n v="0"/>
    <n v="0"/>
    <n v="0"/>
    <n v="0"/>
    <n v="0"/>
    <n v="0"/>
    <n v="0"/>
    <n v="0"/>
    <n v="0"/>
  </r>
  <r>
    <x v="1"/>
    <x v="4"/>
    <x v="0"/>
    <s v="5608103"/>
    <n v="400040"/>
    <s v="Physician Svcs Rev--Medicare"/>
    <s v="Psychiatric Physician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4"/>
    <x v="0"/>
    <s v="5608103"/>
    <n v="400040"/>
    <s v="Physician Svcs Rev--Medicaid"/>
    <s v="Psychiatric Physician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4"/>
    <x v="0"/>
    <s v="5608103"/>
    <n v="400040"/>
    <s v="Physician Svcs Rev--Managed Care"/>
    <s v="Psychiatric Physician"/>
    <x v="0"/>
    <n v="1400"/>
    <n v="0"/>
    <n v="0"/>
    <n v="0"/>
    <n v="0"/>
    <n v="0"/>
    <n v="0"/>
    <n v="0"/>
    <n v="0"/>
    <n v="0"/>
    <n v="0"/>
    <n v="0"/>
    <n v="0"/>
    <n v="0"/>
    <n v="0"/>
  </r>
  <r>
    <x v="1"/>
    <x v="4"/>
    <x v="0"/>
    <s v="5608103"/>
    <n v="400040"/>
    <s v="Physician Svcs Rev--Other"/>
    <s v="Psychiatric Physician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4"/>
    <x v="0"/>
    <s v="5608103"/>
    <n v="450040"/>
    <s v="Contr Allow--Phys Svcs--Mcare"/>
    <s v="Psychiatric Physician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4"/>
    <x v="0"/>
    <s v="5608103"/>
    <n v="450040"/>
    <s v="Contr Allow--Phys Svcs--Mcaid"/>
    <s v="Psychiatric Physician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4"/>
    <x v="0"/>
    <s v="5608103"/>
    <n v="450040"/>
    <s v="Contr Allow--Phys Svcs--Managed Care"/>
    <s v="Psychiatric Physician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4"/>
    <x v="0"/>
    <s v="5608103"/>
    <n v="450040"/>
    <s v="Contr Allow--Phys Svcs--BCBS Mgnd Care"/>
    <s v="Psychiatric Physician"/>
    <x v="0"/>
    <n v="1401"/>
    <n v="0"/>
    <n v="0"/>
    <n v="0"/>
    <n v="0"/>
    <n v="0"/>
    <n v="0"/>
    <n v="0"/>
    <n v="0"/>
    <n v="0"/>
    <n v="0"/>
    <n v="0"/>
    <n v="0"/>
    <n v="0"/>
    <n v="0"/>
  </r>
  <r>
    <x v="2"/>
    <x v="4"/>
    <x v="0"/>
    <s v="5608103"/>
    <n v="450040"/>
    <s v="Admin Adjust-Phys Svcs-Self Pay"/>
    <s v="Psychiatric Physician"/>
    <x v="0"/>
    <n v="1600"/>
    <n v="0"/>
    <n v="0"/>
    <n v="0"/>
    <n v="0"/>
    <n v="0"/>
    <n v="0"/>
    <n v="0"/>
    <n v="0"/>
    <n v="0"/>
    <n v="0"/>
    <n v="0"/>
    <n v="0"/>
    <n v="0"/>
    <n v="0"/>
  </r>
  <r>
    <x v="2"/>
    <x v="4"/>
    <x v="0"/>
    <s v="5608103"/>
    <n v="450040"/>
    <s v="Contr Allow--Phys Svcs--Other"/>
    <s v="Psychiatric Physician"/>
    <x v="0"/>
    <n v="1700"/>
    <n v="0"/>
    <n v="0"/>
    <n v="0"/>
    <n v="0"/>
    <n v="0"/>
    <n v="0"/>
    <n v="0"/>
    <n v="0"/>
    <n v="0"/>
    <n v="0"/>
    <n v="0"/>
    <n v="0"/>
    <n v="0"/>
    <n v="0"/>
  </r>
  <r>
    <x v="3"/>
    <x v="4"/>
    <x v="0"/>
    <s v="5608103"/>
    <n v="470040"/>
    <s v="Charity Care-Physician Svcs"/>
    <s v="Psychiatric Physician"/>
    <x v="0"/>
    <m/>
    <n v="0"/>
    <n v="0"/>
    <n v="0"/>
    <n v="0"/>
    <n v="0"/>
    <n v="0"/>
    <n v="0"/>
    <n v="0"/>
    <n v="0"/>
    <n v="0"/>
    <n v="0"/>
    <n v="0"/>
    <n v="0"/>
    <n v="0"/>
  </r>
  <r>
    <x v="4"/>
    <x v="4"/>
    <x v="0"/>
    <s v="5608103"/>
    <n v="490010"/>
    <s v="Provision for Bad Debts"/>
    <s v="Psychiatric Physician"/>
    <x v="0"/>
    <m/>
    <n v="0"/>
    <n v="0"/>
    <n v="0"/>
    <n v="0"/>
    <n v="0"/>
    <n v="0"/>
    <n v="0"/>
    <n v="0"/>
    <n v="0"/>
    <n v="0"/>
    <n v="0"/>
    <n v="0"/>
    <n v="0"/>
    <n v="0"/>
  </r>
  <r>
    <x v="1"/>
    <x v="8"/>
    <x v="0"/>
    <s v="5608104"/>
    <n v="400040"/>
    <s v="Physician Svcs Rev--Medicare"/>
    <s v="Inp Psychiatric Physician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8"/>
    <x v="0"/>
    <s v="5608104"/>
    <n v="400040"/>
    <s v="Physician Svcs Rev--Managed Care"/>
    <s v="Inp Psychiatric Physician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8"/>
    <x v="0"/>
    <s v="5608104"/>
    <n v="450040"/>
    <s v="Admin Adjust-Phys Svcs-Self Pay"/>
    <s v="Inp Psychiatric Physician"/>
    <x v="0"/>
    <n v="1600"/>
    <n v="0"/>
    <n v="0"/>
    <n v="0"/>
    <n v="0"/>
    <n v="0"/>
    <n v="0"/>
    <n v="0"/>
    <n v="0"/>
    <n v="0"/>
    <n v="0"/>
    <n v="0"/>
    <n v="0"/>
    <n v="0"/>
    <n v="0"/>
  </r>
  <r>
    <x v="4"/>
    <x v="8"/>
    <x v="0"/>
    <s v="5608104"/>
    <n v="490010"/>
    <s v="Provision for Bad Debts"/>
    <s v="Inp Psychiatric Physician"/>
    <x v="0"/>
    <m/>
    <n v="0"/>
    <n v="0"/>
    <n v="0"/>
    <n v="0"/>
    <n v="0"/>
    <n v="0"/>
    <n v="0"/>
    <n v="0"/>
    <n v="0"/>
    <n v="0"/>
    <n v="0"/>
    <n v="0"/>
    <n v="0"/>
    <n v="0"/>
  </r>
  <r>
    <x v="12"/>
    <x v="6"/>
    <x v="0"/>
    <s v="5608107"/>
    <n v="730020"/>
    <s v="Rental and Leases-Copier Usage Fees (DO NOT USE)"/>
    <s v="Psychiatric Prof Svs"/>
    <x v="0"/>
    <n v="5100"/>
    <n v="34.1"/>
    <n v="35.28"/>
    <n v="34.69"/>
    <n v="34.69"/>
    <n v="34.69"/>
    <n v="34.69"/>
    <n v="33.450000000000003"/>
    <n v="35.31"/>
    <n v="35.24"/>
    <n v="35.380000000000003"/>
    <n v="35.31"/>
    <n v="39.700000000000003"/>
    <n v="422.53"/>
    <n v="-4.3900000000000006"/>
  </r>
  <r>
    <x v="15"/>
    <x v="6"/>
    <x v="0"/>
    <s v="5608107"/>
    <n v="731060"/>
    <s v="Cell Phones"/>
    <s v="Psychiatric Prof Svs"/>
    <x v="0"/>
    <n v="1001"/>
    <n v="0"/>
    <n v="70.55"/>
    <n v="26.42"/>
    <n v="0"/>
    <n v="26.47"/>
    <n v="27.06"/>
    <n v="54.14"/>
    <n v="0"/>
    <n v="28.08"/>
    <n v="54.15"/>
    <n v="26.9"/>
    <n v="27.33"/>
    <n v="341.09999999999991"/>
    <n v="-0.42999999999999972"/>
  </r>
  <r>
    <x v="1"/>
    <x v="1"/>
    <x v="0"/>
    <s v="5608200"/>
    <n v="400040"/>
    <s v="Physician Svcs Rev--Medicare"/>
    <s v="HOD-Psych"/>
    <x v="0"/>
    <n v="1100"/>
    <n v="-9588"/>
    <n v="-10733"/>
    <n v="-9848"/>
    <n v="-8190"/>
    <n v="-3251"/>
    <n v="-10147"/>
    <n v="-8150"/>
    <n v="-23429"/>
    <n v="-17683"/>
    <n v="-18399"/>
    <n v="-23839"/>
    <n v="-17604"/>
    <n v="-160861"/>
    <n v="-6235"/>
  </r>
  <r>
    <x v="1"/>
    <x v="1"/>
    <x v="0"/>
    <s v="5608200"/>
    <n v="400040"/>
    <s v="Physician Svcs Rev--Medicaid"/>
    <s v="HOD-Psych"/>
    <x v="0"/>
    <n v="1200"/>
    <n v="-2076"/>
    <n v="-3794"/>
    <n v="-279"/>
    <n v="-2075"/>
    <n v="-1896"/>
    <n v="-4195"/>
    <n v="-9328"/>
    <n v="-13679"/>
    <n v="-2568"/>
    <n v="-7791"/>
    <n v="-3487"/>
    <n v="-4505"/>
    <n v="-55673"/>
    <n v="1018"/>
  </r>
  <r>
    <x v="1"/>
    <x v="1"/>
    <x v="0"/>
    <s v="5608200"/>
    <n v="400040"/>
    <s v="Physician Svcs Rev--Comm Insurance"/>
    <s v="HOD-Psych"/>
    <x v="0"/>
    <n v="1300"/>
    <n v="-389"/>
    <n v="0"/>
    <n v="0"/>
    <n v="0"/>
    <n v="0"/>
    <n v="0"/>
    <n v="-778"/>
    <n v="-376"/>
    <n v="0"/>
    <n v="0"/>
    <n v="-1173"/>
    <n v="0"/>
    <n v="-2716"/>
    <n v="-1173"/>
  </r>
  <r>
    <x v="1"/>
    <x v="1"/>
    <x v="0"/>
    <s v="5608200"/>
    <n v="400040"/>
    <s v="Physician Svcs Rev--BCBS Comm"/>
    <s v="HOD-Psych"/>
    <x v="0"/>
    <n v="1301"/>
    <n v="0"/>
    <n v="-389"/>
    <n v="0"/>
    <n v="0"/>
    <n v="-389"/>
    <n v="-389"/>
    <n v="-771"/>
    <n v="-484"/>
    <n v="-389"/>
    <n v="-114"/>
    <n v="0"/>
    <n v="-389"/>
    <n v="-3314"/>
    <n v="389"/>
  </r>
  <r>
    <x v="1"/>
    <x v="1"/>
    <x v="0"/>
    <s v="5608200"/>
    <n v="400040"/>
    <s v="Physician Svcs Rev--Managed Care"/>
    <s v="HOD-Psych"/>
    <x v="0"/>
    <n v="1400"/>
    <n v="389"/>
    <n v="0"/>
    <n v="-581"/>
    <n v="-1284"/>
    <n v="0"/>
    <n v="-3818"/>
    <n v="-1235"/>
    <n v="-8426"/>
    <n v="-2777"/>
    <n v="-3636"/>
    <n v="-4215"/>
    <n v="-3301"/>
    <n v="-28884"/>
    <n v="-914"/>
  </r>
  <r>
    <x v="1"/>
    <x v="1"/>
    <x v="0"/>
    <s v="5608200"/>
    <n v="400040"/>
    <s v="Physician Svcs Rev--Self Pay"/>
    <s v="HOD-Psych"/>
    <x v="0"/>
    <n v="1500"/>
    <n v="0"/>
    <n v="3008"/>
    <n v="0"/>
    <n v="0"/>
    <n v="-865"/>
    <n v="0"/>
    <n v="-1503"/>
    <n v="-989"/>
    <n v="0"/>
    <n v="0"/>
    <n v="0"/>
    <n v="-389"/>
    <n v="-738"/>
    <n v="389"/>
  </r>
  <r>
    <x v="1"/>
    <x v="1"/>
    <x v="0"/>
    <s v="5608200"/>
    <n v="400040"/>
    <s v="Physician Svcs Rev--Other"/>
    <s v="HOD-Psych"/>
    <x v="0"/>
    <n v="1700"/>
    <n v="-778"/>
    <n v="-389"/>
    <n v="-2191"/>
    <n v="-778"/>
    <n v="358"/>
    <n v="-1044"/>
    <n v="0"/>
    <n v="-5096"/>
    <n v="-2438"/>
    <n v="-2139"/>
    <n v="-389"/>
    <n v="-389"/>
    <n v="-15273"/>
    <n v="0"/>
  </r>
  <r>
    <x v="2"/>
    <x v="1"/>
    <x v="0"/>
    <s v="5608200"/>
    <n v="450040"/>
    <s v="Contr Allow--Phys Svcs--Mcare"/>
    <s v="HOD-Psych"/>
    <x v="0"/>
    <n v="1100"/>
    <n v="6308.7"/>
    <n v="7833.89"/>
    <n v="3590.04"/>
    <n v="8036.27"/>
    <n v="3655.48"/>
    <n v="1145.18"/>
    <n v="5370.47"/>
    <n v="1066.6400000000001"/>
    <n v="4159.45"/>
    <n v="7342.71"/>
    <n v="3479.04"/>
    <n v="5562.35"/>
    <n v="57550.219999999994"/>
    <n v="-2083.3100000000004"/>
  </r>
  <r>
    <x v="2"/>
    <x v="1"/>
    <x v="0"/>
    <s v="5608200"/>
    <n v="450040"/>
    <s v="Contr Allow--Phys Svcs--Mcaid"/>
    <s v="HOD-Psych"/>
    <x v="0"/>
    <n v="1200"/>
    <n v="1467.82"/>
    <n v="5561.55"/>
    <n v="2708.44"/>
    <n v="794.22"/>
    <n v="2039.02"/>
    <n v="610.92999999999995"/>
    <n v="3033.12"/>
    <n v="971.57"/>
    <n v="1473.03"/>
    <n v="1387.55"/>
    <n v="3156.18"/>
    <n v="1267.68"/>
    <n v="24471.109999999997"/>
    <n v="1888.4999999999998"/>
  </r>
  <r>
    <x v="2"/>
    <x v="1"/>
    <x v="0"/>
    <s v="5608200"/>
    <n v="450040"/>
    <s v="Contr Allow--Phys Svcs--Comm Insurance"/>
    <s v="HOD-Psych"/>
    <x v="0"/>
    <n v="1300"/>
    <n v="0"/>
    <n v="0"/>
    <n v="0"/>
    <n v="0"/>
    <n v="0"/>
    <n v="0"/>
    <n v="0"/>
    <n v="0"/>
    <n v="0"/>
    <n v="0"/>
    <n v="169.96"/>
    <n v="0"/>
    <n v="169.96"/>
    <n v="169.96"/>
  </r>
  <r>
    <x v="2"/>
    <x v="1"/>
    <x v="0"/>
    <s v="5608200"/>
    <n v="450040"/>
    <s v="Contr Allow--Phys Svcs--BCBS Comm Ins"/>
    <s v="HOD-Psych"/>
    <x v="0"/>
    <n v="1301"/>
    <n v="0"/>
    <n v="0"/>
    <n v="196.85"/>
    <n v="0"/>
    <n v="0"/>
    <n v="188.86"/>
    <n v="0"/>
    <n v="381.23"/>
    <n v="235.45"/>
    <n v="0"/>
    <n v="0"/>
    <n v="0"/>
    <n v="1002.3900000000001"/>
    <n v="0"/>
  </r>
  <r>
    <x v="2"/>
    <x v="1"/>
    <x v="0"/>
    <s v="5608200"/>
    <n v="450040"/>
    <s v="Contr Allow--Phys Svcs--Managed Care"/>
    <s v="HOD-Psych"/>
    <x v="0"/>
    <n v="1400"/>
    <n v="58.83"/>
    <n v="0"/>
    <n v="0"/>
    <n v="940.92"/>
    <n v="125.97"/>
    <n v="718.5"/>
    <n v="318.27"/>
    <n v="0"/>
    <n v="585.73"/>
    <n v="404.19"/>
    <n v="1607.32"/>
    <n v="0"/>
    <n v="4759.7299999999996"/>
    <n v="1607.32"/>
  </r>
  <r>
    <x v="2"/>
    <x v="1"/>
    <x v="0"/>
    <s v="5608200"/>
    <n v="450040"/>
    <s v="Contr Allow--Phys Svcs--BCBS Mgnd Care"/>
    <s v="HOD-Psych"/>
    <x v="0"/>
    <n v="1401"/>
    <n v="263.93"/>
    <n v="-2847.76"/>
    <n v="1833.46"/>
    <n v="-3115.57"/>
    <n v="-1245.22"/>
    <n v="7822.92"/>
    <n v="4659.68"/>
    <n v="25615.63"/>
    <n v="8702.41"/>
    <n v="9001.51"/>
    <n v="11541.57"/>
    <n v="6797.08"/>
    <n v="69029.64"/>
    <n v="4744.49"/>
  </r>
  <r>
    <x v="2"/>
    <x v="1"/>
    <x v="0"/>
    <s v="5608200"/>
    <n v="450040"/>
    <s v="Prompt Pay Disc-Phys Svcs-Self Pay"/>
    <s v="HOD-Psych"/>
    <x v="0"/>
    <n v="1500"/>
    <n v="0"/>
    <n v="-465.67"/>
    <n v="0"/>
    <n v="0"/>
    <n v="0"/>
    <n v="0"/>
    <n v="0"/>
    <n v="0"/>
    <n v="0"/>
    <n v="0"/>
    <n v="0"/>
    <n v="0"/>
    <n v="-465.67"/>
    <n v="0"/>
  </r>
  <r>
    <x v="2"/>
    <x v="1"/>
    <x v="0"/>
    <s v="5608200"/>
    <n v="450040"/>
    <s v="Admin Adjust-Phys Svcs-Self Pay"/>
    <s v="HOD-Psych"/>
    <x v="0"/>
    <n v="1600"/>
    <n v="0"/>
    <n v="-889.48"/>
    <n v="0"/>
    <n v="0"/>
    <n v="320.05"/>
    <n v="0"/>
    <n v="556.11"/>
    <n v="365.93"/>
    <n v="0"/>
    <n v="0"/>
    <n v="0"/>
    <n v="3074.93"/>
    <n v="3427.54"/>
    <n v="-3074.93"/>
  </r>
  <r>
    <x v="2"/>
    <x v="1"/>
    <x v="0"/>
    <s v="5608200"/>
    <n v="450040"/>
    <s v="Contr Allow--Phys Svcs--Other"/>
    <s v="HOD-Psych"/>
    <x v="0"/>
    <n v="1700"/>
    <n v="0"/>
    <n v="615.79999999999995"/>
    <n v="307.89999999999998"/>
    <n v="1844.91"/>
    <n v="0"/>
    <n v="0"/>
    <n v="708.9"/>
    <n v="0"/>
    <n v="0"/>
    <n v="0"/>
    <n v="280.86"/>
    <n v="0"/>
    <n v="3758.3700000000003"/>
    <n v="280.86"/>
  </r>
  <r>
    <x v="3"/>
    <x v="1"/>
    <x v="0"/>
    <s v="5608200"/>
    <n v="470040"/>
    <s v="Charity Care-Physician Svcs"/>
    <s v="HOD-Psych"/>
    <x v="0"/>
    <m/>
    <n v="-19.420000000000002"/>
    <n v="53.2"/>
    <n v="57.15"/>
    <n v="-110.56"/>
    <n v="-34.869999999999997"/>
    <n v="227"/>
    <n v="124.71"/>
    <n v="676.81"/>
    <n v="492.51"/>
    <n v="816.7"/>
    <n v="67.099999999999994"/>
    <n v="648.91"/>
    <n v="2999.24"/>
    <n v="-581.80999999999995"/>
  </r>
  <r>
    <x v="4"/>
    <x v="1"/>
    <x v="0"/>
    <s v="5608200"/>
    <n v="490010"/>
    <s v="Provision for Bad Debts"/>
    <s v="HOD-Psych"/>
    <x v="0"/>
    <m/>
    <n v="885.98"/>
    <n v="-232.72"/>
    <n v="1176.96"/>
    <n v="-125.38"/>
    <n v="-227.41"/>
    <n v="964.54"/>
    <n v="367.37"/>
    <n v="3325.59"/>
    <n v="1148.21"/>
    <n v="1524.88"/>
    <n v="965.52"/>
    <n v="1298.02"/>
    <n v="11071.560000000001"/>
    <n v="-332.5"/>
  </r>
  <r>
    <x v="14"/>
    <x v="1"/>
    <x v="0"/>
    <s v="5608200"/>
    <n v="600050"/>
    <s v="Miscellaneous Revenue"/>
    <s v="HOD-Psych"/>
    <x v="0"/>
    <m/>
    <n v="-5250"/>
    <n v="-3750"/>
    <n v="-9250"/>
    <n v="-5000"/>
    <n v="-7750"/>
    <n v="-8000"/>
    <n v="-6250"/>
    <n v="-5000"/>
    <n v="-5000"/>
    <n v="-3750"/>
    <n v="-3750"/>
    <n v="0"/>
    <n v="-62750"/>
    <n v="-3750"/>
  </r>
  <r>
    <x v="5"/>
    <x v="1"/>
    <x v="0"/>
    <s v="5608200"/>
    <n v="700022"/>
    <s v="Salaries-Physician-Productive"/>
    <s v="HOD-Psych"/>
    <x v="0"/>
    <m/>
    <n v="23311.55"/>
    <n v="18621.55"/>
    <n v="25069.24"/>
    <n v="23546.16"/>
    <n v="26761.56"/>
    <n v="25944.93"/>
    <n v="29844.47"/>
    <n v="24704.36"/>
    <n v="27011.77"/>
    <n v="16320.74"/>
    <n v="31148.560000000001"/>
    <n v="21451"/>
    <n v="293735.89"/>
    <n v="9697.5600000000013"/>
  </r>
  <r>
    <x v="5"/>
    <x v="1"/>
    <x v="0"/>
    <s v="5608200"/>
    <n v="700022"/>
    <s v="Salaries-Physician-Other"/>
    <s v="HOD-Psych"/>
    <x v="0"/>
    <n v="2000"/>
    <n v="1250"/>
    <n v="2500"/>
    <n v="2500"/>
    <n v="1250"/>
    <n v="3750"/>
    <n v="5000"/>
    <n v="5000"/>
    <n v="9278.89"/>
    <n v="2500"/>
    <n v="1250"/>
    <n v="1250"/>
    <n v="3755.5"/>
    <n v="39284.39"/>
    <n v="-2505.5"/>
  </r>
  <r>
    <x v="5"/>
    <x v="1"/>
    <x v="0"/>
    <s v="5608200"/>
    <n v="700024"/>
    <s v="Salaries-Advanced Practice Clinician-Productive"/>
    <s v="HOD-Psych"/>
    <x v="0"/>
    <m/>
    <n v="3180"/>
    <n v="720"/>
    <n v="5790"/>
    <n v="2352"/>
    <n v="1368"/>
    <n v="13732"/>
    <n v="13128.05"/>
    <n v="11967.52"/>
    <n v="11256.47"/>
    <n v="13089.18"/>
    <n v="12808.75"/>
    <n v="11386.67"/>
    <n v="100778.64"/>
    <n v="1422.08"/>
  </r>
  <r>
    <x v="5"/>
    <x v="1"/>
    <x v="0"/>
    <s v="5608200"/>
    <n v="700024"/>
    <s v="Salaries-Advanced Practice Clinician-Other"/>
    <s v="HOD-Psych"/>
    <x v="0"/>
    <n v="2000"/>
    <n v="4000"/>
    <n v="1250"/>
    <n v="6750"/>
    <n v="3750"/>
    <n v="3750"/>
    <n v="3000"/>
    <n v="1250"/>
    <n v="2500"/>
    <n v="2500"/>
    <n v="2500"/>
    <n v="2500"/>
    <n v="5508.06"/>
    <n v="39258.06"/>
    <n v="-3008.0600000000004"/>
  </r>
  <r>
    <x v="5"/>
    <x v="1"/>
    <x v="0"/>
    <s v="5608200"/>
    <n v="700062"/>
    <s v="Salaries-Physician-Non-productive"/>
    <s v="HOD-Psych"/>
    <x v="0"/>
    <m/>
    <n v="0"/>
    <n v="7384.62"/>
    <n v="-1476.92"/>
    <n v="0"/>
    <n v="0"/>
    <n v="0"/>
    <n v="2366.56"/>
    <n v="1223.33"/>
    <n v="-462.21"/>
    <n v="9822.0300000000007"/>
    <n v="-2888.82"/>
    <n v="6923.04"/>
    <n v="22891.630000000005"/>
    <n v="-9811.86"/>
  </r>
  <r>
    <x v="5"/>
    <x v="1"/>
    <x v="0"/>
    <s v="5608200"/>
    <n v="700064"/>
    <s v="Salaries-Advanced Practice Clinician-Non-Productive"/>
    <s v="HOD-Psych"/>
    <x v="0"/>
    <m/>
    <n v="0"/>
    <n v="0"/>
    <n v="0"/>
    <n v="0"/>
    <n v="0"/>
    <n v="468.03"/>
    <n v="467.53"/>
    <n v="460.61"/>
    <n v="1464.58"/>
    <n v="459.47"/>
    <n v="458.69"/>
    <n v="2958.86"/>
    <n v="6737.77"/>
    <n v="-2500.17"/>
  </r>
  <r>
    <x v="6"/>
    <x v="1"/>
    <x v="0"/>
    <s v="5608200"/>
    <n v="713010"/>
    <s v="Benefits-FICA/Medicare"/>
    <s v="HOD-Psych"/>
    <x v="0"/>
    <m/>
    <n v="675.4"/>
    <n v="632"/>
    <n v="1019.42"/>
    <n v="568.63"/>
    <n v="800.76"/>
    <n v="2397.7800000000002"/>
    <n v="3486.01"/>
    <n v="3405.11"/>
    <n v="2955.29"/>
    <n v="3001.51"/>
    <n v="3137.25"/>
    <n v="2088.4699999999998"/>
    <n v="24167.630000000005"/>
    <n v="1048.7800000000002"/>
  </r>
  <r>
    <x v="6"/>
    <x v="1"/>
    <x v="0"/>
    <s v="5608200"/>
    <n v="713090"/>
    <s v="Benefits-Allocated Amounts"/>
    <s v="HOD-Psych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08200"/>
    <n v="713092"/>
    <s v="Allocated Benefits-Physician"/>
    <s v="HOD-Psych"/>
    <x v="0"/>
    <m/>
    <n v="2131.29"/>
    <n v="1844.4"/>
    <n v="2397.2800000000002"/>
    <n v="1900.85"/>
    <n v="2186.44"/>
    <n v="3649.76"/>
    <n v="4222.25"/>
    <n v="3973.27"/>
    <n v="1275.6600000000001"/>
    <n v="3201.46"/>
    <n v="3185.17"/>
    <n v="3905.35"/>
    <n v="33873.18"/>
    <n v="-720.17999999999984"/>
  </r>
  <r>
    <x v="6"/>
    <x v="1"/>
    <x v="0"/>
    <s v="5608200"/>
    <n v="713093"/>
    <s v="Allocated Benefits-Advanced Practice Clinician"/>
    <s v="HOD-Psych"/>
    <x v="0"/>
    <m/>
    <n v="272.05"/>
    <n v="235.43"/>
    <n v="306.01"/>
    <n v="242.64"/>
    <n v="279.08999999999997"/>
    <n v="465.88"/>
    <n v="538.96"/>
    <n v="507.17"/>
    <n v="3352.18"/>
    <n v="841.65"/>
    <n v="837.37"/>
    <n v="1026.7"/>
    <n v="8905.1299999999992"/>
    <n v="-189.33000000000004"/>
  </r>
  <r>
    <x v="7"/>
    <x v="1"/>
    <x v="0"/>
    <s v="5608200"/>
    <n v="718040"/>
    <s v="Contract Svcs-Laboratory"/>
    <s v="HOD-Psych"/>
    <x v="0"/>
    <m/>
    <n v="51.2"/>
    <n v="0"/>
    <n v="0"/>
    <n v="0"/>
    <n v="0"/>
    <n v="0"/>
    <n v="0"/>
    <n v="0"/>
    <n v="0"/>
    <n v="0"/>
    <n v="0"/>
    <n v="0"/>
    <n v="51.2"/>
    <n v="0"/>
  </r>
  <r>
    <x v="0"/>
    <x v="1"/>
    <x v="0"/>
    <s v="5608200"/>
    <n v="740022"/>
    <s v="Education-Physician"/>
    <s v="HOD-Psych"/>
    <x v="0"/>
    <m/>
    <n v="0"/>
    <n v="0"/>
    <n v="2000"/>
    <n v="0"/>
    <n v="0"/>
    <n v="0"/>
    <n v="0"/>
    <n v="0"/>
    <n v="0"/>
    <n v="0"/>
    <n v="0"/>
    <n v="0"/>
    <n v="2000"/>
    <n v="0"/>
  </r>
  <r>
    <x v="8"/>
    <x v="1"/>
    <x v="0"/>
    <s v="5608200"/>
    <n v="741012"/>
    <s v="Physician Liab Insurance-CHI Program"/>
    <s v="HOD-Psych"/>
    <x v="0"/>
    <m/>
    <n v="497.36"/>
    <n v="497.34"/>
    <n v="497.36"/>
    <n v="497.34"/>
    <n v="497.36"/>
    <n v="536.72"/>
    <n v="536.74"/>
    <n v="536.71"/>
    <n v="536.74"/>
    <n v="536.71"/>
    <n v="536.74"/>
    <n v="501.68"/>
    <n v="6208.7999999999993"/>
    <n v="35.06"/>
  </r>
  <r>
    <x v="0"/>
    <x v="1"/>
    <x v="0"/>
    <s v="5608200"/>
    <n v="743022"/>
    <s v="Dues-Physician"/>
    <s v="HOD-Psych"/>
    <x v="0"/>
    <m/>
    <n v="0"/>
    <n v="0"/>
    <n v="575"/>
    <n v="0"/>
    <n v="0"/>
    <n v="0"/>
    <n v="493"/>
    <n v="0"/>
    <n v="0"/>
    <n v="0"/>
    <n v="0"/>
    <n v="0"/>
    <n v="1068"/>
    <n v="0"/>
  </r>
  <r>
    <x v="0"/>
    <x v="1"/>
    <x v="0"/>
    <s v="5608200"/>
    <n v="749512"/>
    <s v="Licenses-Physician"/>
    <s v="HOD-Psych"/>
    <x v="0"/>
    <n v="2000"/>
    <n v="0"/>
    <n v="0"/>
    <n v="0"/>
    <n v="0"/>
    <n v="0"/>
    <n v="0"/>
    <n v="0"/>
    <n v="0"/>
    <n v="0"/>
    <n v="731"/>
    <n v="0"/>
    <n v="0"/>
    <n v="731"/>
    <n v="0"/>
  </r>
  <r>
    <x v="0"/>
    <x v="1"/>
    <x v="0"/>
    <s v="5608200"/>
    <n v="749513"/>
    <s v="Licenses-Advanced Practice Clinician"/>
    <s v="HOD-Psych"/>
    <x v="0"/>
    <n v="2000"/>
    <n v="0"/>
    <n v="0"/>
    <n v="0"/>
    <n v="0"/>
    <n v="0"/>
    <n v="170"/>
    <n v="0"/>
    <n v="731"/>
    <n v="0"/>
    <n v="0"/>
    <n v="0"/>
    <n v="0"/>
    <n v="901"/>
    <n v="0"/>
  </r>
  <r>
    <x v="9"/>
    <x v="1"/>
    <x v="0"/>
    <s v="5608200"/>
    <n v="800015"/>
    <s v="Interest Income-Ext to CHI"/>
    <s v="HOD-Psych"/>
    <x v="0"/>
    <m/>
    <n v="0"/>
    <n v="0"/>
    <n v="0"/>
    <n v="0"/>
    <n v="0"/>
    <n v="-51.36"/>
    <n v="-50.87"/>
    <n v="-43.94"/>
    <n v="-46.44"/>
    <n v="-42.8"/>
    <n v="-42.02"/>
    <n v="-38.520000000000003"/>
    <n v="-315.94999999999993"/>
    <n v="-3.5"/>
  </r>
  <r>
    <x v="1"/>
    <x v="1"/>
    <x v="0"/>
    <s v="5609200"/>
    <n v="400029"/>
    <s v="MD Practice Other Rev--Medicare"/>
    <s v="Hospitalist-Ortho Surg"/>
    <x v="0"/>
    <n v="1100"/>
    <n v="-1632"/>
    <n v="-308"/>
    <n v="-1321"/>
    <n v="-1257"/>
    <n v="-2769"/>
    <n v="-973"/>
    <n v="-779"/>
    <n v="-2020"/>
    <n v="-1832"/>
    <n v="-1690"/>
    <n v="-1821"/>
    <n v="-1061"/>
    <n v="-17463"/>
    <n v="-760"/>
  </r>
  <r>
    <x v="1"/>
    <x v="1"/>
    <x v="0"/>
    <s v="5609200"/>
    <n v="400029"/>
    <s v="MD Practice Other Rev--Medicaid"/>
    <s v="Hospitalist-Ortho Surg"/>
    <x v="0"/>
    <n v="1200"/>
    <n v="-629"/>
    <n v="-89"/>
    <n v="-837"/>
    <n v="-890"/>
    <n v="-1424"/>
    <n v="-972"/>
    <n v="-1355"/>
    <n v="-1312"/>
    <n v="-1149"/>
    <n v="-170"/>
    <n v="-1318"/>
    <n v="-363"/>
    <n v="-10508"/>
    <n v="-955"/>
  </r>
  <r>
    <x v="1"/>
    <x v="1"/>
    <x v="0"/>
    <s v="5609200"/>
    <n v="400029"/>
    <s v="MD Practice Other Rev--Comm Insurance"/>
    <s v="Hospitalist-Ortho Surg"/>
    <x v="0"/>
    <n v="1300"/>
    <n v="-271"/>
    <n v="-279"/>
    <n v="-188"/>
    <n v="-386"/>
    <n v="89"/>
    <n v="-100"/>
    <n v="0"/>
    <n v="-520"/>
    <n v="-181"/>
    <n v="-64"/>
    <n v="-8"/>
    <n v="-81"/>
    <n v="-1989"/>
    <n v="73"/>
  </r>
  <r>
    <x v="1"/>
    <x v="1"/>
    <x v="0"/>
    <s v="5609200"/>
    <n v="400029"/>
    <s v="MD Practice Other Rev--BCBS Comm"/>
    <s v="Hospitalist-Ortho Surg"/>
    <x v="0"/>
    <n v="1301"/>
    <n v="-403"/>
    <n v="-89"/>
    <n v="-117"/>
    <n v="-180"/>
    <n v="-277"/>
    <n v="-100"/>
    <n v="-89"/>
    <n v="-443"/>
    <n v="-87"/>
    <n v="-87"/>
    <n v="-267"/>
    <n v="0"/>
    <n v="-2139"/>
    <n v="-267"/>
  </r>
  <r>
    <x v="1"/>
    <x v="1"/>
    <x v="0"/>
    <s v="5609200"/>
    <n v="400029"/>
    <s v="MD Practice Other Rev--Managed Care"/>
    <s v="Hospitalist-Ortho Surg"/>
    <x v="0"/>
    <n v="1400"/>
    <n v="-528"/>
    <n v="0"/>
    <n v="-602"/>
    <n v="-168"/>
    <n v="-605"/>
    <n v="-528"/>
    <n v="-674"/>
    <n v="-1553"/>
    <n v="-705"/>
    <n v="-665"/>
    <n v="-457"/>
    <n v="-450"/>
    <n v="-6935"/>
    <n v="-7"/>
  </r>
  <r>
    <x v="1"/>
    <x v="1"/>
    <x v="0"/>
    <s v="5609200"/>
    <n v="400029"/>
    <s v="MD Practice Other Rev--Self Pay"/>
    <s v="Hospitalist-Ortho Surg"/>
    <x v="0"/>
    <n v="1500"/>
    <n v="-78"/>
    <n v="0"/>
    <n v="-168"/>
    <n v="-289"/>
    <n v="-341"/>
    <n v="-269"/>
    <n v="-91"/>
    <n v="87"/>
    <n v="-170"/>
    <n v="-445"/>
    <n v="1"/>
    <n v="-87"/>
    <n v="-1850"/>
    <n v="88"/>
  </r>
  <r>
    <x v="1"/>
    <x v="1"/>
    <x v="0"/>
    <s v="5609200"/>
    <n v="400029"/>
    <s v="MD Practice Other Rev--Other"/>
    <s v="Hospitalist-Ortho Surg"/>
    <x v="0"/>
    <n v="1700"/>
    <n v="-385"/>
    <n v="-81"/>
    <n v="-175"/>
    <n v="-162"/>
    <n v="-187"/>
    <n v="-243"/>
    <n v="-175"/>
    <n v="-836"/>
    <n v="-858"/>
    <n v="-370"/>
    <n v="-471"/>
    <n v="-267"/>
    <n v="-4210"/>
    <n v="-204"/>
  </r>
  <r>
    <x v="1"/>
    <x v="1"/>
    <x v="0"/>
    <s v="5609200"/>
    <n v="400040"/>
    <s v="Physician Svcs Rev--Medicare"/>
    <s v="Hospitalist-Ortho Surg"/>
    <x v="0"/>
    <n v="1100"/>
    <n v="-74497"/>
    <n v="-33722"/>
    <n v="-54018.2"/>
    <n v="-18028"/>
    <n v="-24384"/>
    <n v="-19533"/>
    <n v="-29970"/>
    <n v="-58484"/>
    <n v="-35713"/>
    <n v="-26291"/>
    <n v="-51872"/>
    <n v="-9395"/>
    <n v="-435907.2"/>
    <n v="-42477"/>
  </r>
  <r>
    <x v="1"/>
    <x v="1"/>
    <x v="0"/>
    <s v="5609200"/>
    <n v="400040"/>
    <s v="Physician Svcs Rev--Medicaid"/>
    <s v="Hospitalist-Ortho Surg"/>
    <x v="0"/>
    <n v="1200"/>
    <n v="-15461"/>
    <n v="-20045"/>
    <n v="-35730"/>
    <n v="-20227"/>
    <n v="-17120"/>
    <n v="-15151"/>
    <n v="-23815"/>
    <n v="-17523"/>
    <n v="-15709"/>
    <n v="-11159"/>
    <n v="-3169"/>
    <n v="-19686"/>
    <n v="-214795"/>
    <n v="16517"/>
  </r>
  <r>
    <x v="1"/>
    <x v="1"/>
    <x v="0"/>
    <s v="5609200"/>
    <n v="400040"/>
    <s v="Physician Svcs Rev--Comm Insurance"/>
    <s v="Hospitalist-Ortho Surg"/>
    <x v="0"/>
    <n v="1300"/>
    <n v="-4104"/>
    <n v="-6150"/>
    <n v="-8827"/>
    <n v="13713"/>
    <n v="-16986"/>
    <n v="-360"/>
    <n v="0"/>
    <n v="-1260"/>
    <n v="0"/>
    <n v="10154"/>
    <n v="10016"/>
    <n v="-538"/>
    <n v="-4342"/>
    <n v="10554"/>
  </r>
  <r>
    <x v="1"/>
    <x v="1"/>
    <x v="0"/>
    <s v="5609200"/>
    <n v="400040"/>
    <s v="Physician Svcs Rev--BCBS Comm"/>
    <s v="Hospitalist-Ortho Surg"/>
    <x v="0"/>
    <n v="1301"/>
    <n v="-415"/>
    <n v="-2619"/>
    <n v="-496"/>
    <n v="-142"/>
    <n v="-1167"/>
    <n v="-327"/>
    <n v="-121"/>
    <n v="-7705"/>
    <n v="-551"/>
    <n v="-836"/>
    <n v="-2516"/>
    <n v="-2793"/>
    <n v="-19688"/>
    <n v="277"/>
  </r>
  <r>
    <x v="1"/>
    <x v="1"/>
    <x v="0"/>
    <s v="5609200"/>
    <n v="400040"/>
    <s v="Physician Svcs Rev--Managed Care"/>
    <s v="Hospitalist-Ortho Surg"/>
    <x v="0"/>
    <n v="1400"/>
    <n v="-2768"/>
    <n v="-8905"/>
    <n v="-5899"/>
    <n v="-7280"/>
    <n v="6620"/>
    <n v="-7310"/>
    <n v="-30591"/>
    <n v="-10305"/>
    <n v="-3657"/>
    <n v="-1228"/>
    <n v="-5638"/>
    <n v="-4978"/>
    <n v="-81939"/>
    <n v="-660"/>
  </r>
  <r>
    <x v="1"/>
    <x v="1"/>
    <x v="0"/>
    <s v="5609200"/>
    <n v="400040"/>
    <s v="Physician Svcs Rev--Self Pay"/>
    <s v="Hospitalist-Ortho Surg"/>
    <x v="0"/>
    <n v="1500"/>
    <n v="-346"/>
    <n v="-7720"/>
    <n v="-1676"/>
    <n v="-7035"/>
    <n v="-4509"/>
    <n v="-354"/>
    <n v="-3586"/>
    <n v="-7172"/>
    <n v="1712"/>
    <n v="-7060"/>
    <n v="1616"/>
    <n v="-466"/>
    <n v="-36596"/>
    <n v="2082"/>
  </r>
  <r>
    <x v="1"/>
    <x v="1"/>
    <x v="0"/>
    <s v="5609200"/>
    <n v="400040"/>
    <s v="Physician Svcs Rev--Other"/>
    <s v="Hospitalist-Ortho Surg"/>
    <x v="0"/>
    <n v="1700"/>
    <n v="-12045"/>
    <n v="3209"/>
    <n v="-1096"/>
    <n v="-794"/>
    <n v="-6214"/>
    <n v="-4628"/>
    <n v="-6161"/>
    <n v="-21670"/>
    <n v="-12015"/>
    <n v="-1176"/>
    <n v="-643"/>
    <n v="-3623"/>
    <n v="-66856"/>
    <n v="2980"/>
  </r>
  <r>
    <x v="2"/>
    <x v="1"/>
    <x v="0"/>
    <s v="5609200"/>
    <n v="450029"/>
    <s v="Contr Allow--MD Other-Medicare"/>
    <s v="Hospitalist-Ortho Surg"/>
    <x v="0"/>
    <n v="1100"/>
    <n v="140.25"/>
    <n v="855.47"/>
    <n v="602.65"/>
    <n v="1046.81"/>
    <n v="1224.53"/>
    <n v="849.46"/>
    <n v="1112.04"/>
    <n v="512.53"/>
    <n v="1121.73"/>
    <n v="1108.42"/>
    <n v="691.8"/>
    <n v="1062.02"/>
    <n v="10327.709999999999"/>
    <n v="-370.22"/>
  </r>
  <r>
    <x v="2"/>
    <x v="1"/>
    <x v="0"/>
    <s v="5609200"/>
    <n v="450029"/>
    <s v="Contr Allow--MD Other-Medicaid"/>
    <s v="Hospitalist-Ortho Surg"/>
    <x v="0"/>
    <n v="1200"/>
    <n v="56.68"/>
    <n v="423.93"/>
    <n v="202.98"/>
    <n v="503.09"/>
    <n v="1228.07"/>
    <n v="525.22"/>
    <n v="912.51"/>
    <n v="1066.8800000000001"/>
    <n v="752.98"/>
    <n v="670.06"/>
    <n v="68.33"/>
    <n v="957.98"/>
    <n v="7368.7099999999991"/>
    <n v="-889.65"/>
  </r>
  <r>
    <x v="2"/>
    <x v="1"/>
    <x v="0"/>
    <s v="5609200"/>
    <n v="450029"/>
    <s v="Contr Allow--MD Other-Comm Insurance"/>
    <s v="Hospitalist-Ortho Surg"/>
    <x v="0"/>
    <n v="1300"/>
    <n v="0"/>
    <n v="229.85"/>
    <n v="56.1"/>
    <n v="202.79"/>
    <n v="0"/>
    <n v="0"/>
    <n v="36.700000000000003"/>
    <n v="0"/>
    <n v="97.45"/>
    <n v="149.87"/>
    <n v="80.38"/>
    <n v="0"/>
    <n v="853.1400000000001"/>
    <n v="80.38"/>
  </r>
  <r>
    <x v="2"/>
    <x v="1"/>
    <x v="0"/>
    <s v="5609200"/>
    <n v="450029"/>
    <s v="Contr Allow--MD Other BCBS Comm"/>
    <s v="Hospitalist-Ortho Surg"/>
    <x v="0"/>
    <n v="1301"/>
    <n v="53.47"/>
    <n v="0"/>
    <n v="56.47"/>
    <n v="23.57"/>
    <n v="0"/>
    <n v="119.49"/>
    <n v="22.1"/>
    <n v="0"/>
    <n v="23.57"/>
    <n v="0"/>
    <n v="112.1"/>
    <n v="68.5"/>
    <n v="479.27"/>
    <n v="43.599999999999994"/>
  </r>
  <r>
    <x v="2"/>
    <x v="1"/>
    <x v="0"/>
    <s v="5609200"/>
    <n v="450029"/>
    <s v="Contr Allow--MD Other-Managed Care"/>
    <s v="Hospitalist-Ortho Surg"/>
    <x v="0"/>
    <n v="1400"/>
    <n v="0"/>
    <n v="200.03"/>
    <n v="137.96"/>
    <n v="93.55"/>
    <n v="220.56"/>
    <n v="149.76"/>
    <n v="124.17"/>
    <n v="274.45"/>
    <n v="381.29"/>
    <n v="401.33"/>
    <n v="118.48"/>
    <n v="99.27"/>
    <n v="2200.85"/>
    <n v="19.210000000000008"/>
  </r>
  <r>
    <x v="2"/>
    <x v="1"/>
    <x v="0"/>
    <s v="5609200"/>
    <n v="450029"/>
    <s v="Admin Adjust-MD Other-Self Pay"/>
    <s v="Hospitalist-Ortho Surg"/>
    <x v="0"/>
    <n v="1600"/>
    <n v="30.81"/>
    <n v="73.760000000000005"/>
    <n v="66.180000000000007"/>
    <n v="175.74"/>
    <n v="126.17"/>
    <n v="32.24"/>
    <n v="-12.77"/>
    <n v="-34.81"/>
    <n v="62.9"/>
    <n v="164.65"/>
    <n v="-0.37"/>
    <n v="32.19"/>
    <n v="716.69"/>
    <n v="-32.559999999999995"/>
  </r>
  <r>
    <x v="2"/>
    <x v="1"/>
    <x v="0"/>
    <s v="5609200"/>
    <n v="450029"/>
    <s v="Contr Allow--MD Other-Other"/>
    <s v="Hospitalist-Ortho Surg"/>
    <x v="0"/>
    <n v="1700"/>
    <n v="121.21"/>
    <n v="149.16"/>
    <n v="184.71"/>
    <n v="64.77"/>
    <n v="60.76"/>
    <n v="73.739999999999995"/>
    <n v="87.12"/>
    <n v="127.56"/>
    <n v="300.8"/>
    <n v="385.01"/>
    <n v="125.09"/>
    <n v="102.66"/>
    <n v="1782.59"/>
    <n v="22.430000000000007"/>
  </r>
  <r>
    <x v="2"/>
    <x v="1"/>
    <x v="0"/>
    <s v="5609200"/>
    <n v="450040"/>
    <s v="Contr Allow--Phys Svcs--Mcare"/>
    <s v="Hospitalist-Ortho Surg"/>
    <x v="0"/>
    <n v="1100"/>
    <n v="54904.56"/>
    <n v="36824.9"/>
    <n v="24959.27"/>
    <n v="25483.8"/>
    <n v="14561.62"/>
    <n v="12284.13"/>
    <n v="16138.29"/>
    <n v="26669.22"/>
    <n v="29675.45"/>
    <n v="25421.57"/>
    <n v="26578.84"/>
    <n v="25152.9"/>
    <n v="318654.55000000005"/>
    <n v="1425.9399999999987"/>
  </r>
  <r>
    <x v="2"/>
    <x v="1"/>
    <x v="0"/>
    <s v="5609200"/>
    <n v="450040"/>
    <s v="Contr Allow--Phys Svcs--Mcaid"/>
    <s v="Hospitalist-Ortho Surg"/>
    <x v="0"/>
    <n v="1200"/>
    <n v="34027.68"/>
    <n v="22377.27"/>
    <n v="17915.02"/>
    <n v="22699.81"/>
    <n v="15119.03"/>
    <n v="17890.75"/>
    <n v="19599.25"/>
    <n v="11757.99"/>
    <n v="3386.17"/>
    <n v="4941.2"/>
    <n v="24193.46"/>
    <n v="9372.84"/>
    <n v="203280.47"/>
    <n v="14820.619999999999"/>
  </r>
  <r>
    <x v="2"/>
    <x v="1"/>
    <x v="0"/>
    <s v="5609200"/>
    <n v="450040"/>
    <s v="Contr Allow--Phys Svcs--Comm Insurance"/>
    <s v="Hospitalist-Ortho Surg"/>
    <x v="0"/>
    <n v="1300"/>
    <n v="-140.41999999999999"/>
    <n v="293"/>
    <n v="0"/>
    <n v="118"/>
    <n v="0"/>
    <n v="-4733.5"/>
    <n v="206.16"/>
    <n v="2577.41"/>
    <n v="2278.83"/>
    <n v="0"/>
    <n v="0"/>
    <n v="90.75"/>
    <n v="690.22999999999956"/>
    <n v="-90.75"/>
  </r>
  <r>
    <x v="2"/>
    <x v="1"/>
    <x v="0"/>
    <s v="5609200"/>
    <n v="450040"/>
    <s v="Contr Allow--Phys Svcs--BCBS Comm Ins"/>
    <s v="Hospitalist-Ortho Surg"/>
    <x v="0"/>
    <n v="1301"/>
    <n v="2624.25"/>
    <n v="0"/>
    <n v="581.99"/>
    <n v="171.46"/>
    <n v="119.96"/>
    <n v="374.55"/>
    <n v="50.14"/>
    <n v="139.47"/>
    <n v="1183.42"/>
    <n v="6.66"/>
    <n v="714.79"/>
    <n v="29.84"/>
    <n v="5996.53"/>
    <n v="684.94999999999993"/>
  </r>
  <r>
    <x v="2"/>
    <x v="1"/>
    <x v="0"/>
    <s v="5609200"/>
    <n v="450040"/>
    <s v="Contr Allow--Phys Svcs--Managed Care"/>
    <s v="Hospitalist-Ortho Surg"/>
    <x v="0"/>
    <n v="1400"/>
    <n v="13504.69"/>
    <n v="20573.16"/>
    <n v="9144.3799999999992"/>
    <n v="1409.7"/>
    <n v="-3875.28"/>
    <n v="1218.18"/>
    <n v="7141.54"/>
    <n v="3829.68"/>
    <n v="8616.11"/>
    <n v="7747.84"/>
    <n v="6965.72"/>
    <n v="5754.54"/>
    <n v="82030.259999999995"/>
    <n v="1211.1800000000003"/>
  </r>
  <r>
    <x v="2"/>
    <x v="1"/>
    <x v="0"/>
    <s v="5609200"/>
    <n v="450040"/>
    <s v="Contr Allow--Phys Svcs--BCBS Mgnd Care"/>
    <s v="Hospitalist-Ortho Surg"/>
    <x v="0"/>
    <n v="1401"/>
    <n v="-18966.66"/>
    <n v="-27559.63"/>
    <n v="7628.98"/>
    <n v="-22315.64"/>
    <n v="11923.29"/>
    <n v="-1180.52"/>
    <n v="15872.61"/>
    <n v="22439.119999999999"/>
    <n v="-11547.95"/>
    <n v="-20830.22"/>
    <n v="-14338.89"/>
    <n v="-11156.51"/>
    <n v="-70032.01999999999"/>
    <n v="-3182.3799999999992"/>
  </r>
  <r>
    <x v="2"/>
    <x v="1"/>
    <x v="0"/>
    <s v="5609200"/>
    <n v="450040"/>
    <s v="Admin Adjust-Phys Svcs-Self Pay"/>
    <s v="Hospitalist-Ortho Surg"/>
    <x v="0"/>
    <n v="1600"/>
    <n v="4031.17"/>
    <n v="4638.5"/>
    <n v="891.51"/>
    <n v="3372.93"/>
    <n v="179.45"/>
    <n v="130.97999999999999"/>
    <n v="509.4"/>
    <n v="2709.34"/>
    <n v="-612.79"/>
    <n v="2744.28"/>
    <n v="-597.91999999999996"/>
    <n v="172.42"/>
    <n v="18169.269999999997"/>
    <n v="-770.33999999999992"/>
  </r>
  <r>
    <x v="2"/>
    <x v="1"/>
    <x v="0"/>
    <s v="5609200"/>
    <n v="450040"/>
    <s v="Contr Allow--Phys Svcs--Other"/>
    <s v="Hospitalist-Ortho Surg"/>
    <x v="0"/>
    <n v="1700"/>
    <n v="12120.14"/>
    <n v="6800.76"/>
    <n v="1097.96"/>
    <n v="960.02"/>
    <n v="918.59"/>
    <n v="4693.6499999999996"/>
    <n v="215.32"/>
    <n v="7627.36"/>
    <n v="6106.04"/>
    <n v="2184.7600000000002"/>
    <n v="3129.05"/>
    <n v="405.91"/>
    <n v="46259.560000000012"/>
    <n v="2723.1400000000003"/>
  </r>
  <r>
    <x v="3"/>
    <x v="1"/>
    <x v="0"/>
    <s v="5609200"/>
    <n v="470040"/>
    <s v="Charity Care-Physician Svcs"/>
    <s v="Hospitalist-Ortho Surg"/>
    <x v="0"/>
    <m/>
    <n v="-981.87"/>
    <n v="60.94"/>
    <n v="604.48"/>
    <n v="2514.2399999999998"/>
    <n v="1447.5"/>
    <n v="-324.11"/>
    <n v="841.25"/>
    <n v="4411.9799999999996"/>
    <n v="473.68"/>
    <n v="-735.09"/>
    <n v="3708.06"/>
    <n v="194.69"/>
    <n v="12215.75"/>
    <n v="3513.37"/>
  </r>
  <r>
    <x v="4"/>
    <x v="1"/>
    <x v="0"/>
    <s v="5609200"/>
    <n v="490010"/>
    <s v="Provision for Bad Debts"/>
    <s v="Hospitalist-Ortho Surg"/>
    <x v="0"/>
    <m/>
    <n v="-3313.99"/>
    <n v="-4059.69"/>
    <n v="11829.03"/>
    <n v="731.12"/>
    <n v="3559.2"/>
    <n v="-1125.92"/>
    <n v="4242.82"/>
    <n v="5092.1400000000003"/>
    <n v="-3510.91"/>
    <n v="-1975.28"/>
    <n v="-115.57"/>
    <n v="-436.77"/>
    <n v="10916.179999999998"/>
    <n v="321.2"/>
  </r>
  <r>
    <x v="14"/>
    <x v="1"/>
    <x v="0"/>
    <s v="5609200"/>
    <n v="600050"/>
    <s v="Miscellaneous Revenue"/>
    <s v="Hospitalist-Ortho Surg"/>
    <x v="0"/>
    <m/>
    <n v="-10800"/>
    <n v="-1000"/>
    <n v="-2500"/>
    <n v="-2000"/>
    <n v="-5000"/>
    <n v="0"/>
    <n v="0"/>
    <n v="-12000"/>
    <n v="-6000"/>
    <n v="-3000"/>
    <n v="-2000"/>
    <n v="-6000"/>
    <n v="-50300"/>
    <n v="4000"/>
  </r>
  <r>
    <x v="5"/>
    <x v="1"/>
    <x v="0"/>
    <s v="5609200"/>
    <n v="700022"/>
    <s v="Salaries-Physician-Productive"/>
    <s v="Hospitalist-Ortho Surg"/>
    <x v="0"/>
    <m/>
    <n v="74654.94"/>
    <n v="64298.16"/>
    <n v="55391.35"/>
    <n v="74183.100000000006"/>
    <n v="65435.79"/>
    <n v="57959.15"/>
    <n v="64881.64"/>
    <n v="58246.83"/>
    <n v="59903.13"/>
    <n v="54737.62"/>
    <n v="57225.71"/>
    <n v="123019.08"/>
    <n v="809936.5"/>
    <n v="-65793.37"/>
  </r>
  <r>
    <x v="5"/>
    <x v="1"/>
    <x v="0"/>
    <s v="5609200"/>
    <n v="700022"/>
    <s v="Salaries-Physician-Other"/>
    <s v="Hospitalist-Ortho Surg"/>
    <x v="0"/>
    <n v="2000"/>
    <n v="10800"/>
    <n v="1000"/>
    <n v="2500"/>
    <n v="2000"/>
    <n v="5000"/>
    <n v="0"/>
    <n v="0"/>
    <n v="12000"/>
    <n v="6000"/>
    <n v="3000"/>
    <n v="2000"/>
    <n v="6000"/>
    <n v="50300"/>
    <n v="-4000"/>
  </r>
  <r>
    <x v="5"/>
    <x v="1"/>
    <x v="0"/>
    <s v="5609200"/>
    <n v="700022"/>
    <s v="Salaries-Physician-Provider Incentive"/>
    <s v="Hospitalist-Ortho Surg"/>
    <x v="0"/>
    <n v="4003"/>
    <n v="0"/>
    <n v="0"/>
    <n v="0"/>
    <n v="0"/>
    <n v="0"/>
    <n v="0"/>
    <n v="14235.19"/>
    <n v="-8.33"/>
    <n v="3960.58"/>
    <n v="9552.11"/>
    <n v="14147.85"/>
    <n v="0"/>
    <n v="41887.4"/>
    <n v="14147.85"/>
  </r>
  <r>
    <x v="5"/>
    <x v="1"/>
    <x v="0"/>
    <s v="5609200"/>
    <n v="700024"/>
    <s v="Salaries-Advanced Practice Clinician-Productive"/>
    <s v="Hospitalist-Ortho Surg"/>
    <x v="0"/>
    <m/>
    <n v="2193.84"/>
    <n v="6867.69"/>
    <n v="476.93"/>
    <n v="0"/>
    <n v="0"/>
    <n v="0"/>
    <n v="0"/>
    <n v="0"/>
    <n v="0"/>
    <n v="7341.14"/>
    <n v="3458.13"/>
    <n v="11233.66"/>
    <n v="31571.39"/>
    <n v="-7775.53"/>
  </r>
  <r>
    <x v="5"/>
    <x v="1"/>
    <x v="0"/>
    <s v="5609200"/>
    <n v="700030"/>
    <s v="Salaries-LPN-Productive"/>
    <s v="Hospitalist-Ortho Surg"/>
    <x v="0"/>
    <m/>
    <n v="4225.34"/>
    <n v="4260.2"/>
    <n v="3939.46"/>
    <n v="5064.47"/>
    <n v="5056.4799999999996"/>
    <n v="1666.34"/>
    <n v="4718.8"/>
    <n v="2882.95"/>
    <n v="5209.1899999999996"/>
    <n v="5099.8599999999997"/>
    <n v="5294.08"/>
    <n v="2992.29"/>
    <n v="50409.460000000006"/>
    <n v="2301.79"/>
  </r>
  <r>
    <x v="5"/>
    <x v="1"/>
    <x v="0"/>
    <s v="5609200"/>
    <n v="700030"/>
    <s v="Salaries-LPN-OT"/>
    <s v="Hospitalist-Ortho Surg"/>
    <x v="0"/>
    <n v="1000"/>
    <n v="0"/>
    <n v="0"/>
    <n v="62.76"/>
    <n v="135.97"/>
    <n v="43.1"/>
    <n v="169.15"/>
    <n v="152.15"/>
    <n v="-8.6300000000000008"/>
    <n v="107.91"/>
    <n v="10.78"/>
    <n v="0"/>
    <n v="0"/>
    <n v="673.18999999999994"/>
    <n v="0"/>
  </r>
  <r>
    <x v="5"/>
    <x v="1"/>
    <x v="0"/>
    <s v="5609200"/>
    <n v="700032"/>
    <s v="Salaries-Other Pat Care Providers-Productive"/>
    <s v="Hospitalist-Ortho Surg"/>
    <x v="0"/>
    <m/>
    <n v="1879.94"/>
    <n v="847.32"/>
    <n v="2645.69"/>
    <n v="-559.44000000000005"/>
    <n v="3511.47"/>
    <n v="1421.4"/>
    <n v="3080.35"/>
    <n v="2972.25"/>
    <n v="3199.93"/>
    <n v="3043.52"/>
    <n v="3406.61"/>
    <n v="2735.15"/>
    <n v="28184.190000000002"/>
    <n v="671.46"/>
  </r>
  <r>
    <x v="5"/>
    <x v="1"/>
    <x v="0"/>
    <s v="5609200"/>
    <n v="700034"/>
    <s v="Salaries-Tech/Professional-Productive"/>
    <s v="Hospitalist-Ortho Surg"/>
    <x v="0"/>
    <m/>
    <n v="0"/>
    <n v="0"/>
    <n v="0"/>
    <n v="0"/>
    <n v="891.67"/>
    <n v="0"/>
    <n v="0"/>
    <n v="0"/>
    <n v="0"/>
    <n v="0"/>
    <n v="0"/>
    <n v="0"/>
    <n v="891.67"/>
    <n v="0"/>
  </r>
  <r>
    <x v="5"/>
    <x v="1"/>
    <x v="0"/>
    <s v="5609200"/>
    <n v="700054"/>
    <s v="Salaries-Management-NonProd-Other"/>
    <s v="Hospitalist-Ortho Surg"/>
    <x v="0"/>
    <n v="2000"/>
    <n v="0"/>
    <n v="0"/>
    <n v="0"/>
    <n v="0"/>
    <n v="0"/>
    <n v="2194.9"/>
    <n v="-2194.9"/>
    <n v="0"/>
    <n v="0"/>
    <n v="0"/>
    <n v="0"/>
    <n v="0"/>
    <n v="0"/>
    <n v="0"/>
  </r>
  <r>
    <x v="5"/>
    <x v="1"/>
    <x v="0"/>
    <s v="5609200"/>
    <n v="700062"/>
    <s v="Salaries-Physician-Non-productive"/>
    <s v="Hospitalist-Ortho Surg"/>
    <x v="0"/>
    <m/>
    <n v="11531.81"/>
    <n v="5711.94"/>
    <n v="10473.92"/>
    <n v="263.5"/>
    <n v="7970.19"/>
    <n v="8190.26"/>
    <n v="8190.26"/>
    <n v="27366.03"/>
    <n v="-11450.89"/>
    <n v="4294.8599999999997"/>
    <n v="5993.67"/>
    <n v="5315.39"/>
    <n v="83850.94"/>
    <n v="678.27999999999975"/>
  </r>
  <r>
    <x v="5"/>
    <x v="1"/>
    <x v="0"/>
    <s v="5609200"/>
    <n v="700064"/>
    <s v="Salaries-Advanced Practice Clinician-Non-Productive"/>
    <s v="Hospitalist-Ortho Surg"/>
    <x v="0"/>
    <m/>
    <n v="8298.4699999999993"/>
    <n v="4101.54"/>
    <n v="9061.56"/>
    <n v="10969.25"/>
    <n v="10492.33"/>
    <n v="10015.4"/>
    <n v="3582.87"/>
    <n v="0"/>
    <n v="0"/>
    <n v="112.18"/>
    <n v="6598.36"/>
    <n v="-2475.98"/>
    <n v="60755.98"/>
    <n v="9074.34"/>
  </r>
  <r>
    <x v="5"/>
    <x v="1"/>
    <x v="0"/>
    <s v="5609200"/>
    <n v="700064"/>
    <s v="Salaries-Advanced Practice Clinician-Non-Prod-Other"/>
    <s v="Hospitalist-Ortho Surg"/>
    <x v="0"/>
    <n v="2000"/>
    <n v="0"/>
    <n v="0"/>
    <n v="0"/>
    <n v="-1674"/>
    <n v="-4836.01"/>
    <n v="-5079.24"/>
    <n v="-1791.43"/>
    <n v="0"/>
    <n v="0"/>
    <n v="0"/>
    <n v="0"/>
    <n v="0"/>
    <n v="-13380.68"/>
    <n v="0"/>
  </r>
  <r>
    <x v="5"/>
    <x v="1"/>
    <x v="0"/>
    <s v="5609200"/>
    <n v="700070"/>
    <s v="Salaries-LPN-Non-productive"/>
    <s v="Hospitalist-Ortho Surg"/>
    <x v="0"/>
    <m/>
    <n v="669.36"/>
    <n v="892.48"/>
    <n v="557.79999999999995"/>
    <n v="-111.56"/>
    <n v="0"/>
    <n v="2873"/>
    <n v="575.62"/>
    <n v="1720.55"/>
    <n v="-418.59"/>
    <n v="-21.58"/>
    <n v="0"/>
    <n v="1611.25"/>
    <n v="8348.33"/>
    <n v="-1611.25"/>
  </r>
  <r>
    <x v="5"/>
    <x v="1"/>
    <x v="0"/>
    <s v="5609200"/>
    <n v="700070"/>
    <s v="Salaries-LPN-NonProd-Other"/>
    <s v="Hospitalist-Ortho Sur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09200"/>
    <n v="700072"/>
    <s v="Salaries-Other Pat Care Providers-Non-productive"/>
    <s v="Hospitalist-Ortho Surg"/>
    <x v="0"/>
    <m/>
    <n v="1081.58"/>
    <n v="1086.25"/>
    <n v="-186.48"/>
    <n v="4257.79"/>
    <n v="-1229.31"/>
    <n v="595.44000000000005"/>
    <n v="173.16"/>
    <n v="269.3"/>
    <n v="-4.8099999999999996"/>
    <n v="629.98"/>
    <n v="-269.3"/>
    <n v="462.87"/>
    <n v="6866.4699999999993"/>
    <n v="-732.17000000000007"/>
  </r>
  <r>
    <x v="5"/>
    <x v="1"/>
    <x v="0"/>
    <s v="5609200"/>
    <n v="700084"/>
    <s v="Accrued PTO"/>
    <s v="Hospitalist-Ortho Surg"/>
    <x v="0"/>
    <m/>
    <n v="-682.83"/>
    <n v="-962.02"/>
    <n v="189.2"/>
    <n v="963.69"/>
    <n v="872.78"/>
    <n v="-1804.76"/>
    <n v="-56.96"/>
    <n v="383.23"/>
    <n v="796.63"/>
    <n v="483.39"/>
    <n v="856.89"/>
    <n v="-702.19"/>
    <n v="337.05000000000018"/>
    <n v="1559.08"/>
  </r>
  <r>
    <x v="10"/>
    <x v="1"/>
    <x v="0"/>
    <s v="5609200"/>
    <n v="710040"/>
    <s v="Contract Labor-Physician (Locum Tenum)"/>
    <s v="Hospitalist-Ortho Surg"/>
    <x v="0"/>
    <m/>
    <n v="15152.33"/>
    <n v="185425.74"/>
    <n v="28000"/>
    <n v="13210.04"/>
    <n v="-41210.04"/>
    <n v="0"/>
    <n v="0"/>
    <n v="0"/>
    <n v="0"/>
    <n v="0"/>
    <n v="0"/>
    <n v="0"/>
    <n v="200578.06999999998"/>
    <n v="0"/>
  </r>
  <r>
    <x v="10"/>
    <x v="1"/>
    <x v="0"/>
    <s v="5609200"/>
    <n v="710042"/>
    <s v="Locum Tenens Travel-Physician"/>
    <s v="Hospitalist-Ortho Surg"/>
    <x v="0"/>
    <m/>
    <n v="9035.7800000000007"/>
    <n v="15015.41"/>
    <n v="0"/>
    <n v="5750"/>
    <n v="-5750"/>
    <n v="0"/>
    <n v="0"/>
    <n v="0"/>
    <n v="0"/>
    <n v="0"/>
    <n v="0"/>
    <n v="0"/>
    <n v="24051.190000000002"/>
    <n v="0"/>
  </r>
  <r>
    <x v="6"/>
    <x v="1"/>
    <x v="0"/>
    <s v="5609200"/>
    <n v="713010"/>
    <s v="Benefits-FICA/Medicare"/>
    <s v="Hospitalist-Ortho Surg"/>
    <x v="0"/>
    <m/>
    <n v="3357.28"/>
    <n v="3094.14"/>
    <n v="2817.33"/>
    <n v="2189.63"/>
    <n v="2087.89"/>
    <n v="3446.78"/>
    <n v="7350.27"/>
    <n v="3807.82"/>
    <n v="1854.8"/>
    <n v="2651.12"/>
    <n v="2523.41"/>
    <n v="3012.86"/>
    <n v="38193.33"/>
    <n v="-489.45000000000027"/>
  </r>
  <r>
    <x v="6"/>
    <x v="1"/>
    <x v="0"/>
    <s v="5609200"/>
    <n v="713090"/>
    <s v="Benefits-Allocated Amounts"/>
    <s v="Hospitalist-Ortho Surg"/>
    <x v="0"/>
    <m/>
    <n v="0"/>
    <n v="0"/>
    <n v="0"/>
    <n v="0"/>
    <n v="0"/>
    <n v="0"/>
    <n v="0"/>
    <n v="0"/>
    <n v="26372.95"/>
    <n v="2841.16"/>
    <n v="3009.33"/>
    <n v="4495.0200000000004"/>
    <n v="36718.460000000006"/>
    <n v="-1485.6900000000005"/>
  </r>
  <r>
    <x v="6"/>
    <x v="1"/>
    <x v="0"/>
    <s v="5609200"/>
    <n v="713092"/>
    <s v="Allocated Benefits-Physician"/>
    <s v="Hospitalist-Ortho Surg"/>
    <x v="0"/>
    <m/>
    <n v="4933.97"/>
    <n v="3739.58"/>
    <n v="4008.23"/>
    <n v="4172.28"/>
    <n v="4231.2700000000004"/>
    <n v="4017.95"/>
    <n v="4947.43"/>
    <n v="4948.42"/>
    <n v="-9095.67"/>
    <n v="2790.58"/>
    <n v="2955.76"/>
    <n v="4414.99"/>
    <n v="36064.79"/>
    <n v="-1459.2299999999996"/>
  </r>
  <r>
    <x v="6"/>
    <x v="1"/>
    <x v="0"/>
    <s v="5609200"/>
    <n v="713093"/>
    <s v="Allocated Benefits-Advanced Practice Clinician"/>
    <s v="Hospitalist-Ortho Surg"/>
    <x v="0"/>
    <m/>
    <n v="3636.09"/>
    <n v="2755.88"/>
    <n v="2953.86"/>
    <n v="3074.76"/>
    <n v="3118.24"/>
    <n v="2961.03"/>
    <n v="3646.01"/>
    <n v="3646.73"/>
    <n v="-9651.44"/>
    <n v="1738.89"/>
    <n v="1841.82"/>
    <n v="2751.1"/>
    <n v="22472.97"/>
    <n v="-909.28"/>
  </r>
  <r>
    <x v="7"/>
    <x v="1"/>
    <x v="0"/>
    <s v="5609200"/>
    <n v="718040"/>
    <s v="Contract Svcs-Laboratory"/>
    <s v="Hospitalist-Ortho Surg"/>
    <x v="0"/>
    <m/>
    <n v="0"/>
    <n v="0"/>
    <n v="0"/>
    <n v="0"/>
    <n v="0"/>
    <n v="0"/>
    <n v="0"/>
    <n v="0"/>
    <n v="263.77"/>
    <n v="0"/>
    <n v="0"/>
    <n v="0"/>
    <n v="263.77"/>
    <n v="0"/>
  </r>
  <r>
    <x v="7"/>
    <x v="1"/>
    <x v="0"/>
    <s v="5609200"/>
    <n v="718050"/>
    <s v="Contract Svcs-Other"/>
    <s v="Hospitalist-Ortho Surg"/>
    <x v="0"/>
    <m/>
    <n v="0"/>
    <n v="0"/>
    <n v="0"/>
    <n v="28000"/>
    <n v="0"/>
    <n v="0"/>
    <n v="0"/>
    <n v="0"/>
    <n v="0"/>
    <n v="0"/>
    <n v="0"/>
    <n v="0"/>
    <n v="28000"/>
    <n v="0"/>
  </r>
  <r>
    <x v="7"/>
    <x v="1"/>
    <x v="0"/>
    <s v="5609200"/>
    <n v="718050"/>
    <s v="Physician Answering"/>
    <s v="Hospitalist-Ortho Surg"/>
    <x v="0"/>
    <n v="1015"/>
    <n v="288.39999999999998"/>
    <n v="185.4"/>
    <n v="280"/>
    <n v="75"/>
    <n v="255.6"/>
    <n v="218"/>
    <n v="345.4"/>
    <n v="249.6"/>
    <n v="223.2"/>
    <n v="288"/>
    <n v="263.8"/>
    <n v="198.6"/>
    <n v="2870.9999999999995"/>
    <n v="65.200000000000017"/>
  </r>
  <r>
    <x v="11"/>
    <x v="1"/>
    <x v="0"/>
    <s v="5609200"/>
    <n v="721010"/>
    <s v="Supplies-Medical - Billable"/>
    <s v="Hospitalist-Ortho Surg"/>
    <x v="0"/>
    <m/>
    <n v="1267.57"/>
    <n v="54.52"/>
    <n v="0"/>
    <n v="304.22000000000003"/>
    <n v="0"/>
    <n v="0"/>
    <n v="0"/>
    <n v="135"/>
    <n v="0"/>
    <n v="81.78"/>
    <n v="0"/>
    <n v="319.36"/>
    <n v="2162.4499999999998"/>
    <n v="-319.36"/>
  </r>
  <r>
    <x v="11"/>
    <x v="1"/>
    <x v="0"/>
    <s v="5609200"/>
    <n v="721250"/>
    <s v="Supplies-Pharmacy Drugs - Billable"/>
    <s v="Hospitalist-Ortho Surg"/>
    <x v="0"/>
    <m/>
    <n v="174.48"/>
    <n v="0"/>
    <n v="0"/>
    <n v="0"/>
    <n v="0"/>
    <n v="0"/>
    <n v="0"/>
    <n v="254.91"/>
    <n v="0"/>
    <n v="0"/>
    <n v="-669.35"/>
    <n v="0"/>
    <n v="-239.96000000000004"/>
    <n v="-669.35"/>
  </r>
  <r>
    <x v="11"/>
    <x v="1"/>
    <x v="0"/>
    <s v="5609200"/>
    <n v="721410"/>
    <s v="Supplies-Medical - Nonbillable"/>
    <s v="Hospitalist-Ortho Surg"/>
    <x v="0"/>
    <m/>
    <n v="185.66"/>
    <n v="558.67999999999995"/>
    <n v="403.25"/>
    <n v="498.18"/>
    <n v="41.14"/>
    <n v="294.79000000000002"/>
    <n v="0"/>
    <n v="0"/>
    <n v="0"/>
    <n v="1056.74"/>
    <n v="0"/>
    <n v="449.6"/>
    <n v="3488.04"/>
    <n v="-449.6"/>
  </r>
  <r>
    <x v="12"/>
    <x v="1"/>
    <x v="0"/>
    <s v="5609200"/>
    <n v="730010"/>
    <s v="Rental and Leases-Building (DO NOT USE)"/>
    <s v="Hospitalist-Ortho Surg"/>
    <x v="0"/>
    <m/>
    <n v="-10536.98"/>
    <n v="0"/>
    <n v="0"/>
    <n v="0"/>
    <n v="0"/>
    <n v="0"/>
    <n v="0"/>
    <n v="0"/>
    <n v="0"/>
    <n v="0"/>
    <n v="0"/>
    <n v="0"/>
    <n v="-10536.98"/>
    <n v="0"/>
  </r>
  <r>
    <x v="12"/>
    <x v="1"/>
    <x v="0"/>
    <s v="5609200"/>
    <n v="730020"/>
    <s v="Rental and Leases-Copier Usage Fees (DO NOT USE)"/>
    <s v="Hospitalist-Ortho Surg"/>
    <x v="0"/>
    <n v="5100"/>
    <n v="5.88"/>
    <n v="5.29"/>
    <n v="5.59"/>
    <n v="5.59"/>
    <n v="5.59"/>
    <n v="5.59"/>
    <n v="82.2"/>
    <n v="11.21"/>
    <n v="11.19"/>
    <n v="11.23"/>
    <n v="11.21"/>
    <n v="11.21"/>
    <n v="171.78"/>
    <n v="0"/>
  </r>
  <r>
    <x v="15"/>
    <x v="1"/>
    <x v="0"/>
    <s v="5609200"/>
    <n v="731060"/>
    <s v="Pagers"/>
    <s v="Hospitalist-Ortho Surg"/>
    <x v="0"/>
    <n v="1002"/>
    <n v="12.6"/>
    <n v="12.6"/>
    <n v="12.6"/>
    <n v="12.62"/>
    <n v="12.62"/>
    <n v="0"/>
    <n v="25.24"/>
    <n v="12.62"/>
    <n v="12.62"/>
    <n v="12.62"/>
    <n v="12.62"/>
    <n v="12.62"/>
    <n v="151.38"/>
    <n v="0"/>
  </r>
  <r>
    <x v="0"/>
    <x v="1"/>
    <x v="0"/>
    <s v="5609200"/>
    <n v="740022"/>
    <s v="Education-Physician"/>
    <s v="Hospitalist-Ortho Surg"/>
    <x v="0"/>
    <m/>
    <n v="0"/>
    <n v="0"/>
    <n v="0"/>
    <n v="0"/>
    <n v="0"/>
    <n v="0"/>
    <n v="0"/>
    <n v="500"/>
    <n v="0"/>
    <n v="0"/>
    <n v="0"/>
    <n v="2567.42"/>
    <n v="3067.42"/>
    <n v="-2567.42"/>
  </r>
  <r>
    <x v="0"/>
    <x v="1"/>
    <x v="0"/>
    <s v="5609200"/>
    <n v="740022"/>
    <s v="Books-Physician"/>
    <s v="Hospitalist-Ortho Surg"/>
    <x v="0"/>
    <n v="2000"/>
    <n v="0"/>
    <n v="0"/>
    <n v="0"/>
    <n v="0"/>
    <n v="0"/>
    <n v="0"/>
    <n v="0"/>
    <n v="0"/>
    <n v="0"/>
    <n v="0"/>
    <n v="0"/>
    <n v="1292.58"/>
    <n v="1292.58"/>
    <n v="-1292.58"/>
  </r>
  <r>
    <x v="8"/>
    <x v="1"/>
    <x v="0"/>
    <s v="5609200"/>
    <n v="741012"/>
    <s v="Physician Liab Insurance-CHI Program"/>
    <s v="Hospitalist-Ortho Surg"/>
    <x v="0"/>
    <m/>
    <n v="6650.33"/>
    <n v="6650.33"/>
    <n v="6650.33"/>
    <n v="6650.33"/>
    <n v="6650.34"/>
    <n v="6650.32"/>
    <n v="6650.34"/>
    <n v="6650.32"/>
    <n v="6650.34"/>
    <n v="5172.4399999999996"/>
    <n v="5172.49"/>
    <n v="2232.96"/>
    <n v="72430.870000000024"/>
    <n v="2939.5299999999997"/>
  </r>
  <r>
    <x v="0"/>
    <x v="1"/>
    <x v="0"/>
    <s v="5609200"/>
    <n v="743020"/>
    <s v="Provider-Dues"/>
    <s v="Hospitalist-Ortho Surg"/>
    <x v="0"/>
    <n v="2200"/>
    <n v="0"/>
    <n v="0"/>
    <n v="0"/>
    <n v="0"/>
    <n v="0"/>
    <n v="1645"/>
    <n v="0"/>
    <n v="285"/>
    <n v="0"/>
    <n v="0"/>
    <n v="0"/>
    <n v="0"/>
    <n v="1930"/>
    <n v="0"/>
  </r>
  <r>
    <x v="0"/>
    <x v="1"/>
    <x v="0"/>
    <s v="5609200"/>
    <n v="744012"/>
    <s v="Recruitment-Physician"/>
    <s v="Hospitalist-Ortho Surg"/>
    <x v="0"/>
    <m/>
    <n v="0"/>
    <n v="0"/>
    <n v="0"/>
    <n v="0"/>
    <n v="1612.98"/>
    <n v="417.34"/>
    <n v="0"/>
    <n v="0"/>
    <n v="0"/>
    <n v="0"/>
    <n v="0"/>
    <n v="0"/>
    <n v="2030.32"/>
    <n v="0"/>
  </r>
  <r>
    <x v="0"/>
    <x v="1"/>
    <x v="0"/>
    <s v="5609200"/>
    <n v="749510"/>
    <s v="Miscellaneous Expenses"/>
    <s v="Hospitalist-Ortho Surg"/>
    <x v="0"/>
    <m/>
    <n v="-2970"/>
    <n v="-30"/>
    <n v="0"/>
    <n v="1612.98"/>
    <n v="-1612.98"/>
    <n v="0"/>
    <n v="1346.5"/>
    <n v="-737.03"/>
    <n v="-609.47"/>
    <n v="0"/>
    <n v="218.66"/>
    <n v="-218.66"/>
    <n v="-3000"/>
    <n v="437.32"/>
  </r>
  <r>
    <x v="0"/>
    <x v="1"/>
    <x v="0"/>
    <s v="5609200"/>
    <n v="749510"/>
    <s v="Licenses"/>
    <s v="Hospitalist-Ortho Surg"/>
    <x v="0"/>
    <n v="1002"/>
    <n v="0"/>
    <n v="0"/>
    <n v="0"/>
    <n v="0"/>
    <n v="0"/>
    <n v="0"/>
    <n v="85"/>
    <n v="0"/>
    <n v="0"/>
    <n v="0"/>
    <n v="0"/>
    <n v="0"/>
    <n v="85"/>
    <n v="0"/>
  </r>
  <r>
    <x v="0"/>
    <x v="1"/>
    <x v="0"/>
    <s v="5609200"/>
    <n v="749512"/>
    <s v="Licenses-Physician"/>
    <s v="Hospitalist-Ortho Surg"/>
    <x v="0"/>
    <n v="2000"/>
    <n v="0"/>
    <n v="0"/>
    <n v="0"/>
    <n v="0"/>
    <n v="0"/>
    <n v="0"/>
    <n v="0"/>
    <n v="0"/>
    <n v="0"/>
    <n v="0"/>
    <n v="0"/>
    <n v="441"/>
    <n v="441"/>
    <n v="-441"/>
  </r>
  <r>
    <x v="0"/>
    <x v="1"/>
    <x v="0"/>
    <s v="5609200"/>
    <n v="749532"/>
    <s v="Travel-Physician"/>
    <s v="Hospitalist-Ortho Surg"/>
    <x v="0"/>
    <m/>
    <n v="0"/>
    <n v="30"/>
    <n v="0"/>
    <n v="0"/>
    <n v="0"/>
    <n v="0"/>
    <n v="0"/>
    <n v="846.5"/>
    <n v="0"/>
    <n v="0"/>
    <n v="0"/>
    <n v="0"/>
    <n v="876.5"/>
    <n v="0"/>
  </r>
  <r>
    <x v="0"/>
    <x v="1"/>
    <x v="0"/>
    <s v="5609200"/>
    <n v="749533"/>
    <s v="Vehicle Expense-Advanced Practice Clinician"/>
    <s v="Hospitalist-Ortho Surg"/>
    <x v="0"/>
    <n v="2001"/>
    <n v="0"/>
    <n v="0"/>
    <n v="0"/>
    <n v="0"/>
    <n v="0"/>
    <n v="0"/>
    <n v="0"/>
    <n v="0"/>
    <n v="0"/>
    <n v="0"/>
    <n v="0"/>
    <n v="263.89999999999998"/>
    <n v="263.89999999999998"/>
    <n v="-263.89999999999998"/>
  </r>
  <r>
    <x v="9"/>
    <x v="1"/>
    <x v="0"/>
    <s v="5609200"/>
    <n v="800015"/>
    <s v="Interest Income-Ext to CHI"/>
    <s v="Hospitalist-Ortho Surg"/>
    <x v="0"/>
    <m/>
    <n v="0"/>
    <n v="0"/>
    <n v="0"/>
    <n v="0"/>
    <n v="0"/>
    <n v="0"/>
    <n v="0"/>
    <n v="0"/>
    <n v="0"/>
    <n v="-8.01"/>
    <n v="-13.22"/>
    <n v="-12.24"/>
    <n v="-33.47"/>
    <n v="-0.98000000000000043"/>
  </r>
  <r>
    <x v="17"/>
    <x v="5"/>
    <x v="0"/>
    <s v="5610106"/>
    <n v="714520"/>
    <s v="Other Contracted Professionals"/>
    <s v="Hospitalist"/>
    <x v="0"/>
    <m/>
    <n v="313900"/>
    <n v="313900"/>
    <n v="313900"/>
    <n v="313900"/>
    <n v="313900"/>
    <n v="313900"/>
    <n v="313900"/>
    <n v="313900"/>
    <n v="313900"/>
    <n v="313900"/>
    <n v="313900"/>
    <n v="313900"/>
    <n v="3766800"/>
    <n v="0"/>
  </r>
  <r>
    <x v="11"/>
    <x v="5"/>
    <x v="0"/>
    <s v="5610106"/>
    <n v="721810"/>
    <s v="Supplies-Dietary/Cafeteria"/>
    <s v="Hospitalist"/>
    <x v="0"/>
    <m/>
    <n v="570.96"/>
    <n v="733.59"/>
    <n v="251.31"/>
    <n v="666.51"/>
    <n v="488.04"/>
    <n v="462.61"/>
    <n v="688.66"/>
    <n v="514.24"/>
    <n v="711.23"/>
    <n v="438.05"/>
    <n v="374.96"/>
    <n v="514.16"/>
    <n v="6414.32"/>
    <n v="-139.19999999999999"/>
  </r>
  <r>
    <x v="11"/>
    <x v="5"/>
    <x v="0"/>
    <s v="5610106"/>
    <n v="721910"/>
    <s v="Supplies-Small Equipment"/>
    <s v="Hospitalist"/>
    <x v="0"/>
    <m/>
    <n v="0"/>
    <n v="0"/>
    <n v="0"/>
    <n v="0"/>
    <n v="0"/>
    <n v="0"/>
    <n v="0"/>
    <n v="0"/>
    <n v="315.7"/>
    <n v="0"/>
    <n v="0"/>
    <n v="0"/>
    <n v="315.7"/>
    <n v="0"/>
  </r>
  <r>
    <x v="12"/>
    <x v="5"/>
    <x v="0"/>
    <s v="5610106"/>
    <n v="730020"/>
    <s v="Rental and Leases-Copier Usage Fees (DO NOT USE)"/>
    <s v="Hospitalist"/>
    <x v="0"/>
    <n v="5100"/>
    <n v="60.82"/>
    <n v="62.06"/>
    <n v="61.44"/>
    <n v="61.44"/>
    <n v="61.44"/>
    <n v="61.44"/>
    <n v="1096.3"/>
    <n v="58.78"/>
    <n v="58.66"/>
    <n v="545.30999999999995"/>
    <n v="58.78"/>
    <n v="72.75"/>
    <n v="2259.2200000000003"/>
    <n v="-13.969999999999999"/>
  </r>
  <r>
    <x v="13"/>
    <x v="5"/>
    <x v="0"/>
    <s v="5610106"/>
    <n v="735060"/>
    <s v="Depreciation-Fixed Equipment"/>
    <s v="Hospitalist"/>
    <x v="0"/>
    <m/>
    <n v="22.96"/>
    <n v="22.96"/>
    <n v="22.96"/>
    <n v="22.95"/>
    <n v="22.96"/>
    <n v="22.95"/>
    <n v="22.96"/>
    <n v="22.95"/>
    <n v="22.96"/>
    <n v="22.95"/>
    <n v="22.96"/>
    <n v="22.94"/>
    <n v="275.45999999999998"/>
    <n v="1.9999999999999574E-2"/>
  </r>
  <r>
    <x v="13"/>
    <x v="5"/>
    <x v="0"/>
    <s v="5610106"/>
    <n v="735070"/>
    <s v="Depreciation-Movable Equipment"/>
    <s v="Hospitalist"/>
    <x v="0"/>
    <m/>
    <n v="5.33"/>
    <n v="5.33"/>
    <n v="5.33"/>
    <n v="5.32"/>
    <n v="5.33"/>
    <n v="5.32"/>
    <n v="5.33"/>
    <n v="5.31"/>
    <n v="5.33"/>
    <n v="5.3"/>
    <n v="5.33"/>
    <n v="5.29"/>
    <n v="63.849999999999994"/>
    <n v="4.0000000000000036E-2"/>
  </r>
  <r>
    <x v="5"/>
    <x v="1"/>
    <x v="0"/>
    <s v="5610200"/>
    <n v="700018"/>
    <s v="Salaries-Supervisory-Productive"/>
    <s v="Hospitalist-Neuro-Shared Svc"/>
    <x v="0"/>
    <m/>
    <n v="699.07"/>
    <n v="759.41"/>
    <n v="168.4"/>
    <n v="622.94000000000005"/>
    <n v="69.22"/>
    <n v="1072.8399999999999"/>
    <n v="797.21"/>
    <n v="3994.17"/>
    <n v="5679.32"/>
    <n v="5949.76"/>
    <n v="-35.15"/>
    <n v="1164.76"/>
    <n v="20941.949999999997"/>
    <n v="-1199.9100000000001"/>
  </r>
  <r>
    <x v="5"/>
    <x v="1"/>
    <x v="0"/>
    <s v="5610200"/>
    <n v="700026"/>
    <s v="Salaries-RN-Productive"/>
    <s v="Hospitalist-Neuro-Shared Svc"/>
    <x v="0"/>
    <m/>
    <n v="0"/>
    <n v="42.99"/>
    <n v="408.41"/>
    <n v="0"/>
    <n v="0"/>
    <n v="0"/>
    <n v="408.16"/>
    <n v="0"/>
    <n v="0"/>
    <n v="452.28"/>
    <n v="0"/>
    <n v="0"/>
    <n v="1311.8400000000001"/>
    <n v="0"/>
  </r>
  <r>
    <x v="5"/>
    <x v="1"/>
    <x v="0"/>
    <s v="5610200"/>
    <n v="700038"/>
    <s v="Salaries-Service/Support-Productive"/>
    <s v="Hospitalist-Neuro-Shared Svc"/>
    <x v="0"/>
    <m/>
    <n v="6651.19"/>
    <n v="9369.7999999999993"/>
    <n v="7031.67"/>
    <n v="7686.88"/>
    <n v="6690.48"/>
    <n v="3656.1"/>
    <n v="7180.93"/>
    <n v="5883.91"/>
    <n v="8742.93"/>
    <n v="6506.06"/>
    <n v="7345.46"/>
    <n v="5784.83"/>
    <n v="82530.240000000005"/>
    <n v="1560.63"/>
  </r>
  <r>
    <x v="5"/>
    <x v="1"/>
    <x v="0"/>
    <s v="5610200"/>
    <n v="700038"/>
    <s v="Salaries-Service/Support-OT"/>
    <s v="Hospitalist-Neuro-Shared Svc"/>
    <x v="0"/>
    <n v="1000"/>
    <n v="26.43"/>
    <n v="425.87"/>
    <n v="19.829999999999998"/>
    <n v="73.86"/>
    <n v="181.12"/>
    <n v="143.66999999999999"/>
    <n v="59.16"/>
    <n v="-17.8"/>
    <n v="120"/>
    <n v="31.46"/>
    <n v="206.79"/>
    <n v="-37.11"/>
    <n v="1233.28"/>
    <n v="243.89999999999998"/>
  </r>
  <r>
    <x v="5"/>
    <x v="1"/>
    <x v="0"/>
    <s v="5610200"/>
    <n v="700038"/>
    <s v="Salaries-Service/Support-Other"/>
    <s v="Hospitalist-Neuro-Shared Svc"/>
    <x v="0"/>
    <n v="2000"/>
    <n v="22"/>
    <n v="25.5"/>
    <n v="-5"/>
    <n v="28.07"/>
    <n v="-7.75"/>
    <n v="35.5"/>
    <n v="0"/>
    <n v="0"/>
    <n v="37.57"/>
    <n v="-2.52"/>
    <n v="0"/>
    <n v="0"/>
    <n v="133.36999999999998"/>
    <n v="0"/>
  </r>
  <r>
    <x v="5"/>
    <x v="1"/>
    <x v="0"/>
    <s v="5610200"/>
    <n v="700054"/>
    <s v="Salaries-Management-NonProd-Other"/>
    <s v="Hospitalist-Neuro-Shared Svc"/>
    <x v="0"/>
    <n v="2000"/>
    <n v="0"/>
    <n v="0"/>
    <n v="0"/>
    <n v="0"/>
    <n v="0"/>
    <n v="36.979999999999997"/>
    <n v="-36.979999999999997"/>
    <n v="0"/>
    <n v="0"/>
    <n v="0"/>
    <n v="0"/>
    <n v="0"/>
    <n v="0"/>
    <n v="0"/>
  </r>
  <r>
    <x v="5"/>
    <x v="1"/>
    <x v="0"/>
    <s v="5610200"/>
    <n v="700078"/>
    <s v="Salaries-Service/Support-Non-productive"/>
    <s v="Hospitalist-Neuro-Shared Svc"/>
    <x v="0"/>
    <m/>
    <n v="1378.43"/>
    <n v="-99.95"/>
    <n v="954.37"/>
    <n v="928.72"/>
    <n v="548.82000000000005"/>
    <n v="1203.5999999999999"/>
    <n v="335.22"/>
    <n v="458.57"/>
    <n v="-84.72"/>
    <n v="430.15"/>
    <n v="-107.34"/>
    <n v="479.88"/>
    <n v="6425.7499999999991"/>
    <n v="-587.22"/>
  </r>
  <r>
    <x v="5"/>
    <x v="1"/>
    <x v="0"/>
    <s v="5610200"/>
    <n v="700078"/>
    <s v="Salaries-Service/Support-NonProd-Other"/>
    <s v="Hospitalist-Neuro-Shared Svc"/>
    <x v="0"/>
    <n v="2000"/>
    <n v="0"/>
    <n v="0"/>
    <n v="0"/>
    <n v="0"/>
    <n v="0"/>
    <n v="10.58"/>
    <n v="0"/>
    <n v="0"/>
    <n v="0"/>
    <n v="0"/>
    <n v="0"/>
    <n v="0"/>
    <n v="10.58"/>
    <n v="0"/>
  </r>
  <r>
    <x v="5"/>
    <x v="1"/>
    <x v="0"/>
    <s v="5610200"/>
    <n v="700084"/>
    <s v="Accrued PTO"/>
    <s v="Hospitalist-Neuro-Shared Svc"/>
    <x v="0"/>
    <m/>
    <n v="-388.11"/>
    <n v="872.24"/>
    <n v="55.95"/>
    <n v="-338.24"/>
    <n v="-159.11000000000001"/>
    <n v="-196.78"/>
    <n v="249.58"/>
    <n v="212.82"/>
    <n v="677.92"/>
    <n v="-1586.92"/>
    <n v="589.99"/>
    <n v="430.22"/>
    <n v="419.55999999999995"/>
    <n v="159.76999999999998"/>
  </r>
  <r>
    <x v="6"/>
    <x v="1"/>
    <x v="0"/>
    <s v="5610200"/>
    <n v="713010"/>
    <s v="Benefits-FICA/Medicare"/>
    <s v="Hospitalist-Neuro-Shared Svc"/>
    <x v="0"/>
    <m/>
    <n v="640.77"/>
    <n v="776.32"/>
    <n v="629.51"/>
    <n v="677.5"/>
    <n v="542.75"/>
    <n v="464.42"/>
    <n v="658.52"/>
    <n v="760.11"/>
    <n v="1073.54"/>
    <n v="993.82"/>
    <n v="557.52"/>
    <n v="552.51"/>
    <n v="8327.2900000000009"/>
    <n v="5.0099999999999909"/>
  </r>
  <r>
    <x v="6"/>
    <x v="1"/>
    <x v="0"/>
    <s v="5610200"/>
    <n v="713090"/>
    <s v="Benefits-Allocated Amounts"/>
    <s v="Hospitalist-Neuro-Shared Svc"/>
    <x v="0"/>
    <m/>
    <n v="2589.2800000000002"/>
    <n v="2843.34"/>
    <n v="2851.06"/>
    <n v="2694.37"/>
    <n v="2206.1999999999998"/>
    <n v="1575.12"/>
    <n v="2695.95"/>
    <n v="3217.05"/>
    <n v="3957.39"/>
    <n v="3732.15"/>
    <n v="2614.46"/>
    <n v="2260.87"/>
    <n v="33237.24"/>
    <n v="353.59000000000015"/>
  </r>
  <r>
    <x v="7"/>
    <x v="1"/>
    <x v="0"/>
    <s v="5610200"/>
    <n v="718010"/>
    <s v="Media/Print Advertising"/>
    <s v="Hospitalist-Neuro-Shared Svc"/>
    <x v="0"/>
    <n v="1004"/>
    <n v="0"/>
    <n v="73.260000000000005"/>
    <n v="83.19"/>
    <n v="348.58"/>
    <n v="306.88"/>
    <n v="0"/>
    <n v="0"/>
    <n v="0"/>
    <n v="0"/>
    <n v="0"/>
    <n v="94.87"/>
    <n v="-9.32"/>
    <n v="897.45999999999992"/>
    <n v="104.19"/>
  </r>
  <r>
    <x v="7"/>
    <x v="1"/>
    <x v="0"/>
    <s v="5610200"/>
    <n v="718050"/>
    <s v="Contract Svcs-Other"/>
    <s v="Hospitalist-Neuro-Shared Svc"/>
    <x v="0"/>
    <m/>
    <n v="0"/>
    <n v="89.3"/>
    <n v="0"/>
    <n v="364.71"/>
    <n v="0"/>
    <n v="0"/>
    <n v="2"/>
    <n v="12.44"/>
    <n v="283.69"/>
    <n v="165.15"/>
    <n v="111.92"/>
    <n v="23.74"/>
    <n v="1052.95"/>
    <n v="88.18"/>
  </r>
  <r>
    <x v="7"/>
    <x v="1"/>
    <x v="0"/>
    <s v="5610200"/>
    <n v="718050"/>
    <s v="Physician Answering"/>
    <s v="Hospitalist-Neuro-Shared Svc"/>
    <x v="0"/>
    <n v="1015"/>
    <n v="678.2"/>
    <n v="914.4"/>
    <n v="669.4"/>
    <n v="255.6"/>
    <n v="676.2"/>
    <n v="782.2"/>
    <n v="955.4"/>
    <n v="888.6"/>
    <n v="706.8"/>
    <n v="735"/>
    <n v="755.6"/>
    <n v="614.4"/>
    <n v="8631.8000000000011"/>
    <n v="141.20000000000005"/>
  </r>
  <r>
    <x v="7"/>
    <x v="1"/>
    <x v="0"/>
    <s v="5610200"/>
    <n v="718050"/>
    <s v="Miscellaneous Purchased Svcs"/>
    <s v="Hospitalist-Neuro-Shared Svc"/>
    <x v="0"/>
    <n v="1020"/>
    <n v="0"/>
    <n v="186.81"/>
    <n v="0"/>
    <n v="173.94"/>
    <n v="0"/>
    <n v="0"/>
    <n v="0"/>
    <n v="0"/>
    <n v="0"/>
    <n v="0"/>
    <n v="0"/>
    <n v="0"/>
    <n v="360.75"/>
    <n v="0"/>
  </r>
  <r>
    <x v="7"/>
    <x v="1"/>
    <x v="0"/>
    <s v="5610200"/>
    <n v="718050"/>
    <s v="Translation Services"/>
    <s v="Hospitalist-Neuro-Shared Svc"/>
    <x v="0"/>
    <n v="1025"/>
    <n v="32"/>
    <n v="0"/>
    <n v="0"/>
    <n v="112.79"/>
    <n v="680"/>
    <n v="0"/>
    <n v="0"/>
    <n v="0"/>
    <n v="1758"/>
    <n v="96"/>
    <n v="528"/>
    <n v="0"/>
    <n v="3206.79"/>
    <n v="528"/>
  </r>
  <r>
    <x v="7"/>
    <x v="1"/>
    <x v="0"/>
    <s v="5610200"/>
    <n v="718050"/>
    <s v="Contract Management--Linen"/>
    <s v="Hospitalist-Neuro-Shared Svc"/>
    <x v="0"/>
    <n v="1026"/>
    <n v="69.22"/>
    <n v="0"/>
    <n v="0"/>
    <n v="308.41000000000003"/>
    <n v="312.19"/>
    <n v="446.01"/>
    <n v="327.01"/>
    <n v="171.02"/>
    <n v="364"/>
    <n v="158.94999999999999"/>
    <n v="0"/>
    <n v="172.21"/>
    <n v="2329.02"/>
    <n v="-172.21"/>
  </r>
  <r>
    <x v="7"/>
    <x v="1"/>
    <x v="0"/>
    <s v="5610200"/>
    <n v="718050"/>
    <s v="Purchased Srvcs--Medical Waste"/>
    <s v="Hospitalist-Neuro-Shared Svc"/>
    <x v="0"/>
    <n v="1027"/>
    <n v="0"/>
    <n v="0"/>
    <n v="0"/>
    <n v="348.04"/>
    <n v="0"/>
    <n v="11.8"/>
    <n v="5.9"/>
    <n v="0"/>
    <n v="12.7"/>
    <n v="0"/>
    <n v="0"/>
    <n v="12.25"/>
    <n v="390.69"/>
    <n v="-12.25"/>
  </r>
  <r>
    <x v="11"/>
    <x v="1"/>
    <x v="0"/>
    <s v="5610200"/>
    <n v="721250"/>
    <s v="Supplies-Pharmacy Drugs - Billable"/>
    <s v="Hospitalist-Neuro-Shared Svc"/>
    <x v="0"/>
    <m/>
    <n v="0"/>
    <n v="0"/>
    <n v="0"/>
    <n v="0"/>
    <n v="0"/>
    <n v="0"/>
    <n v="871.5"/>
    <n v="0"/>
    <n v="0"/>
    <n v="0"/>
    <n v="323.02"/>
    <n v="0"/>
    <n v="1194.52"/>
    <n v="323.02"/>
  </r>
  <r>
    <x v="11"/>
    <x v="1"/>
    <x v="0"/>
    <s v="5610200"/>
    <n v="721410"/>
    <s v="Supplies-Medical - Nonbillable"/>
    <s v="Hospitalist-Neuro-Shared Svc"/>
    <x v="0"/>
    <m/>
    <n v="35.369999999999997"/>
    <n v="73.25"/>
    <n v="0"/>
    <n v="3267.63"/>
    <n v="1951.18"/>
    <n v="4165.25"/>
    <n v="9657.31"/>
    <n v="5319.94"/>
    <n v="4866.3"/>
    <n v="4643.7"/>
    <n v="104.49"/>
    <n v="213.75"/>
    <n v="34298.169999999991"/>
    <n v="-109.26"/>
  </r>
  <r>
    <x v="11"/>
    <x v="1"/>
    <x v="0"/>
    <s v="5610200"/>
    <n v="721810"/>
    <s v="Supplies-Dietary/Cafeteria"/>
    <s v="Hospitalist-Neuro-Shared Svc"/>
    <x v="0"/>
    <m/>
    <n v="0"/>
    <n v="0"/>
    <n v="0"/>
    <n v="32.369999999999997"/>
    <n v="43.16"/>
    <n v="0"/>
    <n v="0"/>
    <n v="0"/>
    <n v="0"/>
    <n v="0"/>
    <n v="0"/>
    <n v="0"/>
    <n v="75.53"/>
    <n v="0"/>
  </r>
  <r>
    <x v="11"/>
    <x v="1"/>
    <x v="0"/>
    <s v="5610200"/>
    <n v="721830"/>
    <s v="Supplies-Office"/>
    <s v="Hospitalist-Neuro-Shared Svc"/>
    <x v="0"/>
    <m/>
    <n v="0"/>
    <n v="137.27000000000001"/>
    <n v="0"/>
    <n v="133.56"/>
    <n v="271.95"/>
    <n v="300.12"/>
    <n v="120.63"/>
    <n v="131.19999999999999"/>
    <n v="0"/>
    <n v="229.91"/>
    <n v="38.99"/>
    <n v="408.82"/>
    <n v="1772.45"/>
    <n v="-369.83"/>
  </r>
  <r>
    <x v="11"/>
    <x v="1"/>
    <x v="0"/>
    <s v="5610200"/>
    <n v="722000"/>
    <s v="Supplies-Freight Expense"/>
    <s v="Hospitalist-Neuro-Shared Svc"/>
    <x v="0"/>
    <m/>
    <n v="0"/>
    <n v="0"/>
    <n v="0"/>
    <n v="0"/>
    <n v="0"/>
    <n v="0"/>
    <n v="0"/>
    <n v="0"/>
    <n v="30"/>
    <n v="30"/>
    <n v="64"/>
    <n v="0"/>
    <n v="124"/>
    <n v="64"/>
  </r>
  <r>
    <x v="12"/>
    <x v="1"/>
    <x v="0"/>
    <s v="5610200"/>
    <n v="730010"/>
    <s v="Rental and Leases-Building (DO NOT USE)"/>
    <s v="Hospitalist-Neuro-Shared Svc"/>
    <x v="0"/>
    <m/>
    <n v="17876.400000000001"/>
    <n v="17876.400000000001"/>
    <n v="17876.400000000001"/>
    <n v="17876.400000000001"/>
    <n v="17876.400000000001"/>
    <n v="-2729.47"/>
    <n v="14730.9"/>
    <n v="14730.9"/>
    <n v="14730.9"/>
    <n v="14732.71"/>
    <n v="14732.71"/>
    <n v="0"/>
    <n v="160310.64999999997"/>
    <n v="14732.71"/>
  </r>
  <r>
    <x v="12"/>
    <x v="1"/>
    <x v="0"/>
    <s v="5610200"/>
    <n v="730010"/>
    <s v="Rental-Common Area Maint (DO NOT USE)"/>
    <s v="Hospitalist-Neuro-Shared Svc"/>
    <x v="0"/>
    <n v="2200"/>
    <n v="0"/>
    <n v="0"/>
    <n v="0"/>
    <n v="0"/>
    <n v="0"/>
    <n v="20605.87"/>
    <n v="3434.35"/>
    <n v="3434.35"/>
    <n v="3434.35"/>
    <n v="109.47"/>
    <n v="3434.35"/>
    <n v="3434.35"/>
    <n v="37887.089999999997"/>
    <n v="0"/>
  </r>
  <r>
    <x v="12"/>
    <x v="1"/>
    <x v="0"/>
    <s v="5610200"/>
    <n v="730020"/>
    <s v="Rental and Leases-Copier Usage Fees (DO NOT USE)"/>
    <s v="Hospitalist-Neuro-Shared Svc"/>
    <x v="0"/>
    <n v="5100"/>
    <n v="452.61"/>
    <n v="462.77"/>
    <n v="457.69"/>
    <n v="457.69"/>
    <n v="457.69"/>
    <n v="457.69"/>
    <n v="1297.98"/>
    <n v="464.06"/>
    <n v="542.22"/>
    <n v="482.25"/>
    <n v="509.82"/>
    <n v="461.21"/>
    <n v="6503.68"/>
    <n v="48.610000000000014"/>
  </r>
  <r>
    <x v="12"/>
    <x v="1"/>
    <x v="0"/>
    <s v="5610200"/>
    <n v="730040"/>
    <s v="LT Lease-Real Estate"/>
    <s v="Hospitalist-Neuro-Shared Svc"/>
    <x v="0"/>
    <m/>
    <n v="0"/>
    <n v="0"/>
    <n v="0"/>
    <n v="0"/>
    <n v="0"/>
    <n v="0"/>
    <n v="0"/>
    <n v="0"/>
    <n v="0"/>
    <n v="0"/>
    <n v="0"/>
    <n v="14732.71"/>
    <n v="14732.71"/>
    <n v="-14732.71"/>
  </r>
  <r>
    <x v="15"/>
    <x v="1"/>
    <x v="0"/>
    <s v="5610200"/>
    <n v="731060"/>
    <s v="Pagers"/>
    <s v="Hospitalist-Neuro-Shared Svc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5"/>
    <x v="1"/>
    <x v="0"/>
    <s v="5610200"/>
    <n v="731070"/>
    <s v="Cable TV"/>
    <s v="Hospitalist-Neuro-Shared Svc"/>
    <x v="0"/>
    <m/>
    <n v="70.260000000000005"/>
    <n v="60.26"/>
    <n v="60.26"/>
    <n v="60.24"/>
    <n v="59.99"/>
    <n v="59.99"/>
    <n v="59.99"/>
    <n v="59.99"/>
    <n v="59.99"/>
    <n v="59.99"/>
    <n v="60.18"/>
    <n v="60.18"/>
    <n v="731.31999999999994"/>
    <n v="0"/>
  </r>
  <r>
    <x v="13"/>
    <x v="1"/>
    <x v="0"/>
    <s v="5610200"/>
    <n v="735070"/>
    <s v="Depreciation-Movable Equipment"/>
    <s v="Hospitalist-Neuro-Shared Svc"/>
    <x v="0"/>
    <m/>
    <n v="1934.77"/>
    <n v="1934.76"/>
    <n v="1934.79"/>
    <n v="1934.77"/>
    <n v="1440.95"/>
    <n v="1382.92"/>
    <n v="1382.97"/>
    <n v="1382.92"/>
    <n v="1383.01"/>
    <n v="1382.92"/>
    <n v="1383.03"/>
    <n v="1669.11"/>
    <n v="19146.920000000002"/>
    <n v="-286.07999999999993"/>
  </r>
  <r>
    <x v="0"/>
    <x v="1"/>
    <x v="0"/>
    <s v="5610200"/>
    <n v="742040"/>
    <s v="Freight-Other"/>
    <s v="Hospitalist-Neuro-Shared Svc"/>
    <x v="0"/>
    <m/>
    <n v="0"/>
    <n v="0"/>
    <n v="0"/>
    <n v="0"/>
    <n v="0"/>
    <n v="0"/>
    <n v="0"/>
    <n v="0"/>
    <n v="0"/>
    <n v="0"/>
    <n v="0"/>
    <n v="9.32"/>
    <n v="9.32"/>
    <n v="-9.32"/>
  </r>
  <r>
    <x v="0"/>
    <x v="1"/>
    <x v="0"/>
    <s v="5610200"/>
    <n v="749510"/>
    <s v="Miscellaneous Expenses"/>
    <s v="Hospitalist-Neuro-Shared Svc"/>
    <x v="0"/>
    <m/>
    <n v="0"/>
    <n v="0"/>
    <n v="0"/>
    <n v="0"/>
    <n v="0"/>
    <n v="0"/>
    <n v="0"/>
    <n v="0"/>
    <n v="0"/>
    <n v="370.47"/>
    <n v="0"/>
    <n v="18.13"/>
    <n v="388.6"/>
    <n v="-18.13"/>
  </r>
  <r>
    <x v="0"/>
    <x v="1"/>
    <x v="0"/>
    <s v="5610200"/>
    <n v="749510"/>
    <s v="RICE Rewards"/>
    <s v="Hospitalist-Neuro-Shared Svc"/>
    <x v="0"/>
    <n v="5100"/>
    <n v="0"/>
    <n v="0"/>
    <n v="0"/>
    <n v="0"/>
    <n v="0"/>
    <n v="0"/>
    <n v="0"/>
    <n v="0"/>
    <n v="0"/>
    <n v="0"/>
    <n v="0"/>
    <n v="199.93"/>
    <n v="199.93"/>
    <n v="-199.93"/>
  </r>
  <r>
    <x v="1"/>
    <x v="1"/>
    <x v="0"/>
    <s v="5611200"/>
    <n v="400040"/>
    <s v="Physician Svcs Rev--Medicare"/>
    <s v="Anesthesia Phys-Franc-Anesth"/>
    <x v="0"/>
    <n v="1100"/>
    <n v="-430361.48"/>
    <n v="-531999.80000000005"/>
    <n v="-485262.99"/>
    <n v="-490090.55"/>
    <n v="-477107.01"/>
    <n v="-644858.30000000005"/>
    <n v="-626629.6"/>
    <n v="-597224.15"/>
    <n v="-440600.57"/>
    <n v="-924920.62"/>
    <n v="-933871.83"/>
    <n v="-783280.58"/>
    <n v="-7366207.4800000004"/>
    <n v="-150591.25"/>
  </r>
  <r>
    <x v="1"/>
    <x v="1"/>
    <x v="0"/>
    <s v="5611200"/>
    <n v="400040"/>
    <s v="Physician Svcs Rev--Medicaid"/>
    <s v="Anesthesia Phys-Franc-Anesth"/>
    <x v="0"/>
    <n v="1200"/>
    <n v="-249498.21"/>
    <n v="-268245.88"/>
    <n v="-191718.35"/>
    <n v="-202714.39"/>
    <n v="-205249.94"/>
    <n v="-273900.71999999997"/>
    <n v="-394033.43"/>
    <n v="-376782.29"/>
    <n v="-312398.58"/>
    <n v="-433926.58"/>
    <n v="-571628.17000000004"/>
    <n v="-465871.49"/>
    <n v="-3945968.0300000003"/>
    <n v="-105756.68000000005"/>
  </r>
  <r>
    <x v="1"/>
    <x v="1"/>
    <x v="0"/>
    <s v="5611200"/>
    <n v="400040"/>
    <s v="Physician Svcs Rev--Comm Insurance"/>
    <s v="Anesthesia Phys-Franc-Anesth"/>
    <x v="0"/>
    <n v="1300"/>
    <n v="-553433.37"/>
    <n v="-771085.16"/>
    <n v="-633107.52"/>
    <n v="-609536.01"/>
    <n v="-703346.72"/>
    <n v="-803271.32"/>
    <n v="-1228401.42"/>
    <n v="-825916.65"/>
    <n v="-618289.93999999994"/>
    <n v="-900123.82"/>
    <n v="-1435281.37"/>
    <n v="-1062900.42"/>
    <n v="-10144693.720000001"/>
    <n v="-372380.95000000019"/>
  </r>
  <r>
    <x v="1"/>
    <x v="1"/>
    <x v="0"/>
    <s v="5611200"/>
    <n v="400040"/>
    <s v="Physician Svcs Rev--Self Pay"/>
    <s v="Anesthesia Phys-Franc-Anesth"/>
    <x v="0"/>
    <n v="1500"/>
    <n v="-133535.01999999999"/>
    <n v="-79253.899999999994"/>
    <n v="-51357.14"/>
    <n v="-117430.57"/>
    <n v="-55836.83"/>
    <n v="-55729.66"/>
    <n v="-89585.55"/>
    <n v="-73816.91"/>
    <n v="-131110.91"/>
    <n v="-69808.98"/>
    <n v="-108501.93"/>
    <n v="-100587.79"/>
    <n v="-1066555.1900000002"/>
    <n v="-7914.1399999999994"/>
  </r>
  <r>
    <x v="2"/>
    <x v="1"/>
    <x v="0"/>
    <s v="5611200"/>
    <n v="450040"/>
    <s v="Contr Allow--Phys Svcs--Mcare"/>
    <s v="Anesthesia Phys-Franc-Anesth"/>
    <x v="0"/>
    <n v="1100"/>
    <n v="454139.19"/>
    <n v="428185.69"/>
    <n v="312861.21000000002"/>
    <n v="528870.19999999995"/>
    <n v="261740.1"/>
    <n v="251206.46"/>
    <n v="555913.88"/>
    <n v="557843.68000000005"/>
    <n v="814588.3"/>
    <n v="582593.42000000004"/>
    <n v="582627.49"/>
    <n v="881439.83"/>
    <n v="6212009.4500000002"/>
    <n v="-298812.33999999997"/>
  </r>
  <r>
    <x v="2"/>
    <x v="1"/>
    <x v="0"/>
    <s v="5611200"/>
    <n v="450040"/>
    <s v="Contr Allow--Phys Svcs--Mcaid"/>
    <s v="Anesthesia Phys-Franc-Anesth"/>
    <x v="0"/>
    <n v="1200"/>
    <n v="189683.85"/>
    <n v="204338.43"/>
    <n v="182287.35999999999"/>
    <n v="164456.5"/>
    <n v="150178.07999999999"/>
    <n v="70029.77"/>
    <n v="376969.85"/>
    <n v="280598.46000000002"/>
    <n v="473812.09"/>
    <n v="308495.90000000002"/>
    <n v="365828.48"/>
    <n v="400317.53"/>
    <n v="3166996.3"/>
    <n v="-34489.050000000047"/>
  </r>
  <r>
    <x v="2"/>
    <x v="1"/>
    <x v="0"/>
    <s v="5611200"/>
    <n v="450040"/>
    <s v="Contr Allow--Phys Svcs--Comm Insurance"/>
    <s v="Anesthesia Phys-Franc-Anesth"/>
    <x v="0"/>
    <n v="1300"/>
    <n v="476964.39"/>
    <n v="448440.79"/>
    <n v="351768.57"/>
    <n v="355668.56"/>
    <n v="358771.81"/>
    <n v="321412.63"/>
    <n v="569239.13"/>
    <n v="518484.43"/>
    <n v="712744.53"/>
    <n v="484591.82"/>
    <n v="481446.39"/>
    <n v="826894.56"/>
    <n v="5906427.6099999994"/>
    <n v="-345448.17000000004"/>
  </r>
  <r>
    <x v="2"/>
    <x v="1"/>
    <x v="0"/>
    <s v="5611200"/>
    <n v="450040"/>
    <s v="Contr Allow--Phys Svcs--BCBS Mgnd Care"/>
    <s v="Anesthesia Phys-Franc-Anesth"/>
    <x v="0"/>
    <n v="1401"/>
    <n v="-56564.42"/>
    <n v="4145.95"/>
    <n v="112996.68"/>
    <n v="-132617.19"/>
    <n v="184176.33"/>
    <n v="719526.99"/>
    <n v="-38957.35"/>
    <n v="-63262.07"/>
    <n v="-962615.59"/>
    <n v="313950.68"/>
    <n v="699852.52"/>
    <n v="-404449.32"/>
    <n v="376183.21"/>
    <n v="1104301.8400000001"/>
  </r>
  <r>
    <x v="3"/>
    <x v="1"/>
    <x v="0"/>
    <s v="5611200"/>
    <n v="470040"/>
    <s v="Charity Care-Physician Svcs"/>
    <s v="Anesthesia Phys-Franc-Anesth"/>
    <x v="0"/>
    <m/>
    <n v="11701.13"/>
    <n v="2096.0100000000002"/>
    <n v="-3395.72"/>
    <n v="6134.62"/>
    <n v="-5231.43"/>
    <n v="-3730.1"/>
    <n v="2644.07"/>
    <n v="-72.819999999999993"/>
    <n v="12265.91"/>
    <n v="-7769.46"/>
    <n v="879.61"/>
    <n v="15218.85"/>
    <n v="30740.67"/>
    <n v="-14339.24"/>
  </r>
  <r>
    <x v="4"/>
    <x v="1"/>
    <x v="0"/>
    <s v="5611200"/>
    <n v="490010"/>
    <s v="Provision for Bad Debts"/>
    <s v="Anesthesia Phys-Franc-Anesth"/>
    <x v="0"/>
    <m/>
    <n v="97195.45"/>
    <n v="58500.91"/>
    <n v="43191.67"/>
    <n v="73561.42"/>
    <n v="38397.629999999997"/>
    <n v="48388.07"/>
    <n v="55957.88"/>
    <n v="38413.120000000003"/>
    <n v="45479.07"/>
    <n v="30764.74"/>
    <n v="76664.320000000007"/>
    <n v="72380.649999999994"/>
    <n v="678894.93"/>
    <n v="4283.6700000000128"/>
  </r>
  <r>
    <x v="14"/>
    <x v="1"/>
    <x v="0"/>
    <s v="5611200"/>
    <n v="600050"/>
    <s v="Miscellaneous Revenue"/>
    <s v="Anesthesia Phys-Franc-Anesth"/>
    <x v="0"/>
    <m/>
    <n v="-4200"/>
    <n v="-4200"/>
    <n v="-4200"/>
    <n v="-4200"/>
    <n v="-4200"/>
    <n v="-9000"/>
    <n v="-12207.72"/>
    <n v="-25984.87"/>
    <n v="-35742.25"/>
    <n v="-28050.15"/>
    <n v="-19359.439999999999"/>
    <n v="-21923.040000000001"/>
    <n v="-173267.47"/>
    <n v="2563.6000000000022"/>
  </r>
  <r>
    <x v="5"/>
    <x v="1"/>
    <x v="0"/>
    <s v="5611200"/>
    <n v="700020"/>
    <s v="Salaries-Physician Admin-Productive"/>
    <s v="Anesthesia Phys-Franc-Anesth"/>
    <x v="0"/>
    <m/>
    <n v="0"/>
    <n v="0"/>
    <n v="0"/>
    <n v="0"/>
    <n v="0"/>
    <n v="0"/>
    <n v="0"/>
    <n v="13869.44"/>
    <n v="13869.43"/>
    <n v="6934.71"/>
    <n v="0"/>
    <n v="0"/>
    <n v="34673.58"/>
    <n v="0"/>
  </r>
  <r>
    <x v="5"/>
    <x v="1"/>
    <x v="0"/>
    <s v="5611200"/>
    <n v="700020"/>
    <s v="Salaries-Physician Admin-Other"/>
    <s v="Anesthesia Phys-Franc-Anesth"/>
    <x v="0"/>
    <n v="2000"/>
    <n v="4200"/>
    <n v="4200"/>
    <n v="4200"/>
    <n v="4200"/>
    <n v="4200"/>
    <n v="0"/>
    <n v="15334.73"/>
    <n v="0"/>
    <n v="6934.72"/>
    <n v="0"/>
    <n v="11550"/>
    <n v="15000"/>
    <n v="69819.45"/>
    <n v="-3450"/>
  </r>
  <r>
    <x v="5"/>
    <x v="1"/>
    <x v="0"/>
    <s v="5611200"/>
    <n v="700022"/>
    <s v="Salaries-Physician-Productive"/>
    <s v="Anesthesia Phys-Franc-Anesth"/>
    <x v="0"/>
    <m/>
    <n v="444155.87"/>
    <n v="570325.91"/>
    <n v="328016.01"/>
    <n v="413981.79"/>
    <n v="396707.05"/>
    <n v="566541.15"/>
    <n v="406877.25"/>
    <n v="325311.21999999997"/>
    <n v="512572.69"/>
    <n v="383127.91"/>
    <n v="410479.76"/>
    <n v="549301.29"/>
    <n v="5307397.8999999994"/>
    <n v="-138821.53000000003"/>
  </r>
  <r>
    <x v="5"/>
    <x v="1"/>
    <x v="0"/>
    <s v="5611200"/>
    <n v="700022"/>
    <s v="Salaries-Physician-Other"/>
    <s v="Anesthesia Phys-Franc-Anesth"/>
    <x v="0"/>
    <n v="2000"/>
    <n v="16200"/>
    <n v="4800"/>
    <n v="6750"/>
    <n v="-2250"/>
    <n v="0"/>
    <n v="9000"/>
    <n v="1500"/>
    <n v="7500"/>
    <n v="3388"/>
    <n v="16500"/>
    <n v="3194"/>
    <n v="0"/>
    <n v="66582"/>
    <n v="3194"/>
  </r>
  <r>
    <x v="5"/>
    <x v="1"/>
    <x v="0"/>
    <s v="5611200"/>
    <n v="700022"/>
    <s v="Salaries-Physician-Provider Incentive"/>
    <s v="Anesthesia Phys-Franc-Anesth"/>
    <x v="0"/>
    <n v="4003"/>
    <n v="0"/>
    <n v="0"/>
    <n v="0"/>
    <n v="0"/>
    <n v="0"/>
    <n v="1000"/>
    <n v="0"/>
    <n v="1001.47"/>
    <n v="0"/>
    <n v="0"/>
    <n v="1002.94"/>
    <n v="-1.47"/>
    <n v="3002.94"/>
    <n v="1004.4100000000001"/>
  </r>
  <r>
    <x v="5"/>
    <x v="1"/>
    <x v="0"/>
    <s v="5611200"/>
    <n v="700024"/>
    <s v="Salaries-Advanced Practice Clinician-Productive"/>
    <s v="Anesthesia Phys-Franc-Anesth"/>
    <x v="0"/>
    <m/>
    <n v="45692.31"/>
    <n v="70557.740000000005"/>
    <n v="71826.97"/>
    <n v="83733.37"/>
    <n v="126003.02"/>
    <n v="144694.98000000001"/>
    <n v="165404.20000000001"/>
    <n v="146370.79999999999"/>
    <n v="153689.38"/>
    <n v="161007.85999999999"/>
    <n v="168326.46"/>
    <n v="146370.79999999999"/>
    <n v="1483677.8900000001"/>
    <n v="21955.660000000003"/>
  </r>
  <r>
    <x v="5"/>
    <x v="1"/>
    <x v="0"/>
    <s v="5611200"/>
    <n v="700024"/>
    <s v="Salaries-Advanced Practice Clinician-Other"/>
    <s v="Anesthesia Phys-Franc-Anesth"/>
    <x v="0"/>
    <n v="2000"/>
    <n v="0"/>
    <n v="60"/>
    <n v="2019.25"/>
    <n v="1326.94"/>
    <n v="2038.85"/>
    <n v="1211.55"/>
    <n v="14991.41"/>
    <n v="4615.4399999999996"/>
    <n v="4615.4399999999996"/>
    <n v="4615.4399999999996"/>
    <n v="4615.4399999999996"/>
    <n v="6923.04"/>
    <n v="47032.800000000003"/>
    <n v="-2307.6000000000004"/>
  </r>
  <r>
    <x v="5"/>
    <x v="1"/>
    <x v="0"/>
    <s v="5611200"/>
    <n v="700024"/>
    <s v="Salaries-Advanced Practice Clinician-Provider Incentive"/>
    <s v="Anesthesia Phys-Franc-Anesth"/>
    <x v="0"/>
    <n v="4003"/>
    <n v="0"/>
    <n v="1500"/>
    <n v="0"/>
    <n v="0"/>
    <n v="0"/>
    <n v="0"/>
    <n v="0"/>
    <n v="0"/>
    <n v="0"/>
    <n v="0"/>
    <n v="0"/>
    <n v="0"/>
    <n v="1500"/>
    <n v="0"/>
  </r>
  <r>
    <x v="5"/>
    <x v="1"/>
    <x v="0"/>
    <s v="5611200"/>
    <n v="700054"/>
    <s v="Salaries-Management-NonProd-Other"/>
    <s v="Anesthesia Phys-Franc-Anesth"/>
    <x v="0"/>
    <n v="2000"/>
    <n v="0"/>
    <n v="0"/>
    <n v="0"/>
    <n v="0"/>
    <n v="0"/>
    <n v="2617.61"/>
    <n v="-2617.61"/>
    <n v="0"/>
    <n v="0"/>
    <n v="0"/>
    <n v="0"/>
    <n v="0"/>
    <n v="0"/>
    <n v="0"/>
  </r>
  <r>
    <x v="5"/>
    <x v="1"/>
    <x v="0"/>
    <s v="5611200"/>
    <n v="700062"/>
    <s v="Salaries-Physician-Non-productive"/>
    <s v="Anesthesia Phys-Franc-Anesth"/>
    <x v="0"/>
    <m/>
    <n v="33333.339999999997"/>
    <n v="-66666.66"/>
    <n v="33333.33"/>
    <n v="33333.33"/>
    <n v="33333.339999999997"/>
    <n v="-86666.67"/>
    <n v="40000"/>
    <n v="0"/>
    <n v="-66246.45"/>
    <n v="54249.919999999998"/>
    <n v="39270.17"/>
    <n v="-97157.440000000002"/>
    <n v="-49883.790000000008"/>
    <n v="136427.60999999999"/>
  </r>
  <r>
    <x v="5"/>
    <x v="1"/>
    <x v="0"/>
    <s v="5611200"/>
    <n v="700062"/>
    <s v="Salaries-Physician-NonProd-Other"/>
    <s v="Anesthesia Phys-Franc-Anesth"/>
    <x v="0"/>
    <n v="2000"/>
    <n v="0"/>
    <n v="5557.5"/>
    <n v="-1852.5"/>
    <n v="0"/>
    <n v="0"/>
    <n v="0"/>
    <n v="0"/>
    <n v="0"/>
    <n v="0"/>
    <n v="0"/>
    <n v="0"/>
    <n v="0"/>
    <n v="3705"/>
    <n v="0"/>
  </r>
  <r>
    <x v="5"/>
    <x v="1"/>
    <x v="0"/>
    <s v="5611200"/>
    <n v="700064"/>
    <s v="Salaries-Advanced Practice Clinician-Non-Productive"/>
    <s v="Anesthesia Phys-Franc-Anesth"/>
    <x v="0"/>
    <m/>
    <n v="2267.67"/>
    <n v="2523.2600000000002"/>
    <n v="3450.33"/>
    <n v="3445.58"/>
    <n v="6053.72"/>
    <n v="6219.64"/>
    <n v="7070.45"/>
    <n v="7038.89"/>
    <n v="5906.24"/>
    <n v="6135.99"/>
    <n v="6123.56"/>
    <n v="6078.97"/>
    <n v="62314.299999999996"/>
    <n v="44.590000000000146"/>
  </r>
  <r>
    <x v="6"/>
    <x v="1"/>
    <x v="0"/>
    <s v="5611200"/>
    <n v="713010"/>
    <s v="Benefits-FICA/Medicare"/>
    <s v="Anesthesia Phys-Franc-Anesth"/>
    <x v="0"/>
    <m/>
    <n v="17375.009999999998"/>
    <n v="17265.84"/>
    <n v="11063.82"/>
    <n v="9369.4"/>
    <n v="12003.66"/>
    <n v="32080.66"/>
    <n v="45832.87"/>
    <n v="36678.22"/>
    <n v="51339.839999999997"/>
    <n v="39204.370000000003"/>
    <n v="38299.29"/>
    <n v="24001.01"/>
    <n v="334513.99"/>
    <n v="14298.280000000002"/>
  </r>
  <r>
    <x v="6"/>
    <x v="1"/>
    <x v="0"/>
    <s v="5611200"/>
    <n v="713090"/>
    <s v="Benefits-Allocated Amounts"/>
    <s v="Anesthesia Phys-Franc-Anesth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11200"/>
    <n v="713092"/>
    <s v="Allocated Benefits-Physician"/>
    <s v="Anesthesia Phys-Franc-Anesth"/>
    <x v="0"/>
    <m/>
    <n v="32254.76"/>
    <n v="29659.35"/>
    <n v="28250.74"/>
    <n v="30088.18"/>
    <n v="32498.400000000001"/>
    <n v="40353.58"/>
    <n v="44873.15"/>
    <n v="40032.339999999997"/>
    <n v="23732.46"/>
    <n v="39118.879999999997"/>
    <n v="38956.44"/>
    <n v="40761.339999999997"/>
    <n v="420579.62"/>
    <n v="-1804.8999999999942"/>
  </r>
  <r>
    <x v="6"/>
    <x v="1"/>
    <x v="0"/>
    <s v="5611200"/>
    <n v="713093"/>
    <s v="Allocated Benefits-Advanced Practice Clinician"/>
    <s v="Anesthesia Phys-Franc-Anesth"/>
    <x v="0"/>
    <m/>
    <n v="8249.25"/>
    <n v="7585.47"/>
    <n v="7225.2"/>
    <n v="7695.14"/>
    <n v="8311.57"/>
    <n v="10320.540000000001"/>
    <n v="11476.44"/>
    <n v="10238.39"/>
    <n v="35765.769999999997"/>
    <n v="13854.66"/>
    <n v="13797.13"/>
    <n v="14436.37"/>
    <n v="148955.93"/>
    <n v="-639.2400000000016"/>
  </r>
  <r>
    <x v="7"/>
    <x v="1"/>
    <x v="0"/>
    <s v="5611200"/>
    <n v="718040"/>
    <s v="Contract Svcs-Laboratory"/>
    <s v="Anesthesia Phys-Franc-Anesth"/>
    <x v="0"/>
    <m/>
    <n v="102.4"/>
    <n v="0"/>
    <n v="0"/>
    <n v="0"/>
    <n v="0"/>
    <n v="0"/>
    <n v="51.2"/>
    <n v="0"/>
    <n v="122.4"/>
    <n v="0"/>
    <n v="0"/>
    <n v="0"/>
    <n v="276"/>
    <n v="0"/>
  </r>
  <r>
    <x v="0"/>
    <x v="1"/>
    <x v="0"/>
    <s v="5611200"/>
    <n v="740022"/>
    <s v="Education-Physician"/>
    <s v="Anesthesia Phys-Franc-Anesth"/>
    <x v="0"/>
    <m/>
    <n v="5191.91"/>
    <n v="1929.3"/>
    <n v="210"/>
    <n v="0"/>
    <n v="485"/>
    <n v="334.69"/>
    <n v="931.5"/>
    <n v="1970"/>
    <n v="760"/>
    <n v="5023.96"/>
    <n v="0"/>
    <n v="3938.97"/>
    <n v="20775.330000000002"/>
    <n v="-3938.97"/>
  </r>
  <r>
    <x v="0"/>
    <x v="1"/>
    <x v="0"/>
    <s v="5611200"/>
    <n v="740022"/>
    <s v="Books-Physician"/>
    <s v="Anesthesia Phys-Franc-Anesth"/>
    <x v="0"/>
    <n v="2000"/>
    <n v="2701.43"/>
    <n v="0"/>
    <n v="175"/>
    <n v="0"/>
    <n v="0"/>
    <n v="360"/>
    <n v="859.82"/>
    <n v="0"/>
    <n v="0"/>
    <n v="0"/>
    <n v="732"/>
    <n v="372"/>
    <n v="5200.25"/>
    <n v="360"/>
  </r>
  <r>
    <x v="0"/>
    <x v="1"/>
    <x v="0"/>
    <s v="5611200"/>
    <n v="740022"/>
    <s v="Education Travel-Physician"/>
    <s v="Anesthesia Phys-Franc-Anesth"/>
    <x v="0"/>
    <n v="2001"/>
    <n v="0"/>
    <n v="0"/>
    <n v="0"/>
    <n v="0"/>
    <n v="0"/>
    <n v="0"/>
    <n v="0"/>
    <n v="0"/>
    <n v="339.6"/>
    <n v="0"/>
    <n v="0"/>
    <n v="0"/>
    <n v="339.6"/>
    <n v="0"/>
  </r>
  <r>
    <x v="0"/>
    <x v="1"/>
    <x v="0"/>
    <s v="5611200"/>
    <n v="740023"/>
    <s v="Education-Advanced Practice Clinician"/>
    <s v="Anesthesia Phys-Franc-Anesth"/>
    <x v="0"/>
    <m/>
    <n v="0"/>
    <n v="240"/>
    <n v="0"/>
    <n v="285"/>
    <n v="0"/>
    <n v="0"/>
    <n v="0"/>
    <n v="0"/>
    <n v="1645"/>
    <n v="850"/>
    <n v="0"/>
    <n v="285"/>
    <n v="3305"/>
    <n v="-285"/>
  </r>
  <r>
    <x v="8"/>
    <x v="1"/>
    <x v="0"/>
    <s v="5611200"/>
    <n v="741012"/>
    <s v="Physician Liab Insurance-CHI Program"/>
    <s v="Anesthesia Phys-Franc-Anesth"/>
    <x v="0"/>
    <m/>
    <n v="14205.42"/>
    <n v="14205.39"/>
    <n v="13378.77"/>
    <n v="13378.75"/>
    <n v="13378.77"/>
    <n v="13378.62"/>
    <n v="13378.77"/>
    <n v="12796.37"/>
    <n v="12649.52"/>
    <n v="13149.02"/>
    <n v="14293.74"/>
    <n v="14165.52"/>
    <n v="162358.65999999997"/>
    <n v="128.21999999999935"/>
  </r>
  <r>
    <x v="0"/>
    <x v="1"/>
    <x v="0"/>
    <s v="5611200"/>
    <n v="743020"/>
    <s v="Dues--Individual"/>
    <s v="Anesthesia Phys-Franc-Anesth"/>
    <x v="0"/>
    <m/>
    <n v="0"/>
    <n v="1000"/>
    <n v="0"/>
    <n v="0"/>
    <n v="0"/>
    <n v="0"/>
    <n v="0"/>
    <n v="0"/>
    <n v="0"/>
    <n v="0"/>
    <n v="0"/>
    <n v="0"/>
    <n v="1000"/>
    <n v="0"/>
  </r>
  <r>
    <x v="0"/>
    <x v="1"/>
    <x v="0"/>
    <s v="5611200"/>
    <n v="743022"/>
    <s v="Dues-Physician"/>
    <s v="Anesthesia Phys-Franc-Anesth"/>
    <x v="0"/>
    <m/>
    <n v="1823"/>
    <n v="0"/>
    <n v="0"/>
    <n v="315"/>
    <n v="0"/>
    <n v="4735"/>
    <n v="3020"/>
    <n v="0"/>
    <n v="0"/>
    <n v="2100"/>
    <n v="2100"/>
    <n v="1643"/>
    <n v="15736"/>
    <n v="457"/>
  </r>
  <r>
    <x v="0"/>
    <x v="1"/>
    <x v="0"/>
    <s v="5611200"/>
    <n v="743023"/>
    <s v="Dues-Advanced Practice Clinician"/>
    <s v="Anesthesia Phys-Franc-Anesth"/>
    <x v="0"/>
    <m/>
    <n v="0"/>
    <n v="645"/>
    <n v="645"/>
    <n v="645"/>
    <n v="0"/>
    <n v="0"/>
    <n v="0"/>
    <n v="0"/>
    <n v="765"/>
    <n v="0"/>
    <n v="0"/>
    <n v="0"/>
    <n v="2700"/>
    <n v="0"/>
  </r>
  <r>
    <x v="0"/>
    <x v="1"/>
    <x v="0"/>
    <s v="5611200"/>
    <n v="743042"/>
    <s v="Subscriptions-Physician"/>
    <s v="Anesthesia Phys-Franc-Anesth"/>
    <x v="0"/>
    <m/>
    <n v="0"/>
    <n v="0"/>
    <n v="0"/>
    <n v="0"/>
    <n v="0"/>
    <n v="0"/>
    <n v="669.26"/>
    <n v="762"/>
    <n v="0"/>
    <n v="0"/>
    <n v="0"/>
    <n v="372"/>
    <n v="1803.26"/>
    <n v="-372"/>
  </r>
  <r>
    <x v="0"/>
    <x v="1"/>
    <x v="0"/>
    <s v="5611200"/>
    <n v="743043"/>
    <s v="Subscriptions-Advanced Practice Clinician"/>
    <s v="Anesthesia Phys-Franc-Anesth"/>
    <x v="0"/>
    <m/>
    <n v="0"/>
    <n v="0"/>
    <n v="0"/>
    <n v="0"/>
    <n v="0"/>
    <n v="0"/>
    <n v="0"/>
    <n v="0"/>
    <n v="0"/>
    <n v="99"/>
    <n v="0"/>
    <n v="1452.32"/>
    <n v="1551.32"/>
    <n v="-1452.32"/>
  </r>
  <r>
    <x v="0"/>
    <x v="1"/>
    <x v="0"/>
    <s v="5611200"/>
    <n v="749510"/>
    <s v="Miscellaneous Expenses"/>
    <s v="Anesthesia Phys-Franc-Anesth"/>
    <x v="0"/>
    <m/>
    <n v="-9619.94"/>
    <n v="0"/>
    <n v="315"/>
    <n v="-315"/>
    <n v="2635"/>
    <n v="-2635"/>
    <n v="3430.44"/>
    <n v="-562.59"/>
    <n v="-1660.35"/>
    <n v="1410"/>
    <n v="760.32"/>
    <n v="2881.91"/>
    <n v="-3360.2100000000009"/>
    <n v="-2121.5899999999997"/>
  </r>
  <r>
    <x v="0"/>
    <x v="1"/>
    <x v="0"/>
    <s v="5611200"/>
    <n v="749512"/>
    <s v="Licenses-Physician"/>
    <s v="Anesthesia Phys-Franc-Anesth"/>
    <x v="0"/>
    <n v="2000"/>
    <n v="0"/>
    <n v="0"/>
    <n v="657"/>
    <n v="0"/>
    <n v="731"/>
    <n v="598.5"/>
    <n v="1797"/>
    <n v="941"/>
    <n v="0"/>
    <n v="1100.5"/>
    <n v="659.5"/>
    <n v="657"/>
    <n v="7141.5"/>
    <n v="2.5"/>
  </r>
  <r>
    <x v="0"/>
    <x v="1"/>
    <x v="0"/>
    <s v="5611200"/>
    <n v="749513"/>
    <s v="Licenses-Advanced Practice Clinician"/>
    <s v="Anesthesia Phys-Franc-Anesth"/>
    <x v="0"/>
    <n v="2000"/>
    <n v="0"/>
    <n v="0"/>
    <n v="0"/>
    <n v="0"/>
    <n v="0"/>
    <n v="0"/>
    <n v="0"/>
    <n v="250"/>
    <n v="0"/>
    <n v="355"/>
    <n v="110"/>
    <n v="475"/>
    <n v="1190"/>
    <n v="-365"/>
  </r>
  <r>
    <x v="0"/>
    <x v="1"/>
    <x v="0"/>
    <s v="5611200"/>
    <n v="749532"/>
    <s v="Travel-Physician"/>
    <s v="Anesthesia Phys-Franc-Anesth"/>
    <x v="0"/>
    <m/>
    <n v="428"/>
    <n v="0"/>
    <n v="0"/>
    <n v="0"/>
    <n v="4247.41"/>
    <n v="0"/>
    <n v="1241.2"/>
    <n v="1471.95"/>
    <n v="2220.9299999999998"/>
    <n v="3797.59"/>
    <n v="0"/>
    <n v="1480.87"/>
    <n v="14887.95"/>
    <n v="-1480.87"/>
  </r>
  <r>
    <x v="0"/>
    <x v="1"/>
    <x v="0"/>
    <s v="5611200"/>
    <n v="749533"/>
    <s v="Travel-Advanced Practice Clinician"/>
    <s v="Anesthesia Phys-Franc-Anesth"/>
    <x v="0"/>
    <m/>
    <n v="0"/>
    <n v="0"/>
    <n v="0"/>
    <n v="0"/>
    <n v="0"/>
    <n v="0"/>
    <n v="0"/>
    <n v="0"/>
    <n v="2842.09"/>
    <n v="1997.34"/>
    <n v="0"/>
    <n v="0"/>
    <n v="4839.43"/>
    <n v="0"/>
  </r>
  <r>
    <x v="0"/>
    <x v="1"/>
    <x v="0"/>
    <s v="5611200"/>
    <n v="749535"/>
    <s v="Meetings"/>
    <s v="Anesthesia Phys-Franc-Anesth"/>
    <x v="0"/>
    <m/>
    <n v="0"/>
    <n v="0"/>
    <n v="0"/>
    <n v="0"/>
    <n v="0"/>
    <n v="0"/>
    <n v="0"/>
    <n v="0"/>
    <n v="0"/>
    <n v="1998.15"/>
    <n v="0"/>
    <n v="0"/>
    <n v="1998.15"/>
    <n v="0"/>
  </r>
  <r>
    <x v="9"/>
    <x v="1"/>
    <x v="0"/>
    <s v="5611200"/>
    <n v="800015"/>
    <s v="Interest Income-Ext to CHI"/>
    <s v="Anesthesia Phys-Franc-Anesth"/>
    <x v="0"/>
    <m/>
    <n v="-184.33"/>
    <n v="-231.61"/>
    <n v="-325.33"/>
    <n v="-320.58999999999997"/>
    <n v="-428.74"/>
    <n v="-594.66999999999996"/>
    <n v="-612.09"/>
    <n v="-580.57000000000005"/>
    <n v="-561.05999999999995"/>
    <n v="-594.23"/>
    <n v="-602.08000000000004"/>
    <n v="-549.69000000000005"/>
    <n v="-5584.99"/>
    <n v="-52.389999999999986"/>
  </r>
  <r>
    <x v="1"/>
    <x v="1"/>
    <x v="0"/>
    <s v="5612200"/>
    <n v="400040"/>
    <s v="Physician Svcs Rev--Medicare"/>
    <s v="Behavioral Medicine-Psych"/>
    <x v="0"/>
    <n v="1100"/>
    <n v="-75914"/>
    <n v="-104891"/>
    <n v="-73145"/>
    <n v="-87792"/>
    <n v="-64929"/>
    <n v="-98924"/>
    <n v="-79735"/>
    <n v="-64732"/>
    <n v="-60283"/>
    <n v="-63898"/>
    <n v="-47028"/>
    <n v="-46334"/>
    <n v="-867605"/>
    <n v="-694"/>
  </r>
  <r>
    <x v="1"/>
    <x v="1"/>
    <x v="0"/>
    <s v="5612200"/>
    <n v="400040"/>
    <s v="Physician Svcs Rev--Medicaid"/>
    <s v="Behavioral Medicine-Psych"/>
    <x v="0"/>
    <n v="1200"/>
    <n v="-81974"/>
    <n v="-90552"/>
    <n v="-56285"/>
    <n v="-71851"/>
    <n v="-64598"/>
    <n v="-78233"/>
    <n v="-79742"/>
    <n v="-63760"/>
    <n v="-66019"/>
    <n v="-91137"/>
    <n v="-54917"/>
    <n v="-41806"/>
    <n v="-840874"/>
    <n v="-13111"/>
  </r>
  <r>
    <x v="1"/>
    <x v="1"/>
    <x v="0"/>
    <s v="5612200"/>
    <n v="400040"/>
    <s v="Physician Svcs Rev--Comm Insurance"/>
    <s v="Behavioral Medicine-Psych"/>
    <x v="0"/>
    <n v="1300"/>
    <n v="-4118"/>
    <n v="-3901"/>
    <n v="-2560"/>
    <n v="-4566"/>
    <n v="-3088"/>
    <n v="-5293"/>
    <n v="-1868"/>
    <n v="3753"/>
    <n v="512"/>
    <n v="574"/>
    <n v="-1777"/>
    <n v="-2613"/>
    <n v="-24945"/>
    <n v="836"/>
  </r>
  <r>
    <x v="1"/>
    <x v="1"/>
    <x v="0"/>
    <s v="5612200"/>
    <n v="400040"/>
    <s v="Physician Svcs Rev--BCBS Comm"/>
    <s v="Behavioral Medicine-Psych"/>
    <x v="0"/>
    <n v="1301"/>
    <n v="-16391"/>
    <n v="-4416"/>
    <n v="-13441"/>
    <n v="-13449"/>
    <n v="-12307"/>
    <n v="-8007"/>
    <n v="-16495"/>
    <n v="-10181"/>
    <n v="-12835"/>
    <n v="-11346"/>
    <n v="-13153"/>
    <n v="4194"/>
    <n v="-127827"/>
    <n v="-17347"/>
  </r>
  <r>
    <x v="1"/>
    <x v="1"/>
    <x v="0"/>
    <s v="5612200"/>
    <n v="400040"/>
    <s v="Physician Svcs Rev--Managed Care"/>
    <s v="Behavioral Medicine-Psych"/>
    <x v="0"/>
    <n v="1400"/>
    <n v="-49387"/>
    <n v="-45482"/>
    <n v="-37015"/>
    <n v="-38304"/>
    <n v="-36958"/>
    <n v="-34669"/>
    <n v="-52953"/>
    <n v="-39184"/>
    <n v="-41948"/>
    <n v="-36313"/>
    <n v="-28204"/>
    <n v="-17475"/>
    <n v="-457892"/>
    <n v="-10729"/>
  </r>
  <r>
    <x v="1"/>
    <x v="1"/>
    <x v="0"/>
    <s v="5612200"/>
    <n v="400040"/>
    <s v="Physician Svcs Rev--Self Pay"/>
    <s v="Behavioral Medicine-Psych"/>
    <x v="0"/>
    <n v="1500"/>
    <n v="-3322"/>
    <n v="-16453"/>
    <n v="-6734"/>
    <n v="-6562"/>
    <n v="-7143"/>
    <n v="4030"/>
    <n v="-4228"/>
    <n v="-6104"/>
    <n v="1874"/>
    <n v="-11551"/>
    <n v="-3691"/>
    <n v="-3353"/>
    <n v="-63237"/>
    <n v="-338"/>
  </r>
  <r>
    <x v="1"/>
    <x v="1"/>
    <x v="0"/>
    <s v="5612200"/>
    <n v="400040"/>
    <s v="Physician Svcs Rev--Other"/>
    <s v="Behavioral Medicine-Psych"/>
    <x v="0"/>
    <n v="1700"/>
    <n v="-7320"/>
    <n v="-7916"/>
    <n v="-786"/>
    <n v="-8435"/>
    <n v="-7806"/>
    <n v="-10044"/>
    <n v="-10488"/>
    <n v="2632"/>
    <n v="-5471"/>
    <n v="-2902"/>
    <n v="-5809"/>
    <n v="-5192"/>
    <n v="-69537"/>
    <n v="-617"/>
  </r>
  <r>
    <x v="2"/>
    <x v="1"/>
    <x v="0"/>
    <s v="5612200"/>
    <n v="450040"/>
    <s v="Contr Allow--Phys Svcs--Mcare"/>
    <s v="Behavioral Medicine-Psych"/>
    <x v="0"/>
    <n v="1100"/>
    <n v="40197.18"/>
    <n v="48549.78"/>
    <n v="64809.7"/>
    <n v="51724.78"/>
    <n v="36677.67"/>
    <n v="38129.65"/>
    <n v="64478.14"/>
    <n v="44565.279999999999"/>
    <n v="38198.81"/>
    <n v="48592.02"/>
    <n v="34372.449999999997"/>
    <n v="31512.880000000001"/>
    <n v="541808.34000000008"/>
    <n v="2859.5699999999961"/>
  </r>
  <r>
    <x v="2"/>
    <x v="1"/>
    <x v="0"/>
    <s v="5612200"/>
    <n v="450040"/>
    <s v="Contr Allow--Phys Svcs--Mcaid"/>
    <s v="Behavioral Medicine-Psych"/>
    <x v="0"/>
    <n v="1200"/>
    <n v="45829.22"/>
    <n v="49200.98"/>
    <n v="67175.34"/>
    <n v="66736.34"/>
    <n v="40207.57"/>
    <n v="46558.22"/>
    <n v="56213.440000000002"/>
    <n v="50318.59"/>
    <n v="54728.37"/>
    <n v="68470.3"/>
    <n v="48608.21"/>
    <n v="30490.82"/>
    <n v="624537.4"/>
    <n v="18117.39"/>
  </r>
  <r>
    <x v="2"/>
    <x v="1"/>
    <x v="0"/>
    <s v="5612200"/>
    <n v="450040"/>
    <s v="Contr Allow--Phys Svcs--Comm Insurance"/>
    <s v="Behavioral Medicine-Psych"/>
    <x v="0"/>
    <n v="1300"/>
    <n v="603"/>
    <n v="2140.27"/>
    <n v="246.63"/>
    <n v="1273.3900000000001"/>
    <n v="1496.98"/>
    <n v="0"/>
    <n v="1411.96"/>
    <n v="384.28"/>
    <n v="742.28"/>
    <n v="295.75"/>
    <n v="1243.6300000000001"/>
    <n v="-479.81"/>
    <n v="9358.3600000000024"/>
    <n v="1723.44"/>
  </r>
  <r>
    <x v="2"/>
    <x v="1"/>
    <x v="0"/>
    <s v="5612200"/>
    <n v="450040"/>
    <s v="Contr Allow--Phys Svcs--BCBS Comm Ins"/>
    <s v="Behavioral Medicine-Psych"/>
    <x v="0"/>
    <n v="1301"/>
    <n v="3782.54"/>
    <n v="2759.43"/>
    <n v="3123.77"/>
    <n v="2312.65"/>
    <n v="1548.08"/>
    <n v="2950.7"/>
    <n v="3333.01"/>
    <n v="2413.36"/>
    <n v="3507.8"/>
    <n v="2112.86"/>
    <n v="3493.61"/>
    <n v="3314.23"/>
    <n v="34652.04"/>
    <n v="179.38000000000011"/>
  </r>
  <r>
    <x v="2"/>
    <x v="1"/>
    <x v="0"/>
    <s v="5612200"/>
    <n v="450040"/>
    <s v="Contr Allow--Phys Svcs--Managed Care"/>
    <s v="Behavioral Medicine-Psych"/>
    <x v="0"/>
    <n v="1400"/>
    <n v="19704.849999999999"/>
    <n v="15890.36"/>
    <n v="17331.41"/>
    <n v="22145.11"/>
    <n v="21189.33"/>
    <n v="9711.0400000000009"/>
    <n v="21620.959999999999"/>
    <n v="16377.48"/>
    <n v="20862.96"/>
    <n v="18372.09"/>
    <n v="17859.990000000002"/>
    <n v="9842.59"/>
    <n v="210908.16999999998"/>
    <n v="8017.4000000000015"/>
  </r>
  <r>
    <x v="2"/>
    <x v="1"/>
    <x v="0"/>
    <s v="5612200"/>
    <n v="450040"/>
    <s v="Contr Allow--Phys Svcs--BCBS Mgnd Care"/>
    <s v="Behavioral Medicine-Psych"/>
    <x v="0"/>
    <n v="1401"/>
    <n v="25460.65"/>
    <n v="35752.660000000003"/>
    <n v="-26996.99"/>
    <n v="1941.82"/>
    <n v="15135.96"/>
    <n v="36500.980000000003"/>
    <n v="10547.57"/>
    <n v="-4024.17"/>
    <n v="-9445.66"/>
    <n v="-594.59"/>
    <n v="-5860.24"/>
    <n v="-13603.95"/>
    <n v="64814.040000000023"/>
    <n v="7743.7100000000009"/>
  </r>
  <r>
    <x v="2"/>
    <x v="1"/>
    <x v="0"/>
    <s v="5612200"/>
    <n v="450040"/>
    <s v="Prompt Pay Disc-Phys Svcs-Self Pay"/>
    <s v="Behavioral Medicine-Psych"/>
    <x v="0"/>
    <n v="1500"/>
    <n v="540.15"/>
    <n v="5705.33"/>
    <n v="0"/>
    <n v="0"/>
    <n v="0"/>
    <n v="-5705.33"/>
    <n v="0"/>
    <n v="0"/>
    <n v="0"/>
    <n v="0"/>
    <n v="0"/>
    <n v="0"/>
    <n v="540.14999999999964"/>
    <n v="0"/>
  </r>
  <r>
    <x v="2"/>
    <x v="1"/>
    <x v="0"/>
    <s v="5612200"/>
    <n v="450040"/>
    <s v="Admin Adjust-Phys Svcs-Self Pay"/>
    <s v="Behavioral Medicine-Psych"/>
    <x v="0"/>
    <n v="1600"/>
    <n v="-660.96"/>
    <n v="5300.19"/>
    <n v="3734.91"/>
    <n v="2194.4699999999998"/>
    <n v="2314.79"/>
    <n v="1346.51"/>
    <n v="1989.16"/>
    <n v="742.23"/>
    <n v="-972.65"/>
    <n v="2941.66"/>
    <n v="2756.12"/>
    <n v="744.81"/>
    <n v="22431.239999999998"/>
    <n v="2011.31"/>
  </r>
  <r>
    <x v="2"/>
    <x v="1"/>
    <x v="0"/>
    <s v="5612200"/>
    <n v="450040"/>
    <s v="Contr Allow--Phys Svcs--Other"/>
    <s v="Behavioral Medicine-Psych"/>
    <x v="0"/>
    <n v="1700"/>
    <n v="7575.93"/>
    <n v="4695.18"/>
    <n v="4554.74"/>
    <n v="1881.14"/>
    <n v="594.66"/>
    <n v="5732.22"/>
    <n v="2544.7399999999998"/>
    <n v="6718.72"/>
    <n v="6636.11"/>
    <n v="4326.67"/>
    <n v="2348.31"/>
    <n v="4721.51"/>
    <n v="52329.93"/>
    <n v="-2373.2000000000003"/>
  </r>
  <r>
    <x v="3"/>
    <x v="1"/>
    <x v="0"/>
    <s v="5612200"/>
    <n v="470040"/>
    <s v="Charity Care-Physician Svcs"/>
    <s v="Behavioral Medicine-Psych"/>
    <x v="0"/>
    <m/>
    <n v="1373.69"/>
    <n v="4869.83"/>
    <n v="607.19000000000005"/>
    <n v="15.95"/>
    <n v="1573.4"/>
    <n v="2128.14"/>
    <n v="2791.83"/>
    <n v="1326.69"/>
    <n v="3782.07"/>
    <n v="3685.7"/>
    <n v="1041.82"/>
    <n v="5016.84"/>
    <n v="28213.15"/>
    <n v="-3975.0200000000004"/>
  </r>
  <r>
    <x v="4"/>
    <x v="1"/>
    <x v="0"/>
    <s v="5612200"/>
    <n v="490010"/>
    <s v="Provision for Bad Debts"/>
    <s v="Behavioral Medicine-Psych"/>
    <x v="0"/>
    <m/>
    <n v="7492.62"/>
    <n v="7730.25"/>
    <n v="-2182.8000000000002"/>
    <n v="266.24"/>
    <n v="7468.34"/>
    <n v="10355.98"/>
    <n v="1484.16"/>
    <n v="4667.04"/>
    <n v="8487.35"/>
    <n v="3658.21"/>
    <n v="3067.72"/>
    <n v="8692.2099999999991"/>
    <n v="61187.32"/>
    <n v="-5624.49"/>
  </r>
  <r>
    <x v="5"/>
    <x v="1"/>
    <x v="0"/>
    <s v="5612200"/>
    <n v="700022"/>
    <s v="Salaries-Physician-Productive"/>
    <s v="Behavioral Medicine-Psych"/>
    <x v="0"/>
    <m/>
    <n v="118323.29"/>
    <n v="118327.74"/>
    <n v="98966.38"/>
    <n v="118279.82"/>
    <n v="119850.06"/>
    <n v="98939.89"/>
    <n v="108673.64"/>
    <n v="87840.53"/>
    <n v="120700.14"/>
    <n v="73750.23"/>
    <n v="76010.62"/>
    <n v="17429.36"/>
    <n v="1157091.7000000004"/>
    <n v="58581.259999999995"/>
  </r>
  <r>
    <x v="5"/>
    <x v="1"/>
    <x v="0"/>
    <s v="5612200"/>
    <n v="700022"/>
    <s v="Salaries-Physician-Other"/>
    <s v="Behavioral Medicine-Psych"/>
    <x v="0"/>
    <n v="2000"/>
    <n v="0"/>
    <n v="0"/>
    <n v="0"/>
    <n v="0"/>
    <n v="0"/>
    <n v="0"/>
    <n v="0"/>
    <n v="19658.79"/>
    <n v="11872.18"/>
    <n v="833.29"/>
    <n v="0"/>
    <n v="0"/>
    <n v="32364.260000000002"/>
    <n v="0"/>
  </r>
  <r>
    <x v="5"/>
    <x v="1"/>
    <x v="0"/>
    <s v="5612200"/>
    <n v="700022"/>
    <s v="Salaries-Physician-Provider Incentive"/>
    <s v="Behavioral Medicine-Psych"/>
    <x v="0"/>
    <n v="4003"/>
    <n v="0"/>
    <n v="1500"/>
    <n v="0"/>
    <n v="0"/>
    <n v="500"/>
    <n v="0"/>
    <n v="0"/>
    <n v="500.73"/>
    <n v="0"/>
    <n v="0"/>
    <n v="501.46"/>
    <n v="-0.73"/>
    <n v="3001.46"/>
    <n v="502.19"/>
  </r>
  <r>
    <x v="5"/>
    <x v="1"/>
    <x v="0"/>
    <s v="5612200"/>
    <n v="700024"/>
    <s v="Salaries-Advanced Practice Clinician-Productive"/>
    <s v="Behavioral Medicine-Psych"/>
    <x v="0"/>
    <m/>
    <n v="13139.1"/>
    <n v="7845.27"/>
    <n v="10336.65"/>
    <n v="10779.24"/>
    <n v="12203.88"/>
    <n v="7422.37"/>
    <n v="13568.54"/>
    <n v="12534.99"/>
    <n v="7971.64"/>
    <n v="12386.98"/>
    <n v="12135.61"/>
    <n v="5006.9399999999996"/>
    <n v="125331.21"/>
    <n v="7128.670000000001"/>
  </r>
  <r>
    <x v="5"/>
    <x v="1"/>
    <x v="0"/>
    <s v="5612200"/>
    <n v="700024"/>
    <s v="Salaries-Advanced Practice Clinician-Provider Incentive"/>
    <s v="Behavioral Medicine-Psych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5612200"/>
    <n v="700032"/>
    <s v="Salaries-Other Pat Care Providers-Productive"/>
    <s v="Behavioral Medicine-Psych"/>
    <x v="0"/>
    <m/>
    <n v="8630.77"/>
    <n v="8346.17"/>
    <n v="7257.69"/>
    <n v="9219.24"/>
    <n v="8238.4699999999993"/>
    <n v="7806.92"/>
    <n v="8683.24"/>
    <n v="7857.66"/>
    <n v="8250.5400000000009"/>
    <n v="8643.42"/>
    <n v="9036.32"/>
    <n v="7464.78"/>
    <n v="99435.22"/>
    <n v="1571.54"/>
  </r>
  <r>
    <x v="5"/>
    <x v="1"/>
    <x v="0"/>
    <s v="5612200"/>
    <n v="700054"/>
    <s v="Salaries-Management-NonProd-Other"/>
    <s v="Behavioral Medicine-Psych"/>
    <x v="0"/>
    <n v="2000"/>
    <n v="0"/>
    <n v="0"/>
    <n v="0"/>
    <n v="0"/>
    <n v="0"/>
    <n v="50.97"/>
    <n v="-50.97"/>
    <n v="0"/>
    <n v="0"/>
    <n v="0"/>
    <n v="0"/>
    <n v="0"/>
    <n v="0"/>
    <n v="0"/>
  </r>
  <r>
    <x v="5"/>
    <x v="1"/>
    <x v="0"/>
    <s v="5612200"/>
    <n v="700062"/>
    <s v="Salaries-Physician-Non-productive"/>
    <s v="Behavioral Medicine-Psych"/>
    <x v="0"/>
    <m/>
    <n v="6753.85"/>
    <n v="7630.77"/>
    <n v="12723.09"/>
    <n v="3766.16"/>
    <n v="2264.63"/>
    <n v="23275.39"/>
    <n v="21230.97"/>
    <n v="26269.56"/>
    <n v="-2753.25"/>
    <n v="1155.54"/>
    <n v="9244.27"/>
    <n v="-1158.74"/>
    <n v="110402.23999999999"/>
    <n v="10403.01"/>
  </r>
  <r>
    <x v="5"/>
    <x v="1"/>
    <x v="0"/>
    <s v="5612200"/>
    <n v="700062"/>
    <s v="Salaries-Physician-NonProd-Other"/>
    <s v="Behavioral Medicine-Psych"/>
    <x v="0"/>
    <n v="2000"/>
    <n v="0"/>
    <n v="0"/>
    <n v="0"/>
    <n v="0"/>
    <n v="413.48"/>
    <n v="413.48"/>
    <n v="0"/>
    <n v="-826.96"/>
    <n v="0"/>
    <n v="0"/>
    <n v="0"/>
    <n v="0"/>
    <n v="0"/>
    <n v="0"/>
  </r>
  <r>
    <x v="5"/>
    <x v="1"/>
    <x v="0"/>
    <s v="5612200"/>
    <n v="700064"/>
    <s v="Salaries-Advanced Practice Clinician-Non-Productive"/>
    <s v="Behavioral Medicine-Psych"/>
    <x v="0"/>
    <m/>
    <n v="0"/>
    <n v="5192.32"/>
    <n v="519.23"/>
    <n v="4673.08"/>
    <n v="519.24"/>
    <n v="3894.23"/>
    <n v="260.38"/>
    <n v="0"/>
    <n v="2599.96"/>
    <n v="0"/>
    <n v="0"/>
    <n v="1559.97"/>
    <n v="19218.41"/>
    <n v="-1559.97"/>
  </r>
  <r>
    <x v="5"/>
    <x v="1"/>
    <x v="0"/>
    <s v="5612200"/>
    <n v="700064"/>
    <s v="Salaries-Advanced Practice Clinician-Non-Prod-Other"/>
    <s v="Behavioral Medicine-Psych"/>
    <x v="0"/>
    <n v="2000"/>
    <n v="0"/>
    <n v="0"/>
    <n v="0"/>
    <n v="0"/>
    <n v="599.73"/>
    <n v="1199.46"/>
    <n v="0"/>
    <n v="-1199.46"/>
    <n v="0"/>
    <n v="0"/>
    <n v="0"/>
    <n v="0"/>
    <n v="599.73"/>
    <n v="0"/>
  </r>
  <r>
    <x v="5"/>
    <x v="1"/>
    <x v="0"/>
    <s v="5612200"/>
    <n v="700072"/>
    <s v="Salaries-Other Pat Care Providers-Non-productive"/>
    <s v="Behavioral Medicine-Psych"/>
    <x v="0"/>
    <m/>
    <n v="0"/>
    <n v="1176.92"/>
    <n v="588.46"/>
    <n v="-196.15"/>
    <n v="392.31"/>
    <n v="431.54"/>
    <n v="353.65"/>
    <n v="0"/>
    <n v="0"/>
    <n v="0"/>
    <n v="0"/>
    <n v="392.88"/>
    <n v="3139.61"/>
    <n v="-392.88"/>
  </r>
  <r>
    <x v="6"/>
    <x v="1"/>
    <x v="0"/>
    <s v="5612200"/>
    <n v="713010"/>
    <s v="Benefits-FICA/Medicare"/>
    <s v="Behavioral Medicine-Psych"/>
    <x v="0"/>
    <m/>
    <n v="5332.85"/>
    <n v="4124.6499999999996"/>
    <n v="3696.93"/>
    <n v="3366.91"/>
    <n v="3480.11"/>
    <n v="6702.53"/>
    <n v="11431.53"/>
    <n v="11604.33"/>
    <n v="11586.9"/>
    <n v="6794.56"/>
    <n v="6660.89"/>
    <n v="252.91"/>
    <n v="75035.100000000006"/>
    <n v="6407.9800000000005"/>
  </r>
  <r>
    <x v="6"/>
    <x v="1"/>
    <x v="0"/>
    <s v="5612200"/>
    <n v="713090"/>
    <s v="Benefits-Allocated Amounts"/>
    <s v="Behavioral Medicine-Psych"/>
    <x v="0"/>
    <m/>
    <n v="0"/>
    <n v="0"/>
    <n v="0"/>
    <n v="0"/>
    <n v="0"/>
    <n v="0"/>
    <n v="0"/>
    <n v="0"/>
    <n v="15629.05"/>
    <n v="1315.7"/>
    <n v="1286.1199999999999"/>
    <n v="509.6"/>
    <n v="18740.469999999998"/>
    <n v="776.51999999999987"/>
  </r>
  <r>
    <x v="6"/>
    <x v="1"/>
    <x v="0"/>
    <s v="5612200"/>
    <n v="713092"/>
    <s v="Allocated Benefits-Physician"/>
    <s v="Behavioral Medicine-Psych"/>
    <x v="0"/>
    <m/>
    <n v="10751.34"/>
    <n v="9539.67"/>
    <n v="9608.68"/>
    <n v="9906.2999999999993"/>
    <n v="9872.69"/>
    <n v="10855.86"/>
    <n v="12551.85"/>
    <n v="11987.38"/>
    <n v="390.09"/>
    <n v="7194.61"/>
    <n v="7032.84"/>
    <n v="2786.64"/>
    <n v="102477.95000000001"/>
    <n v="4246.2000000000007"/>
  </r>
  <r>
    <x v="6"/>
    <x v="1"/>
    <x v="0"/>
    <s v="5612200"/>
    <n v="713093"/>
    <s v="Allocated Benefits-Advanced Practice Clinician"/>
    <s v="Behavioral Medicine-Psych"/>
    <x v="0"/>
    <m/>
    <n v="2308.88"/>
    <n v="2048.66"/>
    <n v="2063.4899999999998"/>
    <n v="2127.4"/>
    <n v="2120.1799999999998"/>
    <n v="2331.33"/>
    <n v="2695.54"/>
    <n v="2574.3200000000002"/>
    <n v="-690.88"/>
    <n v="1479.85"/>
    <n v="1446.58"/>
    <n v="573.17999999999995"/>
    <n v="21078.53"/>
    <n v="873.4"/>
  </r>
  <r>
    <x v="0"/>
    <x v="1"/>
    <x v="0"/>
    <s v="5612200"/>
    <n v="740022"/>
    <s v="Education-Physician"/>
    <s v="Behavioral Medicine-Psych"/>
    <x v="0"/>
    <m/>
    <n v="0"/>
    <n v="0"/>
    <n v="0"/>
    <n v="199"/>
    <n v="0"/>
    <n v="0"/>
    <n v="0"/>
    <n v="0"/>
    <n v="650"/>
    <n v="0"/>
    <n v="0"/>
    <n v="0"/>
    <n v="849"/>
    <n v="0"/>
  </r>
  <r>
    <x v="8"/>
    <x v="1"/>
    <x v="0"/>
    <s v="5612200"/>
    <n v="741012"/>
    <s v="Physician Liab Insurance-CHI Program"/>
    <s v="Behavioral Medicine-Psych"/>
    <x v="0"/>
    <m/>
    <n v="2131.5"/>
    <n v="2131.5"/>
    <n v="2131.5"/>
    <n v="2131.5"/>
    <n v="2131.5"/>
    <n v="2131.5"/>
    <n v="2540.2800000000002"/>
    <n v="2540.2800000000002"/>
    <n v="2540.2800000000002"/>
    <n v="2082.84"/>
    <n v="2185.0300000000002"/>
    <n v="1671.14"/>
    <n v="26348.85"/>
    <n v="513.8900000000001"/>
  </r>
  <r>
    <x v="0"/>
    <x v="1"/>
    <x v="0"/>
    <s v="5612200"/>
    <n v="743042"/>
    <s v="Subscriptions-Physician"/>
    <s v="Behavioral Medicine-Psych"/>
    <x v="0"/>
    <m/>
    <n v="0"/>
    <n v="0"/>
    <n v="0"/>
    <n v="0"/>
    <n v="0"/>
    <n v="264.56"/>
    <n v="0"/>
    <n v="0"/>
    <n v="0"/>
    <n v="0"/>
    <n v="0"/>
    <n v="0"/>
    <n v="264.56"/>
    <n v="0"/>
  </r>
  <r>
    <x v="0"/>
    <x v="1"/>
    <x v="0"/>
    <s v="5612200"/>
    <n v="749510"/>
    <s v="Miscellaneous Expenses"/>
    <s v="Behavioral Medicine-Psych"/>
    <x v="0"/>
    <m/>
    <n v="-1387.67"/>
    <n v="-637.16999999999996"/>
    <n v="146.65"/>
    <n v="-143.91"/>
    <n v="104.81"/>
    <n v="-114.56"/>
    <n v="0"/>
    <n v="920.74"/>
    <n v="-745.74"/>
    <n v="18"/>
    <n v="-18"/>
    <n v="0"/>
    <n v="-1856.8500000000001"/>
    <n v="-18"/>
  </r>
  <r>
    <x v="0"/>
    <x v="1"/>
    <x v="0"/>
    <s v="5612200"/>
    <n v="749512"/>
    <s v="Licenses-Physician"/>
    <s v="Behavioral Medicine-Psych"/>
    <x v="0"/>
    <n v="2000"/>
    <n v="0"/>
    <n v="659.5"/>
    <n v="0"/>
    <n v="0"/>
    <n v="0"/>
    <n v="0"/>
    <n v="0"/>
    <n v="0"/>
    <n v="657"/>
    <n v="0"/>
    <n v="0"/>
    <n v="0"/>
    <n v="1316.5"/>
    <n v="0"/>
  </r>
  <r>
    <x v="0"/>
    <x v="1"/>
    <x v="0"/>
    <s v="5612200"/>
    <n v="749513"/>
    <s v="Licenses-Advanced Practice Clinician"/>
    <s v="Behavioral Medicine-Psych"/>
    <x v="0"/>
    <n v="2000"/>
    <n v="0"/>
    <n v="0"/>
    <n v="0"/>
    <n v="0"/>
    <n v="0"/>
    <n v="933"/>
    <n v="0"/>
    <n v="0"/>
    <n v="0"/>
    <n v="0"/>
    <n v="0"/>
    <n v="0"/>
    <n v="933"/>
    <n v="0"/>
  </r>
  <r>
    <x v="0"/>
    <x v="1"/>
    <x v="0"/>
    <s v="5612200"/>
    <n v="749532"/>
    <s v="Travel-Physician"/>
    <s v="Behavioral Medicine-Psych"/>
    <x v="0"/>
    <m/>
    <n v="0"/>
    <n v="0"/>
    <n v="0"/>
    <n v="12"/>
    <n v="0"/>
    <n v="0"/>
    <n v="0"/>
    <n v="0"/>
    <n v="874.09"/>
    <n v="0"/>
    <n v="18"/>
    <n v="0"/>
    <n v="904.09"/>
    <n v="18"/>
  </r>
  <r>
    <x v="0"/>
    <x v="1"/>
    <x v="0"/>
    <s v="5612200"/>
    <n v="749532"/>
    <s v="Vehicle Expense-Physician"/>
    <s v="Behavioral Medicine-Psych"/>
    <x v="0"/>
    <n v="2001"/>
    <n v="117.76"/>
    <n v="134.68"/>
    <n v="0"/>
    <n v="291.66000000000003"/>
    <n v="159.75"/>
    <n v="135.22"/>
    <n v="0"/>
    <n v="163.56"/>
    <n v="88.74"/>
    <n v="0"/>
    <n v="0"/>
    <n v="0"/>
    <n v="1091.3700000000001"/>
    <n v="0"/>
  </r>
  <r>
    <x v="1"/>
    <x v="1"/>
    <x v="0"/>
    <s v="5613200"/>
    <n v="400040"/>
    <s v="Physician Svcs Rev--Medicare"/>
    <s v="Hospitalist-ENT-Otolaryngology"/>
    <x v="0"/>
    <n v="1100"/>
    <n v="0"/>
    <n v="-1272"/>
    <n v="0"/>
    <n v="-795"/>
    <n v="-376"/>
    <n v="-1322"/>
    <n v="0"/>
    <n v="0"/>
    <n v="0"/>
    <n v="-554"/>
    <n v="97"/>
    <n v="0"/>
    <n v="-4222"/>
    <n v="97"/>
  </r>
  <r>
    <x v="1"/>
    <x v="1"/>
    <x v="0"/>
    <s v="5613200"/>
    <n v="400040"/>
    <s v="Physician Svcs Rev--Medicaid"/>
    <s v="Hospitalist-ENT-Otolaryngology"/>
    <x v="0"/>
    <n v="1200"/>
    <n v="-376"/>
    <n v="-1523"/>
    <n v="59"/>
    <n v="-1801"/>
    <n v="756"/>
    <n v="0"/>
    <n v="0"/>
    <n v="0"/>
    <n v="-853"/>
    <n v="-764"/>
    <n v="-268"/>
    <n v="-328"/>
    <n v="-5098"/>
    <n v="60"/>
  </r>
  <r>
    <x v="1"/>
    <x v="1"/>
    <x v="0"/>
    <s v="5613200"/>
    <n v="400040"/>
    <s v="Physician Svcs Rev--Comm Insurance"/>
    <s v="Hospitalist-ENT-Otolaryngology"/>
    <x v="0"/>
    <n v="1300"/>
    <n v="0"/>
    <n v="0"/>
    <n v="0"/>
    <n v="-1182"/>
    <n v="0"/>
    <n v="-1134"/>
    <n v="0"/>
    <n v="0"/>
    <n v="0"/>
    <n v="1134"/>
    <n v="0"/>
    <n v="0"/>
    <n v="-1182"/>
    <n v="0"/>
  </r>
  <r>
    <x v="1"/>
    <x v="1"/>
    <x v="0"/>
    <s v="5613200"/>
    <n v="400040"/>
    <s v="Physician Svcs Rev--BCBS Comm"/>
    <s v="Hospitalist-ENT-Otolaryngology"/>
    <x v="0"/>
    <n v="1301"/>
    <n v="0"/>
    <n v="0"/>
    <n v="0"/>
    <n v="0"/>
    <n v="-279"/>
    <n v="-1606"/>
    <n v="0"/>
    <n v="0"/>
    <n v="0"/>
    <n v="0"/>
    <n v="0"/>
    <n v="0"/>
    <n v="-1885"/>
    <n v="0"/>
  </r>
  <r>
    <x v="1"/>
    <x v="1"/>
    <x v="0"/>
    <s v="5613200"/>
    <n v="400040"/>
    <s v="Physician Svcs Rev--Managed Care"/>
    <s v="Hospitalist-ENT-Otolaryngology"/>
    <x v="0"/>
    <n v="1400"/>
    <n v="108"/>
    <n v="0"/>
    <n v="-2631"/>
    <n v="1182"/>
    <n v="0"/>
    <n v="0"/>
    <n v="-405"/>
    <n v="0"/>
    <n v="0"/>
    <n v="0"/>
    <n v="-518"/>
    <n v="0"/>
    <n v="-2264"/>
    <n v="-518"/>
  </r>
  <r>
    <x v="1"/>
    <x v="1"/>
    <x v="0"/>
    <s v="5613200"/>
    <n v="400040"/>
    <s v="Physician Svcs Rev--Self Pay"/>
    <s v="Hospitalist-ENT-Otolaryngology"/>
    <x v="0"/>
    <n v="1500"/>
    <n v="0"/>
    <n v="0"/>
    <n v="0"/>
    <n v="0"/>
    <n v="-266"/>
    <n v="0"/>
    <n v="0"/>
    <n v="-652"/>
    <n v="652"/>
    <n v="0"/>
    <n v="-376"/>
    <n v="0"/>
    <n v="-642"/>
    <n v="-376"/>
  </r>
  <r>
    <x v="1"/>
    <x v="1"/>
    <x v="0"/>
    <s v="5613200"/>
    <n v="400040"/>
    <s v="Physician Svcs Rev--Other"/>
    <s v="Hospitalist-ENT-Otolaryngology"/>
    <x v="0"/>
    <n v="1700"/>
    <n v="0"/>
    <n v="0"/>
    <n v="-2040"/>
    <n v="-1383"/>
    <n v="0"/>
    <n v="0"/>
    <n v="0"/>
    <n v="108"/>
    <n v="0"/>
    <n v="0"/>
    <n v="0"/>
    <n v="0"/>
    <n v="-3315"/>
    <n v="0"/>
  </r>
  <r>
    <x v="2"/>
    <x v="1"/>
    <x v="0"/>
    <s v="5613200"/>
    <n v="450040"/>
    <s v="Contr Allow--Phys Svcs--Mcare"/>
    <s v="Hospitalist-ENT-Otolaryngology"/>
    <x v="0"/>
    <n v="1100"/>
    <n v="0"/>
    <n v="506.69"/>
    <n v="27.8"/>
    <n v="622.79"/>
    <n v="177.7"/>
    <n v="20.59"/>
    <n v="818.87"/>
    <n v="0"/>
    <n v="0"/>
    <n v="0"/>
    <n v="293.10000000000002"/>
    <n v="27.8"/>
    <n v="2495.34"/>
    <n v="265.3"/>
  </r>
  <r>
    <x v="2"/>
    <x v="1"/>
    <x v="0"/>
    <s v="5613200"/>
    <n v="450040"/>
    <s v="Contr Allow--Phys Svcs--Mcaid"/>
    <s v="Hospitalist-ENT-Otolaryngology"/>
    <x v="0"/>
    <n v="1200"/>
    <n v="485.94"/>
    <n v="283.45"/>
    <n v="-1033.6400000000001"/>
    <n v="292.83"/>
    <n v="880.26"/>
    <n v="303.52999999999997"/>
    <n v="0"/>
    <n v="0"/>
    <n v="968.7"/>
    <n v="1547.36"/>
    <n v="0"/>
    <n v="453.31"/>
    <n v="4181.74"/>
    <n v="-453.31"/>
  </r>
  <r>
    <x v="2"/>
    <x v="1"/>
    <x v="0"/>
    <s v="5613200"/>
    <n v="450040"/>
    <s v="Contr Allow--Phys Svcs--Comm Insurance"/>
    <s v="Hospitalist-ENT-Otolaryngology"/>
    <x v="0"/>
    <n v="1300"/>
    <n v="110.44"/>
    <n v="0"/>
    <n v="0"/>
    <n v="0"/>
    <n v="0"/>
    <n v="303.95999999999998"/>
    <n v="309.33"/>
    <n v="0"/>
    <n v="0"/>
    <n v="0"/>
    <n v="-309.33"/>
    <n v="0"/>
    <n v="414.40000000000003"/>
    <n v="-309.33"/>
  </r>
  <r>
    <x v="2"/>
    <x v="1"/>
    <x v="0"/>
    <s v="5613200"/>
    <n v="450040"/>
    <s v="Contr Allow--Phys Svcs--BCBS Comm Ins"/>
    <s v="Hospitalist-ENT-Otolaryngology"/>
    <x v="0"/>
    <n v="1301"/>
    <n v="0"/>
    <n v="0"/>
    <n v="0"/>
    <n v="0"/>
    <n v="0"/>
    <n v="75.23"/>
    <n v="389.24"/>
    <n v="0"/>
    <n v="0"/>
    <n v="0"/>
    <n v="0"/>
    <n v="0"/>
    <n v="464.47"/>
    <n v="0"/>
  </r>
  <r>
    <x v="2"/>
    <x v="1"/>
    <x v="0"/>
    <s v="5613200"/>
    <n v="450040"/>
    <s v="Contr Allow--Phys Svcs--Managed Care"/>
    <s v="Hospitalist-ENT-Otolaryngology"/>
    <x v="0"/>
    <n v="1400"/>
    <n v="0"/>
    <n v="0"/>
    <n v="363.07"/>
    <n v="493.53"/>
    <n v="0"/>
    <n v="0"/>
    <n v="0"/>
    <n v="139.97"/>
    <n v="0"/>
    <n v="0"/>
    <n v="36.24"/>
    <n v="0"/>
    <n v="1032.81"/>
    <n v="36.24"/>
  </r>
  <r>
    <x v="2"/>
    <x v="1"/>
    <x v="0"/>
    <s v="5613200"/>
    <n v="450040"/>
    <s v="Contr Allow--Phys Svcs--BCBS Mgnd Care"/>
    <s v="Hospitalist-ENT-Otolaryngology"/>
    <x v="0"/>
    <n v="1401"/>
    <n v="-793.44"/>
    <n v="840.18"/>
    <n v="2416.21"/>
    <n v="221.53"/>
    <n v="-903.91"/>
    <n v="766.63"/>
    <n v="-1645.09"/>
    <n v="-1154.55"/>
    <n v="-609.41999999999996"/>
    <n v="-1004.17"/>
    <n v="622.6"/>
    <n v="-184.87"/>
    <n v="-1428.2999999999993"/>
    <n v="807.47"/>
  </r>
  <r>
    <x v="2"/>
    <x v="1"/>
    <x v="0"/>
    <s v="5613200"/>
    <n v="450040"/>
    <s v="Admin Adjust-Phys Svcs-Self Pay"/>
    <s v="Hospitalist-ENT-Otolaryngology"/>
    <x v="0"/>
    <n v="1600"/>
    <n v="0"/>
    <n v="0"/>
    <n v="467"/>
    <n v="0"/>
    <n v="98.42"/>
    <n v="0"/>
    <n v="0"/>
    <n v="388.32"/>
    <n v="-196.83"/>
    <n v="0"/>
    <n v="139.12"/>
    <n v="0"/>
    <n v="896.03"/>
    <n v="139.12"/>
  </r>
  <r>
    <x v="2"/>
    <x v="1"/>
    <x v="0"/>
    <s v="5613200"/>
    <n v="450040"/>
    <s v="Contr Allow--Phys Svcs--Other"/>
    <s v="Hospitalist-ENT-Otolaryngology"/>
    <x v="0"/>
    <n v="1700"/>
    <n v="0"/>
    <n v="0"/>
    <n v="0"/>
    <n v="0"/>
    <n v="0"/>
    <n v="803.39"/>
    <n v="0"/>
    <n v="2040"/>
    <n v="0"/>
    <n v="0"/>
    <n v="0"/>
    <n v="0"/>
    <n v="2843.39"/>
    <n v="0"/>
  </r>
  <r>
    <x v="3"/>
    <x v="1"/>
    <x v="0"/>
    <s v="5613200"/>
    <n v="470040"/>
    <s v="Charity Care-Physician Svcs"/>
    <s v="Hospitalist-ENT-Otolaryngology"/>
    <x v="0"/>
    <m/>
    <n v="-35.21"/>
    <n v="56.98"/>
    <n v="67.42"/>
    <n v="4.6500000000000004"/>
    <n v="-20.440000000000001"/>
    <n v="-4.87"/>
    <n v="-60.79"/>
    <n v="119.58"/>
    <n v="5.34"/>
    <n v="-39.19"/>
    <n v="1.91"/>
    <n v="19.29"/>
    <n v="114.66999999999999"/>
    <n v="-17.38"/>
  </r>
  <r>
    <x v="4"/>
    <x v="1"/>
    <x v="0"/>
    <s v="5613200"/>
    <n v="490010"/>
    <s v="Provision for Bad Debts"/>
    <s v="Hospitalist-ENT-Otolaryngology"/>
    <x v="0"/>
    <m/>
    <n v="563.35"/>
    <n v="605.62"/>
    <n v="286.77999999999997"/>
    <n v="493.18"/>
    <n v="352.63"/>
    <n v="-150.38"/>
    <n v="-351.04"/>
    <n v="-345.71"/>
    <n v="2.92"/>
    <n v="-111.94"/>
    <n v="479.96"/>
    <n v="-1.6"/>
    <n v="1823.77"/>
    <n v="481.56"/>
  </r>
  <r>
    <x v="14"/>
    <x v="1"/>
    <x v="0"/>
    <s v="5613200"/>
    <n v="600050"/>
    <s v="Miscellaneous Revenue"/>
    <s v="Hospitalist-ENT-Otolaryngology"/>
    <x v="0"/>
    <m/>
    <n v="0"/>
    <n v="0"/>
    <n v="-8000"/>
    <n v="-11000"/>
    <n v="-12300"/>
    <n v="-12100"/>
    <n v="-7900"/>
    <n v="-7000"/>
    <n v="0"/>
    <n v="-8000"/>
    <n v="-7000"/>
    <n v="-6000"/>
    <n v="-79300"/>
    <n v="-1000"/>
  </r>
  <r>
    <x v="5"/>
    <x v="1"/>
    <x v="0"/>
    <s v="5613200"/>
    <n v="700022"/>
    <s v="Salaries-Physician-Other"/>
    <s v="Hospitalist-ENT-Otolaryngology"/>
    <x v="0"/>
    <n v="2000"/>
    <n v="0"/>
    <n v="0"/>
    <n v="8000"/>
    <n v="11000"/>
    <n v="12300"/>
    <n v="12100"/>
    <n v="7900"/>
    <n v="7000"/>
    <n v="0"/>
    <n v="8000"/>
    <n v="7000"/>
    <n v="6000"/>
    <n v="79300"/>
    <n v="1000"/>
  </r>
  <r>
    <x v="5"/>
    <x v="1"/>
    <x v="0"/>
    <s v="5613200"/>
    <n v="700022"/>
    <s v="Salaries-Physician-Provider Incentive"/>
    <s v="Hospitalist-ENT-Otolaryngology"/>
    <x v="0"/>
    <n v="4003"/>
    <n v="0"/>
    <n v="0"/>
    <n v="0"/>
    <n v="0"/>
    <n v="5413.42"/>
    <n v="0"/>
    <n v="2740.45"/>
    <n v="-1.6"/>
    <n v="0"/>
    <n v="0"/>
    <n v="387.61"/>
    <n v="0"/>
    <n v="8539.8799999999992"/>
    <n v="387.61"/>
  </r>
  <r>
    <x v="5"/>
    <x v="1"/>
    <x v="0"/>
    <s v="5613200"/>
    <n v="700062"/>
    <s v="Salaries-Physician-Non-productive"/>
    <s v="Hospitalist-ENT-Otolaryngology"/>
    <x v="0"/>
    <m/>
    <n v="890.66"/>
    <n v="887.47"/>
    <n v="882.64"/>
    <n v="882.64"/>
    <n v="876.48"/>
    <n v="874.73"/>
    <n v="871.55"/>
    <n v="864.97"/>
    <n v="865.18"/>
    <n v="861.07"/>
    <n v="858.81"/>
    <n v="854.9"/>
    <n v="10471.099999999999"/>
    <n v="3.9099999999999682"/>
  </r>
  <r>
    <x v="6"/>
    <x v="1"/>
    <x v="0"/>
    <s v="5613200"/>
    <n v="713010"/>
    <s v="Benefits-FICA/Medicare"/>
    <s v="Hospitalist-ENT-Otolaryngology"/>
    <x v="0"/>
    <m/>
    <n v="0"/>
    <n v="0"/>
    <n v="0"/>
    <n v="0"/>
    <n v="414.12"/>
    <n v="0"/>
    <n v="292.89999999999998"/>
    <n v="-83.68"/>
    <n v="0"/>
    <n v="0"/>
    <n v="29.61"/>
    <n v="0"/>
    <n v="652.94999999999993"/>
    <n v="29.61"/>
  </r>
  <r>
    <x v="6"/>
    <x v="1"/>
    <x v="0"/>
    <s v="5613200"/>
    <n v="713090"/>
    <s v="Benefits-Allocated Amounts"/>
    <s v="Hospitalist-ENT-Otolaryngology"/>
    <x v="0"/>
    <m/>
    <n v="39.29"/>
    <n v="19.059999999999999"/>
    <n v="332.51"/>
    <n v="418.13"/>
    <n v="639.94000000000005"/>
    <n v="498.83"/>
    <n v="529.92999999999995"/>
    <n v="354.63"/>
    <n v="273.06"/>
    <n v="296.49"/>
    <n v="379.59"/>
    <n v="353.99"/>
    <n v="4135.45"/>
    <n v="25.599999999999966"/>
  </r>
  <r>
    <x v="8"/>
    <x v="1"/>
    <x v="0"/>
    <s v="5613200"/>
    <n v="741012"/>
    <s v="Physician Liab Insurance-CHI Program"/>
    <s v="Hospitalist-ENT-Otolaryngology"/>
    <x v="0"/>
    <m/>
    <n v="2084.14"/>
    <n v="2084.14"/>
    <n v="2084.14"/>
    <n v="-1694.82"/>
    <n v="189.47"/>
    <n v="189.46"/>
    <n v="189.47"/>
    <n v="189.46"/>
    <n v="189.47"/>
    <n v="189.46"/>
    <n v="189.47"/>
    <n v="189.46"/>
    <n v="6073.3200000000015"/>
    <n v="9.9999999999909051E-3"/>
  </r>
  <r>
    <x v="1"/>
    <x v="1"/>
    <x v="0"/>
    <s v="5615200"/>
    <n v="400029"/>
    <s v="MD Practice Other Rev--Medicare"/>
    <s v="Hospitalist-Urology-Uro"/>
    <x v="0"/>
    <n v="1100"/>
    <n v="0"/>
    <n v="-98"/>
    <n v="-98"/>
    <n v="0"/>
    <n v="0"/>
    <n v="0"/>
    <n v="0"/>
    <n v="-147"/>
    <n v="-196"/>
    <n v="0"/>
    <n v="-49"/>
    <n v="-147"/>
    <n v="-735"/>
    <n v="98"/>
  </r>
  <r>
    <x v="1"/>
    <x v="1"/>
    <x v="0"/>
    <s v="5615200"/>
    <n v="400029"/>
    <s v="MD Practice Other Rev--Medicaid"/>
    <s v="Hospitalist-Urology-Uro"/>
    <x v="0"/>
    <n v="1200"/>
    <n v="0"/>
    <n v="-49"/>
    <n v="-98"/>
    <n v="0"/>
    <n v="0"/>
    <n v="0"/>
    <n v="-49"/>
    <n v="0"/>
    <n v="-98"/>
    <n v="-49"/>
    <n v="0"/>
    <n v="0"/>
    <n v="-343"/>
    <n v="0"/>
  </r>
  <r>
    <x v="1"/>
    <x v="1"/>
    <x v="0"/>
    <s v="5615200"/>
    <n v="400029"/>
    <s v="MD Practice Other Rev--Comm Insurance"/>
    <s v="Hospitalist-Urology-Uro"/>
    <x v="0"/>
    <n v="1300"/>
    <n v="0"/>
    <n v="0"/>
    <n v="0"/>
    <n v="0"/>
    <n v="0"/>
    <n v="0"/>
    <n v="0"/>
    <n v="0"/>
    <n v="0"/>
    <n v="-49"/>
    <n v="0"/>
    <n v="0"/>
    <n v="-49"/>
    <n v="0"/>
  </r>
  <r>
    <x v="1"/>
    <x v="1"/>
    <x v="0"/>
    <s v="5615200"/>
    <n v="400029"/>
    <s v="MD Practice Other Rev--BCBS Comm"/>
    <s v="Hospitalist-Urology-Uro"/>
    <x v="0"/>
    <n v="1301"/>
    <n v="-49"/>
    <n v="0"/>
    <n v="0"/>
    <n v="0"/>
    <n v="0"/>
    <n v="0"/>
    <n v="0"/>
    <n v="0"/>
    <n v="0"/>
    <n v="0"/>
    <n v="-49"/>
    <n v="-49"/>
    <n v="-147"/>
    <n v="0"/>
  </r>
  <r>
    <x v="1"/>
    <x v="1"/>
    <x v="0"/>
    <s v="5615200"/>
    <n v="400029"/>
    <s v="MD Practice Other Rev--Managed Care"/>
    <s v="Hospitalist-Urology-Uro"/>
    <x v="0"/>
    <n v="1400"/>
    <n v="-324"/>
    <n v="0"/>
    <n v="-245"/>
    <n v="-49"/>
    <n v="0"/>
    <n v="0"/>
    <n v="-49"/>
    <n v="-49"/>
    <n v="0"/>
    <n v="0"/>
    <n v="-49"/>
    <n v="-49"/>
    <n v="-814"/>
    <n v="0"/>
  </r>
  <r>
    <x v="1"/>
    <x v="1"/>
    <x v="0"/>
    <s v="5615200"/>
    <n v="400029"/>
    <s v="MD Practice Other Rev--Self Pay"/>
    <s v="Hospitalist-Urology-Uro"/>
    <x v="0"/>
    <n v="1500"/>
    <n v="0"/>
    <n v="0"/>
    <n v="0"/>
    <n v="0"/>
    <n v="0"/>
    <n v="-49"/>
    <n v="49"/>
    <n v="-49"/>
    <n v="49"/>
    <n v="0"/>
    <n v="0"/>
    <n v="0"/>
    <n v="0"/>
    <n v="0"/>
  </r>
  <r>
    <x v="1"/>
    <x v="1"/>
    <x v="0"/>
    <s v="5615200"/>
    <n v="400029"/>
    <s v="MD Practice Other Rev--Other"/>
    <s v="Hospitalist-Urology-Uro"/>
    <x v="0"/>
    <n v="1700"/>
    <n v="0"/>
    <n v="0"/>
    <n v="0"/>
    <n v="0"/>
    <n v="0"/>
    <n v="0"/>
    <n v="0"/>
    <n v="0"/>
    <n v="-49"/>
    <n v="0"/>
    <n v="-422"/>
    <n v="0"/>
    <n v="-471"/>
    <n v="-422"/>
  </r>
  <r>
    <x v="1"/>
    <x v="1"/>
    <x v="0"/>
    <s v="5615200"/>
    <n v="400040"/>
    <s v="Physician Svcs Rev--Medicare"/>
    <s v="Hospitalist-Urology-Uro"/>
    <x v="0"/>
    <n v="1100"/>
    <n v="-5500"/>
    <n v="-5775"/>
    <n v="-9166"/>
    <n v="-2655"/>
    <n v="-5797"/>
    <n v="-3290"/>
    <n v="-8667.75"/>
    <n v="-9381.1"/>
    <n v="-16980"/>
    <n v="-10970.4"/>
    <n v="-5383"/>
    <n v="-8033"/>
    <n v="-91598.25"/>
    <n v="2650"/>
  </r>
  <r>
    <x v="1"/>
    <x v="1"/>
    <x v="0"/>
    <s v="5615200"/>
    <n v="400040"/>
    <s v="Physician Svcs Rev--Medicaid"/>
    <s v="Hospitalist-Urology-Uro"/>
    <x v="0"/>
    <n v="1200"/>
    <n v="-4521"/>
    <n v="-1528"/>
    <n v="-6716"/>
    <n v="-3089"/>
    <n v="-886"/>
    <n v="-2201"/>
    <n v="-1778"/>
    <n v="-2175"/>
    <n v="-2916"/>
    <n v="-5847"/>
    <n v="-6297.5"/>
    <n v="-1181"/>
    <n v="-39135.5"/>
    <n v="-5116.5"/>
  </r>
  <r>
    <x v="1"/>
    <x v="1"/>
    <x v="0"/>
    <s v="5615200"/>
    <n v="400040"/>
    <s v="Physician Svcs Rev--Comm Insurance"/>
    <s v="Hospitalist-Urology-Uro"/>
    <x v="0"/>
    <n v="1300"/>
    <n v="0"/>
    <n v="0"/>
    <n v="-897"/>
    <n v="0"/>
    <n v="0"/>
    <n v="0"/>
    <n v="0"/>
    <n v="0"/>
    <n v="0"/>
    <n v="-878"/>
    <n v="0"/>
    <n v="0"/>
    <n v="-1775"/>
    <n v="0"/>
  </r>
  <r>
    <x v="1"/>
    <x v="1"/>
    <x v="0"/>
    <s v="5615200"/>
    <n v="400040"/>
    <s v="Physician Svcs Rev--BCBS Comm"/>
    <s v="Hospitalist-Urology-Uro"/>
    <x v="0"/>
    <n v="1301"/>
    <n v="-2085"/>
    <n v="0"/>
    <n v="-2062"/>
    <n v="0"/>
    <n v="-376"/>
    <n v="0"/>
    <n v="-913"/>
    <n v="-557"/>
    <n v="-1254"/>
    <n v="0"/>
    <n v="-2806"/>
    <n v="-821"/>
    <n v="-10874"/>
    <n v="-1985"/>
  </r>
  <r>
    <x v="1"/>
    <x v="1"/>
    <x v="0"/>
    <s v="5615200"/>
    <n v="400040"/>
    <s v="Physician Svcs Rev--Managed Care"/>
    <s v="Hospitalist-Urology-Uro"/>
    <x v="0"/>
    <n v="1400"/>
    <n v="-1760"/>
    <n v="-4665"/>
    <n v="-13321"/>
    <n v="-2613"/>
    <n v="-2563"/>
    <n v="-613"/>
    <n v="-1945"/>
    <n v="-3542"/>
    <n v="-3439"/>
    <n v="-3094"/>
    <n v="-5717"/>
    <n v="-3022"/>
    <n v="-46294"/>
    <n v="-2695"/>
  </r>
  <r>
    <x v="1"/>
    <x v="1"/>
    <x v="0"/>
    <s v="5615200"/>
    <n v="400040"/>
    <s v="Physician Svcs Rev--Self Pay"/>
    <s v="Hospitalist-Urology-Uro"/>
    <x v="0"/>
    <n v="1500"/>
    <n v="-6058"/>
    <n v="-8746"/>
    <n v="-10634"/>
    <n v="-2975"/>
    <n v="-5775"/>
    <n v="-9946"/>
    <n v="-8418"/>
    <n v="-20946"/>
    <n v="-7235"/>
    <n v="-5925"/>
    <n v="-16287"/>
    <n v="-11261"/>
    <n v="-114206"/>
    <n v="-5026"/>
  </r>
  <r>
    <x v="1"/>
    <x v="1"/>
    <x v="0"/>
    <s v="5615200"/>
    <n v="400040"/>
    <s v="Physician Svcs Rev--Other"/>
    <s v="Hospitalist-Urology-Uro"/>
    <x v="0"/>
    <n v="1700"/>
    <n v="-2080"/>
    <n v="-108"/>
    <n v="-4984"/>
    <n v="0"/>
    <n v="-3050"/>
    <n v="-707"/>
    <n v="-1114"/>
    <n v="-671"/>
    <n v="-2"/>
    <n v="0"/>
    <n v="-2379"/>
    <n v="-1566"/>
    <n v="-16661"/>
    <n v="-813"/>
  </r>
  <r>
    <x v="2"/>
    <x v="1"/>
    <x v="0"/>
    <s v="5615200"/>
    <n v="450029"/>
    <s v="Contr Allow--MD Other-Medicare"/>
    <s v="Hospitalist-Urology-Uro"/>
    <x v="0"/>
    <n v="1100"/>
    <n v="0"/>
    <n v="62.54"/>
    <n v="0"/>
    <n v="31.38"/>
    <n v="0"/>
    <n v="0"/>
    <n v="0"/>
    <n v="23.11"/>
    <n v="51.33"/>
    <n v="85.49"/>
    <n v="23.22"/>
    <n v="0"/>
    <n v="277.07000000000005"/>
    <n v="23.22"/>
  </r>
  <r>
    <x v="2"/>
    <x v="1"/>
    <x v="0"/>
    <s v="5615200"/>
    <n v="450029"/>
    <s v="Contr Allow--MD Other-Medicaid"/>
    <s v="Hospitalist-Urology-Uro"/>
    <x v="0"/>
    <n v="1200"/>
    <n v="0"/>
    <n v="38.090000000000003"/>
    <n v="38.71"/>
    <n v="36.83"/>
    <n v="-36.83"/>
    <n v="0"/>
    <n v="86.71"/>
    <n v="0"/>
    <n v="38.71"/>
    <n v="86.17"/>
    <n v="38.090000000000003"/>
    <n v="0"/>
    <n v="326.48"/>
    <n v="38.090000000000003"/>
  </r>
  <r>
    <x v="2"/>
    <x v="1"/>
    <x v="0"/>
    <s v="5615200"/>
    <n v="450029"/>
    <s v="Contr Allow--MD Other-Comm Insurance"/>
    <s v="Hospitalist-Urology-Uro"/>
    <x v="0"/>
    <n v="1300"/>
    <n v="0"/>
    <n v="0"/>
    <n v="0"/>
    <n v="0"/>
    <n v="0"/>
    <n v="17.690000000000001"/>
    <n v="0"/>
    <n v="0"/>
    <n v="0"/>
    <n v="12.24"/>
    <n v="0"/>
    <n v="0"/>
    <n v="29.93"/>
    <n v="0"/>
  </r>
  <r>
    <x v="2"/>
    <x v="1"/>
    <x v="0"/>
    <s v="5615200"/>
    <n v="450029"/>
    <s v="Contr Allow--MD Other BCBS Comm"/>
    <s v="Hospitalist-Urology-Uro"/>
    <x v="0"/>
    <n v="1301"/>
    <n v="13.37"/>
    <n v="0"/>
    <n v="0"/>
    <n v="0"/>
    <n v="0"/>
    <n v="0"/>
    <n v="0"/>
    <n v="0"/>
    <n v="0"/>
    <n v="0"/>
    <n v="0"/>
    <n v="24.48"/>
    <n v="37.85"/>
    <n v="-24.48"/>
  </r>
  <r>
    <x v="2"/>
    <x v="1"/>
    <x v="0"/>
    <s v="5615200"/>
    <n v="450029"/>
    <s v="Contr Allow--MD Other-Managed Care"/>
    <s v="Hospitalist-Urology-Uro"/>
    <x v="0"/>
    <n v="1400"/>
    <n v="0"/>
    <n v="284.38"/>
    <n v="17.04"/>
    <n v="36.340000000000003"/>
    <n v="52.88"/>
    <n v="0"/>
    <n v="16.670000000000002"/>
    <n v="0"/>
    <n v="16.329999999999998"/>
    <n v="14.93"/>
    <n v="16.670000000000002"/>
    <n v="0"/>
    <n v="455.24"/>
    <n v="16.670000000000002"/>
  </r>
  <r>
    <x v="2"/>
    <x v="1"/>
    <x v="0"/>
    <s v="5615200"/>
    <n v="450029"/>
    <s v="Admin Adjust-MD Other-Self Pay"/>
    <s v="Hospitalist-Urology-Uro"/>
    <x v="0"/>
    <n v="1600"/>
    <n v="0"/>
    <n v="0"/>
    <n v="0"/>
    <n v="0"/>
    <n v="0"/>
    <n v="18.13"/>
    <n v="-18.13"/>
    <n v="18.13"/>
    <n v="-18.13"/>
    <n v="0"/>
    <n v="0"/>
    <n v="0"/>
    <n v="0"/>
    <n v="0"/>
  </r>
  <r>
    <x v="2"/>
    <x v="1"/>
    <x v="0"/>
    <s v="5615200"/>
    <n v="450029"/>
    <s v="Contr Allow--MD Other-Other"/>
    <s v="Hospitalist-Urology-Uro"/>
    <x v="0"/>
    <n v="1700"/>
    <n v="0"/>
    <n v="30.98"/>
    <n v="0"/>
    <n v="0"/>
    <n v="0"/>
    <n v="0"/>
    <n v="0"/>
    <n v="0"/>
    <n v="0"/>
    <n v="0"/>
    <n v="273.41000000000003"/>
    <n v="45.38"/>
    <n v="349.77000000000004"/>
    <n v="228.03000000000003"/>
  </r>
  <r>
    <x v="2"/>
    <x v="1"/>
    <x v="0"/>
    <s v="5615200"/>
    <n v="450040"/>
    <s v="Contr Allow--Phys Svcs--Mcare"/>
    <s v="Hospitalist-Urology-Uro"/>
    <x v="0"/>
    <n v="1100"/>
    <n v="5249.34"/>
    <n v="4750.1000000000004"/>
    <n v="584.61"/>
    <n v="5520.52"/>
    <n v="1430.3"/>
    <n v="3050.39"/>
    <n v="4629.2299999999996"/>
    <n v="5326.61"/>
    <n v="6720.43"/>
    <n v="6682.26"/>
    <n v="8586.2800000000007"/>
    <n v="4172.34"/>
    <n v="56702.41"/>
    <n v="4413.9400000000005"/>
  </r>
  <r>
    <x v="2"/>
    <x v="1"/>
    <x v="0"/>
    <s v="5615200"/>
    <n v="450040"/>
    <s v="Contr Allow--Phys Svcs--Mcaid"/>
    <s v="Hospitalist-Urology-Uro"/>
    <x v="0"/>
    <n v="1200"/>
    <n v="421.67"/>
    <n v="4302.3500000000004"/>
    <n v="2036.34"/>
    <n v="4991.79"/>
    <n v="90.06"/>
    <n v="1728.13"/>
    <n v="1649.99"/>
    <n v="773.01"/>
    <n v="2409.08"/>
    <n v="4943.42"/>
    <n v="3488.03"/>
    <n v="2799.94"/>
    <n v="29633.809999999994"/>
    <n v="688.09000000000015"/>
  </r>
  <r>
    <x v="2"/>
    <x v="1"/>
    <x v="0"/>
    <s v="5615200"/>
    <n v="450040"/>
    <s v="Contr Allow--Phys Svcs--Comm Insurance"/>
    <s v="Hospitalist-Urology-Uro"/>
    <x v="0"/>
    <n v="1300"/>
    <n v="0"/>
    <n v="0"/>
    <n v="430.86"/>
    <n v="0"/>
    <n v="0"/>
    <n v="147.01"/>
    <n v="0"/>
    <n v="0"/>
    <n v="0"/>
    <n v="494.1"/>
    <n v="0"/>
    <n v="0"/>
    <n v="1071.97"/>
    <n v="0"/>
  </r>
  <r>
    <x v="2"/>
    <x v="1"/>
    <x v="0"/>
    <s v="5615200"/>
    <n v="450040"/>
    <s v="Contr Allow--Phys Svcs--BCBS Comm Ins"/>
    <s v="Hospitalist-Urology-Uro"/>
    <x v="0"/>
    <n v="1301"/>
    <n v="317.70999999999998"/>
    <n v="94.51"/>
    <n v="150.16"/>
    <n v="817.26"/>
    <n v="0"/>
    <n v="91.48"/>
    <n v="86.92"/>
    <n v="135"/>
    <n v="441.5"/>
    <n v="421.73"/>
    <n v="0"/>
    <n v="922.97"/>
    <n v="3479.24"/>
    <n v="-922.97"/>
  </r>
  <r>
    <x v="2"/>
    <x v="1"/>
    <x v="0"/>
    <s v="5615200"/>
    <n v="450040"/>
    <s v="Contr Allow--Phys Svcs--Managed Care"/>
    <s v="Hospitalist-Urology-Uro"/>
    <x v="0"/>
    <n v="1400"/>
    <n v="185.56"/>
    <n v="-340.47"/>
    <n v="747.35"/>
    <n v="2844.93"/>
    <n v="828.52"/>
    <n v="1671.35"/>
    <n v="459.79"/>
    <n v="1360.59"/>
    <n v="1593.97"/>
    <n v="723.14"/>
    <n v="2577.21"/>
    <n v="220.85"/>
    <n v="12872.789999999999"/>
    <n v="2356.36"/>
  </r>
  <r>
    <x v="2"/>
    <x v="1"/>
    <x v="0"/>
    <s v="5615200"/>
    <n v="450040"/>
    <s v="Contr Allow--Phys Svcs--BCBS Mgnd Care"/>
    <s v="Hospitalist-Urology-Uro"/>
    <x v="0"/>
    <n v="1401"/>
    <n v="189.45"/>
    <n v="-2540.0100000000002"/>
    <n v="6438.25"/>
    <n v="-8804.39"/>
    <n v="4991.3"/>
    <n v="-2822.4"/>
    <n v="1957.99"/>
    <n v="3154.27"/>
    <n v="171.87"/>
    <n v="22.49"/>
    <n v="-3727.28"/>
    <n v="765.93"/>
    <n v="-202.53000000000054"/>
    <n v="-4493.21"/>
  </r>
  <r>
    <x v="2"/>
    <x v="1"/>
    <x v="0"/>
    <s v="5615200"/>
    <n v="450040"/>
    <s v="Prompt Pay Disc-Phys Svcs-Self Pay"/>
    <s v="Hospitalist-Urology-Uro"/>
    <x v="0"/>
    <n v="1500"/>
    <n v="0"/>
    <n v="0"/>
    <n v="0"/>
    <n v="0"/>
    <n v="0"/>
    <n v="0"/>
    <n v="0"/>
    <n v="0"/>
    <n v="0"/>
    <n v="0"/>
    <n v="151.97999999999999"/>
    <n v="0"/>
    <n v="151.97999999999999"/>
    <n v="151.97999999999999"/>
  </r>
  <r>
    <x v="2"/>
    <x v="1"/>
    <x v="0"/>
    <s v="5615200"/>
    <n v="450040"/>
    <s v="Admin Adjust-Phys Svcs-Self Pay"/>
    <s v="Hospitalist-Urology-Uro"/>
    <x v="0"/>
    <n v="1600"/>
    <n v="169.46"/>
    <n v="192.77"/>
    <n v="287.69"/>
    <n v="14.81"/>
    <n v="0"/>
    <n v="442.52"/>
    <n v="-381.84"/>
    <n v="562.77"/>
    <n v="-330.3"/>
    <n v="1382.92"/>
    <n v="-684.73"/>
    <n v="-210.16"/>
    <n v="1445.91"/>
    <n v="-474.57000000000005"/>
  </r>
  <r>
    <x v="2"/>
    <x v="1"/>
    <x v="0"/>
    <s v="5615200"/>
    <n v="450040"/>
    <s v="Contr Allow--Phys Svcs--Other"/>
    <s v="Hospitalist-Urology-Uro"/>
    <x v="0"/>
    <n v="1700"/>
    <n v="181.19"/>
    <n v="1538.17"/>
    <n v="2284.7800000000002"/>
    <n v="837.14"/>
    <n v="1642.82"/>
    <n v="0"/>
    <n v="-203.14"/>
    <n v="0"/>
    <n v="588.39"/>
    <n v="350.76"/>
    <n v="2522.81"/>
    <n v="1368.99"/>
    <n v="11111.91"/>
    <n v="1153.82"/>
  </r>
  <r>
    <x v="3"/>
    <x v="1"/>
    <x v="0"/>
    <s v="5615200"/>
    <n v="470040"/>
    <s v="Charity Care-Physician Svcs"/>
    <s v="Hospitalist-Urology-Uro"/>
    <x v="0"/>
    <m/>
    <n v="-35.15"/>
    <n v="15.37"/>
    <n v="530.11"/>
    <n v="-271.06"/>
    <n v="194.35"/>
    <n v="-75.540000000000006"/>
    <n v="42.44"/>
    <n v="52.28"/>
    <n v="249.57"/>
    <n v="179.38"/>
    <n v="23.32"/>
    <n v="724.71"/>
    <n v="1629.78"/>
    <n v="-701.39"/>
  </r>
  <r>
    <x v="4"/>
    <x v="1"/>
    <x v="0"/>
    <s v="5615200"/>
    <n v="490010"/>
    <s v="Provision for Bad Debts"/>
    <s v="Hospitalist-Urology-Uro"/>
    <x v="0"/>
    <m/>
    <n v="148.13"/>
    <n v="-418.06"/>
    <n v="4319.5"/>
    <n v="-1418.1"/>
    <n v="588.59"/>
    <n v="-327.02"/>
    <n v="452.27"/>
    <n v="176.68"/>
    <n v="232.82"/>
    <n v="522.04"/>
    <n v="81.260000000000005"/>
    <n v="-428.87"/>
    <n v="3929.2400000000007"/>
    <n v="510.13"/>
  </r>
  <r>
    <x v="5"/>
    <x v="1"/>
    <x v="0"/>
    <s v="5615200"/>
    <n v="700022"/>
    <s v="Salaries-Physician-Productive"/>
    <s v="Hospitalist-Urology-Uro"/>
    <x v="0"/>
    <m/>
    <n v="25810.89"/>
    <n v="22115.38"/>
    <n v="18269.22"/>
    <n v="28704.57"/>
    <n v="21153.84"/>
    <n v="17211.53"/>
    <n v="23716.95"/>
    <n v="18563.400000000001"/>
    <n v="20221.93"/>
    <n v="21184.87"/>
    <n v="25928.5"/>
    <n v="18269.22"/>
    <n v="261150.3"/>
    <n v="7659.2799999999988"/>
  </r>
  <r>
    <x v="5"/>
    <x v="1"/>
    <x v="0"/>
    <s v="5615200"/>
    <n v="700022"/>
    <s v="Salaries-Physician-Provider Incentive"/>
    <s v="Hospitalist-Urology-Uro"/>
    <x v="0"/>
    <n v="4003"/>
    <n v="23730"/>
    <n v="500"/>
    <n v="0"/>
    <n v="0"/>
    <n v="20975"/>
    <n v="0"/>
    <n v="11486.53"/>
    <n v="494.01"/>
    <n v="0"/>
    <n v="0"/>
    <n v="21989.65"/>
    <n v="0"/>
    <n v="79175.19"/>
    <n v="21989.65"/>
  </r>
  <r>
    <x v="5"/>
    <x v="1"/>
    <x v="0"/>
    <s v="5615200"/>
    <n v="700062"/>
    <s v="Salaries-Physician-Non-productive"/>
    <s v="Hospitalist-Urology-Uro"/>
    <x v="0"/>
    <m/>
    <n v="7381.24"/>
    <n v="1561.6"/>
    <n v="4430.54"/>
    <n v="4935.5"/>
    <n v="5437.6"/>
    <n v="4206.47"/>
    <n v="-6241.5"/>
    <n v="7322.1"/>
    <n v="2016.2"/>
    <n v="1833.2"/>
    <n v="-30535.7"/>
    <n v="11183.14"/>
    <n v="13530.390000000003"/>
    <n v="-41718.839999999997"/>
  </r>
  <r>
    <x v="6"/>
    <x v="1"/>
    <x v="0"/>
    <s v="5615200"/>
    <n v="713010"/>
    <s v="Benefits-FICA/Medicare"/>
    <s v="Hospitalist-Urology-Uro"/>
    <x v="0"/>
    <m/>
    <n v="789.21"/>
    <n v="246.83"/>
    <n v="268.13"/>
    <n v="403.87"/>
    <n v="606.28"/>
    <n v="905.35"/>
    <n v="3040.79"/>
    <n v="1050.19"/>
    <n v="1486.44"/>
    <n v="1557.22"/>
    <n v="2303.37"/>
    <n v="268.33"/>
    <n v="12926.01"/>
    <n v="2035.04"/>
  </r>
  <r>
    <x v="6"/>
    <x v="1"/>
    <x v="0"/>
    <s v="5615200"/>
    <n v="713090"/>
    <s v="Benefits-Allocated Amounts"/>
    <s v="Hospitalist-Urology-Uro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15200"/>
    <n v="713092"/>
    <s v="Allocated Benefits-Physician"/>
    <s v="Hospitalist-Urology-Uro"/>
    <x v="0"/>
    <m/>
    <n v="3165.83"/>
    <n v="1619.33"/>
    <n v="1742.97"/>
    <n v="2065.7199999999998"/>
    <n v="2586.54"/>
    <n v="1759.5"/>
    <n v="2474.02"/>
    <n v="2304.35"/>
    <n v="2462.6799999999998"/>
    <n v="2087.58"/>
    <n v="1805.23"/>
    <n v="2270.9899999999998"/>
    <n v="26344.739999999998"/>
    <n v="-465.75999999999976"/>
  </r>
  <r>
    <x v="8"/>
    <x v="1"/>
    <x v="0"/>
    <s v="5615200"/>
    <n v="741012"/>
    <s v="Physician Liab Insurance-CHI Program"/>
    <s v="Hospitalist-Urology-Uro"/>
    <x v="0"/>
    <m/>
    <n v="947.33"/>
    <n v="947.33"/>
    <n v="947.33"/>
    <n v="947.33"/>
    <n v="947.34"/>
    <n v="947.33"/>
    <n v="947.34"/>
    <n v="947.33"/>
    <n v="947.34"/>
    <n v="947.33"/>
    <n v="947.34"/>
    <n v="947.33"/>
    <n v="11368"/>
    <n v="9.9999999999909051E-3"/>
  </r>
  <r>
    <x v="1"/>
    <x v="1"/>
    <x v="0"/>
    <s v="5616200"/>
    <n v="400040"/>
    <s v="Physician Svcs Rev--Medicare"/>
    <s v="Hosp-Phys Med/Rehab-Physiatry"/>
    <x v="0"/>
    <n v="1100"/>
    <n v="0"/>
    <n v="0"/>
    <n v="0"/>
    <n v="-211"/>
    <n v="-17661"/>
    <n v="0"/>
    <n v="-51590"/>
    <n v="-44003"/>
    <n v="-41849"/>
    <n v="-17681"/>
    <n v="-5889"/>
    <n v="-9987"/>
    <n v="-188871"/>
    <n v="4098"/>
  </r>
  <r>
    <x v="1"/>
    <x v="1"/>
    <x v="0"/>
    <s v="5616200"/>
    <n v="400040"/>
    <s v="Physician Svcs Rev--Medicaid"/>
    <s v="Hosp-Phys Med/Rehab-Physiatry"/>
    <x v="0"/>
    <n v="1200"/>
    <n v="0"/>
    <n v="0"/>
    <n v="-952"/>
    <n v="-2584"/>
    <n v="-1113"/>
    <n v="0"/>
    <n v="-10351"/>
    <n v="-8238"/>
    <n v="-10118"/>
    <n v="-5124"/>
    <n v="-1740"/>
    <n v="0"/>
    <n v="-40220"/>
    <n v="-1740"/>
  </r>
  <r>
    <x v="1"/>
    <x v="1"/>
    <x v="0"/>
    <s v="5616200"/>
    <n v="400040"/>
    <s v="Physician Svcs Rev--Comm Insurance"/>
    <s v="Hosp-Phys Med/Rehab-Physiatry"/>
    <x v="0"/>
    <n v="1300"/>
    <n v="0"/>
    <n v="0"/>
    <n v="0"/>
    <n v="0"/>
    <n v="295"/>
    <n v="0"/>
    <n v="-4254"/>
    <n v="-3775"/>
    <n v="1931"/>
    <n v="0"/>
    <n v="0"/>
    <n v="0"/>
    <n v="-5803"/>
    <n v="0"/>
  </r>
  <r>
    <x v="1"/>
    <x v="1"/>
    <x v="0"/>
    <s v="5616200"/>
    <n v="400040"/>
    <s v="Physician Svcs Rev--BCBS Comm"/>
    <s v="Hosp-Phys Med/Rehab-Physiatry"/>
    <x v="0"/>
    <n v="1301"/>
    <n v="0"/>
    <n v="0"/>
    <n v="0"/>
    <n v="0"/>
    <n v="0"/>
    <n v="0"/>
    <n v="0"/>
    <n v="-3680"/>
    <n v="0"/>
    <n v="-3697"/>
    <n v="0"/>
    <n v="-1740"/>
    <n v="-9117"/>
    <n v="1740"/>
  </r>
  <r>
    <x v="1"/>
    <x v="1"/>
    <x v="0"/>
    <s v="5616200"/>
    <n v="400040"/>
    <s v="Physician Svcs Rev--Managed Care"/>
    <s v="Hosp-Phys Med/Rehab-Physiatry"/>
    <x v="0"/>
    <n v="1400"/>
    <n v="0"/>
    <n v="-295"/>
    <n v="0"/>
    <n v="2979"/>
    <n v="-3150"/>
    <n v="0"/>
    <n v="-1967"/>
    <n v="-5796"/>
    <n v="-17080"/>
    <n v="-2714"/>
    <n v="557"/>
    <n v="-601"/>
    <n v="-28067"/>
    <n v="1158"/>
  </r>
  <r>
    <x v="1"/>
    <x v="1"/>
    <x v="0"/>
    <s v="5616200"/>
    <n v="400040"/>
    <s v="Physician Svcs Rev--Self Pay"/>
    <s v="Hosp-Phys Med/Rehab-Physiatry"/>
    <x v="0"/>
    <n v="1500"/>
    <n v="0"/>
    <n v="-295"/>
    <n v="952"/>
    <n v="-952"/>
    <n v="-1740"/>
    <n v="0"/>
    <n v="1740"/>
    <n v="-12092"/>
    <n v="-11416"/>
    <n v="-3480"/>
    <n v="-7220"/>
    <n v="-3976"/>
    <n v="-38479"/>
    <n v="-3244"/>
  </r>
  <r>
    <x v="1"/>
    <x v="1"/>
    <x v="0"/>
    <s v="5616200"/>
    <n v="400040"/>
    <s v="Physician Svcs Rev--Other"/>
    <s v="Hosp-Phys Med/Rehab-Physiatry"/>
    <x v="0"/>
    <n v="1700"/>
    <n v="0"/>
    <n v="0"/>
    <n v="0"/>
    <n v="0"/>
    <n v="-1311"/>
    <n v="0"/>
    <n v="-8573"/>
    <n v="-1244"/>
    <n v="-3993"/>
    <n v="2053"/>
    <n v="0"/>
    <n v="-3636"/>
    <n v="-16704"/>
    <n v="3636"/>
  </r>
  <r>
    <x v="2"/>
    <x v="1"/>
    <x v="0"/>
    <s v="5616200"/>
    <n v="450040"/>
    <s v="Contr Allow--Phys Svcs--Mcare"/>
    <s v="Hosp-Phys Med/Rehab-Physiatry"/>
    <x v="0"/>
    <n v="1100"/>
    <n v="394.17"/>
    <n v="0"/>
    <n v="-1449.16"/>
    <n v="-600.14"/>
    <n v="966.84"/>
    <n v="1449.16"/>
    <n v="-39.299999999999997"/>
    <n v="3048.55"/>
    <n v="78380.289999999994"/>
    <n v="20225.45"/>
    <n v="12344.6"/>
    <n v="3772.17"/>
    <n v="118492.62999999999"/>
    <n v="8572.43"/>
  </r>
  <r>
    <x v="2"/>
    <x v="1"/>
    <x v="0"/>
    <s v="5616200"/>
    <n v="450040"/>
    <s v="Contr Allow--Phys Svcs--Mcaid"/>
    <s v="Hosp-Phys Med/Rehab-Physiatry"/>
    <x v="0"/>
    <n v="1200"/>
    <n v="1039.1300000000001"/>
    <n v="2133.92"/>
    <n v="0"/>
    <n v="2498.41"/>
    <n v="979.13"/>
    <n v="-115.61"/>
    <n v="428.01"/>
    <n v="0"/>
    <n v="12449.12"/>
    <n v="7986.11"/>
    <n v="4968.3500000000004"/>
    <n v="0"/>
    <n v="32366.57"/>
    <n v="4968.3500000000004"/>
  </r>
  <r>
    <x v="2"/>
    <x v="1"/>
    <x v="0"/>
    <s v="5616200"/>
    <n v="450040"/>
    <s v="Contr Allow--Phys Svcs--Comm Insurance"/>
    <s v="Hosp-Phys Med/Rehab-Physiatry"/>
    <x v="0"/>
    <n v="1300"/>
    <n v="307.68"/>
    <n v="0"/>
    <n v="51.53"/>
    <n v="0"/>
    <n v="0"/>
    <n v="0"/>
    <n v="0"/>
    <n v="0"/>
    <n v="1048.23"/>
    <n v="0"/>
    <n v="0"/>
    <n v="1149.03"/>
    <n v="2556.4700000000003"/>
    <n v="-1149.03"/>
  </r>
  <r>
    <x v="2"/>
    <x v="1"/>
    <x v="0"/>
    <s v="5616200"/>
    <n v="450040"/>
    <s v="Contr Allow--Phys Svcs--BCBS Comm Ins"/>
    <s v="Hosp-Phys Med/Rehab-Physiatry"/>
    <x v="0"/>
    <n v="1301"/>
    <n v="0"/>
    <n v="0"/>
    <n v="0"/>
    <n v="0"/>
    <n v="0"/>
    <n v="0"/>
    <n v="0"/>
    <n v="0"/>
    <n v="519.63"/>
    <n v="568.17999999999995"/>
    <n v="329.2"/>
    <n v="422.53"/>
    <n v="1839.54"/>
    <n v="-93.329999999999984"/>
  </r>
  <r>
    <x v="2"/>
    <x v="1"/>
    <x v="0"/>
    <s v="5616200"/>
    <n v="450040"/>
    <s v="Contr Allow--Phys Svcs--Managed Care"/>
    <s v="Hosp-Phys Med/Rehab-Physiatry"/>
    <x v="0"/>
    <n v="1400"/>
    <n v="1002.17"/>
    <n v="70.819999999999993"/>
    <n v="105.19"/>
    <n v="-1252.94"/>
    <n v="0"/>
    <n v="0"/>
    <n v="48.87"/>
    <n v="-150.43"/>
    <n v="4443.75"/>
    <n v="3973.77"/>
    <n v="647.91999999999996"/>
    <n v="699.88"/>
    <n v="9589"/>
    <n v="-51.960000000000036"/>
  </r>
  <r>
    <x v="2"/>
    <x v="1"/>
    <x v="0"/>
    <s v="5616200"/>
    <n v="450040"/>
    <s v="Contr Allow--Phys Svcs--BCBS Mgnd Care"/>
    <s v="Hosp-Phys Med/Rehab-Physiatry"/>
    <x v="0"/>
    <n v="1401"/>
    <n v="-3416.76"/>
    <n v="-712.41"/>
    <n v="1081.6300000000001"/>
    <n v="-2375.5500000000002"/>
    <n v="9887.0499999999993"/>
    <n v="-784.8"/>
    <n v="40208.29"/>
    <n v="37114.300000000003"/>
    <n v="-39502.559999999998"/>
    <n v="-15256.94"/>
    <n v="-8962.15"/>
    <n v="-153.79"/>
    <n v="17126.309999999998"/>
    <n v="-8808.3599999999988"/>
  </r>
  <r>
    <x v="2"/>
    <x v="1"/>
    <x v="0"/>
    <s v="5616200"/>
    <n v="450040"/>
    <s v="Prompt Pay Disc-Phys Svcs-Self Pay"/>
    <s v="Hosp-Phys Med/Rehab-Physiatry"/>
    <x v="0"/>
    <n v="1500"/>
    <n v="0"/>
    <n v="0"/>
    <n v="0"/>
    <n v="0"/>
    <n v="0"/>
    <n v="0"/>
    <n v="0"/>
    <n v="0"/>
    <n v="-113.27"/>
    <n v="0"/>
    <n v="0"/>
    <n v="0"/>
    <n v="-113.27"/>
    <n v="0"/>
  </r>
  <r>
    <x v="2"/>
    <x v="1"/>
    <x v="0"/>
    <s v="5616200"/>
    <n v="450040"/>
    <s v="Admin Adjust-Phys Svcs-Self Pay"/>
    <s v="Hosp-Phys Med/Rehab-Physiatry"/>
    <x v="0"/>
    <n v="1600"/>
    <n v="0.05"/>
    <n v="-1882.55"/>
    <n v="-343.97"/>
    <n v="476.94"/>
    <n v="643.79999999999995"/>
    <n v="0"/>
    <n v="-748.87"/>
    <n v="4588.6400000000003"/>
    <n v="4204.59"/>
    <n v="276.60000000000002"/>
    <n v="1538.82"/>
    <n v="1821.4"/>
    <n v="10575.45"/>
    <n v="-282.58000000000015"/>
  </r>
  <r>
    <x v="2"/>
    <x v="1"/>
    <x v="0"/>
    <s v="5616200"/>
    <n v="450040"/>
    <s v="Contr Allow--Phys Svcs--Other"/>
    <s v="Hosp-Phys Med/Rehab-Physiatry"/>
    <x v="0"/>
    <n v="1700"/>
    <n v="0"/>
    <n v="225.53"/>
    <n v="0"/>
    <n v="0"/>
    <n v="148.54"/>
    <n v="0"/>
    <n v="0"/>
    <n v="1095.8499999999999"/>
    <n v="255.99"/>
    <n v="783.66"/>
    <n v="0"/>
    <n v="2289.83"/>
    <n v="4799.3999999999996"/>
    <n v="-2289.83"/>
  </r>
  <r>
    <x v="3"/>
    <x v="1"/>
    <x v="0"/>
    <s v="5616200"/>
    <n v="470040"/>
    <s v="Charity Care-Physician Svcs"/>
    <s v="Hosp-Phys Med/Rehab-Physiatry"/>
    <x v="0"/>
    <m/>
    <n v="111.65"/>
    <n v="1055.8399999999999"/>
    <n v="-8.52"/>
    <n v="5.6"/>
    <n v="576.58000000000004"/>
    <n v="-121.81"/>
    <n v="1315.07"/>
    <n v="890.13"/>
    <n v="-818.51"/>
    <n v="-356.31"/>
    <n v="-429.17"/>
    <n v="418.24"/>
    <n v="2638.79"/>
    <n v="-847.41000000000008"/>
  </r>
  <r>
    <x v="4"/>
    <x v="1"/>
    <x v="0"/>
    <s v="5616200"/>
    <n v="490010"/>
    <s v="Provision for Bad Debts"/>
    <s v="Hosp-Phys Med/Rehab-Physiatry"/>
    <x v="0"/>
    <m/>
    <n v="-354.81"/>
    <n v="-1198.1400000000001"/>
    <n v="302.77"/>
    <n v="4777.5"/>
    <n v="2556.85"/>
    <n v="-547.64"/>
    <n v="3481.59"/>
    <n v="3560.63"/>
    <n v="-4180.57"/>
    <n v="-1673.44"/>
    <n v="-1021.04"/>
    <n v="267.02"/>
    <n v="5970.7199999999993"/>
    <n v="-1288.06"/>
  </r>
  <r>
    <x v="5"/>
    <x v="1"/>
    <x v="0"/>
    <s v="5616200"/>
    <n v="700022"/>
    <s v="Salaries-Physician-Productive"/>
    <s v="Hosp-Phys Med/Rehab-Physiatry"/>
    <x v="0"/>
    <m/>
    <n v="19037.919999999998"/>
    <n v="19903.28"/>
    <n v="17307.2"/>
    <n v="19903.28"/>
    <n v="19037.919999999998"/>
    <n v="18172.560000000001"/>
    <n v="19933.73"/>
    <n v="17332.580000000002"/>
    <n v="18199.21"/>
    <n v="19065.84"/>
    <n v="-3466.51"/>
    <n v="0"/>
    <n v="184427.00999999995"/>
    <n v="-3466.51"/>
  </r>
  <r>
    <x v="5"/>
    <x v="1"/>
    <x v="0"/>
    <s v="5616200"/>
    <n v="700022"/>
    <s v="Salaries-Physician-Provider Incentive"/>
    <s v="Hosp-Phys Med/Rehab-Physiatry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5616200"/>
    <n v="700054"/>
    <s v="Salaries-Management-NonProd-Other"/>
    <s v="Hosp-Phys Med/Rehab-Physiatry"/>
    <x v="0"/>
    <n v="2000"/>
    <n v="0"/>
    <n v="0"/>
    <n v="0"/>
    <n v="0"/>
    <n v="0"/>
    <n v="805.56"/>
    <n v="-805.56"/>
    <n v="0"/>
    <n v="0"/>
    <n v="0"/>
    <n v="0"/>
    <n v="0"/>
    <n v="0"/>
    <n v="0"/>
  </r>
  <r>
    <x v="5"/>
    <x v="1"/>
    <x v="0"/>
    <s v="5616200"/>
    <n v="700062"/>
    <s v="Salaries-Physician-NonProd-Other"/>
    <s v="Hosp-Phys Med/Rehab-Physiatry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16200"/>
    <n v="713010"/>
    <s v="Benefits-FICA/Medicare"/>
    <s v="Hosp-Phys Med/Rehab-Physiatry"/>
    <x v="0"/>
    <m/>
    <n v="715.57"/>
    <n v="293.16000000000003"/>
    <n v="248.62"/>
    <n v="285.91000000000003"/>
    <n v="273.49"/>
    <n v="907.29"/>
    <n v="1569.93"/>
    <n v="1311.56"/>
    <n v="1377.14"/>
    <n v="1442.71"/>
    <n v="-260.44"/>
    <n v="0"/>
    <n v="8164.9400000000014"/>
    <n v="-260.44"/>
  </r>
  <r>
    <x v="6"/>
    <x v="1"/>
    <x v="0"/>
    <s v="5616200"/>
    <n v="713090"/>
    <s v="Benefits-Allocated Amounts"/>
    <s v="Hosp-Phys Med/Rehab-Physiatry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16200"/>
    <n v="713092"/>
    <s v="Allocated Benefits-Physician"/>
    <s v="Hosp-Phys Med/Rehab-Physiatry"/>
    <x v="0"/>
    <m/>
    <n v="1319.77"/>
    <n v="1229.04"/>
    <n v="1214.26"/>
    <n v="1275.8900000000001"/>
    <n v="1243.98"/>
    <n v="1248.1400000000001"/>
    <n v="1537.98"/>
    <n v="1404.41"/>
    <n v="5049.41"/>
    <n v="1807.45"/>
    <n v="135.84"/>
    <n v="-114.58"/>
    <n v="17351.59"/>
    <n v="250.42000000000002"/>
  </r>
  <r>
    <x v="6"/>
    <x v="1"/>
    <x v="0"/>
    <s v="5616200"/>
    <n v="713093"/>
    <s v="Allocated Benefits-Advanced Practice Clinician"/>
    <s v="Hosp-Phys Med/Rehab-Physiatry"/>
    <x v="0"/>
    <m/>
    <n v="372.47"/>
    <n v="346.86"/>
    <n v="342.69"/>
    <n v="360.09"/>
    <n v="351.07"/>
    <n v="352.26"/>
    <n v="434.05"/>
    <n v="396.36"/>
    <n v="-2955.85"/>
    <n v="0"/>
    <n v="0"/>
    <n v="0"/>
    <n v="0"/>
    <n v="0"/>
  </r>
  <r>
    <x v="7"/>
    <x v="1"/>
    <x v="0"/>
    <s v="5616200"/>
    <n v="718050"/>
    <s v="Document Shredding/Storage"/>
    <s v="Hosp-Phys Med/Rehab-Physiatry"/>
    <x v="0"/>
    <n v="1012"/>
    <n v="0"/>
    <n v="0"/>
    <n v="0"/>
    <n v="0"/>
    <n v="25.24"/>
    <n v="0"/>
    <n v="0"/>
    <n v="0"/>
    <n v="0"/>
    <n v="0"/>
    <n v="0"/>
    <n v="0"/>
    <n v="25.24"/>
    <n v="0"/>
  </r>
  <r>
    <x v="0"/>
    <x v="1"/>
    <x v="0"/>
    <s v="5616200"/>
    <n v="740022"/>
    <s v="Books-Physician"/>
    <s v="Hosp-Phys Med/Rehab-Physiatry"/>
    <x v="0"/>
    <n v="2000"/>
    <n v="0"/>
    <n v="0"/>
    <n v="0"/>
    <n v="0"/>
    <n v="0"/>
    <n v="0"/>
    <n v="0"/>
    <n v="0"/>
    <n v="0"/>
    <n v="699"/>
    <n v="0"/>
    <n v="0"/>
    <n v="699"/>
    <n v="0"/>
  </r>
  <r>
    <x v="8"/>
    <x v="1"/>
    <x v="0"/>
    <s v="5616200"/>
    <n v="741012"/>
    <s v="Physician Liab Insurance-CHI Program"/>
    <s v="Hosp-Phys Med/Rehab-Physiatry"/>
    <x v="0"/>
    <m/>
    <n v="473.67"/>
    <n v="473.67"/>
    <n v="473.67"/>
    <n v="473.67"/>
    <n v="473.67"/>
    <n v="473.66"/>
    <n v="473.67"/>
    <n v="473.66"/>
    <n v="473.67"/>
    <n v="473.66"/>
    <n v="-96.03"/>
    <n v="0"/>
    <n v="4640.6399999999994"/>
    <n v="-96.03"/>
  </r>
  <r>
    <x v="0"/>
    <x v="1"/>
    <x v="0"/>
    <s v="5616200"/>
    <n v="743022"/>
    <s v="Dues-Physician"/>
    <s v="Hosp-Phys Med/Rehab-Physiatry"/>
    <x v="0"/>
    <m/>
    <n v="0"/>
    <n v="0"/>
    <n v="0"/>
    <n v="0"/>
    <n v="0"/>
    <n v="0"/>
    <n v="0"/>
    <n v="0"/>
    <n v="0"/>
    <n v="645"/>
    <n v="0"/>
    <n v="0"/>
    <n v="645"/>
    <n v="0"/>
  </r>
  <r>
    <x v="0"/>
    <x v="1"/>
    <x v="0"/>
    <s v="5616200"/>
    <n v="749510"/>
    <s v="Miscellaneous Expenses"/>
    <s v="Hosp-Phys Med/Rehab-Physiatry"/>
    <x v="0"/>
    <m/>
    <n v="0"/>
    <n v="0"/>
    <n v="0"/>
    <n v="0"/>
    <n v="0"/>
    <n v="0"/>
    <n v="0"/>
    <n v="0"/>
    <n v="0"/>
    <n v="1723.7"/>
    <n v="0"/>
    <n v="0"/>
    <n v="1723.7"/>
    <n v="0"/>
  </r>
  <r>
    <x v="1"/>
    <x v="1"/>
    <x v="0"/>
    <s v="5617200"/>
    <n v="400029"/>
    <s v="MD Practice Other Rev--Medicare"/>
    <s v="HOD-Urgent Belfair"/>
    <x v="0"/>
    <n v="1100"/>
    <n v="0"/>
    <n v="0"/>
    <n v="0"/>
    <n v="-10"/>
    <n v="0"/>
    <n v="-10"/>
    <n v="0"/>
    <n v="0"/>
    <n v="0"/>
    <n v="0"/>
    <n v="0"/>
    <n v="-10"/>
    <n v="-30"/>
    <n v="10"/>
  </r>
  <r>
    <x v="1"/>
    <x v="1"/>
    <x v="0"/>
    <s v="5617200"/>
    <n v="400029"/>
    <s v="MD Practice Other Rev--Medicaid"/>
    <s v="HOD-Urgent Belfair"/>
    <x v="0"/>
    <n v="1200"/>
    <n v="0"/>
    <n v="0"/>
    <n v="0"/>
    <n v="-10"/>
    <n v="0"/>
    <n v="-34"/>
    <n v="0"/>
    <n v="0"/>
    <n v="0"/>
    <n v="-186"/>
    <n v="-122"/>
    <n v="34"/>
    <n v="-318"/>
    <n v="-156"/>
  </r>
  <r>
    <x v="1"/>
    <x v="1"/>
    <x v="0"/>
    <s v="5617200"/>
    <n v="400029"/>
    <s v="MD Practice Other Rev--Comm Insurance"/>
    <s v="HOD-Urgent Belfair"/>
    <x v="0"/>
    <n v="1300"/>
    <n v="0"/>
    <n v="0"/>
    <n v="0"/>
    <n v="-10"/>
    <n v="0"/>
    <n v="0"/>
    <n v="-34"/>
    <n v="0"/>
    <n v="0"/>
    <n v="0"/>
    <n v="0"/>
    <n v="0"/>
    <n v="-44"/>
    <n v="0"/>
  </r>
  <r>
    <x v="1"/>
    <x v="1"/>
    <x v="0"/>
    <s v="5617200"/>
    <n v="400029"/>
    <s v="MD Practice Other Rev--BCBS Comm"/>
    <s v="HOD-Urgent Belfair"/>
    <x v="0"/>
    <n v="1301"/>
    <n v="0"/>
    <n v="0"/>
    <n v="0"/>
    <n v="0"/>
    <n v="0"/>
    <n v="0"/>
    <n v="-10"/>
    <n v="0"/>
    <n v="-43"/>
    <n v="0"/>
    <n v="0"/>
    <n v="0"/>
    <n v="-53"/>
    <n v="0"/>
  </r>
  <r>
    <x v="1"/>
    <x v="1"/>
    <x v="0"/>
    <s v="5617200"/>
    <n v="400029"/>
    <s v="MD Practice Other Rev--Managed Care"/>
    <s v="HOD-Urgent Belfair"/>
    <x v="0"/>
    <n v="1400"/>
    <n v="0"/>
    <n v="0"/>
    <n v="0"/>
    <n v="-10"/>
    <n v="10"/>
    <n v="0"/>
    <n v="0"/>
    <n v="0"/>
    <n v="-10"/>
    <n v="-155"/>
    <n v="-10"/>
    <n v="-30"/>
    <n v="-205"/>
    <n v="20"/>
  </r>
  <r>
    <x v="1"/>
    <x v="1"/>
    <x v="0"/>
    <s v="5617200"/>
    <n v="400029"/>
    <s v="MD Practice Other Rev--Self Pay"/>
    <s v="HOD-Urgent Belfair"/>
    <x v="0"/>
    <n v="15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5617200"/>
    <n v="400029"/>
    <s v="MD Practice Other Rev--Other"/>
    <s v="HOD-Urgent Belfair"/>
    <x v="0"/>
    <n v="1700"/>
    <n v="0"/>
    <n v="0"/>
    <n v="0"/>
    <n v="0"/>
    <n v="0"/>
    <n v="0"/>
    <n v="0"/>
    <n v="0"/>
    <n v="0"/>
    <n v="0"/>
    <n v="-10"/>
    <n v="0"/>
    <n v="-10"/>
    <n v="-10"/>
  </r>
  <r>
    <x v="1"/>
    <x v="1"/>
    <x v="0"/>
    <s v="5617200"/>
    <n v="400040"/>
    <s v="Physician Svcs Rev--Medicare"/>
    <s v="HOD-Urgent Belfair"/>
    <x v="0"/>
    <n v="1100"/>
    <n v="-46368"/>
    <n v="-36238"/>
    <n v="-36424"/>
    <n v="-32595"/>
    <n v="-25605"/>
    <n v="-32776"/>
    <n v="-33675"/>
    <n v="-26842"/>
    <n v="-36269"/>
    <n v="-31799"/>
    <n v="-34441"/>
    <n v="-37850"/>
    <n v="-410882"/>
    <n v="3409"/>
  </r>
  <r>
    <x v="1"/>
    <x v="1"/>
    <x v="0"/>
    <s v="5617200"/>
    <n v="400040"/>
    <s v="Physician Svcs Rev--Medicaid"/>
    <s v="HOD-Urgent Belfair"/>
    <x v="0"/>
    <n v="1200"/>
    <n v="-55090"/>
    <n v="-66311"/>
    <n v="-64075"/>
    <n v="-76702"/>
    <n v="-51890"/>
    <n v="-62963"/>
    <n v="-73457"/>
    <n v="-70420"/>
    <n v="-68274"/>
    <n v="-59738"/>
    <n v="-71808"/>
    <n v="-65400"/>
    <n v="-786128"/>
    <n v="-6408"/>
  </r>
  <r>
    <x v="1"/>
    <x v="1"/>
    <x v="0"/>
    <s v="5617200"/>
    <n v="400040"/>
    <s v="Physician Svcs Rev--Comm Insurance"/>
    <s v="HOD-Urgent Belfair"/>
    <x v="0"/>
    <n v="1300"/>
    <n v="-8415"/>
    <n v="-8501"/>
    <n v="-6674"/>
    <n v="-7491"/>
    <n v="-5970"/>
    <n v="-6582"/>
    <n v="-10221"/>
    <n v="-8677"/>
    <n v="-8361"/>
    <n v="-9605"/>
    <n v="-8399"/>
    <n v="-10571"/>
    <n v="-99467"/>
    <n v="2172"/>
  </r>
  <r>
    <x v="1"/>
    <x v="1"/>
    <x v="0"/>
    <s v="5617200"/>
    <n v="400040"/>
    <s v="Physician Svcs Rev--BCBS Comm"/>
    <s v="HOD-Urgent Belfair"/>
    <x v="0"/>
    <n v="1301"/>
    <n v="-17776"/>
    <n v="-16126"/>
    <n v="-10712"/>
    <n v="-15153"/>
    <n v="-12069"/>
    <n v="-16451"/>
    <n v="-26398"/>
    <n v="-16060"/>
    <n v="-21687"/>
    <n v="-15458"/>
    <n v="-17474"/>
    <n v="-18085"/>
    <n v="-203449"/>
    <n v="611"/>
  </r>
  <r>
    <x v="1"/>
    <x v="1"/>
    <x v="0"/>
    <s v="5617200"/>
    <n v="400040"/>
    <s v="Physician Svcs Rev--Managed Care"/>
    <s v="HOD-Urgent Belfair"/>
    <x v="0"/>
    <n v="1400"/>
    <n v="-42901"/>
    <n v="-43932"/>
    <n v="-38894"/>
    <n v="-39516"/>
    <n v="-29654"/>
    <n v="-47750"/>
    <n v="-50366"/>
    <n v="-42045"/>
    <n v="-44037"/>
    <n v="-41681"/>
    <n v="-50249"/>
    <n v="-46372"/>
    <n v="-517397"/>
    <n v="-3877"/>
  </r>
  <r>
    <x v="1"/>
    <x v="1"/>
    <x v="0"/>
    <s v="5617200"/>
    <n v="400040"/>
    <s v="Physician Svcs Rev--Self Pay"/>
    <s v="HOD-Urgent Belfair"/>
    <x v="0"/>
    <n v="1500"/>
    <n v="-9911"/>
    <n v="-6673"/>
    <n v="-6686"/>
    <n v="-4998"/>
    <n v="-3768"/>
    <n v="-3715"/>
    <n v="-9301"/>
    <n v="-6620"/>
    <n v="-6209"/>
    <n v="-8647"/>
    <n v="-6116"/>
    <n v="-11081"/>
    <n v="-83725"/>
    <n v="4965"/>
  </r>
  <r>
    <x v="1"/>
    <x v="1"/>
    <x v="0"/>
    <s v="5617200"/>
    <n v="400040"/>
    <s v="Physician Svcs Rev--Other"/>
    <s v="HOD-Urgent Belfair"/>
    <x v="0"/>
    <n v="1700"/>
    <n v="-10441"/>
    <n v="-14550"/>
    <n v="-13293"/>
    <n v="-15438"/>
    <n v="-11585"/>
    <n v="-14001"/>
    <n v="-15368"/>
    <n v="-14824"/>
    <n v="-16410"/>
    <n v="-8877"/>
    <n v="-19907"/>
    <n v="-11069"/>
    <n v="-165763"/>
    <n v="-8838"/>
  </r>
  <r>
    <x v="2"/>
    <x v="1"/>
    <x v="0"/>
    <s v="5617200"/>
    <n v="450029"/>
    <s v="Contr Allow--MD Other-Medicare"/>
    <s v="HOD-Urgent Belfair"/>
    <x v="0"/>
    <n v="1100"/>
    <n v="0"/>
    <n v="0"/>
    <n v="0"/>
    <n v="6.58"/>
    <n v="0"/>
    <n v="0"/>
    <n v="6.58"/>
    <n v="0"/>
    <n v="0"/>
    <n v="0"/>
    <n v="0"/>
    <n v="0"/>
    <n v="13.16"/>
    <n v="0"/>
  </r>
  <r>
    <x v="2"/>
    <x v="1"/>
    <x v="0"/>
    <s v="5617200"/>
    <n v="450029"/>
    <s v="Contr Allow--MD Other-Medicaid"/>
    <s v="HOD-Urgent Belfair"/>
    <x v="0"/>
    <n v="1200"/>
    <n v="25.8"/>
    <n v="0"/>
    <n v="0"/>
    <n v="0"/>
    <n v="6.78"/>
    <n v="22.8"/>
    <n v="0"/>
    <n v="0"/>
    <n v="0"/>
    <n v="0"/>
    <n v="123.06"/>
    <n v="31.04"/>
    <n v="209.48"/>
    <n v="92.02000000000001"/>
  </r>
  <r>
    <x v="2"/>
    <x v="1"/>
    <x v="0"/>
    <s v="5617200"/>
    <n v="450029"/>
    <s v="Contr Allow--MD Other-Comm Insurance"/>
    <s v="HOD-Urgent Belfair"/>
    <x v="0"/>
    <n v="1300"/>
    <n v="0"/>
    <n v="0"/>
    <n v="0"/>
    <n v="6.22"/>
    <n v="0"/>
    <n v="0"/>
    <n v="0"/>
    <n v="0"/>
    <n v="0"/>
    <n v="0"/>
    <n v="0"/>
    <n v="4.8"/>
    <n v="11.02"/>
    <n v="-4.8"/>
  </r>
  <r>
    <x v="2"/>
    <x v="1"/>
    <x v="0"/>
    <s v="5617200"/>
    <n v="450029"/>
    <s v="Contr Allow--MD Other BCBS Comm"/>
    <s v="HOD-Urgent Belfair"/>
    <x v="0"/>
    <n v="1301"/>
    <n v="0"/>
    <n v="0"/>
    <n v="0"/>
    <n v="0"/>
    <n v="0"/>
    <n v="0"/>
    <n v="0"/>
    <n v="0"/>
    <n v="0"/>
    <n v="31.86"/>
    <n v="0"/>
    <n v="6.5"/>
    <n v="38.36"/>
    <n v="-6.5"/>
  </r>
  <r>
    <x v="2"/>
    <x v="1"/>
    <x v="0"/>
    <s v="5617200"/>
    <n v="450029"/>
    <s v="Contr Allow--MD Other-Managed Care"/>
    <s v="HOD-Urgent Belfair"/>
    <x v="0"/>
    <n v="1400"/>
    <n v="0"/>
    <n v="0"/>
    <n v="0"/>
    <n v="0"/>
    <n v="0"/>
    <n v="0"/>
    <n v="0"/>
    <n v="0"/>
    <n v="6.38"/>
    <n v="6.52"/>
    <n v="6.52"/>
    <n v="6.52"/>
    <n v="25.939999999999998"/>
    <n v="0"/>
  </r>
  <r>
    <x v="2"/>
    <x v="1"/>
    <x v="0"/>
    <s v="5617200"/>
    <n v="450029"/>
    <s v="Admin Adjust-MD Other-Self Pay"/>
    <s v="HOD-Urgent Belfair"/>
    <x v="0"/>
    <n v="16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5617200"/>
    <n v="450029"/>
    <s v="Contr Allow--MD Other-Other"/>
    <s v="HOD-Urgent Belfair"/>
    <x v="0"/>
    <n v="1700"/>
    <n v="0"/>
    <n v="0"/>
    <n v="0"/>
    <n v="0"/>
    <n v="0"/>
    <n v="0"/>
    <n v="0"/>
    <n v="0"/>
    <n v="0"/>
    <n v="0"/>
    <n v="0"/>
    <n v="7.17"/>
    <n v="7.17"/>
    <n v="-7.17"/>
  </r>
  <r>
    <x v="2"/>
    <x v="1"/>
    <x v="0"/>
    <s v="5617200"/>
    <n v="450040"/>
    <s v="Contr Allow--Phys Svcs--Mcare"/>
    <s v="HOD-Urgent Belfair"/>
    <x v="0"/>
    <n v="1100"/>
    <n v="25015.87"/>
    <n v="29430.98"/>
    <n v="23736.57"/>
    <n v="21036.86"/>
    <n v="19594.150000000001"/>
    <n v="14005.36"/>
    <n v="24035.49"/>
    <n v="13397.73"/>
    <n v="21850.04"/>
    <n v="18065.55"/>
    <n v="13394.52"/>
    <n v="23884.23"/>
    <n v="247447.34999999998"/>
    <n v="-10489.71"/>
  </r>
  <r>
    <x v="2"/>
    <x v="1"/>
    <x v="0"/>
    <s v="5617200"/>
    <n v="450040"/>
    <s v="Contr Allow--Phys Svcs--Mcaid"/>
    <s v="HOD-Urgent Belfair"/>
    <x v="0"/>
    <n v="1200"/>
    <n v="56783.15"/>
    <n v="57504.86"/>
    <n v="45932.59"/>
    <n v="54749.52"/>
    <n v="39530.870000000003"/>
    <n v="23567.13"/>
    <n v="55202.71"/>
    <n v="35253.919999999998"/>
    <n v="60562.98"/>
    <n v="38841.25"/>
    <n v="45267.83"/>
    <n v="54009.88"/>
    <n v="567206.68999999994"/>
    <n v="-8742.0499999999956"/>
  </r>
  <r>
    <x v="2"/>
    <x v="1"/>
    <x v="0"/>
    <s v="5617200"/>
    <n v="450040"/>
    <s v="Contr Allow--Phys Svcs--Comm Insurance"/>
    <s v="HOD-Urgent Belfair"/>
    <x v="0"/>
    <n v="1300"/>
    <n v="3094.78"/>
    <n v="2828.43"/>
    <n v="3431.03"/>
    <n v="1755.27"/>
    <n v="1873.17"/>
    <n v="1068.93"/>
    <n v="2311.2399999999998"/>
    <n v="1838.67"/>
    <n v="2347.9299999999998"/>
    <n v="2425.7399999999998"/>
    <n v="2167.0700000000002"/>
    <n v="2725.16"/>
    <n v="27867.420000000002"/>
    <n v="-558.08999999999969"/>
  </r>
  <r>
    <x v="2"/>
    <x v="1"/>
    <x v="0"/>
    <s v="5617200"/>
    <n v="450040"/>
    <s v="Contr Allow--Phys Svcs--BCBS Comm Ins"/>
    <s v="HOD-Urgent Belfair"/>
    <x v="0"/>
    <n v="1301"/>
    <n v="7909.13"/>
    <n v="7174.69"/>
    <n v="5851.11"/>
    <n v="4445.21"/>
    <n v="7127.87"/>
    <n v="5879.39"/>
    <n v="6011.16"/>
    <n v="7174.44"/>
    <n v="12167.18"/>
    <n v="5796.14"/>
    <n v="7362.78"/>
    <n v="12869.45"/>
    <n v="89768.55"/>
    <n v="-5506.670000000001"/>
  </r>
  <r>
    <x v="2"/>
    <x v="1"/>
    <x v="0"/>
    <s v="5617200"/>
    <n v="450040"/>
    <s v="Contr Allow--Phys Svcs--Managed Care"/>
    <s v="HOD-Urgent Belfair"/>
    <x v="0"/>
    <n v="1400"/>
    <n v="21041.88"/>
    <n v="22249.59"/>
    <n v="15276.41"/>
    <n v="15366.4"/>
    <n v="13483.71"/>
    <n v="8781.7999999999993"/>
    <n v="17856.560000000001"/>
    <n v="12947.62"/>
    <n v="22542.27"/>
    <n v="12778.42"/>
    <n v="19704.78"/>
    <n v="21651.31"/>
    <n v="203680.75"/>
    <n v="-1946.5300000000025"/>
  </r>
  <r>
    <x v="2"/>
    <x v="1"/>
    <x v="0"/>
    <s v="5617200"/>
    <n v="450040"/>
    <s v="Contr Allow--Phys Svcs--BCBS Mgnd Care"/>
    <s v="HOD-Urgent Belfair"/>
    <x v="0"/>
    <n v="1401"/>
    <n v="-10552.11"/>
    <n v="-14358.14"/>
    <n v="-4642.12"/>
    <n v="3586.44"/>
    <n v="-10077.43"/>
    <n v="39646.47"/>
    <n v="13595.42"/>
    <n v="24957"/>
    <n v="-13345.7"/>
    <n v="8184.91"/>
    <n v="18455.54"/>
    <n v="-12402.14"/>
    <n v="43048.14"/>
    <n v="30857.68"/>
  </r>
  <r>
    <x v="2"/>
    <x v="1"/>
    <x v="0"/>
    <s v="5617200"/>
    <n v="450040"/>
    <s v="Prompt Pay Disc-Phys Svcs-Self Pay"/>
    <s v="HOD-Urgent Belfair"/>
    <x v="0"/>
    <n v="1500"/>
    <n v="0"/>
    <n v="10.52"/>
    <n v="0"/>
    <n v="0"/>
    <n v="50.26"/>
    <n v="0"/>
    <n v="0"/>
    <n v="0"/>
    <n v="0"/>
    <n v="0"/>
    <n v="0"/>
    <n v="0"/>
    <n v="60.78"/>
    <n v="0"/>
  </r>
  <r>
    <x v="2"/>
    <x v="1"/>
    <x v="0"/>
    <s v="5617200"/>
    <n v="450040"/>
    <s v="Admin Adjust-Phys Svcs-Self Pay"/>
    <s v="HOD-Urgent Belfair"/>
    <x v="0"/>
    <n v="1600"/>
    <n v="3802.72"/>
    <n v="4070.66"/>
    <n v="2669.68"/>
    <n v="2313.08"/>
    <n v="1411.21"/>
    <n v="1375.97"/>
    <n v="3605.72"/>
    <n v="2633.29"/>
    <n v="6861.11"/>
    <n v="3086.04"/>
    <n v="2226.34"/>
    <n v="4127.93"/>
    <n v="38183.75"/>
    <n v="-1901.5900000000001"/>
  </r>
  <r>
    <x v="2"/>
    <x v="1"/>
    <x v="0"/>
    <s v="5617200"/>
    <n v="450040"/>
    <s v="Contr Allow--Phys Svcs--Other"/>
    <s v="HOD-Urgent Belfair"/>
    <x v="0"/>
    <n v="1700"/>
    <n v="5647.51"/>
    <n v="6428.98"/>
    <n v="7274.15"/>
    <n v="6568.45"/>
    <n v="6224.69"/>
    <n v="4638.0200000000004"/>
    <n v="5951.05"/>
    <n v="8176.75"/>
    <n v="7038.11"/>
    <n v="8933.59"/>
    <n v="9050.25"/>
    <n v="6829.2"/>
    <n v="82760.75"/>
    <n v="2221.0500000000002"/>
  </r>
  <r>
    <x v="3"/>
    <x v="1"/>
    <x v="0"/>
    <s v="5617200"/>
    <n v="470040"/>
    <s v="Charity Care-Physician Svcs"/>
    <s v="HOD-Urgent Belfair"/>
    <x v="0"/>
    <m/>
    <n v="278.44"/>
    <n v="860.86"/>
    <n v="342.65"/>
    <n v="797.99"/>
    <n v="1.78"/>
    <n v="1481.37"/>
    <n v="752.1"/>
    <n v="2684.13"/>
    <n v="1648.79"/>
    <n v="2918.15"/>
    <n v="1955.71"/>
    <n v="5114.1499999999996"/>
    <n v="18836.120000000003"/>
    <n v="-3158.4399999999996"/>
  </r>
  <r>
    <x v="4"/>
    <x v="1"/>
    <x v="0"/>
    <s v="5617200"/>
    <n v="490010"/>
    <s v="Provision for Bad Debts"/>
    <s v="HOD-Urgent Belfair"/>
    <x v="0"/>
    <m/>
    <n v="4828.32"/>
    <n v="2713.2"/>
    <n v="8454.7800000000007"/>
    <n v="6030.31"/>
    <n v="7535.09"/>
    <n v="6935.54"/>
    <n v="6318.75"/>
    <n v="4381.25"/>
    <n v="4180.75"/>
    <n v="-217.99"/>
    <n v="6466.87"/>
    <n v="3631.06"/>
    <n v="61257.93"/>
    <n v="2835.81"/>
  </r>
  <r>
    <x v="5"/>
    <x v="1"/>
    <x v="0"/>
    <s v="5617200"/>
    <n v="700014"/>
    <s v="Salaries-Management-Productive"/>
    <s v="HOD-Urgent Belfair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17200"/>
    <n v="700022"/>
    <s v="Salaries-Physician-Productive"/>
    <s v="HOD-Urgent Belfair"/>
    <x v="0"/>
    <m/>
    <n v="9285.86"/>
    <n v="20782.36"/>
    <n v="13194.21"/>
    <n v="33515.620000000003"/>
    <n v="13682.93"/>
    <n v="18153.810000000001"/>
    <n v="14979.21"/>
    <n v="51856.81"/>
    <n v="15844.58"/>
    <n v="21595.93"/>
    <n v="24257.31"/>
    <n v="21088.34"/>
    <n v="258236.96999999997"/>
    <n v="3168.9700000000012"/>
  </r>
  <r>
    <x v="5"/>
    <x v="1"/>
    <x v="0"/>
    <s v="5617200"/>
    <n v="700022"/>
    <s v="Salaries-Physician-Other"/>
    <s v="HOD-Urgent Belfair"/>
    <x v="0"/>
    <n v="2000"/>
    <n v="0"/>
    <n v="2187.63"/>
    <n v="1418.4"/>
    <n v="1918.4"/>
    <n v="0"/>
    <n v="0"/>
    <n v="2689.7"/>
    <n v="-768.48"/>
    <n v="1921.21"/>
    <n v="1702.08"/>
    <n v="5758.15"/>
    <n v="-1918.47"/>
    <n v="14908.62"/>
    <n v="7676.62"/>
  </r>
  <r>
    <x v="5"/>
    <x v="1"/>
    <x v="0"/>
    <s v="5617200"/>
    <n v="700022"/>
    <s v="Salaries-Physician-Provider Incentive"/>
    <s v="HOD-Urgent Belfair"/>
    <x v="0"/>
    <n v="4003"/>
    <n v="0"/>
    <n v="5008.7"/>
    <n v="0"/>
    <n v="0"/>
    <n v="5931.7"/>
    <n v="0"/>
    <n v="0"/>
    <n v="4569.59"/>
    <n v="0"/>
    <n v="0"/>
    <n v="9207.42"/>
    <n v="-0.31"/>
    <n v="24717.1"/>
    <n v="9207.73"/>
  </r>
  <r>
    <x v="5"/>
    <x v="1"/>
    <x v="0"/>
    <s v="5617200"/>
    <n v="700024"/>
    <s v="Salaries-Advanced Practice Clinician-Productive"/>
    <s v="HOD-Urgent Belfair"/>
    <x v="0"/>
    <m/>
    <n v="23182.91"/>
    <n v="9990.2099999999991"/>
    <n v="14727.23"/>
    <n v="15862.04"/>
    <n v="14832.69"/>
    <n v="21945.19"/>
    <n v="16725.169999999998"/>
    <n v="12221.36"/>
    <n v="15137.07"/>
    <n v="13392.08"/>
    <n v="5781.64"/>
    <n v="14386.14"/>
    <n v="178183.72999999998"/>
    <n v="-8604.5"/>
  </r>
  <r>
    <x v="5"/>
    <x v="1"/>
    <x v="0"/>
    <s v="5617200"/>
    <n v="700024"/>
    <s v="Salaries-Advanced Practice Clinician-Other"/>
    <s v="HOD-Urgent Belfair"/>
    <x v="0"/>
    <n v="2000"/>
    <n v="0"/>
    <n v="2292.3000000000002"/>
    <n v="-450"/>
    <n v="2185"/>
    <n v="1402.01"/>
    <n v="1925"/>
    <n v="0"/>
    <n v="0"/>
    <n v="1802.63"/>
    <n v="1402.05"/>
    <n v="4281.24"/>
    <n v="-2140.62"/>
    <n v="12699.61"/>
    <n v="6421.86"/>
  </r>
  <r>
    <x v="5"/>
    <x v="1"/>
    <x v="0"/>
    <s v="5617200"/>
    <n v="700024"/>
    <s v="Salaries-Advanced Practice Clinician-Provider Incentive"/>
    <s v="HOD-Urgent Belfair"/>
    <x v="0"/>
    <n v="4003"/>
    <n v="0"/>
    <n v="11840.57"/>
    <n v="0"/>
    <n v="0"/>
    <n v="9348.93"/>
    <n v="0"/>
    <n v="0"/>
    <n v="9389.14"/>
    <n v="0"/>
    <n v="0"/>
    <n v="11411.92"/>
    <n v="-13.67"/>
    <n v="41976.89"/>
    <n v="11425.59"/>
  </r>
  <r>
    <x v="5"/>
    <x v="1"/>
    <x v="0"/>
    <s v="5617200"/>
    <n v="700026"/>
    <s v="Salaries-RN-Productive"/>
    <s v="HOD-Urgent Belfair"/>
    <x v="0"/>
    <m/>
    <n v="0"/>
    <n v="0"/>
    <n v="0"/>
    <n v="0"/>
    <n v="0"/>
    <n v="0"/>
    <n v="0"/>
    <n v="0"/>
    <n v="0"/>
    <n v="6029.36"/>
    <n v="-192"/>
    <n v="233.86"/>
    <n v="6071.2199999999993"/>
    <n v="-425.86"/>
  </r>
  <r>
    <x v="5"/>
    <x v="1"/>
    <x v="0"/>
    <s v="5617200"/>
    <n v="700026"/>
    <s v="Salaries-RN-Other"/>
    <s v="HOD-Urgent Belfair"/>
    <x v="0"/>
    <n v="2000"/>
    <n v="0"/>
    <n v="0"/>
    <n v="0"/>
    <n v="0"/>
    <n v="0"/>
    <n v="0"/>
    <n v="0"/>
    <n v="0"/>
    <n v="0"/>
    <n v="332.35"/>
    <n v="-19.52"/>
    <n v="0"/>
    <n v="312.83000000000004"/>
    <n v="-19.52"/>
  </r>
  <r>
    <x v="5"/>
    <x v="1"/>
    <x v="0"/>
    <s v="5617200"/>
    <n v="700030"/>
    <s v="Salaries-LPN-Productive"/>
    <s v="HOD-Urgent Belfair"/>
    <x v="0"/>
    <m/>
    <n v="0"/>
    <n v="0"/>
    <n v="0"/>
    <n v="0"/>
    <n v="0"/>
    <n v="0"/>
    <n v="0"/>
    <n v="0"/>
    <n v="0"/>
    <n v="102399.51"/>
    <n v="9587.8700000000008"/>
    <n v="10743.24"/>
    <n v="122730.62"/>
    <n v="-1155.369999999999"/>
  </r>
  <r>
    <x v="5"/>
    <x v="1"/>
    <x v="0"/>
    <s v="5617200"/>
    <n v="700030"/>
    <s v="Salaries-LPN-OT"/>
    <s v="HOD-Urgent Belfair"/>
    <x v="0"/>
    <n v="1000"/>
    <n v="0"/>
    <n v="0"/>
    <n v="0"/>
    <n v="0"/>
    <n v="0"/>
    <n v="0"/>
    <n v="0"/>
    <n v="0"/>
    <n v="0"/>
    <n v="5019.58"/>
    <n v="44.86"/>
    <n v="602.42999999999995"/>
    <n v="5666.87"/>
    <n v="-557.56999999999994"/>
  </r>
  <r>
    <x v="5"/>
    <x v="1"/>
    <x v="0"/>
    <s v="5617200"/>
    <n v="700030"/>
    <s v="Salaries-LPN-Other"/>
    <s v="HOD-Urgent Belfair"/>
    <x v="0"/>
    <n v="2000"/>
    <n v="0"/>
    <n v="0"/>
    <n v="0"/>
    <n v="0"/>
    <n v="0"/>
    <n v="0"/>
    <n v="0"/>
    <n v="0"/>
    <n v="0"/>
    <n v="4699.66"/>
    <n v="297.02999999999997"/>
    <n v="253.99"/>
    <n v="5250.6799999999994"/>
    <n v="43.039999999999964"/>
  </r>
  <r>
    <x v="5"/>
    <x v="1"/>
    <x v="0"/>
    <s v="5617200"/>
    <n v="700032"/>
    <s v="Salaries-Other Pat Care Providers-Productive"/>
    <s v="HOD-Urgent Belfair"/>
    <x v="0"/>
    <m/>
    <n v="0"/>
    <n v="0"/>
    <n v="0"/>
    <n v="0"/>
    <n v="0"/>
    <n v="0"/>
    <n v="0"/>
    <n v="0"/>
    <n v="0"/>
    <n v="9605.32"/>
    <n v="1448.14"/>
    <n v="1059.67"/>
    <n v="12113.13"/>
    <n v="388.47"/>
  </r>
  <r>
    <x v="5"/>
    <x v="1"/>
    <x v="0"/>
    <s v="5617200"/>
    <n v="700032"/>
    <s v="Salaries-Other Pat Care Providers-Other"/>
    <s v="HOD-Urgent Belfair"/>
    <x v="0"/>
    <n v="2000"/>
    <n v="0"/>
    <n v="0"/>
    <n v="0"/>
    <n v="0"/>
    <n v="0"/>
    <n v="0"/>
    <n v="0"/>
    <n v="0"/>
    <n v="0"/>
    <n v="232.81"/>
    <n v="33.78"/>
    <n v="24.73"/>
    <n v="291.32000000000005"/>
    <n v="9.0500000000000007"/>
  </r>
  <r>
    <x v="5"/>
    <x v="1"/>
    <x v="0"/>
    <s v="5617200"/>
    <n v="700034"/>
    <s v="Salaries-Tech/Professional-Productive"/>
    <s v="HOD-Urgent Belfair"/>
    <x v="0"/>
    <m/>
    <n v="0"/>
    <n v="0"/>
    <n v="0"/>
    <n v="0"/>
    <n v="0"/>
    <n v="0"/>
    <n v="0"/>
    <n v="0"/>
    <n v="0"/>
    <n v="83680.03"/>
    <n v="8979.1299999999992"/>
    <n v="9404.19"/>
    <n v="102063.35"/>
    <n v="-425.06000000000131"/>
  </r>
  <r>
    <x v="5"/>
    <x v="1"/>
    <x v="0"/>
    <s v="5617200"/>
    <n v="700034"/>
    <s v="Salaries-Tech/Professional-OT"/>
    <s v="HOD-Urgent Belfair"/>
    <x v="0"/>
    <n v="1000"/>
    <n v="0"/>
    <n v="0"/>
    <n v="0"/>
    <n v="0"/>
    <n v="0"/>
    <n v="0"/>
    <n v="0"/>
    <n v="0"/>
    <n v="0"/>
    <n v="2427.7399999999998"/>
    <n v="142.1"/>
    <n v="113.48"/>
    <n v="2683.3199999999997"/>
    <n v="28.61999999999999"/>
  </r>
  <r>
    <x v="5"/>
    <x v="1"/>
    <x v="0"/>
    <s v="5617200"/>
    <n v="700034"/>
    <s v="Salaries-Tech/Professional-Other"/>
    <s v="HOD-Urgent Belfair"/>
    <x v="0"/>
    <n v="2000"/>
    <n v="0"/>
    <n v="0"/>
    <n v="0"/>
    <n v="0"/>
    <n v="0"/>
    <n v="0"/>
    <n v="0"/>
    <n v="0"/>
    <n v="0"/>
    <n v="1424.63"/>
    <n v="151.88"/>
    <n v="129.31"/>
    <n v="1705.8200000000002"/>
    <n v="22.569999999999993"/>
  </r>
  <r>
    <x v="5"/>
    <x v="1"/>
    <x v="0"/>
    <s v="5617200"/>
    <n v="700038"/>
    <s v="Salaries-Service/Support-Productive"/>
    <s v="HOD-Urgent Belfair"/>
    <x v="0"/>
    <m/>
    <n v="0"/>
    <n v="0"/>
    <n v="0"/>
    <n v="0"/>
    <n v="0"/>
    <n v="0"/>
    <n v="0"/>
    <n v="0"/>
    <n v="0"/>
    <n v="47141.279999999999"/>
    <n v="5065.5600000000004"/>
    <n v="4481.55"/>
    <n v="56688.39"/>
    <n v="584.01000000000022"/>
  </r>
  <r>
    <x v="5"/>
    <x v="1"/>
    <x v="0"/>
    <s v="5617200"/>
    <n v="700038"/>
    <s v="Salaries-Service/Support-OT"/>
    <s v="HOD-Urgent Belfair"/>
    <x v="0"/>
    <n v="1000"/>
    <n v="0"/>
    <n v="0"/>
    <n v="0"/>
    <n v="0"/>
    <n v="0"/>
    <n v="0"/>
    <n v="0"/>
    <n v="0"/>
    <n v="0"/>
    <n v="1070.73"/>
    <n v="155.47"/>
    <n v="235.99"/>
    <n v="1462.19"/>
    <n v="-80.52000000000001"/>
  </r>
  <r>
    <x v="5"/>
    <x v="1"/>
    <x v="0"/>
    <s v="5617200"/>
    <n v="700038"/>
    <s v="Salaries-Service/Support-Other"/>
    <s v="HOD-Urgent Belfair"/>
    <x v="0"/>
    <n v="2000"/>
    <n v="0"/>
    <n v="0"/>
    <n v="0"/>
    <n v="0"/>
    <n v="0"/>
    <n v="0"/>
    <n v="0"/>
    <n v="0"/>
    <n v="0"/>
    <n v="1404.95"/>
    <n v="195.28"/>
    <n v="98.54"/>
    <n v="1698.77"/>
    <n v="96.74"/>
  </r>
  <r>
    <x v="5"/>
    <x v="1"/>
    <x v="0"/>
    <s v="5617200"/>
    <n v="700054"/>
    <s v="Salaries-Management-Non-productive"/>
    <s v="HOD-Urgent Belfair"/>
    <x v="0"/>
    <m/>
    <n v="0"/>
    <n v="0"/>
    <n v="0"/>
    <n v="0"/>
    <n v="0"/>
    <n v="0"/>
    <n v="0"/>
    <n v="0"/>
    <n v="0"/>
    <n v="2008.03"/>
    <n v="0"/>
    <n v="0"/>
    <n v="2008.03"/>
    <n v="0"/>
  </r>
  <r>
    <x v="5"/>
    <x v="1"/>
    <x v="0"/>
    <s v="5617200"/>
    <n v="700062"/>
    <s v="Salaries-Physician-Non-productive"/>
    <s v="HOD-Urgent Belfair"/>
    <x v="0"/>
    <m/>
    <n v="10647.74"/>
    <n v="-13242.23"/>
    <n v="5120.76"/>
    <n v="3604.18"/>
    <n v="-10280.629999999999"/>
    <n v="9554.4500000000007"/>
    <n v="-454.97"/>
    <n v="-5881.77"/>
    <n v="4666.67"/>
    <n v="0"/>
    <n v="-9206.7999999999993"/>
    <n v="0"/>
    <n v="-5472.5999999999976"/>
    <n v="-9206.7999999999993"/>
  </r>
  <r>
    <x v="5"/>
    <x v="1"/>
    <x v="0"/>
    <s v="5617200"/>
    <n v="700062"/>
    <s v="Salaries-Physician-NonProd-Other"/>
    <s v="HOD-Urgent Belfair"/>
    <x v="0"/>
    <n v="2000"/>
    <n v="0"/>
    <n v="0"/>
    <n v="0"/>
    <n v="0"/>
    <n v="277.14"/>
    <n v="0"/>
    <n v="0"/>
    <n v="-277.14"/>
    <n v="0"/>
    <n v="0"/>
    <n v="0"/>
    <n v="0"/>
    <n v="0"/>
    <n v="0"/>
  </r>
  <r>
    <x v="5"/>
    <x v="1"/>
    <x v="0"/>
    <s v="5617200"/>
    <n v="700064"/>
    <s v="Salaries-Advanced Practice Clinician-Non-Productive"/>
    <s v="HOD-Urgent Belfair"/>
    <x v="0"/>
    <m/>
    <n v="1030.51"/>
    <n v="3145.96"/>
    <n v="5931.95"/>
    <n v="226.65"/>
    <n v="4007.68"/>
    <n v="4423.7"/>
    <n v="565.48"/>
    <n v="2310.16"/>
    <n v="3837.83"/>
    <n v="577.54999999999995"/>
    <n v="4080.06"/>
    <n v="-31.06"/>
    <n v="30106.469999999998"/>
    <n v="4111.12"/>
  </r>
  <r>
    <x v="5"/>
    <x v="1"/>
    <x v="0"/>
    <s v="5617200"/>
    <n v="700070"/>
    <s v="Salaries-LPN-Non-productive"/>
    <s v="HOD-Urgent Belfair"/>
    <x v="0"/>
    <m/>
    <n v="0"/>
    <n v="0"/>
    <n v="0"/>
    <n v="0"/>
    <n v="0"/>
    <n v="0"/>
    <n v="0"/>
    <n v="0"/>
    <n v="0"/>
    <n v="14310.15"/>
    <n v="2918.19"/>
    <n v="758.2"/>
    <n v="17986.54"/>
    <n v="2159.9899999999998"/>
  </r>
  <r>
    <x v="5"/>
    <x v="1"/>
    <x v="0"/>
    <s v="5617200"/>
    <n v="700070"/>
    <s v="Salaries-LPN-NonProd-Other"/>
    <s v="HOD-Urgent Belfair"/>
    <x v="0"/>
    <n v="2000"/>
    <n v="0"/>
    <n v="0"/>
    <n v="0"/>
    <n v="0"/>
    <n v="0"/>
    <n v="0"/>
    <n v="0"/>
    <n v="0"/>
    <n v="0"/>
    <n v="3.57"/>
    <n v="0"/>
    <n v="0"/>
    <n v="3.57"/>
    <n v="0"/>
  </r>
  <r>
    <x v="5"/>
    <x v="1"/>
    <x v="0"/>
    <s v="5617200"/>
    <n v="700074"/>
    <s v="Salaries-Tech/Professional-Non-productive"/>
    <s v="HOD-Urgent Belfair"/>
    <x v="0"/>
    <m/>
    <n v="0"/>
    <n v="0"/>
    <n v="0"/>
    <n v="0"/>
    <n v="0"/>
    <n v="0"/>
    <n v="0"/>
    <n v="0"/>
    <n v="0"/>
    <n v="12372.29"/>
    <n v="355.65"/>
    <n v="158.80000000000001"/>
    <n v="12886.74"/>
    <n v="196.84999999999997"/>
  </r>
  <r>
    <x v="5"/>
    <x v="1"/>
    <x v="0"/>
    <s v="5617200"/>
    <n v="700074"/>
    <s v="Salaries-Tech/Professional-NonProd-Other"/>
    <s v="HOD-Urgent Belfair"/>
    <x v="0"/>
    <n v="2000"/>
    <n v="0"/>
    <n v="0"/>
    <n v="0"/>
    <n v="0"/>
    <n v="0"/>
    <n v="0"/>
    <n v="0"/>
    <n v="0"/>
    <n v="0"/>
    <n v="67.19"/>
    <n v="0"/>
    <n v="0"/>
    <n v="67.19"/>
    <n v="0"/>
  </r>
  <r>
    <x v="5"/>
    <x v="1"/>
    <x v="0"/>
    <s v="5617200"/>
    <n v="700078"/>
    <s v="Salaries-Service/Support-Non-productive"/>
    <s v="HOD-Urgent Belfair"/>
    <x v="0"/>
    <m/>
    <n v="0"/>
    <n v="0"/>
    <n v="0"/>
    <n v="0"/>
    <n v="0"/>
    <n v="0"/>
    <n v="0"/>
    <n v="0"/>
    <n v="0"/>
    <n v="3724"/>
    <n v="809.64"/>
    <n v="666.37"/>
    <n v="5200.01"/>
    <n v="143.26999999999998"/>
  </r>
  <r>
    <x v="5"/>
    <x v="1"/>
    <x v="0"/>
    <s v="5617200"/>
    <n v="700078"/>
    <s v="Salaries-Service/Support-NonProd-Other"/>
    <s v="HOD-Urgent Belfai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17200"/>
    <n v="700084"/>
    <s v="Accrued PTO"/>
    <s v="HOD-Urgent Belfair"/>
    <x v="0"/>
    <m/>
    <n v="0"/>
    <n v="0"/>
    <n v="0"/>
    <n v="0"/>
    <n v="0"/>
    <n v="0"/>
    <n v="0"/>
    <n v="0"/>
    <n v="0"/>
    <n v="-4339.22"/>
    <n v="-546.35"/>
    <n v="784.45"/>
    <n v="-4101.1200000000008"/>
    <n v="-1330.8000000000002"/>
  </r>
  <r>
    <x v="6"/>
    <x v="1"/>
    <x v="0"/>
    <s v="5617200"/>
    <n v="713010"/>
    <s v="Benefits-FICA/Medicare"/>
    <s v="HOD-Urgent Belfair"/>
    <x v="0"/>
    <m/>
    <n v="2301.73"/>
    <n v="2570.06"/>
    <n v="1669.22"/>
    <n v="1850.14"/>
    <n v="3003.75"/>
    <n v="2382.37"/>
    <n v="2579.2800000000002"/>
    <n v="5994.67"/>
    <n v="2876.77"/>
    <n v="25434.91"/>
    <n v="6397.5"/>
    <n v="2276.29"/>
    <n v="59336.69"/>
    <n v="4121.21"/>
  </r>
  <r>
    <x v="6"/>
    <x v="1"/>
    <x v="0"/>
    <s v="5617200"/>
    <n v="713090"/>
    <s v="Benefits-Allocated Amounts"/>
    <s v="HOD-Urgent Belfair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17200"/>
    <n v="713092"/>
    <s v="Allocated Benefits-Physician"/>
    <s v="HOD-Urgent Belfair"/>
    <x v="0"/>
    <m/>
    <n v="2398.9299999999998"/>
    <n v="1952.53"/>
    <n v="2198.2600000000002"/>
    <n v="2543.81"/>
    <n v="2031.04"/>
    <n v="3181.54"/>
    <n v="2394.5500000000002"/>
    <n v="3253.91"/>
    <n v="-4689.57"/>
    <n v="27037.33"/>
    <n v="4385.0600000000004"/>
    <n v="3206.5"/>
    <n v="49893.89"/>
    <n v="1178.5600000000004"/>
  </r>
  <r>
    <x v="6"/>
    <x v="1"/>
    <x v="0"/>
    <s v="5617200"/>
    <n v="713093"/>
    <s v="Allocated Benefits-Advanced Practice Clinician"/>
    <s v="HOD-Urgent Belfair"/>
    <x v="0"/>
    <m/>
    <n v="1947.03"/>
    <n v="1584.71"/>
    <n v="1784.15"/>
    <n v="2064.62"/>
    <n v="1648.44"/>
    <n v="2582.1999999999998"/>
    <n v="1943.48"/>
    <n v="2640.95"/>
    <n v="9776.24"/>
    <n v="46001.23"/>
    <n v="7460.74"/>
    <n v="5455.52"/>
    <n v="84889.310000000012"/>
    <n v="2005.2199999999993"/>
  </r>
  <r>
    <x v="13"/>
    <x v="1"/>
    <x v="0"/>
    <s v="5617200"/>
    <n v="735050"/>
    <s v="Amortization-Leasehold Improvements"/>
    <s v="HOD-Urgent Belfair"/>
    <x v="0"/>
    <m/>
    <n v="8376.82"/>
    <n v="8376.81"/>
    <n v="8376.82"/>
    <n v="8376.81"/>
    <n v="8376.81"/>
    <n v="8376.81"/>
    <n v="8376.81"/>
    <n v="8376.81"/>
    <n v="8376.81"/>
    <n v="8376.81"/>
    <n v="0"/>
    <n v="0"/>
    <n v="83768.119999999981"/>
    <n v="0"/>
  </r>
  <r>
    <x v="13"/>
    <x v="1"/>
    <x v="0"/>
    <s v="5617200"/>
    <n v="735070"/>
    <s v="Depreciation-Movable Equipment"/>
    <s v="HOD-Urgent Belfair"/>
    <x v="0"/>
    <m/>
    <n v="328.48"/>
    <n v="328.48"/>
    <n v="328.49"/>
    <n v="328.48"/>
    <n v="328.49"/>
    <n v="328.48"/>
    <n v="328.49"/>
    <n v="328.48"/>
    <n v="328.49"/>
    <n v="328.48"/>
    <n v="328.49"/>
    <n v="328.48"/>
    <n v="3941.8100000000009"/>
    <n v="9.9999999999909051E-3"/>
  </r>
  <r>
    <x v="0"/>
    <x v="1"/>
    <x v="0"/>
    <s v="5617200"/>
    <n v="740022"/>
    <s v="Education-Physician"/>
    <s v="HOD-Urgent Belfair"/>
    <x v="0"/>
    <m/>
    <n v="1386"/>
    <n v="0"/>
    <n v="0"/>
    <n v="1095"/>
    <n v="0"/>
    <n v="0"/>
    <n v="0"/>
    <n v="0"/>
    <n v="0"/>
    <n v="0"/>
    <n v="0"/>
    <n v="0"/>
    <n v="2481"/>
    <n v="0"/>
  </r>
  <r>
    <x v="0"/>
    <x v="1"/>
    <x v="0"/>
    <s v="5617200"/>
    <n v="740023"/>
    <s v="Education-Advanced Practice Clinician"/>
    <s v="HOD-Urgent Belfair"/>
    <x v="0"/>
    <m/>
    <n v="0"/>
    <n v="525"/>
    <n v="0"/>
    <n v="0"/>
    <n v="0"/>
    <n v="0"/>
    <n v="0"/>
    <n v="0"/>
    <n v="650"/>
    <n v="0"/>
    <n v="0"/>
    <n v="0"/>
    <n v="1175"/>
    <n v="0"/>
  </r>
  <r>
    <x v="0"/>
    <x v="1"/>
    <x v="0"/>
    <s v="5617200"/>
    <n v="740023"/>
    <s v="Books-Advanced Practice Clinician"/>
    <s v="HOD-Urgent Belfair"/>
    <x v="0"/>
    <n v="2000"/>
    <n v="0"/>
    <n v="0"/>
    <n v="0"/>
    <n v="0"/>
    <n v="0"/>
    <n v="0"/>
    <n v="0"/>
    <n v="0"/>
    <n v="1250"/>
    <n v="0"/>
    <n v="0"/>
    <n v="0"/>
    <n v="1250"/>
    <n v="0"/>
  </r>
  <r>
    <x v="8"/>
    <x v="1"/>
    <x v="0"/>
    <s v="5617200"/>
    <n v="741012"/>
    <s v="Physician Liab Insurance-CHI Program"/>
    <s v="HOD-Urgent Belfair"/>
    <x v="0"/>
    <m/>
    <n v="426.3"/>
    <n v="426.3"/>
    <n v="426.3"/>
    <n v="426.3"/>
    <n v="426.3"/>
    <n v="426.3"/>
    <n v="426.3"/>
    <n v="426.3"/>
    <n v="426.3"/>
    <n v="426.3"/>
    <n v="426.3"/>
    <n v="426.3"/>
    <n v="5115.6000000000013"/>
    <n v="0"/>
  </r>
  <r>
    <x v="0"/>
    <x v="1"/>
    <x v="0"/>
    <s v="5617200"/>
    <n v="743022"/>
    <s v="Dues-Physician"/>
    <s v="HOD-Urgent Belfair"/>
    <x v="0"/>
    <m/>
    <n v="0"/>
    <n v="0"/>
    <n v="0"/>
    <n v="0"/>
    <n v="0"/>
    <n v="0"/>
    <n v="0"/>
    <n v="810"/>
    <n v="0"/>
    <n v="0"/>
    <n v="0"/>
    <n v="0"/>
    <n v="810"/>
    <n v="0"/>
  </r>
  <r>
    <x v="0"/>
    <x v="1"/>
    <x v="0"/>
    <s v="5617200"/>
    <n v="743023"/>
    <s v="Dues-Advanced Practice Clinician"/>
    <s v="HOD-Urgent Belfair"/>
    <x v="0"/>
    <m/>
    <n v="0"/>
    <n v="0"/>
    <n v="0"/>
    <n v="0"/>
    <n v="0"/>
    <n v="0"/>
    <n v="0"/>
    <n v="0"/>
    <n v="0"/>
    <n v="731"/>
    <n v="0"/>
    <n v="0"/>
    <n v="731"/>
    <n v="0"/>
  </r>
  <r>
    <x v="0"/>
    <x v="1"/>
    <x v="0"/>
    <s v="5617200"/>
    <n v="743043"/>
    <s v="Subscriptions-Advanced Practice Clinician"/>
    <s v="HOD-Urgent Belfair"/>
    <x v="0"/>
    <m/>
    <n v="0"/>
    <n v="135"/>
    <n v="0"/>
    <n v="0"/>
    <n v="0"/>
    <n v="0"/>
    <n v="0"/>
    <n v="0"/>
    <n v="0"/>
    <n v="0"/>
    <n v="0"/>
    <n v="0"/>
    <n v="135"/>
    <n v="0"/>
  </r>
  <r>
    <x v="0"/>
    <x v="1"/>
    <x v="0"/>
    <s v="5617200"/>
    <n v="749510"/>
    <s v="Miscellaneous Expenses"/>
    <s v="HOD-Urgent Belfair"/>
    <x v="0"/>
    <m/>
    <n v="-1251"/>
    <n v="-2046.8"/>
    <n v="0"/>
    <n v="1231"/>
    <n v="-1231"/>
    <n v="0"/>
    <n v="2092.98"/>
    <n v="407.02"/>
    <n v="-2500"/>
    <n v="0"/>
    <n v="0"/>
    <n v="375"/>
    <n v="-2922.8"/>
    <n v="-375"/>
  </r>
  <r>
    <x v="0"/>
    <x v="1"/>
    <x v="0"/>
    <s v="5617200"/>
    <n v="749513"/>
    <s v="Licenses-Advanced Practice Clinician"/>
    <s v="HOD-Urgent Belfair"/>
    <x v="0"/>
    <n v="2000"/>
    <n v="0"/>
    <n v="0"/>
    <n v="245"/>
    <n v="0"/>
    <n v="1231"/>
    <n v="0"/>
    <n v="0"/>
    <n v="0"/>
    <n v="0"/>
    <n v="0"/>
    <n v="0"/>
    <n v="250"/>
    <n v="1726"/>
    <n v="-250"/>
  </r>
  <r>
    <x v="0"/>
    <x v="1"/>
    <x v="0"/>
    <s v="5617200"/>
    <n v="749532"/>
    <s v="Travel-Physician"/>
    <s v="HOD-Urgent Belfair"/>
    <x v="0"/>
    <m/>
    <n v="0"/>
    <n v="0"/>
    <n v="0"/>
    <n v="607.6"/>
    <n v="0"/>
    <n v="0"/>
    <n v="0"/>
    <n v="1282.98"/>
    <n v="0"/>
    <n v="0"/>
    <n v="0"/>
    <n v="0"/>
    <n v="1890.58"/>
    <n v="0"/>
  </r>
  <r>
    <x v="0"/>
    <x v="1"/>
    <x v="0"/>
    <s v="5617200"/>
    <n v="749533"/>
    <s v="Travel-Advanced Practice Clinician"/>
    <s v="HOD-Urgent Belfair"/>
    <x v="0"/>
    <m/>
    <n v="0"/>
    <n v="1214.8599999999999"/>
    <n v="0"/>
    <n v="0"/>
    <n v="0"/>
    <n v="0"/>
    <n v="0"/>
    <n v="0"/>
    <n v="1850"/>
    <n v="0"/>
    <n v="0"/>
    <n v="0"/>
    <n v="3064.8599999999997"/>
    <n v="0"/>
  </r>
  <r>
    <x v="0"/>
    <x v="1"/>
    <x v="0"/>
    <s v="5617200"/>
    <n v="766010"/>
    <s v="Property Tax"/>
    <s v="HOD-Urgent Belfair"/>
    <x v="0"/>
    <m/>
    <n v="0"/>
    <n v="0"/>
    <n v="0"/>
    <n v="0"/>
    <n v="0"/>
    <n v="0"/>
    <n v="0"/>
    <n v="0"/>
    <n v="0"/>
    <n v="0"/>
    <n v="-6.97"/>
    <n v="0"/>
    <n v="-6.97"/>
    <n v="-6.97"/>
  </r>
  <r>
    <x v="9"/>
    <x v="1"/>
    <x v="0"/>
    <s v="5617200"/>
    <n v="800015"/>
    <s v="Interest Income-Ext to CHI"/>
    <s v="HOD-Urgent Belfair"/>
    <x v="0"/>
    <m/>
    <n v="-21.36"/>
    <n v="-20.34"/>
    <n v="-18.7"/>
    <n v="-18.309999999999999"/>
    <n v="-16.73"/>
    <n v="0"/>
    <n v="0"/>
    <n v="0"/>
    <n v="0"/>
    <n v="0"/>
    <n v="0"/>
    <n v="0"/>
    <n v="-95.440000000000012"/>
    <n v="0"/>
  </r>
  <r>
    <x v="1"/>
    <x v="1"/>
    <x v="0"/>
    <s v="5618200"/>
    <n v="400029"/>
    <s v="MD Practice Other Rev--Medicare"/>
    <s v="HOD-Urgent Bainbridge"/>
    <x v="0"/>
    <n v="1100"/>
    <n v="-37"/>
    <n v="-155"/>
    <n v="-275"/>
    <n v="-332"/>
    <n v="-375"/>
    <n v="-260"/>
    <n v="-159"/>
    <n v="-430"/>
    <n v="-545"/>
    <n v="-289"/>
    <n v="-488"/>
    <n v="-158"/>
    <n v="-3503"/>
    <n v="-330"/>
  </r>
  <r>
    <x v="1"/>
    <x v="1"/>
    <x v="0"/>
    <s v="5618200"/>
    <n v="400029"/>
    <s v="MD Practice Other Rev--Medicaid"/>
    <s v="HOD-Urgent Bainbridge"/>
    <x v="0"/>
    <n v="1200"/>
    <n v="-37"/>
    <n v="-450"/>
    <n v="-1166"/>
    <n v="-1892"/>
    <n v="-1712"/>
    <n v="-997"/>
    <n v="-716"/>
    <n v="-1234"/>
    <n v="-1515"/>
    <n v="-778"/>
    <n v="-402"/>
    <n v="-817"/>
    <n v="-11716"/>
    <n v="415"/>
  </r>
  <r>
    <x v="1"/>
    <x v="1"/>
    <x v="0"/>
    <s v="5618200"/>
    <n v="400029"/>
    <s v="MD Practice Other Rev--Comm Insurance"/>
    <s v="HOD-Urgent Bainbridge"/>
    <x v="0"/>
    <n v="1300"/>
    <n v="0"/>
    <n v="0"/>
    <n v="-169"/>
    <n v="0"/>
    <n v="-20"/>
    <n v="-55"/>
    <n v="-135"/>
    <n v="0"/>
    <n v="-10"/>
    <n v="-99"/>
    <n v="-81"/>
    <n v="-124"/>
    <n v="-693"/>
    <n v="43"/>
  </r>
  <r>
    <x v="1"/>
    <x v="1"/>
    <x v="0"/>
    <s v="5618200"/>
    <n v="400029"/>
    <s v="MD Practice Other Rev--BCBS Comm"/>
    <s v="HOD-Urgent Bainbridge"/>
    <x v="0"/>
    <n v="1301"/>
    <n v="0"/>
    <n v="-141"/>
    <n v="-433"/>
    <n v="-890"/>
    <n v="-726"/>
    <n v="-786"/>
    <n v="-1190"/>
    <n v="-569"/>
    <n v="-999"/>
    <n v="-368"/>
    <n v="1"/>
    <n v="-233"/>
    <n v="-6334"/>
    <n v="234"/>
  </r>
  <r>
    <x v="1"/>
    <x v="1"/>
    <x v="0"/>
    <s v="5618200"/>
    <n v="400029"/>
    <s v="MD Practice Other Rev--Managed Care"/>
    <s v="HOD-Urgent Bainbridge"/>
    <x v="0"/>
    <n v="1400"/>
    <n v="-48"/>
    <n v="-802"/>
    <n v="-1648"/>
    <n v="-1584"/>
    <n v="-1746"/>
    <n v="-1449"/>
    <n v="-1367"/>
    <n v="-890"/>
    <n v="-2234"/>
    <n v="-818"/>
    <n v="-780"/>
    <n v="-531"/>
    <n v="-13897"/>
    <n v="-249"/>
  </r>
  <r>
    <x v="1"/>
    <x v="1"/>
    <x v="0"/>
    <s v="5618200"/>
    <n v="400029"/>
    <s v="MD Practice Other Rev--Self Pay"/>
    <s v="HOD-Urgent Bainbridge"/>
    <x v="0"/>
    <n v="1500"/>
    <n v="-9"/>
    <n v="-45"/>
    <n v="-203"/>
    <n v="-67"/>
    <n v="-44"/>
    <n v="-70"/>
    <n v="-45"/>
    <n v="-24"/>
    <n v="-53"/>
    <n v="-45"/>
    <n v="0"/>
    <n v="-304"/>
    <n v="-909"/>
    <n v="304"/>
  </r>
  <r>
    <x v="1"/>
    <x v="1"/>
    <x v="0"/>
    <s v="5618200"/>
    <n v="400029"/>
    <s v="MD Practice Other Rev--Other"/>
    <s v="HOD-Urgent Bainbridge"/>
    <x v="0"/>
    <n v="1700"/>
    <n v="0"/>
    <n v="-150"/>
    <n v="-75"/>
    <n v="-183"/>
    <n v="-290"/>
    <n v="-505"/>
    <n v="-143"/>
    <n v="-737"/>
    <n v="-290"/>
    <n v="-439"/>
    <n v="-134"/>
    <n v="-40"/>
    <n v="-2986"/>
    <n v="-94"/>
  </r>
  <r>
    <x v="1"/>
    <x v="1"/>
    <x v="0"/>
    <s v="5618200"/>
    <n v="400040"/>
    <s v="Physician Svcs Rev--Medicare"/>
    <s v="HOD-Urgent Bainbridge"/>
    <x v="0"/>
    <n v="1100"/>
    <n v="-34468"/>
    <n v="-34108"/>
    <n v="-26890"/>
    <n v="-27030"/>
    <n v="-17320"/>
    <n v="-21866"/>
    <n v="-21802"/>
    <n v="-11897"/>
    <n v="-16678.32"/>
    <n v="-10191"/>
    <n v="-13645"/>
    <n v="-13122"/>
    <n v="-249017.32"/>
    <n v="-523"/>
  </r>
  <r>
    <x v="1"/>
    <x v="1"/>
    <x v="0"/>
    <s v="5618200"/>
    <n v="400040"/>
    <s v="Physician Svcs Rev--Medicaid"/>
    <s v="HOD-Urgent Bainbridge"/>
    <x v="0"/>
    <n v="1200"/>
    <n v="-37512.720000000001"/>
    <n v="-40838"/>
    <n v="-37922"/>
    <n v="-50118"/>
    <n v="-33951"/>
    <n v="-29511"/>
    <n v="-26519"/>
    <n v="-21515"/>
    <n v="-24053.68"/>
    <n v="-23061"/>
    <n v="-17876"/>
    <n v="-23993"/>
    <n v="-366870.39999999997"/>
    <n v="6117"/>
  </r>
  <r>
    <x v="1"/>
    <x v="1"/>
    <x v="0"/>
    <s v="5618200"/>
    <n v="400040"/>
    <s v="Physician Svcs Rev--Comm Insurance"/>
    <s v="HOD-Urgent Bainbridge"/>
    <x v="0"/>
    <n v="1300"/>
    <n v="-3196"/>
    <n v="-2469"/>
    <n v="-3925"/>
    <n v="-1381"/>
    <n v="-1674"/>
    <n v="-2349"/>
    <n v="-3328"/>
    <n v="0"/>
    <n v="-623"/>
    <n v="-1086"/>
    <n v="-1269"/>
    <n v="-2525"/>
    <n v="-23825"/>
    <n v="1256"/>
  </r>
  <r>
    <x v="1"/>
    <x v="1"/>
    <x v="0"/>
    <s v="5618200"/>
    <n v="400040"/>
    <s v="Physician Svcs Rev--BCBS Comm"/>
    <s v="HOD-Urgent Bainbridge"/>
    <x v="0"/>
    <n v="1301"/>
    <n v="-31002"/>
    <n v="-25328"/>
    <n v="-20912"/>
    <n v="-22604"/>
    <n v="-17646"/>
    <n v="-19352"/>
    <n v="-25622.98"/>
    <n v="-16322"/>
    <n v="-10021"/>
    <n v="-5848"/>
    <n v="-7969"/>
    <n v="-9808"/>
    <n v="-212434.98"/>
    <n v="1839"/>
  </r>
  <r>
    <x v="1"/>
    <x v="1"/>
    <x v="0"/>
    <s v="5618200"/>
    <n v="400040"/>
    <s v="Physician Svcs Rev--Managed Care"/>
    <s v="HOD-Urgent Bainbridge"/>
    <x v="0"/>
    <n v="1400"/>
    <n v="-63433.279999999999"/>
    <n v="-65025.96"/>
    <n v="-53908"/>
    <n v="-70957.98"/>
    <n v="-35216"/>
    <n v="-39194"/>
    <n v="-43224"/>
    <n v="-22241"/>
    <n v="-30651"/>
    <n v="-17482.98"/>
    <n v="-20171"/>
    <n v="-22706"/>
    <n v="-484211.19999999995"/>
    <n v="2535"/>
  </r>
  <r>
    <x v="1"/>
    <x v="1"/>
    <x v="0"/>
    <s v="5618200"/>
    <n v="400040"/>
    <s v="Physician Svcs Rev--Self Pay"/>
    <s v="HOD-Urgent Bainbridge"/>
    <x v="0"/>
    <n v="1500"/>
    <n v="-7174"/>
    <n v="-8642"/>
    <n v="-4864"/>
    <n v="-4697"/>
    <n v="-6128.32"/>
    <n v="-4178"/>
    <n v="-1953"/>
    <n v="-1604"/>
    <n v="-2663"/>
    <n v="-3002"/>
    <n v="-2414"/>
    <n v="-2434"/>
    <n v="-49753.32"/>
    <n v="20"/>
  </r>
  <r>
    <x v="1"/>
    <x v="1"/>
    <x v="0"/>
    <s v="5618200"/>
    <n v="400040"/>
    <s v="Physician Svcs Rev--Other"/>
    <s v="HOD-Urgent Bainbridge"/>
    <x v="0"/>
    <n v="1700"/>
    <n v="-12792"/>
    <n v="-17364"/>
    <n v="-12125"/>
    <n v="-18797"/>
    <n v="-10614"/>
    <n v="-12823"/>
    <n v="-10081"/>
    <n v="-10597"/>
    <n v="-7316"/>
    <n v="-8461"/>
    <n v="-7734"/>
    <n v="-10479.25"/>
    <n v="-139183.25"/>
    <n v="2745.25"/>
  </r>
  <r>
    <x v="2"/>
    <x v="1"/>
    <x v="0"/>
    <s v="5618200"/>
    <n v="450029"/>
    <s v="Contr Allow--MD Other-Medicare"/>
    <s v="HOD-Urgent Bainbridge"/>
    <x v="0"/>
    <n v="1100"/>
    <n v="16.04"/>
    <n v="48.58"/>
    <n v="126.38"/>
    <n v="250"/>
    <n v="207.51"/>
    <n v="131.69999999999999"/>
    <n v="84.44"/>
    <n v="159"/>
    <n v="147.52000000000001"/>
    <n v="419.89"/>
    <n v="345.63"/>
    <n v="132.85"/>
    <n v="2069.54"/>
    <n v="212.78"/>
  </r>
  <r>
    <x v="2"/>
    <x v="1"/>
    <x v="0"/>
    <s v="5618200"/>
    <n v="450029"/>
    <s v="Contr Allow--MD Other-Medicaid"/>
    <s v="HOD-Urgent Bainbridge"/>
    <x v="0"/>
    <n v="1200"/>
    <n v="24.24"/>
    <n v="136.36000000000001"/>
    <n v="482.98"/>
    <n v="990.01"/>
    <n v="986.4"/>
    <n v="482.33"/>
    <n v="607.44000000000005"/>
    <n v="476.83"/>
    <n v="867.89"/>
    <n v="1498.74"/>
    <n v="586.01"/>
    <n v="387.97"/>
    <n v="7527.2000000000007"/>
    <n v="198.03999999999996"/>
  </r>
  <r>
    <x v="2"/>
    <x v="1"/>
    <x v="0"/>
    <s v="5618200"/>
    <n v="450029"/>
    <s v="Contr Allow--MD Other-Comm Insurance"/>
    <s v="HOD-Urgent Bainbridge"/>
    <x v="0"/>
    <n v="1300"/>
    <n v="0"/>
    <n v="0"/>
    <n v="0"/>
    <n v="84.23"/>
    <n v="6.22"/>
    <n v="15.86"/>
    <n v="81.87"/>
    <n v="0"/>
    <n v="0"/>
    <n v="6.22"/>
    <n v="87.55"/>
    <n v="55.74"/>
    <n v="337.69"/>
    <n v="31.809999999999995"/>
  </r>
  <r>
    <x v="2"/>
    <x v="1"/>
    <x v="0"/>
    <s v="5618200"/>
    <n v="450029"/>
    <s v="Contr Allow--MD Other BCBS Comm"/>
    <s v="HOD-Urgent Bainbridge"/>
    <x v="0"/>
    <n v="1301"/>
    <n v="0"/>
    <n v="69"/>
    <n v="106.35"/>
    <n v="311.75"/>
    <n v="786.99"/>
    <n v="318.13"/>
    <n v="645.72"/>
    <n v="569.79"/>
    <n v="406.46"/>
    <n v="525.01"/>
    <n v="203.89"/>
    <n v="132.30000000000001"/>
    <n v="4075.3900000000008"/>
    <n v="71.589999999999975"/>
  </r>
  <r>
    <x v="2"/>
    <x v="1"/>
    <x v="0"/>
    <s v="5618200"/>
    <n v="450029"/>
    <s v="Contr Allow--MD Other-Managed Care"/>
    <s v="HOD-Urgent Bainbridge"/>
    <x v="0"/>
    <n v="1400"/>
    <n v="16.54"/>
    <n v="211.17"/>
    <n v="664.71"/>
    <n v="930.33"/>
    <n v="932.27"/>
    <n v="919.88"/>
    <n v="821.3"/>
    <n v="562.11"/>
    <n v="721.53"/>
    <n v="1294.5999999999999"/>
    <n v="500.63"/>
    <n v="507.73"/>
    <n v="8082.7999999999993"/>
    <n v="-7.1000000000000227"/>
  </r>
  <r>
    <x v="2"/>
    <x v="1"/>
    <x v="0"/>
    <s v="5618200"/>
    <n v="450029"/>
    <s v="Admin Adjust-MD Other-Self Pay"/>
    <s v="HOD-Urgent Bainbridge"/>
    <x v="0"/>
    <n v="1600"/>
    <n v="3.33"/>
    <n v="17.89"/>
    <n v="97.35"/>
    <n v="57.48"/>
    <n v="27.41"/>
    <n v="35.9"/>
    <n v="160.36000000000001"/>
    <n v="24.24"/>
    <n v="31.41"/>
    <n v="30.65"/>
    <n v="11.02"/>
    <n v="287.48"/>
    <n v="784.52"/>
    <n v="-276.46000000000004"/>
  </r>
  <r>
    <x v="2"/>
    <x v="1"/>
    <x v="0"/>
    <s v="5618200"/>
    <n v="450029"/>
    <s v="Contr Allow--MD Other-Other"/>
    <s v="HOD-Urgent Bainbridge"/>
    <x v="0"/>
    <n v="1700"/>
    <n v="0"/>
    <n v="18.82"/>
    <n v="55.72"/>
    <n v="179.26"/>
    <n v="24.17"/>
    <n v="0"/>
    <n v="94.63"/>
    <n v="413.36"/>
    <n v="524.71"/>
    <n v="415.71"/>
    <n v="244.81"/>
    <n v="54.52"/>
    <n v="2025.71"/>
    <n v="190.29"/>
  </r>
  <r>
    <x v="2"/>
    <x v="1"/>
    <x v="0"/>
    <s v="5618200"/>
    <n v="450040"/>
    <s v="Contr Allow--Phys Svcs--Mcare"/>
    <s v="HOD-Urgent Bainbridge"/>
    <x v="0"/>
    <n v="1100"/>
    <n v="18907.650000000001"/>
    <n v="25876.959999999999"/>
    <n v="18410.78"/>
    <n v="20128.759999999998"/>
    <n v="11154.4"/>
    <n v="10052.66"/>
    <n v="10891.27"/>
    <n v="10515.73"/>
    <n v="8720.56"/>
    <n v="9176.24"/>
    <n v="8139.8"/>
    <n v="7682.19"/>
    <n v="159656.99999999997"/>
    <n v="457.61000000000058"/>
  </r>
  <r>
    <x v="2"/>
    <x v="1"/>
    <x v="0"/>
    <s v="5618200"/>
    <n v="450040"/>
    <s v="Contr Allow--Phys Svcs--Mcaid"/>
    <s v="HOD-Urgent Bainbridge"/>
    <x v="0"/>
    <n v="1200"/>
    <n v="33489.760000000002"/>
    <n v="30901.17"/>
    <n v="32252.31"/>
    <n v="32865.410000000003"/>
    <n v="29708.95"/>
    <n v="17761.72"/>
    <n v="23874.62"/>
    <n v="13579.37"/>
    <n v="18266.169999999998"/>
    <n v="18366.169999999998"/>
    <n v="17236.04"/>
    <n v="15441.57"/>
    <n v="283743.25999999995"/>
    <n v="1794.4700000000012"/>
  </r>
  <r>
    <x v="2"/>
    <x v="1"/>
    <x v="0"/>
    <s v="5618200"/>
    <n v="450040"/>
    <s v="Contr Allow--Phys Svcs--Comm Insurance"/>
    <s v="HOD-Urgent Bainbridge"/>
    <x v="0"/>
    <n v="1300"/>
    <n v="200.09"/>
    <n v="1176.25"/>
    <n v="1084.1199999999999"/>
    <n v="1064.8"/>
    <n v="343.11"/>
    <n v="94.93"/>
    <n v="1658.14"/>
    <n v="289.91000000000003"/>
    <n v="0"/>
    <n v="-77"/>
    <n v="125.52"/>
    <n v="728.68"/>
    <n v="6688.5500000000011"/>
    <n v="-603.16"/>
  </r>
  <r>
    <x v="2"/>
    <x v="1"/>
    <x v="0"/>
    <s v="5618200"/>
    <n v="450040"/>
    <s v="Contr Allow--Phys Svcs--BCBS Comm Ins"/>
    <s v="HOD-Urgent Bainbridge"/>
    <x v="0"/>
    <n v="1301"/>
    <n v="17534.75"/>
    <n v="14368.53"/>
    <n v="10332.950000000001"/>
    <n v="7096.17"/>
    <n v="13899.21"/>
    <n v="6538.05"/>
    <n v="12493.24"/>
    <n v="9727.43"/>
    <n v="7317.97"/>
    <n v="3886.92"/>
    <n v="4177.59"/>
    <n v="4267.4399999999996"/>
    <n v="111640.24999999999"/>
    <n v="-89.849999999999454"/>
  </r>
  <r>
    <x v="2"/>
    <x v="1"/>
    <x v="0"/>
    <s v="5618200"/>
    <n v="450040"/>
    <s v="Contr Allow--Phys Svcs--Managed Care"/>
    <s v="HOD-Urgent Bainbridge"/>
    <x v="0"/>
    <n v="1400"/>
    <n v="25773.9"/>
    <n v="31066.29"/>
    <n v="20814.66"/>
    <n v="24486.12"/>
    <n v="19713.88"/>
    <n v="10003.65"/>
    <n v="13635.53"/>
    <n v="11627.78"/>
    <n v="9068.1200000000008"/>
    <n v="10148.629999999999"/>
    <n v="9148.6200000000008"/>
    <n v="8618.1"/>
    <n v="194105.28"/>
    <n v="530.52000000000044"/>
  </r>
  <r>
    <x v="2"/>
    <x v="1"/>
    <x v="0"/>
    <s v="5618200"/>
    <n v="450040"/>
    <s v="Contr Allow--Phys Svcs--BCBS Mgnd Care"/>
    <s v="HOD-Urgent Bainbridge"/>
    <x v="0"/>
    <n v="1401"/>
    <n v="-10546.73"/>
    <n v="-16036.72"/>
    <n v="-7984"/>
    <n v="6855.76"/>
    <n v="-15607.5"/>
    <n v="17171.07"/>
    <n v="1860.04"/>
    <n v="-10959.61"/>
    <n v="-4018.32"/>
    <n v="-17004.37"/>
    <n v="-5409.74"/>
    <n v="-1787.07"/>
    <n v="-63467.189999999988"/>
    <n v="-3622.67"/>
  </r>
  <r>
    <x v="2"/>
    <x v="1"/>
    <x v="0"/>
    <s v="5618200"/>
    <n v="450040"/>
    <s v="Admin Adjust-Phys Svcs-Self Pay"/>
    <s v="HOD-Urgent Bainbridge"/>
    <x v="0"/>
    <n v="1600"/>
    <n v="3093.6"/>
    <n v="4191.87"/>
    <n v="2391.6999999999998"/>
    <n v="2310.67"/>
    <n v="2479.33"/>
    <n v="1765.81"/>
    <n v="1714.05"/>
    <n v="761.13"/>
    <n v="1694.12"/>
    <n v="1175.76"/>
    <n v="1145.19"/>
    <n v="12405.39"/>
    <n v="35128.619999999995"/>
    <n v="-11260.199999999999"/>
  </r>
  <r>
    <x v="2"/>
    <x v="1"/>
    <x v="0"/>
    <s v="5618200"/>
    <n v="450040"/>
    <s v="Contr Allow--Phys Svcs--Other"/>
    <s v="HOD-Urgent Bainbridge"/>
    <x v="0"/>
    <n v="1700"/>
    <n v="5317.75"/>
    <n v="9078.7099999999991"/>
    <n v="7703.01"/>
    <n v="6823.73"/>
    <n v="2756.92"/>
    <n v="2273.34"/>
    <n v="5513.11"/>
    <n v="10318.780000000001"/>
    <n v="7538.34"/>
    <n v="6458.65"/>
    <n v="3640.35"/>
    <n v="3725"/>
    <n v="71147.69"/>
    <n v="-84.650000000000091"/>
  </r>
  <r>
    <x v="3"/>
    <x v="1"/>
    <x v="0"/>
    <s v="5618200"/>
    <n v="470040"/>
    <s v="Charity Care-Physician Svcs"/>
    <s v="HOD-Urgent Bainbridge"/>
    <x v="0"/>
    <m/>
    <n v="-267.54000000000002"/>
    <n v="1024.55"/>
    <n v="-392.82"/>
    <n v="269.83"/>
    <n v="-409.41"/>
    <n v="725.28"/>
    <n v="739.93"/>
    <n v="14.4"/>
    <n v="691.8"/>
    <n v="-73.08"/>
    <n v="-99.97"/>
    <n v="1171.96"/>
    <n v="3394.93"/>
    <n v="-1271.93"/>
  </r>
  <r>
    <x v="4"/>
    <x v="1"/>
    <x v="0"/>
    <s v="5618200"/>
    <n v="490010"/>
    <s v="Provision for Bad Debts"/>
    <s v="HOD-Urgent Bainbridge"/>
    <x v="0"/>
    <m/>
    <n v="4711.25"/>
    <n v="2504.31"/>
    <n v="3377.59"/>
    <n v="6079.26"/>
    <n v="3973.07"/>
    <n v="5608.2"/>
    <n v="-1509.82"/>
    <n v="512.66999999999996"/>
    <n v="3448.9"/>
    <n v="-1172.0899999999999"/>
    <n v="1172.1500000000001"/>
    <n v="-482.58"/>
    <n v="28222.91"/>
    <n v="1654.73"/>
  </r>
  <r>
    <x v="5"/>
    <x v="1"/>
    <x v="0"/>
    <s v="5618200"/>
    <n v="700022"/>
    <s v="Salaries-Physician-Productive"/>
    <s v="HOD-Urgent Bainbridge"/>
    <x v="0"/>
    <m/>
    <n v="45563.34"/>
    <n v="38810.19"/>
    <n v="46262.42"/>
    <n v="44787.839999999997"/>
    <n v="36816.629999999997"/>
    <n v="19151.93"/>
    <n v="35529.760000000002"/>
    <n v="29901.29"/>
    <n v="29719.33"/>
    <n v="11524.78"/>
    <n v="27773.62"/>
    <n v="34756.54"/>
    <n v="400597.67"/>
    <n v="-6982.9200000000019"/>
  </r>
  <r>
    <x v="5"/>
    <x v="1"/>
    <x v="0"/>
    <s v="5618200"/>
    <n v="700022"/>
    <s v="Salaries-Physician-Other"/>
    <s v="HOD-Urgent Bainbridge"/>
    <x v="0"/>
    <n v="2000"/>
    <n v="5330.25"/>
    <n v="12571.39"/>
    <n v="106.94"/>
    <n v="7386.37"/>
    <n v="507.7"/>
    <n v="6023.1"/>
    <n v="-100"/>
    <n v="1420.48"/>
    <n v="2130.73"/>
    <n v="3724.05"/>
    <n v="13731.31"/>
    <n v="5190.7700000000004"/>
    <n v="58023.090000000011"/>
    <n v="8540.5399999999991"/>
  </r>
  <r>
    <x v="5"/>
    <x v="1"/>
    <x v="0"/>
    <s v="5618200"/>
    <n v="700022"/>
    <s v="Salaries-Physician-Provider Incentive"/>
    <s v="HOD-Urgent Bainbridge"/>
    <x v="0"/>
    <n v="4003"/>
    <n v="0"/>
    <n v="7231.5"/>
    <n v="0"/>
    <n v="0"/>
    <n v="2665.8"/>
    <n v="0"/>
    <n v="0"/>
    <n v="0"/>
    <n v="0"/>
    <n v="0"/>
    <n v="626.04999999999995"/>
    <n v="-0.92"/>
    <n v="10522.429999999998"/>
    <n v="626.96999999999991"/>
  </r>
  <r>
    <x v="5"/>
    <x v="1"/>
    <x v="0"/>
    <s v="5618200"/>
    <n v="700024"/>
    <s v="Salaries-Advanced Practice Clinician-Productive"/>
    <s v="HOD-Urgent Bainbridge"/>
    <x v="0"/>
    <m/>
    <n v="0"/>
    <n v="1302.21"/>
    <n v="-434.07"/>
    <n v="1562.65"/>
    <n v="793.71"/>
    <n v="818.53"/>
    <n v="-74.41"/>
    <n v="0"/>
    <n v="0"/>
    <n v="0"/>
    <n v="0"/>
    <n v="0"/>
    <n v="3968.62"/>
    <n v="0"/>
  </r>
  <r>
    <x v="5"/>
    <x v="1"/>
    <x v="0"/>
    <s v="5618200"/>
    <n v="700024"/>
    <s v="Salaries-Advanced Practice Clinician-Other"/>
    <s v="HOD-Urgent Bainbridge"/>
    <x v="0"/>
    <n v="2000"/>
    <n v="0"/>
    <n v="0"/>
    <n v="0"/>
    <n v="0"/>
    <n v="0"/>
    <n v="0"/>
    <n v="0"/>
    <n v="0"/>
    <n v="1351.96"/>
    <n v="2378.4699999999998"/>
    <n v="0"/>
    <n v="0"/>
    <n v="3730.43"/>
    <n v="0"/>
  </r>
  <r>
    <x v="5"/>
    <x v="1"/>
    <x v="0"/>
    <s v="5618200"/>
    <n v="700038"/>
    <s v="Salaries-Service/Support-Productive"/>
    <s v="HOD-Urgent Bainbridge"/>
    <x v="0"/>
    <m/>
    <n v="0"/>
    <n v="0"/>
    <n v="0"/>
    <n v="0"/>
    <n v="0"/>
    <n v="0"/>
    <n v="0"/>
    <n v="0"/>
    <n v="0"/>
    <n v="0"/>
    <n v="1287.76"/>
    <n v="1401.4"/>
    <n v="2689.16"/>
    <n v="-113.6400000000001"/>
  </r>
  <r>
    <x v="5"/>
    <x v="1"/>
    <x v="0"/>
    <s v="5618200"/>
    <n v="700062"/>
    <s v="Salaries-Physician-Non-productive"/>
    <s v="HOD-Urgent Bainbridge"/>
    <x v="0"/>
    <m/>
    <n v="8904.33"/>
    <n v="2882.34"/>
    <n v="-1771.53"/>
    <n v="5957.18"/>
    <n v="3733.12"/>
    <n v="6136.31"/>
    <n v="1098.6600000000001"/>
    <n v="0"/>
    <n v="3271.27"/>
    <n v="10367.07"/>
    <n v="13986.13"/>
    <n v="-3009.24"/>
    <n v="51555.64"/>
    <n v="16995.37"/>
  </r>
  <r>
    <x v="5"/>
    <x v="1"/>
    <x v="0"/>
    <s v="5618200"/>
    <n v="700062"/>
    <s v="Salaries-Physician-NonProd-Other"/>
    <s v="HOD-Urgent Bainbridg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18200"/>
    <n v="700078"/>
    <s v="Salaries-Service/Support-Non-productive"/>
    <s v="HOD-Urgent Bainbridge"/>
    <x v="0"/>
    <m/>
    <n v="0"/>
    <n v="0"/>
    <n v="0"/>
    <n v="0"/>
    <n v="0"/>
    <n v="0"/>
    <n v="0"/>
    <n v="0"/>
    <n v="0"/>
    <n v="0"/>
    <n v="0"/>
    <n v="75.75"/>
    <n v="75.75"/>
    <n v="-75.75"/>
  </r>
  <r>
    <x v="5"/>
    <x v="1"/>
    <x v="0"/>
    <s v="5618200"/>
    <n v="700078"/>
    <s v="Salaries-Service/Support-NonProd-Other"/>
    <s v="HOD-Urgent Bainbridg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18200"/>
    <n v="700084"/>
    <s v="Accrued PTO"/>
    <s v="HOD-Urgent Bainbridge"/>
    <x v="0"/>
    <m/>
    <n v="0"/>
    <n v="0"/>
    <n v="0"/>
    <n v="0"/>
    <n v="0"/>
    <n v="0"/>
    <n v="0"/>
    <n v="0"/>
    <n v="0"/>
    <n v="0"/>
    <n v="82.82"/>
    <n v="-82.82"/>
    <n v="0"/>
    <n v="165.64"/>
  </r>
  <r>
    <x v="6"/>
    <x v="1"/>
    <x v="0"/>
    <s v="5618200"/>
    <n v="713010"/>
    <s v="Benefits-FICA/Medicare"/>
    <s v="HOD-Urgent Bainbridge"/>
    <x v="0"/>
    <m/>
    <n v="2939.92"/>
    <n v="2612.73"/>
    <n v="552.73"/>
    <n v="1141.04"/>
    <n v="1081.71"/>
    <n v="1192.49"/>
    <n v="2711.02"/>
    <n v="2337.19"/>
    <n v="2720.29"/>
    <n v="1603.4"/>
    <n v="4457.47"/>
    <n v="1180.06"/>
    <n v="24530.050000000003"/>
    <n v="3277.4100000000003"/>
  </r>
  <r>
    <x v="6"/>
    <x v="1"/>
    <x v="0"/>
    <s v="5618200"/>
    <n v="713090"/>
    <s v="Benefits-Allocated Amounts"/>
    <s v="HOD-Urgent Bainbridge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18200"/>
    <n v="713092"/>
    <s v="Allocated Benefits-Physician"/>
    <s v="HOD-Urgent Bainbridge"/>
    <x v="0"/>
    <m/>
    <n v="4467.76"/>
    <n v="4157.83"/>
    <n v="3534.27"/>
    <n v="4054.45"/>
    <n v="3471.85"/>
    <n v="2328.56"/>
    <n v="3674.08"/>
    <n v="3200.91"/>
    <n v="4417.92"/>
    <n v="2174.23"/>
    <n v="4184.3"/>
    <n v="3883.2"/>
    <n v="43549.360000000008"/>
    <n v="301.10000000000036"/>
  </r>
  <r>
    <x v="6"/>
    <x v="1"/>
    <x v="0"/>
    <s v="5618200"/>
    <n v="713093"/>
    <s v="Allocated Benefits-Advanced Practice Clinician"/>
    <s v="HOD-Urgent Bainbridge"/>
    <x v="0"/>
    <m/>
    <n v="223.38"/>
    <n v="207.88"/>
    <n v="176.7"/>
    <n v="202.71"/>
    <n v="173.59"/>
    <n v="116.42"/>
    <n v="183.7"/>
    <n v="160.03"/>
    <n v="-485.59"/>
    <n v="62.59"/>
    <n v="120.45"/>
    <n v="111.78"/>
    <n v="1253.6400000000001"/>
    <n v="8.6700000000000017"/>
  </r>
  <r>
    <x v="12"/>
    <x v="1"/>
    <x v="0"/>
    <s v="5618200"/>
    <n v="730020"/>
    <s v="Rental and Leases-Copier Usage Fees (DO NOT USE)"/>
    <s v="HOD-Urgent Bainbridge"/>
    <x v="0"/>
    <n v="5100"/>
    <n v="0"/>
    <n v="0"/>
    <n v="0"/>
    <n v="0"/>
    <n v="0"/>
    <n v="0"/>
    <n v="48.94"/>
    <n v="0"/>
    <n v="0"/>
    <n v="0"/>
    <n v="0"/>
    <n v="0"/>
    <n v="48.94"/>
    <n v="0"/>
  </r>
  <r>
    <x v="0"/>
    <x v="1"/>
    <x v="0"/>
    <s v="5618200"/>
    <n v="740022"/>
    <s v="Education-Physician"/>
    <s v="HOD-Urgent Bainbridge"/>
    <x v="0"/>
    <m/>
    <n v="0"/>
    <n v="0"/>
    <n v="0"/>
    <n v="0"/>
    <n v="0"/>
    <n v="0"/>
    <n v="0"/>
    <n v="0"/>
    <n v="0"/>
    <n v="745"/>
    <n v="0"/>
    <n v="0"/>
    <n v="745"/>
    <n v="0"/>
  </r>
  <r>
    <x v="0"/>
    <x v="1"/>
    <x v="0"/>
    <s v="5618200"/>
    <n v="740022"/>
    <s v="Books-Physician"/>
    <s v="HOD-Urgent Bainbridge"/>
    <x v="0"/>
    <n v="2000"/>
    <n v="0"/>
    <n v="0"/>
    <n v="0"/>
    <n v="3062.5"/>
    <n v="994"/>
    <n v="0"/>
    <n v="0"/>
    <n v="0"/>
    <n v="0"/>
    <n v="300"/>
    <n v="0"/>
    <n v="0"/>
    <n v="4356.5"/>
    <n v="0"/>
  </r>
  <r>
    <x v="8"/>
    <x v="1"/>
    <x v="0"/>
    <s v="5618200"/>
    <n v="741012"/>
    <s v="Physician Liab Insurance-CHI Program"/>
    <s v="HOD-Urgent Bainbridge"/>
    <x v="0"/>
    <m/>
    <n v="2020.2"/>
    <n v="2020.2"/>
    <n v="2020.2"/>
    <n v="2020.2"/>
    <n v="2020.2"/>
    <n v="2020.17"/>
    <n v="2020.2"/>
    <n v="1787.62"/>
    <n v="1006.68"/>
    <n v="688.43"/>
    <n v="1552.39"/>
    <n v="1552.38"/>
    <n v="20728.870000000003"/>
    <n v="9.9999999999909051E-3"/>
  </r>
  <r>
    <x v="0"/>
    <x v="1"/>
    <x v="0"/>
    <s v="5618200"/>
    <n v="743022"/>
    <s v="Dues-Physician"/>
    <s v="HOD-Urgent Bainbridge"/>
    <x v="0"/>
    <m/>
    <n v="0"/>
    <n v="0"/>
    <n v="0"/>
    <n v="840"/>
    <n v="0"/>
    <n v="0"/>
    <n v="0"/>
    <n v="0"/>
    <n v="0"/>
    <n v="0"/>
    <n v="0"/>
    <n v="0"/>
    <n v="840"/>
    <n v="0"/>
  </r>
  <r>
    <x v="0"/>
    <x v="1"/>
    <x v="0"/>
    <s v="5618200"/>
    <n v="743030"/>
    <s v="Subscriptions--Institutional"/>
    <s v="HOD-Urgent Bainbridge"/>
    <x v="0"/>
    <m/>
    <n v="0"/>
    <n v="1303.32"/>
    <n v="0"/>
    <n v="0"/>
    <n v="0"/>
    <n v="0"/>
    <n v="0"/>
    <n v="0"/>
    <n v="0"/>
    <n v="0"/>
    <n v="0"/>
    <n v="0"/>
    <n v="1303.32"/>
    <n v="0"/>
  </r>
  <r>
    <x v="0"/>
    <x v="1"/>
    <x v="0"/>
    <s v="5618200"/>
    <n v="743042"/>
    <s v="Subscriptions-Physician"/>
    <s v="HOD-Urgent Bainbridge"/>
    <x v="0"/>
    <m/>
    <n v="565.71"/>
    <n v="565.71"/>
    <n v="394.8"/>
    <n v="0"/>
    <n v="-565.71"/>
    <n v="0"/>
    <n v="0"/>
    <n v="0"/>
    <n v="0"/>
    <n v="0"/>
    <n v="0"/>
    <n v="0"/>
    <n v="960.51"/>
    <n v="0"/>
  </r>
  <r>
    <x v="0"/>
    <x v="1"/>
    <x v="0"/>
    <s v="5618200"/>
    <n v="749510"/>
    <s v="Miscellaneous Expenses"/>
    <s v="HOD-Urgent Bainbridge"/>
    <x v="0"/>
    <m/>
    <n v="0"/>
    <n v="0"/>
    <n v="0"/>
    <n v="994"/>
    <n v="-994"/>
    <n v="0"/>
    <n v="0"/>
    <n v="0"/>
    <n v="0"/>
    <n v="0"/>
    <n v="0"/>
    <n v="219.68"/>
    <n v="219.68"/>
    <n v="-219.68"/>
  </r>
  <r>
    <x v="0"/>
    <x v="1"/>
    <x v="0"/>
    <s v="5618200"/>
    <n v="749512"/>
    <s v="Licenses-Physician"/>
    <s v="HOD-Urgent Bainbridge"/>
    <x v="0"/>
    <n v="2000"/>
    <n v="657"/>
    <n v="0"/>
    <n v="0"/>
    <n v="1388"/>
    <n v="0"/>
    <n v="0"/>
    <n v="0"/>
    <n v="0"/>
    <n v="0"/>
    <n v="0"/>
    <n v="0"/>
    <n v="583"/>
    <n v="2628"/>
    <n v="-583"/>
  </r>
  <r>
    <x v="15"/>
    <x v="1"/>
    <x v="0"/>
    <s v="5619200"/>
    <n v="731060"/>
    <s v="Pagers"/>
    <s v="GI Hospitalist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"/>
    <x v="1"/>
    <x v="0"/>
    <s v="5620200"/>
    <n v="400029"/>
    <s v="MD Practice Other Rev--Medicare"/>
    <s v="HOD-Gastroenterology"/>
    <x v="0"/>
    <n v="1100"/>
    <n v="0"/>
    <n v="0"/>
    <n v="0"/>
    <n v="0"/>
    <n v="-99"/>
    <n v="0"/>
    <n v="0"/>
    <n v="0"/>
    <n v="0"/>
    <n v="0"/>
    <n v="0"/>
    <n v="0"/>
    <n v="-99"/>
    <n v="0"/>
  </r>
  <r>
    <x v="1"/>
    <x v="1"/>
    <x v="0"/>
    <s v="5620200"/>
    <n v="400029"/>
    <s v="MD Practice Other Rev--Medicaid"/>
    <s v="HOD-Gastroenterology"/>
    <x v="0"/>
    <n v="1200"/>
    <n v="0"/>
    <n v="0"/>
    <n v="0"/>
    <n v="0"/>
    <n v="-99"/>
    <n v="0"/>
    <n v="0"/>
    <n v="0"/>
    <n v="0"/>
    <n v="0"/>
    <n v="0"/>
    <n v="0"/>
    <n v="-99"/>
    <n v="0"/>
  </r>
  <r>
    <x v="1"/>
    <x v="1"/>
    <x v="0"/>
    <s v="5620200"/>
    <n v="400029"/>
    <s v="MD Practice Other Rev--Managed Care"/>
    <s v="HOD-Gastroenterology"/>
    <x v="0"/>
    <n v="1400"/>
    <n v="0"/>
    <n v="0"/>
    <n v="0"/>
    <n v="0"/>
    <n v="-99"/>
    <n v="0"/>
    <n v="0"/>
    <n v="0"/>
    <n v="0"/>
    <n v="0"/>
    <n v="0"/>
    <n v="0"/>
    <n v="-99"/>
    <n v="0"/>
  </r>
  <r>
    <x v="1"/>
    <x v="1"/>
    <x v="0"/>
    <s v="5620200"/>
    <n v="400040"/>
    <s v="Physician Svcs Rev--Medicare"/>
    <s v="HOD-Gastroenterology"/>
    <x v="0"/>
    <n v="1100"/>
    <n v="-10903"/>
    <n v="-35328"/>
    <n v="-28454"/>
    <n v="-20433"/>
    <n v="-21015"/>
    <n v="-11291"/>
    <n v="-9800"/>
    <n v="-2381"/>
    <n v="-6331"/>
    <n v="-8825"/>
    <n v="2372"/>
    <n v="-5367.6"/>
    <n v="-157756.6"/>
    <n v="7739.6"/>
  </r>
  <r>
    <x v="1"/>
    <x v="1"/>
    <x v="0"/>
    <s v="5620200"/>
    <n v="400040"/>
    <s v="Physician Svcs Rev--Medicaid"/>
    <s v="HOD-Gastroenterology"/>
    <x v="0"/>
    <n v="1200"/>
    <n v="-3320"/>
    <n v="-4458"/>
    <n v="-4504"/>
    <n v="-2886"/>
    <n v="-5846"/>
    <n v="-1698"/>
    <n v="-1009"/>
    <n v="0"/>
    <n v="-3741"/>
    <n v="-6669"/>
    <n v="2167"/>
    <n v="-2040"/>
    <n v="-34004"/>
    <n v="4207"/>
  </r>
  <r>
    <x v="1"/>
    <x v="1"/>
    <x v="0"/>
    <s v="5620200"/>
    <n v="400040"/>
    <s v="Physician Svcs Rev--Comm Insurance"/>
    <s v="HOD-Gastroenterology"/>
    <x v="0"/>
    <n v="1300"/>
    <n v="0"/>
    <n v="-308"/>
    <n v="-351"/>
    <n v="-1058"/>
    <n v="-727"/>
    <n v="0"/>
    <n v="0"/>
    <n v="0"/>
    <n v="-458"/>
    <n v="-516"/>
    <n v="516"/>
    <n v="0"/>
    <n v="-2902"/>
    <n v="516"/>
  </r>
  <r>
    <x v="1"/>
    <x v="1"/>
    <x v="0"/>
    <s v="5620200"/>
    <n v="400040"/>
    <s v="Physician Svcs Rev--BCBS Comm"/>
    <s v="HOD-Gastroenterology"/>
    <x v="0"/>
    <n v="1301"/>
    <n v="0"/>
    <n v="-3075"/>
    <n v="-1179"/>
    <n v="0"/>
    <n v="-1071"/>
    <n v="0"/>
    <n v="-484"/>
    <n v="-351"/>
    <n v="-432"/>
    <n v="-200"/>
    <n v="632"/>
    <n v="0"/>
    <n v="-6160"/>
    <n v="632"/>
  </r>
  <r>
    <x v="1"/>
    <x v="1"/>
    <x v="0"/>
    <s v="5620200"/>
    <n v="400040"/>
    <s v="Physician Svcs Rev--Managed Care"/>
    <s v="HOD-Gastroenterology"/>
    <x v="0"/>
    <n v="1400"/>
    <n v="-1888"/>
    <n v="-4894.3999999999996"/>
    <n v="-6284.8"/>
    <n v="-4276"/>
    <n v="-8768"/>
    <n v="-4505"/>
    <n v="-3729"/>
    <n v="-666"/>
    <n v="-3267"/>
    <n v="-2368"/>
    <n v="-741"/>
    <n v="-2556"/>
    <n v="-43943.199999999997"/>
    <n v="1815"/>
  </r>
  <r>
    <x v="1"/>
    <x v="1"/>
    <x v="0"/>
    <s v="5620200"/>
    <n v="400040"/>
    <s v="Physician Svcs Rev--Self Pay"/>
    <s v="HOD-Gastroenterology"/>
    <x v="0"/>
    <n v="1500"/>
    <n v="-505"/>
    <n v="-653"/>
    <n v="-917"/>
    <n v="917"/>
    <n v="-2024"/>
    <n v="0"/>
    <n v="-528"/>
    <n v="0"/>
    <n v="-1520"/>
    <n v="-667"/>
    <n v="516"/>
    <n v="-356"/>
    <n v="-5737"/>
    <n v="872"/>
  </r>
  <r>
    <x v="1"/>
    <x v="1"/>
    <x v="0"/>
    <s v="5620200"/>
    <n v="400040"/>
    <s v="Physician Svcs Rev--Other"/>
    <s v="HOD-Gastroenterology"/>
    <x v="0"/>
    <n v="1700"/>
    <n v="-2280"/>
    <n v="-1663.8"/>
    <n v="-610"/>
    <n v="-1129"/>
    <n v="-3421"/>
    <n v="-701"/>
    <n v="0"/>
    <n v="528"/>
    <n v="0"/>
    <n v="0"/>
    <n v="-521"/>
    <n v="-1784"/>
    <n v="-11581.8"/>
    <n v="1263"/>
  </r>
  <r>
    <x v="2"/>
    <x v="1"/>
    <x v="0"/>
    <s v="5620200"/>
    <n v="450029"/>
    <s v="Contr Allow--MD Other-Medicare"/>
    <s v="HOD-Gastroenterology"/>
    <x v="0"/>
    <n v="1100"/>
    <n v="0"/>
    <n v="0"/>
    <n v="0"/>
    <n v="0"/>
    <n v="63.25"/>
    <n v="0"/>
    <n v="0"/>
    <n v="0"/>
    <n v="0"/>
    <n v="0"/>
    <n v="0"/>
    <n v="0"/>
    <n v="63.25"/>
    <n v="0"/>
  </r>
  <r>
    <x v="2"/>
    <x v="1"/>
    <x v="0"/>
    <s v="5620200"/>
    <n v="450029"/>
    <s v="Contr Allow--MD Other-Medicaid"/>
    <s v="HOD-Gastroenterology"/>
    <x v="0"/>
    <n v="1200"/>
    <n v="0"/>
    <n v="0"/>
    <n v="0"/>
    <n v="0"/>
    <n v="0"/>
    <n v="75.709999999999994"/>
    <n v="0"/>
    <n v="0"/>
    <n v="0"/>
    <n v="0"/>
    <n v="0"/>
    <n v="0"/>
    <n v="75.709999999999994"/>
    <n v="0"/>
  </r>
  <r>
    <x v="2"/>
    <x v="1"/>
    <x v="0"/>
    <s v="5620200"/>
    <n v="450029"/>
    <s v="Contr Allow--MD Other-Managed Care"/>
    <s v="HOD-Gastroenterology"/>
    <x v="0"/>
    <n v="1400"/>
    <n v="0"/>
    <n v="0"/>
    <n v="0"/>
    <n v="0"/>
    <n v="0"/>
    <n v="0"/>
    <n v="74.760000000000005"/>
    <n v="0"/>
    <n v="0"/>
    <n v="0"/>
    <n v="0"/>
    <n v="0"/>
    <n v="74.760000000000005"/>
    <n v="0"/>
  </r>
  <r>
    <x v="2"/>
    <x v="1"/>
    <x v="0"/>
    <s v="5620200"/>
    <n v="450040"/>
    <s v="Contr Allow--Phys Svcs--Mcare"/>
    <s v="HOD-Gastroenterology"/>
    <x v="0"/>
    <n v="1100"/>
    <n v="5157.62"/>
    <n v="13855.56"/>
    <n v="18769.71"/>
    <n v="22191.67"/>
    <n v="12599.69"/>
    <n v="8512"/>
    <n v="10842.43"/>
    <n v="861.86"/>
    <n v="3093.12"/>
    <n v="4849.45"/>
    <n v="331.21"/>
    <n v="286.37"/>
    <n v="101350.68999999999"/>
    <n v="44.839999999999975"/>
  </r>
  <r>
    <x v="2"/>
    <x v="1"/>
    <x v="0"/>
    <s v="5620200"/>
    <n v="450040"/>
    <s v="Contr Allow--Phys Svcs--Mcaid"/>
    <s v="HOD-Gastroenterology"/>
    <x v="0"/>
    <n v="1200"/>
    <n v="687.86"/>
    <n v="5054.87"/>
    <n v="3188.2"/>
    <n v="4276.3599999999997"/>
    <n v="1405.29"/>
    <n v="2955.44"/>
    <n v="702.59"/>
    <n v="306.29000000000002"/>
    <n v="0"/>
    <n v="6291.67"/>
    <n v="760.43"/>
    <n v="392.11"/>
    <n v="26021.11"/>
    <n v="368.31999999999994"/>
  </r>
  <r>
    <x v="2"/>
    <x v="1"/>
    <x v="0"/>
    <s v="5620200"/>
    <n v="450040"/>
    <s v="Contr Allow--Phys Svcs--Comm Insurance"/>
    <s v="HOD-Gastroenterology"/>
    <x v="0"/>
    <n v="1300"/>
    <n v="422.04"/>
    <n v="0"/>
    <n v="-259"/>
    <n v="324.83"/>
    <n v="0"/>
    <n v="0"/>
    <n v="861.19"/>
    <n v="0"/>
    <n v="0"/>
    <n v="165.95"/>
    <n v="0"/>
    <n v="0"/>
    <n v="1515.01"/>
    <n v="0"/>
  </r>
  <r>
    <x v="2"/>
    <x v="1"/>
    <x v="0"/>
    <s v="5620200"/>
    <n v="450040"/>
    <s v="Contr Allow--Phys Svcs--BCBS Comm Ins"/>
    <s v="HOD-Gastroenterology"/>
    <x v="0"/>
    <n v="1301"/>
    <n v="441.09"/>
    <n v="399.49"/>
    <n v="707.01"/>
    <n v="189.18"/>
    <n v="676.57"/>
    <n v="276.33999999999997"/>
    <n v="620.69000000000005"/>
    <n v="0"/>
    <n v="169.5"/>
    <n v="105.58"/>
    <n v="-105.58"/>
    <n v="0"/>
    <n v="3479.8700000000003"/>
    <n v="-105.58"/>
  </r>
  <r>
    <x v="2"/>
    <x v="1"/>
    <x v="0"/>
    <s v="5620200"/>
    <n v="450040"/>
    <s v="Contr Allow--Phys Svcs--Managed Care"/>
    <s v="HOD-Gastroenterology"/>
    <x v="0"/>
    <n v="1400"/>
    <n v="330.82"/>
    <n v="1516.78"/>
    <n v="1466.86"/>
    <n v="1921.87"/>
    <n v="3065.5"/>
    <n v="699.18"/>
    <n v="4676.97"/>
    <n v="917.79"/>
    <n v="358.17"/>
    <n v="2243.8000000000002"/>
    <n v="122.35"/>
    <n v="0"/>
    <n v="17320.09"/>
    <n v="122.35"/>
  </r>
  <r>
    <x v="2"/>
    <x v="1"/>
    <x v="0"/>
    <s v="5620200"/>
    <n v="450040"/>
    <s v="Contr Allow--Phys Svcs--BCBS Mgnd Care"/>
    <s v="HOD-Gastroenterology"/>
    <x v="0"/>
    <n v="1401"/>
    <n v="3120.08"/>
    <n v="8593.94"/>
    <n v="928.83"/>
    <n v="-8062.01"/>
    <n v="6042.73"/>
    <n v="-1817.27"/>
    <n v="-6961.47"/>
    <n v="-429.57"/>
    <n v="4498.2"/>
    <n v="-834.55"/>
    <n v="-3248.18"/>
    <n v="5571.51"/>
    <n v="7402.24"/>
    <n v="-8819.69"/>
  </r>
  <r>
    <x v="2"/>
    <x v="1"/>
    <x v="0"/>
    <s v="5620200"/>
    <n v="450040"/>
    <s v="Admin Adjust-Phys Svcs-Self Pay"/>
    <s v="HOD-Gastroenterology"/>
    <x v="0"/>
    <n v="1600"/>
    <n v="186.85"/>
    <n v="75.48"/>
    <n v="339.29"/>
    <n v="-335.8"/>
    <n v="748.94"/>
    <n v="-3.34"/>
    <n v="195.36"/>
    <n v="0"/>
    <n v="562.4"/>
    <n v="246.79"/>
    <n v="-190.92"/>
    <n v="130.72"/>
    <n v="1955.7699999999998"/>
    <n v="-321.64"/>
  </r>
  <r>
    <x v="2"/>
    <x v="1"/>
    <x v="0"/>
    <s v="5620200"/>
    <n v="450040"/>
    <s v="Contr Allow--Phys Svcs--Other"/>
    <s v="HOD-Gastroenterology"/>
    <x v="0"/>
    <n v="1700"/>
    <n v="0"/>
    <n v="1711.12"/>
    <n v="1168.8900000000001"/>
    <n v="712.66"/>
    <n v="662.17"/>
    <n v="624.36"/>
    <n v="618.75"/>
    <n v="123.97"/>
    <n v="0"/>
    <n v="0"/>
    <n v="192.38"/>
    <n v="0"/>
    <n v="5814.3"/>
    <n v="192.38"/>
  </r>
  <r>
    <x v="3"/>
    <x v="1"/>
    <x v="0"/>
    <s v="5620200"/>
    <n v="470040"/>
    <s v="Charity Care-Physician Svcs"/>
    <s v="HOD-Gastroenterology"/>
    <x v="0"/>
    <m/>
    <n v="77.56"/>
    <n v="393.18"/>
    <n v="162.66999999999999"/>
    <n v="-98.3"/>
    <n v="255.72"/>
    <n v="-127.5"/>
    <n v="-205.07"/>
    <n v="-12.57"/>
    <n v="243.86"/>
    <n v="-47.46"/>
    <n v="-136.66"/>
    <n v="235.13"/>
    <n v="740.56000000000006"/>
    <n v="-371.78999999999996"/>
  </r>
  <r>
    <x v="4"/>
    <x v="1"/>
    <x v="0"/>
    <s v="5620200"/>
    <n v="490010"/>
    <s v="Provision for Bad Debts"/>
    <s v="HOD-Gastroenterology"/>
    <x v="0"/>
    <m/>
    <n v="544.94000000000005"/>
    <n v="1198.5999999999999"/>
    <n v="13.94"/>
    <n v="-1134.56"/>
    <n v="2337.27"/>
    <n v="742.85"/>
    <n v="-787.71"/>
    <n v="441.12"/>
    <n v="1425.08"/>
    <n v="-419.26"/>
    <n v="452.83"/>
    <n v="957.45"/>
    <n v="5772.5499999999993"/>
    <n v="-504.62000000000006"/>
  </r>
  <r>
    <x v="14"/>
    <x v="1"/>
    <x v="0"/>
    <s v="5620200"/>
    <n v="600050"/>
    <s v="Miscellaneous Revenue"/>
    <s v="HOD-Gastroenterology"/>
    <x v="0"/>
    <m/>
    <n v="-27100"/>
    <n v="-39200"/>
    <n v="-44450"/>
    <n v="-24850"/>
    <n v="-24850"/>
    <n v="-19600"/>
    <n v="-19600"/>
    <n v="0"/>
    <n v="0"/>
    <n v="0"/>
    <n v="0"/>
    <n v="0"/>
    <n v="-199650"/>
    <n v="0"/>
  </r>
  <r>
    <x v="5"/>
    <x v="1"/>
    <x v="0"/>
    <s v="5620200"/>
    <n v="700022"/>
    <s v="Salaries-Physician-Productive"/>
    <s v="HOD-Gastroenterology"/>
    <x v="0"/>
    <m/>
    <n v="14700"/>
    <n v="0"/>
    <n v="14490"/>
    <n v="11802"/>
    <n v="-7392"/>
    <n v="0"/>
    <n v="0"/>
    <n v="0"/>
    <n v="0"/>
    <n v="0"/>
    <n v="0"/>
    <n v="0"/>
    <n v="33600"/>
    <n v="0"/>
  </r>
  <r>
    <x v="5"/>
    <x v="1"/>
    <x v="0"/>
    <s v="5620200"/>
    <n v="700022"/>
    <s v="Salaries-Physician-Other"/>
    <s v="HOD-Gastroenterology"/>
    <x v="0"/>
    <n v="2000"/>
    <n v="27100"/>
    <n v="39200"/>
    <n v="44450"/>
    <n v="24850"/>
    <n v="24850"/>
    <n v="19600"/>
    <n v="19600"/>
    <n v="0"/>
    <n v="0"/>
    <n v="0"/>
    <n v="0"/>
    <n v="0"/>
    <n v="199650"/>
    <n v="0"/>
  </r>
  <r>
    <x v="6"/>
    <x v="1"/>
    <x v="0"/>
    <s v="5620200"/>
    <n v="713010"/>
    <s v="Benefits-FICA/Medicare"/>
    <s v="HOD-Gastroenterology"/>
    <x v="0"/>
    <m/>
    <n v="1124.55"/>
    <n v="0"/>
    <n v="627.65"/>
    <n v="31.95"/>
    <n v="-107.18"/>
    <n v="0"/>
    <n v="0"/>
    <n v="0"/>
    <n v="0"/>
    <n v="0"/>
    <n v="0"/>
    <n v="0"/>
    <n v="1676.9699999999998"/>
    <n v="0"/>
  </r>
  <r>
    <x v="6"/>
    <x v="1"/>
    <x v="0"/>
    <s v="5620200"/>
    <n v="713090"/>
    <s v="Benefits-Allocated Amounts"/>
    <s v="HOD-Gastroenterology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20200"/>
    <n v="713092"/>
    <s v="Allocated Benefits-Physician"/>
    <s v="HOD-Gastroenterology"/>
    <x v="0"/>
    <m/>
    <n v="2048.6"/>
    <n v="1305.81"/>
    <n v="2340.54"/>
    <n v="1476.26"/>
    <n v="605.54"/>
    <n v="826.06"/>
    <n v="1081.4000000000001"/>
    <n v="284.31"/>
    <n v="451.66"/>
    <n v="145.21"/>
    <n v="74.44"/>
    <n v="-77.42"/>
    <n v="10562.409999999998"/>
    <n v="151.86000000000001"/>
  </r>
  <r>
    <x v="8"/>
    <x v="1"/>
    <x v="0"/>
    <s v="5620200"/>
    <n v="741012"/>
    <s v="Physician Liab Insurance-CHI Program"/>
    <s v="HOD-Gastroenterology"/>
    <x v="0"/>
    <m/>
    <n v="686.82"/>
    <n v="686.82"/>
    <n v="686.82"/>
    <n v="686.82"/>
    <n v="686.82"/>
    <n v="686.81"/>
    <n v="686.82"/>
    <n v="686.81"/>
    <n v="639.45000000000005"/>
    <n v="639.45000000000005"/>
    <n v="639.45000000000005"/>
    <n v="639.45000000000005"/>
    <n v="8052.3399999999983"/>
    <n v="0"/>
  </r>
  <r>
    <x v="0"/>
    <x v="1"/>
    <x v="0"/>
    <s v="5620200"/>
    <n v="743042"/>
    <s v="Subscriptions-Physician"/>
    <s v="HOD-Gastroenterology"/>
    <x v="0"/>
    <m/>
    <n v="503.8"/>
    <n v="0"/>
    <n v="0"/>
    <n v="0"/>
    <n v="0"/>
    <n v="0"/>
    <n v="0"/>
    <n v="0"/>
    <n v="0"/>
    <n v="0"/>
    <n v="0"/>
    <n v="0"/>
    <n v="503.8"/>
    <n v="0"/>
  </r>
  <r>
    <x v="0"/>
    <x v="1"/>
    <x v="0"/>
    <s v="5620200"/>
    <n v="749510"/>
    <s v="Miscellaneous Expenses"/>
    <s v="HOD-Gastroenterology"/>
    <x v="0"/>
    <m/>
    <n v="-1313.13"/>
    <n v="1366.54"/>
    <n v="255.99"/>
    <n v="-1622.53"/>
    <n v="1377.64"/>
    <n v="-1377.64"/>
    <n v="0"/>
    <n v="0"/>
    <n v="0"/>
    <n v="0"/>
    <n v="0"/>
    <n v="0"/>
    <n v="-1313.13"/>
    <n v="0"/>
  </r>
  <r>
    <x v="0"/>
    <x v="1"/>
    <x v="0"/>
    <s v="5620200"/>
    <n v="749512"/>
    <s v="Licenses-Physician"/>
    <s v="HOD-Gastroenterology"/>
    <x v="0"/>
    <n v="2000"/>
    <n v="0"/>
    <n v="0"/>
    <n v="0"/>
    <n v="0"/>
    <n v="0"/>
    <n v="0"/>
    <n v="731"/>
    <n v="0"/>
    <n v="0"/>
    <n v="0"/>
    <n v="0"/>
    <n v="0"/>
    <n v="731"/>
    <n v="0"/>
  </r>
  <r>
    <x v="0"/>
    <x v="1"/>
    <x v="0"/>
    <s v="5620200"/>
    <n v="749532"/>
    <s v="Travel-Physician"/>
    <s v="HOD-Gastroenterology"/>
    <x v="0"/>
    <m/>
    <n v="0"/>
    <n v="2557"/>
    <n v="3898.37"/>
    <n v="2596.81"/>
    <n v="1028.81"/>
    <n v="2252.29"/>
    <n v="919.53"/>
    <n v="0"/>
    <n v="0"/>
    <n v="0"/>
    <n v="0"/>
    <n v="0"/>
    <n v="13252.81"/>
    <n v="0"/>
  </r>
  <r>
    <x v="1"/>
    <x v="1"/>
    <x v="0"/>
    <s v="5621200"/>
    <n v="400029"/>
    <s v="MD Practice Other Rev--Medicare"/>
    <s v="HOD-Wound Care"/>
    <x v="0"/>
    <n v="1100"/>
    <n v="0"/>
    <n v="0"/>
    <n v="-72"/>
    <n v="0"/>
    <n v="0"/>
    <n v="0"/>
    <n v="0"/>
    <n v="0"/>
    <n v="0"/>
    <n v="0"/>
    <n v="0"/>
    <n v="0"/>
    <n v="-72"/>
    <n v="0"/>
  </r>
  <r>
    <x v="1"/>
    <x v="1"/>
    <x v="0"/>
    <s v="5621200"/>
    <n v="400040"/>
    <s v="Physician Svcs Rev--Medicare"/>
    <s v="HOD-Wound Care"/>
    <x v="0"/>
    <n v="1100"/>
    <n v="-129296"/>
    <n v="-111778"/>
    <n v="-93405"/>
    <n v="-126979"/>
    <n v="-96406"/>
    <n v="-91641"/>
    <n v="-129872"/>
    <n v="-84345.5"/>
    <n v="-129732"/>
    <n v="-122917"/>
    <n v="-144131"/>
    <n v="-106429"/>
    <n v="-1366931.5"/>
    <n v="-37702"/>
  </r>
  <r>
    <x v="1"/>
    <x v="1"/>
    <x v="0"/>
    <s v="5621200"/>
    <n v="400040"/>
    <s v="Physician Svcs Rev--Medicaid"/>
    <s v="HOD-Wound Care"/>
    <x v="0"/>
    <n v="1200"/>
    <n v="-22294"/>
    <n v="-22208"/>
    <n v="-18991"/>
    <n v="-53965"/>
    <n v="-22725"/>
    <n v="-17044"/>
    <n v="-23357"/>
    <n v="-30741"/>
    <n v="-27318"/>
    <n v="-18255"/>
    <n v="-26625"/>
    <n v="-25277"/>
    <n v="-308800"/>
    <n v="-1348"/>
  </r>
  <r>
    <x v="1"/>
    <x v="1"/>
    <x v="0"/>
    <s v="5621200"/>
    <n v="400040"/>
    <s v="Physician Svcs Rev--Comm Insurance"/>
    <s v="HOD-Wound Care"/>
    <x v="0"/>
    <n v="1300"/>
    <n v="-1500"/>
    <n v="-3748"/>
    <n v="-1202"/>
    <n v="-4023"/>
    <n v="-5661"/>
    <n v="-3476"/>
    <n v="-3818"/>
    <n v="-3181"/>
    <n v="-1373"/>
    <n v="-628"/>
    <n v="-3146"/>
    <n v="-6016"/>
    <n v="-37772"/>
    <n v="2870"/>
  </r>
  <r>
    <x v="1"/>
    <x v="1"/>
    <x v="0"/>
    <s v="5621200"/>
    <n v="400040"/>
    <s v="Physician Svcs Rev--BCBS Comm"/>
    <s v="HOD-Wound Care"/>
    <x v="0"/>
    <n v="1301"/>
    <n v="-13759"/>
    <n v="-13022.5"/>
    <n v="-3852"/>
    <n v="-11170"/>
    <n v="-2446"/>
    <n v="-2324"/>
    <n v="-3987"/>
    <n v="-2924"/>
    <n v="-8181"/>
    <n v="-14211"/>
    <n v="-12280"/>
    <n v="-5352"/>
    <n v="-93508.5"/>
    <n v="-6928"/>
  </r>
  <r>
    <x v="1"/>
    <x v="1"/>
    <x v="0"/>
    <s v="5621200"/>
    <n v="400040"/>
    <s v="Physician Svcs Rev--Managed Care"/>
    <s v="HOD-Wound Care"/>
    <x v="0"/>
    <n v="1400"/>
    <n v="-24861"/>
    <n v="-12936"/>
    <n v="-15585"/>
    <n v="-29965.5"/>
    <n v="-23153"/>
    <n v="-16330"/>
    <n v="-17784"/>
    <n v="-7507"/>
    <n v="-15408"/>
    <n v="-10263"/>
    <n v="-12844"/>
    <n v="-8195"/>
    <n v="-194831.5"/>
    <n v="-4649"/>
  </r>
  <r>
    <x v="1"/>
    <x v="1"/>
    <x v="0"/>
    <s v="5621200"/>
    <n v="400040"/>
    <s v="Physician Svcs Rev--Self Pay"/>
    <s v="HOD-Wound Care"/>
    <x v="0"/>
    <n v="1500"/>
    <n v="-1475"/>
    <n v="-141"/>
    <n v="-948"/>
    <n v="911"/>
    <n v="0"/>
    <n v="-2553"/>
    <n v="-557"/>
    <n v="314"/>
    <n v="1406"/>
    <n v="-2947"/>
    <n v="-529"/>
    <n v="-3886"/>
    <n v="-10405"/>
    <n v="3357"/>
  </r>
  <r>
    <x v="1"/>
    <x v="1"/>
    <x v="0"/>
    <s v="5621200"/>
    <n v="400040"/>
    <s v="Physician Svcs Rev--Other"/>
    <s v="HOD-Wound Care"/>
    <x v="0"/>
    <n v="1700"/>
    <n v="-10533"/>
    <n v="-10844"/>
    <n v="-5439"/>
    <n v="-15306"/>
    <n v="-5726"/>
    <n v="-4187"/>
    <n v="-4644"/>
    <n v="-2639"/>
    <n v="-5009"/>
    <n v="-7795"/>
    <n v="-7604"/>
    <n v="-7337"/>
    <n v="-87063"/>
    <n v="-267"/>
  </r>
  <r>
    <x v="2"/>
    <x v="1"/>
    <x v="0"/>
    <s v="5621200"/>
    <n v="450029"/>
    <s v="Admin Adjust-MD Other-Self Pay"/>
    <s v="HOD-Wound Care"/>
    <x v="0"/>
    <n v="1600"/>
    <n v="0"/>
    <n v="0"/>
    <n v="0"/>
    <n v="9"/>
    <n v="0"/>
    <n v="18"/>
    <n v="45"/>
    <n v="0"/>
    <n v="0"/>
    <n v="0"/>
    <n v="0"/>
    <n v="0"/>
    <n v="72"/>
    <n v="0"/>
  </r>
  <r>
    <x v="2"/>
    <x v="1"/>
    <x v="0"/>
    <s v="5621200"/>
    <n v="450040"/>
    <s v="Contr Allow--Phys Svcs--Mcare"/>
    <s v="HOD-Wound Care"/>
    <x v="0"/>
    <n v="1100"/>
    <n v="79760.78"/>
    <n v="72884.22"/>
    <n v="71884.17"/>
    <n v="75492.929999999993"/>
    <n v="63321.27"/>
    <n v="71233.850000000006"/>
    <n v="73327.72"/>
    <n v="51143.83"/>
    <n v="68453.279999999999"/>
    <n v="82055.11"/>
    <n v="102268.16"/>
    <n v="79242.62"/>
    <n v="891067.94"/>
    <n v="23025.540000000008"/>
  </r>
  <r>
    <x v="2"/>
    <x v="1"/>
    <x v="0"/>
    <s v="5621200"/>
    <n v="450040"/>
    <s v="Contr Allow--Phys Svcs--Mcaid"/>
    <s v="HOD-Wound Care"/>
    <x v="0"/>
    <n v="1200"/>
    <n v="19993.96"/>
    <n v="19226.400000000001"/>
    <n v="13648.51"/>
    <n v="25407.13"/>
    <n v="27109.75"/>
    <n v="20265.34"/>
    <n v="15798.48"/>
    <n v="16309.88"/>
    <n v="21367.89"/>
    <n v="23366.75"/>
    <n v="17548.099999999999"/>
    <n v="18533.36"/>
    <n v="238575.55000000005"/>
    <n v="-985.26000000000204"/>
  </r>
  <r>
    <x v="2"/>
    <x v="1"/>
    <x v="0"/>
    <s v="5621200"/>
    <n v="450040"/>
    <s v="Contr Allow--Phys Svcs--Comm Insurance"/>
    <s v="HOD-Wound Care"/>
    <x v="0"/>
    <n v="1300"/>
    <n v="787.5"/>
    <n v="1530.01"/>
    <n v="342.95"/>
    <n v="1282.17"/>
    <n v="1216.24"/>
    <n v="390"/>
    <n v="2292.4299999999998"/>
    <n v="396.47"/>
    <n v="1641.8"/>
    <n v="688.51"/>
    <n v="1023.36"/>
    <n v="1663.54"/>
    <n v="13254.98"/>
    <n v="-640.17999999999995"/>
  </r>
  <r>
    <x v="2"/>
    <x v="1"/>
    <x v="0"/>
    <s v="5621200"/>
    <n v="450040"/>
    <s v="Contr Allow--Phys Svcs--BCBS Comm Ins"/>
    <s v="HOD-Wound Care"/>
    <x v="0"/>
    <n v="1301"/>
    <n v="4685.38"/>
    <n v="8885.98"/>
    <n v="3224.59"/>
    <n v="1186.53"/>
    <n v="5043.05"/>
    <n v="808.17"/>
    <n v="2012.05"/>
    <n v="1028.45"/>
    <n v="2941.44"/>
    <n v="6554.62"/>
    <n v="5234.3999999999996"/>
    <n v="5972.62"/>
    <n v="47577.279999999999"/>
    <n v="-738.22000000000025"/>
  </r>
  <r>
    <x v="2"/>
    <x v="1"/>
    <x v="0"/>
    <s v="5621200"/>
    <n v="450040"/>
    <s v="Contr Allow--Phys Svcs--Managed Care"/>
    <s v="HOD-Wound Care"/>
    <x v="0"/>
    <n v="1400"/>
    <n v="6924.05"/>
    <n v="7510.06"/>
    <n v="7196.65"/>
    <n v="6564.03"/>
    <n v="12431.9"/>
    <n v="5251.27"/>
    <n v="8965.92"/>
    <n v="4931.09"/>
    <n v="4417.71"/>
    <n v="4748.8599999999997"/>
    <n v="6573.76"/>
    <n v="3536.01"/>
    <n v="79051.309999999983"/>
    <n v="3037.75"/>
  </r>
  <r>
    <x v="2"/>
    <x v="1"/>
    <x v="0"/>
    <s v="5621200"/>
    <n v="450040"/>
    <s v="Contr Allow--Phys Svcs--BCBS Mgnd Care"/>
    <s v="HOD-Wound Care"/>
    <x v="0"/>
    <n v="1401"/>
    <n v="5380.12"/>
    <n v="-3471.6"/>
    <n v="-8268.7900000000009"/>
    <n v="-67057.37"/>
    <n v="79640.81"/>
    <n v="-7573"/>
    <n v="13122.75"/>
    <n v="7849.61"/>
    <n v="16992.57"/>
    <n v="-5010.4399999999996"/>
    <n v="-51.82"/>
    <n v="-8602.75"/>
    <n v="22950.09"/>
    <n v="8550.93"/>
  </r>
  <r>
    <x v="2"/>
    <x v="1"/>
    <x v="0"/>
    <s v="5621200"/>
    <n v="450040"/>
    <s v="Admin Adjust-Phys Svcs-Self Pay"/>
    <s v="HOD-Wound Care"/>
    <x v="0"/>
    <n v="1600"/>
    <n v="619.77"/>
    <n v="176.14"/>
    <n v="422.41"/>
    <n v="-301.75"/>
    <n v="4.9800000000000004"/>
    <n v="994.68"/>
    <n v="301.8"/>
    <n v="137.61000000000001"/>
    <n v="-509.07"/>
    <n v="1141.5999999999999"/>
    <n v="243.97"/>
    <n v="1447.65"/>
    <n v="4679.79"/>
    <n v="-1203.68"/>
  </r>
  <r>
    <x v="2"/>
    <x v="1"/>
    <x v="0"/>
    <s v="5621200"/>
    <n v="450040"/>
    <s v="Contr Allow--Phys Svcs--Other"/>
    <s v="HOD-Wound Care"/>
    <x v="0"/>
    <n v="1700"/>
    <n v="9406.2800000000007"/>
    <n v="4471.42"/>
    <n v="5294.37"/>
    <n v="5851.3"/>
    <n v="8442.2099999999991"/>
    <n v="1382.13"/>
    <n v="3905.26"/>
    <n v="1608.67"/>
    <n v="2441.6999999999998"/>
    <n v="3155.01"/>
    <n v="4364.99"/>
    <n v="4039.08"/>
    <n v="54362.42"/>
    <n v="325.90999999999985"/>
  </r>
  <r>
    <x v="3"/>
    <x v="1"/>
    <x v="0"/>
    <s v="5621200"/>
    <n v="470040"/>
    <s v="Charity Care-Physician Svcs"/>
    <s v="HOD-Wound Care"/>
    <x v="0"/>
    <m/>
    <n v="241.91"/>
    <n v="1285.99"/>
    <n v="-413.91"/>
    <n v="-746.93"/>
    <n v="3463.13"/>
    <n v="-268.51"/>
    <n v="2414.09"/>
    <n v="746.06"/>
    <n v="2222.04"/>
    <n v="1847.97"/>
    <n v="385.5"/>
    <n v="1241.6600000000001"/>
    <n v="12418.999999999998"/>
    <n v="-856.16000000000008"/>
  </r>
  <r>
    <x v="4"/>
    <x v="1"/>
    <x v="0"/>
    <s v="5621200"/>
    <n v="490010"/>
    <s v="Provision for Bad Debts"/>
    <s v="HOD-Wound Care"/>
    <x v="0"/>
    <m/>
    <n v="3354.69"/>
    <n v="2068.8000000000002"/>
    <n v="-14.08"/>
    <n v="-7044.04"/>
    <n v="12499.08"/>
    <n v="-788.8"/>
    <n v="72.11"/>
    <n v="1133.5"/>
    <n v="3317.67"/>
    <n v="-396.43"/>
    <n v="1022.32"/>
    <n v="1695.2"/>
    <n v="16920.02"/>
    <n v="-672.88"/>
  </r>
  <r>
    <x v="14"/>
    <x v="1"/>
    <x v="0"/>
    <s v="5621200"/>
    <n v="600050"/>
    <s v="Miscellaneous Revenue"/>
    <s v="HOD-Wound Care"/>
    <x v="0"/>
    <m/>
    <n v="0"/>
    <n v="-1680"/>
    <n v="-1400"/>
    <n v="0"/>
    <n v="0"/>
    <n v="-2240"/>
    <n v="-2030"/>
    <n v="0"/>
    <n v="0"/>
    <n v="0"/>
    <n v="-2170"/>
    <n v="-2170"/>
    <n v="-11690"/>
    <n v="0"/>
  </r>
  <r>
    <x v="5"/>
    <x v="1"/>
    <x v="0"/>
    <s v="5621200"/>
    <n v="700020"/>
    <s v="Salaries-Physician Admin-Other"/>
    <s v="HOD-Wound Care"/>
    <x v="0"/>
    <n v="2000"/>
    <n v="0"/>
    <n v="1680"/>
    <n v="1400"/>
    <n v="0"/>
    <n v="0"/>
    <n v="2240"/>
    <n v="2030"/>
    <n v="0"/>
    <n v="0"/>
    <n v="0"/>
    <n v="2170"/>
    <n v="2170"/>
    <n v="11690"/>
    <n v="0"/>
  </r>
  <r>
    <x v="5"/>
    <x v="1"/>
    <x v="0"/>
    <s v="5621200"/>
    <n v="700022"/>
    <s v="Salaries-Physician-Productive"/>
    <s v="HOD-Wound Care"/>
    <x v="0"/>
    <m/>
    <n v="47724.95"/>
    <n v="49894.27"/>
    <n v="43386.32"/>
    <n v="49894.26"/>
    <n v="47724.959999999999"/>
    <n v="49843.41"/>
    <n v="54673.94"/>
    <n v="47666.48"/>
    <n v="50027.6"/>
    <n v="45397.17"/>
    <n v="54778.06"/>
    <n v="47622.02"/>
    <n v="588633.43999999994"/>
    <n v="7156.0400000000009"/>
  </r>
  <r>
    <x v="5"/>
    <x v="1"/>
    <x v="0"/>
    <s v="5621200"/>
    <n v="700022"/>
    <s v="Salaries-Physician-Other"/>
    <s v="HOD-Wound Care"/>
    <x v="0"/>
    <n v="2000"/>
    <n v="0"/>
    <n v="0"/>
    <n v="0"/>
    <n v="0"/>
    <n v="0"/>
    <n v="23148.69"/>
    <n v="0"/>
    <n v="0"/>
    <n v="0"/>
    <n v="0"/>
    <n v="0"/>
    <n v="0"/>
    <n v="23148.69"/>
    <n v="0"/>
  </r>
  <r>
    <x v="5"/>
    <x v="1"/>
    <x v="0"/>
    <s v="5621200"/>
    <n v="700024"/>
    <s v="Salaries-Advanced Practice Clinician-Productive"/>
    <s v="HOD-Wound Care"/>
    <x v="0"/>
    <m/>
    <n v="13548.34"/>
    <n v="12747.92"/>
    <n v="11102.4"/>
    <n v="12767.76"/>
    <n v="11598.24"/>
    <n v="11012.4"/>
    <n v="12079.68"/>
    <n v="11445.56"/>
    <n v="11852.97"/>
    <n v="10018.58"/>
    <n v="13753.25"/>
    <n v="11072.22"/>
    <n v="142999.31999999998"/>
    <n v="2681.0300000000007"/>
  </r>
  <r>
    <x v="5"/>
    <x v="1"/>
    <x v="0"/>
    <s v="5621200"/>
    <n v="700062"/>
    <s v="Salaries-Physician-Non-productive"/>
    <s v="HOD-Wound Care"/>
    <x v="0"/>
    <m/>
    <n v="5773.31"/>
    <n v="5934.24"/>
    <n v="5851.3"/>
    <n v="5849.73"/>
    <n v="2000"/>
    <n v="-23726.18"/>
    <n v="0"/>
    <n v="0"/>
    <n v="0"/>
    <n v="7012.67"/>
    <n v="0"/>
    <n v="0"/>
    <n v="8695.0699999999979"/>
    <n v="0"/>
  </r>
  <r>
    <x v="5"/>
    <x v="1"/>
    <x v="0"/>
    <s v="5621200"/>
    <n v="700064"/>
    <s v="Salaries-Advanced Practice Clinician-Non-Productive"/>
    <s v="HOD-Wound Care"/>
    <x v="0"/>
    <m/>
    <n v="333.15"/>
    <n v="331.78"/>
    <n v="329.75"/>
    <n v="224.87"/>
    <n v="223.4"/>
    <n v="222.93"/>
    <n v="221.95"/>
    <n v="219.76"/>
    <n v="220.01"/>
    <n v="2617.5"/>
    <n v="-769.68"/>
    <n v="216.8"/>
    <n v="4392.22"/>
    <n v="-986.48"/>
  </r>
  <r>
    <x v="6"/>
    <x v="1"/>
    <x v="0"/>
    <s v="5621200"/>
    <n v="713010"/>
    <s v="Benefits-FICA/Medicare"/>
    <s v="HOD-Wound Care"/>
    <x v="0"/>
    <m/>
    <n v="1714.93"/>
    <n v="1667.64"/>
    <n v="1500.66"/>
    <n v="1351.09"/>
    <n v="719.5"/>
    <n v="3148.99"/>
    <n v="5160.8599999999997"/>
    <n v="4442.16"/>
    <n v="4650.93"/>
    <n v="4872.43"/>
    <n v="3136.99"/>
    <n v="2012.73"/>
    <n v="34378.910000000003"/>
    <n v="1124.2599999999998"/>
  </r>
  <r>
    <x v="6"/>
    <x v="1"/>
    <x v="0"/>
    <s v="5621200"/>
    <n v="713090"/>
    <s v="Benefits-Allocated Amounts"/>
    <s v="HOD-Wound Care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21200"/>
    <n v="713092"/>
    <s v="Allocated Benefits-Physician"/>
    <s v="HOD-Wound Care"/>
    <x v="0"/>
    <m/>
    <n v="3590.52"/>
    <n v="3305.12"/>
    <n v="3242.52"/>
    <n v="3397.69"/>
    <n v="3268.02"/>
    <n v="3431.98"/>
    <n v="4213.5200000000004"/>
    <n v="3922.29"/>
    <n v="4879.83"/>
    <n v="3750.24"/>
    <n v="3989.45"/>
    <n v="3783.13"/>
    <n v="44774.30999999999"/>
    <n v="206.31999999999971"/>
  </r>
  <r>
    <x v="6"/>
    <x v="1"/>
    <x v="0"/>
    <s v="5621200"/>
    <n v="713093"/>
    <s v="Allocated Benefits-Advanced Practice Clinician"/>
    <s v="HOD-Wound Care"/>
    <x v="0"/>
    <m/>
    <n v="1879.15"/>
    <n v="1729.78"/>
    <n v="1697.03"/>
    <n v="1778.22"/>
    <n v="1710.37"/>
    <n v="1796.18"/>
    <n v="2205.1999999999998"/>
    <n v="2052.79"/>
    <n v="1777.02"/>
    <n v="1875.12"/>
    <n v="1994.73"/>
    <n v="1891.57"/>
    <n v="22387.16"/>
    <n v="103.16000000000008"/>
  </r>
  <r>
    <x v="7"/>
    <x v="1"/>
    <x v="0"/>
    <s v="5621200"/>
    <n v="718040"/>
    <s v="Contract Svcs-Laboratory"/>
    <s v="HOD-Wound Care"/>
    <x v="0"/>
    <m/>
    <n v="153.6"/>
    <n v="0"/>
    <n v="0"/>
    <n v="0"/>
    <n v="0"/>
    <n v="0"/>
    <n v="0"/>
    <n v="0"/>
    <n v="0"/>
    <n v="0"/>
    <n v="0"/>
    <n v="0"/>
    <n v="153.6"/>
    <n v="0"/>
  </r>
  <r>
    <x v="0"/>
    <x v="1"/>
    <x v="0"/>
    <s v="5621200"/>
    <n v="740022"/>
    <s v="Education-Physician"/>
    <s v="HOD-Wound Care"/>
    <x v="0"/>
    <m/>
    <n v="0"/>
    <n v="0"/>
    <n v="0"/>
    <n v="0"/>
    <n v="0"/>
    <n v="995"/>
    <n v="200"/>
    <n v="0"/>
    <n v="0"/>
    <n v="0"/>
    <n v="0"/>
    <n v="0"/>
    <n v="1195"/>
    <n v="0"/>
  </r>
  <r>
    <x v="0"/>
    <x v="1"/>
    <x v="0"/>
    <s v="5621200"/>
    <n v="740022"/>
    <s v="Books-Physician"/>
    <s v="HOD-Wound Care"/>
    <x v="0"/>
    <n v="2000"/>
    <n v="0"/>
    <n v="0"/>
    <n v="0"/>
    <n v="0"/>
    <n v="0"/>
    <n v="0"/>
    <n v="0"/>
    <n v="0"/>
    <n v="0"/>
    <n v="0"/>
    <n v="0"/>
    <n v="399"/>
    <n v="399"/>
    <n v="-399"/>
  </r>
  <r>
    <x v="0"/>
    <x v="1"/>
    <x v="0"/>
    <s v="5621200"/>
    <n v="740023"/>
    <s v="Education-Advanced Practice Clinician"/>
    <s v="HOD-Wound Care"/>
    <x v="0"/>
    <m/>
    <n v="295"/>
    <n v="0"/>
    <n v="0"/>
    <n v="0"/>
    <n v="0"/>
    <n v="0"/>
    <n v="0"/>
    <n v="0"/>
    <n v="0"/>
    <n v="0"/>
    <n v="0"/>
    <n v="0"/>
    <n v="295"/>
    <n v="0"/>
  </r>
  <r>
    <x v="8"/>
    <x v="1"/>
    <x v="0"/>
    <s v="5621200"/>
    <n v="741012"/>
    <s v="Physician Liab Insurance-CHI Program"/>
    <s v="HOD-Wound Care"/>
    <x v="0"/>
    <m/>
    <n v="1184.17"/>
    <n v="1184.17"/>
    <n v="2143.44"/>
    <n v="2143.44"/>
    <n v="2143.44"/>
    <n v="2143.4299999999998"/>
    <n v="2143.44"/>
    <n v="2143.4299999999998"/>
    <n v="2143.4499999999998"/>
    <n v="2143.4299999999998"/>
    <n v="2143.4499999999998"/>
    <n v="2143.4299999999998"/>
    <n v="23802.720000000005"/>
    <n v="1.999999999998181E-2"/>
  </r>
  <r>
    <x v="0"/>
    <x v="1"/>
    <x v="0"/>
    <s v="5621200"/>
    <n v="743020"/>
    <s v="Provider-Dues"/>
    <s v="HOD-Wound Care"/>
    <x v="0"/>
    <n v="2200"/>
    <n v="0"/>
    <n v="0"/>
    <n v="0"/>
    <n v="0"/>
    <n v="0"/>
    <n v="0"/>
    <n v="0"/>
    <n v="1750"/>
    <n v="0"/>
    <n v="0"/>
    <n v="0"/>
    <n v="0"/>
    <n v="1750"/>
    <n v="0"/>
  </r>
  <r>
    <x v="0"/>
    <x v="1"/>
    <x v="0"/>
    <s v="5621200"/>
    <n v="743022"/>
    <s v="Dues-Physician"/>
    <s v="HOD-Wound Care"/>
    <x v="0"/>
    <m/>
    <n v="0"/>
    <n v="0"/>
    <n v="0"/>
    <n v="0"/>
    <n v="0"/>
    <n v="0"/>
    <n v="645"/>
    <n v="0"/>
    <n v="0"/>
    <n v="0"/>
    <n v="0"/>
    <n v="0"/>
    <n v="645"/>
    <n v="0"/>
  </r>
  <r>
    <x v="0"/>
    <x v="1"/>
    <x v="0"/>
    <s v="5621200"/>
    <n v="749510"/>
    <s v="Miscellaneous Expenses"/>
    <s v="HOD-Wound Care"/>
    <x v="0"/>
    <m/>
    <n v="0"/>
    <n v="0"/>
    <n v="0"/>
    <n v="0"/>
    <n v="0"/>
    <n v="845"/>
    <n v="-845"/>
    <n v="0"/>
    <n v="0"/>
    <n v="0"/>
    <n v="399"/>
    <n v="-399"/>
    <n v="0"/>
    <n v="798"/>
  </r>
  <r>
    <x v="0"/>
    <x v="1"/>
    <x v="0"/>
    <s v="5621200"/>
    <n v="749512"/>
    <s v="Licenses-Physician"/>
    <s v="HOD-Wound Care"/>
    <x v="0"/>
    <n v="2000"/>
    <n v="985"/>
    <n v="0"/>
    <n v="0"/>
    <n v="0"/>
    <n v="0"/>
    <n v="0"/>
    <n v="0"/>
    <n v="0"/>
    <n v="0"/>
    <n v="441"/>
    <n v="0"/>
    <n v="0"/>
    <n v="1426"/>
    <n v="0"/>
  </r>
  <r>
    <x v="0"/>
    <x v="1"/>
    <x v="0"/>
    <s v="5621200"/>
    <n v="749533"/>
    <s v="Travel-Advanced Practice Clinician"/>
    <s v="HOD-Wound Care"/>
    <x v="0"/>
    <m/>
    <n v="1170.03"/>
    <n v="0"/>
    <n v="0"/>
    <n v="0"/>
    <n v="0"/>
    <n v="0"/>
    <n v="0"/>
    <n v="0"/>
    <n v="0"/>
    <n v="0"/>
    <n v="0"/>
    <n v="0"/>
    <n v="1170.03"/>
    <n v="0"/>
  </r>
  <r>
    <x v="0"/>
    <x v="1"/>
    <x v="0"/>
    <s v="5621200"/>
    <n v="749533"/>
    <s v="Vehicle Expense-Advanced Practice Clinician"/>
    <s v="HOD-Wound Care"/>
    <x v="0"/>
    <n v="2001"/>
    <n v="189.12"/>
    <n v="0"/>
    <n v="0"/>
    <n v="0"/>
    <n v="0"/>
    <n v="0"/>
    <n v="0"/>
    <n v="0"/>
    <n v="0"/>
    <n v="0"/>
    <n v="0"/>
    <n v="0"/>
    <n v="189.12"/>
    <n v="0"/>
  </r>
  <r>
    <x v="9"/>
    <x v="1"/>
    <x v="0"/>
    <s v="5621200"/>
    <n v="800015"/>
    <s v="Interest Income-Ext to CHI"/>
    <s v="HOD-Wound Care"/>
    <x v="0"/>
    <m/>
    <n v="-27.01"/>
    <n v="-24.05"/>
    <n v="-20.41"/>
    <n v="-18.13"/>
    <n v="-15.06"/>
    <n v="-14.59"/>
    <n v="-13.62"/>
    <n v="-11.42"/>
    <n v="-11.67"/>
    <n v="-10.35"/>
    <n v="-9.73"/>
    <n v="-8.4700000000000006"/>
    <n v="-184.50999999999996"/>
    <n v="-1.2599999999999998"/>
  </r>
  <r>
    <x v="1"/>
    <x v="1"/>
    <x v="0"/>
    <s v="5622200"/>
    <n v="400040"/>
    <s v="Physician Svcs Rev--Medicaid"/>
    <s v="HOD-Sex Assault"/>
    <x v="0"/>
    <n v="1200"/>
    <n v="0"/>
    <n v="0"/>
    <n v="0"/>
    <n v="-357"/>
    <n v="0"/>
    <n v="0"/>
    <n v="0"/>
    <n v="0"/>
    <n v="-357"/>
    <n v="0"/>
    <n v="0"/>
    <n v="0"/>
    <n v="-714"/>
    <n v="0"/>
  </r>
  <r>
    <x v="1"/>
    <x v="1"/>
    <x v="0"/>
    <s v="5622200"/>
    <n v="400040"/>
    <s v="Physician Svcs Rev--Self Pay"/>
    <s v="HOD-Sex Assault"/>
    <x v="0"/>
    <n v="1500"/>
    <n v="0"/>
    <n v="0"/>
    <n v="0"/>
    <n v="0"/>
    <n v="0"/>
    <n v="0"/>
    <n v="0"/>
    <n v="0"/>
    <n v="-357"/>
    <n v="357"/>
    <n v="0"/>
    <n v="0"/>
    <n v="0"/>
    <n v="0"/>
  </r>
  <r>
    <x v="1"/>
    <x v="1"/>
    <x v="0"/>
    <s v="5622200"/>
    <n v="400040"/>
    <s v="Physician Svcs Rev--Other"/>
    <s v="HOD-Sex Assault"/>
    <x v="0"/>
    <n v="1700"/>
    <n v="-1132"/>
    <n v="-3190"/>
    <n v="-5939"/>
    <n v="-10238"/>
    <n v="-566"/>
    <n v="-12148"/>
    <n v="-4093"/>
    <n v="-3753"/>
    <n v="-2392"/>
    <n v="-4949"/>
    <n v="-5791"/>
    <n v="-5599"/>
    <n v="-59790"/>
    <n v="-192"/>
  </r>
  <r>
    <x v="2"/>
    <x v="1"/>
    <x v="0"/>
    <s v="5622200"/>
    <n v="450040"/>
    <s v="Contr Allow--Phys Svcs--Mcaid"/>
    <s v="HOD-Sex Assault"/>
    <x v="0"/>
    <n v="1200"/>
    <n v="0"/>
    <n v="0"/>
    <n v="0"/>
    <n v="0"/>
    <n v="0"/>
    <n v="0"/>
    <n v="0"/>
    <n v="0"/>
    <n v="357"/>
    <n v="0"/>
    <n v="0"/>
    <n v="0"/>
    <n v="357"/>
    <n v="0"/>
  </r>
  <r>
    <x v="2"/>
    <x v="1"/>
    <x v="0"/>
    <s v="5622200"/>
    <n v="450040"/>
    <s v="Contr Allow--Phys Svcs--BCBS Mgnd Care"/>
    <s v="HOD-Sex Assault"/>
    <x v="0"/>
    <n v="1401"/>
    <n v="-577.33000000000004"/>
    <n v="1344.13"/>
    <n v="2545.75"/>
    <n v="2149.4"/>
    <n v="286.38"/>
    <n v="6380.7"/>
    <n v="-12502.99"/>
    <n v="608.26"/>
    <n v="-759.44"/>
    <n v="-835.91"/>
    <n v="2139.17"/>
    <n v="-1339.5"/>
    <n v="-561.3799999999992"/>
    <n v="3478.67"/>
  </r>
  <r>
    <x v="2"/>
    <x v="1"/>
    <x v="0"/>
    <s v="5622200"/>
    <n v="450040"/>
    <s v="Admin Adjust-Phys Svcs-Self Pay"/>
    <s v="HOD-Sex Assault"/>
    <x v="0"/>
    <n v="1600"/>
    <n v="0"/>
    <n v="566"/>
    <n v="0"/>
    <n v="0"/>
    <n v="0"/>
    <n v="0"/>
    <n v="0"/>
    <n v="0"/>
    <n v="0"/>
    <n v="0"/>
    <n v="0"/>
    <n v="0"/>
    <n v="566"/>
    <n v="0"/>
  </r>
  <r>
    <x v="2"/>
    <x v="1"/>
    <x v="0"/>
    <s v="5622200"/>
    <n v="450040"/>
    <s v="Contr Allow--Phys Svcs--Other"/>
    <s v="HOD-Sex Assault"/>
    <x v="0"/>
    <n v="1700"/>
    <n v="616.32000000000005"/>
    <n v="0"/>
    <n v="251.1"/>
    <n v="1041.68"/>
    <n v="0"/>
    <n v="444.26"/>
    <n v="5166.74"/>
    <n v="312.89999999999998"/>
    <n v="1437.01"/>
    <n v="2457.66"/>
    <n v="855.26"/>
    <n v="3124.41"/>
    <n v="15707.34"/>
    <n v="-2269.1499999999996"/>
  </r>
  <r>
    <x v="3"/>
    <x v="1"/>
    <x v="0"/>
    <s v="5622200"/>
    <n v="470040"/>
    <s v="Charity Care-Physician Svcs"/>
    <s v="HOD-Sex Assault"/>
    <x v="0"/>
    <m/>
    <n v="-37.340000000000003"/>
    <n v="99.06"/>
    <n v="64.099999999999994"/>
    <n v="69.8"/>
    <n v="28.92"/>
    <n v="150.13"/>
    <n v="-406.96"/>
    <n v="-0.12"/>
    <n v="12.06"/>
    <n v="-37.79"/>
    <n v="33.15"/>
    <n v="4.4800000000000004"/>
    <n v="-20.509999999999959"/>
    <n v="28.669999999999998"/>
  </r>
  <r>
    <x v="4"/>
    <x v="1"/>
    <x v="0"/>
    <s v="5622200"/>
    <n v="490010"/>
    <s v="Provision for Bad Debts"/>
    <s v="HOD-Sex Assault"/>
    <x v="0"/>
    <m/>
    <n v="-54.46"/>
    <n v="145.56"/>
    <n v="293.72000000000003"/>
    <n v="169.66"/>
    <n v="126.95"/>
    <n v="644.15"/>
    <n v="-1615.38"/>
    <n v="-2.8"/>
    <n v="-29.46"/>
    <n v="-99.42"/>
    <n v="193.92"/>
    <n v="-100.9"/>
    <n v="-328.46000000000021"/>
    <n v="294.82"/>
  </r>
  <r>
    <x v="1"/>
    <x v="1"/>
    <x v="0"/>
    <s v="5623200"/>
    <n v="400029"/>
    <s v="MD Practice Other Rev--Medicare"/>
    <s v="HOD-Intensivists"/>
    <x v="0"/>
    <n v="1100"/>
    <n v="-520"/>
    <n v="-320"/>
    <n v="-280"/>
    <n v="-80"/>
    <n v="-120"/>
    <n v="-120"/>
    <n v="-160"/>
    <n v="-240"/>
    <n v="-440"/>
    <n v="-40"/>
    <n v="-40"/>
    <n v="-240"/>
    <n v="-2600"/>
    <n v="200"/>
  </r>
  <r>
    <x v="1"/>
    <x v="1"/>
    <x v="0"/>
    <s v="5623200"/>
    <n v="400029"/>
    <s v="MD Practice Other Rev--Medicaid"/>
    <s v="HOD-Intensivists"/>
    <x v="0"/>
    <n v="1200"/>
    <n v="0"/>
    <n v="-120"/>
    <n v="0"/>
    <n v="-80"/>
    <n v="0"/>
    <n v="-40"/>
    <n v="0"/>
    <n v="-40"/>
    <n v="-40"/>
    <n v="-40"/>
    <n v="0"/>
    <n v="-80"/>
    <n v="-440"/>
    <n v="80"/>
  </r>
  <r>
    <x v="1"/>
    <x v="1"/>
    <x v="0"/>
    <s v="5623200"/>
    <n v="400029"/>
    <s v="MD Practice Other Rev--Comm Insurance"/>
    <s v="HOD-Intensivists"/>
    <x v="0"/>
    <n v="1300"/>
    <n v="0"/>
    <n v="-40"/>
    <n v="0"/>
    <n v="0"/>
    <n v="0"/>
    <n v="0"/>
    <n v="0"/>
    <n v="0"/>
    <n v="0"/>
    <n v="0"/>
    <n v="0"/>
    <n v="0"/>
    <n v="-40"/>
    <n v="0"/>
  </r>
  <r>
    <x v="1"/>
    <x v="1"/>
    <x v="0"/>
    <s v="5623200"/>
    <n v="400029"/>
    <s v="MD Practice Other Rev--BCBS Comm"/>
    <s v="HOD-Intensivists"/>
    <x v="0"/>
    <n v="1301"/>
    <n v="0"/>
    <n v="0"/>
    <n v="0"/>
    <n v="0"/>
    <n v="0"/>
    <n v="0"/>
    <n v="0"/>
    <n v="-40"/>
    <n v="0"/>
    <n v="-40"/>
    <n v="0"/>
    <n v="0"/>
    <n v="-80"/>
    <n v="0"/>
  </r>
  <r>
    <x v="1"/>
    <x v="1"/>
    <x v="0"/>
    <s v="5623200"/>
    <n v="400029"/>
    <s v="MD Practice Other Rev--Managed Care"/>
    <s v="HOD-Intensivists"/>
    <x v="0"/>
    <n v="1400"/>
    <n v="0"/>
    <n v="0"/>
    <n v="0"/>
    <n v="0"/>
    <n v="0"/>
    <n v="-80"/>
    <n v="0"/>
    <n v="0"/>
    <n v="0"/>
    <n v="-80"/>
    <n v="0"/>
    <n v="-40"/>
    <n v="-200"/>
    <n v="40"/>
  </r>
  <r>
    <x v="1"/>
    <x v="1"/>
    <x v="0"/>
    <s v="5623200"/>
    <n v="400029"/>
    <s v="MD Practice Other Rev--Self Pay"/>
    <s v="HOD-Intensivists"/>
    <x v="0"/>
    <n v="1500"/>
    <n v="0"/>
    <n v="0"/>
    <n v="-40"/>
    <n v="40"/>
    <n v="0"/>
    <n v="0"/>
    <n v="0"/>
    <n v="0"/>
    <n v="0"/>
    <n v="0"/>
    <n v="0"/>
    <n v="0"/>
    <n v="0"/>
    <n v="0"/>
  </r>
  <r>
    <x v="1"/>
    <x v="1"/>
    <x v="0"/>
    <s v="5623200"/>
    <n v="400029"/>
    <s v="MD Practice Other Rev--Other"/>
    <s v="HOD-Intensivists"/>
    <x v="0"/>
    <n v="1700"/>
    <n v="0"/>
    <n v="-40"/>
    <n v="0"/>
    <n v="0"/>
    <n v="-40"/>
    <n v="0"/>
    <n v="40"/>
    <n v="-80"/>
    <n v="40"/>
    <n v="0"/>
    <n v="0"/>
    <n v="0"/>
    <n v="-80"/>
    <n v="0"/>
  </r>
  <r>
    <x v="1"/>
    <x v="1"/>
    <x v="0"/>
    <s v="5623200"/>
    <n v="400040"/>
    <s v="Physician Svcs Rev--Medicare"/>
    <s v="HOD-Intensivists"/>
    <x v="0"/>
    <n v="1100"/>
    <n v="-103657"/>
    <n v="-94295"/>
    <n v="-105817"/>
    <n v="-102566"/>
    <n v="-68112"/>
    <n v="-116710"/>
    <n v="-95246"/>
    <n v="-74040"/>
    <n v="-96649"/>
    <n v="-84674"/>
    <n v="-74700"/>
    <n v="-95038"/>
    <n v="-1111504"/>
    <n v="20338"/>
  </r>
  <r>
    <x v="1"/>
    <x v="1"/>
    <x v="0"/>
    <s v="5623200"/>
    <n v="400040"/>
    <s v="Physician Svcs Rev--Medicaid"/>
    <s v="HOD-Intensivists"/>
    <x v="0"/>
    <n v="1200"/>
    <n v="-23547"/>
    <n v="-23823"/>
    <n v="-16554"/>
    <n v="-24548"/>
    <n v="-18541"/>
    <n v="-30434"/>
    <n v="-16007"/>
    <n v="-26964"/>
    <n v="-23208"/>
    <n v="-28319"/>
    <n v="-28764"/>
    <n v="-12496"/>
    <n v="-273205"/>
    <n v="-16268"/>
  </r>
  <r>
    <x v="1"/>
    <x v="1"/>
    <x v="0"/>
    <s v="5623200"/>
    <n v="400040"/>
    <s v="Physician Svcs Rev--Comm Insurance"/>
    <s v="HOD-Intensivists"/>
    <x v="0"/>
    <n v="1300"/>
    <n v="0"/>
    <n v="-3029"/>
    <n v="0"/>
    <n v="-1682"/>
    <n v="0"/>
    <n v="-2755"/>
    <n v="-612"/>
    <n v="-3959"/>
    <n v="-543"/>
    <n v="-1224"/>
    <n v="0"/>
    <n v="0"/>
    <n v="-13804"/>
    <n v="0"/>
  </r>
  <r>
    <x v="1"/>
    <x v="1"/>
    <x v="0"/>
    <s v="5623200"/>
    <n v="400040"/>
    <s v="Physician Svcs Rev--BCBS Comm"/>
    <s v="HOD-Intensivists"/>
    <x v="0"/>
    <n v="1301"/>
    <n v="-1511"/>
    <n v="-287"/>
    <n v="-1531"/>
    <n v="-1572"/>
    <n v="-7021"/>
    <n v="-3979"/>
    <n v="-5420"/>
    <n v="-10128"/>
    <n v="-11069"/>
    <n v="-10601"/>
    <n v="-3060"/>
    <n v="-2143"/>
    <n v="-58322"/>
    <n v="-917"/>
  </r>
  <r>
    <x v="1"/>
    <x v="1"/>
    <x v="0"/>
    <s v="5623200"/>
    <n v="400040"/>
    <s v="Physician Svcs Rev--Managed Care"/>
    <s v="HOD-Intensivists"/>
    <x v="0"/>
    <n v="1400"/>
    <n v="-11321"/>
    <n v="-22272"/>
    <n v="-28960"/>
    <n v="-11520"/>
    <n v="-8496"/>
    <n v="-17767"/>
    <n v="-22906"/>
    <n v="-10265"/>
    <n v="-10061"/>
    <n v="-10517"/>
    <n v="-11284"/>
    <n v="-33766"/>
    <n v="-199135"/>
    <n v="22482"/>
  </r>
  <r>
    <x v="1"/>
    <x v="1"/>
    <x v="0"/>
    <s v="5623200"/>
    <n v="400040"/>
    <s v="Physician Svcs Rev--Self Pay"/>
    <s v="HOD-Intensivists"/>
    <x v="0"/>
    <n v="1500"/>
    <n v="3980"/>
    <n v="-2755"/>
    <n v="-9895"/>
    <n v="5865"/>
    <n v="0"/>
    <n v="0"/>
    <n v="-6010"/>
    <n v="-357"/>
    <n v="213"/>
    <n v="-919"/>
    <n v="-1804"/>
    <n v="-11783"/>
    <n v="-23465"/>
    <n v="9979"/>
  </r>
  <r>
    <x v="1"/>
    <x v="1"/>
    <x v="0"/>
    <s v="5623200"/>
    <n v="400040"/>
    <s v="Physician Svcs Rev--Other"/>
    <s v="HOD-Intensivists"/>
    <x v="0"/>
    <n v="1700"/>
    <n v="-4159"/>
    <n v="-5690"/>
    <n v="-5169"/>
    <n v="-4956"/>
    <n v="-7133"/>
    <n v="-6122"/>
    <n v="2269"/>
    <n v="-9014"/>
    <n v="-196"/>
    <n v="-6610"/>
    <n v="-12110"/>
    <n v="-16183"/>
    <n v="-75073"/>
    <n v="4073"/>
  </r>
  <r>
    <x v="2"/>
    <x v="1"/>
    <x v="0"/>
    <s v="5623200"/>
    <n v="450029"/>
    <s v="Contr Allow--MD Other-Medicare"/>
    <s v="HOD-Intensivists"/>
    <x v="0"/>
    <n v="1100"/>
    <n v="185"/>
    <n v="264.12"/>
    <n v="199.65"/>
    <n v="126.08"/>
    <n v="28.46"/>
    <n v="164.88"/>
    <n v="79.36"/>
    <n v="76.430000000000007"/>
    <n v="281.17"/>
    <n v="129.71"/>
    <n v="25.41"/>
    <n v="28.95"/>
    <n v="1589.2200000000003"/>
    <n v="-3.5399999999999991"/>
  </r>
  <r>
    <x v="2"/>
    <x v="1"/>
    <x v="0"/>
    <s v="5623200"/>
    <n v="450029"/>
    <s v="Contr Allow--MD Other-Medicaid"/>
    <s v="HOD-Intensivists"/>
    <x v="0"/>
    <n v="1200"/>
    <n v="0"/>
    <n v="30.22"/>
    <n v="92.71"/>
    <n v="31.73"/>
    <n v="30.49"/>
    <n v="31.73"/>
    <n v="0"/>
    <n v="0"/>
    <n v="62.46"/>
    <n v="30.49"/>
    <n v="0"/>
    <n v="0"/>
    <n v="309.83"/>
    <n v="0"/>
  </r>
  <r>
    <x v="2"/>
    <x v="1"/>
    <x v="0"/>
    <s v="5623200"/>
    <n v="450029"/>
    <s v="Contr Allow--MD Other BCBS Comm"/>
    <s v="HOD-Intensivists"/>
    <x v="0"/>
    <n v="1301"/>
    <n v="0"/>
    <n v="0"/>
    <n v="0"/>
    <n v="0"/>
    <n v="0"/>
    <n v="0"/>
    <n v="0"/>
    <n v="0"/>
    <n v="19.54"/>
    <n v="0"/>
    <n v="0"/>
    <n v="0"/>
    <n v="19.54"/>
    <n v="0"/>
  </r>
  <r>
    <x v="2"/>
    <x v="1"/>
    <x v="0"/>
    <s v="5623200"/>
    <n v="450029"/>
    <s v="Contr Allow--MD Other-Managed Care"/>
    <s v="HOD-Intensivists"/>
    <x v="0"/>
    <n v="1400"/>
    <n v="0"/>
    <n v="0"/>
    <n v="0"/>
    <n v="0"/>
    <n v="0"/>
    <n v="40.96"/>
    <n v="0"/>
    <n v="0"/>
    <n v="0"/>
    <n v="39.200000000000003"/>
    <n v="5.81"/>
    <n v="19.600000000000001"/>
    <n v="105.57"/>
    <n v="-13.790000000000003"/>
  </r>
  <r>
    <x v="2"/>
    <x v="1"/>
    <x v="0"/>
    <s v="5623200"/>
    <n v="450029"/>
    <s v="Admin Adjust-MD Other-Self Pay"/>
    <s v="HOD-Intensivists"/>
    <x v="0"/>
    <n v="1600"/>
    <n v="0"/>
    <n v="0.02"/>
    <n v="14.8"/>
    <n v="-11.86"/>
    <n v="0"/>
    <n v="0"/>
    <n v="0"/>
    <n v="0"/>
    <n v="0"/>
    <n v="0"/>
    <n v="0"/>
    <n v="0"/>
    <n v="2.9600000000000009"/>
    <n v="0"/>
  </r>
  <r>
    <x v="2"/>
    <x v="1"/>
    <x v="0"/>
    <s v="5623200"/>
    <n v="450029"/>
    <s v="Contr Allow--MD Other-Other"/>
    <s v="HOD-Intensivists"/>
    <x v="0"/>
    <n v="1700"/>
    <n v="0"/>
    <n v="0"/>
    <n v="0"/>
    <n v="0"/>
    <n v="0"/>
    <n v="0"/>
    <n v="0"/>
    <n v="50.54"/>
    <n v="0"/>
    <n v="0"/>
    <n v="0"/>
    <n v="0"/>
    <n v="50.54"/>
    <n v="0"/>
  </r>
  <r>
    <x v="2"/>
    <x v="1"/>
    <x v="0"/>
    <s v="5623200"/>
    <n v="450040"/>
    <s v="Contr Allow--Phys Svcs--Mcare"/>
    <s v="HOD-Intensivists"/>
    <x v="0"/>
    <n v="1100"/>
    <n v="56292.2"/>
    <n v="52081.83"/>
    <n v="64087.88"/>
    <n v="94540.88"/>
    <n v="24195.33"/>
    <n v="51645.41"/>
    <n v="68317.2"/>
    <n v="43490.34"/>
    <n v="61033.88"/>
    <n v="62136.72"/>
    <n v="43795.33"/>
    <n v="32677.01"/>
    <n v="654294.01"/>
    <n v="11118.320000000003"/>
  </r>
  <r>
    <x v="2"/>
    <x v="1"/>
    <x v="0"/>
    <s v="5623200"/>
    <n v="450040"/>
    <s v="Contr Allow--Phys Svcs--Mcaid"/>
    <s v="HOD-Intensivists"/>
    <x v="0"/>
    <n v="1200"/>
    <n v="24777.51"/>
    <n v="23364.05"/>
    <n v="14105.6"/>
    <n v="24732.29"/>
    <n v="6240.52"/>
    <n v="23584.52"/>
    <n v="18464.560000000001"/>
    <n v="8377.0499999999993"/>
    <n v="14539.26"/>
    <n v="18665.93"/>
    <n v="26606.29"/>
    <n v="9545.0400000000009"/>
    <n v="213002.62000000002"/>
    <n v="17061.25"/>
  </r>
  <r>
    <x v="2"/>
    <x v="1"/>
    <x v="0"/>
    <s v="5623200"/>
    <n v="450040"/>
    <s v="Contr Allow--Phys Svcs--Comm Insurance"/>
    <s v="HOD-Intensivists"/>
    <x v="0"/>
    <n v="1300"/>
    <n v="324.17"/>
    <n v="484.6"/>
    <n v="0"/>
    <n v="536.71"/>
    <n v="0"/>
    <n v="491.4"/>
    <n v="0"/>
    <n v="385.98"/>
    <n v="2500.59"/>
    <n v="0"/>
    <n v="910.74"/>
    <n v="901"/>
    <n v="6535.1900000000005"/>
    <n v="9.7400000000000091"/>
  </r>
  <r>
    <x v="2"/>
    <x v="1"/>
    <x v="0"/>
    <s v="5623200"/>
    <n v="450040"/>
    <s v="Contr Allow--Phys Svcs--BCBS Comm Ins"/>
    <s v="HOD-Intensivists"/>
    <x v="0"/>
    <n v="1301"/>
    <n v="1130.82"/>
    <n v="0"/>
    <n v="145.19"/>
    <n v="1539.22"/>
    <n v="0"/>
    <n v="2827.41"/>
    <n v="2625.03"/>
    <n v="2719.71"/>
    <n v="5096.6099999999997"/>
    <n v="6982.76"/>
    <n v="2824.4"/>
    <n v="1116.28"/>
    <n v="27007.43"/>
    <n v="1708.1200000000001"/>
  </r>
  <r>
    <x v="2"/>
    <x v="1"/>
    <x v="0"/>
    <s v="5623200"/>
    <n v="450040"/>
    <s v="Contr Allow--Phys Svcs--Managed Care"/>
    <s v="HOD-Intensivists"/>
    <x v="0"/>
    <n v="1400"/>
    <n v="4252.0200000000004"/>
    <n v="8043"/>
    <n v="7559.19"/>
    <n v="13014.25"/>
    <n v="5563.71"/>
    <n v="4855.1099999999997"/>
    <n v="7606.64"/>
    <n v="6509.27"/>
    <n v="3065.84"/>
    <n v="1751.8"/>
    <n v="5513.12"/>
    <n v="14354.29"/>
    <n v="82088.239999999991"/>
    <n v="-8841.1700000000019"/>
  </r>
  <r>
    <x v="2"/>
    <x v="1"/>
    <x v="0"/>
    <s v="5623200"/>
    <n v="450040"/>
    <s v="Contr Allow--Phys Svcs--BCBS Mgnd Care"/>
    <s v="HOD-Intensivists"/>
    <x v="0"/>
    <n v="1401"/>
    <n v="470.76"/>
    <n v="7234.42"/>
    <n v="12908.61"/>
    <n v="-37557.71"/>
    <n v="24506.74"/>
    <n v="24889.61"/>
    <n v="-3545.59"/>
    <n v="19968.740000000002"/>
    <n v="2256.84"/>
    <n v="-5088.05"/>
    <n v="6695.54"/>
    <n v="7509.08"/>
    <n v="60248.99"/>
    <n v="-813.54"/>
  </r>
  <r>
    <x v="2"/>
    <x v="1"/>
    <x v="0"/>
    <s v="5623200"/>
    <n v="450040"/>
    <s v="Prompt Pay Disc-Phys Svcs-Self Pay"/>
    <s v="HOD-Intensivists"/>
    <x v="0"/>
    <n v="1500"/>
    <n v="0"/>
    <n v="0"/>
    <n v="0"/>
    <n v="2037.52"/>
    <n v="1318.2"/>
    <n v="0"/>
    <n v="0"/>
    <n v="0"/>
    <n v="0"/>
    <n v="0"/>
    <n v="0"/>
    <n v="0"/>
    <n v="3355.7200000000003"/>
    <n v="0"/>
  </r>
  <r>
    <x v="2"/>
    <x v="1"/>
    <x v="0"/>
    <s v="5623200"/>
    <n v="450040"/>
    <s v="Admin Adjust-Phys Svcs-Self Pay"/>
    <s v="HOD-Intensivists"/>
    <x v="0"/>
    <n v="1600"/>
    <n v="-1461.7"/>
    <n v="1481.85"/>
    <n v="4052.48"/>
    <n v="-3150.59"/>
    <n v="-654.85"/>
    <n v="0"/>
    <n v="2699.94"/>
    <n v="180.09"/>
    <n v="-6.81"/>
    <n v="340.03"/>
    <n v="714.38"/>
    <n v="51057.14"/>
    <n v="55251.96"/>
    <n v="-50342.76"/>
  </r>
  <r>
    <x v="2"/>
    <x v="1"/>
    <x v="0"/>
    <s v="5623200"/>
    <n v="450040"/>
    <s v="Contr Allow--Phys Svcs--Other"/>
    <s v="HOD-Intensivists"/>
    <x v="0"/>
    <n v="1700"/>
    <n v="386.69"/>
    <n v="121.46"/>
    <n v="5281.7"/>
    <n v="2338.6"/>
    <n v="180.97"/>
    <n v="1937.67"/>
    <n v="3260.47"/>
    <n v="1299.95"/>
    <n v="4019.31"/>
    <n v="6687.71"/>
    <n v="773"/>
    <n v="1188.6400000000001"/>
    <n v="27476.17"/>
    <n v="-415.6400000000001"/>
  </r>
  <r>
    <x v="3"/>
    <x v="1"/>
    <x v="0"/>
    <s v="5623200"/>
    <n v="470040"/>
    <s v="Charity Care-Physician Svcs"/>
    <s v="HOD-Intensivists"/>
    <x v="0"/>
    <m/>
    <n v="273.02999999999997"/>
    <n v="1590.34"/>
    <n v="710.1"/>
    <n v="-413.22"/>
    <n v="811.94"/>
    <n v="870.26"/>
    <n v="1027.53"/>
    <n v="292.73"/>
    <n v="948.01"/>
    <n v="662.11"/>
    <n v="-228.56"/>
    <n v="2253.29"/>
    <n v="8797.5599999999977"/>
    <n v="-2481.85"/>
  </r>
  <r>
    <x v="4"/>
    <x v="1"/>
    <x v="0"/>
    <s v="5623200"/>
    <n v="490010"/>
    <s v="Provision for Bad Debts"/>
    <s v="HOD-Intensivists"/>
    <x v="0"/>
    <m/>
    <n v="7416.86"/>
    <n v="4379.84"/>
    <n v="1695.73"/>
    <n v="-2015.95"/>
    <n v="4894.24"/>
    <n v="3881.17"/>
    <n v="-2521.4699999999998"/>
    <n v="2053.37"/>
    <n v="1589.68"/>
    <n v="1522.17"/>
    <n v="4759.93"/>
    <n v="5438.47"/>
    <n v="33094.04"/>
    <n v="-678.54"/>
  </r>
  <r>
    <x v="14"/>
    <x v="1"/>
    <x v="0"/>
    <s v="5623200"/>
    <n v="600050"/>
    <s v="Miscellaneous Revenue"/>
    <s v="HOD-Intensivists"/>
    <x v="0"/>
    <m/>
    <n v="-16726"/>
    <n v="-11200"/>
    <n v="-30541"/>
    <n v="-19489"/>
    <n v="-22252"/>
    <n v="-32641"/>
    <n v="-49882"/>
    <n v="-25015"/>
    <n v="-16726"/>
    <n v="-25015"/>
    <n v="-27778"/>
    <n v="-16800"/>
    <n v="-294065"/>
    <n v="-10978"/>
  </r>
  <r>
    <x v="5"/>
    <x v="1"/>
    <x v="0"/>
    <s v="5623200"/>
    <n v="700020"/>
    <s v="Salaries-Physician Admin-Productive"/>
    <s v="HOD-Intensivists"/>
    <x v="0"/>
    <m/>
    <n v="11200"/>
    <n v="11200"/>
    <n v="11200"/>
    <n v="11200"/>
    <n v="11200"/>
    <n v="0"/>
    <n v="11200"/>
    <n v="11200"/>
    <n v="11200"/>
    <n v="11200"/>
    <n v="11200"/>
    <n v="16800"/>
    <n v="128800"/>
    <n v="-5600"/>
  </r>
  <r>
    <x v="5"/>
    <x v="1"/>
    <x v="0"/>
    <s v="5623200"/>
    <n v="700020"/>
    <s v="Salaries-Physician Admin-Other"/>
    <s v="HOD-Intensivists"/>
    <x v="0"/>
    <n v="2000"/>
    <n v="0"/>
    <n v="0"/>
    <n v="0"/>
    <n v="0"/>
    <n v="0"/>
    <n v="16800"/>
    <n v="0"/>
    <n v="0"/>
    <n v="0"/>
    <n v="0"/>
    <n v="0"/>
    <n v="0"/>
    <n v="16800"/>
    <n v="0"/>
  </r>
  <r>
    <x v="5"/>
    <x v="1"/>
    <x v="0"/>
    <s v="5623200"/>
    <n v="700022"/>
    <s v="Salaries-Physician-Productive"/>
    <s v="HOD-Intensivists"/>
    <x v="0"/>
    <m/>
    <n v="80195.63"/>
    <n v="82978.39"/>
    <n v="72155.12"/>
    <n v="83803.38"/>
    <n v="79370.64"/>
    <n v="76890.240000000005"/>
    <n v="84342.02"/>
    <n v="74750.66"/>
    <n v="79066.87"/>
    <n v="82732.66"/>
    <n v="85614.44"/>
    <n v="74443.89"/>
    <n v="956343.94000000006"/>
    <n v="11170.550000000003"/>
  </r>
  <r>
    <x v="5"/>
    <x v="1"/>
    <x v="0"/>
    <s v="5623200"/>
    <n v="700022"/>
    <s v="Salaries-Physician-Other"/>
    <s v="HOD-Intensivists"/>
    <x v="0"/>
    <n v="2000"/>
    <n v="5526"/>
    <n v="0"/>
    <n v="19341"/>
    <n v="8289"/>
    <n v="11052"/>
    <n v="21750.05"/>
    <n v="38682"/>
    <n v="22650.94"/>
    <n v="5526"/>
    <n v="13815"/>
    <n v="16578"/>
    <n v="0"/>
    <n v="163209.99"/>
    <n v="16578"/>
  </r>
  <r>
    <x v="5"/>
    <x v="1"/>
    <x v="0"/>
    <s v="5623200"/>
    <n v="700062"/>
    <s v="Salaries-Physician-Non-productive"/>
    <s v="HOD-Intensivists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23200"/>
    <n v="700062"/>
    <s v="Salaries-Physician-NonProd-Other"/>
    <s v="HOD-Intensivists"/>
    <x v="0"/>
    <n v="2000"/>
    <n v="0"/>
    <n v="0"/>
    <n v="0"/>
    <n v="0"/>
    <n v="0"/>
    <n v="0"/>
    <n v="0"/>
    <n v="0"/>
    <n v="0"/>
    <n v="0"/>
    <n v="0"/>
    <n v="0"/>
    <n v="0"/>
    <n v="0"/>
  </r>
  <r>
    <x v="10"/>
    <x v="1"/>
    <x v="0"/>
    <s v="5623200"/>
    <n v="710040"/>
    <s v="Contract Labor-Physician (Locum Tenum)"/>
    <s v="HOD-Intensivists"/>
    <x v="0"/>
    <m/>
    <n v="0"/>
    <n v="0"/>
    <n v="0"/>
    <n v="14400"/>
    <n v="0"/>
    <n v="0"/>
    <n v="43500"/>
    <n v="0"/>
    <n v="0"/>
    <n v="0"/>
    <n v="0"/>
    <n v="53423.49"/>
    <n v="111323.48999999999"/>
    <n v="-53423.49"/>
  </r>
  <r>
    <x v="10"/>
    <x v="1"/>
    <x v="0"/>
    <s v="5623200"/>
    <n v="710042"/>
    <s v="Locum Tenens Travel-Physician"/>
    <s v="HOD-Intensivists"/>
    <x v="0"/>
    <m/>
    <n v="0"/>
    <n v="0"/>
    <n v="0"/>
    <n v="263.74"/>
    <n v="0"/>
    <n v="0"/>
    <n v="4295.49"/>
    <n v="0"/>
    <n v="0"/>
    <n v="0"/>
    <n v="0"/>
    <n v="271.08"/>
    <n v="4830.3099999999995"/>
    <n v="-271.08"/>
  </r>
  <r>
    <x v="6"/>
    <x v="1"/>
    <x v="0"/>
    <s v="5623200"/>
    <n v="713010"/>
    <s v="Benefits-FICA/Medicare"/>
    <s v="HOD-Intensivists"/>
    <x v="0"/>
    <m/>
    <n v="3177.61"/>
    <n v="2272.02"/>
    <n v="2082.9699999999998"/>
    <n v="2355.42"/>
    <n v="1228.31"/>
    <n v="3959.99"/>
    <n v="7108.31"/>
    <n v="7062.41"/>
    <n v="6704.07"/>
    <n v="4729.1000000000004"/>
    <n v="3383.65"/>
    <n v="3271.17"/>
    <n v="47335.03"/>
    <n v="112.48000000000002"/>
  </r>
  <r>
    <x v="6"/>
    <x v="1"/>
    <x v="0"/>
    <s v="5623200"/>
    <n v="713090"/>
    <s v="Benefits-Allocated Amounts"/>
    <s v="HOD-Intensivists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23200"/>
    <n v="713092"/>
    <s v="Allocated Benefits-Physician"/>
    <s v="HOD-Intensivists"/>
    <x v="0"/>
    <m/>
    <n v="6707.03"/>
    <n v="5910.74"/>
    <n v="6553.25"/>
    <n v="6319.88"/>
    <n v="6431.54"/>
    <n v="6862.14"/>
    <n v="9197.36"/>
    <n v="8367.2099999999991"/>
    <n v="8870"/>
    <n v="7856.77"/>
    <n v="7819.75"/>
    <n v="7225.66"/>
    <n v="88121.33"/>
    <n v="594.09000000000015"/>
  </r>
  <r>
    <x v="7"/>
    <x v="1"/>
    <x v="0"/>
    <s v="5623200"/>
    <n v="718040"/>
    <s v="Contract Svcs-Laboratory"/>
    <s v="HOD-Intensivists"/>
    <x v="0"/>
    <m/>
    <n v="0"/>
    <n v="0"/>
    <n v="0"/>
    <n v="0"/>
    <n v="0"/>
    <n v="0"/>
    <n v="0"/>
    <n v="0"/>
    <n v="0"/>
    <n v="0"/>
    <n v="43"/>
    <n v="0"/>
    <n v="43"/>
    <n v="43"/>
  </r>
  <r>
    <x v="15"/>
    <x v="1"/>
    <x v="0"/>
    <s v="5623200"/>
    <n v="731060"/>
    <s v="Pagers"/>
    <s v="HOD-Intensivists"/>
    <x v="0"/>
    <n v="1002"/>
    <n v="8.1"/>
    <n v="8.1"/>
    <n v="8.1"/>
    <n v="8.1199999999999992"/>
    <n v="8.1199999999999992"/>
    <n v="0"/>
    <n v="0"/>
    <n v="8.1199999999999992"/>
    <n v="8.1199999999999992"/>
    <n v="8.1199999999999992"/>
    <n v="8.1199999999999992"/>
    <n v="8.1199999999999992"/>
    <n v="81.14"/>
    <n v="0"/>
  </r>
  <r>
    <x v="0"/>
    <x v="1"/>
    <x v="0"/>
    <s v="5623200"/>
    <n v="740022"/>
    <s v="Education-Physician"/>
    <s v="HOD-Intensivists"/>
    <x v="0"/>
    <m/>
    <n v="143.35"/>
    <n v="0"/>
    <n v="0"/>
    <n v="0"/>
    <n v="0"/>
    <n v="0"/>
    <n v="950"/>
    <n v="0"/>
    <n v="597.55999999999995"/>
    <n v="1985"/>
    <n v="0"/>
    <n v="0"/>
    <n v="3675.91"/>
    <n v="0"/>
  </r>
  <r>
    <x v="0"/>
    <x v="1"/>
    <x v="0"/>
    <s v="5623200"/>
    <n v="740022"/>
    <s v="Books-Physician"/>
    <s v="HOD-Intensivists"/>
    <x v="0"/>
    <n v="2000"/>
    <n v="653.35"/>
    <n v="0"/>
    <n v="0"/>
    <n v="0"/>
    <n v="0"/>
    <n v="543.91"/>
    <n v="1394"/>
    <n v="0"/>
    <n v="0"/>
    <n v="0"/>
    <n v="0"/>
    <n v="0"/>
    <n v="2591.2600000000002"/>
    <n v="0"/>
  </r>
  <r>
    <x v="8"/>
    <x v="1"/>
    <x v="0"/>
    <s v="5623200"/>
    <n v="741012"/>
    <s v="Physician Liab Insurance-CHI Program"/>
    <s v="HOD-Intensivists"/>
    <x v="0"/>
    <m/>
    <n v="3126.2"/>
    <n v="3126.2"/>
    <n v="3126.2"/>
    <n v="3126.2"/>
    <n v="3126.2"/>
    <n v="3126.2"/>
    <n v="3126.2"/>
    <n v="3126.2"/>
    <n v="3126.2"/>
    <n v="3126.2"/>
    <n v="3126.2"/>
    <n v="3126.2"/>
    <n v="37514.400000000001"/>
    <n v="0"/>
  </r>
  <r>
    <x v="0"/>
    <x v="1"/>
    <x v="0"/>
    <s v="5623200"/>
    <n v="743022"/>
    <s v="Dues-Physician"/>
    <s v="HOD-Intensivists"/>
    <x v="0"/>
    <m/>
    <n v="0"/>
    <n v="0"/>
    <n v="0"/>
    <n v="0"/>
    <n v="0"/>
    <n v="0"/>
    <n v="405"/>
    <n v="0"/>
    <n v="580"/>
    <n v="0"/>
    <n v="0"/>
    <n v="0"/>
    <n v="985"/>
    <n v="0"/>
  </r>
  <r>
    <x v="0"/>
    <x v="1"/>
    <x v="0"/>
    <s v="5623200"/>
    <n v="749510"/>
    <s v="Miscellaneous Expenses"/>
    <s v="HOD-Intensivists"/>
    <x v="0"/>
    <m/>
    <n v="-1854.59"/>
    <n v="0"/>
    <n v="0"/>
    <n v="0"/>
    <n v="0"/>
    <n v="950"/>
    <n v="-950"/>
    <n v="0"/>
    <n v="0"/>
    <n v="0"/>
    <n v="0"/>
    <n v="731"/>
    <n v="-1123.5899999999999"/>
    <n v="-731"/>
  </r>
  <r>
    <x v="0"/>
    <x v="1"/>
    <x v="0"/>
    <s v="5623200"/>
    <n v="749512"/>
    <s v="Licenses-Physician"/>
    <s v="HOD-Intensivists"/>
    <x v="0"/>
    <n v="2000"/>
    <n v="657"/>
    <n v="0"/>
    <n v="0"/>
    <n v="657"/>
    <n v="0"/>
    <n v="657"/>
    <n v="731"/>
    <n v="0"/>
    <n v="1388"/>
    <n v="0"/>
    <n v="0"/>
    <n v="0"/>
    <n v="4090"/>
    <n v="0"/>
  </r>
  <r>
    <x v="0"/>
    <x v="1"/>
    <x v="0"/>
    <s v="5623200"/>
    <n v="749532"/>
    <s v="Travel-Physician"/>
    <s v="HOD-Intensivists"/>
    <x v="0"/>
    <m/>
    <n v="0"/>
    <n v="3479.92"/>
    <n v="1771.79"/>
    <n v="1206.02"/>
    <n v="1588.05"/>
    <n v="1130.97"/>
    <n v="2434.84"/>
    <n v="0"/>
    <n v="1478.92"/>
    <n v="4038.69"/>
    <n v="1506.36"/>
    <n v="1467.09"/>
    <n v="20102.650000000001"/>
    <n v="39.269999999999982"/>
  </r>
  <r>
    <x v="0"/>
    <x v="1"/>
    <x v="0"/>
    <s v="5623200"/>
    <n v="749535"/>
    <s v="Medicare Non-Allowable Beverages"/>
    <s v="HOD-Intensivists"/>
    <x v="0"/>
    <n v="1005"/>
    <n v="0"/>
    <n v="0"/>
    <n v="0"/>
    <n v="0"/>
    <n v="0"/>
    <n v="0"/>
    <n v="0"/>
    <n v="0"/>
    <n v="0"/>
    <n v="0"/>
    <n v="9.81"/>
    <n v="0"/>
    <n v="9.81"/>
    <n v="9.81"/>
  </r>
  <r>
    <x v="1"/>
    <x v="1"/>
    <x v="0"/>
    <s v="5624200"/>
    <n v="400029"/>
    <s v="MD Practice Other Rev--Medicare"/>
    <s v="HOD-Urgent PO"/>
    <x v="0"/>
    <n v="1100"/>
    <n v="-42"/>
    <n v="-493"/>
    <n v="10"/>
    <n v="-53"/>
    <n v="-154"/>
    <n v="-45"/>
    <n v="-100"/>
    <n v="0"/>
    <n v="-90"/>
    <n v="0"/>
    <n v="-10"/>
    <n v="-40"/>
    <n v="-1017"/>
    <n v="30"/>
  </r>
  <r>
    <x v="1"/>
    <x v="1"/>
    <x v="0"/>
    <s v="5624200"/>
    <n v="400029"/>
    <s v="MD Practice Other Rev--Medicaid"/>
    <s v="HOD-Urgent PO"/>
    <x v="0"/>
    <n v="1200"/>
    <n v="-542"/>
    <n v="-536"/>
    <n v="-77"/>
    <n v="-19"/>
    <n v="-604"/>
    <n v="-178"/>
    <n v="-987"/>
    <n v="-45"/>
    <n v="-20"/>
    <n v="-10"/>
    <n v="-122"/>
    <n v="-74"/>
    <n v="-3214"/>
    <n v="-48"/>
  </r>
  <r>
    <x v="1"/>
    <x v="1"/>
    <x v="0"/>
    <s v="5624200"/>
    <n v="400029"/>
    <s v="MD Practice Other Rev--Comm Insurance"/>
    <s v="HOD-Urgent PO"/>
    <x v="0"/>
    <n v="1300"/>
    <n v="0"/>
    <n v="0"/>
    <n v="0"/>
    <n v="-34"/>
    <n v="0"/>
    <n v="-45"/>
    <n v="-135"/>
    <n v="-10"/>
    <n v="-34"/>
    <n v="0"/>
    <n v="0"/>
    <n v="0"/>
    <n v="-258"/>
    <n v="0"/>
  </r>
  <r>
    <x v="1"/>
    <x v="1"/>
    <x v="0"/>
    <s v="5624200"/>
    <n v="400029"/>
    <s v="MD Practice Other Rev--BCBS Comm"/>
    <s v="HOD-Urgent PO"/>
    <x v="0"/>
    <n v="1301"/>
    <n v="-132"/>
    <n v="0"/>
    <n v="-99"/>
    <n v="-44"/>
    <n v="-145"/>
    <n v="-163"/>
    <n v="-538"/>
    <n v="-10"/>
    <n v="-82"/>
    <n v="0"/>
    <n v="-98"/>
    <n v="0"/>
    <n v="-1311"/>
    <n v="-98"/>
  </r>
  <r>
    <x v="1"/>
    <x v="1"/>
    <x v="0"/>
    <s v="5624200"/>
    <n v="400029"/>
    <s v="MD Practice Other Rev--Managed Care"/>
    <s v="HOD-Urgent PO"/>
    <x v="0"/>
    <n v="1400"/>
    <n v="-54"/>
    <n v="-41"/>
    <n v="-148"/>
    <n v="-152"/>
    <n v="-672"/>
    <n v="-544"/>
    <n v="-477"/>
    <n v="-54"/>
    <n v="-87"/>
    <n v="-95"/>
    <n v="-54"/>
    <n v="-1"/>
    <n v="-2379"/>
    <n v="-53"/>
  </r>
  <r>
    <x v="1"/>
    <x v="1"/>
    <x v="0"/>
    <s v="5624200"/>
    <n v="400029"/>
    <s v="MD Practice Other Rev--Self Pay"/>
    <s v="HOD-Urgent PO"/>
    <x v="0"/>
    <n v="1500"/>
    <n v="-517"/>
    <n v="-473"/>
    <n v="0"/>
    <n v="0"/>
    <n v="-135"/>
    <n v="0"/>
    <n v="-90"/>
    <n v="0"/>
    <n v="0"/>
    <n v="-75"/>
    <n v="-507"/>
    <n v="-200"/>
    <n v="-1997"/>
    <n v="-307"/>
  </r>
  <r>
    <x v="1"/>
    <x v="1"/>
    <x v="0"/>
    <s v="5624200"/>
    <n v="400029"/>
    <s v="MD Practice Other Rev--Other"/>
    <s v="HOD-Urgent PO"/>
    <x v="0"/>
    <n v="1700"/>
    <n v="-45"/>
    <n v="-45"/>
    <n v="0"/>
    <n v="-10"/>
    <n v="-45"/>
    <n v="0"/>
    <n v="-34"/>
    <n v="0"/>
    <n v="-34"/>
    <n v="0"/>
    <n v="-122"/>
    <n v="0"/>
    <n v="-335"/>
    <n v="-122"/>
  </r>
  <r>
    <x v="1"/>
    <x v="1"/>
    <x v="0"/>
    <s v="5624200"/>
    <n v="400040"/>
    <s v="Physician Svcs Rev--Medicare"/>
    <s v="HOD-Urgent PO"/>
    <x v="0"/>
    <n v="1100"/>
    <n v="-77499"/>
    <n v="-61144"/>
    <n v="-59699"/>
    <n v="-70725"/>
    <n v="-58796"/>
    <n v="-66916"/>
    <n v="-73190"/>
    <n v="-47527"/>
    <n v="-61107"/>
    <n v="-60130"/>
    <n v="-58368"/>
    <n v="-60955"/>
    <n v="-756056"/>
    <n v="2587"/>
  </r>
  <r>
    <x v="1"/>
    <x v="1"/>
    <x v="0"/>
    <s v="5624200"/>
    <n v="400040"/>
    <s v="Physician Svcs Rev--Medicaid"/>
    <s v="HOD-Urgent PO"/>
    <x v="0"/>
    <n v="1200"/>
    <n v="-127168"/>
    <n v="-136873"/>
    <n v="-147649"/>
    <n v="-171790"/>
    <n v="-154828"/>
    <n v="-166349"/>
    <n v="-184156"/>
    <n v="-132027"/>
    <n v="-169925"/>
    <n v="-136414"/>
    <n v="-134819"/>
    <n v="-141362"/>
    <n v="-1803360"/>
    <n v="6543"/>
  </r>
  <r>
    <x v="1"/>
    <x v="1"/>
    <x v="0"/>
    <s v="5624200"/>
    <n v="400040"/>
    <s v="Physician Svcs Rev--Comm Insurance"/>
    <s v="HOD-Urgent PO"/>
    <x v="0"/>
    <n v="1300"/>
    <n v="-15590"/>
    <n v="-15335"/>
    <n v="-15140"/>
    <n v="-14874"/>
    <n v="-15436"/>
    <n v="-17746"/>
    <n v="-23733"/>
    <n v="-17038"/>
    <n v="-19642"/>
    <n v="-13417"/>
    <n v="-16726"/>
    <n v="-15850"/>
    <n v="-200527"/>
    <n v="-876"/>
  </r>
  <r>
    <x v="1"/>
    <x v="1"/>
    <x v="0"/>
    <s v="5624200"/>
    <n v="400040"/>
    <s v="Physician Svcs Rev--BCBS Comm"/>
    <s v="HOD-Urgent PO"/>
    <x v="0"/>
    <n v="1301"/>
    <n v="-40925"/>
    <n v="-36103"/>
    <n v="-36492"/>
    <n v="-36378"/>
    <n v="-41037"/>
    <n v="-49032"/>
    <n v="-63716"/>
    <n v="-44571"/>
    <n v="-51662"/>
    <n v="-41207"/>
    <n v="-46112"/>
    <n v="-38724"/>
    <n v="-525959"/>
    <n v="-7388"/>
  </r>
  <r>
    <x v="1"/>
    <x v="1"/>
    <x v="0"/>
    <s v="5624200"/>
    <n v="400040"/>
    <s v="Physician Svcs Rev--Managed Care"/>
    <s v="HOD-Urgent PO"/>
    <x v="0"/>
    <n v="1400"/>
    <n v="-104509"/>
    <n v="-105847"/>
    <n v="-115412"/>
    <n v="-114037"/>
    <n v="-109594"/>
    <n v="-128484"/>
    <n v="-155765"/>
    <n v="-109353"/>
    <n v="-134282"/>
    <n v="-107171"/>
    <n v="-110982"/>
    <n v="-117155"/>
    <n v="-1412591"/>
    <n v="6173"/>
  </r>
  <r>
    <x v="1"/>
    <x v="1"/>
    <x v="0"/>
    <s v="5624200"/>
    <n v="400040"/>
    <s v="Physician Svcs Rev--Self Pay"/>
    <s v="HOD-Urgent PO"/>
    <x v="0"/>
    <n v="1500"/>
    <n v="-15670"/>
    <n v="-16669"/>
    <n v="-11487"/>
    <n v="-13321"/>
    <n v="-11499"/>
    <n v="-17670"/>
    <n v="-22141"/>
    <n v="-12261"/>
    <n v="-13043"/>
    <n v="-16934"/>
    <n v="-19888"/>
    <n v="-16835"/>
    <n v="-187418"/>
    <n v="-3053"/>
  </r>
  <r>
    <x v="1"/>
    <x v="1"/>
    <x v="0"/>
    <s v="5624200"/>
    <n v="400040"/>
    <s v="Physician Svcs Rev--Other"/>
    <s v="HOD-Urgent PO"/>
    <x v="0"/>
    <n v="1700"/>
    <n v="-43117"/>
    <n v="-45908"/>
    <n v="-45631"/>
    <n v="-50893"/>
    <n v="-43562"/>
    <n v="-53535"/>
    <n v="-49357"/>
    <n v="-45558"/>
    <n v="-53745"/>
    <n v="-51233"/>
    <n v="-56719"/>
    <n v="-44135"/>
    <n v="-583393"/>
    <n v="-12584"/>
  </r>
  <r>
    <x v="2"/>
    <x v="1"/>
    <x v="0"/>
    <s v="5624200"/>
    <n v="450029"/>
    <s v="Contr Allow--MD Other-Medicare"/>
    <s v="HOD-Urgent PO"/>
    <x v="0"/>
    <n v="1100"/>
    <n v="18.829999999999998"/>
    <n v="339.42"/>
    <n v="0"/>
    <n v="25.56"/>
    <n v="48.3"/>
    <n v="41.87"/>
    <n v="104.35"/>
    <n v="57.56"/>
    <n v="0"/>
    <n v="57.56"/>
    <n v="0"/>
    <n v="19.739999999999998"/>
    <n v="713.19"/>
    <n v="-19.739999999999998"/>
  </r>
  <r>
    <x v="2"/>
    <x v="1"/>
    <x v="0"/>
    <s v="5624200"/>
    <n v="450029"/>
    <s v="Contr Allow--MD Other-Medicaid"/>
    <s v="HOD-Urgent PO"/>
    <x v="0"/>
    <n v="1200"/>
    <n v="457.9"/>
    <n v="0"/>
    <n v="359.31"/>
    <n v="424.03"/>
    <n v="19.59"/>
    <n v="492.72"/>
    <n v="243.67"/>
    <n v="513.86"/>
    <n v="43.24"/>
    <n v="6.78"/>
    <n v="20.34"/>
    <n v="139.84"/>
    <n v="2721.28"/>
    <n v="-119.5"/>
  </r>
  <r>
    <x v="2"/>
    <x v="1"/>
    <x v="0"/>
    <s v="5624200"/>
    <n v="450029"/>
    <s v="Contr Allow--MD Other-Comm Insurance"/>
    <s v="HOD-Urgent PO"/>
    <x v="0"/>
    <n v="1300"/>
    <n v="0"/>
    <n v="0"/>
    <n v="0"/>
    <n v="0"/>
    <n v="0"/>
    <n v="22.8"/>
    <n v="0"/>
    <n v="38.299999999999997"/>
    <n v="12.24"/>
    <n v="0"/>
    <n v="0"/>
    <n v="0"/>
    <n v="73.339999999999989"/>
    <n v="0"/>
  </r>
  <r>
    <x v="2"/>
    <x v="1"/>
    <x v="0"/>
    <s v="5624200"/>
    <n v="450029"/>
    <s v="Contr Allow--MD Other BCBS Comm"/>
    <s v="HOD-Urgent PO"/>
    <x v="0"/>
    <n v="1301"/>
    <n v="6.48"/>
    <n v="0"/>
    <n v="0"/>
    <n v="102.01"/>
    <n v="117.51"/>
    <n v="41.84"/>
    <n v="31.83"/>
    <n v="379.23"/>
    <n v="92.18"/>
    <n v="6.52"/>
    <n v="25.33"/>
    <n v="44.83"/>
    <n v="847.76000000000022"/>
    <n v="-19.5"/>
  </r>
  <r>
    <x v="2"/>
    <x v="1"/>
    <x v="0"/>
    <s v="5624200"/>
    <n v="450029"/>
    <s v="Contr Allow--MD Other-Managed Care"/>
    <s v="HOD-Urgent PO"/>
    <x v="0"/>
    <n v="1400"/>
    <n v="185.36"/>
    <n v="-62.12"/>
    <n v="6.52"/>
    <n v="713.6"/>
    <n v="144.91"/>
    <n v="464.17"/>
    <n v="382.29"/>
    <n v="110.1"/>
    <n v="15.48"/>
    <n v="90.74"/>
    <n v="17.14"/>
    <n v="49.91"/>
    <n v="2118.0999999999995"/>
    <n v="-32.769999999999996"/>
  </r>
  <r>
    <x v="2"/>
    <x v="1"/>
    <x v="0"/>
    <s v="5624200"/>
    <n v="450029"/>
    <s v="Admin Adjust-MD Other-Self Pay"/>
    <s v="HOD-Urgent PO"/>
    <x v="0"/>
    <n v="1600"/>
    <n v="178.2"/>
    <n v="176.66"/>
    <n v="9"/>
    <n v="13.48"/>
    <n v="74.25"/>
    <n v="9.17"/>
    <n v="50.72"/>
    <n v="43"/>
    <n v="0"/>
    <n v="35.85"/>
    <n v="187.59"/>
    <n v="74"/>
    <n v="851.92000000000007"/>
    <n v="113.59"/>
  </r>
  <r>
    <x v="2"/>
    <x v="1"/>
    <x v="0"/>
    <s v="5624200"/>
    <n v="450029"/>
    <s v="Contr Allow--MD Other-Other"/>
    <s v="HOD-Urgent PO"/>
    <x v="0"/>
    <n v="1700"/>
    <n v="0"/>
    <n v="0"/>
    <n v="0"/>
    <n v="31.55"/>
    <n v="31.55"/>
    <n v="0"/>
    <n v="31.55"/>
    <n v="10"/>
    <n v="27.05"/>
    <n v="24.17"/>
    <n v="41.17"/>
    <n v="36.03"/>
    <n v="233.07000000000002"/>
    <n v="5.1400000000000006"/>
  </r>
  <r>
    <x v="2"/>
    <x v="1"/>
    <x v="0"/>
    <s v="5624200"/>
    <n v="450040"/>
    <s v="Contr Allow--Phys Svcs--Mcare"/>
    <s v="HOD-Urgent PO"/>
    <x v="0"/>
    <n v="1100"/>
    <n v="37792.339999999997"/>
    <n v="45719.39"/>
    <n v="40216.959999999999"/>
    <n v="49044.95"/>
    <n v="41396.660000000003"/>
    <n v="33917.29"/>
    <n v="50011.01"/>
    <n v="25824"/>
    <n v="43964.78"/>
    <n v="49004.959999999999"/>
    <n v="31565.89"/>
    <n v="37081.29"/>
    <n v="485539.52"/>
    <n v="-5515.4000000000015"/>
  </r>
  <r>
    <x v="2"/>
    <x v="1"/>
    <x v="0"/>
    <s v="5624200"/>
    <n v="450040"/>
    <s v="Contr Allow--Phys Svcs--Mcaid"/>
    <s v="HOD-Urgent PO"/>
    <x v="0"/>
    <n v="1200"/>
    <n v="114687.95"/>
    <n v="124103.54"/>
    <n v="97934.33"/>
    <n v="128317.04"/>
    <n v="94384.27"/>
    <n v="80510.399999999994"/>
    <n v="144968.18"/>
    <n v="98842.34"/>
    <n v="143071.5"/>
    <n v="109126.66"/>
    <n v="109781.49"/>
    <n v="84260.74"/>
    <n v="1329988.44"/>
    <n v="25520.75"/>
  </r>
  <r>
    <x v="2"/>
    <x v="1"/>
    <x v="0"/>
    <s v="5624200"/>
    <n v="450040"/>
    <s v="Contr Allow--Phys Svcs--Comm Insurance"/>
    <s v="HOD-Urgent PO"/>
    <x v="0"/>
    <n v="1300"/>
    <n v="3859.32"/>
    <n v="5397.37"/>
    <n v="4955.45"/>
    <n v="4137.13"/>
    <n v="4902.9799999999996"/>
    <n v="3556.71"/>
    <n v="5054.3500000000004"/>
    <n v="3811.91"/>
    <n v="7318.34"/>
    <n v="6250.19"/>
    <n v="3673.04"/>
    <n v="5651.98"/>
    <n v="58568.770000000004"/>
    <n v="-1978.9399999999996"/>
  </r>
  <r>
    <x v="2"/>
    <x v="1"/>
    <x v="0"/>
    <s v="5624200"/>
    <n v="450040"/>
    <s v="Contr Allow--Phys Svcs--BCBS Comm Ins"/>
    <s v="HOD-Urgent PO"/>
    <x v="0"/>
    <n v="1301"/>
    <n v="17068.18"/>
    <n v="19812.57"/>
    <n v="14746.93"/>
    <n v="12923.26"/>
    <n v="16286.7"/>
    <n v="12445.59"/>
    <n v="16297.04"/>
    <n v="20973.59"/>
    <n v="31878.91"/>
    <n v="22411.02"/>
    <n v="18138.53"/>
    <n v="22373.15"/>
    <n v="225355.46999999997"/>
    <n v="-4234.6200000000026"/>
  </r>
  <r>
    <x v="2"/>
    <x v="1"/>
    <x v="0"/>
    <s v="5624200"/>
    <n v="450040"/>
    <s v="Contr Allow--Phys Svcs--Managed Care"/>
    <s v="HOD-Urgent PO"/>
    <x v="0"/>
    <n v="1400"/>
    <n v="45830.69"/>
    <n v="47815.33"/>
    <n v="40441.06"/>
    <n v="50030.67"/>
    <n v="44469.23"/>
    <n v="30426.93"/>
    <n v="45177.22"/>
    <n v="40258.019999999997"/>
    <n v="65801.81"/>
    <n v="53589.81"/>
    <n v="44348.44"/>
    <n v="49354.17"/>
    <n v="557543.38"/>
    <n v="-5005.7299999999959"/>
  </r>
  <r>
    <x v="2"/>
    <x v="1"/>
    <x v="0"/>
    <s v="5624200"/>
    <n v="450040"/>
    <s v="Contr Allow--Phys Svcs--BCBS Mgnd Care"/>
    <s v="HOD-Urgent PO"/>
    <x v="0"/>
    <n v="1401"/>
    <n v="-16928.509999999998"/>
    <n v="-33417.019999999997"/>
    <n v="4295.07"/>
    <n v="-10770.97"/>
    <n v="7790.05"/>
    <n v="87979.93"/>
    <n v="33038.65"/>
    <n v="24367.29"/>
    <n v="-41267.5"/>
    <n v="-49296.37"/>
    <n v="8947.7099999999991"/>
    <n v="630.82000000000005"/>
    <n v="15369.149999999987"/>
    <n v="8316.89"/>
  </r>
  <r>
    <x v="2"/>
    <x v="1"/>
    <x v="0"/>
    <s v="5624200"/>
    <n v="450040"/>
    <s v="Prompt Pay Disc-Phys Svcs-Self Pay"/>
    <s v="HOD-Urgent PO"/>
    <x v="0"/>
    <n v="1500"/>
    <n v="0"/>
    <n v="82.44"/>
    <n v="0"/>
    <n v="0"/>
    <n v="0"/>
    <n v="0"/>
    <n v="0"/>
    <n v="0"/>
    <n v="0"/>
    <n v="0"/>
    <n v="94.05"/>
    <n v="69.36"/>
    <n v="245.85000000000002"/>
    <n v="24.689999999999998"/>
  </r>
  <r>
    <x v="2"/>
    <x v="1"/>
    <x v="0"/>
    <s v="5624200"/>
    <n v="450040"/>
    <s v="Admin Adjust-Phys Svcs-Self Pay"/>
    <s v="HOD-Urgent PO"/>
    <x v="0"/>
    <n v="1600"/>
    <n v="5888.88"/>
    <n v="8347.9699999999993"/>
    <n v="5404.63"/>
    <n v="6651.41"/>
    <n v="4739.2700000000004"/>
    <n v="6536.63"/>
    <n v="10083.129999999999"/>
    <n v="5113.68"/>
    <n v="10579.27"/>
    <n v="7230.11"/>
    <n v="8065.3"/>
    <n v="6474.69"/>
    <n v="85114.97"/>
    <n v="1590.6100000000006"/>
  </r>
  <r>
    <x v="2"/>
    <x v="1"/>
    <x v="0"/>
    <s v="5624200"/>
    <n v="450040"/>
    <s v="Contr Allow--Phys Svcs--Other"/>
    <s v="HOD-Urgent PO"/>
    <x v="0"/>
    <n v="1700"/>
    <n v="23718.55"/>
    <n v="24779.99"/>
    <n v="20737.66"/>
    <n v="20346.939999999999"/>
    <n v="20606.07"/>
    <n v="15172.43"/>
    <n v="30223.34"/>
    <n v="19136.689999999999"/>
    <n v="28416.12"/>
    <n v="38963.599999999999"/>
    <n v="30356.95"/>
    <n v="20886.96"/>
    <n v="293345.3"/>
    <n v="9469.9900000000016"/>
  </r>
  <r>
    <x v="3"/>
    <x v="1"/>
    <x v="0"/>
    <s v="5624200"/>
    <n v="470040"/>
    <s v="Charity Care-Physician Svcs"/>
    <s v="HOD-Urgent PO"/>
    <x v="0"/>
    <m/>
    <n v="2195.21"/>
    <n v="5409.15"/>
    <n v="1467.05"/>
    <n v="1121.48"/>
    <n v="1533.06"/>
    <n v="4532.59"/>
    <n v="4056.5"/>
    <n v="4892.54"/>
    <n v="4855.66"/>
    <n v="5606.97"/>
    <n v="2218.8200000000002"/>
    <n v="9653.84"/>
    <n v="47542.869999999995"/>
    <n v="-7435.02"/>
  </r>
  <r>
    <x v="4"/>
    <x v="1"/>
    <x v="0"/>
    <s v="5624200"/>
    <n v="490010"/>
    <s v="Provision for Bad Debts"/>
    <s v="HOD-Urgent PO"/>
    <x v="0"/>
    <m/>
    <n v="15604.36"/>
    <n v="8096.07"/>
    <n v="29299.599999999999"/>
    <n v="14087.94"/>
    <n v="16756.560000000001"/>
    <n v="21639.48"/>
    <n v="16335.45"/>
    <n v="4849.3100000000004"/>
    <n v="10874.65"/>
    <n v="930.62"/>
    <n v="10702.44"/>
    <n v="17762.16"/>
    <n v="166938.63999999998"/>
    <n v="-7059.7199999999993"/>
  </r>
  <r>
    <x v="5"/>
    <x v="1"/>
    <x v="0"/>
    <s v="5624200"/>
    <n v="700014"/>
    <s v="Salaries-Management-Productive"/>
    <s v="HOD-Urgent PO"/>
    <x v="0"/>
    <m/>
    <n v="0"/>
    <n v="0"/>
    <n v="0"/>
    <n v="0"/>
    <n v="0"/>
    <n v="0"/>
    <n v="0"/>
    <n v="0"/>
    <n v="0"/>
    <n v="2317.84"/>
    <n v="3481.86"/>
    <n v="829.01"/>
    <n v="6628.7100000000009"/>
    <n v="2652.8500000000004"/>
  </r>
  <r>
    <x v="5"/>
    <x v="1"/>
    <x v="0"/>
    <s v="5624200"/>
    <n v="700018"/>
    <s v="Salaries-Supervisory-Productive"/>
    <s v="HOD-Urgent PO"/>
    <x v="0"/>
    <m/>
    <n v="0"/>
    <n v="0"/>
    <n v="0"/>
    <n v="0"/>
    <n v="0"/>
    <n v="0"/>
    <n v="0"/>
    <n v="0"/>
    <n v="0"/>
    <n v="17305.36"/>
    <n v="2515.67"/>
    <n v="2795.35"/>
    <n v="22616.379999999997"/>
    <n v="-279.67999999999984"/>
  </r>
  <r>
    <x v="5"/>
    <x v="1"/>
    <x v="0"/>
    <s v="5624200"/>
    <n v="700022"/>
    <s v="Salaries-Physician-Productive"/>
    <s v="HOD-Urgent PO"/>
    <x v="0"/>
    <m/>
    <n v="57075.51"/>
    <n v="49299.51"/>
    <n v="65415.14"/>
    <n v="46280.04"/>
    <n v="71875.3"/>
    <n v="37248.35"/>
    <n v="48817.24"/>
    <n v="35848.46"/>
    <n v="47126.09"/>
    <n v="58434.91"/>
    <n v="38897.980000000003"/>
    <n v="40026.19"/>
    <n v="596344.72"/>
    <n v="-1128.2099999999991"/>
  </r>
  <r>
    <x v="5"/>
    <x v="1"/>
    <x v="0"/>
    <s v="5624200"/>
    <n v="700022"/>
    <s v="Salaries-Physician-Other"/>
    <s v="HOD-Urgent PO"/>
    <x v="0"/>
    <n v="2000"/>
    <n v="4822.5600000000004"/>
    <n v="4365.59"/>
    <n v="104.6"/>
    <n v="2759.4"/>
    <n v="472.8"/>
    <n v="-236.4"/>
    <n v="3281.55"/>
    <n v="2068.3200000000002"/>
    <n v="2631.46"/>
    <n v="3293.35"/>
    <n v="6037.98"/>
    <n v="15620.01"/>
    <n v="45221.22"/>
    <n v="-9582.0300000000007"/>
  </r>
  <r>
    <x v="5"/>
    <x v="1"/>
    <x v="0"/>
    <s v="5624200"/>
    <n v="700022"/>
    <s v="Salaries-Physician-Provider Incentive"/>
    <s v="HOD-Urgent PO"/>
    <x v="0"/>
    <n v="4003"/>
    <n v="0"/>
    <n v="6063.45"/>
    <n v="0"/>
    <n v="0"/>
    <n v="12969.25"/>
    <n v="0"/>
    <n v="0"/>
    <n v="12359.85"/>
    <n v="0"/>
    <n v="0"/>
    <n v="12441.43"/>
    <n v="-18.190000000000001"/>
    <n v="43815.79"/>
    <n v="12459.62"/>
  </r>
  <r>
    <x v="5"/>
    <x v="1"/>
    <x v="0"/>
    <s v="5624200"/>
    <n v="700024"/>
    <s v="Salaries-Advanced Practice Clinician-Productive"/>
    <s v="HOD-Urgent PO"/>
    <x v="0"/>
    <m/>
    <n v="32597.58"/>
    <n v="33506.660000000003"/>
    <n v="32467.73"/>
    <n v="39668.31"/>
    <n v="47482.55"/>
    <n v="38200.949999999997"/>
    <n v="51022.52"/>
    <n v="38905.769999999997"/>
    <n v="33220.480000000003"/>
    <n v="37447.93"/>
    <n v="20156.599999999999"/>
    <n v="19509.36"/>
    <n v="424186.44"/>
    <n v="647.23999999999796"/>
  </r>
  <r>
    <x v="5"/>
    <x v="1"/>
    <x v="0"/>
    <s v="5624200"/>
    <n v="700024"/>
    <s v="Salaries-Advanced Practice Clinician-Other"/>
    <s v="HOD-Urgent PO"/>
    <x v="0"/>
    <n v="2000"/>
    <n v="540"/>
    <n v="4344.6099999999997"/>
    <n v="-1350"/>
    <n v="3645"/>
    <n v="-1557.99"/>
    <n v="0"/>
    <n v="901.32"/>
    <n v="5362.84"/>
    <n v="270.41000000000003"/>
    <n v="7571.09"/>
    <n v="841.23"/>
    <n v="8412.32"/>
    <n v="28980.829999999998"/>
    <n v="-7571.09"/>
  </r>
  <r>
    <x v="5"/>
    <x v="1"/>
    <x v="0"/>
    <s v="5624200"/>
    <n v="700024"/>
    <s v="Salaries-Advanced Practice Clinician-Provider Incentive"/>
    <s v="HOD-Urgent PO"/>
    <x v="0"/>
    <n v="4003"/>
    <n v="0"/>
    <n v="2784.45"/>
    <n v="0"/>
    <n v="0"/>
    <n v="6610.98"/>
    <n v="0"/>
    <n v="0"/>
    <n v="5538.9"/>
    <n v="0"/>
    <n v="0"/>
    <n v="9875.43"/>
    <n v="-4.83"/>
    <n v="24804.93"/>
    <n v="9880.26"/>
  </r>
  <r>
    <x v="5"/>
    <x v="1"/>
    <x v="0"/>
    <s v="5624200"/>
    <n v="700024"/>
    <s v="Salaries-Advanced Practice Clinician-Recruitment Bonus"/>
    <s v="HOD-Urgent PO"/>
    <x v="0"/>
    <n v="4005"/>
    <n v="0"/>
    <n v="-1695.2"/>
    <n v="0"/>
    <n v="0"/>
    <n v="0"/>
    <n v="0"/>
    <n v="0"/>
    <n v="0"/>
    <n v="0"/>
    <n v="0"/>
    <n v="0"/>
    <n v="0"/>
    <n v="-1695.2"/>
    <n v="0"/>
  </r>
  <r>
    <x v="5"/>
    <x v="1"/>
    <x v="0"/>
    <s v="5624200"/>
    <n v="700026"/>
    <s v="Salaries-RN-Productive"/>
    <s v="HOD-Urgent PO"/>
    <x v="0"/>
    <m/>
    <n v="0"/>
    <n v="0"/>
    <n v="0"/>
    <n v="0"/>
    <n v="0"/>
    <n v="0"/>
    <n v="0"/>
    <n v="0"/>
    <n v="0"/>
    <n v="40120.699999999997"/>
    <n v="6144.43"/>
    <n v="4522.95"/>
    <n v="50788.079999999994"/>
    <n v="1621.4800000000005"/>
  </r>
  <r>
    <x v="5"/>
    <x v="1"/>
    <x v="0"/>
    <s v="5624200"/>
    <n v="700026"/>
    <s v="Salaries-RN-OT"/>
    <s v="HOD-Urgent PO"/>
    <x v="0"/>
    <n v="1000"/>
    <n v="0"/>
    <n v="0"/>
    <n v="0"/>
    <n v="0"/>
    <n v="0"/>
    <n v="0"/>
    <n v="0"/>
    <n v="0"/>
    <n v="0"/>
    <n v="188.35"/>
    <n v="0"/>
    <n v="0"/>
    <n v="188.35"/>
    <n v="0"/>
  </r>
  <r>
    <x v="5"/>
    <x v="1"/>
    <x v="0"/>
    <s v="5624200"/>
    <n v="700026"/>
    <s v="Salaries-RN-Other"/>
    <s v="HOD-Urgent PO"/>
    <x v="0"/>
    <n v="2000"/>
    <n v="0"/>
    <n v="0"/>
    <n v="0"/>
    <n v="0"/>
    <n v="0"/>
    <n v="0"/>
    <n v="0"/>
    <n v="0"/>
    <n v="0"/>
    <n v="3300.75"/>
    <n v="494.66"/>
    <n v="211.91"/>
    <n v="4007.3199999999997"/>
    <n v="282.75"/>
  </r>
  <r>
    <x v="5"/>
    <x v="1"/>
    <x v="0"/>
    <s v="5624200"/>
    <n v="700030"/>
    <s v="Salaries-LPN-Productive"/>
    <s v="HOD-Urgent PO"/>
    <x v="0"/>
    <m/>
    <n v="0"/>
    <n v="0"/>
    <n v="0"/>
    <n v="0"/>
    <n v="0"/>
    <n v="0"/>
    <n v="0"/>
    <n v="0"/>
    <n v="0"/>
    <n v="65726.05"/>
    <n v="5267.28"/>
    <n v="6371.44"/>
    <n v="77364.77"/>
    <n v="-1104.1599999999999"/>
  </r>
  <r>
    <x v="5"/>
    <x v="1"/>
    <x v="0"/>
    <s v="5624200"/>
    <n v="700030"/>
    <s v="Salaries-LPN-OT"/>
    <s v="HOD-Urgent PO"/>
    <x v="0"/>
    <n v="1000"/>
    <n v="0"/>
    <n v="0"/>
    <n v="0"/>
    <n v="0"/>
    <n v="0"/>
    <n v="0"/>
    <n v="0"/>
    <n v="0"/>
    <n v="0"/>
    <n v="1061.67"/>
    <n v="34.47"/>
    <n v="103.28"/>
    <n v="1199.42"/>
    <n v="-68.81"/>
  </r>
  <r>
    <x v="5"/>
    <x v="1"/>
    <x v="0"/>
    <s v="5624200"/>
    <n v="700030"/>
    <s v="Salaries-LPN-Other"/>
    <s v="HOD-Urgent PO"/>
    <x v="0"/>
    <n v="2000"/>
    <n v="0"/>
    <n v="0"/>
    <n v="0"/>
    <n v="0"/>
    <n v="0"/>
    <n v="0"/>
    <n v="0"/>
    <n v="0"/>
    <n v="0"/>
    <n v="2013.18"/>
    <n v="165.95"/>
    <n v="206.98"/>
    <n v="2386.11"/>
    <n v="-41.03"/>
  </r>
  <r>
    <x v="5"/>
    <x v="1"/>
    <x v="0"/>
    <s v="5624200"/>
    <n v="700032"/>
    <s v="Salaries-Other Pat Care Providers-Productive"/>
    <s v="HOD-Urgent PO"/>
    <x v="0"/>
    <m/>
    <n v="0"/>
    <n v="0"/>
    <n v="0"/>
    <n v="0"/>
    <n v="0"/>
    <n v="0"/>
    <n v="0"/>
    <n v="0"/>
    <n v="0"/>
    <n v="6888.16"/>
    <n v="1103.1500000000001"/>
    <n v="817.32"/>
    <n v="8808.6299999999992"/>
    <n v="285.83000000000004"/>
  </r>
  <r>
    <x v="5"/>
    <x v="1"/>
    <x v="0"/>
    <s v="5624200"/>
    <n v="700032"/>
    <s v="Salaries-Other Pat Care Providers-Other"/>
    <s v="HOD-Urgent PO"/>
    <x v="0"/>
    <n v="2000"/>
    <n v="0"/>
    <n v="0"/>
    <n v="0"/>
    <n v="0"/>
    <n v="0"/>
    <n v="0"/>
    <n v="0"/>
    <n v="0"/>
    <n v="0"/>
    <n v="168.23"/>
    <n v="25.74"/>
    <n v="19.07"/>
    <n v="213.04"/>
    <n v="6.6699999999999982"/>
  </r>
  <r>
    <x v="5"/>
    <x v="1"/>
    <x v="0"/>
    <s v="5624200"/>
    <n v="700034"/>
    <s v="Salaries-Tech/Professional-Productive"/>
    <s v="HOD-Urgent PO"/>
    <x v="0"/>
    <m/>
    <n v="0"/>
    <n v="0"/>
    <n v="0"/>
    <n v="0"/>
    <n v="0"/>
    <n v="0"/>
    <n v="0"/>
    <n v="0"/>
    <n v="0"/>
    <n v="34515.360000000001"/>
    <n v="3145.78"/>
    <n v="2871.06"/>
    <n v="40532.199999999997"/>
    <n v="274.72000000000025"/>
  </r>
  <r>
    <x v="5"/>
    <x v="1"/>
    <x v="0"/>
    <s v="5624200"/>
    <n v="700034"/>
    <s v="Salaries-Tech/Professional-OT"/>
    <s v="HOD-Urgent PO"/>
    <x v="0"/>
    <n v="1000"/>
    <n v="0"/>
    <n v="0"/>
    <n v="0"/>
    <n v="0"/>
    <n v="0"/>
    <n v="0"/>
    <n v="0"/>
    <n v="0"/>
    <n v="0"/>
    <n v="929.98"/>
    <n v="185.09"/>
    <n v="895.24"/>
    <n v="2010.31"/>
    <n v="-710.15"/>
  </r>
  <r>
    <x v="5"/>
    <x v="1"/>
    <x v="0"/>
    <s v="5624200"/>
    <n v="700034"/>
    <s v="Salaries-Tech/Professional-Other"/>
    <s v="HOD-Urgent PO"/>
    <x v="0"/>
    <n v="2000"/>
    <n v="0"/>
    <n v="0"/>
    <n v="0"/>
    <n v="0"/>
    <n v="0"/>
    <n v="0"/>
    <n v="0"/>
    <n v="0"/>
    <n v="0"/>
    <n v="1974.16"/>
    <n v="139.88999999999999"/>
    <n v="173.16"/>
    <n v="2287.21"/>
    <n v="-33.27000000000001"/>
  </r>
  <r>
    <x v="5"/>
    <x v="1"/>
    <x v="0"/>
    <s v="5624200"/>
    <n v="700038"/>
    <s v="Salaries-Service/Support-Productive"/>
    <s v="HOD-Urgent PO"/>
    <x v="0"/>
    <m/>
    <n v="0"/>
    <n v="0"/>
    <n v="0"/>
    <n v="0"/>
    <n v="0"/>
    <n v="0"/>
    <n v="0"/>
    <n v="0"/>
    <n v="0"/>
    <n v="42480.81"/>
    <n v="3916.62"/>
    <n v="4757.97"/>
    <n v="51155.4"/>
    <n v="-841.35000000000036"/>
  </r>
  <r>
    <x v="5"/>
    <x v="1"/>
    <x v="0"/>
    <s v="5624200"/>
    <n v="700038"/>
    <s v="Salaries-Service/Support-OT"/>
    <s v="HOD-Urgent PO"/>
    <x v="0"/>
    <n v="1000"/>
    <n v="0"/>
    <n v="0"/>
    <n v="0"/>
    <n v="0"/>
    <n v="0"/>
    <n v="0"/>
    <n v="0"/>
    <n v="0"/>
    <n v="0"/>
    <n v="105.08"/>
    <n v="135.07"/>
    <n v="-27.61"/>
    <n v="212.53999999999996"/>
    <n v="162.68"/>
  </r>
  <r>
    <x v="5"/>
    <x v="1"/>
    <x v="0"/>
    <s v="5624200"/>
    <n v="700038"/>
    <s v="Salaries-Service/Support-Other"/>
    <s v="HOD-Urgent PO"/>
    <x v="0"/>
    <n v="2000"/>
    <n v="0"/>
    <n v="0"/>
    <n v="0"/>
    <n v="0"/>
    <n v="0"/>
    <n v="0"/>
    <n v="0"/>
    <n v="0"/>
    <n v="0"/>
    <n v="2653.02"/>
    <n v="153.18"/>
    <n v="356.9"/>
    <n v="3163.1"/>
    <n v="-203.71999999999997"/>
  </r>
  <r>
    <x v="5"/>
    <x v="1"/>
    <x v="0"/>
    <s v="5624200"/>
    <n v="700054"/>
    <s v="Salaries-Management-Non-productive"/>
    <s v="HOD-Urgent PO"/>
    <x v="0"/>
    <m/>
    <n v="0"/>
    <n v="0"/>
    <n v="0"/>
    <n v="0"/>
    <n v="0"/>
    <n v="0"/>
    <n v="0"/>
    <n v="0"/>
    <n v="0"/>
    <n v="331.12"/>
    <n v="0"/>
    <n v="3316.07"/>
    <n v="3647.19"/>
    <n v="-3316.07"/>
  </r>
  <r>
    <x v="5"/>
    <x v="1"/>
    <x v="0"/>
    <s v="5624200"/>
    <n v="700054"/>
    <s v="Salaries-Management-NonProd-Other"/>
    <s v="HOD-Urgent PO"/>
    <x v="0"/>
    <n v="2000"/>
    <n v="0"/>
    <n v="0"/>
    <n v="0"/>
    <n v="0"/>
    <n v="0"/>
    <n v="240.9"/>
    <n v="-240.9"/>
    <n v="0"/>
    <n v="0"/>
    <n v="0"/>
    <n v="0"/>
    <n v="0"/>
    <n v="0"/>
    <n v="0"/>
  </r>
  <r>
    <x v="5"/>
    <x v="1"/>
    <x v="0"/>
    <s v="5624200"/>
    <n v="700058"/>
    <s v="Salaries-Supervisory-Non-productive"/>
    <s v="HOD-Urgent PO"/>
    <x v="0"/>
    <m/>
    <n v="0"/>
    <n v="0"/>
    <n v="0"/>
    <n v="0"/>
    <n v="0"/>
    <n v="0"/>
    <n v="0"/>
    <n v="0"/>
    <n v="0"/>
    <n v="3937.25"/>
    <n v="0"/>
    <n v="0"/>
    <n v="3937.25"/>
    <n v="0"/>
  </r>
  <r>
    <x v="5"/>
    <x v="1"/>
    <x v="0"/>
    <s v="5624200"/>
    <n v="700062"/>
    <s v="Salaries-Physician-Non-productive"/>
    <s v="HOD-Urgent PO"/>
    <x v="0"/>
    <m/>
    <n v="15141.2"/>
    <n v="-1728.6"/>
    <n v="1979.63"/>
    <n v="8411.8799999999992"/>
    <n v="-11414.38"/>
    <n v="9415.83"/>
    <n v="765.08"/>
    <n v="-1208.6199999999999"/>
    <n v="9214.7000000000007"/>
    <n v="25933.1"/>
    <n v="-11348.35"/>
    <n v="6889.78"/>
    <n v="52051.250000000007"/>
    <n v="-18238.13"/>
  </r>
  <r>
    <x v="5"/>
    <x v="1"/>
    <x v="0"/>
    <s v="5624200"/>
    <n v="700064"/>
    <s v="Salaries-Advanced Practice Clinician-Non-Productive"/>
    <s v="HOD-Urgent PO"/>
    <x v="0"/>
    <m/>
    <n v="2750.04"/>
    <n v="13291.73"/>
    <n v="-1150.3599999999999"/>
    <n v="5512.21"/>
    <n v="7090.82"/>
    <n v="3335.18"/>
    <n v="5363.56"/>
    <n v="145.65"/>
    <n v="6300.37"/>
    <n v="486.94"/>
    <n v="114.11"/>
    <n v="2038.37"/>
    <n v="45278.62000000001"/>
    <n v="-1924.26"/>
  </r>
  <r>
    <x v="5"/>
    <x v="1"/>
    <x v="0"/>
    <s v="5624200"/>
    <n v="700064"/>
    <s v="Salaries-Advanced Practice Clinician-Non-Prod-Other"/>
    <s v="HOD-Urgent P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24200"/>
    <n v="700066"/>
    <s v="Salaries-RN-Non-productive"/>
    <s v="HOD-Urgent PO"/>
    <x v="0"/>
    <m/>
    <n v="0"/>
    <n v="0"/>
    <n v="0"/>
    <n v="0"/>
    <n v="0"/>
    <n v="0"/>
    <n v="0"/>
    <n v="0"/>
    <n v="0"/>
    <n v="448.44"/>
    <n v="361.72"/>
    <n v="300.20999999999998"/>
    <n v="1110.3700000000001"/>
    <n v="61.510000000000048"/>
  </r>
  <r>
    <x v="5"/>
    <x v="1"/>
    <x v="0"/>
    <s v="5624200"/>
    <n v="700070"/>
    <s v="Salaries-LPN-Non-productive"/>
    <s v="HOD-Urgent PO"/>
    <x v="0"/>
    <m/>
    <n v="0"/>
    <n v="0"/>
    <n v="0"/>
    <n v="0"/>
    <n v="0"/>
    <n v="0"/>
    <n v="0"/>
    <n v="0"/>
    <n v="0"/>
    <n v="12230.96"/>
    <n v="524.76"/>
    <n v="681.09"/>
    <n v="13436.81"/>
    <n v="-156.33000000000004"/>
  </r>
  <r>
    <x v="5"/>
    <x v="1"/>
    <x v="0"/>
    <s v="5624200"/>
    <n v="700070"/>
    <s v="Salaries-LPN-NonProd-Other"/>
    <s v="HOD-Urgent PO"/>
    <x v="0"/>
    <n v="2000"/>
    <n v="0"/>
    <n v="0"/>
    <n v="0"/>
    <n v="0"/>
    <n v="0"/>
    <n v="0"/>
    <n v="0"/>
    <n v="0"/>
    <n v="0"/>
    <n v="345.71"/>
    <n v="2.52"/>
    <n v="32.61"/>
    <n v="380.84"/>
    <n v="-30.09"/>
  </r>
  <r>
    <x v="5"/>
    <x v="1"/>
    <x v="0"/>
    <s v="5624200"/>
    <n v="700074"/>
    <s v="Salaries-Tech/Professional-Non-productive"/>
    <s v="HOD-Urgent PO"/>
    <x v="0"/>
    <m/>
    <n v="0"/>
    <n v="0"/>
    <n v="0"/>
    <n v="0"/>
    <n v="0"/>
    <n v="0"/>
    <n v="0"/>
    <n v="0"/>
    <n v="0"/>
    <n v="3723.56"/>
    <n v="783.81"/>
    <n v="713.15"/>
    <n v="5220.5199999999995"/>
    <n v="70.659999999999968"/>
  </r>
  <r>
    <x v="5"/>
    <x v="1"/>
    <x v="0"/>
    <s v="5624200"/>
    <n v="700074"/>
    <s v="Salaries-Tech/Professional-NonProd-Other"/>
    <s v="HOD-Urgent PO"/>
    <x v="0"/>
    <n v="2000"/>
    <n v="0"/>
    <n v="0"/>
    <n v="0"/>
    <n v="0"/>
    <n v="0"/>
    <n v="0"/>
    <n v="0"/>
    <n v="0"/>
    <n v="0"/>
    <n v="57.81"/>
    <n v="14.99"/>
    <n v="33.909999999999997"/>
    <n v="106.71"/>
    <n v="-18.919999999999995"/>
  </r>
  <r>
    <x v="5"/>
    <x v="1"/>
    <x v="0"/>
    <s v="5624200"/>
    <n v="700078"/>
    <s v="Salaries-Service/Support-Non-productive"/>
    <s v="HOD-Urgent PO"/>
    <x v="0"/>
    <m/>
    <n v="0"/>
    <n v="0"/>
    <n v="0"/>
    <n v="0"/>
    <n v="0"/>
    <n v="0"/>
    <n v="0"/>
    <n v="0"/>
    <n v="0"/>
    <n v="4590.46"/>
    <n v="772.25"/>
    <n v="514.59"/>
    <n v="5877.3"/>
    <n v="257.65999999999997"/>
  </r>
  <r>
    <x v="5"/>
    <x v="1"/>
    <x v="0"/>
    <s v="5624200"/>
    <n v="700078"/>
    <s v="Salaries-Service/Support-NonProd-Other"/>
    <s v="HOD-Urgent PO"/>
    <x v="0"/>
    <n v="2000"/>
    <n v="0"/>
    <n v="0"/>
    <n v="0"/>
    <n v="0"/>
    <n v="0"/>
    <n v="0"/>
    <n v="0"/>
    <n v="0"/>
    <n v="0"/>
    <n v="3.39"/>
    <n v="0"/>
    <n v="0"/>
    <n v="3.39"/>
    <n v="0"/>
  </r>
  <r>
    <x v="5"/>
    <x v="1"/>
    <x v="0"/>
    <s v="5624200"/>
    <n v="700084"/>
    <s v="Accrued PTO"/>
    <s v="HOD-Urgent PO"/>
    <x v="0"/>
    <m/>
    <n v="0"/>
    <n v="0"/>
    <n v="0"/>
    <n v="0"/>
    <n v="0"/>
    <n v="0"/>
    <n v="0"/>
    <n v="0"/>
    <n v="0"/>
    <n v="-1456.53"/>
    <n v="4558"/>
    <n v="-1339.15"/>
    <n v="1762.3200000000002"/>
    <n v="5897.15"/>
  </r>
  <r>
    <x v="10"/>
    <x v="1"/>
    <x v="0"/>
    <s v="5624200"/>
    <n v="710040"/>
    <s v="Contract Labor-Physician (Locum Tenum)"/>
    <s v="HOD-Urgent PO"/>
    <x v="0"/>
    <m/>
    <n v="0"/>
    <n v="0"/>
    <n v="0"/>
    <n v="0"/>
    <n v="0"/>
    <n v="0"/>
    <n v="20080"/>
    <n v="51245"/>
    <n v="17516.75"/>
    <n v="11165.5"/>
    <n v="4034.25"/>
    <n v="52066.25"/>
    <n v="156107.75"/>
    <n v="-48032"/>
  </r>
  <r>
    <x v="10"/>
    <x v="1"/>
    <x v="0"/>
    <s v="5624200"/>
    <n v="710042"/>
    <s v="Locum Tenens Travel-Physician"/>
    <s v="HOD-Urgent PO"/>
    <x v="0"/>
    <m/>
    <n v="0"/>
    <n v="0"/>
    <n v="0"/>
    <n v="0"/>
    <n v="0"/>
    <n v="0"/>
    <n v="0"/>
    <n v="7442.87"/>
    <n v="967.16"/>
    <n v="1260.0999999999999"/>
    <n v="211.38"/>
    <n v="2448.12"/>
    <n v="12329.630000000001"/>
    <n v="-2236.7399999999998"/>
  </r>
  <r>
    <x v="6"/>
    <x v="1"/>
    <x v="0"/>
    <s v="5624200"/>
    <n v="713010"/>
    <s v="Benefits-FICA/Medicare"/>
    <s v="HOD-Urgent PO"/>
    <x v="0"/>
    <m/>
    <n v="4950.1899999999996"/>
    <n v="5316.94"/>
    <n v="3839.14"/>
    <n v="4730.3"/>
    <n v="6729.95"/>
    <n v="3595.43"/>
    <n v="8282.36"/>
    <n v="7738.25"/>
    <n v="6973.48"/>
    <n v="10559.33"/>
    <n v="10122.56"/>
    <n v="6269.03"/>
    <n v="79106.959999999992"/>
    <n v="3853.5299999999997"/>
  </r>
  <r>
    <x v="6"/>
    <x v="1"/>
    <x v="0"/>
    <s v="5624200"/>
    <n v="713090"/>
    <s v="Benefits-Allocated Amounts"/>
    <s v="HOD-Urgent PO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624200"/>
    <n v="713092"/>
    <s v="Allocated Benefits-Physician"/>
    <s v="HOD-Urgent PO"/>
    <x v="0"/>
    <m/>
    <n v="4080.87"/>
    <n v="3686.66"/>
    <n v="3678.4"/>
    <n v="3796.81"/>
    <n v="4640.51"/>
    <n v="3914.88"/>
    <n v="4879.87"/>
    <n v="4364.21"/>
    <n v="7765.3"/>
    <n v="29983.85"/>
    <n v="6296.53"/>
    <n v="5462.63"/>
    <n v="82550.52"/>
    <n v="833.89999999999964"/>
  </r>
  <r>
    <x v="6"/>
    <x v="1"/>
    <x v="0"/>
    <s v="5624200"/>
    <n v="713093"/>
    <s v="Allocated Benefits-Advanced Practice Clinician"/>
    <s v="HOD-Urgent PO"/>
    <x v="0"/>
    <m/>
    <n v="6465.6"/>
    <n v="5841.03"/>
    <n v="5827.94"/>
    <n v="6015.54"/>
    <n v="7352.28"/>
    <n v="6202.61"/>
    <n v="7731.52"/>
    <n v="6914.52"/>
    <n v="3959.01"/>
    <n v="41374.559999999998"/>
    <n v="8688.5400000000009"/>
    <n v="7537.85"/>
    <n v="113911.00000000003"/>
    <n v="1150.6900000000005"/>
  </r>
  <r>
    <x v="6"/>
    <x v="1"/>
    <x v="0"/>
    <s v="5624200"/>
    <n v="713096"/>
    <s v="Employee Recognition"/>
    <s v="HOD-Urgent PO"/>
    <x v="0"/>
    <n v="1017"/>
    <n v="0"/>
    <n v="0"/>
    <n v="0"/>
    <n v="0"/>
    <n v="0"/>
    <n v="0"/>
    <n v="0"/>
    <n v="0"/>
    <n v="0"/>
    <n v="0"/>
    <n v="0"/>
    <n v="76.790000000000006"/>
    <n v="76.790000000000006"/>
    <n v="-76.790000000000006"/>
  </r>
  <r>
    <x v="7"/>
    <x v="1"/>
    <x v="0"/>
    <s v="5624200"/>
    <n v="718040"/>
    <s v="Contract Svcs-Laboratory"/>
    <s v="HOD-Urgent PO"/>
    <x v="0"/>
    <m/>
    <n v="51.2"/>
    <n v="0"/>
    <n v="0"/>
    <n v="0"/>
    <n v="0"/>
    <n v="0"/>
    <n v="0"/>
    <n v="0"/>
    <n v="0"/>
    <n v="0"/>
    <n v="0"/>
    <n v="0"/>
    <n v="51.2"/>
    <n v="0"/>
  </r>
  <r>
    <x v="11"/>
    <x v="1"/>
    <x v="0"/>
    <s v="5624200"/>
    <n v="721830"/>
    <s v="Supplies-Office"/>
    <s v="HOD-Urgent PO"/>
    <x v="0"/>
    <m/>
    <n v="0"/>
    <n v="0"/>
    <n v="0"/>
    <n v="0"/>
    <n v="0"/>
    <n v="171.23"/>
    <n v="0"/>
    <n v="0"/>
    <n v="0"/>
    <n v="0"/>
    <n v="0"/>
    <n v="0"/>
    <n v="171.23"/>
    <n v="0"/>
  </r>
  <r>
    <x v="0"/>
    <x v="1"/>
    <x v="0"/>
    <s v="5624200"/>
    <n v="740022"/>
    <s v="Education-Physician"/>
    <s v="HOD-Urgent PO"/>
    <x v="0"/>
    <m/>
    <n v="0"/>
    <n v="0"/>
    <n v="0"/>
    <n v="845"/>
    <n v="0"/>
    <n v="0"/>
    <n v="0"/>
    <n v="0"/>
    <n v="0"/>
    <n v="0"/>
    <n v="0"/>
    <n v="0"/>
    <n v="845"/>
    <n v="0"/>
  </r>
  <r>
    <x v="0"/>
    <x v="1"/>
    <x v="0"/>
    <s v="5624200"/>
    <n v="740022"/>
    <s v="Books-Physician"/>
    <s v="HOD-Urgent PO"/>
    <x v="0"/>
    <n v="2000"/>
    <n v="2050"/>
    <n v="0"/>
    <n v="0"/>
    <n v="0"/>
    <n v="0"/>
    <n v="0"/>
    <n v="0"/>
    <n v="0"/>
    <n v="0"/>
    <n v="0"/>
    <n v="0"/>
    <n v="2172.92"/>
    <n v="4222.92"/>
    <n v="-2172.92"/>
  </r>
  <r>
    <x v="0"/>
    <x v="1"/>
    <x v="0"/>
    <s v="5624200"/>
    <n v="740023"/>
    <s v="Books-Advanced Practice Clinician"/>
    <s v="HOD-Urgent PO"/>
    <x v="0"/>
    <n v="2000"/>
    <n v="350"/>
    <n v="0"/>
    <n v="0"/>
    <n v="0"/>
    <n v="0"/>
    <n v="0"/>
    <n v="0"/>
    <n v="1875"/>
    <n v="0"/>
    <n v="1667"/>
    <n v="0"/>
    <n v="0"/>
    <n v="3892"/>
    <n v="0"/>
  </r>
  <r>
    <x v="8"/>
    <x v="1"/>
    <x v="0"/>
    <s v="5624200"/>
    <n v="741012"/>
    <s v="Physician Liab Insurance-CHI Program"/>
    <s v="HOD-Urgent PO"/>
    <x v="0"/>
    <m/>
    <n v="2050.12"/>
    <n v="1989.39"/>
    <n v="1989.39"/>
    <n v="1989.39"/>
    <n v="1989.42"/>
    <n v="1989.39"/>
    <n v="1989.42"/>
    <n v="1989.39"/>
    <n v="1989.42"/>
    <n v="1989.39"/>
    <n v="1042.08"/>
    <n v="1042.06"/>
    <n v="22038.860000000004"/>
    <n v="1.999999999998181E-2"/>
  </r>
  <r>
    <x v="0"/>
    <x v="1"/>
    <x v="0"/>
    <s v="5624200"/>
    <n v="743020"/>
    <s v="Provider-Dues"/>
    <s v="HOD-Urgent PO"/>
    <x v="0"/>
    <n v="2200"/>
    <n v="0"/>
    <n v="0"/>
    <n v="0"/>
    <n v="0"/>
    <n v="0"/>
    <n v="0"/>
    <n v="0"/>
    <n v="3500"/>
    <n v="0"/>
    <n v="0"/>
    <n v="0"/>
    <n v="0"/>
    <n v="3500"/>
    <n v="0"/>
  </r>
  <r>
    <x v="0"/>
    <x v="1"/>
    <x v="0"/>
    <s v="5624200"/>
    <n v="743022"/>
    <s v="Dues-Physician"/>
    <s v="HOD-Urgent PO"/>
    <x v="0"/>
    <m/>
    <n v="593"/>
    <n v="0"/>
    <n v="755"/>
    <n v="0"/>
    <n v="0"/>
    <n v="0"/>
    <n v="0"/>
    <n v="0"/>
    <n v="0"/>
    <n v="0"/>
    <n v="1010"/>
    <n v="0"/>
    <n v="2358"/>
    <n v="1010"/>
  </r>
  <r>
    <x v="0"/>
    <x v="1"/>
    <x v="0"/>
    <s v="5624200"/>
    <n v="743023"/>
    <s v="Dues-Advanced Practice Clinician"/>
    <s v="HOD-Urgent PO"/>
    <x v="0"/>
    <m/>
    <n v="0"/>
    <n v="0"/>
    <n v="0"/>
    <n v="0"/>
    <n v="0"/>
    <n v="305"/>
    <n v="0"/>
    <n v="150"/>
    <n v="0"/>
    <n v="0"/>
    <n v="0"/>
    <n v="0"/>
    <n v="455"/>
    <n v="0"/>
  </r>
  <r>
    <x v="0"/>
    <x v="1"/>
    <x v="0"/>
    <s v="5624200"/>
    <n v="743042"/>
    <s v="Subscriptions-Physician"/>
    <s v="HOD-Urgent PO"/>
    <x v="0"/>
    <m/>
    <n v="0"/>
    <n v="0"/>
    <n v="1339.61"/>
    <n v="0"/>
    <n v="0"/>
    <n v="0"/>
    <n v="0"/>
    <n v="0"/>
    <n v="0"/>
    <n v="0"/>
    <n v="0"/>
    <n v="0"/>
    <n v="1339.61"/>
    <n v="0"/>
  </r>
  <r>
    <x v="0"/>
    <x v="1"/>
    <x v="0"/>
    <s v="5624200"/>
    <n v="749510"/>
    <s v="Miscellaneous Expenses"/>
    <s v="HOD-Urgent PO"/>
    <x v="0"/>
    <m/>
    <n v="-552.25"/>
    <n v="-2094.61"/>
    <n v="0"/>
    <n v="0"/>
    <n v="0"/>
    <n v="0"/>
    <n v="2227"/>
    <n v="-1723.44"/>
    <n v="-503.56"/>
    <n v="0"/>
    <n v="0"/>
    <n v="3382.92"/>
    <n v="736.06"/>
    <n v="-3382.92"/>
  </r>
  <r>
    <x v="0"/>
    <x v="1"/>
    <x v="0"/>
    <s v="5624200"/>
    <n v="749510"/>
    <s v="Licenses"/>
    <s v="HOD-Urgent PO"/>
    <x v="0"/>
    <n v="1002"/>
    <n v="0"/>
    <n v="0"/>
    <n v="0"/>
    <n v="0"/>
    <n v="0"/>
    <n v="0"/>
    <n v="0"/>
    <n v="0"/>
    <n v="0"/>
    <n v="200"/>
    <n v="0"/>
    <n v="0"/>
    <n v="200"/>
    <n v="0"/>
  </r>
  <r>
    <x v="0"/>
    <x v="1"/>
    <x v="0"/>
    <s v="5624200"/>
    <n v="749512"/>
    <s v="Licenses-Physician"/>
    <s v="HOD-Urgent PO"/>
    <x v="0"/>
    <n v="2000"/>
    <n v="0"/>
    <n v="0"/>
    <n v="0"/>
    <n v="0"/>
    <n v="0"/>
    <n v="0"/>
    <n v="0"/>
    <n v="0"/>
    <n v="441"/>
    <n v="0"/>
    <n v="0"/>
    <n v="0"/>
    <n v="441"/>
    <n v="0"/>
  </r>
  <r>
    <x v="0"/>
    <x v="1"/>
    <x v="0"/>
    <s v="5624200"/>
    <n v="749513"/>
    <s v="Licenses-Advanced Practice Clinician"/>
    <s v="HOD-Urgent PO"/>
    <x v="0"/>
    <n v="2000"/>
    <n v="0"/>
    <n v="0"/>
    <n v="0"/>
    <n v="0"/>
    <n v="0"/>
    <n v="245"/>
    <n v="0"/>
    <n v="202"/>
    <n v="0"/>
    <n v="0"/>
    <n v="0"/>
    <n v="0"/>
    <n v="447"/>
    <n v="0"/>
  </r>
  <r>
    <x v="0"/>
    <x v="1"/>
    <x v="0"/>
    <s v="5624200"/>
    <n v="749532"/>
    <s v="Travel-Physician"/>
    <s v="HOD-Urgent PO"/>
    <x v="0"/>
    <m/>
    <n v="0"/>
    <n v="0"/>
    <n v="0"/>
    <n v="898.19"/>
    <n v="0"/>
    <n v="0"/>
    <n v="0"/>
    <n v="0"/>
    <n v="0"/>
    <n v="0"/>
    <n v="0"/>
    <n v="0"/>
    <n v="898.19"/>
    <n v="0"/>
  </r>
  <r>
    <x v="0"/>
    <x v="1"/>
    <x v="0"/>
    <s v="5624200"/>
    <n v="749533"/>
    <s v="Travel-Advanced Practice Clinician"/>
    <s v="HOD-Urgent PO"/>
    <x v="0"/>
    <m/>
    <n v="0"/>
    <n v="0"/>
    <n v="0"/>
    <n v="0"/>
    <n v="0"/>
    <n v="0"/>
    <n v="0"/>
    <n v="0"/>
    <n v="62.56"/>
    <n v="0"/>
    <n v="0"/>
    <n v="0"/>
    <n v="62.56"/>
    <n v="0"/>
  </r>
  <r>
    <x v="9"/>
    <x v="1"/>
    <x v="0"/>
    <s v="5624200"/>
    <n v="800015"/>
    <s v="Interest Income-Ext to CHI"/>
    <s v="HOD-Urgent PO"/>
    <x v="0"/>
    <m/>
    <n v="-12.07"/>
    <n v="-9.99"/>
    <n v="-7.65"/>
    <n v="-5.83"/>
    <n v="-15.18"/>
    <n v="-14.39"/>
    <n v="-12.16"/>
    <n v="-10.48"/>
    <n v="-11.05"/>
    <n v="-10.16"/>
    <n v="-9.9499999999999993"/>
    <n v="-9.09"/>
    <n v="-128"/>
    <n v="-0.85999999999999943"/>
  </r>
  <r>
    <x v="5"/>
    <x v="1"/>
    <x v="0"/>
    <s v="5625200"/>
    <n v="700014"/>
    <s v="Salaries-Management-Productive"/>
    <s v="Lakewood Clinic-Shared Svc"/>
    <x v="0"/>
    <m/>
    <n v="6387.04"/>
    <n v="6677.36"/>
    <n v="4935.4399999999996"/>
    <n v="6873.2"/>
    <n v="6325.2"/>
    <n v="4066.2"/>
    <n v="5339.27"/>
    <n v="5851.85"/>
    <n v="6455.11"/>
    <n v="6636.1"/>
    <n v="6937.78"/>
    <n v="6032.81"/>
    <n v="72517.36"/>
    <n v="904.96999999999935"/>
  </r>
  <r>
    <x v="5"/>
    <x v="1"/>
    <x v="0"/>
    <s v="5625200"/>
    <n v="700026"/>
    <s v="Salaries-RN-Productive"/>
    <s v="Lakewood Clinic-Shared Svc"/>
    <x v="0"/>
    <m/>
    <n v="0"/>
    <n v="0"/>
    <n v="0"/>
    <n v="0"/>
    <n v="0"/>
    <n v="2551.1"/>
    <n v="5578.63"/>
    <n v="1382.15"/>
    <n v="4029.1"/>
    <n v="5579.9"/>
    <n v="5780.41"/>
    <n v="3577.61"/>
    <n v="28478.899999999998"/>
    <n v="2202.7999999999997"/>
  </r>
  <r>
    <x v="5"/>
    <x v="1"/>
    <x v="0"/>
    <s v="5625200"/>
    <n v="700026"/>
    <s v="Salaries-RN-OT"/>
    <s v="Lakewood Clinic-Shared Svc"/>
    <x v="0"/>
    <n v="1000"/>
    <n v="0"/>
    <n v="0"/>
    <n v="0"/>
    <n v="0"/>
    <n v="0"/>
    <n v="0"/>
    <n v="51.34"/>
    <n v="-14.66"/>
    <n v="36.69"/>
    <n v="468.18"/>
    <n v="106.35"/>
    <n v="73.349999999999994"/>
    <n v="721.25"/>
    <n v="33"/>
  </r>
  <r>
    <x v="5"/>
    <x v="1"/>
    <x v="0"/>
    <s v="5625200"/>
    <n v="700038"/>
    <s v="Salaries-Service/Support-Productive"/>
    <s v="Lakewood Clinic-Shared Svc"/>
    <x v="0"/>
    <m/>
    <n v="22101.29"/>
    <n v="23805.78"/>
    <n v="23755.29"/>
    <n v="33167.57"/>
    <n v="29498.51"/>
    <n v="26215.01"/>
    <n v="31534.39"/>
    <n v="23127.16"/>
    <n v="31382.29"/>
    <n v="28505.03"/>
    <n v="27589.06"/>
    <n v="24323.21"/>
    <n v="325004.59000000008"/>
    <n v="3265.8500000000022"/>
  </r>
  <r>
    <x v="5"/>
    <x v="1"/>
    <x v="0"/>
    <s v="5625200"/>
    <n v="700038"/>
    <s v="Salaries-Service/Support-OT"/>
    <s v="Lakewood Clinic-Shared Svc"/>
    <x v="0"/>
    <n v="1000"/>
    <n v="1139.2"/>
    <n v="601.6"/>
    <n v="424.15"/>
    <n v="258.23"/>
    <n v="886.83"/>
    <n v="-138.16"/>
    <n v="731.53"/>
    <n v="494.35"/>
    <n v="1075.27"/>
    <n v="1035.1500000000001"/>
    <n v="282.13"/>
    <n v="733.36"/>
    <n v="7523.6399999999994"/>
    <n v="-451.23"/>
  </r>
  <r>
    <x v="5"/>
    <x v="1"/>
    <x v="0"/>
    <s v="5625200"/>
    <n v="700038"/>
    <s v="Salaries-Service/Support-Other"/>
    <s v="Lakewood Clinic-Shared Svc"/>
    <x v="0"/>
    <n v="2000"/>
    <n v="225.24"/>
    <n v="235.22"/>
    <n v="230.79"/>
    <n v="232.19"/>
    <n v="220.64"/>
    <n v="211.94"/>
    <n v="230.65"/>
    <n v="203.71"/>
    <n v="210.67"/>
    <n v="221.01"/>
    <n v="231.07"/>
    <n v="232.53"/>
    <n v="2685.6600000000008"/>
    <n v="-1.460000000000008"/>
  </r>
  <r>
    <x v="5"/>
    <x v="1"/>
    <x v="0"/>
    <s v="5625200"/>
    <n v="700054"/>
    <s v="Salaries-Management-Non-productive"/>
    <s v="Lakewood Clinic-Shared Svc"/>
    <x v="0"/>
    <m/>
    <n v="0"/>
    <n v="0"/>
    <n v="870.96"/>
    <n v="0"/>
    <n v="301.2"/>
    <n v="2259"/>
    <n v="1598.91"/>
    <n v="180.97"/>
    <n v="-120.65"/>
    <n v="0"/>
    <n v="0"/>
    <n v="0"/>
    <n v="5090.3900000000003"/>
    <n v="0"/>
  </r>
  <r>
    <x v="5"/>
    <x v="1"/>
    <x v="0"/>
    <s v="5625200"/>
    <n v="700054"/>
    <s v="Salaries-Management-NonProd-Other"/>
    <s v="Lakewood Clinic-Shared Svc"/>
    <x v="0"/>
    <n v="2000"/>
    <n v="0"/>
    <n v="0"/>
    <n v="0"/>
    <n v="0"/>
    <n v="0"/>
    <n v="301.92"/>
    <n v="-301.92"/>
    <n v="0"/>
    <n v="0"/>
    <n v="0"/>
    <n v="0"/>
    <n v="0"/>
    <n v="0"/>
    <n v="0"/>
  </r>
  <r>
    <x v="5"/>
    <x v="1"/>
    <x v="0"/>
    <s v="5625200"/>
    <n v="700066"/>
    <s v="Salaries-RN-Non-productive"/>
    <s v="Lakewood Clinic-Shared Svc"/>
    <x v="0"/>
    <m/>
    <n v="0"/>
    <n v="0"/>
    <n v="0"/>
    <n v="0"/>
    <n v="0"/>
    <n v="0"/>
    <n v="260.77999999999997"/>
    <n v="1000.75"/>
    <n v="2291.62"/>
    <n v="-391.17"/>
    <n v="48.9"/>
    <n v="1638.04"/>
    <n v="4848.92"/>
    <n v="-1589.1399999999999"/>
  </r>
  <r>
    <x v="5"/>
    <x v="1"/>
    <x v="0"/>
    <s v="5625200"/>
    <n v="700078"/>
    <s v="Salaries-Service/Support-Non-productive"/>
    <s v="Lakewood Clinic-Shared Svc"/>
    <x v="0"/>
    <m/>
    <n v="5007.25"/>
    <n v="4434.8500000000004"/>
    <n v="3715.93"/>
    <n v="2759.25"/>
    <n v="4061.86"/>
    <n v="6187.76"/>
    <n v="3845.52"/>
    <n v="7746.42"/>
    <n v="1388.45"/>
    <n v="5161.33"/>
    <n v="1739.94"/>
    <n v="4614.34"/>
    <n v="50662.900000000009"/>
    <n v="-2874.4"/>
  </r>
  <r>
    <x v="5"/>
    <x v="1"/>
    <x v="0"/>
    <s v="5625200"/>
    <n v="700078"/>
    <s v="Salaries-Service/Support-NonProd-Other"/>
    <s v="Lakewood Clini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25200"/>
    <n v="700084"/>
    <s v="Accrued PTO"/>
    <s v="Lakewood Clinic-Shared Svc"/>
    <x v="0"/>
    <m/>
    <n v="1442.9"/>
    <n v="155.61000000000001"/>
    <n v="-801.95"/>
    <n v="2060.35"/>
    <n v="2233.46"/>
    <n v="-1610.23"/>
    <n v="296.43"/>
    <n v="-932.33"/>
    <n v="2195.1999999999998"/>
    <n v="756.88"/>
    <n v="3443.31"/>
    <n v="1081.54"/>
    <n v="10321.169999999998"/>
    <n v="2361.77"/>
  </r>
  <r>
    <x v="6"/>
    <x v="1"/>
    <x v="0"/>
    <s v="5625200"/>
    <n v="713010"/>
    <s v="Benefits-FICA/Medicare"/>
    <s v="Lakewood Clinic-Shared Svc"/>
    <x v="0"/>
    <m/>
    <n v="2553.36"/>
    <n v="2619.08"/>
    <n v="2474.83"/>
    <n v="3182.53"/>
    <n v="3056.13"/>
    <n v="3055.29"/>
    <n v="3622.51"/>
    <n v="2924.41"/>
    <n v="3423.77"/>
    <n v="3456.66"/>
    <n v="3212.86"/>
    <n v="3035.11"/>
    <n v="36616.54"/>
    <n v="177.75"/>
  </r>
  <r>
    <x v="6"/>
    <x v="1"/>
    <x v="0"/>
    <s v="5625200"/>
    <n v="713090"/>
    <s v="Benefits-Allocated Amounts"/>
    <s v="Lakewood Clinic-Shared Svc"/>
    <x v="0"/>
    <m/>
    <n v="9199.52"/>
    <n v="8215.7900000000009"/>
    <n v="9444.93"/>
    <n v="11000.44"/>
    <n v="10951.96"/>
    <n v="11677.83"/>
    <n v="13793.44"/>
    <n v="12577.46"/>
    <n v="12813.06"/>
    <n v="13163.39"/>
    <n v="11643.38"/>
    <n v="11551.77"/>
    <n v="136032.97"/>
    <n v="91.609999999998763"/>
  </r>
  <r>
    <x v="7"/>
    <x v="1"/>
    <x v="0"/>
    <s v="5625200"/>
    <n v="718040"/>
    <s v="Contract Svcs-Laboratory"/>
    <s v="Lakewood Clinic-Shared Svc"/>
    <x v="0"/>
    <m/>
    <n v="0"/>
    <n v="0"/>
    <n v="0"/>
    <n v="0"/>
    <n v="18.600000000000001"/>
    <n v="185.6"/>
    <n v="0"/>
    <n v="11.29"/>
    <n v="0"/>
    <n v="0"/>
    <n v="0"/>
    <n v="0"/>
    <n v="215.48999999999998"/>
    <n v="0"/>
  </r>
  <r>
    <x v="7"/>
    <x v="1"/>
    <x v="0"/>
    <s v="5625200"/>
    <n v="718050"/>
    <s v="Contract Svcs-Other"/>
    <s v="Lakewood Clinic-Shared Svc"/>
    <x v="0"/>
    <m/>
    <n v="2060.87"/>
    <n v="1575.3"/>
    <n v="666.22"/>
    <n v="215.61"/>
    <n v="512.09"/>
    <n v="240.91"/>
    <n v="173.93"/>
    <n v="267.02"/>
    <n v="273.22000000000003"/>
    <n v="131.12"/>
    <n v="150.41999999999999"/>
    <n v="445.74"/>
    <n v="6712.4500000000007"/>
    <n v="-295.32000000000005"/>
  </r>
  <r>
    <x v="7"/>
    <x v="1"/>
    <x v="0"/>
    <s v="5625200"/>
    <n v="718050"/>
    <s v="Transcription"/>
    <s v="Lakewood Clinic-Shared Svc"/>
    <x v="0"/>
    <n v="1006"/>
    <n v="0"/>
    <n v="9101.9699999999993"/>
    <n v="7357.23"/>
    <n v="5738.4"/>
    <n v="5108.41"/>
    <n v="6771.75"/>
    <n v="3892.6"/>
    <n v="9282.4699999999993"/>
    <n v="3229.7"/>
    <n v="2571.0300000000002"/>
    <n v="3295.76"/>
    <n v="10798.55"/>
    <n v="67147.87"/>
    <n v="-7502.7899999999991"/>
  </r>
  <r>
    <x v="7"/>
    <x v="1"/>
    <x v="0"/>
    <s v="5625200"/>
    <n v="718050"/>
    <s v="Document Shredding/Storage"/>
    <s v="Lakewood Clinic-Shared Svc"/>
    <x v="0"/>
    <n v="1012"/>
    <n v="518.73"/>
    <n v="355.83"/>
    <n v="311.17"/>
    <n v="371.38"/>
    <n v="498.21"/>
    <n v="349.36"/>
    <n v="336.95"/>
    <n v="296.92"/>
    <n v="329.23"/>
    <n v="600.54999999999995"/>
    <n v="469.9"/>
    <n v="180.13"/>
    <n v="4618.3599999999997"/>
    <n v="289.77"/>
  </r>
  <r>
    <x v="7"/>
    <x v="1"/>
    <x v="0"/>
    <s v="5625200"/>
    <n v="718050"/>
    <s v="Physician Answering"/>
    <s v="Lakewood Clinic-Shared Svc"/>
    <x v="0"/>
    <n v="1015"/>
    <n v="544"/>
    <n v="0"/>
    <n v="256"/>
    <n v="208"/>
    <n v="192"/>
    <n v="0"/>
    <n v="304"/>
    <n v="144"/>
    <n v="496"/>
    <n v="208"/>
    <n v="0"/>
    <n v="962.5"/>
    <n v="3314.5"/>
    <n v="-962.5"/>
  </r>
  <r>
    <x v="7"/>
    <x v="1"/>
    <x v="0"/>
    <s v="5625200"/>
    <n v="718050"/>
    <s v="Miscellaneous Purchased Svcs"/>
    <s v="Lakewood Clinic-Shared Svc"/>
    <x v="0"/>
    <n v="1020"/>
    <n v="0"/>
    <n v="230.41"/>
    <n v="65.83"/>
    <n v="0"/>
    <n v="0"/>
    <n v="0"/>
    <n v="197.51"/>
    <n v="131.68"/>
    <n v="65.84"/>
    <n v="65.84"/>
    <n v="0"/>
    <n v="65.84"/>
    <n v="822.95000000000016"/>
    <n v="-65.84"/>
  </r>
  <r>
    <x v="7"/>
    <x v="1"/>
    <x v="0"/>
    <s v="5625200"/>
    <n v="718050"/>
    <s v="Translation Services"/>
    <s v="Lakewood Clinic-Shared Svc"/>
    <x v="0"/>
    <n v="1025"/>
    <n v="572"/>
    <n v="158.58000000000001"/>
    <n v="238.5"/>
    <n v="0"/>
    <n v="573.15"/>
    <n v="430.5"/>
    <n v="449.33"/>
    <n v="251.4"/>
    <n v="0"/>
    <n v="190.5"/>
    <n v="301.02"/>
    <n v="23.7"/>
    <n v="3188.68"/>
    <n v="277.32"/>
  </r>
  <r>
    <x v="7"/>
    <x v="1"/>
    <x v="0"/>
    <s v="5625200"/>
    <n v="718050"/>
    <s v="Contract Management--Linen"/>
    <s v="Lakewood Clinic-Shared Svc"/>
    <x v="0"/>
    <n v="1026"/>
    <n v="397.44"/>
    <n v="158.56"/>
    <n v="535.76"/>
    <n v="160.93"/>
    <n v="237.59"/>
    <n v="317.12"/>
    <n v="474.41"/>
    <n v="432.53"/>
    <n v="396.17"/>
    <n v="158.06"/>
    <n v="0"/>
    <n v="564.95000000000005"/>
    <n v="3833.5200000000004"/>
    <n v="-564.95000000000005"/>
  </r>
  <r>
    <x v="7"/>
    <x v="1"/>
    <x v="0"/>
    <s v="5625200"/>
    <n v="718050"/>
    <s v="Purchased Srvcs--Medical Waste"/>
    <s v="Lakewood Clinic-Shared Svc"/>
    <x v="0"/>
    <n v="1027"/>
    <n v="0"/>
    <n v="93.45"/>
    <n v="10.36"/>
    <n v="76.19"/>
    <n v="94.22"/>
    <n v="93.45"/>
    <n v="20.72"/>
    <n v="93.45"/>
    <n v="0"/>
    <n v="114.17"/>
    <n v="0"/>
    <n v="138.94"/>
    <n v="734.95"/>
    <n v="-138.94"/>
  </r>
  <r>
    <x v="7"/>
    <x v="1"/>
    <x v="0"/>
    <s v="5625200"/>
    <n v="718070"/>
    <s v="Contract Srvcs-CHI Clinical Engineering"/>
    <s v="Lakewood Clinic-Shared Svc"/>
    <x v="0"/>
    <m/>
    <n v="4844"/>
    <n v="9148.6200000000008"/>
    <n v="3815.03"/>
    <n v="1938.06"/>
    <n v="4208.82"/>
    <n v="7528.85"/>
    <n v="2321.09"/>
    <n v="930.28"/>
    <n v="0"/>
    <n v="0"/>
    <n v="5658.62"/>
    <n v="1431.3"/>
    <n v="41824.670000000006"/>
    <n v="4227.32"/>
  </r>
  <r>
    <x v="11"/>
    <x v="1"/>
    <x v="0"/>
    <s v="5625200"/>
    <n v="721010"/>
    <s v="Supplies-Medical - Billable"/>
    <s v="Lakewood Clinic-Shared Svc"/>
    <x v="0"/>
    <m/>
    <n v="0"/>
    <n v="0"/>
    <n v="0"/>
    <n v="0"/>
    <n v="0"/>
    <n v="0"/>
    <n v="3390.4"/>
    <n v="0"/>
    <n v="0"/>
    <n v="0"/>
    <n v="3489.96"/>
    <n v="0"/>
    <n v="6880.3600000000006"/>
    <n v="3489.96"/>
  </r>
  <r>
    <x v="11"/>
    <x v="1"/>
    <x v="0"/>
    <s v="5625200"/>
    <n v="721250"/>
    <s v="Supplies-Pharmacy Drugs - Billable"/>
    <s v="Lakewood Clinic-Shared Svc"/>
    <x v="0"/>
    <m/>
    <n v="337.44"/>
    <n v="5748.75"/>
    <n v="9504.81"/>
    <n v="30722.02"/>
    <n v="21885.73"/>
    <n v="24149.66"/>
    <n v="13256.7"/>
    <n v="13322.68"/>
    <n v="18164.55"/>
    <n v="8727.32"/>
    <n v="13881.12"/>
    <n v="8974.59"/>
    <n v="168675.37"/>
    <n v="4906.5300000000007"/>
  </r>
  <r>
    <x v="11"/>
    <x v="1"/>
    <x v="0"/>
    <s v="5625200"/>
    <n v="721410"/>
    <s v="Supplies-Medical - Nonbillable"/>
    <s v="Lakewood Clinic-Shared Svc"/>
    <x v="0"/>
    <m/>
    <n v="3102.44"/>
    <n v="2038.85"/>
    <n v="1766.86"/>
    <n v="4087.62"/>
    <n v="714.47"/>
    <n v="759.19"/>
    <n v="2586.25"/>
    <n v="3100.19"/>
    <n v="2433.2600000000002"/>
    <n v="746.31"/>
    <n v="1193.78"/>
    <n v="4904.29"/>
    <n v="27433.51"/>
    <n v="-3710.51"/>
  </r>
  <r>
    <x v="11"/>
    <x v="1"/>
    <x v="0"/>
    <s v="5625200"/>
    <n v="721830"/>
    <s v="Supplies-Office"/>
    <s v="Lakewood Clinic-Shared Svc"/>
    <x v="0"/>
    <m/>
    <n v="445.66"/>
    <n v="999.31"/>
    <n v="555.49"/>
    <n v="876.22"/>
    <n v="647.20000000000005"/>
    <n v="525.04999999999995"/>
    <n v="659.16"/>
    <n v="163.16999999999999"/>
    <n v="1822.68"/>
    <n v="669.15"/>
    <n v="503.62"/>
    <n v="911.51"/>
    <n v="8778.2199999999993"/>
    <n v="-407.89"/>
  </r>
  <r>
    <x v="11"/>
    <x v="1"/>
    <x v="0"/>
    <s v="5625200"/>
    <n v="721835"/>
    <s v="Supplies-Forms"/>
    <s v="Lakewood Clinic-Shared Svc"/>
    <x v="0"/>
    <m/>
    <n v="0"/>
    <n v="338.7"/>
    <n v="0"/>
    <n v="0"/>
    <n v="636.86"/>
    <n v="69.7"/>
    <n v="119.9"/>
    <n v="537.94000000000005"/>
    <n v="129"/>
    <n v="295.24"/>
    <n v="675.98"/>
    <n v="61.28"/>
    <n v="2864.6000000000004"/>
    <n v="614.70000000000005"/>
  </r>
  <r>
    <x v="11"/>
    <x v="1"/>
    <x v="0"/>
    <s v="5625200"/>
    <n v="721910"/>
    <s v="Supplies-Small Equipment"/>
    <s v="Lakewood Clinic-Shared Svc"/>
    <x v="0"/>
    <m/>
    <n v="0"/>
    <n v="0"/>
    <n v="0"/>
    <n v="0"/>
    <n v="0"/>
    <n v="0"/>
    <n v="0"/>
    <n v="952.7"/>
    <n v="0"/>
    <n v="428.27"/>
    <n v="58.18"/>
    <n v="29.57"/>
    <n v="1468.72"/>
    <n v="28.61"/>
  </r>
  <r>
    <x v="11"/>
    <x v="1"/>
    <x v="0"/>
    <s v="5625200"/>
    <n v="722000"/>
    <s v="Supplies-Freight Expense"/>
    <s v="Lakewood Clinic-Shared Svc"/>
    <x v="0"/>
    <m/>
    <n v="0"/>
    <n v="25.15"/>
    <n v="0"/>
    <n v="12.53"/>
    <n v="0"/>
    <n v="0"/>
    <n v="0"/>
    <n v="0"/>
    <n v="0"/>
    <n v="18.11"/>
    <n v="18.21"/>
    <n v="14.72"/>
    <n v="88.72"/>
    <n v="3.49"/>
  </r>
  <r>
    <x v="12"/>
    <x v="1"/>
    <x v="0"/>
    <s v="5625200"/>
    <n v="730010"/>
    <s v="Rental and Leases-Building (DO NOT USE)"/>
    <s v="Lakewood Clinic-Shared Svc"/>
    <x v="0"/>
    <m/>
    <n v="22818.53"/>
    <n v="22403.64"/>
    <n v="22558.400000000001"/>
    <n v="22558.400000000001"/>
    <n v="22558.400000000001"/>
    <n v="-30592.82"/>
    <n v="12344.51"/>
    <n v="12344.51"/>
    <n v="12344.51"/>
    <n v="12344.51"/>
    <n v="12344.51"/>
    <n v="-5984.24"/>
    <n v="138042.85999999999"/>
    <n v="18328.75"/>
  </r>
  <r>
    <x v="12"/>
    <x v="1"/>
    <x v="0"/>
    <s v="5625200"/>
    <n v="730010"/>
    <s v="Rental-Common Area Maint (DO NOT USE)"/>
    <s v="Lakewood Clinic-Shared Svc"/>
    <x v="0"/>
    <n v="2200"/>
    <n v="0"/>
    <n v="0"/>
    <n v="0"/>
    <n v="0"/>
    <n v="0"/>
    <n v="53151.22"/>
    <n v="10213.89"/>
    <n v="10213.89"/>
    <n v="4406.7"/>
    <n v="11280.38"/>
    <n v="11280.38"/>
    <n v="0"/>
    <n v="100546.46"/>
    <n v="11280.38"/>
  </r>
  <r>
    <x v="12"/>
    <x v="1"/>
    <x v="0"/>
    <s v="5625200"/>
    <n v="730020"/>
    <s v="Rental and Leases-Copier Usage Fees (DO NOT USE)"/>
    <s v="Lakewood Clinic-Shared Svc"/>
    <x v="0"/>
    <n v="5100"/>
    <n v="1633.92"/>
    <n v="1643.33"/>
    <n v="1638.62"/>
    <n v="1638.62"/>
    <n v="1638.62"/>
    <n v="1638.62"/>
    <n v="-895.57"/>
    <n v="1125.98"/>
    <n v="1203.8499999999999"/>
    <n v="2532.94"/>
    <n v="1183.52"/>
    <n v="1265.22"/>
    <n v="16247.67"/>
    <n v="-81.700000000000045"/>
  </r>
  <r>
    <x v="12"/>
    <x v="1"/>
    <x v="0"/>
    <s v="5625200"/>
    <n v="730040"/>
    <s v="LT Lease-Real Estate"/>
    <s v="Lakewood Clinic-Shared Svc"/>
    <x v="0"/>
    <m/>
    <n v="0"/>
    <n v="0"/>
    <n v="0"/>
    <n v="0"/>
    <n v="0"/>
    <n v="0"/>
    <n v="0"/>
    <n v="0"/>
    <n v="0"/>
    <n v="0"/>
    <n v="0"/>
    <n v="29609.13"/>
    <n v="29609.13"/>
    <n v="-29609.13"/>
  </r>
  <r>
    <x v="15"/>
    <x v="1"/>
    <x v="0"/>
    <s v="5625200"/>
    <n v="731060"/>
    <s v="Telephone"/>
    <s v="Lakewood Clinic-Shared Svc"/>
    <x v="0"/>
    <m/>
    <n v="0"/>
    <n v="0"/>
    <n v="0"/>
    <n v="0"/>
    <n v="1108.48"/>
    <n v="0"/>
    <n v="0"/>
    <n v="0"/>
    <n v="0"/>
    <n v="0"/>
    <n v="0"/>
    <n v="0"/>
    <n v="1108.48"/>
    <n v="0"/>
  </r>
  <r>
    <x v="15"/>
    <x v="1"/>
    <x v="0"/>
    <s v="5625200"/>
    <n v="731060"/>
    <s v="Pagers"/>
    <s v="Lakewood Clinic-Shared Svc"/>
    <x v="0"/>
    <n v="1002"/>
    <n v="8.1"/>
    <n v="8.1"/>
    <n v="8.1"/>
    <n v="8.1199999999999992"/>
    <n v="8.1199999999999992"/>
    <n v="0"/>
    <n v="16.239999999999998"/>
    <n v="8.1199999999999992"/>
    <n v="23.82"/>
    <n v="16.239999999999998"/>
    <n v="16.239999999999998"/>
    <n v="16.239999999999998"/>
    <n v="137.44"/>
    <n v="0"/>
  </r>
  <r>
    <x v="16"/>
    <x v="1"/>
    <x v="0"/>
    <s v="5625200"/>
    <n v="732030"/>
    <s v="Repairs---Other"/>
    <s v="Lakewood Clinic-Shared Svc"/>
    <x v="0"/>
    <m/>
    <n v="0"/>
    <n v="0"/>
    <n v="0"/>
    <n v="0"/>
    <n v="0"/>
    <n v="0"/>
    <n v="0"/>
    <n v="14.05"/>
    <n v="0"/>
    <n v="442.6"/>
    <n v="0"/>
    <n v="0"/>
    <n v="456.65000000000003"/>
    <n v="0"/>
  </r>
  <r>
    <x v="16"/>
    <x v="1"/>
    <x v="0"/>
    <s v="5625200"/>
    <n v="732030"/>
    <s v="Repairs&amp;Maintenance-Bldg Routine"/>
    <s v="Lakewood Clinic-Shared Svc"/>
    <x v="0"/>
    <n v="2300"/>
    <n v="0"/>
    <n v="0"/>
    <n v="0"/>
    <n v="0"/>
    <n v="0"/>
    <n v="181.34"/>
    <n v="0"/>
    <n v="0"/>
    <n v="0"/>
    <n v="0"/>
    <n v="0"/>
    <n v="0"/>
    <n v="181.34"/>
    <n v="0"/>
  </r>
  <r>
    <x v="13"/>
    <x v="1"/>
    <x v="0"/>
    <s v="5625200"/>
    <n v="735050"/>
    <s v="Amortization-Leasehold Improvements"/>
    <s v="Lakewood Clinic-Shared Svc"/>
    <x v="0"/>
    <m/>
    <n v="210.69"/>
    <n v="210.69"/>
    <n v="210.69"/>
    <n v="210.69"/>
    <n v="210.69"/>
    <n v="210.68"/>
    <n v="210.69"/>
    <n v="210.68"/>
    <n v="210.69"/>
    <n v="210.68"/>
    <n v="210.69"/>
    <n v="210.68"/>
    <n v="2528.2400000000002"/>
    <n v="9.9999999999909051E-3"/>
  </r>
  <r>
    <x v="13"/>
    <x v="1"/>
    <x v="0"/>
    <s v="5625200"/>
    <n v="735060"/>
    <s v="Depreciation-Fixed Equipment"/>
    <s v="Lakewood Clinic-Shared Svc"/>
    <x v="0"/>
    <m/>
    <n v="52.41"/>
    <n v="52.41"/>
    <n v="52.41"/>
    <n v="52.41"/>
    <n v="52.41"/>
    <n v="52.41"/>
    <n v="52.41"/>
    <n v="52.4"/>
    <n v="52.41"/>
    <n v="52.4"/>
    <n v="52.41"/>
    <n v="52.4"/>
    <n v="628.88999999999976"/>
    <n v="9.9999999999980105E-3"/>
  </r>
  <r>
    <x v="13"/>
    <x v="1"/>
    <x v="0"/>
    <s v="5625200"/>
    <n v="735070"/>
    <s v="Depreciation-Movable Equipment"/>
    <s v="Lakewood Clinic-Shared Svc"/>
    <x v="0"/>
    <m/>
    <n v="201.79"/>
    <n v="201.79"/>
    <n v="201.79"/>
    <n v="201.78"/>
    <n v="201.79"/>
    <n v="201.78"/>
    <n v="201.79"/>
    <n v="201.77"/>
    <n v="201.79"/>
    <n v="201.77"/>
    <n v="201.79"/>
    <n v="201.77"/>
    <n v="2421.4"/>
    <n v="1.999999999998181E-2"/>
  </r>
  <r>
    <x v="0"/>
    <x v="1"/>
    <x v="0"/>
    <s v="5625200"/>
    <n v="742040"/>
    <s v="Freight-Other"/>
    <s v="Lakewood Clinic-Shared Svc"/>
    <x v="0"/>
    <m/>
    <n v="0"/>
    <n v="0"/>
    <n v="0"/>
    <n v="0"/>
    <n v="0"/>
    <n v="0"/>
    <n v="0"/>
    <n v="0"/>
    <n v="0"/>
    <n v="0"/>
    <n v="0"/>
    <n v="55.28"/>
    <n v="55.28"/>
    <n v="-55.28"/>
  </r>
  <r>
    <x v="0"/>
    <x v="1"/>
    <x v="0"/>
    <s v="5625200"/>
    <n v="743020"/>
    <s v="Provider-Dues"/>
    <s v="Lakewood Clinic-Shared Svc"/>
    <x v="0"/>
    <n v="2200"/>
    <n v="0"/>
    <n v="0"/>
    <n v="0"/>
    <n v="0"/>
    <n v="0"/>
    <n v="0"/>
    <n v="0"/>
    <n v="3210"/>
    <n v="0"/>
    <n v="0"/>
    <n v="0"/>
    <n v="0"/>
    <n v="3210"/>
    <n v="0"/>
  </r>
  <r>
    <x v="0"/>
    <x v="1"/>
    <x v="0"/>
    <s v="5625200"/>
    <n v="749510"/>
    <s v="Miscellaneous Expenses"/>
    <s v="Lakewood Clinic-Shared Svc"/>
    <x v="0"/>
    <m/>
    <n v="123.39"/>
    <n v="84.19"/>
    <n v="189.35"/>
    <n v="129.97999999999999"/>
    <n v="197.86"/>
    <n v="2.14"/>
    <n v="0"/>
    <n v="0"/>
    <n v="152.78"/>
    <n v="-52.78"/>
    <n v="150"/>
    <n v="10.59"/>
    <n v="987.5"/>
    <n v="139.41"/>
  </r>
  <r>
    <x v="0"/>
    <x v="1"/>
    <x v="0"/>
    <s v="5625200"/>
    <n v="749510"/>
    <s v="Licenses"/>
    <s v="Lakewood Clinic-Shared Svc"/>
    <x v="0"/>
    <n v="1002"/>
    <n v="0"/>
    <n v="0"/>
    <n v="330"/>
    <n v="0"/>
    <n v="0"/>
    <n v="259"/>
    <n v="58.75"/>
    <n v="0"/>
    <n v="0"/>
    <n v="0"/>
    <n v="0"/>
    <n v="0"/>
    <n v="647.75"/>
    <n v="0"/>
  </r>
  <r>
    <x v="0"/>
    <x v="1"/>
    <x v="0"/>
    <s v="5625200"/>
    <n v="749510"/>
    <s v="RICE Rewards"/>
    <s v="Lakewood Clinic-Shared Svc"/>
    <x v="0"/>
    <n v="5100"/>
    <n v="0"/>
    <n v="0"/>
    <n v="0"/>
    <n v="0"/>
    <n v="0"/>
    <n v="147.86000000000001"/>
    <n v="833.06"/>
    <n v="0"/>
    <n v="0"/>
    <n v="0"/>
    <n v="0"/>
    <n v="0"/>
    <n v="980.92"/>
    <n v="0"/>
  </r>
  <r>
    <x v="0"/>
    <x v="1"/>
    <x v="0"/>
    <s v="5625200"/>
    <n v="749530"/>
    <s v="Travel"/>
    <s v="Lakewood Clinic-Shared Svc"/>
    <x v="0"/>
    <m/>
    <n v="0"/>
    <n v="0"/>
    <n v="0"/>
    <n v="0"/>
    <n v="0"/>
    <n v="0"/>
    <n v="0"/>
    <n v="0"/>
    <n v="0"/>
    <n v="6"/>
    <n v="0"/>
    <n v="0"/>
    <n v="6"/>
    <n v="0"/>
  </r>
  <r>
    <x v="0"/>
    <x v="1"/>
    <x v="0"/>
    <s v="5625200"/>
    <n v="749530"/>
    <s v="Mileage"/>
    <s v="Lakewood Clinic-Shared Svc"/>
    <x v="0"/>
    <n v="1001"/>
    <n v="0"/>
    <n v="0"/>
    <n v="0"/>
    <n v="0"/>
    <n v="0"/>
    <n v="0"/>
    <n v="0"/>
    <n v="0"/>
    <n v="0"/>
    <n v="273.76"/>
    <n v="136.30000000000001"/>
    <n v="212.86"/>
    <n v="622.92000000000007"/>
    <n v="-76.56"/>
  </r>
  <r>
    <x v="0"/>
    <x v="1"/>
    <x v="0"/>
    <s v="5625200"/>
    <n v="749550"/>
    <s v="Cash Over/Short"/>
    <s v="Lakewood Clinic-Shared Svc"/>
    <x v="0"/>
    <m/>
    <n v="0.44"/>
    <n v="0"/>
    <n v="0"/>
    <n v="20"/>
    <n v="0"/>
    <n v="0"/>
    <n v="0"/>
    <n v="0"/>
    <n v="-15.44"/>
    <n v="5.44"/>
    <n v="-10"/>
    <n v="0"/>
    <n v="0.44000000000000128"/>
    <n v="-10"/>
  </r>
  <r>
    <x v="0"/>
    <x v="1"/>
    <x v="0"/>
    <s v="5625200"/>
    <n v="766010"/>
    <s v="Property Tax"/>
    <s v="Lakewood Clinic-Shared Svc"/>
    <x v="0"/>
    <m/>
    <n v="45.13"/>
    <n v="45.13"/>
    <n v="45.13"/>
    <n v="45.13"/>
    <n v="45.13"/>
    <n v="45.13"/>
    <n v="45.13"/>
    <n v="45.13"/>
    <n v="45.13"/>
    <n v="-7.78"/>
    <n v="31.9"/>
    <n v="31.9"/>
    <n v="462.19"/>
    <n v="0"/>
  </r>
  <r>
    <x v="5"/>
    <x v="1"/>
    <x v="0"/>
    <s v="5626200"/>
    <n v="700014"/>
    <s v="Salaries-Management-Productive"/>
    <s v="Surprise Lake-Shared Svc"/>
    <x v="0"/>
    <m/>
    <n v="6443.13"/>
    <n v="6408.87"/>
    <n v="5997.6"/>
    <n v="7047.36"/>
    <n v="4134.72"/>
    <n v="6867.84"/>
    <n v="6457.1"/>
    <n v="6667.35"/>
    <n v="7018.26"/>
    <n v="7720.09"/>
    <n v="7018.27"/>
    <n v="6316.44"/>
    <n v="78097.030000000013"/>
    <n v="701.83000000000084"/>
  </r>
  <r>
    <x v="5"/>
    <x v="1"/>
    <x v="0"/>
    <s v="5626200"/>
    <n v="700030"/>
    <s v="Salaries-LPN-Productive"/>
    <s v="Surprise Lake-Shared Svc"/>
    <x v="0"/>
    <m/>
    <n v="0"/>
    <n v="0"/>
    <n v="0"/>
    <n v="0"/>
    <n v="0"/>
    <n v="0"/>
    <n v="0"/>
    <n v="0"/>
    <n v="0"/>
    <n v="114.41"/>
    <n v="0"/>
    <n v="0"/>
    <n v="114.41"/>
    <n v="0"/>
  </r>
  <r>
    <x v="5"/>
    <x v="1"/>
    <x v="0"/>
    <s v="5626200"/>
    <n v="700030"/>
    <s v="Salaries-LPN-Other"/>
    <s v="Surprise Lake-Shared Svc"/>
    <x v="0"/>
    <n v="2000"/>
    <n v="0"/>
    <n v="0"/>
    <n v="0"/>
    <n v="0"/>
    <n v="0"/>
    <n v="0"/>
    <n v="0"/>
    <n v="0"/>
    <n v="0"/>
    <n v="5.26"/>
    <n v="0"/>
    <n v="0"/>
    <n v="5.26"/>
    <n v="0"/>
  </r>
  <r>
    <x v="5"/>
    <x v="1"/>
    <x v="0"/>
    <s v="5626200"/>
    <n v="700038"/>
    <s v="Salaries-Service/Support-Productive"/>
    <s v="Surprise Lake-Shared Svc"/>
    <x v="0"/>
    <m/>
    <n v="15745.12"/>
    <n v="16412.78"/>
    <n v="10525.93"/>
    <n v="14524.86"/>
    <n v="16615.47"/>
    <n v="14714"/>
    <n v="17238.400000000001"/>
    <n v="13147.72"/>
    <n v="14737.81"/>
    <n v="17458.650000000001"/>
    <n v="15077.09"/>
    <n v="15276.66"/>
    <n v="181474.49"/>
    <n v="-199.56999999999971"/>
  </r>
  <r>
    <x v="5"/>
    <x v="1"/>
    <x v="0"/>
    <s v="5626200"/>
    <n v="700038"/>
    <s v="Salaries-Service/Support-OT"/>
    <s v="Surprise Lake-Shared Svc"/>
    <x v="0"/>
    <n v="1000"/>
    <n v="433.2"/>
    <n v="280.61"/>
    <n v="597.78"/>
    <n v="718.44"/>
    <n v="1962.04"/>
    <n v="-378.88"/>
    <n v="136.68"/>
    <n v="193.35"/>
    <n v="220.99"/>
    <n v="207.65"/>
    <n v="60.38"/>
    <n v="201.16"/>
    <n v="4633.3999999999987"/>
    <n v="-140.78"/>
  </r>
  <r>
    <x v="5"/>
    <x v="1"/>
    <x v="0"/>
    <s v="5626200"/>
    <n v="700038"/>
    <s v="Salaries-Service/Support-Other"/>
    <s v="Surprise Lake-Shared Svc"/>
    <x v="0"/>
    <n v="2000"/>
    <n v="93.2"/>
    <n v="105.17"/>
    <n v="131.44999999999999"/>
    <n v="115.52"/>
    <n v="181.81"/>
    <n v="79.87"/>
    <n v="95.07"/>
    <n v="23.48"/>
    <n v="12.03"/>
    <n v="-4.01"/>
    <n v="80.680000000000007"/>
    <n v="-32.32"/>
    <n v="881.94999999999993"/>
    <n v="113"/>
  </r>
  <r>
    <x v="5"/>
    <x v="1"/>
    <x v="0"/>
    <s v="5626200"/>
    <n v="700054"/>
    <s v="Salaries-Management-Non-productive"/>
    <s v="Surprise Lake-Shared Svc"/>
    <x v="0"/>
    <m/>
    <n v="1096.7"/>
    <n v="1473.7"/>
    <n v="856.8"/>
    <n v="973.44"/>
    <n v="3574.08"/>
    <n v="490.56"/>
    <n v="1614.41"/>
    <n v="350.91"/>
    <n v="350.91"/>
    <n v="0"/>
    <n v="1052.73"/>
    <n v="701.82"/>
    <n v="12536.059999999998"/>
    <n v="350.90999999999997"/>
  </r>
  <r>
    <x v="5"/>
    <x v="1"/>
    <x v="0"/>
    <s v="5626200"/>
    <n v="700054"/>
    <s v="Salaries-Management-NonProd-Other"/>
    <s v="Surprise Lake-Shared Svc"/>
    <x v="0"/>
    <n v="2000"/>
    <n v="0"/>
    <n v="0"/>
    <n v="0"/>
    <n v="0"/>
    <n v="0"/>
    <n v="371.33"/>
    <n v="-371.33"/>
    <n v="0"/>
    <n v="0"/>
    <n v="0"/>
    <n v="0"/>
    <n v="0"/>
    <n v="0"/>
    <n v="0"/>
  </r>
  <r>
    <x v="5"/>
    <x v="1"/>
    <x v="0"/>
    <s v="5626200"/>
    <n v="700078"/>
    <s v="Salaries-Service/Support-Non-productive"/>
    <s v="Surprise Lake-Shared Svc"/>
    <x v="0"/>
    <m/>
    <n v="1952.3"/>
    <n v="2713.41"/>
    <n v="2953.4"/>
    <n v="2742.59"/>
    <n v="966.4"/>
    <n v="4160.45"/>
    <n v="2216.3000000000002"/>
    <n v="828.49"/>
    <n v="395.49"/>
    <n v="2121.16"/>
    <n v="5540.23"/>
    <n v="-47.35"/>
    <n v="26542.870000000003"/>
    <n v="5587.58"/>
  </r>
  <r>
    <x v="5"/>
    <x v="1"/>
    <x v="0"/>
    <s v="5626200"/>
    <n v="700078"/>
    <s v="Salaries-Service/Support-NonProd-Other"/>
    <s v="Surprise Lake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26200"/>
    <n v="700084"/>
    <s v="Accrued PTO"/>
    <s v="Surprise Lake-Shared Svc"/>
    <x v="0"/>
    <m/>
    <n v="372.96"/>
    <n v="-1188.42"/>
    <n v="-1455.78"/>
    <n v="637.11"/>
    <n v="-1065.1600000000001"/>
    <n v="-1338.99"/>
    <n v="-634.4"/>
    <n v="1414.78"/>
    <n v="1700.51"/>
    <n v="1577.13"/>
    <n v="-1604.22"/>
    <n v="817.39"/>
    <n v="-767.08999999999958"/>
    <n v="-2421.61"/>
  </r>
  <r>
    <x v="6"/>
    <x v="1"/>
    <x v="0"/>
    <s v="5626200"/>
    <n v="713010"/>
    <s v="Benefits-FICA/Medicare"/>
    <s v="Surprise Lake-Shared Svc"/>
    <x v="0"/>
    <m/>
    <n v="1924.09"/>
    <n v="2097.8200000000002"/>
    <n v="1567.33"/>
    <n v="1949.48"/>
    <n v="2089.8000000000002"/>
    <n v="1971.01"/>
    <n v="2099.61"/>
    <n v="1615.94"/>
    <n v="1692.32"/>
    <n v="2054.08"/>
    <n v="2149.42"/>
    <n v="1660.65"/>
    <n v="22871.550000000003"/>
    <n v="488.77"/>
  </r>
  <r>
    <x v="6"/>
    <x v="1"/>
    <x v="0"/>
    <s v="5626200"/>
    <n v="713090"/>
    <s v="Benefits-Allocated Amounts"/>
    <s v="Surprise Lake-Shared Svc"/>
    <x v="0"/>
    <m/>
    <n v="6431.52"/>
    <n v="6014.05"/>
    <n v="5422.23"/>
    <n v="5890.78"/>
    <n v="6349.35"/>
    <n v="6806.24"/>
    <n v="7432.2"/>
    <n v="6324"/>
    <n v="6105.2"/>
    <n v="7131.95"/>
    <n v="7120.87"/>
    <n v="6747.25"/>
    <n v="77775.639999999985"/>
    <n v="373.61999999999989"/>
  </r>
  <r>
    <x v="7"/>
    <x v="1"/>
    <x v="0"/>
    <s v="5626200"/>
    <n v="718010"/>
    <s v="Contract Services-Advertising &amp; Public Relations"/>
    <s v="Surprise Lake-Shared Svc"/>
    <x v="0"/>
    <m/>
    <n v="0"/>
    <n v="0"/>
    <n v="0"/>
    <n v="0"/>
    <n v="0"/>
    <n v="0"/>
    <n v="0"/>
    <n v="-1"/>
    <n v="0"/>
    <n v="0"/>
    <n v="0"/>
    <n v="0"/>
    <n v="-1"/>
    <n v="0"/>
  </r>
  <r>
    <x v="7"/>
    <x v="1"/>
    <x v="0"/>
    <s v="5626200"/>
    <n v="718010"/>
    <s v="Media/Print Advertising"/>
    <s v="Surprise Lake-Shared Svc"/>
    <x v="0"/>
    <n v="1004"/>
    <n v="1025.18"/>
    <n v="0"/>
    <n v="0"/>
    <n v="97.5"/>
    <n v="98"/>
    <n v="1275.55"/>
    <n v="0"/>
    <n v="0"/>
    <n v="0"/>
    <n v="299.79000000000002"/>
    <n v="0"/>
    <n v="0"/>
    <n v="2796.02"/>
    <n v="0"/>
  </r>
  <r>
    <x v="7"/>
    <x v="1"/>
    <x v="0"/>
    <s v="5626200"/>
    <n v="718050"/>
    <s v="Contract Svcs-Other"/>
    <s v="Surprise Lake-Shared Svc"/>
    <x v="0"/>
    <m/>
    <n v="0"/>
    <n v="0"/>
    <n v="480.81"/>
    <n v="0"/>
    <n v="540"/>
    <n v="0"/>
    <n v="0"/>
    <n v="0"/>
    <n v="0"/>
    <n v="0"/>
    <n v="0"/>
    <n v="0"/>
    <n v="1020.81"/>
    <n v="0"/>
  </r>
  <r>
    <x v="7"/>
    <x v="1"/>
    <x v="0"/>
    <s v="5626200"/>
    <n v="718050"/>
    <s v="Management Fees"/>
    <s v="Surprise Lake-Shared Svc"/>
    <x v="0"/>
    <n v="1004"/>
    <n v="0"/>
    <n v="0"/>
    <n v="0"/>
    <n v="0"/>
    <n v="0"/>
    <n v="0"/>
    <n v="0"/>
    <n v="0"/>
    <n v="0"/>
    <n v="177.71"/>
    <n v="0"/>
    <n v="0"/>
    <n v="177.71"/>
    <n v="0"/>
  </r>
  <r>
    <x v="7"/>
    <x v="1"/>
    <x v="0"/>
    <s v="5626200"/>
    <n v="718050"/>
    <s v="Cleaning Services"/>
    <s v="Surprise Lake-Shared Svc"/>
    <x v="0"/>
    <n v="1011"/>
    <n v="2220"/>
    <n v="1110"/>
    <n v="1110"/>
    <n v="0"/>
    <n v="1110"/>
    <n v="1110"/>
    <n v="2220"/>
    <n v="0"/>
    <n v="1110"/>
    <n v="2220"/>
    <n v="0"/>
    <n v="2220"/>
    <n v="14430"/>
    <n v="-2220"/>
  </r>
  <r>
    <x v="7"/>
    <x v="1"/>
    <x v="0"/>
    <s v="5626200"/>
    <n v="718050"/>
    <s v="Document Shredding/Storage"/>
    <s v="Surprise Lake-Shared Svc"/>
    <x v="0"/>
    <n v="1012"/>
    <n v="244.25"/>
    <n v="-120.56"/>
    <n v="166.48"/>
    <n v="134.6"/>
    <n v="193.7"/>
    <n v="159.41"/>
    <n v="170.2"/>
    <n v="56.32"/>
    <n v="120.75"/>
    <n v="124.47"/>
    <n v="112.81"/>
    <n v="140.44999999999999"/>
    <n v="1502.88"/>
    <n v="-27.639999999999986"/>
  </r>
  <r>
    <x v="7"/>
    <x v="1"/>
    <x v="0"/>
    <s v="5626200"/>
    <n v="718050"/>
    <s v="Physician Answering"/>
    <s v="Surprise Lake-Shared Svc"/>
    <x v="0"/>
    <n v="1015"/>
    <n v="306.39999999999998"/>
    <n v="114.6"/>
    <n v="146.4"/>
    <n v="224.2"/>
    <n v="162.6"/>
    <n v="139.4"/>
    <n v="219.6"/>
    <n v="201.4"/>
    <n v="313.39999999999998"/>
    <n v="192.4"/>
    <n v="114.4"/>
    <n v="229.4"/>
    <n v="2364.2000000000003"/>
    <n v="-115"/>
  </r>
  <r>
    <x v="7"/>
    <x v="1"/>
    <x v="0"/>
    <s v="5626200"/>
    <n v="718050"/>
    <s v="Miscellaneous Purchased Svcs"/>
    <s v="Surprise Lake-Shared Svc"/>
    <x v="0"/>
    <n v="1020"/>
    <n v="172.26"/>
    <n v="325.49"/>
    <n v="296.05"/>
    <n v="193.65"/>
    <n v="62.59"/>
    <n v="258.25"/>
    <n v="303.22000000000003"/>
    <n v="246.32"/>
    <n v="186.87"/>
    <n v="135.16"/>
    <n v="9052.16"/>
    <n v="7247.39"/>
    <n v="18479.41"/>
    <n v="1804.7699999999995"/>
  </r>
  <r>
    <x v="7"/>
    <x v="1"/>
    <x v="0"/>
    <s v="5626200"/>
    <n v="718050"/>
    <s v="Translation Services"/>
    <s v="Surprise Lake-Shared Svc"/>
    <x v="0"/>
    <n v="1025"/>
    <n v="59.44"/>
    <n v="0"/>
    <n v="54.5"/>
    <n v="0"/>
    <n v="161.5"/>
    <n v="170.86"/>
    <n v="0"/>
    <n v="144"/>
    <n v="0"/>
    <n v="48.5"/>
    <n v="0"/>
    <n v="0"/>
    <n v="638.79999999999995"/>
    <n v="0"/>
  </r>
  <r>
    <x v="7"/>
    <x v="1"/>
    <x v="0"/>
    <s v="5626200"/>
    <n v="718050"/>
    <s v="Contract Management--Linen"/>
    <s v="Surprise Lake-Shared Svc"/>
    <x v="0"/>
    <n v="1026"/>
    <n v="384.12"/>
    <n v="180.69"/>
    <n v="368.06"/>
    <n v="135.99"/>
    <n v="232.07"/>
    <n v="336.74"/>
    <n v="388.28"/>
    <n v="325.32"/>
    <n v="248.42"/>
    <n v="382.5"/>
    <n v="0"/>
    <n v="293.12"/>
    <n v="3275.31"/>
    <n v="-293.12"/>
  </r>
  <r>
    <x v="7"/>
    <x v="1"/>
    <x v="0"/>
    <s v="5626200"/>
    <n v="718050"/>
    <s v="Purchased Srvcs--Medical Waste"/>
    <s v="Surprise Lake-Shared Svc"/>
    <x v="0"/>
    <n v="1027"/>
    <n v="74.16"/>
    <n v="65.260000000000005"/>
    <n v="118.22"/>
    <n v="63.8"/>
    <n v="74.16"/>
    <n v="10.36"/>
    <n v="128.94"/>
    <n v="194.17"/>
    <n v="0"/>
    <n v="103.01"/>
    <n v="44.42"/>
    <n v="133.93"/>
    <n v="1010.4300000000001"/>
    <n v="-89.51"/>
  </r>
  <r>
    <x v="7"/>
    <x v="1"/>
    <x v="0"/>
    <s v="5626200"/>
    <n v="718070"/>
    <s v="Contract Srvcs-CHI Clinical Engineering"/>
    <s v="Surprise Lake-Shared Svc"/>
    <x v="0"/>
    <m/>
    <n v="0"/>
    <n v="1557.91"/>
    <n v="0"/>
    <n v="0"/>
    <n v="0"/>
    <n v="0"/>
    <n v="400"/>
    <n v="165.15"/>
    <n v="0"/>
    <n v="0"/>
    <n v="0"/>
    <n v="0"/>
    <n v="2123.06"/>
    <n v="0"/>
  </r>
  <r>
    <x v="11"/>
    <x v="1"/>
    <x v="0"/>
    <s v="5626200"/>
    <n v="721250"/>
    <s v="Supplies-Pharmacy Drugs - Billable"/>
    <s v="Surprise Lake-Shared Svc"/>
    <x v="0"/>
    <m/>
    <n v="5267.81"/>
    <n v="0"/>
    <n v="7217.86"/>
    <n v="19657.009999999998"/>
    <n v="11257.58"/>
    <n v="11407.68"/>
    <n v="5422.38"/>
    <n v="13980.68"/>
    <n v="14024.47"/>
    <n v="415.5"/>
    <n v="-12613.99"/>
    <n v="4585.92"/>
    <n v="80622.899999999994"/>
    <n v="-17199.91"/>
  </r>
  <r>
    <x v="11"/>
    <x v="1"/>
    <x v="0"/>
    <s v="5626200"/>
    <n v="721410"/>
    <s v="Supplies-Medical - Nonbillable"/>
    <s v="Surprise Lake-Shared Svc"/>
    <x v="0"/>
    <m/>
    <n v="858.99"/>
    <n v="2088.35"/>
    <n v="1126.92"/>
    <n v="468.32"/>
    <n v="2116.9"/>
    <n v="1223.1600000000001"/>
    <n v="850.24"/>
    <n v="1414.18"/>
    <n v="2605.6"/>
    <n v="700.47"/>
    <n v="0"/>
    <n v="1790.19"/>
    <n v="15243.32"/>
    <n v="-1790.19"/>
  </r>
  <r>
    <x v="11"/>
    <x v="1"/>
    <x v="0"/>
    <s v="5626200"/>
    <n v="721810"/>
    <s v="Supplies-Dietary/Cafeteria"/>
    <s v="Surprise Lake-Shared Svc"/>
    <x v="0"/>
    <m/>
    <n v="281.04000000000002"/>
    <n v="117.35"/>
    <n v="117.35"/>
    <n v="269.18"/>
    <n v="0"/>
    <n v="99.9"/>
    <n v="0"/>
    <n v="158.47999999999999"/>
    <n v="197.24"/>
    <n v="119.65"/>
    <n v="62.99"/>
    <n v="0"/>
    <n v="1423.18"/>
    <n v="62.99"/>
  </r>
  <r>
    <x v="11"/>
    <x v="1"/>
    <x v="0"/>
    <s v="5626200"/>
    <n v="721830"/>
    <s v="Supplies-Office"/>
    <s v="Surprise Lake-Shared Svc"/>
    <x v="0"/>
    <m/>
    <n v="481.7"/>
    <n v="795.48"/>
    <n v="432.1"/>
    <n v="778.57"/>
    <n v="787.93"/>
    <n v="683.91"/>
    <n v="1239.94"/>
    <n v="909.43"/>
    <n v="534.51"/>
    <n v="1129.94"/>
    <n v="924.37"/>
    <n v="168.97"/>
    <n v="8866.85"/>
    <n v="755.4"/>
  </r>
  <r>
    <x v="11"/>
    <x v="1"/>
    <x v="0"/>
    <s v="5626200"/>
    <n v="721835"/>
    <s v="Supplies-Forms"/>
    <s v="Surprise Lake-Shared Svc"/>
    <x v="0"/>
    <m/>
    <n v="0"/>
    <n v="0"/>
    <n v="0"/>
    <n v="0"/>
    <n v="89.92"/>
    <n v="64.5"/>
    <n v="0"/>
    <n v="0"/>
    <n v="26.3"/>
    <n v="0"/>
    <n v="0"/>
    <n v="171.5"/>
    <n v="352.22"/>
    <n v="-171.5"/>
  </r>
  <r>
    <x v="11"/>
    <x v="1"/>
    <x v="0"/>
    <s v="5626200"/>
    <n v="721910"/>
    <s v="Supplies-Small Equipment"/>
    <s v="Surprise Lake-Shared Svc"/>
    <x v="0"/>
    <m/>
    <n v="0"/>
    <n v="0"/>
    <n v="0"/>
    <n v="0"/>
    <n v="0"/>
    <n v="0"/>
    <n v="0"/>
    <n v="0"/>
    <n v="0"/>
    <n v="0"/>
    <n v="362.75"/>
    <n v="0"/>
    <n v="362.75"/>
    <n v="362.75"/>
  </r>
  <r>
    <x v="11"/>
    <x v="1"/>
    <x v="0"/>
    <s v="5626200"/>
    <n v="722000"/>
    <s v="Supplies-Freight Expense"/>
    <s v="Surprise Lake-Shared Svc"/>
    <x v="0"/>
    <m/>
    <n v="0"/>
    <n v="25.15"/>
    <n v="0"/>
    <n v="9.86"/>
    <n v="0"/>
    <n v="0"/>
    <n v="0"/>
    <n v="0"/>
    <n v="0"/>
    <n v="0"/>
    <n v="0"/>
    <n v="16.489999999999998"/>
    <n v="51.5"/>
    <n v="-16.489999999999998"/>
  </r>
  <r>
    <x v="12"/>
    <x v="1"/>
    <x v="0"/>
    <s v="5626200"/>
    <n v="730010"/>
    <s v="Rental and Leases-Building (DO NOT USE)"/>
    <s v="Surprise Lake-Shared Svc"/>
    <x v="0"/>
    <m/>
    <n v="11824.95"/>
    <n v="11824.95"/>
    <n v="11824.95"/>
    <n v="11824.95"/>
    <n v="11824.95"/>
    <n v="-4493.25"/>
    <n v="9105.25"/>
    <n v="9105.25"/>
    <n v="9105.25"/>
    <n v="9105.25"/>
    <n v="9105.25"/>
    <n v="0"/>
    <n v="100157.75"/>
    <n v="9105.25"/>
  </r>
  <r>
    <x v="12"/>
    <x v="1"/>
    <x v="0"/>
    <s v="5626200"/>
    <n v="730010"/>
    <s v="Rental-Common Area Maint (DO NOT USE)"/>
    <s v="Surprise Lake-Shared Svc"/>
    <x v="0"/>
    <n v="2200"/>
    <n v="0"/>
    <n v="0"/>
    <n v="0"/>
    <n v="0"/>
    <n v="0"/>
    <n v="16318.2"/>
    <n v="2719.7"/>
    <n v="2719.7"/>
    <n v="2719.7"/>
    <n v="2719.7"/>
    <n v="2719.7"/>
    <n v="0"/>
    <n v="29916.700000000004"/>
    <n v="2719.7"/>
  </r>
  <r>
    <x v="12"/>
    <x v="1"/>
    <x v="0"/>
    <s v="5626200"/>
    <n v="730020"/>
    <s v="Rental and Leases-Copier Usage Fees (DO NOT USE)"/>
    <s v="Surprise Lake-Shared Svc"/>
    <x v="0"/>
    <n v="5100"/>
    <n v="55.42"/>
    <n v="57.36"/>
    <n v="56.39"/>
    <n v="56.39"/>
    <n v="56.39"/>
    <n v="56.39"/>
    <n v="56.74"/>
    <n v="57.41"/>
    <n v="57.29"/>
    <n v="57.53"/>
    <n v="57.41"/>
    <n v="68.55"/>
    <n v="693.27"/>
    <n v="-11.14"/>
  </r>
  <r>
    <x v="12"/>
    <x v="1"/>
    <x v="0"/>
    <s v="5626200"/>
    <n v="730040"/>
    <s v="LT Lease-Real Estate"/>
    <s v="Surprise Lake-Shared Svc"/>
    <x v="0"/>
    <m/>
    <n v="0"/>
    <n v="0"/>
    <n v="0"/>
    <n v="0"/>
    <n v="0"/>
    <n v="0"/>
    <n v="0"/>
    <n v="0"/>
    <n v="0"/>
    <n v="0"/>
    <n v="0"/>
    <n v="11824.95"/>
    <n v="11824.95"/>
    <n v="-11824.95"/>
  </r>
  <r>
    <x v="15"/>
    <x v="1"/>
    <x v="0"/>
    <s v="5626200"/>
    <n v="731060"/>
    <s v="Pagers"/>
    <s v="Surprise Lake-Shared Svc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5"/>
    <x v="1"/>
    <x v="0"/>
    <s v="5626200"/>
    <n v="731090"/>
    <s v="Other Utilities"/>
    <s v="Surprise Lake-Shared Svc"/>
    <x v="0"/>
    <m/>
    <n v="66.08"/>
    <n v="56.08"/>
    <n v="56.08"/>
    <n v="56.06"/>
    <n v="56.02"/>
    <n v="56.02"/>
    <n v="56.02"/>
    <n v="56.02"/>
    <n v="56.02"/>
    <n v="56.02"/>
    <n v="56.36"/>
    <n v="56.36"/>
    <n v="683.14"/>
    <n v="0"/>
  </r>
  <r>
    <x v="16"/>
    <x v="1"/>
    <x v="0"/>
    <s v="5626200"/>
    <n v="732030"/>
    <s v="Repairs---Other"/>
    <s v="Surprise Lake-Shared Svc"/>
    <x v="0"/>
    <m/>
    <n v="0"/>
    <n v="0"/>
    <n v="0"/>
    <n v="38.5"/>
    <n v="0"/>
    <n v="278.3"/>
    <n v="2314.8000000000002"/>
    <n v="0"/>
    <n v="0"/>
    <n v="0"/>
    <n v="0"/>
    <n v="76.94"/>
    <n v="2708.5400000000004"/>
    <n v="-76.94"/>
  </r>
  <r>
    <x v="13"/>
    <x v="1"/>
    <x v="0"/>
    <s v="5626200"/>
    <n v="735070"/>
    <s v="Depreciation-Movable Equipment"/>
    <s v="Surprise Lake-Shared Svc"/>
    <x v="0"/>
    <m/>
    <n v="679.76"/>
    <n v="679.76"/>
    <n v="679.77"/>
    <n v="679.76"/>
    <n v="679.77"/>
    <n v="679.76"/>
    <n v="679.78"/>
    <n v="679.76"/>
    <n v="679.79"/>
    <n v="679.76"/>
    <n v="679.8"/>
    <n v="679.76"/>
    <n v="8157.2300000000005"/>
    <n v="3.999999999996362E-2"/>
  </r>
  <r>
    <x v="0"/>
    <x v="1"/>
    <x v="0"/>
    <s v="5626200"/>
    <n v="740020"/>
    <s v="Education-Registration Fees"/>
    <s v="Surprise Lake-Shared Svc"/>
    <x v="0"/>
    <m/>
    <n v="0"/>
    <n v="0"/>
    <n v="0"/>
    <n v="0"/>
    <n v="0"/>
    <n v="0"/>
    <n v="0"/>
    <n v="0"/>
    <n v="0"/>
    <n v="0"/>
    <n v="550"/>
    <n v="0"/>
    <n v="550"/>
    <n v="550"/>
  </r>
  <r>
    <x v="0"/>
    <x v="1"/>
    <x v="0"/>
    <s v="5626200"/>
    <n v="742040"/>
    <s v="Freight-Other"/>
    <s v="Surprise Lake-Shared Svc"/>
    <x v="0"/>
    <m/>
    <n v="0"/>
    <n v="0"/>
    <n v="0"/>
    <n v="27.63"/>
    <n v="0"/>
    <n v="0"/>
    <n v="0"/>
    <n v="0"/>
    <n v="0"/>
    <n v="0"/>
    <n v="0"/>
    <n v="27.64"/>
    <n v="55.269999999999996"/>
    <n v="-27.64"/>
  </r>
  <r>
    <x v="0"/>
    <x v="1"/>
    <x v="0"/>
    <s v="5626200"/>
    <n v="743020"/>
    <s v="Provider-Dues"/>
    <s v="Surprise Lake-Shared Svc"/>
    <x v="0"/>
    <n v="2200"/>
    <n v="0"/>
    <n v="0"/>
    <n v="0"/>
    <n v="840"/>
    <n v="0"/>
    <n v="0"/>
    <n v="0"/>
    <n v="0"/>
    <n v="0"/>
    <n v="0"/>
    <n v="0"/>
    <n v="0"/>
    <n v="840"/>
    <n v="0"/>
  </r>
  <r>
    <x v="0"/>
    <x v="1"/>
    <x v="0"/>
    <s v="5626200"/>
    <n v="749510"/>
    <s v="Miscellaneous Expenses"/>
    <s v="Surprise Lake-Shared Svc"/>
    <x v="0"/>
    <m/>
    <n v="0"/>
    <n v="0"/>
    <n v="0"/>
    <n v="0"/>
    <n v="0"/>
    <n v="0"/>
    <n v="0"/>
    <n v="0"/>
    <n v="0"/>
    <n v="317.5"/>
    <n v="798.94"/>
    <n v="0"/>
    <n v="1116.44"/>
    <n v="798.94"/>
  </r>
  <r>
    <x v="0"/>
    <x v="1"/>
    <x v="0"/>
    <s v="5626200"/>
    <n v="749510"/>
    <s v="Licenses"/>
    <s v="Surprise Lake-Shared Svc"/>
    <x v="0"/>
    <n v="1002"/>
    <n v="0"/>
    <n v="0"/>
    <n v="265"/>
    <n v="0"/>
    <n v="0"/>
    <n v="489"/>
    <n v="117.5"/>
    <n v="0"/>
    <n v="0"/>
    <n v="0"/>
    <n v="0"/>
    <n v="0"/>
    <n v="871.5"/>
    <n v="0"/>
  </r>
  <r>
    <x v="0"/>
    <x v="1"/>
    <x v="0"/>
    <s v="5626200"/>
    <n v="749550"/>
    <s v="Cash Over/Short"/>
    <s v="Surprise Lake-Shared Svc"/>
    <x v="0"/>
    <m/>
    <n v="0"/>
    <n v="-4"/>
    <n v="0"/>
    <n v="10"/>
    <n v="0"/>
    <n v="-0.5"/>
    <n v="0"/>
    <n v="0"/>
    <n v="4"/>
    <n v="5.52"/>
    <n v="-5"/>
    <n v="0"/>
    <n v="10.02"/>
    <n v="-5"/>
  </r>
  <r>
    <x v="0"/>
    <x v="1"/>
    <x v="0"/>
    <s v="5626200"/>
    <n v="766010"/>
    <s v="Property Tax"/>
    <s v="Surprise Lake-Shared Svc"/>
    <x v="0"/>
    <m/>
    <n v="17.93"/>
    <n v="17.93"/>
    <n v="17.93"/>
    <n v="17.93"/>
    <n v="17.93"/>
    <n v="17.93"/>
    <n v="17.93"/>
    <n v="17.93"/>
    <n v="17.93"/>
    <n v="4.9000000000000004"/>
    <n v="14.67"/>
    <n v="14.67"/>
    <n v="195.61"/>
    <n v="0"/>
  </r>
  <r>
    <x v="7"/>
    <x v="1"/>
    <x v="0"/>
    <s v="5627200"/>
    <n v="718050"/>
    <s v="Document Shredding/Storage"/>
    <s v="All-Family Medicine"/>
    <x v="0"/>
    <n v="1012"/>
    <n v="13.95"/>
    <n v="51.99"/>
    <n v="41.31"/>
    <n v="33.049999999999997"/>
    <n v="20.399999999999999"/>
    <n v="14.06"/>
    <n v="13.91"/>
    <n v="12.02"/>
    <n v="20.81"/>
    <n v="4.08"/>
    <n v="18.61"/>
    <n v="9.0399999999999991"/>
    <n v="253.23000000000005"/>
    <n v="9.57"/>
  </r>
  <r>
    <x v="11"/>
    <x v="1"/>
    <x v="0"/>
    <s v="5627200"/>
    <n v="721250"/>
    <s v="Supplies-Pharmacy Drugs - Billable"/>
    <s v="All-Family Medicine"/>
    <x v="0"/>
    <m/>
    <n v="0"/>
    <n v="0"/>
    <n v="0"/>
    <n v="0"/>
    <n v="0"/>
    <n v="0"/>
    <n v="0"/>
    <n v="0"/>
    <n v="0"/>
    <n v="0"/>
    <n v="0"/>
    <n v="9725.6299999999992"/>
    <n v="9725.6299999999992"/>
    <n v="-9725.6299999999992"/>
  </r>
  <r>
    <x v="11"/>
    <x v="1"/>
    <x v="0"/>
    <s v="5627200"/>
    <n v="721410"/>
    <s v="Supplies-Medical - Nonbillable"/>
    <s v="All-Family Medicine"/>
    <x v="0"/>
    <m/>
    <n v="0"/>
    <n v="0"/>
    <n v="0"/>
    <n v="0"/>
    <n v="0"/>
    <n v="0"/>
    <n v="0"/>
    <n v="0"/>
    <n v="0"/>
    <n v="0"/>
    <n v="0"/>
    <n v="555.59"/>
    <n v="555.59"/>
    <n v="-555.59"/>
  </r>
  <r>
    <x v="13"/>
    <x v="1"/>
    <x v="0"/>
    <s v="5627200"/>
    <n v="735070"/>
    <s v="Depreciation-Movable Equipment"/>
    <s v="All-Family Medicine"/>
    <x v="0"/>
    <m/>
    <n v="0"/>
    <n v="0"/>
    <n v="0"/>
    <n v="0"/>
    <n v="0"/>
    <n v="0"/>
    <n v="0"/>
    <n v="0"/>
    <n v="0"/>
    <n v="299.10000000000002"/>
    <n v="299.10000000000002"/>
    <n v="299.08999999999997"/>
    <n v="897.29"/>
    <n v="1.0000000000047748E-2"/>
  </r>
  <r>
    <x v="5"/>
    <x v="1"/>
    <x v="0"/>
    <s v="5628200"/>
    <n v="700014"/>
    <s v="Salaries-Management-Productive"/>
    <s v="Port Orchard-Shared Svc"/>
    <x v="0"/>
    <m/>
    <n v="3247.44"/>
    <n v="3556.72"/>
    <n v="2938.16"/>
    <n v="3661.12"/>
    <n v="3529.68"/>
    <n v="3369.24"/>
    <n v="3695.78"/>
    <n v="3213.52"/>
    <n v="18983.37"/>
    <n v="3534.4"/>
    <n v="2417.17"/>
    <n v="2731.49"/>
    <n v="54878.09"/>
    <n v="-314.31999999999971"/>
  </r>
  <r>
    <x v="5"/>
    <x v="1"/>
    <x v="0"/>
    <s v="5628200"/>
    <n v="700018"/>
    <s v="Salaries-Supervisory-Productive"/>
    <s v="Port Orchard-Shared Svc"/>
    <x v="0"/>
    <m/>
    <n v="4723.5"/>
    <n v="8438.9"/>
    <n v="1337.84"/>
    <n v="3274.03"/>
    <n v="3150.05"/>
    <n v="1980.71"/>
    <n v="3130.88"/>
    <n v="2867.89"/>
    <n v="20070.509999999998"/>
    <n v="-13904.53"/>
    <n v="3298.08"/>
    <n v="2628.9"/>
    <n v="40996.76"/>
    <n v="669.17999999999984"/>
  </r>
  <r>
    <x v="5"/>
    <x v="1"/>
    <x v="0"/>
    <s v="5628200"/>
    <n v="700026"/>
    <s v="Salaries-RN-Productive"/>
    <s v="Port Orchard-Shared Svc"/>
    <x v="0"/>
    <m/>
    <n v="0"/>
    <n v="0"/>
    <n v="0"/>
    <n v="0"/>
    <n v="0"/>
    <n v="0"/>
    <n v="0"/>
    <n v="0"/>
    <n v="35668"/>
    <n v="-35668"/>
    <n v="0"/>
    <n v="0"/>
    <n v="0"/>
    <n v="0"/>
  </r>
  <r>
    <x v="5"/>
    <x v="1"/>
    <x v="0"/>
    <s v="5628200"/>
    <n v="700026"/>
    <s v="Salaries-RN-OT"/>
    <s v="Port Orchard-Shared Svc"/>
    <x v="0"/>
    <n v="1000"/>
    <n v="0"/>
    <n v="0"/>
    <n v="0"/>
    <n v="0"/>
    <n v="0"/>
    <n v="0"/>
    <n v="0"/>
    <n v="0"/>
    <n v="78.23"/>
    <n v="-78.23"/>
    <n v="0"/>
    <n v="0"/>
    <n v="0"/>
    <n v="0"/>
  </r>
  <r>
    <x v="5"/>
    <x v="1"/>
    <x v="0"/>
    <s v="5628200"/>
    <n v="700026"/>
    <s v="Salaries-RN-Other"/>
    <s v="Port Orchard-Shared Svc"/>
    <x v="0"/>
    <n v="2000"/>
    <n v="0"/>
    <n v="0"/>
    <n v="0"/>
    <n v="0"/>
    <n v="0"/>
    <n v="0"/>
    <n v="0"/>
    <n v="0"/>
    <n v="3041.17"/>
    <n v="-3041.17"/>
    <n v="0"/>
    <n v="0"/>
    <n v="0"/>
    <n v="0"/>
  </r>
  <r>
    <x v="5"/>
    <x v="1"/>
    <x v="0"/>
    <s v="5628200"/>
    <n v="700030"/>
    <s v="Salaries-LPN-Productive"/>
    <s v="Port Orchard-Shared Svc"/>
    <x v="0"/>
    <m/>
    <n v="0"/>
    <n v="0"/>
    <n v="0"/>
    <n v="0"/>
    <n v="0"/>
    <n v="279.18"/>
    <n v="0"/>
    <n v="0"/>
    <n v="58909.25"/>
    <n v="-58909.25"/>
    <n v="0"/>
    <n v="0"/>
    <n v="279.18000000000029"/>
    <n v="0"/>
  </r>
  <r>
    <x v="5"/>
    <x v="1"/>
    <x v="0"/>
    <s v="5628200"/>
    <n v="700030"/>
    <s v="Salaries-LPN-OT"/>
    <s v="Port Orchard-Shared Svc"/>
    <x v="0"/>
    <n v="1000"/>
    <n v="0"/>
    <n v="0"/>
    <n v="0"/>
    <n v="0"/>
    <n v="0"/>
    <n v="0"/>
    <n v="0"/>
    <n v="0"/>
    <n v="998.6"/>
    <n v="-998.6"/>
    <n v="0"/>
    <n v="0"/>
    <n v="0"/>
    <n v="0"/>
  </r>
  <r>
    <x v="5"/>
    <x v="1"/>
    <x v="0"/>
    <s v="5628200"/>
    <n v="700030"/>
    <s v="Salaries-LPN-Other"/>
    <s v="Port Orchard-Shared Svc"/>
    <x v="0"/>
    <n v="2000"/>
    <n v="0"/>
    <n v="0"/>
    <n v="0"/>
    <n v="0"/>
    <n v="0"/>
    <n v="0"/>
    <n v="0"/>
    <n v="0"/>
    <n v="1747.01"/>
    <n v="-1747.01"/>
    <n v="0"/>
    <n v="0"/>
    <n v="0"/>
    <n v="0"/>
  </r>
  <r>
    <x v="5"/>
    <x v="1"/>
    <x v="0"/>
    <s v="5628200"/>
    <n v="700032"/>
    <s v="Salaries-Other Pat Care Providers-Productive"/>
    <s v="Port Orchard-Shared Svc"/>
    <x v="0"/>
    <m/>
    <n v="0"/>
    <n v="0"/>
    <n v="0"/>
    <n v="0"/>
    <n v="0"/>
    <n v="0"/>
    <n v="0"/>
    <n v="0"/>
    <n v="6822.18"/>
    <n v="-6822.18"/>
    <n v="0"/>
    <n v="0"/>
    <n v="0"/>
    <n v="0"/>
  </r>
  <r>
    <x v="5"/>
    <x v="1"/>
    <x v="0"/>
    <s v="5628200"/>
    <n v="700032"/>
    <s v="Salaries-Other Pat Care Providers-Other"/>
    <s v="Port Orchard-Shared Svc"/>
    <x v="0"/>
    <n v="2000"/>
    <n v="0"/>
    <n v="0"/>
    <n v="0"/>
    <n v="0"/>
    <n v="0"/>
    <n v="0"/>
    <n v="0"/>
    <n v="0"/>
    <n v="164.38"/>
    <n v="-164.38"/>
    <n v="0"/>
    <n v="0"/>
    <n v="0"/>
    <n v="0"/>
  </r>
  <r>
    <x v="5"/>
    <x v="1"/>
    <x v="0"/>
    <s v="5628200"/>
    <n v="700034"/>
    <s v="Salaries-Tech/Professional-Productive"/>
    <s v="Port Orchard-Shared Svc"/>
    <x v="0"/>
    <m/>
    <n v="0"/>
    <n v="0"/>
    <n v="0"/>
    <n v="0"/>
    <n v="0"/>
    <n v="0"/>
    <n v="0"/>
    <n v="0"/>
    <n v="31146.99"/>
    <n v="-31146.99"/>
    <n v="0"/>
    <n v="0"/>
    <n v="0"/>
    <n v="0"/>
  </r>
  <r>
    <x v="5"/>
    <x v="1"/>
    <x v="0"/>
    <s v="5628200"/>
    <n v="700034"/>
    <s v="Salaries-Tech/Professional-OT"/>
    <s v="Port Orchard-Shared Svc"/>
    <x v="0"/>
    <n v="1000"/>
    <n v="0"/>
    <n v="0"/>
    <n v="0"/>
    <n v="0"/>
    <n v="0"/>
    <n v="0"/>
    <n v="0"/>
    <n v="0"/>
    <n v="828.15"/>
    <n v="-828.15"/>
    <n v="0"/>
    <n v="0"/>
    <n v="0"/>
    <n v="0"/>
  </r>
  <r>
    <x v="5"/>
    <x v="1"/>
    <x v="0"/>
    <s v="5628200"/>
    <n v="700034"/>
    <s v="Salaries-Tech/Professional-Other"/>
    <s v="Port Orchard-Shared Svc"/>
    <x v="0"/>
    <n v="2000"/>
    <n v="0"/>
    <n v="0"/>
    <n v="0"/>
    <n v="0"/>
    <n v="0"/>
    <n v="0"/>
    <n v="0"/>
    <n v="0"/>
    <n v="1766.94"/>
    <n v="-1766.94"/>
    <n v="0"/>
    <n v="0"/>
    <n v="0"/>
    <n v="0"/>
  </r>
  <r>
    <x v="5"/>
    <x v="1"/>
    <x v="0"/>
    <s v="5628200"/>
    <n v="700038"/>
    <s v="Salaries-Service/Support-Productive"/>
    <s v="Port Orchard-Shared Svc"/>
    <x v="0"/>
    <m/>
    <n v="32065.03"/>
    <n v="33923.760000000002"/>
    <n v="31809.74"/>
    <n v="38917.93"/>
    <n v="37204.769999999997"/>
    <n v="27571.56"/>
    <n v="38404.58"/>
    <n v="25989.73"/>
    <n v="73152.83"/>
    <n v="-3770.18"/>
    <n v="38413.31"/>
    <n v="28268.91"/>
    <n v="401951.97"/>
    <n v="10144.399999999998"/>
  </r>
  <r>
    <x v="5"/>
    <x v="1"/>
    <x v="0"/>
    <s v="5628200"/>
    <n v="700038"/>
    <s v="Salaries-Service/Support-OT"/>
    <s v="Port Orchard-Shared Svc"/>
    <x v="0"/>
    <n v="1000"/>
    <n v="549.26"/>
    <n v="977.35"/>
    <n v="700.97"/>
    <n v="302.91000000000003"/>
    <n v="702.38"/>
    <n v="354.24"/>
    <n v="243.63"/>
    <n v="177.09"/>
    <n v="483.15"/>
    <n v="139.16"/>
    <n v="634.91999999999996"/>
    <n v="199.21"/>
    <n v="5464.2699999999995"/>
    <n v="435.70999999999992"/>
  </r>
  <r>
    <x v="5"/>
    <x v="1"/>
    <x v="0"/>
    <s v="5628200"/>
    <n v="700038"/>
    <s v="Salaries-Service/Support-Other"/>
    <s v="Port Orchard-Shared Svc"/>
    <x v="0"/>
    <n v="2000"/>
    <n v="0"/>
    <n v="0"/>
    <n v="30"/>
    <n v="0"/>
    <n v="0"/>
    <n v="0"/>
    <n v="0"/>
    <n v="1.4"/>
    <n v="2394.25"/>
    <n v="-2394.65"/>
    <n v="0"/>
    <n v="0"/>
    <n v="31"/>
    <n v="0"/>
  </r>
  <r>
    <x v="5"/>
    <x v="1"/>
    <x v="0"/>
    <s v="5628200"/>
    <n v="700054"/>
    <s v="Salaries-Management-Non-productive"/>
    <s v="Port Orchard-Shared Svc"/>
    <x v="0"/>
    <m/>
    <n v="309.27999999999997"/>
    <n v="0"/>
    <n v="309.27999999999997"/>
    <n v="0"/>
    <n v="0"/>
    <n v="0"/>
    <n v="0"/>
    <n v="0"/>
    <n v="7372.06"/>
    <n v="1871.48"/>
    <n v="699.81"/>
    <n v="964.04"/>
    <n v="11525.95"/>
    <n v="-264.23"/>
  </r>
  <r>
    <x v="5"/>
    <x v="1"/>
    <x v="0"/>
    <s v="5628200"/>
    <n v="700054"/>
    <s v="Salaries-Management-NonProd-Other"/>
    <s v="Port Orchard-Shared Svc"/>
    <x v="0"/>
    <n v="2000"/>
    <n v="0"/>
    <n v="0"/>
    <n v="0"/>
    <n v="0"/>
    <n v="0"/>
    <n v="1339.43"/>
    <n v="-1339.43"/>
    <n v="0"/>
    <n v="140.63999999999999"/>
    <n v="0"/>
    <n v="0"/>
    <n v="0"/>
    <n v="140.63999999999999"/>
    <n v="0"/>
  </r>
  <r>
    <x v="5"/>
    <x v="1"/>
    <x v="0"/>
    <s v="5628200"/>
    <n v="700058"/>
    <s v="Salaries-Supervisory-Non-productive"/>
    <s v="Port Orchard-Shared Svc"/>
    <x v="0"/>
    <m/>
    <n v="5544.96"/>
    <n v="1124.56"/>
    <n v="1450.68"/>
    <n v="-116.12"/>
    <n v="0"/>
    <n v="1288.6500000000001"/>
    <n v="143.55000000000001"/>
    <n v="669.18"/>
    <n v="3530.7"/>
    <n v="-3721.89"/>
    <n v="478"/>
    <n v="477.99"/>
    <n v="10870.26"/>
    <n v="9.9999999999909051E-3"/>
  </r>
  <r>
    <x v="5"/>
    <x v="1"/>
    <x v="0"/>
    <s v="5628200"/>
    <n v="700066"/>
    <s v="Salaries-RN-Non-productive"/>
    <s v="Port Orchard-Shared Svc"/>
    <x v="0"/>
    <m/>
    <n v="0"/>
    <n v="0"/>
    <n v="0"/>
    <n v="0"/>
    <n v="0"/>
    <n v="0"/>
    <n v="0"/>
    <n v="0"/>
    <n v="315.43"/>
    <n v="-315.43"/>
    <n v="0"/>
    <n v="0"/>
    <n v="0"/>
    <n v="0"/>
  </r>
  <r>
    <x v="5"/>
    <x v="1"/>
    <x v="0"/>
    <s v="5628200"/>
    <n v="700066"/>
    <s v="Salaries-RN-NonProd-Other"/>
    <s v="Port Orchard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28200"/>
    <n v="700070"/>
    <s v="Salaries-LPN-Non-productive"/>
    <s v="Port Orchard-Shared Svc"/>
    <x v="0"/>
    <m/>
    <n v="0"/>
    <n v="0"/>
    <n v="0"/>
    <n v="0"/>
    <n v="0"/>
    <n v="0"/>
    <n v="0"/>
    <n v="0"/>
    <n v="11334.03"/>
    <n v="-11334.03"/>
    <n v="0"/>
    <n v="0"/>
    <n v="0"/>
    <n v="0"/>
  </r>
  <r>
    <x v="5"/>
    <x v="1"/>
    <x v="0"/>
    <s v="5628200"/>
    <n v="700070"/>
    <s v="Salaries-LPN-NonProd-Other"/>
    <s v="Port Orchard-Shared Svc"/>
    <x v="0"/>
    <n v="2000"/>
    <n v="0"/>
    <n v="0"/>
    <n v="0"/>
    <n v="0"/>
    <n v="0"/>
    <n v="0"/>
    <n v="0"/>
    <n v="0"/>
    <n v="299.56"/>
    <n v="-299.56"/>
    <n v="0"/>
    <n v="0"/>
    <n v="0"/>
    <n v="0"/>
  </r>
  <r>
    <x v="5"/>
    <x v="1"/>
    <x v="0"/>
    <s v="5628200"/>
    <n v="700074"/>
    <s v="Salaries-Tech/Professional-Non-productive"/>
    <s v="Port Orchard-Shared Svc"/>
    <x v="0"/>
    <m/>
    <n v="0"/>
    <n v="0"/>
    <n v="0"/>
    <n v="0"/>
    <n v="0"/>
    <n v="0"/>
    <n v="0"/>
    <n v="0"/>
    <n v="3852.31"/>
    <n v="-3852.31"/>
    <n v="0"/>
    <n v="0"/>
    <n v="0"/>
    <n v="0"/>
  </r>
  <r>
    <x v="5"/>
    <x v="1"/>
    <x v="0"/>
    <s v="5628200"/>
    <n v="700074"/>
    <s v="Salaries-Tech/Professional-NonProd-Other"/>
    <s v="Port Orchard-Shared Svc"/>
    <x v="0"/>
    <n v="2000"/>
    <n v="0"/>
    <n v="0"/>
    <n v="0"/>
    <n v="0"/>
    <n v="0"/>
    <n v="0"/>
    <n v="0"/>
    <n v="0"/>
    <n v="60.77"/>
    <n v="-60.77"/>
    <n v="0"/>
    <n v="0"/>
    <n v="0"/>
    <n v="0"/>
  </r>
  <r>
    <x v="5"/>
    <x v="1"/>
    <x v="0"/>
    <s v="5628200"/>
    <n v="700078"/>
    <s v="Salaries-Service/Support-Non-productive"/>
    <s v="Port Orchard-Shared Svc"/>
    <x v="0"/>
    <m/>
    <n v="5031.84"/>
    <n v="2560.7199999999998"/>
    <n v="3923.91"/>
    <n v="1641.28"/>
    <n v="774.68"/>
    <n v="8822.5499999999993"/>
    <n v="3385.08"/>
    <n v="8447.64"/>
    <n v="5549.08"/>
    <n v="-2085.14"/>
    <n v="456.7"/>
    <n v="4147.5600000000004"/>
    <n v="42655.899999999994"/>
    <n v="-3690.8600000000006"/>
  </r>
  <r>
    <x v="5"/>
    <x v="1"/>
    <x v="0"/>
    <s v="5628200"/>
    <n v="700078"/>
    <s v="Salaries-Service/Support-NonProd-Other"/>
    <s v="Port Orchard-Shared Svc"/>
    <x v="0"/>
    <n v="2000"/>
    <n v="0"/>
    <n v="0"/>
    <n v="0"/>
    <n v="0"/>
    <n v="704.98"/>
    <n v="1409.96"/>
    <n v="0"/>
    <n v="-2114.94"/>
    <n v="3.39"/>
    <n v="-3.39"/>
    <n v="0"/>
    <n v="0"/>
    <n v="0"/>
    <n v="0"/>
  </r>
  <r>
    <x v="5"/>
    <x v="1"/>
    <x v="0"/>
    <s v="5628200"/>
    <n v="700084"/>
    <s v="Accrued PTO"/>
    <s v="Port Orchard-Shared Svc"/>
    <x v="0"/>
    <m/>
    <n v="-3698.53"/>
    <n v="-468.09"/>
    <n v="-782"/>
    <n v="4075.41"/>
    <n v="2686.55"/>
    <n v="-2574.61"/>
    <n v="-95.8"/>
    <n v="-1097.92"/>
    <n v="-734.95"/>
    <n v="2564.5100000000002"/>
    <n v="1858.33"/>
    <n v="811.3"/>
    <n v="2544.1999999999998"/>
    <n v="1047.03"/>
  </r>
  <r>
    <x v="10"/>
    <x v="1"/>
    <x v="0"/>
    <s v="5628200"/>
    <n v="710060"/>
    <s v="Contract Labor-Other"/>
    <s v="Port Orchard-Shared Svc"/>
    <x v="0"/>
    <m/>
    <n v="0"/>
    <n v="0"/>
    <n v="0"/>
    <n v="0"/>
    <n v="0"/>
    <n v="0"/>
    <n v="0"/>
    <n v="0"/>
    <n v="0"/>
    <n v="0"/>
    <n v="11252"/>
    <n v="0"/>
    <n v="11252"/>
    <n v="11252"/>
  </r>
  <r>
    <x v="6"/>
    <x v="1"/>
    <x v="0"/>
    <s v="5628200"/>
    <n v="713010"/>
    <s v="Benefits-FICA/Medicare"/>
    <s v="Port Orchard-Shared Svc"/>
    <x v="0"/>
    <m/>
    <n v="3798.26"/>
    <n v="3731.63"/>
    <n v="3122.75"/>
    <n v="3487.38"/>
    <n v="3484.9"/>
    <n v="3368.71"/>
    <n v="3702.8"/>
    <n v="3042.21"/>
    <n v="3163.75"/>
    <n v="3632.36"/>
    <n v="3417.29"/>
    <n v="2887.14"/>
    <n v="40839.18"/>
    <n v="530.15000000000009"/>
  </r>
  <r>
    <x v="6"/>
    <x v="1"/>
    <x v="0"/>
    <s v="5628200"/>
    <n v="713090"/>
    <s v="Benefits-Allocated Amounts"/>
    <s v="Port Orchard-Shared Svc"/>
    <x v="0"/>
    <m/>
    <n v="13895.7"/>
    <n v="12005.03"/>
    <n v="12903.55"/>
    <n v="13152.13"/>
    <n v="12493.21"/>
    <n v="12722.56"/>
    <n v="15009.16"/>
    <n v="13738.16"/>
    <n v="70328.42"/>
    <n v="-40108.67"/>
    <n v="13096.14"/>
    <n v="12814.61"/>
    <n v="162050"/>
    <n v="281.52999999999884"/>
  </r>
  <r>
    <x v="6"/>
    <x v="1"/>
    <x v="0"/>
    <s v="5628200"/>
    <n v="713096"/>
    <s v="Employee Recognition"/>
    <s v="Port Orchard-Shared Svc"/>
    <x v="0"/>
    <n v="1017"/>
    <n v="0"/>
    <n v="128.94"/>
    <n v="151.4"/>
    <n v="0"/>
    <n v="27.98"/>
    <n v="0"/>
    <n v="0"/>
    <n v="0"/>
    <n v="55.57"/>
    <n v="684.62"/>
    <n v="103.62"/>
    <n v="343.13"/>
    <n v="1495.2600000000002"/>
    <n v="-239.51"/>
  </r>
  <r>
    <x v="7"/>
    <x v="1"/>
    <x v="0"/>
    <s v="5628200"/>
    <n v="718010"/>
    <s v="Media/Print Advertising"/>
    <s v="Port Orchard-Shared Svc"/>
    <x v="0"/>
    <n v="1004"/>
    <n v="278.45999999999998"/>
    <n v="355.3"/>
    <n v="563.6"/>
    <n v="625.97"/>
    <n v="153.84"/>
    <n v="258.60000000000002"/>
    <n v="576.16"/>
    <n v="276.95"/>
    <n v="0"/>
    <n v="563.61"/>
    <n v="665.7"/>
    <n v="-25.8"/>
    <n v="4292.3899999999994"/>
    <n v="691.5"/>
  </r>
  <r>
    <x v="7"/>
    <x v="1"/>
    <x v="0"/>
    <s v="5628200"/>
    <n v="718050"/>
    <s v="Contract Svcs-Other"/>
    <s v="Port Orchard-Shared Svc"/>
    <x v="0"/>
    <m/>
    <n v="0"/>
    <n v="155.32"/>
    <n v="0"/>
    <n v="1931.86"/>
    <n v="0"/>
    <n v="4037"/>
    <n v="0"/>
    <n v="0"/>
    <n v="144"/>
    <n v="0"/>
    <n v="0"/>
    <n v="0"/>
    <n v="6268.18"/>
    <n v="0"/>
  </r>
  <r>
    <x v="7"/>
    <x v="1"/>
    <x v="0"/>
    <s v="5628200"/>
    <n v="718050"/>
    <s v="Management Fees"/>
    <s v="Port Orchard-Shared Svc"/>
    <x v="0"/>
    <n v="1004"/>
    <n v="0"/>
    <n v="0"/>
    <n v="0"/>
    <n v="0"/>
    <n v="0"/>
    <n v="0"/>
    <n v="0"/>
    <n v="0"/>
    <n v="0"/>
    <n v="0"/>
    <n v="0"/>
    <n v="174.77"/>
    <n v="174.77"/>
    <n v="-174.77"/>
  </r>
  <r>
    <x v="7"/>
    <x v="1"/>
    <x v="0"/>
    <s v="5628200"/>
    <n v="718050"/>
    <s v="Cleaning Services"/>
    <s v="Port Orchard-Shared Svc"/>
    <x v="0"/>
    <n v="1011"/>
    <n v="0"/>
    <n v="0"/>
    <n v="525"/>
    <n v="0"/>
    <n v="0"/>
    <n v="0"/>
    <n v="0"/>
    <n v="0"/>
    <n v="0"/>
    <n v="0"/>
    <n v="0"/>
    <n v="0"/>
    <n v="525"/>
    <n v="0"/>
  </r>
  <r>
    <x v="7"/>
    <x v="1"/>
    <x v="0"/>
    <s v="5628200"/>
    <n v="718050"/>
    <s v="Document Shredding/Storage"/>
    <s v="Port Orchard-Shared Svc"/>
    <x v="0"/>
    <n v="1012"/>
    <n v="264.39"/>
    <n v="120.77"/>
    <n v="262.41000000000003"/>
    <n v="238.83"/>
    <n v="222.52"/>
    <n v="169.85"/>
    <n v="168.15"/>
    <n v="123.66"/>
    <n v="166.97"/>
    <n v="356.66"/>
    <n v="243.42"/>
    <n v="45.44"/>
    <n v="2383.0700000000002"/>
    <n v="197.98"/>
  </r>
  <r>
    <x v="7"/>
    <x v="1"/>
    <x v="0"/>
    <s v="5628200"/>
    <n v="718050"/>
    <s v="Physician Answering"/>
    <s v="Port Orchard-Shared Svc"/>
    <x v="0"/>
    <n v="1015"/>
    <n v="336"/>
    <n v="0"/>
    <n v="544"/>
    <n v="448"/>
    <n v="256"/>
    <n v="0"/>
    <n v="400"/>
    <n v="144"/>
    <n v="384"/>
    <n v="416"/>
    <n v="0"/>
    <n v="1155"/>
    <n v="4083"/>
    <n v="-1155"/>
  </r>
  <r>
    <x v="7"/>
    <x v="1"/>
    <x v="0"/>
    <s v="5628200"/>
    <n v="718050"/>
    <s v="Miscellaneous Purchased Svcs"/>
    <s v="Port Orchard-Shared Svc"/>
    <x v="0"/>
    <n v="1020"/>
    <n v="187.97"/>
    <n v="6248.41"/>
    <n v="7847.98"/>
    <n v="4418.34"/>
    <n v="4302.9799999999996"/>
    <n v="4983.55"/>
    <n v="5830.69"/>
    <n v="4846.97"/>
    <n v="10578.18"/>
    <n v="5574.68"/>
    <n v="4997.29"/>
    <n v="6144.81"/>
    <n v="65961.850000000006"/>
    <n v="-1147.5200000000004"/>
  </r>
  <r>
    <x v="7"/>
    <x v="1"/>
    <x v="0"/>
    <s v="5628200"/>
    <n v="718050"/>
    <s v="Translation Services"/>
    <s v="Port Orchard-Shared Svc"/>
    <x v="0"/>
    <n v="1025"/>
    <n v="276.25"/>
    <n v="488"/>
    <n v="245"/>
    <n v="32"/>
    <n v="0"/>
    <n v="0"/>
    <n v="0"/>
    <n v="0"/>
    <n v="0"/>
    <n v="0"/>
    <n v="0"/>
    <n v="0"/>
    <n v="1041.25"/>
    <n v="0"/>
  </r>
  <r>
    <x v="7"/>
    <x v="1"/>
    <x v="0"/>
    <s v="5628200"/>
    <n v="718050"/>
    <s v="Contract Management--Linen"/>
    <s v="Port Orchard-Shared Svc"/>
    <x v="0"/>
    <n v="1026"/>
    <n v="135.81"/>
    <n v="1339"/>
    <n v="341.4"/>
    <n v="663.64"/>
    <n v="370.53"/>
    <n v="570.12"/>
    <n v="580.91"/>
    <n v="340.1"/>
    <n v="933.78"/>
    <n v="103.14"/>
    <n v="0"/>
    <n v="935.48"/>
    <n v="6313.91"/>
    <n v="-935.48"/>
  </r>
  <r>
    <x v="7"/>
    <x v="1"/>
    <x v="0"/>
    <s v="5628200"/>
    <n v="718050"/>
    <s v="Purchased Srvcs--Medical Waste"/>
    <s v="Port Orchard-Shared Svc"/>
    <x v="0"/>
    <n v="1027"/>
    <n v="10.36"/>
    <n v="1098.29"/>
    <n v="43.94"/>
    <n v="22.62"/>
    <n v="54.9"/>
    <n v="21.32"/>
    <n v="87.88"/>
    <n v="32.979999999999997"/>
    <n v="138.1"/>
    <n v="20.72"/>
    <n v="160.72"/>
    <n v="277.38"/>
    <n v="1969.21"/>
    <n v="-116.66"/>
  </r>
  <r>
    <x v="7"/>
    <x v="1"/>
    <x v="0"/>
    <s v="5628200"/>
    <n v="718070"/>
    <s v="Contract Srvcs-CHI Clinical Engineering"/>
    <s v="Port Orchard-Shared Svc"/>
    <x v="0"/>
    <m/>
    <n v="0"/>
    <n v="126.1"/>
    <n v="0"/>
    <n v="2436.65"/>
    <n v="1476.28"/>
    <n v="1540.48"/>
    <n v="1322.87"/>
    <n v="499.13"/>
    <n v="1106.93"/>
    <n v="2623.63"/>
    <n v="37.4"/>
    <n v="452.93"/>
    <n v="11622.4"/>
    <n v="-415.53000000000003"/>
  </r>
  <r>
    <x v="7"/>
    <x v="1"/>
    <x v="0"/>
    <s v="5628200"/>
    <n v="718077"/>
    <s v="PACS"/>
    <s v="Port Orchard-Shared Svc"/>
    <x v="0"/>
    <n v="1000"/>
    <n v="524.25"/>
    <n v="555.75"/>
    <n v="625.5"/>
    <n v="598.5"/>
    <n v="618.75"/>
    <n v="513"/>
    <n v="724.5"/>
    <n v="454.5"/>
    <n v="731.25"/>
    <n v="648"/>
    <n v="758.25"/>
    <n v="715.5"/>
    <n v="7467.75"/>
    <n v="42.75"/>
  </r>
  <r>
    <x v="11"/>
    <x v="1"/>
    <x v="0"/>
    <s v="5628200"/>
    <n v="721010"/>
    <s v="Supplies-Medical - Billable"/>
    <s v="Port Orchard-Shared Svc"/>
    <x v="0"/>
    <m/>
    <n v="1787.94"/>
    <n v="3390.4"/>
    <n v="5137.43"/>
    <n v="1262.6199999999999"/>
    <n v="2160.59"/>
    <n v="2338.75"/>
    <n v="3919.54"/>
    <n v="654.25"/>
    <n v="5964.73"/>
    <n v="440"/>
    <n v="10979.35"/>
    <n v="1047.53"/>
    <n v="39083.129999999997"/>
    <n v="9931.82"/>
  </r>
  <r>
    <x v="11"/>
    <x v="1"/>
    <x v="0"/>
    <s v="5628200"/>
    <n v="721020"/>
    <s v="Urological Supplies"/>
    <s v="Port Orchard-Shared Svc"/>
    <x v="0"/>
    <n v="1006"/>
    <n v="0"/>
    <n v="0"/>
    <n v="0"/>
    <n v="0"/>
    <n v="0"/>
    <n v="0"/>
    <n v="0"/>
    <n v="0"/>
    <n v="818.04"/>
    <n v="90.96"/>
    <n v="0"/>
    <n v="0"/>
    <n v="909"/>
    <n v="0"/>
  </r>
  <r>
    <x v="11"/>
    <x v="1"/>
    <x v="0"/>
    <s v="5628200"/>
    <n v="721150"/>
    <s v="Supplies-Other Implants - Billable"/>
    <s v="Port Orchard-Shared Svc"/>
    <x v="0"/>
    <m/>
    <n v="0"/>
    <n v="0"/>
    <n v="0"/>
    <n v="0"/>
    <n v="0"/>
    <n v="0"/>
    <n v="125"/>
    <n v="0"/>
    <n v="0"/>
    <n v="0"/>
    <n v="0"/>
    <n v="0"/>
    <n v="125"/>
    <n v="0"/>
  </r>
  <r>
    <x v="11"/>
    <x v="1"/>
    <x v="0"/>
    <s v="5628200"/>
    <n v="721150"/>
    <s v="Surgical Orthopedic"/>
    <s v="Port Orchard-Shared Svc"/>
    <x v="0"/>
    <n v="1000"/>
    <n v="0"/>
    <n v="0"/>
    <n v="0"/>
    <n v="0"/>
    <n v="0"/>
    <n v="0"/>
    <n v="218.24"/>
    <n v="0"/>
    <n v="605.59"/>
    <n v="0"/>
    <n v="145.4"/>
    <n v="0"/>
    <n v="969.23"/>
    <n v="145.4"/>
  </r>
  <r>
    <x v="11"/>
    <x v="1"/>
    <x v="0"/>
    <s v="5628200"/>
    <n v="721220"/>
    <s v="Supplies-Medical Gases - Billable"/>
    <s v="Port Orchard-Shared Svc"/>
    <x v="0"/>
    <m/>
    <n v="325.14999999999998"/>
    <n v="394.41"/>
    <n v="102.86"/>
    <n v="347.28"/>
    <n v="310.23"/>
    <n v="344.39"/>
    <n v="348.84"/>
    <n v="399.41"/>
    <n v="474.56"/>
    <n v="268.52"/>
    <n v="265.12"/>
    <n v="179.5"/>
    <n v="3760.2699999999995"/>
    <n v="85.62"/>
  </r>
  <r>
    <x v="11"/>
    <x v="1"/>
    <x v="0"/>
    <s v="5628200"/>
    <n v="721250"/>
    <s v="Supplies-Pharmacy Drugs - Billable"/>
    <s v="Port Orchard-Shared Svc"/>
    <x v="0"/>
    <m/>
    <n v="7819.37"/>
    <n v="18921.59"/>
    <n v="18595.740000000002"/>
    <n v="28672"/>
    <n v="33898.53"/>
    <n v="71527.28"/>
    <n v="24573.87"/>
    <n v="19504.25"/>
    <n v="13708.72"/>
    <n v="14027.96"/>
    <n v="-4500.49"/>
    <n v="6749.3"/>
    <n v="253498.12"/>
    <n v="-11249.79"/>
  </r>
  <r>
    <x v="11"/>
    <x v="1"/>
    <x v="0"/>
    <s v="5628200"/>
    <n v="721410"/>
    <s v="Supplies-Medical - Nonbillable"/>
    <s v="Port Orchard-Shared Svc"/>
    <x v="0"/>
    <m/>
    <n v="785.83"/>
    <n v="3707.77"/>
    <n v="2438.19"/>
    <n v="2123.31"/>
    <n v="2575.27"/>
    <n v="2139.9"/>
    <n v="1498.13"/>
    <n v="1026.01"/>
    <n v="1776.97"/>
    <n v="4057.2"/>
    <n v="2402.25"/>
    <n v="2768.39"/>
    <n v="27299.22"/>
    <n v="-366.13999999999987"/>
  </r>
  <r>
    <x v="11"/>
    <x v="1"/>
    <x v="0"/>
    <s v="5628200"/>
    <n v="721810"/>
    <s v="Supplies-Dietary/Cafeteria"/>
    <s v="Port Orchard-Shared Svc"/>
    <x v="0"/>
    <m/>
    <n v="0"/>
    <n v="300.5"/>
    <n v="0"/>
    <n v="185.85"/>
    <n v="0"/>
    <n v="0"/>
    <n v="0"/>
    <n v="0"/>
    <n v="0"/>
    <n v="0"/>
    <n v="0"/>
    <n v="0"/>
    <n v="486.35"/>
    <n v="0"/>
  </r>
  <r>
    <x v="11"/>
    <x v="1"/>
    <x v="0"/>
    <s v="5628200"/>
    <n v="721830"/>
    <s v="Supplies-Office"/>
    <s v="Port Orchard-Shared Svc"/>
    <x v="0"/>
    <m/>
    <n v="931.87"/>
    <n v="876.04"/>
    <n v="1082.57"/>
    <n v="945.45"/>
    <n v="1024.27"/>
    <n v="682.99"/>
    <n v="3077.4"/>
    <n v="315.73"/>
    <n v="-902.7"/>
    <n v="899.44"/>
    <n v="985.43"/>
    <n v="1199.71"/>
    <n v="11118.199999999997"/>
    <n v="-214.28000000000009"/>
  </r>
  <r>
    <x v="11"/>
    <x v="1"/>
    <x v="0"/>
    <s v="5628200"/>
    <n v="721835"/>
    <s v="Supplies-Forms"/>
    <s v="Port Orchard-Shared Svc"/>
    <x v="0"/>
    <m/>
    <n v="0"/>
    <n v="0"/>
    <n v="0"/>
    <n v="0"/>
    <n v="6.5"/>
    <n v="0.73"/>
    <n v="0.7"/>
    <n v="0"/>
    <n v="2.8"/>
    <n v="0"/>
    <n v="5.6"/>
    <n v="16.3"/>
    <n v="32.629999999999995"/>
    <n v="-10.700000000000001"/>
  </r>
  <r>
    <x v="11"/>
    <x v="1"/>
    <x v="0"/>
    <s v="5628200"/>
    <n v="721910"/>
    <s v="Supplies-Small Equipment"/>
    <s v="Port Orchard-Shared Svc"/>
    <x v="0"/>
    <m/>
    <n v="0"/>
    <n v="0"/>
    <n v="1077.6400000000001"/>
    <n v="2609.0300000000002"/>
    <n v="1149.95"/>
    <n v="21.51"/>
    <n v="0"/>
    <n v="538.04"/>
    <n v="208"/>
    <n v="94.64"/>
    <n v="2696.96"/>
    <n v="850"/>
    <n v="9245.77"/>
    <n v="1846.96"/>
  </r>
  <r>
    <x v="11"/>
    <x v="1"/>
    <x v="0"/>
    <s v="5628200"/>
    <n v="721980"/>
    <s v="Supplies-Other"/>
    <s v="Port Orchard-Shared Svc"/>
    <x v="0"/>
    <m/>
    <n v="0"/>
    <n v="411.87"/>
    <n v="175.33"/>
    <n v="59.95"/>
    <n v="0"/>
    <n v="0"/>
    <n v="465.53"/>
    <n v="132.4"/>
    <n v="1114.32"/>
    <n v="229.64"/>
    <n v="381.72"/>
    <n v="305.8"/>
    <n v="3276.5600000000004"/>
    <n v="75.920000000000016"/>
  </r>
  <r>
    <x v="11"/>
    <x v="1"/>
    <x v="0"/>
    <s v="5628200"/>
    <n v="722000"/>
    <s v="Supplies-Freight Expense"/>
    <s v="Port Orchard-Shared Svc"/>
    <x v="0"/>
    <m/>
    <n v="0"/>
    <n v="25.15"/>
    <n v="0"/>
    <n v="102.41"/>
    <n v="0"/>
    <n v="62.23"/>
    <n v="0"/>
    <n v="0"/>
    <n v="0"/>
    <n v="39.44"/>
    <n v="0"/>
    <n v="164.46"/>
    <n v="393.69"/>
    <n v="-164.46"/>
  </r>
  <r>
    <x v="12"/>
    <x v="1"/>
    <x v="0"/>
    <s v="5628200"/>
    <n v="730010"/>
    <s v="Rental and Leases-Building (DO NOT USE)"/>
    <s v="Port Orchard-Shared Svc"/>
    <x v="0"/>
    <m/>
    <n v="10375.959999999999"/>
    <n v="10375.959999999999"/>
    <n v="10375.959999999999"/>
    <n v="19734.61"/>
    <n v="75886.509999999995"/>
    <n v="-25313.51"/>
    <n v="11095.84"/>
    <n v="10821"/>
    <n v="10821"/>
    <n v="10821.01"/>
    <n v="10821.01"/>
    <n v="-44339.82"/>
    <n v="111475.53000000003"/>
    <n v="55160.83"/>
  </r>
  <r>
    <x v="12"/>
    <x v="1"/>
    <x v="0"/>
    <s v="5628200"/>
    <n v="730010"/>
    <s v="Rental-Common Area Maint (DO NOT USE)"/>
    <s v="Port Orchard-Shared Svc"/>
    <x v="0"/>
    <n v="2200"/>
    <n v="0"/>
    <n v="0"/>
    <n v="0"/>
    <n v="0"/>
    <n v="0"/>
    <n v="45181.55"/>
    <n v="9321.8799999999992"/>
    <n v="9321.8799999999992"/>
    <n v="9632.18"/>
    <n v="9632.18"/>
    <n v="9632.18"/>
    <n v="0"/>
    <n v="92721.849999999977"/>
    <n v="9632.18"/>
  </r>
  <r>
    <x v="12"/>
    <x v="1"/>
    <x v="0"/>
    <s v="5628200"/>
    <n v="730020"/>
    <s v="Rental and Leases-Copier Usage Fees (DO NOT USE)"/>
    <s v="Port Orchard-Shared Svc"/>
    <x v="0"/>
    <n v="5100"/>
    <n v="1313"/>
    <n v="1378.1"/>
    <n v="1345.55"/>
    <n v="1345.55"/>
    <n v="5911.41"/>
    <n v="2258.7199999999998"/>
    <n v="-7353.68"/>
    <n v="983.66"/>
    <n v="998.06"/>
    <n v="1607.08"/>
    <n v="972.44"/>
    <n v="1077.94"/>
    <n v="11837.83"/>
    <n v="-105.5"/>
  </r>
  <r>
    <x v="12"/>
    <x v="1"/>
    <x v="0"/>
    <s v="5628200"/>
    <n v="730040"/>
    <s v="LT Lease-Real Estate"/>
    <s v="Port Orchard-Shared Svc"/>
    <x v="0"/>
    <m/>
    <n v="0"/>
    <n v="0"/>
    <n v="0"/>
    <n v="0"/>
    <n v="0"/>
    <n v="0"/>
    <n v="0"/>
    <n v="0"/>
    <n v="0"/>
    <n v="0"/>
    <n v="0"/>
    <n v="20453.189999999999"/>
    <n v="20453.189999999999"/>
    <n v="-20453.189999999999"/>
  </r>
  <r>
    <x v="15"/>
    <x v="1"/>
    <x v="0"/>
    <s v="5628200"/>
    <n v="731020"/>
    <s v="Electricity"/>
    <s v="Port Orchard-Shared Svc"/>
    <x v="0"/>
    <m/>
    <n v="0"/>
    <n v="0"/>
    <n v="0"/>
    <n v="186.6"/>
    <n v="184.22"/>
    <n v="175.64"/>
    <n v="165.82"/>
    <n v="162.5"/>
    <n v="158.93"/>
    <n v="160.54"/>
    <n v="200.34"/>
    <n v="186.08"/>
    <n v="1580.6699999999998"/>
    <n v="14.259999999999991"/>
  </r>
  <r>
    <x v="15"/>
    <x v="1"/>
    <x v="0"/>
    <s v="5628200"/>
    <n v="731030"/>
    <s v="Water"/>
    <s v="Port Orchard-Shared Svc"/>
    <x v="0"/>
    <m/>
    <n v="0"/>
    <n v="0"/>
    <n v="0"/>
    <n v="0"/>
    <n v="9.93"/>
    <n v="0"/>
    <n v="0"/>
    <n v="0"/>
    <n v="0"/>
    <n v="0"/>
    <n v="0"/>
    <n v="0"/>
    <n v="9.93"/>
    <n v="0"/>
  </r>
  <r>
    <x v="15"/>
    <x v="1"/>
    <x v="0"/>
    <s v="5628200"/>
    <n v="731060"/>
    <s v="Telephone"/>
    <s v="Port Orchard-Shared Svc"/>
    <x v="0"/>
    <m/>
    <n v="59.62"/>
    <n v="117.94"/>
    <n v="5.16"/>
    <n v="55.88"/>
    <n v="2325.84"/>
    <n v="540.04999999999995"/>
    <n v="610.17999999999995"/>
    <n v="477.04"/>
    <n v="521.74"/>
    <n v="529.61"/>
    <n v="569.12"/>
    <n v="488.52"/>
    <n v="6300.6999999999989"/>
    <n v="80.600000000000023"/>
  </r>
  <r>
    <x v="15"/>
    <x v="1"/>
    <x v="0"/>
    <s v="5628200"/>
    <n v="731070"/>
    <s v="Cable TV"/>
    <s v="Port Orchard-Shared Svc"/>
    <x v="0"/>
    <m/>
    <n v="118.58"/>
    <n v="118.58"/>
    <n v="126.85"/>
    <n v="126.8"/>
    <n v="230.26"/>
    <n v="147.47999999999999"/>
    <n v="147.94"/>
    <n v="147.94"/>
    <n v="146.41"/>
    <n v="146.41"/>
    <n v="146.41"/>
    <n v="146.41"/>
    <n v="1750.0700000000004"/>
    <n v="0"/>
  </r>
  <r>
    <x v="16"/>
    <x v="1"/>
    <x v="0"/>
    <s v="5628200"/>
    <n v="732030"/>
    <s v="Repairs---Other"/>
    <s v="Port Orchard-Shared Svc"/>
    <x v="0"/>
    <m/>
    <n v="0"/>
    <n v="0"/>
    <n v="40.880000000000003"/>
    <n v="32.68"/>
    <n v="40.880000000000003"/>
    <n v="0"/>
    <n v="6242.49"/>
    <n v="297.04000000000002"/>
    <n v="81.760000000000005"/>
    <n v="1073.33"/>
    <n v="0"/>
    <n v="78.95"/>
    <n v="7888.0099999999993"/>
    <n v="-78.95"/>
  </r>
  <r>
    <x v="16"/>
    <x v="1"/>
    <x v="0"/>
    <s v="5628200"/>
    <n v="733030"/>
    <s v="Maintenance Contracts-Other"/>
    <s v="Port Orchard-Shared Svc"/>
    <x v="0"/>
    <m/>
    <n v="0"/>
    <n v="0"/>
    <n v="0"/>
    <n v="0"/>
    <n v="0"/>
    <n v="0"/>
    <n v="735.75"/>
    <n v="0"/>
    <n v="0"/>
    <n v="0"/>
    <n v="0"/>
    <n v="0"/>
    <n v="735.75"/>
    <n v="0"/>
  </r>
  <r>
    <x v="13"/>
    <x v="1"/>
    <x v="0"/>
    <s v="5628200"/>
    <n v="735050"/>
    <s v="Amortization-Leasehold Improvements"/>
    <s v="Port Orchard-Shared Svc"/>
    <x v="0"/>
    <m/>
    <n v="36217.440000000002"/>
    <n v="36217.42"/>
    <n v="29966.79"/>
    <n v="29966.79"/>
    <n v="29966.81"/>
    <n v="29966.79"/>
    <n v="29966.81"/>
    <n v="29966.79"/>
    <n v="29966.81"/>
    <n v="29966.79"/>
    <n v="29966.81"/>
    <n v="29966.79"/>
    <n v="372102.83999999997"/>
    <n v="2.0000000000436557E-2"/>
  </r>
  <r>
    <x v="13"/>
    <x v="1"/>
    <x v="0"/>
    <s v="5628200"/>
    <n v="735060"/>
    <s v="Depreciation-Fixed Equipment"/>
    <s v="Port Orchard-Shared Svc"/>
    <x v="0"/>
    <m/>
    <n v="91.08"/>
    <n v="91.09"/>
    <n v="91.08"/>
    <n v="91.09"/>
    <n v="91.08"/>
    <n v="91.09"/>
    <n v="91.07"/>
    <n v="91.09"/>
    <n v="91.07"/>
    <n v="91.09"/>
    <n v="91.07"/>
    <n v="0"/>
    <n v="1001.9000000000001"/>
    <n v="91.07"/>
  </r>
  <r>
    <x v="13"/>
    <x v="1"/>
    <x v="0"/>
    <s v="5628200"/>
    <n v="735070"/>
    <s v="Depreciation-Movable Equipment"/>
    <s v="Port Orchard-Shared Svc"/>
    <x v="0"/>
    <m/>
    <n v="13909.03"/>
    <n v="13908.98"/>
    <n v="13548.04"/>
    <n v="13548"/>
    <n v="16589.03"/>
    <n v="14708.08"/>
    <n v="14708.16"/>
    <n v="14902.71"/>
    <n v="14902.81"/>
    <n v="14902.7"/>
    <n v="14902.83"/>
    <n v="15465.21"/>
    <n v="175995.58"/>
    <n v="-562.3799999999992"/>
  </r>
  <r>
    <x v="0"/>
    <x v="1"/>
    <x v="0"/>
    <s v="5628200"/>
    <n v="740020"/>
    <s v="Education-Registration Fees"/>
    <s v="Port Orchard-Shared Svc"/>
    <x v="0"/>
    <m/>
    <n v="0"/>
    <n v="0"/>
    <n v="0"/>
    <n v="0"/>
    <n v="0"/>
    <n v="0"/>
    <n v="0"/>
    <n v="165"/>
    <n v="45"/>
    <n v="0"/>
    <n v="0"/>
    <n v="45"/>
    <n v="255"/>
    <n v="-45"/>
  </r>
  <r>
    <x v="0"/>
    <x v="1"/>
    <x v="0"/>
    <s v="5628200"/>
    <n v="742040"/>
    <s v="Freight-Other"/>
    <s v="Port Orchard-Shared Svc"/>
    <x v="0"/>
    <m/>
    <n v="0"/>
    <n v="0"/>
    <n v="0"/>
    <n v="25.33"/>
    <n v="0"/>
    <n v="0"/>
    <n v="0"/>
    <n v="0"/>
    <n v="0"/>
    <n v="0"/>
    <n v="0"/>
    <n v="25.8"/>
    <n v="51.129999999999995"/>
    <n v="-25.8"/>
  </r>
  <r>
    <x v="0"/>
    <x v="1"/>
    <x v="0"/>
    <s v="5628200"/>
    <n v="743020"/>
    <s v="Dues--Individual"/>
    <s v="Port Orchard-Shared Svc"/>
    <x v="0"/>
    <m/>
    <n v="0"/>
    <n v="175"/>
    <n v="0"/>
    <n v="0"/>
    <n v="0"/>
    <n v="0"/>
    <n v="0"/>
    <n v="0"/>
    <n v="380"/>
    <n v="0"/>
    <n v="0"/>
    <n v="0"/>
    <n v="555"/>
    <n v="0"/>
  </r>
  <r>
    <x v="0"/>
    <x v="1"/>
    <x v="0"/>
    <s v="5628200"/>
    <n v="743030"/>
    <s v="Subscriptions--Institutional"/>
    <s v="Port Orchard-Shared Svc"/>
    <x v="0"/>
    <m/>
    <n v="255.49"/>
    <n v="58.35"/>
    <n v="0"/>
    <n v="8.44"/>
    <n v="88.63"/>
    <n v="8"/>
    <n v="0"/>
    <n v="0"/>
    <n v="0"/>
    <n v="127.59"/>
    <n v="0"/>
    <n v="0"/>
    <n v="546.5"/>
    <n v="0"/>
  </r>
  <r>
    <x v="0"/>
    <x v="1"/>
    <x v="0"/>
    <s v="5628200"/>
    <n v="749510"/>
    <s v="Miscellaneous Expenses"/>
    <s v="Port Orchard-Shared Svc"/>
    <x v="0"/>
    <m/>
    <n v="259.88"/>
    <n v="55.05"/>
    <n v="59.95"/>
    <n v="289.05"/>
    <n v="304.79000000000002"/>
    <n v="150"/>
    <n v="50.18"/>
    <n v="-826"/>
    <n v="46383.61"/>
    <n v="5561.45"/>
    <n v="10226.14"/>
    <n v="-51569.440000000002"/>
    <n v="10944.659999999996"/>
    <n v="61795.58"/>
  </r>
  <r>
    <x v="0"/>
    <x v="1"/>
    <x v="0"/>
    <s v="5628200"/>
    <n v="749510"/>
    <s v="Licenses"/>
    <s v="Port Orchard-Shared Svc"/>
    <x v="0"/>
    <n v="1002"/>
    <n v="0"/>
    <n v="0"/>
    <n v="0"/>
    <n v="0"/>
    <n v="0"/>
    <n v="357"/>
    <n v="0"/>
    <n v="357"/>
    <n v="0"/>
    <n v="170.17"/>
    <n v="0"/>
    <n v="0"/>
    <n v="884.17"/>
    <n v="0"/>
  </r>
  <r>
    <x v="0"/>
    <x v="1"/>
    <x v="0"/>
    <s v="5628200"/>
    <n v="749510"/>
    <s v="RICE Rewards"/>
    <s v="Port Orchard-Shared Svc"/>
    <x v="0"/>
    <n v="5100"/>
    <n v="0"/>
    <n v="37.17"/>
    <n v="0"/>
    <n v="0"/>
    <n v="344.19"/>
    <n v="523.39"/>
    <n v="0"/>
    <n v="0"/>
    <n v="0"/>
    <n v="366.4"/>
    <n v="0"/>
    <n v="311.41000000000003"/>
    <n v="1582.5600000000002"/>
    <n v="-311.41000000000003"/>
  </r>
  <r>
    <x v="0"/>
    <x v="1"/>
    <x v="0"/>
    <s v="5628200"/>
    <n v="749530"/>
    <s v="Travel"/>
    <s v="Port Orchard-Shared Svc"/>
    <x v="0"/>
    <m/>
    <n v="5"/>
    <n v="0"/>
    <n v="42"/>
    <n v="0"/>
    <n v="0"/>
    <n v="0"/>
    <n v="20"/>
    <n v="0"/>
    <n v="5"/>
    <n v="5"/>
    <n v="0"/>
    <n v="0"/>
    <n v="77"/>
    <n v="0"/>
  </r>
  <r>
    <x v="0"/>
    <x v="1"/>
    <x v="0"/>
    <s v="5628200"/>
    <n v="749530"/>
    <s v="Mileage"/>
    <s v="Port Orchard-Shared Svc"/>
    <x v="0"/>
    <n v="1001"/>
    <n v="118.84"/>
    <n v="0"/>
    <n v="202.76"/>
    <n v="0"/>
    <n v="0"/>
    <n v="0"/>
    <n v="315.60000000000002"/>
    <n v="0"/>
    <n v="29.58"/>
    <n v="38.86"/>
    <n v="0"/>
    <n v="0"/>
    <n v="705.6400000000001"/>
    <n v="0"/>
  </r>
  <r>
    <x v="0"/>
    <x v="1"/>
    <x v="0"/>
    <s v="5628200"/>
    <n v="749535"/>
    <s v="Meetings"/>
    <s v="Port Orchard-Shared Svc"/>
    <x v="0"/>
    <m/>
    <n v="0"/>
    <n v="0"/>
    <n v="0"/>
    <n v="0"/>
    <n v="0"/>
    <n v="0"/>
    <n v="0"/>
    <n v="0"/>
    <n v="0"/>
    <n v="6"/>
    <n v="31.56"/>
    <n v="0"/>
    <n v="37.56"/>
    <n v="31.56"/>
  </r>
  <r>
    <x v="0"/>
    <x v="1"/>
    <x v="0"/>
    <s v="5628200"/>
    <n v="749550"/>
    <s v="Cash Over/Short"/>
    <s v="Port Orchard-Shared Svc"/>
    <x v="0"/>
    <m/>
    <n v="5"/>
    <n v="0"/>
    <n v="0"/>
    <n v="0"/>
    <n v="0"/>
    <n v="20"/>
    <n v="0"/>
    <n v="0"/>
    <n v="-5"/>
    <n v="-5"/>
    <n v="15"/>
    <n v="0"/>
    <n v="30"/>
    <n v="15"/>
  </r>
  <r>
    <x v="0"/>
    <x v="1"/>
    <x v="0"/>
    <s v="5628200"/>
    <n v="766010"/>
    <s v="Property Tax"/>
    <s v="Port Orchard-Shared Svc"/>
    <x v="0"/>
    <m/>
    <n v="424.9"/>
    <n v="448.38"/>
    <n v="436.64"/>
    <n v="389.68"/>
    <n v="424.9"/>
    <n v="424.9"/>
    <n v="424.9"/>
    <n v="424.9"/>
    <n v="424.89"/>
    <n v="-11.53"/>
    <n v="278.77"/>
    <n v="315.77999999999997"/>
    <n v="4407.1099999999997"/>
    <n v="-37.009999999999991"/>
  </r>
  <r>
    <x v="14"/>
    <x v="1"/>
    <x v="0"/>
    <s v="5629200"/>
    <n v="600026"/>
    <s v="POB Rental"/>
    <s v="Enumclaw Med &amp; Spec-Shared Svc"/>
    <x v="0"/>
    <n v="1001"/>
    <n v="-1967.2"/>
    <n v="-1681.47"/>
    <n v="-1681.47"/>
    <n v="-1681.47"/>
    <n v="-1681.47"/>
    <n v="-1681.47"/>
    <n v="-1681.47"/>
    <n v="-1681.47"/>
    <n v="-5044.41"/>
    <n v="-1819.61"/>
    <n v="-1819.61"/>
    <n v="-1819.61"/>
    <n v="-24240.73"/>
    <n v="0"/>
  </r>
  <r>
    <x v="14"/>
    <x v="1"/>
    <x v="0"/>
    <s v="5629200"/>
    <n v="600026"/>
    <s v="Other Rental"/>
    <s v="Enumclaw Med &amp; Spec-Shared Svc"/>
    <x v="0"/>
    <n v="1002"/>
    <n v="-211.38"/>
    <n v="-859.66"/>
    <n v="-859.66"/>
    <n v="-859.66"/>
    <n v="-859.66"/>
    <n v="-859.66"/>
    <n v="-859.66"/>
    <n v="-859.66"/>
    <n v="-1778.09"/>
    <n v="-535.1"/>
    <n v="-535.1"/>
    <n v="-535.1"/>
    <n v="-9612.39"/>
    <n v="0"/>
  </r>
  <r>
    <x v="14"/>
    <x v="1"/>
    <x v="0"/>
    <s v="5629200"/>
    <n v="600034"/>
    <s v="Vending Commission"/>
    <s v="Enumclaw Med &amp; Spec-Shared Svc"/>
    <x v="0"/>
    <n v="1002"/>
    <n v="0"/>
    <n v="0"/>
    <n v="0"/>
    <n v="-109.11"/>
    <n v="0"/>
    <n v="0"/>
    <n v="-108.67"/>
    <n v="0"/>
    <n v="0"/>
    <n v="0"/>
    <n v="0"/>
    <n v="0"/>
    <n v="-217.78"/>
    <n v="0"/>
  </r>
  <r>
    <x v="14"/>
    <x v="1"/>
    <x v="0"/>
    <s v="5629200"/>
    <n v="600050"/>
    <s v="Miscellaneous Revenue"/>
    <s v="Enumclaw Med &amp; Spec-Shared Svc"/>
    <x v="0"/>
    <m/>
    <n v="0"/>
    <n v="0"/>
    <n v="-404.99"/>
    <n v="0"/>
    <n v="0"/>
    <n v="0"/>
    <n v="0"/>
    <n v="0"/>
    <n v="0"/>
    <n v="0"/>
    <n v="-189.05"/>
    <n v="0"/>
    <n v="-594.04"/>
    <n v="-189.05"/>
  </r>
  <r>
    <x v="5"/>
    <x v="1"/>
    <x v="0"/>
    <s v="5629200"/>
    <n v="700014"/>
    <s v="Salaries-Management-Productive"/>
    <s v="Enumclaw Med &amp; Spec-Shared Svc"/>
    <x v="0"/>
    <m/>
    <n v="4398.09"/>
    <n v="6783.51"/>
    <n v="4845.3599999999997"/>
    <n v="6363.55"/>
    <n v="5955.49"/>
    <n v="5298.06"/>
    <n v="5693.52"/>
    <n v="5344.57"/>
    <n v="6506.44"/>
    <n v="6816.25"/>
    <n v="7126.1"/>
    <n v="4260.16"/>
    <n v="69391.100000000006"/>
    <n v="2865.9400000000005"/>
  </r>
  <r>
    <x v="5"/>
    <x v="1"/>
    <x v="0"/>
    <s v="5629200"/>
    <n v="700018"/>
    <s v="Salaries-Supervisory-Productive"/>
    <s v="Enumclaw Med &amp; Spec-Shared Svc"/>
    <x v="0"/>
    <m/>
    <n v="5636.4"/>
    <n v="3891.8"/>
    <n v="3757.6"/>
    <n v="6683.8"/>
    <n v="5488"/>
    <n v="4582.4799999999996"/>
    <n v="5853.56"/>
    <n v="10049.379999999999"/>
    <n v="12423.37"/>
    <n v="13143.19"/>
    <n v="13478.32"/>
    <n v="10153.93"/>
    <n v="95141.829999999987"/>
    <n v="3324.3899999999994"/>
  </r>
  <r>
    <x v="5"/>
    <x v="1"/>
    <x v="0"/>
    <s v="5629200"/>
    <n v="700018"/>
    <s v="Salaries-Supervisory-Other"/>
    <s v="Enumclaw Med &amp; Spec-Shared Svc"/>
    <x v="0"/>
    <n v="2000"/>
    <n v="0"/>
    <n v="0"/>
    <n v="0"/>
    <n v="0"/>
    <n v="0"/>
    <n v="0"/>
    <n v="0"/>
    <n v="30.04"/>
    <n v="0"/>
    <n v="0"/>
    <n v="0"/>
    <n v="0"/>
    <n v="30.04"/>
    <n v="0"/>
  </r>
  <r>
    <x v="5"/>
    <x v="1"/>
    <x v="0"/>
    <s v="5629200"/>
    <n v="700030"/>
    <s v="Salaries-LPN-Productive"/>
    <s v="Enumclaw Med &amp; Spec-Shared Svc"/>
    <x v="0"/>
    <m/>
    <n v="5067.1400000000003"/>
    <n v="5101.16"/>
    <n v="3990.6"/>
    <n v="6040.46"/>
    <n v="5690.72"/>
    <n v="3366.83"/>
    <n v="5813.27"/>
    <n v="4608.53"/>
    <n v="323.98"/>
    <n v="0"/>
    <n v="0"/>
    <n v="134.46"/>
    <n v="40137.150000000009"/>
    <n v="-134.46"/>
  </r>
  <r>
    <x v="5"/>
    <x v="1"/>
    <x v="0"/>
    <s v="5629200"/>
    <n v="700030"/>
    <s v="Salaries-LPN-OT"/>
    <s v="Enumclaw Med &amp; Spec-Shared Svc"/>
    <x v="0"/>
    <n v="1000"/>
    <n v="28.47"/>
    <n v="333.42"/>
    <n v="154.25"/>
    <n v="238.97"/>
    <n v="116.62"/>
    <n v="93.7"/>
    <n v="900.63"/>
    <n v="-204.21"/>
    <n v="24.3"/>
    <n v="0"/>
    <n v="0"/>
    <n v="0"/>
    <n v="1686.1499999999999"/>
    <n v="0"/>
  </r>
  <r>
    <x v="5"/>
    <x v="1"/>
    <x v="0"/>
    <s v="5629200"/>
    <n v="700030"/>
    <s v="Salaries-LPN-Other"/>
    <s v="Enumclaw Med &amp; Spec-Shared Svc"/>
    <x v="0"/>
    <n v="2000"/>
    <n v="0"/>
    <n v="0"/>
    <n v="0"/>
    <n v="0"/>
    <n v="0"/>
    <n v="29.35"/>
    <n v="4.55"/>
    <n v="-1.3"/>
    <n v="0"/>
    <n v="0"/>
    <n v="0"/>
    <n v="5.76"/>
    <n v="38.36"/>
    <n v="-5.76"/>
  </r>
  <r>
    <x v="5"/>
    <x v="1"/>
    <x v="0"/>
    <s v="5629200"/>
    <n v="700032"/>
    <s v="Salaries-Other Pat Care Providers-Productive"/>
    <s v="Enumclaw Med &amp; Spec-Shared Svc"/>
    <x v="0"/>
    <m/>
    <n v="3641.79"/>
    <n v="3738.6"/>
    <n v="2697.64"/>
    <n v="4330.13"/>
    <n v="2635.86"/>
    <n v="3522.28"/>
    <n v="4656.2"/>
    <n v="3061.8"/>
    <n v="3155.63"/>
    <n v="3204.75"/>
    <n v="3383.42"/>
    <n v="4319.38"/>
    <n v="42347.479999999996"/>
    <n v="-935.96"/>
  </r>
  <r>
    <x v="5"/>
    <x v="1"/>
    <x v="0"/>
    <s v="5629200"/>
    <n v="700032"/>
    <s v="Salaries-Other Pat Care Providers-Other"/>
    <s v="Enumclaw Med &amp; Spec-Shared Svc"/>
    <x v="0"/>
    <n v="2000"/>
    <n v="0"/>
    <n v="0"/>
    <n v="0"/>
    <n v="0"/>
    <n v="0"/>
    <n v="0"/>
    <n v="8.26"/>
    <n v="0"/>
    <n v="0"/>
    <n v="0"/>
    <n v="0"/>
    <n v="30.04"/>
    <n v="38.299999999999997"/>
    <n v="-30.04"/>
  </r>
  <r>
    <x v="5"/>
    <x v="1"/>
    <x v="0"/>
    <s v="5629200"/>
    <n v="700038"/>
    <s v="Salaries-Service/Support-Productive"/>
    <s v="Enumclaw Med &amp; Spec-Shared Svc"/>
    <x v="0"/>
    <m/>
    <n v="43307.12"/>
    <n v="45360.03"/>
    <n v="36068.92"/>
    <n v="50497.120000000003"/>
    <n v="44990.95"/>
    <n v="41553.050000000003"/>
    <n v="54142.42"/>
    <n v="46323.72"/>
    <n v="54178.96"/>
    <n v="54884.57"/>
    <n v="56253.64"/>
    <n v="43758.06"/>
    <n v="571318.56000000006"/>
    <n v="12495.580000000002"/>
  </r>
  <r>
    <x v="5"/>
    <x v="1"/>
    <x v="0"/>
    <s v="5629200"/>
    <n v="700038"/>
    <s v="Salaries-Service/Support-OT"/>
    <s v="Enumclaw Med &amp; Spec-Shared Svc"/>
    <x v="0"/>
    <n v="1000"/>
    <n v="1926.99"/>
    <n v="1492.54"/>
    <n v="1009.3"/>
    <n v="2228.5"/>
    <n v="1718.16"/>
    <n v="618.28"/>
    <n v="925.13"/>
    <n v="984.39"/>
    <n v="2138.85"/>
    <n v="1935.02"/>
    <n v="2753.27"/>
    <n v="325.85000000000002"/>
    <n v="18056.28"/>
    <n v="2427.42"/>
  </r>
  <r>
    <x v="5"/>
    <x v="1"/>
    <x v="0"/>
    <s v="5629200"/>
    <n v="700038"/>
    <s v="Salaries-Service/Support-Other"/>
    <s v="Enumclaw Med &amp; Spec-Shared Svc"/>
    <x v="0"/>
    <n v="2000"/>
    <n v="121.88"/>
    <n v="263.43"/>
    <n v="202.35"/>
    <n v="337.61"/>
    <n v="219.71"/>
    <n v="252.94"/>
    <n v="260.38"/>
    <n v="201.17"/>
    <n v="210.99"/>
    <n v="236.51"/>
    <n v="238.99"/>
    <n v="-54.21"/>
    <n v="2491.75"/>
    <n v="293.2"/>
  </r>
  <r>
    <x v="5"/>
    <x v="1"/>
    <x v="0"/>
    <s v="5629200"/>
    <n v="700054"/>
    <s v="Salaries-Management-Non-productive"/>
    <s v="Enumclaw Med &amp; Spec-Shared Svc"/>
    <x v="0"/>
    <m/>
    <n v="0"/>
    <n v="559.08000000000004"/>
    <n v="931.8"/>
    <n v="1392.19"/>
    <n v="1314.85"/>
    <n v="1624.22"/>
    <n v="1936.55"/>
    <n v="697.12"/>
    <n v="0"/>
    <n v="0"/>
    <n v="0"/>
    <n v="2323.73"/>
    <n v="10779.54"/>
    <n v="-2323.73"/>
  </r>
  <r>
    <x v="5"/>
    <x v="1"/>
    <x v="0"/>
    <s v="5629200"/>
    <n v="700054"/>
    <s v="Salaries-Management-NonProd-Other"/>
    <s v="Enumclaw Med &amp; Spec-Shared Svc"/>
    <x v="0"/>
    <n v="2000"/>
    <n v="0"/>
    <n v="0"/>
    <n v="0"/>
    <n v="0"/>
    <n v="0"/>
    <n v="175.6"/>
    <n v="-175.6"/>
    <n v="0"/>
    <n v="0"/>
    <n v="0"/>
    <n v="0"/>
    <n v="0"/>
    <n v="0"/>
    <n v="0"/>
  </r>
  <r>
    <x v="5"/>
    <x v="1"/>
    <x v="0"/>
    <s v="5629200"/>
    <n v="700058"/>
    <s v="Salaries-Supervisory-Non-productive"/>
    <s v="Enumclaw Med &amp; Spec-Shared Svc"/>
    <x v="0"/>
    <m/>
    <n v="268.39999999999998"/>
    <n v="2281.4"/>
    <n v="1610.4"/>
    <n v="-402.6"/>
    <n v="548.79999999999995"/>
    <n v="1179.92"/>
    <n v="467.28"/>
    <n v="1813.69"/>
    <n v="384.73"/>
    <n v="274.8"/>
    <n v="549.6"/>
    <n v="2044.25"/>
    <n v="11020.67"/>
    <n v="-1494.65"/>
  </r>
  <r>
    <x v="5"/>
    <x v="1"/>
    <x v="0"/>
    <s v="5629200"/>
    <n v="700070"/>
    <s v="Salaries-LPN-Non-productive"/>
    <s v="Enumclaw Med &amp; Spec-Shared Svc"/>
    <x v="0"/>
    <m/>
    <n v="506.24"/>
    <n v="759.36"/>
    <n v="1139.04"/>
    <n v="-126.56"/>
    <n v="0"/>
    <n v="2160.98"/>
    <n v="233.3"/>
    <n v="673.86"/>
    <n v="-90.71"/>
    <n v="0"/>
    <n v="0"/>
    <n v="0"/>
    <n v="5255.5099999999993"/>
    <n v="0"/>
  </r>
  <r>
    <x v="5"/>
    <x v="1"/>
    <x v="0"/>
    <s v="5629200"/>
    <n v="700072"/>
    <s v="Salaries-Other Pat Care Providers-Non-productive"/>
    <s v="Enumclaw Med &amp; Spec-Shared Svc"/>
    <x v="0"/>
    <m/>
    <n v="348.08"/>
    <n v="522.12"/>
    <n v="-174.04"/>
    <n v="0"/>
    <n v="1940.1"/>
    <n v="854.09"/>
    <n v="250.29"/>
    <n v="357.32"/>
    <n v="0"/>
    <n v="0"/>
    <n v="0"/>
    <n v="0"/>
    <n v="4097.96"/>
    <n v="0"/>
  </r>
  <r>
    <x v="5"/>
    <x v="1"/>
    <x v="0"/>
    <s v="5629200"/>
    <n v="700072"/>
    <s v="Salaries-Other Pat Care Providers-NonProd-Other"/>
    <s v="Enumclaw Med &amp; Spe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29200"/>
    <n v="700078"/>
    <s v="Salaries-Service/Support-Non-productive"/>
    <s v="Enumclaw Med &amp; Spec-Shared Svc"/>
    <x v="0"/>
    <m/>
    <n v="6263.64"/>
    <n v="8458.42"/>
    <n v="8288.67"/>
    <n v="1549.18"/>
    <n v="4321.8599999999997"/>
    <n v="11718.06"/>
    <n v="5676.42"/>
    <n v="6964.43"/>
    <n v="2618.88"/>
    <n v="4836.57"/>
    <n v="5850.28"/>
    <n v="6605.06"/>
    <n v="73151.47"/>
    <n v="-754.78000000000065"/>
  </r>
  <r>
    <x v="5"/>
    <x v="1"/>
    <x v="0"/>
    <s v="5629200"/>
    <n v="700078"/>
    <s v="Salaries-Service/Support-NonProd-Other"/>
    <s v="Enumclaw Med &amp; Spe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29200"/>
    <n v="700084"/>
    <s v="Accrued PTO"/>
    <s v="Enumclaw Med &amp; Spec-Shared Svc"/>
    <x v="0"/>
    <m/>
    <n v="1371.6"/>
    <n v="-1696.63"/>
    <n v="-2314.27"/>
    <n v="5998.93"/>
    <n v="3023.14"/>
    <n v="-6379.78"/>
    <n v="877.9"/>
    <n v="2827.45"/>
    <n v="6470.27"/>
    <n v="4972.62"/>
    <n v="1310.24"/>
    <n v="569.37"/>
    <n v="17030.84"/>
    <n v="740.87"/>
  </r>
  <r>
    <x v="10"/>
    <x v="1"/>
    <x v="0"/>
    <s v="5629200"/>
    <n v="710060"/>
    <s v="Contract Labor-Other"/>
    <s v="Enumclaw Med &amp; Spec-Shared Svc"/>
    <x v="0"/>
    <m/>
    <n v="0"/>
    <n v="0"/>
    <n v="0"/>
    <n v="0"/>
    <n v="0"/>
    <n v="0"/>
    <n v="0"/>
    <n v="0"/>
    <n v="0"/>
    <n v="0"/>
    <n v="0"/>
    <n v="7000"/>
    <n v="7000"/>
    <n v="-7000"/>
  </r>
  <r>
    <x v="6"/>
    <x v="1"/>
    <x v="0"/>
    <s v="5629200"/>
    <n v="713010"/>
    <s v="Benefits-FICA/Medicare"/>
    <s v="Enumclaw Med &amp; Spec-Shared Svc"/>
    <x v="0"/>
    <m/>
    <n v="5405.79"/>
    <n v="5876.82"/>
    <n v="4811.99"/>
    <n v="5862.58"/>
    <n v="5574.33"/>
    <n v="5762.08"/>
    <n v="6452.16"/>
    <n v="5984.93"/>
    <n v="6221.84"/>
    <n v="6268.57"/>
    <n v="6608.08"/>
    <n v="5492.65"/>
    <n v="70321.820000000007"/>
    <n v="1115.4300000000003"/>
  </r>
  <r>
    <x v="6"/>
    <x v="1"/>
    <x v="0"/>
    <s v="5629200"/>
    <n v="713090"/>
    <s v="Benefits-Allocated Amounts"/>
    <s v="Enumclaw Med &amp; Spec-Shared Svc"/>
    <x v="0"/>
    <m/>
    <n v="18044.82"/>
    <n v="17164.89"/>
    <n v="17475.78"/>
    <n v="18540.04"/>
    <n v="18003.93"/>
    <n v="19895.57"/>
    <n v="23422.77"/>
    <n v="23550.05"/>
    <n v="22594.43"/>
    <n v="22633.14"/>
    <n v="22611.51"/>
    <n v="22370.9"/>
    <n v="246307.83"/>
    <n v="240.60999999999694"/>
  </r>
  <r>
    <x v="6"/>
    <x v="1"/>
    <x v="0"/>
    <s v="5629200"/>
    <n v="713096"/>
    <s v="Employee Recognition"/>
    <s v="Enumclaw Med &amp; Spec-Shared Svc"/>
    <x v="0"/>
    <n v="1017"/>
    <n v="0"/>
    <n v="0"/>
    <n v="84.73"/>
    <n v="444.77"/>
    <n v="141.59"/>
    <n v="182.19"/>
    <n v="194.61"/>
    <n v="141.78"/>
    <n v="113.67"/>
    <n v="521.02"/>
    <n v="422.17"/>
    <n v="0"/>
    <n v="2246.5299999999997"/>
    <n v="422.17"/>
  </r>
  <r>
    <x v="21"/>
    <x v="1"/>
    <x v="0"/>
    <s v="5629200"/>
    <n v="716026"/>
    <s v="Consulting-Clinical"/>
    <s v="Enumclaw Med &amp; Spec-Shared Svc"/>
    <x v="0"/>
    <m/>
    <n v="0"/>
    <n v="0"/>
    <n v="0"/>
    <n v="0"/>
    <n v="0"/>
    <n v="0"/>
    <n v="21262.52"/>
    <n v="-2362.5"/>
    <n v="0"/>
    <n v="0"/>
    <n v="11200"/>
    <n v="-30100.02"/>
    <n v="0"/>
    <n v="41300.020000000004"/>
  </r>
  <r>
    <x v="7"/>
    <x v="1"/>
    <x v="0"/>
    <s v="5629200"/>
    <n v="718010"/>
    <s v="Contract Services-Advertising &amp; Public Relations"/>
    <s v="Enumclaw Med &amp; Spec-Shared Svc"/>
    <x v="0"/>
    <m/>
    <n v="0"/>
    <n v="0"/>
    <n v="0"/>
    <n v="0"/>
    <n v="0"/>
    <n v="0"/>
    <n v="0"/>
    <n v="164.13"/>
    <n v="0"/>
    <n v="0"/>
    <n v="0"/>
    <n v="0"/>
    <n v="164.13"/>
    <n v="0"/>
  </r>
  <r>
    <x v="7"/>
    <x v="1"/>
    <x v="0"/>
    <s v="5629200"/>
    <n v="718010"/>
    <s v="Media/Print Advertising"/>
    <s v="Enumclaw Med &amp; Spec-Shared Svc"/>
    <x v="0"/>
    <n v="1004"/>
    <n v="175.74"/>
    <n v="0"/>
    <n v="0"/>
    <n v="889.59"/>
    <n v="0"/>
    <n v="1204.71"/>
    <n v="0"/>
    <n v="1825.12"/>
    <n v="342.95"/>
    <n v="284.2"/>
    <n v="2231.4299999999998"/>
    <n v="823.51"/>
    <n v="7777.25"/>
    <n v="1407.9199999999998"/>
  </r>
  <r>
    <x v="7"/>
    <x v="1"/>
    <x v="0"/>
    <s v="5629200"/>
    <n v="718040"/>
    <s v="Contract Svcs-Laboratory"/>
    <s v="Enumclaw Med &amp; Spec-Shared Svc"/>
    <x v="0"/>
    <m/>
    <n v="348.63"/>
    <n v="0"/>
    <n v="0"/>
    <n v="0"/>
    <n v="95.88"/>
    <n v="0"/>
    <n v="0"/>
    <n v="0"/>
    <n v="0"/>
    <n v="0"/>
    <n v="0"/>
    <n v="31.54"/>
    <n v="476.05"/>
    <n v="-31.54"/>
  </r>
  <r>
    <x v="7"/>
    <x v="1"/>
    <x v="0"/>
    <s v="5629200"/>
    <n v="718050"/>
    <s v="Contract Svcs-Other"/>
    <s v="Enumclaw Med &amp; Spec-Shared Svc"/>
    <x v="0"/>
    <m/>
    <n v="0"/>
    <n v="0"/>
    <n v="0"/>
    <n v="224.31"/>
    <n v="0"/>
    <n v="0"/>
    <n v="0"/>
    <n v="0"/>
    <n v="271.75"/>
    <n v="0"/>
    <n v="948.46"/>
    <n v="6321.33"/>
    <n v="7765.85"/>
    <n v="-5372.87"/>
  </r>
  <r>
    <x v="7"/>
    <x v="1"/>
    <x v="0"/>
    <s v="5629200"/>
    <n v="718050"/>
    <s v="Cleaning Services"/>
    <s v="Enumclaw Med &amp; Spec-Shared Svc"/>
    <x v="0"/>
    <n v="1011"/>
    <n v="1885.51"/>
    <n v="2185.5100000000002"/>
    <n v="2160.02"/>
    <n v="2185.5100000000002"/>
    <n v="1885.51"/>
    <n v="0"/>
    <n v="1885.51"/>
    <n v="1978.34"/>
    <n v="3771.02"/>
    <n v="950"/>
    <n v="1885.51"/>
    <n v="4021.02"/>
    <n v="24793.46"/>
    <n v="-2135.5100000000002"/>
  </r>
  <r>
    <x v="7"/>
    <x v="1"/>
    <x v="0"/>
    <s v="5629200"/>
    <n v="718050"/>
    <s v="Document Shredding/Storage"/>
    <s v="Enumclaw Med &amp; Spec-Shared Svc"/>
    <x v="0"/>
    <n v="1012"/>
    <n v="1979.07"/>
    <n v="1468.96"/>
    <n v="1315.46"/>
    <n v="1429.57"/>
    <n v="1144.7"/>
    <n v="1319.12"/>
    <n v="1264.8599999999999"/>
    <n v="711.19"/>
    <n v="1015.64"/>
    <n v="1100.1600000000001"/>
    <n v="1142.05"/>
    <n v="685.86"/>
    <n v="14576.64"/>
    <n v="456.18999999999994"/>
  </r>
  <r>
    <x v="7"/>
    <x v="1"/>
    <x v="0"/>
    <s v="5629200"/>
    <n v="718050"/>
    <s v="Physician Answering"/>
    <s v="Enumclaw Med &amp; Spec-Shared Svc"/>
    <x v="0"/>
    <n v="1015"/>
    <n v="560"/>
    <n v="0"/>
    <n v="944"/>
    <n v="592"/>
    <n v="672"/>
    <n v="0"/>
    <n v="1472"/>
    <n v="704"/>
    <n v="1584"/>
    <n v="848"/>
    <n v="0"/>
    <n v="1557.5"/>
    <n v="8933.5"/>
    <n v="-1557.5"/>
  </r>
  <r>
    <x v="7"/>
    <x v="1"/>
    <x v="0"/>
    <s v="5629200"/>
    <n v="718050"/>
    <s v="Security"/>
    <s v="Enumclaw Med &amp; Spec-Shared Svc"/>
    <x v="0"/>
    <n v="1019"/>
    <n v="0"/>
    <n v="212.29"/>
    <n v="0"/>
    <n v="212.29"/>
    <n v="212.29"/>
    <n v="577.52"/>
    <n v="212.29"/>
    <n v="0"/>
    <n v="0"/>
    <n v="212.29"/>
    <n v="212.29"/>
    <n v="212.29"/>
    <n v="2063.5499999999997"/>
    <n v="0"/>
  </r>
  <r>
    <x v="7"/>
    <x v="1"/>
    <x v="0"/>
    <s v="5629200"/>
    <n v="718050"/>
    <s v="Miscellaneous Purchased Svcs"/>
    <s v="Enumclaw Med &amp; Spec-Shared Svc"/>
    <x v="0"/>
    <n v="1020"/>
    <n v="0"/>
    <n v="65.11"/>
    <n v="65.11"/>
    <n v="697.61"/>
    <n v="1265"/>
    <n v="1330.12"/>
    <n v="325.58"/>
    <n v="0"/>
    <n v="65.12"/>
    <n v="0"/>
    <n v="0"/>
    <n v="130.24"/>
    <n v="3943.8899999999994"/>
    <n v="-130.24"/>
  </r>
  <r>
    <x v="7"/>
    <x v="1"/>
    <x v="0"/>
    <s v="5629200"/>
    <n v="718050"/>
    <s v="Translation Services"/>
    <s v="Enumclaw Med &amp; Spec-Shared Svc"/>
    <x v="0"/>
    <n v="1025"/>
    <n v="322.54000000000002"/>
    <n v="0"/>
    <n v="397.81"/>
    <n v="0"/>
    <n v="135.16999999999999"/>
    <n v="458"/>
    <n v="0"/>
    <n v="32"/>
    <n v="144"/>
    <n v="0"/>
    <n v="174"/>
    <n v="0"/>
    <n v="1663.52"/>
    <n v="174"/>
  </r>
  <r>
    <x v="7"/>
    <x v="1"/>
    <x v="0"/>
    <s v="5629200"/>
    <n v="718050"/>
    <s v="Contract Management--Linen"/>
    <s v="Enumclaw Med &amp; Spec-Shared Svc"/>
    <x v="0"/>
    <n v="1026"/>
    <n v="321.43"/>
    <n v="321.43"/>
    <n v="730.57"/>
    <n v="370.1"/>
    <n v="409.14"/>
    <n v="683.3"/>
    <n v="970.59"/>
    <n v="407.59"/>
    <n v="736.27"/>
    <n v="402.68"/>
    <n v="666.05"/>
    <n v="808.39"/>
    <n v="6827.5400000000009"/>
    <n v="-142.34000000000003"/>
  </r>
  <r>
    <x v="7"/>
    <x v="1"/>
    <x v="0"/>
    <s v="5629200"/>
    <n v="718050"/>
    <s v="Purchased Srvcs--Medical Waste"/>
    <s v="Enumclaw Med &amp; Spec-Shared Svc"/>
    <x v="0"/>
    <n v="1027"/>
    <n v="119.75"/>
    <n v="21.5"/>
    <n v="165.26"/>
    <n v="150.97"/>
    <n v="21.5"/>
    <n v="42.22"/>
    <n v="219.26"/>
    <n v="21.5"/>
    <n v="32.6"/>
    <n v="193.16"/>
    <n v="221.8"/>
    <n v="1085.3499999999999"/>
    <n v="2294.87"/>
    <n v="-863.55"/>
  </r>
  <r>
    <x v="7"/>
    <x v="1"/>
    <x v="0"/>
    <s v="5629200"/>
    <n v="718070"/>
    <s v="Contract Srvcs-CHI Clinical Engineering"/>
    <s v="Enumclaw Med &amp; Spec-Shared Svc"/>
    <x v="0"/>
    <m/>
    <n v="0"/>
    <n v="2625.31"/>
    <n v="2205.19"/>
    <n v="0"/>
    <n v="0"/>
    <n v="0"/>
    <n v="0"/>
    <n v="165.15"/>
    <n v="0"/>
    <n v="275.5"/>
    <n v="4573.87"/>
    <n v="0"/>
    <n v="9845.02"/>
    <n v="4573.87"/>
  </r>
  <r>
    <x v="7"/>
    <x v="1"/>
    <x v="0"/>
    <s v="5629200"/>
    <n v="718077"/>
    <s v="PACS"/>
    <s v="Enumclaw Med &amp; Spec-Shared Svc"/>
    <x v="0"/>
    <n v="1000"/>
    <n v="524.25"/>
    <n v="411.75"/>
    <n v="276.75"/>
    <n v="452.25"/>
    <n v="474.75"/>
    <n v="420.75"/>
    <n v="445.5"/>
    <n v="483.75"/>
    <n v="492.75"/>
    <n v="470.25"/>
    <n v="454.5"/>
    <n v="434.25"/>
    <n v="5341.5"/>
    <n v="20.25"/>
  </r>
  <r>
    <x v="11"/>
    <x v="1"/>
    <x v="0"/>
    <s v="5629200"/>
    <n v="721010"/>
    <s v="Supplies-Medical - Billable"/>
    <s v="Enumclaw Med &amp; Spec-Shared Svc"/>
    <x v="0"/>
    <m/>
    <n v="3390.04"/>
    <n v="6783.56"/>
    <n v="0"/>
    <n v="8146"/>
    <n v="1257.8800000000001"/>
    <n v="9543.42"/>
    <n v="26.36"/>
    <n v="240"/>
    <n v="3785"/>
    <n v="2056.41"/>
    <n v="14953.64"/>
    <n v="2471.2199999999998"/>
    <n v="52653.53"/>
    <n v="12482.42"/>
  </r>
  <r>
    <x v="11"/>
    <x v="1"/>
    <x v="0"/>
    <s v="5629200"/>
    <n v="721250"/>
    <s v="Supplies-Pharmacy Drugs - Billable"/>
    <s v="Enumclaw Med &amp; Spec-Shared Svc"/>
    <x v="0"/>
    <m/>
    <n v="9601.4500000000007"/>
    <n v="16607.23"/>
    <n v="16239.53"/>
    <n v="36281.050000000003"/>
    <n v="22445.95"/>
    <n v="32242.99"/>
    <n v="40113.589999999997"/>
    <n v="20337.37"/>
    <n v="23468.240000000002"/>
    <n v="14415.15"/>
    <n v="22657.03"/>
    <n v="21381.98"/>
    <n v="275791.56"/>
    <n v="1275.0499999999993"/>
  </r>
  <r>
    <x v="11"/>
    <x v="1"/>
    <x v="0"/>
    <s v="5629200"/>
    <n v="721410"/>
    <s v="Supplies-Medical - Nonbillable"/>
    <s v="Enumclaw Med &amp; Spec-Shared Svc"/>
    <x v="0"/>
    <m/>
    <n v="7231.49"/>
    <n v="7710.81"/>
    <n v="2996.76"/>
    <n v="5901.48"/>
    <n v="5233.58"/>
    <n v="4639.26"/>
    <n v="2496.91"/>
    <n v="7009.83"/>
    <n v="6394.58"/>
    <n v="5175.78"/>
    <n v="3157.19"/>
    <n v="8963.81"/>
    <n v="66911.48"/>
    <n v="-5806.619999999999"/>
  </r>
  <r>
    <x v="11"/>
    <x v="1"/>
    <x v="0"/>
    <s v="5629200"/>
    <n v="721750"/>
    <s v="Supplies-Film/Radiographic - Nonbillable"/>
    <s v="Enumclaw Med &amp; Spec-Shared Svc"/>
    <x v="0"/>
    <m/>
    <n v="0"/>
    <n v="0"/>
    <n v="15"/>
    <n v="0"/>
    <n v="0"/>
    <n v="0"/>
    <n v="0"/>
    <n v="0"/>
    <n v="0"/>
    <n v="0"/>
    <n v="0"/>
    <n v="0"/>
    <n v="15"/>
    <n v="0"/>
  </r>
  <r>
    <x v="11"/>
    <x v="1"/>
    <x v="0"/>
    <s v="5629200"/>
    <n v="721810"/>
    <s v="Supplies-Dietary/Cafeteria"/>
    <s v="Enumclaw Med &amp; Spec-Shared Svc"/>
    <x v="0"/>
    <m/>
    <n v="432.19"/>
    <n v="350.32"/>
    <n v="614.49"/>
    <n v="0"/>
    <n v="0"/>
    <n v="199.8"/>
    <n v="0"/>
    <n v="0"/>
    <n v="1025.76"/>
    <n v="289.58999999999997"/>
    <n v="83.2"/>
    <n v="1291.6500000000001"/>
    <n v="4287"/>
    <n v="-1208.45"/>
  </r>
  <r>
    <x v="11"/>
    <x v="1"/>
    <x v="0"/>
    <s v="5629200"/>
    <n v="721830"/>
    <s v="Supplies-Office"/>
    <s v="Enumclaw Med &amp; Spec-Shared Svc"/>
    <x v="0"/>
    <m/>
    <n v="2732.1"/>
    <n v="2527.81"/>
    <n v="2682.94"/>
    <n v="2903.03"/>
    <n v="2760.16"/>
    <n v="2183.5100000000002"/>
    <n v="3245.03"/>
    <n v="1820.19"/>
    <n v="2022.55"/>
    <n v="4187.41"/>
    <n v="2605.2800000000002"/>
    <n v="2853.23"/>
    <n v="32523.239999999998"/>
    <n v="-247.94999999999982"/>
  </r>
  <r>
    <x v="11"/>
    <x v="1"/>
    <x v="0"/>
    <s v="5629200"/>
    <n v="721835"/>
    <s v="Supplies-Forms"/>
    <s v="Enumclaw Med &amp; Spec-Shared Svc"/>
    <x v="0"/>
    <m/>
    <n v="0"/>
    <n v="0"/>
    <n v="0"/>
    <n v="0"/>
    <n v="473.31"/>
    <n v="45"/>
    <n v="7.5"/>
    <n v="0"/>
    <n v="102.73"/>
    <n v="104.9"/>
    <n v="43.9"/>
    <n v="99.07"/>
    <n v="876.40999999999985"/>
    <n v="-55.169999999999995"/>
  </r>
  <r>
    <x v="11"/>
    <x v="1"/>
    <x v="0"/>
    <s v="5629200"/>
    <n v="721870"/>
    <s v="Supplies-Environmental Services"/>
    <s v="Enumclaw Med &amp; Spec-Shared Svc"/>
    <x v="0"/>
    <m/>
    <n v="0"/>
    <n v="136.38"/>
    <n v="0"/>
    <n v="0"/>
    <n v="0"/>
    <n v="0"/>
    <n v="0"/>
    <n v="0"/>
    <n v="0"/>
    <n v="0"/>
    <n v="0"/>
    <n v="0"/>
    <n v="136.38"/>
    <n v="0"/>
  </r>
  <r>
    <x v="11"/>
    <x v="1"/>
    <x v="0"/>
    <s v="5629200"/>
    <n v="721880"/>
    <s v="Supplies-Linen"/>
    <s v="Enumclaw Med &amp; Spec-Shared Svc"/>
    <x v="0"/>
    <m/>
    <n v="0"/>
    <n v="402.98"/>
    <n v="-402.98"/>
    <n v="0"/>
    <n v="0"/>
    <n v="0"/>
    <n v="0"/>
    <n v="0"/>
    <n v="0"/>
    <n v="0"/>
    <n v="0"/>
    <n v="0"/>
    <n v="0"/>
    <n v="0"/>
  </r>
  <r>
    <x v="11"/>
    <x v="1"/>
    <x v="0"/>
    <s v="5629200"/>
    <n v="721910"/>
    <s v="Supplies-Small Equipment"/>
    <s v="Enumclaw Med &amp; Spec-Shared Svc"/>
    <x v="0"/>
    <m/>
    <n v="207.32"/>
    <n v="240"/>
    <n v="188.3"/>
    <n v="26.36"/>
    <n v="132.02000000000001"/>
    <n v="108.88"/>
    <n v="163.41"/>
    <n v="0"/>
    <n v="27.76"/>
    <n v="742.35"/>
    <n v="79.77"/>
    <n v="3230.01"/>
    <n v="5146.18"/>
    <n v="-3150.2400000000002"/>
  </r>
  <r>
    <x v="11"/>
    <x v="1"/>
    <x v="0"/>
    <s v="5629200"/>
    <n v="721980"/>
    <s v="Supplies-Other"/>
    <s v="Enumclaw Med &amp; Spec-Shared Svc"/>
    <x v="0"/>
    <m/>
    <n v="0"/>
    <n v="0"/>
    <n v="0"/>
    <n v="0"/>
    <n v="0"/>
    <n v="0"/>
    <n v="0"/>
    <n v="0"/>
    <n v="108.43"/>
    <n v="0"/>
    <n v="240"/>
    <n v="26.61"/>
    <n v="375.04"/>
    <n v="213.39"/>
  </r>
  <r>
    <x v="11"/>
    <x v="1"/>
    <x v="0"/>
    <s v="5629200"/>
    <n v="722000"/>
    <s v="Supplies-Freight Expense"/>
    <s v="Enumclaw Med &amp; Spec-Shared Svc"/>
    <x v="0"/>
    <m/>
    <n v="0"/>
    <n v="25.15"/>
    <n v="0"/>
    <n v="102.39"/>
    <n v="0"/>
    <n v="8"/>
    <n v="27.88"/>
    <n v="28.34"/>
    <n v="0"/>
    <n v="0"/>
    <n v="46.82"/>
    <n v="593.15"/>
    <n v="831.73"/>
    <n v="-546.32999999999993"/>
  </r>
  <r>
    <x v="12"/>
    <x v="1"/>
    <x v="0"/>
    <s v="5629200"/>
    <n v="730010"/>
    <s v="Rental and Leases-Building (DO NOT USE)"/>
    <s v="Enumclaw Med &amp; Spec-Shared Svc"/>
    <x v="0"/>
    <m/>
    <n v="55282.48"/>
    <n v="55282.48"/>
    <n v="55282.48"/>
    <n v="55282.48"/>
    <n v="55282.48"/>
    <n v="821.8"/>
    <n v="46159.64"/>
    <n v="46159.64"/>
    <n v="47405.9"/>
    <n v="37060.9"/>
    <n v="47405.9"/>
    <n v="0"/>
    <n v="501426.18000000011"/>
    <n v="47405.9"/>
  </r>
  <r>
    <x v="12"/>
    <x v="1"/>
    <x v="0"/>
    <s v="5629200"/>
    <n v="730010"/>
    <s v="Rental-Common Area Maint (DO NOT USE)"/>
    <s v="Enumclaw Med &amp; Spec-Shared Svc"/>
    <x v="0"/>
    <n v="2200"/>
    <n v="0"/>
    <n v="0"/>
    <n v="0"/>
    <n v="0"/>
    <n v="0"/>
    <n v="54460.68"/>
    <n v="9076.7800000000007"/>
    <n v="9076.7800000000007"/>
    <n v="9114.17"/>
    <n v="29419.42"/>
    <n v="9114.17"/>
    <n v="0"/>
    <n v="120262"/>
    <n v="9114.17"/>
  </r>
  <r>
    <x v="12"/>
    <x v="1"/>
    <x v="0"/>
    <s v="5629200"/>
    <n v="730020"/>
    <s v="Rental and Leases-Equipment (DO NOT USE)"/>
    <s v="Enumclaw Med &amp; Spec-Shared Svc"/>
    <x v="0"/>
    <m/>
    <n v="0"/>
    <n v="0"/>
    <n v="130.22"/>
    <n v="0"/>
    <n v="0"/>
    <n v="0"/>
    <n v="0"/>
    <n v="0"/>
    <n v="0"/>
    <n v="0"/>
    <n v="0"/>
    <n v="0"/>
    <n v="130.22"/>
    <n v="0"/>
  </r>
  <r>
    <x v="12"/>
    <x v="1"/>
    <x v="0"/>
    <s v="5629200"/>
    <n v="730020"/>
    <s v="Rental and Leases-Copier Usage Fees (DO NOT USE)"/>
    <s v="Enumclaw Med &amp; Spec-Shared Svc"/>
    <x v="0"/>
    <n v="5100"/>
    <n v="1925.32"/>
    <n v="1918.59"/>
    <n v="1921.95"/>
    <n v="1921.95"/>
    <n v="1921.95"/>
    <n v="1921.95"/>
    <n v="804.51"/>
    <n v="1268.58"/>
    <n v="1987.59"/>
    <n v="2858.07"/>
    <n v="1251.02"/>
    <n v="1408.62"/>
    <n v="21110.100000000002"/>
    <n v="-157.59999999999991"/>
  </r>
  <r>
    <x v="12"/>
    <x v="1"/>
    <x v="0"/>
    <s v="5629200"/>
    <n v="730040"/>
    <s v="LT Lease-Real Estate"/>
    <s v="Enumclaw Med &amp; Spec-Shared Svc"/>
    <x v="0"/>
    <m/>
    <n v="0"/>
    <n v="0"/>
    <n v="0"/>
    <n v="0"/>
    <n v="0"/>
    <n v="0"/>
    <n v="0"/>
    <n v="0"/>
    <n v="0"/>
    <n v="0"/>
    <n v="0"/>
    <n v="56520.07"/>
    <n v="56520.07"/>
    <n v="-56520.07"/>
  </r>
  <r>
    <x v="15"/>
    <x v="1"/>
    <x v="0"/>
    <s v="5629200"/>
    <n v="731020"/>
    <s v="Electricity"/>
    <s v="Enumclaw Med &amp; Spec-Shared Svc"/>
    <x v="0"/>
    <m/>
    <n v="3208.18"/>
    <n v="3646.68"/>
    <n v="3470.17"/>
    <n v="3072.79"/>
    <n v="3464.43"/>
    <n v="4163.91"/>
    <n v="4025.62"/>
    <n v="4272.2299999999996"/>
    <n v="4760.3"/>
    <n v="3754.85"/>
    <n v="3365.34"/>
    <n v="3109.95"/>
    <n v="44314.45"/>
    <n v="255.39000000000033"/>
  </r>
  <r>
    <x v="15"/>
    <x v="1"/>
    <x v="0"/>
    <s v="5629200"/>
    <n v="731030"/>
    <s v="Water"/>
    <s v="Enumclaw Med &amp; Spec-Shared Svc"/>
    <x v="0"/>
    <m/>
    <n v="199.04"/>
    <n v="220.91"/>
    <n v="342.41"/>
    <n v="518.05999999999995"/>
    <n v="267.77"/>
    <n v="236.18"/>
    <n v="287.20999999999998"/>
    <n v="221.6"/>
    <n v="223.42"/>
    <n v="352.82"/>
    <n v="476.26"/>
    <n v="347.96"/>
    <n v="3693.6400000000003"/>
    <n v="128.30000000000001"/>
  </r>
  <r>
    <x v="15"/>
    <x v="1"/>
    <x v="0"/>
    <s v="5629200"/>
    <n v="731040"/>
    <s v="Sewer"/>
    <s v="Enumclaw Med &amp; Spec-Shared Svc"/>
    <x v="0"/>
    <m/>
    <n v="285.69"/>
    <n v="358.57"/>
    <n v="713.86"/>
    <n v="1214.9100000000001"/>
    <n v="513.44000000000005"/>
    <n v="385.9"/>
    <n v="586.32000000000005"/>
    <n v="306.35000000000002"/>
    <n v="336.36"/>
    <n v="749.15"/>
    <n v="945.95"/>
    <n v="478.55"/>
    <n v="6875.0499999999993"/>
    <n v="467.40000000000003"/>
  </r>
  <r>
    <x v="15"/>
    <x v="1"/>
    <x v="0"/>
    <s v="5629200"/>
    <n v="731050"/>
    <s v="Refuse Disposal"/>
    <s v="Enumclaw Med &amp; Spec-Shared Svc"/>
    <x v="0"/>
    <m/>
    <n v="1434.67"/>
    <n v="1373.8"/>
    <n v="1373.8"/>
    <n v="1373.8"/>
    <n v="2310.81"/>
    <n v="1373.8"/>
    <n v="1373.8"/>
    <n v="1436.56"/>
    <n v="1260.75"/>
    <n v="1332.68"/>
    <n v="1332.68"/>
    <n v="1332.68"/>
    <n v="17309.829999999998"/>
    <n v="0"/>
  </r>
  <r>
    <x v="15"/>
    <x v="1"/>
    <x v="0"/>
    <s v="5629200"/>
    <n v="731060"/>
    <s v="Telephone"/>
    <s v="Enumclaw Med &amp; Spec-Shared Svc"/>
    <x v="0"/>
    <m/>
    <n v="74.98"/>
    <n v="0"/>
    <n v="0"/>
    <n v="0"/>
    <n v="0"/>
    <n v="0"/>
    <n v="0"/>
    <n v="0"/>
    <n v="0"/>
    <n v="0"/>
    <n v="0"/>
    <n v="0"/>
    <n v="74.98"/>
    <n v="0"/>
  </r>
  <r>
    <x v="15"/>
    <x v="1"/>
    <x v="0"/>
    <s v="5629200"/>
    <n v="731060"/>
    <s v="Pagers"/>
    <s v="Enumclaw Med &amp; Spec-Shared Svc"/>
    <x v="0"/>
    <n v="1002"/>
    <n v="41.4"/>
    <n v="41.4"/>
    <n v="41.4"/>
    <n v="41.48"/>
    <n v="48.99"/>
    <n v="0"/>
    <n v="27.25"/>
    <n v="8.1199999999999992"/>
    <n v="8.1199999999999992"/>
    <n v="8.1199999999999992"/>
    <n v="8.1199999999999992"/>
    <n v="8.1199999999999992"/>
    <n v="282.52"/>
    <n v="0"/>
  </r>
  <r>
    <x v="15"/>
    <x v="1"/>
    <x v="0"/>
    <s v="5629200"/>
    <n v="731070"/>
    <s v="Cable TV"/>
    <s v="Enumclaw Med &amp; Spec-Shared Svc"/>
    <x v="0"/>
    <m/>
    <n v="149.16"/>
    <n v="149.16"/>
    <n v="0"/>
    <n v="300.73"/>
    <n v="151.57"/>
    <n v="151.57"/>
    <n v="151.57"/>
    <n v="0"/>
    <n v="303.14"/>
    <n v="0"/>
    <n v="304.60000000000002"/>
    <n v="0"/>
    <n v="1661.4999999999995"/>
    <n v="304.60000000000002"/>
  </r>
  <r>
    <x v="16"/>
    <x v="1"/>
    <x v="0"/>
    <s v="5629200"/>
    <n v="732030"/>
    <s v="Repairs---Other"/>
    <s v="Enumclaw Med &amp; Spec-Shared Svc"/>
    <x v="0"/>
    <m/>
    <n v="85.72"/>
    <n v="792.97"/>
    <n v="298.37"/>
    <n v="673.61"/>
    <n v="0"/>
    <n v="641.52"/>
    <n v="611.1"/>
    <n v="329.36"/>
    <n v="0"/>
    <n v="0"/>
    <n v="903.09"/>
    <n v="738.15"/>
    <n v="5073.8899999999994"/>
    <n v="164.94000000000005"/>
  </r>
  <r>
    <x v="16"/>
    <x v="1"/>
    <x v="0"/>
    <s v="5629200"/>
    <n v="733030"/>
    <s v="Maintenance Contracts-Other"/>
    <s v="Enumclaw Med &amp; Spec-Shared Svc"/>
    <x v="0"/>
    <m/>
    <n v="0"/>
    <n v="0"/>
    <n v="0"/>
    <n v="0"/>
    <n v="69.900000000000006"/>
    <n v="0"/>
    <n v="0"/>
    <n v="0"/>
    <n v="0"/>
    <n v="0"/>
    <n v="71.8"/>
    <n v="0"/>
    <n v="141.69999999999999"/>
    <n v="71.8"/>
  </r>
  <r>
    <x v="13"/>
    <x v="1"/>
    <x v="0"/>
    <s v="5629200"/>
    <n v="735050"/>
    <s v="Amortization-Leasehold Improvements"/>
    <s v="Enumclaw Med &amp; Spec-Shared Svc"/>
    <x v="0"/>
    <m/>
    <n v="3038.7"/>
    <n v="3038.7"/>
    <n v="186.91"/>
    <n v="186.91"/>
    <n v="186.91"/>
    <n v="186.91"/>
    <n v="186.91"/>
    <n v="186.91"/>
    <n v="186.91"/>
    <n v="186.91"/>
    <n v="186.92"/>
    <n v="186.9"/>
    <n v="7946.4999999999982"/>
    <n v="1.999999999998181E-2"/>
  </r>
  <r>
    <x v="13"/>
    <x v="1"/>
    <x v="0"/>
    <s v="5629200"/>
    <n v="735060"/>
    <s v="Depreciation-Fixed Equipment"/>
    <s v="Enumclaw Med &amp; Spec-Shared Svc"/>
    <x v="0"/>
    <m/>
    <n v="206.93"/>
    <n v="206.93"/>
    <n v="206.93"/>
    <n v="206.93"/>
    <n v="206.93"/>
    <n v="206.93"/>
    <n v="206.93"/>
    <n v="206.91"/>
    <n v="206.93"/>
    <n v="206.91"/>
    <n v="206.93"/>
    <n v="206.91"/>
    <n v="2483.1"/>
    <n v="2.0000000000010232E-2"/>
  </r>
  <r>
    <x v="13"/>
    <x v="1"/>
    <x v="0"/>
    <s v="5629200"/>
    <n v="735070"/>
    <s v="Depreciation-Movable Equipment"/>
    <s v="Enumclaw Med &amp; Spec-Shared Svc"/>
    <x v="0"/>
    <m/>
    <n v="2102.92"/>
    <n v="2242.87"/>
    <n v="2237.4499999999998"/>
    <n v="2237.42"/>
    <n v="2237.4499999999998"/>
    <n v="2237.41"/>
    <n v="2237.4499999999998"/>
    <n v="2314.91"/>
    <n v="2314.96"/>
    <n v="2314.88"/>
    <n v="2314.98"/>
    <n v="2314.88"/>
    <n v="27107.58"/>
    <n v="9.9999999999909051E-2"/>
  </r>
  <r>
    <x v="0"/>
    <x v="1"/>
    <x v="0"/>
    <s v="5629200"/>
    <n v="740020"/>
    <s v="Education-Registration Fees"/>
    <s v="Enumclaw Med &amp; Spec-Shared Svc"/>
    <x v="0"/>
    <m/>
    <n v="0"/>
    <n v="0"/>
    <n v="585"/>
    <n v="0"/>
    <n v="0"/>
    <n v="0"/>
    <n v="0"/>
    <n v="0"/>
    <n v="0"/>
    <n v="595"/>
    <n v="0"/>
    <n v="0"/>
    <n v="1180"/>
    <n v="0"/>
  </r>
  <r>
    <x v="0"/>
    <x v="1"/>
    <x v="0"/>
    <s v="5629200"/>
    <n v="742040"/>
    <s v="Freight-Other"/>
    <s v="Enumclaw Med &amp; Spec-Shared Svc"/>
    <x v="0"/>
    <m/>
    <n v="0"/>
    <n v="0"/>
    <n v="0"/>
    <n v="0"/>
    <n v="0"/>
    <n v="0"/>
    <n v="0"/>
    <n v="0"/>
    <n v="0"/>
    <n v="0"/>
    <n v="0"/>
    <n v="21.2"/>
    <n v="21.2"/>
    <n v="-21.2"/>
  </r>
  <r>
    <x v="0"/>
    <x v="1"/>
    <x v="0"/>
    <s v="5629200"/>
    <n v="743020"/>
    <s v="Dues--Individual"/>
    <s v="Enumclaw Med &amp; Spec-Shared Svc"/>
    <x v="0"/>
    <m/>
    <n v="0"/>
    <n v="0"/>
    <n v="0"/>
    <n v="0"/>
    <n v="0"/>
    <n v="0"/>
    <n v="0"/>
    <n v="0"/>
    <n v="3870"/>
    <n v="0"/>
    <n v="0"/>
    <n v="0"/>
    <n v="3870"/>
    <n v="0"/>
  </r>
  <r>
    <x v="0"/>
    <x v="1"/>
    <x v="0"/>
    <s v="5629200"/>
    <n v="743030"/>
    <s v="Subscriptions--Institutional"/>
    <s v="Enumclaw Med &amp; Spec-Shared Svc"/>
    <x v="0"/>
    <m/>
    <n v="0"/>
    <n v="0"/>
    <n v="182.25"/>
    <n v="0"/>
    <n v="72.930000000000007"/>
    <n v="240.76"/>
    <n v="196.44"/>
    <n v="0"/>
    <n v="164.95"/>
    <n v="0"/>
    <n v="0"/>
    <n v="0"/>
    <n v="857.32999999999993"/>
    <n v="0"/>
  </r>
  <r>
    <x v="0"/>
    <x v="1"/>
    <x v="0"/>
    <s v="5629200"/>
    <n v="744012"/>
    <s v="Recruitment-Physician"/>
    <s v="Enumclaw Med &amp; Spec-Shared Svc"/>
    <x v="0"/>
    <m/>
    <n v="0"/>
    <n v="0"/>
    <n v="28.25"/>
    <n v="0"/>
    <n v="0"/>
    <n v="0"/>
    <n v="0"/>
    <n v="0"/>
    <n v="0"/>
    <n v="0"/>
    <n v="0"/>
    <n v="0"/>
    <n v="28.25"/>
    <n v="0"/>
  </r>
  <r>
    <x v="0"/>
    <x v="1"/>
    <x v="0"/>
    <s v="5629200"/>
    <n v="749510"/>
    <s v="Miscellaneous Expenses"/>
    <s v="Enumclaw Med &amp; Spec-Shared Svc"/>
    <x v="0"/>
    <m/>
    <n v="80.05"/>
    <n v="360.6"/>
    <n v="210.88"/>
    <n v="208.01"/>
    <n v="216.18"/>
    <n v="176.55"/>
    <n v="835"/>
    <n v="67.459999999999994"/>
    <n v="214.46"/>
    <n v="3400.88"/>
    <n v="635.33000000000004"/>
    <n v="181.3"/>
    <n v="6586.7"/>
    <n v="454.03000000000003"/>
  </r>
  <r>
    <x v="0"/>
    <x v="1"/>
    <x v="0"/>
    <s v="5629200"/>
    <n v="749510"/>
    <s v="Licenses"/>
    <s v="Enumclaw Med &amp; Spec-Shared Svc"/>
    <x v="0"/>
    <n v="1002"/>
    <n v="0"/>
    <n v="0"/>
    <n v="330"/>
    <n v="0"/>
    <n v="0"/>
    <n v="0"/>
    <n v="0"/>
    <n v="0"/>
    <n v="0"/>
    <n v="0"/>
    <n v="200"/>
    <n v="0"/>
    <n v="530"/>
    <n v="200"/>
  </r>
  <r>
    <x v="0"/>
    <x v="1"/>
    <x v="0"/>
    <s v="5629200"/>
    <n v="749510"/>
    <s v="RICE Rewards"/>
    <s v="Enumclaw Med &amp; Spec-Shared Svc"/>
    <x v="0"/>
    <n v="5100"/>
    <n v="0"/>
    <n v="0"/>
    <n v="0"/>
    <n v="0"/>
    <n v="0"/>
    <n v="0"/>
    <n v="0"/>
    <n v="0"/>
    <n v="0"/>
    <n v="0"/>
    <n v="0"/>
    <n v="2728.55"/>
    <n v="2728.55"/>
    <n v="-2728.55"/>
  </r>
  <r>
    <x v="0"/>
    <x v="1"/>
    <x v="0"/>
    <s v="5629200"/>
    <n v="749530"/>
    <s v="Travel"/>
    <s v="Enumclaw Med &amp; Spec-Shared Svc"/>
    <x v="0"/>
    <m/>
    <n v="0"/>
    <n v="0"/>
    <n v="0"/>
    <n v="0"/>
    <n v="0"/>
    <n v="63.45"/>
    <n v="0"/>
    <n v="0"/>
    <n v="0"/>
    <n v="0"/>
    <n v="0"/>
    <n v="0"/>
    <n v="63.45"/>
    <n v="0"/>
  </r>
  <r>
    <x v="0"/>
    <x v="1"/>
    <x v="0"/>
    <s v="5629200"/>
    <n v="749530"/>
    <s v="Mileage"/>
    <s v="Enumclaw Med &amp; Spec-Shared Svc"/>
    <x v="0"/>
    <n v="1001"/>
    <n v="0"/>
    <n v="0"/>
    <n v="183.15"/>
    <n v="0"/>
    <n v="0"/>
    <n v="31.07"/>
    <n v="210.73"/>
    <n v="302.76"/>
    <n v="357.28"/>
    <n v="437.9"/>
    <n v="149.06"/>
    <n v="296.38"/>
    <n v="1968.33"/>
    <n v="-147.32"/>
  </r>
  <r>
    <x v="0"/>
    <x v="1"/>
    <x v="0"/>
    <s v="5629200"/>
    <n v="749535"/>
    <s v="Meetings"/>
    <s v="Enumclaw Med &amp; Spec-Shared Svc"/>
    <x v="0"/>
    <m/>
    <n v="0"/>
    <n v="0"/>
    <n v="0"/>
    <n v="0"/>
    <n v="0"/>
    <n v="0"/>
    <n v="0"/>
    <n v="0"/>
    <n v="68.790000000000006"/>
    <n v="26.81"/>
    <n v="0"/>
    <n v="0"/>
    <n v="95.600000000000009"/>
    <n v="0"/>
  </r>
  <r>
    <x v="0"/>
    <x v="1"/>
    <x v="0"/>
    <s v="5629200"/>
    <n v="749550"/>
    <s v="Cash Over/Short"/>
    <s v="Enumclaw Med &amp; Spec-Shared Svc"/>
    <x v="0"/>
    <m/>
    <n v="-4"/>
    <n v="0.5"/>
    <n v="0"/>
    <n v="0.66"/>
    <n v="0"/>
    <n v="10"/>
    <n v="0"/>
    <n v="0"/>
    <n v="3.05"/>
    <n v="0"/>
    <n v="0.02"/>
    <n v="0"/>
    <n v="10.23"/>
    <n v="0.02"/>
  </r>
  <r>
    <x v="0"/>
    <x v="1"/>
    <x v="0"/>
    <s v="5629200"/>
    <n v="749591"/>
    <s v="Other Expense-Intracompany Allocation"/>
    <s v="Enumclaw Med &amp; Spec-Shared Svc"/>
    <x v="0"/>
    <m/>
    <n v="-192307.43"/>
    <n v="-210285.89"/>
    <n v="-180160.5"/>
    <n v="-235339.49"/>
    <n v="-204920.37"/>
    <n v="-216472.56"/>
    <n v="-256266.65"/>
    <n v="-210798.56"/>
    <n v="-228838.16"/>
    <n v="-231987.46"/>
    <n v="-254696.48"/>
    <n v="-203992.48"/>
    <n v="-2626066.0299999998"/>
    <n v="-50704"/>
  </r>
  <r>
    <x v="0"/>
    <x v="1"/>
    <x v="0"/>
    <s v="5629200"/>
    <n v="766010"/>
    <s v="Property Tax"/>
    <s v="Enumclaw Med &amp; Spec-Shared Svc"/>
    <x v="0"/>
    <m/>
    <n v="206.81"/>
    <n v="206.81"/>
    <n v="206.81"/>
    <n v="206.81"/>
    <n v="206.81"/>
    <n v="206.81"/>
    <n v="206.81"/>
    <n v="206.81"/>
    <n v="206.81"/>
    <n v="202.04"/>
    <n v="205.61"/>
    <n v="205.61"/>
    <n v="2474.5500000000002"/>
    <n v="0"/>
  </r>
  <r>
    <x v="14"/>
    <x v="1"/>
    <x v="0"/>
    <s v="5630200"/>
    <n v="600026"/>
    <s v="POB Rental"/>
    <s v="Gig Harbor-Shared Svc"/>
    <x v="0"/>
    <n v="1001"/>
    <n v="-1681.47"/>
    <n v="-2713.99"/>
    <n v="-2713.99"/>
    <n v="-2713.99"/>
    <n v="-2713.99"/>
    <n v="-2713.99"/>
    <n v="-2713.99"/>
    <n v="-2713.99"/>
    <n v="-9693.68"/>
    <n v="-2713.99"/>
    <n v="-2713.99"/>
    <n v="-2713.99"/>
    <n v="-38515.049999999988"/>
    <n v="0"/>
  </r>
  <r>
    <x v="14"/>
    <x v="1"/>
    <x v="0"/>
    <s v="5630200"/>
    <n v="600026"/>
    <s v="Other Rental"/>
    <s v="Gig Harbor-Shared Svc"/>
    <x v="0"/>
    <n v="1002"/>
    <n v="-859.66"/>
    <n v="-1387.54"/>
    <n v="-1387.54"/>
    <n v="-1387.54"/>
    <n v="-1387.54"/>
    <n v="-1387.54"/>
    <n v="-1387.54"/>
    <n v="-1387.54"/>
    <n v="-4463.25"/>
    <n v="-1387.54"/>
    <n v="-1387.54"/>
    <n v="-1387.54"/>
    <n v="-19198.310000000001"/>
    <n v="0"/>
  </r>
  <r>
    <x v="14"/>
    <x v="1"/>
    <x v="0"/>
    <s v="5630200"/>
    <n v="600034"/>
    <s v="Vending Commission"/>
    <s v="Gig Harbor-Shared Svc"/>
    <x v="0"/>
    <n v="1002"/>
    <n v="0"/>
    <n v="0"/>
    <n v="0"/>
    <n v="0"/>
    <n v="0"/>
    <n v="0"/>
    <n v="0"/>
    <n v="0"/>
    <n v="0"/>
    <n v="0"/>
    <n v="-33.4"/>
    <n v="0"/>
    <n v="-33.4"/>
    <n v="-33.4"/>
  </r>
  <r>
    <x v="14"/>
    <x v="1"/>
    <x v="0"/>
    <s v="5630200"/>
    <n v="600050"/>
    <s v="Miscellaneous Revenue"/>
    <s v="Gig Harbor-Shared Svc"/>
    <x v="0"/>
    <m/>
    <n v="-46.02"/>
    <n v="0"/>
    <n v="0"/>
    <n v="-23.24"/>
    <n v="0"/>
    <n v="0"/>
    <n v="0"/>
    <n v="-42.12"/>
    <n v="0"/>
    <n v="0"/>
    <n v="0"/>
    <n v="0"/>
    <n v="-111.38"/>
    <n v="0"/>
  </r>
  <r>
    <x v="5"/>
    <x v="1"/>
    <x v="0"/>
    <s v="5630200"/>
    <n v="700014"/>
    <s v="Salaries-Management-Productive"/>
    <s v="Gig Harbor-Shared Svc"/>
    <x v="0"/>
    <m/>
    <n v="4493.4399999999996"/>
    <n v="6079.36"/>
    <n v="5286.4"/>
    <n v="6257.92"/>
    <n v="6033.28"/>
    <n v="5759.04"/>
    <n v="6317.16"/>
    <n v="5492.84"/>
    <n v="5767.49"/>
    <n v="6042.12"/>
    <n v="491.75"/>
    <n v="1671.4"/>
    <n v="59692.19999999999"/>
    <n v="-1179.6500000000001"/>
  </r>
  <r>
    <x v="5"/>
    <x v="1"/>
    <x v="0"/>
    <s v="5630200"/>
    <n v="700026"/>
    <s v="Salaries-RN-Productive"/>
    <s v="Gig Harbor-Shared Svc"/>
    <x v="0"/>
    <m/>
    <n v="5066.8"/>
    <n v="4442.8500000000004"/>
    <n v="4796.17"/>
    <n v="5635.46"/>
    <n v="5483.4"/>
    <n v="3942.9"/>
    <n v="3080.29"/>
    <n v="4007.27"/>
    <n v="5305.53"/>
    <n v="5485.97"/>
    <n v="5754.67"/>
    <n v="4725.95"/>
    <n v="57727.259999999995"/>
    <n v="1028.7200000000003"/>
  </r>
  <r>
    <x v="5"/>
    <x v="1"/>
    <x v="0"/>
    <s v="5630200"/>
    <n v="700026"/>
    <s v="Salaries-RN-OT"/>
    <s v="Gig Harbor-Shared Svc"/>
    <x v="0"/>
    <n v="1000"/>
    <n v="189.45"/>
    <n v="24.83"/>
    <n v="366.48"/>
    <n v="119.23"/>
    <n v="254.44"/>
    <n v="-67.58"/>
    <n v="-3.55"/>
    <n v="33.229999999999997"/>
    <n v="239.83"/>
    <n v="362.13"/>
    <n v="184.06"/>
    <n v="237.53"/>
    <n v="1940.0800000000002"/>
    <n v="-53.47"/>
  </r>
  <r>
    <x v="5"/>
    <x v="1"/>
    <x v="0"/>
    <s v="5630200"/>
    <n v="700026"/>
    <s v="Salaries-RN-Other"/>
    <s v="Gig Harbor-Shared Svc"/>
    <x v="0"/>
    <n v="2000"/>
    <n v="0"/>
    <n v="0"/>
    <n v="0"/>
    <n v="0"/>
    <n v="208.14"/>
    <n v="208.22"/>
    <n v="203.11"/>
    <n v="187.63"/>
    <n v="218.92"/>
    <n v="229.34"/>
    <n v="235.44"/>
    <n v="209.04"/>
    <n v="1699.84"/>
    <n v="26.400000000000006"/>
  </r>
  <r>
    <x v="5"/>
    <x v="1"/>
    <x v="0"/>
    <s v="5630200"/>
    <n v="700030"/>
    <s v="Salaries-LPN-Productive"/>
    <s v="Gig Harbor-Shared Svc"/>
    <x v="0"/>
    <m/>
    <n v="0"/>
    <n v="0"/>
    <n v="0"/>
    <n v="0"/>
    <n v="0"/>
    <n v="0"/>
    <n v="0"/>
    <n v="0"/>
    <n v="1064.3399999999999"/>
    <n v="-147.76"/>
    <n v="0"/>
    <n v="0"/>
    <n v="916.57999999999993"/>
    <n v="0"/>
  </r>
  <r>
    <x v="5"/>
    <x v="1"/>
    <x v="0"/>
    <s v="5630200"/>
    <n v="700030"/>
    <s v="Salaries-LPN-Other"/>
    <s v="Gig Harbor-Shared Svc"/>
    <x v="0"/>
    <n v="2000"/>
    <n v="0"/>
    <n v="0"/>
    <n v="0"/>
    <n v="0"/>
    <n v="0"/>
    <n v="0"/>
    <n v="0"/>
    <n v="0"/>
    <n v="45.82"/>
    <n v="-5.77"/>
    <n v="0"/>
    <n v="0"/>
    <n v="40.049999999999997"/>
    <n v="0"/>
  </r>
  <r>
    <x v="5"/>
    <x v="1"/>
    <x v="0"/>
    <s v="5630200"/>
    <n v="700032"/>
    <s v="Salaries-Other Pat Care Providers-Productive"/>
    <s v="Gig Harbor-Shared Svc"/>
    <x v="0"/>
    <m/>
    <n v="2752.68"/>
    <n v="4201.91"/>
    <n v="3041.99"/>
    <n v="5435.1"/>
    <n v="4889.87"/>
    <n v="3483.83"/>
    <n v="4245.6400000000003"/>
    <n v="3672.26"/>
    <n v="8345.6299999999992"/>
    <n v="11253.08"/>
    <n v="11861.71"/>
    <n v="8344.2800000000007"/>
    <n v="71527.98"/>
    <n v="3517.4299999999985"/>
  </r>
  <r>
    <x v="5"/>
    <x v="1"/>
    <x v="0"/>
    <s v="5630200"/>
    <n v="700032"/>
    <s v="Salaries-Other Pat Care Providers-OT"/>
    <s v="Gig Harbor-Shared Svc"/>
    <x v="0"/>
    <n v="1000"/>
    <n v="54.9"/>
    <n v="109.01"/>
    <n v="91.49"/>
    <n v="503.43"/>
    <n v="-76.05"/>
    <n v="348.76"/>
    <n v="80.95"/>
    <n v="143.41999999999999"/>
    <n v="7.93"/>
    <n v="170.39"/>
    <n v="122.24"/>
    <n v="15.49"/>
    <n v="1571.96"/>
    <n v="106.75"/>
  </r>
  <r>
    <x v="5"/>
    <x v="1"/>
    <x v="0"/>
    <s v="5630200"/>
    <n v="700032"/>
    <s v="Salaries-Other Pat Care Providers-Other"/>
    <s v="Gig Harbor-Shared Svc"/>
    <x v="0"/>
    <n v="2000"/>
    <n v="0"/>
    <n v="13.5"/>
    <n v="-4.5"/>
    <n v="90"/>
    <n v="63.25"/>
    <n v="32.97"/>
    <n v="26.86"/>
    <n v="49.76"/>
    <n v="48.11"/>
    <n v="17.7"/>
    <n v="43.16"/>
    <n v="-0.49"/>
    <n v="380.31999999999994"/>
    <n v="43.65"/>
  </r>
  <r>
    <x v="5"/>
    <x v="1"/>
    <x v="0"/>
    <s v="5630200"/>
    <n v="700034"/>
    <s v="Salaries-Tech/Professional-Productive"/>
    <s v="Gig Harbor-Shared Svc"/>
    <x v="0"/>
    <m/>
    <n v="0"/>
    <n v="0"/>
    <n v="0"/>
    <n v="0"/>
    <n v="0"/>
    <n v="0"/>
    <n v="0"/>
    <n v="0"/>
    <n v="0"/>
    <n v="0"/>
    <n v="1410"/>
    <n v="-705"/>
    <n v="705"/>
    <n v="2115"/>
  </r>
  <r>
    <x v="5"/>
    <x v="1"/>
    <x v="0"/>
    <s v="5630200"/>
    <n v="700038"/>
    <s v="Salaries-Service/Support-Productive"/>
    <s v="Gig Harbor-Shared Svc"/>
    <x v="0"/>
    <m/>
    <n v="21101.11"/>
    <n v="21199.56"/>
    <n v="17541.849999999999"/>
    <n v="27139.7"/>
    <n v="27076.06"/>
    <n v="13348.47"/>
    <n v="15239.83"/>
    <n v="12168.15"/>
    <n v="18485.95"/>
    <n v="18141.490000000002"/>
    <n v="25106.17"/>
    <n v="17792.61"/>
    <n v="234340.94999999995"/>
    <n v="7313.5599999999977"/>
  </r>
  <r>
    <x v="5"/>
    <x v="1"/>
    <x v="0"/>
    <s v="5630200"/>
    <n v="700038"/>
    <s v="Salaries-Service/Support-OT"/>
    <s v="Gig Harbor-Shared Svc"/>
    <x v="0"/>
    <n v="1000"/>
    <n v="427.35"/>
    <n v="359.08"/>
    <n v="322.17"/>
    <n v="303.76"/>
    <n v="558.73"/>
    <n v="-138.38"/>
    <n v="156.22"/>
    <n v="-46.15"/>
    <n v="194.77"/>
    <n v="106.88"/>
    <n v="225.94"/>
    <n v="125.75"/>
    <n v="2596.1200000000003"/>
    <n v="100.19"/>
  </r>
  <r>
    <x v="5"/>
    <x v="1"/>
    <x v="0"/>
    <s v="5630200"/>
    <n v="700038"/>
    <s v="Salaries-Service/Support-Other"/>
    <s v="Gig Harbor-Shared Svc"/>
    <x v="0"/>
    <n v="2000"/>
    <n v="313.22000000000003"/>
    <n v="326.5"/>
    <n v="284.51"/>
    <n v="327.69"/>
    <n v="316.01"/>
    <n v="393.32"/>
    <n v="359.05"/>
    <n v="287.64"/>
    <n v="379.12"/>
    <n v="323.60000000000002"/>
    <n v="352.55"/>
    <n v="280.39999999999998"/>
    <n v="3943.61"/>
    <n v="72.150000000000034"/>
  </r>
  <r>
    <x v="5"/>
    <x v="1"/>
    <x v="0"/>
    <s v="5630200"/>
    <n v="700054"/>
    <s v="Salaries-Management-Non-productive"/>
    <s v="Gig Harbor-Shared Svc"/>
    <x v="0"/>
    <m/>
    <n v="1321.6"/>
    <n v="0"/>
    <n v="0"/>
    <n v="0"/>
    <n v="0"/>
    <n v="0"/>
    <n v="0"/>
    <n v="0"/>
    <n v="0"/>
    <n v="0"/>
    <n v="0"/>
    <n v="0"/>
    <n v="1321.6"/>
    <n v="0"/>
  </r>
  <r>
    <x v="5"/>
    <x v="1"/>
    <x v="0"/>
    <s v="5630200"/>
    <n v="700054"/>
    <s v="Salaries-Management-NonProd-Other"/>
    <s v="Gig Harbor-Shared Svc"/>
    <x v="0"/>
    <n v="2000"/>
    <n v="0"/>
    <n v="0"/>
    <n v="0"/>
    <n v="0"/>
    <n v="0"/>
    <n v="1100.58"/>
    <n v="-1100.58"/>
    <n v="0"/>
    <n v="0"/>
    <n v="0"/>
    <n v="0"/>
    <n v="0"/>
    <n v="0"/>
    <n v="0"/>
  </r>
  <r>
    <x v="5"/>
    <x v="1"/>
    <x v="0"/>
    <s v="5630200"/>
    <n v="700066"/>
    <s v="Salaries-RN-Non-productive"/>
    <s v="Gig Harbor-Shared Svc"/>
    <x v="0"/>
    <m/>
    <n v="240.56"/>
    <n v="1090.05"/>
    <n v="52.62"/>
    <n v="60.14"/>
    <n v="7.8"/>
    <n v="1298.7"/>
    <n v="1991.25"/>
    <n v="653.04"/>
    <n v="0"/>
    <n v="0"/>
    <n v="0"/>
    <n v="335.89"/>
    <n v="5730.05"/>
    <n v="-335.89"/>
  </r>
  <r>
    <x v="5"/>
    <x v="1"/>
    <x v="0"/>
    <s v="5630200"/>
    <n v="700066"/>
    <s v="Salaries-RN-NonProd-Other"/>
    <s v="Gig Harbor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0200"/>
    <n v="700072"/>
    <s v="Salaries-Other Pat Care Providers-Non-productive"/>
    <s v="Gig Harbor-Shared Svc"/>
    <x v="0"/>
    <m/>
    <n v="968.71"/>
    <n v="289.44"/>
    <n v="348.84"/>
    <n v="0"/>
    <n v="0"/>
    <n v="1052.31"/>
    <n v="251.92"/>
    <n v="632.22"/>
    <n v="799.28"/>
    <n v="-321.25"/>
    <n v="204.9"/>
    <n v="958.82"/>
    <n v="5185.1899999999996"/>
    <n v="-753.92000000000007"/>
  </r>
  <r>
    <x v="5"/>
    <x v="1"/>
    <x v="0"/>
    <s v="5630200"/>
    <n v="700072"/>
    <s v="Salaries-Other Pat Care Providers-NonProd-Other"/>
    <s v="Gig Harbor-Shared Svc"/>
    <x v="0"/>
    <n v="2000"/>
    <n v="0"/>
    <n v="0"/>
    <n v="0"/>
    <n v="0"/>
    <n v="19.809999999999999"/>
    <n v="0"/>
    <n v="0"/>
    <n v="9.92"/>
    <n v="9.92"/>
    <n v="0"/>
    <n v="19.84"/>
    <n v="-9.92"/>
    <n v="49.569999999999993"/>
    <n v="29.759999999999998"/>
  </r>
  <r>
    <x v="5"/>
    <x v="1"/>
    <x v="0"/>
    <s v="5630200"/>
    <n v="700078"/>
    <s v="Salaries-Service/Support-Non-productive"/>
    <s v="Gig Harbor-Shared Svc"/>
    <x v="0"/>
    <m/>
    <n v="5335.04"/>
    <n v="6251.83"/>
    <n v="6407.78"/>
    <n v="944.18"/>
    <n v="-17.079999999999998"/>
    <n v="4116.8599999999997"/>
    <n v="2487.2600000000002"/>
    <n v="2542.87"/>
    <n v="-519.5"/>
    <n v="68.319999999999993"/>
    <n v="2884.6"/>
    <n v="1232.6199999999999"/>
    <n v="31734.779999999992"/>
    <n v="1651.98"/>
  </r>
  <r>
    <x v="5"/>
    <x v="1"/>
    <x v="0"/>
    <s v="5630200"/>
    <n v="700078"/>
    <s v="Salaries-Service/Support-NonProd-Other"/>
    <s v="Gig Harbor-Shared Svc"/>
    <x v="0"/>
    <n v="2000"/>
    <n v="0"/>
    <n v="0"/>
    <n v="0"/>
    <n v="0"/>
    <n v="444.61"/>
    <n v="10.039999999999999"/>
    <n v="-0.91"/>
    <n v="-440"/>
    <n v="0"/>
    <n v="15.91"/>
    <n v="0"/>
    <n v="0"/>
    <n v="29.650000000000009"/>
    <n v="0"/>
  </r>
  <r>
    <x v="5"/>
    <x v="1"/>
    <x v="0"/>
    <s v="5630200"/>
    <n v="700084"/>
    <s v="Accrued PTO"/>
    <s v="Gig Harbor-Shared Svc"/>
    <x v="0"/>
    <m/>
    <n v="-2732.35"/>
    <n v="-1643.24"/>
    <n v="-484.72"/>
    <n v="3094.58"/>
    <n v="3739.77"/>
    <n v="-903.26"/>
    <n v="-449.72"/>
    <n v="-2198.7800000000002"/>
    <n v="3085.07"/>
    <n v="3824.91"/>
    <n v="2576.33"/>
    <n v="1585.12"/>
    <n v="9493.7099999999991"/>
    <n v="991.21"/>
  </r>
  <r>
    <x v="6"/>
    <x v="1"/>
    <x v="0"/>
    <s v="5630200"/>
    <n v="713010"/>
    <s v="Benefits-FICA/Medicare"/>
    <s v="Gig Harbor-Shared Svc"/>
    <x v="0"/>
    <m/>
    <n v="3111.08"/>
    <n v="3268.97"/>
    <n v="2838.42"/>
    <n v="3451.44"/>
    <n v="3410.93"/>
    <n v="2527.02"/>
    <n v="2596.94"/>
    <n v="2178.34"/>
    <n v="3025.08"/>
    <n v="3082.41"/>
    <n v="4344.53"/>
    <n v="2601.62"/>
    <n v="36436.780000000006"/>
    <n v="1742.9099999999999"/>
  </r>
  <r>
    <x v="6"/>
    <x v="1"/>
    <x v="0"/>
    <s v="5630200"/>
    <n v="713090"/>
    <s v="Benefits-Allocated Amounts"/>
    <s v="Gig Harbor-Shared Svc"/>
    <x v="0"/>
    <m/>
    <n v="11680.27"/>
    <n v="10752.88"/>
    <n v="11502.41"/>
    <n v="12153.87"/>
    <n v="12164.26"/>
    <n v="9761.6200000000008"/>
    <n v="10494.66"/>
    <n v="9475.8700000000008"/>
    <n v="11415.76"/>
    <n v="11986.71"/>
    <n v="13357.37"/>
    <n v="12817.82"/>
    <n v="137563.5"/>
    <n v="539.55000000000109"/>
  </r>
  <r>
    <x v="6"/>
    <x v="1"/>
    <x v="0"/>
    <s v="5630200"/>
    <n v="713096"/>
    <s v="Employee Recognition"/>
    <s v="Gig Harbor-Shared Svc"/>
    <x v="0"/>
    <n v="1017"/>
    <n v="0"/>
    <n v="0"/>
    <n v="0"/>
    <n v="0"/>
    <n v="21.69"/>
    <n v="0"/>
    <n v="0"/>
    <n v="0"/>
    <n v="0"/>
    <n v="145.28"/>
    <n v="0"/>
    <n v="0"/>
    <n v="166.97"/>
    <n v="0"/>
  </r>
  <r>
    <x v="7"/>
    <x v="1"/>
    <x v="0"/>
    <s v="5630200"/>
    <n v="718010"/>
    <s v="Contract Services-Advertising &amp; Public Relations"/>
    <s v="Gig Harbor-Shared Svc"/>
    <x v="0"/>
    <m/>
    <n v="0"/>
    <n v="0"/>
    <n v="0"/>
    <n v="0"/>
    <n v="173.27"/>
    <n v="0"/>
    <n v="0"/>
    <n v="0"/>
    <n v="0"/>
    <n v="0"/>
    <n v="45.08"/>
    <n v="0"/>
    <n v="218.35000000000002"/>
    <n v="45.08"/>
  </r>
  <r>
    <x v="7"/>
    <x v="1"/>
    <x v="0"/>
    <s v="5630200"/>
    <n v="718010"/>
    <s v="Media/Print Advertising"/>
    <s v="Gig Harbor-Shared Svc"/>
    <x v="0"/>
    <n v="1004"/>
    <n v="780.48"/>
    <n v="0"/>
    <n v="0"/>
    <n v="643.29"/>
    <n v="173.27"/>
    <n v="1010.96"/>
    <n v="136.57"/>
    <n v="0"/>
    <n v="0"/>
    <n v="0"/>
    <n v="871.67"/>
    <n v="274.36"/>
    <n v="3890.6000000000004"/>
    <n v="597.30999999999995"/>
  </r>
  <r>
    <x v="7"/>
    <x v="1"/>
    <x v="0"/>
    <s v="5630200"/>
    <n v="718050"/>
    <s v="Contract Svcs-Other"/>
    <s v="Gig Harbor-Shared Svc"/>
    <x v="0"/>
    <m/>
    <n v="174.11"/>
    <n v="545.72"/>
    <n v="270.47000000000003"/>
    <n v="174.11"/>
    <n v="174.11"/>
    <n v="467.67"/>
    <n v="100.36"/>
    <n v="216.1"/>
    <n v="657.11"/>
    <n v="100.36"/>
    <n v="271.25"/>
    <n v="0"/>
    <n v="3151.3700000000003"/>
    <n v="271.25"/>
  </r>
  <r>
    <x v="7"/>
    <x v="1"/>
    <x v="0"/>
    <s v="5630200"/>
    <n v="718050"/>
    <s v="Document Shredding/Storage"/>
    <s v="Gig Harbor-Shared Svc"/>
    <x v="0"/>
    <n v="1012"/>
    <n v="844.36"/>
    <n v="76.72"/>
    <n v="716.84"/>
    <n v="635.41"/>
    <n v="929.78"/>
    <n v="665.37"/>
    <n v="658.71"/>
    <n v="442.13"/>
    <n v="604.01"/>
    <n v="686.21"/>
    <n v="648.65"/>
    <n v="672.12"/>
    <n v="7580.3099999999995"/>
    <n v="-23.470000000000027"/>
  </r>
  <r>
    <x v="7"/>
    <x v="1"/>
    <x v="0"/>
    <s v="5630200"/>
    <n v="718050"/>
    <s v="Physician Answering"/>
    <s v="Gig Harbor-Shared Svc"/>
    <x v="0"/>
    <n v="1015"/>
    <n v="372.4"/>
    <n v="448.2"/>
    <n v="469.6"/>
    <n v="260.39999999999998"/>
    <n v="443.6"/>
    <n v="487.6"/>
    <n v="705.8"/>
    <n v="485.4"/>
    <n v="641.6"/>
    <n v="685.2"/>
    <n v="422"/>
    <n v="594.20000000000005"/>
    <n v="6015.9999999999991"/>
    <n v="-172.20000000000005"/>
  </r>
  <r>
    <x v="7"/>
    <x v="1"/>
    <x v="0"/>
    <s v="5630200"/>
    <n v="718050"/>
    <s v="Miscellaneous Purchased Svcs"/>
    <s v="Gig Harbor-Shared Svc"/>
    <x v="0"/>
    <n v="1020"/>
    <n v="98"/>
    <n v="97.5"/>
    <n v="49"/>
    <n v="526.23"/>
    <n v="49"/>
    <n v="32.5"/>
    <n v="162.5"/>
    <n v="65"/>
    <n v="32.5"/>
    <n v="0"/>
    <n v="132.86000000000001"/>
    <n v="7248.7"/>
    <n v="8493.7900000000009"/>
    <n v="-7115.84"/>
  </r>
  <r>
    <x v="7"/>
    <x v="1"/>
    <x v="0"/>
    <s v="5630200"/>
    <n v="718050"/>
    <s v="Translation Services"/>
    <s v="Gig Harbor-Shared Svc"/>
    <x v="0"/>
    <n v="1025"/>
    <n v="32"/>
    <n v="0"/>
    <n v="0"/>
    <n v="0"/>
    <n v="0"/>
    <n v="0"/>
    <n v="32"/>
    <n v="146.5"/>
    <n v="0"/>
    <n v="0"/>
    <n v="0"/>
    <n v="5.4"/>
    <n v="215.9"/>
    <n v="-5.4"/>
  </r>
  <r>
    <x v="7"/>
    <x v="1"/>
    <x v="0"/>
    <s v="5630200"/>
    <n v="718050"/>
    <s v="Contract Management--Linen"/>
    <s v="Gig Harbor-Shared Svc"/>
    <x v="0"/>
    <n v="1026"/>
    <n v="34.94"/>
    <n v="174.7"/>
    <n v="141.33000000000001"/>
    <n v="273.12"/>
    <n v="70.59"/>
    <n v="211.35"/>
    <n v="105.82"/>
    <n v="254.28"/>
    <n v="146.56"/>
    <n v="0"/>
    <n v="257.10000000000002"/>
    <n v="229.55"/>
    <n v="1899.34"/>
    <n v="27.550000000000011"/>
  </r>
  <r>
    <x v="7"/>
    <x v="1"/>
    <x v="0"/>
    <s v="5630200"/>
    <n v="718050"/>
    <s v="Purchased Srvcs--Medical Waste"/>
    <s v="Gig Harbor-Shared Svc"/>
    <x v="0"/>
    <n v="1027"/>
    <n v="52.56"/>
    <n v="31.08"/>
    <n v="10.36"/>
    <n v="105.34"/>
    <n v="21.48"/>
    <n v="83.75"/>
    <n v="74.150000000000006"/>
    <n v="31.08"/>
    <n v="21.48"/>
    <n v="20.72"/>
    <n v="32.380000000000003"/>
    <n v="10.36"/>
    <n v="494.74"/>
    <n v="22.020000000000003"/>
  </r>
  <r>
    <x v="7"/>
    <x v="1"/>
    <x v="0"/>
    <s v="5630200"/>
    <n v="718070"/>
    <s v="Contract Srvcs-CHI Clinical Engineering"/>
    <s v="Gig Harbor-Shared Svc"/>
    <x v="0"/>
    <m/>
    <n v="0"/>
    <n v="330.5"/>
    <n v="0"/>
    <n v="0"/>
    <n v="280.75"/>
    <n v="280.75"/>
    <n v="1001.91"/>
    <n v="0"/>
    <n v="0"/>
    <n v="0"/>
    <n v="0"/>
    <n v="1101"/>
    <n v="2994.91"/>
    <n v="-1101"/>
  </r>
  <r>
    <x v="11"/>
    <x v="1"/>
    <x v="0"/>
    <s v="5630200"/>
    <n v="721010"/>
    <s v="Supplies-Medical - Billable"/>
    <s v="Gig Harbor-Shared Svc"/>
    <x v="0"/>
    <m/>
    <n v="899.17"/>
    <n v="191.7"/>
    <n v="-84.72"/>
    <n v="593.63"/>
    <n v="352.84"/>
    <n v="175.55"/>
    <n v="379.31"/>
    <n v="596.17999999999995"/>
    <n v="157.1"/>
    <n v="164"/>
    <n v="830.79"/>
    <n v="872.4"/>
    <n v="5127.9499999999989"/>
    <n v="-41.610000000000014"/>
  </r>
  <r>
    <x v="11"/>
    <x v="1"/>
    <x v="0"/>
    <s v="5630200"/>
    <n v="721010"/>
    <s v="Patient Monitoring"/>
    <s v="Gig Harbor-Shared Svc"/>
    <x v="0"/>
    <n v="1000"/>
    <n v="0"/>
    <n v="0"/>
    <n v="-13.05"/>
    <n v="0"/>
    <n v="0"/>
    <n v="0"/>
    <n v="0"/>
    <n v="0"/>
    <n v="0"/>
    <n v="0"/>
    <n v="0"/>
    <n v="0"/>
    <n v="-13.05"/>
    <n v="0"/>
  </r>
  <r>
    <x v="11"/>
    <x v="1"/>
    <x v="0"/>
    <s v="5630200"/>
    <n v="721020"/>
    <s v="Supplies-Surgical - Billable"/>
    <s v="Gig Harbor-Shared Svc"/>
    <x v="0"/>
    <m/>
    <n v="0"/>
    <n v="0"/>
    <n v="-570.22"/>
    <n v="0"/>
    <n v="0"/>
    <n v="0"/>
    <n v="0"/>
    <n v="0"/>
    <n v="0"/>
    <n v="0"/>
    <n v="0"/>
    <n v="0"/>
    <n v="-570.22"/>
    <n v="0"/>
  </r>
  <r>
    <x v="11"/>
    <x v="1"/>
    <x v="0"/>
    <s v="5630200"/>
    <n v="721240"/>
    <s v="Supplies-IV Solutions/Supplies - Billable"/>
    <s v="Gig Harbor-Shared Svc"/>
    <x v="0"/>
    <m/>
    <n v="0"/>
    <n v="0"/>
    <n v="-89"/>
    <n v="0"/>
    <n v="0"/>
    <n v="0"/>
    <n v="0"/>
    <n v="0"/>
    <n v="0"/>
    <n v="0"/>
    <n v="0"/>
    <n v="0"/>
    <n v="-89"/>
    <n v="0"/>
  </r>
  <r>
    <x v="11"/>
    <x v="1"/>
    <x v="0"/>
    <s v="5630200"/>
    <n v="721250"/>
    <s v="Supplies-Pharmacy Drugs - Billable"/>
    <s v="Gig Harbor-Shared Svc"/>
    <x v="0"/>
    <m/>
    <n v="674.39"/>
    <n v="7655.8"/>
    <n v="7508.07"/>
    <n v="24914.92"/>
    <n v="22665.16"/>
    <n v="26357.1"/>
    <n v="1504.56"/>
    <n v="4643.28"/>
    <n v="689.17"/>
    <n v="4712.47"/>
    <n v="653.52"/>
    <n v="6518.71"/>
    <n v="108497.15000000001"/>
    <n v="-5865.1900000000005"/>
  </r>
  <r>
    <x v="11"/>
    <x v="1"/>
    <x v="0"/>
    <s v="5630200"/>
    <n v="721410"/>
    <s v="Supplies-Medical - Nonbillable"/>
    <s v="Gig Harbor-Shared Svc"/>
    <x v="0"/>
    <m/>
    <n v="462.18"/>
    <n v="3511.35"/>
    <n v="741.82"/>
    <n v="1923.05"/>
    <n v="966.69"/>
    <n v="899.94"/>
    <n v="400.31"/>
    <n v="489.46"/>
    <n v="528.19000000000005"/>
    <n v="745.76"/>
    <n v="149.54"/>
    <n v="282.38"/>
    <n v="11100.67"/>
    <n v="-132.84"/>
  </r>
  <r>
    <x v="11"/>
    <x v="1"/>
    <x v="0"/>
    <s v="5630200"/>
    <n v="721420"/>
    <s v="Supplies-Surgical Nonbillable"/>
    <s v="Gig Harbor-Shared Svc"/>
    <x v="0"/>
    <m/>
    <n v="0"/>
    <n v="0"/>
    <n v="-61.02"/>
    <n v="0"/>
    <n v="0"/>
    <n v="0"/>
    <n v="0"/>
    <n v="0"/>
    <n v="0"/>
    <n v="0"/>
    <n v="0"/>
    <n v="0"/>
    <n v="-61.02"/>
    <n v="0"/>
  </r>
  <r>
    <x v="11"/>
    <x v="1"/>
    <x v="0"/>
    <s v="5630200"/>
    <n v="721810"/>
    <s v="Supplies-Dietary/Cafeteria"/>
    <s v="Gig Harbor-Shared Svc"/>
    <x v="0"/>
    <m/>
    <n v="0"/>
    <n v="0"/>
    <n v="0"/>
    <n v="0"/>
    <n v="0"/>
    <n v="0"/>
    <n v="0"/>
    <n v="49"/>
    <n v="49"/>
    <n v="0"/>
    <n v="0"/>
    <n v="0"/>
    <n v="98"/>
    <n v="0"/>
  </r>
  <r>
    <x v="11"/>
    <x v="1"/>
    <x v="0"/>
    <s v="5630200"/>
    <n v="721830"/>
    <s v="Supplies-Office"/>
    <s v="Gig Harbor-Shared Svc"/>
    <x v="0"/>
    <m/>
    <n v="407.29"/>
    <n v="1593.15"/>
    <n v="745.46"/>
    <n v="1360.26"/>
    <n v="722.46"/>
    <n v="564.64"/>
    <n v="415.91"/>
    <n v="345.74"/>
    <n v="926.25"/>
    <n v="572.29"/>
    <n v="425.92"/>
    <n v="229.51"/>
    <n v="8308.8799999999992"/>
    <n v="196.41000000000003"/>
  </r>
  <r>
    <x v="11"/>
    <x v="1"/>
    <x v="0"/>
    <s v="5630200"/>
    <n v="721835"/>
    <s v="Supplies-Forms"/>
    <s v="Gig Harbor-Shared Svc"/>
    <x v="0"/>
    <m/>
    <n v="0"/>
    <n v="0"/>
    <n v="0"/>
    <n v="0"/>
    <n v="184.44"/>
    <n v="325"/>
    <n v="21.2"/>
    <n v="0"/>
    <n v="98.8"/>
    <n v="50.3"/>
    <n v="147.44"/>
    <n v="0"/>
    <n v="827.17999999999984"/>
    <n v="147.44"/>
  </r>
  <r>
    <x v="11"/>
    <x v="1"/>
    <x v="0"/>
    <s v="5630200"/>
    <n v="721870"/>
    <s v="Supplies-Environmental Services"/>
    <s v="Gig Harbor-Shared Svc"/>
    <x v="0"/>
    <m/>
    <n v="0"/>
    <n v="0"/>
    <n v="0"/>
    <n v="0"/>
    <n v="0"/>
    <n v="0"/>
    <n v="819.95"/>
    <n v="567.83000000000004"/>
    <n v="537.25"/>
    <n v="136.62"/>
    <n v="266.06"/>
    <n v="948.62"/>
    <n v="3276.33"/>
    <n v="-682.56"/>
  </r>
  <r>
    <x v="11"/>
    <x v="1"/>
    <x v="0"/>
    <s v="5630200"/>
    <n v="721910"/>
    <s v="Supplies-Small Equipment"/>
    <s v="Gig Harbor-Shared Svc"/>
    <x v="0"/>
    <m/>
    <n v="0"/>
    <n v="0"/>
    <n v="4386.49"/>
    <n v="-412.23"/>
    <n v="1025.25"/>
    <n v="0"/>
    <n v="2240.54"/>
    <n v="0"/>
    <n v="0"/>
    <n v="277.52999999999997"/>
    <n v="-6423.98"/>
    <n v="0"/>
    <n v="1093.6000000000004"/>
    <n v="-6423.98"/>
  </r>
  <r>
    <x v="11"/>
    <x v="1"/>
    <x v="0"/>
    <s v="5630200"/>
    <n v="721980"/>
    <s v="Supplies-Other"/>
    <s v="Gig Harbor-Shared Svc"/>
    <x v="0"/>
    <m/>
    <n v="0"/>
    <n v="0"/>
    <n v="10.87"/>
    <n v="103.1"/>
    <n v="0"/>
    <n v="0"/>
    <n v="0"/>
    <n v="0"/>
    <n v="34.69"/>
    <n v="101.36"/>
    <n v="16.260000000000002"/>
    <n v="0"/>
    <n v="266.27999999999997"/>
    <n v="16.260000000000002"/>
  </r>
  <r>
    <x v="11"/>
    <x v="1"/>
    <x v="0"/>
    <s v="5630200"/>
    <n v="722000"/>
    <s v="Supplies-Freight Expense"/>
    <s v="Gig Harbor-Shared Svc"/>
    <x v="0"/>
    <m/>
    <n v="0"/>
    <n v="0"/>
    <n v="0"/>
    <n v="185.18"/>
    <n v="0"/>
    <n v="0"/>
    <n v="155.22999999999999"/>
    <n v="16.23"/>
    <n v="-8.33"/>
    <n v="-1.18"/>
    <n v="0"/>
    <n v="115.19"/>
    <n v="462.32"/>
    <n v="-115.19"/>
  </r>
  <r>
    <x v="12"/>
    <x v="1"/>
    <x v="0"/>
    <s v="5630200"/>
    <n v="730010"/>
    <s v="Rental and Leases-Building (DO NOT USE)"/>
    <s v="Gig Harbor-Shared Svc"/>
    <x v="0"/>
    <m/>
    <n v="20215.21"/>
    <n v="20225.75"/>
    <n v="20531.240000000002"/>
    <n v="20531.240000000002"/>
    <n v="20531.240000000002"/>
    <n v="3594.85"/>
    <n v="12957.04"/>
    <n v="12957.04"/>
    <n v="12957.04"/>
    <n v="-15562.31"/>
    <n v="12957.04"/>
    <n v="0"/>
    <n v="141895.38000000003"/>
    <n v="12957.04"/>
  </r>
  <r>
    <x v="12"/>
    <x v="1"/>
    <x v="0"/>
    <s v="5630200"/>
    <n v="730010"/>
    <s v="Rental-Common Area Maint (DO NOT USE)"/>
    <s v="Gig Harbor-Shared Svc"/>
    <x v="0"/>
    <n v="2200"/>
    <n v="0"/>
    <n v="0"/>
    <n v="0"/>
    <n v="0"/>
    <n v="0"/>
    <n v="17013.240000000002"/>
    <n v="7651.05"/>
    <n v="7651.05"/>
    <n v="10482.58"/>
    <n v="30898.17"/>
    <n v="7651.05"/>
    <n v="5703.87"/>
    <n v="87051.01"/>
    <n v="1947.1800000000003"/>
  </r>
  <r>
    <x v="12"/>
    <x v="1"/>
    <x v="0"/>
    <s v="5630200"/>
    <n v="730020"/>
    <s v="Rental and Leases-Copier Usage Fees (DO NOT USE)"/>
    <s v="Gig Harbor-Shared Svc"/>
    <x v="0"/>
    <n v="5100"/>
    <n v="1090.4100000000001"/>
    <n v="1114.93"/>
    <n v="1102.67"/>
    <n v="1102.67"/>
    <n v="1102.67"/>
    <n v="1102.67"/>
    <n v="512.08000000000004"/>
    <n v="897.43"/>
    <n v="1088.8599999999999"/>
    <n v="1048.29"/>
    <n v="921.37"/>
    <n v="977.28"/>
    <n v="12061.330000000002"/>
    <n v="-55.909999999999968"/>
  </r>
  <r>
    <x v="12"/>
    <x v="1"/>
    <x v="0"/>
    <s v="5630200"/>
    <n v="730040"/>
    <s v="LT Lease-Real Estate"/>
    <s v="Gig Harbor-Shared Svc"/>
    <x v="0"/>
    <m/>
    <n v="0"/>
    <n v="0"/>
    <n v="0"/>
    <n v="0"/>
    <n v="0"/>
    <n v="0"/>
    <n v="0"/>
    <n v="0"/>
    <n v="0"/>
    <n v="0"/>
    <n v="0"/>
    <n v="14904.22"/>
    <n v="14904.22"/>
    <n v="-14904.22"/>
  </r>
  <r>
    <x v="15"/>
    <x v="1"/>
    <x v="0"/>
    <s v="5630200"/>
    <n v="731050"/>
    <s v="Refuse Disposal"/>
    <s v="Gig Harbor-Shared Svc"/>
    <x v="0"/>
    <m/>
    <n v="0"/>
    <n v="0"/>
    <n v="66.72"/>
    <n v="0"/>
    <n v="0"/>
    <n v="0"/>
    <n v="66.72"/>
    <n v="0"/>
    <n v="0"/>
    <n v="0"/>
    <n v="0"/>
    <n v="0"/>
    <n v="133.44"/>
    <n v="0"/>
  </r>
  <r>
    <x v="15"/>
    <x v="1"/>
    <x v="0"/>
    <s v="5630200"/>
    <n v="731060"/>
    <s v="Telephone"/>
    <s v="Gig Harbor-Shared Svc"/>
    <x v="0"/>
    <m/>
    <n v="0"/>
    <n v="0"/>
    <n v="0"/>
    <n v="0"/>
    <n v="0"/>
    <n v="525"/>
    <n v="0"/>
    <n v="53.03"/>
    <n v="0"/>
    <n v="0"/>
    <n v="0"/>
    <n v="0"/>
    <n v="578.03"/>
    <n v="0"/>
  </r>
  <r>
    <x v="15"/>
    <x v="1"/>
    <x v="0"/>
    <s v="5630200"/>
    <n v="731060"/>
    <s v="Pagers"/>
    <s v="Gig Harbor-Shared Svc"/>
    <x v="0"/>
    <n v="1002"/>
    <n v="32.4"/>
    <n v="32.4"/>
    <n v="82.59"/>
    <n v="27.53"/>
    <n v="0"/>
    <n v="0"/>
    <n v="0"/>
    <n v="0"/>
    <n v="0"/>
    <n v="0"/>
    <n v="0"/>
    <n v="0"/>
    <n v="174.92"/>
    <n v="0"/>
  </r>
  <r>
    <x v="15"/>
    <x v="1"/>
    <x v="0"/>
    <s v="5630200"/>
    <n v="731070"/>
    <s v="Cable TV"/>
    <s v="Gig Harbor-Shared Svc"/>
    <x v="0"/>
    <m/>
    <n v="98.99"/>
    <n v="98.99"/>
    <n v="98.99"/>
    <n v="103.24"/>
    <n v="98.99"/>
    <n v="98.99"/>
    <n v="98.99"/>
    <n v="101.99"/>
    <n v="101.99"/>
    <n v="101.99"/>
    <n v="101.99"/>
    <n v="101.99"/>
    <n v="1207.1299999999999"/>
    <n v="0"/>
  </r>
  <r>
    <x v="16"/>
    <x v="1"/>
    <x v="0"/>
    <s v="5630200"/>
    <n v="732030"/>
    <s v="Repairs---Other"/>
    <s v="Gig Harbor-Shared Svc"/>
    <x v="0"/>
    <m/>
    <n v="0"/>
    <n v="0"/>
    <n v="0"/>
    <n v="0"/>
    <n v="0"/>
    <n v="152.44"/>
    <n v="92.59"/>
    <n v="0"/>
    <n v="85.87"/>
    <n v="1031.8399999999999"/>
    <n v="290.98"/>
    <n v="54"/>
    <n v="1707.7199999999998"/>
    <n v="236.98000000000002"/>
  </r>
  <r>
    <x v="13"/>
    <x v="1"/>
    <x v="0"/>
    <s v="5630200"/>
    <n v="735050"/>
    <s v="Amortization-Leasehold Improvements"/>
    <s v="Gig Harbor-Shared Svc"/>
    <x v="0"/>
    <m/>
    <n v="5674.22"/>
    <n v="5674.21"/>
    <n v="1991.91"/>
    <n v="1991.9"/>
    <n v="1991.91"/>
    <n v="1991.9"/>
    <n v="1991.91"/>
    <n v="1991.9"/>
    <n v="1991.91"/>
    <n v="1991.9"/>
    <n v="1991.91"/>
    <n v="1991.9"/>
    <n v="31267.480000000007"/>
    <n v="9.9999999999909051E-3"/>
  </r>
  <r>
    <x v="13"/>
    <x v="1"/>
    <x v="0"/>
    <s v="5630200"/>
    <n v="735070"/>
    <s v="Depreciation-Movable Equipment"/>
    <s v="Gig Harbor-Shared Svc"/>
    <x v="0"/>
    <m/>
    <n v="307.64999999999998"/>
    <n v="307.64999999999998"/>
    <n v="307.64999999999998"/>
    <n v="307.64999999999998"/>
    <n v="307.64999999999998"/>
    <n v="307.64"/>
    <n v="307.64999999999998"/>
    <n v="307.64"/>
    <n v="307.64999999999998"/>
    <n v="307.64"/>
    <n v="307.64999999999998"/>
    <n v="307.64"/>
    <n v="3691.7599999999998"/>
    <n v="9.9999999999909051E-3"/>
  </r>
  <r>
    <x v="0"/>
    <x v="1"/>
    <x v="0"/>
    <s v="5630200"/>
    <n v="740020"/>
    <s v="Education-Registration Fees"/>
    <s v="Gig Harbor-Shared Svc"/>
    <x v="0"/>
    <m/>
    <n v="0"/>
    <n v="0"/>
    <n v="0"/>
    <n v="0"/>
    <n v="0"/>
    <n v="0"/>
    <n v="135"/>
    <n v="0"/>
    <n v="0"/>
    <n v="0"/>
    <n v="0"/>
    <n v="0"/>
    <n v="135"/>
    <n v="0"/>
  </r>
  <r>
    <x v="0"/>
    <x v="1"/>
    <x v="0"/>
    <s v="5630200"/>
    <n v="742010"/>
    <s v="Postage-Regular"/>
    <s v="Gig Harbor-Shared Svc"/>
    <x v="0"/>
    <m/>
    <n v="0"/>
    <n v="58.74"/>
    <n v="107.69"/>
    <n v="0"/>
    <n v="19.54"/>
    <n v="107.55"/>
    <n v="78.319999999999993"/>
    <n v="104.57"/>
    <n v="49.1"/>
    <n v="85.57"/>
    <n v="0"/>
    <n v="0"/>
    <n v="611.07999999999993"/>
    <n v="0"/>
  </r>
  <r>
    <x v="0"/>
    <x v="1"/>
    <x v="0"/>
    <s v="5630200"/>
    <n v="742040"/>
    <s v="Freight-Other"/>
    <s v="Gig Harbor-Shared Svc"/>
    <x v="0"/>
    <m/>
    <n v="0"/>
    <n v="0"/>
    <n v="0"/>
    <n v="62.44"/>
    <n v="0"/>
    <n v="0"/>
    <n v="0"/>
    <n v="0"/>
    <n v="0"/>
    <n v="0"/>
    <n v="0"/>
    <n v="0"/>
    <n v="62.44"/>
    <n v="0"/>
  </r>
  <r>
    <x v="0"/>
    <x v="1"/>
    <x v="0"/>
    <s v="5630200"/>
    <n v="743020"/>
    <s v="Dues--Individual"/>
    <s v="Gig Harbor-Shared Svc"/>
    <x v="0"/>
    <m/>
    <n v="0"/>
    <n v="0"/>
    <n v="0"/>
    <n v="0"/>
    <n v="0"/>
    <n v="0"/>
    <n v="0"/>
    <n v="3210"/>
    <n v="0"/>
    <n v="0"/>
    <n v="0"/>
    <n v="0"/>
    <n v="3210"/>
    <n v="0"/>
  </r>
  <r>
    <x v="0"/>
    <x v="1"/>
    <x v="0"/>
    <s v="5630200"/>
    <n v="743030"/>
    <s v="Subscriptions--Institutional"/>
    <s v="Gig Harbor-Shared Svc"/>
    <x v="0"/>
    <m/>
    <n v="0"/>
    <n v="307.25"/>
    <n v="0"/>
    <n v="0"/>
    <n v="0"/>
    <n v="0"/>
    <n v="0"/>
    <n v="0"/>
    <n v="872.38"/>
    <n v="0"/>
    <n v="53.23"/>
    <n v="0"/>
    <n v="1232.8600000000001"/>
    <n v="53.23"/>
  </r>
  <r>
    <x v="0"/>
    <x v="1"/>
    <x v="0"/>
    <s v="5630200"/>
    <n v="743040"/>
    <s v="Subscriptions--Individual"/>
    <s v="Gig Harbor-Shared Svc"/>
    <x v="0"/>
    <m/>
    <n v="0"/>
    <n v="0"/>
    <n v="0"/>
    <n v="0"/>
    <n v="0"/>
    <n v="0"/>
    <n v="139"/>
    <n v="0"/>
    <n v="0"/>
    <n v="0"/>
    <n v="0"/>
    <n v="0"/>
    <n v="139"/>
    <n v="0"/>
  </r>
  <r>
    <x v="0"/>
    <x v="1"/>
    <x v="0"/>
    <s v="5630200"/>
    <n v="749510"/>
    <s v="Miscellaneous Expenses"/>
    <s v="Gig Harbor-Shared Svc"/>
    <x v="0"/>
    <m/>
    <n v="3432.07"/>
    <n v="-7.05"/>
    <n v="-85.84"/>
    <n v="2294.5"/>
    <n v="113.58"/>
    <n v="150"/>
    <n v="-675"/>
    <n v="-1"/>
    <n v="100"/>
    <n v="288.87"/>
    <n v="150"/>
    <n v="34.799999999999997"/>
    <n v="5794.93"/>
    <n v="115.2"/>
  </r>
  <r>
    <x v="0"/>
    <x v="1"/>
    <x v="0"/>
    <s v="5630200"/>
    <n v="749510"/>
    <s v="Licenses"/>
    <s v="Gig Harbor-Shared Svc"/>
    <x v="0"/>
    <n v="1002"/>
    <n v="0"/>
    <n v="0"/>
    <n v="330"/>
    <n v="0"/>
    <n v="0"/>
    <n v="254"/>
    <n v="58.75"/>
    <n v="0"/>
    <n v="0"/>
    <n v="0"/>
    <n v="0"/>
    <n v="0"/>
    <n v="642.75"/>
    <n v="0"/>
  </r>
  <r>
    <x v="0"/>
    <x v="1"/>
    <x v="0"/>
    <s v="5630200"/>
    <n v="749510"/>
    <s v="RICE Rewards"/>
    <s v="Gig Harbor-Shared Svc"/>
    <x v="0"/>
    <n v="5100"/>
    <n v="0"/>
    <n v="0"/>
    <n v="53.99"/>
    <n v="206.77"/>
    <n v="31.75"/>
    <n v="203.5"/>
    <n v="21.99"/>
    <n v="40.98"/>
    <n v="184.97"/>
    <n v="157.80000000000001"/>
    <n v="0"/>
    <n v="0"/>
    <n v="901.75"/>
    <n v="0"/>
  </r>
  <r>
    <x v="0"/>
    <x v="1"/>
    <x v="0"/>
    <s v="5630200"/>
    <n v="749530"/>
    <s v="Travel"/>
    <s v="Gig Harbor-Shared Svc"/>
    <x v="0"/>
    <m/>
    <n v="5"/>
    <n v="13.82"/>
    <n v="20"/>
    <n v="15"/>
    <n v="0"/>
    <n v="15"/>
    <n v="0"/>
    <n v="0"/>
    <n v="5"/>
    <n v="5"/>
    <n v="5"/>
    <n v="15"/>
    <n v="98.82"/>
    <n v="-10"/>
  </r>
  <r>
    <x v="0"/>
    <x v="1"/>
    <x v="0"/>
    <s v="5630200"/>
    <n v="749530"/>
    <s v="Mileage"/>
    <s v="Gig Harbor-Shared Svc"/>
    <x v="0"/>
    <n v="1001"/>
    <n v="35.44"/>
    <n v="7.63"/>
    <n v="137.91999999999999"/>
    <n v="77.42"/>
    <n v="51.79"/>
    <n v="70.87"/>
    <n v="14.17"/>
    <n v="41.18"/>
    <n v="35.380000000000003"/>
    <n v="29.58"/>
    <n v="13.92"/>
    <n v="59.74"/>
    <n v="575.04"/>
    <n v="-45.82"/>
  </r>
  <r>
    <x v="0"/>
    <x v="1"/>
    <x v="0"/>
    <s v="5630200"/>
    <n v="749535"/>
    <s v="Meetings"/>
    <s v="Gig Harbor-Shared Svc"/>
    <x v="0"/>
    <m/>
    <n v="0"/>
    <n v="193"/>
    <n v="0"/>
    <n v="381.78"/>
    <n v="242.93"/>
    <n v="0"/>
    <n v="53.64"/>
    <n v="84.12"/>
    <n v="0"/>
    <n v="123.53"/>
    <n v="119.66"/>
    <n v="0"/>
    <n v="1198.6600000000001"/>
    <n v="119.66"/>
  </r>
  <r>
    <x v="0"/>
    <x v="1"/>
    <x v="0"/>
    <s v="5630200"/>
    <n v="749550"/>
    <s v="Cash Over/Short"/>
    <s v="Gig Harbor-Shared Svc"/>
    <x v="0"/>
    <m/>
    <n v="0"/>
    <n v="0"/>
    <n v="0"/>
    <n v="4.9000000000000004"/>
    <n v="0"/>
    <n v="-5"/>
    <n v="0"/>
    <n v="0"/>
    <n v="1"/>
    <n v="0.56000000000000005"/>
    <n v="0"/>
    <n v="0"/>
    <n v="1.4600000000000004"/>
    <n v="0"/>
  </r>
  <r>
    <x v="0"/>
    <x v="1"/>
    <x v="0"/>
    <s v="5630200"/>
    <n v="766010"/>
    <s v="Property Tax"/>
    <s v="Gig Harbor-Shared Svc"/>
    <x v="0"/>
    <m/>
    <n v="217.38"/>
    <n v="217.38"/>
    <n v="217.38"/>
    <n v="217.38"/>
    <n v="217.38"/>
    <n v="217.38"/>
    <n v="217.38"/>
    <n v="217.38"/>
    <n v="217.38"/>
    <n v="63.45"/>
    <n v="178.9"/>
    <n v="178.9"/>
    <n v="2377.6700000000005"/>
    <n v="0"/>
  </r>
  <r>
    <x v="14"/>
    <x v="1"/>
    <x v="0"/>
    <s v="5631200"/>
    <n v="600026"/>
    <s v="POB Rental"/>
    <s v="St Francis Med&amp;Spec-Shared Svc"/>
    <x v="0"/>
    <n v="1001"/>
    <n v="-538.75"/>
    <n v="-538.75"/>
    <n v="-538.75"/>
    <n v="-538.75"/>
    <n v="-538.75"/>
    <n v="-538.75"/>
    <n v="-538.75"/>
    <n v="-538.75"/>
    <n v="-538.75"/>
    <n v="-538.75"/>
    <n v="-538.75"/>
    <n v="-538.75"/>
    <n v="-6465"/>
    <n v="0"/>
  </r>
  <r>
    <x v="14"/>
    <x v="1"/>
    <x v="0"/>
    <s v="5631200"/>
    <n v="600026"/>
    <s v="Other Rental"/>
    <s v="St Francis Med&amp;Spec-Shared Svc"/>
    <x v="0"/>
    <n v="1002"/>
    <n v="-213.33"/>
    <n v="-213.33"/>
    <n v="-213.33"/>
    <n v="-213.33"/>
    <n v="-213.33"/>
    <n v="-213.33"/>
    <n v="-213.33"/>
    <n v="-213.33"/>
    <n v="-213.33"/>
    <n v="-213.33"/>
    <n v="-213.33"/>
    <n v="-213.33"/>
    <n v="-2559.9599999999996"/>
    <n v="0"/>
  </r>
  <r>
    <x v="14"/>
    <x v="1"/>
    <x v="0"/>
    <s v="5631200"/>
    <n v="600050"/>
    <s v="Miscellaneous Revenue"/>
    <s v="St Francis Med&amp;Spec-Shared Svc"/>
    <x v="0"/>
    <m/>
    <n v="0"/>
    <n v="0"/>
    <n v="0"/>
    <n v="0"/>
    <n v="0"/>
    <n v="0"/>
    <n v="0"/>
    <n v="-22.06"/>
    <n v="0"/>
    <n v="0"/>
    <n v="0"/>
    <n v="0"/>
    <n v="-22.06"/>
    <n v="0"/>
  </r>
  <r>
    <x v="5"/>
    <x v="1"/>
    <x v="0"/>
    <s v="5631200"/>
    <n v="700014"/>
    <s v="Salaries-Management-Productive"/>
    <s v="St Francis Med&amp;Spec-Shared Svc"/>
    <x v="0"/>
    <m/>
    <n v="2737.28"/>
    <n v="3678.22"/>
    <n v="3336.06"/>
    <n v="3374.24"/>
    <n v="3778.28"/>
    <n v="2606.3000000000002"/>
    <n v="3626.39"/>
    <n v="3328.35"/>
    <n v="3748.77"/>
    <n v="3853.87"/>
    <n v="525.53"/>
    <n v="4379.41"/>
    <n v="38972.699999999997"/>
    <n v="-3853.88"/>
  </r>
  <r>
    <x v="5"/>
    <x v="1"/>
    <x v="0"/>
    <s v="5631200"/>
    <n v="700018"/>
    <s v="Salaries-Supervisory-Productive"/>
    <s v="St Francis Med&amp;Spec-Shared Svc"/>
    <x v="0"/>
    <m/>
    <n v="0"/>
    <n v="0"/>
    <n v="0"/>
    <n v="4501.4399999999996"/>
    <n v="252.88"/>
    <n v="1390.84"/>
    <n v="5445.07"/>
    <n v="1013"/>
    <n v="1266.26"/>
    <n v="0"/>
    <n v="0"/>
    <n v="0"/>
    <n v="13869.49"/>
    <n v="0"/>
  </r>
  <r>
    <x v="5"/>
    <x v="1"/>
    <x v="0"/>
    <s v="5631200"/>
    <n v="700026"/>
    <s v="Salaries-RN-Productive"/>
    <s v="St Francis Med&amp;Spec-Shared Svc"/>
    <x v="0"/>
    <m/>
    <n v="51.85"/>
    <n v="0"/>
    <n v="349.99"/>
    <n v="-116.66"/>
    <n v="106.82"/>
    <n v="-53.41"/>
    <n v="93.61"/>
    <n v="0"/>
    <n v="0"/>
    <n v="227.34"/>
    <n v="-93.61"/>
    <n v="0"/>
    <n v="565.93000000000006"/>
    <n v="-93.61"/>
  </r>
  <r>
    <x v="5"/>
    <x v="1"/>
    <x v="0"/>
    <s v="5631200"/>
    <n v="700032"/>
    <s v="Salaries-Other Pat Care Providers-Productive"/>
    <s v="St Francis Med&amp;Spec-Shared Svc"/>
    <x v="0"/>
    <m/>
    <n v="0"/>
    <n v="0"/>
    <n v="0"/>
    <n v="0"/>
    <n v="0"/>
    <n v="0"/>
    <n v="0"/>
    <n v="0"/>
    <n v="0"/>
    <n v="0"/>
    <n v="1062.98"/>
    <n v="-531.49"/>
    <n v="531.49"/>
    <n v="1594.47"/>
  </r>
  <r>
    <x v="5"/>
    <x v="1"/>
    <x v="0"/>
    <s v="5631200"/>
    <n v="700032"/>
    <s v="Salaries-Other Pat Care Providers-OT"/>
    <s v="St Francis Med&amp;Spec-Shared Svc"/>
    <x v="0"/>
    <n v="1000"/>
    <n v="0"/>
    <n v="0"/>
    <n v="0"/>
    <n v="0"/>
    <n v="0"/>
    <n v="0"/>
    <n v="0"/>
    <n v="0"/>
    <n v="0"/>
    <n v="0"/>
    <n v="695.68"/>
    <n v="-347.84"/>
    <n v="347.84"/>
    <n v="1043.52"/>
  </r>
  <r>
    <x v="5"/>
    <x v="1"/>
    <x v="0"/>
    <s v="5631200"/>
    <n v="700032"/>
    <s v="Salaries-Other Pat Care Providers-Other"/>
    <s v="St Francis Med&amp;Spec-Shared Svc"/>
    <x v="0"/>
    <n v="2000"/>
    <n v="0"/>
    <n v="0"/>
    <n v="0"/>
    <n v="0"/>
    <n v="0"/>
    <n v="0"/>
    <n v="0"/>
    <n v="0"/>
    <n v="0"/>
    <n v="0"/>
    <n v="46.96"/>
    <n v="-23.48"/>
    <n v="23.48"/>
    <n v="70.44"/>
  </r>
  <r>
    <x v="5"/>
    <x v="1"/>
    <x v="0"/>
    <s v="5631200"/>
    <n v="700038"/>
    <s v="Salaries-Service/Support-Productive"/>
    <s v="St Francis Med&amp;Spec-Shared Svc"/>
    <x v="0"/>
    <m/>
    <n v="20910.55"/>
    <n v="22769.42"/>
    <n v="18694.919999999998"/>
    <n v="24407.17"/>
    <n v="28066.13"/>
    <n v="19080.28"/>
    <n v="25871.26"/>
    <n v="21295.03"/>
    <n v="24521.26"/>
    <n v="28050.880000000001"/>
    <n v="30566.76"/>
    <n v="23887.86"/>
    <n v="288121.52"/>
    <n v="6678.8999999999978"/>
  </r>
  <r>
    <x v="5"/>
    <x v="1"/>
    <x v="0"/>
    <s v="5631200"/>
    <n v="700038"/>
    <s v="Salaries-Service/Support-OT"/>
    <s v="St Francis Med&amp;Spec-Shared Svc"/>
    <x v="0"/>
    <n v="1000"/>
    <n v="84.83"/>
    <n v="127.39"/>
    <n v="63.25"/>
    <n v="215.87"/>
    <n v="636.13"/>
    <n v="42.11"/>
    <n v="1243.68"/>
    <n v="9.67"/>
    <n v="216"/>
    <n v="440.69"/>
    <n v="331.13"/>
    <n v="242.49"/>
    <n v="3653.2400000000007"/>
    <n v="88.639999999999986"/>
  </r>
  <r>
    <x v="5"/>
    <x v="1"/>
    <x v="0"/>
    <s v="5631200"/>
    <n v="700038"/>
    <s v="Salaries-Service/Support-Other"/>
    <s v="St Francis Med&amp;Spec-Shared Svc"/>
    <x v="0"/>
    <n v="2000"/>
    <n v="114.25"/>
    <n v="53.39"/>
    <n v="-10"/>
    <n v="60"/>
    <n v="0"/>
    <n v="4.12"/>
    <n v="9.44"/>
    <n v="-2.8"/>
    <n v="60.12"/>
    <n v="-0.04"/>
    <n v="1010.26"/>
    <n v="-5.45"/>
    <n v="1293.29"/>
    <n v="1015.71"/>
  </r>
  <r>
    <x v="5"/>
    <x v="1"/>
    <x v="0"/>
    <s v="5631200"/>
    <n v="700054"/>
    <s v="Salaries-Management-NonProd-Other"/>
    <s v="St Francis Med&amp;Spec-Shared Svc"/>
    <x v="0"/>
    <n v="2000"/>
    <n v="0"/>
    <n v="0"/>
    <n v="0"/>
    <n v="0"/>
    <n v="0"/>
    <n v="578.92999999999995"/>
    <n v="-578.92999999999995"/>
    <n v="0"/>
    <n v="0"/>
    <n v="0"/>
    <n v="0"/>
    <n v="0"/>
    <n v="0"/>
    <n v="0"/>
  </r>
  <r>
    <x v="5"/>
    <x v="1"/>
    <x v="0"/>
    <s v="5631200"/>
    <n v="700066"/>
    <s v="Salaries-RN-Non-productive"/>
    <s v="St Francis Med&amp;Spec-Shared Svc"/>
    <x v="0"/>
    <m/>
    <n v="518.5"/>
    <n v="3111"/>
    <n v="-207.4"/>
    <n v="1183.9000000000001"/>
    <n v="940.02"/>
    <n v="1367.29"/>
    <n v="181.99"/>
    <n v="1026.97"/>
    <n v="-171.15"/>
    <n v="1727.69"/>
    <n v="-711.4"/>
    <n v="0"/>
    <n v="8967.4100000000017"/>
    <n v="-711.4"/>
  </r>
  <r>
    <x v="5"/>
    <x v="1"/>
    <x v="0"/>
    <s v="5631200"/>
    <n v="700066"/>
    <s v="Salaries-RN-NonProd-Other"/>
    <s v="St Francis Med&amp;Spe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1200"/>
    <n v="700078"/>
    <s v="Salaries-Service/Support-Non-productive"/>
    <s v="St Francis Med&amp;Spec-Shared Svc"/>
    <x v="0"/>
    <m/>
    <n v="3622.15"/>
    <n v="3039.67"/>
    <n v="1597.59"/>
    <n v="2875.62"/>
    <n v="3650.57"/>
    <n v="5187.41"/>
    <n v="1714.37"/>
    <n v="3681.29"/>
    <n v="795.63"/>
    <n v="2036.63"/>
    <n v="1354.46"/>
    <n v="2917.79"/>
    <n v="32473.18"/>
    <n v="-1563.33"/>
  </r>
  <r>
    <x v="5"/>
    <x v="1"/>
    <x v="0"/>
    <s v="5631200"/>
    <n v="700078"/>
    <s v="Salaries-Service/Support-NonProd-Other"/>
    <s v="St Francis Med&amp;Spec-Shared Svc"/>
    <x v="0"/>
    <n v="2000"/>
    <n v="0"/>
    <n v="0"/>
    <n v="0"/>
    <n v="0"/>
    <n v="541.47"/>
    <n v="0"/>
    <n v="0"/>
    <n v="-541.47"/>
    <n v="0"/>
    <n v="0"/>
    <n v="0"/>
    <n v="0"/>
    <n v="0"/>
    <n v="0"/>
  </r>
  <r>
    <x v="5"/>
    <x v="1"/>
    <x v="0"/>
    <s v="5631200"/>
    <n v="700084"/>
    <s v="Accrued PTO"/>
    <s v="St Francis Med&amp;Spec-Shared Svc"/>
    <x v="0"/>
    <m/>
    <n v="-36.65"/>
    <n v="-2195.6799999999998"/>
    <n v="867.42"/>
    <n v="255.36"/>
    <n v="1035.6099999999999"/>
    <n v="-1740.78"/>
    <n v="1351.01"/>
    <n v="-89.73"/>
    <n v="2051.11"/>
    <n v="1185.49"/>
    <n v="2511.4899999999998"/>
    <n v="1780.79"/>
    <n v="6975.44"/>
    <n v="730.69999999999982"/>
  </r>
  <r>
    <x v="6"/>
    <x v="1"/>
    <x v="0"/>
    <s v="5631200"/>
    <n v="713010"/>
    <s v="Benefits-FICA/Medicare"/>
    <s v="St Francis Med&amp;Spec-Shared Svc"/>
    <x v="0"/>
    <m/>
    <n v="2036.61"/>
    <n v="2404.35"/>
    <n v="1717"/>
    <n v="2650.25"/>
    <n v="2827.23"/>
    <n v="2149.65"/>
    <n v="2804.11"/>
    <n v="2186.81"/>
    <n v="2258.67"/>
    <n v="2619.48"/>
    <n v="2580.46"/>
    <n v="2102.64"/>
    <n v="28337.26"/>
    <n v="477.82000000000016"/>
  </r>
  <r>
    <x v="6"/>
    <x v="1"/>
    <x v="0"/>
    <s v="5631200"/>
    <n v="713090"/>
    <s v="Benefits-Allocated Amounts"/>
    <s v="St Francis Med&amp;Spec-Shared Svc"/>
    <x v="0"/>
    <m/>
    <n v="7577.84"/>
    <n v="7415.54"/>
    <n v="7014.8"/>
    <n v="8748.06"/>
    <n v="9830.41"/>
    <n v="8608.0400000000009"/>
    <n v="10690.42"/>
    <n v="9624.02"/>
    <n v="8990.49"/>
    <n v="9947.0400000000009"/>
    <n v="9945.4"/>
    <n v="9897.56"/>
    <n v="108289.62"/>
    <n v="47.840000000000146"/>
  </r>
  <r>
    <x v="6"/>
    <x v="1"/>
    <x v="0"/>
    <s v="5631200"/>
    <n v="713096"/>
    <s v="Employee Recognition"/>
    <s v="St Francis Med&amp;Spec-Shared Svc"/>
    <x v="0"/>
    <n v="1017"/>
    <n v="0"/>
    <n v="126.6"/>
    <n v="0"/>
    <n v="119.15"/>
    <n v="156.88999999999999"/>
    <n v="180.3"/>
    <n v="0"/>
    <n v="115.5"/>
    <n v="0"/>
    <n v="0"/>
    <n v="0"/>
    <n v="0"/>
    <n v="698.44"/>
    <n v="0"/>
  </r>
  <r>
    <x v="7"/>
    <x v="1"/>
    <x v="0"/>
    <s v="5631200"/>
    <n v="718010"/>
    <s v="Media/Print Advertising"/>
    <s v="St Francis Med&amp;Spec-Shared Svc"/>
    <x v="0"/>
    <n v="1004"/>
    <n v="0"/>
    <n v="0"/>
    <n v="0"/>
    <n v="0"/>
    <n v="0"/>
    <n v="641.29"/>
    <n v="0"/>
    <n v="0"/>
    <n v="0"/>
    <n v="0"/>
    <n v="0"/>
    <n v="0"/>
    <n v="641.29"/>
    <n v="0"/>
  </r>
  <r>
    <x v="7"/>
    <x v="1"/>
    <x v="0"/>
    <s v="5631200"/>
    <n v="718050"/>
    <s v="Contract Svcs-Other"/>
    <s v="St Francis Med&amp;Spec-Shared Svc"/>
    <x v="0"/>
    <m/>
    <n v="0"/>
    <n v="22.66"/>
    <n v="0"/>
    <n v="0"/>
    <n v="0"/>
    <n v="22.66"/>
    <n v="22.66"/>
    <n v="22.66"/>
    <n v="22.66"/>
    <n v="22.66"/>
    <n v="1453.96"/>
    <n v="75.52"/>
    <n v="1665.44"/>
    <n v="1378.44"/>
  </r>
  <r>
    <x v="7"/>
    <x v="1"/>
    <x v="0"/>
    <s v="5631200"/>
    <n v="718050"/>
    <s v="Management Fees"/>
    <s v="St Francis Med&amp;Spec-Shared Svc"/>
    <x v="0"/>
    <n v="1004"/>
    <n v="1057.33"/>
    <n v="0"/>
    <n v="1017.68"/>
    <n v="0"/>
    <n v="0"/>
    <n v="733.88"/>
    <n v="1820.11"/>
    <n v="178.85"/>
    <n v="0"/>
    <n v="255.42"/>
    <n v="580.59"/>
    <n v="0"/>
    <n v="5643.8600000000006"/>
    <n v="580.59"/>
  </r>
  <r>
    <x v="7"/>
    <x v="1"/>
    <x v="0"/>
    <s v="5631200"/>
    <n v="718050"/>
    <s v="Document Shredding/Storage"/>
    <s v="St Francis Med&amp;Spec-Shared Svc"/>
    <x v="0"/>
    <n v="1012"/>
    <n v="608.05999999999995"/>
    <n v="780.33"/>
    <n v="435.44"/>
    <n v="539.49"/>
    <n v="634.69000000000005"/>
    <n v="546.57000000000005"/>
    <n v="541.1"/>
    <n v="322.02"/>
    <n v="447.68"/>
    <n v="852.93"/>
    <n v="593.23"/>
    <n v="576.99"/>
    <n v="6878.5300000000007"/>
    <n v="16.240000000000009"/>
  </r>
  <r>
    <x v="7"/>
    <x v="1"/>
    <x v="0"/>
    <s v="5631200"/>
    <n v="718050"/>
    <s v="Miscellaneous Purchased Svcs"/>
    <s v="St Francis Med&amp;Spec-Shared Svc"/>
    <x v="0"/>
    <n v="1020"/>
    <n v="0"/>
    <n v="0"/>
    <n v="177.85"/>
    <n v="35.58"/>
    <n v="0"/>
    <n v="0"/>
    <n v="0"/>
    <n v="34.81"/>
    <n v="0"/>
    <n v="0"/>
    <n v="3480"/>
    <n v="7115.83"/>
    <n v="10844.07"/>
    <n v="-3635.83"/>
  </r>
  <r>
    <x v="7"/>
    <x v="1"/>
    <x v="0"/>
    <s v="5631200"/>
    <n v="718050"/>
    <s v="Translation Services"/>
    <s v="St Francis Med&amp;Spec-Shared Svc"/>
    <x v="0"/>
    <n v="1025"/>
    <n v="495.88"/>
    <n v="624.69000000000005"/>
    <n v="733.37"/>
    <n v="0"/>
    <n v="0"/>
    <n v="273.61"/>
    <n v="913.8"/>
    <n v="57.28"/>
    <n v="1027.8599999999999"/>
    <n v="1035.0999999999999"/>
    <n v="1030.96"/>
    <n v="4.1399999999999997"/>
    <n v="6196.6900000000005"/>
    <n v="1026.82"/>
  </r>
  <r>
    <x v="7"/>
    <x v="1"/>
    <x v="0"/>
    <s v="5631200"/>
    <n v="718050"/>
    <s v="Contract Management--Linen"/>
    <s v="St Francis Med&amp;Spec-Shared Svc"/>
    <x v="0"/>
    <n v="1026"/>
    <n v="816.84"/>
    <n v="628.78"/>
    <n v="1122.3900000000001"/>
    <n v="409"/>
    <n v="755.08"/>
    <n v="628.64"/>
    <n v="939.95"/>
    <n v="471.34"/>
    <n v="632.25"/>
    <n v="450.17"/>
    <n v="554.07000000000005"/>
    <n v="587.73"/>
    <n v="7996.24"/>
    <n v="-33.659999999999968"/>
  </r>
  <r>
    <x v="7"/>
    <x v="1"/>
    <x v="0"/>
    <s v="5631200"/>
    <n v="718050"/>
    <s v="Purchased Srvcs--Medical Waste"/>
    <s v="St Francis Med&amp;Spec-Shared Svc"/>
    <x v="0"/>
    <n v="1027"/>
    <n v="0"/>
    <n v="72.930000000000007"/>
    <n v="23.81"/>
    <n v="0"/>
    <n v="34.81"/>
    <n v="34.81"/>
    <n v="34.81"/>
    <n v="0"/>
    <n v="22.27"/>
    <n v="0"/>
    <n v="34.81"/>
    <n v="133.24"/>
    <n v="391.49"/>
    <n v="-98.43"/>
  </r>
  <r>
    <x v="7"/>
    <x v="1"/>
    <x v="0"/>
    <s v="5631200"/>
    <n v="718070"/>
    <s v="Contract Srvcs-CHI Clinical Engineering"/>
    <s v="St Francis Med&amp;Spec-Shared Svc"/>
    <x v="0"/>
    <m/>
    <n v="0"/>
    <n v="0"/>
    <n v="0"/>
    <n v="0"/>
    <n v="0"/>
    <n v="275.5"/>
    <n v="275.5"/>
    <n v="0"/>
    <n v="0"/>
    <n v="0"/>
    <n v="0"/>
    <n v="0"/>
    <n v="551"/>
    <n v="0"/>
  </r>
  <r>
    <x v="11"/>
    <x v="1"/>
    <x v="0"/>
    <s v="5631200"/>
    <n v="721010"/>
    <s v="Supplies-Medical - Billable"/>
    <s v="St Francis Med&amp;Spec-Shared Svc"/>
    <x v="0"/>
    <m/>
    <n v="0"/>
    <n v="0"/>
    <n v="0"/>
    <n v="0"/>
    <n v="0"/>
    <n v="0"/>
    <n v="240"/>
    <n v="0"/>
    <n v="26.36"/>
    <n v="0"/>
    <n v="0"/>
    <n v="0"/>
    <n v="266.36"/>
    <n v="0"/>
  </r>
  <r>
    <x v="11"/>
    <x v="1"/>
    <x v="0"/>
    <s v="5631200"/>
    <n v="721250"/>
    <s v="Supplies-Pharmacy Drugs - Billable"/>
    <s v="St Francis Med&amp;Spec-Shared Svc"/>
    <x v="0"/>
    <m/>
    <n v="15340.67"/>
    <n v="6508.21"/>
    <n v="7875.51"/>
    <n v="19200.3"/>
    <n v="33673.410000000003"/>
    <n v="23118.52"/>
    <n v="23074.31"/>
    <n v="2876.42"/>
    <n v="28648.13"/>
    <n v="3506.16"/>
    <n v="21336.9"/>
    <n v="11219.41"/>
    <n v="196377.95"/>
    <n v="10117.490000000002"/>
  </r>
  <r>
    <x v="11"/>
    <x v="1"/>
    <x v="0"/>
    <s v="5631200"/>
    <n v="721410"/>
    <s v="Supplies-Medical - Nonbillable"/>
    <s v="St Francis Med&amp;Spec-Shared Svc"/>
    <x v="0"/>
    <m/>
    <n v="1960.21"/>
    <n v="2420.37"/>
    <n v="1927.6"/>
    <n v="1462.86"/>
    <n v="896.68"/>
    <n v="1267.18"/>
    <n v="1252.5899999999999"/>
    <n v="1138.74"/>
    <n v="1390.26"/>
    <n v="-178.11"/>
    <n v="267.73"/>
    <n v="2194.5300000000002"/>
    <n v="16000.64"/>
    <n v="-1926.8000000000002"/>
  </r>
  <r>
    <x v="11"/>
    <x v="1"/>
    <x v="0"/>
    <s v="5631200"/>
    <n v="721810"/>
    <s v="Supplies-Dietary/Cafeteria"/>
    <s v="St Francis Med&amp;Spec-Shared Svc"/>
    <x v="0"/>
    <m/>
    <n v="0"/>
    <n v="0"/>
    <n v="0"/>
    <n v="0"/>
    <n v="0"/>
    <n v="124.87"/>
    <n v="0"/>
    <n v="0"/>
    <n v="0"/>
    <n v="0"/>
    <n v="0"/>
    <n v="0"/>
    <n v="124.87"/>
    <n v="0"/>
  </r>
  <r>
    <x v="11"/>
    <x v="1"/>
    <x v="0"/>
    <s v="5631200"/>
    <n v="721830"/>
    <s v="Supplies-Office"/>
    <s v="St Francis Med&amp;Spec-Shared Svc"/>
    <x v="0"/>
    <m/>
    <n v="3350.32"/>
    <n v="663.35"/>
    <n v="493.65"/>
    <n v="1422.2"/>
    <n v="2082.34"/>
    <n v="890.81"/>
    <n v="1360.39"/>
    <n v="699.58"/>
    <n v="1264.75"/>
    <n v="2203.9299999999998"/>
    <n v="538.29999999999995"/>
    <n v="323.52"/>
    <n v="15293.14"/>
    <n v="214.77999999999997"/>
  </r>
  <r>
    <x v="11"/>
    <x v="1"/>
    <x v="0"/>
    <s v="5631200"/>
    <n v="721835"/>
    <s v="Supplies-Forms"/>
    <s v="St Francis Med&amp;Spec-Shared Svc"/>
    <x v="0"/>
    <m/>
    <n v="0"/>
    <n v="0"/>
    <n v="0"/>
    <n v="0"/>
    <n v="252.84"/>
    <n v="0"/>
    <n v="0"/>
    <n v="0"/>
    <n v="50"/>
    <n v="141.08000000000001"/>
    <n v="0"/>
    <n v="0"/>
    <n v="443.92000000000007"/>
    <n v="0"/>
  </r>
  <r>
    <x v="11"/>
    <x v="1"/>
    <x v="0"/>
    <s v="5631200"/>
    <n v="721910"/>
    <s v="Supplies-Small Equipment"/>
    <s v="St Francis Med&amp;Spec-Shared Svc"/>
    <x v="0"/>
    <m/>
    <n v="0"/>
    <n v="169.84"/>
    <n v="0"/>
    <n v="186.82"/>
    <n v="0"/>
    <n v="0"/>
    <n v="0"/>
    <n v="0"/>
    <n v="0"/>
    <n v="0"/>
    <n v="0"/>
    <n v="0"/>
    <n v="356.65999999999997"/>
    <n v="0"/>
  </r>
  <r>
    <x v="11"/>
    <x v="1"/>
    <x v="0"/>
    <s v="5631200"/>
    <n v="722000"/>
    <s v="Supplies-Freight Expense"/>
    <s v="St Francis Med&amp;Spec-Shared Svc"/>
    <x v="0"/>
    <m/>
    <n v="0"/>
    <n v="25.88"/>
    <n v="0"/>
    <n v="51.82"/>
    <n v="0"/>
    <n v="0"/>
    <n v="0"/>
    <n v="0"/>
    <n v="0"/>
    <n v="0"/>
    <n v="0"/>
    <n v="27.67"/>
    <n v="105.37"/>
    <n v="-27.67"/>
  </r>
  <r>
    <x v="12"/>
    <x v="1"/>
    <x v="0"/>
    <s v="5631200"/>
    <n v="730010"/>
    <s v="Rental and Leases-Building (DO NOT USE)"/>
    <s v="St Francis Med&amp;Spec-Shared Svc"/>
    <x v="0"/>
    <m/>
    <n v="33764.949999999997"/>
    <n v="33764.949999999997"/>
    <n v="33764.949999999997"/>
    <n v="33764.949999999997"/>
    <n v="33764.949999999997"/>
    <n v="-27575.14"/>
    <n v="24209.86"/>
    <n v="-2601.87"/>
    <n v="42987.07"/>
    <n v="20191.02"/>
    <n v="19882.77"/>
    <n v="0"/>
    <n v="245918.45999999996"/>
    <n v="19882.77"/>
  </r>
  <r>
    <x v="12"/>
    <x v="1"/>
    <x v="0"/>
    <s v="5631200"/>
    <n v="730010"/>
    <s v="Rental-Common Area Maint (DO NOT USE)"/>
    <s v="St Francis Med&amp;Spec-Shared Svc"/>
    <x v="0"/>
    <n v="2200"/>
    <n v="0"/>
    <n v="0"/>
    <n v="0"/>
    <n v="0"/>
    <n v="0"/>
    <n v="62142"/>
    <n v="11063"/>
    <n v="8932.84"/>
    <n v="8932.84"/>
    <n v="8932.14"/>
    <n v="8932.14"/>
    <n v="0"/>
    <n v="108934.95999999999"/>
    <n v="8932.14"/>
  </r>
  <r>
    <x v="12"/>
    <x v="1"/>
    <x v="0"/>
    <s v="5631200"/>
    <n v="730020"/>
    <s v="Rental and Leases-Copier Usage Fees (DO NOT USE)"/>
    <s v="St Francis Med&amp;Spec-Shared Svc"/>
    <x v="0"/>
    <n v="5100"/>
    <n v="1109.95"/>
    <n v="1138.25"/>
    <n v="1124.0999999999999"/>
    <n v="1124.0999999999999"/>
    <n v="1124.0999999999999"/>
    <n v="1124.0999999999999"/>
    <n v="-1880.37"/>
    <n v="786.82"/>
    <n v="822.06"/>
    <n v="1520.33"/>
    <n v="786.82"/>
    <n v="853.51"/>
    <n v="9633.77"/>
    <n v="-66.689999999999941"/>
  </r>
  <r>
    <x v="12"/>
    <x v="1"/>
    <x v="0"/>
    <s v="5631200"/>
    <n v="730040"/>
    <s v="LT Lease-Real Estate"/>
    <s v="St Francis Med&amp;Spec-Shared Svc"/>
    <x v="0"/>
    <m/>
    <n v="0"/>
    <n v="0"/>
    <n v="0"/>
    <n v="0"/>
    <n v="0"/>
    <n v="0"/>
    <n v="0"/>
    <n v="0"/>
    <n v="0"/>
    <n v="0"/>
    <n v="0"/>
    <n v="26266.71"/>
    <n v="26266.71"/>
    <n v="-26266.71"/>
  </r>
  <r>
    <x v="15"/>
    <x v="1"/>
    <x v="0"/>
    <s v="5631200"/>
    <n v="731060"/>
    <s v="Pagers"/>
    <s v="St Francis Med&amp;Spec-Shared Svc"/>
    <x v="0"/>
    <n v="1002"/>
    <n v="8.1"/>
    <n v="8.1"/>
    <n v="-19.43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69.849999999999994"/>
    <n v="0"/>
  </r>
  <r>
    <x v="16"/>
    <x v="1"/>
    <x v="0"/>
    <s v="5631200"/>
    <n v="732030"/>
    <s v="Repairs---Other"/>
    <s v="St Francis Med&amp;Spec-Shared Svc"/>
    <x v="0"/>
    <m/>
    <n v="0"/>
    <n v="0"/>
    <n v="0"/>
    <n v="0"/>
    <n v="0"/>
    <n v="0"/>
    <n v="0"/>
    <n v="0"/>
    <n v="0"/>
    <n v="0"/>
    <n v="0"/>
    <n v="29.47"/>
    <n v="29.47"/>
    <n v="-29.47"/>
  </r>
  <r>
    <x v="16"/>
    <x v="1"/>
    <x v="0"/>
    <s v="5631200"/>
    <n v="732030"/>
    <s v="Repairs&amp;Maintenance-Bldg Routine"/>
    <s v="St Francis Med&amp;Spec-Shared Svc"/>
    <x v="0"/>
    <n v="2300"/>
    <n v="0"/>
    <n v="0"/>
    <n v="834.06"/>
    <n v="0"/>
    <n v="0"/>
    <n v="0"/>
    <n v="0"/>
    <n v="0"/>
    <n v="859.49"/>
    <n v="16.68"/>
    <n v="0"/>
    <n v="0"/>
    <n v="1710.23"/>
    <n v="0"/>
  </r>
  <r>
    <x v="13"/>
    <x v="1"/>
    <x v="0"/>
    <s v="5631200"/>
    <n v="735060"/>
    <s v="Depreciation-Fixed Equipment"/>
    <s v="St Francis Med&amp;Spec-Shared Svc"/>
    <x v="0"/>
    <m/>
    <n v="45.59"/>
    <n v="45.59"/>
    <n v="45.58"/>
    <n v="45.59"/>
    <n v="45.58"/>
    <n v="45.59"/>
    <n v="45.58"/>
    <n v="45.59"/>
    <n v="45.58"/>
    <n v="45.59"/>
    <n v="45.58"/>
    <n v="0"/>
    <n v="501.43999999999988"/>
    <n v="45.58"/>
  </r>
  <r>
    <x v="13"/>
    <x v="1"/>
    <x v="0"/>
    <s v="5631200"/>
    <n v="735070"/>
    <s v="Depreciation-Movable Equipment"/>
    <s v="St Francis Med&amp;Spec-Shared Svc"/>
    <x v="0"/>
    <m/>
    <n v="197.37"/>
    <n v="197.36"/>
    <n v="197.37"/>
    <n v="1352.2"/>
    <n v="1300.99"/>
    <n v="1393.49"/>
    <n v="1393.51"/>
    <n v="1393.49"/>
    <n v="1385.49"/>
    <n v="1385.46"/>
    <n v="1385.5"/>
    <n v="1388.91"/>
    <n v="12971.14"/>
    <n v="-3.4100000000000819"/>
  </r>
  <r>
    <x v="0"/>
    <x v="1"/>
    <x v="0"/>
    <s v="5631200"/>
    <n v="742010"/>
    <s v="Postage-Regular"/>
    <s v="St Francis Med&amp;Spec-Shared Svc"/>
    <x v="0"/>
    <m/>
    <n v="0"/>
    <n v="0"/>
    <n v="0"/>
    <n v="0"/>
    <n v="0"/>
    <n v="0"/>
    <n v="0"/>
    <n v="0"/>
    <n v="0"/>
    <n v="0"/>
    <n v="0"/>
    <n v="0.59"/>
    <n v="0.59"/>
    <n v="-0.59"/>
  </r>
  <r>
    <x v="0"/>
    <x v="1"/>
    <x v="0"/>
    <s v="5631200"/>
    <n v="743020"/>
    <s v="Dues--Individual"/>
    <s v="St Francis Med&amp;Spec-Shared Svc"/>
    <x v="0"/>
    <m/>
    <n v="0"/>
    <n v="0"/>
    <n v="0"/>
    <n v="0"/>
    <n v="0"/>
    <n v="0"/>
    <n v="0"/>
    <n v="2675"/>
    <n v="0"/>
    <n v="0"/>
    <n v="0"/>
    <n v="0"/>
    <n v="2675"/>
    <n v="0"/>
  </r>
  <r>
    <x v="0"/>
    <x v="1"/>
    <x v="0"/>
    <s v="5631200"/>
    <n v="749510"/>
    <s v="Miscellaneous Expenses"/>
    <s v="St Francis Med&amp;Spec-Shared Svc"/>
    <x v="0"/>
    <m/>
    <n v="1414.25"/>
    <n v="2003.49"/>
    <n v="1821.8"/>
    <n v="256.36"/>
    <n v="1954.98"/>
    <n v="1881.8"/>
    <n v="1847.3"/>
    <n v="1457.24"/>
    <n v="401.12"/>
    <n v="2434.5"/>
    <n v="500.93"/>
    <n v="28.6"/>
    <n v="16002.369999999999"/>
    <n v="472.33"/>
  </r>
  <r>
    <x v="0"/>
    <x v="1"/>
    <x v="0"/>
    <s v="5631200"/>
    <n v="749510"/>
    <s v="Licenses"/>
    <s v="St Francis Med&amp;Spec-Shared Svc"/>
    <x v="0"/>
    <n v="1002"/>
    <n v="0"/>
    <n v="0"/>
    <n v="330"/>
    <n v="0"/>
    <n v="0"/>
    <n v="0"/>
    <n v="0"/>
    <n v="0"/>
    <n v="0"/>
    <n v="0"/>
    <n v="0"/>
    <n v="0"/>
    <n v="330"/>
    <n v="0"/>
  </r>
  <r>
    <x v="0"/>
    <x v="1"/>
    <x v="0"/>
    <s v="5631200"/>
    <n v="749510"/>
    <s v="RICE Rewards"/>
    <s v="St Francis Med&amp;Spec-Shared Svc"/>
    <x v="0"/>
    <n v="5100"/>
    <n v="0"/>
    <n v="0"/>
    <n v="0"/>
    <n v="440"/>
    <n v="0"/>
    <n v="0"/>
    <n v="0"/>
    <n v="0"/>
    <n v="0"/>
    <n v="0"/>
    <n v="0"/>
    <n v="0"/>
    <n v="440"/>
    <n v="0"/>
  </r>
  <r>
    <x v="0"/>
    <x v="1"/>
    <x v="0"/>
    <s v="5631200"/>
    <n v="749530"/>
    <s v="Mileage"/>
    <s v="St Francis Med&amp;Spec-Shared Svc"/>
    <x v="0"/>
    <n v="1001"/>
    <n v="110.68"/>
    <n v="37.08"/>
    <n v="44.17"/>
    <n v="0"/>
    <n v="66.53"/>
    <n v="118.87"/>
    <n v="81.09"/>
    <n v="0"/>
    <n v="59.74"/>
    <n v="45.24"/>
    <n v="64.959999999999994"/>
    <n v="138.04"/>
    <n v="766.40000000000009"/>
    <n v="-73.08"/>
  </r>
  <r>
    <x v="0"/>
    <x v="1"/>
    <x v="0"/>
    <s v="5631200"/>
    <n v="749550"/>
    <s v="Cash Over/Short"/>
    <s v="St Francis Med&amp;Spec-Shared Svc"/>
    <x v="0"/>
    <m/>
    <n v="0"/>
    <n v="0"/>
    <n v="0"/>
    <n v="0"/>
    <n v="0"/>
    <n v="0"/>
    <n v="0"/>
    <n v="0"/>
    <n v="0"/>
    <n v="10"/>
    <n v="0"/>
    <n v="0"/>
    <n v="10"/>
    <n v="0"/>
  </r>
  <r>
    <x v="0"/>
    <x v="1"/>
    <x v="0"/>
    <s v="5631200"/>
    <n v="749591"/>
    <s v="Other Expense-Intracompany Allocation"/>
    <s v="St Francis Med&amp;Spec-Shared Svc"/>
    <x v="0"/>
    <m/>
    <n v="-97193.919999999998"/>
    <n v="-88938.27"/>
    <n v="-84670.04"/>
    <n v="-107870.3"/>
    <n v="-127714.05"/>
    <n v="-106386.64"/>
    <n v="-119011.76"/>
    <n v="-59420.02"/>
    <n v="-132067.4"/>
    <n v="-92179.44"/>
    <n v="-110567.43"/>
    <n v="-94548.17"/>
    <n v="-1220567.44"/>
    <n v="-16019.259999999995"/>
  </r>
  <r>
    <x v="0"/>
    <x v="1"/>
    <x v="0"/>
    <s v="5631200"/>
    <n v="766010"/>
    <s v="Property Tax"/>
    <s v="St Francis Med&amp;Spec-Shared Svc"/>
    <x v="0"/>
    <m/>
    <n v="48.59"/>
    <n v="48.59"/>
    <n v="48.59"/>
    <n v="48.59"/>
    <n v="48.59"/>
    <n v="48.59"/>
    <n v="48.59"/>
    <n v="48.59"/>
    <n v="48.59"/>
    <n v="-35.97"/>
    <n v="27.44"/>
    <n v="27.44"/>
    <n v="456.22"/>
    <n v="0"/>
  </r>
  <r>
    <x v="5"/>
    <x v="1"/>
    <x v="0"/>
    <s v="5632200"/>
    <n v="700014"/>
    <s v="Salaries-Management-Productive"/>
    <s v="FMB @ St. Joe's 3rd Floor"/>
    <x v="0"/>
    <m/>
    <n v="5859.6"/>
    <n v="8984.7199999999993"/>
    <n v="6836.2"/>
    <n v="9338.44"/>
    <n v="4793.28"/>
    <n v="6990.2"/>
    <n v="9000.86"/>
    <n v="4640.28"/>
    <n v="9360.59"/>
    <n v="8120.51"/>
    <n v="9480.6"/>
    <n v="4400.28"/>
    <n v="87805.56"/>
    <n v="5080.3200000000006"/>
  </r>
  <r>
    <x v="5"/>
    <x v="1"/>
    <x v="0"/>
    <s v="5632200"/>
    <n v="700018"/>
    <s v="Salaries-Supervisory-Productive"/>
    <s v="FMB @ St. Joe's 3rd Floor"/>
    <x v="0"/>
    <m/>
    <n v="8779.0300000000007"/>
    <n v="8114.73"/>
    <n v="9141.76"/>
    <n v="10339.040000000001"/>
    <n v="8300.16"/>
    <n v="7602.88"/>
    <n v="9765.5"/>
    <n v="7249.97"/>
    <n v="8235.17"/>
    <n v="10047.65"/>
    <n v="10005.280000000001"/>
    <n v="7069.97"/>
    <n v="104651.13999999998"/>
    <n v="2935.3100000000004"/>
  </r>
  <r>
    <x v="5"/>
    <x v="1"/>
    <x v="0"/>
    <s v="5632200"/>
    <n v="700030"/>
    <s v="Salaries-LPN-Productive"/>
    <s v="FMB @ St. Joe's 3rd Floor"/>
    <x v="0"/>
    <m/>
    <n v="0"/>
    <n v="112.62"/>
    <n v="-37.54"/>
    <n v="0"/>
    <n v="0"/>
    <n v="0"/>
    <n v="0"/>
    <n v="0"/>
    <n v="0"/>
    <n v="0"/>
    <n v="0"/>
    <n v="0"/>
    <n v="75.080000000000013"/>
    <n v="0"/>
  </r>
  <r>
    <x v="5"/>
    <x v="1"/>
    <x v="0"/>
    <s v="5632200"/>
    <n v="700030"/>
    <s v="Salaries-LPN-Other"/>
    <s v="FMB @ St. Joe's 3rd Floor"/>
    <x v="0"/>
    <n v="2000"/>
    <n v="0"/>
    <n v="5.25"/>
    <n v="-1.75"/>
    <n v="0"/>
    <n v="0"/>
    <n v="0"/>
    <n v="0"/>
    <n v="0"/>
    <n v="0"/>
    <n v="0"/>
    <n v="0"/>
    <n v="0"/>
    <n v="3.5"/>
    <n v="0"/>
  </r>
  <r>
    <x v="5"/>
    <x v="1"/>
    <x v="0"/>
    <s v="5632200"/>
    <n v="700038"/>
    <s v="Salaries-Service/Support-Productive"/>
    <s v="FMB @ St. Joe's 3rd Floor"/>
    <x v="0"/>
    <m/>
    <n v="70862.25"/>
    <n v="76031.199999999997"/>
    <n v="63300.7"/>
    <n v="80862.33"/>
    <n v="70946.179999999993"/>
    <n v="58354.97"/>
    <n v="73869.279999999999"/>
    <n v="61444.75"/>
    <n v="76347.259999999995"/>
    <n v="80541.509999999995"/>
    <n v="83614.22"/>
    <n v="67861.06"/>
    <n v="864035.71"/>
    <n v="15753.160000000003"/>
  </r>
  <r>
    <x v="5"/>
    <x v="1"/>
    <x v="0"/>
    <s v="5632200"/>
    <n v="700038"/>
    <s v="Salaries-Service/Support-OT"/>
    <s v="FMB @ St. Joe's 3rd Floor"/>
    <x v="0"/>
    <n v="1000"/>
    <n v="1412.87"/>
    <n v="633.32000000000005"/>
    <n v="1140.77"/>
    <n v="979.95"/>
    <n v="1205.8599999999999"/>
    <n v="354.85"/>
    <n v="2255.34"/>
    <n v="274.89"/>
    <n v="460.52"/>
    <n v="706.08"/>
    <n v="908.63"/>
    <n v="227.02"/>
    <n v="10560.1"/>
    <n v="681.61"/>
  </r>
  <r>
    <x v="5"/>
    <x v="1"/>
    <x v="0"/>
    <s v="5632200"/>
    <n v="700038"/>
    <s v="Salaries-Service/Support-Other"/>
    <s v="FMB @ St. Joe's 3rd Floor"/>
    <x v="0"/>
    <n v="2000"/>
    <n v="64.150000000000006"/>
    <n v="74.22"/>
    <n v="115.42"/>
    <n v="88.08"/>
    <n v="76.05"/>
    <n v="48.67"/>
    <n v="80.64"/>
    <n v="94.19"/>
    <n v="80.12"/>
    <n v="69.8"/>
    <n v="51.91"/>
    <n v="36.82"/>
    <n v="880.07"/>
    <n v="15.089999999999996"/>
  </r>
  <r>
    <x v="5"/>
    <x v="1"/>
    <x v="0"/>
    <s v="5632200"/>
    <n v="700054"/>
    <s v="Salaries-Management-Non-productive"/>
    <s v="FMB @ St. Joe's 3rd Floor"/>
    <x v="0"/>
    <m/>
    <n v="2734.48"/>
    <n v="0"/>
    <n v="976.6"/>
    <n v="-195.32"/>
    <n v="3994.4"/>
    <n v="1398.04"/>
    <n v="200.3"/>
    <n v="3360.2"/>
    <n v="-960.05"/>
    <n v="680.02"/>
    <n v="-280"/>
    <n v="3600.22"/>
    <n v="15508.890000000001"/>
    <n v="-3880.22"/>
  </r>
  <r>
    <x v="5"/>
    <x v="1"/>
    <x v="0"/>
    <s v="5632200"/>
    <n v="700054"/>
    <s v="Salaries-Management-NonProd-Other"/>
    <s v="FMB @ St. Joe's 3rd Floor"/>
    <x v="0"/>
    <n v="2000"/>
    <n v="0"/>
    <n v="0"/>
    <n v="0"/>
    <n v="0"/>
    <n v="0"/>
    <n v="2028.88"/>
    <n v="-2028.88"/>
    <n v="0"/>
    <n v="0"/>
    <n v="0"/>
    <n v="0"/>
    <n v="0"/>
    <n v="0"/>
    <n v="0"/>
  </r>
  <r>
    <x v="5"/>
    <x v="1"/>
    <x v="0"/>
    <s v="5632200"/>
    <n v="700058"/>
    <s v="Salaries-Supervisory-Non-productive"/>
    <s v="FMB @ St. Joe's 3rd Floor"/>
    <x v="0"/>
    <m/>
    <n v="1252.95"/>
    <n v="2373.29"/>
    <n v="-21.76"/>
    <n v="412.48"/>
    <n v="2053.92"/>
    <n v="2280.5500000000002"/>
    <n v="1075.79"/>
    <n v="2176.66"/>
    <n v="1662.8"/>
    <n v="321.62"/>
    <n v="835.35"/>
    <n v="2356.65"/>
    <n v="16780.300000000003"/>
    <n v="-1521.3000000000002"/>
  </r>
  <r>
    <x v="5"/>
    <x v="1"/>
    <x v="0"/>
    <s v="5632200"/>
    <n v="700072"/>
    <s v="Salaries-Other Pat Care Providers-NonProd-Other"/>
    <s v="FMB @ St. Joe's 3rd Floor"/>
    <x v="0"/>
    <n v="2000"/>
    <n v="0"/>
    <n v="0"/>
    <n v="0"/>
    <n v="0"/>
    <n v="0"/>
    <n v="2042.86"/>
    <n v="0"/>
    <n v="0"/>
    <n v="0"/>
    <n v="0"/>
    <n v="0"/>
    <n v="0"/>
    <n v="2042.86"/>
    <n v="0"/>
  </r>
  <r>
    <x v="5"/>
    <x v="1"/>
    <x v="0"/>
    <s v="5632200"/>
    <n v="700078"/>
    <s v="Salaries-Service/Support-Non-productive"/>
    <s v="FMB @ St. Joe's 3rd Floor"/>
    <x v="0"/>
    <m/>
    <n v="9835.17"/>
    <n v="12117.07"/>
    <n v="10216.799999999999"/>
    <n v="9139.31"/>
    <n v="10264.17"/>
    <n v="16785.16"/>
    <n v="7608.54"/>
    <n v="10919.65"/>
    <n v="4625.8599999999997"/>
    <n v="7242.61"/>
    <n v="9047.41"/>
    <n v="8710.0499999999993"/>
    <n v="116511.79999999999"/>
    <n v="337.36000000000058"/>
  </r>
  <r>
    <x v="5"/>
    <x v="1"/>
    <x v="0"/>
    <s v="5632200"/>
    <n v="700078"/>
    <s v="Salaries-Service/Support-NonProd-Other"/>
    <s v="FMB @ St. Joe's 3rd Floor"/>
    <x v="0"/>
    <n v="2000"/>
    <n v="0"/>
    <n v="0"/>
    <n v="0"/>
    <n v="0"/>
    <n v="1339.32"/>
    <n v="1481.05"/>
    <n v="0"/>
    <n v="-2820.37"/>
    <n v="0"/>
    <n v="0"/>
    <n v="0"/>
    <n v="0"/>
    <n v="0"/>
    <n v="0"/>
  </r>
  <r>
    <x v="5"/>
    <x v="1"/>
    <x v="0"/>
    <s v="5632200"/>
    <n v="700084"/>
    <s v="Accrued PTO"/>
    <s v="FMB @ St. Joe's 3rd Floor"/>
    <x v="0"/>
    <m/>
    <n v="-1388.92"/>
    <n v="92.54"/>
    <n v="-1335.08"/>
    <n v="5019.26"/>
    <n v="1573.9"/>
    <n v="-6625.74"/>
    <n v="1823.62"/>
    <n v="-2510.52"/>
    <n v="4171.01"/>
    <n v="5055.63"/>
    <n v="2897.47"/>
    <n v="-2189.73"/>
    <n v="6583.4400000000005"/>
    <n v="5087.2"/>
  </r>
  <r>
    <x v="6"/>
    <x v="1"/>
    <x v="0"/>
    <s v="5632200"/>
    <n v="713010"/>
    <s v="Benefits-FICA/Medicare"/>
    <s v="FMB @ St. Joe's 3rd Floor"/>
    <x v="0"/>
    <m/>
    <n v="7481.21"/>
    <n v="7971.4"/>
    <n v="6733.51"/>
    <n v="8165.67"/>
    <n v="7970.36"/>
    <n v="7138.66"/>
    <n v="7763.01"/>
    <n v="6618.25"/>
    <n v="7337.11"/>
    <n v="7820.73"/>
    <n v="8388.08"/>
    <n v="7082.02"/>
    <n v="90470.01"/>
    <n v="1306.0599999999995"/>
  </r>
  <r>
    <x v="6"/>
    <x v="1"/>
    <x v="0"/>
    <s v="5632200"/>
    <n v="713090"/>
    <s v="Benefits-Allocated Amounts"/>
    <s v="FMB @ St. Joe's 3rd Floor"/>
    <x v="0"/>
    <m/>
    <n v="27520.94"/>
    <n v="26032.33"/>
    <n v="26934.880000000001"/>
    <n v="28739.43"/>
    <n v="27441.06"/>
    <n v="25959.14"/>
    <n v="30895.33"/>
    <n v="28627.55"/>
    <n v="29321.29"/>
    <n v="31067.82"/>
    <n v="31649.48"/>
    <n v="30684.89"/>
    <n v="344874.14"/>
    <n v="964.59000000000015"/>
  </r>
  <r>
    <x v="6"/>
    <x v="1"/>
    <x v="0"/>
    <s v="5632200"/>
    <n v="713096"/>
    <s v="Employee Recognition"/>
    <s v="FMB @ St. Joe's 3rd Floor"/>
    <x v="0"/>
    <n v="1017"/>
    <n v="0"/>
    <n v="0"/>
    <n v="0"/>
    <n v="0"/>
    <n v="111.96"/>
    <n v="479.66"/>
    <n v="0"/>
    <n v="0"/>
    <n v="93.47"/>
    <n v="0"/>
    <n v="80.25"/>
    <n v="0"/>
    <n v="765.34"/>
    <n v="80.25"/>
  </r>
  <r>
    <x v="7"/>
    <x v="1"/>
    <x v="0"/>
    <s v="5632200"/>
    <n v="718010"/>
    <s v="Media/Print Advertising"/>
    <s v="FMB @ St. Joe's 3rd Floor"/>
    <x v="0"/>
    <n v="1004"/>
    <n v="358.92"/>
    <n v="2328.92"/>
    <n v="0"/>
    <n v="303.26"/>
    <n v="491.34"/>
    <n v="2076.2199999999998"/>
    <n v="0"/>
    <n v="1713.93"/>
    <n v="5.49"/>
    <n v="74.64"/>
    <n v="1630.3"/>
    <n v="-146.86000000000001"/>
    <n v="8836.16"/>
    <n v="1777.1599999999999"/>
  </r>
  <r>
    <x v="7"/>
    <x v="1"/>
    <x v="0"/>
    <s v="5632200"/>
    <n v="718040"/>
    <s v="Contract Svcs-Laboratory"/>
    <s v="FMB @ St. Joe's 3rd Floor"/>
    <x v="0"/>
    <m/>
    <n v="25.34"/>
    <n v="0"/>
    <n v="451"/>
    <n v="0"/>
    <n v="0"/>
    <n v="0"/>
    <n v="0"/>
    <n v="0"/>
    <n v="0"/>
    <n v="0"/>
    <n v="0"/>
    <n v="0"/>
    <n v="476.34"/>
    <n v="0"/>
  </r>
  <r>
    <x v="7"/>
    <x v="1"/>
    <x v="0"/>
    <s v="5632200"/>
    <n v="718050"/>
    <s v="Contract Svcs-Other"/>
    <s v="FMB @ St. Joe's 3rd Floor"/>
    <x v="0"/>
    <m/>
    <n v="250.32"/>
    <n v="250.32"/>
    <n v="250.32"/>
    <n v="250.32"/>
    <n v="250.32"/>
    <n v="0"/>
    <n v="775.89"/>
    <n v="584.08000000000004"/>
    <n v="2152.14"/>
    <n v="550.5"/>
    <n v="275.5"/>
    <n v="442.13"/>
    <n v="6031.8399999999992"/>
    <n v="-166.63"/>
  </r>
  <r>
    <x v="7"/>
    <x v="1"/>
    <x v="0"/>
    <s v="5632200"/>
    <n v="718050"/>
    <s v="Document Shredding/Storage"/>
    <s v="FMB @ St. Joe's 3rd Floor"/>
    <x v="0"/>
    <n v="1012"/>
    <n v="2048.79"/>
    <n v="1735.71"/>
    <n v="1927.32"/>
    <n v="1874.44"/>
    <n v="1607.38"/>
    <n v="1874.86"/>
    <n v="1832.35"/>
    <n v="1136.32"/>
    <n v="1484.29"/>
    <n v="1810.24"/>
    <n v="1608.28"/>
    <n v="2381.59"/>
    <n v="21321.57"/>
    <n v="-773.31000000000017"/>
  </r>
  <r>
    <x v="7"/>
    <x v="1"/>
    <x v="0"/>
    <s v="5632200"/>
    <n v="718050"/>
    <s v="Physician Answering"/>
    <s v="FMB @ St. Joe's 3rd Floor"/>
    <x v="0"/>
    <n v="1015"/>
    <n v="4009"/>
    <n v="1596"/>
    <n v="3534.6"/>
    <n v="1771.6"/>
    <n v="2496.8000000000002"/>
    <n v="1452.8"/>
    <n v="5040"/>
    <n v="3336.8"/>
    <n v="4730.3999999999996"/>
    <n v="3865.8"/>
    <n v="1651.6"/>
    <n v="6762.3"/>
    <n v="40247.700000000004"/>
    <n v="-5110.7000000000007"/>
  </r>
  <r>
    <x v="7"/>
    <x v="1"/>
    <x v="0"/>
    <s v="5632200"/>
    <n v="718050"/>
    <s v="Miscellaneous Purchased Svcs"/>
    <s v="FMB @ St. Joe's 3rd Floor"/>
    <x v="0"/>
    <n v="1020"/>
    <n v="76.77"/>
    <n v="1042.7"/>
    <n v="510.41"/>
    <n v="510.1"/>
    <n v="113.74"/>
    <n v="950.72"/>
    <n v="1858.52"/>
    <n v="550.49"/>
    <n v="810.61"/>
    <n v="734.14"/>
    <n v="913.67"/>
    <n v="377.87"/>
    <n v="8449.74"/>
    <n v="535.79999999999995"/>
  </r>
  <r>
    <x v="7"/>
    <x v="1"/>
    <x v="0"/>
    <s v="5632200"/>
    <n v="718050"/>
    <s v="Translation Services"/>
    <s v="FMB @ St. Joe's 3rd Floor"/>
    <x v="0"/>
    <n v="1025"/>
    <n v="2993.48"/>
    <n v="2634"/>
    <n v="2670.65"/>
    <n v="3428.11"/>
    <n v="3097.62"/>
    <n v="2567.06"/>
    <n v="2778.12"/>
    <n v="2182.39"/>
    <n v="2143.5"/>
    <n v="2260.9"/>
    <n v="2937.53"/>
    <n v="586.83000000000004"/>
    <n v="30280.190000000002"/>
    <n v="2350.7000000000003"/>
  </r>
  <r>
    <x v="7"/>
    <x v="1"/>
    <x v="0"/>
    <s v="5632200"/>
    <n v="718050"/>
    <s v="Contract Management--Linen"/>
    <s v="FMB @ St. Joe's 3rd Floor"/>
    <x v="0"/>
    <n v="1026"/>
    <n v="747.99"/>
    <n v="4084.61"/>
    <n v="2833.31"/>
    <n v="1887.31"/>
    <n v="1885.21"/>
    <n v="2704.21"/>
    <n v="3029.66"/>
    <n v="1395.35"/>
    <n v="4172.0200000000004"/>
    <n v="1129.3900000000001"/>
    <n v="558.14"/>
    <n v="2793.58"/>
    <n v="27220.78"/>
    <n v="-2235.44"/>
  </r>
  <r>
    <x v="7"/>
    <x v="1"/>
    <x v="0"/>
    <s v="5632200"/>
    <n v="718050"/>
    <s v="Purchased Srvcs--Medical Waste"/>
    <s v="FMB @ St. Joe's 3rd Floor"/>
    <x v="0"/>
    <n v="1027"/>
    <n v="31.84"/>
    <n v="246.54"/>
    <n v="5454.12"/>
    <n v="576.79999999999995"/>
    <n v="5792.45"/>
    <n v="189.35"/>
    <n v="241.54"/>
    <n v="155.62"/>
    <n v="1062.48"/>
    <n v="1583.76"/>
    <n v="0"/>
    <n v="2302.13"/>
    <n v="17636.63"/>
    <n v="-2302.13"/>
  </r>
  <r>
    <x v="7"/>
    <x v="1"/>
    <x v="0"/>
    <s v="5632200"/>
    <n v="718070"/>
    <s v="Contract Srvcs-CHI Clinical Engineering"/>
    <s v="FMB @ St. Joe's 3rd Floor"/>
    <x v="0"/>
    <m/>
    <n v="2917.4"/>
    <n v="3386.51"/>
    <n v="6905.43"/>
    <n v="7861.17"/>
    <n v="6741.94"/>
    <n v="7390.73"/>
    <n v="6939.5"/>
    <n v="6573.53"/>
    <n v="3303.71"/>
    <n v="25.96"/>
    <n v="7072.3"/>
    <n v="1156.05"/>
    <n v="60274.23"/>
    <n v="5916.25"/>
  </r>
  <r>
    <x v="11"/>
    <x v="1"/>
    <x v="0"/>
    <s v="5632200"/>
    <n v="721010"/>
    <s v="Supplies-Medical - Billable"/>
    <s v="FMB @ St. Joe's 3rd Floor"/>
    <x v="0"/>
    <m/>
    <n v="678.08"/>
    <n v="0"/>
    <n v="0"/>
    <n v="0"/>
    <n v="0"/>
    <n v="4092"/>
    <n v="6780.8"/>
    <n v="0"/>
    <n v="890.3"/>
    <n v="0"/>
    <n v="1762.79"/>
    <n v="0"/>
    <n v="14203.970000000001"/>
    <n v="1762.79"/>
  </r>
  <r>
    <x v="11"/>
    <x v="1"/>
    <x v="0"/>
    <s v="5632200"/>
    <n v="721010"/>
    <s v="Patient Monitoring"/>
    <s v="FMB @ St. Joe's 3rd Floor"/>
    <x v="0"/>
    <n v="1000"/>
    <n v="0"/>
    <n v="0"/>
    <n v="0"/>
    <n v="0"/>
    <n v="0"/>
    <n v="0"/>
    <n v="0"/>
    <n v="0"/>
    <n v="0"/>
    <n v="0"/>
    <n v="-66.680000000000007"/>
    <n v="0"/>
    <n v="-66.680000000000007"/>
    <n v="-66.680000000000007"/>
  </r>
  <r>
    <x v="11"/>
    <x v="1"/>
    <x v="0"/>
    <s v="5632200"/>
    <n v="721250"/>
    <s v="Supplies-Pharmacy Drugs - Billable"/>
    <s v="FMB @ St. Joe's 3rd Floor"/>
    <x v="0"/>
    <m/>
    <n v="29492.03"/>
    <n v="21686.75"/>
    <n v="32609.37"/>
    <n v="65600.639999999999"/>
    <n v="58331.34"/>
    <n v="59045.599999999999"/>
    <n v="24153.84"/>
    <n v="22634.62"/>
    <n v="30089.33"/>
    <n v="18932.41"/>
    <n v="20143.37"/>
    <n v="32559.71"/>
    <n v="415279.01"/>
    <n v="-12416.34"/>
  </r>
  <r>
    <x v="11"/>
    <x v="1"/>
    <x v="0"/>
    <s v="5632200"/>
    <n v="721410"/>
    <s v="Supplies-Medical - Nonbillable"/>
    <s v="FMB @ St. Joe's 3rd Floor"/>
    <x v="0"/>
    <m/>
    <n v="5340.63"/>
    <n v="7803.71"/>
    <n v="2789.24"/>
    <n v="17943.37"/>
    <n v="7170.09"/>
    <n v="8123.25"/>
    <n v="8610.5300000000007"/>
    <n v="8492.1299999999992"/>
    <n v="4252.0200000000004"/>
    <n v="3884.17"/>
    <n v="3397.97"/>
    <n v="10805.66"/>
    <n v="88612.77"/>
    <n v="-7407.6900000000005"/>
  </r>
  <r>
    <x v="11"/>
    <x v="1"/>
    <x v="0"/>
    <s v="5632200"/>
    <n v="721810"/>
    <s v="Supplies-Dietary/Cafeteria"/>
    <s v="FMB @ St. Joe's 3rd Floor"/>
    <x v="0"/>
    <m/>
    <n v="696.8"/>
    <n v="1527.45"/>
    <n v="415.09"/>
    <n v="1723.51"/>
    <n v="390.2"/>
    <n v="1109.96"/>
    <n v="375.62"/>
    <n v="2020.68"/>
    <n v="893.2"/>
    <n v="535.4"/>
    <n v="411.09"/>
    <n v="0"/>
    <n v="10099"/>
    <n v="411.09"/>
  </r>
  <r>
    <x v="11"/>
    <x v="1"/>
    <x v="0"/>
    <s v="5632200"/>
    <n v="721830"/>
    <s v="Supplies-Office"/>
    <s v="FMB @ St. Joe's 3rd Floor"/>
    <x v="0"/>
    <m/>
    <n v="980.63"/>
    <n v="3166.85"/>
    <n v="1827.17"/>
    <n v="1941.1"/>
    <n v="1591.8"/>
    <n v="2939"/>
    <n v="1910.59"/>
    <n v="1157.76"/>
    <n v="1882.46"/>
    <n v="2107.2600000000002"/>
    <n v="1464.99"/>
    <n v="907.31"/>
    <n v="21876.920000000006"/>
    <n v="557.68000000000006"/>
  </r>
  <r>
    <x v="11"/>
    <x v="1"/>
    <x v="0"/>
    <s v="5632200"/>
    <n v="721835"/>
    <s v="Supplies-Forms"/>
    <s v="FMB @ St. Joe's 3rd Floor"/>
    <x v="0"/>
    <m/>
    <n v="0"/>
    <n v="0"/>
    <n v="0"/>
    <n v="0"/>
    <n v="259.39999999999998"/>
    <n v="19.989999999999998"/>
    <n v="25.09"/>
    <n v="0"/>
    <n v="0"/>
    <n v="97.2"/>
    <n v="13.8"/>
    <n v="59.33"/>
    <n v="474.80999999999995"/>
    <n v="-45.53"/>
  </r>
  <r>
    <x v="11"/>
    <x v="1"/>
    <x v="0"/>
    <s v="5632200"/>
    <n v="721870"/>
    <s v="Supplies-Environmental Services"/>
    <s v="FMB @ St. Joe's 3rd Floor"/>
    <x v="0"/>
    <m/>
    <n v="127.5"/>
    <n v="272"/>
    <n v="38"/>
    <n v="141"/>
    <n v="0"/>
    <n v="141"/>
    <n v="282"/>
    <n v="141"/>
    <n v="0"/>
    <n v="141"/>
    <n v="141"/>
    <n v="98"/>
    <n v="1522.5"/>
    <n v="43"/>
  </r>
  <r>
    <x v="11"/>
    <x v="1"/>
    <x v="0"/>
    <s v="5632200"/>
    <n v="721910"/>
    <s v="Supplies-Small Equipment"/>
    <s v="FMB @ St. Joe's 3rd Floor"/>
    <x v="0"/>
    <m/>
    <n v="1259"/>
    <n v="221.62"/>
    <n v="0"/>
    <n v="0"/>
    <n v="0"/>
    <n v="3069.59"/>
    <n v="0"/>
    <n v="205.93"/>
    <n v="22.77"/>
    <n v="468"/>
    <n v="10.199999999999999"/>
    <n v="26.14"/>
    <n v="5283.2500000000009"/>
    <n v="-15.940000000000001"/>
  </r>
  <r>
    <x v="11"/>
    <x v="1"/>
    <x v="0"/>
    <s v="5632200"/>
    <n v="721980"/>
    <s v="Supplies-Other"/>
    <s v="FMB @ St. Joe's 3rd Floor"/>
    <x v="0"/>
    <m/>
    <n v="0"/>
    <n v="0"/>
    <n v="0"/>
    <n v="0"/>
    <n v="0"/>
    <n v="0"/>
    <n v="132.08000000000001"/>
    <n v="0"/>
    <n v="0"/>
    <n v="0"/>
    <n v="22.91"/>
    <n v="0"/>
    <n v="154.99"/>
    <n v="22.91"/>
  </r>
  <r>
    <x v="11"/>
    <x v="1"/>
    <x v="0"/>
    <s v="5632200"/>
    <n v="722000"/>
    <s v="Supplies-Freight Expense"/>
    <s v="FMB @ St. Joe's 3rd Floor"/>
    <x v="0"/>
    <m/>
    <n v="0"/>
    <n v="20.41"/>
    <n v="0"/>
    <n v="12.85"/>
    <n v="0"/>
    <n v="0"/>
    <n v="7.97"/>
    <n v="0"/>
    <n v="0"/>
    <n v="0"/>
    <n v="18.16"/>
    <n v="41.3"/>
    <n v="100.69"/>
    <n v="-23.139999999999997"/>
  </r>
  <r>
    <x v="12"/>
    <x v="1"/>
    <x v="0"/>
    <s v="5632200"/>
    <n v="730010"/>
    <s v="Rental and Leases-Building (DO NOT USE)"/>
    <s v="FMB @ St. Joe's 3rd Floor"/>
    <x v="0"/>
    <m/>
    <n v="116678.95"/>
    <n v="116758.95"/>
    <n v="116713.95"/>
    <n v="116713.95"/>
    <n v="116668.95"/>
    <n v="-23225.78"/>
    <n v="95396.42"/>
    <n v="95431.42"/>
    <n v="95306.42"/>
    <n v="102289.81"/>
    <n v="88293.71"/>
    <n v="45"/>
    <n v="1037071.75"/>
    <n v="88248.71"/>
  </r>
  <r>
    <x v="12"/>
    <x v="1"/>
    <x v="0"/>
    <s v="5632200"/>
    <n v="730010"/>
    <s v="Rental-Common Area Maint (DO NOT USE)"/>
    <s v="FMB @ St. Joe's 3rd Floor"/>
    <x v="0"/>
    <n v="2200"/>
    <n v="0"/>
    <n v="0"/>
    <n v="0"/>
    <n v="0"/>
    <n v="0"/>
    <n v="139944.73000000001"/>
    <n v="23324.16"/>
    <n v="23324.16"/>
    <n v="23324.16"/>
    <n v="3630.24"/>
    <n v="23324.16"/>
    <n v="23324.16"/>
    <n v="260195.77000000002"/>
    <n v="0"/>
  </r>
  <r>
    <x v="12"/>
    <x v="1"/>
    <x v="0"/>
    <s v="5632200"/>
    <n v="730020"/>
    <s v="Rental and Leases-Copier Usage Fees (DO NOT USE)"/>
    <s v="FMB @ St. Joe's 3rd Floor"/>
    <x v="0"/>
    <n v="5100"/>
    <n v="3283.78"/>
    <n v="3355.08"/>
    <n v="3319.43"/>
    <n v="3319.43"/>
    <n v="3319.43"/>
    <n v="3319.43"/>
    <n v="3451.18"/>
    <n v="2870.57"/>
    <n v="3975.35"/>
    <n v="3297.7"/>
    <n v="2909.15"/>
    <n v="3076.27"/>
    <n v="39496.799999999996"/>
    <n v="-167.11999999999989"/>
  </r>
  <r>
    <x v="12"/>
    <x v="1"/>
    <x v="0"/>
    <s v="5632200"/>
    <n v="730040"/>
    <s v="LT Lease-Real Estate"/>
    <s v="FMB @ St. Joe's 3rd Floor"/>
    <x v="0"/>
    <m/>
    <n v="0"/>
    <n v="0"/>
    <n v="0"/>
    <n v="0"/>
    <n v="0"/>
    <n v="0"/>
    <n v="0"/>
    <n v="0"/>
    <n v="0"/>
    <n v="0"/>
    <n v="0"/>
    <n v="95269.26"/>
    <n v="95269.26"/>
    <n v="-95269.26"/>
  </r>
  <r>
    <x v="15"/>
    <x v="1"/>
    <x v="0"/>
    <s v="5632200"/>
    <n v="731060"/>
    <s v="Telephone"/>
    <s v="FMB @ St. Joe's 3rd Floor"/>
    <x v="0"/>
    <m/>
    <n v="629.80999999999995"/>
    <n v="479.05"/>
    <n v="450.16"/>
    <n v="450.86"/>
    <n v="451.94"/>
    <n v="471.62"/>
    <n v="461.88"/>
    <n v="458.35"/>
    <n v="290.73"/>
    <n v="639.15"/>
    <n v="290.41000000000003"/>
    <n v="493.67"/>
    <n v="5567.6299999999992"/>
    <n v="-203.26"/>
  </r>
  <r>
    <x v="15"/>
    <x v="1"/>
    <x v="0"/>
    <s v="5632200"/>
    <n v="731060"/>
    <s v="Pagers"/>
    <s v="FMB @ St. Joe's 3rd Floor"/>
    <x v="0"/>
    <n v="1002"/>
    <n v="64.8"/>
    <n v="64.8"/>
    <n v="64.8"/>
    <n v="64.959999999999994"/>
    <n v="98.83"/>
    <n v="0"/>
    <n v="60.01"/>
    <n v="16.239999999999998"/>
    <n v="16.239999999999998"/>
    <n v="16.239999999999998"/>
    <n v="16.239999999999998"/>
    <n v="16.239999999999998"/>
    <n v="499.4"/>
    <n v="0"/>
  </r>
  <r>
    <x v="15"/>
    <x v="1"/>
    <x v="0"/>
    <s v="5632200"/>
    <n v="731070"/>
    <s v="Cable TV"/>
    <s v="FMB @ St. Joe's 3rd Floor"/>
    <x v="0"/>
    <m/>
    <n v="130.94999999999999"/>
    <n v="108.5"/>
    <n v="86.05"/>
    <n v="130.94999999999999"/>
    <n v="108.5"/>
    <n v="86.05"/>
    <n v="144.91"/>
    <n v="95.61"/>
    <n v="120.26"/>
    <n v="144.91"/>
    <n v="120.26"/>
    <n v="95.61"/>
    <n v="1372.56"/>
    <n v="24.650000000000006"/>
  </r>
  <r>
    <x v="16"/>
    <x v="1"/>
    <x v="0"/>
    <s v="5632200"/>
    <n v="732015"/>
    <s v="Repairs-Clinical Equip-T&amp;M-Ext to CHI Programs"/>
    <s v="FMB @ St. Joe's 3rd Floor"/>
    <x v="0"/>
    <m/>
    <n v="0"/>
    <n v="0"/>
    <n v="0"/>
    <n v="0"/>
    <n v="0"/>
    <n v="0"/>
    <n v="0"/>
    <n v="0"/>
    <n v="0"/>
    <n v="0"/>
    <n v="10184"/>
    <n v="0"/>
    <n v="10184"/>
    <n v="10184"/>
  </r>
  <r>
    <x v="16"/>
    <x v="1"/>
    <x v="0"/>
    <s v="5632200"/>
    <n v="732030"/>
    <s v="Repairs---Other"/>
    <s v="FMB @ St. Joe's 3rd Floor"/>
    <x v="0"/>
    <m/>
    <n v="433.44"/>
    <n v="1209.82"/>
    <n v="1887.29"/>
    <n v="973.68"/>
    <n v="593.82000000000005"/>
    <n v="920.63"/>
    <n v="3345.16"/>
    <n v="2506.7800000000002"/>
    <n v="486.83"/>
    <n v="288.06"/>
    <n v="209.35"/>
    <n v="654.87"/>
    <n v="13509.730000000001"/>
    <n v="-445.52"/>
  </r>
  <r>
    <x v="16"/>
    <x v="1"/>
    <x v="0"/>
    <s v="5632200"/>
    <n v="732030"/>
    <s v="Repairs&amp;Maintenance-Bldg Routine"/>
    <s v="FMB @ St. Joe's 3rd Floor"/>
    <x v="0"/>
    <n v="2300"/>
    <n v="0"/>
    <n v="0"/>
    <n v="0"/>
    <n v="0"/>
    <n v="0"/>
    <n v="0"/>
    <n v="0"/>
    <n v="0"/>
    <n v="0"/>
    <n v="475"/>
    <n v="475"/>
    <n v="0"/>
    <n v="950"/>
    <n v="475"/>
  </r>
  <r>
    <x v="16"/>
    <x v="1"/>
    <x v="0"/>
    <s v="5632200"/>
    <n v="733030"/>
    <s v="Maintenance Contracts-Other"/>
    <s v="FMB @ St. Joe's 3rd Floor"/>
    <x v="0"/>
    <m/>
    <n v="0"/>
    <n v="0"/>
    <n v="0"/>
    <n v="0"/>
    <n v="0"/>
    <n v="0"/>
    <n v="0"/>
    <n v="0"/>
    <n v="0"/>
    <n v="0"/>
    <n v="1632"/>
    <n v="0"/>
    <n v="1632"/>
    <n v="1632"/>
  </r>
  <r>
    <x v="13"/>
    <x v="1"/>
    <x v="0"/>
    <s v="5632200"/>
    <n v="735050"/>
    <s v="Amortization-Leasehold Improvements"/>
    <s v="FMB @ St. Joe's 3rd Floor"/>
    <x v="0"/>
    <m/>
    <n v="1803.75"/>
    <n v="1803.74"/>
    <n v="1803.75"/>
    <n v="1803.74"/>
    <n v="1803.76"/>
    <n v="1803.74"/>
    <n v="1803.77"/>
    <n v="1803.73"/>
    <n v="1803.78"/>
    <n v="1803.73"/>
    <n v="1803.78"/>
    <n v="1803.73"/>
    <n v="21645"/>
    <n v="4.9999999999954525E-2"/>
  </r>
  <r>
    <x v="13"/>
    <x v="1"/>
    <x v="0"/>
    <s v="5632200"/>
    <n v="735060"/>
    <s v="Depreciation-Fixed Equipment"/>
    <s v="FMB @ St. Joe's 3rd Floor"/>
    <x v="0"/>
    <m/>
    <n v="76.48"/>
    <n v="76.48"/>
    <n v="76.48"/>
    <n v="76.48"/>
    <n v="76.48"/>
    <n v="76.48"/>
    <n v="76.489999999999995"/>
    <n v="76.48"/>
    <n v="76.489999999999995"/>
    <n v="76.48"/>
    <n v="76.489999999999995"/>
    <n v="76.48"/>
    <n v="917.79000000000008"/>
    <n v="9.9999999999909051E-3"/>
  </r>
  <r>
    <x v="13"/>
    <x v="1"/>
    <x v="0"/>
    <s v="5632200"/>
    <n v="735070"/>
    <s v="Depreciation-Movable Equipment"/>
    <s v="FMB @ St. Joe's 3rd Floor"/>
    <x v="0"/>
    <m/>
    <n v="11738.5"/>
    <n v="11738.48"/>
    <n v="11738.5"/>
    <n v="11738.49"/>
    <n v="11738.52"/>
    <n v="11436.17"/>
    <n v="11436.26"/>
    <n v="11436.16"/>
    <n v="11436.29"/>
    <n v="11436.16"/>
    <n v="11436.31"/>
    <n v="11436.15"/>
    <n v="138745.99"/>
    <n v="0.15999999999985448"/>
  </r>
  <r>
    <x v="0"/>
    <x v="1"/>
    <x v="0"/>
    <s v="5632200"/>
    <n v="740020"/>
    <s v="Education-Registration Fees"/>
    <s v="FMB @ St. Joe's 3rd Floor"/>
    <x v="0"/>
    <m/>
    <n v="0"/>
    <n v="0"/>
    <n v="0"/>
    <n v="0"/>
    <n v="0"/>
    <n v="49.5"/>
    <n v="0"/>
    <n v="135"/>
    <n v="525"/>
    <n v="45"/>
    <n v="0"/>
    <n v="0"/>
    <n v="754.5"/>
    <n v="0"/>
  </r>
  <r>
    <x v="0"/>
    <x v="1"/>
    <x v="0"/>
    <s v="5632200"/>
    <n v="742040"/>
    <s v="Freight-Other"/>
    <s v="FMB @ St. Joe's 3rd Floor"/>
    <x v="0"/>
    <m/>
    <n v="0"/>
    <n v="5.59"/>
    <n v="37.76"/>
    <n v="251.2"/>
    <n v="0"/>
    <n v="5.64"/>
    <n v="5.7"/>
    <n v="0"/>
    <n v="9.3800000000000008"/>
    <n v="23.3"/>
    <n v="0"/>
    <n v="222.31"/>
    <n v="560.87999999999988"/>
    <n v="-222.31"/>
  </r>
  <r>
    <x v="0"/>
    <x v="1"/>
    <x v="0"/>
    <s v="5632200"/>
    <n v="743020"/>
    <s v="Dues--Individual"/>
    <s v="FMB @ St. Joe's 3rd Floor"/>
    <x v="0"/>
    <m/>
    <n v="0"/>
    <n v="0"/>
    <n v="0"/>
    <n v="0"/>
    <n v="0"/>
    <n v="0"/>
    <n v="0"/>
    <n v="6862"/>
    <n v="0"/>
    <n v="0"/>
    <n v="0"/>
    <n v="0"/>
    <n v="6862"/>
    <n v="0"/>
  </r>
  <r>
    <x v="0"/>
    <x v="1"/>
    <x v="0"/>
    <s v="5632200"/>
    <n v="743020"/>
    <s v="Provider-Dues"/>
    <s v="FMB @ St. Joe's 3rd Floor"/>
    <x v="0"/>
    <n v="2200"/>
    <n v="0"/>
    <n v="1450"/>
    <n v="0"/>
    <n v="0"/>
    <n v="840"/>
    <n v="0"/>
    <n v="0"/>
    <n v="0"/>
    <n v="0"/>
    <n v="0"/>
    <n v="0"/>
    <n v="585"/>
    <n v="2875"/>
    <n v="-585"/>
  </r>
  <r>
    <x v="0"/>
    <x v="1"/>
    <x v="0"/>
    <s v="5632200"/>
    <n v="749510"/>
    <s v="Miscellaneous Expenses"/>
    <s v="FMB @ St. Joe's 3rd Floor"/>
    <x v="0"/>
    <m/>
    <n v="55.05"/>
    <n v="179.68"/>
    <n v="49.55"/>
    <n v="0"/>
    <n v="559.9"/>
    <n v="854.91"/>
    <n v="461.1"/>
    <n v="2675.12"/>
    <n v="1559.44"/>
    <n v="3914.1"/>
    <n v="82"/>
    <n v="146.21"/>
    <n v="10537.06"/>
    <n v="-64.210000000000008"/>
  </r>
  <r>
    <x v="0"/>
    <x v="1"/>
    <x v="0"/>
    <s v="5632200"/>
    <n v="749510"/>
    <s v="RICE Rewards"/>
    <s v="FMB @ St. Joe's 3rd Floor"/>
    <x v="0"/>
    <n v="5100"/>
    <n v="0"/>
    <n v="0"/>
    <n v="0"/>
    <n v="0"/>
    <n v="0"/>
    <n v="0"/>
    <n v="0"/>
    <n v="0"/>
    <n v="0"/>
    <n v="263.76"/>
    <n v="52.15"/>
    <n v="0"/>
    <n v="315.90999999999997"/>
    <n v="52.15"/>
  </r>
  <r>
    <x v="0"/>
    <x v="1"/>
    <x v="0"/>
    <s v="5632200"/>
    <n v="749535"/>
    <s v="Meetings"/>
    <s v="FMB @ St. Joe's 3rd Floor"/>
    <x v="0"/>
    <m/>
    <n v="0"/>
    <n v="0"/>
    <n v="0"/>
    <n v="0"/>
    <n v="0"/>
    <n v="0"/>
    <n v="0"/>
    <n v="80.099999999999994"/>
    <n v="0"/>
    <n v="0"/>
    <n v="0"/>
    <n v="0"/>
    <n v="80.099999999999994"/>
    <n v="0"/>
  </r>
  <r>
    <x v="0"/>
    <x v="1"/>
    <x v="0"/>
    <s v="5632200"/>
    <n v="749550"/>
    <s v="Cash Over/Short"/>
    <s v="FMB @ St. Joe's 3rd Floor"/>
    <x v="0"/>
    <m/>
    <n v="0"/>
    <n v="5"/>
    <n v="0"/>
    <n v="-5"/>
    <n v="0"/>
    <n v="4.75"/>
    <n v="0"/>
    <n v="0"/>
    <n v="0"/>
    <n v="-3.25"/>
    <n v="-25"/>
    <n v="0"/>
    <n v="-23.5"/>
    <n v="-25"/>
  </r>
  <r>
    <x v="0"/>
    <x v="1"/>
    <x v="0"/>
    <s v="5632200"/>
    <n v="749591"/>
    <s v="Other Expense-Intracompany Allocation"/>
    <s v="FMB @ St. Joe's 3rd Floor"/>
    <x v="0"/>
    <m/>
    <n v="-322569.49"/>
    <n v="-333007.7"/>
    <n v="-323670"/>
    <n v="-395458.73"/>
    <n v="-367776.12"/>
    <n v="-361039.78"/>
    <n v="-348276.21"/>
    <n v="-321353.59000000003"/>
    <n v="-338785.98"/>
    <n v="-318641.5"/>
    <n v="-342551.53"/>
    <n v="-329263.18"/>
    <n v="-4102393.81"/>
    <n v="-13288.350000000035"/>
  </r>
  <r>
    <x v="0"/>
    <x v="1"/>
    <x v="0"/>
    <s v="5632200"/>
    <n v="766010"/>
    <s v="Property Tax"/>
    <s v="FMB @ St. Joe's 3rd Floor"/>
    <x v="0"/>
    <m/>
    <n v="1225.74"/>
    <n v="1225.74"/>
    <n v="1225.74"/>
    <n v="1225.74"/>
    <n v="1225.74"/>
    <n v="1225.74"/>
    <n v="1225.74"/>
    <n v="1225.74"/>
    <n v="1225.74"/>
    <n v="426.37"/>
    <n v="1025.9000000000001"/>
    <n v="1025.9000000000001"/>
    <n v="13509.83"/>
    <n v="0"/>
  </r>
  <r>
    <x v="5"/>
    <x v="1"/>
    <x v="0"/>
    <s v="5634200"/>
    <n v="700014"/>
    <s v="Salaries-Management-Productive"/>
    <s v="Univ Place Med&amp;Spec-Shared Svc"/>
    <x v="0"/>
    <m/>
    <n v="7055.13"/>
    <n v="7197.67"/>
    <n v="4810.32"/>
    <n v="7861.74"/>
    <n v="2477.38"/>
    <n v="8998.7000000000007"/>
    <n v="7625.83"/>
    <n v="6056.59"/>
    <n v="7041.69"/>
    <n v="6494.4"/>
    <n v="6822.8"/>
    <n v="6932.23"/>
    <n v="79374.48"/>
    <n v="-109.42999999999938"/>
  </r>
  <r>
    <x v="5"/>
    <x v="1"/>
    <x v="0"/>
    <s v="5634200"/>
    <n v="700018"/>
    <s v="Salaries-Supervisory-Productive"/>
    <s v="Univ Place Med&amp;Spec-Shared Svc"/>
    <x v="0"/>
    <m/>
    <n v="10691.58"/>
    <n v="13608.82"/>
    <n v="7718.28"/>
    <n v="13928.28"/>
    <n v="12735.04"/>
    <n v="9551.08"/>
    <n v="11892.61"/>
    <n v="9840.27"/>
    <n v="12908.57"/>
    <n v="7150.08"/>
    <n v="12150.53"/>
    <n v="11116.02"/>
    <n v="133291.16"/>
    <n v="1034.5100000000002"/>
  </r>
  <r>
    <x v="5"/>
    <x v="1"/>
    <x v="0"/>
    <s v="5634200"/>
    <n v="700038"/>
    <s v="Salaries-Service/Support-Productive"/>
    <s v="Univ Place Med&amp;Spec-Shared Svc"/>
    <x v="0"/>
    <m/>
    <n v="36179.480000000003"/>
    <n v="38899.21"/>
    <n v="34783.29"/>
    <n v="47117.11"/>
    <n v="38517.94"/>
    <n v="32015.07"/>
    <n v="43969.57"/>
    <n v="37476.9"/>
    <n v="37660.769999999997"/>
    <n v="39194.75"/>
    <n v="44145.53"/>
    <n v="32431.26"/>
    <n v="462390.88000000012"/>
    <n v="11714.27"/>
  </r>
  <r>
    <x v="5"/>
    <x v="1"/>
    <x v="0"/>
    <s v="5634200"/>
    <n v="700038"/>
    <s v="Salaries-Service/Support-OT"/>
    <s v="Univ Place Med&amp;Spec-Shared Svc"/>
    <x v="0"/>
    <n v="1000"/>
    <n v="378.97"/>
    <n v="907.88"/>
    <n v="308.08"/>
    <n v="535.75"/>
    <n v="897.14"/>
    <n v="441.56"/>
    <n v="1107.06"/>
    <n v="262.58999999999997"/>
    <n v="1473.99"/>
    <n v="1344.74"/>
    <n v="1108.3"/>
    <n v="3354.94"/>
    <n v="12121"/>
    <n v="-2246.6400000000003"/>
  </r>
  <r>
    <x v="5"/>
    <x v="1"/>
    <x v="0"/>
    <s v="5634200"/>
    <n v="700038"/>
    <s v="Salaries-Service/Support-Other"/>
    <s v="Univ Place Med&amp;Spec-Shared Svc"/>
    <x v="0"/>
    <n v="2000"/>
    <n v="88.02"/>
    <n v="100.02"/>
    <n v="115"/>
    <n v="92"/>
    <n v="136"/>
    <n v="63.77"/>
    <n v="92.37"/>
    <n v="74.31"/>
    <n v="101.97"/>
    <n v="88"/>
    <n v="122.19"/>
    <n v="40.33"/>
    <n v="1113.98"/>
    <n v="81.86"/>
  </r>
  <r>
    <x v="5"/>
    <x v="1"/>
    <x v="0"/>
    <s v="5634200"/>
    <n v="700054"/>
    <s v="Salaries-Management-Non-productive"/>
    <s v="Univ Place Med&amp;Spec-Shared Svc"/>
    <x v="0"/>
    <m/>
    <n v="783.9"/>
    <n v="997.7"/>
    <n v="2316.08"/>
    <n v="477.61"/>
    <n v="5537.67"/>
    <n v="-1347.99"/>
    <n v="766.36"/>
    <n v="1240.51"/>
    <n v="620.28"/>
    <n v="1532.39"/>
    <n v="1568.89"/>
    <n v="364.87"/>
    <n v="14858.27"/>
    <n v="1204.02"/>
  </r>
  <r>
    <x v="5"/>
    <x v="1"/>
    <x v="0"/>
    <s v="5634200"/>
    <n v="700058"/>
    <s v="Salaries-Supervisory-Non-productive"/>
    <s v="Univ Place Med&amp;Spec-Shared Svc"/>
    <x v="0"/>
    <m/>
    <n v="1849.48"/>
    <n v="-104.72"/>
    <n v="4104.12"/>
    <n v="-130.91999999999999"/>
    <n v="516"/>
    <n v="3097.63"/>
    <n v="1981.97"/>
    <n v="2223.79"/>
    <n v="-241.27"/>
    <n v="6120.4"/>
    <n v="537.86"/>
    <n v="646.33000000000004"/>
    <n v="20600.669999999998"/>
    <n v="-108.47000000000003"/>
  </r>
  <r>
    <x v="5"/>
    <x v="1"/>
    <x v="0"/>
    <s v="5634200"/>
    <n v="700058"/>
    <s v="Salaries-Supervisory-NonProd-Other"/>
    <s v="Univ Place Med&amp;Spe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4200"/>
    <n v="700078"/>
    <s v="Salaries-Service/Support-Non-productive"/>
    <s v="Univ Place Med&amp;Spec-Shared Svc"/>
    <x v="0"/>
    <m/>
    <n v="6953.8"/>
    <n v="8329.4"/>
    <n v="9021.48"/>
    <n v="2977.61"/>
    <n v="5020.62"/>
    <n v="9311.11"/>
    <n v="6516.44"/>
    <n v="5644.3"/>
    <n v="4806.21"/>
    <n v="5598.55"/>
    <n v="5252.2"/>
    <n v="3985.83"/>
    <n v="73417.550000000017"/>
    <n v="1266.3699999999999"/>
  </r>
  <r>
    <x v="5"/>
    <x v="1"/>
    <x v="0"/>
    <s v="5634200"/>
    <n v="700078"/>
    <s v="Salaries-Service/Support-NonProd-Other"/>
    <s v="Univ Place Med&amp;Spe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4200"/>
    <n v="700084"/>
    <s v="Accrued PTO"/>
    <s v="Univ Place Med&amp;Spec-Shared Svc"/>
    <x v="0"/>
    <m/>
    <n v="-1203.3399999999999"/>
    <n v="-907.19"/>
    <n v="-5775.44"/>
    <n v="5723.03"/>
    <n v="3054.85"/>
    <n v="-2953.07"/>
    <n v="28.24"/>
    <n v="-93.29"/>
    <n v="2336.7199999999998"/>
    <n v="551.03"/>
    <n v="977.7"/>
    <n v="1645.58"/>
    <n v="3384.8199999999997"/>
    <n v="-667.87999999999988"/>
  </r>
  <r>
    <x v="6"/>
    <x v="1"/>
    <x v="0"/>
    <s v="5634200"/>
    <n v="713010"/>
    <s v="Benefits-FICA/Medicare"/>
    <s v="Univ Place Med&amp;Spec-Shared Svc"/>
    <x v="0"/>
    <m/>
    <n v="4641.75"/>
    <n v="5077.51"/>
    <n v="4591.9399999999996"/>
    <n v="5296.6"/>
    <n v="4886.3599999999997"/>
    <n v="4561.22"/>
    <n v="5367.32"/>
    <n v="4554.6400000000003"/>
    <n v="4658.83"/>
    <n v="4827.08"/>
    <n v="5202.68"/>
    <n v="4424.24"/>
    <n v="58090.170000000006"/>
    <n v="778.44000000000051"/>
  </r>
  <r>
    <x v="6"/>
    <x v="1"/>
    <x v="0"/>
    <s v="5634200"/>
    <n v="713090"/>
    <s v="Benefits-Allocated Amounts"/>
    <s v="Univ Place Med&amp;Spec-Shared Svc"/>
    <x v="0"/>
    <m/>
    <n v="15694.66"/>
    <n v="14943.47"/>
    <n v="16497.8"/>
    <n v="17108.89"/>
    <n v="15920.94"/>
    <n v="15518.56"/>
    <n v="19516.169999999998"/>
    <n v="18210.37"/>
    <n v="16835.97"/>
    <n v="17084.59"/>
    <n v="17651.330000000002"/>
    <n v="16613.810000000001"/>
    <n v="201596.56"/>
    <n v="1037.5200000000004"/>
  </r>
  <r>
    <x v="6"/>
    <x v="1"/>
    <x v="0"/>
    <s v="5634200"/>
    <n v="713096"/>
    <s v="Employee Recognition"/>
    <s v="Univ Place Med&amp;Spec-Shared Svc"/>
    <x v="0"/>
    <n v="1017"/>
    <n v="0"/>
    <n v="151.97"/>
    <n v="0"/>
    <n v="0"/>
    <n v="0"/>
    <n v="0"/>
    <n v="0"/>
    <n v="0"/>
    <n v="0"/>
    <n v="0"/>
    <n v="0"/>
    <n v="73.599999999999994"/>
    <n v="225.57"/>
    <n v="-73.599999999999994"/>
  </r>
  <r>
    <x v="7"/>
    <x v="1"/>
    <x v="0"/>
    <s v="5634200"/>
    <n v="718050"/>
    <s v="Cleaning Services"/>
    <s v="Univ Place Med&amp;Spec-Shared Svc"/>
    <x v="0"/>
    <n v="1011"/>
    <n v="2191.7600000000002"/>
    <n v="1982.16"/>
    <n v="1982.16"/>
    <n v="2357.66"/>
    <n v="0"/>
    <n v="3964.32"/>
    <n v="0"/>
    <n v="5774.3"/>
    <n v="2478.14"/>
    <n v="0"/>
    <n v="4956.28"/>
    <n v="2853.64"/>
    <n v="28540.42"/>
    <n v="2102.64"/>
  </r>
  <r>
    <x v="7"/>
    <x v="1"/>
    <x v="0"/>
    <s v="5634200"/>
    <n v="718050"/>
    <s v="Document Shredding/Storage"/>
    <s v="Univ Place Med&amp;Spec-Shared Svc"/>
    <x v="0"/>
    <n v="1012"/>
    <n v="901.75"/>
    <n v="392.17"/>
    <n v="958.22"/>
    <n v="815.09"/>
    <n v="581.14"/>
    <n v="652.39"/>
    <n v="645.86"/>
    <n v="853.19"/>
    <n v="697.14"/>
    <n v="850.8"/>
    <n v="822.75"/>
    <n v="841.01"/>
    <n v="9011.51"/>
    <n v="-18.259999999999991"/>
  </r>
  <r>
    <x v="7"/>
    <x v="1"/>
    <x v="0"/>
    <s v="5634200"/>
    <n v="718050"/>
    <s v="Physician Answering"/>
    <s v="Univ Place Med&amp;Spec-Shared Svc"/>
    <x v="0"/>
    <n v="1015"/>
    <n v="1436.2"/>
    <n v="390.8"/>
    <n v="1546.8"/>
    <n v="640.4"/>
    <n v="873.8"/>
    <n v="443.2"/>
    <n v="1410.2"/>
    <n v="1403.2"/>
    <n v="2310.8000000000002"/>
    <n v="1451.8"/>
    <n v="492"/>
    <n v="2133.6999999999998"/>
    <n v="14532.899999999998"/>
    <n v="-1641.6999999999998"/>
  </r>
  <r>
    <x v="7"/>
    <x v="1"/>
    <x v="0"/>
    <s v="5634200"/>
    <n v="718050"/>
    <s v="Security"/>
    <s v="Univ Place Med&amp;Spec-Shared Svc"/>
    <x v="0"/>
    <n v="1019"/>
    <n v="0"/>
    <n v="1223.19"/>
    <n v="0"/>
    <n v="0"/>
    <n v="0"/>
    <n v="0"/>
    <n v="0"/>
    <n v="0"/>
    <n v="0"/>
    <n v="0"/>
    <n v="0"/>
    <n v="0"/>
    <n v="1223.19"/>
    <n v="0"/>
  </r>
  <r>
    <x v="7"/>
    <x v="1"/>
    <x v="0"/>
    <s v="5634200"/>
    <n v="718050"/>
    <s v="Miscellaneous Purchased Svcs"/>
    <s v="Univ Place Med&amp;Spec-Shared Svc"/>
    <x v="0"/>
    <n v="1020"/>
    <n v="1181.4100000000001"/>
    <n v="164.96"/>
    <n v="797.23"/>
    <n v="210.24"/>
    <n v="230.79"/>
    <n v="888.22"/>
    <n v="321.35000000000002"/>
    <n v="387.2"/>
    <n v="210.24"/>
    <n v="230.8"/>
    <n v="230.8"/>
    <n v="276.08"/>
    <n v="5129.3200000000006"/>
    <n v="-45.279999999999973"/>
  </r>
  <r>
    <x v="7"/>
    <x v="1"/>
    <x v="0"/>
    <s v="5634200"/>
    <n v="718050"/>
    <s v="Translation Services"/>
    <s v="Univ Place Med&amp;Spec-Shared Svc"/>
    <x v="0"/>
    <n v="1025"/>
    <n v="384.32"/>
    <n v="0"/>
    <n v="1050.92"/>
    <n v="120.87"/>
    <n v="65.569999999999993"/>
    <n v="153.71"/>
    <n v="224.77"/>
    <n v="179.05"/>
    <n v="0"/>
    <n v="12.64"/>
    <n v="52.14"/>
    <n v="128.77000000000001"/>
    <n v="2372.7599999999998"/>
    <n v="-76.63000000000001"/>
  </r>
  <r>
    <x v="7"/>
    <x v="1"/>
    <x v="0"/>
    <s v="5634200"/>
    <n v="718050"/>
    <s v="Contract Management--Linen"/>
    <s v="Univ Place Med&amp;Spec-Shared Svc"/>
    <x v="0"/>
    <n v="1026"/>
    <n v="460.64"/>
    <n v="1155.27"/>
    <n v="928.07"/>
    <n v="463.26"/>
    <n v="922.59"/>
    <n v="1157.93"/>
    <n v="542.22"/>
    <n v="2085.8000000000002"/>
    <n v="965.08"/>
    <n v="719.94"/>
    <n v="696.87"/>
    <n v="1165.6600000000001"/>
    <n v="11263.330000000002"/>
    <n v="-468.79000000000008"/>
  </r>
  <r>
    <x v="7"/>
    <x v="1"/>
    <x v="0"/>
    <s v="5634200"/>
    <n v="718050"/>
    <s v="Purchased Srvcs--Medical Waste"/>
    <s v="Univ Place Med&amp;Spec-Shared Svc"/>
    <x v="0"/>
    <n v="1027"/>
    <n v="10.98"/>
    <n v="10.98"/>
    <n v="256.11"/>
    <n v="311.17"/>
    <n v="10.98"/>
    <n v="401.85"/>
    <n v="654.37"/>
    <n v="257.42"/>
    <n v="0"/>
    <n v="477"/>
    <n v="0"/>
    <n v="616.08000000000004"/>
    <n v="3006.94"/>
    <n v="-616.08000000000004"/>
  </r>
  <r>
    <x v="7"/>
    <x v="1"/>
    <x v="0"/>
    <s v="5634200"/>
    <n v="718070"/>
    <s v="Contract Srvcs-CHI Clinical Engineering"/>
    <s v="Univ Place Med&amp;Spec-Shared Svc"/>
    <x v="0"/>
    <m/>
    <n v="0"/>
    <n v="394.17"/>
    <n v="789.12"/>
    <n v="479.07"/>
    <n v="3424.06"/>
    <n v="605.65"/>
    <n v="0"/>
    <n v="495.65"/>
    <n v="0"/>
    <n v="495.5"/>
    <n v="833.11"/>
    <n v="834.01"/>
    <n v="8350.3399999999983"/>
    <n v="-0.89999999999997726"/>
  </r>
  <r>
    <x v="11"/>
    <x v="1"/>
    <x v="0"/>
    <s v="5634200"/>
    <n v="721010"/>
    <s v="Supplies-Medical - Billable"/>
    <s v="Univ Place Med&amp;Spec-Shared Svc"/>
    <x v="0"/>
    <m/>
    <n v="10173.6"/>
    <n v="9155.8799999999992"/>
    <n v="11478.22"/>
    <n v="8435.2999999999993"/>
    <n v="14809.16"/>
    <n v="7753.34"/>
    <n v="13223.2"/>
    <n v="3683.35"/>
    <n v="13471"/>
    <n v="8481"/>
    <n v="11891.54"/>
    <n v="5161.12"/>
    <n v="117716.70999999999"/>
    <n v="6730.420000000001"/>
  </r>
  <r>
    <x v="11"/>
    <x v="1"/>
    <x v="0"/>
    <s v="5634200"/>
    <n v="721250"/>
    <s v="Supplies-Pharmacy Drugs - Billable"/>
    <s v="Univ Place Med&amp;Spec-Shared Svc"/>
    <x v="0"/>
    <m/>
    <n v="6065.97"/>
    <n v="3537.96"/>
    <n v="12733.1"/>
    <n v="31204.5"/>
    <n v="25271.86"/>
    <n v="25756.39"/>
    <n v="11373.45"/>
    <n v="12661.59"/>
    <n v="16648.59"/>
    <n v="14189.14"/>
    <n v="-18357.09"/>
    <n v="21076.92"/>
    <n v="162162.38"/>
    <n v="-39434.009999999995"/>
  </r>
  <r>
    <x v="11"/>
    <x v="1"/>
    <x v="0"/>
    <s v="5634200"/>
    <n v="721410"/>
    <s v="Supplies-Medical - Nonbillable"/>
    <s v="Univ Place Med&amp;Spec-Shared Svc"/>
    <x v="0"/>
    <m/>
    <n v="4789.17"/>
    <n v="5160.82"/>
    <n v="2052.04"/>
    <n v="3249.63"/>
    <n v="4767.4799999999996"/>
    <n v="3985.89"/>
    <n v="4255.3"/>
    <n v="9309.6"/>
    <n v="3726.32"/>
    <n v="8485.3799999999992"/>
    <n v="161.75"/>
    <n v="14151.65"/>
    <n v="64095.03"/>
    <n v="-13989.9"/>
  </r>
  <r>
    <x v="11"/>
    <x v="1"/>
    <x v="0"/>
    <s v="5634200"/>
    <n v="721810"/>
    <s v="Supplies-Dietary/Cafeteria"/>
    <s v="Univ Place Med&amp;Spec-Shared Svc"/>
    <x v="0"/>
    <m/>
    <n v="0"/>
    <n v="144.11000000000001"/>
    <n v="0"/>
    <n v="0"/>
    <n v="0"/>
    <n v="0"/>
    <n v="0"/>
    <n v="0"/>
    <n v="0"/>
    <n v="0"/>
    <n v="0"/>
    <n v="0"/>
    <n v="144.11000000000001"/>
    <n v="0"/>
  </r>
  <r>
    <x v="11"/>
    <x v="1"/>
    <x v="0"/>
    <s v="5634200"/>
    <n v="721830"/>
    <s v="Supplies-Office"/>
    <s v="Univ Place Med&amp;Spec-Shared Svc"/>
    <x v="0"/>
    <m/>
    <n v="833.4"/>
    <n v="1157.6400000000001"/>
    <n v="779.8"/>
    <n v="1500.9"/>
    <n v="608.27"/>
    <n v="1786.91"/>
    <n v="1410.68"/>
    <n v="1259.18"/>
    <n v="1254.6400000000001"/>
    <n v="1590.16"/>
    <n v="1717.2"/>
    <n v="790.65"/>
    <n v="14689.43"/>
    <n v="926.55000000000007"/>
  </r>
  <r>
    <x v="11"/>
    <x v="1"/>
    <x v="0"/>
    <s v="5634200"/>
    <n v="721835"/>
    <s v="Supplies-Forms"/>
    <s v="Univ Place Med&amp;Spec-Shared Svc"/>
    <x v="0"/>
    <m/>
    <n v="0"/>
    <n v="0"/>
    <n v="0"/>
    <n v="0"/>
    <n v="476.88"/>
    <n v="0"/>
    <n v="5.6"/>
    <n v="0"/>
    <n v="306"/>
    <n v="89.1"/>
    <n v="119.4"/>
    <n v="0"/>
    <n v="996.98"/>
    <n v="119.4"/>
  </r>
  <r>
    <x v="11"/>
    <x v="1"/>
    <x v="0"/>
    <s v="5634200"/>
    <n v="721870"/>
    <s v="Supplies-Environmental Services"/>
    <s v="Univ Place Med&amp;Spec-Shared Svc"/>
    <x v="0"/>
    <m/>
    <n v="0"/>
    <n v="476.69"/>
    <n v="698.48"/>
    <n v="771.69"/>
    <n v="966.7"/>
    <n v="391"/>
    <n v="1901.58"/>
    <n v="1966.79"/>
    <n v="228"/>
    <n v="606.44000000000005"/>
    <n v="443.8"/>
    <n v="656.78"/>
    <n v="9107.9500000000007"/>
    <n v="-212.97999999999996"/>
  </r>
  <r>
    <x v="11"/>
    <x v="1"/>
    <x v="0"/>
    <s v="5634200"/>
    <n v="721910"/>
    <s v="Supplies-Small Equipment"/>
    <s v="Univ Place Med&amp;Spec-Shared Svc"/>
    <x v="0"/>
    <m/>
    <n v="0"/>
    <n v="247.44"/>
    <n v="25"/>
    <n v="583.83000000000004"/>
    <n v="58.97"/>
    <n v="0"/>
    <n v="0"/>
    <n v="0"/>
    <n v="0"/>
    <n v="0"/>
    <n v="0"/>
    <n v="0"/>
    <n v="915.24"/>
    <n v="0"/>
  </r>
  <r>
    <x v="11"/>
    <x v="1"/>
    <x v="0"/>
    <s v="5634200"/>
    <n v="721980"/>
    <s v="Supplies-Other"/>
    <s v="Univ Place Med&amp;Spec-Shared Svc"/>
    <x v="0"/>
    <m/>
    <n v="0"/>
    <n v="110.73"/>
    <n v="0"/>
    <n v="0"/>
    <n v="0"/>
    <n v="97.85"/>
    <n v="0"/>
    <n v="27"/>
    <n v="27"/>
    <n v="54"/>
    <n v="194.34"/>
    <n v="63.76"/>
    <n v="574.67999999999995"/>
    <n v="130.58000000000001"/>
  </r>
  <r>
    <x v="11"/>
    <x v="1"/>
    <x v="0"/>
    <s v="5634200"/>
    <n v="722000"/>
    <s v="Supplies-Freight Expense"/>
    <s v="Univ Place Med&amp;Spec-Shared Svc"/>
    <x v="0"/>
    <m/>
    <n v="0"/>
    <n v="50.3"/>
    <n v="0"/>
    <n v="130.53"/>
    <n v="0"/>
    <n v="21.56"/>
    <n v="66.64"/>
    <n v="0"/>
    <n v="0"/>
    <n v="22.58"/>
    <n v="30"/>
    <n v="72.290000000000006"/>
    <n v="393.9"/>
    <n v="-42.290000000000006"/>
  </r>
  <r>
    <x v="12"/>
    <x v="1"/>
    <x v="0"/>
    <s v="5634200"/>
    <n v="730010"/>
    <s v="Rental and Leases-Building (DO NOT USE)"/>
    <s v="Univ Place Med&amp;Spec-Shared Svc"/>
    <x v="0"/>
    <m/>
    <n v="34024.28"/>
    <n v="34024.28"/>
    <n v="34024.28"/>
    <n v="34707.21"/>
    <n v="34710.49"/>
    <n v="-32849.29"/>
    <n v="23449.16"/>
    <n v="23449.16"/>
    <n v="23449.16"/>
    <n v="23449.16"/>
    <n v="23449.16"/>
    <n v="0"/>
    <n v="255887.05"/>
    <n v="23449.16"/>
  </r>
  <r>
    <x v="12"/>
    <x v="1"/>
    <x v="0"/>
    <s v="5634200"/>
    <n v="730010"/>
    <s v="Rental-Common Area Maint (DO NOT USE)"/>
    <s v="Univ Place Med&amp;Spec-Shared Svc"/>
    <x v="0"/>
    <n v="2200"/>
    <n v="0"/>
    <n v="0"/>
    <n v="0"/>
    <n v="0"/>
    <n v="0"/>
    <n v="67558.14"/>
    <n v="11259.69"/>
    <n v="11259.69"/>
    <n v="11259.69"/>
    <n v="18269.669999999998"/>
    <n v="11791"/>
    <n v="0"/>
    <n v="131397.88"/>
    <n v="11791"/>
  </r>
  <r>
    <x v="12"/>
    <x v="1"/>
    <x v="0"/>
    <s v="5634200"/>
    <n v="730020"/>
    <s v="Rental and Leases-Copier Usage Fees (DO NOT USE)"/>
    <s v="Univ Place Med&amp;Spec-Shared Svc"/>
    <x v="0"/>
    <n v="5100"/>
    <n v="1608.01"/>
    <n v="1656.81"/>
    <n v="1632.41"/>
    <n v="1632.41"/>
    <n v="1632.41"/>
    <n v="1632.41"/>
    <n v="622.73"/>
    <n v="1422.86"/>
    <n v="1566.66"/>
    <n v="1846.5"/>
    <n v="1564.37"/>
    <n v="1475.81"/>
    <n v="18293.39"/>
    <n v="88.559999999999945"/>
  </r>
  <r>
    <x v="12"/>
    <x v="1"/>
    <x v="0"/>
    <s v="5634200"/>
    <n v="730040"/>
    <s v="LT Lease-Real Estate"/>
    <s v="Univ Place Med&amp;Spec-Shared Svc"/>
    <x v="0"/>
    <m/>
    <n v="0"/>
    <n v="0"/>
    <n v="0"/>
    <n v="0"/>
    <n v="0"/>
    <n v="0"/>
    <n v="0"/>
    <n v="0"/>
    <n v="0"/>
    <n v="0"/>
    <n v="0"/>
    <n v="35240.160000000003"/>
    <n v="35240.160000000003"/>
    <n v="-35240.160000000003"/>
  </r>
  <r>
    <x v="15"/>
    <x v="1"/>
    <x v="0"/>
    <s v="5634200"/>
    <n v="731060"/>
    <s v="Pagers"/>
    <s v="Univ Place Med&amp;Spec-Shared Svc"/>
    <x v="0"/>
    <n v="1002"/>
    <n v="32.4"/>
    <n v="32.4"/>
    <n v="32.4"/>
    <n v="32.479999999999997"/>
    <n v="0"/>
    <n v="0"/>
    <n v="110.12"/>
    <n v="0"/>
    <n v="0"/>
    <n v="-110.12"/>
    <n v="0"/>
    <n v="0"/>
    <n v="129.67999999999998"/>
    <n v="0"/>
  </r>
  <r>
    <x v="15"/>
    <x v="1"/>
    <x v="0"/>
    <s v="5634200"/>
    <n v="731070"/>
    <s v="Cable TV"/>
    <s v="Univ Place Med&amp;Spec-Shared Svc"/>
    <x v="0"/>
    <m/>
    <n v="81.63"/>
    <n v="81.63"/>
    <n v="81.63"/>
    <n v="81.63"/>
    <n v="81.63"/>
    <n v="81.63"/>
    <n v="91.19"/>
    <n v="91.19"/>
    <n v="91.19"/>
    <n v="91.19"/>
    <n v="91.19"/>
    <n v="91.19"/>
    <n v="1036.9200000000003"/>
    <n v="0"/>
  </r>
  <r>
    <x v="16"/>
    <x v="1"/>
    <x v="0"/>
    <s v="5634200"/>
    <n v="732030"/>
    <s v="Repairs---Other"/>
    <s v="Univ Place Med&amp;Spec-Shared Svc"/>
    <x v="0"/>
    <m/>
    <n v="0"/>
    <n v="265.49"/>
    <n v="0"/>
    <n v="53.88"/>
    <n v="0"/>
    <n v="2875.73"/>
    <n v="0"/>
    <n v="514.39"/>
    <n v="0"/>
    <n v="0"/>
    <n v="0"/>
    <n v="375.5"/>
    <n v="4084.99"/>
    <n v="-375.5"/>
  </r>
  <r>
    <x v="16"/>
    <x v="1"/>
    <x v="0"/>
    <s v="5634200"/>
    <n v="732030"/>
    <s v="Repairs&amp;Maintenance-Bldg Routine"/>
    <s v="Univ Place Med&amp;Spec-Shared Svc"/>
    <x v="0"/>
    <n v="2300"/>
    <n v="1195.6500000000001"/>
    <n v="0"/>
    <n v="0"/>
    <n v="0"/>
    <n v="1911.97"/>
    <n v="0"/>
    <n v="1248"/>
    <n v="804.06"/>
    <n v="1003.8"/>
    <n v="0"/>
    <n v="0"/>
    <n v="0"/>
    <n v="6163.4800000000005"/>
    <n v="0"/>
  </r>
  <r>
    <x v="13"/>
    <x v="1"/>
    <x v="0"/>
    <s v="5634200"/>
    <n v="735050"/>
    <s v="Amortization-Leasehold Improvements"/>
    <s v="Univ Place Med&amp;Spec-Shared Svc"/>
    <x v="0"/>
    <m/>
    <n v="41.12"/>
    <n v="41.12"/>
    <n v="41.12"/>
    <n v="41.12"/>
    <n v="41.12"/>
    <n v="41.12"/>
    <n v="41.12"/>
    <n v="41.12"/>
    <n v="41.12"/>
    <n v="41.12"/>
    <n v="41.12"/>
    <n v="41.12"/>
    <n v="493.44"/>
    <n v="0"/>
  </r>
  <r>
    <x v="13"/>
    <x v="1"/>
    <x v="0"/>
    <s v="5634200"/>
    <n v="735060"/>
    <s v="Depreciation-Fixed Equipment"/>
    <s v="Univ Place Med&amp;Spec-Shared Svc"/>
    <x v="0"/>
    <m/>
    <n v="162.71"/>
    <n v="162.71"/>
    <n v="162.72"/>
    <n v="162.71"/>
    <n v="162.72"/>
    <n v="162.71"/>
    <n v="162.72"/>
    <n v="162.71"/>
    <n v="162.72"/>
    <n v="162.71"/>
    <n v="162.72"/>
    <n v="162.71"/>
    <n v="1952.5700000000002"/>
    <n v="9.9999999999909051E-3"/>
  </r>
  <r>
    <x v="13"/>
    <x v="1"/>
    <x v="0"/>
    <s v="5634200"/>
    <n v="735070"/>
    <s v="Depreciation-Movable Equipment"/>
    <s v="Univ Place Med&amp;Spec-Shared Svc"/>
    <x v="0"/>
    <m/>
    <n v="599.79999999999995"/>
    <n v="599.79999999999995"/>
    <n v="599.79999999999995"/>
    <n v="599.79"/>
    <n v="599.80999999999995"/>
    <n v="599.79"/>
    <n v="599.80999999999995"/>
    <n v="599.78"/>
    <n v="599.83000000000004"/>
    <n v="599.77"/>
    <n v="599.83000000000004"/>
    <n v="599.77"/>
    <n v="7197.58"/>
    <n v="6.0000000000059117E-2"/>
  </r>
  <r>
    <x v="0"/>
    <x v="1"/>
    <x v="0"/>
    <s v="5634200"/>
    <n v="740020"/>
    <s v="Education-Registration Fees"/>
    <s v="Univ Place Med&amp;Spec-Shared Svc"/>
    <x v="0"/>
    <m/>
    <n v="0"/>
    <n v="0"/>
    <n v="0"/>
    <n v="0"/>
    <n v="0"/>
    <n v="0"/>
    <n v="700.52"/>
    <n v="45"/>
    <n v="0"/>
    <n v="0"/>
    <n v="0"/>
    <n v="0"/>
    <n v="745.52"/>
    <n v="0"/>
  </r>
  <r>
    <x v="0"/>
    <x v="1"/>
    <x v="0"/>
    <s v="5634200"/>
    <n v="743030"/>
    <s v="Subscriptions--Institutional"/>
    <s v="Univ Place Med&amp;Spec-Shared Svc"/>
    <x v="0"/>
    <m/>
    <n v="0"/>
    <n v="0"/>
    <n v="0"/>
    <n v="0"/>
    <n v="0"/>
    <n v="0"/>
    <n v="96.2"/>
    <n v="0"/>
    <n v="33"/>
    <n v="0"/>
    <n v="133.08000000000001"/>
    <n v="0"/>
    <n v="262.27999999999997"/>
    <n v="133.08000000000001"/>
  </r>
  <r>
    <x v="0"/>
    <x v="1"/>
    <x v="0"/>
    <s v="5634200"/>
    <n v="749510"/>
    <s v="Miscellaneous Expenses"/>
    <s v="Univ Place Med&amp;Spec-Shared Svc"/>
    <x v="0"/>
    <m/>
    <n v="55.05"/>
    <n v="580.04999999999995"/>
    <n v="0"/>
    <n v="119"/>
    <n v="40.119999999999997"/>
    <n v="39.880000000000003"/>
    <n v="0"/>
    <n v="0"/>
    <n v="100"/>
    <n v="0"/>
    <n v="150"/>
    <n v="2462.63"/>
    <n v="3546.73"/>
    <n v="-2312.63"/>
  </r>
  <r>
    <x v="0"/>
    <x v="1"/>
    <x v="0"/>
    <s v="5634200"/>
    <n v="749510"/>
    <s v="Licenses"/>
    <s v="Univ Place Med&amp;Spec-Shared Svc"/>
    <x v="0"/>
    <n v="1002"/>
    <n v="0"/>
    <n v="0"/>
    <n v="530"/>
    <n v="0"/>
    <n v="0"/>
    <n v="254"/>
    <n v="58.75"/>
    <n v="0"/>
    <n v="0"/>
    <n v="0"/>
    <n v="0"/>
    <n v="0"/>
    <n v="842.75"/>
    <n v="0"/>
  </r>
  <r>
    <x v="0"/>
    <x v="1"/>
    <x v="0"/>
    <s v="5634200"/>
    <n v="749510"/>
    <s v="RICE Rewards"/>
    <s v="Univ Place Med&amp;Spec-Shared Svc"/>
    <x v="0"/>
    <n v="5100"/>
    <n v="0"/>
    <n v="0"/>
    <n v="0"/>
    <n v="0"/>
    <n v="120"/>
    <n v="0"/>
    <n v="0"/>
    <n v="0"/>
    <n v="0"/>
    <n v="0"/>
    <n v="0"/>
    <n v="46.27"/>
    <n v="166.27"/>
    <n v="-46.27"/>
  </r>
  <r>
    <x v="0"/>
    <x v="1"/>
    <x v="0"/>
    <s v="5634200"/>
    <n v="749530"/>
    <s v="Travel"/>
    <s v="Univ Place Med&amp;Spec-Shared Svc"/>
    <x v="0"/>
    <m/>
    <n v="0"/>
    <n v="0"/>
    <n v="0"/>
    <n v="0"/>
    <n v="0"/>
    <n v="0"/>
    <n v="0"/>
    <n v="0"/>
    <n v="0"/>
    <n v="0"/>
    <n v="0"/>
    <n v="6"/>
    <n v="6"/>
    <n v="-6"/>
  </r>
  <r>
    <x v="0"/>
    <x v="1"/>
    <x v="0"/>
    <s v="5634200"/>
    <n v="749530"/>
    <s v="Mileage"/>
    <s v="Univ Place Med&amp;Spec-Shared Svc"/>
    <x v="0"/>
    <n v="1001"/>
    <n v="0"/>
    <n v="0"/>
    <n v="0"/>
    <n v="0"/>
    <n v="0"/>
    <n v="110.12"/>
    <n v="0"/>
    <n v="0"/>
    <n v="0"/>
    <n v="0"/>
    <n v="0"/>
    <n v="123.46"/>
    <n v="233.57999999999998"/>
    <n v="-123.46"/>
  </r>
  <r>
    <x v="0"/>
    <x v="1"/>
    <x v="0"/>
    <s v="5634200"/>
    <n v="749535"/>
    <s v="Meetings"/>
    <s v="Univ Place Med&amp;Spec-Shared Svc"/>
    <x v="0"/>
    <m/>
    <n v="0"/>
    <n v="0"/>
    <n v="0"/>
    <n v="0"/>
    <n v="0"/>
    <n v="0"/>
    <n v="0"/>
    <n v="282.62"/>
    <n v="0"/>
    <n v="0"/>
    <n v="0"/>
    <n v="0"/>
    <n v="282.62"/>
    <n v="0"/>
  </r>
  <r>
    <x v="0"/>
    <x v="1"/>
    <x v="0"/>
    <s v="5634200"/>
    <n v="749550"/>
    <s v="Cash Over/Short"/>
    <s v="Univ Place Med&amp;Spec-Shared Svc"/>
    <x v="0"/>
    <m/>
    <n v="40"/>
    <n v="-6"/>
    <n v="-4"/>
    <n v="-8"/>
    <n v="0"/>
    <n v="0"/>
    <n v="0"/>
    <n v="0"/>
    <n v="-34.700000000000003"/>
    <n v="-19"/>
    <n v="-9"/>
    <n v="0"/>
    <n v="-40.700000000000003"/>
    <n v="-9"/>
  </r>
  <r>
    <x v="0"/>
    <x v="1"/>
    <x v="0"/>
    <s v="5634200"/>
    <n v="749591"/>
    <s v="Other Expense-Intracompany Allocation"/>
    <s v="Univ Place Med&amp;Spec-Shared Svc"/>
    <x v="0"/>
    <m/>
    <n v="-149932.07"/>
    <n v="-149915.38"/>
    <n v="-152215.42000000001"/>
    <n v="-183809.93"/>
    <n v="-182617.28"/>
    <n v="-168372.91"/>
    <n v="-162280.48000000001"/>
    <n v="-151913.66"/>
    <n v="-154643.91"/>
    <n v="-172149.29"/>
    <n v="-187134.31"/>
    <n v="-173506.4"/>
    <n v="-1988491.04"/>
    <n v="-13627.910000000003"/>
  </r>
  <r>
    <x v="0"/>
    <x v="1"/>
    <x v="0"/>
    <s v="5634200"/>
    <n v="766010"/>
    <s v="Property Tax"/>
    <s v="Univ Place Med&amp;Spec-Shared Svc"/>
    <x v="0"/>
    <m/>
    <n v="548.82000000000005"/>
    <n v="548.82000000000005"/>
    <n v="548.82000000000005"/>
    <n v="548.82000000000005"/>
    <n v="548.82000000000005"/>
    <n v="548.82000000000005"/>
    <n v="548.82000000000005"/>
    <n v="548.82000000000005"/>
    <n v="548.82000000000005"/>
    <n v="76"/>
    <n v="430.62"/>
    <n v="430.62"/>
    <n v="5876.62"/>
    <n v="0"/>
  </r>
  <r>
    <x v="14"/>
    <x v="1"/>
    <x v="0"/>
    <s v="5635200"/>
    <n v="600026"/>
    <s v="POB Rental"/>
    <s v="Federal Way Med&amp;Spec-Shared Sv"/>
    <x v="0"/>
    <n v="1001"/>
    <n v="0"/>
    <n v="-680.55"/>
    <n v="-680.55"/>
    <n v="-680.55"/>
    <n v="-680.55"/>
    <n v="-680.55"/>
    <n v="-680.55"/>
    <n v="-680.55"/>
    <n v="-2466.6799999999998"/>
    <n v="-680.55"/>
    <n v="-796.27"/>
    <n v="-801.41"/>
    <n v="-9508.76"/>
    <n v="5.1399999999999864"/>
  </r>
  <r>
    <x v="14"/>
    <x v="1"/>
    <x v="0"/>
    <s v="5635200"/>
    <n v="600026"/>
    <s v="Other Rental"/>
    <s v="Federal Way Med&amp;Spec-Shared Sv"/>
    <x v="0"/>
    <n v="1002"/>
    <n v="0"/>
    <n v="-479.7"/>
    <n v="-479.7"/>
    <n v="-479.7"/>
    <n v="-479.7"/>
    <n v="-479.7"/>
    <n v="-479.7"/>
    <n v="-479.7"/>
    <n v="-1538.06"/>
    <n v="-479.7"/>
    <n v="-373.2"/>
    <n v="-379.26"/>
    <n v="-6128.119999999999"/>
    <n v="6.0600000000000023"/>
  </r>
  <r>
    <x v="5"/>
    <x v="1"/>
    <x v="0"/>
    <s v="5635200"/>
    <n v="700014"/>
    <s v="Salaries-Management-Productive"/>
    <s v="Federal Way Med&amp;Spec-Shared Sv"/>
    <x v="0"/>
    <m/>
    <n v="6094.08"/>
    <n v="7279.04"/>
    <n v="3554.88"/>
    <n v="8939.36"/>
    <n v="7615.52"/>
    <n v="3323.13"/>
    <n v="7280.32"/>
    <n v="6725.35"/>
    <n v="6760.02"/>
    <n v="6413.34"/>
    <n v="7973.35"/>
    <n v="5893.35"/>
    <n v="77851.740000000005"/>
    <n v="2080"/>
  </r>
  <r>
    <x v="5"/>
    <x v="1"/>
    <x v="0"/>
    <s v="5635200"/>
    <n v="700026"/>
    <s v="Salaries-RN-Productive"/>
    <s v="Federal Way Med&amp;Spec-Shared Sv"/>
    <x v="0"/>
    <m/>
    <n v="0"/>
    <n v="0"/>
    <n v="0"/>
    <n v="0"/>
    <n v="0"/>
    <n v="779.22"/>
    <n v="6785.58"/>
    <n v="237.87"/>
    <n v="449.2"/>
    <n v="-149.72999999999999"/>
    <n v="0"/>
    <n v="0"/>
    <n v="8102.1400000000012"/>
    <n v="0"/>
  </r>
  <r>
    <x v="5"/>
    <x v="1"/>
    <x v="0"/>
    <s v="5635200"/>
    <n v="700026"/>
    <s v="Salaries-RN-Other"/>
    <s v="Federal Way Med&amp;Spec-Shared Sv"/>
    <x v="0"/>
    <n v="2000"/>
    <n v="0"/>
    <n v="0"/>
    <n v="0"/>
    <n v="0"/>
    <n v="0"/>
    <n v="0"/>
    <n v="0"/>
    <n v="0"/>
    <n v="14.65"/>
    <n v="-4.88"/>
    <n v="0"/>
    <n v="0"/>
    <n v="9.77"/>
    <n v="0"/>
  </r>
  <r>
    <x v="5"/>
    <x v="1"/>
    <x v="0"/>
    <s v="5635200"/>
    <n v="700030"/>
    <s v="Salaries-LPN-Productive"/>
    <s v="Federal Way Med&amp;Spec-Shared Sv"/>
    <x v="0"/>
    <m/>
    <n v="0"/>
    <n v="0"/>
    <n v="0"/>
    <n v="0"/>
    <n v="0"/>
    <n v="1350.8"/>
    <n v="-122.8"/>
    <n v="0"/>
    <n v="0"/>
    <n v="28.54"/>
    <n v="0"/>
    <n v="0"/>
    <n v="1256.54"/>
    <n v="0"/>
  </r>
  <r>
    <x v="5"/>
    <x v="1"/>
    <x v="0"/>
    <s v="5635200"/>
    <n v="700030"/>
    <s v="Salaries-LPN-OT"/>
    <s v="Federal Way Med&amp;Spec-Shared Sv"/>
    <x v="0"/>
    <n v="1000"/>
    <n v="0"/>
    <n v="0"/>
    <n v="0"/>
    <n v="0"/>
    <n v="0"/>
    <n v="12.67"/>
    <n v="-1.1499999999999999"/>
    <n v="0"/>
    <n v="0"/>
    <n v="0"/>
    <n v="0"/>
    <n v="0"/>
    <n v="11.52"/>
    <n v="0"/>
  </r>
  <r>
    <x v="5"/>
    <x v="1"/>
    <x v="0"/>
    <s v="5635200"/>
    <n v="700030"/>
    <s v="Salaries-LPN-Other"/>
    <s v="Federal Way Med&amp;Spec-Shared Sv"/>
    <x v="0"/>
    <n v="2000"/>
    <n v="0"/>
    <n v="0"/>
    <n v="0"/>
    <n v="0"/>
    <n v="0"/>
    <n v="0"/>
    <n v="0"/>
    <n v="0"/>
    <n v="0"/>
    <n v="1.25"/>
    <n v="0"/>
    <n v="0"/>
    <n v="1.25"/>
    <n v="0"/>
  </r>
  <r>
    <x v="5"/>
    <x v="1"/>
    <x v="0"/>
    <s v="5635200"/>
    <n v="700032"/>
    <s v="Salaries-Other Pat Care Providers-Productive"/>
    <s v="Federal Way Med&amp;Spec-Shared Sv"/>
    <x v="0"/>
    <m/>
    <n v="0"/>
    <n v="0"/>
    <n v="0"/>
    <n v="0"/>
    <n v="0"/>
    <n v="1135.3"/>
    <n v="4098.51"/>
    <n v="-39.700000000000003"/>
    <n v="0"/>
    <n v="0"/>
    <n v="0"/>
    <n v="0"/>
    <n v="5194.1100000000006"/>
    <n v="0"/>
  </r>
  <r>
    <x v="5"/>
    <x v="1"/>
    <x v="0"/>
    <s v="5635200"/>
    <n v="700032"/>
    <s v="Salaries-Other Pat Care Providers-OT"/>
    <s v="Federal Way Med&amp;Spec-Shared Sv"/>
    <x v="0"/>
    <n v="1000"/>
    <n v="0"/>
    <n v="0"/>
    <n v="0"/>
    <n v="0"/>
    <n v="0"/>
    <n v="0"/>
    <n v="758.31"/>
    <n v="-202.47"/>
    <n v="0"/>
    <n v="0"/>
    <n v="0"/>
    <n v="0"/>
    <n v="555.83999999999992"/>
    <n v="0"/>
  </r>
  <r>
    <x v="5"/>
    <x v="1"/>
    <x v="0"/>
    <s v="5635200"/>
    <n v="700034"/>
    <s v="Salaries-Tech/Professional-Productive"/>
    <s v="Federal Way Med&amp;Spec-Shared Sv"/>
    <x v="0"/>
    <m/>
    <n v="5166.01"/>
    <n v="3425.47"/>
    <n v="4980.34"/>
    <n v="6222.15"/>
    <n v="5997.11"/>
    <n v="984.11"/>
    <n v="1491.69"/>
    <n v="0"/>
    <n v="0"/>
    <n v="757.61"/>
    <n v="262.13"/>
    <n v="3923.74"/>
    <n v="33210.36"/>
    <n v="-3661.6099999999997"/>
  </r>
  <r>
    <x v="5"/>
    <x v="1"/>
    <x v="0"/>
    <s v="5635200"/>
    <n v="700034"/>
    <s v="Salaries-Tech/Professional-OT"/>
    <s v="Federal Way Med&amp;Spec-Shared Sv"/>
    <x v="0"/>
    <n v="1000"/>
    <n v="0"/>
    <n v="37.39"/>
    <n v="18.690000000000001"/>
    <n v="31.15"/>
    <n v="77.02"/>
    <n v="-25.67"/>
    <n v="0"/>
    <n v="0"/>
    <n v="0"/>
    <n v="0"/>
    <n v="0"/>
    <n v="80.040000000000006"/>
    <n v="218.62"/>
    <n v="-80.040000000000006"/>
  </r>
  <r>
    <x v="5"/>
    <x v="1"/>
    <x v="0"/>
    <s v="5635200"/>
    <n v="700034"/>
    <s v="Salaries-Tech/Professional-Other"/>
    <s v="Federal Way Med&amp;Spec-Shared Sv"/>
    <x v="0"/>
    <n v="2000"/>
    <n v="0"/>
    <n v="0"/>
    <n v="0"/>
    <n v="0"/>
    <n v="0"/>
    <n v="0"/>
    <n v="0"/>
    <n v="0"/>
    <n v="0"/>
    <n v="25.1"/>
    <n v="8.7100000000000009"/>
    <n v="8.76"/>
    <n v="42.57"/>
    <n v="-4.9999999999998934E-2"/>
  </r>
  <r>
    <x v="5"/>
    <x v="1"/>
    <x v="0"/>
    <s v="5635200"/>
    <n v="700038"/>
    <s v="Salaries-Service/Support-Productive"/>
    <s v="Federal Way Med&amp;Spec-Shared Sv"/>
    <x v="0"/>
    <m/>
    <n v="19459.509999999998"/>
    <n v="24835.43"/>
    <n v="20185.46"/>
    <n v="25182.05"/>
    <n v="26852.28"/>
    <n v="16267.73"/>
    <n v="23616.06"/>
    <n v="22449.52"/>
    <n v="22685.64"/>
    <n v="17064.91"/>
    <n v="17554.13"/>
    <n v="18140.400000000001"/>
    <n v="254293.12"/>
    <n v="-586.27000000000044"/>
  </r>
  <r>
    <x v="5"/>
    <x v="1"/>
    <x v="0"/>
    <s v="5635200"/>
    <n v="700038"/>
    <s v="Salaries-Service/Support-OT"/>
    <s v="Federal Way Med&amp;Spec-Shared Sv"/>
    <x v="0"/>
    <n v="1000"/>
    <n v="534.47"/>
    <n v="1105.5"/>
    <n v="1188.8599999999999"/>
    <n v="1099.58"/>
    <n v="981.12"/>
    <n v="1090.92"/>
    <n v="1559.61"/>
    <n v="353.15"/>
    <n v="1590.27"/>
    <n v="4291.5"/>
    <n v="3806.18"/>
    <n v="1513.51"/>
    <n v="19114.669999999998"/>
    <n v="2292.67"/>
  </r>
  <r>
    <x v="5"/>
    <x v="1"/>
    <x v="0"/>
    <s v="5635200"/>
    <n v="700038"/>
    <s v="Salaries-Service/Support-Other"/>
    <s v="Federal Way Med&amp;Spec-Shared Sv"/>
    <x v="0"/>
    <n v="2000"/>
    <n v="0"/>
    <n v="0"/>
    <n v="0"/>
    <n v="0"/>
    <n v="0"/>
    <n v="0"/>
    <n v="0"/>
    <n v="1.05"/>
    <n v="-0.3"/>
    <n v="0"/>
    <n v="24.04"/>
    <n v="70.099999999999994"/>
    <n v="94.889999999999986"/>
    <n v="-46.059999999999995"/>
  </r>
  <r>
    <x v="5"/>
    <x v="1"/>
    <x v="0"/>
    <s v="5635200"/>
    <n v="700054"/>
    <s v="Salaries-Management-Non-productive"/>
    <s v="Federal Way Med&amp;Spec-Shared Sv"/>
    <x v="0"/>
    <m/>
    <n v="1410.09"/>
    <n v="566.24"/>
    <n v="3267.1"/>
    <n v="-956.26"/>
    <n v="54.54"/>
    <n v="3998.92"/>
    <n v="751.34"/>
    <n v="258.27999999999997"/>
    <n v="572.79"/>
    <n v="1268.6300000000001"/>
    <n v="57.83"/>
    <n v="1090.27"/>
    <n v="12339.770000000002"/>
    <n v="-1032.44"/>
  </r>
  <r>
    <x v="5"/>
    <x v="1"/>
    <x v="0"/>
    <s v="5635200"/>
    <n v="700054"/>
    <s v="Salaries-Management-NonProd-Other"/>
    <s v="Federal Way Med&amp;Spec-Shared Sv"/>
    <x v="0"/>
    <n v="2000"/>
    <n v="0"/>
    <n v="0"/>
    <n v="0"/>
    <n v="0"/>
    <n v="0"/>
    <n v="35"/>
    <n v="-35"/>
    <n v="0"/>
    <n v="0"/>
    <n v="0"/>
    <n v="0"/>
    <n v="0"/>
    <n v="0"/>
    <n v="0"/>
  </r>
  <r>
    <x v="5"/>
    <x v="1"/>
    <x v="0"/>
    <s v="5635200"/>
    <n v="700074"/>
    <s v="Salaries-Tech/Professional-Non-productive"/>
    <s v="Federal Way Med&amp;Spec-Shared Sv"/>
    <x v="0"/>
    <m/>
    <n v="1133.28"/>
    <n v="-77.28"/>
    <n v="340.61"/>
    <n v="15.4"/>
    <n v="-6.84"/>
    <n v="4792.2"/>
    <n v="3212.46"/>
    <n v="-140.54"/>
    <n v="-3.42"/>
    <n v="0"/>
    <n v="0"/>
    <n v="1219.78"/>
    <n v="10485.65"/>
    <n v="-1219.78"/>
  </r>
  <r>
    <x v="5"/>
    <x v="1"/>
    <x v="0"/>
    <s v="5635200"/>
    <n v="700074"/>
    <s v="Salaries-Tech/Professional-NonProd-Other"/>
    <s v="Federal Way Med&amp;Spec-Shared Sv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5200"/>
    <n v="700078"/>
    <s v="Salaries-Service/Support-Non-productive"/>
    <s v="Federal Way Med&amp;Spec-Shared Sv"/>
    <x v="0"/>
    <m/>
    <n v="6301.36"/>
    <n v="2202.8200000000002"/>
    <n v="4589.41"/>
    <n v="3566.78"/>
    <n v="866.78"/>
    <n v="9561.5"/>
    <n v="2770.3"/>
    <n v="1187.27"/>
    <n v="3091.18"/>
    <n v="4756.28"/>
    <n v="6295.78"/>
    <n v="4214.8599999999997"/>
    <n v="49404.319999999992"/>
    <n v="2080.92"/>
  </r>
  <r>
    <x v="5"/>
    <x v="1"/>
    <x v="0"/>
    <s v="5635200"/>
    <n v="700078"/>
    <s v="Salaries-Service/Support-NonProd-Other"/>
    <s v="Federal Way Med&amp;Spec-Shared Sv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5200"/>
    <n v="700084"/>
    <s v="Accrued PTO"/>
    <s v="Federal Way Med&amp;Spec-Shared Sv"/>
    <x v="0"/>
    <m/>
    <n v="-94.54"/>
    <n v="3195.9"/>
    <n v="-3293.54"/>
    <n v="3648.01"/>
    <n v="2419.21"/>
    <n v="-7081.39"/>
    <n v="-2041.78"/>
    <n v="1997.49"/>
    <n v="520.52"/>
    <n v="-480.31"/>
    <n v="-1366.7"/>
    <n v="-2938.66"/>
    <n v="-5515.7899999999991"/>
    <n v="1571.9599999999998"/>
  </r>
  <r>
    <x v="10"/>
    <x v="1"/>
    <x v="0"/>
    <s v="5635200"/>
    <n v="710060"/>
    <s v="Contract Labor-Other"/>
    <s v="Federal Way Med&amp;Spec-Shared Sv"/>
    <x v="0"/>
    <m/>
    <n v="683.33"/>
    <n v="4790.88"/>
    <n v="7751.93"/>
    <n v="3386.25"/>
    <n v="964.25"/>
    <n v="5109.74"/>
    <n v="6180.3"/>
    <n v="2976.27"/>
    <n v="2543.4899999999998"/>
    <n v="5155.3"/>
    <n v="0"/>
    <n v="5610.88"/>
    <n v="45152.619999999995"/>
    <n v="-5610.88"/>
  </r>
  <r>
    <x v="10"/>
    <x v="1"/>
    <x v="0"/>
    <s v="5635200"/>
    <n v="710060"/>
    <s v="Contract Labor-Overtime"/>
    <s v="Federal Way Med&amp;Spec-Shared Sv"/>
    <x v="0"/>
    <n v="5100"/>
    <n v="0"/>
    <n v="0"/>
    <n v="34.17"/>
    <n v="0"/>
    <n v="0"/>
    <n v="0"/>
    <n v="0"/>
    <n v="0"/>
    <n v="0"/>
    <n v="0"/>
    <n v="0"/>
    <n v="0"/>
    <n v="34.17"/>
    <n v="0"/>
  </r>
  <r>
    <x v="6"/>
    <x v="1"/>
    <x v="0"/>
    <s v="5635200"/>
    <n v="713010"/>
    <s v="Benefits-FICA/Medicare"/>
    <s v="Federal Way Med&amp;Spec-Shared Sv"/>
    <x v="0"/>
    <m/>
    <n v="2937.49"/>
    <n v="3040.87"/>
    <n v="2810.78"/>
    <n v="3246.18"/>
    <n v="3124.2"/>
    <n v="3177.11"/>
    <n v="3840.64"/>
    <n v="2237.9299999999998"/>
    <n v="2563.7399999999998"/>
    <n v="2814.16"/>
    <n v="2634.08"/>
    <n v="2662.81"/>
    <n v="35089.99"/>
    <n v="-28.730000000000018"/>
  </r>
  <r>
    <x v="6"/>
    <x v="1"/>
    <x v="0"/>
    <s v="5635200"/>
    <n v="713090"/>
    <s v="Benefits-Allocated Amounts"/>
    <s v="Federal Way Med&amp;Spec-Shared Sv"/>
    <x v="0"/>
    <m/>
    <n v="9830.68"/>
    <n v="8520.66"/>
    <n v="9890.15"/>
    <n v="10358.17"/>
    <n v="10209.19"/>
    <n v="10808.15"/>
    <n v="12947.22"/>
    <n v="9914.33"/>
    <n v="9588.3799999999992"/>
    <n v="8991.34"/>
    <n v="9039.44"/>
    <n v="9642.25"/>
    <n v="119739.96"/>
    <n v="-602.80999999999949"/>
  </r>
  <r>
    <x v="6"/>
    <x v="1"/>
    <x v="0"/>
    <s v="5635200"/>
    <n v="713096"/>
    <s v="Employee Recognition"/>
    <s v="Federal Way Med&amp;Spec-Shared Sv"/>
    <x v="0"/>
    <n v="1017"/>
    <n v="0"/>
    <n v="0"/>
    <n v="0"/>
    <n v="0"/>
    <n v="0"/>
    <n v="0"/>
    <n v="200"/>
    <n v="0"/>
    <n v="1628"/>
    <n v="0"/>
    <n v="0"/>
    <n v="0"/>
    <n v="1828"/>
    <n v="0"/>
  </r>
  <r>
    <x v="7"/>
    <x v="1"/>
    <x v="0"/>
    <s v="5635200"/>
    <n v="718010"/>
    <s v="Media/Print Advertising"/>
    <s v="Federal Way Med&amp;Spec-Shared Sv"/>
    <x v="0"/>
    <n v="1004"/>
    <n v="97.59"/>
    <n v="0"/>
    <n v="93.92"/>
    <n v="1708.31"/>
    <n v="0"/>
    <n v="828.2"/>
    <n v="0"/>
    <n v="0"/>
    <n v="0"/>
    <n v="0"/>
    <n v="1908.92"/>
    <n v="228.21"/>
    <n v="4865.1500000000005"/>
    <n v="1680.71"/>
  </r>
  <r>
    <x v="7"/>
    <x v="1"/>
    <x v="0"/>
    <s v="5635200"/>
    <n v="718050"/>
    <s v="Contract Svcs-Other"/>
    <s v="Federal Way Med&amp;Spec-Shared Sv"/>
    <x v="0"/>
    <m/>
    <n v="0"/>
    <n v="0"/>
    <n v="295.27999999999997"/>
    <n v="890.28"/>
    <n v="0"/>
    <n v="1722.6"/>
    <n v="550"/>
    <n v="0"/>
    <n v="0"/>
    <n v="0"/>
    <n v="0"/>
    <n v="590.55999999999995"/>
    <n v="4048.72"/>
    <n v="-590.55999999999995"/>
  </r>
  <r>
    <x v="7"/>
    <x v="1"/>
    <x v="0"/>
    <s v="5635200"/>
    <n v="718050"/>
    <s v="Management Fees"/>
    <s v="Federal Way Med&amp;Spec-Shared Sv"/>
    <x v="0"/>
    <n v="1004"/>
    <n v="0"/>
    <n v="0"/>
    <n v="0"/>
    <n v="0"/>
    <n v="0"/>
    <n v="0"/>
    <n v="0"/>
    <n v="0"/>
    <n v="0"/>
    <n v="0"/>
    <n v="0"/>
    <n v="565.96"/>
    <n v="565.96"/>
    <n v="-565.96"/>
  </r>
  <r>
    <x v="7"/>
    <x v="1"/>
    <x v="0"/>
    <s v="5635200"/>
    <n v="718050"/>
    <s v="Document Shredding/Storage"/>
    <s v="Federal Way Med&amp;Spec-Shared Sv"/>
    <x v="0"/>
    <n v="1012"/>
    <n v="860.07"/>
    <n v="989.72"/>
    <n v="936.26"/>
    <n v="1001.11"/>
    <n v="827.41"/>
    <n v="674.76"/>
    <n v="668.01"/>
    <n v="569.25"/>
    <n v="760.61"/>
    <n v="743.12"/>
    <n v="649.15"/>
    <n v="948.19"/>
    <n v="9627.6600000000017"/>
    <n v="-299.04000000000008"/>
  </r>
  <r>
    <x v="7"/>
    <x v="1"/>
    <x v="0"/>
    <s v="5635200"/>
    <n v="718050"/>
    <s v="Physician Answering"/>
    <s v="Federal Way Med&amp;Spec-Shared Sv"/>
    <x v="0"/>
    <n v="1015"/>
    <n v="359.2"/>
    <n v="357.2"/>
    <n v="365.2"/>
    <n v="256.39999999999998"/>
    <n v="378.2"/>
    <n v="415.2"/>
    <n v="417.4"/>
    <n v="455.6"/>
    <n v="359"/>
    <n v="536.79999999999995"/>
    <n v="356.8"/>
    <n v="312.2"/>
    <n v="4569.2"/>
    <n v="44.600000000000023"/>
  </r>
  <r>
    <x v="7"/>
    <x v="1"/>
    <x v="0"/>
    <s v="5635200"/>
    <n v="718050"/>
    <s v="Security"/>
    <s v="Federal Way Med&amp;Spec-Shared Sv"/>
    <x v="0"/>
    <n v="1019"/>
    <n v="133.19999999999999"/>
    <n v="0"/>
    <n v="0"/>
    <n v="0"/>
    <n v="0"/>
    <n v="0"/>
    <n v="0"/>
    <n v="0"/>
    <n v="0"/>
    <n v="0"/>
    <n v="0"/>
    <n v="0"/>
    <n v="133.19999999999999"/>
    <n v="0"/>
  </r>
  <r>
    <x v="7"/>
    <x v="1"/>
    <x v="0"/>
    <s v="5635200"/>
    <n v="718050"/>
    <s v="Miscellaneous Purchased Svcs"/>
    <s v="Federal Way Med&amp;Spec-Shared Sv"/>
    <x v="0"/>
    <n v="1020"/>
    <n v="415.63"/>
    <n v="592.72"/>
    <n v="411.62"/>
    <n v="168.52"/>
    <n v="424.2"/>
    <n v="168.52"/>
    <n v="848.4"/>
    <n v="590.55999999999995"/>
    <n v="128.91999999999999"/>
    <n v="719.48"/>
    <n v="242.37"/>
    <n v="281.97000000000003"/>
    <n v="4992.91"/>
    <n v="-39.600000000000023"/>
  </r>
  <r>
    <x v="7"/>
    <x v="1"/>
    <x v="0"/>
    <s v="5635200"/>
    <n v="718050"/>
    <s v="Translation Services"/>
    <s v="Federal Way Med&amp;Spec-Shared Sv"/>
    <x v="0"/>
    <n v="1025"/>
    <n v="747.14"/>
    <n v="0"/>
    <n v="645.83000000000004"/>
    <n v="0"/>
    <n v="469.85"/>
    <n v="304.18"/>
    <n v="248.94"/>
    <n v="227.01"/>
    <n v="121"/>
    <n v="331.5"/>
    <n v="229.38"/>
    <n v="24.49"/>
    <n v="3349.3199999999997"/>
    <n v="204.89"/>
  </r>
  <r>
    <x v="7"/>
    <x v="1"/>
    <x v="0"/>
    <s v="5635200"/>
    <n v="718050"/>
    <s v="Contract Management--Linen"/>
    <s v="Federal Way Med&amp;Spec-Shared Sv"/>
    <x v="0"/>
    <n v="1026"/>
    <n v="202.55"/>
    <n v="512.08000000000004"/>
    <n v="226.89"/>
    <n v="0"/>
    <n v="133.63"/>
    <n v="99.75"/>
    <n v="473.38"/>
    <n v="225.78"/>
    <n v="0"/>
    <n v="225.78"/>
    <n v="226.31"/>
    <n v="169.47"/>
    <n v="2495.62"/>
    <n v="56.84"/>
  </r>
  <r>
    <x v="7"/>
    <x v="1"/>
    <x v="0"/>
    <s v="5635200"/>
    <n v="718050"/>
    <s v="Purchased Srvcs--Medical Waste"/>
    <s v="Federal Way Med&amp;Spec-Shared Sv"/>
    <x v="0"/>
    <n v="1027"/>
    <n v="212.57"/>
    <n v="92.59"/>
    <n v="52.6"/>
    <n v="75.099999999999994"/>
    <n v="206.91"/>
    <n v="214.03"/>
    <n v="144.41999999999999"/>
    <n v="131.04"/>
    <n v="60.72"/>
    <n v="105.2"/>
    <n v="61.49"/>
    <n v="214.54"/>
    <n v="1571.21"/>
    <n v="-153.04999999999998"/>
  </r>
  <r>
    <x v="7"/>
    <x v="1"/>
    <x v="0"/>
    <s v="5635200"/>
    <n v="718070"/>
    <s v="Contract Srvcs-CHI Clinical Engineering"/>
    <s v="Federal Way Med&amp;Spec-Shared Sv"/>
    <x v="0"/>
    <m/>
    <n v="137.69999999999999"/>
    <n v="137.69999999999999"/>
    <n v="783.8"/>
    <n v="330.36"/>
    <n v="0"/>
    <n v="1437.05"/>
    <n v="275.5"/>
    <n v="330.5"/>
    <n v="0"/>
    <n v="0"/>
    <n v="0"/>
    <n v="133.44"/>
    <n v="3566.0499999999997"/>
    <n v="-133.44"/>
  </r>
  <r>
    <x v="7"/>
    <x v="1"/>
    <x v="0"/>
    <s v="5635200"/>
    <n v="718077"/>
    <s v="PACS"/>
    <s v="Federal Way Med&amp;Spec-Shared Sv"/>
    <x v="0"/>
    <n v="1000"/>
    <n v="423"/>
    <n v="373.5"/>
    <n v="528.75"/>
    <n v="695.25"/>
    <n v="508.5"/>
    <n v="139.5"/>
    <n v="504"/>
    <n v="501.75"/>
    <n v="580.5"/>
    <n v="180"/>
    <n v="252"/>
    <n v="319.5"/>
    <n v="5006.25"/>
    <n v="-67.5"/>
  </r>
  <r>
    <x v="11"/>
    <x v="1"/>
    <x v="0"/>
    <s v="5635200"/>
    <n v="721010"/>
    <s v="Supplies-Medical - Billable"/>
    <s v="Federal Way Med&amp;Spec-Shared Sv"/>
    <x v="0"/>
    <m/>
    <n v="1089.53"/>
    <n v="2622.72"/>
    <n v="2048.21"/>
    <n v="862.85"/>
    <n v="6477.4"/>
    <n v="2320.92"/>
    <n v="1053.42"/>
    <n v="2485.61"/>
    <n v="0"/>
    <n v="0"/>
    <n v="5499.3"/>
    <n v="-110.68"/>
    <n v="24349.279999999999"/>
    <n v="5609.9800000000005"/>
  </r>
  <r>
    <x v="11"/>
    <x v="1"/>
    <x v="0"/>
    <s v="5635200"/>
    <n v="721250"/>
    <s v="Supplies-Pharmacy Drugs - Billable"/>
    <s v="Federal Way Med&amp;Spec-Shared Sv"/>
    <x v="0"/>
    <m/>
    <n v="8890.26"/>
    <n v="15801.68"/>
    <n v="10183.44"/>
    <n v="28440.98"/>
    <n v="33060.78"/>
    <n v="25797.45"/>
    <n v="6895.02"/>
    <n v="12872.45"/>
    <n v="9072.3700000000008"/>
    <n v="1064.77"/>
    <n v="32372.01"/>
    <n v="8315.08"/>
    <n v="192766.28999999998"/>
    <n v="24056.93"/>
  </r>
  <r>
    <x v="11"/>
    <x v="1"/>
    <x v="0"/>
    <s v="5635200"/>
    <n v="721410"/>
    <s v="Supplies-Medical - Nonbillable"/>
    <s v="Federal Way Med&amp;Spec-Shared Sv"/>
    <x v="0"/>
    <m/>
    <n v="549.32000000000005"/>
    <n v="75.790000000000006"/>
    <n v="368.96"/>
    <n v="229.11"/>
    <n v="303.5"/>
    <n v="954.21"/>
    <n v="0"/>
    <n v="453.54"/>
    <n v="0"/>
    <n v="163.91"/>
    <n v="6506.68"/>
    <n v="0"/>
    <n v="9605.02"/>
    <n v="6506.68"/>
  </r>
  <r>
    <x v="11"/>
    <x v="1"/>
    <x v="0"/>
    <s v="5635200"/>
    <n v="721810"/>
    <s v="Supplies-Dietary/Cafeteria"/>
    <s v="Federal Way Med&amp;Spec-Shared Sv"/>
    <x v="0"/>
    <m/>
    <n v="0"/>
    <n v="0"/>
    <n v="0"/>
    <n v="0"/>
    <n v="0"/>
    <n v="314.43"/>
    <n v="61.2"/>
    <n v="38.479999999999997"/>
    <n v="0"/>
    <n v="52"/>
    <n v="0"/>
    <n v="0"/>
    <n v="466.11"/>
    <n v="0"/>
  </r>
  <r>
    <x v="11"/>
    <x v="1"/>
    <x v="0"/>
    <s v="5635200"/>
    <n v="721830"/>
    <s v="Supplies-Office"/>
    <s v="Federal Way Med&amp;Spec-Shared Sv"/>
    <x v="0"/>
    <m/>
    <n v="1727.89"/>
    <n v="2543.58"/>
    <n v="1880.89"/>
    <n v="4222.82"/>
    <n v="1715.31"/>
    <n v="2759.06"/>
    <n v="2183.87"/>
    <n v="1740.69"/>
    <n v="1942.92"/>
    <n v="1641.5"/>
    <n v="2616.88"/>
    <n v="1608.45"/>
    <n v="26583.86"/>
    <n v="1008.4300000000001"/>
  </r>
  <r>
    <x v="11"/>
    <x v="1"/>
    <x v="0"/>
    <s v="5635200"/>
    <n v="721835"/>
    <s v="Supplies-Forms"/>
    <s v="Federal Way Med&amp;Spec-Shared Sv"/>
    <x v="0"/>
    <m/>
    <n v="0"/>
    <n v="0"/>
    <n v="0"/>
    <n v="0"/>
    <n v="468.26"/>
    <n v="0"/>
    <n v="121.74"/>
    <n v="0"/>
    <n v="0"/>
    <n v="18.5"/>
    <n v="18.5"/>
    <n v="132.91999999999999"/>
    <n v="759.92"/>
    <n v="-114.41999999999999"/>
  </r>
  <r>
    <x v="11"/>
    <x v="1"/>
    <x v="0"/>
    <s v="5635200"/>
    <n v="721870"/>
    <s v="Supplies-Environmental Services"/>
    <s v="Federal Way Med&amp;Spec-Shared Sv"/>
    <x v="0"/>
    <m/>
    <n v="77.709999999999994"/>
    <n v="0"/>
    <n v="0"/>
    <n v="0"/>
    <n v="149.11000000000001"/>
    <n v="0"/>
    <n v="0"/>
    <n v="0"/>
    <n v="0"/>
    <n v="0"/>
    <n v="0"/>
    <n v="0"/>
    <n v="226.82"/>
    <n v="0"/>
  </r>
  <r>
    <x v="11"/>
    <x v="1"/>
    <x v="0"/>
    <s v="5635200"/>
    <n v="721910"/>
    <s v="Supplies-Small Equipment"/>
    <s v="Federal Way Med&amp;Spec-Shared Sv"/>
    <x v="0"/>
    <m/>
    <n v="1935.19"/>
    <n v="300.29000000000002"/>
    <n v="30.03"/>
    <n v="307.87"/>
    <n v="302.97000000000003"/>
    <n v="1144.17"/>
    <n v="513.66"/>
    <n v="353.16"/>
    <n v="-0.41"/>
    <n v="0"/>
    <n v="0"/>
    <n v="0"/>
    <n v="4886.93"/>
    <n v="0"/>
  </r>
  <r>
    <x v="11"/>
    <x v="1"/>
    <x v="0"/>
    <s v="5635200"/>
    <n v="722000"/>
    <s v="Supplies-Freight Expense"/>
    <s v="Federal Way Med&amp;Spec-Shared Sv"/>
    <x v="0"/>
    <m/>
    <n v="0"/>
    <n v="25.88"/>
    <n v="0"/>
    <n v="138.07"/>
    <n v="0"/>
    <n v="21.6"/>
    <n v="49.79"/>
    <n v="0"/>
    <n v="0"/>
    <n v="0"/>
    <n v="0"/>
    <n v="170.94"/>
    <n v="406.28"/>
    <n v="-170.94"/>
  </r>
  <r>
    <x v="12"/>
    <x v="1"/>
    <x v="0"/>
    <s v="5635200"/>
    <n v="730010"/>
    <s v="Rental and Leases-Building (DO NOT USE)"/>
    <s v="Federal Way Med&amp;Spec-Shared Sv"/>
    <x v="0"/>
    <m/>
    <n v="37624.51"/>
    <n v="37624.51"/>
    <n v="37624.51"/>
    <n v="37624.51"/>
    <n v="37624.51"/>
    <n v="-55729.49"/>
    <n v="22065.51"/>
    <n v="22065.51"/>
    <n v="22065.51"/>
    <n v="22065.51"/>
    <n v="22065.51"/>
    <n v="0"/>
    <n v="242720.61000000007"/>
    <n v="22065.51"/>
  </r>
  <r>
    <x v="12"/>
    <x v="1"/>
    <x v="0"/>
    <s v="5635200"/>
    <n v="730010"/>
    <s v="Rental-Common Area Maint (DO NOT USE)"/>
    <s v="Federal Way Med&amp;Spec-Shared Sv"/>
    <x v="0"/>
    <n v="2200"/>
    <n v="0"/>
    <n v="0"/>
    <n v="0"/>
    <n v="0"/>
    <n v="0"/>
    <n v="93354"/>
    <n v="15559"/>
    <n v="15559"/>
    <n v="15559"/>
    <n v="15559"/>
    <n v="15559"/>
    <n v="0"/>
    <n v="171149"/>
    <n v="15559"/>
  </r>
  <r>
    <x v="12"/>
    <x v="1"/>
    <x v="0"/>
    <s v="5635200"/>
    <n v="730020"/>
    <s v="Rental and Leases-Equipment (DO NOT USE)"/>
    <s v="Federal Way Med&amp;Spec-Shared Sv"/>
    <x v="0"/>
    <m/>
    <n v="89.36"/>
    <n v="122.31"/>
    <n v="65.900000000000006"/>
    <n v="77.63"/>
    <n v="44.58"/>
    <n v="158.87"/>
    <n v="110.48"/>
    <n v="96.58"/>
    <n v="32.950000000000003"/>
    <n v="0"/>
    <n v="0"/>
    <n v="48.29"/>
    <n v="846.95000000000016"/>
    <n v="-48.29"/>
  </r>
  <r>
    <x v="12"/>
    <x v="1"/>
    <x v="0"/>
    <s v="5635200"/>
    <n v="730020"/>
    <s v="Rental and Leases-Copier Usage Fees (DO NOT USE)"/>
    <s v="Federal Way Med&amp;Spec-Shared Sv"/>
    <x v="0"/>
    <n v="5100"/>
    <n v="1377.55"/>
    <n v="1408.97"/>
    <n v="1393.26"/>
    <n v="1393.26"/>
    <n v="1393.26"/>
    <n v="1393.26"/>
    <n v="1443.26"/>
    <n v="1248.9100000000001"/>
    <n v="1208.78"/>
    <n v="1822.01"/>
    <n v="1272.3"/>
    <n v="1284.5"/>
    <n v="16639.32"/>
    <n v="-12.200000000000045"/>
  </r>
  <r>
    <x v="12"/>
    <x v="1"/>
    <x v="0"/>
    <s v="5635200"/>
    <n v="730040"/>
    <s v="LT Lease-Real Estate"/>
    <s v="Federal Way Med&amp;Spec-Shared Sv"/>
    <x v="0"/>
    <m/>
    <n v="0"/>
    <n v="0"/>
    <n v="0"/>
    <n v="0"/>
    <n v="0"/>
    <n v="0"/>
    <n v="0"/>
    <n v="0"/>
    <n v="0"/>
    <n v="0"/>
    <n v="0"/>
    <n v="37624.51"/>
    <n v="37624.51"/>
    <n v="-37624.51"/>
  </r>
  <r>
    <x v="15"/>
    <x v="1"/>
    <x v="0"/>
    <s v="5635200"/>
    <n v="731060"/>
    <s v="Telephone"/>
    <s v="Federal Way Med&amp;Spec-Shared Sv"/>
    <x v="0"/>
    <m/>
    <n v="673.67"/>
    <n v="537.92999999999995"/>
    <n v="414.84"/>
    <n v="669.05"/>
    <n v="421.84"/>
    <n v="689.07"/>
    <n v="715.39"/>
    <n v="439.34"/>
    <n v="557.65"/>
    <n v="557.65"/>
    <n v="556.97"/>
    <n v="556.97"/>
    <n v="6790.37"/>
    <n v="0"/>
  </r>
  <r>
    <x v="15"/>
    <x v="1"/>
    <x v="0"/>
    <s v="5635200"/>
    <n v="731060"/>
    <s v="Pagers"/>
    <s v="Federal Way Med&amp;Spec-Shared Sv"/>
    <x v="0"/>
    <n v="1002"/>
    <n v="16.2"/>
    <n v="16.2"/>
    <n v="16.2"/>
    <n v="16.239999999999998"/>
    <n v="0"/>
    <n v="0"/>
    <n v="27.53"/>
    <n v="0"/>
    <n v="0"/>
    <n v="0"/>
    <n v="0"/>
    <n v="0"/>
    <n v="92.36999999999999"/>
    <n v="0"/>
  </r>
  <r>
    <x v="16"/>
    <x v="1"/>
    <x v="0"/>
    <s v="5635200"/>
    <n v="732030"/>
    <s v="Repairs---Other"/>
    <s v="Federal Way Med&amp;Spec-Shared Sv"/>
    <x v="0"/>
    <m/>
    <n v="46.14"/>
    <n v="2281.8200000000002"/>
    <n v="676.45"/>
    <n v="1837.43"/>
    <n v="499.42"/>
    <n v="128.58000000000001"/>
    <n v="100.01"/>
    <n v="174.74"/>
    <n v="454.36"/>
    <n v="21.27"/>
    <n v="291.27"/>
    <n v="307.8"/>
    <n v="6819.29"/>
    <n v="-16.53000000000003"/>
  </r>
  <r>
    <x v="13"/>
    <x v="1"/>
    <x v="0"/>
    <s v="5635200"/>
    <n v="735050"/>
    <s v="Amortization-Leasehold Improvements"/>
    <s v="Federal Way Med&amp;Spec-Shared Sv"/>
    <x v="0"/>
    <m/>
    <n v="81.31"/>
    <n v="81.31"/>
    <n v="81.31"/>
    <n v="81.31"/>
    <n v="81.31"/>
    <n v="81.31"/>
    <n v="81.31"/>
    <n v="81.31"/>
    <n v="81.31"/>
    <n v="81.3"/>
    <n v="81.31"/>
    <n v="81.3"/>
    <n v="975.69999999999982"/>
    <n v="1.0000000000005116E-2"/>
  </r>
  <r>
    <x v="13"/>
    <x v="1"/>
    <x v="0"/>
    <s v="5635200"/>
    <n v="735060"/>
    <s v="Depreciation-Fixed Equipment"/>
    <s v="Federal Way Med&amp;Spec-Shared Sv"/>
    <x v="0"/>
    <m/>
    <n v="0.88"/>
    <n v="0.88"/>
    <n v="0.88"/>
    <n v="0.88"/>
    <n v="0.88"/>
    <n v="0.88"/>
    <n v="0.88"/>
    <n v="0.88"/>
    <n v="0.89"/>
    <n v="0.88"/>
    <n v="0.89"/>
    <n v="0.88"/>
    <n v="10.580000000000002"/>
    <n v="1.0000000000000009E-2"/>
  </r>
  <r>
    <x v="13"/>
    <x v="1"/>
    <x v="0"/>
    <s v="5635200"/>
    <n v="735070"/>
    <s v="Depreciation-Movable Equipment"/>
    <s v="Federal Way Med&amp;Spec-Shared Sv"/>
    <x v="0"/>
    <m/>
    <n v="242.15"/>
    <n v="242.15"/>
    <n v="242.15"/>
    <n v="242.15"/>
    <n v="242.16"/>
    <n v="242.15"/>
    <n v="242.18"/>
    <n v="242.14"/>
    <n v="242.18"/>
    <n v="242.14"/>
    <n v="242.18"/>
    <n v="242.13"/>
    <n v="2905.8599999999997"/>
    <n v="5.0000000000011369E-2"/>
  </r>
  <r>
    <x v="0"/>
    <x v="1"/>
    <x v="0"/>
    <s v="5635200"/>
    <n v="749510"/>
    <s v="Miscellaneous Expenses"/>
    <s v="Federal Way Med&amp;Spec-Shared Sv"/>
    <x v="0"/>
    <m/>
    <n v="55.05"/>
    <n v="105.05"/>
    <n v="189"/>
    <n v="7"/>
    <n v="50"/>
    <n v="150"/>
    <n v="0"/>
    <n v="0"/>
    <n v="520.20000000000005"/>
    <n v="0"/>
    <n v="150"/>
    <n v="0"/>
    <n v="1226.3000000000002"/>
    <n v="150"/>
  </r>
  <r>
    <x v="0"/>
    <x v="1"/>
    <x v="0"/>
    <s v="5635200"/>
    <n v="749510"/>
    <s v="Licenses"/>
    <s v="Federal Way Med&amp;Spec-Shared Sv"/>
    <x v="0"/>
    <n v="1002"/>
    <n v="0"/>
    <n v="0"/>
    <n v="265"/>
    <n v="0"/>
    <n v="0"/>
    <n v="357"/>
    <n v="0"/>
    <n v="0"/>
    <n v="0"/>
    <n v="0"/>
    <n v="0"/>
    <n v="0"/>
    <n v="622"/>
    <n v="0"/>
  </r>
  <r>
    <x v="0"/>
    <x v="1"/>
    <x v="0"/>
    <s v="5635200"/>
    <n v="749510"/>
    <s v="RICE Rewards"/>
    <s v="Federal Way Med&amp;Spec-Shared Sv"/>
    <x v="0"/>
    <n v="5100"/>
    <n v="0"/>
    <n v="0"/>
    <n v="0"/>
    <n v="0"/>
    <n v="0"/>
    <n v="0"/>
    <n v="0"/>
    <n v="431.07"/>
    <n v="0"/>
    <n v="0"/>
    <n v="0"/>
    <n v="0"/>
    <n v="431.07"/>
    <n v="0"/>
  </r>
  <r>
    <x v="0"/>
    <x v="1"/>
    <x v="0"/>
    <s v="5635200"/>
    <n v="749530"/>
    <s v="Mileage"/>
    <s v="Federal Way Med&amp;Spec-Shared Sv"/>
    <x v="0"/>
    <n v="1001"/>
    <n v="0"/>
    <n v="0"/>
    <n v="0"/>
    <n v="0"/>
    <n v="0"/>
    <n v="0"/>
    <n v="0"/>
    <n v="0"/>
    <n v="0"/>
    <n v="0"/>
    <n v="62.64"/>
    <n v="93.96"/>
    <n v="156.6"/>
    <n v="-31.319999999999993"/>
  </r>
  <r>
    <x v="0"/>
    <x v="1"/>
    <x v="0"/>
    <s v="5635200"/>
    <n v="749550"/>
    <s v="Cash Over/Short"/>
    <s v="Federal Way Med&amp;Spec-Shared Sv"/>
    <x v="0"/>
    <m/>
    <n v="-9.64"/>
    <n v="0"/>
    <n v="0"/>
    <n v="9.1999999999999993"/>
    <n v="0"/>
    <n v="19"/>
    <n v="0"/>
    <n v="0"/>
    <n v="6.44"/>
    <n v="-6.6"/>
    <n v="20"/>
    <n v="30"/>
    <n v="68.400000000000006"/>
    <n v="-10"/>
  </r>
  <r>
    <x v="0"/>
    <x v="1"/>
    <x v="0"/>
    <s v="5635200"/>
    <n v="766010"/>
    <s v="Property Tax"/>
    <s v="Federal Way Med&amp;Spec-Shared Sv"/>
    <x v="0"/>
    <m/>
    <n v="58.35"/>
    <n v="58.35"/>
    <n v="58.35"/>
    <n v="58.35"/>
    <n v="58.35"/>
    <n v="58.35"/>
    <n v="58.35"/>
    <n v="58.35"/>
    <n v="58.35"/>
    <n v="-31.99"/>
    <n v="35.770000000000003"/>
    <n v="35.770000000000003"/>
    <n v="564.70000000000005"/>
    <n v="0"/>
  </r>
  <r>
    <x v="5"/>
    <x v="1"/>
    <x v="0"/>
    <s v="5636200"/>
    <n v="700014"/>
    <s v="Salaries-Management-Productive"/>
    <s v="St Anthony PC-Shared Svc"/>
    <x v="0"/>
    <m/>
    <n v="2557.17"/>
    <n v="2135.52"/>
    <n v="3060.45"/>
    <n v="1659.78"/>
    <n v="3616.08"/>
    <n v="1905.39"/>
    <n v="3245.46"/>
    <n v="2785.68"/>
    <n v="2646.4"/>
    <n v="3064.24"/>
    <n v="2832.1"/>
    <n v="1949.96"/>
    <n v="31458.229999999996"/>
    <n v="882.13999999999987"/>
  </r>
  <r>
    <x v="5"/>
    <x v="1"/>
    <x v="0"/>
    <s v="5636200"/>
    <n v="700018"/>
    <s v="Salaries-Supervisory-Productive"/>
    <s v="St Anthony PC-Shared Svc"/>
    <x v="0"/>
    <m/>
    <n v="1964.97"/>
    <n v="1813.83"/>
    <n v="2015.36"/>
    <n v="2367.77"/>
    <n v="2278.15"/>
    <n v="1915.71"/>
    <n v="1140.8900000000001"/>
    <n v="2022.22"/>
    <n v="2177.8000000000002"/>
    <n v="1840.73"/>
    <n v="1788.91"/>
    <n v="2333.34"/>
    <n v="23659.68"/>
    <n v="-544.43000000000006"/>
  </r>
  <r>
    <x v="5"/>
    <x v="1"/>
    <x v="0"/>
    <s v="5636200"/>
    <n v="700026"/>
    <s v="Salaries-RN-Productive"/>
    <s v="St Anthony PC-Shared Svc"/>
    <x v="0"/>
    <m/>
    <n v="0"/>
    <n v="0"/>
    <n v="0"/>
    <n v="0"/>
    <n v="0"/>
    <n v="0"/>
    <n v="0"/>
    <n v="0"/>
    <n v="0"/>
    <n v="0"/>
    <n v="0"/>
    <n v="349.79"/>
    <n v="349.79"/>
    <n v="-349.79"/>
  </r>
  <r>
    <x v="5"/>
    <x v="1"/>
    <x v="0"/>
    <s v="5636200"/>
    <n v="700026"/>
    <s v="Salaries-RN-Other"/>
    <s v="St Anthony PC-Shared Svc"/>
    <x v="0"/>
    <n v="2000"/>
    <n v="0"/>
    <n v="0"/>
    <n v="0"/>
    <n v="0"/>
    <n v="0"/>
    <n v="0"/>
    <n v="0"/>
    <n v="0"/>
    <n v="0"/>
    <n v="0"/>
    <n v="0"/>
    <n v="9.2799999999999994"/>
    <n v="9.2799999999999994"/>
    <n v="-9.2799999999999994"/>
  </r>
  <r>
    <x v="5"/>
    <x v="1"/>
    <x v="0"/>
    <s v="5636200"/>
    <n v="700030"/>
    <s v="Salaries-LPN-Productive"/>
    <s v="St Anthony PC-Shared Svc"/>
    <x v="0"/>
    <m/>
    <n v="0"/>
    <n v="0"/>
    <n v="0"/>
    <n v="0"/>
    <n v="21.98"/>
    <n v="0"/>
    <n v="181.61"/>
    <n v="455.97"/>
    <n v="-31.4"/>
    <n v="239.71"/>
    <n v="407.12"/>
    <n v="-203.56"/>
    <n v="1071.4300000000003"/>
    <n v="610.68000000000006"/>
  </r>
  <r>
    <x v="5"/>
    <x v="1"/>
    <x v="0"/>
    <s v="5636200"/>
    <n v="700030"/>
    <s v="Salaries-LPN-OT"/>
    <s v="St Anthony PC-Shared Svc"/>
    <x v="0"/>
    <n v="1000"/>
    <n v="0"/>
    <n v="0"/>
    <n v="0"/>
    <n v="370.56"/>
    <n v="595"/>
    <n v="-297.5"/>
    <n v="0"/>
    <n v="0"/>
    <n v="0"/>
    <n v="0"/>
    <n v="0"/>
    <n v="0"/>
    <n v="668.06"/>
    <n v="0"/>
  </r>
  <r>
    <x v="5"/>
    <x v="1"/>
    <x v="0"/>
    <s v="5636200"/>
    <n v="700030"/>
    <s v="Salaries-LPN-Other"/>
    <s v="St Anthony PC-Shared Svc"/>
    <x v="0"/>
    <n v="2000"/>
    <n v="0"/>
    <n v="0"/>
    <n v="0"/>
    <n v="8.5"/>
    <n v="18"/>
    <n v="-9"/>
    <n v="90.8"/>
    <n v="28.04"/>
    <n v="-3.75"/>
    <n v="11.02"/>
    <n v="35.04"/>
    <n v="-17.52"/>
    <n v="161.13"/>
    <n v="52.56"/>
  </r>
  <r>
    <x v="5"/>
    <x v="1"/>
    <x v="0"/>
    <s v="5636200"/>
    <n v="700032"/>
    <s v="Salaries-Other Pat Care Providers-Productive"/>
    <s v="St Anthony PC-Shared Svc"/>
    <x v="0"/>
    <m/>
    <n v="0"/>
    <n v="0"/>
    <n v="256.33"/>
    <n v="-85.44"/>
    <n v="413.02"/>
    <n v="553.51"/>
    <n v="309.41000000000003"/>
    <n v="340.23"/>
    <n v="133.43"/>
    <n v="-76.87"/>
    <n v="0"/>
    <n v="158.71"/>
    <n v="2002.3300000000004"/>
    <n v="-158.71"/>
  </r>
  <r>
    <x v="5"/>
    <x v="1"/>
    <x v="0"/>
    <s v="5636200"/>
    <n v="700032"/>
    <s v="Salaries-Other Pat Care Providers-Other"/>
    <s v="St Anthony PC-Shared Svc"/>
    <x v="0"/>
    <n v="2000"/>
    <n v="0"/>
    <n v="0"/>
    <n v="26.24"/>
    <n v="-8.74"/>
    <n v="19.5"/>
    <n v="26.1"/>
    <n v="13.17"/>
    <n v="17.170000000000002"/>
    <n v="6.73"/>
    <n v="-3.87"/>
    <n v="0"/>
    <n v="16.02"/>
    <n v="112.32"/>
    <n v="-16.02"/>
  </r>
  <r>
    <x v="5"/>
    <x v="1"/>
    <x v="0"/>
    <s v="5636200"/>
    <n v="700038"/>
    <s v="Salaries-Service/Support-Productive"/>
    <s v="St Anthony PC-Shared Svc"/>
    <x v="0"/>
    <m/>
    <n v="13952.64"/>
    <n v="13075.5"/>
    <n v="12994.66"/>
    <n v="16857.5"/>
    <n v="15094.11"/>
    <n v="11785.53"/>
    <n v="15144.92"/>
    <n v="10672.59"/>
    <n v="14972.5"/>
    <n v="15318.91"/>
    <n v="14871.55"/>
    <n v="11886.13"/>
    <n v="166626.53999999998"/>
    <n v="2985.42"/>
  </r>
  <r>
    <x v="5"/>
    <x v="1"/>
    <x v="0"/>
    <s v="5636200"/>
    <n v="700038"/>
    <s v="Salaries-Service/Support-OT"/>
    <s v="St Anthony PC-Shared Svc"/>
    <x v="0"/>
    <n v="1000"/>
    <n v="0"/>
    <n v="32.29"/>
    <n v="-3.32"/>
    <n v="381.95"/>
    <n v="87.12"/>
    <n v="177.22"/>
    <n v="156.75"/>
    <n v="-44.78"/>
    <n v="0"/>
    <n v="103.41"/>
    <n v="105.24"/>
    <n v="180.17"/>
    <n v="1176.05"/>
    <n v="-74.929999999999993"/>
  </r>
  <r>
    <x v="5"/>
    <x v="1"/>
    <x v="0"/>
    <s v="5636200"/>
    <n v="700038"/>
    <s v="Salaries-Service/Support-Other"/>
    <s v="St Anthony PC-Shared Svc"/>
    <x v="0"/>
    <n v="2000"/>
    <n v="248.15"/>
    <n v="85.75"/>
    <n v="233.58"/>
    <n v="110.9"/>
    <n v="91.1"/>
    <n v="85.02"/>
    <n v="296.68"/>
    <n v="86.39"/>
    <n v="111.29"/>
    <n v="110.23"/>
    <n v="106.13"/>
    <n v="225.91"/>
    <n v="1791.1300000000003"/>
    <n v="-119.78"/>
  </r>
  <r>
    <x v="5"/>
    <x v="1"/>
    <x v="0"/>
    <s v="5636200"/>
    <n v="700054"/>
    <s v="Salaries-Management-NonProd-Other"/>
    <s v="St Anthony PC-Shared Svc"/>
    <x v="0"/>
    <n v="2000"/>
    <n v="0"/>
    <n v="0"/>
    <n v="0"/>
    <n v="0"/>
    <n v="0"/>
    <n v="1584.12"/>
    <n v="-1584.12"/>
    <n v="0"/>
    <n v="0"/>
    <n v="0"/>
    <n v="0"/>
    <n v="0"/>
    <n v="0"/>
    <n v="0"/>
  </r>
  <r>
    <x v="5"/>
    <x v="1"/>
    <x v="0"/>
    <s v="5636200"/>
    <n v="700078"/>
    <s v="Salaries-Service/Support-Non-productive"/>
    <s v="St Anthony PC-Shared Svc"/>
    <x v="0"/>
    <m/>
    <n v="1520.79"/>
    <n v="1145.8900000000001"/>
    <n v="1185.4000000000001"/>
    <n v="1939.94"/>
    <n v="877.95"/>
    <n v="3341.64"/>
    <n v="2107.2600000000002"/>
    <n v="1237.1300000000001"/>
    <n v="1445.83"/>
    <n v="843.6"/>
    <n v="1086.7"/>
    <n v="844.81"/>
    <n v="17576.940000000002"/>
    <n v="241.8900000000001"/>
  </r>
  <r>
    <x v="5"/>
    <x v="1"/>
    <x v="0"/>
    <s v="5636200"/>
    <n v="700078"/>
    <s v="Salaries-Service/Support-NonProd-Other"/>
    <s v="St Anthony P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6200"/>
    <n v="700084"/>
    <s v="Accrued PTO"/>
    <s v="St Anthony PC-Shared Svc"/>
    <x v="0"/>
    <m/>
    <n v="-241.9"/>
    <n v="289.81"/>
    <n v="229.09"/>
    <n v="777.77"/>
    <n v="583.09"/>
    <n v="-875.81"/>
    <n v="-385.73"/>
    <n v="327.54000000000002"/>
    <n v="79.87"/>
    <n v="348.53"/>
    <n v="533.6"/>
    <n v="578.61"/>
    <n v="2244.4700000000003"/>
    <n v="-45.009999999999991"/>
  </r>
  <r>
    <x v="6"/>
    <x v="1"/>
    <x v="0"/>
    <s v="5636200"/>
    <n v="713010"/>
    <s v="Benefits-FICA/Medicare"/>
    <s v="St Anthony PC-Shared Svc"/>
    <x v="0"/>
    <m/>
    <n v="1510.14"/>
    <n v="1361.47"/>
    <n v="1475.93"/>
    <n v="1759.54"/>
    <n v="1703.12"/>
    <n v="1551.14"/>
    <n v="1785.31"/>
    <n v="1298.53"/>
    <n v="1583.6"/>
    <n v="1586.28"/>
    <n v="1582.75"/>
    <n v="1329.23"/>
    <n v="18527.04"/>
    <n v="253.51999999999998"/>
  </r>
  <r>
    <x v="6"/>
    <x v="1"/>
    <x v="0"/>
    <s v="5636200"/>
    <n v="713090"/>
    <s v="Benefits-Allocated Amounts"/>
    <s v="St Anthony PC-Shared Svc"/>
    <x v="0"/>
    <m/>
    <n v="5514.01"/>
    <n v="4406.03"/>
    <n v="5419.86"/>
    <n v="6214.57"/>
    <n v="5949.81"/>
    <n v="5805.94"/>
    <n v="6544.36"/>
    <n v="5638.66"/>
    <n v="6071.45"/>
    <n v="6162.06"/>
    <n v="6083.07"/>
    <n v="5380.03"/>
    <n v="69189.850000000006"/>
    <n v="703.04"/>
  </r>
  <r>
    <x v="6"/>
    <x v="1"/>
    <x v="0"/>
    <s v="5636200"/>
    <n v="713096"/>
    <s v="Employee Recognition"/>
    <s v="St Anthony PC-Shared Svc"/>
    <x v="0"/>
    <n v="1017"/>
    <n v="0"/>
    <n v="0"/>
    <n v="0"/>
    <n v="0"/>
    <n v="30"/>
    <n v="0"/>
    <n v="0"/>
    <n v="0"/>
    <n v="0"/>
    <n v="119.07"/>
    <n v="0"/>
    <n v="0"/>
    <n v="149.07"/>
    <n v="0"/>
  </r>
  <r>
    <x v="7"/>
    <x v="1"/>
    <x v="0"/>
    <s v="5636200"/>
    <n v="718050"/>
    <s v="Contract Svcs-Other"/>
    <s v="St Anthony PC-Shared Svc"/>
    <x v="0"/>
    <m/>
    <n v="0"/>
    <n v="2744.5"/>
    <n v="3218"/>
    <n v="102.9"/>
    <n v="25.92"/>
    <n v="0"/>
    <n v="2673.92"/>
    <n v="510"/>
    <n v="2141.66"/>
    <n v="487.6"/>
    <n v="2538"/>
    <n v="3916.01"/>
    <n v="18358.510000000002"/>
    <n v="-1378.0100000000002"/>
  </r>
  <r>
    <x v="7"/>
    <x v="1"/>
    <x v="0"/>
    <s v="5636200"/>
    <n v="718050"/>
    <s v="Document Shredding/Storage"/>
    <s v="St Anthony PC-Shared Svc"/>
    <x v="0"/>
    <n v="1012"/>
    <n v="96.56"/>
    <n v="174.6"/>
    <n v="40.32"/>
    <n v="55.82"/>
    <n v="62.72"/>
    <n v="76.87"/>
    <n v="76.099999999999994"/>
    <n v="162.80000000000001"/>
    <n v="98.96"/>
    <n v="191.13"/>
    <n v="127.5"/>
    <n v="5508.99"/>
    <n v="6672.37"/>
    <n v="-5381.49"/>
  </r>
  <r>
    <x v="7"/>
    <x v="1"/>
    <x v="0"/>
    <s v="5636200"/>
    <n v="718050"/>
    <s v="Physician Answering"/>
    <s v="St Anthony PC-Shared Svc"/>
    <x v="0"/>
    <n v="1015"/>
    <n v="0"/>
    <n v="0"/>
    <n v="32"/>
    <n v="0"/>
    <n v="0"/>
    <n v="0"/>
    <n v="0"/>
    <n v="0"/>
    <n v="64"/>
    <n v="16"/>
    <n v="0"/>
    <n v="17.5"/>
    <n v="129.5"/>
    <n v="-17.5"/>
  </r>
  <r>
    <x v="7"/>
    <x v="1"/>
    <x v="0"/>
    <s v="5636200"/>
    <n v="718050"/>
    <s v="Miscellaneous Purchased Svcs"/>
    <s v="St Anthony PC-Shared Svc"/>
    <x v="0"/>
    <n v="1020"/>
    <n v="0"/>
    <n v="196.07"/>
    <n v="196.07"/>
    <n v="136.5"/>
    <n v="76.930000000000007"/>
    <n v="76.930000000000007"/>
    <n v="119.14"/>
    <n v="214.13"/>
    <n v="136.85"/>
    <n v="136.85"/>
    <n v="136.5"/>
    <n v="212.7"/>
    <n v="1638.6699999999998"/>
    <n v="-76.199999999999989"/>
  </r>
  <r>
    <x v="7"/>
    <x v="1"/>
    <x v="0"/>
    <s v="5636200"/>
    <n v="718050"/>
    <s v="Translation Services"/>
    <s v="St Anthony PC-Shared Svc"/>
    <x v="0"/>
    <n v="1025"/>
    <n v="0"/>
    <n v="0"/>
    <n v="0"/>
    <n v="0"/>
    <n v="0"/>
    <n v="23.7"/>
    <n v="23.7"/>
    <n v="0"/>
    <n v="0"/>
    <n v="0"/>
    <n v="0"/>
    <n v="549.5"/>
    <n v="596.9"/>
    <n v="-549.5"/>
  </r>
  <r>
    <x v="7"/>
    <x v="1"/>
    <x v="0"/>
    <s v="5636200"/>
    <n v="718050"/>
    <s v="Contract Management--Linen"/>
    <s v="St Anthony PC-Shared Svc"/>
    <x v="0"/>
    <n v="1026"/>
    <n v="395.38"/>
    <n v="1186.6099999999999"/>
    <n v="552.78"/>
    <n v="550.66999999999996"/>
    <n v="737.26"/>
    <n v="741.07"/>
    <n v="1195.05"/>
    <n v="563.19000000000005"/>
    <n v="756.08"/>
    <n v="960.39"/>
    <n v="187.49"/>
    <n v="1125.6600000000001"/>
    <n v="8951.630000000001"/>
    <n v="-938.17000000000007"/>
  </r>
  <r>
    <x v="7"/>
    <x v="1"/>
    <x v="0"/>
    <s v="5636200"/>
    <n v="718050"/>
    <s v="Purchased Srvcs--Medical Waste"/>
    <s v="St Anthony PC-Shared Svc"/>
    <x v="0"/>
    <n v="1027"/>
    <n v="10.36"/>
    <n v="346.78"/>
    <n v="85.26"/>
    <n v="74.900000000000006"/>
    <n v="86.02"/>
    <n v="10.36"/>
    <n v="170.52"/>
    <n v="224.3"/>
    <n v="75.2"/>
    <n v="20.72"/>
    <n v="150"/>
    <n v="85.56"/>
    <n v="1339.98"/>
    <n v="64.44"/>
  </r>
  <r>
    <x v="7"/>
    <x v="1"/>
    <x v="0"/>
    <s v="5636200"/>
    <n v="718070"/>
    <s v="Contract Srvcs-CHI Clinical Engineering"/>
    <s v="St Anthony PC-Shared Svc"/>
    <x v="0"/>
    <m/>
    <n v="173.13"/>
    <n v="36.67"/>
    <n v="36.67"/>
    <n v="36.67"/>
    <n v="616.66999999999996"/>
    <n v="2811.36"/>
    <n v="1495.25"/>
    <n v="1825.75"/>
    <n v="359.25"/>
    <n v="28.75"/>
    <n v="374.25"/>
    <n v="1005.25"/>
    <n v="8799.67"/>
    <n v="-631"/>
  </r>
  <r>
    <x v="7"/>
    <x v="1"/>
    <x v="0"/>
    <s v="5636200"/>
    <n v="718077"/>
    <s v="PACS"/>
    <s v="St Anthony PC-Shared Svc"/>
    <x v="0"/>
    <n v="1000"/>
    <n v="2018.25"/>
    <n v="1845"/>
    <n v="1813.5"/>
    <n v="2175.75"/>
    <n v="2045.25"/>
    <n v="1656"/>
    <n v="1966.5"/>
    <n v="1577.25"/>
    <n v="2137.5"/>
    <n v="1957.5"/>
    <n v="1737"/>
    <n v="1644.75"/>
    <n v="22574.25"/>
    <n v="92.25"/>
  </r>
  <r>
    <x v="11"/>
    <x v="1"/>
    <x v="0"/>
    <s v="5636200"/>
    <n v="721010"/>
    <s v="Supplies-Medical - Billable"/>
    <s v="St Anthony PC-Shared Svc"/>
    <x v="0"/>
    <m/>
    <n v="4182.3100000000004"/>
    <n v="7223.03"/>
    <n v="2441.89"/>
    <n v="4054.77"/>
    <n v="3805.83"/>
    <n v="2649.52"/>
    <n v="2583.46"/>
    <n v="6776.88"/>
    <n v="2683.55"/>
    <n v="4477.87"/>
    <n v="1068.68"/>
    <n v="4482.57"/>
    <n v="46430.360000000008"/>
    <n v="-3413.8899999999994"/>
  </r>
  <r>
    <x v="11"/>
    <x v="1"/>
    <x v="0"/>
    <s v="5636200"/>
    <n v="721240"/>
    <s v="Supplies-IV Solutions/Supplies - Billable"/>
    <s v="St Anthony PC-Shared Svc"/>
    <x v="0"/>
    <m/>
    <n v="0"/>
    <n v="0"/>
    <n v="0"/>
    <n v="97.5"/>
    <n v="0"/>
    <n v="0"/>
    <n v="0"/>
    <n v="0"/>
    <n v="0"/>
    <n v="0"/>
    <n v="97.5"/>
    <n v="0"/>
    <n v="195"/>
    <n v="97.5"/>
  </r>
  <r>
    <x v="11"/>
    <x v="1"/>
    <x v="0"/>
    <s v="5636200"/>
    <n v="721250"/>
    <s v="Supplies-Pharmacy Drugs - Billable"/>
    <s v="St Anthony PC-Shared Svc"/>
    <x v="0"/>
    <m/>
    <n v="941.46"/>
    <n v="2143.73"/>
    <n v="632.98"/>
    <n v="3488.55"/>
    <n v="3383.62"/>
    <n v="4756.88"/>
    <n v="1269.78"/>
    <n v="2373.31"/>
    <n v="489.88"/>
    <n v="1138.53"/>
    <n v="-24130.62"/>
    <n v="1131.46"/>
    <n v="-2380.4399999999978"/>
    <n v="-25262.079999999998"/>
  </r>
  <r>
    <x v="11"/>
    <x v="1"/>
    <x v="0"/>
    <s v="5636200"/>
    <n v="721410"/>
    <s v="Supplies-Medical - Nonbillable"/>
    <s v="St Anthony PC-Shared Svc"/>
    <x v="0"/>
    <m/>
    <n v="564.08000000000004"/>
    <n v="392.04"/>
    <n v="891.14"/>
    <n v="-18.760000000000002"/>
    <n v="0"/>
    <n v="305.39"/>
    <n v="579.46"/>
    <n v="831.11"/>
    <n v="161.16"/>
    <n v="1992.83"/>
    <n v="290.75"/>
    <n v="182.05"/>
    <n v="6171.2500000000009"/>
    <n v="108.69999999999999"/>
  </r>
  <r>
    <x v="11"/>
    <x v="1"/>
    <x v="0"/>
    <s v="5636200"/>
    <n v="721810"/>
    <s v="Supplies-Dietary/Cafeteria"/>
    <s v="St Anthony PC-Shared Svc"/>
    <x v="0"/>
    <m/>
    <n v="0"/>
    <n v="0"/>
    <n v="0"/>
    <n v="130"/>
    <n v="0"/>
    <n v="0"/>
    <n v="0"/>
    <n v="65"/>
    <n v="260"/>
    <n v="0"/>
    <n v="0"/>
    <n v="0"/>
    <n v="455"/>
    <n v="0"/>
  </r>
  <r>
    <x v="11"/>
    <x v="1"/>
    <x v="0"/>
    <s v="5636200"/>
    <n v="721830"/>
    <s v="Supplies-Office"/>
    <s v="St Anthony PC-Shared Svc"/>
    <x v="0"/>
    <m/>
    <n v="205.12"/>
    <n v="1328.6"/>
    <n v="191.54"/>
    <n v="183.97"/>
    <n v="284.62"/>
    <n v="202.43"/>
    <n v="520.28"/>
    <n v="387.28"/>
    <n v="487.8"/>
    <n v="147.79"/>
    <n v="288.05"/>
    <n v="265.20999999999998"/>
    <n v="4492.6899999999996"/>
    <n v="22.840000000000032"/>
  </r>
  <r>
    <x v="11"/>
    <x v="1"/>
    <x v="0"/>
    <s v="5636200"/>
    <n v="721835"/>
    <s v="Supplies-Forms"/>
    <s v="St Anthony PC-Shared Svc"/>
    <x v="0"/>
    <m/>
    <n v="0"/>
    <n v="0"/>
    <n v="0"/>
    <n v="0"/>
    <n v="0"/>
    <n v="0"/>
    <n v="0"/>
    <n v="0"/>
    <n v="4"/>
    <n v="0"/>
    <n v="0"/>
    <n v="0"/>
    <n v="4"/>
    <n v="0"/>
  </r>
  <r>
    <x v="11"/>
    <x v="1"/>
    <x v="0"/>
    <s v="5636200"/>
    <n v="721870"/>
    <s v="Supplies-Environmental Services"/>
    <s v="St Anthony PC-Shared Svc"/>
    <x v="0"/>
    <m/>
    <n v="0"/>
    <n v="0"/>
    <n v="0"/>
    <n v="0"/>
    <n v="0"/>
    <n v="0"/>
    <n v="21"/>
    <n v="43.67"/>
    <n v="0"/>
    <n v="0"/>
    <n v="12.93"/>
    <n v="42.03"/>
    <n v="119.63"/>
    <n v="-29.1"/>
  </r>
  <r>
    <x v="11"/>
    <x v="1"/>
    <x v="0"/>
    <s v="5636200"/>
    <n v="721910"/>
    <s v="Supplies-Small Equipment"/>
    <s v="St Anthony PC-Shared Svc"/>
    <x v="0"/>
    <m/>
    <n v="0"/>
    <n v="0"/>
    <n v="2114.84"/>
    <n v="503.87"/>
    <n v="0"/>
    <n v="741.63"/>
    <n v="0"/>
    <n v="0"/>
    <n v="0"/>
    <n v="136"/>
    <n v="0"/>
    <n v="0"/>
    <n v="3496.34"/>
    <n v="0"/>
  </r>
  <r>
    <x v="11"/>
    <x v="1"/>
    <x v="0"/>
    <s v="5636200"/>
    <n v="722000"/>
    <s v="Supplies-Freight Expense"/>
    <s v="St Anthony PC-Shared Svc"/>
    <x v="0"/>
    <m/>
    <n v="0"/>
    <n v="25.15"/>
    <n v="7.93"/>
    <n v="131.81"/>
    <n v="0"/>
    <n v="0"/>
    <n v="42.21"/>
    <n v="0"/>
    <n v="0"/>
    <n v="0"/>
    <n v="8.27"/>
    <n v="122.34"/>
    <n v="337.71000000000004"/>
    <n v="-114.07000000000001"/>
  </r>
  <r>
    <x v="12"/>
    <x v="1"/>
    <x v="0"/>
    <s v="5636200"/>
    <n v="730010"/>
    <s v="Rental and Leases-Building (DO NOT USE)"/>
    <s v="St Anthony PC-Shared Svc"/>
    <x v="0"/>
    <m/>
    <n v="10310.75"/>
    <n v="10310.75"/>
    <n v="10310.75"/>
    <n v="10310.75"/>
    <n v="10310.75"/>
    <n v="-9700.4500000000007"/>
    <n v="6975.55"/>
    <n v="6975.55"/>
    <n v="6975.55"/>
    <n v="0"/>
    <n v="13951.1"/>
    <n v="0"/>
    <n v="76731.050000000017"/>
    <n v="13951.1"/>
  </r>
  <r>
    <x v="12"/>
    <x v="1"/>
    <x v="0"/>
    <s v="5636200"/>
    <n v="730010"/>
    <s v="Rental-Common Area Maint (DO NOT USE)"/>
    <s v="St Anthony PC-Shared Svc"/>
    <x v="0"/>
    <n v="2200"/>
    <n v="0"/>
    <n v="0"/>
    <n v="0"/>
    <n v="0"/>
    <n v="0"/>
    <n v="20011.2"/>
    <n v="3335.2"/>
    <n v="3335.2"/>
    <n v="3624.13"/>
    <n v="0"/>
    <n v="2886.84"/>
    <n v="0"/>
    <n v="33192.570000000007"/>
    <n v="2886.84"/>
  </r>
  <r>
    <x v="12"/>
    <x v="1"/>
    <x v="0"/>
    <s v="5636200"/>
    <n v="730020"/>
    <s v="Rental and Leases-Copier Usage Fees (DO NOT USE)"/>
    <s v="St Anthony PC-Shared Svc"/>
    <x v="0"/>
    <n v="5100"/>
    <n v="350.21"/>
    <n v="355.7"/>
    <n v="352.95"/>
    <n v="352.95"/>
    <n v="352.95"/>
    <n v="352.95"/>
    <n v="452.04"/>
    <n v="229.9"/>
    <n v="330.57"/>
    <n v="1117.5999999999999"/>
    <n v="415.44"/>
    <n v="358.9"/>
    <n v="5022.1599999999989"/>
    <n v="56.54000000000002"/>
  </r>
  <r>
    <x v="12"/>
    <x v="1"/>
    <x v="0"/>
    <s v="5636200"/>
    <n v="730040"/>
    <s v="LT Lease-Real Estate"/>
    <s v="St Anthony PC-Shared Svc"/>
    <x v="0"/>
    <m/>
    <n v="0"/>
    <n v="0"/>
    <n v="0"/>
    <n v="0"/>
    <n v="0"/>
    <n v="0"/>
    <n v="0"/>
    <n v="0"/>
    <n v="0"/>
    <n v="0"/>
    <n v="0"/>
    <n v="10036.27"/>
    <n v="10036.27"/>
    <n v="-10036.27"/>
  </r>
  <r>
    <x v="15"/>
    <x v="1"/>
    <x v="0"/>
    <s v="5636200"/>
    <n v="731070"/>
    <s v="Cable TV"/>
    <s v="St Anthony PC-Shared Svc"/>
    <x v="0"/>
    <m/>
    <n v="45.46"/>
    <n v="45.46"/>
    <n v="45.46"/>
    <n v="45.45"/>
    <n v="114.71"/>
    <n v="116.51"/>
    <n v="116.5"/>
    <n v="116.5"/>
    <n v="116.5"/>
    <n v="116.5"/>
    <n v="116.44"/>
    <n v="116.44"/>
    <n v="1111.93"/>
    <n v="0"/>
  </r>
  <r>
    <x v="16"/>
    <x v="1"/>
    <x v="0"/>
    <s v="5636200"/>
    <n v="732030"/>
    <s v="Repairs&amp;Maintenance-Bldg Routine"/>
    <s v="St Anthony PC-Shared Svc"/>
    <x v="0"/>
    <n v="2300"/>
    <n v="0"/>
    <n v="0"/>
    <n v="0"/>
    <n v="0"/>
    <n v="0"/>
    <n v="0"/>
    <n v="0"/>
    <n v="0"/>
    <n v="0"/>
    <n v="0"/>
    <n v="0"/>
    <n v="475"/>
    <n v="475"/>
    <n v="-475"/>
  </r>
  <r>
    <x v="13"/>
    <x v="1"/>
    <x v="0"/>
    <s v="5636200"/>
    <n v="735050"/>
    <s v="Amortization-Leasehold Improvements"/>
    <s v="St Anthony PC-Shared Svc"/>
    <x v="0"/>
    <m/>
    <n v="-333.33"/>
    <n v="-333.33"/>
    <n v="-333.33"/>
    <n v="-333.33"/>
    <n v="-333.34"/>
    <n v="-333.33"/>
    <n v="-333.34"/>
    <n v="-333.33"/>
    <n v="-333.34"/>
    <n v="-333.33"/>
    <n v="-333.34"/>
    <n v="-333.33"/>
    <n v="-4000"/>
    <n v="-9.9999999999909051E-3"/>
  </r>
  <r>
    <x v="13"/>
    <x v="1"/>
    <x v="0"/>
    <s v="5636200"/>
    <n v="735070"/>
    <s v="Depreciation-Movable Equipment"/>
    <s v="St Anthony PC-Shared Svc"/>
    <x v="0"/>
    <m/>
    <n v="1770.06"/>
    <n v="1770.06"/>
    <n v="1770.06"/>
    <n v="1770.06"/>
    <n v="1770.06"/>
    <n v="1770.06"/>
    <n v="1770.05"/>
    <n v="1770.06"/>
    <n v="3627.52"/>
    <n v="5364.2"/>
    <n v="5364.2"/>
    <n v="5264.84"/>
    <n v="33781.229999999996"/>
    <n v="99.359999999999673"/>
  </r>
  <r>
    <x v="0"/>
    <x v="1"/>
    <x v="0"/>
    <s v="5636200"/>
    <n v="740020"/>
    <s v="Education-Registration Fees"/>
    <s v="St Anthony PC-Shared Svc"/>
    <x v="0"/>
    <m/>
    <n v="0"/>
    <n v="0"/>
    <n v="45"/>
    <n v="0"/>
    <n v="213.54"/>
    <n v="0"/>
    <n v="0"/>
    <n v="0"/>
    <n v="90"/>
    <n v="0"/>
    <n v="0"/>
    <n v="0"/>
    <n v="348.53999999999996"/>
    <n v="0"/>
  </r>
  <r>
    <x v="0"/>
    <x v="1"/>
    <x v="0"/>
    <s v="5636200"/>
    <n v="743030"/>
    <s v="Subscriptions--Institutional"/>
    <s v="St Anthony PC-Shared Svc"/>
    <x v="0"/>
    <m/>
    <n v="0"/>
    <n v="0"/>
    <n v="0"/>
    <n v="0"/>
    <n v="0"/>
    <n v="0"/>
    <n v="0"/>
    <n v="0"/>
    <n v="0"/>
    <n v="0"/>
    <n v="26.6"/>
    <n v="0"/>
    <n v="26.6"/>
    <n v="26.6"/>
  </r>
  <r>
    <x v="0"/>
    <x v="1"/>
    <x v="0"/>
    <s v="5636200"/>
    <n v="749510"/>
    <s v="Miscellaneous Expenses"/>
    <s v="St Anthony PC-Shared Svc"/>
    <x v="0"/>
    <m/>
    <n v="55.05"/>
    <n v="666.56"/>
    <n v="0"/>
    <n v="0"/>
    <n v="50"/>
    <n v="344.88"/>
    <n v="0"/>
    <n v="-1"/>
    <n v="100"/>
    <n v="-148.25"/>
    <n v="150"/>
    <n v="0"/>
    <n v="1217.2399999999998"/>
    <n v="150"/>
  </r>
  <r>
    <x v="0"/>
    <x v="1"/>
    <x v="0"/>
    <s v="5636200"/>
    <n v="749510"/>
    <s v="Licenses"/>
    <s v="St Anthony PC-Shared Svc"/>
    <x v="0"/>
    <n v="1002"/>
    <n v="0"/>
    <n v="0"/>
    <n v="276"/>
    <n v="0"/>
    <n v="0"/>
    <n v="512"/>
    <n v="38.75"/>
    <n v="0"/>
    <n v="0"/>
    <n v="0"/>
    <n v="150"/>
    <n v="0"/>
    <n v="976.75"/>
    <n v="150"/>
  </r>
  <r>
    <x v="0"/>
    <x v="1"/>
    <x v="0"/>
    <s v="5636200"/>
    <n v="749530"/>
    <s v="Travel"/>
    <s v="St Anthony PC-Shared Svc"/>
    <x v="0"/>
    <m/>
    <n v="0"/>
    <n v="0"/>
    <n v="0"/>
    <n v="571.9"/>
    <n v="0"/>
    <n v="0"/>
    <n v="0"/>
    <n v="0"/>
    <n v="0"/>
    <n v="152.52000000000001"/>
    <n v="0"/>
    <n v="0"/>
    <n v="724.42"/>
    <n v="0"/>
  </r>
  <r>
    <x v="0"/>
    <x v="1"/>
    <x v="0"/>
    <s v="5636200"/>
    <n v="749530"/>
    <s v="Mileage"/>
    <s v="St Anthony PC-Shared Svc"/>
    <x v="0"/>
    <n v="1001"/>
    <n v="0"/>
    <n v="0"/>
    <n v="0"/>
    <n v="46.33"/>
    <n v="0"/>
    <n v="0"/>
    <n v="0"/>
    <n v="0"/>
    <n v="0"/>
    <n v="0"/>
    <n v="0"/>
    <n v="0"/>
    <n v="46.33"/>
    <n v="0"/>
  </r>
  <r>
    <x v="0"/>
    <x v="1"/>
    <x v="0"/>
    <s v="5636200"/>
    <n v="766010"/>
    <s v="Property Tax"/>
    <s v="St Anthony PC-Shared Svc"/>
    <x v="0"/>
    <m/>
    <n v="115.44"/>
    <n v="115.44"/>
    <n v="115.44"/>
    <n v="115.44"/>
    <n v="115.44"/>
    <n v="115.44"/>
    <n v="115.44"/>
    <n v="115.44"/>
    <n v="115.44"/>
    <n v="24.46"/>
    <n v="92.7"/>
    <n v="92.7"/>
    <n v="1248.8200000000004"/>
    <n v="0"/>
  </r>
  <r>
    <x v="5"/>
    <x v="1"/>
    <x v="0"/>
    <s v="5637200"/>
    <n v="700014"/>
    <s v="Salaries-Management-Productive"/>
    <s v="Rheumatology-LW&amp;GH-Shared Svc"/>
    <x v="0"/>
    <m/>
    <n v="3501.45"/>
    <n v="4443.03"/>
    <n v="3825.12"/>
    <n v="5393.61"/>
    <n v="3363.75"/>
    <n v="2697.05"/>
    <n v="4825.59"/>
    <n v="4248.8"/>
    <n v="3399.03"/>
    <n v="3277.64"/>
    <n v="5371.7"/>
    <n v="1820.9"/>
    <n v="46167.67"/>
    <n v="3550.7999999999997"/>
  </r>
  <r>
    <x v="5"/>
    <x v="1"/>
    <x v="0"/>
    <s v="5637200"/>
    <n v="700018"/>
    <s v="Salaries-Supervisory-Productive"/>
    <s v="Rheumatology-LW&amp;GH-Shared Svc"/>
    <x v="0"/>
    <m/>
    <n v="0"/>
    <n v="0"/>
    <n v="0"/>
    <n v="0"/>
    <n v="0"/>
    <n v="0"/>
    <n v="0"/>
    <n v="0"/>
    <n v="0"/>
    <n v="535.65"/>
    <n v="438.27"/>
    <n v="730.43"/>
    <n v="1704.35"/>
    <n v="-292.15999999999997"/>
  </r>
  <r>
    <x v="5"/>
    <x v="1"/>
    <x v="0"/>
    <s v="5637200"/>
    <n v="700030"/>
    <s v="Salaries-LPN-Productive"/>
    <s v="Rheumatology-LW&amp;GH-Shared Svc"/>
    <x v="0"/>
    <m/>
    <n v="0"/>
    <n v="0"/>
    <n v="0"/>
    <n v="0"/>
    <n v="0"/>
    <n v="0"/>
    <n v="0"/>
    <n v="0"/>
    <n v="0"/>
    <n v="0"/>
    <n v="849.14"/>
    <n v="639.76"/>
    <n v="1488.9"/>
    <n v="209.38"/>
  </r>
  <r>
    <x v="5"/>
    <x v="1"/>
    <x v="0"/>
    <s v="5637200"/>
    <n v="700030"/>
    <s v="Salaries-LPN-Other"/>
    <s v="Rheumatology-LW&amp;GH-Shared Svc"/>
    <x v="0"/>
    <n v="2000"/>
    <n v="0"/>
    <n v="0"/>
    <n v="0"/>
    <n v="0"/>
    <n v="0"/>
    <n v="0"/>
    <n v="0"/>
    <n v="0"/>
    <n v="0"/>
    <n v="0"/>
    <n v="36.56"/>
    <n v="27.53"/>
    <n v="64.09"/>
    <n v="9.0300000000000011"/>
  </r>
  <r>
    <x v="5"/>
    <x v="1"/>
    <x v="0"/>
    <s v="5637200"/>
    <n v="700032"/>
    <s v="Salaries-Other Pat Care Providers-Productive"/>
    <s v="Rheumatology-LW&amp;GH-Shared Svc"/>
    <x v="0"/>
    <m/>
    <n v="0"/>
    <n v="0"/>
    <n v="0"/>
    <n v="0"/>
    <n v="0"/>
    <n v="0"/>
    <n v="0"/>
    <n v="0"/>
    <n v="0"/>
    <n v="0"/>
    <n v="1321.05"/>
    <n v="1001.3"/>
    <n v="2322.35"/>
    <n v="319.75"/>
  </r>
  <r>
    <x v="5"/>
    <x v="1"/>
    <x v="0"/>
    <s v="5637200"/>
    <n v="700032"/>
    <s v="Salaries-Other Pat Care Providers-OT"/>
    <s v="Rheumatology-LW&amp;GH-Shared Svc"/>
    <x v="0"/>
    <n v="1000"/>
    <n v="0"/>
    <n v="0"/>
    <n v="0"/>
    <n v="0"/>
    <n v="0"/>
    <n v="0"/>
    <n v="0"/>
    <n v="0"/>
    <n v="0"/>
    <n v="0"/>
    <n v="105.92"/>
    <n v="-52.96"/>
    <n v="52.96"/>
    <n v="158.88"/>
  </r>
  <r>
    <x v="5"/>
    <x v="1"/>
    <x v="0"/>
    <s v="5637200"/>
    <n v="700032"/>
    <s v="Salaries-Other Pat Care Providers-Other"/>
    <s v="Rheumatology-LW&amp;GH-Shared Svc"/>
    <x v="0"/>
    <n v="2000"/>
    <n v="0"/>
    <n v="0"/>
    <n v="0"/>
    <n v="0"/>
    <n v="0"/>
    <n v="0"/>
    <n v="0"/>
    <n v="0"/>
    <n v="0"/>
    <n v="0"/>
    <n v="65.59"/>
    <n v="49.57"/>
    <n v="115.16"/>
    <n v="16.020000000000003"/>
  </r>
  <r>
    <x v="5"/>
    <x v="1"/>
    <x v="0"/>
    <s v="5637200"/>
    <n v="700038"/>
    <s v="Salaries-Service/Support-Productive"/>
    <s v="Rheumatology-LW&amp;GH-Shared Svc"/>
    <x v="0"/>
    <m/>
    <n v="16899.599999999999"/>
    <n v="18344.330000000002"/>
    <n v="14302.02"/>
    <n v="19442.3"/>
    <n v="17974.32"/>
    <n v="15264.45"/>
    <n v="19158.05"/>
    <n v="13969.26"/>
    <n v="18969.189999999999"/>
    <n v="18578.28"/>
    <n v="20049.43"/>
    <n v="16882.150000000001"/>
    <n v="209833.38"/>
    <n v="3167.2799999999988"/>
  </r>
  <r>
    <x v="5"/>
    <x v="1"/>
    <x v="0"/>
    <s v="5637200"/>
    <n v="700038"/>
    <s v="Salaries-Service/Support-OT"/>
    <s v="Rheumatology-LW&amp;GH-Shared Svc"/>
    <x v="0"/>
    <n v="1000"/>
    <n v="220.51"/>
    <n v="952.45"/>
    <n v="152.86000000000001"/>
    <n v="836.14"/>
    <n v="270.8"/>
    <n v="133.97999999999999"/>
    <n v="646.13"/>
    <n v="-77.11"/>
    <n v="331.52"/>
    <n v="357.7"/>
    <n v="141.5"/>
    <n v="828.32"/>
    <n v="4794.8"/>
    <n v="-686.82"/>
  </r>
  <r>
    <x v="5"/>
    <x v="1"/>
    <x v="0"/>
    <s v="5637200"/>
    <n v="700038"/>
    <s v="Salaries-Service/Support-Other"/>
    <s v="Rheumatology-LW&amp;GH-Shared Svc"/>
    <x v="0"/>
    <n v="2000"/>
    <n v="220"/>
    <n v="267.72000000000003"/>
    <n v="224.11"/>
    <n v="235.38"/>
    <n v="222.46"/>
    <n v="212.75"/>
    <n v="235.35"/>
    <n v="198.83"/>
    <n v="211.57"/>
    <n v="227.58"/>
    <n v="229.37"/>
    <n v="-7.23"/>
    <n v="2477.89"/>
    <n v="236.6"/>
  </r>
  <r>
    <x v="5"/>
    <x v="1"/>
    <x v="0"/>
    <s v="5637200"/>
    <n v="700054"/>
    <s v="Salaries-Management-Non-productive"/>
    <s v="Rheumatology-LW&amp;GH-Shared Svc"/>
    <x v="0"/>
    <m/>
    <n v="1471.2"/>
    <n v="294.24"/>
    <n v="1324.08"/>
    <n v="-147.12"/>
    <n v="1818.24"/>
    <n v="1303.07"/>
    <n v="516.07000000000005"/>
    <n v="0"/>
    <n v="1062.24"/>
    <n v="1396.04"/>
    <n v="-30.34"/>
    <n v="3338.37"/>
    <n v="12346.09"/>
    <n v="-3368.71"/>
  </r>
  <r>
    <x v="5"/>
    <x v="1"/>
    <x v="0"/>
    <s v="5637200"/>
    <n v="700054"/>
    <s v="Salaries-Management-NonProd-Other"/>
    <s v="Rheumatology-LW&amp;GH-Shared Svc"/>
    <x v="0"/>
    <n v="2000"/>
    <n v="0"/>
    <n v="0"/>
    <n v="0"/>
    <n v="0"/>
    <n v="0"/>
    <n v="2429.56"/>
    <n v="-2429.56"/>
    <n v="0"/>
    <n v="0"/>
    <n v="0"/>
    <n v="0"/>
    <n v="0"/>
    <n v="0"/>
    <n v="0"/>
  </r>
  <r>
    <x v="5"/>
    <x v="1"/>
    <x v="0"/>
    <s v="5637200"/>
    <n v="700072"/>
    <s v="Salaries-Other Pat Care Providers-NonProd-Other"/>
    <s v="Rheumatology-LW&amp;GH-Shared Svc"/>
    <x v="0"/>
    <n v="2000"/>
    <n v="0"/>
    <n v="0"/>
    <n v="0"/>
    <n v="0"/>
    <n v="0"/>
    <n v="0"/>
    <n v="0"/>
    <n v="0"/>
    <n v="0"/>
    <n v="0"/>
    <n v="39.68"/>
    <n v="-19.84"/>
    <n v="19.84"/>
    <n v="59.519999999999996"/>
  </r>
  <r>
    <x v="5"/>
    <x v="1"/>
    <x v="0"/>
    <s v="5637200"/>
    <n v="700078"/>
    <s v="Salaries-Service/Support-Non-productive"/>
    <s v="Rheumatology-LW&amp;GH-Shared Svc"/>
    <x v="0"/>
    <m/>
    <n v="2529.5500000000002"/>
    <n v="804.44"/>
    <n v="1503.94"/>
    <n v="1355.6"/>
    <n v="3681.12"/>
    <n v="2591.34"/>
    <n v="1702.07"/>
    <n v="4018.98"/>
    <n v="665.28"/>
    <n v="1931.54"/>
    <n v="1347.4"/>
    <n v="1651.95"/>
    <n v="23783.210000000003"/>
    <n v="-304.54999999999995"/>
  </r>
  <r>
    <x v="5"/>
    <x v="1"/>
    <x v="0"/>
    <s v="5637200"/>
    <n v="700078"/>
    <s v="Salaries-Service/Support-NonProd-Other"/>
    <s v="Rheumatology-LW&amp;GH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37200"/>
    <n v="700084"/>
    <s v="Accrued PTO"/>
    <s v="Rheumatology-LW&amp;GH-Shared Svc"/>
    <x v="0"/>
    <m/>
    <n v="-614.01"/>
    <n v="1471.75"/>
    <n v="10.77"/>
    <n v="2163.44"/>
    <n v="-1113.71"/>
    <n v="-1078.24"/>
    <n v="498.13"/>
    <n v="517.52"/>
    <n v="541.4"/>
    <n v="1169.1500000000001"/>
    <n v="904.96"/>
    <n v="103.65"/>
    <n v="4574.8099999999995"/>
    <n v="801.31000000000006"/>
  </r>
  <r>
    <x v="6"/>
    <x v="1"/>
    <x v="0"/>
    <s v="5637200"/>
    <n v="713010"/>
    <s v="Benefits-FICA/Medicare"/>
    <s v="Rheumatology-LW&amp;GH-Shared Svc"/>
    <x v="0"/>
    <m/>
    <n v="1829.22"/>
    <n v="1838.61"/>
    <n v="1638.56"/>
    <n v="1989.41"/>
    <n v="2029.42"/>
    <n v="1806.03"/>
    <n v="2185.66"/>
    <n v="1622.26"/>
    <n v="1791.01"/>
    <n v="1911.37"/>
    <n v="2190.13"/>
    <n v="1948.4"/>
    <n v="22780.080000000002"/>
    <n v="241.73000000000002"/>
  </r>
  <r>
    <x v="6"/>
    <x v="1"/>
    <x v="0"/>
    <s v="5637200"/>
    <n v="713090"/>
    <s v="Benefits-Allocated Amounts"/>
    <s v="Rheumatology-LW&amp;GH-Shared Svc"/>
    <x v="0"/>
    <m/>
    <n v="6396.91"/>
    <n v="5695.75"/>
    <n v="5738.89"/>
    <n v="6522.42"/>
    <n v="6719.94"/>
    <n v="6235.86"/>
    <n v="7577.18"/>
    <n v="6788.61"/>
    <n v="6725.88"/>
    <n v="7213.31"/>
    <n v="7542.03"/>
    <n v="8456.68"/>
    <n v="81613.459999999992"/>
    <n v="-914.65000000000055"/>
  </r>
  <r>
    <x v="6"/>
    <x v="1"/>
    <x v="0"/>
    <s v="5637200"/>
    <n v="713096"/>
    <s v="Employee Recognition"/>
    <s v="Rheumatology-LW&amp;GH-Shared Svc"/>
    <x v="0"/>
    <n v="1017"/>
    <n v="0"/>
    <n v="0"/>
    <n v="0"/>
    <n v="0"/>
    <n v="0"/>
    <n v="0"/>
    <n v="0"/>
    <n v="0"/>
    <n v="0"/>
    <n v="8.8800000000000008"/>
    <n v="0"/>
    <n v="0"/>
    <n v="8.8800000000000008"/>
    <n v="0"/>
  </r>
  <r>
    <x v="7"/>
    <x v="1"/>
    <x v="0"/>
    <s v="5637200"/>
    <n v="718010"/>
    <s v="Media/Print Advertising"/>
    <s v="Rheumatology-LW&amp;GH-Shared Svc"/>
    <x v="0"/>
    <n v="1004"/>
    <n v="777.53"/>
    <n v="0"/>
    <n v="0"/>
    <n v="900.92"/>
    <n v="0"/>
    <n v="134.09"/>
    <n v="309.82"/>
    <n v="0"/>
    <n v="281.05"/>
    <n v="455.34"/>
    <n v="721.53"/>
    <n v="0"/>
    <n v="3580.2799999999997"/>
    <n v="721.53"/>
  </r>
  <r>
    <x v="7"/>
    <x v="1"/>
    <x v="0"/>
    <s v="5637200"/>
    <n v="718040"/>
    <s v="Contract Svcs-Laboratory"/>
    <s v="Rheumatology-LW&amp;GH-Shared Svc"/>
    <x v="0"/>
    <m/>
    <n v="-179.8"/>
    <n v="0"/>
    <n v="0"/>
    <n v="0"/>
    <n v="0"/>
    <n v="44.86"/>
    <n v="0"/>
    <n v="0"/>
    <n v="0"/>
    <n v="0"/>
    <n v="0"/>
    <n v="0"/>
    <n v="-134.94"/>
    <n v="0"/>
  </r>
  <r>
    <x v="7"/>
    <x v="1"/>
    <x v="0"/>
    <s v="5637200"/>
    <n v="718050"/>
    <s v="Contract Svcs-Other"/>
    <s v="Rheumatology-LW&amp;GH-Shared Svc"/>
    <x v="0"/>
    <m/>
    <n v="89.77"/>
    <n v="89.77"/>
    <n v="101.05"/>
    <n v="114.49"/>
    <n v="206.12"/>
    <n v="151.91"/>
    <n v="167.63"/>
    <n v="103.77"/>
    <n v="348.34"/>
    <n v="59.66"/>
    <n v="59.7"/>
    <n v="73.69"/>
    <n v="1565.9"/>
    <n v="-13.989999999999995"/>
  </r>
  <r>
    <x v="7"/>
    <x v="1"/>
    <x v="0"/>
    <s v="5637200"/>
    <n v="718050"/>
    <s v="Cleaning Services"/>
    <s v="Rheumatology-LW&amp;GH-Shared Svc"/>
    <x v="0"/>
    <n v="1011"/>
    <n v="30"/>
    <n v="0"/>
    <n v="0"/>
    <n v="0"/>
    <n v="0"/>
    <n v="0"/>
    <n v="0"/>
    <n v="0"/>
    <n v="0"/>
    <n v="0"/>
    <n v="0"/>
    <n v="0"/>
    <n v="30"/>
    <n v="0"/>
  </r>
  <r>
    <x v="7"/>
    <x v="1"/>
    <x v="0"/>
    <s v="5637200"/>
    <n v="718050"/>
    <s v="Document Shredding/Storage"/>
    <s v="Rheumatology-LW&amp;GH-Shared Svc"/>
    <x v="0"/>
    <n v="1012"/>
    <n v="314.38"/>
    <n v="79.47"/>
    <n v="277.16000000000003"/>
    <n v="240.75"/>
    <n v="400.21"/>
    <n v="179.57"/>
    <n v="177.77"/>
    <n v="187.37"/>
    <n v="235.77"/>
    <n v="158.31"/>
    <n v="216.42"/>
    <n v="236.21"/>
    <n v="2703.39"/>
    <n v="-19.79000000000002"/>
  </r>
  <r>
    <x v="7"/>
    <x v="1"/>
    <x v="0"/>
    <s v="5637200"/>
    <n v="718050"/>
    <s v="Physician Answering"/>
    <s v="Rheumatology-LW&amp;GH-Shared Svc"/>
    <x v="0"/>
    <n v="1015"/>
    <n v="501.4"/>
    <n v="579"/>
    <n v="481"/>
    <n v="205.2"/>
    <n v="655.8"/>
    <n v="528.79999999999995"/>
    <n v="979"/>
    <n v="1171.8"/>
    <n v="628.20000000000005"/>
    <n v="646.20000000000005"/>
    <n v="563.79999999999995"/>
    <n v="534"/>
    <n v="7474.2"/>
    <n v="29.799999999999955"/>
  </r>
  <r>
    <x v="7"/>
    <x v="1"/>
    <x v="0"/>
    <s v="5637200"/>
    <n v="718050"/>
    <s v="Miscellaneous Purchased Svcs"/>
    <s v="Rheumatology-LW&amp;GH-Shared Svc"/>
    <x v="0"/>
    <n v="1020"/>
    <n v="131.04"/>
    <n v="131.04"/>
    <n v="131.04"/>
    <n v="0"/>
    <n v="10.36"/>
    <n v="0"/>
    <n v="187.93"/>
    <n v="0"/>
    <n v="0"/>
    <n v="0"/>
    <n v="0"/>
    <n v="0"/>
    <n v="591.41000000000008"/>
    <n v="0"/>
  </r>
  <r>
    <x v="7"/>
    <x v="1"/>
    <x v="0"/>
    <s v="5637200"/>
    <n v="718050"/>
    <s v="Translation Services"/>
    <s v="Rheumatology-LW&amp;GH-Shared Svc"/>
    <x v="0"/>
    <n v="1025"/>
    <n v="1306.42"/>
    <n v="0"/>
    <n v="519.29"/>
    <n v="1042.67"/>
    <n v="525.44000000000005"/>
    <n v="1210.7"/>
    <n v="648.67999999999995"/>
    <n v="528.19000000000005"/>
    <n v="844.5"/>
    <n v="73.62"/>
    <n v="1322.56"/>
    <n v="130.35"/>
    <n v="8152.4200000000019"/>
    <n v="1192.21"/>
  </r>
  <r>
    <x v="7"/>
    <x v="1"/>
    <x v="0"/>
    <s v="5637200"/>
    <n v="718050"/>
    <s v="Contract Management--Linen"/>
    <s v="Rheumatology-LW&amp;GH-Shared Svc"/>
    <x v="0"/>
    <n v="1026"/>
    <n v="179.64"/>
    <n v="278.06"/>
    <n v="316.82"/>
    <n v="129.86000000000001"/>
    <n v="248.34"/>
    <n v="278.32"/>
    <n v="495.38"/>
    <n v="199.72"/>
    <n v="279.25"/>
    <n v="69.040000000000006"/>
    <n v="531.36"/>
    <n v="69.040000000000006"/>
    <n v="3074.83"/>
    <n v="462.32"/>
  </r>
  <r>
    <x v="7"/>
    <x v="1"/>
    <x v="0"/>
    <s v="5637200"/>
    <n v="718050"/>
    <s v="Purchased Srvcs--Medical Waste"/>
    <s v="Rheumatology-LW&amp;GH-Shared Svc"/>
    <x v="0"/>
    <n v="1027"/>
    <n v="25.49"/>
    <n v="10.36"/>
    <n v="10.36"/>
    <n v="15.13"/>
    <n v="4.7699999999999996"/>
    <n v="120.28"/>
    <n v="260.33"/>
    <n v="10"/>
    <n v="5"/>
    <n v="0"/>
    <n v="5"/>
    <n v="5"/>
    <n v="471.71999999999997"/>
    <n v="0"/>
  </r>
  <r>
    <x v="7"/>
    <x v="1"/>
    <x v="0"/>
    <s v="5637200"/>
    <n v="718070"/>
    <s v="Contract Srvcs-CHI Clinical Engineering"/>
    <s v="Rheumatology-LW&amp;GH-Shared Svc"/>
    <x v="0"/>
    <m/>
    <n v="0"/>
    <n v="0"/>
    <n v="539.5"/>
    <n v="0"/>
    <n v="0"/>
    <n v="0"/>
    <n v="0"/>
    <n v="577.5"/>
    <n v="0"/>
    <n v="0"/>
    <n v="0"/>
    <n v="0"/>
    <n v="1117"/>
    <n v="0"/>
  </r>
  <r>
    <x v="11"/>
    <x v="1"/>
    <x v="0"/>
    <s v="5637200"/>
    <n v="721010"/>
    <s v="Supplies-Medical - Billable"/>
    <s v="Rheumatology-LW&amp;GH-Shared Svc"/>
    <x v="0"/>
    <m/>
    <n v="0"/>
    <n v="0"/>
    <n v="489.3"/>
    <n v="0"/>
    <n v="0"/>
    <n v="0"/>
    <n v="0"/>
    <n v="0"/>
    <n v="0"/>
    <n v="0"/>
    <n v="0"/>
    <n v="0"/>
    <n v="489.3"/>
    <n v="0"/>
  </r>
  <r>
    <x v="11"/>
    <x v="1"/>
    <x v="0"/>
    <s v="5637200"/>
    <n v="721250"/>
    <s v="Supplies-Pharmacy Drugs - Billable"/>
    <s v="Rheumatology-LW&amp;GH-Shared Svc"/>
    <x v="0"/>
    <m/>
    <n v="987.63"/>
    <n v="160.75"/>
    <n v="506.6"/>
    <n v="4462.21"/>
    <n v="3296.4"/>
    <n v="321.06"/>
    <n v="506.6"/>
    <n v="1499.8"/>
    <n v="507.42"/>
    <n v="581.78"/>
    <n v="495.4"/>
    <n v="393.64"/>
    <n v="13719.289999999999"/>
    <n v="101.75999999999999"/>
  </r>
  <r>
    <x v="11"/>
    <x v="1"/>
    <x v="0"/>
    <s v="5637200"/>
    <n v="721410"/>
    <s v="Supplies-Medical - Nonbillable"/>
    <s v="Rheumatology-LW&amp;GH-Shared Svc"/>
    <x v="0"/>
    <m/>
    <n v="732.51"/>
    <n v="1752.11"/>
    <n v="930.26"/>
    <n v="493.89"/>
    <n v="605.88"/>
    <n v="0"/>
    <n v="251.88"/>
    <n v="101.62"/>
    <n v="1031.18"/>
    <n v="348.61"/>
    <n v="0"/>
    <n v="0"/>
    <n v="6247.94"/>
    <n v="0"/>
  </r>
  <r>
    <x v="11"/>
    <x v="1"/>
    <x v="0"/>
    <s v="5637200"/>
    <n v="721810"/>
    <s v="Supplies-Dietary/Cafeteria"/>
    <s v="Rheumatology-LW&amp;GH-Shared Svc"/>
    <x v="0"/>
    <m/>
    <n v="0"/>
    <n v="103.6"/>
    <n v="0"/>
    <n v="291.62"/>
    <n v="158.58000000000001"/>
    <n v="158.58000000000001"/>
    <n v="73.23"/>
    <n v="73.23"/>
    <n v="0"/>
    <n v="93.51"/>
    <n v="0"/>
    <n v="0"/>
    <n v="952.35000000000014"/>
    <n v="0"/>
  </r>
  <r>
    <x v="11"/>
    <x v="1"/>
    <x v="0"/>
    <s v="5637200"/>
    <n v="721830"/>
    <s v="Supplies-Office"/>
    <s v="Rheumatology-LW&amp;GH-Shared Svc"/>
    <x v="0"/>
    <m/>
    <n v="232.64"/>
    <n v="359.35"/>
    <n v="1362.12"/>
    <n v="686.17"/>
    <n v="380.4"/>
    <n v="1094.8699999999999"/>
    <n v="363.64"/>
    <n v="281.56"/>
    <n v="978.11"/>
    <n v="692.1"/>
    <n v="326.33999999999997"/>
    <n v="139.91999999999999"/>
    <n v="6897.22"/>
    <n v="186.42"/>
  </r>
  <r>
    <x v="11"/>
    <x v="1"/>
    <x v="0"/>
    <s v="5637200"/>
    <n v="721835"/>
    <s v="Supplies-Forms"/>
    <s v="Rheumatology-LW&amp;GH-Shared Svc"/>
    <x v="0"/>
    <m/>
    <n v="0"/>
    <n v="0"/>
    <n v="0"/>
    <n v="0"/>
    <n v="0.28999999999999998"/>
    <n v="0"/>
    <n v="0"/>
    <n v="0"/>
    <n v="0"/>
    <n v="0"/>
    <n v="0"/>
    <n v="0"/>
    <n v="0.28999999999999998"/>
    <n v="0"/>
  </r>
  <r>
    <x v="11"/>
    <x v="1"/>
    <x v="0"/>
    <s v="5637200"/>
    <n v="721870"/>
    <s v="Supplies-Environmental Services"/>
    <s v="Rheumatology-LW&amp;GH-Shared Svc"/>
    <x v="0"/>
    <m/>
    <n v="0"/>
    <n v="0"/>
    <n v="0"/>
    <n v="0"/>
    <n v="0"/>
    <n v="0"/>
    <n v="0"/>
    <n v="43.69"/>
    <n v="0"/>
    <n v="0"/>
    <n v="12.92"/>
    <n v="0"/>
    <n v="56.61"/>
    <n v="12.92"/>
  </r>
  <r>
    <x v="11"/>
    <x v="1"/>
    <x v="0"/>
    <s v="5637200"/>
    <n v="721910"/>
    <s v="Supplies-Small Equipment"/>
    <s v="Rheumatology-LW&amp;GH-Shared Svc"/>
    <x v="0"/>
    <m/>
    <n v="0"/>
    <n v="750.41"/>
    <n v="0"/>
    <n v="0"/>
    <n v="0"/>
    <n v="0"/>
    <n v="0"/>
    <n v="0"/>
    <n v="0"/>
    <n v="0"/>
    <n v="0"/>
    <n v="0"/>
    <n v="750.41"/>
    <n v="0"/>
  </r>
  <r>
    <x v="12"/>
    <x v="1"/>
    <x v="0"/>
    <s v="5637200"/>
    <n v="730010"/>
    <s v="Rental and Leases-Building (DO NOT USE)"/>
    <s v="Rheumatology-LW&amp;GH-Shared Svc"/>
    <x v="0"/>
    <m/>
    <n v="19301.79"/>
    <n v="19301.79"/>
    <n v="19301.79"/>
    <n v="19301.79"/>
    <n v="19301.79"/>
    <n v="-11592.03"/>
    <n v="14152.82"/>
    <n v="14152.82"/>
    <n v="14152.82"/>
    <n v="14261.09"/>
    <n v="14312.62"/>
    <n v="0"/>
    <n v="155949.09000000003"/>
    <n v="14312.62"/>
  </r>
  <r>
    <x v="12"/>
    <x v="1"/>
    <x v="0"/>
    <s v="5637200"/>
    <n v="730010"/>
    <s v="Rental-Common Area Maint (DO NOT USE)"/>
    <s v="Rheumatology-LW&amp;GH-Shared Svc"/>
    <x v="0"/>
    <n v="2200"/>
    <n v="0"/>
    <n v="0"/>
    <n v="0"/>
    <n v="0"/>
    <n v="0"/>
    <n v="31013.919999999998"/>
    <n v="5269.07"/>
    <n v="5269.07"/>
    <n v="-121.27"/>
    <n v="5269.07"/>
    <n v="5269.07"/>
    <n v="0"/>
    <n v="51968.93"/>
    <n v="5269.07"/>
  </r>
  <r>
    <x v="12"/>
    <x v="1"/>
    <x v="0"/>
    <s v="5637200"/>
    <n v="730020"/>
    <s v="Rental and Leases-Equipment (DO NOT USE)"/>
    <s v="Rheumatology-LW&amp;GH-Shared Svc"/>
    <x v="0"/>
    <m/>
    <n v="0"/>
    <n v="0"/>
    <n v="187.93"/>
    <n v="0"/>
    <n v="0"/>
    <n v="0"/>
    <n v="0"/>
    <n v="0"/>
    <n v="0"/>
    <n v="0"/>
    <n v="0"/>
    <n v="0"/>
    <n v="187.93"/>
    <n v="0"/>
  </r>
  <r>
    <x v="12"/>
    <x v="1"/>
    <x v="0"/>
    <s v="5637200"/>
    <n v="730020"/>
    <s v="Rental and Leases-Copier Usage Fees (DO NOT USE)"/>
    <s v="Rheumatology-LW&amp;GH-Shared Svc"/>
    <x v="0"/>
    <n v="5100"/>
    <n v="215.77"/>
    <n v="205.58"/>
    <n v="210.68"/>
    <n v="210.68"/>
    <n v="210.68"/>
    <n v="210.68"/>
    <n v="930.55"/>
    <n v="229.73"/>
    <n v="237.34"/>
    <n v="285.81"/>
    <n v="164.45"/>
    <n v="194.06"/>
    <n v="3306.0099999999998"/>
    <n v="-29.610000000000014"/>
  </r>
  <r>
    <x v="12"/>
    <x v="1"/>
    <x v="0"/>
    <s v="5637200"/>
    <n v="730040"/>
    <s v="LT Lease-Real Estate"/>
    <s v="Rheumatology-LW&amp;GH-Shared Svc"/>
    <x v="0"/>
    <m/>
    <n v="0"/>
    <n v="0"/>
    <n v="0"/>
    <n v="0"/>
    <n v="0"/>
    <n v="0"/>
    <n v="0"/>
    <n v="0"/>
    <n v="0"/>
    <n v="0"/>
    <n v="0"/>
    <n v="19581.689999999999"/>
    <n v="19581.689999999999"/>
    <n v="-19581.689999999999"/>
  </r>
  <r>
    <x v="15"/>
    <x v="1"/>
    <x v="0"/>
    <s v="5637200"/>
    <n v="731070"/>
    <s v="Cable TV"/>
    <s v="Rheumatology-LW&amp;GH-Shared Svc"/>
    <x v="0"/>
    <m/>
    <n v="74.31"/>
    <n v="64.31"/>
    <n v="64.31"/>
    <n v="62.13"/>
    <n v="62.13"/>
    <n v="62.13"/>
    <n v="62.13"/>
    <n v="0"/>
    <n v="124.26"/>
    <n v="62.13"/>
    <n v="62.37"/>
    <n v="62.37"/>
    <n v="762.58"/>
    <n v="0"/>
  </r>
  <r>
    <x v="16"/>
    <x v="1"/>
    <x v="0"/>
    <s v="5637200"/>
    <n v="732030"/>
    <s v="Repairs---Other"/>
    <s v="Rheumatology-LW&amp;GH-Shared Svc"/>
    <x v="0"/>
    <m/>
    <n v="0"/>
    <n v="0"/>
    <n v="0"/>
    <n v="0"/>
    <n v="0"/>
    <n v="0"/>
    <n v="0"/>
    <n v="0"/>
    <n v="0"/>
    <n v="0"/>
    <n v="0"/>
    <n v="9.19"/>
    <n v="9.19"/>
    <n v="-9.19"/>
  </r>
  <r>
    <x v="0"/>
    <x v="1"/>
    <x v="0"/>
    <s v="5637200"/>
    <n v="740020"/>
    <s v="Education-Registration Fees"/>
    <s v="Rheumatology-LW&amp;GH-Shared Svc"/>
    <x v="0"/>
    <m/>
    <n v="0"/>
    <n v="0"/>
    <n v="0"/>
    <n v="0"/>
    <n v="0"/>
    <n v="0"/>
    <n v="45"/>
    <n v="0"/>
    <n v="0"/>
    <n v="0"/>
    <n v="0"/>
    <n v="0"/>
    <n v="45"/>
    <n v="0"/>
  </r>
  <r>
    <x v="0"/>
    <x v="1"/>
    <x v="0"/>
    <s v="5637200"/>
    <n v="742040"/>
    <s v="Freight-Other"/>
    <s v="Rheumatology-LW&amp;GH-Shared Svc"/>
    <x v="0"/>
    <m/>
    <n v="0"/>
    <n v="0"/>
    <n v="0"/>
    <n v="1708.81"/>
    <n v="0"/>
    <n v="0"/>
    <n v="0"/>
    <n v="0"/>
    <n v="0"/>
    <n v="0"/>
    <n v="0"/>
    <n v="0"/>
    <n v="1708.81"/>
    <n v="0"/>
  </r>
  <r>
    <x v="0"/>
    <x v="1"/>
    <x v="0"/>
    <s v="5637200"/>
    <n v="743010"/>
    <s v="Dues--Institutional"/>
    <s v="Rheumatology-LW&amp;GH-Shared Svc"/>
    <x v="0"/>
    <m/>
    <n v="0"/>
    <n v="0"/>
    <n v="0"/>
    <n v="0"/>
    <n v="0"/>
    <n v="0"/>
    <n v="165"/>
    <n v="0"/>
    <n v="0"/>
    <n v="0"/>
    <n v="0"/>
    <n v="0"/>
    <n v="165"/>
    <n v="0"/>
  </r>
  <r>
    <x v="0"/>
    <x v="1"/>
    <x v="0"/>
    <s v="5637200"/>
    <n v="743030"/>
    <s v="Subscriptions--Institutional"/>
    <s v="Rheumatology-LW&amp;GH-Shared Svc"/>
    <x v="0"/>
    <m/>
    <n v="0"/>
    <n v="109"/>
    <n v="0"/>
    <n v="0"/>
    <n v="0"/>
    <n v="0"/>
    <n v="574.66999999999996"/>
    <n v="0"/>
    <n v="0"/>
    <n v="0"/>
    <n v="0"/>
    <n v="0"/>
    <n v="683.67"/>
    <n v="0"/>
  </r>
  <r>
    <x v="0"/>
    <x v="1"/>
    <x v="0"/>
    <s v="5637200"/>
    <n v="749510"/>
    <s v="Miscellaneous Expenses"/>
    <s v="Rheumatology-LW&amp;GH-Shared Svc"/>
    <x v="0"/>
    <m/>
    <n v="1152.8800000000001"/>
    <n v="2954.16"/>
    <n v="0"/>
    <n v="1942.37"/>
    <n v="10"/>
    <n v="-10"/>
    <n v="0"/>
    <n v="0"/>
    <n v="0"/>
    <n v="-2"/>
    <n v="0"/>
    <n v="0"/>
    <n v="6047.41"/>
    <n v="0"/>
  </r>
  <r>
    <x v="0"/>
    <x v="1"/>
    <x v="0"/>
    <s v="5637200"/>
    <n v="749510"/>
    <s v="Licenses"/>
    <s v="Rheumatology-LW&amp;GH-Shared Svc"/>
    <x v="0"/>
    <n v="1002"/>
    <n v="0"/>
    <n v="0"/>
    <n v="265"/>
    <n v="0"/>
    <n v="0"/>
    <n v="174"/>
    <n v="38.75"/>
    <n v="0"/>
    <n v="0"/>
    <n v="0"/>
    <n v="200"/>
    <n v="0"/>
    <n v="677.75"/>
    <n v="200"/>
  </r>
  <r>
    <x v="0"/>
    <x v="1"/>
    <x v="0"/>
    <s v="5637200"/>
    <n v="749510"/>
    <s v="RICE Rewards"/>
    <s v="Rheumatology-LW&amp;GH-Shared Svc"/>
    <x v="0"/>
    <n v="5100"/>
    <n v="0"/>
    <n v="0"/>
    <n v="0"/>
    <n v="0"/>
    <n v="0"/>
    <n v="220.8"/>
    <n v="0"/>
    <n v="0"/>
    <n v="0"/>
    <n v="0"/>
    <n v="0"/>
    <n v="0"/>
    <n v="220.8"/>
    <n v="0"/>
  </r>
  <r>
    <x v="0"/>
    <x v="1"/>
    <x v="0"/>
    <s v="5637200"/>
    <n v="749530"/>
    <s v="Travel"/>
    <s v="Rheumatology-LW&amp;GH-Shared Svc"/>
    <x v="0"/>
    <m/>
    <n v="0"/>
    <n v="0"/>
    <n v="0"/>
    <n v="10"/>
    <n v="5"/>
    <n v="40"/>
    <n v="40"/>
    <n v="0"/>
    <n v="0"/>
    <n v="30"/>
    <n v="163.36000000000001"/>
    <n v="0"/>
    <n v="288.36"/>
    <n v="163.36000000000001"/>
  </r>
  <r>
    <x v="0"/>
    <x v="1"/>
    <x v="0"/>
    <s v="5637200"/>
    <n v="749530"/>
    <s v="Mileage"/>
    <s v="Rheumatology-LW&amp;GH-Shared Svc"/>
    <x v="0"/>
    <n v="1001"/>
    <n v="0"/>
    <n v="0"/>
    <n v="0"/>
    <n v="35.979999999999997"/>
    <n v="0"/>
    <n v="0"/>
    <n v="0"/>
    <n v="0"/>
    <n v="0"/>
    <n v="155.44"/>
    <n v="194.3"/>
    <n v="116.58"/>
    <n v="502.3"/>
    <n v="77.720000000000013"/>
  </r>
  <r>
    <x v="0"/>
    <x v="1"/>
    <x v="0"/>
    <s v="5637200"/>
    <n v="749550"/>
    <s v="Cash Over/Short"/>
    <s v="Rheumatology-LW&amp;GH-Shared Svc"/>
    <x v="0"/>
    <m/>
    <n v="0"/>
    <n v="-10"/>
    <n v="0"/>
    <n v="0"/>
    <n v="0"/>
    <n v="5"/>
    <n v="0"/>
    <n v="0"/>
    <n v="10"/>
    <n v="0"/>
    <n v="0"/>
    <n v="0"/>
    <n v="5"/>
    <n v="0"/>
  </r>
  <r>
    <x v="0"/>
    <x v="1"/>
    <x v="0"/>
    <s v="5637200"/>
    <n v="766010"/>
    <s v="Property Tax"/>
    <s v="Rheumatology-LW&amp;GH-Shared Svc"/>
    <x v="0"/>
    <m/>
    <n v="35.590000000000003"/>
    <n v="35.590000000000003"/>
    <n v="35.590000000000003"/>
    <n v="35.590000000000003"/>
    <n v="35.590000000000003"/>
    <n v="35.590000000000003"/>
    <n v="35.590000000000003"/>
    <n v="35.590000000000003"/>
    <n v="35.590000000000003"/>
    <n v="-7.5"/>
    <n v="24.81"/>
    <n v="24.81"/>
    <n v="362.43000000000006"/>
    <n v="0"/>
  </r>
  <r>
    <x v="5"/>
    <x v="1"/>
    <x v="0"/>
    <s v="5639200"/>
    <n v="700014"/>
    <s v="Salaries-Management-Productive"/>
    <s v="St Anthony-Shared Svc"/>
    <x v="0"/>
    <m/>
    <n v="3409.56"/>
    <n v="2847.36"/>
    <n v="4080.6"/>
    <n v="2213.04"/>
    <n v="4821.4399999999996"/>
    <n v="2540.52"/>
    <n v="4327.28"/>
    <n v="3714.24"/>
    <n v="3528.54"/>
    <n v="4085.66"/>
    <n v="3157.14"/>
    <n v="1949.97"/>
    <n v="40675.350000000006"/>
    <n v="1207.1699999999998"/>
  </r>
  <r>
    <x v="5"/>
    <x v="1"/>
    <x v="0"/>
    <s v="5639200"/>
    <n v="700018"/>
    <s v="Salaries-Supervisory-Productive"/>
    <s v="St Anthony-Shared Svc"/>
    <x v="0"/>
    <m/>
    <n v="3325.34"/>
    <n v="2720.74"/>
    <n v="2393.2399999999998"/>
    <n v="3211.64"/>
    <n v="3106.56"/>
    <n v="2459.36"/>
    <n v="2722.42"/>
    <n v="2955.56"/>
    <n v="2229.64"/>
    <n v="3240.75"/>
    <n v="3240.75"/>
    <n v="2851.86"/>
    <n v="34457.859999999993"/>
    <n v="388.88999999999987"/>
  </r>
  <r>
    <x v="5"/>
    <x v="1"/>
    <x v="0"/>
    <s v="5639200"/>
    <n v="700026"/>
    <s v="Salaries-RN-Productive"/>
    <s v="St Anthony-Shared Svc"/>
    <x v="0"/>
    <m/>
    <n v="0"/>
    <n v="0"/>
    <n v="0"/>
    <n v="0"/>
    <n v="0"/>
    <n v="0"/>
    <n v="0"/>
    <n v="0"/>
    <n v="0"/>
    <n v="0"/>
    <n v="0"/>
    <n v="557.78"/>
    <n v="557.78"/>
    <n v="-557.78"/>
  </r>
  <r>
    <x v="5"/>
    <x v="1"/>
    <x v="0"/>
    <s v="5639200"/>
    <n v="700026"/>
    <s v="Salaries-RN-OT"/>
    <s v="St Anthony-Shared Svc"/>
    <x v="0"/>
    <n v="1000"/>
    <n v="0"/>
    <n v="0"/>
    <n v="0"/>
    <n v="0"/>
    <n v="0"/>
    <n v="0"/>
    <n v="0"/>
    <n v="0"/>
    <n v="0"/>
    <n v="0"/>
    <n v="0"/>
    <n v="143.06"/>
    <n v="143.06"/>
    <n v="-143.06"/>
  </r>
  <r>
    <x v="5"/>
    <x v="1"/>
    <x v="0"/>
    <s v="5639200"/>
    <n v="700026"/>
    <s v="Salaries-RN-Other"/>
    <s v="St Anthony-Shared Svc"/>
    <x v="0"/>
    <n v="2000"/>
    <n v="0"/>
    <n v="0"/>
    <n v="0"/>
    <n v="0"/>
    <n v="0"/>
    <n v="0"/>
    <n v="0"/>
    <n v="0"/>
    <n v="0"/>
    <n v="0"/>
    <n v="0"/>
    <n v="17.27"/>
    <n v="17.27"/>
    <n v="-17.27"/>
  </r>
  <r>
    <x v="5"/>
    <x v="1"/>
    <x v="0"/>
    <s v="5639200"/>
    <n v="700030"/>
    <s v="Salaries-LPN-Productive"/>
    <s v="St Anthony-Shared Svc"/>
    <x v="0"/>
    <m/>
    <n v="0"/>
    <n v="916.99"/>
    <n v="-305.66000000000003"/>
    <n v="0"/>
    <n v="0"/>
    <n v="0"/>
    <n v="0"/>
    <n v="301.27"/>
    <n v="181.46"/>
    <n v="0"/>
    <n v="207.02"/>
    <n v="459.49"/>
    <n v="1760.57"/>
    <n v="-252.47"/>
  </r>
  <r>
    <x v="5"/>
    <x v="1"/>
    <x v="0"/>
    <s v="5639200"/>
    <n v="700030"/>
    <s v="Salaries-LPN-OT"/>
    <s v="St Anthony-Shared Svc"/>
    <x v="0"/>
    <n v="1000"/>
    <n v="0"/>
    <n v="0"/>
    <n v="0"/>
    <n v="0"/>
    <n v="0"/>
    <n v="0"/>
    <n v="0"/>
    <n v="0"/>
    <n v="0"/>
    <n v="0"/>
    <n v="0"/>
    <n v="53.1"/>
    <n v="53.1"/>
    <n v="-53.1"/>
  </r>
  <r>
    <x v="5"/>
    <x v="1"/>
    <x v="0"/>
    <s v="5639200"/>
    <n v="700030"/>
    <s v="Salaries-LPN-Other"/>
    <s v="St Anthony-Shared Svc"/>
    <x v="0"/>
    <n v="2000"/>
    <n v="0"/>
    <n v="42.75"/>
    <n v="-14.25"/>
    <n v="0"/>
    <n v="0"/>
    <n v="0"/>
    <n v="0"/>
    <n v="12.96"/>
    <n v="7.82"/>
    <n v="0"/>
    <n v="9.51"/>
    <n v="21.28"/>
    <n v="80.069999999999993"/>
    <n v="-11.770000000000001"/>
  </r>
  <r>
    <x v="5"/>
    <x v="1"/>
    <x v="0"/>
    <s v="5639200"/>
    <n v="700032"/>
    <s v="Salaries-Other Pat Care Providers-Productive"/>
    <s v="St Anthony-Shared Svc"/>
    <x v="0"/>
    <m/>
    <n v="0"/>
    <n v="538.79999999999995"/>
    <n v="0"/>
    <n v="0"/>
    <n v="0"/>
    <n v="0"/>
    <n v="0"/>
    <n v="376.35"/>
    <n v="122.75"/>
    <n v="306.35000000000002"/>
    <n v="297.58999999999997"/>
    <n v="0"/>
    <n v="1641.84"/>
    <n v="297.58999999999997"/>
  </r>
  <r>
    <x v="5"/>
    <x v="1"/>
    <x v="0"/>
    <s v="5639200"/>
    <n v="700032"/>
    <s v="Salaries-Other Pat Care Providers-Other"/>
    <s v="St Anthony-Shared Svc"/>
    <x v="0"/>
    <n v="2000"/>
    <n v="0"/>
    <n v="0"/>
    <n v="0"/>
    <n v="0"/>
    <n v="0"/>
    <n v="0"/>
    <n v="0"/>
    <n v="18.05"/>
    <n v="6.47"/>
    <n v="14.77"/>
    <n v="15.02"/>
    <n v="0"/>
    <n v="54.31"/>
    <n v="15.02"/>
  </r>
  <r>
    <x v="5"/>
    <x v="1"/>
    <x v="0"/>
    <s v="5639200"/>
    <n v="700038"/>
    <s v="Salaries-Service/Support-Productive"/>
    <s v="St Anthony-Shared Svc"/>
    <x v="0"/>
    <m/>
    <n v="31511.86"/>
    <n v="34005.86"/>
    <n v="28469.52"/>
    <n v="32556.84"/>
    <n v="29628.67"/>
    <n v="24276.01"/>
    <n v="30797.78"/>
    <n v="28279.81"/>
    <n v="34826.97"/>
    <n v="33298.68"/>
    <n v="32734.29"/>
    <n v="27914.31"/>
    <n v="368300.6"/>
    <n v="4819.9799999999996"/>
  </r>
  <r>
    <x v="5"/>
    <x v="1"/>
    <x v="0"/>
    <s v="5639200"/>
    <n v="700038"/>
    <s v="Salaries-Service/Support-OT"/>
    <s v="St Anthony-Shared Svc"/>
    <x v="0"/>
    <n v="1000"/>
    <n v="585.92999999999995"/>
    <n v="636.86"/>
    <n v="400.76"/>
    <n v="1054.74"/>
    <n v="836.63"/>
    <n v="520.5"/>
    <n v="1536.71"/>
    <n v="-275.12"/>
    <n v="740.3"/>
    <n v="228.93"/>
    <n v="262.14"/>
    <n v="232.89"/>
    <n v="6761.2700000000013"/>
    <n v="29.25"/>
  </r>
  <r>
    <x v="5"/>
    <x v="1"/>
    <x v="0"/>
    <s v="5639200"/>
    <n v="700038"/>
    <s v="Salaries-Service/Support-Other"/>
    <s v="St Anthony-Shared Svc"/>
    <x v="0"/>
    <n v="2000"/>
    <n v="0"/>
    <n v="30"/>
    <n v="45.72"/>
    <n v="0"/>
    <n v="0"/>
    <n v="7.7"/>
    <n v="63.91"/>
    <n v="30.03"/>
    <n v="-0.01"/>
    <n v="0"/>
    <n v="0"/>
    <n v="7.76"/>
    <n v="185.10999999999999"/>
    <n v="-7.76"/>
  </r>
  <r>
    <x v="5"/>
    <x v="1"/>
    <x v="0"/>
    <s v="5639200"/>
    <n v="700054"/>
    <s v="Salaries-Management-Non-productive"/>
    <s v="St Anthony-Shared Svc"/>
    <x v="0"/>
    <m/>
    <n v="1160.7"/>
    <n v="2647.86"/>
    <n v="-906.8"/>
    <n v="4063.35"/>
    <n v="-1483.51"/>
    <n v="2707.42"/>
    <n v="-111.26"/>
    <n v="0"/>
    <n v="742.85"/>
    <n v="0"/>
    <n v="0"/>
    <n v="1857.15"/>
    <n v="10677.76"/>
    <n v="-1857.15"/>
  </r>
  <r>
    <x v="5"/>
    <x v="1"/>
    <x v="0"/>
    <s v="5639200"/>
    <n v="700054"/>
    <s v="Salaries-Management-NonProd-Other"/>
    <s v="St Anthony-Shared Svc"/>
    <x v="0"/>
    <n v="2000"/>
    <n v="0"/>
    <n v="0"/>
    <n v="0"/>
    <n v="0"/>
    <n v="0"/>
    <n v="492.15"/>
    <n v="-492.15"/>
    <n v="0"/>
    <n v="0"/>
    <n v="0"/>
    <n v="0"/>
    <n v="0"/>
    <n v="0"/>
    <n v="0"/>
  </r>
  <r>
    <x v="5"/>
    <x v="1"/>
    <x v="0"/>
    <s v="5639200"/>
    <n v="700058"/>
    <s v="Salaries-Supervisory-Non-productive"/>
    <s v="St Anthony-Shared Svc"/>
    <x v="0"/>
    <m/>
    <n v="251.92"/>
    <n v="1259.5999999999999"/>
    <n v="629.79999999999995"/>
    <n v="340.02"/>
    <n v="310.66000000000003"/>
    <n v="1061.4000000000001"/>
    <n v="1737.08"/>
    <n v="311.12"/>
    <n v="1037.04"/>
    <n v="622.22"/>
    <n v="933.34"/>
    <n v="0"/>
    <n v="8494.1999999999989"/>
    <n v="933.34"/>
  </r>
  <r>
    <x v="5"/>
    <x v="1"/>
    <x v="0"/>
    <s v="5639200"/>
    <n v="700072"/>
    <s v="Salaries-Other Pat Care Providers-NonProd-Other"/>
    <s v="St Anthony-Shared Svc"/>
    <x v="0"/>
    <n v="2000"/>
    <n v="0"/>
    <n v="0"/>
    <n v="0"/>
    <n v="0"/>
    <n v="0"/>
    <n v="0"/>
    <n v="0"/>
    <n v="0"/>
    <n v="9.92"/>
    <n v="0"/>
    <n v="0"/>
    <n v="0"/>
    <n v="9.92"/>
    <n v="0"/>
  </r>
  <r>
    <x v="5"/>
    <x v="1"/>
    <x v="0"/>
    <s v="5639200"/>
    <n v="700078"/>
    <s v="Salaries-Service/Support-Non-productive"/>
    <s v="St Anthony-Shared Svc"/>
    <x v="0"/>
    <m/>
    <n v="5857.42"/>
    <n v="5597.16"/>
    <n v="5958.56"/>
    <n v="262.72000000000003"/>
    <n v="2796.44"/>
    <n v="6425.47"/>
    <n v="3137.39"/>
    <n v="5807.73"/>
    <n v="400.18"/>
    <n v="2118.6999999999998"/>
    <n v="1568.75"/>
    <n v="4672.57"/>
    <n v="44603.09"/>
    <n v="-3103.8199999999997"/>
  </r>
  <r>
    <x v="5"/>
    <x v="1"/>
    <x v="0"/>
    <s v="5639200"/>
    <n v="700078"/>
    <s v="Salaries-Service/Support-NonProd-Other"/>
    <s v="St Anthony-Shared Svc"/>
    <x v="0"/>
    <n v="2000"/>
    <n v="0"/>
    <n v="0"/>
    <n v="0"/>
    <n v="0"/>
    <n v="255.09"/>
    <n v="94.17"/>
    <n v="0"/>
    <n v="-349.26"/>
    <n v="0"/>
    <n v="0"/>
    <n v="0"/>
    <n v="0"/>
    <n v="0"/>
    <n v="0"/>
  </r>
  <r>
    <x v="5"/>
    <x v="1"/>
    <x v="0"/>
    <s v="5639200"/>
    <n v="700084"/>
    <s v="Accrued PTO"/>
    <s v="St Anthony-Shared Svc"/>
    <x v="0"/>
    <m/>
    <n v="70.59"/>
    <n v="-2253.84"/>
    <n v="-382.94"/>
    <n v="3776.34"/>
    <n v="1986.7"/>
    <n v="-3499.75"/>
    <n v="796.34"/>
    <n v="598.6"/>
    <n v="2404.23"/>
    <n v="2190.0500000000002"/>
    <n v="2304.6999999999998"/>
    <n v="226.07"/>
    <n v="8217.09"/>
    <n v="2078.6299999999997"/>
  </r>
  <r>
    <x v="6"/>
    <x v="1"/>
    <x v="0"/>
    <s v="5639200"/>
    <n v="713010"/>
    <s v="Benefits-FICA/Medicare"/>
    <s v="St Anthony-Shared Svc"/>
    <x v="0"/>
    <m/>
    <n v="3451.21"/>
    <n v="3884.22"/>
    <n v="3053.66"/>
    <n v="3304.48"/>
    <n v="3098.47"/>
    <n v="3084.47"/>
    <n v="3316.84"/>
    <n v="3086.86"/>
    <n v="3261.13"/>
    <n v="3263.31"/>
    <n v="3148.55"/>
    <n v="3115.04"/>
    <n v="39068.240000000005"/>
    <n v="33.510000000000218"/>
  </r>
  <r>
    <x v="6"/>
    <x v="1"/>
    <x v="0"/>
    <s v="5639200"/>
    <n v="713090"/>
    <s v="Benefits-Allocated Amounts"/>
    <s v="St Anthony-Shared Svc"/>
    <x v="0"/>
    <m/>
    <n v="12253.39"/>
    <n v="11740.63"/>
    <n v="11783.22"/>
    <n v="11362.28"/>
    <n v="10529.29"/>
    <n v="10284.81"/>
    <n v="12571.4"/>
    <n v="12999.98"/>
    <n v="12810.38"/>
    <n v="12376.93"/>
    <n v="12018.43"/>
    <n v="12695.29"/>
    <n v="143426.03"/>
    <n v="-676.86000000000058"/>
  </r>
  <r>
    <x v="6"/>
    <x v="1"/>
    <x v="0"/>
    <s v="5639200"/>
    <n v="713096"/>
    <s v="Employee Recognition"/>
    <s v="St Anthony-Shared Svc"/>
    <x v="0"/>
    <n v="1017"/>
    <n v="0"/>
    <n v="82.72"/>
    <n v="0"/>
    <n v="0"/>
    <n v="94.33"/>
    <n v="0"/>
    <n v="0"/>
    <n v="0"/>
    <n v="0"/>
    <n v="0"/>
    <n v="0"/>
    <n v="18.55"/>
    <n v="195.60000000000002"/>
    <n v="-18.55"/>
  </r>
  <r>
    <x v="7"/>
    <x v="1"/>
    <x v="0"/>
    <s v="5639200"/>
    <n v="718010"/>
    <s v="Media/Print Advertising"/>
    <s v="St Anthony-Shared Svc"/>
    <x v="0"/>
    <n v="1004"/>
    <n v="96.26"/>
    <n v="678.27"/>
    <n v="0"/>
    <n v="-12.23"/>
    <n v="673.89"/>
    <n v="96.75"/>
    <n v="0"/>
    <n v="0"/>
    <n v="0"/>
    <n v="98.92"/>
    <n v="379.97"/>
    <n v="-44.43"/>
    <n v="1967.4"/>
    <n v="424.40000000000003"/>
  </r>
  <r>
    <x v="7"/>
    <x v="1"/>
    <x v="0"/>
    <s v="5639200"/>
    <n v="718050"/>
    <s v="Contract Svcs-Other"/>
    <s v="St Anthony-Shared Svc"/>
    <x v="0"/>
    <m/>
    <n v="0"/>
    <n v="40.450000000000003"/>
    <n v="365.79"/>
    <n v="0"/>
    <n v="25.93"/>
    <n v="542.5"/>
    <n v="250.57"/>
    <n v="271.25"/>
    <n v="0"/>
    <n v="0"/>
    <n v="0"/>
    <n v="0"/>
    <n v="1496.49"/>
    <n v="0"/>
  </r>
  <r>
    <x v="7"/>
    <x v="1"/>
    <x v="0"/>
    <s v="5639200"/>
    <n v="718050"/>
    <s v="Document Shredding/Storage"/>
    <s v="St Anthony-Shared Svc"/>
    <x v="0"/>
    <n v="1012"/>
    <n v="345.29"/>
    <n v="126.95"/>
    <n v="148.4"/>
    <n v="207.59"/>
    <n v="1466.97"/>
    <n v="258.05"/>
    <n v="255.46"/>
    <n v="-353.44"/>
    <n v="227.75"/>
    <n v="65.38"/>
    <n v="182.87"/>
    <n v="357.35"/>
    <n v="3288.62"/>
    <n v="-174.48000000000002"/>
  </r>
  <r>
    <x v="7"/>
    <x v="1"/>
    <x v="0"/>
    <s v="5639200"/>
    <n v="718050"/>
    <s v="Physician Answering"/>
    <s v="St Anthony-Shared Svc"/>
    <x v="0"/>
    <n v="1015"/>
    <n v="0"/>
    <n v="0"/>
    <n v="0"/>
    <n v="64"/>
    <n v="0"/>
    <n v="0"/>
    <n v="48"/>
    <n v="48"/>
    <n v="0"/>
    <n v="0"/>
    <n v="0"/>
    <n v="0"/>
    <n v="160"/>
    <n v="0"/>
  </r>
  <r>
    <x v="7"/>
    <x v="1"/>
    <x v="0"/>
    <s v="5639200"/>
    <n v="718050"/>
    <s v="Miscellaneous Purchased Svcs"/>
    <s v="St Anthony-Shared Svc"/>
    <x v="0"/>
    <n v="1020"/>
    <n v="136.06"/>
    <n v="467.09"/>
    <n v="201.05"/>
    <n v="201.05"/>
    <n v="136.06"/>
    <n v="136.06"/>
    <n v="136.06"/>
    <n v="444.86"/>
    <n v="201.06"/>
    <n v="201.69"/>
    <n v="201.06"/>
    <n v="201.06"/>
    <n v="2663.16"/>
    <n v="0"/>
  </r>
  <r>
    <x v="7"/>
    <x v="1"/>
    <x v="0"/>
    <s v="5639200"/>
    <n v="718050"/>
    <s v="Translation Services"/>
    <s v="St Anthony-Shared Svc"/>
    <x v="0"/>
    <n v="1025"/>
    <n v="0"/>
    <n v="0"/>
    <n v="207"/>
    <n v="0"/>
    <n v="0"/>
    <n v="21.06"/>
    <n v="112.5"/>
    <n v="40"/>
    <n v="0"/>
    <n v="0"/>
    <n v="60"/>
    <n v="0"/>
    <n v="440.56"/>
    <n v="60"/>
  </r>
  <r>
    <x v="7"/>
    <x v="1"/>
    <x v="0"/>
    <s v="5639200"/>
    <n v="718050"/>
    <s v="Contract Management--Linen"/>
    <s v="St Anthony-Shared Svc"/>
    <x v="0"/>
    <n v="1026"/>
    <n v="340.6"/>
    <n v="1063.53"/>
    <n v="322.58999999999997"/>
    <n v="215.06"/>
    <n v="215.06"/>
    <n v="330.92"/>
    <n v="752.71"/>
    <n v="547.97"/>
    <n v="437.86"/>
    <n v="441.37"/>
    <n v="209.03"/>
    <n v="878.3"/>
    <n v="5755"/>
    <n v="-669.27"/>
  </r>
  <r>
    <x v="7"/>
    <x v="1"/>
    <x v="0"/>
    <s v="5639200"/>
    <n v="718050"/>
    <s v="Purchased Srvcs--Medical Waste"/>
    <s v="St Anthony-Shared Svc"/>
    <x v="0"/>
    <n v="1027"/>
    <n v="95.67"/>
    <n v="53.36"/>
    <n v="74.95"/>
    <n v="63.03"/>
    <n v="74.95"/>
    <n v="162.08000000000001"/>
    <n v="75.75"/>
    <n v="106.79"/>
    <n v="0"/>
    <n v="106.83"/>
    <n v="63.03"/>
    <n v="86.07"/>
    <n v="962.51"/>
    <n v="-23.039999999999992"/>
  </r>
  <r>
    <x v="7"/>
    <x v="1"/>
    <x v="0"/>
    <s v="5639200"/>
    <n v="718070"/>
    <s v="Contract Srvcs-CHI Clinical Engineering"/>
    <s v="St Anthony-Shared Svc"/>
    <x v="0"/>
    <m/>
    <n v="0"/>
    <n v="0"/>
    <n v="0"/>
    <n v="0"/>
    <n v="300"/>
    <n v="2442"/>
    <n v="1946.5"/>
    <n v="1946.5"/>
    <n v="0"/>
    <n v="163.9"/>
    <n v="334.76"/>
    <n v="0"/>
    <n v="7133.66"/>
    <n v="334.76"/>
  </r>
  <r>
    <x v="11"/>
    <x v="1"/>
    <x v="0"/>
    <s v="5639200"/>
    <n v="721010"/>
    <s v="Supplies-Medical - Billable"/>
    <s v="St Anthony-Shared Svc"/>
    <x v="0"/>
    <m/>
    <n v="2538.5300000000002"/>
    <n v="14294.14"/>
    <n v="2742.41"/>
    <n v="2053.06"/>
    <n v="1730.18"/>
    <n v="6361.87"/>
    <n v="9352.74"/>
    <n v="5244.97"/>
    <n v="3795.05"/>
    <n v="5234.96"/>
    <n v="8796.14"/>
    <n v="1535.97"/>
    <n v="63680.020000000004"/>
    <n v="7260.1699999999992"/>
  </r>
  <r>
    <x v="11"/>
    <x v="1"/>
    <x v="0"/>
    <s v="5639200"/>
    <n v="721250"/>
    <s v="Supplies-Pharmacy Drugs - Billable"/>
    <s v="St Anthony-Shared Svc"/>
    <x v="0"/>
    <m/>
    <n v="10195.09"/>
    <n v="15314.72"/>
    <n v="15719.53"/>
    <n v="31705.27"/>
    <n v="27224.99"/>
    <n v="40937.279999999999"/>
    <n v="24197.15"/>
    <n v="5640.94"/>
    <n v="12375.54"/>
    <n v="12092.17"/>
    <n v="-1090.94"/>
    <n v="10069.040000000001"/>
    <n v="204380.78000000003"/>
    <n v="-11159.980000000001"/>
  </r>
  <r>
    <x v="11"/>
    <x v="1"/>
    <x v="0"/>
    <s v="5639200"/>
    <n v="721410"/>
    <s v="Supplies-Medical - Nonbillable"/>
    <s v="St Anthony-Shared Svc"/>
    <x v="0"/>
    <m/>
    <n v="189.96"/>
    <n v="160.22"/>
    <n v="337.77"/>
    <n v="255.82"/>
    <n v="210.59"/>
    <n v="179.42"/>
    <n v="455.23"/>
    <n v="750.25"/>
    <n v="854.47"/>
    <n v="45.62"/>
    <n v="429.02"/>
    <n v="183.08"/>
    <n v="4051.4500000000003"/>
    <n v="245.93999999999997"/>
  </r>
  <r>
    <x v="11"/>
    <x v="1"/>
    <x v="0"/>
    <s v="5639200"/>
    <n v="721810"/>
    <s v="Supplies-Dietary/Cafeteria"/>
    <s v="St Anthony-Shared Svc"/>
    <x v="0"/>
    <m/>
    <n v="130"/>
    <n v="65"/>
    <n v="328.43"/>
    <n v="65"/>
    <n v="130"/>
    <n v="130"/>
    <n v="0"/>
    <n v="130"/>
    <n v="260"/>
    <n v="130"/>
    <n v="0"/>
    <n v="130"/>
    <n v="1498.43"/>
    <n v="-130"/>
  </r>
  <r>
    <x v="11"/>
    <x v="1"/>
    <x v="0"/>
    <s v="5639200"/>
    <n v="721830"/>
    <s v="Supplies-Office"/>
    <s v="St Anthony-Shared Svc"/>
    <x v="0"/>
    <m/>
    <n v="286.88"/>
    <n v="622.63"/>
    <n v="353.62"/>
    <n v="492.5"/>
    <n v="1340.91"/>
    <n v="1394.12"/>
    <n v="1042.8599999999999"/>
    <n v="485.75"/>
    <n v="1336.74"/>
    <n v="1053.48"/>
    <n v="447.79"/>
    <n v="978.03"/>
    <n v="9835.3100000000013"/>
    <n v="-530.24"/>
  </r>
  <r>
    <x v="11"/>
    <x v="1"/>
    <x v="0"/>
    <s v="5639200"/>
    <n v="721835"/>
    <s v="Supplies-Forms"/>
    <s v="St Anthony-Shared Svc"/>
    <x v="0"/>
    <m/>
    <n v="0"/>
    <n v="0"/>
    <n v="0"/>
    <n v="0"/>
    <n v="238.23"/>
    <n v="8.4"/>
    <n v="0"/>
    <n v="0"/>
    <n v="112.6"/>
    <n v="0"/>
    <n v="126"/>
    <n v="0"/>
    <n v="485.23"/>
    <n v="126"/>
  </r>
  <r>
    <x v="11"/>
    <x v="1"/>
    <x v="0"/>
    <s v="5639200"/>
    <n v="721870"/>
    <s v="Supplies-Environmental Services"/>
    <s v="St Anthony-Shared Svc"/>
    <x v="0"/>
    <m/>
    <n v="0"/>
    <n v="0"/>
    <n v="0"/>
    <n v="0"/>
    <n v="0"/>
    <n v="0"/>
    <n v="21"/>
    <n v="43.68"/>
    <n v="0"/>
    <n v="0"/>
    <n v="12.92"/>
    <n v="84.04"/>
    <n v="161.64000000000001"/>
    <n v="-71.12"/>
  </r>
  <r>
    <x v="11"/>
    <x v="1"/>
    <x v="0"/>
    <s v="5639200"/>
    <n v="721910"/>
    <s v="Supplies-Small Equipment"/>
    <s v="St Anthony-Shared Svc"/>
    <x v="0"/>
    <m/>
    <n v="0"/>
    <n v="0"/>
    <n v="0"/>
    <n v="0"/>
    <n v="0"/>
    <n v="0"/>
    <n v="0"/>
    <n v="0"/>
    <n v="0"/>
    <n v="0"/>
    <n v="873.56"/>
    <n v="0"/>
    <n v="873.56"/>
    <n v="873.56"/>
  </r>
  <r>
    <x v="11"/>
    <x v="1"/>
    <x v="0"/>
    <s v="5639200"/>
    <n v="722000"/>
    <s v="Supplies-Freight Expense"/>
    <s v="St Anthony-Shared Svc"/>
    <x v="0"/>
    <m/>
    <n v="0"/>
    <n v="25.15"/>
    <n v="0"/>
    <n v="88.61"/>
    <n v="0"/>
    <n v="0"/>
    <n v="42.21"/>
    <n v="0"/>
    <n v="0"/>
    <n v="0"/>
    <n v="0"/>
    <n v="136.44999999999999"/>
    <n v="292.41999999999996"/>
    <n v="-136.44999999999999"/>
  </r>
  <r>
    <x v="12"/>
    <x v="1"/>
    <x v="0"/>
    <s v="5639200"/>
    <n v="730010"/>
    <s v="Rental and Leases-Building (DO NOT USE)"/>
    <s v="St Anthony-Shared Svc"/>
    <x v="0"/>
    <m/>
    <n v="31833.919999999998"/>
    <n v="31833.919999999998"/>
    <n v="31833.919999999998"/>
    <n v="31833.919999999998"/>
    <n v="31833.919999999998"/>
    <n v="-13887.48"/>
    <n v="30217.47"/>
    <n v="30217.47"/>
    <n v="30461.15"/>
    <n v="23588.25"/>
    <n v="23588.25"/>
    <n v="0"/>
    <n v="283354.70999999996"/>
    <n v="23588.25"/>
  </r>
  <r>
    <x v="12"/>
    <x v="1"/>
    <x v="0"/>
    <s v="5639200"/>
    <n v="730010"/>
    <s v="Rental-Common Area Maint (DO NOT USE)"/>
    <s v="St Anthony-Shared Svc"/>
    <x v="0"/>
    <n v="2200"/>
    <n v="0"/>
    <n v="0"/>
    <n v="0"/>
    <n v="0"/>
    <n v="0"/>
    <n v="46296.72"/>
    <n v="2191.77"/>
    <n v="2191.77"/>
    <n v="2806.26"/>
    <n v="9145.77"/>
    <n v="8902.0499999999993"/>
    <n v="0"/>
    <n v="71534.34"/>
    <n v="8902.0499999999993"/>
  </r>
  <r>
    <x v="12"/>
    <x v="1"/>
    <x v="0"/>
    <s v="5639200"/>
    <n v="730020"/>
    <s v="Rental and Leases-Copier Usage Fees (DO NOT USE)"/>
    <s v="St Anthony-Shared Svc"/>
    <x v="0"/>
    <n v="5100"/>
    <n v="1318.46"/>
    <n v="1343.37"/>
    <n v="1330.91"/>
    <n v="1330.91"/>
    <n v="1330.91"/>
    <n v="1330.91"/>
    <n v="1255.79"/>
    <n v="1063.74"/>
    <n v="1138.18"/>
    <n v="1611.38"/>
    <n v="1116.1400000000001"/>
    <n v="1167.3699999999999"/>
    <n v="15338.069999999996"/>
    <n v="-51.229999999999791"/>
  </r>
  <r>
    <x v="12"/>
    <x v="1"/>
    <x v="0"/>
    <s v="5639200"/>
    <n v="730040"/>
    <s v="LT Lease-Real Estate"/>
    <s v="St Anthony-Shared Svc"/>
    <x v="0"/>
    <m/>
    <n v="0"/>
    <n v="0"/>
    <n v="0"/>
    <n v="0"/>
    <n v="0"/>
    <n v="0"/>
    <n v="0"/>
    <n v="0"/>
    <n v="0"/>
    <n v="0"/>
    <n v="0"/>
    <n v="32490.3"/>
    <n v="32490.3"/>
    <n v="-32490.3"/>
  </r>
  <r>
    <x v="16"/>
    <x v="1"/>
    <x v="0"/>
    <s v="5639200"/>
    <n v="732015"/>
    <s v="Repairs-Clinical Equip-T&amp;M-Ext to CHI Programs"/>
    <s v="St Anthony-Shared Svc"/>
    <x v="0"/>
    <m/>
    <n v="396.03"/>
    <n v="0"/>
    <n v="0"/>
    <n v="0"/>
    <n v="0"/>
    <n v="0"/>
    <n v="0"/>
    <n v="0"/>
    <n v="0"/>
    <n v="0"/>
    <n v="0"/>
    <n v="0"/>
    <n v="396.03"/>
    <n v="0"/>
  </r>
  <r>
    <x v="16"/>
    <x v="1"/>
    <x v="0"/>
    <s v="5639200"/>
    <n v="732030"/>
    <s v="Repairs---Other"/>
    <s v="St Anthony-Shared Svc"/>
    <x v="0"/>
    <m/>
    <n v="25.08"/>
    <n v="0"/>
    <n v="0"/>
    <n v="0"/>
    <n v="0"/>
    <n v="0"/>
    <n v="0"/>
    <n v="0"/>
    <n v="0"/>
    <n v="0"/>
    <n v="0"/>
    <n v="0"/>
    <n v="25.08"/>
    <n v="0"/>
  </r>
  <r>
    <x v="16"/>
    <x v="1"/>
    <x v="0"/>
    <s v="5639200"/>
    <n v="732030"/>
    <s v="Repairs&amp;Maintenance-Bldg Routine"/>
    <s v="St Anthony-Shared Svc"/>
    <x v="0"/>
    <n v="2300"/>
    <n v="0"/>
    <n v="0"/>
    <n v="0"/>
    <n v="0"/>
    <n v="792.92"/>
    <n v="0"/>
    <n v="0"/>
    <n v="0"/>
    <n v="0"/>
    <n v="0"/>
    <n v="0"/>
    <n v="0"/>
    <n v="792.92"/>
    <n v="0"/>
  </r>
  <r>
    <x v="13"/>
    <x v="1"/>
    <x v="0"/>
    <s v="5639200"/>
    <n v="735050"/>
    <s v="Amortization-Leasehold Improvements"/>
    <s v="St Anthony-Shared Svc"/>
    <x v="0"/>
    <m/>
    <n v="2156.4299999999998"/>
    <n v="2156.4299999999998"/>
    <n v="2156.4299999999998"/>
    <n v="2156.4299999999998"/>
    <n v="2156.4299999999998"/>
    <n v="2156.4299999999998"/>
    <n v="2156.44"/>
    <n v="2156.4299999999998"/>
    <n v="2156.44"/>
    <n v="2156.4299999999998"/>
    <n v="2156.46"/>
    <n v="2156.4299999999998"/>
    <n v="25877.21"/>
    <n v="3.0000000000200089E-2"/>
  </r>
  <r>
    <x v="13"/>
    <x v="1"/>
    <x v="0"/>
    <s v="5639200"/>
    <n v="735060"/>
    <s v="Depreciation-Fixed Equipment"/>
    <s v="St Anthony-Shared Svc"/>
    <x v="0"/>
    <m/>
    <n v="77.209999999999994"/>
    <n v="77.209999999999994"/>
    <n v="77.209999999999994"/>
    <n v="77.209999999999994"/>
    <n v="77.209999999999994"/>
    <n v="77.2"/>
    <n v="77.209999999999994"/>
    <n v="77.2"/>
    <n v="77.209999999999994"/>
    <n v="77.2"/>
    <n v="77.209999999999994"/>
    <n v="77.2"/>
    <n v="926.48000000000013"/>
    <n v="9.9999999999909051E-3"/>
  </r>
  <r>
    <x v="13"/>
    <x v="1"/>
    <x v="0"/>
    <s v="5639200"/>
    <n v="735070"/>
    <s v="Depreciation-Movable Equipment"/>
    <s v="St Anthony-Shared Svc"/>
    <x v="0"/>
    <m/>
    <n v="1328.6"/>
    <n v="1328.59"/>
    <n v="1328.61"/>
    <n v="1328.59"/>
    <n v="1328.62"/>
    <n v="1328.58"/>
    <n v="1328.62"/>
    <n v="1328.57"/>
    <n v="1328.62"/>
    <n v="1328.56"/>
    <n v="1328.62"/>
    <n v="1328.55"/>
    <n v="15943.129999999997"/>
    <n v="6.9999999999936335E-2"/>
  </r>
  <r>
    <x v="0"/>
    <x v="1"/>
    <x v="0"/>
    <s v="5639200"/>
    <n v="742040"/>
    <s v="Freight-Other"/>
    <s v="St Anthony-Shared Svc"/>
    <x v="0"/>
    <m/>
    <n v="0"/>
    <n v="204.79"/>
    <n v="0"/>
    <n v="12.23"/>
    <n v="0"/>
    <n v="0"/>
    <n v="-204.79"/>
    <n v="0"/>
    <n v="0"/>
    <n v="0"/>
    <n v="0"/>
    <n v="44.43"/>
    <n v="56.659999999999989"/>
    <n v="-44.43"/>
  </r>
  <r>
    <x v="0"/>
    <x v="1"/>
    <x v="0"/>
    <s v="5639200"/>
    <n v="743030"/>
    <s v="Subscriptions--Institutional"/>
    <s v="St Anthony-Shared Svc"/>
    <x v="0"/>
    <m/>
    <n v="0"/>
    <n v="0"/>
    <n v="0"/>
    <n v="0"/>
    <n v="0"/>
    <n v="0"/>
    <n v="0"/>
    <n v="0"/>
    <n v="0"/>
    <n v="0"/>
    <n v="53.23"/>
    <n v="0"/>
    <n v="53.23"/>
    <n v="53.23"/>
  </r>
  <r>
    <x v="0"/>
    <x v="1"/>
    <x v="0"/>
    <s v="5639200"/>
    <n v="749510"/>
    <s v="Miscellaneous Expenses"/>
    <s v="St Anthony-Shared Svc"/>
    <x v="0"/>
    <m/>
    <n v="-7.8"/>
    <n v="0"/>
    <n v="0"/>
    <n v="0"/>
    <n v="0"/>
    <n v="314.37"/>
    <n v="0"/>
    <n v="0"/>
    <n v="0"/>
    <n v="0"/>
    <n v="430"/>
    <n v="0"/>
    <n v="736.56999999999994"/>
    <n v="430"/>
  </r>
  <r>
    <x v="0"/>
    <x v="1"/>
    <x v="0"/>
    <s v="5639200"/>
    <n v="749510"/>
    <s v="Licenses"/>
    <s v="St Anthony-Shared Svc"/>
    <x v="0"/>
    <n v="1002"/>
    <n v="0"/>
    <n v="0"/>
    <n v="265"/>
    <n v="0"/>
    <n v="0"/>
    <n v="155"/>
    <n v="38.75"/>
    <n v="19"/>
    <n v="0"/>
    <n v="0"/>
    <n v="0"/>
    <n v="0"/>
    <n v="477.75"/>
    <n v="0"/>
  </r>
  <r>
    <x v="0"/>
    <x v="1"/>
    <x v="0"/>
    <s v="5639200"/>
    <n v="749530"/>
    <s v="Travel"/>
    <s v="St Anthony-Shared Svc"/>
    <x v="0"/>
    <m/>
    <n v="0"/>
    <n v="0"/>
    <n v="0"/>
    <n v="0"/>
    <n v="0"/>
    <n v="0"/>
    <n v="0"/>
    <n v="0"/>
    <n v="0"/>
    <n v="0"/>
    <n v="0"/>
    <n v="10"/>
    <n v="10"/>
    <n v="-10"/>
  </r>
  <r>
    <x v="0"/>
    <x v="1"/>
    <x v="0"/>
    <s v="5639200"/>
    <n v="749530"/>
    <s v="Mileage"/>
    <s v="St Anthony-Shared Svc"/>
    <x v="0"/>
    <n v="1001"/>
    <n v="0"/>
    <n v="0"/>
    <n v="0"/>
    <n v="0"/>
    <n v="0"/>
    <n v="0"/>
    <n v="0"/>
    <n v="0"/>
    <n v="0"/>
    <n v="0"/>
    <n v="0"/>
    <n v="23.2"/>
    <n v="23.2"/>
    <n v="-23.2"/>
  </r>
  <r>
    <x v="0"/>
    <x v="1"/>
    <x v="0"/>
    <s v="5639200"/>
    <n v="749535"/>
    <s v="Meetings"/>
    <s v="St Anthony-Shared Svc"/>
    <x v="0"/>
    <m/>
    <n v="0"/>
    <n v="0"/>
    <n v="140.19"/>
    <n v="0"/>
    <n v="0"/>
    <n v="0"/>
    <n v="0"/>
    <n v="0"/>
    <n v="0"/>
    <n v="0"/>
    <n v="0"/>
    <n v="0"/>
    <n v="140.19"/>
    <n v="0"/>
  </r>
  <r>
    <x v="0"/>
    <x v="1"/>
    <x v="0"/>
    <s v="5639200"/>
    <n v="749550"/>
    <s v="Cash Over/Short"/>
    <s v="St Anthony-Shared Svc"/>
    <x v="0"/>
    <m/>
    <n v="-6"/>
    <n v="0"/>
    <n v="0"/>
    <n v="-0.2"/>
    <n v="0"/>
    <n v="10"/>
    <n v="0"/>
    <n v="0"/>
    <n v="-0.94"/>
    <n v="-3"/>
    <n v="-1.84"/>
    <n v="0"/>
    <n v="-1.9800000000000002"/>
    <n v="-1.84"/>
  </r>
  <r>
    <x v="0"/>
    <x v="1"/>
    <x v="0"/>
    <s v="5639200"/>
    <n v="766010"/>
    <s v="Property Tax"/>
    <s v="St Anthony-Shared Svc"/>
    <x v="0"/>
    <m/>
    <n v="275.92"/>
    <n v="275.92"/>
    <n v="275.92"/>
    <n v="275.92"/>
    <n v="275.92"/>
    <n v="275.92"/>
    <n v="275.92"/>
    <n v="275.92"/>
    <n v="275.92"/>
    <n v="38.11"/>
    <n v="216.48"/>
    <n v="216.48"/>
    <n v="2954.3500000000004"/>
    <n v="0"/>
  </r>
  <r>
    <x v="7"/>
    <x v="1"/>
    <x v="0"/>
    <s v="5640200"/>
    <n v="718050"/>
    <s v="Document Shredding/Storage"/>
    <s v="Lakes Family Medicine"/>
    <x v="0"/>
    <n v="1012"/>
    <n v="19.23"/>
    <n v="-7.08"/>
    <n v="5.86"/>
    <n v="8.58"/>
    <n v="13.54"/>
    <n v="13.54"/>
    <n v="13.4"/>
    <n v="25.12"/>
    <n v="16.34"/>
    <n v="-2.44"/>
    <n v="8.57"/>
    <n v="8.85"/>
    <n v="123.51000000000002"/>
    <n v="-0.27999999999999936"/>
  </r>
  <r>
    <x v="7"/>
    <x v="1"/>
    <x v="0"/>
    <s v="5640200"/>
    <n v="718070"/>
    <s v="Contract Srvcs-CHI Clinical Engineering"/>
    <s v="Lakes Family Medicine"/>
    <x v="0"/>
    <m/>
    <n v="0"/>
    <n v="0"/>
    <n v="0"/>
    <n v="0"/>
    <n v="5889"/>
    <n v="0"/>
    <n v="0"/>
    <n v="0"/>
    <n v="0"/>
    <n v="0"/>
    <n v="0"/>
    <n v="0"/>
    <n v="5889"/>
    <n v="0"/>
  </r>
  <r>
    <x v="12"/>
    <x v="1"/>
    <x v="0"/>
    <s v="5640200"/>
    <n v="730020"/>
    <s v="Rental and Leases-Copier Usage Fees (DO NOT USE)"/>
    <s v="Lakes Family Medicine"/>
    <x v="0"/>
    <n v="5100"/>
    <n v="39.799999999999997"/>
    <n v="39.909999999999997"/>
    <n v="39.85"/>
    <n v="39.85"/>
    <n v="39.85"/>
    <n v="39.85"/>
    <n v="-19.690000000000001"/>
    <n v="35.6"/>
    <n v="35.53"/>
    <n v="35.67"/>
    <n v="35.6"/>
    <n v="35.6"/>
    <n v="397.42"/>
    <n v="0"/>
  </r>
  <r>
    <x v="11"/>
    <x v="1"/>
    <x v="0"/>
    <s v="5643200"/>
    <n v="721250"/>
    <s v="Supplies-Pharmacy Drugs - Billable"/>
    <s v="St Anthony Milgard-Shared Svc"/>
    <x v="0"/>
    <m/>
    <n v="0"/>
    <n v="0"/>
    <n v="0"/>
    <n v="0"/>
    <n v="0"/>
    <n v="0"/>
    <n v="0"/>
    <n v="0"/>
    <n v="1332.65"/>
    <n v="0"/>
    <n v="0"/>
    <n v="0"/>
    <n v="1332.65"/>
    <n v="0"/>
  </r>
  <r>
    <x v="7"/>
    <x v="1"/>
    <x v="0"/>
    <s v="5644200"/>
    <n v="718050"/>
    <s v="Document Shredding/Storage"/>
    <s v="Franciscan Family Medicine"/>
    <x v="0"/>
    <n v="1012"/>
    <n v="14.94"/>
    <n v="5.83"/>
    <n v="11.28"/>
    <n v="11.59"/>
    <n v="13.83"/>
    <n v="11.98"/>
    <n v="11.86"/>
    <n v="13.89"/>
    <n v="12.35"/>
    <n v="10.130000000000001"/>
    <n v="11.59"/>
    <n v="54.08"/>
    <n v="183.34999999999997"/>
    <n v="-42.489999999999995"/>
  </r>
  <r>
    <x v="7"/>
    <x v="1"/>
    <x v="0"/>
    <s v="5645200"/>
    <n v="718050"/>
    <s v="Contract Svcs-Other"/>
    <s v="Gen Surg/FAST-Shared Svc"/>
    <x v="0"/>
    <m/>
    <n v="114.02"/>
    <n v="114.02"/>
    <n v="71.37"/>
    <n v="114.02"/>
    <n v="114.02"/>
    <n v="42.65"/>
    <n v="228.04"/>
    <n v="72.599999999999994"/>
    <n v="28.2"/>
    <n v="0"/>
    <n v="28.2"/>
    <n v="0"/>
    <n v="927.14"/>
    <n v="28.2"/>
  </r>
  <r>
    <x v="7"/>
    <x v="1"/>
    <x v="0"/>
    <s v="5645200"/>
    <n v="718050"/>
    <s v="Document Shredding/Storage"/>
    <s v="Gen Surg/FAST-Shared Svc"/>
    <x v="0"/>
    <n v="1012"/>
    <n v="42.97"/>
    <n v="24.87"/>
    <n v="34.82"/>
    <n v="36.14"/>
    <n v="68.540000000000006"/>
    <n v="41.85"/>
    <n v="41.43"/>
    <n v="-4.5599999999999996"/>
    <n v="24.89"/>
    <n v="48.02"/>
    <n v="39.590000000000003"/>
    <n v="15.9"/>
    <n v="414.45999999999992"/>
    <n v="23.690000000000005"/>
  </r>
  <r>
    <x v="7"/>
    <x v="1"/>
    <x v="0"/>
    <s v="5645200"/>
    <n v="718050"/>
    <s v="Physician Answering"/>
    <s v="Gen Surg/FAST-Shared Svc"/>
    <x v="0"/>
    <n v="1015"/>
    <n v="286.8"/>
    <n v="314.60000000000002"/>
    <n v="355.8"/>
    <n v="177.8"/>
    <n v="287"/>
    <n v="269.8"/>
    <n v="364.2"/>
    <n v="267.2"/>
    <n v="308.60000000000002"/>
    <n v="434.2"/>
    <n v="334.2"/>
    <n v="255.8"/>
    <n v="3655.9999999999995"/>
    <n v="78.399999999999977"/>
  </r>
  <r>
    <x v="7"/>
    <x v="1"/>
    <x v="0"/>
    <s v="5645200"/>
    <n v="718050"/>
    <s v="Translation Services"/>
    <s v="Gen Surg/FAST-Shared Svc"/>
    <x v="0"/>
    <n v="1025"/>
    <n v="6.48"/>
    <n v="0"/>
    <n v="50.13"/>
    <n v="48.59"/>
    <n v="19.29"/>
    <n v="142.11000000000001"/>
    <n v="53.26"/>
    <n v="60.6"/>
    <n v="0"/>
    <n v="63.42"/>
    <n v="67.67"/>
    <n v="41.16"/>
    <n v="552.71"/>
    <n v="26.510000000000005"/>
  </r>
  <r>
    <x v="7"/>
    <x v="1"/>
    <x v="0"/>
    <s v="5645200"/>
    <n v="718050"/>
    <s v="Purchased Srvcs--Medical Waste"/>
    <s v="Gen Surg/FAST-Shared Svc"/>
    <x v="0"/>
    <n v="1027"/>
    <n v="21.5"/>
    <n v="21.5"/>
    <n v="21.5"/>
    <n v="0"/>
    <n v="21.5"/>
    <n v="21.5"/>
    <n v="43"/>
    <n v="21.5"/>
    <n v="0"/>
    <n v="43"/>
    <n v="0"/>
    <n v="21.5"/>
    <n v="236.5"/>
    <n v="-21.5"/>
  </r>
  <r>
    <x v="7"/>
    <x v="1"/>
    <x v="0"/>
    <s v="5645200"/>
    <n v="718070"/>
    <s v="Contract Srvcs-CHI Clinical Engineering"/>
    <s v="Gen Surg/FAST-Shared Svc"/>
    <x v="0"/>
    <m/>
    <n v="0"/>
    <n v="0"/>
    <n v="605.54999999999995"/>
    <n v="0"/>
    <n v="440.5"/>
    <n v="0"/>
    <n v="0"/>
    <n v="0"/>
    <n v="0"/>
    <n v="0"/>
    <n v="0"/>
    <n v="0"/>
    <n v="1046.05"/>
    <n v="0"/>
  </r>
  <r>
    <x v="11"/>
    <x v="1"/>
    <x v="0"/>
    <s v="5645200"/>
    <n v="721830"/>
    <s v="Supplies-Office"/>
    <s v="Gen Surg/FAST-Shared Svc"/>
    <x v="0"/>
    <m/>
    <n v="86.81"/>
    <n v="725.89"/>
    <n v="86.89"/>
    <n v="0"/>
    <n v="0"/>
    <n v="0"/>
    <n v="0"/>
    <n v="0"/>
    <n v="0"/>
    <n v="0"/>
    <n v="0"/>
    <n v="0"/>
    <n v="899.59"/>
    <n v="0"/>
  </r>
  <r>
    <x v="12"/>
    <x v="1"/>
    <x v="0"/>
    <s v="5645200"/>
    <n v="730020"/>
    <s v="Rental and Leases-Copier Usage Fees (DO NOT USE)"/>
    <s v="Gen Surg/FAST-Shared Svc"/>
    <x v="0"/>
    <n v="5100"/>
    <n v="94.03"/>
    <n v="93.95"/>
    <n v="93.99"/>
    <n v="93.99"/>
    <n v="93.99"/>
    <n v="93.99"/>
    <n v="-1075.96"/>
    <n v="0"/>
    <n v="0"/>
    <n v="0"/>
    <n v="0"/>
    <n v="0"/>
    <n v="-512.02"/>
    <n v="0"/>
  </r>
  <r>
    <x v="15"/>
    <x v="1"/>
    <x v="0"/>
    <s v="5645200"/>
    <n v="731060"/>
    <s v="Pagers"/>
    <s v="Gen Surg/FAST-Shared Svc"/>
    <x v="0"/>
    <n v="1002"/>
    <n v="24.3"/>
    <n v="24.3"/>
    <n v="82.59"/>
    <n v="0"/>
    <n v="0"/>
    <n v="0"/>
    <n v="0"/>
    <n v="0"/>
    <n v="0"/>
    <n v="0"/>
    <n v="0"/>
    <n v="0"/>
    <n v="131.19"/>
    <n v="0"/>
  </r>
  <r>
    <x v="15"/>
    <x v="1"/>
    <x v="0"/>
    <s v="5645200"/>
    <n v="731070"/>
    <s v="Cable TV"/>
    <s v="Gen Surg/FAST-Shared Svc"/>
    <x v="0"/>
    <m/>
    <n v="62.1"/>
    <n v="62.1"/>
    <n v="62.1"/>
    <n v="62.08"/>
    <n v="61.45"/>
    <n v="61.45"/>
    <n v="61.45"/>
    <n v="61.45"/>
    <n v="61.45"/>
    <n v="61.45"/>
    <n v="61.62"/>
    <n v="61.62"/>
    <n v="740.32"/>
    <n v="0"/>
  </r>
  <r>
    <x v="13"/>
    <x v="1"/>
    <x v="0"/>
    <s v="5645200"/>
    <n v="735070"/>
    <s v="Depreciation-Movable Equipment"/>
    <s v="Gen Surg/FAST-Shared Svc"/>
    <x v="0"/>
    <m/>
    <n v="0"/>
    <n v="0"/>
    <n v="0"/>
    <n v="926.02"/>
    <n v="926.02"/>
    <n v="926.02"/>
    <n v="926.02"/>
    <n v="926.01"/>
    <n v="926.02"/>
    <n v="926.01"/>
    <n v="926.02"/>
    <n v="926.01"/>
    <n v="8334.1500000000015"/>
    <n v="9.9999999999909051E-3"/>
  </r>
  <r>
    <x v="0"/>
    <x v="1"/>
    <x v="0"/>
    <s v="5645200"/>
    <n v="749510"/>
    <s v="Miscellaneous Expenses"/>
    <s v="Gen Surg/FAST-Shared Svc"/>
    <x v="0"/>
    <m/>
    <n v="0"/>
    <n v="0"/>
    <n v="0"/>
    <n v="-1"/>
    <n v="0"/>
    <n v="0"/>
    <n v="0"/>
    <n v="0"/>
    <n v="0"/>
    <n v="0"/>
    <n v="0"/>
    <n v="0"/>
    <n v="-1"/>
    <n v="0"/>
  </r>
  <r>
    <x v="5"/>
    <x v="1"/>
    <x v="0"/>
    <s v="5646200"/>
    <n v="700018"/>
    <s v="Salaries-Supervisory-Productive"/>
    <s v="FMG Float Pool"/>
    <x v="0"/>
    <m/>
    <n v="0"/>
    <n v="0"/>
    <n v="0"/>
    <n v="8421.92"/>
    <n v="4248.16"/>
    <n v="6372.24"/>
    <n v="6685.93"/>
    <n v="6077.72"/>
    <n v="6381.61"/>
    <n v="3585.84"/>
    <n v="8265.7099999999991"/>
    <n v="5469.94"/>
    <n v="55509.07"/>
    <n v="2795.7699999999995"/>
  </r>
  <r>
    <x v="5"/>
    <x v="1"/>
    <x v="0"/>
    <s v="5646200"/>
    <n v="700026"/>
    <s v="Salaries-RN-Productive"/>
    <s v="FMG Float Pool"/>
    <x v="0"/>
    <m/>
    <n v="5739.27"/>
    <n v="2162.8200000000002"/>
    <n v="6522.28"/>
    <n v="-1323.93"/>
    <n v="20.32"/>
    <n v="-16.93"/>
    <n v="3228.14"/>
    <n v="-102.88"/>
    <n v="391.62"/>
    <n v="-38.39"/>
    <n v="7685.33"/>
    <n v="-2520.08"/>
    <n v="21747.57"/>
    <n v="10205.41"/>
  </r>
  <r>
    <x v="5"/>
    <x v="1"/>
    <x v="0"/>
    <s v="5646200"/>
    <n v="700026"/>
    <s v="Salaries-RN-OT"/>
    <s v="FMG Float Pool"/>
    <x v="0"/>
    <n v="1000"/>
    <n v="646.26"/>
    <n v="571.89"/>
    <n v="1431.01"/>
    <n v="-170.14"/>
    <n v="30.48"/>
    <n v="-25.4"/>
    <n v="11.74"/>
    <n v="0"/>
    <n v="0"/>
    <n v="0"/>
    <n v="191.63"/>
    <n v="-14.31"/>
    <n v="2673.16"/>
    <n v="205.94"/>
  </r>
  <r>
    <x v="5"/>
    <x v="1"/>
    <x v="0"/>
    <s v="5646200"/>
    <n v="700026"/>
    <s v="Salaries-RN-Other"/>
    <s v="FMG Float Pool"/>
    <x v="0"/>
    <n v="2000"/>
    <n v="198.1"/>
    <n v="75.02"/>
    <n v="245.63"/>
    <n v="-42.45"/>
    <n v="0.2"/>
    <n v="-0.5"/>
    <n v="135.53"/>
    <n v="-3.35"/>
    <n v="12.76"/>
    <n v="-1.25"/>
    <n v="238.86"/>
    <n v="-66.11"/>
    <n v="792.43999999999994"/>
    <n v="304.97000000000003"/>
  </r>
  <r>
    <x v="5"/>
    <x v="1"/>
    <x v="0"/>
    <s v="5646200"/>
    <n v="700030"/>
    <s v="Salaries-LPN-Productive"/>
    <s v="FMG Float Pool"/>
    <x v="0"/>
    <m/>
    <n v="5524.68"/>
    <n v="1466.45"/>
    <n v="2935.97"/>
    <n v="-453.13"/>
    <n v="0"/>
    <n v="0"/>
    <n v="0"/>
    <n v="2418.69"/>
    <n v="-135.65"/>
    <n v="229.65"/>
    <n v="386.4"/>
    <n v="390.76"/>
    <n v="12763.820000000002"/>
    <n v="-4.3600000000000136"/>
  </r>
  <r>
    <x v="5"/>
    <x v="1"/>
    <x v="0"/>
    <s v="5646200"/>
    <n v="700030"/>
    <s v="Salaries-LPN-OT"/>
    <s v="FMG Float Pool"/>
    <x v="0"/>
    <n v="1000"/>
    <n v="857.25"/>
    <n v="162.52000000000001"/>
    <n v="196.59"/>
    <n v="0"/>
    <n v="0"/>
    <n v="0"/>
    <n v="0"/>
    <n v="17.71"/>
    <n v="0"/>
    <n v="0"/>
    <n v="161.34"/>
    <n v="0.65"/>
    <n v="1396.06"/>
    <n v="160.69"/>
  </r>
  <r>
    <x v="5"/>
    <x v="1"/>
    <x v="0"/>
    <s v="5646200"/>
    <n v="700030"/>
    <s v="Salaries-LPN-Other"/>
    <s v="FMG Float Pool"/>
    <x v="0"/>
    <n v="2000"/>
    <n v="304.75"/>
    <n v="67.5"/>
    <n v="219.37"/>
    <n v="-41.12"/>
    <n v="0"/>
    <n v="0"/>
    <n v="0"/>
    <n v="165.05"/>
    <n v="-5.82"/>
    <n v="39.5"/>
    <n v="298.79000000000002"/>
    <n v="80.930000000000007"/>
    <n v="1128.95"/>
    <n v="217.86"/>
  </r>
  <r>
    <x v="5"/>
    <x v="1"/>
    <x v="0"/>
    <s v="5646200"/>
    <n v="700032"/>
    <s v="Salaries-Other Pat Care Providers-Productive"/>
    <s v="FMG Float Pool"/>
    <x v="0"/>
    <m/>
    <n v="11209.61"/>
    <n v="6458.29"/>
    <n v="7824.97"/>
    <n v="4823.0600000000004"/>
    <n v="325.64999999999998"/>
    <n v="-171.45"/>
    <n v="71.930000000000007"/>
    <n v="701.98"/>
    <n v="1091.79"/>
    <n v="995.96"/>
    <n v="177.13"/>
    <n v="177.82"/>
    <n v="33686.740000000005"/>
    <n v="-0.68999999999999773"/>
  </r>
  <r>
    <x v="5"/>
    <x v="1"/>
    <x v="0"/>
    <s v="5646200"/>
    <n v="700032"/>
    <s v="Salaries-Other Pat Care Providers-OT"/>
    <s v="FMG Float Pool"/>
    <x v="0"/>
    <n v="1000"/>
    <n v="658.15"/>
    <n v="562.64"/>
    <n v="90.1"/>
    <n v="184.53"/>
    <n v="0"/>
    <n v="0"/>
    <n v="0"/>
    <n v="0"/>
    <n v="0"/>
    <n v="0"/>
    <n v="0"/>
    <n v="0"/>
    <n v="1495.4199999999998"/>
    <n v="0"/>
  </r>
  <r>
    <x v="5"/>
    <x v="1"/>
    <x v="0"/>
    <s v="5646200"/>
    <n v="700032"/>
    <s v="Salaries-Other Pat Care Providers-Other"/>
    <s v="FMG Float Pool"/>
    <x v="0"/>
    <n v="2000"/>
    <n v="687"/>
    <n v="398.49"/>
    <n v="548"/>
    <n v="269.31"/>
    <n v="88.7"/>
    <n v="65.989999999999995"/>
    <n v="51.53"/>
    <n v="156.71"/>
    <n v="86.56"/>
    <n v="104.18"/>
    <n v="9.56"/>
    <n v="113.93"/>
    <n v="2579.9599999999996"/>
    <n v="-104.37"/>
  </r>
  <r>
    <x v="5"/>
    <x v="1"/>
    <x v="0"/>
    <s v="5646200"/>
    <n v="700058"/>
    <s v="Salaries-Supervisory-Non-productive"/>
    <s v="FMG Float Pool"/>
    <x v="0"/>
    <m/>
    <n v="0"/>
    <n v="0"/>
    <n v="0"/>
    <n v="0"/>
    <n v="2427.52"/>
    <n v="0"/>
    <n v="303.89"/>
    <n v="0"/>
    <n v="0"/>
    <n v="3099.63"/>
    <n v="-1276.31"/>
    <n v="607.78"/>
    <n v="5162.5099999999993"/>
    <n v="-1884.09"/>
  </r>
  <r>
    <x v="5"/>
    <x v="1"/>
    <x v="0"/>
    <s v="5646200"/>
    <n v="700066"/>
    <s v="Salaries-RN-Non-productive"/>
    <s v="FMG Float Pool"/>
    <x v="0"/>
    <m/>
    <n v="541.76"/>
    <n v="0"/>
    <n v="270.88"/>
    <n v="0"/>
    <n v="0"/>
    <n v="0"/>
    <n v="0"/>
    <n v="0"/>
    <n v="0"/>
    <n v="0"/>
    <n v="0"/>
    <n v="0"/>
    <n v="812.64"/>
    <n v="0"/>
  </r>
  <r>
    <x v="5"/>
    <x v="1"/>
    <x v="0"/>
    <s v="5646200"/>
    <n v="700066"/>
    <s v="Salaries-RN-NonProd-Other"/>
    <s v="FMG Float Pool"/>
    <x v="0"/>
    <n v="2000"/>
    <n v="0"/>
    <n v="25.39"/>
    <n v="-8.4600000000000009"/>
    <n v="0"/>
    <n v="0"/>
    <n v="0"/>
    <n v="0"/>
    <n v="0"/>
    <n v="0"/>
    <n v="0"/>
    <n v="0"/>
    <n v="0"/>
    <n v="16.93"/>
    <n v="0"/>
  </r>
  <r>
    <x v="5"/>
    <x v="1"/>
    <x v="0"/>
    <s v="5646200"/>
    <n v="700070"/>
    <s v="Salaries-LPN-Non-productive"/>
    <s v="FMG Float Pool"/>
    <x v="0"/>
    <m/>
    <n v="1254.8"/>
    <n v="-137.28"/>
    <n v="1458.6"/>
    <n v="-429"/>
    <n v="0"/>
    <n v="0"/>
    <n v="0"/>
    <n v="0"/>
    <n v="0"/>
    <n v="669.59"/>
    <n v="-166.59"/>
    <n v="1496.6"/>
    <n v="4146.7199999999993"/>
    <n v="-1663.1899999999998"/>
  </r>
  <r>
    <x v="5"/>
    <x v="1"/>
    <x v="0"/>
    <s v="5646200"/>
    <n v="700070"/>
    <s v="Salaries-LPN-NonProd-Other"/>
    <s v="FMG Float Pool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46200"/>
    <n v="700072"/>
    <s v="Salaries-Other Pat Care Providers-Non-productive"/>
    <s v="FMG Float Pool"/>
    <x v="0"/>
    <m/>
    <n v="2089.65"/>
    <n v="954.2"/>
    <n v="2202.31"/>
    <n v="138.19"/>
    <n v="1451.99"/>
    <n v="1544.12"/>
    <n v="970.05"/>
    <n v="1876.41"/>
    <n v="-5.53"/>
    <n v="1093.77"/>
    <n v="35.29"/>
    <n v="2308.96"/>
    <n v="14659.41"/>
    <n v="-2273.67"/>
  </r>
  <r>
    <x v="5"/>
    <x v="1"/>
    <x v="0"/>
    <s v="5646200"/>
    <n v="700072"/>
    <s v="Salaries-Other Pat Care Providers-NonProd-Other"/>
    <s v="FMG Float Pool"/>
    <x v="0"/>
    <n v="2000"/>
    <n v="51.75"/>
    <n v="114.26"/>
    <n v="75.680000000000007"/>
    <n v="210.05"/>
    <n v="0.02"/>
    <n v="-29.72"/>
    <n v="0"/>
    <n v="0"/>
    <n v="0"/>
    <n v="0"/>
    <n v="9.92"/>
    <n v="0"/>
    <n v="431.96"/>
    <n v="9.92"/>
  </r>
  <r>
    <x v="5"/>
    <x v="1"/>
    <x v="0"/>
    <s v="5646200"/>
    <n v="700084"/>
    <s v="Accrued PTO"/>
    <s v="FMG Float Pool"/>
    <x v="0"/>
    <m/>
    <n v="-1022.79"/>
    <n v="732.51"/>
    <n v="-22.51"/>
    <n v="1605.26"/>
    <n v="-953.25"/>
    <n v="1076.45"/>
    <n v="990.29"/>
    <n v="1001.13"/>
    <n v="2395.2199999999998"/>
    <n v="71.680000000000007"/>
    <n v="3263.11"/>
    <n v="755.88"/>
    <n v="9892.98"/>
    <n v="2507.23"/>
  </r>
  <r>
    <x v="6"/>
    <x v="1"/>
    <x v="0"/>
    <s v="5646200"/>
    <n v="713010"/>
    <s v="Benefits-FICA/Medicare"/>
    <s v="FMG Float Pool"/>
    <x v="0"/>
    <m/>
    <n v="2244.73"/>
    <n v="970.02"/>
    <n v="1814.58"/>
    <n v="874.79"/>
    <n v="645"/>
    <n v="579.57000000000005"/>
    <n v="864.43"/>
    <n v="851.33"/>
    <n v="587.94000000000005"/>
    <n v="732.94"/>
    <n v="1241.52"/>
    <n v="568.20000000000005"/>
    <n v="11975.050000000003"/>
    <n v="673.31999999999994"/>
  </r>
  <r>
    <x v="6"/>
    <x v="1"/>
    <x v="0"/>
    <s v="5646200"/>
    <n v="713090"/>
    <s v="Benefits-Allocated Amounts"/>
    <s v="FMG Float Pool"/>
    <x v="0"/>
    <m/>
    <n v="7475.37"/>
    <n v="3212.01"/>
    <n v="5701.68"/>
    <n v="3452.77"/>
    <n v="1685.4"/>
    <n v="911.86"/>
    <n v="2849.87"/>
    <n v="3299.22"/>
    <n v="1843.88"/>
    <n v="2411.0700000000002"/>
    <n v="2958.92"/>
    <n v="2033.98"/>
    <n v="37836.030000000006"/>
    <n v="924.94"/>
  </r>
  <r>
    <x v="7"/>
    <x v="1"/>
    <x v="0"/>
    <s v="5646200"/>
    <n v="718050"/>
    <s v="Contract Svcs-Other"/>
    <s v="FMG Float Pool"/>
    <x v="0"/>
    <m/>
    <n v="0"/>
    <n v="0"/>
    <n v="0"/>
    <n v="0"/>
    <n v="45"/>
    <n v="0"/>
    <n v="0"/>
    <n v="0"/>
    <n v="0"/>
    <n v="0"/>
    <n v="0"/>
    <n v="0"/>
    <n v="45"/>
    <n v="0"/>
  </r>
  <r>
    <x v="11"/>
    <x v="1"/>
    <x v="0"/>
    <s v="5646200"/>
    <n v="721830"/>
    <s v="Supplies-Office"/>
    <s v="FMG Float Pool"/>
    <x v="0"/>
    <m/>
    <n v="0"/>
    <n v="0"/>
    <n v="0"/>
    <n v="0"/>
    <n v="0"/>
    <n v="0"/>
    <n v="0"/>
    <n v="0"/>
    <n v="300"/>
    <n v="22.33"/>
    <n v="0"/>
    <n v="0"/>
    <n v="322.33"/>
    <n v="0"/>
  </r>
  <r>
    <x v="11"/>
    <x v="1"/>
    <x v="0"/>
    <s v="5646200"/>
    <n v="722000"/>
    <s v="Supplies-Freight Expense"/>
    <s v="FMG Float Pool"/>
    <x v="0"/>
    <m/>
    <n v="0"/>
    <n v="0"/>
    <n v="0"/>
    <n v="0"/>
    <n v="20.56"/>
    <n v="0"/>
    <n v="0"/>
    <n v="0"/>
    <n v="0"/>
    <n v="0"/>
    <n v="0"/>
    <n v="0"/>
    <n v="20.56"/>
    <n v="0"/>
  </r>
  <r>
    <x v="15"/>
    <x v="1"/>
    <x v="0"/>
    <s v="5646200"/>
    <n v="731060"/>
    <s v="Telephone"/>
    <s v="FMG Float Pool"/>
    <x v="0"/>
    <m/>
    <n v="0"/>
    <n v="0"/>
    <n v="175"/>
    <n v="0"/>
    <n v="17.68"/>
    <n v="0"/>
    <n v="0"/>
    <n v="0"/>
    <n v="0"/>
    <n v="0"/>
    <n v="0"/>
    <n v="0"/>
    <n v="192.68"/>
    <n v="0"/>
  </r>
  <r>
    <x v="0"/>
    <x v="1"/>
    <x v="0"/>
    <s v="5646200"/>
    <n v="749510"/>
    <s v="Miscellaneous Expenses"/>
    <s v="FMG Float Pool"/>
    <x v="0"/>
    <m/>
    <n v="-18.53"/>
    <n v="0"/>
    <n v="18"/>
    <n v="2.4500000000000002"/>
    <n v="2.54"/>
    <n v="2.72"/>
    <n v="44.39"/>
    <n v="26.86"/>
    <n v="-96.96"/>
    <n v="18"/>
    <n v="52.94"/>
    <n v="-28.36"/>
    <n v="24.050000000000011"/>
    <n v="81.3"/>
  </r>
  <r>
    <x v="0"/>
    <x v="1"/>
    <x v="0"/>
    <s v="5646200"/>
    <n v="749510"/>
    <s v="RICE Rewards"/>
    <s v="FMG Float Pool"/>
    <x v="0"/>
    <n v="5100"/>
    <n v="0"/>
    <n v="0"/>
    <n v="0"/>
    <n v="0"/>
    <n v="0"/>
    <n v="0"/>
    <n v="0"/>
    <n v="28.82"/>
    <n v="0"/>
    <n v="56.81"/>
    <n v="0"/>
    <n v="0"/>
    <n v="85.63"/>
    <n v="0"/>
  </r>
  <r>
    <x v="0"/>
    <x v="1"/>
    <x v="0"/>
    <s v="5646200"/>
    <n v="749530"/>
    <s v="Travel"/>
    <s v="FMG Float Pool"/>
    <x v="0"/>
    <m/>
    <n v="36"/>
    <n v="0"/>
    <n v="34"/>
    <n v="55"/>
    <n v="73"/>
    <n v="36"/>
    <n v="63"/>
    <n v="45"/>
    <n v="132"/>
    <n v="47"/>
    <n v="65"/>
    <n v="144.25"/>
    <n v="730.25"/>
    <n v="-79.25"/>
  </r>
  <r>
    <x v="0"/>
    <x v="1"/>
    <x v="0"/>
    <s v="5646200"/>
    <n v="749530"/>
    <s v="Mileage"/>
    <s v="FMG Float Pool"/>
    <x v="0"/>
    <n v="1001"/>
    <n v="0"/>
    <n v="0"/>
    <n v="97.05"/>
    <n v="0"/>
    <n v="17.440000000000001"/>
    <n v="16.899999999999999"/>
    <n v="23.03"/>
    <n v="63.22"/>
    <n v="46.4"/>
    <n v="71.92"/>
    <n v="9.2799999999999994"/>
    <n v="271.44"/>
    <n v="616.67999999999995"/>
    <n v="-262.16000000000003"/>
  </r>
  <r>
    <x v="0"/>
    <x v="1"/>
    <x v="0"/>
    <s v="5646200"/>
    <n v="749535"/>
    <s v="Meetings"/>
    <s v="FMG Float Pool"/>
    <x v="0"/>
    <m/>
    <n v="0"/>
    <n v="0"/>
    <n v="0"/>
    <n v="0"/>
    <n v="0"/>
    <n v="0"/>
    <n v="0"/>
    <n v="0"/>
    <n v="0"/>
    <n v="18.559999999999999"/>
    <n v="0"/>
    <n v="24.96"/>
    <n v="43.519999999999996"/>
    <n v="-24.96"/>
  </r>
  <r>
    <x v="5"/>
    <x v="1"/>
    <x v="0"/>
    <s v="5647200"/>
    <n v="700054"/>
    <s v="Salaries-Management-NonProd-Other"/>
    <s v="UW Tacoma-Shared Svc"/>
    <x v="0"/>
    <n v="2000"/>
    <n v="0"/>
    <n v="0"/>
    <n v="0"/>
    <n v="0"/>
    <n v="0"/>
    <n v="372.33"/>
    <n v="-372.33"/>
    <n v="0"/>
    <n v="0"/>
    <n v="0"/>
    <n v="0"/>
    <n v="0"/>
    <n v="0"/>
    <n v="0"/>
  </r>
  <r>
    <x v="6"/>
    <x v="1"/>
    <x v="0"/>
    <s v="5647200"/>
    <n v="713010"/>
    <s v="Benefits-FICA/Medicare"/>
    <s v="UW Tacoma-Shared Svc"/>
    <x v="0"/>
    <m/>
    <n v="0"/>
    <n v="0"/>
    <n v="0"/>
    <n v="0"/>
    <n v="0"/>
    <n v="28.48"/>
    <n v="28.48"/>
    <n v="0"/>
    <n v="0"/>
    <n v="0"/>
    <n v="0"/>
    <n v="0"/>
    <n v="56.96"/>
    <n v="0"/>
  </r>
  <r>
    <x v="7"/>
    <x v="1"/>
    <x v="0"/>
    <s v="5647200"/>
    <n v="718050"/>
    <s v="Document Shredding/Storage"/>
    <s v="UW Tacoma-Shared Svc"/>
    <x v="0"/>
    <n v="1012"/>
    <n v="2.93"/>
    <n v="2.93"/>
    <n v="2.79"/>
    <n v="2.86"/>
    <n v="2.95"/>
    <n v="2.95"/>
    <n v="2.92"/>
    <n v="2.5099999999999998"/>
    <n v="2.6"/>
    <n v="3.4"/>
    <n v="2.86"/>
    <n v="2.95"/>
    <n v="34.65"/>
    <n v="-9.0000000000000302E-2"/>
  </r>
  <r>
    <x v="7"/>
    <x v="1"/>
    <x v="0"/>
    <s v="5647200"/>
    <n v="718050"/>
    <s v="Purchased Srvcs--Medical Waste"/>
    <s v="UW Tacoma-Shared Svc"/>
    <x v="0"/>
    <n v="1027"/>
    <n v="10.36"/>
    <n v="10.36"/>
    <n v="10.36"/>
    <n v="0"/>
    <n v="10.36"/>
    <n v="10.36"/>
    <n v="20.72"/>
    <n v="10.36"/>
    <n v="0"/>
    <n v="0"/>
    <n v="0"/>
    <n v="0"/>
    <n v="82.88"/>
    <n v="0"/>
  </r>
  <r>
    <x v="12"/>
    <x v="1"/>
    <x v="0"/>
    <s v="5647200"/>
    <n v="730020"/>
    <s v="Rental and Leases-Copier Usage Fees (DO NOT USE)"/>
    <s v="UW Tacoma-Shared Svc"/>
    <x v="0"/>
    <n v="5100"/>
    <n v="45.67"/>
    <n v="46.66"/>
    <n v="46.17"/>
    <n v="46.17"/>
    <n v="46.17"/>
    <n v="46.17"/>
    <n v="104.05"/>
    <n v="52.45"/>
    <n v="52.34"/>
    <n v="52.56"/>
    <n v="52.45"/>
    <n v="0"/>
    <n v="590.86000000000013"/>
    <n v="52.45"/>
  </r>
  <r>
    <x v="14"/>
    <x v="1"/>
    <x v="0"/>
    <s v="5648200"/>
    <n v="600026"/>
    <s v="POB Rental"/>
    <s v="WH-Pearl Place-Shared Svc"/>
    <x v="0"/>
    <n v="1001"/>
    <n v="-348.7"/>
    <n v="0"/>
    <n v="0"/>
    <n v="0"/>
    <n v="0"/>
    <n v="0"/>
    <n v="0"/>
    <n v="0"/>
    <n v="-6018.73"/>
    <n v="0"/>
    <n v="-399.93"/>
    <n v="-587.54999999999995"/>
    <n v="-7354.91"/>
    <n v="187.61999999999995"/>
  </r>
  <r>
    <x v="14"/>
    <x v="1"/>
    <x v="0"/>
    <s v="5648200"/>
    <n v="600026"/>
    <s v="Other Rental"/>
    <s v="WH-Pearl Place-Shared Svc"/>
    <x v="0"/>
    <n v="1002"/>
    <n v="-160.38"/>
    <n v="0"/>
    <n v="0"/>
    <n v="0"/>
    <n v="0"/>
    <n v="0"/>
    <n v="0"/>
    <n v="0"/>
    <n v="0"/>
    <n v="0"/>
    <n v="-181.21"/>
    <n v="0"/>
    <n v="-341.59000000000003"/>
    <n v="-181.21"/>
  </r>
  <r>
    <x v="5"/>
    <x v="1"/>
    <x v="0"/>
    <s v="5648200"/>
    <n v="700014"/>
    <s v="Salaries-Management-Productive"/>
    <s v="WH-Pearl Place-Shared Svc"/>
    <x v="0"/>
    <m/>
    <n v="1849.05"/>
    <n v="1933.11"/>
    <n v="1470.84"/>
    <n v="-350.2"/>
    <n v="0"/>
    <n v="0"/>
    <n v="0"/>
    <n v="0"/>
    <n v="0"/>
    <n v="0"/>
    <n v="0"/>
    <n v="0"/>
    <n v="4902.8"/>
    <n v="0"/>
  </r>
  <r>
    <x v="5"/>
    <x v="1"/>
    <x v="0"/>
    <s v="5648200"/>
    <n v="700018"/>
    <s v="Salaries-Supervisory-Productive"/>
    <s v="WH-Pearl Place-Shared Svc"/>
    <x v="0"/>
    <m/>
    <n v="0"/>
    <n v="215.04"/>
    <n v="0"/>
    <n v="2466.62"/>
    <n v="178.5"/>
    <n v="0"/>
    <n v="0"/>
    <n v="0"/>
    <n v="0"/>
    <n v="0"/>
    <n v="0"/>
    <n v="0"/>
    <n v="2860.16"/>
    <n v="0"/>
  </r>
  <r>
    <x v="5"/>
    <x v="1"/>
    <x v="0"/>
    <s v="5648200"/>
    <n v="700038"/>
    <s v="Salaries-Service/Support-Productive"/>
    <s v="WH-Pearl Place-Shared Svc"/>
    <x v="0"/>
    <m/>
    <n v="17853.22"/>
    <n v="18716.18"/>
    <n v="16125.96"/>
    <n v="19983.349999999999"/>
    <n v="17053.43"/>
    <n v="14124.07"/>
    <n v="17918.75"/>
    <n v="14228.1"/>
    <n v="20419.45"/>
    <n v="14066.33"/>
    <n v="20134.12"/>
    <n v="13858.84"/>
    <n v="204481.8"/>
    <n v="6275.2799999999988"/>
  </r>
  <r>
    <x v="5"/>
    <x v="1"/>
    <x v="0"/>
    <s v="5648200"/>
    <n v="700038"/>
    <s v="Salaries-Service/Support-OT"/>
    <s v="WH-Pearl Place-Shared Svc"/>
    <x v="0"/>
    <n v="1000"/>
    <n v="0"/>
    <n v="0"/>
    <n v="0"/>
    <n v="8.31"/>
    <n v="0"/>
    <n v="51.35"/>
    <n v="11.99"/>
    <n v="5.15"/>
    <n v="0"/>
    <n v="17.149999999999999"/>
    <n v="17.14"/>
    <n v="-8.57"/>
    <n v="102.52000000000001"/>
    <n v="25.71"/>
  </r>
  <r>
    <x v="5"/>
    <x v="1"/>
    <x v="0"/>
    <s v="5648200"/>
    <n v="700078"/>
    <s v="Salaries-Service/Support-Non-productive"/>
    <s v="WH-Pearl Place-Shared Svc"/>
    <x v="0"/>
    <m/>
    <n v="3571.71"/>
    <n v="3081.91"/>
    <n v="3069.89"/>
    <n v="3323.82"/>
    <n v="3925.01"/>
    <n v="2903.39"/>
    <n v="2075.8000000000002"/>
    <n v="2454.91"/>
    <n v="1062.58"/>
    <n v="5035.74"/>
    <n v="-527.12"/>
    <n v="3149.67"/>
    <n v="33127.31"/>
    <n v="-3676.79"/>
  </r>
  <r>
    <x v="5"/>
    <x v="1"/>
    <x v="0"/>
    <s v="5648200"/>
    <n v="700078"/>
    <s v="Salaries-Service/Support-NonProd-Other"/>
    <s v="WH-Pearl Place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48200"/>
    <n v="700084"/>
    <s v="Accrued PTO"/>
    <s v="WH-Pearl Place-Shared Svc"/>
    <x v="0"/>
    <m/>
    <n v="-785.25"/>
    <n v="249.28"/>
    <n v="-840.13"/>
    <n v="202.71"/>
    <n v="685.2"/>
    <n v="-514.57000000000005"/>
    <n v="78.97"/>
    <n v="205.54"/>
    <n v="1622.24"/>
    <n v="-942.64"/>
    <n v="894.56"/>
    <n v="211.13"/>
    <n v="1067.04"/>
    <n v="683.43"/>
  </r>
  <r>
    <x v="6"/>
    <x v="1"/>
    <x v="0"/>
    <s v="5648200"/>
    <n v="713010"/>
    <s v="Benefits-FICA/Medicare"/>
    <s v="WH-Pearl Place-Shared Svc"/>
    <x v="0"/>
    <m/>
    <n v="1717.68"/>
    <n v="1764.29"/>
    <n v="1525.11"/>
    <n v="1870.82"/>
    <n v="1593.63"/>
    <n v="1259.8399999999999"/>
    <n v="1475.34"/>
    <n v="1228.3900000000001"/>
    <n v="1590.97"/>
    <n v="1386.78"/>
    <n v="1447"/>
    <n v="1253.6199999999999"/>
    <n v="18113.469999999998"/>
    <n v="193.38000000000011"/>
  </r>
  <r>
    <x v="6"/>
    <x v="1"/>
    <x v="0"/>
    <s v="5648200"/>
    <n v="713090"/>
    <s v="Benefits-Allocated Amounts"/>
    <s v="WH-Pearl Place-Shared Svc"/>
    <x v="0"/>
    <m/>
    <n v="6328.14"/>
    <n v="5735.17"/>
    <n v="5994.06"/>
    <n v="6574.47"/>
    <n v="5944"/>
    <n v="4691.8100000000004"/>
    <n v="6228.22"/>
    <n v="5526.45"/>
    <n v="6159.08"/>
    <n v="5680.94"/>
    <n v="5577.91"/>
    <n v="5165.59"/>
    <n v="69605.84"/>
    <n v="412.31999999999971"/>
  </r>
  <r>
    <x v="7"/>
    <x v="1"/>
    <x v="0"/>
    <s v="5648200"/>
    <n v="718010"/>
    <s v="Media/Print Advertising"/>
    <s v="WH-Pearl Place-Shared Svc"/>
    <x v="0"/>
    <n v="1004"/>
    <n v="195.36"/>
    <n v="0"/>
    <n v="0"/>
    <n v="285.19"/>
    <n v="0"/>
    <n v="98.18"/>
    <n v="0"/>
    <n v="0"/>
    <n v="0"/>
    <n v="0"/>
    <n v="0"/>
    <n v="0"/>
    <n v="578.73"/>
    <n v="0"/>
  </r>
  <r>
    <x v="7"/>
    <x v="1"/>
    <x v="0"/>
    <s v="5648200"/>
    <n v="718050"/>
    <s v="Contract Svcs-Other"/>
    <s v="WH-Pearl Place-Shared Svc"/>
    <x v="0"/>
    <m/>
    <n v="0"/>
    <n v="174.23"/>
    <n v="189.25"/>
    <n v="1717.76"/>
    <n v="86.32"/>
    <n v="156.33000000000001"/>
    <n v="103.18"/>
    <n v="476.46"/>
    <n v="0"/>
    <n v="0"/>
    <n v="0"/>
    <n v="0"/>
    <n v="2903.5299999999997"/>
    <n v="0"/>
  </r>
  <r>
    <x v="7"/>
    <x v="1"/>
    <x v="0"/>
    <s v="5648200"/>
    <n v="718050"/>
    <s v="Cleaning Services"/>
    <s v="WH-Pearl Place-Shared Svc"/>
    <x v="0"/>
    <n v="1011"/>
    <n v="0"/>
    <n v="3264.48"/>
    <n v="0"/>
    <n v="1632.24"/>
    <n v="0"/>
    <n v="4553.4799999999996"/>
    <n v="1632.24"/>
    <n v="1632.24"/>
    <n v="750"/>
    <n v="1632.24"/>
    <n v="3996.9"/>
    <n v="1998.45"/>
    <n v="21092.27"/>
    <n v="1998.45"/>
  </r>
  <r>
    <x v="7"/>
    <x v="1"/>
    <x v="0"/>
    <s v="5648200"/>
    <n v="718050"/>
    <s v="Document Shredding/Storage"/>
    <s v="WH-Pearl Place-Shared Svc"/>
    <x v="0"/>
    <n v="1012"/>
    <n v="134.69999999999999"/>
    <n v="199.3"/>
    <n v="-96.15"/>
    <n v="17.72"/>
    <n v="196.09"/>
    <n v="18.32"/>
    <n v="18.13"/>
    <n v="15.57"/>
    <n v="16.12"/>
    <n v="411.81"/>
    <n v="146.18"/>
    <n v="-101.94"/>
    <n v="975.84999999999991"/>
    <n v="248.12"/>
  </r>
  <r>
    <x v="7"/>
    <x v="1"/>
    <x v="0"/>
    <s v="5648200"/>
    <n v="718050"/>
    <s v="Physician Answering"/>
    <s v="WH-Pearl Place-Shared Svc"/>
    <x v="0"/>
    <n v="1015"/>
    <n v="491.6"/>
    <n v="836.8"/>
    <n v="732.2"/>
    <n v="364.6"/>
    <n v="818.8"/>
    <n v="731.4"/>
    <n v="935"/>
    <n v="874"/>
    <n v="802.6"/>
    <n v="983"/>
    <n v="755"/>
    <n v="644.79999999999995"/>
    <n v="8969.7999999999993"/>
    <n v="110.20000000000005"/>
  </r>
  <r>
    <x v="7"/>
    <x v="1"/>
    <x v="0"/>
    <s v="5648200"/>
    <n v="718050"/>
    <s v="Miscellaneous Purchased Svcs"/>
    <s v="WH-Pearl Place-Shared Svc"/>
    <x v="0"/>
    <n v="1020"/>
    <n v="0"/>
    <n v="362.77"/>
    <n v="0"/>
    <n v="0"/>
    <n v="0"/>
    <n v="362.77"/>
    <n v="0"/>
    <n v="0"/>
    <n v="0"/>
    <n v="0"/>
    <n v="0"/>
    <n v="362.77"/>
    <n v="1088.31"/>
    <n v="-362.77"/>
  </r>
  <r>
    <x v="7"/>
    <x v="1"/>
    <x v="0"/>
    <s v="5648200"/>
    <n v="718050"/>
    <s v="Translation Services"/>
    <s v="WH-Pearl Place-Shared Svc"/>
    <x v="0"/>
    <n v="1025"/>
    <n v="0"/>
    <n v="544"/>
    <n v="42.93"/>
    <n v="112.59"/>
    <n v="320"/>
    <n v="360.79"/>
    <n v="223.9"/>
    <n v="72.87"/>
    <n v="182"/>
    <n v="261.33"/>
    <n v="24.49"/>
    <n v="145"/>
    <n v="2289.8999999999996"/>
    <n v="-120.51"/>
  </r>
  <r>
    <x v="7"/>
    <x v="1"/>
    <x v="0"/>
    <s v="5648200"/>
    <n v="718050"/>
    <s v="Contract Management--Linen"/>
    <s v="WH-Pearl Place-Shared Svc"/>
    <x v="0"/>
    <n v="1026"/>
    <n v="0"/>
    <n v="237.87"/>
    <n v="0"/>
    <n v="0"/>
    <n v="0"/>
    <n v="0"/>
    <n v="251.65"/>
    <n v="0"/>
    <n v="0"/>
    <n v="0"/>
    <n v="475.71"/>
    <n v="0"/>
    <n v="965.23"/>
    <n v="475.71"/>
  </r>
  <r>
    <x v="7"/>
    <x v="1"/>
    <x v="0"/>
    <s v="5648200"/>
    <n v="718050"/>
    <s v="Purchased Srvcs--Medical Waste"/>
    <s v="WH-Pearl Place-Shared Svc"/>
    <x v="0"/>
    <n v="1027"/>
    <n v="11.16"/>
    <n v="11.16"/>
    <n v="11.16"/>
    <n v="0"/>
    <n v="11.16"/>
    <n v="11.16"/>
    <n v="22.32"/>
    <n v="11.16"/>
    <n v="0"/>
    <n v="22.32"/>
    <n v="0"/>
    <n v="11.16"/>
    <n v="122.75999999999999"/>
    <n v="-11.16"/>
  </r>
  <r>
    <x v="7"/>
    <x v="1"/>
    <x v="0"/>
    <s v="5648200"/>
    <n v="718070"/>
    <s v="Contract Srvcs-CHI Clinical Engineering"/>
    <s v="WH-Pearl Place-Shared Svc"/>
    <x v="0"/>
    <m/>
    <n v="0"/>
    <n v="0"/>
    <n v="0"/>
    <n v="0"/>
    <n v="0"/>
    <n v="0"/>
    <n v="1331.5"/>
    <n v="1508.58"/>
    <n v="0"/>
    <n v="0"/>
    <n v="0"/>
    <n v="1045.95"/>
    <n v="3886.0299999999997"/>
    <n v="-1045.95"/>
  </r>
  <r>
    <x v="7"/>
    <x v="1"/>
    <x v="0"/>
    <s v="5648200"/>
    <n v="718077"/>
    <s v="PACS"/>
    <s v="WH-Pearl Place-Shared Svc"/>
    <x v="0"/>
    <n v="1000"/>
    <n v="272.25"/>
    <n v="279"/>
    <n v="265.5"/>
    <n v="303.75"/>
    <n v="328.5"/>
    <n v="297"/>
    <n v="364.5"/>
    <n v="294.75"/>
    <n v="353.25"/>
    <n v="380.25"/>
    <n v="353.25"/>
    <n v="396"/>
    <n v="3888"/>
    <n v="-42.75"/>
  </r>
  <r>
    <x v="11"/>
    <x v="1"/>
    <x v="0"/>
    <s v="5648200"/>
    <n v="721010"/>
    <s v="Supplies-Medical - Billable"/>
    <s v="WH-Pearl Place-Shared Svc"/>
    <x v="0"/>
    <m/>
    <n v="30945.8"/>
    <n v="16497.54"/>
    <n v="14848.48"/>
    <n v="15570.22"/>
    <n v="8765.9"/>
    <n v="22703.25"/>
    <n v="18406.849999999999"/>
    <n v="5535.9"/>
    <n v="21302.400000000001"/>
    <n v="6901"/>
    <n v="15186.43"/>
    <n v="14040.94"/>
    <n v="190704.70999999996"/>
    <n v="1145.4899999999998"/>
  </r>
  <r>
    <x v="11"/>
    <x v="1"/>
    <x v="0"/>
    <s v="5648200"/>
    <n v="721250"/>
    <s v="Supplies-Pharmacy Drugs - Billable"/>
    <s v="WH-Pearl Place-Shared Svc"/>
    <x v="0"/>
    <m/>
    <n v="1980.4"/>
    <n v="1218.3599999999999"/>
    <n v="1130.97"/>
    <n v="5077.8599999999997"/>
    <n v="1720.39"/>
    <n v="5693.11"/>
    <n v="2030.19"/>
    <n v="0"/>
    <n v="5633.23"/>
    <n v="65.06"/>
    <n v="-2000.38"/>
    <n v="4636.8"/>
    <n v="27185.989999999998"/>
    <n v="-6637.18"/>
  </r>
  <r>
    <x v="11"/>
    <x v="1"/>
    <x v="0"/>
    <s v="5648200"/>
    <n v="721830"/>
    <s v="Supplies-Office"/>
    <s v="WH-Pearl Place-Shared Svc"/>
    <x v="0"/>
    <m/>
    <n v="330.37"/>
    <n v="371.24"/>
    <n v="170.26"/>
    <n v="951.67"/>
    <n v="-162"/>
    <n v="541.75"/>
    <n v="421.62"/>
    <n v="259.87"/>
    <n v="661.05"/>
    <n v="294.27999999999997"/>
    <n v="92.33"/>
    <n v="0"/>
    <n v="3932.4399999999996"/>
    <n v="92.33"/>
  </r>
  <r>
    <x v="11"/>
    <x v="1"/>
    <x v="0"/>
    <s v="5648200"/>
    <n v="721835"/>
    <s v="Supplies-Forms"/>
    <s v="WH-Pearl Place-Shared Svc"/>
    <x v="0"/>
    <m/>
    <n v="0"/>
    <n v="0"/>
    <n v="0"/>
    <n v="0"/>
    <n v="73.010000000000005"/>
    <n v="52.26"/>
    <n v="93.4"/>
    <n v="0"/>
    <n v="92.25"/>
    <n v="22.2"/>
    <n v="0"/>
    <n v="0"/>
    <n v="333.12"/>
    <n v="0"/>
  </r>
  <r>
    <x v="11"/>
    <x v="1"/>
    <x v="0"/>
    <s v="5648200"/>
    <n v="721870"/>
    <s v="Supplies-Environmental Services"/>
    <s v="WH-Pearl Place-Shared Svc"/>
    <x v="0"/>
    <m/>
    <n v="0"/>
    <n v="0"/>
    <n v="0"/>
    <n v="0"/>
    <n v="0"/>
    <n v="0"/>
    <n v="235.3"/>
    <n v="188.91"/>
    <n v="0"/>
    <n v="0"/>
    <n v="141.19999999999999"/>
    <n v="85.5"/>
    <n v="650.91000000000008"/>
    <n v="55.699999999999989"/>
  </r>
  <r>
    <x v="11"/>
    <x v="1"/>
    <x v="0"/>
    <s v="5648200"/>
    <n v="721910"/>
    <s v="Supplies-Small Equipment"/>
    <s v="WH-Pearl Place-Shared Svc"/>
    <x v="0"/>
    <m/>
    <n v="0"/>
    <n v="202.9"/>
    <n v="0"/>
    <n v="0"/>
    <n v="0"/>
    <n v="0"/>
    <n v="0"/>
    <n v="0"/>
    <n v="0"/>
    <n v="0"/>
    <n v="424"/>
    <n v="0"/>
    <n v="626.9"/>
    <n v="424"/>
  </r>
  <r>
    <x v="11"/>
    <x v="1"/>
    <x v="0"/>
    <s v="5648200"/>
    <n v="722000"/>
    <s v="Supplies-Freight Expense"/>
    <s v="WH-Pearl Place-Shared Svc"/>
    <x v="0"/>
    <m/>
    <n v="14"/>
    <n v="14"/>
    <n v="14"/>
    <n v="0"/>
    <n v="0"/>
    <n v="0"/>
    <n v="0"/>
    <n v="14"/>
    <n v="0"/>
    <n v="0"/>
    <n v="0"/>
    <n v="0"/>
    <n v="56"/>
    <n v="0"/>
  </r>
  <r>
    <x v="12"/>
    <x v="1"/>
    <x v="0"/>
    <s v="5648200"/>
    <n v="730010"/>
    <s v="Rental and Leases-Building (DO NOT USE)"/>
    <s v="WH-Pearl Place-Shared Svc"/>
    <x v="0"/>
    <m/>
    <n v="20008.169999999998"/>
    <n v="20008.169999999998"/>
    <n v="20008.169999999998"/>
    <n v="20008.169999999998"/>
    <n v="20364.330000000002"/>
    <n v="-23600.49"/>
    <n v="12740.06"/>
    <n v="12740.06"/>
    <n v="12740.06"/>
    <n v="12740.06"/>
    <n v="13122.26"/>
    <n v="0"/>
    <n v="140879.01999999999"/>
    <n v="13122.26"/>
  </r>
  <r>
    <x v="12"/>
    <x v="1"/>
    <x v="0"/>
    <s v="5648200"/>
    <n v="730010"/>
    <s v="Rental-Common Area Maint (DO NOT USE)"/>
    <s v="WH-Pearl Place-Shared Svc"/>
    <x v="0"/>
    <n v="2200"/>
    <n v="0"/>
    <n v="0"/>
    <n v="0"/>
    <n v="0"/>
    <n v="0"/>
    <n v="43709.85"/>
    <n v="7352.98"/>
    <n v="7369.3"/>
    <n v="7369.3"/>
    <n v="12029.12"/>
    <n v="7371.88"/>
    <n v="0"/>
    <n v="85202.430000000008"/>
    <n v="7371.88"/>
  </r>
  <r>
    <x v="12"/>
    <x v="1"/>
    <x v="0"/>
    <s v="5648200"/>
    <n v="730020"/>
    <s v="Rental and Leases-Copier Usage Fees (DO NOT USE)"/>
    <s v="WH-Pearl Place-Shared Svc"/>
    <x v="0"/>
    <n v="5100"/>
    <n v="588.4"/>
    <n v="603.61"/>
    <n v="596"/>
    <n v="596"/>
    <n v="596"/>
    <n v="596"/>
    <n v="324.7"/>
    <n v="554.19000000000005"/>
    <n v="568.35"/>
    <n v="603.29"/>
    <n v="747.42"/>
    <n v="864.77"/>
    <n v="7238.73"/>
    <n v="-117.35000000000002"/>
  </r>
  <r>
    <x v="12"/>
    <x v="1"/>
    <x v="0"/>
    <s v="5648200"/>
    <n v="730040"/>
    <s v="LT Lease-Real Estate"/>
    <s v="WH-Pearl Place-Shared Svc"/>
    <x v="0"/>
    <m/>
    <n v="0"/>
    <n v="0"/>
    <n v="0"/>
    <n v="0"/>
    <n v="0"/>
    <n v="0"/>
    <n v="0"/>
    <n v="0"/>
    <n v="0"/>
    <n v="0"/>
    <n v="0"/>
    <n v="20494.14"/>
    <n v="20494.14"/>
    <n v="-20494.14"/>
  </r>
  <r>
    <x v="15"/>
    <x v="1"/>
    <x v="0"/>
    <s v="5648200"/>
    <n v="731060"/>
    <s v="Telephone"/>
    <s v="WH-Pearl Place-Shared Svc"/>
    <x v="0"/>
    <m/>
    <n v="397.56"/>
    <n v="397.18"/>
    <n v="397.86"/>
    <n v="400.77"/>
    <n v="398.98"/>
    <n v="408.36"/>
    <n v="404.62"/>
    <n v="398.39"/>
    <n v="406.74"/>
    <n v="398.94"/>
    <n v="398.18"/>
    <n v="405.16"/>
    <n v="4812.74"/>
    <n v="-6.9800000000000182"/>
  </r>
  <r>
    <x v="15"/>
    <x v="1"/>
    <x v="0"/>
    <s v="5648200"/>
    <n v="731060"/>
    <s v="Pagers"/>
    <s v="WH-Pearl Place-Shared Svc"/>
    <x v="0"/>
    <n v="1002"/>
    <n v="22.51"/>
    <n v="22.51"/>
    <n v="48.45"/>
    <n v="9.92"/>
    <n v="9.92"/>
    <n v="0"/>
    <n v="19.84"/>
    <n v="9.92"/>
    <n v="9.92"/>
    <n v="9.92"/>
    <n v="9.92"/>
    <n v="9.92"/>
    <n v="182.74999999999994"/>
    <n v="0"/>
  </r>
  <r>
    <x v="16"/>
    <x v="1"/>
    <x v="0"/>
    <s v="5648200"/>
    <n v="732030"/>
    <s v="Repairs&amp;Maintenance-Bldg Routine"/>
    <s v="WH-Pearl Place-Shared Svc"/>
    <x v="0"/>
    <n v="2300"/>
    <n v="0"/>
    <n v="0"/>
    <n v="543.58000000000004"/>
    <n v="0"/>
    <n v="575.27"/>
    <n v="478.28"/>
    <n v="0"/>
    <n v="150"/>
    <n v="230"/>
    <n v="0"/>
    <n v="0"/>
    <n v="0"/>
    <n v="1977.1299999999999"/>
    <n v="0"/>
  </r>
  <r>
    <x v="13"/>
    <x v="1"/>
    <x v="0"/>
    <s v="5648200"/>
    <n v="735070"/>
    <s v="Depreciation-Movable Equipment"/>
    <s v="WH-Pearl Place-Shared Svc"/>
    <x v="0"/>
    <m/>
    <n v="1086.8399999999999"/>
    <n v="1324.59"/>
    <n v="1324.62"/>
    <n v="1324.58"/>
    <n v="1288.18"/>
    <n v="1288.1500000000001"/>
    <n v="1288.18"/>
    <n v="1288.1500000000001"/>
    <n v="1288.18"/>
    <n v="1288.1400000000001"/>
    <n v="1288.18"/>
    <n v="1288.1400000000001"/>
    <n v="15365.929999999998"/>
    <n v="3.999999999996362E-2"/>
  </r>
  <r>
    <x v="0"/>
    <x v="1"/>
    <x v="0"/>
    <s v="5648200"/>
    <n v="743030"/>
    <s v="Subscriptions--Institutional"/>
    <s v="WH-Pearl Place-Shared Svc"/>
    <x v="0"/>
    <m/>
    <n v="0"/>
    <n v="0"/>
    <n v="0"/>
    <n v="0"/>
    <n v="0"/>
    <n v="0"/>
    <n v="0"/>
    <n v="0"/>
    <n v="71"/>
    <n v="0"/>
    <n v="0"/>
    <n v="0"/>
    <n v="71"/>
    <n v="0"/>
  </r>
  <r>
    <x v="0"/>
    <x v="1"/>
    <x v="0"/>
    <s v="5648200"/>
    <n v="749510"/>
    <s v="Miscellaneous Expenses"/>
    <s v="WH-Pearl Place-Shared Svc"/>
    <x v="0"/>
    <m/>
    <n v="55.05"/>
    <n v="105.05"/>
    <n v="0"/>
    <n v="-2"/>
    <n v="50"/>
    <n v="150"/>
    <n v="0"/>
    <n v="0"/>
    <n v="100"/>
    <n v="0"/>
    <n v="150"/>
    <n v="0"/>
    <n v="608.1"/>
    <n v="150"/>
  </r>
  <r>
    <x v="0"/>
    <x v="1"/>
    <x v="0"/>
    <s v="5648200"/>
    <n v="749510"/>
    <s v="Licenses"/>
    <s v="WH-Pearl Place-Shared Svc"/>
    <x v="0"/>
    <n v="1002"/>
    <n v="0"/>
    <n v="0"/>
    <n v="530"/>
    <n v="0"/>
    <n v="0"/>
    <n v="260"/>
    <n v="58.75"/>
    <n v="0"/>
    <n v="0"/>
    <n v="0"/>
    <n v="0"/>
    <n v="0"/>
    <n v="848.75"/>
    <n v="0"/>
  </r>
  <r>
    <x v="0"/>
    <x v="1"/>
    <x v="0"/>
    <s v="5648200"/>
    <n v="749510"/>
    <s v="RICE Rewards"/>
    <s v="WH-Pearl Place-Shared Svc"/>
    <x v="0"/>
    <n v="5100"/>
    <n v="0"/>
    <n v="0"/>
    <n v="0"/>
    <n v="0"/>
    <n v="0"/>
    <n v="0"/>
    <n v="0"/>
    <n v="0"/>
    <n v="0"/>
    <n v="0"/>
    <n v="251.42"/>
    <n v="0"/>
    <n v="251.42"/>
    <n v="251.42"/>
  </r>
  <r>
    <x v="0"/>
    <x v="1"/>
    <x v="0"/>
    <s v="5648200"/>
    <n v="749530"/>
    <s v="Travel"/>
    <s v="WH-Pearl Place-Shared Svc"/>
    <x v="0"/>
    <m/>
    <n v="0"/>
    <n v="0"/>
    <n v="0"/>
    <n v="0"/>
    <n v="0"/>
    <n v="0"/>
    <n v="0"/>
    <n v="0"/>
    <n v="13"/>
    <n v="0"/>
    <n v="0"/>
    <n v="0"/>
    <n v="13"/>
    <n v="0"/>
  </r>
  <r>
    <x v="0"/>
    <x v="1"/>
    <x v="0"/>
    <s v="5648200"/>
    <n v="749530"/>
    <s v="Mileage"/>
    <s v="WH-Pearl Place-Shared Svc"/>
    <x v="0"/>
    <n v="1001"/>
    <n v="0"/>
    <n v="0"/>
    <n v="0"/>
    <n v="0"/>
    <n v="0"/>
    <n v="0"/>
    <n v="0"/>
    <n v="0"/>
    <n v="15.66"/>
    <n v="0"/>
    <n v="66.7"/>
    <n v="160.66"/>
    <n v="243.01999999999998"/>
    <n v="-93.96"/>
  </r>
  <r>
    <x v="0"/>
    <x v="1"/>
    <x v="0"/>
    <s v="5648200"/>
    <n v="749550"/>
    <s v="Cash Over/Short"/>
    <s v="WH-Pearl Place-Shared Svc"/>
    <x v="0"/>
    <m/>
    <n v="0"/>
    <n v="0"/>
    <n v="0"/>
    <n v="0"/>
    <n v="0"/>
    <n v="-2"/>
    <n v="0"/>
    <n v="0"/>
    <n v="0"/>
    <n v="-2"/>
    <n v="0"/>
    <n v="0"/>
    <n v="-4"/>
    <n v="0"/>
  </r>
  <r>
    <x v="0"/>
    <x v="1"/>
    <x v="0"/>
    <s v="5648200"/>
    <n v="766010"/>
    <s v="Property Tax"/>
    <s v="WH-Pearl Place-Shared Svc"/>
    <x v="0"/>
    <m/>
    <n v="328.7"/>
    <n v="328.7"/>
    <n v="328.7"/>
    <n v="328.7"/>
    <n v="328.7"/>
    <n v="328.7"/>
    <n v="328.7"/>
    <n v="328.7"/>
    <n v="328.7"/>
    <n v="-1.1499999999999999"/>
    <n v="246.24"/>
    <n v="246.24"/>
    <n v="3449.6299999999992"/>
    <n v="0"/>
  </r>
  <r>
    <x v="7"/>
    <x v="1"/>
    <x v="0"/>
    <s v="5649200"/>
    <n v="718050"/>
    <s v="Document Shredding/Storage"/>
    <s v="WH-Commencement-Shared Svc"/>
    <x v="0"/>
    <n v="1012"/>
    <n v="55.47"/>
    <n v="121.63"/>
    <n v="128.91999999999999"/>
    <n v="94.99"/>
    <n v="-10.119999999999999"/>
    <n v="55.92"/>
    <n v="55.36"/>
    <n v="116.25"/>
    <n v="86.53"/>
    <n v="2.86"/>
    <n v="54.09"/>
    <n v="85.34"/>
    <n v="847.24000000000012"/>
    <n v="-31.25"/>
  </r>
  <r>
    <x v="7"/>
    <x v="1"/>
    <x v="0"/>
    <s v="5649200"/>
    <n v="718050"/>
    <s v="Physician Answering"/>
    <s v="WH-Commencement-Shared Svc"/>
    <x v="0"/>
    <n v="1015"/>
    <n v="6752"/>
    <n v="0"/>
    <n v="6576"/>
    <n v="3360"/>
    <n v="3088"/>
    <n v="0"/>
    <n v="6368"/>
    <n v="2992"/>
    <n v="6160"/>
    <n v="3904"/>
    <n v="0"/>
    <n v="11550"/>
    <n v="50750"/>
    <n v="-11550"/>
  </r>
  <r>
    <x v="7"/>
    <x v="1"/>
    <x v="0"/>
    <s v="5649200"/>
    <n v="718050"/>
    <s v="Translation Services"/>
    <s v="WH-Commencement-Shared Svc"/>
    <x v="0"/>
    <n v="1025"/>
    <n v="207.54"/>
    <n v="0"/>
    <n v="31.77"/>
    <n v="74.739999999999995"/>
    <n v="67.19"/>
    <n v="111.68"/>
    <n v="16.59"/>
    <n v="0"/>
    <n v="0"/>
    <n v="60.83"/>
    <n v="11.71"/>
    <n v="41.97"/>
    <n v="624.0200000000001"/>
    <n v="-30.259999999999998"/>
  </r>
  <r>
    <x v="7"/>
    <x v="1"/>
    <x v="0"/>
    <s v="5649200"/>
    <n v="718050"/>
    <s v="Purchased Srvcs--Medical Waste"/>
    <s v="WH-Commencement-Shared Svc"/>
    <x v="0"/>
    <n v="1027"/>
    <n v="11.16"/>
    <n v="11.16"/>
    <n v="11.16"/>
    <n v="0"/>
    <n v="11.16"/>
    <n v="11.16"/>
    <n v="22.32"/>
    <n v="11.16"/>
    <n v="0"/>
    <n v="22.32"/>
    <n v="0"/>
    <n v="11.16"/>
    <n v="122.75999999999999"/>
    <n v="-11.16"/>
  </r>
  <r>
    <x v="11"/>
    <x v="1"/>
    <x v="0"/>
    <s v="5649200"/>
    <n v="721250"/>
    <s v="Supplies-Pharmacy Drugs - Billable"/>
    <s v="WH-Commencement-Shared Svc"/>
    <x v="0"/>
    <m/>
    <n v="0"/>
    <n v="0"/>
    <n v="0"/>
    <n v="0"/>
    <n v="0"/>
    <n v="0"/>
    <n v="0"/>
    <n v="0"/>
    <n v="0"/>
    <n v="0"/>
    <n v="-1814.53"/>
    <n v="0"/>
    <n v="-1814.53"/>
    <n v="-1814.53"/>
  </r>
  <r>
    <x v="11"/>
    <x v="1"/>
    <x v="0"/>
    <s v="5649200"/>
    <n v="721410"/>
    <s v="Supplies-Medical - Nonbillable"/>
    <s v="WH-Commencement-Shared Svc"/>
    <x v="0"/>
    <m/>
    <n v="0"/>
    <n v="1840.43"/>
    <n v="0"/>
    <n v="0"/>
    <n v="0"/>
    <n v="0"/>
    <n v="0"/>
    <n v="0"/>
    <n v="0"/>
    <n v="0"/>
    <n v="0"/>
    <n v="0"/>
    <n v="1840.43"/>
    <n v="0"/>
  </r>
  <r>
    <x v="11"/>
    <x v="1"/>
    <x v="0"/>
    <s v="5649200"/>
    <n v="721910"/>
    <s v="Supplies-Small Equipment"/>
    <s v="WH-Commencement-Shared Svc"/>
    <x v="0"/>
    <m/>
    <n v="0"/>
    <n v="3617.18"/>
    <n v="0"/>
    <n v="0"/>
    <n v="0"/>
    <n v="0"/>
    <n v="0"/>
    <n v="0"/>
    <n v="0"/>
    <n v="0"/>
    <n v="0"/>
    <n v="0"/>
    <n v="3617.18"/>
    <n v="0"/>
  </r>
  <r>
    <x v="12"/>
    <x v="1"/>
    <x v="0"/>
    <s v="5649200"/>
    <n v="730020"/>
    <s v="Rental and Leases-Equipment (DO NOT USE)"/>
    <s v="WH-Commencement-Shared Svc"/>
    <x v="0"/>
    <m/>
    <n v="0"/>
    <n v="0"/>
    <n v="0"/>
    <n v="0"/>
    <n v="0"/>
    <n v="0"/>
    <n v="0"/>
    <n v="0"/>
    <n v="78.39"/>
    <n v="0"/>
    <n v="0"/>
    <n v="0"/>
    <n v="78.39"/>
    <n v="0"/>
  </r>
  <r>
    <x v="15"/>
    <x v="1"/>
    <x v="0"/>
    <s v="5649200"/>
    <n v="731060"/>
    <s v="Pagers"/>
    <s v="WH-Commencement-Shared Svc"/>
    <x v="0"/>
    <n v="1002"/>
    <n v="8.1"/>
    <n v="8.1"/>
    <n v="27.53"/>
    <n v="0"/>
    <n v="0"/>
    <n v="0"/>
    <n v="0"/>
    <n v="0"/>
    <n v="0"/>
    <n v="0"/>
    <n v="0"/>
    <n v="0"/>
    <n v="43.730000000000004"/>
    <n v="0"/>
  </r>
  <r>
    <x v="13"/>
    <x v="1"/>
    <x v="0"/>
    <s v="5649200"/>
    <n v="735070"/>
    <s v="Depreciation-Movable Equipment"/>
    <s v="WH-Commencement-Shared Svc"/>
    <x v="0"/>
    <m/>
    <n v="76.25"/>
    <n v="76.25"/>
    <n v="76.25"/>
    <n v="76.25"/>
    <n v="76.25"/>
    <n v="76.239999999999995"/>
    <n v="76.25"/>
    <n v="76.239999999999995"/>
    <n v="76.25"/>
    <n v="76.239999999999995"/>
    <n v="76.25"/>
    <n v="76.239999999999995"/>
    <n v="914.96"/>
    <n v="1.0000000000005116E-2"/>
  </r>
  <r>
    <x v="5"/>
    <x v="1"/>
    <x v="0"/>
    <s v="5650200"/>
    <n v="700014"/>
    <s v="Salaries-Management-Productive"/>
    <s v="Canyon Road-Shared Svc"/>
    <x v="0"/>
    <m/>
    <n v="2153.8000000000002"/>
    <n v="2104.85"/>
    <n v="171.05"/>
    <n v="2193.4"/>
    <n v="1101.0999999999999"/>
    <n v="2492.4899999999998"/>
    <n v="1914.83"/>
    <n v="1904.68"/>
    <n v="2105.17"/>
    <n v="2205.41"/>
    <n v="2205.42"/>
    <n v="1804.44"/>
    <n v="22356.639999999996"/>
    <n v="400.98"/>
  </r>
  <r>
    <x v="5"/>
    <x v="1"/>
    <x v="0"/>
    <s v="5650200"/>
    <n v="700018"/>
    <s v="Salaries-Supervisory-Productive"/>
    <s v="Canyon Road-Shared Svc"/>
    <x v="0"/>
    <m/>
    <n v="1153.1500000000001"/>
    <n v="1351.17"/>
    <n v="582.4"/>
    <n v="1485.88"/>
    <n v="1317.8"/>
    <n v="868.55"/>
    <n v="1085.82"/>
    <n v="1163.77"/>
    <n v="959.81"/>
    <n v="1319.73"/>
    <n v="899.83"/>
    <n v="1139.77"/>
    <n v="13327.68"/>
    <n v="-239.93999999999994"/>
  </r>
  <r>
    <x v="5"/>
    <x v="1"/>
    <x v="0"/>
    <s v="5650200"/>
    <n v="700038"/>
    <s v="Salaries-Service/Support-Productive"/>
    <s v="Canyon Road-Shared Svc"/>
    <x v="0"/>
    <m/>
    <n v="19392.72"/>
    <n v="21519.52"/>
    <n v="16127.84"/>
    <n v="18013.419999999998"/>
    <n v="16387.8"/>
    <n v="16572.759999999998"/>
    <n v="18720"/>
    <n v="20728.88"/>
    <n v="20591.03"/>
    <n v="15811.19"/>
    <n v="21387.81"/>
    <n v="17953.900000000001"/>
    <n v="223206.87"/>
    <n v="3433.91"/>
  </r>
  <r>
    <x v="5"/>
    <x v="1"/>
    <x v="0"/>
    <s v="5650200"/>
    <n v="700038"/>
    <s v="Salaries-Service/Support-OT"/>
    <s v="Canyon Road-Shared Svc"/>
    <x v="0"/>
    <n v="1000"/>
    <n v="259.57"/>
    <n v="520.61"/>
    <n v="30.26"/>
    <n v="790.66"/>
    <n v="1388.91"/>
    <n v="-224.58"/>
    <n v="767.17"/>
    <n v="16.97"/>
    <n v="98.61"/>
    <n v="140.82"/>
    <n v="1224.1099999999999"/>
    <n v="-434.91"/>
    <n v="4578.2000000000007"/>
    <n v="1659.02"/>
  </r>
  <r>
    <x v="5"/>
    <x v="1"/>
    <x v="0"/>
    <s v="5650200"/>
    <n v="700038"/>
    <s v="Salaries-Service/Support-Other"/>
    <s v="Canyon Road-Shared Svc"/>
    <x v="0"/>
    <n v="2000"/>
    <n v="209.27"/>
    <n v="117.78"/>
    <n v="267.63"/>
    <n v="192.23"/>
    <n v="122.59"/>
    <n v="98.95"/>
    <n v="242.02"/>
    <n v="105.59"/>
    <n v="89.44"/>
    <n v="127.36"/>
    <n v="109.6"/>
    <n v="191.15"/>
    <n v="1873.6100000000001"/>
    <n v="-81.550000000000011"/>
  </r>
  <r>
    <x v="5"/>
    <x v="1"/>
    <x v="0"/>
    <s v="5650200"/>
    <n v="700054"/>
    <s v="Salaries-Management-Non-productive"/>
    <s v="Canyon Road-Shared Svc"/>
    <x v="0"/>
    <m/>
    <n v="83.99"/>
    <n v="1262.6199999999999"/>
    <n v="1838.56"/>
    <n v="285.16000000000003"/>
    <n v="5288.09"/>
    <n v="-1441.64"/>
    <n v="809.52"/>
    <n v="1279.1600000000001"/>
    <n v="80.03"/>
    <n v="83.81"/>
    <n v="2092.6"/>
    <n v="1279.1400000000001"/>
    <n v="12941.039999999999"/>
    <n v="813.45999999999981"/>
  </r>
  <r>
    <x v="5"/>
    <x v="1"/>
    <x v="0"/>
    <s v="5650200"/>
    <n v="700058"/>
    <s v="Salaries-Supervisory-Non-productive"/>
    <s v="Canyon Road-Shared Svc"/>
    <x v="0"/>
    <m/>
    <n v="512.51"/>
    <n v="-46.59"/>
    <n v="582.4"/>
    <n v="-116.48"/>
    <n v="0"/>
    <n v="395.34"/>
    <n v="491.96"/>
    <n v="71.989999999999995"/>
    <n v="299.94"/>
    <n v="0"/>
    <n v="479.9"/>
    <n v="119.98"/>
    <n v="2790.95"/>
    <n v="359.91999999999996"/>
  </r>
  <r>
    <x v="5"/>
    <x v="1"/>
    <x v="0"/>
    <s v="5650200"/>
    <n v="700062"/>
    <s v="Salaries-Physician-Non-productive"/>
    <s v="Canyon Road-Shared Svc"/>
    <x v="0"/>
    <m/>
    <n v="0"/>
    <n v="0"/>
    <n v="0"/>
    <n v="0"/>
    <n v="0"/>
    <n v="0"/>
    <n v="0"/>
    <n v="933.05"/>
    <n v="939.14"/>
    <n v="931.27"/>
    <n v="929.94"/>
    <n v="922.37"/>
    <n v="4655.7700000000004"/>
    <n v="7.57000000000005"/>
  </r>
  <r>
    <x v="5"/>
    <x v="1"/>
    <x v="0"/>
    <s v="5650200"/>
    <n v="700078"/>
    <s v="Salaries-Service/Support-Non-productive"/>
    <s v="Canyon Road-Shared Svc"/>
    <x v="0"/>
    <m/>
    <n v="3697.77"/>
    <n v="2877.87"/>
    <n v="3135.88"/>
    <n v="7380.28"/>
    <n v="3463.98"/>
    <n v="4146.84"/>
    <n v="4589.46"/>
    <n v="2619.86"/>
    <n v="869.11"/>
    <n v="1652.96"/>
    <n v="1431.87"/>
    <n v="2634.87"/>
    <n v="38500.75"/>
    <n v="-1203"/>
  </r>
  <r>
    <x v="5"/>
    <x v="1"/>
    <x v="0"/>
    <s v="5650200"/>
    <n v="700078"/>
    <s v="Salaries-Service/Support-NonProd-Other"/>
    <s v="Canyon Road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0200"/>
    <n v="700084"/>
    <s v="Accrued PTO"/>
    <s v="Canyon Road-Shared Svc"/>
    <x v="0"/>
    <m/>
    <n v="707.18"/>
    <n v="978.56"/>
    <n v="-2570.75"/>
    <n v="2706.92"/>
    <n v="-2771.56"/>
    <n v="-2343.67"/>
    <n v="-870.56"/>
    <n v="-148.94999999999999"/>
    <n v="1700.98"/>
    <n v="1749.21"/>
    <n v="-42.26"/>
    <n v="51.61"/>
    <n v="-853.28999999999985"/>
    <n v="-93.87"/>
  </r>
  <r>
    <x v="6"/>
    <x v="1"/>
    <x v="0"/>
    <s v="5650200"/>
    <n v="713010"/>
    <s v="Benefits-FICA/Medicare"/>
    <s v="Canyon Road-Shared Svc"/>
    <x v="0"/>
    <m/>
    <n v="2029.91"/>
    <n v="2198.3200000000002"/>
    <n v="1676.95"/>
    <n v="2239.11"/>
    <n v="2157.7600000000002"/>
    <n v="1760.34"/>
    <n v="2113.88"/>
    <n v="2056.06"/>
    <n v="1849.69"/>
    <n v="1570.22"/>
    <n v="2208.69"/>
    <n v="1892.78"/>
    <n v="23753.71"/>
    <n v="315.91000000000008"/>
  </r>
  <r>
    <x v="6"/>
    <x v="1"/>
    <x v="0"/>
    <s v="5650200"/>
    <n v="713090"/>
    <s v="Benefits-Allocated Amounts"/>
    <s v="Canyon Road-Shared Svc"/>
    <x v="0"/>
    <m/>
    <n v="7389.75"/>
    <n v="6888.26"/>
    <n v="6215.18"/>
    <n v="7446.59"/>
    <n v="6998.1"/>
    <n v="6210.54"/>
    <n v="8102.24"/>
    <n v="8321.85"/>
    <n v="7499.02"/>
    <n v="6198.22"/>
    <n v="7262.18"/>
    <n v="7460.87"/>
    <n v="85992.799999999988"/>
    <n v="-198.6899999999996"/>
  </r>
  <r>
    <x v="6"/>
    <x v="1"/>
    <x v="0"/>
    <s v="5650200"/>
    <n v="713096"/>
    <s v="Employee Recognition"/>
    <s v="Canyon Road-Shared Svc"/>
    <x v="0"/>
    <n v="1017"/>
    <n v="0"/>
    <n v="0"/>
    <n v="0"/>
    <n v="0"/>
    <n v="43.91"/>
    <n v="34.43"/>
    <n v="0"/>
    <n v="0"/>
    <n v="509.57"/>
    <n v="43.91"/>
    <n v="22.97"/>
    <n v="39.5"/>
    <n v="694.29"/>
    <n v="-16.53"/>
  </r>
  <r>
    <x v="7"/>
    <x v="1"/>
    <x v="0"/>
    <s v="5650200"/>
    <n v="718040"/>
    <s v="Contract Svcs-Laboratory"/>
    <s v="Canyon Road-Shared Svc"/>
    <x v="0"/>
    <m/>
    <n v="0"/>
    <n v="0"/>
    <n v="0"/>
    <n v="0"/>
    <n v="0"/>
    <n v="0"/>
    <n v="0"/>
    <n v="0"/>
    <n v="169.83"/>
    <n v="0"/>
    <n v="0"/>
    <n v="0"/>
    <n v="169.83"/>
    <n v="0"/>
  </r>
  <r>
    <x v="7"/>
    <x v="1"/>
    <x v="0"/>
    <s v="5650200"/>
    <n v="718050"/>
    <s v="Contract Svcs-Other"/>
    <s v="Canyon Road-Shared Svc"/>
    <x v="0"/>
    <m/>
    <n v="0"/>
    <n v="0"/>
    <n v="0"/>
    <n v="0"/>
    <n v="0"/>
    <n v="0"/>
    <n v="0"/>
    <n v="0"/>
    <n v="0"/>
    <n v="0"/>
    <n v="109.3"/>
    <n v="134.06"/>
    <n v="243.36"/>
    <n v="-24.760000000000005"/>
  </r>
  <r>
    <x v="7"/>
    <x v="1"/>
    <x v="0"/>
    <s v="5650200"/>
    <n v="718050"/>
    <s v="Cleaning Services"/>
    <s v="Canyon Road-Shared Svc"/>
    <x v="0"/>
    <n v="1011"/>
    <n v="0"/>
    <n v="976"/>
    <n v="876"/>
    <n v="0"/>
    <n v="926"/>
    <n v="0"/>
    <n v="0"/>
    <n v="976"/>
    <n v="0"/>
    <n v="0"/>
    <n v="2776.07"/>
    <n v="1265.9000000000001"/>
    <n v="7795.9699999999993"/>
    <n v="1510.17"/>
  </r>
  <r>
    <x v="7"/>
    <x v="1"/>
    <x v="0"/>
    <s v="5650200"/>
    <n v="718050"/>
    <s v="Document Shredding/Storage"/>
    <s v="Canyon Road-Shared Svc"/>
    <x v="0"/>
    <n v="1012"/>
    <n v="395.01"/>
    <n v="156.33000000000001"/>
    <n v="387.43"/>
    <n v="338.75"/>
    <n v="473.07"/>
    <n v="282.68"/>
    <n v="279.85000000000002"/>
    <n v="226.83"/>
    <n v="296.38"/>
    <n v="265.2"/>
    <n v="308.43"/>
    <n v="333.49"/>
    <n v="3743.45"/>
    <n v="-25.060000000000002"/>
  </r>
  <r>
    <x v="7"/>
    <x v="1"/>
    <x v="0"/>
    <s v="5650200"/>
    <n v="718050"/>
    <s v="Physician Answering"/>
    <s v="Canyon Road-Shared Svc"/>
    <x v="0"/>
    <n v="1015"/>
    <n v="160"/>
    <n v="0"/>
    <n v="352"/>
    <n v="64"/>
    <n v="96"/>
    <n v="0"/>
    <n v="224"/>
    <n v="160"/>
    <n v="0"/>
    <n v="96"/>
    <n v="0"/>
    <n v="315"/>
    <n v="1467"/>
    <n v="-315"/>
  </r>
  <r>
    <x v="7"/>
    <x v="1"/>
    <x v="0"/>
    <s v="5650200"/>
    <n v="718050"/>
    <s v="Security"/>
    <s v="Canyon Road-Shared Svc"/>
    <x v="0"/>
    <n v="1019"/>
    <n v="103.95"/>
    <n v="103.94"/>
    <n v="103.94"/>
    <n v="103.94"/>
    <n v="103.94"/>
    <n v="288.57"/>
    <n v="43.26"/>
    <n v="207.88"/>
    <n v="103.94"/>
    <n v="73.94"/>
    <n v="0"/>
    <n v="0"/>
    <n v="1237.3000000000002"/>
    <n v="0"/>
  </r>
  <r>
    <x v="7"/>
    <x v="1"/>
    <x v="0"/>
    <s v="5650200"/>
    <n v="718050"/>
    <s v="Miscellaneous Purchased Svcs"/>
    <s v="Canyon Road-Shared Svc"/>
    <x v="0"/>
    <n v="1020"/>
    <n v="0"/>
    <n v="98.4"/>
    <n v="32.74"/>
    <n v="32.74"/>
    <n v="0"/>
    <n v="32.74"/>
    <n v="98.22"/>
    <n v="32.74"/>
    <n v="32.74"/>
    <n v="32.74"/>
    <n v="0"/>
    <n v="32.74"/>
    <n v="425.80000000000007"/>
    <n v="-32.74"/>
  </r>
  <r>
    <x v="7"/>
    <x v="1"/>
    <x v="0"/>
    <s v="5650200"/>
    <n v="718050"/>
    <s v="Translation Services"/>
    <s v="Canyon Road-Shared Svc"/>
    <x v="0"/>
    <n v="1025"/>
    <n v="361"/>
    <n v="0"/>
    <n v="1172.5"/>
    <n v="0"/>
    <n v="224"/>
    <n v="342"/>
    <n v="276.5"/>
    <n v="588.5"/>
    <n v="40"/>
    <n v="0"/>
    <n v="0"/>
    <n v="0"/>
    <n v="3004.5"/>
    <n v="0"/>
  </r>
  <r>
    <x v="7"/>
    <x v="1"/>
    <x v="0"/>
    <s v="5650200"/>
    <n v="718050"/>
    <s v="Contract Management--Linen"/>
    <s v="Canyon Road-Shared Svc"/>
    <x v="0"/>
    <n v="1026"/>
    <n v="484.79"/>
    <n v="769.43"/>
    <n v="555.45000000000005"/>
    <n v="515.04999999999995"/>
    <n v="659.83"/>
    <n v="250.67"/>
    <n v="794.04"/>
    <n v="784.59"/>
    <n v="158.16"/>
    <n v="130.1"/>
    <n v="276.06"/>
    <n v="864.89"/>
    <n v="6243.0600000000013"/>
    <n v="-588.82999999999993"/>
  </r>
  <r>
    <x v="7"/>
    <x v="1"/>
    <x v="0"/>
    <s v="5650200"/>
    <n v="718050"/>
    <s v="Purchased Srvcs--Medical Waste"/>
    <s v="Canyon Road-Shared Svc"/>
    <x v="0"/>
    <n v="1027"/>
    <n v="121.41"/>
    <n v="329.28"/>
    <n v="11.16"/>
    <n v="0"/>
    <n v="21.52"/>
    <n v="181.96"/>
    <n v="93.86"/>
    <n v="21.52"/>
    <n v="115.07"/>
    <n v="22.32"/>
    <n v="0"/>
    <n v="78.88"/>
    <n v="996.98"/>
    <n v="-78.88"/>
  </r>
  <r>
    <x v="7"/>
    <x v="1"/>
    <x v="0"/>
    <s v="5650200"/>
    <n v="718070"/>
    <s v="Contract Srvcs-CHI Clinical Engineering"/>
    <s v="Canyon Road-Shared Svc"/>
    <x v="0"/>
    <m/>
    <n v="473.43"/>
    <n v="240"/>
    <n v="291.89999999999998"/>
    <n v="448.12"/>
    <n v="353.1"/>
    <n v="1692.31"/>
    <n v="271"/>
    <n v="1434.64"/>
    <n v="0"/>
    <n v="1077"/>
    <n v="295.25"/>
    <n v="715.65"/>
    <n v="7292.4"/>
    <n v="-420.4"/>
  </r>
  <r>
    <x v="11"/>
    <x v="1"/>
    <x v="0"/>
    <s v="5650200"/>
    <n v="721250"/>
    <s v="Supplies-Pharmacy Drugs - Billable"/>
    <s v="Canyon Road-Shared Svc"/>
    <x v="0"/>
    <m/>
    <n v="4975.1499999999996"/>
    <n v="5379"/>
    <n v="4589.59"/>
    <n v="18295.830000000002"/>
    <n v="15714"/>
    <n v="14673.3"/>
    <n v="8089.51"/>
    <n v="4842.99"/>
    <n v="8705.27"/>
    <n v="5469.9"/>
    <n v="8914.82"/>
    <n v="12329.25"/>
    <n v="111978.60999999999"/>
    <n v="-3414.4300000000003"/>
  </r>
  <r>
    <x v="11"/>
    <x v="1"/>
    <x v="0"/>
    <s v="5650200"/>
    <n v="721410"/>
    <s v="Supplies-Medical - Nonbillable"/>
    <s v="Canyon Road-Shared Svc"/>
    <x v="0"/>
    <m/>
    <n v="0"/>
    <n v="105.58"/>
    <n v="0"/>
    <n v="0"/>
    <n v="0"/>
    <n v="100"/>
    <n v="0"/>
    <n v="0"/>
    <n v="0"/>
    <n v="9.6"/>
    <n v="0"/>
    <n v="0"/>
    <n v="215.17999999999998"/>
    <n v="0"/>
  </r>
  <r>
    <x v="11"/>
    <x v="1"/>
    <x v="0"/>
    <s v="5650200"/>
    <n v="721810"/>
    <s v="Supplies-Dietary/Cafeteria"/>
    <s v="Canyon Road-Shared Svc"/>
    <x v="0"/>
    <m/>
    <n v="0"/>
    <n v="0"/>
    <n v="0"/>
    <n v="0"/>
    <n v="0"/>
    <n v="0"/>
    <n v="234.45"/>
    <n v="849.48"/>
    <n v="-530.91999999999996"/>
    <n v="544.70000000000005"/>
    <n v="735.99"/>
    <n v="619.30999999999995"/>
    <n v="2453.0100000000002"/>
    <n v="116.68000000000006"/>
  </r>
  <r>
    <x v="11"/>
    <x v="1"/>
    <x v="0"/>
    <s v="5650200"/>
    <n v="721830"/>
    <s v="Supplies-Office"/>
    <s v="Canyon Road-Shared Svc"/>
    <x v="0"/>
    <m/>
    <n v="1034.82"/>
    <n v="1236.92"/>
    <n v="430.66"/>
    <n v="1179.76"/>
    <n v="300.32"/>
    <n v="505.72"/>
    <n v="837.54"/>
    <n v="553.6"/>
    <n v="766.48"/>
    <n v="663.38"/>
    <n v="833.41"/>
    <n v="591.03"/>
    <n v="8933.6400000000012"/>
    <n v="242.38"/>
  </r>
  <r>
    <x v="11"/>
    <x v="1"/>
    <x v="0"/>
    <s v="5650200"/>
    <n v="721835"/>
    <s v="Supplies-Forms"/>
    <s v="Canyon Road-Shared Svc"/>
    <x v="0"/>
    <m/>
    <n v="0"/>
    <n v="0"/>
    <n v="0"/>
    <n v="0"/>
    <n v="108.8"/>
    <n v="72.37"/>
    <n v="81.290000000000006"/>
    <n v="0"/>
    <n v="68.33"/>
    <n v="63.54"/>
    <n v="102.51"/>
    <n v="15.94"/>
    <n v="512.78000000000009"/>
    <n v="86.570000000000007"/>
  </r>
  <r>
    <x v="11"/>
    <x v="1"/>
    <x v="0"/>
    <s v="5650200"/>
    <n v="721870"/>
    <s v="Supplies-Environmental Services"/>
    <s v="Canyon Road-Shared Svc"/>
    <x v="0"/>
    <m/>
    <n v="371.27"/>
    <n v="806.57"/>
    <n v="791.96"/>
    <n v="191.15"/>
    <n v="514.38"/>
    <n v="543.03"/>
    <n v="2227.6"/>
    <n v="315.47000000000003"/>
    <n v="341.09"/>
    <n v="479.86"/>
    <n v="212.07"/>
    <n v="1104.22"/>
    <n v="7898.670000000001"/>
    <n v="-892.15000000000009"/>
  </r>
  <r>
    <x v="11"/>
    <x v="1"/>
    <x v="0"/>
    <s v="5650200"/>
    <n v="721910"/>
    <s v="Supplies-Small Equipment"/>
    <s v="Canyon Road-Shared Svc"/>
    <x v="0"/>
    <m/>
    <n v="634.24"/>
    <n v="64.06"/>
    <n v="0"/>
    <n v="0"/>
    <n v="0"/>
    <n v="0"/>
    <n v="0"/>
    <n v="0"/>
    <n v="0"/>
    <n v="0"/>
    <n v="0"/>
    <n v="0"/>
    <n v="698.3"/>
    <n v="0"/>
  </r>
  <r>
    <x v="11"/>
    <x v="1"/>
    <x v="0"/>
    <s v="5650200"/>
    <n v="721980"/>
    <s v="Supplies-Other"/>
    <s v="Canyon Road-Shared Svc"/>
    <x v="0"/>
    <m/>
    <n v="0"/>
    <n v="85.65"/>
    <n v="0"/>
    <n v="0"/>
    <n v="0"/>
    <n v="0"/>
    <n v="0"/>
    <n v="0"/>
    <n v="0"/>
    <n v="0"/>
    <n v="0"/>
    <n v="0"/>
    <n v="85.65"/>
    <n v="0"/>
  </r>
  <r>
    <x v="11"/>
    <x v="1"/>
    <x v="0"/>
    <s v="5650200"/>
    <n v="722000"/>
    <s v="Supplies-Freight Expense"/>
    <s v="Canyon Road-Shared Svc"/>
    <x v="0"/>
    <m/>
    <n v="0"/>
    <n v="17.260000000000002"/>
    <n v="0"/>
    <n v="0"/>
    <n v="0"/>
    <n v="0"/>
    <n v="0"/>
    <n v="0"/>
    <n v="0"/>
    <n v="0"/>
    <n v="0"/>
    <n v="52.67"/>
    <n v="69.930000000000007"/>
    <n v="-52.67"/>
  </r>
  <r>
    <x v="12"/>
    <x v="1"/>
    <x v="0"/>
    <s v="5650200"/>
    <n v="730010"/>
    <s v="Rental and Leases-Building (DO NOT USE)"/>
    <s v="Canyon Road-Shared Svc"/>
    <x v="0"/>
    <m/>
    <n v="16284.94"/>
    <n v="16284.94"/>
    <n v="16284.94"/>
    <n v="16284.94"/>
    <n v="29749.94"/>
    <n v="-8761.5400000000009"/>
    <n v="12421.31"/>
    <n v="12421.31"/>
    <n v="12421.31"/>
    <n v="12421.31"/>
    <n v="12421.31"/>
    <n v="0"/>
    <n v="148234.71"/>
    <n v="12421.31"/>
  </r>
  <r>
    <x v="12"/>
    <x v="1"/>
    <x v="0"/>
    <s v="5650200"/>
    <n v="730010"/>
    <s v="Rental-Common Area Maint (DO NOT USE)"/>
    <s v="Canyon Road-Shared Svc"/>
    <x v="0"/>
    <n v="2200"/>
    <n v="0"/>
    <n v="0"/>
    <n v="0"/>
    <n v="0"/>
    <n v="0"/>
    <n v="26055.9"/>
    <n v="4873.05"/>
    <n v="5509.53"/>
    <n v="4873.05"/>
    <n v="7703.21"/>
    <n v="4843.22"/>
    <n v="0"/>
    <n v="53857.960000000006"/>
    <n v="4843.22"/>
  </r>
  <r>
    <x v="12"/>
    <x v="1"/>
    <x v="0"/>
    <s v="5650200"/>
    <n v="730020"/>
    <s v="Rental and Leases-Copier Usage Fees (DO NOT USE)"/>
    <s v="Canyon Road-Shared Svc"/>
    <x v="0"/>
    <n v="5100"/>
    <n v="761.84"/>
    <n v="765.77"/>
    <n v="763.8"/>
    <n v="763.8"/>
    <n v="763.8"/>
    <n v="763.8"/>
    <n v="662.01"/>
    <n v="710.94"/>
    <n v="473.58"/>
    <n v="1006.92"/>
    <n v="546.01"/>
    <n v="600.1"/>
    <n v="8582.3700000000008"/>
    <n v="-54.090000000000032"/>
  </r>
  <r>
    <x v="12"/>
    <x v="1"/>
    <x v="0"/>
    <s v="5650200"/>
    <n v="730040"/>
    <s v="LT Lease-Real Estate"/>
    <s v="Canyon Road-Shared Svc"/>
    <x v="0"/>
    <m/>
    <n v="0"/>
    <n v="0"/>
    <n v="0"/>
    <n v="0"/>
    <n v="0"/>
    <n v="0"/>
    <n v="0"/>
    <n v="0"/>
    <n v="0"/>
    <n v="0"/>
    <n v="0"/>
    <n v="17264.53"/>
    <n v="17264.53"/>
    <n v="-17264.53"/>
  </r>
  <r>
    <x v="16"/>
    <x v="1"/>
    <x v="0"/>
    <s v="5650200"/>
    <n v="732030"/>
    <s v="Repairs---Other"/>
    <s v="Canyon Road-Shared Svc"/>
    <x v="0"/>
    <m/>
    <n v="1200.6300000000001"/>
    <n v="0"/>
    <n v="0"/>
    <n v="0"/>
    <n v="0"/>
    <n v="-400.53"/>
    <n v="400.53"/>
    <n v="0"/>
    <n v="430.37"/>
    <n v="242.84"/>
    <n v="0"/>
    <n v="-227.14"/>
    <n v="1646.6999999999998"/>
    <n v="227.14"/>
  </r>
  <r>
    <x v="16"/>
    <x v="1"/>
    <x v="0"/>
    <s v="5650200"/>
    <n v="732030"/>
    <s v="Repairs&amp;Maintenance-Bldg Routine"/>
    <s v="Canyon Road-Shared Svc"/>
    <x v="0"/>
    <n v="2300"/>
    <n v="0"/>
    <n v="0"/>
    <n v="0"/>
    <n v="0"/>
    <n v="1258.3800000000001"/>
    <n v="978.78"/>
    <n v="221.25"/>
    <n v="665.64"/>
    <n v="302.5"/>
    <n v="0"/>
    <n v="0"/>
    <n v="0"/>
    <n v="3426.5499999999997"/>
    <n v="0"/>
  </r>
  <r>
    <x v="13"/>
    <x v="1"/>
    <x v="0"/>
    <s v="5650200"/>
    <n v="735050"/>
    <s v="Amortization-Leasehold Improvements"/>
    <s v="Canyon Road-Shared Svc"/>
    <x v="0"/>
    <m/>
    <n v="5102.54"/>
    <n v="5102.54"/>
    <n v="5102.55"/>
    <n v="5102.5200000000004"/>
    <n v="5102.5600000000004"/>
    <n v="5102.5200000000004"/>
    <n v="5102.5600000000004"/>
    <n v="5102.5"/>
    <n v="5102.58"/>
    <n v="5102.5"/>
    <n v="5102.6099999999997"/>
    <n v="5102.5"/>
    <n v="61230.48"/>
    <n v="0.10999999999967258"/>
  </r>
  <r>
    <x v="13"/>
    <x v="1"/>
    <x v="0"/>
    <s v="5650200"/>
    <n v="735060"/>
    <s v="Depreciation-Fixed Equipment"/>
    <s v="Canyon Road-Shared Svc"/>
    <x v="0"/>
    <m/>
    <n v="292.64"/>
    <n v="292.64"/>
    <n v="292.64"/>
    <n v="292.64"/>
    <n v="292.64"/>
    <n v="292.64"/>
    <n v="292.64"/>
    <n v="292.64"/>
    <n v="292.64"/>
    <n v="292.64"/>
    <n v="292.64"/>
    <n v="292.63"/>
    <n v="3511.6699999999992"/>
    <n v="9.9999999999909051E-3"/>
  </r>
  <r>
    <x v="13"/>
    <x v="1"/>
    <x v="0"/>
    <s v="5650200"/>
    <n v="735070"/>
    <s v="Depreciation-Movable Equipment"/>
    <s v="Canyon Road-Shared Svc"/>
    <x v="0"/>
    <m/>
    <n v="1830.34"/>
    <n v="10277.85"/>
    <n v="10359.26"/>
    <n v="10371.049999999999"/>
    <n v="10371.120000000001"/>
    <n v="11932.43"/>
    <n v="11932.56"/>
    <n v="12001.17"/>
    <n v="12001.36"/>
    <n v="12001.15"/>
    <n v="12001.38"/>
    <n v="12001.12"/>
    <n v="127080.79"/>
    <n v="0.25999999999839929"/>
  </r>
  <r>
    <x v="8"/>
    <x v="1"/>
    <x v="0"/>
    <s v="5650200"/>
    <n v="741012"/>
    <s v="Physician Liab Insurance-CHI Program"/>
    <s v="Canyon Road-Shared Svc"/>
    <x v="0"/>
    <m/>
    <n v="426.3"/>
    <n v="426.3"/>
    <n v="426.3"/>
    <n v="426.3"/>
    <n v="426.3"/>
    <n v="426.3"/>
    <n v="426.3"/>
    <n v="426.3"/>
    <n v="426.3"/>
    <n v="426.3"/>
    <n v="426.3"/>
    <n v="426.3"/>
    <n v="5115.6000000000013"/>
    <n v="0"/>
  </r>
  <r>
    <x v="0"/>
    <x v="1"/>
    <x v="0"/>
    <s v="5650200"/>
    <n v="742040"/>
    <s v="Freight-Other"/>
    <s v="Canyon Road-Shared Svc"/>
    <x v="0"/>
    <m/>
    <n v="0"/>
    <n v="0"/>
    <n v="0"/>
    <n v="0"/>
    <n v="35"/>
    <n v="0"/>
    <n v="0"/>
    <n v="0"/>
    <n v="0"/>
    <n v="0"/>
    <n v="0"/>
    <n v="0"/>
    <n v="35"/>
    <n v="0"/>
  </r>
  <r>
    <x v="0"/>
    <x v="1"/>
    <x v="0"/>
    <s v="5650200"/>
    <n v="743030"/>
    <s v="Subscriptions--Institutional"/>
    <s v="Canyon Road-Shared Svc"/>
    <x v="0"/>
    <m/>
    <n v="0"/>
    <n v="0"/>
    <n v="0"/>
    <n v="0"/>
    <n v="0"/>
    <n v="0"/>
    <n v="0"/>
    <n v="0"/>
    <n v="0"/>
    <n v="0"/>
    <n v="53.23"/>
    <n v="0"/>
    <n v="53.23"/>
    <n v="53.23"/>
  </r>
  <r>
    <x v="0"/>
    <x v="1"/>
    <x v="0"/>
    <s v="5650200"/>
    <n v="749510"/>
    <s v="Miscellaneous Expenses"/>
    <s v="Canyon Road-Shared Svc"/>
    <x v="0"/>
    <m/>
    <n v="10267.58"/>
    <n v="-9947.3799999999992"/>
    <n v="122.11"/>
    <n v="-122.11"/>
    <n v="100"/>
    <n v="300"/>
    <n v="0"/>
    <n v="0"/>
    <n v="200"/>
    <n v="393.75"/>
    <n v="400"/>
    <n v="0"/>
    <n v="1713.9500000000007"/>
    <n v="400"/>
  </r>
  <r>
    <x v="0"/>
    <x v="1"/>
    <x v="0"/>
    <s v="5650200"/>
    <n v="749510"/>
    <s v="Licenses"/>
    <s v="Canyon Road-Shared Svc"/>
    <x v="0"/>
    <n v="1002"/>
    <n v="0"/>
    <n v="0"/>
    <n v="330"/>
    <n v="0"/>
    <n v="0"/>
    <n v="155"/>
    <n v="38.75"/>
    <n v="0"/>
    <n v="0"/>
    <n v="0"/>
    <n v="150"/>
    <n v="0"/>
    <n v="673.75"/>
    <n v="150"/>
  </r>
  <r>
    <x v="0"/>
    <x v="1"/>
    <x v="0"/>
    <s v="5650200"/>
    <n v="749510"/>
    <s v="RICE Rewards"/>
    <s v="Canyon Road-Shared Svc"/>
    <x v="0"/>
    <n v="5100"/>
    <n v="0"/>
    <n v="0"/>
    <n v="0"/>
    <n v="0"/>
    <n v="0"/>
    <n v="62.84"/>
    <n v="0"/>
    <n v="625.38"/>
    <n v="0"/>
    <n v="0"/>
    <n v="599"/>
    <n v="61.07"/>
    <n v="1348.29"/>
    <n v="537.92999999999995"/>
  </r>
  <r>
    <x v="0"/>
    <x v="1"/>
    <x v="0"/>
    <s v="5650200"/>
    <n v="749530"/>
    <s v="Mileage"/>
    <s v="Canyon Road-Shared Svc"/>
    <x v="0"/>
    <n v="1001"/>
    <n v="0"/>
    <n v="7.26"/>
    <n v="0"/>
    <n v="30.51"/>
    <n v="153.21"/>
    <n v="18.54"/>
    <n v="0"/>
    <n v="0"/>
    <n v="167.04"/>
    <n v="51.04"/>
    <n v="0"/>
    <n v="0"/>
    <n v="427.6"/>
    <n v="0"/>
  </r>
  <r>
    <x v="0"/>
    <x v="1"/>
    <x v="0"/>
    <s v="5650200"/>
    <n v="749550"/>
    <s v="Cash Over/Short"/>
    <s v="Canyon Road-Shared Svc"/>
    <x v="0"/>
    <m/>
    <n v="-6.1"/>
    <n v="0"/>
    <n v="4"/>
    <n v="-9.1999999999999993"/>
    <n v="0"/>
    <n v="-45.63"/>
    <n v="0"/>
    <n v="0"/>
    <n v="-25.68"/>
    <n v="-0.2"/>
    <n v="20"/>
    <n v="0"/>
    <n v="-62.81"/>
    <n v="20"/>
  </r>
  <r>
    <x v="0"/>
    <x v="1"/>
    <x v="0"/>
    <s v="5650200"/>
    <n v="766010"/>
    <s v="Property Tax"/>
    <s v="Canyon Road-Shared Svc"/>
    <x v="0"/>
    <m/>
    <n v="403.7"/>
    <n v="403.7"/>
    <n v="403.7"/>
    <n v="403.7"/>
    <n v="403.7"/>
    <n v="403.7"/>
    <n v="403.7"/>
    <n v="403.7"/>
    <n v="403.7"/>
    <n v="-148.25"/>
    <n v="265.72000000000003"/>
    <n v="265.72000000000003"/>
    <n v="4016.49"/>
    <n v="0"/>
  </r>
  <r>
    <x v="9"/>
    <x v="1"/>
    <x v="0"/>
    <s v="5650200"/>
    <n v="800015"/>
    <s v="Interest Income-Ext to CHI"/>
    <s v="Canyon Road-Shared Svc"/>
    <x v="0"/>
    <m/>
    <n v="0"/>
    <n v="0"/>
    <n v="0"/>
    <n v="0"/>
    <n v="0"/>
    <n v="0"/>
    <n v="0"/>
    <n v="-99.72"/>
    <n v="-105.81"/>
    <n v="-97.94"/>
    <n v="-96.6"/>
    <n v="-89.04"/>
    <n v="-489.11000000000007"/>
    <n v="-7.5599999999999881"/>
  </r>
  <r>
    <x v="1"/>
    <x v="11"/>
    <x v="0"/>
    <s v="5650211"/>
    <n v="400029"/>
    <s v="MD Practice Other Rev--Medicare"/>
    <s v="FHS Inpatient Team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29"/>
    <s v="MD Practice Other Rev--Medicaid"/>
    <s v="FHS Inpatient Team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29"/>
    <s v="MD Practice Other Rev--Managed Care"/>
    <s v="FHS Inpatient Team"/>
    <x v="0"/>
    <n v="14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29"/>
    <s v="MD Practice Other Rev--Other"/>
    <s v="FHS Inpatient Team"/>
    <x v="0"/>
    <n v="17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40"/>
    <s v="Physician Svcs Rev--Medicare"/>
    <s v="FHS Inpatient Team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40"/>
    <s v="Physician Svcs Rev--Medicaid"/>
    <s v="FHS Inpatient Team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40"/>
    <s v="Physician Svcs Rev--Comm Insurance"/>
    <s v="FHS Inpatient Team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40"/>
    <s v="Physician Svcs Rev--BCBS Comm"/>
    <s v="FHS Inpatient Team"/>
    <x v="0"/>
    <n v="1301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40"/>
    <s v="Physician Svcs Rev--Managed Care"/>
    <s v="FHS Inpatient Team"/>
    <x v="0"/>
    <n v="14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40"/>
    <s v="Physician Svcs Rev--Self Pay"/>
    <s v="FHS Inpatient Team"/>
    <x v="0"/>
    <n v="1500"/>
    <n v="0"/>
    <n v="0"/>
    <n v="0"/>
    <n v="0"/>
    <n v="0"/>
    <n v="0"/>
    <n v="0"/>
    <n v="0"/>
    <n v="0"/>
    <n v="0"/>
    <n v="0"/>
    <n v="0"/>
    <n v="0"/>
    <n v="0"/>
  </r>
  <r>
    <x v="1"/>
    <x v="11"/>
    <x v="0"/>
    <s v="5650211"/>
    <n v="400040"/>
    <s v="Physician Svcs Rev--Other"/>
    <s v="FHS Inpatient Team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29"/>
    <s v="Contr Allow--MD Other-Medicare"/>
    <s v="FHS Inpatient Team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29"/>
    <s v="Contr Allow--MD Other-Medicaid"/>
    <s v="FHS Inpatient Team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29"/>
    <s v="Contr Allow--MD Other-Managed Care"/>
    <s v="FHS Inpatient Team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29"/>
    <s v="Admin Adjust-MD Other-Self Pay"/>
    <s v="FHS Inpatient Team"/>
    <x v="0"/>
    <n v="16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Contr Allow--Phys Svcs--Mcare"/>
    <s v="FHS Inpatient Team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Contr Allow--Phys Svcs--Mcaid"/>
    <s v="FHS Inpatient Team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Contr Allow--Phys Svcs--Comm Insurance"/>
    <s v="FHS Inpatient Team"/>
    <x v="0"/>
    <n v="13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Contr Allow--Phys Svcs--BCBS Comm Ins"/>
    <s v="FHS Inpatient Team"/>
    <x v="0"/>
    <n v="1301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Contr Allow--Phys Svcs--Managed Care"/>
    <s v="FHS Inpatient Team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Prompt Pay Disc-Phys Svcs-Self Pay"/>
    <s v="FHS Inpatient Team"/>
    <x v="0"/>
    <n v="15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Admin Adjust-Phys Svcs-Self Pay"/>
    <s v="FHS Inpatient Team"/>
    <x v="0"/>
    <n v="1600"/>
    <n v="0"/>
    <n v="0"/>
    <n v="0"/>
    <n v="0"/>
    <n v="0"/>
    <n v="0"/>
    <n v="0"/>
    <n v="0"/>
    <n v="0"/>
    <n v="0"/>
    <n v="0"/>
    <n v="0"/>
    <n v="0"/>
    <n v="0"/>
  </r>
  <r>
    <x v="2"/>
    <x v="11"/>
    <x v="0"/>
    <s v="5650211"/>
    <n v="450040"/>
    <s v="Contr Allow--Phys Svcs--Other"/>
    <s v="FHS Inpatient Team"/>
    <x v="0"/>
    <n v="1700"/>
    <n v="0"/>
    <n v="0"/>
    <n v="0"/>
    <n v="0"/>
    <n v="0"/>
    <n v="0"/>
    <n v="0"/>
    <n v="0"/>
    <n v="0"/>
    <n v="0"/>
    <n v="0"/>
    <n v="0"/>
    <n v="0"/>
    <n v="0"/>
  </r>
  <r>
    <x v="3"/>
    <x v="11"/>
    <x v="0"/>
    <s v="5650211"/>
    <n v="470040"/>
    <s v="Charity Care-Physician Svcs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4"/>
    <x v="11"/>
    <x v="0"/>
    <s v="5650211"/>
    <n v="490010"/>
    <s v="Provision for Bad Debts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4"/>
    <x v="11"/>
    <x v="0"/>
    <s v="5650211"/>
    <n v="600050"/>
    <s v="Miscellaneous Revenu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14"/>
    <s v="Salaries-Management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14"/>
    <s v="Salaries-Management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0"/>
    <s v="Salaries-Physician Admi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0"/>
    <s v="Salaries-Physician Admin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2"/>
    <s v="Salaries-Physicia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2"/>
    <s v="Salaries-Physician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2"/>
    <s v="Salaries-Physician-Provider Incentive"/>
    <s v="FHS Inpatient Team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4"/>
    <s v="Salaries-Advanced Practice Clinicia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4"/>
    <s v="Salaries-Advanced Practice Clinician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24"/>
    <s v="Salaries-Advanced Practice Clinician-Provider Incentive"/>
    <s v="FHS Inpatient Team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38"/>
    <s v="Salaries-Service/Support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38"/>
    <s v="Salaries-Service/Support-OT"/>
    <s v="FHS Inpatient Team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54"/>
    <s v="Salaries-Management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54"/>
    <s v="Salaries-Management-NonProd-Other"/>
    <s v="FHS Inpatient Team"/>
    <x v="0"/>
    <n v="2000"/>
    <n v="0"/>
    <n v="0"/>
    <n v="0"/>
    <n v="0"/>
    <n v="0"/>
    <n v="0"/>
    <n v="-5512.04"/>
    <n v="5512.04"/>
    <n v="0"/>
    <n v="0"/>
    <n v="0"/>
    <n v="0"/>
    <n v="0"/>
    <n v="0"/>
  </r>
  <r>
    <x v="5"/>
    <x v="11"/>
    <x v="0"/>
    <s v="5650211"/>
    <n v="700062"/>
    <s v="Salaries-Physician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62"/>
    <s v="Salaries-Physician-NonProd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64"/>
    <s v="Salaries-Advanced Practice Clinician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64"/>
    <s v="Salaries-Advanced Practice Clinician-Non-Prod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78"/>
    <s v="Salaries-Service/Support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1"/>
    <x v="0"/>
    <s v="5650211"/>
    <n v="700084"/>
    <s v="Accrued PTO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6"/>
    <x v="11"/>
    <x v="0"/>
    <s v="5650211"/>
    <n v="713010"/>
    <s v="Benefits-FICA/Medicare"/>
    <s v="FHS Inpatient Team"/>
    <x v="0"/>
    <m/>
    <n v="0"/>
    <n v="0"/>
    <n v="0"/>
    <n v="0"/>
    <n v="0"/>
    <n v="0"/>
    <n v="421.66"/>
    <n v="-421.66"/>
    <n v="0"/>
    <n v="0"/>
    <n v="0"/>
    <n v="0"/>
    <n v="0"/>
    <n v="0"/>
  </r>
  <r>
    <x v="6"/>
    <x v="11"/>
    <x v="0"/>
    <s v="5650211"/>
    <n v="713090"/>
    <s v="Benefits-Allocated Amounts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6"/>
    <x v="11"/>
    <x v="0"/>
    <s v="5650211"/>
    <n v="713096"/>
    <s v="Employee Recognition"/>
    <s v="FHS Inpatient Team"/>
    <x v="0"/>
    <n v="1017"/>
    <n v="0"/>
    <n v="0"/>
    <n v="0"/>
    <n v="0"/>
    <n v="0"/>
    <n v="0"/>
    <n v="0"/>
    <n v="0"/>
    <n v="0"/>
    <n v="0"/>
    <n v="0"/>
    <n v="0"/>
    <n v="0"/>
    <n v="0"/>
  </r>
  <r>
    <x v="7"/>
    <x v="11"/>
    <x v="0"/>
    <s v="5650211"/>
    <n v="718040"/>
    <s v="Contract Svcs-Laboratory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7"/>
    <x v="11"/>
    <x v="0"/>
    <s v="5650211"/>
    <n v="718050"/>
    <s v="Document Shredding/Storage"/>
    <s v="FHS Inpatient Team"/>
    <x v="0"/>
    <n v="1012"/>
    <n v="0"/>
    <n v="0"/>
    <n v="0"/>
    <n v="0"/>
    <n v="0"/>
    <n v="0"/>
    <n v="0"/>
    <n v="0"/>
    <n v="0"/>
    <n v="0"/>
    <n v="0"/>
    <n v="0"/>
    <n v="0"/>
    <n v="0"/>
  </r>
  <r>
    <x v="7"/>
    <x v="11"/>
    <x v="0"/>
    <s v="5650211"/>
    <n v="718050"/>
    <s v="Miscellaneous Purchased Svcs"/>
    <s v="FHS Inpatient Team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11"/>
    <x v="0"/>
    <s v="5650211"/>
    <n v="721810"/>
    <s v="Supplies-Dietary/Cafeteria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1"/>
    <x v="11"/>
    <x v="0"/>
    <s v="5650211"/>
    <n v="721830"/>
    <s v="Supplies-Offic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1"/>
    <x v="11"/>
    <x v="0"/>
    <s v="5650211"/>
    <n v="721910"/>
    <s v="Supplies-Small Equipment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1"/>
    <x v="11"/>
    <x v="0"/>
    <s v="5650211"/>
    <n v="721980"/>
    <s v="Supplies-Other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2"/>
    <x v="11"/>
    <x v="0"/>
    <s v="5650211"/>
    <n v="730020"/>
    <s v="Rental and Leases-Copier Usage Fees (DO NOT USE)"/>
    <s v="FHS Inpatient Team"/>
    <x v="0"/>
    <n v="5100"/>
    <n v="0"/>
    <n v="0"/>
    <n v="0"/>
    <n v="0"/>
    <n v="0"/>
    <n v="0"/>
    <n v="0"/>
    <n v="0"/>
    <n v="0"/>
    <n v="0"/>
    <n v="0"/>
    <n v="0"/>
    <n v="0"/>
    <n v="0"/>
  </r>
  <r>
    <x v="15"/>
    <x v="11"/>
    <x v="0"/>
    <s v="5650211"/>
    <n v="731060"/>
    <s v="Pagers"/>
    <s v="FHS Inpatient Team"/>
    <x v="0"/>
    <n v="1002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0020"/>
    <s v="Education-Registration Fees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0022"/>
    <s v="Education-Phys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0022"/>
    <s v="Books-Physician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0023"/>
    <s v="Education-Advanced Practice Clin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0023"/>
    <s v="Books-Advanced Practice Clinician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8"/>
    <x v="11"/>
    <x v="0"/>
    <s v="5650211"/>
    <n v="741012"/>
    <s v="Physician Liab Insurance-CHI Program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3022"/>
    <s v="Dues-Phys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3023"/>
    <s v="Dues-Advanced Practice Clin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3030"/>
    <s v="Subscriptions--Institutional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3040"/>
    <s v="Subscriptions--Individual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3042"/>
    <s v="Subscriptions-Phys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3043"/>
    <s v="Subscriptions-Advanced Practice Clin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10"/>
    <s v="Miscellaneous Expenses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10"/>
    <s v="Licenses"/>
    <s v="FHS Inpatient Team"/>
    <x v="0"/>
    <n v="1002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10"/>
    <s v="RICE Rewards"/>
    <s v="FHS Inpatient Team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12"/>
    <s v="Licenses-Physician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13"/>
    <s v="Licenses-Advanced Practice Clinician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0"/>
    <s v="Travel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0"/>
    <s v="Mileage"/>
    <s v="FHS Inpatient Team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2"/>
    <s v="Travel-Phys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2"/>
    <s v="Vehicle Expense-Physician"/>
    <s v="FHS Inpatient Team"/>
    <x v="0"/>
    <n v="2001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3"/>
    <s v="Travel-Advanced Practice Clinician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3"/>
    <s v="Vehicle Expense-Advanced Practice Clinician"/>
    <s v="FHS Inpatient Team"/>
    <x v="0"/>
    <n v="2001"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5"/>
    <s v="Meetings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0"/>
    <x v="11"/>
    <x v="0"/>
    <s v="5650211"/>
    <n v="749535"/>
    <s v="Medicare Non-Allowable Beverages"/>
    <s v="FHS Inpatient Team"/>
    <x v="0"/>
    <n v="1005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14"/>
    <s v="Salaries-Management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14"/>
    <s v="Salaries-Management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0"/>
    <s v="Salaries-Physician Admi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0"/>
    <s v="Salaries-Physician Admin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2"/>
    <s v="Salaries-Physicia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2"/>
    <s v="Salaries-Physician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2"/>
    <s v="Salaries-Physician-Provider Incentive"/>
    <s v="FHS Inpatient Team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4"/>
    <s v="Salaries-Advanced Practice Clinicia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4"/>
    <s v="Salaries-Advanced Practice Clinician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24"/>
    <s v="Salaries-Advanced Practice Clinician-Provider Incentive"/>
    <s v="FHS Inpatient Team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38"/>
    <s v="Salaries-Service/Support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38"/>
    <s v="Salaries-Service/Support-OT"/>
    <s v="FHS Inpatient Team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54"/>
    <s v="Salaries-Management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54"/>
    <s v="Salaries-Management-NonProd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62"/>
    <s v="Salaries-Physician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62"/>
    <s v="Salaries-Physician-NonProd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64"/>
    <s v="Salaries-Advanced Practice Clinician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64"/>
    <s v="Salaries-Advanced Practice Clinician-Non-Prod-Other"/>
    <s v="FHS Inpatient Tea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78"/>
    <s v="Salaries-Service/Support-Non-productiv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5650501"/>
    <n v="700084"/>
    <s v="Accrued PTO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5650501"/>
    <n v="713010"/>
    <s v="Benefits-FICA/Medicar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5650501"/>
    <n v="713090"/>
    <s v="Benefits-Allocated Amounts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7"/>
    <x v="9"/>
    <x v="0"/>
    <s v="5650501"/>
    <n v="718040"/>
    <s v="Contract Svcs-Laboratory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7"/>
    <x v="9"/>
    <x v="0"/>
    <s v="5650501"/>
    <n v="718050"/>
    <s v="Document Shredding/Storage"/>
    <s v="FHS Inpatient Team"/>
    <x v="0"/>
    <n v="1012"/>
    <n v="0"/>
    <n v="0"/>
    <n v="0"/>
    <n v="0"/>
    <n v="0"/>
    <n v="0"/>
    <n v="0"/>
    <n v="0"/>
    <n v="0"/>
    <n v="0"/>
    <n v="0"/>
    <n v="0"/>
    <n v="0"/>
    <n v="0"/>
  </r>
  <r>
    <x v="7"/>
    <x v="9"/>
    <x v="0"/>
    <s v="5650501"/>
    <n v="718050"/>
    <s v="Miscellaneous Purchased Svcs"/>
    <s v="FHS Inpatient Team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5650501"/>
    <n v="721810"/>
    <s v="Supplies-Dietary/Cafeteria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5650501"/>
    <n v="721830"/>
    <s v="Supplies-Office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5650501"/>
    <n v="721980"/>
    <s v="Supplies-Other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12"/>
    <x v="9"/>
    <x v="0"/>
    <s v="5650501"/>
    <n v="730020"/>
    <s v="Rental and Leases-Copier Usage Fees (DO NOT USE)"/>
    <s v="FHS Inpatient Team"/>
    <x v="0"/>
    <n v="5100"/>
    <n v="0"/>
    <n v="0"/>
    <n v="0"/>
    <n v="0"/>
    <n v="0"/>
    <n v="0"/>
    <n v="0"/>
    <n v="0"/>
    <n v="0"/>
    <n v="0"/>
    <n v="0"/>
    <n v="0"/>
    <n v="0"/>
    <n v="0"/>
  </r>
  <r>
    <x v="8"/>
    <x v="9"/>
    <x v="0"/>
    <s v="5650501"/>
    <n v="741012"/>
    <s v="Physician Liab Insurance-CHI Program"/>
    <s v="FHS Inpatient Team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1200"/>
    <n v="700014"/>
    <s v="Salaries-Management-Productive"/>
    <s v="Spanaway-Shared Svc"/>
    <x v="0"/>
    <m/>
    <n v="2153.8000000000002"/>
    <n v="2104.85"/>
    <n v="1517.45"/>
    <n v="2193.4"/>
    <n v="300.3"/>
    <n v="2892.89"/>
    <n v="1914.83"/>
    <n v="1904.68"/>
    <n v="2105.17"/>
    <n v="2205.41"/>
    <n v="1804.43"/>
    <n v="1804.44"/>
    <n v="22901.649999999998"/>
    <n v="-9.9999999999909051E-3"/>
  </r>
  <r>
    <x v="5"/>
    <x v="1"/>
    <x v="0"/>
    <s v="5651200"/>
    <n v="700018"/>
    <s v="Salaries-Supervisory-Productive"/>
    <s v="Spanaway-Shared Svc"/>
    <x v="0"/>
    <m/>
    <n v="640.64"/>
    <n v="1397.76"/>
    <n v="1164.8"/>
    <n v="1369.4"/>
    <n v="1317.8"/>
    <n v="748.75"/>
    <n v="1037.83"/>
    <n v="1091.79"/>
    <n v="1079.79"/>
    <n v="1319.73"/>
    <n v="1259.75"/>
    <n v="899.82"/>
    <n v="13327.86"/>
    <n v="359.92999999999995"/>
  </r>
  <r>
    <x v="5"/>
    <x v="1"/>
    <x v="0"/>
    <s v="5651200"/>
    <n v="700038"/>
    <s v="Salaries-Service/Support-Productive"/>
    <s v="Spanaway-Shared Svc"/>
    <x v="0"/>
    <m/>
    <n v="14177.68"/>
    <n v="15732.03"/>
    <n v="11466.29"/>
    <n v="14778.45"/>
    <n v="12790.29"/>
    <n v="13812.96"/>
    <n v="14864.02"/>
    <n v="12344.07"/>
    <n v="13387.13"/>
    <n v="13658.99"/>
    <n v="14733.99"/>
    <n v="12858.22"/>
    <n v="164604.11999999997"/>
    <n v="1875.7700000000004"/>
  </r>
  <r>
    <x v="5"/>
    <x v="1"/>
    <x v="0"/>
    <s v="5651200"/>
    <n v="700038"/>
    <s v="Salaries-Service/Support-OT"/>
    <s v="Spanaway-Shared Svc"/>
    <x v="0"/>
    <n v="1000"/>
    <n v="93.14"/>
    <n v="169.42"/>
    <n v="307"/>
    <n v="169.34"/>
    <n v="157.65"/>
    <n v="-6.46"/>
    <n v="229.65"/>
    <n v="108.26"/>
    <n v="149.82"/>
    <n v="74.45"/>
    <n v="211.62"/>
    <n v="-11.76"/>
    <n v="1652.1299999999999"/>
    <n v="223.38"/>
  </r>
  <r>
    <x v="5"/>
    <x v="1"/>
    <x v="0"/>
    <s v="5651200"/>
    <n v="700038"/>
    <s v="Salaries-Service/Support-Other"/>
    <s v="Spanaway-Shared Svc"/>
    <x v="0"/>
    <n v="2000"/>
    <n v="0"/>
    <n v="0"/>
    <n v="90.62"/>
    <n v="54.18"/>
    <n v="-2.8"/>
    <n v="8"/>
    <n v="0"/>
    <n v="12.6"/>
    <n v="-3.6"/>
    <n v="26.6"/>
    <n v="0"/>
    <n v="0"/>
    <n v="185.6"/>
    <n v="0"/>
  </r>
  <r>
    <x v="5"/>
    <x v="1"/>
    <x v="0"/>
    <s v="5651200"/>
    <n v="700058"/>
    <s v="Salaries-Supervisory-Non-productive"/>
    <s v="Spanaway-Shared Svc"/>
    <x v="0"/>
    <m/>
    <n v="116.48"/>
    <n v="0"/>
    <n v="0"/>
    <n v="0"/>
    <n v="0"/>
    <n v="503.16"/>
    <n v="263.97000000000003"/>
    <n v="71.989999999999995"/>
    <n v="179.96"/>
    <n v="0"/>
    <n v="119.98"/>
    <n v="119.98"/>
    <n v="1375.52"/>
    <n v="0"/>
  </r>
  <r>
    <x v="5"/>
    <x v="1"/>
    <x v="0"/>
    <s v="5651200"/>
    <n v="700078"/>
    <s v="Salaries-Service/Support-Non-productive"/>
    <s v="Spanaway-Shared Svc"/>
    <x v="0"/>
    <m/>
    <n v="1175.1400000000001"/>
    <n v="283.58"/>
    <n v="3921.04"/>
    <n v="3093.92"/>
    <n v="2257.15"/>
    <n v="659.34"/>
    <n v="1055.0999999999999"/>
    <n v="2110.37"/>
    <n v="1134.07"/>
    <n v="2919.98"/>
    <n v="1377.41"/>
    <n v="1559.77"/>
    <n v="21546.87"/>
    <n v="-182.3599999999999"/>
  </r>
  <r>
    <x v="5"/>
    <x v="1"/>
    <x v="0"/>
    <s v="5651200"/>
    <n v="700078"/>
    <s v="Salaries-Service/Support-NonProd-Other"/>
    <s v="Spanaway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1200"/>
    <n v="700084"/>
    <s v="Accrued PTO"/>
    <s v="Spanaway-Shared Svc"/>
    <x v="0"/>
    <m/>
    <n v="1247.3699999999999"/>
    <n v="1116.53"/>
    <n v="-1868.51"/>
    <n v="-5.54"/>
    <n v="-340.46"/>
    <n v="595.20000000000005"/>
    <n v="514.9"/>
    <n v="-23.08"/>
    <n v="431.25"/>
    <n v="-83.15"/>
    <n v="344.54"/>
    <n v="86.12"/>
    <n v="2015.1699999999996"/>
    <n v="258.42"/>
  </r>
  <r>
    <x v="6"/>
    <x v="1"/>
    <x v="0"/>
    <s v="5651200"/>
    <n v="713010"/>
    <s v="Benefits-FICA/Medicare"/>
    <s v="Spanaway-Shared Svc"/>
    <x v="0"/>
    <m/>
    <n v="1326.13"/>
    <n v="1443.79"/>
    <n v="1363.15"/>
    <n v="1603.06"/>
    <n v="1252.8499999999999"/>
    <n v="1374.55"/>
    <n v="1424.61"/>
    <n v="1297.6199999999999"/>
    <n v="1328.02"/>
    <n v="1485.94"/>
    <n v="1437.35"/>
    <n v="1267.24"/>
    <n v="16604.310000000001"/>
    <n v="170.1099999999999"/>
  </r>
  <r>
    <x v="6"/>
    <x v="1"/>
    <x v="0"/>
    <s v="5651200"/>
    <n v="713090"/>
    <s v="Benefits-Allocated Amounts"/>
    <s v="Spanaway-Shared Svc"/>
    <x v="0"/>
    <m/>
    <n v="4922.59"/>
    <n v="4634.9799999999996"/>
    <n v="5148.99"/>
    <n v="5446.4"/>
    <n v="4974.09"/>
    <n v="4968.78"/>
    <n v="5591.47"/>
    <n v="5700"/>
    <n v="5026.97"/>
    <n v="5774.84"/>
    <n v="5249.2"/>
    <n v="5323.85"/>
    <n v="62762.159999999996"/>
    <n v="-74.650000000000546"/>
  </r>
  <r>
    <x v="7"/>
    <x v="1"/>
    <x v="0"/>
    <s v="5651200"/>
    <n v="718050"/>
    <s v="Cleaning Services"/>
    <s v="Spanaway-Shared Svc"/>
    <x v="0"/>
    <n v="1011"/>
    <n v="2771.25"/>
    <n v="2420.61"/>
    <n v="1635.61"/>
    <n v="1635.61"/>
    <n v="1635.61"/>
    <n v="1635.61"/>
    <n v="1791.45"/>
    <n v="1635.61"/>
    <n v="2928"/>
    <n v="1635.61"/>
    <n v="3660.88"/>
    <n v="2025.27"/>
    <n v="25411.120000000003"/>
    <n v="1635.6100000000001"/>
  </r>
  <r>
    <x v="7"/>
    <x v="1"/>
    <x v="0"/>
    <s v="5651200"/>
    <n v="718050"/>
    <s v="Document Shredding/Storage"/>
    <s v="Spanaway-Shared Svc"/>
    <x v="0"/>
    <n v="1012"/>
    <n v="107.09"/>
    <n v="25.99"/>
    <n v="-100.66"/>
    <n v="7.73"/>
    <n v="102.63"/>
    <n v="86.2"/>
    <n v="85.33"/>
    <n v="335.14"/>
    <n v="155.12"/>
    <n v="-35.31"/>
    <n v="94.12"/>
    <n v="183.42"/>
    <n v="1046.8"/>
    <n v="-89.299999999999983"/>
  </r>
  <r>
    <x v="7"/>
    <x v="1"/>
    <x v="0"/>
    <s v="5651200"/>
    <n v="718050"/>
    <s v="Physician Answering"/>
    <s v="Spanaway-Shared Svc"/>
    <x v="0"/>
    <n v="1015"/>
    <n v="112"/>
    <n v="0"/>
    <n v="96"/>
    <n v="80"/>
    <n v="80"/>
    <n v="0"/>
    <n v="304"/>
    <n v="32"/>
    <n v="112"/>
    <n v="160"/>
    <n v="0"/>
    <n v="490"/>
    <n v="1466"/>
    <n v="-490"/>
  </r>
  <r>
    <x v="7"/>
    <x v="1"/>
    <x v="0"/>
    <s v="5651200"/>
    <n v="718050"/>
    <s v="Security"/>
    <s v="Spanaway-Shared Svc"/>
    <x v="0"/>
    <n v="1019"/>
    <n v="279.83999999999997"/>
    <n v="180.84"/>
    <n v="179.84"/>
    <n v="155.84"/>
    <n v="155.84"/>
    <n v="1109.6500000000001"/>
    <n v="0"/>
    <n v="331.68"/>
    <n v="115.84"/>
    <n v="232.78"/>
    <n v="0"/>
    <n v="0"/>
    <n v="2742.1500000000005"/>
    <n v="0"/>
  </r>
  <r>
    <x v="7"/>
    <x v="1"/>
    <x v="0"/>
    <s v="5651200"/>
    <n v="718050"/>
    <s v="Miscellaneous Purchased Svcs"/>
    <s v="Spanaway-Shared Svc"/>
    <x v="0"/>
    <n v="1020"/>
    <n v="0"/>
    <n v="32.92"/>
    <n v="32.92"/>
    <n v="32.92"/>
    <n v="0"/>
    <n v="32.92"/>
    <n v="131.5"/>
    <n v="32.92"/>
    <n v="77.92"/>
    <n v="32.92"/>
    <n v="0"/>
    <n v="32.92"/>
    <n v="439.86000000000007"/>
    <n v="-32.92"/>
  </r>
  <r>
    <x v="7"/>
    <x v="1"/>
    <x v="0"/>
    <s v="5651200"/>
    <n v="718050"/>
    <s v="Translation Services"/>
    <s v="Spanaway-Shared Svc"/>
    <x v="0"/>
    <n v="1025"/>
    <n v="802.51"/>
    <n v="0"/>
    <n v="1623.5"/>
    <n v="24.96"/>
    <n v="1315.37"/>
    <n v="552.84"/>
    <n v="496.5"/>
    <n v="669.85"/>
    <n v="0"/>
    <n v="71.900000000000006"/>
    <n v="316.02"/>
    <n v="28.45"/>
    <n v="5901.9000000000005"/>
    <n v="287.57"/>
  </r>
  <r>
    <x v="7"/>
    <x v="1"/>
    <x v="0"/>
    <s v="5651200"/>
    <n v="718050"/>
    <s v="Contract Management--Linen"/>
    <s v="Spanaway-Shared Svc"/>
    <x v="0"/>
    <n v="1026"/>
    <n v="162.66"/>
    <n v="234.37"/>
    <n v="339.32"/>
    <n v="173.16"/>
    <n v="285.10000000000002"/>
    <n v="115.44"/>
    <n v="408.9"/>
    <n v="369.32"/>
    <n v="236.4"/>
    <n v="177.3"/>
    <n v="59.1"/>
    <n v="296.94"/>
    <n v="2858.01"/>
    <n v="-237.84"/>
  </r>
  <r>
    <x v="7"/>
    <x v="1"/>
    <x v="0"/>
    <s v="5651200"/>
    <n v="718050"/>
    <s v="Purchased Srvcs--Medical Waste"/>
    <s v="Spanaway-Shared Svc"/>
    <x v="0"/>
    <n v="1027"/>
    <n v="378.01"/>
    <n v="152.66"/>
    <n v="152.66"/>
    <n v="163.02000000000001"/>
    <n v="134.18"/>
    <n v="152.66"/>
    <n v="20.72"/>
    <n v="303.01"/>
    <n v="142.30000000000001"/>
    <n v="410.44"/>
    <n v="91.87"/>
    <n v="81.510000000000005"/>
    <n v="2183.0400000000004"/>
    <n v="10.36"/>
  </r>
  <r>
    <x v="7"/>
    <x v="1"/>
    <x v="0"/>
    <s v="5651200"/>
    <n v="718070"/>
    <s v="Contract Srvcs-CHI Clinical Engineering"/>
    <s v="Spanaway-Shared Svc"/>
    <x v="0"/>
    <m/>
    <n v="370.5"/>
    <n v="0"/>
    <n v="1376.5"/>
    <n v="0"/>
    <n v="220.2"/>
    <n v="220.2"/>
    <n v="0"/>
    <n v="0"/>
    <n v="0"/>
    <n v="0"/>
    <n v="0"/>
    <n v="8.27"/>
    <n v="2195.67"/>
    <n v="-8.27"/>
  </r>
  <r>
    <x v="11"/>
    <x v="1"/>
    <x v="0"/>
    <s v="5651200"/>
    <n v="721250"/>
    <s v="Supplies-Pharmacy Drugs - Billable"/>
    <s v="Spanaway-Shared Svc"/>
    <x v="0"/>
    <m/>
    <n v="5748.34"/>
    <n v="12575.61"/>
    <n v="18319.82"/>
    <n v="31914.73"/>
    <n v="21544.639999999999"/>
    <n v="21182.54"/>
    <n v="12056.16"/>
    <n v="5941.01"/>
    <n v="12031.35"/>
    <n v="9468.65"/>
    <n v="10970.6"/>
    <n v="12851.63"/>
    <n v="174605.08"/>
    <n v="-1881.0299999999988"/>
  </r>
  <r>
    <x v="11"/>
    <x v="1"/>
    <x v="0"/>
    <s v="5651200"/>
    <n v="721410"/>
    <s v="Supplies-Medical - Nonbillable"/>
    <s v="Spanaway-Shared Svc"/>
    <x v="0"/>
    <m/>
    <n v="128.33000000000001"/>
    <n v="-25.15"/>
    <n v="1045.75"/>
    <n v="0"/>
    <n v="277.11"/>
    <n v="0"/>
    <n v="104.02"/>
    <n v="76.05"/>
    <n v="0"/>
    <n v="9.6"/>
    <n v="0"/>
    <n v="-27.64"/>
    <n v="1588.0699999999997"/>
    <n v="27.64"/>
  </r>
  <r>
    <x v="11"/>
    <x v="1"/>
    <x v="0"/>
    <s v="5651200"/>
    <n v="721830"/>
    <s v="Supplies-Office"/>
    <s v="Spanaway-Shared Svc"/>
    <x v="0"/>
    <m/>
    <n v="279.63"/>
    <n v="152.65"/>
    <n v="0"/>
    <n v="51.01"/>
    <n v="0"/>
    <n v="0"/>
    <n v="1328.38"/>
    <n v="0"/>
    <n v="0"/>
    <n v="54.95"/>
    <n v="0"/>
    <n v="-14.73"/>
    <n v="1851.89"/>
    <n v="14.73"/>
  </r>
  <r>
    <x v="11"/>
    <x v="1"/>
    <x v="0"/>
    <s v="5651200"/>
    <n v="721835"/>
    <s v="Supplies-Forms"/>
    <s v="Spanaway-Shared Svc"/>
    <x v="0"/>
    <m/>
    <n v="0"/>
    <n v="0"/>
    <n v="0"/>
    <n v="0"/>
    <n v="122.5"/>
    <n v="9.8699999999999992"/>
    <n v="61.5"/>
    <n v="0"/>
    <n v="8.42"/>
    <n v="0"/>
    <n v="47.8"/>
    <n v="5.3"/>
    <n v="255.39"/>
    <n v="42.5"/>
  </r>
  <r>
    <x v="11"/>
    <x v="1"/>
    <x v="0"/>
    <s v="5651200"/>
    <n v="721870"/>
    <s v="Supplies-Environmental Services"/>
    <s v="Spanaway-Shared Svc"/>
    <x v="0"/>
    <m/>
    <n v="614.12"/>
    <n v="789.86"/>
    <n v="343.02"/>
    <n v="285.39999999999998"/>
    <n v="546.42999999999995"/>
    <n v="75.2"/>
    <n v="1030.6600000000001"/>
    <n v="980.45"/>
    <n v="446.43"/>
    <n v="249.82"/>
    <n v="213.2"/>
    <n v="928.09"/>
    <n v="6502.6799999999994"/>
    <n v="-714.8900000000001"/>
  </r>
  <r>
    <x v="11"/>
    <x v="1"/>
    <x v="0"/>
    <s v="5651200"/>
    <n v="721910"/>
    <s v="Supplies-Small Equipment"/>
    <s v="Spanaway-Shared Svc"/>
    <x v="0"/>
    <m/>
    <n v="0"/>
    <n v="0"/>
    <n v="0"/>
    <n v="0"/>
    <n v="0"/>
    <n v="0"/>
    <n v="0"/>
    <n v="0"/>
    <n v="0"/>
    <n v="0"/>
    <n v="0"/>
    <n v="717.44"/>
    <n v="717.44"/>
    <n v="-717.44"/>
  </r>
  <r>
    <x v="11"/>
    <x v="1"/>
    <x v="0"/>
    <s v="5651200"/>
    <n v="721980"/>
    <s v="Supplies-Other"/>
    <s v="Spanaway-Shared Svc"/>
    <x v="0"/>
    <m/>
    <n v="0"/>
    <n v="73.63"/>
    <n v="0"/>
    <n v="0"/>
    <n v="0"/>
    <n v="0"/>
    <n v="0"/>
    <n v="0"/>
    <n v="0"/>
    <n v="0"/>
    <n v="0"/>
    <n v="0"/>
    <n v="73.63"/>
    <n v="0"/>
  </r>
  <r>
    <x v="11"/>
    <x v="1"/>
    <x v="0"/>
    <s v="5651200"/>
    <n v="722000"/>
    <s v="Supplies-Freight Expense"/>
    <s v="Spanaway-Shared Svc"/>
    <x v="0"/>
    <m/>
    <n v="0"/>
    <n v="25.15"/>
    <n v="0"/>
    <n v="0"/>
    <n v="0"/>
    <n v="0"/>
    <n v="0"/>
    <n v="0"/>
    <n v="0"/>
    <n v="0"/>
    <n v="0"/>
    <n v="42.37"/>
    <n v="67.52"/>
    <n v="-42.37"/>
  </r>
  <r>
    <x v="12"/>
    <x v="1"/>
    <x v="0"/>
    <s v="5651200"/>
    <n v="730010"/>
    <s v="Rental and Leases-Building (DO NOT USE)"/>
    <s v="Spanaway-Shared Svc"/>
    <x v="0"/>
    <m/>
    <n v="12269.01"/>
    <n v="12269.01"/>
    <n v="12269.01"/>
    <n v="12269.01"/>
    <n v="12269.01"/>
    <n v="1010.97"/>
    <n v="10392.67"/>
    <n v="11016.22"/>
    <n v="10600.52"/>
    <n v="10600.52"/>
    <n v="10600.52"/>
    <n v="0"/>
    <n v="115566.47000000002"/>
    <n v="10600.52"/>
  </r>
  <r>
    <x v="12"/>
    <x v="1"/>
    <x v="0"/>
    <s v="5651200"/>
    <n v="730010"/>
    <s v="Rental-Common Area Maint (DO NOT USE)"/>
    <s v="Spanaway-Shared Svc"/>
    <x v="0"/>
    <n v="2200"/>
    <n v="0"/>
    <n v="0"/>
    <n v="0"/>
    <n v="0"/>
    <n v="0"/>
    <n v="11258.04"/>
    <n v="1876.34"/>
    <n v="1876.34"/>
    <n v="1876.34"/>
    <n v="1876.34"/>
    <n v="1876.34"/>
    <n v="0"/>
    <n v="20639.740000000002"/>
    <n v="1876.34"/>
  </r>
  <r>
    <x v="12"/>
    <x v="1"/>
    <x v="0"/>
    <s v="5651200"/>
    <n v="730020"/>
    <s v="Rental and Leases-Copier Usage Fees (DO NOT USE)"/>
    <s v="Spanaway-Shared Svc"/>
    <x v="0"/>
    <n v="5100"/>
    <n v="556.48"/>
    <n v="566.80999999999995"/>
    <n v="561.64"/>
    <n v="561.64"/>
    <n v="561.64"/>
    <n v="561.64"/>
    <n v="569.38"/>
    <n v="447.5"/>
    <n v="460.7"/>
    <n v="805.42"/>
    <n v="447.5"/>
    <n v="520.05999999999995"/>
    <n v="6620.41"/>
    <n v="-72.559999999999945"/>
  </r>
  <r>
    <x v="12"/>
    <x v="1"/>
    <x v="0"/>
    <s v="5651200"/>
    <n v="730040"/>
    <s v="LT Lease-Real Estate"/>
    <s v="Spanaway-Shared Svc"/>
    <x v="0"/>
    <m/>
    <n v="0"/>
    <n v="0"/>
    <n v="0"/>
    <n v="0"/>
    <n v="0"/>
    <n v="0"/>
    <n v="0"/>
    <n v="0"/>
    <n v="0"/>
    <n v="0"/>
    <n v="0"/>
    <n v="12476.86"/>
    <n v="12476.86"/>
    <n v="-12476.86"/>
  </r>
  <r>
    <x v="15"/>
    <x v="1"/>
    <x v="0"/>
    <s v="5651200"/>
    <n v="731020"/>
    <s v="Electricity"/>
    <s v="Spanaway-Shared Svc"/>
    <x v="0"/>
    <m/>
    <n v="0"/>
    <n v="1010.25"/>
    <n v="0"/>
    <n v="978.65"/>
    <n v="0"/>
    <n v="1222.8499999999999"/>
    <n v="0"/>
    <n v="1486.82"/>
    <n v="0"/>
    <n v="1227.44"/>
    <n v="0"/>
    <n v="879.88"/>
    <n v="6805.89"/>
    <n v="-879.88"/>
  </r>
  <r>
    <x v="15"/>
    <x v="1"/>
    <x v="0"/>
    <s v="5651200"/>
    <n v="731030"/>
    <s v="Water"/>
    <s v="Spanaway-Shared Svc"/>
    <x v="0"/>
    <m/>
    <n v="143.69"/>
    <n v="0"/>
    <n v="249.9"/>
    <n v="0"/>
    <n v="175.33"/>
    <n v="0"/>
    <n v="139.41"/>
    <n v="0"/>
    <n v="139.74"/>
    <n v="0"/>
    <n v="142.82"/>
    <n v="0"/>
    <n v="990.8900000000001"/>
    <n v="142.82"/>
  </r>
  <r>
    <x v="16"/>
    <x v="1"/>
    <x v="0"/>
    <s v="5651200"/>
    <n v="732030"/>
    <s v="Repairs---Other"/>
    <s v="Spanaway-Shared Svc"/>
    <x v="0"/>
    <m/>
    <n v="192.14"/>
    <n v="0"/>
    <n v="0"/>
    <n v="260.22000000000003"/>
    <n v="0"/>
    <n v="57.15"/>
    <n v="60.69"/>
    <n v="1076.78"/>
    <n v="0"/>
    <n v="0"/>
    <n v="0"/>
    <n v="44.14"/>
    <n v="1691.1200000000001"/>
    <n v="-44.14"/>
  </r>
  <r>
    <x v="13"/>
    <x v="1"/>
    <x v="0"/>
    <s v="5651200"/>
    <n v="735050"/>
    <s v="Amortization-Leasehold Improvements"/>
    <s v="Spanaway-Shared Svc"/>
    <x v="0"/>
    <m/>
    <n v="6198.64"/>
    <n v="6198.64"/>
    <n v="6198.64"/>
    <n v="6198.64"/>
    <n v="6198.64"/>
    <n v="6198.63"/>
    <n v="6198.64"/>
    <n v="6198.63"/>
    <n v="6198.64"/>
    <n v="6198.63"/>
    <n v="6198.64"/>
    <n v="6198.62"/>
    <n v="74383.62999999999"/>
    <n v="2.0000000000436557E-2"/>
  </r>
  <r>
    <x v="13"/>
    <x v="1"/>
    <x v="0"/>
    <s v="5651200"/>
    <n v="735060"/>
    <s v="Depreciation-Fixed Equipment"/>
    <s v="Spanaway-Shared Svc"/>
    <x v="0"/>
    <m/>
    <n v="403.33"/>
    <n v="403.33"/>
    <n v="403.33"/>
    <n v="403.33"/>
    <n v="403.34"/>
    <n v="403.33"/>
    <n v="403.34"/>
    <n v="403.33"/>
    <n v="403.34"/>
    <n v="403.33"/>
    <n v="403.34"/>
    <n v="403.33"/>
    <n v="4840"/>
    <n v="9.9999999999909051E-3"/>
  </r>
  <r>
    <x v="13"/>
    <x v="1"/>
    <x v="0"/>
    <s v="5651200"/>
    <n v="735070"/>
    <s v="Depreciation-Movable Equipment"/>
    <s v="Spanaway-Shared Svc"/>
    <x v="0"/>
    <m/>
    <n v="3310.28"/>
    <n v="3310.27"/>
    <n v="3310.28"/>
    <n v="3012.36"/>
    <n v="3012.39"/>
    <n v="3012.35"/>
    <n v="3012.4"/>
    <n v="3012.34"/>
    <n v="3012.38"/>
    <n v="3012.3"/>
    <n v="3012.39"/>
    <n v="2962.2"/>
    <n v="36991.94"/>
    <n v="50.190000000000055"/>
  </r>
  <r>
    <x v="0"/>
    <x v="1"/>
    <x v="0"/>
    <s v="5651200"/>
    <n v="742010"/>
    <s v="Postage-Regular"/>
    <s v="Spanaway-Shared Svc"/>
    <x v="0"/>
    <m/>
    <n v="0"/>
    <n v="0"/>
    <n v="40"/>
    <n v="0"/>
    <n v="30"/>
    <n v="0"/>
    <n v="0"/>
    <n v="0"/>
    <n v="0"/>
    <n v="0"/>
    <n v="0"/>
    <n v="0"/>
    <n v="70"/>
    <n v="0"/>
  </r>
  <r>
    <x v="0"/>
    <x v="1"/>
    <x v="0"/>
    <s v="5651200"/>
    <n v="743030"/>
    <s v="Subscriptions--Institutional"/>
    <s v="Spanaway-Shared Svc"/>
    <x v="0"/>
    <m/>
    <n v="0"/>
    <n v="0"/>
    <n v="0"/>
    <n v="0"/>
    <n v="0"/>
    <n v="0"/>
    <n v="0"/>
    <n v="0"/>
    <n v="0"/>
    <n v="0"/>
    <n v="53.23"/>
    <n v="0"/>
    <n v="53.23"/>
    <n v="53.23"/>
  </r>
  <r>
    <x v="0"/>
    <x v="1"/>
    <x v="0"/>
    <s v="5651200"/>
    <n v="749510"/>
    <s v="Miscellaneous Expenses"/>
    <s v="Spanaway-Shared Svc"/>
    <x v="0"/>
    <m/>
    <n v="55.05"/>
    <n v="1061.77"/>
    <n v="0"/>
    <n v="89.93"/>
    <n v="50"/>
    <n v="150"/>
    <n v="62.5"/>
    <n v="5.88"/>
    <n v="100"/>
    <n v="0"/>
    <n v="150"/>
    <n v="0"/>
    <n v="1725.13"/>
    <n v="150"/>
  </r>
  <r>
    <x v="0"/>
    <x v="1"/>
    <x v="0"/>
    <s v="5651200"/>
    <n v="749510"/>
    <s v="Licenses"/>
    <s v="Spanaway-Shared Svc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651200"/>
    <n v="749510"/>
    <s v="RICE Rewards"/>
    <s v="Spanaway-Shared Svc"/>
    <x v="0"/>
    <n v="5100"/>
    <n v="0"/>
    <n v="0"/>
    <n v="0"/>
    <n v="0"/>
    <n v="0"/>
    <n v="0"/>
    <n v="0"/>
    <n v="0"/>
    <n v="0"/>
    <n v="0"/>
    <n v="773.06"/>
    <n v="146.28"/>
    <n v="919.33999999999992"/>
    <n v="626.78"/>
  </r>
  <r>
    <x v="0"/>
    <x v="1"/>
    <x v="0"/>
    <s v="5651200"/>
    <n v="749530"/>
    <s v="Mileage"/>
    <s v="Spanaway-Shared Svc"/>
    <x v="0"/>
    <n v="1001"/>
    <n v="0"/>
    <n v="7.27"/>
    <n v="0"/>
    <n v="30.54"/>
    <n v="0"/>
    <n v="0"/>
    <n v="0"/>
    <n v="0"/>
    <n v="0"/>
    <n v="0"/>
    <n v="8.6999999999999993"/>
    <n v="0"/>
    <n v="46.510000000000005"/>
    <n v="8.6999999999999993"/>
  </r>
  <r>
    <x v="0"/>
    <x v="1"/>
    <x v="0"/>
    <s v="5651200"/>
    <n v="749550"/>
    <s v="Cash Over/Short"/>
    <s v="Spanaway-Shared Svc"/>
    <x v="0"/>
    <m/>
    <n v="0"/>
    <n v="-1"/>
    <n v="5"/>
    <n v="0"/>
    <n v="0"/>
    <n v="0"/>
    <n v="0"/>
    <n v="0"/>
    <n v="1"/>
    <n v="-5.2"/>
    <n v="0"/>
    <n v="45"/>
    <n v="44.8"/>
    <n v="-45"/>
  </r>
  <r>
    <x v="0"/>
    <x v="1"/>
    <x v="0"/>
    <s v="5651200"/>
    <n v="766010"/>
    <s v="Property Tax"/>
    <s v="Spanaway-Shared Svc"/>
    <x v="0"/>
    <m/>
    <n v="340.08"/>
    <n v="340.08"/>
    <n v="340.08"/>
    <n v="340.08"/>
    <n v="340.08"/>
    <n v="340.08"/>
    <n v="340.08"/>
    <n v="340.08"/>
    <n v="340.08"/>
    <n v="-172.19"/>
    <n v="212.02"/>
    <n v="212.02"/>
    <n v="3312.5699999999997"/>
    <n v="0"/>
  </r>
  <r>
    <x v="5"/>
    <x v="1"/>
    <x v="0"/>
    <s v="5652200"/>
    <n v="700014"/>
    <s v="Salaries-Management-Productive"/>
    <s v="PC-Bonney Lake-Shared Svc"/>
    <x v="0"/>
    <m/>
    <n v="4313.76"/>
    <n v="3529.44"/>
    <n v="2941.2"/>
    <n v="4228.17"/>
    <n v="4570.95"/>
    <n v="3608.64"/>
    <n v="4618.09"/>
    <n v="4015.48"/>
    <n v="4216.26"/>
    <n v="4417.0200000000004"/>
    <n v="4617.8100000000004"/>
    <n v="3613.94"/>
    <n v="48690.759999999995"/>
    <n v="1003.8700000000003"/>
  </r>
  <r>
    <x v="5"/>
    <x v="1"/>
    <x v="0"/>
    <s v="5652200"/>
    <n v="700018"/>
    <s v="Salaries-Supervisory-Productive"/>
    <s v="PC-Bonney Lake-Shared Svc"/>
    <x v="0"/>
    <m/>
    <n v="1914.31"/>
    <n v="2121.89"/>
    <n v="1845.12"/>
    <n v="2167.39"/>
    <n v="1611.33"/>
    <n v="1350.67"/>
    <n v="1993.43"/>
    <n v="1898.44"/>
    <n v="1993.37"/>
    <n v="2088.27"/>
    <n v="1945.92"/>
    <n v="1067.8800000000001"/>
    <n v="21998.02"/>
    <n v="878.04"/>
  </r>
  <r>
    <x v="5"/>
    <x v="1"/>
    <x v="0"/>
    <s v="5652200"/>
    <n v="700030"/>
    <s v="Salaries-LPN-Productive"/>
    <s v="PC-Bonney Lake-Shared Svc"/>
    <x v="0"/>
    <m/>
    <n v="0"/>
    <n v="0"/>
    <n v="0"/>
    <n v="0"/>
    <n v="0"/>
    <n v="0"/>
    <n v="0"/>
    <n v="0"/>
    <n v="0"/>
    <n v="1546.54"/>
    <n v="170.57"/>
    <n v="2080.67"/>
    <n v="3797.7799999999997"/>
    <n v="-1910.1000000000001"/>
  </r>
  <r>
    <x v="5"/>
    <x v="1"/>
    <x v="0"/>
    <s v="5652200"/>
    <n v="700030"/>
    <s v="Salaries-LPN-OT"/>
    <s v="PC-Bonney Lake-Shared Svc"/>
    <x v="0"/>
    <n v="1000"/>
    <n v="0"/>
    <n v="0"/>
    <n v="0"/>
    <n v="0"/>
    <n v="0"/>
    <n v="0"/>
    <n v="0"/>
    <n v="0"/>
    <n v="0"/>
    <n v="0"/>
    <n v="0"/>
    <n v="141.69"/>
    <n v="141.69"/>
    <n v="-141.69"/>
  </r>
  <r>
    <x v="5"/>
    <x v="1"/>
    <x v="0"/>
    <s v="5652200"/>
    <n v="700030"/>
    <s v="Salaries-LPN-Other"/>
    <s v="PC-Bonney Lake-Shared Svc"/>
    <x v="0"/>
    <n v="2000"/>
    <n v="0"/>
    <n v="0"/>
    <n v="0"/>
    <n v="0"/>
    <n v="0"/>
    <n v="0"/>
    <n v="0"/>
    <n v="0"/>
    <n v="0"/>
    <n v="0"/>
    <n v="35.54"/>
    <n v="92.67"/>
    <n v="128.21"/>
    <n v="-57.13"/>
  </r>
  <r>
    <x v="5"/>
    <x v="1"/>
    <x v="0"/>
    <s v="5652200"/>
    <n v="700038"/>
    <s v="Salaries-Service/Support-Productive"/>
    <s v="PC-Bonney Lake-Shared Svc"/>
    <x v="0"/>
    <m/>
    <n v="14323.05"/>
    <n v="13397.06"/>
    <n v="14007.83"/>
    <n v="15690.18"/>
    <n v="15949.93"/>
    <n v="11808.21"/>
    <n v="14016.69"/>
    <n v="11320.14"/>
    <n v="18870.55"/>
    <n v="15579.19"/>
    <n v="22211.05"/>
    <n v="13666.42"/>
    <n v="180840.30000000002"/>
    <n v="8544.6299999999992"/>
  </r>
  <r>
    <x v="5"/>
    <x v="1"/>
    <x v="0"/>
    <s v="5652200"/>
    <n v="700038"/>
    <s v="Salaries-Service/Support-OT"/>
    <s v="PC-Bonney Lake-Shared Svc"/>
    <x v="0"/>
    <n v="1000"/>
    <n v="77.98"/>
    <n v="68.430000000000007"/>
    <n v="68.849999999999994"/>
    <n v="77.03"/>
    <n v="255.58"/>
    <n v="-79.22"/>
    <n v="431.63"/>
    <n v="-28.72"/>
    <n v="70.73"/>
    <n v="94.18"/>
    <n v="65.95"/>
    <n v="100.37"/>
    <n v="1202.79"/>
    <n v="-34.42"/>
  </r>
  <r>
    <x v="5"/>
    <x v="1"/>
    <x v="0"/>
    <s v="5652200"/>
    <n v="700038"/>
    <s v="Salaries-Service/Support-Other"/>
    <s v="PC-Bonney Lake-Shared Svc"/>
    <x v="0"/>
    <n v="2000"/>
    <n v="121.48"/>
    <n v="23.75"/>
    <n v="29.37"/>
    <n v="18.079999999999998"/>
    <n v="-7.2"/>
    <n v="0"/>
    <n v="11.59"/>
    <n v="19.059999999999999"/>
    <n v="12.18"/>
    <n v="4.5"/>
    <n v="114.14"/>
    <n v="205.1"/>
    <n v="552.05000000000007"/>
    <n v="-90.96"/>
  </r>
  <r>
    <x v="5"/>
    <x v="1"/>
    <x v="0"/>
    <s v="5652200"/>
    <n v="700054"/>
    <s v="Salaries-Management-NonProd-Other"/>
    <s v="PC-Bonney Lake-Shared Svc"/>
    <x v="0"/>
    <n v="2000"/>
    <n v="0"/>
    <n v="0"/>
    <n v="0"/>
    <n v="0"/>
    <n v="0"/>
    <n v="1367.54"/>
    <n v="-1367.54"/>
    <n v="0"/>
    <n v="0"/>
    <n v="0"/>
    <n v="0"/>
    <n v="0"/>
    <n v="0"/>
    <n v="0"/>
  </r>
  <r>
    <x v="5"/>
    <x v="1"/>
    <x v="0"/>
    <s v="5652200"/>
    <n v="700070"/>
    <s v="Salaries-LPN-NonProd-Other"/>
    <s v="PC-Bonney Lake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2200"/>
    <n v="700078"/>
    <s v="Salaries-Service/Support-Non-productive"/>
    <s v="PC-Bonney Lake-Shared Svc"/>
    <x v="0"/>
    <m/>
    <n v="6060.42"/>
    <n v="8495.89"/>
    <n v="1439.98"/>
    <n v="3649.99"/>
    <n v="2000.56"/>
    <n v="4820.17"/>
    <n v="4444.28"/>
    <n v="3605.28"/>
    <n v="785.1"/>
    <n v="1290.92"/>
    <n v="4120.0200000000004"/>
    <n v="3460.04"/>
    <n v="44172.65"/>
    <n v="659.98000000000047"/>
  </r>
  <r>
    <x v="5"/>
    <x v="1"/>
    <x v="0"/>
    <s v="5652200"/>
    <n v="700078"/>
    <s v="Salaries-Service/Support-NonProd-Other"/>
    <s v="PC-Bonney Lake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2200"/>
    <n v="700084"/>
    <s v="Accrued PTO"/>
    <s v="PC-Bonney Lake-Shared Svc"/>
    <x v="0"/>
    <m/>
    <n v="-1107.8399999999999"/>
    <n v="-1006.54"/>
    <n v="320.8"/>
    <n v="557.80999999999995"/>
    <n v="1144"/>
    <n v="-1340.89"/>
    <n v="-727.06"/>
    <n v="-1155.07"/>
    <n v="2146.7800000000002"/>
    <n v="1546.31"/>
    <n v="837.04"/>
    <n v="-105.49"/>
    <n v="1109.8500000000001"/>
    <n v="942.53"/>
  </r>
  <r>
    <x v="6"/>
    <x v="1"/>
    <x v="0"/>
    <s v="5652200"/>
    <n v="713010"/>
    <s v="Benefits-FICA/Medicare"/>
    <s v="PC-Bonney Lake-Shared Svc"/>
    <x v="0"/>
    <m/>
    <n v="2472.54"/>
    <n v="2497.75"/>
    <n v="1982.96"/>
    <n v="2422.2800000000002"/>
    <n v="2311.96"/>
    <n v="2332.5300000000002"/>
    <n v="2501.2199999999998"/>
    <n v="2018.02"/>
    <n v="2381.04"/>
    <n v="2340.31"/>
    <n v="2925.79"/>
    <n v="2299.98"/>
    <n v="28486.380000000005"/>
    <n v="625.80999999999995"/>
  </r>
  <r>
    <x v="6"/>
    <x v="1"/>
    <x v="0"/>
    <s v="5652200"/>
    <n v="713090"/>
    <s v="Benefits-Allocated Amounts"/>
    <s v="PC-Bonney Lake-Shared Svc"/>
    <x v="0"/>
    <m/>
    <n v="6499.83"/>
    <n v="5903.66"/>
    <n v="5712.65"/>
    <n v="5729.42"/>
    <n v="5496.36"/>
    <n v="6086.64"/>
    <n v="6352.64"/>
    <n v="5950.27"/>
    <n v="6517.41"/>
    <n v="6267.16"/>
    <n v="7502.72"/>
    <n v="8658.11"/>
    <n v="76676.87000000001"/>
    <n v="-1155.3900000000003"/>
  </r>
  <r>
    <x v="7"/>
    <x v="1"/>
    <x v="0"/>
    <s v="5652200"/>
    <n v="718010"/>
    <s v="Media/Print Advertising"/>
    <s v="PC-Bonney Lake-Shared Svc"/>
    <x v="0"/>
    <n v="1004"/>
    <n v="171.09"/>
    <n v="0"/>
    <n v="313.93"/>
    <n v="-16.03"/>
    <n v="0"/>
    <n v="0"/>
    <n v="207.66"/>
    <n v="0"/>
    <n v="141.56"/>
    <n v="0"/>
    <n v="536.85"/>
    <n v="0"/>
    <n v="1355.06"/>
    <n v="536.85"/>
  </r>
  <r>
    <x v="7"/>
    <x v="1"/>
    <x v="0"/>
    <s v="5652200"/>
    <n v="718050"/>
    <s v="Contract Svcs-Other"/>
    <s v="PC-Bonney Lake-Shared Svc"/>
    <x v="0"/>
    <m/>
    <n v="237.55"/>
    <n v="3624.71"/>
    <n v="4304.97"/>
    <n v="194.67"/>
    <n v="529.85"/>
    <n v="1042.8499999999999"/>
    <n v="2685.3"/>
    <n v="934.42"/>
    <n v="2384.38"/>
    <n v="310.23"/>
    <n v="2759.76"/>
    <n v="4208.76"/>
    <n v="23217.450000000004"/>
    <n v="-1449"/>
  </r>
  <r>
    <x v="7"/>
    <x v="1"/>
    <x v="0"/>
    <s v="5652200"/>
    <n v="718050"/>
    <s v="Management Fees"/>
    <s v="PC-Bonney Lake-Shared Svc"/>
    <x v="0"/>
    <n v="1004"/>
    <n v="0"/>
    <n v="0"/>
    <n v="0"/>
    <n v="0"/>
    <n v="0"/>
    <n v="173.59"/>
    <n v="0"/>
    <n v="0"/>
    <n v="0"/>
    <n v="0"/>
    <n v="0"/>
    <n v="174.31"/>
    <n v="347.9"/>
    <n v="-174.31"/>
  </r>
  <r>
    <x v="7"/>
    <x v="1"/>
    <x v="0"/>
    <s v="5652200"/>
    <n v="718050"/>
    <s v="Physician Answering"/>
    <s v="PC-Bonney Lake-Shared Svc"/>
    <x v="0"/>
    <n v="1015"/>
    <n v="114.4"/>
    <n v="114.6"/>
    <n v="114.4"/>
    <n v="64.2"/>
    <n v="114.6"/>
    <n v="139.4"/>
    <n v="139.6"/>
    <n v="89.4"/>
    <n v="89.4"/>
    <n v="128.4"/>
    <n v="114.4"/>
    <n v="89.4"/>
    <n v="1312.2"/>
    <n v="25"/>
  </r>
  <r>
    <x v="7"/>
    <x v="1"/>
    <x v="0"/>
    <s v="5652200"/>
    <n v="718050"/>
    <s v="Purchased Srvcs--Medical Waste"/>
    <s v="PC-Bonney Lake-Shared Svc"/>
    <x v="0"/>
    <n v="1027"/>
    <n v="0"/>
    <n v="739.17"/>
    <n v="338.15"/>
    <n v="369.02"/>
    <n v="871.98"/>
    <n v="402.61"/>
    <n v="382.66"/>
    <n v="394.15"/>
    <n v="427.22"/>
    <n v="351.41"/>
    <n v="431.26"/>
    <n v="361.77"/>
    <n v="5069.3999999999996"/>
    <n v="69.490000000000009"/>
  </r>
  <r>
    <x v="7"/>
    <x v="1"/>
    <x v="0"/>
    <s v="5652200"/>
    <n v="718070"/>
    <s v="Contract Srvcs-CHI Clinical Engineering"/>
    <s v="PC-Bonney Lake-Shared Svc"/>
    <x v="0"/>
    <m/>
    <n v="28.75"/>
    <n v="2172.0500000000002"/>
    <n v="1413.35"/>
    <n v="642.58000000000004"/>
    <n v="1217.3599999999999"/>
    <n v="193.9"/>
    <n v="28.75"/>
    <n v="28.75"/>
    <n v="151.75"/>
    <n v="37.51"/>
    <n v="178.75"/>
    <n v="28.75"/>
    <n v="6122.25"/>
    <n v="150"/>
  </r>
  <r>
    <x v="11"/>
    <x v="1"/>
    <x v="0"/>
    <s v="5652200"/>
    <n v="721250"/>
    <s v="Supplies-Pharmacy Drugs - Billable"/>
    <s v="PC-Bonney Lake-Shared Svc"/>
    <x v="0"/>
    <m/>
    <n v="902.37"/>
    <n v="1920.91"/>
    <n v="2551.44"/>
    <n v="3369.83"/>
    <n v="2433.4899999999998"/>
    <n v="5364.81"/>
    <n v="1270.73"/>
    <n v="746.1"/>
    <n v="994.77"/>
    <n v="3044.52"/>
    <n v="4692.5200000000004"/>
    <n v="3128.07"/>
    <n v="30419.559999999998"/>
    <n v="1564.4500000000003"/>
  </r>
  <r>
    <x v="11"/>
    <x v="1"/>
    <x v="0"/>
    <s v="5652200"/>
    <n v="721410"/>
    <s v="Supplies-Medical - Nonbillable"/>
    <s v="PC-Bonney Lake-Shared Svc"/>
    <x v="0"/>
    <m/>
    <n v="0"/>
    <n v="0"/>
    <n v="0"/>
    <n v="58.54"/>
    <n v="178.1"/>
    <n v="91.9"/>
    <n v="65.650000000000006"/>
    <n v="28.45"/>
    <n v="81.02"/>
    <n v="146.52000000000001"/>
    <n v="67.069999999999993"/>
    <n v="98.42"/>
    <n v="815.67"/>
    <n v="-31.350000000000009"/>
  </r>
  <r>
    <x v="11"/>
    <x v="1"/>
    <x v="0"/>
    <s v="5652200"/>
    <n v="721810"/>
    <s v="Supplies-Dietary/Cafeteria"/>
    <s v="PC-Bonney Lake-Shared Svc"/>
    <x v="0"/>
    <m/>
    <n v="0"/>
    <n v="0"/>
    <n v="0"/>
    <n v="0"/>
    <n v="0"/>
    <n v="260.70999999999998"/>
    <n v="0"/>
    <n v="0"/>
    <n v="0"/>
    <n v="0"/>
    <n v="0"/>
    <n v="0"/>
    <n v="260.70999999999998"/>
    <n v="0"/>
  </r>
  <r>
    <x v="11"/>
    <x v="1"/>
    <x v="0"/>
    <s v="5652200"/>
    <n v="721830"/>
    <s v="Supplies-Office"/>
    <s v="PC-Bonney Lake-Shared Svc"/>
    <x v="0"/>
    <m/>
    <n v="87.25"/>
    <n v="258.12"/>
    <n v="292.19"/>
    <n v="398.75"/>
    <n v="526.16"/>
    <n v="771.42"/>
    <n v="494.35"/>
    <n v="296.93"/>
    <n v="528.69000000000005"/>
    <n v="655.17999999999995"/>
    <n v="596.27"/>
    <n v="319.08"/>
    <n v="5224.3899999999994"/>
    <n v="277.19"/>
  </r>
  <r>
    <x v="11"/>
    <x v="1"/>
    <x v="0"/>
    <s v="5652200"/>
    <n v="721835"/>
    <s v="Supplies-Forms"/>
    <s v="PC-Bonney Lake-Shared Svc"/>
    <x v="0"/>
    <m/>
    <n v="0"/>
    <n v="0"/>
    <n v="0"/>
    <n v="0"/>
    <n v="0.34"/>
    <n v="0"/>
    <n v="0"/>
    <n v="0"/>
    <n v="0"/>
    <n v="0"/>
    <n v="0"/>
    <n v="10.58"/>
    <n v="10.92"/>
    <n v="-10.58"/>
  </r>
  <r>
    <x v="11"/>
    <x v="1"/>
    <x v="0"/>
    <s v="5652200"/>
    <n v="721870"/>
    <s v="Supplies-Environmental Services"/>
    <s v="PC-Bonney Lake-Shared Svc"/>
    <x v="0"/>
    <m/>
    <n v="0"/>
    <n v="0"/>
    <n v="143.19"/>
    <n v="0"/>
    <n v="143.19"/>
    <n v="0"/>
    <n v="286.38"/>
    <n v="0"/>
    <n v="0"/>
    <n v="143.19"/>
    <n v="0"/>
    <n v="143.19"/>
    <n v="859.1400000000001"/>
    <n v="-143.19"/>
  </r>
  <r>
    <x v="11"/>
    <x v="1"/>
    <x v="0"/>
    <s v="5652200"/>
    <n v="721910"/>
    <s v="Supplies-Small Equipment"/>
    <s v="PC-Bonney Lake-Shared Svc"/>
    <x v="0"/>
    <m/>
    <n v="336.21"/>
    <n v="33.96"/>
    <n v="0"/>
    <n v="0"/>
    <n v="0"/>
    <n v="0"/>
    <n v="86.04"/>
    <n v="0"/>
    <n v="0"/>
    <n v="0"/>
    <n v="0"/>
    <n v="0"/>
    <n v="456.21"/>
    <n v="0"/>
  </r>
  <r>
    <x v="11"/>
    <x v="1"/>
    <x v="0"/>
    <s v="5652200"/>
    <n v="721980"/>
    <s v="Supplies-Other"/>
    <s v="PC-Bonney Lake-Shared Svc"/>
    <x v="0"/>
    <m/>
    <n v="0"/>
    <n v="0"/>
    <n v="0"/>
    <n v="0"/>
    <n v="1606.01"/>
    <n v="167.08"/>
    <n v="0"/>
    <n v="0"/>
    <n v="0"/>
    <n v="0"/>
    <n v="0"/>
    <n v="0"/>
    <n v="1773.09"/>
    <n v="0"/>
  </r>
  <r>
    <x v="11"/>
    <x v="1"/>
    <x v="0"/>
    <s v="5652200"/>
    <n v="722000"/>
    <s v="Supplies-Freight Expense"/>
    <s v="PC-Bonney Lake-Shared Svc"/>
    <x v="0"/>
    <m/>
    <n v="0"/>
    <n v="0"/>
    <n v="0"/>
    <n v="0"/>
    <n v="0"/>
    <n v="0"/>
    <n v="7.99"/>
    <n v="15.66"/>
    <n v="0"/>
    <n v="0"/>
    <n v="0"/>
    <n v="0"/>
    <n v="23.65"/>
    <n v="0"/>
  </r>
  <r>
    <x v="12"/>
    <x v="1"/>
    <x v="0"/>
    <s v="5652200"/>
    <n v="730010"/>
    <s v="Rental and Leases-Building (DO NOT USE)"/>
    <s v="PC-Bonney Lake-Shared Svc"/>
    <x v="0"/>
    <m/>
    <n v="19613.490000000002"/>
    <n v="23145.59"/>
    <n v="23145.59"/>
    <n v="21024.01"/>
    <n v="28449.54"/>
    <n v="-7548.08"/>
    <n v="18615.59"/>
    <n v="18615.59"/>
    <n v="18615.59"/>
    <n v="27477.33"/>
    <n v="9598.83"/>
    <n v="0"/>
    <n v="200753.06999999998"/>
    <n v="9598.83"/>
  </r>
  <r>
    <x v="12"/>
    <x v="1"/>
    <x v="0"/>
    <s v="5652200"/>
    <n v="730010"/>
    <s v="Rental-Common Area Maint (DO NOT USE)"/>
    <s v="PC-Bonney Lake-Shared Svc"/>
    <x v="0"/>
    <n v="2200"/>
    <n v="0"/>
    <n v="0"/>
    <n v="0"/>
    <n v="0"/>
    <n v="0"/>
    <n v="31754.46"/>
    <n v="5590.79"/>
    <n v="5590.79"/>
    <n v="5590.79"/>
    <n v="13758.47"/>
    <n v="1529.49"/>
    <n v="5590.79"/>
    <n v="69405.58"/>
    <n v="-4061.3"/>
  </r>
  <r>
    <x v="12"/>
    <x v="1"/>
    <x v="0"/>
    <s v="5652200"/>
    <n v="730020"/>
    <s v="Rental and Leases-Copier Usage Fees (DO NOT USE)"/>
    <s v="PC-Bonney Lake-Shared Svc"/>
    <x v="0"/>
    <n v="5100"/>
    <n v="641.95000000000005"/>
    <n v="660.95"/>
    <n v="651.45000000000005"/>
    <n v="651.45000000000005"/>
    <n v="651.45000000000005"/>
    <n v="651.45000000000005"/>
    <n v="-504.07"/>
    <n v="386.03"/>
    <n v="385.22"/>
    <n v="424.32"/>
    <n v="386.03"/>
    <n v="396.05"/>
    <n v="5382.28"/>
    <n v="-10.020000000000039"/>
  </r>
  <r>
    <x v="12"/>
    <x v="1"/>
    <x v="0"/>
    <s v="5652200"/>
    <n v="730040"/>
    <s v="LT Lease-Real Estate"/>
    <s v="PC-Bonney Lake-Shared Svc"/>
    <x v="0"/>
    <m/>
    <n v="0"/>
    <n v="0"/>
    <n v="0"/>
    <n v="0"/>
    <n v="0"/>
    <n v="0"/>
    <n v="0"/>
    <n v="0"/>
    <n v="0"/>
    <n v="0"/>
    <n v="0"/>
    <n v="18609.78"/>
    <n v="18609.78"/>
    <n v="-18609.78"/>
  </r>
  <r>
    <x v="15"/>
    <x v="1"/>
    <x v="0"/>
    <s v="5652200"/>
    <n v="731010"/>
    <s v="Natural Gas"/>
    <s v="PC-Bonney Lake-Shared Svc"/>
    <x v="0"/>
    <m/>
    <n v="17.34"/>
    <n v="4.88"/>
    <n v="6.22"/>
    <n v="22.25"/>
    <n v="37.409999999999997"/>
    <n v="54.17"/>
    <n v="76.599999999999994"/>
    <n v="58.19"/>
    <n v="94.34"/>
    <n v="36.159999999999997"/>
    <n v="29.93"/>
    <n v="12.23"/>
    <n v="449.71999999999997"/>
    <n v="17.7"/>
  </r>
  <r>
    <x v="15"/>
    <x v="1"/>
    <x v="0"/>
    <s v="5652200"/>
    <n v="731020"/>
    <s v="Electricity"/>
    <s v="PC-Bonney Lake-Shared Svc"/>
    <x v="0"/>
    <m/>
    <n v="332.23"/>
    <n v="402.48"/>
    <n v="373.77"/>
    <n v="312.25"/>
    <n v="569.66"/>
    <n v="358.88"/>
    <n v="528.42999999999995"/>
    <n v="423.19"/>
    <n v="481.6"/>
    <n v="414.83"/>
    <n v="404.28"/>
    <n v="415.5"/>
    <n v="5017.0999999999995"/>
    <n v="-11.220000000000027"/>
  </r>
  <r>
    <x v="15"/>
    <x v="1"/>
    <x v="0"/>
    <s v="5652200"/>
    <n v="731060"/>
    <s v="Cell Phones"/>
    <s v="PC-Bonney Lake-Shared Svc"/>
    <x v="0"/>
    <n v="1001"/>
    <n v="0"/>
    <n v="27.39"/>
    <n v="54.77"/>
    <n v="0"/>
    <n v="26.84"/>
    <n v="27.45"/>
    <n v="54.84"/>
    <n v="0"/>
    <n v="27.92"/>
    <n v="54.91"/>
    <n v="26.82"/>
    <n v="27.49"/>
    <n v="328.43"/>
    <n v="-0.66999999999999815"/>
  </r>
  <r>
    <x v="15"/>
    <x v="1"/>
    <x v="0"/>
    <s v="5652200"/>
    <n v="731070"/>
    <s v="Cable TV"/>
    <s v="PC-Bonney Lake-Shared Svc"/>
    <x v="0"/>
    <m/>
    <n v="109.92"/>
    <n v="109.92"/>
    <n v="109.92"/>
    <n v="109.92"/>
    <n v="114.65"/>
    <n v="114.65"/>
    <n v="114.65"/>
    <n v="114.65"/>
    <n v="114.65"/>
    <n v="114.65"/>
    <n v="114.65"/>
    <n v="116"/>
    <n v="1358.23"/>
    <n v="-1.3499999999999943"/>
  </r>
  <r>
    <x v="16"/>
    <x v="1"/>
    <x v="0"/>
    <s v="5652200"/>
    <n v="732030"/>
    <s v="Repairs---Other"/>
    <s v="PC-Bonney Lake-Shared Svc"/>
    <x v="0"/>
    <m/>
    <n v="0"/>
    <n v="0"/>
    <n v="0"/>
    <n v="1371.6"/>
    <n v="0"/>
    <n v="0"/>
    <n v="0"/>
    <n v="0"/>
    <n v="0"/>
    <n v="0"/>
    <n v="0"/>
    <n v="241.73"/>
    <n v="1613.33"/>
    <n v="-241.73"/>
  </r>
  <r>
    <x v="13"/>
    <x v="1"/>
    <x v="0"/>
    <s v="5652200"/>
    <n v="735050"/>
    <s v="Amortization-Leasehold Improvements"/>
    <s v="PC-Bonney Lake-Shared Svc"/>
    <x v="0"/>
    <m/>
    <n v="7412.35"/>
    <n v="7412.34"/>
    <n v="7412.38"/>
    <n v="10768.26"/>
    <n v="19558.009999999998"/>
    <n v="12921.03"/>
    <n v="12921.22"/>
    <n v="12921"/>
    <n v="13236.59"/>
    <n v="13236.31"/>
    <n v="13236.66"/>
    <n v="13236.29"/>
    <n v="144272.44"/>
    <n v="0.36999999999898137"/>
  </r>
  <r>
    <x v="13"/>
    <x v="1"/>
    <x v="0"/>
    <s v="5652200"/>
    <n v="735060"/>
    <s v="Depreciation-Fixed Equipment"/>
    <s v="PC-Bonney Lake-Shared Svc"/>
    <x v="0"/>
    <m/>
    <n v="74.819999999999993"/>
    <n v="74.819999999999993"/>
    <n v="74.819999999999993"/>
    <n v="74.819999999999993"/>
    <n v="74.83"/>
    <n v="74.819999999999993"/>
    <n v="74.83"/>
    <n v="74.819999999999993"/>
    <n v="74.83"/>
    <n v="74.819999999999993"/>
    <n v="74.83"/>
    <n v="74.819999999999993"/>
    <n v="897.88000000000011"/>
    <n v="1.0000000000005116E-2"/>
  </r>
  <r>
    <x v="13"/>
    <x v="1"/>
    <x v="0"/>
    <s v="5652200"/>
    <n v="735070"/>
    <s v="Depreciation-Movable Equipment"/>
    <s v="PC-Bonney Lake-Shared Svc"/>
    <x v="0"/>
    <m/>
    <n v="2132.04"/>
    <n v="2132.04"/>
    <n v="2132.06"/>
    <n v="2132.0300000000002"/>
    <n v="2132.08"/>
    <n v="2132.0100000000002"/>
    <n v="2132.09"/>
    <n v="2060"/>
    <n v="2060.11"/>
    <n v="2059.9899999999998"/>
    <n v="2060.13"/>
    <n v="2059.9899999999998"/>
    <n v="25224.57"/>
    <n v="0.14000000000032742"/>
  </r>
  <r>
    <x v="0"/>
    <x v="1"/>
    <x v="0"/>
    <s v="5652200"/>
    <n v="740020"/>
    <s v="Education-Registration Fees"/>
    <s v="PC-Bonney Lake-Shared Svc"/>
    <x v="0"/>
    <m/>
    <n v="0"/>
    <n v="0"/>
    <n v="96.12"/>
    <n v="0"/>
    <n v="0"/>
    <n v="0"/>
    <n v="0"/>
    <n v="0"/>
    <n v="0"/>
    <n v="0"/>
    <n v="0"/>
    <n v="0"/>
    <n v="96.12"/>
    <n v="0"/>
  </r>
  <r>
    <x v="0"/>
    <x v="1"/>
    <x v="0"/>
    <s v="5652200"/>
    <n v="742040"/>
    <s v="Freight-Other"/>
    <s v="PC-Bonney Lake-Shared Svc"/>
    <x v="0"/>
    <m/>
    <n v="0"/>
    <n v="0"/>
    <n v="0"/>
    <n v="16.03"/>
    <n v="0"/>
    <n v="0"/>
    <n v="0"/>
    <n v="0"/>
    <n v="0"/>
    <n v="0"/>
    <n v="0"/>
    <n v="32.770000000000003"/>
    <n v="48.800000000000004"/>
    <n v="-32.770000000000003"/>
  </r>
  <r>
    <x v="0"/>
    <x v="1"/>
    <x v="0"/>
    <s v="5652200"/>
    <n v="749510"/>
    <s v="Miscellaneous Expenses"/>
    <s v="PC-Bonney Lake-Shared Svc"/>
    <x v="0"/>
    <m/>
    <n v="97.99"/>
    <n v="800.04"/>
    <n v="0"/>
    <n v="0"/>
    <n v="1575.17"/>
    <n v="895.17"/>
    <n v="42.72"/>
    <n v="0"/>
    <n v="178"/>
    <n v="0"/>
    <n v="267"/>
    <n v="279.7"/>
    <n v="4135.79"/>
    <n v="-12.699999999999989"/>
  </r>
  <r>
    <x v="0"/>
    <x v="1"/>
    <x v="0"/>
    <s v="5652200"/>
    <n v="749510"/>
    <s v="Licenses"/>
    <s v="PC-Bonney Lake-Shared Svc"/>
    <x v="0"/>
    <n v="1002"/>
    <n v="0"/>
    <n v="0"/>
    <n v="330"/>
    <n v="0"/>
    <n v="0"/>
    <n v="0"/>
    <n v="0"/>
    <n v="19"/>
    <n v="0"/>
    <n v="0"/>
    <n v="0"/>
    <n v="0"/>
    <n v="349"/>
    <n v="0"/>
  </r>
  <r>
    <x v="0"/>
    <x v="1"/>
    <x v="0"/>
    <s v="5652200"/>
    <n v="749550"/>
    <s v="Cash Over/Short"/>
    <s v="PC-Bonney Lake-Shared Svc"/>
    <x v="0"/>
    <m/>
    <n v="0"/>
    <n v="0"/>
    <n v="0"/>
    <n v="-10"/>
    <n v="0"/>
    <n v="-0.01"/>
    <n v="0"/>
    <n v="0"/>
    <n v="10"/>
    <n v="-8.01"/>
    <n v="-8.31"/>
    <n v="0"/>
    <n v="-16.329999999999998"/>
    <n v="-8.31"/>
  </r>
  <r>
    <x v="5"/>
    <x v="1"/>
    <x v="0"/>
    <s v="5653200"/>
    <n v="700014"/>
    <s v="Salaries-Management-Productive"/>
    <s v="Bonney Lake-Shared Svc"/>
    <x v="0"/>
    <m/>
    <n v="3451"/>
    <n v="2823.56"/>
    <n v="2352.96"/>
    <n v="2227.77"/>
    <n v="4169.99"/>
    <n v="3368.06"/>
    <n v="2570.15"/>
    <n v="2409.3000000000002"/>
    <n v="3694.27"/>
    <n v="3533.63"/>
    <n v="3694.27"/>
    <n v="2409.3000000000002"/>
    <n v="36704.26"/>
    <n v="1284.9699999999998"/>
  </r>
  <r>
    <x v="5"/>
    <x v="1"/>
    <x v="0"/>
    <s v="5653200"/>
    <n v="700018"/>
    <s v="Salaries-Supervisory-Productive"/>
    <s v="Bonney Lake-Shared Svc"/>
    <x v="0"/>
    <m/>
    <n v="2537.04"/>
    <n v="2652.36"/>
    <n v="2306.4"/>
    <n v="2709.24"/>
    <n v="1895.68"/>
    <n v="1599.48"/>
    <n v="2551.14"/>
    <n v="2373.08"/>
    <n v="2491.7399999999998"/>
    <n v="2610.38"/>
    <n v="2254.4299999999998"/>
    <n v="1305.18"/>
    <n v="27286.149999999998"/>
    <n v="949.24999999999977"/>
  </r>
  <r>
    <x v="5"/>
    <x v="1"/>
    <x v="0"/>
    <s v="5653200"/>
    <n v="700038"/>
    <s v="Salaries-Service/Support-Productive"/>
    <s v="Bonney Lake-Shared Svc"/>
    <x v="0"/>
    <m/>
    <n v="26155.02"/>
    <n v="32591.78"/>
    <n v="27642.51"/>
    <n v="31976.73"/>
    <n v="32261.66"/>
    <n v="27316.46"/>
    <n v="32073.22"/>
    <n v="26979.11"/>
    <n v="28361.200000000001"/>
    <n v="28676.42"/>
    <n v="36698.82"/>
    <n v="24521.66"/>
    <n v="355254.58999999997"/>
    <n v="12177.16"/>
  </r>
  <r>
    <x v="5"/>
    <x v="1"/>
    <x v="0"/>
    <s v="5653200"/>
    <n v="700038"/>
    <s v="Salaries-Service/Support-OT"/>
    <s v="Bonney Lake-Shared Svc"/>
    <x v="0"/>
    <n v="1000"/>
    <n v="40.700000000000003"/>
    <n v="301.33999999999997"/>
    <n v="457.91"/>
    <n v="32.47"/>
    <n v="241.68"/>
    <n v="60.32"/>
    <n v="56.73"/>
    <n v="352.41"/>
    <n v="2684.11"/>
    <n v="2466.02"/>
    <n v="442.17"/>
    <n v="49.08"/>
    <n v="7184.9400000000005"/>
    <n v="393.09000000000003"/>
  </r>
  <r>
    <x v="5"/>
    <x v="1"/>
    <x v="0"/>
    <s v="5653200"/>
    <n v="700038"/>
    <s v="Salaries-Service/Support-Other"/>
    <s v="Bonney Lake-Shared Svc"/>
    <x v="0"/>
    <n v="2000"/>
    <n v="208.1"/>
    <n v="147.91999999999999"/>
    <n v="367.6"/>
    <n v="148.19"/>
    <n v="167.95"/>
    <n v="151.22"/>
    <n v="425.08"/>
    <n v="102.27"/>
    <n v="144.26"/>
    <n v="140"/>
    <n v="90.83"/>
    <n v="203.73"/>
    <n v="2297.15"/>
    <n v="-112.89999999999999"/>
  </r>
  <r>
    <x v="5"/>
    <x v="1"/>
    <x v="0"/>
    <s v="5653200"/>
    <n v="700054"/>
    <s v="Salaries-Management-Non-productive"/>
    <s v="Bonney Lake-Shared Svc"/>
    <x v="0"/>
    <m/>
    <n v="0"/>
    <n v="1960.8"/>
    <n v="1960.8"/>
    <n v="2165.1799999999998"/>
    <n v="-962.3"/>
    <n v="801.92"/>
    <n v="1124.33"/>
    <n v="803.1"/>
    <n v="-321.23"/>
    <n v="0"/>
    <n v="0"/>
    <n v="1606.18"/>
    <n v="9138.7800000000007"/>
    <n v="-1606.18"/>
  </r>
  <r>
    <x v="5"/>
    <x v="1"/>
    <x v="0"/>
    <s v="5653200"/>
    <n v="700054"/>
    <s v="Salaries-Management-NonProd-Other"/>
    <s v="Bonney Lake-Shared Svc"/>
    <x v="0"/>
    <n v="2000"/>
    <n v="0"/>
    <n v="0"/>
    <n v="0"/>
    <n v="0"/>
    <n v="0"/>
    <n v="46.22"/>
    <n v="-46.22"/>
    <n v="0"/>
    <n v="0"/>
    <n v="0"/>
    <n v="0"/>
    <n v="0"/>
    <n v="0"/>
    <n v="0"/>
  </r>
  <r>
    <x v="5"/>
    <x v="1"/>
    <x v="0"/>
    <s v="5653200"/>
    <n v="700058"/>
    <s v="Salaries-Supervisory-Non-productive"/>
    <s v="Bonney Lake-Shared Svc"/>
    <x v="0"/>
    <m/>
    <n v="230.64"/>
    <n v="0"/>
    <n v="0"/>
    <n v="0"/>
    <n v="1421.76"/>
    <n v="1777.2"/>
    <n v="356.14"/>
    <n v="0"/>
    <n v="0"/>
    <n v="0"/>
    <n v="949.24"/>
    <n v="2135.7800000000002"/>
    <n v="6870.76"/>
    <n v="-1186.5400000000002"/>
  </r>
  <r>
    <x v="5"/>
    <x v="1"/>
    <x v="0"/>
    <s v="5653200"/>
    <n v="700078"/>
    <s v="Salaries-Service/Support-Non-productive"/>
    <s v="Bonney Lake-Shared Svc"/>
    <x v="0"/>
    <m/>
    <n v="9513.48"/>
    <n v="4051.29"/>
    <n v="5904.57"/>
    <n v="7162.26"/>
    <n v="421.12"/>
    <n v="8319.16"/>
    <n v="6172.58"/>
    <n v="6155.86"/>
    <n v="5275.81"/>
    <n v="4039.69"/>
    <n v="1672.39"/>
    <n v="1723.95"/>
    <n v="60412.159999999996"/>
    <n v="-51.559999999999945"/>
  </r>
  <r>
    <x v="5"/>
    <x v="1"/>
    <x v="0"/>
    <s v="5653200"/>
    <n v="700078"/>
    <s v="Salaries-Service/Support-NonProd-Other"/>
    <s v="Bonney Lake-Shared Svc"/>
    <x v="0"/>
    <n v="2000"/>
    <n v="0"/>
    <n v="0"/>
    <n v="0"/>
    <n v="0"/>
    <n v="567.97"/>
    <n v="1204.21"/>
    <n v="0"/>
    <n v="-1772.18"/>
    <n v="0"/>
    <n v="0"/>
    <n v="0"/>
    <n v="0"/>
    <n v="0"/>
    <n v="0"/>
  </r>
  <r>
    <x v="5"/>
    <x v="1"/>
    <x v="0"/>
    <s v="5653200"/>
    <n v="700084"/>
    <s v="Accrued PTO"/>
    <s v="Bonney Lake-Shared Svc"/>
    <x v="0"/>
    <m/>
    <n v="-716.82"/>
    <n v="902.09"/>
    <n v="-238.08"/>
    <n v="-214.34"/>
    <n v="1507.92"/>
    <n v="-3811.67"/>
    <n v="-956.57"/>
    <n v="1648.98"/>
    <n v="-414.05"/>
    <n v="1514.4"/>
    <n v="2327.21"/>
    <n v="-272.83999999999997"/>
    <n v="1276.2299999999998"/>
    <n v="2600.0500000000002"/>
  </r>
  <r>
    <x v="6"/>
    <x v="1"/>
    <x v="0"/>
    <s v="5653200"/>
    <n v="713010"/>
    <s v="Benefits-FICA/Medicare"/>
    <s v="Bonney Lake-Shared Svc"/>
    <x v="0"/>
    <m/>
    <n v="3115.23"/>
    <n v="3270.73"/>
    <n v="3029.15"/>
    <n v="3419.87"/>
    <n v="3076.21"/>
    <n v="3258.51"/>
    <n v="3321.18"/>
    <n v="2865.82"/>
    <n v="3092.28"/>
    <n v="3065.39"/>
    <n v="3344.32"/>
    <n v="2513.0700000000002"/>
    <n v="37371.759999999995"/>
    <n v="831.25"/>
  </r>
  <r>
    <x v="6"/>
    <x v="1"/>
    <x v="0"/>
    <s v="5653200"/>
    <n v="713090"/>
    <s v="Benefits-Allocated Amounts"/>
    <s v="Bonney Lake-Shared Svc"/>
    <x v="0"/>
    <m/>
    <n v="11033.17"/>
    <n v="10335.24"/>
    <n v="11021.79"/>
    <n v="11237.06"/>
    <n v="10332.299999999999"/>
    <n v="11266.01"/>
    <n v="12665.45"/>
    <n v="12051.93"/>
    <n v="11542.29"/>
    <n v="11117.81"/>
    <n v="11620.53"/>
    <n v="10161.219999999999"/>
    <n v="134384.80000000002"/>
    <n v="1459.3100000000013"/>
  </r>
  <r>
    <x v="7"/>
    <x v="1"/>
    <x v="0"/>
    <s v="5653200"/>
    <n v="718010"/>
    <s v="Media/Print Advertising"/>
    <s v="Bonney Lake-Shared Svc"/>
    <x v="0"/>
    <n v="1004"/>
    <n v="171.08"/>
    <n v="0"/>
    <n v="750.45"/>
    <n v="-16.010000000000002"/>
    <n v="214.38"/>
    <n v="0"/>
    <n v="207.65"/>
    <n v="0"/>
    <n v="681.88"/>
    <n v="0"/>
    <n v="536.85"/>
    <n v="0"/>
    <n v="2546.2800000000002"/>
    <n v="536.85"/>
  </r>
  <r>
    <x v="7"/>
    <x v="1"/>
    <x v="0"/>
    <s v="5653200"/>
    <n v="718040"/>
    <s v="Contract Svcs-Laboratory"/>
    <s v="Bonney Lake-Shared Svc"/>
    <x v="0"/>
    <m/>
    <n v="0"/>
    <n v="0"/>
    <n v="2.25"/>
    <n v="5.97"/>
    <n v="0"/>
    <n v="0"/>
    <n v="0"/>
    <n v="0"/>
    <n v="0"/>
    <n v="0"/>
    <n v="15.76"/>
    <n v="0"/>
    <n v="23.979999999999997"/>
    <n v="15.76"/>
  </r>
  <r>
    <x v="7"/>
    <x v="1"/>
    <x v="0"/>
    <s v="5653200"/>
    <n v="718050"/>
    <s v="Contract Svcs-Other"/>
    <s v="Bonney Lake-Shared Svc"/>
    <x v="0"/>
    <m/>
    <n v="311.73"/>
    <n v="479.5"/>
    <n v="638.36"/>
    <n v="285.39"/>
    <n v="636.9"/>
    <n v="1114.3"/>
    <n v="917.6"/>
    <n v="460.61"/>
    <n v="886.61"/>
    <n v="423.05"/>
    <n v="310.37"/>
    <n v="364.53"/>
    <n v="6828.95"/>
    <n v="-54.159999999999968"/>
  </r>
  <r>
    <x v="7"/>
    <x v="1"/>
    <x v="0"/>
    <s v="5653200"/>
    <n v="718050"/>
    <s v="Management Fees"/>
    <s v="Bonney Lake-Shared Svc"/>
    <x v="0"/>
    <n v="1004"/>
    <n v="0"/>
    <n v="182.26"/>
    <n v="0"/>
    <n v="0"/>
    <n v="0"/>
    <n v="173.59"/>
    <n v="0"/>
    <n v="0"/>
    <n v="0"/>
    <n v="0"/>
    <n v="0"/>
    <n v="161.36000000000001"/>
    <n v="517.21"/>
    <n v="-161.36000000000001"/>
  </r>
  <r>
    <x v="7"/>
    <x v="1"/>
    <x v="0"/>
    <s v="5653200"/>
    <n v="718050"/>
    <s v="Document Shredding/Storage"/>
    <s v="Bonney Lake-Shared Svc"/>
    <x v="0"/>
    <n v="1012"/>
    <n v="89.88"/>
    <n v="169.84"/>
    <n v="51.25"/>
    <n v="53.15"/>
    <n v="112.78"/>
    <n v="66.290000000000006"/>
    <n v="65.62"/>
    <n v="0.56000000000000005"/>
    <n v="47.85"/>
    <n v="48.94"/>
    <n v="49.65"/>
    <n v="81.2"/>
    <n v="837.00999999999988"/>
    <n v="-31.550000000000004"/>
  </r>
  <r>
    <x v="7"/>
    <x v="1"/>
    <x v="0"/>
    <s v="5653200"/>
    <n v="718050"/>
    <s v="Physician Answering"/>
    <s v="Bonney Lake-Shared Svc"/>
    <x v="0"/>
    <n v="1015"/>
    <n v="0"/>
    <n v="0"/>
    <n v="0"/>
    <n v="0"/>
    <n v="0"/>
    <n v="0"/>
    <n v="0"/>
    <n v="0"/>
    <n v="144"/>
    <n v="0"/>
    <n v="0"/>
    <n v="0"/>
    <n v="144"/>
    <n v="0"/>
  </r>
  <r>
    <x v="7"/>
    <x v="1"/>
    <x v="0"/>
    <s v="5653200"/>
    <n v="718050"/>
    <s v="Translation Services"/>
    <s v="Bonney Lake-Shared Svc"/>
    <x v="0"/>
    <n v="1025"/>
    <n v="63.08"/>
    <n v="0"/>
    <n v="5.58"/>
    <n v="28.44"/>
    <n v="0"/>
    <n v="18.170000000000002"/>
    <n v="0"/>
    <n v="28.8"/>
    <n v="0"/>
    <n v="16.399999999999999"/>
    <n v="3.95"/>
    <n v="19.75"/>
    <n v="184.17"/>
    <n v="-15.8"/>
  </r>
  <r>
    <x v="7"/>
    <x v="1"/>
    <x v="0"/>
    <s v="5653200"/>
    <n v="718050"/>
    <s v="Contract Management--Linen"/>
    <s v="Bonney Lake-Shared Svc"/>
    <x v="0"/>
    <n v="1026"/>
    <n v="499.54"/>
    <n v="570.01"/>
    <n v="492.47"/>
    <n v="585.97"/>
    <n v="1522.02"/>
    <n v="488.4"/>
    <n v="989.33"/>
    <n v="393.79"/>
    <n v="932.33"/>
    <n v="333.4"/>
    <n v="251.29"/>
    <n v="905.04"/>
    <n v="7963.5899999999992"/>
    <n v="-653.75"/>
  </r>
  <r>
    <x v="7"/>
    <x v="1"/>
    <x v="0"/>
    <s v="5653200"/>
    <n v="718050"/>
    <s v="Purchased Srvcs--Medical Waste"/>
    <s v="Bonney Lake-Shared Svc"/>
    <x v="0"/>
    <n v="1027"/>
    <n v="21.5"/>
    <n v="676.14"/>
    <n v="317.38"/>
    <n v="326.74"/>
    <n v="328.99"/>
    <n v="359.47"/>
    <n v="380.97"/>
    <n v="366.39"/>
    <n v="381.44"/>
    <n v="350.49"/>
    <n v="377.36"/>
    <n v="339.35"/>
    <n v="4226.22"/>
    <n v="38.009999999999991"/>
  </r>
  <r>
    <x v="7"/>
    <x v="1"/>
    <x v="0"/>
    <s v="5653200"/>
    <n v="718070"/>
    <s v="Contract Srvcs-CHI Clinical Engineering"/>
    <s v="Bonney Lake-Shared Svc"/>
    <x v="0"/>
    <m/>
    <n v="2006.78"/>
    <n v="11525.87"/>
    <n v="-998.9"/>
    <n v="3612.54"/>
    <n v="5008.9799999999996"/>
    <n v="5353"/>
    <n v="3612.54"/>
    <n v="4368.8"/>
    <n v="0"/>
    <n v="1063.55"/>
    <n v="3606.62"/>
    <n v="574.72"/>
    <n v="39734.500000000007"/>
    <n v="3031.8999999999996"/>
  </r>
  <r>
    <x v="11"/>
    <x v="1"/>
    <x v="0"/>
    <s v="5653200"/>
    <n v="721250"/>
    <s v="Supplies-Pharmacy Drugs - Billable"/>
    <s v="Bonney Lake-Shared Svc"/>
    <x v="0"/>
    <m/>
    <n v="5971.95"/>
    <n v="9855.44"/>
    <n v="9764.36"/>
    <n v="17608.37"/>
    <n v="11204.51"/>
    <n v="26482.25"/>
    <n v="9746.15"/>
    <n v="8409.9599999999991"/>
    <n v="9983"/>
    <n v="17905.46"/>
    <n v="14964.34"/>
    <n v="6681.57"/>
    <n v="148577.35999999999"/>
    <n v="8282.77"/>
  </r>
  <r>
    <x v="11"/>
    <x v="1"/>
    <x v="0"/>
    <s v="5653200"/>
    <n v="721410"/>
    <s v="Supplies-Medical - Nonbillable"/>
    <s v="Bonney Lake-Shared Svc"/>
    <x v="0"/>
    <m/>
    <n v="297.3"/>
    <n v="172"/>
    <n v="197.15"/>
    <n v="-25.69"/>
    <n v="92.2"/>
    <n v="146.16999999999999"/>
    <n v="210.55"/>
    <n v="127.85"/>
    <n v="81.03"/>
    <n v="146.53"/>
    <n v="-1200.21"/>
    <n v="175.05"/>
    <n v="419.92999999999989"/>
    <n v="-1375.26"/>
  </r>
  <r>
    <x v="11"/>
    <x v="1"/>
    <x v="0"/>
    <s v="5653200"/>
    <n v="721810"/>
    <s v="Supplies-Dietary/Cafeteria"/>
    <s v="Bonney Lake-Shared Svc"/>
    <x v="0"/>
    <m/>
    <n v="209.74"/>
    <n v="0"/>
    <n v="0"/>
    <n v="0"/>
    <n v="0"/>
    <n v="168.1"/>
    <n v="0"/>
    <n v="0"/>
    <n v="0"/>
    <n v="0"/>
    <n v="0"/>
    <n v="0"/>
    <n v="377.84000000000003"/>
    <n v="0"/>
  </r>
  <r>
    <x v="11"/>
    <x v="1"/>
    <x v="0"/>
    <s v="5653200"/>
    <n v="721830"/>
    <s v="Supplies-Office"/>
    <s v="Bonney Lake-Shared Svc"/>
    <x v="0"/>
    <m/>
    <n v="274.36"/>
    <n v="24.5"/>
    <n v="416.88"/>
    <n v="589.03"/>
    <n v="210.35"/>
    <n v="830.63"/>
    <n v="454.61"/>
    <n v="265.32"/>
    <n v="532"/>
    <n v="271.25"/>
    <n v="141.28"/>
    <n v="397.68"/>
    <n v="4407.8900000000003"/>
    <n v="-256.39999999999998"/>
  </r>
  <r>
    <x v="11"/>
    <x v="1"/>
    <x v="0"/>
    <s v="5653200"/>
    <n v="721835"/>
    <s v="Supplies-Forms"/>
    <s v="Bonney Lake-Shared Svc"/>
    <x v="0"/>
    <m/>
    <n v="0"/>
    <n v="0"/>
    <n v="0"/>
    <n v="0"/>
    <n v="27.6"/>
    <n v="13.8"/>
    <n v="0"/>
    <n v="0"/>
    <n v="15"/>
    <n v="0"/>
    <n v="15"/>
    <n v="10.58"/>
    <n v="81.98"/>
    <n v="4.42"/>
  </r>
  <r>
    <x v="11"/>
    <x v="1"/>
    <x v="0"/>
    <s v="5653200"/>
    <n v="721870"/>
    <s v="Supplies-Environmental Services"/>
    <s v="Bonney Lake-Shared Svc"/>
    <x v="0"/>
    <m/>
    <n v="0"/>
    <n v="0"/>
    <n v="114.55"/>
    <n v="0"/>
    <n v="114.55"/>
    <n v="0"/>
    <n v="229.1"/>
    <n v="0"/>
    <n v="0"/>
    <n v="114.56"/>
    <n v="0"/>
    <n v="114.55"/>
    <n v="687.31"/>
    <n v="-114.55"/>
  </r>
  <r>
    <x v="11"/>
    <x v="1"/>
    <x v="0"/>
    <s v="5653200"/>
    <n v="721910"/>
    <s v="Supplies-Small Equipment"/>
    <s v="Bonney Lake-Shared Svc"/>
    <x v="0"/>
    <m/>
    <n v="0"/>
    <n v="0"/>
    <n v="0"/>
    <n v="370.18"/>
    <n v="0"/>
    <n v="0"/>
    <n v="84.92"/>
    <n v="384.04"/>
    <n v="8.58"/>
    <n v="-47.03"/>
    <n v="0"/>
    <n v="0"/>
    <n v="800.69000000000017"/>
    <n v="0"/>
  </r>
  <r>
    <x v="11"/>
    <x v="1"/>
    <x v="0"/>
    <s v="5653200"/>
    <n v="721980"/>
    <s v="Supplies-Other"/>
    <s v="Bonney Lake-Shared Svc"/>
    <x v="0"/>
    <m/>
    <n v="0"/>
    <n v="0"/>
    <n v="0"/>
    <n v="1606.01"/>
    <n v="-1606.01"/>
    <n v="0"/>
    <n v="0"/>
    <n v="148.91999999999999"/>
    <n v="0"/>
    <n v="45.88"/>
    <n v="0"/>
    <n v="0"/>
    <n v="194.79999999999998"/>
    <n v="0"/>
  </r>
  <r>
    <x v="11"/>
    <x v="1"/>
    <x v="0"/>
    <s v="5653200"/>
    <n v="722000"/>
    <s v="Supplies-Freight Expense"/>
    <s v="Bonney Lake-Shared Svc"/>
    <x v="0"/>
    <m/>
    <n v="0"/>
    <n v="25.15"/>
    <n v="0"/>
    <n v="54.96"/>
    <n v="0"/>
    <n v="0"/>
    <n v="0"/>
    <n v="0"/>
    <n v="32.32"/>
    <n v="0"/>
    <n v="0"/>
    <n v="54.98"/>
    <n v="167.41"/>
    <n v="-54.98"/>
  </r>
  <r>
    <x v="12"/>
    <x v="1"/>
    <x v="0"/>
    <s v="5653200"/>
    <n v="730010"/>
    <s v="Rental and Leases-Building (DO NOT USE)"/>
    <s v="Bonney Lake-Shared Svc"/>
    <x v="0"/>
    <m/>
    <n v="56723.21"/>
    <n v="56723.21"/>
    <n v="56723.21"/>
    <n v="56723.21"/>
    <n v="56723.21"/>
    <n v="-33890.86"/>
    <n v="41509.29"/>
    <n v="41509.29"/>
    <n v="41509.29"/>
    <n v="41314.089999999997"/>
    <n v="41314.089999999997"/>
    <n v="0"/>
    <n v="456881.23999999987"/>
    <n v="41314.089999999997"/>
  </r>
  <r>
    <x v="12"/>
    <x v="1"/>
    <x v="0"/>
    <s v="5653200"/>
    <n v="730010"/>
    <s v="Rental-Common Area Maint (DO NOT USE)"/>
    <s v="Bonney Lake-Shared Svc"/>
    <x v="0"/>
    <n v="2200"/>
    <n v="0"/>
    <n v="0"/>
    <n v="0"/>
    <n v="0"/>
    <n v="0"/>
    <n v="90480.18"/>
    <n v="15080.03"/>
    <n v="15080.03"/>
    <n v="15080.03"/>
    <n v="20723.919999999998"/>
    <n v="15273.48"/>
    <n v="15080.03"/>
    <n v="186797.7"/>
    <n v="193.44999999999891"/>
  </r>
  <r>
    <x v="12"/>
    <x v="1"/>
    <x v="0"/>
    <s v="5653200"/>
    <n v="730020"/>
    <s v="Rental and Leases-Copier Usage Fees (DO NOT USE)"/>
    <s v="Bonney Lake-Shared Svc"/>
    <x v="0"/>
    <n v="5100"/>
    <n v="1371.56"/>
    <n v="1402.85"/>
    <n v="1387.21"/>
    <n v="1387.21"/>
    <n v="1387.21"/>
    <n v="1387.21"/>
    <n v="4081.74"/>
    <n v="1190.95"/>
    <n v="1375.13"/>
    <n v="1751.6"/>
    <n v="1377.64"/>
    <n v="1468.96"/>
    <n v="19569.269999999997"/>
    <n v="-91.319999999999936"/>
  </r>
  <r>
    <x v="12"/>
    <x v="1"/>
    <x v="0"/>
    <s v="5653200"/>
    <n v="730040"/>
    <s v="LT Lease-Real Estate"/>
    <s v="Bonney Lake-Shared Svc"/>
    <x v="0"/>
    <m/>
    <n v="0"/>
    <n v="0"/>
    <n v="0"/>
    <n v="0"/>
    <n v="0"/>
    <n v="0"/>
    <n v="0"/>
    <n v="0"/>
    <n v="0"/>
    <n v="0"/>
    <n v="0"/>
    <n v="41507.54"/>
    <n v="41507.54"/>
    <n v="-41507.54"/>
  </r>
  <r>
    <x v="15"/>
    <x v="1"/>
    <x v="0"/>
    <s v="5653200"/>
    <n v="731010"/>
    <s v="Natural Gas"/>
    <s v="Bonney Lake-Shared Svc"/>
    <x v="0"/>
    <m/>
    <n v="56.52"/>
    <n v="15.92"/>
    <n v="20.27"/>
    <n v="72.52"/>
    <n v="121.96"/>
    <n v="176.58"/>
    <n v="206.85"/>
    <n v="189.69"/>
    <n v="247.5"/>
    <n v="94.85"/>
    <n v="78.52"/>
    <n v="32.07"/>
    <n v="1313.2499999999998"/>
    <n v="46.449999999999996"/>
  </r>
  <r>
    <x v="15"/>
    <x v="1"/>
    <x v="0"/>
    <s v="5653200"/>
    <n v="731020"/>
    <s v="Electricity"/>
    <s v="Bonney Lake-Shared Svc"/>
    <x v="0"/>
    <m/>
    <n v="1082.93"/>
    <n v="1311.96"/>
    <n v="1218.3399999999999"/>
    <n v="1017.82"/>
    <n v="1058.03"/>
    <n v="1169.79"/>
    <n v="1137.27"/>
    <n v="1162.9100000000001"/>
    <n v="1263.44"/>
    <n v="1088.3"/>
    <n v="1060.5999999999999"/>
    <n v="1090.03"/>
    <n v="13661.42"/>
    <n v="-29.430000000000064"/>
  </r>
  <r>
    <x v="16"/>
    <x v="1"/>
    <x v="0"/>
    <s v="5653200"/>
    <n v="732030"/>
    <s v="Repairs---Other"/>
    <s v="Bonney Lake-Shared Svc"/>
    <x v="0"/>
    <m/>
    <n v="0"/>
    <n v="884.67"/>
    <n v="0"/>
    <n v="0"/>
    <n v="0"/>
    <n v="0"/>
    <n v="528.4"/>
    <n v="647.05999999999995"/>
    <n v="0"/>
    <n v="0"/>
    <n v="0"/>
    <n v="0"/>
    <n v="2060.13"/>
    <n v="0"/>
  </r>
  <r>
    <x v="13"/>
    <x v="1"/>
    <x v="0"/>
    <s v="5653200"/>
    <n v="735050"/>
    <s v="Amortization-Leasehold Improvements"/>
    <s v="Bonney Lake-Shared Svc"/>
    <x v="0"/>
    <m/>
    <n v="34551.86"/>
    <n v="34551.839999999997"/>
    <n v="34551.879999999997"/>
    <n v="34551.83"/>
    <n v="34551.89"/>
    <n v="34551.81"/>
    <n v="34551.910000000003"/>
    <n v="34551.769999999997"/>
    <n v="35224.03"/>
    <n v="35223.86"/>
    <n v="35224.07"/>
    <n v="35223.85"/>
    <n v="417310.59999999992"/>
    <n v="0.22000000000116415"/>
  </r>
  <r>
    <x v="13"/>
    <x v="1"/>
    <x v="0"/>
    <s v="5653200"/>
    <n v="735060"/>
    <s v="Depreciation-Fixed Equipment"/>
    <s v="Bonney Lake-Shared Svc"/>
    <x v="0"/>
    <m/>
    <n v="243.68"/>
    <n v="243.68"/>
    <n v="278.85000000000002"/>
    <n v="243.68"/>
    <n v="243.68"/>
    <n v="243.67"/>
    <n v="243.68"/>
    <n v="243.67"/>
    <n v="243.68"/>
    <n v="243.67"/>
    <n v="243.68"/>
    <n v="243.67"/>
    <n v="2959.2900000000004"/>
    <n v="1.0000000000019327E-2"/>
  </r>
  <r>
    <x v="13"/>
    <x v="1"/>
    <x v="0"/>
    <s v="5653200"/>
    <n v="735070"/>
    <s v="Depreciation-Movable Equipment"/>
    <s v="Bonney Lake-Shared Svc"/>
    <x v="0"/>
    <m/>
    <n v="11189.34"/>
    <n v="11189.32"/>
    <n v="11221.55"/>
    <n v="11191.51"/>
    <n v="11191.61"/>
    <n v="11191.48"/>
    <n v="11191.63"/>
    <n v="10957.06"/>
    <n v="10957.22"/>
    <n v="10957.05"/>
    <n v="10957.22"/>
    <n v="10957.02"/>
    <n v="133152.01"/>
    <n v="0.19999999999890861"/>
  </r>
  <r>
    <x v="0"/>
    <x v="1"/>
    <x v="0"/>
    <s v="5653200"/>
    <n v="740020"/>
    <s v="Education-Registration Fees"/>
    <s v="Bonney Lake-Shared Svc"/>
    <x v="0"/>
    <m/>
    <n v="0"/>
    <n v="0"/>
    <n v="192.23"/>
    <n v="0"/>
    <n v="0"/>
    <n v="0"/>
    <n v="0"/>
    <n v="0"/>
    <n v="0"/>
    <n v="0"/>
    <n v="0"/>
    <n v="0"/>
    <n v="192.23"/>
    <n v="0"/>
  </r>
  <r>
    <x v="0"/>
    <x v="1"/>
    <x v="0"/>
    <s v="5653200"/>
    <n v="742040"/>
    <s v="Freight-Other"/>
    <s v="Bonney Lake-Shared Svc"/>
    <x v="0"/>
    <m/>
    <n v="0"/>
    <n v="0"/>
    <n v="0"/>
    <n v="16.010000000000002"/>
    <n v="0"/>
    <n v="0"/>
    <n v="0"/>
    <n v="0"/>
    <n v="0"/>
    <n v="0"/>
    <n v="0"/>
    <n v="45.74"/>
    <n v="61.75"/>
    <n v="-45.74"/>
  </r>
  <r>
    <x v="0"/>
    <x v="1"/>
    <x v="0"/>
    <s v="5653200"/>
    <n v="743030"/>
    <s v="Subscriptions--Institutional"/>
    <s v="Bonney Lake-Shared Svc"/>
    <x v="0"/>
    <m/>
    <n v="46.71"/>
    <n v="0"/>
    <n v="0"/>
    <n v="0"/>
    <n v="0"/>
    <n v="0"/>
    <n v="0"/>
    <n v="0"/>
    <n v="0"/>
    <n v="0"/>
    <n v="0"/>
    <n v="0"/>
    <n v="46.71"/>
    <n v="0"/>
  </r>
  <r>
    <x v="0"/>
    <x v="1"/>
    <x v="0"/>
    <s v="5653200"/>
    <n v="749510"/>
    <s v="Miscellaneous Expenses"/>
    <s v="Bonney Lake-Shared Svc"/>
    <x v="0"/>
    <m/>
    <n v="0"/>
    <n v="613.04999999999995"/>
    <n v="63.21"/>
    <n v="-63.21"/>
    <n v="0"/>
    <n v="524.5"/>
    <n v="148.91999999999999"/>
    <n v="-148.91999999999999"/>
    <n v="45.88"/>
    <n v="-45.88"/>
    <n v="0"/>
    <n v="-32.79"/>
    <n v="1104.76"/>
    <n v="32.79"/>
  </r>
  <r>
    <x v="0"/>
    <x v="1"/>
    <x v="0"/>
    <s v="5653200"/>
    <n v="749510"/>
    <s v="Licenses"/>
    <s v="Bonney Lake-Shared Svc"/>
    <x v="0"/>
    <n v="1002"/>
    <n v="0"/>
    <n v="0"/>
    <n v="860"/>
    <n v="0"/>
    <n v="0"/>
    <n v="193"/>
    <n v="38.75"/>
    <n v="0"/>
    <n v="0"/>
    <n v="0"/>
    <n v="200"/>
    <n v="0"/>
    <n v="1291.75"/>
    <n v="200"/>
  </r>
  <r>
    <x v="0"/>
    <x v="1"/>
    <x v="0"/>
    <s v="5653200"/>
    <n v="749510"/>
    <s v="RICE Rewards"/>
    <s v="Bonney Lake-Shared Svc"/>
    <x v="0"/>
    <n v="5100"/>
    <n v="0"/>
    <n v="0"/>
    <n v="0"/>
    <n v="0"/>
    <n v="0"/>
    <n v="0"/>
    <n v="0"/>
    <n v="0"/>
    <n v="0"/>
    <n v="0"/>
    <n v="443.47"/>
    <n v="0"/>
    <n v="443.47"/>
    <n v="443.47"/>
  </r>
  <r>
    <x v="0"/>
    <x v="1"/>
    <x v="0"/>
    <s v="5653200"/>
    <n v="749535"/>
    <s v="Meetings"/>
    <s v="Bonney Lake-Shared Svc"/>
    <x v="0"/>
    <m/>
    <n v="0"/>
    <n v="0"/>
    <n v="0"/>
    <n v="63.21"/>
    <n v="0"/>
    <n v="56.97"/>
    <n v="0"/>
    <n v="0"/>
    <n v="176.05"/>
    <n v="84.9"/>
    <n v="0"/>
    <n v="0"/>
    <n v="381.13"/>
    <n v="0"/>
  </r>
  <r>
    <x v="0"/>
    <x v="1"/>
    <x v="0"/>
    <s v="5653200"/>
    <n v="749550"/>
    <s v="Cash Over/Short"/>
    <s v="Bonney Lake-Shared Svc"/>
    <x v="0"/>
    <m/>
    <n v="-18"/>
    <n v="0"/>
    <n v="-5"/>
    <n v="0"/>
    <n v="0"/>
    <n v="-7.0000000000000007E-2"/>
    <n v="0"/>
    <n v="0"/>
    <n v="25.24"/>
    <n v="-7.0000000000000007E-2"/>
    <n v="0"/>
    <n v="0"/>
    <n v="2.0999999999999983"/>
    <n v="0"/>
  </r>
  <r>
    <x v="0"/>
    <x v="1"/>
    <x v="0"/>
    <s v="5653200"/>
    <n v="749591"/>
    <s v="Other Expense-Intracompany Allocation"/>
    <s v="Bonney Lake-Shared Svc"/>
    <x v="0"/>
    <m/>
    <n v="-172056.47"/>
    <n v="-190978.48"/>
    <n v="-174393.3"/>
    <n v="-192201.66"/>
    <n v="-179295.2"/>
    <n v="-197704.01"/>
    <n v="-187185.94"/>
    <n v="-175563.45"/>
    <n v="-177679.42"/>
    <n v="-190566.16"/>
    <n v="-189603.99"/>
    <n v="-163117.60999999999"/>
    <n v="-2190345.69"/>
    <n v="-26486.380000000005"/>
  </r>
  <r>
    <x v="0"/>
    <x v="1"/>
    <x v="0"/>
    <s v="5653200"/>
    <n v="766010"/>
    <s v="Property Tax"/>
    <s v="Bonney Lake-Shared Svc"/>
    <x v="0"/>
    <m/>
    <n v="1324.16"/>
    <n v="1324.16"/>
    <n v="1324.16"/>
    <n v="1048.3900000000001"/>
    <n v="1048.4100000000001"/>
    <n v="1048.4100000000001"/>
    <n v="1255.22"/>
    <n v="1255.22"/>
    <n v="1255.21"/>
    <n v="1293.6500000000001"/>
    <n v="1264.83"/>
    <n v="1264.83"/>
    <n v="14706.65"/>
    <n v="0"/>
  </r>
  <r>
    <x v="5"/>
    <x v="1"/>
    <x v="0"/>
    <s v="5654200"/>
    <n v="700030"/>
    <s v="Salaries-LPN-Productive"/>
    <s v="FP OB St Joseph"/>
    <x v="0"/>
    <m/>
    <n v="0"/>
    <n v="306.49"/>
    <n v="-102.16"/>
    <n v="0"/>
    <n v="0"/>
    <n v="0"/>
    <n v="0"/>
    <n v="0"/>
    <n v="0"/>
    <n v="0"/>
    <n v="0"/>
    <n v="0"/>
    <n v="204.33"/>
    <n v="0"/>
  </r>
  <r>
    <x v="5"/>
    <x v="1"/>
    <x v="0"/>
    <s v="5654200"/>
    <n v="700030"/>
    <s v="Salaries-LPN-OT"/>
    <s v="FP OB St Joseph"/>
    <x v="0"/>
    <n v="1000"/>
    <n v="0"/>
    <n v="0"/>
    <n v="0"/>
    <n v="0"/>
    <n v="0"/>
    <n v="0"/>
    <n v="0"/>
    <n v="0"/>
    <n v="0"/>
    <n v="0"/>
    <n v="346.93"/>
    <n v="0"/>
    <n v="346.93"/>
    <n v="346.93"/>
  </r>
  <r>
    <x v="5"/>
    <x v="1"/>
    <x v="0"/>
    <s v="5654200"/>
    <n v="700030"/>
    <s v="Salaries-LPN-Other"/>
    <s v="FP OB St Joseph"/>
    <x v="0"/>
    <n v="2000"/>
    <n v="0"/>
    <n v="0"/>
    <n v="0"/>
    <n v="0"/>
    <n v="0"/>
    <n v="0"/>
    <n v="0"/>
    <n v="0"/>
    <n v="0"/>
    <n v="0"/>
    <n v="8.51"/>
    <n v="0"/>
    <n v="8.51"/>
    <n v="8.51"/>
  </r>
  <r>
    <x v="6"/>
    <x v="1"/>
    <x v="0"/>
    <s v="5654200"/>
    <n v="713010"/>
    <s v="Benefits-FICA/Medicare"/>
    <s v="FP OB St Joseph"/>
    <x v="0"/>
    <m/>
    <n v="0"/>
    <n v="23.44"/>
    <n v="-7.81"/>
    <n v="0"/>
    <n v="0"/>
    <n v="0"/>
    <n v="0"/>
    <n v="0"/>
    <n v="0"/>
    <n v="0"/>
    <n v="27.06"/>
    <n v="0"/>
    <n v="42.69"/>
    <n v="27.06"/>
  </r>
  <r>
    <x v="6"/>
    <x v="1"/>
    <x v="0"/>
    <s v="5654200"/>
    <n v="713090"/>
    <s v="Benefits-Allocated Amounts"/>
    <s v="FP OB St Joseph"/>
    <x v="0"/>
    <m/>
    <n v="0"/>
    <n v="61.53"/>
    <n v="2.64"/>
    <n v="22.8"/>
    <n v="-86.97"/>
    <n v="0"/>
    <n v="0"/>
    <n v="0"/>
    <n v="0"/>
    <n v="0"/>
    <n v="0"/>
    <n v="0"/>
    <n v="0"/>
    <n v="0"/>
  </r>
  <r>
    <x v="11"/>
    <x v="1"/>
    <x v="0"/>
    <s v="5654200"/>
    <n v="721010"/>
    <s v="Supplies-Medical - Billable"/>
    <s v="FP OB St Joseph"/>
    <x v="0"/>
    <m/>
    <n v="3221.78"/>
    <n v="0"/>
    <n v="0"/>
    <n v="0"/>
    <n v="0"/>
    <n v="0"/>
    <n v="0"/>
    <n v="0"/>
    <n v="0"/>
    <n v="0"/>
    <n v="0"/>
    <n v="0"/>
    <n v="3221.78"/>
    <n v="0"/>
  </r>
  <r>
    <x v="11"/>
    <x v="1"/>
    <x v="0"/>
    <s v="5654200"/>
    <n v="721250"/>
    <s v="Supplies-Pharmacy Drugs - Billable"/>
    <s v="FP OB St Joseph"/>
    <x v="0"/>
    <m/>
    <n v="695.98"/>
    <n v="914.64"/>
    <n v="0"/>
    <n v="1464"/>
    <n v="1464"/>
    <n v="1464"/>
    <n v="0"/>
    <n v="0"/>
    <n v="0"/>
    <n v="0"/>
    <n v="0"/>
    <n v="0"/>
    <n v="6002.62"/>
    <n v="0"/>
  </r>
  <r>
    <x v="0"/>
    <x v="1"/>
    <x v="0"/>
    <s v="5654200"/>
    <n v="749510"/>
    <s v="Licenses"/>
    <s v="FP OB St Joseph"/>
    <x v="0"/>
    <n v="1002"/>
    <n v="0"/>
    <n v="0"/>
    <n v="0"/>
    <n v="0"/>
    <n v="0"/>
    <n v="25"/>
    <n v="0"/>
    <n v="0"/>
    <n v="0"/>
    <n v="0"/>
    <n v="0"/>
    <n v="0"/>
    <n v="25"/>
    <n v="0"/>
  </r>
  <r>
    <x v="5"/>
    <x v="1"/>
    <x v="0"/>
    <s v="5655200"/>
    <n v="700084"/>
    <s v="Accrued PTO"/>
    <s v="FMC-11th Place"/>
    <x v="0"/>
    <m/>
    <n v="-100.86"/>
    <n v="0"/>
    <n v="0"/>
    <n v="0"/>
    <n v="0"/>
    <n v="0"/>
    <n v="0"/>
    <n v="0"/>
    <n v="0"/>
    <n v="0"/>
    <n v="0"/>
    <n v="0"/>
    <n v="-100.86"/>
    <n v="0"/>
  </r>
  <r>
    <x v="10"/>
    <x v="1"/>
    <x v="0"/>
    <s v="5655200"/>
    <n v="710060"/>
    <s v="Contract Labor-Other"/>
    <s v="FMC-11th Place"/>
    <x v="0"/>
    <m/>
    <n v="2118.3000000000002"/>
    <n v="398.61"/>
    <n v="-5189.47"/>
    <n v="1844.97"/>
    <n v="1693.13"/>
    <n v="-652.95000000000005"/>
    <n v="-2027.19"/>
    <n v="-857.96"/>
    <n v="0"/>
    <n v="0"/>
    <n v="3492.56"/>
    <n v="-3492.56"/>
    <n v="-2672.56"/>
    <n v="6985.12"/>
  </r>
  <r>
    <x v="10"/>
    <x v="1"/>
    <x v="0"/>
    <s v="5655200"/>
    <n v="710060"/>
    <s v="Contract Labor-Overtime"/>
    <s v="FMC-11th Place"/>
    <x v="0"/>
    <n v="5100"/>
    <n v="0"/>
    <n v="45.56"/>
    <n v="-45.56"/>
    <n v="0"/>
    <n v="0"/>
    <n v="0"/>
    <n v="0"/>
    <n v="0"/>
    <n v="0"/>
    <n v="0"/>
    <n v="0"/>
    <n v="0"/>
    <n v="0"/>
    <n v="0"/>
  </r>
  <r>
    <x v="7"/>
    <x v="1"/>
    <x v="0"/>
    <s v="5655200"/>
    <n v="718050"/>
    <s v="Document Shredding/Storage"/>
    <s v="FMC-11th Place"/>
    <x v="0"/>
    <n v="1012"/>
    <n v="190.71"/>
    <n v="-381.42"/>
    <n v="0"/>
    <n v="0"/>
    <n v="0"/>
    <n v="0"/>
    <n v="0"/>
    <n v="0"/>
    <n v="0"/>
    <n v="0"/>
    <n v="105.55"/>
    <n v="0"/>
    <n v="-85.160000000000011"/>
    <n v="105.55"/>
  </r>
  <r>
    <x v="7"/>
    <x v="1"/>
    <x v="0"/>
    <s v="5655200"/>
    <n v="718050"/>
    <s v="Physician Answering"/>
    <s v="FMC-11th Place"/>
    <x v="0"/>
    <n v="1015"/>
    <n v="122.4"/>
    <n v="122.6"/>
    <n v="122.4"/>
    <n v="72.2"/>
    <n v="122.6"/>
    <n v="147.4"/>
    <n v="147.6"/>
    <n v="97.4"/>
    <n v="97.4"/>
    <n v="144.4"/>
    <n v="122.4"/>
    <n v="97.4"/>
    <n v="1416.2000000000003"/>
    <n v="25"/>
  </r>
  <r>
    <x v="7"/>
    <x v="1"/>
    <x v="0"/>
    <s v="5655200"/>
    <n v="718050"/>
    <s v="Miscellaneous Purchased Svcs"/>
    <s v="FMC-11th Place"/>
    <x v="0"/>
    <n v="1020"/>
    <n v="0"/>
    <n v="0"/>
    <n v="0"/>
    <n v="0"/>
    <n v="0"/>
    <n v="35"/>
    <n v="0"/>
    <n v="0"/>
    <n v="0"/>
    <n v="0"/>
    <n v="0"/>
    <n v="0"/>
    <n v="35"/>
    <n v="0"/>
  </r>
  <r>
    <x v="7"/>
    <x v="1"/>
    <x v="0"/>
    <s v="5655200"/>
    <n v="718050"/>
    <s v="Translation Services"/>
    <s v="FMC-11th Place"/>
    <x v="0"/>
    <n v="1025"/>
    <n v="0"/>
    <n v="0"/>
    <n v="0"/>
    <n v="0"/>
    <n v="114.14"/>
    <n v="7.56"/>
    <n v="0"/>
    <n v="0"/>
    <n v="0"/>
    <n v="0"/>
    <n v="86.9"/>
    <n v="0"/>
    <n v="208.60000000000002"/>
    <n v="86.9"/>
  </r>
  <r>
    <x v="7"/>
    <x v="1"/>
    <x v="0"/>
    <s v="5655200"/>
    <n v="718050"/>
    <s v="Purchased Srvcs--Medical Waste"/>
    <s v="FMC-11th Place"/>
    <x v="0"/>
    <n v="1027"/>
    <n v="11.16"/>
    <n v="11.16"/>
    <n v="11.16"/>
    <n v="0"/>
    <n v="11.16"/>
    <n v="11.16"/>
    <n v="22.32"/>
    <n v="11.16"/>
    <n v="0"/>
    <n v="22.32"/>
    <n v="0"/>
    <n v="11.16"/>
    <n v="122.75999999999999"/>
    <n v="-11.16"/>
  </r>
  <r>
    <x v="11"/>
    <x v="1"/>
    <x v="0"/>
    <s v="5655200"/>
    <n v="721835"/>
    <s v="Supplies-Forms"/>
    <s v="FMC-11th Place"/>
    <x v="0"/>
    <m/>
    <n v="0"/>
    <n v="0"/>
    <n v="0"/>
    <n v="0"/>
    <n v="87.63"/>
    <n v="0"/>
    <n v="0"/>
    <n v="0"/>
    <n v="0"/>
    <n v="0"/>
    <n v="0"/>
    <n v="0"/>
    <n v="87.63"/>
    <n v="0"/>
  </r>
  <r>
    <x v="12"/>
    <x v="1"/>
    <x v="0"/>
    <s v="5655200"/>
    <n v="730020"/>
    <s v="Rental and Leases-Copier Usage Fees (DO NOT USE)"/>
    <s v="FMC-11th Place"/>
    <x v="0"/>
    <n v="5100"/>
    <n v="203.71"/>
    <n v="174.71"/>
    <n v="189.21"/>
    <n v="189.21"/>
    <n v="189.21"/>
    <n v="189.21"/>
    <n v="438.22"/>
    <n v="319.58"/>
    <n v="331.29"/>
    <n v="567.32000000000005"/>
    <n v="385.65"/>
    <n v="165.48"/>
    <n v="3342.8"/>
    <n v="220.17"/>
  </r>
  <r>
    <x v="16"/>
    <x v="1"/>
    <x v="0"/>
    <s v="5655200"/>
    <n v="732030"/>
    <s v="Repairs---Other"/>
    <s v="FMC-11th Place"/>
    <x v="0"/>
    <m/>
    <n v="0"/>
    <n v="0"/>
    <n v="0"/>
    <n v="21.74"/>
    <n v="0"/>
    <n v="0"/>
    <n v="0"/>
    <n v="0"/>
    <n v="0"/>
    <n v="0"/>
    <n v="0"/>
    <n v="0"/>
    <n v="21.74"/>
    <n v="0"/>
  </r>
  <r>
    <x v="13"/>
    <x v="1"/>
    <x v="0"/>
    <s v="5655200"/>
    <n v="735060"/>
    <s v="Depreciation-Fixed Equipment"/>
    <s v="FMC-11th Place"/>
    <x v="0"/>
    <m/>
    <n v="39.24"/>
    <n v="39.24"/>
    <n v="39.24"/>
    <n v="39.24"/>
    <n v="39.24"/>
    <n v="39.24"/>
    <n v="39.24"/>
    <n v="39.229999999999997"/>
    <n v="39.24"/>
    <n v="39.229999999999997"/>
    <n v="39.24"/>
    <n v="39.229999999999997"/>
    <n v="470.85000000000008"/>
    <n v="1.0000000000005116E-2"/>
  </r>
  <r>
    <x v="13"/>
    <x v="1"/>
    <x v="0"/>
    <s v="5655200"/>
    <n v="735070"/>
    <s v="Depreciation-Movable Equipment"/>
    <s v="FMC-11th Place"/>
    <x v="0"/>
    <m/>
    <n v="256.31"/>
    <n v="256.31"/>
    <n v="256.31"/>
    <n v="256.3"/>
    <n v="256.31"/>
    <n v="256.3"/>
    <n v="256.31"/>
    <n v="256.3"/>
    <n v="256.31"/>
    <n v="256.3"/>
    <n v="256.32"/>
    <n v="256.3"/>
    <n v="3075.6800000000003"/>
    <n v="1.999999999998181E-2"/>
  </r>
  <r>
    <x v="0"/>
    <x v="1"/>
    <x v="0"/>
    <s v="5655200"/>
    <n v="749510"/>
    <s v="Miscellaneous Expenses"/>
    <s v="FMC-11th Place"/>
    <x v="0"/>
    <m/>
    <n v="116.71"/>
    <n v="222.71"/>
    <n v="0"/>
    <n v="0"/>
    <n v="106"/>
    <n v="318"/>
    <n v="0"/>
    <n v="0"/>
    <n v="212"/>
    <n v="0"/>
    <n v="318"/>
    <n v="0"/>
    <n v="1293.42"/>
    <n v="318"/>
  </r>
  <r>
    <x v="0"/>
    <x v="1"/>
    <x v="0"/>
    <s v="5655200"/>
    <n v="766010"/>
    <s v="Property Tax"/>
    <s v="FMC-11th Place"/>
    <x v="0"/>
    <m/>
    <n v="11.79"/>
    <n v="11.79"/>
    <n v="11.79"/>
    <n v="11.79"/>
    <n v="11.79"/>
    <n v="11.79"/>
    <n v="11.79"/>
    <n v="11.79"/>
    <n v="11.79"/>
    <n v="18.71"/>
    <n v="13.51"/>
    <n v="13.51"/>
    <n v="151.83999999999997"/>
    <n v="0"/>
  </r>
  <r>
    <x v="5"/>
    <x v="1"/>
    <x v="0"/>
    <s v="5656200"/>
    <n v="700014"/>
    <s v="Salaries-Management-Productive"/>
    <s v="FPC @ St Joseph"/>
    <x v="0"/>
    <m/>
    <n v="6817.44"/>
    <n v="7466.72"/>
    <n v="6492.8"/>
    <n v="7514.24"/>
    <n v="7200.16"/>
    <n v="5171.0200000000004"/>
    <n v="7276.66"/>
    <n v="6227.44"/>
    <n v="6882.96"/>
    <n v="7210.72"/>
    <n v="7210.72"/>
    <n v="5244.16"/>
    <n v="80715.040000000008"/>
    <n v="1966.5600000000004"/>
  </r>
  <r>
    <x v="5"/>
    <x v="1"/>
    <x v="0"/>
    <s v="5656200"/>
    <n v="700018"/>
    <s v="Salaries-Supervisory-Productive"/>
    <s v="FPC @ St Joseph"/>
    <x v="0"/>
    <m/>
    <n v="4638.1400000000003"/>
    <n v="4354.18"/>
    <n v="2603.04"/>
    <n v="3655.24"/>
    <n v="5781.08"/>
    <n v="1580.28"/>
    <n v="2921.71"/>
    <n v="3700.85"/>
    <n v="3846.95"/>
    <n v="2264.33"/>
    <n v="1874.79"/>
    <n v="1339.11"/>
    <n v="38559.699999999997"/>
    <n v="535.68000000000006"/>
  </r>
  <r>
    <x v="5"/>
    <x v="1"/>
    <x v="0"/>
    <s v="5656200"/>
    <n v="700030"/>
    <s v="Salaries-LPN-Productive"/>
    <s v="FPC @ St Joseph"/>
    <x v="0"/>
    <m/>
    <n v="0"/>
    <n v="0"/>
    <n v="0"/>
    <n v="0"/>
    <n v="0"/>
    <n v="0"/>
    <n v="0"/>
    <n v="317.54000000000002"/>
    <n v="1328.4"/>
    <n v="2107.13"/>
    <n v="2952.81"/>
    <n v="337.32"/>
    <n v="7043.2"/>
    <n v="2615.4899999999998"/>
  </r>
  <r>
    <x v="5"/>
    <x v="1"/>
    <x v="0"/>
    <s v="5656200"/>
    <n v="700030"/>
    <s v="Salaries-LPN-OT"/>
    <s v="FPC @ St Joseph"/>
    <x v="0"/>
    <n v="1000"/>
    <n v="0"/>
    <n v="0"/>
    <n v="0"/>
    <n v="0"/>
    <n v="0"/>
    <n v="0"/>
    <n v="0"/>
    <n v="0"/>
    <n v="588.47"/>
    <n v="1093.79"/>
    <n v="1230.77"/>
    <n v="-257.43"/>
    <n v="2655.6"/>
    <n v="1488.2"/>
  </r>
  <r>
    <x v="5"/>
    <x v="1"/>
    <x v="0"/>
    <s v="5656200"/>
    <n v="700030"/>
    <s v="Salaries-LPN-Other"/>
    <s v="FPC @ St Joseph"/>
    <x v="0"/>
    <n v="2000"/>
    <n v="0"/>
    <n v="0"/>
    <n v="0"/>
    <n v="0"/>
    <n v="0"/>
    <n v="0"/>
    <n v="0"/>
    <n v="13.66"/>
    <n v="73.819999999999993"/>
    <n v="121.68"/>
    <n v="161.91999999999999"/>
    <n v="-117.18"/>
    <n v="253.89999999999998"/>
    <n v="279.10000000000002"/>
  </r>
  <r>
    <x v="5"/>
    <x v="1"/>
    <x v="0"/>
    <s v="5656200"/>
    <n v="700032"/>
    <s v="Salaries-Other Pat Care Providers-Productive"/>
    <s v="FPC @ St Joseph"/>
    <x v="0"/>
    <m/>
    <n v="0"/>
    <n v="0"/>
    <n v="0"/>
    <n v="0"/>
    <n v="0"/>
    <n v="637.89"/>
    <n v="194.48"/>
    <n v="0"/>
    <n v="0"/>
    <n v="599.15"/>
    <n v="601.42999999999995"/>
    <n v="-206"/>
    <n v="1826.9499999999998"/>
    <n v="807.43"/>
  </r>
  <r>
    <x v="5"/>
    <x v="1"/>
    <x v="0"/>
    <s v="5656200"/>
    <n v="700032"/>
    <s v="Salaries-Other Pat Care Providers-Other"/>
    <s v="FPC @ St Joseph"/>
    <x v="0"/>
    <n v="2000"/>
    <n v="0"/>
    <n v="0"/>
    <n v="0"/>
    <n v="0"/>
    <n v="0"/>
    <n v="32.200000000000003"/>
    <n v="9.82"/>
    <n v="0"/>
    <n v="0"/>
    <n v="27.67"/>
    <n v="48.95"/>
    <n v="-19.03"/>
    <n v="99.61"/>
    <n v="67.98"/>
  </r>
  <r>
    <x v="5"/>
    <x v="1"/>
    <x v="0"/>
    <s v="5656200"/>
    <n v="700038"/>
    <s v="Salaries-Service/Support-Productive"/>
    <s v="FPC @ St Joseph"/>
    <x v="0"/>
    <m/>
    <n v="16164.08"/>
    <n v="17353.2"/>
    <n v="9270.82"/>
    <n v="15510.41"/>
    <n v="14432.62"/>
    <n v="13407.79"/>
    <n v="13409.71"/>
    <n v="10514.22"/>
    <n v="11480.81"/>
    <n v="13085.51"/>
    <n v="12404.67"/>
    <n v="9645.08"/>
    <n v="156678.91999999998"/>
    <n v="2759.59"/>
  </r>
  <r>
    <x v="5"/>
    <x v="1"/>
    <x v="0"/>
    <s v="5656200"/>
    <n v="700038"/>
    <s v="Salaries-Service/Support-OT"/>
    <s v="FPC @ St Joseph"/>
    <x v="0"/>
    <n v="1000"/>
    <n v="157.91"/>
    <n v="447.55"/>
    <n v="1222.08"/>
    <n v="808.66"/>
    <n v="552.66999999999996"/>
    <n v="606.54"/>
    <n v="477.08"/>
    <n v="144.88999999999999"/>
    <n v="469.66"/>
    <n v="492.18"/>
    <n v="1044.04"/>
    <n v="221.4"/>
    <n v="6644.66"/>
    <n v="822.64"/>
  </r>
  <r>
    <x v="5"/>
    <x v="1"/>
    <x v="0"/>
    <s v="5656200"/>
    <n v="700038"/>
    <s v="Salaries-Service/Support-Other"/>
    <s v="FPC @ St Joseph"/>
    <x v="0"/>
    <n v="2000"/>
    <n v="298.39"/>
    <n v="97.54"/>
    <n v="306.04000000000002"/>
    <n v="179.55"/>
    <n v="94.45"/>
    <n v="108.79"/>
    <n v="355.66"/>
    <n v="89.34"/>
    <n v="86.45"/>
    <n v="91.42"/>
    <n v="123.96"/>
    <n v="272.47000000000003"/>
    <n v="2104.0600000000004"/>
    <n v="-148.51000000000005"/>
  </r>
  <r>
    <x v="5"/>
    <x v="1"/>
    <x v="0"/>
    <s v="5656200"/>
    <n v="700054"/>
    <s v="Salaries-Management-Non-productive"/>
    <s v="FPC @ St Joseph"/>
    <x v="0"/>
    <m/>
    <n v="0"/>
    <n v="0"/>
    <n v="0"/>
    <n v="0"/>
    <n v="0"/>
    <n v="1701.85"/>
    <n v="262.31"/>
    <n v="327.76"/>
    <n v="0"/>
    <n v="0"/>
    <n v="327.76"/>
    <n v="1311.04"/>
    <n v="3930.7200000000003"/>
    <n v="-983.28"/>
  </r>
  <r>
    <x v="5"/>
    <x v="1"/>
    <x v="0"/>
    <s v="5656200"/>
    <n v="700054"/>
    <s v="Salaries-Management-NonProd-Other"/>
    <s v="FPC @ St Joseph"/>
    <x v="0"/>
    <n v="2000"/>
    <n v="0"/>
    <n v="0"/>
    <n v="0"/>
    <n v="0"/>
    <n v="0"/>
    <n v="172"/>
    <n v="-172"/>
    <n v="0"/>
    <n v="0"/>
    <n v="0"/>
    <n v="0"/>
    <n v="0"/>
    <n v="0"/>
    <n v="0"/>
  </r>
  <r>
    <x v="5"/>
    <x v="1"/>
    <x v="0"/>
    <s v="5656200"/>
    <n v="700058"/>
    <s v="Salaries-Supervisory-Non-productive"/>
    <s v="FPC @ St Joseph"/>
    <x v="0"/>
    <m/>
    <n v="567.92999999999995"/>
    <n v="1088.55"/>
    <n v="2129.7600000000002"/>
    <n v="1904.11"/>
    <n v="-1161.79"/>
    <n v="2333.9499999999998"/>
    <n v="1363.68"/>
    <n v="-48.68"/>
    <n v="486.95"/>
    <n v="657.39"/>
    <n v="1046.96"/>
    <n v="1947.83"/>
    <n v="12316.640000000001"/>
    <n v="-900.86999999999989"/>
  </r>
  <r>
    <x v="5"/>
    <x v="1"/>
    <x v="0"/>
    <s v="5656200"/>
    <n v="700058"/>
    <s v="Salaries-Supervisory-NonProd-Other"/>
    <s v="FPC @ St Josep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6200"/>
    <n v="700070"/>
    <s v="Salaries-LPN-NonProd-Other"/>
    <s v="FPC @ St Joseph"/>
    <x v="0"/>
    <n v="2000"/>
    <n v="0"/>
    <n v="0"/>
    <n v="0"/>
    <n v="0"/>
    <n v="0"/>
    <n v="0"/>
    <n v="0"/>
    <n v="0"/>
    <n v="0"/>
    <n v="58.16"/>
    <n v="0"/>
    <n v="0"/>
    <n v="58.16"/>
    <n v="0"/>
  </r>
  <r>
    <x v="5"/>
    <x v="1"/>
    <x v="0"/>
    <s v="5656200"/>
    <n v="700072"/>
    <s v="Salaries-Other Pat Care Providers-NonProd-Other"/>
    <s v="FPC @ St Joseph"/>
    <x v="0"/>
    <n v="2000"/>
    <n v="0"/>
    <n v="0"/>
    <n v="0"/>
    <n v="0"/>
    <n v="0"/>
    <n v="10.89"/>
    <n v="-0.99"/>
    <n v="0"/>
    <n v="0"/>
    <n v="9.92"/>
    <n v="39.68"/>
    <n v="-19.84"/>
    <n v="39.659999999999997"/>
    <n v="59.519999999999996"/>
  </r>
  <r>
    <x v="5"/>
    <x v="1"/>
    <x v="0"/>
    <s v="5656200"/>
    <n v="700078"/>
    <s v="Salaries-Service/Support-Non-productive"/>
    <s v="FPC @ St Joseph"/>
    <x v="0"/>
    <m/>
    <n v="1316.16"/>
    <n v="933.81"/>
    <n v="2837"/>
    <n v="1552.55"/>
    <n v="-320.52999999999997"/>
    <n v="3486.95"/>
    <n v="671.3"/>
    <n v="2105.2600000000002"/>
    <n v="1739.86"/>
    <n v="719.77"/>
    <n v="-5.31"/>
    <n v="898.44"/>
    <n v="15935.260000000002"/>
    <n v="-903.75"/>
  </r>
  <r>
    <x v="5"/>
    <x v="1"/>
    <x v="0"/>
    <s v="5656200"/>
    <n v="700078"/>
    <s v="Salaries-Service/Support-NonProd-Other"/>
    <s v="FPC @ St Joseph"/>
    <x v="0"/>
    <n v="2000"/>
    <n v="0"/>
    <n v="0"/>
    <n v="0"/>
    <n v="48.43"/>
    <n v="23.99"/>
    <n v="0"/>
    <n v="0"/>
    <n v="0"/>
    <n v="4.8600000000000003"/>
    <n v="21.06"/>
    <n v="12.47"/>
    <n v="9.7100000000000009"/>
    <n v="120.52000000000001"/>
    <n v="2.76"/>
  </r>
  <r>
    <x v="5"/>
    <x v="1"/>
    <x v="0"/>
    <s v="5656200"/>
    <n v="700084"/>
    <s v="Accrued PTO"/>
    <s v="FPC @ St Joseph"/>
    <x v="0"/>
    <m/>
    <n v="1457.18"/>
    <n v="1630.36"/>
    <n v="-103.18"/>
    <n v="1208.9100000000001"/>
    <n v="2576.83"/>
    <n v="-2379.38"/>
    <n v="247.57"/>
    <n v="40.68"/>
    <n v="865.44"/>
    <n v="1366.9"/>
    <n v="1425.66"/>
    <n v="81.349999999999994"/>
    <n v="8418.32"/>
    <n v="1344.3100000000002"/>
  </r>
  <r>
    <x v="6"/>
    <x v="1"/>
    <x v="0"/>
    <s v="5656200"/>
    <n v="713010"/>
    <s v="Benefits-FICA/Medicare"/>
    <s v="FPC @ St Joseph"/>
    <x v="0"/>
    <m/>
    <n v="2204.88"/>
    <n v="2320.9699999999998"/>
    <n v="1808.6"/>
    <n v="2283.44"/>
    <n v="1911.7"/>
    <n v="2138.11"/>
    <n v="1985.63"/>
    <n v="1710.51"/>
    <n v="1972.07"/>
    <n v="2090.4699999999998"/>
    <n v="2126.08"/>
    <n v="1499.86"/>
    <n v="24052.320000000007"/>
    <n v="626.22"/>
  </r>
  <r>
    <x v="6"/>
    <x v="1"/>
    <x v="0"/>
    <s v="5656200"/>
    <n v="713090"/>
    <s v="Benefits-Allocated Amounts"/>
    <s v="FPC @ St Joseph"/>
    <x v="0"/>
    <m/>
    <n v="7825.34"/>
    <n v="7255.74"/>
    <n v="6829.62"/>
    <n v="7440.5"/>
    <n v="6696.04"/>
    <n v="7538.9"/>
    <n v="7767.98"/>
    <n v="7247"/>
    <n v="7459.14"/>
    <n v="7567.48"/>
    <n v="7764.49"/>
    <n v="5816.96"/>
    <n v="87209.19"/>
    <n v="1947.5299999999997"/>
  </r>
  <r>
    <x v="6"/>
    <x v="1"/>
    <x v="0"/>
    <s v="5656200"/>
    <n v="713096"/>
    <s v="Employee Recognition"/>
    <s v="FPC @ St Joseph"/>
    <x v="0"/>
    <n v="1017"/>
    <n v="0"/>
    <n v="0"/>
    <n v="0"/>
    <n v="0"/>
    <n v="0"/>
    <n v="15.99"/>
    <n v="0"/>
    <n v="0"/>
    <n v="0"/>
    <n v="0"/>
    <n v="87.03"/>
    <n v="371.34"/>
    <n v="474.35999999999996"/>
    <n v="-284.30999999999995"/>
  </r>
  <r>
    <x v="7"/>
    <x v="1"/>
    <x v="0"/>
    <s v="5656200"/>
    <n v="718010"/>
    <s v="Media/Print Advertising"/>
    <s v="FPC @ St Joseph"/>
    <x v="0"/>
    <n v="1004"/>
    <n v="413.07"/>
    <n v="195.36"/>
    <n v="526.91999999999996"/>
    <n v="109.79"/>
    <n v="939.61"/>
    <n v="0"/>
    <n v="0"/>
    <n v="0"/>
    <n v="0"/>
    <n v="0"/>
    <n v="463.38"/>
    <n v="-24.82"/>
    <n v="2623.31"/>
    <n v="488.2"/>
  </r>
  <r>
    <x v="7"/>
    <x v="1"/>
    <x v="0"/>
    <s v="5656200"/>
    <n v="718050"/>
    <s v="Contract Svcs-Other"/>
    <s v="FPC @ St Joseph"/>
    <x v="0"/>
    <m/>
    <n v="3200"/>
    <n v="7000.03"/>
    <n v="1902.07"/>
    <n v="1902.07"/>
    <n v="102.07"/>
    <n v="102.07"/>
    <n v="672.51"/>
    <n v="5112.0600000000004"/>
    <n v="4402.0600000000004"/>
    <n v="1702.06"/>
    <n v="102.16"/>
    <n v="102.16"/>
    <n v="26301.32"/>
    <n v="0"/>
  </r>
  <r>
    <x v="7"/>
    <x v="1"/>
    <x v="0"/>
    <s v="5656200"/>
    <n v="718050"/>
    <s v="Cleaning Services"/>
    <s v="FPC @ St Joseph"/>
    <x v="0"/>
    <n v="1011"/>
    <n v="0"/>
    <n v="0"/>
    <n v="773.53"/>
    <n v="0"/>
    <n v="0"/>
    <n v="0"/>
    <n v="0"/>
    <n v="773.53"/>
    <n v="132.97999999999999"/>
    <n v="0"/>
    <n v="0"/>
    <n v="132.97999999999999"/>
    <n v="1813.02"/>
    <n v="-132.97999999999999"/>
  </r>
  <r>
    <x v="7"/>
    <x v="1"/>
    <x v="0"/>
    <s v="5656200"/>
    <n v="718050"/>
    <s v="Physician Answering"/>
    <s v="FPC @ St Joseph"/>
    <x v="0"/>
    <n v="1015"/>
    <n v="115.6"/>
    <n v="115.8"/>
    <n v="222.2"/>
    <n v="40.200000000000003"/>
    <n v="105.6"/>
    <n v="206"/>
    <n v="242.2"/>
    <n v="208.8"/>
    <n v="166.8"/>
    <n v="225"/>
    <n v="322.60000000000002"/>
    <n v="134.4"/>
    <n v="2105.1999999999998"/>
    <n v="188.20000000000002"/>
  </r>
  <r>
    <x v="7"/>
    <x v="1"/>
    <x v="0"/>
    <s v="5656200"/>
    <n v="718050"/>
    <s v="Miscellaneous Purchased Svcs"/>
    <s v="FPC @ St Joseph"/>
    <x v="0"/>
    <n v="1020"/>
    <n v="0"/>
    <n v="181.32"/>
    <n v="91.47"/>
    <n v="91.47"/>
    <n v="91.48"/>
    <n v="30.15"/>
    <n v="116.95"/>
    <n v="181.2"/>
    <n v="90.6"/>
    <n v="166.65"/>
    <n v="4773.53"/>
    <n v="120.84"/>
    <n v="5935.66"/>
    <n v="4652.6899999999996"/>
  </r>
  <r>
    <x v="7"/>
    <x v="1"/>
    <x v="0"/>
    <s v="5656200"/>
    <n v="718050"/>
    <s v="Translation Services"/>
    <s v="FPC @ St Joseph"/>
    <x v="0"/>
    <n v="1025"/>
    <n v="133.19999999999999"/>
    <n v="0"/>
    <n v="100.89"/>
    <n v="66.08"/>
    <n v="117.22"/>
    <n v="2.65"/>
    <n v="32.11"/>
    <n v="37.130000000000003"/>
    <n v="0"/>
    <n v="0"/>
    <n v="51.32"/>
    <n v="41.59"/>
    <n v="582.19000000000005"/>
    <n v="9.7299999999999969"/>
  </r>
  <r>
    <x v="7"/>
    <x v="1"/>
    <x v="0"/>
    <s v="5656200"/>
    <n v="718050"/>
    <s v="Contract Management--Linen"/>
    <s v="FPC @ St Joseph"/>
    <x v="0"/>
    <n v="1026"/>
    <n v="722.78"/>
    <n v="694.99"/>
    <n v="574.62"/>
    <n v="286.89999999999998"/>
    <n v="648.66"/>
    <n v="287.04000000000002"/>
    <n v="463.38"/>
    <n v="267.16000000000003"/>
    <n v="384.62"/>
    <n v="232.28"/>
    <n v="109.66"/>
    <n v="231.22"/>
    <n v="4903.3099999999995"/>
    <n v="-121.56"/>
  </r>
  <r>
    <x v="7"/>
    <x v="1"/>
    <x v="0"/>
    <s v="5656200"/>
    <n v="718050"/>
    <s v="Purchased Srvcs--Medical Waste"/>
    <s v="FPC @ St Joseph"/>
    <x v="0"/>
    <n v="1027"/>
    <n v="263.3"/>
    <n v="200.73"/>
    <n v="245.85"/>
    <n v="361.38"/>
    <n v="9.49"/>
    <n v="202.01"/>
    <n v="305.68"/>
    <n v="245.4"/>
    <n v="282.31"/>
    <n v="258.74"/>
    <n v="0"/>
    <n v="436.1"/>
    <n v="2810.9900000000002"/>
    <n v="-436.1"/>
  </r>
  <r>
    <x v="7"/>
    <x v="1"/>
    <x v="0"/>
    <s v="5656200"/>
    <n v="718070"/>
    <s v="Contract Srvcs-CHI Clinical Engineering"/>
    <s v="FPC @ St Joseph"/>
    <x v="0"/>
    <m/>
    <n v="0"/>
    <n v="455.09"/>
    <n v="455.09"/>
    <n v="794.85"/>
    <n v="2217.06"/>
    <n v="2280.59"/>
    <n v="2988.02"/>
    <n v="4514.53"/>
    <n v="1910.25"/>
    <n v="6.54"/>
    <n v="8.24"/>
    <n v="550.5"/>
    <n v="16180.76"/>
    <n v="-542.26"/>
  </r>
  <r>
    <x v="7"/>
    <x v="1"/>
    <x v="0"/>
    <s v="5656200"/>
    <n v="718077"/>
    <s v="PACS"/>
    <s v="FPC @ St Joseph"/>
    <x v="0"/>
    <n v="1000"/>
    <n v="587.25"/>
    <n v="553.5"/>
    <n v="508.5"/>
    <n v="607.5"/>
    <n v="461.25"/>
    <n v="418.5"/>
    <n v="535.5"/>
    <n v="472.5"/>
    <n v="486"/>
    <n v="425.25"/>
    <n v="429.75"/>
    <n v="420.75"/>
    <n v="5906.25"/>
    <n v="9"/>
  </r>
  <r>
    <x v="11"/>
    <x v="1"/>
    <x v="0"/>
    <s v="5656200"/>
    <n v="721250"/>
    <s v="Supplies-Pharmacy Drugs - Billable"/>
    <s v="FPC @ St Joseph"/>
    <x v="0"/>
    <m/>
    <n v="0"/>
    <n v="0"/>
    <n v="0"/>
    <n v="0"/>
    <n v="0"/>
    <n v="0"/>
    <n v="0"/>
    <n v="0"/>
    <n v="0"/>
    <n v="0"/>
    <n v="-233.36"/>
    <n v="0"/>
    <n v="-233.36"/>
    <n v="-233.36"/>
  </r>
  <r>
    <x v="11"/>
    <x v="1"/>
    <x v="0"/>
    <s v="5656200"/>
    <n v="721410"/>
    <s v="Supplies-Medical - Nonbillable"/>
    <s v="FPC @ St Joseph"/>
    <x v="0"/>
    <m/>
    <n v="3513.45"/>
    <n v="6104.27"/>
    <n v="2559.17"/>
    <n v="3539.43"/>
    <n v="4310.84"/>
    <n v="827.03"/>
    <n v="1674.64"/>
    <n v="3231.78"/>
    <n v="3153.77"/>
    <n v="2730.27"/>
    <n v="807.45"/>
    <n v="4371.3100000000004"/>
    <n v="36823.410000000003"/>
    <n v="-3563.8600000000006"/>
  </r>
  <r>
    <x v="11"/>
    <x v="1"/>
    <x v="0"/>
    <s v="5656200"/>
    <n v="721750"/>
    <s v="Supplies-Film/Radiographic - Nonbillable"/>
    <s v="FPC @ St Joseph"/>
    <x v="0"/>
    <m/>
    <n v="0"/>
    <n v="0"/>
    <n v="0"/>
    <n v="0"/>
    <n v="0"/>
    <n v="495.45"/>
    <n v="0"/>
    <n v="0"/>
    <n v="0"/>
    <n v="0"/>
    <n v="0"/>
    <n v="0"/>
    <n v="495.45"/>
    <n v="0"/>
  </r>
  <r>
    <x v="11"/>
    <x v="1"/>
    <x v="0"/>
    <s v="5656200"/>
    <n v="721810"/>
    <s v="Supplies-Dietary/Cafeteria"/>
    <s v="FPC @ St Joseph"/>
    <x v="0"/>
    <m/>
    <n v="0"/>
    <n v="165.56"/>
    <n v="0"/>
    <n v="75.83"/>
    <n v="103.22"/>
    <n v="0"/>
    <n v="0"/>
    <n v="0"/>
    <n v="0"/>
    <n v="0"/>
    <n v="0"/>
    <n v="0"/>
    <n v="344.61"/>
    <n v="0"/>
  </r>
  <r>
    <x v="11"/>
    <x v="1"/>
    <x v="0"/>
    <s v="5656200"/>
    <n v="721830"/>
    <s v="Supplies-Office"/>
    <s v="FPC @ St Joseph"/>
    <x v="0"/>
    <m/>
    <n v="260.13"/>
    <n v="526.72"/>
    <n v="134.62"/>
    <n v="657.52"/>
    <n v="100.61"/>
    <n v="275.32"/>
    <n v="1016.42"/>
    <n v="126.97"/>
    <n v="594.36"/>
    <n v="388.42"/>
    <n v="217.56"/>
    <n v="264.64999999999998"/>
    <n v="4563.2999999999993"/>
    <n v="-47.089999999999975"/>
  </r>
  <r>
    <x v="11"/>
    <x v="1"/>
    <x v="0"/>
    <s v="5656200"/>
    <n v="721835"/>
    <s v="Supplies-Forms"/>
    <s v="FPC @ St Joseph"/>
    <x v="0"/>
    <m/>
    <n v="0"/>
    <n v="0"/>
    <n v="0"/>
    <n v="0"/>
    <n v="48.31"/>
    <n v="0"/>
    <n v="0"/>
    <n v="0"/>
    <n v="0"/>
    <n v="0"/>
    <n v="0"/>
    <n v="17.559999999999999"/>
    <n v="65.87"/>
    <n v="-17.559999999999999"/>
  </r>
  <r>
    <x v="11"/>
    <x v="1"/>
    <x v="0"/>
    <s v="5656200"/>
    <n v="721870"/>
    <s v="Supplies-Environmental Services"/>
    <s v="FPC @ St Joseph"/>
    <x v="0"/>
    <m/>
    <n v="0"/>
    <n v="0"/>
    <n v="132.97999999999999"/>
    <n v="132.97999999999999"/>
    <n v="132.97999999999999"/>
    <n v="0"/>
    <n v="265.95999999999998"/>
    <n v="265.95999999999998"/>
    <n v="0"/>
    <n v="132.97999999999999"/>
    <n v="0"/>
    <n v="0"/>
    <n v="1063.8399999999999"/>
    <n v="0"/>
  </r>
  <r>
    <x v="11"/>
    <x v="1"/>
    <x v="0"/>
    <s v="5656200"/>
    <n v="721880"/>
    <s v="Supplies-Linen"/>
    <s v="FPC @ St Joseph"/>
    <x v="0"/>
    <m/>
    <n v="0"/>
    <n v="0"/>
    <n v="0"/>
    <n v="0"/>
    <n v="0"/>
    <n v="0"/>
    <n v="0"/>
    <n v="0"/>
    <n v="88.25"/>
    <n v="-8.09"/>
    <n v="0"/>
    <n v="0"/>
    <n v="80.16"/>
    <n v="0"/>
  </r>
  <r>
    <x v="11"/>
    <x v="1"/>
    <x v="0"/>
    <s v="5656200"/>
    <n v="721910"/>
    <s v="Supplies-Small Equipment"/>
    <s v="FPC @ St Joseph"/>
    <x v="0"/>
    <m/>
    <n v="0"/>
    <n v="0"/>
    <n v="0"/>
    <n v="0"/>
    <n v="0"/>
    <n v="0"/>
    <n v="169.57"/>
    <n v="252.98"/>
    <n v="0"/>
    <n v="25.55"/>
    <n v="0"/>
    <n v="0"/>
    <n v="448.09999999999997"/>
    <n v="0"/>
  </r>
  <r>
    <x v="11"/>
    <x v="1"/>
    <x v="0"/>
    <s v="5656200"/>
    <n v="722000"/>
    <s v="Supplies-Freight Expense"/>
    <s v="FPC @ St Joseph"/>
    <x v="0"/>
    <m/>
    <n v="0"/>
    <n v="0"/>
    <n v="0"/>
    <n v="25.58"/>
    <n v="0"/>
    <n v="0"/>
    <n v="0"/>
    <n v="17.98"/>
    <n v="12.05"/>
    <n v="0"/>
    <n v="0"/>
    <n v="47.7"/>
    <n v="103.31"/>
    <n v="-47.7"/>
  </r>
  <r>
    <x v="12"/>
    <x v="1"/>
    <x v="0"/>
    <s v="5656200"/>
    <n v="730010"/>
    <s v="Rental and Leases-Building (DO NOT USE)"/>
    <s v="FPC @ St Joseph"/>
    <x v="0"/>
    <m/>
    <n v="11181.5"/>
    <n v="11181.5"/>
    <n v="11181.5"/>
    <n v="11181.5"/>
    <n v="11181.5"/>
    <n v="11181.5"/>
    <n v="11181.5"/>
    <n v="11181.5"/>
    <n v="11181.5"/>
    <n v="11181.5"/>
    <n v="11181.5"/>
    <n v="11181.5"/>
    <n v="134178"/>
    <n v="0"/>
  </r>
  <r>
    <x v="12"/>
    <x v="1"/>
    <x v="0"/>
    <s v="5656200"/>
    <n v="730020"/>
    <s v="Rental and Leases-Equipment (DO NOT USE)"/>
    <s v="FPC @ St Joseph"/>
    <x v="0"/>
    <m/>
    <n v="1983.88"/>
    <n v="204.14"/>
    <n v="550.5"/>
    <n v="-27.69"/>
    <n v="0"/>
    <n v="0"/>
    <n v="0"/>
    <n v="0"/>
    <n v="0"/>
    <n v="0"/>
    <n v="0"/>
    <n v="0"/>
    <n v="2710.83"/>
    <n v="0"/>
  </r>
  <r>
    <x v="12"/>
    <x v="1"/>
    <x v="0"/>
    <s v="5656200"/>
    <n v="730020"/>
    <s v="Rental and Leases-Copier Usage Fees (DO NOT USE)"/>
    <s v="FPC @ St Joseph"/>
    <x v="0"/>
    <n v="5100"/>
    <n v="376.37"/>
    <n v="374.22"/>
    <n v="375.3"/>
    <n v="375.3"/>
    <n v="375.3"/>
    <n v="375.3"/>
    <n v="1772.34"/>
    <n v="320.33"/>
    <n v="319.66000000000003"/>
    <n v="841.52"/>
    <n v="320.33"/>
    <n v="415.54"/>
    <n v="6241.5099999999993"/>
    <n v="-95.210000000000036"/>
  </r>
  <r>
    <x v="15"/>
    <x v="1"/>
    <x v="0"/>
    <s v="5656200"/>
    <n v="731070"/>
    <s v="Cable TV"/>
    <s v="FPC @ St Joseph"/>
    <x v="0"/>
    <m/>
    <n v="45.29"/>
    <n v="45.29"/>
    <n v="45.29"/>
    <n v="45.29"/>
    <n v="47.45"/>
    <n v="47.45"/>
    <n v="47.45"/>
    <n v="47.45"/>
    <n v="47.45"/>
    <n v="47.45"/>
    <n v="47.45"/>
    <n v="47.66"/>
    <n v="560.96999999999991"/>
    <n v="-0.20999999999999375"/>
  </r>
  <r>
    <x v="16"/>
    <x v="1"/>
    <x v="0"/>
    <s v="5656200"/>
    <n v="732030"/>
    <s v="Repairs---Other"/>
    <s v="FPC @ St Joseph"/>
    <x v="0"/>
    <m/>
    <n v="0"/>
    <n v="1547.06"/>
    <n v="0"/>
    <n v="2888.56"/>
    <n v="0"/>
    <n v="2824.09"/>
    <n v="796.49"/>
    <n v="2759.73"/>
    <n v="30.8"/>
    <n v="0"/>
    <n v="0"/>
    <n v="773.53"/>
    <n v="11620.26"/>
    <n v="-773.53"/>
  </r>
  <r>
    <x v="13"/>
    <x v="1"/>
    <x v="0"/>
    <s v="5656200"/>
    <n v="735050"/>
    <s v="Amortization-Leasehold Improvements"/>
    <s v="FPC @ St Joseph"/>
    <x v="0"/>
    <m/>
    <n v="15866.66"/>
    <n v="15866.66"/>
    <n v="15866.66"/>
    <n v="15866.66"/>
    <n v="15866.66"/>
    <n v="15866.66"/>
    <n v="15866.66"/>
    <n v="15866.65"/>
    <n v="15866.66"/>
    <n v="15866.65"/>
    <n v="15866.66"/>
    <n v="15866.65"/>
    <n v="190399.88999999998"/>
    <n v="1.0000000000218279E-2"/>
  </r>
  <r>
    <x v="13"/>
    <x v="1"/>
    <x v="0"/>
    <s v="5656200"/>
    <n v="735060"/>
    <s v="Depreciation-Fixed Equipment"/>
    <s v="FPC @ St Joseph"/>
    <x v="0"/>
    <m/>
    <n v="910.4"/>
    <n v="910.4"/>
    <n v="910.4"/>
    <n v="910.4"/>
    <n v="910.4"/>
    <n v="910.4"/>
    <n v="910.4"/>
    <n v="910.4"/>
    <n v="910.41"/>
    <n v="910.4"/>
    <n v="910.41"/>
    <n v="910.4"/>
    <n v="10924.819999999998"/>
    <n v="9.9999999999909051E-3"/>
  </r>
  <r>
    <x v="13"/>
    <x v="1"/>
    <x v="0"/>
    <s v="5656200"/>
    <n v="735070"/>
    <s v="Depreciation-Movable Equipment"/>
    <s v="FPC @ St Joseph"/>
    <x v="0"/>
    <m/>
    <n v="6409.36"/>
    <n v="6409.35"/>
    <n v="6409.38"/>
    <n v="6409.33"/>
    <n v="6409.38"/>
    <n v="6409.33"/>
    <n v="6409.39"/>
    <n v="6409.3"/>
    <n v="6409.43"/>
    <n v="6566.33"/>
    <n v="6566.52"/>
    <n v="6566.33"/>
    <n v="77383.430000000008"/>
    <n v="0.19000000000050932"/>
  </r>
  <r>
    <x v="0"/>
    <x v="1"/>
    <x v="0"/>
    <s v="5656200"/>
    <n v="742040"/>
    <s v="Freight-Other"/>
    <s v="FPC @ St Joseph"/>
    <x v="0"/>
    <m/>
    <n v="0"/>
    <n v="0"/>
    <n v="0"/>
    <n v="51.01"/>
    <n v="0"/>
    <n v="0"/>
    <n v="0"/>
    <n v="0"/>
    <n v="0"/>
    <n v="0"/>
    <n v="0"/>
    <n v="24.82"/>
    <n v="75.83"/>
    <n v="-24.82"/>
  </r>
  <r>
    <x v="0"/>
    <x v="1"/>
    <x v="0"/>
    <s v="5656200"/>
    <n v="743030"/>
    <s v="Subscriptions--Institutional"/>
    <s v="FPC @ St Joseph"/>
    <x v="0"/>
    <m/>
    <n v="0"/>
    <n v="0"/>
    <n v="0"/>
    <n v="0"/>
    <n v="0"/>
    <n v="0"/>
    <n v="102.97"/>
    <n v="0"/>
    <n v="0"/>
    <n v="0"/>
    <n v="0"/>
    <n v="0"/>
    <n v="102.97"/>
    <n v="0"/>
  </r>
  <r>
    <x v="0"/>
    <x v="1"/>
    <x v="0"/>
    <s v="5656200"/>
    <n v="749510"/>
    <s v="Miscellaneous Expenses"/>
    <s v="FPC @ St Joseph"/>
    <x v="0"/>
    <m/>
    <n v="0"/>
    <n v="0"/>
    <n v="0"/>
    <n v="1889.32"/>
    <n v="0"/>
    <n v="33.01"/>
    <n v="0"/>
    <n v="0"/>
    <n v="0"/>
    <n v="0"/>
    <n v="145.87"/>
    <n v="-145.87"/>
    <n v="1922.33"/>
    <n v="291.74"/>
  </r>
  <r>
    <x v="0"/>
    <x v="1"/>
    <x v="0"/>
    <s v="5656200"/>
    <n v="749510"/>
    <s v="Licenses"/>
    <s v="FPC @ St Joseph"/>
    <x v="0"/>
    <n v="1002"/>
    <n v="0"/>
    <n v="0"/>
    <n v="860"/>
    <n v="0"/>
    <n v="0"/>
    <n v="530"/>
    <n v="470.75"/>
    <n v="0"/>
    <n v="0"/>
    <n v="0"/>
    <n v="150"/>
    <n v="0"/>
    <n v="2010.75"/>
    <n v="150"/>
  </r>
  <r>
    <x v="0"/>
    <x v="1"/>
    <x v="0"/>
    <s v="5656200"/>
    <n v="749510"/>
    <s v="RICE Rewards"/>
    <s v="FPC @ St Joseph"/>
    <x v="0"/>
    <n v="5100"/>
    <n v="0"/>
    <n v="0"/>
    <n v="0"/>
    <n v="0"/>
    <n v="0"/>
    <n v="55.81"/>
    <n v="0"/>
    <n v="672.87"/>
    <n v="0"/>
    <n v="0"/>
    <n v="41.75"/>
    <n v="230.69"/>
    <n v="1001.1200000000001"/>
    <n v="-188.94"/>
  </r>
  <r>
    <x v="0"/>
    <x v="1"/>
    <x v="0"/>
    <s v="5656200"/>
    <n v="749535"/>
    <s v="Meetings"/>
    <s v="FPC @ St Joseph"/>
    <x v="0"/>
    <m/>
    <n v="0"/>
    <n v="55.95"/>
    <n v="0"/>
    <n v="0"/>
    <n v="0"/>
    <n v="0"/>
    <n v="0"/>
    <n v="0"/>
    <n v="0"/>
    <n v="85.32"/>
    <n v="14.98"/>
    <n v="0"/>
    <n v="156.24999999999997"/>
    <n v="14.98"/>
  </r>
  <r>
    <x v="0"/>
    <x v="1"/>
    <x v="0"/>
    <s v="5656200"/>
    <n v="749550"/>
    <s v="Cash Over/Short"/>
    <s v="FPC @ St Joseph"/>
    <x v="0"/>
    <m/>
    <n v="0"/>
    <n v="0"/>
    <n v="0"/>
    <n v="0"/>
    <n v="0"/>
    <n v="0"/>
    <n v="0"/>
    <n v="0"/>
    <n v="-1.07"/>
    <n v="5"/>
    <n v="40"/>
    <n v="0"/>
    <n v="43.93"/>
    <n v="40"/>
  </r>
  <r>
    <x v="5"/>
    <x v="1"/>
    <x v="0"/>
    <s v="5657200"/>
    <n v="700014"/>
    <s v="Salaries-Management-Productive"/>
    <s v="FMC-Puyallup"/>
    <x v="0"/>
    <m/>
    <n v="616.35"/>
    <n v="644.37"/>
    <n v="350.2"/>
    <n v="-70.040000000000006"/>
    <n v="0"/>
    <n v="0"/>
    <n v="5530.25"/>
    <n v="5821.32"/>
    <n v="6112.39"/>
    <n v="6403.45"/>
    <n v="-2037.46"/>
    <n v="0"/>
    <n v="23370.83"/>
    <n v="-2037.46"/>
  </r>
  <r>
    <x v="5"/>
    <x v="1"/>
    <x v="0"/>
    <s v="5657200"/>
    <n v="700022"/>
    <s v="Salaries-Physician-Productive"/>
    <s v="FMC-Puyallup"/>
    <x v="0"/>
    <m/>
    <n v="0"/>
    <n v="0"/>
    <n v="0"/>
    <n v="0"/>
    <n v="0"/>
    <n v="0"/>
    <n v="9367.32"/>
    <n v="5373.51"/>
    <n v="-217.84"/>
    <n v="0"/>
    <n v="0"/>
    <n v="0"/>
    <n v="14522.99"/>
    <n v="0"/>
  </r>
  <r>
    <x v="5"/>
    <x v="1"/>
    <x v="0"/>
    <s v="5657200"/>
    <n v="700038"/>
    <s v="Salaries-Service/Support-Productive"/>
    <s v="FMC-Puyallup"/>
    <x v="0"/>
    <m/>
    <n v="6214.12"/>
    <n v="9808.7000000000007"/>
    <n v="8297.8799999999992"/>
    <n v="7342.53"/>
    <n v="8469.77"/>
    <n v="6329.84"/>
    <n v="10329.16"/>
    <n v="7498.05"/>
    <n v="10112.17"/>
    <n v="10082.379999999999"/>
    <n v="9661.4699999999993"/>
    <n v="9315.2900000000009"/>
    <n v="103461.36000000002"/>
    <n v="346.17999999999847"/>
  </r>
  <r>
    <x v="5"/>
    <x v="1"/>
    <x v="0"/>
    <s v="5657200"/>
    <n v="700038"/>
    <s v="Salaries-Service/Support-OT"/>
    <s v="FMC-Puyallup"/>
    <x v="0"/>
    <n v="1000"/>
    <n v="122.61"/>
    <n v="238.24"/>
    <n v="211.95"/>
    <n v="348.21"/>
    <n v="318.58"/>
    <n v="49.43"/>
    <n v="437.15"/>
    <n v="207.32"/>
    <n v="281.77999999999997"/>
    <n v="652.5"/>
    <n v="808.34"/>
    <n v="-176.98"/>
    <n v="3499.13"/>
    <n v="985.32"/>
  </r>
  <r>
    <x v="5"/>
    <x v="1"/>
    <x v="0"/>
    <s v="5657200"/>
    <n v="700038"/>
    <s v="Salaries-Service/Support-Other"/>
    <s v="FMC-Puyallup"/>
    <x v="0"/>
    <n v="2000"/>
    <n v="0"/>
    <n v="0"/>
    <n v="0"/>
    <n v="0"/>
    <n v="0"/>
    <n v="8"/>
    <n v="8"/>
    <n v="0"/>
    <n v="0"/>
    <n v="0"/>
    <n v="0"/>
    <n v="0"/>
    <n v="16"/>
    <n v="0"/>
  </r>
  <r>
    <x v="5"/>
    <x v="1"/>
    <x v="0"/>
    <s v="5657200"/>
    <n v="700054"/>
    <s v="Salaries-Management-Non-productive"/>
    <s v="FMC-Puyallup"/>
    <x v="0"/>
    <m/>
    <n v="0"/>
    <n v="0"/>
    <n v="1260.72"/>
    <n v="7612.87"/>
    <n v="6394.09"/>
    <n v="-1569.46"/>
    <n v="-1.81"/>
    <n v="0"/>
    <n v="0"/>
    <n v="0"/>
    <n v="0"/>
    <n v="0"/>
    <n v="13696.410000000002"/>
    <n v="0"/>
  </r>
  <r>
    <x v="5"/>
    <x v="1"/>
    <x v="0"/>
    <s v="5657200"/>
    <n v="700054"/>
    <s v="Salaries-Management-NonProd-Other"/>
    <s v="FMC-Puyallu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7200"/>
    <n v="700078"/>
    <s v="Salaries-Service/Support-Non-productive"/>
    <s v="FMC-Puyallup"/>
    <x v="0"/>
    <m/>
    <n v="553.07000000000005"/>
    <n v="1566.11"/>
    <n v="1063.6099999999999"/>
    <n v="1343.04"/>
    <n v="2150.08"/>
    <n v="2144.33"/>
    <n v="237.91"/>
    <n v="1933.6"/>
    <n v="650.44000000000005"/>
    <n v="1116.33"/>
    <n v="2043.39"/>
    <n v="688.79"/>
    <n v="15490.7"/>
    <n v="1354.6000000000001"/>
  </r>
  <r>
    <x v="5"/>
    <x v="1"/>
    <x v="0"/>
    <s v="5657200"/>
    <n v="700078"/>
    <s v="Salaries-Service/Support-NonProd-Other"/>
    <s v="FMC-Puyallup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57200"/>
    <n v="700084"/>
    <s v="Accrued PTO"/>
    <s v="FMC-Puyallup"/>
    <x v="0"/>
    <m/>
    <n v="984.42"/>
    <n v="505.02"/>
    <n v="-135.79"/>
    <n v="-1344.76"/>
    <n v="-5058.82"/>
    <n v="-1806.67"/>
    <n v="1270.55"/>
    <n v="1115.3499999999999"/>
    <n v="1464.75"/>
    <n v="128.6"/>
    <n v="-204.85"/>
    <n v="-169.08"/>
    <n v="-3251.2799999999988"/>
    <n v="-35.769999999999982"/>
  </r>
  <r>
    <x v="6"/>
    <x v="1"/>
    <x v="0"/>
    <s v="5657200"/>
    <n v="713010"/>
    <s v="Benefits-FICA/Medicare"/>
    <s v="FMC-Puyallup"/>
    <x v="0"/>
    <m/>
    <n v="551.79999999999995"/>
    <n v="898.39"/>
    <n v="816.42"/>
    <n v="1223.53"/>
    <n v="1344.3"/>
    <n v="516.91999999999996"/>
    <n v="1891.52"/>
    <n v="1553.42"/>
    <n v="1246.92"/>
    <n v="1345.31"/>
    <n v="796.73"/>
    <n v="801.79"/>
    <n v="12987.05"/>
    <n v="-5.0599999999999454"/>
  </r>
  <r>
    <x v="6"/>
    <x v="1"/>
    <x v="0"/>
    <s v="5657200"/>
    <n v="713090"/>
    <s v="Benefits-Allocated Amounts"/>
    <s v="FMC-Puyallup"/>
    <x v="0"/>
    <m/>
    <n v="2335.21"/>
    <n v="3197.84"/>
    <n v="3403.55"/>
    <n v="3887.75"/>
    <n v="3812.55"/>
    <n v="2711.19"/>
    <n v="5006.96"/>
    <n v="5076.4799999999996"/>
    <n v="4658.72"/>
    <n v="4869.78"/>
    <n v="3613.68"/>
    <n v="3361.84"/>
    <n v="45935.55"/>
    <n v="251.83999999999969"/>
  </r>
  <r>
    <x v="6"/>
    <x v="1"/>
    <x v="0"/>
    <s v="5657200"/>
    <n v="713096"/>
    <s v="Employee Recognition"/>
    <s v="FMC-Puyallup"/>
    <x v="0"/>
    <n v="1017"/>
    <n v="0"/>
    <n v="0"/>
    <n v="0"/>
    <n v="0"/>
    <n v="0"/>
    <n v="0"/>
    <n v="0"/>
    <n v="0"/>
    <n v="146.01"/>
    <n v="0"/>
    <n v="0"/>
    <n v="0"/>
    <n v="146.01"/>
    <n v="0"/>
  </r>
  <r>
    <x v="7"/>
    <x v="1"/>
    <x v="0"/>
    <s v="5657200"/>
    <n v="718050"/>
    <s v="Contract Svcs-Other"/>
    <s v="FMC-Puyallup"/>
    <x v="0"/>
    <m/>
    <n v="232.65"/>
    <n v="286.24"/>
    <n v="533.99"/>
    <n v="0"/>
    <n v="0"/>
    <n v="0"/>
    <n v="55.34"/>
    <n v="103.72"/>
    <n v="75.75"/>
    <n v="167.56"/>
    <n v="76.05"/>
    <n v="192.46"/>
    <n v="1723.76"/>
    <n v="-116.41000000000001"/>
  </r>
  <r>
    <x v="7"/>
    <x v="1"/>
    <x v="0"/>
    <s v="5657200"/>
    <n v="718050"/>
    <s v="Cleaning Services"/>
    <s v="FMC-Puyallup"/>
    <x v="0"/>
    <n v="1011"/>
    <n v="1997.35"/>
    <n v="3994.7"/>
    <n v="1997.35"/>
    <n v="1997.35"/>
    <n v="1997.35"/>
    <n v="1997.35"/>
    <n v="1997.35"/>
    <n v="1997.35"/>
    <n v="0"/>
    <n v="1997.35"/>
    <n v="4120.8900000000003"/>
    <n v="2165.1999999999998"/>
    <n v="26259.59"/>
    <n v="1955.6900000000005"/>
  </r>
  <r>
    <x v="7"/>
    <x v="1"/>
    <x v="0"/>
    <s v="5657200"/>
    <n v="718050"/>
    <s v="Document Shredding/Storage"/>
    <s v="FMC-Puyallup"/>
    <x v="0"/>
    <n v="1012"/>
    <n v="0"/>
    <n v="0"/>
    <n v="0"/>
    <n v="0"/>
    <n v="0"/>
    <n v="0"/>
    <n v="0"/>
    <n v="0"/>
    <n v="0"/>
    <n v="0"/>
    <n v="35"/>
    <n v="0"/>
    <n v="35"/>
    <n v="35"/>
  </r>
  <r>
    <x v="7"/>
    <x v="1"/>
    <x v="0"/>
    <s v="5657200"/>
    <n v="718050"/>
    <s v="Physician Answering"/>
    <s v="FMC-Puyallup"/>
    <x v="0"/>
    <n v="1015"/>
    <n v="180.4"/>
    <n v="91.8"/>
    <n v="90.4"/>
    <n v="72.2"/>
    <n v="199.2"/>
    <n v="212.6"/>
    <n v="538.4"/>
    <n v="342.4"/>
    <n v="460"/>
    <n v="420.6"/>
    <n v="476.8"/>
    <n v="571.4"/>
    <n v="3656.2000000000003"/>
    <n v="-94.599999999999966"/>
  </r>
  <r>
    <x v="7"/>
    <x v="1"/>
    <x v="0"/>
    <s v="5657200"/>
    <n v="718050"/>
    <s v="Miscellaneous Purchased Svcs"/>
    <s v="FMC-Puyallup"/>
    <x v="0"/>
    <n v="1020"/>
    <n v="0"/>
    <n v="32.92"/>
    <n v="65.84"/>
    <n v="447.92"/>
    <n v="583.11"/>
    <n v="32.92"/>
    <n v="0"/>
    <n v="32.92"/>
    <n v="32.92"/>
    <n v="75.42"/>
    <n v="5450.84"/>
    <n v="7148.76"/>
    <n v="13903.57"/>
    <n v="-1697.92"/>
  </r>
  <r>
    <x v="7"/>
    <x v="1"/>
    <x v="0"/>
    <s v="5657200"/>
    <n v="718050"/>
    <s v="Translation Services"/>
    <s v="FMC-Puyallup"/>
    <x v="0"/>
    <n v="1025"/>
    <n v="0"/>
    <n v="0"/>
    <n v="40"/>
    <n v="0"/>
    <n v="367.36"/>
    <n v="176.5"/>
    <n v="88"/>
    <n v="32"/>
    <n v="0"/>
    <n v="0"/>
    <n v="278"/>
    <n v="0"/>
    <n v="981.86"/>
    <n v="278"/>
  </r>
  <r>
    <x v="7"/>
    <x v="1"/>
    <x v="0"/>
    <s v="5657200"/>
    <n v="718050"/>
    <s v="Contract Management--Linen"/>
    <s v="FMC-Puyallup"/>
    <x v="0"/>
    <n v="1026"/>
    <n v="171.42"/>
    <n v="265.24"/>
    <n v="144.30000000000001"/>
    <n v="131.13999999999999"/>
    <n v="524.25"/>
    <n v="386.13"/>
    <n v="850.68"/>
    <n v="405.68"/>
    <n v="301.88"/>
    <n v="594.82000000000005"/>
    <n v="72.150000000000006"/>
    <n v="507.1"/>
    <n v="4354.79"/>
    <n v="-434.95000000000005"/>
  </r>
  <r>
    <x v="7"/>
    <x v="1"/>
    <x v="0"/>
    <s v="5657200"/>
    <n v="718050"/>
    <s v="Purchased Srvcs--Medical Waste"/>
    <s v="FMC-Puyallup"/>
    <x v="0"/>
    <n v="1027"/>
    <n v="56.63"/>
    <n v="507.55"/>
    <n v="248.64"/>
    <n v="538.72"/>
    <n v="507.64"/>
    <n v="295.36"/>
    <n v="0"/>
    <n v="324.33999999999997"/>
    <n v="342.09"/>
    <n v="269.36"/>
    <n v="305.72000000000003"/>
    <n v="1843.05"/>
    <n v="5239.1000000000004"/>
    <n v="-1537.33"/>
  </r>
  <r>
    <x v="7"/>
    <x v="1"/>
    <x v="0"/>
    <s v="5657200"/>
    <n v="718070"/>
    <s v="Contract Srvcs-CHI Clinical Engineering"/>
    <s v="FMC-Puyallup"/>
    <x v="0"/>
    <m/>
    <n v="0"/>
    <n v="0"/>
    <n v="0"/>
    <n v="0"/>
    <n v="0"/>
    <n v="0"/>
    <n v="0"/>
    <n v="0"/>
    <n v="0"/>
    <n v="8.23"/>
    <n v="613.96"/>
    <n v="0"/>
    <n v="622.19000000000005"/>
    <n v="613.96"/>
  </r>
  <r>
    <x v="7"/>
    <x v="1"/>
    <x v="0"/>
    <s v="5657200"/>
    <n v="718077"/>
    <s v="PACS"/>
    <s v="FMC-Puyallup"/>
    <x v="0"/>
    <n v="1000"/>
    <n v="0"/>
    <n v="0"/>
    <n v="6.75"/>
    <n v="6.75"/>
    <n v="15.75"/>
    <n v="6.75"/>
    <n v="9"/>
    <n v="9"/>
    <n v="20.25"/>
    <n v="36"/>
    <n v="24.75"/>
    <n v="42.75"/>
    <n v="177.75"/>
    <n v="-18"/>
  </r>
  <r>
    <x v="11"/>
    <x v="1"/>
    <x v="0"/>
    <s v="5657200"/>
    <n v="721010"/>
    <s v="Supplies-Medical - Billable"/>
    <s v="FMC-Puyallup"/>
    <x v="0"/>
    <m/>
    <n v="15139.84"/>
    <n v="7990.74"/>
    <n v="2034.24"/>
    <n v="3560.22"/>
    <n v="2712.32"/>
    <n v="4762.24"/>
    <n v="2712.32"/>
    <n v="2489.6"/>
    <n v="3545"/>
    <n v="3545"/>
    <n v="8538.64"/>
    <n v="0"/>
    <n v="57030.16"/>
    <n v="8538.64"/>
  </r>
  <r>
    <x v="11"/>
    <x v="1"/>
    <x v="0"/>
    <s v="5657200"/>
    <n v="721250"/>
    <s v="Supplies-Pharmacy Drugs - Billable"/>
    <s v="FMC-Puyallup"/>
    <x v="0"/>
    <m/>
    <n v="105.2"/>
    <n v="8807.3799999999992"/>
    <n v="19518.7"/>
    <n v="14593.84"/>
    <n v="4089.98"/>
    <n v="7794.65"/>
    <n v="6705.57"/>
    <n v="7828.22"/>
    <n v="6244.21"/>
    <n v="12415.05"/>
    <n v="-11235.02"/>
    <n v="8854.58"/>
    <n v="85722.36"/>
    <n v="-20089.599999999999"/>
  </r>
  <r>
    <x v="11"/>
    <x v="1"/>
    <x v="0"/>
    <s v="5657200"/>
    <n v="721410"/>
    <s v="Supplies-Medical - Nonbillable"/>
    <s v="FMC-Puyallup"/>
    <x v="0"/>
    <m/>
    <n v="8751.92"/>
    <n v="4753.51"/>
    <n v="1399.08"/>
    <n v="2262.23"/>
    <n v="727.72"/>
    <n v="685.65"/>
    <n v="111.02"/>
    <n v="1826"/>
    <n v="141.88999999999999"/>
    <n v="1756.23"/>
    <n v="-17302.93"/>
    <n v="3755.6"/>
    <n v="8867.9200000000037"/>
    <n v="-21058.53"/>
  </r>
  <r>
    <x v="11"/>
    <x v="1"/>
    <x v="0"/>
    <s v="5657200"/>
    <n v="721830"/>
    <s v="Supplies-Office"/>
    <s v="FMC-Puyallup"/>
    <x v="0"/>
    <m/>
    <n v="713.71"/>
    <n v="569.12"/>
    <n v="1219.1500000000001"/>
    <n v="70.260000000000005"/>
    <n v="216.83"/>
    <n v="291.43"/>
    <n v="529.5"/>
    <n v="522.29"/>
    <n v="210.9"/>
    <n v="534.76"/>
    <n v="0"/>
    <n v="0"/>
    <n v="4877.95"/>
    <n v="0"/>
  </r>
  <r>
    <x v="11"/>
    <x v="1"/>
    <x v="0"/>
    <s v="5657200"/>
    <n v="721835"/>
    <s v="Supplies-Forms"/>
    <s v="FMC-Puyallup"/>
    <x v="0"/>
    <m/>
    <n v="546.47"/>
    <n v="181.28"/>
    <n v="0"/>
    <n v="-12.39"/>
    <n v="46.36"/>
    <n v="0"/>
    <n v="2"/>
    <n v="0"/>
    <n v="0"/>
    <n v="31.3"/>
    <n v="1004.74"/>
    <n v="-14.24"/>
    <n v="1785.52"/>
    <n v="1018.98"/>
  </r>
  <r>
    <x v="11"/>
    <x v="1"/>
    <x v="0"/>
    <s v="5657200"/>
    <n v="721870"/>
    <s v="Supplies-Environmental Services"/>
    <s v="FMC-Puyallup"/>
    <x v="0"/>
    <m/>
    <n v="0"/>
    <n v="428.31"/>
    <n v="12.21"/>
    <n v="771.57"/>
    <n v="247.09"/>
    <n v="285.18"/>
    <n v="264.41000000000003"/>
    <n v="367.79"/>
    <n v="0"/>
    <n v="222.7"/>
    <n v="0"/>
    <n v="0"/>
    <n v="2599.2600000000002"/>
    <n v="0"/>
  </r>
  <r>
    <x v="11"/>
    <x v="1"/>
    <x v="0"/>
    <s v="5657200"/>
    <n v="721910"/>
    <s v="Supplies-Small Equipment"/>
    <s v="FMC-Puyallup"/>
    <x v="0"/>
    <m/>
    <n v="0"/>
    <n v="502.76"/>
    <n v="175.3"/>
    <n v="1573.9"/>
    <n v="-2981.05"/>
    <n v="0"/>
    <n v="0"/>
    <n v="0"/>
    <n v="0"/>
    <n v="0"/>
    <n v="0"/>
    <n v="-20.350000000000001"/>
    <n v="-749.44000000000017"/>
    <n v="20.350000000000001"/>
  </r>
  <r>
    <x v="11"/>
    <x v="1"/>
    <x v="0"/>
    <s v="5657200"/>
    <n v="721980"/>
    <s v="Supplies-Other"/>
    <s v="FMC-Puyallup"/>
    <x v="0"/>
    <m/>
    <n v="0"/>
    <n v="0"/>
    <n v="0"/>
    <n v="0"/>
    <n v="0"/>
    <n v="0"/>
    <n v="0"/>
    <n v="0"/>
    <n v="101.13"/>
    <n v="0"/>
    <n v="0"/>
    <n v="23.61"/>
    <n v="124.74"/>
    <n v="-23.61"/>
  </r>
  <r>
    <x v="11"/>
    <x v="1"/>
    <x v="0"/>
    <s v="5657200"/>
    <n v="722000"/>
    <s v="Supplies-Freight Expense"/>
    <s v="FMC-Puyallup"/>
    <x v="0"/>
    <m/>
    <n v="0"/>
    <n v="38.630000000000003"/>
    <n v="18.63"/>
    <n v="12.39"/>
    <n v="0"/>
    <n v="0"/>
    <n v="0"/>
    <n v="0"/>
    <n v="0"/>
    <n v="0"/>
    <n v="0"/>
    <n v="64.91"/>
    <n v="134.56"/>
    <n v="-64.91"/>
  </r>
  <r>
    <x v="12"/>
    <x v="1"/>
    <x v="0"/>
    <s v="5657200"/>
    <n v="730010"/>
    <s v="Rental and Leases-Building (DO NOT USE)"/>
    <s v="FMC-Puyallup"/>
    <x v="0"/>
    <m/>
    <n v="24342.76"/>
    <n v="24342.76"/>
    <n v="24342.76"/>
    <n v="24342.76"/>
    <n v="24804.13"/>
    <n v="-11395.12"/>
    <n v="18769.7"/>
    <n v="18769.7"/>
    <n v="18769.7"/>
    <n v="18769.7"/>
    <n v="18769.7"/>
    <n v="0"/>
    <n v="204628.55000000005"/>
    <n v="18769.7"/>
  </r>
  <r>
    <x v="12"/>
    <x v="1"/>
    <x v="0"/>
    <s v="5657200"/>
    <n v="730010"/>
    <s v="Rental-Common Area Maint (DO NOT USE)"/>
    <s v="FMC-Puyallup"/>
    <x v="0"/>
    <n v="2200"/>
    <n v="0"/>
    <n v="0"/>
    <n v="0"/>
    <n v="0"/>
    <n v="0"/>
    <n v="36199.25"/>
    <n v="6034.43"/>
    <n v="6034.43"/>
    <n v="6034.43"/>
    <n v="6244.76"/>
    <n v="6173.57"/>
    <n v="0"/>
    <n v="66720.87"/>
    <n v="6173.57"/>
  </r>
  <r>
    <x v="12"/>
    <x v="1"/>
    <x v="0"/>
    <s v="5657200"/>
    <n v="730020"/>
    <s v="Rental and Leases-Copier Usage Fees (DO NOT USE)"/>
    <s v="FMC-Puyallup"/>
    <x v="0"/>
    <n v="5100"/>
    <n v="0"/>
    <n v="1474.19"/>
    <n v="737.09"/>
    <n v="737.09"/>
    <n v="737.09"/>
    <n v="737.09"/>
    <n v="-926.71"/>
    <n v="428.43"/>
    <n v="427.53"/>
    <n v="790.45"/>
    <n v="428.43"/>
    <n v="428.43"/>
    <n v="5999.1100000000006"/>
    <n v="0"/>
  </r>
  <r>
    <x v="12"/>
    <x v="1"/>
    <x v="0"/>
    <s v="5657200"/>
    <n v="730040"/>
    <s v="LT Lease-Real Estate"/>
    <s v="FMC-Puyallup"/>
    <x v="0"/>
    <m/>
    <n v="0"/>
    <n v="0"/>
    <n v="0"/>
    <n v="0"/>
    <n v="0"/>
    <n v="0"/>
    <n v="0"/>
    <n v="0"/>
    <n v="0"/>
    <n v="0"/>
    <n v="0"/>
    <n v="24943.27"/>
    <n v="24943.27"/>
    <n v="-24943.27"/>
  </r>
  <r>
    <x v="15"/>
    <x v="1"/>
    <x v="0"/>
    <s v="5657200"/>
    <n v="731060"/>
    <s v="Telephone"/>
    <s v="FMC-Puyallup"/>
    <x v="0"/>
    <m/>
    <n v="0"/>
    <n v="3085.78"/>
    <n v="205.96"/>
    <n v="537.1"/>
    <n v="632.94000000000005"/>
    <n v="762.14"/>
    <n v="777.38"/>
    <n v="547.41"/>
    <n v="676.49"/>
    <n v="799.68"/>
    <n v="681.76"/>
    <n v="687.23"/>
    <n v="9393.8700000000008"/>
    <n v="-5.4700000000000273"/>
  </r>
  <r>
    <x v="16"/>
    <x v="1"/>
    <x v="0"/>
    <s v="5657200"/>
    <n v="732030"/>
    <s v="Repairs---Other"/>
    <s v="FMC-Puyallup"/>
    <x v="0"/>
    <m/>
    <n v="0"/>
    <n v="0"/>
    <n v="0"/>
    <n v="0"/>
    <n v="0"/>
    <n v="136.80000000000001"/>
    <n v="0"/>
    <n v="0"/>
    <n v="0"/>
    <n v="0"/>
    <n v="0"/>
    <n v="0"/>
    <n v="136.80000000000001"/>
    <n v="0"/>
  </r>
  <r>
    <x v="16"/>
    <x v="1"/>
    <x v="0"/>
    <s v="5657200"/>
    <n v="732030"/>
    <s v="Repairs&amp;Maintenance-Bldg Routine"/>
    <s v="FMC-Puyallup"/>
    <x v="0"/>
    <n v="2300"/>
    <n v="0"/>
    <n v="0"/>
    <n v="0"/>
    <n v="0"/>
    <n v="305.63"/>
    <n v="337.95"/>
    <n v="0"/>
    <n v="279.72000000000003"/>
    <n v="0"/>
    <n v="0"/>
    <n v="0"/>
    <n v="0"/>
    <n v="923.3"/>
    <n v="0"/>
  </r>
  <r>
    <x v="0"/>
    <x v="1"/>
    <x v="0"/>
    <s v="5657200"/>
    <n v="742040"/>
    <s v="Freight-Other"/>
    <s v="FMC-Puyallup"/>
    <x v="0"/>
    <m/>
    <n v="0"/>
    <n v="0"/>
    <n v="0"/>
    <n v="0"/>
    <n v="0"/>
    <n v="0"/>
    <n v="0"/>
    <n v="0"/>
    <n v="0"/>
    <n v="0"/>
    <n v="0"/>
    <n v="45.39"/>
    <n v="45.39"/>
    <n v="-45.39"/>
  </r>
  <r>
    <x v="0"/>
    <x v="1"/>
    <x v="0"/>
    <s v="5657200"/>
    <n v="743020"/>
    <s v="Dues--Individual"/>
    <s v="FMC-Puyallup"/>
    <x v="0"/>
    <m/>
    <n v="0"/>
    <n v="0"/>
    <n v="0"/>
    <n v="0"/>
    <n v="0"/>
    <n v="0"/>
    <n v="0"/>
    <n v="535"/>
    <n v="0"/>
    <n v="0"/>
    <n v="0"/>
    <n v="0"/>
    <n v="535"/>
    <n v="0"/>
  </r>
  <r>
    <x v="0"/>
    <x v="1"/>
    <x v="0"/>
    <s v="5657200"/>
    <n v="743020"/>
    <s v="Provider-Dues"/>
    <s v="FMC-Puyallup"/>
    <x v="0"/>
    <n v="2200"/>
    <n v="0"/>
    <n v="0"/>
    <n v="0"/>
    <n v="563"/>
    <n v="0"/>
    <n v="0"/>
    <n v="0"/>
    <n v="0"/>
    <n v="0"/>
    <n v="0"/>
    <n v="0"/>
    <n v="0"/>
    <n v="563"/>
    <n v="0"/>
  </r>
  <r>
    <x v="0"/>
    <x v="1"/>
    <x v="0"/>
    <s v="5657200"/>
    <n v="749510"/>
    <s v="Miscellaneous Expenses"/>
    <s v="FMC-Puyallup"/>
    <x v="0"/>
    <m/>
    <n v="470.4"/>
    <n v="467.78"/>
    <n v="184.08"/>
    <n v="11.29"/>
    <n v="74.95"/>
    <n v="224.85"/>
    <n v="0"/>
    <n v="0"/>
    <n v="149.9"/>
    <n v="167.62"/>
    <n v="57.23"/>
    <n v="0"/>
    <n v="1808.1"/>
    <n v="57.23"/>
  </r>
  <r>
    <x v="0"/>
    <x v="1"/>
    <x v="0"/>
    <s v="5657200"/>
    <n v="749510"/>
    <s v="Licenses"/>
    <s v="FMC-Puyallup"/>
    <x v="0"/>
    <n v="1002"/>
    <n v="0"/>
    <n v="0"/>
    <n v="0"/>
    <n v="19"/>
    <n v="19"/>
    <n v="0"/>
    <n v="0"/>
    <n v="19"/>
    <n v="0"/>
    <n v="0"/>
    <n v="0"/>
    <n v="0"/>
    <n v="57"/>
    <n v="0"/>
  </r>
  <r>
    <x v="0"/>
    <x v="1"/>
    <x v="0"/>
    <s v="5657200"/>
    <n v="749510"/>
    <s v="RICE Rewards"/>
    <s v="FMC-Puyallup"/>
    <x v="0"/>
    <n v="5100"/>
    <n v="0"/>
    <n v="0"/>
    <n v="0"/>
    <n v="0"/>
    <n v="0"/>
    <n v="0"/>
    <n v="0"/>
    <n v="161.84"/>
    <n v="0"/>
    <n v="0"/>
    <n v="0"/>
    <n v="744.03"/>
    <n v="905.87"/>
    <n v="-744.03"/>
  </r>
  <r>
    <x v="0"/>
    <x v="1"/>
    <x v="0"/>
    <s v="5657200"/>
    <n v="749530"/>
    <s v="Travel"/>
    <s v="FMC-Puyallup"/>
    <x v="0"/>
    <m/>
    <n v="0"/>
    <n v="0"/>
    <n v="12"/>
    <n v="0"/>
    <n v="0"/>
    <n v="0"/>
    <n v="0"/>
    <n v="0"/>
    <n v="0"/>
    <n v="0"/>
    <n v="0"/>
    <n v="0"/>
    <n v="12"/>
    <n v="0"/>
  </r>
  <r>
    <x v="0"/>
    <x v="1"/>
    <x v="0"/>
    <s v="5657200"/>
    <n v="749530"/>
    <s v="Mileage"/>
    <s v="FMC-Puyallup"/>
    <x v="0"/>
    <n v="1001"/>
    <n v="0"/>
    <n v="0"/>
    <n v="153.71"/>
    <n v="0"/>
    <n v="0"/>
    <n v="18.54"/>
    <n v="0"/>
    <n v="62.06"/>
    <n v="64.959999999999994"/>
    <n v="0"/>
    <n v="167.62"/>
    <n v="0"/>
    <n v="466.89"/>
    <n v="167.62"/>
  </r>
  <r>
    <x v="0"/>
    <x v="1"/>
    <x v="0"/>
    <s v="5657200"/>
    <n v="749550"/>
    <s v="Cash Over/Short"/>
    <s v="FMC-Puyallup"/>
    <x v="0"/>
    <m/>
    <n v="0"/>
    <n v="0"/>
    <n v="0"/>
    <n v="10"/>
    <n v="0"/>
    <n v="0"/>
    <n v="0"/>
    <n v="0"/>
    <n v="0"/>
    <n v="-10"/>
    <n v="-1"/>
    <n v="0"/>
    <n v="-1"/>
    <n v="-1"/>
  </r>
  <r>
    <x v="0"/>
    <x v="1"/>
    <x v="0"/>
    <s v="5657200"/>
    <n v="749591"/>
    <s v="Other Expense-Intracompany Allocation"/>
    <s v="FMC-Puyallup"/>
    <x v="0"/>
    <m/>
    <n v="-64086.33"/>
    <n v="-74679.360000000001"/>
    <n v="-68408.72"/>
    <n v="-72589.47"/>
    <n v="-53258.2"/>
    <n v="-52331.839999999997"/>
    <n v="-72595.399999999994"/>
    <n v="-71697.960000000006"/>
    <n v="-62054.36"/>
    <n v="-73434.94"/>
    <n v="-33418.199999999997"/>
    <n v="-65804.83"/>
    <n v="-764359.61"/>
    <n v="32386.630000000005"/>
  </r>
  <r>
    <x v="5"/>
    <x v="1"/>
    <x v="0"/>
    <s v="5658200"/>
    <n v="700032"/>
    <s v="Salaries-Other Pat Care Providers-Productive"/>
    <s v="FMC-Pearl S/S"/>
    <x v="0"/>
    <m/>
    <n v="0"/>
    <n v="0"/>
    <n v="0"/>
    <n v="0"/>
    <n v="0"/>
    <n v="0"/>
    <n v="0"/>
    <n v="0"/>
    <n v="94.24"/>
    <n v="0"/>
    <n v="0"/>
    <n v="0"/>
    <n v="94.24"/>
    <n v="0"/>
  </r>
  <r>
    <x v="5"/>
    <x v="1"/>
    <x v="0"/>
    <s v="5658200"/>
    <n v="700032"/>
    <s v="Salaries-Other Pat Care Providers-Other"/>
    <s v="FMC-Pearl S/S"/>
    <x v="0"/>
    <n v="2000"/>
    <n v="0"/>
    <n v="0"/>
    <n v="0"/>
    <n v="0"/>
    <n v="0"/>
    <n v="0"/>
    <n v="0"/>
    <n v="0"/>
    <n v="4.76"/>
    <n v="0"/>
    <n v="0"/>
    <n v="0"/>
    <n v="4.76"/>
    <n v="0"/>
  </r>
  <r>
    <x v="5"/>
    <x v="1"/>
    <x v="0"/>
    <s v="5658200"/>
    <n v="700038"/>
    <s v="Salaries-Service/Support-Productive"/>
    <s v="FMC-Pearl S/S"/>
    <x v="0"/>
    <m/>
    <n v="0"/>
    <n v="270.06"/>
    <n v="11763.03"/>
    <n v="10262.33"/>
    <n v="11362.14"/>
    <n v="9194.57"/>
    <n v="10648.57"/>
    <n v="8347.61"/>
    <n v="10240.76"/>
    <n v="8576.9599999999991"/>
    <n v="10070.67"/>
    <n v="7609.23"/>
    <n v="98345.93"/>
    <n v="2461.4400000000005"/>
  </r>
  <r>
    <x v="5"/>
    <x v="1"/>
    <x v="0"/>
    <s v="5658200"/>
    <n v="700038"/>
    <s v="Salaries-Service/Support-OT"/>
    <s v="FMC-Pearl S/S"/>
    <x v="0"/>
    <n v="1000"/>
    <n v="0"/>
    <n v="0"/>
    <n v="76.239999999999995"/>
    <n v="31.23"/>
    <n v="286.79000000000002"/>
    <n v="-3.64"/>
    <n v="181.35"/>
    <n v="114.98"/>
    <n v="307.86"/>
    <n v="483.65"/>
    <n v="259.63"/>
    <n v="363.91"/>
    <n v="2102"/>
    <n v="-104.28000000000003"/>
  </r>
  <r>
    <x v="5"/>
    <x v="1"/>
    <x v="0"/>
    <s v="5658200"/>
    <n v="700038"/>
    <s v="Salaries-Service/Support-Other"/>
    <s v="FMC-Pearl S/S"/>
    <x v="0"/>
    <n v="2000"/>
    <n v="0"/>
    <n v="0"/>
    <n v="0"/>
    <n v="0"/>
    <n v="39"/>
    <n v="-19.5"/>
    <n v="0"/>
    <n v="0"/>
    <n v="0"/>
    <n v="54.65"/>
    <n v="101.54"/>
    <n v="49.83"/>
    <n v="225.51999999999998"/>
    <n v="51.710000000000008"/>
  </r>
  <r>
    <x v="5"/>
    <x v="1"/>
    <x v="0"/>
    <s v="5658200"/>
    <n v="700078"/>
    <s v="Salaries-Service/Support-Non-productive"/>
    <s v="FMC-Pearl S/S"/>
    <x v="0"/>
    <m/>
    <n v="685.12"/>
    <n v="1213.44"/>
    <n v="87.2"/>
    <n v="1140.8900000000001"/>
    <n v="300.62"/>
    <n v="939.12"/>
    <n v="871.61"/>
    <n v="930.5"/>
    <n v="494.63"/>
    <n v="3213.35"/>
    <n v="-802.41"/>
    <n v="489.81"/>
    <n v="9563.8799999999992"/>
    <n v="-1292.22"/>
  </r>
  <r>
    <x v="5"/>
    <x v="1"/>
    <x v="0"/>
    <s v="5658200"/>
    <n v="700078"/>
    <s v="Salaries-Service/Support-NonProd-Other"/>
    <s v="FMC-Pearl S/S"/>
    <x v="0"/>
    <n v="2000"/>
    <n v="0"/>
    <n v="0"/>
    <n v="0"/>
    <n v="0"/>
    <n v="403.95"/>
    <n v="403.95"/>
    <n v="0"/>
    <n v="-775.71"/>
    <n v="-3.78"/>
    <n v="0"/>
    <n v="0"/>
    <n v="0"/>
    <n v="28.40999999999994"/>
    <n v="0"/>
  </r>
  <r>
    <x v="5"/>
    <x v="1"/>
    <x v="0"/>
    <s v="5658200"/>
    <n v="700084"/>
    <s v="Accrued PTO"/>
    <s v="FMC-Pearl S/S"/>
    <x v="0"/>
    <m/>
    <n v="427.6"/>
    <n v="286.67"/>
    <n v="582.62"/>
    <n v="537.17999999999995"/>
    <n v="698.54"/>
    <n v="360.11"/>
    <n v="273.26"/>
    <n v="268.2"/>
    <n v="596.82000000000005"/>
    <n v="-327.31"/>
    <n v="704.89"/>
    <n v="753.87"/>
    <n v="5162.45"/>
    <n v="-48.980000000000018"/>
  </r>
  <r>
    <x v="6"/>
    <x v="1"/>
    <x v="0"/>
    <s v="5658200"/>
    <n v="713010"/>
    <s v="Benefits-FICA/Medicare"/>
    <s v="FMC-Pearl S/S"/>
    <x v="0"/>
    <m/>
    <n v="49.92"/>
    <n v="103.05"/>
    <n v="845.19"/>
    <n v="809.97"/>
    <n v="947.77"/>
    <n v="722.42"/>
    <n v="828.23"/>
    <n v="664.94"/>
    <n v="790.38"/>
    <n v="852.48"/>
    <n v="686.3"/>
    <n v="618.75"/>
    <n v="7919.4000000000005"/>
    <n v="67.549999999999955"/>
  </r>
  <r>
    <x v="6"/>
    <x v="1"/>
    <x v="0"/>
    <s v="5658200"/>
    <n v="713090"/>
    <s v="Benefits-Allocated Amounts"/>
    <s v="FMC-Pearl S/S"/>
    <x v="0"/>
    <m/>
    <n v="237.21"/>
    <n v="365.01"/>
    <n v="3228.59"/>
    <n v="3213.54"/>
    <n v="3332.49"/>
    <n v="3723.2"/>
    <n v="3492.93"/>
    <n v="3341.34"/>
    <n v="3492.22"/>
    <n v="3598.52"/>
    <n v="2951.32"/>
    <n v="2943.66"/>
    <n v="33920.03"/>
    <n v="7.6600000000003092"/>
  </r>
  <r>
    <x v="6"/>
    <x v="1"/>
    <x v="0"/>
    <s v="5658200"/>
    <n v="713096"/>
    <s v="Employee Recognition"/>
    <s v="FMC-Pearl S/S"/>
    <x v="0"/>
    <n v="1017"/>
    <n v="0"/>
    <n v="0"/>
    <n v="0"/>
    <n v="0"/>
    <n v="0"/>
    <n v="0"/>
    <n v="0"/>
    <n v="0"/>
    <n v="0"/>
    <n v="0"/>
    <n v="19.989999999999998"/>
    <n v="0"/>
    <n v="19.989999999999998"/>
    <n v="19.989999999999998"/>
  </r>
  <r>
    <x v="7"/>
    <x v="1"/>
    <x v="0"/>
    <s v="5658200"/>
    <n v="718050"/>
    <s v="Contract Svcs-Other"/>
    <s v="FMC-Pearl S/S"/>
    <x v="0"/>
    <m/>
    <n v="715"/>
    <n v="477.1"/>
    <n v="3128.45"/>
    <n v="3159.71"/>
    <n v="6121.03"/>
    <n v="2752.1"/>
    <n v="3388.3"/>
    <n v="2415.86"/>
    <n v="969.25"/>
    <n v="155.16"/>
    <n v="0"/>
    <n v="206.04"/>
    <n v="23488"/>
    <n v="-206.04"/>
  </r>
  <r>
    <x v="7"/>
    <x v="1"/>
    <x v="0"/>
    <s v="5658200"/>
    <n v="718050"/>
    <s v="Cleaning Services"/>
    <s v="FMC-Pearl S/S"/>
    <x v="0"/>
    <n v="1011"/>
    <n v="0"/>
    <n v="0"/>
    <n v="0"/>
    <n v="0"/>
    <n v="0"/>
    <n v="0"/>
    <n v="0"/>
    <n v="0"/>
    <n v="92.19"/>
    <n v="257.91000000000003"/>
    <n v="4639.9799999999996"/>
    <n v="2733.91"/>
    <n v="7723.99"/>
    <n v="1906.0699999999997"/>
  </r>
  <r>
    <x v="7"/>
    <x v="1"/>
    <x v="0"/>
    <s v="5658200"/>
    <n v="718050"/>
    <s v="Physician Answering"/>
    <s v="FMC-Pearl S/S"/>
    <x v="0"/>
    <n v="1015"/>
    <n v="0"/>
    <n v="0"/>
    <n v="48"/>
    <n v="112"/>
    <n v="16"/>
    <n v="421.2"/>
    <n v="441.8"/>
    <n v="341"/>
    <n v="648"/>
    <n v="375.2"/>
    <n v="352"/>
    <n v="298.8"/>
    <n v="3054"/>
    <n v="53.199999999999989"/>
  </r>
  <r>
    <x v="7"/>
    <x v="1"/>
    <x v="0"/>
    <s v="5658200"/>
    <n v="718050"/>
    <s v="Translation Services"/>
    <s v="FMC-Pearl S/S"/>
    <x v="0"/>
    <n v="1025"/>
    <n v="0"/>
    <n v="0"/>
    <n v="0"/>
    <n v="0"/>
    <n v="96"/>
    <n v="0"/>
    <n v="440"/>
    <n v="406"/>
    <n v="0"/>
    <n v="136"/>
    <n v="216"/>
    <n v="0"/>
    <n v="1294"/>
    <n v="216"/>
  </r>
  <r>
    <x v="7"/>
    <x v="1"/>
    <x v="0"/>
    <s v="5658200"/>
    <n v="718050"/>
    <s v="Contract Management--Linen"/>
    <s v="FMC-Pearl S/S"/>
    <x v="0"/>
    <n v="1026"/>
    <n v="0"/>
    <n v="0"/>
    <n v="0"/>
    <n v="51.9"/>
    <n v="0"/>
    <n v="0"/>
    <n v="0"/>
    <n v="0"/>
    <n v="212.6"/>
    <n v="256.23"/>
    <n v="106.3"/>
    <n v="228.08"/>
    <n v="855.11"/>
    <n v="-121.78000000000002"/>
  </r>
  <r>
    <x v="7"/>
    <x v="1"/>
    <x v="0"/>
    <s v="5658200"/>
    <n v="718050"/>
    <s v="Purchased Srvcs--Medical Waste"/>
    <s v="FMC-Pearl S/S"/>
    <x v="0"/>
    <n v="1027"/>
    <n v="258.91000000000003"/>
    <n v="258.91000000000003"/>
    <n v="270.07"/>
    <n v="270.07"/>
    <n v="309.24"/>
    <n v="309.24"/>
    <n v="309.24"/>
    <n v="309.24"/>
    <n v="309.24"/>
    <n v="0"/>
    <n v="309.24"/>
    <n v="1158.6199999999999"/>
    <n v="4072.0199999999995"/>
    <n v="-849.37999999999988"/>
  </r>
  <r>
    <x v="7"/>
    <x v="1"/>
    <x v="0"/>
    <s v="5658200"/>
    <n v="718070"/>
    <s v="Contract Srvcs-CHI Clinical Engineering"/>
    <s v="FMC-Pearl S/S"/>
    <x v="0"/>
    <m/>
    <n v="0"/>
    <n v="0"/>
    <n v="4326.93"/>
    <n v="0"/>
    <n v="0"/>
    <n v="0"/>
    <n v="495.5"/>
    <n v="495.5"/>
    <n v="0"/>
    <n v="0"/>
    <n v="0"/>
    <n v="0"/>
    <n v="5317.93"/>
    <n v="0"/>
  </r>
  <r>
    <x v="11"/>
    <x v="1"/>
    <x v="0"/>
    <s v="5658200"/>
    <n v="721250"/>
    <s v="Supplies-Pharmacy Drugs - Billable"/>
    <s v="FMC-Pearl S/S"/>
    <x v="0"/>
    <m/>
    <n v="0"/>
    <n v="0"/>
    <n v="5702.14"/>
    <n v="18178.46"/>
    <n v="4691.03"/>
    <n v="13698.46"/>
    <n v="9052.52"/>
    <n v="1841.88"/>
    <n v="4186.09"/>
    <n v="5514.27"/>
    <n v="9321.76"/>
    <n v="-17447.830000000002"/>
    <n v="54738.78"/>
    <n v="26769.590000000004"/>
  </r>
  <r>
    <x v="11"/>
    <x v="1"/>
    <x v="0"/>
    <s v="5658200"/>
    <n v="721410"/>
    <s v="Supplies-Medical - Nonbillable"/>
    <s v="FMC-Pearl S/S"/>
    <x v="0"/>
    <m/>
    <n v="9943.2900000000009"/>
    <n v="427.98"/>
    <n v="2018.86"/>
    <n v="2511.7399999999998"/>
    <n v="623.98"/>
    <n v="749.66"/>
    <n v="597.53"/>
    <n v="1261.3499999999999"/>
    <n v="306.38"/>
    <n v="1472.91"/>
    <n v="2416.7199999999998"/>
    <n v="-4239.1000000000004"/>
    <n v="18091.300000000003"/>
    <n v="6655.82"/>
  </r>
  <r>
    <x v="11"/>
    <x v="1"/>
    <x v="0"/>
    <s v="5658200"/>
    <n v="721830"/>
    <s v="Supplies-Office"/>
    <s v="FMC-Pearl S/S"/>
    <x v="0"/>
    <m/>
    <n v="2630.43"/>
    <n v="1830.12"/>
    <n v="1917.38"/>
    <n v="2150.21"/>
    <n v="4371.21"/>
    <n v="2110.59"/>
    <n v="1767.96"/>
    <n v="1603.49"/>
    <n v="1742.32"/>
    <n v="1234.93"/>
    <n v="796.37"/>
    <n v="1264.02"/>
    <n v="23419.03"/>
    <n v="-467.65"/>
  </r>
  <r>
    <x v="11"/>
    <x v="1"/>
    <x v="0"/>
    <s v="5658200"/>
    <n v="721835"/>
    <s v="Supplies-Forms"/>
    <s v="FMC-Pearl S/S"/>
    <x v="0"/>
    <m/>
    <n v="0"/>
    <n v="0"/>
    <n v="0"/>
    <n v="0"/>
    <n v="130.80000000000001"/>
    <n v="0"/>
    <n v="0"/>
    <n v="0"/>
    <n v="24.24"/>
    <n v="193.8"/>
    <n v="5.8"/>
    <n v="70.400000000000006"/>
    <n v="425.04000000000008"/>
    <n v="-64.600000000000009"/>
  </r>
  <r>
    <x v="11"/>
    <x v="1"/>
    <x v="0"/>
    <s v="5658200"/>
    <n v="721870"/>
    <s v="Supplies-Environmental Services"/>
    <s v="FMC-Pearl S/S"/>
    <x v="0"/>
    <m/>
    <n v="0"/>
    <n v="0"/>
    <n v="0"/>
    <n v="0"/>
    <n v="0"/>
    <n v="223.51"/>
    <n v="511.06"/>
    <n v="389.94"/>
    <n v="2137.6799999999998"/>
    <n v="0"/>
    <n v="1072.57"/>
    <n v="0"/>
    <n v="4334.7599999999993"/>
    <n v="1072.57"/>
  </r>
  <r>
    <x v="11"/>
    <x v="1"/>
    <x v="0"/>
    <s v="5658200"/>
    <n v="721910"/>
    <s v="Supplies-Small Equipment"/>
    <s v="FMC-Pearl S/S"/>
    <x v="0"/>
    <m/>
    <n v="347.71"/>
    <n v="364.8"/>
    <n v="3184.98"/>
    <n v="2662.42"/>
    <n v="-890.02"/>
    <n v="0"/>
    <n v="0"/>
    <n v="0"/>
    <n v="0"/>
    <n v="0"/>
    <n v="0"/>
    <n v="0"/>
    <n v="5669.8899999999994"/>
    <n v="0"/>
  </r>
  <r>
    <x v="11"/>
    <x v="1"/>
    <x v="0"/>
    <s v="5658200"/>
    <n v="722000"/>
    <s v="Supplies-Freight Expense"/>
    <s v="FMC-Pearl S/S"/>
    <x v="0"/>
    <m/>
    <n v="0"/>
    <n v="39.07"/>
    <n v="0"/>
    <n v="0"/>
    <n v="0"/>
    <n v="0"/>
    <n v="0"/>
    <n v="0"/>
    <n v="0"/>
    <n v="0"/>
    <n v="0"/>
    <n v="68.739999999999995"/>
    <n v="107.81"/>
    <n v="-68.739999999999995"/>
  </r>
  <r>
    <x v="12"/>
    <x v="1"/>
    <x v="0"/>
    <s v="5658200"/>
    <n v="730010"/>
    <s v="Rental and Leases-Building (DO NOT USE)"/>
    <s v="FMC-Pearl S/S"/>
    <x v="0"/>
    <m/>
    <n v="29886.67"/>
    <n v="29886.67"/>
    <n v="29886.67"/>
    <n v="29886.67"/>
    <n v="29886.67"/>
    <n v="-12247.27"/>
    <n v="23154.67"/>
    <n v="23154.67"/>
    <n v="23154.67"/>
    <n v="23849.31"/>
    <n v="23849.31"/>
    <n v="0"/>
    <n v="254348.70999999996"/>
    <n v="23849.31"/>
  </r>
  <r>
    <x v="12"/>
    <x v="1"/>
    <x v="0"/>
    <s v="5658200"/>
    <n v="730010"/>
    <s v="Rental-Common Area Maint (DO NOT USE)"/>
    <s v="FMC-Pearl S/S"/>
    <x v="0"/>
    <n v="2200"/>
    <n v="0"/>
    <n v="0"/>
    <n v="0"/>
    <n v="0"/>
    <n v="0"/>
    <n v="42133.94"/>
    <n v="6562"/>
    <n v="6647"/>
    <n v="-178.1"/>
    <n v="6647"/>
    <n v="6647"/>
    <n v="0"/>
    <n v="68458.84"/>
    <n v="6647"/>
  </r>
  <r>
    <x v="12"/>
    <x v="1"/>
    <x v="0"/>
    <s v="5658200"/>
    <n v="730020"/>
    <s v="Rental and Leases-Copier Usage Fees (DO NOT USE)"/>
    <s v="FMC-Pearl S/S"/>
    <x v="0"/>
    <n v="5100"/>
    <n v="0"/>
    <n v="0"/>
    <n v="0"/>
    <n v="0"/>
    <n v="0"/>
    <n v="0"/>
    <n v="1608.68"/>
    <n v="133.47999999999999"/>
    <n v="133.19999999999999"/>
    <n v="133.76"/>
    <n v="133.47999999999999"/>
    <n v="133.47999999999999"/>
    <n v="2276.08"/>
    <n v="0"/>
  </r>
  <r>
    <x v="12"/>
    <x v="1"/>
    <x v="0"/>
    <s v="5658200"/>
    <n v="730040"/>
    <s v="LT Lease-Real Estate"/>
    <s v="FMC-Pearl S/S"/>
    <x v="0"/>
    <m/>
    <n v="0"/>
    <n v="0"/>
    <n v="0"/>
    <n v="0"/>
    <n v="0"/>
    <n v="0"/>
    <n v="0"/>
    <n v="0"/>
    <n v="0"/>
    <n v="0"/>
    <n v="0"/>
    <n v="29089.31"/>
    <n v="29089.31"/>
    <n v="-29089.31"/>
  </r>
  <r>
    <x v="15"/>
    <x v="1"/>
    <x v="0"/>
    <s v="5658200"/>
    <n v="731020"/>
    <s v="Electricity"/>
    <s v="FMC-Pearl S/S"/>
    <x v="0"/>
    <m/>
    <n v="0"/>
    <n v="392.71"/>
    <n v="692.19"/>
    <n v="2051.33"/>
    <n v="495.58"/>
    <n v="649.16999999999996"/>
    <n v="709.2"/>
    <n v="808.52"/>
    <n v="1068.3"/>
    <n v="806.91"/>
    <n v="665.41"/>
    <n v="593.6"/>
    <n v="8932.92"/>
    <n v="71.809999999999945"/>
  </r>
  <r>
    <x v="15"/>
    <x v="1"/>
    <x v="0"/>
    <s v="5658200"/>
    <n v="731060"/>
    <s v="Telephone"/>
    <s v="FMC-Pearl S/S"/>
    <x v="0"/>
    <m/>
    <n v="0"/>
    <n v="2008.74"/>
    <n v="694.57"/>
    <n v="563.72"/>
    <n v="619.12"/>
    <n v="723.38"/>
    <n v="727.41"/>
    <n v="573.26"/>
    <n v="645.19000000000005"/>
    <n v="694.73"/>
    <n v="644.83000000000004"/>
    <n v="646.61"/>
    <n v="8541.56"/>
    <n v="-1.7799999999999727"/>
  </r>
  <r>
    <x v="15"/>
    <x v="1"/>
    <x v="0"/>
    <s v="5658200"/>
    <n v="731070"/>
    <s v="Cable TV"/>
    <s v="FMC-Pearl S/S"/>
    <x v="0"/>
    <m/>
    <n v="0"/>
    <n v="0"/>
    <n v="551.36"/>
    <n v="0"/>
    <n v="0"/>
    <n v="0"/>
    <n v="0"/>
    <n v="0"/>
    <n v="0"/>
    <n v="0"/>
    <n v="0"/>
    <n v="0"/>
    <n v="551.36"/>
    <n v="0"/>
  </r>
  <r>
    <x v="15"/>
    <x v="1"/>
    <x v="0"/>
    <s v="5658200"/>
    <n v="731090"/>
    <s v="Other Utilities"/>
    <s v="FMC-Pearl S/S"/>
    <x v="0"/>
    <m/>
    <n v="0"/>
    <n v="0"/>
    <n v="0"/>
    <n v="0"/>
    <n v="0"/>
    <n v="0"/>
    <n v="0"/>
    <n v="0"/>
    <n v="0"/>
    <n v="0"/>
    <n v="0"/>
    <n v="1407"/>
    <n v="1407"/>
    <n v="-1407"/>
  </r>
  <r>
    <x v="16"/>
    <x v="1"/>
    <x v="0"/>
    <s v="5658200"/>
    <n v="732030"/>
    <s v="Repairs---Other"/>
    <s v="FMC-Pearl S/S"/>
    <x v="0"/>
    <m/>
    <n v="0"/>
    <n v="0"/>
    <n v="0"/>
    <n v="153.36000000000001"/>
    <n v="0"/>
    <n v="1662.5"/>
    <n v="0"/>
    <n v="249.93"/>
    <n v="0"/>
    <n v="0"/>
    <n v="0"/>
    <n v="0"/>
    <n v="2065.79"/>
    <n v="0"/>
  </r>
  <r>
    <x v="13"/>
    <x v="1"/>
    <x v="0"/>
    <s v="5658200"/>
    <n v="735060"/>
    <s v="Depreciation-Fixed Equipment"/>
    <s v="FMC-Pearl S/S"/>
    <x v="0"/>
    <m/>
    <n v="0"/>
    <n v="0"/>
    <n v="0"/>
    <n v="738.99"/>
    <n v="738.99"/>
    <n v="923.03"/>
    <n v="923.03"/>
    <n v="923.03"/>
    <n v="923.03"/>
    <n v="923.03"/>
    <n v="923.03"/>
    <n v="923.03"/>
    <n v="7939.1899999999987"/>
    <n v="0"/>
  </r>
  <r>
    <x v="13"/>
    <x v="1"/>
    <x v="0"/>
    <s v="5658200"/>
    <n v="735070"/>
    <s v="Depreciation-Movable Equipment"/>
    <s v="FMC-Pearl S/S"/>
    <x v="0"/>
    <m/>
    <n v="0"/>
    <n v="0"/>
    <n v="0"/>
    <n v="3229.37"/>
    <n v="3229.37"/>
    <n v="6088.84"/>
    <n v="6088.84"/>
    <n v="6088.83"/>
    <n v="6088.85"/>
    <n v="6259.64"/>
    <n v="6259.68"/>
    <n v="6259.62"/>
    <n v="49593.04"/>
    <n v="6.0000000000400178E-2"/>
  </r>
  <r>
    <x v="0"/>
    <x v="1"/>
    <x v="0"/>
    <s v="5658200"/>
    <n v="742010"/>
    <s v="Postage-Regular"/>
    <s v="FMC-Pearl S/S"/>
    <x v="0"/>
    <m/>
    <n v="0"/>
    <n v="375"/>
    <n v="0"/>
    <n v="0"/>
    <n v="0"/>
    <n v="0"/>
    <n v="-375"/>
    <n v="0"/>
    <n v="0"/>
    <n v="0"/>
    <n v="0"/>
    <n v="0"/>
    <n v="0"/>
    <n v="0"/>
  </r>
  <r>
    <x v="0"/>
    <x v="1"/>
    <x v="0"/>
    <s v="5658200"/>
    <n v="742030"/>
    <s v="Freight-Courier"/>
    <s v="FMC-Pearl S/S"/>
    <x v="0"/>
    <m/>
    <n v="0"/>
    <n v="25.15"/>
    <n v="0"/>
    <n v="14.07"/>
    <n v="0"/>
    <n v="0"/>
    <n v="0"/>
    <n v="0"/>
    <n v="0"/>
    <n v="0"/>
    <n v="0"/>
    <n v="-25.15"/>
    <n v="14.07"/>
    <n v="25.15"/>
  </r>
  <r>
    <x v="0"/>
    <x v="1"/>
    <x v="0"/>
    <s v="5658200"/>
    <n v="742040"/>
    <s v="Freight-Other"/>
    <s v="FMC-Pearl S/S"/>
    <x v="0"/>
    <m/>
    <n v="0"/>
    <n v="0"/>
    <n v="0"/>
    <n v="0"/>
    <n v="0"/>
    <n v="0"/>
    <n v="0"/>
    <n v="0"/>
    <n v="0"/>
    <n v="0"/>
    <n v="0"/>
    <n v="25.15"/>
    <n v="25.15"/>
    <n v="-25.15"/>
  </r>
  <r>
    <x v="0"/>
    <x v="1"/>
    <x v="0"/>
    <s v="5658200"/>
    <n v="743030"/>
    <s v="Subscriptions--Institutional"/>
    <s v="FMC-Pearl S/S"/>
    <x v="0"/>
    <m/>
    <n v="0"/>
    <n v="0"/>
    <n v="0"/>
    <n v="0"/>
    <n v="0"/>
    <n v="0"/>
    <n v="0"/>
    <n v="0"/>
    <n v="0"/>
    <n v="59.63"/>
    <n v="-24.15"/>
    <n v="0"/>
    <n v="35.480000000000004"/>
    <n v="-24.15"/>
  </r>
  <r>
    <x v="0"/>
    <x v="1"/>
    <x v="0"/>
    <s v="5658200"/>
    <n v="749510"/>
    <s v="Miscellaneous Expenses"/>
    <s v="FMC-Pearl S/S"/>
    <x v="0"/>
    <m/>
    <n v="0"/>
    <n v="0"/>
    <n v="0"/>
    <n v="0"/>
    <n v="1197.95"/>
    <n v="224.85"/>
    <n v="118.47"/>
    <n v="0"/>
    <n v="149.9"/>
    <n v="1452.4"/>
    <n v="224.85"/>
    <n v="26.14"/>
    <n v="3394.56"/>
    <n v="198.70999999999998"/>
  </r>
  <r>
    <x v="0"/>
    <x v="1"/>
    <x v="0"/>
    <s v="5658200"/>
    <n v="749510"/>
    <s v="Licenses"/>
    <s v="FMC-Pearl S/S"/>
    <x v="0"/>
    <n v="1002"/>
    <n v="0"/>
    <n v="0"/>
    <n v="0"/>
    <n v="0"/>
    <n v="0"/>
    <n v="180"/>
    <n v="38.75"/>
    <n v="0"/>
    <n v="0"/>
    <n v="0"/>
    <n v="200"/>
    <n v="0"/>
    <n v="418.75"/>
    <n v="200"/>
  </r>
  <r>
    <x v="0"/>
    <x v="1"/>
    <x v="0"/>
    <s v="5658200"/>
    <n v="749510"/>
    <s v="RICE Rewards"/>
    <s v="FMC-Pearl S/S"/>
    <x v="0"/>
    <n v="5100"/>
    <n v="0"/>
    <n v="0"/>
    <n v="0"/>
    <n v="0"/>
    <n v="0"/>
    <n v="0"/>
    <n v="0"/>
    <n v="0"/>
    <n v="0"/>
    <n v="273.22000000000003"/>
    <n v="0"/>
    <n v="58.94"/>
    <n v="332.16"/>
    <n v="-58.94"/>
  </r>
  <r>
    <x v="0"/>
    <x v="1"/>
    <x v="0"/>
    <s v="5658200"/>
    <n v="749530"/>
    <s v="Travel"/>
    <s v="FMC-Pearl S/S"/>
    <x v="0"/>
    <m/>
    <n v="0"/>
    <n v="0"/>
    <n v="0"/>
    <n v="0"/>
    <n v="0"/>
    <n v="0"/>
    <n v="0"/>
    <n v="0"/>
    <n v="0"/>
    <n v="72"/>
    <n v="65"/>
    <n v="105"/>
    <n v="242"/>
    <n v="-40"/>
  </r>
  <r>
    <x v="0"/>
    <x v="1"/>
    <x v="0"/>
    <s v="5658200"/>
    <n v="749530"/>
    <s v="Mileage"/>
    <s v="FMC-Pearl S/S"/>
    <x v="0"/>
    <n v="1001"/>
    <n v="0"/>
    <n v="0"/>
    <n v="0"/>
    <n v="0"/>
    <n v="0"/>
    <n v="0"/>
    <n v="0"/>
    <n v="0"/>
    <n v="0"/>
    <n v="170.52"/>
    <n v="180.96"/>
    <n v="278.39999999999998"/>
    <n v="629.88"/>
    <n v="-97.439999999999969"/>
  </r>
  <r>
    <x v="2"/>
    <x v="1"/>
    <x v="0"/>
    <s v="5660200"/>
    <n v="450040"/>
    <s v="Prompt Pay Disc-Phys Svcs-Self Pay"/>
    <s v="GYN-Federal Way-Shared Svc"/>
    <x v="0"/>
    <n v="1500"/>
    <n v="0"/>
    <n v="0"/>
    <n v="0"/>
    <n v="0"/>
    <n v="0"/>
    <n v="0"/>
    <n v="0"/>
    <n v="0"/>
    <n v="0"/>
    <n v="0"/>
    <n v="0"/>
    <n v="-5836.25"/>
    <n v="-5836.25"/>
    <n v="5836.25"/>
  </r>
  <r>
    <x v="14"/>
    <x v="1"/>
    <x v="0"/>
    <s v="5660200"/>
    <n v="600010"/>
    <s v="Product Sales Income-Taxable"/>
    <s v="GYN-Federal Way-Shared Svc"/>
    <x v="0"/>
    <m/>
    <n v="-17376.919999999998"/>
    <n v="-21314.43"/>
    <n v="-16308.64"/>
    <n v="-14692.49"/>
    <n v="-12934.19"/>
    <n v="-17618.27"/>
    <n v="-13971.4"/>
    <n v="-14339.49"/>
    <n v="-13644.43"/>
    <n v="-16844.099999999999"/>
    <n v="-23910.58"/>
    <n v="-11882.75"/>
    <n v="-194837.69"/>
    <n v="-12027.830000000002"/>
  </r>
  <r>
    <x v="5"/>
    <x v="1"/>
    <x v="0"/>
    <s v="5660200"/>
    <n v="700014"/>
    <s v="Salaries-Management-Productive"/>
    <s v="GYN-Federal Way-Shared Svc"/>
    <x v="0"/>
    <m/>
    <n v="2509.09"/>
    <n v="2839.25"/>
    <n v="1782.78"/>
    <n v="2847.74"/>
    <n v="3078.64"/>
    <n v="1539.31"/>
    <n v="2920.95"/>
    <n v="2704.52"/>
    <n v="2839.75"/>
    <n v="2974.96"/>
    <n v="2704.52"/>
    <n v="1757.94"/>
    <n v="30499.449999999997"/>
    <n v="946.57999999999993"/>
  </r>
  <r>
    <x v="5"/>
    <x v="1"/>
    <x v="0"/>
    <s v="5660200"/>
    <n v="700018"/>
    <s v="Salaries-Supervisory-Productive"/>
    <s v="GYN-Federal Way-Shared Svc"/>
    <x v="0"/>
    <m/>
    <n v="1327.96"/>
    <n v="1991.96"/>
    <n v="1659.96"/>
    <n v="1942.5"/>
    <n v="1866.97"/>
    <n v="1687.81"/>
    <n v="1876.1"/>
    <n v="1699.72"/>
    <n v="1784.72"/>
    <n v="1869.68"/>
    <n v="1954.69"/>
    <n v="1274.79"/>
    <n v="20936.859999999997"/>
    <n v="679.90000000000009"/>
  </r>
  <r>
    <x v="5"/>
    <x v="1"/>
    <x v="0"/>
    <s v="5660200"/>
    <n v="700038"/>
    <s v="Salaries-Service/Support-Productive"/>
    <s v="GYN-Federal Way-Shared Svc"/>
    <x v="0"/>
    <m/>
    <n v="12897.59"/>
    <n v="14531.94"/>
    <n v="12894.47"/>
    <n v="13121.47"/>
    <n v="15152.14"/>
    <n v="9736.25"/>
    <n v="11945.34"/>
    <n v="9918.34"/>
    <n v="12554.42"/>
    <n v="7776.36"/>
    <n v="9254.36"/>
    <n v="7315.35"/>
    <n v="137098.03"/>
    <n v="1939.0100000000002"/>
  </r>
  <r>
    <x v="5"/>
    <x v="1"/>
    <x v="0"/>
    <s v="5660200"/>
    <n v="700038"/>
    <s v="Salaries-Service/Support-OT"/>
    <s v="GYN-Federal Way-Shared Svc"/>
    <x v="0"/>
    <n v="1000"/>
    <n v="20.84"/>
    <n v="68.62"/>
    <n v="68.290000000000006"/>
    <n v="-19.66"/>
    <n v="37.28"/>
    <n v="8.98"/>
    <n v="-0.93"/>
    <n v="0"/>
    <n v="67.91"/>
    <n v="-17.149999999999999"/>
    <n v="340.83"/>
    <n v="-128.41999999999999"/>
    <n v="446.59000000000003"/>
    <n v="469.25"/>
  </r>
  <r>
    <x v="5"/>
    <x v="1"/>
    <x v="0"/>
    <s v="5660200"/>
    <n v="700058"/>
    <s v="Salaries-Supervisory-Non-productive"/>
    <s v="GYN-Federal Way-Shared Svc"/>
    <x v="0"/>
    <m/>
    <n v="885.31"/>
    <n v="-147.55000000000001"/>
    <n v="0"/>
    <n v="245.92"/>
    <n v="502.88"/>
    <n v="502.88"/>
    <n v="503.62"/>
    <n v="705.08"/>
    <n v="-201.45"/>
    <n v="0"/>
    <n v="755.46"/>
    <n v="503.62"/>
    <n v="4255.7700000000004"/>
    <n v="251.84000000000003"/>
  </r>
  <r>
    <x v="5"/>
    <x v="1"/>
    <x v="0"/>
    <s v="5660200"/>
    <n v="700078"/>
    <s v="Salaries-Service/Support-Non-productive"/>
    <s v="GYN-Federal Way-Shared Svc"/>
    <x v="0"/>
    <m/>
    <n v="2546.0700000000002"/>
    <n v="1731.71"/>
    <n v="1208.6099999999999"/>
    <n v="2876.29"/>
    <n v="1192.28"/>
    <n v="4650.82"/>
    <n v="2241.77"/>
    <n v="1518.55"/>
    <n v="606.73"/>
    <n v="844.9"/>
    <n v="984.8"/>
    <n v="2443.48"/>
    <n v="22846.01"/>
    <n v="-1458.68"/>
  </r>
  <r>
    <x v="5"/>
    <x v="1"/>
    <x v="0"/>
    <s v="5660200"/>
    <n v="700078"/>
    <s v="Salaries-Service/Support-NonProd-Other"/>
    <s v="GYN-Federal Way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660200"/>
    <n v="700084"/>
    <s v="Accrued PTO"/>
    <s v="GYN-Federal Way-Shared Svc"/>
    <x v="0"/>
    <m/>
    <n v="-986.21"/>
    <n v="998.12"/>
    <n v="1045.99"/>
    <n v="669.49"/>
    <n v="828.07"/>
    <n v="-1985.58"/>
    <n v="-77.89"/>
    <n v="194.45"/>
    <n v="1657.75"/>
    <n v="286.12"/>
    <n v="1061.6199999999999"/>
    <n v="-1609.22"/>
    <n v="2082.71"/>
    <n v="2670.84"/>
  </r>
  <r>
    <x v="6"/>
    <x v="1"/>
    <x v="0"/>
    <s v="5660200"/>
    <n v="713010"/>
    <s v="Benefits-FICA/Medicare"/>
    <s v="GYN-Federal Way-Shared Svc"/>
    <x v="0"/>
    <m/>
    <n v="1478.07"/>
    <n v="1539.47"/>
    <n v="1288.75"/>
    <n v="1533.58"/>
    <n v="1629.97"/>
    <n v="1330.76"/>
    <n v="1431.07"/>
    <n v="1213.58"/>
    <n v="1293.81"/>
    <n v="1002.16"/>
    <n v="1169.55"/>
    <n v="957.92"/>
    <n v="15868.689999999999"/>
    <n v="211.63"/>
  </r>
  <r>
    <x v="6"/>
    <x v="1"/>
    <x v="0"/>
    <s v="5660200"/>
    <n v="713090"/>
    <s v="Benefits-Allocated Amounts"/>
    <s v="GYN-Federal Way-Shared Svc"/>
    <x v="0"/>
    <m/>
    <n v="5078.88"/>
    <n v="4685.92"/>
    <n v="4860.95"/>
    <n v="5028.6899999999996"/>
    <n v="5242.41"/>
    <n v="4894.1099999999997"/>
    <n v="5316.58"/>
    <n v="4812.43"/>
    <n v="4956.33"/>
    <n v="3451.81"/>
    <n v="3850.19"/>
    <n v="3316.3"/>
    <n v="55494.600000000006"/>
    <n v="533.88999999999987"/>
  </r>
  <r>
    <x v="6"/>
    <x v="1"/>
    <x v="0"/>
    <s v="5660200"/>
    <n v="713096"/>
    <s v="Employee Recognition"/>
    <s v="GYN-Federal Way-Shared Svc"/>
    <x v="0"/>
    <n v="1017"/>
    <n v="0"/>
    <n v="0"/>
    <n v="0"/>
    <n v="0"/>
    <n v="0"/>
    <n v="0"/>
    <n v="0"/>
    <n v="35.979999999999997"/>
    <n v="0"/>
    <n v="0"/>
    <n v="57.47"/>
    <n v="0"/>
    <n v="93.449999999999989"/>
    <n v="57.47"/>
  </r>
  <r>
    <x v="7"/>
    <x v="1"/>
    <x v="0"/>
    <s v="5660200"/>
    <n v="718010"/>
    <s v="Media/Print Advertising"/>
    <s v="GYN-Federal Way-Shared Svc"/>
    <x v="0"/>
    <n v="1004"/>
    <n v="0"/>
    <n v="0"/>
    <n v="223.26"/>
    <n v="0"/>
    <n v="0"/>
    <n v="270.69"/>
    <n v="110.43"/>
    <n v="0"/>
    <n v="0"/>
    <n v="604.74"/>
    <n v="574.5"/>
    <n v="0"/>
    <n v="1783.62"/>
    <n v="574.5"/>
  </r>
  <r>
    <x v="7"/>
    <x v="1"/>
    <x v="0"/>
    <s v="5660200"/>
    <n v="718050"/>
    <s v="Contract Svcs-Other"/>
    <s v="GYN-Federal Way-Shared Svc"/>
    <x v="0"/>
    <m/>
    <n v="0"/>
    <n v="0"/>
    <n v="0"/>
    <n v="225"/>
    <n v="0"/>
    <n v="0"/>
    <n v="0"/>
    <n v="0"/>
    <n v="250"/>
    <n v="0"/>
    <n v="250"/>
    <n v="1367.97"/>
    <n v="2092.9700000000003"/>
    <n v="-1117.97"/>
  </r>
  <r>
    <x v="7"/>
    <x v="1"/>
    <x v="0"/>
    <s v="5660200"/>
    <n v="718050"/>
    <s v="Document Shredding/Storage"/>
    <s v="GYN-Federal Way-Shared Svc"/>
    <x v="0"/>
    <n v="1012"/>
    <n v="130.13999999999999"/>
    <n v="62.03"/>
    <n v="58.16"/>
    <n v="75.400000000000006"/>
    <n v="40.869999999999997"/>
    <n v="72.92"/>
    <n v="72.19"/>
    <n v="167.68"/>
    <n v="114.16"/>
    <n v="37.26"/>
    <n v="106.32"/>
    <n v="79.13"/>
    <n v="1016.2600000000001"/>
    <n v="27.189999999999998"/>
  </r>
  <r>
    <x v="7"/>
    <x v="1"/>
    <x v="0"/>
    <s v="5660200"/>
    <n v="718050"/>
    <s v="Physician Answering"/>
    <s v="GYN-Federal Way-Shared Svc"/>
    <x v="0"/>
    <n v="1015"/>
    <n v="454.2"/>
    <n v="591.4"/>
    <n v="498.6"/>
    <n v="185.8"/>
    <n v="559"/>
    <n v="602.6"/>
    <n v="804.6"/>
    <n v="654.4"/>
    <n v="548.20000000000005"/>
    <n v="640.4"/>
    <n v="660"/>
    <n v="547"/>
    <n v="6746.1999999999989"/>
    <n v="113"/>
  </r>
  <r>
    <x v="7"/>
    <x v="1"/>
    <x v="0"/>
    <s v="5660200"/>
    <n v="718050"/>
    <s v="Miscellaneous Purchased Svcs"/>
    <s v="GYN-Federal Way-Shared Svc"/>
    <x v="0"/>
    <n v="1020"/>
    <n v="22.66"/>
    <n v="11.33"/>
    <n v="11.33"/>
    <n v="413.02"/>
    <n v="0"/>
    <n v="16.05"/>
    <n v="392.33"/>
    <n v="21.33"/>
    <n v="16.329999999999998"/>
    <n v="16.329999999999998"/>
    <n v="11.33"/>
    <n v="10"/>
    <n v="942.04000000000019"/>
    <n v="1.33"/>
  </r>
  <r>
    <x v="7"/>
    <x v="1"/>
    <x v="0"/>
    <s v="5660200"/>
    <n v="718050"/>
    <s v="Translation Services"/>
    <s v="GYN-Federal Way-Shared Svc"/>
    <x v="0"/>
    <n v="1025"/>
    <n v="567.5"/>
    <n v="669"/>
    <n v="1478"/>
    <n v="113"/>
    <n v="443.5"/>
    <n v="409"/>
    <n v="656.5"/>
    <n v="597.05999999999995"/>
    <n v="834"/>
    <n v="789.13"/>
    <n v="678.92"/>
    <n v="7.9"/>
    <n v="7243.5099999999993"/>
    <n v="671.02"/>
  </r>
  <r>
    <x v="7"/>
    <x v="1"/>
    <x v="0"/>
    <s v="5660200"/>
    <n v="718050"/>
    <s v="Contract Management--Linen"/>
    <s v="GYN-Federal Way-Shared Svc"/>
    <x v="0"/>
    <n v="1026"/>
    <n v="376.84"/>
    <n v="377.3"/>
    <n v="566.35"/>
    <n v="284.87"/>
    <n v="285.20999999999998"/>
    <n v="281.88"/>
    <n v="376.43"/>
    <n v="567.15"/>
    <n v="476.74"/>
    <n v="190.37"/>
    <n v="380.16"/>
    <n v="350.2"/>
    <n v="4513.5"/>
    <n v="29.960000000000036"/>
  </r>
  <r>
    <x v="7"/>
    <x v="1"/>
    <x v="0"/>
    <s v="5660200"/>
    <n v="718050"/>
    <s v="Purchased Srvcs--Medical Waste"/>
    <s v="GYN-Federal Way-Shared Svc"/>
    <x v="0"/>
    <n v="1027"/>
    <n v="135.58000000000001"/>
    <n v="67.790000000000006"/>
    <n v="57.43"/>
    <n v="89.29"/>
    <n v="67.790000000000006"/>
    <n v="157.55000000000001"/>
    <n v="0"/>
    <n v="231.52"/>
    <n v="90.06"/>
    <n v="0"/>
    <n v="10.36"/>
    <n v="10.36"/>
    <n v="917.73"/>
    <n v="0"/>
  </r>
  <r>
    <x v="7"/>
    <x v="1"/>
    <x v="0"/>
    <s v="5660200"/>
    <n v="718070"/>
    <s v="Contract Srvcs-CHI Clinical Engineering"/>
    <s v="GYN-Federal Way-Shared Svc"/>
    <x v="0"/>
    <m/>
    <n v="0"/>
    <n v="0"/>
    <n v="72.150000000000006"/>
    <n v="50.5"/>
    <n v="57.4"/>
    <n v="307.39999999999998"/>
    <n v="307.39999999999998"/>
    <n v="0"/>
    <n v="9.2200000000000006"/>
    <n v="0"/>
    <n v="0"/>
    <n v="0"/>
    <n v="804.06999999999994"/>
    <n v="0"/>
  </r>
  <r>
    <x v="11"/>
    <x v="1"/>
    <x v="0"/>
    <s v="5660200"/>
    <n v="721010"/>
    <s v="Supplies-Medical - Billable"/>
    <s v="GYN-Federal Way-Shared Svc"/>
    <x v="0"/>
    <m/>
    <n v="6713.41"/>
    <n v="7030.05"/>
    <n v="5940.65"/>
    <n v="3158.01"/>
    <n v="951.33"/>
    <n v="2264.88"/>
    <n v="6401.04"/>
    <n v="6840.37"/>
    <n v="8428.6"/>
    <n v="2095.71"/>
    <n v="3233.73"/>
    <n v="5087.43"/>
    <n v="58145.210000000006"/>
    <n v="-1853.7000000000003"/>
  </r>
  <r>
    <x v="11"/>
    <x v="1"/>
    <x v="0"/>
    <s v="5660200"/>
    <n v="721020"/>
    <s v="Urological Supplies"/>
    <s v="GYN-Federal Way-Shared Svc"/>
    <x v="0"/>
    <n v="1006"/>
    <n v="2939.67"/>
    <n v="3132.85"/>
    <n v="193.77"/>
    <n v="0"/>
    <n v="2939.67"/>
    <n v="3029.27"/>
    <n v="2715.49"/>
    <n v="-161.43"/>
    <n v="2625.88"/>
    <n v="82.12"/>
    <n v="4341.88"/>
    <n v="-178.79"/>
    <n v="21660.38"/>
    <n v="4520.67"/>
  </r>
  <r>
    <x v="11"/>
    <x v="1"/>
    <x v="0"/>
    <s v="5660200"/>
    <n v="721240"/>
    <s v="Supplies-IV Solutions/Supplies - Billable"/>
    <s v="GYN-Federal Way-Shared Svc"/>
    <x v="0"/>
    <m/>
    <n v="0"/>
    <n v="110.58"/>
    <n v="33.42"/>
    <n v="0"/>
    <n v="0"/>
    <n v="0"/>
    <n v="0"/>
    <n v="0"/>
    <n v="0"/>
    <n v="0"/>
    <n v="0"/>
    <n v="144"/>
    <n v="288"/>
    <n v="-144"/>
  </r>
  <r>
    <x v="11"/>
    <x v="1"/>
    <x v="0"/>
    <s v="5660200"/>
    <n v="721250"/>
    <s v="Supplies-Pharmacy Drugs - Billable"/>
    <s v="GYN-Federal Way-Shared Svc"/>
    <x v="0"/>
    <m/>
    <n v="57.93"/>
    <n v="107.54"/>
    <n v="0"/>
    <n v="119.91"/>
    <n v="669.35"/>
    <n v="824.91"/>
    <n v="737"/>
    <n v="796.81"/>
    <n v="1334.9"/>
    <n v="0"/>
    <n v="-3071.81"/>
    <n v="0"/>
    <n v="1576.5400000000004"/>
    <n v="-3071.81"/>
  </r>
  <r>
    <x v="11"/>
    <x v="1"/>
    <x v="0"/>
    <s v="5660200"/>
    <n v="721410"/>
    <s v="Supplies-Medical - Nonbillable"/>
    <s v="GYN-Federal Way-Shared Svc"/>
    <x v="0"/>
    <m/>
    <n v="2024.92"/>
    <n v="4192.71"/>
    <n v="2038.21"/>
    <n v="1786.6"/>
    <n v="2739.75"/>
    <n v="4573.01"/>
    <n v="966.67"/>
    <n v="1545.04"/>
    <n v="3984.66"/>
    <n v="3.2"/>
    <n v="-353.66"/>
    <n v="5092.03"/>
    <n v="28593.14"/>
    <n v="-5445.69"/>
  </r>
  <r>
    <x v="11"/>
    <x v="1"/>
    <x v="0"/>
    <s v="5660200"/>
    <n v="721640"/>
    <s v="Supplies-IV Solutions/Supplies - Nonbillable"/>
    <s v="GYN-Federal Way-Shared Svc"/>
    <x v="0"/>
    <m/>
    <n v="304"/>
    <n v="37.590000000000003"/>
    <n v="0"/>
    <n v="608"/>
    <n v="744"/>
    <n v="0"/>
    <n v="-12"/>
    <n v="0"/>
    <n v="790"/>
    <n v="-52"/>
    <n v="790"/>
    <n v="-52.59"/>
    <n v="3157"/>
    <n v="842.59"/>
  </r>
  <r>
    <x v="11"/>
    <x v="1"/>
    <x v="0"/>
    <s v="5660200"/>
    <n v="721810"/>
    <s v="Supplies-Dietary/Cafeteria"/>
    <s v="GYN-Federal Way-Shared Svc"/>
    <x v="0"/>
    <m/>
    <n v="0"/>
    <n v="0"/>
    <n v="0"/>
    <n v="0"/>
    <n v="0"/>
    <n v="267.83999999999997"/>
    <n v="0"/>
    <n v="0"/>
    <n v="0"/>
    <n v="0"/>
    <n v="0"/>
    <n v="0"/>
    <n v="267.83999999999997"/>
    <n v="0"/>
  </r>
  <r>
    <x v="11"/>
    <x v="1"/>
    <x v="0"/>
    <s v="5660200"/>
    <n v="721830"/>
    <s v="Supplies-Office"/>
    <s v="GYN-Federal Way-Shared Svc"/>
    <x v="0"/>
    <m/>
    <n v="544.72"/>
    <n v="0"/>
    <n v="447.14"/>
    <n v="0"/>
    <n v="440.23"/>
    <n v="438.13"/>
    <n v="112.82"/>
    <n v="375.67"/>
    <n v="333.05"/>
    <n v="306.12"/>
    <n v="81.99"/>
    <n v="435.43"/>
    <n v="3515.2999999999997"/>
    <n v="-353.44"/>
  </r>
  <r>
    <x v="11"/>
    <x v="1"/>
    <x v="0"/>
    <s v="5660200"/>
    <n v="721835"/>
    <s v="Supplies-Forms"/>
    <s v="GYN-Federal Way-Shared Svc"/>
    <x v="0"/>
    <m/>
    <n v="0"/>
    <n v="0"/>
    <n v="0"/>
    <n v="0"/>
    <n v="0.5"/>
    <n v="0"/>
    <n v="0"/>
    <n v="0"/>
    <n v="0"/>
    <n v="9.99"/>
    <n v="128.69999999999999"/>
    <n v="0"/>
    <n v="139.19"/>
    <n v="128.69999999999999"/>
  </r>
  <r>
    <x v="11"/>
    <x v="1"/>
    <x v="0"/>
    <s v="5660200"/>
    <n v="721870"/>
    <s v="Supplies-Environmental Services"/>
    <s v="GYN-Federal Way-Shared Svc"/>
    <x v="0"/>
    <m/>
    <n v="0"/>
    <n v="0"/>
    <n v="0"/>
    <n v="0"/>
    <n v="0"/>
    <n v="0"/>
    <n v="0"/>
    <n v="0"/>
    <n v="206.76"/>
    <n v="0"/>
    <n v="0"/>
    <n v="0"/>
    <n v="206.76"/>
    <n v="0"/>
  </r>
  <r>
    <x v="11"/>
    <x v="1"/>
    <x v="0"/>
    <s v="5660200"/>
    <n v="721910"/>
    <s v="Supplies-Small Equipment"/>
    <s v="GYN-Federal Way-Shared Svc"/>
    <x v="0"/>
    <m/>
    <n v="0"/>
    <n v="0"/>
    <n v="209.27"/>
    <n v="0"/>
    <n v="0"/>
    <n v="0"/>
    <n v="0"/>
    <n v="0"/>
    <n v="0"/>
    <n v="0"/>
    <n v="0"/>
    <n v="590"/>
    <n v="799.27"/>
    <n v="-590"/>
  </r>
  <r>
    <x v="11"/>
    <x v="1"/>
    <x v="0"/>
    <s v="5660200"/>
    <n v="721980"/>
    <s v="Supplies-Other"/>
    <s v="GYN-Federal Way-Shared Svc"/>
    <x v="0"/>
    <m/>
    <n v="0"/>
    <n v="2133.42"/>
    <n v="0"/>
    <n v="1102.2"/>
    <n v="1235.01"/>
    <n v="0"/>
    <n v="0"/>
    <n v="0"/>
    <n v="3228.76"/>
    <n v="0"/>
    <n v="1783.1"/>
    <n v="1617.29"/>
    <n v="11099.779999999999"/>
    <n v="165.80999999999995"/>
  </r>
  <r>
    <x v="11"/>
    <x v="1"/>
    <x v="0"/>
    <s v="5660200"/>
    <n v="722000"/>
    <s v="Supplies-Freight Expense"/>
    <s v="GYN-Federal Way-Shared Svc"/>
    <x v="0"/>
    <m/>
    <n v="0"/>
    <n v="58.53"/>
    <n v="29.76"/>
    <n v="35.5"/>
    <n v="37.79"/>
    <n v="37.79"/>
    <n v="97.35"/>
    <n v="14"/>
    <n v="25.85"/>
    <n v="65.78"/>
    <n v="14"/>
    <n v="78.81"/>
    <n v="495.16"/>
    <n v="-64.81"/>
  </r>
  <r>
    <x v="12"/>
    <x v="1"/>
    <x v="0"/>
    <s v="5660200"/>
    <n v="730010"/>
    <s v="Rental and Leases-Building (DO NOT USE)"/>
    <s v="GYN-Federal Way-Shared Svc"/>
    <x v="0"/>
    <m/>
    <n v="12935.25"/>
    <n v="12935.25"/>
    <n v="12935.25"/>
    <n v="12935.25"/>
    <n v="12935.25"/>
    <n v="-11040.75"/>
    <n v="8939.25"/>
    <n v="8939.25"/>
    <n v="8939.25"/>
    <n v="0"/>
    <n v="17878.5"/>
    <n v="0"/>
    <n v="98331.75"/>
    <n v="17878.5"/>
  </r>
  <r>
    <x v="12"/>
    <x v="1"/>
    <x v="0"/>
    <s v="5660200"/>
    <n v="730010"/>
    <s v="Rental-Common Area Maint (DO NOT USE)"/>
    <s v="GYN-Federal Way-Shared Svc"/>
    <x v="0"/>
    <n v="2200"/>
    <n v="0"/>
    <n v="0"/>
    <n v="0"/>
    <n v="0"/>
    <n v="0"/>
    <n v="23976"/>
    <n v="4270"/>
    <n v="4133"/>
    <n v="4133"/>
    <n v="0"/>
    <n v="8266"/>
    <n v="0"/>
    <n v="44778"/>
    <n v="8266"/>
  </r>
  <r>
    <x v="12"/>
    <x v="1"/>
    <x v="0"/>
    <s v="5660200"/>
    <n v="730020"/>
    <s v="Rental and Leases-Copier Usage Fees (DO NOT USE)"/>
    <s v="GYN-Federal Way-Shared Svc"/>
    <x v="0"/>
    <n v="5100"/>
    <n v="390.9"/>
    <n v="399.72"/>
    <n v="395.31"/>
    <n v="395.31"/>
    <n v="395.31"/>
    <n v="395.31"/>
    <n v="-146.9"/>
    <n v="299.58999999999997"/>
    <n v="359.81"/>
    <n v="573.77"/>
    <n v="356"/>
    <n v="372.91"/>
    <n v="4187.04"/>
    <n v="-16.910000000000025"/>
  </r>
  <r>
    <x v="12"/>
    <x v="1"/>
    <x v="0"/>
    <s v="5660200"/>
    <n v="730040"/>
    <s v="LT Lease-Real Estate"/>
    <s v="GYN-Federal Way-Shared Svc"/>
    <x v="0"/>
    <m/>
    <n v="0"/>
    <n v="0"/>
    <n v="0"/>
    <n v="0"/>
    <n v="0"/>
    <n v="0"/>
    <n v="0"/>
    <n v="0"/>
    <n v="0"/>
    <n v="0"/>
    <n v="0"/>
    <n v="7931.5"/>
    <n v="7931.5"/>
    <n v="-7931.5"/>
  </r>
  <r>
    <x v="15"/>
    <x v="1"/>
    <x v="0"/>
    <s v="5660200"/>
    <n v="731060"/>
    <s v="Telephone"/>
    <s v="GYN-Federal Way-Shared Svc"/>
    <x v="0"/>
    <m/>
    <n v="383.5"/>
    <n v="760.82"/>
    <n v="25.81"/>
    <n v="365.01"/>
    <n v="392.58"/>
    <n v="419.84"/>
    <n v="420.68"/>
    <n v="366.15"/>
    <n v="393.25"/>
    <n v="420.08"/>
    <n v="392.29"/>
    <n v="394.72"/>
    <n v="4734.7300000000005"/>
    <n v="-2.4300000000000068"/>
  </r>
  <r>
    <x v="16"/>
    <x v="1"/>
    <x v="0"/>
    <s v="5660200"/>
    <n v="732030"/>
    <s v="Repairs---Other"/>
    <s v="GYN-Federal Way-Shared Svc"/>
    <x v="0"/>
    <m/>
    <n v="0"/>
    <n v="0"/>
    <n v="3965.5"/>
    <n v="0"/>
    <n v="3982"/>
    <n v="0"/>
    <n v="320"/>
    <n v="0"/>
    <n v="32"/>
    <n v="0"/>
    <n v="0"/>
    <n v="0"/>
    <n v="8299.5"/>
    <n v="0"/>
  </r>
  <r>
    <x v="16"/>
    <x v="1"/>
    <x v="0"/>
    <s v="5660200"/>
    <n v="732030"/>
    <s v="Repairs&amp;Maintenance-Bldg Routine"/>
    <s v="GYN-Federal Way-Shared Svc"/>
    <x v="0"/>
    <n v="2300"/>
    <n v="0"/>
    <n v="0"/>
    <n v="0"/>
    <n v="0"/>
    <n v="0"/>
    <n v="0"/>
    <n v="430.54"/>
    <n v="0"/>
    <n v="75"/>
    <n v="0"/>
    <n v="0"/>
    <n v="0"/>
    <n v="505.54"/>
    <n v="0"/>
  </r>
  <r>
    <x v="13"/>
    <x v="1"/>
    <x v="0"/>
    <s v="5660200"/>
    <n v="735070"/>
    <s v="Depreciation-Movable Equipment"/>
    <s v="GYN-Federal Way-Shared Svc"/>
    <x v="0"/>
    <m/>
    <n v="1337.16"/>
    <n v="1337.15"/>
    <n v="670.22"/>
    <n v="835.52"/>
    <n v="835.54"/>
    <n v="717.72"/>
    <n v="717.75"/>
    <n v="717.71"/>
    <n v="717.75"/>
    <n v="717.71"/>
    <n v="717.75"/>
    <n v="717.71"/>
    <n v="10039.690000000002"/>
    <n v="3.999999999996362E-2"/>
  </r>
  <r>
    <x v="0"/>
    <x v="1"/>
    <x v="0"/>
    <s v="5660200"/>
    <n v="742040"/>
    <s v="Freight-Other"/>
    <s v="GYN-Federal Way-Shared Svc"/>
    <x v="0"/>
    <m/>
    <n v="0"/>
    <n v="0"/>
    <n v="0"/>
    <n v="0"/>
    <n v="0"/>
    <n v="792"/>
    <n v="0"/>
    <n v="0"/>
    <n v="0"/>
    <n v="0"/>
    <n v="0"/>
    <n v="0"/>
    <n v="792"/>
    <n v="0"/>
  </r>
  <r>
    <x v="0"/>
    <x v="1"/>
    <x v="0"/>
    <s v="5660200"/>
    <n v="743020"/>
    <s v="Dues--Individual"/>
    <s v="GYN-Federal Way-Shared Svc"/>
    <x v="0"/>
    <m/>
    <n v="0"/>
    <n v="0"/>
    <n v="650"/>
    <n v="0"/>
    <n v="0"/>
    <n v="0"/>
    <n v="0"/>
    <n v="0"/>
    <n v="0"/>
    <n v="0"/>
    <n v="0"/>
    <n v="650"/>
    <n v="1300"/>
    <n v="-650"/>
  </r>
  <r>
    <x v="0"/>
    <x v="1"/>
    <x v="0"/>
    <s v="5660200"/>
    <n v="743030"/>
    <s v="Subscriptions--Institutional"/>
    <s v="GYN-Federal Way-Shared Svc"/>
    <x v="0"/>
    <m/>
    <n v="0"/>
    <n v="0"/>
    <n v="0"/>
    <n v="267"/>
    <n v="0"/>
    <n v="0"/>
    <n v="0"/>
    <n v="30"/>
    <n v="0"/>
    <n v="0"/>
    <n v="0"/>
    <n v="0"/>
    <n v="297"/>
    <n v="0"/>
  </r>
  <r>
    <x v="0"/>
    <x v="1"/>
    <x v="0"/>
    <s v="5660200"/>
    <n v="749510"/>
    <s v="Miscellaneous Expenses"/>
    <s v="GYN-Federal Way-Shared Svc"/>
    <x v="0"/>
    <m/>
    <n v="0"/>
    <n v="0"/>
    <n v="2250"/>
    <n v="0"/>
    <n v="148.5"/>
    <n v="0"/>
    <n v="0"/>
    <n v="0"/>
    <n v="-5"/>
    <n v="57.47"/>
    <n v="-57.47"/>
    <n v="107.47"/>
    <n v="2500.9699999999998"/>
    <n v="-164.94"/>
  </r>
  <r>
    <x v="0"/>
    <x v="1"/>
    <x v="0"/>
    <s v="5660200"/>
    <n v="749510"/>
    <s v="Licenses"/>
    <s v="GYN-Federal Way-Shared Svc"/>
    <x v="0"/>
    <n v="1002"/>
    <n v="0"/>
    <n v="0"/>
    <n v="530"/>
    <n v="0"/>
    <n v="110"/>
    <n v="0"/>
    <n v="0"/>
    <n v="0"/>
    <n v="0"/>
    <n v="0"/>
    <n v="0"/>
    <n v="0"/>
    <n v="640"/>
    <n v="0"/>
  </r>
  <r>
    <x v="0"/>
    <x v="1"/>
    <x v="0"/>
    <s v="5660200"/>
    <n v="749510"/>
    <s v="RICE Rewards"/>
    <s v="GYN-Federal Way-Shared Svc"/>
    <x v="0"/>
    <n v="5100"/>
    <n v="0"/>
    <n v="0"/>
    <n v="0"/>
    <n v="0"/>
    <n v="0"/>
    <n v="0"/>
    <n v="0"/>
    <n v="0"/>
    <n v="250"/>
    <n v="0"/>
    <n v="0"/>
    <n v="50"/>
    <n v="300"/>
    <n v="-50"/>
  </r>
  <r>
    <x v="0"/>
    <x v="1"/>
    <x v="0"/>
    <s v="5660200"/>
    <n v="749510"/>
    <s v="Other Clinic IT Costs"/>
    <s v="GYN-Federal Way-Shared Svc"/>
    <x v="0"/>
    <n v="5105"/>
    <n v="0"/>
    <n v="0"/>
    <n v="0"/>
    <n v="0"/>
    <n v="0"/>
    <n v="0"/>
    <n v="7389.65"/>
    <n v="0"/>
    <n v="0"/>
    <n v="0"/>
    <n v="0"/>
    <n v="0"/>
    <n v="7389.65"/>
    <n v="0"/>
  </r>
  <r>
    <x v="0"/>
    <x v="1"/>
    <x v="0"/>
    <s v="5660200"/>
    <n v="749530"/>
    <s v="Mileage"/>
    <s v="GYN-Federal Way-Shared Svc"/>
    <x v="0"/>
    <n v="1001"/>
    <n v="13.08"/>
    <n v="0"/>
    <n v="0"/>
    <n v="61.06"/>
    <n v="0"/>
    <n v="19.62"/>
    <n v="33.96"/>
    <n v="0"/>
    <n v="0"/>
    <n v="0"/>
    <n v="0"/>
    <n v="0"/>
    <n v="127.72"/>
    <n v="0"/>
  </r>
  <r>
    <x v="0"/>
    <x v="1"/>
    <x v="0"/>
    <s v="5660200"/>
    <n v="749535"/>
    <s v="Meetings"/>
    <s v="GYN-Federal Way-Shared Svc"/>
    <x v="0"/>
    <m/>
    <n v="0"/>
    <n v="0"/>
    <n v="419.01"/>
    <n v="0"/>
    <n v="0"/>
    <n v="0"/>
    <n v="0"/>
    <n v="0"/>
    <n v="0"/>
    <n v="0"/>
    <n v="0"/>
    <n v="0"/>
    <n v="419.01"/>
    <n v="0"/>
  </r>
  <r>
    <x v="0"/>
    <x v="1"/>
    <x v="0"/>
    <s v="5660200"/>
    <n v="749550"/>
    <s v="Cash Over/Short"/>
    <s v="GYN-Federal Way-Shared Svc"/>
    <x v="0"/>
    <m/>
    <n v="-0.02"/>
    <n v="0"/>
    <n v="0"/>
    <n v="0"/>
    <n v="0"/>
    <n v="0"/>
    <n v="0"/>
    <n v="0"/>
    <n v="-4.9800000000000004"/>
    <n v="0"/>
    <n v="0"/>
    <n v="0"/>
    <n v="-5"/>
    <n v="0"/>
  </r>
  <r>
    <x v="0"/>
    <x v="1"/>
    <x v="0"/>
    <s v="5660200"/>
    <n v="766010"/>
    <s v="Property Tax"/>
    <s v="GYN-Federal Way-Shared Svc"/>
    <x v="0"/>
    <m/>
    <n v="293"/>
    <n v="293"/>
    <n v="293"/>
    <n v="293"/>
    <n v="293"/>
    <n v="293"/>
    <n v="293"/>
    <n v="293"/>
    <n v="293"/>
    <n v="-154.11000000000001"/>
    <n v="181.21"/>
    <n v="181.21"/>
    <n v="2845.31"/>
    <n v="0"/>
  </r>
  <r>
    <x v="5"/>
    <x v="1"/>
    <x v="0"/>
    <s v="5661200"/>
    <n v="700038"/>
    <s v="Salaries-Service/Support-Productive"/>
    <s v="Milgard-Shared Svc"/>
    <x v="0"/>
    <m/>
    <n v="0"/>
    <n v="0"/>
    <n v="0"/>
    <n v="0"/>
    <n v="0"/>
    <n v="4332.8100000000004"/>
    <n v="10707.5"/>
    <n v="6599.91"/>
    <n v="8932.42"/>
    <n v="10437.040000000001"/>
    <n v="11090.62"/>
    <n v="8360.52"/>
    <n v="60460.820000000007"/>
    <n v="2730.1000000000004"/>
  </r>
  <r>
    <x v="5"/>
    <x v="1"/>
    <x v="0"/>
    <s v="5661200"/>
    <n v="700038"/>
    <s v="Salaries-Service/Support-OT"/>
    <s v="Milgard-Shared Svc"/>
    <x v="0"/>
    <n v="1000"/>
    <n v="0"/>
    <n v="0"/>
    <n v="0"/>
    <n v="0"/>
    <n v="0"/>
    <n v="31.45"/>
    <n v="36.729999999999997"/>
    <n v="455.12"/>
    <n v="170.46"/>
    <n v="187.44"/>
    <n v="-4.24"/>
    <n v="126.9"/>
    <n v="1003.86"/>
    <n v="-131.14000000000001"/>
  </r>
  <r>
    <x v="5"/>
    <x v="1"/>
    <x v="0"/>
    <s v="5661200"/>
    <n v="700038"/>
    <s v="Salaries-Service/Support-Other"/>
    <s v="Milgard-Shared Svc"/>
    <x v="0"/>
    <n v="2000"/>
    <n v="0"/>
    <n v="0"/>
    <n v="0"/>
    <n v="0"/>
    <n v="0"/>
    <n v="0"/>
    <n v="0"/>
    <n v="22.4"/>
    <n v="32.4"/>
    <n v="0"/>
    <n v="0"/>
    <n v="0"/>
    <n v="54.8"/>
    <n v="0"/>
  </r>
  <r>
    <x v="5"/>
    <x v="1"/>
    <x v="0"/>
    <s v="5661200"/>
    <n v="700078"/>
    <s v="Salaries-Service/Support-Non-productive"/>
    <s v="Milgard-Shared Svc"/>
    <x v="0"/>
    <m/>
    <n v="0"/>
    <n v="0"/>
    <n v="0"/>
    <n v="0"/>
    <n v="0"/>
    <n v="766.47"/>
    <n v="1898.17"/>
    <n v="2607.0100000000002"/>
    <n v="395.56"/>
    <n v="314.83999999999997"/>
    <n v="1016.66"/>
    <n v="1955.76"/>
    <n v="8954.4700000000012"/>
    <n v="-939.1"/>
  </r>
  <r>
    <x v="5"/>
    <x v="1"/>
    <x v="0"/>
    <s v="5661200"/>
    <n v="700084"/>
    <s v="Accrued PTO"/>
    <s v="Milgard-Shared Svc"/>
    <x v="0"/>
    <m/>
    <n v="0"/>
    <n v="0"/>
    <n v="0"/>
    <n v="0"/>
    <n v="0"/>
    <n v="-506.99"/>
    <n v="-622.73"/>
    <n v="-1299.2"/>
    <n v="-1167.45"/>
    <n v="858.11"/>
    <n v="343.42"/>
    <n v="-699.75"/>
    <n v="-3094.5899999999997"/>
    <n v="1043.17"/>
  </r>
  <r>
    <x v="6"/>
    <x v="1"/>
    <x v="0"/>
    <s v="5661200"/>
    <n v="713010"/>
    <s v="Benefits-FICA/Medicare"/>
    <s v="Milgard-Shared Svc"/>
    <x v="0"/>
    <m/>
    <n v="0"/>
    <n v="0"/>
    <n v="0"/>
    <n v="0"/>
    <n v="0"/>
    <n v="381.18"/>
    <n v="923.3"/>
    <n v="715.5"/>
    <n v="711.41"/>
    <n v="778.3"/>
    <n v="886.46"/>
    <n v="766.95"/>
    <n v="5163.0999999999995"/>
    <n v="119.50999999999999"/>
  </r>
  <r>
    <x v="6"/>
    <x v="1"/>
    <x v="0"/>
    <s v="5661200"/>
    <n v="713090"/>
    <s v="Benefits-Allocated Amounts"/>
    <s v="Milgard-Shared Svc"/>
    <x v="0"/>
    <m/>
    <n v="0"/>
    <n v="0"/>
    <n v="0"/>
    <n v="0"/>
    <n v="0"/>
    <n v="1353.75"/>
    <n v="3196.84"/>
    <n v="2937.21"/>
    <n v="2813.04"/>
    <n v="3147.71"/>
    <n v="3286.8"/>
    <n v="4195.8999999999996"/>
    <n v="20931.25"/>
    <n v="-909.09999999999945"/>
  </r>
  <r>
    <x v="6"/>
    <x v="1"/>
    <x v="0"/>
    <s v="5661200"/>
    <n v="713096"/>
    <s v="Employee Recognition"/>
    <s v="Milgard-Shared Svc"/>
    <x v="0"/>
    <n v="1017"/>
    <n v="0"/>
    <n v="0"/>
    <n v="0"/>
    <n v="0"/>
    <n v="0"/>
    <n v="0"/>
    <n v="0"/>
    <n v="0"/>
    <n v="0"/>
    <n v="0"/>
    <n v="0"/>
    <n v="53.43"/>
    <n v="53.43"/>
    <n v="-53.43"/>
  </r>
  <r>
    <x v="7"/>
    <x v="1"/>
    <x v="0"/>
    <s v="5661200"/>
    <n v="718050"/>
    <s v="Contract Svcs-Other"/>
    <s v="Milgard-Shared Svc"/>
    <x v="0"/>
    <m/>
    <n v="0"/>
    <n v="0"/>
    <n v="0"/>
    <n v="0"/>
    <n v="0"/>
    <n v="0"/>
    <n v="291.83999999999997"/>
    <n v="2796.01"/>
    <n v="515.01"/>
    <n v="0"/>
    <n v="38137"/>
    <n v="625.75"/>
    <n v="42365.61"/>
    <n v="37511.25"/>
  </r>
  <r>
    <x v="7"/>
    <x v="1"/>
    <x v="0"/>
    <s v="5661200"/>
    <n v="718050"/>
    <s v="Contract Management--Linen"/>
    <s v="Milgard-Shared Svc"/>
    <x v="0"/>
    <n v="1026"/>
    <n v="0"/>
    <n v="0"/>
    <n v="0"/>
    <n v="0"/>
    <n v="0"/>
    <n v="0"/>
    <n v="0"/>
    <n v="0"/>
    <n v="0"/>
    <n v="72.78"/>
    <n v="96.78"/>
    <n v="0"/>
    <n v="169.56"/>
    <n v="96.78"/>
  </r>
  <r>
    <x v="7"/>
    <x v="1"/>
    <x v="0"/>
    <s v="5661200"/>
    <n v="718050"/>
    <s v="Purchased Srvcs--Medical Waste"/>
    <s v="Milgard-Shared Svc"/>
    <x v="0"/>
    <n v="1027"/>
    <n v="0"/>
    <n v="0"/>
    <n v="0"/>
    <n v="0"/>
    <n v="0"/>
    <n v="0"/>
    <n v="0"/>
    <n v="466.96"/>
    <n v="238.28"/>
    <n v="0"/>
    <n v="20.72"/>
    <n v="0"/>
    <n v="725.96"/>
    <n v="20.72"/>
  </r>
  <r>
    <x v="11"/>
    <x v="1"/>
    <x v="0"/>
    <s v="5661200"/>
    <n v="721010"/>
    <s v="Supplies-Medical - Billable"/>
    <s v="Milgard-Shared Svc"/>
    <x v="0"/>
    <m/>
    <n v="710.15"/>
    <n v="0"/>
    <n v="0"/>
    <n v="0"/>
    <n v="0"/>
    <n v="0"/>
    <n v="0"/>
    <n v="0"/>
    <n v="0"/>
    <n v="0"/>
    <n v="0"/>
    <n v="0"/>
    <n v="710.15"/>
    <n v="0"/>
  </r>
  <r>
    <x v="11"/>
    <x v="1"/>
    <x v="0"/>
    <s v="5661200"/>
    <n v="721410"/>
    <s v="Supplies-Medical - Nonbillable"/>
    <s v="Milgard-Shared Svc"/>
    <x v="0"/>
    <m/>
    <n v="0"/>
    <n v="0"/>
    <n v="0"/>
    <n v="0"/>
    <n v="38.479999999999997"/>
    <n v="7835.4"/>
    <n v="473.16"/>
    <n v="83.22"/>
    <n v="126.15"/>
    <n v="20.95"/>
    <n v="326.37"/>
    <n v="1581.36"/>
    <n v="10485.09"/>
    <n v="-1254.9899999999998"/>
  </r>
  <r>
    <x v="11"/>
    <x v="1"/>
    <x v="0"/>
    <s v="5661200"/>
    <n v="721830"/>
    <s v="Supplies-Office"/>
    <s v="Milgard-Shared Svc"/>
    <x v="0"/>
    <m/>
    <n v="0"/>
    <n v="0"/>
    <n v="0"/>
    <n v="0"/>
    <n v="22.02"/>
    <n v="974.44"/>
    <n v="617.33000000000004"/>
    <n v="98.92"/>
    <n v="152.85"/>
    <n v="62.59"/>
    <n v="829.24"/>
    <n v="205.94"/>
    <n v="2963.33"/>
    <n v="623.29999999999995"/>
  </r>
  <r>
    <x v="11"/>
    <x v="1"/>
    <x v="0"/>
    <s v="5661200"/>
    <n v="721835"/>
    <s v="Supplies-Forms"/>
    <s v="Milgard-Shared Svc"/>
    <x v="0"/>
    <m/>
    <n v="0"/>
    <n v="0"/>
    <n v="0"/>
    <n v="0"/>
    <n v="0"/>
    <n v="0"/>
    <n v="0"/>
    <n v="0"/>
    <n v="0"/>
    <n v="0"/>
    <n v="0"/>
    <n v="97.5"/>
    <n v="97.5"/>
    <n v="-97.5"/>
  </r>
  <r>
    <x v="11"/>
    <x v="1"/>
    <x v="0"/>
    <s v="5661200"/>
    <n v="721910"/>
    <s v="Supplies-Small Equipment"/>
    <s v="Milgard-Shared Svc"/>
    <x v="0"/>
    <m/>
    <n v="0"/>
    <n v="0"/>
    <n v="0"/>
    <n v="2437.63"/>
    <n v="0"/>
    <n v="343.83"/>
    <n v="98.4"/>
    <n v="0"/>
    <n v="0"/>
    <n v="0"/>
    <n v="3618.87"/>
    <n v="103.83"/>
    <n v="6602.5599999999995"/>
    <n v="3515.04"/>
  </r>
  <r>
    <x v="11"/>
    <x v="1"/>
    <x v="0"/>
    <s v="5661200"/>
    <n v="722000"/>
    <s v="Supplies-Freight Expense"/>
    <s v="Milgard-Shared Svc"/>
    <x v="0"/>
    <m/>
    <n v="0"/>
    <n v="0"/>
    <n v="0"/>
    <n v="0"/>
    <n v="0"/>
    <n v="0"/>
    <n v="0"/>
    <n v="0"/>
    <n v="0"/>
    <n v="0"/>
    <n v="0"/>
    <n v="50"/>
    <n v="50"/>
    <n v="-50"/>
  </r>
  <r>
    <x v="12"/>
    <x v="1"/>
    <x v="0"/>
    <s v="5661200"/>
    <n v="730010"/>
    <s v="Rental and Leases-Building (DO NOT USE)"/>
    <s v="Milgard-Shared Svc"/>
    <x v="0"/>
    <m/>
    <n v="0"/>
    <n v="0"/>
    <n v="0"/>
    <n v="0"/>
    <n v="47074.720000000001"/>
    <n v="16825.78"/>
    <n v="16825.78"/>
    <n v="16825.78"/>
    <n v="16825.78"/>
    <n v="16825.78"/>
    <n v="16825.78"/>
    <n v="0"/>
    <n v="148029.4"/>
    <n v="16825.78"/>
  </r>
  <r>
    <x v="12"/>
    <x v="1"/>
    <x v="0"/>
    <s v="5661200"/>
    <n v="730010"/>
    <s v="Rental-Common Area Maint (DO NOT USE)"/>
    <s v="Milgard-Shared Svc"/>
    <x v="0"/>
    <n v="2200"/>
    <n v="0"/>
    <n v="0"/>
    <n v="0"/>
    <n v="0"/>
    <n v="0"/>
    <n v="6711.58"/>
    <n v="7303.06"/>
    <n v="7007.32"/>
    <n v="6872.19"/>
    <n v="7007.32"/>
    <n v="7007.32"/>
    <n v="0"/>
    <n v="41908.79"/>
    <n v="7007.32"/>
  </r>
  <r>
    <x v="12"/>
    <x v="1"/>
    <x v="0"/>
    <s v="5661200"/>
    <n v="730020"/>
    <s v="Rental and Leases-Copier Usage Fees (DO NOT USE)"/>
    <s v="Milgard-Shared Svc"/>
    <x v="0"/>
    <n v="5100"/>
    <n v="0"/>
    <n v="0"/>
    <n v="0"/>
    <n v="0"/>
    <n v="0"/>
    <n v="0"/>
    <n v="1571.27"/>
    <n v="495.81"/>
    <n v="485.78"/>
    <n v="472.59"/>
    <n v="442.57"/>
    <n v="449.38"/>
    <n v="3917.4"/>
    <n v="-6.8100000000000023"/>
  </r>
  <r>
    <x v="12"/>
    <x v="1"/>
    <x v="0"/>
    <s v="5661200"/>
    <n v="730040"/>
    <s v="LT Lease-Real Estate"/>
    <s v="Milgard-Shared Svc"/>
    <x v="0"/>
    <m/>
    <n v="0"/>
    <n v="0"/>
    <n v="0"/>
    <n v="0"/>
    <n v="0"/>
    <n v="0"/>
    <n v="0"/>
    <n v="0"/>
    <n v="0"/>
    <n v="0"/>
    <n v="0"/>
    <n v="23833.1"/>
    <n v="23833.1"/>
    <n v="-23833.1"/>
  </r>
  <r>
    <x v="16"/>
    <x v="1"/>
    <x v="0"/>
    <s v="5661200"/>
    <n v="732030"/>
    <s v="Repairs---Other"/>
    <s v="Milgard-Shared Svc"/>
    <x v="0"/>
    <m/>
    <n v="0"/>
    <n v="0"/>
    <n v="0"/>
    <n v="0"/>
    <n v="0"/>
    <n v="0"/>
    <n v="0"/>
    <n v="0"/>
    <n v="2440.8200000000002"/>
    <n v="0"/>
    <n v="0"/>
    <n v="308.36"/>
    <n v="2749.1800000000003"/>
    <n v="-308.36"/>
  </r>
  <r>
    <x v="0"/>
    <x v="1"/>
    <x v="0"/>
    <s v="5661200"/>
    <n v="749510"/>
    <s v="Miscellaneous Expenses"/>
    <s v="Milgard-Shared Svc"/>
    <x v="0"/>
    <m/>
    <n v="0"/>
    <n v="0"/>
    <n v="0"/>
    <n v="0"/>
    <n v="0"/>
    <n v="0"/>
    <n v="0"/>
    <n v="0"/>
    <n v="0"/>
    <n v="0"/>
    <n v="53.43"/>
    <n v="-53.43"/>
    <n v="0"/>
    <n v="106.86"/>
  </r>
  <r>
    <x v="0"/>
    <x v="1"/>
    <x v="0"/>
    <s v="5661200"/>
    <n v="749510"/>
    <s v="Licenses"/>
    <s v="Milgard-Shared Svc"/>
    <x v="0"/>
    <n v="1002"/>
    <n v="0"/>
    <n v="0"/>
    <n v="619"/>
    <n v="0"/>
    <n v="0"/>
    <n v="0"/>
    <n v="0"/>
    <n v="0"/>
    <n v="0"/>
    <n v="160"/>
    <n v="0"/>
    <n v="0"/>
    <n v="779"/>
    <n v="0"/>
  </r>
  <r>
    <x v="5"/>
    <x v="1"/>
    <x v="0"/>
    <s v="5662200"/>
    <n v="700084"/>
    <s v="Accrued PTO"/>
    <s v="Fran Plastic Surg SF-Share Svc"/>
    <x v="0"/>
    <m/>
    <n v="0"/>
    <n v="0"/>
    <n v="0"/>
    <n v="0"/>
    <n v="0"/>
    <n v="0"/>
    <n v="0"/>
    <n v="0"/>
    <n v="0"/>
    <n v="0"/>
    <n v="0"/>
    <n v="-375.42"/>
    <n v="-375.42"/>
    <n v="375.42"/>
  </r>
  <r>
    <x v="7"/>
    <x v="1"/>
    <x v="0"/>
    <s v="5662200"/>
    <n v="718050"/>
    <s v="Contract Management--Linen"/>
    <s v="Fran Plastic Surg SF-Share Svc"/>
    <x v="0"/>
    <n v="1026"/>
    <n v="0"/>
    <n v="0"/>
    <n v="0"/>
    <n v="0"/>
    <n v="0"/>
    <n v="0"/>
    <n v="0"/>
    <n v="0"/>
    <n v="0"/>
    <n v="0"/>
    <n v="0"/>
    <n v="188.82"/>
    <n v="188.82"/>
    <n v="-188.82"/>
  </r>
  <r>
    <x v="11"/>
    <x v="1"/>
    <x v="0"/>
    <s v="5662200"/>
    <n v="721250"/>
    <s v="Supplies-Pharmacy Drugs - Billable"/>
    <s v="Fran Plastic Surg SF-Share Svc"/>
    <x v="0"/>
    <m/>
    <n v="0"/>
    <n v="0"/>
    <n v="0"/>
    <n v="0"/>
    <n v="0"/>
    <n v="0"/>
    <n v="0"/>
    <n v="0"/>
    <n v="0"/>
    <n v="0"/>
    <n v="329.91"/>
    <n v="0"/>
    <n v="329.91"/>
    <n v="329.91"/>
  </r>
  <r>
    <x v="11"/>
    <x v="1"/>
    <x v="0"/>
    <s v="5662200"/>
    <n v="721910"/>
    <s v="Supplies-Small Equipment"/>
    <s v="Fran Plastic Surg SF-Share Svc"/>
    <x v="0"/>
    <m/>
    <n v="0"/>
    <n v="0"/>
    <n v="0"/>
    <n v="0"/>
    <n v="0"/>
    <n v="0"/>
    <n v="0"/>
    <n v="0"/>
    <n v="0"/>
    <n v="249.91"/>
    <n v="0"/>
    <n v="0"/>
    <n v="249.91"/>
    <n v="0"/>
  </r>
  <r>
    <x v="15"/>
    <x v="1"/>
    <x v="0"/>
    <s v="5662200"/>
    <n v="731065"/>
    <s v="Data Communications"/>
    <s v="Fran Plastic Surg SF-Share Svc"/>
    <x v="0"/>
    <m/>
    <n v="0"/>
    <n v="0"/>
    <n v="0"/>
    <n v="0"/>
    <n v="0"/>
    <n v="0"/>
    <n v="0"/>
    <n v="0"/>
    <n v="0"/>
    <n v="0"/>
    <n v="0"/>
    <n v="1577.37"/>
    <n v="1577.37"/>
    <n v="-1577.37"/>
  </r>
  <r>
    <x v="0"/>
    <x v="1"/>
    <x v="0"/>
    <s v="5662200"/>
    <n v="749510"/>
    <s v="Miscellaneous Expenses"/>
    <s v="Fran Plastic Surg SF-Share Svc"/>
    <x v="0"/>
    <m/>
    <n v="0"/>
    <n v="0"/>
    <n v="0"/>
    <n v="0"/>
    <n v="0"/>
    <n v="0"/>
    <n v="0"/>
    <n v="0"/>
    <n v="5177.7700000000004"/>
    <n v="0"/>
    <n v="0"/>
    <n v="496.66"/>
    <n v="5674.43"/>
    <n v="-496.66"/>
  </r>
  <r>
    <x v="1"/>
    <x v="1"/>
    <x v="0"/>
    <s v="5670200"/>
    <n v="400040"/>
    <s v="Physician Svcs Rev--Medicare"/>
    <s v="Anesthesia Phys-Ennumclaw"/>
    <x v="0"/>
    <n v="1100"/>
    <n v="-54957.62"/>
    <n v="-64412.9"/>
    <n v="-46362.3"/>
    <n v="-97853.93"/>
    <n v="-66624.12"/>
    <n v="-63845.04"/>
    <n v="-59434.42"/>
    <n v="-47100.7"/>
    <n v="-48181.98"/>
    <n v="-40179.72"/>
    <n v="-66955.429999999993"/>
    <n v="-56083.63"/>
    <n v="-711991.78999999992"/>
    <n v="-10871.799999999996"/>
  </r>
  <r>
    <x v="1"/>
    <x v="1"/>
    <x v="0"/>
    <s v="5670200"/>
    <n v="400040"/>
    <s v="Physician Svcs Rev--Medicaid"/>
    <s v="Anesthesia Phys-Ennumclaw"/>
    <x v="0"/>
    <n v="1200"/>
    <n v="-31687.15"/>
    <n v="-64932.36"/>
    <n v="-44151.47"/>
    <n v="-42104.25"/>
    <n v="-46493.35"/>
    <n v="-56229.75"/>
    <n v="-69785.42"/>
    <n v="-39921.730000000003"/>
    <n v="-64472.33"/>
    <n v="-68059.42"/>
    <n v="-78166.509999999995"/>
    <n v="-81633.600000000006"/>
    <n v="-687637.34"/>
    <n v="3467.0900000000111"/>
  </r>
  <r>
    <x v="1"/>
    <x v="1"/>
    <x v="0"/>
    <s v="5670200"/>
    <n v="400040"/>
    <s v="Physician Svcs Rev--Comm Insurance"/>
    <s v="Anesthesia Phys-Ennumclaw"/>
    <x v="0"/>
    <n v="1300"/>
    <n v="-6293.39"/>
    <n v="-9509.27"/>
    <n v="-10742.1"/>
    <n v="-3600.74"/>
    <n v="-15704.25"/>
    <n v="-13209.56"/>
    <n v="-23094.04"/>
    <n v="-17676.16"/>
    <n v="-19864.939999999999"/>
    <n v="-8297.2000000000007"/>
    <n v="-36965.58"/>
    <n v="-34044.39"/>
    <n v="-199001.62"/>
    <n v="-2921.1900000000023"/>
  </r>
  <r>
    <x v="1"/>
    <x v="1"/>
    <x v="0"/>
    <s v="5670200"/>
    <n v="400040"/>
    <s v="Physician Svcs Rev--BCBS Comm"/>
    <s v="Anesthesia Phys-Ennumclaw"/>
    <x v="0"/>
    <n v="1301"/>
    <n v="-40280.9"/>
    <n v="-78122.259999999995"/>
    <n v="-40615.71"/>
    <n v="-83953.82"/>
    <n v="-100348.53"/>
    <n v="-123186.68"/>
    <n v="-151726.84"/>
    <n v="-96306.03"/>
    <n v="-101622.3"/>
    <n v="-105795.64"/>
    <n v="-119152.27"/>
    <n v="-130040.31"/>
    <n v="-1171151.29"/>
    <n v="10888.039999999994"/>
  </r>
  <r>
    <x v="1"/>
    <x v="1"/>
    <x v="0"/>
    <s v="5670200"/>
    <n v="400040"/>
    <s v="Physician Svcs Rev--Managed Care"/>
    <s v="Anesthesia Phys-Ennumclaw"/>
    <x v="0"/>
    <n v="1400"/>
    <n v="-33332.19"/>
    <n v="-38631.78"/>
    <n v="-30357.24"/>
    <n v="-42136.13"/>
    <n v="-36326.730000000003"/>
    <n v="-50245.78"/>
    <n v="-55637.35"/>
    <n v="-39773.94"/>
    <n v="-55051.47"/>
    <n v="-32554.73"/>
    <n v="-41413.86"/>
    <n v="-50218.93"/>
    <n v="-505680.12999999995"/>
    <n v="8805.07"/>
  </r>
  <r>
    <x v="1"/>
    <x v="1"/>
    <x v="0"/>
    <s v="5670200"/>
    <n v="400040"/>
    <s v="Physician Svcs Rev--Self Pay"/>
    <s v="Anesthesia Phys-Ennumclaw"/>
    <x v="0"/>
    <n v="1500"/>
    <n v="-23683.54"/>
    <n v="-6160.99"/>
    <n v="-8379.94"/>
    <n v="-10311.299999999999"/>
    <n v="-9788.31"/>
    <n v="-9143.19"/>
    <n v="-24547.51"/>
    <n v="-18623.080000000002"/>
    <n v="-40008.06"/>
    <n v="-26066.42"/>
    <n v="-21485.47"/>
    <n v="-11693.63"/>
    <n v="-209891.43999999997"/>
    <n v="-9791.840000000002"/>
  </r>
  <r>
    <x v="1"/>
    <x v="1"/>
    <x v="0"/>
    <s v="5670200"/>
    <n v="400040"/>
    <s v="Physician Svcs Rev--Other"/>
    <s v="Anesthesia Phys-Ennumclaw"/>
    <x v="0"/>
    <n v="1700"/>
    <n v="-3740.74"/>
    <n v="-16650.439999999999"/>
    <n v="-11451.24"/>
    <n v="-8359.83"/>
    <n v="-8154.71"/>
    <n v="-21760"/>
    <n v="-16229.07"/>
    <n v="-12898.36"/>
    <n v="-12126.57"/>
    <n v="-7401.53"/>
    <n v="-14560.88"/>
    <n v="-29905.51"/>
    <n v="-163238.88"/>
    <n v="15344.63"/>
  </r>
  <r>
    <x v="2"/>
    <x v="1"/>
    <x v="0"/>
    <s v="5670200"/>
    <n v="450040"/>
    <s v="Contr Allow--Phys Svcs--Mcare"/>
    <s v="Anesthesia Phys-Ennumclaw"/>
    <x v="0"/>
    <n v="1100"/>
    <n v="79579.98"/>
    <n v="-88765.29"/>
    <n v="42293.68"/>
    <n v="55563.68"/>
    <n v="70867.42"/>
    <n v="43708.52"/>
    <n v="65881.460000000006"/>
    <n v="50099.51"/>
    <n v="69521.990000000005"/>
    <n v="43511.4"/>
    <n v="64934.39"/>
    <n v="53162.879999999997"/>
    <n v="550359.62"/>
    <n v="11771.510000000002"/>
  </r>
  <r>
    <x v="2"/>
    <x v="1"/>
    <x v="0"/>
    <s v="5670200"/>
    <n v="450040"/>
    <s v="Contr Allow--Phys Svcs--Mcaid"/>
    <s v="Anesthesia Phys-Ennumclaw"/>
    <x v="0"/>
    <n v="1200"/>
    <n v="31419.72"/>
    <n v="25071.279999999999"/>
    <n v="33929.31"/>
    <n v="32246.69"/>
    <n v="35112.1"/>
    <n v="23615.27"/>
    <n v="59856.57"/>
    <n v="44449.45"/>
    <n v="68492.84"/>
    <n v="53852.98"/>
    <n v="62185.2"/>
    <n v="67722.740000000005"/>
    <n v="537954.15"/>
    <n v="-5537.5400000000081"/>
  </r>
  <r>
    <x v="2"/>
    <x v="1"/>
    <x v="0"/>
    <s v="5670200"/>
    <n v="450040"/>
    <s v="Contr Allow--Phys Svcs--Comm Insurance"/>
    <s v="Anesthesia Phys-Ennumclaw"/>
    <x v="0"/>
    <n v="1300"/>
    <n v="-30970.82"/>
    <n v="-114225.19"/>
    <n v="12015.49"/>
    <n v="4183.6000000000004"/>
    <n v="5237.66"/>
    <n v="11302.75"/>
    <n v="11325.21"/>
    <n v="4967.84"/>
    <n v="11846.73"/>
    <n v="19337.52"/>
    <n v="20371.900000000001"/>
    <n v="12630.08"/>
    <n v="-31977.230000000018"/>
    <n v="7741.8200000000015"/>
  </r>
  <r>
    <x v="2"/>
    <x v="1"/>
    <x v="0"/>
    <s v="5670200"/>
    <n v="450040"/>
    <s v="Contr Allow--Phys Svcs--BCBS Comm Ins"/>
    <s v="Anesthesia Phys-Ennumclaw"/>
    <x v="0"/>
    <n v="1301"/>
    <n v="29499.06"/>
    <n v="28713.47"/>
    <n v="20570.04"/>
    <n v="34640.050000000003"/>
    <n v="40662.82"/>
    <n v="33095.94"/>
    <n v="58681.35"/>
    <n v="55007.45"/>
    <n v="101178.82"/>
    <n v="76008.100000000006"/>
    <n v="52299.85"/>
    <n v="64590.38"/>
    <n v="594947.32999999996"/>
    <n v="-12290.529999999999"/>
  </r>
  <r>
    <x v="2"/>
    <x v="1"/>
    <x v="0"/>
    <s v="5670200"/>
    <n v="450040"/>
    <s v="Contr Allow--Phys Svcs--Managed Care"/>
    <s v="Anesthesia Phys-Ennumclaw"/>
    <x v="0"/>
    <n v="1400"/>
    <n v="35304.53"/>
    <n v="13233"/>
    <n v="19422.34"/>
    <n v="30844.66"/>
    <n v="28575.02"/>
    <n v="19944.36"/>
    <n v="33342.99"/>
    <n v="24676.02"/>
    <n v="36304.33"/>
    <n v="32720.86"/>
    <n v="28677.47"/>
    <n v="29077.79"/>
    <n v="332123.36999999994"/>
    <n v="-400.31999999999971"/>
  </r>
  <r>
    <x v="2"/>
    <x v="1"/>
    <x v="0"/>
    <s v="5670200"/>
    <n v="450040"/>
    <s v="Contr Allow--Phys Svcs--BCBS Mgnd Care"/>
    <s v="Anesthesia Phys-Ennumclaw"/>
    <x v="0"/>
    <n v="1401"/>
    <n v="9763.44"/>
    <n v="312755.59999999998"/>
    <n v="-13084.88"/>
    <n v="44807.91"/>
    <n v="-28596.46"/>
    <n v="103174.75"/>
    <n v="756.17"/>
    <n v="-25226.19"/>
    <n v="-112427.78"/>
    <n v="-31764.9"/>
    <n v="16353.53"/>
    <n v="5864.47"/>
    <n v="282375.65999999992"/>
    <n v="10489.060000000001"/>
  </r>
  <r>
    <x v="2"/>
    <x v="1"/>
    <x v="0"/>
    <s v="5670200"/>
    <n v="450040"/>
    <s v="Contr Allow--Phys Svcs--Other"/>
    <s v="Anesthesia Phys-Ennumclaw"/>
    <x v="0"/>
    <n v="1700"/>
    <n v="26811.33"/>
    <n v="6986.22"/>
    <n v="5126.72"/>
    <n v="6881.94"/>
    <n v="10767.18"/>
    <n v="9381.85"/>
    <n v="12928.12"/>
    <n v="5162.66"/>
    <n v="10147.39"/>
    <n v="7044.93"/>
    <n v="14095.76"/>
    <n v="15206.74"/>
    <n v="130540.84"/>
    <n v="-1110.9799999999996"/>
  </r>
  <r>
    <x v="3"/>
    <x v="1"/>
    <x v="0"/>
    <s v="5670200"/>
    <n v="470040"/>
    <s v="Charity Care-Physician Svcs"/>
    <s v="Anesthesia Phys-Ennumclaw"/>
    <x v="0"/>
    <m/>
    <n v="1196.69"/>
    <n v="2709.64"/>
    <n v="-2497.46"/>
    <n v="-2091.6799999999998"/>
    <n v="-3271.96"/>
    <n v="-6150.12"/>
    <n v="3067.75"/>
    <n v="-465.28"/>
    <n v="4342.93"/>
    <n v="981.48"/>
    <n v="634.33000000000004"/>
    <n v="263.89"/>
    <n v="-1279.7899999999991"/>
    <n v="370.44000000000005"/>
  </r>
  <r>
    <x v="4"/>
    <x v="1"/>
    <x v="0"/>
    <s v="5670200"/>
    <n v="490010"/>
    <s v="Provision for Bad Debts"/>
    <s v="Anesthesia Phys-Ennumclaw"/>
    <x v="0"/>
    <m/>
    <n v="41543.21"/>
    <n v="808.73"/>
    <n v="2393.0700000000002"/>
    <n v="14978.15"/>
    <n v="4726.7"/>
    <n v="6820.84"/>
    <n v="7724.02"/>
    <n v="9809.83"/>
    <n v="12030.88"/>
    <n v="12046.72"/>
    <n v="19471.599999999999"/>
    <n v="17003.64"/>
    <n v="149357.39000000001"/>
    <n v="2467.9599999999991"/>
  </r>
  <r>
    <x v="14"/>
    <x v="1"/>
    <x v="0"/>
    <s v="5670200"/>
    <n v="600050"/>
    <s v="Miscellaneous Revenue"/>
    <s v="Anesthesia Phys-Ennumclaw"/>
    <x v="0"/>
    <m/>
    <n v="0"/>
    <n v="0"/>
    <n v="0"/>
    <n v="0"/>
    <n v="0"/>
    <n v="0"/>
    <n v="-576.92999999999995"/>
    <n v="-1153.8599999999999"/>
    <n v="-1153.8599999999999"/>
    <n v="-1153.8599999999999"/>
    <n v="-1153.8599999999999"/>
    <n v="-1730.76"/>
    <n v="-6923.1299999999992"/>
    <n v="576.90000000000009"/>
  </r>
  <r>
    <x v="5"/>
    <x v="1"/>
    <x v="0"/>
    <s v="5670200"/>
    <n v="700022"/>
    <s v="Salaries-Physician-Productive"/>
    <s v="Anesthesia Phys-Ennumclaw"/>
    <x v="0"/>
    <m/>
    <n v="0"/>
    <n v="65769.210000000006"/>
    <n v="29230.76"/>
    <n v="33615.370000000003"/>
    <n v="32153.84"/>
    <n v="30692.29"/>
    <n v="33666.83"/>
    <n v="29273.64"/>
    <n v="30737.33"/>
    <n v="32194.7"/>
    <n v="33602.97"/>
    <n v="29230.76"/>
    <n v="380167.70000000007"/>
    <n v="4372.2100000000028"/>
  </r>
  <r>
    <x v="5"/>
    <x v="1"/>
    <x v="0"/>
    <s v="5670200"/>
    <n v="700024"/>
    <s v="Salaries-Advanced Practice Clinician-Productive"/>
    <s v="Anesthesia Phys-Ennumclaw"/>
    <x v="0"/>
    <m/>
    <n v="0"/>
    <n v="0"/>
    <n v="0"/>
    <n v="0"/>
    <n v="1461.54"/>
    <n v="21923.1"/>
    <n v="16833.43"/>
    <n v="14636.84"/>
    <n v="15368.69"/>
    <n v="16100.52"/>
    <n v="16832.37"/>
    <n v="14636.84"/>
    <n v="117793.33"/>
    <n v="2195.5299999999988"/>
  </r>
  <r>
    <x v="5"/>
    <x v="1"/>
    <x v="0"/>
    <s v="5670200"/>
    <n v="700024"/>
    <s v="Salaries-Advanced Practice Clinician-Other"/>
    <s v="Anesthesia Phys-Ennumclaw"/>
    <x v="0"/>
    <n v="2000"/>
    <n v="0"/>
    <n v="0"/>
    <n v="0"/>
    <n v="0"/>
    <n v="0"/>
    <n v="0"/>
    <n v="3465.81"/>
    <n v="1153.8599999999999"/>
    <n v="1153.8599999999999"/>
    <n v="1153.8599999999999"/>
    <n v="1153.8599999999999"/>
    <n v="1730.76"/>
    <n v="9812.0099999999984"/>
    <n v="-576.90000000000009"/>
  </r>
  <r>
    <x v="5"/>
    <x v="1"/>
    <x v="0"/>
    <s v="5670200"/>
    <n v="700064"/>
    <s v="Salaries-Advanced Practice Clinician-Non-Productive"/>
    <s v="Anesthesia Phys-Ennumclaw"/>
    <x v="0"/>
    <m/>
    <n v="0"/>
    <n v="0"/>
    <n v="0"/>
    <n v="0"/>
    <n v="877.85"/>
    <n v="935.07"/>
    <n v="930.65"/>
    <n v="917.23"/>
    <n v="921.8"/>
    <n v="914.66"/>
    <n v="912.95"/>
    <n v="906.1"/>
    <n v="7316.31"/>
    <n v="6.8500000000000227"/>
  </r>
  <r>
    <x v="10"/>
    <x v="1"/>
    <x v="0"/>
    <s v="5670200"/>
    <n v="710040"/>
    <s v="Contract Labor-Physician (Locum Tenum)"/>
    <s v="Anesthesia Phys-Ennumclaw"/>
    <x v="0"/>
    <m/>
    <n v="0"/>
    <n v="0"/>
    <n v="0"/>
    <n v="9269"/>
    <n v="19700"/>
    <n v="-2444"/>
    <n v="0"/>
    <n v="0"/>
    <n v="74844"/>
    <n v="0"/>
    <n v="0"/>
    <n v="0"/>
    <n v="101369"/>
    <n v="0"/>
  </r>
  <r>
    <x v="10"/>
    <x v="1"/>
    <x v="0"/>
    <s v="5670200"/>
    <n v="710042"/>
    <s v="Locum Tenens Travel-Physician"/>
    <s v="Anesthesia Phys-Ennumclaw"/>
    <x v="0"/>
    <m/>
    <n v="0"/>
    <n v="0"/>
    <n v="0"/>
    <n v="10318.11"/>
    <n v="542.33000000000004"/>
    <n v="-542.33000000000004"/>
    <n v="0"/>
    <n v="0"/>
    <n v="0"/>
    <n v="0"/>
    <n v="0"/>
    <n v="1838.51"/>
    <n v="12156.62"/>
    <n v="-1838.51"/>
  </r>
  <r>
    <x v="10"/>
    <x v="1"/>
    <x v="0"/>
    <s v="5670200"/>
    <n v="710060"/>
    <s v="Contract Labor-Other"/>
    <s v="Anesthesia Phys-Ennumclaw"/>
    <x v="0"/>
    <m/>
    <n v="0"/>
    <n v="0"/>
    <n v="0"/>
    <n v="0"/>
    <n v="0"/>
    <n v="17971.2"/>
    <n v="57633.62"/>
    <n v="0"/>
    <n v="-74844"/>
    <n v="0"/>
    <n v="0"/>
    <n v="0"/>
    <n v="760.82000000000698"/>
    <n v="0"/>
  </r>
  <r>
    <x v="6"/>
    <x v="1"/>
    <x v="0"/>
    <s v="5670200"/>
    <n v="713010"/>
    <s v="Benefits-FICA/Medicare"/>
    <s v="Anesthesia Phys-Ennumclaw"/>
    <x v="0"/>
    <m/>
    <n v="0"/>
    <n v="5028.2700000000004"/>
    <n v="2272.92"/>
    <n v="2603.17"/>
    <n v="378"/>
    <n v="3276.69"/>
    <n v="4127.05"/>
    <n v="3414.34"/>
    <n v="3580.24"/>
    <n v="3718.61"/>
    <n v="1190.8399999999999"/>
    <n v="1576.8"/>
    <n v="31166.93"/>
    <n v="-385.96000000000004"/>
  </r>
  <r>
    <x v="6"/>
    <x v="1"/>
    <x v="0"/>
    <s v="5670200"/>
    <n v="713090"/>
    <s v="Benefits-Allocated Amounts"/>
    <s v="Anesthesia Phys-Ennumclaw"/>
    <x v="0"/>
    <m/>
    <n v="0"/>
    <n v="4221.1400000000003"/>
    <n v="1971.97"/>
    <n v="2069.79"/>
    <n v="2147.75"/>
    <n v="4369.32"/>
    <n v="4369.1400000000003"/>
    <n v="4012.44"/>
    <n v="-23161.55"/>
    <n v="0"/>
    <n v="0"/>
    <n v="0"/>
    <n v="0"/>
    <n v="0"/>
  </r>
  <r>
    <x v="6"/>
    <x v="1"/>
    <x v="0"/>
    <s v="5670200"/>
    <n v="713092"/>
    <s v="Allocated Benefits-Physician"/>
    <s v="Anesthesia Phys-Ennumclaw"/>
    <x v="0"/>
    <m/>
    <n v="0"/>
    <n v="0"/>
    <n v="0"/>
    <n v="0"/>
    <n v="0"/>
    <n v="0"/>
    <n v="0"/>
    <n v="0"/>
    <n v="22483.81"/>
    <n v="3164.44"/>
    <n v="3476.7"/>
    <n v="3299.86"/>
    <n v="32424.81"/>
    <n v="176.83999999999969"/>
  </r>
  <r>
    <x v="6"/>
    <x v="1"/>
    <x v="0"/>
    <s v="5670200"/>
    <n v="713093"/>
    <s v="Allocated Benefits-Advanced Practice Clinician"/>
    <s v="Anesthesia Phys-Ennumclaw"/>
    <x v="0"/>
    <m/>
    <n v="0"/>
    <n v="0"/>
    <n v="0"/>
    <n v="0"/>
    <n v="0"/>
    <n v="0"/>
    <n v="0"/>
    <n v="0"/>
    <n v="5361.52"/>
    <n v="754.6"/>
    <n v="829.06"/>
    <n v="786.89"/>
    <n v="7732.0700000000006"/>
    <n v="42.169999999999959"/>
  </r>
  <r>
    <x v="17"/>
    <x v="1"/>
    <x v="0"/>
    <s v="5670200"/>
    <n v="714520"/>
    <s v="Other Contracted Professionals"/>
    <s v="Anesthesia Phys-Ennumclaw"/>
    <x v="0"/>
    <m/>
    <n v="129341.82"/>
    <n v="241356.42"/>
    <n v="88747.47"/>
    <n v="59224.98"/>
    <n v="29612.49"/>
    <n v="0"/>
    <n v="0"/>
    <n v="0"/>
    <n v="0"/>
    <n v="0"/>
    <n v="0"/>
    <n v="0"/>
    <n v="548283.17999999993"/>
    <n v="0"/>
  </r>
  <r>
    <x v="7"/>
    <x v="1"/>
    <x v="0"/>
    <s v="5670200"/>
    <n v="718040"/>
    <s v="Contract Svcs-Laboratory"/>
    <s v="Anesthesia Phys-Ennumclaw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5670200"/>
    <n v="718050"/>
    <s v="Miscellaneous Purchased Svcs"/>
    <s v="Anesthesia Phys-Ennumclaw"/>
    <x v="0"/>
    <n v="1020"/>
    <n v="0"/>
    <n v="48997.919999999998"/>
    <n v="-44295.68"/>
    <n v="9410"/>
    <n v="-9410"/>
    <n v="5177.08"/>
    <n v="6579.23"/>
    <n v="5245.01"/>
    <n v="5790.48"/>
    <n v="6131.56"/>
    <n v="10102.5"/>
    <n v="40601.089999999997"/>
    <n v="84329.19"/>
    <n v="-30498.589999999997"/>
  </r>
  <r>
    <x v="0"/>
    <x v="1"/>
    <x v="0"/>
    <s v="5670200"/>
    <n v="740023"/>
    <s v="Education-Advanced Practice Clinician"/>
    <s v="Anesthesia Phys-Ennumclaw"/>
    <x v="0"/>
    <m/>
    <n v="0"/>
    <n v="0"/>
    <n v="0"/>
    <n v="0"/>
    <n v="0"/>
    <n v="0"/>
    <n v="0"/>
    <n v="0"/>
    <n v="0"/>
    <n v="0"/>
    <n v="0"/>
    <n v="495"/>
    <n v="495"/>
    <n v="-495"/>
  </r>
  <r>
    <x v="0"/>
    <x v="1"/>
    <x v="0"/>
    <s v="5670200"/>
    <n v="740023"/>
    <s v="Books-Advanced Practice Clinician"/>
    <s v="Anesthesia Phys-Ennumclaw"/>
    <x v="0"/>
    <n v="2000"/>
    <n v="0"/>
    <n v="0"/>
    <n v="0"/>
    <n v="0"/>
    <n v="0"/>
    <n v="0"/>
    <n v="0"/>
    <n v="0"/>
    <n v="0"/>
    <n v="0"/>
    <n v="0"/>
    <n v="1303.32"/>
    <n v="1303.32"/>
    <n v="-1303.32"/>
  </r>
  <r>
    <x v="8"/>
    <x v="1"/>
    <x v="0"/>
    <s v="5670200"/>
    <n v="741012"/>
    <s v="Physician Liab Insurance-CHI Program"/>
    <s v="Anesthesia Phys-Ennumclaw"/>
    <x v="0"/>
    <m/>
    <n v="0"/>
    <n v="0"/>
    <n v="826.65"/>
    <n v="826.64"/>
    <n v="826.65"/>
    <n v="826.64"/>
    <n v="826.65"/>
    <n v="826.64"/>
    <n v="826.65"/>
    <n v="826.64"/>
    <n v="826.65"/>
    <n v="826.64"/>
    <n v="8266.4499999999989"/>
    <n v="9.9999999999909051E-3"/>
  </r>
  <r>
    <x v="0"/>
    <x v="1"/>
    <x v="0"/>
    <s v="5670200"/>
    <n v="743022"/>
    <s v="Dues-Physician"/>
    <s v="Anesthesia Phys-Ennumclaw"/>
    <x v="0"/>
    <m/>
    <n v="0"/>
    <n v="0"/>
    <n v="0"/>
    <n v="0"/>
    <n v="0"/>
    <n v="1050"/>
    <n v="0"/>
    <n v="0"/>
    <n v="0"/>
    <n v="0"/>
    <n v="0"/>
    <n v="0"/>
    <n v="1050"/>
    <n v="0"/>
  </r>
  <r>
    <x v="0"/>
    <x v="1"/>
    <x v="0"/>
    <s v="5670200"/>
    <n v="743023"/>
    <s v="Dues-Advanced Practice Clinician"/>
    <s v="Anesthesia Phys-Ennumclaw"/>
    <x v="0"/>
    <m/>
    <n v="0"/>
    <n v="0"/>
    <n v="0"/>
    <n v="0"/>
    <n v="0"/>
    <n v="0"/>
    <n v="0"/>
    <n v="0"/>
    <n v="0"/>
    <n v="0"/>
    <n v="0"/>
    <n v="645"/>
    <n v="645"/>
    <n v="-645"/>
  </r>
  <r>
    <x v="0"/>
    <x v="1"/>
    <x v="0"/>
    <s v="5670200"/>
    <n v="749510"/>
    <s v="Miscellaneous Expenses"/>
    <s v="Anesthesia Phys-Ennumclaw"/>
    <x v="0"/>
    <m/>
    <n v="0"/>
    <n v="0"/>
    <n v="0"/>
    <n v="0"/>
    <n v="0"/>
    <n v="2198.5100000000002"/>
    <n v="0"/>
    <n v="0"/>
    <n v="0"/>
    <n v="0"/>
    <n v="0"/>
    <n v="-478.67"/>
    <n v="1719.8400000000001"/>
    <n v="478.67"/>
  </r>
  <r>
    <x v="9"/>
    <x v="1"/>
    <x v="0"/>
    <s v="5670200"/>
    <n v="800015"/>
    <s v="Interest Income-Ext to CHI"/>
    <s v="Anesthesia Phys-Ennumclaw"/>
    <x v="0"/>
    <m/>
    <n v="0"/>
    <n v="0"/>
    <n v="0"/>
    <n v="0"/>
    <n v="-44.52"/>
    <n v="-101.74"/>
    <n v="-97.31"/>
    <n v="-83.9"/>
    <n v="-88.47"/>
    <n v="-81.33"/>
    <n v="-79.62"/>
    <n v="-72.77"/>
    <n v="-649.66000000000008"/>
    <n v="-6.8500000000000085"/>
  </r>
  <r>
    <x v="5"/>
    <x v="1"/>
    <x v="0"/>
    <s v="5770200"/>
    <n v="700038"/>
    <s v="Salaries-Service/Support-Productive"/>
    <s v="Bainbridge Island Shared Srvcs"/>
    <x v="0"/>
    <m/>
    <n v="8364.7199999999993"/>
    <n v="9344.83"/>
    <n v="7942.59"/>
    <n v="8690.41"/>
    <n v="10003.02"/>
    <n v="5412.31"/>
    <n v="4844.6400000000003"/>
    <n v="6265.42"/>
    <n v="5546.03"/>
    <n v="6180.61"/>
    <n v="6015.03"/>
    <n v="5324.13"/>
    <n v="83933.74"/>
    <n v="690.89999999999964"/>
  </r>
  <r>
    <x v="5"/>
    <x v="1"/>
    <x v="0"/>
    <s v="5770200"/>
    <n v="700038"/>
    <s v="Salaries-Service/Support-OT"/>
    <s v="Bainbridge Island Shared Srvcs"/>
    <x v="0"/>
    <n v="1000"/>
    <n v="173.43"/>
    <n v="329.12"/>
    <n v="54.6"/>
    <n v="278.68"/>
    <n v="41.7"/>
    <n v="55.25"/>
    <n v="96.12"/>
    <n v="111.89"/>
    <n v="32.31"/>
    <n v="14.99"/>
    <n v="-11.03"/>
    <n v="0"/>
    <n v="1177.0600000000002"/>
    <n v="-11.03"/>
  </r>
  <r>
    <x v="5"/>
    <x v="1"/>
    <x v="0"/>
    <s v="5770200"/>
    <n v="700038"/>
    <s v="Salaries-Service/Support-Other"/>
    <s v="Bainbridge Island Shared Srvcs"/>
    <x v="0"/>
    <n v="2000"/>
    <n v="169.91"/>
    <n v="43.2"/>
    <n v="24"/>
    <n v="9.15"/>
    <n v="-9.4"/>
    <n v="0"/>
    <n v="0"/>
    <n v="0"/>
    <n v="0"/>
    <n v="0"/>
    <n v="0"/>
    <n v="0"/>
    <n v="236.86"/>
    <n v="0"/>
  </r>
  <r>
    <x v="5"/>
    <x v="1"/>
    <x v="0"/>
    <s v="5770200"/>
    <n v="700078"/>
    <s v="Salaries-Service/Support-Non-productive"/>
    <s v="Bainbridge Island Shared Srvcs"/>
    <x v="0"/>
    <m/>
    <n v="1364.26"/>
    <n v="594.62"/>
    <n v="426.69"/>
    <n v="1801.01"/>
    <n v="-3.64"/>
    <n v="1814.84"/>
    <n v="2002.18"/>
    <n v="-48.43"/>
    <n v="889.98"/>
    <n v="679.55"/>
    <n v="210.1"/>
    <n v="972.66"/>
    <n v="10703.82"/>
    <n v="-762.56"/>
  </r>
  <r>
    <x v="5"/>
    <x v="1"/>
    <x v="0"/>
    <s v="5770200"/>
    <n v="700078"/>
    <s v="Salaries-Service/Support-NonProd-Other"/>
    <s v="Bainbridge Island Shared Srvcs"/>
    <x v="0"/>
    <n v="2000"/>
    <n v="0"/>
    <n v="0"/>
    <n v="0"/>
    <n v="52.97"/>
    <n v="6.55"/>
    <n v="14.03"/>
    <n v="0"/>
    <n v="0"/>
    <n v="0"/>
    <n v="0"/>
    <n v="0"/>
    <n v="0"/>
    <n v="73.55"/>
    <n v="0"/>
  </r>
  <r>
    <x v="5"/>
    <x v="1"/>
    <x v="0"/>
    <s v="5770200"/>
    <n v="700084"/>
    <s v="Accrued PTO"/>
    <s v="Bainbridge Island Shared Srvcs"/>
    <x v="0"/>
    <m/>
    <n v="-468.13"/>
    <n v="275.73"/>
    <n v="344.77"/>
    <n v="72.16"/>
    <n v="505.56"/>
    <n v="-536.9"/>
    <n v="-641.66999999999996"/>
    <n v="570.54"/>
    <n v="-154.35"/>
    <n v="-0.69"/>
    <n v="489.09"/>
    <n v="-139.74"/>
    <n v="316.37"/>
    <n v="628.82999999999993"/>
  </r>
  <r>
    <x v="6"/>
    <x v="1"/>
    <x v="0"/>
    <s v="5770200"/>
    <n v="713010"/>
    <s v="Benefits-FICA/Medicare"/>
    <s v="Bainbridge Island Shared Srvcs"/>
    <x v="0"/>
    <m/>
    <n v="696.59"/>
    <n v="713.03"/>
    <n v="582.42999999999995"/>
    <n v="751.4"/>
    <n v="694.01"/>
    <n v="499.17"/>
    <n v="475.1"/>
    <n v="435.45"/>
    <n v="443.66"/>
    <n v="472.32"/>
    <n v="419.68"/>
    <n v="432.87"/>
    <n v="6615.71"/>
    <n v="-13.189999999999998"/>
  </r>
  <r>
    <x v="6"/>
    <x v="1"/>
    <x v="0"/>
    <s v="5770200"/>
    <n v="713090"/>
    <s v="Benefits-Allocated Amounts"/>
    <s v="Bainbridge Island Shared Srvcs"/>
    <x v="0"/>
    <m/>
    <n v="3144.2"/>
    <n v="2854.92"/>
    <n v="2889.96"/>
    <n v="3206.22"/>
    <n v="3020.93"/>
    <n v="2503.08"/>
    <n v="2489.61"/>
    <n v="2373.65"/>
    <n v="2059.29"/>
    <n v="2362.9"/>
    <n v="1956.89"/>
    <n v="1785.71"/>
    <n v="30647.360000000001"/>
    <n v="171.18000000000006"/>
  </r>
  <r>
    <x v="7"/>
    <x v="1"/>
    <x v="0"/>
    <s v="5770200"/>
    <n v="718050"/>
    <s v="Contract Svcs-Other"/>
    <s v="Bainbridge Island Shared Srvcs"/>
    <x v="0"/>
    <m/>
    <n v="0"/>
    <n v="0"/>
    <n v="0"/>
    <n v="0"/>
    <n v="0"/>
    <n v="0"/>
    <n v="0"/>
    <n v="0"/>
    <n v="32.65"/>
    <n v="0"/>
    <n v="0"/>
    <n v="239.15"/>
    <n v="271.8"/>
    <n v="-239.15"/>
  </r>
  <r>
    <x v="7"/>
    <x v="1"/>
    <x v="0"/>
    <s v="5770200"/>
    <n v="718050"/>
    <s v="Lawn Services"/>
    <s v="Bainbridge Island Shared Srvcs"/>
    <x v="0"/>
    <n v="1013"/>
    <n v="0"/>
    <n v="0"/>
    <n v="1351.08"/>
    <n v="799.55"/>
    <n v="0"/>
    <n v="0"/>
    <n v="0"/>
    <n v="0"/>
    <n v="0"/>
    <n v="0"/>
    <n v="0"/>
    <n v="0"/>
    <n v="2150.63"/>
    <n v="0"/>
  </r>
  <r>
    <x v="7"/>
    <x v="1"/>
    <x v="0"/>
    <s v="5770200"/>
    <n v="718050"/>
    <s v="Miscellaneous Purchased Svcs"/>
    <s v="Bainbridge Island Shared Srvcs"/>
    <x v="0"/>
    <n v="1020"/>
    <n v="193.2"/>
    <n v="220.71"/>
    <n v="228.06"/>
    <n v="209.79"/>
    <n v="1926.51"/>
    <n v="176.11"/>
    <n v="3889.67"/>
    <n v="167.05"/>
    <n v="284.69"/>
    <n v="132.4"/>
    <n v="0"/>
    <n v="289.75"/>
    <n v="7717.94"/>
    <n v="-289.75"/>
  </r>
  <r>
    <x v="7"/>
    <x v="1"/>
    <x v="0"/>
    <s v="5770200"/>
    <n v="718070"/>
    <s v="Contract Srvcs-CHI Clinical Engineering"/>
    <s v="Bainbridge Island Shared Srvcs"/>
    <x v="0"/>
    <m/>
    <n v="0"/>
    <n v="0"/>
    <n v="0"/>
    <n v="322.49"/>
    <n v="322.49"/>
    <n v="1051.0999999999999"/>
    <n v="1051.0999999999999"/>
    <n v="1051.0999999999999"/>
    <n v="0"/>
    <n v="0"/>
    <n v="0"/>
    <n v="0"/>
    <n v="3798.2799999999997"/>
    <n v="0"/>
  </r>
  <r>
    <x v="11"/>
    <x v="1"/>
    <x v="0"/>
    <s v="5770200"/>
    <n v="721010"/>
    <s v="Supplies-Medical - Billable"/>
    <s v="Bainbridge Island Shared Srvcs"/>
    <x v="0"/>
    <m/>
    <n v="3341.26"/>
    <n v="5087.3999999999996"/>
    <n v="1356.16"/>
    <n v="3391.6"/>
    <n v="0"/>
    <n v="3489.96"/>
    <n v="4362.45"/>
    <n v="0"/>
    <n v="1418"/>
    <n v="1418"/>
    <n v="0"/>
    <n v="0"/>
    <n v="23864.83"/>
    <n v="0"/>
  </r>
  <r>
    <x v="11"/>
    <x v="1"/>
    <x v="0"/>
    <s v="5770200"/>
    <n v="721410"/>
    <s v="Supplies-Medical - Nonbillable"/>
    <s v="Bainbridge Island Shared Srvcs"/>
    <x v="0"/>
    <m/>
    <n v="0"/>
    <n v="0"/>
    <n v="0"/>
    <n v="0"/>
    <n v="0"/>
    <n v="0"/>
    <n v="0"/>
    <n v="0"/>
    <n v="112.5"/>
    <n v="0"/>
    <n v="0"/>
    <n v="0"/>
    <n v="112.5"/>
    <n v="0"/>
  </r>
  <r>
    <x v="11"/>
    <x v="1"/>
    <x v="0"/>
    <s v="5770200"/>
    <n v="721810"/>
    <s v="Supplies-Dietary/Cafeteria"/>
    <s v="Bainbridge Island Shared Srvcs"/>
    <x v="0"/>
    <m/>
    <n v="105.55"/>
    <n v="0"/>
    <n v="184.16"/>
    <n v="0"/>
    <n v="126.92"/>
    <n v="76.010000000000005"/>
    <n v="0"/>
    <n v="66.69"/>
    <n v="123.69"/>
    <n v="80.7"/>
    <n v="0"/>
    <n v="0"/>
    <n v="763.72"/>
    <n v="0"/>
  </r>
  <r>
    <x v="11"/>
    <x v="1"/>
    <x v="0"/>
    <s v="5770200"/>
    <n v="721830"/>
    <s v="Supplies-Office"/>
    <s v="Bainbridge Island Shared Srvcs"/>
    <x v="0"/>
    <m/>
    <n v="143.59"/>
    <n v="0"/>
    <n v="106.72"/>
    <n v="452.08"/>
    <n v="310.13"/>
    <n v="311.92"/>
    <n v="142.22999999999999"/>
    <n v="109.6"/>
    <n v="17.38"/>
    <n v="526.4"/>
    <n v="227.79"/>
    <n v="0"/>
    <n v="2347.84"/>
    <n v="227.79"/>
  </r>
  <r>
    <x v="11"/>
    <x v="1"/>
    <x v="0"/>
    <s v="5770200"/>
    <n v="721835"/>
    <s v="Supplies-Forms"/>
    <s v="Bainbridge Island Shared Srvcs"/>
    <x v="0"/>
    <m/>
    <n v="0"/>
    <n v="0"/>
    <n v="0"/>
    <n v="0"/>
    <n v="0"/>
    <n v="12"/>
    <n v="0"/>
    <n v="0"/>
    <n v="32.5"/>
    <n v="65"/>
    <n v="0"/>
    <n v="0"/>
    <n v="109.5"/>
    <n v="0"/>
  </r>
  <r>
    <x v="12"/>
    <x v="1"/>
    <x v="0"/>
    <s v="5770200"/>
    <n v="730020"/>
    <s v="Rental and Leases-Copier Usage Fees (DO NOT USE)"/>
    <s v="Bainbridge Island Shared Srvcs"/>
    <x v="0"/>
    <n v="5100"/>
    <n v="840.75"/>
    <n v="921.6"/>
    <n v="881.17"/>
    <n v="881.17"/>
    <n v="881.17"/>
    <n v="881.17"/>
    <n v="-1319.98"/>
    <n v="517.46"/>
    <n v="516.37"/>
    <n v="1497.28"/>
    <n v="517.46"/>
    <n v="586.20000000000005"/>
    <n v="7601.82"/>
    <n v="-68.740000000000009"/>
  </r>
  <r>
    <x v="15"/>
    <x v="1"/>
    <x v="0"/>
    <s v="5770200"/>
    <n v="731060"/>
    <s v="Telephone"/>
    <s v="Bainbridge Island Shared Srvcs"/>
    <x v="0"/>
    <m/>
    <n v="334.34"/>
    <n v="487.16"/>
    <n v="193.32"/>
    <n v="323.27999999999997"/>
    <n v="339.83"/>
    <n v="356.19"/>
    <n v="356.7"/>
    <n v="323.95999999999998"/>
    <n v="340.22"/>
    <n v="356.32"/>
    <n v="339.65"/>
    <n v="339.65"/>
    <n v="4090.6200000000003"/>
    <n v="0"/>
  </r>
  <r>
    <x v="15"/>
    <x v="1"/>
    <x v="0"/>
    <s v="5770200"/>
    <n v="731070"/>
    <s v="Cable TV"/>
    <s v="Bainbridge Island Shared Srvcs"/>
    <x v="0"/>
    <m/>
    <n v="148.91999999999999"/>
    <n v="148.91999999999999"/>
    <n v="0"/>
    <n v="308.61"/>
    <n v="159.69"/>
    <n v="159.69"/>
    <n v="159.69"/>
    <n v="0"/>
    <n v="319.38"/>
    <n v="0"/>
    <n v="318.88"/>
    <n v="0"/>
    <n v="1723.7800000000002"/>
    <n v="318.88"/>
  </r>
  <r>
    <x v="16"/>
    <x v="1"/>
    <x v="0"/>
    <s v="5770200"/>
    <n v="732030"/>
    <s v="Repairs---Other"/>
    <s v="Bainbridge Island Shared Srvcs"/>
    <x v="0"/>
    <m/>
    <n v="0"/>
    <n v="2478.66"/>
    <n v="0"/>
    <n v="0"/>
    <n v="0"/>
    <n v="0"/>
    <n v="8572.85"/>
    <n v="13424.88"/>
    <n v="20728.75"/>
    <n v="4612.88"/>
    <n v="847.25"/>
    <n v="9681.32"/>
    <n v="60346.59"/>
    <n v="-8834.07"/>
  </r>
  <r>
    <x v="16"/>
    <x v="1"/>
    <x v="0"/>
    <s v="5770200"/>
    <n v="732030"/>
    <s v="Repairs&amp;Maintenance-Electrical"/>
    <s v="Bainbridge Island Shared Srvcs"/>
    <x v="0"/>
    <n v="5100"/>
    <n v="0"/>
    <n v="0"/>
    <n v="0"/>
    <n v="0"/>
    <n v="0"/>
    <n v="37.56"/>
    <n v="108.35"/>
    <n v="162.85"/>
    <n v="0"/>
    <n v="0"/>
    <n v="0"/>
    <n v="0"/>
    <n v="308.76"/>
    <n v="0"/>
  </r>
  <r>
    <x v="16"/>
    <x v="1"/>
    <x v="0"/>
    <s v="5770200"/>
    <n v="733030"/>
    <s v="Maintenance Contracts-Other"/>
    <s v="Bainbridge Island Shared Srvcs"/>
    <x v="0"/>
    <m/>
    <n v="2398.65"/>
    <n v="0"/>
    <n v="0"/>
    <n v="0"/>
    <n v="0"/>
    <n v="799.55"/>
    <n v="8846.59"/>
    <n v="0"/>
    <n v="0"/>
    <n v="-8846.59"/>
    <n v="0"/>
    <n v="0"/>
    <n v="3198.2000000000007"/>
    <n v="0"/>
  </r>
  <r>
    <x v="16"/>
    <x v="1"/>
    <x v="0"/>
    <s v="5770200"/>
    <n v="733030"/>
    <s v="Maintenance Contract-Landscape General"/>
    <s v="Bainbridge Island Shared Srvcs"/>
    <x v="0"/>
    <n v="5105"/>
    <n v="0"/>
    <n v="0"/>
    <n v="0"/>
    <n v="0"/>
    <n v="0"/>
    <n v="0"/>
    <n v="2398.65"/>
    <n v="0"/>
    <n v="0"/>
    <n v="0"/>
    <n v="0"/>
    <n v="0"/>
    <n v="2398.65"/>
    <n v="0"/>
  </r>
  <r>
    <x v="0"/>
    <x v="1"/>
    <x v="0"/>
    <s v="5770200"/>
    <n v="743020"/>
    <s v="Provider-Dues"/>
    <s v="Bainbridge Island Shared Srvcs"/>
    <x v="0"/>
    <n v="2200"/>
    <n v="0"/>
    <n v="0"/>
    <n v="0"/>
    <n v="0"/>
    <n v="0"/>
    <n v="0"/>
    <n v="0"/>
    <n v="830"/>
    <n v="0"/>
    <n v="0"/>
    <n v="0"/>
    <n v="0"/>
    <n v="830"/>
    <n v="0"/>
  </r>
  <r>
    <x v="0"/>
    <x v="1"/>
    <x v="0"/>
    <s v="5770200"/>
    <n v="743030"/>
    <s v="Subscriptions--Institutional"/>
    <s v="Bainbridge Island Shared Srvcs"/>
    <x v="0"/>
    <m/>
    <n v="0"/>
    <n v="0"/>
    <n v="0"/>
    <n v="0"/>
    <n v="0"/>
    <n v="0"/>
    <n v="0"/>
    <n v="0"/>
    <n v="438.65"/>
    <n v="0"/>
    <n v="0"/>
    <n v="0"/>
    <n v="438.65"/>
    <n v="0"/>
  </r>
  <r>
    <x v="0"/>
    <x v="1"/>
    <x v="0"/>
    <s v="5770200"/>
    <n v="749510"/>
    <s v="Miscellaneous Expenses"/>
    <s v="Bainbridge Island Shared Srvcs"/>
    <x v="0"/>
    <m/>
    <n v="0"/>
    <n v="0"/>
    <n v="0"/>
    <n v="0"/>
    <n v="0"/>
    <n v="0"/>
    <n v="0"/>
    <n v="0"/>
    <n v="273.76"/>
    <n v="0"/>
    <n v="0"/>
    <n v="0"/>
    <n v="273.76"/>
    <n v="0"/>
  </r>
  <r>
    <x v="0"/>
    <x v="1"/>
    <x v="0"/>
    <s v="5770200"/>
    <n v="766010"/>
    <s v="Property Tax"/>
    <s v="Bainbridge Island Shared Srvcs"/>
    <x v="0"/>
    <m/>
    <n v="2820.45"/>
    <n v="2056.75"/>
    <n v="2056.75"/>
    <n v="2056.62"/>
    <n v="2056.71"/>
    <n v="2056.71"/>
    <n v="2056.73"/>
    <n v="2056.73"/>
    <n v="2056.7399999999998"/>
    <n v="1507.44"/>
    <n v="1919.42"/>
    <n v="1919.42"/>
    <n v="24620.469999999994"/>
    <n v="0"/>
  </r>
  <r>
    <x v="5"/>
    <x v="1"/>
    <x v="0"/>
    <s v="5771200"/>
    <n v="700014"/>
    <s v="Salaries-Management-Productive"/>
    <s v="Belfair Shared Services"/>
    <x v="0"/>
    <m/>
    <n v="0"/>
    <n v="0"/>
    <n v="0"/>
    <n v="0"/>
    <n v="0"/>
    <n v="0"/>
    <n v="0"/>
    <n v="0"/>
    <n v="43838.16"/>
    <n v="6698.28"/>
    <n v="5290.58"/>
    <n v="3409.94"/>
    <n v="59236.960000000006"/>
    <n v="1880.6399999999999"/>
  </r>
  <r>
    <x v="5"/>
    <x v="1"/>
    <x v="0"/>
    <s v="5771200"/>
    <n v="700038"/>
    <s v="Salaries-Service/Support-Productive"/>
    <s v="Belfair Shared Services"/>
    <x v="0"/>
    <m/>
    <n v="0"/>
    <n v="0"/>
    <n v="0"/>
    <n v="893.85"/>
    <n v="-87.02"/>
    <n v="0"/>
    <n v="0"/>
    <n v="0"/>
    <n v="0"/>
    <n v="0"/>
    <n v="0"/>
    <n v="0"/>
    <n v="806.83"/>
    <n v="0"/>
  </r>
  <r>
    <x v="5"/>
    <x v="1"/>
    <x v="0"/>
    <s v="5771200"/>
    <n v="700054"/>
    <s v="Salaries-Management-Non-productive"/>
    <s v="Belfair Shared Services"/>
    <x v="0"/>
    <m/>
    <n v="0"/>
    <n v="0"/>
    <n v="0"/>
    <n v="0"/>
    <n v="0"/>
    <n v="0"/>
    <n v="0"/>
    <n v="0"/>
    <n v="5020.08"/>
    <n v="0"/>
    <n v="2066.62"/>
    <n v="1549.96"/>
    <n v="8636.66"/>
    <n v="516.65999999999985"/>
  </r>
  <r>
    <x v="5"/>
    <x v="1"/>
    <x v="0"/>
    <s v="5771200"/>
    <n v="700084"/>
    <s v="Accrued PTO"/>
    <s v="Belfair Shared Services"/>
    <x v="0"/>
    <m/>
    <n v="0"/>
    <n v="0"/>
    <n v="0"/>
    <n v="0"/>
    <n v="0"/>
    <n v="0"/>
    <n v="0"/>
    <n v="0"/>
    <n v="0"/>
    <n v="11831.65"/>
    <n v="-467.93"/>
    <n v="-960.6"/>
    <n v="10403.119999999999"/>
    <n v="492.67"/>
  </r>
  <r>
    <x v="6"/>
    <x v="1"/>
    <x v="0"/>
    <s v="5771200"/>
    <n v="713010"/>
    <s v="Benefits-FICA/Medicare"/>
    <s v="Belfair Shared Services"/>
    <x v="0"/>
    <m/>
    <n v="0"/>
    <n v="0"/>
    <n v="0"/>
    <n v="67.38"/>
    <n v="-6.69"/>
    <n v="0"/>
    <n v="0"/>
    <n v="0"/>
    <n v="0"/>
    <n v="612.35"/>
    <n v="539.63"/>
    <n v="363.79"/>
    <n v="1576.46"/>
    <n v="175.83999999999997"/>
  </r>
  <r>
    <x v="6"/>
    <x v="1"/>
    <x v="0"/>
    <s v="5771200"/>
    <n v="713090"/>
    <s v="Benefits-Allocated Amounts"/>
    <s v="Belfair Shared Services"/>
    <x v="0"/>
    <m/>
    <n v="0"/>
    <n v="0"/>
    <n v="0"/>
    <n v="210.72"/>
    <n v="53.42"/>
    <n v="55.24"/>
    <n v="-162.13"/>
    <n v="23.77"/>
    <n v="7547.4"/>
    <n v="1484.06"/>
    <n v="981.51"/>
    <n v="832.48"/>
    <n v="11026.47"/>
    <n v="149.02999999999997"/>
  </r>
  <r>
    <x v="7"/>
    <x v="1"/>
    <x v="0"/>
    <s v="5771200"/>
    <n v="718050"/>
    <s v="Contract Svcs-Other"/>
    <s v="Belfair Shared Services"/>
    <x v="0"/>
    <m/>
    <n v="0"/>
    <n v="108.05"/>
    <n v="0"/>
    <n v="0"/>
    <n v="975.55"/>
    <n v="0"/>
    <n v="0"/>
    <n v="11.04"/>
    <n v="0"/>
    <n v="0"/>
    <n v="0"/>
    <n v="0"/>
    <n v="1094.6399999999999"/>
    <n v="0"/>
  </r>
  <r>
    <x v="7"/>
    <x v="1"/>
    <x v="0"/>
    <s v="5771200"/>
    <n v="718050"/>
    <s v="Pest Control"/>
    <s v="Belfair Shared Services"/>
    <x v="0"/>
    <n v="1014"/>
    <n v="0"/>
    <n v="0"/>
    <n v="0"/>
    <n v="0"/>
    <n v="0"/>
    <n v="0"/>
    <n v="40.69"/>
    <n v="40.69"/>
    <n v="0"/>
    <n v="0"/>
    <n v="0"/>
    <n v="0"/>
    <n v="81.38"/>
    <n v="0"/>
  </r>
  <r>
    <x v="7"/>
    <x v="1"/>
    <x v="0"/>
    <s v="5771200"/>
    <n v="718050"/>
    <s v="Miscellaneous Purchased Svcs"/>
    <s v="Belfair Shared Services"/>
    <x v="0"/>
    <n v="1020"/>
    <n v="265.45"/>
    <n v="362.96"/>
    <n v="203.31"/>
    <n v="130.54"/>
    <n v="31.08"/>
    <n v="598.02"/>
    <n v="246.59"/>
    <n v="0"/>
    <n v="20.72"/>
    <n v="421.19"/>
    <n v="0"/>
    <n v="0"/>
    <n v="2279.86"/>
    <n v="0"/>
  </r>
  <r>
    <x v="7"/>
    <x v="1"/>
    <x v="0"/>
    <s v="5771200"/>
    <n v="718050"/>
    <s v="Contract Management--Linen"/>
    <s v="Belfair Shared Services"/>
    <x v="0"/>
    <n v="1026"/>
    <n v="568.67999999999995"/>
    <n v="1386.52"/>
    <n v="851.42"/>
    <n v="897.3"/>
    <n v="717.12"/>
    <n v="1243.3699999999999"/>
    <n v="1114.6600000000001"/>
    <n v="214.19"/>
    <n v="1096.03"/>
    <n v="1217.67"/>
    <n v="183.35"/>
    <n v="916.75"/>
    <n v="10407.06"/>
    <n v="-733.4"/>
  </r>
  <r>
    <x v="11"/>
    <x v="1"/>
    <x v="0"/>
    <s v="5771200"/>
    <n v="721410"/>
    <s v="Supplies-Medical - Nonbillable"/>
    <s v="Belfair Shared Services"/>
    <x v="0"/>
    <m/>
    <n v="271.02"/>
    <n v="209.23"/>
    <n v="0"/>
    <n v="494.98"/>
    <n v="146.13"/>
    <n v="302.29000000000002"/>
    <n v="213.5"/>
    <n v="312.18"/>
    <n v="424.7"/>
    <n v="152.63"/>
    <n v="-7974.14"/>
    <n v="21.47"/>
    <n v="-5426.0099999999993"/>
    <n v="-7995.6100000000006"/>
  </r>
  <r>
    <x v="11"/>
    <x v="1"/>
    <x v="0"/>
    <s v="5771200"/>
    <n v="721810"/>
    <s v="Supplies-Dietary/Cafeteria"/>
    <s v="Belfair Shared Services"/>
    <x v="0"/>
    <m/>
    <n v="0"/>
    <n v="0"/>
    <n v="0"/>
    <n v="0"/>
    <n v="0"/>
    <n v="0"/>
    <n v="0"/>
    <n v="0"/>
    <n v="0"/>
    <n v="125.53"/>
    <n v="0"/>
    <n v="0"/>
    <n v="125.53"/>
    <n v="0"/>
  </r>
  <r>
    <x v="11"/>
    <x v="1"/>
    <x v="0"/>
    <s v="5771200"/>
    <n v="721830"/>
    <s v="Supplies-Office"/>
    <s v="Belfair Shared Services"/>
    <x v="0"/>
    <m/>
    <n v="0"/>
    <n v="0"/>
    <n v="197.15"/>
    <n v="39.549999999999997"/>
    <n v="82.44"/>
    <n v="137.41999999999999"/>
    <n v="290.64999999999998"/>
    <n v="36.130000000000003"/>
    <n v="194.13"/>
    <n v="95.75"/>
    <n v="135.91999999999999"/>
    <n v="139.62"/>
    <n v="1348.7599999999998"/>
    <n v="-3.7000000000000171"/>
  </r>
  <r>
    <x v="11"/>
    <x v="1"/>
    <x v="0"/>
    <s v="5771200"/>
    <n v="721835"/>
    <s v="Supplies-Forms"/>
    <s v="Belfair Shared Services"/>
    <x v="0"/>
    <m/>
    <n v="0"/>
    <n v="0"/>
    <n v="185.91"/>
    <n v="0"/>
    <n v="0"/>
    <n v="0"/>
    <n v="0"/>
    <n v="0"/>
    <n v="0"/>
    <n v="0"/>
    <n v="0"/>
    <n v="0"/>
    <n v="185.91"/>
    <n v="0"/>
  </r>
  <r>
    <x v="11"/>
    <x v="1"/>
    <x v="0"/>
    <s v="5771200"/>
    <n v="721880"/>
    <s v="Supplies-Linen"/>
    <s v="Belfair Shared Services"/>
    <x v="0"/>
    <m/>
    <n v="0"/>
    <n v="0"/>
    <n v="0"/>
    <n v="0"/>
    <n v="450.15"/>
    <n v="-70.89"/>
    <n v="0"/>
    <n v="0"/>
    <n v="667.62"/>
    <n v="-667.62"/>
    <n v="0"/>
    <n v="406"/>
    <n v="785.2600000000001"/>
    <n v="-406"/>
  </r>
  <r>
    <x v="11"/>
    <x v="1"/>
    <x v="0"/>
    <s v="5771200"/>
    <n v="721910"/>
    <s v="Supplies-Small Equipment"/>
    <s v="Belfair Shared Services"/>
    <x v="0"/>
    <m/>
    <n v="0"/>
    <n v="0"/>
    <n v="0"/>
    <n v="0"/>
    <n v="0"/>
    <n v="0"/>
    <n v="591.87"/>
    <n v="0"/>
    <n v="0"/>
    <n v="185.58"/>
    <n v="143.9"/>
    <n v="0"/>
    <n v="921.35"/>
    <n v="143.9"/>
  </r>
  <r>
    <x v="11"/>
    <x v="1"/>
    <x v="0"/>
    <s v="5771200"/>
    <n v="722000"/>
    <s v="Supplies-Freight Expense"/>
    <s v="Belfair Shared Services"/>
    <x v="0"/>
    <m/>
    <n v="0"/>
    <n v="0"/>
    <n v="0"/>
    <n v="97.93"/>
    <n v="0"/>
    <n v="0"/>
    <n v="0"/>
    <n v="0"/>
    <n v="10.19"/>
    <n v="0"/>
    <n v="0"/>
    <n v="54.58"/>
    <n v="162.69999999999999"/>
    <n v="-54.58"/>
  </r>
  <r>
    <x v="12"/>
    <x v="1"/>
    <x v="0"/>
    <s v="5771200"/>
    <n v="730010"/>
    <s v="Rental and Leases-Building (DO NOT USE)"/>
    <s v="Belfair Shared Services"/>
    <x v="0"/>
    <m/>
    <n v="18230.52"/>
    <n v="18230.52"/>
    <n v="-2940.78"/>
    <n v="31010.03"/>
    <n v="16819.099999999999"/>
    <n v="-2626.25"/>
    <n v="14929.65"/>
    <n v="14929.65"/>
    <n v="14929.65"/>
    <n v="15147.97"/>
    <n v="15147.97"/>
    <n v="0"/>
    <n v="153808.02999999997"/>
    <n v="15147.97"/>
  </r>
  <r>
    <x v="12"/>
    <x v="1"/>
    <x v="0"/>
    <s v="5771200"/>
    <n v="730010"/>
    <s v="Rental-Common Area Maint (DO NOT USE)"/>
    <s v="Belfair Shared Services"/>
    <x v="0"/>
    <n v="2200"/>
    <n v="0"/>
    <n v="0"/>
    <n v="0"/>
    <n v="0"/>
    <n v="0"/>
    <n v="19445.349999999999"/>
    <n v="1889.45"/>
    <n v="1889.45"/>
    <n v="1889.45"/>
    <n v="5395.25"/>
    <n v="2385.62"/>
    <n v="0"/>
    <n v="32894.57"/>
    <n v="2385.62"/>
  </r>
  <r>
    <x v="12"/>
    <x v="1"/>
    <x v="0"/>
    <s v="5771200"/>
    <n v="730020"/>
    <s v="Rental and Leases-Copier Usage Fees (DO NOT USE)"/>
    <s v="Belfair Shared Services"/>
    <x v="0"/>
    <n v="5100"/>
    <n v="170.73"/>
    <n v="178.49"/>
    <n v="174.61"/>
    <n v="174.61"/>
    <n v="174.61"/>
    <n v="174.61"/>
    <n v="153.15"/>
    <n v="168.25"/>
    <n v="167.89"/>
    <n v="168.61"/>
    <n v="168.25"/>
    <n v="173.72"/>
    <n v="2047.5300000000004"/>
    <n v="-5.4699999999999989"/>
  </r>
  <r>
    <x v="12"/>
    <x v="1"/>
    <x v="0"/>
    <s v="5771200"/>
    <n v="730040"/>
    <s v="LT Lease-Real Estate"/>
    <s v="Belfair Shared Services"/>
    <x v="0"/>
    <m/>
    <n v="0"/>
    <n v="0"/>
    <n v="0"/>
    <n v="0"/>
    <n v="0"/>
    <n v="0"/>
    <n v="0"/>
    <n v="0"/>
    <n v="0"/>
    <n v="0"/>
    <n v="0"/>
    <n v="17533.59"/>
    <n v="17533.59"/>
    <n v="-17533.59"/>
  </r>
  <r>
    <x v="15"/>
    <x v="1"/>
    <x v="0"/>
    <s v="5771200"/>
    <n v="731010"/>
    <s v="Natural Gas"/>
    <s v="Belfair Shared Services"/>
    <x v="0"/>
    <m/>
    <n v="5.39"/>
    <n v="5"/>
    <n v="6.5"/>
    <n v="6.88"/>
    <n v="13.66"/>
    <n v="32.15"/>
    <n v="52.29"/>
    <n v="56.29"/>
    <n v="98.41"/>
    <n v="56.63"/>
    <n v="24.89"/>
    <n v="10.96"/>
    <n v="369.04999999999995"/>
    <n v="13.93"/>
  </r>
  <r>
    <x v="15"/>
    <x v="1"/>
    <x v="0"/>
    <s v="5771200"/>
    <n v="731020"/>
    <s v="Electricity"/>
    <s v="Belfair Shared Services"/>
    <x v="0"/>
    <m/>
    <n v="863.35"/>
    <n v="974.55"/>
    <n v="1016.63"/>
    <n v="805.59"/>
    <n v="881.49"/>
    <n v="881.96"/>
    <n v="772.15"/>
    <n v="887.02"/>
    <n v="765.39"/>
    <n v="822.82"/>
    <n v="805.93"/>
    <n v="936"/>
    <n v="10412.880000000001"/>
    <n v="-130.07000000000005"/>
  </r>
  <r>
    <x v="15"/>
    <x v="1"/>
    <x v="0"/>
    <s v="5771200"/>
    <n v="731060"/>
    <s v="Telephone"/>
    <s v="Belfair Shared Services"/>
    <x v="0"/>
    <m/>
    <n v="0"/>
    <n v="0"/>
    <n v="0"/>
    <n v="9145.77"/>
    <n v="0"/>
    <n v="0"/>
    <n v="0"/>
    <n v="0"/>
    <n v="0"/>
    <n v="0"/>
    <n v="0"/>
    <n v="0"/>
    <n v="9145.77"/>
    <n v="0"/>
  </r>
  <r>
    <x v="15"/>
    <x v="1"/>
    <x v="0"/>
    <s v="5771200"/>
    <n v="731070"/>
    <s v="Cable TV"/>
    <s v="Belfair Shared Services"/>
    <x v="0"/>
    <m/>
    <n v="82.04"/>
    <n v="72.540000000000006"/>
    <n v="74.569999999999993"/>
    <n v="74.52"/>
    <n v="74.52"/>
    <n v="74.52"/>
    <n v="74.52"/>
    <n v="74.52"/>
    <n v="74.510000000000005"/>
    <n v="74.510000000000005"/>
    <n v="74.510000000000005"/>
    <n v="74.510000000000005"/>
    <n v="899.79"/>
    <n v="0"/>
  </r>
  <r>
    <x v="16"/>
    <x v="1"/>
    <x v="0"/>
    <s v="5771200"/>
    <n v="732030"/>
    <s v="Repairs---Other"/>
    <s v="Belfair Shared Services"/>
    <x v="0"/>
    <m/>
    <n v="0"/>
    <n v="0"/>
    <n v="0"/>
    <n v="0"/>
    <n v="0"/>
    <n v="0"/>
    <n v="75.12"/>
    <n v="782.46"/>
    <n v="71.31"/>
    <n v="40.69"/>
    <n v="220.69"/>
    <n v="1069.5"/>
    <n v="2259.7700000000004"/>
    <n v="-848.81"/>
  </r>
  <r>
    <x v="16"/>
    <x v="1"/>
    <x v="0"/>
    <s v="5771200"/>
    <n v="733030"/>
    <s v="Maintenance Contracts-Other"/>
    <s v="Belfair Shared Services"/>
    <x v="0"/>
    <m/>
    <n v="0"/>
    <n v="0"/>
    <n v="0"/>
    <n v="0"/>
    <n v="236.96"/>
    <n v="0"/>
    <n v="-177.45"/>
    <n v="0"/>
    <n v="0"/>
    <n v="0"/>
    <n v="59.51"/>
    <n v="0"/>
    <n v="119.02000000000001"/>
    <n v="59.51"/>
  </r>
  <r>
    <x v="13"/>
    <x v="1"/>
    <x v="0"/>
    <s v="5771200"/>
    <n v="735070"/>
    <s v="Depreciation-Movable Equipment"/>
    <s v="Belfair Shared Services"/>
    <x v="0"/>
    <m/>
    <n v="350.18"/>
    <n v="350.18"/>
    <n v="350.17"/>
    <n v="285.69"/>
    <n v="285.7"/>
    <n v="285.69"/>
    <n v="285.7"/>
    <n v="285.69"/>
    <n v="285.7"/>
    <n v="285.69"/>
    <n v="285.7"/>
    <n v="285.68"/>
    <n v="3621.7699999999995"/>
    <n v="1.999999999998181E-2"/>
  </r>
  <r>
    <x v="0"/>
    <x v="1"/>
    <x v="0"/>
    <s v="5771200"/>
    <n v="743030"/>
    <s v="Subscriptions--Institutional"/>
    <s v="Belfair Shared Services"/>
    <x v="0"/>
    <m/>
    <n v="0"/>
    <n v="0"/>
    <n v="91.12"/>
    <n v="0"/>
    <n v="92.7"/>
    <n v="0"/>
    <n v="98.22"/>
    <n v="0"/>
    <n v="0"/>
    <n v="0"/>
    <n v="0"/>
    <n v="0"/>
    <n v="282.03999999999996"/>
    <n v="0"/>
  </r>
  <r>
    <x v="0"/>
    <x v="1"/>
    <x v="0"/>
    <s v="5771200"/>
    <n v="749510"/>
    <s v="Miscellaneous Expenses"/>
    <s v="Belfair Shared Services"/>
    <x v="0"/>
    <m/>
    <n v="0"/>
    <n v="0"/>
    <n v="0"/>
    <n v="0"/>
    <n v="0"/>
    <n v="0"/>
    <n v="0"/>
    <n v="0"/>
    <n v="273.76"/>
    <n v="54.22"/>
    <n v="-54.22"/>
    <n v="67.64"/>
    <n v="341.4"/>
    <n v="-121.86"/>
  </r>
  <r>
    <x v="0"/>
    <x v="1"/>
    <x v="0"/>
    <s v="5771200"/>
    <n v="749510"/>
    <s v="RICE Rewards"/>
    <s v="Belfair Shared Services"/>
    <x v="0"/>
    <n v="5100"/>
    <n v="0"/>
    <n v="0"/>
    <n v="0"/>
    <n v="0"/>
    <n v="0"/>
    <n v="0"/>
    <n v="0"/>
    <n v="0"/>
    <n v="0"/>
    <n v="149.94"/>
    <n v="0"/>
    <n v="0"/>
    <n v="149.94"/>
    <n v="0"/>
  </r>
  <r>
    <x v="0"/>
    <x v="1"/>
    <x v="0"/>
    <s v="5771200"/>
    <n v="749530"/>
    <s v="Travel"/>
    <s v="Belfair Shared Services"/>
    <x v="0"/>
    <m/>
    <n v="0"/>
    <n v="0"/>
    <n v="0"/>
    <n v="0"/>
    <n v="0"/>
    <n v="0"/>
    <n v="0"/>
    <n v="0"/>
    <n v="0"/>
    <n v="5"/>
    <n v="20"/>
    <n v="6.25"/>
    <n v="31.25"/>
    <n v="13.75"/>
  </r>
  <r>
    <x v="0"/>
    <x v="1"/>
    <x v="0"/>
    <s v="5771200"/>
    <n v="749530"/>
    <s v="Mileage"/>
    <s v="Belfair Shared Services"/>
    <x v="0"/>
    <n v="1001"/>
    <n v="0"/>
    <n v="0"/>
    <n v="0"/>
    <n v="0"/>
    <n v="0"/>
    <n v="0"/>
    <n v="0"/>
    <n v="0"/>
    <n v="0"/>
    <n v="121.22"/>
    <n v="103.82"/>
    <n v="44.08"/>
    <n v="269.12"/>
    <n v="59.739999999999995"/>
  </r>
  <r>
    <x v="0"/>
    <x v="1"/>
    <x v="0"/>
    <s v="5771200"/>
    <n v="749550"/>
    <s v="Cash Over/Short"/>
    <s v="Belfair Shared Services"/>
    <x v="0"/>
    <m/>
    <n v="0"/>
    <n v="0"/>
    <n v="-0.3"/>
    <n v="0"/>
    <n v="0"/>
    <n v="0"/>
    <n v="0"/>
    <n v="0"/>
    <n v="0.3"/>
    <n v="5"/>
    <n v="-0.48"/>
    <n v="0"/>
    <n v="4.5199999999999996"/>
    <n v="-0.48"/>
  </r>
  <r>
    <x v="0"/>
    <x v="1"/>
    <x v="0"/>
    <s v="5771200"/>
    <n v="766010"/>
    <s v="Property Tax"/>
    <s v="Belfair Shared Services"/>
    <x v="0"/>
    <m/>
    <n v="0"/>
    <n v="0"/>
    <n v="0"/>
    <n v="0"/>
    <n v="0"/>
    <n v="0"/>
    <n v="0"/>
    <n v="0"/>
    <n v="0"/>
    <n v="0"/>
    <n v="-23.99"/>
    <n v="0"/>
    <n v="-23.99"/>
    <n v="-23.99"/>
  </r>
  <r>
    <x v="5"/>
    <x v="1"/>
    <x v="0"/>
    <s v="5772200"/>
    <n v="700014"/>
    <s v="Salaries-Management-Productive"/>
    <s v="Bremerton PC Shared Services"/>
    <x v="0"/>
    <m/>
    <n v="3790.86"/>
    <n v="4102"/>
    <n v="3317.56"/>
    <n v="4665.79"/>
    <n v="4305.7299999999996"/>
    <n v="3238.01"/>
    <n v="4542"/>
    <n v="3976.2"/>
    <n v="4298.51"/>
    <n v="4312.01"/>
    <n v="1316.17"/>
    <n v="3630.93"/>
    <n v="45495.77"/>
    <n v="-2314.7599999999998"/>
  </r>
  <r>
    <x v="5"/>
    <x v="1"/>
    <x v="0"/>
    <s v="5772200"/>
    <n v="700018"/>
    <s v="Salaries-Supervisory-Productive"/>
    <s v="Bremerton PC Shared Services"/>
    <x v="0"/>
    <m/>
    <n v="4603.2"/>
    <n v="4257.96"/>
    <n v="4718.28"/>
    <n v="5407.44"/>
    <n v="5202.5600000000004"/>
    <n v="4729.6000000000004"/>
    <n v="4215.84"/>
    <n v="5020.74"/>
    <n v="4973.37"/>
    <n v="5210.1899999999996"/>
    <n v="4499.71"/>
    <n v="5210.2"/>
    <n v="58049.090000000004"/>
    <n v="-710.48999999999978"/>
  </r>
  <r>
    <x v="5"/>
    <x v="1"/>
    <x v="0"/>
    <s v="5772200"/>
    <n v="700032"/>
    <s v="Salaries-Other Pat Care Providers-Productive"/>
    <s v="Bremerton PC Shared Services"/>
    <x v="0"/>
    <m/>
    <n v="0"/>
    <n v="0"/>
    <n v="0"/>
    <n v="0"/>
    <n v="0"/>
    <n v="0"/>
    <n v="0"/>
    <n v="0"/>
    <n v="0"/>
    <n v="0"/>
    <n v="0"/>
    <n v="105.91"/>
    <n v="105.91"/>
    <n v="-105.91"/>
  </r>
  <r>
    <x v="5"/>
    <x v="1"/>
    <x v="0"/>
    <s v="5772200"/>
    <n v="700038"/>
    <s v="Salaries-Service/Support-Productive"/>
    <s v="Bremerton PC Shared Services"/>
    <x v="0"/>
    <m/>
    <n v="5510.35"/>
    <n v="9940.17"/>
    <n v="5049.24"/>
    <n v="10042.81"/>
    <n v="10055.73"/>
    <n v="6727.9"/>
    <n v="8042.76"/>
    <n v="4705.2299999999996"/>
    <n v="6633.36"/>
    <n v="6166.14"/>
    <n v="5482.57"/>
    <n v="2628.07"/>
    <n v="80984.330000000016"/>
    <n v="2854.4999999999995"/>
  </r>
  <r>
    <x v="5"/>
    <x v="1"/>
    <x v="0"/>
    <s v="5772200"/>
    <n v="700038"/>
    <s v="Salaries-Service/Support-OT"/>
    <s v="Bremerton PC Shared Services"/>
    <x v="0"/>
    <n v="1000"/>
    <n v="0"/>
    <n v="64.92"/>
    <n v="34.39"/>
    <n v="13.25"/>
    <n v="363.84"/>
    <n v="-27.67"/>
    <n v="124.22"/>
    <n v="-6"/>
    <n v="27.76"/>
    <n v="23.01"/>
    <n v="12.71"/>
    <n v="31.75"/>
    <n v="662.18"/>
    <n v="-19.04"/>
  </r>
  <r>
    <x v="5"/>
    <x v="1"/>
    <x v="0"/>
    <s v="5772200"/>
    <n v="700054"/>
    <s v="Salaries-Management-Non-productive"/>
    <s v="Bremerton PC Shared Services"/>
    <x v="0"/>
    <m/>
    <n v="0"/>
    <n v="0"/>
    <n v="0"/>
    <n v="0"/>
    <n v="0"/>
    <n v="215.76"/>
    <n v="0"/>
    <n v="0"/>
    <n v="0"/>
    <n v="0"/>
    <n v="0"/>
    <n v="0"/>
    <n v="215.76"/>
    <n v="0"/>
  </r>
  <r>
    <x v="5"/>
    <x v="1"/>
    <x v="0"/>
    <s v="5772200"/>
    <n v="700058"/>
    <s v="Salaries-Supervisory-Non-productive"/>
    <s v="Bremerton PC Shared Services"/>
    <x v="0"/>
    <m/>
    <n v="460.32"/>
    <n v="1035.72"/>
    <n v="-115.08"/>
    <n v="0"/>
    <n v="0"/>
    <n v="236.48"/>
    <n v="1231.51"/>
    <n v="-284.19"/>
    <n v="0"/>
    <n v="0"/>
    <n v="947.32"/>
    <n v="-473.66"/>
    <n v="3038.42"/>
    <n v="1420.98"/>
  </r>
  <r>
    <x v="5"/>
    <x v="1"/>
    <x v="0"/>
    <s v="5772200"/>
    <n v="700078"/>
    <s v="Salaries-Service/Support-Non-productive"/>
    <s v="Bremerton PC Shared Services"/>
    <x v="0"/>
    <m/>
    <n v="1009.67"/>
    <n v="522.41"/>
    <n v="4348.55"/>
    <n v="586.29"/>
    <n v="764.02"/>
    <n v="2590.9699999999998"/>
    <n v="537.15"/>
    <n v="471.89"/>
    <n v="248.03"/>
    <n v="348.13"/>
    <n v="1443.85"/>
    <n v="-125.08"/>
    <n v="12745.88"/>
    <n v="1568.9299999999998"/>
  </r>
  <r>
    <x v="5"/>
    <x v="1"/>
    <x v="0"/>
    <s v="5772200"/>
    <n v="700078"/>
    <s v="Salaries-Service/Support-NonProd-Other"/>
    <s v="Bremerton PC Shared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772200"/>
    <n v="700084"/>
    <s v="Accrued PTO"/>
    <s v="Bremerton PC Shared Services"/>
    <x v="0"/>
    <m/>
    <n v="-119.54"/>
    <n v="382.7"/>
    <n v="136.46"/>
    <n v="910.36"/>
    <n v="1343.95"/>
    <n v="-454.57"/>
    <n v="-164.42"/>
    <n v="671.67"/>
    <n v="985.4"/>
    <n v="847.28"/>
    <n v="-176"/>
    <n v="703.4"/>
    <n v="5066.6899999999996"/>
    <n v="-879.4"/>
  </r>
  <r>
    <x v="10"/>
    <x v="1"/>
    <x v="0"/>
    <s v="5772200"/>
    <n v="710060"/>
    <s v="Contract Labor-Other"/>
    <s v="Bremerton PC Shared Services"/>
    <x v="0"/>
    <m/>
    <n v="0"/>
    <n v="0"/>
    <n v="0"/>
    <n v="0"/>
    <n v="0"/>
    <n v="0"/>
    <n v="39.5"/>
    <n v="0"/>
    <n v="0"/>
    <n v="0"/>
    <n v="0"/>
    <n v="0"/>
    <n v="39.5"/>
    <n v="0"/>
  </r>
  <r>
    <x v="6"/>
    <x v="1"/>
    <x v="0"/>
    <s v="5772200"/>
    <n v="713010"/>
    <s v="Benefits-FICA/Medicare"/>
    <s v="Bremerton PC Shared Services"/>
    <x v="0"/>
    <m/>
    <n v="1105.78"/>
    <n v="1440.39"/>
    <n v="1256.05"/>
    <n v="1500.71"/>
    <n v="1530.99"/>
    <n v="1284.04"/>
    <n v="1350.54"/>
    <n v="1005.47"/>
    <n v="1174.97"/>
    <n v="1161.97"/>
    <n v="993.02"/>
    <n v="804.24"/>
    <n v="14608.169999999998"/>
    <n v="188.77999999999997"/>
  </r>
  <r>
    <x v="6"/>
    <x v="1"/>
    <x v="0"/>
    <s v="5772200"/>
    <n v="713090"/>
    <s v="Benefits-Allocated Amounts"/>
    <s v="Bremerton PC Shared Services"/>
    <x v="0"/>
    <m/>
    <n v="3736.72"/>
    <n v="4394.79"/>
    <n v="4721.38"/>
    <n v="4894.32"/>
    <n v="5019.42"/>
    <n v="4549.8500000000004"/>
    <n v="5051.03"/>
    <n v="4128.2"/>
    <n v="4097.7700000000004"/>
    <n v="4249.67"/>
    <n v="3586.8"/>
    <n v="2544.0300000000002"/>
    <n v="50973.979999999996"/>
    <n v="1042.77"/>
  </r>
  <r>
    <x v="6"/>
    <x v="1"/>
    <x v="0"/>
    <s v="5772200"/>
    <n v="713096"/>
    <s v="Employee Recognition"/>
    <s v="Bremerton PC Shared Services"/>
    <x v="0"/>
    <n v="1017"/>
    <n v="0"/>
    <n v="0"/>
    <n v="0"/>
    <n v="306.67"/>
    <n v="37.049999999999997"/>
    <n v="44.19"/>
    <n v="0"/>
    <n v="0"/>
    <n v="131.97999999999999"/>
    <n v="0"/>
    <n v="0"/>
    <n v="92.62"/>
    <n v="612.51"/>
    <n v="-92.62"/>
  </r>
  <r>
    <x v="7"/>
    <x v="1"/>
    <x v="0"/>
    <s v="5772200"/>
    <n v="718050"/>
    <s v="Contract Svcs-Other"/>
    <s v="Bremerton PC Shared Services"/>
    <x v="0"/>
    <m/>
    <n v="0"/>
    <n v="0"/>
    <n v="168.69"/>
    <n v="250"/>
    <n v="955.1"/>
    <n v="0"/>
    <n v="206.37"/>
    <n v="67.209999999999994"/>
    <n v="230"/>
    <n v="0"/>
    <n v="0"/>
    <n v="457.8"/>
    <n v="2335.17"/>
    <n v="-457.8"/>
  </r>
  <r>
    <x v="7"/>
    <x v="1"/>
    <x v="0"/>
    <s v="5772200"/>
    <n v="718050"/>
    <s v="Miscellaneous Purchased Svcs"/>
    <s v="Bremerton PC Shared Services"/>
    <x v="0"/>
    <n v="1020"/>
    <n v="303.88"/>
    <n v="393.34"/>
    <n v="354.96"/>
    <n v="328.94"/>
    <n v="377.68"/>
    <n v="1919.91"/>
    <n v="794.52"/>
    <n v="624.86"/>
    <n v="730.69"/>
    <n v="529.11"/>
    <n v="230"/>
    <n v="975.32"/>
    <n v="7563.2099999999982"/>
    <n v="-745.32"/>
  </r>
  <r>
    <x v="7"/>
    <x v="1"/>
    <x v="0"/>
    <s v="5772200"/>
    <n v="718050"/>
    <s v="Translation Services"/>
    <s v="Bremerton PC Shared Services"/>
    <x v="0"/>
    <n v="1025"/>
    <n v="0"/>
    <n v="0"/>
    <n v="132"/>
    <n v="0"/>
    <n v="32"/>
    <n v="0"/>
    <n v="0"/>
    <n v="0"/>
    <n v="0"/>
    <n v="0"/>
    <n v="0"/>
    <n v="0"/>
    <n v="164"/>
    <n v="0"/>
  </r>
  <r>
    <x v="7"/>
    <x v="1"/>
    <x v="0"/>
    <s v="5772200"/>
    <n v="718050"/>
    <s v="Contract Management--Linen"/>
    <s v="Bremerton PC Shared Services"/>
    <x v="0"/>
    <n v="1026"/>
    <n v="0"/>
    <n v="118.5"/>
    <n v="0"/>
    <n v="79"/>
    <n v="158"/>
    <n v="197.5"/>
    <n v="79"/>
    <n v="0"/>
    <n v="118.5"/>
    <n v="0"/>
    <n v="0"/>
    <n v="0"/>
    <n v="750.5"/>
    <n v="0"/>
  </r>
  <r>
    <x v="11"/>
    <x v="1"/>
    <x v="0"/>
    <s v="5772200"/>
    <n v="721010"/>
    <s v="Patient Monitoring"/>
    <s v="Bremerton PC Shared Services"/>
    <x v="0"/>
    <n v="1000"/>
    <n v="36.200000000000003"/>
    <n v="0"/>
    <n v="0"/>
    <n v="0"/>
    <n v="0"/>
    <n v="0"/>
    <n v="0"/>
    <n v="0"/>
    <n v="0"/>
    <n v="0"/>
    <n v="0"/>
    <n v="0"/>
    <n v="36.200000000000003"/>
    <n v="0"/>
  </r>
  <r>
    <x v="11"/>
    <x v="1"/>
    <x v="0"/>
    <s v="5772200"/>
    <n v="721220"/>
    <s v="Supplies-Medical Gases - Billable"/>
    <s v="Bremerton PC Shared Services"/>
    <x v="0"/>
    <m/>
    <n v="0"/>
    <n v="0"/>
    <n v="0"/>
    <n v="62.08"/>
    <n v="0"/>
    <n v="0"/>
    <n v="0"/>
    <n v="0"/>
    <n v="0"/>
    <n v="0"/>
    <n v="0"/>
    <n v="0"/>
    <n v="62.08"/>
    <n v="0"/>
  </r>
  <r>
    <x v="11"/>
    <x v="1"/>
    <x v="0"/>
    <s v="5772200"/>
    <n v="721250"/>
    <s v="Supplies-Pharmacy Drugs - Billable"/>
    <s v="Bremerton PC Shared Services"/>
    <x v="0"/>
    <m/>
    <n v="0"/>
    <n v="3369.49"/>
    <n v="843.57"/>
    <n v="3842.64"/>
    <n v="0"/>
    <n v="0"/>
    <n v="0"/>
    <n v="0"/>
    <n v="0"/>
    <n v="2660.41"/>
    <n v="0"/>
    <n v="0"/>
    <n v="10716.109999999999"/>
    <n v="0"/>
  </r>
  <r>
    <x v="11"/>
    <x v="1"/>
    <x v="0"/>
    <s v="5772200"/>
    <n v="721410"/>
    <s v="Supplies-Medical - Nonbillable"/>
    <s v="Bremerton PC Shared Services"/>
    <x v="0"/>
    <m/>
    <n v="17.989999999999998"/>
    <n v="-6.29"/>
    <n v="246.45"/>
    <n v="64.52"/>
    <n v="205.06"/>
    <n v="18.22"/>
    <n v="55.75"/>
    <n v="64.11"/>
    <n v="0"/>
    <n v="262.61"/>
    <n v="4755.88"/>
    <n v="-1.49"/>
    <n v="5682.81"/>
    <n v="4757.37"/>
  </r>
  <r>
    <x v="11"/>
    <x v="1"/>
    <x v="0"/>
    <s v="5772200"/>
    <n v="721420"/>
    <s v="Supplies-Surgical Nonbillable"/>
    <s v="Bremerton PC Shared Services"/>
    <x v="0"/>
    <m/>
    <n v="0"/>
    <n v="0"/>
    <n v="0"/>
    <n v="0"/>
    <n v="0.04"/>
    <n v="0.46"/>
    <n v="0"/>
    <n v="0"/>
    <n v="0"/>
    <n v="0"/>
    <n v="0"/>
    <n v="0"/>
    <n v="0.5"/>
    <n v="0"/>
  </r>
  <r>
    <x v="11"/>
    <x v="1"/>
    <x v="0"/>
    <s v="5772200"/>
    <n v="721650"/>
    <s v="Supplies-Pharmacy Drugs - Nonbillable"/>
    <s v="Bremerton PC Shared Services"/>
    <x v="0"/>
    <m/>
    <n v="0"/>
    <n v="0"/>
    <n v="0"/>
    <n v="0"/>
    <n v="0"/>
    <n v="0"/>
    <n v="0"/>
    <n v="0"/>
    <n v="0"/>
    <n v="3.38"/>
    <n v="0"/>
    <n v="0"/>
    <n v="3.38"/>
    <n v="0"/>
  </r>
  <r>
    <x v="11"/>
    <x v="1"/>
    <x v="0"/>
    <s v="5772200"/>
    <n v="721710"/>
    <s v="Supplies-Laboratory - Nonbillable"/>
    <s v="Bremerton PC Shared Services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5772200"/>
    <n v="721810"/>
    <s v="Supplies-Dietary/Cafeteria"/>
    <s v="Bremerton PC Shared Services"/>
    <x v="0"/>
    <m/>
    <n v="0"/>
    <n v="0"/>
    <n v="157.08000000000001"/>
    <n v="0"/>
    <n v="112.76"/>
    <n v="69.03"/>
    <n v="60.67"/>
    <n v="0"/>
    <n v="0"/>
    <n v="0"/>
    <n v="0"/>
    <n v="73.7"/>
    <n v="473.24"/>
    <n v="-73.7"/>
  </r>
  <r>
    <x v="11"/>
    <x v="1"/>
    <x v="0"/>
    <s v="5772200"/>
    <n v="721830"/>
    <s v="Supplies-Office"/>
    <s v="Bremerton PC Shared Services"/>
    <x v="0"/>
    <m/>
    <n v="1333.67"/>
    <n v="1526.45"/>
    <n v="1396.24"/>
    <n v="2552.56"/>
    <n v="583.19000000000005"/>
    <n v="780.28"/>
    <n v="3093.1"/>
    <n v="1028.8499999999999"/>
    <n v="335.49"/>
    <n v="967.23"/>
    <n v="431.3"/>
    <n v="287.61"/>
    <n v="14315.97"/>
    <n v="143.69"/>
  </r>
  <r>
    <x v="11"/>
    <x v="1"/>
    <x v="0"/>
    <s v="5772200"/>
    <n v="721835"/>
    <s v="Supplies-Forms"/>
    <s v="Bremerton PC Shared Services"/>
    <x v="0"/>
    <m/>
    <n v="325.52999999999997"/>
    <n v="57.01"/>
    <n v="0"/>
    <n v="113.09"/>
    <n v="88.02"/>
    <n v="0"/>
    <n v="86.82"/>
    <n v="0"/>
    <n v="0"/>
    <n v="85"/>
    <n v="0"/>
    <n v="11.4"/>
    <n v="766.87"/>
    <n v="-11.4"/>
  </r>
  <r>
    <x v="11"/>
    <x v="1"/>
    <x v="0"/>
    <s v="5772200"/>
    <n v="721870"/>
    <s v="Supplies-Environmental Services"/>
    <s v="Bremerton PC Shared Services"/>
    <x v="0"/>
    <m/>
    <n v="0"/>
    <n v="0"/>
    <n v="0"/>
    <n v="11.82"/>
    <n v="0"/>
    <n v="0"/>
    <n v="0"/>
    <n v="0"/>
    <n v="0"/>
    <n v="15.76"/>
    <n v="0"/>
    <n v="0"/>
    <n v="27.58"/>
    <n v="0"/>
  </r>
  <r>
    <x v="11"/>
    <x v="1"/>
    <x v="0"/>
    <s v="5772200"/>
    <n v="721880"/>
    <s v="Supplies-Linen"/>
    <s v="Bremerton PC Shared Services"/>
    <x v="0"/>
    <m/>
    <n v="0"/>
    <n v="0"/>
    <n v="19.8"/>
    <n v="0"/>
    <n v="29.95"/>
    <n v="4.2"/>
    <n v="0"/>
    <n v="0"/>
    <n v="0"/>
    <n v="26.88"/>
    <n v="0"/>
    <n v="0"/>
    <n v="80.83"/>
    <n v="0"/>
  </r>
  <r>
    <x v="11"/>
    <x v="1"/>
    <x v="0"/>
    <s v="5772200"/>
    <n v="721910"/>
    <s v="Supplies-Small Equipment"/>
    <s v="Bremerton PC Shared Services"/>
    <x v="0"/>
    <m/>
    <n v="990.65"/>
    <n v="78.27"/>
    <n v="7.68"/>
    <n v="-256.5"/>
    <n v="3430.74"/>
    <n v="4.08"/>
    <n v="0"/>
    <n v="0"/>
    <n v="437.63"/>
    <n v="6.12"/>
    <n v="13.86"/>
    <n v="0"/>
    <n v="4712.53"/>
    <n v="13.86"/>
  </r>
  <r>
    <x v="11"/>
    <x v="1"/>
    <x v="0"/>
    <s v="5772200"/>
    <n v="721910"/>
    <s v="Instruments"/>
    <s v="Bremerton PC Shared Services"/>
    <x v="0"/>
    <n v="1000"/>
    <n v="0"/>
    <n v="0"/>
    <n v="2.91"/>
    <n v="0"/>
    <n v="0.13"/>
    <n v="0"/>
    <n v="0"/>
    <n v="0"/>
    <n v="0"/>
    <n v="2.82"/>
    <n v="0"/>
    <n v="0"/>
    <n v="5.8599999999999994"/>
    <n v="0"/>
  </r>
  <r>
    <x v="11"/>
    <x v="1"/>
    <x v="0"/>
    <s v="5772200"/>
    <n v="721980"/>
    <s v="Supplies-Other"/>
    <s v="Bremerton PC Shared Services"/>
    <x v="0"/>
    <m/>
    <n v="343.64"/>
    <n v="0"/>
    <n v="200.14"/>
    <n v="37.22"/>
    <n v="0"/>
    <n v="0"/>
    <n v="0"/>
    <n v="0"/>
    <n v="0"/>
    <n v="0"/>
    <n v="0"/>
    <n v="0"/>
    <n v="581"/>
    <n v="0"/>
  </r>
  <r>
    <x v="11"/>
    <x v="1"/>
    <x v="0"/>
    <s v="5772200"/>
    <n v="722000"/>
    <s v="Supplies-Freight Expense"/>
    <s v="Bremerton PC Shared Services"/>
    <x v="0"/>
    <m/>
    <n v="-13.44"/>
    <n v="189.92"/>
    <n v="0"/>
    <n v="268.20999999999998"/>
    <n v="62.13"/>
    <n v="21.52"/>
    <n v="0"/>
    <n v="55.16"/>
    <n v="0"/>
    <n v="0"/>
    <n v="0"/>
    <n v="0"/>
    <n v="583.49999999999989"/>
    <n v="0"/>
  </r>
  <r>
    <x v="12"/>
    <x v="1"/>
    <x v="0"/>
    <s v="5772200"/>
    <n v="730010"/>
    <s v="Rental and Leases-Building (DO NOT USE)"/>
    <s v="Bremerton PC Shared Services"/>
    <x v="0"/>
    <m/>
    <n v="8202.27"/>
    <n v="8202.27"/>
    <n v="8803.77"/>
    <n v="8803.77"/>
    <n v="9957.69"/>
    <n v="-8235.7900000000009"/>
    <n v="4665"/>
    <n v="4665"/>
    <n v="4795.3999999999996"/>
    <n v="4795.12"/>
    <n v="4795.12"/>
    <n v="0"/>
    <n v="59449.62000000001"/>
    <n v="4795.12"/>
  </r>
  <r>
    <x v="12"/>
    <x v="1"/>
    <x v="0"/>
    <s v="5772200"/>
    <n v="730010"/>
    <s v="Rental-Common Area Maint (DO NOT USE)"/>
    <s v="Bremerton PC Shared Services"/>
    <x v="0"/>
    <n v="2200"/>
    <n v="0"/>
    <n v="0"/>
    <n v="0"/>
    <n v="0"/>
    <n v="0"/>
    <n v="17039.560000000001"/>
    <n v="2751.35"/>
    <n v="2751.35"/>
    <n v="2017.63"/>
    <n v="2017.51"/>
    <n v="-17497.29"/>
    <n v="0"/>
    <n v="9080.1099999999969"/>
    <n v="-17497.29"/>
  </r>
  <r>
    <x v="12"/>
    <x v="1"/>
    <x v="0"/>
    <s v="5772200"/>
    <n v="730020"/>
    <s v="Rental and Leases-Copier Usage Fees (DO NOT USE)"/>
    <s v="Bremerton PC Shared Services"/>
    <x v="0"/>
    <n v="5100"/>
    <n v="327.01"/>
    <n v="389.89"/>
    <n v="358.45"/>
    <n v="358.45"/>
    <n v="358.45"/>
    <n v="358.45"/>
    <n v="2821.62"/>
    <n v="515.73"/>
    <n v="514.65"/>
    <n v="807.07"/>
    <n v="515.73"/>
    <n v="563.78"/>
    <n v="7889.2799999999979"/>
    <n v="-48.049999999999955"/>
  </r>
  <r>
    <x v="12"/>
    <x v="1"/>
    <x v="0"/>
    <s v="5772200"/>
    <n v="730040"/>
    <s v="LT Lease-Real Estate"/>
    <s v="Bremerton PC Shared Services"/>
    <x v="0"/>
    <m/>
    <n v="0"/>
    <n v="0"/>
    <n v="0"/>
    <n v="0"/>
    <n v="0"/>
    <n v="0"/>
    <n v="0"/>
    <n v="0"/>
    <n v="0"/>
    <n v="0"/>
    <n v="0"/>
    <n v="6812.63"/>
    <n v="6812.63"/>
    <n v="-6812.63"/>
  </r>
  <r>
    <x v="15"/>
    <x v="1"/>
    <x v="0"/>
    <s v="5772200"/>
    <n v="731050"/>
    <s v="Refuse Disposal"/>
    <s v="Bremerton PC Shared Services"/>
    <x v="0"/>
    <m/>
    <n v="0"/>
    <n v="0"/>
    <n v="0"/>
    <n v="171.92"/>
    <n v="85.96"/>
    <n v="190.53"/>
    <n v="0"/>
    <n v="132.97"/>
    <n v="0"/>
    <n v="0"/>
    <n v="0"/>
    <n v="0"/>
    <n v="581.38"/>
    <n v="0"/>
  </r>
  <r>
    <x v="15"/>
    <x v="1"/>
    <x v="0"/>
    <s v="5772200"/>
    <n v="731060"/>
    <s v="Telephone"/>
    <s v="Bremerton PC Shared Services"/>
    <x v="0"/>
    <m/>
    <n v="1426.23"/>
    <n v="1312.39"/>
    <n v="307.13"/>
    <n v="1537.82"/>
    <n v="2883.3"/>
    <n v="1135.55"/>
    <n v="3248.52"/>
    <n v="2172.06"/>
    <n v="1632.82"/>
    <n v="2022.77"/>
    <n v="1449.12"/>
    <n v="1051.45"/>
    <n v="20179.16"/>
    <n v="397.66999999999985"/>
  </r>
  <r>
    <x v="15"/>
    <x v="1"/>
    <x v="0"/>
    <s v="5772200"/>
    <n v="731065"/>
    <s v="Data Communications"/>
    <s v="Bremerton PC Shared Services"/>
    <x v="0"/>
    <m/>
    <n v="0"/>
    <n v="0"/>
    <n v="0"/>
    <n v="0"/>
    <n v="762.8"/>
    <n v="155.80000000000001"/>
    <n v="151.87"/>
    <n v="155.85"/>
    <n v="155.85"/>
    <n v="155.66999999999999"/>
    <n v="155.69999999999999"/>
    <n v="151.72"/>
    <n v="1845.2599999999998"/>
    <n v="3.9799999999999898"/>
  </r>
  <r>
    <x v="15"/>
    <x v="1"/>
    <x v="0"/>
    <s v="5772200"/>
    <n v="731070"/>
    <s v="Cable TV"/>
    <s v="Bremerton PC Shared Services"/>
    <x v="0"/>
    <m/>
    <n v="0"/>
    <n v="0"/>
    <n v="0"/>
    <n v="0"/>
    <n v="58.43"/>
    <n v="11.94"/>
    <n v="11.64"/>
    <n v="11.94"/>
    <n v="11.94"/>
    <n v="11.93"/>
    <n v="11.92"/>
    <n v="11.62"/>
    <n v="141.35999999999999"/>
    <n v="0.30000000000000071"/>
  </r>
  <r>
    <x v="16"/>
    <x v="1"/>
    <x v="0"/>
    <s v="5772200"/>
    <n v="732030"/>
    <s v="Repairs---Other"/>
    <s v="Bremerton PC Shared Services"/>
    <x v="0"/>
    <m/>
    <n v="154.76"/>
    <n v="0"/>
    <n v="0"/>
    <n v="0"/>
    <n v="558.14"/>
    <n v="0"/>
    <n v="1490.97"/>
    <n v="403.3"/>
    <n v="301.31"/>
    <n v="258.14"/>
    <n v="0.01"/>
    <n v="75.709999999999994"/>
    <n v="3242.34"/>
    <n v="-75.699999999999989"/>
  </r>
  <r>
    <x v="13"/>
    <x v="1"/>
    <x v="0"/>
    <s v="5772200"/>
    <n v="735070"/>
    <s v="Depreciation-Movable Equipment"/>
    <s v="Bremerton PC Shared Services"/>
    <x v="0"/>
    <m/>
    <n v="0"/>
    <n v="0"/>
    <n v="0"/>
    <n v="0"/>
    <n v="0"/>
    <n v="0"/>
    <n v="9385.23"/>
    <n v="644.64"/>
    <n v="644.74"/>
    <n v="644.64"/>
    <n v="644.75"/>
    <n v="644.64"/>
    <n v="12608.639999999998"/>
    <n v="0.11000000000001364"/>
  </r>
  <r>
    <x v="0"/>
    <x v="1"/>
    <x v="0"/>
    <s v="5772200"/>
    <n v="743030"/>
    <s v="Subscriptions--Institutional"/>
    <s v="Bremerton PC Shared Services"/>
    <x v="0"/>
    <m/>
    <n v="0"/>
    <n v="0"/>
    <n v="0"/>
    <n v="0"/>
    <n v="0"/>
    <n v="0"/>
    <n v="0"/>
    <n v="0"/>
    <n v="38"/>
    <n v="0"/>
    <n v="0"/>
    <n v="0"/>
    <n v="38"/>
    <n v="0"/>
  </r>
  <r>
    <x v="0"/>
    <x v="1"/>
    <x v="0"/>
    <s v="5772200"/>
    <n v="749510"/>
    <s v="Miscellaneous Expenses"/>
    <s v="Bremerton PC Shared Services"/>
    <x v="0"/>
    <m/>
    <n v="426.27"/>
    <n v="88.49"/>
    <n v="992.68"/>
    <n v="0"/>
    <n v="44.19"/>
    <n v="-44.19"/>
    <n v="0"/>
    <n v="0"/>
    <n v="0"/>
    <n v="0"/>
    <n v="0"/>
    <n v="0"/>
    <n v="1507.44"/>
    <n v="0"/>
  </r>
  <r>
    <x v="0"/>
    <x v="1"/>
    <x v="0"/>
    <s v="5772200"/>
    <n v="749510"/>
    <s v="RICE Rewards"/>
    <s v="Bremerton PC Shared Services"/>
    <x v="0"/>
    <n v="5100"/>
    <n v="0"/>
    <n v="0"/>
    <n v="0"/>
    <n v="0"/>
    <n v="0"/>
    <n v="412.5"/>
    <n v="0"/>
    <n v="0"/>
    <n v="0"/>
    <n v="0"/>
    <n v="0"/>
    <n v="0"/>
    <n v="412.5"/>
    <n v="0"/>
  </r>
  <r>
    <x v="0"/>
    <x v="1"/>
    <x v="0"/>
    <s v="5772200"/>
    <n v="749530"/>
    <s v="Mileage"/>
    <s v="Bremerton PC Shared Services"/>
    <x v="0"/>
    <n v="1001"/>
    <n v="0"/>
    <n v="0"/>
    <n v="0"/>
    <n v="38.700000000000003"/>
    <n v="45.78"/>
    <n v="22.89"/>
    <n v="0"/>
    <n v="0"/>
    <n v="0"/>
    <n v="0"/>
    <n v="0"/>
    <n v="0"/>
    <n v="107.37"/>
    <n v="0"/>
  </r>
  <r>
    <x v="0"/>
    <x v="1"/>
    <x v="0"/>
    <s v="5772200"/>
    <n v="749535"/>
    <s v="Meetings"/>
    <s v="Bremerton PC Shared Services"/>
    <x v="0"/>
    <m/>
    <n v="0"/>
    <n v="0"/>
    <n v="0"/>
    <n v="46.84"/>
    <n v="15"/>
    <n v="0"/>
    <n v="0"/>
    <n v="0"/>
    <n v="0"/>
    <n v="0"/>
    <n v="0"/>
    <n v="0"/>
    <n v="61.84"/>
    <n v="0"/>
  </r>
  <r>
    <x v="0"/>
    <x v="1"/>
    <x v="0"/>
    <s v="5772200"/>
    <n v="766010"/>
    <s v="Property Tax"/>
    <s v="Bremerton PC Shared Services"/>
    <x v="0"/>
    <m/>
    <n v="0"/>
    <n v="0"/>
    <n v="0"/>
    <n v="0"/>
    <n v="0"/>
    <n v="0"/>
    <n v="0"/>
    <n v="0"/>
    <n v="0"/>
    <n v="0"/>
    <n v="-265.97000000000003"/>
    <n v="0"/>
    <n v="-265.97000000000003"/>
    <n v="-265.97000000000003"/>
  </r>
  <r>
    <x v="7"/>
    <x v="1"/>
    <x v="0"/>
    <s v="5774200"/>
    <n v="718050"/>
    <s v="Miscellaneous Purchased Svcs"/>
    <s v="Port Orchard Shared Services"/>
    <x v="0"/>
    <n v="1020"/>
    <n v="505.93"/>
    <n v="578.91999999999996"/>
    <n v="2111.46"/>
    <n v="511.35"/>
    <n v="-3707.66"/>
    <n v="0"/>
    <n v="0"/>
    <n v="0"/>
    <n v="0"/>
    <n v="0"/>
    <n v="0"/>
    <n v="0"/>
    <n v="0"/>
    <n v="0"/>
  </r>
  <r>
    <x v="7"/>
    <x v="1"/>
    <x v="0"/>
    <s v="5774200"/>
    <n v="718070"/>
    <s v="Contract Srvcs-CHI Clinical Engineering"/>
    <s v="Port Orchard Shared Services"/>
    <x v="0"/>
    <m/>
    <n v="0"/>
    <n v="452.93"/>
    <n v="415.53"/>
    <n v="0"/>
    <n v="-415.53"/>
    <n v="-452.93"/>
    <n v="0"/>
    <n v="0"/>
    <n v="0"/>
    <n v="0"/>
    <n v="0"/>
    <n v="0"/>
    <n v="5.6843418860808015E-14"/>
    <n v="0"/>
  </r>
  <r>
    <x v="12"/>
    <x v="1"/>
    <x v="0"/>
    <s v="5774200"/>
    <n v="730010"/>
    <s v="Rental and Leases-Building (DO NOT USE)"/>
    <s v="Port Orchard Shared Services"/>
    <x v="0"/>
    <m/>
    <n v="18717.3"/>
    <n v="18717.3"/>
    <n v="18717.3"/>
    <n v="0"/>
    <n v="-56151.9"/>
    <n v="0"/>
    <n v="0"/>
    <n v="0"/>
    <n v="0"/>
    <n v="0"/>
    <n v="0"/>
    <n v="0"/>
    <n v="-7.2759576141834259E-12"/>
    <n v="0"/>
  </r>
  <r>
    <x v="12"/>
    <x v="1"/>
    <x v="0"/>
    <s v="5774200"/>
    <n v="730020"/>
    <s v="Rental and Leases-Copier Usage Fees (DO NOT USE)"/>
    <s v="Port Orchard Shared Services"/>
    <x v="0"/>
    <n v="5100"/>
    <n v="861.93"/>
    <n v="964.42"/>
    <n v="913.17"/>
    <n v="913.17"/>
    <n v="-3652.69"/>
    <n v="0"/>
    <n v="0"/>
    <n v="0"/>
    <n v="0"/>
    <n v="0"/>
    <n v="0"/>
    <n v="0"/>
    <n v="0"/>
    <n v="0"/>
  </r>
  <r>
    <x v="15"/>
    <x v="1"/>
    <x v="0"/>
    <s v="5774200"/>
    <n v="731020"/>
    <s v="Electricity"/>
    <s v="Port Orchard Shared Services"/>
    <x v="0"/>
    <m/>
    <n v="3.29"/>
    <n v="3.29"/>
    <n v="0"/>
    <n v="6.59"/>
    <n v="-13.17"/>
    <n v="0"/>
    <n v="0"/>
    <n v="0"/>
    <n v="0"/>
    <n v="0"/>
    <n v="0"/>
    <n v="0"/>
    <n v="0"/>
    <n v="0"/>
  </r>
  <r>
    <x v="15"/>
    <x v="1"/>
    <x v="0"/>
    <s v="5774200"/>
    <n v="731030"/>
    <s v="Water"/>
    <s v="Port Orchard Shared Services"/>
    <x v="0"/>
    <m/>
    <n v="0"/>
    <n v="9.93"/>
    <n v="0"/>
    <n v="0"/>
    <n v="-9.93"/>
    <n v="0"/>
    <n v="0"/>
    <n v="0"/>
    <n v="0"/>
    <n v="0"/>
    <n v="0"/>
    <n v="0"/>
    <n v="0"/>
    <n v="0"/>
  </r>
  <r>
    <x v="15"/>
    <x v="1"/>
    <x v="0"/>
    <s v="5774200"/>
    <n v="731060"/>
    <s v="Telephone"/>
    <s v="Port Orchard Shared Services"/>
    <x v="0"/>
    <m/>
    <n v="500.79"/>
    <n v="457.99"/>
    <n v="423.35"/>
    <n v="420.95"/>
    <n v="-1803.08"/>
    <n v="0"/>
    <n v="0"/>
    <n v="0"/>
    <n v="0"/>
    <n v="0"/>
    <n v="0"/>
    <n v="0"/>
    <n v="2.2737367544323206E-13"/>
    <n v="0"/>
  </r>
  <r>
    <x v="15"/>
    <x v="1"/>
    <x v="0"/>
    <s v="5774200"/>
    <n v="731070"/>
    <s v="Cable TV"/>
    <s v="Port Orchard Shared Services"/>
    <x v="0"/>
    <m/>
    <n v="20.7"/>
    <n v="20.7"/>
    <n v="20.7"/>
    <n v="20.68"/>
    <n v="-82.78"/>
    <n v="0"/>
    <n v="0"/>
    <n v="0"/>
    <n v="0"/>
    <n v="0"/>
    <n v="0"/>
    <n v="0"/>
    <n v="0"/>
    <n v="0"/>
  </r>
  <r>
    <x v="16"/>
    <x v="1"/>
    <x v="0"/>
    <s v="5774200"/>
    <n v="733030"/>
    <s v="Maintenance Contracts-Other"/>
    <s v="Port Orchard Shared Services"/>
    <x v="0"/>
    <m/>
    <n v="0"/>
    <n v="0"/>
    <n v="0"/>
    <n v="0"/>
    <n v="675"/>
    <n v="0"/>
    <n v="-675"/>
    <n v="0"/>
    <n v="0"/>
    <n v="0"/>
    <n v="0"/>
    <n v="0"/>
    <n v="0"/>
    <n v="0"/>
  </r>
  <r>
    <x v="13"/>
    <x v="1"/>
    <x v="0"/>
    <s v="5774200"/>
    <n v="735070"/>
    <s v="Depreciation-Movable Equipment"/>
    <s v="Port Orchard Shared Services"/>
    <x v="0"/>
    <m/>
    <n v="240.26"/>
    <n v="240.26"/>
    <n v="240.27"/>
    <n v="1160.0899999999999"/>
    <n v="-1880.88"/>
    <n v="0"/>
    <n v="0"/>
    <n v="0"/>
    <n v="0"/>
    <n v="0"/>
    <n v="0"/>
    <n v="0"/>
    <n v="-2.2737367544323206E-13"/>
    <n v="0"/>
  </r>
  <r>
    <x v="0"/>
    <x v="1"/>
    <x v="0"/>
    <s v="5774200"/>
    <n v="766010"/>
    <s v="Property Tax"/>
    <s v="Port Orchard Shared Services"/>
    <x v="0"/>
    <m/>
    <n v="11.74"/>
    <n v="-11.74"/>
    <n v="0"/>
    <n v="0"/>
    <n v="0"/>
    <n v="0"/>
    <n v="0"/>
    <n v="0"/>
    <n v="0"/>
    <n v="0"/>
    <n v="0"/>
    <n v="0"/>
    <n v="0"/>
    <n v="0"/>
  </r>
  <r>
    <x v="5"/>
    <x v="1"/>
    <x v="0"/>
    <s v="5776200"/>
    <n v="700014"/>
    <s v="Salaries-Management-Productive"/>
    <s v="Poulsbo IM Shared Services"/>
    <x v="0"/>
    <m/>
    <n v="3580.56"/>
    <n v="9946"/>
    <n v="5768.68"/>
    <n v="7698.53"/>
    <n v="-2272.25"/>
    <n v="0"/>
    <n v="0"/>
    <n v="0"/>
    <n v="0"/>
    <n v="0"/>
    <n v="0"/>
    <n v="0"/>
    <n v="24721.519999999997"/>
    <n v="0"/>
  </r>
  <r>
    <x v="5"/>
    <x v="1"/>
    <x v="0"/>
    <s v="5776200"/>
    <n v="700018"/>
    <s v="Salaries-Supervisory-Productive"/>
    <s v="Poulsbo IM Shared Services"/>
    <x v="0"/>
    <m/>
    <n v="5110.5600000000004"/>
    <n v="5597.28"/>
    <n v="3407.04"/>
    <n v="5085.5"/>
    <n v="5891.14"/>
    <n v="3676.17"/>
    <n v="3481.46"/>
    <n v="4007.16"/>
    <n v="4983.91"/>
    <n v="4958.8500000000004"/>
    <n v="4933.8100000000004"/>
    <n v="2254.02"/>
    <n v="53386.899999999994"/>
    <n v="2679.7900000000004"/>
  </r>
  <r>
    <x v="5"/>
    <x v="1"/>
    <x v="0"/>
    <s v="5776200"/>
    <n v="700038"/>
    <s v="Salaries-Service/Support-Productive"/>
    <s v="Poulsbo IM Shared Services"/>
    <x v="0"/>
    <m/>
    <n v="15690.6"/>
    <n v="14161.53"/>
    <n v="11706.09"/>
    <n v="13650.53"/>
    <n v="13415.53"/>
    <n v="9473.27"/>
    <n v="10214.25"/>
    <n v="8539.51"/>
    <n v="9227.7800000000007"/>
    <n v="12600.8"/>
    <n v="11921.65"/>
    <n v="7148.79"/>
    <n v="137750.32999999999"/>
    <n v="4772.8599999999997"/>
  </r>
  <r>
    <x v="5"/>
    <x v="1"/>
    <x v="0"/>
    <s v="5776200"/>
    <n v="700038"/>
    <s v="Salaries-Service/Support-OT"/>
    <s v="Poulsbo IM Shared Services"/>
    <x v="0"/>
    <n v="1000"/>
    <n v="83.01"/>
    <n v="135.69999999999999"/>
    <n v="218.73"/>
    <n v="367.13"/>
    <n v="121.98"/>
    <n v="150.88"/>
    <n v="217.52"/>
    <n v="57.82"/>
    <n v="230.88"/>
    <n v="218.58"/>
    <n v="330.24"/>
    <n v="693.1"/>
    <n v="2825.5699999999993"/>
    <n v="-362.86"/>
  </r>
  <r>
    <x v="5"/>
    <x v="1"/>
    <x v="0"/>
    <s v="5776200"/>
    <n v="700038"/>
    <s v="Salaries-Service/Support-Other"/>
    <s v="Poulsbo IM Shared Services"/>
    <x v="0"/>
    <n v="2000"/>
    <n v="0"/>
    <n v="0"/>
    <n v="0"/>
    <n v="0"/>
    <n v="0"/>
    <n v="0"/>
    <n v="0"/>
    <n v="0"/>
    <n v="0"/>
    <n v="30.06"/>
    <n v="30.06"/>
    <n v="-0.04"/>
    <n v="60.08"/>
    <n v="30.099999999999998"/>
  </r>
  <r>
    <x v="5"/>
    <x v="1"/>
    <x v="0"/>
    <s v="5776200"/>
    <n v="700054"/>
    <s v="Salaries-Management-Non-productive"/>
    <s v="Poulsbo IM Shared Services"/>
    <x v="0"/>
    <m/>
    <n v="397.84"/>
    <n v="0"/>
    <n v="2188.12"/>
    <n v="1594.34"/>
    <n v="649.22"/>
    <n v="0"/>
    <n v="0"/>
    <n v="0"/>
    <n v="0"/>
    <n v="0"/>
    <n v="0"/>
    <n v="0"/>
    <n v="4829.5200000000004"/>
    <n v="0"/>
  </r>
  <r>
    <x v="5"/>
    <x v="1"/>
    <x v="0"/>
    <s v="5776200"/>
    <n v="700054"/>
    <s v="Salaries-Management-NonProd-Other"/>
    <s v="Poulsbo IM Shared Services"/>
    <x v="0"/>
    <n v="2000"/>
    <n v="0"/>
    <n v="0"/>
    <n v="0"/>
    <n v="0"/>
    <n v="0"/>
    <n v="136.6"/>
    <n v="-136.6"/>
    <n v="0"/>
    <n v="0"/>
    <n v="0"/>
    <n v="0"/>
    <n v="0"/>
    <n v="0"/>
    <n v="0"/>
  </r>
  <r>
    <x v="5"/>
    <x v="1"/>
    <x v="0"/>
    <s v="5776200"/>
    <n v="700058"/>
    <s v="Salaries-Supervisory-Non-productive"/>
    <s v="Poulsbo IM Shared Services"/>
    <x v="0"/>
    <m/>
    <n v="243.36"/>
    <n v="0"/>
    <n v="1460.16"/>
    <n v="632.73"/>
    <n v="-389.37"/>
    <n v="1575.5"/>
    <n v="2279.1799999999998"/>
    <n v="1001.79"/>
    <n v="275.5"/>
    <n v="550.98"/>
    <n v="826.49"/>
    <n v="2754.92"/>
    <n v="11211.24"/>
    <n v="-1928.43"/>
  </r>
  <r>
    <x v="5"/>
    <x v="1"/>
    <x v="0"/>
    <s v="5776200"/>
    <n v="700078"/>
    <s v="Salaries-Service/Support-Non-productive"/>
    <s v="Poulsbo IM Shared Services"/>
    <x v="0"/>
    <m/>
    <n v="1843.9"/>
    <n v="354.3"/>
    <n v="1025.57"/>
    <n v="1375.59"/>
    <n v="589.27"/>
    <n v="2352.0700000000002"/>
    <n v="778.64"/>
    <n v="1168.18"/>
    <n v="1040.8900000000001"/>
    <n v="816.43"/>
    <n v="468.13"/>
    <n v="1428.17"/>
    <n v="13241.14"/>
    <n v="-960.04000000000008"/>
  </r>
  <r>
    <x v="5"/>
    <x v="1"/>
    <x v="0"/>
    <s v="5776200"/>
    <n v="700078"/>
    <s v="Salaries-Service/Support-NonProd-Other"/>
    <s v="Poulsbo IM Shared Services"/>
    <x v="0"/>
    <n v="2000"/>
    <n v="0"/>
    <n v="0"/>
    <n v="9.8800000000000008"/>
    <n v="76.569999999999993"/>
    <n v="560.48"/>
    <n v="519.75"/>
    <n v="118.3"/>
    <n v="-816.76"/>
    <n v="64.78"/>
    <n v="57.61"/>
    <n v="117.96"/>
    <n v="310.79000000000002"/>
    <n v="1019.3600000000001"/>
    <n v="-192.83000000000004"/>
  </r>
  <r>
    <x v="5"/>
    <x v="1"/>
    <x v="0"/>
    <s v="5776200"/>
    <n v="700084"/>
    <s v="Accrued PTO"/>
    <s v="Poulsbo IM Shared Services"/>
    <x v="0"/>
    <m/>
    <n v="-173.02"/>
    <n v="2268.89"/>
    <n v="-987.15"/>
    <n v="712.72"/>
    <n v="-52.02"/>
    <n v="-1125.26"/>
    <n v="323.87"/>
    <n v="454.93"/>
    <n v="705.99"/>
    <n v="678.38"/>
    <n v="559.75"/>
    <n v="-1874.28"/>
    <n v="1492.8"/>
    <n v="2434.0299999999997"/>
  </r>
  <r>
    <x v="6"/>
    <x v="1"/>
    <x v="0"/>
    <s v="5776200"/>
    <n v="713010"/>
    <s v="Benefits-FICA/Medicare"/>
    <s v="Poulsbo IM Shared Services"/>
    <x v="0"/>
    <m/>
    <n v="1976.88"/>
    <n v="2274.79"/>
    <n v="1889.02"/>
    <n v="2220.9"/>
    <n v="2564.0500000000002"/>
    <n v="1295.9000000000001"/>
    <n v="1270.8699999999999"/>
    <n v="1096.1099999999999"/>
    <n v="1166.94"/>
    <n v="1427.01"/>
    <n v="1379.13"/>
    <n v="1071.3900000000001"/>
    <n v="19632.990000000002"/>
    <n v="307.74"/>
  </r>
  <r>
    <x v="6"/>
    <x v="1"/>
    <x v="0"/>
    <s v="5776200"/>
    <n v="713090"/>
    <s v="Benefits-Allocated Amounts"/>
    <s v="Poulsbo IM Shared Services"/>
    <x v="0"/>
    <m/>
    <n v="7198.86"/>
    <n v="6383.24"/>
    <n v="6529.03"/>
    <n v="6895.26"/>
    <n v="5561.78"/>
    <n v="4741.6000000000004"/>
    <n v="5434.51"/>
    <n v="5025.5200000000004"/>
    <n v="4686.57"/>
    <n v="5482.21"/>
    <n v="5362.81"/>
    <n v="4373.7"/>
    <n v="67675.09"/>
    <n v="989.11000000000058"/>
  </r>
  <r>
    <x v="6"/>
    <x v="1"/>
    <x v="0"/>
    <s v="5776200"/>
    <n v="713096"/>
    <s v="Employee Recognition"/>
    <s v="Poulsbo IM Shared Services"/>
    <x v="0"/>
    <n v="1017"/>
    <n v="0"/>
    <n v="25"/>
    <n v="0"/>
    <n v="20"/>
    <n v="0"/>
    <n v="75"/>
    <n v="0"/>
    <n v="0"/>
    <n v="25"/>
    <n v="20"/>
    <n v="0"/>
    <n v="0"/>
    <n v="165"/>
    <n v="0"/>
  </r>
  <r>
    <x v="7"/>
    <x v="1"/>
    <x v="0"/>
    <s v="5776200"/>
    <n v="718050"/>
    <s v="Contract Svcs-Other"/>
    <s v="Poulsbo IM Shared Services"/>
    <x v="0"/>
    <m/>
    <n v="0"/>
    <n v="0"/>
    <n v="0"/>
    <n v="0"/>
    <n v="0"/>
    <n v="0"/>
    <n v="0"/>
    <n v="0"/>
    <n v="230"/>
    <n v="0"/>
    <n v="0"/>
    <n v="0"/>
    <n v="230"/>
    <n v="0"/>
  </r>
  <r>
    <x v="7"/>
    <x v="1"/>
    <x v="0"/>
    <s v="5776200"/>
    <n v="718050"/>
    <s v="Miscellaneous Purchased Svcs"/>
    <s v="Poulsbo IM Shared Services"/>
    <x v="0"/>
    <n v="1020"/>
    <n v="134.93"/>
    <n v="4182.17"/>
    <n v="1551.36"/>
    <n v="0"/>
    <n v="0"/>
    <n v="2059.9899999999998"/>
    <n v="3300.92"/>
    <n v="1650.61"/>
    <n v="3102.73"/>
    <n v="1551.36"/>
    <n v="1551.36"/>
    <n v="1551.36"/>
    <n v="20636.79"/>
    <n v="0"/>
  </r>
  <r>
    <x v="7"/>
    <x v="1"/>
    <x v="0"/>
    <s v="5776200"/>
    <n v="718050"/>
    <s v="Translation Services"/>
    <s v="Poulsbo IM Shared Services"/>
    <x v="0"/>
    <n v="1025"/>
    <n v="0"/>
    <n v="63"/>
    <n v="0"/>
    <n v="32"/>
    <n v="0"/>
    <n v="0"/>
    <n v="0"/>
    <n v="0"/>
    <n v="0"/>
    <n v="0"/>
    <n v="0"/>
    <n v="0"/>
    <n v="95"/>
    <n v="0"/>
  </r>
  <r>
    <x v="7"/>
    <x v="1"/>
    <x v="0"/>
    <s v="5776200"/>
    <n v="718050"/>
    <s v="Contract Management--Linen"/>
    <s v="Poulsbo IM Shared Services"/>
    <x v="0"/>
    <n v="1026"/>
    <n v="319.76"/>
    <n v="467.1"/>
    <n v="451.97"/>
    <n v="319.76"/>
    <n v="560.52"/>
    <n v="280.26"/>
    <n v="280.26"/>
    <n v="570.57000000000005"/>
    <n v="612.78"/>
    <n v="134.93"/>
    <n v="95.43"/>
    <n v="190.86"/>
    <n v="4284.2"/>
    <n v="-95.43"/>
  </r>
  <r>
    <x v="7"/>
    <x v="1"/>
    <x v="0"/>
    <s v="5776200"/>
    <n v="718070"/>
    <s v="Contract Srvcs-CHI Clinical Engineering"/>
    <s v="Poulsbo IM Shared Services"/>
    <x v="0"/>
    <m/>
    <n v="37.4"/>
    <n v="452.93"/>
    <n v="415.53"/>
    <n v="30.92"/>
    <n v="452.93"/>
    <n v="452.93"/>
    <n v="452.93"/>
    <n v="452.93"/>
    <n v="452.93"/>
    <n v="452.93"/>
    <n v="37.4"/>
    <n v="452.93"/>
    <n v="4144.6899999999996"/>
    <n v="-415.53000000000003"/>
  </r>
  <r>
    <x v="11"/>
    <x v="1"/>
    <x v="0"/>
    <s v="5776200"/>
    <n v="721410"/>
    <s v="Supplies-Medical - Nonbillable"/>
    <s v="Poulsbo IM Shared Services"/>
    <x v="0"/>
    <m/>
    <n v="62.08"/>
    <n v="36.93"/>
    <n v="124.16"/>
    <n v="4.7699999999999996"/>
    <n v="114.2"/>
    <n v="0"/>
    <n v="113.6"/>
    <n v="373.78"/>
    <n v="75.75"/>
    <n v="81.05"/>
    <n v="14723.22"/>
    <n v="54.89"/>
    <n v="15764.429999999998"/>
    <n v="14668.33"/>
  </r>
  <r>
    <x v="11"/>
    <x v="1"/>
    <x v="0"/>
    <s v="5776200"/>
    <n v="721810"/>
    <s v="Supplies-Dietary/Cafeteria"/>
    <s v="Poulsbo IM Shared Services"/>
    <x v="0"/>
    <m/>
    <n v="0"/>
    <n v="149.75"/>
    <n v="128.15"/>
    <n v="131.61000000000001"/>
    <n v="0"/>
    <n v="2777.11"/>
    <n v="129.38999999999999"/>
    <n v="97.97"/>
    <n v="0"/>
    <n v="0"/>
    <n v="0"/>
    <n v="0"/>
    <n v="3413.9799999999996"/>
    <n v="0"/>
  </r>
  <r>
    <x v="11"/>
    <x v="1"/>
    <x v="0"/>
    <s v="5776200"/>
    <n v="721830"/>
    <s v="Supplies-Office"/>
    <s v="Poulsbo IM Shared Services"/>
    <x v="0"/>
    <m/>
    <n v="1116.74"/>
    <n v="1367.53"/>
    <n v="991.23"/>
    <n v="1165.6199999999999"/>
    <n v="1231.68"/>
    <n v="2147.9"/>
    <n v="492.51"/>
    <n v="468"/>
    <n v="864.32"/>
    <n v="1152.75"/>
    <n v="609.38"/>
    <n v="362.05"/>
    <n v="11969.71"/>
    <n v="247.32999999999998"/>
  </r>
  <r>
    <x v="11"/>
    <x v="1"/>
    <x v="0"/>
    <s v="5776200"/>
    <n v="721835"/>
    <s v="Supplies-Forms"/>
    <s v="Poulsbo IM Shared Services"/>
    <x v="0"/>
    <m/>
    <n v="0"/>
    <n v="0"/>
    <n v="0"/>
    <n v="0"/>
    <n v="0.72"/>
    <n v="0"/>
    <n v="0"/>
    <n v="0"/>
    <n v="0"/>
    <n v="0"/>
    <n v="0"/>
    <n v="0"/>
    <n v="0.72"/>
    <n v="0"/>
  </r>
  <r>
    <x v="11"/>
    <x v="1"/>
    <x v="0"/>
    <s v="5776200"/>
    <n v="721910"/>
    <s v="Supplies-Small Equipment"/>
    <s v="Poulsbo IM Shared Services"/>
    <x v="0"/>
    <m/>
    <n v="138.31"/>
    <n v="1171.4100000000001"/>
    <n v="0"/>
    <n v="765.62"/>
    <n v="0"/>
    <n v="0"/>
    <n v="0"/>
    <n v="0"/>
    <n v="0"/>
    <n v="1485.79"/>
    <n v="0"/>
    <n v="0"/>
    <n v="3561.13"/>
    <n v="0"/>
  </r>
  <r>
    <x v="11"/>
    <x v="1"/>
    <x v="0"/>
    <s v="5776200"/>
    <n v="721980"/>
    <s v="Supplies-Other"/>
    <s v="Poulsbo IM Shared Services"/>
    <x v="0"/>
    <m/>
    <n v="0"/>
    <n v="201.35"/>
    <n v="287.22000000000003"/>
    <n v="0"/>
    <n v="0"/>
    <n v="0"/>
    <n v="1484.86"/>
    <n v="135.5"/>
    <n v="512.22"/>
    <n v="510.26"/>
    <n v="431.03"/>
    <n v="371.98"/>
    <n v="3934.4199999999996"/>
    <n v="59.049999999999955"/>
  </r>
  <r>
    <x v="11"/>
    <x v="1"/>
    <x v="0"/>
    <s v="5776200"/>
    <n v="722000"/>
    <s v="Supplies-Freight Expense"/>
    <s v="Poulsbo IM Shared Services"/>
    <x v="0"/>
    <m/>
    <n v="0"/>
    <n v="25.15"/>
    <n v="0"/>
    <n v="0"/>
    <n v="0"/>
    <n v="0"/>
    <n v="0"/>
    <n v="0"/>
    <n v="11.45"/>
    <n v="0"/>
    <n v="0"/>
    <n v="27.41"/>
    <n v="64.009999999999991"/>
    <n v="-27.41"/>
  </r>
  <r>
    <x v="12"/>
    <x v="1"/>
    <x v="0"/>
    <s v="5776200"/>
    <n v="730010"/>
    <s v="Rental and Leases-Building (DO NOT USE)"/>
    <s v="Poulsbo IM Shared Services"/>
    <x v="0"/>
    <m/>
    <n v="27512.52"/>
    <n v="-6704.62"/>
    <n v="22992.58"/>
    <n v="23084.57"/>
    <n v="24624"/>
    <n v="-10641.92"/>
    <n v="17498.72"/>
    <n v="18968.61"/>
    <n v="17988.68"/>
    <n v="17988.689999999999"/>
    <n v="17988.689999999999"/>
    <n v="0"/>
    <n v="171300.52000000002"/>
    <n v="17988.689999999999"/>
  </r>
  <r>
    <x v="12"/>
    <x v="1"/>
    <x v="0"/>
    <s v="5776200"/>
    <n v="730010"/>
    <s v="Rental-Common Area Maint (DO NOT USE)"/>
    <s v="Poulsbo IM Shared Services"/>
    <x v="0"/>
    <n v="2200"/>
    <n v="0"/>
    <n v="0"/>
    <n v="0"/>
    <n v="0"/>
    <n v="0"/>
    <n v="33725.300000000003"/>
    <n v="5166.25"/>
    <n v="5875.35"/>
    <n v="7446.23"/>
    <n v="6650.99"/>
    <n v="0"/>
    <n v="0"/>
    <n v="58864.12"/>
    <n v="0"/>
  </r>
  <r>
    <x v="12"/>
    <x v="1"/>
    <x v="0"/>
    <s v="5776200"/>
    <n v="730020"/>
    <s v="Rental and Leases-Copier Usage Fees (DO NOT USE)"/>
    <s v="Poulsbo IM Shared Services"/>
    <x v="0"/>
    <n v="5100"/>
    <n v="995.61"/>
    <n v="1031.03"/>
    <n v="1013.32"/>
    <n v="1013.32"/>
    <n v="1013.32"/>
    <n v="1013.32"/>
    <n v="1470.33"/>
    <n v="803.04"/>
    <n v="801.36"/>
    <n v="1585.96"/>
    <n v="803.04"/>
    <n v="903.56"/>
    <n v="12447.210000000001"/>
    <n v="-100.51999999999998"/>
  </r>
  <r>
    <x v="12"/>
    <x v="1"/>
    <x v="0"/>
    <s v="5776200"/>
    <n v="730040"/>
    <s v="LT Lease-Real Estate"/>
    <s v="Poulsbo IM Shared Services"/>
    <x v="0"/>
    <m/>
    <n v="0"/>
    <n v="0"/>
    <n v="0"/>
    <n v="0"/>
    <n v="0"/>
    <n v="0"/>
    <n v="0"/>
    <n v="0"/>
    <n v="0"/>
    <n v="0"/>
    <n v="0"/>
    <n v="29647.82"/>
    <n v="29647.82"/>
    <n v="-29647.82"/>
  </r>
  <r>
    <x v="15"/>
    <x v="1"/>
    <x v="0"/>
    <s v="5776200"/>
    <n v="731050"/>
    <s v="Refuse Disposal"/>
    <s v="Poulsbo IM Shared Services"/>
    <x v="0"/>
    <m/>
    <n v="261.82"/>
    <n v="207.14"/>
    <n v="0"/>
    <n v="276.58999999999997"/>
    <n v="114.78"/>
    <n v="104.42"/>
    <n v="0"/>
    <n v="188.93"/>
    <n v="150.69"/>
    <n v="0"/>
    <n v="104.42"/>
    <n v="0"/>
    <n v="1408.79"/>
    <n v="104.42"/>
  </r>
  <r>
    <x v="15"/>
    <x v="1"/>
    <x v="0"/>
    <s v="5776200"/>
    <n v="731060"/>
    <s v="Telephone"/>
    <s v="Poulsbo IM Shared Services"/>
    <x v="0"/>
    <m/>
    <n v="1404.18"/>
    <n v="1379.21"/>
    <n v="1438.17"/>
    <n v="1423.37"/>
    <n v="1590.91"/>
    <n v="1415.61"/>
    <n v="1454.92"/>
    <n v="1468.97"/>
    <n v="1279.81"/>
    <n v="1399.62"/>
    <n v="1458.62"/>
    <n v="1401.63"/>
    <n v="17115.02"/>
    <n v="56.989999999999782"/>
  </r>
  <r>
    <x v="15"/>
    <x v="1"/>
    <x v="0"/>
    <s v="5776200"/>
    <n v="731070"/>
    <s v="Cable TV"/>
    <s v="Poulsbo IM Shared Services"/>
    <x v="0"/>
    <m/>
    <n v="86.66"/>
    <n v="76.66"/>
    <n v="76.66"/>
    <n v="84.53"/>
    <n v="192.96"/>
    <n v="84.53"/>
    <n v="84.53"/>
    <n v="0"/>
    <n v="169.06"/>
    <n v="84.53"/>
    <n v="83.38"/>
    <n v="83.38"/>
    <n v="1106.8799999999999"/>
    <n v="0"/>
  </r>
  <r>
    <x v="16"/>
    <x v="1"/>
    <x v="0"/>
    <s v="5776200"/>
    <n v="732030"/>
    <s v="Repairs---Other"/>
    <s v="Poulsbo IM Shared Services"/>
    <x v="0"/>
    <m/>
    <n v="16.54"/>
    <n v="0"/>
    <n v="410.49"/>
    <n v="0"/>
    <n v="0"/>
    <n v="0"/>
    <n v="485.3"/>
    <n v="252.18"/>
    <n v="2051.4299999999998"/>
    <n v="12.92"/>
    <n v="71.349999999999994"/>
    <n v="46.01"/>
    <n v="3346.22"/>
    <n v="25.339999999999996"/>
  </r>
  <r>
    <x v="16"/>
    <x v="1"/>
    <x v="0"/>
    <s v="5776200"/>
    <n v="733030"/>
    <s v="Maintenance Contracts-Other"/>
    <s v="Poulsbo IM Shared Services"/>
    <x v="0"/>
    <m/>
    <n v="0"/>
    <n v="0"/>
    <n v="0"/>
    <n v="887.5"/>
    <n v="580.46"/>
    <n v="0"/>
    <n v="-523.23"/>
    <n v="0"/>
    <n v="0"/>
    <n v="0"/>
    <n v="286.14999999999998"/>
    <n v="0"/>
    <n v="1230.8800000000001"/>
    <n v="286.14999999999998"/>
  </r>
  <r>
    <x v="13"/>
    <x v="1"/>
    <x v="0"/>
    <s v="5776200"/>
    <n v="735050"/>
    <s v="Amortization-Leasehold Improvements"/>
    <s v="Poulsbo IM Shared Services"/>
    <x v="0"/>
    <m/>
    <n v="17349.2"/>
    <n v="17349.2"/>
    <n v="17349.2"/>
    <n v="17349.2"/>
    <n v="17349.2"/>
    <n v="17349.18"/>
    <n v="17349.22"/>
    <n v="17349.16"/>
    <n v="17349.22"/>
    <n v="17349.150000000001"/>
    <n v="17349.23"/>
    <n v="17349.14"/>
    <n v="208190.3"/>
    <n v="9.0000000000145519E-2"/>
  </r>
  <r>
    <x v="13"/>
    <x v="1"/>
    <x v="0"/>
    <s v="5776200"/>
    <n v="735070"/>
    <s v="Depreciation-Movable Equipment"/>
    <s v="Poulsbo IM Shared Services"/>
    <x v="0"/>
    <m/>
    <n v="7300.52"/>
    <n v="6873.82"/>
    <n v="6873.9"/>
    <n v="6873.79"/>
    <n v="6873.96"/>
    <n v="6873.74"/>
    <n v="6874"/>
    <n v="6873.7"/>
    <n v="6874.04"/>
    <n v="6873.68"/>
    <n v="6874.05"/>
    <n v="6873.65"/>
    <n v="82912.849999999991"/>
    <n v="0.4000000000005457"/>
  </r>
  <r>
    <x v="0"/>
    <x v="1"/>
    <x v="0"/>
    <s v="5776200"/>
    <n v="740023"/>
    <s v="Education-Advanced Practice Clinician"/>
    <s v="Poulsbo IM Shared Services"/>
    <x v="0"/>
    <m/>
    <n v="0"/>
    <n v="0"/>
    <n v="0"/>
    <n v="0"/>
    <n v="0"/>
    <n v="0"/>
    <n v="225.9"/>
    <n v="0"/>
    <n v="20.34"/>
    <n v="0"/>
    <n v="0"/>
    <n v="0"/>
    <n v="246.24"/>
    <n v="0"/>
  </r>
  <r>
    <x v="0"/>
    <x v="1"/>
    <x v="0"/>
    <s v="5776200"/>
    <n v="743040"/>
    <s v="Subscriptions--Individual"/>
    <s v="Poulsbo IM Shared Services"/>
    <x v="0"/>
    <m/>
    <n v="55.38"/>
    <n v="0"/>
    <n v="0"/>
    <n v="0"/>
    <n v="0"/>
    <n v="0"/>
    <n v="0"/>
    <n v="0"/>
    <n v="0"/>
    <n v="0"/>
    <n v="0"/>
    <n v="0"/>
    <n v="55.38"/>
    <n v="0"/>
  </r>
  <r>
    <x v="0"/>
    <x v="1"/>
    <x v="0"/>
    <s v="5776200"/>
    <n v="749510"/>
    <s v="Miscellaneous Expenses"/>
    <s v="Poulsbo IM Shared Services"/>
    <x v="0"/>
    <m/>
    <n v="-147.15"/>
    <n v="-31.08"/>
    <n v="0"/>
    <n v="96.48"/>
    <n v="-40.96"/>
    <n v="-55.52"/>
    <n v="0"/>
    <n v="480.42"/>
    <n v="0"/>
    <n v="0"/>
    <n v="205.68"/>
    <n v="-205.68"/>
    <n v="302.19"/>
    <n v="411.36"/>
  </r>
  <r>
    <x v="0"/>
    <x v="1"/>
    <x v="0"/>
    <s v="5776200"/>
    <n v="749510"/>
    <s v="RICE Rewards"/>
    <s v="Poulsbo IM Shared Services"/>
    <x v="0"/>
    <n v="5100"/>
    <n v="0"/>
    <n v="0"/>
    <n v="0"/>
    <n v="55"/>
    <n v="0"/>
    <n v="0"/>
    <n v="0"/>
    <n v="0"/>
    <n v="0"/>
    <n v="0"/>
    <n v="0"/>
    <n v="0"/>
    <n v="55"/>
    <n v="0"/>
  </r>
  <r>
    <x v="0"/>
    <x v="1"/>
    <x v="0"/>
    <s v="5776200"/>
    <n v="749530"/>
    <s v="Travel"/>
    <s v="Poulsbo IM Shared Services"/>
    <x v="0"/>
    <m/>
    <n v="0"/>
    <n v="0"/>
    <n v="6"/>
    <n v="21"/>
    <n v="0"/>
    <n v="0"/>
    <n v="0"/>
    <n v="0"/>
    <n v="0"/>
    <n v="18"/>
    <n v="61.5"/>
    <n v="19.5"/>
    <n v="126"/>
    <n v="42"/>
  </r>
  <r>
    <x v="0"/>
    <x v="1"/>
    <x v="0"/>
    <s v="5776200"/>
    <n v="749530"/>
    <s v="Mileage"/>
    <s v="Poulsbo IM Shared Services"/>
    <x v="0"/>
    <n v="1001"/>
    <n v="0"/>
    <n v="82.32"/>
    <n v="76.31"/>
    <n v="166.8"/>
    <n v="96.48"/>
    <n v="77.94"/>
    <n v="0"/>
    <n v="0"/>
    <n v="38.86"/>
    <n v="197.78"/>
    <n v="492.42"/>
    <n v="186.18"/>
    <n v="1415.0900000000001"/>
    <n v="306.24"/>
  </r>
  <r>
    <x v="0"/>
    <x v="1"/>
    <x v="0"/>
    <s v="5776200"/>
    <n v="749550"/>
    <s v="Cash Over/Short"/>
    <s v="Poulsbo IM Shared Services"/>
    <x v="0"/>
    <m/>
    <n v="20"/>
    <n v="0"/>
    <n v="0"/>
    <n v="-5"/>
    <n v="0"/>
    <n v="0"/>
    <n v="0"/>
    <n v="0"/>
    <n v="-15"/>
    <n v="0"/>
    <n v="1"/>
    <n v="0"/>
    <n v="1"/>
    <n v="1"/>
  </r>
  <r>
    <x v="0"/>
    <x v="1"/>
    <x v="0"/>
    <s v="5776200"/>
    <n v="766010"/>
    <s v="Property Tax"/>
    <s v="Poulsbo IM Shared Services"/>
    <x v="0"/>
    <m/>
    <n v="940.92"/>
    <n v="6731.58"/>
    <n v="940.92"/>
    <n v="-2822.76"/>
    <n v="0"/>
    <n v="0"/>
    <n v="0"/>
    <n v="0"/>
    <n v="0"/>
    <n v="3946.12"/>
    <n v="-4658.99"/>
    <n v="986.53"/>
    <n v="6064.3199999999988"/>
    <n v="-5645.5199999999995"/>
  </r>
  <r>
    <x v="5"/>
    <x v="1"/>
    <x v="0"/>
    <s v="5777200"/>
    <n v="700014"/>
    <s v="Salaries-Management-Productive"/>
    <s v="Silverdale Shared Services"/>
    <x v="0"/>
    <m/>
    <n v="3477.58"/>
    <n v="3635.66"/>
    <n v="1968.44"/>
    <n v="4038.29"/>
    <n v="3477.59"/>
    <n v="0"/>
    <n v="0"/>
    <n v="0"/>
    <n v="0"/>
    <n v="0"/>
    <n v="0"/>
    <n v="0"/>
    <n v="16597.560000000001"/>
    <n v="0"/>
  </r>
  <r>
    <x v="5"/>
    <x v="1"/>
    <x v="0"/>
    <s v="5777200"/>
    <n v="700018"/>
    <s v="Salaries-Supervisory-Productive"/>
    <s v="Silverdale Shared Services"/>
    <x v="0"/>
    <m/>
    <n v="5634.48"/>
    <n v="5694.24"/>
    <n v="3887.92"/>
    <n v="5661.84"/>
    <n v="4515.68"/>
    <n v="5731.44"/>
    <n v="5183.5"/>
    <n v="7513.97"/>
    <n v="6957.39"/>
    <n v="5774.64"/>
    <n v="5357.21"/>
    <n v="1391.47"/>
    <n v="63303.78"/>
    <n v="3965.74"/>
  </r>
  <r>
    <x v="5"/>
    <x v="1"/>
    <x v="0"/>
    <s v="5777200"/>
    <n v="700038"/>
    <s v="Salaries-Service/Support-Productive"/>
    <s v="Silverdale Shared Services"/>
    <x v="0"/>
    <m/>
    <n v="5931.01"/>
    <n v="5092.0600000000004"/>
    <n v="7269.18"/>
    <n v="9127.16"/>
    <n v="9679.42"/>
    <n v="7213.54"/>
    <n v="10116.879999999999"/>
    <n v="8612.68"/>
    <n v="9611.15"/>
    <n v="8040.99"/>
    <n v="9176.56"/>
    <n v="9035.36"/>
    <n v="98905.99"/>
    <n v="141.19999999999891"/>
  </r>
  <r>
    <x v="5"/>
    <x v="1"/>
    <x v="0"/>
    <s v="5777200"/>
    <n v="700038"/>
    <s v="Salaries-Service/Support-OT"/>
    <s v="Silverdale Shared Services"/>
    <x v="0"/>
    <n v="1000"/>
    <n v="59.59"/>
    <n v="458.07"/>
    <n v="46.04"/>
    <n v="712.82"/>
    <n v="-83.48"/>
    <n v="381.03"/>
    <n v="253.5"/>
    <n v="366.14"/>
    <n v="249.94"/>
    <n v="282.82"/>
    <n v="491.57"/>
    <n v="114.99"/>
    <n v="3333.03"/>
    <n v="376.58"/>
  </r>
  <r>
    <x v="5"/>
    <x v="1"/>
    <x v="0"/>
    <s v="5777200"/>
    <n v="700058"/>
    <s v="Salaries-Supervisory-Non-productive"/>
    <s v="Silverdale Shared Services"/>
    <x v="0"/>
    <m/>
    <n v="1657.2"/>
    <n v="0"/>
    <n v="1521.36"/>
    <n v="-169.04"/>
    <n v="1042.08"/>
    <n v="3299.92"/>
    <n v="869.92"/>
    <n v="0"/>
    <n v="347.86"/>
    <n v="1878.46"/>
    <n v="2643.82"/>
    <n v="695.72"/>
    <n v="13787.300000000001"/>
    <n v="1948.1000000000001"/>
  </r>
  <r>
    <x v="5"/>
    <x v="1"/>
    <x v="0"/>
    <s v="5777200"/>
    <n v="700058"/>
    <s v="Salaries-Supervisory-NonProd-Other"/>
    <s v="Silverdale Shared Services"/>
    <x v="0"/>
    <n v="2000"/>
    <n v="0"/>
    <n v="0"/>
    <n v="0"/>
    <n v="0"/>
    <n v="308.11"/>
    <n v="0"/>
    <n v="0"/>
    <n v="-308.11"/>
    <n v="0"/>
    <n v="0"/>
    <n v="0"/>
    <n v="0"/>
    <n v="0"/>
    <n v="0"/>
  </r>
  <r>
    <x v="5"/>
    <x v="1"/>
    <x v="0"/>
    <s v="5777200"/>
    <n v="700078"/>
    <s v="Salaries-Service/Support-Non-productive"/>
    <s v="Silverdale Shared Services"/>
    <x v="0"/>
    <m/>
    <n v="888.64"/>
    <n v="1970.8"/>
    <n v="1334.62"/>
    <n v="808.48"/>
    <n v="1141.8399999999999"/>
    <n v="2880.91"/>
    <n v="1180.74"/>
    <n v="747.59"/>
    <n v="627.01"/>
    <n v="2092.34"/>
    <n v="2075.37"/>
    <n v="290.8"/>
    <n v="16039.14"/>
    <n v="1784.57"/>
  </r>
  <r>
    <x v="5"/>
    <x v="1"/>
    <x v="0"/>
    <s v="5777200"/>
    <n v="700078"/>
    <s v="Salaries-Service/Support-NonProd-Other"/>
    <s v="Silverdale Shared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777200"/>
    <n v="700084"/>
    <s v="Accrued PTO"/>
    <s v="Silverdale Shared Services"/>
    <x v="0"/>
    <m/>
    <n v="-897.47"/>
    <n v="631.14"/>
    <n v="-901.31"/>
    <n v="1382.93"/>
    <n v="677.37"/>
    <n v="-3010.55"/>
    <n v="185.77"/>
    <n v="1229.27"/>
    <n v="1415.69"/>
    <n v="-418.57"/>
    <n v="-568.13"/>
    <n v="-374.31"/>
    <n v="-648.16999999999985"/>
    <n v="-193.82"/>
  </r>
  <r>
    <x v="6"/>
    <x v="1"/>
    <x v="0"/>
    <s v="5777200"/>
    <n v="713010"/>
    <s v="Benefits-FICA/Medicare"/>
    <s v="Silverdale Shared Services"/>
    <x v="0"/>
    <m/>
    <n v="1305.6300000000001"/>
    <n v="1250.0999999999999"/>
    <n v="1192.58"/>
    <n v="1508.61"/>
    <n v="1571.98"/>
    <n v="1433.26"/>
    <n v="1316.54"/>
    <n v="1285.93"/>
    <n v="1328.37"/>
    <n v="1348.66"/>
    <n v="1477.24"/>
    <n v="864.37"/>
    <n v="15883.27"/>
    <n v="612.87"/>
  </r>
  <r>
    <x v="6"/>
    <x v="1"/>
    <x v="0"/>
    <s v="5777200"/>
    <n v="713090"/>
    <s v="Benefits-Allocated Amounts"/>
    <s v="Silverdale Shared Services"/>
    <x v="0"/>
    <m/>
    <n v="3824.93"/>
    <n v="3372.6"/>
    <n v="3893.25"/>
    <n v="4456"/>
    <n v="4520.12"/>
    <n v="4795.3900000000003"/>
    <n v="4977.26"/>
    <n v="4888.38"/>
    <n v="4891.76"/>
    <n v="4408.45"/>
    <n v="4896.57"/>
    <n v="3830.84"/>
    <n v="52755.549999999988"/>
    <n v="1065.7299999999996"/>
  </r>
  <r>
    <x v="6"/>
    <x v="1"/>
    <x v="0"/>
    <s v="5777200"/>
    <n v="713096"/>
    <s v="Employee Recognition"/>
    <s v="Silverdale Shared Services"/>
    <x v="0"/>
    <n v="1017"/>
    <n v="0"/>
    <n v="0"/>
    <n v="13.84"/>
    <n v="0"/>
    <n v="0"/>
    <n v="0"/>
    <n v="0"/>
    <n v="0"/>
    <n v="50.69"/>
    <n v="0"/>
    <n v="0"/>
    <n v="0"/>
    <n v="64.53"/>
    <n v="0"/>
  </r>
  <r>
    <x v="7"/>
    <x v="1"/>
    <x v="0"/>
    <s v="5777200"/>
    <n v="718050"/>
    <s v="Miscellaneous Purchased Svcs"/>
    <s v="Silverdale Shared Services"/>
    <x v="0"/>
    <n v="1020"/>
    <n v="50.65"/>
    <n v="6895.65"/>
    <n v="3350"/>
    <n v="3432.77"/>
    <n v="0"/>
    <n v="0"/>
    <n v="7614.28"/>
    <n v="1355"/>
    <n v="6838.71"/>
    <n v="3447.02"/>
    <n v="3513.24"/>
    <n v="3381.6"/>
    <n v="39878.919999999991"/>
    <n v="131.63999999999987"/>
  </r>
  <r>
    <x v="7"/>
    <x v="1"/>
    <x v="0"/>
    <s v="5777200"/>
    <n v="718070"/>
    <s v="Contract Srvcs-CHI Clinical Engineering"/>
    <s v="Silverdale Shared Services"/>
    <x v="0"/>
    <m/>
    <n v="0"/>
    <n v="0"/>
    <n v="100"/>
    <n v="110.93"/>
    <n v="0"/>
    <n v="0"/>
    <n v="0"/>
    <n v="0"/>
    <n v="0"/>
    <n v="0"/>
    <n v="0"/>
    <n v="0"/>
    <n v="210.93"/>
    <n v="0"/>
  </r>
  <r>
    <x v="11"/>
    <x v="1"/>
    <x v="0"/>
    <s v="5777200"/>
    <n v="721410"/>
    <s v="Supplies-Medical - Nonbillable"/>
    <s v="Silverdale Shared Services"/>
    <x v="0"/>
    <m/>
    <n v="0"/>
    <n v="0"/>
    <n v="0"/>
    <n v="0"/>
    <n v="0"/>
    <n v="0"/>
    <n v="0"/>
    <n v="0"/>
    <n v="0"/>
    <n v="0"/>
    <n v="-3595.01"/>
    <n v="0"/>
    <n v="-3595.01"/>
    <n v="-3595.01"/>
  </r>
  <r>
    <x v="11"/>
    <x v="1"/>
    <x v="0"/>
    <s v="5777200"/>
    <n v="721810"/>
    <s v="Supplies-Dietary/Cafeteria"/>
    <s v="Silverdale Shared Services"/>
    <x v="0"/>
    <m/>
    <n v="48.75"/>
    <n v="121.51"/>
    <n v="48.75"/>
    <n v="130.44"/>
    <n v="48.75"/>
    <n v="158.83000000000001"/>
    <n v="48.75"/>
    <n v="97.5"/>
    <n v="115.52"/>
    <n v="65"/>
    <n v="40.83"/>
    <n v="65"/>
    <n v="989.63"/>
    <n v="-24.17"/>
  </r>
  <r>
    <x v="11"/>
    <x v="1"/>
    <x v="0"/>
    <s v="5777200"/>
    <n v="721830"/>
    <s v="Supplies-Office"/>
    <s v="Silverdale Shared Services"/>
    <x v="0"/>
    <m/>
    <n v="401.63"/>
    <n v="1289.49"/>
    <n v="494.8"/>
    <n v="1712.27"/>
    <n v="341.9"/>
    <n v="531.38"/>
    <n v="104.85"/>
    <n v="609.02"/>
    <n v="645.71"/>
    <n v="223.85"/>
    <n v="96.37"/>
    <n v="157.55000000000001"/>
    <n v="6608.8200000000006"/>
    <n v="-61.180000000000007"/>
  </r>
  <r>
    <x v="11"/>
    <x v="1"/>
    <x v="0"/>
    <s v="5777200"/>
    <n v="721980"/>
    <s v="Supplies-Other"/>
    <s v="Silverdale Shared Services"/>
    <x v="0"/>
    <m/>
    <n v="0"/>
    <n v="296.5"/>
    <n v="197.01"/>
    <n v="504.52"/>
    <n v="0"/>
    <n v="0"/>
    <n v="315.23"/>
    <n v="41.88"/>
    <n v="337.77"/>
    <n v="153.61000000000001"/>
    <n v="251.13"/>
    <n v="190.28"/>
    <n v="2287.9300000000003"/>
    <n v="60.849999999999994"/>
  </r>
  <r>
    <x v="12"/>
    <x v="1"/>
    <x v="0"/>
    <s v="5777200"/>
    <n v="730010"/>
    <s v="Rental and Leases-Building (DO NOT USE)"/>
    <s v="Silverdale Shared Services"/>
    <x v="0"/>
    <m/>
    <n v="8867.64"/>
    <n v="8867.64"/>
    <n v="8867.64"/>
    <n v="8867.64"/>
    <n v="8867.64"/>
    <n v="-9783.73"/>
    <n v="6011.37"/>
    <n v="6521.58"/>
    <n v="6181.44"/>
    <n v="6181.44"/>
    <n v="6181.44"/>
    <n v="-1094"/>
    <n v="64537.740000000005"/>
    <n v="7275.44"/>
  </r>
  <r>
    <x v="12"/>
    <x v="1"/>
    <x v="0"/>
    <s v="5777200"/>
    <n v="730010"/>
    <s v="Rental-Common Area Maint (DO NOT USE)"/>
    <s v="Silverdale Shared Services"/>
    <x v="0"/>
    <n v="2200"/>
    <n v="0"/>
    <n v="0"/>
    <n v="0"/>
    <n v="0"/>
    <n v="0"/>
    <n v="18651.37"/>
    <n v="2856.27"/>
    <n v="2856.27"/>
    <n v="2147"/>
    <n v="2147"/>
    <n v="-12038.4"/>
    <n v="0"/>
    <n v="16619.510000000002"/>
    <n v="-12038.4"/>
  </r>
  <r>
    <x v="12"/>
    <x v="1"/>
    <x v="0"/>
    <s v="5777200"/>
    <n v="730020"/>
    <s v="Rental and Leases-Equipment (DO NOT USE)"/>
    <s v="Silverdale Shared Services"/>
    <x v="0"/>
    <m/>
    <n v="0"/>
    <n v="0"/>
    <n v="0"/>
    <n v="0"/>
    <n v="0"/>
    <n v="0"/>
    <n v="0"/>
    <n v="0"/>
    <n v="0"/>
    <n v="0"/>
    <n v="0"/>
    <n v="302.75"/>
    <n v="302.75"/>
    <n v="-302.75"/>
  </r>
  <r>
    <x v="12"/>
    <x v="1"/>
    <x v="0"/>
    <s v="5777200"/>
    <n v="730020"/>
    <s v="Rental and Leases-Copier Usage Fees (DO NOT USE)"/>
    <s v="Silverdale Shared Services"/>
    <x v="0"/>
    <n v="5100"/>
    <n v="8.36"/>
    <n v="9.56"/>
    <n v="8.9600000000000009"/>
    <n v="8.9600000000000009"/>
    <n v="8.9600000000000009"/>
    <n v="8.9600000000000009"/>
    <n v="-102.05"/>
    <n v="0"/>
    <n v="0"/>
    <n v="0"/>
    <n v="0"/>
    <n v="0"/>
    <n v="-48.289999999999992"/>
    <n v="0"/>
  </r>
  <r>
    <x v="12"/>
    <x v="1"/>
    <x v="0"/>
    <s v="5777200"/>
    <n v="730040"/>
    <s v="LT Lease-Real Estate"/>
    <s v="Silverdale Shared Services"/>
    <x v="0"/>
    <m/>
    <n v="0"/>
    <n v="0"/>
    <n v="0"/>
    <n v="0"/>
    <n v="0"/>
    <n v="0"/>
    <n v="0"/>
    <n v="0"/>
    <n v="0"/>
    <n v="0"/>
    <n v="0"/>
    <n v="9119.69"/>
    <n v="9119.69"/>
    <n v="-9119.69"/>
  </r>
  <r>
    <x v="15"/>
    <x v="1"/>
    <x v="0"/>
    <s v="5777200"/>
    <n v="731060"/>
    <s v="Telephone"/>
    <s v="Silverdale Shared Services"/>
    <x v="0"/>
    <m/>
    <n v="680.96"/>
    <n v="6764.24"/>
    <n v="560.87"/>
    <n v="723.15"/>
    <n v="655.41"/>
    <n v="562.03"/>
    <n v="686.14"/>
    <n v="570.91"/>
    <n v="662.99"/>
    <n v="764.63"/>
    <n v="667.53"/>
    <n v="667.33"/>
    <n v="13966.189999999999"/>
    <n v="0.19999999999993179"/>
  </r>
  <r>
    <x v="16"/>
    <x v="1"/>
    <x v="0"/>
    <s v="5777200"/>
    <n v="732030"/>
    <s v="Repairs---Other"/>
    <s v="Silverdale Shared Services"/>
    <x v="0"/>
    <m/>
    <n v="0"/>
    <n v="0"/>
    <n v="0"/>
    <n v="0"/>
    <n v="0"/>
    <n v="4743.3599999999997"/>
    <n v="144"/>
    <n v="2425.25"/>
    <n v="12.96"/>
    <n v="0"/>
    <n v="0"/>
    <n v="498.67"/>
    <n v="7824.24"/>
    <n v="-498.67"/>
  </r>
  <r>
    <x v="16"/>
    <x v="1"/>
    <x v="0"/>
    <s v="5777200"/>
    <n v="733030"/>
    <s v="Maintenance Contracts-Other"/>
    <s v="Silverdale Shared Services"/>
    <x v="0"/>
    <m/>
    <n v="0"/>
    <n v="0"/>
    <n v="0"/>
    <n v="0"/>
    <n v="0"/>
    <n v="0"/>
    <n v="0"/>
    <n v="0"/>
    <n v="0"/>
    <n v="0"/>
    <n v="960"/>
    <n v="0"/>
    <n v="960"/>
    <n v="960"/>
  </r>
  <r>
    <x v="0"/>
    <x v="1"/>
    <x v="0"/>
    <s v="5777200"/>
    <n v="749510"/>
    <s v="Miscellaneous Expenses"/>
    <s v="Silverdale Shared Services"/>
    <x v="0"/>
    <m/>
    <n v="234.91"/>
    <n v="-115.34"/>
    <n v="0"/>
    <n v="212.33"/>
    <n v="53.19"/>
    <n v="-15.26"/>
    <n v="0"/>
    <n v="114.42"/>
    <n v="66.31"/>
    <n v="174.46"/>
    <n v="-174.46"/>
    <n v="0"/>
    <n v="550.55999999999995"/>
    <n v="-174.46"/>
  </r>
  <r>
    <x v="0"/>
    <x v="1"/>
    <x v="0"/>
    <s v="5777200"/>
    <n v="749510"/>
    <s v="RICE Rewards"/>
    <s v="Silverdale Shared Services"/>
    <x v="0"/>
    <n v="5100"/>
    <n v="0"/>
    <n v="0"/>
    <n v="0"/>
    <n v="0"/>
    <n v="0"/>
    <n v="0"/>
    <n v="0"/>
    <n v="0"/>
    <n v="0"/>
    <n v="182.25"/>
    <n v="174.46"/>
    <n v="0"/>
    <n v="356.71000000000004"/>
    <n v="174.46"/>
  </r>
  <r>
    <x v="0"/>
    <x v="1"/>
    <x v="0"/>
    <s v="5777200"/>
    <n v="749530"/>
    <s v="Mileage"/>
    <s v="Silverdale Shared Services"/>
    <x v="0"/>
    <n v="1001"/>
    <n v="0"/>
    <n v="213.7"/>
    <n v="74.67"/>
    <n v="56.68"/>
    <n v="42.52"/>
    <n v="22.89"/>
    <n v="42.25"/>
    <n v="23.78"/>
    <n v="69.680000000000007"/>
    <n v="24.36"/>
    <n v="8.6999999999999993"/>
    <n v="42.34"/>
    <n v="621.57000000000016"/>
    <n v="-33.64"/>
  </r>
  <r>
    <x v="0"/>
    <x v="1"/>
    <x v="0"/>
    <s v="5777200"/>
    <n v="749535"/>
    <s v="Meetings"/>
    <s v="Silverdale Shared Services"/>
    <x v="0"/>
    <m/>
    <n v="0"/>
    <n v="0"/>
    <n v="0"/>
    <n v="0"/>
    <n v="0"/>
    <n v="0"/>
    <n v="0"/>
    <n v="0"/>
    <n v="190.63"/>
    <n v="0"/>
    <n v="0"/>
    <n v="0"/>
    <n v="190.63"/>
    <n v="0"/>
  </r>
  <r>
    <x v="0"/>
    <x v="1"/>
    <x v="0"/>
    <s v="5777200"/>
    <n v="749550"/>
    <s v="Cash Over/Short"/>
    <s v="Silverdale Shared Services"/>
    <x v="0"/>
    <m/>
    <n v="0"/>
    <n v="0"/>
    <n v="0"/>
    <n v="0"/>
    <n v="0"/>
    <n v="0"/>
    <n v="0"/>
    <n v="0"/>
    <n v="0"/>
    <n v="0"/>
    <n v="-45"/>
    <n v="0"/>
    <n v="-45"/>
    <n v="-45"/>
  </r>
  <r>
    <x v="5"/>
    <x v="1"/>
    <x v="0"/>
    <s v="5778200"/>
    <n v="700032"/>
    <s v="Salaries-Other Pat Care Providers-Productive"/>
    <s v="Forks Shared Services"/>
    <x v="0"/>
    <m/>
    <n v="824.42"/>
    <n v="0"/>
    <n v="0"/>
    <n v="0"/>
    <n v="0"/>
    <n v="0"/>
    <n v="0"/>
    <n v="0"/>
    <n v="0"/>
    <n v="0"/>
    <n v="0"/>
    <n v="0"/>
    <n v="824.42"/>
    <n v="0"/>
  </r>
  <r>
    <x v="6"/>
    <x v="1"/>
    <x v="0"/>
    <s v="5778200"/>
    <n v="713010"/>
    <s v="Benefits-FICA/Medicare"/>
    <s v="Forks Shared Services"/>
    <x v="0"/>
    <m/>
    <n v="57.1"/>
    <n v="0"/>
    <n v="0"/>
    <n v="0"/>
    <n v="0"/>
    <n v="0"/>
    <n v="0"/>
    <n v="0"/>
    <n v="0"/>
    <n v="0"/>
    <n v="0"/>
    <n v="0"/>
    <n v="57.1"/>
    <n v="0"/>
  </r>
  <r>
    <x v="6"/>
    <x v="1"/>
    <x v="0"/>
    <s v="5778200"/>
    <n v="713090"/>
    <s v="Benefits-Allocated Amounts"/>
    <s v="Forks Shared Services"/>
    <x v="0"/>
    <m/>
    <n v="271.37"/>
    <n v="-22.07"/>
    <n v="35.28"/>
    <n v="13.11"/>
    <n v="-33.549999999999997"/>
    <n v="55.24"/>
    <n v="-162.13"/>
    <n v="23.77"/>
    <n v="22.21"/>
    <n v="23.89"/>
    <n v="23.68"/>
    <n v="23.89"/>
    <n v="274.69000000000005"/>
    <n v="-0.21000000000000085"/>
  </r>
  <r>
    <x v="7"/>
    <x v="1"/>
    <x v="0"/>
    <s v="5778200"/>
    <n v="718050"/>
    <s v="Cleaning Services"/>
    <s v="Forks Shared Services"/>
    <x v="0"/>
    <n v="1011"/>
    <n v="1950"/>
    <n v="1950"/>
    <n v="1950"/>
    <n v="1950"/>
    <n v="1950"/>
    <n v="0"/>
    <n v="0"/>
    <n v="0"/>
    <n v="0"/>
    <n v="0"/>
    <n v="0"/>
    <n v="0"/>
    <n v="9750"/>
    <n v="0"/>
  </r>
  <r>
    <x v="7"/>
    <x v="1"/>
    <x v="0"/>
    <s v="5778200"/>
    <n v="718050"/>
    <s v="Document Shredding/Storage"/>
    <s v="Forks Shared Services"/>
    <x v="0"/>
    <n v="1012"/>
    <n v="0"/>
    <n v="0"/>
    <n v="0"/>
    <n v="0"/>
    <n v="652.78"/>
    <n v="9.7200000000000006"/>
    <n v="9.6199999999999992"/>
    <n v="148.97"/>
    <n v="111.65"/>
    <n v="815.44"/>
    <n v="318.88"/>
    <n v="2678.89"/>
    <n v="4745.95"/>
    <n v="-2360.0099999999998"/>
  </r>
  <r>
    <x v="7"/>
    <x v="1"/>
    <x v="0"/>
    <s v="5778200"/>
    <n v="718050"/>
    <s v="Miscellaneous Purchased Svcs"/>
    <s v="Forks Shared Services"/>
    <x v="0"/>
    <n v="1020"/>
    <n v="45"/>
    <n v="90"/>
    <n v="47.02"/>
    <n v="48.33"/>
    <n v="0"/>
    <n v="46"/>
    <n v="0"/>
    <n v="0"/>
    <n v="0"/>
    <n v="0"/>
    <n v="0"/>
    <n v="0"/>
    <n v="276.35000000000002"/>
    <n v="0"/>
  </r>
  <r>
    <x v="11"/>
    <x v="1"/>
    <x v="0"/>
    <s v="5778200"/>
    <n v="721980"/>
    <s v="Supplies-Other"/>
    <s v="Forks Shared Services"/>
    <x v="0"/>
    <m/>
    <n v="9.74"/>
    <n v="0"/>
    <n v="0"/>
    <n v="0"/>
    <n v="779.35"/>
    <n v="0"/>
    <n v="0"/>
    <n v="0"/>
    <n v="0"/>
    <n v="0"/>
    <n v="0"/>
    <n v="0"/>
    <n v="789.09"/>
    <n v="0"/>
  </r>
  <r>
    <x v="12"/>
    <x v="1"/>
    <x v="0"/>
    <s v="5778200"/>
    <n v="730010"/>
    <s v="Rental and Leases-Building (DO NOT USE)"/>
    <s v="Forks Shared Services"/>
    <x v="0"/>
    <m/>
    <n v="2401.25"/>
    <n v="2401.25"/>
    <n v="132.5"/>
    <n v="2250"/>
    <n v="0"/>
    <n v="-1800"/>
    <n v="0"/>
    <n v="0"/>
    <n v="0"/>
    <n v="0"/>
    <n v="0"/>
    <n v="0"/>
    <n v="5385"/>
    <n v="0"/>
  </r>
  <r>
    <x v="12"/>
    <x v="1"/>
    <x v="0"/>
    <s v="5778200"/>
    <n v="730020"/>
    <s v="Rental and Leases-Copier Usage Fees (DO NOT USE)"/>
    <s v="Forks Shared Services"/>
    <x v="0"/>
    <n v="5100"/>
    <n v="336.93"/>
    <n v="351.49"/>
    <n v="344.21"/>
    <n v="344.21"/>
    <n v="344.21"/>
    <n v="344.21"/>
    <n v="-1155.25"/>
    <n v="11.05"/>
    <n v="11.08"/>
    <n v="11.17"/>
    <n v="11.1"/>
    <n v="11.1"/>
    <n v="965.51000000000022"/>
    <n v="0"/>
  </r>
  <r>
    <x v="15"/>
    <x v="1"/>
    <x v="0"/>
    <s v="5778200"/>
    <n v="731020"/>
    <s v="Electricity"/>
    <s v="Forks Shared Services"/>
    <x v="0"/>
    <m/>
    <n v="129.94999999999999"/>
    <n v="122.77"/>
    <n v="110.02"/>
    <n v="107.98"/>
    <n v="135.97999999999999"/>
    <n v="0"/>
    <n v="0"/>
    <n v="0"/>
    <n v="0"/>
    <n v="0"/>
    <n v="0"/>
    <n v="0"/>
    <n v="606.69999999999993"/>
    <n v="0"/>
  </r>
  <r>
    <x v="15"/>
    <x v="1"/>
    <x v="0"/>
    <s v="5778200"/>
    <n v="731030"/>
    <s v="Water"/>
    <s v="Forks Shared Services"/>
    <x v="0"/>
    <m/>
    <n v="25.86"/>
    <n v="25.86"/>
    <n v="25.86"/>
    <n v="0"/>
    <n v="0"/>
    <n v="0"/>
    <n v="0"/>
    <n v="0"/>
    <n v="0"/>
    <n v="0"/>
    <n v="0"/>
    <n v="0"/>
    <n v="77.58"/>
    <n v="0"/>
  </r>
  <r>
    <x v="15"/>
    <x v="1"/>
    <x v="0"/>
    <s v="5778200"/>
    <n v="731050"/>
    <s v="Refuse Disposal"/>
    <s v="Forks Shared Services"/>
    <x v="0"/>
    <m/>
    <n v="70.53"/>
    <n v="70.53"/>
    <n v="70.53"/>
    <n v="70.53"/>
    <n v="70.53"/>
    <n v="70.53"/>
    <n v="70.53"/>
    <n v="28.21"/>
    <n v="0"/>
    <n v="0"/>
    <n v="0"/>
    <n v="0"/>
    <n v="521.91999999999996"/>
    <n v="0"/>
  </r>
  <r>
    <x v="15"/>
    <x v="1"/>
    <x v="0"/>
    <s v="5778200"/>
    <n v="731060"/>
    <s v="Telephone"/>
    <s v="Forks Shared Services"/>
    <x v="0"/>
    <m/>
    <n v="1790.33"/>
    <n v="1132.22"/>
    <n v="1132.22"/>
    <n v="1153.3499999999999"/>
    <n v="1153.3499999999999"/>
    <n v="1153.3499999999999"/>
    <n v="1152.3900000000001"/>
    <n v="0"/>
    <n v="0"/>
    <n v="2.89"/>
    <n v="1140.8800000000001"/>
    <n v="0"/>
    <n v="9810.98"/>
    <n v="1140.8800000000001"/>
  </r>
  <r>
    <x v="15"/>
    <x v="1"/>
    <x v="0"/>
    <s v="5778200"/>
    <n v="731065"/>
    <s v="Data Communications"/>
    <s v="Forks Shared Services"/>
    <x v="0"/>
    <m/>
    <n v="926.65"/>
    <n v="929.7"/>
    <n v="913.48"/>
    <n v="908.02"/>
    <n v="895.5"/>
    <n v="895.18"/>
    <n v="932.39"/>
    <n v="836.79"/>
    <n v="836.79"/>
    <n v="517.49"/>
    <n v="517.49"/>
    <n v="517.49"/>
    <n v="9626.9700000000012"/>
    <n v="0"/>
  </r>
  <r>
    <x v="0"/>
    <x v="1"/>
    <x v="0"/>
    <s v="5778200"/>
    <n v="749530"/>
    <s v="Mileage"/>
    <s v="Forks Shared Services"/>
    <x v="0"/>
    <n v="1001"/>
    <n v="283.39999999999998"/>
    <n v="0"/>
    <n v="0"/>
    <n v="0"/>
    <n v="0"/>
    <n v="0"/>
    <n v="0"/>
    <n v="0"/>
    <n v="0"/>
    <n v="0"/>
    <n v="0"/>
    <n v="0"/>
    <n v="283.39999999999998"/>
    <n v="0"/>
  </r>
  <r>
    <x v="11"/>
    <x v="1"/>
    <x v="0"/>
    <s v="5779200"/>
    <n v="721910"/>
    <s v="Supplies-Small Equipment"/>
    <s v="Skookum Family Med"/>
    <x v="0"/>
    <m/>
    <n v="0"/>
    <n v="0"/>
    <n v="588"/>
    <n v="0"/>
    <n v="0"/>
    <n v="0"/>
    <n v="0"/>
    <n v="0"/>
    <n v="0"/>
    <n v="0"/>
    <n v="0"/>
    <n v="0"/>
    <n v="588"/>
    <n v="0"/>
  </r>
  <r>
    <x v="12"/>
    <x v="1"/>
    <x v="0"/>
    <s v="5779200"/>
    <n v="730010"/>
    <s v="Rental and Leases-Building (DO NOT USE)"/>
    <s v="Skookum Family Med"/>
    <x v="0"/>
    <m/>
    <n v="309.60000000000002"/>
    <n v="309.60000000000002"/>
    <n v="309.60000000000002"/>
    <n v="309.60000000000002"/>
    <n v="309.60000000000002"/>
    <n v="309.60000000000002"/>
    <n v="309.60000000000002"/>
    <n v="309.60000000000002"/>
    <n v="309.60000000000002"/>
    <n v="309.60000000000002"/>
    <n v="309.60000000000002"/>
    <n v="0"/>
    <n v="3405.5999999999995"/>
    <n v="309.60000000000002"/>
  </r>
  <r>
    <x v="15"/>
    <x v="1"/>
    <x v="0"/>
    <s v="5779200"/>
    <n v="731060"/>
    <s v="Telephone"/>
    <s v="Skookum Family Med"/>
    <x v="0"/>
    <m/>
    <n v="293.27999999999997"/>
    <n v="195.5"/>
    <n v="96.54"/>
    <n v="86.2"/>
    <n v="202.77"/>
    <n v="216.21"/>
    <n v="412.25"/>
    <n v="86.2"/>
    <n v="195.99"/>
    <n v="207.16"/>
    <n v="195.67"/>
    <n v="198.7"/>
    <n v="2386.4699999999998"/>
    <n v="-3.0300000000000011"/>
  </r>
  <r>
    <x v="15"/>
    <x v="1"/>
    <x v="0"/>
    <s v="5779200"/>
    <n v="731065"/>
    <s v="Data Communications"/>
    <s v="Skookum Family Med"/>
    <x v="0"/>
    <m/>
    <n v="396.2"/>
    <n v="386.2"/>
    <n v="0"/>
    <n v="772.4"/>
    <n v="388.38"/>
    <n v="388.38"/>
    <n v="388.38"/>
    <n v="398.38"/>
    <n v="398.38"/>
    <n v="388.38"/>
    <n v="398.37"/>
    <n v="398.37"/>
    <n v="4701.8200000000006"/>
    <n v="0"/>
  </r>
  <r>
    <x v="0"/>
    <x v="1"/>
    <x v="0"/>
    <s v="5779200"/>
    <n v="749510"/>
    <s v="Miscellaneous Expenses"/>
    <s v="Skookum Family Med"/>
    <x v="0"/>
    <m/>
    <n v="0"/>
    <n v="235"/>
    <n v="21.15"/>
    <n v="0"/>
    <n v="0"/>
    <n v="0"/>
    <n v="0"/>
    <n v="0"/>
    <n v="0"/>
    <n v="0"/>
    <n v="0"/>
    <n v="0"/>
    <n v="256.14999999999998"/>
    <n v="0"/>
  </r>
  <r>
    <x v="5"/>
    <x v="0"/>
    <x v="0"/>
    <s v="5800102"/>
    <n v="700062"/>
    <s v="Salaries-Physician-Non-productive"/>
    <s v="Non-inv Cardio Diag-SF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5800102"/>
    <n v="713090"/>
    <s v="Benefits-Allocated Amounts"/>
    <s v="Non-inv Cardio Diag-SF"/>
    <x v="0"/>
    <m/>
    <n v="0"/>
    <n v="0"/>
    <n v="0"/>
    <n v="0"/>
    <n v="0"/>
    <n v="0"/>
    <n v="0"/>
    <n v="0"/>
    <n v="0"/>
    <n v="0"/>
    <n v="0"/>
    <n v="0"/>
    <n v="0"/>
    <n v="0"/>
  </r>
  <r>
    <x v="12"/>
    <x v="0"/>
    <x v="0"/>
    <s v="5800102"/>
    <n v="730020"/>
    <s v="Rental and Leases-Copier Usage Fees (DO NOT USE)"/>
    <s v="Non-inv Cardio Diag-SF"/>
    <x v="0"/>
    <n v="5100"/>
    <n v="0"/>
    <n v="0"/>
    <n v="0"/>
    <n v="0"/>
    <n v="0"/>
    <n v="0"/>
    <n v="0"/>
    <n v="0"/>
    <n v="0"/>
    <n v="0"/>
    <n v="0"/>
    <n v="0"/>
    <n v="0"/>
    <n v="0"/>
  </r>
  <r>
    <x v="13"/>
    <x v="0"/>
    <x v="0"/>
    <s v="5800102"/>
    <n v="735070"/>
    <s v="Depreciation-Movable Equipment"/>
    <s v="Non-inv Cardio Diag-SF"/>
    <x v="0"/>
    <m/>
    <n v="0"/>
    <n v="0"/>
    <n v="0"/>
    <n v="0"/>
    <n v="0"/>
    <n v="0"/>
    <n v="0"/>
    <n v="0"/>
    <n v="0"/>
    <n v="0"/>
    <n v="0"/>
    <n v="0"/>
    <n v="0"/>
    <n v="0"/>
  </r>
  <r>
    <x v="14"/>
    <x v="1"/>
    <x v="0"/>
    <s v="5800200"/>
    <n v="600050"/>
    <s v="Miscellaneous Revenue"/>
    <s v="Heart&amp;Vascular-Tac-Shared Svc"/>
    <x v="0"/>
    <m/>
    <n v="0"/>
    <n v="0"/>
    <n v="0"/>
    <n v="0"/>
    <n v="0"/>
    <n v="0"/>
    <n v="0"/>
    <n v="-51.33"/>
    <n v="0"/>
    <n v="0"/>
    <n v="0"/>
    <n v="0"/>
    <n v="-51.33"/>
    <n v="0"/>
  </r>
  <r>
    <x v="5"/>
    <x v="1"/>
    <x v="0"/>
    <s v="5800200"/>
    <n v="700014"/>
    <s v="Salaries-Management-Productive"/>
    <s v="Heart&amp;Vascular-Tac-Shared Svc"/>
    <x v="0"/>
    <m/>
    <n v="11711.56"/>
    <n v="12826.97"/>
    <n v="9759.6299999999992"/>
    <n v="13199.16"/>
    <n v="12383.36"/>
    <n v="6360.54"/>
    <n v="12796.37"/>
    <n v="11274.12"/>
    <n v="11837.83"/>
    <n v="11443.22"/>
    <n v="-3551.34"/>
    <n v="0"/>
    <n v="110041.41999999998"/>
    <n v="-3551.34"/>
  </r>
  <r>
    <x v="5"/>
    <x v="1"/>
    <x v="0"/>
    <s v="5800200"/>
    <n v="700018"/>
    <s v="Salaries-Supervisory-Productive"/>
    <s v="Heart&amp;Vascular-Tac-Shared Svc"/>
    <x v="0"/>
    <m/>
    <n v="3795.76"/>
    <n v="5135.4399999999996"/>
    <n v="4130.68"/>
    <n v="3415.57"/>
    <n v="5414.79"/>
    <n v="2592.67"/>
    <n v="5445.81"/>
    <n v="4595.54"/>
    <n v="3676.43"/>
    <n v="5055.09"/>
    <n v="4135.9799999999996"/>
    <n v="3676.43"/>
    <n v="51070.189999999995"/>
    <n v="459.54999999999973"/>
  </r>
  <r>
    <x v="5"/>
    <x v="1"/>
    <x v="0"/>
    <s v="5800200"/>
    <n v="700030"/>
    <s v="Salaries-LPN-Productive"/>
    <s v="Heart&amp;Vascular-Tac-Shared Svc"/>
    <x v="0"/>
    <m/>
    <n v="0"/>
    <n v="0"/>
    <n v="0"/>
    <n v="0"/>
    <n v="0"/>
    <n v="0"/>
    <n v="0"/>
    <n v="73.28"/>
    <n v="-20.93"/>
    <n v="0"/>
    <n v="0"/>
    <n v="0"/>
    <n v="52.35"/>
    <n v="0"/>
  </r>
  <r>
    <x v="5"/>
    <x v="1"/>
    <x v="0"/>
    <s v="5800200"/>
    <n v="700030"/>
    <s v="Salaries-LPN-Other"/>
    <s v="Heart&amp;Vascular-Tac-Shared Svc"/>
    <x v="0"/>
    <n v="2000"/>
    <n v="0"/>
    <n v="0"/>
    <n v="0"/>
    <n v="0"/>
    <n v="0"/>
    <n v="0"/>
    <n v="0"/>
    <n v="3.15"/>
    <n v="-0.9"/>
    <n v="0"/>
    <n v="0"/>
    <n v="0"/>
    <n v="2.25"/>
    <n v="0"/>
  </r>
  <r>
    <x v="5"/>
    <x v="1"/>
    <x v="0"/>
    <s v="5800200"/>
    <n v="700032"/>
    <s v="Salaries-Other Pat Care Providers-Productive"/>
    <s v="Heart&amp;Vascular-Tac-Shared Svc"/>
    <x v="0"/>
    <m/>
    <n v="0"/>
    <n v="0"/>
    <n v="0"/>
    <n v="378.37"/>
    <n v="-168.16"/>
    <n v="0"/>
    <n v="509.8"/>
    <n v="9.33"/>
    <n v="-23.8"/>
    <n v="158.22"/>
    <n v="0"/>
    <n v="0"/>
    <n v="863.7600000000001"/>
    <n v="0"/>
  </r>
  <r>
    <x v="5"/>
    <x v="1"/>
    <x v="0"/>
    <s v="5800200"/>
    <n v="700032"/>
    <s v="Salaries-Other Pat Care Providers-Other"/>
    <s v="Heart&amp;Vascular-Tac-Shared Svc"/>
    <x v="0"/>
    <n v="2000"/>
    <n v="0"/>
    <n v="0"/>
    <n v="0"/>
    <n v="0"/>
    <n v="0"/>
    <n v="0"/>
    <n v="0"/>
    <n v="4.2"/>
    <n v="-1.2"/>
    <n v="0"/>
    <n v="0"/>
    <n v="0"/>
    <n v="3"/>
    <n v="0"/>
  </r>
  <r>
    <x v="5"/>
    <x v="1"/>
    <x v="0"/>
    <s v="5800200"/>
    <n v="700038"/>
    <s v="Salaries-Service/Support-Productive"/>
    <s v="Heart&amp;Vascular-Tac-Shared Svc"/>
    <x v="0"/>
    <m/>
    <n v="65409.84"/>
    <n v="69569.02"/>
    <n v="58218.48"/>
    <n v="75899.41"/>
    <n v="70832.97"/>
    <n v="60278.37"/>
    <n v="70709.53"/>
    <n v="54998.68"/>
    <n v="75060.59"/>
    <n v="75114.960000000006"/>
    <n v="75051.25"/>
    <n v="64723.97"/>
    <n v="815867.07"/>
    <n v="10327.279999999999"/>
  </r>
  <r>
    <x v="5"/>
    <x v="1"/>
    <x v="0"/>
    <s v="5800200"/>
    <n v="700038"/>
    <s v="Salaries-Service/Support-OT"/>
    <s v="Heart&amp;Vascular-Tac-Shared Svc"/>
    <x v="0"/>
    <n v="1000"/>
    <n v="833.24"/>
    <n v="1271.3699999999999"/>
    <n v="1226.73"/>
    <n v="2469.1799999999998"/>
    <n v="1822.98"/>
    <n v="558.54"/>
    <n v="1914.99"/>
    <n v="459.24"/>
    <n v="1499.6"/>
    <n v="2473.71"/>
    <n v="4182.07"/>
    <n v="583.97"/>
    <n v="19295.620000000003"/>
    <n v="3598.0999999999995"/>
  </r>
  <r>
    <x v="5"/>
    <x v="1"/>
    <x v="0"/>
    <s v="5800200"/>
    <n v="700038"/>
    <s v="Salaries-Service/Support-Other"/>
    <s v="Heart&amp;Vascular-Tac-Shared Svc"/>
    <x v="0"/>
    <n v="2000"/>
    <n v="0"/>
    <n v="0"/>
    <n v="0"/>
    <n v="60"/>
    <n v="0"/>
    <n v="49.85"/>
    <n v="28.44"/>
    <n v="0"/>
    <n v="35.69"/>
    <n v="-11.89"/>
    <n v="0"/>
    <n v="0"/>
    <n v="162.08999999999997"/>
    <n v="0"/>
  </r>
  <r>
    <x v="5"/>
    <x v="1"/>
    <x v="0"/>
    <s v="5800200"/>
    <n v="700054"/>
    <s v="Salaries-Management-Non-productive"/>
    <s v="Heart&amp;Vascular-Tac-Shared Svc"/>
    <x v="0"/>
    <m/>
    <n v="0"/>
    <n v="0"/>
    <n v="1394.22"/>
    <n v="-278.83999999999997"/>
    <n v="0"/>
    <n v="5459.93"/>
    <n v="169.7"/>
    <n v="0"/>
    <n v="0"/>
    <n v="958.3"/>
    <n v="-394.59"/>
    <n v="0"/>
    <n v="7308.72"/>
    <n v="-394.59"/>
  </r>
  <r>
    <x v="5"/>
    <x v="1"/>
    <x v="0"/>
    <s v="5800200"/>
    <n v="700054"/>
    <s v="Salaries-Management-NonProd-Other"/>
    <s v="Heart&amp;Vascular-Tac-Shared Svc"/>
    <x v="0"/>
    <n v="2000"/>
    <n v="0"/>
    <n v="0"/>
    <n v="0"/>
    <n v="0"/>
    <n v="0"/>
    <n v="31.38"/>
    <n v="-31.38"/>
    <n v="0"/>
    <n v="0"/>
    <n v="0"/>
    <n v="0"/>
    <n v="0"/>
    <n v="0"/>
    <n v="0"/>
  </r>
  <r>
    <x v="5"/>
    <x v="1"/>
    <x v="0"/>
    <s v="5800200"/>
    <n v="700058"/>
    <s v="Salaries-Supervisory-Non-productive"/>
    <s v="Heart&amp;Vascular-Tac-Shared Svc"/>
    <x v="0"/>
    <m/>
    <n v="1116.4000000000001"/>
    <n v="0"/>
    <n v="334.92"/>
    <n v="1830.74"/>
    <n v="-367.1"/>
    <n v="2225.56"/>
    <n v="-160.6"/>
    <n v="0"/>
    <n v="1148.8900000000001"/>
    <n v="0"/>
    <n v="1148.9000000000001"/>
    <n v="919.11"/>
    <n v="8196.8200000000015"/>
    <n v="229.79000000000008"/>
  </r>
  <r>
    <x v="5"/>
    <x v="1"/>
    <x v="0"/>
    <s v="5800200"/>
    <n v="700078"/>
    <s v="Salaries-Service/Support-Non-productive"/>
    <s v="Heart&amp;Vascular-Tac-Shared Svc"/>
    <x v="0"/>
    <m/>
    <n v="8811.58"/>
    <n v="9104.58"/>
    <n v="6202.27"/>
    <n v="6559.31"/>
    <n v="4048.11"/>
    <n v="14566.73"/>
    <n v="6534.34"/>
    <n v="11905.74"/>
    <n v="5564.3"/>
    <n v="5254.61"/>
    <n v="10712.98"/>
    <n v="9620.5300000000007"/>
    <n v="98885.08"/>
    <n v="1092.4499999999989"/>
  </r>
  <r>
    <x v="5"/>
    <x v="1"/>
    <x v="0"/>
    <s v="5800200"/>
    <n v="700078"/>
    <s v="Salaries-Service/Support-NonProd-Other"/>
    <s v="Heart&amp;Vascular-Tac-Shared Svc"/>
    <x v="0"/>
    <n v="2000"/>
    <n v="0"/>
    <n v="23.52"/>
    <n v="57.48"/>
    <n v="91.34"/>
    <n v="1658.78"/>
    <n v="518.69000000000005"/>
    <n v="70.08"/>
    <n v="-1963.12"/>
    <n v="51.75"/>
    <n v="31.29"/>
    <n v="91.67"/>
    <n v="70.67"/>
    <n v="702.14999999999986"/>
    <n v="21"/>
  </r>
  <r>
    <x v="5"/>
    <x v="1"/>
    <x v="0"/>
    <s v="5800200"/>
    <n v="700084"/>
    <s v="Accrued PTO"/>
    <s v="Heart&amp;Vascular-Tac-Shared Svc"/>
    <x v="0"/>
    <m/>
    <n v="520.79999999999995"/>
    <n v="1879.25"/>
    <n v="-278.57"/>
    <n v="4272.5600000000004"/>
    <n v="5846.18"/>
    <n v="-10253.030000000001"/>
    <n v="1820.42"/>
    <n v="515.04999999999995"/>
    <n v="5178.58"/>
    <n v="4958.97"/>
    <n v="2175.41"/>
    <n v="869.62"/>
    <n v="17505.240000000002"/>
    <n v="1305.79"/>
  </r>
  <r>
    <x v="10"/>
    <x v="1"/>
    <x v="0"/>
    <s v="5800200"/>
    <n v="710060"/>
    <s v="Contract Labor-Other"/>
    <s v="Heart&amp;Vascular-Tac-Shared Svc"/>
    <x v="0"/>
    <m/>
    <n v="0"/>
    <n v="0"/>
    <n v="3325"/>
    <n v="0"/>
    <n v="0"/>
    <n v="3268"/>
    <n v="5882.4"/>
    <n v="4207.54"/>
    <n v="0"/>
    <n v="0"/>
    <n v="0"/>
    <n v="0"/>
    <n v="16682.939999999999"/>
    <n v="0"/>
  </r>
  <r>
    <x v="10"/>
    <x v="1"/>
    <x v="0"/>
    <s v="5800200"/>
    <n v="710060"/>
    <s v="Contract Labor-Overtime"/>
    <s v="Heart&amp;Vascular-Tac-Shared Svc"/>
    <x v="0"/>
    <n v="5100"/>
    <n v="0"/>
    <n v="0"/>
    <n v="175"/>
    <n v="0"/>
    <n v="0"/>
    <n v="606.65"/>
    <n v="220.6"/>
    <n v="1047.8499999999999"/>
    <n v="0"/>
    <n v="0"/>
    <n v="0"/>
    <n v="0"/>
    <n v="2050.1"/>
    <n v="0"/>
  </r>
  <r>
    <x v="6"/>
    <x v="1"/>
    <x v="0"/>
    <s v="5800200"/>
    <n v="713010"/>
    <s v="Benefits-FICA/Medicare"/>
    <s v="Heart&amp;Vascular-Tac-Shared Svc"/>
    <x v="0"/>
    <m/>
    <n v="6735.82"/>
    <n v="7197.56"/>
    <n v="6001.01"/>
    <n v="7625.62"/>
    <n v="7362.32"/>
    <n v="6792.2"/>
    <n v="7181.02"/>
    <n v="6089.9"/>
    <n v="7247.38"/>
    <n v="8017.57"/>
    <n v="6679.63"/>
    <n v="5811.86"/>
    <n v="82741.89"/>
    <n v="867.77000000000044"/>
  </r>
  <r>
    <x v="6"/>
    <x v="1"/>
    <x v="0"/>
    <s v="5800200"/>
    <n v="713090"/>
    <s v="Benefits-Allocated Amounts"/>
    <s v="Heart&amp;Vascular-Tac-Shared Svc"/>
    <x v="0"/>
    <m/>
    <n v="23749.27"/>
    <n v="22150.99"/>
    <n v="22373.45"/>
    <n v="24469.51"/>
    <n v="24164.1"/>
    <n v="24270.97"/>
    <n v="27548.15"/>
    <n v="25515.3"/>
    <n v="27155.33"/>
    <n v="27049.33"/>
    <n v="26089.89"/>
    <n v="25681.09"/>
    <n v="300217.38000000006"/>
    <n v="408.79999999999927"/>
  </r>
  <r>
    <x v="6"/>
    <x v="1"/>
    <x v="0"/>
    <s v="5800200"/>
    <n v="713096"/>
    <s v="Employee Recognition"/>
    <s v="Heart&amp;Vascular-Tac-Shared Svc"/>
    <x v="0"/>
    <n v="1017"/>
    <n v="0"/>
    <n v="0"/>
    <n v="0"/>
    <n v="0"/>
    <n v="0"/>
    <n v="0"/>
    <n v="0"/>
    <n v="0"/>
    <n v="0"/>
    <n v="134.72"/>
    <n v="0"/>
    <n v="0"/>
    <n v="134.72"/>
    <n v="0"/>
  </r>
  <r>
    <x v="7"/>
    <x v="1"/>
    <x v="0"/>
    <s v="5800200"/>
    <n v="718010"/>
    <s v="Media/Print Advertising"/>
    <s v="Heart&amp;Vascular-Tac-Shared Svc"/>
    <x v="0"/>
    <n v="1004"/>
    <n v="97.68"/>
    <n v="273.01"/>
    <n v="464.62"/>
    <n v="682.77"/>
    <n v="98.18"/>
    <n v="100.38"/>
    <n v="367.72"/>
    <n v="0"/>
    <n v="0"/>
    <n v="0"/>
    <n v="100.38"/>
    <n v="75.010000000000005"/>
    <n v="2259.75"/>
    <n v="25.36999999999999"/>
  </r>
  <r>
    <x v="7"/>
    <x v="1"/>
    <x v="0"/>
    <s v="5800200"/>
    <n v="718040"/>
    <s v="Contract Svcs-Laboratory"/>
    <s v="Heart&amp;Vascular-Tac-Shared Svc"/>
    <x v="0"/>
    <m/>
    <n v="0"/>
    <n v="0"/>
    <n v="0"/>
    <n v="0"/>
    <n v="0"/>
    <n v="47"/>
    <n v="0"/>
    <n v="12.96"/>
    <n v="0"/>
    <n v="0"/>
    <n v="0"/>
    <n v="0"/>
    <n v="59.96"/>
    <n v="0"/>
  </r>
  <r>
    <x v="7"/>
    <x v="1"/>
    <x v="0"/>
    <s v="5800200"/>
    <n v="718050"/>
    <s v="Contract Svcs-Other"/>
    <s v="Heart&amp;Vascular-Tac-Shared Svc"/>
    <x v="0"/>
    <m/>
    <n v="118.07"/>
    <n v="3707.29"/>
    <n v="3922.03"/>
    <n v="2166.1"/>
    <n v="2333.8000000000002"/>
    <n v="3505.8"/>
    <n v="5793.26"/>
    <n v="572.55999999999995"/>
    <n v="4449.91"/>
    <n v="423.28"/>
    <n v="28.2"/>
    <n v="3523.65"/>
    <n v="30543.95"/>
    <n v="-3495.4500000000003"/>
  </r>
  <r>
    <x v="7"/>
    <x v="1"/>
    <x v="0"/>
    <s v="5800200"/>
    <n v="718050"/>
    <s v="Document Shredding/Storage"/>
    <s v="Heart&amp;Vascular-Tac-Shared Svc"/>
    <x v="0"/>
    <n v="1012"/>
    <n v="451.88"/>
    <n v="1416.46"/>
    <n v="401.48"/>
    <n v="414.12"/>
    <n v="410.59"/>
    <n v="409.53"/>
    <n v="377.71"/>
    <n v="3905.02"/>
    <n v="400.09"/>
    <n v="3786.36"/>
    <n v="398.55"/>
    <n v="4134.7299999999996"/>
    <n v="16506.52"/>
    <n v="-3736.1799999999994"/>
  </r>
  <r>
    <x v="7"/>
    <x v="1"/>
    <x v="0"/>
    <s v="5800200"/>
    <n v="718050"/>
    <s v="Physician Answering"/>
    <s v="Heart&amp;Vascular-Tac-Shared Svc"/>
    <x v="0"/>
    <n v="1015"/>
    <n v="4222"/>
    <n v="6327.6"/>
    <n v="4403.2"/>
    <n v="2218.1999999999998"/>
    <n v="5418"/>
    <n v="4222.3999999999996"/>
    <n v="5957.2"/>
    <n v="5110.8"/>
    <n v="4721.3999999999996"/>
    <n v="5312.4"/>
    <n v="4505.8"/>
    <n v="4387.8"/>
    <n v="56806.80000000001"/>
    <n v="118"/>
  </r>
  <r>
    <x v="7"/>
    <x v="1"/>
    <x v="0"/>
    <s v="5800200"/>
    <n v="718050"/>
    <s v="Miscellaneous Purchased Svcs"/>
    <s v="Heart&amp;Vascular-Tac-Shared Svc"/>
    <x v="0"/>
    <n v="1020"/>
    <n v="11.34"/>
    <n v="221.72"/>
    <n v="221.72"/>
    <n v="144.88"/>
    <n v="78.37"/>
    <n v="143.37"/>
    <n v="175.81"/>
    <n v="101.06"/>
    <n v="122.22"/>
    <n v="122.22"/>
    <n v="11.35"/>
    <n v="122.28"/>
    <n v="1476.34"/>
    <n v="-110.93"/>
  </r>
  <r>
    <x v="7"/>
    <x v="1"/>
    <x v="0"/>
    <s v="5800200"/>
    <n v="718050"/>
    <s v="Translation Services"/>
    <s v="Heart&amp;Vascular-Tac-Shared Svc"/>
    <x v="0"/>
    <n v="1025"/>
    <n v="4711.5200000000004"/>
    <n v="64"/>
    <n v="4137.93"/>
    <n v="24.49"/>
    <n v="2693"/>
    <n v="2214.48"/>
    <n v="1738.39"/>
    <n v="2970"/>
    <n v="0"/>
    <n v="1554.22"/>
    <n v="1183"/>
    <n v="31.46"/>
    <n v="21322.489999999998"/>
    <n v="1151.54"/>
  </r>
  <r>
    <x v="7"/>
    <x v="1"/>
    <x v="0"/>
    <s v="5800200"/>
    <n v="718050"/>
    <s v="Contract Management--Linen"/>
    <s v="Heart&amp;Vascular-Tac-Shared Svc"/>
    <x v="0"/>
    <n v="1026"/>
    <n v="132.94"/>
    <n v="330.16"/>
    <n v="567.67999999999995"/>
    <n v="226.6"/>
    <n v="300.41000000000003"/>
    <n v="366.35"/>
    <n v="315.52999999999997"/>
    <n v="285.45999999999998"/>
    <n v="410.75"/>
    <n v="262.60000000000002"/>
    <n v="262.45999999999998"/>
    <n v="265.8"/>
    <n v="3726.7400000000002"/>
    <n v="-3.3400000000000318"/>
  </r>
  <r>
    <x v="7"/>
    <x v="1"/>
    <x v="0"/>
    <s v="5800200"/>
    <n v="718050"/>
    <s v="Purchased Srvcs--Medical Waste"/>
    <s v="Heart&amp;Vascular-Tac-Shared Svc"/>
    <x v="0"/>
    <n v="1027"/>
    <n v="173.42"/>
    <n v="135.93"/>
    <n v="183.78"/>
    <n v="165.16"/>
    <n v="96.42"/>
    <n v="300.29000000000002"/>
    <n v="181.68"/>
    <n v="301.08999999999997"/>
    <n v="0"/>
    <n v="160.16"/>
    <n v="140.03"/>
    <n v="125.57"/>
    <n v="1963.53"/>
    <n v="14.460000000000008"/>
  </r>
  <r>
    <x v="7"/>
    <x v="1"/>
    <x v="0"/>
    <s v="5800200"/>
    <n v="718070"/>
    <s v="Contract Srvcs-CHI Clinical Engineering"/>
    <s v="Heart&amp;Vascular-Tac-Shared Svc"/>
    <x v="0"/>
    <m/>
    <n v="310.49"/>
    <n v="364.55"/>
    <n v="758.44"/>
    <n v="8463.0499999999993"/>
    <n v="9353.2000000000007"/>
    <n v="1089.94"/>
    <n v="3233.49"/>
    <n v="3682.08"/>
    <n v="2435.59"/>
    <n v="405.09"/>
    <n v="1073.3399999999999"/>
    <n v="279.36"/>
    <n v="31448.62"/>
    <n v="793.9799999999999"/>
  </r>
  <r>
    <x v="11"/>
    <x v="1"/>
    <x v="0"/>
    <s v="5800200"/>
    <n v="721010"/>
    <s v="Supplies-Medical - Billable"/>
    <s v="Heart&amp;Vascular-Tac-Shared Svc"/>
    <x v="0"/>
    <m/>
    <n v="0"/>
    <n v="52.74"/>
    <n v="0"/>
    <n v="0"/>
    <n v="0"/>
    <n v="0"/>
    <n v="0"/>
    <n v="0"/>
    <n v="0"/>
    <n v="0"/>
    <n v="0"/>
    <n v="0"/>
    <n v="52.74"/>
    <n v="0"/>
  </r>
  <r>
    <x v="11"/>
    <x v="1"/>
    <x v="0"/>
    <s v="5800200"/>
    <n v="721050"/>
    <s v="Supplies-Cardiac Rhythm - Billable"/>
    <s v="Heart&amp;Vascular-Tac-Shared Svc"/>
    <x v="0"/>
    <m/>
    <n v="0"/>
    <n v="0"/>
    <n v="0"/>
    <n v="438"/>
    <n v="44.24"/>
    <n v="0"/>
    <n v="0"/>
    <n v="0"/>
    <n v="0"/>
    <n v="0"/>
    <n v="0"/>
    <n v="0"/>
    <n v="482.24"/>
    <n v="0"/>
  </r>
  <r>
    <x v="11"/>
    <x v="1"/>
    <x v="0"/>
    <s v="5800200"/>
    <n v="721250"/>
    <s v="Supplies-Pharmacy Drugs - Billable"/>
    <s v="Heart&amp;Vascular-Tac-Shared Svc"/>
    <x v="0"/>
    <m/>
    <n v="61.7"/>
    <n v="204.36"/>
    <n v="92.08"/>
    <n v="785.87"/>
    <n v="18.89"/>
    <n v="124.39"/>
    <n v="0"/>
    <n v="595.91"/>
    <n v="498.98"/>
    <n v="764.27"/>
    <n v="1337.22"/>
    <n v="1706.9"/>
    <n v="6190.57"/>
    <n v="-369.68000000000006"/>
  </r>
  <r>
    <x v="11"/>
    <x v="1"/>
    <x v="0"/>
    <s v="5800200"/>
    <n v="721410"/>
    <s v="Supplies-Medical - Nonbillable"/>
    <s v="Heart&amp;Vascular-Tac-Shared Svc"/>
    <x v="0"/>
    <m/>
    <n v="1895.61"/>
    <n v="3803.35"/>
    <n v="1803.13"/>
    <n v="3139.71"/>
    <n v="2498.46"/>
    <n v="1477.87"/>
    <n v="3831.34"/>
    <n v="3985.58"/>
    <n v="1268.53"/>
    <n v="978.17"/>
    <n v="648.02"/>
    <n v="3246.19"/>
    <n v="28575.959999999992"/>
    <n v="-2598.17"/>
  </r>
  <r>
    <x v="11"/>
    <x v="1"/>
    <x v="0"/>
    <s v="5800200"/>
    <n v="721810"/>
    <s v="Supplies-Dietary/Cafeteria"/>
    <s v="Heart&amp;Vascular-Tac-Shared Svc"/>
    <x v="0"/>
    <m/>
    <n v="94.28"/>
    <n v="54.58"/>
    <n v="68.13"/>
    <n v="81.63"/>
    <n v="0"/>
    <n v="0"/>
    <n v="0"/>
    <n v="0"/>
    <n v="0"/>
    <n v="0"/>
    <n v="0"/>
    <n v="0"/>
    <n v="298.62"/>
    <n v="0"/>
  </r>
  <r>
    <x v="11"/>
    <x v="1"/>
    <x v="0"/>
    <s v="5800200"/>
    <n v="721830"/>
    <s v="Supplies-Office"/>
    <s v="Heart&amp;Vascular-Tac-Shared Svc"/>
    <x v="0"/>
    <m/>
    <n v="615.85"/>
    <n v="57.4"/>
    <n v="2832.89"/>
    <n v="1215.99"/>
    <n v="3585.3"/>
    <n v="2595.83"/>
    <n v="1308.42"/>
    <n v="1486.71"/>
    <n v="563.86"/>
    <n v="1309.3599999999999"/>
    <n v="1529.33"/>
    <n v="946.06"/>
    <n v="18047.000000000004"/>
    <n v="583.27"/>
  </r>
  <r>
    <x v="11"/>
    <x v="1"/>
    <x v="0"/>
    <s v="5800200"/>
    <n v="721835"/>
    <s v="Supplies-Forms"/>
    <s v="Heart&amp;Vascular-Tac-Shared Svc"/>
    <x v="0"/>
    <m/>
    <n v="0"/>
    <n v="0"/>
    <n v="0"/>
    <n v="0"/>
    <n v="809.98"/>
    <n v="423.2"/>
    <n v="0"/>
    <n v="0"/>
    <n v="688.29"/>
    <n v="398.8"/>
    <n v="78.69"/>
    <n v="413.7"/>
    <n v="2812.66"/>
    <n v="-335.01"/>
  </r>
  <r>
    <x v="11"/>
    <x v="1"/>
    <x v="0"/>
    <s v="5800200"/>
    <n v="721910"/>
    <s v="Supplies-Small Equipment"/>
    <s v="Heart&amp;Vascular-Tac-Shared Svc"/>
    <x v="0"/>
    <m/>
    <n v="1461.91"/>
    <n v="0"/>
    <n v="1003.58"/>
    <n v="1272.99"/>
    <n v="72.2"/>
    <n v="500.27"/>
    <n v="0"/>
    <n v="2311.42"/>
    <n v="893.6"/>
    <n v="0"/>
    <n v="2152.36"/>
    <n v="254.65"/>
    <n v="9922.9800000000014"/>
    <n v="1897.71"/>
  </r>
  <r>
    <x v="11"/>
    <x v="1"/>
    <x v="0"/>
    <s v="5800200"/>
    <n v="722000"/>
    <s v="Supplies-Freight Expense"/>
    <s v="Heart&amp;Vascular-Tac-Shared Svc"/>
    <x v="0"/>
    <m/>
    <n v="0"/>
    <n v="151.05000000000001"/>
    <n v="233"/>
    <n v="69.16"/>
    <n v="41.75"/>
    <n v="28.74"/>
    <n v="0"/>
    <n v="0"/>
    <n v="17.23"/>
    <n v="0"/>
    <n v="8.26"/>
    <n v="100.14"/>
    <n v="649.33000000000004"/>
    <n v="-91.88"/>
  </r>
  <r>
    <x v="12"/>
    <x v="1"/>
    <x v="0"/>
    <s v="5800200"/>
    <n v="730010"/>
    <s v="Rental and Leases-Building (DO NOT USE)"/>
    <s v="Heart&amp;Vascular-Tac-Shared Svc"/>
    <x v="0"/>
    <m/>
    <n v="50967.78"/>
    <n v="50967.78"/>
    <n v="50967.78"/>
    <n v="50967.78"/>
    <n v="50967.78"/>
    <n v="-60711.58"/>
    <n v="32133.88"/>
    <n v="32133.88"/>
    <n v="32133.88"/>
    <n v="33966.01"/>
    <n v="34139.86"/>
    <n v="667.33"/>
    <n v="359302.16000000003"/>
    <n v="33472.53"/>
  </r>
  <r>
    <x v="12"/>
    <x v="1"/>
    <x v="0"/>
    <s v="5800200"/>
    <n v="730010"/>
    <s v="Rental-Common Area Maint (DO NOT USE)"/>
    <s v="Heart&amp;Vascular-Tac-Shared Svc"/>
    <x v="0"/>
    <n v="2200"/>
    <n v="0"/>
    <n v="0"/>
    <n v="0"/>
    <n v="0"/>
    <n v="0"/>
    <n v="110781.31"/>
    <n v="18123.830000000002"/>
    <n v="18009.37"/>
    <n v="-812.75"/>
    <n v="18009.37"/>
    <n v="18009.37"/>
    <n v="0"/>
    <n v="182120.5"/>
    <n v="18009.37"/>
  </r>
  <r>
    <x v="12"/>
    <x v="1"/>
    <x v="0"/>
    <s v="5800200"/>
    <n v="730020"/>
    <s v="Rental and Leases-Copier Usage Fees (DO NOT USE)"/>
    <s v="Heart&amp;Vascular-Tac-Shared Svc"/>
    <x v="0"/>
    <n v="5100"/>
    <n v="1103.9100000000001"/>
    <n v="1117.29"/>
    <n v="1110.5999999999999"/>
    <n v="1110.5999999999999"/>
    <n v="1110.5999999999999"/>
    <n v="1110.5999999999999"/>
    <n v="1132.3599999999999"/>
    <n v="965.62"/>
    <n v="979.38"/>
    <n v="1495.29"/>
    <n v="1171.51"/>
    <n v="1119.96"/>
    <n v="13527.720000000001"/>
    <n v="51.549999999999955"/>
  </r>
  <r>
    <x v="12"/>
    <x v="1"/>
    <x v="0"/>
    <s v="5800200"/>
    <n v="730040"/>
    <s v="LT Lease-Real Estate"/>
    <s v="Heart&amp;Vascular-Tac-Shared Svc"/>
    <x v="0"/>
    <m/>
    <n v="0"/>
    <n v="0"/>
    <n v="0"/>
    <n v="0"/>
    <n v="0"/>
    <n v="0"/>
    <n v="0"/>
    <n v="0"/>
    <n v="0"/>
    <n v="0"/>
    <n v="0"/>
    <n v="51481.9"/>
    <n v="51481.9"/>
    <n v="-51481.9"/>
  </r>
  <r>
    <x v="15"/>
    <x v="1"/>
    <x v="0"/>
    <s v="5800200"/>
    <n v="731060"/>
    <s v="Telephone"/>
    <s v="Heart&amp;Vascular-Tac-Shared Svc"/>
    <x v="0"/>
    <m/>
    <n v="209.67"/>
    <n v="270.87"/>
    <n v="530.79"/>
    <n v="348.66"/>
    <n v="268.75"/>
    <n v="74.52"/>
    <n v="388.62"/>
    <n v="216.79"/>
    <n v="226.98"/>
    <n v="232.95"/>
    <n v="226.93"/>
    <n v="228.66"/>
    <n v="3224.1899999999996"/>
    <n v="-1.7299999999999898"/>
  </r>
  <r>
    <x v="15"/>
    <x v="1"/>
    <x v="0"/>
    <s v="5800200"/>
    <n v="731060"/>
    <s v="Pagers"/>
    <s v="Heart&amp;Vascular-Tac-Shared Svc"/>
    <x v="0"/>
    <n v="1002"/>
    <n v="120.92"/>
    <n v="52.38"/>
    <n v="100.7"/>
    <n v="73.08"/>
    <n v="89.59"/>
    <n v="0"/>
    <n v="162.4"/>
    <n v="81.2"/>
    <n v="81.2"/>
    <n v="81.2"/>
    <n v="107.49"/>
    <n v="97.44"/>
    <n v="1047.6000000000001"/>
    <n v="10.049999999999997"/>
  </r>
  <r>
    <x v="16"/>
    <x v="1"/>
    <x v="0"/>
    <s v="5800200"/>
    <n v="732030"/>
    <s v="Repairs---Other"/>
    <s v="Heart&amp;Vascular-Tac-Shared Svc"/>
    <x v="0"/>
    <m/>
    <n v="0"/>
    <n v="0"/>
    <n v="0"/>
    <n v="0"/>
    <n v="2651"/>
    <n v="0"/>
    <n v="0"/>
    <n v="0"/>
    <n v="0"/>
    <n v="0"/>
    <n v="0"/>
    <n v="236.18"/>
    <n v="2887.18"/>
    <n v="-236.18"/>
  </r>
  <r>
    <x v="16"/>
    <x v="1"/>
    <x v="0"/>
    <s v="5800200"/>
    <n v="732030"/>
    <s v="Repairs&amp;Maintenance-Bldg Routine"/>
    <s v="Heart&amp;Vascular-Tac-Shared Svc"/>
    <x v="0"/>
    <n v="2300"/>
    <n v="0"/>
    <n v="0"/>
    <n v="0"/>
    <n v="0"/>
    <n v="0"/>
    <n v="0"/>
    <n v="250"/>
    <n v="0"/>
    <n v="0"/>
    <n v="0"/>
    <n v="0"/>
    <n v="0"/>
    <n v="250"/>
    <n v="0"/>
  </r>
  <r>
    <x v="13"/>
    <x v="1"/>
    <x v="0"/>
    <s v="5800200"/>
    <n v="735050"/>
    <s v="Amortization-Leasehold Improvements"/>
    <s v="Heart&amp;Vascular-Tac-Shared Svc"/>
    <x v="0"/>
    <m/>
    <n v="2736.75"/>
    <n v="2736.75"/>
    <n v="2736.75"/>
    <n v="2736.74"/>
    <n v="2736.76"/>
    <n v="2736.73"/>
    <n v="2736.78"/>
    <n v="2736.73"/>
    <n v="2736.79"/>
    <n v="2736.72"/>
    <n v="2736.8"/>
    <n v="2736.72"/>
    <n v="32841.019999999997"/>
    <n v="8.0000000000381988E-2"/>
  </r>
  <r>
    <x v="13"/>
    <x v="1"/>
    <x v="0"/>
    <s v="5800200"/>
    <n v="735060"/>
    <s v="Depreciation-Fixed Equipment"/>
    <s v="Heart&amp;Vascular-Tac-Shared Svc"/>
    <x v="0"/>
    <m/>
    <n v="958.53"/>
    <n v="958.53"/>
    <n v="958.53"/>
    <n v="958.53"/>
    <n v="958.53"/>
    <n v="958.51"/>
    <n v="958.53"/>
    <n v="958.51"/>
    <n v="958.53"/>
    <n v="958.51"/>
    <n v="958.53"/>
    <n v="958.49"/>
    <n v="11502.26"/>
    <n v="3.999999999996362E-2"/>
  </r>
  <r>
    <x v="13"/>
    <x v="1"/>
    <x v="0"/>
    <s v="5800200"/>
    <n v="735070"/>
    <s v="Depreciation-Movable Equipment"/>
    <s v="Heart&amp;Vascular-Tac-Shared Svc"/>
    <x v="0"/>
    <m/>
    <n v="3241.61"/>
    <n v="3295.29"/>
    <n v="3295.32"/>
    <n v="3295.26"/>
    <n v="3295.35"/>
    <n v="3295.23"/>
    <n v="3295.36"/>
    <n v="2823.06"/>
    <n v="2823.24"/>
    <n v="2823.06"/>
    <n v="2823.26"/>
    <n v="2823.05"/>
    <n v="37129.090000000004"/>
    <n v="0.21000000000003638"/>
  </r>
  <r>
    <x v="0"/>
    <x v="1"/>
    <x v="0"/>
    <s v="5800200"/>
    <n v="740010"/>
    <s v="Education-Materials"/>
    <s v="Heart&amp;Vascular-Tac-Shared Svc"/>
    <x v="0"/>
    <m/>
    <n v="0"/>
    <n v="0"/>
    <n v="0"/>
    <n v="60.36"/>
    <n v="0"/>
    <n v="0"/>
    <n v="0"/>
    <n v="0"/>
    <n v="0"/>
    <n v="0"/>
    <n v="0"/>
    <n v="0"/>
    <n v="60.36"/>
    <n v="0"/>
  </r>
  <r>
    <x v="0"/>
    <x v="1"/>
    <x v="0"/>
    <s v="5800200"/>
    <n v="740020"/>
    <s v="Education-Registration Fees"/>
    <s v="Heart&amp;Vascular-Tac-Shared Svc"/>
    <x v="0"/>
    <m/>
    <n v="0"/>
    <n v="640.62"/>
    <n v="458.54"/>
    <n v="213.54"/>
    <n v="213.54"/>
    <n v="213.54"/>
    <n v="210"/>
    <n v="1766"/>
    <n v="647.96"/>
    <n v="45"/>
    <n v="0"/>
    <n v="0"/>
    <n v="4408.74"/>
    <n v="0"/>
  </r>
  <r>
    <x v="0"/>
    <x v="1"/>
    <x v="0"/>
    <s v="5800200"/>
    <n v="742010"/>
    <s v="Postage-Regular"/>
    <s v="Heart&amp;Vascular-Tac-Shared Svc"/>
    <x v="0"/>
    <m/>
    <n v="0"/>
    <n v="120.99"/>
    <n v="0"/>
    <n v="100"/>
    <n v="0"/>
    <n v="0"/>
    <n v="100"/>
    <n v="0"/>
    <n v="0"/>
    <n v="0"/>
    <n v="0"/>
    <n v="0"/>
    <n v="320.99"/>
    <n v="0"/>
  </r>
  <r>
    <x v="0"/>
    <x v="1"/>
    <x v="0"/>
    <s v="5800200"/>
    <n v="742040"/>
    <s v="Freight-Other"/>
    <s v="Heart&amp;Vascular-Tac-Shared Svc"/>
    <x v="0"/>
    <m/>
    <n v="0"/>
    <n v="63.41"/>
    <n v="0"/>
    <n v="12.4"/>
    <n v="0"/>
    <n v="0"/>
    <n v="0"/>
    <n v="0"/>
    <n v="0"/>
    <n v="0"/>
    <n v="0"/>
    <n v="25.46"/>
    <n v="101.27000000000001"/>
    <n v="-25.46"/>
  </r>
  <r>
    <x v="0"/>
    <x v="1"/>
    <x v="0"/>
    <s v="5800200"/>
    <n v="743020"/>
    <s v="Dues--Individual"/>
    <s v="Heart&amp;Vascular-Tac-Shared Svc"/>
    <x v="0"/>
    <m/>
    <n v="0"/>
    <n v="0"/>
    <n v="0"/>
    <n v="0"/>
    <n v="0"/>
    <n v="0"/>
    <n v="0"/>
    <n v="265"/>
    <n v="535"/>
    <n v="0"/>
    <n v="0"/>
    <n v="0"/>
    <n v="800"/>
    <n v="0"/>
  </r>
  <r>
    <x v="0"/>
    <x v="1"/>
    <x v="0"/>
    <s v="5800200"/>
    <n v="743020"/>
    <s v="Provider-Dues"/>
    <s v="Heart&amp;Vascular-Tac-Shared Svc"/>
    <x v="0"/>
    <n v="2200"/>
    <n v="0"/>
    <n v="0"/>
    <n v="2175"/>
    <n v="935"/>
    <n v="0"/>
    <n v="0"/>
    <n v="0"/>
    <n v="0"/>
    <n v="0"/>
    <n v="305"/>
    <n v="0"/>
    <n v="0"/>
    <n v="3415"/>
    <n v="0"/>
  </r>
  <r>
    <x v="0"/>
    <x v="1"/>
    <x v="0"/>
    <s v="5800200"/>
    <n v="743030"/>
    <s v="Subscriptions--Institutional"/>
    <s v="Heart&amp;Vascular-Tac-Shared Svc"/>
    <x v="0"/>
    <m/>
    <n v="0"/>
    <n v="0"/>
    <n v="0"/>
    <n v="0"/>
    <n v="0"/>
    <n v="0"/>
    <n v="39.950000000000003"/>
    <n v="282.11"/>
    <n v="146.94999999999999"/>
    <n v="11665.1"/>
    <n v="0"/>
    <n v="0"/>
    <n v="12134.11"/>
    <n v="0"/>
  </r>
  <r>
    <x v="0"/>
    <x v="1"/>
    <x v="0"/>
    <s v="5800200"/>
    <n v="744012"/>
    <s v="Recruitment-Physician"/>
    <s v="Heart&amp;Vascular-Tac-Shared Svc"/>
    <x v="0"/>
    <m/>
    <n v="385.58"/>
    <n v="0"/>
    <n v="0"/>
    <n v="0"/>
    <n v="0"/>
    <n v="0"/>
    <n v="0"/>
    <n v="0"/>
    <n v="0"/>
    <n v="0"/>
    <n v="0"/>
    <n v="0"/>
    <n v="385.58"/>
    <n v="0"/>
  </r>
  <r>
    <x v="0"/>
    <x v="1"/>
    <x v="0"/>
    <s v="5800200"/>
    <n v="749510"/>
    <s v="Miscellaneous Expenses"/>
    <s v="Heart&amp;Vascular-Tac-Shared Svc"/>
    <x v="0"/>
    <m/>
    <n v="77.069999999999993"/>
    <n v="147.07"/>
    <n v="15.36"/>
    <n v="3571.84"/>
    <n v="-2937.56"/>
    <n v="5752.5"/>
    <n v="120"/>
    <n v="-289.94"/>
    <n v="-5274.78"/>
    <n v="-74.760000000000005"/>
    <n v="-577.5"/>
    <n v="0"/>
    <n v="529.30000000000132"/>
    <n v="-577.5"/>
  </r>
  <r>
    <x v="0"/>
    <x v="1"/>
    <x v="0"/>
    <s v="5800200"/>
    <n v="749510"/>
    <s v="Licenses"/>
    <s v="Heart&amp;Vascular-Tac-Shared Svc"/>
    <x v="0"/>
    <n v="1002"/>
    <n v="0"/>
    <n v="0"/>
    <n v="1325"/>
    <n v="19"/>
    <n v="0"/>
    <n v="310"/>
    <n v="38.75"/>
    <n v="19"/>
    <n v="0"/>
    <n v="25"/>
    <n v="0"/>
    <n v="0"/>
    <n v="1736.75"/>
    <n v="0"/>
  </r>
  <r>
    <x v="0"/>
    <x v="1"/>
    <x v="0"/>
    <s v="5800200"/>
    <n v="749510"/>
    <s v="Uniforms"/>
    <s v="Heart&amp;Vascular-Tac-Shared Svc"/>
    <x v="0"/>
    <n v="1028"/>
    <n v="0"/>
    <n v="154.37"/>
    <n v="0"/>
    <n v="0"/>
    <n v="0"/>
    <n v="0"/>
    <n v="64.44"/>
    <n v="0"/>
    <n v="0"/>
    <n v="0"/>
    <n v="0"/>
    <n v="0"/>
    <n v="218.81"/>
    <n v="0"/>
  </r>
  <r>
    <x v="0"/>
    <x v="1"/>
    <x v="0"/>
    <s v="5800200"/>
    <n v="749510"/>
    <s v="RICE Rewards"/>
    <s v="Heart&amp;Vascular-Tac-Shared Svc"/>
    <x v="0"/>
    <n v="5100"/>
    <n v="0"/>
    <n v="0"/>
    <n v="0"/>
    <n v="0"/>
    <n v="1299.5"/>
    <n v="0"/>
    <n v="0"/>
    <n v="0"/>
    <n v="1299.5"/>
    <n v="1049.9100000000001"/>
    <n v="0"/>
    <n v="0"/>
    <n v="3648.91"/>
    <n v="0"/>
  </r>
  <r>
    <x v="0"/>
    <x v="1"/>
    <x v="0"/>
    <s v="5800200"/>
    <n v="749530"/>
    <s v="Travel"/>
    <s v="Heart&amp;Vascular-Tac-Shared Svc"/>
    <x v="0"/>
    <m/>
    <n v="0"/>
    <n v="0"/>
    <n v="0"/>
    <n v="0"/>
    <n v="0"/>
    <n v="7"/>
    <n v="0"/>
    <n v="0"/>
    <n v="0"/>
    <n v="0"/>
    <n v="0"/>
    <n v="24"/>
    <n v="31"/>
    <n v="-24"/>
  </r>
  <r>
    <x v="0"/>
    <x v="1"/>
    <x v="0"/>
    <s v="5800200"/>
    <n v="749530"/>
    <s v="Mileage"/>
    <s v="Heart&amp;Vascular-Tac-Shared Svc"/>
    <x v="0"/>
    <n v="1001"/>
    <n v="0"/>
    <n v="0"/>
    <n v="0"/>
    <n v="0"/>
    <n v="0"/>
    <n v="0"/>
    <n v="16.82"/>
    <n v="0"/>
    <n v="20.88"/>
    <n v="16.82"/>
    <n v="0"/>
    <n v="67.28"/>
    <n v="121.80000000000001"/>
    <n v="-67.28"/>
  </r>
  <r>
    <x v="0"/>
    <x v="1"/>
    <x v="0"/>
    <s v="5800200"/>
    <n v="749535"/>
    <s v="Meetings"/>
    <s v="Heart&amp;Vascular-Tac-Shared Svc"/>
    <x v="0"/>
    <m/>
    <n v="0"/>
    <n v="766.52"/>
    <n v="0"/>
    <n v="0"/>
    <n v="-766.52"/>
    <n v="0"/>
    <n v="0"/>
    <n v="0"/>
    <n v="0"/>
    <n v="110.91"/>
    <n v="0"/>
    <n v="0"/>
    <n v="110.91"/>
    <n v="0"/>
  </r>
  <r>
    <x v="0"/>
    <x v="1"/>
    <x v="0"/>
    <s v="5800200"/>
    <n v="749550"/>
    <s v="Cash Over/Short"/>
    <s v="Heart&amp;Vascular-Tac-Shared Svc"/>
    <x v="0"/>
    <m/>
    <n v="10"/>
    <n v="0"/>
    <n v="0"/>
    <n v="-10"/>
    <n v="0"/>
    <n v="0"/>
    <n v="0"/>
    <n v="0"/>
    <n v="-10"/>
    <n v="0"/>
    <n v="0"/>
    <n v="0"/>
    <n v="-10"/>
    <n v="0"/>
  </r>
  <r>
    <x v="0"/>
    <x v="1"/>
    <x v="0"/>
    <s v="5800200"/>
    <n v="766010"/>
    <s v="Property Tax"/>
    <s v="Heart&amp;Vascular-Tac-Shared Svc"/>
    <x v="0"/>
    <m/>
    <n v="1645.66"/>
    <n v="1645.66"/>
    <n v="1645.66"/>
    <n v="1645.66"/>
    <n v="1645.66"/>
    <n v="1645.66"/>
    <n v="1645.66"/>
    <n v="1645.66"/>
    <n v="1645.66"/>
    <n v="-536.25"/>
    <n v="1100.2"/>
    <n v="1100.2"/>
    <n v="16475.09"/>
    <n v="0"/>
  </r>
  <r>
    <x v="5"/>
    <x v="1"/>
    <x v="0"/>
    <s v="5801200"/>
    <n v="700014"/>
    <s v="Salaries-Management-Productive"/>
    <s v="Vascular Surg-Tac-Shared Svc"/>
    <x v="0"/>
    <m/>
    <n v="6555.2"/>
    <n v="7538.48"/>
    <n v="6555.2"/>
    <n v="7104.72"/>
    <n v="7481.76"/>
    <n v="4931.16"/>
    <n v="-170.04"/>
    <n v="0"/>
    <n v="0"/>
    <n v="2946.61"/>
    <n v="9186.56"/>
    <n v="6239.92"/>
    <n v="58369.57"/>
    <n v="2946.6399999999994"/>
  </r>
  <r>
    <x v="5"/>
    <x v="1"/>
    <x v="0"/>
    <s v="5801200"/>
    <n v="700014"/>
    <s v="Salaries-Management-Other"/>
    <s v="Vascular Surg-Tac-Shared Svc"/>
    <x v="0"/>
    <n v="2000"/>
    <n v="0"/>
    <n v="0"/>
    <n v="0"/>
    <n v="0"/>
    <n v="0"/>
    <n v="0"/>
    <n v="0"/>
    <n v="0"/>
    <n v="0"/>
    <n v="30.06"/>
    <n v="-0.02"/>
    <n v="0"/>
    <n v="30.04"/>
    <n v="-0.02"/>
  </r>
  <r>
    <x v="5"/>
    <x v="1"/>
    <x v="0"/>
    <s v="5801200"/>
    <n v="700018"/>
    <s v="Salaries-Supervisory-Productive"/>
    <s v="Vascular Surg-Tac-Shared Svc"/>
    <x v="0"/>
    <m/>
    <n v="12666.51"/>
    <n v="12756.33"/>
    <n v="11284.36"/>
    <n v="12922.01"/>
    <n v="13741.03"/>
    <n v="9617.7800000000007"/>
    <n v="14400.79"/>
    <n v="13913.2"/>
    <n v="13280.66"/>
    <n v="15304.51"/>
    <n v="12522.26"/>
    <n v="10940.34"/>
    <n v="153349.78"/>
    <n v="1581.92"/>
  </r>
  <r>
    <x v="5"/>
    <x v="1"/>
    <x v="0"/>
    <s v="5801200"/>
    <n v="700032"/>
    <s v="Salaries-Other Pat Care Providers-Productive"/>
    <s v="Vascular Surg-Tac-Shared Svc"/>
    <x v="0"/>
    <m/>
    <n v="0"/>
    <n v="0"/>
    <n v="0"/>
    <n v="0"/>
    <n v="0"/>
    <n v="0"/>
    <n v="0"/>
    <n v="0"/>
    <n v="0"/>
    <n v="0"/>
    <n v="0"/>
    <n v="165.99"/>
    <n v="165.99"/>
    <n v="-165.99"/>
  </r>
  <r>
    <x v="5"/>
    <x v="1"/>
    <x v="0"/>
    <s v="5801200"/>
    <n v="700034"/>
    <s v="Salaries-Tech/Professional-Productive"/>
    <s v="Vascular Surg-Tac-Shared Svc"/>
    <x v="0"/>
    <m/>
    <n v="147178.34"/>
    <n v="154828.44"/>
    <n v="131715.12"/>
    <n v="161846.45000000001"/>
    <n v="169534.43"/>
    <n v="131509.53"/>
    <n v="163561.24"/>
    <n v="147088.85"/>
    <n v="157110.70000000001"/>
    <n v="155871.21"/>
    <n v="160122.16"/>
    <n v="141327.34"/>
    <n v="1821693.81"/>
    <n v="18794.820000000007"/>
  </r>
  <r>
    <x v="5"/>
    <x v="1"/>
    <x v="0"/>
    <s v="5801200"/>
    <n v="700034"/>
    <s v="Salaries-Tech/Professional-OT"/>
    <s v="Vascular Surg-Tac-Shared Svc"/>
    <x v="0"/>
    <n v="1000"/>
    <n v="258.08"/>
    <n v="246.89"/>
    <n v="-22.64"/>
    <n v="198.22"/>
    <n v="296.88"/>
    <n v="298.69"/>
    <n v="209.8"/>
    <n v="299.79000000000002"/>
    <n v="58.09"/>
    <n v="231.6"/>
    <n v="63.67"/>
    <n v="390.6"/>
    <n v="2529.6699999999996"/>
    <n v="-326.93"/>
  </r>
  <r>
    <x v="5"/>
    <x v="1"/>
    <x v="0"/>
    <s v="5801200"/>
    <n v="700034"/>
    <s v="Salaries-Tech/Professional-Other"/>
    <s v="Vascular Surg-Tac-Shared Svc"/>
    <x v="0"/>
    <n v="2000"/>
    <n v="3223.01"/>
    <n v="1816.71"/>
    <n v="3000.95"/>
    <n v="1173.08"/>
    <n v="1682.33"/>
    <n v="5077.1099999999997"/>
    <n v="2564.1999999999998"/>
    <n v="1161.94"/>
    <n v="1232.7"/>
    <n v="776.36"/>
    <n v="2214.5700000000002"/>
    <n v="2330.21"/>
    <n v="26253.17"/>
    <n v="-115.63999999999987"/>
  </r>
  <r>
    <x v="5"/>
    <x v="1"/>
    <x v="0"/>
    <s v="5801200"/>
    <n v="700038"/>
    <s v="Salaries-Service/Support-Productive"/>
    <s v="Vascular Surg-Tac-Shared Svc"/>
    <x v="0"/>
    <m/>
    <n v="31661.02"/>
    <n v="34243.019999999997"/>
    <n v="24331.69"/>
    <n v="35182.93"/>
    <n v="35324.54"/>
    <n v="23165.89"/>
    <n v="33588.5"/>
    <n v="30027.02"/>
    <n v="22131.63"/>
    <n v="27061.26"/>
    <n v="25588.959999999999"/>
    <n v="36811.839999999997"/>
    <n v="359118.30000000005"/>
    <n v="-11222.879999999997"/>
  </r>
  <r>
    <x v="5"/>
    <x v="1"/>
    <x v="0"/>
    <s v="5801200"/>
    <n v="700038"/>
    <s v="Salaries-Service/Support-OT"/>
    <s v="Vascular Surg-Tac-Shared Svc"/>
    <x v="0"/>
    <n v="1000"/>
    <n v="122.37"/>
    <n v="-9.68"/>
    <n v="5.28"/>
    <n v="142.88"/>
    <n v="148.49"/>
    <n v="246.58"/>
    <n v="240.84"/>
    <n v="-74.62"/>
    <n v="193.78"/>
    <n v="74.59"/>
    <n v="765.81"/>
    <n v="-153.44999999999999"/>
    <n v="1702.87"/>
    <n v="919.26"/>
  </r>
  <r>
    <x v="5"/>
    <x v="1"/>
    <x v="0"/>
    <s v="5801200"/>
    <n v="700038"/>
    <s v="Salaries-Service/Support-Other"/>
    <s v="Vascular Surg-Tac-Shared Svc"/>
    <x v="0"/>
    <n v="2000"/>
    <n v="0"/>
    <n v="0"/>
    <n v="0"/>
    <n v="30"/>
    <n v="0"/>
    <n v="0"/>
    <n v="30.05"/>
    <n v="-0.01"/>
    <n v="0"/>
    <n v="0"/>
    <n v="30.08"/>
    <n v="30"/>
    <n v="120.12"/>
    <n v="7.9999999999998295E-2"/>
  </r>
  <r>
    <x v="5"/>
    <x v="1"/>
    <x v="0"/>
    <s v="5801200"/>
    <n v="700054"/>
    <s v="Salaries-Management-Non-productive"/>
    <s v="Vascular Surg-Tac-Shared Svc"/>
    <x v="0"/>
    <m/>
    <n v="655.52"/>
    <n v="0"/>
    <n v="0"/>
    <n v="655.52"/>
    <n v="0"/>
    <n v="2210.52"/>
    <n v="-170.04"/>
    <n v="0"/>
    <n v="0"/>
    <n v="0"/>
    <n v="0"/>
    <n v="346.66"/>
    <n v="3698.18"/>
    <n v="-346.66"/>
  </r>
  <r>
    <x v="5"/>
    <x v="1"/>
    <x v="0"/>
    <s v="5801200"/>
    <n v="700054"/>
    <s v="Salaries-Management-NonProd-Other"/>
    <s v="Vascular Surg-Tac-Shared Svc"/>
    <x v="0"/>
    <n v="2000"/>
    <n v="0"/>
    <n v="0"/>
    <n v="0"/>
    <n v="0"/>
    <n v="0"/>
    <n v="1451.21"/>
    <n v="-1451.21"/>
    <n v="0"/>
    <n v="0"/>
    <n v="0"/>
    <n v="0"/>
    <n v="0"/>
    <n v="0"/>
    <n v="0"/>
  </r>
  <r>
    <x v="5"/>
    <x v="1"/>
    <x v="0"/>
    <s v="5801200"/>
    <n v="700058"/>
    <s v="Salaries-Supervisory-Non-productive"/>
    <s v="Vascular Surg-Tac-Shared Svc"/>
    <x v="0"/>
    <m/>
    <n v="2200.1999999999998"/>
    <n v="2786.16"/>
    <n v="2230.84"/>
    <n v="2960.29"/>
    <n v="1541.07"/>
    <n v="4969.6400000000003"/>
    <n v="1600.42"/>
    <n v="0"/>
    <n v="1328.2"/>
    <n v="0.01"/>
    <n v="3477.93"/>
    <n v="2972.86"/>
    <n v="26067.620000000003"/>
    <n v="505.06999999999971"/>
  </r>
  <r>
    <x v="5"/>
    <x v="1"/>
    <x v="0"/>
    <s v="5801200"/>
    <n v="700074"/>
    <s v="Salaries-Tech/Professional-Non-productive"/>
    <s v="Vascular Surg-Tac-Shared Svc"/>
    <x v="0"/>
    <m/>
    <n v="25292.14"/>
    <n v="26014.65"/>
    <n v="25400.51"/>
    <n v="20288.900000000001"/>
    <n v="8721.23"/>
    <n v="35417.300000000003"/>
    <n v="22672.35"/>
    <n v="11915.03"/>
    <n v="6708"/>
    <n v="15867.34"/>
    <n v="23275"/>
    <n v="17684.02"/>
    <n v="239256.47"/>
    <n v="5590.98"/>
  </r>
  <r>
    <x v="5"/>
    <x v="1"/>
    <x v="0"/>
    <s v="5801200"/>
    <n v="700074"/>
    <s v="Salaries-Tech/Professional-NonProd-Other"/>
    <s v="Vascular Surg-Ta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01200"/>
    <n v="700078"/>
    <s v="Salaries-Service/Support-Non-productive"/>
    <s v="Vascular Surg-Tac-Shared Svc"/>
    <x v="0"/>
    <m/>
    <n v="5337.46"/>
    <n v="3932.07"/>
    <n v="5567.93"/>
    <n v="3648.46"/>
    <n v="4698.12"/>
    <n v="9414.19"/>
    <n v="4602.7299999999996"/>
    <n v="4512.34"/>
    <n v="4567.66"/>
    <n v="2931.62"/>
    <n v="1985.49"/>
    <n v="4612.07"/>
    <n v="55810.140000000007"/>
    <n v="-2626.58"/>
  </r>
  <r>
    <x v="5"/>
    <x v="1"/>
    <x v="0"/>
    <s v="5801200"/>
    <n v="700078"/>
    <s v="Salaries-Service/Support-NonProd-Other"/>
    <s v="Vascular Surg-Tac-Shared Svc"/>
    <x v="0"/>
    <n v="2000"/>
    <n v="0"/>
    <n v="0"/>
    <n v="0"/>
    <n v="0"/>
    <n v="1982.46"/>
    <n v="2033.7"/>
    <n v="0"/>
    <n v="-4016.16"/>
    <n v="0"/>
    <n v="0"/>
    <n v="0"/>
    <n v="0"/>
    <n v="0"/>
    <n v="0"/>
  </r>
  <r>
    <x v="5"/>
    <x v="1"/>
    <x v="0"/>
    <s v="5801200"/>
    <n v="700084"/>
    <s v="Accrued PTO"/>
    <s v="Vascular Surg-Tac-Shared Svc"/>
    <x v="0"/>
    <m/>
    <n v="-3501.13"/>
    <n v="-3479.9"/>
    <n v="-5727.11"/>
    <n v="6563.46"/>
    <n v="13102.95"/>
    <n v="-12742.45"/>
    <n v="-3620.76"/>
    <n v="9498.81"/>
    <n v="12124.99"/>
    <n v="7038.34"/>
    <n v="8779.99"/>
    <n v="5094.7299999999996"/>
    <n v="33131.919999999998"/>
    <n v="3685.26"/>
  </r>
  <r>
    <x v="6"/>
    <x v="1"/>
    <x v="0"/>
    <s v="5801200"/>
    <n v="713010"/>
    <s v="Benefits-FICA/Medicare"/>
    <s v="Vascular Surg-Tac-Shared Svc"/>
    <x v="0"/>
    <m/>
    <n v="17471.03"/>
    <n v="18243.09"/>
    <n v="15590.3"/>
    <n v="18276.939999999999"/>
    <n v="18634.11"/>
    <n v="17328.759999999998"/>
    <n v="18205.12"/>
    <n v="15535.27"/>
    <n v="15516.3"/>
    <n v="16415.88"/>
    <n v="17818.27"/>
    <n v="16548.330000000002"/>
    <n v="205583.39999999997"/>
    <n v="1269.9399999999987"/>
  </r>
  <r>
    <x v="6"/>
    <x v="1"/>
    <x v="0"/>
    <s v="5801200"/>
    <n v="713090"/>
    <s v="Benefits-Allocated Amounts"/>
    <s v="Vascular Surg-Tac-Shared Svc"/>
    <x v="0"/>
    <m/>
    <n v="41726.67"/>
    <n v="38130.78"/>
    <n v="39078.699999999997"/>
    <n v="41333.480000000003"/>
    <n v="42312.160000000003"/>
    <n v="40966.17"/>
    <n v="47246.95"/>
    <n v="44791.87"/>
    <n v="40937.550000000003"/>
    <n v="40993.03"/>
    <n v="41865.31"/>
    <n v="45910.35"/>
    <n v="505293.01999999996"/>
    <n v="-4045.0400000000009"/>
  </r>
  <r>
    <x v="7"/>
    <x v="1"/>
    <x v="0"/>
    <s v="5801200"/>
    <n v="718010"/>
    <s v="Media/Print Advertising"/>
    <s v="Vascular Surg-Tac-Shared Svc"/>
    <x v="0"/>
    <n v="1004"/>
    <n v="0"/>
    <n v="0"/>
    <n v="9.36"/>
    <n v="27.53"/>
    <n v="0"/>
    <n v="0"/>
    <n v="0"/>
    <n v="0"/>
    <n v="0"/>
    <n v="0"/>
    <n v="0"/>
    <n v="0"/>
    <n v="36.89"/>
    <n v="0"/>
  </r>
  <r>
    <x v="7"/>
    <x v="1"/>
    <x v="0"/>
    <s v="5801200"/>
    <n v="718050"/>
    <s v="Contract Svcs-Other"/>
    <s v="Vascular Surg-Tac-Shared Svc"/>
    <x v="0"/>
    <m/>
    <n v="594.29"/>
    <n v="1189.79"/>
    <n v="578.73"/>
    <n v="311.27"/>
    <n v="2630.25"/>
    <n v="36.93"/>
    <n v="784.76"/>
    <n v="569.02"/>
    <n v="352.15"/>
    <n v="741.25"/>
    <n v="235.11"/>
    <n v="212.73"/>
    <n v="8236.2800000000007"/>
    <n v="22.380000000000024"/>
  </r>
  <r>
    <x v="7"/>
    <x v="1"/>
    <x v="0"/>
    <s v="5801200"/>
    <n v="718050"/>
    <s v="Management Fees"/>
    <s v="Vascular Surg-Tac-Shared Svc"/>
    <x v="0"/>
    <n v="1004"/>
    <n v="0"/>
    <n v="0"/>
    <n v="0"/>
    <n v="91.58"/>
    <n v="0"/>
    <n v="0"/>
    <n v="0"/>
    <n v="0"/>
    <n v="0"/>
    <n v="0"/>
    <n v="0"/>
    <n v="0"/>
    <n v="91.58"/>
    <n v="0"/>
  </r>
  <r>
    <x v="7"/>
    <x v="1"/>
    <x v="0"/>
    <s v="5801200"/>
    <n v="718050"/>
    <s v="Cleaning Services"/>
    <s v="Vascular Surg-Tac-Shared Svc"/>
    <x v="0"/>
    <n v="1011"/>
    <n v="669.9"/>
    <n v="1024.6500000000001"/>
    <n v="1024.6500000000001"/>
    <n v="70.95"/>
    <n v="0"/>
    <n v="0"/>
    <n v="0"/>
    <n v="0"/>
    <n v="0"/>
    <n v="0"/>
    <n v="0"/>
    <n v="0"/>
    <n v="2790.15"/>
    <n v="0"/>
  </r>
  <r>
    <x v="7"/>
    <x v="1"/>
    <x v="0"/>
    <s v="5801200"/>
    <n v="718050"/>
    <s v="Document Shredding/Storage"/>
    <s v="Vascular Surg-Tac-Shared Svc"/>
    <x v="0"/>
    <n v="1012"/>
    <n v="106.33"/>
    <n v="63.6"/>
    <n v="70.989999999999995"/>
    <n v="79.03"/>
    <n v="87.82"/>
    <n v="90.18"/>
    <n v="89.27"/>
    <n v="118.74"/>
    <n v="102.95"/>
    <n v="78.33"/>
    <n v="105.43"/>
    <n v="61.79"/>
    <n v="1054.46"/>
    <n v="43.640000000000008"/>
  </r>
  <r>
    <x v="7"/>
    <x v="1"/>
    <x v="0"/>
    <s v="5801200"/>
    <n v="718050"/>
    <s v="Physician Answering"/>
    <s v="Vascular Surg-Tac-Shared Svc"/>
    <x v="0"/>
    <n v="1015"/>
    <n v="1564.6"/>
    <n v="2010.2"/>
    <n v="1444.6"/>
    <n v="722"/>
    <n v="2042.6"/>
    <n v="1622.4"/>
    <n v="2292.4"/>
    <n v="1907"/>
    <n v="1764.2"/>
    <n v="2108.8000000000002"/>
    <n v="2144.8000000000002"/>
    <n v="1914.8"/>
    <n v="21538.399999999998"/>
    <n v="230.00000000000023"/>
  </r>
  <r>
    <x v="7"/>
    <x v="1"/>
    <x v="0"/>
    <s v="5801200"/>
    <n v="718050"/>
    <s v="Miscellaneous Purchased Svcs"/>
    <s v="Vascular Surg-Tac-Shared Svc"/>
    <x v="0"/>
    <n v="1020"/>
    <n v="0"/>
    <n v="57.75"/>
    <n v="57.75"/>
    <n v="347.64"/>
    <n v="0"/>
    <n v="464.37"/>
    <n v="325.69"/>
    <n v="377.57"/>
    <n v="592.52"/>
    <n v="208.75"/>
    <n v="99.24"/>
    <n v="956.16"/>
    <n v="3487.4399999999996"/>
    <n v="-856.92"/>
  </r>
  <r>
    <x v="7"/>
    <x v="1"/>
    <x v="0"/>
    <s v="5801200"/>
    <n v="718050"/>
    <s v="Translation Services"/>
    <s v="Vascular Surg-Tac-Shared Svc"/>
    <x v="0"/>
    <n v="1025"/>
    <n v="508.01"/>
    <n v="570.48"/>
    <n v="368.36"/>
    <n v="397.03"/>
    <n v="445.52"/>
    <n v="1236.33"/>
    <n v="720.93"/>
    <n v="982.08"/>
    <n v="0"/>
    <n v="1140.03"/>
    <n v="965.5"/>
    <n v="338.74"/>
    <n v="7673.0099999999993"/>
    <n v="626.76"/>
  </r>
  <r>
    <x v="7"/>
    <x v="1"/>
    <x v="0"/>
    <s v="5801200"/>
    <n v="718050"/>
    <s v="Contract Management--Linen"/>
    <s v="Vascular Surg-Tac-Shared Svc"/>
    <x v="0"/>
    <n v="1026"/>
    <n v="524.34"/>
    <n v="3238.91"/>
    <n v="2355.59"/>
    <n v="1636.06"/>
    <n v="2455.5500000000002"/>
    <n v="1344.1"/>
    <n v="2974.79"/>
    <n v="2617.52"/>
    <n v="2459.7199999999998"/>
    <n v="1232.83"/>
    <n v="722.7"/>
    <n v="2287.7199999999998"/>
    <n v="23849.830000000005"/>
    <n v="-1565.0199999999998"/>
  </r>
  <r>
    <x v="7"/>
    <x v="1"/>
    <x v="0"/>
    <s v="5801200"/>
    <n v="718050"/>
    <s v="Purchased Srvcs--Medical Waste"/>
    <s v="Vascular Surg-Tac-Shared Svc"/>
    <x v="0"/>
    <n v="1027"/>
    <n v="140.24"/>
    <n v="107.56"/>
    <n v="97.2"/>
    <n v="10.36"/>
    <n v="107.56"/>
    <n v="107.56"/>
    <n v="204.76"/>
    <n v="97.2"/>
    <n v="0"/>
    <n v="239.4"/>
    <n v="0"/>
    <n v="445.1"/>
    <n v="1556.94"/>
    <n v="-445.1"/>
  </r>
  <r>
    <x v="7"/>
    <x v="1"/>
    <x v="0"/>
    <s v="5801200"/>
    <n v="718070"/>
    <s v="Contract Srvcs-CHI Clinical Engineering"/>
    <s v="Vascular Surg-Tac-Shared Svc"/>
    <x v="0"/>
    <m/>
    <n v="1101.95"/>
    <n v="3094.5"/>
    <n v="9523.0300000000007"/>
    <n v="1032.54"/>
    <n v="933.98"/>
    <n v="7871.77"/>
    <n v="4462.28"/>
    <n v="10161.94"/>
    <n v="10909.73"/>
    <n v="2962.39"/>
    <n v="7067.56"/>
    <n v="6348.56"/>
    <n v="65470.229999999996"/>
    <n v="719"/>
  </r>
  <r>
    <x v="7"/>
    <x v="1"/>
    <x v="0"/>
    <s v="5801200"/>
    <n v="718077"/>
    <s v="PACS"/>
    <s v="Vascular Surg-Tac-Shared Svc"/>
    <x v="0"/>
    <n v="1000"/>
    <n v="3668.21"/>
    <n v="3858.19"/>
    <n v="3511.87"/>
    <n v="4006.29"/>
    <n v="3660.72"/>
    <n v="3541.79"/>
    <n v="4045.95"/>
    <n v="3374.99"/>
    <n v="4061.65"/>
    <n v="4011.53"/>
    <n v="4146.17"/>
    <n v="3769.19"/>
    <n v="45656.55"/>
    <n v="376.98"/>
  </r>
  <r>
    <x v="11"/>
    <x v="1"/>
    <x v="0"/>
    <s v="5801200"/>
    <n v="721050"/>
    <s v="Supplies-Cardiac Rhythm - Billable"/>
    <s v="Vascular Surg-Tac-Shared Svc"/>
    <x v="0"/>
    <m/>
    <n v="0"/>
    <n v="0"/>
    <n v="0"/>
    <n v="0"/>
    <n v="0"/>
    <n v="0"/>
    <n v="9195"/>
    <n v="8196.94"/>
    <n v="-30.7"/>
    <n v="0"/>
    <n v="463.95"/>
    <n v="0"/>
    <n v="17825.190000000002"/>
    <n v="463.95"/>
  </r>
  <r>
    <x v="11"/>
    <x v="1"/>
    <x v="0"/>
    <s v="5801200"/>
    <n v="721250"/>
    <s v="Supplies-Pharmacy Drugs - Billable"/>
    <s v="Vascular Surg-Tac-Shared Svc"/>
    <x v="0"/>
    <m/>
    <n v="0"/>
    <n v="0"/>
    <n v="0"/>
    <n v="0"/>
    <n v="0"/>
    <n v="0"/>
    <n v="423"/>
    <n v="0"/>
    <n v="0"/>
    <n v="0"/>
    <n v="-1371.35"/>
    <n v="0"/>
    <n v="-948.34999999999991"/>
    <n v="-1371.35"/>
  </r>
  <r>
    <x v="11"/>
    <x v="1"/>
    <x v="0"/>
    <s v="5801200"/>
    <n v="721410"/>
    <s v="Supplies-Medical - Nonbillable"/>
    <s v="Vascular Surg-Tac-Shared Svc"/>
    <x v="0"/>
    <m/>
    <n v="43.42"/>
    <n v="902.8"/>
    <n v="12.4"/>
    <n v="68.97"/>
    <n v="479.25"/>
    <n v="0"/>
    <n v="63.35"/>
    <n v="129.09"/>
    <n v="106.32"/>
    <n v="953.45"/>
    <n v="0"/>
    <n v="450.15"/>
    <n v="3209.2"/>
    <n v="-450.15"/>
  </r>
  <r>
    <x v="11"/>
    <x v="1"/>
    <x v="0"/>
    <s v="5801200"/>
    <n v="721410"/>
    <s v="Patient Monitoring"/>
    <s v="Vascular Surg-Tac-Shared Svc"/>
    <x v="0"/>
    <n v="1000"/>
    <n v="0"/>
    <n v="0"/>
    <n v="0"/>
    <n v="39.64"/>
    <n v="0"/>
    <n v="0"/>
    <n v="0"/>
    <n v="0"/>
    <n v="0"/>
    <n v="0"/>
    <n v="0"/>
    <n v="0"/>
    <n v="39.64"/>
    <n v="0"/>
  </r>
  <r>
    <x v="11"/>
    <x v="1"/>
    <x v="0"/>
    <s v="5801200"/>
    <n v="721810"/>
    <s v="Supplies-Dietary/Cafeteria"/>
    <s v="Vascular Surg-Tac-Shared Svc"/>
    <x v="0"/>
    <m/>
    <n v="39.14"/>
    <n v="36.08"/>
    <n v="25.62"/>
    <n v="40.99"/>
    <n v="33.130000000000003"/>
    <n v="31.13"/>
    <n v="7.71"/>
    <n v="23.98"/>
    <n v="8"/>
    <n v="45.38"/>
    <n v="309.56"/>
    <n v="470.49"/>
    <n v="1071.21"/>
    <n v="-160.93"/>
  </r>
  <r>
    <x v="11"/>
    <x v="1"/>
    <x v="0"/>
    <s v="5801200"/>
    <n v="721830"/>
    <s v="Supplies-Office"/>
    <s v="Vascular Surg-Tac-Shared Svc"/>
    <x v="0"/>
    <m/>
    <n v="1200.74"/>
    <n v="846.22"/>
    <n v="958.64"/>
    <n v="810.54"/>
    <n v="738.85"/>
    <n v="1089.5899999999999"/>
    <n v="2002.17"/>
    <n v="1180.5999999999999"/>
    <n v="1464.79"/>
    <n v="1076.19"/>
    <n v="1441.58"/>
    <n v="1140.8399999999999"/>
    <n v="13950.75"/>
    <n v="300.74"/>
  </r>
  <r>
    <x v="11"/>
    <x v="1"/>
    <x v="0"/>
    <s v="5801200"/>
    <n v="721835"/>
    <s v="Supplies-Forms"/>
    <s v="Vascular Surg-Tac-Shared Svc"/>
    <x v="0"/>
    <m/>
    <n v="0"/>
    <n v="0"/>
    <n v="0"/>
    <n v="0"/>
    <n v="167.48"/>
    <n v="12"/>
    <n v="41.3"/>
    <n v="0"/>
    <n v="572.9"/>
    <n v="0"/>
    <n v="4"/>
    <n v="39.979999999999997"/>
    <n v="837.66"/>
    <n v="-35.979999999999997"/>
  </r>
  <r>
    <x v="11"/>
    <x v="1"/>
    <x v="0"/>
    <s v="5801200"/>
    <n v="721870"/>
    <s v="Supplies-Environmental Services"/>
    <s v="Vascular Surg-Tac-Shared Svc"/>
    <x v="0"/>
    <m/>
    <n v="75.61"/>
    <n v="94.42"/>
    <n v="1162.76"/>
    <n v="0"/>
    <n v="914.93"/>
    <n v="669.9"/>
    <n v="2142.5700000000002"/>
    <n v="669.9"/>
    <n v="564.54999999999995"/>
    <n v="1064.95"/>
    <n v="1163.05"/>
    <n v="2009.96"/>
    <n v="10532.599999999999"/>
    <n v="-846.91000000000008"/>
  </r>
  <r>
    <x v="11"/>
    <x v="1"/>
    <x v="0"/>
    <s v="5801200"/>
    <n v="721910"/>
    <s v="Supplies-Small Equipment"/>
    <s v="Vascular Surg-Tac-Shared Svc"/>
    <x v="0"/>
    <m/>
    <n v="367"/>
    <n v="642.63"/>
    <n v="1934.25"/>
    <n v="2958.34"/>
    <n v="299.13"/>
    <n v="45"/>
    <n v="2021.23"/>
    <n v="0"/>
    <n v="0"/>
    <n v="-25.95"/>
    <n v="100.5"/>
    <n v="0"/>
    <n v="8342.1299999999992"/>
    <n v="100.5"/>
  </r>
  <r>
    <x v="11"/>
    <x v="1"/>
    <x v="0"/>
    <s v="5801200"/>
    <n v="722000"/>
    <s v="Supplies-Freight Expense"/>
    <s v="Vascular Surg-Tac-Shared Svc"/>
    <x v="0"/>
    <m/>
    <n v="0"/>
    <n v="80.3"/>
    <n v="0"/>
    <n v="12.41"/>
    <n v="52.04"/>
    <n v="0"/>
    <n v="20.190000000000001"/>
    <n v="21.25"/>
    <n v="0"/>
    <n v="0"/>
    <n v="0"/>
    <n v="0"/>
    <n v="186.19"/>
    <n v="0"/>
  </r>
  <r>
    <x v="12"/>
    <x v="1"/>
    <x v="0"/>
    <s v="5801200"/>
    <n v="730010"/>
    <s v="Rental and Leases-Building (DO NOT USE)"/>
    <s v="Vascular Surg-Tac-Shared Svc"/>
    <x v="0"/>
    <m/>
    <n v="36748.129999999997"/>
    <n v="36672.06"/>
    <n v="36672.06"/>
    <n v="36672.06"/>
    <n v="36672.06"/>
    <n v="-40701.46"/>
    <n v="23718"/>
    <n v="24097.3"/>
    <n v="23907.65"/>
    <n v="24513"/>
    <n v="24607.91"/>
    <n v="0"/>
    <n v="263578.76999999996"/>
    <n v="24607.91"/>
  </r>
  <r>
    <x v="12"/>
    <x v="1"/>
    <x v="0"/>
    <s v="5801200"/>
    <n v="730010"/>
    <s v="Rental-Common Area Maint (DO NOT USE)"/>
    <s v="Vascular Surg-Tac-Shared Svc"/>
    <x v="0"/>
    <n v="2200"/>
    <n v="0"/>
    <n v="0"/>
    <n v="0"/>
    <n v="0"/>
    <n v="0"/>
    <n v="76974"/>
    <n v="12673.06"/>
    <n v="12613.8"/>
    <n v="2362.3200000000002"/>
    <n v="12613.8"/>
    <n v="12613.8"/>
    <n v="0"/>
    <n v="129850.78000000001"/>
    <n v="12613.8"/>
  </r>
  <r>
    <x v="12"/>
    <x v="1"/>
    <x v="0"/>
    <s v="5801200"/>
    <n v="730020"/>
    <s v="Rental and Leases-Equipment (DO NOT USE)"/>
    <s v="Vascular Surg-Tac-Shared Svc"/>
    <x v="0"/>
    <m/>
    <n v="0"/>
    <n v="0"/>
    <n v="0"/>
    <n v="13526.4"/>
    <n v="35900.33"/>
    <n v="0"/>
    <n v="0"/>
    <n v="0"/>
    <n v="0"/>
    <n v="0"/>
    <n v="0"/>
    <n v="0"/>
    <n v="49426.73"/>
    <n v="0"/>
  </r>
  <r>
    <x v="12"/>
    <x v="1"/>
    <x v="0"/>
    <s v="5801200"/>
    <n v="730020"/>
    <s v="Rental and Leases-Copier Usage Fees (DO NOT USE)"/>
    <s v="Vascular Surg-Tac-Shared Svc"/>
    <x v="0"/>
    <n v="5100"/>
    <n v="1236.8900000000001"/>
    <n v="1254.5"/>
    <n v="1245.69"/>
    <n v="1245.69"/>
    <n v="1245.69"/>
    <n v="1245.69"/>
    <n v="-888.76"/>
    <n v="894.67"/>
    <n v="890.98"/>
    <n v="1856.65"/>
    <n v="1037.8800000000001"/>
    <n v="1011.85"/>
    <n v="12277.42"/>
    <n v="26.030000000000086"/>
  </r>
  <r>
    <x v="12"/>
    <x v="1"/>
    <x v="0"/>
    <s v="5801200"/>
    <n v="730040"/>
    <s v="LT Lease-Real Estate"/>
    <s v="Vascular Surg-Tac-Shared Svc"/>
    <x v="0"/>
    <m/>
    <n v="0"/>
    <n v="0"/>
    <n v="0"/>
    <n v="0"/>
    <n v="0"/>
    <n v="0"/>
    <n v="0"/>
    <n v="0"/>
    <n v="0"/>
    <n v="0"/>
    <n v="0"/>
    <n v="37146.620000000003"/>
    <n v="37146.620000000003"/>
    <n v="-37146.620000000003"/>
  </r>
  <r>
    <x v="15"/>
    <x v="1"/>
    <x v="0"/>
    <s v="5801200"/>
    <n v="731060"/>
    <s v="Telephone"/>
    <s v="Vascular Surg-Tac-Shared Svc"/>
    <x v="0"/>
    <m/>
    <n v="0"/>
    <n v="385.35"/>
    <n v="0"/>
    <n v="350"/>
    <n v="35.35"/>
    <n v="175"/>
    <n v="175"/>
    <n v="17.68"/>
    <n v="0"/>
    <n v="0"/>
    <n v="0"/>
    <n v="0"/>
    <n v="1138.3800000000001"/>
    <n v="0"/>
  </r>
  <r>
    <x v="15"/>
    <x v="1"/>
    <x v="0"/>
    <s v="5801200"/>
    <n v="731060"/>
    <s v="Pagers"/>
    <s v="Vascular Surg-Tac-Shared Svc"/>
    <x v="0"/>
    <n v="1002"/>
    <n v="436.03"/>
    <n v="401.74"/>
    <n v="414.97"/>
    <n v="410.84"/>
    <n v="446.76"/>
    <n v="0"/>
    <n v="838.72"/>
    <n v="418.96"/>
    <n v="418.96"/>
    <n v="418.96"/>
    <n v="354"/>
    <n v="381.55"/>
    <n v="4941.4900000000007"/>
    <n v="-27.550000000000011"/>
  </r>
  <r>
    <x v="15"/>
    <x v="1"/>
    <x v="0"/>
    <s v="5801200"/>
    <n v="731070"/>
    <s v="Cable TV"/>
    <s v="Vascular Surg-Tac-Shared Svc"/>
    <x v="0"/>
    <m/>
    <n v="253.24"/>
    <n v="253.24"/>
    <n v="253.24"/>
    <n v="253.2"/>
    <n v="264.98"/>
    <n v="264.98"/>
    <n v="264.98"/>
    <n v="264.98"/>
    <n v="264.98"/>
    <n v="264.98"/>
    <n v="265.5"/>
    <n v="265.5"/>
    <n v="3133.8"/>
    <n v="0"/>
  </r>
  <r>
    <x v="16"/>
    <x v="1"/>
    <x v="0"/>
    <s v="5801200"/>
    <n v="732030"/>
    <s v="Repairs---Other"/>
    <s v="Vascular Surg-Tac-Shared Svc"/>
    <x v="0"/>
    <m/>
    <n v="38.51"/>
    <n v="114.65"/>
    <n v="0"/>
    <n v="0"/>
    <n v="0"/>
    <n v="126.48"/>
    <n v="0"/>
    <n v="36.25"/>
    <n v="6.87"/>
    <n v="0"/>
    <n v="0"/>
    <n v="27.27"/>
    <n v="350.03"/>
    <n v="-27.27"/>
  </r>
  <r>
    <x v="16"/>
    <x v="1"/>
    <x v="0"/>
    <s v="5801200"/>
    <n v="732030"/>
    <s v="Repairs&amp;Maintenance-Bldg Routine"/>
    <s v="Vascular Surg-Tac-Shared Svc"/>
    <x v="0"/>
    <n v="2300"/>
    <n v="0"/>
    <n v="88.38"/>
    <n v="93.49"/>
    <n v="83.81"/>
    <n v="105.58"/>
    <n v="0"/>
    <n v="447.02"/>
    <n v="0"/>
    <n v="0"/>
    <n v="0"/>
    <n v="0"/>
    <n v="0"/>
    <n v="818.28"/>
    <n v="0"/>
  </r>
  <r>
    <x v="13"/>
    <x v="1"/>
    <x v="0"/>
    <s v="5801200"/>
    <n v="735050"/>
    <s v="Amortization-Leasehold Improvements"/>
    <s v="Vascular Surg-Tac-Shared Svc"/>
    <x v="0"/>
    <m/>
    <n v="2361.59"/>
    <n v="2361.59"/>
    <n v="2361.6"/>
    <n v="2361.59"/>
    <n v="2361.61"/>
    <n v="2361.59"/>
    <n v="2361.61"/>
    <n v="2361.59"/>
    <n v="2361.61"/>
    <n v="2361.58"/>
    <n v="2361.61"/>
    <n v="2361.58"/>
    <n v="28339.15"/>
    <n v="3.0000000000200089E-2"/>
  </r>
  <r>
    <x v="13"/>
    <x v="1"/>
    <x v="0"/>
    <s v="5801200"/>
    <n v="735060"/>
    <s v="Depreciation-Fixed Equipment"/>
    <s v="Vascular Surg-Tac-Shared Svc"/>
    <x v="0"/>
    <m/>
    <n v="100.98"/>
    <n v="100.98"/>
    <n v="100.98"/>
    <n v="100.97"/>
    <n v="100.98"/>
    <n v="100.97"/>
    <n v="100.98"/>
    <n v="100.97"/>
    <n v="101"/>
    <n v="100.97"/>
    <n v="101"/>
    <n v="100.96"/>
    <n v="1211.7400000000002"/>
    <n v="4.0000000000006253E-2"/>
  </r>
  <r>
    <x v="13"/>
    <x v="1"/>
    <x v="0"/>
    <s v="5801200"/>
    <n v="735070"/>
    <s v="Depreciation-Movable Equipment"/>
    <s v="Vascular Surg-Tac-Shared Svc"/>
    <x v="0"/>
    <m/>
    <n v="13182.3"/>
    <n v="13182.25"/>
    <n v="13182.34"/>
    <n v="13182.22"/>
    <n v="13182.35"/>
    <n v="13182.21"/>
    <n v="13182.42"/>
    <n v="13182.19"/>
    <n v="13182.48"/>
    <n v="13182.18"/>
    <n v="13182.53"/>
    <n v="13182.14"/>
    <n v="158187.60999999999"/>
    <n v="0.39000000000123691"/>
  </r>
  <r>
    <x v="0"/>
    <x v="1"/>
    <x v="0"/>
    <s v="5801200"/>
    <n v="740010"/>
    <s v="Education-Materials"/>
    <s v="Vascular Surg-Tac-Shared Svc"/>
    <x v="0"/>
    <m/>
    <n v="0"/>
    <n v="0"/>
    <n v="0"/>
    <n v="0"/>
    <n v="0"/>
    <n v="0"/>
    <n v="0"/>
    <n v="0"/>
    <n v="0"/>
    <n v="45"/>
    <n v="0"/>
    <n v="0"/>
    <n v="45"/>
    <n v="0"/>
  </r>
  <r>
    <x v="0"/>
    <x v="1"/>
    <x v="0"/>
    <s v="5801200"/>
    <n v="740020"/>
    <s v="Education-Registration Fees"/>
    <s v="Vascular Surg-Tac-Shared Svc"/>
    <x v="0"/>
    <m/>
    <n v="65"/>
    <n v="0"/>
    <n v="0"/>
    <n v="130"/>
    <n v="195"/>
    <n v="0"/>
    <n v="0"/>
    <n v="450"/>
    <n v="0"/>
    <n v="0"/>
    <n v="0"/>
    <n v="0"/>
    <n v="840"/>
    <n v="0"/>
  </r>
  <r>
    <x v="0"/>
    <x v="1"/>
    <x v="0"/>
    <s v="5801200"/>
    <n v="742040"/>
    <s v="Freight-Other"/>
    <s v="Vascular Surg-Tac-Shared Svc"/>
    <x v="0"/>
    <m/>
    <n v="0"/>
    <n v="0"/>
    <n v="0"/>
    <n v="0"/>
    <n v="55.08"/>
    <n v="0"/>
    <n v="0"/>
    <n v="0"/>
    <n v="80.13"/>
    <n v="0"/>
    <n v="48.18"/>
    <n v="0"/>
    <n v="183.39"/>
    <n v="48.18"/>
  </r>
  <r>
    <x v="0"/>
    <x v="1"/>
    <x v="0"/>
    <s v="5801200"/>
    <n v="743020"/>
    <s v="Dues--Individual"/>
    <s v="Vascular Surg-Tac-Shared Svc"/>
    <x v="0"/>
    <m/>
    <n v="0"/>
    <n v="0"/>
    <n v="0"/>
    <n v="0"/>
    <n v="0"/>
    <n v="0"/>
    <n v="2834.75"/>
    <n v="0"/>
    <n v="0"/>
    <n v="0"/>
    <n v="0"/>
    <n v="0"/>
    <n v="2834.75"/>
    <n v="0"/>
  </r>
  <r>
    <x v="0"/>
    <x v="1"/>
    <x v="0"/>
    <s v="5801200"/>
    <n v="743020"/>
    <s v="Provider-Dues"/>
    <s v="Vascular Surg-Tac-Shared Svc"/>
    <x v="0"/>
    <n v="2200"/>
    <n v="0"/>
    <n v="0"/>
    <n v="0"/>
    <n v="0"/>
    <n v="0"/>
    <n v="0"/>
    <n v="624.75"/>
    <n v="0"/>
    <n v="0"/>
    <n v="0"/>
    <n v="0"/>
    <n v="0"/>
    <n v="624.75"/>
    <n v="0"/>
  </r>
  <r>
    <x v="0"/>
    <x v="1"/>
    <x v="0"/>
    <s v="5801200"/>
    <n v="743030"/>
    <s v="Subscriptions--Institutional"/>
    <s v="Vascular Surg-Tac-Shared Svc"/>
    <x v="0"/>
    <m/>
    <n v="0"/>
    <n v="0"/>
    <n v="0"/>
    <n v="0"/>
    <n v="0"/>
    <n v="0"/>
    <n v="274.04000000000002"/>
    <n v="0"/>
    <n v="110.82"/>
    <n v="0"/>
    <n v="53.23"/>
    <n v="0"/>
    <n v="438.09000000000003"/>
    <n v="53.23"/>
  </r>
  <r>
    <x v="0"/>
    <x v="1"/>
    <x v="0"/>
    <s v="5801200"/>
    <n v="749510"/>
    <s v="Miscellaneous Expenses"/>
    <s v="Vascular Surg-Tac-Shared Svc"/>
    <x v="0"/>
    <m/>
    <n v="141.02000000000001"/>
    <n v="86.33"/>
    <n v="-53.15"/>
    <n v="629.24"/>
    <n v="303.63"/>
    <n v="301.29000000000002"/>
    <n v="569.05999999999995"/>
    <n v="-91.74"/>
    <n v="640"/>
    <n v="549.64"/>
    <n v="305.8"/>
    <n v="-6.5"/>
    <n v="3374.6200000000003"/>
    <n v="312.3"/>
  </r>
  <r>
    <x v="0"/>
    <x v="1"/>
    <x v="0"/>
    <s v="5801200"/>
    <n v="749510"/>
    <s v="Licenses"/>
    <s v="Vascular Surg-Tac-Shared Svc"/>
    <x v="0"/>
    <n v="1002"/>
    <n v="0"/>
    <n v="0"/>
    <n v="530"/>
    <n v="65"/>
    <n v="0"/>
    <n v="199"/>
    <n v="38.75"/>
    <n v="0"/>
    <n v="0"/>
    <n v="0"/>
    <n v="0"/>
    <n v="0"/>
    <n v="832.75"/>
    <n v="0"/>
  </r>
  <r>
    <x v="0"/>
    <x v="1"/>
    <x v="0"/>
    <s v="5801200"/>
    <n v="749510"/>
    <s v="Late Payment Penalties &amp; Interest"/>
    <s v="Vascular Surg-Tac-Shared Svc"/>
    <x v="0"/>
    <n v="4600"/>
    <n v="0"/>
    <n v="0"/>
    <n v="0"/>
    <n v="220.16"/>
    <n v="0"/>
    <n v="0"/>
    <n v="0"/>
    <n v="0"/>
    <n v="0"/>
    <n v="0"/>
    <n v="0"/>
    <n v="0"/>
    <n v="220.16"/>
    <n v="0"/>
  </r>
  <r>
    <x v="0"/>
    <x v="1"/>
    <x v="0"/>
    <s v="5801200"/>
    <n v="749510"/>
    <s v="RICE Rewards"/>
    <s v="Vascular Surg-Tac-Shared Svc"/>
    <x v="0"/>
    <n v="5100"/>
    <n v="0"/>
    <n v="0"/>
    <n v="0"/>
    <n v="0"/>
    <n v="0"/>
    <n v="0"/>
    <n v="0"/>
    <n v="0"/>
    <n v="221.74"/>
    <n v="0"/>
    <n v="0"/>
    <n v="0"/>
    <n v="221.74"/>
    <n v="0"/>
  </r>
  <r>
    <x v="0"/>
    <x v="1"/>
    <x v="0"/>
    <s v="5801200"/>
    <n v="749510"/>
    <s v="Other Clinic IT Costs"/>
    <s v="Vascular Surg-Tac-Shared Svc"/>
    <x v="0"/>
    <n v="5105"/>
    <n v="0"/>
    <n v="990"/>
    <n v="0"/>
    <n v="0"/>
    <n v="0"/>
    <n v="0"/>
    <n v="0"/>
    <n v="0"/>
    <n v="0"/>
    <n v="0"/>
    <n v="0"/>
    <n v="0"/>
    <n v="990"/>
    <n v="0"/>
  </r>
  <r>
    <x v="0"/>
    <x v="1"/>
    <x v="0"/>
    <s v="5801200"/>
    <n v="749530"/>
    <s v="Travel"/>
    <s v="Vascular Surg-Tac-Shared Svc"/>
    <x v="0"/>
    <m/>
    <n v="0"/>
    <n v="48"/>
    <n v="22"/>
    <n v="16"/>
    <n v="18"/>
    <n v="5.5"/>
    <n v="5"/>
    <n v="33"/>
    <n v="18"/>
    <n v="0"/>
    <n v="10"/>
    <n v="6"/>
    <n v="181.5"/>
    <n v="4"/>
  </r>
  <r>
    <x v="0"/>
    <x v="1"/>
    <x v="0"/>
    <s v="5801200"/>
    <n v="749530"/>
    <s v="Mileage"/>
    <s v="Vascular Surg-Tac-Shared Svc"/>
    <x v="0"/>
    <n v="1001"/>
    <n v="168.98"/>
    <n v="293.82"/>
    <n v="607.30999999999995"/>
    <n v="82.3"/>
    <n v="269.82"/>
    <n v="278.02"/>
    <n v="92.31"/>
    <n v="328.46"/>
    <n v="405.42"/>
    <n v="370.62"/>
    <n v="444.86"/>
    <n v="552.16"/>
    <n v="3894.0799999999995"/>
    <n v="-107.29999999999995"/>
  </r>
  <r>
    <x v="0"/>
    <x v="1"/>
    <x v="0"/>
    <s v="5801200"/>
    <n v="749550"/>
    <s v="Cash Over/Short"/>
    <s v="Vascular Surg-Tac-Shared Svc"/>
    <x v="0"/>
    <m/>
    <n v="5"/>
    <n v="0"/>
    <n v="0"/>
    <n v="-5"/>
    <n v="0"/>
    <n v="0"/>
    <n v="0"/>
    <n v="0"/>
    <n v="0"/>
    <n v="-5"/>
    <n v="0"/>
    <n v="0"/>
    <n v="-5"/>
    <n v="0"/>
  </r>
  <r>
    <x v="0"/>
    <x v="1"/>
    <x v="0"/>
    <s v="5801200"/>
    <n v="766010"/>
    <s v="Property Tax"/>
    <s v="Vascular Surg-Tac-Shared Svc"/>
    <x v="0"/>
    <m/>
    <n v="1100.28"/>
    <n v="5101.29"/>
    <n v="1100.28"/>
    <n v="-2121.17"/>
    <n v="1100.28"/>
    <n v="1100.28"/>
    <n v="1100.28"/>
    <n v="1100.28"/>
    <n v="1100.28"/>
    <n v="-332.04"/>
    <n v="742.2"/>
    <n v="742.2"/>
    <n v="11834.44"/>
    <n v="0"/>
  </r>
  <r>
    <x v="5"/>
    <x v="0"/>
    <x v="0"/>
    <s v="5802102"/>
    <n v="700026"/>
    <s v="Salaries-RN-Productive"/>
    <s v="St. Francis Center-Weight Mgmt"/>
    <x v="0"/>
    <m/>
    <n v="7575.86"/>
    <n v="4990.6000000000004"/>
    <n v="8119.16"/>
    <n v="6400.05"/>
    <n v="8262.9699999999993"/>
    <n v="5902.4"/>
    <n v="1773.95"/>
    <n v="8221.44"/>
    <n v="8329.11"/>
    <n v="7684.01"/>
    <n v="7603.69"/>
    <n v="3304.97"/>
    <n v="78168.210000000006"/>
    <n v="4298.7199999999993"/>
  </r>
  <r>
    <x v="5"/>
    <x v="0"/>
    <x v="0"/>
    <s v="5802102"/>
    <n v="700038"/>
    <s v="Salaries-Service/Support-Productive"/>
    <s v="St. Francis Center-Weight Mgmt"/>
    <x v="0"/>
    <m/>
    <n v="466.56"/>
    <n v="429.18"/>
    <n v="521.05999999999995"/>
    <n v="962.7"/>
    <n v="383.42"/>
    <n v="3721.61"/>
    <n v="2467.5"/>
    <n v="2590.69"/>
    <n v="3345.52"/>
    <n v="2387.9"/>
    <n v="2797.1"/>
    <n v="2708.09"/>
    <n v="22781.33"/>
    <n v="89.009999999999764"/>
  </r>
  <r>
    <x v="5"/>
    <x v="0"/>
    <x v="0"/>
    <s v="5802102"/>
    <n v="700038"/>
    <s v="Salaries-Service/Support-OT"/>
    <s v="St. Francis Center-Weight Mgmt"/>
    <x v="0"/>
    <n v="1000"/>
    <n v="0"/>
    <n v="0"/>
    <n v="17.14"/>
    <n v="157.38999999999999"/>
    <n v="66.92"/>
    <n v="-65.56"/>
    <n v="0"/>
    <n v="0"/>
    <n v="0"/>
    <n v="0"/>
    <n v="0"/>
    <n v="0"/>
    <n v="175.89"/>
    <n v="0"/>
  </r>
  <r>
    <x v="5"/>
    <x v="0"/>
    <x v="0"/>
    <s v="5802102"/>
    <n v="700038"/>
    <s v="Salaries-Service/Support-Other"/>
    <s v="St. Francis Center-Weight Mgmt"/>
    <x v="0"/>
    <n v="2000"/>
    <n v="0"/>
    <n v="16.57"/>
    <n v="28.69"/>
    <n v="-8.2799999999999994"/>
    <n v="0"/>
    <n v="14.5"/>
    <n v="13.07"/>
    <n v="14.09"/>
    <n v="16.399999999999999"/>
    <n v="22.41"/>
    <n v="-9.33"/>
    <n v="17.89"/>
    <n v="126.01000000000002"/>
    <n v="-27.22"/>
  </r>
  <r>
    <x v="5"/>
    <x v="0"/>
    <x v="0"/>
    <s v="5802102"/>
    <n v="700066"/>
    <s v="Salaries-RN-Non-productive"/>
    <s v="St. Francis Center-Weight Mgmt"/>
    <x v="0"/>
    <m/>
    <n v="439.54"/>
    <n v="3025.16"/>
    <n v="-361.86"/>
    <n v="1858.57"/>
    <n v="-214.61"/>
    <n v="2414.5"/>
    <n v="6555.95"/>
    <n v="-698.42"/>
    <n v="0"/>
    <n v="376.16"/>
    <n v="725.41"/>
    <n v="4755.5600000000004"/>
    <n v="18875.96"/>
    <n v="-4030.1500000000005"/>
  </r>
  <r>
    <x v="5"/>
    <x v="0"/>
    <x v="0"/>
    <s v="5802102"/>
    <n v="700084"/>
    <s v="Accrued PTO"/>
    <s v="St. Francis Center-Weight Mgmt"/>
    <x v="0"/>
    <m/>
    <n v="1293.1400000000001"/>
    <n v="-1197.31"/>
    <n v="612.67999999999995"/>
    <n v="-97.53"/>
    <n v="468.25"/>
    <n v="-202.31"/>
    <n v="1481.41"/>
    <n v="1029.05"/>
    <n v="1535.29"/>
    <n v="1048.73"/>
    <n v="1058.0899999999999"/>
    <n v="-2742.95"/>
    <n v="4286.54"/>
    <n v="3801.04"/>
  </r>
  <r>
    <x v="6"/>
    <x v="0"/>
    <x v="0"/>
    <s v="5802102"/>
    <n v="713010"/>
    <s v="Benefits-FICA/Medicare"/>
    <s v="St. Francis Center-Weight Mgmt"/>
    <x v="0"/>
    <m/>
    <n v="605.25"/>
    <n v="604.24"/>
    <n v="594.24"/>
    <n v="669.73"/>
    <n v="608.36"/>
    <n v="855.91"/>
    <n v="800.57"/>
    <n v="734.6"/>
    <n v="849.76"/>
    <n v="757.64"/>
    <n v="806.55"/>
    <n v="782.28"/>
    <n v="8669.130000000001"/>
    <n v="24.269999999999982"/>
  </r>
  <r>
    <x v="6"/>
    <x v="0"/>
    <x v="0"/>
    <s v="5802102"/>
    <n v="713090"/>
    <s v="Benefits-Allocated Amounts"/>
    <s v="St. Francis Center-Weight Mgmt"/>
    <x v="0"/>
    <m/>
    <n v="1635.33"/>
    <n v="1303.1199999999999"/>
    <n v="1512.5"/>
    <n v="1638.2"/>
    <n v="1475.29"/>
    <n v="2319.84"/>
    <n v="2195.54"/>
    <n v="2141.73"/>
    <n v="2356.2600000000002"/>
    <n v="2202.12"/>
    <n v="2211.5100000000002"/>
    <n v="2156.7800000000002"/>
    <n v="23148.219999999994"/>
    <n v="54.730000000000018"/>
  </r>
  <r>
    <x v="7"/>
    <x v="0"/>
    <x v="0"/>
    <s v="5802102"/>
    <n v="718050"/>
    <s v="Document Shredding/Storage"/>
    <s v="St. Francis Center-Weight Mgmt"/>
    <x v="0"/>
    <n v="1012"/>
    <n v="44.8"/>
    <n v="44.81"/>
    <n v="53.8"/>
    <n v="49.3"/>
    <n v="45.71"/>
    <n v="45.15"/>
    <n v="44.69"/>
    <n v="32.44"/>
    <n v="39.72"/>
    <n v="66.97"/>
    <n v="48.67"/>
    <n v="48.47"/>
    <n v="564.53"/>
    <n v="0.20000000000000284"/>
  </r>
  <r>
    <x v="11"/>
    <x v="0"/>
    <x v="0"/>
    <s v="5802102"/>
    <n v="721810"/>
    <s v="Supplies-Dietary/Cafeteria"/>
    <s v="St. Francis Center-Weight Mgmt"/>
    <x v="0"/>
    <m/>
    <n v="14.69"/>
    <n v="0"/>
    <n v="0"/>
    <n v="0"/>
    <n v="0"/>
    <n v="0"/>
    <n v="0"/>
    <n v="0"/>
    <n v="0"/>
    <n v="7.81"/>
    <n v="0"/>
    <n v="0"/>
    <n v="22.5"/>
    <n v="0"/>
  </r>
  <r>
    <x v="11"/>
    <x v="0"/>
    <x v="0"/>
    <s v="5802102"/>
    <n v="721830"/>
    <s v="Supplies-Office"/>
    <s v="St. Francis Center-Weight Mgmt"/>
    <x v="0"/>
    <m/>
    <n v="0"/>
    <n v="0"/>
    <n v="103.4"/>
    <n v="0"/>
    <n v="0"/>
    <n v="0"/>
    <n v="103.4"/>
    <n v="0"/>
    <n v="0"/>
    <n v="0"/>
    <n v="0"/>
    <n v="0"/>
    <n v="206.8"/>
    <n v="0"/>
  </r>
  <r>
    <x v="11"/>
    <x v="0"/>
    <x v="0"/>
    <s v="5802102"/>
    <n v="721835"/>
    <s v="Supplies-Forms"/>
    <s v="St. Francis Center-Weight Mgmt"/>
    <x v="0"/>
    <m/>
    <n v="0"/>
    <n v="0"/>
    <n v="0"/>
    <n v="0"/>
    <n v="0"/>
    <n v="0"/>
    <n v="0"/>
    <n v="0"/>
    <n v="20.03"/>
    <n v="0"/>
    <n v="0"/>
    <n v="0"/>
    <n v="20.03"/>
    <n v="0"/>
  </r>
  <r>
    <x v="12"/>
    <x v="0"/>
    <x v="0"/>
    <s v="5802102"/>
    <n v="730020"/>
    <s v="Rental and Leases-Copier Usage Fees (DO NOT USE)"/>
    <s v="St. Francis Center-Weight Mgmt"/>
    <x v="0"/>
    <n v="5100"/>
    <n v="456.54"/>
    <n v="482.1"/>
    <n v="469.32"/>
    <n v="469.32"/>
    <n v="469.32"/>
    <n v="469.32"/>
    <n v="-3584.65"/>
    <n v="51.89"/>
    <n v="51.78"/>
    <n v="608.77"/>
    <n v="51.89"/>
    <n v="58.28"/>
    <n v="53.879999999999924"/>
    <n v="-6.3900000000000006"/>
  </r>
  <r>
    <x v="0"/>
    <x v="0"/>
    <x v="0"/>
    <s v="5802102"/>
    <n v="743010"/>
    <s v="Dues--Institutional"/>
    <s v="St. Francis Center-Weight Mgmt"/>
    <x v="0"/>
    <m/>
    <n v="0"/>
    <n v="0"/>
    <n v="6400"/>
    <n v="0"/>
    <n v="0"/>
    <n v="0"/>
    <n v="0"/>
    <n v="0"/>
    <n v="0"/>
    <n v="0"/>
    <n v="0"/>
    <n v="0"/>
    <n v="6400"/>
    <n v="0"/>
  </r>
  <r>
    <x v="0"/>
    <x v="0"/>
    <x v="0"/>
    <s v="5802102"/>
    <n v="749510"/>
    <s v="Miscellaneous Expenses"/>
    <s v="St. Francis Center-Weight Mgmt"/>
    <x v="0"/>
    <m/>
    <n v="0"/>
    <n v="0"/>
    <n v="0"/>
    <n v="0"/>
    <n v="0"/>
    <n v="0"/>
    <n v="0"/>
    <n v="0"/>
    <n v="0"/>
    <n v="0"/>
    <n v="0"/>
    <n v="96.78"/>
    <n v="96.78"/>
    <n v="-96.78"/>
  </r>
  <r>
    <x v="0"/>
    <x v="0"/>
    <x v="0"/>
    <s v="5802102"/>
    <n v="749510"/>
    <s v="Licenses"/>
    <s v="St. Francis Center-Weight Mgmt"/>
    <x v="0"/>
    <n v="1002"/>
    <n v="0"/>
    <n v="0"/>
    <n v="375"/>
    <n v="0"/>
    <n v="0"/>
    <n v="0"/>
    <n v="0"/>
    <n v="0"/>
    <n v="0"/>
    <n v="0"/>
    <n v="0"/>
    <n v="0"/>
    <n v="375"/>
    <n v="0"/>
  </r>
  <r>
    <x v="0"/>
    <x v="0"/>
    <x v="0"/>
    <s v="5802102"/>
    <n v="749530"/>
    <s v="Travel"/>
    <s v="St. Francis Center-Weight Mgmt"/>
    <x v="0"/>
    <m/>
    <n v="0"/>
    <n v="0"/>
    <n v="0"/>
    <n v="0"/>
    <n v="264.14999999999998"/>
    <n v="0"/>
    <n v="0"/>
    <n v="0"/>
    <n v="0"/>
    <n v="0"/>
    <n v="0"/>
    <n v="0"/>
    <n v="264.14999999999998"/>
    <n v="0"/>
  </r>
  <r>
    <x v="0"/>
    <x v="0"/>
    <x v="0"/>
    <s v="5802102"/>
    <n v="749530"/>
    <s v="Mileage"/>
    <s v="St. Francis Center-Weight Mgmt"/>
    <x v="0"/>
    <n v="1001"/>
    <n v="0"/>
    <n v="0"/>
    <n v="0"/>
    <n v="0"/>
    <n v="20.72"/>
    <n v="0"/>
    <n v="0"/>
    <n v="0"/>
    <n v="0"/>
    <n v="0"/>
    <n v="0"/>
    <n v="0"/>
    <n v="20.72"/>
    <n v="0"/>
  </r>
  <r>
    <x v="5"/>
    <x v="1"/>
    <x v="0"/>
    <s v="5802200"/>
    <n v="700014"/>
    <s v="Salaries-Management-Productive"/>
    <s v="Heart&amp;Vascular-Aub-Shared Svc"/>
    <x v="0"/>
    <m/>
    <n v="14170.56"/>
    <n v="16468"/>
    <n v="11196.12"/>
    <n v="17582.28"/>
    <n v="16248.32"/>
    <n v="8389.43"/>
    <n v="15745.69"/>
    <n v="13992.84"/>
    <n v="15710.63"/>
    <n v="13770.15"/>
    <n v="17151.45"/>
    <n v="13758.85"/>
    <n v="174184.32000000001"/>
    <n v="3392.6000000000004"/>
  </r>
  <r>
    <x v="5"/>
    <x v="1"/>
    <x v="0"/>
    <s v="5802200"/>
    <n v="700038"/>
    <s v="Salaries-Service/Support-Productive"/>
    <s v="Heart&amp;Vascular-Aub-Shared Svc"/>
    <x v="0"/>
    <m/>
    <n v="47711.58"/>
    <n v="45024.31"/>
    <n v="37252.49"/>
    <n v="52012.47"/>
    <n v="50024.18"/>
    <n v="35154.620000000003"/>
    <n v="47855.839999999997"/>
    <n v="41465.160000000003"/>
    <n v="50978.48"/>
    <n v="51391.13"/>
    <n v="51957.41"/>
    <n v="43521.37"/>
    <n v="554349.04"/>
    <n v="8436.0400000000009"/>
  </r>
  <r>
    <x v="5"/>
    <x v="1"/>
    <x v="0"/>
    <s v="5802200"/>
    <n v="700038"/>
    <s v="Salaries-Service/Support-OT"/>
    <s v="Heart&amp;Vascular-Aub-Shared Svc"/>
    <x v="0"/>
    <n v="1000"/>
    <n v="636.64"/>
    <n v="956.93"/>
    <n v="494.13"/>
    <n v="1054.2"/>
    <n v="861.48"/>
    <n v="402.38"/>
    <n v="890.97"/>
    <n v="494.44"/>
    <n v="1071.1600000000001"/>
    <n v="584.20000000000005"/>
    <n v="900.8"/>
    <n v="607.42999999999995"/>
    <n v="8954.7599999999984"/>
    <n v="293.37"/>
  </r>
  <r>
    <x v="5"/>
    <x v="1"/>
    <x v="0"/>
    <s v="5802200"/>
    <n v="700038"/>
    <s v="Salaries-Service/Support-Other"/>
    <s v="Heart&amp;Vascular-Aub-Shared Svc"/>
    <x v="0"/>
    <n v="2000"/>
    <n v="0"/>
    <n v="0"/>
    <n v="0"/>
    <n v="30"/>
    <n v="30"/>
    <n v="0"/>
    <n v="0"/>
    <n v="0"/>
    <n v="30.04"/>
    <n v="0"/>
    <n v="0"/>
    <n v="0"/>
    <n v="90.039999999999992"/>
    <n v="0"/>
  </r>
  <r>
    <x v="5"/>
    <x v="1"/>
    <x v="0"/>
    <s v="5802200"/>
    <n v="700054"/>
    <s v="Salaries-Management-Non-productive"/>
    <s v="Heart&amp;Vascular-Aub-Shared Svc"/>
    <x v="0"/>
    <m/>
    <n v="1581.44"/>
    <n v="0"/>
    <n v="3123.88"/>
    <n v="-708.2"/>
    <n v="0"/>
    <n v="7120.31"/>
    <n v="1267.17"/>
    <n v="800.03"/>
    <n v="-178.11"/>
    <n v="2501.9899999999998"/>
    <n v="-139.65"/>
    <n v="1034.01"/>
    <n v="16402.87"/>
    <n v="-1173.6600000000001"/>
  </r>
  <r>
    <x v="5"/>
    <x v="1"/>
    <x v="0"/>
    <s v="5802200"/>
    <n v="700054"/>
    <s v="Salaries-Management-NonProd-Other"/>
    <s v="Heart&amp;Vascular-Aub-Shared Svc"/>
    <x v="0"/>
    <n v="2000"/>
    <n v="0"/>
    <n v="0"/>
    <n v="0"/>
    <n v="0"/>
    <n v="0"/>
    <n v="3783.97"/>
    <n v="-3783.97"/>
    <n v="0"/>
    <n v="0"/>
    <n v="0"/>
    <n v="0"/>
    <n v="0"/>
    <n v="0"/>
    <n v="0"/>
  </r>
  <r>
    <x v="5"/>
    <x v="1"/>
    <x v="0"/>
    <s v="5802200"/>
    <n v="700078"/>
    <s v="Salaries-Service/Support-Non-productive"/>
    <s v="Heart&amp;Vascular-Aub-Shared Svc"/>
    <x v="0"/>
    <m/>
    <n v="6308.55"/>
    <n v="6967.36"/>
    <n v="7877.14"/>
    <n v="3686.75"/>
    <n v="3121.7"/>
    <n v="9143.27"/>
    <n v="3534.92"/>
    <n v="6999.57"/>
    <n v="2240.94"/>
    <n v="3769.19"/>
    <n v="5177.55"/>
    <n v="6045.8"/>
    <n v="64872.740000000013"/>
    <n v="-868.25"/>
  </r>
  <r>
    <x v="5"/>
    <x v="1"/>
    <x v="0"/>
    <s v="5802200"/>
    <n v="700078"/>
    <s v="Salaries-Service/Support-NonProd-Other"/>
    <s v="Heart&amp;Vascular-Aub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02200"/>
    <n v="700084"/>
    <s v="Accrued PTO"/>
    <s v="Heart&amp;Vascular-Aub-Shared Svc"/>
    <x v="0"/>
    <m/>
    <n v="598.16"/>
    <n v="618.03"/>
    <n v="-1600.07"/>
    <n v="4838.5"/>
    <n v="3481.54"/>
    <n v="-6749.49"/>
    <n v="1433.76"/>
    <n v="213.22"/>
    <n v="4397.8999999999996"/>
    <n v="1790.06"/>
    <n v="2990.83"/>
    <n v="2029.23"/>
    <n v="14041.669999999998"/>
    <n v="961.59999999999991"/>
  </r>
  <r>
    <x v="10"/>
    <x v="1"/>
    <x v="0"/>
    <s v="5802200"/>
    <n v="710060"/>
    <s v="Contract Labor-Other"/>
    <s v="Heart&amp;Vascular-Aub-Shared Svc"/>
    <x v="0"/>
    <m/>
    <n v="0"/>
    <n v="0"/>
    <n v="0"/>
    <n v="0"/>
    <n v="0"/>
    <n v="0"/>
    <n v="12.42"/>
    <n v="0"/>
    <n v="0"/>
    <n v="0"/>
    <n v="0"/>
    <n v="0"/>
    <n v="12.42"/>
    <n v="0"/>
  </r>
  <r>
    <x v="6"/>
    <x v="1"/>
    <x v="0"/>
    <s v="5802200"/>
    <n v="713010"/>
    <s v="Benefits-FICA/Medicare"/>
    <s v="Heart&amp;Vascular-Aub-Shared Svc"/>
    <x v="0"/>
    <m/>
    <n v="5213"/>
    <n v="5136.95"/>
    <n v="4403.6000000000004"/>
    <n v="5426.37"/>
    <n v="5207.76"/>
    <n v="4764.5200000000004"/>
    <n v="5419.78"/>
    <n v="4668.97"/>
    <n v="5138.96"/>
    <n v="5302.44"/>
    <n v="5553"/>
    <n v="4790.8900000000003"/>
    <n v="61026.240000000005"/>
    <n v="762.10999999999967"/>
  </r>
  <r>
    <x v="6"/>
    <x v="1"/>
    <x v="0"/>
    <s v="5802200"/>
    <n v="713090"/>
    <s v="Benefits-Allocated Amounts"/>
    <s v="Heart&amp;Vascular-Aub-Shared Svc"/>
    <x v="0"/>
    <m/>
    <n v="18494.009999999998"/>
    <n v="15944.81"/>
    <n v="16525"/>
    <n v="18221.64"/>
    <n v="17761.11"/>
    <n v="16303.75"/>
    <n v="19439.22"/>
    <n v="19371.93"/>
    <n v="19636.009999999998"/>
    <n v="19457.57"/>
    <n v="19973.650000000001"/>
    <n v="19931.68"/>
    <n v="221060.38"/>
    <n v="41.970000000001164"/>
  </r>
  <r>
    <x v="6"/>
    <x v="1"/>
    <x v="0"/>
    <s v="5802200"/>
    <n v="713096"/>
    <s v="Employee Recognition"/>
    <s v="Heart&amp;Vascular-Aub-Shared Svc"/>
    <x v="0"/>
    <n v="1017"/>
    <n v="0"/>
    <n v="63.88"/>
    <n v="0"/>
    <n v="0"/>
    <n v="0"/>
    <n v="0"/>
    <n v="0"/>
    <n v="0"/>
    <n v="0"/>
    <n v="0"/>
    <n v="0"/>
    <n v="0"/>
    <n v="63.88"/>
    <n v="0"/>
  </r>
  <r>
    <x v="7"/>
    <x v="1"/>
    <x v="0"/>
    <s v="5802200"/>
    <n v="718010"/>
    <s v="Media/Print Advertising"/>
    <s v="Heart&amp;Vascular-Aub-Shared Svc"/>
    <x v="0"/>
    <n v="1004"/>
    <n v="637.92999999999995"/>
    <n v="773.06"/>
    <n v="98.44"/>
    <n v="22.09"/>
    <n v="0"/>
    <n v="431.46"/>
    <n v="0"/>
    <n v="355.85"/>
    <n v="0"/>
    <n v="0"/>
    <n v="788.18"/>
    <n v="-44.7"/>
    <n v="3062.31"/>
    <n v="832.88"/>
  </r>
  <r>
    <x v="7"/>
    <x v="1"/>
    <x v="0"/>
    <s v="5802200"/>
    <n v="718050"/>
    <s v="Contract Svcs-Other"/>
    <s v="Heart&amp;Vascular-Aub-Shared Svc"/>
    <x v="0"/>
    <m/>
    <n v="867.04"/>
    <n v="1595.17"/>
    <n v="2748.73"/>
    <n v="2193.27"/>
    <n v="1485.89"/>
    <n v="1494.76"/>
    <n v="5468.77"/>
    <n v="1766.51"/>
    <n v="1857.88"/>
    <n v="801.93"/>
    <n v="98.16"/>
    <n v="3035.17"/>
    <n v="23413.279999999999"/>
    <n v="-2937.01"/>
  </r>
  <r>
    <x v="7"/>
    <x v="1"/>
    <x v="0"/>
    <s v="5802200"/>
    <n v="718050"/>
    <s v="Management Fees"/>
    <s v="Heart&amp;Vascular-Aub-Shared Svc"/>
    <x v="0"/>
    <n v="1004"/>
    <n v="0"/>
    <n v="0"/>
    <n v="0"/>
    <n v="0"/>
    <n v="0"/>
    <n v="70.400000000000006"/>
    <n v="117.74"/>
    <n v="0"/>
    <n v="0"/>
    <n v="0"/>
    <n v="217.28"/>
    <n v="0"/>
    <n v="405.41999999999996"/>
    <n v="217.28"/>
  </r>
  <r>
    <x v="7"/>
    <x v="1"/>
    <x v="0"/>
    <s v="5802200"/>
    <n v="718050"/>
    <s v="Cleaning Services"/>
    <s v="Heart&amp;Vascular-Aub-Shared Svc"/>
    <x v="0"/>
    <n v="1011"/>
    <n v="0"/>
    <n v="473"/>
    <n v="473"/>
    <n v="473"/>
    <n v="673.2"/>
    <n v="673.2"/>
    <n v="1300.08"/>
    <n v="0"/>
    <n v="590.04"/>
    <n v="590.04"/>
    <n v="590.04"/>
    <n v="590.04"/>
    <n v="6425.6399999999994"/>
    <n v="0"/>
  </r>
  <r>
    <x v="7"/>
    <x v="1"/>
    <x v="0"/>
    <s v="5802200"/>
    <n v="718050"/>
    <s v="Physician Answering"/>
    <s v="Heart&amp;Vascular-Aub-Shared Svc"/>
    <x v="0"/>
    <n v="1015"/>
    <n v="318.39999999999998"/>
    <n v="437.4"/>
    <n v="385.6"/>
    <n v="141"/>
    <n v="441"/>
    <n v="361.4"/>
    <n v="542.79999999999995"/>
    <n v="502.2"/>
    <n v="435"/>
    <n v="450"/>
    <n v="561.4"/>
    <n v="437.4"/>
    <n v="5013.5999999999995"/>
    <n v="124"/>
  </r>
  <r>
    <x v="7"/>
    <x v="1"/>
    <x v="0"/>
    <s v="5802200"/>
    <n v="718050"/>
    <s v="Miscellaneous Purchased Svcs"/>
    <s v="Heart&amp;Vascular-Aub-Shared Svc"/>
    <x v="0"/>
    <n v="1020"/>
    <n v="2000"/>
    <n v="5133.8900000000003"/>
    <n v="382.86"/>
    <n v="132.84"/>
    <n v="34"/>
    <n v="440.26"/>
    <n v="143.12"/>
    <n v="164.75"/>
    <n v="133.94"/>
    <n v="65.900000000000006"/>
    <n v="32.950000000000003"/>
    <n v="324.39"/>
    <n v="8988.9000000000015"/>
    <n v="-291.44"/>
  </r>
  <r>
    <x v="7"/>
    <x v="1"/>
    <x v="0"/>
    <s v="5802200"/>
    <n v="718050"/>
    <s v="Translation Services"/>
    <s v="Heart&amp;Vascular-Aub-Shared Svc"/>
    <x v="0"/>
    <n v="1025"/>
    <n v="1802.07"/>
    <n v="1485"/>
    <n v="1596.02"/>
    <n v="2098.6799999999998"/>
    <n v="2094.98"/>
    <n v="2657.37"/>
    <n v="2037.83"/>
    <n v="1650.41"/>
    <n v="1176"/>
    <n v="1354.95"/>
    <n v="2556.4499999999998"/>
    <n v="49.81"/>
    <n v="20559.570000000003"/>
    <n v="2506.64"/>
  </r>
  <r>
    <x v="7"/>
    <x v="1"/>
    <x v="0"/>
    <s v="5802200"/>
    <n v="718050"/>
    <s v="Contract Management--Linen"/>
    <s v="Heart&amp;Vascular-Aub-Shared Svc"/>
    <x v="0"/>
    <n v="1026"/>
    <n v="1120.81"/>
    <n v="1431.67"/>
    <n v="1799.83"/>
    <n v="716.55"/>
    <n v="568.33000000000004"/>
    <n v="1285.6300000000001"/>
    <n v="1215.8399999999999"/>
    <n v="1063.05"/>
    <n v="1455.44"/>
    <n v="0"/>
    <n v="0"/>
    <n v="0"/>
    <n v="10657.15"/>
    <n v="0"/>
  </r>
  <r>
    <x v="7"/>
    <x v="1"/>
    <x v="0"/>
    <s v="5802200"/>
    <n v="718050"/>
    <s v="Purchased Srvcs--Medical Waste"/>
    <s v="Heart&amp;Vascular-Aub-Shared Svc"/>
    <x v="0"/>
    <n v="1027"/>
    <n v="240.14"/>
    <n v="142.15"/>
    <n v="74.08"/>
    <n v="123.47"/>
    <n v="139.97"/>
    <n v="128.97999999999999"/>
    <n v="148.16"/>
    <n v="177.87"/>
    <n v="0"/>
    <n v="148.16"/>
    <n v="0"/>
    <n v="74.08"/>
    <n v="1397.06"/>
    <n v="-74.08"/>
  </r>
  <r>
    <x v="7"/>
    <x v="1"/>
    <x v="0"/>
    <s v="5802200"/>
    <n v="718070"/>
    <s v="Contract Srvcs-CHI Clinical Engineering"/>
    <s v="Heart&amp;Vascular-Aub-Shared Svc"/>
    <x v="0"/>
    <m/>
    <n v="5078.93"/>
    <n v="5974.33"/>
    <n v="2244.5700000000002"/>
    <n v="3206.03"/>
    <n v="1758.38"/>
    <n v="1422.56"/>
    <n v="1693.3"/>
    <n v="2939.95"/>
    <n v="4853.3900000000003"/>
    <n v="3737.34"/>
    <n v="1373.98"/>
    <n v="2532.7199999999998"/>
    <n v="36815.480000000003"/>
    <n v="-1158.7399999999998"/>
  </r>
  <r>
    <x v="11"/>
    <x v="1"/>
    <x v="0"/>
    <s v="5802200"/>
    <n v="721250"/>
    <s v="Supplies-Pharmacy Drugs - Billable"/>
    <s v="Heart&amp;Vascular-Aub-Shared Svc"/>
    <x v="0"/>
    <m/>
    <n v="0"/>
    <n v="137.66"/>
    <n v="512.95000000000005"/>
    <n v="19.02"/>
    <n v="176.3"/>
    <n v="76.84"/>
    <n v="455.7"/>
    <n v="92.68"/>
    <n v="98.77"/>
    <n v="549.24"/>
    <n v="568.72"/>
    <n v="755.76"/>
    <n v="3443.6400000000003"/>
    <n v="-187.03999999999996"/>
  </r>
  <r>
    <x v="11"/>
    <x v="1"/>
    <x v="0"/>
    <s v="5802200"/>
    <n v="721350"/>
    <s v="Radiology Imaging - Contrast Media"/>
    <s v="Heart&amp;Vascular-Aub-Shared Svc"/>
    <x v="0"/>
    <n v="1000"/>
    <n v="0"/>
    <n v="0"/>
    <n v="0"/>
    <n v="0"/>
    <n v="0"/>
    <n v="0"/>
    <n v="1316.51"/>
    <n v="738.53"/>
    <n v="0"/>
    <n v="0"/>
    <n v="0"/>
    <n v="0"/>
    <n v="2055.04"/>
    <n v="0"/>
  </r>
  <r>
    <x v="11"/>
    <x v="1"/>
    <x v="0"/>
    <s v="5802200"/>
    <n v="721410"/>
    <s v="Supplies-Medical - Nonbillable"/>
    <s v="Heart&amp;Vascular-Aub-Shared Svc"/>
    <x v="0"/>
    <m/>
    <n v="38.270000000000003"/>
    <n v="8516.69"/>
    <n v="800.52"/>
    <n v="3201.11"/>
    <n v="1576.73"/>
    <n v="1876.65"/>
    <n v="94.11"/>
    <n v="4377.5600000000004"/>
    <n v="106.1"/>
    <n v="0"/>
    <n v="0"/>
    <n v="0"/>
    <n v="20587.740000000002"/>
    <n v="0"/>
  </r>
  <r>
    <x v="11"/>
    <x v="1"/>
    <x v="0"/>
    <s v="5802200"/>
    <n v="721810"/>
    <s v="Supplies-Dietary/Cafeteria"/>
    <s v="Heart&amp;Vascular-Aub-Shared Svc"/>
    <x v="0"/>
    <m/>
    <n v="130.65"/>
    <n v="0"/>
    <n v="0"/>
    <n v="0"/>
    <n v="278.89"/>
    <n v="0"/>
    <n v="223.94"/>
    <n v="0"/>
    <n v="105.38"/>
    <n v="0"/>
    <n v="0"/>
    <n v="91.29"/>
    <n v="830.15"/>
    <n v="-91.29"/>
  </r>
  <r>
    <x v="11"/>
    <x v="1"/>
    <x v="0"/>
    <s v="5802200"/>
    <n v="721830"/>
    <s v="Supplies-Office"/>
    <s v="Heart&amp;Vascular-Aub-Shared Svc"/>
    <x v="0"/>
    <m/>
    <n v="713.62"/>
    <n v="730.52"/>
    <n v="963.76"/>
    <n v="1942.11"/>
    <n v="1258.0899999999999"/>
    <n v="708.79"/>
    <n v="773.63"/>
    <n v="768.95"/>
    <n v="1457.56"/>
    <n v="471.16"/>
    <n v="583.87"/>
    <n v="565.94000000000005"/>
    <n v="10938"/>
    <n v="17.92999999999995"/>
  </r>
  <r>
    <x v="11"/>
    <x v="1"/>
    <x v="0"/>
    <s v="5802200"/>
    <n v="721835"/>
    <s v="Supplies-Forms"/>
    <s v="Heart&amp;Vascular-Aub-Shared Svc"/>
    <x v="0"/>
    <m/>
    <n v="97.59"/>
    <n v="-11.27"/>
    <n v="0"/>
    <n v="0"/>
    <n v="122.14"/>
    <n v="21.8"/>
    <n v="4.8899999999999997"/>
    <n v="0"/>
    <n v="28"/>
    <n v="0"/>
    <n v="0"/>
    <n v="3.85"/>
    <n v="267"/>
    <n v="-3.85"/>
  </r>
  <r>
    <x v="11"/>
    <x v="1"/>
    <x v="0"/>
    <s v="5802200"/>
    <n v="721870"/>
    <s v="Supplies-Environmental Services"/>
    <s v="Heart&amp;Vascular-Aub-Shared Svc"/>
    <x v="0"/>
    <m/>
    <n v="173.22"/>
    <n v="175.28"/>
    <n v="67.06"/>
    <n v="0"/>
    <n v="215.38"/>
    <n v="0"/>
    <n v="346.94"/>
    <n v="88.52"/>
    <n v="185.65"/>
    <n v="35.159999999999997"/>
    <n v="149.97"/>
    <n v="97.94"/>
    <n v="1535.1200000000003"/>
    <n v="52.03"/>
  </r>
  <r>
    <x v="11"/>
    <x v="1"/>
    <x v="0"/>
    <s v="5802200"/>
    <n v="721910"/>
    <s v="Supplies-Small Equipment"/>
    <s v="Heart&amp;Vascular-Aub-Shared Svc"/>
    <x v="0"/>
    <m/>
    <n v="0"/>
    <n v="0"/>
    <n v="1897.84"/>
    <n v="380.73"/>
    <n v="0"/>
    <n v="991.57"/>
    <n v="295.66000000000003"/>
    <n v="486.59"/>
    <n v="0"/>
    <n v="0"/>
    <n v="0"/>
    <n v="0"/>
    <n v="4052.39"/>
    <n v="0"/>
  </r>
  <r>
    <x v="11"/>
    <x v="1"/>
    <x v="0"/>
    <s v="5802200"/>
    <n v="721980"/>
    <s v="Supplies-Other"/>
    <s v="Heart&amp;Vascular-Aub-Shared Svc"/>
    <x v="0"/>
    <m/>
    <n v="0"/>
    <n v="16.98"/>
    <n v="0"/>
    <n v="0"/>
    <n v="0"/>
    <n v="15.3"/>
    <n v="340.34"/>
    <n v="34.380000000000003"/>
    <n v="0"/>
    <n v="0"/>
    <n v="0"/>
    <n v="0"/>
    <n v="407"/>
    <n v="0"/>
  </r>
  <r>
    <x v="11"/>
    <x v="1"/>
    <x v="0"/>
    <s v="5802200"/>
    <n v="722000"/>
    <s v="Supplies-Freight Expense"/>
    <s v="Heart&amp;Vascular-Aub-Shared Svc"/>
    <x v="0"/>
    <m/>
    <n v="0"/>
    <n v="11.27"/>
    <n v="0"/>
    <n v="6.52"/>
    <n v="0"/>
    <n v="8"/>
    <n v="0"/>
    <n v="123.5"/>
    <n v="0"/>
    <n v="0"/>
    <n v="0"/>
    <n v="0"/>
    <n v="149.29"/>
    <n v="0"/>
  </r>
  <r>
    <x v="12"/>
    <x v="1"/>
    <x v="0"/>
    <s v="5802200"/>
    <n v="730010"/>
    <s v="Rental and Leases-Building (DO NOT USE)"/>
    <s v="Heart&amp;Vascular-Aub-Shared Svc"/>
    <x v="0"/>
    <m/>
    <n v="37052.89"/>
    <n v="36720.1"/>
    <n v="36720.1"/>
    <n v="36720.1"/>
    <n v="36720.1"/>
    <n v="-28165.67"/>
    <n v="26111.23"/>
    <n v="32510.95"/>
    <n v="21629.27"/>
    <n v="34754.21"/>
    <n v="29189.78"/>
    <n v="0"/>
    <n v="299963.06000000006"/>
    <n v="29189.78"/>
  </r>
  <r>
    <x v="12"/>
    <x v="1"/>
    <x v="0"/>
    <s v="5802200"/>
    <n v="730010"/>
    <s v="Rental-Common Area Maint (DO NOT USE)"/>
    <s v="Heart&amp;Vascular-Aub-Shared Svc"/>
    <x v="0"/>
    <n v="2200"/>
    <n v="0"/>
    <n v="0"/>
    <n v="0"/>
    <n v="0"/>
    <n v="0"/>
    <n v="64885.760000000002"/>
    <n v="10546.88"/>
    <n v="11002.06"/>
    <n v="11002.06"/>
    <n v="16119.14"/>
    <n v="16119.14"/>
    <n v="0"/>
    <n v="129675.04"/>
    <n v="16119.14"/>
  </r>
  <r>
    <x v="12"/>
    <x v="1"/>
    <x v="0"/>
    <s v="5802200"/>
    <n v="730020"/>
    <s v="Rental and Leases-Copier Usage Fees (DO NOT USE)"/>
    <s v="Heart&amp;Vascular-Aub-Shared Svc"/>
    <x v="0"/>
    <n v="5100"/>
    <n v="233.27"/>
    <n v="921.35"/>
    <n v="577.30999999999995"/>
    <n v="1635.85"/>
    <n v="841.94"/>
    <n v="841.94"/>
    <n v="89.26"/>
    <n v="632.87"/>
    <n v="631.54"/>
    <n v="1235.3"/>
    <n v="621.66"/>
    <n v="626.82000000000005"/>
    <n v="8889.11"/>
    <n v="-5.1600000000000819"/>
  </r>
  <r>
    <x v="12"/>
    <x v="1"/>
    <x v="0"/>
    <s v="5802200"/>
    <n v="730040"/>
    <s v="LT Lease-Real Estate"/>
    <s v="Heart&amp;Vascular-Aub-Shared Svc"/>
    <x v="0"/>
    <m/>
    <n v="0"/>
    <n v="0"/>
    <n v="0"/>
    <n v="0"/>
    <n v="0"/>
    <n v="0"/>
    <n v="0"/>
    <n v="0"/>
    <n v="0"/>
    <n v="0"/>
    <n v="0"/>
    <n v="50961.82"/>
    <n v="50961.82"/>
    <n v="-50961.82"/>
  </r>
  <r>
    <x v="15"/>
    <x v="1"/>
    <x v="0"/>
    <s v="5802200"/>
    <n v="731060"/>
    <s v="Telephone"/>
    <s v="Heart&amp;Vascular-Aub-Shared Svc"/>
    <x v="0"/>
    <m/>
    <n v="913.36"/>
    <n v="916.55"/>
    <n v="916.55"/>
    <n v="928.48"/>
    <n v="928.48"/>
    <n v="942.41"/>
    <n v="942.06"/>
    <n v="927.92"/>
    <n v="0"/>
    <n v="1863.23"/>
    <n v="921.39"/>
    <n v="921.51"/>
    <n v="11121.939999999999"/>
    <n v="-0.12000000000000455"/>
  </r>
  <r>
    <x v="15"/>
    <x v="1"/>
    <x v="0"/>
    <s v="5802200"/>
    <n v="731060"/>
    <s v="Pagers"/>
    <s v="Heart&amp;Vascular-Aub-Shared Svc"/>
    <x v="0"/>
    <n v="1002"/>
    <n v="152.26"/>
    <n v="97.2"/>
    <n v="97.2"/>
    <n v="97.44"/>
    <n v="97.44"/>
    <n v="0"/>
    <n v="194.88"/>
    <n v="97.44"/>
    <n v="97.44"/>
    <n v="97.44"/>
    <n v="110.7"/>
    <n v="133.12"/>
    <n v="1272.56"/>
    <n v="-22.42"/>
  </r>
  <r>
    <x v="15"/>
    <x v="1"/>
    <x v="0"/>
    <s v="5802200"/>
    <n v="731065"/>
    <s v="Data Communications"/>
    <s v="Heart&amp;Vascular-Aub-Shared Svc"/>
    <x v="0"/>
    <m/>
    <n v="297.7"/>
    <n v="444.05"/>
    <n v="151.35"/>
    <n v="297.7"/>
    <n v="312.10000000000002"/>
    <n v="312.10000000000002"/>
    <n v="312.10000000000002"/>
    <n v="312.10000000000002"/>
    <n v="460.65"/>
    <n v="267.04000000000002"/>
    <n v="287.14999999999998"/>
    <n v="138.6"/>
    <n v="3592.64"/>
    <n v="148.54999999999998"/>
  </r>
  <r>
    <x v="16"/>
    <x v="1"/>
    <x v="0"/>
    <s v="5802200"/>
    <n v="732015"/>
    <s v="Repairs-Clinical Equip-T&amp;M-Ext to CHI Programs"/>
    <s v="Heart&amp;Vascular-Aub-Shared Svc"/>
    <x v="0"/>
    <m/>
    <n v="0"/>
    <n v="0"/>
    <n v="750"/>
    <n v="0"/>
    <n v="0"/>
    <n v="0"/>
    <n v="0"/>
    <n v="0"/>
    <n v="0"/>
    <n v="0"/>
    <n v="0"/>
    <n v="0"/>
    <n v="750"/>
    <n v="0"/>
  </r>
  <r>
    <x v="16"/>
    <x v="1"/>
    <x v="0"/>
    <s v="5802200"/>
    <n v="732030"/>
    <s v="Repairs---Other"/>
    <s v="Heart&amp;Vascular-Aub-Shared Svc"/>
    <x v="0"/>
    <m/>
    <n v="875"/>
    <n v="479.77"/>
    <n v="0"/>
    <n v="0"/>
    <n v="0"/>
    <n v="1564.7"/>
    <n v="30.75"/>
    <n v="837.67"/>
    <n v="142.96"/>
    <n v="174.1"/>
    <n v="0"/>
    <n v="625.76"/>
    <n v="4730.7100000000009"/>
    <n v="-625.76"/>
  </r>
  <r>
    <x v="16"/>
    <x v="1"/>
    <x v="0"/>
    <s v="5802200"/>
    <n v="732030"/>
    <s v="Repairs&amp;Maintenance-Bldg Routine"/>
    <s v="Heart&amp;Vascular-Aub-Shared Svc"/>
    <x v="0"/>
    <n v="2300"/>
    <n v="0"/>
    <n v="124.16"/>
    <n v="409.03"/>
    <n v="366.63"/>
    <n v="461.9"/>
    <n v="0"/>
    <n v="0"/>
    <n v="0"/>
    <n v="40.81"/>
    <n v="0.79"/>
    <n v="0"/>
    <n v="0"/>
    <n v="1403.3199999999997"/>
    <n v="0"/>
  </r>
  <r>
    <x v="13"/>
    <x v="1"/>
    <x v="0"/>
    <s v="5802200"/>
    <n v="735050"/>
    <s v="Amortization-Leasehold Improvements"/>
    <s v="Heart&amp;Vascular-Aub-Shared Svc"/>
    <x v="0"/>
    <m/>
    <n v="7786.02"/>
    <n v="7786.01"/>
    <n v="7786.02"/>
    <n v="7786"/>
    <n v="7786.02"/>
    <n v="7786"/>
    <n v="7786.02"/>
    <n v="7786"/>
    <n v="7786.03"/>
    <n v="7785.98"/>
    <n v="7786.03"/>
    <n v="7785.97"/>
    <n v="93432.1"/>
    <n v="5.9999999999490683E-2"/>
  </r>
  <r>
    <x v="13"/>
    <x v="1"/>
    <x v="0"/>
    <s v="5802200"/>
    <n v="735060"/>
    <s v="Depreciation-Fixed Equipment"/>
    <s v="Heart&amp;Vascular-Aub-Shared Svc"/>
    <x v="0"/>
    <m/>
    <n v="567.49"/>
    <n v="567.49"/>
    <n v="567.49"/>
    <n v="567.49"/>
    <n v="567.5"/>
    <n v="567.49"/>
    <n v="567.51"/>
    <n v="567.49"/>
    <n v="567.51"/>
    <n v="567.49"/>
    <n v="567.51"/>
    <n v="567.48"/>
    <n v="6809.9400000000005"/>
    <n v="2.9999999999972715E-2"/>
  </r>
  <r>
    <x v="13"/>
    <x v="1"/>
    <x v="0"/>
    <s v="5802200"/>
    <n v="735070"/>
    <s v="Depreciation-Movable Equipment"/>
    <s v="Heart&amp;Vascular-Aub-Shared Svc"/>
    <x v="0"/>
    <m/>
    <n v="13962.09"/>
    <n v="13962.09"/>
    <n v="13962.12"/>
    <n v="13790.23"/>
    <n v="13641.76"/>
    <n v="13641.68"/>
    <n v="13641.77"/>
    <n v="13641.64"/>
    <n v="13641.82"/>
    <n v="13641.62"/>
    <n v="13641.84"/>
    <n v="12144.98"/>
    <n v="163313.64000000001"/>
    <n v="1496.8600000000006"/>
  </r>
  <r>
    <x v="0"/>
    <x v="1"/>
    <x v="0"/>
    <s v="5802200"/>
    <n v="740020"/>
    <s v="Education-Registration Fees"/>
    <s v="Heart&amp;Vascular-Aub-Shared Svc"/>
    <x v="0"/>
    <m/>
    <n v="175"/>
    <n v="352.08"/>
    <n v="623.54"/>
    <n v="160"/>
    <n v="45"/>
    <n v="253.54"/>
    <n v="0"/>
    <n v="0"/>
    <n v="0"/>
    <n v="0"/>
    <n v="0"/>
    <n v="0"/>
    <n v="1609.1599999999999"/>
    <n v="0"/>
  </r>
  <r>
    <x v="0"/>
    <x v="1"/>
    <x v="0"/>
    <s v="5802200"/>
    <n v="742010"/>
    <s v="Postage-Regular"/>
    <s v="Heart&amp;Vascular-Aub-Shared Svc"/>
    <x v="0"/>
    <m/>
    <n v="0"/>
    <n v="0"/>
    <n v="0"/>
    <n v="0"/>
    <n v="29.8"/>
    <n v="0"/>
    <n v="0"/>
    <n v="0"/>
    <n v="0"/>
    <n v="0"/>
    <n v="0"/>
    <n v="0"/>
    <n v="29.8"/>
    <n v="0"/>
  </r>
  <r>
    <x v="0"/>
    <x v="1"/>
    <x v="0"/>
    <s v="5802200"/>
    <n v="742030"/>
    <s v="Freight-Courier"/>
    <s v="Heart&amp;Vascular-Aub-Shared Svc"/>
    <x v="0"/>
    <m/>
    <n v="0"/>
    <n v="332.5"/>
    <n v="0"/>
    <n v="0"/>
    <n v="0"/>
    <n v="0"/>
    <n v="0"/>
    <n v="0"/>
    <n v="0"/>
    <n v="0"/>
    <n v="0"/>
    <n v="0"/>
    <n v="332.5"/>
    <n v="0"/>
  </r>
  <r>
    <x v="0"/>
    <x v="1"/>
    <x v="0"/>
    <s v="5802200"/>
    <n v="742040"/>
    <s v="Freight-Other"/>
    <s v="Heart&amp;Vascular-Aub-Shared Svc"/>
    <x v="0"/>
    <m/>
    <n v="0"/>
    <n v="0"/>
    <n v="0"/>
    <n v="65.06"/>
    <n v="0"/>
    <n v="0"/>
    <n v="0"/>
    <n v="0"/>
    <n v="0"/>
    <n v="0"/>
    <n v="0"/>
    <n v="44.7"/>
    <n v="109.76"/>
    <n v="-44.7"/>
  </r>
  <r>
    <x v="0"/>
    <x v="1"/>
    <x v="0"/>
    <s v="5802200"/>
    <n v="743030"/>
    <s v="Subscriptions--Institutional"/>
    <s v="Heart&amp;Vascular-Aub-Shared Svc"/>
    <x v="0"/>
    <m/>
    <n v="0"/>
    <n v="0"/>
    <n v="0"/>
    <n v="0"/>
    <n v="0"/>
    <n v="0"/>
    <n v="0"/>
    <n v="0"/>
    <n v="28"/>
    <n v="0"/>
    <n v="0"/>
    <n v="0"/>
    <n v="28"/>
    <n v="0"/>
  </r>
  <r>
    <x v="0"/>
    <x v="1"/>
    <x v="0"/>
    <s v="5802200"/>
    <n v="749510"/>
    <s v="Miscellaneous Expenses"/>
    <s v="Heart&amp;Vascular-Aub-Shared Svc"/>
    <x v="0"/>
    <m/>
    <n v="-52.35"/>
    <n v="-35.97"/>
    <n v="448.91"/>
    <n v="291.76"/>
    <n v="966.5"/>
    <n v="7578.2"/>
    <n v="10114.780000000001"/>
    <n v="5089.74"/>
    <n v="662.01"/>
    <n v="355.05"/>
    <n v="64.36"/>
    <n v="19.72"/>
    <n v="25502.71"/>
    <n v="44.64"/>
  </r>
  <r>
    <x v="0"/>
    <x v="1"/>
    <x v="0"/>
    <s v="5802200"/>
    <n v="749510"/>
    <s v="Licenses"/>
    <s v="Heart&amp;Vascular-Aub-Shared Svc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802200"/>
    <n v="749510"/>
    <s v="RICE Rewards"/>
    <s v="Heart&amp;Vascular-Aub-Shared Svc"/>
    <x v="0"/>
    <n v="5100"/>
    <n v="0"/>
    <n v="0"/>
    <n v="0"/>
    <n v="220"/>
    <n v="0"/>
    <n v="0"/>
    <n v="0"/>
    <n v="0"/>
    <n v="0"/>
    <n v="0"/>
    <n v="0"/>
    <n v="0"/>
    <n v="220"/>
    <n v="0"/>
  </r>
  <r>
    <x v="0"/>
    <x v="1"/>
    <x v="0"/>
    <s v="5802200"/>
    <n v="749530"/>
    <s v="Mileage"/>
    <s v="Heart&amp;Vascular-Aub-Shared Svc"/>
    <x v="0"/>
    <n v="1001"/>
    <n v="95.39"/>
    <n v="341.23"/>
    <n v="298.17"/>
    <n v="274.74"/>
    <n v="460.08"/>
    <n v="397.35"/>
    <n v="261.67"/>
    <n v="621.13"/>
    <n v="346.84"/>
    <n v="153.12"/>
    <n v="387.44"/>
    <n v="439.06"/>
    <n v="4076.2200000000003"/>
    <n v="-51.620000000000005"/>
  </r>
  <r>
    <x v="0"/>
    <x v="1"/>
    <x v="0"/>
    <s v="5802200"/>
    <n v="749550"/>
    <s v="Cash Over/Short"/>
    <s v="Heart&amp;Vascular-Aub-Shared Svc"/>
    <x v="0"/>
    <m/>
    <n v="10"/>
    <n v="0"/>
    <n v="20"/>
    <n v="15"/>
    <n v="0"/>
    <n v="-0.55000000000000004"/>
    <n v="0"/>
    <n v="0"/>
    <n v="-30"/>
    <n v="-0.55000000000000004"/>
    <n v="10"/>
    <n v="0"/>
    <n v="23.900000000000002"/>
    <n v="10"/>
  </r>
  <r>
    <x v="0"/>
    <x v="1"/>
    <x v="0"/>
    <s v="5802200"/>
    <n v="766010"/>
    <s v="Property Tax"/>
    <s v="Heart&amp;Vascular-Aub-Shared Svc"/>
    <x v="0"/>
    <m/>
    <n v="1474.27"/>
    <n v="1474.27"/>
    <n v="1474.27"/>
    <n v="1474.27"/>
    <n v="1474.27"/>
    <n v="1474.27"/>
    <n v="1474.27"/>
    <n v="1474.27"/>
    <n v="1474.27"/>
    <n v="405.25"/>
    <n v="1207.01"/>
    <n v="1207.01"/>
    <n v="16087.700000000003"/>
    <n v="0"/>
  </r>
  <r>
    <x v="7"/>
    <x v="3"/>
    <x v="0"/>
    <s v="5803101"/>
    <n v="718050"/>
    <s v="Contract Svcs-Other"/>
    <s v="Cardiothoracic Surgeons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5803101"/>
    <n v="721835"/>
    <s v="Supplies-Forms"/>
    <s v="Cardiothoracic Surgeons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03200"/>
    <n v="700030"/>
    <s v="Salaries-LPN-Productive"/>
    <s v="Weight Mngmt-Shared Svc"/>
    <x v="0"/>
    <m/>
    <n v="0"/>
    <n v="0"/>
    <n v="0"/>
    <n v="0"/>
    <n v="0"/>
    <n v="0"/>
    <n v="0"/>
    <n v="0"/>
    <n v="0"/>
    <n v="0"/>
    <n v="453.2"/>
    <n v="-226.6"/>
    <n v="226.6"/>
    <n v="679.8"/>
  </r>
  <r>
    <x v="5"/>
    <x v="1"/>
    <x v="0"/>
    <s v="5803200"/>
    <n v="700032"/>
    <s v="Salaries-Other Pat Care Providers-Productive"/>
    <s v="Weight Mngmt-Shared Svc"/>
    <x v="0"/>
    <m/>
    <n v="4811.07"/>
    <n v="4603.1400000000003"/>
    <n v="4208.79"/>
    <n v="5250.72"/>
    <n v="5254.85"/>
    <n v="2125.08"/>
    <n v="5280.59"/>
    <n v="4688.88"/>
    <n v="4517.97"/>
    <n v="5231.33"/>
    <n v="5469.13"/>
    <n v="4488.25"/>
    <n v="55929.8"/>
    <n v="980.88000000000011"/>
  </r>
  <r>
    <x v="5"/>
    <x v="1"/>
    <x v="0"/>
    <s v="5803200"/>
    <n v="700032"/>
    <s v="Salaries-Other Pat Care Providers-OT"/>
    <s v="Weight Mngmt-Shared Svc"/>
    <x v="0"/>
    <n v="1000"/>
    <n v="0"/>
    <n v="0"/>
    <n v="0"/>
    <n v="0"/>
    <n v="0"/>
    <n v="0"/>
    <n v="0"/>
    <n v="31.21"/>
    <n v="-8.91"/>
    <n v="0"/>
    <n v="0"/>
    <n v="0"/>
    <n v="22.3"/>
    <n v="0"/>
  </r>
  <r>
    <x v="5"/>
    <x v="1"/>
    <x v="0"/>
    <s v="5803200"/>
    <n v="700032"/>
    <s v="Salaries-Other Pat Care Providers-Other"/>
    <s v="Weight Mngmt-Shared Svc"/>
    <x v="0"/>
    <n v="2000"/>
    <n v="0"/>
    <n v="0"/>
    <n v="0"/>
    <n v="0"/>
    <n v="0"/>
    <n v="0"/>
    <n v="1.4"/>
    <n v="-0.4"/>
    <n v="0"/>
    <n v="0"/>
    <n v="0"/>
    <n v="0"/>
    <n v="0.99999999999999989"/>
    <n v="0"/>
  </r>
  <r>
    <x v="5"/>
    <x v="1"/>
    <x v="0"/>
    <s v="5803200"/>
    <n v="700072"/>
    <s v="Salaries-Other Pat Care Providers-Non-productive"/>
    <s v="Weight Mngmt-Shared Svc"/>
    <x v="0"/>
    <m/>
    <n v="236.61"/>
    <n v="673.98"/>
    <n v="380.01"/>
    <n v="170.39"/>
    <n v="-31.16"/>
    <n v="2861.15"/>
    <n v="188.89"/>
    <n v="66.88"/>
    <n v="475.58"/>
    <n v="0"/>
    <n v="0"/>
    <n v="326.95999999999998"/>
    <n v="5349.29"/>
    <n v="-326.95999999999998"/>
  </r>
  <r>
    <x v="5"/>
    <x v="1"/>
    <x v="0"/>
    <s v="5803200"/>
    <n v="700084"/>
    <s v="Accrued PTO"/>
    <s v="Weight Mngmt-Shared Svc"/>
    <x v="0"/>
    <m/>
    <n v="269.87"/>
    <n v="-250.38"/>
    <n v="43.6"/>
    <n v="466.96"/>
    <n v="416.11"/>
    <n v="-2064.54"/>
    <n v="247.53"/>
    <n v="464.79"/>
    <n v="54.61"/>
    <n v="529.79"/>
    <n v="529.49"/>
    <n v="474.88"/>
    <n v="1182.71"/>
    <n v="54.610000000000014"/>
  </r>
  <r>
    <x v="6"/>
    <x v="1"/>
    <x v="0"/>
    <s v="5803200"/>
    <n v="713010"/>
    <s v="Benefits-FICA/Medicare"/>
    <s v="Weight Mngmt-Shared Svc"/>
    <x v="0"/>
    <m/>
    <n v="384.4"/>
    <n v="401.87"/>
    <n v="349.45"/>
    <n v="412.87"/>
    <n v="397.86"/>
    <n v="379.71"/>
    <n v="415.92"/>
    <n v="363.94"/>
    <n v="378.99"/>
    <n v="397.73"/>
    <n v="449.55"/>
    <n v="349.26"/>
    <n v="4681.55"/>
    <n v="100.29000000000002"/>
  </r>
  <r>
    <x v="6"/>
    <x v="1"/>
    <x v="0"/>
    <s v="5803200"/>
    <n v="713090"/>
    <s v="Benefits-Allocated Amounts"/>
    <s v="Weight Mngmt-Shared Svc"/>
    <x v="0"/>
    <m/>
    <n v="1151.93"/>
    <n v="1046.52"/>
    <n v="1091.1099999999999"/>
    <n v="1185.81"/>
    <n v="1180.94"/>
    <n v="939.43"/>
    <n v="1316.29"/>
    <n v="1409.37"/>
    <n v="1058.2"/>
    <n v="1244.3699999999999"/>
    <n v="1349.36"/>
    <n v="1231.8599999999999"/>
    <n v="14205.190000000002"/>
    <n v="117.5"/>
  </r>
  <r>
    <x v="7"/>
    <x v="1"/>
    <x v="0"/>
    <s v="5803200"/>
    <n v="718050"/>
    <s v="Contract Svcs-Other"/>
    <s v="Weight Mngmt-Shared Svc"/>
    <x v="0"/>
    <m/>
    <n v="0"/>
    <n v="0"/>
    <n v="0"/>
    <n v="0"/>
    <n v="0"/>
    <n v="0"/>
    <n v="0"/>
    <n v="0"/>
    <n v="0"/>
    <n v="0"/>
    <n v="0"/>
    <n v="22.56"/>
    <n v="22.56"/>
    <n v="-22.56"/>
  </r>
  <r>
    <x v="11"/>
    <x v="1"/>
    <x v="0"/>
    <s v="5803200"/>
    <n v="721810"/>
    <s v="Supplies-Dietary/Cafeteria"/>
    <s v="Weight Mngmt-Shared Svc"/>
    <x v="0"/>
    <m/>
    <n v="125.65"/>
    <n v="0"/>
    <n v="0"/>
    <n v="45.77"/>
    <n v="0"/>
    <n v="0"/>
    <n v="91.54"/>
    <n v="0"/>
    <n v="0"/>
    <n v="91.54"/>
    <n v="0"/>
    <n v="0"/>
    <n v="354.50000000000006"/>
    <n v="0"/>
  </r>
  <r>
    <x v="12"/>
    <x v="1"/>
    <x v="0"/>
    <s v="5803200"/>
    <n v="730010"/>
    <s v="Rental and Leases-Building (DO NOT USE)"/>
    <s v="Weight Mngmt-Shared Svc"/>
    <x v="0"/>
    <m/>
    <n v="3934.98"/>
    <n v="4583.97"/>
    <n v="4017.22"/>
    <n v="5150.72"/>
    <n v="4583.97"/>
    <n v="-6519.15"/>
    <n v="2517.12"/>
    <n v="2517.12"/>
    <n v="2517.12"/>
    <n v="2517.12"/>
    <n v="2577.9499999999998"/>
    <n v="0"/>
    <n v="28398.14"/>
    <n v="2577.9499999999998"/>
  </r>
  <r>
    <x v="12"/>
    <x v="1"/>
    <x v="0"/>
    <s v="5803200"/>
    <n v="730010"/>
    <s v="Rental-Common Area Maint (DO NOT USE)"/>
    <s v="Weight Mngmt-Shared Svc"/>
    <x v="0"/>
    <n v="2200"/>
    <n v="0"/>
    <n v="0"/>
    <n v="0"/>
    <n v="0"/>
    <n v="0"/>
    <n v="10712.48"/>
    <n v="1676.21"/>
    <n v="1676.21"/>
    <n v="1560.59"/>
    <n v="1676.21"/>
    <n v="1676.21"/>
    <n v="0"/>
    <n v="18977.909999999996"/>
    <n v="1676.21"/>
  </r>
  <r>
    <x v="12"/>
    <x v="1"/>
    <x v="0"/>
    <s v="5803200"/>
    <n v="730020"/>
    <s v="Rental and Leases-Copier Usage Fees (DO NOT USE)"/>
    <s v="Weight Mngmt-Shared Svc"/>
    <x v="0"/>
    <n v="5100"/>
    <n v="187.34"/>
    <n v="191.12"/>
    <n v="189.24"/>
    <n v="189.24"/>
    <n v="189.23"/>
    <n v="189.24"/>
    <n v="297.01"/>
    <n v="192.52"/>
    <n v="192.11"/>
    <n v="212.8"/>
    <n v="192.52"/>
    <n v="226.55"/>
    <n v="2448.9200000000005"/>
    <n v="-34.03"/>
  </r>
  <r>
    <x v="12"/>
    <x v="1"/>
    <x v="0"/>
    <s v="5803200"/>
    <n v="730040"/>
    <s v="LT Lease-Real Estate"/>
    <s v="Weight Mngmt-Shared Svc"/>
    <x v="0"/>
    <m/>
    <n v="0"/>
    <n v="0"/>
    <n v="0"/>
    <n v="0"/>
    <n v="0"/>
    <n v="0"/>
    <n v="0"/>
    <n v="0"/>
    <n v="0"/>
    <n v="0"/>
    <n v="0"/>
    <n v="4256.26"/>
    <n v="4256.26"/>
    <n v="-4256.26"/>
  </r>
  <r>
    <x v="0"/>
    <x v="1"/>
    <x v="0"/>
    <s v="5803200"/>
    <n v="749510"/>
    <s v="Miscellaneous Expenses"/>
    <s v="Weight Mngmt-Shared Svc"/>
    <x v="0"/>
    <m/>
    <n v="0"/>
    <n v="0"/>
    <n v="15.21"/>
    <n v="0"/>
    <n v="0"/>
    <n v="0"/>
    <n v="0"/>
    <n v="0"/>
    <n v="0"/>
    <n v="0"/>
    <n v="0"/>
    <n v="0"/>
    <n v="15.21"/>
    <n v="0"/>
  </r>
  <r>
    <x v="0"/>
    <x v="1"/>
    <x v="0"/>
    <s v="5803200"/>
    <n v="749510"/>
    <s v="Licenses"/>
    <s v="Weight Mngmt-Shared Svc"/>
    <x v="0"/>
    <n v="1002"/>
    <n v="0"/>
    <n v="0"/>
    <n v="0"/>
    <n v="61"/>
    <n v="0"/>
    <n v="0"/>
    <n v="0"/>
    <n v="0"/>
    <n v="0"/>
    <n v="0"/>
    <n v="0"/>
    <n v="0"/>
    <n v="61"/>
    <n v="0"/>
  </r>
  <r>
    <x v="0"/>
    <x v="1"/>
    <x v="0"/>
    <s v="5803200"/>
    <n v="766010"/>
    <s v="Property Tax"/>
    <s v="Weight Mngmt-Shared Svc"/>
    <x v="0"/>
    <m/>
    <n v="23.93"/>
    <n v="23.93"/>
    <n v="23.93"/>
    <n v="23.93"/>
    <n v="23.93"/>
    <n v="23.93"/>
    <n v="23.93"/>
    <n v="23.93"/>
    <n v="23.93"/>
    <n v="4.93"/>
    <n v="19.18"/>
    <n v="19.18"/>
    <n v="258.66000000000003"/>
    <n v="0"/>
  </r>
  <r>
    <x v="7"/>
    <x v="12"/>
    <x v="0"/>
    <s v="5803201"/>
    <n v="718050"/>
    <s v="Contract Svcs-Other"/>
    <s v="Cardiothoracic Surgeons"/>
    <x v="0"/>
    <m/>
    <n v="0"/>
    <n v="0"/>
    <n v="0"/>
    <n v="0"/>
    <n v="0"/>
    <n v="0"/>
    <n v="0"/>
    <n v="0"/>
    <n v="0"/>
    <n v="0"/>
    <n v="0"/>
    <n v="0"/>
    <n v="0"/>
    <n v="0"/>
  </r>
  <r>
    <x v="11"/>
    <x v="12"/>
    <x v="0"/>
    <s v="5803201"/>
    <n v="721835"/>
    <s v="Supplies-Forms"/>
    <s v="Cardiothoracic Surgeons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804101"/>
    <n v="700032"/>
    <s v="Salaries-Other Pat Care Providers-Productive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5804101"/>
    <n v="700072"/>
    <s v="Salaries-Other Pat Care Providers-Non-productive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5804101"/>
    <n v="713090"/>
    <s v="Benefits-Allocated Amounts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17"/>
    <x v="3"/>
    <x v="0"/>
    <s v="5804101"/>
    <n v="714510"/>
    <s v="Medical Director Fees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7"/>
    <x v="3"/>
    <x v="0"/>
    <s v="5804101"/>
    <n v="718040"/>
    <s v="Contract Svcs-Laboratory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8"/>
    <x v="3"/>
    <x v="0"/>
    <s v="5804101"/>
    <n v="741012"/>
    <s v="Physician Liab Insurance-CHI Program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5804101"/>
    <n v="743020"/>
    <s v="Dues--Individual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17"/>
    <x v="1"/>
    <x v="0"/>
    <s v="5804200"/>
    <n v="714510"/>
    <s v="Medical Director Fees"/>
    <s v="Gastrology"/>
    <x v="0"/>
    <m/>
    <n v="0"/>
    <n v="0"/>
    <n v="0"/>
    <n v="22400"/>
    <n v="0"/>
    <n v="0"/>
    <n v="0"/>
    <n v="0"/>
    <n v="-22400"/>
    <n v="0"/>
    <n v="0"/>
    <n v="0"/>
    <n v="0"/>
    <n v="0"/>
  </r>
  <r>
    <x v="7"/>
    <x v="1"/>
    <x v="0"/>
    <s v="5804200"/>
    <n v="718050"/>
    <s v="Contract Svcs-Other"/>
    <s v="Gastrology"/>
    <x v="0"/>
    <m/>
    <n v="0"/>
    <n v="1485"/>
    <n v="0"/>
    <n v="0"/>
    <n v="0"/>
    <n v="0"/>
    <n v="0"/>
    <n v="0"/>
    <n v="0"/>
    <n v="0"/>
    <n v="0"/>
    <n v="0"/>
    <n v="1485"/>
    <n v="0"/>
  </r>
  <r>
    <x v="7"/>
    <x v="1"/>
    <x v="0"/>
    <s v="5804200"/>
    <n v="718050"/>
    <s v="Contract Management--Linen"/>
    <s v="Gastrology"/>
    <x v="0"/>
    <n v="1026"/>
    <n v="0"/>
    <n v="0"/>
    <n v="39.5"/>
    <n v="0"/>
    <n v="0"/>
    <n v="0"/>
    <n v="0"/>
    <n v="0"/>
    <n v="0"/>
    <n v="0"/>
    <n v="0"/>
    <n v="0"/>
    <n v="39.5"/>
    <n v="0"/>
  </r>
  <r>
    <x v="11"/>
    <x v="1"/>
    <x v="0"/>
    <s v="5804200"/>
    <n v="721910"/>
    <s v="Supplies-Small Equipment"/>
    <s v="Gastrology"/>
    <x v="0"/>
    <m/>
    <n v="0"/>
    <n v="792.32"/>
    <n v="0"/>
    <n v="0"/>
    <n v="0"/>
    <n v="0"/>
    <n v="0"/>
    <n v="0"/>
    <n v="0"/>
    <n v="0"/>
    <n v="0"/>
    <n v="0"/>
    <n v="792.32"/>
    <n v="0"/>
  </r>
  <r>
    <x v="1"/>
    <x v="12"/>
    <x v="0"/>
    <s v="5804201"/>
    <n v="400040"/>
    <s v="Physician Svcs Rev--Medicare"/>
    <s v="Laparoscopic Surgery Fellow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12"/>
    <x v="0"/>
    <s v="5804201"/>
    <n v="400040"/>
    <s v="Physician Svcs Rev--Medicaid"/>
    <s v="Laparoscopic Surgery Fellow"/>
    <x v="0"/>
    <n v="1200"/>
    <n v="0"/>
    <n v="0"/>
    <n v="0"/>
    <n v="0"/>
    <n v="0"/>
    <n v="0"/>
    <n v="0"/>
    <n v="0"/>
    <n v="0"/>
    <n v="0"/>
    <n v="0"/>
    <n v="0"/>
    <n v="0"/>
    <n v="0"/>
  </r>
  <r>
    <x v="1"/>
    <x v="12"/>
    <x v="0"/>
    <s v="5804201"/>
    <n v="400040"/>
    <s v="Physician Svcs Rev--Comm Insurance"/>
    <s v="Laparoscopic Surgery Fellow"/>
    <x v="0"/>
    <n v="1300"/>
    <n v="0"/>
    <n v="0"/>
    <n v="0"/>
    <n v="0"/>
    <n v="0"/>
    <n v="0"/>
    <n v="0"/>
    <n v="0"/>
    <n v="0"/>
    <n v="0"/>
    <n v="0"/>
    <n v="0"/>
    <n v="0"/>
    <n v="0"/>
  </r>
  <r>
    <x v="1"/>
    <x v="12"/>
    <x v="0"/>
    <s v="5804201"/>
    <n v="400040"/>
    <s v="Physician Svcs Rev--BCBS Comm"/>
    <s v="Laparoscopic Surgery Fellow"/>
    <x v="0"/>
    <n v="1301"/>
    <n v="0"/>
    <n v="0"/>
    <n v="0"/>
    <n v="0"/>
    <n v="0"/>
    <n v="0"/>
    <n v="0"/>
    <n v="0"/>
    <n v="0"/>
    <n v="0"/>
    <n v="0"/>
    <n v="0"/>
    <n v="0"/>
    <n v="0"/>
  </r>
  <r>
    <x v="1"/>
    <x v="12"/>
    <x v="0"/>
    <s v="5804201"/>
    <n v="400040"/>
    <s v="Physician Svcs Rev--Managed Care"/>
    <s v="Laparoscopic Surgery Fellow"/>
    <x v="0"/>
    <n v="1400"/>
    <n v="0"/>
    <n v="0"/>
    <n v="0"/>
    <n v="0"/>
    <n v="0"/>
    <n v="0"/>
    <n v="0"/>
    <n v="0"/>
    <n v="0"/>
    <n v="0"/>
    <n v="0"/>
    <n v="0"/>
    <n v="0"/>
    <n v="0"/>
  </r>
  <r>
    <x v="1"/>
    <x v="12"/>
    <x v="0"/>
    <s v="5804201"/>
    <n v="400040"/>
    <s v="Physician Svcs Rev--Self Pay"/>
    <s v="Laparoscopic Surgery Fellow"/>
    <x v="0"/>
    <n v="1500"/>
    <n v="0"/>
    <n v="0"/>
    <n v="0"/>
    <n v="0"/>
    <n v="0"/>
    <n v="0"/>
    <n v="0"/>
    <n v="0"/>
    <n v="0"/>
    <n v="0"/>
    <n v="0"/>
    <n v="0"/>
    <n v="0"/>
    <n v="0"/>
  </r>
  <r>
    <x v="1"/>
    <x v="12"/>
    <x v="0"/>
    <s v="5804201"/>
    <n v="400040"/>
    <s v="Physician Svcs Rev--Other"/>
    <s v="Laparoscopic Surgery Fellow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Contr Allow--Phys Svcs--Mcare"/>
    <s v="Laparoscopic Surgery Fellow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Contr Allow--Phys Svcs--Mcaid"/>
    <s v="Laparoscopic Surgery Fellow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Contr Allow--Phys Svcs--Comm Insurance"/>
    <s v="Laparoscopic Surgery Fellow"/>
    <x v="0"/>
    <n v="1300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Contr Allow--Phys Svcs--BCBS Comm Ins"/>
    <s v="Laparoscopic Surgery Fellow"/>
    <x v="0"/>
    <n v="1301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Contr Allow--Phys Svcs--Managed Care"/>
    <s v="Laparoscopic Surgery Fellow"/>
    <x v="0"/>
    <n v="1400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Contr Allow--Phys Svcs--BCBS Mgnd Care"/>
    <s v="Laparoscopic Surgery Fellow"/>
    <x v="0"/>
    <n v="1401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Admin Adjust-Phys Svcs-Self Pay"/>
    <s v="Laparoscopic Surgery Fellow"/>
    <x v="0"/>
    <n v="1600"/>
    <n v="0"/>
    <n v="0"/>
    <n v="0"/>
    <n v="0"/>
    <n v="0"/>
    <n v="0"/>
    <n v="0"/>
    <n v="0"/>
    <n v="0"/>
    <n v="0"/>
    <n v="0"/>
    <n v="0"/>
    <n v="0"/>
    <n v="0"/>
  </r>
  <r>
    <x v="2"/>
    <x v="12"/>
    <x v="0"/>
    <s v="5804201"/>
    <n v="450040"/>
    <s v="Contr Allow--Phys Svcs--Other"/>
    <s v="Laparoscopic Surgery Fellow"/>
    <x v="0"/>
    <n v="1700"/>
    <n v="0"/>
    <n v="0"/>
    <n v="0"/>
    <n v="0"/>
    <n v="0"/>
    <n v="0"/>
    <n v="0"/>
    <n v="0"/>
    <n v="0"/>
    <n v="0"/>
    <n v="0"/>
    <n v="0"/>
    <n v="0"/>
    <n v="0"/>
  </r>
  <r>
    <x v="3"/>
    <x v="12"/>
    <x v="0"/>
    <s v="5804201"/>
    <n v="470040"/>
    <s v="Charity Care-Physician Svcs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4"/>
    <x v="12"/>
    <x v="0"/>
    <s v="5804201"/>
    <n v="490010"/>
    <s v="Provision for Bad Debts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5"/>
    <x v="12"/>
    <x v="0"/>
    <s v="5804201"/>
    <n v="700032"/>
    <s v="Salaries-Other Pat Care Providers-Productive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5"/>
    <x v="12"/>
    <x v="0"/>
    <s v="5804201"/>
    <n v="700072"/>
    <s v="Salaries-Other Pat Care Providers-Non-productive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6"/>
    <x v="12"/>
    <x v="0"/>
    <s v="5804201"/>
    <n v="713010"/>
    <s v="Benefits-FICA/Medicare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6"/>
    <x v="12"/>
    <x v="0"/>
    <s v="5804201"/>
    <n v="713090"/>
    <s v="Benefits-Allocated Amounts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17"/>
    <x v="12"/>
    <x v="0"/>
    <s v="5804201"/>
    <n v="714510"/>
    <s v="Medical Director Fees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7"/>
    <x v="12"/>
    <x v="0"/>
    <s v="5804201"/>
    <n v="718040"/>
    <s v="Contract Svcs-Laboratory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0"/>
    <x v="12"/>
    <x v="0"/>
    <s v="5804201"/>
    <n v="740020"/>
    <s v="Education-Registration Fees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8"/>
    <x v="12"/>
    <x v="0"/>
    <s v="5804201"/>
    <n v="741012"/>
    <s v="Physician Liab Insurance-CHI Program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0"/>
    <x v="12"/>
    <x v="0"/>
    <s v="5804201"/>
    <n v="743020"/>
    <s v="Dues--Individual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0"/>
    <x v="12"/>
    <x v="0"/>
    <s v="5804201"/>
    <n v="749510"/>
    <s v="Licenses"/>
    <s v="Laparoscopic Surgery Fellow"/>
    <x v="0"/>
    <n v="1002"/>
    <n v="0"/>
    <n v="0"/>
    <n v="0"/>
    <n v="0"/>
    <n v="0"/>
    <n v="0"/>
    <n v="0"/>
    <n v="0"/>
    <n v="0"/>
    <n v="0"/>
    <n v="0"/>
    <n v="0"/>
    <n v="0"/>
    <n v="0"/>
  </r>
  <r>
    <x v="0"/>
    <x v="12"/>
    <x v="0"/>
    <s v="5804201"/>
    <n v="749530"/>
    <s v="Travel"/>
    <s v="Laparoscopic Surgery Fellow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5805101"/>
    <n v="721980"/>
    <s v="Supplies-Other"/>
    <s v="Nephrology Practice"/>
    <x v="0"/>
    <m/>
    <n v="0"/>
    <n v="0"/>
    <n v="480"/>
    <n v="-480"/>
    <n v="0"/>
    <n v="0"/>
    <n v="0"/>
    <n v="0"/>
    <n v="0"/>
    <n v="0"/>
    <n v="0"/>
    <n v="0"/>
    <n v="0"/>
    <n v="0"/>
  </r>
  <r>
    <x v="13"/>
    <x v="3"/>
    <x v="0"/>
    <s v="5805101"/>
    <n v="735070"/>
    <s v="Depreciation-Movable Equipment"/>
    <s v="Nephrology Practice"/>
    <x v="0"/>
    <m/>
    <n v="0"/>
    <n v="1787.07"/>
    <n v="1787.07"/>
    <n v="1787.07"/>
    <n v="1787.07"/>
    <n v="1787.07"/>
    <n v="1787.07"/>
    <n v="1787.07"/>
    <n v="1787.07"/>
    <n v="1787.07"/>
    <n v="1787.08"/>
    <n v="1787.07"/>
    <n v="19657.78"/>
    <n v="9.9999999999909051E-3"/>
  </r>
  <r>
    <x v="1"/>
    <x v="1"/>
    <x v="0"/>
    <s v="5805200"/>
    <n v="400029"/>
    <s v="MD Practice Other Rev--Medicare"/>
    <s v="FMG-Critical Care APC"/>
    <x v="0"/>
    <n v="1100"/>
    <n v="0"/>
    <n v="0"/>
    <n v="-40"/>
    <n v="0"/>
    <n v="-40"/>
    <n v="0"/>
    <n v="0"/>
    <n v="0"/>
    <n v="0"/>
    <n v="0"/>
    <n v="0"/>
    <n v="0"/>
    <n v="-80"/>
    <n v="0"/>
  </r>
  <r>
    <x v="1"/>
    <x v="1"/>
    <x v="0"/>
    <s v="5805200"/>
    <n v="400029"/>
    <s v="MD Practice Other Rev--Medicaid"/>
    <s v="FMG-Critical Care APC"/>
    <x v="0"/>
    <n v="1200"/>
    <n v="0"/>
    <n v="0"/>
    <n v="0"/>
    <n v="-40"/>
    <n v="40"/>
    <n v="0"/>
    <n v="0"/>
    <n v="0"/>
    <n v="0"/>
    <n v="-40"/>
    <n v="0"/>
    <n v="0"/>
    <n v="-40"/>
    <n v="0"/>
  </r>
  <r>
    <x v="1"/>
    <x v="1"/>
    <x v="0"/>
    <s v="5805200"/>
    <n v="400040"/>
    <s v="Physician Svcs Rev--Medicare"/>
    <s v="FMG-Critical Care APC"/>
    <x v="0"/>
    <n v="1100"/>
    <n v="-22766"/>
    <n v="-30077"/>
    <n v="-30989"/>
    <n v="-39180"/>
    <n v="-35574"/>
    <n v="-42273"/>
    <n v="-34125"/>
    <n v="-42571"/>
    <n v="-38715"/>
    <n v="-48212"/>
    <n v="-32817"/>
    <n v="-28613"/>
    <n v="-425912"/>
    <n v="-4204"/>
  </r>
  <r>
    <x v="1"/>
    <x v="1"/>
    <x v="0"/>
    <s v="5805200"/>
    <n v="400040"/>
    <s v="Physician Svcs Rev--Medicaid"/>
    <s v="FMG-Critical Care APC"/>
    <x v="0"/>
    <n v="1200"/>
    <n v="-13174"/>
    <n v="-14109"/>
    <n v="-12156"/>
    <n v="-16523"/>
    <n v="-4915"/>
    <n v="-13398"/>
    <n v="-18494"/>
    <n v="-17742"/>
    <n v="-18738"/>
    <n v="-17746"/>
    <n v="-14741"/>
    <n v="-12778"/>
    <n v="-174514"/>
    <n v="-1963"/>
  </r>
  <r>
    <x v="1"/>
    <x v="1"/>
    <x v="0"/>
    <s v="5805200"/>
    <n v="400040"/>
    <s v="Physician Svcs Rev--Comm Insurance"/>
    <s v="FMG-Critical Care APC"/>
    <x v="0"/>
    <n v="1300"/>
    <n v="-2454"/>
    <n v="616"/>
    <n v="-614"/>
    <n v="-2078"/>
    <n v="-612"/>
    <n v="-2448"/>
    <n v="612"/>
    <n v="-1224"/>
    <n v="-134"/>
    <n v="0"/>
    <n v="-1224"/>
    <n v="-612"/>
    <n v="-10172"/>
    <n v="-612"/>
  </r>
  <r>
    <x v="1"/>
    <x v="1"/>
    <x v="0"/>
    <s v="5805200"/>
    <n v="400040"/>
    <s v="Physician Svcs Rev--BCBS Comm"/>
    <s v="FMG-Critical Care APC"/>
    <x v="0"/>
    <n v="1301"/>
    <n v="-614"/>
    <n v="-1224"/>
    <n v="-612"/>
    <n v="-988"/>
    <n v="-612"/>
    <n v="-5138"/>
    <n v="-7344"/>
    <n v="-2015"/>
    <n v="-1041"/>
    <n v="-3672"/>
    <n v="-1424"/>
    <n v="-134"/>
    <n v="-24818"/>
    <n v="-1290"/>
  </r>
  <r>
    <x v="1"/>
    <x v="1"/>
    <x v="0"/>
    <s v="5805200"/>
    <n v="400040"/>
    <s v="Physician Svcs Rev--Managed Care"/>
    <s v="FMG-Critical Care APC"/>
    <x v="0"/>
    <n v="1400"/>
    <n v="-13415"/>
    <n v="-3847"/>
    <n v="-6020"/>
    <n v="-8144"/>
    <n v="-8704"/>
    <n v="-6561"/>
    <n v="-7200"/>
    <n v="-11762"/>
    <n v="-4314"/>
    <n v="-7068"/>
    <n v="-7880"/>
    <n v="-9391"/>
    <n v="-94306"/>
    <n v="1511"/>
  </r>
  <r>
    <x v="1"/>
    <x v="1"/>
    <x v="0"/>
    <s v="5805200"/>
    <n v="400040"/>
    <s v="Physician Svcs Rev--Self Pay"/>
    <s v="FMG-Critical Care APC"/>
    <x v="0"/>
    <n v="1500"/>
    <n v="4"/>
    <n v="-1226"/>
    <n v="-2378"/>
    <n v="-2448"/>
    <n v="-1669"/>
    <n v="-4094"/>
    <n v="-1285"/>
    <n v="-4418"/>
    <n v="-3062"/>
    <n v="1258"/>
    <n v="-1834"/>
    <n v="-1158"/>
    <n v="-22310"/>
    <n v="-676"/>
  </r>
  <r>
    <x v="1"/>
    <x v="1"/>
    <x v="0"/>
    <s v="5805200"/>
    <n v="400040"/>
    <s v="Physician Svcs Rev--Other"/>
    <s v="FMG-Critical Care APC"/>
    <x v="0"/>
    <n v="1700"/>
    <n v="1230"/>
    <n v="1842"/>
    <n v="-1222"/>
    <n v="-3060"/>
    <n v="-6223"/>
    <n v="-5030"/>
    <n v="-6879"/>
    <n v="-2842"/>
    <n v="-4101"/>
    <n v="1156"/>
    <n v="-4896"/>
    <n v="-7239"/>
    <n v="-37264"/>
    <n v="2343"/>
  </r>
  <r>
    <x v="2"/>
    <x v="1"/>
    <x v="0"/>
    <s v="5805200"/>
    <n v="450029"/>
    <s v="Contr Allow--MD Other-Medicare"/>
    <s v="FMG-Critical Care APC"/>
    <x v="0"/>
    <n v="1100"/>
    <n v="0"/>
    <n v="0"/>
    <n v="0"/>
    <n v="25.14"/>
    <n v="27.74"/>
    <n v="0"/>
    <n v="0"/>
    <n v="0"/>
    <n v="0"/>
    <n v="0"/>
    <n v="0"/>
    <n v="0"/>
    <n v="52.879999999999995"/>
    <n v="0"/>
  </r>
  <r>
    <x v="2"/>
    <x v="1"/>
    <x v="0"/>
    <s v="5805200"/>
    <n v="450029"/>
    <s v="Contr Allow--MD Other-Medicaid"/>
    <s v="FMG-Critical Care APC"/>
    <x v="0"/>
    <n v="1200"/>
    <n v="0"/>
    <n v="0"/>
    <n v="0"/>
    <n v="0"/>
    <n v="0"/>
    <n v="0"/>
    <n v="0"/>
    <n v="31.5"/>
    <n v="0"/>
    <n v="0"/>
    <n v="30.99"/>
    <n v="0"/>
    <n v="62.489999999999995"/>
    <n v="30.99"/>
  </r>
  <r>
    <x v="2"/>
    <x v="1"/>
    <x v="0"/>
    <s v="5805200"/>
    <n v="450040"/>
    <s v="Contr Allow--Phys Svcs--Mcare"/>
    <s v="FMG-Critical Care APC"/>
    <x v="0"/>
    <n v="1100"/>
    <n v="19405.82"/>
    <n v="12672.06"/>
    <n v="19115.259999999998"/>
    <n v="21560.1"/>
    <n v="25317.43"/>
    <n v="22340.18"/>
    <n v="23892.19"/>
    <n v="19127.54"/>
    <n v="27031.439999999999"/>
    <n v="32596.23"/>
    <n v="21557.54"/>
    <n v="17631.990000000002"/>
    <n v="262247.78000000003"/>
    <n v="3925.5499999999993"/>
  </r>
  <r>
    <x v="2"/>
    <x v="1"/>
    <x v="0"/>
    <s v="5805200"/>
    <n v="450040"/>
    <s v="Contr Allow--Phys Svcs--Mcaid"/>
    <s v="FMG-Critical Care APC"/>
    <x v="0"/>
    <n v="1200"/>
    <n v="15176.27"/>
    <n v="10956.13"/>
    <n v="7450.58"/>
    <n v="13960.39"/>
    <n v="5912.32"/>
    <n v="7845.94"/>
    <n v="10831.65"/>
    <n v="12996.47"/>
    <n v="17484.64"/>
    <n v="10570.66"/>
    <n v="12695.06"/>
    <n v="11725.95"/>
    <n v="137606.06"/>
    <n v="969.10999999999876"/>
  </r>
  <r>
    <x v="2"/>
    <x v="1"/>
    <x v="0"/>
    <s v="5805200"/>
    <n v="450040"/>
    <s v="Contr Allow--Phys Svcs--Comm Insurance"/>
    <s v="FMG-Critical Care APC"/>
    <x v="0"/>
    <n v="1300"/>
    <n v="311.88"/>
    <n v="0"/>
    <n v="627.79999999999995"/>
    <n v="0"/>
    <n v="391"/>
    <n v="0"/>
    <n v="0"/>
    <n v="392.74"/>
    <n v="266.98"/>
    <n v="47.96"/>
    <n v="0"/>
    <n v="136.84"/>
    <n v="2175.1999999999998"/>
    <n v="-136.84"/>
  </r>
  <r>
    <x v="2"/>
    <x v="1"/>
    <x v="0"/>
    <s v="5805200"/>
    <n v="450040"/>
    <s v="Contr Allow--Phys Svcs--BCBS Comm Ins"/>
    <s v="FMG-Critical Care APC"/>
    <x v="0"/>
    <n v="1301"/>
    <n v="531.49"/>
    <n v="489.23"/>
    <n v="0"/>
    <n v="0"/>
    <n v="91.48"/>
    <n v="311.23"/>
    <n v="621.66999999999996"/>
    <n v="1870.2"/>
    <n v="1246.51"/>
    <n v="135.22999999999999"/>
    <n v="1447.91"/>
    <n v="238"/>
    <n v="6982.95"/>
    <n v="1209.9100000000001"/>
  </r>
  <r>
    <x v="2"/>
    <x v="1"/>
    <x v="0"/>
    <s v="5805200"/>
    <n v="450040"/>
    <s v="Contr Allow--Phys Svcs--Managed Care"/>
    <s v="FMG-Critical Care APC"/>
    <x v="0"/>
    <n v="1400"/>
    <n v="4738.8500000000004"/>
    <n v="3296.9"/>
    <n v="1822.3"/>
    <n v="1464.71"/>
    <n v="4339.47"/>
    <n v="1013.83"/>
    <n v="3044.94"/>
    <n v="2899.69"/>
    <n v="3790.46"/>
    <n v="1568.1"/>
    <n v="2690.04"/>
    <n v="3601.16"/>
    <n v="34270.449999999997"/>
    <n v="-911.11999999999989"/>
  </r>
  <r>
    <x v="2"/>
    <x v="1"/>
    <x v="0"/>
    <s v="5805200"/>
    <n v="450040"/>
    <s v="Contr Allow--Phys Svcs--BCBS Mgnd Care"/>
    <s v="FMG-Critical Care APC"/>
    <x v="0"/>
    <n v="1401"/>
    <n v="-6000.27"/>
    <n v="-1719.96"/>
    <n v="4695.21"/>
    <n v="8074.94"/>
    <n v="-3663.13"/>
    <n v="13307.44"/>
    <n v="9160.11"/>
    <n v="11909.84"/>
    <n v="-4579.8500000000004"/>
    <n v="1140.0899999999999"/>
    <n v="-85.69"/>
    <n v="-13997.38"/>
    <n v="18241.350000000006"/>
    <n v="13911.689999999999"/>
  </r>
  <r>
    <x v="2"/>
    <x v="1"/>
    <x v="0"/>
    <s v="5805200"/>
    <n v="450040"/>
    <s v="Admin Adjust-Phys Svcs-Self Pay"/>
    <s v="FMG-Critical Care APC"/>
    <x v="0"/>
    <n v="1600"/>
    <n v="-1.48"/>
    <n v="1176.99"/>
    <n v="882.78"/>
    <n v="905.76"/>
    <n v="617.53"/>
    <n v="1514.78"/>
    <n v="483.19"/>
    <n v="728.9"/>
    <n v="679.32"/>
    <n v="-515.04"/>
    <n v="868.3"/>
    <n v="28391.85"/>
    <n v="35732.879999999997"/>
    <n v="-27523.55"/>
  </r>
  <r>
    <x v="2"/>
    <x v="1"/>
    <x v="0"/>
    <s v="5805200"/>
    <n v="450040"/>
    <s v="Contr Allow--Phys Svcs--Other"/>
    <s v="FMG-Critical Care APC"/>
    <x v="0"/>
    <n v="1700"/>
    <n v="601.97"/>
    <n v="3936.99"/>
    <n v="455.79"/>
    <n v="0"/>
    <n v="2795.64"/>
    <n v="2094.73"/>
    <n v="0"/>
    <n v="1251.72"/>
    <n v="35.659999999999997"/>
    <n v="3453.8"/>
    <n v="4525.99"/>
    <n v="1879.29"/>
    <n v="21031.58"/>
    <n v="2646.7"/>
  </r>
  <r>
    <x v="3"/>
    <x v="1"/>
    <x v="0"/>
    <s v="5805200"/>
    <n v="470040"/>
    <s v="Charity Care-Physician Svcs"/>
    <s v="FMG-Critical Care APC"/>
    <x v="0"/>
    <m/>
    <n v="-299.95"/>
    <n v="242.39"/>
    <n v="308.63"/>
    <n v="340.27"/>
    <n v="-59.67"/>
    <n v="751.36"/>
    <n v="831.32"/>
    <n v="653.16999999999996"/>
    <n v="1078.45"/>
    <n v="728.1"/>
    <n v="494.26"/>
    <n v="3466.63"/>
    <n v="8534.9600000000009"/>
    <n v="-2972.37"/>
  </r>
  <r>
    <x v="4"/>
    <x v="1"/>
    <x v="0"/>
    <s v="5805200"/>
    <n v="490010"/>
    <s v="Provision for Bad Debts"/>
    <s v="FMG-Critical Care APC"/>
    <x v="0"/>
    <m/>
    <n v="-920.64"/>
    <n v="-38.18"/>
    <n v="1016.92"/>
    <n v="2188.34"/>
    <n v="2232.4"/>
    <n v="1732.15"/>
    <n v="-122.07"/>
    <n v="699.95"/>
    <n v="792.87"/>
    <n v="16246.05"/>
    <n v="-15899.87"/>
    <n v="-971.45"/>
    <n v="6956.47"/>
    <n v="-14928.42"/>
  </r>
  <r>
    <x v="5"/>
    <x v="1"/>
    <x v="0"/>
    <s v="5805200"/>
    <n v="700014"/>
    <s v="Salaries-Management-Productive"/>
    <s v="FMG-Critical Care APC"/>
    <x v="0"/>
    <m/>
    <n v="0"/>
    <n v="0"/>
    <n v="0"/>
    <n v="0"/>
    <n v="0"/>
    <n v="0"/>
    <n v="0"/>
    <n v="0"/>
    <n v="0"/>
    <n v="0"/>
    <n v="0"/>
    <n v="6694.82"/>
    <n v="6694.82"/>
    <n v="-6694.82"/>
  </r>
  <r>
    <x v="5"/>
    <x v="1"/>
    <x v="0"/>
    <s v="5805200"/>
    <n v="700024"/>
    <s v="Salaries-Advanced Practice Clinician-Productive"/>
    <s v="FMG-Critical Care APC"/>
    <x v="0"/>
    <m/>
    <n v="56867.26"/>
    <n v="57023.6"/>
    <n v="54749.5"/>
    <n v="54591.87"/>
    <n v="53702.67"/>
    <n v="67365.61"/>
    <n v="58239"/>
    <n v="74468.490000000005"/>
    <n v="53154.07"/>
    <n v="56554.98"/>
    <n v="55464.7"/>
    <n v="56237.279999999999"/>
    <n v="698419.02999999991"/>
    <n v="-772.58000000000175"/>
  </r>
  <r>
    <x v="5"/>
    <x v="1"/>
    <x v="0"/>
    <s v="5805200"/>
    <n v="700024"/>
    <s v="Salaries-Advanced Practice Clinician-Other"/>
    <s v="FMG-Critical Care APC"/>
    <x v="0"/>
    <n v="2000"/>
    <n v="30"/>
    <n v="288.45999999999998"/>
    <n v="6600"/>
    <n v="4840"/>
    <n v="660"/>
    <n v="0"/>
    <n v="8652.66"/>
    <n v="-1442.11"/>
    <n v="2703.96"/>
    <n v="4506.59"/>
    <n v="8590.2999999999993"/>
    <n v="5403.26"/>
    <n v="40833.120000000003"/>
    <n v="3187.0399999999991"/>
  </r>
  <r>
    <x v="5"/>
    <x v="1"/>
    <x v="0"/>
    <s v="5805200"/>
    <n v="700024"/>
    <s v="Salaries-Advanced Practice Clinician-Provider Incentive"/>
    <s v="FMG-Critical Care APC"/>
    <x v="0"/>
    <n v="4003"/>
    <n v="0"/>
    <n v="1500"/>
    <n v="0"/>
    <n v="0"/>
    <n v="1500"/>
    <n v="0"/>
    <n v="0"/>
    <n v="1502.19"/>
    <n v="0"/>
    <n v="0"/>
    <n v="10014.68"/>
    <n v="0"/>
    <n v="14516.87"/>
    <n v="10014.68"/>
  </r>
  <r>
    <x v="5"/>
    <x v="1"/>
    <x v="0"/>
    <s v="5805200"/>
    <n v="700064"/>
    <s v="Salaries-Advanced Practice Clinician-Non-Productive"/>
    <s v="FMG-Critical Care APC"/>
    <x v="0"/>
    <m/>
    <n v="900"/>
    <n v="-150"/>
    <n v="0"/>
    <n v="0"/>
    <n v="0"/>
    <n v="0"/>
    <n v="0"/>
    <n v="0"/>
    <n v="0"/>
    <n v="0"/>
    <n v="0"/>
    <n v="0"/>
    <n v="750"/>
    <n v="0"/>
  </r>
  <r>
    <x v="5"/>
    <x v="1"/>
    <x v="0"/>
    <s v="5805200"/>
    <n v="700064"/>
    <s v="Salaries-Advanced Practice Clinician-Non-Prod-Other"/>
    <s v="FMG-Critical Care APC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805200"/>
    <n v="713010"/>
    <s v="Benefits-FICA/Medicare"/>
    <s v="FMG-Critical Care APC"/>
    <x v="0"/>
    <m/>
    <n v="4352.79"/>
    <n v="4426"/>
    <n v="3999.25"/>
    <n v="3221.96"/>
    <n v="2459.81"/>
    <n v="3979.25"/>
    <n v="5056.51"/>
    <n v="5647.14"/>
    <n v="4218.66"/>
    <n v="4613.78"/>
    <n v="5847.63"/>
    <n v="4922.83"/>
    <n v="52745.609999999993"/>
    <n v="924.80000000000018"/>
  </r>
  <r>
    <x v="6"/>
    <x v="1"/>
    <x v="0"/>
    <s v="5805200"/>
    <n v="713090"/>
    <s v="Benefits-Allocated Amounts"/>
    <s v="FMG-Critical Care APC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805200"/>
    <n v="713093"/>
    <s v="Allocated Benefits-Advanced Practice Clinician"/>
    <s v="FMG-Critical Care APC"/>
    <x v="0"/>
    <m/>
    <n v="6635.74"/>
    <n v="5848.74"/>
    <n v="6449.08"/>
    <n v="6112.95"/>
    <n v="6023.41"/>
    <n v="7686.79"/>
    <n v="7873.7"/>
    <n v="8090.08"/>
    <n v="7705.87"/>
    <n v="7086.02"/>
    <n v="7429.45"/>
    <n v="8231.83"/>
    <n v="85173.66"/>
    <n v="-802.38000000000011"/>
  </r>
  <r>
    <x v="15"/>
    <x v="1"/>
    <x v="0"/>
    <s v="5805200"/>
    <n v="731060"/>
    <s v="Pagers"/>
    <s v="FMG-Critical Care APC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0"/>
    <x v="1"/>
    <x v="0"/>
    <s v="5805200"/>
    <n v="740023"/>
    <s v="Education-Advanced Practice Clinician"/>
    <s v="FMG-Critical Care APC"/>
    <x v="0"/>
    <m/>
    <n v="0"/>
    <n v="0"/>
    <n v="70"/>
    <n v="450"/>
    <n v="0"/>
    <n v="0"/>
    <n v="0"/>
    <n v="0"/>
    <n v="0"/>
    <n v="1095"/>
    <n v="0"/>
    <n v="0"/>
    <n v="1615"/>
    <n v="0"/>
  </r>
  <r>
    <x v="0"/>
    <x v="1"/>
    <x v="0"/>
    <s v="5805200"/>
    <n v="743023"/>
    <s v="Dues-Advanced Practice Clinician"/>
    <s v="FMG-Critical Care APC"/>
    <x v="0"/>
    <m/>
    <n v="0"/>
    <n v="173"/>
    <n v="0"/>
    <n v="0"/>
    <n v="473"/>
    <n v="0"/>
    <n v="0"/>
    <n v="0"/>
    <n v="0"/>
    <n v="0"/>
    <n v="150"/>
    <n v="295"/>
    <n v="1091"/>
    <n v="-145"/>
  </r>
  <r>
    <x v="0"/>
    <x v="1"/>
    <x v="0"/>
    <s v="5805200"/>
    <n v="743043"/>
    <s v="Subscriptions-Advanced Practice Clinician"/>
    <s v="FMG-Critical Care APC"/>
    <x v="0"/>
    <m/>
    <n v="0"/>
    <n v="0"/>
    <n v="0"/>
    <n v="0"/>
    <n v="0"/>
    <n v="0"/>
    <n v="155"/>
    <n v="0"/>
    <n v="0"/>
    <n v="0"/>
    <n v="0"/>
    <n v="0"/>
    <n v="155"/>
    <n v="0"/>
  </r>
  <r>
    <x v="0"/>
    <x v="1"/>
    <x v="0"/>
    <s v="5805200"/>
    <n v="749510"/>
    <s v="Miscellaneous Expenses"/>
    <s v="FMG-Critical Care APC"/>
    <x v="0"/>
    <m/>
    <n v="-131.6"/>
    <n v="-173"/>
    <n v="0"/>
    <n v="473"/>
    <n v="-473"/>
    <n v="9.81"/>
    <n v="-9.81"/>
    <n v="0"/>
    <n v="0"/>
    <n v="0"/>
    <n v="295"/>
    <n v="223"/>
    <n v="213.39999999999998"/>
    <n v="72"/>
  </r>
  <r>
    <x v="0"/>
    <x v="1"/>
    <x v="0"/>
    <s v="5805200"/>
    <n v="749513"/>
    <s v="Licenses-Advanced Practice Clinician"/>
    <s v="FMG-Critical Care APC"/>
    <x v="0"/>
    <n v="2000"/>
    <n v="0"/>
    <n v="0"/>
    <n v="0"/>
    <n v="202"/>
    <n v="0"/>
    <n v="0"/>
    <n v="235"/>
    <n v="0"/>
    <n v="731"/>
    <n v="0"/>
    <n v="1462"/>
    <n v="0"/>
    <n v="2630"/>
    <n v="1462"/>
  </r>
  <r>
    <x v="0"/>
    <x v="1"/>
    <x v="0"/>
    <s v="5805200"/>
    <n v="749533"/>
    <s v="Travel-Advanced Practice Clinician"/>
    <s v="FMG-Critical Care APC"/>
    <x v="0"/>
    <m/>
    <n v="0"/>
    <n v="0"/>
    <n v="0"/>
    <n v="0"/>
    <n v="0"/>
    <n v="0"/>
    <n v="5"/>
    <n v="0"/>
    <n v="0"/>
    <n v="0"/>
    <n v="0"/>
    <n v="5"/>
    <n v="10"/>
    <n v="-5"/>
  </r>
  <r>
    <x v="0"/>
    <x v="1"/>
    <x v="0"/>
    <s v="5805200"/>
    <n v="749533"/>
    <s v="Vehicle Expense-Advanced Practice Clinician"/>
    <s v="FMG-Critical Care APC"/>
    <x v="0"/>
    <n v="2001"/>
    <n v="0"/>
    <n v="0"/>
    <n v="0"/>
    <n v="0"/>
    <n v="0"/>
    <n v="0"/>
    <n v="37.07"/>
    <n v="0"/>
    <n v="0"/>
    <n v="0"/>
    <n v="0"/>
    <n v="42.34"/>
    <n v="79.41"/>
    <n v="-42.34"/>
  </r>
  <r>
    <x v="13"/>
    <x v="3"/>
    <x v="0"/>
    <s v="5806101"/>
    <n v="735070"/>
    <s v="Depreciation-Movable Equipment"/>
    <s v="Neurosurgeon Practice"/>
    <x v="0"/>
    <m/>
    <n v="461.71"/>
    <n v="-461.71"/>
    <n v="0"/>
    <n v="0"/>
    <n v="0"/>
    <n v="0"/>
    <n v="0"/>
    <n v="0"/>
    <n v="0"/>
    <n v="0"/>
    <n v="0"/>
    <n v="0"/>
    <n v="0"/>
    <n v="0"/>
  </r>
  <r>
    <x v="5"/>
    <x v="1"/>
    <x v="0"/>
    <s v="5806200"/>
    <n v="700038"/>
    <s v="Salaries-Service/Support-Productive"/>
    <s v="Breast Surg-PP-Shared Svc"/>
    <x v="0"/>
    <m/>
    <n v="14405.41"/>
    <n v="15548.55"/>
    <n v="13149.5"/>
    <n v="15178.38"/>
    <n v="15888.65"/>
    <n v="12192.78"/>
    <n v="15069.95"/>
    <n v="9296.93"/>
    <n v="12746.44"/>
    <n v="16178.95"/>
    <n v="16871.25"/>
    <n v="12593.42"/>
    <n v="169120.21000000002"/>
    <n v="4277.83"/>
  </r>
  <r>
    <x v="5"/>
    <x v="1"/>
    <x v="0"/>
    <s v="5806200"/>
    <n v="700038"/>
    <s v="Salaries-Service/Support-OT"/>
    <s v="Breast Surg-PP-Shared Svc"/>
    <x v="0"/>
    <n v="1000"/>
    <n v="227.89"/>
    <n v="169.7"/>
    <n v="556.77"/>
    <n v="215.29"/>
    <n v="232.24"/>
    <n v="431.42"/>
    <n v="88.58"/>
    <n v="304.7"/>
    <n v="411.66"/>
    <n v="378.47"/>
    <n v="489.94"/>
    <n v="499.27"/>
    <n v="4005.9299999999994"/>
    <n v="-9.3299999999999841"/>
  </r>
  <r>
    <x v="5"/>
    <x v="1"/>
    <x v="0"/>
    <s v="5806200"/>
    <n v="700038"/>
    <s v="Salaries-Service/Support-Other"/>
    <s v="Breast Surg-PP-Shared Svc"/>
    <x v="0"/>
    <n v="2000"/>
    <n v="0"/>
    <n v="0"/>
    <n v="0"/>
    <n v="0"/>
    <n v="0"/>
    <n v="0"/>
    <n v="0"/>
    <n v="1.05"/>
    <n v="-0.3"/>
    <n v="0"/>
    <n v="0"/>
    <n v="0"/>
    <n v="0.75"/>
    <n v="0"/>
  </r>
  <r>
    <x v="5"/>
    <x v="1"/>
    <x v="0"/>
    <s v="5806200"/>
    <n v="700078"/>
    <s v="Salaries-Service/Support-Non-productive"/>
    <s v="Breast Surg-PP-Shared Svc"/>
    <x v="0"/>
    <m/>
    <n v="1866.27"/>
    <n v="1462.74"/>
    <n v="1655.27"/>
    <n v="2229.63"/>
    <n v="746.2"/>
    <n v="3950.33"/>
    <n v="2457.5500000000002"/>
    <n v="5733.17"/>
    <n v="3033.4"/>
    <n v="450.94"/>
    <n v="626.84"/>
    <n v="2551.87"/>
    <n v="26764.210000000003"/>
    <n v="-1925.0299999999997"/>
  </r>
  <r>
    <x v="5"/>
    <x v="1"/>
    <x v="0"/>
    <s v="5806200"/>
    <n v="700078"/>
    <s v="Salaries-Service/Support-NonProd-Other"/>
    <s v="Breast Surg-PP-Shared Svc"/>
    <x v="0"/>
    <n v="2000"/>
    <n v="0"/>
    <n v="0"/>
    <n v="0"/>
    <n v="0"/>
    <n v="569.08000000000004"/>
    <n v="0"/>
    <n v="0"/>
    <n v="-569.08000000000004"/>
    <n v="0"/>
    <n v="0"/>
    <n v="0"/>
    <n v="0"/>
    <n v="0"/>
    <n v="0"/>
  </r>
  <r>
    <x v="5"/>
    <x v="1"/>
    <x v="0"/>
    <s v="5806200"/>
    <n v="700084"/>
    <s v="Accrued PTO"/>
    <s v="Breast Surg-PP-Shared Svc"/>
    <x v="0"/>
    <m/>
    <n v="207.88"/>
    <n v="216.51"/>
    <n v="242.8"/>
    <n v="636.87"/>
    <n v="907.74"/>
    <n v="-733.4"/>
    <n v="-353.6"/>
    <n v="108.23"/>
    <n v="270.48"/>
    <n v="900.09"/>
    <n v="1487.38"/>
    <n v="128.65"/>
    <n v="4019.6300000000006"/>
    <n v="1358.73"/>
  </r>
  <r>
    <x v="6"/>
    <x v="1"/>
    <x v="0"/>
    <s v="5806200"/>
    <n v="713010"/>
    <s v="Benefits-FICA/Medicare"/>
    <s v="Breast Surg-PP-Shared Svc"/>
    <x v="0"/>
    <m/>
    <n v="1237.3800000000001"/>
    <n v="1288.3900000000001"/>
    <n v="1152.56"/>
    <n v="1322.21"/>
    <n v="1405.03"/>
    <n v="1392.38"/>
    <n v="1328.33"/>
    <n v="1156.49"/>
    <n v="1221.0999999999999"/>
    <n v="1282.76"/>
    <n v="1356.83"/>
    <n v="1281.72"/>
    <n v="15425.18"/>
    <n v="75.1099999999999"/>
  </r>
  <r>
    <x v="6"/>
    <x v="1"/>
    <x v="0"/>
    <s v="5806200"/>
    <n v="713090"/>
    <s v="Benefits-Allocated Amounts"/>
    <s v="Breast Surg-PP-Shared Svc"/>
    <x v="0"/>
    <m/>
    <n v="4474.84"/>
    <n v="4049.82"/>
    <n v="4426.91"/>
    <n v="4485.32"/>
    <n v="4528.0600000000004"/>
    <n v="4520.87"/>
    <n v="5191.46"/>
    <n v="4637.24"/>
    <n v="4649.04"/>
    <n v="4896.8100000000004"/>
    <n v="4833.63"/>
    <n v="4816.3900000000003"/>
    <n v="55510.389999999992"/>
    <n v="17.239999999999782"/>
  </r>
  <r>
    <x v="7"/>
    <x v="1"/>
    <x v="0"/>
    <s v="5806200"/>
    <n v="718010"/>
    <s v="Media/Print Advertising"/>
    <s v="Breast Surg-PP-Shared Svc"/>
    <x v="0"/>
    <n v="1004"/>
    <n v="48.84"/>
    <n v="0"/>
    <n v="0"/>
    <n v="5699.18"/>
    <n v="-5500"/>
    <n v="184.58"/>
    <n v="0"/>
    <n v="0"/>
    <n v="0"/>
    <n v="0"/>
    <n v="0"/>
    <n v="0"/>
    <n v="432.60000000000048"/>
    <n v="0"/>
  </r>
  <r>
    <x v="7"/>
    <x v="1"/>
    <x v="0"/>
    <s v="5806200"/>
    <n v="718050"/>
    <s v="Contract Svcs-Other"/>
    <s v="Breast Surg-PP-Shared Svc"/>
    <x v="0"/>
    <m/>
    <n v="72.69"/>
    <n v="176.92"/>
    <n v="145.38"/>
    <n v="360.78"/>
    <n v="124.02"/>
    <n v="0"/>
    <n v="145.38"/>
    <n v="254.41"/>
    <n v="84.8"/>
    <n v="84.8"/>
    <n v="0"/>
    <n v="0"/>
    <n v="1449.18"/>
    <n v="0"/>
  </r>
  <r>
    <x v="7"/>
    <x v="1"/>
    <x v="0"/>
    <s v="5806200"/>
    <n v="718050"/>
    <s v="Transcription"/>
    <s v="Breast Surg-PP-Shared Svc"/>
    <x v="0"/>
    <n v="1006"/>
    <n v="0"/>
    <n v="0"/>
    <n v="0"/>
    <n v="360"/>
    <n v="0"/>
    <n v="0"/>
    <n v="0"/>
    <n v="0"/>
    <n v="0"/>
    <n v="0"/>
    <n v="0"/>
    <n v="0"/>
    <n v="360"/>
    <n v="0"/>
  </r>
  <r>
    <x v="7"/>
    <x v="1"/>
    <x v="0"/>
    <s v="5806200"/>
    <n v="718050"/>
    <s v="Physician Answering"/>
    <s v="Breast Surg-PP-Shared Svc"/>
    <x v="0"/>
    <n v="1015"/>
    <n v="113.2"/>
    <n v="171"/>
    <n v="244.8"/>
    <n v="88.8"/>
    <n v="184.8"/>
    <n v="234.2"/>
    <n v="363.4"/>
    <n v="436.8"/>
    <n v="228"/>
    <n v="288"/>
    <n v="423.4"/>
    <n v="175.8"/>
    <n v="2952.2000000000003"/>
    <n v="247.59999999999997"/>
  </r>
  <r>
    <x v="7"/>
    <x v="1"/>
    <x v="0"/>
    <s v="5806200"/>
    <n v="718050"/>
    <s v="Miscellaneous Purchased Svcs"/>
    <s v="Breast Surg-PP-Shared Svc"/>
    <x v="0"/>
    <n v="1020"/>
    <n v="0"/>
    <n v="0"/>
    <n v="0"/>
    <n v="2791.49"/>
    <n v="-2750"/>
    <n v="0"/>
    <n v="0"/>
    <n v="0"/>
    <n v="0"/>
    <n v="0"/>
    <n v="0"/>
    <n v="0"/>
    <n v="41.489999999999782"/>
    <n v="0"/>
  </r>
  <r>
    <x v="7"/>
    <x v="1"/>
    <x v="0"/>
    <s v="5806200"/>
    <n v="718050"/>
    <s v="Translation Services"/>
    <s v="Breast Surg-PP-Shared Svc"/>
    <x v="0"/>
    <n v="1025"/>
    <n v="412"/>
    <n v="308"/>
    <n v="0"/>
    <n v="0"/>
    <n v="112"/>
    <n v="64"/>
    <n v="220"/>
    <n v="0"/>
    <n v="192"/>
    <n v="160"/>
    <n v="32"/>
    <n v="0"/>
    <n v="1500"/>
    <n v="32"/>
  </r>
  <r>
    <x v="7"/>
    <x v="1"/>
    <x v="0"/>
    <s v="5806200"/>
    <n v="718050"/>
    <s v="Contract Management--Linen"/>
    <s v="Breast Surg-PP-Shared Svc"/>
    <x v="0"/>
    <n v="1026"/>
    <n v="0"/>
    <n v="0"/>
    <n v="0"/>
    <n v="0"/>
    <n v="401.8"/>
    <n v="0"/>
    <n v="11.93"/>
    <n v="18.149999999999999"/>
    <n v="30.64"/>
    <n v="20.440000000000001"/>
    <n v="12.9"/>
    <n v="20.440000000000001"/>
    <n v="516.29999999999995"/>
    <n v="-7.5400000000000009"/>
  </r>
  <r>
    <x v="7"/>
    <x v="1"/>
    <x v="0"/>
    <s v="5806200"/>
    <n v="718050"/>
    <s v="Purchased Srvcs--Medical Waste"/>
    <s v="Breast Surg-PP-Shared Svc"/>
    <x v="0"/>
    <n v="1027"/>
    <n v="237.5"/>
    <n v="95.08"/>
    <n v="298.27999999999997"/>
    <n v="239.07"/>
    <n v="49.67"/>
    <n v="285.76"/>
    <n v="391.82"/>
    <n v="32.68"/>
    <n v="167.05"/>
    <n v="347.18"/>
    <n v="39.31"/>
    <n v="155.09"/>
    <n v="2338.4899999999998"/>
    <n v="-115.78"/>
  </r>
  <r>
    <x v="7"/>
    <x v="1"/>
    <x v="0"/>
    <s v="5806200"/>
    <n v="718070"/>
    <s v="Contract Srvcs-CHI Clinical Engineering"/>
    <s v="Breast Surg-PP-Shared Svc"/>
    <x v="0"/>
    <m/>
    <n v="0"/>
    <n v="0"/>
    <n v="0"/>
    <n v="0"/>
    <n v="424.18"/>
    <n v="165.15"/>
    <n v="1624.16"/>
    <n v="2100.86"/>
    <n v="597.57000000000005"/>
    <n v="0"/>
    <n v="385.25"/>
    <n v="0"/>
    <n v="5297.17"/>
    <n v="385.25"/>
  </r>
  <r>
    <x v="7"/>
    <x v="1"/>
    <x v="0"/>
    <s v="5806200"/>
    <n v="718077"/>
    <s v="PACS"/>
    <s v="Breast Surg-PP-Shared Svc"/>
    <x v="0"/>
    <n v="1000"/>
    <n v="49.5"/>
    <n v="27"/>
    <n v="33.75"/>
    <n v="36"/>
    <n v="36"/>
    <n v="40.5"/>
    <n v="36"/>
    <n v="42.75"/>
    <n v="33.75"/>
    <n v="31.5"/>
    <n v="13.5"/>
    <n v="51.75"/>
    <n v="432"/>
    <n v="-38.25"/>
  </r>
  <r>
    <x v="11"/>
    <x v="1"/>
    <x v="0"/>
    <s v="5806200"/>
    <n v="721010"/>
    <s v="Supplies-Medical - Billable"/>
    <s v="Breast Surg-PP-Shared Svc"/>
    <x v="0"/>
    <m/>
    <n v="11000"/>
    <n v="5500"/>
    <n v="2750"/>
    <n v="2750"/>
    <n v="8250"/>
    <n v="0"/>
    <n v="2750"/>
    <n v="10204.280000000001"/>
    <n v="0"/>
    <n v="0"/>
    <n v="0"/>
    <n v="6055.5"/>
    <n v="49259.78"/>
    <n v="-6055.5"/>
  </r>
  <r>
    <x v="11"/>
    <x v="1"/>
    <x v="0"/>
    <s v="5806200"/>
    <n v="721250"/>
    <s v="Supplies-Pharmacy Drugs - Billable"/>
    <s v="Breast Surg-PP-Shared Svc"/>
    <x v="0"/>
    <m/>
    <n v="140.9"/>
    <n v="0"/>
    <n v="0"/>
    <n v="116.46"/>
    <n v="37.78"/>
    <n v="0"/>
    <n v="116.46"/>
    <n v="55.08"/>
    <n v="357.89"/>
    <n v="0"/>
    <n v="-146.88999999999999"/>
    <n v="288"/>
    <n v="965.68"/>
    <n v="-434.89"/>
  </r>
  <r>
    <x v="11"/>
    <x v="1"/>
    <x v="0"/>
    <s v="5806200"/>
    <n v="721410"/>
    <s v="Supplies-Medical - Nonbillable"/>
    <s v="Breast Surg-PP-Shared Svc"/>
    <x v="0"/>
    <m/>
    <n v="1077.51"/>
    <n v="2653.37"/>
    <n v="1190.43"/>
    <n v="1084.1300000000001"/>
    <n v="8644.36"/>
    <n v="7599.57"/>
    <n v="355.28"/>
    <n v="237.9"/>
    <n v="653.87"/>
    <n v="614.17999999999995"/>
    <n v="231.18"/>
    <n v="248.33"/>
    <n v="24590.110000000004"/>
    <n v="-17.150000000000006"/>
  </r>
  <r>
    <x v="11"/>
    <x v="1"/>
    <x v="0"/>
    <s v="5806200"/>
    <n v="721810"/>
    <s v="Supplies-Dietary/Cafeteria"/>
    <s v="Breast Surg-PP-Shared Svc"/>
    <x v="0"/>
    <m/>
    <n v="83.54"/>
    <n v="-19.86"/>
    <n v="90"/>
    <n v="77.5"/>
    <n v="0"/>
    <n v="83"/>
    <n v="0"/>
    <n v="162"/>
    <n v="0"/>
    <n v="84.15"/>
    <n v="8"/>
    <n v="0"/>
    <n v="568.33000000000004"/>
    <n v="8"/>
  </r>
  <r>
    <x v="11"/>
    <x v="1"/>
    <x v="0"/>
    <s v="5806200"/>
    <n v="721830"/>
    <s v="Supplies-Office"/>
    <s v="Breast Surg-PP-Shared Svc"/>
    <x v="0"/>
    <m/>
    <n v="116.19"/>
    <n v="173.68"/>
    <n v="212.44"/>
    <n v="516.07000000000005"/>
    <n v="150.59"/>
    <n v="694.01"/>
    <n v="437.41"/>
    <n v="413.15"/>
    <n v="308.83999999999997"/>
    <n v="303.04000000000002"/>
    <n v="525.74"/>
    <n v="170.66"/>
    <n v="4021.8199999999997"/>
    <n v="355.08000000000004"/>
  </r>
  <r>
    <x v="11"/>
    <x v="1"/>
    <x v="0"/>
    <s v="5806200"/>
    <n v="721835"/>
    <s v="Supplies-Forms"/>
    <s v="Breast Surg-PP-Shared Svc"/>
    <x v="0"/>
    <m/>
    <n v="0"/>
    <n v="0"/>
    <n v="0"/>
    <n v="0"/>
    <n v="46.43"/>
    <n v="0"/>
    <n v="15.2"/>
    <n v="0"/>
    <n v="18"/>
    <n v="0"/>
    <n v="0"/>
    <n v="76.849999999999994"/>
    <n v="156.47999999999999"/>
    <n v="-76.849999999999994"/>
  </r>
  <r>
    <x v="11"/>
    <x v="1"/>
    <x v="0"/>
    <s v="5806200"/>
    <n v="721870"/>
    <s v="Supplies-Environmental Services"/>
    <s v="Breast Surg-PP-Shared Svc"/>
    <x v="0"/>
    <m/>
    <n v="0"/>
    <n v="0"/>
    <n v="0"/>
    <n v="0"/>
    <n v="0"/>
    <n v="0"/>
    <n v="0"/>
    <n v="53.5"/>
    <n v="0"/>
    <n v="0"/>
    <n v="141.19999999999999"/>
    <n v="25"/>
    <n v="219.7"/>
    <n v="116.19999999999999"/>
  </r>
  <r>
    <x v="11"/>
    <x v="1"/>
    <x v="0"/>
    <s v="5806200"/>
    <n v="721880"/>
    <s v="Supplies-Linen"/>
    <s v="Breast Surg-PP-Shared Svc"/>
    <x v="0"/>
    <m/>
    <n v="0"/>
    <n v="0"/>
    <n v="0"/>
    <n v="0"/>
    <n v="0"/>
    <n v="93.93"/>
    <n v="0"/>
    <n v="0"/>
    <n v="0"/>
    <n v="0"/>
    <n v="0"/>
    <n v="0"/>
    <n v="93.93"/>
    <n v="0"/>
  </r>
  <r>
    <x v="11"/>
    <x v="1"/>
    <x v="0"/>
    <s v="5806200"/>
    <n v="721910"/>
    <s v="Supplies-Small Equipment"/>
    <s v="Breast Surg-PP-Shared Svc"/>
    <x v="0"/>
    <m/>
    <n v="0"/>
    <n v="0"/>
    <n v="0"/>
    <n v="0"/>
    <n v="0"/>
    <n v="0"/>
    <n v="0"/>
    <n v="879.16"/>
    <n v="216.88"/>
    <n v="12.92"/>
    <n v="0"/>
    <n v="931.2"/>
    <n v="2040.16"/>
    <n v="-931.2"/>
  </r>
  <r>
    <x v="11"/>
    <x v="1"/>
    <x v="0"/>
    <s v="5806200"/>
    <n v="722000"/>
    <s v="Supplies-Freight Expense"/>
    <s v="Breast Surg-PP-Shared Svc"/>
    <x v="0"/>
    <m/>
    <n v="0"/>
    <n v="0"/>
    <n v="0"/>
    <n v="0"/>
    <n v="0"/>
    <n v="0"/>
    <n v="0"/>
    <n v="0"/>
    <n v="0"/>
    <n v="0"/>
    <n v="0"/>
    <n v="82.58"/>
    <n v="82.58"/>
    <n v="-82.58"/>
  </r>
  <r>
    <x v="12"/>
    <x v="1"/>
    <x v="0"/>
    <s v="5806200"/>
    <n v="730010"/>
    <s v="Rental and Leases-Building (DO NOT USE)"/>
    <s v="Breast Surg-PP-Shared Svc"/>
    <x v="0"/>
    <m/>
    <n v="7813.01"/>
    <n v="7813.01"/>
    <n v="7813.01"/>
    <n v="7813.01"/>
    <n v="7813.01"/>
    <n v="-14350.96"/>
    <n v="4190.17"/>
    <n v="4190.17"/>
    <n v="4190.17"/>
    <n v="4190.17"/>
    <n v="4542.1000000000004"/>
    <n v="0"/>
    <n v="46016.869999999995"/>
    <n v="4542.1000000000004"/>
  </r>
  <r>
    <x v="12"/>
    <x v="1"/>
    <x v="0"/>
    <s v="5806200"/>
    <n v="730010"/>
    <s v="Rental-Common Area Maint (DO NOT USE)"/>
    <s v="Breast Surg-PP-Shared Svc"/>
    <x v="0"/>
    <n v="2200"/>
    <n v="0"/>
    <n v="0"/>
    <n v="0"/>
    <n v="0"/>
    <n v="0"/>
    <n v="22656.19"/>
    <n v="4115.0600000000004"/>
    <n v="4115.0600000000004"/>
    <n v="9663.2900000000009"/>
    <n v="4115.0600000000004"/>
    <n v="4115.0600000000004"/>
    <n v="0"/>
    <n v="48779.72"/>
    <n v="4115.0600000000004"/>
  </r>
  <r>
    <x v="12"/>
    <x v="1"/>
    <x v="0"/>
    <s v="5806200"/>
    <n v="730020"/>
    <s v="Rental and Leases-Equipment (DO NOT USE)"/>
    <s v="Breast Surg-PP-Shared Svc"/>
    <x v="0"/>
    <m/>
    <n v="8.52"/>
    <n v="0"/>
    <n v="0"/>
    <n v="272.27999999999997"/>
    <n v="0"/>
    <n v="41.5"/>
    <n v="512.08000000000004"/>
    <n v="17.5"/>
    <n v="50.48"/>
    <n v="41.73"/>
    <n v="0"/>
    <n v="83.52"/>
    <n v="1027.6100000000001"/>
    <n v="-83.52"/>
  </r>
  <r>
    <x v="12"/>
    <x v="1"/>
    <x v="0"/>
    <s v="5806200"/>
    <n v="730020"/>
    <s v="Rental and Leases-Copier Usage Fees (DO NOT USE)"/>
    <s v="Breast Surg-PP-Shared Svc"/>
    <x v="0"/>
    <n v="5100"/>
    <n v="511.4"/>
    <n v="519.36"/>
    <n v="515.38"/>
    <n v="515.38"/>
    <n v="515.38"/>
    <n v="515.38"/>
    <n v="-333.11"/>
    <n v="419.61"/>
    <n v="418.73"/>
    <n v="479.03"/>
    <n v="419.61"/>
    <n v="479.36"/>
    <n v="4975.5099999999993"/>
    <n v="-59.75"/>
  </r>
  <r>
    <x v="12"/>
    <x v="1"/>
    <x v="0"/>
    <s v="5806200"/>
    <n v="730040"/>
    <s v="LT Lease-Real Estate"/>
    <s v="Breast Surg-PP-Shared Svc"/>
    <x v="0"/>
    <m/>
    <n v="0"/>
    <n v="0"/>
    <n v="0"/>
    <n v="0"/>
    <n v="0"/>
    <n v="0"/>
    <n v="0"/>
    <n v="0"/>
    <n v="0"/>
    <n v="0"/>
    <n v="0"/>
    <n v="8422.5400000000009"/>
    <n v="8422.5400000000009"/>
    <n v="-8422.5400000000009"/>
  </r>
  <r>
    <x v="15"/>
    <x v="1"/>
    <x v="0"/>
    <s v="5806200"/>
    <n v="731065"/>
    <s v="Data Communications"/>
    <s v="Breast Surg-PP-Shared Svc"/>
    <x v="0"/>
    <m/>
    <n v="0"/>
    <n v="22.64"/>
    <n v="0"/>
    <n v="0"/>
    <n v="0"/>
    <n v="0"/>
    <n v="0"/>
    <n v="0"/>
    <n v="0"/>
    <n v="0"/>
    <n v="0"/>
    <n v="0"/>
    <n v="22.64"/>
    <n v="0"/>
  </r>
  <r>
    <x v="16"/>
    <x v="1"/>
    <x v="0"/>
    <s v="5806200"/>
    <n v="732030"/>
    <s v="Repairs&amp;Maintenance-Bldg Routine"/>
    <s v="Breast Surg-PP-Shared Svc"/>
    <x v="0"/>
    <n v="2300"/>
    <n v="0"/>
    <n v="0"/>
    <n v="0"/>
    <n v="0"/>
    <n v="0"/>
    <n v="28.6"/>
    <n v="0"/>
    <n v="0"/>
    <n v="0"/>
    <n v="30.36"/>
    <n v="0"/>
    <n v="0"/>
    <n v="58.96"/>
    <n v="0"/>
  </r>
  <r>
    <x v="13"/>
    <x v="1"/>
    <x v="0"/>
    <s v="5806200"/>
    <n v="735050"/>
    <s v="Amortization-Leasehold Improvements"/>
    <s v="Breast Surg-PP-Shared Svc"/>
    <x v="0"/>
    <m/>
    <n v="832.75"/>
    <n v="832.74"/>
    <n v="832.75"/>
    <n v="832.74"/>
    <n v="832.75"/>
    <n v="832.74"/>
    <n v="832.75"/>
    <n v="832.74"/>
    <n v="832.75"/>
    <n v="832.74"/>
    <n v="832.76"/>
    <n v="832.74"/>
    <n v="9992.9499999999989"/>
    <n v="1.999999999998181E-2"/>
  </r>
  <r>
    <x v="13"/>
    <x v="1"/>
    <x v="0"/>
    <s v="5806200"/>
    <n v="735070"/>
    <s v="Depreciation-Movable Equipment"/>
    <s v="Breast Surg-PP-Shared Svc"/>
    <x v="0"/>
    <m/>
    <n v="569.88"/>
    <n v="569.88"/>
    <n v="569.88"/>
    <n v="569.88"/>
    <n v="569.88"/>
    <n v="569.87"/>
    <n v="569.89"/>
    <n v="569.87"/>
    <n v="569.89"/>
    <n v="569.86"/>
    <n v="569.89"/>
    <n v="569.86"/>
    <n v="6838.53"/>
    <n v="2.9999999999972715E-2"/>
  </r>
  <r>
    <x v="0"/>
    <x v="1"/>
    <x v="0"/>
    <s v="5806200"/>
    <n v="742010"/>
    <s v="Postage-Regular"/>
    <s v="Breast Surg-PP-Shared Svc"/>
    <x v="0"/>
    <m/>
    <n v="0"/>
    <n v="0"/>
    <n v="0"/>
    <n v="0"/>
    <n v="0"/>
    <n v="25"/>
    <n v="0"/>
    <n v="0"/>
    <n v="0"/>
    <n v="0"/>
    <n v="0"/>
    <n v="0"/>
    <n v="25"/>
    <n v="0"/>
  </r>
  <r>
    <x v="0"/>
    <x v="1"/>
    <x v="0"/>
    <s v="5806200"/>
    <n v="743020"/>
    <s v="Provider-Dues"/>
    <s v="Breast Surg-PP-Shared Svc"/>
    <x v="0"/>
    <n v="2200"/>
    <n v="0"/>
    <n v="0"/>
    <n v="0"/>
    <n v="0"/>
    <n v="0"/>
    <n v="0"/>
    <n v="0"/>
    <n v="535"/>
    <n v="0"/>
    <n v="0"/>
    <n v="0"/>
    <n v="0"/>
    <n v="535"/>
    <n v="0"/>
  </r>
  <r>
    <x v="0"/>
    <x v="1"/>
    <x v="0"/>
    <s v="5806200"/>
    <n v="743030"/>
    <s v="Subscriptions--Institutional"/>
    <s v="Breast Surg-PP-Shared Svc"/>
    <x v="0"/>
    <m/>
    <n v="0"/>
    <n v="0"/>
    <n v="0"/>
    <n v="0"/>
    <n v="0"/>
    <n v="0"/>
    <n v="0"/>
    <n v="0"/>
    <n v="69.97"/>
    <n v="0"/>
    <n v="0"/>
    <n v="0"/>
    <n v="69.97"/>
    <n v="0"/>
  </r>
  <r>
    <x v="0"/>
    <x v="1"/>
    <x v="0"/>
    <s v="5806200"/>
    <n v="749510"/>
    <s v="Miscellaneous Expenses"/>
    <s v="Breast Surg-PP-Shared Svc"/>
    <x v="0"/>
    <m/>
    <n v="0"/>
    <n v="0"/>
    <n v="0"/>
    <n v="0"/>
    <n v="1949.88"/>
    <n v="0"/>
    <n v="0"/>
    <n v="0"/>
    <n v="0"/>
    <n v="0"/>
    <n v="0"/>
    <n v="0"/>
    <n v="1949.88"/>
    <n v="0"/>
  </r>
  <r>
    <x v="0"/>
    <x v="1"/>
    <x v="0"/>
    <s v="5806200"/>
    <n v="749510"/>
    <s v="Licenses"/>
    <s v="Breast Surg-PP-Shared Svc"/>
    <x v="0"/>
    <n v="1002"/>
    <n v="0"/>
    <n v="0"/>
    <n v="265"/>
    <n v="0"/>
    <n v="0"/>
    <n v="180"/>
    <n v="38.75"/>
    <n v="0"/>
    <n v="0"/>
    <n v="0"/>
    <n v="0"/>
    <n v="0"/>
    <n v="483.75"/>
    <n v="0"/>
  </r>
  <r>
    <x v="0"/>
    <x v="1"/>
    <x v="0"/>
    <s v="5806200"/>
    <n v="749510"/>
    <s v="RICE Rewards"/>
    <s v="Breast Surg-PP-Shared Svc"/>
    <x v="0"/>
    <n v="5100"/>
    <n v="0"/>
    <n v="0"/>
    <n v="0"/>
    <n v="0"/>
    <n v="0"/>
    <n v="376.24"/>
    <n v="0"/>
    <n v="0"/>
    <n v="0"/>
    <n v="82.11"/>
    <n v="29.61"/>
    <n v="0"/>
    <n v="487.96000000000004"/>
    <n v="29.61"/>
  </r>
  <r>
    <x v="0"/>
    <x v="1"/>
    <x v="0"/>
    <s v="5806200"/>
    <n v="766010"/>
    <s v="Property Tax"/>
    <s v="Breast Surg-PP-Shared Svc"/>
    <x v="0"/>
    <m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-1.37"/>
    <n v="28.39"/>
    <n v="28.39"/>
    <n v="400.11"/>
    <n v="0"/>
  </r>
  <r>
    <x v="5"/>
    <x v="1"/>
    <x v="0"/>
    <s v="5807200"/>
    <n v="700014"/>
    <s v="Salaries-Management-Productive"/>
    <s v="Pain Management"/>
    <x v="0"/>
    <m/>
    <n v="777.8"/>
    <n v="1944.5"/>
    <n v="1244.48"/>
    <n v="1530.38"/>
    <n v="1129.8"/>
    <n v="-484.2"/>
    <n v="0"/>
    <n v="0"/>
    <n v="0"/>
    <n v="0"/>
    <n v="0"/>
    <n v="0"/>
    <n v="6142.76"/>
    <n v="0"/>
  </r>
  <r>
    <x v="5"/>
    <x v="1"/>
    <x v="0"/>
    <s v="5807200"/>
    <n v="700018"/>
    <s v="Salaries-Supervisory-Productive"/>
    <s v="Pain Management"/>
    <x v="0"/>
    <m/>
    <n v="1065.5"/>
    <n v="871.78"/>
    <n v="968.64"/>
    <n v="1137.8399999999999"/>
    <n v="1094.72"/>
    <n v="771.28"/>
    <n v="921.94"/>
    <n v="996.64"/>
    <n v="797.33"/>
    <n v="1270.73"/>
    <n v="1719.26"/>
    <n v="1495"/>
    <n v="13110.660000000002"/>
    <n v="224.26"/>
  </r>
  <r>
    <x v="5"/>
    <x v="1"/>
    <x v="0"/>
    <s v="5807200"/>
    <n v="700038"/>
    <s v="Salaries-Service/Support-Productive"/>
    <s v="Pain Management"/>
    <x v="0"/>
    <m/>
    <n v="16124.04"/>
    <n v="18478.27"/>
    <n v="12805.97"/>
    <n v="17750.32"/>
    <n v="16749.07"/>
    <n v="14011.27"/>
    <n v="16691.68"/>
    <n v="14919.5"/>
    <n v="17559.009999999998"/>
    <n v="16171.96"/>
    <n v="15117.77"/>
    <n v="10636.14"/>
    <n v="187015"/>
    <n v="4481.630000000001"/>
  </r>
  <r>
    <x v="5"/>
    <x v="1"/>
    <x v="0"/>
    <s v="5807200"/>
    <n v="700038"/>
    <s v="Salaries-Service/Support-OT"/>
    <s v="Pain Management"/>
    <x v="0"/>
    <n v="1000"/>
    <n v="97.45"/>
    <n v="192.5"/>
    <n v="326.01"/>
    <n v="-56.77"/>
    <n v="437.7"/>
    <n v="237.78"/>
    <n v="357.93"/>
    <n v="395.9"/>
    <n v="579.59"/>
    <n v="695.84"/>
    <n v="1315.6"/>
    <n v="-122.2"/>
    <n v="4457.3300000000008"/>
    <n v="1437.8"/>
  </r>
  <r>
    <x v="5"/>
    <x v="1"/>
    <x v="0"/>
    <s v="5807200"/>
    <n v="700038"/>
    <s v="Salaries-Service/Support-Other"/>
    <s v="Pain Management"/>
    <x v="0"/>
    <n v="2000"/>
    <n v="0"/>
    <n v="0"/>
    <n v="0"/>
    <n v="103.85"/>
    <n v="-17.600000000000001"/>
    <n v="0"/>
    <n v="0"/>
    <n v="0.35"/>
    <n v="-0.1"/>
    <n v="0"/>
    <n v="23.8"/>
    <n v="22.54"/>
    <n v="132.84"/>
    <n v="1.2600000000000016"/>
  </r>
  <r>
    <x v="5"/>
    <x v="1"/>
    <x v="0"/>
    <s v="5807200"/>
    <n v="700058"/>
    <s v="Salaries-Supervisory-Non-productive"/>
    <s v="Pain Management"/>
    <x v="0"/>
    <m/>
    <n v="0"/>
    <n v="0"/>
    <n v="0"/>
    <n v="0"/>
    <n v="0"/>
    <n v="0"/>
    <n v="498.33"/>
    <n v="0"/>
    <n v="0"/>
    <n v="0"/>
    <n v="0"/>
    <n v="0"/>
    <n v="498.33"/>
    <n v="0"/>
  </r>
  <r>
    <x v="5"/>
    <x v="1"/>
    <x v="0"/>
    <s v="5807200"/>
    <n v="700078"/>
    <s v="Salaries-Service/Support-Non-productive"/>
    <s v="Pain Management"/>
    <x v="0"/>
    <m/>
    <n v="1728.91"/>
    <n v="732.73"/>
    <n v="2520.27"/>
    <n v="98.61"/>
    <n v="1987.86"/>
    <n v="3639.36"/>
    <n v="3621.66"/>
    <n v="2225.4299999999998"/>
    <n v="797.91"/>
    <n v="2347.04"/>
    <n v="581.58000000000004"/>
    <n v="4610.62"/>
    <n v="24891.98"/>
    <n v="-4029.04"/>
  </r>
  <r>
    <x v="5"/>
    <x v="1"/>
    <x v="0"/>
    <s v="5807200"/>
    <n v="700078"/>
    <s v="Salaries-Service/Support-NonProd-Other"/>
    <s v="Pain Management"/>
    <x v="0"/>
    <n v="2000"/>
    <n v="0"/>
    <n v="0"/>
    <n v="0"/>
    <n v="0"/>
    <n v="691.22"/>
    <n v="334.07"/>
    <n v="0"/>
    <n v="-1025.29"/>
    <n v="0"/>
    <n v="0"/>
    <n v="0"/>
    <n v="0"/>
    <n v="0"/>
    <n v="0"/>
  </r>
  <r>
    <x v="5"/>
    <x v="1"/>
    <x v="0"/>
    <s v="5807200"/>
    <n v="700084"/>
    <s v="Accrued PTO"/>
    <s v="Pain Management"/>
    <x v="0"/>
    <m/>
    <n v="-163.95"/>
    <n v="771.04"/>
    <n v="-869.1"/>
    <n v="1228.77"/>
    <n v="250.23"/>
    <n v="-1241.99"/>
    <n v="-815.46"/>
    <n v="-152.99"/>
    <n v="1113.8800000000001"/>
    <n v="-766.76"/>
    <n v="899.08"/>
    <n v="-1397.43"/>
    <n v="-1144.6800000000003"/>
    <n v="2296.5100000000002"/>
  </r>
  <r>
    <x v="6"/>
    <x v="1"/>
    <x v="0"/>
    <s v="5807200"/>
    <n v="713010"/>
    <s v="Benefits-FICA/Medicare"/>
    <s v="Pain Management"/>
    <x v="0"/>
    <m/>
    <n v="1435.23"/>
    <n v="1618.61"/>
    <n v="1308.43"/>
    <n v="1516.24"/>
    <n v="1749.81"/>
    <n v="1302.3900000000001"/>
    <n v="1610.45"/>
    <n v="1351.05"/>
    <n v="1441.21"/>
    <n v="1495.91"/>
    <n v="1370.75"/>
    <n v="1205.6500000000001"/>
    <n v="17405.73"/>
    <n v="165.09999999999991"/>
  </r>
  <r>
    <x v="6"/>
    <x v="1"/>
    <x v="0"/>
    <s v="5807200"/>
    <n v="713090"/>
    <s v="Benefits-Allocated Amounts"/>
    <s v="Pain Management"/>
    <x v="0"/>
    <m/>
    <n v="5758.26"/>
    <n v="5495.62"/>
    <n v="5333.07"/>
    <n v="5415.83"/>
    <n v="5584.52"/>
    <n v="5632.19"/>
    <n v="6674.28"/>
    <n v="6261.81"/>
    <n v="6027.96"/>
    <n v="5895.36"/>
    <n v="5243"/>
    <n v="5059.6499999999996"/>
    <n v="68381.549999999988"/>
    <n v="183.35000000000036"/>
  </r>
  <r>
    <x v="6"/>
    <x v="1"/>
    <x v="0"/>
    <s v="5807200"/>
    <n v="713096"/>
    <s v="Employee Recognition"/>
    <s v="Pain Management"/>
    <x v="0"/>
    <n v="1017"/>
    <n v="0"/>
    <n v="0"/>
    <n v="0"/>
    <n v="0"/>
    <n v="0"/>
    <n v="0"/>
    <n v="0"/>
    <n v="0"/>
    <n v="0"/>
    <n v="0"/>
    <n v="0"/>
    <n v="168.75"/>
    <n v="168.75"/>
    <n v="-168.75"/>
  </r>
  <r>
    <x v="7"/>
    <x v="1"/>
    <x v="0"/>
    <s v="5807200"/>
    <n v="718010"/>
    <s v="Media/Print Advertising"/>
    <s v="Pain Management"/>
    <x v="0"/>
    <n v="1004"/>
    <n v="0"/>
    <n v="97.5"/>
    <n v="0"/>
    <n v="0"/>
    <n v="0"/>
    <n v="0"/>
    <n v="253.37"/>
    <n v="0"/>
    <n v="0"/>
    <n v="284.67"/>
    <n v="0"/>
    <n v="-12.39"/>
    <n v="623.15"/>
    <n v="12.39"/>
  </r>
  <r>
    <x v="7"/>
    <x v="1"/>
    <x v="0"/>
    <s v="5807200"/>
    <n v="718050"/>
    <s v="Contract Svcs-Other"/>
    <s v="Pain Management"/>
    <x v="0"/>
    <m/>
    <n v="0"/>
    <n v="0"/>
    <n v="41.25"/>
    <n v="0"/>
    <n v="0"/>
    <n v="0"/>
    <n v="789.7"/>
    <n v="0"/>
    <n v="0"/>
    <n v="0"/>
    <n v="0"/>
    <n v="473.67"/>
    <n v="1304.6200000000001"/>
    <n v="-473.67"/>
  </r>
  <r>
    <x v="7"/>
    <x v="1"/>
    <x v="0"/>
    <s v="5807200"/>
    <n v="718050"/>
    <s v="Physician Answering"/>
    <s v="Pain Management"/>
    <x v="0"/>
    <n v="1015"/>
    <n v="359.6"/>
    <n v="377.8"/>
    <n v="326.60000000000002"/>
    <n v="137.80000000000001"/>
    <n v="464.2"/>
    <n v="436.8"/>
    <n v="487.4"/>
    <n v="593.20000000000005"/>
    <n v="382.6"/>
    <n v="504.2"/>
    <n v="690.2"/>
    <n v="403"/>
    <n v="5163.4000000000005"/>
    <n v="287.20000000000005"/>
  </r>
  <r>
    <x v="7"/>
    <x v="1"/>
    <x v="0"/>
    <s v="5807200"/>
    <n v="718050"/>
    <s v="Translation Services"/>
    <s v="Pain Management"/>
    <x v="0"/>
    <n v="1025"/>
    <n v="0"/>
    <n v="0"/>
    <n v="0"/>
    <n v="0"/>
    <n v="0"/>
    <n v="0"/>
    <n v="128"/>
    <n v="241.5"/>
    <n v="67.5"/>
    <n v="96"/>
    <n v="192"/>
    <n v="0"/>
    <n v="725"/>
    <n v="192"/>
  </r>
  <r>
    <x v="7"/>
    <x v="1"/>
    <x v="0"/>
    <s v="5807200"/>
    <n v="718050"/>
    <s v="Contract Management--Linen"/>
    <s v="Pain Management"/>
    <x v="0"/>
    <n v="1026"/>
    <n v="0"/>
    <n v="97.5"/>
    <n v="0"/>
    <n v="0"/>
    <n v="0"/>
    <n v="0"/>
    <n v="-97.5"/>
    <n v="0"/>
    <n v="0"/>
    <n v="0"/>
    <n v="0"/>
    <n v="0"/>
    <n v="0"/>
    <n v="0"/>
  </r>
  <r>
    <x v="7"/>
    <x v="1"/>
    <x v="0"/>
    <s v="5807200"/>
    <n v="718070"/>
    <s v="Contract Srvcs-CHI Clinical Engineering"/>
    <s v="Pain Management"/>
    <x v="0"/>
    <m/>
    <n v="0"/>
    <n v="0"/>
    <n v="407.5"/>
    <n v="0"/>
    <n v="0"/>
    <n v="0"/>
    <n v="0"/>
    <n v="0"/>
    <n v="0"/>
    <n v="0"/>
    <n v="0"/>
    <n v="275.25"/>
    <n v="682.75"/>
    <n v="-275.25"/>
  </r>
  <r>
    <x v="11"/>
    <x v="1"/>
    <x v="0"/>
    <s v="5807200"/>
    <n v="721010"/>
    <s v="Supplies-Medical - Billable"/>
    <s v="Pain Management"/>
    <x v="0"/>
    <m/>
    <n v="458.15"/>
    <n v="20.56"/>
    <n v="845.57"/>
    <n v="-3.3"/>
    <n v="0"/>
    <n v="691"/>
    <n v="800"/>
    <n v="69.790000000000006"/>
    <n v="80.8"/>
    <n v="0"/>
    <n v="0"/>
    <n v="-6.6"/>
    <n v="2955.9700000000003"/>
    <n v="6.6"/>
  </r>
  <r>
    <x v="11"/>
    <x v="1"/>
    <x v="0"/>
    <s v="5807200"/>
    <n v="721250"/>
    <s v="Supplies-Pharmacy Drugs - Billable"/>
    <s v="Pain Management"/>
    <x v="0"/>
    <m/>
    <n v="0"/>
    <n v="0"/>
    <n v="0"/>
    <n v="0"/>
    <n v="0"/>
    <n v="0"/>
    <n v="0"/>
    <n v="0"/>
    <n v="0"/>
    <n v="0"/>
    <n v="-6521.27"/>
    <n v="0"/>
    <n v="-6521.27"/>
    <n v="-6521.27"/>
  </r>
  <r>
    <x v="11"/>
    <x v="1"/>
    <x v="0"/>
    <s v="5807200"/>
    <n v="721410"/>
    <s v="Supplies-Medical - Nonbillable"/>
    <s v="Pain Management"/>
    <x v="0"/>
    <m/>
    <n v="69.900000000000006"/>
    <n v="1678.65"/>
    <n v="0"/>
    <n v="0"/>
    <n v="0"/>
    <n v="0"/>
    <n v="0"/>
    <n v="0"/>
    <n v="0"/>
    <n v="0"/>
    <n v="0"/>
    <n v="-2.69"/>
    <n v="1745.8600000000001"/>
    <n v="2.69"/>
  </r>
  <r>
    <x v="11"/>
    <x v="1"/>
    <x v="0"/>
    <s v="5807200"/>
    <n v="721810"/>
    <s v="Supplies-Dietary/Cafeteria"/>
    <s v="Pain Management"/>
    <x v="0"/>
    <m/>
    <n v="0"/>
    <n v="0"/>
    <n v="0"/>
    <n v="60.01"/>
    <n v="0"/>
    <n v="0"/>
    <n v="0"/>
    <n v="0"/>
    <n v="0"/>
    <n v="0"/>
    <n v="0"/>
    <n v="0"/>
    <n v="60.01"/>
    <n v="0"/>
  </r>
  <r>
    <x v="11"/>
    <x v="1"/>
    <x v="0"/>
    <s v="5807200"/>
    <n v="721830"/>
    <s v="Supplies-Office"/>
    <s v="Pain Management"/>
    <x v="0"/>
    <m/>
    <n v="434.24"/>
    <n v="1534.74"/>
    <n v="365.22"/>
    <n v="962.03"/>
    <n v="193.19"/>
    <n v="343.77"/>
    <n v="499.69"/>
    <n v="244.97"/>
    <n v="433.16"/>
    <n v="463.75"/>
    <n v="160.49"/>
    <n v="260.08999999999997"/>
    <n v="5895.3399999999992"/>
    <n v="-99.599999999999966"/>
  </r>
  <r>
    <x v="11"/>
    <x v="1"/>
    <x v="0"/>
    <s v="5807200"/>
    <n v="721835"/>
    <s v="Supplies-Forms"/>
    <s v="Pain Management"/>
    <x v="0"/>
    <m/>
    <n v="0"/>
    <n v="0"/>
    <n v="0"/>
    <n v="0"/>
    <n v="99.23"/>
    <n v="113"/>
    <n v="552"/>
    <n v="0"/>
    <n v="56.48"/>
    <n v="257.5"/>
    <n v="0"/>
    <n v="62.9"/>
    <n v="1141.1100000000001"/>
    <n v="-62.9"/>
  </r>
  <r>
    <x v="11"/>
    <x v="1"/>
    <x v="0"/>
    <s v="5807200"/>
    <n v="721910"/>
    <s v="Supplies-Small Equipment"/>
    <s v="Pain Management"/>
    <x v="0"/>
    <m/>
    <n v="70.52"/>
    <n v="1380.61"/>
    <n v="245.7"/>
    <n v="1542.23"/>
    <n v="17.68"/>
    <n v="1413.57"/>
    <n v="121.73"/>
    <n v="0"/>
    <n v="0"/>
    <n v="-33.880000000000003"/>
    <n v="0"/>
    <n v="-30"/>
    <n v="4728.1599999999989"/>
    <n v="30"/>
  </r>
  <r>
    <x v="11"/>
    <x v="1"/>
    <x v="0"/>
    <s v="5807200"/>
    <n v="722000"/>
    <s v="Supplies-Freight Expense"/>
    <s v="Pain Management"/>
    <x v="0"/>
    <m/>
    <n v="0"/>
    <n v="23.82"/>
    <n v="126.29"/>
    <n v="14.8"/>
    <n v="20.56"/>
    <n v="0"/>
    <n v="0"/>
    <n v="15.8"/>
    <n v="23.98"/>
    <n v="0"/>
    <n v="0"/>
    <n v="10.06"/>
    <n v="235.31000000000003"/>
    <n v="-10.06"/>
  </r>
  <r>
    <x v="12"/>
    <x v="1"/>
    <x v="0"/>
    <s v="5807200"/>
    <n v="730010"/>
    <s v="Rental and Leases-Building (DO NOT USE)"/>
    <s v="Pain Management"/>
    <x v="0"/>
    <m/>
    <n v="5404.45"/>
    <n v="5404.45"/>
    <n v="5404.45"/>
    <n v="5404.45"/>
    <n v="24832.53"/>
    <n v="-2118.69"/>
    <n v="9937.36"/>
    <n v="9937.36"/>
    <n v="9937.36"/>
    <n v="3043.92"/>
    <n v="3068.06"/>
    <n v="0"/>
    <n v="80255.7"/>
    <n v="3068.06"/>
  </r>
  <r>
    <x v="12"/>
    <x v="1"/>
    <x v="0"/>
    <s v="5807200"/>
    <n v="730010"/>
    <s v="Rental-Common Area Maint (DO NOT USE)"/>
    <s v="Pain Management"/>
    <x v="0"/>
    <n v="2200"/>
    <n v="0"/>
    <n v="0"/>
    <n v="0"/>
    <n v="0"/>
    <n v="0"/>
    <n v="17293.439999999999"/>
    <n v="5481.57"/>
    <n v="5359.48"/>
    <n v="2779.52"/>
    <n v="2467.4699999999998"/>
    <n v="2467.4699999999998"/>
    <n v="0"/>
    <n v="35848.949999999997"/>
    <n v="2467.4699999999998"/>
  </r>
  <r>
    <x v="12"/>
    <x v="1"/>
    <x v="0"/>
    <s v="5807200"/>
    <n v="730040"/>
    <s v="LT Lease-Real Estate"/>
    <s v="Pain Management"/>
    <x v="0"/>
    <m/>
    <n v="0"/>
    <n v="0"/>
    <n v="0"/>
    <n v="0"/>
    <n v="0"/>
    <n v="0"/>
    <n v="0"/>
    <n v="0"/>
    <n v="0"/>
    <n v="0"/>
    <n v="0"/>
    <n v="5535.53"/>
    <n v="5535.53"/>
    <n v="-5535.53"/>
  </r>
  <r>
    <x v="16"/>
    <x v="1"/>
    <x v="0"/>
    <s v="5807200"/>
    <n v="732030"/>
    <s v="Repairs---Other"/>
    <s v="Pain Management"/>
    <x v="0"/>
    <m/>
    <n v="0"/>
    <n v="0"/>
    <n v="0"/>
    <n v="0"/>
    <n v="0"/>
    <n v="0"/>
    <n v="0"/>
    <n v="21.25"/>
    <n v="0"/>
    <n v="0"/>
    <n v="0"/>
    <n v="6.35"/>
    <n v="27.6"/>
    <n v="-6.35"/>
  </r>
  <r>
    <x v="0"/>
    <x v="1"/>
    <x v="0"/>
    <s v="5807200"/>
    <n v="742040"/>
    <s v="Freight-Other"/>
    <s v="Pain Management"/>
    <x v="0"/>
    <m/>
    <n v="0"/>
    <n v="0"/>
    <n v="0"/>
    <n v="0"/>
    <n v="0"/>
    <n v="0"/>
    <n v="12.38"/>
    <n v="0"/>
    <n v="0"/>
    <n v="0"/>
    <n v="0"/>
    <n v="12.39"/>
    <n v="24.770000000000003"/>
    <n v="-12.39"/>
  </r>
  <r>
    <x v="0"/>
    <x v="1"/>
    <x v="0"/>
    <s v="5807200"/>
    <n v="743020"/>
    <s v="Provider-Dues"/>
    <s v="Pain Management"/>
    <x v="0"/>
    <n v="2200"/>
    <n v="0"/>
    <n v="0"/>
    <n v="0"/>
    <n v="0"/>
    <n v="0"/>
    <n v="0"/>
    <n v="0"/>
    <n v="0"/>
    <n v="0"/>
    <n v="4590"/>
    <n v="0"/>
    <n v="0"/>
    <n v="4590"/>
    <n v="0"/>
  </r>
  <r>
    <x v="0"/>
    <x v="1"/>
    <x v="0"/>
    <s v="5807200"/>
    <n v="749510"/>
    <s v="Miscellaneous Expenses"/>
    <s v="Pain Management"/>
    <x v="0"/>
    <m/>
    <n v="7052.45"/>
    <n v="390.54"/>
    <n v="4168.1400000000003"/>
    <n v="0"/>
    <n v="0"/>
    <n v="706.5"/>
    <n v="60.05"/>
    <n v="0"/>
    <n v="0"/>
    <n v="0"/>
    <n v="52.06"/>
    <n v="-192.26"/>
    <n v="12237.48"/>
    <n v="244.32"/>
  </r>
  <r>
    <x v="0"/>
    <x v="1"/>
    <x v="0"/>
    <s v="5807200"/>
    <n v="749510"/>
    <s v="RICE Rewards"/>
    <s v="Pain Management"/>
    <x v="0"/>
    <n v="5100"/>
    <n v="0"/>
    <n v="0"/>
    <n v="0"/>
    <n v="0"/>
    <n v="0"/>
    <n v="314.36"/>
    <n v="0"/>
    <n v="0"/>
    <n v="0"/>
    <n v="0"/>
    <n v="0"/>
    <n v="58.65"/>
    <n v="373.01"/>
    <n v="-58.65"/>
  </r>
  <r>
    <x v="0"/>
    <x v="1"/>
    <x v="0"/>
    <s v="5807200"/>
    <n v="749530"/>
    <s v="Travel"/>
    <s v="Pain Management"/>
    <x v="0"/>
    <m/>
    <n v="0"/>
    <n v="0"/>
    <n v="0"/>
    <n v="0"/>
    <n v="0"/>
    <n v="0"/>
    <n v="24"/>
    <n v="0"/>
    <n v="0"/>
    <n v="0"/>
    <n v="0"/>
    <n v="0"/>
    <n v="24"/>
    <n v="0"/>
  </r>
  <r>
    <x v="0"/>
    <x v="1"/>
    <x v="0"/>
    <s v="5807200"/>
    <n v="749530"/>
    <s v="Mileage"/>
    <s v="Pain Management"/>
    <x v="0"/>
    <n v="1001"/>
    <n v="0"/>
    <n v="0"/>
    <n v="0"/>
    <n v="0"/>
    <n v="0"/>
    <n v="0"/>
    <n v="87.2"/>
    <n v="0"/>
    <n v="0"/>
    <n v="83.52"/>
    <n v="0"/>
    <n v="0"/>
    <n v="170.72"/>
    <n v="0"/>
  </r>
  <r>
    <x v="5"/>
    <x v="1"/>
    <x v="0"/>
    <s v="5808200"/>
    <n v="700014"/>
    <s v="Salaries-Management-Productive"/>
    <s v="Rheumatology-Burien Shared Svc"/>
    <x v="0"/>
    <m/>
    <n v="0"/>
    <n v="0"/>
    <n v="0"/>
    <n v="0"/>
    <n v="0"/>
    <n v="1188.48"/>
    <n v="1428.28"/>
    <n v="773.65"/>
    <n v="1368.79"/>
    <n v="1309.25"/>
    <n v="773.67"/>
    <n v="595.12"/>
    <n v="7437.2400000000007"/>
    <n v="178.54999999999995"/>
  </r>
  <r>
    <x v="5"/>
    <x v="1"/>
    <x v="0"/>
    <s v="5808200"/>
    <n v="700038"/>
    <s v="Salaries-Service/Support-Productive"/>
    <s v="Rheumatology-Burien Shared Svc"/>
    <x v="0"/>
    <m/>
    <n v="6186.58"/>
    <n v="5623.02"/>
    <n v="5335.44"/>
    <n v="7091.12"/>
    <n v="6827.12"/>
    <n v="3194.74"/>
    <n v="2773.96"/>
    <n v="2672.95"/>
    <n v="3123.56"/>
    <n v="2830.12"/>
    <n v="2272.7800000000002"/>
    <n v="1336.41"/>
    <n v="49267.799999999996"/>
    <n v="936.37000000000012"/>
  </r>
  <r>
    <x v="5"/>
    <x v="1"/>
    <x v="0"/>
    <s v="5808200"/>
    <n v="700038"/>
    <s v="Salaries-Service/Support-OT"/>
    <s v="Rheumatology-Burien Shared Svc"/>
    <x v="0"/>
    <n v="1000"/>
    <n v="0"/>
    <n v="0"/>
    <n v="0"/>
    <n v="38.979999999999997"/>
    <n v="12.9"/>
    <n v="21.66"/>
    <n v="0"/>
    <n v="0"/>
    <n v="0"/>
    <n v="0"/>
    <n v="15.39"/>
    <n v="0"/>
    <n v="88.929999999999993"/>
    <n v="15.39"/>
  </r>
  <r>
    <x v="5"/>
    <x v="1"/>
    <x v="0"/>
    <s v="5808200"/>
    <n v="700038"/>
    <s v="Salaries-Service/Support-Other"/>
    <s v="Rheumatology-Burien Shared Svc"/>
    <x v="0"/>
    <n v="2000"/>
    <n v="0"/>
    <n v="0"/>
    <n v="7.81"/>
    <n v="-2.6"/>
    <n v="0"/>
    <n v="12"/>
    <n v="0"/>
    <n v="0"/>
    <n v="0"/>
    <n v="30.65"/>
    <n v="100.8"/>
    <n v="-24.29"/>
    <n v="124.37"/>
    <n v="125.09"/>
  </r>
  <r>
    <x v="5"/>
    <x v="1"/>
    <x v="0"/>
    <s v="5808200"/>
    <n v="700078"/>
    <s v="Salaries-Service/Support-Non-productive"/>
    <s v="Rheumatology-Burien Shared Svc"/>
    <x v="0"/>
    <m/>
    <n v="484.81"/>
    <n v="277.45999999999998"/>
    <n v="993.52"/>
    <n v="173.39"/>
    <n v="261.85000000000002"/>
    <n v="1666.75"/>
    <n v="593.54999999999995"/>
    <n v="471.46"/>
    <n v="150.09"/>
    <n v="861.11"/>
    <n v="-127.74"/>
    <n v="152.62"/>
    <n v="5958.87"/>
    <n v="-280.36"/>
  </r>
  <r>
    <x v="5"/>
    <x v="1"/>
    <x v="0"/>
    <s v="5808200"/>
    <n v="700078"/>
    <s v="Salaries-Service/Support-NonProd-Other"/>
    <s v="Rheumatology-Burien Shared Svc"/>
    <x v="0"/>
    <n v="2000"/>
    <n v="22.32"/>
    <n v="-3.72"/>
    <n v="23.25"/>
    <n v="41.8"/>
    <n v="-16.100000000000001"/>
    <n v="0"/>
    <n v="0"/>
    <n v="0"/>
    <n v="0"/>
    <n v="0"/>
    <n v="0"/>
    <n v="0"/>
    <n v="67.550000000000011"/>
    <n v="0"/>
  </r>
  <r>
    <x v="5"/>
    <x v="1"/>
    <x v="0"/>
    <s v="5808200"/>
    <n v="700084"/>
    <s v="Accrued PTO"/>
    <s v="Rheumatology-Burien Shared Svc"/>
    <x v="0"/>
    <m/>
    <n v="237.91"/>
    <n v="297.8"/>
    <n v="-305.25"/>
    <n v="374.25"/>
    <n v="314.47000000000003"/>
    <n v="-284.27999999999997"/>
    <n v="95.38"/>
    <n v="143.72999999999999"/>
    <n v="431.31"/>
    <n v="-115.79"/>
    <n v="-74.319999999999993"/>
    <n v="510.74"/>
    <n v="1625.9500000000003"/>
    <n v="-585.05999999999995"/>
  </r>
  <r>
    <x v="6"/>
    <x v="1"/>
    <x v="0"/>
    <s v="5808200"/>
    <n v="713010"/>
    <s v="Benefits-FICA/Medicare"/>
    <s v="Rheumatology-Burien Shared Svc"/>
    <x v="0"/>
    <m/>
    <n v="506.56"/>
    <n v="447.07"/>
    <n v="481.81"/>
    <n v="557.53"/>
    <n v="537.78"/>
    <n v="444.03"/>
    <n v="344.09"/>
    <n v="279.83999999999997"/>
    <n v="334.44"/>
    <n v="354.4"/>
    <n v="224.63"/>
    <n v="164.96"/>
    <n v="4677.1400000000003"/>
    <n v="59.669999999999987"/>
  </r>
  <r>
    <x v="6"/>
    <x v="1"/>
    <x v="0"/>
    <s v="5808200"/>
    <n v="713090"/>
    <s v="Benefits-Allocated Amounts"/>
    <s v="Rheumatology-Burien Shared Svc"/>
    <x v="0"/>
    <m/>
    <n v="2100.33"/>
    <n v="1584.02"/>
    <n v="2082.6799999999998"/>
    <n v="2147.06"/>
    <n v="2172.21"/>
    <n v="1778.06"/>
    <n v="1738.18"/>
    <n v="1292.1300000000001"/>
    <n v="1563.61"/>
    <n v="1399.97"/>
    <n v="1256.31"/>
    <n v="309.81"/>
    <n v="19424.370000000003"/>
    <n v="946.5"/>
  </r>
  <r>
    <x v="7"/>
    <x v="1"/>
    <x v="0"/>
    <s v="5808200"/>
    <n v="718010"/>
    <s v="Media/Print Advertising"/>
    <s v="Rheumatology-Burien Shared Svc"/>
    <x v="0"/>
    <n v="1004"/>
    <n v="0"/>
    <n v="0"/>
    <n v="0"/>
    <n v="114.01"/>
    <n v="0"/>
    <n v="0"/>
    <n v="0"/>
    <n v="582.46"/>
    <n v="0"/>
    <n v="0"/>
    <n v="0"/>
    <n v="0"/>
    <n v="696.47"/>
    <n v="0"/>
  </r>
  <r>
    <x v="7"/>
    <x v="1"/>
    <x v="0"/>
    <s v="5808200"/>
    <n v="718050"/>
    <s v="Translation Services"/>
    <s v="Rheumatology-Burien Shared Svc"/>
    <x v="0"/>
    <n v="1025"/>
    <n v="0"/>
    <n v="0"/>
    <n v="72"/>
    <n v="0"/>
    <n v="0"/>
    <n v="0"/>
    <n v="0"/>
    <n v="32"/>
    <n v="0"/>
    <n v="0"/>
    <n v="0"/>
    <n v="50.47"/>
    <n v="154.47"/>
    <n v="-50.47"/>
  </r>
  <r>
    <x v="7"/>
    <x v="1"/>
    <x v="0"/>
    <s v="5808200"/>
    <n v="718050"/>
    <s v="Contract Management--Linen"/>
    <s v="Rheumatology-Burien Shared Svc"/>
    <x v="0"/>
    <n v="1026"/>
    <n v="0"/>
    <n v="0"/>
    <n v="0"/>
    <n v="0"/>
    <n v="395"/>
    <n v="118.5"/>
    <n v="237"/>
    <n v="197.5"/>
    <n v="79"/>
    <n v="237"/>
    <n v="79"/>
    <n v="79"/>
    <n v="1422"/>
    <n v="0"/>
  </r>
  <r>
    <x v="11"/>
    <x v="1"/>
    <x v="0"/>
    <s v="5808200"/>
    <n v="721250"/>
    <s v="Supplies-Pharmacy Drugs - Billable"/>
    <s v="Rheumatology-Burien Shared Svc"/>
    <x v="0"/>
    <m/>
    <n v="1405.94"/>
    <n v="2933.4"/>
    <n v="0"/>
    <n v="1057.55"/>
    <n v="0"/>
    <n v="1057.55"/>
    <n v="390.51"/>
    <n v="0"/>
    <n v="465.8"/>
    <n v="0"/>
    <n v="-1359.96"/>
    <n v="1677.98"/>
    <n v="7628.77"/>
    <n v="-3037.94"/>
  </r>
  <r>
    <x v="11"/>
    <x v="1"/>
    <x v="0"/>
    <s v="5808200"/>
    <n v="721810"/>
    <s v="Supplies-Dietary/Cafeteria"/>
    <s v="Rheumatology-Burien Shared Svc"/>
    <x v="0"/>
    <m/>
    <n v="0"/>
    <n v="0"/>
    <n v="0"/>
    <n v="33.33"/>
    <n v="17.850000000000001"/>
    <n v="0"/>
    <n v="0"/>
    <n v="0"/>
    <n v="12.98"/>
    <n v="21.74"/>
    <n v="26.35"/>
    <n v="0"/>
    <n v="112.25"/>
    <n v="26.35"/>
  </r>
  <r>
    <x v="11"/>
    <x v="1"/>
    <x v="0"/>
    <s v="5808200"/>
    <n v="721830"/>
    <s v="Supplies-Office"/>
    <s v="Rheumatology-Burien Shared Svc"/>
    <x v="0"/>
    <m/>
    <n v="0"/>
    <n v="0"/>
    <n v="76.84"/>
    <n v="125.61"/>
    <n v="63.04"/>
    <n v="102.27"/>
    <n v="43.03"/>
    <n v="0"/>
    <n v="30.24"/>
    <n v="62.88"/>
    <n v="0"/>
    <n v="0"/>
    <n v="503.90999999999997"/>
    <n v="0"/>
  </r>
  <r>
    <x v="11"/>
    <x v="1"/>
    <x v="0"/>
    <s v="5808200"/>
    <n v="721835"/>
    <s v="Supplies-Forms"/>
    <s v="Rheumatology-Burien Shared Svc"/>
    <x v="0"/>
    <m/>
    <n v="0"/>
    <n v="0"/>
    <n v="0"/>
    <n v="0"/>
    <n v="460.99"/>
    <n v="0"/>
    <n v="0"/>
    <n v="100.29"/>
    <n v="0"/>
    <n v="0"/>
    <n v="0"/>
    <n v="0"/>
    <n v="561.28"/>
    <n v="0"/>
  </r>
  <r>
    <x v="11"/>
    <x v="1"/>
    <x v="0"/>
    <s v="5808200"/>
    <n v="721910"/>
    <s v="Supplies-Small Equipment"/>
    <s v="Rheumatology-Burien Shared Svc"/>
    <x v="0"/>
    <m/>
    <n v="0"/>
    <n v="0"/>
    <n v="0"/>
    <n v="0"/>
    <n v="0"/>
    <n v="0"/>
    <n v="0"/>
    <n v="0"/>
    <n v="29.95"/>
    <n v="0"/>
    <n v="3.02"/>
    <n v="0"/>
    <n v="32.97"/>
    <n v="3.02"/>
  </r>
  <r>
    <x v="0"/>
    <x v="1"/>
    <x v="0"/>
    <s v="5808200"/>
    <n v="749510"/>
    <s v="Licenses"/>
    <s v="Rheumatology-Burien Shared Svc"/>
    <x v="0"/>
    <n v="1002"/>
    <n v="0"/>
    <n v="0"/>
    <n v="90"/>
    <n v="0"/>
    <n v="0"/>
    <n v="0"/>
    <n v="0"/>
    <n v="0"/>
    <n v="0"/>
    <n v="0"/>
    <n v="0"/>
    <n v="0"/>
    <n v="90"/>
    <n v="0"/>
  </r>
  <r>
    <x v="0"/>
    <x v="1"/>
    <x v="0"/>
    <s v="5808200"/>
    <n v="749510"/>
    <s v="RICE Rewards"/>
    <s v="Rheumatology-Burien Shared Svc"/>
    <x v="0"/>
    <n v="5100"/>
    <n v="0"/>
    <n v="0"/>
    <n v="0"/>
    <n v="0"/>
    <n v="0"/>
    <n v="0"/>
    <n v="0"/>
    <n v="0"/>
    <n v="0"/>
    <n v="0"/>
    <n v="28.54"/>
    <n v="60.74"/>
    <n v="89.28"/>
    <n v="-32.200000000000003"/>
  </r>
  <r>
    <x v="0"/>
    <x v="1"/>
    <x v="0"/>
    <s v="5808200"/>
    <n v="749530"/>
    <s v="Mileage"/>
    <s v="Rheumatology-Burien Shared Svc"/>
    <x v="0"/>
    <n v="1001"/>
    <n v="33.119999999999997"/>
    <n v="0"/>
    <n v="13.63"/>
    <n v="13.9"/>
    <n v="8.5399999999999991"/>
    <n v="3.36"/>
    <n v="8.5399999999999991"/>
    <n v="12.67"/>
    <n v="14.22"/>
    <n v="17.79"/>
    <n v="7.16"/>
    <n v="13.74"/>
    <n v="146.67000000000002"/>
    <n v="-6.58"/>
  </r>
  <r>
    <x v="0"/>
    <x v="1"/>
    <x v="0"/>
    <s v="5808200"/>
    <n v="749535"/>
    <s v="Meetings"/>
    <s v="Rheumatology-Burien Shared Svc"/>
    <x v="0"/>
    <m/>
    <n v="44"/>
    <n v="0"/>
    <n v="0"/>
    <n v="0"/>
    <n v="0"/>
    <n v="0"/>
    <n v="24.27"/>
    <n v="0"/>
    <n v="40.1"/>
    <n v="55.56"/>
    <n v="9.51"/>
    <n v="0"/>
    <n v="173.44"/>
    <n v="9.51"/>
  </r>
  <r>
    <x v="0"/>
    <x v="1"/>
    <x v="0"/>
    <s v="5808200"/>
    <n v="749550"/>
    <s v="Cash Over/Short"/>
    <s v="Rheumatology-Burien Shared Svc"/>
    <x v="0"/>
    <m/>
    <n v="0"/>
    <n v="0"/>
    <n v="0"/>
    <n v="0"/>
    <n v="0"/>
    <n v="0"/>
    <n v="0"/>
    <n v="0"/>
    <n v="0"/>
    <n v="-10"/>
    <n v="0"/>
    <n v="0"/>
    <n v="-10"/>
    <n v="0"/>
  </r>
  <r>
    <x v="2"/>
    <x v="1"/>
    <x v="0"/>
    <s v="5810200"/>
    <n v="450040"/>
    <s v="Contr Allow--Phys Svcs--BCBS Mgnd Care"/>
    <s v="Transitional Clinic-Shared Svc"/>
    <x v="0"/>
    <n v="1401"/>
    <n v="-1.05"/>
    <n v="0.15"/>
    <n v="2.1800000000000002"/>
    <n v="-2.14"/>
    <n v="-7.71"/>
    <n v="3.67"/>
    <n v="5.08"/>
    <n v="3.76"/>
    <n v="0.17"/>
    <n v="-1.5"/>
    <n v="4.67"/>
    <n v="-1.54"/>
    <n v="5.7399999999999993"/>
    <n v="6.21"/>
  </r>
  <r>
    <x v="3"/>
    <x v="1"/>
    <x v="0"/>
    <s v="5810200"/>
    <n v="470040"/>
    <s v="Charity Care-Physician Svcs"/>
    <s v="Transitional Clinic-Shared Svc"/>
    <x v="0"/>
    <m/>
    <n v="-0.71"/>
    <n v="1.8"/>
    <n v="-0.67"/>
    <n v="-0.17"/>
    <n v="0.09"/>
    <n v="-0.87"/>
    <n v="-0.18"/>
    <n v="74.45"/>
    <n v="1.26"/>
    <n v="-0.49"/>
    <n v="-0.92"/>
    <n v="1.5"/>
    <n v="75.090000000000018"/>
    <n v="-2.42"/>
  </r>
  <r>
    <x v="4"/>
    <x v="1"/>
    <x v="0"/>
    <s v="5810200"/>
    <n v="490010"/>
    <s v="Provision for Bad Debts"/>
    <s v="Transitional Clinic-Shared Svc"/>
    <x v="0"/>
    <m/>
    <n v="1.98"/>
    <n v="-0.55000000000000004"/>
    <n v="-1.25"/>
    <n v="-3.23"/>
    <n v="15.02"/>
    <n v="-1.94"/>
    <n v="-3.16"/>
    <n v="-76.849999999999994"/>
    <n v="1.69"/>
    <n v="-0.68"/>
    <n v="-0.3"/>
    <n v="1.05"/>
    <n v="-68.22"/>
    <n v="-1.35"/>
  </r>
  <r>
    <x v="5"/>
    <x v="1"/>
    <x v="0"/>
    <s v="5810200"/>
    <n v="700054"/>
    <s v="Salaries-Management-NonProd-Other"/>
    <s v="Transitional Clinic-Shared Svc"/>
    <x v="0"/>
    <n v="2000"/>
    <n v="0"/>
    <n v="0"/>
    <n v="0"/>
    <n v="0"/>
    <n v="0"/>
    <n v="798.63"/>
    <n v="-798.63"/>
    <n v="0"/>
    <n v="0"/>
    <n v="0"/>
    <n v="0"/>
    <n v="0"/>
    <n v="0"/>
    <n v="0"/>
  </r>
  <r>
    <x v="6"/>
    <x v="1"/>
    <x v="0"/>
    <s v="5810200"/>
    <n v="713010"/>
    <s v="Benefits-FICA/Medicare"/>
    <s v="Transitional Clinic-Shared Svc"/>
    <x v="0"/>
    <m/>
    <n v="0"/>
    <n v="0"/>
    <n v="0"/>
    <n v="0"/>
    <n v="0"/>
    <n v="61.1"/>
    <n v="61.1"/>
    <n v="0"/>
    <n v="0"/>
    <n v="0"/>
    <n v="0"/>
    <n v="0"/>
    <n v="122.2"/>
    <n v="0"/>
  </r>
  <r>
    <x v="6"/>
    <x v="1"/>
    <x v="0"/>
    <s v="5810200"/>
    <n v="713090"/>
    <s v="Benefits-Allocated Amounts"/>
    <s v="Transitional Clinic-Shared Svc"/>
    <x v="0"/>
    <m/>
    <n v="0"/>
    <n v="0"/>
    <n v="0"/>
    <n v="0"/>
    <n v="0"/>
    <n v="55.65"/>
    <n v="-55.65"/>
    <n v="0"/>
    <n v="0"/>
    <n v="0"/>
    <n v="0"/>
    <n v="0"/>
    <n v="0"/>
    <n v="0"/>
  </r>
  <r>
    <x v="7"/>
    <x v="1"/>
    <x v="0"/>
    <s v="5810200"/>
    <n v="718050"/>
    <s v="Contract Svcs-Other"/>
    <s v="Transitional Clinic-Shared Svc"/>
    <x v="0"/>
    <m/>
    <n v="0"/>
    <n v="0"/>
    <n v="0"/>
    <n v="0"/>
    <n v="0"/>
    <n v="0"/>
    <n v="0"/>
    <n v="0"/>
    <n v="0"/>
    <n v="0"/>
    <n v="0"/>
    <n v="50.88"/>
    <n v="50.88"/>
    <n v="-50.88"/>
  </r>
  <r>
    <x v="7"/>
    <x v="1"/>
    <x v="0"/>
    <s v="5810200"/>
    <n v="718050"/>
    <s v="Document Shredding/Storage"/>
    <s v="Transitional Clinic-Shared Svc"/>
    <x v="0"/>
    <n v="1012"/>
    <n v="20.96"/>
    <n v="-41.91"/>
    <n v="0"/>
    <n v="0"/>
    <n v="0"/>
    <n v="0"/>
    <n v="0"/>
    <n v="33.76"/>
    <n v="16.440000000000001"/>
    <n v="17.54"/>
    <n v="17.62"/>
    <n v="24"/>
    <n v="88.410000000000011"/>
    <n v="-6.379999999999999"/>
  </r>
  <r>
    <x v="12"/>
    <x v="1"/>
    <x v="0"/>
    <s v="5810200"/>
    <n v="730020"/>
    <s v="Rental and Leases-Copier Usage Fees (DO NOT USE)"/>
    <s v="Transitional Clinic-Shared Svc"/>
    <x v="0"/>
    <n v="5100"/>
    <n v="4.29"/>
    <n v="2.52"/>
    <n v="-30.55"/>
    <n v="0"/>
    <n v="-5.93"/>
    <n v="-5.93"/>
    <n v="11.86"/>
    <n v="0"/>
    <n v="0"/>
    <n v="0"/>
    <n v="0"/>
    <n v="0"/>
    <n v="-23.740000000000002"/>
    <n v="0"/>
  </r>
  <r>
    <x v="5"/>
    <x v="1"/>
    <x v="0"/>
    <s v="5811200"/>
    <n v="700014"/>
    <s v="Salaries-Management-Productive"/>
    <s v="WH-Puyallup"/>
    <x v="0"/>
    <m/>
    <n v="616.35"/>
    <n v="644.37"/>
    <n v="350.2"/>
    <n v="-70.040000000000006"/>
    <n v="0"/>
    <n v="0"/>
    <n v="0"/>
    <n v="0"/>
    <n v="0"/>
    <n v="0"/>
    <n v="0"/>
    <n v="0"/>
    <n v="1540.88"/>
    <n v="0"/>
  </r>
  <r>
    <x v="6"/>
    <x v="1"/>
    <x v="0"/>
    <s v="5811200"/>
    <n v="713010"/>
    <s v="Benefits-FICA/Medicare"/>
    <s v="WH-Puyallup"/>
    <x v="0"/>
    <m/>
    <n v="43.55"/>
    <n v="45.55"/>
    <n v="24.78"/>
    <n v="-4.95"/>
    <n v="0"/>
    <n v="0"/>
    <n v="0"/>
    <n v="0"/>
    <n v="0"/>
    <n v="0"/>
    <n v="0"/>
    <n v="0"/>
    <n v="108.92999999999999"/>
    <n v="0"/>
  </r>
  <r>
    <x v="6"/>
    <x v="1"/>
    <x v="0"/>
    <s v="5811200"/>
    <n v="713090"/>
    <s v="Benefits-Allocated Amounts"/>
    <s v="WH-Puyallup"/>
    <x v="0"/>
    <m/>
    <n v="107.61"/>
    <n v="99.62"/>
    <n v="105.26"/>
    <n v="-14.8"/>
    <n v="-33.549999999999997"/>
    <n v="55.24"/>
    <n v="63.93"/>
    <n v="-121.37"/>
    <n v="38.340000000000003"/>
    <n v="36.58"/>
    <n v="35.92"/>
    <n v="-98.09"/>
    <n v="274.68999999999994"/>
    <n v="134.01"/>
  </r>
  <r>
    <x v="12"/>
    <x v="1"/>
    <x v="0"/>
    <s v="5812200"/>
    <n v="730020"/>
    <s v="Rental and Leases-Copier Usage Fees (DO NOT USE)"/>
    <s v="Endocrinology-Aub-Shared Svc"/>
    <x v="0"/>
    <n v="5100"/>
    <n v="115.38"/>
    <n v="118.97"/>
    <n v="117.17"/>
    <n v="117.17"/>
    <n v="117.17"/>
    <n v="117.17"/>
    <n v="-1018.14"/>
    <n v="24.41"/>
    <n v="24.36"/>
    <n v="24.46"/>
    <n v="24.41"/>
    <n v="25.18"/>
    <n v="-192.28999999999996"/>
    <n v="-0.76999999999999957"/>
  </r>
  <r>
    <x v="5"/>
    <x v="1"/>
    <x v="0"/>
    <s v="5813200"/>
    <n v="700014"/>
    <s v="Salaries-Management-Productive"/>
    <s v="Specialty Ctr-Bonney Lake"/>
    <x v="0"/>
    <m/>
    <n v="862.75"/>
    <n v="705.89"/>
    <n v="588.24"/>
    <n v="556.94000000000005"/>
    <n v="1042.5"/>
    <n v="641.53"/>
    <n v="923.6"/>
    <n v="803.08"/>
    <n v="843.24"/>
    <n v="883.38"/>
    <n v="923.55"/>
    <n v="401.54"/>
    <n v="9176.2400000000016"/>
    <n v="522.01"/>
  </r>
  <r>
    <x v="5"/>
    <x v="1"/>
    <x v="0"/>
    <s v="5813200"/>
    <n v="700018"/>
    <s v="Salaries-Supervisory-Productive"/>
    <s v="Specialty Ctr-Bonney Lake"/>
    <x v="0"/>
    <m/>
    <n v="1796.91"/>
    <n v="1999.17"/>
    <n v="1738.4"/>
    <n v="1457.42"/>
    <n v="1344.46"/>
    <n v="1640.17"/>
    <n v="2083.9"/>
    <n v="1801.66"/>
    <n v="1891.75"/>
    <n v="1981.82"/>
    <n v="1171.0999999999999"/>
    <n v="1896.13"/>
    <n v="20802.89"/>
    <n v="-725.0300000000002"/>
  </r>
  <r>
    <x v="5"/>
    <x v="1"/>
    <x v="0"/>
    <s v="5813200"/>
    <n v="700038"/>
    <s v="Salaries-Service/Support-Productive"/>
    <s v="Specialty Ctr-Bonney Lake"/>
    <x v="0"/>
    <m/>
    <n v="7113.26"/>
    <n v="3745.63"/>
    <n v="4779.82"/>
    <n v="6191.81"/>
    <n v="7313.84"/>
    <n v="6234.66"/>
    <n v="7405.26"/>
    <n v="6113.21"/>
    <n v="2409.0100000000002"/>
    <n v="8861.32"/>
    <n v="362.1"/>
    <n v="9293.48"/>
    <n v="69823.400000000009"/>
    <n v="-8931.3799999999992"/>
  </r>
  <r>
    <x v="5"/>
    <x v="1"/>
    <x v="0"/>
    <s v="5813200"/>
    <n v="700038"/>
    <s v="Salaries-Service/Support-OT"/>
    <s v="Specialty Ctr-Bonney Lake"/>
    <x v="0"/>
    <n v="1000"/>
    <n v="20.25"/>
    <n v="9.69"/>
    <n v="-4.3499999999999996"/>
    <n v="0"/>
    <n v="0"/>
    <n v="8.65"/>
    <n v="0"/>
    <n v="0"/>
    <n v="52.08"/>
    <n v="8.66"/>
    <n v="8.66"/>
    <n v="8.69"/>
    <n v="112.32999999999998"/>
    <n v="-2.9999999999999361E-2"/>
  </r>
  <r>
    <x v="5"/>
    <x v="1"/>
    <x v="0"/>
    <s v="5813200"/>
    <n v="700038"/>
    <s v="Salaries-Service/Support-Other"/>
    <s v="Specialty Ctr-Bonney Lake"/>
    <x v="0"/>
    <n v="2000"/>
    <n v="11.1"/>
    <n v="-1.85"/>
    <n v="0"/>
    <n v="0"/>
    <n v="0"/>
    <n v="0"/>
    <n v="0"/>
    <n v="0"/>
    <n v="0"/>
    <n v="15.31"/>
    <n v="-6.3"/>
    <n v="17.27"/>
    <n v="35.53"/>
    <n v="-23.57"/>
  </r>
  <r>
    <x v="5"/>
    <x v="1"/>
    <x v="0"/>
    <s v="5813200"/>
    <n v="700078"/>
    <s v="Salaries-Service/Support-Non-productive"/>
    <s v="Specialty Ctr-Bonney Lake"/>
    <x v="0"/>
    <m/>
    <n v="612.96"/>
    <n v="677.62"/>
    <n v="337.84"/>
    <n v="672.53"/>
    <n v="1390.18"/>
    <n v="1521.92"/>
    <n v="1103.03"/>
    <n v="1016.65"/>
    <n v="-210.34"/>
    <n v="1080.9100000000001"/>
    <n v="619.17999999999995"/>
    <n v="1231.8499999999999"/>
    <n v="10054.33"/>
    <n v="-612.66999999999996"/>
  </r>
  <r>
    <x v="6"/>
    <x v="1"/>
    <x v="0"/>
    <s v="5813200"/>
    <n v="713010"/>
    <s v="Benefits-FICA/Medicare"/>
    <s v="Specialty Ctr-Bonney Lake"/>
    <x v="0"/>
    <m/>
    <n v="711.87"/>
    <n v="515.54999999999995"/>
    <n v="503.52"/>
    <n v="607.82000000000005"/>
    <n v="757.98"/>
    <n v="686.19"/>
    <n v="787.64"/>
    <n v="666.28"/>
    <n v="351.24"/>
    <n v="874.79"/>
    <n v="219.08"/>
    <n v="871.48"/>
    <n v="7553.4400000000005"/>
    <n v="-652.4"/>
  </r>
  <r>
    <x v="6"/>
    <x v="1"/>
    <x v="0"/>
    <s v="5813200"/>
    <n v="713090"/>
    <s v="Benefits-Allocated Amounts"/>
    <s v="Specialty Ctr-Bonney Lake"/>
    <x v="0"/>
    <m/>
    <n v="2601.9"/>
    <n v="1322.2"/>
    <n v="1974.2"/>
    <n v="2236.42"/>
    <n v="2532.66"/>
    <n v="2752.76"/>
    <n v="3052.51"/>
    <n v="2813.31"/>
    <n v="1491.53"/>
    <n v="2932.32"/>
    <n v="1382.97"/>
    <n v="2791.87"/>
    <n v="27884.65"/>
    <n v="-1408.8999999999999"/>
  </r>
  <r>
    <x v="7"/>
    <x v="1"/>
    <x v="0"/>
    <s v="5813200"/>
    <n v="718050"/>
    <s v="Contract Svcs-Other"/>
    <s v="Specialty Ctr-Bonney Lake"/>
    <x v="0"/>
    <m/>
    <n v="61.02"/>
    <n v="143.15"/>
    <n v="206.04"/>
    <n v="34.869999999999997"/>
    <n v="58.01"/>
    <n v="59.68"/>
    <n v="140.91999999999999"/>
    <n v="138.5"/>
    <n v="22.8"/>
    <n v="151.02000000000001"/>
    <n v="59.85"/>
    <n v="151.69999999999999"/>
    <n v="1227.56"/>
    <n v="-91.85"/>
  </r>
  <r>
    <x v="7"/>
    <x v="1"/>
    <x v="0"/>
    <s v="5813200"/>
    <n v="718050"/>
    <s v="Translation Services"/>
    <s v="Specialty Ctr-Bonney Lake"/>
    <x v="0"/>
    <n v="1025"/>
    <n v="0"/>
    <n v="0"/>
    <n v="0"/>
    <n v="50.56"/>
    <n v="0"/>
    <n v="0"/>
    <n v="0"/>
    <n v="0"/>
    <n v="0"/>
    <n v="0"/>
    <n v="0"/>
    <n v="0"/>
    <n v="50.56"/>
    <n v="0"/>
  </r>
  <r>
    <x v="7"/>
    <x v="1"/>
    <x v="0"/>
    <s v="5813200"/>
    <n v="718050"/>
    <s v="Contract Management--Linen"/>
    <s v="Specialty Ctr-Bonney Lake"/>
    <x v="0"/>
    <n v="1026"/>
    <n v="101.8"/>
    <n v="152.69999999999999"/>
    <n v="101.8"/>
    <n v="222.83"/>
    <n v="427.13"/>
    <n v="172.63"/>
    <n v="282.89999999999998"/>
    <n v="174.69"/>
    <n v="529.94000000000005"/>
    <n v="117.38"/>
    <n v="58.69"/>
    <n v="233.38"/>
    <n v="2575.8700000000003"/>
    <n v="-174.69"/>
  </r>
  <r>
    <x v="7"/>
    <x v="1"/>
    <x v="0"/>
    <s v="5813200"/>
    <n v="718050"/>
    <s v="Purchased Srvcs--Medical Waste"/>
    <s v="Specialty Ctr-Bonney Lake"/>
    <x v="0"/>
    <n v="1027"/>
    <n v="0"/>
    <n v="84.54"/>
    <n v="64.37"/>
    <n v="42.27"/>
    <n v="43.92"/>
    <n v="43.92"/>
    <n v="43.92"/>
    <n v="49.26"/>
    <n v="45.78"/>
    <n v="43.92"/>
    <n v="53.91"/>
    <n v="175.7"/>
    <n v="691.51"/>
    <n v="-121.78999999999999"/>
  </r>
  <r>
    <x v="11"/>
    <x v="1"/>
    <x v="0"/>
    <s v="5813200"/>
    <n v="721410"/>
    <s v="Supplies-Medical - Nonbillable"/>
    <s v="Specialty Ctr-Bonney Lake"/>
    <x v="0"/>
    <m/>
    <n v="0"/>
    <n v="0"/>
    <n v="0"/>
    <n v="0"/>
    <n v="0"/>
    <n v="0"/>
    <n v="0"/>
    <n v="0"/>
    <n v="0"/>
    <n v="170.32"/>
    <n v="0"/>
    <n v="378.83"/>
    <n v="549.15"/>
    <n v="-378.83"/>
  </r>
  <r>
    <x v="11"/>
    <x v="1"/>
    <x v="0"/>
    <s v="5813200"/>
    <n v="721830"/>
    <s v="Supplies-Office"/>
    <s v="Specialty Ctr-Bonney Lake"/>
    <x v="0"/>
    <m/>
    <n v="0"/>
    <n v="83"/>
    <n v="0"/>
    <n v="10.99"/>
    <n v="0"/>
    <n v="0"/>
    <n v="0"/>
    <n v="88.47"/>
    <n v="0"/>
    <n v="0"/>
    <n v="2.73"/>
    <n v="0"/>
    <n v="185.18999999999997"/>
    <n v="2.73"/>
  </r>
  <r>
    <x v="11"/>
    <x v="1"/>
    <x v="0"/>
    <s v="5813200"/>
    <n v="721835"/>
    <s v="Supplies-Forms"/>
    <s v="Specialty Ctr-Bonney Lake"/>
    <x v="0"/>
    <m/>
    <n v="0"/>
    <n v="0"/>
    <n v="0"/>
    <n v="0"/>
    <n v="0.28999999999999998"/>
    <n v="0"/>
    <n v="0"/>
    <n v="0"/>
    <n v="0"/>
    <n v="0"/>
    <n v="0"/>
    <n v="1.74"/>
    <n v="2.0299999999999998"/>
    <n v="-1.74"/>
  </r>
  <r>
    <x v="16"/>
    <x v="1"/>
    <x v="0"/>
    <s v="5813200"/>
    <n v="732030"/>
    <s v="Repairs---Other"/>
    <s v="Specialty Ctr-Bonney Lake"/>
    <x v="0"/>
    <m/>
    <n v="0"/>
    <n v="0"/>
    <n v="0"/>
    <n v="0"/>
    <n v="491.85"/>
    <n v="0"/>
    <n v="0"/>
    <n v="0"/>
    <n v="0"/>
    <n v="0"/>
    <n v="0"/>
    <n v="0"/>
    <n v="491.85"/>
    <n v="0"/>
  </r>
  <r>
    <x v="0"/>
    <x v="1"/>
    <x v="0"/>
    <s v="5813200"/>
    <n v="742010"/>
    <s v="Postage-Regular"/>
    <s v="Specialty Ctr-Bonney Lake"/>
    <x v="0"/>
    <m/>
    <n v="0"/>
    <n v="0"/>
    <n v="0"/>
    <n v="0"/>
    <n v="5.66"/>
    <n v="0"/>
    <n v="0"/>
    <n v="0"/>
    <n v="0"/>
    <n v="0"/>
    <n v="0"/>
    <n v="0"/>
    <n v="5.66"/>
    <n v="0"/>
  </r>
  <r>
    <x v="0"/>
    <x v="1"/>
    <x v="0"/>
    <s v="5813200"/>
    <n v="749510"/>
    <s v="Miscellaneous Expenses"/>
    <s v="Specialty Ctr-Bonney Lake"/>
    <x v="0"/>
    <m/>
    <n v="0"/>
    <n v="0"/>
    <n v="0"/>
    <n v="0"/>
    <n v="0"/>
    <n v="856.55"/>
    <n v="0"/>
    <n v="0"/>
    <n v="0"/>
    <n v="0"/>
    <n v="0"/>
    <n v="0"/>
    <n v="856.55"/>
    <n v="0"/>
  </r>
  <r>
    <x v="12"/>
    <x v="1"/>
    <x v="0"/>
    <s v="5814200"/>
    <n v="730010"/>
    <s v="Rental and Leases-Building (DO NOT USE)"/>
    <s v="Brem Neuro Shared Svc"/>
    <x v="0"/>
    <m/>
    <n v="0"/>
    <n v="0"/>
    <n v="0"/>
    <n v="0"/>
    <n v="0"/>
    <n v="0"/>
    <n v="0"/>
    <n v="0"/>
    <n v="2084.69"/>
    <n v="2084.59"/>
    <n v="2084.59"/>
    <n v="0"/>
    <n v="6253.8700000000008"/>
    <n v="2084.59"/>
  </r>
  <r>
    <x v="12"/>
    <x v="1"/>
    <x v="0"/>
    <s v="5814200"/>
    <n v="730010"/>
    <s v="Rental-Common Area Maint (DO NOT USE)"/>
    <s v="Brem Neuro Shared Svc"/>
    <x v="0"/>
    <n v="2200"/>
    <n v="0"/>
    <n v="0"/>
    <n v="0"/>
    <n v="0"/>
    <n v="0"/>
    <n v="0"/>
    <n v="0"/>
    <n v="0"/>
    <n v="877.12"/>
    <n v="877.08"/>
    <n v="877.08"/>
    <n v="0"/>
    <n v="2631.28"/>
    <n v="877.08"/>
  </r>
  <r>
    <x v="12"/>
    <x v="1"/>
    <x v="0"/>
    <s v="5814200"/>
    <n v="730040"/>
    <s v="LT Lease-Real Estate"/>
    <s v="Brem Neuro Shared Svc"/>
    <x v="0"/>
    <m/>
    <n v="0"/>
    <n v="0"/>
    <n v="0"/>
    <n v="0"/>
    <n v="0"/>
    <n v="0"/>
    <n v="0"/>
    <n v="0"/>
    <n v="0"/>
    <n v="0"/>
    <n v="0"/>
    <n v="2961.67"/>
    <n v="2961.67"/>
    <n v="-2961.67"/>
  </r>
  <r>
    <x v="14"/>
    <x v="1"/>
    <x v="0"/>
    <s v="5815200"/>
    <n v="600050"/>
    <s v="Miscellaneous Revenue"/>
    <s v="WH-Gig Harbor-Shared Svc"/>
    <x v="0"/>
    <m/>
    <n v="0"/>
    <n v="0"/>
    <n v="0"/>
    <n v="0"/>
    <n v="0"/>
    <n v="0"/>
    <n v="0"/>
    <n v="0"/>
    <n v="-17.420000000000002"/>
    <n v="0"/>
    <n v="0"/>
    <n v="0"/>
    <n v="-17.420000000000002"/>
    <n v="0"/>
  </r>
  <r>
    <x v="5"/>
    <x v="1"/>
    <x v="0"/>
    <s v="5815200"/>
    <n v="700014"/>
    <s v="Salaries-Management-Productive"/>
    <s v="WH-Gig Harbor-Shared Svc"/>
    <x v="0"/>
    <m/>
    <n v="3011.72"/>
    <n v="4074.68"/>
    <n v="2480.2399999999998"/>
    <n v="4516.84"/>
    <n v="3640.8"/>
    <n v="1947.82"/>
    <n v="4247.97"/>
    <n v="3646.16"/>
    <n v="1914.23"/>
    <n v="-273.45999999999998"/>
    <n v="0"/>
    <n v="0"/>
    <n v="29207"/>
    <n v="0"/>
  </r>
  <r>
    <x v="5"/>
    <x v="1"/>
    <x v="0"/>
    <s v="5815200"/>
    <n v="700018"/>
    <s v="Salaries-Supervisory-Productive"/>
    <s v="WH-Gig Harbor-Shared Svc"/>
    <x v="0"/>
    <m/>
    <n v="4144"/>
    <n v="2175.6"/>
    <n v="4454.8"/>
    <n v="4905.28"/>
    <n v="4514.16"/>
    <n v="3632.82"/>
    <n v="4757.8599999999997"/>
    <n v="4090.22"/>
    <n v="3659.66"/>
    <n v="4736.05"/>
    <n v="4951.33"/>
    <n v="3013.83"/>
    <n v="49035.610000000008"/>
    <n v="1937.5"/>
  </r>
  <r>
    <x v="5"/>
    <x v="1"/>
    <x v="0"/>
    <s v="5815200"/>
    <n v="700026"/>
    <s v="Salaries-RN-Productive"/>
    <s v="WH-Gig Harbor-Shared Svc"/>
    <x v="0"/>
    <m/>
    <n v="0"/>
    <n v="0"/>
    <n v="0"/>
    <n v="0"/>
    <n v="0"/>
    <n v="0"/>
    <n v="0"/>
    <n v="0"/>
    <n v="0"/>
    <n v="0"/>
    <n v="307.14999999999998"/>
    <n v="0"/>
    <n v="307.14999999999998"/>
    <n v="307.14999999999998"/>
  </r>
  <r>
    <x v="5"/>
    <x v="1"/>
    <x v="0"/>
    <s v="5815200"/>
    <n v="700032"/>
    <s v="Salaries-Other Pat Care Providers-Productive"/>
    <s v="WH-Gig Harbor-Shared Svc"/>
    <x v="0"/>
    <m/>
    <n v="0"/>
    <n v="0"/>
    <n v="0"/>
    <n v="0"/>
    <n v="0"/>
    <n v="0"/>
    <n v="0"/>
    <n v="0"/>
    <n v="509.07"/>
    <n v="641.5"/>
    <n v="-80.86"/>
    <n v="0"/>
    <n v="1069.71"/>
    <n v="-80.86"/>
  </r>
  <r>
    <x v="5"/>
    <x v="1"/>
    <x v="0"/>
    <s v="5815200"/>
    <n v="700032"/>
    <s v="Salaries-Other Pat Care Providers-Other"/>
    <s v="WH-Gig Harbor-Shared Svc"/>
    <x v="0"/>
    <n v="2000"/>
    <n v="0"/>
    <n v="0"/>
    <n v="0"/>
    <n v="0"/>
    <n v="0"/>
    <n v="0"/>
    <n v="0"/>
    <n v="0"/>
    <n v="24.03"/>
    <n v="27.5"/>
    <n v="-3.47"/>
    <n v="0"/>
    <n v="48.06"/>
    <n v="-3.47"/>
  </r>
  <r>
    <x v="5"/>
    <x v="1"/>
    <x v="0"/>
    <s v="5815200"/>
    <n v="700038"/>
    <s v="Salaries-Service/Support-Productive"/>
    <s v="WH-Gig Harbor-Shared Svc"/>
    <x v="0"/>
    <m/>
    <n v="8736.06"/>
    <n v="15178.96"/>
    <n v="9954.15"/>
    <n v="14703.51"/>
    <n v="11048.67"/>
    <n v="8991.44"/>
    <n v="11538.34"/>
    <n v="9012.48"/>
    <n v="9980.73"/>
    <n v="12129.89"/>
    <n v="11252.13"/>
    <n v="9755.99"/>
    <n v="132282.34999999998"/>
    <n v="1496.1399999999994"/>
  </r>
  <r>
    <x v="5"/>
    <x v="1"/>
    <x v="0"/>
    <s v="5815200"/>
    <n v="700038"/>
    <s v="Salaries-Service/Support-OT"/>
    <s v="WH-Gig Harbor-Shared Svc"/>
    <x v="0"/>
    <n v="1000"/>
    <n v="77.290000000000006"/>
    <n v="2.2599999999999998"/>
    <n v="72.459999999999994"/>
    <n v="139.63999999999999"/>
    <n v="131.03"/>
    <n v="7.92"/>
    <n v="48.13"/>
    <n v="-3.12"/>
    <n v="257.77999999999997"/>
    <n v="0"/>
    <n v="15.85"/>
    <n v="23.66"/>
    <n v="772.89999999999986"/>
    <n v="-7.8100000000000005"/>
  </r>
  <r>
    <x v="5"/>
    <x v="1"/>
    <x v="0"/>
    <s v="5815200"/>
    <n v="700054"/>
    <s v="Salaries-Management-NonProd-Other"/>
    <s v="WH-Gig Harbor-Shared Svc"/>
    <x v="0"/>
    <n v="2000"/>
    <n v="0"/>
    <n v="0"/>
    <n v="0"/>
    <n v="0"/>
    <n v="0"/>
    <n v="104.8"/>
    <n v="-104.8"/>
    <n v="0"/>
    <n v="0"/>
    <n v="0"/>
    <n v="0"/>
    <n v="0"/>
    <n v="0"/>
    <n v="0"/>
  </r>
  <r>
    <x v="5"/>
    <x v="1"/>
    <x v="0"/>
    <s v="5815200"/>
    <n v="700058"/>
    <s v="Salaries-Supervisory-Non-productive"/>
    <s v="WH-Gig Harbor-Shared Svc"/>
    <x v="0"/>
    <m/>
    <n v="414.4"/>
    <n v="2590"/>
    <n v="-310.8"/>
    <n v="0"/>
    <n v="214.96"/>
    <n v="881.33"/>
    <n v="193.79"/>
    <n v="215.28"/>
    <n v="861.11"/>
    <n v="0"/>
    <n v="0"/>
    <n v="1291.67"/>
    <n v="6351.74"/>
    <n v="-1291.67"/>
  </r>
  <r>
    <x v="5"/>
    <x v="1"/>
    <x v="0"/>
    <s v="5815200"/>
    <n v="700078"/>
    <s v="Salaries-Service/Support-Non-productive"/>
    <s v="WH-Gig Harbor-Shared Svc"/>
    <x v="0"/>
    <m/>
    <n v="3282.86"/>
    <n v="992.51"/>
    <n v="3977.1"/>
    <n v="1601.11"/>
    <n v="1080.43"/>
    <n v="2401.75"/>
    <n v="937.2"/>
    <n v="1771.59"/>
    <n v="1457.16"/>
    <n v="-188.26"/>
    <n v="1167.53"/>
    <n v="1102.46"/>
    <n v="19583.440000000002"/>
    <n v="65.069999999999936"/>
  </r>
  <r>
    <x v="5"/>
    <x v="1"/>
    <x v="0"/>
    <s v="5815200"/>
    <n v="700078"/>
    <s v="Salaries-Service/Support-NonProd-Other"/>
    <s v="WH-Gig Harbor-Shared Svc"/>
    <x v="0"/>
    <n v="2000"/>
    <n v="0"/>
    <n v="0"/>
    <n v="0"/>
    <n v="0"/>
    <n v="0"/>
    <n v="0"/>
    <n v="0"/>
    <n v="10.42"/>
    <n v="0"/>
    <n v="0"/>
    <n v="10.57"/>
    <n v="0"/>
    <n v="20.990000000000002"/>
    <n v="10.57"/>
  </r>
  <r>
    <x v="5"/>
    <x v="1"/>
    <x v="0"/>
    <s v="5815200"/>
    <n v="700084"/>
    <s v="Accrued PTO"/>
    <s v="WH-Gig Harbor-Shared Svc"/>
    <x v="0"/>
    <m/>
    <n v="824.64"/>
    <n v="-860.57"/>
    <n v="-1714.99"/>
    <n v="1255.78"/>
    <n v="66.38"/>
    <n v="-686.05"/>
    <n v="494.26"/>
    <n v="-214.97"/>
    <n v="-58"/>
    <n v="1305.33"/>
    <n v="320.2"/>
    <n v="259.44"/>
    <n v="991.45"/>
    <n v="60.759999999999991"/>
  </r>
  <r>
    <x v="6"/>
    <x v="1"/>
    <x v="0"/>
    <s v="5815200"/>
    <n v="713010"/>
    <s v="Benefits-FICA/Medicare"/>
    <s v="WH-Gig Harbor-Shared Svc"/>
    <x v="0"/>
    <m/>
    <n v="1461.55"/>
    <n v="1863.67"/>
    <n v="1535.15"/>
    <n v="1929.09"/>
    <n v="1596.26"/>
    <n v="1354.12"/>
    <n v="1644.97"/>
    <n v="1412.3"/>
    <n v="1404.51"/>
    <n v="1282.04"/>
    <n v="1323.43"/>
    <n v="1141.6400000000001"/>
    <n v="17948.73"/>
    <n v="181.78999999999996"/>
  </r>
  <r>
    <x v="6"/>
    <x v="1"/>
    <x v="0"/>
    <s v="5815200"/>
    <n v="713090"/>
    <s v="Benefits-Allocated Amounts"/>
    <s v="WH-Gig Harbor-Shared Svc"/>
    <x v="0"/>
    <m/>
    <n v="5018.04"/>
    <n v="5578.82"/>
    <n v="5744.7"/>
    <n v="6166.11"/>
    <n v="5460.74"/>
    <n v="4474.3999999999996"/>
    <n v="6065.38"/>
    <n v="5517.72"/>
    <n v="5197.04"/>
    <n v="4760.18"/>
    <n v="4946.32"/>
    <n v="4366.33"/>
    <n v="63295.780000000006"/>
    <n v="579.98999999999978"/>
  </r>
  <r>
    <x v="6"/>
    <x v="1"/>
    <x v="0"/>
    <s v="5815200"/>
    <n v="713096"/>
    <s v="Employee Recognition"/>
    <s v="WH-Gig Harbor-Shared Svc"/>
    <x v="0"/>
    <n v="1017"/>
    <n v="22.4"/>
    <n v="0"/>
    <n v="0"/>
    <n v="0"/>
    <n v="38.869999999999997"/>
    <n v="0"/>
    <n v="0"/>
    <n v="0"/>
    <n v="0"/>
    <n v="0"/>
    <n v="0"/>
    <n v="0"/>
    <n v="61.269999999999996"/>
    <n v="0"/>
  </r>
  <r>
    <x v="7"/>
    <x v="1"/>
    <x v="0"/>
    <s v="5815200"/>
    <n v="718010"/>
    <s v="Media/Print Advertising"/>
    <s v="WH-Gig Harbor-Shared Svc"/>
    <x v="0"/>
    <n v="1004"/>
    <n v="0"/>
    <n v="0"/>
    <n v="0"/>
    <n v="0"/>
    <n v="0"/>
    <n v="0"/>
    <n v="186.24"/>
    <n v="176.63"/>
    <n v="0"/>
    <n v="0"/>
    <n v="0"/>
    <n v="0"/>
    <n v="362.87"/>
    <n v="0"/>
  </r>
  <r>
    <x v="7"/>
    <x v="1"/>
    <x v="0"/>
    <s v="5815200"/>
    <n v="718050"/>
    <s v="Contract Svcs-Other"/>
    <s v="WH-Gig Harbor-Shared Svc"/>
    <x v="0"/>
    <m/>
    <n v="45.24"/>
    <n v="45.24"/>
    <n v="1160"/>
    <n v="90.48"/>
    <n v="0"/>
    <n v="0"/>
    <n v="172.98"/>
    <n v="45.24"/>
    <n v="45.24"/>
    <n v="0"/>
    <n v="250"/>
    <n v="24.68"/>
    <n v="1879.1000000000001"/>
    <n v="225.32"/>
  </r>
  <r>
    <x v="7"/>
    <x v="1"/>
    <x v="0"/>
    <s v="5815200"/>
    <n v="718050"/>
    <s v="Physician Answering"/>
    <s v="WH-Gig Harbor-Shared Svc"/>
    <x v="0"/>
    <n v="1015"/>
    <n v="723"/>
    <n v="912"/>
    <n v="978"/>
    <n v="351.6"/>
    <n v="921"/>
    <n v="951.6"/>
    <n v="1317"/>
    <n v="1267.8"/>
    <n v="989.4"/>
    <n v="1210.8"/>
    <n v="1191"/>
    <n v="966.6"/>
    <n v="11779.8"/>
    <n v="224.39999999999998"/>
  </r>
  <r>
    <x v="7"/>
    <x v="1"/>
    <x v="0"/>
    <s v="5815200"/>
    <n v="718050"/>
    <s v="Translation Services"/>
    <s v="WH-Gig Harbor-Shared Svc"/>
    <x v="0"/>
    <n v="1025"/>
    <n v="146.97999999999999"/>
    <n v="96"/>
    <n v="74.03"/>
    <n v="76.45"/>
    <n v="139.19999999999999"/>
    <n v="75.47"/>
    <n v="40.659999999999997"/>
    <n v="244.24"/>
    <n v="0"/>
    <n v="102.54"/>
    <n v="288.68"/>
    <n v="61.55"/>
    <n v="1345.8"/>
    <n v="227.13"/>
  </r>
  <r>
    <x v="7"/>
    <x v="1"/>
    <x v="0"/>
    <s v="5815200"/>
    <n v="718050"/>
    <s v="Contract Management--Linen"/>
    <s v="WH-Gig Harbor-Shared Svc"/>
    <x v="0"/>
    <n v="1026"/>
    <n v="837.75"/>
    <n v="804.99"/>
    <n v="1374.2"/>
    <n v="537.6"/>
    <n v="807.77"/>
    <n v="537.6"/>
    <n v="1608.54"/>
    <n v="1340.45"/>
    <n v="0"/>
    <n v="0"/>
    <n v="0"/>
    <n v="269.83"/>
    <n v="8118.73"/>
    <n v="-269.83"/>
  </r>
  <r>
    <x v="7"/>
    <x v="1"/>
    <x v="0"/>
    <s v="5815200"/>
    <n v="718050"/>
    <s v="Purchased Srvcs--Medical Waste"/>
    <s v="WH-Gig Harbor-Shared Svc"/>
    <x v="0"/>
    <n v="1027"/>
    <n v="416.88"/>
    <n v="117.17"/>
    <n v="127.53"/>
    <n v="10.36"/>
    <n v="139.19"/>
    <n v="106.81"/>
    <n v="223.98"/>
    <n v="117.17"/>
    <n v="0"/>
    <n v="213.62"/>
    <n v="0"/>
    <n v="106.81"/>
    <n v="1579.52"/>
    <n v="-106.81"/>
  </r>
  <r>
    <x v="7"/>
    <x v="1"/>
    <x v="0"/>
    <s v="5815200"/>
    <n v="718070"/>
    <s v="Contract Srvcs-CHI Clinical Engineering"/>
    <s v="WH-Gig Harbor-Shared Svc"/>
    <x v="0"/>
    <m/>
    <n v="0"/>
    <n v="0"/>
    <n v="44"/>
    <n v="19.579999999999998"/>
    <n v="0"/>
    <n v="440.65"/>
    <n v="697.18"/>
    <n v="466.66"/>
    <n v="0"/>
    <n v="74.150000000000006"/>
    <n v="8.24"/>
    <n v="162.62"/>
    <n v="1913.08"/>
    <n v="-154.38"/>
  </r>
  <r>
    <x v="11"/>
    <x v="1"/>
    <x v="0"/>
    <s v="5815200"/>
    <n v="721010"/>
    <s v="Supplies-Medical - Billable"/>
    <s v="WH-Gig Harbor-Shared Svc"/>
    <x v="0"/>
    <m/>
    <n v="6793.07"/>
    <n v="188"/>
    <n v="6780.8"/>
    <n v="3971.6"/>
    <n v="6951.6"/>
    <n v="11711.2"/>
    <n v="4343.22"/>
    <n v="7756.05"/>
    <n v="10288.6"/>
    <n v="334"/>
    <n v="17795.21"/>
    <n v="-14"/>
    <n v="76899.350000000006"/>
    <n v="17809.21"/>
  </r>
  <r>
    <x v="11"/>
    <x v="1"/>
    <x v="0"/>
    <s v="5815200"/>
    <n v="721020"/>
    <s v="Endomechanical Supplies &amp; Instruments"/>
    <s v="WH-Gig Harbor-Shared Svc"/>
    <x v="0"/>
    <n v="1003"/>
    <n v="0"/>
    <n v="0"/>
    <n v="0"/>
    <n v="0"/>
    <n v="0"/>
    <n v="0"/>
    <n v="0"/>
    <n v="0"/>
    <n v="1651.5"/>
    <n v="24.77"/>
    <n v="0"/>
    <n v="0"/>
    <n v="1676.27"/>
    <n v="0"/>
  </r>
  <r>
    <x v="11"/>
    <x v="1"/>
    <x v="0"/>
    <s v="5815200"/>
    <n v="721020"/>
    <s v="Urological Supplies"/>
    <s v="WH-Gig Harbor-Shared Svc"/>
    <x v="0"/>
    <n v="1006"/>
    <n v="0"/>
    <n v="416.18"/>
    <n v="1543.61"/>
    <n v="361.13"/>
    <n v="0"/>
    <n v="0"/>
    <n v="1818.85"/>
    <n v="1651.15"/>
    <n v="2001.62"/>
    <n v="2961.38"/>
    <n v="2082.48"/>
    <n v="2003.43"/>
    <n v="14839.83"/>
    <n v="79.049999999999955"/>
  </r>
  <r>
    <x v="11"/>
    <x v="1"/>
    <x v="0"/>
    <s v="5815200"/>
    <n v="721250"/>
    <s v="Supplies-Pharmacy Drugs - Billable"/>
    <s v="WH-Gig Harbor-Shared Svc"/>
    <x v="0"/>
    <m/>
    <n v="48.92"/>
    <n v="2890.46"/>
    <n v="2047.66"/>
    <n v="3502.95"/>
    <n v="864.48"/>
    <n v="2730.82"/>
    <n v="906.27"/>
    <n v="1089.07"/>
    <n v="476.1"/>
    <n v="426.28"/>
    <n v="1154.1500000000001"/>
    <n v="168.7"/>
    <n v="16305.86"/>
    <n v="985.45"/>
  </r>
  <r>
    <x v="11"/>
    <x v="1"/>
    <x v="0"/>
    <s v="5815200"/>
    <n v="721410"/>
    <s v="Supplies-Medical - Nonbillable"/>
    <s v="WH-Gig Harbor-Shared Svc"/>
    <x v="0"/>
    <m/>
    <n v="1366.75"/>
    <n v="2578.5100000000002"/>
    <n v="1418.73"/>
    <n v="1886.32"/>
    <n v="1753.44"/>
    <n v="757.33"/>
    <n v="1837.18"/>
    <n v="2220.29"/>
    <n v="0"/>
    <n v="0"/>
    <n v="407.5"/>
    <n v="1137.8800000000001"/>
    <n v="15363.93"/>
    <n v="-730.38000000000011"/>
  </r>
  <r>
    <x v="11"/>
    <x v="1"/>
    <x v="0"/>
    <s v="5815200"/>
    <n v="721420"/>
    <s v="Supplies-Surgical Nonbillable"/>
    <s v="WH-Gig Harbor-Shared Svc"/>
    <x v="0"/>
    <m/>
    <n v="0"/>
    <n v="197.13"/>
    <n v="0"/>
    <n v="0"/>
    <n v="0"/>
    <n v="0"/>
    <n v="0"/>
    <n v="0"/>
    <n v="0"/>
    <n v="-54.68"/>
    <n v="0"/>
    <n v="0"/>
    <n v="142.44999999999999"/>
    <n v="0"/>
  </r>
  <r>
    <x v="11"/>
    <x v="1"/>
    <x v="0"/>
    <s v="5815200"/>
    <n v="721640"/>
    <s v="Supplies-IV Solutions/Supplies - Nonbillable"/>
    <s v="WH-Gig Harbor-Shared Svc"/>
    <x v="0"/>
    <m/>
    <n v="0"/>
    <n v="0"/>
    <n v="0"/>
    <n v="0"/>
    <n v="0"/>
    <n v="0"/>
    <n v="0"/>
    <n v="395"/>
    <n v="165"/>
    <n v="474"/>
    <n v="395"/>
    <n v="244"/>
    <n v="1673"/>
    <n v="151"/>
  </r>
  <r>
    <x v="11"/>
    <x v="1"/>
    <x v="0"/>
    <s v="5815200"/>
    <n v="721830"/>
    <s v="Supplies-Office"/>
    <s v="WH-Gig Harbor-Shared Svc"/>
    <x v="0"/>
    <m/>
    <n v="71.45"/>
    <n v="469.97"/>
    <n v="304.98"/>
    <n v="439"/>
    <n v="209.45"/>
    <n v="923.66"/>
    <n v="418.36"/>
    <n v="663.88"/>
    <n v="259.83"/>
    <n v="332.21"/>
    <n v="436.09"/>
    <n v="322.63"/>
    <n v="4851.51"/>
    <n v="113.45999999999998"/>
  </r>
  <r>
    <x v="11"/>
    <x v="1"/>
    <x v="0"/>
    <s v="5815200"/>
    <n v="721835"/>
    <s v="Supplies-Forms"/>
    <s v="WH-Gig Harbor-Shared Svc"/>
    <x v="0"/>
    <m/>
    <n v="0"/>
    <n v="0"/>
    <n v="0"/>
    <n v="0"/>
    <n v="54.2"/>
    <n v="1.1499999999999999"/>
    <n v="85.45"/>
    <n v="0"/>
    <n v="165.13"/>
    <n v="0"/>
    <n v="0"/>
    <n v="2.64"/>
    <n v="308.57"/>
    <n v="-2.64"/>
  </r>
  <r>
    <x v="11"/>
    <x v="1"/>
    <x v="0"/>
    <s v="5815200"/>
    <n v="721910"/>
    <s v="Supplies-Small Equipment"/>
    <s v="WH-Gig Harbor-Shared Svc"/>
    <x v="0"/>
    <m/>
    <n v="1717.56"/>
    <n v="0"/>
    <n v="2705.16"/>
    <n v="0"/>
    <n v="3521"/>
    <n v="0"/>
    <n v="-205.22"/>
    <n v="901.72"/>
    <n v="1720.72"/>
    <n v="5244.88"/>
    <n v="-648.88"/>
    <n v="971.2"/>
    <n v="15928.140000000001"/>
    <n v="-1620.08"/>
  </r>
  <r>
    <x v="11"/>
    <x v="1"/>
    <x v="0"/>
    <s v="5815200"/>
    <n v="722000"/>
    <s v="Supplies-Freight Expense"/>
    <s v="WH-Gig Harbor-Shared Svc"/>
    <x v="0"/>
    <m/>
    <n v="0"/>
    <n v="7.93"/>
    <n v="17.8"/>
    <n v="85.21"/>
    <n v="0"/>
    <n v="47"/>
    <n v="19.23"/>
    <n v="0"/>
    <n v="106.45"/>
    <n v="82.69"/>
    <n v="141.94"/>
    <n v="82.82"/>
    <n v="591.06999999999994"/>
    <n v="59.120000000000005"/>
  </r>
  <r>
    <x v="12"/>
    <x v="1"/>
    <x v="0"/>
    <s v="5815200"/>
    <n v="730010"/>
    <s v="Rental and Leases-Building (DO NOT USE)"/>
    <s v="WH-Gig Harbor-Shared Svc"/>
    <x v="0"/>
    <m/>
    <n v="16762.810000000001"/>
    <n v="16762.810000000001"/>
    <n v="17007.509999999998"/>
    <n v="17007.509999999998"/>
    <n v="17007.509999999998"/>
    <n v="-7853.64"/>
    <n v="12479.7"/>
    <n v="12479.7"/>
    <n v="12479.7"/>
    <n v="12479.7"/>
    <n v="12479.7"/>
    <n v="0"/>
    <n v="139093.00999999998"/>
    <n v="12479.7"/>
  </r>
  <r>
    <x v="12"/>
    <x v="1"/>
    <x v="0"/>
    <s v="5815200"/>
    <n v="730010"/>
    <s v="Rental-Common Area Maint (DO NOT USE)"/>
    <s v="WH-Gig Harbor-Shared Svc"/>
    <x v="0"/>
    <n v="2200"/>
    <n v="0"/>
    <n v="0"/>
    <n v="0"/>
    <n v="0"/>
    <n v="0"/>
    <n v="24861.15"/>
    <n v="4922.59"/>
    <n v="4725.2"/>
    <n v="4007.19"/>
    <n v="4725.2"/>
    <n v="4725.2"/>
    <n v="0"/>
    <n v="47966.53"/>
    <n v="4725.2"/>
  </r>
  <r>
    <x v="12"/>
    <x v="1"/>
    <x v="0"/>
    <s v="5815200"/>
    <n v="730020"/>
    <s v="Rental and Leases-Copier Usage Fees (DO NOT USE)"/>
    <s v="WH-Gig Harbor-Shared Svc"/>
    <x v="0"/>
    <n v="5100"/>
    <n v="370.43"/>
    <n v="375.86"/>
    <n v="373.14"/>
    <n v="373.14"/>
    <n v="373.14"/>
    <n v="373.14"/>
    <n v="622.54999999999995"/>
    <n v="345.39"/>
    <n v="345.7"/>
    <n v="285.47000000000003"/>
    <n v="262.32"/>
    <n v="281.68"/>
    <n v="4381.9599999999991"/>
    <n v="-19.360000000000014"/>
  </r>
  <r>
    <x v="12"/>
    <x v="1"/>
    <x v="0"/>
    <s v="5815200"/>
    <n v="730040"/>
    <s v="LT Lease-Real Estate"/>
    <s v="WH-Gig Harbor-Shared Svc"/>
    <x v="0"/>
    <m/>
    <n v="0"/>
    <n v="0"/>
    <n v="0"/>
    <n v="0"/>
    <n v="0"/>
    <n v="0"/>
    <n v="0"/>
    <n v="0"/>
    <n v="0"/>
    <n v="0"/>
    <n v="0"/>
    <n v="17204.900000000001"/>
    <n v="17204.900000000001"/>
    <n v="-17204.900000000001"/>
  </r>
  <r>
    <x v="15"/>
    <x v="1"/>
    <x v="0"/>
    <s v="5815200"/>
    <n v="731070"/>
    <s v="Cable TV"/>
    <s v="WH-Gig Harbor-Shared Svc"/>
    <x v="0"/>
    <m/>
    <n v="127.27"/>
    <n v="127.27"/>
    <n v="127.27"/>
    <n v="127.27"/>
    <n v="129.66999999999999"/>
    <n v="129.66999999999999"/>
    <n v="129.66999999999999"/>
    <n v="129.66999999999999"/>
    <n v="129.66999999999999"/>
    <n v="129.66999999999999"/>
    <n v="129.66999999999999"/>
    <n v="130.61000000000001"/>
    <n v="1547.38"/>
    <n v="-0.94000000000002615"/>
  </r>
  <r>
    <x v="16"/>
    <x v="1"/>
    <x v="0"/>
    <s v="5815200"/>
    <n v="732015"/>
    <s v="Repairs-Clinical Equip-T&amp;M-Ext to CHI Programs"/>
    <s v="WH-Gig Harbor-Shared Svc"/>
    <x v="0"/>
    <m/>
    <n v="61.79"/>
    <n v="0"/>
    <n v="0"/>
    <n v="253.91"/>
    <n v="57.25"/>
    <n v="89.19"/>
    <n v="62.14"/>
    <n v="340.44"/>
    <n v="0"/>
    <n v="0"/>
    <n v="0"/>
    <n v="0"/>
    <n v="864.72"/>
    <n v="0"/>
  </r>
  <r>
    <x v="16"/>
    <x v="1"/>
    <x v="0"/>
    <s v="5815200"/>
    <n v="732030"/>
    <s v="Repairs---Other"/>
    <s v="WH-Gig Harbor-Shared Svc"/>
    <x v="0"/>
    <m/>
    <n v="0"/>
    <n v="0"/>
    <n v="0"/>
    <n v="0"/>
    <n v="0"/>
    <n v="720"/>
    <n v="250"/>
    <n v="379.75"/>
    <n v="0"/>
    <n v="0"/>
    <n v="190.96"/>
    <n v="0"/>
    <n v="1540.71"/>
    <n v="190.96"/>
  </r>
  <r>
    <x v="16"/>
    <x v="1"/>
    <x v="0"/>
    <s v="5815200"/>
    <n v="733030"/>
    <s v="Maintenance Contracts-Other"/>
    <s v="WH-Gig Harbor-Shared Svc"/>
    <x v="0"/>
    <m/>
    <n v="0"/>
    <n v="95.9"/>
    <n v="47.95"/>
    <n v="47.95"/>
    <n v="47.95"/>
    <n v="0"/>
    <n v="96.13"/>
    <n v="48.18"/>
    <n v="0"/>
    <n v="0"/>
    <n v="0"/>
    <n v="0"/>
    <n v="384.06"/>
    <n v="0"/>
  </r>
  <r>
    <x v="13"/>
    <x v="1"/>
    <x v="0"/>
    <s v="5815200"/>
    <n v="735050"/>
    <s v="Amortization-Leasehold Improvements"/>
    <s v="WH-Gig Harbor-Shared Svc"/>
    <x v="0"/>
    <m/>
    <n v="2755.88"/>
    <n v="2755.88"/>
    <n v="2755.89"/>
    <n v="2755.87"/>
    <n v="2755.9"/>
    <n v="2755.85"/>
    <n v="2755.91"/>
    <n v="2755.85"/>
    <n v="2755.91"/>
    <n v="2755.85"/>
    <n v="2755.92"/>
    <n v="2755.85"/>
    <n v="33070.559999999998"/>
    <n v="7.0000000000163709E-2"/>
  </r>
  <r>
    <x v="13"/>
    <x v="1"/>
    <x v="0"/>
    <s v="5815200"/>
    <n v="735060"/>
    <s v="Depreciation-Fixed Equipment"/>
    <s v="WH-Gig Harbor-Shared Svc"/>
    <x v="0"/>
    <m/>
    <n v="61.99"/>
    <n v="61.98"/>
    <n v="61.99"/>
    <n v="61.98"/>
    <n v="61.99"/>
    <n v="61.98"/>
    <n v="61.99"/>
    <n v="61.98"/>
    <n v="61.99"/>
    <n v="61.98"/>
    <n v="62"/>
    <n v="61.98"/>
    <n v="743.83"/>
    <n v="2.0000000000003126E-2"/>
  </r>
  <r>
    <x v="13"/>
    <x v="1"/>
    <x v="0"/>
    <s v="5815200"/>
    <n v="735070"/>
    <s v="Depreciation-Movable Equipment"/>
    <s v="WH-Gig Harbor-Shared Svc"/>
    <x v="0"/>
    <m/>
    <n v="1344.26"/>
    <n v="1344.25"/>
    <n v="1344.27"/>
    <n v="1344.25"/>
    <n v="964.46"/>
    <n v="1082.23"/>
    <n v="857.54"/>
    <n v="786.18"/>
    <n v="786.28"/>
    <n v="786.18"/>
    <n v="786.29"/>
    <n v="786.18"/>
    <n v="12212.370000000003"/>
    <n v="0.11000000000001364"/>
  </r>
  <r>
    <x v="0"/>
    <x v="1"/>
    <x v="0"/>
    <s v="5815200"/>
    <n v="740020"/>
    <s v="Education-Registration Fees"/>
    <s v="WH-Gig Harbor-Shared Svc"/>
    <x v="0"/>
    <m/>
    <n v="0"/>
    <n v="0"/>
    <n v="0"/>
    <n v="0"/>
    <n v="0"/>
    <n v="0"/>
    <n v="0"/>
    <n v="0"/>
    <n v="0"/>
    <n v="405"/>
    <n v="0"/>
    <n v="45"/>
    <n v="450"/>
    <n v="-45"/>
  </r>
  <r>
    <x v="0"/>
    <x v="1"/>
    <x v="0"/>
    <s v="5815200"/>
    <n v="742040"/>
    <s v="Freight-Other"/>
    <s v="WH-Gig Harbor-Shared Svc"/>
    <x v="0"/>
    <m/>
    <n v="0"/>
    <n v="0"/>
    <n v="0"/>
    <n v="27.28"/>
    <n v="0"/>
    <n v="0"/>
    <n v="0"/>
    <n v="0"/>
    <n v="0"/>
    <n v="0"/>
    <n v="0"/>
    <n v="0"/>
    <n v="27.28"/>
    <n v="0"/>
  </r>
  <r>
    <x v="0"/>
    <x v="1"/>
    <x v="0"/>
    <s v="5815200"/>
    <n v="749510"/>
    <s v="Miscellaneous Expenses"/>
    <s v="WH-Gig Harbor-Shared Svc"/>
    <x v="0"/>
    <m/>
    <n v="-205.48"/>
    <n v="378.77"/>
    <n v="-273.72000000000003"/>
    <n v="-1"/>
    <n v="50"/>
    <n v="462.15"/>
    <n v="-89.34"/>
    <n v="259.49"/>
    <n v="-5.47"/>
    <n v="0"/>
    <n v="436.66"/>
    <n v="-280.66000000000003"/>
    <n v="731.39999999999986"/>
    <n v="717.32"/>
  </r>
  <r>
    <x v="0"/>
    <x v="1"/>
    <x v="0"/>
    <s v="5815200"/>
    <n v="749510"/>
    <s v="Licenses"/>
    <s v="WH-Gig Harbor-Shared Svc"/>
    <x v="0"/>
    <n v="1002"/>
    <n v="0"/>
    <n v="0"/>
    <n v="265"/>
    <n v="0"/>
    <n v="0"/>
    <n v="260"/>
    <n v="58.75"/>
    <n v="0"/>
    <n v="0"/>
    <n v="0"/>
    <n v="0"/>
    <n v="0"/>
    <n v="583.75"/>
    <n v="0"/>
  </r>
  <r>
    <x v="0"/>
    <x v="1"/>
    <x v="0"/>
    <s v="5815200"/>
    <n v="749530"/>
    <s v="Travel"/>
    <s v="WH-Gig Harbor-Shared Svc"/>
    <x v="0"/>
    <m/>
    <n v="55"/>
    <n v="0"/>
    <n v="91"/>
    <n v="92"/>
    <n v="100"/>
    <n v="76"/>
    <n v="120"/>
    <n v="50"/>
    <n v="55"/>
    <n v="75"/>
    <n v="0"/>
    <n v="68"/>
    <n v="782"/>
    <n v="-68"/>
  </r>
  <r>
    <x v="0"/>
    <x v="1"/>
    <x v="0"/>
    <s v="5815200"/>
    <n v="749530"/>
    <s v="Mileage"/>
    <s v="WH-Gig Harbor-Shared Svc"/>
    <x v="0"/>
    <n v="1001"/>
    <n v="205.53"/>
    <n v="0"/>
    <n v="189.72"/>
    <n v="221.34"/>
    <n v="316.2"/>
    <n v="221.34"/>
    <n v="388.53"/>
    <n v="168.2"/>
    <n v="185.02"/>
    <n v="252.3"/>
    <n v="0"/>
    <n v="218.66"/>
    <n v="2366.8399999999997"/>
    <n v="-218.66"/>
  </r>
  <r>
    <x v="0"/>
    <x v="1"/>
    <x v="0"/>
    <s v="5815200"/>
    <n v="749535"/>
    <s v="Meetings"/>
    <s v="WH-Gig Harbor-Shared Svc"/>
    <x v="0"/>
    <m/>
    <n v="0"/>
    <n v="0"/>
    <n v="103"/>
    <n v="0"/>
    <n v="160"/>
    <n v="0"/>
    <n v="215.63"/>
    <n v="0"/>
    <n v="0"/>
    <n v="0"/>
    <n v="0"/>
    <n v="0"/>
    <n v="478.63"/>
    <n v="0"/>
  </r>
  <r>
    <x v="5"/>
    <x v="1"/>
    <x v="0"/>
    <s v="5816200"/>
    <n v="700038"/>
    <s v="Salaries-Service/Support-Productive"/>
    <s v="Multispec Cancer Clinic S/S"/>
    <x v="0"/>
    <m/>
    <n v="0"/>
    <n v="0"/>
    <n v="0"/>
    <n v="0"/>
    <n v="0"/>
    <n v="0"/>
    <n v="2287.69"/>
    <n v="2434.4299999999998"/>
    <n v="2351.14"/>
    <n v="2729.88"/>
    <n v="2814.16"/>
    <n v="1036.8399999999999"/>
    <n v="13654.14"/>
    <n v="1777.32"/>
  </r>
  <r>
    <x v="5"/>
    <x v="1"/>
    <x v="0"/>
    <s v="5816200"/>
    <n v="700038"/>
    <s v="Salaries-Service/Support-OT"/>
    <s v="Multispec Cancer Clinic S/S"/>
    <x v="0"/>
    <n v="1000"/>
    <n v="0"/>
    <n v="0"/>
    <n v="0"/>
    <n v="0"/>
    <n v="0"/>
    <n v="0"/>
    <n v="0"/>
    <n v="19.88"/>
    <n v="-5.67"/>
    <n v="0"/>
    <n v="28.42"/>
    <n v="-14.21"/>
    <n v="28.42"/>
    <n v="42.63"/>
  </r>
  <r>
    <x v="5"/>
    <x v="1"/>
    <x v="0"/>
    <s v="5816200"/>
    <n v="700038"/>
    <s v="Salaries-Service/Support-Other"/>
    <s v="Multispec Cancer Clinic S/S"/>
    <x v="0"/>
    <n v="2000"/>
    <n v="0"/>
    <n v="0"/>
    <n v="0"/>
    <n v="0"/>
    <n v="0"/>
    <n v="0"/>
    <n v="30.04"/>
    <n v="0"/>
    <n v="0"/>
    <n v="0"/>
    <n v="0"/>
    <n v="0"/>
    <n v="30.04"/>
    <n v="0"/>
  </r>
  <r>
    <x v="5"/>
    <x v="1"/>
    <x v="0"/>
    <s v="5816200"/>
    <n v="700078"/>
    <s v="Salaries-Service/Support-Non-productive"/>
    <s v="Multispec Cancer Clinic S/S"/>
    <x v="0"/>
    <m/>
    <n v="0"/>
    <n v="0"/>
    <n v="0"/>
    <n v="0"/>
    <n v="0"/>
    <n v="0"/>
    <n v="0"/>
    <n v="0"/>
    <n v="0"/>
    <n v="0"/>
    <n v="454.52"/>
    <n v="99.42"/>
    <n v="553.93999999999994"/>
    <n v="355.09999999999997"/>
  </r>
  <r>
    <x v="5"/>
    <x v="1"/>
    <x v="0"/>
    <s v="5816200"/>
    <n v="700078"/>
    <s v="Salaries-Service/Support-NonProd-Other"/>
    <s v="Multispec Cancer Clinic S/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16200"/>
    <n v="700084"/>
    <s v="Accrued PTO"/>
    <s v="Multispec Cancer Clinic S/S"/>
    <x v="0"/>
    <m/>
    <n v="0"/>
    <n v="0"/>
    <n v="0"/>
    <n v="0"/>
    <n v="0"/>
    <n v="0"/>
    <n v="165.65"/>
    <n v="251.5"/>
    <n v="218.98"/>
    <n v="256.61"/>
    <n v="-20.62"/>
    <n v="169.25"/>
    <n v="1041.3699999999999"/>
    <n v="-189.87"/>
  </r>
  <r>
    <x v="6"/>
    <x v="1"/>
    <x v="0"/>
    <s v="5816200"/>
    <n v="713010"/>
    <s v="Benefits-FICA/Medicare"/>
    <s v="Multispec Cancer Clinic S/S"/>
    <x v="0"/>
    <m/>
    <n v="0"/>
    <n v="0"/>
    <n v="0"/>
    <n v="0"/>
    <n v="0"/>
    <n v="0"/>
    <n v="177.03"/>
    <n v="179.66"/>
    <n v="165.96"/>
    <n v="197.3"/>
    <n v="239.17"/>
    <n v="81.06"/>
    <n v="1040.18"/>
    <n v="158.10999999999999"/>
  </r>
  <r>
    <x v="6"/>
    <x v="1"/>
    <x v="0"/>
    <s v="5816200"/>
    <n v="713090"/>
    <s v="Benefits-Allocated Amounts"/>
    <s v="Multispec Cancer Clinic S/S"/>
    <x v="0"/>
    <m/>
    <n v="0"/>
    <n v="0"/>
    <n v="0"/>
    <n v="0"/>
    <n v="0"/>
    <n v="0"/>
    <n v="540.55999999999995"/>
    <n v="888.43"/>
    <n v="894.46"/>
    <n v="840.91"/>
    <n v="956.78"/>
    <n v="666.28"/>
    <n v="4787.4199999999992"/>
    <n v="290.5"/>
  </r>
  <r>
    <x v="7"/>
    <x v="1"/>
    <x v="0"/>
    <s v="5816200"/>
    <n v="718050"/>
    <s v="Contract Svcs-Other"/>
    <s v="Multispec Cancer Clinic S/S"/>
    <x v="0"/>
    <m/>
    <n v="0"/>
    <n v="0"/>
    <n v="0"/>
    <n v="0"/>
    <n v="0"/>
    <n v="0"/>
    <n v="0"/>
    <n v="0"/>
    <n v="0"/>
    <n v="0"/>
    <n v="0"/>
    <n v="50.88"/>
    <n v="50.88"/>
    <n v="-50.88"/>
  </r>
  <r>
    <x v="7"/>
    <x v="1"/>
    <x v="0"/>
    <s v="5816200"/>
    <n v="718050"/>
    <s v="Document Shredding/Storage"/>
    <s v="Multispec Cancer Clinic S/S"/>
    <x v="0"/>
    <n v="1012"/>
    <n v="0"/>
    <n v="71.180000000000007"/>
    <n v="-18.25"/>
    <n v="0"/>
    <n v="0"/>
    <n v="0"/>
    <n v="0"/>
    <n v="0"/>
    <n v="0"/>
    <n v="0"/>
    <n v="0"/>
    <n v="0"/>
    <n v="52.930000000000007"/>
    <n v="0"/>
  </r>
  <r>
    <x v="11"/>
    <x v="1"/>
    <x v="0"/>
    <s v="5816200"/>
    <n v="721410"/>
    <s v="Supplies-Medical - Nonbillable"/>
    <s v="Multispec Cancer Clinic S/S"/>
    <x v="0"/>
    <m/>
    <n v="0"/>
    <n v="-79.55"/>
    <n v="490.05"/>
    <n v="101.26"/>
    <n v="0"/>
    <n v="0"/>
    <n v="0"/>
    <n v="0"/>
    <n v="0"/>
    <n v="0"/>
    <n v="0"/>
    <n v="1070.96"/>
    <n v="1582.72"/>
    <n v="-1070.96"/>
  </r>
  <r>
    <x v="11"/>
    <x v="1"/>
    <x v="0"/>
    <s v="5816200"/>
    <n v="721830"/>
    <s v="Supplies-Office"/>
    <s v="Multispec Cancer Clinic S/S"/>
    <x v="0"/>
    <m/>
    <n v="852.72"/>
    <n v="922.94"/>
    <n v="0"/>
    <n v="0"/>
    <n v="0"/>
    <n v="0"/>
    <n v="1211.01"/>
    <n v="-527.54"/>
    <n v="0"/>
    <n v="0"/>
    <n v="154.58000000000001"/>
    <n v="0"/>
    <n v="2613.71"/>
    <n v="154.58000000000001"/>
  </r>
  <r>
    <x v="11"/>
    <x v="1"/>
    <x v="0"/>
    <s v="5816200"/>
    <n v="721835"/>
    <s v="Supplies-Forms"/>
    <s v="Multispec Cancer Clinic S/S"/>
    <x v="0"/>
    <m/>
    <n v="0"/>
    <n v="0"/>
    <n v="0"/>
    <n v="0"/>
    <n v="21.8"/>
    <n v="0"/>
    <n v="0"/>
    <n v="0"/>
    <n v="0"/>
    <n v="0"/>
    <n v="0"/>
    <n v="0"/>
    <n v="21.8"/>
    <n v="0"/>
  </r>
  <r>
    <x v="11"/>
    <x v="1"/>
    <x v="0"/>
    <s v="5816200"/>
    <n v="721910"/>
    <s v="Supplies-Small Equipment"/>
    <s v="Multispec Cancer Clinic S/S"/>
    <x v="0"/>
    <m/>
    <n v="0"/>
    <n v="26.87"/>
    <n v="0"/>
    <n v="0"/>
    <n v="0"/>
    <n v="0"/>
    <n v="0"/>
    <n v="0"/>
    <n v="0"/>
    <n v="0"/>
    <n v="0"/>
    <n v="0"/>
    <n v="26.87"/>
    <n v="0"/>
  </r>
  <r>
    <x v="11"/>
    <x v="1"/>
    <x v="0"/>
    <s v="5816200"/>
    <n v="722000"/>
    <s v="Supplies-Freight Expense"/>
    <s v="Multispec Cancer Clinic S/S"/>
    <x v="0"/>
    <m/>
    <n v="0"/>
    <n v="0"/>
    <n v="0"/>
    <n v="0"/>
    <n v="0"/>
    <n v="0"/>
    <n v="0"/>
    <n v="0"/>
    <n v="0"/>
    <n v="0"/>
    <n v="0"/>
    <n v="3.76"/>
    <n v="3.76"/>
    <n v="-3.76"/>
  </r>
  <r>
    <x v="12"/>
    <x v="1"/>
    <x v="0"/>
    <s v="5816200"/>
    <n v="730010"/>
    <s v="Rental and Leases-Building (DO NOT USE)"/>
    <s v="Multispec Cancer Clinic S/S"/>
    <x v="0"/>
    <m/>
    <n v="0"/>
    <n v="14046.49"/>
    <n v="7043.11"/>
    <n v="7043.11"/>
    <n v="7043.11"/>
    <n v="-12367.55"/>
    <n v="3808"/>
    <n v="3808"/>
    <n v="3808"/>
    <n v="3808"/>
    <n v="3808"/>
    <n v="0"/>
    <n v="41848.270000000004"/>
    <n v="3808"/>
  </r>
  <r>
    <x v="12"/>
    <x v="1"/>
    <x v="0"/>
    <s v="5816200"/>
    <n v="730010"/>
    <s v="Rental-Common Area Maint (DO NOT USE)"/>
    <s v="Multispec Cancer Clinic S/S"/>
    <x v="0"/>
    <n v="2200"/>
    <n v="0"/>
    <n v="0"/>
    <n v="0"/>
    <n v="0"/>
    <n v="0"/>
    <n v="19432.240000000002"/>
    <n v="3256.69"/>
    <n v="3256.69"/>
    <n v="3703.51"/>
    <n v="3256.69"/>
    <n v="3256.69"/>
    <n v="0"/>
    <n v="36162.51"/>
    <n v="3256.69"/>
  </r>
  <r>
    <x v="12"/>
    <x v="1"/>
    <x v="0"/>
    <s v="5816200"/>
    <n v="730020"/>
    <s v="Rental and Leases-Equipment (DO NOT USE)"/>
    <s v="Multispec Cancer Clinic S/S"/>
    <x v="0"/>
    <m/>
    <n v="0"/>
    <n v="0"/>
    <n v="0"/>
    <n v="0"/>
    <n v="36.409999999999997"/>
    <n v="5.51"/>
    <n v="11.02"/>
    <n v="0"/>
    <n v="26.46"/>
    <n v="11.02"/>
    <n v="0"/>
    <n v="11.02"/>
    <n v="101.44"/>
    <n v="-11.02"/>
  </r>
  <r>
    <x v="12"/>
    <x v="1"/>
    <x v="0"/>
    <s v="5816200"/>
    <n v="730020"/>
    <s v="Rental and Leases-Copier Usage Fees (DO NOT USE)"/>
    <s v="Multispec Cancer Clinic S/S"/>
    <x v="0"/>
    <n v="5100"/>
    <n v="0"/>
    <n v="394.21"/>
    <n v="197.11"/>
    <n v="197.11"/>
    <n v="197.11"/>
    <n v="197.11"/>
    <n v="555.67999999999995"/>
    <n v="254.5"/>
    <n v="253.97"/>
    <n v="255.03"/>
    <n v="254.5"/>
    <n v="309.33"/>
    <n v="3065.66"/>
    <n v="-54.829999999999984"/>
  </r>
  <r>
    <x v="12"/>
    <x v="1"/>
    <x v="0"/>
    <s v="5816200"/>
    <n v="730040"/>
    <s v="LT Lease-Real Estate"/>
    <s v="Multispec Cancer Clinic S/S"/>
    <x v="0"/>
    <m/>
    <n v="0"/>
    <n v="0"/>
    <n v="0"/>
    <n v="0"/>
    <n v="0"/>
    <n v="0"/>
    <n v="0"/>
    <n v="0"/>
    <n v="0"/>
    <n v="0"/>
    <n v="0"/>
    <n v="7179.49"/>
    <n v="7179.49"/>
    <n v="-7179.49"/>
  </r>
  <r>
    <x v="16"/>
    <x v="1"/>
    <x v="0"/>
    <s v="5816200"/>
    <n v="732030"/>
    <s v="Repairs&amp;Maintenance-Bldg Routine"/>
    <s v="Multispec Cancer Clinic S/S"/>
    <x v="0"/>
    <n v="2300"/>
    <n v="0"/>
    <n v="0"/>
    <n v="0"/>
    <n v="0"/>
    <n v="0"/>
    <n v="0"/>
    <n v="840.09"/>
    <n v="0"/>
    <n v="0"/>
    <n v="0"/>
    <n v="0"/>
    <n v="0"/>
    <n v="840.09"/>
    <n v="0"/>
  </r>
  <r>
    <x v="0"/>
    <x v="1"/>
    <x v="0"/>
    <s v="5816200"/>
    <n v="742010"/>
    <s v="Postage-Regular"/>
    <s v="Multispec Cancer Clinic S/S"/>
    <x v="0"/>
    <m/>
    <n v="0"/>
    <n v="22.75"/>
    <n v="0"/>
    <n v="0"/>
    <n v="0"/>
    <n v="0"/>
    <n v="0"/>
    <n v="0"/>
    <n v="0"/>
    <n v="0"/>
    <n v="0"/>
    <n v="-22.75"/>
    <n v="0"/>
    <n v="22.75"/>
  </r>
  <r>
    <x v="0"/>
    <x v="1"/>
    <x v="0"/>
    <s v="5816200"/>
    <n v="749510"/>
    <s v="Licenses"/>
    <s v="Multispec Cancer Clinic S/S"/>
    <x v="0"/>
    <n v="1002"/>
    <n v="0"/>
    <n v="0"/>
    <n v="174"/>
    <n v="0"/>
    <n v="0"/>
    <n v="0"/>
    <n v="0"/>
    <n v="0"/>
    <n v="0"/>
    <n v="0"/>
    <n v="0"/>
    <n v="0"/>
    <n v="174"/>
    <n v="0"/>
  </r>
  <r>
    <x v="5"/>
    <x v="1"/>
    <x v="0"/>
    <s v="5817200"/>
    <n v="700018"/>
    <s v="Salaries-Supervisory-Productive"/>
    <s v="Pain Mmgt SAH Shared Svc"/>
    <x v="0"/>
    <m/>
    <n v="0"/>
    <n v="0"/>
    <n v="0"/>
    <n v="0"/>
    <n v="0"/>
    <n v="0"/>
    <n v="0"/>
    <n v="0"/>
    <n v="0"/>
    <n v="423.57"/>
    <n v="573.07000000000005"/>
    <n v="498.32"/>
    <n v="1494.96"/>
    <n v="74.750000000000057"/>
  </r>
  <r>
    <x v="5"/>
    <x v="1"/>
    <x v="0"/>
    <s v="5817200"/>
    <n v="700038"/>
    <s v="Salaries-Service/Support-Productive"/>
    <s v="Pain Mmgt SAH Shared Svc"/>
    <x v="0"/>
    <m/>
    <n v="0"/>
    <n v="0"/>
    <n v="0"/>
    <n v="0"/>
    <n v="0"/>
    <n v="2430.42"/>
    <n v="3464.18"/>
    <n v="2655.94"/>
    <n v="3332.44"/>
    <n v="2899.47"/>
    <n v="3350.63"/>
    <n v="3049.56"/>
    <n v="21182.640000000003"/>
    <n v="301.07000000000016"/>
  </r>
  <r>
    <x v="5"/>
    <x v="1"/>
    <x v="0"/>
    <s v="5817200"/>
    <n v="700038"/>
    <s v="Salaries-Service/Support-OT"/>
    <s v="Pain Mmgt SAH Shared Svc"/>
    <x v="0"/>
    <n v="1000"/>
    <n v="0"/>
    <n v="0"/>
    <n v="0"/>
    <n v="0"/>
    <n v="0"/>
    <n v="47.49"/>
    <n v="20.21"/>
    <n v="27.39"/>
    <n v="34.61"/>
    <n v="0"/>
    <n v="0"/>
    <n v="0"/>
    <n v="129.69999999999999"/>
    <n v="0"/>
  </r>
  <r>
    <x v="5"/>
    <x v="1"/>
    <x v="0"/>
    <s v="5817200"/>
    <n v="700038"/>
    <s v="Salaries-Service/Support-Other"/>
    <s v="Pain Mmgt SAH Shared Svc"/>
    <x v="0"/>
    <n v="2000"/>
    <n v="0"/>
    <n v="0"/>
    <n v="0"/>
    <n v="0"/>
    <n v="0"/>
    <n v="30"/>
    <n v="0"/>
    <n v="0"/>
    <n v="0"/>
    <n v="8.51"/>
    <n v="-3.5"/>
    <n v="0"/>
    <n v="35.01"/>
    <n v="-3.5"/>
  </r>
  <r>
    <x v="5"/>
    <x v="1"/>
    <x v="0"/>
    <s v="5817200"/>
    <n v="700078"/>
    <s v="Salaries-Service/Support-Non-productive"/>
    <s v="Pain Mmgt SAH Shared Svc"/>
    <x v="0"/>
    <m/>
    <n v="0"/>
    <n v="0"/>
    <n v="0"/>
    <n v="0"/>
    <n v="0"/>
    <n v="0"/>
    <n v="0"/>
    <n v="0"/>
    <n v="0"/>
    <n v="653.4"/>
    <n v="115.32"/>
    <n v="249.83"/>
    <n v="1018.5500000000001"/>
    <n v="-134.51000000000002"/>
  </r>
  <r>
    <x v="5"/>
    <x v="1"/>
    <x v="0"/>
    <s v="5817200"/>
    <n v="700078"/>
    <s v="Salaries-Service/Support-NonProd-Other"/>
    <s v="Pain Mmgt SAH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17200"/>
    <n v="700084"/>
    <s v="Accrued PTO"/>
    <s v="Pain Mmgt SAH Shared Svc"/>
    <x v="0"/>
    <m/>
    <n v="0"/>
    <n v="0"/>
    <n v="0"/>
    <n v="0"/>
    <n v="0"/>
    <n v="218.76"/>
    <n v="280.75"/>
    <n v="279.41000000000003"/>
    <n v="293.99"/>
    <n v="-23.61"/>
    <n v="91.54"/>
    <n v="-15.74"/>
    <n v="1125.1000000000001"/>
    <n v="107.28"/>
  </r>
  <r>
    <x v="6"/>
    <x v="1"/>
    <x v="0"/>
    <s v="5817200"/>
    <n v="713010"/>
    <s v="Benefits-FICA/Medicare"/>
    <s v="Pain Mmgt SAH Shared Svc"/>
    <x v="0"/>
    <m/>
    <n v="0"/>
    <n v="0"/>
    <n v="0"/>
    <n v="0"/>
    <n v="0"/>
    <n v="191.85"/>
    <n v="265.76"/>
    <n v="204.4"/>
    <n v="256.64999999999998"/>
    <n v="300.44"/>
    <n v="303.93"/>
    <n v="285.62"/>
    <n v="1808.65"/>
    <n v="18.310000000000002"/>
  </r>
  <r>
    <x v="6"/>
    <x v="1"/>
    <x v="0"/>
    <s v="5817200"/>
    <n v="713090"/>
    <s v="Benefits-Allocated Amounts"/>
    <s v="Pain Mmgt SAH Shared Svc"/>
    <x v="0"/>
    <m/>
    <n v="0"/>
    <n v="0"/>
    <n v="0"/>
    <n v="0"/>
    <n v="0"/>
    <n v="770.63"/>
    <n v="1077.1400000000001"/>
    <n v="910.11"/>
    <n v="1076.1099999999999"/>
    <n v="1139.68"/>
    <n v="1147.05"/>
    <n v="1539.15"/>
    <n v="7659.8700000000008"/>
    <n v="-392.10000000000014"/>
  </r>
  <r>
    <x v="7"/>
    <x v="1"/>
    <x v="0"/>
    <s v="5817200"/>
    <n v="718010"/>
    <s v="Media/Print Advertising"/>
    <s v="Pain Mmgt SAH Shared Svc"/>
    <x v="0"/>
    <n v="1004"/>
    <n v="0"/>
    <n v="0"/>
    <n v="0"/>
    <n v="0"/>
    <n v="0"/>
    <n v="843.99"/>
    <n v="166.1"/>
    <n v="0"/>
    <n v="0"/>
    <n v="0"/>
    <n v="319.77999999999997"/>
    <n v="0"/>
    <n v="1329.87"/>
    <n v="319.77999999999997"/>
  </r>
  <r>
    <x v="7"/>
    <x v="1"/>
    <x v="0"/>
    <s v="5817200"/>
    <n v="718050"/>
    <s v="Physician Answering"/>
    <s v="Pain Mmgt SAH Shared Svc"/>
    <x v="0"/>
    <n v="1015"/>
    <n v="0"/>
    <n v="0"/>
    <n v="0"/>
    <n v="0"/>
    <n v="0"/>
    <n v="140.19999999999999"/>
    <n v="254.8"/>
    <n v="223.8"/>
    <n v="187.2"/>
    <n v="216"/>
    <n v="218.8"/>
    <n v="99.6"/>
    <n v="1340.3999999999999"/>
    <n v="119.20000000000002"/>
  </r>
  <r>
    <x v="7"/>
    <x v="1"/>
    <x v="0"/>
    <s v="5817200"/>
    <n v="718050"/>
    <s v="Translation Services"/>
    <s v="Pain Mmgt SAH Shared Svc"/>
    <x v="0"/>
    <n v="1025"/>
    <n v="0"/>
    <n v="0"/>
    <n v="0"/>
    <n v="0"/>
    <n v="0"/>
    <n v="0"/>
    <n v="0"/>
    <n v="0"/>
    <n v="0"/>
    <n v="0"/>
    <n v="142"/>
    <n v="0"/>
    <n v="142"/>
    <n v="142"/>
  </r>
  <r>
    <x v="11"/>
    <x v="1"/>
    <x v="0"/>
    <s v="5817200"/>
    <n v="721250"/>
    <s v="Supplies-Pharmacy Drugs - Billable"/>
    <s v="Pain Mmgt SAH Shared Svc"/>
    <x v="0"/>
    <m/>
    <n v="0"/>
    <n v="0"/>
    <n v="0"/>
    <n v="0"/>
    <n v="0"/>
    <n v="0"/>
    <n v="3634.29"/>
    <n v="639.57000000000005"/>
    <n v="0"/>
    <n v="0"/>
    <n v="-1453.52"/>
    <n v="0"/>
    <n v="2820.3399999999997"/>
    <n v="-1453.52"/>
  </r>
  <r>
    <x v="11"/>
    <x v="1"/>
    <x v="0"/>
    <s v="5817200"/>
    <n v="721410"/>
    <s v="Supplies-Medical - Nonbillable"/>
    <s v="Pain Mmgt SAH Shared Svc"/>
    <x v="0"/>
    <m/>
    <n v="0"/>
    <n v="0"/>
    <n v="0"/>
    <n v="0"/>
    <n v="0"/>
    <n v="0"/>
    <n v="39.9"/>
    <n v="0"/>
    <n v="0"/>
    <n v="0"/>
    <n v="0"/>
    <n v="34.61"/>
    <n v="74.509999999999991"/>
    <n v="-34.61"/>
  </r>
  <r>
    <x v="11"/>
    <x v="1"/>
    <x v="0"/>
    <s v="5817200"/>
    <n v="721830"/>
    <s v="Supplies-Office"/>
    <s v="Pain Mmgt SAH Shared Svc"/>
    <x v="0"/>
    <m/>
    <n v="0"/>
    <n v="0"/>
    <n v="0"/>
    <n v="0"/>
    <n v="0"/>
    <n v="1257.0899999999999"/>
    <n v="2010.39"/>
    <n v="251.25"/>
    <n v="34.090000000000003"/>
    <n v="35.69"/>
    <n v="0"/>
    <n v="137.03"/>
    <n v="3725.5400000000004"/>
    <n v="-137.03"/>
  </r>
  <r>
    <x v="11"/>
    <x v="1"/>
    <x v="0"/>
    <s v="5817200"/>
    <n v="721835"/>
    <s v="Supplies-Forms"/>
    <s v="Pain Mmgt SAH Shared Svc"/>
    <x v="0"/>
    <m/>
    <n v="0"/>
    <n v="0"/>
    <n v="0"/>
    <n v="0"/>
    <n v="0"/>
    <n v="0"/>
    <n v="0"/>
    <n v="0"/>
    <n v="2.0299999999999998"/>
    <n v="139.5"/>
    <n v="166"/>
    <n v="0"/>
    <n v="307.52999999999997"/>
    <n v="166"/>
  </r>
  <r>
    <x v="12"/>
    <x v="1"/>
    <x v="0"/>
    <s v="5817200"/>
    <n v="730010"/>
    <s v="Rental and Leases-Building (DO NOT USE)"/>
    <s v="Pain Mmgt SAH Shared Svc"/>
    <x v="0"/>
    <m/>
    <n v="0"/>
    <n v="0"/>
    <n v="0"/>
    <n v="0"/>
    <n v="0"/>
    <n v="0"/>
    <n v="0"/>
    <n v="0"/>
    <n v="0"/>
    <n v="7868.91"/>
    <n v="7868.91"/>
    <n v="0"/>
    <n v="15737.82"/>
    <n v="7868.91"/>
  </r>
  <r>
    <x v="12"/>
    <x v="1"/>
    <x v="0"/>
    <s v="5817200"/>
    <n v="730020"/>
    <s v="Rental and Leases-Copier Usage Fees (DO NOT USE)"/>
    <s v="Pain Mmgt SAH Shared Svc"/>
    <x v="0"/>
    <n v="5100"/>
    <n v="0"/>
    <n v="0"/>
    <n v="0"/>
    <n v="0"/>
    <n v="0"/>
    <n v="0"/>
    <n v="1144.8800000000001"/>
    <n v="377.85"/>
    <n v="340.83"/>
    <n v="317.7"/>
    <n v="341.63"/>
    <n v="341.63"/>
    <n v="2864.52"/>
    <n v="0"/>
  </r>
  <r>
    <x v="12"/>
    <x v="1"/>
    <x v="0"/>
    <s v="5817200"/>
    <n v="730040"/>
    <s v="LT Lease-Real Estate"/>
    <s v="Pain Mmgt SAH Shared Svc"/>
    <x v="0"/>
    <m/>
    <n v="0"/>
    <n v="0"/>
    <n v="0"/>
    <n v="0"/>
    <n v="0"/>
    <n v="0"/>
    <n v="0"/>
    <n v="0"/>
    <n v="0"/>
    <n v="0"/>
    <n v="0"/>
    <n v="7868.91"/>
    <n v="7868.91"/>
    <n v="-7868.91"/>
  </r>
  <r>
    <x v="5"/>
    <x v="1"/>
    <x v="0"/>
    <s v="5820200"/>
    <n v="700014"/>
    <s v="Salaries-Management-Productive"/>
    <s v="Ortho/Sport Med-LW-Shared Svc"/>
    <x v="0"/>
    <m/>
    <n v="1244.48"/>
    <n v="3889"/>
    <n v="3111.2"/>
    <n v="3683"/>
    <n v="3550.8"/>
    <n v="-1614"/>
    <n v="0"/>
    <n v="0"/>
    <n v="0"/>
    <n v="0"/>
    <n v="0"/>
    <n v="0"/>
    <n v="13864.48"/>
    <n v="0"/>
  </r>
  <r>
    <x v="5"/>
    <x v="1"/>
    <x v="0"/>
    <s v="5820200"/>
    <n v="700018"/>
    <s v="Salaries-Supervisory-Productive"/>
    <s v="Ortho/Sport Med-LW-Shared Svc"/>
    <x v="0"/>
    <m/>
    <n v="1888.84"/>
    <n v="1743.56"/>
    <n v="1695.12"/>
    <n v="2275.6799999999998"/>
    <n v="2189.44"/>
    <n v="0"/>
    <n v="0"/>
    <n v="0"/>
    <n v="0"/>
    <n v="0"/>
    <n v="0"/>
    <n v="0"/>
    <n v="9792.64"/>
    <n v="0"/>
  </r>
  <r>
    <x v="5"/>
    <x v="1"/>
    <x v="0"/>
    <s v="5820200"/>
    <n v="700038"/>
    <s v="Salaries-Service/Support-Productive"/>
    <s v="Ortho/Sport Med-LW-Shared Svc"/>
    <x v="0"/>
    <m/>
    <n v="10923.75"/>
    <n v="12541.92"/>
    <n v="10211.469999999999"/>
    <n v="15499.3"/>
    <n v="19062.759999999998"/>
    <n v="11022.37"/>
    <n v="12147.4"/>
    <n v="11159.82"/>
    <n v="10362.540000000001"/>
    <n v="17682.05"/>
    <n v="15565.25"/>
    <n v="11530.29"/>
    <n v="157708.92000000001"/>
    <n v="4034.9599999999991"/>
  </r>
  <r>
    <x v="5"/>
    <x v="1"/>
    <x v="0"/>
    <s v="5820200"/>
    <n v="700038"/>
    <s v="Salaries-Service/Support-OT"/>
    <s v="Ortho/Sport Med-LW-Shared Svc"/>
    <x v="0"/>
    <n v="1000"/>
    <n v="146.49"/>
    <n v="2034.24"/>
    <n v="3126.86"/>
    <n v="8907.5300000000007"/>
    <n v="7441.5"/>
    <n v="2835.89"/>
    <n v="3840.02"/>
    <n v="1964.09"/>
    <n v="2573.3000000000002"/>
    <n v="2228.52"/>
    <n v="1150.53"/>
    <n v="249.64"/>
    <n v="36498.61"/>
    <n v="900.89"/>
  </r>
  <r>
    <x v="5"/>
    <x v="1"/>
    <x v="0"/>
    <s v="5820200"/>
    <n v="700038"/>
    <s v="Salaries-Service/Support-Other"/>
    <s v="Ortho/Sport Med-LW-Shared Svc"/>
    <x v="0"/>
    <n v="2000"/>
    <n v="0"/>
    <n v="0"/>
    <n v="12"/>
    <n v="52.75"/>
    <n v="15.5"/>
    <n v="-2"/>
    <n v="0"/>
    <n v="0"/>
    <n v="0"/>
    <n v="30.04"/>
    <n v="0"/>
    <n v="0"/>
    <n v="108.28999999999999"/>
    <n v="0"/>
  </r>
  <r>
    <x v="5"/>
    <x v="1"/>
    <x v="0"/>
    <s v="5820200"/>
    <n v="700078"/>
    <s v="Salaries-Service/Support-Non-productive"/>
    <s v="Ortho/Sport Med-LW-Shared Svc"/>
    <x v="0"/>
    <m/>
    <n v="481.94"/>
    <n v="648.82000000000005"/>
    <n v="1176.25"/>
    <n v="3052.94"/>
    <n v="-1127.32"/>
    <n v="3026.14"/>
    <n v="1293.55"/>
    <n v="1541.72"/>
    <n v="430.75"/>
    <n v="-6.53"/>
    <n v="316.19"/>
    <n v="1972.6"/>
    <n v="12807.05"/>
    <n v="-1656.4099999999999"/>
  </r>
  <r>
    <x v="5"/>
    <x v="1"/>
    <x v="0"/>
    <s v="5820200"/>
    <n v="700078"/>
    <s v="Salaries-Service/Support-NonProd-Other"/>
    <s v="Ortho/Sport Med-LW-Shared Svc"/>
    <x v="0"/>
    <n v="2000"/>
    <n v="0"/>
    <n v="0"/>
    <n v="0"/>
    <n v="0"/>
    <n v="418"/>
    <n v="35.86"/>
    <n v="20.68"/>
    <n v="-406.41"/>
    <n v="0"/>
    <n v="0"/>
    <n v="0"/>
    <n v="32.47"/>
    <n v="100.6"/>
    <n v="-32.47"/>
  </r>
  <r>
    <x v="5"/>
    <x v="1"/>
    <x v="0"/>
    <s v="5820200"/>
    <n v="700084"/>
    <s v="Accrued PTO"/>
    <s v="Ortho/Sport Med-LW-Shared Svc"/>
    <x v="0"/>
    <m/>
    <n v="476.13"/>
    <n v="657.62"/>
    <n v="-1158.5999999999999"/>
    <n v="326.08999999999997"/>
    <n v="1659.53"/>
    <n v="-878.17"/>
    <n v="-1729.3"/>
    <n v="-815.42"/>
    <n v="-28.55"/>
    <n v="1195.5899999999999"/>
    <n v="1101.69"/>
    <n v="-196.41"/>
    <n v="610.20000000000016"/>
    <n v="1298.1000000000001"/>
  </r>
  <r>
    <x v="6"/>
    <x v="1"/>
    <x v="0"/>
    <s v="5820200"/>
    <n v="713010"/>
    <s v="Benefits-FICA/Medicare"/>
    <s v="Ortho/Sport Med-LW-Shared Svc"/>
    <x v="0"/>
    <m/>
    <n v="1092.25"/>
    <n v="1549.63"/>
    <n v="1423.98"/>
    <n v="2481.39"/>
    <n v="2403.5"/>
    <n v="1151.6500000000001"/>
    <n v="1268.93"/>
    <n v="1078.8699999999999"/>
    <n v="977.46"/>
    <n v="1477.79"/>
    <n v="1256.81"/>
    <n v="1014.53"/>
    <n v="17176.79"/>
    <n v="242.27999999999997"/>
  </r>
  <r>
    <x v="6"/>
    <x v="1"/>
    <x v="0"/>
    <s v="5820200"/>
    <n v="713090"/>
    <s v="Benefits-Allocated Amounts"/>
    <s v="Ortho/Sport Med-LW-Shared Svc"/>
    <x v="0"/>
    <m/>
    <n v="3932.09"/>
    <n v="4479.42"/>
    <n v="4863.82"/>
    <n v="7071.4"/>
    <n v="7436.76"/>
    <n v="4805.7"/>
    <n v="4975.51"/>
    <n v="4670.1899999999996"/>
    <n v="4161.09"/>
    <n v="5550.73"/>
    <n v="4983.16"/>
    <n v="4725.62"/>
    <n v="61655.49"/>
    <n v="257.53999999999996"/>
  </r>
  <r>
    <x v="7"/>
    <x v="1"/>
    <x v="0"/>
    <s v="5820200"/>
    <n v="718010"/>
    <s v="Media/Print Advertising"/>
    <s v="Ortho/Sport Med-LW-Shared Svc"/>
    <x v="0"/>
    <n v="1004"/>
    <n v="0"/>
    <n v="0"/>
    <n v="0"/>
    <n v="0"/>
    <n v="98"/>
    <n v="218.6"/>
    <n v="0"/>
    <n v="0"/>
    <n v="0"/>
    <n v="-380"/>
    <n v="0"/>
    <n v="0"/>
    <n v="-63.399999999999977"/>
    <n v="0"/>
  </r>
  <r>
    <x v="7"/>
    <x v="1"/>
    <x v="0"/>
    <s v="5820200"/>
    <n v="718050"/>
    <s v="Contract Svcs-Other"/>
    <s v="Ortho/Sport Med-LW-Shared Svc"/>
    <x v="0"/>
    <m/>
    <n v="30.18"/>
    <n v="30.18"/>
    <n v="42.59"/>
    <n v="30.18"/>
    <n v="30.18"/>
    <n v="265"/>
    <n v="60.36"/>
    <n v="44.17"/>
    <n v="13.99"/>
    <n v="189.92"/>
    <n v="0"/>
    <n v="13.99"/>
    <n v="750.74"/>
    <n v="-13.99"/>
  </r>
  <r>
    <x v="7"/>
    <x v="1"/>
    <x v="0"/>
    <s v="5820200"/>
    <n v="718050"/>
    <s v="Document Shredding/Storage"/>
    <s v="Ortho/Sport Med-LW-Shared Svc"/>
    <x v="0"/>
    <n v="1012"/>
    <n v="15.34"/>
    <n v="49.48"/>
    <n v="53.41"/>
    <n v="36.56"/>
    <n v="-16.440000000000001"/>
    <n v="23.64"/>
    <n v="23.4"/>
    <n v="30.69"/>
    <n v="20.53"/>
    <n v="27.87"/>
    <n v="17.440000000000001"/>
    <n v="65.72"/>
    <n v="347.64"/>
    <n v="-48.28"/>
  </r>
  <r>
    <x v="7"/>
    <x v="1"/>
    <x v="0"/>
    <s v="5820200"/>
    <n v="718050"/>
    <s v="Physician Answering"/>
    <s v="Ortho/Sport Med-LW-Shared Svc"/>
    <x v="0"/>
    <n v="1015"/>
    <n v="353"/>
    <n v="538"/>
    <n v="398"/>
    <n v="189.4"/>
    <n v="468.4"/>
    <n v="450.6"/>
    <n v="630.20000000000005"/>
    <n v="496"/>
    <n v="471.4"/>
    <n v="522.20000000000005"/>
    <n v="572.6"/>
    <n v="442.6"/>
    <n v="5532.4000000000015"/>
    <n v="130"/>
  </r>
  <r>
    <x v="7"/>
    <x v="1"/>
    <x v="0"/>
    <s v="5820200"/>
    <n v="718050"/>
    <s v="Miscellaneous Purchased Svcs"/>
    <s v="Ortho/Sport Med-LW-Shared Svc"/>
    <x v="0"/>
    <n v="1020"/>
    <n v="0"/>
    <n v="65.84"/>
    <n v="32.92"/>
    <n v="378.09"/>
    <n v="45.33"/>
    <n v="58.58"/>
    <n v="0"/>
    <n v="0"/>
    <n v="0"/>
    <n v="5"/>
    <n v="0"/>
    <n v="92.46"/>
    <n v="678.22"/>
    <n v="-92.46"/>
  </r>
  <r>
    <x v="7"/>
    <x v="1"/>
    <x v="0"/>
    <s v="5820200"/>
    <n v="718050"/>
    <s v="Translation Services"/>
    <s v="Ortho/Sport Med-LW-Shared Svc"/>
    <x v="0"/>
    <n v="1025"/>
    <n v="0"/>
    <n v="0"/>
    <n v="32"/>
    <n v="0"/>
    <n v="0"/>
    <n v="208"/>
    <n v="0"/>
    <n v="140.5"/>
    <n v="0"/>
    <n v="256"/>
    <n v="96"/>
    <n v="0"/>
    <n v="732.5"/>
    <n v="96"/>
  </r>
  <r>
    <x v="7"/>
    <x v="1"/>
    <x v="0"/>
    <s v="5820200"/>
    <n v="718050"/>
    <s v="Contract Management--Linen"/>
    <s v="Ortho/Sport Med-LW-Shared Svc"/>
    <x v="0"/>
    <n v="1026"/>
    <n v="141.54"/>
    <n v="141.54"/>
    <n v="237.3"/>
    <n v="188.72"/>
    <n v="388.16"/>
    <n v="0"/>
    <n v="238.16"/>
    <n v="381.96"/>
    <n v="0"/>
    <n v="241.55"/>
    <n v="512.61"/>
    <n v="220.16"/>
    <n v="2691.7"/>
    <n v="292.45000000000005"/>
  </r>
  <r>
    <x v="7"/>
    <x v="1"/>
    <x v="0"/>
    <s v="5820200"/>
    <n v="718050"/>
    <s v="Purchased Srvcs--Medical Waste"/>
    <s v="Ortho/Sport Med-LW-Shared Svc"/>
    <x v="0"/>
    <n v="1027"/>
    <n v="10.36"/>
    <n v="20.72"/>
    <n v="20.72"/>
    <n v="32.39"/>
    <n v="20.72"/>
    <n v="20.72"/>
    <n v="53.11"/>
    <n v="20.72"/>
    <n v="0"/>
    <n v="41.44"/>
    <n v="0"/>
    <n v="86.5"/>
    <n v="327.39999999999998"/>
    <n v="-86.5"/>
  </r>
  <r>
    <x v="7"/>
    <x v="1"/>
    <x v="0"/>
    <s v="5820200"/>
    <n v="718070"/>
    <s v="Contract Srvcs-CHI Clinical Engineering"/>
    <s v="Ortho/Sport Med-LW-Shared Svc"/>
    <x v="0"/>
    <m/>
    <n v="0"/>
    <n v="0"/>
    <n v="407.5"/>
    <n v="0"/>
    <n v="0"/>
    <n v="0"/>
    <n v="0"/>
    <n v="0"/>
    <n v="0"/>
    <n v="0"/>
    <n v="0"/>
    <n v="0"/>
    <n v="407.5"/>
    <n v="0"/>
  </r>
  <r>
    <x v="11"/>
    <x v="1"/>
    <x v="0"/>
    <s v="5820200"/>
    <n v="721250"/>
    <s v="Supplies-Pharmacy Drugs - Billable"/>
    <s v="Ortho/Sport Med-LW-Shared Svc"/>
    <x v="0"/>
    <m/>
    <n v="526"/>
    <n v="195.56"/>
    <n v="711.56"/>
    <n v="900.1"/>
    <n v="0"/>
    <n v="177.89"/>
    <n v="872.79"/>
    <n v="591.22"/>
    <n v="852.03"/>
    <n v="0"/>
    <n v="1551.39"/>
    <n v="397.2"/>
    <n v="6775.74"/>
    <n v="1154.19"/>
  </r>
  <r>
    <x v="11"/>
    <x v="1"/>
    <x v="0"/>
    <s v="5820200"/>
    <n v="721410"/>
    <s v="Supplies-Medical - Nonbillable"/>
    <s v="Ortho/Sport Med-LW-Shared Svc"/>
    <x v="0"/>
    <m/>
    <n v="0"/>
    <n v="0"/>
    <n v="0"/>
    <n v="25.28"/>
    <n v="0"/>
    <n v="0"/>
    <n v="0"/>
    <n v="0"/>
    <n v="0"/>
    <n v="111.81"/>
    <n v="0"/>
    <n v="116.21"/>
    <n v="253.3"/>
    <n v="-116.21"/>
  </r>
  <r>
    <x v="11"/>
    <x v="1"/>
    <x v="0"/>
    <s v="5820200"/>
    <n v="721810"/>
    <s v="Supplies-Dietary/Cafeteria"/>
    <s v="Ortho/Sport Med-LW-Shared Svc"/>
    <x v="0"/>
    <m/>
    <n v="0"/>
    <n v="60.01"/>
    <n v="0"/>
    <n v="0"/>
    <n v="0"/>
    <n v="209.79"/>
    <n v="36.53"/>
    <n v="0"/>
    <n v="0"/>
    <n v="86.8"/>
    <n v="0"/>
    <n v="41.44"/>
    <n v="434.57000000000005"/>
    <n v="-41.44"/>
  </r>
  <r>
    <x v="11"/>
    <x v="1"/>
    <x v="0"/>
    <s v="5820200"/>
    <n v="721830"/>
    <s v="Supplies-Office"/>
    <s v="Ortho/Sport Med-LW-Shared Svc"/>
    <x v="0"/>
    <m/>
    <n v="86.81"/>
    <n v="251.67"/>
    <n v="0"/>
    <n v="0"/>
    <n v="0"/>
    <n v="0"/>
    <n v="0"/>
    <n v="267.57"/>
    <n v="95.65"/>
    <n v="0"/>
    <n v="463.2"/>
    <n v="390.78"/>
    <n v="1555.6799999999998"/>
    <n v="72.420000000000016"/>
  </r>
  <r>
    <x v="11"/>
    <x v="1"/>
    <x v="0"/>
    <s v="5820200"/>
    <n v="721835"/>
    <s v="Supplies-Forms"/>
    <s v="Ortho/Sport Med-LW-Shared Svc"/>
    <x v="0"/>
    <m/>
    <n v="0"/>
    <n v="0"/>
    <n v="0"/>
    <n v="0"/>
    <n v="60"/>
    <n v="0"/>
    <n v="0"/>
    <n v="0"/>
    <n v="38.6"/>
    <n v="0"/>
    <n v="0"/>
    <n v="3.85"/>
    <n v="102.44999999999999"/>
    <n v="-3.85"/>
  </r>
  <r>
    <x v="11"/>
    <x v="1"/>
    <x v="0"/>
    <s v="5820200"/>
    <n v="721910"/>
    <s v="Supplies-Small Equipment"/>
    <s v="Ortho/Sport Med-LW-Shared Svc"/>
    <x v="0"/>
    <m/>
    <n v="0"/>
    <n v="0"/>
    <n v="0"/>
    <n v="0"/>
    <n v="0"/>
    <n v="0"/>
    <n v="0"/>
    <n v="0"/>
    <n v="0"/>
    <n v="-84.92"/>
    <n v="0"/>
    <n v="0"/>
    <n v="-84.92"/>
    <n v="0"/>
  </r>
  <r>
    <x v="11"/>
    <x v="1"/>
    <x v="0"/>
    <s v="5820200"/>
    <n v="721980"/>
    <s v="Supplies-Other"/>
    <s v="Ortho/Sport Med-LW-Shared Svc"/>
    <x v="0"/>
    <m/>
    <n v="0"/>
    <n v="0"/>
    <n v="0"/>
    <n v="0"/>
    <n v="446.19"/>
    <n v="0"/>
    <n v="0"/>
    <n v="0"/>
    <n v="0"/>
    <n v="0"/>
    <n v="0"/>
    <n v="0"/>
    <n v="446.19"/>
    <n v="0"/>
  </r>
  <r>
    <x v="12"/>
    <x v="1"/>
    <x v="0"/>
    <s v="5820200"/>
    <n v="730010"/>
    <s v="Rental and Leases-Building (DO NOT USE)"/>
    <s v="Ortho/Sport Med-LW-Shared Svc"/>
    <x v="0"/>
    <m/>
    <n v="8223.18"/>
    <n v="8223.18"/>
    <n v="8223.18"/>
    <n v="8223.18"/>
    <n v="8223.18"/>
    <n v="-11801.91"/>
    <n v="4870.32"/>
    <n v="4870.32"/>
    <n v="4870.32"/>
    <n v="4940.38"/>
    <n v="4973.74"/>
    <n v="0"/>
    <n v="53839.069999999992"/>
    <n v="4973.74"/>
  </r>
  <r>
    <x v="12"/>
    <x v="1"/>
    <x v="0"/>
    <s v="5820200"/>
    <n v="730010"/>
    <s v="Rental-Common Area Maint (DO NOT USE)"/>
    <s v="Ortho/Sport Med-LW-Shared Svc"/>
    <x v="0"/>
    <n v="2200"/>
    <n v="0"/>
    <n v="0"/>
    <n v="0"/>
    <n v="0"/>
    <n v="0"/>
    <n v="20102.810000000001"/>
    <n v="3410.11"/>
    <n v="3410.11"/>
    <n v="-78.489999999999995"/>
    <n v="3410.11"/>
    <n v="3410.11"/>
    <n v="0"/>
    <n v="33664.76"/>
    <n v="3410.11"/>
  </r>
  <r>
    <x v="12"/>
    <x v="1"/>
    <x v="0"/>
    <s v="5820200"/>
    <n v="730020"/>
    <s v="Rental and Leases-Equipment (DO NOT USE)"/>
    <s v="Ortho/Sport Med-LW-Shared Svc"/>
    <x v="0"/>
    <m/>
    <n v="0"/>
    <n v="5.9"/>
    <n v="11.8"/>
    <n v="0"/>
    <n v="0"/>
    <n v="0"/>
    <n v="33"/>
    <n v="5"/>
    <n v="0"/>
    <n v="0"/>
    <n v="0"/>
    <n v="10"/>
    <n v="65.7"/>
    <n v="-10"/>
  </r>
  <r>
    <x v="12"/>
    <x v="1"/>
    <x v="0"/>
    <s v="5820200"/>
    <n v="730020"/>
    <s v="Rental and Leases-Copier Usage Fees (DO NOT USE)"/>
    <s v="Ortho/Sport Med-LW-Shared Svc"/>
    <x v="0"/>
    <n v="5100"/>
    <n v="116.97"/>
    <n v="120.06"/>
    <n v="118.51"/>
    <n v="118.51"/>
    <n v="118.51"/>
    <n v="118.51"/>
    <n v="129.06"/>
    <n v="119.69"/>
    <n v="179.05"/>
    <n v="179.42"/>
    <n v="149.43"/>
    <n v="149.43"/>
    <n v="1617.1500000000003"/>
    <n v="0"/>
  </r>
  <r>
    <x v="12"/>
    <x v="1"/>
    <x v="0"/>
    <s v="5820200"/>
    <n v="730040"/>
    <s v="LT Lease-Real Estate"/>
    <s v="Ortho/Sport Med-LW-Shared Svc"/>
    <x v="0"/>
    <m/>
    <n v="0"/>
    <n v="0"/>
    <n v="0"/>
    <n v="0"/>
    <n v="0"/>
    <n v="0"/>
    <n v="0"/>
    <n v="0"/>
    <n v="0"/>
    <n v="0"/>
    <n v="0"/>
    <n v="8383.85"/>
    <n v="8383.85"/>
    <n v="-8383.85"/>
  </r>
  <r>
    <x v="16"/>
    <x v="1"/>
    <x v="0"/>
    <s v="5820200"/>
    <n v="732030"/>
    <s v="Repairs---Other"/>
    <s v="Ortho/Sport Med-LW-Shared Svc"/>
    <x v="0"/>
    <m/>
    <n v="0"/>
    <n v="0"/>
    <n v="0"/>
    <n v="0"/>
    <n v="0"/>
    <n v="0"/>
    <n v="813.26"/>
    <n v="21.8"/>
    <n v="0"/>
    <n v="0"/>
    <n v="0"/>
    <n v="0"/>
    <n v="835.06"/>
    <n v="0"/>
  </r>
  <r>
    <x v="16"/>
    <x v="1"/>
    <x v="0"/>
    <s v="5820200"/>
    <n v="732030"/>
    <s v="Repairs&amp;Maintenance-Bldg Routine"/>
    <s v="Ortho/Sport Med-LW-Shared Svc"/>
    <x v="0"/>
    <n v="2300"/>
    <n v="30.75"/>
    <n v="0"/>
    <n v="0"/>
    <n v="0"/>
    <n v="0"/>
    <n v="0"/>
    <n v="0"/>
    <n v="0"/>
    <n v="0"/>
    <n v="0"/>
    <n v="0"/>
    <n v="0"/>
    <n v="30.75"/>
    <n v="0"/>
  </r>
  <r>
    <x v="13"/>
    <x v="1"/>
    <x v="0"/>
    <s v="5820200"/>
    <n v="735050"/>
    <s v="Amortization-Leasehold Improvements"/>
    <s v="Ortho/Sport Med-LW-Shared Svc"/>
    <x v="0"/>
    <m/>
    <n v="72.930000000000007"/>
    <n v="72.930000000000007"/>
    <n v="72.930000000000007"/>
    <n v="72.930000000000007"/>
    <n v="72.94"/>
    <n v="72.930000000000007"/>
    <n v="72.94"/>
    <n v="72.930000000000007"/>
    <n v="72.94"/>
    <n v="72.930000000000007"/>
    <n v="72.94"/>
    <n v="72.930000000000007"/>
    <n v="875.20000000000027"/>
    <n v="9.9999999999909051E-3"/>
  </r>
  <r>
    <x v="13"/>
    <x v="1"/>
    <x v="0"/>
    <s v="5820200"/>
    <n v="735070"/>
    <s v="Depreciation-Movable Equipment"/>
    <s v="Ortho/Sport Med-LW-Shared Svc"/>
    <x v="0"/>
    <m/>
    <n v="467.66"/>
    <n v="467.66"/>
    <n v="467.66"/>
    <n v="467.66"/>
    <n v="467.66"/>
    <n v="467.66"/>
    <n v="467.66"/>
    <n v="467.66"/>
    <n v="467.66"/>
    <n v="467.66"/>
    <n v="467.67"/>
    <n v="467.66"/>
    <n v="5611.9299999999994"/>
    <n v="9.9999999999909051E-3"/>
  </r>
  <r>
    <x v="0"/>
    <x v="1"/>
    <x v="0"/>
    <s v="5820200"/>
    <n v="743030"/>
    <s v="Subscriptions--Institutional"/>
    <s v="Ortho/Sport Med-LW-Shared Svc"/>
    <x v="0"/>
    <m/>
    <n v="0"/>
    <n v="0"/>
    <n v="208.33"/>
    <n v="-90.87"/>
    <n v="92.7"/>
    <n v="0"/>
    <n v="0"/>
    <n v="0"/>
    <n v="0"/>
    <n v="0"/>
    <n v="53.23"/>
    <n v="0"/>
    <n v="263.39000000000004"/>
    <n v="53.23"/>
  </r>
  <r>
    <x v="0"/>
    <x v="1"/>
    <x v="0"/>
    <s v="5820200"/>
    <n v="749510"/>
    <s v="Miscellaneous Expenses"/>
    <s v="Ortho/Sport Med-LW-Shared Svc"/>
    <x v="0"/>
    <m/>
    <n v="27.47"/>
    <n v="52.42"/>
    <n v="0"/>
    <n v="59.07"/>
    <n v="24.95"/>
    <n v="74.849999999999994"/>
    <n v="0"/>
    <n v="569.21"/>
    <n v="49.9"/>
    <n v="0"/>
    <n v="74.849999999999994"/>
    <n v="0"/>
    <n v="932.72"/>
    <n v="74.849999999999994"/>
  </r>
  <r>
    <x v="0"/>
    <x v="1"/>
    <x v="0"/>
    <s v="5820200"/>
    <n v="749510"/>
    <s v="Licenses"/>
    <s v="Ortho/Sport Med-LW-Shared Svc"/>
    <x v="0"/>
    <n v="1002"/>
    <n v="0"/>
    <n v="0"/>
    <n v="265"/>
    <n v="357"/>
    <n v="0"/>
    <n v="155"/>
    <n v="-318.25"/>
    <n v="0"/>
    <n v="0"/>
    <n v="0"/>
    <n v="0"/>
    <n v="0"/>
    <n v="458.75"/>
    <n v="0"/>
  </r>
  <r>
    <x v="0"/>
    <x v="1"/>
    <x v="0"/>
    <s v="5820200"/>
    <n v="749550"/>
    <s v="Cash Over/Short"/>
    <s v="Ortho/Sport Med-LW-Shared Svc"/>
    <x v="0"/>
    <m/>
    <n v="0"/>
    <n v="0"/>
    <n v="0"/>
    <n v="0"/>
    <n v="0"/>
    <n v="0"/>
    <n v="0"/>
    <n v="0"/>
    <n v="0"/>
    <n v="0"/>
    <n v="0"/>
    <n v="15"/>
    <n v="15"/>
    <n v="-15"/>
  </r>
  <r>
    <x v="5"/>
    <x v="1"/>
    <x v="0"/>
    <s v="5821200"/>
    <n v="700018"/>
    <s v="Salaries-Supervisory-Productive"/>
    <s v="Gen Surg-SA-Shared Svc"/>
    <x v="0"/>
    <m/>
    <n v="1054.24"/>
    <n v="143.76"/>
    <n v="1198"/>
    <n v="1134.4100000000001"/>
    <n v="1093.67"/>
    <n v="770.53"/>
    <n v="1169.95"/>
    <n v="746.76"/>
    <n v="1045.48"/>
    <n v="1095.24"/>
    <n v="1145.04"/>
    <n v="995.68"/>
    <n v="11592.759999999998"/>
    <n v="149.36000000000001"/>
  </r>
  <r>
    <x v="5"/>
    <x v="1"/>
    <x v="0"/>
    <s v="5821200"/>
    <n v="700038"/>
    <s v="Salaries-Service/Support-Productive"/>
    <s v="Gen Surg-SA-Shared Svc"/>
    <x v="0"/>
    <m/>
    <n v="9385.34"/>
    <n v="7328.91"/>
    <n v="7914.35"/>
    <n v="11301.87"/>
    <n v="11256.91"/>
    <n v="9057.01"/>
    <n v="10180.02"/>
    <n v="7977.29"/>
    <n v="11189.08"/>
    <n v="10579.58"/>
    <n v="11668.59"/>
    <n v="13048.13"/>
    <n v="120887.08"/>
    <n v="-1379.5399999999991"/>
  </r>
  <r>
    <x v="5"/>
    <x v="1"/>
    <x v="0"/>
    <s v="5821200"/>
    <n v="700038"/>
    <s v="Salaries-Service/Support-OT"/>
    <s v="Gen Surg-SA-Shared Svc"/>
    <x v="0"/>
    <n v="1000"/>
    <n v="56.41"/>
    <n v="-9.4"/>
    <n v="56.41"/>
    <n v="62.07"/>
    <n v="-20.09"/>
    <n v="9.5"/>
    <n v="186.43"/>
    <n v="-53.5"/>
    <n v="282.52999999999997"/>
    <n v="80.72"/>
    <n v="84.98"/>
    <n v="39.380000000000003"/>
    <n v="775.43999999999994"/>
    <n v="45.6"/>
  </r>
  <r>
    <x v="5"/>
    <x v="1"/>
    <x v="0"/>
    <s v="5821200"/>
    <n v="700078"/>
    <s v="Salaries-Service/Support-Non-productive"/>
    <s v="Gen Surg-SA-Shared Svc"/>
    <x v="0"/>
    <m/>
    <n v="1823.38"/>
    <n v="3466.31"/>
    <n v="1467.2"/>
    <n v="940.54"/>
    <n v="1015.77"/>
    <n v="2026.55"/>
    <n v="1007.69"/>
    <n v="2178.29"/>
    <n v="625.71"/>
    <n v="1724"/>
    <n v="1438.25"/>
    <n v="15.8"/>
    <n v="17729.489999999998"/>
    <n v="1422.45"/>
  </r>
  <r>
    <x v="5"/>
    <x v="1"/>
    <x v="0"/>
    <s v="5821200"/>
    <n v="700078"/>
    <s v="Salaries-Service/Support-NonProd-Other"/>
    <s v="Gen Surg-SA-Shared Svc"/>
    <x v="0"/>
    <n v="2000"/>
    <n v="0"/>
    <n v="0"/>
    <n v="0"/>
    <n v="0"/>
    <n v="741.02"/>
    <n v="1482.04"/>
    <n v="0"/>
    <n v="-2223.06"/>
    <n v="0"/>
    <n v="0"/>
    <n v="0"/>
    <n v="0"/>
    <n v="0"/>
    <n v="0"/>
  </r>
  <r>
    <x v="5"/>
    <x v="1"/>
    <x v="0"/>
    <s v="5821200"/>
    <n v="700084"/>
    <s v="Accrued PTO"/>
    <s v="Gen Surg-SA-Shared Svc"/>
    <x v="0"/>
    <m/>
    <n v="-143.08000000000001"/>
    <n v="-1205.21"/>
    <n v="-495.1"/>
    <n v="393.58"/>
    <n v="651.58000000000004"/>
    <n v="-383.88"/>
    <n v="330.36"/>
    <n v="-27.72"/>
    <n v="672.58"/>
    <n v="567.55999999999995"/>
    <n v="422.67"/>
    <n v="1514.72"/>
    <n v="2298.0600000000004"/>
    <n v="-1092.05"/>
  </r>
  <r>
    <x v="6"/>
    <x v="1"/>
    <x v="0"/>
    <s v="5821200"/>
    <n v="713010"/>
    <s v="Benefits-FICA/Medicare"/>
    <s v="Gen Surg-SA-Shared Svc"/>
    <x v="0"/>
    <m/>
    <n v="917.87"/>
    <n v="815.4"/>
    <n v="791.4"/>
    <n v="1002.95"/>
    <n v="1165.0899999999999"/>
    <n v="940.82"/>
    <n v="931.03"/>
    <n v="805.5"/>
    <n v="977.11"/>
    <n v="1001.7"/>
    <n v="1066.58"/>
    <n v="1032.52"/>
    <n v="11447.970000000001"/>
    <n v="34.059999999999945"/>
  </r>
  <r>
    <x v="6"/>
    <x v="1"/>
    <x v="0"/>
    <s v="5821200"/>
    <n v="713090"/>
    <s v="Benefits-Allocated Amounts"/>
    <s v="Gen Surg-SA-Shared Svc"/>
    <x v="0"/>
    <m/>
    <n v="3264.43"/>
    <n v="2498.4699999999998"/>
    <n v="2981.2"/>
    <n v="3310.9"/>
    <n v="3423.47"/>
    <n v="3356.68"/>
    <n v="3583.7"/>
    <n v="3388.04"/>
    <n v="3654.74"/>
    <n v="3521.8"/>
    <n v="3849.18"/>
    <n v="4456.8100000000004"/>
    <n v="41289.42"/>
    <n v="-607.63000000000056"/>
  </r>
  <r>
    <x v="7"/>
    <x v="1"/>
    <x v="0"/>
    <s v="5821200"/>
    <n v="718010"/>
    <s v="Media/Print Advertising"/>
    <s v="Gen Surg-SA-Shared Svc"/>
    <x v="0"/>
    <n v="1004"/>
    <n v="0"/>
    <n v="0"/>
    <n v="0"/>
    <n v="0"/>
    <n v="0"/>
    <n v="171.84"/>
    <n v="98.92"/>
    <n v="98.92"/>
    <n v="0"/>
    <n v="0"/>
    <n v="1026.54"/>
    <n v="98.92"/>
    <n v="1495.14"/>
    <n v="927.62"/>
  </r>
  <r>
    <x v="7"/>
    <x v="1"/>
    <x v="0"/>
    <s v="5821200"/>
    <n v="718050"/>
    <s v="Contract Svcs-Other"/>
    <s v="Gen Surg-SA-Shared Svc"/>
    <x v="0"/>
    <m/>
    <n v="45.24"/>
    <n v="45.24"/>
    <n v="0"/>
    <n v="90.48"/>
    <n v="0"/>
    <n v="0"/>
    <n v="90.48"/>
    <n v="45.24"/>
    <n v="45.24"/>
    <n v="0"/>
    <n v="0"/>
    <n v="24.67"/>
    <n v="386.59000000000003"/>
    <n v="-24.67"/>
  </r>
  <r>
    <x v="7"/>
    <x v="1"/>
    <x v="0"/>
    <s v="5821200"/>
    <n v="718050"/>
    <s v="Physician Answering"/>
    <s v="Gen Surg-SA-Shared Svc"/>
    <x v="0"/>
    <n v="1015"/>
    <n v="303.60000000000002"/>
    <n v="486.8"/>
    <n v="390.6"/>
    <n v="134"/>
    <n v="387.8"/>
    <n v="424.6"/>
    <n v="547.79999999999995"/>
    <n v="666.2"/>
    <n v="452.6"/>
    <n v="524.20000000000005"/>
    <n v="403.2"/>
    <n v="404.6"/>
    <n v="5126"/>
    <n v="-1.4000000000000341"/>
  </r>
  <r>
    <x v="7"/>
    <x v="1"/>
    <x v="0"/>
    <s v="5821200"/>
    <n v="718050"/>
    <s v="Miscellaneous Purchased Svcs"/>
    <s v="Gen Surg-SA-Shared Svc"/>
    <x v="0"/>
    <n v="1020"/>
    <n v="0"/>
    <n v="97.5"/>
    <n v="32.5"/>
    <n v="32.5"/>
    <n v="103.06"/>
    <n v="32.5"/>
    <n v="65"/>
    <n v="32.5"/>
    <n v="32.5"/>
    <n v="32.5"/>
    <n v="0"/>
    <n v="65"/>
    <n v="525.55999999999995"/>
    <n v="-65"/>
  </r>
  <r>
    <x v="7"/>
    <x v="1"/>
    <x v="0"/>
    <s v="5821200"/>
    <n v="718050"/>
    <s v="Purchased Srvcs--Medical Waste"/>
    <s v="Gen Surg-SA-Shared Svc"/>
    <x v="0"/>
    <n v="1027"/>
    <n v="96.42"/>
    <n v="96.42"/>
    <n v="96.42"/>
    <n v="0"/>
    <n v="96.42"/>
    <n v="96.42"/>
    <n v="192.84"/>
    <n v="96.42"/>
    <n v="0"/>
    <n v="192.84"/>
    <n v="0"/>
    <n v="96.42"/>
    <n v="1060.6200000000001"/>
    <n v="-96.42"/>
  </r>
  <r>
    <x v="7"/>
    <x v="1"/>
    <x v="0"/>
    <s v="5821200"/>
    <n v="718070"/>
    <s v="Contract Srvcs-CHI Clinical Engineering"/>
    <s v="Gen Surg-SA-Shared Svc"/>
    <x v="0"/>
    <m/>
    <n v="0"/>
    <n v="0"/>
    <n v="0"/>
    <n v="0"/>
    <n v="0"/>
    <n v="0"/>
    <n v="0"/>
    <n v="680.25"/>
    <n v="0"/>
    <n v="0"/>
    <n v="0"/>
    <n v="0"/>
    <n v="680.25"/>
    <n v="0"/>
  </r>
  <r>
    <x v="11"/>
    <x v="1"/>
    <x v="0"/>
    <s v="5821200"/>
    <n v="721250"/>
    <s v="Supplies-Pharmacy Drugs - Billable"/>
    <s v="Gen Surg-SA-Shared Svc"/>
    <x v="0"/>
    <m/>
    <n v="0"/>
    <n v="242.65"/>
    <n v="0"/>
    <n v="0"/>
    <n v="0"/>
    <n v="0"/>
    <n v="0"/>
    <n v="93.67"/>
    <n v="258.66000000000003"/>
    <n v="0"/>
    <n v="0"/>
    <n v="399.18"/>
    <n v="994.16000000000008"/>
    <n v="-399.18"/>
  </r>
  <r>
    <x v="11"/>
    <x v="1"/>
    <x v="0"/>
    <s v="5821200"/>
    <n v="721810"/>
    <s v="Supplies-Dietary/Cafeteria"/>
    <s v="Gen Surg-SA-Shared Svc"/>
    <x v="0"/>
    <m/>
    <n v="107.54"/>
    <n v="0"/>
    <n v="0"/>
    <n v="0"/>
    <n v="0"/>
    <n v="0"/>
    <n v="0"/>
    <n v="0"/>
    <n v="0"/>
    <n v="0"/>
    <n v="0"/>
    <n v="0"/>
    <n v="107.54"/>
    <n v="0"/>
  </r>
  <r>
    <x v="11"/>
    <x v="1"/>
    <x v="0"/>
    <s v="5821200"/>
    <n v="721830"/>
    <s v="Supplies-Office"/>
    <s v="Gen Surg-SA-Shared Svc"/>
    <x v="0"/>
    <m/>
    <n v="647.64"/>
    <n v="214.94"/>
    <n v="267.31"/>
    <n v="207.73"/>
    <n v="363.76"/>
    <n v="347.09"/>
    <n v="159.93"/>
    <n v="277.66000000000003"/>
    <n v="402.66"/>
    <n v="471.71"/>
    <n v="377.22"/>
    <n v="103.98"/>
    <n v="3841.6299999999997"/>
    <n v="273.24"/>
  </r>
  <r>
    <x v="11"/>
    <x v="1"/>
    <x v="0"/>
    <s v="5821200"/>
    <n v="721835"/>
    <s v="Supplies-Forms"/>
    <s v="Gen Surg-SA-Shared Svc"/>
    <x v="0"/>
    <m/>
    <n v="0"/>
    <n v="0"/>
    <n v="0"/>
    <n v="0"/>
    <n v="109.2"/>
    <n v="0"/>
    <n v="0"/>
    <n v="0"/>
    <n v="150"/>
    <n v="0"/>
    <n v="0"/>
    <n v="3.82"/>
    <n v="263.02"/>
    <n v="-3.82"/>
  </r>
  <r>
    <x v="11"/>
    <x v="1"/>
    <x v="0"/>
    <s v="5821200"/>
    <n v="721910"/>
    <s v="Supplies-Small Equipment"/>
    <s v="Gen Surg-SA-Shared Svc"/>
    <x v="0"/>
    <m/>
    <n v="0"/>
    <n v="0"/>
    <n v="0"/>
    <n v="0"/>
    <n v="0"/>
    <n v="0"/>
    <n v="0"/>
    <n v="246.5"/>
    <n v="0"/>
    <n v="194.61"/>
    <n v="58.46"/>
    <n v="19.850000000000001"/>
    <n v="519.41999999999996"/>
    <n v="38.61"/>
  </r>
  <r>
    <x v="11"/>
    <x v="1"/>
    <x v="0"/>
    <s v="5821200"/>
    <n v="722000"/>
    <s v="Supplies-Freight Expense"/>
    <s v="Gen Surg-SA-Shared Svc"/>
    <x v="0"/>
    <m/>
    <n v="0"/>
    <n v="0"/>
    <n v="0"/>
    <n v="63.86"/>
    <n v="0"/>
    <n v="0"/>
    <n v="0"/>
    <n v="0"/>
    <n v="0"/>
    <n v="0"/>
    <n v="0"/>
    <n v="0"/>
    <n v="63.86"/>
    <n v="0"/>
  </r>
  <r>
    <x v="12"/>
    <x v="1"/>
    <x v="0"/>
    <s v="5821200"/>
    <n v="730010"/>
    <s v="Rental and Leases-Building (DO NOT USE)"/>
    <s v="Gen Surg-SA-Shared Svc"/>
    <x v="0"/>
    <m/>
    <n v="12355.63"/>
    <n v="12355.63"/>
    <n v="12355.63"/>
    <n v="12355.63"/>
    <n v="12355.63"/>
    <n v="-16446.63"/>
    <n v="7276.5"/>
    <n v="7276.5"/>
    <n v="7276.5"/>
    <n v="7276.51"/>
    <n v="7276.51"/>
    <n v="-1620.82"/>
    <n v="80093.219999999972"/>
    <n v="8897.33"/>
  </r>
  <r>
    <x v="12"/>
    <x v="1"/>
    <x v="0"/>
    <s v="5821200"/>
    <n v="730010"/>
    <s v="Rental-Common Area Maint (DO NOT USE)"/>
    <s v="Gen Surg-SA-Shared Svc"/>
    <x v="0"/>
    <n v="2200"/>
    <n v="0"/>
    <n v="0"/>
    <n v="0"/>
    <n v="0"/>
    <n v="0"/>
    <n v="28802.26"/>
    <n v="5366.21"/>
    <n v="5222.67"/>
    <n v="4699.84"/>
    <n v="5222.67"/>
    <n v="5222.67"/>
    <n v="0"/>
    <n v="54536.319999999992"/>
    <n v="5222.67"/>
  </r>
  <r>
    <x v="12"/>
    <x v="1"/>
    <x v="0"/>
    <s v="5821200"/>
    <n v="730020"/>
    <s v="Rental and Leases-Copier Usage Fees (DO NOT USE)"/>
    <s v="Gen Surg-SA-Shared Svc"/>
    <x v="0"/>
    <n v="5100"/>
    <n v="249.04"/>
    <n v="255.68"/>
    <n v="252.36"/>
    <n v="252.36"/>
    <n v="252.36"/>
    <n v="252.36"/>
    <n v="107.39"/>
    <n v="225.56"/>
    <n v="225.08"/>
    <n v="263.73"/>
    <n v="186.88"/>
    <n v="212.29"/>
    <n v="2735.0900000000006"/>
    <n v="-25.409999999999997"/>
  </r>
  <r>
    <x v="12"/>
    <x v="1"/>
    <x v="0"/>
    <s v="5821200"/>
    <n v="730040"/>
    <s v="LT Lease-Real Estate"/>
    <s v="Gen Surg-SA-Shared Svc"/>
    <x v="0"/>
    <m/>
    <n v="0"/>
    <n v="0"/>
    <n v="0"/>
    <n v="0"/>
    <n v="0"/>
    <n v="0"/>
    <n v="0"/>
    <n v="0"/>
    <n v="0"/>
    <n v="0"/>
    <n v="0"/>
    <n v="14297.95"/>
    <n v="14297.95"/>
    <n v="-14297.95"/>
  </r>
  <r>
    <x v="15"/>
    <x v="1"/>
    <x v="0"/>
    <s v="5821200"/>
    <n v="731070"/>
    <s v="Cable TV"/>
    <s v="Gen Surg-SA-Shared Svc"/>
    <x v="0"/>
    <m/>
    <n v="94.15"/>
    <n v="94.15"/>
    <n v="94.15"/>
    <n v="94.15"/>
    <n v="99.64"/>
    <n v="99.64"/>
    <n v="99.64"/>
    <n v="99.64"/>
    <n v="99.64"/>
    <n v="99.64"/>
    <n v="99.64"/>
    <n v="100.36"/>
    <n v="1174.4399999999998"/>
    <n v="-0.71999999999999886"/>
  </r>
  <r>
    <x v="16"/>
    <x v="1"/>
    <x v="0"/>
    <s v="5821200"/>
    <n v="732030"/>
    <s v="Repairs---Other"/>
    <s v="Gen Surg-SA-Shared Svc"/>
    <x v="0"/>
    <m/>
    <n v="0"/>
    <n v="0"/>
    <n v="0"/>
    <n v="0"/>
    <n v="0"/>
    <n v="0"/>
    <n v="0"/>
    <n v="0"/>
    <n v="88.08"/>
    <n v="0"/>
    <n v="0"/>
    <n v="0"/>
    <n v="88.08"/>
    <n v="0"/>
  </r>
  <r>
    <x v="13"/>
    <x v="1"/>
    <x v="0"/>
    <s v="5821200"/>
    <n v="735050"/>
    <s v="Amortization-Leasehold Improvements"/>
    <s v="Gen Surg-SA-Shared Svc"/>
    <x v="0"/>
    <m/>
    <n v="5925.11"/>
    <n v="5925.1"/>
    <n v="5925.11"/>
    <n v="5925.09"/>
    <n v="5925.13"/>
    <n v="5925.05"/>
    <n v="5925.14"/>
    <n v="5925.05"/>
    <n v="5925.15"/>
    <n v="5925.03"/>
    <n v="5925.15"/>
    <n v="5925.02"/>
    <n v="71101.13"/>
    <n v="0.12999999999919964"/>
  </r>
  <r>
    <x v="13"/>
    <x v="1"/>
    <x v="0"/>
    <s v="5821200"/>
    <n v="735060"/>
    <s v="Depreciation-Fixed Equipment"/>
    <s v="Gen Surg-SA-Shared Svc"/>
    <x v="0"/>
    <m/>
    <n v="153.94999999999999"/>
    <n v="153.94"/>
    <n v="153.94999999999999"/>
    <n v="153.94"/>
    <n v="153.94999999999999"/>
    <n v="153.94"/>
    <n v="153.94999999999999"/>
    <n v="153.93"/>
    <n v="153.94999999999999"/>
    <n v="153.93"/>
    <n v="153.94999999999999"/>
    <n v="153.93"/>
    <n v="1847.3100000000004"/>
    <n v="1.999999999998181E-2"/>
  </r>
  <r>
    <x v="13"/>
    <x v="1"/>
    <x v="0"/>
    <s v="5821200"/>
    <n v="735070"/>
    <s v="Depreciation-Movable Equipment"/>
    <s v="Gen Surg-SA-Shared Svc"/>
    <x v="0"/>
    <m/>
    <n v="1569.4"/>
    <n v="1569.39"/>
    <n v="1569.4"/>
    <n v="1569.39"/>
    <n v="1569.4"/>
    <n v="1569.39"/>
    <n v="1569.41"/>
    <n v="1569.38"/>
    <n v="1569.42"/>
    <n v="1569.35"/>
    <n v="1569.42"/>
    <n v="1569.33"/>
    <n v="18832.68"/>
    <n v="9.0000000000145519E-2"/>
  </r>
  <r>
    <x v="0"/>
    <x v="1"/>
    <x v="0"/>
    <s v="5821200"/>
    <n v="743030"/>
    <s v="Subscriptions--Institutional"/>
    <s v="Gen Surg-SA-Shared Svc"/>
    <x v="0"/>
    <m/>
    <n v="0"/>
    <n v="0"/>
    <n v="0"/>
    <n v="0"/>
    <n v="92.7"/>
    <n v="0"/>
    <n v="0"/>
    <n v="0"/>
    <n v="239"/>
    <n v="0"/>
    <n v="0"/>
    <n v="0"/>
    <n v="331.7"/>
    <n v="0"/>
  </r>
  <r>
    <x v="0"/>
    <x v="1"/>
    <x v="0"/>
    <s v="5821200"/>
    <n v="749510"/>
    <s v="Licenses"/>
    <s v="Gen Surg-SA-Shared Svc"/>
    <x v="0"/>
    <n v="1002"/>
    <n v="0"/>
    <n v="0"/>
    <n v="265"/>
    <n v="0"/>
    <n v="0"/>
    <n v="174"/>
    <n v="38.75"/>
    <n v="0"/>
    <n v="0"/>
    <n v="0"/>
    <n v="0"/>
    <n v="0"/>
    <n v="477.75"/>
    <n v="0"/>
  </r>
  <r>
    <x v="0"/>
    <x v="1"/>
    <x v="0"/>
    <s v="5821200"/>
    <n v="749510"/>
    <s v="RICE Rewards"/>
    <s v="Gen Surg-SA-Shared Svc"/>
    <x v="0"/>
    <n v="5100"/>
    <n v="0"/>
    <n v="0"/>
    <n v="0"/>
    <n v="0"/>
    <n v="0"/>
    <n v="0"/>
    <n v="0"/>
    <n v="0"/>
    <n v="0"/>
    <n v="0"/>
    <n v="0"/>
    <n v="315"/>
    <n v="315"/>
    <n v="-315"/>
  </r>
  <r>
    <x v="0"/>
    <x v="1"/>
    <x v="0"/>
    <s v="5821200"/>
    <n v="749550"/>
    <s v="Cash Over/Short"/>
    <s v="Gen Surg-SA-Shared Svc"/>
    <x v="0"/>
    <m/>
    <n v="0"/>
    <n v="0"/>
    <n v="10"/>
    <n v="0"/>
    <n v="0"/>
    <n v="0"/>
    <n v="0"/>
    <n v="0"/>
    <n v="-10"/>
    <n v="0"/>
    <n v="0"/>
    <n v="0"/>
    <n v="0"/>
    <n v="0"/>
  </r>
  <r>
    <x v="5"/>
    <x v="1"/>
    <x v="0"/>
    <s v="5822200"/>
    <n v="700014"/>
    <s v="Salaries-Management-Productive"/>
    <s v="Tacoma Neurology"/>
    <x v="0"/>
    <m/>
    <n v="0"/>
    <n v="0"/>
    <n v="2321.4"/>
    <n v="-773.8"/>
    <n v="0"/>
    <n v="0"/>
    <n v="0"/>
    <n v="0"/>
    <n v="0"/>
    <n v="0"/>
    <n v="0"/>
    <n v="0"/>
    <n v="1547.6000000000001"/>
    <n v="0"/>
  </r>
  <r>
    <x v="5"/>
    <x v="1"/>
    <x v="0"/>
    <s v="5822200"/>
    <n v="700018"/>
    <s v="Salaries-Supervisory-Productive"/>
    <s v="Tacoma Neurology"/>
    <x v="0"/>
    <m/>
    <n v="699.07"/>
    <n v="759.41"/>
    <n v="673.6"/>
    <n v="454.54"/>
    <n v="69.22"/>
    <n v="1072.8399999999999"/>
    <n v="797.21"/>
    <n v="693.18"/>
    <n v="727.84"/>
    <n v="2905.06"/>
    <n v="3508.69"/>
    <n v="2016.93"/>
    <n v="14377.59"/>
    <n v="1491.76"/>
  </r>
  <r>
    <x v="5"/>
    <x v="1"/>
    <x v="0"/>
    <s v="5822200"/>
    <n v="700026"/>
    <s v="Salaries-RN-Productive"/>
    <s v="Tacoma Neurology"/>
    <x v="0"/>
    <m/>
    <n v="0"/>
    <n v="0"/>
    <n v="0"/>
    <n v="0"/>
    <n v="0"/>
    <n v="0"/>
    <n v="0"/>
    <n v="370.64"/>
    <n v="-105.89"/>
    <n v="0"/>
    <n v="573.62"/>
    <n v="-286.81"/>
    <n v="551.55999999999995"/>
    <n v="860.43000000000006"/>
  </r>
  <r>
    <x v="5"/>
    <x v="1"/>
    <x v="0"/>
    <s v="5822200"/>
    <n v="700030"/>
    <s v="Salaries-LPN-Productive"/>
    <s v="Tacoma Neurology"/>
    <x v="0"/>
    <m/>
    <n v="0"/>
    <n v="0"/>
    <n v="0"/>
    <n v="0"/>
    <n v="0"/>
    <n v="0"/>
    <n v="0"/>
    <n v="0"/>
    <n v="0"/>
    <n v="395.49"/>
    <n v="397.54"/>
    <n v="-198.77"/>
    <n v="594.26"/>
    <n v="596.31000000000006"/>
  </r>
  <r>
    <x v="5"/>
    <x v="1"/>
    <x v="0"/>
    <s v="5822200"/>
    <n v="700030"/>
    <s v="Salaries-LPN-OT"/>
    <s v="Tacoma Neurology"/>
    <x v="0"/>
    <n v="1000"/>
    <n v="0"/>
    <n v="0"/>
    <n v="0"/>
    <n v="0"/>
    <n v="0"/>
    <n v="0"/>
    <n v="0"/>
    <n v="0"/>
    <n v="0"/>
    <n v="571.65"/>
    <n v="-235.38"/>
    <n v="0"/>
    <n v="336.27"/>
    <n v="-235.38"/>
  </r>
  <r>
    <x v="5"/>
    <x v="1"/>
    <x v="0"/>
    <s v="5822200"/>
    <n v="700030"/>
    <s v="Salaries-LPN-Other"/>
    <s v="Tacoma Neurology"/>
    <x v="0"/>
    <n v="2000"/>
    <n v="0"/>
    <n v="0"/>
    <n v="0"/>
    <n v="0"/>
    <n v="0"/>
    <n v="0"/>
    <n v="0"/>
    <n v="0"/>
    <n v="0"/>
    <n v="33.18"/>
    <n v="10.37"/>
    <n v="-8.51"/>
    <n v="35.04"/>
    <n v="18.88"/>
  </r>
  <r>
    <x v="5"/>
    <x v="1"/>
    <x v="0"/>
    <s v="5822200"/>
    <n v="700032"/>
    <s v="Salaries-Other Pat Care Providers-Productive"/>
    <s v="Tacoma Neurology"/>
    <x v="0"/>
    <m/>
    <n v="0"/>
    <n v="0"/>
    <n v="0"/>
    <n v="0"/>
    <n v="0"/>
    <n v="0"/>
    <n v="0"/>
    <n v="0"/>
    <n v="1524.45"/>
    <n v="1964.76"/>
    <n v="1364.66"/>
    <n v="-594.63"/>
    <n v="4259.24"/>
    <n v="1959.29"/>
  </r>
  <r>
    <x v="5"/>
    <x v="1"/>
    <x v="0"/>
    <s v="5822200"/>
    <n v="700032"/>
    <s v="Salaries-Other Pat Care Providers-OT"/>
    <s v="Tacoma Neurology"/>
    <x v="0"/>
    <n v="1000"/>
    <n v="0"/>
    <n v="0"/>
    <n v="0"/>
    <n v="0"/>
    <n v="0"/>
    <n v="0"/>
    <n v="0"/>
    <n v="0"/>
    <n v="44.26"/>
    <n v="53.99"/>
    <n v="41.94"/>
    <n v="0"/>
    <n v="140.19"/>
    <n v="41.94"/>
  </r>
  <r>
    <x v="5"/>
    <x v="1"/>
    <x v="0"/>
    <s v="5822200"/>
    <n v="700032"/>
    <s v="Salaries-Other Pat Care Providers-Other"/>
    <s v="Tacoma Neurology"/>
    <x v="0"/>
    <n v="2000"/>
    <n v="0"/>
    <n v="0"/>
    <n v="0"/>
    <n v="0"/>
    <n v="0"/>
    <n v="0"/>
    <n v="0"/>
    <n v="0"/>
    <n v="66.88"/>
    <n v="87.92"/>
    <n v="62.28"/>
    <n v="-26.29"/>
    <n v="190.79000000000002"/>
    <n v="88.57"/>
  </r>
  <r>
    <x v="5"/>
    <x v="1"/>
    <x v="0"/>
    <s v="5822200"/>
    <n v="700038"/>
    <s v="Salaries-Service/Support-Productive"/>
    <s v="Tacoma Neurology"/>
    <x v="0"/>
    <m/>
    <n v="11397.75"/>
    <n v="9960.65"/>
    <n v="4025.25"/>
    <n v="7689.86"/>
    <n v="7254.48"/>
    <n v="4869.75"/>
    <n v="7249.28"/>
    <n v="7523.11"/>
    <n v="7296.68"/>
    <n v="7044.86"/>
    <n v="6713.24"/>
    <n v="4082.48"/>
    <n v="85107.39"/>
    <n v="2630.7599999999998"/>
  </r>
  <r>
    <x v="5"/>
    <x v="1"/>
    <x v="0"/>
    <s v="5822200"/>
    <n v="700038"/>
    <s v="Salaries-Service/Support-OT"/>
    <s v="Tacoma Neurology"/>
    <x v="0"/>
    <n v="1000"/>
    <n v="53.64"/>
    <n v="518.73"/>
    <n v="36.93"/>
    <n v="120.28"/>
    <n v="-33.67"/>
    <n v="201.06"/>
    <n v="1127.25"/>
    <n v="83.96"/>
    <n v="119.48"/>
    <n v="146.53"/>
    <n v="337.39"/>
    <n v="88.25"/>
    <n v="2799.83"/>
    <n v="249.14"/>
  </r>
  <r>
    <x v="5"/>
    <x v="1"/>
    <x v="0"/>
    <s v="5822200"/>
    <n v="700038"/>
    <s v="Salaries-Service/Support-Other"/>
    <s v="Tacoma Neurology"/>
    <x v="0"/>
    <n v="2000"/>
    <n v="70"/>
    <n v="37.22"/>
    <n v="1.72"/>
    <n v="31.11"/>
    <n v="-9.24"/>
    <n v="30"/>
    <n v="35.56"/>
    <n v="73.92"/>
    <n v="12.22"/>
    <n v="0"/>
    <n v="0"/>
    <n v="40.549999999999997"/>
    <n v="323.06000000000006"/>
    <n v="-40.549999999999997"/>
  </r>
  <r>
    <x v="5"/>
    <x v="1"/>
    <x v="0"/>
    <s v="5822200"/>
    <n v="700078"/>
    <s v="Salaries-Service/Support-Non-productive"/>
    <s v="Tacoma Neurology"/>
    <x v="0"/>
    <m/>
    <n v="1636.53"/>
    <n v="1231.6600000000001"/>
    <n v="180.96"/>
    <n v="973.65"/>
    <n v="581.34"/>
    <n v="1843.53"/>
    <n v="271.97000000000003"/>
    <n v="403.24"/>
    <n v="19.18"/>
    <n v="144.07"/>
    <n v="919.96"/>
    <n v="-142.62"/>
    <n v="8063.47"/>
    <n v="1062.58"/>
  </r>
  <r>
    <x v="5"/>
    <x v="1"/>
    <x v="0"/>
    <s v="5822200"/>
    <n v="700078"/>
    <s v="Salaries-Service/Support-NonProd-Other"/>
    <s v="Tacoma Neurology"/>
    <x v="0"/>
    <n v="2000"/>
    <n v="0"/>
    <n v="0"/>
    <n v="0"/>
    <n v="0"/>
    <n v="415.41"/>
    <n v="-11.31"/>
    <n v="0"/>
    <n v="-392.79"/>
    <n v="0"/>
    <n v="0"/>
    <n v="0"/>
    <n v="0"/>
    <n v="11.310000000000002"/>
    <n v="0"/>
  </r>
  <r>
    <x v="5"/>
    <x v="1"/>
    <x v="0"/>
    <s v="5822200"/>
    <n v="700084"/>
    <s v="Accrued PTO"/>
    <s v="Tacoma Neurology"/>
    <x v="0"/>
    <m/>
    <n v="-691.65"/>
    <n v="-964.07"/>
    <n v="307.86"/>
    <n v="-137.53"/>
    <n v="-140.91999999999999"/>
    <n v="-960.54"/>
    <n v="378.03"/>
    <n v="556.37"/>
    <n v="6386.81"/>
    <n v="636.55999999999995"/>
    <n v="588.39"/>
    <n v="226.37"/>
    <n v="6185.68"/>
    <n v="362.02"/>
  </r>
  <r>
    <x v="6"/>
    <x v="1"/>
    <x v="0"/>
    <s v="5822200"/>
    <n v="713010"/>
    <s v="Benefits-FICA/Medicare"/>
    <s v="Tacoma Neurology"/>
    <x v="0"/>
    <m/>
    <n v="980.82"/>
    <n v="873.7"/>
    <n v="510.67"/>
    <n v="598.48"/>
    <n v="641.49"/>
    <n v="559.53"/>
    <n v="685.62"/>
    <n v="656.61"/>
    <n v="707.16"/>
    <n v="970.65"/>
    <n v="1000.34"/>
    <n v="374.83"/>
    <n v="8559.9"/>
    <n v="625.51"/>
  </r>
  <r>
    <x v="6"/>
    <x v="1"/>
    <x v="0"/>
    <s v="5822200"/>
    <n v="713090"/>
    <s v="Benefits-Allocated Amounts"/>
    <s v="Tacoma Neurology"/>
    <x v="0"/>
    <m/>
    <n v="3875.49"/>
    <n v="2803.65"/>
    <n v="2064.96"/>
    <n v="2431.23"/>
    <n v="2254.1999999999998"/>
    <n v="2156.13"/>
    <n v="3088.44"/>
    <n v="2884.18"/>
    <n v="3362.62"/>
    <n v="3543.1"/>
    <n v="3623.89"/>
    <n v="2232.34"/>
    <n v="34320.229999999996"/>
    <n v="1391.5499999999997"/>
  </r>
  <r>
    <x v="6"/>
    <x v="1"/>
    <x v="0"/>
    <s v="5822200"/>
    <n v="713096"/>
    <s v="Employee Recognition"/>
    <s v="Tacoma Neurology"/>
    <x v="0"/>
    <n v="1017"/>
    <n v="0"/>
    <n v="0"/>
    <n v="0"/>
    <n v="0"/>
    <n v="0"/>
    <n v="0"/>
    <n v="0"/>
    <n v="0"/>
    <n v="0"/>
    <n v="90"/>
    <n v="0"/>
    <n v="0"/>
    <n v="90"/>
    <n v="0"/>
  </r>
  <r>
    <x v="7"/>
    <x v="1"/>
    <x v="0"/>
    <s v="5822200"/>
    <n v="718010"/>
    <s v="Media/Print Advertising"/>
    <s v="Tacoma Neurology"/>
    <x v="0"/>
    <n v="1004"/>
    <n v="0"/>
    <n v="73.260000000000005"/>
    <n v="83.19"/>
    <n v="947.68"/>
    <n v="0"/>
    <n v="0"/>
    <n v="0"/>
    <n v="0"/>
    <n v="0"/>
    <n v="0"/>
    <n v="94.88"/>
    <n v="-9.31"/>
    <n v="1189.6999999999998"/>
    <n v="104.19"/>
  </r>
  <r>
    <x v="7"/>
    <x v="1"/>
    <x v="0"/>
    <s v="5822200"/>
    <n v="718050"/>
    <s v="Contract Svcs-Other"/>
    <s v="Tacoma Neurology"/>
    <x v="0"/>
    <m/>
    <n v="0"/>
    <n v="12.44"/>
    <n v="95.84"/>
    <n v="77.22"/>
    <n v="57.44"/>
    <n v="12.44"/>
    <n v="83.4"/>
    <n v="95.84"/>
    <n v="0"/>
    <n v="2379.9499999999998"/>
    <n v="0"/>
    <n v="0"/>
    <n v="2814.5699999999997"/>
    <n v="0"/>
  </r>
  <r>
    <x v="7"/>
    <x v="1"/>
    <x v="0"/>
    <s v="5822200"/>
    <n v="718050"/>
    <s v="Miscellaneous Purchased Svcs"/>
    <s v="Tacoma Neurology"/>
    <x v="0"/>
    <n v="1020"/>
    <n v="0"/>
    <n v="49.46"/>
    <n v="0"/>
    <n v="17.21"/>
    <n v="0"/>
    <n v="0"/>
    <n v="0"/>
    <n v="0"/>
    <n v="0"/>
    <n v="0"/>
    <n v="0"/>
    <n v="0"/>
    <n v="66.67"/>
    <n v="0"/>
  </r>
  <r>
    <x v="7"/>
    <x v="1"/>
    <x v="0"/>
    <s v="5822200"/>
    <n v="718050"/>
    <s v="Translation Services"/>
    <s v="Tacoma Neurology"/>
    <x v="0"/>
    <n v="1025"/>
    <n v="264"/>
    <n v="0"/>
    <n v="0"/>
    <n v="405.5"/>
    <n v="0"/>
    <n v="0"/>
    <n v="0"/>
    <n v="0"/>
    <n v="1132"/>
    <n v="392"/>
    <n v="560"/>
    <n v="0"/>
    <n v="2753.5"/>
    <n v="560"/>
  </r>
  <r>
    <x v="7"/>
    <x v="1"/>
    <x v="0"/>
    <s v="5822200"/>
    <n v="718050"/>
    <s v="Contract Management--Linen"/>
    <s v="Tacoma Neurology"/>
    <x v="0"/>
    <n v="1026"/>
    <n v="69.239999999999995"/>
    <n v="0"/>
    <n v="0"/>
    <n v="183.45"/>
    <n v="0"/>
    <n v="0"/>
    <n v="0"/>
    <n v="0"/>
    <n v="0"/>
    <n v="0"/>
    <n v="0"/>
    <n v="0"/>
    <n v="252.69"/>
    <n v="0"/>
  </r>
  <r>
    <x v="7"/>
    <x v="1"/>
    <x v="0"/>
    <s v="5822200"/>
    <n v="718050"/>
    <s v="Purchased Srvcs--Medical Waste"/>
    <s v="Tacoma Neurology"/>
    <x v="0"/>
    <n v="1027"/>
    <n v="0"/>
    <n v="0"/>
    <n v="0"/>
    <n v="348.05"/>
    <n v="0"/>
    <n v="0"/>
    <n v="0"/>
    <n v="0"/>
    <n v="0"/>
    <n v="0"/>
    <n v="0"/>
    <n v="0"/>
    <n v="348.05"/>
    <n v="0"/>
  </r>
  <r>
    <x v="7"/>
    <x v="1"/>
    <x v="0"/>
    <s v="5822200"/>
    <n v="718070"/>
    <s v="Contract Srvcs-CHI Clinical Engineering"/>
    <s v="Tacoma Neurology"/>
    <x v="0"/>
    <m/>
    <n v="0"/>
    <n v="0"/>
    <n v="0"/>
    <n v="0"/>
    <n v="0"/>
    <n v="0"/>
    <n v="0"/>
    <n v="0"/>
    <n v="0"/>
    <n v="0"/>
    <n v="21"/>
    <n v="8.26"/>
    <n v="29.259999999999998"/>
    <n v="12.74"/>
  </r>
  <r>
    <x v="11"/>
    <x v="1"/>
    <x v="0"/>
    <s v="5822200"/>
    <n v="721250"/>
    <s v="Supplies-Pharmacy Drugs - Billable"/>
    <s v="Tacoma Neurology"/>
    <x v="0"/>
    <m/>
    <n v="0"/>
    <n v="0"/>
    <n v="0"/>
    <n v="0"/>
    <n v="0"/>
    <n v="0"/>
    <n v="0"/>
    <n v="0"/>
    <n v="0"/>
    <n v="0"/>
    <n v="-49305.83"/>
    <n v="0"/>
    <n v="-49305.83"/>
    <n v="-49305.83"/>
  </r>
  <r>
    <x v="11"/>
    <x v="1"/>
    <x v="0"/>
    <s v="5822200"/>
    <n v="721410"/>
    <s v="Supplies-Medical - Nonbillable"/>
    <s v="Tacoma Neurology"/>
    <x v="0"/>
    <m/>
    <n v="97.07"/>
    <n v="73.239999999999995"/>
    <n v="0"/>
    <n v="8560.4500000000007"/>
    <n v="0"/>
    <n v="0"/>
    <n v="1859.87"/>
    <n v="0"/>
    <n v="1481.51"/>
    <n v="0"/>
    <n v="0"/>
    <n v="3715.53"/>
    <n v="15787.670000000002"/>
    <n v="-3715.53"/>
  </r>
  <r>
    <x v="11"/>
    <x v="1"/>
    <x v="0"/>
    <s v="5822200"/>
    <n v="721810"/>
    <s v="Supplies-Dietary/Cafeteria"/>
    <s v="Tacoma Neurology"/>
    <x v="0"/>
    <m/>
    <n v="0"/>
    <n v="28.88"/>
    <n v="0"/>
    <n v="81.510000000000005"/>
    <n v="37.79"/>
    <n v="0"/>
    <n v="0"/>
    <n v="0"/>
    <n v="0"/>
    <n v="0"/>
    <n v="0"/>
    <n v="0"/>
    <n v="148.18"/>
    <n v="0"/>
  </r>
  <r>
    <x v="11"/>
    <x v="1"/>
    <x v="0"/>
    <s v="5822200"/>
    <n v="721830"/>
    <s v="Supplies-Office"/>
    <s v="Tacoma Neurology"/>
    <x v="0"/>
    <m/>
    <n v="0"/>
    <n v="0"/>
    <n v="108.71"/>
    <n v="329.64"/>
    <n v="0"/>
    <n v="0"/>
    <n v="104.54"/>
    <n v="0"/>
    <n v="74.25"/>
    <n v="0"/>
    <n v="0"/>
    <n v="0"/>
    <n v="617.14"/>
    <n v="0"/>
  </r>
  <r>
    <x v="11"/>
    <x v="1"/>
    <x v="0"/>
    <s v="5822200"/>
    <n v="722000"/>
    <s v="Supplies-Freight Expense"/>
    <s v="Tacoma Neurology"/>
    <x v="0"/>
    <m/>
    <n v="0"/>
    <n v="0"/>
    <n v="0"/>
    <n v="0"/>
    <n v="0"/>
    <n v="0"/>
    <n v="0"/>
    <n v="0"/>
    <n v="0"/>
    <n v="0"/>
    <n v="0"/>
    <n v="30"/>
    <n v="30"/>
    <n v="-30"/>
  </r>
  <r>
    <x v="12"/>
    <x v="1"/>
    <x v="0"/>
    <s v="5822200"/>
    <n v="730010"/>
    <s v="Rental and Leases-Building (DO NOT USE)"/>
    <s v="Tacoma Neurology"/>
    <x v="0"/>
    <m/>
    <n v="7951.12"/>
    <n v="7951.12"/>
    <n v="7951.12"/>
    <n v="7951.12"/>
    <n v="7951.12"/>
    <n v="7951.35"/>
    <n v="8110.14"/>
    <n v="8110.14"/>
    <n v="8110.14"/>
    <n v="8098.11"/>
    <n v="8098.11"/>
    <n v="0"/>
    <n v="88233.59"/>
    <n v="8098.11"/>
  </r>
  <r>
    <x v="12"/>
    <x v="1"/>
    <x v="0"/>
    <s v="5822200"/>
    <n v="730010"/>
    <s v="Rental-Common Area Maint (DO NOT USE)"/>
    <s v="Tacoma Neurology"/>
    <x v="0"/>
    <n v="2200"/>
    <n v="0"/>
    <n v="0"/>
    <n v="0"/>
    <n v="0"/>
    <n v="0"/>
    <n v="-0.23"/>
    <n v="0"/>
    <n v="0"/>
    <n v="0"/>
    <n v="-1830.52"/>
    <n v="0"/>
    <n v="0"/>
    <n v="-1830.75"/>
    <n v="0"/>
  </r>
  <r>
    <x v="12"/>
    <x v="1"/>
    <x v="0"/>
    <s v="5822200"/>
    <n v="730040"/>
    <s v="LT Lease-Real Estate"/>
    <s v="Tacoma Neurology"/>
    <x v="0"/>
    <m/>
    <n v="0"/>
    <n v="0"/>
    <n v="0"/>
    <n v="0"/>
    <n v="0"/>
    <n v="0"/>
    <n v="0"/>
    <n v="0"/>
    <n v="0"/>
    <n v="0"/>
    <n v="0"/>
    <n v="8098.11"/>
    <n v="8098.11"/>
    <n v="-8098.11"/>
  </r>
  <r>
    <x v="16"/>
    <x v="1"/>
    <x v="0"/>
    <s v="5822200"/>
    <n v="732030"/>
    <s v="Repairs---Other"/>
    <s v="Tacoma Neurology"/>
    <x v="0"/>
    <m/>
    <n v="0"/>
    <n v="0"/>
    <n v="0"/>
    <n v="0"/>
    <n v="0"/>
    <n v="0"/>
    <n v="372.26"/>
    <n v="0"/>
    <n v="0"/>
    <n v="0"/>
    <n v="0"/>
    <n v="0"/>
    <n v="372.26"/>
    <n v="0"/>
  </r>
  <r>
    <x v="13"/>
    <x v="1"/>
    <x v="0"/>
    <s v="5822200"/>
    <n v="735070"/>
    <s v="Depreciation-Movable Equipment"/>
    <s v="Tacoma Neurology"/>
    <x v="0"/>
    <m/>
    <n v="4007.83"/>
    <n v="4007.82"/>
    <n v="4007.85"/>
    <n v="4007.83"/>
    <n v="2032.49"/>
    <n v="1974.45"/>
    <n v="1741.01"/>
    <n v="1740.96"/>
    <n v="1741.05"/>
    <n v="1740.95"/>
    <n v="1741.07"/>
    <n v="1740.94"/>
    <n v="30484.249999999996"/>
    <n v="0.12999999999988177"/>
  </r>
  <r>
    <x v="0"/>
    <x v="1"/>
    <x v="0"/>
    <s v="5822200"/>
    <n v="742040"/>
    <s v="Freight-Other"/>
    <s v="Tacoma Neurology"/>
    <x v="0"/>
    <m/>
    <n v="0"/>
    <n v="0"/>
    <n v="0"/>
    <n v="0"/>
    <n v="0"/>
    <n v="0"/>
    <n v="0"/>
    <n v="0"/>
    <n v="0"/>
    <n v="0"/>
    <n v="0"/>
    <n v="9.31"/>
    <n v="9.31"/>
    <n v="-9.31"/>
  </r>
  <r>
    <x v="0"/>
    <x v="1"/>
    <x v="0"/>
    <s v="5822200"/>
    <n v="749510"/>
    <s v="Licenses"/>
    <s v="Tacoma Neurology"/>
    <x v="0"/>
    <n v="1002"/>
    <n v="0"/>
    <n v="0"/>
    <n v="265"/>
    <n v="0"/>
    <n v="0"/>
    <n v="205"/>
    <n v="0"/>
    <n v="0"/>
    <n v="0"/>
    <n v="0"/>
    <n v="0"/>
    <n v="0"/>
    <n v="470"/>
    <n v="0"/>
  </r>
  <r>
    <x v="0"/>
    <x v="1"/>
    <x v="0"/>
    <s v="5822200"/>
    <n v="749510"/>
    <s v="RICE Rewards"/>
    <s v="Tacoma Neurology"/>
    <x v="0"/>
    <n v="5100"/>
    <n v="0"/>
    <n v="0"/>
    <n v="0"/>
    <n v="0"/>
    <n v="0"/>
    <n v="0"/>
    <n v="0"/>
    <n v="0"/>
    <n v="0"/>
    <n v="218.96"/>
    <n v="0"/>
    <n v="417.2"/>
    <n v="636.16"/>
    <n v="-417.2"/>
  </r>
  <r>
    <x v="5"/>
    <x v="1"/>
    <x v="0"/>
    <s v="5823200"/>
    <n v="700014"/>
    <s v="Salaries-Management-Productive"/>
    <s v="Lakewood Neurology"/>
    <x v="0"/>
    <m/>
    <n v="500.2"/>
    <n v="676.76"/>
    <n v="-147.12"/>
    <n v="839.71"/>
    <n v="363.65"/>
    <n v="787.9"/>
    <n v="546.29999999999995"/>
    <n v="606.96"/>
    <n v="637.32000000000005"/>
    <n v="667.64"/>
    <n v="546.28"/>
    <n v="303.48"/>
    <n v="6329.08"/>
    <n v="242.79999999999995"/>
  </r>
  <r>
    <x v="5"/>
    <x v="1"/>
    <x v="0"/>
    <s v="5823200"/>
    <n v="700026"/>
    <s v="Salaries-RN-Productive"/>
    <s v="Lakewood Neurology"/>
    <x v="0"/>
    <m/>
    <n v="283.7"/>
    <n v="1058.1400000000001"/>
    <n v="-245.49"/>
    <n v="0"/>
    <n v="0"/>
    <n v="0"/>
    <n v="0"/>
    <n v="0"/>
    <n v="0"/>
    <n v="0"/>
    <n v="0"/>
    <n v="0"/>
    <n v="1096.3500000000001"/>
    <n v="0"/>
  </r>
  <r>
    <x v="5"/>
    <x v="1"/>
    <x v="0"/>
    <s v="5823200"/>
    <n v="700026"/>
    <s v="Salaries-RN-Other"/>
    <s v="Lakewood Neurology"/>
    <x v="0"/>
    <n v="2000"/>
    <n v="0"/>
    <n v="31.25"/>
    <n v="-7.25"/>
    <n v="0"/>
    <n v="0"/>
    <n v="0"/>
    <n v="0"/>
    <n v="0"/>
    <n v="0"/>
    <n v="0"/>
    <n v="0"/>
    <n v="0"/>
    <n v="24"/>
    <n v="0"/>
  </r>
  <r>
    <x v="5"/>
    <x v="1"/>
    <x v="0"/>
    <s v="5823200"/>
    <n v="700030"/>
    <s v="Salaries-LPN-Productive"/>
    <s v="Lakewood Neurology"/>
    <x v="0"/>
    <m/>
    <n v="2398.8200000000002"/>
    <n v="4096.96"/>
    <n v="-900.9"/>
    <n v="0"/>
    <n v="0"/>
    <n v="0"/>
    <n v="0"/>
    <n v="0"/>
    <n v="0"/>
    <n v="0"/>
    <n v="0"/>
    <n v="0"/>
    <n v="5594.880000000001"/>
    <n v="0"/>
  </r>
  <r>
    <x v="5"/>
    <x v="1"/>
    <x v="0"/>
    <s v="5823200"/>
    <n v="700030"/>
    <s v="Salaries-LPN-OT"/>
    <s v="Lakewood Neurology"/>
    <x v="0"/>
    <n v="1000"/>
    <n v="422.57"/>
    <n v="236.03"/>
    <n v="-77.599999999999994"/>
    <n v="0"/>
    <n v="0"/>
    <n v="0"/>
    <n v="0"/>
    <n v="0"/>
    <n v="0"/>
    <n v="0"/>
    <n v="0"/>
    <n v="0"/>
    <n v="581"/>
    <n v="0"/>
  </r>
  <r>
    <x v="5"/>
    <x v="1"/>
    <x v="0"/>
    <s v="5823200"/>
    <n v="700030"/>
    <s v="Salaries-LPN-Other"/>
    <s v="Lakewood Neurology"/>
    <x v="0"/>
    <n v="2000"/>
    <n v="0"/>
    <n v="24.37"/>
    <n v="-8.1199999999999992"/>
    <n v="0"/>
    <n v="0"/>
    <n v="0"/>
    <n v="0"/>
    <n v="0"/>
    <n v="0"/>
    <n v="0"/>
    <n v="0"/>
    <n v="0"/>
    <n v="16.25"/>
    <n v="0"/>
  </r>
  <r>
    <x v="5"/>
    <x v="1"/>
    <x v="0"/>
    <s v="5823200"/>
    <n v="700032"/>
    <s v="Salaries-Other Pat Care Providers-Productive"/>
    <s v="Lakewood Neurology"/>
    <x v="0"/>
    <m/>
    <n v="0"/>
    <n v="0"/>
    <n v="0"/>
    <n v="169.41"/>
    <n v="0"/>
    <n v="2166.9899999999998"/>
    <n v="3352.21"/>
    <n v="-1.74"/>
    <n v="0"/>
    <n v="0"/>
    <n v="0"/>
    <n v="0"/>
    <n v="5686.87"/>
    <n v="0"/>
  </r>
  <r>
    <x v="5"/>
    <x v="1"/>
    <x v="0"/>
    <s v="5823200"/>
    <n v="700032"/>
    <s v="Salaries-Other Pat Care Providers-OT"/>
    <s v="Lakewood Neurology"/>
    <x v="0"/>
    <n v="1000"/>
    <n v="0"/>
    <n v="0"/>
    <n v="0"/>
    <n v="0"/>
    <n v="0"/>
    <n v="17.68"/>
    <n v="30.09"/>
    <n v="-3.53"/>
    <n v="0"/>
    <n v="0"/>
    <n v="0"/>
    <n v="0"/>
    <n v="44.239999999999995"/>
    <n v="0"/>
  </r>
  <r>
    <x v="5"/>
    <x v="1"/>
    <x v="0"/>
    <s v="5823200"/>
    <n v="700032"/>
    <s v="Salaries-Other Pat Care Providers-Other"/>
    <s v="Lakewood Neurology"/>
    <x v="0"/>
    <n v="2000"/>
    <n v="0"/>
    <n v="0"/>
    <n v="0"/>
    <n v="8.5"/>
    <n v="0"/>
    <n v="96.07"/>
    <n v="145.85"/>
    <n v="-0.44"/>
    <n v="0"/>
    <n v="0"/>
    <n v="0"/>
    <n v="0"/>
    <n v="249.98"/>
    <n v="0"/>
  </r>
  <r>
    <x v="5"/>
    <x v="1"/>
    <x v="0"/>
    <s v="5823200"/>
    <n v="700038"/>
    <s v="Salaries-Service/Support-Productive"/>
    <s v="Lakewood Neurology"/>
    <x v="0"/>
    <m/>
    <n v="3026.79"/>
    <n v="2845.94"/>
    <n v="2958.25"/>
    <n v="3575.52"/>
    <n v="3273.96"/>
    <n v="2307.31"/>
    <n v="2977.26"/>
    <n v="5318.24"/>
    <n v="5983.45"/>
    <n v="6502.8"/>
    <n v="6070.44"/>
    <n v="1554.84"/>
    <n v="46394.799999999996"/>
    <n v="4515.5999999999995"/>
  </r>
  <r>
    <x v="5"/>
    <x v="1"/>
    <x v="0"/>
    <s v="5823200"/>
    <n v="700038"/>
    <s v="Salaries-Service/Support-OT"/>
    <s v="Lakewood Neurology"/>
    <x v="0"/>
    <n v="1000"/>
    <n v="25.41"/>
    <n v="31.77"/>
    <n v="-7.2"/>
    <n v="60.96"/>
    <n v="11.67"/>
    <n v="39.35"/>
    <n v="32.119999999999997"/>
    <n v="23.67"/>
    <n v="252.67"/>
    <n v="274.22000000000003"/>
    <n v="19.29"/>
    <n v="-20.67"/>
    <n v="743.26"/>
    <n v="39.96"/>
  </r>
  <r>
    <x v="5"/>
    <x v="1"/>
    <x v="0"/>
    <s v="5823200"/>
    <n v="700038"/>
    <s v="Salaries-Service/Support-Other"/>
    <s v="Lakewood Neurology"/>
    <x v="0"/>
    <n v="2000"/>
    <n v="0"/>
    <n v="0"/>
    <n v="17.5"/>
    <n v="0"/>
    <n v="0"/>
    <n v="0"/>
    <n v="0"/>
    <n v="30.04"/>
    <n v="0"/>
    <n v="0"/>
    <n v="0"/>
    <n v="0"/>
    <n v="47.54"/>
    <n v="0"/>
  </r>
  <r>
    <x v="5"/>
    <x v="1"/>
    <x v="0"/>
    <s v="5823200"/>
    <n v="700078"/>
    <s v="Salaries-Service/Support-Non-productive"/>
    <s v="Lakewood Neurology"/>
    <x v="0"/>
    <m/>
    <n v="499.2"/>
    <n v="662.4"/>
    <n v="460.8"/>
    <n v="-9.6"/>
    <n v="136.02000000000001"/>
    <n v="956.92"/>
    <n v="613.05999999999995"/>
    <n v="239.34"/>
    <n v="441.72"/>
    <n v="165.12"/>
    <n v="854.54"/>
    <n v="1366.13"/>
    <n v="6385.65"/>
    <n v="-511.59000000000015"/>
  </r>
  <r>
    <x v="5"/>
    <x v="1"/>
    <x v="0"/>
    <s v="5823200"/>
    <n v="700078"/>
    <s v="Salaries-Service/Support-NonProd-Other"/>
    <s v="Lakewood Neurology"/>
    <x v="0"/>
    <n v="2000"/>
    <n v="0"/>
    <n v="0"/>
    <n v="9.6"/>
    <n v="0"/>
    <n v="0"/>
    <n v="0"/>
    <n v="0"/>
    <n v="0"/>
    <n v="0"/>
    <n v="0"/>
    <n v="0"/>
    <n v="0"/>
    <n v="9.6"/>
    <n v="0"/>
  </r>
  <r>
    <x v="5"/>
    <x v="1"/>
    <x v="0"/>
    <s v="5823200"/>
    <n v="700084"/>
    <s v="Accrued PTO"/>
    <s v="Lakewood Neurology"/>
    <x v="0"/>
    <m/>
    <n v="-142.61000000000001"/>
    <n v="-175.48"/>
    <n v="-398.98"/>
    <n v="299.70999999999998"/>
    <n v="219.95"/>
    <n v="-514.70000000000005"/>
    <n v="-302.92"/>
    <n v="191.87"/>
    <n v="315.38"/>
    <n v="322.33999999999997"/>
    <n v="132.47999999999999"/>
    <n v="-398.42"/>
    <n v="-451.38000000000022"/>
    <n v="530.9"/>
  </r>
  <r>
    <x v="6"/>
    <x v="1"/>
    <x v="0"/>
    <s v="5823200"/>
    <n v="713010"/>
    <s v="Benefits-FICA/Medicare"/>
    <s v="Lakewood Neurology"/>
    <x v="0"/>
    <m/>
    <n v="529.83000000000004"/>
    <n v="710.42"/>
    <n v="160.28"/>
    <n v="351.24"/>
    <n v="287.26"/>
    <n v="473.92"/>
    <n v="574.78"/>
    <n v="458.65"/>
    <n v="537.09"/>
    <n v="558.54"/>
    <n v="549.26"/>
    <n v="232.34"/>
    <n v="5423.6100000000006"/>
    <n v="316.91999999999996"/>
  </r>
  <r>
    <x v="6"/>
    <x v="1"/>
    <x v="0"/>
    <s v="5823200"/>
    <n v="713090"/>
    <s v="Benefits-Allocated Amounts"/>
    <s v="Lakewood Neurology"/>
    <x v="0"/>
    <m/>
    <n v="1990.38"/>
    <n v="2357.71"/>
    <n v="1134.3599999999999"/>
    <n v="1240.8599999999999"/>
    <n v="1231"/>
    <n v="1521.93"/>
    <n v="2258.9299999999998"/>
    <n v="2173.4899999999998"/>
    <n v="2549.62"/>
    <n v="2300.81"/>
    <n v="2477.04"/>
    <n v="1335.38"/>
    <n v="22571.510000000002"/>
    <n v="1141.6599999999999"/>
  </r>
  <r>
    <x v="7"/>
    <x v="1"/>
    <x v="0"/>
    <s v="5823200"/>
    <n v="718010"/>
    <s v="Media/Print Advertising"/>
    <s v="Lakewood Neurology"/>
    <x v="0"/>
    <n v="1004"/>
    <n v="0"/>
    <n v="0"/>
    <n v="408.08"/>
    <n v="518.55999999999995"/>
    <n v="0"/>
    <n v="0"/>
    <n v="0"/>
    <n v="0"/>
    <n v="0"/>
    <n v="211.95"/>
    <n v="0"/>
    <n v="0"/>
    <n v="1138.5899999999999"/>
    <n v="0"/>
  </r>
  <r>
    <x v="7"/>
    <x v="1"/>
    <x v="0"/>
    <s v="5823200"/>
    <n v="718050"/>
    <s v="Contract Svcs-Other"/>
    <s v="Lakewood Neurology"/>
    <x v="0"/>
    <m/>
    <n v="0"/>
    <n v="0"/>
    <n v="23.73"/>
    <n v="65.86"/>
    <n v="47.16"/>
    <n v="0"/>
    <n v="139.79"/>
    <n v="23.74"/>
    <n v="23.74"/>
    <n v="23.74"/>
    <n v="23.74"/>
    <n v="0"/>
    <n v="371.5"/>
    <n v="23.74"/>
  </r>
  <r>
    <x v="7"/>
    <x v="1"/>
    <x v="0"/>
    <s v="5823200"/>
    <n v="718050"/>
    <s v="Translation Services"/>
    <s v="Lakewood Neurology"/>
    <x v="0"/>
    <n v="1025"/>
    <n v="40"/>
    <n v="0"/>
    <n v="128"/>
    <n v="160"/>
    <n v="32"/>
    <n v="155"/>
    <n v="176"/>
    <n v="32"/>
    <n v="148"/>
    <n v="0"/>
    <n v="248"/>
    <n v="0"/>
    <n v="1119"/>
    <n v="248"/>
  </r>
  <r>
    <x v="7"/>
    <x v="1"/>
    <x v="0"/>
    <s v="5823200"/>
    <n v="718050"/>
    <s v="Purchased Srvcs--Medical Waste"/>
    <s v="Lakewood Neurology"/>
    <x v="0"/>
    <n v="1027"/>
    <n v="20.72"/>
    <n v="0"/>
    <n v="0"/>
    <n v="71.11"/>
    <n v="0"/>
    <n v="20.72"/>
    <n v="56.21"/>
    <n v="5"/>
    <n v="20.36"/>
    <n v="10.36"/>
    <n v="15.36"/>
    <n v="15.36"/>
    <n v="235.20000000000005"/>
    <n v="0"/>
  </r>
  <r>
    <x v="11"/>
    <x v="1"/>
    <x v="0"/>
    <s v="5823200"/>
    <n v="721250"/>
    <s v="Supplies-Pharmacy Drugs - Billable"/>
    <s v="Lakewood Neurology"/>
    <x v="0"/>
    <m/>
    <n v="0"/>
    <n v="0"/>
    <n v="0"/>
    <n v="0"/>
    <n v="0"/>
    <n v="0"/>
    <n v="0"/>
    <n v="0"/>
    <n v="0"/>
    <n v="0"/>
    <n v="-24484.39"/>
    <n v="0"/>
    <n v="-24484.39"/>
    <n v="-24484.39"/>
  </r>
  <r>
    <x v="11"/>
    <x v="1"/>
    <x v="0"/>
    <s v="5823200"/>
    <n v="721410"/>
    <s v="Supplies-Medical - Nonbillable"/>
    <s v="Lakewood Neurology"/>
    <x v="0"/>
    <m/>
    <n v="60.62"/>
    <n v="0"/>
    <n v="0"/>
    <n v="186.02"/>
    <n v="149.78"/>
    <n v="60.53"/>
    <n v="0"/>
    <n v="192.48"/>
    <n v="181.12"/>
    <n v="34.909999999999997"/>
    <n v="0"/>
    <n v="0"/>
    <n v="865.46"/>
    <n v="0"/>
  </r>
  <r>
    <x v="11"/>
    <x v="1"/>
    <x v="0"/>
    <s v="5823200"/>
    <n v="721810"/>
    <s v="Supplies-Dietary/Cafeteria"/>
    <s v="Lakewood Neurology"/>
    <x v="0"/>
    <m/>
    <n v="0"/>
    <n v="0"/>
    <n v="0"/>
    <n v="129.36000000000001"/>
    <n v="0"/>
    <n v="0"/>
    <n v="0"/>
    <n v="101.16"/>
    <n v="0"/>
    <n v="0"/>
    <n v="0"/>
    <n v="0"/>
    <n v="230.52"/>
    <n v="0"/>
  </r>
  <r>
    <x v="11"/>
    <x v="1"/>
    <x v="0"/>
    <s v="5823200"/>
    <n v="721830"/>
    <s v="Supplies-Office"/>
    <s v="Lakewood Neurology"/>
    <x v="0"/>
    <m/>
    <n v="0"/>
    <n v="108.78"/>
    <n v="40.700000000000003"/>
    <n v="274.39999999999998"/>
    <n v="0"/>
    <n v="129.30000000000001"/>
    <n v="385.78"/>
    <n v="227.9"/>
    <n v="454.15"/>
    <n v="182.17"/>
    <n v="733.31"/>
    <n v="127.44"/>
    <n v="2663.9300000000003"/>
    <n v="605.86999999999989"/>
  </r>
  <r>
    <x v="12"/>
    <x v="1"/>
    <x v="0"/>
    <s v="5823200"/>
    <n v="730010"/>
    <s v="Rental and Leases-Building (DO NOT USE)"/>
    <s v="Lakewood Neurology"/>
    <x v="0"/>
    <m/>
    <n v="7574.01"/>
    <n v="7574.01"/>
    <n v="7574.01"/>
    <n v="7574.01"/>
    <n v="7574.01"/>
    <n v="-12700.96"/>
    <n v="4194.84"/>
    <n v="4194.84"/>
    <n v="4194.84"/>
    <n v="4265.87"/>
    <n v="4299.71"/>
    <n v="0"/>
    <n v="46319.19"/>
    <n v="4299.71"/>
  </r>
  <r>
    <x v="12"/>
    <x v="1"/>
    <x v="0"/>
    <s v="5823200"/>
    <n v="730010"/>
    <s v="Rental-Common Area Maint (DO NOT USE)"/>
    <s v="Lakewood Neurology"/>
    <x v="0"/>
    <n v="2200"/>
    <n v="0"/>
    <n v="0"/>
    <n v="0"/>
    <n v="0"/>
    <n v="0"/>
    <n v="20353.8"/>
    <n v="3458"/>
    <n v="3458"/>
    <n v="-79.599999999999994"/>
    <n v="3458"/>
    <n v="3458"/>
    <n v="0"/>
    <n v="34106.199999999997"/>
    <n v="3458"/>
  </r>
  <r>
    <x v="12"/>
    <x v="1"/>
    <x v="0"/>
    <s v="5823200"/>
    <n v="730040"/>
    <s v="LT Lease-Real Estate"/>
    <s v="Lakewood Neurology"/>
    <x v="0"/>
    <m/>
    <n v="0"/>
    <n v="0"/>
    <n v="0"/>
    <n v="0"/>
    <n v="0"/>
    <n v="0"/>
    <n v="0"/>
    <n v="0"/>
    <n v="0"/>
    <n v="0"/>
    <n v="0"/>
    <n v="7757.71"/>
    <n v="7757.71"/>
    <n v="-7757.71"/>
  </r>
  <r>
    <x v="5"/>
    <x v="1"/>
    <x v="0"/>
    <s v="5824200"/>
    <n v="700014"/>
    <s v="Salaries-Management-Productive"/>
    <s v="Gig Harbor Neurology"/>
    <x v="0"/>
    <m/>
    <n v="811.32"/>
    <n v="2232.36"/>
    <n v="1538.72"/>
    <n v="1620.32"/>
    <n v="2026.4"/>
    <n v="142.30000000000001"/>
    <n v="546.29999999999995"/>
    <n v="606.96"/>
    <n v="637.32000000000005"/>
    <n v="667.64"/>
    <n v="546.28"/>
    <n v="303.48"/>
    <n v="11679.4"/>
    <n v="242.79999999999995"/>
  </r>
  <r>
    <x v="6"/>
    <x v="1"/>
    <x v="0"/>
    <s v="5824200"/>
    <n v="713010"/>
    <s v="Benefits-FICA/Medicare"/>
    <s v="Gig Harbor Neurology"/>
    <x v="0"/>
    <m/>
    <n v="60.54"/>
    <n v="168.09"/>
    <n v="116.22"/>
    <n v="122.78"/>
    <n v="153.22"/>
    <n v="9.3000000000000007"/>
    <n v="40.24"/>
    <n v="44.72"/>
    <n v="46.97"/>
    <n v="49.18"/>
    <n v="40.659999999999997"/>
    <n v="22.16"/>
    <n v="874.07999999999993"/>
    <n v="18.499999999999996"/>
  </r>
  <r>
    <x v="6"/>
    <x v="1"/>
    <x v="0"/>
    <s v="5824200"/>
    <n v="713090"/>
    <s v="Benefits-Allocated Amounts"/>
    <s v="Gig Harbor Neurology"/>
    <x v="0"/>
    <m/>
    <n v="139.41999999999999"/>
    <n v="355.99"/>
    <n v="313.76"/>
    <n v="281.23"/>
    <n v="275.56"/>
    <n v="99.09"/>
    <n v="137.05000000000001"/>
    <n v="250.67"/>
    <n v="-41.97"/>
    <n v="217.98"/>
    <n v="214.76"/>
    <n v="-61.76"/>
    <n v="2181.7799999999997"/>
    <n v="276.52"/>
  </r>
  <r>
    <x v="7"/>
    <x v="1"/>
    <x v="0"/>
    <s v="5824200"/>
    <n v="718050"/>
    <s v="Contract Svcs-Other"/>
    <s v="Gig Harbor Neurology"/>
    <x v="0"/>
    <m/>
    <n v="0"/>
    <n v="0"/>
    <n v="0"/>
    <n v="23.43"/>
    <n v="0"/>
    <n v="23.43"/>
    <n v="23.31"/>
    <n v="23.31"/>
    <n v="23.31"/>
    <n v="0"/>
    <n v="23.43"/>
    <n v="0"/>
    <n v="140.22"/>
    <n v="23.43"/>
  </r>
  <r>
    <x v="7"/>
    <x v="1"/>
    <x v="0"/>
    <s v="5824200"/>
    <n v="718050"/>
    <s v="Contract Management--Linen"/>
    <s v="Gig Harbor Neurology"/>
    <x v="0"/>
    <n v="1026"/>
    <n v="0"/>
    <n v="0"/>
    <n v="0"/>
    <n v="15.16"/>
    <n v="0"/>
    <n v="0"/>
    <n v="0"/>
    <n v="0"/>
    <n v="0"/>
    <n v="0"/>
    <n v="0"/>
    <n v="0"/>
    <n v="15.16"/>
    <n v="0"/>
  </r>
  <r>
    <x v="12"/>
    <x v="1"/>
    <x v="0"/>
    <s v="5824200"/>
    <n v="730020"/>
    <s v="Rental and Leases-Copier Usage Fees (DO NOT USE)"/>
    <s v="Gig Harbor Neurology"/>
    <x v="0"/>
    <n v="5100"/>
    <n v="26.62"/>
    <n v="28.99"/>
    <n v="27.8"/>
    <n v="27.8"/>
    <n v="27.8"/>
    <n v="27.8"/>
    <n v="25.95"/>
    <n v="28.7"/>
    <n v="28.64"/>
    <n v="28.76"/>
    <n v="28.7"/>
    <n v="28.7"/>
    <n v="336.25999999999993"/>
    <n v="0"/>
  </r>
  <r>
    <x v="5"/>
    <x v="1"/>
    <x v="0"/>
    <s v="5825200"/>
    <n v="700014"/>
    <s v="Salaries-Management-Productive"/>
    <s v="Franciscan Ortho Assoc-SA"/>
    <x v="0"/>
    <m/>
    <n v="8094.24"/>
    <n v="7130.64"/>
    <n v="4625.28"/>
    <n v="9259.34"/>
    <n v="8570.02"/>
    <n v="5778.86"/>
    <n v="4842.87"/>
    <n v="8267.6299999999992"/>
    <n v="8267.64"/>
    <n v="7873.93"/>
    <n v="7086.55"/>
    <n v="5905.45"/>
    <n v="85702.450000000012"/>
    <n v="1181.1000000000004"/>
  </r>
  <r>
    <x v="5"/>
    <x v="1"/>
    <x v="0"/>
    <s v="5825200"/>
    <n v="700018"/>
    <s v="Salaries-Supervisory-Productive"/>
    <s v="Franciscan Ortho Assoc-SA"/>
    <x v="0"/>
    <m/>
    <n v="1820.96"/>
    <n v="1533.44"/>
    <n v="1916.8"/>
    <n v="2268.83"/>
    <n v="2187.33"/>
    <n v="1267.6500000000001"/>
    <n v="2115.89"/>
    <n v="1642.9"/>
    <n v="2190.5500000000002"/>
    <n v="2190.5300000000002"/>
    <n v="2290.12"/>
    <n v="1493.54"/>
    <n v="22918.539999999997"/>
    <n v="796.57999999999993"/>
  </r>
  <r>
    <x v="5"/>
    <x v="1"/>
    <x v="0"/>
    <s v="5825200"/>
    <n v="700038"/>
    <s v="Salaries-Service/Support-Productive"/>
    <s v="Franciscan Ortho Assoc-SA"/>
    <x v="0"/>
    <m/>
    <n v="16679.63"/>
    <n v="19584.939999999999"/>
    <n v="16646.32"/>
    <n v="22687.34"/>
    <n v="20673.13"/>
    <n v="13318.32"/>
    <n v="18333.27"/>
    <n v="13421.72"/>
    <n v="17657.04"/>
    <n v="16855.46"/>
    <n v="20586.689999999999"/>
    <n v="11677.68"/>
    <n v="208121.53999999998"/>
    <n v="8909.0099999999984"/>
  </r>
  <r>
    <x v="5"/>
    <x v="1"/>
    <x v="0"/>
    <s v="5825200"/>
    <n v="700038"/>
    <s v="Salaries-Service/Support-OT"/>
    <s v="Franciscan Ortho Assoc-SA"/>
    <x v="0"/>
    <n v="1000"/>
    <n v="0"/>
    <n v="81.13"/>
    <n v="16.82"/>
    <n v="178.67"/>
    <n v="263.58999999999997"/>
    <n v="34.04"/>
    <n v="365.5"/>
    <n v="-91.54"/>
    <n v="255.94"/>
    <n v="225.83"/>
    <n v="108.15"/>
    <n v="592.77"/>
    <n v="2030.9"/>
    <n v="-484.62"/>
  </r>
  <r>
    <x v="5"/>
    <x v="1"/>
    <x v="0"/>
    <s v="5825200"/>
    <n v="700038"/>
    <s v="Salaries-Service/Support-Other"/>
    <s v="Franciscan Ortho Assoc-SA"/>
    <x v="0"/>
    <n v="2000"/>
    <n v="0"/>
    <n v="0"/>
    <n v="0"/>
    <n v="0"/>
    <n v="0"/>
    <n v="0"/>
    <n v="0"/>
    <n v="30.05"/>
    <n v="-0.01"/>
    <n v="0"/>
    <n v="30.08"/>
    <n v="30"/>
    <n v="90.12"/>
    <n v="7.9999999999998295E-2"/>
  </r>
  <r>
    <x v="5"/>
    <x v="1"/>
    <x v="0"/>
    <s v="5825200"/>
    <n v="700054"/>
    <s v="Salaries-Management-Non-productive"/>
    <s v="Franciscan Ortho Assoc-SA"/>
    <x v="0"/>
    <m/>
    <n v="385.44"/>
    <n v="1734.48"/>
    <n v="3083.52"/>
    <n v="-255.99"/>
    <n v="78.63"/>
    <n v="2476.65"/>
    <n v="4212.7299999999996"/>
    <n v="-393.68"/>
    <n v="0"/>
    <n v="787.4"/>
    <n v="1968.49"/>
    <n v="1968.49"/>
    <n v="16046.16"/>
    <n v="0"/>
  </r>
  <r>
    <x v="5"/>
    <x v="1"/>
    <x v="0"/>
    <s v="5825200"/>
    <n v="700058"/>
    <s v="Salaries-Supervisory-Non-productive"/>
    <s v="Franciscan Ortho Assoc-SA"/>
    <x v="0"/>
    <m/>
    <n v="814.64"/>
    <n v="2779.36"/>
    <n v="-479.2"/>
    <n v="0"/>
    <n v="497.12"/>
    <n v="1342.21"/>
    <n v="149.55000000000001"/>
    <n v="846.41"/>
    <n v="647.22"/>
    <n v="174.28"/>
    <n v="-174.26"/>
    <n v="746.84"/>
    <n v="7344.17"/>
    <n v="-921.1"/>
  </r>
  <r>
    <x v="5"/>
    <x v="1"/>
    <x v="0"/>
    <s v="5825200"/>
    <n v="700078"/>
    <s v="Salaries-Service/Support-Non-productive"/>
    <s v="Franciscan Ortho Assoc-SA"/>
    <x v="0"/>
    <m/>
    <n v="4859.74"/>
    <n v="3447.78"/>
    <n v="3722.65"/>
    <n v="601.45000000000005"/>
    <n v="1779.94"/>
    <n v="4807.01"/>
    <n v="1862.05"/>
    <n v="4033.87"/>
    <n v="163.43"/>
    <n v="1405.04"/>
    <n v="819.59"/>
    <n v="7250.74"/>
    <n v="34753.29"/>
    <n v="-6431.15"/>
  </r>
  <r>
    <x v="5"/>
    <x v="1"/>
    <x v="0"/>
    <s v="5825200"/>
    <n v="700078"/>
    <s v="Salaries-Service/Support-NonProd-Other"/>
    <s v="Franciscan Ortho Assoc-SA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25200"/>
    <n v="700084"/>
    <s v="Accrued PTO"/>
    <s v="Franciscan Ortho Assoc-SA"/>
    <x v="0"/>
    <m/>
    <n v="-1588.45"/>
    <n v="-1878.29"/>
    <n v="-2079.8000000000002"/>
    <n v="3714.64"/>
    <n v="2198.02"/>
    <n v="-2043.13"/>
    <n v="-800.89"/>
    <n v="-84.04"/>
    <n v="2494.25"/>
    <n v="1514.78"/>
    <n v="1128.43"/>
    <n v="-1054.94"/>
    <n v="1520.58"/>
    <n v="2183.37"/>
  </r>
  <r>
    <x v="6"/>
    <x v="1"/>
    <x v="0"/>
    <s v="5825200"/>
    <n v="713010"/>
    <s v="Benefits-FICA/Medicare"/>
    <s v="Franciscan Ortho Assoc-SA"/>
    <x v="0"/>
    <m/>
    <n v="2381.79"/>
    <n v="2646.86"/>
    <n v="2159.1799999999998"/>
    <n v="2535.88"/>
    <n v="2511.7399999999998"/>
    <n v="2138.41"/>
    <n v="2349.52"/>
    <n v="2042.55"/>
    <n v="2146.2199999999998"/>
    <n v="2172.7399999999998"/>
    <n v="2407.87"/>
    <n v="2339.2800000000002"/>
    <n v="27832.039999999997"/>
    <n v="68.589999999999691"/>
  </r>
  <r>
    <x v="6"/>
    <x v="1"/>
    <x v="0"/>
    <s v="5825200"/>
    <n v="713090"/>
    <s v="Benefits-Allocated Amounts"/>
    <s v="Franciscan Ortho Assoc-SA"/>
    <x v="0"/>
    <m/>
    <n v="7595.59"/>
    <n v="7271.91"/>
    <n v="7347.38"/>
    <n v="7728.2"/>
    <n v="7677.65"/>
    <n v="6785.65"/>
    <n v="8088.14"/>
    <n v="7439.72"/>
    <n v="7493.77"/>
    <n v="7062.35"/>
    <n v="7491.27"/>
    <n v="8060.56"/>
    <n v="90042.190000000017"/>
    <n v="-569.29"/>
  </r>
  <r>
    <x v="6"/>
    <x v="1"/>
    <x v="0"/>
    <s v="5825200"/>
    <n v="713096"/>
    <s v="Employee Recognition"/>
    <s v="Franciscan Ortho Assoc-SA"/>
    <x v="0"/>
    <n v="1017"/>
    <n v="0"/>
    <n v="0"/>
    <n v="0"/>
    <n v="0"/>
    <n v="0"/>
    <n v="0"/>
    <n v="0"/>
    <n v="0"/>
    <n v="0"/>
    <n v="135.4"/>
    <n v="0"/>
    <n v="0"/>
    <n v="135.4"/>
    <n v="0"/>
  </r>
  <r>
    <x v="7"/>
    <x v="1"/>
    <x v="0"/>
    <s v="5825200"/>
    <n v="718010"/>
    <s v="Media/Print Advertising"/>
    <s v="Franciscan Ortho Assoc-SA"/>
    <x v="0"/>
    <n v="1004"/>
    <n v="1334.19"/>
    <n v="0"/>
    <n v="1302.24"/>
    <n v="-17.690000000000001"/>
    <n v="497.47"/>
    <n v="1022.46"/>
    <n v="0"/>
    <n v="1026.54"/>
    <n v="0"/>
    <n v="697.68"/>
    <n v="0"/>
    <n v="0"/>
    <n v="5862.89"/>
    <n v="0"/>
  </r>
  <r>
    <x v="7"/>
    <x v="1"/>
    <x v="0"/>
    <s v="5825200"/>
    <n v="718050"/>
    <s v="Contract Svcs-Other"/>
    <s v="Franciscan Ortho Assoc-SA"/>
    <x v="0"/>
    <m/>
    <n v="321.3"/>
    <n v="0"/>
    <n v="0"/>
    <n v="0"/>
    <n v="0"/>
    <n v="0"/>
    <n v="0"/>
    <n v="0"/>
    <n v="0"/>
    <n v="0"/>
    <n v="0"/>
    <n v="24.67"/>
    <n v="345.97"/>
    <n v="-24.67"/>
  </r>
  <r>
    <x v="7"/>
    <x v="1"/>
    <x v="0"/>
    <s v="5825200"/>
    <n v="718050"/>
    <s v="Document Shredding/Storage"/>
    <s v="Franciscan Ortho Assoc-SA"/>
    <x v="0"/>
    <n v="1012"/>
    <n v="273.24"/>
    <n v="2.9"/>
    <n v="199.78"/>
    <n v="182.39"/>
    <n v="181.18"/>
    <n v="220.94"/>
    <n v="218.73"/>
    <n v="68.14"/>
    <n v="143.13"/>
    <n v="400.04"/>
    <n v="292.89"/>
    <n v="589.42999999999995"/>
    <n v="2772.79"/>
    <n v="-296.53999999999996"/>
  </r>
  <r>
    <x v="7"/>
    <x v="1"/>
    <x v="0"/>
    <s v="5825200"/>
    <n v="718050"/>
    <s v="Physician Answering"/>
    <s v="Franciscan Ortho Assoc-SA"/>
    <x v="0"/>
    <n v="1015"/>
    <n v="503.4"/>
    <n v="772.4"/>
    <n v="691.2"/>
    <n v="332"/>
    <n v="788.6"/>
    <n v="907.6"/>
    <n v="1335.6"/>
    <n v="1598.6"/>
    <n v="1025.5999999999999"/>
    <n v="981.4"/>
    <n v="1000.8"/>
    <n v="1011.8"/>
    <n v="10948.999999999998"/>
    <n v="-11"/>
  </r>
  <r>
    <x v="7"/>
    <x v="1"/>
    <x v="0"/>
    <s v="5825200"/>
    <n v="718050"/>
    <s v="Miscellaneous Purchased Svcs"/>
    <s v="Franciscan Ortho Assoc-SA"/>
    <x v="0"/>
    <n v="1020"/>
    <n v="0"/>
    <n v="185.54"/>
    <n v="32.5"/>
    <n v="32.5"/>
    <n v="0"/>
    <n v="0"/>
    <n v="0"/>
    <n v="0"/>
    <n v="0"/>
    <n v="0"/>
    <n v="0"/>
    <n v="0"/>
    <n v="250.54"/>
    <n v="0"/>
  </r>
  <r>
    <x v="7"/>
    <x v="1"/>
    <x v="0"/>
    <s v="5825200"/>
    <n v="718050"/>
    <s v="Translation Services"/>
    <s v="Franciscan Ortho Assoc-SA"/>
    <x v="0"/>
    <n v="1025"/>
    <n v="73.31"/>
    <n v="0"/>
    <n v="0"/>
    <n v="15.01"/>
    <n v="44.24"/>
    <n v="25.11"/>
    <n v="0"/>
    <n v="18.96"/>
    <n v="0"/>
    <n v="0"/>
    <n v="0"/>
    <n v="0"/>
    <n v="176.63000000000002"/>
    <n v="0"/>
  </r>
  <r>
    <x v="7"/>
    <x v="1"/>
    <x v="0"/>
    <s v="5825200"/>
    <n v="718070"/>
    <s v="Contract Srvcs-CHI Clinical Engineering"/>
    <s v="Franciscan Ortho Assoc-SA"/>
    <x v="0"/>
    <m/>
    <n v="0"/>
    <n v="0"/>
    <n v="0"/>
    <n v="49"/>
    <n v="258.75"/>
    <n v="258.75"/>
    <n v="350"/>
    <n v="0"/>
    <n v="0"/>
    <n v="1228.06"/>
    <n v="0"/>
    <n v="0"/>
    <n v="2144.56"/>
    <n v="0"/>
  </r>
  <r>
    <x v="7"/>
    <x v="1"/>
    <x v="0"/>
    <s v="5825200"/>
    <n v="718077"/>
    <s v="PACS"/>
    <s v="Franciscan Ortho Assoc-SA"/>
    <x v="0"/>
    <n v="1000"/>
    <n v="1091.25"/>
    <n v="1604.25"/>
    <n v="1293.75"/>
    <n v="1485"/>
    <n v="1399.5"/>
    <n v="1158.75"/>
    <n v="1487.25"/>
    <n v="873"/>
    <n v="1354.5"/>
    <n v="1512"/>
    <n v="1199.25"/>
    <n v="1282.5"/>
    <n v="15741"/>
    <n v="-83.25"/>
  </r>
  <r>
    <x v="11"/>
    <x v="1"/>
    <x v="0"/>
    <s v="5825200"/>
    <n v="721250"/>
    <s v="Supplies-Pharmacy Drugs - Billable"/>
    <s v="Franciscan Ortho Assoc-SA"/>
    <x v="0"/>
    <m/>
    <n v="11425.61"/>
    <n v="8748.1"/>
    <n v="17616.650000000001"/>
    <n v="13609.89"/>
    <n v="9546.85"/>
    <n v="16212.05"/>
    <n v="11689.05"/>
    <n v="6081.35"/>
    <n v="9341.02"/>
    <n v="13774.02"/>
    <n v="24428.82"/>
    <n v="9481.66"/>
    <n v="151955.07"/>
    <n v="14947.16"/>
  </r>
  <r>
    <x v="11"/>
    <x v="1"/>
    <x v="0"/>
    <s v="5825200"/>
    <n v="721410"/>
    <s v="Supplies-Medical - Nonbillable"/>
    <s v="Franciscan Ortho Assoc-SA"/>
    <x v="0"/>
    <m/>
    <n v="0"/>
    <n v="0"/>
    <n v="0"/>
    <n v="0"/>
    <n v="0"/>
    <n v="0"/>
    <n v="0"/>
    <n v="28.3"/>
    <n v="0"/>
    <n v="0"/>
    <n v="0"/>
    <n v="0"/>
    <n v="28.3"/>
    <n v="0"/>
  </r>
  <r>
    <x v="11"/>
    <x v="1"/>
    <x v="0"/>
    <s v="5825200"/>
    <n v="721810"/>
    <s v="Supplies-Dietary/Cafeteria"/>
    <s v="Franciscan Ortho Assoc-SA"/>
    <x v="0"/>
    <m/>
    <n v="0"/>
    <n v="0"/>
    <n v="0"/>
    <n v="0"/>
    <n v="0"/>
    <n v="0"/>
    <n v="0"/>
    <n v="0"/>
    <n v="0"/>
    <n v="0"/>
    <n v="502.31"/>
    <n v="0"/>
    <n v="502.31"/>
    <n v="502.31"/>
  </r>
  <r>
    <x v="11"/>
    <x v="1"/>
    <x v="0"/>
    <s v="5825200"/>
    <n v="721830"/>
    <s v="Supplies-Office"/>
    <s v="Franciscan Ortho Assoc-SA"/>
    <x v="0"/>
    <m/>
    <n v="283.56"/>
    <n v="772.78"/>
    <n v="473.74"/>
    <n v="609.89"/>
    <n v="1142.4100000000001"/>
    <n v="253.77"/>
    <n v="478.43"/>
    <n v="400.89"/>
    <n v="402.94"/>
    <n v="492.11"/>
    <n v="615.07000000000005"/>
    <n v="109.13"/>
    <n v="6034.7199999999993"/>
    <n v="505.94000000000005"/>
  </r>
  <r>
    <x v="11"/>
    <x v="1"/>
    <x v="0"/>
    <s v="5825200"/>
    <n v="721910"/>
    <s v="Supplies-Small Equipment"/>
    <s v="Franciscan Ortho Assoc-SA"/>
    <x v="0"/>
    <m/>
    <n v="0"/>
    <n v="0"/>
    <n v="0"/>
    <n v="0"/>
    <n v="0"/>
    <n v="0"/>
    <n v="0"/>
    <n v="952.7"/>
    <n v="178.74"/>
    <n v="0"/>
    <n v="36.39"/>
    <n v="0"/>
    <n v="1167.8300000000002"/>
    <n v="36.39"/>
  </r>
  <r>
    <x v="11"/>
    <x v="1"/>
    <x v="0"/>
    <s v="5825200"/>
    <n v="722000"/>
    <s v="Supplies-Freight Expense"/>
    <s v="Franciscan Ortho Assoc-SA"/>
    <x v="0"/>
    <m/>
    <n v="0"/>
    <n v="0"/>
    <n v="0"/>
    <n v="0"/>
    <n v="0"/>
    <n v="0"/>
    <n v="0"/>
    <n v="0"/>
    <n v="0"/>
    <n v="0"/>
    <n v="0"/>
    <n v="63.86"/>
    <n v="63.86"/>
    <n v="-63.86"/>
  </r>
  <r>
    <x v="12"/>
    <x v="1"/>
    <x v="0"/>
    <s v="5825200"/>
    <n v="730010"/>
    <s v="Rental and Leases-Building (DO NOT USE)"/>
    <s v="Franciscan Ortho Assoc-SA"/>
    <x v="0"/>
    <m/>
    <n v="24737.83"/>
    <n v="24737.83"/>
    <n v="24737.83"/>
    <n v="24737.83"/>
    <n v="24737.83"/>
    <n v="-15816.01"/>
    <n v="17352.8"/>
    <n v="17352.8"/>
    <n v="17352.8"/>
    <n v="17352.8"/>
    <n v="17352.8"/>
    <n v="0"/>
    <n v="194637.13999999998"/>
    <n v="17352.8"/>
  </r>
  <r>
    <x v="12"/>
    <x v="1"/>
    <x v="0"/>
    <s v="5825200"/>
    <n v="730010"/>
    <s v="Rental-Common Area Maint (DO NOT USE)"/>
    <s v="Franciscan Ortho Assoc-SA"/>
    <x v="0"/>
    <n v="2200"/>
    <n v="0"/>
    <n v="0"/>
    <n v="0"/>
    <n v="0"/>
    <n v="0"/>
    <n v="40553.839999999997"/>
    <n v="8028.83"/>
    <n v="7706.93"/>
    <n v="6535.2"/>
    <n v="7706.93"/>
    <n v="7706.93"/>
    <n v="0"/>
    <n v="78238.66"/>
    <n v="7706.93"/>
  </r>
  <r>
    <x v="12"/>
    <x v="1"/>
    <x v="0"/>
    <s v="5825200"/>
    <n v="730020"/>
    <s v="Rental and Leases-Equipment (DO NOT USE)"/>
    <s v="Franciscan Ortho Assoc-SA"/>
    <x v="0"/>
    <m/>
    <n v="0"/>
    <n v="288.2"/>
    <n v="0"/>
    <n v="0"/>
    <n v="0"/>
    <n v="0"/>
    <n v="0"/>
    <n v="-1870.17"/>
    <n v="0"/>
    <n v="0"/>
    <n v="0"/>
    <n v="0"/>
    <n v="-1581.97"/>
    <n v="0"/>
  </r>
  <r>
    <x v="12"/>
    <x v="1"/>
    <x v="0"/>
    <s v="5825200"/>
    <n v="730020"/>
    <s v="Rental and Leases-Copier Usage Fees (DO NOT USE)"/>
    <s v="Franciscan Ortho Assoc-SA"/>
    <x v="0"/>
    <n v="5100"/>
    <n v="286.68"/>
    <n v="290.16000000000003"/>
    <n v="288.42"/>
    <n v="288.42"/>
    <n v="288.42"/>
    <n v="288.42"/>
    <n v="166.25"/>
    <n v="229.96"/>
    <n v="230"/>
    <n v="368.15"/>
    <n v="229.96"/>
    <n v="254.09"/>
    <n v="3208.9300000000003"/>
    <n v="-24.129999999999995"/>
  </r>
  <r>
    <x v="12"/>
    <x v="1"/>
    <x v="0"/>
    <s v="5825200"/>
    <n v="730040"/>
    <s v="LT Lease-Real Estate"/>
    <s v="Franciscan Ortho Assoc-SA"/>
    <x v="0"/>
    <m/>
    <n v="0"/>
    <n v="0"/>
    <n v="0"/>
    <n v="0"/>
    <n v="0"/>
    <n v="0"/>
    <n v="0"/>
    <n v="0"/>
    <n v="0"/>
    <n v="0"/>
    <n v="0"/>
    <n v="25059.73"/>
    <n v="25059.73"/>
    <n v="-25059.73"/>
  </r>
  <r>
    <x v="15"/>
    <x v="1"/>
    <x v="0"/>
    <s v="5825200"/>
    <n v="731050"/>
    <s v="Refuse Disposal"/>
    <s v="Franciscan Ortho Assoc-SA"/>
    <x v="0"/>
    <m/>
    <n v="0"/>
    <n v="38.75"/>
    <n v="38.75"/>
    <n v="38.75"/>
    <n v="38.75"/>
    <n v="38.75"/>
    <n v="0"/>
    <n v="38.75"/>
    <n v="38.75"/>
    <n v="0"/>
    <n v="38.75"/>
    <n v="0"/>
    <n v="310"/>
    <n v="38.75"/>
  </r>
  <r>
    <x v="15"/>
    <x v="1"/>
    <x v="0"/>
    <s v="5825200"/>
    <n v="731070"/>
    <s v="Cable TV"/>
    <s v="Franciscan Ortho Assoc-SA"/>
    <x v="0"/>
    <m/>
    <n v="88.87"/>
    <n v="88.87"/>
    <n v="88.87"/>
    <n v="88.87"/>
    <n v="91.28"/>
    <n v="91.28"/>
    <n v="91.28"/>
    <n v="91.28"/>
    <n v="91.28"/>
    <n v="91.28"/>
    <n v="91.28"/>
    <n v="91.94"/>
    <n v="1086.3799999999999"/>
    <n v="-0.65999999999999659"/>
  </r>
  <r>
    <x v="16"/>
    <x v="1"/>
    <x v="0"/>
    <s v="5825200"/>
    <n v="732030"/>
    <s v="Repairs---Other"/>
    <s v="Franciscan Ortho Assoc-SA"/>
    <x v="0"/>
    <m/>
    <n v="0"/>
    <n v="0"/>
    <n v="0"/>
    <n v="0"/>
    <n v="15"/>
    <n v="0"/>
    <n v="1.52"/>
    <n v="0"/>
    <n v="33.69"/>
    <n v="673.79"/>
    <n v="593.5"/>
    <n v="0"/>
    <n v="1317.5"/>
    <n v="593.5"/>
  </r>
  <r>
    <x v="13"/>
    <x v="1"/>
    <x v="0"/>
    <s v="5825200"/>
    <n v="735050"/>
    <s v="Amortization-Leasehold Improvements"/>
    <s v="Franciscan Ortho Assoc-SA"/>
    <x v="0"/>
    <m/>
    <n v="7428.27"/>
    <n v="7428.23"/>
    <n v="7428.28"/>
    <n v="7428.23"/>
    <n v="7428.28"/>
    <n v="7428.21"/>
    <n v="7428.29"/>
    <n v="7428.21"/>
    <n v="7428.29"/>
    <n v="7428.2"/>
    <n v="7428.29"/>
    <n v="6592.49"/>
    <n v="88303.26999999999"/>
    <n v="835.80000000000018"/>
  </r>
  <r>
    <x v="13"/>
    <x v="1"/>
    <x v="0"/>
    <s v="5825200"/>
    <n v="735070"/>
    <s v="Depreciation-Movable Equipment"/>
    <s v="Franciscan Ortho Assoc-SA"/>
    <x v="0"/>
    <m/>
    <n v="1647.63"/>
    <n v="1647.62"/>
    <n v="1647.64"/>
    <n v="1647.62"/>
    <n v="1647.65"/>
    <n v="1647.61"/>
    <n v="1647.65"/>
    <n v="1647.6"/>
    <n v="1647.66"/>
    <n v="1647.6"/>
    <n v="1647.66"/>
    <n v="1647.57"/>
    <n v="19771.509999999998"/>
    <n v="9.0000000000145519E-2"/>
  </r>
  <r>
    <x v="0"/>
    <x v="1"/>
    <x v="0"/>
    <s v="5825200"/>
    <n v="742040"/>
    <s v="Freight-Other"/>
    <s v="Franciscan Ortho Assoc-SA"/>
    <x v="0"/>
    <m/>
    <n v="0"/>
    <n v="0"/>
    <n v="0"/>
    <n v="17.690000000000001"/>
    <n v="0"/>
    <n v="0"/>
    <n v="0"/>
    <n v="0"/>
    <n v="0"/>
    <n v="0"/>
    <n v="0"/>
    <n v="0"/>
    <n v="17.690000000000001"/>
    <n v="0"/>
  </r>
  <r>
    <x v="0"/>
    <x v="1"/>
    <x v="0"/>
    <s v="5825200"/>
    <n v="743030"/>
    <s v="Subscriptions--Institutional"/>
    <s v="Franciscan Ortho Assoc-SA"/>
    <x v="0"/>
    <m/>
    <n v="0"/>
    <n v="0"/>
    <n v="0"/>
    <n v="0"/>
    <n v="185.41"/>
    <n v="0"/>
    <n v="0"/>
    <n v="0"/>
    <n v="212"/>
    <n v="0"/>
    <n v="21.58"/>
    <n v="0"/>
    <n v="418.98999999999995"/>
    <n v="21.58"/>
  </r>
  <r>
    <x v="0"/>
    <x v="1"/>
    <x v="0"/>
    <s v="5825200"/>
    <n v="749510"/>
    <s v="Miscellaneous Expenses"/>
    <s v="Franciscan Ortho Assoc-SA"/>
    <x v="0"/>
    <m/>
    <n v="0"/>
    <n v="0"/>
    <n v="1541.37"/>
    <n v="110.3"/>
    <n v="0"/>
    <n v="0"/>
    <n v="0"/>
    <n v="0"/>
    <n v="0"/>
    <n v="0"/>
    <n v="-19.48"/>
    <n v="458.96"/>
    <n v="2091.1499999999996"/>
    <n v="-478.44"/>
  </r>
  <r>
    <x v="0"/>
    <x v="1"/>
    <x v="0"/>
    <s v="5825200"/>
    <n v="749510"/>
    <s v="Licenses"/>
    <s v="Franciscan Ortho Assoc-SA"/>
    <x v="0"/>
    <n v="1002"/>
    <n v="0"/>
    <n v="0"/>
    <n v="265"/>
    <n v="0"/>
    <n v="0"/>
    <n v="512"/>
    <n v="38.75"/>
    <n v="0"/>
    <n v="0"/>
    <n v="0"/>
    <n v="0"/>
    <n v="0"/>
    <n v="815.75"/>
    <n v="0"/>
  </r>
  <r>
    <x v="0"/>
    <x v="1"/>
    <x v="0"/>
    <s v="5825200"/>
    <n v="749510"/>
    <s v="RICE Rewards"/>
    <s v="Franciscan Ortho Assoc-SA"/>
    <x v="0"/>
    <n v="5100"/>
    <n v="0"/>
    <n v="0"/>
    <n v="0"/>
    <n v="0"/>
    <n v="0"/>
    <n v="0"/>
    <n v="0"/>
    <n v="0"/>
    <n v="0"/>
    <n v="0"/>
    <n v="558.79"/>
    <n v="0"/>
    <n v="558.79"/>
    <n v="558.79"/>
  </r>
  <r>
    <x v="0"/>
    <x v="1"/>
    <x v="0"/>
    <s v="5825200"/>
    <n v="749530"/>
    <s v="Travel"/>
    <s v="Franciscan Ortho Assoc-SA"/>
    <x v="0"/>
    <m/>
    <n v="0"/>
    <n v="0"/>
    <n v="0"/>
    <n v="0"/>
    <n v="0"/>
    <n v="0"/>
    <n v="0"/>
    <n v="0"/>
    <n v="0"/>
    <n v="5"/>
    <n v="0"/>
    <n v="0"/>
    <n v="5"/>
    <n v="0"/>
  </r>
  <r>
    <x v="0"/>
    <x v="1"/>
    <x v="0"/>
    <s v="5825200"/>
    <n v="749530"/>
    <s v="Mileage"/>
    <s v="Franciscan Ortho Assoc-SA"/>
    <x v="0"/>
    <n v="1001"/>
    <n v="0"/>
    <n v="0"/>
    <n v="0"/>
    <n v="0"/>
    <n v="0"/>
    <n v="76.3"/>
    <n v="0"/>
    <n v="0"/>
    <n v="0"/>
    <n v="34.22"/>
    <n v="0"/>
    <n v="0"/>
    <n v="110.52"/>
    <n v="0"/>
  </r>
  <r>
    <x v="0"/>
    <x v="1"/>
    <x v="0"/>
    <s v="5825200"/>
    <n v="749550"/>
    <s v="Cash Over/Short"/>
    <s v="Franciscan Ortho Assoc-SA"/>
    <x v="0"/>
    <m/>
    <n v="0"/>
    <n v="0"/>
    <n v="0"/>
    <n v="0"/>
    <n v="0"/>
    <n v="0"/>
    <n v="0"/>
    <n v="0"/>
    <n v="-4"/>
    <n v="0"/>
    <n v="0"/>
    <n v="0"/>
    <n v="-4"/>
    <n v="0"/>
  </r>
  <r>
    <x v="0"/>
    <x v="1"/>
    <x v="0"/>
    <s v="5825200"/>
    <n v="766010"/>
    <s v="Property Tax"/>
    <s v="Franciscan Ortho Assoc-SA"/>
    <x v="0"/>
    <m/>
    <n v="94.74"/>
    <n v="94.74"/>
    <n v="94.74"/>
    <n v="94.74"/>
    <n v="94.74"/>
    <n v="94.74"/>
    <n v="94.74"/>
    <n v="94.74"/>
    <n v="94.74"/>
    <n v="24.95"/>
    <n v="77.3"/>
    <n v="77.3"/>
    <n v="1032.21"/>
    <n v="0"/>
  </r>
  <r>
    <x v="5"/>
    <x v="1"/>
    <x v="0"/>
    <s v="5826200"/>
    <n v="700014"/>
    <s v="Salaries-Management-Productive"/>
    <s v="WH-Federal Way-Shared Svc"/>
    <x v="0"/>
    <m/>
    <n v="2044.43"/>
    <n v="2313.4499999999998"/>
    <n v="1452.63"/>
    <n v="2320.37"/>
    <n v="2508.5"/>
    <n v="1254.24"/>
    <n v="2380.0300000000002"/>
    <n v="2203.6799999999998"/>
    <n v="2313.88"/>
    <n v="2424.04"/>
    <n v="2113.54"/>
    <n v="1477.46"/>
    <n v="24806.250000000004"/>
    <n v="636.07999999999993"/>
  </r>
  <r>
    <x v="5"/>
    <x v="1"/>
    <x v="0"/>
    <s v="5826200"/>
    <n v="700018"/>
    <s v="Salaries-Supervisory-Productive"/>
    <s v="WH-Federal Way-Shared Svc"/>
    <x v="0"/>
    <m/>
    <n v="1032.8599999999999"/>
    <n v="2041.14"/>
    <n v="1659.96"/>
    <n v="1696.58"/>
    <n v="1364.09"/>
    <n v="1505.51"/>
    <n v="950.67"/>
    <n v="1447.92"/>
    <n v="1885.46"/>
    <n v="1441.6"/>
    <n v="2130.96"/>
    <n v="1022.99"/>
    <n v="18179.740000000002"/>
    <n v="1107.97"/>
  </r>
  <r>
    <x v="5"/>
    <x v="1"/>
    <x v="0"/>
    <s v="5826200"/>
    <n v="700022"/>
    <s v="Salaries-Physician-Other"/>
    <s v="WH-Federal Way-Shared Svc"/>
    <x v="0"/>
    <n v="2000"/>
    <n v="0"/>
    <n v="0"/>
    <n v="0"/>
    <n v="0"/>
    <n v="0"/>
    <n v="0"/>
    <n v="0"/>
    <n v="2705.97"/>
    <n v="0"/>
    <n v="0"/>
    <n v="0"/>
    <n v="0"/>
    <n v="2705.97"/>
    <n v="0"/>
  </r>
  <r>
    <x v="5"/>
    <x v="1"/>
    <x v="0"/>
    <s v="5826200"/>
    <n v="700030"/>
    <s v="Salaries-LPN-Productive"/>
    <s v="WH-Federal Way-Shared Svc"/>
    <x v="0"/>
    <m/>
    <n v="0"/>
    <n v="0"/>
    <n v="0"/>
    <n v="0"/>
    <n v="0"/>
    <n v="0"/>
    <n v="0"/>
    <n v="0"/>
    <n v="267.99"/>
    <n v="0"/>
    <n v="0"/>
    <n v="0"/>
    <n v="267.99"/>
    <n v="0"/>
  </r>
  <r>
    <x v="5"/>
    <x v="1"/>
    <x v="0"/>
    <s v="5826200"/>
    <n v="700030"/>
    <s v="Salaries-LPN-Other"/>
    <s v="WH-Federal Way-Shared Svc"/>
    <x v="0"/>
    <n v="2000"/>
    <n v="0"/>
    <n v="0"/>
    <n v="0"/>
    <n v="0"/>
    <n v="0"/>
    <n v="0"/>
    <n v="0"/>
    <n v="0"/>
    <n v="12.52"/>
    <n v="0"/>
    <n v="0"/>
    <n v="0"/>
    <n v="12.52"/>
    <n v="0"/>
  </r>
  <r>
    <x v="5"/>
    <x v="1"/>
    <x v="0"/>
    <s v="5826200"/>
    <n v="700038"/>
    <s v="Salaries-Service/Support-Productive"/>
    <s v="WH-Federal Way-Shared Svc"/>
    <x v="0"/>
    <m/>
    <n v="22534.92"/>
    <n v="23701.11"/>
    <n v="16025.64"/>
    <n v="25667.79"/>
    <n v="23329.66"/>
    <n v="17602.650000000001"/>
    <n v="24560.07"/>
    <n v="21468.17"/>
    <n v="22518.28"/>
    <n v="23800.57"/>
    <n v="20978.37"/>
    <n v="20133.75"/>
    <n v="262320.98"/>
    <n v="844.61999999999898"/>
  </r>
  <r>
    <x v="5"/>
    <x v="1"/>
    <x v="0"/>
    <s v="5826200"/>
    <n v="700038"/>
    <s v="Salaries-Service/Support-OT"/>
    <s v="WH-Federal Way-Shared Svc"/>
    <x v="0"/>
    <n v="1000"/>
    <n v="104.76"/>
    <n v="187.11"/>
    <n v="107.03"/>
    <n v="181.33"/>
    <n v="381.18"/>
    <n v="-59.94"/>
    <n v="90.03"/>
    <n v="86.1"/>
    <n v="156.21"/>
    <n v="169.95"/>
    <n v="282.7"/>
    <n v="56.34"/>
    <n v="1742.8"/>
    <n v="226.35999999999999"/>
  </r>
  <r>
    <x v="5"/>
    <x v="1"/>
    <x v="0"/>
    <s v="5826200"/>
    <n v="700038"/>
    <s v="Salaries-Service/Support-Other"/>
    <s v="WH-Federal Way-Shared Svc"/>
    <x v="0"/>
    <n v="2000"/>
    <n v="88"/>
    <n v="92.57"/>
    <n v="80.260000000000005"/>
    <n v="92.21"/>
    <n v="92.89"/>
    <n v="84.64"/>
    <n v="92.14"/>
    <n v="84.33"/>
    <n v="83.79"/>
    <n v="88.61"/>
    <n v="92.72"/>
    <n v="81.12"/>
    <n v="1053.28"/>
    <n v="11.599999999999994"/>
  </r>
  <r>
    <x v="5"/>
    <x v="1"/>
    <x v="0"/>
    <s v="5826200"/>
    <n v="700054"/>
    <s v="Salaries-Management-Non-productive"/>
    <s v="WH-Federal Way-Shared Svc"/>
    <x v="0"/>
    <m/>
    <n v="1173.8399999999999"/>
    <n v="586.91999999999996"/>
    <n v="2543.3200000000002"/>
    <n v="720.14"/>
    <n v="-320.06"/>
    <n v="3840.76"/>
    <n v="561.29999999999995"/>
    <n v="0"/>
    <n v="0"/>
    <n v="0"/>
    <n v="1602.66"/>
    <n v="2604.3200000000002"/>
    <n v="13313.199999999999"/>
    <n v="-1001.6600000000001"/>
  </r>
  <r>
    <x v="5"/>
    <x v="1"/>
    <x v="0"/>
    <s v="5826200"/>
    <n v="700058"/>
    <s v="Salaries-Supervisory-Non-productive"/>
    <s v="WH-Federal Way-Shared Svc"/>
    <x v="0"/>
    <m/>
    <n v="590.20000000000005"/>
    <n v="-98.36"/>
    <n v="0"/>
    <n v="0"/>
    <n v="0"/>
    <n v="276.58"/>
    <n v="579.21"/>
    <n v="-100.72"/>
    <n v="0"/>
    <n v="428.08"/>
    <n v="-176.26"/>
    <n v="755.43"/>
    <n v="2254.16"/>
    <n v="-931.68999999999994"/>
  </r>
  <r>
    <x v="5"/>
    <x v="1"/>
    <x v="0"/>
    <s v="5826200"/>
    <n v="700078"/>
    <s v="Salaries-Service/Support-Non-productive"/>
    <s v="WH-Federal Way-Shared Svc"/>
    <x v="0"/>
    <m/>
    <n v="2987.56"/>
    <n v="2497.8200000000002"/>
    <n v="4272.8999999999996"/>
    <n v="2755.2"/>
    <n v="1701.68"/>
    <n v="5143.1499999999996"/>
    <n v="3074.92"/>
    <n v="2227.6799999999998"/>
    <n v="1039.5"/>
    <n v="1804.86"/>
    <n v="5130.37"/>
    <n v="1945.12"/>
    <n v="34580.759999999995"/>
    <n v="3185.25"/>
  </r>
  <r>
    <x v="5"/>
    <x v="1"/>
    <x v="0"/>
    <s v="5826200"/>
    <n v="700078"/>
    <s v="Salaries-Service/Support-NonProd-Other"/>
    <s v="WH-Federal Way-Shared Svc"/>
    <x v="0"/>
    <n v="2000"/>
    <n v="0"/>
    <n v="0"/>
    <n v="0"/>
    <n v="0"/>
    <n v="481.02"/>
    <n v="481.02"/>
    <n v="0"/>
    <n v="-962.04"/>
    <n v="0"/>
    <n v="0"/>
    <n v="0"/>
    <n v="0"/>
    <n v="0"/>
    <n v="0"/>
  </r>
  <r>
    <x v="5"/>
    <x v="1"/>
    <x v="0"/>
    <s v="5826200"/>
    <n v="700084"/>
    <s v="Accrued PTO"/>
    <s v="WH-Federal Way-Shared Svc"/>
    <x v="0"/>
    <m/>
    <n v="-288.02"/>
    <n v="977.83"/>
    <n v="-2635.11"/>
    <n v="1248.77"/>
    <n v="1713.25"/>
    <n v="-3529.57"/>
    <n v="-117.05"/>
    <n v="1043"/>
    <n v="2130.2600000000002"/>
    <n v="1866.09"/>
    <n v="82.05"/>
    <n v="-1235.98"/>
    <n v="1255.52"/>
    <n v="1318.03"/>
  </r>
  <r>
    <x v="6"/>
    <x v="1"/>
    <x v="0"/>
    <s v="5826200"/>
    <n v="713010"/>
    <s v="Benefits-FICA/Medicare"/>
    <s v="WH-Federal Way-Shared Svc"/>
    <x v="0"/>
    <m/>
    <n v="2263.5500000000002"/>
    <n v="2318.86"/>
    <n v="1932.32"/>
    <n v="2480.31"/>
    <n v="2312.35"/>
    <n v="2207.98"/>
    <n v="2397.96"/>
    <n v="2241.5700000000002"/>
    <n v="2100.42"/>
    <n v="2212.85"/>
    <n v="2399.08"/>
    <n v="2085.7199999999998"/>
    <n v="26952.97"/>
    <n v="313.36000000000013"/>
  </r>
  <r>
    <x v="6"/>
    <x v="1"/>
    <x v="0"/>
    <s v="5826200"/>
    <n v="713090"/>
    <s v="Benefits-Allocated Amounts"/>
    <s v="WH-Federal Way-Shared Svc"/>
    <x v="0"/>
    <m/>
    <n v="8194.0400000000009"/>
    <n v="7356.3"/>
    <n v="7339.48"/>
    <n v="8251.09"/>
    <n v="7796.76"/>
    <n v="7813.26"/>
    <n v="9281.4"/>
    <n v="8846.9599999999991"/>
    <n v="8266.67"/>
    <n v="8517.7199999999993"/>
    <n v="8235.2900000000009"/>
    <n v="8541.11"/>
    <n v="98440.08"/>
    <n v="-305.81999999999971"/>
  </r>
  <r>
    <x v="6"/>
    <x v="1"/>
    <x v="0"/>
    <s v="5826200"/>
    <n v="713096"/>
    <s v="Employee Recognition"/>
    <s v="WH-Federal Way-Shared Svc"/>
    <x v="0"/>
    <n v="1017"/>
    <n v="0"/>
    <n v="0"/>
    <n v="349.64"/>
    <n v="0"/>
    <n v="168.4"/>
    <n v="0"/>
    <n v="0"/>
    <n v="0"/>
    <n v="0"/>
    <n v="86.7"/>
    <n v="250.92"/>
    <n v="0"/>
    <n v="855.66"/>
    <n v="250.92"/>
  </r>
  <r>
    <x v="7"/>
    <x v="1"/>
    <x v="0"/>
    <s v="5826200"/>
    <n v="718010"/>
    <s v="Media/Print Advertising"/>
    <s v="WH-Federal Way-Shared Svc"/>
    <x v="0"/>
    <n v="1004"/>
    <n v="200.99"/>
    <n v="0"/>
    <n v="274.7"/>
    <n v="113.27"/>
    <n v="0"/>
    <n v="489.24"/>
    <n v="199.78"/>
    <n v="0"/>
    <n v="0"/>
    <n v="0"/>
    <n v="0"/>
    <n v="100.29"/>
    <n v="1378.27"/>
    <n v="-100.29"/>
  </r>
  <r>
    <x v="7"/>
    <x v="1"/>
    <x v="0"/>
    <s v="5826200"/>
    <n v="718050"/>
    <s v="Contract Svcs-Other"/>
    <s v="WH-Federal Way-Shared Svc"/>
    <x v="0"/>
    <m/>
    <n v="86.23"/>
    <n v="187.77"/>
    <n v="137"/>
    <n v="333.47"/>
    <n v="272"/>
    <n v="113.85"/>
    <n v="258.69"/>
    <n v="152.52000000000001"/>
    <n v="307.97000000000003"/>
    <n v="44.55"/>
    <n v="63.42"/>
    <n v="22.58"/>
    <n v="1980.05"/>
    <n v="40.840000000000003"/>
  </r>
  <r>
    <x v="7"/>
    <x v="1"/>
    <x v="0"/>
    <s v="5826200"/>
    <n v="718050"/>
    <s v="Management Fees"/>
    <s v="WH-Federal Way-Shared Svc"/>
    <x v="0"/>
    <n v="1004"/>
    <n v="0"/>
    <n v="0"/>
    <n v="0"/>
    <n v="0"/>
    <n v="0"/>
    <n v="31.99"/>
    <n v="53.45"/>
    <n v="0"/>
    <n v="0"/>
    <n v="0"/>
    <n v="81.45"/>
    <n v="0"/>
    <n v="166.89"/>
    <n v="81.45"/>
  </r>
  <r>
    <x v="7"/>
    <x v="1"/>
    <x v="0"/>
    <s v="5826200"/>
    <n v="718050"/>
    <s v="Cleaning Services"/>
    <s v="WH-Federal Way-Shared Svc"/>
    <x v="0"/>
    <n v="1011"/>
    <n v="3400"/>
    <n v="2054.75"/>
    <n v="354.75"/>
    <n v="1936.5"/>
    <n v="3706"/>
    <n v="306"/>
    <n v="4056.4"/>
    <n v="0"/>
    <n v="1968.2"/>
    <n v="3668.2"/>
    <n v="268.2"/>
    <n v="3668.2"/>
    <n v="25387.200000000001"/>
    <n v="-3400"/>
  </r>
  <r>
    <x v="7"/>
    <x v="1"/>
    <x v="0"/>
    <s v="5826200"/>
    <n v="718050"/>
    <s v="Document Shredding/Storage"/>
    <s v="WH-Federal Way-Shared Svc"/>
    <x v="0"/>
    <n v="1012"/>
    <n v="111.42"/>
    <n v="349.78"/>
    <n v="190.38"/>
    <n v="206.51"/>
    <n v="17.86"/>
    <n v="112.67"/>
    <n v="111.54"/>
    <n v="95.34"/>
    <n v="114.28"/>
    <n v="102.6"/>
    <n v="187.44"/>
    <n v="81.06"/>
    <n v="1680.8799999999997"/>
    <n v="106.38"/>
  </r>
  <r>
    <x v="7"/>
    <x v="1"/>
    <x v="0"/>
    <s v="5826200"/>
    <n v="718050"/>
    <s v="Physician Answering"/>
    <s v="WH-Federal Way-Shared Svc"/>
    <x v="0"/>
    <n v="1015"/>
    <n v="1107"/>
    <n v="1551.2"/>
    <n v="1060.8"/>
    <n v="628.4"/>
    <n v="1522.4"/>
    <n v="1211.2"/>
    <n v="1596"/>
    <n v="1437.8"/>
    <n v="1083.2"/>
    <n v="1392.4"/>
    <n v="1180.8"/>
    <n v="1288.4000000000001"/>
    <n v="15059.599999999999"/>
    <n v="-107.60000000000014"/>
  </r>
  <r>
    <x v="7"/>
    <x v="1"/>
    <x v="0"/>
    <s v="5826200"/>
    <n v="718050"/>
    <s v="Security"/>
    <s v="WH-Federal Way-Shared Svc"/>
    <x v="0"/>
    <n v="1019"/>
    <n v="130.44"/>
    <n v="0"/>
    <n v="0"/>
    <n v="130.44"/>
    <n v="0"/>
    <n v="0"/>
    <n v="0"/>
    <n v="0"/>
    <n v="0"/>
    <n v="130.44"/>
    <n v="0"/>
    <n v="0"/>
    <n v="391.32"/>
    <n v="0"/>
  </r>
  <r>
    <x v="7"/>
    <x v="1"/>
    <x v="0"/>
    <s v="5826200"/>
    <n v="718050"/>
    <s v="Miscellaneous Purchased Svcs"/>
    <s v="WH-Federal Way-Shared Svc"/>
    <x v="0"/>
    <n v="1020"/>
    <n v="262.23"/>
    <n v="436.74"/>
    <n v="471.6"/>
    <n v="368.52"/>
    <n v="253.14"/>
    <n v="511.53"/>
    <n v="214.49"/>
    <n v="509.96"/>
    <n v="426.92"/>
    <n v="292.07"/>
    <n v="357.84"/>
    <n v="257.35000000000002"/>
    <n v="4362.3900000000003"/>
    <n v="100.48999999999995"/>
  </r>
  <r>
    <x v="7"/>
    <x v="1"/>
    <x v="0"/>
    <s v="5826200"/>
    <n v="718050"/>
    <s v="Translation Services"/>
    <s v="WH-Federal Way-Shared Svc"/>
    <x v="0"/>
    <n v="1025"/>
    <n v="409.36"/>
    <n v="304"/>
    <n v="550.87"/>
    <n v="226.35"/>
    <n v="641.11"/>
    <n v="344.13"/>
    <n v="50.34"/>
    <n v="697.09"/>
    <n v="96"/>
    <n v="552.80999999999995"/>
    <n v="455.75"/>
    <n v="484.24"/>
    <n v="4812.05"/>
    <n v="-28.490000000000009"/>
  </r>
  <r>
    <x v="7"/>
    <x v="1"/>
    <x v="0"/>
    <s v="5826200"/>
    <n v="718050"/>
    <s v="Contract Management--Linen"/>
    <s v="WH-Federal Way-Shared Svc"/>
    <x v="0"/>
    <n v="1026"/>
    <n v="1908.38"/>
    <n v="1263.3"/>
    <n v="1899.46"/>
    <n v="943.36"/>
    <n v="1162.51"/>
    <n v="1080.6199999999999"/>
    <n v="1265.1300000000001"/>
    <n v="1834.07"/>
    <n v="1512.32"/>
    <n v="748.07"/>
    <n v="1487.57"/>
    <n v="906.85"/>
    <n v="16011.640000000001"/>
    <n v="580.71999999999991"/>
  </r>
  <r>
    <x v="7"/>
    <x v="1"/>
    <x v="0"/>
    <s v="5826200"/>
    <n v="718050"/>
    <s v="Purchased Srvcs--Medical Waste"/>
    <s v="WH-Federal Way-Shared Svc"/>
    <x v="0"/>
    <n v="1027"/>
    <n v="126.72"/>
    <n v="88.16"/>
    <n v="43.84"/>
    <n v="158.84"/>
    <n v="66.53"/>
    <n v="102.96"/>
    <n v="177.88"/>
    <n v="551.07000000000005"/>
    <n v="89.64"/>
    <n v="90.28"/>
    <n v="0"/>
    <n v="45.31"/>
    <n v="1541.23"/>
    <n v="-45.31"/>
  </r>
  <r>
    <x v="7"/>
    <x v="1"/>
    <x v="0"/>
    <s v="5826200"/>
    <n v="718070"/>
    <s v="Contract Srvcs-CHI Clinical Engineering"/>
    <s v="WH-Federal Way-Shared Svc"/>
    <x v="0"/>
    <m/>
    <n v="0"/>
    <n v="0"/>
    <n v="247.62"/>
    <n v="2374.94"/>
    <n v="532.95000000000005"/>
    <n v="767.5"/>
    <n v="767.5"/>
    <n v="1068.75"/>
    <n v="0"/>
    <n v="510.25"/>
    <n v="613.79"/>
    <n v="0"/>
    <n v="6883.3"/>
    <n v="613.79"/>
  </r>
  <r>
    <x v="7"/>
    <x v="1"/>
    <x v="0"/>
    <s v="5826200"/>
    <n v="718077"/>
    <s v="PACS"/>
    <s v="WH-Federal Way-Shared Svc"/>
    <x v="0"/>
    <n v="1000"/>
    <n v="389.25"/>
    <n v="360"/>
    <n v="0"/>
    <n v="265.5"/>
    <n v="432"/>
    <n v="402.75"/>
    <n v="40.5"/>
    <n v="402.75"/>
    <n v="438.75"/>
    <n v="423"/>
    <n v="468"/>
    <n v="366.75"/>
    <n v="3989.25"/>
    <n v="101.25"/>
  </r>
  <r>
    <x v="11"/>
    <x v="1"/>
    <x v="0"/>
    <s v="5826200"/>
    <n v="721010"/>
    <s v="Supplies-Medical - Billable"/>
    <s v="WH-Federal Way-Shared Svc"/>
    <x v="0"/>
    <m/>
    <n v="6947.8"/>
    <n v="12350.92"/>
    <n v="5424.64"/>
    <n v="4754.3999999999996"/>
    <n v="5595.44"/>
    <n v="9818.4500000000007"/>
    <n v="19574.18"/>
    <n v="7122.4"/>
    <n v="0"/>
    <n v="8802"/>
    <n v="17841.78"/>
    <n v="6513.42"/>
    <n v="104745.43000000001"/>
    <n v="11328.359999999999"/>
  </r>
  <r>
    <x v="11"/>
    <x v="1"/>
    <x v="0"/>
    <s v="5826200"/>
    <n v="721250"/>
    <s v="Supplies-Pharmacy Drugs - Billable"/>
    <s v="WH-Federal Way-Shared Svc"/>
    <x v="0"/>
    <m/>
    <n v="0"/>
    <n v="3138.23"/>
    <n v="3404.61"/>
    <n v="905.55"/>
    <n v="906.33"/>
    <n v="3038.58"/>
    <n v="3355.05"/>
    <n v="1847.65"/>
    <n v="1226.55"/>
    <n v="666.71"/>
    <n v="-14719.67"/>
    <n v="2077.9499999999998"/>
    <n v="5847.5400000000018"/>
    <n v="-16797.62"/>
  </r>
  <r>
    <x v="11"/>
    <x v="1"/>
    <x v="0"/>
    <s v="5826200"/>
    <n v="721410"/>
    <s v="Supplies-Medical - Nonbillable"/>
    <s v="WH-Federal Way-Shared Svc"/>
    <x v="0"/>
    <m/>
    <n v="2572.62"/>
    <n v="2140.52"/>
    <n v="3068.08"/>
    <n v="5052.57"/>
    <n v="357.36"/>
    <n v="3144.11"/>
    <n v="2562.36"/>
    <n v="3598.07"/>
    <n v="2939.99"/>
    <n v="6.4"/>
    <n v="8585.73"/>
    <n v="8124.84"/>
    <n v="42152.649999999994"/>
    <n v="460.88999999999942"/>
  </r>
  <r>
    <x v="11"/>
    <x v="1"/>
    <x v="0"/>
    <s v="5826200"/>
    <n v="721810"/>
    <s v="Supplies-Dietary/Cafeteria"/>
    <s v="WH-Federal Way-Shared Svc"/>
    <x v="0"/>
    <m/>
    <n v="0"/>
    <n v="0"/>
    <n v="0"/>
    <n v="0"/>
    <n v="0"/>
    <n v="0"/>
    <n v="0"/>
    <n v="0"/>
    <n v="0"/>
    <n v="0"/>
    <n v="0"/>
    <n v="98.36"/>
    <n v="98.36"/>
    <n v="-98.36"/>
  </r>
  <r>
    <x v="11"/>
    <x v="1"/>
    <x v="0"/>
    <s v="5826200"/>
    <n v="721830"/>
    <s v="Supplies-Office"/>
    <s v="WH-Federal Way-Shared Svc"/>
    <x v="0"/>
    <m/>
    <n v="642.26"/>
    <n v="713.14"/>
    <n v="540.47"/>
    <n v="1365.93"/>
    <n v="698.54"/>
    <n v="1785.55"/>
    <n v="934.18"/>
    <n v="508.07"/>
    <n v="1195.6099999999999"/>
    <n v="736.16"/>
    <n v="187.86"/>
    <n v="737.96"/>
    <n v="10045.73"/>
    <n v="-550.1"/>
  </r>
  <r>
    <x v="11"/>
    <x v="1"/>
    <x v="0"/>
    <s v="5826200"/>
    <n v="721835"/>
    <s v="Supplies-Forms"/>
    <s v="WH-Federal Way-Shared Svc"/>
    <x v="0"/>
    <m/>
    <n v="0"/>
    <n v="0"/>
    <n v="0"/>
    <n v="0"/>
    <n v="136.93"/>
    <n v="200.4"/>
    <n v="0"/>
    <n v="0"/>
    <n v="420.3"/>
    <n v="2.33"/>
    <n v="21.09"/>
    <n v="15.4"/>
    <n v="796.45000000000016"/>
    <n v="5.6899999999999995"/>
  </r>
  <r>
    <x v="11"/>
    <x v="1"/>
    <x v="0"/>
    <s v="5826200"/>
    <n v="721870"/>
    <s v="Supplies-Environmental Services"/>
    <s v="WH-Federal Way-Shared Svc"/>
    <x v="0"/>
    <m/>
    <n v="216.77"/>
    <n v="217.46"/>
    <n v="181.39"/>
    <n v="282.32"/>
    <n v="82.53"/>
    <n v="0"/>
    <n v="419.44"/>
    <n v="299.44"/>
    <n v="53.04"/>
    <n v="246.12"/>
    <n v="42.85"/>
    <n v="160.02000000000001"/>
    <n v="2201.38"/>
    <n v="-117.17000000000002"/>
  </r>
  <r>
    <x v="11"/>
    <x v="1"/>
    <x v="0"/>
    <s v="5826200"/>
    <n v="721910"/>
    <s v="Supplies-Small Equipment"/>
    <s v="WH-Federal Way-Shared Svc"/>
    <x v="0"/>
    <m/>
    <n v="0"/>
    <n v="0"/>
    <n v="0"/>
    <n v="2001.98"/>
    <n v="0"/>
    <n v="0"/>
    <n v="0"/>
    <n v="250.14"/>
    <n v="0"/>
    <n v="552.74"/>
    <n v="0"/>
    <n v="44.13"/>
    <n v="2848.99"/>
    <n v="-44.13"/>
  </r>
  <r>
    <x v="11"/>
    <x v="1"/>
    <x v="0"/>
    <s v="5826200"/>
    <n v="721980"/>
    <s v="Supplies-Other"/>
    <s v="WH-Federal Way-Shared Svc"/>
    <x v="0"/>
    <m/>
    <n v="0"/>
    <n v="0"/>
    <n v="0"/>
    <n v="0"/>
    <n v="0"/>
    <n v="0"/>
    <n v="1287.8499999999999"/>
    <n v="954.39"/>
    <n v="0"/>
    <n v="0"/>
    <n v="0"/>
    <n v="0"/>
    <n v="2242.2399999999998"/>
    <n v="0"/>
  </r>
  <r>
    <x v="11"/>
    <x v="1"/>
    <x v="0"/>
    <s v="5826200"/>
    <n v="722000"/>
    <s v="Supplies-Freight Expense"/>
    <s v="WH-Federal Way-Shared Svc"/>
    <x v="0"/>
    <m/>
    <n v="0"/>
    <n v="0"/>
    <n v="0"/>
    <n v="0"/>
    <n v="0"/>
    <n v="0"/>
    <n v="0"/>
    <n v="0"/>
    <n v="37.770000000000003"/>
    <n v="0"/>
    <n v="8.27"/>
    <n v="0"/>
    <n v="46.040000000000006"/>
    <n v="8.27"/>
  </r>
  <r>
    <x v="12"/>
    <x v="1"/>
    <x v="0"/>
    <s v="5826200"/>
    <n v="730010"/>
    <s v="Rental and Leases-Building (DO NOT USE)"/>
    <s v="WH-Federal Way-Shared Svc"/>
    <x v="0"/>
    <m/>
    <n v="21733.53"/>
    <n v="22358.14"/>
    <n v="22358.14"/>
    <n v="22358.16"/>
    <n v="22358.14"/>
    <n v="-17961.509999999998"/>
    <n v="17033.650000000001"/>
    <n v="17033.650000000001"/>
    <n v="16990.03"/>
    <n v="15395.47"/>
    <n v="15395.47"/>
    <n v="0"/>
    <n v="175052.87"/>
    <n v="15395.47"/>
  </r>
  <r>
    <x v="12"/>
    <x v="1"/>
    <x v="0"/>
    <s v="5826200"/>
    <n v="730010"/>
    <s v="Rental-Common Area Maint (DO NOT USE)"/>
    <s v="WH-Federal Way-Shared Svc"/>
    <x v="0"/>
    <n v="2200"/>
    <n v="0"/>
    <n v="0"/>
    <n v="0"/>
    <n v="0"/>
    <n v="0"/>
    <n v="40088.89"/>
    <n v="5093.7299999999996"/>
    <n v="5093.7299999999996"/>
    <n v="5093.7299999999996"/>
    <n v="6550.43"/>
    <n v="6762.14"/>
    <n v="0"/>
    <n v="68682.649999999994"/>
    <n v="6762.14"/>
  </r>
  <r>
    <x v="12"/>
    <x v="1"/>
    <x v="0"/>
    <s v="5826200"/>
    <n v="730020"/>
    <s v="Rental and Leases-Copier Usage Fees (DO NOT USE)"/>
    <s v="WH-Federal Way-Shared Svc"/>
    <x v="0"/>
    <n v="5100"/>
    <n v="476.62"/>
    <n v="485.36"/>
    <n v="480.99"/>
    <n v="480.99"/>
    <n v="480.99"/>
    <n v="480.99"/>
    <n v="423.1"/>
    <n v="439.58"/>
    <n v="454.1"/>
    <n v="606.42999999999995"/>
    <n v="439.58"/>
    <n v="484.77"/>
    <n v="5733.5"/>
    <n v="-45.19"/>
  </r>
  <r>
    <x v="12"/>
    <x v="1"/>
    <x v="0"/>
    <s v="5826200"/>
    <n v="730040"/>
    <s v="LT Lease-Real Estate"/>
    <s v="WH-Federal Way-Shared Svc"/>
    <x v="0"/>
    <m/>
    <n v="0"/>
    <n v="0"/>
    <n v="0"/>
    <n v="0"/>
    <n v="0"/>
    <n v="0"/>
    <n v="0"/>
    <n v="0"/>
    <n v="0"/>
    <n v="0"/>
    <n v="0"/>
    <n v="22016.82"/>
    <n v="22016.82"/>
    <n v="-22016.82"/>
  </r>
  <r>
    <x v="15"/>
    <x v="1"/>
    <x v="0"/>
    <s v="5826200"/>
    <n v="731010"/>
    <s v="Natural Gas"/>
    <s v="WH-Federal Way-Shared Svc"/>
    <x v="0"/>
    <m/>
    <n v="38.630000000000003"/>
    <n v="38.630000000000003"/>
    <n v="38.630000000000003"/>
    <n v="38.630000000000003"/>
    <n v="41.22"/>
    <n v="41.22"/>
    <n v="41.22"/>
    <n v="41.22"/>
    <n v="41.22"/>
    <n v="41.22"/>
    <n v="41.22"/>
    <n v="41.49"/>
    <n v="484.55000000000007"/>
    <n v="-0.27000000000000313"/>
  </r>
  <r>
    <x v="15"/>
    <x v="1"/>
    <x v="0"/>
    <s v="5826200"/>
    <n v="731020"/>
    <s v="Electricity"/>
    <s v="WH-Federal Way-Shared Svc"/>
    <x v="0"/>
    <m/>
    <n v="578.12"/>
    <n v="654.04"/>
    <n v="585.28"/>
    <n v="538.57000000000005"/>
    <n v="575.04"/>
    <n v="664.79"/>
    <n v="674.59"/>
    <n v="828.04"/>
    <n v="779.55"/>
    <n v="528.42999999999995"/>
    <n v="528.09"/>
    <n v="441.77"/>
    <n v="7376.3099999999995"/>
    <n v="86.32000000000005"/>
  </r>
  <r>
    <x v="15"/>
    <x v="1"/>
    <x v="0"/>
    <s v="5826200"/>
    <n v="731060"/>
    <s v="Telephone"/>
    <s v="WH-Federal Way-Shared Svc"/>
    <x v="0"/>
    <m/>
    <n v="0"/>
    <n v="0"/>
    <n v="0"/>
    <n v="0"/>
    <n v="0"/>
    <n v="0"/>
    <n v="0"/>
    <n v="350"/>
    <n v="0"/>
    <n v="35"/>
    <n v="0"/>
    <n v="0"/>
    <n v="385"/>
    <n v="0"/>
  </r>
  <r>
    <x v="15"/>
    <x v="1"/>
    <x v="0"/>
    <s v="5826200"/>
    <n v="731060"/>
    <s v="Pagers"/>
    <s v="WH-Federal Way-Shared Svc"/>
    <x v="0"/>
    <n v="1002"/>
    <n v="0"/>
    <n v="0"/>
    <n v="0"/>
    <n v="0"/>
    <n v="0"/>
    <n v="0"/>
    <n v="0"/>
    <n v="0"/>
    <n v="23"/>
    <n v="16.239999999999998"/>
    <n v="16.239999999999998"/>
    <n v="16.239999999999998"/>
    <n v="71.719999999999985"/>
    <n v="0"/>
  </r>
  <r>
    <x v="15"/>
    <x v="1"/>
    <x v="0"/>
    <s v="5826200"/>
    <n v="731070"/>
    <s v="Cable TV"/>
    <s v="WH-Federal Way-Shared Svc"/>
    <x v="0"/>
    <m/>
    <n v="71.81"/>
    <n v="61.81"/>
    <n v="61.81"/>
    <n v="63.79"/>
    <n v="63.79"/>
    <n v="63.79"/>
    <n v="63.79"/>
    <n v="0"/>
    <n v="127.58"/>
    <n v="63.79"/>
    <n v="63.99"/>
    <n v="63.99"/>
    <n v="769.94"/>
    <n v="0"/>
  </r>
  <r>
    <x v="16"/>
    <x v="1"/>
    <x v="0"/>
    <s v="5826200"/>
    <n v="732015"/>
    <s v="Repairs-Clinical Equip-T&amp;M-Ext to CHI Programs"/>
    <s v="WH-Federal Way-Shared Svc"/>
    <x v="0"/>
    <m/>
    <n v="0"/>
    <n v="0"/>
    <n v="0"/>
    <n v="0"/>
    <n v="0"/>
    <n v="0"/>
    <n v="0"/>
    <n v="461.55"/>
    <n v="0"/>
    <n v="0"/>
    <n v="0"/>
    <n v="0"/>
    <n v="461.55"/>
    <n v="0"/>
  </r>
  <r>
    <x v="16"/>
    <x v="1"/>
    <x v="0"/>
    <s v="5826200"/>
    <n v="732030"/>
    <s v="Repairs---Other"/>
    <s v="WH-Federal Way-Shared Svc"/>
    <x v="0"/>
    <m/>
    <n v="26.21"/>
    <n v="0"/>
    <n v="0"/>
    <n v="0"/>
    <n v="0"/>
    <n v="0"/>
    <n v="0"/>
    <n v="3361.76"/>
    <n v="142.26"/>
    <n v="48.05"/>
    <n v="409.53"/>
    <n v="2507.65"/>
    <n v="6495.4600000000009"/>
    <n v="-2098.12"/>
  </r>
  <r>
    <x v="16"/>
    <x v="1"/>
    <x v="0"/>
    <s v="5826200"/>
    <n v="732030"/>
    <s v="Repairs&amp;Maintenance-Bldg Routine"/>
    <s v="WH-Federal Way-Shared Svc"/>
    <x v="0"/>
    <n v="2300"/>
    <n v="0"/>
    <n v="53.21"/>
    <n v="175.3"/>
    <n v="157.13"/>
    <n v="197.96"/>
    <n v="0"/>
    <n v="0"/>
    <n v="0"/>
    <n v="1089"/>
    <n v="0"/>
    <n v="0"/>
    <n v="0"/>
    <n v="1672.6"/>
    <n v="0"/>
  </r>
  <r>
    <x v="13"/>
    <x v="1"/>
    <x v="0"/>
    <s v="5826200"/>
    <n v="735070"/>
    <s v="Depreciation-Movable Equipment"/>
    <s v="WH-Federal Way-Shared Svc"/>
    <x v="0"/>
    <m/>
    <n v="2275.85"/>
    <n v="2275.85"/>
    <n v="2275.86"/>
    <n v="2275.85"/>
    <n v="2275.86"/>
    <n v="2275.83"/>
    <n v="2275.86"/>
    <n v="2275.8200000000002"/>
    <n v="2275.87"/>
    <n v="2275.8200000000002"/>
    <n v="2275.87"/>
    <n v="2275.8200000000002"/>
    <n v="27310.16"/>
    <n v="4.9999999999727152E-2"/>
  </r>
  <r>
    <x v="0"/>
    <x v="1"/>
    <x v="0"/>
    <s v="5826200"/>
    <n v="742040"/>
    <s v="Freight-Other"/>
    <s v="WH-Federal Way-Shared Svc"/>
    <x v="0"/>
    <m/>
    <n v="0"/>
    <n v="0"/>
    <n v="0"/>
    <n v="37.92"/>
    <n v="0"/>
    <n v="0"/>
    <n v="0"/>
    <n v="0"/>
    <n v="0"/>
    <n v="0"/>
    <n v="0"/>
    <n v="68.44"/>
    <n v="106.36"/>
    <n v="-68.44"/>
  </r>
  <r>
    <x v="0"/>
    <x v="1"/>
    <x v="0"/>
    <s v="5826200"/>
    <n v="743010"/>
    <s v="Dues--Institutional"/>
    <s v="WH-Federal Way-Shared Svc"/>
    <x v="0"/>
    <m/>
    <n v="0"/>
    <n v="0"/>
    <n v="0"/>
    <n v="0"/>
    <n v="1610"/>
    <n v="0"/>
    <n v="0"/>
    <n v="0"/>
    <n v="0"/>
    <n v="0"/>
    <n v="0"/>
    <n v="0"/>
    <n v="1610"/>
    <n v="0"/>
  </r>
  <r>
    <x v="0"/>
    <x v="1"/>
    <x v="0"/>
    <s v="5826200"/>
    <n v="743030"/>
    <s v="Subscriptions--Institutional"/>
    <s v="WH-Federal Way-Shared Svc"/>
    <x v="0"/>
    <m/>
    <n v="0"/>
    <n v="0"/>
    <n v="0"/>
    <n v="534"/>
    <n v="0"/>
    <n v="0"/>
    <n v="0"/>
    <n v="60"/>
    <n v="10"/>
    <n v="0"/>
    <n v="0"/>
    <n v="0"/>
    <n v="604"/>
    <n v="0"/>
  </r>
  <r>
    <x v="0"/>
    <x v="1"/>
    <x v="0"/>
    <s v="5826200"/>
    <n v="744012"/>
    <s v="Recruitment-Physician"/>
    <s v="WH-Federal Way-Shared Svc"/>
    <x v="0"/>
    <m/>
    <n v="0"/>
    <n v="0"/>
    <n v="0"/>
    <n v="0"/>
    <n v="0"/>
    <n v="0"/>
    <n v="0"/>
    <n v="96.75"/>
    <n v="0"/>
    <n v="0"/>
    <n v="0"/>
    <n v="0"/>
    <n v="96.75"/>
    <n v="0"/>
  </r>
  <r>
    <x v="0"/>
    <x v="1"/>
    <x v="0"/>
    <s v="5826200"/>
    <n v="749510"/>
    <s v="Miscellaneous Expenses"/>
    <s v="WH-Federal Way-Shared Svc"/>
    <x v="0"/>
    <m/>
    <n v="35.200000000000003"/>
    <n v="0"/>
    <n v="17.600000000000001"/>
    <n v="15.6"/>
    <n v="1172.46"/>
    <n v="-186.99"/>
    <n v="236.57"/>
    <n v="-56.49"/>
    <n v="-1"/>
    <n v="20.63"/>
    <n v="20.63"/>
    <n v="0"/>
    <n v="1274.2100000000003"/>
    <n v="20.63"/>
  </r>
  <r>
    <x v="0"/>
    <x v="1"/>
    <x v="0"/>
    <s v="5826200"/>
    <n v="749510"/>
    <s v="Licenses"/>
    <s v="WH-Federal Way-Shared Svc"/>
    <x v="0"/>
    <n v="1002"/>
    <n v="0"/>
    <n v="0"/>
    <n v="530"/>
    <n v="0"/>
    <n v="0"/>
    <n v="0"/>
    <n v="0"/>
    <n v="0"/>
    <n v="0"/>
    <n v="0"/>
    <n v="200"/>
    <n v="250"/>
    <n v="980"/>
    <n v="-50"/>
  </r>
  <r>
    <x v="0"/>
    <x v="1"/>
    <x v="0"/>
    <s v="5826200"/>
    <n v="749510"/>
    <s v="Uniforms"/>
    <s v="WH-Federal Way-Shared Svc"/>
    <x v="0"/>
    <n v="1028"/>
    <n v="0"/>
    <n v="0"/>
    <n v="46.92"/>
    <n v="46.92"/>
    <n v="0"/>
    <n v="43.01"/>
    <n v="46.92"/>
    <n v="0"/>
    <n v="0"/>
    <n v="0"/>
    <n v="0"/>
    <n v="0"/>
    <n v="183.76999999999998"/>
    <n v="0"/>
  </r>
  <r>
    <x v="0"/>
    <x v="1"/>
    <x v="0"/>
    <s v="5826200"/>
    <n v="749510"/>
    <s v="RICE Rewards"/>
    <s v="WH-Federal Way-Shared Svc"/>
    <x v="0"/>
    <n v="5100"/>
    <n v="0"/>
    <n v="0"/>
    <n v="0"/>
    <n v="0"/>
    <n v="0"/>
    <n v="186.99"/>
    <n v="0"/>
    <n v="0"/>
    <n v="0"/>
    <n v="150"/>
    <n v="387.72"/>
    <n v="82"/>
    <n v="806.71"/>
    <n v="305.72000000000003"/>
  </r>
  <r>
    <x v="0"/>
    <x v="1"/>
    <x v="0"/>
    <s v="5826200"/>
    <n v="749530"/>
    <s v="Mileage"/>
    <s v="WH-Federal Way-Shared Svc"/>
    <x v="0"/>
    <n v="1001"/>
    <n v="0"/>
    <n v="0"/>
    <n v="0"/>
    <n v="0"/>
    <n v="0"/>
    <n v="0"/>
    <n v="0"/>
    <n v="0"/>
    <n v="0"/>
    <n v="13.92"/>
    <n v="0"/>
    <n v="0"/>
    <n v="13.92"/>
    <n v="0"/>
  </r>
  <r>
    <x v="0"/>
    <x v="1"/>
    <x v="0"/>
    <s v="5826200"/>
    <n v="749550"/>
    <s v="Cash Over/Short"/>
    <s v="WH-Federal Way-Shared Svc"/>
    <x v="0"/>
    <m/>
    <n v="5"/>
    <n v="0"/>
    <n v="0"/>
    <n v="0"/>
    <n v="0"/>
    <n v="0"/>
    <n v="0"/>
    <n v="0"/>
    <n v="-5.9"/>
    <n v="0"/>
    <n v="0"/>
    <n v="-55"/>
    <n v="-55.9"/>
    <n v="55"/>
  </r>
  <r>
    <x v="0"/>
    <x v="1"/>
    <x v="0"/>
    <s v="5826200"/>
    <n v="766010"/>
    <s v="Property Tax"/>
    <s v="WH-Federal Way-Shared Svc"/>
    <x v="0"/>
    <m/>
    <n v="46.45"/>
    <n v="46.45"/>
    <n v="46.45"/>
    <n v="46.45"/>
    <n v="46.45"/>
    <n v="46.45"/>
    <n v="46.45"/>
    <n v="46.45"/>
    <n v="46.45"/>
    <n v="-19.440000000000001"/>
    <n v="29.98"/>
    <n v="29.98"/>
    <n v="458.57"/>
    <n v="0"/>
  </r>
  <r>
    <x v="5"/>
    <x v="1"/>
    <x v="0"/>
    <s v="5827200"/>
    <n v="700014"/>
    <s v="Salaries-Management-Productive"/>
    <s v="FMB @ St. Joe's 5th Floor"/>
    <x v="0"/>
    <m/>
    <n v="3272.19"/>
    <n v="3420.93"/>
    <n v="2045.12"/>
    <n v="3633.34"/>
    <n v="3304.58"/>
    <n v="2778.84"/>
    <n v="3084"/>
    <n v="3008.56"/>
    <n v="2406.85"/>
    <n v="3309.41"/>
    <n v="3459.85"/>
    <n v="2632.49"/>
    <n v="36356.159999999996"/>
    <n v="827.36000000000013"/>
  </r>
  <r>
    <x v="5"/>
    <x v="1"/>
    <x v="0"/>
    <s v="5827200"/>
    <n v="700018"/>
    <s v="Salaries-Supervisory-Productive"/>
    <s v="FMB @ St. Joe's 5th Floor"/>
    <x v="0"/>
    <m/>
    <n v="3177.6"/>
    <n v="2179.6799999999998"/>
    <n v="3368"/>
    <n v="3889.63"/>
    <n v="7821.41"/>
    <n v="-311.48"/>
    <n v="2807.4"/>
    <n v="3743.16"/>
    <n v="2946"/>
    <n v="2876.67"/>
    <n v="5324.87"/>
    <n v="2690.28"/>
    <n v="40513.22"/>
    <n v="2634.5899999999997"/>
  </r>
  <r>
    <x v="5"/>
    <x v="1"/>
    <x v="0"/>
    <s v="5827200"/>
    <n v="700038"/>
    <s v="Salaries-Service/Support-Productive"/>
    <s v="FMB @ St. Joe's 5th Floor"/>
    <x v="0"/>
    <m/>
    <n v="22285.14"/>
    <n v="21648.41"/>
    <n v="16222.72"/>
    <n v="14339.22"/>
    <n v="18801.48"/>
    <n v="20642.259999999998"/>
    <n v="25214.04"/>
    <n v="20492.099999999999"/>
    <n v="23351.66"/>
    <n v="24791.32"/>
    <n v="22548.19"/>
    <n v="19204.87"/>
    <n v="249541.41"/>
    <n v="3343.3199999999997"/>
  </r>
  <r>
    <x v="5"/>
    <x v="1"/>
    <x v="0"/>
    <s v="5827200"/>
    <n v="700038"/>
    <s v="Salaries-Service/Support-OT"/>
    <s v="FMB @ St. Joe's 5th Floor"/>
    <x v="0"/>
    <n v="1000"/>
    <n v="258.66000000000003"/>
    <n v="267.2"/>
    <n v="1510.79"/>
    <n v="2632.12"/>
    <n v="3108.29"/>
    <n v="354.89"/>
    <n v="362.81"/>
    <n v="-16.12"/>
    <n v="133.46"/>
    <n v="21.77"/>
    <n v="814.42"/>
    <n v="232.88"/>
    <n v="9681.1699999999983"/>
    <n v="581.54"/>
  </r>
  <r>
    <x v="5"/>
    <x v="1"/>
    <x v="0"/>
    <s v="5827200"/>
    <n v="700038"/>
    <s v="Salaries-Service/Support-Other"/>
    <s v="FMB @ St. Joe's 5th Floor"/>
    <x v="0"/>
    <n v="2000"/>
    <n v="132.94"/>
    <n v="50.02"/>
    <n v="215.63"/>
    <n v="123.72"/>
    <n v="-40"/>
    <n v="34.5"/>
    <n v="248.55"/>
    <n v="177.34"/>
    <n v="211.1"/>
    <n v="220.15"/>
    <n v="254.13"/>
    <n v="195.93"/>
    <n v="1824.0100000000004"/>
    <n v="58.199999999999989"/>
  </r>
  <r>
    <x v="5"/>
    <x v="1"/>
    <x v="0"/>
    <s v="5827200"/>
    <n v="700054"/>
    <s v="Salaries-Management-Non-productive"/>
    <s v="FMB @ St. Joe's 5th Floor"/>
    <x v="0"/>
    <m/>
    <n v="371.84"/>
    <n v="1115.52"/>
    <n v="3718.4"/>
    <n v="-743.68"/>
    <n v="0"/>
    <n v="2365.77"/>
    <n v="1015.57"/>
    <n v="0"/>
    <n v="752.15"/>
    <n v="752.15"/>
    <n v="1504.31"/>
    <n v="376.08"/>
    <n v="11228.109999999999"/>
    <n v="1128.23"/>
  </r>
  <r>
    <x v="5"/>
    <x v="1"/>
    <x v="0"/>
    <s v="5827200"/>
    <n v="700054"/>
    <s v="Salaries-Management-NonProd-Other"/>
    <s v="FMB @ St. Joe's 5th Floor"/>
    <x v="0"/>
    <n v="2000"/>
    <n v="0"/>
    <n v="0"/>
    <n v="0"/>
    <n v="0"/>
    <n v="0"/>
    <n v="1711.51"/>
    <n v="-1711.51"/>
    <n v="0"/>
    <n v="0"/>
    <n v="0"/>
    <n v="0"/>
    <n v="0"/>
    <n v="0"/>
    <n v="0"/>
  </r>
  <r>
    <x v="5"/>
    <x v="1"/>
    <x v="0"/>
    <s v="5827200"/>
    <n v="700058"/>
    <s v="Salaries-Supervisory-Non-productive"/>
    <s v="FMB @ St. Joe's 5th Floor"/>
    <x v="0"/>
    <m/>
    <n v="317.76"/>
    <n v="953.28"/>
    <n v="336.8"/>
    <n v="2205.63"/>
    <n v="-830.59"/>
    <n v="2180.3000000000002"/>
    <n v="727.98"/>
    <n v="-138.63"/>
    <n v="693.17"/>
    <n v="346.58"/>
    <n v="1053.93"/>
    <n v="2440.2399999999998"/>
    <n v="10286.450000000001"/>
    <n v="-1386.3099999999997"/>
  </r>
  <r>
    <x v="5"/>
    <x v="1"/>
    <x v="0"/>
    <s v="5827200"/>
    <n v="700078"/>
    <s v="Salaries-Service/Support-Non-productive"/>
    <s v="FMB @ St. Joe's 5th Floor"/>
    <x v="0"/>
    <m/>
    <n v="1864.91"/>
    <n v="1446.69"/>
    <n v="2797.09"/>
    <n v="952.67"/>
    <n v="121.89"/>
    <n v="3567.24"/>
    <n v="2229.2399999999998"/>
    <n v="1761.58"/>
    <n v="-41.83"/>
    <n v="1904.2"/>
    <n v="1087.33"/>
    <n v="2096.5100000000002"/>
    <n v="19787.520000000004"/>
    <n v="-1009.1800000000003"/>
  </r>
  <r>
    <x v="5"/>
    <x v="1"/>
    <x v="0"/>
    <s v="5827200"/>
    <n v="700078"/>
    <s v="Salaries-Service/Support-NonProd-Other"/>
    <s v="FMB @ St. Joe's 5th Floor"/>
    <x v="0"/>
    <n v="2000"/>
    <n v="0"/>
    <n v="0"/>
    <n v="0"/>
    <n v="0"/>
    <n v="265.3"/>
    <n v="0"/>
    <n v="0"/>
    <n v="-265.3"/>
    <n v="0"/>
    <n v="0"/>
    <n v="0"/>
    <n v="0"/>
    <n v="0"/>
    <n v="0"/>
  </r>
  <r>
    <x v="5"/>
    <x v="1"/>
    <x v="0"/>
    <s v="5827200"/>
    <n v="700084"/>
    <s v="Accrued PTO"/>
    <s v="FMB @ St. Joe's 5th Floor"/>
    <x v="0"/>
    <m/>
    <n v="2466.21"/>
    <n v="1076.32"/>
    <n v="-2292.27"/>
    <n v="2606.11"/>
    <n v="3697.78"/>
    <n v="-1450.55"/>
    <n v="667.42"/>
    <n v="4053.35"/>
    <n v="1094.07"/>
    <n v="2217.46"/>
    <n v="1602.04"/>
    <n v="1101.95"/>
    <n v="16839.89"/>
    <n v="500.08999999999992"/>
  </r>
  <r>
    <x v="6"/>
    <x v="1"/>
    <x v="0"/>
    <s v="5827200"/>
    <n v="713010"/>
    <s v="Benefits-FICA/Medicare"/>
    <s v="FMB @ St. Joe's 5th Floor"/>
    <x v="0"/>
    <m/>
    <n v="2328.36"/>
    <n v="2261.41"/>
    <n v="2204.52"/>
    <n v="1994.53"/>
    <n v="2406.3200000000002"/>
    <n v="2488.64"/>
    <n v="2745.91"/>
    <n v="2126.61"/>
    <n v="2242.4299999999998"/>
    <n v="2475.2199999999998"/>
    <n v="2659.97"/>
    <n v="2272.5"/>
    <n v="28206.420000000006"/>
    <n v="387.4699999999998"/>
  </r>
  <r>
    <x v="6"/>
    <x v="1"/>
    <x v="0"/>
    <s v="5827200"/>
    <n v="713090"/>
    <s v="Benefits-Allocated Amounts"/>
    <s v="FMB @ St. Joe's 5th Floor"/>
    <x v="0"/>
    <m/>
    <n v="8483.19"/>
    <n v="7119.13"/>
    <n v="7566.69"/>
    <n v="6429.69"/>
    <n v="6984.35"/>
    <n v="8427.01"/>
    <n v="9754.73"/>
    <n v="8670.59"/>
    <n v="8454.61"/>
    <n v="9171.5"/>
    <n v="9304.91"/>
    <n v="9133.01"/>
    <n v="99499.409999999989"/>
    <n v="171.89999999999964"/>
  </r>
  <r>
    <x v="6"/>
    <x v="1"/>
    <x v="0"/>
    <s v="5827200"/>
    <n v="713096"/>
    <s v="Employee Recognition"/>
    <s v="FMB @ St. Joe's 5th Floor"/>
    <x v="0"/>
    <n v="1017"/>
    <n v="27.99"/>
    <n v="0"/>
    <n v="18.989999999999998"/>
    <n v="43.82"/>
    <n v="0"/>
    <n v="182.31"/>
    <n v="124.08"/>
    <n v="0"/>
    <n v="0"/>
    <n v="0"/>
    <n v="0"/>
    <n v="36.21"/>
    <n v="433.4"/>
    <n v="-36.21"/>
  </r>
  <r>
    <x v="7"/>
    <x v="1"/>
    <x v="0"/>
    <s v="5827200"/>
    <n v="718010"/>
    <s v="Media/Print Advertising"/>
    <s v="FMB @ St. Joe's 5th Floor"/>
    <x v="0"/>
    <n v="1004"/>
    <n v="0"/>
    <n v="24.42"/>
    <n v="0"/>
    <n v="97.22"/>
    <n v="0"/>
    <n v="0"/>
    <n v="96.85"/>
    <n v="0"/>
    <n v="100.38"/>
    <n v="67.900000000000006"/>
    <n v="170.38"/>
    <n v="-3.1"/>
    <n v="554.04999999999995"/>
    <n v="173.48"/>
  </r>
  <r>
    <x v="7"/>
    <x v="1"/>
    <x v="0"/>
    <s v="5827200"/>
    <n v="718050"/>
    <s v="Contract Svcs-Other"/>
    <s v="FMB @ St. Joe's 5th Floor"/>
    <x v="0"/>
    <m/>
    <n v="114.44"/>
    <n v="1681.14"/>
    <n v="256.45999999999998"/>
    <n v="125.19"/>
    <n v="134.34"/>
    <n v="148.55000000000001"/>
    <n v="177.78"/>
    <n v="166.88"/>
    <n v="866.38"/>
    <n v="0"/>
    <n v="1447.1"/>
    <n v="113.12"/>
    <n v="5231.38"/>
    <n v="1333.98"/>
  </r>
  <r>
    <x v="7"/>
    <x v="1"/>
    <x v="0"/>
    <s v="5827200"/>
    <n v="718050"/>
    <s v="Document Shredding/Storage"/>
    <s v="FMB @ St. Joe's 5th Floor"/>
    <x v="0"/>
    <n v="1012"/>
    <n v="202.27"/>
    <n v="577.41"/>
    <n v="-18.3"/>
    <n v="150.19"/>
    <n v="193.18"/>
    <n v="161.9"/>
    <n v="150.28"/>
    <n v="211.54"/>
    <n v="168.87"/>
    <n v="56.65"/>
    <n v="127.43"/>
    <n v="253.42"/>
    <n v="2234.84"/>
    <n v="-125.98999999999998"/>
  </r>
  <r>
    <x v="7"/>
    <x v="1"/>
    <x v="0"/>
    <s v="5827200"/>
    <n v="718050"/>
    <s v="Miscellaneous Purchased Svcs"/>
    <s v="FMB @ St. Joe's 5th Floor"/>
    <x v="0"/>
    <n v="1020"/>
    <n v="0"/>
    <n v="187.92"/>
    <n v="44.5"/>
    <n v="641.11"/>
    <n v="36.520000000000003"/>
    <n v="0"/>
    <n v="0"/>
    <n v="89"/>
    <n v="0"/>
    <n v="12.7"/>
    <n v="0"/>
    <n v="2177.61"/>
    <n v="3189.36"/>
    <n v="-2177.61"/>
  </r>
  <r>
    <x v="7"/>
    <x v="1"/>
    <x v="0"/>
    <s v="5827200"/>
    <n v="718050"/>
    <s v="Translation Services"/>
    <s v="FMB @ St. Joe's 5th Floor"/>
    <x v="0"/>
    <n v="1025"/>
    <n v="877"/>
    <n v="515.5"/>
    <n v="0"/>
    <n v="542"/>
    <n v="578.5"/>
    <n v="336"/>
    <n v="587"/>
    <n v="0"/>
    <n v="976"/>
    <n v="112"/>
    <n v="990.5"/>
    <n v="0"/>
    <n v="5514.5"/>
    <n v="990.5"/>
  </r>
  <r>
    <x v="7"/>
    <x v="1"/>
    <x v="0"/>
    <s v="5827200"/>
    <n v="718050"/>
    <s v="Purchased Srvcs--Medical Waste"/>
    <s v="FMB @ St. Joe's 5th Floor"/>
    <x v="0"/>
    <n v="1027"/>
    <n v="0"/>
    <n v="0"/>
    <n v="2566.8000000000002"/>
    <n v="0"/>
    <n v="2835.46"/>
    <n v="0"/>
    <n v="0"/>
    <n v="0"/>
    <n v="531.20000000000005"/>
    <n v="531.21"/>
    <n v="0"/>
    <n v="1129.21"/>
    <n v="7593.88"/>
    <n v="-1129.21"/>
  </r>
  <r>
    <x v="7"/>
    <x v="1"/>
    <x v="0"/>
    <s v="5827200"/>
    <n v="718070"/>
    <s v="Contract Srvcs-CHI Clinical Engineering"/>
    <s v="FMB @ St. Joe's 5th Floor"/>
    <x v="0"/>
    <m/>
    <n v="0"/>
    <n v="0"/>
    <n v="359.9"/>
    <n v="0"/>
    <n v="1157.3900000000001"/>
    <n v="883.48"/>
    <n v="2873.18"/>
    <n v="3520.07"/>
    <n v="285.01"/>
    <n v="0"/>
    <n v="275.5"/>
    <n v="0"/>
    <n v="9354.5300000000007"/>
    <n v="275.5"/>
  </r>
  <r>
    <x v="11"/>
    <x v="1"/>
    <x v="0"/>
    <s v="5827200"/>
    <n v="721250"/>
    <s v="Supplies-Pharmacy Drugs - Billable"/>
    <s v="FMB @ St. Joe's 5th Floor"/>
    <x v="0"/>
    <m/>
    <n v="0"/>
    <n v="552.76"/>
    <n v="8.6999999999999993"/>
    <n v="936.43"/>
    <n v="0"/>
    <n v="33.69"/>
    <n v="0"/>
    <n v="0"/>
    <n v="0"/>
    <n v="0"/>
    <n v="0"/>
    <n v="0"/>
    <n v="1531.58"/>
    <n v="0"/>
  </r>
  <r>
    <x v="11"/>
    <x v="1"/>
    <x v="0"/>
    <s v="5827200"/>
    <n v="721410"/>
    <s v="Supplies-Medical - Nonbillable"/>
    <s v="FMB @ St. Joe's 5th Floor"/>
    <x v="0"/>
    <m/>
    <n v="0"/>
    <n v="237.33"/>
    <n v="32.06"/>
    <n v="310.05"/>
    <n v="462.4"/>
    <n v="234.47"/>
    <n v="428.56"/>
    <n v="0"/>
    <n v="210.75"/>
    <n v="119.11"/>
    <n v="79.28"/>
    <n v="155.56"/>
    <n v="2269.5700000000002"/>
    <n v="-76.28"/>
  </r>
  <r>
    <x v="11"/>
    <x v="1"/>
    <x v="0"/>
    <s v="5827200"/>
    <n v="721810"/>
    <s v="Supplies-Dietary/Cafeteria"/>
    <s v="FMB @ St. Joe's 5th Floor"/>
    <x v="0"/>
    <m/>
    <n v="199.38"/>
    <n v="99.64"/>
    <n v="150.97999999999999"/>
    <n v="32.43"/>
    <n v="145.69999999999999"/>
    <n v="0"/>
    <n v="0"/>
    <n v="0"/>
    <n v="0"/>
    <n v="0"/>
    <n v="0"/>
    <n v="0"/>
    <n v="628.13"/>
    <n v="0"/>
  </r>
  <r>
    <x v="11"/>
    <x v="1"/>
    <x v="0"/>
    <s v="5827200"/>
    <n v="721830"/>
    <s v="Supplies-Office"/>
    <s v="FMB @ St. Joe's 5th Floor"/>
    <x v="0"/>
    <m/>
    <n v="252.77"/>
    <n v="436.57"/>
    <n v="268.44"/>
    <n v="379.66"/>
    <n v="620.16"/>
    <n v="907.07"/>
    <n v="232.11"/>
    <n v="570.24"/>
    <n v="405.22"/>
    <n v="782.67"/>
    <n v="756.46"/>
    <n v="277.70999999999998"/>
    <n v="5889.0800000000008"/>
    <n v="478.75000000000006"/>
  </r>
  <r>
    <x v="11"/>
    <x v="1"/>
    <x v="0"/>
    <s v="5827200"/>
    <n v="721835"/>
    <s v="Supplies-Forms"/>
    <s v="FMB @ St. Joe's 5th Floor"/>
    <x v="0"/>
    <m/>
    <n v="0"/>
    <n v="0"/>
    <n v="0"/>
    <n v="0"/>
    <n v="174.75"/>
    <n v="0"/>
    <n v="0"/>
    <n v="0"/>
    <n v="0"/>
    <n v="0"/>
    <n v="20.05"/>
    <n v="3.82"/>
    <n v="198.62"/>
    <n v="16.23"/>
  </r>
  <r>
    <x v="11"/>
    <x v="1"/>
    <x v="0"/>
    <s v="5827200"/>
    <n v="721910"/>
    <s v="Supplies-Small Equipment"/>
    <s v="FMB @ St. Joe's 5th Floor"/>
    <x v="0"/>
    <m/>
    <n v="222"/>
    <n v="18.12"/>
    <n v="0"/>
    <n v="3590"/>
    <n v="2110.11"/>
    <n v="318.93"/>
    <n v="0"/>
    <n v="0"/>
    <n v="0"/>
    <n v="138.31"/>
    <n v="-66.680000000000007"/>
    <n v="14.34"/>
    <n v="6345.13"/>
    <n v="-81.02000000000001"/>
  </r>
  <r>
    <x v="11"/>
    <x v="1"/>
    <x v="0"/>
    <s v="5827200"/>
    <n v="721980"/>
    <s v="Supplies-Other"/>
    <s v="FMB @ St. Joe's 5th Floor"/>
    <x v="0"/>
    <m/>
    <n v="0"/>
    <n v="0"/>
    <n v="0"/>
    <n v="0"/>
    <n v="0"/>
    <n v="0"/>
    <n v="0"/>
    <n v="0"/>
    <n v="0"/>
    <n v="0"/>
    <n v="0"/>
    <n v="8.8000000000000007"/>
    <n v="8.8000000000000007"/>
    <n v="-8.8000000000000007"/>
  </r>
  <r>
    <x v="11"/>
    <x v="1"/>
    <x v="0"/>
    <s v="5827200"/>
    <n v="722000"/>
    <s v="Supplies-Freight Expense"/>
    <s v="FMB @ St. Joe's 5th Floor"/>
    <x v="0"/>
    <m/>
    <n v="0"/>
    <n v="0"/>
    <n v="0"/>
    <n v="0"/>
    <n v="0"/>
    <n v="0"/>
    <n v="0"/>
    <n v="0"/>
    <n v="0"/>
    <n v="0"/>
    <n v="0"/>
    <n v="10.95"/>
    <n v="10.95"/>
    <n v="-10.95"/>
  </r>
  <r>
    <x v="12"/>
    <x v="1"/>
    <x v="0"/>
    <s v="5827200"/>
    <n v="730010"/>
    <s v="Rental and Leases-Building (DO NOT USE)"/>
    <s v="FMB @ St. Joe's 5th Floor"/>
    <x v="0"/>
    <m/>
    <n v="36814.71"/>
    <n v="36814.71"/>
    <n v="36814.71"/>
    <n v="36814.71"/>
    <n v="36814.71"/>
    <n v="-29963.47"/>
    <n v="26094.32"/>
    <n v="26236.55"/>
    <n v="26165.439999999999"/>
    <n v="26168.25"/>
    <n v="26168.25"/>
    <n v="0"/>
    <n v="284942.89"/>
    <n v="26168.25"/>
  </r>
  <r>
    <x v="12"/>
    <x v="1"/>
    <x v="0"/>
    <s v="5827200"/>
    <n v="730010"/>
    <s v="Rental-Common Area Maint (DO NOT USE)"/>
    <s v="FMB @ St. Joe's 5th Floor"/>
    <x v="0"/>
    <n v="2200"/>
    <n v="0"/>
    <n v="0"/>
    <n v="0"/>
    <n v="0"/>
    <n v="0"/>
    <n v="66778.19"/>
    <n v="11213.72"/>
    <n v="11191.5"/>
    <n v="11110.56"/>
    <n v="6024.35"/>
    <n v="11191.5"/>
    <n v="10659.36"/>
    <n v="128169.18000000001"/>
    <n v="532.13999999999942"/>
  </r>
  <r>
    <x v="12"/>
    <x v="1"/>
    <x v="0"/>
    <s v="5827200"/>
    <n v="730020"/>
    <s v="Rental and Leases-Copier Usage Fees (DO NOT USE)"/>
    <s v="FMB @ St. Joe's 5th Floor"/>
    <x v="0"/>
    <n v="5100"/>
    <n v="1914.28"/>
    <n v="1945.59"/>
    <n v="1929.93"/>
    <n v="1929.93"/>
    <n v="1929.93"/>
    <n v="1929.93"/>
    <n v="1673.83"/>
    <n v="1560.18"/>
    <n v="1861.25"/>
    <n v="2364.5300000000002"/>
    <n v="1866.6"/>
    <n v="1807.57"/>
    <n v="22713.549999999996"/>
    <n v="59.029999999999973"/>
  </r>
  <r>
    <x v="12"/>
    <x v="1"/>
    <x v="0"/>
    <s v="5827200"/>
    <n v="730040"/>
    <s v="LT Lease-Real Estate"/>
    <s v="FMB @ St. Joe's 5th Floor"/>
    <x v="0"/>
    <m/>
    <n v="0"/>
    <n v="0"/>
    <n v="0"/>
    <n v="0"/>
    <n v="0"/>
    <n v="0"/>
    <n v="0"/>
    <n v="0"/>
    <n v="0"/>
    <n v="0"/>
    <n v="0"/>
    <n v="26700.39"/>
    <n v="26700.39"/>
    <n v="-26700.39"/>
  </r>
  <r>
    <x v="15"/>
    <x v="1"/>
    <x v="0"/>
    <s v="5827200"/>
    <n v="731060"/>
    <s v="Telephone"/>
    <s v="FMB @ St. Joe's 5th Floor"/>
    <x v="0"/>
    <m/>
    <n v="245.12"/>
    <n v="241.1"/>
    <n v="239.27"/>
    <n v="239.85"/>
    <n v="239.71"/>
    <n v="251.72"/>
    <n v="243.54"/>
    <n v="245.33"/>
    <n v="244.21"/>
    <n v="242.64"/>
    <n v="243.95"/>
    <n v="243.95"/>
    <n v="2920.3899999999994"/>
    <n v="0"/>
  </r>
  <r>
    <x v="15"/>
    <x v="1"/>
    <x v="0"/>
    <s v="5827200"/>
    <n v="731060"/>
    <s v="Pagers"/>
    <s v="FMB @ St. Joe's 5th Floor"/>
    <x v="0"/>
    <n v="1002"/>
    <n v="64.8"/>
    <n v="64.8"/>
    <n v="64.8"/>
    <n v="76.319999999999993"/>
    <n v="73.08"/>
    <n v="0"/>
    <n v="146.16"/>
    <n v="73.08"/>
    <n v="73.08"/>
    <n v="73.08"/>
    <n v="73.08"/>
    <n v="73.08"/>
    <n v="855.36000000000013"/>
    <n v="0"/>
  </r>
  <r>
    <x v="15"/>
    <x v="1"/>
    <x v="0"/>
    <s v="5827200"/>
    <n v="731070"/>
    <s v="Cable TV"/>
    <s v="FMB @ St. Joe's 5th Floor"/>
    <x v="0"/>
    <m/>
    <n v="159.58000000000001"/>
    <n v="79.790000000000006"/>
    <n v="0"/>
    <n v="159.58000000000001"/>
    <n v="79.790000000000006"/>
    <n v="0"/>
    <n v="177.54"/>
    <n v="0"/>
    <n v="88.77"/>
    <n v="177.54"/>
    <n v="88.77"/>
    <n v="0"/>
    <n v="1011.36"/>
    <n v="88.77"/>
  </r>
  <r>
    <x v="16"/>
    <x v="1"/>
    <x v="0"/>
    <s v="5827200"/>
    <n v="732030"/>
    <s v="Repairs---Other"/>
    <s v="FMB @ St. Joe's 5th Floor"/>
    <x v="0"/>
    <m/>
    <n v="150"/>
    <n v="597.87"/>
    <n v="425.26"/>
    <n v="0"/>
    <n v="0"/>
    <n v="433.79"/>
    <n v="0"/>
    <n v="0"/>
    <n v="299.31"/>
    <n v="95.17"/>
    <n v="297.27"/>
    <n v="705.82"/>
    <n v="3004.4900000000002"/>
    <n v="-408.55000000000007"/>
  </r>
  <r>
    <x v="16"/>
    <x v="1"/>
    <x v="0"/>
    <s v="5827200"/>
    <n v="732030"/>
    <s v="Repairs&amp;Maintenance-Bldg Routine"/>
    <s v="FMB @ St. Joe's 5th Floor"/>
    <x v="0"/>
    <n v="2300"/>
    <n v="0"/>
    <n v="22.5"/>
    <n v="0"/>
    <n v="0"/>
    <n v="0"/>
    <n v="0"/>
    <n v="167.63"/>
    <n v="0"/>
    <n v="0"/>
    <n v="0"/>
    <n v="0"/>
    <n v="0"/>
    <n v="190.13"/>
    <n v="0"/>
  </r>
  <r>
    <x v="13"/>
    <x v="1"/>
    <x v="0"/>
    <s v="5827200"/>
    <n v="735050"/>
    <s v="Amortization-Leasehold Improvements"/>
    <s v="FMB @ St. Joe's 5th Floor"/>
    <x v="0"/>
    <m/>
    <n v="1547.69"/>
    <n v="1547.67"/>
    <n v="1547.69"/>
    <n v="1547.67"/>
    <n v="1547.69"/>
    <n v="1547.67"/>
    <n v="1547.7"/>
    <n v="1547.67"/>
    <n v="1547.7"/>
    <n v="1547.67"/>
    <n v="1547.7"/>
    <n v="1547.66"/>
    <n v="18572.18"/>
    <n v="3.999999999996362E-2"/>
  </r>
  <r>
    <x v="13"/>
    <x v="1"/>
    <x v="0"/>
    <s v="5827200"/>
    <n v="735070"/>
    <s v="Depreciation-Movable Equipment"/>
    <s v="FMB @ St. Joe's 5th Floor"/>
    <x v="0"/>
    <m/>
    <n v="3448.36"/>
    <n v="3448.36"/>
    <n v="3448.4"/>
    <n v="3448.37"/>
    <n v="3448.4"/>
    <n v="3313.03"/>
    <n v="3313.09"/>
    <n v="3313.03"/>
    <n v="3313.1"/>
    <n v="3313.03"/>
    <n v="3313.11"/>
    <n v="3312.97"/>
    <n v="40433.25"/>
    <n v="0.14000000000032742"/>
  </r>
  <r>
    <x v="0"/>
    <x v="1"/>
    <x v="0"/>
    <s v="5827200"/>
    <n v="740020"/>
    <s v="Education-Registration Fees"/>
    <s v="FMB @ St. Joe's 5th Floor"/>
    <x v="0"/>
    <m/>
    <n v="0"/>
    <n v="0"/>
    <n v="0"/>
    <n v="90"/>
    <n v="0"/>
    <n v="0"/>
    <n v="0"/>
    <n v="0"/>
    <n v="0"/>
    <n v="0"/>
    <n v="0"/>
    <n v="0"/>
    <n v="90"/>
    <n v="0"/>
  </r>
  <r>
    <x v="0"/>
    <x v="1"/>
    <x v="0"/>
    <s v="5827200"/>
    <n v="742010"/>
    <s v="Postage-Regular"/>
    <s v="FMB @ St. Joe's 5th Floor"/>
    <x v="0"/>
    <m/>
    <n v="0"/>
    <n v="0"/>
    <n v="0"/>
    <n v="0"/>
    <n v="0"/>
    <n v="0"/>
    <n v="0"/>
    <n v="0"/>
    <n v="0"/>
    <n v="0"/>
    <n v="35.700000000000003"/>
    <n v="0"/>
    <n v="35.700000000000003"/>
    <n v="35.700000000000003"/>
  </r>
  <r>
    <x v="0"/>
    <x v="1"/>
    <x v="0"/>
    <s v="5827200"/>
    <n v="742040"/>
    <s v="Freight-Other"/>
    <s v="FMB @ St. Joe's 5th Floor"/>
    <x v="0"/>
    <m/>
    <n v="0"/>
    <n v="0"/>
    <n v="0"/>
    <n v="0"/>
    <n v="0"/>
    <n v="6.02"/>
    <n v="11.08"/>
    <n v="0"/>
    <n v="85.68"/>
    <n v="0"/>
    <n v="0"/>
    <n v="3.1"/>
    <n v="105.88"/>
    <n v="-3.1"/>
  </r>
  <r>
    <x v="0"/>
    <x v="1"/>
    <x v="0"/>
    <s v="5827200"/>
    <n v="743020"/>
    <s v="Provider-Dues"/>
    <s v="FMB @ St. Joe's 5th Floor"/>
    <x v="0"/>
    <n v="2200"/>
    <n v="0"/>
    <n v="0"/>
    <n v="0"/>
    <n v="0"/>
    <n v="0"/>
    <n v="420"/>
    <n v="640"/>
    <n v="0"/>
    <n v="0"/>
    <n v="0"/>
    <n v="0"/>
    <n v="0"/>
    <n v="1060"/>
    <n v="0"/>
  </r>
  <r>
    <x v="0"/>
    <x v="1"/>
    <x v="0"/>
    <s v="5827200"/>
    <n v="749510"/>
    <s v="Miscellaneous Expenses"/>
    <s v="FMB @ St. Joe's 5th Floor"/>
    <x v="0"/>
    <m/>
    <n v="96.25"/>
    <n v="182.85"/>
    <n v="15.96"/>
    <n v="-160.53"/>
    <n v="50"/>
    <n v="150"/>
    <n v="200"/>
    <n v="0"/>
    <n v="180.04"/>
    <n v="2535.58"/>
    <n v="2457"/>
    <n v="207.63"/>
    <n v="5914.78"/>
    <n v="2249.37"/>
  </r>
  <r>
    <x v="0"/>
    <x v="1"/>
    <x v="0"/>
    <s v="5827200"/>
    <n v="749510"/>
    <s v="Licenses"/>
    <s v="FMB @ St. Joe's 5th Floor"/>
    <x v="0"/>
    <n v="1002"/>
    <n v="0"/>
    <n v="0"/>
    <n v="544"/>
    <n v="80"/>
    <n v="0"/>
    <n v="0"/>
    <n v="0"/>
    <n v="0"/>
    <n v="0"/>
    <n v="0"/>
    <n v="0"/>
    <n v="0"/>
    <n v="624"/>
    <n v="0"/>
  </r>
  <r>
    <x v="0"/>
    <x v="1"/>
    <x v="0"/>
    <s v="5827200"/>
    <n v="749510"/>
    <s v="RICE Rewards"/>
    <s v="FMB @ St. Joe's 5th Floor"/>
    <x v="0"/>
    <n v="5100"/>
    <n v="0"/>
    <n v="0"/>
    <n v="0"/>
    <n v="0"/>
    <n v="0"/>
    <n v="0"/>
    <n v="0"/>
    <n v="0"/>
    <n v="0"/>
    <n v="611.23"/>
    <n v="0"/>
    <n v="535.6"/>
    <n v="1146.83"/>
    <n v="-535.6"/>
  </r>
  <r>
    <x v="0"/>
    <x v="1"/>
    <x v="0"/>
    <s v="5827200"/>
    <n v="749530"/>
    <s v="Mileage"/>
    <s v="FMB @ St. Joe's 5th Floor"/>
    <x v="0"/>
    <n v="1001"/>
    <n v="0"/>
    <n v="0"/>
    <n v="0"/>
    <n v="0"/>
    <n v="0"/>
    <n v="0"/>
    <n v="0"/>
    <n v="0"/>
    <n v="0"/>
    <n v="80.040000000000006"/>
    <n v="0"/>
    <n v="0"/>
    <n v="80.040000000000006"/>
    <n v="0"/>
  </r>
  <r>
    <x v="0"/>
    <x v="1"/>
    <x v="0"/>
    <s v="5827200"/>
    <n v="749535"/>
    <s v="Meetings"/>
    <s v="FMB @ St. Joe's 5th Floor"/>
    <x v="0"/>
    <m/>
    <n v="0"/>
    <n v="0"/>
    <n v="0"/>
    <n v="58.25"/>
    <n v="0"/>
    <n v="83.92"/>
    <n v="55"/>
    <n v="0"/>
    <n v="0"/>
    <n v="0"/>
    <n v="131.5"/>
    <n v="123.97"/>
    <n v="452.64"/>
    <n v="7.5300000000000011"/>
  </r>
  <r>
    <x v="0"/>
    <x v="1"/>
    <x v="0"/>
    <s v="5827200"/>
    <n v="749591"/>
    <s v="Other Expense-Intracompany Allocation"/>
    <s v="FMB @ St. Joe's 5th Floor"/>
    <x v="0"/>
    <m/>
    <n v="-92646.8"/>
    <n v="-92166"/>
    <n v="-87763.41"/>
    <n v="-90546.59"/>
    <n v="-99623.99"/>
    <n v="-92297.5"/>
    <n v="-98650.97"/>
    <n v="-93689.68"/>
    <n v="-92107.99"/>
    <n v="-92883.33"/>
    <n v="-101777.78"/>
    <n v="-93424.84"/>
    <n v="-1127578.8799999999"/>
    <n v="-8352.9400000000023"/>
  </r>
  <r>
    <x v="0"/>
    <x v="1"/>
    <x v="0"/>
    <s v="5827200"/>
    <n v="766010"/>
    <s v="Property Tax"/>
    <s v="FMB @ St. Joe's 5th Floor"/>
    <x v="0"/>
    <m/>
    <n v="1351.37"/>
    <n v="1351.37"/>
    <n v="1351.37"/>
    <n v="1351.37"/>
    <n v="1351.37"/>
    <n v="1351.37"/>
    <n v="1351.37"/>
    <n v="1351.37"/>
    <n v="1351.37"/>
    <n v="-256.76"/>
    <n v="949.35"/>
    <n v="949.35"/>
    <n v="13804.269999999999"/>
    <n v="0"/>
  </r>
  <r>
    <x v="5"/>
    <x v="1"/>
    <x v="0"/>
    <s v="5828200"/>
    <n v="700018"/>
    <s v="Salaries-Supervisory-Productive"/>
    <s v="Gen Surg-Bridgeport-Shared Svc"/>
    <x v="0"/>
    <m/>
    <n v="1646.68"/>
    <n v="1743.56"/>
    <n v="1937.28"/>
    <n v="2033.52"/>
    <n v="2189.44"/>
    <n v="1318.64"/>
    <n v="1345.61"/>
    <n v="1320.57"/>
    <n v="1121.25"/>
    <n v="847.17"/>
    <n v="1146.1600000000001"/>
    <n v="996.65"/>
    <n v="17646.530000000002"/>
    <n v="149.5100000000001"/>
  </r>
  <r>
    <x v="5"/>
    <x v="1"/>
    <x v="0"/>
    <s v="5828200"/>
    <n v="700022"/>
    <s v="Salaries-Physician-Productive"/>
    <s v="Gen Surg-Bridgeport-Shared Svc"/>
    <x v="0"/>
    <m/>
    <n v="0"/>
    <n v="0"/>
    <n v="0"/>
    <n v="0"/>
    <n v="0"/>
    <n v="0"/>
    <n v="0"/>
    <n v="0"/>
    <n v="6357.31"/>
    <n v="-6351.1"/>
    <n v="0"/>
    <n v="0"/>
    <n v="6.2100000000000364"/>
    <n v="0"/>
  </r>
  <r>
    <x v="5"/>
    <x v="1"/>
    <x v="0"/>
    <s v="5828200"/>
    <n v="700038"/>
    <s v="Salaries-Service/Support-Productive"/>
    <s v="Gen Surg-Bridgeport-Shared Svc"/>
    <x v="0"/>
    <m/>
    <n v="10451.379999999999"/>
    <n v="11069.71"/>
    <n v="10772.94"/>
    <n v="11111.41"/>
    <n v="10278.5"/>
    <n v="7571.78"/>
    <n v="10327.33"/>
    <n v="9443.9500000000007"/>
    <n v="10813.27"/>
    <n v="7730.95"/>
    <n v="13430.31"/>
    <n v="8462.14"/>
    <n v="121463.67"/>
    <n v="4968.17"/>
  </r>
  <r>
    <x v="5"/>
    <x v="1"/>
    <x v="0"/>
    <s v="5828200"/>
    <n v="700038"/>
    <s v="Salaries-Service/Support-OT"/>
    <s v="Gen Surg-Bridgeport-Shared Svc"/>
    <x v="0"/>
    <n v="1000"/>
    <n v="8.3000000000000007"/>
    <n v="16.600000000000001"/>
    <n v="37.57"/>
    <n v="114.89"/>
    <n v="539.12"/>
    <n v="395.03"/>
    <n v="91.09"/>
    <n v="129.65"/>
    <n v="-34.590000000000003"/>
    <n v="143.32"/>
    <n v="6.46"/>
    <n v="128.85"/>
    <n v="1576.29"/>
    <n v="-122.39"/>
  </r>
  <r>
    <x v="5"/>
    <x v="1"/>
    <x v="0"/>
    <s v="5828200"/>
    <n v="700054"/>
    <s v="Salaries-Management-NonProd-Other"/>
    <s v="Gen Surg-Bridgeport-Shared Svc"/>
    <x v="0"/>
    <n v="2000"/>
    <n v="0"/>
    <n v="0"/>
    <n v="0"/>
    <n v="0"/>
    <n v="0"/>
    <n v="340.96"/>
    <n v="-340.96"/>
    <n v="0"/>
    <n v="0"/>
    <n v="0"/>
    <n v="0"/>
    <n v="0"/>
    <n v="0"/>
    <n v="0"/>
  </r>
  <r>
    <x v="5"/>
    <x v="1"/>
    <x v="0"/>
    <s v="5828200"/>
    <n v="700058"/>
    <s v="Salaries-Supervisory-Non-productive"/>
    <s v="Gen Surg-Bridgeport-Shared Svc"/>
    <x v="0"/>
    <m/>
    <n v="726.48"/>
    <n v="1210.8"/>
    <n v="242.16"/>
    <n v="242.16"/>
    <n v="0"/>
    <n v="1044.96"/>
    <n v="199.41"/>
    <n v="348.85"/>
    <n v="897.01"/>
    <n v="1245.83"/>
    <n v="0"/>
    <n v="0"/>
    <n v="6157.66"/>
    <n v="0"/>
  </r>
  <r>
    <x v="5"/>
    <x v="1"/>
    <x v="0"/>
    <s v="5828200"/>
    <n v="700062"/>
    <s v="Salaries-Physician-NonProd-Other"/>
    <s v="Gen Surg-Bridgeport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28200"/>
    <n v="700078"/>
    <s v="Salaries-Service/Support-Non-productive"/>
    <s v="Gen Surg-Bridgeport-Shared Svc"/>
    <x v="0"/>
    <m/>
    <n v="1863.03"/>
    <n v="1961.02"/>
    <n v="1481.59"/>
    <n v="637.65"/>
    <n v="1145.55"/>
    <n v="3761.22"/>
    <n v="2538.2800000000002"/>
    <n v="1846.98"/>
    <n v="1429.48"/>
    <n v="3096.74"/>
    <n v="155.6"/>
    <n v="2751.03"/>
    <n v="22668.17"/>
    <n v="-2595.4300000000003"/>
  </r>
  <r>
    <x v="5"/>
    <x v="1"/>
    <x v="0"/>
    <s v="5828200"/>
    <n v="700078"/>
    <s v="Salaries-Service/Support-NonProd-Other"/>
    <s v="Gen Surg-Bridgeport-Shared Svc"/>
    <x v="0"/>
    <n v="2000"/>
    <n v="0"/>
    <n v="0"/>
    <n v="0"/>
    <n v="0"/>
    <n v="675.95"/>
    <n v="824.16"/>
    <n v="0"/>
    <n v="-1500.11"/>
    <n v="0"/>
    <n v="0"/>
    <n v="0"/>
    <n v="0"/>
    <n v="2.2737367544323206E-13"/>
    <n v="0"/>
  </r>
  <r>
    <x v="5"/>
    <x v="1"/>
    <x v="0"/>
    <s v="5828200"/>
    <n v="700084"/>
    <s v="Accrued PTO"/>
    <s v="Gen Surg-Bridgeport-Shared Svc"/>
    <x v="0"/>
    <m/>
    <n v="-221.74"/>
    <n v="-730.61"/>
    <n v="177.28"/>
    <n v="1028.71"/>
    <n v="1140.1400000000001"/>
    <n v="-811.76"/>
    <n v="-1304.6500000000001"/>
    <n v="746.6"/>
    <n v="441.88"/>
    <n v="-768.33"/>
    <n v="876.74"/>
    <n v="173.62"/>
    <n v="747.88000000000011"/>
    <n v="703.12"/>
  </r>
  <r>
    <x v="6"/>
    <x v="1"/>
    <x v="0"/>
    <s v="5828200"/>
    <n v="713010"/>
    <s v="Benefits-FICA/Medicare"/>
    <s v="Gen Surg-Bridgeport-Shared Svc"/>
    <x v="0"/>
    <m/>
    <n v="1029.03"/>
    <n v="1121.3900000000001"/>
    <n v="1013.86"/>
    <n v="988.31"/>
    <n v="1174.44"/>
    <n v="1038.67"/>
    <n v="1046.1600000000001"/>
    <n v="921.28"/>
    <n v="1487.65"/>
    <n v="734.7"/>
    <n v="1039.8499999999999"/>
    <n v="868.74"/>
    <n v="12464.080000000002"/>
    <n v="171.1099999999999"/>
  </r>
  <r>
    <x v="6"/>
    <x v="1"/>
    <x v="0"/>
    <s v="5828200"/>
    <n v="713090"/>
    <s v="Benefits-Allocated Amounts"/>
    <s v="Gen Surg-Bridgeport-Shared Svc"/>
    <x v="0"/>
    <m/>
    <n v="3846.47"/>
    <n v="3596.82"/>
    <n v="3929.14"/>
    <n v="3595.91"/>
    <n v="3634.5"/>
    <n v="3613.65"/>
    <n v="4123.96"/>
    <n v="3996.19"/>
    <n v="4354.16"/>
    <n v="3258.66"/>
    <n v="3749.86"/>
    <n v="3828.14"/>
    <n v="45527.460000000006"/>
    <n v="-78.279999999999745"/>
  </r>
  <r>
    <x v="6"/>
    <x v="1"/>
    <x v="0"/>
    <s v="5828200"/>
    <n v="713096"/>
    <s v="Employee Recognition"/>
    <s v="Gen Surg-Bridgeport-Shared Svc"/>
    <x v="0"/>
    <n v="1017"/>
    <n v="0"/>
    <n v="0"/>
    <n v="33.020000000000003"/>
    <n v="0"/>
    <n v="0"/>
    <n v="0"/>
    <n v="0"/>
    <n v="0"/>
    <n v="0"/>
    <n v="22.96"/>
    <n v="0"/>
    <n v="26.46"/>
    <n v="82.44"/>
    <n v="-26.46"/>
  </r>
  <r>
    <x v="7"/>
    <x v="1"/>
    <x v="0"/>
    <s v="5828200"/>
    <n v="718010"/>
    <s v="Media/Print Advertising"/>
    <s v="Gen Surg-Bridgeport-Shared Svc"/>
    <x v="0"/>
    <n v="1004"/>
    <n v="0"/>
    <n v="0"/>
    <n v="0"/>
    <n v="-380"/>
    <n v="0"/>
    <n v="169.86"/>
    <n v="281.05"/>
    <n v="0"/>
    <n v="0"/>
    <n v="0"/>
    <n v="100.2"/>
    <n v="0"/>
    <n v="171.11"/>
    <n v="100.2"/>
  </r>
  <r>
    <x v="7"/>
    <x v="1"/>
    <x v="0"/>
    <s v="5828200"/>
    <n v="718050"/>
    <s v="Miscellaneous Purchased Svcs"/>
    <s v="Gen Surg-Bridgeport-Shared Svc"/>
    <x v="0"/>
    <n v="1020"/>
    <n v="0"/>
    <n v="0"/>
    <n v="917.92"/>
    <n v="990.87"/>
    <n v="0"/>
    <n v="885"/>
    <n v="32.92"/>
    <n v="917.92"/>
    <n v="65.84"/>
    <n v="0"/>
    <n v="32.92"/>
    <n v="0"/>
    <n v="3843.3900000000003"/>
    <n v="32.92"/>
  </r>
  <r>
    <x v="7"/>
    <x v="1"/>
    <x v="0"/>
    <s v="5828200"/>
    <n v="718050"/>
    <s v="Translation Services"/>
    <s v="Gen Surg-Bridgeport-Shared Svc"/>
    <x v="0"/>
    <n v="1025"/>
    <n v="31.59"/>
    <n v="136"/>
    <n v="368"/>
    <n v="0"/>
    <n v="0"/>
    <n v="690.21"/>
    <n v="264"/>
    <n v="224"/>
    <n v="264"/>
    <n v="64"/>
    <n v="64"/>
    <n v="32.92"/>
    <n v="2138.7200000000003"/>
    <n v="31.08"/>
  </r>
  <r>
    <x v="7"/>
    <x v="1"/>
    <x v="0"/>
    <s v="5828200"/>
    <n v="718050"/>
    <s v="Contract Management--Linen"/>
    <s v="Gen Surg-Bridgeport-Shared Svc"/>
    <x v="0"/>
    <n v="1026"/>
    <n v="0"/>
    <n v="10.199999999999999"/>
    <n v="10.199999999999999"/>
    <n v="0"/>
    <n v="0"/>
    <n v="0"/>
    <n v="0"/>
    <n v="0"/>
    <n v="10.220000000000001"/>
    <n v="0"/>
    <n v="14.18"/>
    <n v="0"/>
    <n v="44.8"/>
    <n v="14.18"/>
  </r>
  <r>
    <x v="7"/>
    <x v="1"/>
    <x v="0"/>
    <s v="5828200"/>
    <n v="718070"/>
    <s v="Contract Srvcs-CHI Clinical Engineering"/>
    <s v="Gen Surg-Bridgeport-Shared Svc"/>
    <x v="0"/>
    <m/>
    <n v="0"/>
    <n v="0"/>
    <n v="0"/>
    <n v="0"/>
    <n v="0"/>
    <n v="0"/>
    <n v="0"/>
    <n v="0"/>
    <n v="0"/>
    <n v="0"/>
    <n v="445.9"/>
    <n v="0"/>
    <n v="445.9"/>
    <n v="445.9"/>
  </r>
  <r>
    <x v="11"/>
    <x v="1"/>
    <x v="0"/>
    <s v="5828200"/>
    <n v="721010"/>
    <s v="Supplies-Medical - Billable"/>
    <s v="Gen Surg-Bridgeport-Shared Svc"/>
    <x v="0"/>
    <m/>
    <n v="0"/>
    <n v="0"/>
    <n v="53.64"/>
    <n v="-0.86"/>
    <n v="0"/>
    <n v="0"/>
    <n v="0"/>
    <n v="0"/>
    <n v="0"/>
    <n v="0"/>
    <n v="78.17"/>
    <n v="0"/>
    <n v="130.94999999999999"/>
    <n v="78.17"/>
  </r>
  <r>
    <x v="11"/>
    <x v="1"/>
    <x v="0"/>
    <s v="5828200"/>
    <n v="721250"/>
    <s v="Supplies-Pharmacy Drugs - Billable"/>
    <s v="Gen Surg-Bridgeport-Shared Svc"/>
    <x v="0"/>
    <m/>
    <n v="0"/>
    <n v="0"/>
    <n v="0"/>
    <n v="0"/>
    <n v="0"/>
    <n v="0"/>
    <n v="0"/>
    <n v="0"/>
    <n v="0"/>
    <n v="0"/>
    <n v="-74.819999999999993"/>
    <n v="0"/>
    <n v="-74.819999999999993"/>
    <n v="-74.819999999999993"/>
  </r>
  <r>
    <x v="11"/>
    <x v="1"/>
    <x v="0"/>
    <s v="5828200"/>
    <n v="721410"/>
    <s v="Supplies-Medical - Nonbillable"/>
    <s v="Gen Surg-Bridgeport-Shared Svc"/>
    <x v="0"/>
    <m/>
    <n v="349.5"/>
    <n v="92.06"/>
    <n v="0"/>
    <n v="0"/>
    <n v="0"/>
    <n v="0"/>
    <n v="164.85"/>
    <n v="12.42"/>
    <n v="0"/>
    <n v="0"/>
    <n v="0"/>
    <n v="-2.69"/>
    <n v="616.13999999999987"/>
    <n v="2.69"/>
  </r>
  <r>
    <x v="11"/>
    <x v="1"/>
    <x v="0"/>
    <s v="5828200"/>
    <n v="721810"/>
    <s v="Supplies-Dietary/Cafeteria"/>
    <s v="Gen Surg-Bridgeport-Shared Svc"/>
    <x v="0"/>
    <m/>
    <n v="0"/>
    <n v="0"/>
    <n v="36.020000000000003"/>
    <n v="0"/>
    <n v="0"/>
    <n v="0"/>
    <n v="0"/>
    <n v="24.25"/>
    <n v="0"/>
    <n v="0"/>
    <n v="0"/>
    <n v="0"/>
    <n v="60.27"/>
    <n v="0"/>
  </r>
  <r>
    <x v="11"/>
    <x v="1"/>
    <x v="0"/>
    <s v="5828200"/>
    <n v="721830"/>
    <s v="Supplies-Office"/>
    <s v="Gen Surg-Bridgeport-Shared Svc"/>
    <x v="0"/>
    <m/>
    <n v="2006.25"/>
    <n v="271.01"/>
    <n v="366.32"/>
    <n v="54.39"/>
    <n v="59.42"/>
    <n v="0"/>
    <n v="181.84"/>
    <n v="86.63"/>
    <n v="139.16999999999999"/>
    <n v="62.63"/>
    <n v="50.12"/>
    <n v="58.24"/>
    <n v="3336.0200000000004"/>
    <n v="-8.1200000000000045"/>
  </r>
  <r>
    <x v="11"/>
    <x v="1"/>
    <x v="0"/>
    <s v="5828200"/>
    <n v="721835"/>
    <s v="Supplies-Forms"/>
    <s v="Gen Surg-Bridgeport-Shared Svc"/>
    <x v="0"/>
    <m/>
    <n v="0"/>
    <n v="0"/>
    <n v="0"/>
    <n v="0"/>
    <n v="42.7"/>
    <n v="0"/>
    <n v="0"/>
    <n v="0"/>
    <n v="52.5"/>
    <n v="5.7"/>
    <n v="0"/>
    <n v="0"/>
    <n v="100.9"/>
    <n v="0"/>
  </r>
  <r>
    <x v="11"/>
    <x v="1"/>
    <x v="0"/>
    <s v="5828200"/>
    <n v="721910"/>
    <s v="Supplies-Small Equipment"/>
    <s v="Gen Surg-Bridgeport-Shared Svc"/>
    <x v="0"/>
    <m/>
    <n v="0"/>
    <n v="152.28"/>
    <n v="0"/>
    <n v="-1"/>
    <n v="0"/>
    <n v="495.92"/>
    <n v="0"/>
    <n v="0"/>
    <n v="0"/>
    <n v="0"/>
    <n v="0"/>
    <n v="0"/>
    <n v="647.20000000000005"/>
    <n v="0"/>
  </r>
  <r>
    <x v="11"/>
    <x v="1"/>
    <x v="0"/>
    <s v="5828200"/>
    <n v="721980"/>
    <s v="Supplies-Other"/>
    <s v="Gen Surg-Bridgeport-Shared Svc"/>
    <x v="0"/>
    <m/>
    <n v="0"/>
    <n v="0"/>
    <n v="130.34"/>
    <n v="0"/>
    <n v="0"/>
    <n v="0"/>
    <n v="0"/>
    <n v="0"/>
    <n v="0"/>
    <n v="0"/>
    <n v="0"/>
    <n v="0"/>
    <n v="130.34"/>
    <n v="0"/>
  </r>
  <r>
    <x v="11"/>
    <x v="1"/>
    <x v="0"/>
    <s v="5828200"/>
    <n v="722000"/>
    <s v="Supplies-Freight Expense"/>
    <s v="Gen Surg-Bridgeport-Shared Svc"/>
    <x v="0"/>
    <m/>
    <n v="0"/>
    <n v="0"/>
    <n v="0"/>
    <n v="0"/>
    <n v="0"/>
    <n v="0"/>
    <n v="0"/>
    <n v="0"/>
    <n v="0"/>
    <n v="0"/>
    <n v="0"/>
    <n v="3.46"/>
    <n v="3.46"/>
    <n v="-3.46"/>
  </r>
  <r>
    <x v="12"/>
    <x v="1"/>
    <x v="0"/>
    <s v="5828200"/>
    <n v="730010"/>
    <s v="Rental and Leases-Building (DO NOT USE)"/>
    <s v="Gen Surg-Bridgeport-Shared Svc"/>
    <x v="0"/>
    <m/>
    <n v="8838.9699999999993"/>
    <n v="8815"/>
    <n v="8838.9699999999993"/>
    <n v="8838.9699999999993"/>
    <n v="8838.9699999999993"/>
    <n v="-2704.29"/>
    <n v="8922.0499999999993"/>
    <n v="8922.0499999999993"/>
    <n v="8922.0499999999993"/>
    <n v="8922.0499999999993"/>
    <n v="8922.0499999999993"/>
    <n v="0"/>
    <n v="86076.840000000011"/>
    <n v="8922.0499999999993"/>
  </r>
  <r>
    <x v="12"/>
    <x v="1"/>
    <x v="0"/>
    <s v="5828200"/>
    <n v="730010"/>
    <s v="Rental-Common Area Maint (DO NOT USE)"/>
    <s v="Gen Surg-Bridgeport-Shared Svc"/>
    <x v="0"/>
    <n v="2200"/>
    <n v="0"/>
    <n v="0"/>
    <n v="0"/>
    <n v="0"/>
    <n v="0"/>
    <n v="12674.31"/>
    <n v="2433.23"/>
    <n v="2433.23"/>
    <n v="1049.67"/>
    <n v="2687.28"/>
    <n v="2687.28"/>
    <n v="0"/>
    <n v="23965"/>
    <n v="2687.28"/>
  </r>
  <r>
    <x v="12"/>
    <x v="1"/>
    <x v="0"/>
    <s v="5828200"/>
    <n v="730020"/>
    <s v="Rental and Leases-Copier Usage Fees (DO NOT USE)"/>
    <s v="Gen Surg-Bridgeport-Shared Svc"/>
    <x v="0"/>
    <n v="5100"/>
    <n v="263.89999999999998"/>
    <n v="271.02"/>
    <n v="267.45999999999998"/>
    <n v="267.45999999999998"/>
    <n v="267.45999999999998"/>
    <n v="267.45999999999998"/>
    <n v="724.98"/>
    <n v="279.82"/>
    <n v="294.26"/>
    <n v="398.33"/>
    <n v="372.9"/>
    <n v="304.89999999999998"/>
    <n v="3979.95"/>
    <n v="68"/>
  </r>
  <r>
    <x v="12"/>
    <x v="1"/>
    <x v="0"/>
    <s v="5828200"/>
    <n v="730040"/>
    <s v="LT Lease-Real Estate"/>
    <s v="Gen Surg-Bridgeport-Shared Svc"/>
    <x v="0"/>
    <m/>
    <n v="0"/>
    <n v="0"/>
    <n v="0"/>
    <n v="0"/>
    <n v="0"/>
    <n v="0"/>
    <n v="0"/>
    <n v="0"/>
    <n v="0"/>
    <n v="0"/>
    <n v="0"/>
    <n v="11609.33"/>
    <n v="11609.33"/>
    <n v="-11609.33"/>
  </r>
  <r>
    <x v="15"/>
    <x v="1"/>
    <x v="0"/>
    <s v="5828200"/>
    <n v="731030"/>
    <s v="Water"/>
    <s v="Gen Surg-Bridgeport-Shared Svc"/>
    <x v="0"/>
    <m/>
    <n v="0"/>
    <n v="0"/>
    <n v="0"/>
    <n v="0"/>
    <n v="32.92"/>
    <n v="0"/>
    <n v="0"/>
    <n v="0"/>
    <n v="0"/>
    <n v="0"/>
    <n v="0"/>
    <n v="0"/>
    <n v="32.92"/>
    <n v="0"/>
  </r>
  <r>
    <x v="15"/>
    <x v="1"/>
    <x v="0"/>
    <s v="5828200"/>
    <n v="731060"/>
    <s v="Pagers"/>
    <s v="Gen Surg-Bridgeport-Shared Svc"/>
    <x v="0"/>
    <n v="1002"/>
    <n v="49.8"/>
    <n v="49.8"/>
    <n v="69.23"/>
    <n v="41.8"/>
    <n v="41.8"/>
    <n v="0"/>
    <n v="83.6"/>
    <n v="41.8"/>
    <n v="41.8"/>
    <n v="41.8"/>
    <n v="41.8"/>
    <n v="41.8"/>
    <n v="545.03"/>
    <n v="0"/>
  </r>
  <r>
    <x v="15"/>
    <x v="1"/>
    <x v="0"/>
    <s v="5828200"/>
    <n v="731070"/>
    <s v="Cable TV"/>
    <s v="Gen Surg-Bridgeport-Shared Svc"/>
    <x v="0"/>
    <m/>
    <n v="37.51"/>
    <n v="37.51"/>
    <n v="37.51"/>
    <n v="37.49"/>
    <n v="40.33"/>
    <n v="40.33"/>
    <n v="40.33"/>
    <n v="40.33"/>
    <n v="149.32"/>
    <n v="40.33"/>
    <n v="110.37"/>
    <n v="566.32000000000005"/>
    <n v="1177.6799999999998"/>
    <n v="-455.95000000000005"/>
  </r>
  <r>
    <x v="16"/>
    <x v="1"/>
    <x v="0"/>
    <s v="5828200"/>
    <n v="732030"/>
    <s v="Repairs---Other"/>
    <s v="Gen Surg-Bridgeport-Shared Svc"/>
    <x v="0"/>
    <m/>
    <n v="0"/>
    <n v="0"/>
    <n v="700.61"/>
    <n v="0"/>
    <n v="0"/>
    <n v="0"/>
    <n v="0"/>
    <n v="0"/>
    <n v="0"/>
    <n v="0"/>
    <n v="0"/>
    <n v="0"/>
    <n v="700.61"/>
    <n v="0"/>
  </r>
  <r>
    <x v="13"/>
    <x v="1"/>
    <x v="0"/>
    <s v="5828200"/>
    <n v="735050"/>
    <s v="Amortization-Leasehold Improvements"/>
    <s v="Gen Surg-Bridgeport-Shared Svc"/>
    <x v="0"/>
    <m/>
    <n v="61.72"/>
    <n v="61.72"/>
    <n v="61.72"/>
    <n v="61.72"/>
    <n v="61.72"/>
    <n v="61.72"/>
    <n v="61.72"/>
    <n v="61.72"/>
    <n v="61.72"/>
    <n v="61.72"/>
    <n v="61.72"/>
    <n v="61.72"/>
    <n v="740.64000000000021"/>
    <n v="0"/>
  </r>
  <r>
    <x v="0"/>
    <x v="1"/>
    <x v="0"/>
    <s v="5828200"/>
    <n v="743030"/>
    <s v="Subscriptions--Institutional"/>
    <s v="Gen Surg-Bridgeport-Shared Svc"/>
    <x v="0"/>
    <m/>
    <n v="199.19"/>
    <n v="0"/>
    <n v="0"/>
    <n v="0"/>
    <n v="0"/>
    <n v="0"/>
    <n v="0"/>
    <n v="0"/>
    <n v="0"/>
    <n v="0"/>
    <n v="0"/>
    <n v="0"/>
    <n v="199.19"/>
    <n v="0"/>
  </r>
  <r>
    <x v="0"/>
    <x v="1"/>
    <x v="0"/>
    <s v="5828200"/>
    <n v="749510"/>
    <s v="Miscellaneous Expenses"/>
    <s v="Gen Surg-Bridgeport-Shared Svc"/>
    <x v="0"/>
    <m/>
    <n v="-163.01"/>
    <n v="3422.05"/>
    <n v="-3259.04"/>
    <n v="51.2"/>
    <n v="118.3"/>
    <n v="8.17"/>
    <n v="-126.47"/>
    <n v="0"/>
    <n v="0"/>
    <n v="0"/>
    <n v="182.52"/>
    <n v="-217.52"/>
    <n v="16.199999999999989"/>
    <n v="400.04"/>
  </r>
  <r>
    <x v="0"/>
    <x v="1"/>
    <x v="0"/>
    <s v="5828200"/>
    <n v="749510"/>
    <s v="Licenses"/>
    <s v="Gen Surg-Bridgeport-Shared Svc"/>
    <x v="0"/>
    <n v="1002"/>
    <n v="0"/>
    <n v="0"/>
    <n v="265"/>
    <n v="0"/>
    <n v="0"/>
    <n v="155"/>
    <n v="38.75"/>
    <n v="0"/>
    <n v="0"/>
    <n v="0"/>
    <n v="0"/>
    <n v="0"/>
    <n v="458.75"/>
    <n v="0"/>
  </r>
  <r>
    <x v="0"/>
    <x v="1"/>
    <x v="0"/>
    <s v="5828200"/>
    <n v="749510"/>
    <s v="RICE Rewards"/>
    <s v="Gen Surg-Bridgeport-Shared Svc"/>
    <x v="0"/>
    <n v="5100"/>
    <n v="0"/>
    <n v="0"/>
    <n v="0"/>
    <n v="0"/>
    <n v="0"/>
    <n v="266.52999999999997"/>
    <n v="0"/>
    <n v="0"/>
    <n v="0"/>
    <n v="0"/>
    <n v="277.64999999999998"/>
    <n v="31.39"/>
    <n v="575.56999999999994"/>
    <n v="246.26"/>
  </r>
  <r>
    <x v="0"/>
    <x v="1"/>
    <x v="0"/>
    <s v="5828200"/>
    <n v="749530"/>
    <s v="Travel"/>
    <s v="Gen Surg-Bridgeport-Shared Svc"/>
    <x v="0"/>
    <m/>
    <n v="42"/>
    <n v="18"/>
    <n v="18"/>
    <n v="0"/>
    <n v="0"/>
    <n v="6"/>
    <n v="0"/>
    <n v="48"/>
    <n v="0"/>
    <n v="18"/>
    <n v="18"/>
    <n v="36"/>
    <n v="204"/>
    <n v="-18"/>
  </r>
  <r>
    <x v="0"/>
    <x v="1"/>
    <x v="0"/>
    <s v="5828200"/>
    <n v="749530"/>
    <s v="Mileage"/>
    <s v="Gen Surg-Bridgeport-Shared Svc"/>
    <x v="0"/>
    <n v="1001"/>
    <n v="198.96"/>
    <n v="104.11"/>
    <n v="88.86"/>
    <n v="0"/>
    <n v="0"/>
    <n v="112.3"/>
    <n v="126.47"/>
    <n v="18.559999999999999"/>
    <n v="0"/>
    <n v="67.86"/>
    <n v="103.82"/>
    <n v="120.06"/>
    <n v="941"/>
    <n v="-16.240000000000009"/>
  </r>
  <r>
    <x v="0"/>
    <x v="1"/>
    <x v="0"/>
    <s v="5828200"/>
    <n v="766010"/>
    <s v="Property Tax"/>
    <s v="Gen Surg-Bridgeport-Shared Svc"/>
    <x v="0"/>
    <m/>
    <n v="7.3"/>
    <n v="7.3"/>
    <n v="7.3"/>
    <n v="7.3"/>
    <n v="7.3"/>
    <n v="7.3"/>
    <n v="7.3"/>
    <n v="7.3"/>
    <n v="7.3"/>
    <n v="-1.7"/>
    <n v="5.05"/>
    <n v="5.05"/>
    <n v="74.09999999999998"/>
    <n v="0"/>
  </r>
  <r>
    <x v="7"/>
    <x v="1"/>
    <x v="0"/>
    <s v="5829200"/>
    <n v="718050"/>
    <s v="Purchased Srvcs--Medical Waste"/>
    <s v="St Clare Women's Health Care"/>
    <x v="0"/>
    <n v="1027"/>
    <n v="22.3"/>
    <n v="22.3"/>
    <n v="22.3"/>
    <n v="0"/>
    <n v="22.3"/>
    <n v="22.3"/>
    <n v="44.6"/>
    <n v="22.3"/>
    <n v="0"/>
    <n v="44.6"/>
    <n v="0"/>
    <n v="22.3"/>
    <n v="245.3"/>
    <n v="-22.3"/>
  </r>
  <r>
    <x v="11"/>
    <x v="1"/>
    <x v="0"/>
    <s v="5829200"/>
    <n v="721810"/>
    <s v="Supplies-Dietary/Cafeteria"/>
    <s v="St Clare Women's Health Care"/>
    <x v="0"/>
    <m/>
    <n v="0"/>
    <n v="0"/>
    <n v="0"/>
    <n v="0"/>
    <n v="0"/>
    <n v="0"/>
    <n v="0"/>
    <n v="0"/>
    <n v="0"/>
    <n v="0"/>
    <n v="12.02"/>
    <n v="0"/>
    <n v="12.02"/>
    <n v="12.02"/>
  </r>
  <r>
    <x v="5"/>
    <x v="1"/>
    <x v="0"/>
    <s v="5831200"/>
    <n v="700038"/>
    <s v="Salaries-Service/Support-Productive"/>
    <s v="Breast Surg-FW-Shared Svc"/>
    <x v="0"/>
    <m/>
    <n v="0"/>
    <n v="0"/>
    <n v="0"/>
    <n v="0"/>
    <n v="1317.12"/>
    <n v="493.92"/>
    <n v="0"/>
    <n v="0"/>
    <n v="0"/>
    <n v="0"/>
    <n v="0"/>
    <n v="0"/>
    <n v="1811.04"/>
    <n v="0"/>
  </r>
  <r>
    <x v="5"/>
    <x v="1"/>
    <x v="0"/>
    <s v="5831200"/>
    <n v="700038"/>
    <s v="Salaries-Service/Support-Other"/>
    <s v="Breast Surg-FW-Shared Svc"/>
    <x v="0"/>
    <n v="2000"/>
    <n v="0"/>
    <n v="0"/>
    <n v="0"/>
    <n v="0"/>
    <n v="64"/>
    <n v="24"/>
    <n v="0"/>
    <n v="0"/>
    <n v="0"/>
    <n v="0"/>
    <n v="0"/>
    <n v="0"/>
    <n v="88"/>
    <n v="0"/>
  </r>
  <r>
    <x v="6"/>
    <x v="1"/>
    <x v="0"/>
    <s v="5831200"/>
    <n v="713010"/>
    <s v="Benefits-FICA/Medicare"/>
    <s v="Breast Surg-FW-Shared Svc"/>
    <x v="0"/>
    <m/>
    <n v="0"/>
    <n v="0"/>
    <n v="0"/>
    <n v="0"/>
    <n v="102.2"/>
    <n v="38.35"/>
    <n v="0"/>
    <n v="0"/>
    <n v="0"/>
    <n v="0"/>
    <n v="0"/>
    <n v="0"/>
    <n v="140.55000000000001"/>
    <n v="0"/>
  </r>
  <r>
    <x v="6"/>
    <x v="1"/>
    <x v="0"/>
    <s v="5831200"/>
    <n v="713090"/>
    <s v="Benefits-Allocated Amounts"/>
    <s v="Breast Surg-FW-Shared Svc"/>
    <x v="0"/>
    <m/>
    <n v="0"/>
    <n v="0"/>
    <n v="0"/>
    <n v="0"/>
    <n v="264.14"/>
    <n v="318.97000000000003"/>
    <n v="-42.55"/>
    <n v="83.42"/>
    <n v="-120.46"/>
    <n v="60.46"/>
    <n v="59.6"/>
    <n v="59.21"/>
    <n v="682.79000000000008"/>
    <n v="0.39000000000000057"/>
  </r>
  <r>
    <x v="7"/>
    <x v="1"/>
    <x v="0"/>
    <s v="5831200"/>
    <n v="718050"/>
    <s v="Contract Svcs-Other"/>
    <s v="Breast Surg-FW-Shared Svc"/>
    <x v="0"/>
    <m/>
    <n v="0"/>
    <n v="0"/>
    <n v="0"/>
    <n v="0"/>
    <n v="0"/>
    <n v="0"/>
    <n v="0"/>
    <n v="0"/>
    <n v="0"/>
    <n v="0"/>
    <n v="0"/>
    <n v="22.55"/>
    <n v="22.55"/>
    <n v="-22.55"/>
  </r>
  <r>
    <x v="7"/>
    <x v="1"/>
    <x v="0"/>
    <s v="5831200"/>
    <n v="718050"/>
    <s v="Document Shredding/Storage"/>
    <s v="Breast Surg-FW-Shared Svc"/>
    <x v="0"/>
    <n v="1012"/>
    <n v="8.7799999999999994"/>
    <n v="14.17"/>
    <n v="8.33"/>
    <n v="8.56"/>
    <n v="22.52"/>
    <n v="8.86"/>
    <n v="8.77"/>
    <n v="7.85"/>
    <n v="7.79"/>
    <n v="20.170000000000002"/>
    <n v="19.059999999999999"/>
    <n v="41.78"/>
    <n v="176.64"/>
    <n v="-22.720000000000002"/>
  </r>
  <r>
    <x v="7"/>
    <x v="1"/>
    <x v="0"/>
    <s v="5831200"/>
    <n v="718050"/>
    <s v="Translation Services"/>
    <s v="Breast Surg-FW-Shared Svc"/>
    <x v="0"/>
    <n v="1025"/>
    <n v="0"/>
    <n v="0"/>
    <n v="0"/>
    <n v="0"/>
    <n v="0"/>
    <n v="0"/>
    <n v="0"/>
    <n v="0"/>
    <n v="0"/>
    <n v="0"/>
    <n v="0"/>
    <n v="23.7"/>
    <n v="23.7"/>
    <n v="-23.7"/>
  </r>
  <r>
    <x v="11"/>
    <x v="1"/>
    <x v="0"/>
    <s v="5831200"/>
    <n v="721910"/>
    <s v="Instruments"/>
    <s v="Breast Surg-FW-Shared Svc"/>
    <x v="0"/>
    <n v="1000"/>
    <n v="0"/>
    <n v="0"/>
    <n v="0"/>
    <n v="0"/>
    <n v="0"/>
    <n v="0"/>
    <n v="0"/>
    <n v="0"/>
    <n v="0"/>
    <n v="93.7"/>
    <n v="56.53"/>
    <n v="0"/>
    <n v="150.23000000000002"/>
    <n v="56.53"/>
  </r>
  <r>
    <x v="12"/>
    <x v="1"/>
    <x v="0"/>
    <s v="5831200"/>
    <n v="730010"/>
    <s v="Rental and Leases-Building (DO NOT USE)"/>
    <s v="Breast Surg-FW-Shared Svc"/>
    <x v="0"/>
    <m/>
    <n v="1842.36"/>
    <n v="2146.2199999999998"/>
    <n v="1880.86"/>
    <n v="2411.5700000000002"/>
    <n v="2146.2199999999998"/>
    <n v="-3052.25"/>
    <n v="1178.52"/>
    <n v="1178.52"/>
    <n v="1178.52"/>
    <n v="1178.52"/>
    <n v="1207.01"/>
    <n v="0"/>
    <n v="13296.070000000002"/>
    <n v="1207.01"/>
  </r>
  <r>
    <x v="12"/>
    <x v="1"/>
    <x v="0"/>
    <s v="5831200"/>
    <n v="730010"/>
    <s v="Rental-Common Area Maint (DO NOT USE)"/>
    <s v="Breast Surg-FW-Shared Svc"/>
    <x v="0"/>
    <n v="2200"/>
    <n v="0"/>
    <n v="0"/>
    <n v="0"/>
    <n v="0"/>
    <n v="0"/>
    <n v="5015.57"/>
    <n v="784.8"/>
    <n v="784.8"/>
    <n v="730.67"/>
    <n v="784.8"/>
    <n v="784.8"/>
    <n v="0"/>
    <n v="8885.44"/>
    <n v="784.8"/>
  </r>
  <r>
    <x v="12"/>
    <x v="1"/>
    <x v="0"/>
    <s v="5831200"/>
    <n v="730020"/>
    <s v="Rental and Leases-Copier Usage Fees (DO NOT USE)"/>
    <s v="Breast Surg-FW-Shared Svc"/>
    <x v="0"/>
    <n v="5100"/>
    <n v="148.55000000000001"/>
    <n v="148.82"/>
    <n v="148.69"/>
    <n v="148.69"/>
    <n v="148.69"/>
    <n v="148.69"/>
    <n v="450.83"/>
    <n v="135.16"/>
    <n v="134.88"/>
    <n v="246.58"/>
    <n v="135.16"/>
    <n v="137.03"/>
    <n v="2131.77"/>
    <n v="-1.8700000000000045"/>
  </r>
  <r>
    <x v="12"/>
    <x v="1"/>
    <x v="0"/>
    <s v="5831200"/>
    <n v="730040"/>
    <s v="LT Lease-Real Estate"/>
    <s v="Breast Surg-FW-Shared Svc"/>
    <x v="0"/>
    <m/>
    <n v="0"/>
    <n v="0"/>
    <n v="0"/>
    <n v="0"/>
    <n v="0"/>
    <n v="0"/>
    <n v="0"/>
    <n v="0"/>
    <n v="0"/>
    <n v="0"/>
    <n v="0"/>
    <n v="1992.78"/>
    <n v="1992.78"/>
    <n v="-1992.78"/>
  </r>
  <r>
    <x v="0"/>
    <x v="1"/>
    <x v="0"/>
    <s v="5831200"/>
    <n v="766010"/>
    <s v="Property Tax"/>
    <s v="Breast Surg-FW-Shared Svc"/>
    <x v="0"/>
    <m/>
    <n v="4.28"/>
    <n v="4.28"/>
    <n v="4.28"/>
    <n v="4.28"/>
    <n v="4.28"/>
    <n v="4.28"/>
    <n v="4.28"/>
    <n v="4.28"/>
    <n v="4.28"/>
    <n v="23.6"/>
    <n v="0"/>
    <n v="0"/>
    <n v="62.120000000000005"/>
    <n v="0"/>
  </r>
  <r>
    <x v="5"/>
    <x v="1"/>
    <x v="0"/>
    <s v="5833200"/>
    <n v="700014"/>
    <s v="Salaries-Management-Productive"/>
    <s v="Maternal Fetal Med-Shared Svc"/>
    <x v="0"/>
    <m/>
    <n v="3006.43"/>
    <n v="2967.89"/>
    <n v="2890.8"/>
    <n v="3264.86"/>
    <n v="1919.62"/>
    <n v="2039.59"/>
    <n v="3244.15"/>
    <n v="2803.54"/>
    <n v="3524.45"/>
    <n v="3524.43"/>
    <n v="11615.64"/>
    <n v="8734.2900000000009"/>
    <n v="49535.69"/>
    <n v="2881.3499999999985"/>
  </r>
  <r>
    <x v="5"/>
    <x v="1"/>
    <x v="0"/>
    <s v="5833200"/>
    <n v="700018"/>
    <s v="Salaries-Supervisory-Productive"/>
    <s v="Maternal Fetal Med-Shared Svc"/>
    <x v="0"/>
    <m/>
    <n v="3225.6"/>
    <n v="3655.68"/>
    <n v="4085.76"/>
    <n v="2409.69"/>
    <n v="4283.91"/>
    <n v="3257.55"/>
    <n v="4469.13"/>
    <n v="4558.32"/>
    <n v="4357.22"/>
    <n v="3686.87"/>
    <n v="5139.29"/>
    <n v="4022.04"/>
    <n v="47151.060000000005"/>
    <n v="1117.25"/>
  </r>
  <r>
    <x v="5"/>
    <x v="1"/>
    <x v="0"/>
    <s v="5833200"/>
    <n v="700038"/>
    <s v="Salaries-Service/Support-Productive"/>
    <s v="Maternal Fetal Med-Shared Svc"/>
    <x v="0"/>
    <m/>
    <n v="16400.919999999998"/>
    <n v="21961.13"/>
    <n v="18700.59"/>
    <n v="22133.67"/>
    <n v="20218.18"/>
    <n v="17829.689999999999"/>
    <n v="20781.62"/>
    <n v="16891.150000000001"/>
    <n v="22781.43"/>
    <n v="19927.84"/>
    <n v="19693.61"/>
    <n v="16129.33"/>
    <n v="233449.15999999995"/>
    <n v="3564.2800000000007"/>
  </r>
  <r>
    <x v="5"/>
    <x v="1"/>
    <x v="0"/>
    <s v="5833200"/>
    <n v="700038"/>
    <s v="Salaries-Service/Support-OT"/>
    <s v="Maternal Fetal Med-Shared Svc"/>
    <x v="0"/>
    <n v="1000"/>
    <n v="210.36"/>
    <n v="1194.5999999999999"/>
    <n v="-3.41"/>
    <n v="232.85"/>
    <n v="390.56"/>
    <n v="299.31"/>
    <n v="429.16"/>
    <n v="789.34"/>
    <n v="745.37"/>
    <n v="154.01"/>
    <n v="268.5"/>
    <n v="218.98"/>
    <n v="4929.63"/>
    <n v="49.52000000000001"/>
  </r>
  <r>
    <x v="5"/>
    <x v="1"/>
    <x v="0"/>
    <s v="5833200"/>
    <n v="700038"/>
    <s v="Salaries-Service/Support-Other"/>
    <s v="Maternal Fetal Med-Shared Svc"/>
    <x v="0"/>
    <n v="2000"/>
    <n v="36.06"/>
    <n v="70.760000000000005"/>
    <n v="24.57"/>
    <n v="30.88"/>
    <n v="36"/>
    <n v="41.72"/>
    <n v="11.3"/>
    <n v="12.26"/>
    <n v="64.06"/>
    <n v="19.920000000000002"/>
    <n v="54.83"/>
    <n v="0.99"/>
    <n v="403.35"/>
    <n v="53.839999999999996"/>
  </r>
  <r>
    <x v="5"/>
    <x v="1"/>
    <x v="0"/>
    <s v="5833200"/>
    <n v="700054"/>
    <s v="Salaries-Management-Non-productive"/>
    <s v="Maternal Fetal Med-Shared Svc"/>
    <x v="0"/>
    <m/>
    <n v="0"/>
    <n v="0"/>
    <n v="0"/>
    <n v="0"/>
    <n v="0"/>
    <n v="0"/>
    <n v="0"/>
    <n v="0"/>
    <n v="0"/>
    <n v="0"/>
    <n v="0"/>
    <n v="291.07"/>
    <n v="291.07"/>
    <n v="-291.07"/>
  </r>
  <r>
    <x v="5"/>
    <x v="1"/>
    <x v="0"/>
    <s v="5833200"/>
    <n v="700054"/>
    <s v="Salaries-Management-NonProd-Other"/>
    <s v="Maternal Fetal Med-Shared Svc"/>
    <x v="0"/>
    <n v="2000"/>
    <n v="0"/>
    <n v="0"/>
    <n v="0"/>
    <n v="0"/>
    <n v="0"/>
    <n v="147.22"/>
    <n v="-147.22"/>
    <n v="0"/>
    <n v="0"/>
    <n v="0"/>
    <n v="0"/>
    <n v="0"/>
    <n v="0"/>
    <n v="0"/>
  </r>
  <r>
    <x v="5"/>
    <x v="1"/>
    <x v="0"/>
    <s v="5833200"/>
    <n v="700058"/>
    <s v="Salaries-Supervisory-Non-productive"/>
    <s v="Maternal Fetal Med-Shared Svc"/>
    <x v="0"/>
    <m/>
    <n v="215.04"/>
    <n v="215.04"/>
    <n v="215.04"/>
    <n v="215.04"/>
    <n v="446.24"/>
    <n v="1427.96"/>
    <n v="670.47"/>
    <n v="-89.37"/>
    <n v="335.17"/>
    <n v="1228.96"/>
    <n v="0"/>
    <n v="446.9"/>
    <n v="5326.49"/>
    <n v="-446.9"/>
  </r>
  <r>
    <x v="5"/>
    <x v="1"/>
    <x v="0"/>
    <s v="5833200"/>
    <n v="700058"/>
    <s v="Salaries-Supervisory-NonProd-Other"/>
    <s v="Maternal Fetal Med-Shared Svc"/>
    <x v="0"/>
    <n v="2000"/>
    <n v="0"/>
    <n v="0"/>
    <n v="0"/>
    <n v="0"/>
    <n v="1174.1099999999999"/>
    <n v="2348.2199999999998"/>
    <n v="0"/>
    <n v="-3522.33"/>
    <n v="0"/>
    <n v="0"/>
    <n v="0"/>
    <n v="0"/>
    <n v="0"/>
    <n v="0"/>
  </r>
  <r>
    <x v="5"/>
    <x v="1"/>
    <x v="0"/>
    <s v="5833200"/>
    <n v="700078"/>
    <s v="Salaries-Service/Support-Non-productive"/>
    <s v="Maternal Fetal Med-Shared Svc"/>
    <x v="0"/>
    <m/>
    <n v="3255.32"/>
    <n v="2637.84"/>
    <n v="2001.19"/>
    <n v="2171.39"/>
    <n v="3276.06"/>
    <n v="4236.47"/>
    <n v="3340.89"/>
    <n v="3535.93"/>
    <n v="133.13999999999999"/>
    <n v="3621"/>
    <n v="2281.7600000000002"/>
    <n v="1542.12"/>
    <n v="32033.109999999997"/>
    <n v="739.64000000000033"/>
  </r>
  <r>
    <x v="5"/>
    <x v="1"/>
    <x v="0"/>
    <s v="5833200"/>
    <n v="700078"/>
    <s v="Salaries-Service/Support-NonProd-Other"/>
    <s v="Maternal Fetal Med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33200"/>
    <n v="700084"/>
    <s v="Accrued PTO"/>
    <s v="Maternal Fetal Med-Shared Svc"/>
    <x v="0"/>
    <m/>
    <n v="-45.68"/>
    <n v="293.60000000000002"/>
    <n v="567.79"/>
    <n v="1922.55"/>
    <n v="1238.6199999999999"/>
    <n v="-2212.2800000000002"/>
    <n v="-319.95"/>
    <n v="-406.42"/>
    <n v="1702.47"/>
    <n v="-109.91"/>
    <n v="1400.18"/>
    <n v="1384.86"/>
    <n v="5415.83"/>
    <n v="15.320000000000164"/>
  </r>
  <r>
    <x v="10"/>
    <x v="1"/>
    <x v="0"/>
    <s v="5833200"/>
    <n v="710042"/>
    <s v="Locum Tenens Travel-Physician"/>
    <s v="Maternal Fetal Med-Shared Svc"/>
    <x v="0"/>
    <m/>
    <n v="0"/>
    <n v="0"/>
    <n v="0"/>
    <n v="0"/>
    <n v="0"/>
    <n v="0"/>
    <n v="0"/>
    <n v="0"/>
    <n v="0"/>
    <n v="0"/>
    <n v="0"/>
    <n v="1115.49"/>
    <n v="1115.49"/>
    <n v="-1115.49"/>
  </r>
  <r>
    <x v="6"/>
    <x v="1"/>
    <x v="0"/>
    <s v="5833200"/>
    <n v="713010"/>
    <s v="Benefits-FICA/Medicare"/>
    <s v="Maternal Fetal Med-Shared Svc"/>
    <x v="0"/>
    <m/>
    <n v="1929.14"/>
    <n v="2406.2199999999998"/>
    <n v="2045.09"/>
    <n v="2249.14"/>
    <n v="2554.87"/>
    <n v="2245"/>
    <n v="2478.2399999999998"/>
    <n v="2104.02"/>
    <n v="2356.2600000000002"/>
    <n v="2370.7600000000002"/>
    <n v="2858.82"/>
    <n v="2294.29"/>
    <n v="27891.85"/>
    <n v="564.5300000000002"/>
  </r>
  <r>
    <x v="6"/>
    <x v="1"/>
    <x v="0"/>
    <s v="5833200"/>
    <n v="713090"/>
    <s v="Benefits-Allocated Amounts"/>
    <s v="Maternal Fetal Med-Shared Svc"/>
    <x v="0"/>
    <m/>
    <n v="6815.18"/>
    <n v="7482.29"/>
    <n v="7942.39"/>
    <n v="7733.6"/>
    <n v="7869.93"/>
    <n v="8151.43"/>
    <n v="9231.68"/>
    <n v="8566.67"/>
    <n v="8840.14"/>
    <n v="8576.1299999999992"/>
    <n v="9679.07"/>
    <n v="8767.9699999999993"/>
    <n v="99656.48000000001"/>
    <n v="911.10000000000036"/>
  </r>
  <r>
    <x v="6"/>
    <x v="1"/>
    <x v="0"/>
    <s v="5833200"/>
    <n v="713096"/>
    <s v="Employee Recognition"/>
    <s v="Maternal Fetal Med-Shared Svc"/>
    <x v="0"/>
    <n v="1017"/>
    <n v="0"/>
    <n v="0"/>
    <n v="0"/>
    <n v="0"/>
    <n v="0"/>
    <n v="109.26"/>
    <n v="0"/>
    <n v="0"/>
    <n v="0"/>
    <n v="0"/>
    <n v="0"/>
    <n v="0"/>
    <n v="109.26"/>
    <n v="0"/>
  </r>
  <r>
    <x v="7"/>
    <x v="1"/>
    <x v="0"/>
    <s v="5833200"/>
    <n v="718010"/>
    <s v="Media/Print Advertising"/>
    <s v="Maternal Fetal Med-Shared Svc"/>
    <x v="0"/>
    <n v="1004"/>
    <n v="400.97"/>
    <n v="0"/>
    <n v="0"/>
    <n v="0"/>
    <n v="0"/>
    <n v="0"/>
    <n v="98.18"/>
    <n v="0"/>
    <n v="0"/>
    <n v="0"/>
    <n v="0"/>
    <n v="0"/>
    <n v="499.15000000000003"/>
    <n v="0"/>
  </r>
  <r>
    <x v="7"/>
    <x v="1"/>
    <x v="0"/>
    <s v="5833200"/>
    <n v="718040"/>
    <s v="Contract Svcs-Laboratory"/>
    <s v="Maternal Fetal Med-Shared Svc"/>
    <x v="0"/>
    <m/>
    <n v="0"/>
    <n v="0"/>
    <n v="0"/>
    <n v="0"/>
    <n v="0"/>
    <n v="0"/>
    <n v="0"/>
    <n v="0"/>
    <n v="0"/>
    <n v="-20.350000000000001"/>
    <n v="0"/>
    <n v="0"/>
    <n v="-20.350000000000001"/>
    <n v="0"/>
  </r>
  <r>
    <x v="7"/>
    <x v="1"/>
    <x v="0"/>
    <s v="5833200"/>
    <n v="718050"/>
    <s v="Contract Svcs-Other"/>
    <s v="Maternal Fetal Med-Shared Svc"/>
    <x v="0"/>
    <m/>
    <n v="83.44"/>
    <n v="83.44"/>
    <n v="387.44"/>
    <n v="299.44"/>
    <n v="83.44"/>
    <n v="0"/>
    <n v="166.88"/>
    <n v="166.88"/>
    <n v="274.88"/>
    <n v="34790.9"/>
    <n v="0"/>
    <n v="191.44"/>
    <n v="36528.180000000008"/>
    <n v="-191.44"/>
  </r>
  <r>
    <x v="7"/>
    <x v="1"/>
    <x v="0"/>
    <s v="5833200"/>
    <n v="718050"/>
    <s v="Document Shredding/Storage"/>
    <s v="Maternal Fetal Med-Shared Svc"/>
    <x v="0"/>
    <n v="1012"/>
    <n v="102.19"/>
    <n v="100.77"/>
    <n v="85.3"/>
    <n v="90.38"/>
    <n v="105.54"/>
    <n v="109.99"/>
    <n v="108.89"/>
    <n v="166.87"/>
    <n v="128.53"/>
    <n v="41.55"/>
    <n v="97.25"/>
    <n v="126.62"/>
    <n v="1263.8800000000001"/>
    <n v="-29.370000000000005"/>
  </r>
  <r>
    <x v="7"/>
    <x v="1"/>
    <x v="0"/>
    <s v="5833200"/>
    <n v="718050"/>
    <s v="Physician Answering"/>
    <s v="Maternal Fetal Med-Shared Svc"/>
    <x v="0"/>
    <n v="1015"/>
    <n v="346"/>
    <n v="506.4"/>
    <n v="443.8"/>
    <n v="129.6"/>
    <n v="365.4"/>
    <n v="359.6"/>
    <n v="484.6"/>
    <n v="393.6"/>
    <n v="316.2"/>
    <n v="420.6"/>
    <n v="431.2"/>
    <n v="298.8"/>
    <n v="4495.7999999999993"/>
    <n v="132.39999999999998"/>
  </r>
  <r>
    <x v="7"/>
    <x v="1"/>
    <x v="0"/>
    <s v="5833200"/>
    <n v="718050"/>
    <s v="Miscellaneous Purchased Svcs"/>
    <s v="Maternal Fetal Med-Shared Svc"/>
    <x v="0"/>
    <n v="1020"/>
    <n v="0"/>
    <n v="0"/>
    <n v="521.62"/>
    <n v="402.95"/>
    <n v="32.950000000000003"/>
    <n v="27.07"/>
    <n v="0"/>
    <n v="0"/>
    <n v="98.85"/>
    <n v="32.950000000000003"/>
    <n v="0"/>
    <n v="60.02"/>
    <n v="1176.4100000000001"/>
    <n v="-60.02"/>
  </r>
  <r>
    <x v="7"/>
    <x v="1"/>
    <x v="0"/>
    <s v="5833200"/>
    <n v="718050"/>
    <s v="Translation Services"/>
    <s v="Maternal Fetal Med-Shared Svc"/>
    <x v="0"/>
    <n v="1025"/>
    <n v="349.86"/>
    <n v="237"/>
    <n v="55.08"/>
    <n v="835.77"/>
    <n v="416.36"/>
    <n v="63.18"/>
    <n v="511.43"/>
    <n v="107.83"/>
    <n v="285"/>
    <n v="323.49"/>
    <n v="64"/>
    <n v="200.87"/>
    <n v="3449.87"/>
    <n v="-136.87"/>
  </r>
  <r>
    <x v="7"/>
    <x v="1"/>
    <x v="0"/>
    <s v="5833200"/>
    <n v="718050"/>
    <s v="Contract Management--Linen"/>
    <s v="Maternal Fetal Med-Shared Svc"/>
    <x v="0"/>
    <n v="1026"/>
    <n v="0"/>
    <n v="0"/>
    <n v="0"/>
    <n v="0"/>
    <n v="0"/>
    <n v="0"/>
    <n v="0"/>
    <n v="0"/>
    <n v="0"/>
    <n v="83.26"/>
    <n v="0"/>
    <n v="0"/>
    <n v="83.26"/>
    <n v="0"/>
  </r>
  <r>
    <x v="7"/>
    <x v="1"/>
    <x v="0"/>
    <s v="5833200"/>
    <n v="718050"/>
    <s v="Purchased Srvcs--Medical Waste"/>
    <s v="Maternal Fetal Med-Shared Svc"/>
    <x v="0"/>
    <n v="1027"/>
    <n v="21.52"/>
    <n v="21.52"/>
    <n v="21.52"/>
    <n v="0"/>
    <n v="21.52"/>
    <n v="21.52"/>
    <n v="43.04"/>
    <n v="21.52"/>
    <n v="0"/>
    <n v="43.04"/>
    <n v="0"/>
    <n v="21.52"/>
    <n v="236.72"/>
    <n v="-21.52"/>
  </r>
  <r>
    <x v="7"/>
    <x v="1"/>
    <x v="0"/>
    <s v="5833200"/>
    <n v="718070"/>
    <s v="Contract Srvcs-CHI Clinical Engineering"/>
    <s v="Maternal Fetal Med-Shared Svc"/>
    <x v="0"/>
    <m/>
    <n v="0"/>
    <n v="0"/>
    <n v="0"/>
    <n v="0"/>
    <n v="0"/>
    <n v="0"/>
    <n v="0"/>
    <n v="330.5"/>
    <n v="0"/>
    <n v="0"/>
    <n v="0"/>
    <n v="81.400000000000006"/>
    <n v="411.9"/>
    <n v="-81.400000000000006"/>
  </r>
  <r>
    <x v="11"/>
    <x v="1"/>
    <x v="0"/>
    <s v="5833200"/>
    <n v="721010"/>
    <s v="Supplies-Medical - Billable"/>
    <s v="Maternal Fetal Med-Shared Svc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5833200"/>
    <n v="721020"/>
    <s v="Supplies-Surgical - Billable"/>
    <s v="Maternal Fetal Med-Shared Svc"/>
    <x v="0"/>
    <m/>
    <n v="0"/>
    <n v="0"/>
    <n v="0"/>
    <n v="0"/>
    <n v="0"/>
    <n v="0"/>
    <n v="0"/>
    <n v="950"/>
    <n v="0"/>
    <n v="0"/>
    <n v="0"/>
    <n v="0"/>
    <n v="950"/>
    <n v="0"/>
  </r>
  <r>
    <x v="11"/>
    <x v="1"/>
    <x v="0"/>
    <s v="5833200"/>
    <n v="721250"/>
    <s v="Supplies-Pharmacy Drugs - Billable"/>
    <s v="Maternal Fetal Med-Shared Svc"/>
    <x v="0"/>
    <m/>
    <n v="288.2"/>
    <n v="264.45999999999998"/>
    <n v="0"/>
    <n v="154.30000000000001"/>
    <n v="154.30000000000001"/>
    <n v="154.30000000000001"/>
    <n v="69.319999999999993"/>
    <n v="0"/>
    <n v="0"/>
    <n v="0"/>
    <n v="0"/>
    <n v="0"/>
    <n v="1084.8799999999999"/>
    <n v="0"/>
  </r>
  <r>
    <x v="11"/>
    <x v="1"/>
    <x v="0"/>
    <s v="5833200"/>
    <n v="721810"/>
    <s v="Supplies-Dietary/Cafeteria"/>
    <s v="Maternal Fetal Med-Shared Svc"/>
    <x v="0"/>
    <m/>
    <n v="102.91"/>
    <n v="219.5"/>
    <n v="132.65"/>
    <n v="0"/>
    <n v="0"/>
    <n v="34.96"/>
    <n v="297.39999999999998"/>
    <n v="0"/>
    <n v="294"/>
    <n v="170.5"/>
    <n v="0"/>
    <n v="119"/>
    <n v="1370.9199999999998"/>
    <n v="-119"/>
  </r>
  <r>
    <x v="11"/>
    <x v="1"/>
    <x v="0"/>
    <s v="5833200"/>
    <n v="721830"/>
    <s v="Supplies-Office"/>
    <s v="Maternal Fetal Med-Shared Svc"/>
    <x v="0"/>
    <m/>
    <n v="118.73"/>
    <n v="125.25"/>
    <n v="0"/>
    <n v="0"/>
    <n v="0"/>
    <n v="0"/>
    <n v="477.2"/>
    <n v="155.61000000000001"/>
    <n v="0"/>
    <n v="0"/>
    <n v="113.82"/>
    <n v="271.95"/>
    <n v="1262.5600000000002"/>
    <n v="-158.13"/>
  </r>
  <r>
    <x v="11"/>
    <x v="1"/>
    <x v="0"/>
    <s v="5833200"/>
    <n v="721835"/>
    <s v="Supplies-Forms"/>
    <s v="Maternal Fetal Med-Shared Svc"/>
    <x v="0"/>
    <m/>
    <n v="0"/>
    <n v="0"/>
    <n v="0"/>
    <n v="0"/>
    <n v="11.1"/>
    <n v="0"/>
    <n v="0"/>
    <n v="0"/>
    <n v="0"/>
    <n v="1.28"/>
    <n v="25.08"/>
    <n v="90.6"/>
    <n v="128.06"/>
    <n v="-65.52"/>
  </r>
  <r>
    <x v="11"/>
    <x v="1"/>
    <x v="0"/>
    <s v="5833200"/>
    <n v="721910"/>
    <s v="Supplies-Small Equipment"/>
    <s v="Maternal Fetal Med-Shared Svc"/>
    <x v="0"/>
    <m/>
    <n v="333.57"/>
    <n v="376.39"/>
    <n v="0"/>
    <n v="0"/>
    <n v="370.17"/>
    <n v="0"/>
    <n v="0"/>
    <n v="0"/>
    <n v="0"/>
    <n v="0"/>
    <n v="1863.1"/>
    <n v="0"/>
    <n v="2943.23"/>
    <n v="1863.1"/>
  </r>
  <r>
    <x v="11"/>
    <x v="1"/>
    <x v="0"/>
    <s v="5833200"/>
    <n v="722000"/>
    <s v="Supplies-Freight Expense"/>
    <s v="Maternal Fetal Med-Shared Svc"/>
    <x v="0"/>
    <m/>
    <n v="0"/>
    <n v="0"/>
    <n v="0"/>
    <n v="0"/>
    <n v="0"/>
    <n v="21.44"/>
    <n v="0"/>
    <n v="0"/>
    <n v="0"/>
    <n v="0"/>
    <n v="0"/>
    <n v="0"/>
    <n v="21.44"/>
    <n v="0"/>
  </r>
  <r>
    <x v="12"/>
    <x v="1"/>
    <x v="0"/>
    <s v="5833200"/>
    <n v="730010"/>
    <s v="Rental and Leases-Building (DO NOT USE)"/>
    <s v="Maternal Fetal Med-Shared Svc"/>
    <x v="0"/>
    <m/>
    <n v="19127.93"/>
    <n v="19127.93"/>
    <n v="19127.93"/>
    <n v="19127.93"/>
    <n v="19127.93"/>
    <n v="-2920.52"/>
    <n v="15762.21"/>
    <n v="15762.21"/>
    <n v="15762.21"/>
    <n v="15773.43"/>
    <n v="15773.43"/>
    <n v="0"/>
    <n v="171552.61999999997"/>
    <n v="15773.43"/>
  </r>
  <r>
    <x v="12"/>
    <x v="1"/>
    <x v="0"/>
    <s v="5833200"/>
    <n v="730010"/>
    <s v="Rental-Common Area Maint (DO NOT USE)"/>
    <s v="Maternal Fetal Med-Shared Svc"/>
    <x v="0"/>
    <n v="2200"/>
    <n v="0"/>
    <n v="0"/>
    <n v="0"/>
    <n v="0"/>
    <n v="0"/>
    <n v="22048.45"/>
    <n v="3674.78"/>
    <n v="3674.78"/>
    <n v="3674.78"/>
    <n v="117.12"/>
    <n v="3674.78"/>
    <n v="3674.78"/>
    <n v="40539.47"/>
    <n v="0"/>
  </r>
  <r>
    <x v="12"/>
    <x v="1"/>
    <x v="0"/>
    <s v="5833200"/>
    <n v="730020"/>
    <s v="Rental and Leases-Copier Usage Fees (DO NOT USE)"/>
    <s v="Maternal Fetal Med-Shared Svc"/>
    <x v="0"/>
    <n v="5100"/>
    <n v="146.9"/>
    <n v="152.05000000000001"/>
    <n v="149.47999999999999"/>
    <n v="149.47999999999999"/>
    <n v="149.47999999999999"/>
    <n v="149.47999999999999"/>
    <n v="223.41"/>
    <n v="152.05000000000001"/>
    <n v="151.72999999999999"/>
    <n v="162.88999999999999"/>
    <n v="152.05000000000001"/>
    <n v="184.84"/>
    <n v="1923.8400000000001"/>
    <n v="-32.789999999999992"/>
  </r>
  <r>
    <x v="12"/>
    <x v="1"/>
    <x v="0"/>
    <s v="5833200"/>
    <n v="730040"/>
    <s v="LT Lease-Real Estate"/>
    <s v="Maternal Fetal Med-Shared Svc"/>
    <x v="0"/>
    <m/>
    <n v="0"/>
    <n v="0"/>
    <n v="0"/>
    <n v="0"/>
    <n v="0"/>
    <n v="0"/>
    <n v="0"/>
    <n v="0"/>
    <n v="0"/>
    <n v="0"/>
    <n v="0"/>
    <n v="15773.43"/>
    <n v="15773.43"/>
    <n v="-15773.43"/>
  </r>
  <r>
    <x v="15"/>
    <x v="1"/>
    <x v="0"/>
    <s v="5833200"/>
    <n v="731060"/>
    <s v="Pagers"/>
    <s v="Maternal Fetal Med-Shared Svc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1"/>
    <x v="0"/>
    <s v="5833200"/>
    <n v="732030"/>
    <s v="Repairs---Other"/>
    <s v="Maternal Fetal Med-Shared Svc"/>
    <x v="0"/>
    <m/>
    <n v="0"/>
    <n v="0"/>
    <n v="0"/>
    <n v="0"/>
    <n v="0"/>
    <n v="0"/>
    <n v="0"/>
    <n v="0"/>
    <n v="35.72"/>
    <n v="0"/>
    <n v="0"/>
    <n v="0"/>
    <n v="35.72"/>
    <n v="0"/>
  </r>
  <r>
    <x v="13"/>
    <x v="1"/>
    <x v="0"/>
    <s v="5833200"/>
    <n v="735070"/>
    <s v="Depreciation-Movable Equipment"/>
    <s v="Maternal Fetal Med-Shared Svc"/>
    <x v="0"/>
    <m/>
    <n v="3427.02"/>
    <n v="3427.02"/>
    <n v="3427.02"/>
    <n v="3427.02"/>
    <n v="3427.02"/>
    <n v="3427.02"/>
    <n v="3427.02"/>
    <n v="3427.02"/>
    <n v="3427.02"/>
    <n v="3427.01"/>
    <n v="3427.02"/>
    <n v="3427"/>
    <n v="41124.21"/>
    <n v="1.999999999998181E-2"/>
  </r>
  <r>
    <x v="0"/>
    <x v="1"/>
    <x v="0"/>
    <s v="5833200"/>
    <n v="749510"/>
    <s v="Miscellaneous Expenses"/>
    <s v="Maternal Fetal Med-Shared Svc"/>
    <x v="0"/>
    <m/>
    <n v="0"/>
    <n v="580.5"/>
    <n v="71.790000000000006"/>
    <n v="-1"/>
    <n v="16.989999999999998"/>
    <n v="694.01"/>
    <n v="-352.29"/>
    <n v="16.760000000000002"/>
    <n v="-17.760000000000002"/>
    <n v="2378.75"/>
    <n v="28.48"/>
    <n v="-28.48"/>
    <n v="3387.75"/>
    <n v="56.96"/>
  </r>
  <r>
    <x v="0"/>
    <x v="1"/>
    <x v="0"/>
    <s v="5833200"/>
    <n v="749510"/>
    <s v="Licenses"/>
    <s v="Maternal Fetal Med-Shared Svc"/>
    <x v="0"/>
    <n v="1002"/>
    <n v="0"/>
    <n v="0"/>
    <n v="530"/>
    <n v="0"/>
    <n v="0"/>
    <n v="180"/>
    <n v="38.75"/>
    <n v="0"/>
    <n v="0"/>
    <n v="0"/>
    <n v="0"/>
    <n v="0"/>
    <n v="748.75"/>
    <n v="0"/>
  </r>
  <r>
    <x v="0"/>
    <x v="1"/>
    <x v="0"/>
    <s v="5833200"/>
    <n v="749510"/>
    <s v="RICE Rewards"/>
    <s v="Maternal Fetal Med-Shared Svc"/>
    <x v="0"/>
    <n v="5100"/>
    <n v="0"/>
    <n v="0"/>
    <n v="0"/>
    <n v="0"/>
    <n v="0"/>
    <n v="0"/>
    <n v="0"/>
    <n v="0"/>
    <n v="0"/>
    <n v="0"/>
    <n v="905.03"/>
    <n v="0"/>
    <n v="905.03"/>
    <n v="905.03"/>
  </r>
  <r>
    <x v="0"/>
    <x v="1"/>
    <x v="0"/>
    <s v="5833200"/>
    <n v="749530"/>
    <s v="Travel"/>
    <s v="Maternal Fetal Med-Shared Svc"/>
    <x v="0"/>
    <m/>
    <n v="5"/>
    <n v="60"/>
    <n v="10"/>
    <n v="0"/>
    <n v="18"/>
    <n v="5"/>
    <n v="0"/>
    <n v="12"/>
    <n v="5"/>
    <n v="10"/>
    <n v="0"/>
    <n v="21"/>
    <n v="146"/>
    <n v="-21"/>
  </r>
  <r>
    <x v="0"/>
    <x v="1"/>
    <x v="0"/>
    <s v="5833200"/>
    <n v="749530"/>
    <s v="Mileage"/>
    <s v="Maternal Fetal Med-Shared Svc"/>
    <x v="0"/>
    <n v="1001"/>
    <n v="77.94"/>
    <n v="119.9"/>
    <n v="17.989999999999998"/>
    <n v="11.99"/>
    <n v="59.95"/>
    <n v="11.99"/>
    <n v="0"/>
    <n v="89.32"/>
    <n v="12.76"/>
    <n v="19.72"/>
    <n v="132.24"/>
    <n v="0"/>
    <n v="553.80000000000007"/>
    <n v="132.24"/>
  </r>
  <r>
    <x v="0"/>
    <x v="1"/>
    <x v="0"/>
    <s v="5833200"/>
    <n v="749535"/>
    <s v="Meetings"/>
    <s v="Maternal Fetal Med-Shared Svc"/>
    <x v="0"/>
    <m/>
    <n v="0"/>
    <n v="0"/>
    <n v="0"/>
    <n v="0"/>
    <n v="0"/>
    <n v="0"/>
    <n v="0"/>
    <n v="0"/>
    <n v="0"/>
    <n v="78.010000000000005"/>
    <n v="0"/>
    <n v="28.48"/>
    <n v="106.49000000000001"/>
    <n v="-28.48"/>
  </r>
  <r>
    <x v="0"/>
    <x v="1"/>
    <x v="0"/>
    <s v="5833200"/>
    <n v="749550"/>
    <s v="Cash Over/Short"/>
    <s v="Maternal Fetal Med-Shared Svc"/>
    <x v="0"/>
    <m/>
    <n v="0"/>
    <n v="0"/>
    <n v="0"/>
    <n v="0"/>
    <n v="0"/>
    <n v="0"/>
    <n v="0"/>
    <n v="0"/>
    <n v="0"/>
    <n v="0"/>
    <n v="5"/>
    <n v="0"/>
    <n v="5"/>
    <n v="5"/>
  </r>
  <r>
    <x v="0"/>
    <x v="1"/>
    <x v="0"/>
    <s v="5833200"/>
    <n v="766010"/>
    <s v="Property Tax"/>
    <s v="Maternal Fetal Med-Shared Svc"/>
    <x v="0"/>
    <m/>
    <n v="456.62"/>
    <n v="456.62"/>
    <n v="456.62"/>
    <n v="456.62"/>
    <n v="456.62"/>
    <n v="456.62"/>
    <n v="456.62"/>
    <n v="456.62"/>
    <n v="456.62"/>
    <n v="-128.61000000000001"/>
    <n v="310.31"/>
    <n v="310.31"/>
    <n v="4601.59"/>
    <n v="0"/>
  </r>
  <r>
    <x v="7"/>
    <x v="1"/>
    <x v="0"/>
    <s v="5834200"/>
    <n v="718050"/>
    <s v="Contract Svcs-Other"/>
    <s v="Northwest Neurology"/>
    <x v="0"/>
    <m/>
    <n v="0"/>
    <n v="0"/>
    <n v="40.450000000000003"/>
    <n v="0"/>
    <n v="56.11"/>
    <n v="0"/>
    <n v="22.66"/>
    <n v="0"/>
    <n v="0"/>
    <n v="0"/>
    <n v="0"/>
    <n v="0"/>
    <n v="119.22"/>
    <n v="0"/>
  </r>
  <r>
    <x v="7"/>
    <x v="1"/>
    <x v="0"/>
    <s v="5834200"/>
    <n v="718050"/>
    <s v="Document Shredding/Storage"/>
    <s v="Northwest Neurology"/>
    <x v="0"/>
    <n v="1012"/>
    <n v="179.33"/>
    <n v="-7.31"/>
    <n v="172.32"/>
    <n v="130.47"/>
    <n v="128.76"/>
    <n v="94.85"/>
    <n v="93.9"/>
    <n v="4.68"/>
    <n v="66.31"/>
    <n v="126.25"/>
    <n v="81.83"/>
    <n v="288.20999999999998"/>
    <n v="1359.6"/>
    <n v="-206.38"/>
  </r>
  <r>
    <x v="7"/>
    <x v="1"/>
    <x v="0"/>
    <s v="5834200"/>
    <n v="718050"/>
    <s v="Physician Answering"/>
    <s v="Northwest Neurology"/>
    <x v="0"/>
    <n v="1015"/>
    <n v="1440.6"/>
    <n v="2352.1999999999998"/>
    <n v="1758"/>
    <n v="749.6"/>
    <n v="2276.6"/>
    <n v="1765"/>
    <n v="2617.8000000000002"/>
    <n v="1931.6"/>
    <n v="1764.2"/>
    <n v="1915.6"/>
    <n v="2004"/>
    <n v="1683.2"/>
    <n v="22258.399999999998"/>
    <n v="320.79999999999995"/>
  </r>
  <r>
    <x v="7"/>
    <x v="1"/>
    <x v="0"/>
    <s v="5834200"/>
    <n v="718050"/>
    <s v="Translation Services"/>
    <s v="Northwest Neurology"/>
    <x v="0"/>
    <n v="1025"/>
    <n v="0"/>
    <n v="0"/>
    <n v="844.02"/>
    <n v="0"/>
    <n v="0"/>
    <n v="592.91999999999996"/>
    <n v="7.11"/>
    <n v="0"/>
    <n v="0"/>
    <n v="88.48"/>
    <n v="0"/>
    <n v="33.840000000000003"/>
    <n v="1566.37"/>
    <n v="-33.840000000000003"/>
  </r>
  <r>
    <x v="7"/>
    <x v="1"/>
    <x v="0"/>
    <s v="5834200"/>
    <n v="718050"/>
    <s v="Purchased Srvcs--Medical Waste"/>
    <s v="Northwest Neurology"/>
    <x v="0"/>
    <n v="1027"/>
    <n v="11.16"/>
    <n v="11.16"/>
    <n v="11.16"/>
    <n v="0"/>
    <n v="11.16"/>
    <n v="11.16"/>
    <n v="22.32"/>
    <n v="11.16"/>
    <n v="0"/>
    <n v="22.32"/>
    <n v="0"/>
    <n v="11.16"/>
    <n v="122.75999999999999"/>
    <n v="-11.16"/>
  </r>
  <r>
    <x v="11"/>
    <x v="1"/>
    <x v="0"/>
    <s v="5834200"/>
    <n v="721830"/>
    <s v="Supplies-Office"/>
    <s v="Northwest Neurology"/>
    <x v="0"/>
    <m/>
    <n v="85.7"/>
    <n v="0"/>
    <n v="0"/>
    <n v="0"/>
    <n v="0"/>
    <n v="0"/>
    <n v="0"/>
    <n v="0"/>
    <n v="0"/>
    <n v="0"/>
    <n v="0"/>
    <n v="0"/>
    <n v="85.7"/>
    <n v="0"/>
  </r>
  <r>
    <x v="11"/>
    <x v="1"/>
    <x v="0"/>
    <s v="5834200"/>
    <n v="721870"/>
    <s v="Supplies-Environmental Services"/>
    <s v="Northwest Neurology"/>
    <x v="0"/>
    <m/>
    <n v="0"/>
    <n v="0"/>
    <n v="0"/>
    <n v="0"/>
    <n v="0"/>
    <n v="0"/>
    <n v="0"/>
    <n v="71.67"/>
    <n v="0"/>
    <n v="0"/>
    <n v="12.92"/>
    <n v="0"/>
    <n v="84.59"/>
    <n v="12.92"/>
  </r>
  <r>
    <x v="12"/>
    <x v="1"/>
    <x v="0"/>
    <s v="5834200"/>
    <n v="730020"/>
    <s v="Rental and Leases-Copier Usage Fees (DO NOT USE)"/>
    <s v="Northwest Neurology"/>
    <x v="0"/>
    <n v="5100"/>
    <n v="22.25"/>
    <n v="21.27"/>
    <n v="21.76"/>
    <n v="21.76"/>
    <n v="21.76"/>
    <n v="21.76"/>
    <n v="-282.83"/>
    <n v="0"/>
    <n v="0"/>
    <n v="0"/>
    <n v="0"/>
    <n v="0"/>
    <n v="-152.26999999999998"/>
    <n v="0"/>
  </r>
  <r>
    <x v="15"/>
    <x v="1"/>
    <x v="0"/>
    <s v="5834200"/>
    <n v="731060"/>
    <s v="Pagers"/>
    <s v="Northwest Neurology"/>
    <x v="0"/>
    <n v="1002"/>
    <n v="72.900000000000006"/>
    <n v="72.900000000000006"/>
    <n v="247.77"/>
    <n v="0"/>
    <n v="0"/>
    <n v="0"/>
    <n v="0"/>
    <n v="0"/>
    <n v="0"/>
    <n v="0"/>
    <n v="0"/>
    <n v="0"/>
    <n v="393.57000000000005"/>
    <n v="0"/>
  </r>
  <r>
    <x v="13"/>
    <x v="1"/>
    <x v="0"/>
    <s v="5834200"/>
    <n v="735070"/>
    <s v="Depreciation-Movable Equipment"/>
    <s v="Northwest Neurology"/>
    <x v="0"/>
    <m/>
    <n v="302.13"/>
    <n v="302.13"/>
    <n v="302.13"/>
    <n v="302.13"/>
    <n v="302.14"/>
    <n v="302.13"/>
    <n v="302.14"/>
    <n v="302.13"/>
    <n v="302.14"/>
    <n v="302.13"/>
    <n v="302.14"/>
    <n v="302.13"/>
    <n v="3625.6"/>
    <n v="9.9999999999909051E-3"/>
  </r>
  <r>
    <x v="0"/>
    <x v="1"/>
    <x v="0"/>
    <s v="5834200"/>
    <n v="749510"/>
    <s v="Miscellaneous Fees"/>
    <s v="Northwest Neurology"/>
    <x v="0"/>
    <n v="1001"/>
    <n v="0"/>
    <n v="0"/>
    <n v="0"/>
    <n v="0"/>
    <n v="0"/>
    <n v="19"/>
    <n v="0"/>
    <n v="0"/>
    <n v="0"/>
    <n v="0"/>
    <n v="0"/>
    <n v="0"/>
    <n v="19"/>
    <n v="0"/>
  </r>
  <r>
    <x v="0"/>
    <x v="1"/>
    <x v="0"/>
    <s v="5834200"/>
    <n v="749510"/>
    <s v="Licenses"/>
    <s v="Northwest Neurology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834200"/>
    <n v="766010"/>
    <s v="Property Tax"/>
    <s v="Northwest Neurology"/>
    <x v="0"/>
    <m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-5.31"/>
    <n v="58.26"/>
    <n v="58.26"/>
    <n v="826.35"/>
    <n v="0"/>
  </r>
  <r>
    <x v="5"/>
    <x v="1"/>
    <x v="0"/>
    <s v="5835200"/>
    <n v="700014"/>
    <s v="Salaries-Management-Productive"/>
    <s v="FMB @ St. Joe's 1st Floor"/>
    <x v="0"/>
    <m/>
    <n v="5087.8"/>
    <n v="5319.08"/>
    <n v="4625.28"/>
    <n v="3315.88"/>
    <n v="5438.92"/>
    <n v="3719.25"/>
    <n v="5246.8"/>
    <n v="4806.08"/>
    <n v="5046.3999999999996"/>
    <n v="4605.82"/>
    <n v="5807.35"/>
    <n v="4405.57"/>
    <n v="57424.229999999996"/>
    <n v="1401.7800000000007"/>
  </r>
  <r>
    <x v="5"/>
    <x v="1"/>
    <x v="0"/>
    <s v="5835200"/>
    <n v="700018"/>
    <s v="Salaries-Supervisory-Productive"/>
    <s v="FMB @ St. Joe's 1st Floor"/>
    <x v="0"/>
    <m/>
    <n v="1990.02"/>
    <n v="910.14"/>
    <n v="0"/>
    <n v="3523.2"/>
    <n v="4416.96"/>
    <n v="2978.88"/>
    <n v="3549.26"/>
    <n v="5104.9399999999996"/>
    <n v="5529.31"/>
    <n v="5111.38"/>
    <n v="5818.63"/>
    <n v="4822.0600000000004"/>
    <n v="43754.779999999992"/>
    <n v="996.56999999999971"/>
  </r>
  <r>
    <x v="5"/>
    <x v="1"/>
    <x v="0"/>
    <s v="5835200"/>
    <n v="700030"/>
    <s v="Salaries-LPN-Other"/>
    <s v="FMB @ St. Joe's 1st Floor"/>
    <x v="0"/>
    <n v="2000"/>
    <n v="0"/>
    <n v="0"/>
    <n v="0"/>
    <n v="0"/>
    <n v="0"/>
    <n v="30"/>
    <n v="0"/>
    <n v="0"/>
    <n v="0"/>
    <n v="0"/>
    <n v="0"/>
    <n v="0"/>
    <n v="30"/>
    <n v="0"/>
  </r>
  <r>
    <x v="5"/>
    <x v="1"/>
    <x v="0"/>
    <s v="5835200"/>
    <n v="700038"/>
    <s v="Salaries-Service/Support-Productive"/>
    <s v="FMB @ St. Joe's 1st Floor"/>
    <x v="0"/>
    <m/>
    <n v="27535.65"/>
    <n v="29531.06"/>
    <n v="24237.54"/>
    <n v="31026.25"/>
    <n v="25685.98"/>
    <n v="17809.21"/>
    <n v="28426.6"/>
    <n v="26940.38"/>
    <n v="29049.52"/>
    <n v="28860.880000000001"/>
    <n v="26585.24"/>
    <n v="24110.98"/>
    <n v="319799.28999999998"/>
    <n v="2474.260000000002"/>
  </r>
  <r>
    <x v="5"/>
    <x v="1"/>
    <x v="0"/>
    <s v="5835200"/>
    <n v="700038"/>
    <s v="Salaries-Service/Support-OT"/>
    <s v="FMB @ St. Joe's 1st Floor"/>
    <x v="0"/>
    <n v="1000"/>
    <n v="168.81"/>
    <n v="186.6"/>
    <n v="54.21"/>
    <n v="29.72"/>
    <n v="212.01"/>
    <n v="45.35"/>
    <n v="479.43"/>
    <n v="142.46"/>
    <n v="85.47"/>
    <n v="140.37"/>
    <n v="232.93"/>
    <n v="-41.81"/>
    <n v="1735.55"/>
    <n v="274.74"/>
  </r>
  <r>
    <x v="5"/>
    <x v="1"/>
    <x v="0"/>
    <s v="5835200"/>
    <n v="700038"/>
    <s v="Salaries-Service/Support-Other"/>
    <s v="FMB @ St. Joe's 1st Floor"/>
    <x v="0"/>
    <n v="2000"/>
    <n v="90.67"/>
    <n v="92.24"/>
    <n v="85"/>
    <n v="92.27"/>
    <n v="88.13"/>
    <n v="87.11"/>
    <n v="28.2"/>
    <n v="-0.01"/>
    <n v="0"/>
    <n v="0"/>
    <n v="0"/>
    <n v="0"/>
    <n v="563.61"/>
    <n v="0"/>
  </r>
  <r>
    <x v="5"/>
    <x v="1"/>
    <x v="0"/>
    <s v="5835200"/>
    <n v="700054"/>
    <s v="Salaries-Management-Non-productive"/>
    <s v="FMB @ St. Joe's 1st Floor"/>
    <x v="0"/>
    <m/>
    <n v="385.44"/>
    <n v="578.16"/>
    <n v="192.72"/>
    <n v="2545"/>
    <n v="1439.72"/>
    <n v="2639.47"/>
    <n v="721.25"/>
    <n v="400.5"/>
    <n v="-160.19"/>
    <n v="680.86"/>
    <n v="520.65"/>
    <n v="400.51"/>
    <n v="10344.09"/>
    <n v="120.13999999999999"/>
  </r>
  <r>
    <x v="5"/>
    <x v="1"/>
    <x v="0"/>
    <s v="5835200"/>
    <n v="700054"/>
    <s v="Salaries-Management-NonProd-Other"/>
    <s v="FMB @ St. Joe's 1st Floor"/>
    <x v="0"/>
    <n v="2000"/>
    <n v="0"/>
    <n v="0"/>
    <n v="0"/>
    <n v="0"/>
    <n v="566.49"/>
    <n v="1365.82"/>
    <n v="-232.84"/>
    <n v="-1699.47"/>
    <n v="0"/>
    <n v="0"/>
    <n v="0"/>
    <n v="0"/>
    <n v="0"/>
    <n v="0"/>
  </r>
  <r>
    <x v="5"/>
    <x v="1"/>
    <x v="0"/>
    <s v="5835200"/>
    <n v="700058"/>
    <s v="Salaries-Supervisory-Non-productive"/>
    <s v="FMB @ St. Joe's 1st Floor"/>
    <x v="0"/>
    <m/>
    <n v="4848.45"/>
    <n v="5648.19"/>
    <n v="4998.3999999999996"/>
    <n v="2348.8000000000002"/>
    <n v="1232.6400000000001"/>
    <n v="2413.92"/>
    <n v="2366.16"/>
    <n v="38.57"/>
    <n v="-128.58000000000001"/>
    <n v="546.51"/>
    <n v="96.45"/>
    <n v="321.48"/>
    <n v="24730.989999999998"/>
    <n v="-225.03000000000003"/>
  </r>
  <r>
    <x v="5"/>
    <x v="1"/>
    <x v="0"/>
    <s v="5835200"/>
    <n v="700058"/>
    <s v="Salaries-Supervisory-NonProd-Other"/>
    <s v="FMB @ St. Joe's 1st Floor"/>
    <x v="0"/>
    <n v="2000"/>
    <n v="0"/>
    <n v="0"/>
    <n v="0"/>
    <n v="0"/>
    <n v="0"/>
    <n v="-152.36000000000001"/>
    <n v="0"/>
    <n v="152.36000000000001"/>
    <n v="0"/>
    <n v="0"/>
    <n v="0"/>
    <n v="0"/>
    <n v="0"/>
    <n v="0"/>
  </r>
  <r>
    <x v="5"/>
    <x v="1"/>
    <x v="0"/>
    <s v="5835200"/>
    <n v="700078"/>
    <s v="Salaries-Service/Support-Non-productive"/>
    <s v="FMB @ St. Joe's 1st Floor"/>
    <x v="0"/>
    <m/>
    <n v="6740.7"/>
    <n v="3883.54"/>
    <n v="5948.91"/>
    <n v="3293.23"/>
    <n v="2146.1999999999998"/>
    <n v="8117.6"/>
    <n v="1596.48"/>
    <n v="2065.09"/>
    <n v="2555.69"/>
    <n v="4114.42"/>
    <n v="4323.2299999999996"/>
    <n v="2811.32"/>
    <n v="47596.409999999996"/>
    <n v="1511.9099999999994"/>
  </r>
  <r>
    <x v="5"/>
    <x v="1"/>
    <x v="0"/>
    <s v="5835200"/>
    <n v="700078"/>
    <s v="Salaries-Service/Support-NonProd-Other"/>
    <s v="FMB @ St. Joe's 1st Floo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35200"/>
    <n v="700084"/>
    <s v="Accrued PTO"/>
    <s v="FMB @ St. Joe's 1st Floor"/>
    <x v="0"/>
    <m/>
    <n v="-412.81"/>
    <n v="-752.18"/>
    <n v="-5960.84"/>
    <n v="-318.45999999999998"/>
    <n v="933.37"/>
    <n v="-7345.8"/>
    <n v="1315.83"/>
    <n v="2353.0300000000002"/>
    <n v="2861.76"/>
    <n v="1308.27"/>
    <n v="-236.67"/>
    <n v="2227.79"/>
    <n v="-4026.71"/>
    <n v="-2464.46"/>
  </r>
  <r>
    <x v="6"/>
    <x v="1"/>
    <x v="0"/>
    <s v="5835200"/>
    <n v="713010"/>
    <s v="Benefits-FICA/Medicare"/>
    <s v="FMB @ St. Joe's 1st Floor"/>
    <x v="0"/>
    <m/>
    <n v="3447.93"/>
    <n v="3414.7"/>
    <n v="2918.15"/>
    <n v="3392.78"/>
    <n v="3175.05"/>
    <n v="2830.57"/>
    <n v="3160.52"/>
    <n v="2871.88"/>
    <n v="3053.34"/>
    <n v="3207.52"/>
    <n v="3185.76"/>
    <n v="2695.47"/>
    <n v="37353.670000000006"/>
    <n v="490.29000000000042"/>
  </r>
  <r>
    <x v="6"/>
    <x v="1"/>
    <x v="0"/>
    <s v="5835200"/>
    <n v="713090"/>
    <s v="Benefits-Allocated Amounts"/>
    <s v="FMB @ St. Joe's 1st Floor"/>
    <x v="0"/>
    <m/>
    <n v="12131.28"/>
    <n v="10399.459999999999"/>
    <n v="10830.26"/>
    <n v="11236.41"/>
    <n v="10411.17"/>
    <n v="9036.24"/>
    <n v="11860.78"/>
    <n v="12184.57"/>
    <n v="11884.55"/>
    <n v="12181.76"/>
    <n v="11450.34"/>
    <n v="10785.87"/>
    <n v="134392.69"/>
    <n v="664.46999999999935"/>
  </r>
  <r>
    <x v="6"/>
    <x v="1"/>
    <x v="0"/>
    <s v="5835200"/>
    <n v="713096"/>
    <s v="Employee Recognition"/>
    <s v="FMB @ St. Joe's 1st Floor"/>
    <x v="0"/>
    <n v="1017"/>
    <n v="0"/>
    <n v="0"/>
    <n v="0"/>
    <n v="0"/>
    <n v="0"/>
    <n v="17.95"/>
    <n v="405.35"/>
    <n v="0"/>
    <n v="27.98"/>
    <n v="36"/>
    <n v="0"/>
    <n v="21.98"/>
    <n v="509.26000000000005"/>
    <n v="-21.98"/>
  </r>
  <r>
    <x v="7"/>
    <x v="1"/>
    <x v="0"/>
    <s v="5835200"/>
    <n v="718010"/>
    <s v="Media/Print Advertising"/>
    <s v="FMB @ St. Joe's 1st Floor"/>
    <x v="0"/>
    <n v="1004"/>
    <n v="0"/>
    <n v="0"/>
    <n v="97.59"/>
    <n v="0"/>
    <n v="0"/>
    <n v="0"/>
    <n v="0"/>
    <n v="0"/>
    <n v="0"/>
    <n v="0"/>
    <n v="0"/>
    <n v="0"/>
    <n v="97.59"/>
    <n v="0"/>
  </r>
  <r>
    <x v="7"/>
    <x v="1"/>
    <x v="0"/>
    <s v="5835200"/>
    <n v="718050"/>
    <s v="Contract Svcs-Other"/>
    <s v="FMB @ St. Joe's 1st Floor"/>
    <x v="0"/>
    <m/>
    <n v="0"/>
    <n v="462.54"/>
    <n v="689.91"/>
    <n v="152.88"/>
    <n v="0"/>
    <n v="0"/>
    <n v="884.57"/>
    <n v="152.88"/>
    <n v="2860.5"/>
    <n v="-44.88"/>
    <n v="383.5"/>
    <n v="83.44"/>
    <n v="5625.34"/>
    <n v="300.06"/>
  </r>
  <r>
    <x v="7"/>
    <x v="1"/>
    <x v="0"/>
    <s v="5835200"/>
    <n v="718050"/>
    <s v="Management Fees"/>
    <s v="FMB @ St. Joe's 1st Floor"/>
    <x v="0"/>
    <n v="1004"/>
    <n v="0"/>
    <n v="0"/>
    <n v="0"/>
    <n v="0"/>
    <n v="0"/>
    <n v="0"/>
    <n v="0"/>
    <n v="0"/>
    <n v="781.62"/>
    <n v="0"/>
    <n v="0"/>
    <n v="0"/>
    <n v="781.62"/>
    <n v="0"/>
  </r>
  <r>
    <x v="7"/>
    <x v="1"/>
    <x v="0"/>
    <s v="5835200"/>
    <n v="718050"/>
    <s v="Document Shredding/Storage"/>
    <s v="FMB @ St. Joe's 1st Floor"/>
    <x v="0"/>
    <n v="1012"/>
    <n v="312.2"/>
    <n v="86.82"/>
    <n v="183.07"/>
    <n v="195.78"/>
    <n v="338.89"/>
    <n v="214.73"/>
    <n v="212.58"/>
    <n v="338.09"/>
    <n v="274.2"/>
    <n v="97.7"/>
    <n v="232.95"/>
    <n v="93.5"/>
    <n v="2580.5099999999993"/>
    <n v="139.44999999999999"/>
  </r>
  <r>
    <x v="7"/>
    <x v="1"/>
    <x v="0"/>
    <s v="5835200"/>
    <n v="718050"/>
    <s v="Miscellaneous Purchased Svcs"/>
    <s v="FMB @ St. Joe's 1st Floor"/>
    <x v="0"/>
    <n v="1020"/>
    <n v="0"/>
    <n v="0"/>
    <n v="375.07"/>
    <n v="0"/>
    <n v="197.85"/>
    <n v="0"/>
    <n v="0"/>
    <n v="0"/>
    <n v="0"/>
    <n v="0"/>
    <n v="0"/>
    <n v="0"/>
    <n v="572.91999999999996"/>
    <n v="0"/>
  </r>
  <r>
    <x v="7"/>
    <x v="1"/>
    <x v="0"/>
    <s v="5835200"/>
    <n v="718050"/>
    <s v="Translation Services"/>
    <s v="FMB @ St. Joe's 1st Floor"/>
    <x v="0"/>
    <n v="1025"/>
    <n v="367.65"/>
    <n v="526"/>
    <n v="257.58"/>
    <n v="215.82"/>
    <n v="612.54"/>
    <n v="888.09"/>
    <n v="876.51"/>
    <n v="343.18"/>
    <n v="408"/>
    <n v="351.23"/>
    <n v="74.849999999999994"/>
    <n v="582.14"/>
    <n v="5503.5899999999992"/>
    <n v="-507.28999999999996"/>
  </r>
  <r>
    <x v="7"/>
    <x v="1"/>
    <x v="0"/>
    <s v="5835200"/>
    <n v="718050"/>
    <s v="Purchased Srvcs--Medical Waste"/>
    <s v="FMB @ St. Joe's 1st Floor"/>
    <x v="0"/>
    <n v="1027"/>
    <n v="0"/>
    <n v="0"/>
    <n v="2566.8000000000002"/>
    <n v="0"/>
    <n v="2835.46"/>
    <n v="0"/>
    <n v="0"/>
    <n v="0"/>
    <n v="531.20000000000005"/>
    <n v="531.21"/>
    <n v="0"/>
    <n v="1062.4000000000001"/>
    <n v="7527.07"/>
    <n v="-1062.4000000000001"/>
  </r>
  <r>
    <x v="7"/>
    <x v="1"/>
    <x v="0"/>
    <s v="5835200"/>
    <n v="718070"/>
    <s v="Contract Srvcs-CHI Clinical Engineering"/>
    <s v="FMB @ St. Joe's 1st Floor"/>
    <x v="0"/>
    <m/>
    <n v="13241.74"/>
    <n v="11679.12"/>
    <n v="1694.55"/>
    <n v="11090.25"/>
    <n v="15619.82"/>
    <n v="14331.28"/>
    <n v="7608.45"/>
    <n v="7678.56"/>
    <n v="1340.71"/>
    <n v="7"/>
    <n v="8183.81"/>
    <n v="651.09"/>
    <n v="93126.38"/>
    <n v="7532.72"/>
  </r>
  <r>
    <x v="11"/>
    <x v="1"/>
    <x v="0"/>
    <s v="5835200"/>
    <n v="721010"/>
    <s v="Supplies-Medical - Billable"/>
    <s v="FMB @ St. Joe's 1st Floor"/>
    <x v="0"/>
    <m/>
    <n v="83917.26"/>
    <n v="53410.5"/>
    <n v="32547.84"/>
    <n v="39051.9"/>
    <n v="23696.5"/>
    <n v="34302.239999999998"/>
    <n v="61525"/>
    <n v="48645.05"/>
    <n v="55959.3"/>
    <n v="27809.29"/>
    <n v="67556.08"/>
    <n v="15573.48"/>
    <n v="543994.43999999994"/>
    <n v="51982.600000000006"/>
  </r>
  <r>
    <x v="11"/>
    <x v="1"/>
    <x v="0"/>
    <s v="5835200"/>
    <n v="721020"/>
    <s v="Endoscopy - Trocars &amp; Accessories"/>
    <s v="FMB @ St. Joe's 1st Floor"/>
    <x v="0"/>
    <n v="1002"/>
    <n v="0"/>
    <n v="0"/>
    <n v="0"/>
    <n v="0"/>
    <n v="0"/>
    <n v="39"/>
    <n v="0"/>
    <n v="25"/>
    <n v="0"/>
    <n v="-14"/>
    <n v="0"/>
    <n v="0"/>
    <n v="50"/>
    <n v="0"/>
  </r>
  <r>
    <x v="11"/>
    <x v="1"/>
    <x v="0"/>
    <s v="5835200"/>
    <n v="721020"/>
    <s v="Endomechanical Supplies &amp; Instruments"/>
    <s v="FMB @ St. Joe's 1st Floor"/>
    <x v="0"/>
    <n v="1003"/>
    <n v="0"/>
    <n v="0"/>
    <n v="0"/>
    <n v="0"/>
    <n v="0"/>
    <n v="0"/>
    <n v="0"/>
    <n v="0"/>
    <n v="0"/>
    <n v="0"/>
    <n v="1651.5"/>
    <n v="0"/>
    <n v="1651.5"/>
    <n v="1651.5"/>
  </r>
  <r>
    <x v="11"/>
    <x v="1"/>
    <x v="0"/>
    <s v="5835200"/>
    <n v="721250"/>
    <s v="Supplies-Pharmacy Drugs - Billable"/>
    <s v="FMB @ St. Joe's 1st Floor"/>
    <x v="0"/>
    <m/>
    <n v="10351.85"/>
    <n v="6301.53"/>
    <n v="8137.17"/>
    <n v="11432.22"/>
    <n v="5702.01"/>
    <n v="13024.03"/>
    <n v="9659.15"/>
    <n v="24619.32"/>
    <n v="1841.05"/>
    <n v="10635.48"/>
    <n v="-57540.7"/>
    <n v="1187.08"/>
    <n v="45350.19"/>
    <n v="-58727.78"/>
  </r>
  <r>
    <x v="11"/>
    <x v="1"/>
    <x v="0"/>
    <s v="5835200"/>
    <n v="721410"/>
    <s v="Supplies-Medical - Nonbillable"/>
    <s v="FMB @ St. Joe's 1st Floor"/>
    <x v="0"/>
    <m/>
    <n v="0"/>
    <n v="0"/>
    <n v="0"/>
    <n v="0"/>
    <n v="0"/>
    <n v="0"/>
    <n v="0"/>
    <n v="39"/>
    <n v="1614.08"/>
    <n v="-4.4000000000000004"/>
    <n v="0"/>
    <n v="0"/>
    <n v="1648.6799999999998"/>
    <n v="0"/>
  </r>
  <r>
    <x v="11"/>
    <x v="1"/>
    <x v="0"/>
    <s v="5835200"/>
    <n v="721420"/>
    <s v="Supplies-Surgical Nonbillable"/>
    <s v="FMB @ St. Joe's 1st Floor"/>
    <x v="0"/>
    <m/>
    <n v="0"/>
    <n v="0"/>
    <n v="97.8"/>
    <n v="195.6"/>
    <n v="151.15"/>
    <n v="331.69"/>
    <n v="0"/>
    <n v="0"/>
    <n v="0"/>
    <n v="0"/>
    <n v="0"/>
    <n v="0"/>
    <n v="776.24"/>
    <n v="0"/>
  </r>
  <r>
    <x v="11"/>
    <x v="1"/>
    <x v="0"/>
    <s v="5835200"/>
    <n v="721710"/>
    <s v="Supplies-Laboratory - Nonbillable"/>
    <s v="FMB @ St. Joe's 1st Floor"/>
    <x v="0"/>
    <m/>
    <n v="0"/>
    <n v="0"/>
    <n v="0"/>
    <n v="0"/>
    <n v="0"/>
    <n v="0"/>
    <n v="0"/>
    <n v="0"/>
    <n v="0"/>
    <n v="5.72"/>
    <n v="0"/>
    <n v="0"/>
    <n v="5.72"/>
    <n v="0"/>
  </r>
  <r>
    <x v="11"/>
    <x v="1"/>
    <x v="0"/>
    <s v="5835200"/>
    <n v="721810"/>
    <s v="Supplies-Dietary/Cafeteria"/>
    <s v="FMB @ St. Joe's 1st Floor"/>
    <x v="0"/>
    <m/>
    <n v="184"/>
    <n v="95.47"/>
    <n v="134.86000000000001"/>
    <n v="209.61"/>
    <n v="245.84"/>
    <n v="0"/>
    <n v="150"/>
    <n v="0"/>
    <n v="250"/>
    <n v="100"/>
    <n v="0"/>
    <n v="400"/>
    <n v="1769.7800000000002"/>
    <n v="-400"/>
  </r>
  <r>
    <x v="11"/>
    <x v="1"/>
    <x v="0"/>
    <s v="5835200"/>
    <n v="721830"/>
    <s v="Supplies-Office"/>
    <s v="FMB @ St. Joe's 1st Floor"/>
    <x v="0"/>
    <m/>
    <n v="538.01"/>
    <n v="1498.37"/>
    <n v="1763.56"/>
    <n v="1183.8900000000001"/>
    <n v="453.74"/>
    <n v="1257.18"/>
    <n v="1509.41"/>
    <n v="679.13"/>
    <n v="1024.04"/>
    <n v="1008.8"/>
    <n v="680.38"/>
    <n v="300.45999999999998"/>
    <n v="11896.969999999996"/>
    <n v="379.92"/>
  </r>
  <r>
    <x v="11"/>
    <x v="1"/>
    <x v="0"/>
    <s v="5835200"/>
    <n v="721835"/>
    <s v="Supplies-Forms"/>
    <s v="FMB @ St. Joe's 1st Floor"/>
    <x v="0"/>
    <m/>
    <n v="0"/>
    <n v="0"/>
    <n v="0"/>
    <n v="0"/>
    <n v="455.16"/>
    <n v="0"/>
    <n v="132.30000000000001"/>
    <n v="0"/>
    <n v="179.31"/>
    <n v="38.39"/>
    <n v="0"/>
    <n v="0"/>
    <n v="805.16"/>
    <n v="0"/>
  </r>
  <r>
    <x v="11"/>
    <x v="1"/>
    <x v="0"/>
    <s v="5835200"/>
    <n v="721910"/>
    <s v="Supplies-Small Equipment"/>
    <s v="FMB @ St. Joe's 1st Floor"/>
    <x v="0"/>
    <m/>
    <n v="0"/>
    <n v="2302.19"/>
    <n v="0"/>
    <n v="0"/>
    <n v="0"/>
    <n v="1953.53"/>
    <n v="0"/>
    <n v="631.97"/>
    <n v="0"/>
    <n v="0"/>
    <n v="0"/>
    <n v="0"/>
    <n v="4887.6900000000005"/>
    <n v="0"/>
  </r>
  <r>
    <x v="11"/>
    <x v="1"/>
    <x v="0"/>
    <s v="5835200"/>
    <n v="721910"/>
    <s v="Instruments"/>
    <s v="FMB @ St. Joe's 1st Floor"/>
    <x v="0"/>
    <n v="1000"/>
    <n v="-0.01"/>
    <n v="0"/>
    <n v="0"/>
    <n v="179.03"/>
    <n v="-0.01"/>
    <n v="0"/>
    <n v="0"/>
    <n v="179.03"/>
    <n v="0"/>
    <n v="2.68"/>
    <n v="0"/>
    <n v="181.88"/>
    <n v="542.6"/>
    <n v="-181.88"/>
  </r>
  <r>
    <x v="11"/>
    <x v="1"/>
    <x v="0"/>
    <s v="5835200"/>
    <n v="722000"/>
    <s v="Supplies-Freight Expense"/>
    <s v="FMB @ St. Joe's 1st Floor"/>
    <x v="0"/>
    <m/>
    <n v="9.3800000000000008"/>
    <n v="0"/>
    <n v="7.93"/>
    <n v="0"/>
    <n v="35.43"/>
    <n v="0"/>
    <n v="0"/>
    <n v="0"/>
    <n v="18.420000000000002"/>
    <n v="0"/>
    <n v="0"/>
    <n v="25.49"/>
    <n v="96.649999999999991"/>
    <n v="-25.49"/>
  </r>
  <r>
    <x v="12"/>
    <x v="1"/>
    <x v="0"/>
    <s v="5835200"/>
    <n v="730010"/>
    <s v="Rental and Leases-Building (DO NOT USE)"/>
    <s v="FMB @ St. Joe's 1st Floor"/>
    <x v="0"/>
    <m/>
    <n v="61807.4"/>
    <n v="61859.14"/>
    <n v="61807.4"/>
    <n v="61807.4"/>
    <n v="61807.4"/>
    <n v="-10134.44"/>
    <n v="50603.35"/>
    <n v="50281.279999999999"/>
    <n v="50659.96"/>
    <n v="50618.54"/>
    <n v="50618.54"/>
    <n v="0"/>
    <n v="551735.97"/>
    <n v="50618.54"/>
  </r>
  <r>
    <x v="12"/>
    <x v="1"/>
    <x v="0"/>
    <s v="5835200"/>
    <n v="730010"/>
    <s v="Rental-Common Area Maint (DO NOT USE)"/>
    <s v="FMB @ St. Joe's 1st Floor"/>
    <x v="0"/>
    <n v="2200"/>
    <n v="0"/>
    <n v="0"/>
    <n v="0"/>
    <n v="0"/>
    <n v="0"/>
    <n v="71941.83"/>
    <n v="12001.72"/>
    <n v="12001.72"/>
    <n v="12001.72"/>
    <n v="1876.93"/>
    <n v="12001.57"/>
    <n v="10457.959999999999"/>
    <n v="132283.44999999998"/>
    <n v="1543.6100000000006"/>
  </r>
  <r>
    <x v="12"/>
    <x v="1"/>
    <x v="0"/>
    <s v="5835200"/>
    <n v="730020"/>
    <s v="Rental and Leases-Equipment (DO NOT USE)"/>
    <s v="FMB @ St. Joe's 1st Floor"/>
    <x v="0"/>
    <m/>
    <n v="0"/>
    <n v="0"/>
    <n v="0"/>
    <n v="0"/>
    <n v="152.88"/>
    <n v="0"/>
    <n v="152.88"/>
    <n v="0"/>
    <n v="74.489999999999995"/>
    <n v="0"/>
    <n v="0"/>
    <n v="0"/>
    <n v="380.25"/>
    <n v="0"/>
  </r>
  <r>
    <x v="12"/>
    <x v="1"/>
    <x v="0"/>
    <s v="5835200"/>
    <n v="730020"/>
    <s v="Rental and Leases-Copier Usage Fees (DO NOT USE)"/>
    <s v="FMB @ St. Joe's 1st Floor"/>
    <x v="0"/>
    <n v="5100"/>
    <n v="1644.15"/>
    <n v="1677.85"/>
    <n v="1661"/>
    <n v="1661"/>
    <n v="1661"/>
    <n v="1661"/>
    <n v="2047.87"/>
    <n v="1225.94"/>
    <n v="1319.48"/>
    <n v="1811.85"/>
    <n v="1255.25"/>
    <n v="1315.07"/>
    <n v="18941.46"/>
    <n v="-59.819999999999936"/>
  </r>
  <r>
    <x v="12"/>
    <x v="1"/>
    <x v="0"/>
    <s v="5835200"/>
    <n v="730040"/>
    <s v="LT Lease-Real Estate"/>
    <s v="FMB @ St. Joe's 1st Floor"/>
    <x v="0"/>
    <m/>
    <n v="0"/>
    <n v="0"/>
    <n v="0"/>
    <n v="0"/>
    <n v="0"/>
    <n v="0"/>
    <n v="0"/>
    <n v="0"/>
    <n v="0"/>
    <n v="0"/>
    <n v="0"/>
    <n v="52162.15"/>
    <n v="52162.15"/>
    <n v="-52162.15"/>
  </r>
  <r>
    <x v="15"/>
    <x v="1"/>
    <x v="0"/>
    <s v="5835200"/>
    <n v="731060"/>
    <s v="Telephone"/>
    <s v="FMB @ St. Joe's 1st Floor"/>
    <x v="0"/>
    <m/>
    <n v="277.94"/>
    <n v="275.54000000000002"/>
    <n v="273.44"/>
    <n v="274.11"/>
    <n v="273.95"/>
    <n v="287.7"/>
    <n v="278.33"/>
    <n v="281.02999999999997"/>
    <n v="279.10000000000002"/>
    <n v="277.31"/>
    <n v="278.79000000000002"/>
    <n v="278.79000000000002"/>
    <n v="3336.0299999999997"/>
    <n v="0"/>
  </r>
  <r>
    <x v="15"/>
    <x v="1"/>
    <x v="0"/>
    <s v="5835200"/>
    <n v="731060"/>
    <s v="Pagers"/>
    <s v="FMB @ St. Joe's 1st Floor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1"/>
    <x v="0"/>
    <s v="5835200"/>
    <n v="732030"/>
    <s v="Repairs---Other"/>
    <s v="FMB @ St. Joe's 1st Floor"/>
    <x v="0"/>
    <m/>
    <n v="185.12"/>
    <n v="68.59"/>
    <n v="1300.56"/>
    <n v="686.64"/>
    <n v="1168.48"/>
    <n v="0"/>
    <n v="0"/>
    <n v="550"/>
    <n v="1223.49"/>
    <n v="0"/>
    <n v="1194.5899999999999"/>
    <n v="990.56"/>
    <n v="7368.0300000000007"/>
    <n v="204.02999999999997"/>
  </r>
  <r>
    <x v="16"/>
    <x v="1"/>
    <x v="0"/>
    <s v="5835200"/>
    <n v="732030"/>
    <s v="Repairs&amp;Maintenance-Bldg Routine"/>
    <s v="FMB @ St. Joe's 1st Floor"/>
    <x v="0"/>
    <n v="2300"/>
    <n v="0"/>
    <n v="0"/>
    <n v="0"/>
    <n v="105.32"/>
    <n v="0"/>
    <n v="0"/>
    <n v="0"/>
    <n v="0"/>
    <n v="0"/>
    <n v="0"/>
    <n v="0"/>
    <n v="0"/>
    <n v="105.32"/>
    <n v="0"/>
  </r>
  <r>
    <x v="13"/>
    <x v="1"/>
    <x v="0"/>
    <s v="5835200"/>
    <n v="735050"/>
    <s v="Amortization-Leasehold Improvements"/>
    <s v="FMB @ St. Joe's 1st Floor"/>
    <x v="0"/>
    <m/>
    <n v="1887.45"/>
    <n v="1887.43"/>
    <n v="1887.45"/>
    <n v="1887.43"/>
    <n v="1887.46"/>
    <n v="1887.43"/>
    <n v="1887.46"/>
    <n v="1887.42"/>
    <n v="1887.47"/>
    <n v="1887.42"/>
    <n v="1887.47"/>
    <n v="1887.42"/>
    <n v="22649.309999999998"/>
    <n v="4.9999999999954525E-2"/>
  </r>
  <r>
    <x v="13"/>
    <x v="1"/>
    <x v="0"/>
    <s v="5835200"/>
    <n v="735070"/>
    <s v="Depreciation-Movable Equipment"/>
    <s v="FMB @ St. Joe's 1st Floor"/>
    <x v="0"/>
    <m/>
    <n v="6878.71"/>
    <n v="6878.67"/>
    <n v="6878.72"/>
    <n v="6878.67"/>
    <n v="6878.74"/>
    <n v="6551.86"/>
    <n v="6551.99"/>
    <n v="6551.82"/>
    <n v="6552"/>
    <n v="6551.8"/>
    <n v="6552.01"/>
    <n v="6551.76"/>
    <n v="80256.749999999985"/>
    <n v="0.25"/>
  </r>
  <r>
    <x v="0"/>
    <x v="1"/>
    <x v="0"/>
    <s v="5835200"/>
    <n v="742010"/>
    <s v="Postage-Regular"/>
    <s v="FMB @ St. Joe's 1st Floor"/>
    <x v="0"/>
    <m/>
    <n v="0"/>
    <n v="0"/>
    <n v="0"/>
    <n v="0"/>
    <n v="0"/>
    <n v="8.25"/>
    <n v="0"/>
    <n v="0"/>
    <n v="0"/>
    <n v="0"/>
    <n v="0"/>
    <n v="0"/>
    <n v="8.25"/>
    <n v="0"/>
  </r>
  <r>
    <x v="0"/>
    <x v="1"/>
    <x v="0"/>
    <s v="5835200"/>
    <n v="743020"/>
    <s v="Provider-Dues"/>
    <s v="FMB @ St. Joe's 1st Floor"/>
    <x v="0"/>
    <n v="2200"/>
    <n v="0"/>
    <n v="0"/>
    <n v="0"/>
    <n v="0"/>
    <n v="0"/>
    <n v="0"/>
    <n v="0"/>
    <n v="0"/>
    <n v="0"/>
    <n v="0"/>
    <n v="0"/>
    <n v="45"/>
    <n v="45"/>
    <n v="-45"/>
  </r>
  <r>
    <x v="0"/>
    <x v="1"/>
    <x v="0"/>
    <s v="5835200"/>
    <n v="744012"/>
    <s v="Recruitment-Physician"/>
    <s v="FMB @ St. Joe's 1st Floor"/>
    <x v="0"/>
    <m/>
    <n v="0"/>
    <n v="0"/>
    <n v="0"/>
    <n v="0"/>
    <n v="0"/>
    <n v="0"/>
    <n v="0"/>
    <n v="181.8"/>
    <n v="0"/>
    <n v="0"/>
    <n v="0"/>
    <n v="0"/>
    <n v="181.8"/>
    <n v="0"/>
  </r>
  <r>
    <x v="0"/>
    <x v="1"/>
    <x v="0"/>
    <s v="5835200"/>
    <n v="749510"/>
    <s v="Miscellaneous Expenses"/>
    <s v="FMB @ St. Joe's 1st Floor"/>
    <x v="0"/>
    <m/>
    <n v="45.23"/>
    <n v="105.05"/>
    <n v="0"/>
    <n v="-3"/>
    <n v="76.2"/>
    <n v="123.8"/>
    <n v="181.8"/>
    <n v="-116.3"/>
    <n v="34.5"/>
    <n v="3747.12"/>
    <n v="914.32"/>
    <n v="-486.81"/>
    <n v="4621.9099999999989"/>
    <n v="1401.13"/>
  </r>
  <r>
    <x v="0"/>
    <x v="1"/>
    <x v="0"/>
    <s v="5835200"/>
    <n v="749510"/>
    <s v="Licenses"/>
    <s v="FMB @ St. Joe's 1st Floor"/>
    <x v="0"/>
    <n v="1002"/>
    <n v="0"/>
    <n v="0"/>
    <n v="0"/>
    <n v="0"/>
    <n v="0"/>
    <n v="0"/>
    <n v="0"/>
    <n v="0"/>
    <n v="0"/>
    <n v="250"/>
    <n v="0"/>
    <n v="0"/>
    <n v="250"/>
    <n v="0"/>
  </r>
  <r>
    <x v="0"/>
    <x v="1"/>
    <x v="0"/>
    <s v="5835200"/>
    <n v="749510"/>
    <s v="RICE Rewards"/>
    <s v="FMB @ St. Joe's 1st Floor"/>
    <x v="0"/>
    <n v="5100"/>
    <n v="0"/>
    <n v="0"/>
    <n v="0"/>
    <n v="0"/>
    <n v="0"/>
    <n v="0"/>
    <n v="0"/>
    <n v="0"/>
    <n v="0"/>
    <n v="0"/>
    <n v="1097.6099999999999"/>
    <n v="0"/>
    <n v="1097.6099999999999"/>
    <n v="1097.6099999999999"/>
  </r>
  <r>
    <x v="0"/>
    <x v="1"/>
    <x v="0"/>
    <s v="5835200"/>
    <n v="749530"/>
    <s v="Travel"/>
    <s v="FMB @ St. Joe's 1st Floor"/>
    <x v="0"/>
    <m/>
    <n v="0"/>
    <n v="18"/>
    <n v="0"/>
    <n v="0"/>
    <n v="0"/>
    <n v="0"/>
    <n v="0"/>
    <n v="0"/>
    <n v="12"/>
    <n v="18"/>
    <n v="0"/>
    <n v="18"/>
    <n v="66"/>
    <n v="-18"/>
  </r>
  <r>
    <x v="0"/>
    <x v="1"/>
    <x v="0"/>
    <s v="5835200"/>
    <n v="749530"/>
    <s v="Mileage"/>
    <s v="FMB @ St. Joe's 1st Floor"/>
    <x v="0"/>
    <n v="1001"/>
    <n v="9.82"/>
    <n v="35.97"/>
    <n v="0"/>
    <n v="0"/>
    <n v="0"/>
    <n v="0"/>
    <n v="0"/>
    <n v="0"/>
    <n v="25.52"/>
    <n v="59.16"/>
    <n v="0"/>
    <n v="44.08"/>
    <n v="174.55"/>
    <n v="-44.08"/>
  </r>
  <r>
    <x v="0"/>
    <x v="1"/>
    <x v="0"/>
    <s v="5835200"/>
    <n v="749535"/>
    <s v="Meetings"/>
    <s v="FMB @ St. Joe's 1st Floor"/>
    <x v="0"/>
    <m/>
    <n v="0"/>
    <n v="0"/>
    <n v="0"/>
    <n v="0"/>
    <n v="0"/>
    <n v="0"/>
    <n v="0"/>
    <n v="0"/>
    <n v="0"/>
    <n v="295.47000000000003"/>
    <n v="0"/>
    <n v="691.64"/>
    <n v="987.11"/>
    <n v="-691.64"/>
  </r>
  <r>
    <x v="0"/>
    <x v="1"/>
    <x v="0"/>
    <s v="5835200"/>
    <n v="766010"/>
    <s v="Property Tax"/>
    <s v="FMB @ St. Joe's 1st Floor"/>
    <x v="0"/>
    <m/>
    <n v="1008.83"/>
    <n v="1008.83"/>
    <n v="1008.83"/>
    <n v="1008.83"/>
    <n v="1008.83"/>
    <n v="1008.83"/>
    <n v="1008.83"/>
    <n v="1008.83"/>
    <n v="1008.83"/>
    <n v="-133.97"/>
    <n v="723.13"/>
    <n v="723.13"/>
    <n v="10391.76"/>
    <n v="0"/>
  </r>
  <r>
    <x v="5"/>
    <x v="1"/>
    <x v="0"/>
    <s v="5836200"/>
    <n v="700014"/>
    <s v="Salaries-Management-Productive"/>
    <s v="Optometry/Eye Care-Shared Svc"/>
    <x v="0"/>
    <m/>
    <n v="1658.62"/>
    <n v="791.62"/>
    <n v="1319.36"/>
    <n v="1771.45"/>
    <n v="1704.39"/>
    <n v="1200.81"/>
    <n v="1823.29"/>
    <n v="1551.7"/>
    <n v="1629.28"/>
    <n v="1318.93"/>
    <n v="620.71"/>
    <n v="1163.77"/>
    <n v="16553.930000000004"/>
    <n v="-543.05999999999995"/>
  </r>
  <r>
    <x v="5"/>
    <x v="1"/>
    <x v="0"/>
    <s v="5836200"/>
    <n v="700038"/>
    <s v="Salaries-Service/Support-Productive"/>
    <s v="Optometry/Eye Care-Shared Svc"/>
    <x v="0"/>
    <m/>
    <n v="11362.06"/>
    <n v="12263.58"/>
    <n v="10820.25"/>
    <n v="13438.16"/>
    <n v="12814.34"/>
    <n v="9905.43"/>
    <n v="12840.14"/>
    <n v="11415.21"/>
    <n v="10958.67"/>
    <n v="11896.2"/>
    <n v="12770.06"/>
    <n v="11517.83"/>
    <n v="142001.93"/>
    <n v="1252.2299999999996"/>
  </r>
  <r>
    <x v="5"/>
    <x v="1"/>
    <x v="0"/>
    <s v="5836200"/>
    <n v="700038"/>
    <s v="Salaries-Service/Support-OT"/>
    <s v="Optometry/Eye Care-Shared Svc"/>
    <x v="0"/>
    <n v="1000"/>
    <n v="118.76"/>
    <n v="86.18"/>
    <n v="120.29"/>
    <n v="147.65"/>
    <n v="209.01"/>
    <n v="50.67"/>
    <n v="257.94"/>
    <n v="25.84"/>
    <n v="229.39"/>
    <n v="61.64"/>
    <n v="84.6"/>
    <n v="107.3"/>
    <n v="1499.27"/>
    <n v="-22.700000000000003"/>
  </r>
  <r>
    <x v="5"/>
    <x v="1"/>
    <x v="0"/>
    <s v="5836200"/>
    <n v="700038"/>
    <s v="Salaries-Service/Support-Other"/>
    <s v="Optometry/Eye Care-Shared Svc"/>
    <x v="0"/>
    <n v="2000"/>
    <n v="0"/>
    <n v="0"/>
    <n v="0"/>
    <n v="0"/>
    <n v="0"/>
    <n v="0"/>
    <n v="0"/>
    <n v="1.05"/>
    <n v="-0.3"/>
    <n v="0"/>
    <n v="0"/>
    <n v="0"/>
    <n v="0.75"/>
    <n v="0"/>
  </r>
  <r>
    <x v="5"/>
    <x v="1"/>
    <x v="0"/>
    <s v="5836200"/>
    <n v="700078"/>
    <s v="Salaries-Service/Support-Non-productive"/>
    <s v="Optometry/Eye Care-Shared Svc"/>
    <x v="0"/>
    <m/>
    <n v="1977.42"/>
    <n v="1658.6"/>
    <n v="1019.3"/>
    <n v="1016.37"/>
    <n v="939.29"/>
    <n v="2881.15"/>
    <n v="1776.78"/>
    <n v="1219.9100000000001"/>
    <n v="2428"/>
    <n v="1611.11"/>
    <n v="2278.15"/>
    <n v="1034.54"/>
    <n v="19840.620000000003"/>
    <n v="1243.6100000000001"/>
  </r>
  <r>
    <x v="5"/>
    <x v="1"/>
    <x v="0"/>
    <s v="5836200"/>
    <n v="700078"/>
    <s v="Salaries-Service/Support-NonProd-Other"/>
    <s v="Optometry/Eye Care-Shared Svc"/>
    <x v="0"/>
    <n v="2000"/>
    <n v="21.87"/>
    <n v="32.56"/>
    <n v="21.71"/>
    <n v="-0.67"/>
    <n v="0"/>
    <n v="0"/>
    <n v="0"/>
    <n v="0"/>
    <n v="0"/>
    <n v="0"/>
    <n v="0"/>
    <n v="0"/>
    <n v="75.470000000000013"/>
    <n v="0"/>
  </r>
  <r>
    <x v="5"/>
    <x v="1"/>
    <x v="0"/>
    <s v="5836200"/>
    <n v="700084"/>
    <s v="Accrued PTO"/>
    <s v="Optometry/Eye Care-Shared Svc"/>
    <x v="0"/>
    <m/>
    <n v="-353.33"/>
    <n v="-57.34"/>
    <n v="-113.36"/>
    <n v="727.89"/>
    <n v="357.86"/>
    <n v="-934.36"/>
    <n v="116.66"/>
    <n v="408.59"/>
    <n v="497.35"/>
    <n v="559.59"/>
    <n v="254.3"/>
    <n v="195.83"/>
    <n v="1659.68"/>
    <n v="58.47"/>
  </r>
  <r>
    <x v="6"/>
    <x v="1"/>
    <x v="0"/>
    <s v="5836200"/>
    <n v="713010"/>
    <s v="Benefits-FICA/Medicare"/>
    <s v="Optometry/Eye Care-Shared Svc"/>
    <x v="0"/>
    <m/>
    <n v="1124.21"/>
    <n v="1101.02"/>
    <n v="987.07"/>
    <n v="1217.1199999999999"/>
    <n v="1174.71"/>
    <n v="1042.6199999999999"/>
    <n v="1240.06"/>
    <n v="1055.01"/>
    <n v="1132.26"/>
    <n v="1104.58"/>
    <n v="1170.9000000000001"/>
    <n v="1021.99"/>
    <n v="13371.55"/>
    <n v="148.91000000000008"/>
  </r>
  <r>
    <x v="6"/>
    <x v="1"/>
    <x v="0"/>
    <s v="5836200"/>
    <n v="713090"/>
    <s v="Benefits-Allocated Amounts"/>
    <s v="Optometry/Eye Care-Shared Svc"/>
    <x v="0"/>
    <m/>
    <n v="4098.1899999999996"/>
    <n v="3597.59"/>
    <n v="3849.55"/>
    <n v="4205.8"/>
    <n v="4100.7"/>
    <n v="3891.41"/>
    <n v="4867.5"/>
    <n v="4502.9399999999996"/>
    <n v="4422.38"/>
    <n v="4149.3900000000003"/>
    <n v="4392.6499999999996"/>
    <n v="4378.0600000000004"/>
    <n v="50456.159999999996"/>
    <n v="14.589999999999236"/>
  </r>
  <r>
    <x v="7"/>
    <x v="1"/>
    <x v="0"/>
    <s v="5836200"/>
    <n v="718010"/>
    <s v="Media/Print Advertising"/>
    <s v="Optometry/Eye Care-Shared Svc"/>
    <x v="0"/>
    <n v="1004"/>
    <n v="183.59"/>
    <n v="314.17"/>
    <n v="0"/>
    <n v="764.29"/>
    <n v="310.38"/>
    <n v="0"/>
    <n v="0"/>
    <n v="814.04"/>
    <n v="0"/>
    <n v="0"/>
    <n v="0"/>
    <n v="-12.06"/>
    <n v="2374.41"/>
    <n v="12.06"/>
  </r>
  <r>
    <x v="7"/>
    <x v="1"/>
    <x v="0"/>
    <s v="5836200"/>
    <n v="718050"/>
    <s v="Contract Svcs-Other"/>
    <s v="Optometry/Eye Care-Shared Svc"/>
    <x v="0"/>
    <m/>
    <n v="83.44"/>
    <n v="83.44"/>
    <n v="83.44"/>
    <n v="232.08"/>
    <n v="83.44"/>
    <n v="0"/>
    <n v="166.88"/>
    <n v="166.88"/>
    <n v="442.13"/>
    <n v="0"/>
    <n v="0"/>
    <n v="218.44"/>
    <n v="1560.17"/>
    <n v="-218.44"/>
  </r>
  <r>
    <x v="7"/>
    <x v="1"/>
    <x v="0"/>
    <s v="5836200"/>
    <n v="718050"/>
    <s v="Document Shredding/Storage"/>
    <s v="Optometry/Eye Care-Shared Svc"/>
    <x v="0"/>
    <n v="1012"/>
    <n v="74.209999999999994"/>
    <n v="172.83"/>
    <n v="102.71"/>
    <n v="96.22"/>
    <n v="144.86000000000001"/>
    <n v="95.75"/>
    <n v="94.79"/>
    <n v="92.95"/>
    <n v="110.02"/>
    <n v="11.96"/>
    <n v="77.09"/>
    <n v="143.94999999999999"/>
    <n v="1217.3400000000001"/>
    <n v="-66.859999999999985"/>
  </r>
  <r>
    <x v="7"/>
    <x v="1"/>
    <x v="0"/>
    <s v="5836200"/>
    <n v="718050"/>
    <s v="Physician Answering"/>
    <s v="Optometry/Eye Care-Shared Svc"/>
    <x v="0"/>
    <n v="1015"/>
    <n v="236.8"/>
    <n v="228"/>
    <n v="269.2"/>
    <n v="113.4"/>
    <n v="322.2"/>
    <n v="321.2"/>
    <n v="379"/>
    <n v="414.6"/>
    <n v="301.8"/>
    <n v="360.6"/>
    <n v="386.2"/>
    <n v="303.60000000000002"/>
    <n v="3636.6"/>
    <n v="82.599999999999966"/>
  </r>
  <r>
    <x v="7"/>
    <x v="1"/>
    <x v="0"/>
    <s v="5836200"/>
    <n v="718050"/>
    <s v="Miscellaneous Purchased Svcs"/>
    <s v="Optometry/Eye Care-Shared Svc"/>
    <x v="0"/>
    <n v="1020"/>
    <n v="0"/>
    <n v="211.61"/>
    <n v="65.94"/>
    <n v="1486.29"/>
    <n v="93.41"/>
    <n v="0"/>
    <n v="65.959999999999994"/>
    <n v="65.959999999999994"/>
    <n v="32.979999999999997"/>
    <n v="0"/>
    <n v="32.979999999999997"/>
    <n v="33.01"/>
    <n v="2088.1400000000003"/>
    <n v="-3.0000000000001137E-2"/>
  </r>
  <r>
    <x v="7"/>
    <x v="1"/>
    <x v="0"/>
    <s v="5836200"/>
    <n v="718050"/>
    <s v="Translation Services"/>
    <s v="Optometry/Eye Care-Shared Svc"/>
    <x v="0"/>
    <n v="1025"/>
    <n v="46.17"/>
    <n v="418.5"/>
    <n v="539.1"/>
    <n v="711.97"/>
    <n v="743.25"/>
    <n v="666.7"/>
    <n v="596"/>
    <n v="813.86"/>
    <n v="841"/>
    <n v="67.7"/>
    <n v="377.67"/>
    <n v="1372.32"/>
    <n v="7194.2399999999989"/>
    <n v="-994.64999999999986"/>
  </r>
  <r>
    <x v="7"/>
    <x v="1"/>
    <x v="0"/>
    <s v="5836200"/>
    <n v="718050"/>
    <s v="Purchased Srvcs--Medical Waste"/>
    <s v="Optometry/Eye Care-Shared Svc"/>
    <x v="0"/>
    <n v="1027"/>
    <n v="11.14"/>
    <n v="11.14"/>
    <n v="11.14"/>
    <n v="0"/>
    <n v="11.14"/>
    <n v="11.14"/>
    <n v="22.28"/>
    <n v="11.14"/>
    <n v="0"/>
    <n v="22.28"/>
    <n v="0"/>
    <n v="11.14"/>
    <n v="122.54"/>
    <n v="-11.14"/>
  </r>
  <r>
    <x v="7"/>
    <x v="1"/>
    <x v="0"/>
    <s v="5836200"/>
    <n v="718070"/>
    <s v="Contract Srvcs-CHI Clinical Engineering"/>
    <s v="Optometry/Eye Care-Shared Svc"/>
    <x v="0"/>
    <m/>
    <n v="0"/>
    <n v="0"/>
    <n v="0"/>
    <n v="0"/>
    <n v="0"/>
    <n v="165.15"/>
    <n v="165.15"/>
    <n v="0"/>
    <n v="0"/>
    <n v="0"/>
    <n v="0"/>
    <n v="0"/>
    <n v="330.3"/>
    <n v="0"/>
  </r>
  <r>
    <x v="11"/>
    <x v="1"/>
    <x v="0"/>
    <s v="5836200"/>
    <n v="721250"/>
    <s v="Supplies-Pharmacy Drugs - Billable"/>
    <s v="Optometry/Eye Care-Shared Svc"/>
    <x v="0"/>
    <m/>
    <n v="114.82"/>
    <n v="253.72"/>
    <n v="171"/>
    <n v="662.73"/>
    <n v="256"/>
    <n v="707.65"/>
    <n v="647"/>
    <n v="313.12"/>
    <n v="447.89"/>
    <n v="470.94"/>
    <n v="369.14"/>
    <n v="435.7"/>
    <n v="4849.71"/>
    <n v="-66.56"/>
  </r>
  <r>
    <x v="11"/>
    <x v="1"/>
    <x v="0"/>
    <s v="5836200"/>
    <n v="721410"/>
    <s v="Supplies-Medical - Nonbillable"/>
    <s v="Optometry/Eye Care-Shared Svc"/>
    <x v="0"/>
    <m/>
    <n v="33.520000000000003"/>
    <n v="61.97"/>
    <n v="12.09"/>
    <n v="377.22"/>
    <n v="23.14"/>
    <n v="49.41"/>
    <n v="0"/>
    <n v="19.61"/>
    <n v="21.32"/>
    <n v="113.23"/>
    <n v="149.49"/>
    <n v="153.5"/>
    <n v="1014.5000000000001"/>
    <n v="-4.0099999999999909"/>
  </r>
  <r>
    <x v="11"/>
    <x v="1"/>
    <x v="0"/>
    <s v="5836200"/>
    <n v="721420"/>
    <s v="Sterilization Process Products"/>
    <s v="Optometry/Eye Care-Shared Svc"/>
    <x v="0"/>
    <n v="1009"/>
    <n v="0"/>
    <n v="0"/>
    <n v="0"/>
    <n v="158.55000000000001"/>
    <n v="0"/>
    <n v="0"/>
    <n v="0"/>
    <n v="0"/>
    <n v="0"/>
    <n v="0"/>
    <n v="0"/>
    <n v="0"/>
    <n v="158.55000000000001"/>
    <n v="0"/>
  </r>
  <r>
    <x v="11"/>
    <x v="1"/>
    <x v="0"/>
    <s v="5836200"/>
    <n v="721810"/>
    <s v="Supplies-Dietary/Cafeteria"/>
    <s v="Optometry/Eye Care-Shared Svc"/>
    <x v="0"/>
    <m/>
    <n v="0"/>
    <n v="16.14"/>
    <n v="0"/>
    <n v="0.98"/>
    <n v="0"/>
    <n v="8"/>
    <n v="0"/>
    <n v="0"/>
    <n v="0"/>
    <n v="0"/>
    <n v="0"/>
    <n v="7.16"/>
    <n v="32.28"/>
    <n v="-7.16"/>
  </r>
  <r>
    <x v="11"/>
    <x v="1"/>
    <x v="0"/>
    <s v="5836200"/>
    <n v="721830"/>
    <s v="Supplies-Office"/>
    <s v="Optometry/Eye Care-Shared Svc"/>
    <x v="0"/>
    <m/>
    <n v="508.06"/>
    <n v="572.97"/>
    <n v="185.22"/>
    <n v="735.14"/>
    <n v="370.18"/>
    <n v="812.31"/>
    <n v="197.19"/>
    <n v="332.84"/>
    <n v="564.14"/>
    <n v="451.09"/>
    <n v="250.85"/>
    <n v="72.64"/>
    <n v="5052.630000000001"/>
    <n v="178.20999999999998"/>
  </r>
  <r>
    <x v="11"/>
    <x v="1"/>
    <x v="0"/>
    <s v="5836200"/>
    <n v="721910"/>
    <s v="Supplies-Small Equipment"/>
    <s v="Optometry/Eye Care-Shared Svc"/>
    <x v="0"/>
    <m/>
    <n v="0"/>
    <n v="349.13"/>
    <n v="0"/>
    <n v="6861.22"/>
    <n v="1788.76"/>
    <n v="481.5"/>
    <n v="2187.17"/>
    <n v="113.65"/>
    <n v="643.66"/>
    <n v="246.24"/>
    <n v="136.72"/>
    <n v="2061.15"/>
    <n v="14869.199999999999"/>
    <n v="-1924.43"/>
  </r>
  <r>
    <x v="11"/>
    <x v="1"/>
    <x v="0"/>
    <s v="5836200"/>
    <n v="721980"/>
    <s v="Supplies-Other"/>
    <s v="Optometry/Eye Care-Shared Svc"/>
    <x v="0"/>
    <m/>
    <n v="0"/>
    <n v="0"/>
    <n v="0"/>
    <n v="0"/>
    <n v="0"/>
    <n v="421.5"/>
    <n v="2.78"/>
    <n v="60.16"/>
    <n v="0"/>
    <n v="0"/>
    <n v="0"/>
    <n v="0"/>
    <n v="484.43999999999994"/>
    <n v="0"/>
  </r>
  <r>
    <x v="11"/>
    <x v="1"/>
    <x v="0"/>
    <s v="5836200"/>
    <n v="722000"/>
    <s v="Supplies-Freight Expense"/>
    <s v="Optometry/Eye Care-Shared Svc"/>
    <x v="0"/>
    <m/>
    <n v="0"/>
    <n v="0"/>
    <n v="23.15"/>
    <n v="0"/>
    <n v="133.84"/>
    <n v="55.57"/>
    <n v="0"/>
    <n v="0"/>
    <n v="0"/>
    <n v="0"/>
    <n v="0"/>
    <n v="0"/>
    <n v="212.56"/>
    <n v="0"/>
  </r>
  <r>
    <x v="12"/>
    <x v="1"/>
    <x v="0"/>
    <s v="5836200"/>
    <n v="730010"/>
    <s v="Rental and Leases-Building (DO NOT USE)"/>
    <s v="Optometry/Eye Care-Shared Svc"/>
    <x v="0"/>
    <m/>
    <n v="7332.34"/>
    <n v="7332.34"/>
    <n v="7332.34"/>
    <n v="7332.34"/>
    <n v="7332.34"/>
    <n v="-1119.3900000000001"/>
    <n v="6042.16"/>
    <n v="6042.16"/>
    <n v="6042.16"/>
    <n v="6049.19"/>
    <n v="6049.19"/>
    <n v="0"/>
    <n v="65767.170000000013"/>
    <n v="6049.19"/>
  </r>
  <r>
    <x v="12"/>
    <x v="1"/>
    <x v="0"/>
    <s v="5836200"/>
    <n v="730010"/>
    <s v="Rental-Common Area Maint (DO NOT USE)"/>
    <s v="Optometry/Eye Care-Shared Svc"/>
    <x v="0"/>
    <n v="2200"/>
    <n v="0"/>
    <n v="0"/>
    <n v="0"/>
    <n v="0"/>
    <n v="0"/>
    <n v="8451.73"/>
    <n v="1408.66"/>
    <n v="1408.66"/>
    <n v="1408.66"/>
    <n v="44.9"/>
    <n v="1408.66"/>
    <n v="1408.66"/>
    <n v="15539.929999999998"/>
    <n v="0"/>
  </r>
  <r>
    <x v="12"/>
    <x v="1"/>
    <x v="0"/>
    <s v="5836200"/>
    <n v="730020"/>
    <s v="Rental and Leases-Equipment (DO NOT USE)"/>
    <s v="Optometry/Eye Care-Shared Svc"/>
    <x v="0"/>
    <m/>
    <n v="0"/>
    <n v="0"/>
    <n v="0"/>
    <n v="0"/>
    <n v="0"/>
    <n v="0"/>
    <n v="0"/>
    <n v="21.56"/>
    <n v="0"/>
    <n v="0"/>
    <n v="0"/>
    <n v="0"/>
    <n v="21.56"/>
    <n v="0"/>
  </r>
  <r>
    <x v="12"/>
    <x v="1"/>
    <x v="0"/>
    <s v="5836200"/>
    <n v="730020"/>
    <s v="Rental and Leases-Copier Usage Fees (DO NOT USE)"/>
    <s v="Optometry/Eye Care-Shared Svc"/>
    <x v="0"/>
    <n v="5100"/>
    <n v="134.02000000000001"/>
    <n v="135.58000000000001"/>
    <n v="134.80000000000001"/>
    <n v="134.80000000000001"/>
    <n v="134.80000000000001"/>
    <n v="134.80000000000001"/>
    <n v="299.69"/>
    <n v="127.22"/>
    <n v="125.61"/>
    <n v="167.85"/>
    <n v="125.88"/>
    <n v="125.88"/>
    <n v="1780.9299999999998"/>
    <n v="0"/>
  </r>
  <r>
    <x v="12"/>
    <x v="1"/>
    <x v="0"/>
    <s v="5836200"/>
    <n v="730040"/>
    <s v="LT Lease-Real Estate"/>
    <s v="Optometry/Eye Care-Shared Svc"/>
    <x v="0"/>
    <m/>
    <n v="0"/>
    <n v="0"/>
    <n v="0"/>
    <n v="0"/>
    <n v="0"/>
    <n v="0"/>
    <n v="0"/>
    <n v="0"/>
    <n v="0"/>
    <n v="0"/>
    <n v="0"/>
    <n v="6049.19"/>
    <n v="6049.19"/>
    <n v="-6049.19"/>
  </r>
  <r>
    <x v="15"/>
    <x v="1"/>
    <x v="0"/>
    <s v="5836200"/>
    <n v="731060"/>
    <s v="Telephone"/>
    <s v="Optometry/Eye Care-Shared Svc"/>
    <x v="0"/>
    <m/>
    <n v="24.43"/>
    <n v="26.04"/>
    <n v="22.78"/>
    <n v="22.83"/>
    <n v="22.82"/>
    <n v="23.96"/>
    <n v="23.18"/>
    <n v="22.79"/>
    <n v="23.25"/>
    <n v="26.27"/>
    <n v="23.22"/>
    <n v="23.22"/>
    <n v="284.79000000000008"/>
    <n v="0"/>
  </r>
  <r>
    <x v="15"/>
    <x v="1"/>
    <x v="0"/>
    <s v="5836200"/>
    <n v="731060"/>
    <s v="Pagers"/>
    <s v="Optometry/Eye Care-Shared Svc"/>
    <x v="0"/>
    <n v="1002"/>
    <n v="0"/>
    <n v="0"/>
    <n v="0"/>
    <n v="0"/>
    <n v="0"/>
    <n v="0"/>
    <n v="0"/>
    <n v="16.23"/>
    <n v="8.1199999999999992"/>
    <n v="8.1199999999999992"/>
    <n v="8.1199999999999992"/>
    <n v="8.1199999999999992"/>
    <n v="48.709999999999994"/>
    <n v="0"/>
  </r>
  <r>
    <x v="15"/>
    <x v="1"/>
    <x v="0"/>
    <s v="5836200"/>
    <n v="731070"/>
    <s v="Cable TV"/>
    <s v="Optometry/Eye Care-Shared Svc"/>
    <x v="0"/>
    <m/>
    <n v="28.72"/>
    <n v="28.72"/>
    <n v="28.72"/>
    <n v="28.72"/>
    <n v="28.72"/>
    <n v="28.72"/>
    <n v="31.49"/>
    <n v="31.49"/>
    <n v="31.49"/>
    <n v="31.49"/>
    <n v="31.49"/>
    <n v="31.49"/>
    <n v="361.26000000000005"/>
    <n v="0"/>
  </r>
  <r>
    <x v="16"/>
    <x v="1"/>
    <x v="0"/>
    <s v="5836200"/>
    <n v="732030"/>
    <s v="Repairs---Other"/>
    <s v="Optometry/Eye Care-Shared Svc"/>
    <x v="0"/>
    <m/>
    <n v="0"/>
    <n v="0"/>
    <n v="226.12"/>
    <n v="4.7699999999999996"/>
    <n v="3822.66"/>
    <n v="0"/>
    <n v="961.86"/>
    <n v="109.47"/>
    <n v="5"/>
    <n v="0"/>
    <n v="5"/>
    <n v="677.08"/>
    <n v="5811.96"/>
    <n v="-672.08"/>
  </r>
  <r>
    <x v="13"/>
    <x v="1"/>
    <x v="0"/>
    <s v="5836200"/>
    <n v="735050"/>
    <s v="Amortization-Leasehold Improvements"/>
    <s v="Optometry/Eye Care-Shared Svc"/>
    <x v="0"/>
    <m/>
    <n v="697.21"/>
    <n v="697.2"/>
    <n v="697.21"/>
    <n v="697.2"/>
    <n v="697.21"/>
    <n v="697.2"/>
    <n v="697.22"/>
    <n v="697.19"/>
    <n v="697.22"/>
    <n v="697.19"/>
    <n v="697.22"/>
    <n v="697.18"/>
    <n v="8366.4499999999989"/>
    <n v="4.0000000000077307E-2"/>
  </r>
  <r>
    <x v="13"/>
    <x v="1"/>
    <x v="0"/>
    <s v="5836200"/>
    <n v="735070"/>
    <s v="Depreciation-Movable Equipment"/>
    <s v="Optometry/Eye Care-Shared Svc"/>
    <x v="0"/>
    <m/>
    <n v="1668.55"/>
    <n v="1668.53"/>
    <n v="1668.56"/>
    <n v="2166.39"/>
    <n v="2166.42"/>
    <n v="1883.17"/>
    <n v="1883.24"/>
    <n v="1883.16"/>
    <n v="1883.24"/>
    <n v="1883.16"/>
    <n v="1883.24"/>
    <n v="1883.15"/>
    <n v="22520.81"/>
    <n v="8.9999999999918145E-2"/>
  </r>
  <r>
    <x v="0"/>
    <x v="1"/>
    <x v="0"/>
    <s v="5836200"/>
    <n v="740020"/>
    <s v="Education-Registration Fees"/>
    <s v="Optometry/Eye Care-Shared Svc"/>
    <x v="0"/>
    <m/>
    <n v="0"/>
    <n v="0"/>
    <n v="0"/>
    <n v="45"/>
    <n v="0"/>
    <n v="0"/>
    <n v="45"/>
    <n v="0"/>
    <n v="0"/>
    <n v="0"/>
    <n v="0"/>
    <n v="0"/>
    <n v="90"/>
    <n v="0"/>
  </r>
  <r>
    <x v="0"/>
    <x v="1"/>
    <x v="0"/>
    <s v="5836200"/>
    <n v="742040"/>
    <s v="Freight-Other"/>
    <s v="Optometry/Eye Care-Shared Svc"/>
    <x v="0"/>
    <m/>
    <n v="0"/>
    <n v="0"/>
    <n v="0"/>
    <n v="0"/>
    <n v="0"/>
    <n v="0"/>
    <n v="0"/>
    <n v="0"/>
    <n v="0"/>
    <n v="0"/>
    <n v="0"/>
    <n v="12.06"/>
    <n v="12.06"/>
    <n v="-12.06"/>
  </r>
  <r>
    <x v="0"/>
    <x v="1"/>
    <x v="0"/>
    <s v="5836200"/>
    <n v="743020"/>
    <s v="Dues--Individual"/>
    <s v="Optometry/Eye Care-Shared Svc"/>
    <x v="0"/>
    <m/>
    <n v="0"/>
    <n v="0"/>
    <n v="487"/>
    <n v="0"/>
    <n v="0"/>
    <n v="0"/>
    <n v="0"/>
    <n v="0"/>
    <n v="0"/>
    <n v="0"/>
    <n v="0"/>
    <n v="0"/>
    <n v="487"/>
    <n v="0"/>
  </r>
  <r>
    <x v="0"/>
    <x v="1"/>
    <x v="0"/>
    <s v="5836200"/>
    <n v="743020"/>
    <s v="Provider-Dues"/>
    <s v="Optometry/Eye Care-Shared Svc"/>
    <x v="0"/>
    <n v="2200"/>
    <n v="0"/>
    <n v="0"/>
    <n v="1948"/>
    <n v="0"/>
    <n v="0"/>
    <n v="0"/>
    <n v="0"/>
    <n v="0"/>
    <n v="0"/>
    <n v="0"/>
    <n v="0"/>
    <n v="0"/>
    <n v="1948"/>
    <n v="0"/>
  </r>
  <r>
    <x v="0"/>
    <x v="1"/>
    <x v="0"/>
    <s v="5836200"/>
    <n v="749510"/>
    <s v="Miscellaneous Expenses"/>
    <s v="Optometry/Eye Care-Shared Svc"/>
    <x v="0"/>
    <m/>
    <n v="0"/>
    <n v="0"/>
    <n v="0"/>
    <n v="457.75"/>
    <n v="0"/>
    <n v="0"/>
    <n v="747.63"/>
    <n v="4607.01"/>
    <n v="0"/>
    <n v="346.76"/>
    <n v="0"/>
    <n v="650"/>
    <n v="6809.1500000000005"/>
    <n v="-650"/>
  </r>
  <r>
    <x v="0"/>
    <x v="1"/>
    <x v="0"/>
    <s v="5836200"/>
    <n v="749510"/>
    <s v="Licenses"/>
    <s v="Optometry/Eye Care-Shared Svc"/>
    <x v="0"/>
    <n v="1002"/>
    <n v="0"/>
    <n v="0"/>
    <n v="265"/>
    <n v="0"/>
    <n v="0"/>
    <n v="25"/>
    <n v="0"/>
    <n v="0"/>
    <n v="0"/>
    <n v="0"/>
    <n v="0"/>
    <n v="0"/>
    <n v="290"/>
    <n v="0"/>
  </r>
  <r>
    <x v="0"/>
    <x v="1"/>
    <x v="0"/>
    <s v="5836200"/>
    <n v="749530"/>
    <s v="Travel"/>
    <s v="Optometry/Eye Care-Shared Svc"/>
    <x v="0"/>
    <m/>
    <n v="0"/>
    <n v="0"/>
    <n v="0"/>
    <n v="82.58"/>
    <n v="0"/>
    <n v="0"/>
    <n v="0"/>
    <n v="0"/>
    <n v="0"/>
    <n v="0"/>
    <n v="0"/>
    <n v="0"/>
    <n v="82.58"/>
    <n v="0"/>
  </r>
  <r>
    <x v="0"/>
    <x v="1"/>
    <x v="0"/>
    <s v="5836200"/>
    <n v="749550"/>
    <s v="Cash Over/Short"/>
    <s v="Optometry/Eye Care-Shared Svc"/>
    <x v="0"/>
    <m/>
    <n v="0"/>
    <n v="0"/>
    <n v="0"/>
    <n v="0"/>
    <n v="0"/>
    <n v="0"/>
    <n v="0"/>
    <n v="0"/>
    <n v="1"/>
    <n v="0"/>
    <n v="0"/>
    <n v="0"/>
    <n v="1"/>
    <n v="0"/>
  </r>
  <r>
    <x v="0"/>
    <x v="1"/>
    <x v="0"/>
    <s v="5836200"/>
    <n v="766010"/>
    <s v="Property Tax"/>
    <s v="Optometry/Eye Care-Shared Svc"/>
    <x v="0"/>
    <m/>
    <n v="205.06"/>
    <n v="205.06"/>
    <n v="205.06"/>
    <n v="205.06"/>
    <n v="205.06"/>
    <n v="205.06"/>
    <n v="205.06"/>
    <n v="205.06"/>
    <n v="205.06"/>
    <n v="-43.53"/>
    <n v="142.91999999999999"/>
    <n v="142.91999999999999"/>
    <n v="2087.85"/>
    <n v="0"/>
  </r>
  <r>
    <x v="7"/>
    <x v="1"/>
    <x v="0"/>
    <s v="5837200"/>
    <n v="718050"/>
    <s v="Contract Svcs-Other"/>
    <s v="Ortho/Sport Med-TASC-Shared Sv"/>
    <x v="0"/>
    <m/>
    <n v="72.69"/>
    <n v="72.69"/>
    <n v="145.38"/>
    <n v="0"/>
    <n v="72.680000000000007"/>
    <n v="0"/>
    <n v="145.38"/>
    <n v="-508.82"/>
    <n v="0"/>
    <n v="0"/>
    <n v="0"/>
    <n v="0"/>
    <n v="0"/>
    <n v="0"/>
  </r>
  <r>
    <x v="7"/>
    <x v="1"/>
    <x v="0"/>
    <s v="5837200"/>
    <n v="718050"/>
    <s v="Document Shredding/Storage"/>
    <s v="Ortho/Sport Med-TASC-Shared Sv"/>
    <x v="0"/>
    <n v="1012"/>
    <n v="110.05"/>
    <n v="169.25"/>
    <n v="107.05"/>
    <n v="107.33"/>
    <n v="156.63999999999999"/>
    <n v="135.91999999999999"/>
    <n v="134.56"/>
    <n v="-920.8"/>
    <n v="0"/>
    <n v="0"/>
    <n v="0"/>
    <n v="0"/>
    <n v="0"/>
    <n v="0"/>
  </r>
  <r>
    <x v="7"/>
    <x v="1"/>
    <x v="0"/>
    <s v="5837200"/>
    <n v="718050"/>
    <s v="Translation Services"/>
    <s v="Ortho/Sport Med-TASC-Shared Sv"/>
    <x v="0"/>
    <n v="1025"/>
    <n v="27.81"/>
    <n v="0"/>
    <n v="36.65"/>
    <n v="44.32"/>
    <n v="28.16"/>
    <n v="0"/>
    <n v="0"/>
    <n v="-136.94"/>
    <n v="0"/>
    <n v="0"/>
    <n v="0"/>
    <n v="0"/>
    <n v="0"/>
    <n v="0"/>
  </r>
  <r>
    <x v="15"/>
    <x v="1"/>
    <x v="0"/>
    <s v="5837200"/>
    <n v="731070"/>
    <s v="Cable TV"/>
    <s v="Ortho/Sport Med-TASC-Shared Sv"/>
    <x v="0"/>
    <m/>
    <n v="104.79"/>
    <n v="104.79"/>
    <n v="104.79"/>
    <n v="104.75"/>
    <n v="104.45"/>
    <n v="104.45"/>
    <n v="104.45"/>
    <n v="-732.47"/>
    <n v="0"/>
    <n v="0"/>
    <n v="0"/>
    <n v="0"/>
    <n v="1.1368683772161603E-13"/>
    <n v="0"/>
  </r>
  <r>
    <x v="0"/>
    <x v="1"/>
    <x v="0"/>
    <s v="5837200"/>
    <n v="766010"/>
    <s v="Property Tax"/>
    <s v="Ortho/Sport Med-TASC-Shared Sv"/>
    <x v="0"/>
    <m/>
    <n v="33.01"/>
    <n v="33.01"/>
    <n v="33.01"/>
    <n v="33.01"/>
    <n v="33.01"/>
    <n v="33.01"/>
    <n v="33.01"/>
    <n v="-231.07"/>
    <n v="0"/>
    <n v="0"/>
    <n v="0"/>
    <n v="0"/>
    <n v="-2.8421709430404007E-14"/>
    <n v="0"/>
  </r>
  <r>
    <x v="5"/>
    <x v="1"/>
    <x v="0"/>
    <s v="5838200"/>
    <n v="700018"/>
    <s v="Salaries-Supervisory-Productive"/>
    <s v="Gen Surg-Aub/FW-Shared Svc"/>
    <x v="0"/>
    <m/>
    <n v="4438.01"/>
    <n v="4891.91"/>
    <n v="3025.92"/>
    <n v="5478.01"/>
    <n v="5569.35"/>
    <n v="4331.71"/>
    <n v="4751.49"/>
    <n v="5370.95"/>
    <n v="5035.25"/>
    <n v="3976.53"/>
    <n v="6481.29"/>
    <n v="4906.1400000000003"/>
    <n v="58256.55999999999"/>
    <n v="1575.1499999999996"/>
  </r>
  <r>
    <x v="5"/>
    <x v="1"/>
    <x v="0"/>
    <s v="5838200"/>
    <n v="700026"/>
    <s v="Salaries-RN-Productive"/>
    <s v="Gen Surg-Aub/FW-Shared Svc"/>
    <x v="0"/>
    <m/>
    <n v="0"/>
    <n v="0"/>
    <n v="0"/>
    <n v="0"/>
    <n v="0"/>
    <n v="0"/>
    <n v="0"/>
    <n v="0"/>
    <n v="0"/>
    <n v="7118.54"/>
    <n v="7426.58"/>
    <n v="7066.4"/>
    <n v="21611.519999999997"/>
    <n v="360.18000000000029"/>
  </r>
  <r>
    <x v="5"/>
    <x v="1"/>
    <x v="0"/>
    <s v="5838200"/>
    <n v="700026"/>
    <s v="Salaries-RN-OT"/>
    <s v="Gen Surg-Aub/FW-Shared Svc"/>
    <x v="0"/>
    <n v="1000"/>
    <n v="0"/>
    <n v="0"/>
    <n v="0"/>
    <n v="0"/>
    <n v="0"/>
    <n v="0"/>
    <n v="0"/>
    <n v="0"/>
    <n v="0"/>
    <n v="182.08"/>
    <n v="93.36"/>
    <n v="306.01"/>
    <n v="581.45000000000005"/>
    <n v="-212.64999999999998"/>
  </r>
  <r>
    <x v="5"/>
    <x v="1"/>
    <x v="0"/>
    <s v="5838200"/>
    <n v="700026"/>
    <s v="Salaries-RN-Other"/>
    <s v="Gen Surg-Aub/FW-Shared Svc"/>
    <x v="0"/>
    <n v="2000"/>
    <n v="0"/>
    <n v="0"/>
    <n v="0"/>
    <n v="0"/>
    <n v="0"/>
    <n v="0"/>
    <n v="0"/>
    <n v="0"/>
    <n v="0"/>
    <n v="30.04"/>
    <n v="0"/>
    <n v="25.53"/>
    <n v="55.57"/>
    <n v="-25.53"/>
  </r>
  <r>
    <x v="5"/>
    <x v="1"/>
    <x v="0"/>
    <s v="5838200"/>
    <n v="700038"/>
    <s v="Salaries-Service/Support-Productive"/>
    <s v="Gen Surg-Aub/FW-Shared Svc"/>
    <x v="0"/>
    <m/>
    <n v="9690.1200000000008"/>
    <n v="8095.58"/>
    <n v="8636.06"/>
    <n v="10166.73"/>
    <n v="9742.06"/>
    <n v="4761.47"/>
    <n v="10940.15"/>
    <n v="9275.77"/>
    <n v="11280.21"/>
    <n v="11328.42"/>
    <n v="10033.35"/>
    <n v="10589.57"/>
    <n v="114539.48999999999"/>
    <n v="-556.21999999999935"/>
  </r>
  <r>
    <x v="5"/>
    <x v="1"/>
    <x v="0"/>
    <s v="5838200"/>
    <n v="700038"/>
    <s v="Salaries-Service/Support-OT"/>
    <s v="Gen Surg-Aub/FW-Shared Svc"/>
    <x v="0"/>
    <n v="1000"/>
    <n v="8.81"/>
    <n v="20.97"/>
    <n v="180.25"/>
    <n v="68.349999999999994"/>
    <n v="188.79"/>
    <n v="219.71"/>
    <n v="34.880000000000003"/>
    <n v="347.44"/>
    <n v="188.36"/>
    <n v="280.72000000000003"/>
    <n v="-103.62"/>
    <n v="144.38"/>
    <n v="1579.04"/>
    <n v="-248"/>
  </r>
  <r>
    <x v="5"/>
    <x v="1"/>
    <x v="0"/>
    <s v="5838200"/>
    <n v="700038"/>
    <s v="Salaries-Service/Support-Other"/>
    <s v="Gen Surg-Aub/FW-Shared Svc"/>
    <x v="0"/>
    <n v="2000"/>
    <n v="0"/>
    <n v="0"/>
    <n v="0"/>
    <n v="6.3"/>
    <n v="-2.8"/>
    <n v="0"/>
    <n v="0"/>
    <n v="33.630000000000003"/>
    <n v="-9.6"/>
    <n v="0"/>
    <n v="28.04"/>
    <n v="-10.01"/>
    <n v="45.56"/>
    <n v="38.049999999999997"/>
  </r>
  <r>
    <x v="5"/>
    <x v="1"/>
    <x v="0"/>
    <s v="5838200"/>
    <n v="700058"/>
    <s v="Salaries-Supervisory-Non-productive"/>
    <s v="Gen Surg-Aub/FW-Shared Svc"/>
    <x v="0"/>
    <m/>
    <n v="1109.5"/>
    <n v="907.78"/>
    <n v="2017.28"/>
    <n v="423.9"/>
    <n v="103.14"/>
    <n v="1082.92"/>
    <n v="1187.8900000000001"/>
    <n v="-206.57"/>
    <n v="387.33"/>
    <n v="1704.24"/>
    <n v="-542.25"/>
    <n v="258.22000000000003"/>
    <n v="8433.380000000001"/>
    <n v="-800.47"/>
  </r>
  <r>
    <x v="5"/>
    <x v="1"/>
    <x v="0"/>
    <s v="5838200"/>
    <n v="700078"/>
    <s v="Salaries-Service/Support-Non-productive"/>
    <s v="Gen Surg-Aub/FW-Shared Svc"/>
    <x v="0"/>
    <m/>
    <n v="1914.78"/>
    <n v="2509.66"/>
    <n v="649.17999999999995"/>
    <n v="1652.3"/>
    <n v="2024.04"/>
    <n v="1987.76"/>
    <n v="1800.02"/>
    <n v="2670.38"/>
    <n v="309.52999999999997"/>
    <n v="936.11"/>
    <n v="3310.9"/>
    <n v="461.98"/>
    <n v="20226.64"/>
    <n v="2848.92"/>
  </r>
  <r>
    <x v="5"/>
    <x v="1"/>
    <x v="0"/>
    <s v="5838200"/>
    <n v="700078"/>
    <s v="Salaries-Service/Support-NonProd-Other"/>
    <s v="Gen Surg-Aub/FW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38200"/>
    <n v="700084"/>
    <s v="Accrued PTO"/>
    <s v="Gen Surg-Aub/FW-Shared Svc"/>
    <x v="0"/>
    <m/>
    <n v="106.01"/>
    <n v="-361.76"/>
    <n v="-773.86"/>
    <n v="190.61"/>
    <n v="495.57"/>
    <n v="-1847.05"/>
    <n v="-490.7"/>
    <n v="920"/>
    <n v="1603.9"/>
    <n v="539.66"/>
    <n v="1606.47"/>
    <n v="1603.84"/>
    <n v="3592.6900000000005"/>
    <n v="2.6300000000001091"/>
  </r>
  <r>
    <x v="6"/>
    <x v="1"/>
    <x v="0"/>
    <s v="5838200"/>
    <n v="713010"/>
    <s v="Benefits-FICA/Medicare"/>
    <s v="Gen Surg-Aub/FW-Shared Svc"/>
    <x v="0"/>
    <m/>
    <n v="1225.83"/>
    <n v="1140.1500000000001"/>
    <n v="1016.22"/>
    <n v="1255.71"/>
    <n v="1257.5999999999999"/>
    <n v="895.73"/>
    <n v="1361.73"/>
    <n v="1277.06"/>
    <n v="1251.8800000000001"/>
    <n v="1887.74"/>
    <n v="1961.07"/>
    <n v="1746.47"/>
    <n v="16277.189999999999"/>
    <n v="214.59999999999991"/>
  </r>
  <r>
    <x v="6"/>
    <x v="1"/>
    <x v="0"/>
    <s v="5838200"/>
    <n v="713090"/>
    <s v="Benefits-Allocated Amounts"/>
    <s v="Gen Surg-Aub/FW-Shared Svc"/>
    <x v="0"/>
    <m/>
    <n v="4394.3599999999997"/>
    <n v="3690.04"/>
    <n v="3820.94"/>
    <n v="4203.59"/>
    <n v="4188.17"/>
    <n v="3085.63"/>
    <n v="5031.5600000000004"/>
    <n v="5023.08"/>
    <n v="4787.1400000000003"/>
    <n v="5811.29"/>
    <n v="6014.11"/>
    <n v="6802.38"/>
    <n v="56852.29"/>
    <n v="-788.27000000000044"/>
  </r>
  <r>
    <x v="7"/>
    <x v="1"/>
    <x v="0"/>
    <s v="5838200"/>
    <n v="718010"/>
    <s v="Media/Print Advertising"/>
    <s v="Gen Surg-Aub/FW-Shared Svc"/>
    <x v="0"/>
    <n v="1004"/>
    <n v="97.59"/>
    <n v="387.89"/>
    <n v="0"/>
    <n v="202.72"/>
    <n v="591.26"/>
    <n v="14.26"/>
    <n v="201.2"/>
    <n v="100.29"/>
    <n v="0"/>
    <n v="100.29"/>
    <n v="301.49"/>
    <n v="-27.76"/>
    <n v="1969.23"/>
    <n v="329.25"/>
  </r>
  <r>
    <x v="7"/>
    <x v="1"/>
    <x v="0"/>
    <s v="5838200"/>
    <n v="718050"/>
    <s v="Contract Svcs-Other"/>
    <s v="Gen Surg-Aub/FW-Shared Svc"/>
    <x v="0"/>
    <m/>
    <n v="42.65"/>
    <n v="42.65"/>
    <n v="0"/>
    <n v="53.79"/>
    <n v="42.65"/>
    <n v="42.65"/>
    <n v="85.3"/>
    <n v="117.61"/>
    <n v="28.2"/>
    <n v="0"/>
    <n v="98.15"/>
    <n v="22.56"/>
    <n v="576.20999999999992"/>
    <n v="75.59"/>
  </r>
  <r>
    <x v="7"/>
    <x v="1"/>
    <x v="0"/>
    <s v="5838200"/>
    <n v="718050"/>
    <s v="Management Fees"/>
    <s v="Gen Surg-Aub/FW-Shared Svc"/>
    <x v="0"/>
    <n v="1004"/>
    <n v="0"/>
    <n v="0"/>
    <n v="0"/>
    <n v="0"/>
    <n v="0"/>
    <n v="4.2699999999999996"/>
    <n v="7.14"/>
    <n v="0"/>
    <n v="0"/>
    <n v="0"/>
    <n v="27.15"/>
    <n v="0"/>
    <n v="38.56"/>
    <n v="27.15"/>
  </r>
  <r>
    <x v="7"/>
    <x v="1"/>
    <x v="0"/>
    <s v="5838200"/>
    <n v="718050"/>
    <s v="Cleaning Services"/>
    <s v="Gen Surg-Aub/FW-Shared Svc"/>
    <x v="0"/>
    <n v="1011"/>
    <n v="0"/>
    <n v="0"/>
    <n v="0"/>
    <n v="47.3"/>
    <n v="40.799999999999997"/>
    <n v="40.799999999999997"/>
    <n v="191.52"/>
    <n v="0"/>
    <n v="35.76"/>
    <n v="310.76"/>
    <n v="35.76"/>
    <n v="35.76"/>
    <n v="738.45999999999992"/>
    <n v="0"/>
  </r>
  <r>
    <x v="7"/>
    <x v="1"/>
    <x v="0"/>
    <s v="5838200"/>
    <n v="718050"/>
    <s v="Document Shredding/Storage"/>
    <s v="Gen Surg-Aub/FW-Shared Svc"/>
    <x v="0"/>
    <n v="1012"/>
    <n v="164.38"/>
    <n v="115.26"/>
    <n v="109.56"/>
    <n v="122.75"/>
    <n v="212.16"/>
    <n v="120.58"/>
    <n v="119.37"/>
    <n v="110.22"/>
    <n v="107.91"/>
    <n v="231.07"/>
    <n v="162.22"/>
    <n v="88.24"/>
    <n v="1663.72"/>
    <n v="73.98"/>
  </r>
  <r>
    <x v="7"/>
    <x v="1"/>
    <x v="0"/>
    <s v="5838200"/>
    <n v="718050"/>
    <s v="Physician Answering"/>
    <s v="Gen Surg-Aub/FW-Shared Svc"/>
    <x v="0"/>
    <n v="1015"/>
    <n v="709.8"/>
    <n v="940.4"/>
    <n v="862.8"/>
    <n v="343.4"/>
    <n v="964.4"/>
    <n v="1062.4000000000001"/>
    <n v="1017"/>
    <n v="777.8"/>
    <n v="734"/>
    <n v="1011.4"/>
    <n v="780"/>
    <n v="833.6"/>
    <n v="10037.000000000002"/>
    <n v="-53.600000000000023"/>
  </r>
  <r>
    <x v="7"/>
    <x v="1"/>
    <x v="0"/>
    <s v="5838200"/>
    <n v="718050"/>
    <s v="Miscellaneous Purchased Svcs"/>
    <s v="Gen Surg-Aub/FW-Shared Svc"/>
    <x v="0"/>
    <n v="1020"/>
    <n v="0"/>
    <n v="123.2"/>
    <n v="590.88"/>
    <n v="0"/>
    <n v="0"/>
    <n v="579.89"/>
    <n v="180.13"/>
    <n v="180.13"/>
    <n v="0"/>
    <n v="180.13"/>
    <n v="0"/>
    <n v="180.13"/>
    <n v="2014.4900000000002"/>
    <n v="-180.13"/>
  </r>
  <r>
    <x v="7"/>
    <x v="1"/>
    <x v="0"/>
    <s v="5838200"/>
    <n v="718050"/>
    <s v="Translation Services"/>
    <s v="Gen Surg-Aub/FW-Shared Svc"/>
    <x v="0"/>
    <n v="1025"/>
    <n v="312.66000000000003"/>
    <n v="88"/>
    <n v="411.51"/>
    <n v="92.87"/>
    <n v="280.08"/>
    <n v="167.5"/>
    <n v="183.93"/>
    <n v="174.6"/>
    <n v="0"/>
    <n v="191.39"/>
    <n v="281.70999999999998"/>
    <n v="338.58"/>
    <n v="2522.83"/>
    <n v="-56.870000000000005"/>
  </r>
  <r>
    <x v="7"/>
    <x v="1"/>
    <x v="0"/>
    <s v="5838200"/>
    <n v="718050"/>
    <s v="Contract Management--Linen"/>
    <s v="Gen Surg-Aub/FW-Shared Svc"/>
    <x v="0"/>
    <n v="1026"/>
    <n v="171.41"/>
    <n v="197.5"/>
    <n v="158.83000000000001"/>
    <n v="169.63"/>
    <n v="276.5"/>
    <n v="39.5"/>
    <n v="291.35000000000002"/>
    <n v="285.67"/>
    <n v="725.82"/>
    <n v="79"/>
    <n v="90.14"/>
    <n v="197.7"/>
    <n v="2683.0499999999997"/>
    <n v="-107.55999999999999"/>
  </r>
  <r>
    <x v="7"/>
    <x v="1"/>
    <x v="0"/>
    <s v="5838200"/>
    <n v="718050"/>
    <s v="Purchased Srvcs--Medical Waste"/>
    <s v="Gen Surg-Aub/FW-Shared Svc"/>
    <x v="0"/>
    <n v="1027"/>
    <n v="69.92"/>
    <n v="107.18"/>
    <n v="69.92"/>
    <n v="37.26"/>
    <n v="69.92"/>
    <n v="92.97"/>
    <n v="101.81"/>
    <n v="118.32"/>
    <n v="37.26"/>
    <n v="65.319999999999993"/>
    <n v="37.26"/>
    <n v="69.92"/>
    <n v="877.05999999999983"/>
    <n v="-32.660000000000004"/>
  </r>
  <r>
    <x v="7"/>
    <x v="1"/>
    <x v="0"/>
    <s v="5838200"/>
    <n v="718070"/>
    <s v="Contract Srvcs-CHI Clinical Engineering"/>
    <s v="Gen Surg-Aub/FW-Shared Svc"/>
    <x v="0"/>
    <m/>
    <n v="0"/>
    <n v="165.15"/>
    <n v="0"/>
    <n v="0"/>
    <n v="0"/>
    <n v="1800"/>
    <n v="1800"/>
    <n v="1412.66"/>
    <n v="0"/>
    <n v="0"/>
    <n v="0"/>
    <n v="0"/>
    <n v="5177.8100000000004"/>
    <n v="0"/>
  </r>
  <r>
    <x v="11"/>
    <x v="1"/>
    <x v="0"/>
    <s v="5838200"/>
    <n v="721010"/>
    <s v="Supplies-Medical - Billable"/>
    <s v="Gen Surg-Aub/FW-Shared Svc"/>
    <x v="0"/>
    <m/>
    <n v="0"/>
    <n v="63.56"/>
    <n v="32.19"/>
    <n v="34.950000000000003"/>
    <n v="35.85"/>
    <n v="34.950000000000003"/>
    <n v="35.85"/>
    <n v="0"/>
    <n v="33.15"/>
    <n v="2750"/>
    <n v="35.85"/>
    <n v="315.45"/>
    <n v="3371.7999999999997"/>
    <n v="-279.59999999999997"/>
  </r>
  <r>
    <x v="11"/>
    <x v="1"/>
    <x v="0"/>
    <s v="5838200"/>
    <n v="721020"/>
    <s v="Supplies-Surgical - Billable"/>
    <s v="Gen Surg-Aub/FW-Shared Svc"/>
    <x v="0"/>
    <m/>
    <n v="0"/>
    <n v="0"/>
    <n v="0"/>
    <n v="0"/>
    <n v="0"/>
    <n v="0"/>
    <n v="0"/>
    <n v="0"/>
    <n v="0"/>
    <n v="1238.8599999999999"/>
    <n v="0"/>
    <n v="0"/>
    <n v="1238.8599999999999"/>
    <n v="0"/>
  </r>
  <r>
    <x v="11"/>
    <x v="1"/>
    <x v="0"/>
    <s v="5838200"/>
    <n v="721250"/>
    <s v="Supplies-Pharmacy Drugs - Billable"/>
    <s v="Gen Surg-Aub/FW-Shared Svc"/>
    <x v="0"/>
    <m/>
    <n v="0"/>
    <n v="0"/>
    <n v="0"/>
    <n v="1268.58"/>
    <n v="0"/>
    <n v="0"/>
    <n v="0"/>
    <n v="0"/>
    <n v="25.33"/>
    <n v="0"/>
    <n v="107.77"/>
    <n v="0"/>
    <n v="1401.6799999999998"/>
    <n v="107.77"/>
  </r>
  <r>
    <x v="11"/>
    <x v="1"/>
    <x v="0"/>
    <s v="5838200"/>
    <n v="721410"/>
    <s v="Supplies-Medical - Nonbillable"/>
    <s v="Gen Surg-Aub/FW-Shared Svc"/>
    <x v="0"/>
    <m/>
    <n v="1602.11"/>
    <n v="529.37"/>
    <n v="1667.91"/>
    <n v="757.17"/>
    <n v="2519.54"/>
    <n v="847.04"/>
    <n v="0"/>
    <n v="1325.22"/>
    <n v="247.57"/>
    <n v="761.15"/>
    <n v="0"/>
    <n v="2555.36"/>
    <n v="12812.44"/>
    <n v="-2555.36"/>
  </r>
  <r>
    <x v="11"/>
    <x v="1"/>
    <x v="0"/>
    <s v="5838200"/>
    <n v="721810"/>
    <s v="Supplies-Dietary/Cafeteria"/>
    <s v="Gen Surg-Aub/FW-Shared Svc"/>
    <x v="0"/>
    <m/>
    <n v="2.77"/>
    <n v="0"/>
    <n v="0"/>
    <n v="215.95"/>
    <n v="66.760000000000005"/>
    <n v="951.04"/>
    <n v="0"/>
    <n v="0"/>
    <n v="0"/>
    <n v="0"/>
    <n v="870.24"/>
    <n v="88.11"/>
    <n v="2194.8700000000003"/>
    <n v="782.13"/>
  </r>
  <r>
    <x v="11"/>
    <x v="1"/>
    <x v="0"/>
    <s v="5838200"/>
    <n v="721830"/>
    <s v="Supplies-Office"/>
    <s v="Gen Surg-Aub/FW-Shared Svc"/>
    <x v="0"/>
    <m/>
    <n v="300.19"/>
    <n v="819.69"/>
    <n v="728.52"/>
    <n v="1195.53"/>
    <n v="234.77"/>
    <n v="1855.78"/>
    <n v="1080.8699999999999"/>
    <n v="241.51"/>
    <n v="836.68"/>
    <n v="622.46"/>
    <n v="227.73"/>
    <n v="559.88"/>
    <n v="8703.61"/>
    <n v="-332.15"/>
  </r>
  <r>
    <x v="11"/>
    <x v="1"/>
    <x v="0"/>
    <s v="5838200"/>
    <n v="721835"/>
    <s v="Supplies-Forms"/>
    <s v="Gen Surg-Aub/FW-Shared Svc"/>
    <x v="0"/>
    <m/>
    <n v="0"/>
    <n v="0"/>
    <n v="0"/>
    <n v="0"/>
    <n v="14.13"/>
    <n v="0"/>
    <n v="0"/>
    <n v="0"/>
    <n v="0"/>
    <n v="0"/>
    <n v="0"/>
    <n v="0"/>
    <n v="14.13"/>
    <n v="0"/>
  </r>
  <r>
    <x v="11"/>
    <x v="1"/>
    <x v="0"/>
    <s v="5838200"/>
    <n v="721870"/>
    <s v="Supplies-Environmental Services"/>
    <s v="Gen Surg-Aub/FW-Shared Svc"/>
    <x v="0"/>
    <m/>
    <n v="35.380000000000003"/>
    <n v="0"/>
    <n v="0"/>
    <n v="0"/>
    <n v="47.66"/>
    <n v="0"/>
    <n v="67.38"/>
    <n v="5.37"/>
    <n v="0"/>
    <n v="0"/>
    <n v="0"/>
    <n v="0"/>
    <n v="155.79"/>
    <n v="0"/>
  </r>
  <r>
    <x v="11"/>
    <x v="1"/>
    <x v="0"/>
    <s v="5838200"/>
    <n v="721910"/>
    <s v="Supplies-Small Equipment"/>
    <s v="Gen Surg-Aub/FW-Shared Svc"/>
    <x v="0"/>
    <m/>
    <n v="0"/>
    <n v="405.1"/>
    <n v="0"/>
    <n v="0"/>
    <n v="0"/>
    <n v="0"/>
    <n v="0"/>
    <n v="0"/>
    <n v="527.76"/>
    <n v="0"/>
    <n v="0"/>
    <n v="-35.19"/>
    <n v="897.67000000000007"/>
    <n v="35.19"/>
  </r>
  <r>
    <x v="11"/>
    <x v="1"/>
    <x v="0"/>
    <s v="5838200"/>
    <n v="721910"/>
    <s v="Instruments"/>
    <s v="Gen Surg-Aub/FW-Shared Svc"/>
    <x v="0"/>
    <n v="1000"/>
    <n v="0"/>
    <n v="0"/>
    <n v="0"/>
    <n v="0"/>
    <n v="0"/>
    <n v="0"/>
    <n v="0"/>
    <n v="0"/>
    <n v="0"/>
    <n v="93.7"/>
    <n v="74.19"/>
    <n v="0"/>
    <n v="167.89"/>
    <n v="74.19"/>
  </r>
  <r>
    <x v="11"/>
    <x v="1"/>
    <x v="0"/>
    <s v="5838200"/>
    <n v="722000"/>
    <s v="Supplies-Freight Expense"/>
    <s v="Gen Surg-Aub/FW-Shared Svc"/>
    <x v="0"/>
    <m/>
    <n v="0"/>
    <n v="0"/>
    <n v="0"/>
    <n v="0"/>
    <n v="0"/>
    <n v="0"/>
    <n v="0"/>
    <n v="0"/>
    <n v="37.770000000000003"/>
    <n v="0"/>
    <n v="0"/>
    <n v="0"/>
    <n v="37.770000000000003"/>
    <n v="0"/>
  </r>
  <r>
    <x v="11"/>
    <x v="1"/>
    <x v="0"/>
    <s v="5838200"/>
    <n v="722000"/>
    <s v="Minimum Order Fees"/>
    <s v="Gen Surg-Aub/FW-Shared Svc"/>
    <x v="0"/>
    <n v="1000"/>
    <n v="0"/>
    <n v="0"/>
    <n v="0"/>
    <n v="0"/>
    <n v="0"/>
    <n v="0"/>
    <n v="0"/>
    <n v="0"/>
    <n v="0"/>
    <n v="0"/>
    <n v="0"/>
    <n v="154.44"/>
    <n v="154.44"/>
    <n v="-154.44"/>
  </r>
  <r>
    <x v="12"/>
    <x v="1"/>
    <x v="0"/>
    <s v="5838200"/>
    <n v="730010"/>
    <s v="Rental and Leases-Building (DO NOT USE)"/>
    <s v="Gen Surg-Aub/FW-Shared Svc"/>
    <x v="0"/>
    <m/>
    <n v="6533.79"/>
    <n v="7426.35"/>
    <n v="6630.29"/>
    <n v="8222.42"/>
    <n v="7426.35"/>
    <n v="-9532.4599999999991"/>
    <n v="4307.75"/>
    <n v="4307.75"/>
    <n v="4307.75"/>
    <n v="4307.75"/>
    <n v="4393.1899999999996"/>
    <n v="0"/>
    <n v="48330.93"/>
    <n v="4393.1899999999996"/>
  </r>
  <r>
    <x v="12"/>
    <x v="1"/>
    <x v="0"/>
    <s v="5838200"/>
    <n v="730010"/>
    <s v="Rental-Common Area Maint (DO NOT USE)"/>
    <s v="Gen Surg-Aub/FW-Shared Svc"/>
    <x v="0"/>
    <n v="2200"/>
    <n v="0"/>
    <n v="0"/>
    <n v="0"/>
    <n v="0"/>
    <n v="0"/>
    <n v="16410.11"/>
    <n v="2569.9"/>
    <n v="2569.9"/>
    <n v="2407.4899999999998"/>
    <n v="2569.9"/>
    <n v="2569.9"/>
    <n v="0"/>
    <n v="29097.200000000004"/>
    <n v="2569.9"/>
  </r>
  <r>
    <x v="12"/>
    <x v="1"/>
    <x v="0"/>
    <s v="5838200"/>
    <n v="730020"/>
    <s v="Rental and Leases-Copier Usage Fees (DO NOT USE)"/>
    <s v="Gen Surg-Aub/FW-Shared Svc"/>
    <x v="0"/>
    <n v="5100"/>
    <n v="1274.94"/>
    <n v="1310.29"/>
    <n v="1292.6099999999999"/>
    <n v="1292.6099999999999"/>
    <n v="1292.6099999999999"/>
    <n v="1292.6099999999999"/>
    <n v="467.64"/>
    <n v="1087.5899999999999"/>
    <n v="1085.31"/>
    <n v="1759.49"/>
    <n v="1087.5899999999999"/>
    <n v="1222.57"/>
    <n v="14465.859999999999"/>
    <n v="-134.98000000000002"/>
  </r>
  <r>
    <x v="12"/>
    <x v="1"/>
    <x v="0"/>
    <s v="5838200"/>
    <n v="730040"/>
    <s v="LT Lease-Real Estate"/>
    <s v="Gen Surg-Aub/FW-Shared Svc"/>
    <x v="0"/>
    <m/>
    <n v="0"/>
    <n v="0"/>
    <n v="0"/>
    <n v="0"/>
    <n v="0"/>
    <n v="0"/>
    <n v="0"/>
    <n v="0"/>
    <n v="0"/>
    <n v="0"/>
    <n v="0"/>
    <n v="6947.27"/>
    <n v="6947.27"/>
    <n v="-6947.27"/>
  </r>
  <r>
    <x v="15"/>
    <x v="1"/>
    <x v="0"/>
    <s v="5838200"/>
    <n v="731020"/>
    <s v="Electricity"/>
    <s v="Gen Surg-Aub/FW-Shared Svc"/>
    <x v="0"/>
    <m/>
    <n v="39.19"/>
    <n v="62.49"/>
    <n v="54.62"/>
    <n v="44.17"/>
    <n v="76.72"/>
    <n v="137.77000000000001"/>
    <n v="187.49"/>
    <n v="121.4"/>
    <n v="150.77000000000001"/>
    <n v="89.37"/>
    <n v="62.19"/>
    <n v="38.96"/>
    <n v="1065.1400000000001"/>
    <n v="23.229999999999997"/>
  </r>
  <r>
    <x v="15"/>
    <x v="1"/>
    <x v="0"/>
    <s v="5838200"/>
    <n v="731060"/>
    <s v="Telephone"/>
    <s v="Gen Surg-Aub/FW-Shared Svc"/>
    <x v="0"/>
    <m/>
    <n v="414.15"/>
    <n v="679.25"/>
    <n v="176.64"/>
    <n v="388.33"/>
    <n v="427"/>
    <n v="465.15"/>
    <n v="466.31"/>
    <n v="739.94"/>
    <n v="430.3"/>
    <n v="502.87"/>
    <n v="428.99"/>
    <n v="429.03"/>
    <n v="5547.9599999999991"/>
    <n v="-3.999999999996362E-2"/>
  </r>
  <r>
    <x v="15"/>
    <x v="1"/>
    <x v="0"/>
    <s v="5838200"/>
    <n v="731060"/>
    <s v="Pagers"/>
    <s v="Gen Surg-Aub/FW-Shared Svc"/>
    <x v="0"/>
    <n v="1002"/>
    <n v="40.5"/>
    <n v="40.5"/>
    <n v="79.36"/>
    <n v="63.18"/>
    <n v="23.27"/>
    <n v="0"/>
    <n v="43.84"/>
    <n v="24.36"/>
    <n v="24.36"/>
    <n v="24.35"/>
    <n v="24.36"/>
    <n v="24.36"/>
    <n v="412.44000000000011"/>
    <n v="0"/>
  </r>
  <r>
    <x v="15"/>
    <x v="1"/>
    <x v="0"/>
    <s v="5838200"/>
    <n v="731070"/>
    <s v="Cable TV"/>
    <s v="Gen Surg-Aub/FW-Shared Svc"/>
    <x v="0"/>
    <m/>
    <n v="62.1"/>
    <n v="62.1"/>
    <n v="62.1"/>
    <n v="62.08"/>
    <n v="61.45"/>
    <n v="61.45"/>
    <n v="61.45"/>
    <n v="61.45"/>
    <n v="61.45"/>
    <n v="61.45"/>
    <n v="61.62"/>
    <n v="61.62"/>
    <n v="740.32"/>
    <n v="0"/>
  </r>
  <r>
    <x v="16"/>
    <x v="1"/>
    <x v="0"/>
    <s v="5838200"/>
    <n v="732030"/>
    <s v="Repairs---Other"/>
    <s v="Gen Surg-Aub/FW-Shared Svc"/>
    <x v="0"/>
    <m/>
    <n v="0"/>
    <n v="0"/>
    <n v="0"/>
    <n v="0"/>
    <n v="0"/>
    <n v="0"/>
    <n v="0"/>
    <n v="50.77"/>
    <n v="0"/>
    <n v="336.17"/>
    <n v="278"/>
    <n v="0"/>
    <n v="664.94"/>
    <n v="278"/>
  </r>
  <r>
    <x v="16"/>
    <x v="1"/>
    <x v="0"/>
    <s v="5838200"/>
    <n v="732030"/>
    <s v="Repairs&amp;Maintenance-Bldg Routine"/>
    <s v="Gen Surg-Aub/FW-Shared Svc"/>
    <x v="0"/>
    <n v="2300"/>
    <n v="0"/>
    <n v="7.1"/>
    <n v="23.37"/>
    <n v="20.95"/>
    <n v="26.39"/>
    <n v="0"/>
    <n v="0"/>
    <n v="0"/>
    <n v="0"/>
    <n v="0"/>
    <n v="0"/>
    <n v="0"/>
    <n v="77.81"/>
    <n v="0"/>
  </r>
  <r>
    <x v="13"/>
    <x v="1"/>
    <x v="0"/>
    <s v="5838200"/>
    <n v="735050"/>
    <s v="Amortization-Leasehold Improvements"/>
    <s v="Gen Surg-Aub/FW-Shared Svc"/>
    <x v="0"/>
    <m/>
    <n v="590.4"/>
    <n v="590.4"/>
    <n v="590.4"/>
    <n v="590.39"/>
    <n v="590.41"/>
    <n v="590.39"/>
    <n v="590.41"/>
    <n v="590.39"/>
    <n v="590.41"/>
    <n v="590.39"/>
    <n v="590.41"/>
    <n v="590.39"/>
    <n v="7084.79"/>
    <n v="1.999999999998181E-2"/>
  </r>
  <r>
    <x v="13"/>
    <x v="1"/>
    <x v="0"/>
    <s v="5838200"/>
    <n v="735060"/>
    <s v="Depreciation-Fixed Equipment"/>
    <s v="Gen Surg-Aub/FW-Shared Svc"/>
    <x v="0"/>
    <m/>
    <n v="30.34"/>
    <n v="30.34"/>
    <n v="30.35"/>
    <n v="30.34"/>
    <n v="30.35"/>
    <n v="30.34"/>
    <n v="30.35"/>
    <n v="30.34"/>
    <n v="30.35"/>
    <n v="30.34"/>
    <n v="30.37"/>
    <n v="30.34"/>
    <n v="364.15"/>
    <n v="3.0000000000001137E-2"/>
  </r>
  <r>
    <x v="13"/>
    <x v="1"/>
    <x v="0"/>
    <s v="5838200"/>
    <n v="735070"/>
    <s v="Depreciation-Movable Equipment"/>
    <s v="Gen Surg-Aub/FW-Shared Svc"/>
    <x v="0"/>
    <m/>
    <n v="297.29000000000002"/>
    <n v="297.27999999999997"/>
    <n v="297.33"/>
    <n v="297.27999999999997"/>
    <n v="297.33"/>
    <n v="297.25"/>
    <n v="297.37"/>
    <n v="297.24"/>
    <n v="297.38"/>
    <n v="297.23"/>
    <n v="297.39"/>
    <n v="297.23"/>
    <n v="3567.6"/>
    <n v="0.15999999999996817"/>
  </r>
  <r>
    <x v="0"/>
    <x v="1"/>
    <x v="0"/>
    <s v="5838200"/>
    <n v="740010"/>
    <s v="Education-Materials"/>
    <s v="Gen Surg-Aub/FW-Shared Svc"/>
    <x v="0"/>
    <m/>
    <n v="0"/>
    <n v="0"/>
    <n v="372.36"/>
    <n v="0"/>
    <n v="0"/>
    <n v="0"/>
    <n v="804.68"/>
    <n v="0"/>
    <n v="0"/>
    <n v="0"/>
    <n v="0"/>
    <n v="0"/>
    <n v="1177.04"/>
    <n v="0"/>
  </r>
  <r>
    <x v="0"/>
    <x v="1"/>
    <x v="0"/>
    <s v="5838200"/>
    <n v="740020"/>
    <s v="Education-Registration Fees"/>
    <s v="Gen Surg-Aub/FW-Shared Svc"/>
    <x v="0"/>
    <m/>
    <n v="0"/>
    <n v="0"/>
    <n v="0"/>
    <n v="974"/>
    <n v="0"/>
    <n v="0"/>
    <n v="0"/>
    <n v="0"/>
    <n v="0"/>
    <n v="0"/>
    <n v="0"/>
    <n v="0"/>
    <n v="974"/>
    <n v="0"/>
  </r>
  <r>
    <x v="0"/>
    <x v="1"/>
    <x v="0"/>
    <s v="5838200"/>
    <n v="742040"/>
    <s v="Freight-Other"/>
    <s v="Gen Surg-Aub/FW-Shared Svc"/>
    <x v="0"/>
    <m/>
    <n v="0"/>
    <n v="0"/>
    <n v="0"/>
    <n v="0"/>
    <n v="0"/>
    <n v="0"/>
    <n v="0"/>
    <n v="0"/>
    <n v="0"/>
    <n v="0"/>
    <n v="0"/>
    <n v="27.76"/>
    <n v="27.76"/>
    <n v="-27.76"/>
  </r>
  <r>
    <x v="0"/>
    <x v="1"/>
    <x v="0"/>
    <s v="5838200"/>
    <n v="743020"/>
    <s v="Provider-Dues"/>
    <s v="Gen Surg-Aub/FW-Shared Svc"/>
    <x v="0"/>
    <n v="2200"/>
    <n v="350"/>
    <n v="0"/>
    <n v="0"/>
    <n v="0"/>
    <n v="0"/>
    <n v="640"/>
    <n v="0"/>
    <n v="1328.54"/>
    <n v="0"/>
    <n v="0"/>
    <n v="700"/>
    <n v="350"/>
    <n v="3368.54"/>
    <n v="350"/>
  </r>
  <r>
    <x v="0"/>
    <x v="1"/>
    <x v="0"/>
    <s v="5838200"/>
    <n v="743030"/>
    <s v="Subscriptions--Institutional"/>
    <s v="Gen Surg-Aub/FW-Shared Svc"/>
    <x v="0"/>
    <m/>
    <n v="0"/>
    <n v="0"/>
    <n v="0"/>
    <n v="0"/>
    <n v="0"/>
    <n v="0"/>
    <n v="0"/>
    <n v="0"/>
    <n v="61"/>
    <n v="0"/>
    <n v="0"/>
    <n v="0"/>
    <n v="61"/>
    <n v="0"/>
  </r>
  <r>
    <x v="0"/>
    <x v="1"/>
    <x v="0"/>
    <s v="5838200"/>
    <n v="749510"/>
    <s v="Miscellaneous Expenses"/>
    <s v="Gen Surg-Aub/FW-Shared Svc"/>
    <x v="0"/>
    <m/>
    <n v="52.8"/>
    <n v="0"/>
    <n v="26.4"/>
    <n v="3.52"/>
    <n v="49.5"/>
    <n v="0"/>
    <n v="0"/>
    <n v="0"/>
    <n v="0"/>
    <n v="0"/>
    <n v="0"/>
    <n v="0"/>
    <n v="132.21999999999997"/>
    <n v="0"/>
  </r>
  <r>
    <x v="0"/>
    <x v="1"/>
    <x v="0"/>
    <s v="5838200"/>
    <n v="749510"/>
    <s v="Licenses"/>
    <s v="Gen Surg-Aub/FW-Shared Svc"/>
    <x v="0"/>
    <n v="1002"/>
    <n v="0"/>
    <n v="0"/>
    <n v="795"/>
    <n v="0"/>
    <n v="0"/>
    <n v="0"/>
    <n v="0"/>
    <n v="0"/>
    <n v="0"/>
    <n v="0"/>
    <n v="0"/>
    <n v="0"/>
    <n v="795"/>
    <n v="0"/>
  </r>
  <r>
    <x v="0"/>
    <x v="1"/>
    <x v="0"/>
    <s v="5838200"/>
    <n v="749510"/>
    <s v="RICE Rewards"/>
    <s v="Gen Surg-Aub/FW-Shared Svc"/>
    <x v="0"/>
    <n v="5100"/>
    <n v="0"/>
    <n v="0"/>
    <n v="0"/>
    <n v="0"/>
    <n v="0"/>
    <n v="274.92"/>
    <n v="0"/>
    <n v="0"/>
    <n v="0"/>
    <n v="0"/>
    <n v="0"/>
    <n v="0"/>
    <n v="274.92"/>
    <n v="0"/>
  </r>
  <r>
    <x v="0"/>
    <x v="1"/>
    <x v="0"/>
    <s v="5838200"/>
    <n v="749530"/>
    <s v="Mileage"/>
    <s v="Gen Surg-Aub/FW-Shared Svc"/>
    <x v="0"/>
    <n v="1001"/>
    <n v="263.77999999999997"/>
    <n v="0"/>
    <n v="0"/>
    <n v="0"/>
    <n v="0"/>
    <n v="0"/>
    <n v="0"/>
    <n v="0"/>
    <n v="0"/>
    <n v="0"/>
    <n v="0"/>
    <n v="0"/>
    <n v="263.77999999999997"/>
    <n v="0"/>
  </r>
  <r>
    <x v="0"/>
    <x v="1"/>
    <x v="0"/>
    <s v="5838200"/>
    <n v="749535"/>
    <s v="Meetings"/>
    <s v="Gen Surg-Aub/FW-Shared Svc"/>
    <x v="0"/>
    <m/>
    <n v="0"/>
    <n v="0"/>
    <n v="0"/>
    <n v="0"/>
    <n v="0"/>
    <n v="0"/>
    <n v="30.78"/>
    <n v="0"/>
    <n v="0"/>
    <n v="0"/>
    <n v="0"/>
    <n v="0"/>
    <n v="30.78"/>
    <n v="0"/>
  </r>
  <r>
    <x v="0"/>
    <x v="1"/>
    <x v="0"/>
    <s v="5838200"/>
    <n v="749550"/>
    <s v="Cash Over/Short"/>
    <s v="Gen Surg-Aub/FW-Shared Svc"/>
    <x v="0"/>
    <m/>
    <n v="0"/>
    <n v="0"/>
    <n v="0"/>
    <n v="0"/>
    <n v="0"/>
    <n v="0"/>
    <n v="0"/>
    <n v="0"/>
    <n v="0"/>
    <n v="6.8"/>
    <n v="0"/>
    <n v="0"/>
    <n v="6.8"/>
    <n v="0"/>
  </r>
  <r>
    <x v="0"/>
    <x v="1"/>
    <x v="0"/>
    <s v="5838200"/>
    <n v="766010"/>
    <s v="Property Tax"/>
    <s v="Gen Surg-Aub/FW-Shared Svc"/>
    <x v="0"/>
    <m/>
    <n v="104.33"/>
    <n v="104.33"/>
    <n v="104.33"/>
    <n v="104.33"/>
    <n v="104.33"/>
    <n v="104.33"/>
    <n v="104.33"/>
    <n v="104.33"/>
    <n v="104.33"/>
    <n v="-24.51"/>
    <n v="72.12"/>
    <n v="72.12"/>
    <n v="1058.7000000000003"/>
    <n v="0"/>
  </r>
  <r>
    <x v="14"/>
    <x v="1"/>
    <x v="0"/>
    <s v="5839200"/>
    <n v="600026"/>
    <s v="POB Rental"/>
    <s v="St Anthonys Specialty Care"/>
    <x v="0"/>
    <n v="1001"/>
    <n v="-4800"/>
    <n v="-4800"/>
    <n v="-4800"/>
    <n v="-4800"/>
    <n v="-4800"/>
    <n v="-4800"/>
    <n v="-4800"/>
    <n v="-4800"/>
    <n v="-4800"/>
    <n v="-4800"/>
    <n v="-4800"/>
    <n v="-4800"/>
    <n v="-57600"/>
    <n v="0"/>
  </r>
  <r>
    <x v="5"/>
    <x v="1"/>
    <x v="0"/>
    <s v="5839200"/>
    <n v="700014"/>
    <s v="Salaries-Management-Productive"/>
    <s v="St Anthonys Specialty Care"/>
    <x v="0"/>
    <m/>
    <n v="852.39"/>
    <n v="711.84"/>
    <n v="1020.15"/>
    <n v="553.26"/>
    <n v="1205.3599999999999"/>
    <n v="635.13"/>
    <n v="1081.82"/>
    <n v="928.56"/>
    <n v="882.13"/>
    <n v="1021.41"/>
    <n v="139.29"/>
    <n v="0"/>
    <n v="9031.340000000002"/>
    <n v="139.29"/>
  </r>
  <r>
    <x v="5"/>
    <x v="1"/>
    <x v="0"/>
    <s v="5839200"/>
    <n v="700018"/>
    <s v="Salaries-Supervisory-Productive"/>
    <s v="St Anthonys Specialty Care"/>
    <x v="0"/>
    <m/>
    <n v="0"/>
    <n v="0"/>
    <n v="0"/>
    <n v="0"/>
    <n v="0"/>
    <n v="0"/>
    <n v="362.96"/>
    <n v="-103.7"/>
    <n v="0"/>
    <n v="0"/>
    <n v="0"/>
    <n v="0"/>
    <n v="259.26"/>
    <n v="0"/>
  </r>
  <r>
    <x v="5"/>
    <x v="1"/>
    <x v="0"/>
    <s v="5839200"/>
    <n v="700030"/>
    <s v="Salaries-LPN-Productive"/>
    <s v="St Anthonys Specialty Care"/>
    <x v="0"/>
    <m/>
    <n v="0"/>
    <n v="0"/>
    <n v="0"/>
    <n v="0"/>
    <n v="0"/>
    <n v="0"/>
    <n v="0"/>
    <n v="0"/>
    <n v="87.24"/>
    <n v="0"/>
    <n v="0"/>
    <n v="0"/>
    <n v="87.24"/>
    <n v="0"/>
  </r>
  <r>
    <x v="5"/>
    <x v="1"/>
    <x v="0"/>
    <s v="5839200"/>
    <n v="700030"/>
    <s v="Salaries-LPN-Other"/>
    <s v="St Anthonys Specialty Care"/>
    <x v="0"/>
    <n v="2000"/>
    <n v="0"/>
    <n v="0"/>
    <n v="0"/>
    <n v="0"/>
    <n v="0"/>
    <n v="0"/>
    <n v="0"/>
    <n v="0"/>
    <n v="3.76"/>
    <n v="0"/>
    <n v="0"/>
    <n v="0"/>
    <n v="3.76"/>
    <n v="0"/>
  </r>
  <r>
    <x v="5"/>
    <x v="1"/>
    <x v="0"/>
    <s v="5839200"/>
    <n v="700038"/>
    <s v="Salaries-Service/Support-Productive"/>
    <s v="St Anthonys Specialty Care"/>
    <x v="0"/>
    <m/>
    <n v="1124.98"/>
    <n v="2390.59"/>
    <n v="1866.52"/>
    <n v="2805.64"/>
    <n v="4588.8500000000004"/>
    <n v="2442.7600000000002"/>
    <n v="3631.53"/>
    <n v="2991.11"/>
    <n v="3824.22"/>
    <n v="3920.93"/>
    <n v="3915.11"/>
    <n v="3047.01"/>
    <n v="36549.25"/>
    <n v="868.09999999999991"/>
  </r>
  <r>
    <x v="5"/>
    <x v="1"/>
    <x v="0"/>
    <s v="5839200"/>
    <n v="700038"/>
    <s v="Salaries-Service/Support-OT"/>
    <s v="St Anthonys Specialty Care"/>
    <x v="0"/>
    <n v="1000"/>
    <n v="0"/>
    <n v="0"/>
    <n v="0"/>
    <n v="0"/>
    <n v="43.64"/>
    <n v="52.36"/>
    <n v="12.23"/>
    <n v="-3.49"/>
    <n v="17.489999999999998"/>
    <n v="115.34"/>
    <n v="-1.71"/>
    <n v="8.74"/>
    <n v="244.6"/>
    <n v="-10.45"/>
  </r>
  <r>
    <x v="5"/>
    <x v="1"/>
    <x v="0"/>
    <s v="5839200"/>
    <n v="700078"/>
    <s v="Salaries-Service/Support-Non-productive"/>
    <s v="St Anthonys Specialty Care"/>
    <x v="0"/>
    <m/>
    <n v="2125.7199999999998"/>
    <n v="768.63"/>
    <n v="262.61"/>
    <n v="589.94000000000005"/>
    <n v="-176.85"/>
    <n v="1313.59"/>
    <n v="530.25"/>
    <n v="718.92"/>
    <n v="115.36"/>
    <n v="17.48"/>
    <n v="279.64"/>
    <n v="699.13"/>
    <n v="7244.42"/>
    <n v="-419.49"/>
  </r>
  <r>
    <x v="5"/>
    <x v="1"/>
    <x v="0"/>
    <s v="5839200"/>
    <n v="700078"/>
    <s v="Salaries-Service/Support-NonProd-Other"/>
    <s v="St Anthonys Specialty C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39200"/>
    <n v="700084"/>
    <s v="Accrued PTO"/>
    <s v="St Anthonys Specialty Care"/>
    <x v="0"/>
    <m/>
    <n v="-1086.99"/>
    <n v="-225.45"/>
    <n v="496.53"/>
    <n v="42.39"/>
    <n v="418.63"/>
    <n v="-623.87"/>
    <n v="-72.83"/>
    <n v="-221.3"/>
    <n v="203.85"/>
    <n v="337.18"/>
    <n v="236.89"/>
    <n v="-160.57"/>
    <n v="-655.54000000000019"/>
    <n v="397.46"/>
  </r>
  <r>
    <x v="6"/>
    <x v="1"/>
    <x v="0"/>
    <s v="5839200"/>
    <n v="713010"/>
    <s v="Benefits-FICA/Medicare"/>
    <s v="St Anthonys Specialty Care"/>
    <x v="0"/>
    <m/>
    <n v="303.95999999999998"/>
    <n v="286.63"/>
    <n v="233.74"/>
    <n v="292.52"/>
    <n v="420.13"/>
    <n v="329.17"/>
    <n v="414.14"/>
    <n v="335.59"/>
    <n v="364.52"/>
    <n v="375.76"/>
    <n v="319.72000000000003"/>
    <n v="276.8"/>
    <n v="3952.6800000000003"/>
    <n v="42.920000000000016"/>
  </r>
  <r>
    <x v="6"/>
    <x v="1"/>
    <x v="0"/>
    <s v="5839200"/>
    <n v="713090"/>
    <s v="Benefits-Allocated Amounts"/>
    <s v="St Anthonys Specialty Care"/>
    <x v="0"/>
    <m/>
    <n v="997.53"/>
    <n v="854.37"/>
    <n v="820.99"/>
    <n v="973.03"/>
    <n v="1236.8499999999999"/>
    <n v="1282.3"/>
    <n v="1383.24"/>
    <n v="1349.29"/>
    <n v="1287.92"/>
    <n v="1446.09"/>
    <n v="1226.57"/>
    <n v="1221.49"/>
    <n v="14079.67"/>
    <n v="5.0799999999999272"/>
  </r>
  <r>
    <x v="7"/>
    <x v="1"/>
    <x v="0"/>
    <s v="5839200"/>
    <n v="718050"/>
    <s v="Contract Svcs-Other"/>
    <s v="St Anthonys Specialty Care"/>
    <x v="0"/>
    <m/>
    <n v="0"/>
    <n v="0"/>
    <n v="0"/>
    <n v="0"/>
    <n v="0"/>
    <n v="0"/>
    <n v="271.25"/>
    <n v="0"/>
    <n v="0"/>
    <n v="0"/>
    <n v="0"/>
    <n v="0"/>
    <n v="271.25"/>
    <n v="0"/>
  </r>
  <r>
    <x v="7"/>
    <x v="1"/>
    <x v="0"/>
    <s v="5839200"/>
    <n v="718050"/>
    <s v="Miscellaneous Purchased Svcs"/>
    <s v="St Anthonys Specialty Care"/>
    <x v="0"/>
    <n v="1020"/>
    <n v="0"/>
    <n v="0"/>
    <n v="0"/>
    <n v="-380"/>
    <n v="0"/>
    <n v="0"/>
    <n v="0"/>
    <n v="0"/>
    <n v="0"/>
    <n v="0"/>
    <n v="0"/>
    <n v="0"/>
    <n v="-380"/>
    <n v="0"/>
  </r>
  <r>
    <x v="7"/>
    <x v="1"/>
    <x v="0"/>
    <s v="5839200"/>
    <n v="718050"/>
    <s v="Translation Services"/>
    <s v="St Anthonys Specialty Care"/>
    <x v="0"/>
    <n v="1025"/>
    <n v="0"/>
    <n v="0"/>
    <n v="0"/>
    <n v="0"/>
    <n v="0"/>
    <n v="0"/>
    <n v="48"/>
    <n v="0"/>
    <n v="0"/>
    <n v="0"/>
    <n v="0"/>
    <n v="0"/>
    <n v="48"/>
    <n v="0"/>
  </r>
  <r>
    <x v="7"/>
    <x v="1"/>
    <x v="0"/>
    <s v="5839200"/>
    <n v="718070"/>
    <s v="Contract Srvcs-CHI Clinical Engineering"/>
    <s v="St Anthonys Specialty Care"/>
    <x v="0"/>
    <m/>
    <n v="0"/>
    <n v="0"/>
    <n v="0"/>
    <n v="0"/>
    <n v="0"/>
    <n v="0"/>
    <n v="0"/>
    <n v="275.25"/>
    <n v="0"/>
    <n v="0"/>
    <n v="0"/>
    <n v="0"/>
    <n v="275.25"/>
    <n v="0"/>
  </r>
  <r>
    <x v="12"/>
    <x v="1"/>
    <x v="0"/>
    <s v="5839200"/>
    <n v="730010"/>
    <s v="Rental and Leases-Building (DO NOT USE)"/>
    <s v="St Anthonys Specialty Care"/>
    <x v="0"/>
    <m/>
    <n v="3923.04"/>
    <n v="3923.04"/>
    <n v="3923.04"/>
    <n v="3923.04"/>
    <n v="3923.04"/>
    <n v="-10681.05"/>
    <n v="1619.5"/>
    <n v="1619.5"/>
    <n v="1617.26"/>
    <n v="1618.94"/>
    <n v="1618.94"/>
    <n v="0"/>
    <n v="17028.29"/>
    <n v="1618.94"/>
  </r>
  <r>
    <x v="12"/>
    <x v="1"/>
    <x v="0"/>
    <s v="5839200"/>
    <n v="730010"/>
    <s v="Rental-Common Area Maint (DO NOT USE)"/>
    <s v="St Anthonys Specialty Care"/>
    <x v="0"/>
    <n v="2200"/>
    <n v="0"/>
    <n v="0"/>
    <n v="0"/>
    <n v="0"/>
    <n v="0"/>
    <n v="14760.66"/>
    <n v="2460.11"/>
    <n v="2460.11"/>
    <n v="3147"/>
    <n v="2483.0300000000002"/>
    <n v="2483.0300000000002"/>
    <n v="0"/>
    <n v="27793.94"/>
    <n v="2483.0300000000002"/>
  </r>
  <r>
    <x v="12"/>
    <x v="1"/>
    <x v="0"/>
    <s v="5839200"/>
    <n v="730020"/>
    <s v="Rental and Leases-Copier Usage Fees (DO NOT USE)"/>
    <s v="St Anthonys Specialty Care"/>
    <x v="0"/>
    <n v="5100"/>
    <n v="137.30000000000001"/>
    <n v="142.07"/>
    <n v="139.68"/>
    <n v="139.68"/>
    <n v="139.68"/>
    <n v="139.68"/>
    <n v="118.96"/>
    <n v="-4.07"/>
    <n v="138.16"/>
    <n v="280.39"/>
    <n v="138.16"/>
    <n v="138.16"/>
    <n v="1647.8500000000004"/>
    <n v="0"/>
  </r>
  <r>
    <x v="12"/>
    <x v="1"/>
    <x v="0"/>
    <s v="5839200"/>
    <n v="730040"/>
    <s v="LT Lease-Real Estate"/>
    <s v="St Anthonys Specialty Care"/>
    <x v="0"/>
    <m/>
    <n v="0"/>
    <n v="0"/>
    <n v="0"/>
    <n v="0"/>
    <n v="0"/>
    <n v="0"/>
    <n v="0"/>
    <n v="0"/>
    <n v="0"/>
    <n v="0"/>
    <n v="0"/>
    <n v="4101.97"/>
    <n v="4101.97"/>
    <n v="-4101.97"/>
  </r>
  <r>
    <x v="15"/>
    <x v="1"/>
    <x v="0"/>
    <s v="5839200"/>
    <n v="731060"/>
    <s v="Telephone"/>
    <s v="St Anthonys Specialty Care"/>
    <x v="0"/>
    <m/>
    <n v="25.61"/>
    <n v="26.19"/>
    <n v="25.89"/>
    <n v="25.93"/>
    <n v="58.22"/>
    <n v="58.22"/>
    <n v="58.21"/>
    <n v="58.1"/>
    <n v="58.1"/>
    <n v="58.06"/>
    <n v="58.06"/>
    <n v="60.37"/>
    <n v="570.96"/>
    <n v="-2.3099999999999952"/>
  </r>
  <r>
    <x v="16"/>
    <x v="1"/>
    <x v="0"/>
    <s v="5839200"/>
    <n v="732030"/>
    <s v="Repairs---Other"/>
    <s v="St Anthonys Specialty Care"/>
    <x v="0"/>
    <m/>
    <n v="0"/>
    <n v="0"/>
    <n v="0"/>
    <n v="0"/>
    <n v="81.790000000000006"/>
    <n v="0"/>
    <n v="0"/>
    <n v="0"/>
    <n v="0"/>
    <n v="0"/>
    <n v="0"/>
    <n v="0"/>
    <n v="81.790000000000006"/>
    <n v="0"/>
  </r>
  <r>
    <x v="13"/>
    <x v="1"/>
    <x v="0"/>
    <s v="5839200"/>
    <n v="735070"/>
    <s v="Depreciation-Movable Equipment"/>
    <s v="St Anthonys Specialty Care"/>
    <x v="0"/>
    <m/>
    <n v="122.77"/>
    <n v="122.77"/>
    <n v="122.77"/>
    <n v="122.77"/>
    <n v="122.77"/>
    <n v="122.77"/>
    <n v="122.77"/>
    <n v="177.39"/>
    <n v="177.39"/>
    <n v="177.39"/>
    <n v="177.39"/>
    <n v="177.38"/>
    <n v="1746.33"/>
    <n v="9.9999999999909051E-3"/>
  </r>
  <r>
    <x v="0"/>
    <x v="1"/>
    <x v="0"/>
    <s v="5839200"/>
    <n v="749510"/>
    <s v="Miscellaneous Expenses"/>
    <s v="St Anthonys Specialty Care"/>
    <x v="0"/>
    <m/>
    <n v="1700"/>
    <n v="0"/>
    <n v="0"/>
    <n v="0"/>
    <n v="0"/>
    <n v="0"/>
    <n v="0"/>
    <n v="0"/>
    <n v="0"/>
    <n v="0"/>
    <n v="0"/>
    <n v="0"/>
    <n v="1700"/>
    <n v="0"/>
  </r>
  <r>
    <x v="0"/>
    <x v="1"/>
    <x v="0"/>
    <s v="5839200"/>
    <n v="766010"/>
    <s v="Property Tax"/>
    <s v="St Anthonys Specialty Care"/>
    <x v="0"/>
    <m/>
    <n v="10.68"/>
    <n v="10.68"/>
    <n v="10.68"/>
    <n v="10.68"/>
    <n v="10.68"/>
    <n v="10.68"/>
    <n v="10.68"/>
    <n v="10.68"/>
    <n v="10.68"/>
    <n v="4.43"/>
    <n v="9.11"/>
    <n v="9.11"/>
    <n v="118.77000000000001"/>
    <n v="0"/>
  </r>
  <r>
    <x v="5"/>
    <x v="1"/>
    <x v="0"/>
    <s v="5840200"/>
    <n v="700014"/>
    <s v="Salaries-Management-Productive"/>
    <s v="Urology-LW-Shared Svc"/>
    <x v="0"/>
    <m/>
    <n v="155.56"/>
    <n v="388.9"/>
    <n v="311.12"/>
    <n v="368.3"/>
    <n v="355.08"/>
    <n v="-161.4"/>
    <n v="0"/>
    <n v="0"/>
    <n v="0"/>
    <n v="0"/>
    <n v="0"/>
    <n v="0"/>
    <n v="1417.56"/>
    <n v="0"/>
  </r>
  <r>
    <x v="5"/>
    <x v="1"/>
    <x v="0"/>
    <s v="5840200"/>
    <n v="700032"/>
    <s v="Salaries-Other Pat Care Providers-Productive"/>
    <s v="Urology-LW-Shared Svc"/>
    <x v="0"/>
    <m/>
    <n v="0"/>
    <n v="0"/>
    <n v="0"/>
    <n v="0"/>
    <n v="0"/>
    <n v="0"/>
    <n v="0"/>
    <n v="0"/>
    <n v="0"/>
    <n v="0"/>
    <n v="0"/>
    <n v="594.51"/>
    <n v="594.51"/>
    <n v="-594.51"/>
  </r>
  <r>
    <x v="5"/>
    <x v="1"/>
    <x v="0"/>
    <s v="5840200"/>
    <n v="700038"/>
    <s v="Salaries-Service/Support-Productive"/>
    <s v="Urology-LW-Shared Svc"/>
    <x v="0"/>
    <m/>
    <n v="7459"/>
    <n v="7825.48"/>
    <n v="7522.18"/>
    <n v="9138.02"/>
    <n v="6656.66"/>
    <n v="7083.71"/>
    <n v="8102.95"/>
    <n v="7972.83"/>
    <n v="7267.21"/>
    <n v="8898.57"/>
    <n v="8141.02"/>
    <n v="5643.75"/>
    <n v="91711.37999999999"/>
    <n v="2497.2700000000004"/>
  </r>
  <r>
    <x v="5"/>
    <x v="1"/>
    <x v="0"/>
    <s v="5840200"/>
    <n v="700038"/>
    <s v="Salaries-Service/Support-OT"/>
    <s v="Urology-LW-Shared Svc"/>
    <x v="0"/>
    <n v="1000"/>
    <n v="34.08"/>
    <n v="927.83"/>
    <n v="7.96"/>
    <n v="46.86"/>
    <n v="1065.4100000000001"/>
    <n v="-179.08"/>
    <n v="313.85000000000002"/>
    <n v="180.47"/>
    <n v="278.33"/>
    <n v="127.45"/>
    <n v="3.06"/>
    <n v="79.47"/>
    <n v="2885.6899999999996"/>
    <n v="-76.41"/>
  </r>
  <r>
    <x v="5"/>
    <x v="1"/>
    <x v="0"/>
    <s v="5840200"/>
    <n v="700038"/>
    <s v="Salaries-Service/Support-Other"/>
    <s v="Urology-LW-Shared Svc"/>
    <x v="0"/>
    <n v="2000"/>
    <n v="91.93"/>
    <n v="89.65"/>
    <n v="82.14"/>
    <n v="92.57"/>
    <n v="88.01"/>
    <n v="84.44"/>
    <n v="95.55"/>
    <n v="81.459999999999994"/>
    <n v="102.27"/>
    <n v="90.01"/>
    <n v="92.2"/>
    <n v="51.21"/>
    <n v="1041.44"/>
    <n v="40.99"/>
  </r>
  <r>
    <x v="5"/>
    <x v="1"/>
    <x v="0"/>
    <s v="5840200"/>
    <n v="700078"/>
    <s v="Salaries-Service/Support-Non-productive"/>
    <s v="Urology-LW-Shared Svc"/>
    <x v="0"/>
    <m/>
    <n v="1101.47"/>
    <n v="2253.85"/>
    <n v="-21.5"/>
    <n v="476.14"/>
    <n v="3016.29"/>
    <n v="822.66"/>
    <n v="1203.27"/>
    <n v="119.04"/>
    <n v="1848.46"/>
    <n v="131.04"/>
    <n v="1451.32"/>
    <n v="960.84"/>
    <n v="13362.880000000001"/>
    <n v="490.4799999999999"/>
  </r>
  <r>
    <x v="5"/>
    <x v="1"/>
    <x v="0"/>
    <s v="5840200"/>
    <n v="700078"/>
    <s v="Salaries-Service/Support-NonProd-Other"/>
    <s v="Urology-LW-Shared Svc"/>
    <x v="0"/>
    <n v="2000"/>
    <n v="0"/>
    <n v="0"/>
    <n v="0"/>
    <n v="0"/>
    <n v="389.49"/>
    <n v="389.49"/>
    <n v="0"/>
    <n v="-778.98"/>
    <n v="0"/>
    <n v="0"/>
    <n v="0"/>
    <n v="0"/>
    <n v="0"/>
    <n v="0"/>
  </r>
  <r>
    <x v="5"/>
    <x v="1"/>
    <x v="0"/>
    <s v="5840200"/>
    <n v="700084"/>
    <s v="Accrued PTO"/>
    <s v="Urology-LW-Shared Svc"/>
    <x v="0"/>
    <m/>
    <n v="61.03"/>
    <n v="-558.01"/>
    <n v="481.31"/>
    <n v="650.67999999999995"/>
    <n v="-577.52"/>
    <n v="-638.36"/>
    <n v="-47.05"/>
    <n v="836.43"/>
    <n v="630.96"/>
    <n v="520.74"/>
    <n v="161.76"/>
    <n v="-121.71"/>
    <n v="1400.26"/>
    <n v="283.46999999999997"/>
  </r>
  <r>
    <x v="6"/>
    <x v="1"/>
    <x v="0"/>
    <s v="5840200"/>
    <n v="713010"/>
    <s v="Benefits-FICA/Medicare"/>
    <s v="Urology-LW-Shared Svc"/>
    <x v="0"/>
    <m/>
    <n v="647.57000000000005"/>
    <n v="844.65"/>
    <n v="579.41999999999996"/>
    <n v="742.53"/>
    <n v="915.99"/>
    <n v="552.51"/>
    <n v="699.83"/>
    <n v="601.32000000000005"/>
    <n v="685.87"/>
    <n v="666.28"/>
    <n v="696.13"/>
    <n v="533.34"/>
    <n v="8165.44"/>
    <n v="162.78999999999996"/>
  </r>
  <r>
    <x v="6"/>
    <x v="1"/>
    <x v="0"/>
    <s v="5840200"/>
    <n v="713090"/>
    <s v="Benefits-Allocated Amounts"/>
    <s v="Urology-LW-Shared Svc"/>
    <x v="0"/>
    <m/>
    <n v="2235.0700000000002"/>
    <n v="2398.02"/>
    <n v="2303.11"/>
    <n v="2339.11"/>
    <n v="2558.0500000000002"/>
    <n v="2093.6799999999998"/>
    <n v="2702.85"/>
    <n v="2575.14"/>
    <n v="2376.2399999999998"/>
    <n v="2582.77"/>
    <n v="2548.6999999999998"/>
    <n v="2129.4"/>
    <n v="28842.14"/>
    <n v="419.29999999999973"/>
  </r>
  <r>
    <x v="6"/>
    <x v="1"/>
    <x v="0"/>
    <s v="5840200"/>
    <n v="713096"/>
    <s v="Employee Recognition"/>
    <s v="Urology-LW-Shared Svc"/>
    <x v="0"/>
    <n v="1017"/>
    <n v="0"/>
    <n v="0"/>
    <n v="0"/>
    <n v="0"/>
    <n v="0"/>
    <n v="0"/>
    <n v="0"/>
    <n v="0"/>
    <n v="23.98"/>
    <n v="0"/>
    <n v="0"/>
    <n v="0"/>
    <n v="23.98"/>
    <n v="0"/>
  </r>
  <r>
    <x v="7"/>
    <x v="1"/>
    <x v="0"/>
    <s v="5840200"/>
    <n v="718010"/>
    <s v="Media/Print Advertising"/>
    <s v="Urology-LW-Shared Svc"/>
    <x v="0"/>
    <n v="1004"/>
    <n v="0"/>
    <n v="296.32"/>
    <n v="0"/>
    <n v="97.5"/>
    <n v="98"/>
    <n v="0"/>
    <n v="0"/>
    <n v="0"/>
    <n v="0"/>
    <n v="0"/>
    <n v="0"/>
    <n v="-27.75"/>
    <n v="464.07"/>
    <n v="27.75"/>
  </r>
  <r>
    <x v="7"/>
    <x v="1"/>
    <x v="0"/>
    <s v="5840200"/>
    <n v="718050"/>
    <s v="Contract Svcs-Other"/>
    <s v="Urology-LW-Shared Svc"/>
    <x v="0"/>
    <m/>
    <n v="71.37"/>
    <n v="71.37"/>
    <n v="71.37"/>
    <n v="71.37"/>
    <n v="71.37"/>
    <n v="48.57"/>
    <n v="430.63"/>
    <n v="92.99"/>
    <n v="48.58"/>
    <n v="323.33"/>
    <n v="0"/>
    <n v="0"/>
    <n v="1300.95"/>
    <n v="0"/>
  </r>
  <r>
    <x v="7"/>
    <x v="1"/>
    <x v="0"/>
    <s v="5840200"/>
    <n v="718050"/>
    <s v="Document Shredding/Storage"/>
    <s v="Urology-LW-Shared Svc"/>
    <x v="0"/>
    <n v="1012"/>
    <n v="99.19"/>
    <n v="98.41"/>
    <n v="121.88"/>
    <n v="106.61"/>
    <n v="182.44"/>
    <n v="84.59"/>
    <n v="83.74"/>
    <n v="151.85"/>
    <n v="127.6"/>
    <n v="-13.35"/>
    <n v="84.37"/>
    <n v="134.49"/>
    <n v="1261.82"/>
    <n v="-50.120000000000005"/>
  </r>
  <r>
    <x v="7"/>
    <x v="1"/>
    <x v="0"/>
    <s v="5840200"/>
    <n v="718050"/>
    <s v="Physician Answering"/>
    <s v="Urology-LW-Shared Svc"/>
    <x v="0"/>
    <n v="1015"/>
    <n v="297.8"/>
    <n v="471.4"/>
    <n v="333.8"/>
    <n v="125.2"/>
    <n v="367.6"/>
    <n v="349.8"/>
    <n v="542.6"/>
    <n v="494.8"/>
    <n v="443.2"/>
    <n v="470"/>
    <n v="515.6"/>
    <n v="298"/>
    <n v="4709.8"/>
    <n v="217.60000000000002"/>
  </r>
  <r>
    <x v="7"/>
    <x v="1"/>
    <x v="0"/>
    <s v="5840200"/>
    <n v="718050"/>
    <s v="Miscellaneous Purchased Svcs"/>
    <s v="Urology-LW-Shared Svc"/>
    <x v="0"/>
    <n v="1020"/>
    <n v="0"/>
    <n v="98.76"/>
    <n v="131.68"/>
    <n v="98.76"/>
    <n v="0"/>
    <n v="0"/>
    <n v="0"/>
    <n v="0"/>
    <n v="0"/>
    <n v="0"/>
    <n v="0"/>
    <n v="0"/>
    <n v="329.2"/>
    <n v="0"/>
  </r>
  <r>
    <x v="7"/>
    <x v="1"/>
    <x v="0"/>
    <s v="5840200"/>
    <n v="718050"/>
    <s v="Translation Services"/>
    <s v="Urology-LW-Shared Svc"/>
    <x v="0"/>
    <n v="1025"/>
    <n v="7.29"/>
    <n v="0"/>
    <n v="1461.65"/>
    <n v="0"/>
    <n v="333.91"/>
    <n v="109.02"/>
    <n v="98"/>
    <n v="440.96"/>
    <n v="50.47"/>
    <n v="47.4"/>
    <n v="102.7"/>
    <n v="115.34"/>
    <n v="2766.74"/>
    <n v="-12.64"/>
  </r>
  <r>
    <x v="7"/>
    <x v="1"/>
    <x v="0"/>
    <s v="5840200"/>
    <n v="718050"/>
    <s v="Purchased Srvcs--Medical Waste"/>
    <s v="Urology-LW-Shared Svc"/>
    <x v="0"/>
    <n v="1027"/>
    <n v="42.24"/>
    <n v="42.24"/>
    <n v="42.24"/>
    <n v="0"/>
    <n v="42.24"/>
    <n v="42.24"/>
    <n v="214.24"/>
    <n v="62.96"/>
    <n v="0"/>
    <n v="206"/>
    <n v="181.12"/>
    <n v="556.55999999999995"/>
    <n v="1432.08"/>
    <n v="-375.43999999999994"/>
  </r>
  <r>
    <x v="7"/>
    <x v="1"/>
    <x v="0"/>
    <s v="5840200"/>
    <n v="718070"/>
    <s v="Contract Srvcs-CHI Clinical Engineering"/>
    <s v="Urology-LW-Shared Svc"/>
    <x v="0"/>
    <m/>
    <n v="3779.17"/>
    <n v="4193.47"/>
    <n v="1219.06"/>
    <n v="283.20999999999998"/>
    <n v="450.37"/>
    <n v="850.02"/>
    <n v="450.37"/>
    <n v="531.91999999999996"/>
    <n v="473.77"/>
    <n v="473.77"/>
    <n v="473.77"/>
    <n v="449.85"/>
    <n v="13628.750000000004"/>
    <n v="23.919999999999959"/>
  </r>
  <r>
    <x v="11"/>
    <x v="1"/>
    <x v="0"/>
    <s v="5840200"/>
    <n v="721020"/>
    <s v="Urological Supplies"/>
    <s v="Urology-LW-Shared Svc"/>
    <x v="0"/>
    <n v="1006"/>
    <n v="0"/>
    <n v="0"/>
    <n v="0"/>
    <n v="0"/>
    <n v="0"/>
    <n v="0"/>
    <n v="0"/>
    <n v="0"/>
    <n v="196.57"/>
    <n v="0"/>
    <n v="0"/>
    <n v="0"/>
    <n v="196.57"/>
    <n v="0"/>
  </r>
  <r>
    <x v="11"/>
    <x v="1"/>
    <x v="0"/>
    <s v="5840200"/>
    <n v="721250"/>
    <s v="Supplies-Pharmacy Drugs - Billable"/>
    <s v="Urology-LW-Shared Svc"/>
    <x v="0"/>
    <m/>
    <n v="266.51"/>
    <n v="442.65"/>
    <n v="1099.06"/>
    <n v="1208.1600000000001"/>
    <n v="379.59"/>
    <n v="959.67"/>
    <n v="13731.89"/>
    <n v="1682.78"/>
    <n v="2879.54"/>
    <n v="830.55"/>
    <n v="858.43"/>
    <n v="1978.76"/>
    <n v="26317.589999999997"/>
    <n v="-1120.33"/>
  </r>
  <r>
    <x v="11"/>
    <x v="1"/>
    <x v="0"/>
    <s v="5840200"/>
    <n v="721410"/>
    <s v="Supplies-Medical - Nonbillable"/>
    <s v="Urology-LW-Shared Svc"/>
    <x v="0"/>
    <m/>
    <n v="0"/>
    <n v="0"/>
    <n v="0"/>
    <n v="0"/>
    <n v="0"/>
    <n v="5.9"/>
    <n v="1508.93"/>
    <n v="0"/>
    <n v="0"/>
    <n v="0"/>
    <n v="0"/>
    <n v="0"/>
    <n v="1514.8300000000002"/>
    <n v="0"/>
  </r>
  <r>
    <x v="11"/>
    <x v="1"/>
    <x v="0"/>
    <s v="5840200"/>
    <n v="721420"/>
    <s v="Supplies-Surgical Nonbillable"/>
    <s v="Urology-LW-Shared Svc"/>
    <x v="0"/>
    <m/>
    <n v="0"/>
    <n v="0"/>
    <n v="0"/>
    <n v="0"/>
    <n v="0"/>
    <n v="0"/>
    <n v="0"/>
    <n v="64.739999999999995"/>
    <n v="0"/>
    <n v="0"/>
    <n v="0"/>
    <n v="0"/>
    <n v="64.739999999999995"/>
    <n v="0"/>
  </r>
  <r>
    <x v="11"/>
    <x v="1"/>
    <x v="0"/>
    <s v="5840200"/>
    <n v="721420"/>
    <s v="Sterilization Process Products"/>
    <s v="Urology-LW-Shared Svc"/>
    <x v="0"/>
    <n v="1009"/>
    <n v="109"/>
    <n v="0"/>
    <n v="0"/>
    <n v="0"/>
    <n v="0"/>
    <n v="0"/>
    <n v="0"/>
    <n v="0"/>
    <n v="0"/>
    <n v="109"/>
    <n v="99"/>
    <n v="0"/>
    <n v="317"/>
    <n v="99"/>
  </r>
  <r>
    <x v="11"/>
    <x v="1"/>
    <x v="0"/>
    <s v="5840200"/>
    <n v="721640"/>
    <s v="Supplies-IV Solutions/Supplies - Nonbillable"/>
    <s v="Urology-LW-Shared Svc"/>
    <x v="0"/>
    <m/>
    <n v="0"/>
    <n v="0"/>
    <n v="0"/>
    <n v="0"/>
    <n v="330.85"/>
    <n v="226.26"/>
    <n v="537.84"/>
    <n v="148.08000000000001"/>
    <n v="0"/>
    <n v="182.77"/>
    <n v="148.22"/>
    <n v="14.33"/>
    <n v="1588.35"/>
    <n v="133.88999999999999"/>
  </r>
  <r>
    <x v="11"/>
    <x v="1"/>
    <x v="0"/>
    <s v="5840200"/>
    <n v="721810"/>
    <s v="Supplies-Dietary/Cafeteria"/>
    <s v="Urology-LW-Shared Svc"/>
    <x v="0"/>
    <m/>
    <n v="0"/>
    <n v="0"/>
    <n v="0"/>
    <n v="76.7"/>
    <n v="32.04"/>
    <n v="32.04"/>
    <n v="0"/>
    <n v="0"/>
    <n v="0"/>
    <n v="16"/>
    <n v="0"/>
    <n v="0"/>
    <n v="156.78"/>
    <n v="0"/>
  </r>
  <r>
    <x v="11"/>
    <x v="1"/>
    <x v="0"/>
    <s v="5840200"/>
    <n v="721830"/>
    <s v="Supplies-Office"/>
    <s v="Urology-LW-Shared Svc"/>
    <x v="0"/>
    <m/>
    <n v="461.49"/>
    <n v="152.33000000000001"/>
    <n v="148.99"/>
    <n v="111.04"/>
    <n v="584.55999999999995"/>
    <n v="147.33000000000001"/>
    <n v="483.91"/>
    <n v="1015.09"/>
    <n v="196.96"/>
    <n v="189.88"/>
    <n v="281.66000000000003"/>
    <n v="335.72"/>
    <n v="4108.96"/>
    <n v="-54.06"/>
  </r>
  <r>
    <x v="11"/>
    <x v="1"/>
    <x v="0"/>
    <s v="5840200"/>
    <n v="721835"/>
    <s v="Supplies-Forms"/>
    <s v="Urology-LW-Shared Svc"/>
    <x v="0"/>
    <m/>
    <n v="0"/>
    <n v="0"/>
    <n v="0"/>
    <n v="0"/>
    <n v="0"/>
    <n v="20.6"/>
    <n v="0"/>
    <n v="0"/>
    <n v="27.19"/>
    <n v="0"/>
    <n v="100.78"/>
    <n v="188.64"/>
    <n v="337.21"/>
    <n v="-87.859999999999985"/>
  </r>
  <r>
    <x v="11"/>
    <x v="1"/>
    <x v="0"/>
    <s v="5840200"/>
    <n v="721910"/>
    <s v="Supplies-Small Equipment"/>
    <s v="Urology-LW-Shared Svc"/>
    <x v="0"/>
    <m/>
    <n v="0"/>
    <n v="0"/>
    <n v="0"/>
    <n v="0"/>
    <n v="0"/>
    <n v="2068.0100000000002"/>
    <n v="13.97"/>
    <n v="699.87"/>
    <n v="2365.0700000000002"/>
    <n v="396.56"/>
    <n v="181.67"/>
    <n v="28"/>
    <n v="5753.1500000000005"/>
    <n v="153.66999999999999"/>
  </r>
  <r>
    <x v="11"/>
    <x v="1"/>
    <x v="0"/>
    <s v="5840200"/>
    <n v="721910"/>
    <s v="Instruments"/>
    <s v="Urology-LW-Shared Svc"/>
    <x v="0"/>
    <n v="1000"/>
    <n v="0"/>
    <n v="0"/>
    <n v="0"/>
    <n v="494.66"/>
    <n v="0"/>
    <n v="-45.38"/>
    <n v="0"/>
    <n v="0"/>
    <n v="0"/>
    <n v="0"/>
    <n v="0"/>
    <n v="0"/>
    <n v="449.28000000000003"/>
    <n v="0"/>
  </r>
  <r>
    <x v="11"/>
    <x v="1"/>
    <x v="0"/>
    <s v="5840200"/>
    <n v="721980"/>
    <s v="Supplies-Other"/>
    <s v="Urology-LW-Shared Svc"/>
    <x v="0"/>
    <m/>
    <n v="0"/>
    <n v="18.100000000000001"/>
    <n v="0"/>
    <n v="0"/>
    <n v="0"/>
    <n v="0"/>
    <n v="0"/>
    <n v="0"/>
    <n v="0"/>
    <n v="0"/>
    <n v="0"/>
    <n v="0"/>
    <n v="18.100000000000001"/>
    <n v="0"/>
  </r>
  <r>
    <x v="11"/>
    <x v="1"/>
    <x v="0"/>
    <s v="5840200"/>
    <n v="722000"/>
    <s v="Supplies-Freight Expense"/>
    <s v="Urology-LW-Shared Svc"/>
    <x v="0"/>
    <m/>
    <n v="0"/>
    <n v="0"/>
    <n v="0"/>
    <n v="0"/>
    <n v="0"/>
    <n v="0"/>
    <n v="7.97"/>
    <n v="0"/>
    <n v="13.23"/>
    <n v="57.97"/>
    <n v="0"/>
    <n v="0"/>
    <n v="79.17"/>
    <n v="0"/>
  </r>
  <r>
    <x v="12"/>
    <x v="1"/>
    <x v="0"/>
    <s v="5840200"/>
    <n v="730010"/>
    <s v="Rental and Leases-Building (DO NOT USE)"/>
    <s v="Urology-LW-Shared Svc"/>
    <x v="0"/>
    <m/>
    <n v="8711.2900000000009"/>
    <n v="8665.7999999999993"/>
    <n v="8711.2900000000009"/>
    <n v="8711.2900000000009"/>
    <n v="8711.2900000000009"/>
    <n v="-9783.5"/>
    <n v="5623.77"/>
    <n v="5623.77"/>
    <n v="5736.98"/>
    <n v="5737.27"/>
    <n v="5737.27"/>
    <n v="0"/>
    <n v="62186.520000000004"/>
    <n v="5737.27"/>
  </r>
  <r>
    <x v="12"/>
    <x v="1"/>
    <x v="0"/>
    <s v="5840200"/>
    <n v="730010"/>
    <s v="Rental-Common Area Maint (DO NOT USE)"/>
    <s v="Urology-LW-Shared Svc"/>
    <x v="0"/>
    <n v="2200"/>
    <n v="0"/>
    <n v="0"/>
    <n v="0"/>
    <n v="0"/>
    <n v="0"/>
    <n v="18494.8"/>
    <n v="3087.53"/>
    <n v="3087.53"/>
    <n v="3087.53"/>
    <n v="3087.68"/>
    <n v="3087.68"/>
    <n v="0"/>
    <n v="33932.749999999993"/>
    <n v="3087.68"/>
  </r>
  <r>
    <x v="12"/>
    <x v="1"/>
    <x v="0"/>
    <s v="5840200"/>
    <n v="730020"/>
    <s v="Rental and Leases-Copier Usage Fees (DO NOT USE)"/>
    <s v="Urology-LW-Shared Svc"/>
    <x v="0"/>
    <n v="5100"/>
    <n v="374.51"/>
    <n v="404.64"/>
    <n v="389.58"/>
    <n v="389.58"/>
    <n v="389.58"/>
    <n v="389.58"/>
    <n v="10876.13"/>
    <n v="260.69"/>
    <n v="253.27"/>
    <n v="420.11"/>
    <n v="253.82"/>
    <n v="253.82"/>
    <n v="14655.31"/>
    <n v="0"/>
  </r>
  <r>
    <x v="12"/>
    <x v="1"/>
    <x v="0"/>
    <s v="5840200"/>
    <n v="730040"/>
    <s v="LT Lease-Real Estate"/>
    <s v="Urology-LW-Shared Svc"/>
    <x v="0"/>
    <m/>
    <n v="0"/>
    <n v="0"/>
    <n v="0"/>
    <n v="0"/>
    <n v="0"/>
    <n v="0"/>
    <n v="0"/>
    <n v="0"/>
    <n v="0"/>
    <n v="0"/>
    <n v="0"/>
    <n v="8824.9500000000007"/>
    <n v="8824.9500000000007"/>
    <n v="-8824.9500000000007"/>
  </r>
  <r>
    <x v="15"/>
    <x v="1"/>
    <x v="0"/>
    <s v="5840200"/>
    <n v="731060"/>
    <s v="Telephone"/>
    <s v="Urology-LW-Shared Svc"/>
    <x v="0"/>
    <m/>
    <n v="0"/>
    <n v="0"/>
    <n v="0"/>
    <n v="0"/>
    <n v="0"/>
    <n v="0"/>
    <n v="0"/>
    <n v="0"/>
    <n v="350"/>
    <n v="0"/>
    <n v="35.35"/>
    <n v="0"/>
    <n v="385.35"/>
    <n v="35.35"/>
  </r>
  <r>
    <x v="15"/>
    <x v="1"/>
    <x v="0"/>
    <s v="5840200"/>
    <n v="731060"/>
    <s v="Pagers"/>
    <s v="Urology-LW-Shared Svc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1"/>
    <x v="0"/>
    <s v="5840200"/>
    <n v="732030"/>
    <s v="Repairs---Other"/>
    <s v="Urology-LW-Shared Svc"/>
    <x v="0"/>
    <m/>
    <n v="0"/>
    <n v="0"/>
    <n v="26.38"/>
    <n v="0"/>
    <n v="0"/>
    <n v="0"/>
    <n v="67.760000000000005"/>
    <n v="0"/>
    <n v="0"/>
    <n v="0"/>
    <n v="0"/>
    <n v="0"/>
    <n v="94.14"/>
    <n v="0"/>
  </r>
  <r>
    <x v="16"/>
    <x v="1"/>
    <x v="0"/>
    <s v="5840200"/>
    <n v="732030"/>
    <s v="Repairs&amp;Maintenance-Bldg Routine"/>
    <s v="Urology-LW-Shared Svc"/>
    <x v="0"/>
    <n v="2300"/>
    <n v="0"/>
    <n v="0"/>
    <n v="0"/>
    <n v="210.64"/>
    <n v="0"/>
    <n v="0"/>
    <n v="0"/>
    <n v="0"/>
    <n v="0"/>
    <n v="0"/>
    <n v="0"/>
    <n v="0"/>
    <n v="210.64"/>
    <n v="0"/>
  </r>
  <r>
    <x v="13"/>
    <x v="1"/>
    <x v="0"/>
    <s v="5840200"/>
    <n v="735050"/>
    <s v="Amortization-Leasehold Improvements"/>
    <s v="Urology-LW-Shared Svc"/>
    <x v="0"/>
    <m/>
    <n v="61.72"/>
    <n v="61.72"/>
    <n v="61.72"/>
    <n v="61.72"/>
    <n v="61.72"/>
    <n v="61.72"/>
    <n v="61.72"/>
    <n v="61.72"/>
    <n v="61.72"/>
    <n v="61.72"/>
    <n v="61.72"/>
    <n v="61.72"/>
    <n v="740.64000000000021"/>
    <n v="0"/>
  </r>
  <r>
    <x v="13"/>
    <x v="1"/>
    <x v="0"/>
    <s v="5840200"/>
    <n v="735070"/>
    <s v="Depreciation-Movable Equipment"/>
    <s v="Urology-LW-Shared Svc"/>
    <x v="0"/>
    <m/>
    <n v="177.52"/>
    <n v="177.52"/>
    <n v="177.52"/>
    <n v="177.52"/>
    <n v="177.52"/>
    <n v="177.52"/>
    <n v="177.52"/>
    <n v="177.52"/>
    <n v="177.52"/>
    <n v="177.51"/>
    <n v="177.52"/>
    <n v="177.51"/>
    <n v="2130.2200000000003"/>
    <n v="1.0000000000019327E-2"/>
  </r>
  <r>
    <x v="0"/>
    <x v="1"/>
    <x v="0"/>
    <s v="5840200"/>
    <n v="742030"/>
    <s v="Freight-Courier"/>
    <s v="Urology-LW-Shared Svc"/>
    <x v="0"/>
    <m/>
    <n v="0"/>
    <n v="0"/>
    <n v="0"/>
    <n v="0"/>
    <n v="0"/>
    <n v="0"/>
    <n v="0"/>
    <n v="396.53"/>
    <n v="0"/>
    <n v="0"/>
    <n v="0"/>
    <n v="0"/>
    <n v="396.53"/>
    <n v="0"/>
  </r>
  <r>
    <x v="0"/>
    <x v="1"/>
    <x v="0"/>
    <s v="5840200"/>
    <n v="742040"/>
    <s v="Freight-Other"/>
    <s v="Urology-LW-Shared Svc"/>
    <x v="0"/>
    <m/>
    <n v="0"/>
    <n v="0"/>
    <n v="0"/>
    <n v="0"/>
    <n v="0"/>
    <n v="0"/>
    <n v="0"/>
    <n v="0"/>
    <n v="0"/>
    <n v="0"/>
    <n v="0"/>
    <n v="27.75"/>
    <n v="27.75"/>
    <n v="-27.75"/>
  </r>
  <r>
    <x v="0"/>
    <x v="1"/>
    <x v="0"/>
    <s v="5840200"/>
    <n v="743020"/>
    <s v="Provider-Dues"/>
    <s v="Urology-LW-Shared Svc"/>
    <x v="0"/>
    <n v="2200"/>
    <n v="0"/>
    <n v="0"/>
    <n v="0"/>
    <n v="0"/>
    <n v="0"/>
    <n v="0"/>
    <n v="0"/>
    <n v="200"/>
    <n v="0"/>
    <n v="0"/>
    <n v="0"/>
    <n v="0"/>
    <n v="200"/>
    <n v="0"/>
  </r>
  <r>
    <x v="0"/>
    <x v="1"/>
    <x v="0"/>
    <s v="5840200"/>
    <n v="743030"/>
    <s v="Subscriptions--Institutional"/>
    <s v="Urology-LW-Shared Svc"/>
    <x v="0"/>
    <m/>
    <n v="0"/>
    <n v="0"/>
    <n v="0"/>
    <n v="0"/>
    <n v="0"/>
    <n v="0"/>
    <n v="180.76"/>
    <n v="0"/>
    <n v="176.21"/>
    <n v="0"/>
    <n v="0"/>
    <n v="0"/>
    <n v="356.97"/>
    <n v="0"/>
  </r>
  <r>
    <x v="0"/>
    <x v="1"/>
    <x v="0"/>
    <s v="5840200"/>
    <n v="749510"/>
    <s v="Miscellaneous Expenses"/>
    <s v="Urology-LW-Shared Svc"/>
    <x v="0"/>
    <m/>
    <n v="0"/>
    <n v="0"/>
    <n v="0"/>
    <n v="0"/>
    <n v="0"/>
    <n v="218"/>
    <n v="367.5"/>
    <n v="0"/>
    <n v="0"/>
    <n v="0"/>
    <n v="0"/>
    <n v="-218"/>
    <n v="367.5"/>
    <n v="218"/>
  </r>
  <r>
    <x v="0"/>
    <x v="1"/>
    <x v="0"/>
    <s v="5840200"/>
    <n v="749510"/>
    <s v="Licenses"/>
    <s v="Urology-LW-Shared Svc"/>
    <x v="0"/>
    <n v="1002"/>
    <n v="0"/>
    <n v="330"/>
    <n v="330"/>
    <n v="0"/>
    <n v="0"/>
    <n v="155"/>
    <n v="38.75"/>
    <n v="0"/>
    <n v="0"/>
    <n v="0"/>
    <n v="0"/>
    <n v="0"/>
    <n v="853.75"/>
    <n v="0"/>
  </r>
  <r>
    <x v="0"/>
    <x v="1"/>
    <x v="0"/>
    <s v="5840200"/>
    <n v="749510"/>
    <s v="RICE Rewards"/>
    <s v="Urology-LW-Shared Svc"/>
    <x v="0"/>
    <n v="5100"/>
    <n v="0"/>
    <n v="0"/>
    <n v="0"/>
    <n v="0"/>
    <n v="0"/>
    <n v="0"/>
    <n v="0"/>
    <n v="200"/>
    <n v="0"/>
    <n v="0"/>
    <n v="519"/>
    <n v="16.48"/>
    <n v="735.48"/>
    <n v="502.52"/>
  </r>
  <r>
    <x v="0"/>
    <x v="1"/>
    <x v="0"/>
    <s v="5840200"/>
    <n v="749530"/>
    <s v="Mileage"/>
    <s v="Urology-LW-Shared Svc"/>
    <x v="0"/>
    <n v="1001"/>
    <n v="0"/>
    <n v="7.27"/>
    <n v="0"/>
    <n v="0"/>
    <n v="0"/>
    <n v="0"/>
    <n v="0"/>
    <n v="0"/>
    <n v="0"/>
    <n v="0"/>
    <n v="0"/>
    <n v="0"/>
    <n v="7.27"/>
    <n v="0"/>
  </r>
  <r>
    <x v="0"/>
    <x v="1"/>
    <x v="0"/>
    <s v="5840200"/>
    <n v="766010"/>
    <s v="Property Tax"/>
    <s v="Urology-LW-Shared Svc"/>
    <x v="0"/>
    <m/>
    <n v="57.44"/>
    <n v="57.44"/>
    <n v="57.44"/>
    <n v="57.44"/>
    <n v="57.44"/>
    <n v="57.44"/>
    <n v="57.44"/>
    <n v="57.44"/>
    <n v="57.44"/>
    <n v="-12.37"/>
    <n v="39.979999999999997"/>
    <n v="39.979999999999997"/>
    <n v="584.55000000000007"/>
    <n v="0"/>
  </r>
  <r>
    <x v="5"/>
    <x v="1"/>
    <x v="0"/>
    <s v="5841200"/>
    <n v="700014"/>
    <s v="Salaries-Management-Productive"/>
    <s v="ENT Clinic-Shared Svc"/>
    <x v="0"/>
    <m/>
    <n v="2900.35"/>
    <n v="2305.41"/>
    <n v="1673.28"/>
    <n v="3633.34"/>
    <n v="3304.58"/>
    <n v="1952.7"/>
    <n v="2783.03"/>
    <n v="3008.56"/>
    <n v="3158.99"/>
    <n v="3309.41"/>
    <n v="3083.78"/>
    <n v="3008.56"/>
    <n v="34121.990000000005"/>
    <n v="75.220000000000255"/>
  </r>
  <r>
    <x v="5"/>
    <x v="1"/>
    <x v="0"/>
    <s v="5841200"/>
    <n v="700018"/>
    <s v="Salaries-Supervisory-Productive"/>
    <s v="ENT Clinic-Shared Svc"/>
    <x v="0"/>
    <m/>
    <n v="2097.21"/>
    <n v="2278.23"/>
    <n v="2020.8"/>
    <n v="740.68"/>
    <n v="484.52"/>
    <n v="3253.15"/>
    <n v="2010.4"/>
    <n v="2079.52"/>
    <n v="1836.93"/>
    <n v="1940.88"/>
    <n v="4749.32"/>
    <n v="3258.45"/>
    <n v="26750.09"/>
    <n v="1490.87"/>
  </r>
  <r>
    <x v="5"/>
    <x v="1"/>
    <x v="0"/>
    <s v="5841200"/>
    <n v="700030"/>
    <s v="Salaries-LPN-Productive"/>
    <s v="ENT Clinic-Shared Svc"/>
    <x v="0"/>
    <m/>
    <n v="0"/>
    <n v="0"/>
    <n v="473.1"/>
    <n v="-157.69999999999999"/>
    <n v="0"/>
    <n v="0"/>
    <n v="0"/>
    <n v="0"/>
    <n v="0"/>
    <n v="0"/>
    <n v="0"/>
    <n v="0"/>
    <n v="315.40000000000003"/>
    <n v="0"/>
  </r>
  <r>
    <x v="5"/>
    <x v="1"/>
    <x v="0"/>
    <s v="5841200"/>
    <n v="700038"/>
    <s v="Salaries-Service/Support-Productive"/>
    <s v="ENT Clinic-Shared Svc"/>
    <x v="0"/>
    <m/>
    <n v="18681.599999999999"/>
    <n v="21427.74"/>
    <n v="18326.080000000002"/>
    <n v="20368.93"/>
    <n v="25380.62"/>
    <n v="20976.47"/>
    <n v="19169.72"/>
    <n v="16745.96"/>
    <n v="17362.25"/>
    <n v="19794.86"/>
    <n v="23771.06"/>
    <n v="20068.87"/>
    <n v="242074.15999999997"/>
    <n v="3702.1900000000023"/>
  </r>
  <r>
    <x v="5"/>
    <x v="1"/>
    <x v="0"/>
    <s v="5841200"/>
    <n v="700038"/>
    <s v="Salaries-Service/Support-OT"/>
    <s v="ENT Clinic-Shared Svc"/>
    <x v="0"/>
    <n v="1000"/>
    <n v="26.14"/>
    <n v="109.6"/>
    <n v="363.26"/>
    <n v="283.04000000000002"/>
    <n v="2031.98"/>
    <n v="8.26"/>
    <n v="416.39"/>
    <n v="58.75"/>
    <n v="260.2"/>
    <n v="165"/>
    <n v="689.89"/>
    <n v="46.34"/>
    <n v="4458.8500000000004"/>
    <n v="643.54999999999995"/>
  </r>
  <r>
    <x v="5"/>
    <x v="1"/>
    <x v="0"/>
    <s v="5841200"/>
    <n v="700038"/>
    <s v="Salaries-Service/Support-Other"/>
    <s v="ENT Clinic-Shared Svc"/>
    <x v="0"/>
    <n v="2000"/>
    <n v="47.13"/>
    <n v="77.25"/>
    <n v="15"/>
    <n v="56.25"/>
    <n v="5"/>
    <n v="0"/>
    <n v="0"/>
    <n v="22.84"/>
    <n v="0"/>
    <n v="30.06"/>
    <n v="30.02"/>
    <n v="0"/>
    <n v="283.55"/>
    <n v="30.02"/>
  </r>
  <r>
    <x v="5"/>
    <x v="1"/>
    <x v="0"/>
    <s v="5841200"/>
    <n v="700078"/>
    <s v="Salaries-Service/Support-Non-productive"/>
    <s v="ENT Clinic-Shared Svc"/>
    <x v="0"/>
    <m/>
    <n v="7442.08"/>
    <n v="2033.73"/>
    <n v="1171.3900000000001"/>
    <n v="3188.55"/>
    <n v="1163.77"/>
    <n v="4944.57"/>
    <n v="1396.83"/>
    <n v="1765.81"/>
    <n v="316.14"/>
    <n v="653.70000000000005"/>
    <n v="3149.78"/>
    <n v="2727.46"/>
    <n v="29953.809999999998"/>
    <n v="422.32000000000016"/>
  </r>
  <r>
    <x v="5"/>
    <x v="1"/>
    <x v="0"/>
    <s v="5841200"/>
    <n v="700078"/>
    <s v="Salaries-Service/Support-NonProd-Other"/>
    <s v="ENT Clinic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41200"/>
    <n v="700084"/>
    <s v="Accrued PTO"/>
    <s v="ENT Clinic-Shared Svc"/>
    <x v="0"/>
    <m/>
    <n v="-3264.42"/>
    <n v="463.98"/>
    <n v="565.27"/>
    <n v="673.93"/>
    <n v="16.91"/>
    <n v="-674.68"/>
    <n v="296.26"/>
    <n v="26.92"/>
    <n v="1302.04"/>
    <n v="1266.26"/>
    <n v="-286.23"/>
    <n v="379.11"/>
    <n v="765.3499999999998"/>
    <n v="-665.34"/>
  </r>
  <r>
    <x v="6"/>
    <x v="1"/>
    <x v="0"/>
    <s v="5841200"/>
    <n v="713010"/>
    <s v="Benefits-FICA/Medicare"/>
    <s v="ENT Clinic-Shared Svc"/>
    <x v="0"/>
    <m/>
    <n v="2302.59"/>
    <n v="2068.42"/>
    <n v="1777.44"/>
    <n v="2059.15"/>
    <n v="2380.38"/>
    <n v="2294"/>
    <n v="1904.64"/>
    <n v="1732.32"/>
    <n v="1690.44"/>
    <n v="1911.88"/>
    <n v="2631.53"/>
    <n v="2114.88"/>
    <n v="24867.67"/>
    <n v="516.65000000000009"/>
  </r>
  <r>
    <x v="6"/>
    <x v="1"/>
    <x v="0"/>
    <s v="5841200"/>
    <n v="713090"/>
    <s v="Benefits-Allocated Amounts"/>
    <s v="ENT Clinic-Shared Svc"/>
    <x v="0"/>
    <m/>
    <n v="8325.5499999999993"/>
    <n v="6716.28"/>
    <n v="6818.42"/>
    <n v="6825.53"/>
    <n v="7810.51"/>
    <n v="8845.25"/>
    <n v="7693.07"/>
    <n v="7214.86"/>
    <n v="6642.01"/>
    <n v="6978.67"/>
    <n v="8660.94"/>
    <n v="9347.9"/>
    <n v="91878.989999999991"/>
    <n v="-686.95999999999913"/>
  </r>
  <r>
    <x v="6"/>
    <x v="1"/>
    <x v="0"/>
    <s v="5841200"/>
    <n v="713096"/>
    <s v="Employee Recognition"/>
    <s v="ENT Clinic-Shared Svc"/>
    <x v="0"/>
    <n v="1017"/>
    <n v="0"/>
    <n v="0"/>
    <n v="0"/>
    <n v="0"/>
    <n v="0"/>
    <n v="147.88"/>
    <n v="0"/>
    <n v="0"/>
    <n v="0"/>
    <n v="60.7"/>
    <n v="0"/>
    <n v="241.6"/>
    <n v="450.17999999999995"/>
    <n v="-241.6"/>
  </r>
  <r>
    <x v="7"/>
    <x v="1"/>
    <x v="0"/>
    <s v="5841200"/>
    <n v="718010"/>
    <s v="Media/Print Advertising"/>
    <s v="ENT Clinic-Shared Svc"/>
    <x v="0"/>
    <n v="1004"/>
    <n v="0"/>
    <n v="122.1"/>
    <n v="0"/>
    <n v="97.22"/>
    <n v="0"/>
    <n v="184.58"/>
    <n v="96.88"/>
    <n v="0"/>
    <n v="0"/>
    <n v="67.900000000000006"/>
    <n v="270.85000000000002"/>
    <n v="-15.5"/>
    <n v="824.03"/>
    <n v="286.35000000000002"/>
  </r>
  <r>
    <x v="7"/>
    <x v="1"/>
    <x v="0"/>
    <s v="5841200"/>
    <n v="718050"/>
    <s v="Contract Svcs-Other"/>
    <s v="ENT Clinic-Shared Svc"/>
    <x v="0"/>
    <m/>
    <n v="133.44999999999999"/>
    <n v="216.66"/>
    <n v="757.61"/>
    <n v="229.75"/>
    <n v="3924.62"/>
    <n v="279.43"/>
    <n v="-213.92"/>
    <n v="953.22"/>
    <n v="261.18"/>
    <n v="209.36"/>
    <n v="96.99"/>
    <n v="355.68"/>
    <n v="7204.0300000000007"/>
    <n v="-258.69"/>
  </r>
  <r>
    <x v="7"/>
    <x v="1"/>
    <x v="0"/>
    <s v="5841200"/>
    <n v="718050"/>
    <s v="Document Shredding/Storage"/>
    <s v="ENT Clinic-Shared Svc"/>
    <x v="0"/>
    <n v="1012"/>
    <n v="527.55999999999995"/>
    <n v="406.68"/>
    <n v="44.19"/>
    <n v="485.36"/>
    <n v="516.83000000000004"/>
    <n v="489.58"/>
    <n v="49.08"/>
    <n v="1078.1600000000001"/>
    <n v="481.24"/>
    <n v="494.03"/>
    <n v="489.36"/>
    <n v="482.89"/>
    <n v="5544.9599999999991"/>
    <n v="6.4700000000000273"/>
  </r>
  <r>
    <x v="7"/>
    <x v="1"/>
    <x v="0"/>
    <s v="5841200"/>
    <n v="718050"/>
    <s v="Physician Answering"/>
    <s v="ENT Clinic-Shared Svc"/>
    <x v="0"/>
    <n v="1015"/>
    <n v="1064.4000000000001"/>
    <n v="1307"/>
    <n v="879.6"/>
    <n v="472.4"/>
    <n v="1535"/>
    <n v="950.8"/>
    <n v="1383.6"/>
    <n v="1301"/>
    <n v="1182.8"/>
    <n v="1327"/>
    <n v="1143"/>
    <n v="922.4"/>
    <n v="13468.999999999998"/>
    <n v="220.60000000000002"/>
  </r>
  <r>
    <x v="7"/>
    <x v="1"/>
    <x v="0"/>
    <s v="5841200"/>
    <n v="718050"/>
    <s v="Miscellaneous Purchased Svcs"/>
    <s v="ENT Clinic-Shared Svc"/>
    <x v="0"/>
    <n v="1020"/>
    <n v="0"/>
    <n v="187.92"/>
    <n v="44.5"/>
    <n v="216.79"/>
    <n v="0"/>
    <n v="0"/>
    <n v="189.64"/>
    <n v="0"/>
    <n v="0"/>
    <n v="42.58"/>
    <n v="83.48"/>
    <n v="170.69"/>
    <n v="935.59999999999991"/>
    <n v="-87.21"/>
  </r>
  <r>
    <x v="7"/>
    <x v="1"/>
    <x v="0"/>
    <s v="5841200"/>
    <n v="718050"/>
    <s v="Translation Services"/>
    <s v="ENT Clinic-Shared Svc"/>
    <x v="0"/>
    <n v="1025"/>
    <n v="807.59"/>
    <n v="624"/>
    <n v="879.18"/>
    <n v="1095.1500000000001"/>
    <n v="1127.3699999999999"/>
    <n v="104.03"/>
    <n v="1141.92"/>
    <n v="3113.78"/>
    <n v="0"/>
    <n v="0"/>
    <n v="2444"/>
    <n v="30.39"/>
    <n v="11367.41"/>
    <n v="2413.61"/>
  </r>
  <r>
    <x v="7"/>
    <x v="1"/>
    <x v="0"/>
    <s v="5841200"/>
    <n v="718050"/>
    <s v="Purchased Srvcs--Medical Waste"/>
    <s v="ENT Clinic-Shared Svc"/>
    <x v="0"/>
    <n v="1027"/>
    <n v="21.5"/>
    <n v="53.88"/>
    <n v="21.5"/>
    <n v="20.72"/>
    <n v="53.88"/>
    <n v="21.5"/>
    <n v="53.36"/>
    <n v="52.58"/>
    <n v="0"/>
    <n v="53.36"/>
    <n v="32.380000000000003"/>
    <n v="52.58"/>
    <n v="437.23999999999995"/>
    <n v="-20.199999999999996"/>
  </r>
  <r>
    <x v="7"/>
    <x v="1"/>
    <x v="0"/>
    <s v="5841200"/>
    <n v="718070"/>
    <s v="Contract Srvcs-CHI Clinical Engineering"/>
    <s v="ENT Clinic-Shared Svc"/>
    <x v="0"/>
    <m/>
    <n v="6344.85"/>
    <n v="13391.87"/>
    <n v="5561.52"/>
    <n v="2826"/>
    <n v="517.97"/>
    <n v="2705.17"/>
    <n v="3397.26"/>
    <n v="3935.5"/>
    <n v="3894"/>
    <n v="6738.12"/>
    <n v="0"/>
    <n v="1695.54"/>
    <n v="51007.80000000001"/>
    <n v="-1695.54"/>
  </r>
  <r>
    <x v="11"/>
    <x v="1"/>
    <x v="0"/>
    <s v="5841200"/>
    <n v="721150"/>
    <s v="Supplies-Other Implants - Billable"/>
    <s v="ENT Clinic-Shared Svc"/>
    <x v="0"/>
    <m/>
    <n v="0"/>
    <n v="0"/>
    <n v="164.05"/>
    <n v="0"/>
    <n v="298"/>
    <n v="0"/>
    <n v="0"/>
    <n v="0"/>
    <n v="0"/>
    <n v="615.09"/>
    <n v="-29.09"/>
    <n v="0"/>
    <n v="1048.0500000000002"/>
    <n v="-29.09"/>
  </r>
  <r>
    <x v="11"/>
    <x v="1"/>
    <x v="0"/>
    <s v="5841200"/>
    <n v="721250"/>
    <s v="Supplies-Pharmacy Drugs - Billable"/>
    <s v="ENT Clinic-Shared Svc"/>
    <x v="0"/>
    <m/>
    <n v="0"/>
    <n v="0"/>
    <n v="0"/>
    <n v="0"/>
    <n v="0"/>
    <n v="0"/>
    <n v="0"/>
    <n v="0"/>
    <n v="0"/>
    <n v="0"/>
    <n v="878.72"/>
    <n v="0"/>
    <n v="878.72"/>
    <n v="878.72"/>
  </r>
  <r>
    <x v="11"/>
    <x v="1"/>
    <x v="0"/>
    <s v="5841200"/>
    <n v="721410"/>
    <s v="Supplies-Medical - Nonbillable"/>
    <s v="ENT Clinic-Shared Svc"/>
    <x v="0"/>
    <m/>
    <n v="670.36"/>
    <n v="1621.35"/>
    <n v="3686.18"/>
    <n v="1209.1500000000001"/>
    <n v="935.44"/>
    <n v="742.29"/>
    <n v="1735.51"/>
    <n v="1988.33"/>
    <n v="670.05"/>
    <n v="512.91"/>
    <n v="1774.28"/>
    <n v="3363.14"/>
    <n v="18908.990000000002"/>
    <n v="-1588.86"/>
  </r>
  <r>
    <x v="11"/>
    <x v="1"/>
    <x v="0"/>
    <s v="5841200"/>
    <n v="721810"/>
    <s v="Supplies-Dietary/Cafeteria"/>
    <s v="ENT Clinic-Shared Svc"/>
    <x v="0"/>
    <m/>
    <n v="115.14"/>
    <n v="115.14"/>
    <n v="0"/>
    <n v="0"/>
    <n v="113.27"/>
    <n v="0"/>
    <n v="0"/>
    <n v="0"/>
    <n v="0"/>
    <n v="0"/>
    <n v="0"/>
    <n v="0"/>
    <n v="343.55"/>
    <n v="0"/>
  </r>
  <r>
    <x v="11"/>
    <x v="1"/>
    <x v="0"/>
    <s v="5841200"/>
    <n v="721830"/>
    <s v="Supplies-Office"/>
    <s v="ENT Clinic-Shared Svc"/>
    <x v="0"/>
    <m/>
    <n v="90.79"/>
    <n v="41.09"/>
    <n v="0"/>
    <n v="193.62"/>
    <n v="50.37"/>
    <n v="88.8"/>
    <n v="372.97"/>
    <n v="103.35"/>
    <n v="294.82"/>
    <n v="0"/>
    <n v="0"/>
    <n v="0"/>
    <n v="1235.8100000000002"/>
    <n v="0"/>
  </r>
  <r>
    <x v="11"/>
    <x v="1"/>
    <x v="0"/>
    <s v="5841200"/>
    <n v="721835"/>
    <s v="Supplies-Forms"/>
    <s v="ENT Clinic-Shared Svc"/>
    <x v="0"/>
    <m/>
    <n v="0"/>
    <n v="0"/>
    <n v="0"/>
    <n v="0"/>
    <n v="0"/>
    <n v="0"/>
    <n v="0"/>
    <n v="0"/>
    <n v="0"/>
    <n v="0"/>
    <n v="0"/>
    <n v="3.82"/>
    <n v="3.82"/>
    <n v="-3.82"/>
  </r>
  <r>
    <x v="11"/>
    <x v="1"/>
    <x v="0"/>
    <s v="5841200"/>
    <n v="721870"/>
    <s v="Supplies-Environmental Services"/>
    <s v="ENT Clinic-Shared Svc"/>
    <x v="0"/>
    <m/>
    <n v="0"/>
    <n v="0"/>
    <n v="0"/>
    <n v="0"/>
    <n v="0"/>
    <n v="0"/>
    <n v="21"/>
    <n v="120.67"/>
    <n v="0"/>
    <n v="0"/>
    <n v="12.92"/>
    <n v="0"/>
    <n v="154.59"/>
    <n v="12.92"/>
  </r>
  <r>
    <x v="11"/>
    <x v="1"/>
    <x v="0"/>
    <s v="5841200"/>
    <n v="721910"/>
    <s v="Supplies-Small Equipment"/>
    <s v="ENT Clinic-Shared Svc"/>
    <x v="0"/>
    <m/>
    <n v="0"/>
    <n v="888.57"/>
    <n v="0"/>
    <n v="562"/>
    <n v="119.2"/>
    <n v="729.82"/>
    <n v="551.46"/>
    <n v="0"/>
    <n v="0"/>
    <n v="39.32"/>
    <n v="493.9"/>
    <n v="531.87"/>
    <n v="3916.1400000000003"/>
    <n v="-37.970000000000027"/>
  </r>
  <r>
    <x v="11"/>
    <x v="1"/>
    <x v="0"/>
    <s v="5841200"/>
    <n v="721980"/>
    <s v="Supplies-Other"/>
    <s v="ENT Clinic-Shared Svc"/>
    <x v="0"/>
    <m/>
    <n v="0"/>
    <n v="0"/>
    <n v="33.020000000000003"/>
    <n v="0"/>
    <n v="0"/>
    <n v="0"/>
    <n v="0"/>
    <n v="0"/>
    <n v="0"/>
    <n v="0"/>
    <n v="0"/>
    <n v="0"/>
    <n v="33.020000000000003"/>
    <n v="0"/>
  </r>
  <r>
    <x v="11"/>
    <x v="1"/>
    <x v="0"/>
    <s v="5841200"/>
    <n v="722000"/>
    <s v="Supplies-Freight Expense"/>
    <s v="ENT Clinic-Shared Svc"/>
    <x v="0"/>
    <m/>
    <n v="-11.51"/>
    <n v="0"/>
    <n v="17.28"/>
    <n v="0"/>
    <n v="0"/>
    <n v="0"/>
    <n v="8"/>
    <n v="0"/>
    <n v="8.6"/>
    <n v="8.66"/>
    <n v="32.950000000000003"/>
    <n v="34.69"/>
    <n v="98.67"/>
    <n v="-1.7399999999999949"/>
  </r>
  <r>
    <x v="12"/>
    <x v="1"/>
    <x v="0"/>
    <s v="5841200"/>
    <n v="730010"/>
    <s v="Rental and Leases-Building (DO NOT USE)"/>
    <s v="ENT Clinic-Shared Svc"/>
    <x v="0"/>
    <m/>
    <n v="28409.42"/>
    <n v="28810.03"/>
    <n v="28460.18"/>
    <n v="29159.88"/>
    <n v="28810.03"/>
    <n v="21373.07"/>
    <n v="28499.74"/>
    <n v="28499.74"/>
    <n v="28499.74"/>
    <n v="28502.53"/>
    <n v="28552.59"/>
    <n v="0"/>
    <n v="307576.95"/>
    <n v="28552.59"/>
  </r>
  <r>
    <x v="12"/>
    <x v="1"/>
    <x v="0"/>
    <s v="5841200"/>
    <n v="730010"/>
    <s v="Rental-Common Area Maint (DO NOT USE)"/>
    <s v="ENT Clinic-Shared Svc"/>
    <x v="0"/>
    <n v="2200"/>
    <n v="0"/>
    <n v="0"/>
    <n v="0"/>
    <n v="0"/>
    <n v="0"/>
    <n v="7195.82"/>
    <n v="1379.59"/>
    <n v="1379.59"/>
    <n v="1284.43"/>
    <n v="-3772.88"/>
    <n v="1379.59"/>
    <n v="0"/>
    <n v="8846.14"/>
    <n v="1379.59"/>
  </r>
  <r>
    <x v="12"/>
    <x v="1"/>
    <x v="0"/>
    <s v="5841200"/>
    <n v="730020"/>
    <s v="Rental and Leases-Copier Usage Fees (DO NOT USE)"/>
    <s v="ENT Clinic-Shared Svc"/>
    <x v="0"/>
    <n v="5100"/>
    <n v="475.76"/>
    <n v="487.83"/>
    <n v="481.79"/>
    <n v="481.79"/>
    <n v="481.79"/>
    <n v="481.79"/>
    <n v="-203.38"/>
    <n v="428.74"/>
    <n v="443.18"/>
    <n v="465.83"/>
    <n v="424.03"/>
    <n v="421.47"/>
    <n v="4870.62"/>
    <n v="2.5599999999999454"/>
  </r>
  <r>
    <x v="12"/>
    <x v="1"/>
    <x v="0"/>
    <s v="5841200"/>
    <n v="730040"/>
    <s v="LT Lease-Real Estate"/>
    <s v="ENT Clinic-Shared Svc"/>
    <x v="0"/>
    <m/>
    <n v="0"/>
    <n v="0"/>
    <n v="0"/>
    <n v="0"/>
    <n v="0"/>
    <n v="0"/>
    <n v="0"/>
    <n v="0"/>
    <n v="0"/>
    <n v="0"/>
    <n v="0"/>
    <n v="29933.91"/>
    <n v="29933.91"/>
    <n v="-29933.91"/>
  </r>
  <r>
    <x v="15"/>
    <x v="1"/>
    <x v="0"/>
    <s v="5841200"/>
    <n v="731060"/>
    <s v="Pagers"/>
    <s v="ENT Clinic-Shared Svc"/>
    <x v="0"/>
    <n v="1002"/>
    <n v="32.4"/>
    <n v="32.4"/>
    <n v="32.4"/>
    <n v="32.479999999999997"/>
    <n v="32.479999999999997"/>
    <n v="0"/>
    <n v="64.959999999999994"/>
    <n v="32.479999999999997"/>
    <n v="32.479999999999997"/>
    <n v="32.479999999999997"/>
    <n v="32.479999999999997"/>
    <n v="32.479999999999997"/>
    <n v="389.52000000000004"/>
    <n v="0"/>
  </r>
  <r>
    <x v="16"/>
    <x v="1"/>
    <x v="0"/>
    <s v="5841200"/>
    <n v="732015"/>
    <s v="Repairs-Clinical Equip-T&amp;M-Ext to CHI Programs"/>
    <s v="ENT Clinic-Shared Svc"/>
    <x v="0"/>
    <m/>
    <n v="0"/>
    <n v="0"/>
    <n v="0"/>
    <n v="0"/>
    <n v="0"/>
    <n v="0"/>
    <n v="0"/>
    <n v="1756.1"/>
    <n v="0"/>
    <n v="0"/>
    <n v="0"/>
    <n v="0"/>
    <n v="1756.1"/>
    <n v="0"/>
  </r>
  <r>
    <x v="16"/>
    <x v="1"/>
    <x v="0"/>
    <s v="5841200"/>
    <n v="732030"/>
    <s v="Repairs---Other"/>
    <s v="ENT Clinic-Shared Svc"/>
    <x v="0"/>
    <m/>
    <n v="0"/>
    <n v="0"/>
    <n v="0"/>
    <n v="0"/>
    <n v="81.78"/>
    <n v="0"/>
    <n v="1508.59"/>
    <n v="0"/>
    <n v="0"/>
    <n v="0"/>
    <n v="0"/>
    <n v="667.08"/>
    <n v="2257.4499999999998"/>
    <n v="-667.08"/>
  </r>
  <r>
    <x v="13"/>
    <x v="1"/>
    <x v="0"/>
    <s v="5841200"/>
    <n v="735070"/>
    <s v="Depreciation-Movable Equipment"/>
    <s v="ENT Clinic-Shared Svc"/>
    <x v="0"/>
    <m/>
    <n v="6659.94"/>
    <n v="6659.93"/>
    <n v="6659.98"/>
    <n v="6659.92"/>
    <n v="5603.38"/>
    <n v="5467.97"/>
    <n v="5468.08"/>
    <n v="5467.96"/>
    <n v="5468.09"/>
    <n v="5467.95"/>
    <n v="5468.1"/>
    <n v="5467.89"/>
    <n v="70519.19"/>
    <n v="0.21000000000003638"/>
  </r>
  <r>
    <x v="0"/>
    <x v="1"/>
    <x v="0"/>
    <s v="5841200"/>
    <n v="740020"/>
    <s v="Education-Registration Fees"/>
    <s v="ENT Clinic-Shared Svc"/>
    <x v="0"/>
    <m/>
    <n v="0"/>
    <n v="0"/>
    <n v="0"/>
    <n v="0"/>
    <n v="0"/>
    <n v="0"/>
    <n v="0"/>
    <n v="0"/>
    <n v="0"/>
    <n v="0"/>
    <n v="45"/>
    <n v="0"/>
    <n v="45"/>
    <n v="45"/>
  </r>
  <r>
    <x v="0"/>
    <x v="1"/>
    <x v="0"/>
    <s v="5841200"/>
    <n v="742010"/>
    <s v="Postage-Regular"/>
    <s v="ENT Clinic-Shared Svc"/>
    <x v="0"/>
    <m/>
    <n v="0"/>
    <n v="0"/>
    <n v="0"/>
    <n v="0"/>
    <n v="0"/>
    <n v="28"/>
    <n v="0"/>
    <n v="0"/>
    <n v="0"/>
    <n v="0"/>
    <n v="0"/>
    <n v="0"/>
    <n v="28"/>
    <n v="0"/>
  </r>
  <r>
    <x v="0"/>
    <x v="1"/>
    <x v="0"/>
    <s v="5841200"/>
    <n v="742040"/>
    <s v="Freight-Other"/>
    <s v="ENT Clinic-Shared Svc"/>
    <x v="0"/>
    <m/>
    <n v="0"/>
    <n v="0"/>
    <n v="0"/>
    <n v="0"/>
    <n v="237.92"/>
    <n v="0"/>
    <n v="5.57"/>
    <n v="0"/>
    <n v="0"/>
    <n v="0"/>
    <n v="0"/>
    <n v="15.5"/>
    <n v="258.99"/>
    <n v="-15.5"/>
  </r>
  <r>
    <x v="0"/>
    <x v="1"/>
    <x v="0"/>
    <s v="5841200"/>
    <n v="743020"/>
    <s v="Provider-Dues"/>
    <s v="ENT Clinic-Shared Svc"/>
    <x v="0"/>
    <n v="2200"/>
    <n v="0"/>
    <n v="0"/>
    <n v="0"/>
    <n v="0"/>
    <n v="280"/>
    <n v="0"/>
    <n v="640"/>
    <n v="695"/>
    <n v="0"/>
    <n v="0"/>
    <n v="0"/>
    <n v="0"/>
    <n v="1615"/>
    <n v="0"/>
  </r>
  <r>
    <x v="0"/>
    <x v="1"/>
    <x v="0"/>
    <s v="5841200"/>
    <n v="749510"/>
    <s v="Miscellaneous Expenses"/>
    <s v="ENT Clinic-Shared Svc"/>
    <x v="0"/>
    <m/>
    <n v="0"/>
    <n v="95.22"/>
    <n v="514.78"/>
    <n v="0"/>
    <n v="0"/>
    <n v="0"/>
    <n v="98.1"/>
    <n v="-98.1"/>
    <n v="0"/>
    <n v="0"/>
    <n v="0"/>
    <n v="0"/>
    <n v="610"/>
    <n v="0"/>
  </r>
  <r>
    <x v="0"/>
    <x v="1"/>
    <x v="0"/>
    <s v="5841200"/>
    <n v="749510"/>
    <s v="Licenses"/>
    <s v="ENT Clinic-Shared Svc"/>
    <x v="0"/>
    <n v="1002"/>
    <n v="0"/>
    <n v="0"/>
    <n v="530"/>
    <n v="0"/>
    <n v="0"/>
    <n v="199"/>
    <n v="38.75"/>
    <n v="0"/>
    <n v="0"/>
    <n v="0"/>
    <n v="0"/>
    <n v="0"/>
    <n v="767.75"/>
    <n v="0"/>
  </r>
  <r>
    <x v="0"/>
    <x v="1"/>
    <x v="0"/>
    <s v="5841200"/>
    <n v="749510"/>
    <s v="RICE Rewards"/>
    <s v="ENT Clinic-Shared Svc"/>
    <x v="0"/>
    <n v="5100"/>
    <n v="0"/>
    <n v="0"/>
    <n v="0"/>
    <n v="0"/>
    <n v="0"/>
    <n v="0"/>
    <n v="0"/>
    <n v="0"/>
    <n v="0"/>
    <n v="421.41"/>
    <n v="0"/>
    <n v="458.94"/>
    <n v="880.35"/>
    <n v="-458.94"/>
  </r>
  <r>
    <x v="0"/>
    <x v="1"/>
    <x v="0"/>
    <s v="5841200"/>
    <n v="749530"/>
    <s v="Mileage"/>
    <s v="ENT Clinic-Shared Svc"/>
    <x v="0"/>
    <n v="1001"/>
    <n v="0"/>
    <n v="0"/>
    <n v="0"/>
    <n v="0"/>
    <n v="0"/>
    <n v="0"/>
    <n v="0"/>
    <n v="24.94"/>
    <n v="0"/>
    <n v="0"/>
    <n v="0"/>
    <n v="0"/>
    <n v="24.94"/>
    <n v="0"/>
  </r>
  <r>
    <x v="0"/>
    <x v="1"/>
    <x v="0"/>
    <s v="5841200"/>
    <n v="749535"/>
    <s v="Meetings"/>
    <s v="ENT Clinic-Shared Svc"/>
    <x v="0"/>
    <m/>
    <n v="0"/>
    <n v="0"/>
    <n v="0"/>
    <n v="0"/>
    <n v="0"/>
    <n v="190.04"/>
    <n v="0"/>
    <n v="73.16"/>
    <n v="0"/>
    <n v="109.74"/>
    <n v="113.01"/>
    <n v="179.39"/>
    <n v="665.33999999999992"/>
    <n v="-66.379999999999981"/>
  </r>
  <r>
    <x v="0"/>
    <x v="1"/>
    <x v="0"/>
    <s v="5841200"/>
    <n v="766010"/>
    <s v="Property Tax"/>
    <s v="ENT Clinic-Shared Svc"/>
    <x v="0"/>
    <m/>
    <n v="212.4"/>
    <n v="212.4"/>
    <n v="212.4"/>
    <n v="212.4"/>
    <n v="212.4"/>
    <n v="212.4"/>
    <n v="212.4"/>
    <n v="212.4"/>
    <n v="212.4"/>
    <n v="-6.15"/>
    <n v="157.76"/>
    <n v="157.76"/>
    <n v="2220.9700000000003"/>
    <n v="0"/>
  </r>
  <r>
    <x v="5"/>
    <x v="1"/>
    <x v="0"/>
    <s v="5842200"/>
    <n v="700038"/>
    <s v="Salaries-Service/Support-Productive"/>
    <s v="Hospitalist-Ortho-Radiology"/>
    <x v="0"/>
    <m/>
    <n v="4491.1899999999996"/>
    <n v="3877.2"/>
    <n v="2537.86"/>
    <n v="3967.97"/>
    <n v="2868.44"/>
    <n v="3114.82"/>
    <n v="3501.78"/>
    <n v="2952.98"/>
    <n v="3779.32"/>
    <n v="3942.29"/>
    <n v="3529.12"/>
    <n v="3511.89"/>
    <n v="42074.86"/>
    <n v="17.230000000000018"/>
  </r>
  <r>
    <x v="5"/>
    <x v="1"/>
    <x v="0"/>
    <s v="5842200"/>
    <n v="700038"/>
    <s v="Salaries-Service/Support-OT"/>
    <s v="Hospitalist-Ortho-Radiology"/>
    <x v="0"/>
    <n v="1000"/>
    <n v="332.1"/>
    <n v="-38.58"/>
    <n v="50.31"/>
    <n v="428.11"/>
    <n v="333.5"/>
    <n v="77.36"/>
    <n v="72.3"/>
    <n v="39.61"/>
    <n v="51.66"/>
    <n v="222.07"/>
    <n v="208.32"/>
    <n v="25.83"/>
    <n v="1802.5899999999997"/>
    <n v="182.49"/>
  </r>
  <r>
    <x v="5"/>
    <x v="1"/>
    <x v="0"/>
    <s v="5842200"/>
    <n v="700078"/>
    <s v="Salaries-Service/Support-Non-productive"/>
    <s v="Hospitalist-Ortho-Radiology"/>
    <x v="0"/>
    <m/>
    <n v="1173.0899999999999"/>
    <n v="0.89"/>
    <n v="1039.74"/>
    <n v="335.63"/>
    <n v="1136.8399999999999"/>
    <n v="820.53"/>
    <n v="773.6"/>
    <n v="682.87"/>
    <n v="103.29"/>
    <n v="126.25"/>
    <n v="791.9"/>
    <n v="355.78"/>
    <n v="7340.41"/>
    <n v="436.12"/>
  </r>
  <r>
    <x v="5"/>
    <x v="1"/>
    <x v="0"/>
    <s v="5842200"/>
    <n v="700078"/>
    <s v="Salaries-Service/Support-NonProd-Other"/>
    <s v="Hospitalist-Ortho-Radiology"/>
    <x v="0"/>
    <n v="2000"/>
    <n v="0"/>
    <n v="0"/>
    <n v="0"/>
    <n v="0"/>
    <n v="0"/>
    <n v="0"/>
    <n v="0"/>
    <n v="16.059999999999999"/>
    <n v="-4.58"/>
    <n v="0"/>
    <n v="11.48"/>
    <n v="0"/>
    <n v="22.96"/>
    <n v="11.48"/>
  </r>
  <r>
    <x v="5"/>
    <x v="1"/>
    <x v="0"/>
    <s v="5842200"/>
    <n v="700084"/>
    <s v="Accrued PTO"/>
    <s v="Hospitalist-Ortho-Radiology"/>
    <x v="0"/>
    <m/>
    <n v="-72.23"/>
    <n v="385.49"/>
    <n v="-602.38"/>
    <n v="317.60000000000002"/>
    <n v="-48.13"/>
    <n v="-22.46"/>
    <n v="-116.66"/>
    <n v="-51.12"/>
    <n v="302.32"/>
    <n v="278.25"/>
    <n v="-105.43"/>
    <n v="224.38"/>
    <n v="489.63"/>
    <n v="-329.81"/>
  </r>
  <r>
    <x v="6"/>
    <x v="1"/>
    <x v="0"/>
    <s v="5842200"/>
    <n v="713010"/>
    <s v="Benefits-FICA/Medicare"/>
    <s v="Hospitalist-Ortho-Radiology"/>
    <x v="0"/>
    <m/>
    <n v="448.57"/>
    <n v="283.98"/>
    <n v="268.95"/>
    <n v="352.12"/>
    <n v="322.49"/>
    <n v="298.67"/>
    <n v="322.08999999999997"/>
    <n v="273.31"/>
    <n v="291.05"/>
    <n v="318.19"/>
    <n v="336.88"/>
    <n v="288.74"/>
    <n v="3805.04"/>
    <n v="48.139999999999986"/>
  </r>
  <r>
    <x v="6"/>
    <x v="1"/>
    <x v="0"/>
    <s v="5842200"/>
    <n v="713090"/>
    <s v="Benefits-Allocated Amounts"/>
    <s v="Hospitalist-Ortho-Radiology"/>
    <x v="0"/>
    <m/>
    <n v="1577.23"/>
    <n v="980.49"/>
    <n v="1061"/>
    <n v="1181.21"/>
    <n v="1112.97"/>
    <n v="1230.8699999999999"/>
    <n v="1259.5999999999999"/>
    <n v="1218.31"/>
    <n v="1076.48"/>
    <n v="1277.96"/>
    <n v="1261.69"/>
    <n v="1257.8499999999999"/>
    <n v="14495.66"/>
    <n v="3.8400000000001455"/>
  </r>
  <r>
    <x v="7"/>
    <x v="1"/>
    <x v="0"/>
    <s v="5842200"/>
    <n v="718050"/>
    <s v="Physician Answering"/>
    <s v="Hospitalist-Ortho-Radiology"/>
    <x v="0"/>
    <n v="1015"/>
    <n v="221.8"/>
    <n v="381.6"/>
    <n v="341.8"/>
    <n v="96"/>
    <n v="388.2"/>
    <n v="402.8"/>
    <n v="505"/>
    <n v="488.4"/>
    <n v="325.8"/>
    <n v="449.4"/>
    <n v="549.4"/>
    <n v="505.2"/>
    <n v="4655.3999999999996"/>
    <n v="44.199999999999989"/>
  </r>
  <r>
    <x v="7"/>
    <x v="1"/>
    <x v="0"/>
    <s v="5842200"/>
    <n v="718050"/>
    <s v="Translation Services"/>
    <s v="Hospitalist-Ortho-Radiology"/>
    <x v="0"/>
    <n v="1025"/>
    <n v="0"/>
    <n v="0"/>
    <n v="100.5"/>
    <n v="0"/>
    <n v="64"/>
    <n v="64"/>
    <n v="0"/>
    <n v="96"/>
    <n v="0"/>
    <n v="0"/>
    <n v="0"/>
    <n v="0"/>
    <n v="324.5"/>
    <n v="0"/>
  </r>
  <r>
    <x v="7"/>
    <x v="1"/>
    <x v="0"/>
    <s v="5842200"/>
    <n v="718070"/>
    <s v="Contract Srvcs-CHI Clinical Engineering"/>
    <s v="Hospitalist-Ortho-Radiology"/>
    <x v="0"/>
    <m/>
    <n v="0"/>
    <n v="0"/>
    <n v="0"/>
    <n v="0"/>
    <n v="0"/>
    <n v="0"/>
    <n v="0"/>
    <n v="0"/>
    <n v="0"/>
    <n v="0"/>
    <n v="990.9"/>
    <n v="240.6"/>
    <n v="1231.5"/>
    <n v="750.3"/>
  </r>
  <r>
    <x v="11"/>
    <x v="1"/>
    <x v="0"/>
    <s v="5842200"/>
    <n v="721150"/>
    <s v="Supplies-Other Implants - Billable"/>
    <s v="Hospitalist-Ortho-Radiology"/>
    <x v="0"/>
    <m/>
    <n v="0"/>
    <n v="0"/>
    <n v="0"/>
    <n v="0"/>
    <n v="317.08999999999997"/>
    <n v="-29.09"/>
    <n v="0"/>
    <n v="0"/>
    <n v="0"/>
    <n v="0"/>
    <n v="0"/>
    <n v="0"/>
    <n v="288"/>
    <n v="0"/>
  </r>
  <r>
    <x v="11"/>
    <x v="1"/>
    <x v="0"/>
    <s v="5842200"/>
    <n v="721835"/>
    <s v="Supplies-Forms"/>
    <s v="Hospitalist-Ortho-Radiology"/>
    <x v="0"/>
    <m/>
    <n v="0"/>
    <n v="0"/>
    <n v="0"/>
    <n v="0"/>
    <n v="0"/>
    <n v="0"/>
    <n v="0"/>
    <n v="0"/>
    <n v="0"/>
    <n v="0"/>
    <n v="0"/>
    <n v="8"/>
    <n v="8"/>
    <n v="-8"/>
  </r>
  <r>
    <x v="11"/>
    <x v="1"/>
    <x v="0"/>
    <s v="5842200"/>
    <n v="721910"/>
    <s v="Supplies-Small Equipment"/>
    <s v="Hospitalist-Ortho-Radiology"/>
    <x v="0"/>
    <m/>
    <n v="0"/>
    <n v="0"/>
    <n v="0"/>
    <n v="0"/>
    <n v="0"/>
    <n v="0"/>
    <n v="0"/>
    <n v="865.31"/>
    <n v="87.39"/>
    <n v="0"/>
    <n v="0"/>
    <n v="0"/>
    <n v="952.69999999999993"/>
    <n v="0"/>
  </r>
  <r>
    <x v="11"/>
    <x v="1"/>
    <x v="0"/>
    <s v="5842200"/>
    <n v="722000"/>
    <s v="Supplies-Freight Expense"/>
    <s v="Hospitalist-Ortho-Radiology"/>
    <x v="0"/>
    <m/>
    <n v="0"/>
    <n v="0"/>
    <n v="0"/>
    <n v="0"/>
    <n v="0"/>
    <n v="0"/>
    <n v="8"/>
    <n v="0"/>
    <n v="0"/>
    <n v="0"/>
    <n v="0"/>
    <n v="0"/>
    <n v="8"/>
    <n v="0"/>
  </r>
  <r>
    <x v="12"/>
    <x v="1"/>
    <x v="0"/>
    <s v="5842200"/>
    <n v="730010"/>
    <s v="Rental and Leases-Building (DO NOT USE)"/>
    <s v="Hospitalist-Ortho-Radiology"/>
    <x v="0"/>
    <m/>
    <n v="20589.97"/>
    <n v="20589.97"/>
    <n v="20589.97"/>
    <n v="20589.97"/>
    <n v="20589.97"/>
    <n v="-3143.82"/>
    <n v="16966.990000000002"/>
    <n v="16966.990000000002"/>
    <n v="16966.990000000002"/>
    <n v="16976.77"/>
    <n v="16976.77"/>
    <n v="0"/>
    <n v="184660.53999999998"/>
    <n v="16976.77"/>
  </r>
  <r>
    <x v="12"/>
    <x v="1"/>
    <x v="0"/>
    <s v="5842200"/>
    <n v="730010"/>
    <s v="Rental-Common Area Maint (DO NOT USE)"/>
    <s v="Hospitalist-Ortho-Radiology"/>
    <x v="0"/>
    <n v="2200"/>
    <n v="0"/>
    <n v="0"/>
    <n v="0"/>
    <n v="0"/>
    <n v="0"/>
    <n v="23733.79"/>
    <n v="3955.67"/>
    <n v="3955.67"/>
    <n v="3955.67"/>
    <n v="3955.67"/>
    <n v="3955.67"/>
    <n v="3955.67"/>
    <n v="47467.80999999999"/>
    <n v="0"/>
  </r>
  <r>
    <x v="12"/>
    <x v="1"/>
    <x v="0"/>
    <s v="5842200"/>
    <n v="730040"/>
    <s v="LT Lease-Real Estate"/>
    <s v="Hospitalist-Ortho-Radiology"/>
    <x v="0"/>
    <m/>
    <n v="0"/>
    <n v="0"/>
    <n v="0"/>
    <n v="0"/>
    <n v="0"/>
    <n v="0"/>
    <n v="0"/>
    <n v="0"/>
    <n v="0"/>
    <n v="0"/>
    <n v="0"/>
    <n v="16976.77"/>
    <n v="16976.77"/>
    <n v="-16976.77"/>
  </r>
  <r>
    <x v="15"/>
    <x v="1"/>
    <x v="0"/>
    <s v="5842200"/>
    <n v="731060"/>
    <s v="Telephone"/>
    <s v="Hospitalist-Ortho-Radiology"/>
    <x v="0"/>
    <m/>
    <n v="684.1"/>
    <n v="712.08"/>
    <n v="697.85"/>
    <n v="700.4"/>
    <n v="699.84"/>
    <n v="987.82"/>
    <n v="787.28"/>
    <n v="787.28"/>
    <n v="787.28"/>
    <n v="785.96"/>
    <n v="785.96"/>
    <n v="785.96"/>
    <n v="9201.8099999999977"/>
    <n v="0"/>
  </r>
  <r>
    <x v="5"/>
    <x v="1"/>
    <x v="0"/>
    <s v="5843200"/>
    <n v="700014"/>
    <s v="Salaries-Management-Productive"/>
    <s v="Gastroenterology-Shared Svc"/>
    <x v="0"/>
    <m/>
    <n v="14434.36"/>
    <n v="13934.94"/>
    <n v="11804.62"/>
    <n v="18416.16"/>
    <n v="16596.8"/>
    <n v="13118.76"/>
    <n v="13182.82"/>
    <n v="14602.91"/>
    <n v="15123.44"/>
    <n v="11464.36"/>
    <n v="20965.23"/>
    <n v="12493.34"/>
    <n v="176137.74"/>
    <n v="8471.89"/>
  </r>
  <r>
    <x v="5"/>
    <x v="1"/>
    <x v="0"/>
    <s v="5843200"/>
    <n v="700018"/>
    <s v="Salaries-Supervisory-Productive"/>
    <s v="Gastroenterology-Shared Svc"/>
    <x v="0"/>
    <m/>
    <n v="8233.99"/>
    <n v="7951.74"/>
    <n v="8810.24"/>
    <n v="10159.6"/>
    <n v="10190.25"/>
    <n v="6466.73"/>
    <n v="9396.5400000000009"/>
    <n v="8612.16"/>
    <n v="9552.4599999999991"/>
    <n v="7977.51"/>
    <n v="9990.6200000000008"/>
    <n v="8793.52"/>
    <n v="106135.35999999999"/>
    <n v="1197.1000000000004"/>
  </r>
  <r>
    <x v="5"/>
    <x v="1"/>
    <x v="0"/>
    <s v="5843200"/>
    <n v="700032"/>
    <s v="Salaries-Other Pat Care Providers-Productive"/>
    <s v="Gastroenterology-Shared Svc"/>
    <x v="0"/>
    <m/>
    <n v="0"/>
    <n v="0"/>
    <n v="0"/>
    <n v="0"/>
    <n v="0"/>
    <n v="0"/>
    <n v="556.79"/>
    <n v="-159.08000000000001"/>
    <n v="0"/>
    <n v="0"/>
    <n v="0"/>
    <n v="0"/>
    <n v="397.70999999999992"/>
    <n v="0"/>
  </r>
  <r>
    <x v="5"/>
    <x v="1"/>
    <x v="0"/>
    <s v="5843200"/>
    <n v="700032"/>
    <s v="Salaries-Other Pat Care Providers-Other"/>
    <s v="Gastroenterology-Shared Svc"/>
    <x v="0"/>
    <n v="2000"/>
    <n v="0"/>
    <n v="0"/>
    <n v="0"/>
    <n v="0"/>
    <n v="0"/>
    <n v="0"/>
    <n v="26.29"/>
    <n v="-7.51"/>
    <n v="0"/>
    <n v="0"/>
    <n v="0"/>
    <n v="0"/>
    <n v="18.78"/>
    <n v="0"/>
  </r>
  <r>
    <x v="5"/>
    <x v="1"/>
    <x v="0"/>
    <s v="5843200"/>
    <n v="700038"/>
    <s v="Salaries-Service/Support-Productive"/>
    <s v="Gastroenterology-Shared Svc"/>
    <x v="0"/>
    <m/>
    <n v="80891.539999999994"/>
    <n v="88590.6"/>
    <n v="73399.490000000005"/>
    <n v="88602.61"/>
    <n v="84395.09"/>
    <n v="70068.67"/>
    <n v="88749.93"/>
    <n v="76659.44"/>
    <n v="81140.98"/>
    <n v="81326.179999999993"/>
    <n v="88676.800000000003"/>
    <n v="76158.350000000006"/>
    <n v="978659.67999999982"/>
    <n v="12518.449999999997"/>
  </r>
  <r>
    <x v="5"/>
    <x v="1"/>
    <x v="0"/>
    <s v="5843200"/>
    <n v="700038"/>
    <s v="Salaries-Service/Support-OT"/>
    <s v="Gastroenterology-Shared Svc"/>
    <x v="0"/>
    <n v="1000"/>
    <n v="398.62"/>
    <n v="636.77"/>
    <n v="650.97"/>
    <n v="502.11"/>
    <n v="316.97000000000003"/>
    <n v="1939.53"/>
    <n v="505.76"/>
    <n v="935.19"/>
    <n v="4332.08"/>
    <n v="7722.44"/>
    <n v="5271.62"/>
    <n v="321.05"/>
    <n v="23533.109999999997"/>
    <n v="4950.57"/>
  </r>
  <r>
    <x v="5"/>
    <x v="1"/>
    <x v="0"/>
    <s v="5843200"/>
    <n v="700038"/>
    <s v="Salaries-Service/Support-Other"/>
    <s v="Gastroenterology-Shared Svc"/>
    <x v="0"/>
    <n v="2000"/>
    <n v="0"/>
    <n v="7.25"/>
    <n v="26.99"/>
    <n v="-5.74"/>
    <n v="0"/>
    <n v="132.75"/>
    <n v="0"/>
    <n v="22.09"/>
    <n v="90.34"/>
    <n v="192.1"/>
    <n v="60"/>
    <n v="9.76"/>
    <n v="535.54"/>
    <n v="50.24"/>
  </r>
  <r>
    <x v="5"/>
    <x v="1"/>
    <x v="0"/>
    <s v="5843200"/>
    <n v="700054"/>
    <s v="Salaries-Management-Non-productive"/>
    <s v="Gastroenterology-Shared Svc"/>
    <x v="0"/>
    <m/>
    <n v="5072.43"/>
    <n v="3730.91"/>
    <n v="3556.98"/>
    <n v="-295.27999999999997"/>
    <n v="857.12"/>
    <n v="3541.79"/>
    <n v="5092.3999999999996"/>
    <n v="1287.57"/>
    <n v="1561.56"/>
    <n v="6015.15"/>
    <n v="-2691.15"/>
    <n v="3397.14"/>
    <n v="31126.619999999995"/>
    <n v="-6088.29"/>
  </r>
  <r>
    <x v="5"/>
    <x v="1"/>
    <x v="0"/>
    <s v="5843200"/>
    <n v="700054"/>
    <s v="Salaries-Management-NonProd-Other"/>
    <s v="Gastroenterology-Shared Svc"/>
    <x v="0"/>
    <n v="2000"/>
    <n v="0"/>
    <n v="0"/>
    <n v="0"/>
    <n v="0"/>
    <n v="0"/>
    <n v="4258.92"/>
    <n v="-4258.92"/>
    <n v="0"/>
    <n v="0"/>
    <n v="0"/>
    <n v="0"/>
    <n v="0"/>
    <n v="0"/>
    <n v="0"/>
  </r>
  <r>
    <x v="5"/>
    <x v="1"/>
    <x v="0"/>
    <s v="5843200"/>
    <n v="700058"/>
    <s v="Salaries-Supervisory-Non-productive"/>
    <s v="Gastroenterology-Shared Svc"/>
    <x v="0"/>
    <m/>
    <n v="1732.87"/>
    <n v="2468.1999999999998"/>
    <n v="250.56"/>
    <n v="479.19"/>
    <n v="44.16"/>
    <n v="3302.45"/>
    <n v="1319.41"/>
    <n v="705.5"/>
    <n v="231.07"/>
    <n v="2271.89"/>
    <n v="724.68"/>
    <n v="524.12"/>
    <n v="14054.1"/>
    <n v="200.55999999999995"/>
  </r>
  <r>
    <x v="5"/>
    <x v="1"/>
    <x v="0"/>
    <s v="5843200"/>
    <n v="700078"/>
    <s v="Salaries-Service/Support-Non-productive"/>
    <s v="Gastroenterology-Shared Svc"/>
    <x v="0"/>
    <m/>
    <n v="15734.47"/>
    <n v="11184.28"/>
    <n v="10066.68"/>
    <n v="9353.66"/>
    <n v="7028.83"/>
    <n v="20196.36"/>
    <n v="9893.7000000000007"/>
    <n v="8210.84"/>
    <n v="4930.3900000000003"/>
    <n v="5382.4"/>
    <n v="7565.78"/>
    <n v="14862.73"/>
    <n v="124410.11999999998"/>
    <n v="-7296.95"/>
  </r>
  <r>
    <x v="5"/>
    <x v="1"/>
    <x v="0"/>
    <s v="5843200"/>
    <n v="700078"/>
    <s v="Salaries-Service/Support-NonProd-Other"/>
    <s v="Gastroenterology-Shared Svc"/>
    <x v="0"/>
    <n v="2000"/>
    <n v="0"/>
    <n v="10.69"/>
    <n v="0"/>
    <n v="0"/>
    <n v="443.49"/>
    <n v="13.25"/>
    <n v="-1.2"/>
    <n v="-414.97"/>
    <n v="29.79"/>
    <n v="0"/>
    <n v="5.62"/>
    <n v="33.08"/>
    <n v="119.74999999999999"/>
    <n v="-27.459999999999997"/>
  </r>
  <r>
    <x v="5"/>
    <x v="1"/>
    <x v="0"/>
    <s v="5843200"/>
    <n v="700084"/>
    <s v="Accrued PTO"/>
    <s v="Gastroenterology-Shared Svc"/>
    <x v="0"/>
    <m/>
    <n v="-4261.79"/>
    <n v="-3210.87"/>
    <n v="-2251.65"/>
    <n v="6708.16"/>
    <n v="5919.66"/>
    <n v="-8831.98"/>
    <n v="-1730.8"/>
    <n v="3434.53"/>
    <n v="6405.3"/>
    <n v="2767.06"/>
    <n v="6205.79"/>
    <n v="169.22"/>
    <n v="11322.63"/>
    <n v="6036.57"/>
  </r>
  <r>
    <x v="6"/>
    <x v="1"/>
    <x v="0"/>
    <s v="5843200"/>
    <n v="713010"/>
    <s v="Benefits-FICA/Medicare"/>
    <s v="Gastroenterology-Shared Svc"/>
    <x v="0"/>
    <m/>
    <n v="9329.17"/>
    <n v="9485.2099999999991"/>
    <n v="8004.52"/>
    <n v="9386.9599999999991"/>
    <n v="9079.19"/>
    <n v="9308.66"/>
    <n v="9791.64"/>
    <n v="8189.63"/>
    <n v="8743.02"/>
    <n v="9065.5499999999993"/>
    <n v="9965.2999999999993"/>
    <n v="8463.5400000000009"/>
    <n v="108812.39000000001"/>
    <n v="1501.7599999999984"/>
  </r>
  <r>
    <x v="6"/>
    <x v="1"/>
    <x v="0"/>
    <s v="5843200"/>
    <n v="713090"/>
    <s v="Benefits-Allocated Amounts"/>
    <s v="Gastroenterology-Shared Svc"/>
    <x v="0"/>
    <m/>
    <n v="32923.08"/>
    <n v="29452.94"/>
    <n v="30260.41"/>
    <n v="31291.53"/>
    <n v="30535.98"/>
    <n v="31458.240000000002"/>
    <n v="36280.959999999999"/>
    <n v="34217.53"/>
    <n v="32602.05"/>
    <n v="32979.919999999998"/>
    <n v="34068.36"/>
    <n v="35475.980000000003"/>
    <n v="391546.97999999992"/>
    <n v="-1407.6200000000026"/>
  </r>
  <r>
    <x v="6"/>
    <x v="1"/>
    <x v="0"/>
    <s v="5843200"/>
    <n v="713096"/>
    <s v="Employee Recognition"/>
    <s v="Gastroenterology-Shared Svc"/>
    <x v="0"/>
    <n v="1017"/>
    <n v="16.36"/>
    <n v="92.98"/>
    <n v="0"/>
    <n v="0"/>
    <n v="0"/>
    <n v="0"/>
    <n v="0"/>
    <n v="0"/>
    <n v="0"/>
    <n v="0"/>
    <n v="0"/>
    <n v="0"/>
    <n v="109.34"/>
    <n v="0"/>
  </r>
  <r>
    <x v="7"/>
    <x v="1"/>
    <x v="0"/>
    <s v="5843200"/>
    <n v="718010"/>
    <s v="Media/Print Advertising"/>
    <s v="Gastroenterology-Shared Svc"/>
    <x v="0"/>
    <n v="1004"/>
    <n v="175.33"/>
    <n v="0"/>
    <n v="175.33"/>
    <n v="0"/>
    <n v="1488.22"/>
    <n v="589.16"/>
    <n v="2698.29"/>
    <n v="0"/>
    <n v="385.57"/>
    <n v="327.17"/>
    <n v="2485.85"/>
    <n v="0"/>
    <n v="8324.92"/>
    <n v="2485.85"/>
  </r>
  <r>
    <x v="7"/>
    <x v="1"/>
    <x v="0"/>
    <s v="5843200"/>
    <n v="718050"/>
    <s v="Contract Svcs-Other"/>
    <s v="Gastroenterology-Shared Svc"/>
    <x v="0"/>
    <m/>
    <n v="639.54999999999995"/>
    <n v="3771.78"/>
    <n v="446.79"/>
    <n v="415.92"/>
    <n v="3843.5"/>
    <n v="45.09"/>
    <n v="735.26"/>
    <n v="5354.42"/>
    <n v="842.77"/>
    <n v="0"/>
    <n v="4018.17"/>
    <n v="3177.71"/>
    <n v="23290.959999999999"/>
    <n v="840.46"/>
  </r>
  <r>
    <x v="7"/>
    <x v="1"/>
    <x v="0"/>
    <s v="5843200"/>
    <n v="718050"/>
    <s v="Cleaning Services"/>
    <s v="Gastroenterology-Shared Svc"/>
    <x v="0"/>
    <n v="1011"/>
    <n v="2322"/>
    <n v="2322"/>
    <n v="2322"/>
    <n v="2322"/>
    <n v="2322"/>
    <n v="4052"/>
    <n v="592"/>
    <n v="609.76"/>
    <n v="609.76"/>
    <n v="2339.7600000000002"/>
    <n v="4809.76"/>
    <n v="3319.52"/>
    <n v="27942.560000000001"/>
    <n v="1490.2400000000002"/>
  </r>
  <r>
    <x v="7"/>
    <x v="1"/>
    <x v="0"/>
    <s v="5843200"/>
    <n v="718050"/>
    <s v="Document Shredding/Storage"/>
    <s v="Gastroenterology-Shared Svc"/>
    <x v="0"/>
    <n v="1012"/>
    <n v="1087.83"/>
    <n v="900.33"/>
    <n v="768.5"/>
    <n v="58.04"/>
    <n v="1192.04"/>
    <n v="20.49"/>
    <n v="1216.3499999999999"/>
    <n v="94.18"/>
    <n v="1240.3699999999999"/>
    <n v="-27.31"/>
    <n v="617.29999999999995"/>
    <n v="602.01"/>
    <n v="7770.13"/>
    <n v="15.289999999999964"/>
  </r>
  <r>
    <x v="7"/>
    <x v="1"/>
    <x v="0"/>
    <s v="5843200"/>
    <n v="718050"/>
    <s v="Physician Answering"/>
    <s v="Gastroenterology-Shared Svc"/>
    <x v="0"/>
    <n v="1015"/>
    <n v="4017.8"/>
    <n v="5803.8"/>
    <n v="5030.6000000000004"/>
    <n v="2685.6"/>
    <n v="7252.2"/>
    <n v="4720.6000000000004"/>
    <n v="6401.6"/>
    <n v="5651.4"/>
    <n v="5661"/>
    <n v="5704.8"/>
    <n v="5051"/>
    <n v="4624.2"/>
    <n v="62604.6"/>
    <n v="426.80000000000018"/>
  </r>
  <r>
    <x v="7"/>
    <x v="1"/>
    <x v="0"/>
    <s v="5843200"/>
    <n v="718050"/>
    <s v="Miscellaneous Purchased Svcs"/>
    <s v="Gastroenterology-Shared Svc"/>
    <x v="0"/>
    <n v="1020"/>
    <n v="225.5"/>
    <n v="64.2"/>
    <n v="544.94000000000005"/>
    <n v="517.41999999999996"/>
    <n v="825.76"/>
    <n v="463.13"/>
    <n v="391.57"/>
    <n v="335.61"/>
    <n v="579"/>
    <n v="698.14"/>
    <n v="1038.3399999999999"/>
    <n v="71.09"/>
    <n v="5754.7000000000007"/>
    <n v="967.24999999999989"/>
  </r>
  <r>
    <x v="7"/>
    <x v="1"/>
    <x v="0"/>
    <s v="5843200"/>
    <n v="718050"/>
    <s v="Translation Services"/>
    <s v="Gastroenterology-Shared Svc"/>
    <x v="0"/>
    <n v="1025"/>
    <n v="697.68"/>
    <n v="4830.49"/>
    <n v="34.020000000000003"/>
    <n v="12177.02"/>
    <n v="5431.51"/>
    <n v="7482.45"/>
    <n v="-4704.83"/>
    <n v="5583.85"/>
    <n v="182.36"/>
    <n v="15989.88"/>
    <n v="12048.75"/>
    <n v="-3091.36"/>
    <n v="56661.82"/>
    <n v="15140.11"/>
  </r>
  <r>
    <x v="7"/>
    <x v="1"/>
    <x v="0"/>
    <s v="5843200"/>
    <n v="718050"/>
    <s v="Contract Management--Linen"/>
    <s v="Gastroenterology-Shared Svc"/>
    <x v="0"/>
    <n v="1026"/>
    <n v="0"/>
    <n v="0"/>
    <n v="0"/>
    <n v="0"/>
    <n v="-32.92"/>
    <n v="0"/>
    <n v="0"/>
    <n v="0"/>
    <n v="0"/>
    <n v="0"/>
    <n v="0"/>
    <n v="0"/>
    <n v="-32.92"/>
    <n v="0"/>
  </r>
  <r>
    <x v="7"/>
    <x v="1"/>
    <x v="0"/>
    <s v="5843200"/>
    <n v="718050"/>
    <s v="Purchased Srvcs--Medical Waste"/>
    <s v="Gastroenterology-Shared Svc"/>
    <x v="0"/>
    <n v="1027"/>
    <n v="171.72"/>
    <n v="105.96"/>
    <n v="105.96"/>
    <n v="0"/>
    <n v="148.18"/>
    <n v="105.96"/>
    <n v="127.48"/>
    <n v="105.96"/>
    <n v="84.44"/>
    <n v="127.48"/>
    <n v="10.36"/>
    <n v="292.32"/>
    <n v="1385.82"/>
    <n v="-281.95999999999998"/>
  </r>
  <r>
    <x v="7"/>
    <x v="1"/>
    <x v="0"/>
    <s v="5843200"/>
    <n v="718070"/>
    <s v="Contract Srvcs-CHI Clinical Engineering"/>
    <s v="Gastroenterology-Shared Svc"/>
    <x v="0"/>
    <m/>
    <n v="0"/>
    <n v="0"/>
    <n v="551"/>
    <n v="0"/>
    <n v="517.5"/>
    <n v="1349.45"/>
    <n v="336.5"/>
    <n v="887"/>
    <n v="550.5"/>
    <n v="0"/>
    <n v="0"/>
    <n v="0"/>
    <n v="4191.95"/>
    <n v="0"/>
  </r>
  <r>
    <x v="11"/>
    <x v="1"/>
    <x v="0"/>
    <s v="5843200"/>
    <n v="721250"/>
    <s v="Supplies-Pharmacy Drugs - Billable"/>
    <s v="Gastroenterology-Shared Svc"/>
    <x v="0"/>
    <m/>
    <n v="13.68"/>
    <n v="0"/>
    <n v="635.5"/>
    <n v="399.28"/>
    <n v="38.58"/>
    <n v="0"/>
    <n v="2.2200000000000002"/>
    <n v="0"/>
    <n v="24.52"/>
    <n v="0"/>
    <n v="2071.1799999999998"/>
    <n v="0"/>
    <n v="3184.96"/>
    <n v="2071.1799999999998"/>
  </r>
  <r>
    <x v="11"/>
    <x v="1"/>
    <x v="0"/>
    <s v="5843200"/>
    <n v="721410"/>
    <s v="Supplies-Medical - Nonbillable"/>
    <s v="Gastroenterology-Shared Svc"/>
    <x v="0"/>
    <m/>
    <n v="0"/>
    <n v="0"/>
    <n v="38.479999999999997"/>
    <n v="3.23"/>
    <n v="0"/>
    <n v="0"/>
    <n v="0"/>
    <n v="0"/>
    <n v="-71.44"/>
    <n v="0"/>
    <n v="0"/>
    <n v="0"/>
    <n v="-29.730000000000004"/>
    <n v="0"/>
  </r>
  <r>
    <x v="11"/>
    <x v="1"/>
    <x v="0"/>
    <s v="5843200"/>
    <n v="721810"/>
    <s v="Supplies-Dietary/Cafeteria"/>
    <s v="Gastroenterology-Shared Svc"/>
    <x v="0"/>
    <m/>
    <n v="130.19999999999999"/>
    <n v="0"/>
    <n v="0"/>
    <n v="80.44"/>
    <n v="0"/>
    <n v="0"/>
    <n v="0"/>
    <n v="0"/>
    <n v="0"/>
    <n v="0"/>
    <n v="0"/>
    <n v="0"/>
    <n v="210.64"/>
    <n v="0"/>
  </r>
  <r>
    <x v="11"/>
    <x v="1"/>
    <x v="0"/>
    <s v="5843200"/>
    <n v="721830"/>
    <s v="Supplies-Office"/>
    <s v="Gastroenterology-Shared Svc"/>
    <x v="0"/>
    <m/>
    <n v="826.5"/>
    <n v="9475.2999999999993"/>
    <n v="1251.0899999999999"/>
    <n v="1428.55"/>
    <n v="1376.95"/>
    <n v="2218.61"/>
    <n v="1332.93"/>
    <n v="1156.44"/>
    <n v="1400.32"/>
    <n v="1567.04"/>
    <n v="1008.08"/>
    <n v="1370.74"/>
    <n v="24412.550000000003"/>
    <n v="-362.65999999999997"/>
  </r>
  <r>
    <x v="11"/>
    <x v="1"/>
    <x v="0"/>
    <s v="5843200"/>
    <n v="721835"/>
    <s v="Supplies-Forms"/>
    <s v="Gastroenterology-Shared Svc"/>
    <x v="0"/>
    <m/>
    <n v="0"/>
    <n v="0"/>
    <n v="0"/>
    <n v="0"/>
    <n v="645.5"/>
    <n v="474"/>
    <n v="131.97"/>
    <n v="0"/>
    <n v="115.6"/>
    <n v="1106.5999999999999"/>
    <n v="178.69"/>
    <n v="416.72"/>
    <n v="3069.08"/>
    <n v="-238.03000000000003"/>
  </r>
  <r>
    <x v="11"/>
    <x v="1"/>
    <x v="0"/>
    <s v="5843200"/>
    <n v="721870"/>
    <s v="Supplies-Environmental Services"/>
    <s v="Gastroenterology-Shared Svc"/>
    <x v="0"/>
    <m/>
    <n v="167.91"/>
    <n v="167.91"/>
    <n v="88.84"/>
    <n v="528.65"/>
    <n v="1249.23"/>
    <n v="400.41"/>
    <n v="2283.2800000000002"/>
    <n v="1081.43"/>
    <n v="1855.84"/>
    <n v="392.48"/>
    <n v="363.83"/>
    <n v="1838.12"/>
    <n v="10417.93"/>
    <n v="-1474.29"/>
  </r>
  <r>
    <x v="11"/>
    <x v="1"/>
    <x v="0"/>
    <s v="5843200"/>
    <n v="721910"/>
    <s v="Supplies-Small Equipment"/>
    <s v="Gastroenterology-Shared Svc"/>
    <x v="0"/>
    <m/>
    <n v="0"/>
    <n v="0"/>
    <n v="46.48"/>
    <n v="284.61"/>
    <n v="0"/>
    <n v="0"/>
    <n v="0"/>
    <n v="250.14"/>
    <n v="0"/>
    <n v="250.14"/>
    <n v="0"/>
    <n v="0"/>
    <n v="831.37"/>
    <n v="0"/>
  </r>
  <r>
    <x v="11"/>
    <x v="1"/>
    <x v="0"/>
    <s v="5843200"/>
    <n v="722000"/>
    <s v="Supplies-Freight Expense"/>
    <s v="Gastroenterology-Shared Svc"/>
    <x v="0"/>
    <m/>
    <n v="0"/>
    <n v="0"/>
    <n v="0"/>
    <n v="0"/>
    <n v="1271.7"/>
    <n v="0"/>
    <n v="0"/>
    <n v="0"/>
    <n v="0"/>
    <n v="0"/>
    <n v="0"/>
    <n v="0"/>
    <n v="1271.7"/>
    <n v="0"/>
  </r>
  <r>
    <x v="12"/>
    <x v="1"/>
    <x v="0"/>
    <s v="5843200"/>
    <n v="730010"/>
    <s v="Rental and Leases-Building (DO NOT USE)"/>
    <s v="Gastroenterology-Shared Svc"/>
    <x v="0"/>
    <m/>
    <n v="90558.23"/>
    <n v="90333.85"/>
    <n v="91257.81"/>
    <n v="91257.81"/>
    <n v="91515.64"/>
    <n v="-87653.86"/>
    <n v="62156.32"/>
    <n v="62156.32"/>
    <n v="62156.32"/>
    <n v="50246.26"/>
    <n v="69407.12"/>
    <n v="0"/>
    <n v="673391.82000000007"/>
    <n v="69407.12"/>
  </r>
  <r>
    <x v="12"/>
    <x v="1"/>
    <x v="0"/>
    <s v="5843200"/>
    <n v="730010"/>
    <s v="Rental-Common Area Maint (DO NOT USE)"/>
    <s v="Gastroenterology-Shared Svc"/>
    <x v="0"/>
    <n v="2200"/>
    <n v="0"/>
    <n v="0"/>
    <n v="0"/>
    <n v="0"/>
    <n v="0"/>
    <n v="179439.34"/>
    <n v="29871.919999999998"/>
    <n v="29664.57"/>
    <n v="26613.1"/>
    <n v="27585.21"/>
    <n v="35334.85"/>
    <n v="0"/>
    <n v="328508.99"/>
    <n v="35334.85"/>
  </r>
  <r>
    <x v="12"/>
    <x v="1"/>
    <x v="0"/>
    <s v="5843200"/>
    <n v="730020"/>
    <s v="Rental and Leases-Copier Usage Fees (DO NOT USE)"/>
    <s v="Gastroenterology-Shared Svc"/>
    <x v="0"/>
    <n v="5100"/>
    <n v="3083.87"/>
    <n v="3110.09"/>
    <n v="3096.98"/>
    <n v="3096.98"/>
    <n v="3096.98"/>
    <n v="3096.98"/>
    <n v="2322.8200000000002"/>
    <n v="2495.35"/>
    <n v="2496.9499999999998"/>
    <n v="5313.84"/>
    <n v="2761.07"/>
    <n v="2970.17"/>
    <n v="36942.080000000002"/>
    <n v="-209.09999999999991"/>
  </r>
  <r>
    <x v="12"/>
    <x v="1"/>
    <x v="0"/>
    <s v="5843200"/>
    <n v="730040"/>
    <s v="LT Lease-Real Estate"/>
    <s v="Gastroenterology-Shared Svc"/>
    <x v="0"/>
    <m/>
    <n v="0"/>
    <n v="0"/>
    <n v="0"/>
    <n v="0"/>
    <n v="0"/>
    <n v="0"/>
    <n v="0"/>
    <n v="0"/>
    <n v="0"/>
    <n v="0"/>
    <n v="0"/>
    <n v="93724.87"/>
    <n v="93724.87"/>
    <n v="-93724.87"/>
  </r>
  <r>
    <x v="15"/>
    <x v="1"/>
    <x v="0"/>
    <s v="5843200"/>
    <n v="731060"/>
    <s v="Telephone"/>
    <s v="Gastroenterology-Shared Svc"/>
    <x v="0"/>
    <m/>
    <n v="554.54"/>
    <n v="447.14"/>
    <n v="158.94"/>
    <n v="595.54"/>
    <n v="268.23"/>
    <n v="474.89"/>
    <n v="634.33000000000004"/>
    <n v="231.73"/>
    <n v="387.95"/>
    <n v="409.32"/>
    <n v="559.53"/>
    <n v="221.76"/>
    <n v="4943.8999999999996"/>
    <n v="337.77"/>
  </r>
  <r>
    <x v="15"/>
    <x v="1"/>
    <x v="0"/>
    <s v="5843200"/>
    <n v="731065"/>
    <s v="Data Communications"/>
    <s v="Gastroenterology-Shared Svc"/>
    <x v="0"/>
    <m/>
    <n v="264.48"/>
    <n v="254.48"/>
    <n v="0"/>
    <n v="509.84"/>
    <n v="257.56"/>
    <n v="257.56"/>
    <n v="257.64"/>
    <n v="267.64"/>
    <n v="267.64"/>
    <n v="327.48"/>
    <n v="337.49"/>
    <n v="337.49"/>
    <n v="3339.2999999999993"/>
    <n v="0"/>
  </r>
  <r>
    <x v="16"/>
    <x v="1"/>
    <x v="0"/>
    <s v="5843200"/>
    <n v="732030"/>
    <s v="Repairs---Other"/>
    <s v="Gastroenterology-Shared Svc"/>
    <x v="0"/>
    <m/>
    <n v="31"/>
    <n v="0"/>
    <n v="253.23"/>
    <n v="432.92"/>
    <n v="822.97"/>
    <n v="325.07"/>
    <n v="107.15"/>
    <n v="17"/>
    <n v="387.56"/>
    <n v="440.5"/>
    <n v="17.309999999999999"/>
    <n v="672.15"/>
    <n v="3506.86"/>
    <n v="-654.84"/>
  </r>
  <r>
    <x v="16"/>
    <x v="1"/>
    <x v="0"/>
    <s v="5843200"/>
    <n v="732030"/>
    <s v="Repairs&amp;Maintenance-Bldg Routine"/>
    <s v="Gastroenterology-Shared Svc"/>
    <x v="0"/>
    <n v="2300"/>
    <n v="0"/>
    <n v="0"/>
    <n v="587.29999999999995"/>
    <n v="0"/>
    <n v="0"/>
    <n v="404.25"/>
    <n v="265"/>
    <n v="0"/>
    <n v="0"/>
    <n v="0"/>
    <n v="0"/>
    <n v="1333.67"/>
    <n v="2590.2200000000003"/>
    <n v="-1333.67"/>
  </r>
  <r>
    <x v="13"/>
    <x v="1"/>
    <x v="0"/>
    <s v="5843200"/>
    <n v="735050"/>
    <s v="Amortization-Leasehold Improvements"/>
    <s v="Gastroenterology-Shared Svc"/>
    <x v="0"/>
    <m/>
    <n v="8743.06"/>
    <n v="9568.52"/>
    <n v="1051.6199999999999"/>
    <n v="1051.6199999999999"/>
    <n v="1051.6199999999999"/>
    <n v="1351.93"/>
    <n v="1351.94"/>
    <n v="1351.92"/>
    <n v="1351.94"/>
    <n v="1351.91"/>
    <n v="1351.94"/>
    <n v="1351.9"/>
    <n v="30929.919999999995"/>
    <n v="3.999999999996362E-2"/>
  </r>
  <r>
    <x v="13"/>
    <x v="1"/>
    <x v="0"/>
    <s v="5843200"/>
    <n v="735060"/>
    <s v="Depreciation-Fixed Equipment"/>
    <s v="Gastroenterology-Shared Svc"/>
    <x v="0"/>
    <m/>
    <n v="123.25"/>
    <n v="123.24"/>
    <n v="123.25"/>
    <n v="123.24"/>
    <n v="123.25"/>
    <n v="123.24"/>
    <n v="123.25"/>
    <n v="123.24"/>
    <n v="123.25"/>
    <n v="123.24"/>
    <n v="123.25"/>
    <n v="123.24"/>
    <n v="1478.94"/>
    <n v="1.0000000000005116E-2"/>
  </r>
  <r>
    <x v="13"/>
    <x v="1"/>
    <x v="0"/>
    <s v="5843200"/>
    <n v="735070"/>
    <s v="Depreciation-Movable Equipment"/>
    <s v="Gastroenterology-Shared Svc"/>
    <x v="0"/>
    <m/>
    <n v="363.9"/>
    <n v="363.9"/>
    <n v="363.9"/>
    <n v="363.9"/>
    <n v="363.9"/>
    <n v="363.9"/>
    <n v="363.9"/>
    <n v="363.9"/>
    <n v="363.9"/>
    <n v="363.89"/>
    <n v="363.9"/>
    <n v="363.89"/>
    <n v="4366.7800000000007"/>
    <n v="9.9999999999909051E-3"/>
  </r>
  <r>
    <x v="13"/>
    <x v="1"/>
    <x v="0"/>
    <s v="5843200"/>
    <n v="736000"/>
    <s v="General Amortization Expense"/>
    <s v="Gastroenterology-Shared Svc"/>
    <x v="0"/>
    <n v="5000"/>
    <n v="2977.77"/>
    <n v="2977.77"/>
    <n v="2977.77"/>
    <n v="2977.77"/>
    <n v="2977.77"/>
    <n v="2977.77"/>
    <n v="2977.77"/>
    <n v="2977.77"/>
    <n v="2977.77"/>
    <n v="2977.77"/>
    <n v="2977.77"/>
    <n v="2977.77"/>
    <n v="35733.24"/>
    <n v="0"/>
  </r>
  <r>
    <x v="0"/>
    <x v="1"/>
    <x v="0"/>
    <s v="5843200"/>
    <n v="740020"/>
    <s v="Education-Registration Fees"/>
    <s v="Gastroenterology-Shared Svc"/>
    <x v="0"/>
    <m/>
    <n v="0"/>
    <n v="0"/>
    <n v="0"/>
    <n v="45"/>
    <n v="0"/>
    <n v="0"/>
    <n v="495"/>
    <n v="0"/>
    <n v="0"/>
    <n v="0"/>
    <n v="0"/>
    <n v="0"/>
    <n v="540"/>
    <n v="0"/>
  </r>
  <r>
    <x v="0"/>
    <x v="1"/>
    <x v="0"/>
    <s v="5843200"/>
    <n v="742010"/>
    <s v="Postage-Regular"/>
    <s v="Gastroenterology-Shared Svc"/>
    <x v="0"/>
    <m/>
    <n v="60"/>
    <n v="301.75"/>
    <n v="51.25"/>
    <n v="0"/>
    <n v="0"/>
    <n v="41.25"/>
    <n v="497.5"/>
    <n v="0"/>
    <n v="0"/>
    <n v="0"/>
    <n v="0"/>
    <n v="0"/>
    <n v="951.75"/>
    <n v="0"/>
  </r>
  <r>
    <x v="0"/>
    <x v="1"/>
    <x v="0"/>
    <s v="5843200"/>
    <n v="742040"/>
    <s v="Freight-Other"/>
    <s v="Gastroenterology-Shared Svc"/>
    <x v="0"/>
    <m/>
    <n v="0"/>
    <n v="0"/>
    <n v="6.51"/>
    <n v="0"/>
    <n v="0"/>
    <n v="0"/>
    <n v="0"/>
    <n v="0"/>
    <n v="9.65"/>
    <n v="0"/>
    <n v="0"/>
    <n v="0"/>
    <n v="16.16"/>
    <n v="0"/>
  </r>
  <r>
    <x v="0"/>
    <x v="1"/>
    <x v="0"/>
    <s v="5843200"/>
    <n v="743020"/>
    <s v="Dues--Individual"/>
    <s v="Gastroenterology-Shared Svc"/>
    <x v="0"/>
    <m/>
    <n v="0"/>
    <n v="0"/>
    <n v="0"/>
    <n v="0"/>
    <n v="0"/>
    <n v="0"/>
    <n v="0"/>
    <n v="650"/>
    <n v="0"/>
    <n v="0"/>
    <n v="0"/>
    <n v="0"/>
    <n v="650"/>
    <n v="0"/>
  </r>
  <r>
    <x v="0"/>
    <x v="1"/>
    <x v="0"/>
    <s v="5843200"/>
    <n v="743030"/>
    <s v="Subscriptions--Institutional"/>
    <s v="Gastroenterology-Shared Svc"/>
    <x v="0"/>
    <m/>
    <n v="0"/>
    <n v="322.39999999999998"/>
    <n v="0"/>
    <n v="322.39999999999998"/>
    <n v="0"/>
    <n v="0"/>
    <n v="0"/>
    <n v="0"/>
    <n v="0"/>
    <n v="0"/>
    <n v="0"/>
    <n v="0"/>
    <n v="644.79999999999995"/>
    <n v="0"/>
  </r>
  <r>
    <x v="0"/>
    <x v="1"/>
    <x v="0"/>
    <s v="5843200"/>
    <n v="749510"/>
    <s v="Miscellaneous Expenses"/>
    <s v="Gastroenterology-Shared Svc"/>
    <x v="0"/>
    <m/>
    <n v="-28.23"/>
    <n v="117.27"/>
    <n v="0"/>
    <n v="-2"/>
    <n v="469.09"/>
    <n v="-33.090000000000003"/>
    <n v="906.21"/>
    <n v="-871.83"/>
    <n v="284.86"/>
    <n v="4.2"/>
    <n v="414.28"/>
    <n v="-12.42"/>
    <n v="1248.3399999999999"/>
    <n v="426.7"/>
  </r>
  <r>
    <x v="0"/>
    <x v="1"/>
    <x v="0"/>
    <s v="5843200"/>
    <n v="749510"/>
    <s v="Licenses"/>
    <s v="Gastroenterology-Shared Svc"/>
    <x v="0"/>
    <n v="1002"/>
    <n v="0"/>
    <n v="0"/>
    <n v="925"/>
    <n v="19"/>
    <n v="19"/>
    <n v="809"/>
    <n v="191.25"/>
    <n v="376"/>
    <n v="0"/>
    <n v="123"/>
    <n v="0"/>
    <n v="0"/>
    <n v="2462.25"/>
    <n v="0"/>
  </r>
  <r>
    <x v="0"/>
    <x v="1"/>
    <x v="0"/>
    <s v="5843200"/>
    <n v="749510"/>
    <s v="RICE Rewards"/>
    <s v="Gastroenterology-Shared Svc"/>
    <x v="0"/>
    <n v="5100"/>
    <n v="0"/>
    <n v="0"/>
    <n v="0"/>
    <n v="0"/>
    <n v="0"/>
    <n v="0"/>
    <n v="0"/>
    <n v="0"/>
    <n v="0"/>
    <n v="1093"/>
    <n v="0"/>
    <n v="447"/>
    <n v="1540"/>
    <n v="-447"/>
  </r>
  <r>
    <x v="0"/>
    <x v="1"/>
    <x v="0"/>
    <s v="5843200"/>
    <n v="749530"/>
    <s v="Travel"/>
    <s v="Gastroenterology-Shared Svc"/>
    <x v="0"/>
    <m/>
    <n v="6"/>
    <n v="41"/>
    <n v="0"/>
    <n v="0"/>
    <n v="20"/>
    <n v="0"/>
    <n v="0"/>
    <n v="14"/>
    <n v="0"/>
    <n v="0"/>
    <n v="10"/>
    <n v="0"/>
    <n v="91"/>
    <n v="10"/>
  </r>
  <r>
    <x v="0"/>
    <x v="1"/>
    <x v="0"/>
    <s v="5843200"/>
    <n v="749530"/>
    <s v="Mileage"/>
    <s v="Gastroenterology-Shared Svc"/>
    <x v="0"/>
    <n v="1001"/>
    <n v="91.03"/>
    <n v="298.70999999999998"/>
    <n v="0"/>
    <n v="58.32"/>
    <n v="411.02"/>
    <n v="382.62"/>
    <n v="0"/>
    <n v="363.79"/>
    <n v="35.380000000000003"/>
    <n v="108.46"/>
    <n v="415.86"/>
    <n v="368.3"/>
    <n v="2533.4900000000002"/>
    <n v="47.56"/>
  </r>
  <r>
    <x v="0"/>
    <x v="1"/>
    <x v="0"/>
    <s v="5843200"/>
    <n v="749535"/>
    <s v="Meetings"/>
    <s v="Gastroenterology-Shared Svc"/>
    <x v="0"/>
    <m/>
    <n v="0"/>
    <n v="0"/>
    <n v="0"/>
    <n v="0"/>
    <n v="0"/>
    <n v="0"/>
    <n v="0"/>
    <n v="173.27"/>
    <n v="0"/>
    <n v="0"/>
    <n v="0"/>
    <n v="599.22"/>
    <n v="772.49"/>
    <n v="-599.22"/>
  </r>
  <r>
    <x v="0"/>
    <x v="1"/>
    <x v="0"/>
    <s v="5843200"/>
    <n v="749550"/>
    <s v="Cash Over/Short"/>
    <s v="Gastroenterology-Shared Svc"/>
    <x v="0"/>
    <m/>
    <n v="10"/>
    <n v="12"/>
    <n v="20"/>
    <n v="30"/>
    <n v="0"/>
    <n v="-1.1299999999999999"/>
    <n v="0"/>
    <n v="0"/>
    <n v="-72"/>
    <n v="-3.46"/>
    <n v="50.4"/>
    <n v="0"/>
    <n v="45.81"/>
    <n v="50.4"/>
  </r>
  <r>
    <x v="0"/>
    <x v="1"/>
    <x v="0"/>
    <s v="5843200"/>
    <n v="766010"/>
    <s v="Property Tax"/>
    <s v="Gastroenterology-Shared Svc"/>
    <x v="0"/>
    <m/>
    <n v="405.53"/>
    <n v="405.53"/>
    <n v="405.53"/>
    <n v="405.53"/>
    <n v="405.53"/>
    <n v="405.53"/>
    <n v="405.53"/>
    <n v="405.53"/>
    <n v="405.53"/>
    <n v="-83.45"/>
    <n v="283.3"/>
    <n v="283.3"/>
    <n v="4132.92"/>
    <n v="0"/>
  </r>
  <r>
    <x v="7"/>
    <x v="1"/>
    <x v="0"/>
    <s v="5845200"/>
    <n v="718050"/>
    <s v="Document Shredding/Storage"/>
    <s v="FWLSC-Covington"/>
    <x v="0"/>
    <n v="1012"/>
    <n v="2.58"/>
    <n v="2.64"/>
    <n v="2.44"/>
    <n v="2.52"/>
    <n v="2.6"/>
    <n v="2.6"/>
    <n v="2.57"/>
    <n v="2.21"/>
    <n v="2.2799999999999998"/>
    <n v="3.01"/>
    <n v="2.52"/>
    <n v="2.6"/>
    <n v="30.570000000000004"/>
    <n v="-8.0000000000000071E-2"/>
  </r>
  <r>
    <x v="7"/>
    <x v="1"/>
    <x v="0"/>
    <s v="5845200"/>
    <n v="718050"/>
    <s v="Translation Services"/>
    <s v="FWLSC-Covington"/>
    <x v="0"/>
    <n v="1025"/>
    <n v="0"/>
    <n v="0"/>
    <n v="0"/>
    <n v="0"/>
    <n v="0"/>
    <n v="0"/>
    <n v="0"/>
    <n v="0"/>
    <n v="0"/>
    <n v="7.2"/>
    <n v="0"/>
    <n v="0"/>
    <n v="7.2"/>
    <n v="0"/>
  </r>
  <r>
    <x v="11"/>
    <x v="1"/>
    <x v="0"/>
    <s v="5845200"/>
    <n v="721835"/>
    <s v="Supplies-Forms"/>
    <s v="FWLSC-Covington"/>
    <x v="0"/>
    <m/>
    <n v="0"/>
    <n v="0"/>
    <n v="0"/>
    <n v="0"/>
    <n v="8.1"/>
    <n v="0"/>
    <n v="0"/>
    <n v="0"/>
    <n v="0"/>
    <n v="0"/>
    <n v="0"/>
    <n v="0"/>
    <n v="8.1"/>
    <n v="0"/>
  </r>
  <r>
    <x v="15"/>
    <x v="1"/>
    <x v="0"/>
    <s v="5845200"/>
    <n v="731060"/>
    <s v="Pagers"/>
    <s v="FWLSC-Covington"/>
    <x v="0"/>
    <n v="1002"/>
    <n v="56.7"/>
    <n v="56.7"/>
    <n v="0"/>
    <n v="0"/>
    <n v="0"/>
    <n v="0"/>
    <n v="0"/>
    <n v="0"/>
    <n v="0"/>
    <n v="0"/>
    <n v="0"/>
    <n v="0"/>
    <n v="113.4"/>
    <n v="0"/>
  </r>
  <r>
    <x v="5"/>
    <x v="1"/>
    <x v="0"/>
    <s v="5846200"/>
    <n v="700014"/>
    <s v="Salaries-Management-Productive"/>
    <s v="Weight Clinic-SF-Shared Svc"/>
    <x v="0"/>
    <m/>
    <n v="6128.49"/>
    <n v="5633.27"/>
    <n v="5571.36"/>
    <n v="7396.88"/>
    <n v="6174.24"/>
    <n v="5459.32"/>
    <n v="7225.07"/>
    <n v="5206.9799999999996"/>
    <n v="6508.73"/>
    <n v="6606.35"/>
    <n v="4458.4799999999996"/>
    <n v="6508.73"/>
    <n v="72877.899999999994"/>
    <n v="-2050.25"/>
  </r>
  <r>
    <x v="5"/>
    <x v="1"/>
    <x v="0"/>
    <s v="5846200"/>
    <n v="700038"/>
    <s v="Salaries-Service/Support-Productive"/>
    <s v="Weight Clinic-SF-Shared Svc"/>
    <x v="0"/>
    <m/>
    <n v="14002.55"/>
    <n v="17805.12"/>
    <n v="11969.7"/>
    <n v="14750.48"/>
    <n v="14208.15"/>
    <n v="13760.26"/>
    <n v="15118"/>
    <n v="11473.51"/>
    <n v="15683.96"/>
    <n v="16217.87"/>
    <n v="14721.96"/>
    <n v="12612.89"/>
    <n v="172324.44999999995"/>
    <n v="2109.0699999999997"/>
  </r>
  <r>
    <x v="5"/>
    <x v="1"/>
    <x v="0"/>
    <s v="5846200"/>
    <n v="700038"/>
    <s v="Salaries-Service/Support-OT"/>
    <s v="Weight Clinic-SF-Shared Svc"/>
    <x v="0"/>
    <n v="1000"/>
    <n v="698.56"/>
    <n v="23.4"/>
    <n v="81.14"/>
    <n v="640.41"/>
    <n v="647.70000000000005"/>
    <n v="438.67"/>
    <n v="552.23"/>
    <n v="413.69"/>
    <n v="1046.97"/>
    <n v="1192.1400000000001"/>
    <n v="23.04"/>
    <n v="272.95"/>
    <n v="6030.9000000000005"/>
    <n v="-249.91"/>
  </r>
  <r>
    <x v="5"/>
    <x v="1"/>
    <x v="0"/>
    <s v="5846200"/>
    <n v="700038"/>
    <s v="Salaries-Service/Support-Other"/>
    <s v="Weight Clinic-SF-Shared Svc"/>
    <x v="0"/>
    <n v="2000"/>
    <n v="3.5"/>
    <n v="0"/>
    <n v="0"/>
    <n v="7.4"/>
    <n v="1.6"/>
    <n v="36.65"/>
    <n v="-0.4"/>
    <n v="0"/>
    <n v="0"/>
    <n v="0"/>
    <n v="0"/>
    <n v="0"/>
    <n v="48.75"/>
    <n v="0"/>
  </r>
  <r>
    <x v="5"/>
    <x v="1"/>
    <x v="0"/>
    <s v="5846200"/>
    <n v="700054"/>
    <s v="Salaries-Management-Non-productive"/>
    <s v="Weight Clinic-SF-Shared Svc"/>
    <x v="0"/>
    <m/>
    <n v="680.94"/>
    <n v="1485.7"/>
    <n v="619.04"/>
    <n v="0"/>
    <n v="974.88"/>
    <n v="1364.83"/>
    <n v="260.44"/>
    <n v="1301.74"/>
    <n v="325.43"/>
    <n v="553.22"/>
    <n v="3026.57"/>
    <n v="-0.01"/>
    <n v="10592.78"/>
    <n v="3026.5800000000004"/>
  </r>
  <r>
    <x v="5"/>
    <x v="1"/>
    <x v="0"/>
    <s v="5846200"/>
    <n v="700078"/>
    <s v="Salaries-Service/Support-Non-productive"/>
    <s v="Weight Clinic-SF-Shared Svc"/>
    <x v="0"/>
    <m/>
    <n v="1210.0999999999999"/>
    <n v="1698.29"/>
    <n v="2468.86"/>
    <n v="1410.15"/>
    <n v="1302.01"/>
    <n v="3307.66"/>
    <n v="529.84"/>
    <n v="1931.58"/>
    <n v="3226.2"/>
    <n v="-139.58000000000001"/>
    <n v="1153.3"/>
    <n v="3034.55"/>
    <n v="21132.959999999995"/>
    <n v="-1881.2500000000002"/>
  </r>
  <r>
    <x v="5"/>
    <x v="1"/>
    <x v="0"/>
    <s v="5846200"/>
    <n v="700078"/>
    <s v="Salaries-Service/Support-NonProd-Other"/>
    <s v="Weight Clinic-SF-Shared Svc"/>
    <x v="0"/>
    <n v="2000"/>
    <n v="0"/>
    <n v="0"/>
    <n v="0"/>
    <n v="0"/>
    <n v="900.62"/>
    <n v="1403.64"/>
    <n v="0"/>
    <n v="-2304.2600000000002"/>
    <n v="0"/>
    <n v="0"/>
    <n v="0"/>
    <n v="0"/>
    <n v="0"/>
    <n v="0"/>
  </r>
  <r>
    <x v="5"/>
    <x v="1"/>
    <x v="0"/>
    <s v="5846200"/>
    <n v="700084"/>
    <s v="Accrued PTO"/>
    <s v="Weight Clinic-SF-Shared Svc"/>
    <x v="0"/>
    <m/>
    <n v="702.75"/>
    <n v="87.11"/>
    <n v="-400.31"/>
    <n v="1078"/>
    <n v="923.83"/>
    <n v="-1644.56"/>
    <n v="1354.38"/>
    <n v="-653.70000000000005"/>
    <n v="596.75"/>
    <n v="1178.94"/>
    <n v="-617.12"/>
    <n v="-752.91"/>
    <n v="1853.1600000000008"/>
    <n v="135.78999999999996"/>
  </r>
  <r>
    <x v="6"/>
    <x v="1"/>
    <x v="0"/>
    <s v="5846200"/>
    <n v="713010"/>
    <s v="Benefits-FICA/Medicare"/>
    <s v="Weight Clinic-SF-Shared Svc"/>
    <x v="0"/>
    <m/>
    <n v="1662.07"/>
    <n v="1949.05"/>
    <n v="1508.56"/>
    <n v="1764.89"/>
    <n v="1913.84"/>
    <n v="1819.71"/>
    <n v="1731.51"/>
    <n v="1465.1"/>
    <n v="1953.72"/>
    <n v="1782.47"/>
    <n v="1727.36"/>
    <n v="1656.26"/>
    <n v="20934.539999999997"/>
    <n v="71.099999999999909"/>
  </r>
  <r>
    <x v="6"/>
    <x v="1"/>
    <x v="0"/>
    <s v="5846200"/>
    <n v="713090"/>
    <s v="Benefits-Allocated Amounts"/>
    <s v="Weight Clinic-SF-Shared Svc"/>
    <x v="0"/>
    <m/>
    <n v="5817.65"/>
    <n v="6129.33"/>
    <n v="5864.98"/>
    <n v="5749.33"/>
    <n v="5754.21"/>
    <n v="6189.27"/>
    <n v="6522.09"/>
    <n v="5985.72"/>
    <n v="6952.19"/>
    <n v="6577.13"/>
    <n v="6117.75"/>
    <n v="6293.94"/>
    <n v="73953.59"/>
    <n v="-176.1899999999996"/>
  </r>
  <r>
    <x v="7"/>
    <x v="1"/>
    <x v="0"/>
    <s v="5846200"/>
    <n v="718010"/>
    <s v="Media/Print Advertising"/>
    <s v="Weight Clinic-SF-Shared Svc"/>
    <x v="0"/>
    <n v="1004"/>
    <n v="195.18"/>
    <n v="132.99"/>
    <n v="0"/>
    <n v="0"/>
    <n v="10.199999999999999"/>
    <n v="0"/>
    <n v="0"/>
    <n v="0"/>
    <n v="0"/>
    <n v="0"/>
    <n v="177.87"/>
    <n v="-14.74"/>
    <n v="501.5"/>
    <n v="192.61"/>
  </r>
  <r>
    <x v="7"/>
    <x v="1"/>
    <x v="0"/>
    <s v="5846200"/>
    <n v="718050"/>
    <s v="Contract Svcs-Other"/>
    <s v="Weight Clinic-SF-Shared Svc"/>
    <x v="0"/>
    <m/>
    <n v="806.75"/>
    <n v="42.65"/>
    <n v="1710.06"/>
    <n v="42.65"/>
    <n v="42.65"/>
    <n v="42.65"/>
    <n v="85.3"/>
    <n v="28.2"/>
    <n v="28.2"/>
    <n v="0"/>
    <n v="28.2"/>
    <n v="22.56"/>
    <n v="2879.87"/>
    <n v="5.6400000000000006"/>
  </r>
  <r>
    <x v="7"/>
    <x v="1"/>
    <x v="0"/>
    <s v="5846200"/>
    <n v="718050"/>
    <s v="Document Shredding/Storage"/>
    <s v="Weight Clinic-SF-Shared Svc"/>
    <x v="0"/>
    <n v="1012"/>
    <n v="75.72"/>
    <n v="64.83"/>
    <n v="71.81"/>
    <n v="69.47"/>
    <n v="291.66000000000003"/>
    <n v="59.62"/>
    <n v="59.02"/>
    <n v="-46.95"/>
    <n v="56.84"/>
    <n v="97.44"/>
    <n v="74.22"/>
    <n v="61"/>
    <n v="934.68000000000006"/>
    <n v="13.219999999999999"/>
  </r>
  <r>
    <x v="7"/>
    <x v="1"/>
    <x v="0"/>
    <s v="5846200"/>
    <n v="718050"/>
    <s v="Physician Answering"/>
    <s v="Weight Clinic-SF-Shared Svc"/>
    <x v="0"/>
    <n v="1015"/>
    <n v="529.4"/>
    <n v="592"/>
    <n v="445.4"/>
    <n v="236.2"/>
    <n v="682.6"/>
    <n v="456.6"/>
    <n v="704.6"/>
    <n v="749.8"/>
    <n v="763"/>
    <n v="728"/>
    <n v="650"/>
    <n v="485.2"/>
    <n v="7022.8"/>
    <n v="164.8"/>
  </r>
  <r>
    <x v="7"/>
    <x v="1"/>
    <x v="0"/>
    <s v="5846200"/>
    <n v="718050"/>
    <s v="Miscellaneous Purchased Svcs"/>
    <s v="Weight Clinic-SF-Shared Svc"/>
    <x v="0"/>
    <n v="1020"/>
    <n v="57.75"/>
    <n v="0"/>
    <n v="231"/>
    <n v="0"/>
    <n v="114.98"/>
    <n v="114.98"/>
    <n v="114.98"/>
    <n v="229.96"/>
    <n v="0"/>
    <n v="0"/>
    <n v="114.98"/>
    <n v="0"/>
    <n v="978.63000000000011"/>
    <n v="114.98"/>
  </r>
  <r>
    <x v="7"/>
    <x v="1"/>
    <x v="0"/>
    <s v="5846200"/>
    <n v="718050"/>
    <s v="Translation Services"/>
    <s v="Weight Clinic-SF-Shared Svc"/>
    <x v="0"/>
    <n v="1025"/>
    <n v="0"/>
    <n v="0"/>
    <n v="112"/>
    <n v="0"/>
    <n v="0"/>
    <n v="0"/>
    <n v="0"/>
    <n v="0"/>
    <n v="0"/>
    <n v="0"/>
    <n v="0"/>
    <n v="0"/>
    <n v="112"/>
    <n v="0"/>
  </r>
  <r>
    <x v="7"/>
    <x v="1"/>
    <x v="0"/>
    <s v="5846200"/>
    <n v="718050"/>
    <s v="Contract Management--Linen"/>
    <s v="Weight Clinic-SF-Shared Svc"/>
    <x v="0"/>
    <n v="1026"/>
    <n v="0"/>
    <n v="116.71"/>
    <n v="115.28"/>
    <n v="28.14"/>
    <n v="30.6"/>
    <n v="10.199999999999999"/>
    <n v="34.47"/>
    <n v="20.440000000000001"/>
    <n v="54.45"/>
    <n v="10.220000000000001"/>
    <n v="10.220000000000001"/>
    <n v="10.220000000000001"/>
    <n v="440.95000000000005"/>
    <n v="0"/>
  </r>
  <r>
    <x v="7"/>
    <x v="1"/>
    <x v="0"/>
    <s v="5846200"/>
    <n v="718050"/>
    <s v="Purchased Srvcs--Medical Waste"/>
    <s v="Weight Clinic-SF-Shared Svc"/>
    <x v="0"/>
    <n v="1027"/>
    <n v="45.18"/>
    <n v="33.409999999999997"/>
    <n v="45.95"/>
    <n v="44.54"/>
    <n v="33.409999999999997"/>
    <n v="34.18"/>
    <n v="45.32"/>
    <n v="55.68"/>
    <n v="0"/>
    <n v="44.55"/>
    <n v="11.91"/>
    <n v="45.18"/>
    <n v="439.31000000000006"/>
    <n v="-33.269999999999996"/>
  </r>
  <r>
    <x v="11"/>
    <x v="1"/>
    <x v="0"/>
    <s v="5846200"/>
    <n v="721250"/>
    <s v="Supplies-Pharmacy Drugs - Billable"/>
    <s v="Weight Clinic-SF-Shared Svc"/>
    <x v="0"/>
    <m/>
    <n v="0"/>
    <n v="0"/>
    <n v="0"/>
    <n v="0"/>
    <n v="0"/>
    <n v="0"/>
    <n v="0"/>
    <n v="17.43"/>
    <n v="74.12"/>
    <n v="0"/>
    <n v="70.64"/>
    <n v="0"/>
    <n v="162.19"/>
    <n v="70.64"/>
  </r>
  <r>
    <x v="11"/>
    <x v="1"/>
    <x v="0"/>
    <s v="5846200"/>
    <n v="721410"/>
    <s v="Supplies-Medical - Nonbillable"/>
    <s v="Weight Clinic-SF-Shared Svc"/>
    <x v="0"/>
    <m/>
    <n v="903.67"/>
    <n v="876.6"/>
    <n v="335"/>
    <n v="0"/>
    <n v="251.53"/>
    <n v="251.53"/>
    <n v="337.05"/>
    <n v="1735.74"/>
    <n v="438.15"/>
    <n v="336.47"/>
    <n v="0"/>
    <n v="325.10000000000002"/>
    <n v="5790.8400000000011"/>
    <n v="-325.10000000000002"/>
  </r>
  <r>
    <x v="11"/>
    <x v="1"/>
    <x v="0"/>
    <s v="5846200"/>
    <n v="721810"/>
    <s v="Supplies-Dietary/Cafeteria"/>
    <s v="Weight Clinic-SF-Shared Svc"/>
    <x v="0"/>
    <m/>
    <n v="32.32"/>
    <n v="62.39"/>
    <n v="62.39"/>
    <n v="66.81"/>
    <n v="127.21"/>
    <n v="67.16"/>
    <n v="118.58"/>
    <n v="74.599999999999994"/>
    <n v="79.37"/>
    <n v="81.33"/>
    <n v="111.47"/>
    <n v="76.2"/>
    <n v="959.83000000000015"/>
    <n v="35.269999999999996"/>
  </r>
  <r>
    <x v="11"/>
    <x v="1"/>
    <x v="0"/>
    <s v="5846200"/>
    <n v="721830"/>
    <s v="Supplies-Office"/>
    <s v="Weight Clinic-SF-Shared Svc"/>
    <x v="0"/>
    <m/>
    <n v="366.28"/>
    <n v="819.7"/>
    <n v="928.02"/>
    <n v="464.2"/>
    <n v="668.16"/>
    <n v="580.34"/>
    <n v="799.27"/>
    <n v="598.32000000000005"/>
    <n v="76.89"/>
    <n v="1104.73"/>
    <n v="344.88"/>
    <n v="0"/>
    <n v="6750.79"/>
    <n v="344.88"/>
  </r>
  <r>
    <x v="11"/>
    <x v="1"/>
    <x v="0"/>
    <s v="5846200"/>
    <n v="721835"/>
    <s v="Supplies-Forms"/>
    <s v="Weight Clinic-SF-Shared Svc"/>
    <x v="0"/>
    <m/>
    <n v="0"/>
    <n v="0"/>
    <n v="0"/>
    <n v="0"/>
    <n v="14.13"/>
    <n v="0"/>
    <n v="0"/>
    <n v="0"/>
    <n v="0"/>
    <n v="0"/>
    <n v="0"/>
    <n v="0"/>
    <n v="14.13"/>
    <n v="0"/>
  </r>
  <r>
    <x v="11"/>
    <x v="1"/>
    <x v="0"/>
    <s v="5846200"/>
    <n v="721910"/>
    <s v="Supplies-Small Equipment"/>
    <s v="Weight Clinic-SF-Shared Svc"/>
    <x v="0"/>
    <m/>
    <n v="0"/>
    <n v="0"/>
    <n v="0"/>
    <n v="0"/>
    <n v="0"/>
    <n v="0"/>
    <n v="0"/>
    <n v="532.37"/>
    <n v="263.04000000000002"/>
    <n v="0"/>
    <n v="0"/>
    <n v="0"/>
    <n v="795.41000000000008"/>
    <n v="0"/>
  </r>
  <r>
    <x v="11"/>
    <x v="1"/>
    <x v="0"/>
    <s v="5846200"/>
    <n v="722000"/>
    <s v="Supplies-Freight Expense"/>
    <s v="Weight Clinic-SF-Shared Svc"/>
    <x v="0"/>
    <m/>
    <n v="0"/>
    <n v="0"/>
    <n v="34.159999999999997"/>
    <n v="0"/>
    <n v="0"/>
    <n v="0"/>
    <n v="0"/>
    <n v="0"/>
    <n v="0"/>
    <n v="0"/>
    <n v="38.11"/>
    <n v="0"/>
    <n v="72.27"/>
    <n v="38.11"/>
  </r>
  <r>
    <x v="12"/>
    <x v="1"/>
    <x v="0"/>
    <s v="5846200"/>
    <n v="730010"/>
    <s v="Rental and Leases-Building (DO NOT USE)"/>
    <s v="Weight Clinic-SF-Shared Svc"/>
    <x v="0"/>
    <m/>
    <n v="6563.55"/>
    <n v="7646.07"/>
    <n v="6700.72"/>
    <n v="8591.42"/>
    <n v="7646.07"/>
    <n v="-10873.95"/>
    <n v="4198.5600000000004"/>
    <n v="4198.5600000000004"/>
    <n v="4198.5600000000004"/>
    <n v="4198.5600000000004"/>
    <n v="4300.0200000000004"/>
    <n v="0"/>
    <n v="47368.14"/>
    <n v="4300.0200000000004"/>
  </r>
  <r>
    <x v="12"/>
    <x v="1"/>
    <x v="0"/>
    <s v="5846200"/>
    <n v="730010"/>
    <s v="Rental-Common Area Maint (DO NOT USE)"/>
    <s v="Weight Clinic-SF-Shared Svc"/>
    <x v="0"/>
    <n v="2200"/>
    <n v="0"/>
    <n v="0"/>
    <n v="0"/>
    <n v="0"/>
    <n v="0"/>
    <n v="17868.439999999999"/>
    <n v="2795.93"/>
    <n v="2795.93"/>
    <n v="2603.0700000000002"/>
    <n v="2795.93"/>
    <n v="2795.93"/>
    <n v="0"/>
    <n v="31655.23"/>
    <n v="2795.93"/>
  </r>
  <r>
    <x v="12"/>
    <x v="1"/>
    <x v="0"/>
    <s v="5846200"/>
    <n v="730020"/>
    <s v="Rental and Leases-Copier Usage Fees (DO NOT USE)"/>
    <s v="Weight Clinic-SF-Shared Svc"/>
    <x v="0"/>
    <n v="5100"/>
    <n v="348.55"/>
    <n v="354.12"/>
    <n v="351.34"/>
    <n v="351.34"/>
    <n v="351.34"/>
    <n v="351.34"/>
    <n v="1490.27"/>
    <n v="404.73"/>
    <n v="403.88"/>
    <n v="564.58000000000004"/>
    <n v="404.73"/>
    <n v="478.14"/>
    <n v="5854.36"/>
    <n v="-73.409999999999968"/>
  </r>
  <r>
    <x v="12"/>
    <x v="1"/>
    <x v="0"/>
    <s v="5846200"/>
    <n v="730040"/>
    <s v="LT Lease-Real Estate"/>
    <s v="Weight Clinic-SF-Shared Svc"/>
    <x v="0"/>
    <m/>
    <n v="0"/>
    <n v="0"/>
    <n v="0"/>
    <n v="0"/>
    <n v="0"/>
    <n v="0"/>
    <n v="0"/>
    <n v="0"/>
    <n v="0"/>
    <n v="0"/>
    <n v="0"/>
    <n v="7099.45"/>
    <n v="7099.45"/>
    <n v="-7099.45"/>
  </r>
  <r>
    <x v="15"/>
    <x v="1"/>
    <x v="0"/>
    <s v="5846200"/>
    <n v="731060"/>
    <s v="Telephone"/>
    <s v="Weight Clinic-SF-Shared Svc"/>
    <x v="0"/>
    <m/>
    <n v="0"/>
    <n v="350"/>
    <n v="35"/>
    <n v="0"/>
    <n v="0"/>
    <n v="0"/>
    <n v="0"/>
    <n v="0"/>
    <n v="0"/>
    <n v="129"/>
    <n v="12.9"/>
    <n v="0"/>
    <n v="526.9"/>
    <n v="12.9"/>
  </r>
  <r>
    <x v="15"/>
    <x v="1"/>
    <x v="0"/>
    <s v="5846200"/>
    <n v="731070"/>
    <s v="Cable TV"/>
    <s v="Weight Clinic-SF-Shared Svc"/>
    <x v="0"/>
    <m/>
    <n v="77.16"/>
    <n v="77.16"/>
    <n v="77.16"/>
    <n v="77.16"/>
    <n v="84.71"/>
    <n v="84.71"/>
    <n v="84.71"/>
    <n v="84.71"/>
    <n v="84.71"/>
    <n v="84.71"/>
    <n v="84.71"/>
    <n v="84.94"/>
    <n v="986.55000000000018"/>
    <n v="-0.23000000000000398"/>
  </r>
  <r>
    <x v="16"/>
    <x v="1"/>
    <x v="0"/>
    <s v="5846200"/>
    <n v="732015"/>
    <s v="Repairs-Clinical Equip-T&amp;M-Ext to CHI Programs"/>
    <s v="Weight Clinic-SF-Shared Svc"/>
    <x v="0"/>
    <m/>
    <n v="0"/>
    <n v="0"/>
    <n v="193.78"/>
    <n v="0"/>
    <n v="0"/>
    <n v="0"/>
    <n v="0"/>
    <n v="0"/>
    <n v="0"/>
    <n v="0"/>
    <n v="0"/>
    <n v="0"/>
    <n v="193.78"/>
    <n v="0"/>
  </r>
  <r>
    <x v="13"/>
    <x v="1"/>
    <x v="0"/>
    <s v="5846200"/>
    <n v="735050"/>
    <s v="Amortization-Leasehold Improvements"/>
    <s v="Weight Clinic-SF-Shared Svc"/>
    <x v="0"/>
    <m/>
    <n v="1094.6099999999999"/>
    <n v="1094.6099999999999"/>
    <n v="1094.6099999999999"/>
    <n v="1094.6099999999999"/>
    <n v="1094.6099999999999"/>
    <n v="1094.6099999999999"/>
    <n v="1094.6099999999999"/>
    <n v="1094.5899999999999"/>
    <n v="1094.6099999999999"/>
    <n v="1094.5899999999999"/>
    <n v="1094.6099999999999"/>
    <n v="1094.5899999999999"/>
    <n v="13135.26"/>
    <n v="1.999999999998181E-2"/>
  </r>
  <r>
    <x v="13"/>
    <x v="1"/>
    <x v="0"/>
    <s v="5846200"/>
    <n v="735070"/>
    <s v="Depreciation-Movable Equipment"/>
    <s v="Weight Clinic-SF-Shared Svc"/>
    <x v="0"/>
    <m/>
    <n v="277.25"/>
    <n v="277.24"/>
    <n v="277.25"/>
    <n v="277.23"/>
    <n v="277.26"/>
    <n v="277.22000000000003"/>
    <n v="277.27"/>
    <n v="277.22000000000003"/>
    <n v="277.27"/>
    <n v="277.22000000000003"/>
    <n v="277.27999999999997"/>
    <n v="277.22000000000003"/>
    <n v="3326.9300000000003"/>
    <n v="5.999999999994543E-2"/>
  </r>
  <r>
    <x v="0"/>
    <x v="1"/>
    <x v="0"/>
    <s v="5846200"/>
    <n v="742040"/>
    <s v="Freight-Other"/>
    <s v="Weight Clinic-SF-Shared Svc"/>
    <x v="0"/>
    <m/>
    <n v="0"/>
    <n v="0"/>
    <n v="0"/>
    <n v="0"/>
    <n v="0"/>
    <n v="0"/>
    <n v="0"/>
    <n v="0"/>
    <n v="0"/>
    <n v="0"/>
    <n v="0"/>
    <n v="14.74"/>
    <n v="14.74"/>
    <n v="-14.74"/>
  </r>
  <r>
    <x v="0"/>
    <x v="1"/>
    <x v="0"/>
    <s v="5846200"/>
    <n v="743020"/>
    <s v="Dues--Individual"/>
    <s v="Weight Clinic-SF-Shared Svc"/>
    <x v="0"/>
    <m/>
    <n v="0"/>
    <n v="0"/>
    <n v="0"/>
    <n v="0"/>
    <n v="0"/>
    <n v="0"/>
    <n v="0"/>
    <n v="0"/>
    <n v="0"/>
    <n v="593"/>
    <n v="0"/>
    <n v="0"/>
    <n v="593"/>
    <n v="0"/>
  </r>
  <r>
    <x v="0"/>
    <x v="1"/>
    <x v="0"/>
    <s v="5846200"/>
    <n v="743020"/>
    <s v="Provider-Dues"/>
    <s v="Weight Clinic-SF-Shared Svc"/>
    <x v="0"/>
    <n v="2200"/>
    <n v="773"/>
    <n v="0"/>
    <n v="0"/>
    <n v="0"/>
    <n v="0"/>
    <n v="0"/>
    <n v="0"/>
    <n v="1420"/>
    <n v="2470"/>
    <n v="0"/>
    <n v="0"/>
    <n v="0"/>
    <n v="4663"/>
    <n v="0"/>
  </r>
  <r>
    <x v="0"/>
    <x v="1"/>
    <x v="0"/>
    <s v="5846200"/>
    <n v="749510"/>
    <s v="Miscellaneous Expenses"/>
    <s v="Weight Clinic-SF-Shared Svc"/>
    <x v="0"/>
    <m/>
    <n v="0"/>
    <n v="0"/>
    <n v="0"/>
    <n v="0"/>
    <n v="0"/>
    <n v="0"/>
    <n v="0"/>
    <n v="240"/>
    <n v="-240"/>
    <n v="0"/>
    <n v="0"/>
    <n v="0"/>
    <n v="0"/>
    <n v="0"/>
  </r>
  <r>
    <x v="0"/>
    <x v="1"/>
    <x v="0"/>
    <s v="5846200"/>
    <n v="749510"/>
    <s v="Licenses"/>
    <s v="Weight Clinic-SF-Shared Svc"/>
    <x v="0"/>
    <n v="1002"/>
    <n v="0"/>
    <n v="0"/>
    <n v="530"/>
    <n v="0"/>
    <n v="0"/>
    <n v="0"/>
    <n v="0"/>
    <n v="0"/>
    <n v="0"/>
    <n v="0"/>
    <n v="0"/>
    <n v="0"/>
    <n v="530"/>
    <n v="0"/>
  </r>
  <r>
    <x v="0"/>
    <x v="1"/>
    <x v="0"/>
    <s v="5846200"/>
    <n v="749510"/>
    <s v="Uniforms"/>
    <s v="Weight Clinic-SF-Shared Svc"/>
    <x v="0"/>
    <n v="1028"/>
    <n v="0"/>
    <n v="0"/>
    <n v="0"/>
    <n v="0"/>
    <n v="0"/>
    <n v="0"/>
    <n v="0"/>
    <n v="0"/>
    <n v="0"/>
    <n v="0"/>
    <n v="759.35"/>
    <n v="-759.35"/>
    <n v="0"/>
    <n v="1518.7"/>
  </r>
  <r>
    <x v="0"/>
    <x v="1"/>
    <x v="0"/>
    <s v="5846200"/>
    <n v="749510"/>
    <s v="RICE Rewards"/>
    <s v="Weight Clinic-SF-Shared Svc"/>
    <x v="0"/>
    <n v="5100"/>
    <n v="0"/>
    <n v="0"/>
    <n v="0"/>
    <n v="0"/>
    <n v="0"/>
    <n v="302.94"/>
    <n v="0"/>
    <n v="0"/>
    <n v="240"/>
    <n v="0"/>
    <n v="0"/>
    <n v="0"/>
    <n v="542.94000000000005"/>
    <n v="0"/>
  </r>
  <r>
    <x v="0"/>
    <x v="1"/>
    <x v="0"/>
    <s v="5846200"/>
    <n v="749530"/>
    <s v="Mileage"/>
    <s v="Weight Clinic-SF-Shared Svc"/>
    <x v="0"/>
    <n v="1001"/>
    <n v="0"/>
    <n v="0"/>
    <n v="0"/>
    <n v="0"/>
    <n v="0"/>
    <n v="0"/>
    <n v="0"/>
    <n v="0"/>
    <n v="0"/>
    <n v="51.62"/>
    <n v="0"/>
    <n v="0"/>
    <n v="51.62"/>
    <n v="0"/>
  </r>
  <r>
    <x v="0"/>
    <x v="1"/>
    <x v="0"/>
    <s v="5846200"/>
    <n v="749535"/>
    <s v="Meetings"/>
    <s v="Weight Clinic-SF-Shared Svc"/>
    <x v="0"/>
    <m/>
    <n v="0"/>
    <n v="0"/>
    <n v="0"/>
    <n v="0"/>
    <n v="0"/>
    <n v="0"/>
    <n v="15.39"/>
    <n v="0"/>
    <n v="0"/>
    <n v="0"/>
    <n v="0"/>
    <n v="0"/>
    <n v="15.39"/>
    <n v="0"/>
  </r>
  <r>
    <x v="0"/>
    <x v="1"/>
    <x v="0"/>
    <s v="5846200"/>
    <n v="749550"/>
    <s v="Cash Over/Short"/>
    <s v="Weight Clinic-SF-Shared Svc"/>
    <x v="0"/>
    <m/>
    <n v="0"/>
    <n v="0"/>
    <n v="0"/>
    <n v="0"/>
    <n v="0"/>
    <n v="0"/>
    <n v="0"/>
    <n v="0"/>
    <n v="0"/>
    <n v="0"/>
    <n v="50"/>
    <n v="0"/>
    <n v="50"/>
    <n v="50"/>
  </r>
  <r>
    <x v="0"/>
    <x v="1"/>
    <x v="0"/>
    <s v="5846200"/>
    <n v="766010"/>
    <s v="Property Tax"/>
    <s v="Weight Clinic-SF-Shared Svc"/>
    <x v="0"/>
    <m/>
    <n v="28.56"/>
    <n v="28.56"/>
    <n v="28.56"/>
    <n v="28.56"/>
    <n v="28.56"/>
    <n v="28.56"/>
    <n v="28.56"/>
    <n v="28.56"/>
    <n v="28.56"/>
    <n v="-4.13"/>
    <n v="20.39"/>
    <n v="20.39"/>
    <n v="293.68999999999994"/>
    <n v="0"/>
  </r>
  <r>
    <x v="7"/>
    <x v="1"/>
    <x v="0"/>
    <s v="5847200"/>
    <n v="718050"/>
    <s v="Contract Svcs-Other"/>
    <s v="Rheumatology-SF-Shared Svc"/>
    <x v="0"/>
    <m/>
    <n v="42.65"/>
    <n v="42.64"/>
    <n v="0"/>
    <n v="42.64"/>
    <n v="42.64"/>
    <n v="42.65"/>
    <n v="85.3"/>
    <n v="28.2"/>
    <n v="28.2"/>
    <n v="0"/>
    <n v="28.2"/>
    <n v="0"/>
    <n v="383.11999999999995"/>
    <n v="28.2"/>
  </r>
  <r>
    <x v="7"/>
    <x v="1"/>
    <x v="0"/>
    <s v="5847200"/>
    <n v="718050"/>
    <s v="Document Shredding/Storage"/>
    <s v="Rheumatology-SF-Shared Svc"/>
    <x v="0"/>
    <n v="1012"/>
    <n v="27.14"/>
    <n v="15.33"/>
    <n v="23.18"/>
    <n v="23.65"/>
    <n v="18.600000000000001"/>
    <n v="26.55"/>
    <n v="26.28"/>
    <n v="16.52"/>
    <n v="20.5"/>
    <n v="21.64"/>
    <n v="20.83"/>
    <n v="21.53"/>
    <n v="261.75"/>
    <n v="-0.70000000000000284"/>
  </r>
  <r>
    <x v="7"/>
    <x v="1"/>
    <x v="0"/>
    <s v="5847200"/>
    <n v="718050"/>
    <s v="Physician Answering"/>
    <s v="Rheumatology-SF-Shared Svc"/>
    <x v="0"/>
    <n v="1015"/>
    <n v="98.4"/>
    <n v="98.6"/>
    <n v="115.8"/>
    <n v="48.2"/>
    <n v="111.2"/>
    <n v="123.4"/>
    <n v="123.6"/>
    <n v="73.400000000000006"/>
    <n v="132.80000000000001"/>
    <n v="211.6"/>
    <n v="98.4"/>
    <n v="73.400000000000006"/>
    <n v="1308.8000000000002"/>
    <n v="25"/>
  </r>
  <r>
    <x v="7"/>
    <x v="1"/>
    <x v="0"/>
    <s v="5847200"/>
    <n v="718050"/>
    <s v="Translation Services"/>
    <s v="Rheumatology-SF-Shared Svc"/>
    <x v="0"/>
    <n v="1025"/>
    <n v="12.42"/>
    <n v="0"/>
    <n v="0"/>
    <n v="0"/>
    <n v="0"/>
    <n v="0.79"/>
    <n v="0"/>
    <n v="0"/>
    <n v="0"/>
    <n v="0"/>
    <n v="0"/>
    <n v="0"/>
    <n v="13.21"/>
    <n v="0"/>
  </r>
  <r>
    <x v="7"/>
    <x v="1"/>
    <x v="0"/>
    <s v="5847200"/>
    <n v="718050"/>
    <s v="Purchased Srvcs--Medical Waste"/>
    <s v="Rheumatology-SF-Shared Svc"/>
    <x v="0"/>
    <n v="1027"/>
    <n v="41.44"/>
    <n v="41.44"/>
    <n v="41.44"/>
    <n v="0"/>
    <n v="41.44"/>
    <n v="41.44"/>
    <n v="82.88"/>
    <n v="41.44"/>
    <n v="0"/>
    <n v="82.88"/>
    <n v="0"/>
    <n v="41.44"/>
    <n v="455.84"/>
    <n v="-41.44"/>
  </r>
  <r>
    <x v="11"/>
    <x v="1"/>
    <x v="0"/>
    <s v="5847200"/>
    <n v="721810"/>
    <s v="Supplies-Dietary/Cafeteria"/>
    <s v="Rheumatology-SF-Shared Svc"/>
    <x v="0"/>
    <m/>
    <n v="0"/>
    <n v="0"/>
    <n v="261.52999999999997"/>
    <n v="0"/>
    <n v="0"/>
    <n v="0"/>
    <n v="0"/>
    <n v="0"/>
    <n v="0"/>
    <n v="0"/>
    <n v="0"/>
    <n v="0"/>
    <n v="261.52999999999997"/>
    <n v="0"/>
  </r>
  <r>
    <x v="11"/>
    <x v="1"/>
    <x v="0"/>
    <s v="5847200"/>
    <n v="721830"/>
    <s v="Supplies-Office"/>
    <s v="Rheumatology-SF-Shared Svc"/>
    <x v="0"/>
    <m/>
    <n v="0"/>
    <n v="86.89"/>
    <n v="0"/>
    <n v="0"/>
    <n v="0"/>
    <n v="0"/>
    <n v="0"/>
    <n v="0"/>
    <n v="0"/>
    <n v="0"/>
    <n v="0"/>
    <n v="0"/>
    <n v="86.89"/>
    <n v="0"/>
  </r>
  <r>
    <x v="12"/>
    <x v="1"/>
    <x v="0"/>
    <s v="5847200"/>
    <n v="730020"/>
    <s v="Rental and Leases-Copier Usage Fees (DO NOT USE)"/>
    <s v="Rheumatology-SF-Shared Svc"/>
    <x v="0"/>
    <n v="5100"/>
    <n v="55.47"/>
    <n v="57.41"/>
    <n v="56.44"/>
    <n v="56.44"/>
    <n v="56.44"/>
    <n v="56.44"/>
    <n v="-351.17"/>
    <n v="0"/>
    <n v="0"/>
    <n v="0"/>
    <n v="0"/>
    <n v="0"/>
    <n v="-12.53000000000003"/>
    <n v="0"/>
  </r>
  <r>
    <x v="13"/>
    <x v="1"/>
    <x v="0"/>
    <s v="5847200"/>
    <n v="735050"/>
    <s v="Amortization-Leasehold Improvements"/>
    <s v="Rheumatology-SF-Shared Svc"/>
    <x v="0"/>
    <m/>
    <n v="1141.1400000000001"/>
    <n v="1141.1400000000001"/>
    <n v="1141.1400000000001"/>
    <n v="1141.1300000000001"/>
    <n v="1141.1500000000001"/>
    <n v="1141.1300000000001"/>
    <n v="1141.1500000000001"/>
    <n v="1141.1199999999999"/>
    <n v="1141.1500000000001"/>
    <n v="1141.1199999999999"/>
    <n v="1141.1500000000001"/>
    <n v="1141.1199999999999"/>
    <n v="13693.640000000003"/>
    <n v="3.0000000000200089E-2"/>
  </r>
  <r>
    <x v="13"/>
    <x v="1"/>
    <x v="0"/>
    <s v="5847200"/>
    <n v="735070"/>
    <s v="Depreciation-Movable Equipment"/>
    <s v="Rheumatology-SF-Shared Svc"/>
    <x v="0"/>
    <m/>
    <n v="417.74"/>
    <n v="417.74"/>
    <n v="417.75"/>
    <n v="417.73"/>
    <n v="417.76"/>
    <n v="417.72"/>
    <n v="417.76"/>
    <n v="417.72"/>
    <n v="417.78"/>
    <n v="417.72"/>
    <n v="417.78"/>
    <n v="417.72"/>
    <n v="5012.920000000001"/>
    <n v="5.999999999994543E-2"/>
  </r>
  <r>
    <x v="0"/>
    <x v="1"/>
    <x v="0"/>
    <s v="5847200"/>
    <n v="743030"/>
    <s v="Subscriptions--Institutional"/>
    <s v="Rheumatology-SF-Shared Svc"/>
    <x v="0"/>
    <m/>
    <n v="0"/>
    <n v="0"/>
    <n v="0"/>
    <n v="0"/>
    <n v="0"/>
    <n v="0"/>
    <n v="0"/>
    <n v="0"/>
    <n v="13"/>
    <n v="0"/>
    <n v="0"/>
    <n v="0"/>
    <n v="13"/>
    <n v="0"/>
  </r>
  <r>
    <x v="0"/>
    <x v="1"/>
    <x v="0"/>
    <s v="5847200"/>
    <n v="766010"/>
    <s v="Property Tax"/>
    <s v="Rheumatology-SF-Shared Svc"/>
    <x v="0"/>
    <m/>
    <n v="3.85"/>
    <n v="3.85"/>
    <n v="3.85"/>
    <n v="-11.73"/>
    <n v="0"/>
    <n v="0"/>
    <n v="3.85"/>
    <n v="3.85"/>
    <n v="3.85"/>
    <n v="23.46"/>
    <n v="0"/>
    <n v="0"/>
    <n v="34.83"/>
    <n v="0"/>
  </r>
  <r>
    <x v="14"/>
    <x v="1"/>
    <x v="0"/>
    <s v="5848200"/>
    <n v="600050"/>
    <s v="Miscellaneous Revenue"/>
    <s v="Ortho/Sport Med-FW-Shared Svc"/>
    <x v="0"/>
    <m/>
    <n v="0"/>
    <n v="0"/>
    <n v="0"/>
    <n v="0"/>
    <n v="0"/>
    <n v="0"/>
    <n v="0"/>
    <n v="-1.9"/>
    <n v="0"/>
    <n v="0"/>
    <n v="0"/>
    <n v="0"/>
    <n v="-1.9"/>
    <n v="0"/>
  </r>
  <r>
    <x v="5"/>
    <x v="1"/>
    <x v="0"/>
    <s v="5848200"/>
    <n v="700014"/>
    <s v="Salaries-Management-Productive"/>
    <s v="Ortho/Sport Med-FW-Shared Svc"/>
    <x v="0"/>
    <m/>
    <n v="6420.8"/>
    <n v="3531.44"/>
    <n v="6741.84"/>
    <n v="7863.36"/>
    <n v="5277.44"/>
    <n v="6135.02"/>
    <n v="6276.45"/>
    <n v="6408.29"/>
    <n v="6441.33"/>
    <n v="6821.19"/>
    <n v="7382.75"/>
    <n v="5945.84"/>
    <n v="75245.75"/>
    <n v="1436.9099999999999"/>
  </r>
  <r>
    <x v="5"/>
    <x v="1"/>
    <x v="0"/>
    <s v="5848200"/>
    <n v="700032"/>
    <s v="Salaries-Other Pat Care Providers-Productive"/>
    <s v="Ortho/Sport Med-FW-Shared Svc"/>
    <x v="0"/>
    <m/>
    <n v="0"/>
    <n v="0"/>
    <n v="1753.46"/>
    <n v="7934.74"/>
    <n v="7231.28"/>
    <n v="5741.78"/>
    <n v="7085.82"/>
    <n v="5786.28"/>
    <n v="6903.39"/>
    <n v="7104.25"/>
    <n v="6528.42"/>
    <n v="6563.52"/>
    <n v="62632.94"/>
    <n v="-35.100000000000364"/>
  </r>
  <r>
    <x v="5"/>
    <x v="1"/>
    <x v="0"/>
    <s v="5848200"/>
    <n v="700032"/>
    <s v="Salaries-Other Pat Care Providers-OT"/>
    <s v="Ortho/Sport Med-FW-Shared Svc"/>
    <x v="0"/>
    <n v="1000"/>
    <n v="0"/>
    <n v="0"/>
    <n v="0"/>
    <n v="116.02"/>
    <n v="6.11"/>
    <n v="0.01"/>
    <n v="39.78"/>
    <n v="22.94"/>
    <n v="-9.16"/>
    <n v="78.05"/>
    <n v="44.45"/>
    <n v="-0.02"/>
    <n v="298.18"/>
    <n v="44.470000000000006"/>
  </r>
  <r>
    <x v="5"/>
    <x v="1"/>
    <x v="0"/>
    <s v="5848200"/>
    <n v="700032"/>
    <s v="Salaries-Other Pat Care Providers-Other"/>
    <s v="Ortho/Sport Med-FW-Shared Svc"/>
    <x v="0"/>
    <n v="2000"/>
    <n v="0"/>
    <n v="0"/>
    <n v="60"/>
    <n v="0"/>
    <n v="0"/>
    <n v="0"/>
    <n v="0"/>
    <n v="0"/>
    <n v="0"/>
    <n v="0"/>
    <n v="0"/>
    <n v="0"/>
    <n v="60"/>
    <n v="0"/>
  </r>
  <r>
    <x v="5"/>
    <x v="1"/>
    <x v="0"/>
    <s v="5848200"/>
    <n v="700038"/>
    <s v="Salaries-Service/Support-Productive"/>
    <s v="Ortho/Sport Med-FW-Shared Svc"/>
    <x v="0"/>
    <m/>
    <n v="20002.13"/>
    <n v="22169.56"/>
    <n v="17279.05"/>
    <n v="23934.73"/>
    <n v="21963.279999999999"/>
    <n v="16986.919999999998"/>
    <n v="21721.99"/>
    <n v="21636.74"/>
    <n v="23244.06"/>
    <n v="26200.52"/>
    <n v="26790.42"/>
    <n v="20172.95"/>
    <n v="262102.34999999998"/>
    <n v="6617.4699999999975"/>
  </r>
  <r>
    <x v="5"/>
    <x v="1"/>
    <x v="0"/>
    <s v="5848200"/>
    <n v="700038"/>
    <s v="Salaries-Service/Support-OT"/>
    <s v="Ortho/Sport Med-FW-Shared Svc"/>
    <x v="0"/>
    <n v="1000"/>
    <n v="0"/>
    <n v="0"/>
    <n v="12.9"/>
    <n v="82.6"/>
    <n v="7.14"/>
    <n v="93.83"/>
    <n v="12.1"/>
    <n v="15.46"/>
    <n v="133.34"/>
    <n v="12.41"/>
    <n v="-4.26"/>
    <n v="46.44"/>
    <n v="411.96000000000004"/>
    <n v="-50.699999999999996"/>
  </r>
  <r>
    <x v="5"/>
    <x v="1"/>
    <x v="0"/>
    <s v="5848200"/>
    <n v="700038"/>
    <s v="Salaries-Service/Support-Other"/>
    <s v="Ortho/Sport Med-FW-Shared Svc"/>
    <x v="0"/>
    <n v="2000"/>
    <n v="0"/>
    <n v="0"/>
    <n v="0"/>
    <n v="0"/>
    <n v="0"/>
    <n v="0"/>
    <n v="0"/>
    <n v="30.04"/>
    <n v="0"/>
    <n v="0"/>
    <n v="0"/>
    <n v="0"/>
    <n v="30.04"/>
    <n v="0"/>
  </r>
  <r>
    <x v="5"/>
    <x v="1"/>
    <x v="0"/>
    <s v="5848200"/>
    <n v="700054"/>
    <s v="Salaries-Management-Non-productive"/>
    <s v="Ortho/Sport Med-FW-Shared Svc"/>
    <x v="0"/>
    <m/>
    <n v="642.08000000000004"/>
    <n v="3852.48"/>
    <n v="-321.04000000000002"/>
    <n v="-321.04000000000002"/>
    <n v="1979.04"/>
    <n v="791.61"/>
    <n v="1321.48"/>
    <n v="198.2"/>
    <n v="495.48"/>
    <n v="445.92"/>
    <n v="214.72"/>
    <n v="660.64"/>
    <n v="9959.57"/>
    <n v="-445.91999999999996"/>
  </r>
  <r>
    <x v="5"/>
    <x v="1"/>
    <x v="0"/>
    <s v="5848200"/>
    <n v="700054"/>
    <s v="Salaries-Management-NonProd-Other"/>
    <s v="Ortho/Sport Med-FW-Shared Svc"/>
    <x v="0"/>
    <n v="2000"/>
    <n v="0"/>
    <n v="0"/>
    <n v="0"/>
    <n v="0"/>
    <n v="0"/>
    <n v="1306.6099999999999"/>
    <n v="-1306.6099999999999"/>
    <n v="0"/>
    <n v="0"/>
    <n v="0"/>
    <n v="0"/>
    <n v="0"/>
    <n v="0"/>
    <n v="0"/>
  </r>
  <r>
    <x v="5"/>
    <x v="1"/>
    <x v="0"/>
    <s v="5848200"/>
    <n v="700072"/>
    <s v="Salaries-Other Pat Care Providers-Non-productive"/>
    <s v="Ortho/Sport Med-FW-Shared Svc"/>
    <x v="0"/>
    <m/>
    <n v="0"/>
    <n v="0"/>
    <n v="0"/>
    <n v="0"/>
    <n v="0"/>
    <n v="257.81"/>
    <n v="455.94"/>
    <n v="709.05"/>
    <n v="-40.86"/>
    <n v="71.37"/>
    <n v="978.72"/>
    <n v="-45.73"/>
    <n v="2386.2999999999997"/>
    <n v="1024.45"/>
  </r>
  <r>
    <x v="5"/>
    <x v="1"/>
    <x v="0"/>
    <s v="5848200"/>
    <n v="700072"/>
    <s v="Salaries-Other Pat Care Providers-NonProd-Other"/>
    <s v="Ortho/Sport Med-FW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48200"/>
    <n v="700078"/>
    <s v="Salaries-Service/Support-Non-productive"/>
    <s v="Ortho/Sport Med-FW-Shared Svc"/>
    <x v="0"/>
    <m/>
    <n v="3020.89"/>
    <n v="2693.13"/>
    <n v="3644.42"/>
    <n v="1385.76"/>
    <n v="2346.81"/>
    <n v="5156.33"/>
    <n v="3667.62"/>
    <n v="2022.99"/>
    <n v="3339.94"/>
    <n v="1117.46"/>
    <n v="1567.21"/>
    <n v="4910.1499999999996"/>
    <n v="34872.71"/>
    <n v="-3342.9399999999996"/>
  </r>
  <r>
    <x v="5"/>
    <x v="1"/>
    <x v="0"/>
    <s v="5848200"/>
    <n v="700078"/>
    <s v="Salaries-Service/Support-NonProd-Other"/>
    <s v="Ortho/Sport Med-FW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48200"/>
    <n v="700084"/>
    <s v="Accrued PTO"/>
    <s v="Ortho/Sport Med-FW-Shared Svc"/>
    <x v="0"/>
    <m/>
    <n v="15.68"/>
    <n v="-1688.56"/>
    <n v="-711.23"/>
    <n v="2620.66"/>
    <n v="929.11"/>
    <n v="-2104.48"/>
    <n v="-855.16"/>
    <n v="966.8"/>
    <n v="3061.11"/>
    <n v="1810.36"/>
    <n v="2132.77"/>
    <n v="249.95"/>
    <n v="6427.0099999999993"/>
    <n v="1882.82"/>
  </r>
  <r>
    <x v="10"/>
    <x v="1"/>
    <x v="0"/>
    <s v="5848200"/>
    <n v="710060"/>
    <s v="Contract Labor-Other"/>
    <s v="Ortho/Sport Med-FW-Shared Svc"/>
    <x v="0"/>
    <m/>
    <n v="0"/>
    <n v="0"/>
    <n v="0"/>
    <n v="0"/>
    <n v="0"/>
    <n v="0"/>
    <n v="0"/>
    <n v="0"/>
    <n v="122.25"/>
    <n v="0"/>
    <n v="0"/>
    <n v="0"/>
    <n v="122.25"/>
    <n v="0"/>
  </r>
  <r>
    <x v="6"/>
    <x v="1"/>
    <x v="0"/>
    <s v="5848200"/>
    <n v="713010"/>
    <s v="Benefits-FICA/Medicare"/>
    <s v="Ortho/Sport Med-FW-Shared Svc"/>
    <x v="0"/>
    <m/>
    <n v="2162.1999999999998"/>
    <n v="2321.2199999999998"/>
    <n v="2107.23"/>
    <n v="2988.24"/>
    <n v="2789.1"/>
    <n v="2635.25"/>
    <n v="3037.74"/>
    <n v="2691.24"/>
    <n v="2957.79"/>
    <n v="3056.74"/>
    <n v="3141.35"/>
    <n v="2789.33"/>
    <n v="32677.43"/>
    <n v="352.02"/>
  </r>
  <r>
    <x v="6"/>
    <x v="1"/>
    <x v="0"/>
    <s v="5848200"/>
    <n v="713090"/>
    <s v="Benefits-Allocated Amounts"/>
    <s v="Ortho/Sport Med-FW-Shared Svc"/>
    <x v="0"/>
    <m/>
    <n v="7930.15"/>
    <n v="7351.44"/>
    <n v="8104.91"/>
    <n v="10159.34"/>
    <n v="10119.9"/>
    <n v="10284.629999999999"/>
    <n v="11566.45"/>
    <n v="11561.02"/>
    <n v="11810.52"/>
    <n v="11644.14"/>
    <n v="12093.74"/>
    <n v="12074"/>
    <n v="124700.24"/>
    <n v="19.739999999999782"/>
  </r>
  <r>
    <x v="6"/>
    <x v="1"/>
    <x v="0"/>
    <s v="5848200"/>
    <n v="713096"/>
    <s v="Employee Recognition"/>
    <s v="Ortho/Sport Med-FW-Shared Svc"/>
    <x v="0"/>
    <n v="1017"/>
    <n v="0"/>
    <n v="0"/>
    <n v="0"/>
    <n v="0"/>
    <n v="0"/>
    <n v="0"/>
    <n v="0"/>
    <n v="0"/>
    <n v="132.04"/>
    <n v="0"/>
    <n v="0"/>
    <n v="0"/>
    <n v="132.04"/>
    <n v="0"/>
  </r>
  <r>
    <x v="7"/>
    <x v="1"/>
    <x v="0"/>
    <s v="5848200"/>
    <n v="718010"/>
    <s v="Media/Print Advertising"/>
    <s v="Ortho/Sport Med-FW-Shared Svc"/>
    <x v="0"/>
    <n v="1004"/>
    <n v="97.59"/>
    <n v="0"/>
    <n v="175.18"/>
    <n v="0"/>
    <n v="0"/>
    <n v="0"/>
    <n v="98.92"/>
    <n v="0"/>
    <n v="0"/>
    <n v="544.25"/>
    <n v="0"/>
    <n v="462.8"/>
    <n v="1378.74"/>
    <n v="-462.8"/>
  </r>
  <r>
    <x v="7"/>
    <x v="1"/>
    <x v="0"/>
    <s v="5848200"/>
    <n v="718040"/>
    <s v="Contract Svcs-Laboratory"/>
    <s v="Ortho/Sport Med-FW-Shared Svc"/>
    <x v="0"/>
    <m/>
    <n v="0"/>
    <n v="0"/>
    <n v="0"/>
    <n v="0"/>
    <n v="0"/>
    <n v="0"/>
    <n v="0"/>
    <n v="75.430000000000007"/>
    <n v="0"/>
    <n v="0"/>
    <n v="0"/>
    <n v="0"/>
    <n v="75.430000000000007"/>
    <n v="0"/>
  </r>
  <r>
    <x v="7"/>
    <x v="1"/>
    <x v="0"/>
    <s v="5848200"/>
    <n v="718050"/>
    <s v="Contract Svcs-Other"/>
    <s v="Ortho/Sport Med-FW-Shared Svc"/>
    <x v="0"/>
    <m/>
    <n v="147.08000000000001"/>
    <n v="207.17"/>
    <n v="329.33"/>
    <n v="234.07"/>
    <n v="11.8"/>
    <n v="207.17"/>
    <n v="110.12"/>
    <n v="183.57"/>
    <n v="60.09"/>
    <n v="237.25"/>
    <n v="48.29"/>
    <n v="149.12"/>
    <n v="1925.0599999999995"/>
    <n v="-100.83000000000001"/>
  </r>
  <r>
    <x v="7"/>
    <x v="1"/>
    <x v="0"/>
    <s v="5848200"/>
    <n v="718050"/>
    <s v="Cleaning Services"/>
    <s v="Ortho/Sport Med-FW-Shared Svc"/>
    <x v="0"/>
    <n v="1011"/>
    <n v="1200"/>
    <n v="1200"/>
    <n v="1200"/>
    <n v="1200"/>
    <n v="1200"/>
    <n v="0"/>
    <n v="2400"/>
    <n v="1200"/>
    <n v="1200"/>
    <n v="1200"/>
    <n v="1200"/>
    <n v="1200"/>
    <n v="14400"/>
    <n v="0"/>
  </r>
  <r>
    <x v="7"/>
    <x v="1"/>
    <x v="0"/>
    <s v="5848200"/>
    <n v="718050"/>
    <s v="Document Shredding/Storage"/>
    <s v="Ortho/Sport Med-FW-Shared Svc"/>
    <x v="0"/>
    <n v="1012"/>
    <n v="340.92"/>
    <n v="179.65"/>
    <n v="271.68"/>
    <n v="257.82"/>
    <n v="475.61"/>
    <n v="307.49"/>
    <n v="304.41000000000003"/>
    <n v="78.959999999999994"/>
    <n v="217.73"/>
    <n v="275.02"/>
    <n v="236.87"/>
    <n v="296.20999999999998"/>
    <n v="3242.37"/>
    <n v="-59.339999999999975"/>
  </r>
  <r>
    <x v="7"/>
    <x v="1"/>
    <x v="0"/>
    <s v="5848200"/>
    <n v="718050"/>
    <s v="Physician Answering"/>
    <s v="Ortho/Sport Med-FW-Shared Svc"/>
    <x v="0"/>
    <n v="1015"/>
    <n v="877.8"/>
    <n v="1239.2"/>
    <n v="927"/>
    <n v="455.6"/>
    <n v="1240.4000000000001"/>
    <n v="874.6"/>
    <n v="1328.4"/>
    <n v="1103.5999999999999"/>
    <n v="1031"/>
    <n v="1285"/>
    <n v="1230.5999999999999"/>
    <n v="1112.5999999999999"/>
    <n v="12705.800000000001"/>
    <n v="118"/>
  </r>
  <r>
    <x v="7"/>
    <x v="1"/>
    <x v="0"/>
    <s v="5848200"/>
    <n v="718050"/>
    <s v="Miscellaneous Purchased Svcs"/>
    <s v="Ortho/Sport Med-FW-Shared Svc"/>
    <x v="0"/>
    <n v="1020"/>
    <n v="57.75"/>
    <n v="57.75"/>
    <n v="0"/>
    <n v="173.25"/>
    <n v="0"/>
    <n v="0"/>
    <n v="168.53"/>
    <n v="0"/>
    <n v="168.53"/>
    <n v="0"/>
    <n v="57.43"/>
    <n v="0"/>
    <n v="683.2399999999999"/>
    <n v="57.43"/>
  </r>
  <r>
    <x v="7"/>
    <x v="1"/>
    <x v="0"/>
    <s v="5848200"/>
    <n v="718050"/>
    <s v="Translation Services"/>
    <s v="Ortho/Sport Med-FW-Shared Svc"/>
    <x v="0"/>
    <n v="1025"/>
    <n v="298.5"/>
    <n v="32"/>
    <n v="1079"/>
    <n v="0"/>
    <n v="0"/>
    <n v="318"/>
    <n v="399"/>
    <n v="603"/>
    <n v="465.5"/>
    <n v="0"/>
    <n v="1301.3399999999999"/>
    <n v="0"/>
    <n v="4496.34"/>
    <n v="1301.3399999999999"/>
  </r>
  <r>
    <x v="7"/>
    <x v="1"/>
    <x v="0"/>
    <s v="5848200"/>
    <n v="718050"/>
    <s v="Purchased Srvcs--Medical Waste"/>
    <s v="Ortho/Sport Med-FW-Shared Svc"/>
    <x v="0"/>
    <n v="1027"/>
    <n v="89.11"/>
    <n v="125.82"/>
    <n v="68.39"/>
    <n v="0"/>
    <n v="10.96"/>
    <n v="68.39"/>
    <n v="136.78"/>
    <n v="68.39"/>
    <n v="114.86"/>
    <n v="79.349999999999994"/>
    <n v="0"/>
    <n v="10.96"/>
    <n v="773.01"/>
    <n v="-10.96"/>
  </r>
  <r>
    <x v="7"/>
    <x v="1"/>
    <x v="0"/>
    <s v="5848200"/>
    <n v="718070"/>
    <s v="Contract Srvcs-CHI Clinical Engineering"/>
    <s v="Ortho/Sport Med-FW-Shared Svc"/>
    <x v="0"/>
    <m/>
    <n v="739.17"/>
    <n v="577"/>
    <n v="715.5"/>
    <n v="7.93"/>
    <n v="920"/>
    <n v="920"/>
    <n v="1012"/>
    <n v="0"/>
    <n v="0"/>
    <n v="733.7"/>
    <n v="0"/>
    <n v="0"/>
    <n v="5625.3"/>
    <n v="0"/>
  </r>
  <r>
    <x v="7"/>
    <x v="1"/>
    <x v="0"/>
    <s v="5848200"/>
    <n v="718077"/>
    <s v="PACS"/>
    <s v="Ortho/Sport Med-FW-Shared Svc"/>
    <x v="0"/>
    <n v="1000"/>
    <n v="866.25"/>
    <n v="888.75"/>
    <n v="704.25"/>
    <n v="956.25"/>
    <n v="798.75"/>
    <n v="857.25"/>
    <n v="1050.75"/>
    <n v="789.75"/>
    <n v="474.75"/>
    <n v="1055.25"/>
    <n v="1161"/>
    <n v="1037.25"/>
    <n v="10640.25"/>
    <n v="123.75"/>
  </r>
  <r>
    <x v="11"/>
    <x v="1"/>
    <x v="0"/>
    <s v="5848200"/>
    <n v="721250"/>
    <s v="Supplies-Pharmacy Drugs - Billable"/>
    <s v="Ortho/Sport Med-FW-Shared Svc"/>
    <x v="0"/>
    <m/>
    <n v="20810.97"/>
    <n v="31231.89"/>
    <n v="12446.1"/>
    <n v="19095.72"/>
    <n v="20928.349999999999"/>
    <n v="12789.43"/>
    <n v="24734.17"/>
    <n v="11148.79"/>
    <n v="25904.799999999999"/>
    <n v="14586.05"/>
    <n v="48081.67"/>
    <n v="22652.62"/>
    <n v="264410.56"/>
    <n v="25429.05"/>
  </r>
  <r>
    <x v="11"/>
    <x v="1"/>
    <x v="0"/>
    <s v="5848200"/>
    <n v="721410"/>
    <s v="Supplies-Medical - Nonbillable"/>
    <s v="Ortho/Sport Med-FW-Shared Svc"/>
    <x v="0"/>
    <m/>
    <n v="2716.75"/>
    <n v="2253.17"/>
    <n v="1722.32"/>
    <n v="1153.82"/>
    <n v="2757.09"/>
    <n v="836.01"/>
    <n v="1765.74"/>
    <n v="1024.96"/>
    <n v="2743.68"/>
    <n v="2147.91"/>
    <n v="-17"/>
    <n v="5528.7"/>
    <n v="24633.15"/>
    <n v="-5545.7"/>
  </r>
  <r>
    <x v="11"/>
    <x v="1"/>
    <x v="0"/>
    <s v="5848200"/>
    <n v="721750"/>
    <s v="Supplies-Film/Radiographic - Nonbillable"/>
    <s v="Ortho/Sport Med-FW-Shared Svc"/>
    <x v="0"/>
    <m/>
    <n v="0"/>
    <n v="0"/>
    <n v="0"/>
    <n v="0"/>
    <n v="0"/>
    <n v="0"/>
    <n v="71"/>
    <n v="0"/>
    <n v="0"/>
    <n v="0"/>
    <n v="0"/>
    <n v="0"/>
    <n v="71"/>
    <n v="0"/>
  </r>
  <r>
    <x v="11"/>
    <x v="1"/>
    <x v="0"/>
    <s v="5848200"/>
    <n v="721810"/>
    <s v="Supplies-Dietary/Cafeteria"/>
    <s v="Ortho/Sport Med-FW-Shared Svc"/>
    <x v="0"/>
    <m/>
    <n v="0"/>
    <n v="0"/>
    <n v="0"/>
    <n v="151.47999999999999"/>
    <n v="0"/>
    <n v="0"/>
    <n v="72.14"/>
    <n v="0"/>
    <n v="0"/>
    <n v="0"/>
    <n v="173.69"/>
    <n v="0"/>
    <n v="397.31"/>
    <n v="173.69"/>
  </r>
  <r>
    <x v="11"/>
    <x v="1"/>
    <x v="0"/>
    <s v="5848200"/>
    <n v="721830"/>
    <s v="Supplies-Office"/>
    <s v="Ortho/Sport Med-FW-Shared Svc"/>
    <x v="0"/>
    <m/>
    <n v="514.5"/>
    <n v="513.78"/>
    <n v="974.97"/>
    <n v="568.53"/>
    <n v="422.79"/>
    <n v="648.98"/>
    <n v="935.56"/>
    <n v="621.44000000000005"/>
    <n v="569.41999999999996"/>
    <n v="632.27"/>
    <n v="459.25"/>
    <n v="834.87"/>
    <n v="7696.36"/>
    <n v="-375.62"/>
  </r>
  <r>
    <x v="11"/>
    <x v="1"/>
    <x v="0"/>
    <s v="5848200"/>
    <n v="721835"/>
    <s v="Supplies-Forms"/>
    <s v="Ortho/Sport Med-FW-Shared Svc"/>
    <x v="0"/>
    <m/>
    <n v="0"/>
    <n v="0"/>
    <n v="0"/>
    <n v="0"/>
    <n v="9"/>
    <n v="0"/>
    <n v="0"/>
    <n v="0"/>
    <n v="0"/>
    <n v="0"/>
    <n v="0"/>
    <n v="28.75"/>
    <n v="37.75"/>
    <n v="-28.75"/>
  </r>
  <r>
    <x v="11"/>
    <x v="1"/>
    <x v="0"/>
    <s v="5848200"/>
    <n v="721880"/>
    <s v="Supplies-Linen"/>
    <s v="Ortho/Sport Med-FW-Shared Svc"/>
    <x v="0"/>
    <m/>
    <n v="0"/>
    <n v="0"/>
    <n v="0"/>
    <n v="0"/>
    <n v="0"/>
    <n v="140.77000000000001"/>
    <n v="0"/>
    <n v="0"/>
    <n v="0"/>
    <n v="0"/>
    <n v="0"/>
    <n v="0"/>
    <n v="140.77000000000001"/>
    <n v="0"/>
  </r>
  <r>
    <x v="11"/>
    <x v="1"/>
    <x v="0"/>
    <s v="5848200"/>
    <n v="721910"/>
    <s v="Supplies-Small Equipment"/>
    <s v="Ortho/Sport Med-FW-Shared Svc"/>
    <x v="0"/>
    <m/>
    <n v="0"/>
    <n v="0"/>
    <n v="0"/>
    <n v="-262.39999999999998"/>
    <n v="0"/>
    <n v="0"/>
    <n v="0"/>
    <n v="865.31"/>
    <n v="87.39"/>
    <n v="1002.09"/>
    <n v="0"/>
    <n v="0"/>
    <n v="1692.3899999999999"/>
    <n v="0"/>
  </r>
  <r>
    <x v="11"/>
    <x v="1"/>
    <x v="0"/>
    <s v="5848200"/>
    <n v="722000"/>
    <s v="Supplies-Freight Expense"/>
    <s v="Ortho/Sport Med-FW-Shared Svc"/>
    <x v="0"/>
    <m/>
    <n v="0"/>
    <n v="0"/>
    <n v="0"/>
    <n v="0"/>
    <n v="0"/>
    <n v="0"/>
    <n v="0"/>
    <n v="0"/>
    <n v="0"/>
    <n v="0"/>
    <n v="17"/>
    <n v="0"/>
    <n v="17"/>
    <n v="17"/>
  </r>
  <r>
    <x v="12"/>
    <x v="1"/>
    <x v="0"/>
    <s v="5848200"/>
    <n v="730010"/>
    <s v="Rental and Leases-Building (DO NOT USE)"/>
    <s v="Ortho/Sport Med-FW-Shared Svc"/>
    <x v="0"/>
    <m/>
    <n v="19929.169999999998"/>
    <n v="24108.59"/>
    <n v="20526.23"/>
    <n v="20526.23"/>
    <n v="20526.23"/>
    <n v="-13690.99"/>
    <n v="15420.42"/>
    <n v="15420.42"/>
    <n v="15420.42"/>
    <n v="15420.42"/>
    <n v="15420.42"/>
    <n v="0"/>
    <n v="169027.56"/>
    <n v="15420.42"/>
  </r>
  <r>
    <x v="12"/>
    <x v="1"/>
    <x v="0"/>
    <s v="5848200"/>
    <n v="730010"/>
    <s v="Rental-Common Area Maint (DO NOT USE)"/>
    <s v="Ortho/Sport Med-FW-Shared Svc"/>
    <x v="0"/>
    <n v="2200"/>
    <n v="0"/>
    <n v="0"/>
    <n v="0"/>
    <n v="0"/>
    <n v="0"/>
    <n v="34217.22"/>
    <n v="5410.51"/>
    <n v="5258.16"/>
    <n v="5258.16"/>
    <n v="5258.16"/>
    <n v="5258.16"/>
    <n v="0"/>
    <n v="60660.37000000001"/>
    <n v="5258.16"/>
  </r>
  <r>
    <x v="12"/>
    <x v="1"/>
    <x v="0"/>
    <s v="5848200"/>
    <n v="730020"/>
    <s v="Rental and Leases-Equipment (DO NOT USE)"/>
    <s v="Ortho/Sport Med-FW-Shared Svc"/>
    <x v="0"/>
    <m/>
    <n v="1267.08"/>
    <n v="633.54"/>
    <n v="633.54"/>
    <n v="0"/>
    <n v="633.54"/>
    <n v="1267.08"/>
    <n v="633.54"/>
    <n v="1854.16"/>
    <n v="633.54"/>
    <n v="663.67"/>
    <n v="633.54"/>
    <n v="633.54"/>
    <n v="9486.77"/>
    <n v="0"/>
  </r>
  <r>
    <x v="12"/>
    <x v="1"/>
    <x v="0"/>
    <s v="5848200"/>
    <n v="730020"/>
    <s v="Rental and Leases-Copier Usage Fees (DO NOT USE)"/>
    <s v="Ortho/Sport Med-FW-Shared Svc"/>
    <x v="0"/>
    <n v="5100"/>
    <n v="1114.21"/>
    <n v="1133.45"/>
    <n v="1123.83"/>
    <n v="1123.83"/>
    <n v="1123.83"/>
    <n v="1123.83"/>
    <n v="-8837.8700000000008"/>
    <n v="374.38"/>
    <n v="415.04"/>
    <n v="541.15"/>
    <n v="374.38"/>
    <n v="393.07"/>
    <n v="3.1299999999988017"/>
    <n v="-18.689999999999998"/>
  </r>
  <r>
    <x v="12"/>
    <x v="1"/>
    <x v="0"/>
    <s v="5848200"/>
    <n v="730040"/>
    <s v="LT Lease-Real Estate"/>
    <s v="Ortho/Sport Med-FW-Shared Svc"/>
    <x v="0"/>
    <m/>
    <n v="0"/>
    <n v="0"/>
    <n v="0"/>
    <n v="0"/>
    <n v="0"/>
    <n v="0"/>
    <n v="0"/>
    <n v="0"/>
    <n v="0"/>
    <n v="0"/>
    <n v="0"/>
    <n v="20678.580000000002"/>
    <n v="20678.580000000002"/>
    <n v="-20678.580000000002"/>
  </r>
  <r>
    <x v="15"/>
    <x v="1"/>
    <x v="0"/>
    <s v="5848200"/>
    <n v="731060"/>
    <s v="Pagers"/>
    <s v="Ortho/Sport Med-FW-Shared Svc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1"/>
    <x v="0"/>
    <s v="5848200"/>
    <n v="732030"/>
    <s v="Repairs---Other"/>
    <s v="Ortho/Sport Med-FW-Shared Svc"/>
    <x v="0"/>
    <m/>
    <n v="0"/>
    <n v="0"/>
    <n v="0"/>
    <n v="0"/>
    <n v="0"/>
    <n v="0"/>
    <n v="0"/>
    <n v="0"/>
    <n v="0"/>
    <n v="770"/>
    <n v="0"/>
    <n v="0"/>
    <n v="770"/>
    <n v="0"/>
  </r>
  <r>
    <x v="13"/>
    <x v="1"/>
    <x v="0"/>
    <s v="5848200"/>
    <n v="735070"/>
    <s v="Depreciation-Movable Equipment"/>
    <s v="Ortho/Sport Med-FW-Shared Svc"/>
    <x v="0"/>
    <m/>
    <n v="445.99"/>
    <n v="45.9"/>
    <n v="45.91"/>
    <n v="45.9"/>
    <n v="45.91"/>
    <n v="45.9"/>
    <n v="45.91"/>
    <n v="45.9"/>
    <n v="45.91"/>
    <n v="45.9"/>
    <n v="45.91"/>
    <n v="45.89"/>
    <n v="950.92999999999972"/>
    <n v="1.9999999999996021E-2"/>
  </r>
  <r>
    <x v="0"/>
    <x v="1"/>
    <x v="0"/>
    <s v="5848200"/>
    <n v="740020"/>
    <s v="Education-Registration Fees"/>
    <s v="Ortho/Sport Med-FW-Shared Svc"/>
    <x v="0"/>
    <m/>
    <n v="0"/>
    <n v="0"/>
    <n v="0"/>
    <n v="0"/>
    <n v="90"/>
    <n v="0"/>
    <n v="0"/>
    <n v="0"/>
    <n v="119.73"/>
    <n v="0"/>
    <n v="0"/>
    <n v="0"/>
    <n v="209.73000000000002"/>
    <n v="0"/>
  </r>
  <r>
    <x v="0"/>
    <x v="1"/>
    <x v="0"/>
    <s v="5848200"/>
    <n v="743030"/>
    <s v="Subscriptions--Institutional"/>
    <s v="Ortho/Sport Med-FW-Shared Svc"/>
    <x v="0"/>
    <m/>
    <n v="0"/>
    <n v="0"/>
    <n v="0"/>
    <n v="0"/>
    <n v="0"/>
    <n v="0"/>
    <n v="0"/>
    <n v="0"/>
    <n v="39"/>
    <n v="0"/>
    <n v="0"/>
    <n v="0"/>
    <n v="39"/>
    <n v="0"/>
  </r>
  <r>
    <x v="0"/>
    <x v="1"/>
    <x v="0"/>
    <s v="5848200"/>
    <n v="749510"/>
    <s v="Miscellaneous Expenses"/>
    <s v="Ortho/Sport Med-FW-Shared Svc"/>
    <x v="0"/>
    <m/>
    <n v="27.47"/>
    <n v="52.42"/>
    <n v="0"/>
    <n v="0"/>
    <n v="76.28"/>
    <n v="23.52"/>
    <n v="112.99"/>
    <n v="-112.99"/>
    <n v="49.9"/>
    <n v="0"/>
    <n v="74.849999999999994"/>
    <n v="0"/>
    <n v="304.44"/>
    <n v="74.849999999999994"/>
  </r>
  <r>
    <x v="0"/>
    <x v="1"/>
    <x v="0"/>
    <s v="5848200"/>
    <n v="749510"/>
    <s v="Licenses"/>
    <s v="Ortho/Sport Med-FW-Shared Svc"/>
    <x v="0"/>
    <n v="1002"/>
    <n v="0"/>
    <n v="0"/>
    <n v="265"/>
    <n v="0"/>
    <n v="0"/>
    <n v="357"/>
    <n v="0"/>
    <n v="0"/>
    <n v="0"/>
    <n v="0"/>
    <n v="0"/>
    <n v="0"/>
    <n v="622"/>
    <n v="0"/>
  </r>
  <r>
    <x v="0"/>
    <x v="1"/>
    <x v="0"/>
    <s v="5848200"/>
    <n v="749535"/>
    <s v="Meetings"/>
    <s v="Ortho/Sport Med-FW-Shared Svc"/>
    <x v="0"/>
    <m/>
    <n v="42.29"/>
    <n v="0"/>
    <n v="0"/>
    <n v="48.67"/>
    <n v="0"/>
    <n v="130.49"/>
    <n v="0"/>
    <n v="112.99"/>
    <n v="0"/>
    <n v="94.36"/>
    <n v="0"/>
    <n v="0"/>
    <n v="428.8"/>
    <n v="0"/>
  </r>
  <r>
    <x v="0"/>
    <x v="1"/>
    <x v="0"/>
    <s v="5848200"/>
    <n v="766010"/>
    <s v="Property Tax"/>
    <s v="Ortho/Sport Med-FW-Shared Svc"/>
    <x v="0"/>
    <m/>
    <n v="314.61"/>
    <n v="314.61"/>
    <n v="314.61"/>
    <n v="314.61"/>
    <n v="314.61"/>
    <n v="314.61"/>
    <n v="314.61"/>
    <n v="314.61"/>
    <n v="314.61"/>
    <n v="-70.83"/>
    <n v="218.26"/>
    <n v="218.26"/>
    <n v="3197.1800000000012"/>
    <n v="0"/>
  </r>
  <r>
    <x v="5"/>
    <x v="1"/>
    <x v="0"/>
    <s v="5849200"/>
    <n v="700014"/>
    <s v="Salaries-Management-Productive"/>
    <s v="Foot &amp; Ankle-Burien-Shared Svc"/>
    <x v="0"/>
    <m/>
    <n v="2931.45"/>
    <n v="3064.71"/>
    <n v="1665.6"/>
    <n v="3422.01"/>
    <n v="2961.03"/>
    <n v="2086.17"/>
    <n v="2156.73"/>
    <n v="2224.0300000000002"/>
    <n v="1785.96"/>
    <n v="3133.86"/>
    <n v="3100.18"/>
    <n v="1684.87"/>
    <n v="30216.6"/>
    <n v="1415.31"/>
  </r>
  <r>
    <x v="5"/>
    <x v="1"/>
    <x v="0"/>
    <s v="5849200"/>
    <n v="700038"/>
    <s v="Salaries-Service/Support-Productive"/>
    <s v="Foot &amp; Ankle-Burien-Shared Svc"/>
    <x v="0"/>
    <m/>
    <n v="9881.99"/>
    <n v="10694.55"/>
    <n v="8161.98"/>
    <n v="12217.27"/>
    <n v="9729.7800000000007"/>
    <n v="9332.58"/>
    <n v="7448.56"/>
    <n v="7273.91"/>
    <n v="10696.36"/>
    <n v="10241.31"/>
    <n v="11567.34"/>
    <n v="6096.49"/>
    <n v="113342.12000000001"/>
    <n v="5470.85"/>
  </r>
  <r>
    <x v="5"/>
    <x v="1"/>
    <x v="0"/>
    <s v="5849200"/>
    <n v="700038"/>
    <s v="Salaries-Service/Support-OT"/>
    <s v="Foot &amp; Ankle-Burien-Shared Svc"/>
    <x v="0"/>
    <n v="1000"/>
    <n v="63.54"/>
    <n v="187.45"/>
    <n v="73.67"/>
    <n v="156.04"/>
    <n v="42.24"/>
    <n v="184.17"/>
    <n v="111.39"/>
    <n v="230.88"/>
    <n v="44.61"/>
    <n v="132.18"/>
    <n v="96.65"/>
    <n v="-9.65"/>
    <n v="1313.1699999999998"/>
    <n v="106.30000000000001"/>
  </r>
  <r>
    <x v="5"/>
    <x v="1"/>
    <x v="0"/>
    <s v="5849200"/>
    <n v="700038"/>
    <s v="Salaries-Service/Support-Other"/>
    <s v="Foot &amp; Ankle-Burien-Shared Svc"/>
    <x v="0"/>
    <n v="2000"/>
    <n v="0"/>
    <n v="0"/>
    <n v="84"/>
    <n v="-28"/>
    <n v="0"/>
    <n v="0"/>
    <n v="95.28"/>
    <n v="72.290000000000006"/>
    <n v="128.22999999999999"/>
    <n v="93.28"/>
    <n v="83.39"/>
    <n v="-7.53"/>
    <n v="520.93999999999994"/>
    <n v="90.92"/>
  </r>
  <r>
    <x v="5"/>
    <x v="1"/>
    <x v="0"/>
    <s v="5849200"/>
    <n v="700078"/>
    <s v="Salaries-Service/Support-Non-productive"/>
    <s v="Foot &amp; Ankle-Burien-Shared Svc"/>
    <x v="0"/>
    <m/>
    <n v="908.69"/>
    <n v="369.69"/>
    <n v="3678.76"/>
    <n v="-677.48"/>
    <n v="1882.29"/>
    <n v="1637.6"/>
    <n v="7403.16"/>
    <n v="3263.64"/>
    <n v="-127.93"/>
    <n v="608.05999999999995"/>
    <n v="-137.37"/>
    <n v="1372.72"/>
    <n v="20181.830000000002"/>
    <n v="-1510.0900000000001"/>
  </r>
  <r>
    <x v="5"/>
    <x v="1"/>
    <x v="0"/>
    <s v="5849200"/>
    <n v="700078"/>
    <s v="Salaries-Service/Support-NonProd-Other"/>
    <s v="Foot &amp; Ankle-Burien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49200"/>
    <n v="700084"/>
    <s v="Accrued PTO"/>
    <s v="Foot &amp; Ankle-Burien-Shared Svc"/>
    <x v="0"/>
    <m/>
    <n v="354.4"/>
    <n v="889.3"/>
    <n v="-1660.95"/>
    <n v="1026.8699999999999"/>
    <n v="261.51"/>
    <n v="-387.38"/>
    <n v="37.47"/>
    <n v="-245.93"/>
    <n v="698.89"/>
    <n v="455.74"/>
    <n v="952.91"/>
    <n v="71.400000000000006"/>
    <n v="2454.2299999999996"/>
    <n v="881.51"/>
  </r>
  <r>
    <x v="6"/>
    <x v="1"/>
    <x v="0"/>
    <s v="5849200"/>
    <n v="713010"/>
    <s v="Benefits-FICA/Medicare"/>
    <s v="Foot &amp; Ankle-Burien-Shared Svc"/>
    <x v="0"/>
    <m/>
    <n v="1043.2"/>
    <n v="1083.3599999999999"/>
    <n v="1031.32"/>
    <n v="1143.72"/>
    <n v="1106.74"/>
    <n v="1153.69"/>
    <n v="1292.01"/>
    <n v="984"/>
    <n v="935.13"/>
    <n v="1060.77"/>
    <n v="1104.56"/>
    <n v="688.31"/>
    <n v="12626.81"/>
    <n v="416.25"/>
  </r>
  <r>
    <x v="6"/>
    <x v="1"/>
    <x v="0"/>
    <s v="5849200"/>
    <n v="713090"/>
    <s v="Benefits-Allocated Amounts"/>
    <s v="Foot &amp; Ankle-Burien-Shared Svc"/>
    <x v="0"/>
    <m/>
    <n v="3496.95"/>
    <n v="3169.44"/>
    <n v="3631.88"/>
    <n v="3639.8"/>
    <n v="3589.35"/>
    <n v="3599.06"/>
    <n v="4742.2299999999996"/>
    <n v="4105.88"/>
    <n v="3612.14"/>
    <n v="3681.37"/>
    <n v="3678.81"/>
    <n v="2657.69"/>
    <n v="43604.600000000006"/>
    <n v="1021.1199999999999"/>
  </r>
  <r>
    <x v="7"/>
    <x v="1"/>
    <x v="0"/>
    <s v="5849200"/>
    <n v="718010"/>
    <s v="Media/Print Advertising"/>
    <s v="Foot &amp; Ankle-Burien-Shared Svc"/>
    <x v="0"/>
    <n v="1004"/>
    <n v="0"/>
    <n v="0"/>
    <n v="0"/>
    <n v="339.02"/>
    <n v="0"/>
    <n v="98.09"/>
    <n v="0"/>
    <n v="0"/>
    <n v="0"/>
    <n v="0"/>
    <n v="0"/>
    <n v="0"/>
    <n v="437.11"/>
    <n v="0"/>
  </r>
  <r>
    <x v="7"/>
    <x v="1"/>
    <x v="0"/>
    <s v="5849200"/>
    <n v="718050"/>
    <s v="Contract Svcs-Other"/>
    <s v="Foot &amp; Ankle-Burien-Shared Svc"/>
    <x v="0"/>
    <m/>
    <n v="45.08"/>
    <n v="306.33999999999997"/>
    <n v="140.09"/>
    <n v="426.51"/>
    <n v="45.09"/>
    <n v="45.08"/>
    <n v="45.09"/>
    <n v="90.16"/>
    <n v="365.18"/>
    <n v="1778.32"/>
    <n v="0"/>
    <n v="45.09"/>
    <n v="3332.03"/>
    <n v="-45.09"/>
  </r>
  <r>
    <x v="7"/>
    <x v="1"/>
    <x v="0"/>
    <s v="5849200"/>
    <n v="718050"/>
    <s v="Management Fees"/>
    <s v="Foot &amp; Ankle-Burien-Shared Svc"/>
    <x v="0"/>
    <n v="1004"/>
    <n v="0"/>
    <n v="0"/>
    <n v="0"/>
    <n v="0"/>
    <n v="0"/>
    <n v="0"/>
    <n v="0"/>
    <n v="100.29"/>
    <n v="0"/>
    <n v="0"/>
    <n v="0"/>
    <n v="0"/>
    <n v="100.29"/>
    <n v="0"/>
  </r>
  <r>
    <x v="7"/>
    <x v="1"/>
    <x v="0"/>
    <s v="5849200"/>
    <n v="718050"/>
    <s v="Document Shredding/Storage"/>
    <s v="Foot &amp; Ankle-Burien-Shared Svc"/>
    <x v="0"/>
    <n v="1012"/>
    <n v="40.299999999999997"/>
    <n v="49.24"/>
    <n v="47.28"/>
    <n v="42.52"/>
    <n v="309.62"/>
    <n v="116.25"/>
    <n v="115.08"/>
    <n v="131.32"/>
    <n v="227.22"/>
    <n v="20.63"/>
    <n v="54.49"/>
    <n v="45.6"/>
    <n v="1199.5500000000002"/>
    <n v="8.89"/>
  </r>
  <r>
    <x v="7"/>
    <x v="1"/>
    <x v="0"/>
    <s v="5849200"/>
    <n v="718050"/>
    <s v="Physician Answering"/>
    <s v="Foot &amp; Ankle-Burien-Shared Svc"/>
    <x v="0"/>
    <n v="1015"/>
    <n v="628.6"/>
    <n v="927"/>
    <n v="726.4"/>
    <n v="234"/>
    <n v="917.4"/>
    <n v="549.79999999999995"/>
    <n v="730"/>
    <n v="817.2"/>
    <n v="654"/>
    <n v="666"/>
    <n v="630.4"/>
    <n v="520.79999999999995"/>
    <n v="8001.5999999999995"/>
    <n v="109.60000000000002"/>
  </r>
  <r>
    <x v="7"/>
    <x v="1"/>
    <x v="0"/>
    <s v="5849200"/>
    <n v="718050"/>
    <s v="Miscellaneous Purchased Svcs"/>
    <s v="Foot &amp; Ankle-Burien-Shared Svc"/>
    <x v="0"/>
    <n v="1020"/>
    <n v="0"/>
    <n v="32.950000000000003"/>
    <n v="98.85"/>
    <n v="32.950000000000003"/>
    <n v="0"/>
    <n v="130.86000000000001"/>
    <n v="0"/>
    <n v="65.900000000000006"/>
    <n v="32.950000000000003"/>
    <n v="32.950000000000003"/>
    <n v="0"/>
    <n v="65.900000000000006"/>
    <n v="493.30999999999995"/>
    <n v="-65.900000000000006"/>
  </r>
  <r>
    <x v="7"/>
    <x v="1"/>
    <x v="0"/>
    <s v="5849200"/>
    <n v="718050"/>
    <s v="Translation Services"/>
    <s v="Foot &amp; Ankle-Burien-Shared Svc"/>
    <x v="0"/>
    <n v="1025"/>
    <n v="0"/>
    <n v="130.9"/>
    <n v="134.16999999999999"/>
    <n v="0"/>
    <n v="0"/>
    <n v="0"/>
    <n v="0"/>
    <n v="239.73"/>
    <n v="0"/>
    <n v="171.6"/>
    <n v="0"/>
    <n v="1.44"/>
    <n v="677.84"/>
    <n v="-1.44"/>
  </r>
  <r>
    <x v="7"/>
    <x v="1"/>
    <x v="0"/>
    <s v="5849200"/>
    <n v="718050"/>
    <s v="Purchased Srvcs--Medical Waste"/>
    <s v="Foot &amp; Ankle-Burien-Shared Svc"/>
    <x v="0"/>
    <n v="1027"/>
    <n v="0"/>
    <n v="190.03"/>
    <n v="147.22999999999999"/>
    <n v="121.92"/>
    <n v="0"/>
    <n v="20.72"/>
    <n v="62.5"/>
    <n v="102.7"/>
    <n v="62.03"/>
    <n v="82.75"/>
    <n v="0"/>
    <n v="165.5"/>
    <n v="955.38"/>
    <n v="-165.5"/>
  </r>
  <r>
    <x v="7"/>
    <x v="1"/>
    <x v="0"/>
    <s v="5849200"/>
    <n v="718070"/>
    <s v="Contract Srvcs-CHI Clinical Engineering"/>
    <s v="Foot &amp; Ankle-Burien-Shared Svc"/>
    <x v="0"/>
    <m/>
    <n v="300"/>
    <n v="300"/>
    <n v="300"/>
    <n v="300"/>
    <n v="300"/>
    <n v="300"/>
    <n v="300"/>
    <n v="838"/>
    <n v="767.36"/>
    <n v="530.41"/>
    <n v="275.5"/>
    <n v="0"/>
    <n v="4511.2700000000004"/>
    <n v="275.5"/>
  </r>
  <r>
    <x v="11"/>
    <x v="1"/>
    <x v="0"/>
    <s v="5849200"/>
    <n v="721250"/>
    <s v="Supplies-Pharmacy Drugs - Billable"/>
    <s v="Foot &amp; Ankle-Burien-Shared Svc"/>
    <x v="0"/>
    <m/>
    <n v="600.4"/>
    <n v="308.64"/>
    <n v="0"/>
    <n v="0"/>
    <n v="0"/>
    <n v="359.57"/>
    <n v="335"/>
    <n v="447.18"/>
    <n v="22.57"/>
    <n v="293.74"/>
    <n v="-63.65"/>
    <n v="719.04"/>
    <n v="3022.4900000000002"/>
    <n v="-782.68999999999994"/>
  </r>
  <r>
    <x v="11"/>
    <x v="1"/>
    <x v="0"/>
    <s v="5849200"/>
    <n v="721410"/>
    <s v="Supplies-Medical - Nonbillable"/>
    <s v="Foot &amp; Ankle-Burien-Shared Svc"/>
    <x v="0"/>
    <m/>
    <n v="0"/>
    <n v="935.04"/>
    <n v="1288.5"/>
    <n v="384.04"/>
    <n v="0"/>
    <n v="0"/>
    <n v="0"/>
    <n v="3097.87"/>
    <n v="1332.5"/>
    <n v="946.53"/>
    <n v="0"/>
    <n v="6568.66"/>
    <n v="14553.14"/>
    <n v="-6568.66"/>
  </r>
  <r>
    <x v="11"/>
    <x v="1"/>
    <x v="0"/>
    <s v="5849200"/>
    <n v="721810"/>
    <s v="Supplies-Dietary/Cafeteria"/>
    <s v="Foot &amp; Ankle-Burien-Shared Svc"/>
    <x v="0"/>
    <m/>
    <n v="0"/>
    <n v="0"/>
    <n v="0"/>
    <n v="107.22"/>
    <n v="54.41"/>
    <n v="46.62"/>
    <n v="51.8"/>
    <n v="41.66"/>
    <n v="44.81"/>
    <n v="40.33"/>
    <n v="0"/>
    <n v="56.98"/>
    <n v="443.83000000000004"/>
    <n v="-56.98"/>
  </r>
  <r>
    <x v="11"/>
    <x v="1"/>
    <x v="0"/>
    <s v="5849200"/>
    <n v="721830"/>
    <s v="Supplies-Office"/>
    <s v="Foot &amp; Ankle-Burien-Shared Svc"/>
    <x v="0"/>
    <m/>
    <n v="74.010000000000005"/>
    <n v="601.44000000000005"/>
    <n v="211.53"/>
    <n v="24.49"/>
    <n v="35.78"/>
    <n v="48.65"/>
    <n v="618.30999999999995"/>
    <n v="418.93"/>
    <n v="173.36"/>
    <n v="324.56"/>
    <n v="320.39"/>
    <n v="73.540000000000006"/>
    <n v="2924.99"/>
    <n v="246.84999999999997"/>
  </r>
  <r>
    <x v="11"/>
    <x v="1"/>
    <x v="0"/>
    <s v="5849200"/>
    <n v="721835"/>
    <s v="Supplies-Forms"/>
    <s v="Foot &amp; Ankle-Burien-Shared Svc"/>
    <x v="0"/>
    <m/>
    <n v="0"/>
    <n v="0"/>
    <n v="0"/>
    <n v="0"/>
    <n v="65.98"/>
    <n v="0"/>
    <n v="0"/>
    <n v="0"/>
    <n v="0"/>
    <n v="0"/>
    <n v="35.28"/>
    <n v="0"/>
    <n v="101.26"/>
    <n v="35.28"/>
  </r>
  <r>
    <x v="11"/>
    <x v="1"/>
    <x v="0"/>
    <s v="5849200"/>
    <n v="722000"/>
    <s v="Supplies-Freight Expense"/>
    <s v="Foot &amp; Ankle-Burien-Shared Svc"/>
    <x v="0"/>
    <m/>
    <n v="0"/>
    <n v="0"/>
    <n v="0"/>
    <n v="0"/>
    <n v="0"/>
    <n v="0"/>
    <n v="0"/>
    <n v="0"/>
    <n v="0"/>
    <n v="26.58"/>
    <n v="0"/>
    <n v="0"/>
    <n v="26.58"/>
    <n v="0"/>
  </r>
  <r>
    <x v="12"/>
    <x v="1"/>
    <x v="0"/>
    <s v="5849200"/>
    <n v="730010"/>
    <s v="Rental and Leases-Building (DO NOT USE)"/>
    <s v="Foot &amp; Ankle-Burien-Shared Svc"/>
    <x v="0"/>
    <m/>
    <n v="8094.42"/>
    <n v="8094.42"/>
    <n v="8094.42"/>
    <n v="8094.42"/>
    <n v="8094.42"/>
    <n v="-9472.44"/>
    <n v="5166.6099999999997"/>
    <n v="5166.6099999999997"/>
    <n v="5166.6099999999997"/>
    <n v="5166.6099999999997"/>
    <n v="2710.77"/>
    <n v="0"/>
    <n v="54376.869999999995"/>
    <n v="2710.77"/>
  </r>
  <r>
    <x v="12"/>
    <x v="1"/>
    <x v="0"/>
    <s v="5849200"/>
    <n v="730010"/>
    <s v="Rental-Common Area Maint (DO NOT USE)"/>
    <s v="Foot &amp; Ankle-Burien-Shared Svc"/>
    <x v="0"/>
    <n v="2200"/>
    <n v="0"/>
    <n v="0"/>
    <n v="0"/>
    <n v="0"/>
    <n v="0"/>
    <n v="17566.86"/>
    <n v="2927.81"/>
    <n v="2888"/>
    <n v="2914.54"/>
    <n v="2914.54"/>
    <n v="2914.54"/>
    <n v="0"/>
    <n v="32126.290000000005"/>
    <n v="2914.54"/>
  </r>
  <r>
    <x v="12"/>
    <x v="1"/>
    <x v="0"/>
    <s v="5849200"/>
    <n v="730020"/>
    <s v="Rental and Leases-Equipment (DO NOT USE)"/>
    <s v="Foot &amp; Ankle-Burien-Shared Svc"/>
    <x v="0"/>
    <m/>
    <n v="0"/>
    <n v="0"/>
    <n v="4.7699999999999996"/>
    <n v="0"/>
    <n v="0"/>
    <n v="0"/>
    <n v="0"/>
    <n v="0"/>
    <n v="0"/>
    <n v="0"/>
    <n v="0"/>
    <n v="0"/>
    <n v="4.7699999999999996"/>
    <n v="0"/>
  </r>
  <r>
    <x v="12"/>
    <x v="1"/>
    <x v="0"/>
    <s v="5849200"/>
    <n v="730020"/>
    <s v="Rental and Leases-Copier Usage Fees (DO NOT USE)"/>
    <s v="Foot &amp; Ankle-Burien-Shared Svc"/>
    <x v="0"/>
    <n v="5100"/>
    <n v="425.54"/>
    <n v="434.65"/>
    <n v="430.09"/>
    <n v="430.09"/>
    <n v="430.09"/>
    <n v="430.1"/>
    <n v="687.4"/>
    <n v="426.06"/>
    <n v="441.55"/>
    <n v="471.83"/>
    <n v="426.06"/>
    <n v="466.53"/>
    <n v="5499.99"/>
    <n v="-40.46999999999997"/>
  </r>
  <r>
    <x v="12"/>
    <x v="1"/>
    <x v="0"/>
    <s v="5849200"/>
    <n v="730040"/>
    <s v="LT Lease-Real Estate"/>
    <s v="Foot &amp; Ankle-Burien-Shared Svc"/>
    <x v="0"/>
    <m/>
    <n v="0"/>
    <n v="0"/>
    <n v="0"/>
    <n v="0"/>
    <n v="0"/>
    <n v="0"/>
    <n v="0"/>
    <n v="0"/>
    <n v="0"/>
    <n v="0"/>
    <n v="0"/>
    <n v="8235.5499999999993"/>
    <n v="8235.5499999999993"/>
    <n v="-8235.5499999999993"/>
  </r>
  <r>
    <x v="15"/>
    <x v="1"/>
    <x v="0"/>
    <s v="5849200"/>
    <n v="731050"/>
    <s v="Refuse Disposal"/>
    <s v="Foot &amp; Ankle-Burien-Shared Svc"/>
    <x v="0"/>
    <m/>
    <n v="0"/>
    <n v="0"/>
    <n v="0"/>
    <n v="0"/>
    <n v="0"/>
    <n v="0"/>
    <n v="0"/>
    <n v="0"/>
    <n v="0"/>
    <n v="548.6"/>
    <n v="0"/>
    <n v="0"/>
    <n v="548.6"/>
    <n v="0"/>
  </r>
  <r>
    <x v="15"/>
    <x v="1"/>
    <x v="0"/>
    <s v="5849200"/>
    <n v="731060"/>
    <s v="Telephone"/>
    <s v="Foot &amp; Ankle-Burien-Shared Svc"/>
    <x v="0"/>
    <m/>
    <n v="1913.97"/>
    <n v="1656.82"/>
    <n v="601.16999999999996"/>
    <n v="2701.83"/>
    <n v="1947.58"/>
    <n v="1450.2"/>
    <n v="2177.19"/>
    <n v="1846.3"/>
    <n v="1793.16"/>
    <n v="1791.86"/>
    <n v="2359.04"/>
    <n v="733.72"/>
    <n v="20972.84"/>
    <n v="1625.32"/>
  </r>
  <r>
    <x v="15"/>
    <x v="1"/>
    <x v="0"/>
    <s v="5849200"/>
    <n v="731060"/>
    <s v="Pagers"/>
    <s v="Foot &amp; Ankle-Burien-Shared Svc"/>
    <x v="0"/>
    <n v="1002"/>
    <n v="0"/>
    <n v="0"/>
    <n v="0"/>
    <n v="0"/>
    <n v="15.15"/>
    <n v="0"/>
    <n v="16.239999999999998"/>
    <n v="8.1199999999999992"/>
    <n v="8.1199999999999992"/>
    <n v="8.1199999999999992"/>
    <n v="8.1199999999999992"/>
    <n v="8.1199999999999992"/>
    <n v="71.989999999999995"/>
    <n v="0"/>
  </r>
  <r>
    <x v="16"/>
    <x v="1"/>
    <x v="0"/>
    <s v="5849200"/>
    <n v="732030"/>
    <s v="Repairs---Other"/>
    <s v="Foot &amp; Ankle-Burien-Shared Svc"/>
    <x v="0"/>
    <m/>
    <n v="0"/>
    <n v="0"/>
    <n v="0"/>
    <n v="30.12"/>
    <n v="0"/>
    <n v="0"/>
    <n v="0"/>
    <n v="0"/>
    <n v="0"/>
    <n v="0"/>
    <n v="0"/>
    <n v="48.43"/>
    <n v="78.55"/>
    <n v="-48.43"/>
  </r>
  <r>
    <x v="16"/>
    <x v="1"/>
    <x v="0"/>
    <s v="5849200"/>
    <n v="732030"/>
    <s v="Repairs&amp;Maintenance-Bldg Routine"/>
    <s v="Foot &amp; Ankle-Burien-Shared Svc"/>
    <x v="0"/>
    <n v="2300"/>
    <n v="0"/>
    <n v="0"/>
    <n v="261.5"/>
    <n v="0"/>
    <n v="0"/>
    <n v="0"/>
    <n v="0"/>
    <n v="0"/>
    <n v="0"/>
    <n v="0"/>
    <n v="0"/>
    <n v="411.08"/>
    <n v="672.57999999999993"/>
    <n v="-411.08"/>
  </r>
  <r>
    <x v="13"/>
    <x v="1"/>
    <x v="0"/>
    <s v="5849200"/>
    <n v="735070"/>
    <s v="Depreciation-Movable Equipment"/>
    <s v="Foot &amp; Ankle-Burien-Shared Svc"/>
    <x v="0"/>
    <m/>
    <n v="708.09"/>
    <n v="708.08"/>
    <n v="708.09"/>
    <n v="708.08"/>
    <n v="708.09"/>
    <n v="708.07"/>
    <n v="708.09"/>
    <n v="708.07"/>
    <n v="708.09"/>
    <n v="708.07"/>
    <n v="708.09"/>
    <n v="708.06"/>
    <n v="8496.9699999999993"/>
    <n v="3.0000000000086402E-2"/>
  </r>
  <r>
    <x v="0"/>
    <x v="1"/>
    <x v="0"/>
    <s v="5849200"/>
    <n v="742040"/>
    <s v="Freight-Other"/>
    <s v="Foot &amp; Ankle-Burien-Shared Svc"/>
    <x v="0"/>
    <m/>
    <n v="0"/>
    <n v="0"/>
    <n v="12.42"/>
    <n v="0"/>
    <n v="0"/>
    <n v="0"/>
    <n v="0"/>
    <n v="5.66"/>
    <n v="0"/>
    <n v="0"/>
    <n v="8.27"/>
    <n v="6.98"/>
    <n v="33.33"/>
    <n v="1.2899999999999991"/>
  </r>
  <r>
    <x v="0"/>
    <x v="1"/>
    <x v="0"/>
    <s v="5849200"/>
    <n v="743030"/>
    <s v="Subscriptions--Institutional"/>
    <s v="Foot &amp; Ankle-Burien-Shared Svc"/>
    <x v="0"/>
    <m/>
    <n v="0"/>
    <n v="0"/>
    <n v="0"/>
    <n v="0"/>
    <n v="0"/>
    <n v="0"/>
    <n v="0"/>
    <n v="0"/>
    <n v="0"/>
    <n v="0"/>
    <n v="40.46"/>
    <n v="0"/>
    <n v="40.46"/>
    <n v="40.46"/>
  </r>
  <r>
    <x v="0"/>
    <x v="1"/>
    <x v="0"/>
    <s v="5849200"/>
    <n v="749510"/>
    <s v="Miscellaneous Expenses"/>
    <s v="Foot &amp; Ankle-Burien-Shared Svc"/>
    <x v="0"/>
    <m/>
    <n v="0"/>
    <n v="0"/>
    <n v="0"/>
    <n v="0"/>
    <n v="0"/>
    <n v="0"/>
    <n v="0"/>
    <n v="0"/>
    <n v="371.25"/>
    <n v="0"/>
    <n v="0"/>
    <n v="0"/>
    <n v="371.25"/>
    <n v="0"/>
  </r>
  <r>
    <x v="0"/>
    <x v="1"/>
    <x v="0"/>
    <s v="5849200"/>
    <n v="749510"/>
    <s v="Licenses"/>
    <s v="Foot &amp; Ankle-Burien-Shared Svc"/>
    <x v="0"/>
    <n v="1002"/>
    <n v="0"/>
    <n v="0"/>
    <n v="795"/>
    <n v="0"/>
    <n v="0"/>
    <n v="172"/>
    <n v="0"/>
    <n v="0"/>
    <n v="281.67"/>
    <n v="0"/>
    <n v="0"/>
    <n v="0"/>
    <n v="1248.67"/>
    <n v="0"/>
  </r>
  <r>
    <x v="0"/>
    <x v="1"/>
    <x v="0"/>
    <s v="5849200"/>
    <n v="749530"/>
    <s v="Mileage"/>
    <s v="Foot &amp; Ankle-Burien-Shared Svc"/>
    <x v="0"/>
    <n v="1001"/>
    <n v="0"/>
    <n v="0"/>
    <n v="0"/>
    <n v="0"/>
    <n v="0"/>
    <n v="176.58"/>
    <n v="0"/>
    <n v="0"/>
    <n v="0"/>
    <n v="0"/>
    <n v="0"/>
    <n v="11.02"/>
    <n v="187.60000000000002"/>
    <n v="-11.02"/>
  </r>
  <r>
    <x v="0"/>
    <x v="1"/>
    <x v="0"/>
    <s v="5849200"/>
    <n v="749550"/>
    <s v="Cash Over/Short"/>
    <s v="Foot &amp; Ankle-Burien-Shared Svc"/>
    <x v="0"/>
    <m/>
    <n v="0"/>
    <n v="-1"/>
    <n v="0"/>
    <n v="-2"/>
    <n v="0"/>
    <n v="-2"/>
    <n v="0"/>
    <n v="0"/>
    <n v="6"/>
    <n v="-6"/>
    <n v="0"/>
    <n v="0"/>
    <n v="-5"/>
    <n v="0"/>
  </r>
  <r>
    <x v="0"/>
    <x v="1"/>
    <x v="0"/>
    <s v="5849200"/>
    <n v="766010"/>
    <s v="Property Tax"/>
    <s v="Foot &amp; Ankle-Burien-Shared Svc"/>
    <x v="0"/>
    <m/>
    <n v="64.66"/>
    <n v="64.66"/>
    <n v="64.66"/>
    <n v="64.66"/>
    <n v="64.66"/>
    <n v="64.66"/>
    <n v="64.66"/>
    <n v="64.66"/>
    <n v="64.66"/>
    <n v="-14.62"/>
    <n v="44.83"/>
    <n v="44.83"/>
    <n v="656.9799999999999"/>
    <n v="0"/>
  </r>
  <r>
    <x v="5"/>
    <x v="1"/>
    <x v="0"/>
    <s v="5850200"/>
    <n v="700014"/>
    <s v="Salaries-Management-Productive"/>
    <s v="Neurology-FW-Shared Svc"/>
    <x v="0"/>
    <m/>
    <n v="1328.44"/>
    <n v="1086.92"/>
    <n v="1207.68"/>
    <n v="1418.78"/>
    <n v="1365.06"/>
    <n v="992.76"/>
    <n v="683.63"/>
    <n v="1367.08"/>
    <n v="1304.95"/>
    <n v="1367.07"/>
    <n v="186.43"/>
    <n v="0"/>
    <n v="12308.8"/>
    <n v="186.43"/>
  </r>
  <r>
    <x v="5"/>
    <x v="1"/>
    <x v="0"/>
    <s v="5850200"/>
    <n v="700026"/>
    <s v="Salaries-RN-Productive"/>
    <s v="Neurology-FW-Shared Svc"/>
    <x v="0"/>
    <m/>
    <n v="464.29"/>
    <n v="148.32"/>
    <n v="548.13"/>
    <n v="-182.71"/>
    <n v="0"/>
    <n v="440.6"/>
    <n v="555.96"/>
    <n v="-158.84"/>
    <n v="705.99"/>
    <n v="1414.98"/>
    <n v="1465.11"/>
    <n v="299.45999999999998"/>
    <n v="5701.29"/>
    <n v="1165.6499999999999"/>
  </r>
  <r>
    <x v="5"/>
    <x v="1"/>
    <x v="0"/>
    <s v="5850200"/>
    <n v="700026"/>
    <s v="Salaries-RN-OT"/>
    <s v="Neurology-FW-Shared Svc"/>
    <x v="0"/>
    <n v="1000"/>
    <n v="0"/>
    <n v="0"/>
    <n v="0"/>
    <n v="0"/>
    <n v="0"/>
    <n v="0"/>
    <n v="0"/>
    <n v="0"/>
    <n v="0"/>
    <n v="19.8"/>
    <n v="597.30999999999995"/>
    <n v="-302.73"/>
    <n v="314.37999999999988"/>
    <n v="900.04"/>
  </r>
  <r>
    <x v="5"/>
    <x v="1"/>
    <x v="0"/>
    <s v="5850200"/>
    <n v="700026"/>
    <s v="Salaries-RN-Other"/>
    <s v="Neurology-FW-Shared Svc"/>
    <x v="0"/>
    <n v="2000"/>
    <n v="0"/>
    <n v="0"/>
    <n v="0"/>
    <n v="0"/>
    <n v="0"/>
    <n v="0"/>
    <n v="0"/>
    <n v="0"/>
    <n v="0"/>
    <n v="49.8"/>
    <n v="60.62"/>
    <n v="3.25"/>
    <n v="113.66999999999999"/>
    <n v="57.37"/>
  </r>
  <r>
    <x v="5"/>
    <x v="1"/>
    <x v="0"/>
    <s v="5850200"/>
    <n v="700030"/>
    <s v="Salaries-LPN-Productive"/>
    <s v="Neurology-FW-Shared Svc"/>
    <x v="0"/>
    <m/>
    <n v="926.22"/>
    <n v="5693.74"/>
    <n v="4451.6000000000004"/>
    <n v="3677.59"/>
    <n v="4694.29"/>
    <n v="3518.2"/>
    <n v="4817.95"/>
    <n v="3976.37"/>
    <n v="2710.84"/>
    <n v="2704.87"/>
    <n v="2677.99"/>
    <n v="-695.67"/>
    <n v="39153.990000000005"/>
    <n v="3373.66"/>
  </r>
  <r>
    <x v="5"/>
    <x v="1"/>
    <x v="0"/>
    <s v="5850200"/>
    <n v="700030"/>
    <s v="Salaries-LPN-OT"/>
    <s v="Neurology-FW-Shared Svc"/>
    <x v="0"/>
    <n v="1000"/>
    <n v="0"/>
    <n v="199.24"/>
    <n v="366.18"/>
    <n v="-5.38"/>
    <n v="172.32"/>
    <n v="-32.31"/>
    <n v="142.35"/>
    <n v="-34.5"/>
    <n v="0"/>
    <n v="173.76"/>
    <n v="5.52"/>
    <n v="-2.76"/>
    <n v="984.42000000000019"/>
    <n v="8.2799999999999994"/>
  </r>
  <r>
    <x v="5"/>
    <x v="1"/>
    <x v="0"/>
    <s v="5850200"/>
    <n v="700030"/>
    <s v="Salaries-LPN-Other"/>
    <s v="Neurology-FW-Shared Svc"/>
    <x v="0"/>
    <n v="2000"/>
    <n v="0"/>
    <n v="0"/>
    <n v="0"/>
    <n v="0"/>
    <n v="0"/>
    <n v="0"/>
    <n v="0"/>
    <n v="0"/>
    <n v="0"/>
    <n v="145.06"/>
    <n v="145.34"/>
    <n v="-29.81"/>
    <n v="260.58999999999997"/>
    <n v="175.15"/>
  </r>
  <r>
    <x v="5"/>
    <x v="1"/>
    <x v="0"/>
    <s v="5850200"/>
    <n v="700032"/>
    <s v="Salaries-Other Pat Care Providers-Productive"/>
    <s v="Neurology-FW-Shared Svc"/>
    <x v="0"/>
    <m/>
    <n v="0"/>
    <n v="0"/>
    <n v="0"/>
    <n v="0"/>
    <n v="0"/>
    <n v="0"/>
    <n v="0"/>
    <n v="0"/>
    <n v="0"/>
    <n v="0"/>
    <n v="0"/>
    <n v="158.22"/>
    <n v="158.22"/>
    <n v="-158.22"/>
  </r>
  <r>
    <x v="5"/>
    <x v="1"/>
    <x v="0"/>
    <s v="5850200"/>
    <n v="700032"/>
    <s v="Salaries-Other Pat Care Providers-Other"/>
    <s v="Neurology-FW-Shared Svc"/>
    <x v="0"/>
    <n v="2000"/>
    <n v="0"/>
    <n v="0"/>
    <n v="0"/>
    <n v="0"/>
    <n v="0"/>
    <n v="0"/>
    <n v="0"/>
    <n v="0"/>
    <n v="0"/>
    <n v="0"/>
    <n v="0"/>
    <n v="8.26"/>
    <n v="8.26"/>
    <n v="-8.26"/>
  </r>
  <r>
    <x v="5"/>
    <x v="1"/>
    <x v="0"/>
    <s v="5850200"/>
    <n v="700038"/>
    <s v="Salaries-Service/Support-Productive"/>
    <s v="Neurology-FW-Shared Svc"/>
    <x v="0"/>
    <m/>
    <n v="6033.09"/>
    <n v="9688.0400000000009"/>
    <n v="8354.77"/>
    <n v="10514.24"/>
    <n v="11918.64"/>
    <n v="8921.59"/>
    <n v="10284.469999999999"/>
    <n v="7232.96"/>
    <n v="10727.86"/>
    <n v="11337.4"/>
    <n v="10822.03"/>
    <n v="7498.67"/>
    <n v="113333.75999999999"/>
    <n v="3323.3600000000006"/>
  </r>
  <r>
    <x v="5"/>
    <x v="1"/>
    <x v="0"/>
    <s v="5850200"/>
    <n v="700038"/>
    <s v="Salaries-Service/Support-OT"/>
    <s v="Neurology-FW-Shared Svc"/>
    <x v="0"/>
    <n v="1000"/>
    <n v="165.63"/>
    <n v="245.4"/>
    <n v="118.38"/>
    <n v="351.81"/>
    <n v="478.61"/>
    <n v="-86.31"/>
    <n v="200.97"/>
    <n v="98.51"/>
    <n v="349.3"/>
    <n v="344.83"/>
    <n v="242.16"/>
    <n v="265.69"/>
    <n v="2774.98"/>
    <n v="-23.53"/>
  </r>
  <r>
    <x v="5"/>
    <x v="1"/>
    <x v="0"/>
    <s v="5850200"/>
    <n v="700038"/>
    <s v="Salaries-Service/Support-Other"/>
    <s v="Neurology-FW-Shared Svc"/>
    <x v="0"/>
    <n v="2000"/>
    <n v="0"/>
    <n v="0"/>
    <n v="0"/>
    <n v="125.78"/>
    <n v="0"/>
    <n v="0"/>
    <n v="0"/>
    <n v="0"/>
    <n v="0"/>
    <n v="0"/>
    <n v="0"/>
    <n v="0"/>
    <n v="125.78"/>
    <n v="0"/>
  </r>
  <r>
    <x v="5"/>
    <x v="1"/>
    <x v="0"/>
    <s v="5850200"/>
    <n v="700054"/>
    <s v="Salaries-Management-Non-productive"/>
    <s v="Neurology-FW-Shared Svc"/>
    <x v="0"/>
    <m/>
    <n v="301.92"/>
    <n v="1509.6"/>
    <n v="905.76"/>
    <n v="0"/>
    <n v="930.72"/>
    <n v="341.26"/>
    <n v="2392.31"/>
    <n v="-248.53"/>
    <n v="0"/>
    <n v="0"/>
    <n v="0"/>
    <n v="0"/>
    <n v="6133.04"/>
    <n v="0"/>
  </r>
  <r>
    <x v="5"/>
    <x v="1"/>
    <x v="0"/>
    <s v="5850200"/>
    <n v="700054"/>
    <s v="Salaries-Management-NonProd-Other"/>
    <s v="Neurology-FW-Shared Svc"/>
    <x v="0"/>
    <n v="2000"/>
    <n v="0"/>
    <n v="0"/>
    <n v="0"/>
    <n v="0"/>
    <n v="0"/>
    <n v="991.01"/>
    <n v="-991.01"/>
    <n v="0"/>
    <n v="0"/>
    <n v="0"/>
    <n v="0"/>
    <n v="0"/>
    <n v="0"/>
    <n v="0"/>
  </r>
  <r>
    <x v="5"/>
    <x v="1"/>
    <x v="0"/>
    <s v="5850200"/>
    <n v="700066"/>
    <s v="Salaries-RN-NonProd-Other"/>
    <s v="Neurology-FW-Shared Svc"/>
    <x v="0"/>
    <n v="2000"/>
    <n v="0"/>
    <n v="0"/>
    <n v="0"/>
    <n v="0"/>
    <n v="0"/>
    <n v="0"/>
    <n v="0"/>
    <n v="0"/>
    <n v="0"/>
    <n v="0"/>
    <n v="61.44"/>
    <n v="15.36"/>
    <n v="76.8"/>
    <n v="46.08"/>
  </r>
  <r>
    <x v="5"/>
    <x v="1"/>
    <x v="0"/>
    <s v="5850200"/>
    <n v="700070"/>
    <s v="Salaries-LPN-Non-productive"/>
    <s v="Neurology-FW-Shared Svc"/>
    <x v="0"/>
    <m/>
    <n v="4135.68"/>
    <n v="-402.08"/>
    <n v="229.76"/>
    <n v="1621.24"/>
    <n v="417.88"/>
    <n v="1278.04"/>
    <n v="474.63"/>
    <n v="625.55999999999995"/>
    <n v="158.19999999999999"/>
    <n v="0"/>
    <n v="0"/>
    <n v="0"/>
    <n v="8538.9100000000017"/>
    <n v="0"/>
  </r>
  <r>
    <x v="5"/>
    <x v="1"/>
    <x v="0"/>
    <s v="5850200"/>
    <n v="700070"/>
    <s v="Salaries-LPN-NonProd-Other"/>
    <s v="Neurology-FW-Shared Svc"/>
    <x v="0"/>
    <n v="2000"/>
    <n v="0"/>
    <n v="0"/>
    <n v="0"/>
    <n v="0"/>
    <n v="0"/>
    <n v="0"/>
    <n v="0"/>
    <n v="0"/>
    <n v="0"/>
    <n v="0"/>
    <n v="23.4"/>
    <n v="-11.7"/>
    <n v="11.7"/>
    <n v="35.099999999999994"/>
  </r>
  <r>
    <x v="5"/>
    <x v="1"/>
    <x v="0"/>
    <s v="5850200"/>
    <n v="700078"/>
    <s v="Salaries-Service/Support-Non-productive"/>
    <s v="Neurology-FW-Shared Svc"/>
    <x v="0"/>
    <m/>
    <n v="1701"/>
    <n v="573.1"/>
    <n v="1629.74"/>
    <n v="1544.7"/>
    <n v="-375.52"/>
    <n v="1925.06"/>
    <n v="1735.64"/>
    <n v="2379.69"/>
    <n v="376.25"/>
    <n v="217.31"/>
    <n v="1229.23"/>
    <n v="1456.44"/>
    <n v="14392.64"/>
    <n v="-227.21000000000004"/>
  </r>
  <r>
    <x v="5"/>
    <x v="1"/>
    <x v="0"/>
    <s v="5850200"/>
    <n v="700078"/>
    <s v="Salaries-Service/Support-NonProd-Other"/>
    <s v="Neurology-FW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50200"/>
    <n v="700084"/>
    <s v="Accrued PTO"/>
    <s v="Neurology-FW-Shared Svc"/>
    <x v="0"/>
    <m/>
    <n v="-3186.35"/>
    <n v="-419.54"/>
    <n v="451.98"/>
    <n v="1210.46"/>
    <n v="1012.35"/>
    <n v="-545.1"/>
    <n v="-1923.86"/>
    <n v="144.03"/>
    <n v="1517.15"/>
    <n v="1692.11"/>
    <n v="-10852.27"/>
    <n v="-159.54"/>
    <n v="-11058.58"/>
    <n v="-10692.73"/>
  </r>
  <r>
    <x v="10"/>
    <x v="1"/>
    <x v="0"/>
    <s v="5850200"/>
    <n v="710060"/>
    <s v="Contract Labor-Other"/>
    <s v="Neurology-FW-Shared Svc"/>
    <x v="0"/>
    <m/>
    <n v="2739.9"/>
    <n v="-2739.9"/>
    <n v="0"/>
    <n v="0"/>
    <n v="0"/>
    <n v="0"/>
    <n v="0"/>
    <n v="533.79"/>
    <n v="0"/>
    <n v="0"/>
    <n v="0"/>
    <n v="0"/>
    <n v="533.79"/>
    <n v="0"/>
  </r>
  <r>
    <x v="6"/>
    <x v="1"/>
    <x v="0"/>
    <s v="5850200"/>
    <n v="713010"/>
    <s v="Benefits-FICA/Medicare"/>
    <s v="Neurology-FW-Shared Svc"/>
    <x v="0"/>
    <m/>
    <n v="1101.06"/>
    <n v="1368.75"/>
    <n v="1304.01"/>
    <n v="1405.27"/>
    <n v="1432.44"/>
    <n v="1346.02"/>
    <n v="1634.66"/>
    <n v="1115.07"/>
    <n v="1195.57"/>
    <n v="1744.05"/>
    <n v="1309.22"/>
    <n v="647.54"/>
    <n v="15603.66"/>
    <n v="661.68000000000006"/>
  </r>
  <r>
    <x v="6"/>
    <x v="1"/>
    <x v="0"/>
    <s v="5850200"/>
    <n v="713090"/>
    <s v="Benefits-Allocated Amounts"/>
    <s v="Neurology-FW-Shared Svc"/>
    <x v="0"/>
    <m/>
    <n v="3628.46"/>
    <n v="4044.69"/>
    <n v="4865.51"/>
    <n v="4761.0600000000004"/>
    <n v="4755.78"/>
    <n v="4861.01"/>
    <n v="5665.05"/>
    <n v="4880.83"/>
    <n v="4605.24"/>
    <n v="5030.4399999999996"/>
    <n v="4226.3500000000004"/>
    <n v="3236.37"/>
    <n v="54560.79"/>
    <n v="989.98000000000047"/>
  </r>
  <r>
    <x v="7"/>
    <x v="1"/>
    <x v="0"/>
    <s v="5850200"/>
    <n v="718050"/>
    <s v="Contract Svcs-Other"/>
    <s v="Neurology-FW-Shared Svc"/>
    <x v="0"/>
    <m/>
    <n v="116.41"/>
    <n v="116.41"/>
    <n v="116.41"/>
    <n v="116.41"/>
    <n v="116.41"/>
    <n v="0"/>
    <n v="319.05"/>
    <n v="107.59"/>
    <n v="88.74"/>
    <n v="0"/>
    <n v="74.75"/>
    <n v="66.84"/>
    <n v="1239.0199999999998"/>
    <n v="7.9099999999999966"/>
  </r>
  <r>
    <x v="7"/>
    <x v="1"/>
    <x v="0"/>
    <s v="5850200"/>
    <n v="718050"/>
    <s v="Cleaning Services"/>
    <s v="Neurology-FW-Shared Svc"/>
    <x v="0"/>
    <n v="1011"/>
    <n v="0"/>
    <n v="0"/>
    <n v="0"/>
    <n v="0"/>
    <n v="0"/>
    <n v="0"/>
    <n v="0"/>
    <n v="39.5"/>
    <n v="0"/>
    <n v="0"/>
    <n v="0"/>
    <n v="0"/>
    <n v="39.5"/>
    <n v="0"/>
  </r>
  <r>
    <x v="7"/>
    <x v="1"/>
    <x v="0"/>
    <s v="5850200"/>
    <n v="718050"/>
    <s v="Document Shredding/Storage"/>
    <s v="Neurology-FW-Shared Svc"/>
    <x v="0"/>
    <n v="1012"/>
    <n v="47.07"/>
    <n v="34.99"/>
    <n v="26.04"/>
    <n v="29.19"/>
    <n v="63.67"/>
    <n v="55.03"/>
    <n v="54.47"/>
    <n v="13.73"/>
    <n v="30.87"/>
    <n v="78.010000000000005"/>
    <n v="56.66"/>
    <n v="-18.3"/>
    <n v="471.43"/>
    <n v="74.959999999999994"/>
  </r>
  <r>
    <x v="7"/>
    <x v="1"/>
    <x v="0"/>
    <s v="5850200"/>
    <n v="718050"/>
    <s v="Physician Answering"/>
    <s v="Neurology-FW-Shared Svc"/>
    <x v="0"/>
    <n v="1015"/>
    <n v="106.4"/>
    <n v="106.6"/>
    <n v="106.4"/>
    <n v="56.2"/>
    <n v="156.4"/>
    <n v="247.2"/>
    <n v="384.2"/>
    <n v="386.2"/>
    <n v="302.8"/>
    <n v="344"/>
    <n v="320.60000000000002"/>
    <n v="303.39999999999998"/>
    <n v="2820.4"/>
    <n v="17.200000000000045"/>
  </r>
  <r>
    <x v="7"/>
    <x v="1"/>
    <x v="0"/>
    <s v="5850200"/>
    <n v="718050"/>
    <s v="Miscellaneous Purchased Svcs"/>
    <s v="Neurology-FW-Shared Svc"/>
    <x v="0"/>
    <n v="1020"/>
    <n v="0"/>
    <n v="0"/>
    <n v="98.85"/>
    <n v="0"/>
    <n v="0"/>
    <n v="0"/>
    <n v="0"/>
    <n v="0"/>
    <n v="0"/>
    <n v="0"/>
    <n v="0"/>
    <n v="0"/>
    <n v="98.85"/>
    <n v="0"/>
  </r>
  <r>
    <x v="7"/>
    <x v="1"/>
    <x v="0"/>
    <s v="5850200"/>
    <n v="718050"/>
    <s v="Translation Services"/>
    <s v="Neurology-FW-Shared Svc"/>
    <x v="0"/>
    <n v="1025"/>
    <n v="490.2"/>
    <n v="1329.5"/>
    <n v="37.53"/>
    <n v="8.69"/>
    <n v="49.92"/>
    <n v="14.01"/>
    <n v="0"/>
    <n v="61.48"/>
    <n v="452"/>
    <n v="35.729999999999997"/>
    <n v="5.28"/>
    <n v="35.200000000000003"/>
    <n v="2519.54"/>
    <n v="-29.92"/>
  </r>
  <r>
    <x v="7"/>
    <x v="1"/>
    <x v="0"/>
    <s v="5850200"/>
    <n v="718050"/>
    <s v="Contract Management--Linen"/>
    <s v="Neurology-FW-Shared Svc"/>
    <x v="0"/>
    <n v="1026"/>
    <n v="121.26"/>
    <n v="121.26"/>
    <n v="118.5"/>
    <n v="0"/>
    <n v="0"/>
    <n v="0"/>
    <n v="0"/>
    <n v="0"/>
    <n v="0"/>
    <n v="86.74"/>
    <n v="0"/>
    <n v="118.5"/>
    <n v="566.26"/>
    <n v="-118.5"/>
  </r>
  <r>
    <x v="7"/>
    <x v="1"/>
    <x v="0"/>
    <s v="5850200"/>
    <n v="718050"/>
    <s v="Purchased Srvcs--Medical Waste"/>
    <s v="Neurology-FW-Shared Svc"/>
    <x v="0"/>
    <n v="1027"/>
    <n v="45.18"/>
    <n v="68.22"/>
    <n v="11.14"/>
    <n v="0"/>
    <n v="11.14"/>
    <n v="11.14"/>
    <n v="22.28"/>
    <n v="73.17"/>
    <n v="22.27"/>
    <n v="22.28"/>
    <n v="0"/>
    <n v="11.14"/>
    <n v="297.95999999999992"/>
    <n v="-11.14"/>
  </r>
  <r>
    <x v="11"/>
    <x v="1"/>
    <x v="0"/>
    <s v="5850200"/>
    <n v="721250"/>
    <s v="Supplies-Pharmacy Drugs - Billable"/>
    <s v="Neurology-FW-Shared Svc"/>
    <x v="0"/>
    <m/>
    <n v="12020"/>
    <n v="36144.910000000003"/>
    <n v="24090.07"/>
    <n v="24478.81"/>
    <n v="12020"/>
    <n v="12108.85"/>
    <n v="48094.85"/>
    <n v="0"/>
    <n v="24233.05"/>
    <n v="48112.08"/>
    <n v="19177.669999999998"/>
    <n v="24056.04"/>
    <n v="284536.32999999996"/>
    <n v="-4878.3700000000026"/>
  </r>
  <r>
    <x v="11"/>
    <x v="1"/>
    <x v="0"/>
    <s v="5850200"/>
    <n v="721410"/>
    <s v="Supplies-Medical - Nonbillable"/>
    <s v="Neurology-FW-Shared Svc"/>
    <x v="0"/>
    <m/>
    <n v="0"/>
    <n v="0"/>
    <n v="654.26"/>
    <n v="0"/>
    <n v="0"/>
    <n v="0"/>
    <n v="0"/>
    <n v="-383.67"/>
    <n v="463.45"/>
    <n v="0"/>
    <n v="0"/>
    <n v="0"/>
    <n v="734.04"/>
    <n v="0"/>
  </r>
  <r>
    <x v="11"/>
    <x v="1"/>
    <x v="0"/>
    <s v="5850200"/>
    <n v="721810"/>
    <s v="Supplies-Dietary/Cafeteria"/>
    <s v="Neurology-FW-Shared Svc"/>
    <x v="0"/>
    <m/>
    <n v="0"/>
    <n v="41.66"/>
    <n v="41.66"/>
    <n v="68.319999999999993"/>
    <n v="94.63"/>
    <n v="0"/>
    <n v="0"/>
    <n v="0"/>
    <n v="0"/>
    <n v="192.5"/>
    <n v="45.83"/>
    <n v="62.16"/>
    <n v="546.76"/>
    <n v="-16.329999999999998"/>
  </r>
  <r>
    <x v="11"/>
    <x v="1"/>
    <x v="0"/>
    <s v="5850200"/>
    <n v="721830"/>
    <s v="Supplies-Office"/>
    <s v="Neurology-FW-Shared Svc"/>
    <x v="0"/>
    <m/>
    <n v="510.26"/>
    <n v="263.57"/>
    <n v="1081.8599999999999"/>
    <n v="617.46"/>
    <n v="205.67"/>
    <n v="411.77"/>
    <n v="0"/>
    <n v="277.56"/>
    <n v="296.2"/>
    <n v="377.23"/>
    <n v="169.29"/>
    <n v="171.5"/>
    <n v="4382.37"/>
    <n v="-2.210000000000008"/>
  </r>
  <r>
    <x v="11"/>
    <x v="1"/>
    <x v="0"/>
    <s v="5850200"/>
    <n v="721835"/>
    <s v="Supplies-Forms"/>
    <s v="Neurology-FW-Shared Svc"/>
    <x v="0"/>
    <m/>
    <n v="0"/>
    <n v="0"/>
    <n v="0"/>
    <n v="0"/>
    <n v="0.43"/>
    <n v="0"/>
    <n v="0"/>
    <n v="0"/>
    <n v="0"/>
    <n v="0"/>
    <n v="0"/>
    <n v="0"/>
    <n v="0.43"/>
    <n v="0"/>
  </r>
  <r>
    <x v="11"/>
    <x v="1"/>
    <x v="0"/>
    <s v="5850200"/>
    <n v="721910"/>
    <s v="Supplies-Small Equipment"/>
    <s v="Neurology-FW-Shared Svc"/>
    <x v="0"/>
    <m/>
    <n v="0"/>
    <n v="0"/>
    <n v="194.61"/>
    <n v="18.66"/>
    <n v="0"/>
    <n v="0"/>
    <n v="0"/>
    <n v="865.31"/>
    <n v="87.39"/>
    <n v="1491.02"/>
    <n v="2337.23"/>
    <n v="1239.53"/>
    <n v="6233.7499999999991"/>
    <n v="1097.7"/>
  </r>
  <r>
    <x v="12"/>
    <x v="1"/>
    <x v="0"/>
    <s v="5850200"/>
    <n v="730010"/>
    <s v="Rental and Leases-Building (DO NOT USE)"/>
    <s v="Neurology-FW-Shared Svc"/>
    <x v="0"/>
    <m/>
    <n v="11846.18"/>
    <n v="11846.18"/>
    <n v="11846.18"/>
    <n v="11846.18"/>
    <n v="11846.18"/>
    <n v="-18039.84"/>
    <n v="6923.89"/>
    <n v="6923.89"/>
    <n v="6923.89"/>
    <n v="6923.89"/>
    <n v="6923.89"/>
    <n v="0"/>
    <n v="75810.509999999995"/>
    <n v="6923.89"/>
  </r>
  <r>
    <x v="12"/>
    <x v="1"/>
    <x v="0"/>
    <s v="5850200"/>
    <n v="730010"/>
    <s v="Rental-Common Area Maint (DO NOT USE)"/>
    <s v="Neurology-FW-Shared Svc"/>
    <x v="0"/>
    <n v="2200"/>
    <n v="0"/>
    <n v="0"/>
    <n v="0"/>
    <n v="0"/>
    <n v="0"/>
    <n v="29886.02"/>
    <n v="5128.6899999999996"/>
    <n v="5025.49"/>
    <n v="5025.49"/>
    <n v="5025.49"/>
    <n v="5025.49"/>
    <n v="1890.79"/>
    <n v="57007.459999999992"/>
    <n v="3134.7"/>
  </r>
  <r>
    <x v="12"/>
    <x v="1"/>
    <x v="0"/>
    <s v="5850200"/>
    <n v="730020"/>
    <s v="Rental and Leases-Equipment (DO NOT USE)"/>
    <s v="Neurology-FW-Shared Svc"/>
    <x v="0"/>
    <m/>
    <n v="9.5399999999999991"/>
    <n v="22.66"/>
    <n v="0"/>
    <n v="0"/>
    <n v="0"/>
    <n v="0"/>
    <n v="0"/>
    <n v="0"/>
    <n v="0"/>
    <n v="0"/>
    <n v="0"/>
    <n v="0"/>
    <n v="32.200000000000003"/>
    <n v="0"/>
  </r>
  <r>
    <x v="12"/>
    <x v="1"/>
    <x v="0"/>
    <s v="5850200"/>
    <n v="730020"/>
    <s v="Rental and Leases-Copier Usage Fees (DO NOT USE)"/>
    <s v="Neurology-FW-Shared Svc"/>
    <x v="0"/>
    <n v="5100"/>
    <n v="469.27"/>
    <n v="477.31"/>
    <n v="473.29"/>
    <n v="473.29"/>
    <n v="473.29"/>
    <n v="473.29"/>
    <n v="-422.21"/>
    <n v="338.31"/>
    <n v="346.93"/>
    <n v="483.15"/>
    <n v="338.31"/>
    <n v="404.95"/>
    <n v="4329.1799999999994"/>
    <n v="-66.639999999999986"/>
  </r>
  <r>
    <x v="12"/>
    <x v="1"/>
    <x v="0"/>
    <s v="5850200"/>
    <n v="730040"/>
    <s v="LT Lease-Real Estate"/>
    <s v="Neurology-FW-Shared Svc"/>
    <x v="0"/>
    <m/>
    <n v="0"/>
    <n v="0"/>
    <n v="0"/>
    <n v="0"/>
    <n v="0"/>
    <n v="0"/>
    <n v="0"/>
    <n v="0"/>
    <n v="0"/>
    <n v="0"/>
    <n v="0"/>
    <n v="9288.83"/>
    <n v="9288.83"/>
    <n v="-9288.83"/>
  </r>
  <r>
    <x v="15"/>
    <x v="1"/>
    <x v="0"/>
    <s v="5850200"/>
    <n v="731070"/>
    <s v="Cable TV"/>
    <s v="Neurology-FW-Shared Svc"/>
    <x v="0"/>
    <m/>
    <n v="78.489999999999995"/>
    <n v="68.489999999999995"/>
    <n v="0"/>
    <n v="0"/>
    <n v="0"/>
    <n v="0"/>
    <n v="0"/>
    <n v="86.63"/>
    <n v="0"/>
    <n v="0"/>
    <n v="0"/>
    <n v="0"/>
    <n v="233.60999999999999"/>
    <n v="0"/>
  </r>
  <r>
    <x v="16"/>
    <x v="1"/>
    <x v="0"/>
    <s v="5850200"/>
    <n v="732030"/>
    <s v="Repairs---Other"/>
    <s v="Neurology-FW-Shared Svc"/>
    <x v="0"/>
    <m/>
    <n v="0"/>
    <n v="0"/>
    <n v="0"/>
    <n v="1998.79"/>
    <n v="0"/>
    <n v="0"/>
    <n v="0"/>
    <n v="0"/>
    <n v="0"/>
    <n v="1168.75"/>
    <n v="0"/>
    <n v="0"/>
    <n v="3167.54"/>
    <n v="0"/>
  </r>
  <r>
    <x v="16"/>
    <x v="1"/>
    <x v="0"/>
    <s v="5850200"/>
    <n v="732030"/>
    <s v="Repairs&amp;Maintenance-Bldg Routine"/>
    <s v="Neurology-FW-Shared Svc"/>
    <x v="0"/>
    <n v="2300"/>
    <n v="0"/>
    <n v="0"/>
    <n v="352.28"/>
    <n v="0"/>
    <n v="0"/>
    <n v="0"/>
    <n v="0"/>
    <n v="20"/>
    <n v="0"/>
    <n v="0"/>
    <n v="0"/>
    <n v="0"/>
    <n v="372.28"/>
    <n v="0"/>
  </r>
  <r>
    <x v="13"/>
    <x v="1"/>
    <x v="0"/>
    <s v="5850200"/>
    <n v="735070"/>
    <s v="Depreciation-Movable Equipment"/>
    <s v="Neurology-FW-Shared Svc"/>
    <x v="0"/>
    <m/>
    <n v="1577.95"/>
    <n v="1577.95"/>
    <n v="1577.94"/>
    <n v="782.68"/>
    <n v="782.69"/>
    <n v="782.67"/>
    <n v="782.69"/>
    <n v="782.67"/>
    <n v="782.69"/>
    <n v="782.65"/>
    <n v="782.69"/>
    <n v="782.65"/>
    <n v="11777.920000000002"/>
    <n v="4.0000000000077307E-2"/>
  </r>
  <r>
    <x v="0"/>
    <x v="1"/>
    <x v="0"/>
    <s v="5850200"/>
    <n v="742010"/>
    <s v="Postage-Regular"/>
    <s v="Neurology-FW-Shared Svc"/>
    <x v="0"/>
    <m/>
    <n v="0"/>
    <n v="0"/>
    <n v="0"/>
    <n v="0"/>
    <n v="6.7"/>
    <n v="0"/>
    <n v="0"/>
    <n v="0"/>
    <n v="0"/>
    <n v="0"/>
    <n v="0"/>
    <n v="0"/>
    <n v="6.7"/>
    <n v="0"/>
  </r>
  <r>
    <x v="0"/>
    <x v="1"/>
    <x v="0"/>
    <s v="5850200"/>
    <n v="743030"/>
    <s v="Subscriptions--Institutional"/>
    <s v="Neurology-FW-Shared Svc"/>
    <x v="0"/>
    <m/>
    <n v="0"/>
    <n v="0"/>
    <n v="0"/>
    <n v="0"/>
    <n v="0"/>
    <n v="0"/>
    <n v="0"/>
    <n v="0"/>
    <n v="68.95"/>
    <n v="0"/>
    <n v="0"/>
    <n v="0"/>
    <n v="68.95"/>
    <n v="0"/>
  </r>
  <r>
    <x v="0"/>
    <x v="1"/>
    <x v="0"/>
    <s v="5850200"/>
    <n v="749510"/>
    <s v="Miscellaneous Expenses"/>
    <s v="Neurology-FW-Shared Svc"/>
    <x v="0"/>
    <m/>
    <n v="-60.51"/>
    <n v="0"/>
    <n v="0"/>
    <n v="0"/>
    <n v="47.78"/>
    <n v="0"/>
    <n v="0"/>
    <n v="37.950000000000003"/>
    <n v="0"/>
    <n v="0"/>
    <n v="0"/>
    <n v="0"/>
    <n v="25.220000000000006"/>
    <n v="0"/>
  </r>
  <r>
    <x v="0"/>
    <x v="1"/>
    <x v="0"/>
    <s v="5850200"/>
    <n v="749510"/>
    <s v="Licenses"/>
    <s v="Neurology-FW-Shared Svc"/>
    <x v="0"/>
    <n v="1002"/>
    <n v="0"/>
    <n v="0"/>
    <n v="530"/>
    <n v="0"/>
    <n v="19"/>
    <n v="19"/>
    <n v="0"/>
    <n v="0"/>
    <n v="0"/>
    <n v="0"/>
    <n v="0"/>
    <n v="0"/>
    <n v="568"/>
    <n v="0"/>
  </r>
  <r>
    <x v="0"/>
    <x v="1"/>
    <x v="0"/>
    <s v="5850200"/>
    <n v="749530"/>
    <s v="Mileage"/>
    <s v="Neurology-FW-Shared Svc"/>
    <x v="0"/>
    <n v="1001"/>
    <n v="64.540000000000006"/>
    <n v="0"/>
    <n v="0"/>
    <n v="0"/>
    <n v="122.65"/>
    <n v="0"/>
    <n v="33.25"/>
    <n v="75.98"/>
    <n v="0"/>
    <n v="0"/>
    <n v="0"/>
    <n v="0"/>
    <n v="296.42"/>
    <n v="0"/>
  </r>
  <r>
    <x v="0"/>
    <x v="1"/>
    <x v="0"/>
    <s v="5850200"/>
    <n v="749535"/>
    <s v="Meetings"/>
    <s v="Neurology-FW-Shared Svc"/>
    <x v="0"/>
    <m/>
    <n v="0"/>
    <n v="0"/>
    <n v="0"/>
    <n v="0"/>
    <n v="0"/>
    <n v="34.76"/>
    <n v="0"/>
    <n v="0"/>
    <n v="0"/>
    <n v="0"/>
    <n v="0"/>
    <n v="0"/>
    <n v="34.76"/>
    <n v="0"/>
  </r>
  <r>
    <x v="7"/>
    <x v="1"/>
    <x v="0"/>
    <s v="5851200"/>
    <n v="718050"/>
    <s v="Translation Services"/>
    <s v="Gen Surg-Yakima St-Shared Svc"/>
    <x v="0"/>
    <n v="1025"/>
    <n v="0"/>
    <n v="0"/>
    <n v="0"/>
    <n v="0"/>
    <n v="0"/>
    <n v="0"/>
    <n v="0"/>
    <n v="0"/>
    <n v="0"/>
    <n v="1.26"/>
    <n v="0"/>
    <n v="0"/>
    <n v="1.26"/>
    <n v="0"/>
  </r>
  <r>
    <x v="11"/>
    <x v="1"/>
    <x v="0"/>
    <s v="5852200"/>
    <n v="721250"/>
    <s v="Supplies-Pharmacy Drugs - Billable"/>
    <s v="Podiatrist - Auburn"/>
    <x v="0"/>
    <m/>
    <n v="0"/>
    <n v="0"/>
    <n v="0"/>
    <n v="0"/>
    <n v="0"/>
    <n v="0"/>
    <n v="0"/>
    <n v="34.119999999999997"/>
    <n v="0"/>
    <n v="0"/>
    <n v="0"/>
    <n v="0"/>
    <n v="34.119999999999997"/>
    <n v="0"/>
  </r>
  <r>
    <x v="7"/>
    <x v="1"/>
    <x v="0"/>
    <s v="5853200"/>
    <n v="718050"/>
    <s v="Contract Svcs-Other"/>
    <s v="OB/GYN Hospitalist"/>
    <x v="0"/>
    <m/>
    <n v="0"/>
    <n v="0"/>
    <n v="86.24"/>
    <n v="0"/>
    <n v="0"/>
    <n v="0"/>
    <n v="0"/>
    <n v="0"/>
    <n v="0"/>
    <n v="0"/>
    <n v="0"/>
    <n v="0"/>
    <n v="86.24"/>
    <n v="0"/>
  </r>
  <r>
    <x v="14"/>
    <x v="1"/>
    <x v="0"/>
    <s v="5854200"/>
    <n v="600050"/>
    <s v="Miscellaneous Revenue"/>
    <s v="Anesth Phys-Franc-Shared Svc"/>
    <x v="0"/>
    <m/>
    <n v="1367"/>
    <n v="-3364.37"/>
    <n v="-10722.37"/>
    <n v="-6275.67"/>
    <n v="0"/>
    <n v="0"/>
    <n v="0"/>
    <n v="-2664.31"/>
    <n v="-318.42"/>
    <n v="-360.75"/>
    <n v="0"/>
    <n v="0"/>
    <n v="-22338.890000000003"/>
    <n v="0"/>
  </r>
  <r>
    <x v="7"/>
    <x v="1"/>
    <x v="0"/>
    <s v="5854200"/>
    <n v="718050"/>
    <s v="Contract Svcs-Other"/>
    <s v="Anesth Phys-Franc-Shared Svc"/>
    <x v="0"/>
    <m/>
    <n v="1311"/>
    <n v="3571.75"/>
    <n v="660"/>
    <n v="660"/>
    <n v="0"/>
    <n v="165"/>
    <n v="0"/>
    <n v="8873"/>
    <n v="0"/>
    <n v="0"/>
    <n v="0"/>
    <n v="0"/>
    <n v="15240.75"/>
    <n v="0"/>
  </r>
  <r>
    <x v="7"/>
    <x v="1"/>
    <x v="0"/>
    <s v="5854200"/>
    <n v="718050"/>
    <s v="Miscellaneous Purchased Svcs"/>
    <s v="Anesth Phys-Franc-Shared Svc"/>
    <x v="0"/>
    <n v="1020"/>
    <n v="148104.32000000001"/>
    <n v="96041.32"/>
    <n v="-84918.22"/>
    <n v="40248.410000000003"/>
    <n v="9876"/>
    <n v="-35645.18"/>
    <n v="34458.370000000003"/>
    <n v="71039.320000000007"/>
    <n v="71183.320000000007"/>
    <n v="21286.5"/>
    <n v="3811.22"/>
    <n v="7986.46"/>
    <n v="383471.84"/>
    <n v="-4175.24"/>
  </r>
  <r>
    <x v="7"/>
    <x v="1"/>
    <x v="0"/>
    <s v="5854200"/>
    <n v="718050"/>
    <s v="Purchased Srvcs--Medical Waste"/>
    <s v="Anesth Phys-Franc-Shared Svc"/>
    <x v="0"/>
    <n v="1027"/>
    <n v="10.36"/>
    <n v="10.36"/>
    <n v="10.36"/>
    <n v="0"/>
    <n v="10.36"/>
    <n v="10.36"/>
    <n v="20.72"/>
    <n v="10.36"/>
    <n v="0"/>
    <n v="20.72"/>
    <n v="0"/>
    <n v="10.36"/>
    <n v="113.96"/>
    <n v="-10.36"/>
  </r>
  <r>
    <x v="11"/>
    <x v="1"/>
    <x v="0"/>
    <s v="5854200"/>
    <n v="721810"/>
    <s v="Supplies-Dietary/Cafeteria"/>
    <s v="Anesth Phys-Franc-Shared Svc"/>
    <x v="0"/>
    <m/>
    <n v="0"/>
    <n v="0"/>
    <n v="0"/>
    <n v="227.51"/>
    <n v="0"/>
    <n v="0"/>
    <n v="174.64"/>
    <n v="0"/>
    <n v="0"/>
    <n v="0"/>
    <n v="0"/>
    <n v="0"/>
    <n v="402.15"/>
    <n v="0"/>
  </r>
  <r>
    <x v="15"/>
    <x v="1"/>
    <x v="0"/>
    <s v="5854200"/>
    <n v="731060"/>
    <s v="Pagers"/>
    <s v="Anesth Phys-Franc-Shared Svc"/>
    <x v="0"/>
    <n v="1002"/>
    <n v="100.8"/>
    <n v="100.8"/>
    <n v="178.62"/>
    <n v="63.1"/>
    <n v="80.900000000000006"/>
    <n v="0"/>
    <n v="84.72"/>
    <n v="42.36"/>
    <n v="42.36"/>
    <n v="42.36"/>
    <n v="42.36"/>
    <n v="42.36"/>
    <n v="820.74000000000012"/>
    <n v="0"/>
  </r>
  <r>
    <x v="0"/>
    <x v="1"/>
    <x v="0"/>
    <s v="5854200"/>
    <n v="743020"/>
    <s v="Dues--Individual"/>
    <s v="Anesth Phys-Franc-Shared Svc"/>
    <x v="0"/>
    <m/>
    <n v="0"/>
    <n v="0"/>
    <n v="0"/>
    <n v="0"/>
    <n v="0"/>
    <n v="0"/>
    <n v="0"/>
    <n v="5130"/>
    <n v="0"/>
    <n v="0"/>
    <n v="0"/>
    <n v="0"/>
    <n v="5130"/>
    <n v="0"/>
  </r>
  <r>
    <x v="0"/>
    <x v="1"/>
    <x v="0"/>
    <s v="5854200"/>
    <n v="749510"/>
    <s v="Licenses"/>
    <s v="Anesth Phys-Franc-Shared Svc"/>
    <x v="0"/>
    <n v="1002"/>
    <n v="0"/>
    <n v="0"/>
    <n v="0"/>
    <n v="0"/>
    <n v="0"/>
    <n v="19"/>
    <n v="0"/>
    <n v="0"/>
    <n v="0"/>
    <n v="0"/>
    <n v="0"/>
    <n v="0"/>
    <n v="19"/>
    <n v="0"/>
  </r>
  <r>
    <x v="7"/>
    <x v="1"/>
    <x v="0"/>
    <s v="5855200"/>
    <n v="718050"/>
    <s v="Document Shredding/Storage"/>
    <s v="Ortho/Spine-Dr S-Shared Svc"/>
    <x v="0"/>
    <n v="1012"/>
    <n v="137.5"/>
    <n v="56.15"/>
    <n v="116.9"/>
    <n v="112.18"/>
    <n v="51.85"/>
    <n v="78.540000000000006"/>
    <n v="77.75"/>
    <n v="-630.87"/>
    <n v="0"/>
    <n v="0"/>
    <n v="0"/>
    <n v="0"/>
    <n v="0"/>
    <n v="0"/>
  </r>
  <r>
    <x v="12"/>
    <x v="1"/>
    <x v="0"/>
    <s v="5855200"/>
    <n v="730020"/>
    <s v="Rental and Leases-Copier Usage Fees (DO NOT USE)"/>
    <s v="Ortho/Spine-Dr S-Shared Svc"/>
    <x v="0"/>
    <n v="5100"/>
    <n v="5.88"/>
    <n v="5.29"/>
    <n v="5.59"/>
    <n v="5.59"/>
    <n v="5.59"/>
    <n v="5.59"/>
    <n v="80.16"/>
    <n v="-113.69"/>
    <n v="0"/>
    <n v="0"/>
    <n v="0"/>
    <n v="0"/>
    <n v="0"/>
    <n v="0"/>
  </r>
  <r>
    <x v="0"/>
    <x v="1"/>
    <x v="0"/>
    <s v="5855200"/>
    <n v="766010"/>
    <s v="Property Tax"/>
    <s v="Ortho/Spine-Dr S-Shared Svc"/>
    <x v="0"/>
    <m/>
    <n v="11.99"/>
    <n v="11.99"/>
    <n v="11.99"/>
    <n v="11.99"/>
    <n v="11.99"/>
    <n v="11.99"/>
    <n v="11.99"/>
    <n v="-83.93"/>
    <n v="0"/>
    <n v="0"/>
    <n v="0"/>
    <n v="0"/>
    <n v="-1.4210854715202004E-14"/>
    <n v="0"/>
  </r>
  <r>
    <x v="7"/>
    <x v="1"/>
    <x v="0"/>
    <s v="5856200"/>
    <n v="718050"/>
    <s v="Contract Svcs-Other"/>
    <s v="Cardiologist-McKelvey"/>
    <x v="0"/>
    <m/>
    <n v="0"/>
    <n v="0"/>
    <n v="0"/>
    <n v="60.56"/>
    <n v="0"/>
    <n v="0"/>
    <n v="0"/>
    <n v="0"/>
    <n v="0"/>
    <n v="0"/>
    <n v="0"/>
    <n v="0"/>
    <n v="60.56"/>
    <n v="0"/>
  </r>
  <r>
    <x v="0"/>
    <x v="1"/>
    <x v="0"/>
    <s v="5856200"/>
    <n v="749510"/>
    <s v="Miscellaneous Expenses"/>
    <s v="Cardiologist-McKelvey"/>
    <x v="0"/>
    <m/>
    <n v="0"/>
    <n v="0"/>
    <n v="0"/>
    <n v="0"/>
    <n v="0"/>
    <n v="0"/>
    <n v="0"/>
    <n v="0"/>
    <n v="436"/>
    <n v="0"/>
    <n v="0"/>
    <n v="0"/>
    <n v="436"/>
    <n v="0"/>
  </r>
  <r>
    <x v="5"/>
    <x v="1"/>
    <x v="0"/>
    <s v="5857200"/>
    <n v="700014"/>
    <s v="Salaries-Management-Productive"/>
    <s v="Nephrology Clinic-Shared Svc"/>
    <x v="0"/>
    <m/>
    <n v="2563.3200000000002"/>
    <n v="3468.04"/>
    <n v="3015.68"/>
    <n v="2845.66"/>
    <n v="3718.66"/>
    <n v="1975.53"/>
    <n v="3297.46"/>
    <n v="3103.44"/>
    <n v="3258.62"/>
    <n v="3025.84"/>
    <n v="2793.11"/>
    <n v="3103.44"/>
    <n v="36168.799999999996"/>
    <n v="-310.32999999999993"/>
  </r>
  <r>
    <x v="5"/>
    <x v="1"/>
    <x v="0"/>
    <s v="5857200"/>
    <n v="700018"/>
    <s v="Salaries-Supervisory-Productive"/>
    <s v="Nephrology Clinic-Shared Svc"/>
    <x v="0"/>
    <m/>
    <n v="5733.64"/>
    <n v="7974.68"/>
    <n v="11763.89"/>
    <n v="12823.61"/>
    <n v="12328.8"/>
    <n v="9620.0499999999993"/>
    <n v="9633.2000000000007"/>
    <n v="11812.89"/>
    <n v="13788.57"/>
    <n v="12346.86"/>
    <n v="12908.09"/>
    <n v="10663.19"/>
    <n v="131397.46999999997"/>
    <n v="2244.8999999999996"/>
  </r>
  <r>
    <x v="5"/>
    <x v="1"/>
    <x v="0"/>
    <s v="5857200"/>
    <n v="700038"/>
    <s v="Salaries-Service/Support-Productive"/>
    <s v="Nephrology Clinic-Shared Svc"/>
    <x v="0"/>
    <m/>
    <n v="14287.04"/>
    <n v="15321.33"/>
    <n v="14357.63"/>
    <n v="21369.21"/>
    <n v="15217.95"/>
    <n v="13148.22"/>
    <n v="15009.25"/>
    <n v="10615.71"/>
    <n v="12205.1"/>
    <n v="9992.0499999999993"/>
    <n v="15526.53"/>
    <n v="13314.98"/>
    <n v="170365"/>
    <n v="2211.5500000000011"/>
  </r>
  <r>
    <x v="5"/>
    <x v="1"/>
    <x v="0"/>
    <s v="5857200"/>
    <n v="700038"/>
    <s v="Salaries-Service/Support-OT"/>
    <s v="Nephrology Clinic-Shared Svc"/>
    <x v="0"/>
    <n v="1000"/>
    <n v="68.38"/>
    <n v="208.81"/>
    <n v="161.87"/>
    <n v="466.1"/>
    <n v="111.03"/>
    <n v="90.13"/>
    <n v="211.92"/>
    <n v="29.73"/>
    <n v="637.76"/>
    <n v="346.42"/>
    <n v="270.57"/>
    <n v="131.93"/>
    <n v="2734.65"/>
    <n v="138.63999999999999"/>
  </r>
  <r>
    <x v="5"/>
    <x v="1"/>
    <x v="0"/>
    <s v="5857200"/>
    <n v="700038"/>
    <s v="Salaries-Service/Support-Other"/>
    <s v="Nephrology Clinic-Shared Svc"/>
    <x v="0"/>
    <n v="2000"/>
    <n v="119.28"/>
    <n v="93.72"/>
    <n v="80.260000000000005"/>
    <n v="93.89"/>
    <n v="88.65"/>
    <n v="84.4"/>
    <n v="94.4"/>
    <n v="94.78"/>
    <n v="100.99"/>
    <n v="85.56"/>
    <n v="122.7"/>
    <n v="79.95"/>
    <n v="1138.58"/>
    <n v="42.75"/>
  </r>
  <r>
    <x v="5"/>
    <x v="1"/>
    <x v="0"/>
    <s v="5857200"/>
    <n v="700054"/>
    <s v="Salaries-Management-Non-productive"/>
    <s v="Nephrology Clinic-Shared Svc"/>
    <x v="0"/>
    <m/>
    <n v="753.92"/>
    <n v="1507.84"/>
    <n v="0"/>
    <n v="697.24"/>
    <n v="-309.88"/>
    <n v="3292.56"/>
    <n v="194.23"/>
    <n v="387.91"/>
    <n v="0"/>
    <n v="1551.7"/>
    <n v="3491.31"/>
    <n v="1163.77"/>
    <n v="12730.6"/>
    <n v="2327.54"/>
  </r>
  <r>
    <x v="5"/>
    <x v="1"/>
    <x v="0"/>
    <s v="5857200"/>
    <n v="700054"/>
    <s v="Salaries-Management-NonProd-Other"/>
    <s v="Nephrology Clinic-Shared Svc"/>
    <x v="0"/>
    <n v="2000"/>
    <n v="0"/>
    <n v="0"/>
    <n v="0"/>
    <n v="0"/>
    <n v="359.67"/>
    <n v="574.57000000000005"/>
    <n v="-214.9"/>
    <n v="-719.34"/>
    <n v="0"/>
    <n v="0"/>
    <n v="0"/>
    <n v="0"/>
    <n v="0"/>
    <n v="0"/>
  </r>
  <r>
    <x v="5"/>
    <x v="1"/>
    <x v="0"/>
    <s v="5857200"/>
    <n v="700058"/>
    <s v="Salaries-Supervisory-Non-productive"/>
    <s v="Nephrology Clinic-Shared Svc"/>
    <x v="0"/>
    <m/>
    <n v="1515.79"/>
    <n v="-197.71"/>
    <n v="204.56"/>
    <n v="0"/>
    <n v="0"/>
    <n v="2148.34"/>
    <n v="3275.67"/>
    <n v="-588.42999999999995"/>
    <n v="0"/>
    <n v="0"/>
    <n v="0"/>
    <n v="561.23"/>
    <n v="6919.4499999999989"/>
    <n v="-561.23"/>
  </r>
  <r>
    <x v="5"/>
    <x v="1"/>
    <x v="0"/>
    <s v="5857200"/>
    <n v="700078"/>
    <s v="Salaries-Service/Support-Non-productive"/>
    <s v="Nephrology Clinic-Shared Svc"/>
    <x v="0"/>
    <m/>
    <n v="1617.49"/>
    <n v="2450.1999999999998"/>
    <n v="1275.19"/>
    <n v="1022.89"/>
    <n v="1163.3499999999999"/>
    <n v="3844.31"/>
    <n v="1975.79"/>
    <n v="1313.04"/>
    <n v="646.29999999999995"/>
    <n v="2129.85"/>
    <n v="825.57"/>
    <n v="1575.89"/>
    <n v="19839.869999999995"/>
    <n v="-750.32"/>
  </r>
  <r>
    <x v="5"/>
    <x v="1"/>
    <x v="0"/>
    <s v="5857200"/>
    <n v="700078"/>
    <s v="Salaries-Service/Support-NonProd-Other"/>
    <s v="Nephrology Clinic-Shared Svc"/>
    <x v="0"/>
    <n v="2000"/>
    <n v="0"/>
    <n v="0"/>
    <n v="0"/>
    <n v="17.87"/>
    <n v="-7.94"/>
    <n v="0"/>
    <n v="0"/>
    <n v="0"/>
    <n v="0"/>
    <n v="0"/>
    <n v="23.36"/>
    <n v="-11.68"/>
    <n v="21.61"/>
    <n v="35.04"/>
  </r>
  <r>
    <x v="5"/>
    <x v="1"/>
    <x v="0"/>
    <s v="5857200"/>
    <n v="700084"/>
    <s v="Accrued PTO"/>
    <s v="Nephrology Clinic-Shared Svc"/>
    <x v="0"/>
    <m/>
    <n v="94.71"/>
    <n v="1093.77"/>
    <n v="1413.7"/>
    <n v="2612.0300000000002"/>
    <n v="825.34"/>
    <n v="-2005.28"/>
    <n v="-1344"/>
    <n v="1564.79"/>
    <n v="3248.26"/>
    <n v="783.35"/>
    <n v="46.07"/>
    <n v="1552.61"/>
    <n v="9885.3500000000022"/>
    <n v="-1506.54"/>
  </r>
  <r>
    <x v="6"/>
    <x v="1"/>
    <x v="0"/>
    <s v="5857200"/>
    <n v="713010"/>
    <s v="Benefits-FICA/Medicare"/>
    <s v="Nephrology Clinic-Shared Svc"/>
    <x v="0"/>
    <m/>
    <n v="2006.91"/>
    <n v="2320.65"/>
    <n v="2319.52"/>
    <n v="2963.38"/>
    <n v="2532.0500000000002"/>
    <n v="2582.6"/>
    <n v="2544.2600000000002"/>
    <n v="2031.72"/>
    <n v="2377.33"/>
    <n v="2210.71"/>
    <n v="2697.42"/>
    <n v="2269.1799999999998"/>
    <n v="28855.729999999996"/>
    <n v="428.24000000000024"/>
  </r>
  <r>
    <x v="6"/>
    <x v="1"/>
    <x v="0"/>
    <s v="5857200"/>
    <n v="713090"/>
    <s v="Benefits-Allocated Amounts"/>
    <s v="Nephrology Clinic-Shared Svc"/>
    <x v="0"/>
    <m/>
    <n v="6605.1"/>
    <n v="6705.06"/>
    <n v="8014.71"/>
    <n v="8915.91"/>
    <n v="8210.1"/>
    <n v="8627.9"/>
    <n v="9238.8700000000008"/>
    <n v="7660.79"/>
    <n v="7602.12"/>
    <n v="7217.4"/>
    <n v="8314.84"/>
    <n v="8682.19"/>
    <n v="95794.989999999991"/>
    <n v="-367.35000000000036"/>
  </r>
  <r>
    <x v="7"/>
    <x v="1"/>
    <x v="0"/>
    <s v="5857200"/>
    <n v="718010"/>
    <s v="Media/Print Advertising"/>
    <s v="Nephrology Clinic-Shared Svc"/>
    <x v="0"/>
    <n v="1004"/>
    <n v="0"/>
    <n v="0"/>
    <n v="339.32"/>
    <n v="0"/>
    <n v="0"/>
    <n v="0"/>
    <n v="791.02"/>
    <n v="425.01"/>
    <n v="0"/>
    <n v="0"/>
    <n v="285.5"/>
    <n v="0"/>
    <n v="1840.85"/>
    <n v="285.5"/>
  </r>
  <r>
    <x v="7"/>
    <x v="1"/>
    <x v="0"/>
    <s v="5857200"/>
    <n v="718050"/>
    <s v="Contract Svcs-Other"/>
    <s v="Nephrology Clinic-Shared Svc"/>
    <x v="0"/>
    <m/>
    <n v="133.11000000000001"/>
    <n v="133.12"/>
    <n v="0"/>
    <n v="384.57"/>
    <n v="42.65"/>
    <n v="42.64"/>
    <n v="371.97"/>
    <n v="118.67"/>
    <n v="389.93"/>
    <n v="0"/>
    <n v="28.2"/>
    <n v="98.12"/>
    <n v="1742.98"/>
    <n v="-69.92"/>
  </r>
  <r>
    <x v="7"/>
    <x v="1"/>
    <x v="0"/>
    <s v="5857200"/>
    <n v="718050"/>
    <s v="Document Shredding/Storage"/>
    <s v="Nephrology Clinic-Shared Svc"/>
    <x v="0"/>
    <n v="1012"/>
    <n v="56.8"/>
    <n v="62.89"/>
    <n v="46.3"/>
    <n v="46.84"/>
    <n v="89.64"/>
    <n v="74.14"/>
    <n v="73.39"/>
    <n v="13.7"/>
    <n v="45.93"/>
    <n v="35.04"/>
    <n v="43.11"/>
    <n v="52.84"/>
    <n v="640.62"/>
    <n v="-9.730000000000004"/>
  </r>
  <r>
    <x v="7"/>
    <x v="1"/>
    <x v="0"/>
    <s v="5857200"/>
    <n v="718050"/>
    <s v="Physician Answering"/>
    <s v="Nephrology Clinic-Shared Svc"/>
    <x v="0"/>
    <n v="1015"/>
    <n v="1948"/>
    <n v="3007.8"/>
    <n v="1879.6"/>
    <n v="847.2"/>
    <n v="2850.6"/>
    <n v="2370.1999999999998"/>
    <n v="3305.8"/>
    <n v="2599.8000000000002"/>
    <n v="2457"/>
    <n v="2889"/>
    <n v="2740"/>
    <n v="2535.6"/>
    <n v="29430.599999999995"/>
    <n v="204.40000000000009"/>
  </r>
  <r>
    <x v="7"/>
    <x v="1"/>
    <x v="0"/>
    <s v="5857200"/>
    <n v="718050"/>
    <s v="Miscellaneous Purchased Svcs"/>
    <s v="Nephrology Clinic-Shared Svc"/>
    <x v="0"/>
    <n v="1020"/>
    <n v="0"/>
    <n v="0"/>
    <n v="394.35"/>
    <n v="2398.96"/>
    <n v="60.02"/>
    <n v="0"/>
    <n v="241.35"/>
    <n v="240.94"/>
    <n v="120.47"/>
    <n v="0"/>
    <n v="120.47"/>
    <n v="213.97"/>
    <n v="3790.5299999999993"/>
    <n v="-93.5"/>
  </r>
  <r>
    <x v="7"/>
    <x v="1"/>
    <x v="0"/>
    <s v="5857200"/>
    <n v="718050"/>
    <s v="Translation Services"/>
    <s v="Nephrology Clinic-Shared Svc"/>
    <x v="0"/>
    <n v="1025"/>
    <n v="10.36"/>
    <n v="1127.96"/>
    <n v="401.46"/>
    <n v="831.45"/>
    <n v="567.11"/>
    <n v="1075.76"/>
    <n v="0"/>
    <n v="1361.09"/>
    <n v="408"/>
    <n v="7.11"/>
    <n v="731.54"/>
    <n v="769.58"/>
    <n v="7291.42"/>
    <n v="-38.040000000000077"/>
  </r>
  <r>
    <x v="7"/>
    <x v="1"/>
    <x v="0"/>
    <s v="5857200"/>
    <n v="718050"/>
    <s v="Contract Management--Linen"/>
    <s v="Nephrology Clinic-Shared Svc"/>
    <x v="0"/>
    <n v="1026"/>
    <n v="14.07"/>
    <n v="40.799999999999997"/>
    <n v="14.07"/>
    <n v="42.73"/>
    <n v="38.35"/>
    <n v="10.199999999999999"/>
    <n v="17.95"/>
    <n v="28.36"/>
    <n v="96.86"/>
    <n v="20.440000000000001"/>
    <n v="14.18"/>
    <n v="87.24"/>
    <n v="425.25"/>
    <n v="-73.06"/>
  </r>
  <r>
    <x v="7"/>
    <x v="1"/>
    <x v="0"/>
    <s v="5857200"/>
    <n v="718050"/>
    <s v="Purchased Srvcs--Medical Waste"/>
    <s v="Nephrology Clinic-Shared Svc"/>
    <x v="0"/>
    <n v="1027"/>
    <n v="86.06"/>
    <n v="86.06"/>
    <n v="127.5"/>
    <n v="10.36"/>
    <n v="106.78"/>
    <n v="106.78"/>
    <n v="182.48"/>
    <n v="96.42"/>
    <n v="10.36"/>
    <n v="172.12"/>
    <n v="10.36"/>
    <n v="96.42"/>
    <n v="1091.7"/>
    <n v="-86.06"/>
  </r>
  <r>
    <x v="7"/>
    <x v="1"/>
    <x v="0"/>
    <s v="5857200"/>
    <n v="718070"/>
    <s v="Contract Srvcs-CHI Clinical Engineering"/>
    <s v="Nephrology Clinic-Shared Svc"/>
    <x v="0"/>
    <m/>
    <n v="0"/>
    <n v="0"/>
    <n v="0"/>
    <n v="0"/>
    <n v="0"/>
    <n v="0"/>
    <n v="0"/>
    <n v="561.51"/>
    <n v="561.51"/>
    <n v="0"/>
    <n v="0"/>
    <n v="0"/>
    <n v="1123.02"/>
    <n v="0"/>
  </r>
  <r>
    <x v="11"/>
    <x v="1"/>
    <x v="0"/>
    <s v="5857200"/>
    <n v="721250"/>
    <s v="Supplies-Pharmacy Drugs - Billable"/>
    <s v="Nephrology Clinic-Shared Svc"/>
    <x v="0"/>
    <m/>
    <n v="4205.22"/>
    <n v="0"/>
    <n v="0"/>
    <n v="0"/>
    <n v="0"/>
    <n v="0"/>
    <n v="0"/>
    <n v="0"/>
    <n v="0"/>
    <n v="0"/>
    <n v="0"/>
    <n v="1793.5"/>
    <n v="5998.72"/>
    <n v="-1793.5"/>
  </r>
  <r>
    <x v="11"/>
    <x v="1"/>
    <x v="0"/>
    <s v="5857200"/>
    <n v="721410"/>
    <s v="Supplies-Medical - Nonbillable"/>
    <s v="Nephrology Clinic-Shared Svc"/>
    <x v="0"/>
    <m/>
    <n v="0"/>
    <n v="921.58"/>
    <n v="0"/>
    <n v="0"/>
    <n v="328.69"/>
    <n v="274.60000000000002"/>
    <n v="0"/>
    <n v="813.64"/>
    <n v="289.68"/>
    <n v="200.07"/>
    <n v="314.45999999999998"/>
    <n v="387.76"/>
    <n v="3530.4799999999996"/>
    <n v="-73.300000000000011"/>
  </r>
  <r>
    <x v="11"/>
    <x v="1"/>
    <x v="0"/>
    <s v="5857200"/>
    <n v="721810"/>
    <s v="Supplies-Dietary/Cafeteria"/>
    <s v="Nephrology Clinic-Shared Svc"/>
    <x v="0"/>
    <m/>
    <n v="0"/>
    <n v="135.61000000000001"/>
    <n v="0"/>
    <n v="132.55000000000001"/>
    <n v="0"/>
    <n v="0"/>
    <n v="0"/>
    <n v="8"/>
    <n v="8"/>
    <n v="0"/>
    <n v="0"/>
    <n v="0"/>
    <n v="284.16000000000003"/>
    <n v="0"/>
  </r>
  <r>
    <x v="11"/>
    <x v="1"/>
    <x v="0"/>
    <s v="5857200"/>
    <n v="721830"/>
    <s v="Supplies-Office"/>
    <s v="Nephrology Clinic-Shared Svc"/>
    <x v="0"/>
    <m/>
    <n v="500.57"/>
    <n v="805"/>
    <n v="598.38"/>
    <n v="825.87"/>
    <n v="507.24"/>
    <n v="490.82"/>
    <n v="679.4"/>
    <n v="430.59"/>
    <n v="768.61"/>
    <n v="263.8"/>
    <n v="424.08"/>
    <n v="439.4"/>
    <n v="6733.7599999999993"/>
    <n v="-15.319999999999993"/>
  </r>
  <r>
    <x v="11"/>
    <x v="1"/>
    <x v="0"/>
    <s v="5857200"/>
    <n v="721835"/>
    <s v="Supplies-Forms"/>
    <s v="Nephrology Clinic-Shared Svc"/>
    <x v="0"/>
    <m/>
    <n v="0"/>
    <n v="0"/>
    <n v="0"/>
    <n v="0"/>
    <n v="7.65"/>
    <n v="0"/>
    <n v="0"/>
    <n v="0"/>
    <n v="30"/>
    <n v="0"/>
    <n v="0"/>
    <n v="0"/>
    <n v="37.65"/>
    <n v="0"/>
  </r>
  <r>
    <x v="11"/>
    <x v="1"/>
    <x v="0"/>
    <s v="5857200"/>
    <n v="721870"/>
    <s v="Supplies-Environmental Services"/>
    <s v="Nephrology Clinic-Shared Svc"/>
    <x v="0"/>
    <m/>
    <n v="0"/>
    <n v="0"/>
    <n v="0"/>
    <n v="0"/>
    <n v="0"/>
    <n v="0"/>
    <n v="0"/>
    <n v="0"/>
    <n v="0"/>
    <n v="0"/>
    <n v="0"/>
    <n v="57.6"/>
    <n v="57.6"/>
    <n v="-57.6"/>
  </r>
  <r>
    <x v="11"/>
    <x v="1"/>
    <x v="0"/>
    <s v="5857200"/>
    <n v="721880"/>
    <s v="Supplies-Linen"/>
    <s v="Nephrology Clinic-Shared Svc"/>
    <x v="0"/>
    <m/>
    <n v="0"/>
    <n v="0"/>
    <n v="93.93"/>
    <n v="0"/>
    <n v="0"/>
    <n v="0"/>
    <n v="0"/>
    <n v="0"/>
    <n v="0"/>
    <n v="0"/>
    <n v="0"/>
    <n v="0"/>
    <n v="93.93"/>
    <n v="0"/>
  </r>
  <r>
    <x v="11"/>
    <x v="1"/>
    <x v="0"/>
    <s v="5857200"/>
    <n v="721910"/>
    <s v="Supplies-Small Equipment"/>
    <s v="Nephrology Clinic-Shared Svc"/>
    <x v="0"/>
    <m/>
    <n v="0"/>
    <n v="315.99"/>
    <n v="0"/>
    <n v="0"/>
    <n v="0"/>
    <n v="0"/>
    <n v="0"/>
    <n v="865.31"/>
    <n v="87.39"/>
    <n v="0"/>
    <n v="0"/>
    <n v="0"/>
    <n v="1268.69"/>
    <n v="0"/>
  </r>
  <r>
    <x v="11"/>
    <x v="1"/>
    <x v="0"/>
    <s v="5857200"/>
    <n v="722000"/>
    <s v="Supplies-Freight Expense"/>
    <s v="Nephrology Clinic-Shared Svc"/>
    <x v="0"/>
    <m/>
    <n v="0"/>
    <n v="0"/>
    <n v="7.93"/>
    <n v="0"/>
    <n v="0"/>
    <n v="0"/>
    <n v="0"/>
    <n v="0"/>
    <n v="0"/>
    <n v="0"/>
    <n v="0"/>
    <n v="0"/>
    <n v="7.93"/>
    <n v="0"/>
  </r>
  <r>
    <x v="12"/>
    <x v="1"/>
    <x v="0"/>
    <s v="5857200"/>
    <n v="730010"/>
    <s v="Rental and Leases-Building (DO NOT USE)"/>
    <s v="Nephrology Clinic-Shared Svc"/>
    <x v="0"/>
    <m/>
    <n v="22692.69"/>
    <n v="23619.97"/>
    <n v="22810.19"/>
    <n v="24429.75"/>
    <n v="23619.97"/>
    <n v="-28095.81"/>
    <n v="14532.03"/>
    <n v="14958.74"/>
    <n v="14745.39"/>
    <n v="14745.38"/>
    <n v="14836.8"/>
    <n v="0"/>
    <n v="162895.1"/>
    <n v="14836.8"/>
  </r>
  <r>
    <x v="12"/>
    <x v="1"/>
    <x v="0"/>
    <s v="5857200"/>
    <n v="730010"/>
    <s v="Rental-Common Area Maint (DO NOT USE)"/>
    <s v="Nephrology Clinic-Shared Svc"/>
    <x v="0"/>
    <n v="2200"/>
    <n v="0"/>
    <n v="0"/>
    <n v="0"/>
    <n v="0"/>
    <n v="0"/>
    <n v="51064.47"/>
    <n v="8529.0400000000009"/>
    <n v="8462.36"/>
    <n v="6549.49"/>
    <n v="8462.3700000000008"/>
    <n v="8462.3700000000008"/>
    <n v="0"/>
    <n v="91530.099999999991"/>
    <n v="8462.3700000000008"/>
  </r>
  <r>
    <x v="12"/>
    <x v="1"/>
    <x v="0"/>
    <s v="5857200"/>
    <n v="730020"/>
    <s v="Rental and Leases-Copier Usage Fees (DO NOT USE)"/>
    <s v="Nephrology Clinic-Shared Svc"/>
    <x v="0"/>
    <n v="5100"/>
    <n v="759.26"/>
    <n v="778.92"/>
    <n v="769.09"/>
    <n v="769.09"/>
    <n v="769.09"/>
    <n v="769.09"/>
    <n v="865.16"/>
    <n v="640"/>
    <n v="734.63"/>
    <n v="1234.73"/>
    <n v="638.16999999999996"/>
    <n v="680.82"/>
    <n v="9408.0499999999993"/>
    <n v="-42.650000000000091"/>
  </r>
  <r>
    <x v="12"/>
    <x v="1"/>
    <x v="0"/>
    <s v="5857200"/>
    <n v="730040"/>
    <s v="LT Lease-Real Estate"/>
    <s v="Nephrology Clinic-Shared Svc"/>
    <x v="0"/>
    <m/>
    <n v="0"/>
    <n v="0"/>
    <n v="0"/>
    <n v="0"/>
    <n v="0"/>
    <n v="0"/>
    <n v="0"/>
    <n v="0"/>
    <n v="0"/>
    <n v="0"/>
    <n v="0"/>
    <n v="23433.03"/>
    <n v="23433.03"/>
    <n v="-23433.03"/>
  </r>
  <r>
    <x v="15"/>
    <x v="1"/>
    <x v="0"/>
    <s v="5857200"/>
    <n v="731060"/>
    <s v="Telephone"/>
    <s v="Nephrology Clinic-Shared Svc"/>
    <x v="0"/>
    <m/>
    <n v="0"/>
    <n v="0"/>
    <n v="0"/>
    <n v="0"/>
    <n v="0"/>
    <n v="0"/>
    <n v="0"/>
    <n v="0"/>
    <n v="0"/>
    <n v="0"/>
    <n v="0"/>
    <n v="96.09"/>
    <n v="96.09"/>
    <n v="-96.09"/>
  </r>
  <r>
    <x v="15"/>
    <x v="1"/>
    <x v="0"/>
    <s v="5857200"/>
    <n v="731060"/>
    <s v="Pagers"/>
    <s v="Nephrology Clinic-Shared Svc"/>
    <x v="0"/>
    <n v="1002"/>
    <n v="64.8"/>
    <n v="64.8"/>
    <n v="95.02"/>
    <n v="64.959999999999994"/>
    <n v="64.959999999999994"/>
    <n v="0"/>
    <n v="129.91999999999999"/>
    <n v="64.959999999999994"/>
    <n v="64.959999999999994"/>
    <n v="64.959999999999994"/>
    <n v="64.959999999999994"/>
    <n v="64.959999999999994"/>
    <n v="809.2600000000001"/>
    <n v="0"/>
  </r>
  <r>
    <x v="15"/>
    <x v="1"/>
    <x v="0"/>
    <s v="5857200"/>
    <n v="731070"/>
    <s v="Cable TV"/>
    <s v="Nephrology Clinic-Shared Svc"/>
    <x v="0"/>
    <m/>
    <n v="68.39"/>
    <n v="68.39"/>
    <n v="68.39"/>
    <n v="68.39"/>
    <n v="68.39"/>
    <n v="68.39"/>
    <n v="75.09"/>
    <n v="75.09"/>
    <n v="75.09"/>
    <n v="75.09"/>
    <n v="75.09"/>
    <n v="75.09"/>
    <n v="860.88000000000011"/>
    <n v="0"/>
  </r>
  <r>
    <x v="16"/>
    <x v="1"/>
    <x v="0"/>
    <s v="5857200"/>
    <n v="732030"/>
    <s v="Repairs---Other"/>
    <s v="Nephrology Clinic-Shared Svc"/>
    <x v="0"/>
    <m/>
    <n v="0"/>
    <n v="9.5399999999999991"/>
    <n v="0"/>
    <n v="4.7699999999999996"/>
    <n v="9.77"/>
    <n v="1122.55"/>
    <n v="0"/>
    <n v="5"/>
    <n v="0"/>
    <n v="0"/>
    <n v="0"/>
    <n v="55.66"/>
    <n v="1207.29"/>
    <n v="-55.66"/>
  </r>
  <r>
    <x v="16"/>
    <x v="1"/>
    <x v="0"/>
    <s v="5857200"/>
    <n v="732030"/>
    <s v="Repairs&amp;Maintenance-Bldg Routine"/>
    <s v="Nephrology Clinic-Shared Svc"/>
    <x v="0"/>
    <n v="2300"/>
    <n v="0"/>
    <n v="67.5"/>
    <n v="0"/>
    <n v="0"/>
    <n v="0"/>
    <n v="0"/>
    <n v="502.9"/>
    <n v="0"/>
    <n v="0"/>
    <n v="0"/>
    <n v="0"/>
    <n v="0"/>
    <n v="570.4"/>
    <n v="0"/>
  </r>
  <r>
    <x v="0"/>
    <x v="1"/>
    <x v="0"/>
    <s v="5857200"/>
    <n v="740020"/>
    <s v="Education-Registration Fees"/>
    <s v="Nephrology Clinic-Shared Svc"/>
    <x v="0"/>
    <m/>
    <n v="0"/>
    <n v="0"/>
    <n v="0"/>
    <n v="0"/>
    <n v="0"/>
    <n v="0"/>
    <n v="0"/>
    <n v="0"/>
    <n v="0"/>
    <n v="1300"/>
    <n v="0"/>
    <n v="0"/>
    <n v="1300"/>
    <n v="0"/>
  </r>
  <r>
    <x v="0"/>
    <x v="1"/>
    <x v="0"/>
    <s v="5857200"/>
    <n v="743030"/>
    <s v="Subscriptions--Institutional"/>
    <s v="Nephrology Clinic-Shared Svc"/>
    <x v="0"/>
    <m/>
    <n v="0"/>
    <n v="20.77"/>
    <n v="0"/>
    <n v="0"/>
    <n v="0"/>
    <n v="0"/>
    <n v="0"/>
    <n v="0"/>
    <n v="0"/>
    <n v="0"/>
    <n v="0"/>
    <n v="0"/>
    <n v="20.77"/>
    <n v="0"/>
  </r>
  <r>
    <x v="0"/>
    <x v="1"/>
    <x v="0"/>
    <s v="5857200"/>
    <n v="749510"/>
    <s v="Miscellaneous Expenses"/>
    <s v="Nephrology Clinic-Shared Svc"/>
    <x v="0"/>
    <m/>
    <n v="-22.13"/>
    <n v="29.15"/>
    <n v="-69.5"/>
    <n v="1680.78"/>
    <n v="-50.16"/>
    <n v="444.51"/>
    <n v="-16.52"/>
    <n v="176.49"/>
    <n v="-300.13"/>
    <n v="172.82"/>
    <n v="-100.37"/>
    <n v="2058.79"/>
    <n v="4003.7299999999996"/>
    <n v="-2159.16"/>
  </r>
  <r>
    <x v="0"/>
    <x v="1"/>
    <x v="0"/>
    <s v="5857200"/>
    <n v="749510"/>
    <s v="Licenses"/>
    <s v="Nephrology Clinic-Shared Svc"/>
    <x v="0"/>
    <n v="1002"/>
    <n v="0"/>
    <n v="0"/>
    <n v="0"/>
    <n v="0"/>
    <n v="0"/>
    <n v="44"/>
    <n v="0"/>
    <n v="0"/>
    <n v="0"/>
    <n v="0"/>
    <n v="0"/>
    <n v="0"/>
    <n v="44"/>
    <n v="0"/>
  </r>
  <r>
    <x v="0"/>
    <x v="1"/>
    <x v="0"/>
    <s v="5857200"/>
    <n v="749530"/>
    <s v="Travel"/>
    <s v="Nephrology Clinic-Shared Svc"/>
    <x v="0"/>
    <m/>
    <n v="63"/>
    <n v="18"/>
    <n v="223"/>
    <n v="24"/>
    <n v="132.52000000000001"/>
    <n v="5"/>
    <n v="0"/>
    <n v="125.18"/>
    <n v="289.18"/>
    <n v="105.33"/>
    <n v="45.3"/>
    <n v="21"/>
    <n v="1051.5100000000002"/>
    <n v="24.299999999999997"/>
  </r>
  <r>
    <x v="0"/>
    <x v="1"/>
    <x v="0"/>
    <s v="5857200"/>
    <n v="749530"/>
    <s v="Mileage"/>
    <s v="Nephrology Clinic-Shared Svc"/>
    <x v="0"/>
    <n v="1001"/>
    <n v="404.49"/>
    <n v="72.510000000000005"/>
    <n v="459.55"/>
    <n v="221.34"/>
    <n v="160.83000000000001"/>
    <n v="110.67"/>
    <n v="132.54"/>
    <n v="56.26"/>
    <n v="67.28"/>
    <n v="164.14"/>
    <n v="63.22"/>
    <n v="143.26"/>
    <n v="2056.0899999999997"/>
    <n v="-80.039999999999992"/>
  </r>
  <r>
    <x v="0"/>
    <x v="1"/>
    <x v="0"/>
    <s v="5857200"/>
    <n v="749535"/>
    <s v="Meetings"/>
    <s v="Nephrology Clinic-Shared Svc"/>
    <x v="0"/>
    <m/>
    <n v="0"/>
    <n v="0"/>
    <n v="0"/>
    <n v="0"/>
    <n v="0"/>
    <n v="0"/>
    <n v="39.61"/>
    <n v="0"/>
    <n v="0"/>
    <n v="0"/>
    <n v="168.69"/>
    <n v="214.89"/>
    <n v="423.19"/>
    <n v="-46.199999999999989"/>
  </r>
  <r>
    <x v="0"/>
    <x v="1"/>
    <x v="0"/>
    <s v="5857200"/>
    <n v="749550"/>
    <s v="Cash Over/Short"/>
    <s v="Nephrology Clinic-Shared Svc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5858200"/>
    <n v="718050"/>
    <s v="Contract Svcs-Other"/>
    <s v="Vascular Clinic-Shared Svc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5858200"/>
    <n v="718050"/>
    <s v="Document Shredding/Storage"/>
    <s v="Vascular Clinic-Shared Svc"/>
    <x v="0"/>
    <n v="1012"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5858200"/>
    <n v="718050"/>
    <s v="Physician Answering"/>
    <s v="Vascular Clinic-Shared Svc"/>
    <x v="0"/>
    <n v="1015"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5858200"/>
    <n v="721910"/>
    <s v="Supplies-Small Equipment"/>
    <s v="Vascular Clinic-Shared Svc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5858200"/>
    <n v="722000"/>
    <s v="Supplies-Freight Expense"/>
    <s v="Vascular Clinic-Shared Svc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5858200"/>
    <n v="730010"/>
    <s v="Rental and Leases-Building (DO NOT USE)"/>
    <s v="Vascular Clinic-Shared Svc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5858200"/>
    <n v="730010"/>
    <s v="Rental-Common Area Maint (DO NOT USE)"/>
    <s v="Vascular Clinic-Shared Svc"/>
    <x v="0"/>
    <n v="2200"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5858200"/>
    <n v="730020"/>
    <s v="Rental and Leases-Copier Usage Fees (DO NOT USE)"/>
    <s v="Vascular Clinic-Shared Svc"/>
    <x v="0"/>
    <n v="5100"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5858200"/>
    <n v="730040"/>
    <s v="LT Lease-Real Estate"/>
    <s v="Vascular Clinic-Shared Svc"/>
    <x v="0"/>
    <m/>
    <n v="0"/>
    <n v="0"/>
    <n v="0"/>
    <n v="0"/>
    <n v="0"/>
    <n v="0"/>
    <n v="0"/>
    <n v="0"/>
    <n v="0"/>
    <n v="0"/>
    <n v="0"/>
    <n v="0"/>
    <n v="0"/>
    <n v="0"/>
  </r>
  <r>
    <x v="16"/>
    <x v="1"/>
    <x v="0"/>
    <s v="5858200"/>
    <n v="732030"/>
    <s v="Repairs&amp;Maintenance-Bldg Routine"/>
    <s v="Vascular Clinic-Shared Svc"/>
    <x v="0"/>
    <n v="23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858200"/>
    <n v="749510"/>
    <s v="Miscellaneous Expenses"/>
    <s v="Vascular Clinic-Shared Svc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858200"/>
    <n v="766010"/>
    <s v="Property Tax"/>
    <s v="Vascular Clinic-Shared Svc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5859200"/>
    <n v="718050"/>
    <s v="Document Shredding/Storage"/>
    <s v="Phys Med &amp; Rehab-Shared Svc"/>
    <x v="0"/>
    <n v="1012"/>
    <n v="71.06"/>
    <n v="100.24"/>
    <n v="102.26"/>
    <n v="93.55"/>
    <n v="-37.24"/>
    <n v="57.2"/>
    <n v="56.62"/>
    <n v="-443.69"/>
    <n v="0"/>
    <n v="0"/>
    <n v="0"/>
    <n v="0"/>
    <n v="0"/>
    <n v="0"/>
  </r>
  <r>
    <x v="12"/>
    <x v="1"/>
    <x v="0"/>
    <s v="5859200"/>
    <n v="730010"/>
    <s v="Rental and Leases-Building (DO NOT USE)"/>
    <s v="Phys Med &amp; Rehab-Shared Svc"/>
    <x v="0"/>
    <m/>
    <n v="1500"/>
    <n v="1500"/>
    <n v="1500"/>
    <n v="1500"/>
    <n v="1500"/>
    <n v="1500"/>
    <n v="1500"/>
    <n v="-10500"/>
    <n v="0"/>
    <n v="0"/>
    <n v="0"/>
    <n v="0"/>
    <n v="0"/>
    <n v="0"/>
  </r>
  <r>
    <x v="12"/>
    <x v="1"/>
    <x v="0"/>
    <s v="5859200"/>
    <n v="730020"/>
    <s v="Rental and Leases-Copier Usage Fees (DO NOT USE)"/>
    <s v="Phys Med &amp; Rehab-Shared Svc"/>
    <x v="0"/>
    <n v="5100"/>
    <n v="158.97"/>
    <n v="163.79"/>
    <n v="161.38"/>
    <n v="161.38"/>
    <n v="161.38"/>
    <n v="161.38"/>
    <n v="-83.11"/>
    <n v="-885.17"/>
    <n v="0"/>
    <n v="0"/>
    <n v="0"/>
    <n v="0"/>
    <n v="0"/>
    <n v="0"/>
  </r>
  <r>
    <x v="5"/>
    <x v="1"/>
    <x v="0"/>
    <s v="5860200"/>
    <n v="700014"/>
    <s v="Salaries-Management-Productive"/>
    <s v="FMB @ St. Joe's 4th Floor"/>
    <x v="0"/>
    <m/>
    <n v="9542.4"/>
    <n v="7043.2"/>
    <n v="9769.6"/>
    <n v="7997.44"/>
    <n v="7906.56"/>
    <n v="8588.16"/>
    <n v="8237.2999999999993"/>
    <n v="9101.34"/>
    <n v="6143.4"/>
    <n v="4823.71"/>
    <n v="11786.23"/>
    <n v="9101.34"/>
    <n v="100040.68"/>
    <n v="2684.8899999999994"/>
  </r>
  <r>
    <x v="5"/>
    <x v="1"/>
    <x v="0"/>
    <s v="5860200"/>
    <n v="700018"/>
    <s v="Salaries-Supervisory-Productive"/>
    <s v="FMB @ St. Joe's 4th Floor"/>
    <x v="0"/>
    <m/>
    <n v="4871.6000000000004"/>
    <n v="4615.2"/>
    <n v="4871.6000000000004"/>
    <n v="6000.88"/>
    <n v="5767.52"/>
    <n v="3277"/>
    <n v="5277.32"/>
    <n v="3833.14"/>
    <n v="5723.47"/>
    <n v="5329.64"/>
    <n v="5303.4"/>
    <n v="3413.09"/>
    <n v="58283.86"/>
    <n v="1890.3099999999995"/>
  </r>
  <r>
    <x v="5"/>
    <x v="1"/>
    <x v="0"/>
    <s v="5860200"/>
    <n v="700032"/>
    <s v="Salaries-Other Pat Care Providers-Productive"/>
    <s v="FMB @ St. Joe's 4th Floor"/>
    <x v="0"/>
    <m/>
    <n v="6608.54"/>
    <n v="6192.76"/>
    <n v="8384"/>
    <n v="9767"/>
    <n v="9611.5400000000009"/>
    <n v="6715.33"/>
    <n v="7598.32"/>
    <n v="4351.78"/>
    <n v="8235.39"/>
    <n v="7424.33"/>
    <n v="9527.49"/>
    <n v="6850.82"/>
    <n v="91267.300000000017"/>
    <n v="2676.67"/>
  </r>
  <r>
    <x v="5"/>
    <x v="1"/>
    <x v="0"/>
    <s v="5860200"/>
    <n v="700032"/>
    <s v="Salaries-Other Pat Care Providers-OT"/>
    <s v="FMB @ St. Joe's 4th Floor"/>
    <x v="0"/>
    <n v="1000"/>
    <n v="0"/>
    <n v="0"/>
    <n v="70.89"/>
    <n v="692.27"/>
    <n v="1328.44"/>
    <n v="-433.8"/>
    <n v="244.04"/>
    <n v="-62.81"/>
    <n v="308.06"/>
    <n v="524.35"/>
    <n v="72.989999999999995"/>
    <n v="265.8"/>
    <n v="3010.23"/>
    <n v="-192.81"/>
  </r>
  <r>
    <x v="5"/>
    <x v="1"/>
    <x v="0"/>
    <s v="5860200"/>
    <n v="700034"/>
    <s v="Salaries-Tech/Professional-Productive"/>
    <s v="FMB @ St. Joe's 4th Floor"/>
    <x v="0"/>
    <m/>
    <n v="0"/>
    <n v="299.39999999999998"/>
    <n v="48.05"/>
    <n v="0"/>
    <n v="0"/>
    <n v="0"/>
    <n v="0"/>
    <n v="0"/>
    <n v="0"/>
    <n v="0"/>
    <n v="0"/>
    <n v="850"/>
    <n v="1197.45"/>
    <n v="-850"/>
  </r>
  <r>
    <x v="5"/>
    <x v="1"/>
    <x v="0"/>
    <s v="5860200"/>
    <n v="700034"/>
    <s v="Salaries-Tech/Professional-Other"/>
    <s v="FMB @ St. Joe's 4th Floor"/>
    <x v="0"/>
    <n v="2000"/>
    <n v="0"/>
    <n v="10.119999999999999"/>
    <n v="1.63"/>
    <n v="0"/>
    <n v="0"/>
    <n v="0"/>
    <n v="0"/>
    <n v="0"/>
    <n v="0"/>
    <n v="0"/>
    <n v="0"/>
    <n v="0"/>
    <n v="11.75"/>
    <n v="0"/>
  </r>
  <r>
    <x v="5"/>
    <x v="1"/>
    <x v="0"/>
    <s v="5860200"/>
    <n v="700038"/>
    <s v="Salaries-Service/Support-Productive"/>
    <s v="FMB @ St. Joe's 4th Floor"/>
    <x v="0"/>
    <m/>
    <n v="40018.75"/>
    <n v="41514.300000000003"/>
    <n v="37967.160000000003"/>
    <n v="41297.1"/>
    <n v="38501.03"/>
    <n v="33227.47"/>
    <n v="43008.2"/>
    <n v="34235.519999999997"/>
    <n v="38311.07"/>
    <n v="37335.68"/>
    <n v="49397.08"/>
    <n v="41774.519999999997"/>
    <n v="476587.88000000006"/>
    <n v="7622.5600000000049"/>
  </r>
  <r>
    <x v="5"/>
    <x v="1"/>
    <x v="0"/>
    <s v="5860200"/>
    <n v="700038"/>
    <s v="Salaries-Service/Support-OT"/>
    <s v="FMB @ St. Joe's 4th Floor"/>
    <x v="0"/>
    <n v="1000"/>
    <n v="320.35000000000002"/>
    <n v="1067.1300000000001"/>
    <n v="805.69"/>
    <n v="5004.5"/>
    <n v="7030.04"/>
    <n v="1180.68"/>
    <n v="3874.5"/>
    <n v="1899.96"/>
    <n v="3781"/>
    <n v="6160.69"/>
    <n v="5458.49"/>
    <n v="1445.62"/>
    <n v="38028.65"/>
    <n v="4012.87"/>
  </r>
  <r>
    <x v="5"/>
    <x v="1"/>
    <x v="0"/>
    <s v="5860200"/>
    <n v="700038"/>
    <s v="Salaries-Service/Support-Other"/>
    <s v="FMB @ St. Joe's 4th Floor"/>
    <x v="0"/>
    <n v="2000"/>
    <n v="0"/>
    <n v="0"/>
    <n v="0"/>
    <n v="9"/>
    <n v="48.5"/>
    <n v="24"/>
    <n v="0"/>
    <n v="4.55"/>
    <n v="7.2"/>
    <n v="30"/>
    <n v="21.09"/>
    <n v="11.02"/>
    <n v="155.36000000000001"/>
    <n v="10.07"/>
  </r>
  <r>
    <x v="5"/>
    <x v="1"/>
    <x v="0"/>
    <s v="5860200"/>
    <n v="700054"/>
    <s v="Salaries-Management-Non-productive"/>
    <s v="FMB @ St. Joe's 4th Floor"/>
    <x v="0"/>
    <m/>
    <n v="454.4"/>
    <n v="3408"/>
    <n v="-681.6"/>
    <n v="2453.7600000000002"/>
    <n v="2090.2399999999998"/>
    <n v="954.24"/>
    <n v="2229.9"/>
    <n v="0"/>
    <n v="3413.01"/>
    <n v="5187.76"/>
    <n v="-1319.68"/>
    <n v="0"/>
    <n v="18190.03"/>
    <n v="-1319.68"/>
  </r>
  <r>
    <x v="5"/>
    <x v="1"/>
    <x v="0"/>
    <s v="5860200"/>
    <n v="700054"/>
    <s v="Salaries-Management-NonProd-Other"/>
    <s v="FMB @ St. Joe's 4th Floor"/>
    <x v="0"/>
    <n v="2000"/>
    <n v="0"/>
    <n v="0"/>
    <n v="0"/>
    <n v="0"/>
    <n v="0"/>
    <n v="2632.65"/>
    <n v="-2632.65"/>
    <n v="0"/>
    <n v="0"/>
    <n v="0"/>
    <n v="0"/>
    <n v="0"/>
    <n v="0"/>
    <n v="0"/>
  </r>
  <r>
    <x v="5"/>
    <x v="1"/>
    <x v="0"/>
    <s v="5860200"/>
    <n v="700058"/>
    <s v="Salaries-Supervisory-Non-productive"/>
    <s v="FMB @ St. Joe's 4th Floor"/>
    <x v="0"/>
    <m/>
    <n v="769.2"/>
    <n v="1282"/>
    <n v="256.39999999999998"/>
    <n v="0"/>
    <n v="0"/>
    <n v="2228.36"/>
    <n v="761.56"/>
    <n v="1417.73"/>
    <n v="-210.02"/>
    <n v="446.31"/>
    <n v="735.13"/>
    <n v="1837.79"/>
    <n v="9524.4599999999991"/>
    <n v="-1102.6599999999999"/>
  </r>
  <r>
    <x v="5"/>
    <x v="1"/>
    <x v="0"/>
    <s v="5860200"/>
    <n v="700072"/>
    <s v="Salaries-Other Pat Care Providers-Non-productive"/>
    <s v="FMB @ St. Joe's 4th Floor"/>
    <x v="0"/>
    <m/>
    <n v="1696.56"/>
    <n v="2922.84"/>
    <n v="1251.1199999999999"/>
    <n v="394.63"/>
    <n v="163.76"/>
    <n v="2583.12"/>
    <n v="1853.26"/>
    <n v="2337.54"/>
    <n v="285.12"/>
    <n v="2204.65"/>
    <n v="-5.87"/>
    <n v="979.67"/>
    <n v="16666.399999999998"/>
    <n v="-985.54"/>
  </r>
  <r>
    <x v="5"/>
    <x v="1"/>
    <x v="0"/>
    <s v="5860200"/>
    <n v="700072"/>
    <s v="Salaries-Other Pat Care Providers-NonProd-Other"/>
    <s v="FMB @ St. Joe's 4th Floo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60200"/>
    <n v="700078"/>
    <s v="Salaries-Service/Support-Non-productive"/>
    <s v="FMB @ St. Joe's 4th Floor"/>
    <x v="0"/>
    <m/>
    <n v="7357.29"/>
    <n v="7955.37"/>
    <n v="4809.5600000000004"/>
    <n v="7304.88"/>
    <n v="1712.31"/>
    <n v="11577.13"/>
    <n v="5770.55"/>
    <n v="5473.97"/>
    <n v="8091.87"/>
    <n v="10169.84"/>
    <n v="9218.27"/>
    <n v="5797.23"/>
    <n v="85238.27"/>
    <n v="3421.0400000000009"/>
  </r>
  <r>
    <x v="5"/>
    <x v="1"/>
    <x v="0"/>
    <s v="5860200"/>
    <n v="700078"/>
    <s v="Salaries-Service/Support-NonProd-Other"/>
    <s v="FMB @ St. Joe's 4th Floor"/>
    <x v="0"/>
    <n v="2000"/>
    <n v="29.8"/>
    <n v="6.76"/>
    <n v="18.63"/>
    <n v="-6.21"/>
    <n v="10.15"/>
    <n v="51.36"/>
    <n v="23.04"/>
    <n v="110.29"/>
    <n v="40.67"/>
    <n v="46.96"/>
    <n v="32.35"/>
    <n v="-1.1299999999999999"/>
    <n v="362.67"/>
    <n v="33.480000000000004"/>
  </r>
  <r>
    <x v="5"/>
    <x v="1"/>
    <x v="0"/>
    <s v="5860200"/>
    <n v="700084"/>
    <s v="Accrued PTO"/>
    <s v="FMB @ St. Joe's 4th Floor"/>
    <x v="0"/>
    <m/>
    <n v="222.76"/>
    <n v="-3269.34"/>
    <n v="1210.93"/>
    <n v="3892.95"/>
    <n v="4410.1499999999996"/>
    <n v="-3548.3"/>
    <n v="660.15"/>
    <n v="1009.44"/>
    <n v="1444.26"/>
    <n v="-189.82"/>
    <n v="1920.02"/>
    <n v="-311.67"/>
    <n v="7451.5300000000007"/>
    <n v="2231.69"/>
  </r>
  <r>
    <x v="6"/>
    <x v="1"/>
    <x v="0"/>
    <s v="5860200"/>
    <n v="713010"/>
    <s v="Benefits-FICA/Medicare"/>
    <s v="FMB @ St. Joe's 4th Floor"/>
    <x v="0"/>
    <m/>
    <n v="5223.32"/>
    <n v="5582.11"/>
    <n v="4963.46"/>
    <n v="5960.63"/>
    <n v="5614.42"/>
    <n v="5607.16"/>
    <n v="6017.29"/>
    <n v="4607.5"/>
    <n v="5467.88"/>
    <n v="5878.62"/>
    <n v="6676.77"/>
    <n v="5290.59"/>
    <n v="66889.75"/>
    <n v="1386.1800000000003"/>
  </r>
  <r>
    <x v="6"/>
    <x v="1"/>
    <x v="0"/>
    <s v="5860200"/>
    <n v="713090"/>
    <s v="Benefits-Allocated Amounts"/>
    <s v="FMB @ St. Joe's 4th Floor"/>
    <x v="0"/>
    <m/>
    <n v="17587.689999999999"/>
    <n v="16061.5"/>
    <n v="17524.259999999998"/>
    <n v="18486.53"/>
    <n v="17097.900000000001"/>
    <n v="17564.32"/>
    <n v="20874.189999999999"/>
    <n v="18102.330000000002"/>
    <n v="18916.98"/>
    <n v="19654.02"/>
    <n v="21813.79"/>
    <n v="21543.89"/>
    <n v="225227.40000000002"/>
    <n v="269.90000000000146"/>
  </r>
  <r>
    <x v="6"/>
    <x v="1"/>
    <x v="0"/>
    <s v="5860200"/>
    <n v="713096"/>
    <s v="Employee Recognition"/>
    <s v="FMB @ St. Joe's 4th Floor"/>
    <x v="0"/>
    <n v="1017"/>
    <n v="0"/>
    <n v="0"/>
    <n v="0"/>
    <n v="114.26"/>
    <n v="145.08000000000001"/>
    <n v="0"/>
    <n v="0"/>
    <n v="109.21"/>
    <n v="194.77"/>
    <n v="385.28"/>
    <n v="0"/>
    <n v="226.69"/>
    <n v="1175.29"/>
    <n v="-226.69"/>
  </r>
  <r>
    <x v="7"/>
    <x v="1"/>
    <x v="0"/>
    <s v="5860200"/>
    <n v="718010"/>
    <s v="Media/Print Advertising"/>
    <s v="FMB @ St. Joe's 4th Floor"/>
    <x v="0"/>
    <n v="1004"/>
    <n v="97.68"/>
    <n v="175.33"/>
    <n v="282.38"/>
    <n v="544.70000000000005"/>
    <n v="274.01"/>
    <n v="285.19"/>
    <n v="187.36"/>
    <n v="289.37"/>
    <n v="0"/>
    <n v="99.65"/>
    <n v="196.23"/>
    <n v="353.21"/>
    <n v="2785.11"/>
    <n v="-156.97999999999999"/>
  </r>
  <r>
    <x v="7"/>
    <x v="1"/>
    <x v="0"/>
    <s v="5860200"/>
    <n v="718050"/>
    <s v="Contract Svcs-Other"/>
    <s v="FMB @ St. Joe's 4th Floor"/>
    <x v="0"/>
    <m/>
    <n v="11064.42"/>
    <n v="1799.53"/>
    <n v="4664.0600000000004"/>
    <n v="747.82"/>
    <n v="340.73"/>
    <n v="0"/>
    <n v="500.64"/>
    <n v="417.2"/>
    <n v="775.64"/>
    <n v="550.5"/>
    <n v="1351.5"/>
    <n v="166.88"/>
    <n v="22378.920000000002"/>
    <n v="1184.6199999999999"/>
  </r>
  <r>
    <x v="7"/>
    <x v="1"/>
    <x v="0"/>
    <s v="5860200"/>
    <n v="718050"/>
    <s v="Document Shredding/Storage"/>
    <s v="FMB @ St. Joe's 4th Floor"/>
    <x v="0"/>
    <n v="1012"/>
    <n v="282.52999999999997"/>
    <n v="428.58"/>
    <n v="373.41"/>
    <n v="336.28"/>
    <n v="350.52"/>
    <n v="303.75"/>
    <n v="300.70999999999998"/>
    <n v="1654.76"/>
    <n v="531.30999999999995"/>
    <n v="171.52"/>
    <n v="411.55"/>
    <n v="964.69"/>
    <n v="6109.6100000000006"/>
    <n v="-553.1400000000001"/>
  </r>
  <r>
    <x v="7"/>
    <x v="1"/>
    <x v="0"/>
    <s v="5860200"/>
    <n v="718050"/>
    <s v="Physician Answering"/>
    <s v="FMB @ St. Joe's 4th Floor"/>
    <x v="0"/>
    <n v="1015"/>
    <n v="603.6"/>
    <n v="699.4"/>
    <n v="654.6"/>
    <n v="297.39999999999998"/>
    <n v="769.6"/>
    <n v="822.8"/>
    <n v="850.2"/>
    <n v="796"/>
    <n v="734.8"/>
    <n v="900.2"/>
    <n v="895.8"/>
    <n v="646.6"/>
    <n v="8671"/>
    <n v="249.19999999999993"/>
  </r>
  <r>
    <x v="7"/>
    <x v="1"/>
    <x v="0"/>
    <s v="5860200"/>
    <n v="718050"/>
    <s v="Miscellaneous Purchased Svcs"/>
    <s v="FMB @ St. Joe's 4th Floor"/>
    <x v="0"/>
    <n v="1020"/>
    <n v="0"/>
    <n v="1714.6"/>
    <n v="688.05"/>
    <n v="400.35"/>
    <n v="100"/>
    <n v="63"/>
    <n v="276"/>
    <n v="360.5"/>
    <n v="0"/>
    <n v="333.51"/>
    <n v="163"/>
    <n v="165"/>
    <n v="4264.0099999999993"/>
    <n v="-2"/>
  </r>
  <r>
    <x v="7"/>
    <x v="1"/>
    <x v="0"/>
    <s v="5860200"/>
    <n v="718050"/>
    <s v="Translation Services"/>
    <s v="FMB @ St. Joe's 4th Floor"/>
    <x v="0"/>
    <n v="1025"/>
    <n v="328"/>
    <n v="567.78"/>
    <n v="1266"/>
    <n v="0"/>
    <n v="1331.78"/>
    <n v="1021"/>
    <n v="1162.54"/>
    <n v="619.71"/>
    <n v="0"/>
    <n v="2248.0500000000002"/>
    <n v="881.71"/>
    <n v="0"/>
    <n v="9426.57"/>
    <n v="881.71"/>
  </r>
  <r>
    <x v="7"/>
    <x v="1"/>
    <x v="0"/>
    <s v="5860200"/>
    <n v="718050"/>
    <s v="Contract Management--Linen"/>
    <s v="FMB @ St. Joe's 4th Floor"/>
    <x v="0"/>
    <n v="1026"/>
    <n v="198.52"/>
    <n v="103.13"/>
    <n v="258.79000000000002"/>
    <n v="198.33"/>
    <n v="371.48"/>
    <n v="101.56"/>
    <n v="227.95"/>
    <n v="57.54"/>
    <n v="0"/>
    <n v="368.72"/>
    <n v="159.97999999999999"/>
    <n v="200.32"/>
    <n v="2246.3200000000002"/>
    <n v="-40.340000000000003"/>
  </r>
  <r>
    <x v="7"/>
    <x v="1"/>
    <x v="0"/>
    <s v="5860200"/>
    <n v="718050"/>
    <s v="Purchased Srvcs--Medical Waste"/>
    <s v="FMB @ St. Joe's 4th Floor"/>
    <x v="0"/>
    <n v="1027"/>
    <n v="74.12"/>
    <n v="74.12"/>
    <n v="2640.92"/>
    <n v="499.35"/>
    <n v="2909.58"/>
    <n v="74.12"/>
    <n v="148.24"/>
    <n v="74.12"/>
    <n v="531.20000000000005"/>
    <n v="1291.8599999999999"/>
    <n v="0"/>
    <n v="1136.52"/>
    <n v="9454.15"/>
    <n v="-1136.52"/>
  </r>
  <r>
    <x v="7"/>
    <x v="1"/>
    <x v="0"/>
    <s v="5860200"/>
    <n v="718070"/>
    <s v="Contract Srvcs-CHI Clinical Engineering"/>
    <s v="FMB @ St. Joe's 4th Floor"/>
    <x v="0"/>
    <m/>
    <n v="43.28"/>
    <n v="43.28"/>
    <n v="43.28"/>
    <n v="43.28"/>
    <n v="1843.28"/>
    <n v="1843.28"/>
    <n v="1815.89"/>
    <n v="837"/>
    <n v="0"/>
    <n v="0"/>
    <n v="0"/>
    <n v="0"/>
    <n v="6512.5700000000006"/>
    <n v="0"/>
  </r>
  <r>
    <x v="7"/>
    <x v="1"/>
    <x v="0"/>
    <s v="5860200"/>
    <n v="718077"/>
    <s v="PACS"/>
    <s v="FMB @ St. Joe's 4th Floor"/>
    <x v="0"/>
    <n v="1000"/>
    <n v="1314"/>
    <n v="1201.5"/>
    <n v="1244.25"/>
    <n v="1428.75"/>
    <n v="1473.75"/>
    <n v="1210.5"/>
    <n v="1464.75"/>
    <n v="891"/>
    <n v="1111.5"/>
    <n v="1242"/>
    <n v="1188"/>
    <n v="1188"/>
    <n v="14958"/>
    <n v="0"/>
  </r>
  <r>
    <x v="11"/>
    <x v="1"/>
    <x v="0"/>
    <s v="5860200"/>
    <n v="721150"/>
    <s v="Surgical Orthopedic"/>
    <s v="FMB @ St. Joe's 4th Floor"/>
    <x v="0"/>
    <n v="1000"/>
    <n v="478.66"/>
    <n v="542.08000000000004"/>
    <n v="0"/>
    <n v="870.31"/>
    <n v="356.67"/>
    <n v="419.72"/>
    <n v="0"/>
    <n v="806.76"/>
    <n v="0"/>
    <n v="0"/>
    <n v="0"/>
    <n v="1036.3499999999999"/>
    <n v="4510.5499999999993"/>
    <n v="-1036.3499999999999"/>
  </r>
  <r>
    <x v="11"/>
    <x v="1"/>
    <x v="0"/>
    <s v="5860200"/>
    <n v="721250"/>
    <s v="Supplies-Pharmacy Drugs - Billable"/>
    <s v="FMB @ St. Joe's 4th Floor"/>
    <x v="0"/>
    <m/>
    <n v="9018.18"/>
    <n v="18.89"/>
    <n v="4741.63"/>
    <n v="4398.3"/>
    <n v="5132.05"/>
    <n v="5428.29"/>
    <n v="9018"/>
    <n v="6608.1"/>
    <n v="264.88"/>
    <n v="4405.3999999999996"/>
    <n v="8751.98"/>
    <n v="5017.8599999999997"/>
    <n v="62803.56"/>
    <n v="3734.12"/>
  </r>
  <r>
    <x v="11"/>
    <x v="1"/>
    <x v="0"/>
    <s v="5860200"/>
    <n v="721810"/>
    <s v="Supplies-Dietary/Cafeteria"/>
    <s v="FMB @ St. Joe's 4th Floor"/>
    <x v="0"/>
    <m/>
    <n v="157.72999999999999"/>
    <n v="0"/>
    <n v="0"/>
    <n v="119.77"/>
    <n v="0"/>
    <n v="0"/>
    <n v="0"/>
    <n v="0"/>
    <n v="15.11"/>
    <n v="3.29"/>
    <n v="0"/>
    <n v="0"/>
    <n v="295.90000000000003"/>
    <n v="0"/>
  </r>
  <r>
    <x v="11"/>
    <x v="1"/>
    <x v="0"/>
    <s v="5860200"/>
    <n v="721830"/>
    <s v="Supplies-Office"/>
    <s v="FMB @ St. Joe's 4th Floor"/>
    <x v="0"/>
    <m/>
    <n v="449.83"/>
    <n v="195.03"/>
    <n v="696.09"/>
    <n v="793.2"/>
    <n v="1231.77"/>
    <n v="874.29"/>
    <n v="666.64"/>
    <n v="1104.5999999999999"/>
    <n v="753.84"/>
    <n v="540.77"/>
    <n v="395.24"/>
    <n v="113.66"/>
    <n v="7814.9600000000009"/>
    <n v="281.58000000000004"/>
  </r>
  <r>
    <x v="11"/>
    <x v="1"/>
    <x v="0"/>
    <s v="5860200"/>
    <n v="721835"/>
    <s v="Supplies-Forms"/>
    <s v="FMB @ St. Joe's 4th Floor"/>
    <x v="0"/>
    <m/>
    <n v="0"/>
    <n v="0"/>
    <n v="0"/>
    <n v="0"/>
    <n v="15"/>
    <n v="16"/>
    <n v="0"/>
    <n v="0"/>
    <n v="0"/>
    <n v="0"/>
    <n v="0"/>
    <n v="3.85"/>
    <n v="34.85"/>
    <n v="-3.85"/>
  </r>
  <r>
    <x v="11"/>
    <x v="1"/>
    <x v="0"/>
    <s v="5860200"/>
    <n v="721870"/>
    <s v="Supplies-Environmental Services"/>
    <s v="FMB @ St. Joe's 4th Floor"/>
    <x v="0"/>
    <m/>
    <n v="59.5"/>
    <n v="0"/>
    <n v="0"/>
    <n v="0"/>
    <n v="0"/>
    <n v="0"/>
    <n v="0"/>
    <n v="0"/>
    <n v="0"/>
    <n v="0"/>
    <n v="118.71"/>
    <n v="467.41"/>
    <n v="645.62"/>
    <n v="-348.70000000000005"/>
  </r>
  <r>
    <x v="11"/>
    <x v="1"/>
    <x v="0"/>
    <s v="5860200"/>
    <n v="721910"/>
    <s v="Supplies-Small Equipment"/>
    <s v="FMB @ St. Joe's 4th Floor"/>
    <x v="0"/>
    <m/>
    <n v="1918.93"/>
    <n v="0"/>
    <n v="0"/>
    <n v="0"/>
    <n v="0"/>
    <n v="0"/>
    <n v="0"/>
    <n v="0"/>
    <n v="0"/>
    <n v="0"/>
    <n v="0"/>
    <n v="0"/>
    <n v="1918.93"/>
    <n v="0"/>
  </r>
  <r>
    <x v="11"/>
    <x v="1"/>
    <x v="0"/>
    <s v="5860200"/>
    <n v="721980"/>
    <s v="Supplies-Other"/>
    <s v="FMB @ St. Joe's 4th Floor"/>
    <x v="0"/>
    <m/>
    <n v="0"/>
    <n v="0"/>
    <n v="0"/>
    <n v="269.89"/>
    <n v="0"/>
    <n v="0"/>
    <n v="8.2200000000000006"/>
    <n v="0"/>
    <n v="0"/>
    <n v="0"/>
    <n v="0"/>
    <n v="19.71"/>
    <n v="297.82"/>
    <n v="-19.71"/>
  </r>
  <r>
    <x v="12"/>
    <x v="1"/>
    <x v="0"/>
    <s v="5860200"/>
    <n v="730010"/>
    <s v="Rental and Leases-Building (DO NOT USE)"/>
    <s v="FMB @ St. Joe's 4th Floor"/>
    <x v="0"/>
    <m/>
    <n v="78290.929999999993"/>
    <n v="78297.33"/>
    <n v="78482.8"/>
    <n v="78482.8"/>
    <n v="78482.8"/>
    <n v="-7897.79"/>
    <n v="62267.86"/>
    <n v="74267.86"/>
    <n v="63767.86"/>
    <n v="46461.68"/>
    <n v="63776.98"/>
    <n v="0"/>
    <n v="694681.11"/>
    <n v="63776.98"/>
  </r>
  <r>
    <x v="12"/>
    <x v="1"/>
    <x v="0"/>
    <s v="5860200"/>
    <n v="730010"/>
    <s v="Rental-Common Area Maint (DO NOT USE)"/>
    <s v="FMB @ St. Joe's 4th Floor"/>
    <x v="0"/>
    <n v="2200"/>
    <n v="0"/>
    <n v="0"/>
    <n v="0"/>
    <n v="0"/>
    <n v="0"/>
    <n v="86427.24"/>
    <n v="17328.28"/>
    <n v="17328.28"/>
    <n v="19047.43"/>
    <n v="15334.22"/>
    <n v="17328.28"/>
    <n v="16146.07"/>
    <n v="188939.80000000002"/>
    <n v="1182.2099999999991"/>
  </r>
  <r>
    <x v="12"/>
    <x v="1"/>
    <x v="0"/>
    <s v="5860200"/>
    <n v="730020"/>
    <s v="Rental and Leases-Copier Usage Fees (DO NOT USE)"/>
    <s v="FMB @ St. Joe's 4th Floor"/>
    <x v="0"/>
    <n v="5100"/>
    <n v="1913.49"/>
    <n v="1964.94"/>
    <n v="1939.21"/>
    <n v="1939.21"/>
    <n v="1939.21"/>
    <n v="1939.21"/>
    <n v="605.84"/>
    <n v="2914.75"/>
    <n v="2164"/>
    <n v="2688.86"/>
    <n v="1832.93"/>
    <n v="1946.34"/>
    <n v="23787.99"/>
    <n v="-113.40999999999985"/>
  </r>
  <r>
    <x v="12"/>
    <x v="1"/>
    <x v="0"/>
    <s v="5860200"/>
    <n v="730040"/>
    <s v="LT Lease-Real Estate"/>
    <s v="FMB @ St. Joe's 4th Floor"/>
    <x v="0"/>
    <m/>
    <n v="0"/>
    <n v="0"/>
    <n v="0"/>
    <n v="0"/>
    <n v="0"/>
    <n v="0"/>
    <n v="0"/>
    <n v="0"/>
    <n v="0"/>
    <n v="0"/>
    <n v="0"/>
    <n v="64959.19"/>
    <n v="64959.19"/>
    <n v="-64959.19"/>
  </r>
  <r>
    <x v="15"/>
    <x v="1"/>
    <x v="0"/>
    <s v="5860200"/>
    <n v="731060"/>
    <s v="Telephone"/>
    <s v="FMB @ St. Joe's 4th Floor"/>
    <x v="0"/>
    <m/>
    <n v="253.5"/>
    <n v="258.76"/>
    <n v="250.66"/>
    <n v="251.26"/>
    <n v="251.12"/>
    <n v="263.7"/>
    <n v="255.13"/>
    <n v="258.22000000000003"/>
    <n v="255.84"/>
    <n v="260.52999999999997"/>
    <n v="255.56"/>
    <n v="255.56"/>
    <n v="3069.84"/>
    <n v="0"/>
  </r>
  <r>
    <x v="15"/>
    <x v="1"/>
    <x v="0"/>
    <s v="5860200"/>
    <n v="731060"/>
    <s v="Pagers"/>
    <s v="FMB @ St. Joe's 4th Floor"/>
    <x v="0"/>
    <n v="1002"/>
    <n v="40.5"/>
    <n v="40.5"/>
    <n v="40.5"/>
    <n v="54.83"/>
    <n v="49.6"/>
    <n v="0"/>
    <n v="99.2"/>
    <n v="49.6"/>
    <n v="49.6"/>
    <n v="49.6"/>
    <n v="55.29"/>
    <n v="54.1"/>
    <n v="583.32000000000005"/>
    <n v="1.1899999999999977"/>
  </r>
  <r>
    <x v="15"/>
    <x v="1"/>
    <x v="0"/>
    <s v="5860200"/>
    <n v="731070"/>
    <s v="Cable TV"/>
    <s v="FMB @ St. Joe's 4th Floor"/>
    <x v="0"/>
    <m/>
    <n v="357.17"/>
    <n v="347.17"/>
    <n v="337.17"/>
    <n v="347.12"/>
    <n v="349.29"/>
    <n v="349.29"/>
    <n v="349.29"/>
    <n v="352.03"/>
    <n v="351.29"/>
    <n v="351.29"/>
    <n v="351.83"/>
    <n v="351.83"/>
    <n v="4194.7699999999995"/>
    <n v="0"/>
  </r>
  <r>
    <x v="16"/>
    <x v="1"/>
    <x v="0"/>
    <s v="5860200"/>
    <n v="732030"/>
    <s v="Repairs---Other"/>
    <s v="FMB @ St. Joe's 4th Floor"/>
    <x v="0"/>
    <m/>
    <n v="0"/>
    <n v="0"/>
    <n v="1191.5999999999999"/>
    <n v="253.88"/>
    <n v="350"/>
    <n v="770.7"/>
    <n v="33.26"/>
    <n v="141.96"/>
    <n v="650.69000000000005"/>
    <n v="0"/>
    <n v="0"/>
    <n v="107.87"/>
    <n v="3499.9600000000005"/>
    <n v="-107.87"/>
  </r>
  <r>
    <x v="13"/>
    <x v="1"/>
    <x v="0"/>
    <s v="5860200"/>
    <n v="735050"/>
    <s v="Amortization-Leasehold Improvements"/>
    <s v="FMB @ St. Joe's 4th Floor"/>
    <x v="0"/>
    <m/>
    <n v="1624.37"/>
    <n v="1624.36"/>
    <n v="1624.37"/>
    <n v="1624.36"/>
    <n v="1624.37"/>
    <n v="1624.36"/>
    <n v="1624.37"/>
    <n v="1624.35"/>
    <n v="1624.39"/>
    <n v="1624.35"/>
    <n v="1624.4"/>
    <n v="1624.35"/>
    <n v="19492.399999999998"/>
    <n v="5.0000000000181899E-2"/>
  </r>
  <r>
    <x v="13"/>
    <x v="1"/>
    <x v="0"/>
    <s v="5860200"/>
    <n v="735070"/>
    <s v="Depreciation-Movable Equipment"/>
    <s v="FMB @ St. Joe's 4th Floor"/>
    <x v="0"/>
    <m/>
    <n v="11795.82"/>
    <n v="11795.78"/>
    <n v="11795.82"/>
    <n v="11795.79"/>
    <n v="11795.83"/>
    <n v="10401.209999999999"/>
    <n v="10401.290000000001"/>
    <n v="10401.17"/>
    <n v="10401.299999999999"/>
    <n v="10401.17"/>
    <n v="10401.32"/>
    <n v="10401.129999999999"/>
    <n v="131787.63"/>
    <n v="0.19000000000050932"/>
  </r>
  <r>
    <x v="0"/>
    <x v="1"/>
    <x v="0"/>
    <s v="5860200"/>
    <n v="740020"/>
    <s v="Education-Registration Fees"/>
    <s v="FMB @ St. Joe's 4th Floor"/>
    <x v="0"/>
    <m/>
    <n v="0"/>
    <n v="265"/>
    <n v="0"/>
    <n v="0"/>
    <n v="0"/>
    <n v="0"/>
    <n v="0"/>
    <n v="0"/>
    <n v="0"/>
    <n v="295"/>
    <n v="0"/>
    <n v="0"/>
    <n v="560"/>
    <n v="0"/>
  </r>
  <r>
    <x v="0"/>
    <x v="1"/>
    <x v="0"/>
    <s v="5860200"/>
    <n v="742010"/>
    <s v="Postage-Regular"/>
    <s v="FMB @ St. Joe's 4th Floor"/>
    <x v="0"/>
    <m/>
    <n v="0"/>
    <n v="101.75"/>
    <n v="7.25"/>
    <n v="0"/>
    <n v="0"/>
    <n v="0"/>
    <n v="0"/>
    <n v="0"/>
    <n v="0"/>
    <n v="0"/>
    <n v="0"/>
    <n v="111.8"/>
    <n v="220.8"/>
    <n v="-111.8"/>
  </r>
  <r>
    <x v="0"/>
    <x v="1"/>
    <x v="0"/>
    <s v="5860200"/>
    <n v="742040"/>
    <s v="Freight-Other"/>
    <s v="FMB @ St. Joe's 4th Floor"/>
    <x v="0"/>
    <m/>
    <n v="0"/>
    <n v="0"/>
    <n v="0"/>
    <n v="0"/>
    <n v="0"/>
    <n v="0"/>
    <n v="0"/>
    <n v="0"/>
    <n v="0"/>
    <n v="0"/>
    <n v="0"/>
    <n v="13.05"/>
    <n v="13.05"/>
    <n v="-13.05"/>
  </r>
  <r>
    <x v="0"/>
    <x v="1"/>
    <x v="0"/>
    <s v="5860200"/>
    <n v="743030"/>
    <s v="Subscriptions--Institutional"/>
    <s v="FMB @ St. Joe's 4th Floor"/>
    <x v="0"/>
    <m/>
    <n v="0"/>
    <n v="0"/>
    <n v="295.48"/>
    <n v="-181.76"/>
    <n v="463.54"/>
    <n v="0"/>
    <n v="0"/>
    <n v="0"/>
    <n v="0"/>
    <n v="0"/>
    <n v="159.71"/>
    <n v="0"/>
    <n v="736.97"/>
    <n v="159.71"/>
  </r>
  <r>
    <x v="0"/>
    <x v="1"/>
    <x v="0"/>
    <s v="5860200"/>
    <n v="743040"/>
    <s v="Subscriptions--Individual"/>
    <s v="FMB @ St. Joe's 4th Floor"/>
    <x v="0"/>
    <m/>
    <n v="0"/>
    <n v="0"/>
    <n v="44.15"/>
    <n v="0"/>
    <n v="47.2"/>
    <n v="0"/>
    <n v="0"/>
    <n v="0"/>
    <n v="0"/>
    <n v="0"/>
    <n v="0"/>
    <n v="0"/>
    <n v="91.35"/>
    <n v="0"/>
  </r>
  <r>
    <x v="0"/>
    <x v="1"/>
    <x v="0"/>
    <s v="5860200"/>
    <n v="744012"/>
    <s v="Recruitment-Physician"/>
    <s v="FMB @ St. Joe's 4th Floor"/>
    <x v="0"/>
    <m/>
    <n v="0"/>
    <n v="0"/>
    <n v="0"/>
    <n v="0"/>
    <n v="0"/>
    <n v="0"/>
    <n v="0"/>
    <n v="0"/>
    <n v="0"/>
    <n v="0"/>
    <n v="28.78"/>
    <n v="0"/>
    <n v="28.78"/>
    <n v="28.78"/>
  </r>
  <r>
    <x v="0"/>
    <x v="1"/>
    <x v="0"/>
    <s v="5860200"/>
    <n v="749510"/>
    <s v="Miscellaneous Expenses"/>
    <s v="FMB @ St. Joe's 4th Floor"/>
    <x v="0"/>
    <m/>
    <n v="8.7200000000000006"/>
    <n v="105.05"/>
    <n v="0"/>
    <n v="0"/>
    <n v="59.82"/>
    <n v="140.18"/>
    <n v="0"/>
    <n v="-1"/>
    <n v="100"/>
    <n v="5026.5200000000004"/>
    <n v="150"/>
    <n v="0"/>
    <n v="5589.2900000000009"/>
    <n v="150"/>
  </r>
  <r>
    <x v="0"/>
    <x v="1"/>
    <x v="0"/>
    <s v="5860200"/>
    <n v="749510"/>
    <s v="Licenses"/>
    <s v="FMB @ St. Joe's 4th Floor"/>
    <x v="0"/>
    <n v="1002"/>
    <n v="0"/>
    <n v="0"/>
    <n v="1655"/>
    <n v="0"/>
    <n v="0"/>
    <n v="2116"/>
    <n v="116.25"/>
    <n v="0"/>
    <n v="0"/>
    <n v="0"/>
    <n v="0"/>
    <n v="0"/>
    <n v="3887.25"/>
    <n v="0"/>
  </r>
  <r>
    <x v="0"/>
    <x v="1"/>
    <x v="0"/>
    <s v="5860200"/>
    <n v="749510"/>
    <s v="RICE Rewards"/>
    <s v="FMB @ St. Joe's 4th Floor"/>
    <x v="0"/>
    <n v="5100"/>
    <n v="0"/>
    <n v="0"/>
    <n v="0"/>
    <n v="0"/>
    <n v="0"/>
    <n v="511.96"/>
    <n v="0"/>
    <n v="0"/>
    <n v="0"/>
    <n v="0"/>
    <n v="0"/>
    <n v="0"/>
    <n v="511.96"/>
    <n v="0"/>
  </r>
  <r>
    <x v="0"/>
    <x v="1"/>
    <x v="0"/>
    <s v="5860200"/>
    <n v="749530"/>
    <s v="Travel"/>
    <s v="FMB @ St. Joe's 4th Floor"/>
    <x v="0"/>
    <m/>
    <n v="0"/>
    <n v="0"/>
    <n v="5"/>
    <n v="0"/>
    <n v="0"/>
    <n v="0"/>
    <n v="0"/>
    <n v="0"/>
    <n v="0"/>
    <n v="0"/>
    <n v="0"/>
    <n v="0"/>
    <n v="5"/>
    <n v="0"/>
  </r>
  <r>
    <x v="0"/>
    <x v="1"/>
    <x v="0"/>
    <s v="5860200"/>
    <n v="749530"/>
    <s v="Mileage"/>
    <s v="FMB @ St. Joe's 4th Floor"/>
    <x v="0"/>
    <n v="1001"/>
    <n v="0"/>
    <n v="49.05"/>
    <n v="55.05"/>
    <n v="29.43"/>
    <n v="68.709999999999994"/>
    <n v="49.06"/>
    <n v="58.86"/>
    <n v="70.760000000000005"/>
    <n v="52.2"/>
    <n v="49.3"/>
    <n v="39.44"/>
    <n v="0"/>
    <n v="521.86"/>
    <n v="39.44"/>
  </r>
  <r>
    <x v="0"/>
    <x v="1"/>
    <x v="0"/>
    <s v="5860200"/>
    <n v="749535"/>
    <s v="Meetings"/>
    <s v="FMB @ St. Joe's 4th Floor"/>
    <x v="0"/>
    <m/>
    <n v="0"/>
    <n v="0"/>
    <n v="0"/>
    <n v="112.2"/>
    <n v="74.34"/>
    <n v="0"/>
    <n v="29.15"/>
    <n v="121.25"/>
    <n v="462.33"/>
    <n v="0"/>
    <n v="0"/>
    <n v="250.33"/>
    <n v="1049.5999999999999"/>
    <n v="-250.33"/>
  </r>
  <r>
    <x v="0"/>
    <x v="1"/>
    <x v="0"/>
    <s v="5860200"/>
    <n v="766010"/>
    <s v="Property Tax"/>
    <s v="FMB @ St. Joe's 4th Floor"/>
    <x v="0"/>
    <m/>
    <n v="1638.57"/>
    <n v="1638.57"/>
    <n v="1638.57"/>
    <n v="1638.56"/>
    <n v="1638.57"/>
    <n v="1638.57"/>
    <n v="1638.57"/>
    <n v="1998.57"/>
    <n v="1683.57"/>
    <n v="-327.08999999999997"/>
    <n v="1157.01"/>
    <n v="1157.01"/>
    <n v="17139.05"/>
    <n v="0"/>
  </r>
  <r>
    <x v="7"/>
    <x v="1"/>
    <x v="0"/>
    <s v="5861200"/>
    <n v="718050"/>
    <s v="Document Shredding/Storage"/>
    <s v="GH Ambulatory Surgery Center"/>
    <x v="0"/>
    <n v="1012"/>
    <n v="23.11"/>
    <n v="24.4"/>
    <n v="-47.51"/>
    <n v="0"/>
    <n v="0"/>
    <n v="0"/>
    <n v="0"/>
    <n v="0"/>
    <n v="0"/>
    <n v="0"/>
    <n v="0"/>
    <n v="0"/>
    <n v="0"/>
    <n v="0"/>
  </r>
  <r>
    <x v="11"/>
    <x v="1"/>
    <x v="0"/>
    <s v="5861200"/>
    <n v="721010"/>
    <s v="Supplies-Medical - Billable"/>
    <s v="GH Ambulatory Surgery Center"/>
    <x v="0"/>
    <m/>
    <n v="-146.51"/>
    <n v="0"/>
    <n v="146.51"/>
    <n v="0"/>
    <n v="0"/>
    <n v="0"/>
    <n v="0"/>
    <n v="0"/>
    <n v="0"/>
    <n v="0"/>
    <n v="0"/>
    <n v="0"/>
    <n v="0"/>
    <n v="0"/>
  </r>
  <r>
    <x v="11"/>
    <x v="1"/>
    <x v="0"/>
    <s v="5861200"/>
    <n v="721010"/>
    <s v="Patient Monitoring"/>
    <s v="GH Ambulatory Surgery Center"/>
    <x v="0"/>
    <n v="1000"/>
    <n v="-13.05"/>
    <n v="0"/>
    <n v="13.05"/>
    <n v="0"/>
    <n v="0"/>
    <n v="0"/>
    <n v="0"/>
    <n v="0"/>
    <n v="0"/>
    <n v="0"/>
    <n v="0"/>
    <n v="0"/>
    <n v="0"/>
    <n v="0"/>
  </r>
  <r>
    <x v="11"/>
    <x v="1"/>
    <x v="0"/>
    <s v="5861200"/>
    <n v="721020"/>
    <s v="Supplies-Surgical - Billable"/>
    <s v="GH Ambulatory Surgery Center"/>
    <x v="0"/>
    <m/>
    <n v="-570.22"/>
    <n v="0"/>
    <n v="570.22"/>
    <n v="0"/>
    <n v="0"/>
    <n v="0"/>
    <n v="0"/>
    <n v="0"/>
    <n v="0"/>
    <n v="0"/>
    <n v="0"/>
    <n v="0"/>
    <n v="0"/>
    <n v="0"/>
  </r>
  <r>
    <x v="11"/>
    <x v="1"/>
    <x v="0"/>
    <s v="5861200"/>
    <n v="721240"/>
    <s v="Supplies-IV Solutions/Supplies - Billable"/>
    <s v="GH Ambulatory Surgery Center"/>
    <x v="0"/>
    <m/>
    <n v="-89"/>
    <n v="0"/>
    <n v="89"/>
    <n v="0"/>
    <n v="0"/>
    <n v="0"/>
    <n v="0"/>
    <n v="0"/>
    <n v="0"/>
    <n v="0"/>
    <n v="0"/>
    <n v="0"/>
    <n v="0"/>
    <n v="0"/>
  </r>
  <r>
    <x v="11"/>
    <x v="1"/>
    <x v="0"/>
    <s v="5861200"/>
    <n v="721420"/>
    <s v="Supplies-Surgical Nonbillable"/>
    <s v="GH Ambulatory Surgery Center"/>
    <x v="0"/>
    <m/>
    <n v="-61.02"/>
    <n v="0"/>
    <n v="61.02"/>
    <n v="0"/>
    <n v="0"/>
    <n v="0"/>
    <n v="0"/>
    <n v="0"/>
    <n v="0"/>
    <n v="0"/>
    <n v="0"/>
    <n v="0"/>
    <n v="0"/>
    <n v="0"/>
  </r>
  <r>
    <x v="15"/>
    <x v="1"/>
    <x v="0"/>
    <s v="5861200"/>
    <n v="731050"/>
    <s v="Refuse Disposal"/>
    <s v="GH Ambulatory Surgery Center"/>
    <x v="0"/>
    <m/>
    <n v="66.72"/>
    <n v="0"/>
    <n v="-66.72"/>
    <n v="0"/>
    <n v="0"/>
    <n v="0"/>
    <n v="0"/>
    <n v="0"/>
    <n v="0"/>
    <n v="0"/>
    <n v="0"/>
    <n v="0"/>
    <n v="0"/>
    <n v="0"/>
  </r>
  <r>
    <x v="5"/>
    <x v="1"/>
    <x v="0"/>
    <s v="5863200"/>
    <n v="700014"/>
    <s v="Salaries-Management-Productive"/>
    <s v="Franciscan Urology Assoc-PO"/>
    <x v="0"/>
    <m/>
    <n v="3247.44"/>
    <n v="3556.72"/>
    <n v="2938.16"/>
    <n v="3661.12"/>
    <n v="3529.68"/>
    <n v="3369.24"/>
    <n v="3695.76"/>
    <n v="3213.5"/>
    <n v="3213.5"/>
    <n v="2715.41"/>
    <n v="3229.58"/>
    <n v="2731.49"/>
    <n v="39101.599999999999"/>
    <n v="498.09000000000015"/>
  </r>
  <r>
    <x v="5"/>
    <x v="1"/>
    <x v="0"/>
    <s v="5863200"/>
    <n v="700018"/>
    <s v="Salaries-Supervisory-Productive"/>
    <s v="Franciscan Urology Assoc-PO"/>
    <x v="0"/>
    <m/>
    <n v="789.61"/>
    <n v="1997.27"/>
    <n v="1045.08"/>
    <n v="2298.8000000000002"/>
    <n v="2100.04"/>
    <n v="1742.07"/>
    <n v="2222.71"/>
    <n v="1242.75"/>
    <n v="2198.71"/>
    <n v="2103.11"/>
    <n v="1720.73"/>
    <n v="1672.93"/>
    <n v="21133.809999999998"/>
    <n v="47.799999999999955"/>
  </r>
  <r>
    <x v="5"/>
    <x v="1"/>
    <x v="0"/>
    <s v="5863200"/>
    <n v="700038"/>
    <s v="Salaries-Service/Support-Productive"/>
    <s v="Franciscan Urology Assoc-PO"/>
    <x v="0"/>
    <m/>
    <n v="8047.25"/>
    <n v="8476.76"/>
    <n v="7325.18"/>
    <n v="10899.54"/>
    <n v="7683.94"/>
    <n v="6138.59"/>
    <n v="9016.51"/>
    <n v="5979.1"/>
    <n v="8083.95"/>
    <n v="8853.19"/>
    <n v="3828.5"/>
    <n v="11522.08"/>
    <n v="95854.590000000011"/>
    <n v="-7693.58"/>
  </r>
  <r>
    <x v="5"/>
    <x v="1"/>
    <x v="0"/>
    <s v="5863200"/>
    <n v="700038"/>
    <s v="Salaries-Service/Support-OT"/>
    <s v="Franciscan Urology Assoc-PO"/>
    <x v="0"/>
    <n v="1000"/>
    <n v="31.44"/>
    <n v="349.36"/>
    <n v="-34.36"/>
    <n v="211.9"/>
    <n v="95.48"/>
    <n v="3.62"/>
    <n v="10.48"/>
    <n v="49.03"/>
    <n v="19.940000000000001"/>
    <n v="3.74"/>
    <n v="16.22"/>
    <n v="342.01"/>
    <n v="1098.8600000000001"/>
    <n v="-325.78999999999996"/>
  </r>
  <r>
    <x v="5"/>
    <x v="1"/>
    <x v="0"/>
    <s v="5863200"/>
    <n v="700038"/>
    <s v="Salaries-Service/Support-Other"/>
    <s v="Franciscan Urology Assoc-PO"/>
    <x v="0"/>
    <n v="2000"/>
    <n v="0"/>
    <n v="5.13"/>
    <n v="0"/>
    <n v="0"/>
    <n v="0"/>
    <n v="0"/>
    <n v="0"/>
    <n v="0.35"/>
    <n v="-0.1"/>
    <n v="0"/>
    <n v="0"/>
    <n v="31.92"/>
    <n v="37.300000000000004"/>
    <n v="-31.92"/>
  </r>
  <r>
    <x v="5"/>
    <x v="1"/>
    <x v="0"/>
    <s v="5863200"/>
    <n v="700078"/>
    <s v="Salaries-Service/Support-Non-productive"/>
    <s v="Franciscan Urology Assoc-PO"/>
    <x v="0"/>
    <m/>
    <n v="2088.98"/>
    <n v="1595.26"/>
    <n v="633.82000000000005"/>
    <n v="434.34"/>
    <n v="805.21"/>
    <n v="2297.6799999999998"/>
    <n v="955.27"/>
    <n v="1417.23"/>
    <n v="276.47000000000003"/>
    <n v="47.87"/>
    <n v="455.48"/>
    <n v="984.7"/>
    <n v="11992.31"/>
    <n v="-529.22"/>
  </r>
  <r>
    <x v="5"/>
    <x v="1"/>
    <x v="0"/>
    <s v="5863200"/>
    <n v="700078"/>
    <s v="Salaries-Service/Support-NonProd-Other"/>
    <s v="Franciscan Urology Assoc-PO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63200"/>
    <n v="700084"/>
    <s v="Accrued PTO"/>
    <s v="Franciscan Urology Assoc-PO"/>
    <x v="0"/>
    <m/>
    <n v="-1090.4000000000001"/>
    <n v="-475.41"/>
    <n v="-203.25"/>
    <n v="575.46"/>
    <n v="270"/>
    <n v="-1415.98"/>
    <n v="-187.14"/>
    <n v="-794.27"/>
    <n v="223.74"/>
    <n v="310.25"/>
    <n v="109.46"/>
    <n v="475.29"/>
    <n v="-2202.25"/>
    <n v="-365.83000000000004"/>
  </r>
  <r>
    <x v="6"/>
    <x v="1"/>
    <x v="0"/>
    <s v="5863200"/>
    <n v="713010"/>
    <s v="Benefits-FICA/Medicare"/>
    <s v="Franciscan Urology Assoc-PO"/>
    <x v="0"/>
    <m/>
    <n v="1034.76"/>
    <n v="1158.6600000000001"/>
    <n v="860.7"/>
    <n v="1273.19"/>
    <n v="1031.81"/>
    <n v="980.28"/>
    <n v="1152.78"/>
    <n v="860.57"/>
    <n v="990.42"/>
    <n v="1124.45"/>
    <n v="648.16"/>
    <n v="1265.46"/>
    <n v="12381.239999999998"/>
    <n v="-617.30000000000007"/>
  </r>
  <r>
    <x v="6"/>
    <x v="1"/>
    <x v="0"/>
    <s v="5863200"/>
    <n v="713090"/>
    <s v="Benefits-Allocated Amounts"/>
    <s v="Franciscan Urology Assoc-PO"/>
    <x v="0"/>
    <m/>
    <n v="3633.58"/>
    <n v="3560.41"/>
    <n v="3305.11"/>
    <n v="3997.6"/>
    <n v="3687.3"/>
    <n v="3469.94"/>
    <n v="4303.1899999999996"/>
    <n v="3574.5"/>
    <n v="3454.56"/>
    <n v="3945.06"/>
    <n v="2646.51"/>
    <n v="4442.83"/>
    <n v="44020.59"/>
    <n v="-1796.3199999999997"/>
  </r>
  <r>
    <x v="7"/>
    <x v="1"/>
    <x v="0"/>
    <s v="5863200"/>
    <n v="718010"/>
    <s v="Media/Print Advertising"/>
    <s v="Franciscan Urology Assoc-PO"/>
    <x v="0"/>
    <n v="1004"/>
    <n v="305.35000000000002"/>
    <n v="0"/>
    <n v="0"/>
    <n v="-27.52"/>
    <n v="0"/>
    <n v="0"/>
    <n v="0"/>
    <n v="99.38"/>
    <n v="0"/>
    <n v="0"/>
    <n v="176.25"/>
    <n v="100"/>
    <n v="653.46"/>
    <n v="76.25"/>
  </r>
  <r>
    <x v="7"/>
    <x v="1"/>
    <x v="0"/>
    <s v="5863200"/>
    <n v="718050"/>
    <s v="Contract Svcs-Other"/>
    <s v="Franciscan Urology Assoc-PO"/>
    <x v="0"/>
    <m/>
    <n v="0"/>
    <n v="0"/>
    <n v="0"/>
    <n v="0"/>
    <n v="715.65"/>
    <n v="2879.64"/>
    <n v="0"/>
    <n v="0"/>
    <n v="0"/>
    <n v="0"/>
    <n v="0"/>
    <n v="0"/>
    <n v="3595.29"/>
    <n v="0"/>
  </r>
  <r>
    <x v="7"/>
    <x v="1"/>
    <x v="0"/>
    <s v="5863200"/>
    <n v="718050"/>
    <s v="Document Shredding/Storage"/>
    <s v="Franciscan Urology Assoc-PO"/>
    <x v="0"/>
    <n v="1012"/>
    <n v="159"/>
    <n v="27.34"/>
    <n v="100.43"/>
    <n v="108.2"/>
    <n v="177.33"/>
    <n v="111.99"/>
    <n v="110.87"/>
    <n v="119.1"/>
    <n v="106.21"/>
    <n v="172.12"/>
    <n v="135.91"/>
    <n v="67.58"/>
    <n v="1396.0800000000002"/>
    <n v="68.33"/>
  </r>
  <r>
    <x v="7"/>
    <x v="1"/>
    <x v="0"/>
    <s v="5863200"/>
    <n v="718050"/>
    <s v="Physician Answering"/>
    <s v="Franciscan Urology Assoc-PO"/>
    <x v="0"/>
    <n v="1015"/>
    <n v="744.2"/>
    <n v="445.8"/>
    <n v="413.8"/>
    <n v="126"/>
    <n v="337.8"/>
    <n v="334.4"/>
    <n v="398.8"/>
    <n v="490.8"/>
    <n v="427.8"/>
    <n v="443.4"/>
    <n v="320.2"/>
    <n v="242.4"/>
    <n v="4725.3999999999996"/>
    <n v="77.799999999999983"/>
  </r>
  <r>
    <x v="7"/>
    <x v="1"/>
    <x v="0"/>
    <s v="5863200"/>
    <n v="718050"/>
    <s v="Miscellaneous Purchased Svcs"/>
    <s v="Franciscan Urology Assoc-PO"/>
    <x v="0"/>
    <n v="1020"/>
    <n v="87.9"/>
    <n v="3547.93"/>
    <n v="1984.37"/>
    <n v="2099.62"/>
    <n v="387.3"/>
    <n v="3912.32"/>
    <n v="1785"/>
    <n v="1968.19"/>
    <n v="4121.62"/>
    <n v="1785"/>
    <n v="1934.54"/>
    <n v="2126.54"/>
    <n v="25740.33"/>
    <n v="-192"/>
  </r>
  <r>
    <x v="7"/>
    <x v="1"/>
    <x v="0"/>
    <s v="5863200"/>
    <n v="718050"/>
    <s v="Translation Services"/>
    <s v="Franciscan Urology Assoc-PO"/>
    <x v="0"/>
    <n v="1025"/>
    <n v="0"/>
    <n v="0"/>
    <n v="0"/>
    <n v="0"/>
    <n v="0"/>
    <n v="0"/>
    <n v="56.88"/>
    <n v="0"/>
    <n v="0"/>
    <n v="0"/>
    <n v="0"/>
    <n v="0"/>
    <n v="56.88"/>
    <n v="0"/>
  </r>
  <r>
    <x v="7"/>
    <x v="1"/>
    <x v="0"/>
    <s v="5863200"/>
    <n v="718050"/>
    <s v="Contract Management--Linen"/>
    <s v="Franciscan Urology Assoc-PO"/>
    <x v="0"/>
    <n v="1026"/>
    <n v="0"/>
    <n v="25.24"/>
    <n v="0"/>
    <n v="0"/>
    <n v="0"/>
    <n v="0"/>
    <n v="0"/>
    <n v="0"/>
    <n v="0"/>
    <n v="0"/>
    <n v="0"/>
    <n v="0"/>
    <n v="25.24"/>
    <n v="0"/>
  </r>
  <r>
    <x v="7"/>
    <x v="1"/>
    <x v="0"/>
    <s v="5863200"/>
    <n v="718050"/>
    <s v="Purchased Srvcs--Medical Waste"/>
    <s v="Franciscan Urology Assoc-PO"/>
    <x v="0"/>
    <n v="1027"/>
    <n v="189.25"/>
    <n v="34.659999999999997"/>
    <n v="0"/>
    <n v="0"/>
    <n v="0"/>
    <n v="0"/>
    <n v="0"/>
    <n v="0"/>
    <n v="0"/>
    <n v="0"/>
    <n v="0"/>
    <n v="0"/>
    <n v="223.91"/>
    <n v="0"/>
  </r>
  <r>
    <x v="7"/>
    <x v="1"/>
    <x v="0"/>
    <s v="5863200"/>
    <n v="718070"/>
    <s v="Contract Srvcs-CHI Clinical Engineering"/>
    <s v="Franciscan Urology Assoc-PO"/>
    <x v="0"/>
    <m/>
    <n v="1109.6400000000001"/>
    <n v="1670.19"/>
    <n v="1521.48"/>
    <n v="1521.48"/>
    <n v="1558.46"/>
    <n v="2824.99"/>
    <n v="1399.46"/>
    <n v="3101.36"/>
    <n v="1644.29"/>
    <n v="1472.24"/>
    <n v="1472.24"/>
    <n v="1397.88"/>
    <n v="20693.710000000003"/>
    <n v="74.3599999999999"/>
  </r>
  <r>
    <x v="11"/>
    <x v="1"/>
    <x v="0"/>
    <s v="5863200"/>
    <n v="721010"/>
    <s v="Supplies-Medical - Billable"/>
    <s v="Franciscan Urology Assoc-PO"/>
    <x v="0"/>
    <m/>
    <n v="582.41999999999996"/>
    <n v="89.75"/>
    <n v="0"/>
    <n v="0"/>
    <n v="38.4"/>
    <n v="238"/>
    <n v="324.79000000000002"/>
    <n v="788"/>
    <n v="262.52"/>
    <n v="109.32"/>
    <n v="575.24"/>
    <n v="0"/>
    <n v="3008.4399999999996"/>
    <n v="575.24"/>
  </r>
  <r>
    <x v="11"/>
    <x v="1"/>
    <x v="0"/>
    <s v="5863200"/>
    <n v="721020"/>
    <s v="Endomechanical Supplies &amp; Instruments"/>
    <s v="Franciscan Urology Assoc-PO"/>
    <x v="0"/>
    <n v="1003"/>
    <n v="0"/>
    <n v="0"/>
    <n v="3519.42"/>
    <n v="0"/>
    <n v="0"/>
    <n v="0"/>
    <n v="0"/>
    <n v="0"/>
    <n v="0"/>
    <n v="0"/>
    <n v="0"/>
    <n v="0"/>
    <n v="3519.42"/>
    <n v="0"/>
  </r>
  <r>
    <x v="11"/>
    <x v="1"/>
    <x v="0"/>
    <s v="5863200"/>
    <n v="721020"/>
    <s v="Urological Supplies"/>
    <s v="Franciscan Urology Assoc-PO"/>
    <x v="0"/>
    <n v="1006"/>
    <n v="4598.13"/>
    <n v="4026.78"/>
    <n v="0"/>
    <n v="308.2"/>
    <n v="0"/>
    <n v="0"/>
    <n v="0"/>
    <n v="1179.3"/>
    <n v="0"/>
    <n v="-16.64"/>
    <n v="1162.6500000000001"/>
    <n v="0"/>
    <n v="11258.42"/>
    <n v="1162.6500000000001"/>
  </r>
  <r>
    <x v="11"/>
    <x v="1"/>
    <x v="0"/>
    <s v="5863200"/>
    <n v="721050"/>
    <s v="Supplies-Cardiac Rhythm - Billable"/>
    <s v="Franciscan Urology Assoc-PO"/>
    <x v="0"/>
    <m/>
    <n v="0"/>
    <n v="0"/>
    <n v="0"/>
    <n v="215.35"/>
    <n v="0"/>
    <n v="0"/>
    <n v="0"/>
    <n v="0"/>
    <n v="0"/>
    <n v="0"/>
    <n v="0"/>
    <n v="0"/>
    <n v="215.35"/>
    <n v="0"/>
  </r>
  <r>
    <x v="11"/>
    <x v="1"/>
    <x v="0"/>
    <s v="5863200"/>
    <n v="721250"/>
    <s v="Supplies-Pharmacy Drugs - Billable"/>
    <s v="Franciscan Urology Assoc-PO"/>
    <x v="0"/>
    <m/>
    <n v="260.92"/>
    <n v="327.57"/>
    <n v="18404.95"/>
    <n v="1840.03"/>
    <n v="908.33"/>
    <n v="8219.23"/>
    <n v="1279.0999999999999"/>
    <n v="783.68"/>
    <n v="390.07"/>
    <n v="4453.1899999999996"/>
    <n v="-4120.71"/>
    <n v="9744.74"/>
    <n v="42491.1"/>
    <n v="-13865.45"/>
  </r>
  <r>
    <x v="11"/>
    <x v="1"/>
    <x v="0"/>
    <s v="5863200"/>
    <n v="721410"/>
    <s v="Supplies-Medical - Nonbillable"/>
    <s v="Franciscan Urology Assoc-PO"/>
    <x v="0"/>
    <m/>
    <n v="122.72"/>
    <n v="0"/>
    <n v="0"/>
    <n v="0"/>
    <n v="0"/>
    <n v="0"/>
    <n v="0"/>
    <n v="250"/>
    <n v="0"/>
    <n v="1982.2"/>
    <n v="0"/>
    <n v="2381"/>
    <n v="4735.92"/>
    <n v="-2381"/>
  </r>
  <r>
    <x v="11"/>
    <x v="1"/>
    <x v="0"/>
    <s v="5863200"/>
    <n v="721420"/>
    <s v="Sterilization Process Products"/>
    <s v="Franciscan Urology Assoc-PO"/>
    <x v="0"/>
    <n v="1009"/>
    <n v="0"/>
    <n v="0"/>
    <n v="165"/>
    <n v="16.670000000000002"/>
    <n v="0"/>
    <n v="0"/>
    <n v="0"/>
    <n v="0"/>
    <n v="0"/>
    <n v="0"/>
    <n v="0"/>
    <n v="0"/>
    <n v="181.67000000000002"/>
    <n v="0"/>
  </r>
  <r>
    <x v="11"/>
    <x v="1"/>
    <x v="0"/>
    <s v="5863200"/>
    <n v="721640"/>
    <s v="Supplies-IV Solutions/Supplies - Nonbillable"/>
    <s v="Franciscan Urology Assoc-PO"/>
    <x v="0"/>
    <m/>
    <n v="200.1"/>
    <n v="0"/>
    <n v="0"/>
    <n v="0"/>
    <n v="0"/>
    <n v="0"/>
    <n v="0"/>
    <n v="0"/>
    <n v="0"/>
    <n v="0"/>
    <n v="0"/>
    <n v="0"/>
    <n v="200.1"/>
    <n v="0"/>
  </r>
  <r>
    <x v="11"/>
    <x v="1"/>
    <x v="0"/>
    <s v="5863200"/>
    <n v="721830"/>
    <s v="Supplies-Office"/>
    <s v="Franciscan Urology Assoc-PO"/>
    <x v="0"/>
    <m/>
    <n v="756.59"/>
    <n v="-346.92"/>
    <n v="148.6"/>
    <n v="384.91"/>
    <n v="730.44"/>
    <n v="291.64"/>
    <n v="433.69"/>
    <n v="130.29"/>
    <n v="17.47"/>
    <n v="183.46"/>
    <n v="0"/>
    <n v="-4.12"/>
    <n v="2726.05"/>
    <n v="4.12"/>
  </r>
  <r>
    <x v="11"/>
    <x v="1"/>
    <x v="0"/>
    <s v="5863200"/>
    <n v="721835"/>
    <s v="Supplies-Forms"/>
    <s v="Franciscan Urology Assoc-PO"/>
    <x v="0"/>
    <m/>
    <n v="0"/>
    <n v="0"/>
    <n v="0"/>
    <n v="0"/>
    <n v="171.65"/>
    <n v="104.73"/>
    <n v="0.7"/>
    <n v="0"/>
    <n v="103.75"/>
    <n v="50"/>
    <n v="87.11"/>
    <n v="61.95"/>
    <n v="579.89"/>
    <n v="25.159999999999997"/>
  </r>
  <r>
    <x v="11"/>
    <x v="1"/>
    <x v="0"/>
    <s v="5863200"/>
    <n v="721910"/>
    <s v="Supplies-Small Equipment"/>
    <s v="Franciscan Urology Assoc-PO"/>
    <x v="0"/>
    <m/>
    <n v="1385.69"/>
    <n v="906.67"/>
    <n v="70.92"/>
    <n v="3614.04"/>
    <n v="0"/>
    <n v="2539.7199999999998"/>
    <n v="562"/>
    <n v="-248.16"/>
    <n v="3606.88"/>
    <n v="4760.13"/>
    <n v="8.3000000000000007"/>
    <n v="4099.09"/>
    <n v="21305.279999999999"/>
    <n v="-4090.79"/>
  </r>
  <r>
    <x v="11"/>
    <x v="1"/>
    <x v="0"/>
    <s v="5863200"/>
    <n v="721910"/>
    <s v="Instruments"/>
    <s v="Franciscan Urology Assoc-PO"/>
    <x v="0"/>
    <n v="1000"/>
    <n v="824.43"/>
    <n v="824.43"/>
    <n v="0"/>
    <n v="0"/>
    <n v="0"/>
    <n v="0"/>
    <n v="0"/>
    <n v="0"/>
    <n v="0"/>
    <n v="0"/>
    <n v="0"/>
    <n v="0"/>
    <n v="1648.86"/>
    <n v="0"/>
  </r>
  <r>
    <x v="11"/>
    <x v="1"/>
    <x v="0"/>
    <s v="5863200"/>
    <n v="721980"/>
    <s v="Supplies-Other"/>
    <s v="Franciscan Urology Assoc-PO"/>
    <x v="0"/>
    <m/>
    <n v="0"/>
    <n v="423.37"/>
    <n v="294.10000000000002"/>
    <n v="297.16000000000003"/>
    <n v="0"/>
    <n v="0"/>
    <n v="185.68"/>
    <n v="0"/>
    <n v="688.73"/>
    <n v="97.02"/>
    <n v="202.57"/>
    <n v="394.68"/>
    <n v="2583.31"/>
    <n v="-192.11"/>
  </r>
  <r>
    <x v="11"/>
    <x v="1"/>
    <x v="0"/>
    <s v="5863200"/>
    <n v="722000"/>
    <s v="Supplies-Freight Expense"/>
    <s v="Franciscan Urology Assoc-PO"/>
    <x v="0"/>
    <m/>
    <n v="39.24"/>
    <n v="71.19"/>
    <n v="17.62"/>
    <n v="13.07"/>
    <n v="7.99"/>
    <n v="8.02"/>
    <n v="32.869999999999997"/>
    <n v="8.24"/>
    <n v="38.85"/>
    <n v="8.69"/>
    <n v="60.73"/>
    <n v="4.12"/>
    <n v="310.63000000000005"/>
    <n v="56.61"/>
  </r>
  <r>
    <x v="12"/>
    <x v="1"/>
    <x v="0"/>
    <s v="5863200"/>
    <n v="730010"/>
    <s v="Rental and Leases-Building (DO NOT USE)"/>
    <s v="Franciscan Urology Assoc-PO"/>
    <x v="0"/>
    <m/>
    <n v="22489.38"/>
    <n v="22489.38"/>
    <n v="22489.38"/>
    <n v="31848.03"/>
    <n v="31848.03"/>
    <n v="2853.93"/>
    <n v="25564.66"/>
    <n v="25396.21"/>
    <n v="25396.21"/>
    <n v="25396.21"/>
    <n v="25396.21"/>
    <n v="0"/>
    <n v="261167.62999999998"/>
    <n v="25396.21"/>
  </r>
  <r>
    <x v="12"/>
    <x v="1"/>
    <x v="0"/>
    <s v="5863200"/>
    <n v="730010"/>
    <s v="Rental-Common Area Maint (DO NOT USE)"/>
    <s v="Franciscan Urology Assoc-PO"/>
    <x v="0"/>
    <n v="2200"/>
    <n v="0"/>
    <n v="0"/>
    <n v="0"/>
    <n v="0"/>
    <n v="0"/>
    <n v="29127.52"/>
    <n v="6753.69"/>
    <n v="6753.69"/>
    <n v="7063.99"/>
    <n v="7063.99"/>
    <n v="7063.99"/>
    <n v="0"/>
    <n v="63826.869999999995"/>
    <n v="7063.99"/>
  </r>
  <r>
    <x v="12"/>
    <x v="1"/>
    <x v="0"/>
    <s v="5863200"/>
    <n v="730020"/>
    <s v="Rental and Leases-Copier Usage Fees (DO NOT USE)"/>
    <s v="Franciscan Urology Assoc-PO"/>
    <x v="0"/>
    <n v="5100"/>
    <n v="382.59"/>
    <n v="392.63"/>
    <n v="387.61"/>
    <n v="387.61"/>
    <n v="387.61"/>
    <n v="387.61"/>
    <n v="4737.3900000000003"/>
    <n v="721.15"/>
    <n v="719.63"/>
    <n v="729.78"/>
    <n v="709.93"/>
    <n v="839.76"/>
    <n v="10783.300000000001"/>
    <n v="-129.83000000000004"/>
  </r>
  <r>
    <x v="12"/>
    <x v="1"/>
    <x v="0"/>
    <s v="5863200"/>
    <n v="730040"/>
    <s v="LT Lease-Real Estate"/>
    <s v="Franciscan Urology Assoc-PO"/>
    <x v="0"/>
    <m/>
    <n v="0"/>
    <n v="0"/>
    <n v="0"/>
    <n v="0"/>
    <n v="0"/>
    <n v="0"/>
    <n v="0"/>
    <n v="0"/>
    <n v="0"/>
    <n v="0"/>
    <n v="0"/>
    <n v="32460.2"/>
    <n v="32460.2"/>
    <n v="-32460.2"/>
  </r>
  <r>
    <x v="15"/>
    <x v="1"/>
    <x v="0"/>
    <s v="5863200"/>
    <n v="731060"/>
    <s v="Pagers"/>
    <s v="Franciscan Urology Assoc-PO"/>
    <x v="0"/>
    <n v="1002"/>
    <n v="4.5"/>
    <n v="4.5"/>
    <n v="11.01"/>
    <n v="0"/>
    <n v="0"/>
    <n v="0"/>
    <n v="0"/>
    <n v="0"/>
    <n v="0"/>
    <n v="0"/>
    <n v="0"/>
    <n v="0"/>
    <n v="20.009999999999998"/>
    <n v="0"/>
  </r>
  <r>
    <x v="16"/>
    <x v="1"/>
    <x v="0"/>
    <s v="5863200"/>
    <n v="732030"/>
    <s v="Repairs---Other"/>
    <s v="Franciscan Urology Assoc-PO"/>
    <x v="0"/>
    <m/>
    <n v="0"/>
    <n v="2002.35"/>
    <n v="0"/>
    <n v="0"/>
    <n v="0"/>
    <n v="0"/>
    <n v="0"/>
    <n v="0"/>
    <n v="0"/>
    <n v="0"/>
    <n v="0"/>
    <n v="536.72"/>
    <n v="2539.0699999999997"/>
    <n v="-536.72"/>
  </r>
  <r>
    <x v="13"/>
    <x v="1"/>
    <x v="0"/>
    <s v="5863200"/>
    <n v="735050"/>
    <s v="Amortization-Leasehold Improvements"/>
    <s v="Franciscan Urology Assoc-PO"/>
    <x v="0"/>
    <m/>
    <n v="4339.75"/>
    <n v="4339.75"/>
    <n v="4339.75"/>
    <n v="4339.74"/>
    <n v="4339.76"/>
    <n v="4339.7299999999996"/>
    <n v="4339.76"/>
    <n v="4339.7299999999996"/>
    <n v="4339.76"/>
    <n v="4339.71"/>
    <n v="4339.76"/>
    <n v="4339.7"/>
    <n v="52076.9"/>
    <n v="6.0000000000400178E-2"/>
  </r>
  <r>
    <x v="13"/>
    <x v="1"/>
    <x v="0"/>
    <s v="5863200"/>
    <n v="735060"/>
    <s v="Depreciation-Fixed Equipment"/>
    <s v="Franciscan Urology Assoc-PO"/>
    <x v="0"/>
    <m/>
    <n v="108.16"/>
    <n v="108.16"/>
    <n v="108.16"/>
    <n v="108.16"/>
    <n v="108.16"/>
    <n v="108.15"/>
    <n v="108.16"/>
    <n v="108.14"/>
    <n v="108.16"/>
    <n v="108.14"/>
    <n v="108.16"/>
    <n v="108.14"/>
    <n v="1297.8500000000001"/>
    <n v="1.9999999999996021E-2"/>
  </r>
  <r>
    <x v="13"/>
    <x v="1"/>
    <x v="0"/>
    <s v="5863200"/>
    <n v="735070"/>
    <s v="Depreciation-Movable Equipment"/>
    <s v="Franciscan Urology Assoc-PO"/>
    <x v="0"/>
    <m/>
    <n v="2058.58"/>
    <n v="2058.5700000000002"/>
    <n v="2058.58"/>
    <n v="2058.5500000000002"/>
    <n v="2058.6"/>
    <n v="2058.54"/>
    <n v="2058.6"/>
    <n v="2058.5300000000002"/>
    <n v="2058.6"/>
    <n v="2058.4899999999998"/>
    <n v="2058.61"/>
    <n v="2058.48"/>
    <n v="24702.73"/>
    <n v="0.13000000000010914"/>
  </r>
  <r>
    <x v="0"/>
    <x v="1"/>
    <x v="0"/>
    <s v="5863200"/>
    <n v="740010"/>
    <s v="Education-Materials"/>
    <s v="Franciscan Urology Assoc-PO"/>
    <x v="0"/>
    <m/>
    <n v="0"/>
    <n v="0"/>
    <n v="0"/>
    <n v="0"/>
    <n v="0"/>
    <n v="0"/>
    <n v="0"/>
    <n v="0"/>
    <n v="27.2"/>
    <n v="0"/>
    <n v="0"/>
    <n v="0"/>
    <n v="27.2"/>
    <n v="0"/>
  </r>
  <r>
    <x v="0"/>
    <x v="1"/>
    <x v="0"/>
    <s v="5863200"/>
    <n v="742040"/>
    <s v="Freight-Other"/>
    <s v="Franciscan Urology Assoc-PO"/>
    <x v="0"/>
    <m/>
    <n v="0"/>
    <n v="0"/>
    <n v="0"/>
    <n v="27.52"/>
    <n v="0"/>
    <n v="0"/>
    <n v="0"/>
    <n v="0"/>
    <n v="0"/>
    <n v="0"/>
    <n v="0"/>
    <n v="0"/>
    <n v="27.52"/>
    <n v="0"/>
  </r>
  <r>
    <x v="0"/>
    <x v="1"/>
    <x v="0"/>
    <s v="5863200"/>
    <n v="743020"/>
    <s v="Provider-Dues"/>
    <s v="Franciscan Urology Assoc-PO"/>
    <x v="0"/>
    <n v="2200"/>
    <n v="0"/>
    <n v="0"/>
    <n v="0"/>
    <n v="1016"/>
    <n v="0"/>
    <n v="1008"/>
    <n v="0"/>
    <n v="-508"/>
    <n v="450"/>
    <n v="0"/>
    <n v="0"/>
    <n v="0"/>
    <n v="1966"/>
    <n v="0"/>
  </r>
  <r>
    <x v="0"/>
    <x v="1"/>
    <x v="0"/>
    <s v="5863200"/>
    <n v="743030"/>
    <s v="Subscriptions--Institutional"/>
    <s v="Franciscan Urology Assoc-PO"/>
    <x v="0"/>
    <m/>
    <n v="85.17"/>
    <n v="0"/>
    <n v="0"/>
    <n v="0"/>
    <n v="0"/>
    <n v="0"/>
    <n v="0"/>
    <n v="0"/>
    <n v="90.95"/>
    <n v="0"/>
    <n v="0"/>
    <n v="0"/>
    <n v="176.12"/>
    <n v="0"/>
  </r>
  <r>
    <x v="0"/>
    <x v="1"/>
    <x v="0"/>
    <s v="5863200"/>
    <n v="749510"/>
    <s v="Miscellaneous Expenses"/>
    <s v="Franciscan Urology Assoc-PO"/>
    <x v="0"/>
    <m/>
    <n v="741.87"/>
    <n v="105.05"/>
    <n v="0"/>
    <n v="0"/>
    <n v="50"/>
    <n v="150"/>
    <n v="0"/>
    <n v="0"/>
    <n v="373.76"/>
    <n v="0"/>
    <n v="150"/>
    <n v="0"/>
    <n v="1570.68"/>
    <n v="150"/>
  </r>
  <r>
    <x v="0"/>
    <x v="1"/>
    <x v="0"/>
    <s v="5863200"/>
    <n v="749510"/>
    <s v="RICE Rewards"/>
    <s v="Franciscan Urology Assoc-PO"/>
    <x v="0"/>
    <n v="5100"/>
    <n v="0"/>
    <n v="0"/>
    <n v="0"/>
    <n v="0"/>
    <n v="210.95"/>
    <n v="210.52"/>
    <n v="0"/>
    <n v="0"/>
    <n v="0"/>
    <n v="61.11"/>
    <n v="0"/>
    <n v="0"/>
    <n v="482.58000000000004"/>
    <n v="0"/>
  </r>
  <r>
    <x v="0"/>
    <x v="1"/>
    <x v="0"/>
    <s v="5863200"/>
    <n v="766010"/>
    <s v="Property Tax"/>
    <s v="Franciscan Urology Assoc-PO"/>
    <x v="0"/>
    <m/>
    <n v="161.41"/>
    <n v="161.41"/>
    <n v="161.41"/>
    <n v="161.41"/>
    <n v="161.41"/>
    <n v="161.41"/>
    <n v="161.41"/>
    <n v="161.41"/>
    <n v="161.41"/>
    <n v="-34.43"/>
    <n v="112.44"/>
    <n v="112.44"/>
    <n v="1643.14"/>
    <n v="0"/>
  </r>
  <r>
    <x v="7"/>
    <x v="1"/>
    <x v="0"/>
    <s v="5864200"/>
    <n v="718050"/>
    <s v="Contract Svcs-Other"/>
    <s v="Gen Surg-SA-Shared Svc"/>
    <x v="0"/>
    <m/>
    <n v="0"/>
    <n v="0"/>
    <n v="0"/>
    <n v="0"/>
    <n v="0"/>
    <n v="0"/>
    <n v="55"/>
    <n v="24.55"/>
    <n v="0"/>
    <n v="0"/>
    <n v="0"/>
    <n v="0"/>
    <n v="79.55"/>
    <n v="0"/>
  </r>
  <r>
    <x v="7"/>
    <x v="1"/>
    <x v="0"/>
    <s v="5864200"/>
    <n v="718050"/>
    <s v="Document Shredding/Storage"/>
    <s v="Gen Surg-SA-Shared Svc"/>
    <x v="0"/>
    <n v="1012"/>
    <n v="112.52"/>
    <n v="12.21"/>
    <n v="69.709999999999994"/>
    <n v="70.8"/>
    <n v="115.53"/>
    <n v="66.97"/>
    <n v="66.3"/>
    <n v="130.22999999999999"/>
    <n v="112.77"/>
    <n v="49.91"/>
    <n v="96.58"/>
    <n v="50.14"/>
    <n v="953.67"/>
    <n v="46.44"/>
  </r>
  <r>
    <x v="11"/>
    <x v="1"/>
    <x v="0"/>
    <s v="5864200"/>
    <n v="721410"/>
    <s v="Supplies-Medical - Nonbillable"/>
    <s v="Gen Surg-SA-Shared Svc"/>
    <x v="0"/>
    <m/>
    <n v="0"/>
    <n v="0"/>
    <n v="0"/>
    <n v="0"/>
    <n v="0"/>
    <n v="0"/>
    <n v="0"/>
    <n v="0"/>
    <n v="0"/>
    <n v="0"/>
    <n v="-722.74"/>
    <n v="0"/>
    <n v="-722.74"/>
    <n v="-722.74"/>
  </r>
  <r>
    <x v="11"/>
    <x v="1"/>
    <x v="0"/>
    <s v="5864200"/>
    <n v="721910"/>
    <s v="Instruments"/>
    <s v="Gen Surg-SA-Shared Svc"/>
    <x v="0"/>
    <n v="1000"/>
    <n v="0"/>
    <n v="0"/>
    <n v="0"/>
    <n v="0"/>
    <n v="0"/>
    <n v="0"/>
    <n v="0"/>
    <n v="0"/>
    <n v="713.6"/>
    <n v="0"/>
    <n v="0"/>
    <n v="0"/>
    <n v="713.6"/>
    <n v="0"/>
  </r>
  <r>
    <x v="13"/>
    <x v="1"/>
    <x v="0"/>
    <s v="5864200"/>
    <n v="735070"/>
    <s v="Depreciation-Movable Equipment"/>
    <s v="Gen Surg-SA-Shared Svc"/>
    <x v="0"/>
    <m/>
    <n v="0"/>
    <n v="0"/>
    <n v="0"/>
    <n v="0"/>
    <n v="0"/>
    <n v="0"/>
    <n v="0"/>
    <n v="161.1"/>
    <n v="161.1"/>
    <n v="161.09"/>
    <n v="161.1"/>
    <n v="161.09"/>
    <n v="805.48"/>
    <n v="9.9999999999909051E-3"/>
  </r>
  <r>
    <x v="7"/>
    <x v="1"/>
    <x v="0"/>
    <s v="5866200"/>
    <n v="718050"/>
    <s v="Translation Services"/>
    <s v="Cardiac Group"/>
    <x v="0"/>
    <n v="1025"/>
    <n v="0"/>
    <n v="0"/>
    <n v="7.74"/>
    <n v="0"/>
    <n v="0"/>
    <n v="0"/>
    <n v="0"/>
    <n v="0"/>
    <n v="0"/>
    <n v="0"/>
    <n v="0"/>
    <n v="0"/>
    <n v="7.74"/>
    <n v="0"/>
  </r>
  <r>
    <x v="5"/>
    <x v="1"/>
    <x v="0"/>
    <s v="5867200"/>
    <n v="700014"/>
    <s v="Salaries-Management-Productive"/>
    <s v="Gen Surg-Mt Rainier-Shared Svc"/>
    <x v="0"/>
    <m/>
    <n v="6365.52"/>
    <n v="6971.76"/>
    <n v="3940.56"/>
    <n v="7727.76"/>
    <n v="6851.68"/>
    <n v="3893"/>
    <n v="6706"/>
    <n v="5177.49"/>
    <n v="6674.6"/>
    <n v="6549.83"/>
    <n v="7173.64"/>
    <n v="3742.76"/>
    <n v="71774.599999999991"/>
    <n v="3430.88"/>
  </r>
  <r>
    <x v="5"/>
    <x v="1"/>
    <x v="0"/>
    <s v="5867200"/>
    <n v="700038"/>
    <s v="Salaries-Service/Support-Productive"/>
    <s v="Gen Surg-Mt Rainier-Shared Svc"/>
    <x v="0"/>
    <m/>
    <n v="12497.69"/>
    <n v="14064.62"/>
    <n v="11020.47"/>
    <n v="15197.6"/>
    <n v="14143.93"/>
    <n v="10837.98"/>
    <n v="14469.41"/>
    <n v="11517.5"/>
    <n v="14658.89"/>
    <n v="13750.94"/>
    <n v="14721.1"/>
    <n v="13000.24"/>
    <n v="159880.37"/>
    <n v="1720.8600000000006"/>
  </r>
  <r>
    <x v="5"/>
    <x v="1"/>
    <x v="0"/>
    <s v="5867200"/>
    <n v="700038"/>
    <s v="Salaries-Service/Support-OT"/>
    <s v="Gen Surg-Mt Rainier-Shared Svc"/>
    <x v="0"/>
    <n v="1000"/>
    <n v="16.88"/>
    <n v="16.27"/>
    <n v="35.229999999999997"/>
    <n v="94.43"/>
    <n v="53.79"/>
    <n v="-15.53"/>
    <n v="247.08"/>
    <n v="40.159999999999997"/>
    <n v="198.47"/>
    <n v="133.44999999999999"/>
    <n v="128.41999999999999"/>
    <n v="173.68"/>
    <n v="1122.33"/>
    <n v="-45.260000000000019"/>
  </r>
  <r>
    <x v="5"/>
    <x v="1"/>
    <x v="0"/>
    <s v="5867200"/>
    <n v="700038"/>
    <s v="Salaries-Service/Support-Other"/>
    <s v="Gen Surg-Mt Rainier-Shared Svc"/>
    <x v="0"/>
    <n v="2000"/>
    <n v="0"/>
    <n v="0"/>
    <n v="16"/>
    <n v="8"/>
    <n v="0"/>
    <n v="7.25"/>
    <n v="38.44"/>
    <n v="-3.59"/>
    <n v="-0.8"/>
    <n v="0"/>
    <n v="0"/>
    <n v="0"/>
    <n v="65.3"/>
    <n v="0"/>
  </r>
  <r>
    <x v="5"/>
    <x v="1"/>
    <x v="0"/>
    <s v="5867200"/>
    <n v="700054"/>
    <s v="Salaries-Management-Non-productive"/>
    <s v="Gen Surg-Mt Rainier-Shared Svc"/>
    <x v="0"/>
    <m/>
    <n v="303.12"/>
    <n v="0"/>
    <n v="2121.84"/>
    <n v="-606.24"/>
    <n v="0"/>
    <n v="2647.24"/>
    <n v="468.08"/>
    <n v="1060.44"/>
    <n v="-124.75"/>
    <n v="311.89999999999998"/>
    <n v="0"/>
    <n v="2495.1799999999998"/>
    <n v="8676.81"/>
    <n v="-2495.1799999999998"/>
  </r>
  <r>
    <x v="5"/>
    <x v="1"/>
    <x v="0"/>
    <s v="5867200"/>
    <n v="700078"/>
    <s v="Salaries-Service/Support-Non-productive"/>
    <s v="Gen Surg-Mt Rainier-Shared Svc"/>
    <x v="0"/>
    <m/>
    <n v="2604.86"/>
    <n v="1828.59"/>
    <n v="2868.56"/>
    <n v="929.36"/>
    <n v="1325.66"/>
    <n v="3869.94"/>
    <n v="2447.5100000000002"/>
    <n v="1890.44"/>
    <n v="182.44"/>
    <n v="1609.26"/>
    <n v="1064.78"/>
    <n v="1141.0899999999999"/>
    <n v="21762.489999999998"/>
    <n v="-76.309999999999945"/>
  </r>
  <r>
    <x v="5"/>
    <x v="1"/>
    <x v="0"/>
    <s v="5867200"/>
    <n v="700078"/>
    <s v="Salaries-Service/Support-NonProd-Other"/>
    <s v="Gen Surg-Mt Rainier-Shared Svc"/>
    <x v="0"/>
    <n v="2000"/>
    <n v="0"/>
    <n v="0"/>
    <n v="0"/>
    <n v="0"/>
    <n v="422.71"/>
    <n v="0"/>
    <n v="0"/>
    <n v="-422.71"/>
    <n v="0"/>
    <n v="0"/>
    <n v="0"/>
    <n v="0"/>
    <n v="0"/>
    <n v="0"/>
  </r>
  <r>
    <x v="5"/>
    <x v="1"/>
    <x v="0"/>
    <s v="5867200"/>
    <n v="700084"/>
    <s v="Accrued PTO"/>
    <s v="Gen Surg-Mt Rainier-Shared Svc"/>
    <x v="0"/>
    <m/>
    <n v="-179.26"/>
    <n v="1001.39"/>
    <n v="-2073.9299999999998"/>
    <n v="1757.45"/>
    <n v="1495.53"/>
    <n v="-2702.61"/>
    <n v="911.43"/>
    <n v="-372.86"/>
    <n v="2176.3000000000002"/>
    <n v="1272.45"/>
    <n v="1655.93"/>
    <n v="-81.99"/>
    <n v="4859.8300000000008"/>
    <n v="1737.92"/>
  </r>
  <r>
    <x v="6"/>
    <x v="1"/>
    <x v="0"/>
    <s v="5867200"/>
    <n v="713010"/>
    <s v="Benefits-FICA/Medicare"/>
    <s v="Gen Surg-Mt Rainier-Shared Svc"/>
    <x v="0"/>
    <m/>
    <n v="1547.8"/>
    <n v="1626.07"/>
    <n v="1421.96"/>
    <n v="1661.92"/>
    <n v="1774.11"/>
    <n v="1604.13"/>
    <n v="1721.2"/>
    <n v="1381.45"/>
    <n v="1520.96"/>
    <n v="1573.37"/>
    <n v="1634.66"/>
    <n v="1445.88"/>
    <n v="18913.510000000002"/>
    <n v="188.77999999999997"/>
  </r>
  <r>
    <x v="6"/>
    <x v="1"/>
    <x v="0"/>
    <s v="5867200"/>
    <n v="713090"/>
    <s v="Benefits-Allocated Amounts"/>
    <s v="Gen Surg-Mt Rainier-Shared Svc"/>
    <x v="0"/>
    <m/>
    <n v="5309.06"/>
    <n v="4905.8900000000003"/>
    <n v="5099.97"/>
    <n v="5379.71"/>
    <n v="5349.33"/>
    <n v="5191.49"/>
    <n v="6378.48"/>
    <n v="5568.63"/>
    <n v="5712.67"/>
    <n v="5746.33"/>
    <n v="5514.54"/>
    <n v="5713.75"/>
    <n v="65869.849999999991"/>
    <n v="-199.21000000000004"/>
  </r>
  <r>
    <x v="6"/>
    <x v="1"/>
    <x v="0"/>
    <s v="5867200"/>
    <n v="713096"/>
    <s v="Employee Recognition"/>
    <s v="Gen Surg-Mt Rainier-Shared Svc"/>
    <x v="0"/>
    <n v="1017"/>
    <n v="0"/>
    <n v="0"/>
    <n v="0"/>
    <n v="0"/>
    <n v="0"/>
    <n v="18.989999999999998"/>
    <n v="0"/>
    <n v="0"/>
    <n v="0"/>
    <n v="40.520000000000003"/>
    <n v="0"/>
    <n v="0"/>
    <n v="59.510000000000005"/>
    <n v="0"/>
  </r>
  <r>
    <x v="7"/>
    <x v="1"/>
    <x v="0"/>
    <s v="5867200"/>
    <n v="718010"/>
    <s v="Media/Print Advertising"/>
    <s v="Gen Surg-Mt Rainier-Shared Svc"/>
    <x v="0"/>
    <n v="1004"/>
    <n v="48.84"/>
    <n v="97.68"/>
    <n v="0"/>
    <n v="269.47000000000003"/>
    <n v="0"/>
    <n v="98.18"/>
    <n v="0"/>
    <n v="0"/>
    <n v="0"/>
    <n v="0"/>
    <n v="94.99"/>
    <n v="-12.41"/>
    <n v="596.75000000000011"/>
    <n v="107.39999999999999"/>
  </r>
  <r>
    <x v="7"/>
    <x v="1"/>
    <x v="0"/>
    <s v="5867200"/>
    <n v="718050"/>
    <s v="Contract Svcs-Other"/>
    <s v="Gen Surg-Mt Rainier-Shared Svc"/>
    <x v="0"/>
    <m/>
    <n v="72.69"/>
    <n v="72.680000000000007"/>
    <n v="145.37"/>
    <n v="151.5"/>
    <n v="72.680000000000007"/>
    <n v="0"/>
    <n v="244.91"/>
    <n v="254.4"/>
    <n v="84.8"/>
    <n v="84.8"/>
    <n v="0"/>
    <n v="50.88"/>
    <n v="1234.71"/>
    <n v="-50.88"/>
  </r>
  <r>
    <x v="7"/>
    <x v="1"/>
    <x v="0"/>
    <s v="5867200"/>
    <n v="718050"/>
    <s v="Transcription"/>
    <s v="Gen Surg-Mt Rainier-Shared Svc"/>
    <x v="0"/>
    <n v="1006"/>
    <n v="0"/>
    <n v="0"/>
    <n v="0"/>
    <n v="479"/>
    <n v="0"/>
    <n v="0"/>
    <n v="0"/>
    <n v="0"/>
    <n v="0"/>
    <n v="0"/>
    <n v="0"/>
    <n v="0"/>
    <n v="479"/>
    <n v="0"/>
  </r>
  <r>
    <x v="7"/>
    <x v="1"/>
    <x v="0"/>
    <s v="5867200"/>
    <n v="718050"/>
    <s v="Document Shredding/Storage"/>
    <s v="Gen Surg-Mt Rainier-Shared Svc"/>
    <x v="0"/>
    <n v="1012"/>
    <n v="124.5"/>
    <n v="15.07"/>
    <n v="84.17"/>
    <n v="87.41"/>
    <n v="139.54"/>
    <n v="71.34"/>
    <n v="70.62"/>
    <n v="76.489999999999995"/>
    <n v="70.52"/>
    <n v="83.76"/>
    <n v="73.94"/>
    <n v="146.53"/>
    <n v="1043.8899999999999"/>
    <n v="-72.59"/>
  </r>
  <r>
    <x v="7"/>
    <x v="1"/>
    <x v="0"/>
    <s v="5867200"/>
    <n v="718050"/>
    <s v="Physician Answering"/>
    <s v="Gen Surg-Mt Rainier-Shared Svc"/>
    <x v="0"/>
    <n v="1015"/>
    <n v="562.6"/>
    <n v="761.4"/>
    <n v="497.8"/>
    <n v="265.2"/>
    <n v="548.4"/>
    <n v="657.2"/>
    <n v="893.8"/>
    <n v="859.2"/>
    <n v="526.20000000000005"/>
    <n v="679.2"/>
    <n v="521.79999999999995"/>
    <n v="463.2"/>
    <n v="7236"/>
    <n v="58.599999999999966"/>
  </r>
  <r>
    <x v="7"/>
    <x v="1"/>
    <x v="0"/>
    <s v="5867200"/>
    <n v="718050"/>
    <s v="Miscellaneous Purchased Svcs"/>
    <s v="Gen Surg-Mt Rainier-Shared Svc"/>
    <x v="0"/>
    <n v="1020"/>
    <n v="0"/>
    <n v="0"/>
    <n v="0"/>
    <n v="0"/>
    <n v="0"/>
    <n v="0"/>
    <n v="0"/>
    <n v="0"/>
    <n v="0"/>
    <n v="967.53"/>
    <n v="0"/>
    <n v="0"/>
    <n v="967.53"/>
    <n v="0"/>
  </r>
  <r>
    <x v="7"/>
    <x v="1"/>
    <x v="0"/>
    <s v="5867200"/>
    <n v="718050"/>
    <s v="Translation Services"/>
    <s v="Gen Surg-Mt Rainier-Shared Svc"/>
    <x v="0"/>
    <n v="1025"/>
    <n v="240"/>
    <n v="1097.48"/>
    <n v="0"/>
    <n v="0"/>
    <n v="0"/>
    <n v="964"/>
    <n v="248"/>
    <n v="252.5"/>
    <n v="258"/>
    <n v="453.9"/>
    <n v="384"/>
    <n v="0"/>
    <n v="3897.88"/>
    <n v="384"/>
  </r>
  <r>
    <x v="7"/>
    <x v="1"/>
    <x v="0"/>
    <s v="5867200"/>
    <n v="718050"/>
    <s v="Contract Management--Linen"/>
    <s v="Gen Surg-Mt Rainier-Shared Svc"/>
    <x v="0"/>
    <n v="1026"/>
    <n v="159"/>
    <n v="54.87"/>
    <n v="24.27"/>
    <n v="48.54"/>
    <n v="10.199999999999999"/>
    <n v="237.99"/>
    <n v="30.62"/>
    <n v="39.090000000000003"/>
    <n v="55.35"/>
    <n v="77.16"/>
    <n v="15.77"/>
    <n v="94.64"/>
    <n v="847.5"/>
    <n v="-78.87"/>
  </r>
  <r>
    <x v="7"/>
    <x v="1"/>
    <x v="0"/>
    <s v="5867200"/>
    <n v="718050"/>
    <s v="Purchased Srvcs--Medical Waste"/>
    <s v="Gen Surg-Mt Rainier-Shared Svc"/>
    <x v="0"/>
    <n v="1027"/>
    <n v="64.73"/>
    <n v="131.22"/>
    <n v="131.99"/>
    <n v="64.73"/>
    <n v="88.04"/>
    <n v="215.66"/>
    <n v="195.95"/>
    <n v="66.81"/>
    <n v="129.46"/>
    <n v="221.44"/>
    <n v="0"/>
    <n v="218.59"/>
    <n v="1528.62"/>
    <n v="-218.59"/>
  </r>
  <r>
    <x v="7"/>
    <x v="1"/>
    <x v="0"/>
    <s v="5867200"/>
    <n v="718070"/>
    <s v="Contract Srvcs-CHI Clinical Engineering"/>
    <s v="Gen Surg-Mt Rainier-Shared Svc"/>
    <x v="0"/>
    <m/>
    <n v="0"/>
    <n v="0"/>
    <n v="0"/>
    <n v="0"/>
    <n v="0"/>
    <n v="778.62"/>
    <n v="385.5"/>
    <n v="8139.93"/>
    <n v="1023.93"/>
    <n v="0"/>
    <n v="0"/>
    <n v="0"/>
    <n v="10327.98"/>
    <n v="0"/>
  </r>
  <r>
    <x v="11"/>
    <x v="1"/>
    <x v="0"/>
    <s v="5867200"/>
    <n v="721010"/>
    <s v="Supplies-Medical - Billable"/>
    <s v="Gen Surg-Mt Rainier-Shared Svc"/>
    <x v="0"/>
    <m/>
    <n v="27755.21"/>
    <n v="59046.52"/>
    <n v="6115.15"/>
    <n v="44087.08"/>
    <n v="4622.09"/>
    <n v="-11.37"/>
    <n v="0"/>
    <n v="0"/>
    <n v="0"/>
    <n v="0"/>
    <n v="0"/>
    <n v="0"/>
    <n v="141614.68"/>
    <n v="0"/>
  </r>
  <r>
    <x v="11"/>
    <x v="1"/>
    <x v="0"/>
    <s v="5867200"/>
    <n v="721020"/>
    <s v="Suture/Wound Closure"/>
    <s v="Gen Surg-Mt Rainier-Shared Svc"/>
    <x v="0"/>
    <n v="1001"/>
    <n v="0"/>
    <n v="0"/>
    <n v="0"/>
    <n v="8265"/>
    <n v="0"/>
    <n v="0"/>
    <n v="0"/>
    <n v="0"/>
    <n v="0"/>
    <n v="0"/>
    <n v="0"/>
    <n v="0"/>
    <n v="8265"/>
    <n v="0"/>
  </r>
  <r>
    <x v="11"/>
    <x v="1"/>
    <x v="0"/>
    <s v="5867200"/>
    <n v="721250"/>
    <s v="Supplies-Pharmacy Drugs - Billable"/>
    <s v="Gen Surg-Mt Rainier-Shared Svc"/>
    <x v="0"/>
    <m/>
    <n v="0"/>
    <n v="0"/>
    <n v="0"/>
    <n v="111.17"/>
    <n v="0"/>
    <n v="0"/>
    <n v="0"/>
    <n v="56.75"/>
    <n v="43.45"/>
    <n v="0"/>
    <n v="1314.78"/>
    <n v="0"/>
    <n v="1526.15"/>
    <n v="1314.78"/>
  </r>
  <r>
    <x v="11"/>
    <x v="1"/>
    <x v="0"/>
    <s v="5867200"/>
    <n v="721410"/>
    <s v="Supplies-Medical - Nonbillable"/>
    <s v="Gen Surg-Mt Rainier-Shared Svc"/>
    <x v="0"/>
    <m/>
    <n v="0"/>
    <n v="678.73"/>
    <n v="661.55"/>
    <n v="626.91"/>
    <n v="0"/>
    <n v="535.26"/>
    <n v="1415.32"/>
    <n v="0"/>
    <n v="413.63"/>
    <n v="457.78"/>
    <n v="643.53"/>
    <n v="685.18"/>
    <n v="6117.8899999999994"/>
    <n v="-41.649999999999977"/>
  </r>
  <r>
    <x v="11"/>
    <x v="1"/>
    <x v="0"/>
    <s v="5867200"/>
    <n v="721640"/>
    <s v="Supplies-IV Solutions/Supplies - Nonbillable"/>
    <s v="Gen Surg-Mt Rainier-Shared Svc"/>
    <x v="0"/>
    <m/>
    <n v="0"/>
    <n v="78.62"/>
    <n v="0"/>
    <n v="0"/>
    <n v="0"/>
    <n v="0"/>
    <n v="0"/>
    <n v="0"/>
    <n v="0"/>
    <n v="0"/>
    <n v="0"/>
    <n v="0"/>
    <n v="78.62"/>
    <n v="0"/>
  </r>
  <r>
    <x v="11"/>
    <x v="1"/>
    <x v="0"/>
    <s v="5867200"/>
    <n v="721810"/>
    <s v="Supplies-Dietary/Cafeteria"/>
    <s v="Gen Surg-Mt Rainier-Shared Svc"/>
    <x v="0"/>
    <m/>
    <n v="434.79"/>
    <n v="124.54"/>
    <n v="88.5"/>
    <n v="493.54"/>
    <n v="564.02"/>
    <n v="578.63"/>
    <n v="779.11"/>
    <n v="651.74"/>
    <n v="606.13"/>
    <n v="135.85"/>
    <n v="1041.04"/>
    <n v="1041.51"/>
    <n v="6539.4000000000005"/>
    <n v="-0.47000000000002728"/>
  </r>
  <r>
    <x v="11"/>
    <x v="1"/>
    <x v="0"/>
    <s v="5867200"/>
    <n v="721830"/>
    <s v="Supplies-Office"/>
    <s v="Gen Surg-Mt Rainier-Shared Svc"/>
    <x v="0"/>
    <m/>
    <n v="166.53"/>
    <n v="607.69000000000005"/>
    <n v="132.21"/>
    <n v="557.95000000000005"/>
    <n v="180.13"/>
    <n v="1019.1"/>
    <n v="82.41"/>
    <n v="142.02000000000001"/>
    <n v="168.47"/>
    <n v="281.20999999999998"/>
    <n v="55.03"/>
    <n v="335.76"/>
    <n v="3728.51"/>
    <n v="-280.73"/>
  </r>
  <r>
    <x v="11"/>
    <x v="1"/>
    <x v="0"/>
    <s v="5867200"/>
    <n v="721835"/>
    <s v="Supplies-Forms"/>
    <s v="Gen Surg-Mt Rainier-Shared Svc"/>
    <x v="0"/>
    <m/>
    <n v="0"/>
    <n v="0"/>
    <n v="0"/>
    <n v="0"/>
    <n v="4.58"/>
    <n v="0"/>
    <n v="0"/>
    <n v="0"/>
    <n v="0"/>
    <n v="0"/>
    <n v="0"/>
    <n v="50"/>
    <n v="54.58"/>
    <n v="-50"/>
  </r>
  <r>
    <x v="11"/>
    <x v="1"/>
    <x v="0"/>
    <s v="5867200"/>
    <n v="722000"/>
    <s v="Supplies-Freight Expense"/>
    <s v="Gen Surg-Mt Rainier-Shared Svc"/>
    <x v="0"/>
    <m/>
    <n v="0"/>
    <n v="472.57"/>
    <n v="939.09"/>
    <n v="98.24"/>
    <n v="160.16999999999999"/>
    <n v="44.35"/>
    <n v="0"/>
    <n v="0"/>
    <n v="0"/>
    <n v="0"/>
    <n v="0"/>
    <n v="0"/>
    <n v="1714.42"/>
    <n v="0"/>
  </r>
  <r>
    <x v="11"/>
    <x v="1"/>
    <x v="0"/>
    <s v="5867200"/>
    <n v="722000"/>
    <s v="Minimum Order Fees"/>
    <s v="Gen Surg-Mt Rainier-Shared Svc"/>
    <x v="0"/>
    <n v="1000"/>
    <n v="0"/>
    <n v="0"/>
    <n v="0"/>
    <n v="0"/>
    <n v="0"/>
    <n v="0"/>
    <n v="0"/>
    <n v="0"/>
    <n v="0"/>
    <n v="0"/>
    <n v="0"/>
    <n v="60"/>
    <n v="60"/>
    <n v="-60"/>
  </r>
  <r>
    <x v="12"/>
    <x v="1"/>
    <x v="0"/>
    <s v="5867200"/>
    <n v="730010"/>
    <s v="Rental and Leases-Building (DO NOT USE)"/>
    <s v="Gen Surg-Mt Rainier-Shared Svc"/>
    <x v="0"/>
    <m/>
    <n v="19249.41"/>
    <n v="19249.41"/>
    <n v="19249.41"/>
    <n v="19249.41"/>
    <n v="19249.41"/>
    <n v="-33576.75"/>
    <n v="10445.049999999999"/>
    <n v="10445.049999999999"/>
    <n v="9285.6"/>
    <n v="9320.6"/>
    <n v="9328.34"/>
    <n v="0"/>
    <n v="111494.94000000002"/>
    <n v="9328.34"/>
  </r>
  <r>
    <x v="12"/>
    <x v="1"/>
    <x v="0"/>
    <s v="5867200"/>
    <n v="730010"/>
    <s v="Rental-Common Area Maint (DO NOT USE)"/>
    <s v="Gen Surg-Mt Rainier-Shared Svc"/>
    <x v="0"/>
    <n v="2200"/>
    <n v="0"/>
    <n v="0"/>
    <n v="0"/>
    <n v="0"/>
    <n v="0"/>
    <n v="52646.44"/>
    <n v="8624.64"/>
    <n v="8624.64"/>
    <n v="5086.58"/>
    <n v="7667.26"/>
    <n v="7667.26"/>
    <n v="0"/>
    <n v="90316.819999999992"/>
    <n v="7667.26"/>
  </r>
  <r>
    <x v="12"/>
    <x v="1"/>
    <x v="0"/>
    <s v="5867200"/>
    <n v="730020"/>
    <s v="Rental and Leases-Equipment (DO NOT USE)"/>
    <s v="Gen Surg-Mt Rainier-Shared Svc"/>
    <x v="0"/>
    <m/>
    <n v="38.869999999999997"/>
    <n v="61.56"/>
    <n v="189.73"/>
    <n v="96.72"/>
    <n v="24.88"/>
    <n v="107.89"/>
    <n v="162.69999999999999"/>
    <n v="96.35"/>
    <n v="102.64"/>
    <n v="108.54"/>
    <n v="6.35"/>
    <n v="39.36"/>
    <n v="1035.5899999999999"/>
    <n v="-33.01"/>
  </r>
  <r>
    <x v="12"/>
    <x v="1"/>
    <x v="0"/>
    <s v="5867200"/>
    <n v="730020"/>
    <s v="Rental and Leases-Copier Usage Fees (DO NOT USE)"/>
    <s v="Gen Surg-Mt Rainier-Shared Svc"/>
    <x v="0"/>
    <n v="5100"/>
    <n v="508.83"/>
    <n v="523.16"/>
    <n v="515.99"/>
    <n v="515.99"/>
    <n v="515.99"/>
    <n v="515.99"/>
    <n v="584.26"/>
    <n v="516.71"/>
    <n v="531.69000000000005"/>
    <n v="556.24"/>
    <n v="516.71"/>
    <n v="604.42999999999995"/>
    <n v="6405.9900000000007"/>
    <n v="-87.719999999999914"/>
  </r>
  <r>
    <x v="12"/>
    <x v="1"/>
    <x v="0"/>
    <s v="5867200"/>
    <n v="730040"/>
    <s v="LT Lease-Real Estate"/>
    <s v="Gen Surg-Mt Rainier-Shared Svc"/>
    <x v="0"/>
    <m/>
    <n v="0"/>
    <n v="0"/>
    <n v="0"/>
    <n v="0"/>
    <n v="0"/>
    <n v="0"/>
    <n v="0"/>
    <n v="0"/>
    <n v="0"/>
    <n v="0"/>
    <n v="0"/>
    <n v="17185"/>
    <n v="17185"/>
    <n v="-17185"/>
  </r>
  <r>
    <x v="15"/>
    <x v="1"/>
    <x v="0"/>
    <s v="5867200"/>
    <n v="731060"/>
    <s v="Telephone"/>
    <s v="Gen Surg-Mt Rainier-Shared Svc"/>
    <x v="0"/>
    <m/>
    <n v="452.18"/>
    <n v="452.18"/>
    <n v="0"/>
    <n v="911.36"/>
    <n v="459.18"/>
    <n v="0"/>
    <n v="904.36"/>
    <n v="452.18"/>
    <n v="452.18"/>
    <n v="452.59"/>
    <n v="452.59"/>
    <n v="0"/>
    <n v="4988.8"/>
    <n v="452.59"/>
  </r>
  <r>
    <x v="15"/>
    <x v="1"/>
    <x v="0"/>
    <s v="5867200"/>
    <n v="731060"/>
    <s v="Pagers"/>
    <s v="Gen Surg-Mt Rainier-Shared Svc"/>
    <x v="0"/>
    <n v="1002"/>
    <n v="0"/>
    <n v="0"/>
    <n v="79.36"/>
    <n v="24.36"/>
    <n v="-3.17"/>
    <n v="0"/>
    <n v="73.069999999999993"/>
    <n v="32.479999999999997"/>
    <n v="32.479999999999997"/>
    <n v="32.479999999999997"/>
    <n v="32.479999999999997"/>
    <n v="32.479999999999997"/>
    <n v="336.02000000000004"/>
    <n v="0"/>
  </r>
  <r>
    <x v="16"/>
    <x v="1"/>
    <x v="0"/>
    <s v="5867200"/>
    <n v="732030"/>
    <s v="Repairs---Other"/>
    <s v="Gen Surg-Mt Rainier-Shared Svc"/>
    <x v="0"/>
    <m/>
    <n v="0"/>
    <n v="580.91999999999996"/>
    <n v="0"/>
    <n v="0"/>
    <n v="0"/>
    <n v="0"/>
    <n v="0"/>
    <n v="0"/>
    <n v="0"/>
    <n v="0"/>
    <n v="0"/>
    <n v="0"/>
    <n v="580.91999999999996"/>
    <n v="0"/>
  </r>
  <r>
    <x v="16"/>
    <x v="1"/>
    <x v="0"/>
    <s v="5867200"/>
    <n v="732030"/>
    <s v="Repairs&amp;Maintenance-Bldg Routine"/>
    <s v="Gen Surg-Mt Rainier-Shared Svc"/>
    <x v="0"/>
    <n v="2300"/>
    <n v="0"/>
    <n v="0"/>
    <n v="0"/>
    <n v="0"/>
    <n v="0"/>
    <n v="0"/>
    <n v="2096.56"/>
    <n v="0"/>
    <n v="0"/>
    <n v="0"/>
    <n v="0"/>
    <n v="0"/>
    <n v="2096.56"/>
    <n v="0"/>
  </r>
  <r>
    <x v="13"/>
    <x v="1"/>
    <x v="0"/>
    <s v="5867200"/>
    <n v="735050"/>
    <s v="Amortization-Leasehold Improvements"/>
    <s v="Gen Surg-Mt Rainier-Shared Svc"/>
    <x v="0"/>
    <m/>
    <n v="54.06"/>
    <n v="54.06"/>
    <n v="54.06"/>
    <n v="54.05"/>
    <n v="54.06"/>
    <n v="54.05"/>
    <n v="54.06"/>
    <n v="54.05"/>
    <n v="54.06"/>
    <n v="54.05"/>
    <n v="54.06"/>
    <n v="54.05"/>
    <n v="648.67000000000007"/>
    <n v="1.0000000000005116E-2"/>
  </r>
  <r>
    <x v="13"/>
    <x v="1"/>
    <x v="0"/>
    <s v="5867200"/>
    <n v="735060"/>
    <s v="Depreciation-Fixed Equipment"/>
    <s v="Gen Surg-Mt Rainier-Shared Svc"/>
    <x v="0"/>
    <m/>
    <n v="282.77"/>
    <n v="282.77"/>
    <n v="282.77"/>
    <n v="282.77"/>
    <n v="282.77"/>
    <n v="282.77"/>
    <n v="282.77999999999997"/>
    <n v="282.77"/>
    <n v="282.77999999999997"/>
    <n v="282.76"/>
    <n v="282.77999999999997"/>
    <n v="282.75"/>
    <n v="3393.24"/>
    <n v="2.9999999999972715E-2"/>
  </r>
  <r>
    <x v="13"/>
    <x v="1"/>
    <x v="0"/>
    <s v="5867200"/>
    <n v="735070"/>
    <s v="Depreciation-Movable Equipment"/>
    <s v="Gen Surg-Mt Rainier-Shared Svc"/>
    <x v="0"/>
    <m/>
    <n v="473.42"/>
    <n v="473.4"/>
    <n v="473.43"/>
    <n v="473.4"/>
    <n v="473.44"/>
    <n v="473.4"/>
    <n v="473.45"/>
    <n v="473.39"/>
    <n v="473.47"/>
    <n v="473.39"/>
    <n v="473.48"/>
    <n v="473.37"/>
    <n v="5681.04"/>
    <n v="0.11000000000001364"/>
  </r>
  <r>
    <x v="0"/>
    <x v="1"/>
    <x v="0"/>
    <s v="5867200"/>
    <n v="740020"/>
    <s v="Education-Registration Fees"/>
    <s v="Gen Surg-Mt Rainier-Shared Svc"/>
    <x v="0"/>
    <m/>
    <n v="213.54"/>
    <n v="0"/>
    <n v="0"/>
    <n v="0"/>
    <n v="45"/>
    <n v="0"/>
    <n v="0"/>
    <n v="0"/>
    <n v="0"/>
    <n v="0"/>
    <n v="0"/>
    <n v="0"/>
    <n v="258.53999999999996"/>
    <n v="0"/>
  </r>
  <r>
    <x v="0"/>
    <x v="1"/>
    <x v="0"/>
    <s v="5867200"/>
    <n v="742040"/>
    <s v="Freight-Other"/>
    <s v="Gen Surg-Mt Rainier-Shared Svc"/>
    <x v="0"/>
    <m/>
    <n v="0"/>
    <n v="0"/>
    <n v="0"/>
    <n v="0"/>
    <n v="0"/>
    <n v="0"/>
    <n v="70"/>
    <n v="0"/>
    <n v="35"/>
    <n v="0"/>
    <n v="261.98"/>
    <n v="12.41"/>
    <n v="379.39000000000004"/>
    <n v="249.57000000000002"/>
  </r>
  <r>
    <x v="0"/>
    <x v="1"/>
    <x v="0"/>
    <s v="5867200"/>
    <n v="743020"/>
    <s v="Dues--Individual"/>
    <s v="Gen Surg-Mt Rainier-Shared Svc"/>
    <x v="0"/>
    <m/>
    <n v="0"/>
    <n v="0"/>
    <n v="0"/>
    <n v="0"/>
    <n v="622"/>
    <n v="0"/>
    <n v="0"/>
    <n v="0"/>
    <n v="0"/>
    <n v="0"/>
    <n v="0"/>
    <n v="0"/>
    <n v="622"/>
    <n v="0"/>
  </r>
  <r>
    <x v="0"/>
    <x v="1"/>
    <x v="0"/>
    <s v="5867200"/>
    <n v="743020"/>
    <s v="Provider-Dues"/>
    <s v="Gen Surg-Mt Rainier-Shared Svc"/>
    <x v="0"/>
    <n v="2200"/>
    <n v="0"/>
    <n v="0"/>
    <n v="0"/>
    <n v="0"/>
    <n v="0"/>
    <n v="640"/>
    <n v="325"/>
    <n v="0"/>
    <n v="0"/>
    <n v="0"/>
    <n v="0"/>
    <n v="0"/>
    <n v="965"/>
    <n v="0"/>
  </r>
  <r>
    <x v="0"/>
    <x v="1"/>
    <x v="0"/>
    <s v="5867200"/>
    <n v="749510"/>
    <s v="Miscellaneous Expenses"/>
    <s v="Gen Surg-Mt Rainier-Shared Svc"/>
    <x v="0"/>
    <m/>
    <n v="0"/>
    <n v="0"/>
    <n v="0"/>
    <n v="746.23"/>
    <n v="0"/>
    <n v="75.37"/>
    <n v="0"/>
    <n v="0"/>
    <n v="40.520000000000003"/>
    <n v="-40.520000000000003"/>
    <n v="0"/>
    <n v="0"/>
    <n v="821.6"/>
    <n v="0"/>
  </r>
  <r>
    <x v="0"/>
    <x v="1"/>
    <x v="0"/>
    <s v="5867200"/>
    <n v="749510"/>
    <s v="Licenses"/>
    <s v="Gen Surg-Mt Rainier-Shared Svc"/>
    <x v="0"/>
    <n v="1002"/>
    <n v="0"/>
    <n v="0"/>
    <n v="265"/>
    <n v="0"/>
    <n v="0"/>
    <n v="205"/>
    <n v="38.75"/>
    <n v="0"/>
    <n v="0"/>
    <n v="0"/>
    <n v="0"/>
    <n v="0"/>
    <n v="508.75"/>
    <n v="0"/>
  </r>
  <r>
    <x v="0"/>
    <x v="1"/>
    <x v="0"/>
    <s v="5867200"/>
    <n v="749510"/>
    <s v="RICE Rewards"/>
    <s v="Gen Surg-Mt Rainier-Shared Svc"/>
    <x v="0"/>
    <n v="5100"/>
    <n v="0"/>
    <n v="0"/>
    <n v="0"/>
    <n v="0"/>
    <n v="0"/>
    <n v="470.8"/>
    <n v="0"/>
    <n v="0"/>
    <n v="0"/>
    <n v="0"/>
    <n v="-857.7"/>
    <n v="0"/>
    <n v="-386.90000000000003"/>
    <n v="-857.7"/>
  </r>
  <r>
    <x v="0"/>
    <x v="1"/>
    <x v="0"/>
    <s v="5867200"/>
    <n v="749510"/>
    <s v="Other Clinic IT Costs"/>
    <s v="Gen Surg-Mt Rainier-Shared Svc"/>
    <x v="0"/>
    <n v="5105"/>
    <n v="0"/>
    <n v="0"/>
    <n v="0"/>
    <n v="0"/>
    <n v="0"/>
    <n v="0"/>
    <n v="0"/>
    <n v="0"/>
    <n v="0"/>
    <n v="0"/>
    <n v="650"/>
    <n v="0"/>
    <n v="650"/>
    <n v="650"/>
  </r>
  <r>
    <x v="0"/>
    <x v="1"/>
    <x v="0"/>
    <s v="5867200"/>
    <n v="749530"/>
    <s v="Travel"/>
    <s v="Gen Surg-Mt Rainier-Shared Svc"/>
    <x v="0"/>
    <m/>
    <n v="0"/>
    <n v="6"/>
    <n v="0"/>
    <n v="0"/>
    <n v="0"/>
    <n v="0"/>
    <n v="0"/>
    <n v="0"/>
    <n v="0"/>
    <n v="0"/>
    <n v="0"/>
    <n v="0"/>
    <n v="6"/>
    <n v="0"/>
  </r>
  <r>
    <x v="0"/>
    <x v="1"/>
    <x v="0"/>
    <s v="5867200"/>
    <n v="749530"/>
    <s v="Mileage"/>
    <s v="Gen Surg-Mt Rainier-Shared Svc"/>
    <x v="0"/>
    <n v="1001"/>
    <n v="0"/>
    <n v="15.81"/>
    <n v="0"/>
    <n v="0"/>
    <n v="0"/>
    <n v="0"/>
    <n v="0"/>
    <n v="0"/>
    <n v="0"/>
    <n v="0"/>
    <n v="0"/>
    <n v="0"/>
    <n v="15.81"/>
    <n v="0"/>
  </r>
  <r>
    <x v="0"/>
    <x v="1"/>
    <x v="0"/>
    <s v="5867200"/>
    <n v="766010"/>
    <s v="Property Tax"/>
    <s v="Gen Surg-Mt Rainier-Shared Svc"/>
    <x v="0"/>
    <m/>
    <n v="173.49"/>
    <n v="173.49"/>
    <n v="173.49"/>
    <n v="173.49"/>
    <n v="173.49"/>
    <n v="173.49"/>
    <n v="173.49"/>
    <n v="173.49"/>
    <n v="173.49"/>
    <n v="2.29"/>
    <n v="130.69"/>
    <n v="130.69"/>
    <n v="1825.0800000000002"/>
    <n v="0"/>
  </r>
  <r>
    <x v="5"/>
    <x v="1"/>
    <x v="0"/>
    <s v="5868200"/>
    <n v="700014"/>
    <s v="Salaries-Management-Productive"/>
    <s v="Endocrinology-Tac-Shared Svc"/>
    <x v="0"/>
    <m/>
    <n v="3317.24"/>
    <n v="2902.6"/>
    <n v="3204.16"/>
    <n v="3542.91"/>
    <n v="3408.77"/>
    <n v="1665.64"/>
    <n v="3607.92"/>
    <n v="2715.51"/>
    <n v="3258.62"/>
    <n v="2637.91"/>
    <n v="2017.25"/>
    <n v="2327.58"/>
    <n v="34606.11"/>
    <n v="-310.32999999999993"/>
  </r>
  <r>
    <x v="5"/>
    <x v="1"/>
    <x v="0"/>
    <s v="5868200"/>
    <n v="700030"/>
    <s v="Salaries-LPN-Productive"/>
    <s v="Endocrinology-Tac-Shared Svc"/>
    <x v="0"/>
    <m/>
    <n v="0"/>
    <n v="0"/>
    <n v="0"/>
    <n v="0"/>
    <n v="0"/>
    <n v="0"/>
    <n v="0"/>
    <n v="0"/>
    <n v="837.5"/>
    <n v="0"/>
    <n v="0"/>
    <n v="0"/>
    <n v="837.5"/>
    <n v="0"/>
  </r>
  <r>
    <x v="5"/>
    <x v="1"/>
    <x v="0"/>
    <s v="5868200"/>
    <n v="700030"/>
    <s v="Salaries-LPN-OT"/>
    <s v="Endocrinology-Tac-Shared Svc"/>
    <x v="0"/>
    <n v="1000"/>
    <n v="0"/>
    <n v="0"/>
    <n v="0"/>
    <n v="0"/>
    <n v="0"/>
    <n v="0"/>
    <n v="0"/>
    <n v="0"/>
    <n v="265.48"/>
    <n v="0"/>
    <n v="0"/>
    <n v="0"/>
    <n v="265.48"/>
    <n v="0"/>
  </r>
  <r>
    <x v="5"/>
    <x v="1"/>
    <x v="0"/>
    <s v="5868200"/>
    <n v="700030"/>
    <s v="Salaries-LPN-Other"/>
    <s v="Endocrinology-Tac-Shared Svc"/>
    <x v="0"/>
    <n v="2000"/>
    <n v="0"/>
    <n v="0"/>
    <n v="0"/>
    <n v="0"/>
    <n v="0"/>
    <n v="0"/>
    <n v="0"/>
    <n v="0"/>
    <n v="43.57"/>
    <n v="0"/>
    <n v="0"/>
    <n v="0"/>
    <n v="43.57"/>
    <n v="0"/>
  </r>
  <r>
    <x v="5"/>
    <x v="1"/>
    <x v="0"/>
    <s v="5868200"/>
    <n v="700032"/>
    <s v="Salaries-Other Pat Care Providers-Productive"/>
    <s v="Endocrinology-Tac-Shared Svc"/>
    <x v="0"/>
    <m/>
    <n v="8227.74"/>
    <n v="7152.02"/>
    <n v="5154.92"/>
    <n v="5511.18"/>
    <n v="7213.51"/>
    <n v="5071.7299999999996"/>
    <n v="6206.59"/>
    <n v="5109.92"/>
    <n v="6654.04"/>
    <n v="6910.29"/>
    <n v="6234.62"/>
    <n v="5288.16"/>
    <n v="74734.720000000001"/>
    <n v="946.46"/>
  </r>
  <r>
    <x v="5"/>
    <x v="1"/>
    <x v="0"/>
    <s v="5868200"/>
    <n v="700032"/>
    <s v="Salaries-Other Pat Care Providers-OT"/>
    <s v="Endocrinology-Tac-Shared Svc"/>
    <x v="0"/>
    <n v="1000"/>
    <n v="48.38"/>
    <n v="113.92"/>
    <n v="80.650000000000006"/>
    <n v="-10.08"/>
    <n v="1576.11"/>
    <n v="-169.5"/>
    <n v="276.44"/>
    <n v="463.83"/>
    <n v="165.51"/>
    <n v="468.9"/>
    <n v="34.869999999999997"/>
    <n v="259.76"/>
    <n v="3308.79"/>
    <n v="-224.89"/>
  </r>
  <r>
    <x v="5"/>
    <x v="1"/>
    <x v="0"/>
    <s v="5868200"/>
    <n v="700032"/>
    <s v="Salaries-Other Pat Care Providers-Other"/>
    <s v="Endocrinology-Tac-Shared Svc"/>
    <x v="0"/>
    <n v="2000"/>
    <n v="0"/>
    <n v="0"/>
    <n v="0"/>
    <n v="0"/>
    <n v="37"/>
    <n v="-1.25"/>
    <n v="20.63"/>
    <n v="111.88"/>
    <n v="99.41"/>
    <n v="-13.65"/>
    <n v="0"/>
    <n v="0"/>
    <n v="254.01999999999995"/>
    <n v="0"/>
  </r>
  <r>
    <x v="5"/>
    <x v="1"/>
    <x v="0"/>
    <s v="5868200"/>
    <n v="700038"/>
    <s v="Salaries-Service/Support-Productive"/>
    <s v="Endocrinology-Tac-Shared Svc"/>
    <x v="0"/>
    <m/>
    <n v="15472.55"/>
    <n v="18290.830000000002"/>
    <n v="10039.65"/>
    <n v="13929.03"/>
    <n v="26834.59"/>
    <n v="16093.31"/>
    <n v="20996.94"/>
    <n v="16385.189999999999"/>
    <n v="21367.43"/>
    <n v="21814.37"/>
    <n v="20238.7"/>
    <n v="17657.48"/>
    <n v="219120.07"/>
    <n v="2581.2200000000012"/>
  </r>
  <r>
    <x v="5"/>
    <x v="1"/>
    <x v="0"/>
    <s v="5868200"/>
    <n v="700038"/>
    <s v="Salaries-Service/Support-OT"/>
    <s v="Endocrinology-Tac-Shared Svc"/>
    <x v="0"/>
    <n v="1000"/>
    <n v="608.58000000000004"/>
    <n v="1625.06"/>
    <n v="567.14"/>
    <n v="342.57"/>
    <n v="774.64"/>
    <n v="-14.26"/>
    <n v="207.76"/>
    <n v="-2.35"/>
    <n v="338.78"/>
    <n v="386.49"/>
    <n v="979.22"/>
    <n v="41.38"/>
    <n v="5855.0099999999993"/>
    <n v="937.84"/>
  </r>
  <r>
    <x v="5"/>
    <x v="1"/>
    <x v="0"/>
    <s v="5868200"/>
    <n v="700038"/>
    <s v="Salaries-Service/Support-Other"/>
    <s v="Endocrinology-Tac-Shared Svc"/>
    <x v="0"/>
    <n v="2000"/>
    <n v="21.3"/>
    <n v="13.45"/>
    <n v="70.5"/>
    <n v="82.8"/>
    <n v="12.2"/>
    <n v="0"/>
    <n v="0"/>
    <n v="0"/>
    <n v="0"/>
    <n v="30.04"/>
    <n v="8.0399999999999991"/>
    <n v="-1.77"/>
    <n v="236.55999999999997"/>
    <n v="9.8099999999999987"/>
  </r>
  <r>
    <x v="5"/>
    <x v="1"/>
    <x v="0"/>
    <s v="5868200"/>
    <n v="700054"/>
    <s v="Salaries-Management-NonProd-Other"/>
    <s v="Endocrinology-Tac-Shared Svc"/>
    <x v="0"/>
    <n v="2000"/>
    <n v="0"/>
    <n v="0"/>
    <n v="0"/>
    <n v="0"/>
    <n v="0"/>
    <n v="458"/>
    <n v="-458"/>
    <n v="0"/>
    <n v="0"/>
    <n v="0"/>
    <n v="0"/>
    <n v="0"/>
    <n v="0"/>
    <n v="0"/>
  </r>
  <r>
    <x v="5"/>
    <x v="1"/>
    <x v="0"/>
    <s v="5868200"/>
    <n v="700072"/>
    <s v="Salaries-Other Pat Care Providers-Non-productive"/>
    <s v="Endocrinology-Tac-Shared Svc"/>
    <x v="0"/>
    <m/>
    <n v="907.23"/>
    <n v="1699.91"/>
    <n v="1133.92"/>
    <n v="1804.55"/>
    <n v="-240.44"/>
    <n v="3846.52"/>
    <n v="1530.63"/>
    <n v="3170.57"/>
    <n v="-202.89"/>
    <n v="71.540000000000006"/>
    <n v="1166"/>
    <n v="951.74"/>
    <n v="15839.28"/>
    <n v="214.26"/>
  </r>
  <r>
    <x v="5"/>
    <x v="1"/>
    <x v="0"/>
    <s v="5868200"/>
    <n v="700072"/>
    <s v="Salaries-Other Pat Care Providers-NonProd-Other"/>
    <s v="Endocrinology-Tac-Shared Svc"/>
    <x v="0"/>
    <n v="2000"/>
    <n v="0"/>
    <n v="0"/>
    <n v="0"/>
    <n v="0"/>
    <n v="0"/>
    <n v="5.31"/>
    <n v="-0.48"/>
    <n v="0"/>
    <n v="0"/>
    <n v="0"/>
    <n v="0"/>
    <n v="0"/>
    <n v="4.83"/>
    <n v="0"/>
  </r>
  <r>
    <x v="5"/>
    <x v="1"/>
    <x v="0"/>
    <s v="5868200"/>
    <n v="700078"/>
    <s v="Salaries-Service/Support-Non-productive"/>
    <s v="Endocrinology-Tac-Shared Svc"/>
    <x v="0"/>
    <m/>
    <n v="1946.7"/>
    <n v="783.76"/>
    <n v="3217.63"/>
    <n v="69.83"/>
    <n v="793.55"/>
    <n v="3897.45"/>
    <n v="2298.9299999999998"/>
    <n v="4231.29"/>
    <n v="1011.94"/>
    <n v="1975.09"/>
    <n v="2159.5500000000002"/>
    <n v="1522.89"/>
    <n v="23908.609999999997"/>
    <n v="636.66000000000008"/>
  </r>
  <r>
    <x v="5"/>
    <x v="1"/>
    <x v="0"/>
    <s v="5868200"/>
    <n v="700078"/>
    <s v="Salaries-Service/Support-NonProd-Other"/>
    <s v="Endocrinology-Tac-Shared Svc"/>
    <x v="0"/>
    <n v="2000"/>
    <n v="5.86"/>
    <n v="3.92"/>
    <n v="0"/>
    <n v="0"/>
    <n v="0"/>
    <n v="0"/>
    <n v="0"/>
    <n v="0"/>
    <n v="0"/>
    <n v="0"/>
    <n v="0"/>
    <n v="9.0500000000000007"/>
    <n v="18.830000000000002"/>
    <n v="-9.0500000000000007"/>
  </r>
  <r>
    <x v="5"/>
    <x v="1"/>
    <x v="0"/>
    <s v="5868200"/>
    <n v="700084"/>
    <s v="Accrued PTO"/>
    <s v="Endocrinology-Tac-Shared Svc"/>
    <x v="0"/>
    <m/>
    <n v="-285.95"/>
    <n v="259.95"/>
    <n v="-1322.07"/>
    <n v="860.36"/>
    <n v="4058.83"/>
    <n v="-3339.48"/>
    <n v="-401.13"/>
    <n v="-237.24"/>
    <n v="915.18"/>
    <n v="-715.46"/>
    <n v="963.41"/>
    <n v="1322.7"/>
    <n v="2079.1"/>
    <n v="-359.29000000000008"/>
  </r>
  <r>
    <x v="6"/>
    <x v="1"/>
    <x v="0"/>
    <s v="5868200"/>
    <n v="713010"/>
    <s v="Benefits-FICA/Medicare"/>
    <s v="Endocrinology-Tac-Shared Svc"/>
    <x v="0"/>
    <m/>
    <n v="2294.91"/>
    <n v="2447.92"/>
    <n v="1758.77"/>
    <n v="1972.5"/>
    <n v="3095.77"/>
    <n v="2256.3200000000002"/>
    <n v="2632.86"/>
    <n v="2378.2199999999998"/>
    <n v="2493.59"/>
    <n v="2545.2399999999998"/>
    <n v="2440.2800000000002"/>
    <n v="2089.35"/>
    <n v="28405.729999999996"/>
    <n v="350.93000000000029"/>
  </r>
  <r>
    <x v="6"/>
    <x v="1"/>
    <x v="0"/>
    <s v="5868200"/>
    <n v="713090"/>
    <s v="Benefits-Allocated Amounts"/>
    <s v="Endocrinology-Tac-Shared Svc"/>
    <x v="0"/>
    <m/>
    <n v="8457.94"/>
    <n v="8037.61"/>
    <n v="7200.51"/>
    <n v="6766.01"/>
    <n v="10252.879999999999"/>
    <n v="9631.4599999999991"/>
    <n v="10767.04"/>
    <n v="10687.18"/>
    <n v="10260.15"/>
    <n v="10144.77"/>
    <n v="9962.2000000000007"/>
    <n v="9849.9599999999991"/>
    <n v="112017.70999999999"/>
    <n v="112.2400000000016"/>
  </r>
  <r>
    <x v="21"/>
    <x v="1"/>
    <x v="0"/>
    <s v="5868200"/>
    <n v="716046"/>
    <s v="Consulting-Other"/>
    <s v="Endocrinology-Tac-Shared Svc"/>
    <x v="0"/>
    <m/>
    <n v="0"/>
    <n v="0"/>
    <n v="0"/>
    <n v="90"/>
    <n v="0"/>
    <n v="0"/>
    <n v="0"/>
    <n v="0"/>
    <n v="0"/>
    <n v="0"/>
    <n v="0"/>
    <n v="0"/>
    <n v="90"/>
    <n v="0"/>
  </r>
  <r>
    <x v="7"/>
    <x v="1"/>
    <x v="0"/>
    <s v="5868200"/>
    <n v="718010"/>
    <s v="Media/Print Advertising"/>
    <s v="Endocrinology-Tac-Shared Svc"/>
    <x v="0"/>
    <n v="1004"/>
    <n v="624.52"/>
    <n v="441.63"/>
    <n v="532.32000000000005"/>
    <n v="1501.54"/>
    <n v="356.99"/>
    <n v="0"/>
    <n v="919.58"/>
    <n v="642.13"/>
    <n v="0"/>
    <n v="0"/>
    <n v="881.89"/>
    <n v="-87.94"/>
    <n v="5812.6600000000008"/>
    <n v="969.82999999999993"/>
  </r>
  <r>
    <x v="7"/>
    <x v="1"/>
    <x v="0"/>
    <s v="5868200"/>
    <n v="718050"/>
    <s v="Contract Svcs-Other"/>
    <s v="Endocrinology-Tac-Shared Svc"/>
    <x v="0"/>
    <m/>
    <n v="0"/>
    <n v="0"/>
    <n v="33.299999999999997"/>
    <n v="2611.27"/>
    <n v="89.67"/>
    <n v="0"/>
    <n v="128.41999999999999"/>
    <n v="0"/>
    <n v="0"/>
    <n v="0"/>
    <n v="0"/>
    <n v="0"/>
    <n v="2862.6600000000003"/>
    <n v="0"/>
  </r>
  <r>
    <x v="7"/>
    <x v="1"/>
    <x v="0"/>
    <s v="5868200"/>
    <n v="718050"/>
    <s v="Cleaning Services"/>
    <s v="Endocrinology-Tac-Shared Svc"/>
    <x v="0"/>
    <n v="1011"/>
    <n v="0"/>
    <n v="0"/>
    <n v="0"/>
    <n v="0"/>
    <n v="14.07"/>
    <n v="0"/>
    <n v="0"/>
    <n v="0"/>
    <n v="0"/>
    <n v="0"/>
    <n v="0"/>
    <n v="10.220000000000001"/>
    <n v="24.29"/>
    <n v="-10.220000000000001"/>
  </r>
  <r>
    <x v="7"/>
    <x v="1"/>
    <x v="0"/>
    <s v="5868200"/>
    <n v="718050"/>
    <s v="Document Shredding/Storage"/>
    <s v="Endocrinology-Tac-Shared Svc"/>
    <x v="0"/>
    <n v="1012"/>
    <n v="514.66999999999996"/>
    <n v="-447.97"/>
    <n v="307.39999999999998"/>
    <n v="296.54000000000002"/>
    <n v="260.54000000000002"/>
    <n v="300.92"/>
    <n v="287.91000000000003"/>
    <n v="241.42"/>
    <n v="257.55"/>
    <n v="228.58"/>
    <n v="253.57"/>
    <n v="491.9"/>
    <n v="2993.03"/>
    <n v="-238.32999999999998"/>
  </r>
  <r>
    <x v="7"/>
    <x v="1"/>
    <x v="0"/>
    <s v="5868200"/>
    <n v="718050"/>
    <s v="Physician Answering"/>
    <s v="Endocrinology-Tac-Shared Svc"/>
    <x v="0"/>
    <n v="1015"/>
    <n v="813.8"/>
    <n v="990.4"/>
    <n v="693.2"/>
    <n v="349.6"/>
    <n v="1016.2"/>
    <n v="819"/>
    <n v="1078.4000000000001"/>
    <n v="1316.8"/>
    <n v="884.2"/>
    <n v="997.4"/>
    <n v="1007.6"/>
    <n v="893.8"/>
    <n v="10860.4"/>
    <n v="113.80000000000007"/>
  </r>
  <r>
    <x v="7"/>
    <x v="1"/>
    <x v="0"/>
    <s v="5868200"/>
    <n v="718050"/>
    <s v="Miscellaneous Purchased Svcs"/>
    <s v="Endocrinology-Tac-Shared Svc"/>
    <x v="0"/>
    <n v="1020"/>
    <n v="0"/>
    <n v="0"/>
    <n v="181.32"/>
    <n v="60.44"/>
    <n v="120.89"/>
    <n v="0"/>
    <n v="60.45"/>
    <n v="120.9"/>
    <n v="60.45"/>
    <n v="0"/>
    <n v="60.45"/>
    <n v="60.5"/>
    <n v="725.40000000000009"/>
    <n v="-4.9999999999997158E-2"/>
  </r>
  <r>
    <x v="7"/>
    <x v="1"/>
    <x v="0"/>
    <s v="5868200"/>
    <n v="718050"/>
    <s v="Translation Services"/>
    <s v="Endocrinology-Tac-Shared Svc"/>
    <x v="0"/>
    <n v="1025"/>
    <n v="268.64999999999998"/>
    <n v="960.5"/>
    <n v="1317.91"/>
    <n v="1118.22"/>
    <n v="1037.29"/>
    <n v="931.86"/>
    <n v="1036.3499999999999"/>
    <n v="1351.26"/>
    <n v="853.5"/>
    <n v="91.69"/>
    <n v="1138.1500000000001"/>
    <n v="1666.79"/>
    <n v="11772.170000000002"/>
    <n v="-528.63999999999987"/>
  </r>
  <r>
    <x v="7"/>
    <x v="1"/>
    <x v="0"/>
    <s v="5868200"/>
    <n v="718050"/>
    <s v="Contract Management--Linen"/>
    <s v="Endocrinology-Tac-Shared Svc"/>
    <x v="0"/>
    <n v="1026"/>
    <n v="17.95"/>
    <n v="44.67"/>
    <n v="28.15"/>
    <n v="42.21"/>
    <n v="0"/>
    <n v="10.199999999999999"/>
    <n v="28.85"/>
    <n v="37.76"/>
    <n v="100.84"/>
    <n v="28.14"/>
    <n v="18.149999999999999"/>
    <n v="25.84"/>
    <n v="382.75999999999993"/>
    <n v="-7.6900000000000013"/>
  </r>
  <r>
    <x v="7"/>
    <x v="1"/>
    <x v="0"/>
    <s v="5868200"/>
    <n v="718050"/>
    <s v="Purchased Srvcs--Medical Waste"/>
    <s v="Endocrinology-Tac-Shared Svc"/>
    <x v="0"/>
    <n v="1027"/>
    <n v="381.2"/>
    <n v="68.72"/>
    <n v="277.88"/>
    <n v="635.04"/>
    <n v="356.95"/>
    <n v="289.02"/>
    <n v="324.27999999999997"/>
    <n v="300.16000000000003"/>
    <n v="335.42"/>
    <n v="266.72000000000003"/>
    <n v="22.3"/>
    <n v="380.83"/>
    <n v="3638.5200000000004"/>
    <n v="-358.53"/>
  </r>
  <r>
    <x v="7"/>
    <x v="1"/>
    <x v="0"/>
    <s v="5868200"/>
    <n v="718070"/>
    <s v="Contract Srvcs-CHI Clinical Engineering"/>
    <s v="Endocrinology-Tac-Shared Svc"/>
    <x v="0"/>
    <m/>
    <n v="0"/>
    <n v="0"/>
    <n v="0"/>
    <n v="0"/>
    <n v="0"/>
    <n v="0"/>
    <n v="203.68"/>
    <n v="2345.3200000000002"/>
    <n v="1645.99"/>
    <n v="0"/>
    <n v="0"/>
    <n v="0"/>
    <n v="4194.99"/>
    <n v="0"/>
  </r>
  <r>
    <x v="11"/>
    <x v="1"/>
    <x v="0"/>
    <s v="5868200"/>
    <n v="721010"/>
    <s v="Supplies-Medical - Billable"/>
    <s v="Endocrinology-Tac-Shared Svc"/>
    <x v="0"/>
    <m/>
    <n v="0"/>
    <n v="1331.8"/>
    <n v="0"/>
    <n v="0"/>
    <n v="0"/>
    <n v="0"/>
    <n v="1200"/>
    <n v="1161.92"/>
    <n v="131.80000000000001"/>
    <n v="1200"/>
    <n v="1331.8"/>
    <n v="122.41"/>
    <n v="6479.7300000000005"/>
    <n v="1209.3899999999999"/>
  </r>
  <r>
    <x v="11"/>
    <x v="1"/>
    <x v="0"/>
    <s v="5868200"/>
    <n v="721250"/>
    <s v="Supplies-Pharmacy Drugs - Billable"/>
    <s v="Endocrinology-Tac-Shared Svc"/>
    <x v="0"/>
    <m/>
    <n v="0"/>
    <n v="832"/>
    <n v="398.2"/>
    <n v="1532.54"/>
    <n v="1781.41"/>
    <n v="1001.06"/>
    <n v="473.73"/>
    <n v="3253.86"/>
    <n v="416.33"/>
    <n v="972.6"/>
    <n v="996.17"/>
    <n v="576.14"/>
    <n v="12234.039999999999"/>
    <n v="420.03"/>
  </r>
  <r>
    <x v="11"/>
    <x v="1"/>
    <x v="0"/>
    <s v="5868200"/>
    <n v="721410"/>
    <s v="Supplies-Medical - Nonbillable"/>
    <s v="Endocrinology-Tac-Shared Svc"/>
    <x v="0"/>
    <m/>
    <n v="2028.04"/>
    <n v="2831.3"/>
    <n v="2073.15"/>
    <n v="2197.38"/>
    <n v="6590.61"/>
    <n v="1796.45"/>
    <n v="3045.27"/>
    <n v="1887.99"/>
    <n v="1903.85"/>
    <n v="485.21"/>
    <n v="-961.4"/>
    <n v="1896.98"/>
    <n v="25774.829999999998"/>
    <n v="-2858.38"/>
  </r>
  <r>
    <x v="11"/>
    <x v="1"/>
    <x v="0"/>
    <s v="5868200"/>
    <n v="721710"/>
    <s v="Supplies-Laboratory - Nonbillable"/>
    <s v="Endocrinology-Tac-Shared Svc"/>
    <x v="0"/>
    <m/>
    <n v="0"/>
    <n v="0"/>
    <n v="0"/>
    <n v="0"/>
    <n v="0"/>
    <n v="0"/>
    <n v="0"/>
    <n v="0"/>
    <n v="2.29"/>
    <n v="0"/>
    <n v="0"/>
    <n v="0"/>
    <n v="2.29"/>
    <n v="0"/>
  </r>
  <r>
    <x v="11"/>
    <x v="1"/>
    <x v="0"/>
    <s v="5868200"/>
    <n v="721810"/>
    <s v="Supplies-Dietary/Cafeteria"/>
    <s v="Endocrinology-Tac-Shared Svc"/>
    <x v="0"/>
    <m/>
    <n v="127.72"/>
    <n v="23.41"/>
    <n v="0"/>
    <n v="303.95999999999998"/>
    <n v="31.96"/>
    <n v="16"/>
    <n v="7.16"/>
    <n v="15.35"/>
    <n v="0"/>
    <n v="0"/>
    <n v="23.43"/>
    <n v="30.6"/>
    <n v="579.58999999999992"/>
    <n v="-7.1700000000000017"/>
  </r>
  <r>
    <x v="11"/>
    <x v="1"/>
    <x v="0"/>
    <s v="5868200"/>
    <n v="721830"/>
    <s v="Supplies-Office"/>
    <s v="Endocrinology-Tac-Shared Svc"/>
    <x v="0"/>
    <m/>
    <n v="647.45000000000005"/>
    <n v="1259.24"/>
    <n v="611.97"/>
    <n v="630"/>
    <n v="739.68"/>
    <n v="749.4"/>
    <n v="1758.5"/>
    <n v="1056.7"/>
    <n v="1147.6600000000001"/>
    <n v="631.47"/>
    <n v="482.52"/>
    <n v="779.93"/>
    <n v="10494.52"/>
    <n v="-297.40999999999997"/>
  </r>
  <r>
    <x v="11"/>
    <x v="1"/>
    <x v="0"/>
    <s v="5868200"/>
    <n v="721835"/>
    <s v="Supplies-Forms"/>
    <s v="Endocrinology-Tac-Shared Svc"/>
    <x v="0"/>
    <m/>
    <n v="0"/>
    <n v="0"/>
    <n v="0"/>
    <n v="0"/>
    <n v="235.75"/>
    <n v="102.5"/>
    <n v="51.25"/>
    <n v="0"/>
    <n v="102.75"/>
    <n v="125"/>
    <n v="0"/>
    <n v="198.9"/>
    <n v="816.15"/>
    <n v="-198.9"/>
  </r>
  <r>
    <x v="11"/>
    <x v="1"/>
    <x v="0"/>
    <s v="5868200"/>
    <n v="721870"/>
    <s v="Supplies-Environmental Services"/>
    <s v="Endocrinology-Tac-Shared Svc"/>
    <x v="0"/>
    <m/>
    <n v="0"/>
    <n v="0"/>
    <n v="0"/>
    <n v="0"/>
    <n v="0"/>
    <n v="0"/>
    <n v="0"/>
    <n v="43.68"/>
    <n v="0"/>
    <n v="0"/>
    <n v="12.92"/>
    <n v="0"/>
    <n v="56.6"/>
    <n v="12.92"/>
  </r>
  <r>
    <x v="11"/>
    <x v="1"/>
    <x v="0"/>
    <s v="5868200"/>
    <n v="721880"/>
    <s v="Supplies-Linen"/>
    <s v="Endocrinology-Tac-Shared Svc"/>
    <x v="0"/>
    <m/>
    <n v="0"/>
    <n v="0"/>
    <n v="0"/>
    <n v="0"/>
    <n v="0"/>
    <n v="0"/>
    <n v="0"/>
    <n v="0"/>
    <n v="0"/>
    <n v="0"/>
    <n v="215.18"/>
    <n v="0"/>
    <n v="215.18"/>
    <n v="215.18"/>
  </r>
  <r>
    <x v="11"/>
    <x v="1"/>
    <x v="0"/>
    <s v="5868200"/>
    <n v="721910"/>
    <s v="Supplies-Small Equipment"/>
    <s v="Endocrinology-Tac-Shared Svc"/>
    <x v="0"/>
    <m/>
    <n v="245.26"/>
    <n v="12.87"/>
    <n v="30.95"/>
    <n v="720.57"/>
    <n v="1531.34"/>
    <n v="787.44"/>
    <n v="94.05"/>
    <n v="0"/>
    <n v="0"/>
    <n v="0"/>
    <n v="0"/>
    <n v="0"/>
    <n v="3422.48"/>
    <n v="0"/>
  </r>
  <r>
    <x v="11"/>
    <x v="1"/>
    <x v="0"/>
    <s v="5868200"/>
    <n v="721980"/>
    <s v="Supplies-Other"/>
    <s v="Endocrinology-Tac-Shared Svc"/>
    <x v="0"/>
    <m/>
    <n v="0"/>
    <n v="0"/>
    <n v="960"/>
    <n v="638.16"/>
    <n v="0"/>
    <n v="0"/>
    <n v="0"/>
    <n v="0"/>
    <n v="0"/>
    <n v="12"/>
    <n v="0"/>
    <n v="0"/>
    <n v="1610.1599999999999"/>
    <n v="0"/>
  </r>
  <r>
    <x v="11"/>
    <x v="1"/>
    <x v="0"/>
    <s v="5868200"/>
    <n v="722000"/>
    <s v="Supplies-Freight Expense"/>
    <s v="Endocrinology-Tac-Shared Svc"/>
    <x v="0"/>
    <m/>
    <n v="0"/>
    <n v="0"/>
    <n v="0"/>
    <n v="0"/>
    <n v="28.63"/>
    <n v="36.08"/>
    <n v="0"/>
    <n v="0"/>
    <n v="0"/>
    <n v="0"/>
    <n v="0"/>
    <n v="10.6"/>
    <n v="75.309999999999988"/>
    <n v="-10.6"/>
  </r>
  <r>
    <x v="12"/>
    <x v="1"/>
    <x v="0"/>
    <s v="5868200"/>
    <n v="730010"/>
    <s v="Rental and Leases-Building (DO NOT USE)"/>
    <s v="Endocrinology-Tac-Shared Svc"/>
    <x v="0"/>
    <m/>
    <n v="24758.09"/>
    <n v="23627.03"/>
    <n v="24758.09"/>
    <n v="23627.03"/>
    <n v="24758.09"/>
    <n v="-37731.629999999997"/>
    <n v="14407.41"/>
    <n v="13307.05"/>
    <n v="13307.05"/>
    <n v="13673.83"/>
    <n v="13684"/>
    <n v="0"/>
    <n v="152176.03999999998"/>
    <n v="13684"/>
  </r>
  <r>
    <x v="12"/>
    <x v="1"/>
    <x v="0"/>
    <s v="5868200"/>
    <n v="730010"/>
    <s v="Rental-Common Area Maint (DO NOT USE)"/>
    <s v="Endocrinology-Tac-Shared Svc"/>
    <x v="0"/>
    <n v="2200"/>
    <n v="0"/>
    <n v="0"/>
    <n v="0"/>
    <n v="0"/>
    <n v="0"/>
    <n v="61525.64"/>
    <n v="10079.24"/>
    <n v="10079.24"/>
    <n v="6686.72"/>
    <n v="10079.25"/>
    <n v="10079.25"/>
    <n v="0"/>
    <n v="108529.34000000001"/>
    <n v="10079.25"/>
  </r>
  <r>
    <x v="12"/>
    <x v="1"/>
    <x v="0"/>
    <s v="5868200"/>
    <n v="730020"/>
    <s v="Rental and Leases-Equipment (DO NOT USE)"/>
    <s v="Endocrinology-Tac-Shared Svc"/>
    <x v="0"/>
    <m/>
    <n v="3440.65"/>
    <n v="0"/>
    <n v="688.13"/>
    <n v="0"/>
    <n v="1250"/>
    <n v="0"/>
    <n v="625"/>
    <n v="625"/>
    <n v="1250"/>
    <n v="0"/>
    <n v="1250"/>
    <n v="625"/>
    <n v="9753.7799999999988"/>
    <n v="625"/>
  </r>
  <r>
    <x v="12"/>
    <x v="1"/>
    <x v="0"/>
    <s v="5868200"/>
    <n v="730020"/>
    <s v="Rental and Leases-Copier Usage Fees (DO NOT USE)"/>
    <s v="Endocrinology-Tac-Shared Svc"/>
    <x v="0"/>
    <n v="5100"/>
    <n v="999.98"/>
    <n v="1010.85"/>
    <n v="1005.42"/>
    <n v="1005.42"/>
    <n v="1005.42"/>
    <n v="1005.42"/>
    <n v="4533.0200000000004"/>
    <n v="836.63"/>
    <n v="870.9"/>
    <n v="3010.31"/>
    <n v="836.63"/>
    <n v="950.34"/>
    <n v="17070.339999999997"/>
    <n v="-113.71000000000004"/>
  </r>
  <r>
    <x v="12"/>
    <x v="1"/>
    <x v="0"/>
    <s v="5868200"/>
    <n v="730040"/>
    <s v="LT Lease-Real Estate"/>
    <s v="Endocrinology-Tac-Shared Svc"/>
    <x v="0"/>
    <m/>
    <n v="0"/>
    <n v="0"/>
    <n v="0"/>
    <n v="0"/>
    <n v="0"/>
    <n v="0"/>
    <n v="0"/>
    <n v="0"/>
    <n v="0"/>
    <n v="0"/>
    <n v="0"/>
    <n v="24058.25"/>
    <n v="24058.25"/>
    <n v="-24058.25"/>
  </r>
  <r>
    <x v="15"/>
    <x v="1"/>
    <x v="0"/>
    <s v="5868200"/>
    <n v="731060"/>
    <s v="Telephone"/>
    <s v="Endocrinology-Tac-Shared Svc"/>
    <x v="0"/>
    <m/>
    <n v="0"/>
    <n v="0"/>
    <n v="0"/>
    <n v="175"/>
    <n v="17.68"/>
    <n v="0"/>
    <n v="0"/>
    <n v="0"/>
    <n v="0"/>
    <n v="0"/>
    <n v="0"/>
    <n v="0"/>
    <n v="192.68"/>
    <n v="0"/>
  </r>
  <r>
    <x v="15"/>
    <x v="1"/>
    <x v="0"/>
    <s v="5868200"/>
    <n v="731060"/>
    <s v="Pagers"/>
    <s v="Endocrinology-Tac-Shared Svc"/>
    <x v="0"/>
    <n v="1002"/>
    <n v="32.4"/>
    <n v="32.4"/>
    <n v="32.4"/>
    <n v="51.89"/>
    <n v="-3.17"/>
    <n v="0"/>
    <n v="48.72"/>
    <n v="24.36"/>
    <n v="24.36"/>
    <n v="24.36"/>
    <n v="24.36"/>
    <n v="24.36"/>
    <n v="316.44000000000005"/>
    <n v="0"/>
  </r>
  <r>
    <x v="15"/>
    <x v="1"/>
    <x v="0"/>
    <s v="5868200"/>
    <n v="731070"/>
    <s v="Cable TV"/>
    <s v="Endocrinology-Tac-Shared Svc"/>
    <x v="0"/>
    <m/>
    <n v="74.650000000000006"/>
    <n v="74.650000000000006"/>
    <n v="74.650000000000006"/>
    <n v="74.650000000000006"/>
    <n v="74.650000000000006"/>
    <n v="74.650000000000006"/>
    <n v="81.93"/>
    <n v="81.93"/>
    <n v="81.93"/>
    <n v="81.93"/>
    <n v="81.93"/>
    <n v="81.93"/>
    <n v="939.48000000000025"/>
    <n v="0"/>
  </r>
  <r>
    <x v="16"/>
    <x v="1"/>
    <x v="0"/>
    <s v="5868200"/>
    <n v="732015"/>
    <s v="Repairs-Clinical Equip-T&amp;M-Ext to CHI Programs"/>
    <s v="Endocrinology-Tac-Shared Svc"/>
    <x v="0"/>
    <m/>
    <n v="57.79"/>
    <n v="57.79"/>
    <n v="46.46"/>
    <n v="126.91"/>
    <n v="1065.8599999999999"/>
    <n v="69.12"/>
    <n v="57.79"/>
    <n v="69.12"/>
    <n v="57.79"/>
    <n v="46.46"/>
    <n v="57.83"/>
    <n v="57.83"/>
    <n v="1770.7499999999995"/>
    <n v="0"/>
  </r>
  <r>
    <x v="16"/>
    <x v="1"/>
    <x v="0"/>
    <s v="5868200"/>
    <n v="732030"/>
    <s v="Repairs---Other"/>
    <s v="Endocrinology-Tac-Shared Svc"/>
    <x v="0"/>
    <m/>
    <n v="0"/>
    <n v="258.73"/>
    <n v="28.3"/>
    <n v="249"/>
    <n v="54.16"/>
    <n v="8.52"/>
    <n v="27.5"/>
    <n v="64.02"/>
    <n v="22.5"/>
    <n v="0"/>
    <n v="40.119999999999997"/>
    <n v="26.26"/>
    <n v="779.1099999999999"/>
    <n v="13.859999999999996"/>
  </r>
  <r>
    <x v="13"/>
    <x v="1"/>
    <x v="0"/>
    <s v="5868200"/>
    <n v="735050"/>
    <s v="Amortization-Leasehold Improvements"/>
    <s v="Endocrinology-Tac-Shared Svc"/>
    <x v="0"/>
    <m/>
    <n v="5259.71"/>
    <n v="5259.71"/>
    <n v="5259.71"/>
    <n v="5259.7"/>
    <n v="5259.71"/>
    <n v="5259.7"/>
    <n v="5259.72"/>
    <n v="5259.69"/>
    <n v="5259.74"/>
    <n v="5259.67"/>
    <n v="5259.74"/>
    <n v="5259.66"/>
    <n v="63116.459999999992"/>
    <n v="7.999999999992724E-2"/>
  </r>
  <r>
    <x v="13"/>
    <x v="1"/>
    <x v="0"/>
    <s v="5868200"/>
    <n v="735060"/>
    <s v="Depreciation-Fixed Equipment"/>
    <s v="Endocrinology-Tac-Shared Svc"/>
    <x v="0"/>
    <m/>
    <n v="759.14"/>
    <n v="759.14"/>
    <n v="759.14"/>
    <n v="759.14"/>
    <n v="759.14"/>
    <n v="759.13"/>
    <n v="759.14"/>
    <n v="759.13"/>
    <n v="759.15"/>
    <n v="759.13"/>
    <n v="759.16"/>
    <n v="759.13"/>
    <n v="9109.67"/>
    <n v="2.9999999999972715E-2"/>
  </r>
  <r>
    <x v="13"/>
    <x v="1"/>
    <x v="0"/>
    <s v="5868200"/>
    <n v="735070"/>
    <s v="Depreciation-Movable Equipment"/>
    <s v="Endocrinology-Tac-Shared Svc"/>
    <x v="0"/>
    <m/>
    <n v="980.78"/>
    <n v="980.76"/>
    <n v="980.79"/>
    <n v="980.76"/>
    <n v="980.8"/>
    <n v="980.76"/>
    <n v="980.83"/>
    <n v="980.76"/>
    <n v="980.85"/>
    <n v="980.75"/>
    <n v="980.85"/>
    <n v="980.74"/>
    <n v="11769.43"/>
    <n v="0.11000000000001364"/>
  </r>
  <r>
    <x v="0"/>
    <x v="1"/>
    <x v="0"/>
    <s v="5868200"/>
    <n v="740020"/>
    <s v="Education-Registration Fees"/>
    <s v="Endocrinology-Tac-Shared Svc"/>
    <x v="0"/>
    <m/>
    <n v="0"/>
    <n v="0"/>
    <n v="0"/>
    <n v="0"/>
    <n v="0"/>
    <n v="0"/>
    <n v="0"/>
    <n v="0"/>
    <n v="90"/>
    <n v="45"/>
    <n v="0"/>
    <n v="275"/>
    <n v="410"/>
    <n v="-275"/>
  </r>
  <r>
    <x v="0"/>
    <x v="1"/>
    <x v="0"/>
    <s v="5868200"/>
    <n v="742040"/>
    <s v="Freight-Other"/>
    <s v="Endocrinology-Tac-Shared Svc"/>
    <x v="0"/>
    <m/>
    <n v="0"/>
    <n v="0"/>
    <n v="0"/>
    <n v="0"/>
    <n v="0"/>
    <n v="0"/>
    <n v="0"/>
    <n v="0"/>
    <n v="0"/>
    <n v="0"/>
    <n v="0"/>
    <n v="105.55"/>
    <n v="105.55"/>
    <n v="-105.55"/>
  </r>
  <r>
    <x v="0"/>
    <x v="1"/>
    <x v="0"/>
    <s v="5868200"/>
    <n v="743020"/>
    <s v="Provider-Dues"/>
    <s v="Endocrinology-Tac-Shared Svc"/>
    <x v="0"/>
    <n v="2200"/>
    <n v="0"/>
    <n v="0"/>
    <n v="745"/>
    <n v="-325"/>
    <n v="0"/>
    <n v="0"/>
    <n v="0"/>
    <n v="0"/>
    <n v="0"/>
    <n v="0"/>
    <n v="0"/>
    <n v="0"/>
    <n v="420"/>
    <n v="0"/>
  </r>
  <r>
    <x v="0"/>
    <x v="1"/>
    <x v="0"/>
    <s v="5868200"/>
    <n v="743030"/>
    <s v="Subscriptions--Institutional"/>
    <s v="Endocrinology-Tac-Shared Svc"/>
    <x v="0"/>
    <m/>
    <n v="0"/>
    <n v="0"/>
    <n v="0"/>
    <n v="0"/>
    <n v="0"/>
    <n v="0"/>
    <n v="0"/>
    <n v="0"/>
    <n v="163.86"/>
    <n v="0"/>
    <n v="0"/>
    <n v="0"/>
    <n v="163.86"/>
    <n v="0"/>
  </r>
  <r>
    <x v="0"/>
    <x v="1"/>
    <x v="0"/>
    <s v="5868200"/>
    <n v="749510"/>
    <s v="Miscellaneous Expenses"/>
    <s v="Endocrinology-Tac-Shared Svc"/>
    <x v="0"/>
    <m/>
    <n v="76.86"/>
    <n v="95.78"/>
    <n v="52.89"/>
    <n v="-53.44"/>
    <n v="1132.8499999999999"/>
    <n v="40.950000000000003"/>
    <n v="715.65"/>
    <n v="86.32"/>
    <n v="300.68"/>
    <n v="321.60000000000002"/>
    <n v="447.82"/>
    <n v="402.18"/>
    <n v="3620.14"/>
    <n v="45.639999999999986"/>
  </r>
  <r>
    <x v="0"/>
    <x v="1"/>
    <x v="0"/>
    <s v="5868200"/>
    <n v="749510"/>
    <s v="Licenses"/>
    <s v="Endocrinology-Tac-Shared Svc"/>
    <x v="0"/>
    <n v="1002"/>
    <n v="-513"/>
    <n v="103"/>
    <n v="424"/>
    <n v="0"/>
    <n v="0"/>
    <n v="387"/>
    <n v="58.75"/>
    <n v="0"/>
    <n v="63.5"/>
    <n v="0"/>
    <n v="150"/>
    <n v="0"/>
    <n v="673.25"/>
    <n v="150"/>
  </r>
  <r>
    <x v="0"/>
    <x v="1"/>
    <x v="0"/>
    <s v="5868200"/>
    <n v="749530"/>
    <s v="Travel"/>
    <s v="Endocrinology-Tac-Shared Svc"/>
    <x v="0"/>
    <m/>
    <n v="48"/>
    <n v="24"/>
    <n v="18"/>
    <n v="36"/>
    <n v="0"/>
    <n v="30"/>
    <n v="0"/>
    <n v="0"/>
    <n v="6"/>
    <n v="55.44"/>
    <n v="6"/>
    <n v="36"/>
    <n v="259.44"/>
    <n v="-30"/>
  </r>
  <r>
    <x v="0"/>
    <x v="1"/>
    <x v="0"/>
    <s v="5868200"/>
    <n v="749530"/>
    <s v="Mileage"/>
    <s v="Endocrinology-Tac-Shared Svc"/>
    <x v="0"/>
    <n v="1001"/>
    <n v="116.66"/>
    <n v="63.24"/>
    <n v="59.97"/>
    <n v="94.86"/>
    <n v="11.99"/>
    <n v="79.05"/>
    <n v="0"/>
    <n v="0"/>
    <n v="16.82"/>
    <n v="134.56"/>
    <n v="16.82"/>
    <n v="95.7"/>
    <n v="689.67000000000019"/>
    <n v="-78.88"/>
  </r>
  <r>
    <x v="0"/>
    <x v="1"/>
    <x v="0"/>
    <s v="5868200"/>
    <n v="749550"/>
    <s v="Cash Over/Short"/>
    <s v="Endocrinology-Tac-Shared Svc"/>
    <x v="0"/>
    <m/>
    <n v="-10"/>
    <n v="0"/>
    <n v="-10.25"/>
    <n v="0"/>
    <n v="0"/>
    <n v="0"/>
    <n v="0"/>
    <n v="0"/>
    <n v="25.22"/>
    <n v="19"/>
    <n v="0"/>
    <n v="0"/>
    <n v="23.97"/>
    <n v="0"/>
  </r>
  <r>
    <x v="0"/>
    <x v="1"/>
    <x v="0"/>
    <s v="5868200"/>
    <n v="766010"/>
    <s v="Property Tax"/>
    <s v="Endocrinology-Tac-Shared Svc"/>
    <x v="0"/>
    <m/>
    <n v="142.79"/>
    <n v="142.79"/>
    <n v="142.79"/>
    <n v="142.79"/>
    <n v="142.79"/>
    <n v="142.79"/>
    <n v="142.79"/>
    <n v="142.79"/>
    <n v="142.79"/>
    <n v="-8.19"/>
    <n v="105.05"/>
    <n v="105.05"/>
    <n v="1487.0199999999998"/>
    <n v="0"/>
  </r>
  <r>
    <x v="5"/>
    <x v="1"/>
    <x v="0"/>
    <s v="5869200"/>
    <n v="700014"/>
    <s v="Salaries-Management-Productive"/>
    <s v="Urology-Tacoma-Shared Svc"/>
    <x v="0"/>
    <m/>
    <n v="5548.8"/>
    <n v="7507.2"/>
    <n v="5875.2"/>
    <n v="7316.16"/>
    <n v="7346.24"/>
    <n v="4507.92"/>
    <n v="7190.06"/>
    <n v="6220.02"/>
    <n v="2976.25"/>
    <n v="8193.0499999999993"/>
    <n v="7691.43"/>
    <n v="5016.1499999999996"/>
    <n v="75388.479999999981"/>
    <n v="2675.2800000000007"/>
  </r>
  <r>
    <x v="5"/>
    <x v="1"/>
    <x v="0"/>
    <s v="5869200"/>
    <n v="700038"/>
    <s v="Salaries-Service/Support-Productive"/>
    <s v="Urology-Tacoma-Shared Svc"/>
    <x v="0"/>
    <m/>
    <n v="17127.98"/>
    <n v="20202.14"/>
    <n v="18676.47"/>
    <n v="21300.7"/>
    <n v="21131.53"/>
    <n v="17133.25"/>
    <n v="19113.11"/>
    <n v="14849.17"/>
    <n v="21796.92"/>
    <n v="23313.63"/>
    <n v="22820.080000000002"/>
    <n v="17201.28"/>
    <n v="234666.26000000004"/>
    <n v="5618.8000000000029"/>
  </r>
  <r>
    <x v="5"/>
    <x v="1"/>
    <x v="0"/>
    <s v="5869200"/>
    <n v="700038"/>
    <s v="Salaries-Service/Support-OT"/>
    <s v="Urology-Tacoma-Shared Svc"/>
    <x v="0"/>
    <n v="1000"/>
    <n v="580.72"/>
    <n v="285.37"/>
    <n v="618.64"/>
    <n v="984.24"/>
    <n v="936.01"/>
    <n v="267.95"/>
    <n v="1183.2"/>
    <n v="396.72"/>
    <n v="1547.42"/>
    <n v="510.69"/>
    <n v="403.56"/>
    <n v="-52.98"/>
    <n v="7661.5400000000009"/>
    <n v="456.54"/>
  </r>
  <r>
    <x v="5"/>
    <x v="1"/>
    <x v="0"/>
    <s v="5869200"/>
    <n v="700038"/>
    <s v="Salaries-Service/Support-Other"/>
    <s v="Urology-Tacoma-Shared Svc"/>
    <x v="0"/>
    <n v="2000"/>
    <n v="0"/>
    <n v="0"/>
    <n v="4.63"/>
    <n v="0"/>
    <n v="13.14"/>
    <n v="-2.88"/>
    <n v="0"/>
    <n v="0"/>
    <n v="3.64"/>
    <n v="0"/>
    <n v="0"/>
    <n v="30.04"/>
    <n v="48.57"/>
    <n v="-30.04"/>
  </r>
  <r>
    <x v="5"/>
    <x v="1"/>
    <x v="0"/>
    <s v="5869200"/>
    <n v="700054"/>
    <s v="Salaries-Management-Non-productive"/>
    <s v="Urology-Tacoma-Shared Svc"/>
    <x v="0"/>
    <m/>
    <n v="1632"/>
    <n v="0"/>
    <n v="652.79999999999995"/>
    <n v="326.39999999999998"/>
    <n v="0"/>
    <n v="2504.4"/>
    <n v="501.86"/>
    <n v="468.16"/>
    <n v="4046.37"/>
    <n v="-836.02"/>
    <n v="0"/>
    <n v="1672.05"/>
    <n v="10968.019999999999"/>
    <n v="-1672.05"/>
  </r>
  <r>
    <x v="5"/>
    <x v="1"/>
    <x v="0"/>
    <s v="5869200"/>
    <n v="700054"/>
    <s v="Salaries-Management-NonProd-Other"/>
    <s v="Urology-Tacoma-Shared Svc"/>
    <x v="0"/>
    <n v="2000"/>
    <n v="0"/>
    <n v="0"/>
    <n v="0"/>
    <n v="0"/>
    <n v="0"/>
    <n v="189.71"/>
    <n v="-189.71"/>
    <n v="0"/>
    <n v="0"/>
    <n v="0"/>
    <n v="0"/>
    <n v="0"/>
    <n v="0"/>
    <n v="0"/>
  </r>
  <r>
    <x v="5"/>
    <x v="1"/>
    <x v="0"/>
    <s v="5869200"/>
    <n v="700078"/>
    <s v="Salaries-Service/Support-Non-productive"/>
    <s v="Urology-Tacoma-Shared Svc"/>
    <x v="0"/>
    <m/>
    <n v="4226.55"/>
    <n v="2707.05"/>
    <n v="3242.7"/>
    <n v="3585.52"/>
    <n v="1972.91"/>
    <n v="5980.46"/>
    <n v="2626.08"/>
    <n v="3055.42"/>
    <n v="1516.44"/>
    <n v="675.62"/>
    <n v="2204.1"/>
    <n v="6089.14"/>
    <n v="37881.989999999991"/>
    <n v="-3885.0400000000004"/>
  </r>
  <r>
    <x v="5"/>
    <x v="1"/>
    <x v="0"/>
    <s v="5869200"/>
    <n v="700078"/>
    <s v="Salaries-Service/Support-NonProd-Other"/>
    <s v="Urology-Tacoma-Shared Svc"/>
    <x v="0"/>
    <n v="2000"/>
    <n v="0"/>
    <n v="0"/>
    <n v="0"/>
    <n v="0"/>
    <n v="297.33999999999997"/>
    <n v="0"/>
    <n v="0"/>
    <n v="-297.33999999999997"/>
    <n v="0"/>
    <n v="0"/>
    <n v="0"/>
    <n v="0"/>
    <n v="0"/>
    <n v="0"/>
  </r>
  <r>
    <x v="5"/>
    <x v="1"/>
    <x v="0"/>
    <s v="5869200"/>
    <n v="700084"/>
    <s v="Accrued PTO"/>
    <s v="Urology-Tacoma-Shared Svc"/>
    <x v="0"/>
    <m/>
    <n v="-2179.8200000000002"/>
    <n v="1543.41"/>
    <n v="-912.03"/>
    <n v="1839.19"/>
    <n v="721.92"/>
    <n v="-3603.4"/>
    <n v="254.42"/>
    <n v="439.05"/>
    <n v="-1341.34"/>
    <n v="2646.61"/>
    <n v="1694.27"/>
    <n v="-1961.48"/>
    <n v="-859.19999999999982"/>
    <n v="3655.75"/>
  </r>
  <r>
    <x v="10"/>
    <x v="1"/>
    <x v="0"/>
    <s v="5869200"/>
    <n v="710060"/>
    <s v="Contract Labor-Other"/>
    <s v="Urology-Tacoma-Shared Svc"/>
    <x v="0"/>
    <m/>
    <n v="0"/>
    <n v="0"/>
    <n v="1093.23"/>
    <n v="0"/>
    <n v="0"/>
    <n v="0"/>
    <n v="0"/>
    <n v="0"/>
    <n v="0"/>
    <n v="0"/>
    <n v="0"/>
    <n v="0"/>
    <n v="1093.23"/>
    <n v="0"/>
  </r>
  <r>
    <x v="6"/>
    <x v="1"/>
    <x v="0"/>
    <s v="5869200"/>
    <n v="713010"/>
    <s v="Benefits-FICA/Medicare"/>
    <s v="Urology-Tacoma-Shared Svc"/>
    <x v="0"/>
    <m/>
    <n v="2149.42"/>
    <n v="2261.1"/>
    <n v="2141.41"/>
    <n v="2471.7600000000002"/>
    <n v="2410.91"/>
    <n v="2227.5"/>
    <n v="2262.3000000000002"/>
    <n v="1843.26"/>
    <n v="2334.25"/>
    <n v="2331.69"/>
    <n v="2427.89"/>
    <n v="2194.71"/>
    <n v="27056.199999999997"/>
    <n v="233.17999999999984"/>
  </r>
  <r>
    <x v="6"/>
    <x v="1"/>
    <x v="0"/>
    <s v="5869200"/>
    <n v="713090"/>
    <s v="Benefits-Allocated Amounts"/>
    <s v="Urology-Tacoma-Shared Svc"/>
    <x v="0"/>
    <m/>
    <n v="7142.71"/>
    <n v="6818.12"/>
    <n v="7673.62"/>
    <n v="7927.48"/>
    <n v="7715.43"/>
    <n v="7738.74"/>
    <n v="8411.86"/>
    <n v="7387.97"/>
    <n v="8371.57"/>
    <n v="8388.0499999999993"/>
    <n v="8432.57"/>
    <n v="8719.66"/>
    <n v="94727.78"/>
    <n v="-287.09000000000015"/>
  </r>
  <r>
    <x v="6"/>
    <x v="1"/>
    <x v="0"/>
    <s v="5869200"/>
    <n v="713096"/>
    <s v="Employee Recognition"/>
    <s v="Urology-Tacoma-Shared Svc"/>
    <x v="0"/>
    <n v="1017"/>
    <n v="0"/>
    <n v="0"/>
    <n v="0"/>
    <n v="0"/>
    <n v="0"/>
    <n v="314.58999999999997"/>
    <n v="0"/>
    <n v="0"/>
    <n v="0"/>
    <n v="100.91"/>
    <n v="0"/>
    <n v="0"/>
    <n v="415.5"/>
    <n v="0"/>
  </r>
  <r>
    <x v="7"/>
    <x v="1"/>
    <x v="0"/>
    <s v="5869200"/>
    <n v="718010"/>
    <s v="Media/Print Advertising"/>
    <s v="Urology-Tacoma-Shared Svc"/>
    <x v="0"/>
    <n v="1004"/>
    <n v="300.88"/>
    <n v="0"/>
    <n v="808.04"/>
    <n v="-28.35"/>
    <n v="0"/>
    <n v="0"/>
    <n v="0"/>
    <n v="0"/>
    <n v="0"/>
    <n v="0"/>
    <n v="765.68"/>
    <n v="0"/>
    <n v="1846.25"/>
    <n v="765.68"/>
  </r>
  <r>
    <x v="7"/>
    <x v="1"/>
    <x v="0"/>
    <s v="5869200"/>
    <n v="718050"/>
    <s v="Contract Svcs-Other"/>
    <s v="Urology-Tacoma-Shared Svc"/>
    <x v="0"/>
    <m/>
    <n v="1976.34"/>
    <n v="1938.92"/>
    <n v="-253.63"/>
    <n v="1554.08"/>
    <n v="72.680000000000007"/>
    <n v="808.59"/>
    <n v="2590.02"/>
    <n v="2959.29"/>
    <n v="194.57"/>
    <n v="2113.46"/>
    <n v="109.87"/>
    <n v="2285"/>
    <n v="16349.19"/>
    <n v="-2175.13"/>
  </r>
  <r>
    <x v="7"/>
    <x v="1"/>
    <x v="0"/>
    <s v="5869200"/>
    <n v="718050"/>
    <s v="Document Shredding/Storage"/>
    <s v="Urology-Tacoma-Shared Svc"/>
    <x v="0"/>
    <n v="1012"/>
    <n v="135.97"/>
    <n v="213.4"/>
    <n v="86.02"/>
    <n v="109.84"/>
    <n v="170.8"/>
    <n v="115.26"/>
    <n v="114.1"/>
    <n v="59.14"/>
    <n v="93.83"/>
    <n v="138.12"/>
    <n v="109.64"/>
    <n v="142.44999999999999"/>
    <n v="1488.5700000000002"/>
    <n v="-32.809999999999988"/>
  </r>
  <r>
    <x v="7"/>
    <x v="1"/>
    <x v="0"/>
    <s v="5869200"/>
    <n v="718050"/>
    <s v="Physician Answering"/>
    <s v="Urology-Tacoma-Shared Svc"/>
    <x v="0"/>
    <n v="1015"/>
    <n v="944.8"/>
    <n v="1007.4"/>
    <n v="767.2"/>
    <n v="501.6"/>
    <n v="1281"/>
    <n v="716.6"/>
    <n v="1174.5999999999999"/>
    <n v="984.6"/>
    <n v="727.2"/>
    <n v="879"/>
    <n v="988.6"/>
    <n v="759.6"/>
    <n v="10732.2"/>
    <n v="229"/>
  </r>
  <r>
    <x v="7"/>
    <x v="1"/>
    <x v="0"/>
    <s v="5869200"/>
    <n v="718050"/>
    <s v="Miscellaneous Purchased Svcs"/>
    <s v="Urology-Tacoma-Shared Svc"/>
    <x v="0"/>
    <n v="1020"/>
    <n v="0"/>
    <n v="0"/>
    <n v="131.88"/>
    <n v="98.91"/>
    <n v="0"/>
    <n v="0"/>
    <n v="131.91999999999999"/>
    <n v="65.959999999999994"/>
    <n v="65.959999999999994"/>
    <n v="0"/>
    <n v="32.979999999999997"/>
    <n v="98.94"/>
    <n v="626.54999999999995"/>
    <n v="-65.960000000000008"/>
  </r>
  <r>
    <x v="7"/>
    <x v="1"/>
    <x v="0"/>
    <s v="5869200"/>
    <n v="718050"/>
    <s v="Translation Services"/>
    <s v="Urology-Tacoma-Shared Svc"/>
    <x v="0"/>
    <n v="1025"/>
    <n v="1891.57"/>
    <n v="1623"/>
    <n v="2364.27"/>
    <n v="457.37"/>
    <n v="490.4"/>
    <n v="351.16"/>
    <n v="3678.67"/>
    <n v="3343.91"/>
    <n v="1009"/>
    <n v="887.28"/>
    <n v="2202.1799999999998"/>
    <n v="996.95"/>
    <n v="19295.759999999998"/>
    <n v="1205.2299999999998"/>
  </r>
  <r>
    <x v="7"/>
    <x v="1"/>
    <x v="0"/>
    <s v="5869200"/>
    <n v="718050"/>
    <s v="Contract Management--Linen"/>
    <s v="Urology-Tacoma-Shared Svc"/>
    <x v="0"/>
    <n v="1026"/>
    <n v="0"/>
    <n v="0"/>
    <n v="0"/>
    <n v="0"/>
    <n v="0"/>
    <n v="0"/>
    <n v="0"/>
    <n v="0"/>
    <n v="0"/>
    <n v="0"/>
    <n v="156"/>
    <n v="0"/>
    <n v="156"/>
    <n v="156"/>
  </r>
  <r>
    <x v="7"/>
    <x v="1"/>
    <x v="0"/>
    <s v="5869200"/>
    <n v="718050"/>
    <s v="Purchased Srvcs--Medical Waste"/>
    <s v="Urology-Tacoma-Shared Svc"/>
    <x v="0"/>
    <n v="1027"/>
    <n v="144.38999999999999"/>
    <n v="76.52"/>
    <n v="132.38999999999999"/>
    <n v="0"/>
    <n v="10.96"/>
    <n v="78.06"/>
    <n v="190.44"/>
    <n v="310.88"/>
    <n v="412.97"/>
    <n v="45.78"/>
    <n v="31.62"/>
    <n v="78.06"/>
    <n v="1512.07"/>
    <n v="-46.44"/>
  </r>
  <r>
    <x v="7"/>
    <x v="1"/>
    <x v="0"/>
    <s v="5869200"/>
    <n v="718070"/>
    <s v="Contract Srvcs-CHI Clinical Engineering"/>
    <s v="Urology-Tacoma-Shared Svc"/>
    <x v="0"/>
    <m/>
    <n v="1394.11"/>
    <n v="1523.01"/>
    <n v="2240.4499999999998"/>
    <n v="2380.2600000000002"/>
    <n v="1607.25"/>
    <n v="3070.93"/>
    <n v="1772.4"/>
    <n v="2942.43"/>
    <n v="1343.32"/>
    <n v="1343.32"/>
    <n v="2483.9"/>
    <n v="1275.48"/>
    <n v="23376.86"/>
    <n v="1208.42"/>
  </r>
  <r>
    <x v="11"/>
    <x v="1"/>
    <x v="0"/>
    <s v="5869200"/>
    <n v="721010"/>
    <s v="Supplies-Medical - Billable"/>
    <s v="Urology-Tacoma-Shared Svc"/>
    <x v="0"/>
    <m/>
    <n v="662.4"/>
    <n v="2492.37"/>
    <n v="0"/>
    <n v="55.22"/>
    <n v="725.35"/>
    <n v="4796.47"/>
    <n v="3172.35"/>
    <n v="3338.64"/>
    <n v="1987.2"/>
    <n v="152.27000000000001"/>
    <n v="714.1"/>
    <n v="0"/>
    <n v="18096.37"/>
    <n v="714.1"/>
  </r>
  <r>
    <x v="11"/>
    <x v="1"/>
    <x v="0"/>
    <s v="5869200"/>
    <n v="721020"/>
    <s v="Urological Supplies"/>
    <s v="Urology-Tacoma-Shared Svc"/>
    <x v="0"/>
    <n v="1006"/>
    <n v="193.11"/>
    <n v="1144"/>
    <n v="192.84"/>
    <n v="165.39"/>
    <n v="235.41"/>
    <n v="0"/>
    <n v="0"/>
    <n v="316.63"/>
    <n v="0"/>
    <n v="0"/>
    <n v="3004.24"/>
    <n v="131.47999999999999"/>
    <n v="5383.0999999999995"/>
    <n v="2872.7599999999998"/>
  </r>
  <r>
    <x v="11"/>
    <x v="1"/>
    <x v="0"/>
    <s v="5869200"/>
    <n v="721250"/>
    <s v="Supplies-Pharmacy Drugs - Billable"/>
    <s v="Urology-Tacoma-Shared Svc"/>
    <x v="0"/>
    <m/>
    <n v="1920"/>
    <n v="2455.6999999999998"/>
    <n v="1152"/>
    <n v="0"/>
    <n v="0"/>
    <n v="0"/>
    <n v="0"/>
    <n v="0"/>
    <n v="0"/>
    <n v="0"/>
    <n v="-34752.15"/>
    <n v="35.9"/>
    <n v="-29188.55"/>
    <n v="-34788.050000000003"/>
  </r>
  <r>
    <x v="11"/>
    <x v="1"/>
    <x v="0"/>
    <s v="5869200"/>
    <n v="721410"/>
    <s v="Supplies-Medical - Nonbillable"/>
    <s v="Urology-Tacoma-Shared Svc"/>
    <x v="0"/>
    <m/>
    <n v="6861.79"/>
    <n v="7151.12"/>
    <n v="5807.47"/>
    <n v="52.78"/>
    <n v="0"/>
    <n v="8.52"/>
    <n v="13.29"/>
    <n v="0"/>
    <n v="1267.1300000000001"/>
    <n v="1960.26"/>
    <n v="196.74"/>
    <n v="0"/>
    <n v="23319.100000000002"/>
    <n v="196.74"/>
  </r>
  <r>
    <x v="11"/>
    <x v="1"/>
    <x v="0"/>
    <s v="5869200"/>
    <n v="721420"/>
    <s v="Sterilization Process Products"/>
    <s v="Urology-Tacoma-Shared Svc"/>
    <x v="0"/>
    <n v="1009"/>
    <n v="109"/>
    <n v="0"/>
    <n v="0"/>
    <n v="0"/>
    <n v="0"/>
    <n v="0"/>
    <n v="0"/>
    <n v="0"/>
    <n v="475.58"/>
    <n v="387.28"/>
    <n v="109.1"/>
    <n v="4.3600000000000003"/>
    <n v="1085.3199999999997"/>
    <n v="104.74"/>
  </r>
  <r>
    <x v="11"/>
    <x v="1"/>
    <x v="0"/>
    <s v="5869200"/>
    <n v="721640"/>
    <s v="Supplies-IV Solutions/Supplies - Nonbillable"/>
    <s v="Urology-Tacoma-Shared Svc"/>
    <x v="0"/>
    <m/>
    <n v="0"/>
    <n v="0"/>
    <n v="0"/>
    <n v="0"/>
    <n v="0"/>
    <n v="0"/>
    <n v="0"/>
    <n v="0"/>
    <n v="0"/>
    <n v="0"/>
    <n v="790"/>
    <n v="-52"/>
    <n v="738"/>
    <n v="842"/>
  </r>
  <r>
    <x v="11"/>
    <x v="1"/>
    <x v="0"/>
    <s v="5869200"/>
    <n v="721810"/>
    <s v="Supplies-Dietary/Cafeteria"/>
    <s v="Urology-Tacoma-Shared Svc"/>
    <x v="0"/>
    <m/>
    <n v="131.9"/>
    <n v="212.26"/>
    <n v="15.46"/>
    <n v="0"/>
    <n v="64.349999999999994"/>
    <n v="16"/>
    <n v="0"/>
    <n v="47.3"/>
    <n v="105.01"/>
    <n v="53.11"/>
    <n v="8"/>
    <n v="16"/>
    <n v="669.39"/>
    <n v="-8"/>
  </r>
  <r>
    <x v="11"/>
    <x v="1"/>
    <x v="0"/>
    <s v="5869200"/>
    <n v="721830"/>
    <s v="Supplies-Office"/>
    <s v="Urology-Tacoma-Shared Svc"/>
    <x v="0"/>
    <m/>
    <n v="372.34"/>
    <n v="306.8"/>
    <n v="522.04999999999995"/>
    <n v="807.9"/>
    <n v="492.52"/>
    <n v="1046"/>
    <n v="388.89"/>
    <n v="245.86"/>
    <n v="797.14"/>
    <n v="998.78"/>
    <n v="256.08"/>
    <n v="333.1"/>
    <n v="6567.46"/>
    <n v="-77.020000000000039"/>
  </r>
  <r>
    <x v="11"/>
    <x v="1"/>
    <x v="0"/>
    <s v="5869200"/>
    <n v="721835"/>
    <s v="Supplies-Forms"/>
    <s v="Urology-Tacoma-Shared Svc"/>
    <x v="0"/>
    <m/>
    <n v="585.02"/>
    <n v="0"/>
    <n v="0"/>
    <n v="-36.08"/>
    <n v="276"/>
    <n v="0"/>
    <n v="1247.07"/>
    <n v="0"/>
    <n v="0"/>
    <n v="391"/>
    <n v="0"/>
    <n v="0"/>
    <n v="2463.0099999999998"/>
    <n v="0"/>
  </r>
  <r>
    <x v="11"/>
    <x v="1"/>
    <x v="0"/>
    <s v="5869200"/>
    <n v="721870"/>
    <s v="Supplies-Environmental Services"/>
    <s v="Urology-Tacoma-Shared Svc"/>
    <x v="0"/>
    <m/>
    <n v="0"/>
    <n v="0"/>
    <n v="0"/>
    <n v="0"/>
    <n v="0"/>
    <n v="0"/>
    <n v="0"/>
    <n v="27.69"/>
    <n v="0"/>
    <n v="0"/>
    <n v="0"/>
    <n v="0"/>
    <n v="27.69"/>
    <n v="0"/>
  </r>
  <r>
    <x v="11"/>
    <x v="1"/>
    <x v="0"/>
    <s v="5869200"/>
    <n v="721910"/>
    <s v="Supplies-Small Equipment"/>
    <s v="Urology-Tacoma-Shared Svc"/>
    <x v="0"/>
    <m/>
    <n v="18.28"/>
    <n v="987.07"/>
    <n v="279.97000000000003"/>
    <n v="-0.66"/>
    <n v="0"/>
    <n v="562"/>
    <n v="48.6"/>
    <n v="0"/>
    <n v="0"/>
    <n v="335"/>
    <n v="34.17"/>
    <n v="590"/>
    <n v="2854.4300000000003"/>
    <n v="-555.83000000000004"/>
  </r>
  <r>
    <x v="11"/>
    <x v="1"/>
    <x v="0"/>
    <s v="5869200"/>
    <n v="721980"/>
    <s v="Supplies-Other"/>
    <s v="Urology-Tacoma-Shared Svc"/>
    <x v="0"/>
    <m/>
    <n v="0"/>
    <n v="0"/>
    <n v="0"/>
    <n v="91.58"/>
    <n v="0"/>
    <n v="0"/>
    <n v="0"/>
    <n v="0"/>
    <n v="0"/>
    <n v="0"/>
    <n v="0"/>
    <n v="0"/>
    <n v="91.58"/>
    <n v="0"/>
  </r>
  <r>
    <x v="11"/>
    <x v="1"/>
    <x v="0"/>
    <s v="5869200"/>
    <n v="722000"/>
    <s v="Supplies-Freight Expense"/>
    <s v="Urology-Tacoma-Shared Svc"/>
    <x v="0"/>
    <m/>
    <n v="0"/>
    <n v="8.44"/>
    <n v="155.30000000000001"/>
    <n v="46.58"/>
    <n v="7.99"/>
    <n v="51.73"/>
    <n v="91.76"/>
    <n v="0"/>
    <n v="0"/>
    <n v="12.25"/>
    <n v="39.54"/>
    <n v="0"/>
    <n v="413.59000000000003"/>
    <n v="39.54"/>
  </r>
  <r>
    <x v="12"/>
    <x v="1"/>
    <x v="0"/>
    <s v="5869200"/>
    <n v="730010"/>
    <s v="Rental and Leases-Building (DO NOT USE)"/>
    <s v="Urology-Tacoma-Shared Svc"/>
    <x v="0"/>
    <m/>
    <n v="17983.28"/>
    <n v="17983.28"/>
    <n v="17983.28"/>
    <n v="17983.28"/>
    <n v="17983.28"/>
    <n v="-31368.22"/>
    <n v="9758.0300000000007"/>
    <n v="9758.0300000000007"/>
    <n v="9758.0300000000007"/>
    <n v="9758.0300000000007"/>
    <n v="9766.16"/>
    <n v="0"/>
    <n v="107346.45999999999"/>
    <n v="9766.16"/>
  </r>
  <r>
    <x v="12"/>
    <x v="1"/>
    <x v="0"/>
    <s v="5869200"/>
    <n v="730010"/>
    <s v="Rental-Common Area Maint (DO NOT USE)"/>
    <s v="Urology-Tacoma-Shared Svc"/>
    <x v="0"/>
    <n v="2200"/>
    <n v="0"/>
    <n v="0"/>
    <n v="0"/>
    <n v="0"/>
    <n v="0"/>
    <n v="49183.6"/>
    <n v="8057.35"/>
    <n v="8057.35"/>
    <n v="5345.37"/>
    <n v="8057.35"/>
    <n v="8057.35"/>
    <n v="0"/>
    <n v="86758.37000000001"/>
    <n v="8057.35"/>
  </r>
  <r>
    <x v="12"/>
    <x v="1"/>
    <x v="0"/>
    <s v="5869200"/>
    <n v="730020"/>
    <s v="Rental and Leases-Equipment (DO NOT USE)"/>
    <s v="Urology-Tacoma-Shared Svc"/>
    <x v="0"/>
    <m/>
    <n v="118.29"/>
    <n v="228.06"/>
    <n v="8.52"/>
    <n v="0"/>
    <n v="0"/>
    <n v="0"/>
    <n v="0"/>
    <n v="0"/>
    <n v="0"/>
    <n v="0"/>
    <n v="0"/>
    <n v="0"/>
    <n v="354.87"/>
    <n v="0"/>
  </r>
  <r>
    <x v="12"/>
    <x v="1"/>
    <x v="0"/>
    <s v="5869200"/>
    <n v="730020"/>
    <s v="Rental and Leases-Copier Usage Fees (DO NOT USE)"/>
    <s v="Urology-Tacoma-Shared Svc"/>
    <x v="0"/>
    <n v="5100"/>
    <n v="475.99"/>
    <n v="490.36"/>
    <n v="483.17"/>
    <n v="483.17"/>
    <n v="483.17"/>
    <n v="483.17"/>
    <n v="-741.09"/>
    <n v="343.37"/>
    <n v="376.17"/>
    <n v="650.66999999999996"/>
    <n v="343.37"/>
    <n v="360.23"/>
    <n v="4231.75"/>
    <n v="-16.860000000000014"/>
  </r>
  <r>
    <x v="12"/>
    <x v="1"/>
    <x v="0"/>
    <s v="5869200"/>
    <n v="730040"/>
    <s v="LT Lease-Real Estate"/>
    <s v="Urology-Tacoma-Shared Svc"/>
    <x v="0"/>
    <m/>
    <n v="0"/>
    <n v="0"/>
    <n v="0"/>
    <n v="0"/>
    <n v="0"/>
    <n v="0"/>
    <n v="0"/>
    <n v="0"/>
    <n v="0"/>
    <n v="0"/>
    <n v="0"/>
    <n v="18059.330000000002"/>
    <n v="18059.330000000002"/>
    <n v="-18059.330000000002"/>
  </r>
  <r>
    <x v="15"/>
    <x v="1"/>
    <x v="0"/>
    <s v="5869200"/>
    <n v="731030"/>
    <s v="Water"/>
    <s v="Urology-Tacoma-Shared Svc"/>
    <x v="0"/>
    <m/>
    <n v="0"/>
    <n v="0"/>
    <n v="98.91"/>
    <n v="0"/>
    <n v="0"/>
    <n v="0"/>
    <n v="0"/>
    <n v="0"/>
    <n v="0"/>
    <n v="0"/>
    <n v="0"/>
    <n v="0"/>
    <n v="98.91"/>
    <n v="0"/>
  </r>
  <r>
    <x v="15"/>
    <x v="1"/>
    <x v="0"/>
    <s v="5869200"/>
    <n v="731050"/>
    <s v="Refuse Disposal"/>
    <s v="Urology-Tacoma-Shared Svc"/>
    <x v="0"/>
    <m/>
    <n v="0"/>
    <n v="0"/>
    <n v="0"/>
    <n v="0"/>
    <n v="0"/>
    <n v="0"/>
    <n v="0"/>
    <n v="0"/>
    <n v="0"/>
    <n v="0"/>
    <n v="0"/>
    <n v="109.87"/>
    <n v="109.87"/>
    <n v="-109.87"/>
  </r>
  <r>
    <x v="15"/>
    <x v="1"/>
    <x v="0"/>
    <s v="5869200"/>
    <n v="731060"/>
    <s v="Telephone"/>
    <s v="Urology-Tacoma-Shared Svc"/>
    <x v="0"/>
    <m/>
    <n v="0"/>
    <n v="0"/>
    <n v="0"/>
    <n v="0"/>
    <n v="175"/>
    <n v="0"/>
    <n v="17.68"/>
    <n v="0"/>
    <n v="0"/>
    <n v="0"/>
    <n v="0"/>
    <n v="0"/>
    <n v="192.68"/>
    <n v="0"/>
  </r>
  <r>
    <x v="15"/>
    <x v="1"/>
    <x v="0"/>
    <s v="5869200"/>
    <n v="731070"/>
    <s v="Cable TV"/>
    <s v="Urology-Tacoma-Shared Svc"/>
    <x v="0"/>
    <m/>
    <n v="86.05"/>
    <n v="50.73"/>
    <n v="68.39"/>
    <n v="68.39"/>
    <n v="68.39"/>
    <n v="68.39"/>
    <n v="75.09"/>
    <n v="75.09"/>
    <n v="75.09"/>
    <n v="75.09"/>
    <n v="75.09"/>
    <n v="75.09"/>
    <n v="860.88000000000011"/>
    <n v="0"/>
  </r>
  <r>
    <x v="16"/>
    <x v="1"/>
    <x v="0"/>
    <s v="5869200"/>
    <n v="732030"/>
    <s v="Repairs---Other"/>
    <s v="Urology-Tacoma-Shared Svc"/>
    <x v="0"/>
    <m/>
    <n v="0"/>
    <n v="0"/>
    <n v="0"/>
    <n v="0"/>
    <n v="0"/>
    <n v="0"/>
    <n v="0"/>
    <n v="46.7"/>
    <n v="0"/>
    <n v="165.3"/>
    <n v="0"/>
    <n v="0"/>
    <n v="212"/>
    <n v="0"/>
  </r>
  <r>
    <x v="16"/>
    <x v="1"/>
    <x v="0"/>
    <s v="5869200"/>
    <n v="732030"/>
    <s v="Repairs&amp;Maintenance-Bldg Routine"/>
    <s v="Urology-Tacoma-Shared Svc"/>
    <x v="0"/>
    <n v="2300"/>
    <n v="0"/>
    <n v="0"/>
    <n v="0"/>
    <n v="0"/>
    <n v="0"/>
    <n v="0"/>
    <n v="-452.81"/>
    <n v="0"/>
    <n v="90.83"/>
    <n v="0"/>
    <n v="0"/>
    <n v="0"/>
    <n v="-361.98"/>
    <n v="0"/>
  </r>
  <r>
    <x v="13"/>
    <x v="1"/>
    <x v="0"/>
    <s v="5869200"/>
    <n v="735050"/>
    <s v="Amortization-Leasehold Improvements"/>
    <s v="Urology-Tacoma-Shared Svc"/>
    <x v="0"/>
    <m/>
    <n v="3069.16"/>
    <n v="3069.16"/>
    <n v="3069.16"/>
    <n v="3069.15"/>
    <n v="3069.17"/>
    <n v="3069.14"/>
    <n v="3069.17"/>
    <n v="3069.12"/>
    <n v="3069.18"/>
    <n v="3069.12"/>
    <n v="3069.18"/>
    <n v="3069.11"/>
    <n v="36829.82"/>
    <n v="6.9999999999708962E-2"/>
  </r>
  <r>
    <x v="13"/>
    <x v="1"/>
    <x v="0"/>
    <s v="5869200"/>
    <n v="735060"/>
    <s v="Depreciation-Fixed Equipment"/>
    <s v="Urology-Tacoma-Shared Svc"/>
    <x v="0"/>
    <m/>
    <n v="0"/>
    <n v="0"/>
    <n v="0"/>
    <n v="122.09"/>
    <n v="122.09"/>
    <n v="519.07000000000005"/>
    <n v="565.71"/>
    <n v="959.4"/>
    <n v="1021.16"/>
    <n v="1021.14"/>
    <n v="1021.16"/>
    <n v="1108.94"/>
    <n v="6460.76"/>
    <n v="-87.780000000000086"/>
  </r>
  <r>
    <x v="13"/>
    <x v="1"/>
    <x v="0"/>
    <s v="5869200"/>
    <n v="735070"/>
    <s v="Depreciation-Movable Equipment"/>
    <s v="Urology-Tacoma-Shared Svc"/>
    <x v="0"/>
    <m/>
    <n v="4422.55"/>
    <n v="4422.55"/>
    <n v="4422.57"/>
    <n v="4516.0200000000004"/>
    <n v="4516.08"/>
    <n v="6788.3"/>
    <n v="9571.73"/>
    <n v="13065.13"/>
    <n v="13089.8"/>
    <n v="13472.5"/>
    <n v="13472.75"/>
    <n v="14034.72"/>
    <n v="105794.7"/>
    <n v="-561.96999999999935"/>
  </r>
  <r>
    <x v="0"/>
    <x v="1"/>
    <x v="0"/>
    <s v="5869200"/>
    <n v="740020"/>
    <s v="Education-Registration Fees"/>
    <s v="Urology-Tacoma-Shared Svc"/>
    <x v="0"/>
    <m/>
    <n v="0"/>
    <n v="0"/>
    <n v="0"/>
    <n v="0"/>
    <n v="0"/>
    <n v="0"/>
    <n v="0"/>
    <n v="0"/>
    <n v="90"/>
    <n v="0"/>
    <n v="0"/>
    <n v="0"/>
    <n v="90"/>
    <n v="0"/>
  </r>
  <r>
    <x v="0"/>
    <x v="1"/>
    <x v="0"/>
    <s v="5869200"/>
    <n v="742040"/>
    <s v="Freight-Other"/>
    <s v="Urology-Tacoma-Shared Svc"/>
    <x v="0"/>
    <m/>
    <n v="0"/>
    <n v="0"/>
    <n v="0"/>
    <n v="28.35"/>
    <n v="0"/>
    <n v="0"/>
    <n v="0"/>
    <n v="0"/>
    <n v="0"/>
    <n v="0"/>
    <n v="0"/>
    <n v="0"/>
    <n v="28.35"/>
    <n v="0"/>
  </r>
  <r>
    <x v="0"/>
    <x v="1"/>
    <x v="0"/>
    <s v="5869200"/>
    <n v="743030"/>
    <s v="Subscriptions--Institutional"/>
    <s v="Urology-Tacoma-Shared Svc"/>
    <x v="0"/>
    <m/>
    <n v="0"/>
    <n v="0"/>
    <n v="0"/>
    <n v="0"/>
    <n v="0"/>
    <n v="0"/>
    <n v="191.91"/>
    <n v="0"/>
    <n v="0"/>
    <n v="0"/>
    <n v="0"/>
    <n v="0"/>
    <n v="191.91"/>
    <n v="0"/>
  </r>
  <r>
    <x v="0"/>
    <x v="1"/>
    <x v="0"/>
    <s v="5869200"/>
    <n v="749510"/>
    <s v="Miscellaneous Expenses"/>
    <s v="Urology-Tacoma-Shared Svc"/>
    <x v="0"/>
    <m/>
    <n v="0"/>
    <n v="0"/>
    <n v="210"/>
    <n v="715.65"/>
    <n v="1128.1500000000001"/>
    <n v="0"/>
    <n v="1429.1"/>
    <n v="0"/>
    <n v="0"/>
    <n v="0"/>
    <n v="0"/>
    <n v="0"/>
    <n v="3482.9"/>
    <n v="0"/>
  </r>
  <r>
    <x v="0"/>
    <x v="1"/>
    <x v="0"/>
    <s v="5869200"/>
    <n v="749510"/>
    <s v="Licenses"/>
    <s v="Urology-Tacoma-Shared Svc"/>
    <x v="0"/>
    <n v="1002"/>
    <n v="0"/>
    <n v="0"/>
    <n v="330"/>
    <n v="0"/>
    <n v="0"/>
    <n v="260"/>
    <n v="58.75"/>
    <n v="0"/>
    <n v="0"/>
    <n v="0"/>
    <n v="200"/>
    <n v="0"/>
    <n v="848.75"/>
    <n v="200"/>
  </r>
  <r>
    <x v="0"/>
    <x v="1"/>
    <x v="0"/>
    <s v="5869200"/>
    <n v="749510"/>
    <s v="RICE Rewards"/>
    <s v="Urology-Tacoma-Shared Svc"/>
    <x v="0"/>
    <n v="5100"/>
    <n v="0"/>
    <n v="0"/>
    <n v="0"/>
    <n v="0"/>
    <n v="0"/>
    <n v="0"/>
    <n v="0"/>
    <n v="502.04"/>
    <n v="0"/>
    <n v="0"/>
    <n v="0"/>
    <n v="133.72"/>
    <n v="635.76"/>
    <n v="-133.72"/>
  </r>
  <r>
    <x v="0"/>
    <x v="1"/>
    <x v="0"/>
    <s v="5869200"/>
    <n v="749510"/>
    <s v="Other Clinic IT Costs"/>
    <s v="Urology-Tacoma-Shared Svc"/>
    <x v="0"/>
    <n v="5105"/>
    <n v="0"/>
    <n v="0"/>
    <n v="0"/>
    <n v="0"/>
    <n v="0"/>
    <n v="0"/>
    <n v="0"/>
    <n v="0"/>
    <n v="0"/>
    <n v="0"/>
    <n v="0"/>
    <n v="3253"/>
    <n v="3253"/>
    <n v="-3253"/>
  </r>
  <r>
    <x v="0"/>
    <x v="1"/>
    <x v="0"/>
    <s v="5869200"/>
    <n v="749530"/>
    <s v="Travel"/>
    <s v="Urology-Tacoma-Shared Svc"/>
    <x v="0"/>
    <m/>
    <n v="0"/>
    <n v="0"/>
    <n v="76.03"/>
    <n v="0"/>
    <n v="0"/>
    <n v="0"/>
    <n v="12"/>
    <n v="0"/>
    <n v="0"/>
    <n v="0"/>
    <n v="6"/>
    <n v="0"/>
    <n v="94.03"/>
    <n v="6"/>
  </r>
  <r>
    <x v="0"/>
    <x v="1"/>
    <x v="0"/>
    <s v="5869200"/>
    <n v="749530"/>
    <s v="Mileage"/>
    <s v="Urology-Tacoma-Shared Svc"/>
    <x v="0"/>
    <n v="1001"/>
    <n v="0"/>
    <n v="54.01"/>
    <n v="73.650000000000006"/>
    <n v="39.28"/>
    <n v="0"/>
    <n v="0"/>
    <n v="164.23"/>
    <n v="46.98"/>
    <n v="0"/>
    <n v="73.08"/>
    <n v="73.66"/>
    <n v="78.3"/>
    <n v="603.18999999999994"/>
    <n v="-4.6400000000000006"/>
  </r>
  <r>
    <x v="0"/>
    <x v="1"/>
    <x v="0"/>
    <s v="5869200"/>
    <n v="749535"/>
    <s v="Meetings"/>
    <s v="Urology-Tacoma-Shared Svc"/>
    <x v="0"/>
    <m/>
    <n v="0"/>
    <n v="0"/>
    <n v="0"/>
    <n v="0"/>
    <n v="0"/>
    <n v="0"/>
    <n v="0"/>
    <n v="83.51"/>
    <n v="0"/>
    <n v="0"/>
    <n v="0"/>
    <n v="0"/>
    <n v="83.51"/>
    <n v="0"/>
  </r>
  <r>
    <x v="0"/>
    <x v="1"/>
    <x v="0"/>
    <s v="5869200"/>
    <n v="749550"/>
    <s v="Cash Over/Short"/>
    <s v="Urology-Tacoma-Shared Svc"/>
    <x v="0"/>
    <m/>
    <n v="0"/>
    <n v="0"/>
    <n v="5"/>
    <n v="0"/>
    <n v="0"/>
    <n v="0"/>
    <n v="0"/>
    <n v="0"/>
    <n v="-5"/>
    <n v="0"/>
    <n v="20"/>
    <n v="0"/>
    <n v="20"/>
    <n v="20"/>
  </r>
  <r>
    <x v="0"/>
    <x v="1"/>
    <x v="0"/>
    <s v="5869200"/>
    <n v="766010"/>
    <s v="Property Tax"/>
    <s v="Urology-Tacoma-Shared Svc"/>
    <x v="0"/>
    <m/>
    <n v="263.63"/>
    <n v="263.63"/>
    <n v="263.63"/>
    <n v="263.63"/>
    <n v="263.63"/>
    <n v="263.63"/>
    <n v="263.63"/>
    <n v="263.63"/>
    <n v="263.63"/>
    <n v="335.42"/>
    <n v="281.58999999999997"/>
    <n v="281.58999999999997"/>
    <n v="3271.2700000000009"/>
    <n v="0"/>
  </r>
  <r>
    <x v="5"/>
    <x v="1"/>
    <x v="0"/>
    <s v="5870200"/>
    <n v="700014"/>
    <s v="Salaries-Management-Productive"/>
    <s v="Spec Ctr-Canyon Rd-Shared Svc"/>
    <x v="0"/>
    <m/>
    <n v="1723.04"/>
    <n v="1801.36"/>
    <n v="1174.8"/>
    <n v="1833.04"/>
    <n v="960.96"/>
    <n v="1641.64"/>
    <n v="1884.72"/>
    <n v="1603.97"/>
    <n v="1684.17"/>
    <n v="1764.38"/>
    <n v="1443.56"/>
    <n v="1603.97"/>
    <n v="19119.61"/>
    <n v="-160.41000000000008"/>
  </r>
  <r>
    <x v="5"/>
    <x v="1"/>
    <x v="0"/>
    <s v="5870200"/>
    <n v="700018"/>
    <s v="Salaries-Supervisory-Productive"/>
    <s v="Spec Ctr-Canyon Rd-Shared Svc"/>
    <x v="0"/>
    <m/>
    <n v="1025.02"/>
    <n v="1071.6199999999999"/>
    <n v="931.84"/>
    <n v="862.56"/>
    <n v="1054.24"/>
    <n v="263.56"/>
    <n v="1127.8"/>
    <n v="959.8"/>
    <n v="767.84"/>
    <n v="1055.78"/>
    <n v="1103.77"/>
    <n v="839.83"/>
    <n v="11063.660000000002"/>
    <n v="263.93999999999994"/>
  </r>
  <r>
    <x v="5"/>
    <x v="1"/>
    <x v="0"/>
    <s v="5870200"/>
    <n v="700038"/>
    <s v="Salaries-Service/Support-Productive"/>
    <s v="Spec Ctr-Canyon Rd-Shared Svc"/>
    <x v="0"/>
    <m/>
    <n v="6846.53"/>
    <n v="7143.69"/>
    <n v="6610.64"/>
    <n v="12155.93"/>
    <n v="11110.64"/>
    <n v="8747.7099999999991"/>
    <n v="6702.6"/>
    <n v="4816.18"/>
    <n v="6301.45"/>
    <n v="7142.14"/>
    <n v="8099.94"/>
    <n v="6442.17"/>
    <n v="92119.62"/>
    <n v="1657.7699999999995"/>
  </r>
  <r>
    <x v="5"/>
    <x v="1"/>
    <x v="0"/>
    <s v="5870200"/>
    <n v="700038"/>
    <s v="Salaries-Service/Support-OT"/>
    <s v="Spec Ctr-Canyon Rd-Shared Svc"/>
    <x v="0"/>
    <n v="1000"/>
    <n v="191.87"/>
    <n v="252.57"/>
    <n v="148.72"/>
    <n v="269.18"/>
    <n v="126.59"/>
    <n v="-38.5"/>
    <n v="85.88"/>
    <n v="-3.02"/>
    <n v="40.86"/>
    <n v="26.94"/>
    <n v="155.12"/>
    <n v="-21.71"/>
    <n v="1234.5"/>
    <n v="176.83"/>
  </r>
  <r>
    <x v="5"/>
    <x v="1"/>
    <x v="0"/>
    <s v="5870200"/>
    <n v="700038"/>
    <s v="Salaries-Service/Support-Other"/>
    <s v="Spec Ctr-Canyon Rd-Shared Svc"/>
    <x v="0"/>
    <n v="2000"/>
    <n v="14.93"/>
    <n v="27.88"/>
    <n v="92.05"/>
    <n v="198.82"/>
    <n v="44.53"/>
    <n v="52.14"/>
    <n v="25.78"/>
    <n v="28.09"/>
    <n v="29.68"/>
    <n v="0.31"/>
    <n v="23.16"/>
    <n v="120.36"/>
    <n v="657.7299999999999"/>
    <n v="-97.2"/>
  </r>
  <r>
    <x v="5"/>
    <x v="1"/>
    <x v="0"/>
    <s v="5870200"/>
    <n v="700054"/>
    <s v="Salaries-Management-NonProd-Other"/>
    <s v="Spec Ctr-Canyon Rd-Shared Svc"/>
    <x v="0"/>
    <n v="2000"/>
    <n v="0"/>
    <n v="0"/>
    <n v="0"/>
    <n v="0"/>
    <n v="0"/>
    <n v="1409.95"/>
    <n v="-1409.95"/>
    <n v="0"/>
    <n v="0"/>
    <n v="0"/>
    <n v="0"/>
    <n v="0"/>
    <n v="0"/>
    <n v="0"/>
  </r>
  <r>
    <x v="5"/>
    <x v="1"/>
    <x v="0"/>
    <s v="5870200"/>
    <n v="700058"/>
    <s v="Salaries-Supervisory-Non-productive"/>
    <s v="Spec Ctr-Canyon Rd-Shared Svc"/>
    <x v="0"/>
    <m/>
    <n v="0"/>
    <n v="0"/>
    <n v="0"/>
    <n v="232.96"/>
    <n v="0"/>
    <n v="634.94000000000005"/>
    <n v="-35.94"/>
    <n v="0"/>
    <n v="239.95"/>
    <n v="0"/>
    <n v="0"/>
    <n v="239.94"/>
    <n v="1311.8500000000001"/>
    <n v="-239.94"/>
  </r>
  <r>
    <x v="5"/>
    <x v="1"/>
    <x v="0"/>
    <s v="5870200"/>
    <n v="700078"/>
    <s v="Salaries-Service/Support-Non-productive"/>
    <s v="Spec Ctr-Canyon Rd-Shared Svc"/>
    <x v="0"/>
    <m/>
    <n v="0"/>
    <n v="131.97"/>
    <n v="1306.3499999999999"/>
    <n v="665.37"/>
    <n v="913.55"/>
    <n v="1996.34"/>
    <n v="804.14"/>
    <n v="708.2"/>
    <n v="679.43"/>
    <n v="640.66"/>
    <n v="459.09"/>
    <n v="930.8"/>
    <n v="9235.9"/>
    <n v="-471.71"/>
  </r>
  <r>
    <x v="5"/>
    <x v="1"/>
    <x v="0"/>
    <s v="5870200"/>
    <n v="700078"/>
    <s v="Salaries-Service/Support-NonProd-Other"/>
    <s v="Spec Ctr-Canyon Rd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70200"/>
    <n v="700084"/>
    <s v="Accrued PTO"/>
    <s v="Spec Ctr-Canyon Rd-Shared Svc"/>
    <x v="0"/>
    <m/>
    <n v="-508.91"/>
    <n v="0"/>
    <n v="227.43"/>
    <n v="254.74"/>
    <n v="301.31"/>
    <n v="177.5"/>
    <n v="1.41"/>
    <n v="0"/>
    <n v="0"/>
    <n v="0"/>
    <n v="0"/>
    <n v="0"/>
    <n v="453.48"/>
    <n v="0"/>
  </r>
  <r>
    <x v="6"/>
    <x v="1"/>
    <x v="0"/>
    <s v="5870200"/>
    <n v="713010"/>
    <s v="Benefits-FICA/Medicare"/>
    <s v="Spec Ctr-Canyon Rd-Shared Svc"/>
    <x v="0"/>
    <m/>
    <n v="714.73"/>
    <n v="757.3"/>
    <n v="742.24"/>
    <n v="1179.9100000000001"/>
    <n v="1069.77"/>
    <n v="1100.99"/>
    <n v="971.67"/>
    <n v="602.20000000000005"/>
    <n v="727.95"/>
    <n v="795.2"/>
    <n v="843.34"/>
    <n v="757.38"/>
    <n v="10262.68"/>
    <n v="85.960000000000036"/>
  </r>
  <r>
    <x v="6"/>
    <x v="1"/>
    <x v="0"/>
    <s v="5870200"/>
    <n v="713090"/>
    <s v="Benefits-Allocated Amounts"/>
    <s v="Spec Ctr-Canyon Rd-Shared Svc"/>
    <x v="0"/>
    <m/>
    <n v="2584.6"/>
    <n v="2427.23"/>
    <n v="2942.7"/>
    <n v="3963.28"/>
    <n v="4107.8100000000004"/>
    <n v="3975.76"/>
    <n v="3360.95"/>
    <n v="2544.67"/>
    <n v="2954.07"/>
    <n v="2884.68"/>
    <n v="3094.13"/>
    <n v="3176.88"/>
    <n v="38016.759999999995"/>
    <n v="-82.75"/>
  </r>
  <r>
    <x v="6"/>
    <x v="1"/>
    <x v="0"/>
    <s v="5870200"/>
    <n v="713096"/>
    <s v="Employee Recognition"/>
    <s v="Spec Ctr-Canyon Rd-Shared Svc"/>
    <x v="0"/>
    <n v="1017"/>
    <n v="0"/>
    <n v="0"/>
    <n v="0"/>
    <n v="0"/>
    <n v="43.91"/>
    <n v="0"/>
    <n v="0"/>
    <n v="0"/>
    <n v="29.06"/>
    <n v="43.9"/>
    <n v="39.18"/>
    <n v="0"/>
    <n v="156.05000000000001"/>
    <n v="39.18"/>
  </r>
  <r>
    <x v="7"/>
    <x v="1"/>
    <x v="0"/>
    <s v="5870200"/>
    <n v="718050"/>
    <s v="Cleaning Services"/>
    <s v="Spec Ctr-Canyon Rd-Shared Svc"/>
    <x v="0"/>
    <n v="1011"/>
    <n v="50"/>
    <n v="976"/>
    <n v="1176"/>
    <n v="0"/>
    <n v="1076"/>
    <n v="0"/>
    <n v="0"/>
    <n v="976"/>
    <n v="0"/>
    <n v="0"/>
    <n v="2776.04"/>
    <n v="1265.8900000000001"/>
    <n v="8295.93"/>
    <n v="1510.1499999999999"/>
  </r>
  <r>
    <x v="7"/>
    <x v="1"/>
    <x v="0"/>
    <s v="5870200"/>
    <n v="718050"/>
    <s v="Security"/>
    <s v="Spec Ctr-Canyon Rd-Shared Svc"/>
    <x v="0"/>
    <n v="1019"/>
    <n v="24.99"/>
    <n v="0"/>
    <n v="0"/>
    <n v="0"/>
    <n v="0"/>
    <n v="0"/>
    <n v="43.22"/>
    <n v="0"/>
    <n v="0"/>
    <n v="30"/>
    <n v="0"/>
    <n v="0"/>
    <n v="98.21"/>
    <n v="0"/>
  </r>
  <r>
    <x v="7"/>
    <x v="1"/>
    <x v="0"/>
    <s v="5870200"/>
    <n v="718050"/>
    <s v="Miscellaneous Purchased Svcs"/>
    <s v="Spec Ctr-Canyon Rd-Shared Svc"/>
    <x v="0"/>
    <n v="1020"/>
    <n v="0"/>
    <n v="98.38"/>
    <n v="32.74"/>
    <n v="71"/>
    <n v="0"/>
    <n v="32.74"/>
    <n v="65.48"/>
    <n v="32.74"/>
    <n v="32.74"/>
    <n v="32.74"/>
    <n v="0"/>
    <n v="32.74"/>
    <n v="431.30000000000007"/>
    <n v="-32.74"/>
  </r>
  <r>
    <x v="7"/>
    <x v="1"/>
    <x v="0"/>
    <s v="5870200"/>
    <n v="718050"/>
    <s v="Translation Services"/>
    <s v="Spec Ctr-Canyon Rd-Shared Svc"/>
    <x v="0"/>
    <n v="1025"/>
    <n v="168"/>
    <n v="0"/>
    <n v="440.06"/>
    <n v="0"/>
    <n v="193"/>
    <n v="246"/>
    <n v="151"/>
    <n v="64"/>
    <n v="0"/>
    <n v="0"/>
    <n v="96"/>
    <n v="0"/>
    <n v="1358.06"/>
    <n v="96"/>
  </r>
  <r>
    <x v="7"/>
    <x v="1"/>
    <x v="0"/>
    <s v="5870200"/>
    <n v="718050"/>
    <s v="Contract Management--Linen"/>
    <s v="Spec Ctr-Canyon Rd-Shared Svc"/>
    <x v="0"/>
    <n v="1026"/>
    <n v="112.03"/>
    <n v="186.5"/>
    <n v="149.71"/>
    <n v="111.9"/>
    <n v="261.10000000000002"/>
    <n v="111.9"/>
    <n v="224.47"/>
    <n v="113.91"/>
    <n v="172.91"/>
    <n v="113.91"/>
    <n v="75.94"/>
    <n v="285.94"/>
    <n v="1920.2200000000003"/>
    <n v="-210"/>
  </r>
  <r>
    <x v="7"/>
    <x v="1"/>
    <x v="0"/>
    <s v="5870200"/>
    <n v="718050"/>
    <s v="Purchased Srvcs--Medical Waste"/>
    <s v="Spec Ctr-Canyon Rd-Shared Svc"/>
    <x v="0"/>
    <n v="1027"/>
    <n v="0"/>
    <n v="0"/>
    <n v="0"/>
    <n v="0"/>
    <n v="0"/>
    <n v="0"/>
    <n v="71.55"/>
    <n v="0"/>
    <n v="10.36"/>
    <n v="0"/>
    <n v="0"/>
    <n v="163.83000000000001"/>
    <n v="245.74"/>
    <n v="-163.83000000000001"/>
  </r>
  <r>
    <x v="7"/>
    <x v="1"/>
    <x v="0"/>
    <s v="5870200"/>
    <n v="718070"/>
    <s v="Contract Srvcs-CHI Clinical Engineering"/>
    <s v="Spec Ctr-Canyon Rd-Shared Svc"/>
    <x v="0"/>
    <m/>
    <n v="445.9"/>
    <n v="0"/>
    <n v="600.5"/>
    <n v="0"/>
    <n v="0"/>
    <n v="693.63"/>
    <n v="0"/>
    <n v="0"/>
    <n v="300.35000000000002"/>
    <n v="0"/>
    <n v="0"/>
    <n v="880.9"/>
    <n v="2921.28"/>
    <n v="-880.9"/>
  </r>
  <r>
    <x v="11"/>
    <x v="1"/>
    <x v="0"/>
    <s v="5870200"/>
    <n v="721250"/>
    <s v="Supplies-Pharmacy Drugs - Billable"/>
    <s v="Spec Ctr-Canyon Rd-Shared Svc"/>
    <x v="0"/>
    <m/>
    <n v="0"/>
    <n v="0"/>
    <n v="0"/>
    <n v="0"/>
    <n v="0"/>
    <n v="0"/>
    <n v="0"/>
    <n v="0"/>
    <n v="0"/>
    <n v="0"/>
    <n v="669.67"/>
    <n v="0"/>
    <n v="669.67"/>
    <n v="669.67"/>
  </r>
  <r>
    <x v="11"/>
    <x v="1"/>
    <x v="0"/>
    <s v="5870200"/>
    <n v="721410"/>
    <s v="Supplies-Medical - Nonbillable"/>
    <s v="Spec Ctr-Canyon Rd-Shared Svc"/>
    <x v="0"/>
    <m/>
    <n v="0"/>
    <n v="0"/>
    <n v="231.67"/>
    <n v="0"/>
    <n v="0"/>
    <n v="-215.65"/>
    <n v="0"/>
    <n v="0"/>
    <n v="0"/>
    <n v="0"/>
    <n v="0"/>
    <n v="0"/>
    <n v="16.019999999999982"/>
    <n v="0"/>
  </r>
  <r>
    <x v="11"/>
    <x v="1"/>
    <x v="0"/>
    <s v="5870200"/>
    <n v="721830"/>
    <s v="Supplies-Office"/>
    <s v="Spec Ctr-Canyon Rd-Shared Svc"/>
    <x v="0"/>
    <m/>
    <n v="99.1"/>
    <n v="209.99"/>
    <n v="89.78"/>
    <n v="181.65"/>
    <n v="86.74"/>
    <n v="102.9"/>
    <n v="263.24"/>
    <n v="112.93"/>
    <n v="139.06"/>
    <n v="288.29000000000002"/>
    <n v="311.58"/>
    <n v="234.03"/>
    <n v="2119.29"/>
    <n v="77.549999999999983"/>
  </r>
  <r>
    <x v="11"/>
    <x v="1"/>
    <x v="0"/>
    <s v="5870200"/>
    <n v="721835"/>
    <s v="Supplies-Forms"/>
    <s v="Spec Ctr-Canyon Rd-Shared Svc"/>
    <x v="0"/>
    <m/>
    <n v="0"/>
    <n v="0"/>
    <n v="0"/>
    <n v="0"/>
    <n v="20.66"/>
    <n v="0"/>
    <n v="0"/>
    <n v="0"/>
    <n v="0"/>
    <n v="0"/>
    <n v="0"/>
    <n v="0"/>
    <n v="20.66"/>
    <n v="0"/>
  </r>
  <r>
    <x v="11"/>
    <x v="1"/>
    <x v="0"/>
    <s v="5870200"/>
    <n v="721870"/>
    <s v="Supplies-Environmental Services"/>
    <s v="Spec Ctr-Canyon Rd-Shared Svc"/>
    <x v="0"/>
    <m/>
    <n v="649.29"/>
    <n v="634.24"/>
    <n v="899.98"/>
    <n v="246.15"/>
    <n v="439.19"/>
    <n v="733.42"/>
    <n v="467.18"/>
    <n v="874.55"/>
    <n v="451.11"/>
    <n v="479.84"/>
    <n v="112.41"/>
    <n v="1375.62"/>
    <n v="7362.98"/>
    <n v="-1263.2099999999998"/>
  </r>
  <r>
    <x v="11"/>
    <x v="1"/>
    <x v="0"/>
    <s v="5870200"/>
    <n v="721910"/>
    <s v="Supplies-Small Equipment"/>
    <s v="Spec Ctr-Canyon Rd-Shared Svc"/>
    <x v="0"/>
    <m/>
    <n v="0"/>
    <n v="0"/>
    <n v="0"/>
    <n v="315.98"/>
    <n v="0.01"/>
    <n v="0"/>
    <n v="0"/>
    <n v="0"/>
    <n v="0"/>
    <n v="0"/>
    <n v="0"/>
    <n v="0"/>
    <n v="315.99"/>
    <n v="0"/>
  </r>
  <r>
    <x v="11"/>
    <x v="1"/>
    <x v="0"/>
    <s v="5870200"/>
    <n v="722000"/>
    <s v="Supplies-Freight Expense"/>
    <s v="Spec Ctr-Canyon Rd-Shared Svc"/>
    <x v="0"/>
    <m/>
    <n v="0"/>
    <n v="20.41"/>
    <n v="0"/>
    <n v="0"/>
    <n v="0"/>
    <n v="4.01"/>
    <n v="0"/>
    <n v="0"/>
    <n v="0"/>
    <n v="0"/>
    <n v="0"/>
    <n v="0"/>
    <n v="24.42"/>
    <n v="0"/>
  </r>
  <r>
    <x v="12"/>
    <x v="1"/>
    <x v="0"/>
    <s v="5870200"/>
    <n v="730010"/>
    <s v="Rental and Leases-Building (DO NOT USE)"/>
    <s v="Spec Ctr-Canyon Rd-Shared Svc"/>
    <x v="0"/>
    <m/>
    <n v="-5835.37"/>
    <n v="-4704.3100000000004"/>
    <n v="-5835.37"/>
    <n v="-4704.3100000000004"/>
    <n v="1805.23"/>
    <n v="-22434.92"/>
    <n v="-11411.21"/>
    <n v="-10310.85"/>
    <n v="-10310.85"/>
    <n v="-7630.32"/>
    <n v="-12257.84"/>
    <n v="0"/>
    <n v="-93630.12"/>
    <n v="-12257.84"/>
  </r>
  <r>
    <x v="12"/>
    <x v="1"/>
    <x v="0"/>
    <s v="5870200"/>
    <n v="730010"/>
    <s v="Rental-Common Area Maint (DO NOT USE)"/>
    <s v="Spec Ctr-Canyon Rd-Shared Svc"/>
    <x v="0"/>
    <n v="2200"/>
    <n v="0"/>
    <n v="0"/>
    <n v="0"/>
    <n v="0"/>
    <n v="0"/>
    <n v="18355.63"/>
    <n v="3365.48"/>
    <n v="3732.93"/>
    <n v="3365.48"/>
    <n v="5667.84"/>
    <n v="2997.17"/>
    <n v="0"/>
    <n v="37484.53"/>
    <n v="2997.17"/>
  </r>
  <r>
    <x v="12"/>
    <x v="1"/>
    <x v="0"/>
    <s v="5870200"/>
    <n v="730020"/>
    <s v="Rental and Leases-Copier Usage Fees (DO NOT USE)"/>
    <s v="Spec Ctr-Canyon Rd-Shared Svc"/>
    <x v="0"/>
    <n v="5100"/>
    <n v="888.55"/>
    <n v="908.85"/>
    <n v="898.7"/>
    <n v="898.7"/>
    <n v="898.7"/>
    <n v="898.7"/>
    <n v="11.62"/>
    <n v="695.23"/>
    <n v="726.37"/>
    <n v="608.67999999999995"/>
    <n v="386.65"/>
    <n v="435.25"/>
    <n v="8256"/>
    <n v="-48.600000000000023"/>
  </r>
  <r>
    <x v="12"/>
    <x v="1"/>
    <x v="0"/>
    <s v="5870200"/>
    <n v="730040"/>
    <s v="LT Lease-Real Estate"/>
    <s v="Spec Ctr-Canyon Rd-Shared Svc"/>
    <x v="0"/>
    <m/>
    <n v="0"/>
    <n v="0"/>
    <n v="0"/>
    <n v="0"/>
    <n v="0"/>
    <n v="0"/>
    <n v="0"/>
    <n v="0"/>
    <n v="0"/>
    <n v="0"/>
    <n v="0"/>
    <n v="-3937.73"/>
    <n v="-3937.73"/>
    <n v="3937.73"/>
  </r>
  <r>
    <x v="15"/>
    <x v="1"/>
    <x v="0"/>
    <s v="5870200"/>
    <n v="731060"/>
    <s v="Telephone"/>
    <s v="Spec Ctr-Canyon Rd-Shared Svc"/>
    <x v="0"/>
    <m/>
    <n v="0"/>
    <n v="0"/>
    <n v="0"/>
    <n v="192.33"/>
    <n v="0"/>
    <n v="0"/>
    <n v="0"/>
    <n v="0"/>
    <n v="0"/>
    <n v="0"/>
    <n v="0"/>
    <n v="0"/>
    <n v="192.33"/>
    <n v="0"/>
  </r>
  <r>
    <x v="16"/>
    <x v="1"/>
    <x v="0"/>
    <s v="5870200"/>
    <n v="732030"/>
    <s v="Repairs&amp;Maintenance-Bldg Routine"/>
    <s v="Spec Ctr-Canyon Rd-Shared Svc"/>
    <x v="0"/>
    <n v="2300"/>
    <n v="0"/>
    <n v="0"/>
    <n v="0"/>
    <n v="0"/>
    <n v="401.14"/>
    <n v="0"/>
    <n v="0"/>
    <n v="1824.02"/>
    <n v="0"/>
    <n v="0"/>
    <n v="0"/>
    <n v="0"/>
    <n v="2225.16"/>
    <n v="0"/>
  </r>
  <r>
    <x v="0"/>
    <x v="1"/>
    <x v="0"/>
    <s v="5870200"/>
    <n v="743030"/>
    <s v="Subscriptions--Institutional"/>
    <s v="Spec Ctr-Canyon Rd-Shared Svc"/>
    <x v="0"/>
    <m/>
    <n v="0"/>
    <n v="0"/>
    <n v="0"/>
    <n v="0"/>
    <n v="0"/>
    <n v="0"/>
    <n v="0"/>
    <n v="0"/>
    <n v="0"/>
    <n v="0"/>
    <n v="53.23"/>
    <n v="0"/>
    <n v="53.23"/>
    <n v="53.23"/>
  </r>
  <r>
    <x v="0"/>
    <x v="1"/>
    <x v="0"/>
    <s v="5870200"/>
    <n v="749510"/>
    <s v="Miscellaneous Expenses"/>
    <s v="Spec Ctr-Canyon Rd-Shared Svc"/>
    <x v="0"/>
    <m/>
    <n v="0"/>
    <n v="0"/>
    <n v="35"/>
    <n v="379.85"/>
    <n v="0"/>
    <n v="0"/>
    <n v="0"/>
    <n v="0"/>
    <n v="0"/>
    <n v="0"/>
    <n v="0"/>
    <n v="-35"/>
    <n v="379.85"/>
    <n v="35"/>
  </r>
  <r>
    <x v="0"/>
    <x v="1"/>
    <x v="0"/>
    <s v="5870200"/>
    <n v="749510"/>
    <s v="Licenses"/>
    <s v="Spec Ctr-Canyon Rd-Shared Svc"/>
    <x v="0"/>
    <n v="1002"/>
    <n v="0"/>
    <n v="0"/>
    <n v="265"/>
    <n v="0"/>
    <n v="0"/>
    <n v="155"/>
    <n v="38.75"/>
    <n v="0"/>
    <n v="0"/>
    <n v="0"/>
    <n v="0"/>
    <n v="0"/>
    <n v="458.75"/>
    <n v="0"/>
  </r>
  <r>
    <x v="0"/>
    <x v="1"/>
    <x v="0"/>
    <s v="5870200"/>
    <n v="749510"/>
    <s v="RICE Rewards"/>
    <s v="Spec Ctr-Canyon Rd-Shared Svc"/>
    <x v="0"/>
    <n v="5100"/>
    <n v="0"/>
    <n v="0"/>
    <n v="0"/>
    <n v="0"/>
    <n v="0"/>
    <n v="0"/>
    <n v="0"/>
    <n v="58.85"/>
    <n v="0"/>
    <n v="0"/>
    <n v="117"/>
    <n v="0"/>
    <n v="175.85"/>
    <n v="117"/>
  </r>
  <r>
    <x v="0"/>
    <x v="1"/>
    <x v="0"/>
    <s v="5870200"/>
    <n v="749530"/>
    <s v="Mileage"/>
    <s v="Spec Ctr-Canyon Rd-Shared Svc"/>
    <x v="0"/>
    <n v="1001"/>
    <n v="0"/>
    <n v="0"/>
    <n v="8.18"/>
    <n v="30.52"/>
    <n v="0"/>
    <n v="18.54"/>
    <n v="0"/>
    <n v="0"/>
    <n v="0"/>
    <n v="0"/>
    <n v="0"/>
    <n v="0"/>
    <n v="57.24"/>
    <n v="0"/>
  </r>
  <r>
    <x v="0"/>
    <x v="1"/>
    <x v="0"/>
    <s v="5870200"/>
    <n v="749550"/>
    <s v="Cash Over/Short"/>
    <s v="Spec Ctr-Canyon Rd-Shared Svc"/>
    <x v="0"/>
    <m/>
    <n v="0"/>
    <n v="0"/>
    <n v="0"/>
    <n v="0"/>
    <n v="0"/>
    <n v="20"/>
    <n v="0"/>
    <n v="0"/>
    <n v="0"/>
    <n v="20"/>
    <n v="-1"/>
    <n v="0"/>
    <n v="39"/>
    <n v="-1"/>
  </r>
  <r>
    <x v="5"/>
    <x v="1"/>
    <x v="0"/>
    <s v="5871200"/>
    <n v="700018"/>
    <s v="Salaries-Supervisory-Productive"/>
    <s v="Urology-Gig Harbor-Shared Svc"/>
    <x v="0"/>
    <m/>
    <n v="1054.24"/>
    <n v="503.16"/>
    <n v="1078.2"/>
    <n v="1134.4100000000001"/>
    <n v="1093.67"/>
    <n v="795.39"/>
    <n v="1145.0899999999999"/>
    <n v="995.68"/>
    <n v="672.1"/>
    <n v="1219.7"/>
    <n v="1145.04"/>
    <n v="995.68"/>
    <n v="11832.36"/>
    <n v="149.36000000000001"/>
  </r>
  <r>
    <x v="5"/>
    <x v="1"/>
    <x v="0"/>
    <s v="5871200"/>
    <n v="700032"/>
    <s v="Salaries-Other Pat Care Providers-Productive"/>
    <s v="Urology-Gig Harbor-Shared Svc"/>
    <x v="0"/>
    <m/>
    <n v="0"/>
    <n v="0"/>
    <n v="0"/>
    <n v="0"/>
    <n v="0"/>
    <n v="0"/>
    <n v="0"/>
    <n v="116.37"/>
    <n v="0"/>
    <n v="0"/>
    <n v="0"/>
    <n v="0"/>
    <n v="116.37"/>
    <n v="0"/>
  </r>
  <r>
    <x v="5"/>
    <x v="1"/>
    <x v="0"/>
    <s v="5871200"/>
    <n v="700032"/>
    <s v="Salaries-Other Pat Care Providers-Other"/>
    <s v="Urology-Gig Harbor-Shared Svc"/>
    <x v="0"/>
    <n v="2000"/>
    <n v="0"/>
    <n v="0"/>
    <n v="0"/>
    <n v="0"/>
    <n v="0"/>
    <n v="0"/>
    <n v="0"/>
    <n v="5.01"/>
    <n v="0"/>
    <n v="0"/>
    <n v="0"/>
    <n v="0"/>
    <n v="5.01"/>
    <n v="0"/>
  </r>
  <r>
    <x v="5"/>
    <x v="1"/>
    <x v="0"/>
    <s v="5871200"/>
    <n v="700038"/>
    <s v="Salaries-Service/Support-Productive"/>
    <s v="Urology-Gig Harbor-Shared Svc"/>
    <x v="0"/>
    <m/>
    <n v="5763.11"/>
    <n v="6083.81"/>
    <n v="4391.33"/>
    <n v="6604.72"/>
    <n v="5385.35"/>
    <n v="4430.6400000000003"/>
    <n v="5126"/>
    <n v="4528.84"/>
    <n v="6092.02"/>
    <n v="6351.56"/>
    <n v="5635.29"/>
    <n v="5444.84"/>
    <n v="65837.510000000009"/>
    <n v="190.44999999999982"/>
  </r>
  <r>
    <x v="5"/>
    <x v="1"/>
    <x v="0"/>
    <s v="5871200"/>
    <n v="700054"/>
    <s v="Salaries-Management-NonProd-Other"/>
    <s v="Urology-Gig Harbor-Shared Svc"/>
    <x v="0"/>
    <n v="2000"/>
    <n v="0"/>
    <n v="0"/>
    <n v="0"/>
    <n v="0"/>
    <n v="0"/>
    <n v="307.44"/>
    <n v="-307.44"/>
    <n v="0"/>
    <n v="0"/>
    <n v="0"/>
    <n v="0"/>
    <n v="0"/>
    <n v="0"/>
    <n v="0"/>
  </r>
  <r>
    <x v="5"/>
    <x v="1"/>
    <x v="0"/>
    <s v="5871200"/>
    <n v="700078"/>
    <s v="Salaries-Service/Support-Non-productive"/>
    <s v="Urology-Gig Harbor-Shared Svc"/>
    <x v="0"/>
    <m/>
    <n v="581.27"/>
    <n v="520.86"/>
    <n v="969.72"/>
    <n v="-64.959999999999994"/>
    <n v="753.5"/>
    <n v="1572.34"/>
    <n v="1644.17"/>
    <n v="985.85"/>
    <n v="85.55"/>
    <n v="87.38"/>
    <n v="323.94"/>
    <n v="1323.14"/>
    <n v="8782.76"/>
    <n v="-999.2"/>
  </r>
  <r>
    <x v="5"/>
    <x v="1"/>
    <x v="0"/>
    <s v="5871200"/>
    <n v="700078"/>
    <s v="Salaries-Service/Support-NonProd-Other"/>
    <s v="Urology-Gig Harbor-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71200"/>
    <n v="700084"/>
    <s v="Accrued PTO"/>
    <s v="Urology-Gig Harbor-Shared Svc"/>
    <x v="0"/>
    <m/>
    <n v="125.04"/>
    <n v="276.12"/>
    <n v="-278.60000000000002"/>
    <n v="702.48"/>
    <n v="321.18"/>
    <n v="-858.82"/>
    <n v="-824.68"/>
    <n v="-273.48"/>
    <n v="415.82"/>
    <n v="632.98"/>
    <n v="361.18"/>
    <n v="-278.86"/>
    <n v="320.36"/>
    <n v="640.04"/>
  </r>
  <r>
    <x v="6"/>
    <x v="1"/>
    <x v="0"/>
    <s v="5871200"/>
    <n v="713010"/>
    <s v="Benefits-FICA/Medicare"/>
    <s v="Urology-Gig Harbor-Shared Svc"/>
    <x v="0"/>
    <m/>
    <n v="520.71"/>
    <n v="498.8"/>
    <n v="450.99"/>
    <n v="539.78"/>
    <n v="508"/>
    <n v="501.79"/>
    <n v="580.12"/>
    <n v="464.48"/>
    <n v="481.21"/>
    <n v="538.64"/>
    <n v="495.08"/>
    <n v="553.77"/>
    <n v="6133.369999999999"/>
    <n v="-58.69"/>
  </r>
  <r>
    <x v="6"/>
    <x v="1"/>
    <x v="0"/>
    <s v="5871200"/>
    <n v="713090"/>
    <s v="Benefits-Allocated Amounts"/>
    <s v="Urology-Gig Harbor-Shared Svc"/>
    <x v="0"/>
    <m/>
    <n v="2010.03"/>
    <n v="1732.66"/>
    <n v="1823.51"/>
    <n v="1986.56"/>
    <n v="1967.52"/>
    <n v="1796.05"/>
    <n v="2335.44"/>
    <n v="2109.65"/>
    <n v="1897.98"/>
    <n v="2110.2399999999998"/>
    <n v="2083.23"/>
    <n v="2351.0100000000002"/>
    <n v="24203.879999999997"/>
    <n v="-267.7800000000002"/>
  </r>
  <r>
    <x v="7"/>
    <x v="1"/>
    <x v="0"/>
    <s v="5871200"/>
    <n v="718010"/>
    <s v="Media/Print Advertising"/>
    <s v="Urology-Gig Harbor-Shared Svc"/>
    <x v="0"/>
    <n v="1004"/>
    <n v="0"/>
    <n v="0"/>
    <n v="0"/>
    <n v="0"/>
    <n v="0"/>
    <n v="624.95000000000005"/>
    <n v="274.36"/>
    <n v="0"/>
    <n v="0"/>
    <n v="0"/>
    <n v="0"/>
    <n v="0"/>
    <n v="899.31000000000006"/>
    <n v="0"/>
  </r>
  <r>
    <x v="7"/>
    <x v="1"/>
    <x v="0"/>
    <s v="5871200"/>
    <n v="718050"/>
    <s v="Contract Svcs-Other"/>
    <s v="Urology-Gig Harbor-Shared Svc"/>
    <x v="0"/>
    <m/>
    <n v="73.760000000000005"/>
    <n v="73.760000000000005"/>
    <n v="73.760000000000005"/>
    <n v="73.75"/>
    <n v="73.760000000000005"/>
    <n v="96.07"/>
    <n v="49.2"/>
    <n v="115.74"/>
    <n v="14.25"/>
    <n v="0"/>
    <n v="0"/>
    <n v="0"/>
    <n v="644.05000000000007"/>
    <n v="0"/>
  </r>
  <r>
    <x v="7"/>
    <x v="1"/>
    <x v="0"/>
    <s v="5871200"/>
    <n v="718050"/>
    <s v="Miscellaneous Purchased Svcs"/>
    <s v="Urology-Gig Harbor-Shared Svc"/>
    <x v="0"/>
    <n v="1020"/>
    <n v="0"/>
    <n v="99.18"/>
    <n v="0"/>
    <n v="0"/>
    <n v="676.5"/>
    <n v="0"/>
    <n v="0"/>
    <n v="0"/>
    <n v="0"/>
    <n v="246.65"/>
    <n v="0"/>
    <n v="0"/>
    <n v="1022.33"/>
    <n v="0"/>
  </r>
  <r>
    <x v="7"/>
    <x v="1"/>
    <x v="0"/>
    <s v="5871200"/>
    <n v="718070"/>
    <s v="Contract Srvcs-CHI Clinical Engineering"/>
    <s v="Urology-Gig Harbor-Shared Svc"/>
    <x v="0"/>
    <m/>
    <n v="284.17"/>
    <n v="310.47000000000003"/>
    <n v="283.20999999999998"/>
    <n v="486.89"/>
    <n v="260.31"/>
    <n v="491.3"/>
    <n v="1234.69"/>
    <n v="307.45"/>
    <n v="273.83"/>
    <n v="273.83"/>
    <n v="273.83"/>
    <n v="810.51"/>
    <n v="5290.4900000000007"/>
    <n v="-536.68000000000006"/>
  </r>
  <r>
    <x v="11"/>
    <x v="1"/>
    <x v="0"/>
    <s v="5871200"/>
    <n v="721010"/>
    <s v="Supplies-Medical - Billable"/>
    <s v="Urology-Gig Harbor-Shared Svc"/>
    <x v="0"/>
    <m/>
    <n v="0"/>
    <n v="238"/>
    <n v="0"/>
    <n v="0"/>
    <n v="0"/>
    <n v="594"/>
    <n v="0"/>
    <n v="0"/>
    <n v="0"/>
    <n v="654"/>
    <n v="34"/>
    <n v="0"/>
    <n v="1520"/>
    <n v="34"/>
  </r>
  <r>
    <x v="11"/>
    <x v="1"/>
    <x v="0"/>
    <s v="5871200"/>
    <n v="721020"/>
    <s v="Supplies-Surgical - Billable"/>
    <s v="Urology-Gig Harbor-Shared Svc"/>
    <x v="0"/>
    <m/>
    <n v="0"/>
    <n v="0"/>
    <n v="125.4"/>
    <n v="0"/>
    <n v="0"/>
    <n v="0"/>
    <n v="0"/>
    <n v="0"/>
    <n v="0"/>
    <n v="0"/>
    <n v="0"/>
    <n v="0"/>
    <n v="125.4"/>
    <n v="0"/>
  </r>
  <r>
    <x v="11"/>
    <x v="1"/>
    <x v="0"/>
    <s v="5871200"/>
    <n v="721020"/>
    <s v="Endomechanical Supplies &amp; Instruments"/>
    <s v="Urology-Gig Harbor-Shared Svc"/>
    <x v="0"/>
    <n v="1003"/>
    <n v="733.82"/>
    <n v="74.12"/>
    <n v="0"/>
    <n v="0"/>
    <n v="0"/>
    <n v="0"/>
    <n v="0"/>
    <n v="0"/>
    <n v="0"/>
    <n v="0"/>
    <n v="0"/>
    <n v="0"/>
    <n v="807.94"/>
    <n v="0"/>
  </r>
  <r>
    <x v="11"/>
    <x v="1"/>
    <x v="0"/>
    <s v="5871200"/>
    <n v="721250"/>
    <s v="Supplies-Pharmacy Drugs - Billable"/>
    <s v="Urology-Gig Harbor-Shared Svc"/>
    <x v="0"/>
    <m/>
    <n v="6432.66"/>
    <n v="-602.94000000000005"/>
    <n v="3695.9"/>
    <n v="11.04"/>
    <n v="1317.63"/>
    <n v="2994.67"/>
    <n v="2000.9"/>
    <n v="4264.6400000000003"/>
    <n v="3401.41"/>
    <n v="2451.09"/>
    <n v="807.89"/>
    <n v="8234.6299999999992"/>
    <n v="35009.519999999997"/>
    <n v="-7426.7399999999989"/>
  </r>
  <r>
    <x v="11"/>
    <x v="1"/>
    <x v="0"/>
    <s v="5871200"/>
    <n v="721410"/>
    <s v="Supplies-Medical - Nonbillable"/>
    <s v="Urology-Gig Harbor-Shared Svc"/>
    <x v="0"/>
    <m/>
    <n v="41"/>
    <n v="9.65"/>
    <n v="0"/>
    <n v="0"/>
    <n v="0"/>
    <n v="0"/>
    <n v="6.3"/>
    <n v="0"/>
    <n v="0"/>
    <n v="0"/>
    <n v="-1233.77"/>
    <n v="-5.51"/>
    <n v="-1182.33"/>
    <n v="-1228.26"/>
  </r>
  <r>
    <x v="11"/>
    <x v="1"/>
    <x v="0"/>
    <s v="5871200"/>
    <n v="721810"/>
    <s v="Supplies-Dietary/Cafeteria"/>
    <s v="Urology-Gig Harbor-Shared Svc"/>
    <x v="0"/>
    <m/>
    <n v="0"/>
    <n v="0"/>
    <n v="0"/>
    <n v="0"/>
    <n v="0"/>
    <n v="0"/>
    <n v="0"/>
    <n v="0"/>
    <n v="0"/>
    <n v="0"/>
    <n v="0"/>
    <n v="16"/>
    <n v="16"/>
    <n v="-16"/>
  </r>
  <r>
    <x v="11"/>
    <x v="1"/>
    <x v="0"/>
    <s v="5871200"/>
    <n v="721830"/>
    <s v="Supplies-Office"/>
    <s v="Urology-Gig Harbor-Shared Svc"/>
    <x v="0"/>
    <m/>
    <n v="264.23"/>
    <n v="518.12"/>
    <n v="288.25"/>
    <n v="408.96"/>
    <n v="347.07"/>
    <n v="2283.12"/>
    <n v="781.04"/>
    <n v="111.88"/>
    <n v="170.02"/>
    <n v="592.74"/>
    <n v="58.12"/>
    <n v="160.4"/>
    <n v="5983.95"/>
    <n v="-102.28"/>
  </r>
  <r>
    <x v="11"/>
    <x v="1"/>
    <x v="0"/>
    <s v="5871200"/>
    <n v="721870"/>
    <s v="Supplies-Environmental Services"/>
    <s v="Urology-Gig Harbor-Shared Svc"/>
    <x v="0"/>
    <m/>
    <n v="0"/>
    <n v="0"/>
    <n v="0"/>
    <n v="0"/>
    <n v="0"/>
    <n v="0"/>
    <n v="770.76"/>
    <n v="567.84"/>
    <n v="537.26"/>
    <n v="136.62"/>
    <n v="266.07"/>
    <n v="467.4"/>
    <n v="2745.9500000000003"/>
    <n v="-201.32999999999998"/>
  </r>
  <r>
    <x v="11"/>
    <x v="1"/>
    <x v="0"/>
    <s v="5871200"/>
    <n v="721910"/>
    <s v="Supplies-Small Equipment"/>
    <s v="Urology-Gig Harbor-Shared Svc"/>
    <x v="0"/>
    <m/>
    <n v="8587.7999999999993"/>
    <n v="525.15"/>
    <n v="0"/>
    <n v="0"/>
    <n v="0"/>
    <n v="71.19"/>
    <n v="7.19"/>
    <n v="1550.31"/>
    <n v="8277.39"/>
    <n v="0"/>
    <n v="0"/>
    <n v="0"/>
    <n v="19019.03"/>
    <n v="0"/>
  </r>
  <r>
    <x v="11"/>
    <x v="1"/>
    <x v="0"/>
    <s v="5871200"/>
    <n v="721910"/>
    <s v="Instruments"/>
    <s v="Urology-Gig Harbor-Shared Svc"/>
    <x v="0"/>
    <n v="1000"/>
    <n v="0"/>
    <n v="0"/>
    <n v="0"/>
    <n v="0"/>
    <n v="0"/>
    <n v="0"/>
    <n v="0"/>
    <n v="0"/>
    <n v="0"/>
    <n v="0"/>
    <n v="0"/>
    <n v="146.84"/>
    <n v="146.84"/>
    <n v="-146.84"/>
  </r>
  <r>
    <x v="11"/>
    <x v="1"/>
    <x v="0"/>
    <s v="5871200"/>
    <n v="722000"/>
    <s v="Supplies-Freight Expense"/>
    <s v="Urology-Gig Harbor-Shared Svc"/>
    <x v="0"/>
    <m/>
    <n v="0"/>
    <n v="23.11"/>
    <n v="18.53"/>
    <n v="0"/>
    <n v="0"/>
    <n v="0"/>
    <n v="24.57"/>
    <n v="0"/>
    <n v="0"/>
    <n v="43.66"/>
    <n v="26.41"/>
    <n v="69.37"/>
    <n v="205.65"/>
    <n v="-42.960000000000008"/>
  </r>
  <r>
    <x v="12"/>
    <x v="1"/>
    <x v="0"/>
    <s v="5871200"/>
    <n v="730010"/>
    <s v="Rental and Leases-Building (DO NOT USE)"/>
    <s v="Urology-Gig Harbor-Shared Svc"/>
    <x v="0"/>
    <m/>
    <n v="3609.86"/>
    <n v="3611.74"/>
    <n v="3666.3"/>
    <n v="3666.3"/>
    <n v="23785.54"/>
    <n v="7833.13"/>
    <n v="9504.92"/>
    <n v="9504.92"/>
    <n v="9504.92"/>
    <n v="2098.41"/>
    <n v="11818.68"/>
    <n v="0"/>
    <n v="88604.72"/>
    <n v="11818.68"/>
  </r>
  <r>
    <x v="12"/>
    <x v="1"/>
    <x v="0"/>
    <s v="5871200"/>
    <n v="730010"/>
    <s v="Rental-Common Area Maint (DO NOT USE)"/>
    <s v="Urology-Gig Harbor-Shared Svc"/>
    <x v="0"/>
    <n v="2200"/>
    <n v="0"/>
    <n v="0"/>
    <n v="0"/>
    <n v="0"/>
    <n v="0"/>
    <n v="5906.51"/>
    <n v="4485.54"/>
    <n v="4360.13"/>
    <n v="4807.93"/>
    <n v="8163.7"/>
    <n v="4707.84"/>
    <n v="1018.55"/>
    <n v="33450.200000000004"/>
    <n v="3689.29"/>
  </r>
  <r>
    <x v="12"/>
    <x v="1"/>
    <x v="0"/>
    <s v="5871200"/>
    <n v="730020"/>
    <s v="Rental and Leases-Copier Usage Fees (DO NOT USE)"/>
    <s v="Urology-Gig Harbor-Shared Svc"/>
    <x v="0"/>
    <n v="5100"/>
    <n v="54.25"/>
    <n v="53.69"/>
    <n v="53.97"/>
    <n v="53.97"/>
    <n v="53.97"/>
    <n v="53.97"/>
    <n v="165.33"/>
    <n v="60.87"/>
    <n v="60.75"/>
    <n v="65.38"/>
    <n v="22.11"/>
    <n v="22.11"/>
    <n v="720.37000000000012"/>
    <n v="0"/>
  </r>
  <r>
    <x v="12"/>
    <x v="1"/>
    <x v="0"/>
    <s v="5871200"/>
    <n v="730040"/>
    <s v="LT Lease-Real Estate"/>
    <s v="Urology-Gig Harbor-Shared Svc"/>
    <x v="0"/>
    <m/>
    <n v="0"/>
    <n v="0"/>
    <n v="0"/>
    <n v="0"/>
    <n v="0"/>
    <n v="0"/>
    <n v="0"/>
    <n v="0"/>
    <n v="0"/>
    <n v="0"/>
    <n v="0"/>
    <n v="10185.030000000001"/>
    <n v="10185.030000000001"/>
    <n v="-10185.030000000001"/>
  </r>
  <r>
    <x v="16"/>
    <x v="1"/>
    <x v="0"/>
    <s v="5871200"/>
    <n v="732030"/>
    <s v="Repairs---Other"/>
    <s v="Urology-Gig Harbor-Shared Svc"/>
    <x v="0"/>
    <m/>
    <n v="0"/>
    <n v="0"/>
    <n v="0"/>
    <n v="0"/>
    <n v="976.5"/>
    <n v="0"/>
    <n v="98.62"/>
    <n v="0"/>
    <n v="301.27999999999997"/>
    <n v="0"/>
    <n v="0"/>
    <n v="0"/>
    <n v="1376.3999999999999"/>
    <n v="0"/>
  </r>
  <r>
    <x v="0"/>
    <x v="1"/>
    <x v="0"/>
    <s v="5871200"/>
    <n v="742040"/>
    <s v="Freight-Other"/>
    <s v="Urology-Gig Harbor-Shared Svc"/>
    <x v="0"/>
    <m/>
    <n v="0"/>
    <n v="0"/>
    <n v="0"/>
    <n v="0"/>
    <n v="0"/>
    <n v="0"/>
    <n v="24.85"/>
    <n v="0"/>
    <n v="0"/>
    <n v="0"/>
    <n v="0"/>
    <n v="0"/>
    <n v="24.85"/>
    <n v="0"/>
  </r>
  <r>
    <x v="0"/>
    <x v="1"/>
    <x v="0"/>
    <s v="5871200"/>
    <n v="743030"/>
    <s v="Subscriptions--Institutional"/>
    <s v="Urology-Gig Harbor-Shared Svc"/>
    <x v="0"/>
    <m/>
    <n v="0"/>
    <n v="0"/>
    <n v="0"/>
    <n v="0"/>
    <n v="92.7"/>
    <n v="0"/>
    <n v="0"/>
    <n v="0"/>
    <n v="0"/>
    <n v="0"/>
    <n v="66.260000000000005"/>
    <n v="0"/>
    <n v="158.96"/>
    <n v="66.260000000000005"/>
  </r>
  <r>
    <x v="0"/>
    <x v="1"/>
    <x v="0"/>
    <s v="5871200"/>
    <n v="749510"/>
    <s v="Licenses"/>
    <s v="Urology-Gig Harbor-Shared Svc"/>
    <x v="0"/>
    <n v="1002"/>
    <n v="0"/>
    <n v="0"/>
    <n v="330"/>
    <n v="0"/>
    <n v="440"/>
    <n v="155"/>
    <n v="38.75"/>
    <n v="0"/>
    <n v="0"/>
    <n v="0"/>
    <n v="0"/>
    <n v="0"/>
    <n v="963.75"/>
    <n v="0"/>
  </r>
  <r>
    <x v="0"/>
    <x v="1"/>
    <x v="0"/>
    <s v="5871200"/>
    <n v="766010"/>
    <s v="Property Tax"/>
    <s v="Urology-Gig Harbor-Shared Svc"/>
    <x v="0"/>
    <m/>
    <n v="490.44"/>
    <n v="490.44"/>
    <n v="490.44"/>
    <n v="490.44"/>
    <n v="490.44"/>
    <n v="490.44"/>
    <n v="490.44"/>
    <n v="490.44"/>
    <n v="490.44"/>
    <n v="57"/>
    <n v="382.1"/>
    <n v="382.1"/>
    <n v="5235.1600000000008"/>
    <n v="0"/>
  </r>
  <r>
    <x v="5"/>
    <x v="1"/>
    <x v="0"/>
    <s v="5872200"/>
    <n v="700014"/>
    <s v="Salaries-Management-Productive"/>
    <s v="Spec-EN Cole St-Shared Svc"/>
    <x v="0"/>
    <m/>
    <n v="3391.29"/>
    <n v="4361.3100000000004"/>
    <n v="3842.52"/>
    <n v="4324.26"/>
    <n v="3189.1"/>
    <n v="3285"/>
    <n v="3300.04"/>
    <n v="4534.67"/>
    <n v="3277.81"/>
    <n v="4163.96"/>
    <n v="4881.7299999999996"/>
    <n v="3183.72"/>
    <n v="45735.41"/>
    <n v="1698.0099999999998"/>
  </r>
  <r>
    <x v="5"/>
    <x v="1"/>
    <x v="0"/>
    <s v="5872200"/>
    <n v="700038"/>
    <s v="Salaries-Service/Support-Productive"/>
    <s v="Spec-EN Cole St-Shared Svc"/>
    <x v="0"/>
    <m/>
    <n v="11653.11"/>
    <n v="10514.71"/>
    <n v="9163.7999999999993"/>
    <n v="13000.61"/>
    <n v="11629.33"/>
    <n v="5539.02"/>
    <n v="11769.53"/>
    <n v="9903.98"/>
    <n v="9736.7099999999991"/>
    <n v="12328.38"/>
    <n v="10282.98"/>
    <n v="9320.35"/>
    <n v="124842.51"/>
    <n v="962.6299999999992"/>
  </r>
  <r>
    <x v="5"/>
    <x v="1"/>
    <x v="0"/>
    <s v="5872200"/>
    <n v="700038"/>
    <s v="Salaries-Service/Support-OT"/>
    <s v="Spec-EN Cole St-Shared Svc"/>
    <x v="0"/>
    <n v="1000"/>
    <n v="50.63"/>
    <n v="394.6"/>
    <n v="103.84"/>
    <n v="875.11"/>
    <n v="-3.56"/>
    <n v="568.91"/>
    <n v="42.16"/>
    <n v="26.46"/>
    <n v="132.43"/>
    <n v="-16.89"/>
    <n v="80.959999999999994"/>
    <n v="37.14"/>
    <n v="2291.79"/>
    <n v="43.819999999999993"/>
  </r>
  <r>
    <x v="5"/>
    <x v="1"/>
    <x v="0"/>
    <s v="5872200"/>
    <n v="700078"/>
    <s v="Salaries-Service/Support-Non-productive"/>
    <s v="Spec-EN Cole St-Shared Svc"/>
    <x v="0"/>
    <m/>
    <n v="1329.25"/>
    <n v="2337.06"/>
    <n v="2186.36"/>
    <n v="1337.2"/>
    <n v="383"/>
    <n v="6448.45"/>
    <n v="1386.19"/>
    <n v="1546.72"/>
    <n v="1661.11"/>
    <n v="471.53"/>
    <n v="2914.8"/>
    <n v="2118.4"/>
    <n v="24120.07"/>
    <n v="796.40000000000009"/>
  </r>
  <r>
    <x v="5"/>
    <x v="1"/>
    <x v="0"/>
    <s v="5872200"/>
    <n v="700078"/>
    <s v="Salaries-Service/Support-NonProd-Other"/>
    <s v="Spec-EN Cole St-Shared Svc"/>
    <x v="0"/>
    <n v="2000"/>
    <n v="0"/>
    <n v="0"/>
    <n v="0"/>
    <n v="0"/>
    <n v="394.87"/>
    <n v="394.87"/>
    <n v="0"/>
    <n v="-789.74"/>
    <n v="0"/>
    <n v="0"/>
    <n v="0"/>
    <n v="0"/>
    <n v="0"/>
    <n v="0"/>
  </r>
  <r>
    <x v="5"/>
    <x v="1"/>
    <x v="0"/>
    <s v="5872200"/>
    <n v="700084"/>
    <s v="Accrued PTO"/>
    <s v="Spec-EN Cole St-Shared Svc"/>
    <x v="0"/>
    <m/>
    <n v="527.58000000000004"/>
    <n v="-333.9"/>
    <n v="-751.64"/>
    <n v="271.32"/>
    <n v="1102.6400000000001"/>
    <n v="-1573.45"/>
    <n v="209.68"/>
    <n v="-68.760000000000005"/>
    <n v="759.76"/>
    <n v="1014.19"/>
    <n v="736.52"/>
    <n v="-602.07000000000005"/>
    <n v="1291.8700000000003"/>
    <n v="1338.5900000000001"/>
  </r>
  <r>
    <x v="6"/>
    <x v="1"/>
    <x v="0"/>
    <s v="5872200"/>
    <n v="713010"/>
    <s v="Benefits-FICA/Medicare"/>
    <s v="Spec-EN Cole St-Shared Svc"/>
    <x v="0"/>
    <m/>
    <n v="1231.25"/>
    <n v="1295.4100000000001"/>
    <n v="1120.9100000000001"/>
    <n v="1438.8"/>
    <n v="1200.3800000000001"/>
    <n v="1160.68"/>
    <n v="1203.96"/>
    <n v="1173.3399999999999"/>
    <n v="1082.73"/>
    <n v="1238.97"/>
    <n v="1330.22"/>
    <n v="1070.8699999999999"/>
    <n v="14547.519999999997"/>
    <n v="259.35000000000014"/>
  </r>
  <r>
    <x v="6"/>
    <x v="1"/>
    <x v="0"/>
    <s v="5872200"/>
    <n v="713090"/>
    <s v="Benefits-Allocated Amounts"/>
    <s v="Spec-EN Cole St-Shared Svc"/>
    <x v="0"/>
    <m/>
    <n v="4154.79"/>
    <n v="3716.03"/>
    <n v="3897.86"/>
    <n v="4400.37"/>
    <n v="3890.31"/>
    <n v="3809.7"/>
    <n v="4525.6400000000003"/>
    <n v="4399.5200000000004"/>
    <n v="4007.65"/>
    <n v="4179.28"/>
    <n v="4574.83"/>
    <n v="3919.03"/>
    <n v="49475.01"/>
    <n v="655.79999999999973"/>
  </r>
  <r>
    <x v="21"/>
    <x v="1"/>
    <x v="0"/>
    <s v="5872200"/>
    <n v="716026"/>
    <s v="Consulting-Clinical"/>
    <s v="Spec-EN Cole St-Shared Svc"/>
    <x v="0"/>
    <m/>
    <n v="0"/>
    <n v="0"/>
    <n v="0"/>
    <n v="0"/>
    <n v="0"/>
    <n v="0"/>
    <n v="2362.5"/>
    <n v="0"/>
    <n v="0"/>
    <n v="0"/>
    <n v="0"/>
    <n v="0"/>
    <n v="2362.5"/>
    <n v="0"/>
  </r>
  <r>
    <x v="7"/>
    <x v="1"/>
    <x v="0"/>
    <s v="5872200"/>
    <n v="718010"/>
    <s v="Media/Print Advertising"/>
    <s v="Spec-EN Cole St-Shared Svc"/>
    <x v="0"/>
    <n v="1004"/>
    <n v="735.65"/>
    <n v="0"/>
    <n v="0"/>
    <n v="-119.61"/>
    <n v="0"/>
    <n v="285.33"/>
    <n v="273.13"/>
    <n v="0"/>
    <n v="0"/>
    <n v="0"/>
    <n v="191.51"/>
    <n v="97.63"/>
    <n v="1463.6399999999999"/>
    <n v="93.88"/>
  </r>
  <r>
    <x v="7"/>
    <x v="1"/>
    <x v="0"/>
    <s v="5872200"/>
    <n v="718050"/>
    <s v="Contract Svcs-Other"/>
    <s v="Spec-EN Cole St-Shared Svc"/>
    <x v="0"/>
    <m/>
    <n v="142.94"/>
    <n v="0"/>
    <n v="0"/>
    <n v="0"/>
    <n v="0"/>
    <n v="0"/>
    <n v="0"/>
    <n v="0"/>
    <n v="402.19"/>
    <n v="0"/>
    <n v="0"/>
    <n v="0"/>
    <n v="545.13"/>
    <n v="0"/>
  </r>
  <r>
    <x v="7"/>
    <x v="1"/>
    <x v="0"/>
    <s v="5872200"/>
    <n v="718050"/>
    <s v="Cleaning Services"/>
    <s v="Spec-EN Cole St-Shared Svc"/>
    <x v="0"/>
    <n v="1011"/>
    <n v="928"/>
    <n v="1228"/>
    <n v="928"/>
    <n v="1228"/>
    <n v="0"/>
    <n v="928"/>
    <n v="928"/>
    <n v="928"/>
    <n v="1019.31"/>
    <n v="300"/>
    <n v="2518.5300000000002"/>
    <n v="928"/>
    <n v="11861.84"/>
    <n v="1590.5300000000002"/>
  </r>
  <r>
    <x v="7"/>
    <x v="1"/>
    <x v="0"/>
    <s v="5872200"/>
    <n v="718050"/>
    <s v="Document Shredding/Storage"/>
    <s v="Spec-EN Cole St-Shared Svc"/>
    <x v="0"/>
    <n v="1012"/>
    <n v="59.58"/>
    <n v="554.55999999999995"/>
    <n v="-30.59"/>
    <n v="77.37"/>
    <n v="90.4"/>
    <n v="100.53"/>
    <n v="99.52"/>
    <n v="98.5"/>
    <n v="104.14"/>
    <n v="-10.039999999999999"/>
    <n v="72"/>
    <n v="34.380000000000003"/>
    <n v="1250.3500000000001"/>
    <n v="37.619999999999997"/>
  </r>
  <r>
    <x v="7"/>
    <x v="1"/>
    <x v="0"/>
    <s v="5872200"/>
    <n v="718050"/>
    <s v="Physician Answering"/>
    <s v="Spec-EN Cole St-Shared Svc"/>
    <x v="0"/>
    <n v="1015"/>
    <n v="460.6"/>
    <n v="588.79999999999995"/>
    <n v="599.20000000000005"/>
    <n v="227"/>
    <n v="713.6"/>
    <n v="544.79999999999995"/>
    <n v="767.8"/>
    <n v="702.8"/>
    <n v="573.79999999999995"/>
    <n v="720.4"/>
    <n v="838.6"/>
    <n v="1213.3"/>
    <n v="7950.7000000000007"/>
    <n v="-374.69999999999993"/>
  </r>
  <r>
    <x v="7"/>
    <x v="1"/>
    <x v="0"/>
    <s v="5872200"/>
    <n v="718050"/>
    <s v="Security"/>
    <s v="Spec-EN Cole St-Shared Svc"/>
    <x v="0"/>
    <n v="1019"/>
    <n v="0"/>
    <n v="562.94000000000005"/>
    <n v="0"/>
    <n v="142.94"/>
    <n v="142.94"/>
    <n v="456.54"/>
    <n v="142.94"/>
    <n v="0"/>
    <n v="0"/>
    <n v="142.94"/>
    <n v="142.94"/>
    <n v="142.94"/>
    <n v="1877.1200000000003"/>
    <n v="0"/>
  </r>
  <r>
    <x v="7"/>
    <x v="1"/>
    <x v="0"/>
    <s v="5872200"/>
    <n v="718050"/>
    <s v="Miscellaneous Purchased Svcs"/>
    <s v="Spec-EN Cole St-Shared Svc"/>
    <x v="0"/>
    <n v="1020"/>
    <n v="0"/>
    <n v="97.68"/>
    <n v="32.56"/>
    <n v="32.56"/>
    <n v="0"/>
    <n v="32.56"/>
    <n v="97.68"/>
    <n v="0"/>
    <n v="32.56"/>
    <n v="0"/>
    <n v="32.56"/>
    <n v="65.12"/>
    <n v="423.28000000000003"/>
    <n v="-32.56"/>
  </r>
  <r>
    <x v="7"/>
    <x v="1"/>
    <x v="0"/>
    <s v="5872200"/>
    <n v="718050"/>
    <s v="Translation Services"/>
    <s v="Spec-EN Cole St-Shared Svc"/>
    <x v="0"/>
    <n v="1025"/>
    <n v="24.3"/>
    <n v="135.81"/>
    <n v="0"/>
    <n v="0"/>
    <n v="0"/>
    <n v="0"/>
    <n v="0"/>
    <n v="0"/>
    <n v="0"/>
    <n v="0"/>
    <n v="0"/>
    <n v="0"/>
    <n v="160.11000000000001"/>
    <n v="0"/>
  </r>
  <r>
    <x v="7"/>
    <x v="1"/>
    <x v="0"/>
    <s v="5872200"/>
    <n v="718050"/>
    <s v="Contract Management--Linen"/>
    <s v="Spec-EN Cole St-Shared Svc"/>
    <x v="0"/>
    <n v="1026"/>
    <n v="636.27"/>
    <n v="848.36"/>
    <n v="636.27"/>
    <n v="424.18"/>
    <n v="1060.45"/>
    <n v="0"/>
    <n v="1004"/>
    <n v="0"/>
    <n v="430.74"/>
    <n v="141.29"/>
    <n v="282.58"/>
    <n v="423.87"/>
    <n v="5888.0099999999993"/>
    <n v="-141.29000000000002"/>
  </r>
  <r>
    <x v="7"/>
    <x v="1"/>
    <x v="0"/>
    <s v="5872200"/>
    <n v="718050"/>
    <s v="Purchased Srvcs--Medical Waste"/>
    <s v="Spec-EN Cole St-Shared Svc"/>
    <x v="0"/>
    <n v="1027"/>
    <n v="124.7"/>
    <n v="20.72"/>
    <n v="41.44"/>
    <n v="31.08"/>
    <n v="20.72"/>
    <n v="20.72"/>
    <n v="34.659999999999997"/>
    <n v="20.72"/>
    <n v="20.72"/>
    <n v="20.72"/>
    <n v="124.97"/>
    <n v="0"/>
    <n v="481.17000000000007"/>
    <n v="124.97"/>
  </r>
  <r>
    <x v="7"/>
    <x v="1"/>
    <x v="0"/>
    <s v="5872200"/>
    <n v="718070"/>
    <s v="Contract Srvcs-CHI Clinical Engineering"/>
    <s v="Spec-EN Cole St-Shared Svc"/>
    <x v="0"/>
    <m/>
    <n v="175"/>
    <n v="1859.53"/>
    <n v="175"/>
    <n v="175"/>
    <n v="0"/>
    <n v="0"/>
    <n v="0"/>
    <n v="771"/>
    <n v="0"/>
    <n v="0"/>
    <n v="0"/>
    <n v="38.369999999999997"/>
    <n v="3193.8999999999996"/>
    <n v="-38.369999999999997"/>
  </r>
  <r>
    <x v="11"/>
    <x v="1"/>
    <x v="0"/>
    <s v="5872200"/>
    <n v="721010"/>
    <s v="Supplies-Medical - Billable"/>
    <s v="Spec-EN Cole St-Shared Svc"/>
    <x v="0"/>
    <m/>
    <n v="10171.200000000001"/>
    <n v="0"/>
    <n v="0"/>
    <n v="8479"/>
    <n v="0"/>
    <n v="0"/>
    <n v="0"/>
    <n v="6875.25"/>
    <n v="11541.5"/>
    <n v="0"/>
    <n v="2046"/>
    <n v="3718.7"/>
    <n v="42831.649999999994"/>
    <n v="-1672.6999999999998"/>
  </r>
  <r>
    <x v="11"/>
    <x v="1"/>
    <x v="0"/>
    <s v="5872200"/>
    <n v="721020"/>
    <s v="Endomechanical Supplies &amp; Instruments"/>
    <s v="Spec-EN Cole St-Shared Svc"/>
    <x v="0"/>
    <n v="1003"/>
    <n v="0"/>
    <n v="0"/>
    <n v="0"/>
    <n v="825.75"/>
    <n v="0"/>
    <n v="825.75"/>
    <n v="12.39"/>
    <n v="1651.5"/>
    <n v="0"/>
    <n v="0"/>
    <n v="0"/>
    <n v="24.77"/>
    <n v="3340.1600000000003"/>
    <n v="-24.77"/>
  </r>
  <r>
    <x v="11"/>
    <x v="1"/>
    <x v="0"/>
    <s v="5872200"/>
    <n v="721250"/>
    <s v="Supplies-Pharmacy Drugs - Billable"/>
    <s v="Spec-EN Cole St-Shared Svc"/>
    <x v="0"/>
    <m/>
    <n v="0"/>
    <n v="0"/>
    <n v="0"/>
    <n v="257.16000000000003"/>
    <n v="265.75"/>
    <n v="331.45"/>
    <n v="1408.83"/>
    <n v="859.3"/>
    <n v="172.86"/>
    <n v="0"/>
    <n v="-3833.72"/>
    <n v="0"/>
    <n v="-538.36999999999989"/>
    <n v="-3833.72"/>
  </r>
  <r>
    <x v="11"/>
    <x v="1"/>
    <x v="0"/>
    <s v="5872200"/>
    <n v="721410"/>
    <s v="Supplies-Medical - Nonbillable"/>
    <s v="Spec-EN Cole St-Shared Svc"/>
    <x v="0"/>
    <m/>
    <n v="1209.74"/>
    <n v="531.87"/>
    <n v="596.76"/>
    <n v="167.55"/>
    <n v="131.63999999999999"/>
    <n v="472.84"/>
    <n v="487.84"/>
    <n v="185.7"/>
    <n v="2363.0500000000002"/>
    <n v="76.05"/>
    <n v="418.36"/>
    <n v="2253.25"/>
    <n v="8894.65"/>
    <n v="-1834.8899999999999"/>
  </r>
  <r>
    <x v="11"/>
    <x v="1"/>
    <x v="0"/>
    <s v="5872200"/>
    <n v="721420"/>
    <s v="Supplies-Surgical Nonbillable"/>
    <s v="Spec-EN Cole St-Shared Svc"/>
    <x v="0"/>
    <m/>
    <n v="0"/>
    <n v="0"/>
    <n v="0"/>
    <n v="0"/>
    <n v="0"/>
    <n v="0"/>
    <n v="0"/>
    <n v="48.86"/>
    <n v="0"/>
    <n v="0"/>
    <n v="0"/>
    <n v="50.32"/>
    <n v="99.18"/>
    <n v="-50.32"/>
  </r>
  <r>
    <x v="11"/>
    <x v="1"/>
    <x v="0"/>
    <s v="5872200"/>
    <n v="721810"/>
    <s v="Supplies-Dietary/Cafeteria"/>
    <s v="Spec-EN Cole St-Shared Svc"/>
    <x v="0"/>
    <m/>
    <n v="0"/>
    <n v="0"/>
    <n v="0"/>
    <n v="0"/>
    <n v="0"/>
    <n v="0"/>
    <n v="0"/>
    <n v="0"/>
    <n v="0"/>
    <n v="0"/>
    <n v="0"/>
    <n v="142.4"/>
    <n v="142.4"/>
    <n v="-142.4"/>
  </r>
  <r>
    <x v="11"/>
    <x v="1"/>
    <x v="0"/>
    <s v="5872200"/>
    <n v="721830"/>
    <s v="Supplies-Office"/>
    <s v="Spec-EN Cole St-Shared Svc"/>
    <x v="0"/>
    <m/>
    <n v="394.17"/>
    <n v="154.74"/>
    <n v="228.43"/>
    <n v="672.85"/>
    <n v="0"/>
    <n v="316.76"/>
    <n v="626"/>
    <n v="66.819999999999993"/>
    <n v="916.87"/>
    <n v="172.39"/>
    <n v="45.18"/>
    <n v="80.92"/>
    <n v="3675.1299999999997"/>
    <n v="-35.74"/>
  </r>
  <r>
    <x v="11"/>
    <x v="1"/>
    <x v="0"/>
    <s v="5872200"/>
    <n v="721835"/>
    <s v="Supplies-Forms"/>
    <s v="Spec-EN Cole St-Shared Svc"/>
    <x v="0"/>
    <m/>
    <n v="0"/>
    <n v="0"/>
    <n v="0"/>
    <n v="0"/>
    <n v="0"/>
    <n v="27"/>
    <n v="0"/>
    <n v="0"/>
    <n v="0"/>
    <n v="0"/>
    <n v="0"/>
    <n v="0"/>
    <n v="27"/>
    <n v="0"/>
  </r>
  <r>
    <x v="11"/>
    <x v="1"/>
    <x v="0"/>
    <s v="5872200"/>
    <n v="722000"/>
    <s v="Supplies-Freight Expense"/>
    <s v="Spec-EN Cole St-Shared Svc"/>
    <x v="0"/>
    <m/>
    <n v="0"/>
    <n v="0"/>
    <n v="0"/>
    <n v="182.69"/>
    <n v="24.78"/>
    <n v="0"/>
    <n v="0"/>
    <n v="0"/>
    <n v="23.87"/>
    <n v="25.45"/>
    <n v="0"/>
    <n v="27.34"/>
    <n v="284.13"/>
    <n v="-27.34"/>
  </r>
  <r>
    <x v="12"/>
    <x v="1"/>
    <x v="0"/>
    <s v="5872200"/>
    <n v="730010"/>
    <s v="Rental and Leases-Building (DO NOT USE)"/>
    <s v="Spec-EN Cole St-Shared Svc"/>
    <x v="0"/>
    <m/>
    <n v="7559.96"/>
    <n v="7559.96"/>
    <n v="7559.96"/>
    <n v="14792.9"/>
    <n v="7559.96"/>
    <n v="327.02"/>
    <n v="7559.96"/>
    <n v="7559.96"/>
    <n v="7559.96"/>
    <n v="7559.96"/>
    <n v="7559.96"/>
    <n v="0"/>
    <n v="83159.560000000012"/>
    <n v="7559.96"/>
  </r>
  <r>
    <x v="12"/>
    <x v="1"/>
    <x v="0"/>
    <s v="5872200"/>
    <n v="730010"/>
    <s v="Rental-Common Area Maint (DO NOT USE)"/>
    <s v="Spec-EN Cole St-Shared Svc"/>
    <x v="0"/>
    <n v="2200"/>
    <n v="0"/>
    <n v="0"/>
    <n v="0"/>
    <n v="0"/>
    <n v="0"/>
    <n v="7232.94"/>
    <n v="0"/>
    <n v="0"/>
    <n v="0"/>
    <n v="6056.48"/>
    <n v="0"/>
    <n v="0"/>
    <n v="13289.419999999998"/>
    <n v="0"/>
  </r>
  <r>
    <x v="12"/>
    <x v="1"/>
    <x v="0"/>
    <s v="5872200"/>
    <n v="730020"/>
    <s v="Rental and Leases-Copier Usage Fees (DO NOT USE)"/>
    <s v="Spec-EN Cole St-Shared Svc"/>
    <x v="0"/>
    <n v="5100"/>
    <n v="458.17"/>
    <n v="466.85"/>
    <n v="462.51"/>
    <n v="462.51"/>
    <n v="462.51"/>
    <n v="462.51"/>
    <n v="-1136.08"/>
    <n v="253.21"/>
    <n v="372.05"/>
    <n v="656.48"/>
    <n v="346.63"/>
    <n v="372.74"/>
    <n v="3640.0900000000011"/>
    <n v="-26.110000000000014"/>
  </r>
  <r>
    <x v="12"/>
    <x v="1"/>
    <x v="0"/>
    <s v="5872200"/>
    <n v="730040"/>
    <s v="LT Lease-Real Estate"/>
    <s v="Spec-EN Cole St-Shared Svc"/>
    <x v="0"/>
    <m/>
    <n v="0"/>
    <n v="0"/>
    <n v="0"/>
    <n v="0"/>
    <n v="0"/>
    <n v="0"/>
    <n v="0"/>
    <n v="0"/>
    <n v="0"/>
    <n v="0"/>
    <n v="0"/>
    <n v="7635.55"/>
    <n v="7635.55"/>
    <n v="-7635.55"/>
  </r>
  <r>
    <x v="15"/>
    <x v="1"/>
    <x v="0"/>
    <s v="5872200"/>
    <n v="731010"/>
    <s v="Natural Gas"/>
    <s v="Spec-EN Cole St-Shared Svc"/>
    <x v="0"/>
    <m/>
    <n v="12.53"/>
    <n v="10.84"/>
    <n v="10.84"/>
    <n v="19.260000000000002"/>
    <n v="79.040000000000006"/>
    <n v="154.81"/>
    <n v="196.9"/>
    <n v="224.68"/>
    <n v="254.16"/>
    <n v="207"/>
    <n v="121.13"/>
    <n v="48.73"/>
    <n v="1339.92"/>
    <n v="72.400000000000006"/>
  </r>
  <r>
    <x v="15"/>
    <x v="1"/>
    <x v="0"/>
    <s v="5872200"/>
    <n v="731020"/>
    <s v="Electricity"/>
    <s v="Spec-EN Cole St-Shared Svc"/>
    <x v="0"/>
    <m/>
    <n v="700.19"/>
    <n v="639.67999999999995"/>
    <n v="663.89"/>
    <n v="549.89"/>
    <n v="601.71"/>
    <n v="630.87"/>
    <n v="610.28"/>
    <n v="607.41"/>
    <n v="599.04"/>
    <n v="529.41"/>
    <n v="568.19000000000005"/>
    <n v="514.38"/>
    <n v="7214.94"/>
    <n v="53.810000000000059"/>
  </r>
  <r>
    <x v="15"/>
    <x v="1"/>
    <x v="0"/>
    <s v="5872200"/>
    <n v="731030"/>
    <s v="Water"/>
    <s v="Spec-EN Cole St-Shared Svc"/>
    <x v="0"/>
    <m/>
    <n v="48.38"/>
    <n v="43.52"/>
    <n v="45.95"/>
    <n v="56.81"/>
    <n v="61.67"/>
    <n v="59.24"/>
    <n v="59.24"/>
    <n v="61.67"/>
    <n v="57.72"/>
    <n v="59.24"/>
    <n v="54.38"/>
    <n v="51.95"/>
    <n v="659.7700000000001"/>
    <n v="2.4299999999999997"/>
  </r>
  <r>
    <x v="15"/>
    <x v="1"/>
    <x v="0"/>
    <s v="5872200"/>
    <n v="731040"/>
    <s v="Sewer"/>
    <s v="Spec-EN Cole St-Shared Svc"/>
    <x v="0"/>
    <m/>
    <n v="103.49"/>
    <n v="85.27"/>
    <n v="94.38"/>
    <n v="76.16"/>
    <n v="94.38"/>
    <n v="85.27"/>
    <n v="85.27"/>
    <n v="84.95"/>
    <n v="74.77"/>
    <n v="76.75"/>
    <n v="60.35"/>
    <n v="52.15"/>
    <n v="973.18999999999994"/>
    <n v="8.2000000000000028"/>
  </r>
  <r>
    <x v="15"/>
    <x v="1"/>
    <x v="0"/>
    <s v="5872200"/>
    <n v="731050"/>
    <s v="Refuse Disposal"/>
    <s v="Spec-EN Cole St-Shared Svc"/>
    <x v="0"/>
    <m/>
    <n v="137.38"/>
    <n v="137.38"/>
    <n v="137.38"/>
    <n v="137.38"/>
    <n v="169.08"/>
    <n v="137.38"/>
    <n v="137.38"/>
    <n v="189.02"/>
    <n v="169.79"/>
    <n v="143.57"/>
    <n v="143.57"/>
    <n v="143.57"/>
    <n v="1782.8799999999999"/>
    <n v="0"/>
  </r>
  <r>
    <x v="15"/>
    <x v="1"/>
    <x v="0"/>
    <s v="5872200"/>
    <n v="731060"/>
    <s v="Pagers"/>
    <s v="Spec-EN Cole St-Shared Svc"/>
    <x v="0"/>
    <n v="1002"/>
    <n v="36.9"/>
    <n v="36.9"/>
    <n v="62.84"/>
    <n v="24.36"/>
    <n v="-21.12"/>
    <n v="0"/>
    <n v="0"/>
    <n v="0"/>
    <n v="0"/>
    <n v="0"/>
    <n v="0"/>
    <n v="0"/>
    <n v="139.88"/>
    <n v="0"/>
  </r>
  <r>
    <x v="15"/>
    <x v="1"/>
    <x v="0"/>
    <s v="5872200"/>
    <n v="731090"/>
    <s v="Other Utilities"/>
    <s v="Spec-EN Cole St-Shared Svc"/>
    <x v="0"/>
    <m/>
    <n v="0"/>
    <n v="0"/>
    <n v="0"/>
    <n v="0"/>
    <n v="0"/>
    <n v="0"/>
    <n v="779.38"/>
    <n v="0"/>
    <n v="0"/>
    <n v="0"/>
    <n v="0"/>
    <n v="0"/>
    <n v="779.38"/>
    <n v="0"/>
  </r>
  <r>
    <x v="16"/>
    <x v="1"/>
    <x v="0"/>
    <s v="5872200"/>
    <n v="732030"/>
    <s v="Repairs---Other"/>
    <s v="Spec-EN Cole St-Shared Svc"/>
    <x v="0"/>
    <m/>
    <n v="0"/>
    <n v="0"/>
    <n v="281.25"/>
    <n v="0"/>
    <n v="127.73"/>
    <n v="0"/>
    <n v="642.44000000000005"/>
    <n v="0"/>
    <n v="2060.9299999999998"/>
    <n v="0"/>
    <n v="0"/>
    <n v="163.05000000000001"/>
    <n v="3275.4"/>
    <n v="-163.05000000000001"/>
  </r>
  <r>
    <x v="16"/>
    <x v="1"/>
    <x v="0"/>
    <s v="5872200"/>
    <n v="733030"/>
    <s v="Maintenance Contracts-Other"/>
    <s v="Spec-EN Cole St-Shared Svc"/>
    <x v="0"/>
    <m/>
    <n v="0"/>
    <n v="733.73"/>
    <n v="0"/>
    <n v="0"/>
    <n v="733.73"/>
    <n v="0"/>
    <n v="107.62"/>
    <n v="0"/>
    <n v="0"/>
    <n v="1228.22"/>
    <n v="779.38"/>
    <n v="0"/>
    <n v="3582.6800000000003"/>
    <n v="779.38"/>
  </r>
  <r>
    <x v="13"/>
    <x v="1"/>
    <x v="0"/>
    <s v="5872200"/>
    <n v="735070"/>
    <s v="Depreciation-Movable Equipment"/>
    <s v="Spec-EN Cole St-Shared Svc"/>
    <x v="0"/>
    <m/>
    <n v="859.82"/>
    <n v="859.81"/>
    <n v="859.82"/>
    <n v="859.8"/>
    <n v="859.82"/>
    <n v="859.79"/>
    <n v="859.82"/>
    <n v="859.78"/>
    <n v="859.82"/>
    <n v="859.78"/>
    <n v="859.82"/>
    <n v="859.76"/>
    <n v="10317.64"/>
    <n v="6.0000000000059117E-2"/>
  </r>
  <r>
    <x v="0"/>
    <x v="1"/>
    <x v="0"/>
    <s v="5872200"/>
    <n v="742040"/>
    <s v="Freight-Other"/>
    <s v="Spec-EN Cole St-Shared Svc"/>
    <x v="0"/>
    <m/>
    <n v="0"/>
    <n v="0"/>
    <n v="0"/>
    <n v="119.61"/>
    <n v="0"/>
    <n v="0"/>
    <n v="0"/>
    <n v="0"/>
    <n v="0"/>
    <n v="0"/>
    <n v="0"/>
    <n v="0"/>
    <n v="119.61"/>
    <n v="0"/>
  </r>
  <r>
    <x v="0"/>
    <x v="1"/>
    <x v="0"/>
    <s v="5872200"/>
    <n v="743030"/>
    <s v="Subscriptions--Institutional"/>
    <s v="Spec-EN Cole St-Shared Svc"/>
    <x v="0"/>
    <m/>
    <n v="0"/>
    <n v="0"/>
    <n v="0"/>
    <n v="0"/>
    <n v="29.19"/>
    <n v="0"/>
    <n v="0"/>
    <n v="0"/>
    <n v="0"/>
    <n v="0"/>
    <n v="0"/>
    <n v="0"/>
    <n v="29.19"/>
    <n v="0"/>
  </r>
  <r>
    <x v="0"/>
    <x v="1"/>
    <x v="0"/>
    <s v="5872200"/>
    <n v="749510"/>
    <s v="Miscellaneous Expenses"/>
    <s v="Spec-EN Cole St-Shared Svc"/>
    <x v="0"/>
    <m/>
    <n v="0"/>
    <n v="0"/>
    <n v="0"/>
    <n v="1007.11"/>
    <n v="0"/>
    <n v="0"/>
    <n v="0"/>
    <n v="0"/>
    <n v="0"/>
    <n v="0"/>
    <n v="0"/>
    <n v="0"/>
    <n v="1007.11"/>
    <n v="0"/>
  </r>
  <r>
    <x v="0"/>
    <x v="1"/>
    <x v="0"/>
    <s v="5872200"/>
    <n v="749510"/>
    <s v="Licenses"/>
    <s v="Spec-EN Cole St-Shared Svc"/>
    <x v="0"/>
    <n v="1002"/>
    <n v="0"/>
    <n v="0"/>
    <n v="530"/>
    <n v="0"/>
    <n v="0"/>
    <n v="0"/>
    <n v="0"/>
    <n v="44"/>
    <n v="0"/>
    <n v="53"/>
    <n v="0"/>
    <n v="0"/>
    <n v="627"/>
    <n v="0"/>
  </r>
  <r>
    <x v="0"/>
    <x v="1"/>
    <x v="0"/>
    <s v="5872200"/>
    <n v="749530"/>
    <s v="Mileage"/>
    <s v="Spec-EN Cole St-Shared Svc"/>
    <x v="0"/>
    <n v="1001"/>
    <n v="0"/>
    <n v="0"/>
    <n v="0"/>
    <n v="0"/>
    <n v="0"/>
    <n v="0"/>
    <n v="0"/>
    <n v="0"/>
    <n v="0"/>
    <n v="32.479999999999997"/>
    <n v="0"/>
    <n v="0"/>
    <n v="32.479999999999997"/>
    <n v="0"/>
  </r>
  <r>
    <x v="0"/>
    <x v="1"/>
    <x v="0"/>
    <s v="5872200"/>
    <n v="749550"/>
    <s v="Cash Over/Short"/>
    <s v="Spec-EN Cole St-Shared Svc"/>
    <x v="0"/>
    <m/>
    <n v="0"/>
    <n v="5"/>
    <n v="0"/>
    <n v="0"/>
    <n v="0"/>
    <n v="0"/>
    <n v="0"/>
    <n v="0"/>
    <n v="-1"/>
    <n v="5"/>
    <n v="10"/>
    <n v="0"/>
    <n v="19"/>
    <n v="10"/>
  </r>
  <r>
    <x v="0"/>
    <x v="1"/>
    <x v="0"/>
    <s v="5872200"/>
    <n v="749591"/>
    <s v="Other Expense-Intracompany Allocation"/>
    <s v="Spec-EN Cole St-Shared Svc"/>
    <x v="0"/>
    <m/>
    <n v="-47375.23"/>
    <n v="-39505.53"/>
    <n v="-33537.9"/>
    <n v="-56615.35"/>
    <n v="-35052.410000000003"/>
    <n v="-33983.65"/>
    <n v="-40643.06"/>
    <n v="-42877.69"/>
    <n v="-50325.42"/>
    <n v="-42429.97"/>
    <n v="-38227.18"/>
    <n v="460573.39"/>
    <n v="0"/>
    <n v="-498800.57"/>
  </r>
  <r>
    <x v="0"/>
    <x v="1"/>
    <x v="0"/>
    <s v="5872200"/>
    <n v="766010"/>
    <s v="Property Tax"/>
    <s v="Spec-EN Cole St-Shared Svc"/>
    <x v="0"/>
    <m/>
    <n v="58.36"/>
    <n v="58.36"/>
    <n v="58.36"/>
    <n v="58.36"/>
    <n v="58.36"/>
    <n v="58.36"/>
    <n v="58.36"/>
    <n v="58.36"/>
    <n v="58.36"/>
    <n v="-6.02"/>
    <n v="42.25"/>
    <n v="42.25"/>
    <n v="603.72"/>
    <n v="0"/>
  </r>
  <r>
    <x v="5"/>
    <x v="1"/>
    <x v="0"/>
    <s v="5874200"/>
    <n v="700018"/>
    <s v="Salaries-Supervisory-Productive"/>
    <s v="GH-Dermatology Shared Svc"/>
    <x v="0"/>
    <m/>
    <n v="0"/>
    <n v="0"/>
    <n v="0"/>
    <n v="0"/>
    <n v="0"/>
    <n v="522.48"/>
    <n v="448.52"/>
    <n v="323.91000000000003"/>
    <n v="573.07000000000005"/>
    <n v="0"/>
    <n v="0"/>
    <n v="0"/>
    <n v="1867.98"/>
    <n v="0"/>
  </r>
  <r>
    <x v="5"/>
    <x v="1"/>
    <x v="0"/>
    <s v="5874200"/>
    <n v="700032"/>
    <s v="Salaries-Other Pat Care Providers-Productive"/>
    <s v="GH-Dermatology Shared Svc"/>
    <x v="0"/>
    <m/>
    <n v="0"/>
    <n v="0"/>
    <n v="0"/>
    <n v="0"/>
    <n v="0"/>
    <n v="0"/>
    <n v="0"/>
    <n v="0"/>
    <n v="105.72"/>
    <n v="0"/>
    <n v="0"/>
    <n v="0"/>
    <n v="105.72"/>
    <n v="0"/>
  </r>
  <r>
    <x v="5"/>
    <x v="1"/>
    <x v="0"/>
    <s v="5874200"/>
    <n v="700038"/>
    <s v="Salaries-Service/Support-Productive"/>
    <s v="GH-Dermatology Shared Svc"/>
    <x v="0"/>
    <m/>
    <n v="0"/>
    <n v="0"/>
    <n v="186.37"/>
    <n v="0"/>
    <n v="415.62"/>
    <n v="-207.81"/>
    <n v="0"/>
    <n v="0"/>
    <n v="0"/>
    <n v="186.43"/>
    <n v="0"/>
    <n v="0"/>
    <n v="580.61"/>
    <n v="0"/>
  </r>
  <r>
    <x v="6"/>
    <x v="1"/>
    <x v="0"/>
    <s v="5874200"/>
    <n v="713010"/>
    <s v="Benefits-FICA/Medicare"/>
    <s v="GH-Dermatology Shared Svc"/>
    <x v="0"/>
    <m/>
    <n v="0"/>
    <n v="0"/>
    <n v="13.76"/>
    <n v="0"/>
    <n v="30.84"/>
    <n v="21.26"/>
    <n v="31.22"/>
    <n v="22.54"/>
    <n v="47.51"/>
    <n v="13.76"/>
    <n v="0"/>
    <n v="0"/>
    <n v="180.89"/>
    <n v="0"/>
  </r>
  <r>
    <x v="6"/>
    <x v="1"/>
    <x v="0"/>
    <s v="5874200"/>
    <n v="713090"/>
    <s v="Benefits-Allocated Amounts"/>
    <s v="GH-Dermatology Shared Svc"/>
    <x v="0"/>
    <m/>
    <n v="0"/>
    <n v="0"/>
    <n v="64.17"/>
    <n v="22.8"/>
    <n v="22.46"/>
    <n v="78.09"/>
    <n v="195.79"/>
    <n v="59.65"/>
    <n v="60.56"/>
    <n v="60.46"/>
    <n v="59.6"/>
    <n v="59.21"/>
    <n v="682.79000000000008"/>
    <n v="0.39000000000000057"/>
  </r>
  <r>
    <x v="7"/>
    <x v="1"/>
    <x v="0"/>
    <s v="5874200"/>
    <n v="718010"/>
    <s v="Media/Print Advertising"/>
    <s v="GH-Dermatology Shared Svc"/>
    <x v="0"/>
    <n v="1004"/>
    <n v="0"/>
    <n v="0"/>
    <n v="0"/>
    <n v="132.34"/>
    <n v="0"/>
    <n v="98.92"/>
    <n v="0"/>
    <n v="0"/>
    <n v="0"/>
    <n v="0"/>
    <n v="0"/>
    <n v="0"/>
    <n v="231.26"/>
    <n v="0"/>
  </r>
  <r>
    <x v="7"/>
    <x v="1"/>
    <x v="0"/>
    <s v="5874200"/>
    <n v="718050"/>
    <s v="Contract Svcs-Other"/>
    <s v="GH-Dermatology Shared Svc"/>
    <x v="0"/>
    <m/>
    <n v="0"/>
    <n v="0"/>
    <n v="0"/>
    <n v="0"/>
    <n v="0"/>
    <n v="0"/>
    <n v="697.06"/>
    <n v="0"/>
    <n v="86.51"/>
    <n v="0"/>
    <n v="0"/>
    <n v="0"/>
    <n v="783.56999999999994"/>
    <n v="0"/>
  </r>
  <r>
    <x v="7"/>
    <x v="1"/>
    <x v="0"/>
    <s v="5874200"/>
    <n v="718050"/>
    <s v="Physician Answering"/>
    <s v="GH-Dermatology Shared Svc"/>
    <x v="0"/>
    <n v="1015"/>
    <n v="131.80000000000001"/>
    <n v="122.4"/>
    <n v="212.2"/>
    <n v="76.2"/>
    <n v="162.6"/>
    <n v="217.4"/>
    <n v="226.6"/>
    <n v="242.4"/>
    <n v="150.6"/>
    <n v="207.6"/>
    <n v="92.2"/>
    <n v="65.400000000000006"/>
    <n v="1907.4"/>
    <n v="26.799999999999997"/>
  </r>
  <r>
    <x v="7"/>
    <x v="1"/>
    <x v="0"/>
    <s v="5874200"/>
    <n v="718050"/>
    <s v="Miscellaneous Purchased Svcs"/>
    <s v="GH-Dermatology Shared Svc"/>
    <x v="0"/>
    <n v="1020"/>
    <n v="0"/>
    <n v="97.5"/>
    <n v="32.5"/>
    <n v="32.5"/>
    <n v="0"/>
    <n v="32.5"/>
    <n v="0"/>
    <n v="65"/>
    <n v="32.5"/>
    <n v="0"/>
    <n v="32.5"/>
    <n v="0"/>
    <n v="325"/>
    <n v="32.5"/>
  </r>
  <r>
    <x v="7"/>
    <x v="1"/>
    <x v="0"/>
    <s v="5874200"/>
    <n v="718050"/>
    <s v="Contract Management--Linen"/>
    <s v="GH-Dermatology Shared Svc"/>
    <x v="0"/>
    <n v="1026"/>
    <n v="158"/>
    <n v="276.61"/>
    <n v="79"/>
    <n v="164.56"/>
    <n v="167.19"/>
    <n v="40.83"/>
    <n v="209"/>
    <n v="83.62"/>
    <n v="129.38999999999999"/>
    <n v="0"/>
    <n v="0"/>
    <n v="83.62"/>
    <n v="1391.8199999999997"/>
    <n v="-83.62"/>
  </r>
  <r>
    <x v="7"/>
    <x v="1"/>
    <x v="0"/>
    <s v="5874200"/>
    <n v="718050"/>
    <s v="Purchased Srvcs--Medical Waste"/>
    <s v="GH-Dermatology Shared Svc"/>
    <x v="0"/>
    <n v="1027"/>
    <n v="0"/>
    <n v="600.78"/>
    <n v="0"/>
    <n v="0"/>
    <n v="0"/>
    <n v="0"/>
    <n v="300.39"/>
    <n v="0"/>
    <n v="0"/>
    <n v="0"/>
    <n v="0"/>
    <n v="0"/>
    <n v="901.17"/>
    <n v="0"/>
  </r>
  <r>
    <x v="7"/>
    <x v="1"/>
    <x v="0"/>
    <s v="5874200"/>
    <n v="718070"/>
    <s v="Contract Srvcs-CHI Clinical Engineering"/>
    <s v="GH-Dermatology Shared Svc"/>
    <x v="0"/>
    <m/>
    <n v="0"/>
    <n v="0"/>
    <n v="0"/>
    <n v="0"/>
    <n v="0"/>
    <n v="0"/>
    <n v="506.5"/>
    <n v="0"/>
    <n v="0"/>
    <n v="0"/>
    <n v="0"/>
    <n v="0"/>
    <n v="506.5"/>
    <n v="0"/>
  </r>
  <r>
    <x v="11"/>
    <x v="1"/>
    <x v="0"/>
    <s v="5874200"/>
    <n v="721010"/>
    <s v="Supplies-Medical - Billable"/>
    <s v="GH-Dermatology Shared Svc"/>
    <x v="0"/>
    <m/>
    <n v="3390.4"/>
    <n v="4239.5"/>
    <n v="0"/>
    <n v="0"/>
    <n v="0"/>
    <n v="0"/>
    <n v="0"/>
    <n v="0"/>
    <n v="0"/>
    <n v="0"/>
    <n v="0"/>
    <n v="0"/>
    <n v="7629.9"/>
    <n v="0"/>
  </r>
  <r>
    <x v="11"/>
    <x v="1"/>
    <x v="0"/>
    <s v="5874200"/>
    <n v="721250"/>
    <s v="Supplies-Pharmacy Drugs - Billable"/>
    <s v="GH-Dermatology Shared Svc"/>
    <x v="0"/>
    <m/>
    <n v="0"/>
    <n v="-1126.44"/>
    <n v="437.49"/>
    <n v="77.69"/>
    <n v="0"/>
    <n v="0"/>
    <n v="0"/>
    <n v="0"/>
    <n v="0"/>
    <n v="0"/>
    <n v="6981.32"/>
    <n v="0"/>
    <n v="6370.0599999999995"/>
    <n v="6981.32"/>
  </r>
  <r>
    <x v="11"/>
    <x v="1"/>
    <x v="0"/>
    <s v="5874200"/>
    <n v="721410"/>
    <s v="Supplies-Medical - Nonbillable"/>
    <s v="GH-Dermatology Shared Svc"/>
    <x v="0"/>
    <m/>
    <n v="4659.05"/>
    <n v="2106.41"/>
    <n v="565.16999999999996"/>
    <n v="1247.3800000000001"/>
    <n v="963.25"/>
    <n v="2625.14"/>
    <n v="859.48"/>
    <n v="1631.62"/>
    <n v="219.88"/>
    <n v="0"/>
    <n v="358.69"/>
    <n v="-55.13"/>
    <n v="15180.94"/>
    <n v="413.82"/>
  </r>
  <r>
    <x v="11"/>
    <x v="1"/>
    <x v="0"/>
    <s v="5874200"/>
    <n v="721830"/>
    <s v="Supplies-Office"/>
    <s v="GH-Dermatology Shared Svc"/>
    <x v="0"/>
    <m/>
    <n v="1130.6199999999999"/>
    <n v="78.319999999999993"/>
    <n v="0"/>
    <n v="100.1"/>
    <n v="0"/>
    <n v="705.65"/>
    <n v="54.39"/>
    <n v="0"/>
    <n v="0"/>
    <n v="0"/>
    <n v="0"/>
    <n v="-0.77"/>
    <n v="2068.3099999999995"/>
    <n v="0.77"/>
  </r>
  <r>
    <x v="11"/>
    <x v="1"/>
    <x v="0"/>
    <s v="5874200"/>
    <n v="721835"/>
    <s v="Supplies-Forms"/>
    <s v="GH-Dermatology Shared Svc"/>
    <x v="0"/>
    <m/>
    <n v="0"/>
    <n v="0"/>
    <n v="0"/>
    <n v="0"/>
    <n v="9"/>
    <n v="0"/>
    <n v="0"/>
    <n v="0"/>
    <n v="0"/>
    <n v="0"/>
    <n v="0"/>
    <n v="0"/>
    <n v="9"/>
    <n v="0"/>
  </r>
  <r>
    <x v="11"/>
    <x v="1"/>
    <x v="0"/>
    <s v="5874200"/>
    <n v="722000"/>
    <s v="Supplies-Freight Expense"/>
    <s v="GH-Dermatology Shared Svc"/>
    <x v="0"/>
    <m/>
    <n v="0"/>
    <n v="0"/>
    <n v="0"/>
    <n v="60.06"/>
    <n v="0"/>
    <n v="0"/>
    <n v="0"/>
    <n v="0"/>
    <n v="0"/>
    <n v="0"/>
    <n v="0"/>
    <n v="55.9"/>
    <n v="115.96000000000001"/>
    <n v="-55.9"/>
  </r>
  <r>
    <x v="12"/>
    <x v="1"/>
    <x v="0"/>
    <s v="5874200"/>
    <n v="730010"/>
    <s v="Rental and Leases-Building (DO NOT USE)"/>
    <s v="GH-Dermatology Shared Svc"/>
    <x v="0"/>
    <m/>
    <n v="4205.9399999999996"/>
    <n v="4205.9399999999996"/>
    <n v="4205.9399999999996"/>
    <n v="4205.9399999999996"/>
    <n v="4205.9399999999996"/>
    <n v="-2835.59"/>
    <n v="3095.26"/>
    <n v="3095.26"/>
    <n v="3095.81"/>
    <n v="0"/>
    <n v="0"/>
    <n v="0"/>
    <n v="27480.44"/>
    <n v="0"/>
  </r>
  <r>
    <x v="12"/>
    <x v="1"/>
    <x v="0"/>
    <s v="5874200"/>
    <n v="730010"/>
    <s v="Rental-Common Area Maint (DO NOT USE)"/>
    <s v="GH-Dermatology Shared Svc"/>
    <x v="0"/>
    <n v="2200"/>
    <n v="0"/>
    <n v="0"/>
    <n v="0"/>
    <n v="0"/>
    <n v="0"/>
    <n v="7117.03"/>
    <n v="1186.18"/>
    <n v="1186.18"/>
    <n v="1517.37"/>
    <n v="0"/>
    <n v="0"/>
    <n v="0"/>
    <n v="11006.759999999998"/>
    <n v="0"/>
  </r>
  <r>
    <x v="12"/>
    <x v="1"/>
    <x v="0"/>
    <s v="5874200"/>
    <n v="730020"/>
    <s v="Rental and Leases-Equipment (DO NOT USE)"/>
    <s v="GH-Dermatology Shared Svc"/>
    <x v="0"/>
    <m/>
    <n v="0"/>
    <n v="0"/>
    <n v="0"/>
    <n v="0"/>
    <n v="0"/>
    <n v="0"/>
    <n v="55.6"/>
    <n v="0"/>
    <n v="0"/>
    <n v="0"/>
    <n v="0"/>
    <n v="0"/>
    <n v="55.6"/>
    <n v="0"/>
  </r>
  <r>
    <x v="12"/>
    <x v="1"/>
    <x v="0"/>
    <s v="5874200"/>
    <n v="730020"/>
    <s v="Rental and Leases-Copier Usage Fees (DO NOT USE)"/>
    <s v="GH-Dermatology Shared Svc"/>
    <x v="0"/>
    <n v="5100"/>
    <n v="61.42"/>
    <n v="66.930000000000007"/>
    <n v="64.180000000000007"/>
    <n v="64.180000000000007"/>
    <n v="64.180000000000007"/>
    <n v="64.180000000000007"/>
    <n v="447.23"/>
    <n v="95.8"/>
    <n v="95.6"/>
    <n v="101.12"/>
    <n v="0"/>
    <n v="0"/>
    <n v="1124.8200000000002"/>
    <n v="0"/>
  </r>
  <r>
    <x v="16"/>
    <x v="1"/>
    <x v="0"/>
    <s v="5874200"/>
    <n v="732030"/>
    <s v="Repairs---Other"/>
    <s v="GH-Dermatology Shared Svc"/>
    <x v="0"/>
    <m/>
    <n v="0"/>
    <n v="303.8"/>
    <n v="0"/>
    <n v="41.55"/>
    <n v="81.77"/>
    <n v="0"/>
    <n v="0"/>
    <n v="0"/>
    <n v="0"/>
    <n v="0"/>
    <n v="0"/>
    <n v="0"/>
    <n v="427.12"/>
    <n v="0"/>
  </r>
  <r>
    <x v="16"/>
    <x v="1"/>
    <x v="0"/>
    <s v="5874200"/>
    <n v="732030"/>
    <s v="Repairs&amp;Maintenance-Bldg Routine"/>
    <s v="GH-Dermatology Shared Svc"/>
    <x v="0"/>
    <n v="2300"/>
    <n v="0"/>
    <n v="245.63"/>
    <n v="0"/>
    <n v="0"/>
    <n v="0"/>
    <n v="0"/>
    <n v="0"/>
    <n v="0"/>
    <n v="0"/>
    <n v="0"/>
    <n v="0"/>
    <n v="0"/>
    <n v="245.63"/>
    <n v="0"/>
  </r>
  <r>
    <x v="13"/>
    <x v="1"/>
    <x v="0"/>
    <s v="5874200"/>
    <n v="735050"/>
    <s v="Amortization-Leasehold Improvements"/>
    <s v="GH-Dermatology Shared Svc"/>
    <x v="0"/>
    <m/>
    <n v="0"/>
    <n v="0"/>
    <n v="0"/>
    <n v="0"/>
    <n v="0"/>
    <n v="0"/>
    <n v="200.86"/>
    <n v="200.85"/>
    <n v="200.86"/>
    <n v="200.85"/>
    <n v="0"/>
    <n v="0"/>
    <n v="803.42000000000007"/>
    <n v="0"/>
  </r>
  <r>
    <x v="0"/>
    <x v="1"/>
    <x v="0"/>
    <s v="5874200"/>
    <n v="749510"/>
    <s v="Miscellaneous Expenses"/>
    <s v="GH-Dermatology Shared Svc"/>
    <x v="0"/>
    <m/>
    <n v="-416.31"/>
    <n v="0"/>
    <n v="0"/>
    <n v="0"/>
    <n v="0"/>
    <n v="0"/>
    <n v="0"/>
    <n v="0"/>
    <n v="0"/>
    <n v="0"/>
    <n v="0"/>
    <n v="0"/>
    <n v="-416.31"/>
    <n v="0"/>
  </r>
  <r>
    <x v="0"/>
    <x v="1"/>
    <x v="0"/>
    <s v="5874200"/>
    <n v="749510"/>
    <s v="RICE Rewards"/>
    <s v="GH-Dermatology Shared Svc"/>
    <x v="0"/>
    <n v="5100"/>
    <n v="0"/>
    <n v="0"/>
    <n v="0"/>
    <n v="0"/>
    <n v="0"/>
    <n v="97.67"/>
    <n v="0"/>
    <n v="0"/>
    <n v="0"/>
    <n v="0"/>
    <n v="0"/>
    <n v="0"/>
    <n v="97.67"/>
    <n v="0"/>
  </r>
  <r>
    <x v="7"/>
    <x v="1"/>
    <x v="0"/>
    <s v="5875200"/>
    <n v="718050"/>
    <s v="Document Shredding/Storage"/>
    <s v="Behavioral Medicine-Shared Svc"/>
    <x v="0"/>
    <n v="1012"/>
    <n v="3.79"/>
    <n v="3.8"/>
    <n v="3.61"/>
    <n v="3.7"/>
    <n v="3.82"/>
    <n v="3.82"/>
    <n v="3.78"/>
    <n v="3.24"/>
    <n v="3.36"/>
    <n v="4.41"/>
    <n v="3.7"/>
    <n v="3.81"/>
    <n v="44.84"/>
    <n v="-0.10999999999999988"/>
  </r>
  <r>
    <x v="7"/>
    <x v="1"/>
    <x v="0"/>
    <s v="5875200"/>
    <n v="718050"/>
    <s v="Translation Services"/>
    <s v="Behavioral Medicine-Shared Svc"/>
    <x v="0"/>
    <n v="1025"/>
    <n v="40"/>
    <n v="0"/>
    <n v="0"/>
    <n v="0"/>
    <n v="0"/>
    <n v="0"/>
    <n v="0"/>
    <n v="0"/>
    <n v="0"/>
    <n v="0"/>
    <n v="0"/>
    <n v="0"/>
    <n v="40"/>
    <n v="0"/>
  </r>
  <r>
    <x v="12"/>
    <x v="1"/>
    <x v="0"/>
    <s v="5875200"/>
    <n v="730020"/>
    <s v="Rental and Leases-Copier Usage Fees (DO NOT USE)"/>
    <s v="Behavioral Medicine-Shared Svc"/>
    <x v="0"/>
    <n v="5100"/>
    <n v="4.04"/>
    <n v="3.24"/>
    <n v="3.64"/>
    <n v="3.64"/>
    <n v="3.64"/>
    <n v="3.64"/>
    <n v="-47.32"/>
    <n v="0"/>
    <n v="0"/>
    <n v="0"/>
    <n v="0"/>
    <n v="0"/>
    <n v="-25.48"/>
    <n v="0"/>
  </r>
  <r>
    <x v="7"/>
    <x v="1"/>
    <x v="0"/>
    <s v="5877200"/>
    <n v="718050"/>
    <s v="Contract Svcs-Other"/>
    <s v="PNWMF-FW"/>
    <x v="0"/>
    <m/>
    <n v="86.23"/>
    <n v="86.23"/>
    <n v="86.23"/>
    <n v="86.23"/>
    <n v="86.23"/>
    <n v="0"/>
    <n v="258.69"/>
    <n v="63.42"/>
    <n v="63.42"/>
    <n v="0"/>
    <n v="63.42"/>
    <n v="52.85"/>
    <n v="932.94999999999993"/>
    <n v="10.57"/>
  </r>
  <r>
    <x v="7"/>
    <x v="1"/>
    <x v="0"/>
    <s v="5877200"/>
    <n v="718050"/>
    <s v="Translation Services"/>
    <s v="PNWMF-FW"/>
    <x v="0"/>
    <n v="1025"/>
    <n v="29.16"/>
    <n v="0"/>
    <n v="0"/>
    <n v="52.14"/>
    <n v="43.45"/>
    <n v="22.91"/>
    <n v="94.01"/>
    <n v="0"/>
    <n v="0"/>
    <n v="7.9"/>
    <n v="15.01"/>
    <n v="111.39"/>
    <n v="375.97"/>
    <n v="-96.38"/>
  </r>
  <r>
    <x v="7"/>
    <x v="1"/>
    <x v="0"/>
    <s v="5877200"/>
    <n v="718050"/>
    <s v="Purchased Srvcs--Medical Waste"/>
    <s v="PNWMF-FW"/>
    <x v="0"/>
    <n v="1027"/>
    <n v="11.16"/>
    <n v="11.16"/>
    <n v="11.16"/>
    <n v="0"/>
    <n v="11.16"/>
    <n v="11.16"/>
    <n v="22.32"/>
    <n v="11.16"/>
    <n v="0"/>
    <n v="22.32"/>
    <n v="0"/>
    <n v="11.16"/>
    <n v="122.75999999999999"/>
    <n v="-11.16"/>
  </r>
  <r>
    <x v="11"/>
    <x v="1"/>
    <x v="0"/>
    <s v="5877200"/>
    <n v="721250"/>
    <s v="Supplies-Pharmacy Drugs - Billable"/>
    <s v="PNWMF-FW"/>
    <x v="0"/>
    <m/>
    <n v="0"/>
    <n v="0"/>
    <n v="0"/>
    <n v="0"/>
    <n v="0"/>
    <n v="0"/>
    <n v="0"/>
    <n v="0"/>
    <n v="0"/>
    <n v="0"/>
    <n v="96.03"/>
    <n v="0"/>
    <n v="96.03"/>
    <n v="96.03"/>
  </r>
  <r>
    <x v="11"/>
    <x v="1"/>
    <x v="0"/>
    <s v="5877200"/>
    <n v="721830"/>
    <s v="Supplies-Office"/>
    <s v="PNWMF-FW"/>
    <x v="0"/>
    <m/>
    <n v="0"/>
    <n v="0"/>
    <n v="0"/>
    <n v="86.89"/>
    <n v="0"/>
    <n v="0"/>
    <n v="0"/>
    <n v="0"/>
    <n v="0"/>
    <n v="0"/>
    <n v="0"/>
    <n v="0"/>
    <n v="86.89"/>
    <n v="0"/>
  </r>
  <r>
    <x v="12"/>
    <x v="1"/>
    <x v="0"/>
    <s v="5877200"/>
    <n v="730010"/>
    <s v="Rental and Leases-Building (DO NOT USE)"/>
    <s v="PNWMF-FW"/>
    <x v="0"/>
    <m/>
    <n v="8040.42"/>
    <n v="8040.42"/>
    <n v="8040.42"/>
    <n v="8040.42"/>
    <n v="8208.7900000000009"/>
    <n v="-6359.21"/>
    <n v="5780.79"/>
    <n v="5780.79"/>
    <n v="5780.79"/>
    <n v="5780.79"/>
    <n v="5780.79"/>
    <n v="0"/>
    <n v="62915.210000000006"/>
    <n v="5780.79"/>
  </r>
  <r>
    <x v="12"/>
    <x v="1"/>
    <x v="0"/>
    <s v="5877200"/>
    <n v="730010"/>
    <s v="Rental-Common Area Maint (DO NOT USE)"/>
    <s v="PNWMF-FW"/>
    <x v="0"/>
    <n v="2200"/>
    <n v="0"/>
    <n v="0"/>
    <n v="0"/>
    <n v="0"/>
    <n v="0"/>
    <n v="14568"/>
    <n v="2594"/>
    <n v="2511"/>
    <n v="2511"/>
    <n v="2511"/>
    <n v="2511"/>
    <n v="0"/>
    <n v="27206"/>
    <n v="2511"/>
  </r>
  <r>
    <x v="12"/>
    <x v="1"/>
    <x v="0"/>
    <s v="5877200"/>
    <n v="730020"/>
    <s v="Rental and Leases-Copier Usage Fees (DO NOT USE)"/>
    <s v="PNWMF-FW"/>
    <x v="0"/>
    <n v="5100"/>
    <n v="188.99"/>
    <n v="191.54"/>
    <n v="190.26"/>
    <n v="190.26"/>
    <n v="190.26"/>
    <n v="190.26"/>
    <n v="-534.17999999999995"/>
    <n v="102.48"/>
    <n v="117.72"/>
    <n v="217.65"/>
    <n v="102.48"/>
    <n v="102.48"/>
    <n v="1250.2"/>
    <n v="0"/>
  </r>
  <r>
    <x v="12"/>
    <x v="1"/>
    <x v="0"/>
    <s v="5877200"/>
    <n v="730040"/>
    <s v="LT Lease-Real Estate"/>
    <s v="PNWMF-FW"/>
    <x v="0"/>
    <m/>
    <n v="0"/>
    <n v="0"/>
    <n v="0"/>
    <n v="0"/>
    <n v="0"/>
    <n v="0"/>
    <n v="0"/>
    <n v="0"/>
    <n v="0"/>
    <n v="0"/>
    <n v="0"/>
    <n v="7489.79"/>
    <n v="7489.79"/>
    <n v="-7489.79"/>
  </r>
  <r>
    <x v="16"/>
    <x v="1"/>
    <x v="0"/>
    <s v="5877200"/>
    <n v="732030"/>
    <s v="Repairs&amp;Maintenance-Bldg Routine"/>
    <s v="PNWMF-FW"/>
    <x v="0"/>
    <n v="2300"/>
    <n v="0"/>
    <n v="0"/>
    <n v="429.77"/>
    <n v="0"/>
    <n v="0"/>
    <n v="0"/>
    <n v="100"/>
    <n v="0"/>
    <n v="1027.8800000000001"/>
    <n v="0"/>
    <n v="0"/>
    <n v="0"/>
    <n v="1557.65"/>
    <n v="0"/>
  </r>
  <r>
    <x v="5"/>
    <x v="1"/>
    <x v="0"/>
    <s v="5880200"/>
    <n v="700022"/>
    <s v="Salaries-Physician-Productive"/>
    <s v="Hospitalist-ENT-Shared Svc"/>
    <x v="0"/>
    <m/>
    <n v="0"/>
    <n v="0"/>
    <n v="0"/>
    <n v="0"/>
    <n v="0"/>
    <n v="0"/>
    <n v="0"/>
    <n v="0"/>
    <n v="0"/>
    <n v="0"/>
    <n v="0"/>
    <n v="490.3"/>
    <n v="490.3"/>
    <n v="-490.3"/>
  </r>
  <r>
    <x v="6"/>
    <x v="1"/>
    <x v="0"/>
    <s v="5880200"/>
    <n v="713010"/>
    <s v="Benefits-FICA/Medicare"/>
    <s v="Hospitalist-ENT-Shared Svc"/>
    <x v="0"/>
    <m/>
    <n v="0"/>
    <n v="0"/>
    <n v="0"/>
    <n v="0"/>
    <n v="0"/>
    <n v="0"/>
    <n v="0"/>
    <n v="0"/>
    <n v="0"/>
    <n v="0"/>
    <n v="0"/>
    <n v="37.450000000000003"/>
    <n v="37.450000000000003"/>
    <n v="-37.450000000000003"/>
  </r>
  <r>
    <x v="7"/>
    <x v="1"/>
    <x v="0"/>
    <s v="5880200"/>
    <n v="718050"/>
    <s v="Purchased Srvcs--Medical Waste"/>
    <s v="Hospitalist-ENT-Shared Svc"/>
    <x v="0"/>
    <n v="1027"/>
    <n v="15.42"/>
    <n v="15.42"/>
    <n v="15.42"/>
    <n v="0"/>
    <n v="15.42"/>
    <n v="15.42"/>
    <n v="30.84"/>
    <n v="15.42"/>
    <n v="0"/>
    <n v="30.84"/>
    <n v="0"/>
    <n v="15.42"/>
    <n v="169.61999999999998"/>
    <n v="-15.42"/>
  </r>
  <r>
    <x v="8"/>
    <x v="1"/>
    <x v="0"/>
    <s v="5880200"/>
    <n v="741012"/>
    <s v="Physician Liab Insurance-CHI Program"/>
    <s v="Hospitalist-ENT-Shared Svc"/>
    <x v="0"/>
    <m/>
    <n v="0"/>
    <n v="0"/>
    <n v="0"/>
    <n v="0"/>
    <n v="0"/>
    <n v="0"/>
    <n v="0"/>
    <n v="0"/>
    <n v="0"/>
    <n v="0"/>
    <n v="0"/>
    <n v="49.05"/>
    <n v="49.05"/>
    <n v="-49.05"/>
  </r>
  <r>
    <x v="16"/>
    <x v="1"/>
    <x v="0"/>
    <s v="5881200"/>
    <n v="732030"/>
    <s v="Repairs---Other"/>
    <s v="GEN SURGERY On-Call"/>
    <x v="0"/>
    <m/>
    <n v="0"/>
    <n v="13.16"/>
    <n v="0"/>
    <n v="0"/>
    <n v="0"/>
    <n v="0"/>
    <n v="0"/>
    <n v="0"/>
    <n v="0"/>
    <n v="0"/>
    <n v="0"/>
    <n v="0"/>
    <n v="13.16"/>
    <n v="0"/>
  </r>
  <r>
    <x v="11"/>
    <x v="1"/>
    <x v="0"/>
    <s v="5882200"/>
    <n v="721810"/>
    <s v="Supplies-Dietary/Cafeteria"/>
    <s v="ORTHO On-Call"/>
    <x v="0"/>
    <m/>
    <n v="0"/>
    <n v="0"/>
    <n v="0"/>
    <n v="0"/>
    <n v="7.98"/>
    <n v="0"/>
    <n v="0"/>
    <n v="0"/>
    <n v="0"/>
    <n v="0"/>
    <n v="0"/>
    <n v="0"/>
    <n v="7.98"/>
    <n v="0"/>
  </r>
  <r>
    <x v="11"/>
    <x v="1"/>
    <x v="0"/>
    <s v="5882200"/>
    <n v="721830"/>
    <s v="Supplies-Office"/>
    <s v="ORTHO On-Call"/>
    <x v="0"/>
    <m/>
    <n v="0"/>
    <n v="0"/>
    <n v="0"/>
    <n v="326.33999999999997"/>
    <n v="0"/>
    <n v="0"/>
    <n v="0"/>
    <n v="0"/>
    <n v="0"/>
    <n v="0"/>
    <n v="0"/>
    <n v="0"/>
    <n v="326.33999999999997"/>
    <n v="0"/>
  </r>
  <r>
    <x v="14"/>
    <x v="1"/>
    <x v="0"/>
    <s v="5884200"/>
    <n v="600026"/>
    <s v="POB Rental"/>
    <s v="Cardiothoracic Surgeons-S/S"/>
    <x v="0"/>
    <n v="1001"/>
    <n v="-667.33"/>
    <n v="-667.33"/>
    <n v="-667.33"/>
    <n v="-667.33"/>
    <n v="-667.33"/>
    <n v="-667.33"/>
    <n v="-667.33"/>
    <n v="-667.33"/>
    <n v="-667.33"/>
    <n v="-667.33"/>
    <n v="-667.33"/>
    <n v="-667.33"/>
    <n v="-8007.96"/>
    <n v="0"/>
  </r>
  <r>
    <x v="5"/>
    <x v="1"/>
    <x v="0"/>
    <s v="5884200"/>
    <n v="700014"/>
    <s v="Salaries-Management-Productive"/>
    <s v="Cardiothoracic Surgeons-S/S"/>
    <x v="0"/>
    <m/>
    <n v="5183.71"/>
    <n v="7459.49"/>
    <n v="3951"/>
    <n v="8217"/>
    <n v="974.4"/>
    <n v="-324.8"/>
    <n v="0"/>
    <n v="0"/>
    <n v="2108.86"/>
    <n v="6888.96"/>
    <n v="6467.19"/>
    <n v="3936.55"/>
    <n v="44862.360000000008"/>
    <n v="2530.6399999999994"/>
  </r>
  <r>
    <x v="5"/>
    <x v="1"/>
    <x v="0"/>
    <s v="5884200"/>
    <n v="700014"/>
    <s v="Salaries-Management-Other"/>
    <s v="Cardiothoracic Surgeons-S/S"/>
    <x v="0"/>
    <n v="2000"/>
    <n v="0"/>
    <n v="0"/>
    <n v="0"/>
    <n v="0"/>
    <n v="0"/>
    <n v="0"/>
    <n v="0"/>
    <n v="0"/>
    <n v="30.06"/>
    <n v="-0.02"/>
    <n v="0"/>
    <n v="0"/>
    <n v="30.04"/>
    <n v="0"/>
  </r>
  <r>
    <x v="5"/>
    <x v="1"/>
    <x v="0"/>
    <s v="5884200"/>
    <n v="700038"/>
    <s v="Salaries-Service/Support-Productive"/>
    <s v="Cardiothoracic Surgeons-S/S"/>
    <x v="0"/>
    <m/>
    <n v="12391.99"/>
    <n v="12259.49"/>
    <n v="11494.52"/>
    <n v="13974.55"/>
    <n v="13951.43"/>
    <n v="10064.07"/>
    <n v="12916.82"/>
    <n v="9267.2099999999991"/>
    <n v="10368.06"/>
    <n v="10353.18"/>
    <n v="6359.37"/>
    <n v="6925.19"/>
    <n v="130325.87999999998"/>
    <n v="-565.81999999999971"/>
  </r>
  <r>
    <x v="5"/>
    <x v="1"/>
    <x v="0"/>
    <s v="5884200"/>
    <n v="700038"/>
    <s v="Salaries-Service/Support-OT"/>
    <s v="Cardiothoracic Surgeons-S/S"/>
    <x v="0"/>
    <n v="1000"/>
    <n v="66.790000000000006"/>
    <n v="62.86"/>
    <n v="45.22"/>
    <n v="-1.36"/>
    <n v="41.02"/>
    <n v="39.65"/>
    <n v="168.87"/>
    <n v="112.12"/>
    <n v="64.239999999999995"/>
    <n v="182.53"/>
    <n v="367.52"/>
    <n v="188.26"/>
    <n v="1337.72"/>
    <n v="179.26"/>
  </r>
  <r>
    <x v="5"/>
    <x v="1"/>
    <x v="0"/>
    <s v="5884200"/>
    <n v="700054"/>
    <s v="Salaries-Management-Non-productive"/>
    <s v="Cardiothoracic Surgeons-S/S"/>
    <x v="0"/>
    <m/>
    <n v="1770.04"/>
    <n v="-189.64"/>
    <n v="2370.6"/>
    <n v="-790.2"/>
    <n v="1316"/>
    <n v="-324.8"/>
    <n v="0"/>
    <n v="0"/>
    <n v="0"/>
    <n v="0"/>
    <n v="0"/>
    <n v="281.18"/>
    <n v="4433.18"/>
    <n v="-281.18"/>
  </r>
  <r>
    <x v="5"/>
    <x v="1"/>
    <x v="0"/>
    <s v="5884200"/>
    <n v="700054"/>
    <s v="Salaries-Management-NonProd-Other"/>
    <s v="Cardiothoracic Surgeons-S/S"/>
    <x v="0"/>
    <n v="2000"/>
    <n v="0"/>
    <n v="0"/>
    <n v="0"/>
    <n v="0"/>
    <n v="0"/>
    <n v="1206.58"/>
    <n v="-1206.58"/>
    <n v="0"/>
    <n v="0"/>
    <n v="0"/>
    <n v="0"/>
    <n v="0"/>
    <n v="0"/>
    <n v="0"/>
  </r>
  <r>
    <x v="5"/>
    <x v="1"/>
    <x v="0"/>
    <s v="5884200"/>
    <n v="700078"/>
    <s v="Salaries-Service/Support-Non-productive"/>
    <s v="Cardiothoracic Surgeons-S/S"/>
    <x v="0"/>
    <m/>
    <n v="1730.53"/>
    <n v="2479.61"/>
    <n v="1325.29"/>
    <n v="1512.96"/>
    <n v="745.6"/>
    <n v="3661.63"/>
    <n v="2380.1"/>
    <n v="2745.41"/>
    <n v="-19.440000000000001"/>
    <n v="531.49"/>
    <n v="5387.73"/>
    <n v="990.27"/>
    <n v="23471.180000000004"/>
    <n v="4397.4599999999991"/>
  </r>
  <r>
    <x v="5"/>
    <x v="1"/>
    <x v="0"/>
    <s v="5884200"/>
    <n v="700078"/>
    <s v="Salaries-Service/Support-NonProd-Other"/>
    <s v="Cardiothoracic Surgeons-S/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84200"/>
    <n v="700084"/>
    <s v="Accrued PTO"/>
    <s v="Cardiothoracic Surgeons-S/S"/>
    <x v="0"/>
    <m/>
    <n v="-1058.78"/>
    <n v="148.62"/>
    <n v="-600.28"/>
    <n v="1234.3499999999999"/>
    <n v="710.03"/>
    <n v="-1461.14"/>
    <n v="-120.65"/>
    <n v="-12.21"/>
    <n v="782.92"/>
    <n v="977.23"/>
    <n v="1701.44"/>
    <n v="-382.37"/>
    <n v="1919.1599999999999"/>
    <n v="2083.81"/>
  </r>
  <r>
    <x v="6"/>
    <x v="1"/>
    <x v="0"/>
    <s v="5884200"/>
    <n v="713010"/>
    <s v="Benefits-FICA/Medicare"/>
    <s v="Cardiothoracic Surgeons-S/S"/>
    <x v="0"/>
    <m/>
    <n v="1598.79"/>
    <n v="1669.04"/>
    <n v="1450.89"/>
    <n v="1733.31"/>
    <n v="1428.97"/>
    <n v="1084.32"/>
    <n v="1262.8"/>
    <n v="917.09"/>
    <n v="958.51"/>
    <n v="1361.92"/>
    <n v="1410.7"/>
    <n v="931.59"/>
    <n v="15807.930000000002"/>
    <n v="479.11"/>
  </r>
  <r>
    <x v="6"/>
    <x v="1"/>
    <x v="0"/>
    <s v="5884200"/>
    <n v="713090"/>
    <s v="Benefits-Allocated Amounts"/>
    <s v="Cardiothoracic Surgeons-S/S"/>
    <x v="0"/>
    <m/>
    <n v="5448.04"/>
    <n v="5028.93"/>
    <n v="5267.5"/>
    <n v="5535.64"/>
    <n v="4994.04"/>
    <n v="3953.55"/>
    <n v="5164.71"/>
    <n v="4323.1400000000003"/>
    <n v="3880.91"/>
    <n v="4754.58"/>
    <n v="4844.1499999999996"/>
    <n v="3822.06"/>
    <n v="57017.250000000007"/>
    <n v="1022.0899999999997"/>
  </r>
  <r>
    <x v="6"/>
    <x v="1"/>
    <x v="0"/>
    <s v="5884200"/>
    <n v="713096"/>
    <s v="Employee Recognition"/>
    <s v="Cardiothoracic Surgeons-S/S"/>
    <x v="0"/>
    <n v="1017"/>
    <n v="0"/>
    <n v="0"/>
    <n v="0"/>
    <n v="0"/>
    <n v="0"/>
    <n v="0"/>
    <n v="0"/>
    <n v="0"/>
    <n v="0"/>
    <n v="0"/>
    <n v="0"/>
    <n v="212.64"/>
    <n v="212.64"/>
    <n v="-212.64"/>
  </r>
  <r>
    <x v="7"/>
    <x v="1"/>
    <x v="0"/>
    <s v="5884200"/>
    <n v="718010"/>
    <s v="Media/Print Advertising"/>
    <s v="Cardiothoracic Surgeons-S/S"/>
    <x v="0"/>
    <n v="1004"/>
    <n v="0"/>
    <n v="0"/>
    <n v="0"/>
    <n v="0"/>
    <n v="0"/>
    <n v="0"/>
    <n v="0"/>
    <n v="366.62"/>
    <n v="0"/>
    <n v="212.34"/>
    <n v="0"/>
    <n v="0"/>
    <n v="578.96"/>
    <n v="0"/>
  </r>
  <r>
    <x v="7"/>
    <x v="1"/>
    <x v="0"/>
    <s v="5884200"/>
    <n v="718050"/>
    <s v="Contract Svcs-Other"/>
    <s v="Cardiothoracic Surgeons-S/S"/>
    <x v="0"/>
    <m/>
    <n v="0"/>
    <n v="0"/>
    <n v="0"/>
    <n v="0"/>
    <n v="0"/>
    <n v="271.57"/>
    <n v="189.6"/>
    <n v="0"/>
    <n v="0"/>
    <n v="299.33"/>
    <n v="77.290000000000006"/>
    <n v="493.96"/>
    <n v="1331.75"/>
    <n v="-416.66999999999996"/>
  </r>
  <r>
    <x v="7"/>
    <x v="1"/>
    <x v="0"/>
    <s v="5884200"/>
    <n v="718050"/>
    <s v="Document Shredding/Storage"/>
    <s v="Cardiothoracic Surgeons-S/S"/>
    <x v="0"/>
    <n v="1012"/>
    <n v="96.45"/>
    <n v="64.91"/>
    <n v="86.75"/>
    <n v="85.85"/>
    <n v="104.52"/>
    <n v="85.6"/>
    <n v="84.74"/>
    <n v="74.959999999999994"/>
    <n v="75.319999999999993"/>
    <n v="118.95"/>
    <n v="88.02"/>
    <n v="100.18"/>
    <n v="1066.2500000000002"/>
    <n v="-12.160000000000011"/>
  </r>
  <r>
    <x v="7"/>
    <x v="1"/>
    <x v="0"/>
    <s v="5884200"/>
    <n v="718050"/>
    <s v="Physician Answering"/>
    <s v="Cardiothoracic Surgeons-S/S"/>
    <x v="0"/>
    <n v="1015"/>
    <n v="695"/>
    <n v="788.2"/>
    <n v="732.2"/>
    <n v="368.2"/>
    <n v="833.8"/>
    <n v="1155.8"/>
    <n v="1025.5999999999999"/>
    <n v="872.8"/>
    <n v="766"/>
    <n v="975.8"/>
    <n v="751.4"/>
    <n v="619.6"/>
    <n v="9584.4"/>
    <n v="131.79999999999995"/>
  </r>
  <r>
    <x v="7"/>
    <x v="1"/>
    <x v="0"/>
    <s v="5884200"/>
    <n v="718050"/>
    <s v="Miscellaneous Purchased Svcs"/>
    <s v="Cardiothoracic Surgeons-S/S"/>
    <x v="0"/>
    <n v="1020"/>
    <n v="0"/>
    <n v="32.97"/>
    <n v="65.94"/>
    <n v="32.97"/>
    <n v="32.97"/>
    <n v="0"/>
    <n v="131.9"/>
    <n v="0"/>
    <n v="32.979999999999997"/>
    <n v="0"/>
    <n v="0"/>
    <n v="0"/>
    <n v="329.73"/>
    <n v="0"/>
  </r>
  <r>
    <x v="7"/>
    <x v="1"/>
    <x v="0"/>
    <s v="5884200"/>
    <n v="718050"/>
    <s v="Translation Services"/>
    <s v="Cardiothoracic Surgeons-S/S"/>
    <x v="0"/>
    <n v="1025"/>
    <n v="144"/>
    <n v="450.5"/>
    <n v="333.75"/>
    <n v="200"/>
    <n v="347"/>
    <n v="0"/>
    <n v="36.75"/>
    <n v="128"/>
    <n v="192"/>
    <n v="0"/>
    <n v="230"/>
    <n v="0"/>
    <n v="2062"/>
    <n v="230"/>
  </r>
  <r>
    <x v="7"/>
    <x v="1"/>
    <x v="0"/>
    <s v="5884200"/>
    <n v="718050"/>
    <s v="Contract Management--Linen"/>
    <s v="Cardiothoracic Surgeons-S/S"/>
    <x v="0"/>
    <n v="1026"/>
    <n v="130.41999999999999"/>
    <n v="83.28"/>
    <n v="309.51"/>
    <n v="126.55"/>
    <n v="388.88"/>
    <n v="181.3"/>
    <n v="448.36"/>
    <n v="157.46"/>
    <n v="317.58999999999997"/>
    <n v="52.24"/>
    <n v="0"/>
    <n v="0"/>
    <n v="2195.5899999999997"/>
    <n v="0"/>
  </r>
  <r>
    <x v="7"/>
    <x v="1"/>
    <x v="0"/>
    <s v="5884200"/>
    <n v="718050"/>
    <s v="Purchased Srvcs--Medical Waste"/>
    <s v="Cardiothoracic Surgeons-S/S"/>
    <x v="0"/>
    <n v="1027"/>
    <n v="11.16"/>
    <n v="169.34"/>
    <n v="16.829999999999998"/>
    <n v="50.67"/>
    <n v="0"/>
    <n v="0"/>
    <n v="11.16"/>
    <n v="50.67"/>
    <n v="0"/>
    <n v="11.16"/>
    <n v="0"/>
    <n v="0"/>
    <n v="320.99000000000007"/>
    <n v="0"/>
  </r>
  <r>
    <x v="7"/>
    <x v="1"/>
    <x v="0"/>
    <s v="5884200"/>
    <n v="718070"/>
    <s v="Contract Srvcs-CHI Clinical Engineering"/>
    <s v="Cardiothoracic Surgeons-S/S"/>
    <x v="0"/>
    <m/>
    <n v="0"/>
    <n v="0"/>
    <n v="0"/>
    <n v="165.5"/>
    <n v="0"/>
    <n v="0"/>
    <n v="597.99"/>
    <n v="597.99"/>
    <n v="0"/>
    <n v="0"/>
    <n v="0"/>
    <n v="0"/>
    <n v="1361.48"/>
    <n v="0"/>
  </r>
  <r>
    <x v="11"/>
    <x v="1"/>
    <x v="0"/>
    <s v="5884200"/>
    <n v="721010"/>
    <s v="Supplies-Medical - Billable"/>
    <s v="Cardiothoracic Surgeons-S/S"/>
    <x v="0"/>
    <m/>
    <n v="0"/>
    <n v="16.29"/>
    <n v="0"/>
    <n v="0"/>
    <n v="0"/>
    <n v="0"/>
    <n v="0"/>
    <n v="0"/>
    <n v="0"/>
    <n v="0"/>
    <n v="0"/>
    <n v="0"/>
    <n v="16.29"/>
    <n v="0"/>
  </r>
  <r>
    <x v="11"/>
    <x v="1"/>
    <x v="0"/>
    <s v="5884200"/>
    <n v="721250"/>
    <s v="Supplies-Pharmacy Drugs - Billable"/>
    <s v="Cardiothoracic Surgeons-S/S"/>
    <x v="0"/>
    <m/>
    <n v="0"/>
    <n v="0"/>
    <n v="0"/>
    <n v="0"/>
    <n v="0"/>
    <n v="0"/>
    <n v="0"/>
    <n v="10.039999999999999"/>
    <n v="0"/>
    <n v="0"/>
    <n v="0"/>
    <n v="10.039999999999999"/>
    <n v="20.079999999999998"/>
    <n v="-10.039999999999999"/>
  </r>
  <r>
    <x v="11"/>
    <x v="1"/>
    <x v="0"/>
    <s v="5884200"/>
    <n v="721410"/>
    <s v="Supplies-Medical - Nonbillable"/>
    <s v="Cardiothoracic Surgeons-S/S"/>
    <x v="0"/>
    <m/>
    <n v="308.68"/>
    <n v="840.81"/>
    <n v="237.16"/>
    <n v="987.01"/>
    <n v="107.44"/>
    <n v="356.16"/>
    <n v="154.88999999999999"/>
    <n v="8520.34"/>
    <n v="377.95"/>
    <n v="362.37"/>
    <n v="1097.0899999999999"/>
    <n v="948.15"/>
    <n v="14298.050000000001"/>
    <n v="148.93999999999994"/>
  </r>
  <r>
    <x v="11"/>
    <x v="1"/>
    <x v="0"/>
    <s v="5884200"/>
    <n v="721710"/>
    <s v="Supplies-Laboratory - Nonbillable"/>
    <s v="Cardiothoracic Surgeons-S/S"/>
    <x v="0"/>
    <m/>
    <n v="0"/>
    <n v="0"/>
    <n v="0"/>
    <n v="0"/>
    <n v="0"/>
    <n v="0"/>
    <n v="693.3"/>
    <n v="0"/>
    <n v="0"/>
    <n v="0"/>
    <n v="0"/>
    <n v="0"/>
    <n v="693.3"/>
    <n v="0"/>
  </r>
  <r>
    <x v="11"/>
    <x v="1"/>
    <x v="0"/>
    <s v="5884200"/>
    <n v="721810"/>
    <s v="Supplies-Dietary/Cafeteria"/>
    <s v="Cardiothoracic Surgeons-S/S"/>
    <x v="0"/>
    <m/>
    <n v="474.48"/>
    <n v="841.43"/>
    <n v="567.6"/>
    <n v="903.92"/>
    <n v="513.63"/>
    <n v="659.37"/>
    <n v="655.33000000000004"/>
    <n v="729.45"/>
    <n v="706.52"/>
    <n v="602.16"/>
    <n v="773.57"/>
    <n v="424.22"/>
    <n v="7851.6799999999994"/>
    <n v="349.35"/>
  </r>
  <r>
    <x v="11"/>
    <x v="1"/>
    <x v="0"/>
    <s v="5884200"/>
    <n v="721830"/>
    <s v="Supplies-Office"/>
    <s v="Cardiothoracic Surgeons-S/S"/>
    <x v="0"/>
    <m/>
    <n v="209.03"/>
    <n v="300.02"/>
    <n v="418.27"/>
    <n v="705.25"/>
    <n v="365.01"/>
    <n v="429.12"/>
    <n v="266.10000000000002"/>
    <n v="814.66"/>
    <n v="929.27"/>
    <n v="688.28"/>
    <n v="209.52"/>
    <n v="-12.41"/>
    <n v="5322.12"/>
    <n v="221.93"/>
  </r>
  <r>
    <x v="11"/>
    <x v="1"/>
    <x v="0"/>
    <s v="5884200"/>
    <n v="721835"/>
    <s v="Supplies-Forms"/>
    <s v="Cardiothoracic Surgeons-S/S"/>
    <x v="0"/>
    <m/>
    <n v="0"/>
    <n v="0"/>
    <n v="0"/>
    <n v="0"/>
    <n v="223.64"/>
    <n v="134.5"/>
    <n v="6.9"/>
    <n v="0"/>
    <n v="23"/>
    <n v="55.2"/>
    <n v="0"/>
    <n v="0"/>
    <n v="443.23999999999995"/>
    <n v="0"/>
  </r>
  <r>
    <x v="11"/>
    <x v="1"/>
    <x v="0"/>
    <s v="5884200"/>
    <n v="721910"/>
    <s v="Supplies-Small Equipment"/>
    <s v="Cardiothoracic Surgeons-S/S"/>
    <x v="0"/>
    <m/>
    <n v="0"/>
    <n v="710.01"/>
    <n v="0"/>
    <n v="0"/>
    <n v="0"/>
    <n v="250.14"/>
    <n v="0"/>
    <n v="0"/>
    <n v="1495"/>
    <n v="0"/>
    <n v="0"/>
    <n v="0"/>
    <n v="2455.15"/>
    <n v="0"/>
  </r>
  <r>
    <x v="11"/>
    <x v="1"/>
    <x v="0"/>
    <s v="5884200"/>
    <n v="722000"/>
    <s v="Supplies-Freight Expense"/>
    <s v="Cardiothoracic Surgeons-S/S"/>
    <x v="0"/>
    <m/>
    <n v="0"/>
    <n v="0"/>
    <n v="0"/>
    <n v="19.489999999999998"/>
    <n v="79.36"/>
    <n v="38.409999999999997"/>
    <n v="5.57"/>
    <n v="11.71"/>
    <n v="56.46"/>
    <n v="0"/>
    <n v="11.65"/>
    <n v="43.38"/>
    <n v="266.03000000000003"/>
    <n v="-31.730000000000004"/>
  </r>
  <r>
    <x v="11"/>
    <x v="1"/>
    <x v="0"/>
    <s v="5884200"/>
    <n v="722000"/>
    <s v="Minimum Order Fees"/>
    <s v="Cardiothoracic Surgeons-S/S"/>
    <x v="0"/>
    <n v="1000"/>
    <n v="0"/>
    <n v="0"/>
    <n v="0"/>
    <n v="0"/>
    <n v="0"/>
    <n v="0"/>
    <n v="0"/>
    <n v="0"/>
    <n v="0"/>
    <n v="0"/>
    <n v="0"/>
    <n v="30"/>
    <n v="30"/>
    <n v="-30"/>
  </r>
  <r>
    <x v="12"/>
    <x v="1"/>
    <x v="0"/>
    <s v="5884200"/>
    <n v="730010"/>
    <s v="Rental and Leases-Building (DO NOT USE)"/>
    <s v="Cardiothoracic Surgeons-S/S"/>
    <x v="0"/>
    <m/>
    <n v="14065.91"/>
    <n v="14065.91"/>
    <n v="14065.91"/>
    <n v="14065.91"/>
    <n v="14065.91"/>
    <n v="-21077.53"/>
    <n v="8208.67"/>
    <n v="8208.67"/>
    <n v="8208.67"/>
    <n v="8341.77"/>
    <n v="8405.16"/>
    <n v="0"/>
    <n v="90624.960000000006"/>
    <n v="8405.16"/>
  </r>
  <r>
    <x v="12"/>
    <x v="1"/>
    <x v="0"/>
    <s v="5884200"/>
    <n v="730010"/>
    <s v="Rental-Common Area Maint (DO NOT USE)"/>
    <s v="Cardiothoracic Surgeons-S/S"/>
    <x v="0"/>
    <n v="2200"/>
    <n v="0"/>
    <n v="0"/>
    <n v="0"/>
    <n v="0"/>
    <n v="0"/>
    <n v="34774.43"/>
    <n v="5488.23"/>
    <n v="5488.23"/>
    <n v="-1230.54"/>
    <n v="5488.23"/>
    <n v="5488.23"/>
    <n v="0"/>
    <n v="55496.81"/>
    <n v="5488.23"/>
  </r>
  <r>
    <x v="12"/>
    <x v="1"/>
    <x v="0"/>
    <s v="5884200"/>
    <n v="730020"/>
    <s v="Rental and Leases-Equipment (DO NOT USE)"/>
    <s v="Cardiothoracic Surgeons-S/S"/>
    <x v="0"/>
    <m/>
    <n v="0"/>
    <n v="0"/>
    <n v="0"/>
    <n v="0"/>
    <n v="41.45"/>
    <n v="0"/>
    <n v="0"/>
    <n v="0"/>
    <n v="0"/>
    <n v="0"/>
    <n v="0"/>
    <n v="0"/>
    <n v="41.45"/>
    <n v="0"/>
  </r>
  <r>
    <x v="12"/>
    <x v="1"/>
    <x v="0"/>
    <s v="5884200"/>
    <n v="730020"/>
    <s v="Rental and Leases-Copier Usage Fees (DO NOT USE)"/>
    <s v="Cardiothoracic Surgeons-S/S"/>
    <x v="0"/>
    <n v="5100"/>
    <n v="430"/>
    <n v="433.53"/>
    <n v="431.77"/>
    <n v="431.76"/>
    <n v="431.77"/>
    <n v="431.77"/>
    <n v="1103.8599999999999"/>
    <n v="347.65"/>
    <n v="346.92"/>
    <n v="923.35"/>
    <n v="347.65"/>
    <n v="402.74"/>
    <n v="6062.7699999999995"/>
    <n v="-55.090000000000032"/>
  </r>
  <r>
    <x v="12"/>
    <x v="1"/>
    <x v="0"/>
    <s v="5884200"/>
    <n v="730040"/>
    <s v="LT Lease-Real Estate"/>
    <s v="Cardiothoracic Surgeons-S/S"/>
    <x v="0"/>
    <m/>
    <n v="0"/>
    <n v="0"/>
    <n v="0"/>
    <n v="0"/>
    <n v="0"/>
    <n v="0"/>
    <n v="0"/>
    <n v="0"/>
    <n v="0"/>
    <n v="0"/>
    <n v="0"/>
    <n v="13893.39"/>
    <n v="13893.39"/>
    <n v="-13893.39"/>
  </r>
  <r>
    <x v="15"/>
    <x v="1"/>
    <x v="0"/>
    <s v="5884200"/>
    <n v="731060"/>
    <s v="Pagers"/>
    <s v="Cardiothoracic Surgeons-S/S"/>
    <x v="0"/>
    <n v="1002"/>
    <n v="139.19999999999999"/>
    <n v="139.19999999999999"/>
    <n v="139.19999999999999"/>
    <n v="148.72"/>
    <n v="173.32"/>
    <n v="0"/>
    <n v="327.76"/>
    <n v="163.88"/>
    <n v="174.69"/>
    <n v="172"/>
    <n v="172"/>
    <n v="172"/>
    <n v="1921.9699999999998"/>
    <n v="0"/>
  </r>
  <r>
    <x v="16"/>
    <x v="1"/>
    <x v="0"/>
    <s v="5884200"/>
    <n v="732030"/>
    <s v="Repairs---Other"/>
    <s v="Cardiothoracic Surgeons-S/S"/>
    <x v="0"/>
    <m/>
    <n v="0"/>
    <n v="0"/>
    <n v="0"/>
    <n v="0"/>
    <n v="0"/>
    <n v="0"/>
    <n v="0"/>
    <n v="0"/>
    <n v="1926.75"/>
    <n v="1442.31"/>
    <n v="0"/>
    <n v="0"/>
    <n v="3369.06"/>
    <n v="0"/>
  </r>
  <r>
    <x v="13"/>
    <x v="1"/>
    <x v="0"/>
    <s v="5884200"/>
    <n v="735050"/>
    <s v="Amortization-Leasehold Improvements"/>
    <s v="Cardiothoracic Surgeons-S/S"/>
    <x v="0"/>
    <m/>
    <n v="2016.54"/>
    <n v="2233.16"/>
    <n v="2233.16"/>
    <n v="2233.15"/>
    <n v="2233.16"/>
    <n v="2233.15"/>
    <n v="2233.16"/>
    <n v="2233.15"/>
    <n v="2233.16"/>
    <n v="2233.15"/>
    <n v="2233.16"/>
    <n v="2233.14"/>
    <n v="26581.24"/>
    <n v="1.999999999998181E-2"/>
  </r>
  <r>
    <x v="13"/>
    <x v="1"/>
    <x v="0"/>
    <s v="5884200"/>
    <n v="735060"/>
    <s v="Depreciation-Fixed Equipment"/>
    <s v="Cardiothoracic Surgeons-S/S"/>
    <x v="0"/>
    <m/>
    <n v="20.75"/>
    <n v="20.75"/>
    <n v="20.75"/>
    <n v="20.75"/>
    <n v="20.75"/>
    <n v="20.75"/>
    <n v="20.75"/>
    <n v="20.75"/>
    <n v="20.75"/>
    <n v="20.75"/>
    <n v="20.76"/>
    <n v="20.75"/>
    <n v="249.01"/>
    <n v="1.0000000000001563E-2"/>
  </r>
  <r>
    <x v="13"/>
    <x v="1"/>
    <x v="0"/>
    <s v="5884200"/>
    <n v="735070"/>
    <s v="Depreciation-Movable Equipment"/>
    <s v="Cardiothoracic Surgeons-S/S"/>
    <x v="0"/>
    <m/>
    <n v="310.07"/>
    <n v="310.07"/>
    <n v="310.07"/>
    <n v="310.07"/>
    <n v="310.07"/>
    <n v="310.07"/>
    <n v="310.07"/>
    <n v="310.06"/>
    <n v="310.08"/>
    <n v="310.06"/>
    <n v="310.08"/>
    <n v="310.06"/>
    <n v="3720.8299999999995"/>
    <n v="1.999999999998181E-2"/>
  </r>
  <r>
    <x v="0"/>
    <x v="1"/>
    <x v="0"/>
    <s v="5884200"/>
    <n v="740020"/>
    <s v="Education-Registration Fees"/>
    <s v="Cardiothoracic Surgeons-S/S"/>
    <x v="0"/>
    <m/>
    <n v="0"/>
    <n v="0"/>
    <n v="0"/>
    <n v="0"/>
    <n v="0"/>
    <n v="0"/>
    <n v="0"/>
    <n v="0"/>
    <n v="247"/>
    <n v="0"/>
    <n v="24"/>
    <n v="0"/>
    <n v="271"/>
    <n v="24"/>
  </r>
  <r>
    <x v="0"/>
    <x v="1"/>
    <x v="0"/>
    <s v="5884200"/>
    <n v="742040"/>
    <s v="Freight-Other"/>
    <s v="Cardiothoracic Surgeons-S/S"/>
    <x v="0"/>
    <m/>
    <n v="0"/>
    <n v="0"/>
    <n v="0"/>
    <n v="0"/>
    <n v="0"/>
    <n v="0"/>
    <n v="0"/>
    <n v="0"/>
    <n v="8.8699999999999992"/>
    <n v="0"/>
    <n v="0"/>
    <n v="0"/>
    <n v="8.8699999999999992"/>
    <n v="0"/>
  </r>
  <r>
    <x v="0"/>
    <x v="1"/>
    <x v="0"/>
    <s v="5884200"/>
    <n v="743020"/>
    <s v="Provider-Dues"/>
    <s v="Cardiothoracic Surgeons-S/S"/>
    <x v="0"/>
    <n v="2200"/>
    <n v="0"/>
    <n v="0"/>
    <n v="0"/>
    <n v="375"/>
    <n v="2030"/>
    <n v="0"/>
    <n v="750"/>
    <n v="0"/>
    <n v="1860"/>
    <n v="0"/>
    <n v="-300"/>
    <n v="0"/>
    <n v="4715"/>
    <n v="-300"/>
  </r>
  <r>
    <x v="0"/>
    <x v="1"/>
    <x v="0"/>
    <s v="5884200"/>
    <n v="743030"/>
    <s v="Subscriptions--Institutional"/>
    <s v="Cardiothoracic Surgeons-S/S"/>
    <x v="0"/>
    <m/>
    <n v="0"/>
    <n v="0"/>
    <n v="182.24"/>
    <n v="0"/>
    <n v="278.12"/>
    <n v="231.71"/>
    <n v="185.46"/>
    <n v="0"/>
    <n v="0"/>
    <n v="0"/>
    <n v="0"/>
    <n v="0"/>
    <n v="877.53000000000009"/>
    <n v="0"/>
  </r>
  <r>
    <x v="0"/>
    <x v="1"/>
    <x v="0"/>
    <s v="5884200"/>
    <n v="749510"/>
    <s v="Miscellaneous Expenses"/>
    <s v="Cardiothoracic Surgeons-S/S"/>
    <x v="0"/>
    <m/>
    <n v="23.48"/>
    <n v="1255.29"/>
    <n v="107.97"/>
    <n v="3025.5"/>
    <n v="262.25"/>
    <n v="0"/>
    <n v="300"/>
    <n v="1926.75"/>
    <n v="0"/>
    <n v="339.62"/>
    <n v="397.64"/>
    <n v="-421.64"/>
    <n v="7216.86"/>
    <n v="819.28"/>
  </r>
  <r>
    <x v="0"/>
    <x v="1"/>
    <x v="0"/>
    <s v="5884200"/>
    <n v="749510"/>
    <s v="Licenses"/>
    <s v="Cardiothoracic Surgeons-S/S"/>
    <x v="0"/>
    <n v="1002"/>
    <n v="0"/>
    <n v="0"/>
    <n v="265"/>
    <n v="0"/>
    <n v="0"/>
    <n v="180"/>
    <n v="38.75"/>
    <n v="0"/>
    <n v="0"/>
    <n v="0"/>
    <n v="0"/>
    <n v="0"/>
    <n v="483.75"/>
    <n v="0"/>
  </r>
  <r>
    <x v="0"/>
    <x v="1"/>
    <x v="0"/>
    <s v="5884200"/>
    <n v="749510"/>
    <s v="RICE Rewards"/>
    <s v="Cardiothoracic Surgeons-S/S"/>
    <x v="0"/>
    <n v="5100"/>
    <n v="0"/>
    <n v="0"/>
    <n v="0"/>
    <n v="0"/>
    <n v="0"/>
    <n v="0"/>
    <n v="0"/>
    <n v="0"/>
    <n v="0"/>
    <n v="0"/>
    <n v="0"/>
    <n v="421.64"/>
    <n v="421.64"/>
    <n v="-421.64"/>
  </r>
  <r>
    <x v="0"/>
    <x v="1"/>
    <x v="0"/>
    <s v="5884200"/>
    <n v="749535"/>
    <s v="Meetings"/>
    <s v="Cardiothoracic Surgeons-S/S"/>
    <x v="0"/>
    <m/>
    <n v="0"/>
    <n v="0"/>
    <n v="0"/>
    <n v="170.49"/>
    <n v="0"/>
    <n v="0"/>
    <n v="0"/>
    <n v="0"/>
    <n v="0"/>
    <n v="0"/>
    <n v="0"/>
    <n v="0"/>
    <n v="170.49"/>
    <n v="0"/>
  </r>
  <r>
    <x v="0"/>
    <x v="1"/>
    <x v="0"/>
    <s v="5884200"/>
    <n v="749550"/>
    <s v="Cash Over/Short"/>
    <s v="Cardiothoracic Surgeons-S/S"/>
    <x v="0"/>
    <m/>
    <n v="0"/>
    <n v="0"/>
    <n v="0"/>
    <n v="-20"/>
    <n v="0"/>
    <n v="0"/>
    <n v="0"/>
    <n v="0"/>
    <n v="0"/>
    <n v="0"/>
    <n v="5"/>
    <n v="0"/>
    <n v="-15"/>
    <n v="5"/>
  </r>
  <r>
    <x v="5"/>
    <x v="1"/>
    <x v="0"/>
    <s v="5885200"/>
    <n v="700014"/>
    <s v="Salaries-Management-Productive"/>
    <s v="Gyn Onc/WH-Tacoma-Shared Svc"/>
    <x v="0"/>
    <m/>
    <n v="3720.36"/>
    <n v="4074.68"/>
    <n v="3188.88"/>
    <n v="4162.5200000000004"/>
    <n v="3276.72"/>
    <n v="2639.58"/>
    <n v="3555.11"/>
    <n v="3646.12"/>
    <n v="2951.1"/>
    <n v="-638.07000000000005"/>
    <n v="0"/>
    <n v="0"/>
    <n v="30576.999999999996"/>
    <n v="0"/>
  </r>
  <r>
    <x v="5"/>
    <x v="1"/>
    <x v="0"/>
    <s v="5885200"/>
    <n v="700026"/>
    <s v="Salaries-RN-Productive"/>
    <s v="Gyn Onc/WH-Tacoma-Shared Svc"/>
    <x v="0"/>
    <m/>
    <n v="0"/>
    <n v="0"/>
    <n v="0"/>
    <n v="0"/>
    <n v="0"/>
    <n v="0"/>
    <n v="0"/>
    <n v="0"/>
    <n v="0"/>
    <n v="0"/>
    <n v="542.76"/>
    <n v="-271.38"/>
    <n v="271.38"/>
    <n v="814.14"/>
  </r>
  <r>
    <x v="5"/>
    <x v="1"/>
    <x v="0"/>
    <s v="5885200"/>
    <n v="700030"/>
    <s v="Salaries-LPN-Productive"/>
    <s v="Gyn Onc/WH-Tacoma-Shared Svc"/>
    <x v="0"/>
    <m/>
    <n v="0"/>
    <n v="0"/>
    <n v="0"/>
    <n v="0"/>
    <n v="0"/>
    <n v="0"/>
    <n v="0"/>
    <n v="0"/>
    <n v="0"/>
    <n v="2189.23"/>
    <n v="-901.44"/>
    <n v="665.53"/>
    <n v="1953.32"/>
    <n v="-1566.97"/>
  </r>
  <r>
    <x v="5"/>
    <x v="1"/>
    <x v="0"/>
    <s v="5885200"/>
    <n v="700030"/>
    <s v="Salaries-LPN-Other"/>
    <s v="Gyn Onc/WH-Tacoma-Shared Svc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5885200"/>
    <n v="700032"/>
    <s v="Salaries-Other Pat Care Providers-Productive"/>
    <s v="Gyn Onc/WH-Tacoma-Shared Svc"/>
    <x v="0"/>
    <m/>
    <n v="0"/>
    <n v="0"/>
    <n v="0"/>
    <n v="0"/>
    <n v="0"/>
    <n v="0"/>
    <n v="0"/>
    <n v="835.74"/>
    <n v="1046.78"/>
    <n v="3013.02"/>
    <n v="523.91999999999996"/>
    <n v="235.43"/>
    <n v="5654.89"/>
    <n v="288.48999999999995"/>
  </r>
  <r>
    <x v="5"/>
    <x v="1"/>
    <x v="0"/>
    <s v="5885200"/>
    <n v="700032"/>
    <s v="Salaries-Other Pat Care Providers-OT"/>
    <s v="Gyn Onc/WH-Tacoma-Shared Svc"/>
    <x v="0"/>
    <n v="1000"/>
    <n v="0"/>
    <n v="0"/>
    <n v="0"/>
    <n v="0"/>
    <n v="0"/>
    <n v="0"/>
    <n v="0"/>
    <n v="0"/>
    <n v="0"/>
    <n v="81.13"/>
    <n v="-25.43"/>
    <n v="0"/>
    <n v="55.699999999999996"/>
    <n v="-25.43"/>
  </r>
  <r>
    <x v="5"/>
    <x v="1"/>
    <x v="0"/>
    <s v="5885200"/>
    <n v="700032"/>
    <s v="Salaries-Other Pat Care Providers-Other"/>
    <s v="Gyn Onc/WH-Tacoma-Shared Svc"/>
    <x v="0"/>
    <n v="2000"/>
    <n v="0"/>
    <n v="0"/>
    <n v="0"/>
    <n v="0"/>
    <n v="0"/>
    <n v="0"/>
    <n v="0"/>
    <n v="39.450000000000003"/>
    <n v="49.41"/>
    <n v="7.76"/>
    <n v="0"/>
    <n v="3.51"/>
    <n v="100.13000000000001"/>
    <n v="-3.51"/>
  </r>
  <r>
    <x v="5"/>
    <x v="1"/>
    <x v="0"/>
    <s v="5885200"/>
    <n v="700038"/>
    <s v="Salaries-Service/Support-Productive"/>
    <s v="Gyn Onc/WH-Tacoma-Shared Svc"/>
    <x v="0"/>
    <m/>
    <n v="17600.32"/>
    <n v="18147.830000000002"/>
    <n v="12567.78"/>
    <n v="15297.99"/>
    <n v="16135.51"/>
    <n v="11529.38"/>
    <n v="19472.009999999998"/>
    <n v="16265.51"/>
    <n v="18435.240000000002"/>
    <n v="19027.419999999998"/>
    <n v="16639.900000000001"/>
    <n v="17817.21"/>
    <n v="198936.09999999998"/>
    <n v="-1177.3099999999977"/>
  </r>
  <r>
    <x v="5"/>
    <x v="1"/>
    <x v="0"/>
    <s v="5885200"/>
    <n v="700038"/>
    <s v="Salaries-Service/Support-OT"/>
    <s v="Gyn Onc/WH-Tacoma-Shared Svc"/>
    <x v="0"/>
    <n v="1000"/>
    <n v="41.56"/>
    <n v="226.83"/>
    <n v="-19.09"/>
    <n v="652.29"/>
    <n v="198.52"/>
    <n v="203.66"/>
    <n v="202.98"/>
    <n v="140.12"/>
    <n v="254.46"/>
    <n v="139.91"/>
    <n v="128.81"/>
    <n v="43.06"/>
    <n v="2213.11"/>
    <n v="85.75"/>
  </r>
  <r>
    <x v="5"/>
    <x v="1"/>
    <x v="0"/>
    <s v="5885200"/>
    <n v="700038"/>
    <s v="Salaries-Service/Support-Other"/>
    <s v="Gyn Onc/WH-Tacoma-Shared Svc"/>
    <x v="0"/>
    <n v="2000"/>
    <n v="88.15"/>
    <n v="86.99"/>
    <n v="-20"/>
    <n v="0"/>
    <n v="0"/>
    <n v="0"/>
    <n v="0"/>
    <n v="0"/>
    <n v="0"/>
    <n v="0"/>
    <n v="0"/>
    <n v="0"/>
    <n v="155.13999999999999"/>
    <n v="0"/>
  </r>
  <r>
    <x v="5"/>
    <x v="1"/>
    <x v="0"/>
    <s v="5885200"/>
    <n v="700054"/>
    <s v="Salaries-Management-Non-productive"/>
    <s v="Gyn Onc/WH-Tacoma-Shared Svc"/>
    <x v="0"/>
    <m/>
    <n v="1062.96"/>
    <n v="0"/>
    <n v="1417.28"/>
    <n v="-354.32"/>
    <n v="1092.24"/>
    <n v="3058.27"/>
    <n v="583.58000000000004"/>
    <n v="0"/>
    <n v="56.96"/>
    <n v="0"/>
    <n v="0"/>
    <n v="0"/>
    <n v="6916.97"/>
    <n v="0"/>
  </r>
  <r>
    <x v="5"/>
    <x v="1"/>
    <x v="0"/>
    <s v="5885200"/>
    <n v="700054"/>
    <s v="Salaries-Management-NonProd-Other"/>
    <s v="Gyn Onc/WH-Tacoma-Shared Svc"/>
    <x v="0"/>
    <n v="2000"/>
    <n v="0"/>
    <n v="0"/>
    <n v="0"/>
    <n v="0"/>
    <n v="0"/>
    <n v="356.5"/>
    <n v="-356.5"/>
    <n v="0"/>
    <n v="0"/>
    <n v="0"/>
    <n v="0"/>
    <n v="0"/>
    <n v="0"/>
    <n v="0"/>
  </r>
  <r>
    <x v="5"/>
    <x v="1"/>
    <x v="0"/>
    <s v="5885200"/>
    <n v="700078"/>
    <s v="Salaries-Service/Support-Non-productive"/>
    <s v="Gyn Onc/WH-Tacoma-Shared Svc"/>
    <x v="0"/>
    <m/>
    <n v="2077.0700000000002"/>
    <n v="1752.44"/>
    <n v="2622.15"/>
    <n v="1978.88"/>
    <n v="674.01"/>
    <n v="5865.46"/>
    <n v="2710.19"/>
    <n v="2597.9299999999998"/>
    <n v="1215.18"/>
    <n v="1870.09"/>
    <n v="5316.87"/>
    <n v="1166.26"/>
    <n v="29846.53"/>
    <n v="4150.6099999999997"/>
  </r>
  <r>
    <x v="5"/>
    <x v="1"/>
    <x v="0"/>
    <s v="5885200"/>
    <n v="700078"/>
    <s v="Salaries-Service/Support-NonProd-Other"/>
    <s v="Gyn Onc/WH-Tacoma-Shared Svc"/>
    <x v="0"/>
    <n v="2000"/>
    <n v="0"/>
    <n v="0"/>
    <n v="0"/>
    <n v="0"/>
    <n v="0"/>
    <n v="0"/>
    <n v="0"/>
    <n v="0"/>
    <n v="0"/>
    <n v="11.81"/>
    <n v="21.86"/>
    <n v="-10.93"/>
    <n v="22.740000000000002"/>
    <n v="32.79"/>
  </r>
  <r>
    <x v="5"/>
    <x v="1"/>
    <x v="0"/>
    <s v="5885200"/>
    <n v="700084"/>
    <s v="Accrued PTO"/>
    <s v="Gyn Onc/WH-Tacoma-Shared Svc"/>
    <x v="0"/>
    <m/>
    <n v="-104.89"/>
    <n v="1417.21"/>
    <n v="-731.38"/>
    <n v="1316.11"/>
    <n v="994.27"/>
    <n v="-4168.41"/>
    <n v="567.91"/>
    <n v="875.84"/>
    <n v="1547.81"/>
    <n v="-10421.16"/>
    <n v="541.38"/>
    <n v="3.09"/>
    <n v="-8162.22"/>
    <n v="538.29"/>
  </r>
  <r>
    <x v="6"/>
    <x v="1"/>
    <x v="0"/>
    <s v="5885200"/>
    <n v="713010"/>
    <s v="Benefits-FICA/Medicare"/>
    <s v="Gyn Onc/WH-Tacoma-Shared Svc"/>
    <x v="0"/>
    <m/>
    <n v="1838.98"/>
    <n v="1814.34"/>
    <n v="1474.72"/>
    <n v="1621.69"/>
    <n v="1596.07"/>
    <n v="1872.72"/>
    <n v="1970.17"/>
    <n v="1722.74"/>
    <n v="1755.95"/>
    <n v="1874.72"/>
    <n v="1617.81"/>
    <n v="1555.3"/>
    <n v="20715.21"/>
    <n v="62.509999999999991"/>
  </r>
  <r>
    <x v="6"/>
    <x v="1"/>
    <x v="0"/>
    <s v="5885200"/>
    <n v="713090"/>
    <s v="Benefits-Allocated Amounts"/>
    <s v="Gyn Onc/WH-Tacoma-Shared Svc"/>
    <x v="0"/>
    <m/>
    <n v="6186.81"/>
    <n v="5423.52"/>
    <n v="5339.57"/>
    <n v="5072.6899999999996"/>
    <n v="5206.2299999999996"/>
    <n v="5380.94"/>
    <n v="7097.6"/>
    <n v="6957.17"/>
    <n v="6480.29"/>
    <n v="6485.69"/>
    <n v="6416.02"/>
    <n v="5866.59"/>
    <n v="71913.119999999995"/>
    <n v="549.43000000000029"/>
  </r>
  <r>
    <x v="7"/>
    <x v="1"/>
    <x v="0"/>
    <s v="5885200"/>
    <n v="718010"/>
    <s v="Media/Print Advertising"/>
    <s v="Gyn Onc/WH-Tacoma-Shared Svc"/>
    <x v="0"/>
    <n v="1004"/>
    <n v="172.55"/>
    <n v="65.510000000000005"/>
    <n v="515.46"/>
    <n v="332.43"/>
    <n v="0"/>
    <n v="175.83"/>
    <n v="0"/>
    <n v="179.04"/>
    <n v="0"/>
    <n v="0"/>
    <n v="0"/>
    <n v="0"/>
    <n v="1440.82"/>
    <n v="0"/>
  </r>
  <r>
    <x v="7"/>
    <x v="1"/>
    <x v="0"/>
    <s v="5885200"/>
    <n v="718040"/>
    <s v="Contract Svcs-Laboratory"/>
    <s v="Gyn Onc/WH-Tacoma-Shared Svc"/>
    <x v="0"/>
    <m/>
    <n v="0"/>
    <n v="0"/>
    <n v="158.22999999999999"/>
    <n v="0"/>
    <n v="0"/>
    <n v="0"/>
    <n v="0"/>
    <n v="0"/>
    <n v="0"/>
    <n v="0"/>
    <n v="0"/>
    <n v="0"/>
    <n v="158.22999999999999"/>
    <n v="0"/>
  </r>
  <r>
    <x v="7"/>
    <x v="1"/>
    <x v="0"/>
    <s v="5885200"/>
    <n v="718050"/>
    <s v="Contract Svcs-Other"/>
    <s v="Gyn Onc/WH-Tacoma-Shared Svc"/>
    <x v="0"/>
    <m/>
    <n v="156.08000000000001"/>
    <n v="72.69"/>
    <n v="145.37"/>
    <n v="2626.5"/>
    <n v="72.69"/>
    <n v="0"/>
    <n v="244.89"/>
    <n v="254.4"/>
    <n v="84.8"/>
    <n v="84.8"/>
    <n v="0"/>
    <n v="50.88"/>
    <n v="3793.1000000000004"/>
    <n v="-50.88"/>
  </r>
  <r>
    <x v="7"/>
    <x v="1"/>
    <x v="0"/>
    <s v="5885200"/>
    <n v="718050"/>
    <s v="Management Fees"/>
    <s v="Gyn Onc/WH-Tacoma-Shared Svc"/>
    <x v="0"/>
    <n v="1004"/>
    <n v="0"/>
    <n v="0"/>
    <n v="0"/>
    <n v="0"/>
    <n v="0"/>
    <n v="179.02"/>
    <n v="0"/>
    <n v="0"/>
    <n v="0"/>
    <n v="0"/>
    <n v="0"/>
    <n v="0"/>
    <n v="179.02"/>
    <n v="0"/>
  </r>
  <r>
    <x v="7"/>
    <x v="1"/>
    <x v="0"/>
    <s v="5885200"/>
    <n v="718050"/>
    <s v="Document Shredding/Storage"/>
    <s v="Gyn Onc/WH-Tacoma-Shared Svc"/>
    <x v="0"/>
    <n v="1012"/>
    <n v="66.64"/>
    <n v="57.08"/>
    <n v="50.9"/>
    <n v="42.93"/>
    <n v="76.36"/>
    <n v="29.7"/>
    <n v="29.4"/>
    <n v="23.8"/>
    <n v="36.590000000000003"/>
    <n v="105.06"/>
    <n v="74.81"/>
    <n v="-26.02"/>
    <n v="567.25"/>
    <n v="100.83"/>
  </r>
  <r>
    <x v="7"/>
    <x v="1"/>
    <x v="0"/>
    <s v="5885200"/>
    <n v="718050"/>
    <s v="Physician Answering"/>
    <s v="Gyn Onc/WH-Tacoma-Shared Svc"/>
    <x v="0"/>
    <n v="1015"/>
    <n v="773"/>
    <n v="882.4"/>
    <n v="632.6"/>
    <n v="388"/>
    <n v="966.4"/>
    <n v="847.8"/>
    <n v="1019.6"/>
    <n v="1139.2"/>
    <n v="854.2"/>
    <n v="843.8"/>
    <n v="744.2"/>
    <n v="807.4"/>
    <n v="9898.6"/>
    <n v="-63.199999999999932"/>
  </r>
  <r>
    <x v="7"/>
    <x v="1"/>
    <x v="0"/>
    <s v="5885200"/>
    <n v="718050"/>
    <s v="Translation Services"/>
    <s v="Gyn Onc/WH-Tacoma-Shared Svc"/>
    <x v="0"/>
    <n v="1025"/>
    <n v="873.5"/>
    <n v="168"/>
    <n v="806.5"/>
    <n v="462"/>
    <n v="176"/>
    <n v="480"/>
    <n v="400"/>
    <n v="264"/>
    <n v="0"/>
    <n v="0"/>
    <n v="949.5"/>
    <n v="0"/>
    <n v="4579.5"/>
    <n v="949.5"/>
  </r>
  <r>
    <x v="7"/>
    <x v="1"/>
    <x v="0"/>
    <s v="5885200"/>
    <n v="718050"/>
    <s v="Contract Management--Linen"/>
    <s v="Gyn Onc/WH-Tacoma-Shared Svc"/>
    <x v="0"/>
    <n v="1026"/>
    <n v="429.06"/>
    <n v="911.88"/>
    <n v="457"/>
    <n v="303.26"/>
    <n v="910.48"/>
    <n v="758.15"/>
    <n v="910.48"/>
    <n v="929.44"/>
    <n v="0"/>
    <n v="0"/>
    <n v="0"/>
    <n v="0"/>
    <n v="5609.75"/>
    <n v="0"/>
  </r>
  <r>
    <x v="7"/>
    <x v="1"/>
    <x v="0"/>
    <s v="5885200"/>
    <n v="718050"/>
    <s v="Purchased Srvcs--Medical Waste"/>
    <s v="Gyn Onc/WH-Tacoma-Shared Svc"/>
    <x v="0"/>
    <n v="1027"/>
    <n v="11.16"/>
    <n v="46.05"/>
    <n v="22.32"/>
    <n v="0"/>
    <n v="46.05"/>
    <n v="33.479999999999997"/>
    <n v="89.85"/>
    <n v="22.32"/>
    <n v="0"/>
    <n v="22.32"/>
    <n v="0"/>
    <n v="22.32"/>
    <n v="315.87"/>
    <n v="-22.32"/>
  </r>
  <r>
    <x v="7"/>
    <x v="1"/>
    <x v="0"/>
    <s v="5885200"/>
    <n v="718070"/>
    <s v="Contract Srvcs-CHI Clinical Engineering"/>
    <s v="Gyn Onc/WH-Tacoma-Shared Svc"/>
    <x v="0"/>
    <m/>
    <n v="3106.15"/>
    <n v="1683"/>
    <n v="702.01"/>
    <n v="0"/>
    <n v="550"/>
    <n v="1045.6500000000001"/>
    <n v="1360.5"/>
    <n v="3132.39"/>
    <n v="1530.39"/>
    <n v="1288.18"/>
    <n v="0"/>
    <n v="550.5"/>
    <n v="14948.769999999999"/>
    <n v="-550.5"/>
  </r>
  <r>
    <x v="11"/>
    <x v="1"/>
    <x v="0"/>
    <s v="5885200"/>
    <n v="721010"/>
    <s v="Supplies-Medical - Billable"/>
    <s v="Gyn Onc/WH-Tacoma-Shared Svc"/>
    <x v="0"/>
    <m/>
    <n v="2034.24"/>
    <n v="4709.3"/>
    <n v="116"/>
    <n v="4392.8599999999997"/>
    <n v="3561.2"/>
    <n v="8923.8799999999992"/>
    <n v="1744.98"/>
    <n v="3710"/>
    <n v="5723.32"/>
    <n v="2899.4"/>
    <n v="7146.67"/>
    <n v="2252.41"/>
    <n v="47214.259999999995"/>
    <n v="4894.26"/>
  </r>
  <r>
    <x v="11"/>
    <x v="1"/>
    <x v="0"/>
    <s v="5885200"/>
    <n v="721020"/>
    <s v="Urological Supplies"/>
    <s v="Gyn Onc/WH-Tacoma-Shared Svc"/>
    <x v="0"/>
    <n v="1006"/>
    <n v="3643.2"/>
    <n v="776.37"/>
    <n v="141.52000000000001"/>
    <n v="1813.35"/>
    <n v="1818.85"/>
    <n v="4924.17"/>
    <n v="1469.23"/>
    <n v="-451.1"/>
    <n v="0"/>
    <n v="0"/>
    <n v="0"/>
    <n v="-4.57"/>
    <n v="14131.02"/>
    <n v="4.57"/>
  </r>
  <r>
    <x v="11"/>
    <x v="1"/>
    <x v="0"/>
    <s v="5885200"/>
    <n v="721250"/>
    <s v="Supplies-Pharmacy Drugs - Billable"/>
    <s v="Gyn Onc/WH-Tacoma-Shared Svc"/>
    <x v="0"/>
    <m/>
    <n v="707.2"/>
    <n v="168.86"/>
    <n v="53.75"/>
    <n v="741.37"/>
    <n v="1266.06"/>
    <n v="412.99"/>
    <n v="756.75"/>
    <n v="657.82"/>
    <n v="611.80999999999995"/>
    <n v="2547.62"/>
    <n v="610.47"/>
    <n v="2814.84"/>
    <n v="11349.539999999999"/>
    <n v="-2204.37"/>
  </r>
  <r>
    <x v="11"/>
    <x v="1"/>
    <x v="0"/>
    <s v="5885200"/>
    <n v="721410"/>
    <s v="Supplies-Medical - Nonbillable"/>
    <s v="Gyn Onc/WH-Tacoma-Shared Svc"/>
    <x v="0"/>
    <m/>
    <n v="1589.03"/>
    <n v="3795.62"/>
    <n v="1217.19"/>
    <n v="2479.81"/>
    <n v="515.21"/>
    <n v="1703.4"/>
    <n v="3638.43"/>
    <n v="2442.64"/>
    <n v="0"/>
    <n v="0"/>
    <n v="1409.46"/>
    <n v="1468.54"/>
    <n v="20259.330000000002"/>
    <n v="-59.079999999999927"/>
  </r>
  <r>
    <x v="11"/>
    <x v="1"/>
    <x v="0"/>
    <s v="5885200"/>
    <n v="721420"/>
    <s v="Supplies-Surgical Nonbillable"/>
    <s v="Gyn Onc/WH-Tacoma-Shared Svc"/>
    <x v="0"/>
    <m/>
    <n v="0"/>
    <n v="0"/>
    <n v="0"/>
    <n v="0"/>
    <n v="0"/>
    <n v="0"/>
    <n v="0"/>
    <n v="0"/>
    <n v="6.67"/>
    <n v="0"/>
    <n v="13.35"/>
    <n v="5.34"/>
    <n v="25.36"/>
    <n v="8.01"/>
  </r>
  <r>
    <x v="11"/>
    <x v="1"/>
    <x v="0"/>
    <s v="5885200"/>
    <n v="721640"/>
    <s v="Supplies-IV Solutions/Supplies - Nonbillable"/>
    <s v="Gyn Onc/WH-Tacoma-Shared Svc"/>
    <x v="0"/>
    <m/>
    <n v="375.44"/>
    <n v="469.94"/>
    <n v="130.05000000000001"/>
    <n v="341"/>
    <n v="0"/>
    <n v="682"/>
    <n v="0"/>
    <n v="0"/>
    <n v="36.35"/>
    <n v="52.5"/>
    <n v="43.62"/>
    <n v="57.22"/>
    <n v="2188.1199999999994"/>
    <n v="-13.600000000000001"/>
  </r>
  <r>
    <x v="11"/>
    <x v="1"/>
    <x v="0"/>
    <s v="5885200"/>
    <n v="721810"/>
    <s v="Supplies-Dietary/Cafeteria"/>
    <s v="Gyn Onc/WH-Tacoma-Shared Svc"/>
    <x v="0"/>
    <m/>
    <n v="78"/>
    <n v="129.75"/>
    <n v="465.26"/>
    <n v="110.97"/>
    <n v="78"/>
    <n v="0"/>
    <n v="199.46"/>
    <n v="65.959999999999994"/>
    <n v="0"/>
    <n v="250.48"/>
    <n v="32.979999999999997"/>
    <n v="234.02"/>
    <n v="1644.88"/>
    <n v="-201.04000000000002"/>
  </r>
  <r>
    <x v="11"/>
    <x v="1"/>
    <x v="0"/>
    <s v="5885200"/>
    <n v="721830"/>
    <s v="Supplies-Office"/>
    <s v="Gyn Onc/WH-Tacoma-Shared Svc"/>
    <x v="0"/>
    <m/>
    <n v="286.47000000000003"/>
    <n v="173.37"/>
    <n v="93.07"/>
    <n v="412.97"/>
    <n v="456.17"/>
    <n v="427.64"/>
    <n v="311.75"/>
    <n v="313.39999999999998"/>
    <n v="361.25"/>
    <n v="542.19000000000005"/>
    <n v="995.17"/>
    <n v="265.67"/>
    <n v="4639.12"/>
    <n v="729.5"/>
  </r>
  <r>
    <x v="11"/>
    <x v="1"/>
    <x v="0"/>
    <s v="5885200"/>
    <n v="721835"/>
    <s v="Supplies-Forms"/>
    <s v="Gyn Onc/WH-Tacoma-Shared Svc"/>
    <x v="0"/>
    <m/>
    <n v="0"/>
    <n v="0"/>
    <n v="0"/>
    <n v="0"/>
    <n v="0"/>
    <n v="0"/>
    <n v="0"/>
    <n v="0"/>
    <n v="15.13"/>
    <n v="0"/>
    <n v="0"/>
    <n v="0"/>
    <n v="15.13"/>
    <n v="0"/>
  </r>
  <r>
    <x v="11"/>
    <x v="1"/>
    <x v="0"/>
    <s v="5885200"/>
    <n v="721910"/>
    <s v="Supplies-Small Equipment"/>
    <s v="Gyn Onc/WH-Tacoma-Shared Svc"/>
    <x v="0"/>
    <m/>
    <n v="0"/>
    <n v="0"/>
    <n v="0"/>
    <n v="0"/>
    <n v="0"/>
    <n v="1803.44"/>
    <n v="1691.33"/>
    <n v="2761.31"/>
    <n v="0"/>
    <n v="0"/>
    <n v="0"/>
    <n v="0"/>
    <n v="6256.08"/>
    <n v="0"/>
  </r>
  <r>
    <x v="11"/>
    <x v="1"/>
    <x v="0"/>
    <s v="5885200"/>
    <n v="722000"/>
    <s v="Supplies-Freight Expense"/>
    <s v="Gyn Onc/WH-Tacoma-Shared Svc"/>
    <x v="0"/>
    <m/>
    <n v="0"/>
    <n v="88.49"/>
    <n v="74.31"/>
    <n v="64.02"/>
    <n v="0"/>
    <n v="23.31"/>
    <n v="196.41"/>
    <n v="15"/>
    <n v="65.39"/>
    <n v="14"/>
    <n v="0"/>
    <n v="79.33"/>
    <n v="620.26"/>
    <n v="-79.33"/>
  </r>
  <r>
    <x v="12"/>
    <x v="1"/>
    <x v="0"/>
    <s v="5885200"/>
    <n v="730010"/>
    <s v="Rental and Leases-Building (DO NOT USE)"/>
    <s v="Gyn Onc/WH-Tacoma-Shared Svc"/>
    <x v="0"/>
    <m/>
    <n v="19121.75"/>
    <n v="19121.75"/>
    <n v="19121.75"/>
    <n v="19121.75"/>
    <n v="19121.75"/>
    <n v="-20352.73"/>
    <n v="12542.67"/>
    <n v="12542.67"/>
    <n v="12542.67"/>
    <n v="12542.67"/>
    <n v="12549.17"/>
    <n v="0"/>
    <n v="137975.87"/>
    <n v="12549.17"/>
  </r>
  <r>
    <x v="12"/>
    <x v="1"/>
    <x v="0"/>
    <s v="5885200"/>
    <n v="730010"/>
    <s v="Rental-Common Area Maint (DO NOT USE)"/>
    <s v="Gyn Onc/WH-Tacoma-Shared Svc"/>
    <x v="0"/>
    <n v="2200"/>
    <n v="0"/>
    <n v="0"/>
    <n v="0"/>
    <n v="0"/>
    <n v="0"/>
    <n v="39340.18"/>
    <n v="6444.78"/>
    <n v="6444.78"/>
    <n v="4275.5600000000004"/>
    <n v="6444.79"/>
    <n v="6444.79"/>
    <n v="0"/>
    <n v="69394.87999999999"/>
    <n v="6444.79"/>
  </r>
  <r>
    <x v="12"/>
    <x v="1"/>
    <x v="0"/>
    <s v="5885200"/>
    <n v="730020"/>
    <s v="Rental and Leases-Copier Usage Fees (DO NOT USE)"/>
    <s v="Gyn Onc/WH-Tacoma-Shared Svc"/>
    <x v="0"/>
    <n v="5100"/>
    <n v="276.57"/>
    <n v="278.17"/>
    <n v="277.37"/>
    <n v="277.37"/>
    <n v="277.37"/>
    <n v="277.37"/>
    <n v="130.46"/>
    <n v="190.78"/>
    <n v="207.22"/>
    <n v="445.94"/>
    <n v="190.78"/>
    <n v="190.78"/>
    <n v="3020.1800000000003"/>
    <n v="0"/>
  </r>
  <r>
    <x v="12"/>
    <x v="1"/>
    <x v="0"/>
    <s v="5885200"/>
    <n v="730040"/>
    <s v="LT Lease-Real Estate"/>
    <s v="Gyn Onc/WH-Tacoma-Shared Svc"/>
    <x v="0"/>
    <m/>
    <n v="0"/>
    <n v="0"/>
    <n v="0"/>
    <n v="0"/>
    <n v="0"/>
    <n v="0"/>
    <n v="0"/>
    <n v="0"/>
    <n v="0"/>
    <n v="0"/>
    <n v="0"/>
    <n v="19182.59"/>
    <n v="19182.59"/>
    <n v="-19182.59"/>
  </r>
  <r>
    <x v="15"/>
    <x v="1"/>
    <x v="0"/>
    <s v="5885200"/>
    <n v="731060"/>
    <s v="Pagers"/>
    <s v="Gyn Onc/WH-Tacoma-Shared Svc"/>
    <x v="0"/>
    <n v="1002"/>
    <n v="32.4"/>
    <n v="32.4"/>
    <n v="32.4"/>
    <n v="32.479999999999997"/>
    <n v="32.479999999999997"/>
    <n v="0"/>
    <n v="64.959999999999994"/>
    <n v="32.479999999999997"/>
    <n v="32.479999999999997"/>
    <n v="32.479999999999997"/>
    <n v="32.479999999999997"/>
    <n v="32.479999999999997"/>
    <n v="389.52000000000004"/>
    <n v="0"/>
  </r>
  <r>
    <x v="15"/>
    <x v="1"/>
    <x v="0"/>
    <s v="5885200"/>
    <n v="731070"/>
    <s v="Cable TV"/>
    <s v="Gyn Onc/WH-Tacoma-Shared Svc"/>
    <x v="0"/>
    <m/>
    <n v="105.16"/>
    <n v="105.16"/>
    <n v="105.16"/>
    <n v="105.14"/>
    <n v="111"/>
    <n v="111"/>
    <n v="111"/>
    <n v="111"/>
    <n v="111"/>
    <n v="111"/>
    <n v="111.29"/>
    <n v="111.29"/>
    <n v="1309.1999999999998"/>
    <n v="0"/>
  </r>
  <r>
    <x v="16"/>
    <x v="1"/>
    <x v="0"/>
    <s v="5885200"/>
    <n v="732015"/>
    <s v="Repairs-Clinical Equip-T&amp;M-Ext to CHI Programs"/>
    <s v="Gyn Onc/WH-Tacoma-Shared Svc"/>
    <x v="0"/>
    <m/>
    <n v="0"/>
    <n v="4.7699999999999996"/>
    <n v="4.7699999999999996"/>
    <n v="9.77"/>
    <n v="4.7699999999999996"/>
    <n v="5"/>
    <n v="61.65"/>
    <n v="5"/>
    <n v="0"/>
    <n v="0"/>
    <n v="0"/>
    <n v="0"/>
    <n v="95.72999999999999"/>
    <n v="0"/>
  </r>
  <r>
    <x v="16"/>
    <x v="1"/>
    <x v="0"/>
    <s v="5885200"/>
    <n v="732030"/>
    <s v="Repairs---Other"/>
    <s v="Gyn Onc/WH-Tacoma-Shared Svc"/>
    <x v="0"/>
    <m/>
    <n v="0"/>
    <n v="0"/>
    <n v="0"/>
    <n v="0"/>
    <n v="0"/>
    <n v="0"/>
    <n v="0"/>
    <n v="0"/>
    <n v="0"/>
    <n v="0"/>
    <n v="46.08"/>
    <n v="0"/>
    <n v="46.08"/>
    <n v="46.08"/>
  </r>
  <r>
    <x v="16"/>
    <x v="1"/>
    <x v="0"/>
    <s v="5885200"/>
    <n v="733030"/>
    <s v="Maintenance Contracts-Other"/>
    <s v="Gyn Onc/WH-Tacoma-Shared Svc"/>
    <x v="0"/>
    <m/>
    <n v="155.84"/>
    <n v="36.22"/>
    <n v="36.22"/>
    <n v="203.02"/>
    <n v="0"/>
    <n v="72.44"/>
    <n v="119.62"/>
    <n v="119.62"/>
    <n v="0"/>
    <n v="0"/>
    <n v="0"/>
    <n v="0"/>
    <n v="742.98"/>
    <n v="0"/>
  </r>
  <r>
    <x v="13"/>
    <x v="1"/>
    <x v="0"/>
    <s v="5885200"/>
    <n v="735070"/>
    <s v="Depreciation-Movable Equipment"/>
    <s v="Gyn Onc/WH-Tacoma-Shared Svc"/>
    <x v="0"/>
    <m/>
    <n v="1154.1300000000001"/>
    <n v="1154.1400000000001"/>
    <n v="1154.1300000000001"/>
    <n v="751.86"/>
    <n v="751.87"/>
    <n v="751.85"/>
    <n v="751.87"/>
    <n v="751.84"/>
    <n v="751.87"/>
    <n v="751.84"/>
    <n v="751.88"/>
    <n v="751.84"/>
    <n v="10229.119999999999"/>
    <n v="3.999999999996362E-2"/>
  </r>
  <r>
    <x v="0"/>
    <x v="1"/>
    <x v="0"/>
    <s v="5885200"/>
    <n v="742040"/>
    <s v="Freight-Other"/>
    <s v="Gyn Onc/WH-Tacoma-Shared Svc"/>
    <x v="0"/>
    <m/>
    <n v="0"/>
    <n v="0"/>
    <n v="0"/>
    <n v="38.340000000000003"/>
    <n v="0"/>
    <n v="0"/>
    <n v="0"/>
    <n v="0"/>
    <n v="0"/>
    <n v="0"/>
    <n v="0"/>
    <n v="0"/>
    <n v="38.340000000000003"/>
    <n v="0"/>
  </r>
  <r>
    <x v="0"/>
    <x v="1"/>
    <x v="0"/>
    <s v="5885200"/>
    <n v="743030"/>
    <s v="Subscriptions--Institutional"/>
    <s v="Gyn Onc/WH-Tacoma-Shared Svc"/>
    <x v="0"/>
    <m/>
    <n v="0"/>
    <n v="0"/>
    <n v="0"/>
    <n v="0"/>
    <n v="0"/>
    <n v="0"/>
    <n v="0"/>
    <n v="0"/>
    <n v="61"/>
    <n v="0"/>
    <n v="0"/>
    <n v="0"/>
    <n v="61"/>
    <n v="0"/>
  </r>
  <r>
    <x v="0"/>
    <x v="1"/>
    <x v="0"/>
    <s v="5885200"/>
    <n v="743040"/>
    <s v="Subscriptions--Individual"/>
    <s v="Gyn Onc/WH-Tacoma-Shared Svc"/>
    <x v="0"/>
    <m/>
    <n v="0"/>
    <n v="0"/>
    <n v="0"/>
    <n v="0"/>
    <n v="0"/>
    <n v="0"/>
    <n v="89"/>
    <n v="0"/>
    <n v="0"/>
    <n v="0"/>
    <n v="0"/>
    <n v="0"/>
    <n v="89"/>
    <n v="0"/>
  </r>
  <r>
    <x v="0"/>
    <x v="1"/>
    <x v="0"/>
    <s v="5885200"/>
    <n v="749510"/>
    <s v="Miscellaneous Expenses"/>
    <s v="Gyn Onc/WH-Tacoma-Shared Svc"/>
    <x v="0"/>
    <m/>
    <n v="6"/>
    <n v="0"/>
    <n v="0"/>
    <n v="13.47"/>
    <n v="-15.47"/>
    <n v="0"/>
    <n v="41.97"/>
    <n v="28.44"/>
    <n v="-10.69"/>
    <n v="0"/>
    <n v="872"/>
    <n v="16.239999999999998"/>
    <n v="951.96"/>
    <n v="855.76"/>
  </r>
  <r>
    <x v="0"/>
    <x v="1"/>
    <x v="0"/>
    <s v="5885200"/>
    <n v="749510"/>
    <s v="Licenses"/>
    <s v="Gyn Onc/WH-Tacoma-Shared Svc"/>
    <x v="0"/>
    <n v="1002"/>
    <n v="0"/>
    <n v="0"/>
    <n v="265"/>
    <n v="0"/>
    <n v="0"/>
    <n v="205"/>
    <n v="38.75"/>
    <n v="0"/>
    <n v="0"/>
    <n v="0"/>
    <n v="200"/>
    <n v="0"/>
    <n v="708.75"/>
    <n v="200"/>
  </r>
  <r>
    <x v="0"/>
    <x v="1"/>
    <x v="0"/>
    <s v="5885200"/>
    <n v="749530"/>
    <s v="Travel"/>
    <s v="Gyn Onc/WH-Tacoma-Shared Svc"/>
    <x v="0"/>
    <m/>
    <n v="0"/>
    <n v="6"/>
    <n v="0"/>
    <n v="0"/>
    <n v="0"/>
    <n v="11"/>
    <n v="0"/>
    <n v="0"/>
    <n v="0"/>
    <n v="0"/>
    <n v="0"/>
    <n v="0"/>
    <n v="17"/>
    <n v="0"/>
  </r>
  <r>
    <x v="0"/>
    <x v="1"/>
    <x v="0"/>
    <s v="5885200"/>
    <n v="749530"/>
    <s v="Mileage"/>
    <s v="Gyn Onc/WH-Tacoma-Shared Svc"/>
    <x v="0"/>
    <n v="1001"/>
    <n v="31.62"/>
    <n v="15.81"/>
    <n v="0"/>
    <n v="0"/>
    <n v="0"/>
    <n v="31.62"/>
    <n v="0"/>
    <n v="0"/>
    <n v="0"/>
    <n v="0"/>
    <n v="24.36"/>
    <n v="0"/>
    <n v="103.41"/>
    <n v="24.36"/>
  </r>
  <r>
    <x v="0"/>
    <x v="1"/>
    <x v="0"/>
    <s v="5885200"/>
    <n v="749535"/>
    <s v="Meetings"/>
    <s v="Gyn Onc/WH-Tacoma-Shared Svc"/>
    <x v="0"/>
    <m/>
    <n v="6"/>
    <n v="20.96"/>
    <n v="43.67"/>
    <n v="0"/>
    <n v="15.47"/>
    <n v="20"/>
    <n v="20.92"/>
    <n v="0"/>
    <n v="10.69"/>
    <n v="14.28"/>
    <n v="0"/>
    <n v="0"/>
    <n v="151.99"/>
    <n v="0"/>
  </r>
  <r>
    <x v="7"/>
    <x v="1"/>
    <x v="0"/>
    <s v="5886200"/>
    <n v="718050"/>
    <s v="Document Shredding/Storage"/>
    <s v="Cardiology-Tacoma-Shared Svc"/>
    <x v="0"/>
    <n v="1012"/>
    <n v="4.13"/>
    <n v="4.13"/>
    <n v="3.95"/>
    <n v="4.04"/>
    <n v="4.17"/>
    <n v="4.17"/>
    <n v="4.12"/>
    <n v="3.53"/>
    <n v="3.66"/>
    <n v="4.83"/>
    <n v="4.04"/>
    <n v="4.17"/>
    <n v="48.940000000000005"/>
    <n v="-0.12999999999999989"/>
  </r>
  <r>
    <x v="7"/>
    <x v="1"/>
    <x v="0"/>
    <s v="5886200"/>
    <n v="718050"/>
    <s v="Translation Services"/>
    <s v="Cardiology-Tacoma-Shared Svc"/>
    <x v="0"/>
    <n v="1025"/>
    <n v="116.19"/>
    <n v="0"/>
    <n v="76.95"/>
    <n v="25.28"/>
    <n v="25.68"/>
    <n v="21.63"/>
    <n v="50.94"/>
    <n v="25.28"/>
    <n v="0"/>
    <n v="0"/>
    <n v="16.09"/>
    <n v="19.75"/>
    <n v="377.79"/>
    <n v="-3.66"/>
  </r>
  <r>
    <x v="11"/>
    <x v="1"/>
    <x v="0"/>
    <s v="5886200"/>
    <n v="721250"/>
    <s v="Supplies-Pharmacy Drugs - Billable"/>
    <s v="Cardiology-Tacoma-Shared Svc"/>
    <x v="0"/>
    <m/>
    <n v="0"/>
    <n v="0"/>
    <n v="0"/>
    <n v="0"/>
    <n v="0"/>
    <n v="0"/>
    <n v="0"/>
    <n v="0"/>
    <n v="0"/>
    <n v="0"/>
    <n v="5.96"/>
    <n v="0"/>
    <n v="5.96"/>
    <n v="5.96"/>
  </r>
  <r>
    <x v="12"/>
    <x v="1"/>
    <x v="0"/>
    <s v="5886200"/>
    <n v="730020"/>
    <s v="Rental and Leases-Copier Usage Fees (DO NOT USE)"/>
    <s v="Cardiology-Tacoma-Shared Svc"/>
    <x v="0"/>
    <n v="5100"/>
    <n v="560.26"/>
    <n v="576.5"/>
    <n v="568.38"/>
    <n v="568.38"/>
    <n v="568.38"/>
    <n v="568.38"/>
    <n v="-1386.38"/>
    <n v="426.89"/>
    <n v="426"/>
    <n v="424.54"/>
    <n v="385.16"/>
    <n v="447.37"/>
    <n v="4133.8599999999997"/>
    <n v="-62.20999999999998"/>
  </r>
  <r>
    <x v="15"/>
    <x v="1"/>
    <x v="0"/>
    <s v="5886200"/>
    <n v="731070"/>
    <s v="Cable TV"/>
    <s v="Cardiology-Tacoma-Shared Svc"/>
    <x v="0"/>
    <m/>
    <n v="30.73"/>
    <n v="30.73"/>
    <n v="30.73"/>
    <n v="30.73"/>
    <n v="30.73"/>
    <n v="30.73"/>
    <n v="30.73"/>
    <n v="30.73"/>
    <n v="30.73"/>
    <n v="30.73"/>
    <n v="30.73"/>
    <n v="30.73"/>
    <n v="368.76000000000005"/>
    <n v="0"/>
  </r>
  <r>
    <x v="13"/>
    <x v="1"/>
    <x v="0"/>
    <s v="5886200"/>
    <n v="735050"/>
    <s v="Amortization-Leasehold Improvements"/>
    <s v="Cardiology-Tacoma-Shared Svc"/>
    <x v="0"/>
    <m/>
    <n v="3735.07"/>
    <n v="3735.07"/>
    <n v="3735.07"/>
    <n v="3735.07"/>
    <n v="3735.07"/>
    <n v="3735.07"/>
    <n v="3735.07"/>
    <n v="3735.07"/>
    <n v="3735.07"/>
    <n v="3735.06"/>
    <n v="3735.07"/>
    <n v="3735.06"/>
    <n v="44820.82"/>
    <n v="1.0000000000218279E-2"/>
  </r>
  <r>
    <x v="13"/>
    <x v="1"/>
    <x v="0"/>
    <s v="5886200"/>
    <n v="735070"/>
    <s v="Depreciation-Movable Equipment"/>
    <s v="Cardiology-Tacoma-Shared Svc"/>
    <x v="0"/>
    <m/>
    <n v="553.01"/>
    <n v="553.01"/>
    <n v="553.01"/>
    <n v="553"/>
    <n v="553.01"/>
    <n v="553"/>
    <n v="553.01"/>
    <n v="553"/>
    <n v="553.01"/>
    <n v="552.99"/>
    <n v="553.01"/>
    <n v="552.99"/>
    <n v="6636.05"/>
    <n v="1.999999999998181E-2"/>
  </r>
  <r>
    <x v="0"/>
    <x v="1"/>
    <x v="0"/>
    <s v="5886200"/>
    <n v="766010"/>
    <s v="Property Tax"/>
    <s v="Cardiology-Tacoma-Shared Svc"/>
    <x v="0"/>
    <m/>
    <n v="144.41"/>
    <n v="144.41"/>
    <n v="144.41"/>
    <n v="144.41"/>
    <n v="144.41"/>
    <n v="144.41"/>
    <n v="144.41"/>
    <n v="144.41"/>
    <n v="144.41"/>
    <n v="-21.18"/>
    <n v="103.02"/>
    <n v="103.02"/>
    <n v="1484.55"/>
    <n v="0"/>
  </r>
  <r>
    <x v="7"/>
    <x v="1"/>
    <x v="0"/>
    <s v="5888200"/>
    <n v="718050"/>
    <s v="Contract Svcs-Other"/>
    <s v="Urology-Burien-Shared Svc"/>
    <x v="0"/>
    <m/>
    <n v="4007.62"/>
    <n v="0"/>
    <n v="0"/>
    <n v="0"/>
    <n v="0"/>
    <n v="0"/>
    <n v="0"/>
    <n v="0"/>
    <n v="0"/>
    <n v="0"/>
    <n v="0"/>
    <n v="0"/>
    <n v="4007.62"/>
    <n v="0"/>
  </r>
  <r>
    <x v="12"/>
    <x v="1"/>
    <x v="0"/>
    <s v="5888200"/>
    <n v="730010"/>
    <s v="Rental and Leases-Building (DO NOT USE)"/>
    <s v="Urology-Burien-Shared Svc"/>
    <x v="0"/>
    <m/>
    <n v="0"/>
    <n v="0"/>
    <n v="0"/>
    <n v="0"/>
    <n v="0"/>
    <n v="0"/>
    <n v="32469.32"/>
    <n v="8117.33"/>
    <n v="8117.33"/>
    <n v="8117.33"/>
    <n v="7664.69"/>
    <n v="0"/>
    <n v="64486.000000000007"/>
    <n v="7664.69"/>
  </r>
  <r>
    <x v="12"/>
    <x v="1"/>
    <x v="0"/>
    <s v="5888200"/>
    <n v="730010"/>
    <s v="Rental-Common Area Maint (DO NOT USE)"/>
    <s v="Urology-Burien-Shared Svc"/>
    <x v="0"/>
    <n v="2200"/>
    <n v="0"/>
    <n v="0"/>
    <n v="0"/>
    <n v="0"/>
    <n v="0"/>
    <n v="0"/>
    <n v="15290.74"/>
    <n v="3830.38"/>
    <n v="3830.38"/>
    <n v="3830.38"/>
    <n v="3830.38"/>
    <n v="0"/>
    <n v="30612.260000000002"/>
    <n v="3830.38"/>
  </r>
  <r>
    <x v="12"/>
    <x v="1"/>
    <x v="0"/>
    <s v="5888200"/>
    <n v="730040"/>
    <s v="LT Lease-Real Estate"/>
    <s v="Urology-Burien-Shared Svc"/>
    <x v="0"/>
    <m/>
    <n v="0"/>
    <n v="0"/>
    <n v="0"/>
    <n v="0"/>
    <n v="0"/>
    <n v="0"/>
    <n v="0"/>
    <n v="0"/>
    <n v="0"/>
    <n v="0"/>
    <n v="0"/>
    <n v="11947.71"/>
    <n v="11947.71"/>
    <n v="-11947.71"/>
  </r>
  <r>
    <x v="7"/>
    <x v="1"/>
    <x v="0"/>
    <s v="5890200"/>
    <n v="718050"/>
    <s v="Contract Svcs-Other"/>
    <s v="Plastic Surgery-LW-Shared Svc"/>
    <x v="0"/>
    <m/>
    <n v="30.18"/>
    <n v="30.18"/>
    <n v="30.18"/>
    <n v="30.18"/>
    <n v="30.18"/>
    <n v="0"/>
    <n v="60.36"/>
    <n v="44.17"/>
    <n v="13.99"/>
    <n v="0"/>
    <n v="0"/>
    <n v="13.99"/>
    <n v="283.41000000000003"/>
    <n v="-13.99"/>
  </r>
  <r>
    <x v="7"/>
    <x v="1"/>
    <x v="0"/>
    <s v="5890200"/>
    <n v="718050"/>
    <s v="Document Shredding/Storage"/>
    <s v="Plastic Surgery-LW-Shared Svc"/>
    <x v="0"/>
    <n v="1012"/>
    <n v="67.959999999999994"/>
    <n v="-87.85"/>
    <n v="14.18"/>
    <n v="14.54"/>
    <n v="6.6"/>
    <n v="15.11"/>
    <n v="14.95"/>
    <n v="64.290000000000006"/>
    <n v="38.39"/>
    <n v="-42.13"/>
    <n v="11.76"/>
    <n v="31.45"/>
    <n v="149.25000000000003"/>
    <n v="-19.689999999999998"/>
  </r>
  <r>
    <x v="7"/>
    <x v="1"/>
    <x v="0"/>
    <s v="5890200"/>
    <n v="718050"/>
    <s v="Physician Answering"/>
    <s v="Plastic Surgery-LW-Shared Svc"/>
    <x v="0"/>
    <n v="1015"/>
    <n v="882.2"/>
    <n v="1289.2"/>
    <n v="843.8"/>
    <n v="365.8"/>
    <n v="1053.4000000000001"/>
    <n v="584.4"/>
    <n v="711.8"/>
    <n v="651.4"/>
    <n v="579.4"/>
    <n v="809.6"/>
    <n v="516.79999999999995"/>
    <n v="602.79999999999995"/>
    <n v="8890.5999999999985"/>
    <n v="-86"/>
  </r>
  <r>
    <x v="7"/>
    <x v="1"/>
    <x v="0"/>
    <s v="5890200"/>
    <n v="718050"/>
    <s v="Purchased Srvcs--Medical Waste"/>
    <s v="Plastic Surgery-LW-Shared Svc"/>
    <x v="0"/>
    <n v="1027"/>
    <n v="11.16"/>
    <n v="11.16"/>
    <n v="11.16"/>
    <n v="0"/>
    <n v="11.16"/>
    <n v="11.16"/>
    <n v="22.32"/>
    <n v="11.16"/>
    <n v="0"/>
    <n v="22.32"/>
    <n v="0"/>
    <n v="11.16"/>
    <n v="122.75999999999999"/>
    <n v="-11.16"/>
  </r>
  <r>
    <x v="11"/>
    <x v="1"/>
    <x v="0"/>
    <s v="5890200"/>
    <n v="721830"/>
    <s v="Supplies-Office"/>
    <s v="Plastic Surgery-LW-Shared Svc"/>
    <x v="0"/>
    <m/>
    <n v="0"/>
    <n v="86.81"/>
    <n v="0"/>
    <n v="0"/>
    <n v="0"/>
    <n v="0"/>
    <n v="0"/>
    <n v="0"/>
    <n v="0"/>
    <n v="0"/>
    <n v="0"/>
    <n v="0"/>
    <n v="86.81"/>
    <n v="0"/>
  </r>
  <r>
    <x v="15"/>
    <x v="1"/>
    <x v="0"/>
    <s v="5890200"/>
    <n v="731070"/>
    <s v="Cable TV"/>
    <s v="Plastic Surgery-LW-Shared Svc"/>
    <x v="0"/>
    <m/>
    <n v="60.26"/>
    <n v="60.26"/>
    <n v="60.26"/>
    <n v="60.24"/>
    <n v="59.99"/>
    <n v="59.99"/>
    <n v="59.99"/>
    <n v="59.99"/>
    <n v="59.99"/>
    <n v="59.99"/>
    <n v="60.18"/>
    <n v="60.18"/>
    <n v="721.31999999999994"/>
    <n v="0"/>
  </r>
  <r>
    <x v="13"/>
    <x v="1"/>
    <x v="0"/>
    <s v="5890200"/>
    <n v="735050"/>
    <s v="Amortization-Leasehold Improvements"/>
    <s v="Plastic Surgery-LW-Shared Svc"/>
    <x v="0"/>
    <m/>
    <n v="357.72"/>
    <n v="357.72"/>
    <n v="357.72"/>
    <n v="357.72"/>
    <n v="357.72"/>
    <n v="357.72"/>
    <n v="357.72"/>
    <n v="357.72"/>
    <n v="357.72"/>
    <n v="357.71"/>
    <n v="357.72"/>
    <n v="357.71"/>
    <n v="4292.6200000000008"/>
    <n v="1.0000000000047748E-2"/>
  </r>
  <r>
    <x v="13"/>
    <x v="1"/>
    <x v="0"/>
    <s v="5890200"/>
    <n v="735070"/>
    <s v="Depreciation-Movable Equipment"/>
    <s v="Plastic Surgery-LW-Shared Svc"/>
    <x v="0"/>
    <m/>
    <n v="68.66"/>
    <n v="68.64"/>
    <n v="68.66"/>
    <n v="68.64"/>
    <n v="68.66"/>
    <n v="68.64"/>
    <n v="68.66"/>
    <n v="68.64"/>
    <n v="68.66"/>
    <n v="68.64"/>
    <n v="68.66"/>
    <n v="68.64"/>
    <n v="823.79999999999984"/>
    <n v="1.9999999999996021E-2"/>
  </r>
  <r>
    <x v="0"/>
    <x v="1"/>
    <x v="0"/>
    <s v="5890200"/>
    <n v="749510"/>
    <s v="Miscellaneous Expenses"/>
    <s v="Plastic Surgery-LW-Shared Svc"/>
    <x v="0"/>
    <m/>
    <n v="109"/>
    <n v="208"/>
    <n v="0"/>
    <n v="0"/>
    <n v="99"/>
    <n v="297"/>
    <n v="0"/>
    <n v="0"/>
    <n v="198"/>
    <n v="0"/>
    <n v="297"/>
    <n v="0"/>
    <n v="1208"/>
    <n v="297"/>
  </r>
  <r>
    <x v="0"/>
    <x v="1"/>
    <x v="0"/>
    <s v="5890200"/>
    <n v="766010"/>
    <s v="Property Tax"/>
    <s v="Plastic Surgery-LW-Shared Svc"/>
    <x v="0"/>
    <m/>
    <n v="72.61"/>
    <n v="72.61"/>
    <n v="72.61"/>
    <n v="72.61"/>
    <n v="72.61"/>
    <n v="72.61"/>
    <n v="72.61"/>
    <n v="72.61"/>
    <n v="72.61"/>
    <n v="11.62"/>
    <n v="57.37"/>
    <n v="57.37"/>
    <n v="779.85"/>
    <n v="0"/>
  </r>
  <r>
    <x v="2"/>
    <x v="1"/>
    <x v="0"/>
    <s v="5891200"/>
    <n v="450040"/>
    <s v="Contr Allow--Phys Svcs--BCBS Mgnd Care"/>
    <s v="Plastic Surgery-Point Ruston"/>
    <x v="0"/>
    <n v="1401"/>
    <n v="20"/>
    <n v="29446.66"/>
    <n v="0"/>
    <n v="0"/>
    <n v="0"/>
    <n v="0"/>
    <n v="0"/>
    <n v="0"/>
    <n v="0"/>
    <n v="0"/>
    <n v="0"/>
    <n v="0"/>
    <n v="29466.66"/>
    <n v="0"/>
  </r>
  <r>
    <x v="14"/>
    <x v="1"/>
    <x v="0"/>
    <s v="5891200"/>
    <n v="600010"/>
    <s v="Product Sales Income-Taxable"/>
    <s v="Plastic Surgery-Point Ruston"/>
    <x v="0"/>
    <m/>
    <n v="0"/>
    <n v="3005.24"/>
    <n v="0"/>
    <n v="0"/>
    <n v="0"/>
    <n v="0"/>
    <n v="0"/>
    <n v="0"/>
    <n v="0"/>
    <n v="0"/>
    <n v="0"/>
    <n v="0"/>
    <n v="3005.24"/>
    <n v="0"/>
  </r>
  <r>
    <x v="14"/>
    <x v="1"/>
    <x v="0"/>
    <s v="5891200"/>
    <n v="600050"/>
    <s v="Miscellaneous Revenue"/>
    <s v="Plastic Surgery-Point Ruston"/>
    <x v="0"/>
    <m/>
    <n v="0"/>
    <n v="0"/>
    <n v="-768"/>
    <n v="0"/>
    <n v="0"/>
    <n v="0"/>
    <n v="-905.25"/>
    <n v="0"/>
    <n v="0"/>
    <n v="0"/>
    <n v="0"/>
    <n v="0"/>
    <n v="-1673.25"/>
    <n v="0"/>
  </r>
  <r>
    <x v="5"/>
    <x v="1"/>
    <x v="0"/>
    <s v="5891200"/>
    <n v="700014"/>
    <s v="Salaries-Management-Productive"/>
    <s v="Plastic Surgery-Point Ruston"/>
    <x v="0"/>
    <m/>
    <n v="2599.96"/>
    <n v="1578.56"/>
    <n v="10827.27"/>
    <n v="10651.75"/>
    <n v="9540.32"/>
    <n v="15695.2"/>
    <n v="17863.93"/>
    <n v="14427.52"/>
    <n v="13469.68"/>
    <n v="19367.66"/>
    <n v="18739.79"/>
    <n v="16960.86"/>
    <n v="151722.5"/>
    <n v="1778.9300000000003"/>
  </r>
  <r>
    <x v="5"/>
    <x v="1"/>
    <x v="0"/>
    <s v="5891200"/>
    <n v="700018"/>
    <s v="Salaries-Supervisory-Productive"/>
    <s v="Plastic Surgery-Point Ruston"/>
    <x v="0"/>
    <m/>
    <n v="0"/>
    <n v="0"/>
    <n v="0"/>
    <n v="0"/>
    <n v="0"/>
    <n v="1567.44"/>
    <n v="1819.01"/>
    <n v="1993.32"/>
    <n v="1843.82"/>
    <n v="1694.32"/>
    <n v="2292.3200000000002"/>
    <n v="1744.15"/>
    <n v="12954.38"/>
    <n v="548.17000000000007"/>
  </r>
  <r>
    <x v="5"/>
    <x v="1"/>
    <x v="0"/>
    <s v="5891200"/>
    <n v="700038"/>
    <s v="Salaries-Service/Support-Productive"/>
    <s v="Plastic Surgery-Point Ruston"/>
    <x v="0"/>
    <m/>
    <n v="12339.22"/>
    <n v="14848.75"/>
    <n v="10232.34"/>
    <n v="10661.91"/>
    <n v="11740.36"/>
    <n v="7237"/>
    <n v="11942.42"/>
    <n v="8350.1200000000008"/>
    <n v="10439.200000000001"/>
    <n v="7894.15"/>
    <n v="12904.33"/>
    <n v="7976.21"/>
    <n v="126566.01"/>
    <n v="4928.12"/>
  </r>
  <r>
    <x v="5"/>
    <x v="1"/>
    <x v="0"/>
    <s v="5891200"/>
    <n v="700038"/>
    <s v="Salaries-Service/Support-OT"/>
    <s v="Plastic Surgery-Point Ruston"/>
    <x v="0"/>
    <n v="1000"/>
    <n v="114.55"/>
    <n v="260.63"/>
    <n v="170.88"/>
    <n v="115.33"/>
    <n v="82.27"/>
    <n v="203.36"/>
    <n v="121.53"/>
    <n v="83.99"/>
    <n v="50.34"/>
    <n v="160.72"/>
    <n v="198.22"/>
    <n v="26.47"/>
    <n v="1588.29"/>
    <n v="171.75"/>
  </r>
  <r>
    <x v="5"/>
    <x v="1"/>
    <x v="0"/>
    <s v="5891200"/>
    <n v="700038"/>
    <s v="Salaries-Service/Support-Other"/>
    <s v="Plastic Surgery-Point Ruston"/>
    <x v="0"/>
    <n v="2000"/>
    <n v="0"/>
    <n v="0"/>
    <n v="0"/>
    <n v="0"/>
    <n v="0"/>
    <n v="0"/>
    <n v="0"/>
    <n v="3.85"/>
    <n v="-1.1000000000000001"/>
    <n v="0"/>
    <n v="0"/>
    <n v="0"/>
    <n v="2.75"/>
    <n v="0"/>
  </r>
  <r>
    <x v="5"/>
    <x v="1"/>
    <x v="0"/>
    <s v="5891200"/>
    <n v="700054"/>
    <s v="Salaries-Management-Non-productive"/>
    <s v="Plastic Surgery-Point Ruston"/>
    <x v="0"/>
    <m/>
    <n v="4398.47"/>
    <n v="-577.51"/>
    <n v="350.02"/>
    <n v="357.17"/>
    <n v="3072.69"/>
    <n v="2536.39"/>
    <n v="206.49"/>
    <n v="38.799999999999997"/>
    <n v="1719.96"/>
    <n v="32.5"/>
    <n v="1734.01"/>
    <n v="212.42"/>
    <n v="14081.41"/>
    <n v="1521.59"/>
  </r>
  <r>
    <x v="5"/>
    <x v="1"/>
    <x v="0"/>
    <s v="5891200"/>
    <n v="700054"/>
    <s v="Salaries-Management-NonProd-Other"/>
    <s v="Plastic Surgery-Point Ruston"/>
    <x v="0"/>
    <n v="2000"/>
    <n v="0"/>
    <n v="0"/>
    <n v="0"/>
    <n v="0"/>
    <n v="0"/>
    <n v="2243.0300000000002"/>
    <n v="-2243.0300000000002"/>
    <n v="0"/>
    <n v="0"/>
    <n v="0"/>
    <n v="0"/>
    <n v="0"/>
    <n v="0"/>
    <n v="0"/>
  </r>
  <r>
    <x v="5"/>
    <x v="1"/>
    <x v="0"/>
    <s v="5891200"/>
    <n v="700058"/>
    <s v="Salaries-Supervisory-Non-productive"/>
    <s v="Plastic Surgery-Point Ruston"/>
    <x v="0"/>
    <m/>
    <n v="0"/>
    <n v="0"/>
    <n v="0"/>
    <n v="0"/>
    <n v="0"/>
    <n v="0"/>
    <n v="498.33"/>
    <n v="0"/>
    <n v="0"/>
    <n v="0"/>
    <n v="0"/>
    <n v="249.18"/>
    <n v="747.51"/>
    <n v="-249.18"/>
  </r>
  <r>
    <x v="5"/>
    <x v="1"/>
    <x v="0"/>
    <s v="5891200"/>
    <n v="700078"/>
    <s v="Salaries-Service/Support-Non-productive"/>
    <s v="Plastic Surgery-Point Ruston"/>
    <x v="0"/>
    <m/>
    <n v="4202.21"/>
    <n v="910.12"/>
    <n v="1562.41"/>
    <n v="1968.88"/>
    <n v="576.11"/>
    <n v="1893.12"/>
    <n v="1116.3399999999999"/>
    <n v="2321.94"/>
    <n v="1172.55"/>
    <n v="1791.09"/>
    <n v="-69.75"/>
    <n v="2429.38"/>
    <n v="19874.399999999998"/>
    <n v="-2499.13"/>
  </r>
  <r>
    <x v="5"/>
    <x v="1"/>
    <x v="0"/>
    <s v="5891200"/>
    <n v="700078"/>
    <s v="Salaries-Service/Support-NonProd-Other"/>
    <s v="Plastic Surgery-Point Rust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91200"/>
    <n v="700084"/>
    <s v="Accrued PTO"/>
    <s v="Plastic Surgery-Point Ruston"/>
    <x v="0"/>
    <m/>
    <n v="-2921.11"/>
    <n v="-2521.61"/>
    <n v="468.59"/>
    <n v="2346.5"/>
    <n v="686.69"/>
    <n v="-1998.73"/>
    <n v="1119.29"/>
    <n v="-147.83000000000001"/>
    <n v="245.76"/>
    <n v="618.30999999999995"/>
    <n v="604.03"/>
    <n v="-671.87"/>
    <n v="-2171.98"/>
    <n v="1275.9000000000001"/>
  </r>
  <r>
    <x v="6"/>
    <x v="1"/>
    <x v="0"/>
    <s v="5891200"/>
    <n v="713010"/>
    <s v="Benefits-FICA/Medicare"/>
    <s v="Plastic Surgery-Point Ruston"/>
    <x v="0"/>
    <m/>
    <n v="1734.7"/>
    <n v="1238.78"/>
    <n v="1693.09"/>
    <n v="1742.58"/>
    <n v="1898.7"/>
    <n v="2361.5300000000002"/>
    <n v="2675.13"/>
    <n v="2031.24"/>
    <n v="2144.33"/>
    <n v="2307.4299999999998"/>
    <n v="2668.45"/>
    <n v="2205.62"/>
    <n v="24701.58"/>
    <n v="462.82999999999993"/>
  </r>
  <r>
    <x v="6"/>
    <x v="1"/>
    <x v="0"/>
    <s v="5891200"/>
    <n v="713090"/>
    <s v="Benefits-Allocated Amounts"/>
    <s v="Plastic Surgery-Point Ruston"/>
    <x v="0"/>
    <m/>
    <n v="5687.6"/>
    <n v="4073.66"/>
    <n v="5193.6499999999996"/>
    <n v="5157.75"/>
    <n v="5448.31"/>
    <n v="5952.73"/>
    <n v="7417.47"/>
    <n v="6851.65"/>
    <n v="6512.49"/>
    <n v="6607.98"/>
    <n v="7339.35"/>
    <n v="7247.63"/>
    <n v="73490.27"/>
    <n v="91.720000000000255"/>
  </r>
  <r>
    <x v="6"/>
    <x v="1"/>
    <x v="0"/>
    <s v="5891200"/>
    <n v="713096"/>
    <s v="Employee Recognition"/>
    <s v="Plastic Surgery-Point Ruston"/>
    <x v="0"/>
    <n v="1017"/>
    <n v="0"/>
    <n v="136.86000000000001"/>
    <n v="0"/>
    <n v="37.36"/>
    <n v="0"/>
    <n v="0"/>
    <n v="0"/>
    <n v="0"/>
    <n v="13"/>
    <n v="460.39"/>
    <n v="22.01"/>
    <n v="39.25"/>
    <n v="708.87"/>
    <n v="-17.239999999999998"/>
  </r>
  <r>
    <x v="7"/>
    <x v="1"/>
    <x v="0"/>
    <s v="5891200"/>
    <n v="718010"/>
    <s v="Media/Print Advertising"/>
    <s v="Plastic Surgery-Point Ruston"/>
    <x v="0"/>
    <n v="1004"/>
    <n v="0"/>
    <n v="1086.76"/>
    <n v="0"/>
    <n v="0"/>
    <n v="0"/>
    <n v="0"/>
    <n v="0"/>
    <n v="0"/>
    <n v="0"/>
    <n v="0"/>
    <n v="969.38"/>
    <n v="-64.31"/>
    <n v="1991.83"/>
    <n v="1033.69"/>
  </r>
  <r>
    <x v="7"/>
    <x v="1"/>
    <x v="0"/>
    <s v="5891200"/>
    <n v="718045"/>
    <s v="Contract Svcs-Collection Fees"/>
    <s v="Plastic Surgery-Point Ruston"/>
    <x v="0"/>
    <m/>
    <n v="2055"/>
    <n v="900"/>
    <n v="985"/>
    <n v="0"/>
    <n v="655"/>
    <n v="0"/>
    <n v="0"/>
    <n v="0"/>
    <n v="-820"/>
    <n v="0"/>
    <n v="0"/>
    <n v="0"/>
    <n v="3775"/>
    <n v="0"/>
  </r>
  <r>
    <x v="7"/>
    <x v="1"/>
    <x v="0"/>
    <s v="5891200"/>
    <n v="718050"/>
    <s v="Contract Svcs-Other"/>
    <s v="Plastic Surgery-Point Ruston"/>
    <x v="0"/>
    <m/>
    <n v="0"/>
    <n v="488.82"/>
    <n v="95.02"/>
    <n v="995.02"/>
    <n v="0"/>
    <n v="13.77"/>
    <n v="37"/>
    <n v="0"/>
    <n v="190.01"/>
    <n v="0"/>
    <n v="0"/>
    <n v="12.5"/>
    <n v="1832.14"/>
    <n v="-12.5"/>
  </r>
  <r>
    <x v="7"/>
    <x v="1"/>
    <x v="0"/>
    <s v="5891200"/>
    <n v="718050"/>
    <s v="Cleaning Services"/>
    <s v="Plastic Surgery-Point Ruston"/>
    <x v="0"/>
    <n v="1011"/>
    <n v="0"/>
    <n v="1233.8900000000001"/>
    <n v="2759.96"/>
    <n v="1674.28"/>
    <n v="1615.15"/>
    <n v="1369.4"/>
    <n v="1135.6400000000001"/>
    <n v="1135.6400000000001"/>
    <n v="1135.6400000000001"/>
    <n v="0"/>
    <n v="2271.2800000000002"/>
    <n v="1513.2"/>
    <n v="15844.08"/>
    <n v="758.08000000000015"/>
  </r>
  <r>
    <x v="7"/>
    <x v="1"/>
    <x v="0"/>
    <s v="5891200"/>
    <n v="718050"/>
    <s v="Physician Answering"/>
    <s v="Plastic Surgery-Point Ruston"/>
    <x v="0"/>
    <n v="1015"/>
    <n v="340"/>
    <n v="312"/>
    <n v="401.2"/>
    <n v="142.19999999999999"/>
    <n v="456"/>
    <n v="452"/>
    <n v="623.20000000000005"/>
    <n v="555"/>
    <n v="464.4"/>
    <n v="509.4"/>
    <n v="432.4"/>
    <n v="286.2"/>
    <n v="4974"/>
    <n v="146.19999999999999"/>
  </r>
  <r>
    <x v="7"/>
    <x v="1"/>
    <x v="0"/>
    <s v="5891200"/>
    <n v="718050"/>
    <s v="Miscellaneous Purchased Svcs"/>
    <s v="Plastic Surgery-Point Ruston"/>
    <x v="0"/>
    <n v="1020"/>
    <n v="100.35"/>
    <n v="131.9"/>
    <n v="3825.87"/>
    <n v="65.95"/>
    <n v="164.76"/>
    <n v="0"/>
    <n v="164.18"/>
    <n v="233.26"/>
    <n v="0"/>
    <n v="65.84"/>
    <n v="65.84"/>
    <n v="196.68"/>
    <n v="5014.630000000001"/>
    <n v="-130.84"/>
  </r>
  <r>
    <x v="7"/>
    <x v="1"/>
    <x v="0"/>
    <s v="5891200"/>
    <n v="718050"/>
    <s v="Translation Services"/>
    <s v="Plastic Surgery-Point Ruston"/>
    <x v="0"/>
    <n v="1025"/>
    <n v="416"/>
    <n v="136"/>
    <n v="232"/>
    <n v="0"/>
    <n v="80"/>
    <n v="349"/>
    <n v="96"/>
    <n v="56"/>
    <n v="160"/>
    <n v="0"/>
    <n v="368"/>
    <n v="0"/>
    <n v="1893"/>
    <n v="368"/>
  </r>
  <r>
    <x v="7"/>
    <x v="1"/>
    <x v="0"/>
    <s v="5891200"/>
    <n v="718050"/>
    <s v="Contract Management--Linen"/>
    <s v="Plastic Surgery-Point Ruston"/>
    <x v="0"/>
    <n v="1026"/>
    <n v="853.3"/>
    <n v="1598.48"/>
    <n v="424.37"/>
    <n v="377.72"/>
    <n v="99.95"/>
    <n v="152.07"/>
    <n v="1833.89"/>
    <n v="240.12"/>
    <n v="246.22"/>
    <n v="-590.53"/>
    <n v="0"/>
    <n v="0"/>
    <n v="5235.59"/>
    <n v="0"/>
  </r>
  <r>
    <x v="7"/>
    <x v="1"/>
    <x v="0"/>
    <s v="5891200"/>
    <n v="718050"/>
    <s v="Purchased Srvcs--Medical Waste"/>
    <s v="Plastic Surgery-Point Ruston"/>
    <x v="0"/>
    <n v="1027"/>
    <n v="191.58"/>
    <n v="191.58"/>
    <n v="132.85"/>
    <n v="0"/>
    <n v="191.58"/>
    <n v="89.93"/>
    <n v="76.489999999999995"/>
    <n v="270.86"/>
    <n v="159.5"/>
    <n v="65.36"/>
    <n v="0"/>
    <n v="32.68"/>
    <n v="1402.4099999999999"/>
    <n v="-32.68"/>
  </r>
  <r>
    <x v="7"/>
    <x v="1"/>
    <x v="0"/>
    <s v="5891200"/>
    <n v="718050"/>
    <s v="Contract Services-Food&amp;Catering"/>
    <s v="Plastic Surgery-Point Ruston"/>
    <x v="0"/>
    <n v="1030"/>
    <n v="740"/>
    <n v="0"/>
    <n v="0"/>
    <n v="0"/>
    <n v="0"/>
    <n v="0"/>
    <n v="0"/>
    <n v="0"/>
    <n v="0"/>
    <n v="0"/>
    <n v="0"/>
    <n v="0"/>
    <n v="740"/>
    <n v="0"/>
  </r>
  <r>
    <x v="7"/>
    <x v="1"/>
    <x v="0"/>
    <s v="5891200"/>
    <n v="718070"/>
    <s v="Contract Srvcs-CHI Clinical Engineering"/>
    <s v="Plastic Surgery-Point Ruston"/>
    <x v="0"/>
    <m/>
    <n v="0"/>
    <n v="550.5"/>
    <n v="2405.73"/>
    <n v="0"/>
    <n v="699.5"/>
    <n v="495.5"/>
    <n v="0"/>
    <n v="267.24"/>
    <n v="0"/>
    <n v="712.31"/>
    <n v="0"/>
    <n v="0"/>
    <n v="5130.7799999999988"/>
    <n v="0"/>
  </r>
  <r>
    <x v="11"/>
    <x v="1"/>
    <x v="0"/>
    <s v="5891200"/>
    <n v="721010"/>
    <s v="Supplies-Medical - Billable"/>
    <s v="Plastic Surgery-Point Ruston"/>
    <x v="0"/>
    <m/>
    <n v="0"/>
    <n v="0"/>
    <n v="-44.04"/>
    <n v="0"/>
    <n v="0"/>
    <n v="0"/>
    <n v="655"/>
    <n v="655"/>
    <n v="0"/>
    <n v="0"/>
    <n v="0"/>
    <n v="0"/>
    <n v="1265.96"/>
    <n v="0"/>
  </r>
  <r>
    <x v="11"/>
    <x v="1"/>
    <x v="0"/>
    <s v="5891200"/>
    <n v="721150"/>
    <s v="Supplies-Other Implants - Billable"/>
    <s v="Plastic Surgery-Point Ruston"/>
    <x v="0"/>
    <m/>
    <n v="4955.25"/>
    <n v="-1423.42"/>
    <n v="-25403.98"/>
    <n v="-2375"/>
    <n v="0"/>
    <n v="0"/>
    <n v="4363.08"/>
    <n v="16345.2"/>
    <n v="-1803.08"/>
    <n v="0"/>
    <n v="0"/>
    <n v="1145"/>
    <n v="-4196.9499999999989"/>
    <n v="-1145"/>
  </r>
  <r>
    <x v="11"/>
    <x v="1"/>
    <x v="0"/>
    <s v="5891200"/>
    <n v="721250"/>
    <s v="Supplies-Pharmacy Drugs - Billable"/>
    <s v="Plastic Surgery-Point Ruston"/>
    <x v="0"/>
    <m/>
    <n v="5.54"/>
    <n v="199.27"/>
    <n v="350.4"/>
    <n v="489.28"/>
    <n v="11.22"/>
    <n v="33.659999999999997"/>
    <n v="182.28"/>
    <n v="133.84"/>
    <n v="484.82"/>
    <n v="33.15"/>
    <n v="-1106.23"/>
    <n v="22.48"/>
    <n v="839.71"/>
    <n v="-1128.71"/>
  </r>
  <r>
    <x v="11"/>
    <x v="1"/>
    <x v="0"/>
    <s v="5891200"/>
    <n v="721410"/>
    <s v="Supplies-Medical - Nonbillable"/>
    <s v="Plastic Surgery-Point Ruston"/>
    <x v="0"/>
    <m/>
    <n v="4316.28"/>
    <n v="1925.1"/>
    <n v="1536.6"/>
    <n v="1586.21"/>
    <n v="1336.66"/>
    <n v="257.38"/>
    <n v="961.37"/>
    <n v="1965.65"/>
    <n v="483.51"/>
    <n v="248.73"/>
    <n v="82.51"/>
    <n v="-18.34"/>
    <n v="14681.659999999998"/>
    <n v="100.85000000000001"/>
  </r>
  <r>
    <x v="11"/>
    <x v="1"/>
    <x v="0"/>
    <s v="5891200"/>
    <n v="721830"/>
    <s v="Supplies-Office"/>
    <s v="Plastic Surgery-Point Ruston"/>
    <x v="0"/>
    <m/>
    <n v="912.44"/>
    <n v="565.04999999999995"/>
    <n v="324.36"/>
    <n v="729.55"/>
    <n v="246.81"/>
    <n v="51.19"/>
    <n v="478.47"/>
    <n v="528.24"/>
    <n v="647.54"/>
    <n v="1217.82"/>
    <n v="328.95"/>
    <n v="58.55"/>
    <n v="6088.9699999999993"/>
    <n v="270.39999999999998"/>
  </r>
  <r>
    <x v="11"/>
    <x v="1"/>
    <x v="0"/>
    <s v="5891200"/>
    <n v="721835"/>
    <s v="Supplies-Forms"/>
    <s v="Plastic Surgery-Point Ruston"/>
    <x v="0"/>
    <m/>
    <n v="0"/>
    <n v="0"/>
    <n v="0"/>
    <n v="0"/>
    <n v="76.8"/>
    <n v="0"/>
    <n v="0"/>
    <n v="0"/>
    <n v="22.95"/>
    <n v="0"/>
    <n v="0"/>
    <n v="0"/>
    <n v="99.75"/>
    <n v="0"/>
  </r>
  <r>
    <x v="11"/>
    <x v="1"/>
    <x v="0"/>
    <s v="5891200"/>
    <n v="721870"/>
    <s v="Supplies-Environmental Services"/>
    <s v="Plastic Surgery-Point Ruston"/>
    <x v="0"/>
    <m/>
    <n v="0"/>
    <n v="0"/>
    <n v="0"/>
    <n v="0"/>
    <n v="0"/>
    <n v="0"/>
    <n v="499.46"/>
    <n v="506.36"/>
    <n v="910.97"/>
    <n v="0"/>
    <n v="412.25"/>
    <n v="873"/>
    <n v="3202.04"/>
    <n v="-460.75"/>
  </r>
  <r>
    <x v="11"/>
    <x v="1"/>
    <x v="0"/>
    <s v="5891200"/>
    <n v="721910"/>
    <s v="Supplies-Small Equipment"/>
    <s v="Plastic Surgery-Point Ruston"/>
    <x v="0"/>
    <m/>
    <n v="0"/>
    <n v="0"/>
    <n v="0"/>
    <n v="698.3"/>
    <n v="0"/>
    <n v="2801.1"/>
    <n v="0"/>
    <n v="0"/>
    <n v="0"/>
    <n v="0"/>
    <n v="0"/>
    <n v="647.5"/>
    <n v="4146.8999999999996"/>
    <n v="-647.5"/>
  </r>
  <r>
    <x v="11"/>
    <x v="1"/>
    <x v="0"/>
    <s v="5891200"/>
    <n v="721980"/>
    <s v="Supplies-Other"/>
    <s v="Plastic Surgery-Point Ruston"/>
    <x v="0"/>
    <m/>
    <n v="1370.37"/>
    <n v="0"/>
    <n v="0"/>
    <n v="0"/>
    <n v="0"/>
    <n v="0"/>
    <n v="0"/>
    <n v="0"/>
    <n v="0"/>
    <n v="0"/>
    <n v="0"/>
    <n v="27.24"/>
    <n v="1397.61"/>
    <n v="-27.24"/>
  </r>
  <r>
    <x v="11"/>
    <x v="1"/>
    <x v="0"/>
    <s v="5891200"/>
    <n v="722000"/>
    <s v="Supplies-Freight Expense"/>
    <s v="Plastic Surgery-Point Ruston"/>
    <x v="0"/>
    <m/>
    <n v="0"/>
    <n v="50.3"/>
    <n v="0"/>
    <n v="111.37"/>
    <n v="0"/>
    <n v="0"/>
    <n v="0"/>
    <n v="0"/>
    <n v="0"/>
    <n v="0"/>
    <n v="0"/>
    <n v="114.2"/>
    <n v="275.87"/>
    <n v="-114.2"/>
  </r>
  <r>
    <x v="12"/>
    <x v="1"/>
    <x v="0"/>
    <s v="5891200"/>
    <n v="730010"/>
    <s v="Rental and Leases-Building (DO NOT USE)"/>
    <s v="Plastic Surgery-Point Ruston"/>
    <x v="0"/>
    <m/>
    <n v="16724.5"/>
    <n v="16724.5"/>
    <n v="16724.5"/>
    <n v="16724.5"/>
    <n v="16724.5"/>
    <n v="-12764.76"/>
    <n v="11819.6"/>
    <n v="12089.78"/>
    <n v="11819.6"/>
    <n v="13208.42"/>
    <n v="13208.42"/>
    <n v="-1959.33"/>
    <n v="131044.23000000003"/>
    <n v="15167.75"/>
  </r>
  <r>
    <x v="12"/>
    <x v="1"/>
    <x v="0"/>
    <s v="5891200"/>
    <n v="730010"/>
    <s v="Rental-Common Area Maint (DO NOT USE)"/>
    <s v="Plastic Surgery-Point Ruston"/>
    <x v="0"/>
    <n v="2200"/>
    <n v="0"/>
    <n v="0"/>
    <n v="0"/>
    <n v="0"/>
    <n v="0"/>
    <n v="29489.26"/>
    <n v="4896.88"/>
    <n v="4904.8999999999996"/>
    <n v="4904.8999999999996"/>
    <n v="5483.3"/>
    <n v="5483.3"/>
    <n v="0"/>
    <n v="55162.540000000008"/>
    <n v="5483.3"/>
  </r>
  <r>
    <x v="12"/>
    <x v="1"/>
    <x v="0"/>
    <s v="5891200"/>
    <n v="730020"/>
    <s v="Rental and Leases-Equipment (DO NOT USE)"/>
    <s v="Plastic Surgery-Point Ruston"/>
    <x v="0"/>
    <m/>
    <n v="0"/>
    <n v="0"/>
    <n v="0"/>
    <n v="0"/>
    <n v="0"/>
    <n v="0"/>
    <n v="0"/>
    <n v="0"/>
    <n v="0"/>
    <n v="0"/>
    <n v="0"/>
    <n v="41.9"/>
    <n v="41.9"/>
    <n v="-41.9"/>
  </r>
  <r>
    <x v="12"/>
    <x v="1"/>
    <x v="0"/>
    <s v="5891200"/>
    <n v="730020"/>
    <s v="Rental and Leases-Copier Usage Fees (DO NOT USE)"/>
    <s v="Plastic Surgery-Point Ruston"/>
    <x v="0"/>
    <n v="5100"/>
    <n v="581.59"/>
    <n v="598.67999999999995"/>
    <n v="590.13"/>
    <n v="590.13"/>
    <n v="590.13"/>
    <n v="590.13"/>
    <n v="574.08000000000004"/>
    <n v="559.46"/>
    <n v="575.74"/>
    <n v="704.22"/>
    <n v="654.08000000000004"/>
    <n v="689.8"/>
    <n v="7298.170000000001"/>
    <n v="-35.719999999999914"/>
  </r>
  <r>
    <x v="12"/>
    <x v="1"/>
    <x v="0"/>
    <s v="5891200"/>
    <n v="730040"/>
    <s v="LT Lease-Real Estate"/>
    <s v="Plastic Surgery-Point Ruston"/>
    <x v="0"/>
    <m/>
    <n v="0"/>
    <n v="0"/>
    <n v="0"/>
    <n v="0"/>
    <n v="0"/>
    <n v="0"/>
    <n v="0"/>
    <n v="0"/>
    <n v="0"/>
    <n v="0"/>
    <n v="0"/>
    <n v="20651.05"/>
    <n v="20651.05"/>
    <n v="-20651.05"/>
  </r>
  <r>
    <x v="15"/>
    <x v="1"/>
    <x v="0"/>
    <s v="5891200"/>
    <n v="731020"/>
    <s v="Electricity"/>
    <s v="Plastic Surgery-Point Ruston"/>
    <x v="0"/>
    <m/>
    <n v="475.98"/>
    <n v="483.15"/>
    <n v="490.32"/>
    <n v="531.51"/>
    <n v="614.48"/>
    <n v="640.76"/>
    <n v="661.09"/>
    <n v="0"/>
    <n v="1291.04"/>
    <n v="579.95000000000005"/>
    <n v="522.58000000000004"/>
    <n v="460.47"/>
    <n v="6751.33"/>
    <n v="62.110000000000014"/>
  </r>
  <r>
    <x v="15"/>
    <x v="1"/>
    <x v="0"/>
    <s v="5891200"/>
    <n v="731030"/>
    <s v="Water"/>
    <s v="Plastic Surgery-Point Ruston"/>
    <x v="0"/>
    <m/>
    <n v="59.86"/>
    <n v="157.22999999999999"/>
    <n v="59.64"/>
    <n v="60.53"/>
    <n v="0"/>
    <n v="0"/>
    <n v="12.06"/>
    <n v="0"/>
    <n v="0"/>
    <n v="0"/>
    <n v="58.36"/>
    <n v="154.24"/>
    <n v="561.92000000000007"/>
    <n v="-95.88000000000001"/>
  </r>
  <r>
    <x v="15"/>
    <x v="1"/>
    <x v="0"/>
    <s v="5891200"/>
    <n v="731040"/>
    <s v="Sewer"/>
    <s v="Plastic Surgery-Point Ruston"/>
    <x v="0"/>
    <m/>
    <n v="0"/>
    <n v="0"/>
    <n v="0"/>
    <n v="0"/>
    <n v="0"/>
    <n v="0"/>
    <n v="143.46"/>
    <n v="0"/>
    <n v="0"/>
    <n v="0"/>
    <n v="0"/>
    <n v="0"/>
    <n v="143.46"/>
    <n v="0"/>
  </r>
  <r>
    <x v="15"/>
    <x v="1"/>
    <x v="0"/>
    <s v="5891200"/>
    <n v="731060"/>
    <s v="Telephone"/>
    <s v="Plastic Surgery-Point Ruston"/>
    <x v="0"/>
    <m/>
    <n v="209.04"/>
    <n v="199.04"/>
    <n v="0"/>
    <n v="400.99"/>
    <n v="201.95"/>
    <n v="201.95"/>
    <n v="0"/>
    <n v="414.2"/>
    <n v="212.1"/>
    <n v="201.93"/>
    <n v="201.93"/>
    <n v="0"/>
    <n v="2243.13"/>
    <n v="201.93"/>
  </r>
  <r>
    <x v="16"/>
    <x v="1"/>
    <x v="0"/>
    <s v="5891200"/>
    <n v="732030"/>
    <s v="Repairs---Other"/>
    <s v="Plastic Surgery-Point Ruston"/>
    <x v="0"/>
    <m/>
    <n v="1037.4100000000001"/>
    <n v="0"/>
    <n v="0"/>
    <n v="827.67"/>
    <n v="0"/>
    <n v="0"/>
    <n v="827.67"/>
    <n v="0"/>
    <n v="0"/>
    <n v="0"/>
    <n v="1013.03"/>
    <n v="886.28"/>
    <n v="4592.0599999999995"/>
    <n v="126.75"/>
  </r>
  <r>
    <x v="16"/>
    <x v="1"/>
    <x v="0"/>
    <s v="5891200"/>
    <n v="732030"/>
    <s v="Repairs&amp;Maintenance-Bldg Routine"/>
    <s v="Plastic Surgery-Point Ruston"/>
    <x v="0"/>
    <n v="2300"/>
    <n v="1.82"/>
    <n v="0"/>
    <n v="0"/>
    <n v="0"/>
    <n v="0"/>
    <n v="0"/>
    <n v="0"/>
    <n v="0"/>
    <n v="0"/>
    <n v="0"/>
    <n v="85.21"/>
    <n v="0"/>
    <n v="87.029999999999987"/>
    <n v="85.21"/>
  </r>
  <r>
    <x v="13"/>
    <x v="1"/>
    <x v="0"/>
    <s v="5891200"/>
    <n v="735050"/>
    <s v="Amortization-Leasehold Improvements"/>
    <s v="Plastic Surgery-Point Ruston"/>
    <x v="0"/>
    <m/>
    <n v="11547.56"/>
    <n v="11547.55"/>
    <n v="11547.56"/>
    <n v="11547.55"/>
    <n v="11547.56"/>
    <n v="11547.55"/>
    <n v="11547.57"/>
    <n v="11547.55"/>
    <n v="11547.57"/>
    <n v="11547.55"/>
    <n v="0"/>
    <n v="11099.64"/>
    <n v="126575.20999999999"/>
    <n v="-11099.64"/>
  </r>
  <r>
    <x v="13"/>
    <x v="1"/>
    <x v="0"/>
    <s v="5891200"/>
    <n v="735060"/>
    <s v="Depreciation-Fixed Equipment"/>
    <s v="Plastic Surgery-Point Ruston"/>
    <x v="0"/>
    <m/>
    <n v="1081.6500000000001"/>
    <n v="1081.6500000000001"/>
    <n v="1081.6600000000001"/>
    <n v="1081.6500000000001"/>
    <n v="522.55999999999995"/>
    <n v="522.54999999999995"/>
    <n v="522.55999999999995"/>
    <n v="522.54"/>
    <n v="522.55999999999995"/>
    <n v="522.54"/>
    <n v="0"/>
    <n v="522.54"/>
    <n v="7984.4600000000009"/>
    <n v="-522.54"/>
  </r>
  <r>
    <x v="13"/>
    <x v="1"/>
    <x v="0"/>
    <s v="5891200"/>
    <n v="735070"/>
    <s v="Depreciation-Movable Equipment"/>
    <s v="Plastic Surgery-Point Ruston"/>
    <x v="0"/>
    <m/>
    <n v="4319.1400000000003"/>
    <n v="4319.1000000000004"/>
    <n v="4319.17"/>
    <n v="4319.08"/>
    <n v="2176.5500000000002"/>
    <n v="2176.4499999999998"/>
    <n v="2176.56"/>
    <n v="2176.4499999999998"/>
    <n v="2176.58"/>
    <n v="2176.44"/>
    <n v="0"/>
    <n v="1006.67"/>
    <n v="31342.19"/>
    <n v="-1006.67"/>
  </r>
  <r>
    <x v="0"/>
    <x v="1"/>
    <x v="0"/>
    <s v="5891200"/>
    <n v="742010"/>
    <s v="Postage-Regular"/>
    <s v="Plastic Surgery-Point Ruston"/>
    <x v="0"/>
    <m/>
    <n v="0"/>
    <n v="0"/>
    <n v="0"/>
    <n v="0"/>
    <n v="0"/>
    <n v="0"/>
    <n v="0"/>
    <n v="0"/>
    <n v="0"/>
    <n v="0"/>
    <n v="0"/>
    <n v="25.44"/>
    <n v="25.44"/>
    <n v="-25.44"/>
  </r>
  <r>
    <x v="0"/>
    <x v="1"/>
    <x v="0"/>
    <s v="5891200"/>
    <n v="742040"/>
    <s v="Freight-Other"/>
    <s v="Plastic Surgery-Point Ruston"/>
    <x v="0"/>
    <m/>
    <n v="0"/>
    <n v="0"/>
    <n v="0"/>
    <n v="0"/>
    <n v="0"/>
    <n v="0"/>
    <n v="0"/>
    <n v="0"/>
    <n v="0"/>
    <n v="0"/>
    <n v="0"/>
    <n v="64.31"/>
    <n v="64.31"/>
    <n v="-64.31"/>
  </r>
  <r>
    <x v="0"/>
    <x v="1"/>
    <x v="0"/>
    <s v="5891200"/>
    <n v="749510"/>
    <s v="Miscellaneous Expenses"/>
    <s v="Plastic Surgery-Point Ruston"/>
    <x v="0"/>
    <m/>
    <n v="-3690.47"/>
    <n v="286.02999999999997"/>
    <n v="935.46"/>
    <n v="-493.68"/>
    <n v="340.95"/>
    <n v="-199.91"/>
    <n v="-14.72"/>
    <n v="-127.98"/>
    <n v="-84.84"/>
    <n v="-105.12"/>
    <n v="231.81"/>
    <n v="-122.31"/>
    <n v="-3044.7799999999993"/>
    <n v="354.12"/>
  </r>
  <r>
    <x v="0"/>
    <x v="1"/>
    <x v="0"/>
    <s v="5891200"/>
    <n v="749510"/>
    <s v="Licenses"/>
    <s v="Plastic Surgery-Point Ruston"/>
    <x v="0"/>
    <n v="1002"/>
    <n v="0"/>
    <n v="0"/>
    <n v="265"/>
    <n v="0"/>
    <n v="0"/>
    <n v="434"/>
    <n v="97.5"/>
    <n v="0"/>
    <n v="200"/>
    <n v="0"/>
    <n v="0"/>
    <n v="0"/>
    <n v="996.5"/>
    <n v="0"/>
  </r>
  <r>
    <x v="0"/>
    <x v="1"/>
    <x v="0"/>
    <s v="5891200"/>
    <n v="749510"/>
    <s v="RICE Rewards"/>
    <s v="Plastic Surgery-Point Ruston"/>
    <x v="0"/>
    <n v="5100"/>
    <n v="0"/>
    <n v="0"/>
    <n v="0"/>
    <n v="0"/>
    <n v="0"/>
    <n v="344.68"/>
    <n v="23.8"/>
    <n v="0"/>
    <n v="0"/>
    <n v="0"/>
    <n v="387.88"/>
    <n v="0"/>
    <n v="756.36"/>
    <n v="387.88"/>
  </r>
  <r>
    <x v="0"/>
    <x v="1"/>
    <x v="0"/>
    <s v="5891200"/>
    <n v="749530"/>
    <s v="Travel"/>
    <s v="Plastic Surgery-Point Ruston"/>
    <x v="0"/>
    <m/>
    <n v="0"/>
    <n v="36"/>
    <n v="0"/>
    <n v="42"/>
    <n v="48"/>
    <n v="24"/>
    <n v="48"/>
    <n v="78"/>
    <n v="42"/>
    <n v="36"/>
    <n v="126"/>
    <n v="132"/>
    <n v="612"/>
    <n v="-6"/>
  </r>
  <r>
    <x v="0"/>
    <x v="1"/>
    <x v="0"/>
    <s v="5891200"/>
    <n v="749530"/>
    <s v="Mileage"/>
    <s v="Plastic Surgery-Point Ruston"/>
    <x v="0"/>
    <n v="1001"/>
    <n v="0"/>
    <n v="179.9"/>
    <n v="0"/>
    <n v="165.74"/>
    <n v="134.65"/>
    <n v="104.13"/>
    <n v="167.36"/>
    <n v="182.7"/>
    <n v="77.72"/>
    <n v="130.5"/>
    <n v="331.18"/>
    <n v="292.89999999999998"/>
    <n v="1766.7800000000002"/>
    <n v="38.28000000000003"/>
  </r>
  <r>
    <x v="0"/>
    <x v="1"/>
    <x v="0"/>
    <s v="5891200"/>
    <n v="749550"/>
    <s v="Cash Over/Short"/>
    <s v="Plastic Surgery-Point Ruston"/>
    <x v="0"/>
    <m/>
    <n v="0"/>
    <n v="0"/>
    <n v="0"/>
    <n v="0"/>
    <n v="0"/>
    <n v="0"/>
    <n v="0"/>
    <n v="0"/>
    <n v="4"/>
    <n v="-8"/>
    <n v="-25"/>
    <n v="0"/>
    <n v="-29"/>
    <n v="-25"/>
  </r>
  <r>
    <x v="0"/>
    <x v="1"/>
    <x v="0"/>
    <s v="5891200"/>
    <n v="766010"/>
    <s v="Property Tax"/>
    <s v="Plastic Surgery-Point Ruston"/>
    <x v="0"/>
    <m/>
    <n v="1420.89"/>
    <n v="1420.89"/>
    <n v="1420.89"/>
    <n v="1420.89"/>
    <n v="1420.89"/>
    <n v="1420.89"/>
    <n v="1420.89"/>
    <n v="1420.89"/>
    <n v="1420.89"/>
    <n v="56.36"/>
    <n v="1079.76"/>
    <n v="1079.76"/>
    <n v="15003.89"/>
    <n v="0"/>
  </r>
  <r>
    <x v="12"/>
    <x v="1"/>
    <x v="0"/>
    <s v="5892200"/>
    <n v="730010"/>
    <s v="Rental and Leases-Building (DO NOT USE)"/>
    <s v="Griffin Clinic"/>
    <x v="0"/>
    <m/>
    <n v="5159.66"/>
    <n v="5159.66"/>
    <n v="5159.66"/>
    <n v="5159.66"/>
    <n v="5159.66"/>
    <n v="-3298.3"/>
    <n v="3750"/>
    <n v="3750"/>
    <n v="3750"/>
    <n v="3750"/>
    <n v="3750"/>
    <n v="0"/>
    <n v="41250"/>
    <n v="3750"/>
  </r>
  <r>
    <x v="12"/>
    <x v="1"/>
    <x v="0"/>
    <s v="5892200"/>
    <n v="730010"/>
    <s v="Rental-Common Area Maint (DO NOT USE)"/>
    <s v="Griffin Clinic"/>
    <x v="0"/>
    <n v="2200"/>
    <n v="0"/>
    <n v="0"/>
    <n v="0"/>
    <n v="0"/>
    <n v="0"/>
    <n v="8457.9599999999991"/>
    <n v="1409.66"/>
    <n v="1409.66"/>
    <n v="1409.66"/>
    <n v="1409.66"/>
    <n v="1409.66"/>
    <n v="0"/>
    <n v="15506.259999999998"/>
    <n v="1409.66"/>
  </r>
  <r>
    <x v="12"/>
    <x v="1"/>
    <x v="0"/>
    <s v="5892200"/>
    <n v="730040"/>
    <s v="LT Lease-Real Estate"/>
    <s v="Griffin Clinic"/>
    <x v="0"/>
    <m/>
    <n v="0"/>
    <n v="0"/>
    <n v="0"/>
    <n v="0"/>
    <n v="0"/>
    <n v="0"/>
    <n v="0"/>
    <n v="0"/>
    <n v="0"/>
    <n v="0"/>
    <n v="0"/>
    <n v="5159.66"/>
    <n v="5159.66"/>
    <n v="-5159.66"/>
  </r>
  <r>
    <x v="15"/>
    <x v="1"/>
    <x v="0"/>
    <s v="5892200"/>
    <n v="731010"/>
    <s v="Natural Gas"/>
    <s v="Griffin Clinic"/>
    <x v="0"/>
    <m/>
    <n v="10"/>
    <n v="10"/>
    <n v="10"/>
    <n v="10"/>
    <n v="10"/>
    <n v="10"/>
    <n v="10"/>
    <n v="10"/>
    <n v="10"/>
    <n v="10"/>
    <n v="10"/>
    <n v="10"/>
    <n v="120"/>
    <n v="0"/>
  </r>
  <r>
    <x v="15"/>
    <x v="1"/>
    <x v="0"/>
    <s v="5892200"/>
    <n v="731020"/>
    <s v="Electricity"/>
    <s v="Griffin Clinic"/>
    <x v="0"/>
    <m/>
    <n v="37.14"/>
    <n v="37.65"/>
    <n v="37.44"/>
    <n v="36.799999999999997"/>
    <n v="37.909999999999997"/>
    <n v="38.85"/>
    <n v="39.06"/>
    <n v="39.19"/>
    <n v="42.13"/>
    <n v="67.8"/>
    <n v="44.74"/>
    <n v="36.92"/>
    <n v="495.63"/>
    <n v="7.82"/>
  </r>
  <r>
    <x v="13"/>
    <x v="1"/>
    <x v="0"/>
    <s v="5892200"/>
    <n v="735050"/>
    <s v="Amortization-Leasehold Improvements"/>
    <s v="Griffin Clinic"/>
    <x v="0"/>
    <m/>
    <n v="3053.04"/>
    <n v="3053.04"/>
    <n v="3053.04"/>
    <n v="3053.03"/>
    <n v="3053.04"/>
    <n v="3053.03"/>
    <n v="3053.04"/>
    <n v="3053.03"/>
    <n v="3053.05"/>
    <n v="3053.01"/>
    <n v="3053.05"/>
    <n v="3053.01"/>
    <n v="36636.410000000003"/>
    <n v="3.999999999996362E-2"/>
  </r>
  <r>
    <x v="13"/>
    <x v="1"/>
    <x v="0"/>
    <s v="5892200"/>
    <n v="735060"/>
    <s v="Depreciation-Fixed Equipment"/>
    <s v="Griffin Clinic"/>
    <x v="0"/>
    <m/>
    <n v="1955.71"/>
    <n v="1955.7"/>
    <n v="1955.72"/>
    <n v="1955.69"/>
    <n v="1955.72"/>
    <n v="1955.69"/>
    <n v="1955.73"/>
    <n v="1955.69"/>
    <n v="1955.75"/>
    <n v="1955.68"/>
    <n v="1955.75"/>
    <n v="1955.67"/>
    <n v="23468.5"/>
    <n v="7.999999999992724E-2"/>
  </r>
  <r>
    <x v="7"/>
    <x v="1"/>
    <x v="0"/>
    <s v="5893200"/>
    <n v="718050"/>
    <s v="Contract Svcs-Other"/>
    <s v="Yakima Med &amp; Spec-Shared Srvc"/>
    <x v="0"/>
    <m/>
    <n v="0"/>
    <n v="0"/>
    <n v="0"/>
    <n v="0"/>
    <n v="0"/>
    <n v="0"/>
    <n v="0"/>
    <n v="0"/>
    <n v="0"/>
    <n v="0"/>
    <n v="0"/>
    <n v="50.88"/>
    <n v="50.88"/>
    <n v="-50.88"/>
  </r>
  <r>
    <x v="11"/>
    <x v="1"/>
    <x v="0"/>
    <s v="5893200"/>
    <n v="721250"/>
    <s v="Supplies-Pharmacy Drugs - Billable"/>
    <s v="Yakima Med &amp; Spec-Shared Srvc"/>
    <x v="0"/>
    <m/>
    <n v="0"/>
    <n v="0"/>
    <n v="0"/>
    <n v="0"/>
    <n v="0"/>
    <n v="0"/>
    <n v="0"/>
    <n v="0"/>
    <n v="0"/>
    <n v="0"/>
    <n v="886.83"/>
    <n v="0"/>
    <n v="886.83"/>
    <n v="886.83"/>
  </r>
  <r>
    <x v="12"/>
    <x v="1"/>
    <x v="0"/>
    <s v="5893200"/>
    <n v="730020"/>
    <s v="Rental and Leases-Copier Usage Fees (DO NOT USE)"/>
    <s v="Yakima Med &amp; Spec-Shared Srvc"/>
    <x v="0"/>
    <n v="5100"/>
    <n v="4.87"/>
    <n v="3.91"/>
    <n v="-39.479999999999997"/>
    <n v="0"/>
    <n v="-7.67"/>
    <n v="-7.67"/>
    <n v="15.34"/>
    <n v="0"/>
    <n v="0"/>
    <n v="0"/>
    <n v="0"/>
    <n v="0"/>
    <n v="-30.7"/>
    <n v="0"/>
  </r>
  <r>
    <x v="13"/>
    <x v="1"/>
    <x v="0"/>
    <s v="5893200"/>
    <n v="735070"/>
    <s v="Depreciation-Movable Equipment"/>
    <s v="Yakima Med &amp; Spec-Shared Srvc"/>
    <x v="0"/>
    <m/>
    <n v="76.95"/>
    <n v="76.95"/>
    <n v="76.95"/>
    <n v="76.95"/>
    <n v="76.959999999999994"/>
    <n v="76.95"/>
    <n v="76.959999999999994"/>
    <n v="76.95"/>
    <n v="76.959999999999994"/>
    <n v="76.95"/>
    <n v="76.959999999999994"/>
    <n v="76.95"/>
    <n v="923.44000000000017"/>
    <n v="9.9999999999909051E-3"/>
  </r>
  <r>
    <x v="5"/>
    <x v="1"/>
    <x v="0"/>
    <s v="5894200"/>
    <n v="700038"/>
    <s v="Salaries-Service/Support-Productive"/>
    <s v="WH-Lakewood-Shared Service"/>
    <x v="0"/>
    <m/>
    <n v="1905.23"/>
    <n v="-93.19"/>
    <n v="2761.2"/>
    <n v="3762.14"/>
    <n v="4049.76"/>
    <n v="2514.9899999999998"/>
    <n v="3391.58"/>
    <n v="2456.04"/>
    <n v="2861.54"/>
    <n v="3155.64"/>
    <n v="3180.52"/>
    <n v="2620.5300000000002"/>
    <n v="32565.98"/>
    <n v="559.98999999999978"/>
  </r>
  <r>
    <x v="5"/>
    <x v="1"/>
    <x v="0"/>
    <s v="5894200"/>
    <n v="700038"/>
    <s v="Salaries-Service/Support-OT"/>
    <s v="WH-Lakewood-Shared Service"/>
    <x v="0"/>
    <n v="1000"/>
    <n v="0"/>
    <n v="0"/>
    <n v="0"/>
    <n v="58.67"/>
    <n v="27.62"/>
    <n v="40.229999999999997"/>
    <n v="55.95"/>
    <n v="188.42"/>
    <n v="230.14"/>
    <n v="0"/>
    <n v="0"/>
    <n v="0"/>
    <n v="601.03"/>
    <n v="0"/>
  </r>
  <r>
    <x v="5"/>
    <x v="1"/>
    <x v="0"/>
    <s v="5894200"/>
    <n v="700038"/>
    <s v="Salaries-Service/Support-Other"/>
    <s v="WH-Lakewood-Shared Service"/>
    <x v="0"/>
    <n v="2000"/>
    <n v="0"/>
    <n v="0"/>
    <n v="0"/>
    <n v="0"/>
    <n v="0"/>
    <n v="0"/>
    <n v="0"/>
    <n v="6.76"/>
    <n v="7"/>
    <n v="0"/>
    <n v="0"/>
    <n v="0"/>
    <n v="13.76"/>
    <n v="0"/>
  </r>
  <r>
    <x v="5"/>
    <x v="1"/>
    <x v="0"/>
    <s v="5894200"/>
    <n v="700078"/>
    <s v="Salaries-Service/Support-Non-productive"/>
    <s v="WH-Lakewood-Shared Service"/>
    <x v="0"/>
    <m/>
    <n v="2144.54"/>
    <n v="4327.03"/>
    <n v="920.4"/>
    <n v="460.2"/>
    <n v="0"/>
    <n v="620.28"/>
    <n v="130.1"/>
    <n v="272.56"/>
    <n v="435.16"/>
    <n v="215.67"/>
    <n v="367.74"/>
    <n v="143.44999999999999"/>
    <n v="10037.129999999999"/>
    <n v="224.29000000000002"/>
  </r>
  <r>
    <x v="5"/>
    <x v="1"/>
    <x v="0"/>
    <s v="5894200"/>
    <n v="700078"/>
    <s v="Salaries-Service/Support-NonProd-Other"/>
    <s v="WH-Lakewood-Shared Service"/>
    <x v="0"/>
    <n v="2000"/>
    <n v="0"/>
    <n v="0"/>
    <n v="0"/>
    <n v="11.51"/>
    <n v="0"/>
    <n v="0"/>
    <n v="0"/>
    <n v="0"/>
    <n v="0"/>
    <n v="0"/>
    <n v="0"/>
    <n v="0"/>
    <n v="11.51"/>
    <n v="0"/>
  </r>
  <r>
    <x v="5"/>
    <x v="1"/>
    <x v="0"/>
    <s v="5894200"/>
    <n v="700084"/>
    <s v="Accrued PTO"/>
    <s v="WH-Lakewood-Shared Service"/>
    <x v="0"/>
    <m/>
    <n v="-50.68"/>
    <n v="410.73"/>
    <n v="-1062.1400000000001"/>
    <n v="-72.02"/>
    <n v="413.95"/>
    <n v="-18.600000000000001"/>
    <n v="131.97999999999999"/>
    <n v="90.92"/>
    <n v="-38.200000000000003"/>
    <n v="9.93"/>
    <n v="-31.13"/>
    <n v="119.18"/>
    <n v="-96.080000000000155"/>
    <n v="-150.31"/>
  </r>
  <r>
    <x v="6"/>
    <x v="1"/>
    <x v="0"/>
    <s v="5894200"/>
    <n v="713010"/>
    <s v="Benefits-FICA/Medicare"/>
    <s v="WH-Lakewood-Shared Service"/>
    <x v="0"/>
    <m/>
    <n v="273.08999999999997"/>
    <n v="285.49"/>
    <n v="248.27"/>
    <n v="289.98"/>
    <n v="293.02999999999997"/>
    <n v="229.04"/>
    <n v="268.95"/>
    <n v="219.59"/>
    <n v="266"/>
    <n v="253.38"/>
    <n v="266.73"/>
    <n v="207.39"/>
    <n v="3100.94"/>
    <n v="59.340000000000032"/>
  </r>
  <r>
    <x v="6"/>
    <x v="1"/>
    <x v="0"/>
    <s v="5894200"/>
    <n v="713090"/>
    <s v="Benefits-Allocated Amounts"/>
    <s v="WH-Lakewood-Shared Service"/>
    <x v="0"/>
    <m/>
    <n v="1102.8"/>
    <n v="1017.86"/>
    <n v="1057.23"/>
    <n v="1113.6199999999999"/>
    <n v="1093.1300000000001"/>
    <n v="988.5"/>
    <n v="1420.83"/>
    <n v="941.78"/>
    <n v="1158.6400000000001"/>
    <n v="1180.8900000000001"/>
    <n v="1166.1500000000001"/>
    <n v="1163.3499999999999"/>
    <n v="13404.779999999999"/>
    <n v="2.8000000000001819"/>
  </r>
  <r>
    <x v="6"/>
    <x v="1"/>
    <x v="0"/>
    <s v="5894200"/>
    <n v="713096"/>
    <s v="Employee Recognition"/>
    <s v="WH-Lakewood-Shared Service"/>
    <x v="0"/>
    <n v="1017"/>
    <n v="0"/>
    <n v="0"/>
    <n v="0"/>
    <n v="0"/>
    <n v="0"/>
    <n v="0"/>
    <n v="0"/>
    <n v="0"/>
    <n v="0"/>
    <n v="0"/>
    <n v="0"/>
    <n v="86.32"/>
    <n v="86.32"/>
    <n v="-86.32"/>
  </r>
  <r>
    <x v="17"/>
    <x v="1"/>
    <x v="0"/>
    <s v="5894200"/>
    <n v="714520"/>
    <s v="Other Contracted Professionals"/>
    <s v="WH-Lakewood-Shared Service"/>
    <x v="0"/>
    <m/>
    <n v="0"/>
    <n v="0"/>
    <n v="0"/>
    <n v="0"/>
    <n v="0"/>
    <n v="0"/>
    <n v="0"/>
    <n v="0"/>
    <n v="0"/>
    <n v="0"/>
    <n v="1500"/>
    <n v="2400"/>
    <n v="3900"/>
    <n v="-900"/>
  </r>
  <r>
    <x v="7"/>
    <x v="1"/>
    <x v="0"/>
    <s v="5894200"/>
    <n v="718010"/>
    <s v="Media/Print Advertising"/>
    <s v="WH-Lakewood-Shared Service"/>
    <x v="0"/>
    <n v="1004"/>
    <n v="97.5"/>
    <n v="0"/>
    <n v="0"/>
    <n v="0"/>
    <n v="284.67"/>
    <n v="995.36"/>
    <n v="0"/>
    <n v="0"/>
    <n v="0"/>
    <n v="0"/>
    <n v="0"/>
    <n v="0"/>
    <n v="1377.53"/>
    <n v="0"/>
  </r>
  <r>
    <x v="7"/>
    <x v="1"/>
    <x v="0"/>
    <s v="5894200"/>
    <n v="718050"/>
    <s v="Contract Svcs-Other"/>
    <s v="WH-Lakewood-Shared Service"/>
    <x v="0"/>
    <m/>
    <n v="30.19"/>
    <n v="30.19"/>
    <n v="30.19"/>
    <n v="30.19"/>
    <n v="30.19"/>
    <n v="0"/>
    <n v="71.7"/>
    <n v="44.18"/>
    <n v="288.74"/>
    <n v="5"/>
    <n v="0"/>
    <n v="13.99"/>
    <n v="574.56000000000006"/>
    <n v="-13.99"/>
  </r>
  <r>
    <x v="7"/>
    <x v="1"/>
    <x v="0"/>
    <s v="5894200"/>
    <n v="718050"/>
    <s v="Physician Answering"/>
    <s v="WH-Lakewood-Shared Service"/>
    <x v="0"/>
    <n v="1015"/>
    <n v="90.4"/>
    <n v="90.6"/>
    <n v="90.4"/>
    <n v="40.200000000000003"/>
    <n v="90.6"/>
    <n v="148.4"/>
    <n v="230.8"/>
    <n v="203.4"/>
    <n v="147.6"/>
    <n v="223.8"/>
    <n v="90.4"/>
    <n v="65.400000000000006"/>
    <n v="1512"/>
    <n v="25"/>
  </r>
  <r>
    <x v="7"/>
    <x v="1"/>
    <x v="0"/>
    <s v="5894200"/>
    <n v="718050"/>
    <s v="Miscellaneous Purchased Svcs"/>
    <s v="WH-Lakewood-Shared Service"/>
    <x v="0"/>
    <n v="1020"/>
    <n v="57.7"/>
    <n v="115.4"/>
    <n v="156.46"/>
    <n v="90.62"/>
    <n v="32.92"/>
    <n v="0"/>
    <n v="0"/>
    <n v="0"/>
    <n v="164.6"/>
    <n v="32.92"/>
    <n v="0"/>
    <n v="65.84"/>
    <n v="716.46"/>
    <n v="-65.84"/>
  </r>
  <r>
    <x v="7"/>
    <x v="1"/>
    <x v="0"/>
    <s v="5894200"/>
    <n v="718050"/>
    <s v="Translation Services"/>
    <s v="WH-Lakewood-Shared Service"/>
    <x v="0"/>
    <n v="1025"/>
    <n v="0"/>
    <n v="0"/>
    <n v="59"/>
    <n v="56"/>
    <n v="0"/>
    <n v="0"/>
    <n v="0"/>
    <n v="40"/>
    <n v="64"/>
    <n v="0"/>
    <n v="0"/>
    <n v="0"/>
    <n v="219"/>
    <n v="0"/>
  </r>
  <r>
    <x v="7"/>
    <x v="1"/>
    <x v="0"/>
    <s v="5894200"/>
    <n v="718050"/>
    <s v="Contract Management--Linen"/>
    <s v="WH-Lakewood-Shared Service"/>
    <x v="0"/>
    <n v="1026"/>
    <n v="0"/>
    <n v="0"/>
    <n v="0"/>
    <n v="0"/>
    <n v="0"/>
    <n v="106.88"/>
    <n v="0"/>
    <n v="0"/>
    <n v="0"/>
    <n v="105.85"/>
    <n v="0"/>
    <n v="0"/>
    <n v="212.73"/>
    <n v="0"/>
  </r>
  <r>
    <x v="7"/>
    <x v="1"/>
    <x v="0"/>
    <s v="5894200"/>
    <n v="718050"/>
    <s v="Purchased Srvcs--Medical Waste"/>
    <s v="WH-Lakewood-Shared Service"/>
    <x v="0"/>
    <n v="1027"/>
    <n v="10.36"/>
    <n v="10.36"/>
    <n v="10.36"/>
    <n v="0"/>
    <n v="10.36"/>
    <n v="10.36"/>
    <n v="20.72"/>
    <n v="10.36"/>
    <n v="0"/>
    <n v="20.72"/>
    <n v="0"/>
    <n v="10.36"/>
    <n v="113.96"/>
    <n v="-10.36"/>
  </r>
  <r>
    <x v="7"/>
    <x v="1"/>
    <x v="0"/>
    <s v="5894200"/>
    <n v="718070"/>
    <s v="Contract Srvcs-CHI Clinical Engineering"/>
    <s v="WH-Lakewood-Shared Service"/>
    <x v="0"/>
    <m/>
    <n v="0"/>
    <n v="495.5"/>
    <n v="495.5"/>
    <n v="181.99"/>
    <n v="1653.54"/>
    <n v="495.5"/>
    <n v="495.5"/>
    <n v="0"/>
    <n v="0"/>
    <n v="0"/>
    <n v="0"/>
    <n v="0"/>
    <n v="3817.5299999999997"/>
    <n v="0"/>
  </r>
  <r>
    <x v="11"/>
    <x v="1"/>
    <x v="0"/>
    <s v="5894200"/>
    <n v="721010"/>
    <s v="Supplies-Medical - Billable"/>
    <s v="WH-Lakewood-Shared Service"/>
    <x v="0"/>
    <m/>
    <n v="9288.2800000000007"/>
    <n v="14067.32"/>
    <n v="8815.0400000000009"/>
    <n v="16493.18"/>
    <n v="3348.98"/>
    <n v="9757.5499999999993"/>
    <n v="11239.38"/>
    <n v="1418"/>
    <n v="11333.45"/>
    <n v="1418"/>
    <n v="8415.16"/>
    <n v="4448.4399999999996"/>
    <n v="100042.78000000001"/>
    <n v="3966.7200000000003"/>
  </r>
  <r>
    <x v="11"/>
    <x v="1"/>
    <x v="0"/>
    <s v="5894200"/>
    <n v="721250"/>
    <s v="Supplies-Pharmacy Drugs - Billable"/>
    <s v="WH-Lakewood-Shared Service"/>
    <x v="0"/>
    <m/>
    <n v="2452.5500000000002"/>
    <n v="2653.84"/>
    <n v="3157.07"/>
    <n v="1059.8499999999999"/>
    <n v="5037.5600000000004"/>
    <n v="1080.0999999999999"/>
    <n v="1418.26"/>
    <n v="2441.19"/>
    <n v="2574.13"/>
    <n v="685.82"/>
    <n v="-12387.35"/>
    <n v="2975.55"/>
    <n v="13148.570000000003"/>
    <n v="-15362.900000000001"/>
  </r>
  <r>
    <x v="11"/>
    <x v="1"/>
    <x v="0"/>
    <s v="5894200"/>
    <n v="721410"/>
    <s v="Supplies-Medical - Nonbillable"/>
    <s v="WH-Lakewood-Shared Service"/>
    <x v="0"/>
    <m/>
    <n v="4197.95"/>
    <n v="65.42"/>
    <n v="6.61"/>
    <n v="0"/>
    <n v="0"/>
    <n v="0"/>
    <n v="0"/>
    <n v="0"/>
    <n v="0"/>
    <n v="0"/>
    <n v="0"/>
    <n v="0"/>
    <n v="4269.9799999999996"/>
    <n v="0"/>
  </r>
  <r>
    <x v="11"/>
    <x v="1"/>
    <x v="0"/>
    <s v="5894200"/>
    <n v="721830"/>
    <s v="Supplies-Office"/>
    <s v="WH-Lakewood-Shared Service"/>
    <x v="0"/>
    <m/>
    <n v="264.61"/>
    <n v="0"/>
    <n v="0"/>
    <n v="279.64999999999998"/>
    <n v="0"/>
    <n v="321.58999999999997"/>
    <n v="381.75"/>
    <n v="400.33"/>
    <n v="39.94"/>
    <n v="219.96"/>
    <n v="0"/>
    <n v="63.72"/>
    <n v="1971.55"/>
    <n v="-63.72"/>
  </r>
  <r>
    <x v="11"/>
    <x v="1"/>
    <x v="0"/>
    <s v="5894200"/>
    <n v="721835"/>
    <s v="Supplies-Forms"/>
    <s v="WH-Lakewood-Shared Service"/>
    <x v="0"/>
    <m/>
    <n v="0"/>
    <n v="0"/>
    <n v="0"/>
    <n v="0"/>
    <n v="0"/>
    <n v="33.83"/>
    <n v="0"/>
    <n v="0"/>
    <n v="3.45"/>
    <n v="29.6"/>
    <n v="0"/>
    <n v="0"/>
    <n v="66.88"/>
    <n v="0"/>
  </r>
  <r>
    <x v="11"/>
    <x v="1"/>
    <x v="0"/>
    <s v="5894200"/>
    <n v="721910"/>
    <s v="Supplies-Small Equipment"/>
    <s v="WH-Lakewood-Shared Service"/>
    <x v="0"/>
    <m/>
    <n v="0"/>
    <n v="0"/>
    <n v="0"/>
    <n v="0"/>
    <n v="0"/>
    <n v="0"/>
    <n v="0"/>
    <n v="0"/>
    <n v="53"/>
    <n v="0"/>
    <n v="0"/>
    <n v="0"/>
    <n v="53"/>
    <n v="0"/>
  </r>
  <r>
    <x v="11"/>
    <x v="1"/>
    <x v="0"/>
    <s v="5894200"/>
    <n v="722000"/>
    <s v="Supplies-Freight Expense"/>
    <s v="WH-Lakewood-Shared Service"/>
    <x v="0"/>
    <m/>
    <n v="35.83"/>
    <n v="0"/>
    <n v="8.94"/>
    <n v="0"/>
    <n v="0"/>
    <n v="0"/>
    <n v="0"/>
    <n v="0"/>
    <n v="0"/>
    <n v="0"/>
    <n v="0"/>
    <n v="14"/>
    <n v="58.769999999999996"/>
    <n v="-14"/>
  </r>
  <r>
    <x v="12"/>
    <x v="1"/>
    <x v="0"/>
    <s v="5894200"/>
    <n v="730010"/>
    <s v="Rental and Leases-Building (DO NOT USE)"/>
    <s v="WH-Lakewood-Shared Service"/>
    <x v="0"/>
    <m/>
    <n v="6293.48"/>
    <n v="6293.48"/>
    <n v="6293.48"/>
    <n v="6293.48"/>
    <n v="6293.48"/>
    <n v="-10553.68"/>
    <n v="3485.62"/>
    <n v="3485.62"/>
    <n v="3485.62"/>
    <n v="3544.65"/>
    <n v="3572.76"/>
    <n v="0"/>
    <n v="38487.99"/>
    <n v="3572.76"/>
  </r>
  <r>
    <x v="12"/>
    <x v="1"/>
    <x v="0"/>
    <s v="5894200"/>
    <n v="730010"/>
    <s v="Rental-Common Area Maint (DO NOT USE)"/>
    <s v="WH-Lakewood-Shared Service"/>
    <x v="0"/>
    <n v="2200"/>
    <n v="0"/>
    <n v="0"/>
    <n v="0"/>
    <n v="0"/>
    <n v="0"/>
    <n v="16912.66"/>
    <n v="2873.36"/>
    <n v="2873.36"/>
    <n v="-66.13"/>
    <n v="2873.36"/>
    <n v="2873.36"/>
    <n v="0"/>
    <n v="28339.97"/>
    <n v="2873.36"/>
  </r>
  <r>
    <x v="12"/>
    <x v="1"/>
    <x v="0"/>
    <s v="5894200"/>
    <n v="730020"/>
    <s v="Rental and Leases-Copier Usage Fees (DO NOT USE)"/>
    <s v="WH-Lakewood-Shared Service"/>
    <x v="0"/>
    <n v="5100"/>
    <n v="158.36000000000001"/>
    <n v="163.41999999999999"/>
    <n v="160.88999999999999"/>
    <n v="160.88999999999999"/>
    <n v="160.88999999999999"/>
    <n v="160.88999999999999"/>
    <n v="110.72"/>
    <n v="298.10000000000002"/>
    <n v="151.18"/>
    <n v="13.07"/>
    <n v="151.13999999999999"/>
    <n v="172.88"/>
    <n v="1862.4299999999998"/>
    <n v="-21.740000000000009"/>
  </r>
  <r>
    <x v="12"/>
    <x v="1"/>
    <x v="0"/>
    <s v="5894200"/>
    <n v="730040"/>
    <s v="LT Lease-Real Estate"/>
    <s v="WH-Lakewood-Shared Service"/>
    <x v="0"/>
    <m/>
    <n v="0"/>
    <n v="0"/>
    <n v="0"/>
    <n v="0"/>
    <n v="0"/>
    <n v="0"/>
    <n v="0"/>
    <n v="0"/>
    <n v="0"/>
    <n v="0"/>
    <n v="0"/>
    <n v="6446.12"/>
    <n v="6446.12"/>
    <n v="-6446.12"/>
  </r>
  <r>
    <x v="16"/>
    <x v="1"/>
    <x v="0"/>
    <s v="5894200"/>
    <n v="732030"/>
    <s v="Repairs---Other"/>
    <s v="WH-Lakewood-Shared Service"/>
    <x v="0"/>
    <m/>
    <n v="0"/>
    <n v="0"/>
    <n v="0"/>
    <n v="0"/>
    <n v="0"/>
    <n v="0"/>
    <n v="0"/>
    <n v="57.24"/>
    <n v="0"/>
    <n v="0"/>
    <n v="0"/>
    <n v="0"/>
    <n v="57.24"/>
    <n v="0"/>
  </r>
  <r>
    <x v="16"/>
    <x v="1"/>
    <x v="0"/>
    <s v="5894200"/>
    <n v="732030"/>
    <s v="Repairs&amp;Maintenance-Bldg Routine"/>
    <s v="WH-Lakewood-Shared Service"/>
    <x v="0"/>
    <n v="2300"/>
    <n v="0"/>
    <n v="0"/>
    <n v="0"/>
    <n v="0"/>
    <n v="0"/>
    <n v="0"/>
    <n v="43.48"/>
    <n v="0"/>
    <n v="0"/>
    <n v="0"/>
    <n v="0"/>
    <n v="0"/>
    <n v="43.48"/>
    <n v="0"/>
  </r>
  <r>
    <x v="13"/>
    <x v="1"/>
    <x v="0"/>
    <s v="5894200"/>
    <n v="735070"/>
    <s v="Depreciation-Movable Equipment"/>
    <s v="WH-Lakewood-Shared Service"/>
    <x v="0"/>
    <m/>
    <n v="545.54999999999995"/>
    <n v="545.54999999999995"/>
    <n v="545.54999999999995"/>
    <n v="545.54999999999995"/>
    <n v="545.54999999999995"/>
    <n v="545.54999999999995"/>
    <n v="545.54999999999995"/>
    <n v="545.54999999999995"/>
    <n v="545.55999999999995"/>
    <n v="545.54999999999995"/>
    <n v="545.55999999999995"/>
    <n v="545.54"/>
    <n v="6546.6100000000015"/>
    <n v="1.999999999998181E-2"/>
  </r>
  <r>
    <x v="0"/>
    <x v="1"/>
    <x v="0"/>
    <s v="5894200"/>
    <n v="749510"/>
    <s v="Miscellaneous Expenses"/>
    <s v="WH-Lakewood-Shared Service"/>
    <x v="0"/>
    <m/>
    <n v="0"/>
    <n v="0"/>
    <n v="0"/>
    <n v="0"/>
    <n v="0"/>
    <n v="0"/>
    <n v="0"/>
    <n v="0"/>
    <n v="0"/>
    <n v="0"/>
    <n v="65"/>
    <n v="-65"/>
    <n v="0"/>
    <n v="130"/>
  </r>
  <r>
    <x v="0"/>
    <x v="1"/>
    <x v="0"/>
    <s v="5894200"/>
    <n v="749510"/>
    <s v="Licenses"/>
    <s v="WH-Lakewood-Shared Service"/>
    <x v="0"/>
    <n v="1002"/>
    <n v="0"/>
    <n v="0"/>
    <n v="265"/>
    <n v="0"/>
    <n v="0"/>
    <n v="155"/>
    <n v="38.75"/>
    <n v="0"/>
    <n v="0"/>
    <n v="0"/>
    <n v="0"/>
    <n v="0"/>
    <n v="458.75"/>
    <n v="0"/>
  </r>
  <r>
    <x v="0"/>
    <x v="1"/>
    <x v="0"/>
    <s v="5894200"/>
    <n v="749510"/>
    <s v="RICE Rewards"/>
    <s v="WH-Lakewood-Shared Service"/>
    <x v="0"/>
    <n v="5100"/>
    <n v="0"/>
    <n v="0"/>
    <n v="0"/>
    <n v="0"/>
    <n v="0"/>
    <n v="0"/>
    <n v="0"/>
    <n v="0"/>
    <n v="0"/>
    <n v="0"/>
    <n v="163.96"/>
    <n v="0"/>
    <n v="163.96"/>
    <n v="163.96"/>
  </r>
  <r>
    <x v="0"/>
    <x v="1"/>
    <x v="0"/>
    <s v="5894200"/>
    <n v="749535"/>
    <s v="Meetings"/>
    <s v="WH-Lakewood-Shared Service"/>
    <x v="0"/>
    <m/>
    <n v="0"/>
    <n v="0"/>
    <n v="0"/>
    <n v="0"/>
    <n v="0"/>
    <n v="0"/>
    <n v="0"/>
    <n v="0"/>
    <n v="0"/>
    <n v="0"/>
    <n v="0"/>
    <n v="65"/>
    <n v="65"/>
    <n v="-65"/>
  </r>
  <r>
    <x v="7"/>
    <x v="1"/>
    <x v="0"/>
    <s v="5895200"/>
    <n v="718050"/>
    <s v="Document Shredding/Storage"/>
    <s v="Multi-Specialty Clinic"/>
    <x v="0"/>
    <n v="1012"/>
    <n v="0"/>
    <n v="0"/>
    <n v="0"/>
    <n v="0"/>
    <n v="0"/>
    <n v="0"/>
    <n v="0"/>
    <n v="87.22"/>
    <n v="27.34"/>
    <n v="-55.41"/>
    <n v="0"/>
    <n v="0"/>
    <n v="59.150000000000006"/>
    <n v="0"/>
  </r>
  <r>
    <x v="11"/>
    <x v="1"/>
    <x v="0"/>
    <s v="5895200"/>
    <n v="721870"/>
    <s v="Supplies-Environmental Services"/>
    <s v="Multi-Specialty Clinic"/>
    <x v="0"/>
    <m/>
    <n v="0"/>
    <n v="0"/>
    <n v="0"/>
    <n v="0"/>
    <n v="0"/>
    <n v="0"/>
    <n v="0"/>
    <n v="0"/>
    <n v="0"/>
    <n v="0"/>
    <n v="0"/>
    <n v="84.03"/>
    <n v="84.03"/>
    <n v="-84.03"/>
  </r>
  <r>
    <x v="12"/>
    <x v="1"/>
    <x v="0"/>
    <s v="5895200"/>
    <n v="730010"/>
    <s v="Rental and Leases-Building (DO NOT USE)"/>
    <s v="Multi-Specialty Clinic"/>
    <x v="0"/>
    <m/>
    <n v="-10161"/>
    <n v="-10161"/>
    <n v="-10161"/>
    <n v="-10161"/>
    <n v="-10161"/>
    <n v="-10161"/>
    <n v="-10161"/>
    <n v="-10161"/>
    <n v="-10161"/>
    <n v="-10161"/>
    <n v="-10161"/>
    <n v="0"/>
    <n v="-111771"/>
    <n v="-10161"/>
  </r>
  <r>
    <x v="12"/>
    <x v="1"/>
    <x v="0"/>
    <s v="5895200"/>
    <n v="730040"/>
    <s v="LT Lease-Real Estate"/>
    <s v="Multi-Specialty Clinic"/>
    <x v="0"/>
    <m/>
    <n v="0"/>
    <n v="0"/>
    <n v="0"/>
    <n v="0"/>
    <n v="0"/>
    <n v="0"/>
    <n v="0"/>
    <n v="0"/>
    <n v="0"/>
    <n v="0"/>
    <n v="0"/>
    <n v="-10161"/>
    <n v="-10161"/>
    <n v="10161"/>
  </r>
  <r>
    <x v="15"/>
    <x v="1"/>
    <x v="0"/>
    <s v="5895200"/>
    <n v="731060"/>
    <s v="Telephone"/>
    <s v="Multi-Specialty Clinic"/>
    <x v="0"/>
    <m/>
    <n v="1537.52"/>
    <n v="1541.31"/>
    <n v="1539.17"/>
    <n v="1541.45"/>
    <n v="1541.45"/>
    <n v="1541.45"/>
    <n v="1548.33"/>
    <n v="1449.57"/>
    <n v="1421.78"/>
    <n v="1420.62"/>
    <n v="1420.62"/>
    <n v="1420.62"/>
    <n v="17923.89"/>
    <n v="0"/>
  </r>
  <r>
    <x v="5"/>
    <x v="1"/>
    <x v="0"/>
    <s v="5896200"/>
    <n v="700018"/>
    <s v="Salaries-Supervisory-Productive"/>
    <s v="Foot &amp; Ankle-GH-Shared Svc"/>
    <x v="0"/>
    <m/>
    <n v="527.12"/>
    <n v="551.08000000000004"/>
    <n v="1078.2"/>
    <n v="1134.4100000000001"/>
    <n v="596.54999999999995"/>
    <n v="1043.95"/>
    <n v="1145.1400000000001"/>
    <n v="746.74"/>
    <n v="672.13"/>
    <n v="796.57"/>
    <n v="1319.37"/>
    <n v="746.76"/>
    <n v="10358.020000000002"/>
    <n v="572.6099999999999"/>
  </r>
  <r>
    <x v="5"/>
    <x v="1"/>
    <x v="0"/>
    <s v="5896200"/>
    <n v="700038"/>
    <s v="Salaries-Service/Support-Productive"/>
    <s v="Foot &amp; Ankle-GH-Shared Svc"/>
    <x v="0"/>
    <m/>
    <n v="5019.34"/>
    <n v="1734.41"/>
    <n v="4772.45"/>
    <n v="6444.34"/>
    <n v="4629.12"/>
    <n v="4712.42"/>
    <n v="6207.86"/>
    <n v="3909.24"/>
    <n v="5805.03"/>
    <n v="4226.75"/>
    <n v="4278.07"/>
    <n v="112.43"/>
    <n v="51851.46"/>
    <n v="4165.6399999999994"/>
  </r>
  <r>
    <x v="5"/>
    <x v="1"/>
    <x v="0"/>
    <s v="5896200"/>
    <n v="700078"/>
    <s v="Salaries-Service/Support-Non-productive"/>
    <s v="Foot &amp; Ankle-GH-Shared Svc"/>
    <x v="0"/>
    <m/>
    <n v="618.79"/>
    <n v="2340.65"/>
    <n v="-212.99"/>
    <n v="145.72999999999999"/>
    <n v="369.44"/>
    <n v="1078.3"/>
    <n v="145.74"/>
    <n v="971.2"/>
    <n v="-277.48"/>
    <n v="698.32"/>
    <n v="480.99"/>
    <n v="-161.85"/>
    <n v="6196.8399999999983"/>
    <n v="642.84"/>
  </r>
  <r>
    <x v="5"/>
    <x v="1"/>
    <x v="0"/>
    <s v="5896200"/>
    <n v="700084"/>
    <s v="Accrued PTO"/>
    <s v="Foot &amp; Ankle-GH-Shared Svc"/>
    <x v="0"/>
    <m/>
    <n v="-218.55"/>
    <n v="-567.9"/>
    <n v="-42.82"/>
    <n v="149.35"/>
    <n v="182.18"/>
    <n v="-460.88"/>
    <n v="187.26"/>
    <n v="-328.8"/>
    <n v="371.52"/>
    <n v="-72.97"/>
    <n v="366.9"/>
    <n v="0"/>
    <n v="-434.71000000000015"/>
    <n v="366.9"/>
  </r>
  <r>
    <x v="6"/>
    <x v="1"/>
    <x v="0"/>
    <s v="5896200"/>
    <n v="713010"/>
    <s v="Benefits-FICA/Medicare"/>
    <s v="Foot &amp; Ankle-GH-Shared Svc"/>
    <x v="0"/>
    <m/>
    <n v="426.08"/>
    <n v="310.87"/>
    <n v="389.25"/>
    <n v="540.19000000000005"/>
    <n v="384.67"/>
    <n v="481.36"/>
    <n v="527.85"/>
    <n v="380.92"/>
    <n v="429.54"/>
    <n v="392.41"/>
    <n v="423.45"/>
    <n v="46.29"/>
    <n v="4732.88"/>
    <n v="377.15999999999997"/>
  </r>
  <r>
    <x v="6"/>
    <x v="1"/>
    <x v="0"/>
    <s v="5896200"/>
    <n v="713090"/>
    <s v="Benefits-Allocated Amounts"/>
    <s v="Foot &amp; Ankle-GH-Shared Svc"/>
    <x v="0"/>
    <m/>
    <n v="1643.2"/>
    <n v="1124.92"/>
    <n v="1447.68"/>
    <n v="1848.47"/>
    <n v="1652.33"/>
    <n v="1739.08"/>
    <n v="2102.65"/>
    <n v="1707.16"/>
    <n v="1770.16"/>
    <n v="1569.63"/>
    <n v="1750.03"/>
    <n v="103.69"/>
    <n v="18458.999999999996"/>
    <n v="1646.34"/>
  </r>
  <r>
    <x v="7"/>
    <x v="1"/>
    <x v="0"/>
    <s v="5896200"/>
    <n v="718010"/>
    <s v="Media/Print Advertising"/>
    <s v="Foot &amp; Ankle-GH-Shared Svc"/>
    <x v="0"/>
    <n v="1004"/>
    <n v="0"/>
    <n v="0"/>
    <n v="0"/>
    <n v="196.29"/>
    <n v="0"/>
    <n v="0"/>
    <n v="0"/>
    <n v="0"/>
    <n v="0"/>
    <n v="0"/>
    <n v="0"/>
    <n v="98.92"/>
    <n v="295.20999999999998"/>
    <n v="-98.92"/>
  </r>
  <r>
    <x v="7"/>
    <x v="1"/>
    <x v="0"/>
    <s v="5896200"/>
    <n v="718050"/>
    <s v="Contract Svcs-Other"/>
    <s v="Foot &amp; Ankle-GH-Shared Svc"/>
    <x v="0"/>
    <m/>
    <n v="0"/>
    <n v="0"/>
    <n v="0"/>
    <n v="0"/>
    <n v="116.34"/>
    <n v="0"/>
    <n v="22.67"/>
    <n v="0"/>
    <n v="0"/>
    <n v="0"/>
    <n v="0"/>
    <n v="0"/>
    <n v="139.01"/>
    <n v="0"/>
  </r>
  <r>
    <x v="7"/>
    <x v="1"/>
    <x v="0"/>
    <s v="5896200"/>
    <n v="718050"/>
    <s v="Document Shredding/Storage"/>
    <s v="Foot &amp; Ankle-GH-Shared Svc"/>
    <x v="0"/>
    <n v="1012"/>
    <n v="63.92"/>
    <n v="-95.59"/>
    <n v="18.079999999999998"/>
    <n v="12.4"/>
    <n v="42.74"/>
    <n v="9.4600000000000009"/>
    <n v="9.36"/>
    <n v="41.75"/>
    <n v="24.14"/>
    <n v="2.54"/>
    <n v="22.35"/>
    <n v="8.9700000000000006"/>
    <n v="160.12"/>
    <n v="13.38"/>
  </r>
  <r>
    <x v="7"/>
    <x v="1"/>
    <x v="0"/>
    <s v="5896200"/>
    <n v="718050"/>
    <s v="Translation Services"/>
    <s v="Foot &amp; Ankle-GH-Shared Svc"/>
    <x v="0"/>
    <n v="1025"/>
    <n v="0"/>
    <n v="0"/>
    <n v="210.5"/>
    <n v="115"/>
    <n v="0"/>
    <n v="30.02"/>
    <n v="0"/>
    <n v="0"/>
    <n v="0"/>
    <n v="0"/>
    <n v="0"/>
    <n v="0"/>
    <n v="355.52"/>
    <n v="0"/>
  </r>
  <r>
    <x v="7"/>
    <x v="1"/>
    <x v="0"/>
    <s v="5896200"/>
    <n v="718050"/>
    <s v="Purchased Srvcs--Medical Waste"/>
    <s v="Foot &amp; Ankle-GH-Shared Svc"/>
    <x v="0"/>
    <n v="1027"/>
    <n v="43.82"/>
    <n v="43.82"/>
    <n v="43.82"/>
    <n v="0"/>
    <n v="43.82"/>
    <n v="43.82"/>
    <n v="87.64"/>
    <n v="43.82"/>
    <n v="0"/>
    <n v="87.64"/>
    <n v="0"/>
    <n v="43.82"/>
    <n v="482.02"/>
    <n v="-43.82"/>
  </r>
  <r>
    <x v="7"/>
    <x v="1"/>
    <x v="0"/>
    <s v="5896200"/>
    <n v="718070"/>
    <s v="Contract Srvcs-CHI Clinical Engineering"/>
    <s v="Foot &amp; Ankle-GH-Shared Svc"/>
    <x v="0"/>
    <m/>
    <n v="0"/>
    <n v="0"/>
    <n v="0"/>
    <n v="0"/>
    <n v="0"/>
    <n v="0"/>
    <n v="0"/>
    <n v="385.5"/>
    <n v="0"/>
    <n v="0"/>
    <n v="0"/>
    <n v="0"/>
    <n v="385.5"/>
    <n v="0"/>
  </r>
  <r>
    <x v="11"/>
    <x v="1"/>
    <x v="0"/>
    <s v="5896200"/>
    <n v="721250"/>
    <s v="Supplies-Pharmacy Drugs - Billable"/>
    <s v="Foot &amp; Ankle-GH-Shared Svc"/>
    <x v="0"/>
    <m/>
    <n v="12.43"/>
    <n v="0"/>
    <n v="0"/>
    <n v="1189.83"/>
    <n v="0"/>
    <n v="0"/>
    <n v="16.760000000000002"/>
    <n v="0"/>
    <n v="0"/>
    <n v="0"/>
    <n v="260.61"/>
    <n v="0"/>
    <n v="1479.63"/>
    <n v="260.61"/>
  </r>
  <r>
    <x v="11"/>
    <x v="1"/>
    <x v="0"/>
    <s v="5896200"/>
    <n v="721810"/>
    <s v="Supplies-Dietary/Cafeteria"/>
    <s v="Foot &amp; Ankle-GH-Shared Svc"/>
    <x v="0"/>
    <m/>
    <n v="0"/>
    <n v="0"/>
    <n v="0"/>
    <n v="62.49"/>
    <n v="0"/>
    <n v="0"/>
    <n v="0"/>
    <n v="0"/>
    <n v="0"/>
    <n v="0"/>
    <n v="0"/>
    <n v="0"/>
    <n v="62.49"/>
    <n v="0"/>
  </r>
  <r>
    <x v="11"/>
    <x v="1"/>
    <x v="0"/>
    <s v="5896200"/>
    <n v="721830"/>
    <s v="Supplies-Office"/>
    <s v="Foot &amp; Ankle-GH-Shared Svc"/>
    <x v="0"/>
    <m/>
    <n v="607.74"/>
    <n v="386.17"/>
    <n v="124.92"/>
    <n v="167.27"/>
    <n v="230.41"/>
    <n v="344.45"/>
    <n v="28.63"/>
    <n v="283.89"/>
    <n v="80.569999999999993"/>
    <n v="416.06"/>
    <n v="0"/>
    <n v="-63.86"/>
    <n v="2606.2500000000005"/>
    <n v="63.86"/>
  </r>
  <r>
    <x v="11"/>
    <x v="1"/>
    <x v="0"/>
    <s v="5896200"/>
    <n v="721870"/>
    <s v="Supplies-Environmental Services"/>
    <s v="Foot &amp; Ankle-GH-Shared Svc"/>
    <x v="0"/>
    <m/>
    <n v="0"/>
    <n v="0"/>
    <n v="0"/>
    <n v="0"/>
    <n v="0"/>
    <n v="0"/>
    <n v="0"/>
    <n v="15.98"/>
    <n v="0"/>
    <n v="0"/>
    <n v="12.93"/>
    <n v="42.02"/>
    <n v="70.930000000000007"/>
    <n v="-29.090000000000003"/>
  </r>
  <r>
    <x v="11"/>
    <x v="1"/>
    <x v="0"/>
    <s v="5896200"/>
    <n v="722000"/>
    <s v="Supplies-Freight Expense"/>
    <s v="Foot &amp; Ankle-GH-Shared Svc"/>
    <x v="0"/>
    <m/>
    <n v="0"/>
    <n v="0"/>
    <n v="0"/>
    <n v="63.86"/>
    <n v="0"/>
    <n v="0"/>
    <n v="0"/>
    <n v="0"/>
    <n v="0"/>
    <n v="0"/>
    <n v="0"/>
    <n v="63.86"/>
    <n v="127.72"/>
    <n v="-63.86"/>
  </r>
  <r>
    <x v="12"/>
    <x v="1"/>
    <x v="0"/>
    <s v="5896200"/>
    <n v="730020"/>
    <s v="Rental and Leases-Copier Usage Fees (DO NOT USE)"/>
    <s v="Foot &amp; Ankle-GH-Shared Svc"/>
    <x v="0"/>
    <n v="5100"/>
    <n v="206.42"/>
    <n v="212.8"/>
    <n v="209.61"/>
    <n v="209.61"/>
    <n v="209.61"/>
    <n v="209.61"/>
    <n v="181.58"/>
    <n v="205.08"/>
    <n v="303.75"/>
    <n v="498.5"/>
    <n v="212.65"/>
    <n v="241.62"/>
    <n v="2900.84"/>
    <n v="-28.97"/>
  </r>
  <r>
    <x v="13"/>
    <x v="1"/>
    <x v="0"/>
    <s v="5896200"/>
    <n v="735070"/>
    <s v="Depreciation-Movable Equipment"/>
    <s v="Foot &amp; Ankle-GH-Shared Svc"/>
    <x v="0"/>
    <m/>
    <n v="105.33"/>
    <n v="105.33"/>
    <n v="105.33"/>
    <n v="105.33"/>
    <n v="105.33"/>
    <n v="105.33"/>
    <n v="105.33"/>
    <n v="105.33"/>
    <n v="105.33"/>
    <n v="105.33"/>
    <n v="105.33"/>
    <n v="105.32"/>
    <n v="1263.95"/>
    <n v="1.0000000000005116E-2"/>
  </r>
  <r>
    <x v="0"/>
    <x v="1"/>
    <x v="0"/>
    <s v="5896200"/>
    <n v="743030"/>
    <s v="Subscriptions--Institutional"/>
    <s v="Foot &amp; Ankle-GH-Shared Svc"/>
    <x v="0"/>
    <m/>
    <n v="0"/>
    <n v="0"/>
    <n v="0"/>
    <n v="0"/>
    <n v="92.7"/>
    <n v="0"/>
    <n v="0"/>
    <n v="0"/>
    <n v="0"/>
    <n v="0"/>
    <n v="0"/>
    <n v="0"/>
    <n v="92.7"/>
    <n v="0"/>
  </r>
  <r>
    <x v="0"/>
    <x v="1"/>
    <x v="0"/>
    <s v="5896200"/>
    <n v="749510"/>
    <s v="Miscellaneous Expenses"/>
    <s v="Foot &amp; Ankle-GH-Shared Svc"/>
    <x v="0"/>
    <m/>
    <n v="0"/>
    <n v="0"/>
    <n v="0"/>
    <n v="0"/>
    <n v="0"/>
    <n v="16.239999999999998"/>
    <n v="0"/>
    <n v="0"/>
    <n v="0"/>
    <n v="0"/>
    <n v="0"/>
    <n v="0"/>
    <n v="16.239999999999998"/>
    <n v="0"/>
  </r>
  <r>
    <x v="0"/>
    <x v="1"/>
    <x v="0"/>
    <s v="5896200"/>
    <n v="766010"/>
    <s v="Property Tax"/>
    <s v="Foot &amp; Ankle-GH-Shared Svc"/>
    <x v="0"/>
    <m/>
    <n v="4.41"/>
    <n v="4.41"/>
    <n v="4.41"/>
    <n v="4.41"/>
    <n v="4.41"/>
    <n v="4.41"/>
    <n v="4.41"/>
    <n v="4.41"/>
    <n v="4.41"/>
    <n v="30.12"/>
    <n v="0"/>
    <n v="0"/>
    <n v="69.81"/>
    <n v="0"/>
  </r>
  <r>
    <x v="14"/>
    <x v="1"/>
    <x v="0"/>
    <s v="5897200"/>
    <n v="600010"/>
    <s v="Product Sales Income-Taxable"/>
    <s v="Ortho/Sport Med-EN-Shared Srvc"/>
    <x v="0"/>
    <m/>
    <n v="-289.17"/>
    <n v="-289.17"/>
    <n v="-289.17"/>
    <n v="-289.17"/>
    <n v="-289.17"/>
    <n v="-289.17"/>
    <n v="-289.17"/>
    <n v="-289.17"/>
    <n v="-289.17"/>
    <n v="-289.17"/>
    <n v="-289.17"/>
    <n v="-289.17"/>
    <n v="-3470.0400000000004"/>
    <n v="0"/>
  </r>
  <r>
    <x v="14"/>
    <x v="1"/>
    <x v="0"/>
    <s v="5897200"/>
    <n v="600014"/>
    <s v="Rental Revenues-Taxable"/>
    <s v="Ortho/Sport Med-EN-Shared Srvc"/>
    <x v="0"/>
    <m/>
    <n v="-131.94"/>
    <n v="-131.94"/>
    <n v="-131.94"/>
    <n v="-131.94"/>
    <n v="-131.94"/>
    <n v="-131.94"/>
    <n v="-131.94"/>
    <n v="-131.94"/>
    <n v="-131.94"/>
    <n v="-131.94"/>
    <n v="-131.94"/>
    <n v="-131.94"/>
    <n v="-1583.2800000000004"/>
    <n v="0"/>
  </r>
  <r>
    <x v="14"/>
    <x v="1"/>
    <x v="0"/>
    <s v="5897200"/>
    <n v="600026"/>
    <s v="POB Rental"/>
    <s v="Ortho/Sport Med-EN-Shared Srvc"/>
    <x v="0"/>
    <n v="1001"/>
    <n v="-1271.5"/>
    <n v="-1271.5"/>
    <n v="-1271.5"/>
    <n v="-1271.5"/>
    <n v="-1296.93"/>
    <n v="-1296.93"/>
    <n v="-1296.93"/>
    <n v="-1296.93"/>
    <n v="-1296.93"/>
    <n v="-1296.93"/>
    <n v="-1322.87"/>
    <n v="-1322.87"/>
    <n v="-15513.32"/>
    <n v="0"/>
  </r>
  <r>
    <x v="14"/>
    <x v="1"/>
    <x v="0"/>
    <s v="5897200"/>
    <n v="600026"/>
    <s v="Other Rental"/>
    <s v="Ortho/Sport Med-EN-Shared Srvc"/>
    <x v="0"/>
    <n v="1002"/>
    <n v="-416.3"/>
    <n v="-416.3"/>
    <n v="-416.3"/>
    <n v="-416.3"/>
    <n v="-416.3"/>
    <n v="-416.3"/>
    <n v="-416.3"/>
    <n v="-416.3"/>
    <n v="-416.3"/>
    <n v="-416.3"/>
    <n v="-416.3"/>
    <n v="-416.3"/>
    <n v="-4995.6000000000013"/>
    <n v="0"/>
  </r>
  <r>
    <x v="5"/>
    <x v="1"/>
    <x v="0"/>
    <s v="5897200"/>
    <n v="700038"/>
    <s v="Salaries-Service/Support-Productive"/>
    <s v="Ortho/Sport Med-EN-Shared Srvc"/>
    <x v="0"/>
    <m/>
    <n v="8661.99"/>
    <n v="10788.81"/>
    <n v="9106.2000000000007"/>
    <n v="11254.17"/>
    <n v="10727.17"/>
    <n v="8959.4699999999993"/>
    <n v="10891.94"/>
    <n v="8705.6299999999992"/>
    <n v="9627.9699999999993"/>
    <n v="8893.73"/>
    <n v="11813.18"/>
    <n v="8859.75"/>
    <n v="118290.01000000001"/>
    <n v="2953.4300000000003"/>
  </r>
  <r>
    <x v="5"/>
    <x v="1"/>
    <x v="0"/>
    <s v="5897200"/>
    <n v="700038"/>
    <s v="Salaries-Service/Support-OT"/>
    <s v="Ortho/Sport Med-EN-Shared Srvc"/>
    <x v="0"/>
    <n v="1000"/>
    <n v="0"/>
    <n v="155.68"/>
    <n v="0.25"/>
    <n v="77.17"/>
    <n v="73.78"/>
    <n v="-17.690000000000001"/>
    <n v="0"/>
    <n v="0"/>
    <n v="0"/>
    <n v="0"/>
    <n v="0"/>
    <n v="7.39"/>
    <n v="296.58"/>
    <n v="-7.39"/>
  </r>
  <r>
    <x v="5"/>
    <x v="1"/>
    <x v="0"/>
    <s v="5897200"/>
    <n v="700078"/>
    <s v="Salaries-Service/Support-Non-productive"/>
    <s v="Ortho/Sport Med-EN-Shared Srvc"/>
    <x v="0"/>
    <m/>
    <n v="2063.9699999999998"/>
    <n v="1220.3900000000001"/>
    <n v="1031.02"/>
    <n v="715.1"/>
    <n v="1014.05"/>
    <n v="2115.7199999999998"/>
    <n v="1149.43"/>
    <n v="1343.28"/>
    <n v="913.4"/>
    <n v="2395.5500000000002"/>
    <n v="83.88"/>
    <n v="1271.3599999999999"/>
    <n v="15317.15"/>
    <n v="-1187.48"/>
  </r>
  <r>
    <x v="5"/>
    <x v="1"/>
    <x v="0"/>
    <s v="5897200"/>
    <n v="700078"/>
    <s v="Salaries-Service/Support-NonProd-Other"/>
    <s v="Ortho/Sport Med-EN-Shared Sr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97200"/>
    <n v="700084"/>
    <s v="Accrued PTO"/>
    <s v="Ortho/Sport Med-EN-Shared Srvc"/>
    <x v="0"/>
    <m/>
    <n v="-732.96"/>
    <n v="-215.43"/>
    <n v="57.87"/>
    <n v="473.87"/>
    <n v="242.97"/>
    <n v="-766.13"/>
    <n v="-3.86"/>
    <n v="-41.61"/>
    <n v="217.61"/>
    <n v="-1026.21"/>
    <n v="747.66"/>
    <n v="351.46"/>
    <n v="-694.76000000000022"/>
    <n v="396.2"/>
  </r>
  <r>
    <x v="6"/>
    <x v="1"/>
    <x v="0"/>
    <s v="5897200"/>
    <n v="713010"/>
    <s v="Benefits-FICA/Medicare"/>
    <s v="Ortho/Sport Med-EN-Shared Srvc"/>
    <x v="0"/>
    <m/>
    <n v="800.6"/>
    <n v="909.77"/>
    <n v="757.42"/>
    <n v="900.68"/>
    <n v="884.06"/>
    <n v="825.65"/>
    <n v="896.5"/>
    <n v="747.43"/>
    <n v="784.01"/>
    <n v="840.11"/>
    <n v="885.56"/>
    <n v="754.23"/>
    <n v="9986.0199999999986"/>
    <n v="131.32999999999993"/>
  </r>
  <r>
    <x v="6"/>
    <x v="1"/>
    <x v="0"/>
    <s v="5897200"/>
    <n v="713090"/>
    <s v="Benefits-Allocated Amounts"/>
    <s v="Ortho/Sport Med-EN-Shared Srvc"/>
    <x v="0"/>
    <m/>
    <n v="3075.88"/>
    <n v="3023.66"/>
    <n v="3157.89"/>
    <n v="3282.65"/>
    <n v="3240.26"/>
    <n v="3227.81"/>
    <n v="3764.4"/>
    <n v="3515.66"/>
    <n v="2988.48"/>
    <n v="3494.92"/>
    <n v="3451.09"/>
    <n v="3167.53"/>
    <n v="39390.229999999996"/>
    <n v="283.55999999999995"/>
  </r>
  <r>
    <x v="7"/>
    <x v="1"/>
    <x v="0"/>
    <s v="5897200"/>
    <n v="718010"/>
    <s v="Media/Print Advertising"/>
    <s v="Ortho/Sport Med-EN-Shared Srvc"/>
    <x v="0"/>
    <n v="1004"/>
    <n v="821.98"/>
    <n v="0"/>
    <n v="0"/>
    <n v="0"/>
    <n v="0"/>
    <n v="0"/>
    <n v="0"/>
    <n v="0"/>
    <n v="0"/>
    <n v="0"/>
    <n v="0"/>
    <n v="0"/>
    <n v="821.98"/>
    <n v="0"/>
  </r>
  <r>
    <x v="7"/>
    <x v="1"/>
    <x v="0"/>
    <s v="5897200"/>
    <n v="718040"/>
    <s v="Contract Svcs-Laboratory"/>
    <s v="Ortho/Sport Med-EN-Shared Srvc"/>
    <x v="0"/>
    <m/>
    <n v="0"/>
    <n v="0"/>
    <n v="0"/>
    <n v="0"/>
    <n v="0"/>
    <n v="0"/>
    <n v="0"/>
    <n v="65.7"/>
    <n v="0"/>
    <n v="0"/>
    <n v="0"/>
    <n v="0"/>
    <n v="65.7"/>
    <n v="0"/>
  </r>
  <r>
    <x v="7"/>
    <x v="1"/>
    <x v="0"/>
    <s v="5897200"/>
    <n v="718050"/>
    <s v="Contract Svcs-Other"/>
    <s v="Ortho/Sport Med-EN-Shared Srvc"/>
    <x v="0"/>
    <m/>
    <n v="231.06"/>
    <n v="260.25"/>
    <n v="160.59"/>
    <n v="170.36"/>
    <n v="99.66"/>
    <n v="99.89"/>
    <n v="231.3"/>
    <n v="236.3"/>
    <n v="99.9"/>
    <n v="226.3"/>
    <n v="5"/>
    <n v="236.3"/>
    <n v="2056.91"/>
    <n v="-231.3"/>
  </r>
  <r>
    <x v="7"/>
    <x v="1"/>
    <x v="0"/>
    <s v="5897200"/>
    <n v="718050"/>
    <s v="Cleaning Services"/>
    <s v="Ortho/Sport Med-EN-Shared Srvc"/>
    <x v="0"/>
    <n v="1011"/>
    <n v="1300"/>
    <n v="1300"/>
    <n v="0"/>
    <n v="1300"/>
    <n v="0"/>
    <n v="650"/>
    <n v="1300"/>
    <n v="0"/>
    <n v="1300"/>
    <n v="0"/>
    <n v="650"/>
    <n v="650"/>
    <n v="8450"/>
    <n v="0"/>
  </r>
  <r>
    <x v="7"/>
    <x v="1"/>
    <x v="0"/>
    <s v="5897200"/>
    <n v="718050"/>
    <s v="Document Shredding/Storage"/>
    <s v="Ortho/Sport Med-EN-Shared Srvc"/>
    <x v="0"/>
    <n v="1012"/>
    <n v="59.89"/>
    <n v="28.72"/>
    <n v="67.69"/>
    <n v="57.33"/>
    <n v="1.36"/>
    <n v="51.86"/>
    <n v="51.34"/>
    <n v="18.510000000000002"/>
    <n v="31.95"/>
    <n v="97.76"/>
    <n v="58.36"/>
    <n v="79.17"/>
    <n v="603.93999999999994"/>
    <n v="-20.810000000000002"/>
  </r>
  <r>
    <x v="7"/>
    <x v="1"/>
    <x v="0"/>
    <s v="5897200"/>
    <n v="718050"/>
    <s v="Translation Services"/>
    <s v="Ortho/Sport Med-EN-Shared Srvc"/>
    <x v="0"/>
    <n v="1025"/>
    <n v="0"/>
    <n v="0"/>
    <n v="32"/>
    <n v="0"/>
    <n v="0"/>
    <n v="0"/>
    <n v="0"/>
    <n v="0"/>
    <n v="0"/>
    <n v="0"/>
    <n v="0"/>
    <n v="0"/>
    <n v="32"/>
    <n v="0"/>
  </r>
  <r>
    <x v="7"/>
    <x v="1"/>
    <x v="0"/>
    <s v="5897200"/>
    <n v="718050"/>
    <s v="Purchased Srvcs--Medical Waste"/>
    <s v="Ortho/Sport Med-EN-Shared Srvc"/>
    <x v="0"/>
    <n v="1027"/>
    <n v="10.36"/>
    <n v="10.36"/>
    <n v="195.12"/>
    <n v="31.08"/>
    <n v="0"/>
    <n v="52.67"/>
    <n v="0"/>
    <n v="10.36"/>
    <n v="172.77"/>
    <n v="0"/>
    <n v="63.79"/>
    <n v="10.36"/>
    <n v="556.87"/>
    <n v="53.43"/>
  </r>
  <r>
    <x v="7"/>
    <x v="1"/>
    <x v="0"/>
    <s v="5897200"/>
    <n v="718070"/>
    <s v="Contract Srvcs-CHI Clinical Engineering"/>
    <s v="Ortho/Sport Med-EN-Shared Srvc"/>
    <x v="0"/>
    <m/>
    <n v="0"/>
    <n v="330.5"/>
    <n v="0"/>
    <n v="0"/>
    <n v="0"/>
    <n v="0"/>
    <n v="0"/>
    <n v="165.15"/>
    <n v="0"/>
    <n v="0"/>
    <n v="0"/>
    <n v="0"/>
    <n v="495.65"/>
    <n v="0"/>
  </r>
  <r>
    <x v="11"/>
    <x v="1"/>
    <x v="0"/>
    <s v="5897200"/>
    <n v="721250"/>
    <s v="Supplies-Pharmacy Drugs - Billable"/>
    <s v="Ortho/Sport Med-EN-Shared Srvc"/>
    <x v="0"/>
    <m/>
    <n v="0"/>
    <n v="1382.96"/>
    <n v="4398.3"/>
    <n v="1354.8"/>
    <n v="4398.3"/>
    <n v="578.01"/>
    <n v="0"/>
    <n v="540.4"/>
    <n v="0"/>
    <n v="2743.1"/>
    <n v="4945.8"/>
    <n v="0"/>
    <n v="20341.670000000002"/>
    <n v="4945.8"/>
  </r>
  <r>
    <x v="11"/>
    <x v="1"/>
    <x v="0"/>
    <s v="5897200"/>
    <n v="721410"/>
    <s v="Supplies-Medical - Nonbillable"/>
    <s v="Ortho/Sport Med-EN-Shared Srvc"/>
    <x v="0"/>
    <m/>
    <n v="146.36000000000001"/>
    <n v="804.5"/>
    <n v="1078.92"/>
    <n v="1903.84"/>
    <n v="979.62"/>
    <n v="100.24"/>
    <n v="1505.88"/>
    <n v="157.41999999999999"/>
    <n v="299.86"/>
    <n v="415.56"/>
    <n v="0"/>
    <n v="745.06"/>
    <n v="8137.26"/>
    <n v="-745.06"/>
  </r>
  <r>
    <x v="11"/>
    <x v="1"/>
    <x v="0"/>
    <s v="5897200"/>
    <n v="721810"/>
    <s v="Supplies-Dietary/Cafeteria"/>
    <s v="Ortho/Sport Med-EN-Shared Srvc"/>
    <x v="0"/>
    <m/>
    <n v="0"/>
    <n v="0"/>
    <n v="0"/>
    <n v="0"/>
    <n v="44.95"/>
    <n v="0"/>
    <n v="0"/>
    <n v="0"/>
    <n v="0"/>
    <n v="0"/>
    <n v="0"/>
    <n v="0"/>
    <n v="44.95"/>
    <n v="0"/>
  </r>
  <r>
    <x v="11"/>
    <x v="1"/>
    <x v="0"/>
    <s v="5897200"/>
    <n v="721830"/>
    <s v="Supplies-Office"/>
    <s v="Ortho/Sport Med-EN-Shared Srvc"/>
    <x v="0"/>
    <m/>
    <n v="0"/>
    <n v="0"/>
    <n v="219.84"/>
    <n v="233.22"/>
    <n v="299.14"/>
    <n v="152.52000000000001"/>
    <n v="260.12"/>
    <n v="0"/>
    <n v="217.19"/>
    <n v="315.10000000000002"/>
    <n v="210.67"/>
    <n v="121.87"/>
    <n v="2029.67"/>
    <n v="88.799999999999983"/>
  </r>
  <r>
    <x v="11"/>
    <x v="1"/>
    <x v="0"/>
    <s v="5897200"/>
    <n v="721835"/>
    <s v="Supplies-Forms"/>
    <s v="Ortho/Sport Med-EN-Shared Srvc"/>
    <x v="0"/>
    <m/>
    <n v="0"/>
    <n v="0"/>
    <n v="0"/>
    <n v="0"/>
    <n v="0.57999999999999996"/>
    <n v="0"/>
    <n v="0"/>
    <n v="0"/>
    <n v="0"/>
    <n v="0"/>
    <n v="0"/>
    <n v="0"/>
    <n v="0.57999999999999996"/>
    <n v="0"/>
  </r>
  <r>
    <x v="12"/>
    <x v="1"/>
    <x v="0"/>
    <s v="5897200"/>
    <n v="730010"/>
    <s v="Rental and Leases-Building (DO NOT USE)"/>
    <s v="Ortho/Sport Med-EN-Shared Srvc"/>
    <x v="0"/>
    <m/>
    <n v="7234.45"/>
    <n v="7234.45"/>
    <n v="7234.45"/>
    <n v="7341.87"/>
    <n v="7341.87"/>
    <n v="-3803.35"/>
    <n v="5513.5"/>
    <n v="5513.5"/>
    <n v="5513.5"/>
    <n v="5513.5"/>
    <n v="5513.5"/>
    <n v="0"/>
    <n v="60151.24"/>
    <n v="5513.5"/>
  </r>
  <r>
    <x v="12"/>
    <x v="1"/>
    <x v="0"/>
    <s v="5897200"/>
    <n v="730010"/>
    <s v="Rental-Common Area Maint (DO NOT USE)"/>
    <s v="Ortho/Sport Med-EN-Shared Srvc"/>
    <x v="0"/>
    <n v="2200"/>
    <n v="0"/>
    <n v="0"/>
    <n v="0"/>
    <n v="0"/>
    <n v="0"/>
    <n v="11145.22"/>
    <n v="1828.37"/>
    <n v="1828.37"/>
    <n v="1828.37"/>
    <n v="1828.37"/>
    <n v="1828.37"/>
    <n v="0"/>
    <n v="20287.069999999996"/>
    <n v="1828.37"/>
  </r>
  <r>
    <x v="12"/>
    <x v="1"/>
    <x v="0"/>
    <s v="5897200"/>
    <n v="730020"/>
    <s v="Rental and Leases-Equipment (DO NOT USE)"/>
    <s v="Ortho/Sport Med-EN-Shared Srvc"/>
    <x v="0"/>
    <m/>
    <n v="0"/>
    <n v="0"/>
    <n v="0"/>
    <n v="0"/>
    <n v="0"/>
    <n v="0"/>
    <n v="0"/>
    <n v="0"/>
    <n v="0"/>
    <n v="0"/>
    <n v="0"/>
    <n v="35"/>
    <n v="35"/>
    <n v="-35"/>
  </r>
  <r>
    <x v="12"/>
    <x v="1"/>
    <x v="0"/>
    <s v="5897200"/>
    <n v="730020"/>
    <s v="Rental and Leases-Copier Usage Fees (DO NOT USE)"/>
    <s v="Ortho/Sport Med-EN-Shared Srvc"/>
    <x v="0"/>
    <n v="5100"/>
    <n v="135.13999999999999"/>
    <n v="136.6"/>
    <n v="135.87"/>
    <n v="135.87"/>
    <n v="135.87"/>
    <n v="135.87"/>
    <n v="112.12"/>
    <n v="101.27"/>
    <n v="114.15"/>
    <n v="207.27"/>
    <n v="101.27"/>
    <n v="101.27"/>
    <n v="1552.5700000000002"/>
    <n v="0"/>
  </r>
  <r>
    <x v="12"/>
    <x v="1"/>
    <x v="0"/>
    <s v="5897200"/>
    <n v="730040"/>
    <s v="LT Lease-Real Estate"/>
    <s v="Ortho/Sport Med-EN-Shared Srvc"/>
    <x v="0"/>
    <m/>
    <n v="0"/>
    <n v="0"/>
    <n v="0"/>
    <n v="0"/>
    <n v="0"/>
    <n v="0"/>
    <n v="0"/>
    <n v="0"/>
    <n v="0"/>
    <n v="0"/>
    <n v="0"/>
    <n v="7306.87"/>
    <n v="7306.87"/>
    <n v="-7306.87"/>
  </r>
  <r>
    <x v="15"/>
    <x v="1"/>
    <x v="0"/>
    <s v="5897200"/>
    <n v="731010"/>
    <s v="Natural Gas"/>
    <s v="Ortho/Sport Med-EN-Shared Srvc"/>
    <x v="0"/>
    <m/>
    <n v="10.84"/>
    <n v="10"/>
    <n v="10"/>
    <n v="10"/>
    <n v="17.579999999999998"/>
    <n v="38.619999999999997"/>
    <n v="55.46"/>
    <n v="59.67"/>
    <n v="77.349999999999994"/>
    <n v="48.73"/>
    <n v="20.94"/>
    <n v="13.37"/>
    <n v="372.56"/>
    <n v="7.5700000000000021"/>
  </r>
  <r>
    <x v="15"/>
    <x v="1"/>
    <x v="0"/>
    <s v="5897200"/>
    <n v="731020"/>
    <s v="Electricity"/>
    <s v="Ortho/Sport Med-EN-Shared Srvc"/>
    <x v="0"/>
    <m/>
    <n v="314.2"/>
    <n v="343.23"/>
    <n v="340.01"/>
    <n v="265.39"/>
    <n v="272.95999999999998"/>
    <n v="259.22000000000003"/>
    <n v="243.34"/>
    <n v="272.61"/>
    <n v="273.13"/>
    <n v="253.11"/>
    <n v="277.74"/>
    <n v="282.22000000000003"/>
    <n v="3397.1600000000008"/>
    <n v="-4.4800000000000182"/>
  </r>
  <r>
    <x v="15"/>
    <x v="1"/>
    <x v="0"/>
    <s v="5897200"/>
    <n v="731060"/>
    <s v="Pagers"/>
    <s v="Ortho/Sport Med-EN-Shared Srvc"/>
    <x v="0"/>
    <n v="1002"/>
    <n v="0"/>
    <n v="0"/>
    <n v="0"/>
    <n v="0"/>
    <n v="11.9"/>
    <n v="0"/>
    <n v="16.239999999999998"/>
    <n v="8.1199999999999992"/>
    <n v="8.1199999999999992"/>
    <n v="8.1199999999999992"/>
    <n v="8.1199999999999992"/>
    <n v="8.1199999999999992"/>
    <n v="68.739999999999995"/>
    <n v="0"/>
  </r>
  <r>
    <x v="13"/>
    <x v="1"/>
    <x v="0"/>
    <s v="5897200"/>
    <n v="735070"/>
    <s v="Depreciation-Movable Equipment"/>
    <s v="Ortho/Sport Med-EN-Shared Srvc"/>
    <x v="0"/>
    <m/>
    <n v="1935.97"/>
    <n v="1935.96"/>
    <n v="1935.97"/>
    <n v="1935.96"/>
    <n v="1935.97"/>
    <n v="1935.96"/>
    <n v="1935.97"/>
    <n v="2855.3"/>
    <n v="2855.31"/>
    <n v="2855.29"/>
    <n v="2855.31"/>
    <n v="2855.29"/>
    <n v="27828.260000000006"/>
    <n v="1.999999999998181E-2"/>
  </r>
  <r>
    <x v="0"/>
    <x v="1"/>
    <x v="0"/>
    <s v="5897200"/>
    <n v="749510"/>
    <s v="Licenses"/>
    <s v="Ortho/Sport Med-EN-Shared Srvc"/>
    <x v="0"/>
    <n v="1002"/>
    <n v="0"/>
    <n v="0"/>
    <n v="284"/>
    <n v="0"/>
    <n v="0"/>
    <n v="357"/>
    <n v="0"/>
    <n v="0"/>
    <n v="0"/>
    <n v="0"/>
    <n v="0"/>
    <n v="0"/>
    <n v="641"/>
    <n v="0"/>
  </r>
  <r>
    <x v="0"/>
    <x v="1"/>
    <x v="0"/>
    <s v="5897200"/>
    <n v="749510"/>
    <s v="Uniforms"/>
    <s v="Ortho/Sport Med-EN-Shared Srvc"/>
    <x v="0"/>
    <n v="1028"/>
    <n v="0"/>
    <n v="0"/>
    <n v="0"/>
    <n v="0"/>
    <n v="0"/>
    <n v="0"/>
    <n v="0"/>
    <n v="0"/>
    <n v="0"/>
    <n v="0"/>
    <n v="759.35"/>
    <n v="-759.35"/>
    <n v="0"/>
    <n v="1518.7"/>
  </r>
  <r>
    <x v="0"/>
    <x v="1"/>
    <x v="0"/>
    <s v="5897200"/>
    <n v="749535"/>
    <s v="Meetings"/>
    <s v="Ortho/Sport Med-EN-Shared Srvc"/>
    <x v="0"/>
    <m/>
    <n v="0"/>
    <n v="0"/>
    <n v="0"/>
    <n v="0"/>
    <n v="0"/>
    <n v="0"/>
    <n v="0"/>
    <n v="0"/>
    <n v="0"/>
    <n v="52.48"/>
    <n v="0"/>
    <n v="0"/>
    <n v="52.48"/>
    <n v="0"/>
  </r>
  <r>
    <x v="5"/>
    <x v="1"/>
    <x v="0"/>
    <s v="5898200"/>
    <n v="700014"/>
    <s v="Salaries-Management-Productive"/>
    <s v="WH-Fed Way 320th-Shared Srvcs"/>
    <x v="0"/>
    <m/>
    <n v="2880.81"/>
    <n v="3259.86"/>
    <n v="2046.9"/>
    <n v="3269.61"/>
    <n v="3534.74"/>
    <n v="1767.35"/>
    <n v="3353.67"/>
    <n v="3105.18"/>
    <n v="3260.45"/>
    <n v="3415.69"/>
    <n v="2794.67"/>
    <n v="2173.64"/>
    <n v="34862.57"/>
    <n v="621.0300000000002"/>
  </r>
  <r>
    <x v="5"/>
    <x v="1"/>
    <x v="0"/>
    <s v="5898200"/>
    <n v="700018"/>
    <s v="Salaries-Supervisory-Productive"/>
    <s v="WH-Fed Way 320th-Shared Srvcs"/>
    <x v="0"/>
    <m/>
    <n v="1278.78"/>
    <n v="1918.18"/>
    <n v="1598.48"/>
    <n v="1870.54"/>
    <n v="1797.8"/>
    <n v="1307.48"/>
    <n v="1882.4"/>
    <n v="1284.22"/>
    <n v="1819.33"/>
    <n v="1548.62"/>
    <n v="1126.8499999999999"/>
    <n v="1227.57"/>
    <n v="18660.249999999996"/>
    <n v="-100.72000000000003"/>
  </r>
  <r>
    <x v="5"/>
    <x v="1"/>
    <x v="0"/>
    <s v="5898200"/>
    <n v="700030"/>
    <s v="Salaries-LPN-Productive"/>
    <s v="WH-Fed Way 320th-Shared Srvcs"/>
    <x v="0"/>
    <m/>
    <n v="0"/>
    <n v="0"/>
    <n v="0"/>
    <n v="0"/>
    <n v="0"/>
    <n v="0"/>
    <n v="0"/>
    <n v="1322.53"/>
    <n v="426.11"/>
    <n v="239.18"/>
    <n v="-98.48"/>
    <n v="0"/>
    <n v="1889.34"/>
    <n v="-98.48"/>
  </r>
  <r>
    <x v="5"/>
    <x v="1"/>
    <x v="0"/>
    <s v="5898200"/>
    <n v="700030"/>
    <s v="Salaries-LPN-OT"/>
    <s v="WH-Fed Way 320th-Shared Srvcs"/>
    <x v="0"/>
    <n v="1000"/>
    <n v="0"/>
    <n v="0"/>
    <n v="0"/>
    <n v="0"/>
    <n v="0"/>
    <n v="0"/>
    <n v="0"/>
    <n v="728.71"/>
    <n v="404.17"/>
    <n v="1564.62"/>
    <n v="-421.51"/>
    <n v="0"/>
    <n v="2275.9899999999998"/>
    <n v="-421.51"/>
  </r>
  <r>
    <x v="5"/>
    <x v="1"/>
    <x v="0"/>
    <s v="5898200"/>
    <n v="700030"/>
    <s v="Salaries-LPN-Other"/>
    <s v="WH-Fed Way 320th-Shared Srvcs"/>
    <x v="0"/>
    <n v="2000"/>
    <n v="0"/>
    <n v="0"/>
    <n v="0"/>
    <n v="0"/>
    <n v="0"/>
    <n v="0"/>
    <n v="0"/>
    <n v="84.14"/>
    <n v="32.299999999999997"/>
    <n v="59.19"/>
    <n v="-17.53"/>
    <n v="0"/>
    <n v="158.1"/>
    <n v="-17.53"/>
  </r>
  <r>
    <x v="5"/>
    <x v="1"/>
    <x v="0"/>
    <s v="5898200"/>
    <n v="700032"/>
    <s v="Salaries-Other Pat Care Providers-Productive"/>
    <s v="WH-Fed Way 320th-Shared Srvcs"/>
    <x v="0"/>
    <m/>
    <n v="0"/>
    <n v="0"/>
    <n v="0"/>
    <n v="0"/>
    <n v="0"/>
    <n v="0"/>
    <n v="0"/>
    <n v="678.86"/>
    <n v="48.49"/>
    <n v="0"/>
    <n v="0"/>
    <n v="0"/>
    <n v="727.35"/>
    <n v="0"/>
  </r>
  <r>
    <x v="5"/>
    <x v="1"/>
    <x v="0"/>
    <s v="5898200"/>
    <n v="700032"/>
    <s v="Salaries-Other Pat Care Providers-Other"/>
    <s v="WH-Fed Way 320th-Shared Srvcs"/>
    <x v="0"/>
    <n v="2000"/>
    <n v="0"/>
    <n v="0"/>
    <n v="0"/>
    <n v="0"/>
    <n v="0"/>
    <n v="0"/>
    <n v="0"/>
    <n v="14.02"/>
    <n v="1.01"/>
    <n v="0"/>
    <n v="0"/>
    <n v="0"/>
    <n v="15.03"/>
    <n v="0"/>
  </r>
  <r>
    <x v="5"/>
    <x v="1"/>
    <x v="0"/>
    <s v="5898200"/>
    <n v="700038"/>
    <s v="Salaries-Service/Support-Productive"/>
    <s v="WH-Fed Way 320th-Shared Srvcs"/>
    <x v="0"/>
    <m/>
    <n v="6926.74"/>
    <n v="7404.67"/>
    <n v="5984.32"/>
    <n v="7734.49"/>
    <n v="7583.08"/>
    <n v="4580.8599999999997"/>
    <n v="7985.88"/>
    <n v="7240.93"/>
    <n v="7513.93"/>
    <n v="7985.86"/>
    <n v="9035.9500000000007"/>
    <n v="6440.13"/>
    <n v="86416.84"/>
    <n v="2595.8200000000006"/>
  </r>
  <r>
    <x v="5"/>
    <x v="1"/>
    <x v="0"/>
    <s v="5898200"/>
    <n v="700038"/>
    <s v="Salaries-Service/Support-OT"/>
    <s v="WH-Fed Way 320th-Shared Srvcs"/>
    <x v="0"/>
    <n v="1000"/>
    <n v="58.97"/>
    <n v="54.27"/>
    <n v="21.38"/>
    <n v="45.18"/>
    <n v="67.12"/>
    <n v="0.81"/>
    <n v="126.62"/>
    <n v="19.059999999999999"/>
    <n v="98.75"/>
    <n v="131.1"/>
    <n v="405.3"/>
    <n v="226.52"/>
    <n v="1255.08"/>
    <n v="178.78"/>
  </r>
  <r>
    <x v="5"/>
    <x v="1"/>
    <x v="0"/>
    <s v="5898200"/>
    <n v="700038"/>
    <s v="Salaries-Service/Support-Other"/>
    <s v="WH-Fed Way 320th-Shared Srvcs"/>
    <x v="0"/>
    <n v="2000"/>
    <n v="169.05"/>
    <n v="171.26"/>
    <n v="164.96"/>
    <n v="177.56"/>
    <n v="180.2"/>
    <n v="206.33"/>
    <n v="181.58"/>
    <n v="162.04"/>
    <n v="168.71"/>
    <n v="166.42"/>
    <n v="189.47"/>
    <n v="164.03"/>
    <n v="2101.61"/>
    <n v="25.439999999999998"/>
  </r>
  <r>
    <x v="5"/>
    <x v="1"/>
    <x v="0"/>
    <s v="5898200"/>
    <n v="700058"/>
    <s v="Salaries-Supervisory-Non-productive"/>
    <s v="WH-Fed Way 320th-Shared Srvcs"/>
    <x v="0"/>
    <m/>
    <n v="295.10000000000002"/>
    <n v="-49.18"/>
    <n v="0"/>
    <n v="0"/>
    <n v="0"/>
    <n v="0"/>
    <n v="0"/>
    <n v="0"/>
    <n v="0"/>
    <n v="251.82"/>
    <n v="0"/>
    <n v="251.81"/>
    <n v="749.55"/>
    <n v="-251.81"/>
  </r>
  <r>
    <x v="5"/>
    <x v="1"/>
    <x v="0"/>
    <s v="5898200"/>
    <n v="700078"/>
    <s v="Salaries-Service/Support-Non-productive"/>
    <s v="WH-Fed Way 320th-Shared Srvcs"/>
    <x v="0"/>
    <m/>
    <n v="373.71"/>
    <n v="3.97"/>
    <n v="1137.31"/>
    <n v="103.21"/>
    <n v="382.8"/>
    <n v="2896.82"/>
    <n v="508.01"/>
    <n v="586.23"/>
    <n v="171.54"/>
    <n v="171.81"/>
    <n v="-1.33"/>
    <n v="873.96"/>
    <n v="7208.04"/>
    <n v="-875.29000000000008"/>
  </r>
  <r>
    <x v="5"/>
    <x v="1"/>
    <x v="0"/>
    <s v="5898200"/>
    <n v="700078"/>
    <s v="Salaries-Service/Support-NonProd-Other"/>
    <s v="WH-Fed Way 320th-Shared Srvc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98200"/>
    <n v="700084"/>
    <s v="Accrued PTO"/>
    <s v="WH-Fed Way 320th-Shared Srvcs"/>
    <x v="0"/>
    <m/>
    <n v="527.46"/>
    <n v="782.99"/>
    <n v="-97.63"/>
    <n v="994.15"/>
    <n v="530.91"/>
    <n v="-1477.33"/>
    <n v="397.94"/>
    <n v="404.2"/>
    <n v="634.26"/>
    <n v="653.32000000000005"/>
    <n v="759.6"/>
    <n v="208.8"/>
    <n v="4318.67"/>
    <n v="550.79999999999995"/>
  </r>
  <r>
    <x v="6"/>
    <x v="1"/>
    <x v="0"/>
    <s v="5898200"/>
    <n v="713010"/>
    <s v="Benefits-FICA/Medicare"/>
    <s v="WH-Fed Way 320th-Shared Srvcs"/>
    <x v="0"/>
    <m/>
    <n v="878.69"/>
    <n v="935.92"/>
    <n v="803.64"/>
    <n v="969.47"/>
    <n v="998.31"/>
    <n v="915.26"/>
    <n v="1018.76"/>
    <n v="1099.1300000000001"/>
    <n v="1014.15"/>
    <n v="1124.99"/>
    <n v="951.39"/>
    <n v="826.46"/>
    <n v="11536.170000000002"/>
    <n v="124.92999999999995"/>
  </r>
  <r>
    <x v="6"/>
    <x v="1"/>
    <x v="0"/>
    <s v="5898200"/>
    <n v="713090"/>
    <s v="Benefits-Allocated Amounts"/>
    <s v="WH-Fed Way 320th-Shared Srvcs"/>
    <x v="0"/>
    <m/>
    <n v="2888.23"/>
    <n v="2693.63"/>
    <n v="2816.44"/>
    <n v="2970.81"/>
    <n v="3041.47"/>
    <n v="2765.95"/>
    <n v="3581.44"/>
    <n v="4105.49"/>
    <n v="3660.74"/>
    <n v="3645.22"/>
    <n v="3395.51"/>
    <n v="2969.65"/>
    <n v="38534.58"/>
    <n v="425.86000000000013"/>
  </r>
  <r>
    <x v="7"/>
    <x v="1"/>
    <x v="0"/>
    <s v="5898200"/>
    <n v="718010"/>
    <s v="Media/Print Advertising"/>
    <s v="WH-Fed Way 320th-Shared Srvcs"/>
    <x v="0"/>
    <n v="1004"/>
    <n v="99"/>
    <n v="132.99"/>
    <n v="195.18"/>
    <n v="0"/>
    <n v="0"/>
    <n v="0"/>
    <n v="99.89"/>
    <n v="0"/>
    <n v="0"/>
    <n v="0"/>
    <n v="0"/>
    <n v="-14.74"/>
    <n v="512.32000000000005"/>
    <n v="14.74"/>
  </r>
  <r>
    <x v="7"/>
    <x v="1"/>
    <x v="0"/>
    <s v="5898200"/>
    <n v="718050"/>
    <s v="Contract Svcs-Other"/>
    <s v="WH-Fed Way 320th-Shared Srvcs"/>
    <x v="0"/>
    <m/>
    <n v="0"/>
    <n v="30"/>
    <n v="0"/>
    <n v="0"/>
    <n v="30"/>
    <n v="208.54"/>
    <n v="77.63"/>
    <n v="142.27000000000001"/>
    <n v="0"/>
    <n v="0"/>
    <n v="0"/>
    <n v="0"/>
    <n v="488.43999999999994"/>
    <n v="0"/>
  </r>
  <r>
    <x v="7"/>
    <x v="1"/>
    <x v="0"/>
    <s v="5898200"/>
    <n v="718050"/>
    <s v="Management Fees"/>
    <s v="WH-Fed Way 320th-Shared Srvcs"/>
    <x v="0"/>
    <n v="1004"/>
    <n v="0"/>
    <n v="0"/>
    <n v="0"/>
    <n v="0"/>
    <n v="0"/>
    <n v="0"/>
    <n v="0"/>
    <n v="0"/>
    <n v="0"/>
    <n v="212.15"/>
    <n v="0"/>
    <n v="0"/>
    <n v="212.15"/>
    <n v="0"/>
  </r>
  <r>
    <x v="7"/>
    <x v="1"/>
    <x v="0"/>
    <s v="5898200"/>
    <n v="718050"/>
    <s v="Cleaning Services"/>
    <s v="WH-Fed Way 320th-Shared Srvcs"/>
    <x v="0"/>
    <n v="1011"/>
    <n v="0"/>
    <n v="0"/>
    <n v="0"/>
    <n v="0"/>
    <n v="883.25"/>
    <n v="0"/>
    <n v="0"/>
    <n v="0"/>
    <n v="0"/>
    <n v="0"/>
    <n v="0"/>
    <n v="0"/>
    <n v="883.25"/>
    <n v="0"/>
  </r>
  <r>
    <x v="7"/>
    <x v="1"/>
    <x v="0"/>
    <s v="5898200"/>
    <n v="718050"/>
    <s v="Document Shredding/Storage"/>
    <s v="WH-Fed Way 320th-Shared Srvcs"/>
    <x v="0"/>
    <n v="1012"/>
    <n v="50.25"/>
    <n v="-3.92"/>
    <n v="22.69"/>
    <n v="28.87"/>
    <n v="94.96"/>
    <n v="24.14"/>
    <n v="23.89"/>
    <n v="38.58"/>
    <n v="37.17"/>
    <n v="-3.98"/>
    <n v="23.52"/>
    <n v="29.31"/>
    <n v="365.47999999999996"/>
    <n v="-5.7899999999999991"/>
  </r>
  <r>
    <x v="7"/>
    <x v="1"/>
    <x v="0"/>
    <s v="5898200"/>
    <n v="718050"/>
    <s v="Physician Answering"/>
    <s v="WH-Fed Way 320th-Shared Srvcs"/>
    <x v="0"/>
    <n v="1015"/>
    <n v="116"/>
    <n v="106.6"/>
    <n v="106.4"/>
    <n v="98.8"/>
    <n v="355"/>
    <n v="414.6"/>
    <n v="449.6"/>
    <n v="374.2"/>
    <n v="295.60000000000002"/>
    <n v="441.8"/>
    <n v="435.2"/>
    <n v="350.2"/>
    <n v="3544"/>
    <n v="85"/>
  </r>
  <r>
    <x v="7"/>
    <x v="1"/>
    <x v="0"/>
    <s v="5898200"/>
    <n v="718050"/>
    <s v="Miscellaneous Purchased Svcs"/>
    <s v="WH-Fed Way 320th-Shared Srvcs"/>
    <x v="0"/>
    <n v="1020"/>
    <n v="167.29"/>
    <n v="172.06"/>
    <n v="336.8"/>
    <n v="317.37"/>
    <n v="59.93"/>
    <n v="299.08999999999997"/>
    <n v="243.19"/>
    <n v="243.19"/>
    <n v="238.19"/>
    <n v="172.29"/>
    <n v="173.26"/>
    <n v="371.76"/>
    <n v="2794.42"/>
    <n v="-198.5"/>
  </r>
  <r>
    <x v="7"/>
    <x v="1"/>
    <x v="0"/>
    <s v="5898200"/>
    <n v="718050"/>
    <s v="Translation Services"/>
    <s v="WH-Fed Way 320th-Shared Srvcs"/>
    <x v="0"/>
    <n v="1025"/>
    <n v="0"/>
    <n v="64"/>
    <n v="0"/>
    <n v="0"/>
    <n v="0"/>
    <n v="42"/>
    <n v="42"/>
    <n v="0"/>
    <n v="0"/>
    <n v="0"/>
    <n v="0"/>
    <n v="0"/>
    <n v="148"/>
    <n v="0"/>
  </r>
  <r>
    <x v="7"/>
    <x v="1"/>
    <x v="0"/>
    <s v="5898200"/>
    <n v="718050"/>
    <s v="Contract Management--Linen"/>
    <s v="WH-Fed Way 320th-Shared Srvcs"/>
    <x v="0"/>
    <n v="1026"/>
    <n v="0"/>
    <n v="0"/>
    <n v="0"/>
    <n v="0"/>
    <n v="0"/>
    <n v="0"/>
    <n v="11"/>
    <n v="0"/>
    <n v="0"/>
    <n v="0"/>
    <n v="0"/>
    <n v="0"/>
    <n v="11"/>
    <n v="0"/>
  </r>
  <r>
    <x v="7"/>
    <x v="1"/>
    <x v="0"/>
    <s v="5898200"/>
    <n v="718050"/>
    <s v="Purchased Srvcs--Medical Waste"/>
    <s v="WH-Fed Way 320th-Shared Srvcs"/>
    <x v="0"/>
    <n v="1027"/>
    <n v="11.14"/>
    <n v="59.54"/>
    <n v="59.54"/>
    <n v="48.4"/>
    <n v="11.14"/>
    <n v="59.54"/>
    <n v="22.28"/>
    <n v="48.4"/>
    <n v="0"/>
    <n v="92.96"/>
    <n v="0"/>
    <n v="189.24"/>
    <n v="602.17999999999995"/>
    <n v="-189.24"/>
  </r>
  <r>
    <x v="7"/>
    <x v="1"/>
    <x v="0"/>
    <s v="5898200"/>
    <n v="718070"/>
    <s v="Contract Srvcs-CHI Clinical Engineering"/>
    <s v="WH-Fed Way 320th-Shared Srvcs"/>
    <x v="0"/>
    <m/>
    <n v="0"/>
    <n v="0"/>
    <n v="0"/>
    <n v="0"/>
    <n v="385.35"/>
    <n v="220.2"/>
    <n v="186.13"/>
    <n v="0"/>
    <n v="0"/>
    <n v="1124.54"/>
    <n v="0"/>
    <n v="0"/>
    <n v="1916.2199999999998"/>
    <n v="0"/>
  </r>
  <r>
    <x v="11"/>
    <x v="1"/>
    <x v="0"/>
    <s v="5898200"/>
    <n v="721010"/>
    <s v="Supplies-Medical - Billable"/>
    <s v="WH-Fed Way 320th-Shared Srvcs"/>
    <x v="0"/>
    <m/>
    <n v="10475.82"/>
    <n v="5087.3999999999996"/>
    <n v="6780.8"/>
    <n v="13881.94"/>
    <n v="8732.2000000000007"/>
    <n v="9517.43"/>
    <n v="10221.620000000001"/>
    <n v="0"/>
    <n v="9595.7999999999993"/>
    <n v="2750.1"/>
    <n v="0"/>
    <n v="2231.2199999999998"/>
    <n v="79274.330000000016"/>
    <n v="-2231.2199999999998"/>
  </r>
  <r>
    <x v="11"/>
    <x v="1"/>
    <x v="0"/>
    <s v="5898200"/>
    <n v="721250"/>
    <s v="Supplies-Pharmacy Drugs - Billable"/>
    <s v="WH-Fed Way 320th-Shared Srvcs"/>
    <x v="0"/>
    <m/>
    <n v="2540.21"/>
    <n v="1243.76"/>
    <n v="819.19"/>
    <n v="1690.37"/>
    <n v="1026.4100000000001"/>
    <n v="990.02"/>
    <n v="438.58"/>
    <n v="653.25"/>
    <n v="530.24"/>
    <n v="0"/>
    <n v="-17693.560000000001"/>
    <n v="0"/>
    <n v="-7761.5300000000025"/>
    <n v="-17693.560000000001"/>
  </r>
  <r>
    <x v="11"/>
    <x v="1"/>
    <x v="0"/>
    <s v="5898200"/>
    <n v="721410"/>
    <s v="Supplies-Medical - Nonbillable"/>
    <s v="WH-Fed Way 320th-Shared Srvcs"/>
    <x v="0"/>
    <m/>
    <n v="2581.14"/>
    <n v="1012.93"/>
    <n v="1187.81"/>
    <n v="1943.33"/>
    <n v="637.48"/>
    <n v="713.63"/>
    <n v="1218.3900000000001"/>
    <n v="993.03"/>
    <n v="789.24"/>
    <n v="8.7899999999999991"/>
    <n v="135.75"/>
    <n v="2573.06"/>
    <n v="13794.58"/>
    <n v="-2437.31"/>
  </r>
  <r>
    <x v="11"/>
    <x v="1"/>
    <x v="0"/>
    <s v="5898200"/>
    <n v="721810"/>
    <s v="Supplies-Dietary/Cafeteria"/>
    <s v="WH-Fed Way 320th-Shared Srvcs"/>
    <x v="0"/>
    <m/>
    <n v="0"/>
    <n v="0"/>
    <n v="0"/>
    <n v="0"/>
    <n v="0"/>
    <n v="0"/>
    <n v="0"/>
    <n v="0"/>
    <n v="0"/>
    <n v="15.24"/>
    <n v="0"/>
    <n v="0"/>
    <n v="15.24"/>
    <n v="0"/>
  </r>
  <r>
    <x v="11"/>
    <x v="1"/>
    <x v="0"/>
    <s v="5898200"/>
    <n v="721830"/>
    <s v="Supplies-Office"/>
    <s v="WH-Fed Way 320th-Shared Srvcs"/>
    <x v="0"/>
    <m/>
    <n v="611.01"/>
    <n v="512.28"/>
    <n v="285.83999999999997"/>
    <n v="745.73"/>
    <n v="20.16"/>
    <n v="347.78"/>
    <n v="619.82000000000005"/>
    <n v="24.01"/>
    <n v="365.47"/>
    <n v="340.3"/>
    <n v="0"/>
    <n v="458.3"/>
    <n v="4330.7"/>
    <n v="-458.3"/>
  </r>
  <r>
    <x v="11"/>
    <x v="1"/>
    <x v="0"/>
    <s v="5898200"/>
    <n v="721835"/>
    <s v="Supplies-Forms"/>
    <s v="WH-Fed Way 320th-Shared Srvcs"/>
    <x v="0"/>
    <m/>
    <n v="0"/>
    <n v="0"/>
    <n v="0"/>
    <n v="0"/>
    <n v="0"/>
    <n v="0"/>
    <n v="0"/>
    <n v="0"/>
    <n v="0"/>
    <n v="0"/>
    <n v="3.7"/>
    <n v="89.19"/>
    <n v="92.89"/>
    <n v="-85.49"/>
  </r>
  <r>
    <x v="11"/>
    <x v="1"/>
    <x v="0"/>
    <s v="5898200"/>
    <n v="721870"/>
    <s v="Supplies-Environmental Services"/>
    <s v="WH-Fed Way 320th-Shared Srvcs"/>
    <x v="0"/>
    <m/>
    <n v="30"/>
    <n v="0"/>
    <n v="30"/>
    <n v="30"/>
    <n v="0"/>
    <n v="0"/>
    <n v="60"/>
    <n v="30"/>
    <n v="30"/>
    <n v="30"/>
    <n v="0"/>
    <n v="30"/>
    <n v="270"/>
    <n v="-30"/>
  </r>
  <r>
    <x v="11"/>
    <x v="1"/>
    <x v="0"/>
    <s v="5898200"/>
    <n v="721910"/>
    <s v="Supplies-Small Equipment"/>
    <s v="WH-Fed Way 320th-Shared Srvcs"/>
    <x v="0"/>
    <m/>
    <n v="1111.95"/>
    <n v="2542.15"/>
    <n v="0"/>
    <n v="0"/>
    <n v="0"/>
    <n v="0"/>
    <n v="0"/>
    <n v="0"/>
    <n v="0"/>
    <n v="0"/>
    <n v="0"/>
    <n v="424"/>
    <n v="4078.1000000000004"/>
    <n v="-424"/>
  </r>
  <r>
    <x v="11"/>
    <x v="1"/>
    <x v="0"/>
    <s v="5898200"/>
    <n v="721980"/>
    <s v="Supplies-Other"/>
    <s v="WH-Fed Way 320th-Shared Srvcs"/>
    <x v="0"/>
    <m/>
    <n v="0"/>
    <n v="0"/>
    <n v="0"/>
    <n v="0"/>
    <n v="99"/>
    <n v="0"/>
    <n v="0"/>
    <n v="0"/>
    <n v="0"/>
    <n v="0"/>
    <n v="0"/>
    <n v="0"/>
    <n v="99"/>
    <n v="0"/>
  </r>
  <r>
    <x v="11"/>
    <x v="1"/>
    <x v="0"/>
    <s v="5898200"/>
    <n v="722000"/>
    <s v="Supplies-Freight Expense"/>
    <s v="WH-Fed Way 320th-Shared Srvcs"/>
    <x v="0"/>
    <m/>
    <n v="0"/>
    <n v="20.34"/>
    <n v="0"/>
    <n v="0"/>
    <n v="0"/>
    <n v="0"/>
    <n v="0"/>
    <n v="0"/>
    <n v="0"/>
    <n v="0"/>
    <n v="0"/>
    <n v="0"/>
    <n v="20.34"/>
    <n v="0"/>
  </r>
  <r>
    <x v="12"/>
    <x v="1"/>
    <x v="0"/>
    <s v="5898200"/>
    <n v="730010"/>
    <s v="Rental and Leases-Building (DO NOT USE)"/>
    <s v="WH-Fed Way 320th-Shared Srvcs"/>
    <x v="0"/>
    <m/>
    <n v="5561.13"/>
    <n v="5561.13"/>
    <n v="5561.13"/>
    <n v="5561.13"/>
    <n v="5561.13"/>
    <n v="5727.96"/>
    <n v="5727.96"/>
    <n v="5727.96"/>
    <n v="5727.96"/>
    <n v="5727.96"/>
    <n v="5727.96"/>
    <n v="0"/>
    <n v="62173.409999999996"/>
    <n v="5727.96"/>
  </r>
  <r>
    <x v="12"/>
    <x v="1"/>
    <x v="0"/>
    <s v="5898200"/>
    <n v="730020"/>
    <s v="Rental and Leases-Copier Usage Fees (DO NOT USE)"/>
    <s v="WH-Fed Way 320th-Shared Srvcs"/>
    <x v="0"/>
    <n v="5100"/>
    <n v="160.87"/>
    <n v="162.63"/>
    <n v="161.75"/>
    <n v="161.75"/>
    <n v="161.75"/>
    <n v="161.75"/>
    <n v="162.72999999999999"/>
    <n v="128.65"/>
    <n v="136.85"/>
    <n v="314.77999999999997"/>
    <n v="128.65"/>
    <n v="128.65"/>
    <n v="1970.8100000000002"/>
    <n v="0"/>
  </r>
  <r>
    <x v="12"/>
    <x v="1"/>
    <x v="0"/>
    <s v="5898200"/>
    <n v="730040"/>
    <s v="LT Lease-Real Estate"/>
    <s v="WH-Fed Way 320th-Shared Srvcs"/>
    <x v="0"/>
    <m/>
    <n v="0"/>
    <n v="0"/>
    <n v="0"/>
    <n v="0"/>
    <n v="0"/>
    <n v="0"/>
    <n v="0"/>
    <n v="0"/>
    <n v="0"/>
    <n v="0"/>
    <n v="0"/>
    <n v="5727.96"/>
    <n v="5727.96"/>
    <n v="-5727.96"/>
  </r>
  <r>
    <x v="15"/>
    <x v="1"/>
    <x v="0"/>
    <s v="5898200"/>
    <n v="731020"/>
    <s v="Electricity"/>
    <s v="WH-Fed Way 320th-Shared Srvcs"/>
    <x v="0"/>
    <m/>
    <n v="343.39"/>
    <n v="366.8"/>
    <n v="337.99"/>
    <n v="331.41"/>
    <n v="391.4"/>
    <n v="498.85"/>
    <n v="505.26"/>
    <n v="601.97"/>
    <n v="573.29999999999995"/>
    <n v="457.93"/>
    <n v="376.4"/>
    <n v="361.32"/>
    <n v="5146.0200000000004"/>
    <n v="15.079999999999984"/>
  </r>
  <r>
    <x v="15"/>
    <x v="1"/>
    <x v="0"/>
    <s v="5898200"/>
    <n v="731060"/>
    <s v="Telephone"/>
    <s v="WH-Fed Way 320th-Shared Srvcs"/>
    <x v="0"/>
    <m/>
    <n v="1243.8399999999999"/>
    <n v="690.79"/>
    <n v="125.21"/>
    <n v="1250.46"/>
    <n v="126.7"/>
    <n v="676.89"/>
    <n v="1250.31"/>
    <n v="113.17"/>
    <n v="693.71"/>
    <n v="749.58"/>
    <n v="597.23"/>
    <n v="679.38"/>
    <n v="8197.2699999999986"/>
    <n v="-82.149999999999977"/>
  </r>
  <r>
    <x v="16"/>
    <x v="1"/>
    <x v="0"/>
    <s v="5898200"/>
    <n v="732030"/>
    <s v="Repairs---Other"/>
    <s v="WH-Fed Way 320th-Shared Srvcs"/>
    <x v="0"/>
    <m/>
    <n v="0"/>
    <n v="0"/>
    <n v="0"/>
    <n v="0"/>
    <n v="5862.38"/>
    <n v="6985"/>
    <n v="0"/>
    <n v="-10468"/>
    <n v="35.08"/>
    <n v="0"/>
    <n v="0"/>
    <n v="0"/>
    <n v="2414.4600000000009"/>
    <n v="0"/>
  </r>
  <r>
    <x v="13"/>
    <x v="1"/>
    <x v="0"/>
    <s v="5898200"/>
    <n v="735070"/>
    <s v="Depreciation-Movable Equipment"/>
    <s v="WH-Fed Way 320th-Shared Srvcs"/>
    <x v="0"/>
    <m/>
    <n v="813.89"/>
    <n v="813.88"/>
    <n v="813.89"/>
    <n v="813.88"/>
    <n v="813.9"/>
    <n v="813.88"/>
    <n v="813.91"/>
    <n v="813.86"/>
    <n v="813.91"/>
    <n v="813.85"/>
    <n v="813.92"/>
    <n v="813.85"/>
    <n v="9766.619999999999"/>
    <n v="6.9999999999936335E-2"/>
  </r>
  <r>
    <x v="0"/>
    <x v="1"/>
    <x v="0"/>
    <s v="5898200"/>
    <n v="742040"/>
    <s v="Freight-Other"/>
    <s v="WH-Fed Way 320th-Shared Srvcs"/>
    <x v="0"/>
    <m/>
    <n v="0"/>
    <n v="0"/>
    <n v="0"/>
    <n v="0"/>
    <n v="0"/>
    <n v="0"/>
    <n v="0"/>
    <n v="0"/>
    <n v="0"/>
    <n v="0"/>
    <n v="0"/>
    <n v="14.74"/>
    <n v="14.74"/>
    <n v="-14.74"/>
  </r>
  <r>
    <x v="0"/>
    <x v="1"/>
    <x v="0"/>
    <s v="5898200"/>
    <n v="743030"/>
    <s v="Subscriptions--Institutional"/>
    <s v="WH-Fed Way 320th-Shared Srvcs"/>
    <x v="0"/>
    <m/>
    <n v="0"/>
    <n v="0"/>
    <n v="0"/>
    <n v="267"/>
    <n v="0"/>
    <n v="0"/>
    <n v="0"/>
    <n v="30"/>
    <n v="0"/>
    <n v="0"/>
    <n v="0"/>
    <n v="0"/>
    <n v="297"/>
    <n v="0"/>
  </r>
  <r>
    <x v="0"/>
    <x v="1"/>
    <x v="0"/>
    <s v="5898200"/>
    <n v="749510"/>
    <s v="Licenses"/>
    <s v="WH-Fed Way 320th-Shared Srvcs"/>
    <x v="0"/>
    <n v="1002"/>
    <n v="0"/>
    <n v="0"/>
    <n v="530"/>
    <n v="0"/>
    <n v="0"/>
    <n v="0"/>
    <n v="0"/>
    <n v="0"/>
    <n v="0"/>
    <n v="0"/>
    <n v="0"/>
    <n v="0"/>
    <n v="530"/>
    <n v="0"/>
  </r>
  <r>
    <x v="0"/>
    <x v="1"/>
    <x v="0"/>
    <s v="5898200"/>
    <n v="749510"/>
    <s v="Uniforms"/>
    <s v="WH-Fed Way 320th-Shared Srvcs"/>
    <x v="0"/>
    <n v="1028"/>
    <n v="0"/>
    <n v="0"/>
    <n v="0"/>
    <n v="0"/>
    <n v="0"/>
    <n v="0"/>
    <n v="0"/>
    <n v="46.92"/>
    <n v="140.77000000000001"/>
    <n v="0"/>
    <n v="0"/>
    <n v="0"/>
    <n v="187.69"/>
    <n v="0"/>
  </r>
  <r>
    <x v="0"/>
    <x v="1"/>
    <x v="0"/>
    <s v="5898200"/>
    <n v="749510"/>
    <s v="RICE Rewards"/>
    <s v="WH-Fed Way 320th-Shared Srvcs"/>
    <x v="0"/>
    <n v="5100"/>
    <n v="0"/>
    <n v="0"/>
    <n v="0"/>
    <n v="0"/>
    <n v="0"/>
    <n v="0"/>
    <n v="0"/>
    <n v="0"/>
    <n v="200"/>
    <n v="0"/>
    <n v="0"/>
    <n v="0"/>
    <n v="200"/>
    <n v="0"/>
  </r>
  <r>
    <x v="0"/>
    <x v="1"/>
    <x v="0"/>
    <s v="5898200"/>
    <n v="749550"/>
    <s v="Cash Over/Short"/>
    <s v="WH-Fed Way 320th-Shared Srvcs"/>
    <x v="0"/>
    <m/>
    <n v="-10"/>
    <n v="0"/>
    <n v="0"/>
    <n v="0"/>
    <n v="0"/>
    <n v="0"/>
    <n v="0"/>
    <n v="0"/>
    <n v="10"/>
    <n v="0"/>
    <n v="0"/>
    <n v="0"/>
    <n v="0"/>
    <n v="0"/>
  </r>
  <r>
    <x v="0"/>
    <x v="1"/>
    <x v="0"/>
    <s v="5898200"/>
    <n v="766010"/>
    <s v="Property Tax"/>
    <s v="WH-Fed Way 320th-Shared Srvcs"/>
    <x v="0"/>
    <m/>
    <n v="77.31"/>
    <n v="77.31"/>
    <n v="77.31"/>
    <n v="77.31"/>
    <n v="77.31"/>
    <n v="77.31"/>
    <n v="77.31"/>
    <n v="77.31"/>
    <n v="77.31"/>
    <n v="-13.53"/>
    <n v="54.6"/>
    <n v="54.6"/>
    <n v="791.46"/>
    <n v="0"/>
  </r>
  <r>
    <x v="5"/>
    <x v="1"/>
    <x v="0"/>
    <s v="5899200"/>
    <n v="700026"/>
    <s v="Salaries-RN-Productive"/>
    <s v="FSA-Enumclaw"/>
    <x v="0"/>
    <m/>
    <n v="0"/>
    <n v="469.81"/>
    <n v="-156.6"/>
    <n v="0"/>
    <n v="0"/>
    <n v="0"/>
    <n v="0"/>
    <n v="0"/>
    <n v="0"/>
    <n v="0"/>
    <n v="0"/>
    <n v="0"/>
    <n v="313.21000000000004"/>
    <n v="0"/>
  </r>
  <r>
    <x v="5"/>
    <x v="1"/>
    <x v="0"/>
    <s v="5899200"/>
    <n v="700026"/>
    <s v="Salaries-RN-Other"/>
    <s v="FSA-Enumclaw"/>
    <x v="0"/>
    <n v="2000"/>
    <n v="0"/>
    <n v="13.87"/>
    <n v="-4.62"/>
    <n v="0"/>
    <n v="0"/>
    <n v="0"/>
    <n v="0"/>
    <n v="0"/>
    <n v="0"/>
    <n v="0"/>
    <n v="0"/>
    <n v="0"/>
    <n v="9.25"/>
    <n v="0"/>
  </r>
  <r>
    <x v="5"/>
    <x v="1"/>
    <x v="0"/>
    <s v="5899200"/>
    <n v="700038"/>
    <s v="Salaries-Service/Support-Productive"/>
    <s v="FSA-Enumclaw"/>
    <x v="0"/>
    <m/>
    <n v="2484"/>
    <n v="4023"/>
    <n v="2949.75"/>
    <n v="4126.95"/>
    <n v="3844.8"/>
    <n v="2435.4"/>
    <n v="3870.91"/>
    <n v="2626.7"/>
    <n v="2602.12"/>
    <n v="3932.23"/>
    <n v="3229.89"/>
    <n v="2906.75"/>
    <n v="39032.5"/>
    <n v="323.13999999999987"/>
  </r>
  <r>
    <x v="5"/>
    <x v="1"/>
    <x v="0"/>
    <s v="5899200"/>
    <n v="700038"/>
    <s v="Salaries-Service/Support-OT"/>
    <s v="FSA-Enumclaw"/>
    <x v="0"/>
    <n v="1000"/>
    <n v="0"/>
    <n v="0"/>
    <n v="0"/>
    <n v="0"/>
    <n v="0"/>
    <n v="0"/>
    <n v="0"/>
    <n v="145.76"/>
    <n v="-41.64"/>
    <n v="0"/>
    <n v="0"/>
    <n v="0"/>
    <n v="104.11999999999999"/>
    <n v="0"/>
  </r>
  <r>
    <x v="5"/>
    <x v="1"/>
    <x v="0"/>
    <s v="5899200"/>
    <n v="700038"/>
    <s v="Salaries-Service/Support-Other"/>
    <s v="FSA-Enumclaw"/>
    <x v="0"/>
    <n v="2000"/>
    <n v="0"/>
    <n v="0"/>
    <n v="0"/>
    <n v="0"/>
    <n v="0"/>
    <n v="0"/>
    <n v="0"/>
    <n v="11.21"/>
    <n v="-3.2"/>
    <n v="0"/>
    <n v="0"/>
    <n v="0"/>
    <n v="8.0100000000000016"/>
    <n v="0"/>
  </r>
  <r>
    <x v="5"/>
    <x v="1"/>
    <x v="0"/>
    <s v="5899200"/>
    <n v="700078"/>
    <s v="Salaries-Service/Support-Non-productive"/>
    <s v="FSA-Enumclaw"/>
    <x v="0"/>
    <m/>
    <n v="1339.2"/>
    <n v="-43.2"/>
    <n v="540"/>
    <n v="-108"/>
    <n v="0"/>
    <n v="1237.95"/>
    <n v="173.12"/>
    <n v="949.08"/>
    <n v="1051.8499999999999"/>
    <n v="-108.16"/>
    <n v="811.17"/>
    <n v="615.16"/>
    <n v="6458.17"/>
    <n v="196.01"/>
  </r>
  <r>
    <x v="5"/>
    <x v="1"/>
    <x v="0"/>
    <s v="5899200"/>
    <n v="700078"/>
    <s v="Salaries-Service/Support-NonProd-Other"/>
    <s v="FSA-Enumclaw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899200"/>
    <n v="700084"/>
    <s v="Accrued PTO"/>
    <s v="FSA-Enumclaw"/>
    <x v="0"/>
    <m/>
    <n v="-841.59"/>
    <n v="451.17"/>
    <n v="25.11"/>
    <n v="457.38"/>
    <n v="456.3"/>
    <n v="-508.95"/>
    <n v="243"/>
    <n v="-355.32"/>
    <n v="-622.08000000000004"/>
    <n v="454.68"/>
    <n v="-55.62"/>
    <n v="-222.75"/>
    <n v="-518.67000000000007"/>
    <n v="167.13"/>
  </r>
  <r>
    <x v="6"/>
    <x v="1"/>
    <x v="0"/>
    <s v="5899200"/>
    <n v="713010"/>
    <s v="Benefits-FICA/Medicare"/>
    <s v="FSA-Enumclaw"/>
    <x v="0"/>
    <m/>
    <n v="271.79000000000002"/>
    <n v="319.27"/>
    <n v="236.04"/>
    <n v="285.83"/>
    <n v="273.48"/>
    <n v="260.58999999999997"/>
    <n v="285.88"/>
    <n v="265.10000000000002"/>
    <n v="254.69"/>
    <n v="270.08"/>
    <n v="285.67"/>
    <n v="249.01"/>
    <n v="3257.4299999999994"/>
    <n v="36.660000000000025"/>
  </r>
  <r>
    <x v="6"/>
    <x v="1"/>
    <x v="0"/>
    <s v="5899200"/>
    <n v="713090"/>
    <s v="Benefits-Allocated Amounts"/>
    <s v="FSA-Enumclaw"/>
    <x v="0"/>
    <m/>
    <n v="887.57"/>
    <n v="919.05"/>
    <n v="857.95"/>
    <n v="931.14"/>
    <n v="913.5"/>
    <n v="940.87"/>
    <n v="1085.93"/>
    <n v="1013.54"/>
    <n v="922.2"/>
    <n v="786.59"/>
    <n v="976.68"/>
    <n v="972.21"/>
    <n v="11207.23"/>
    <n v="4.4699999999999136"/>
  </r>
  <r>
    <x v="7"/>
    <x v="1"/>
    <x v="0"/>
    <s v="5899200"/>
    <n v="718010"/>
    <s v="Media/Print Advertising"/>
    <s v="FSA-Enumclaw"/>
    <x v="0"/>
    <n v="1004"/>
    <n v="198.16"/>
    <n v="0"/>
    <n v="0"/>
    <n v="0"/>
    <n v="0"/>
    <n v="0"/>
    <n v="0"/>
    <n v="0"/>
    <n v="0"/>
    <n v="0"/>
    <n v="0"/>
    <n v="0"/>
    <n v="198.16"/>
    <n v="0"/>
  </r>
  <r>
    <x v="7"/>
    <x v="1"/>
    <x v="0"/>
    <s v="5899200"/>
    <n v="718050"/>
    <s v="Contract Svcs-Other"/>
    <s v="FSA-Enumclaw"/>
    <x v="0"/>
    <m/>
    <n v="570"/>
    <n v="0"/>
    <n v="0"/>
    <n v="0"/>
    <n v="0"/>
    <n v="0"/>
    <n v="0"/>
    <n v="0"/>
    <n v="0"/>
    <n v="0"/>
    <n v="0"/>
    <n v="0"/>
    <n v="570"/>
    <n v="0"/>
  </r>
  <r>
    <x v="7"/>
    <x v="1"/>
    <x v="0"/>
    <s v="5899200"/>
    <n v="718050"/>
    <s v="Cleaning Services"/>
    <s v="FSA-Enumclaw"/>
    <x v="0"/>
    <n v="1011"/>
    <n v="0"/>
    <n v="0"/>
    <n v="0"/>
    <n v="1140"/>
    <n v="0"/>
    <n v="0"/>
    <n v="0"/>
    <n v="570"/>
    <n v="0"/>
    <n v="0"/>
    <n v="0"/>
    <n v="0"/>
    <n v="1710"/>
    <n v="0"/>
  </r>
  <r>
    <x v="7"/>
    <x v="1"/>
    <x v="0"/>
    <s v="5899200"/>
    <n v="718050"/>
    <s v="Document Shredding/Storage"/>
    <s v="FSA-Enumclaw"/>
    <x v="0"/>
    <n v="1012"/>
    <n v="100.61"/>
    <n v="-49.03"/>
    <n v="208.35"/>
    <n v="113.65"/>
    <n v="-23.24"/>
    <n v="104.23"/>
    <n v="103.18"/>
    <n v="18.57"/>
    <n v="60.66"/>
    <n v="28.27"/>
    <n v="56.56"/>
    <n v="112.06"/>
    <n v="833.86999999999989"/>
    <n v="-55.5"/>
  </r>
  <r>
    <x v="7"/>
    <x v="1"/>
    <x v="0"/>
    <s v="5899200"/>
    <n v="718050"/>
    <s v="Physician Answering"/>
    <s v="FSA-Enumclaw"/>
    <x v="0"/>
    <n v="1015"/>
    <n v="304"/>
    <n v="473.4"/>
    <n v="446.2"/>
    <n v="174"/>
    <n v="518.4"/>
    <n v="437"/>
    <n v="584.79999999999995"/>
    <n v="522.6"/>
    <n v="375"/>
    <n v="455.4"/>
    <n v="451.6"/>
    <n v="396.6"/>
    <n v="5139.0000000000009"/>
    <n v="55"/>
  </r>
  <r>
    <x v="7"/>
    <x v="1"/>
    <x v="0"/>
    <s v="5899200"/>
    <n v="718050"/>
    <s v="Translation Services"/>
    <s v="FSA-Enumclaw"/>
    <x v="0"/>
    <n v="1025"/>
    <n v="243.33"/>
    <n v="0"/>
    <n v="230.82"/>
    <n v="10.74"/>
    <n v="3.16"/>
    <n v="36.5"/>
    <n v="43.02"/>
    <n v="10.92"/>
    <n v="126"/>
    <n v="26.15"/>
    <n v="60.51"/>
    <n v="88.48"/>
    <n v="879.62999999999988"/>
    <n v="-27.970000000000006"/>
  </r>
  <r>
    <x v="7"/>
    <x v="1"/>
    <x v="0"/>
    <s v="5899200"/>
    <n v="718050"/>
    <s v="Contract Management--Linen"/>
    <s v="FSA-Enumclaw"/>
    <x v="0"/>
    <n v="1026"/>
    <n v="0"/>
    <n v="39.5"/>
    <n v="0"/>
    <n v="0"/>
    <n v="0"/>
    <n v="0"/>
    <n v="0"/>
    <n v="0"/>
    <n v="0"/>
    <n v="0"/>
    <n v="0"/>
    <n v="0"/>
    <n v="39.5"/>
    <n v="0"/>
  </r>
  <r>
    <x v="7"/>
    <x v="1"/>
    <x v="0"/>
    <s v="5899200"/>
    <n v="718050"/>
    <s v="Purchased Srvcs--Medical Waste"/>
    <s v="FSA-Enumclaw"/>
    <x v="0"/>
    <n v="1027"/>
    <n v="61.72"/>
    <n v="0"/>
    <n v="61.72"/>
    <n v="0"/>
    <n v="0"/>
    <n v="0"/>
    <n v="0"/>
    <n v="62.02"/>
    <n v="0"/>
    <n v="0"/>
    <n v="0"/>
    <n v="0"/>
    <n v="185.46"/>
    <n v="0"/>
  </r>
  <r>
    <x v="7"/>
    <x v="1"/>
    <x v="0"/>
    <s v="5899200"/>
    <n v="718070"/>
    <s v="Contract Srvcs-CHI Clinical Engineering"/>
    <s v="FSA-Enumclaw"/>
    <x v="0"/>
    <m/>
    <n v="0"/>
    <n v="0"/>
    <n v="0"/>
    <n v="0"/>
    <n v="0"/>
    <n v="0"/>
    <n v="0"/>
    <n v="517.5"/>
    <n v="0"/>
    <n v="0"/>
    <n v="0"/>
    <n v="0"/>
    <n v="517.5"/>
    <n v="0"/>
  </r>
  <r>
    <x v="11"/>
    <x v="1"/>
    <x v="0"/>
    <s v="5899200"/>
    <n v="721010"/>
    <s v="Supplies-Medical - Billable"/>
    <s v="FSA-Enumclaw"/>
    <x v="0"/>
    <m/>
    <n v="4.7699999999999996"/>
    <n v="0"/>
    <n v="0"/>
    <n v="-1.02"/>
    <n v="0"/>
    <n v="0"/>
    <n v="0"/>
    <n v="0"/>
    <n v="0"/>
    <n v="0"/>
    <n v="0"/>
    <n v="0"/>
    <n v="3.7499999999999996"/>
    <n v="0"/>
  </r>
  <r>
    <x v="11"/>
    <x v="1"/>
    <x v="0"/>
    <s v="5899200"/>
    <n v="721250"/>
    <s v="Supplies-Pharmacy Drugs - Billable"/>
    <s v="FSA-Enumclaw"/>
    <x v="0"/>
    <m/>
    <n v="0"/>
    <n v="92.72"/>
    <n v="0"/>
    <n v="0"/>
    <n v="0"/>
    <n v="0"/>
    <n v="304.24"/>
    <n v="0"/>
    <n v="0"/>
    <n v="0"/>
    <n v="34.659999999999997"/>
    <n v="0"/>
    <n v="431.62"/>
    <n v="34.659999999999997"/>
  </r>
  <r>
    <x v="11"/>
    <x v="1"/>
    <x v="0"/>
    <s v="5899200"/>
    <n v="721410"/>
    <s v="Supplies-Medical - Nonbillable"/>
    <s v="FSA-Enumclaw"/>
    <x v="0"/>
    <m/>
    <n v="383.27"/>
    <n v="742.7"/>
    <n v="50.09"/>
    <n v="616.33000000000004"/>
    <n v="0"/>
    <n v="0"/>
    <n v="0"/>
    <n v="0"/>
    <n v="418.44"/>
    <n v="0"/>
    <n v="0"/>
    <n v="0"/>
    <n v="2210.83"/>
    <n v="0"/>
  </r>
  <r>
    <x v="11"/>
    <x v="1"/>
    <x v="0"/>
    <s v="5899200"/>
    <n v="721830"/>
    <s v="Supplies-Office"/>
    <s v="FSA-Enumclaw"/>
    <x v="0"/>
    <m/>
    <n v="137.66"/>
    <n v="221.23"/>
    <n v="187.32"/>
    <n v="155.61000000000001"/>
    <n v="259.77"/>
    <n v="47.31"/>
    <n v="124.57"/>
    <n v="104.18"/>
    <n v="181.49"/>
    <n v="125.91"/>
    <n v="53.61"/>
    <n v="196.19"/>
    <n v="1794.8500000000001"/>
    <n v="-142.57999999999998"/>
  </r>
  <r>
    <x v="11"/>
    <x v="1"/>
    <x v="0"/>
    <s v="5899200"/>
    <n v="721835"/>
    <s v="Supplies-Forms"/>
    <s v="FSA-Enumclaw"/>
    <x v="0"/>
    <m/>
    <n v="0"/>
    <n v="0"/>
    <n v="0"/>
    <n v="0"/>
    <n v="74"/>
    <n v="16"/>
    <n v="0"/>
    <n v="0"/>
    <n v="74"/>
    <n v="0"/>
    <n v="8"/>
    <n v="0"/>
    <n v="172"/>
    <n v="8"/>
  </r>
  <r>
    <x v="11"/>
    <x v="1"/>
    <x v="0"/>
    <s v="5899200"/>
    <n v="722000"/>
    <s v="Supplies-Freight Expense"/>
    <s v="FSA-Enumclaw"/>
    <x v="0"/>
    <m/>
    <n v="0"/>
    <n v="0"/>
    <n v="0"/>
    <n v="1.02"/>
    <n v="0"/>
    <n v="0"/>
    <n v="0"/>
    <n v="0"/>
    <n v="0"/>
    <n v="0"/>
    <n v="0"/>
    <n v="0"/>
    <n v="1.02"/>
    <n v="0"/>
  </r>
  <r>
    <x v="12"/>
    <x v="1"/>
    <x v="0"/>
    <s v="5899200"/>
    <n v="730010"/>
    <s v="Rental and Leases-Building (DO NOT USE)"/>
    <s v="FSA-Enumclaw"/>
    <x v="0"/>
    <m/>
    <n v="3372.31"/>
    <n v="3372.31"/>
    <n v="3372.31"/>
    <n v="3372.31"/>
    <n v="3372.31"/>
    <n v="3372.31"/>
    <n v="3372.31"/>
    <n v="3372.31"/>
    <n v="3372.31"/>
    <n v="3372.31"/>
    <n v="3372.31"/>
    <n v="0"/>
    <n v="37095.410000000003"/>
    <n v="3372.31"/>
  </r>
  <r>
    <x v="12"/>
    <x v="1"/>
    <x v="0"/>
    <s v="5899200"/>
    <n v="730020"/>
    <s v="Rental and Leases-Copier Usage Fees (DO NOT USE)"/>
    <s v="FSA-Enumclaw"/>
    <x v="0"/>
    <n v="5100"/>
    <n v="99.69"/>
    <n v="97.53"/>
    <n v="98.61"/>
    <n v="98.61"/>
    <n v="98.61"/>
    <n v="98.61"/>
    <n v="520.27"/>
    <n v="103.52"/>
    <n v="103.3"/>
    <n v="148.21"/>
    <n v="103.52"/>
    <n v="118.99"/>
    <n v="1689.4699999999998"/>
    <n v="-15.469999999999999"/>
  </r>
  <r>
    <x v="12"/>
    <x v="1"/>
    <x v="0"/>
    <s v="5899200"/>
    <n v="730040"/>
    <s v="LT Lease-Real Estate"/>
    <s v="FSA-Enumclaw"/>
    <x v="0"/>
    <m/>
    <n v="0"/>
    <n v="0"/>
    <n v="0"/>
    <n v="0"/>
    <n v="0"/>
    <n v="0"/>
    <n v="0"/>
    <n v="0"/>
    <n v="0"/>
    <n v="0"/>
    <n v="0"/>
    <n v="3372.31"/>
    <n v="3372.31"/>
    <n v="-3372.31"/>
  </r>
  <r>
    <x v="15"/>
    <x v="1"/>
    <x v="0"/>
    <s v="5899200"/>
    <n v="731060"/>
    <s v="Pagers"/>
    <s v="FSA-Enumclaw"/>
    <x v="0"/>
    <n v="1002"/>
    <n v="8.1"/>
    <n v="8.1"/>
    <n v="8.1"/>
    <n v="8.1199999999999992"/>
    <n v="42.68"/>
    <n v="0"/>
    <n v="16.239999999999998"/>
    <n v="35.65"/>
    <n v="8.1199999999999992"/>
    <n v="8.1199999999999992"/>
    <n v="8.1199999999999992"/>
    <n v="8.1199999999999992"/>
    <n v="159.47"/>
    <n v="0"/>
  </r>
  <r>
    <x v="13"/>
    <x v="1"/>
    <x v="0"/>
    <s v="5899200"/>
    <n v="735070"/>
    <s v="Depreciation-Movable Equipment"/>
    <s v="FSA-Enumclaw"/>
    <x v="0"/>
    <m/>
    <n v="1513.82"/>
    <n v="520.41"/>
    <n v="520.41999999999996"/>
    <n v="520.4"/>
    <n v="520.41999999999996"/>
    <n v="520.39"/>
    <n v="505.83"/>
    <n v="505.79"/>
    <n v="505.83"/>
    <n v="505.79"/>
    <n v="505.83"/>
    <n v="505.79"/>
    <n v="7150.72"/>
    <n v="3.999999999996362E-2"/>
  </r>
  <r>
    <x v="0"/>
    <x v="1"/>
    <x v="0"/>
    <s v="5899200"/>
    <n v="743030"/>
    <s v="Subscriptions--Institutional"/>
    <s v="FSA-Enumclaw"/>
    <x v="0"/>
    <m/>
    <n v="0"/>
    <n v="0"/>
    <n v="0"/>
    <n v="0"/>
    <n v="0"/>
    <n v="0"/>
    <n v="0"/>
    <n v="0"/>
    <n v="0"/>
    <n v="194.12"/>
    <n v="0"/>
    <n v="0"/>
    <n v="194.12"/>
    <n v="0"/>
  </r>
  <r>
    <x v="0"/>
    <x v="1"/>
    <x v="0"/>
    <s v="5899200"/>
    <n v="749510"/>
    <s v="Miscellaneous Expenses"/>
    <s v="FSA-Enumclaw"/>
    <x v="0"/>
    <m/>
    <n v="0"/>
    <n v="0"/>
    <n v="0"/>
    <n v="0"/>
    <n v="32.159999999999997"/>
    <n v="-32.159999999999997"/>
    <n v="0"/>
    <n v="5"/>
    <n v="0"/>
    <n v="0"/>
    <n v="0"/>
    <n v="0"/>
    <n v="5"/>
    <n v="0"/>
  </r>
  <r>
    <x v="0"/>
    <x v="1"/>
    <x v="0"/>
    <s v="5899200"/>
    <n v="749510"/>
    <s v="Licenses"/>
    <s v="FSA-Enumclaw"/>
    <x v="0"/>
    <n v="1002"/>
    <n v="0"/>
    <n v="0"/>
    <n v="265"/>
    <n v="0"/>
    <n v="0"/>
    <n v="155"/>
    <n v="38.75"/>
    <n v="0"/>
    <n v="0"/>
    <n v="0"/>
    <n v="0"/>
    <n v="0"/>
    <n v="458.75"/>
    <n v="0"/>
  </r>
  <r>
    <x v="0"/>
    <x v="1"/>
    <x v="0"/>
    <s v="5899200"/>
    <n v="749530"/>
    <s v="Travel"/>
    <s v="FSA-Enumclaw"/>
    <x v="0"/>
    <m/>
    <n v="0"/>
    <n v="0"/>
    <n v="0"/>
    <n v="0"/>
    <n v="0"/>
    <n v="0"/>
    <n v="0"/>
    <n v="0"/>
    <n v="0"/>
    <n v="684.37"/>
    <n v="0"/>
    <n v="0"/>
    <n v="684.37"/>
    <n v="0"/>
  </r>
  <r>
    <x v="0"/>
    <x v="1"/>
    <x v="0"/>
    <s v="5899200"/>
    <n v="749530"/>
    <s v="Mileage"/>
    <s v="FSA-Enumclaw"/>
    <x v="0"/>
    <n v="1001"/>
    <n v="0"/>
    <n v="0"/>
    <n v="0"/>
    <n v="0"/>
    <n v="0"/>
    <n v="32.159999999999997"/>
    <n v="46.4"/>
    <n v="0"/>
    <n v="0"/>
    <n v="0"/>
    <n v="0"/>
    <n v="0"/>
    <n v="78.56"/>
    <n v="0"/>
  </r>
  <r>
    <x v="5"/>
    <x v="1"/>
    <x v="0"/>
    <s v="5901200"/>
    <n v="700014"/>
    <s v="Salaries-Management-Productive"/>
    <s v="Auburn Med&amp;Spec-Shared Service"/>
    <x v="0"/>
    <m/>
    <n v="2737.28"/>
    <n v="3678.22"/>
    <n v="3336.06"/>
    <n v="3374.24"/>
    <n v="3778.28"/>
    <n v="2606.3000000000002"/>
    <n v="3626.39"/>
    <n v="3328.36"/>
    <n v="3748.79"/>
    <n v="3853.89"/>
    <n v="525.54"/>
    <n v="4379.42"/>
    <n v="38972.769999999997"/>
    <n v="-3853.88"/>
  </r>
  <r>
    <x v="5"/>
    <x v="1"/>
    <x v="0"/>
    <s v="5901200"/>
    <n v="700018"/>
    <s v="Salaries-Supervisory-Productive"/>
    <s v="Auburn Med&amp;Spec-Shared Service"/>
    <x v="0"/>
    <m/>
    <n v="5192.88"/>
    <n v="4945.6000000000004"/>
    <n v="2225.52"/>
    <n v="1781.36"/>
    <n v="2023.04"/>
    <n v="3793.2"/>
    <n v="0"/>
    <n v="3545.51"/>
    <n v="4052.01"/>
    <n v="5571.52"/>
    <n v="4582.58"/>
    <n v="4325.67"/>
    <n v="42038.89"/>
    <n v="256.90999999999985"/>
  </r>
  <r>
    <x v="5"/>
    <x v="1"/>
    <x v="0"/>
    <s v="5901200"/>
    <n v="700018"/>
    <s v="Salaries-Supervisory-Other"/>
    <s v="Auburn Med&amp;Spec-Shared Service"/>
    <x v="0"/>
    <n v="2000"/>
    <n v="0"/>
    <n v="0"/>
    <n v="0"/>
    <n v="0"/>
    <n v="0"/>
    <n v="0"/>
    <n v="0"/>
    <n v="0"/>
    <n v="0"/>
    <n v="0"/>
    <n v="180.52"/>
    <n v="-0.26"/>
    <n v="180.26000000000002"/>
    <n v="180.78"/>
  </r>
  <r>
    <x v="5"/>
    <x v="1"/>
    <x v="0"/>
    <s v="5901200"/>
    <n v="700026"/>
    <s v="Salaries-RN-Productive"/>
    <s v="Auburn Med&amp;Spec-Shared Service"/>
    <x v="0"/>
    <m/>
    <n v="0"/>
    <n v="0"/>
    <n v="0"/>
    <n v="0"/>
    <n v="0"/>
    <n v="0"/>
    <n v="0"/>
    <n v="440.75"/>
    <n v="-125.92"/>
    <n v="2845.75"/>
    <n v="-419.25"/>
    <n v="582.04999999999995"/>
    <n v="3323.38"/>
    <n v="-1001.3"/>
  </r>
  <r>
    <x v="5"/>
    <x v="1"/>
    <x v="0"/>
    <s v="5901200"/>
    <n v="700026"/>
    <s v="Salaries-RN-OT"/>
    <s v="Auburn Med&amp;Spec-Shared Service"/>
    <x v="0"/>
    <n v="1000"/>
    <n v="0"/>
    <n v="0"/>
    <n v="0"/>
    <n v="0"/>
    <n v="0"/>
    <n v="0"/>
    <n v="0"/>
    <n v="0"/>
    <n v="0"/>
    <n v="1054.8800000000001"/>
    <n v="-228.2"/>
    <n v="0"/>
    <n v="826.68000000000006"/>
    <n v="-228.2"/>
  </r>
  <r>
    <x v="5"/>
    <x v="1"/>
    <x v="0"/>
    <s v="5901200"/>
    <n v="700026"/>
    <s v="Salaries-RN-Other"/>
    <s v="Auburn Med&amp;Spec-Shared Service"/>
    <x v="0"/>
    <n v="2000"/>
    <n v="0"/>
    <n v="0"/>
    <n v="0"/>
    <n v="0"/>
    <n v="0"/>
    <n v="0"/>
    <n v="0"/>
    <n v="14.37"/>
    <n v="-4.0999999999999996"/>
    <n v="115.47"/>
    <n v="-18.57"/>
    <n v="19"/>
    <n v="126.16999999999999"/>
    <n v="-37.57"/>
  </r>
  <r>
    <x v="5"/>
    <x v="1"/>
    <x v="0"/>
    <s v="5901200"/>
    <n v="700030"/>
    <s v="Salaries-LPN-Productive"/>
    <s v="Auburn Med&amp;Spec-Shared Service"/>
    <x v="0"/>
    <m/>
    <n v="1886.64"/>
    <n v="4110.18"/>
    <n v="3062.99"/>
    <n v="4004.73"/>
    <n v="3385.8"/>
    <n v="3158.37"/>
    <n v="3719.22"/>
    <n v="2971.82"/>
    <n v="3992.86"/>
    <n v="-633"/>
    <n v="1099.24"/>
    <n v="996.66"/>
    <n v="31755.510000000002"/>
    <n v="102.58000000000004"/>
  </r>
  <r>
    <x v="5"/>
    <x v="1"/>
    <x v="0"/>
    <s v="5901200"/>
    <n v="700030"/>
    <s v="Salaries-LPN-OT"/>
    <s v="Auburn Med&amp;Spec-Shared Service"/>
    <x v="0"/>
    <n v="1000"/>
    <n v="30.32"/>
    <n v="49.71"/>
    <n v="21.06"/>
    <n v="207.04"/>
    <n v="6.84"/>
    <n v="-42.75"/>
    <n v="73.64"/>
    <n v="268.86"/>
    <n v="941.95"/>
    <n v="60.19"/>
    <n v="300.49"/>
    <n v="-11.08"/>
    <n v="1906.2700000000002"/>
    <n v="311.57"/>
  </r>
  <r>
    <x v="5"/>
    <x v="1"/>
    <x v="0"/>
    <s v="5901200"/>
    <n v="700030"/>
    <s v="Salaries-LPN-Other"/>
    <s v="Auburn Med&amp;Spec-Shared Service"/>
    <x v="0"/>
    <n v="2000"/>
    <n v="0"/>
    <n v="0"/>
    <n v="0"/>
    <n v="0"/>
    <n v="0"/>
    <n v="0"/>
    <n v="0"/>
    <n v="9.81"/>
    <n v="37.14"/>
    <n v="13.16"/>
    <n v="575.57000000000005"/>
    <n v="42.59"/>
    <n v="678.2700000000001"/>
    <n v="532.98"/>
  </r>
  <r>
    <x v="5"/>
    <x v="1"/>
    <x v="0"/>
    <s v="5901200"/>
    <n v="700032"/>
    <s v="Salaries-Other Pat Care Providers-Productive"/>
    <s v="Auburn Med&amp;Spec-Shared Service"/>
    <x v="0"/>
    <m/>
    <n v="0"/>
    <n v="0"/>
    <n v="0"/>
    <n v="0"/>
    <n v="2132.84"/>
    <n v="1583.3"/>
    <n v="2260.73"/>
    <n v="226.74"/>
    <n v="564.64"/>
    <n v="3454.04"/>
    <n v="804.41"/>
    <n v="812.85"/>
    <n v="11839.550000000001"/>
    <n v="-8.4400000000000546"/>
  </r>
  <r>
    <x v="5"/>
    <x v="1"/>
    <x v="0"/>
    <s v="5901200"/>
    <n v="700032"/>
    <s v="Salaries-Other Pat Care Providers-OT"/>
    <s v="Auburn Med&amp;Spec-Shared Service"/>
    <x v="0"/>
    <n v="1000"/>
    <n v="0"/>
    <n v="0"/>
    <n v="0"/>
    <n v="0"/>
    <n v="0"/>
    <n v="229.3"/>
    <n v="117.35"/>
    <n v="-33.520000000000003"/>
    <n v="0"/>
    <n v="847.28"/>
    <n v="-26.06"/>
    <n v="-0.13"/>
    <n v="1134.2199999999998"/>
    <n v="-25.93"/>
  </r>
  <r>
    <x v="5"/>
    <x v="1"/>
    <x v="0"/>
    <s v="5901200"/>
    <n v="700032"/>
    <s v="Salaries-Other Pat Care Providers-Other"/>
    <s v="Auburn Med&amp;Spec-Shared Service"/>
    <x v="0"/>
    <n v="2000"/>
    <n v="0"/>
    <n v="0"/>
    <n v="0"/>
    <n v="0"/>
    <n v="105.5"/>
    <n v="79.77"/>
    <n v="117.31"/>
    <n v="-0.75"/>
    <n v="28.53"/>
    <n v="193.38"/>
    <n v="2.5499999999999998"/>
    <n v="41.06"/>
    <n v="567.34999999999991"/>
    <n v="-38.510000000000005"/>
  </r>
  <r>
    <x v="5"/>
    <x v="1"/>
    <x v="0"/>
    <s v="5901200"/>
    <n v="700034"/>
    <s v="Salaries-Tech/Professional-Productive"/>
    <s v="Auburn Med&amp;Spec-Shared Service"/>
    <x v="0"/>
    <m/>
    <n v="0"/>
    <n v="0"/>
    <n v="1447.86"/>
    <n v="-482.62"/>
    <n v="0"/>
    <n v="0"/>
    <n v="0"/>
    <n v="0"/>
    <n v="0"/>
    <n v="0"/>
    <n v="0"/>
    <n v="0"/>
    <n v="965.2399999999999"/>
    <n v="0"/>
  </r>
  <r>
    <x v="5"/>
    <x v="1"/>
    <x v="0"/>
    <s v="5901200"/>
    <n v="700038"/>
    <s v="Salaries-Service/Support-Productive"/>
    <s v="Auburn Med&amp;Spec-Shared Service"/>
    <x v="0"/>
    <m/>
    <n v="13304.54"/>
    <n v="15993.88"/>
    <n v="15775.9"/>
    <n v="15307.11"/>
    <n v="21367.68"/>
    <n v="16296.17"/>
    <n v="17447.95"/>
    <n v="17081.689999999999"/>
    <n v="23615.88"/>
    <n v="20715.59"/>
    <n v="22520.65"/>
    <n v="20962.72"/>
    <n v="220389.75999999998"/>
    <n v="1557.9300000000003"/>
  </r>
  <r>
    <x v="5"/>
    <x v="1"/>
    <x v="0"/>
    <s v="5901200"/>
    <n v="700038"/>
    <s v="Salaries-Service/Support-OT"/>
    <s v="Auburn Med&amp;Spec-Shared Service"/>
    <x v="0"/>
    <n v="1000"/>
    <n v="172.53"/>
    <n v="184.36"/>
    <n v="61.85"/>
    <n v="367.75"/>
    <n v="414.06"/>
    <n v="77.599999999999994"/>
    <n v="190.67"/>
    <n v="146.46"/>
    <n v="553.29999999999995"/>
    <n v="554.54"/>
    <n v="146.24"/>
    <n v="11.93"/>
    <n v="2881.2899999999995"/>
    <n v="134.31"/>
  </r>
  <r>
    <x v="5"/>
    <x v="1"/>
    <x v="0"/>
    <s v="5901200"/>
    <n v="700038"/>
    <s v="Salaries-Service/Support-Other"/>
    <s v="Auburn Med&amp;Spec-Shared Service"/>
    <x v="0"/>
    <n v="2000"/>
    <n v="88.85"/>
    <n v="94.22"/>
    <n v="78.680000000000007"/>
    <n v="94.32"/>
    <n v="114.86"/>
    <n v="-6.26"/>
    <n v="0"/>
    <n v="30.05"/>
    <n v="4.5"/>
    <n v="0"/>
    <n v="0"/>
    <n v="0"/>
    <n v="499.22"/>
    <n v="0"/>
  </r>
  <r>
    <x v="5"/>
    <x v="1"/>
    <x v="0"/>
    <s v="5901200"/>
    <n v="700054"/>
    <s v="Salaries-Management-Non-productive"/>
    <s v="Auburn Med&amp;Spec-Shared Service"/>
    <x v="0"/>
    <m/>
    <n v="2052.96"/>
    <n v="513.24"/>
    <n v="171.08"/>
    <n v="1259.42"/>
    <n v="139.94"/>
    <n v="2134.02"/>
    <n v="805.85"/>
    <n v="350.35"/>
    <n v="-140.13"/>
    <n v="0"/>
    <n v="7007.06"/>
    <n v="-1751.77"/>
    <n v="12542.02"/>
    <n v="8758.83"/>
  </r>
  <r>
    <x v="5"/>
    <x v="1"/>
    <x v="0"/>
    <s v="5901200"/>
    <n v="700058"/>
    <s v="Salaries-Supervisory-Non-productive"/>
    <s v="Auburn Med&amp;Spec-Shared Service"/>
    <x v="0"/>
    <m/>
    <n v="247.28"/>
    <n v="741.84"/>
    <n v="2720.08"/>
    <n v="-494.56"/>
    <n v="3287.44"/>
    <n v="126.44"/>
    <n v="380.07"/>
    <n v="506.51"/>
    <n v="0"/>
    <n v="0"/>
    <n v="1266.26"/>
    <n v="763.38"/>
    <n v="9544.739999999998"/>
    <n v="502.88"/>
  </r>
  <r>
    <x v="5"/>
    <x v="1"/>
    <x v="0"/>
    <s v="5901200"/>
    <n v="700066"/>
    <s v="Salaries-RN-NonProd-Other"/>
    <s v="Auburn Med&amp;Spec-Shared Service"/>
    <x v="0"/>
    <n v="2000"/>
    <n v="0"/>
    <n v="0"/>
    <n v="0"/>
    <n v="0"/>
    <n v="0"/>
    <n v="0"/>
    <n v="0"/>
    <n v="0"/>
    <n v="0"/>
    <n v="113.63"/>
    <n v="-21.48"/>
    <n v="30.72"/>
    <n v="122.86999999999999"/>
    <n v="-52.2"/>
  </r>
  <r>
    <x v="5"/>
    <x v="1"/>
    <x v="0"/>
    <s v="5901200"/>
    <n v="700070"/>
    <s v="Salaries-LPN-Non-productive"/>
    <s v="Auburn Med&amp;Spec-Shared Service"/>
    <x v="0"/>
    <m/>
    <n v="718.72"/>
    <n v="75.81"/>
    <n v="527.80999999999995"/>
    <n v="176.88"/>
    <n v="627"/>
    <n v="404.7"/>
    <n v="485.23"/>
    <n v="263.73"/>
    <n v="289.98"/>
    <n v="-114.16"/>
    <n v="0"/>
    <n v="0"/>
    <n v="3455.7"/>
    <n v="0"/>
  </r>
  <r>
    <x v="5"/>
    <x v="1"/>
    <x v="0"/>
    <s v="5901200"/>
    <n v="700072"/>
    <s v="Salaries-Other Pat Care Providers-NonProd-Other"/>
    <s v="Auburn Med&amp;Spec-Shared Service"/>
    <x v="0"/>
    <n v="2000"/>
    <n v="0"/>
    <n v="0"/>
    <n v="0"/>
    <n v="0"/>
    <n v="0"/>
    <n v="0"/>
    <n v="6.94"/>
    <n v="-1.98"/>
    <n v="19.84"/>
    <n v="19.84"/>
    <n v="0"/>
    <n v="0"/>
    <n v="44.64"/>
    <n v="0"/>
  </r>
  <r>
    <x v="5"/>
    <x v="1"/>
    <x v="0"/>
    <s v="5901200"/>
    <n v="700078"/>
    <s v="Salaries-Service/Support-Non-productive"/>
    <s v="Auburn Med&amp;Spec-Shared Service"/>
    <x v="0"/>
    <m/>
    <n v="2116.23"/>
    <n v="835.91"/>
    <n v="3338.02"/>
    <n v="2902.71"/>
    <n v="1098.25"/>
    <n v="4149.92"/>
    <n v="1535.92"/>
    <n v="3554.28"/>
    <n v="4835.74"/>
    <n v="4476.95"/>
    <n v="4896.3"/>
    <n v="1726.96"/>
    <n v="35467.189999999995"/>
    <n v="3169.34"/>
  </r>
  <r>
    <x v="5"/>
    <x v="1"/>
    <x v="0"/>
    <s v="5901200"/>
    <n v="700078"/>
    <s v="Salaries-Service/Support-NonProd-Other"/>
    <s v="Auburn Med&amp;Spec-Shared Servi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01200"/>
    <n v="700084"/>
    <s v="Accrued PTO"/>
    <s v="Auburn Med&amp;Spec-Shared Service"/>
    <x v="0"/>
    <m/>
    <n v="-846.65"/>
    <n v="1461.41"/>
    <n v="-1724.67"/>
    <n v="1931.31"/>
    <n v="-1009.54"/>
    <n v="-3379.89"/>
    <n v="487.84"/>
    <n v="360.86"/>
    <n v="1087.6500000000001"/>
    <n v="2653.32"/>
    <n v="-2205.56"/>
    <n v="-194.76"/>
    <n v="-1378.6799999999992"/>
    <n v="-2010.8"/>
  </r>
  <r>
    <x v="6"/>
    <x v="1"/>
    <x v="0"/>
    <s v="5901200"/>
    <n v="713010"/>
    <s v="Benefits-FICA/Medicare"/>
    <s v="Auburn Med&amp;Spec-Shared Service"/>
    <x v="0"/>
    <m/>
    <n v="2115.6999999999998"/>
    <n v="2319.23"/>
    <n v="2440.65"/>
    <n v="2090.92"/>
    <n v="2883.03"/>
    <n v="2674.16"/>
    <n v="2270.58"/>
    <n v="2418.13"/>
    <n v="3149.29"/>
    <n v="3197.5"/>
    <n v="3230.4"/>
    <n v="2393.37"/>
    <n v="31182.960000000003"/>
    <n v="837.0300000000002"/>
  </r>
  <r>
    <x v="6"/>
    <x v="1"/>
    <x v="0"/>
    <s v="5901200"/>
    <n v="713090"/>
    <s v="Benefits-Allocated Amounts"/>
    <s v="Auburn Med&amp;Spec-Shared Service"/>
    <x v="0"/>
    <m/>
    <n v="7392.09"/>
    <n v="7238.84"/>
    <n v="8967.66"/>
    <n v="7666.06"/>
    <n v="9540.86"/>
    <n v="10214.75"/>
    <n v="9287.36"/>
    <n v="10025.67"/>
    <n v="11903.28"/>
    <n v="12201.96"/>
    <n v="11328.24"/>
    <n v="10873.39"/>
    <n v="116640.16"/>
    <n v="454.85000000000036"/>
  </r>
  <r>
    <x v="6"/>
    <x v="1"/>
    <x v="0"/>
    <s v="5901200"/>
    <n v="713096"/>
    <s v="Employee Recognition"/>
    <s v="Auburn Med&amp;Spec-Shared Service"/>
    <x v="0"/>
    <n v="1017"/>
    <n v="77.430000000000007"/>
    <n v="0"/>
    <n v="0"/>
    <n v="387.43"/>
    <n v="171.64"/>
    <n v="0"/>
    <n v="38.68"/>
    <n v="97.83"/>
    <n v="36.17"/>
    <n v="0"/>
    <n v="0"/>
    <n v="31.95"/>
    <n v="841.13"/>
    <n v="-31.95"/>
  </r>
  <r>
    <x v="7"/>
    <x v="1"/>
    <x v="0"/>
    <s v="5901200"/>
    <n v="718010"/>
    <s v="Contract Services-Advertising &amp; Public Relations"/>
    <s v="Auburn Med&amp;Spec-Shared Service"/>
    <x v="0"/>
    <m/>
    <n v="0"/>
    <n v="0"/>
    <n v="1500"/>
    <n v="0"/>
    <n v="0"/>
    <n v="0"/>
    <n v="0"/>
    <n v="0"/>
    <n v="0"/>
    <n v="0"/>
    <n v="0"/>
    <n v="0"/>
    <n v="1500"/>
    <n v="0"/>
  </r>
  <r>
    <x v="7"/>
    <x v="1"/>
    <x v="0"/>
    <s v="5901200"/>
    <n v="718010"/>
    <s v="Media/Print Advertising"/>
    <s v="Auburn Med&amp;Spec-Shared Service"/>
    <x v="0"/>
    <n v="1004"/>
    <n v="212.16"/>
    <n v="0"/>
    <n v="454.5"/>
    <n v="318.73"/>
    <n v="0"/>
    <n v="1598.04"/>
    <n v="0"/>
    <n v="0"/>
    <n v="0"/>
    <n v="0"/>
    <n v="0"/>
    <n v="0"/>
    <n v="2583.4299999999998"/>
    <n v="0"/>
  </r>
  <r>
    <x v="7"/>
    <x v="1"/>
    <x v="0"/>
    <s v="5901200"/>
    <n v="718040"/>
    <s v="Contract Svcs-Laboratory"/>
    <s v="Auburn Med&amp;Spec-Shared Service"/>
    <x v="0"/>
    <m/>
    <n v="0"/>
    <n v="0"/>
    <n v="0"/>
    <n v="0"/>
    <n v="0"/>
    <n v="0"/>
    <n v="0"/>
    <n v="0"/>
    <n v="0"/>
    <n v="0"/>
    <n v="108.68"/>
    <n v="0"/>
    <n v="108.68"/>
    <n v="108.68"/>
  </r>
  <r>
    <x v="7"/>
    <x v="1"/>
    <x v="0"/>
    <s v="5901200"/>
    <n v="718050"/>
    <s v="Contract Svcs-Other"/>
    <s v="Auburn Med&amp;Spec-Shared Service"/>
    <x v="0"/>
    <m/>
    <n v="0"/>
    <n v="304.58"/>
    <n v="152.29"/>
    <n v="168.76"/>
    <n v="287.29000000000002"/>
    <n v="341.55"/>
    <n v="0"/>
    <n v="356.72"/>
    <n v="243.26"/>
    <n v="133.65"/>
    <n v="69.95"/>
    <n v="51.53"/>
    <n v="2109.5800000000004"/>
    <n v="18.420000000000002"/>
  </r>
  <r>
    <x v="7"/>
    <x v="1"/>
    <x v="0"/>
    <s v="5901200"/>
    <n v="718050"/>
    <s v="Management Fees"/>
    <s v="Auburn Med&amp;Spec-Shared Service"/>
    <x v="0"/>
    <n v="1004"/>
    <n v="0"/>
    <n v="533.29999999999995"/>
    <n v="0"/>
    <n v="0"/>
    <n v="0"/>
    <n v="106.65"/>
    <n v="178.33"/>
    <n v="100.29"/>
    <n v="0"/>
    <n v="0"/>
    <n v="963.6"/>
    <n v="-31.15"/>
    <n v="1851.02"/>
    <n v="994.75"/>
  </r>
  <r>
    <x v="7"/>
    <x v="1"/>
    <x v="0"/>
    <s v="5901200"/>
    <n v="718050"/>
    <s v="Cleaning Services"/>
    <s v="Auburn Med&amp;Spec-Shared Service"/>
    <x v="0"/>
    <n v="1011"/>
    <n v="0"/>
    <n v="473"/>
    <n v="473"/>
    <n v="946"/>
    <n v="1020"/>
    <n v="1020"/>
    <n v="1908"/>
    <n v="0"/>
    <n v="894"/>
    <n v="894"/>
    <n v="894"/>
    <n v="894"/>
    <n v="9416"/>
    <n v="0"/>
  </r>
  <r>
    <x v="7"/>
    <x v="1"/>
    <x v="0"/>
    <s v="5901200"/>
    <n v="718050"/>
    <s v="Security"/>
    <s v="Auburn Med&amp;Spec-Shared Service"/>
    <x v="0"/>
    <n v="1019"/>
    <n v="0"/>
    <n v="0"/>
    <n v="0"/>
    <n v="0"/>
    <n v="0"/>
    <n v="0"/>
    <n v="0"/>
    <n v="0"/>
    <n v="10922.64"/>
    <n v="0"/>
    <n v="6667.92"/>
    <n v="13904.73"/>
    <n v="31495.289999999997"/>
    <n v="-7236.8099999999995"/>
  </r>
  <r>
    <x v="7"/>
    <x v="1"/>
    <x v="0"/>
    <s v="5901200"/>
    <n v="718050"/>
    <s v="Miscellaneous Purchased Svcs"/>
    <s v="Auburn Med&amp;Spec-Shared Service"/>
    <x v="0"/>
    <n v="1020"/>
    <n v="0"/>
    <n v="0"/>
    <n v="146.37"/>
    <n v="45.8"/>
    <n v="81.52"/>
    <n v="0"/>
    <n v="32.97"/>
    <n v="44.26"/>
    <n v="0"/>
    <n v="23.79"/>
    <n v="3512.95"/>
    <n v="7115.83"/>
    <n v="11003.49"/>
    <n v="-3602.88"/>
  </r>
  <r>
    <x v="7"/>
    <x v="1"/>
    <x v="0"/>
    <s v="5901200"/>
    <n v="718050"/>
    <s v="Translation Services"/>
    <s v="Auburn Med&amp;Spec-Shared Service"/>
    <x v="0"/>
    <n v="1025"/>
    <n v="74.52"/>
    <n v="111"/>
    <n v="121.5"/>
    <n v="15.01"/>
    <n v="41.87"/>
    <n v="57.99"/>
    <n v="0"/>
    <n v="100.33"/>
    <n v="0"/>
    <n v="44.24"/>
    <n v="78.64"/>
    <n v="28.44"/>
    <n v="673.54000000000008"/>
    <n v="50.2"/>
  </r>
  <r>
    <x v="7"/>
    <x v="1"/>
    <x v="0"/>
    <s v="5901200"/>
    <n v="718050"/>
    <s v="Contract Management--Linen"/>
    <s v="Auburn Med&amp;Spec-Shared Service"/>
    <x v="0"/>
    <n v="1026"/>
    <n v="410.43"/>
    <n v="0"/>
    <n v="425.53"/>
    <n v="210.35"/>
    <n v="426.23"/>
    <n v="348.52"/>
    <n v="397.66"/>
    <n v="407.58"/>
    <n v="287.06"/>
    <n v="249.86"/>
    <n v="148.65"/>
    <n v="503.85"/>
    <n v="3815.72"/>
    <n v="-355.20000000000005"/>
  </r>
  <r>
    <x v="7"/>
    <x v="1"/>
    <x v="0"/>
    <s v="5901200"/>
    <n v="718050"/>
    <s v="Purchased Srvcs--Medical Waste"/>
    <s v="Auburn Med&amp;Spec-Shared Service"/>
    <x v="0"/>
    <n v="1027"/>
    <n v="191.58"/>
    <n v="0"/>
    <n v="31.08"/>
    <n v="0"/>
    <n v="0"/>
    <n v="45.03"/>
    <n v="0"/>
    <n v="0"/>
    <n v="0"/>
    <n v="45.03"/>
    <n v="51.8"/>
    <n v="0"/>
    <n v="364.52000000000004"/>
    <n v="51.8"/>
  </r>
  <r>
    <x v="7"/>
    <x v="1"/>
    <x v="0"/>
    <s v="5901200"/>
    <n v="718077"/>
    <s v="PACS"/>
    <s v="Auburn Med&amp;Spec-Shared Service"/>
    <x v="0"/>
    <n v="1000"/>
    <n v="522"/>
    <n v="549"/>
    <n v="333"/>
    <n v="508.5"/>
    <n v="483.75"/>
    <n v="393.75"/>
    <n v="342"/>
    <n v="436.5"/>
    <n v="555.75"/>
    <n v="605.25"/>
    <n v="519.75"/>
    <n v="407.25"/>
    <n v="5656.5"/>
    <n v="112.5"/>
  </r>
  <r>
    <x v="11"/>
    <x v="1"/>
    <x v="0"/>
    <s v="5901200"/>
    <n v="721010"/>
    <s v="Supplies-Medical - Billable"/>
    <s v="Auburn Med&amp;Spec-Shared Service"/>
    <x v="0"/>
    <m/>
    <n v="678.08"/>
    <n v="1695.8"/>
    <n v="0"/>
    <n v="0"/>
    <n v="0"/>
    <n v="0"/>
    <n v="0"/>
    <n v="0"/>
    <n v="0"/>
    <n v="0"/>
    <n v="0"/>
    <n v="0"/>
    <n v="2373.88"/>
    <n v="0"/>
  </r>
  <r>
    <x v="11"/>
    <x v="1"/>
    <x v="0"/>
    <s v="5901200"/>
    <n v="721250"/>
    <s v="Supplies-Pharmacy Drugs - Billable"/>
    <s v="Auburn Med&amp;Spec-Shared Service"/>
    <x v="0"/>
    <m/>
    <n v="1993.34"/>
    <n v="7959.17"/>
    <n v="12687.72"/>
    <n v="20200.5"/>
    <n v="20689.939999999999"/>
    <n v="10155.17"/>
    <n v="8784.69"/>
    <n v="11469.91"/>
    <n v="474.16"/>
    <n v="0"/>
    <n v="6616.38"/>
    <n v="17252.240000000002"/>
    <n v="118283.22000000002"/>
    <n v="-10635.86"/>
  </r>
  <r>
    <x v="11"/>
    <x v="1"/>
    <x v="0"/>
    <s v="5901200"/>
    <n v="721410"/>
    <s v="Supplies-Medical - Nonbillable"/>
    <s v="Auburn Med&amp;Spec-Shared Service"/>
    <x v="0"/>
    <m/>
    <n v="779.43"/>
    <n v="911.1"/>
    <n v="4209.37"/>
    <n v="1819.38"/>
    <n v="684.29"/>
    <n v="2032.11"/>
    <n v="1515.92"/>
    <n v="1783.55"/>
    <n v="1622.96"/>
    <n v="1199.6300000000001"/>
    <n v="14489.42"/>
    <n v="1740.62"/>
    <n v="32787.780000000006"/>
    <n v="12748.8"/>
  </r>
  <r>
    <x v="11"/>
    <x v="1"/>
    <x v="0"/>
    <s v="5901200"/>
    <n v="721810"/>
    <s v="Supplies-Dietary/Cafeteria"/>
    <s v="Auburn Med&amp;Spec-Shared Service"/>
    <x v="0"/>
    <m/>
    <n v="0"/>
    <n v="189.51"/>
    <n v="189.51"/>
    <n v="0"/>
    <n v="0"/>
    <n v="0"/>
    <n v="0"/>
    <n v="130.91"/>
    <n v="0"/>
    <n v="0"/>
    <n v="0"/>
    <n v="0"/>
    <n v="509.92999999999995"/>
    <n v="0"/>
  </r>
  <r>
    <x v="11"/>
    <x v="1"/>
    <x v="0"/>
    <s v="5901200"/>
    <n v="721830"/>
    <s v="Supplies-Office"/>
    <s v="Auburn Med&amp;Spec-Shared Service"/>
    <x v="0"/>
    <m/>
    <n v="127.43"/>
    <n v="103.13"/>
    <n v="94.62"/>
    <n v="1407.75"/>
    <n v="1639.76"/>
    <n v="2025.05"/>
    <n v="-149.68"/>
    <n v="580.54999999999995"/>
    <n v="136.86000000000001"/>
    <n v="1495.81"/>
    <n v="238.41"/>
    <n v="951.62"/>
    <n v="8651.31"/>
    <n v="-713.21"/>
  </r>
  <r>
    <x v="11"/>
    <x v="1"/>
    <x v="0"/>
    <s v="5901200"/>
    <n v="721835"/>
    <s v="Supplies-Forms"/>
    <s v="Auburn Med&amp;Spec-Shared Service"/>
    <x v="0"/>
    <m/>
    <n v="0"/>
    <n v="0"/>
    <n v="0"/>
    <n v="0"/>
    <n v="276.08"/>
    <n v="0"/>
    <n v="30.45"/>
    <n v="0"/>
    <n v="58.21"/>
    <n v="141.08000000000001"/>
    <n v="0"/>
    <n v="6.45"/>
    <n v="512.27"/>
    <n v="-6.45"/>
  </r>
  <r>
    <x v="11"/>
    <x v="1"/>
    <x v="0"/>
    <s v="5901200"/>
    <n v="721870"/>
    <s v="Supplies-Environmental Services"/>
    <s v="Auburn Med&amp;Spec-Shared Service"/>
    <x v="0"/>
    <m/>
    <n v="173.29"/>
    <n v="175.31"/>
    <n v="67.09"/>
    <n v="0"/>
    <n v="260.98"/>
    <n v="0"/>
    <n v="438.14"/>
    <n v="134.12"/>
    <n v="159.15"/>
    <n v="30.12"/>
    <n v="128.55000000000001"/>
    <n v="139.88999999999999"/>
    <n v="1706.6399999999999"/>
    <n v="-11.339999999999975"/>
  </r>
  <r>
    <x v="11"/>
    <x v="1"/>
    <x v="0"/>
    <s v="5901200"/>
    <n v="721910"/>
    <s v="Supplies-Small Equipment"/>
    <s v="Auburn Med&amp;Spec-Shared Service"/>
    <x v="0"/>
    <m/>
    <n v="0"/>
    <n v="3227.05"/>
    <n v="-1613.52"/>
    <n v="0"/>
    <n v="0"/>
    <n v="715.32"/>
    <n v="0"/>
    <n v="0"/>
    <n v="0"/>
    <n v="90027.43"/>
    <n v="0"/>
    <n v="-44.33"/>
    <n v="92311.95"/>
    <n v="44.33"/>
  </r>
  <r>
    <x v="11"/>
    <x v="1"/>
    <x v="0"/>
    <s v="5901200"/>
    <n v="721980"/>
    <s v="Supplies-Other"/>
    <s v="Auburn Med&amp;Spec-Shared Service"/>
    <x v="0"/>
    <m/>
    <n v="0"/>
    <n v="0"/>
    <n v="0"/>
    <n v="0"/>
    <n v="0"/>
    <n v="0"/>
    <n v="0"/>
    <n v="0"/>
    <n v="6.6"/>
    <n v="5.5"/>
    <n v="0"/>
    <n v="0"/>
    <n v="12.1"/>
    <n v="0"/>
  </r>
  <r>
    <x v="11"/>
    <x v="1"/>
    <x v="0"/>
    <s v="5901200"/>
    <n v="722000"/>
    <s v="Supplies-Freight Expense"/>
    <s v="Auburn Med&amp;Spec-Shared Service"/>
    <x v="0"/>
    <m/>
    <n v="0"/>
    <n v="25.15"/>
    <n v="41.46"/>
    <n v="28.51"/>
    <n v="0"/>
    <n v="28.69"/>
    <n v="7.99"/>
    <n v="0"/>
    <n v="9.18"/>
    <n v="0"/>
    <n v="0"/>
    <n v="109.9"/>
    <n v="250.88000000000002"/>
    <n v="-109.9"/>
  </r>
  <r>
    <x v="12"/>
    <x v="1"/>
    <x v="0"/>
    <s v="5901200"/>
    <n v="730010"/>
    <s v="Rental and Leases-Building (DO NOT USE)"/>
    <s v="Auburn Med&amp;Spec-Shared Service"/>
    <x v="0"/>
    <m/>
    <n v="20134.27"/>
    <n v="19753.93"/>
    <n v="19753.93"/>
    <n v="19753.93"/>
    <n v="19753.93"/>
    <n v="-6486.3"/>
    <n v="15444.1"/>
    <n v="15444.1"/>
    <n v="15444.1"/>
    <n v="15444.1"/>
    <n v="15444.1"/>
    <n v="0"/>
    <n v="169884.19"/>
    <n v="15444.1"/>
  </r>
  <r>
    <x v="12"/>
    <x v="1"/>
    <x v="0"/>
    <s v="5901200"/>
    <n v="730010"/>
    <s v="Rental-Common Area Maint (DO NOT USE)"/>
    <s v="Auburn Med&amp;Spec-Shared Service"/>
    <x v="0"/>
    <n v="2200"/>
    <n v="0"/>
    <n v="0"/>
    <n v="0"/>
    <n v="0"/>
    <n v="0"/>
    <n v="26240.23"/>
    <n v="4309.83"/>
    <n v="4309.83"/>
    <n v="4309.83"/>
    <n v="4309.83"/>
    <n v="4309.83"/>
    <n v="0"/>
    <n v="47789.380000000005"/>
    <n v="4309.83"/>
  </r>
  <r>
    <x v="12"/>
    <x v="1"/>
    <x v="0"/>
    <s v="5901200"/>
    <n v="730020"/>
    <s v="Rental and Leases-Copier Usage Fees (DO NOT USE)"/>
    <s v="Auburn Med&amp;Spec-Shared Service"/>
    <x v="0"/>
    <n v="5100"/>
    <n v="1409.04"/>
    <n v="754.44"/>
    <n v="1081.74"/>
    <n v="23.2"/>
    <n v="817.11"/>
    <n v="817.11"/>
    <n v="1424.61"/>
    <n v="733.87"/>
    <n v="732.33"/>
    <n v="1146.1099999999999"/>
    <n v="733.87"/>
    <n v="733.87"/>
    <n v="10407.300000000001"/>
    <n v="0"/>
  </r>
  <r>
    <x v="12"/>
    <x v="1"/>
    <x v="0"/>
    <s v="5901200"/>
    <n v="730040"/>
    <s v="LT Lease-Real Estate"/>
    <s v="Auburn Med&amp;Spec-Shared Service"/>
    <x v="0"/>
    <m/>
    <n v="0"/>
    <n v="0"/>
    <n v="0"/>
    <n v="0"/>
    <n v="0"/>
    <n v="0"/>
    <n v="0"/>
    <n v="0"/>
    <n v="0"/>
    <n v="0"/>
    <n v="0"/>
    <n v="19378.509999999998"/>
    <n v="19378.509999999998"/>
    <n v="-19378.509999999998"/>
  </r>
  <r>
    <x v="15"/>
    <x v="1"/>
    <x v="0"/>
    <s v="5901200"/>
    <n v="731060"/>
    <s v="Telephone"/>
    <s v="Auburn Med&amp;Spec-Shared Service"/>
    <x v="0"/>
    <m/>
    <n v="0"/>
    <n v="0"/>
    <n v="248.83"/>
    <n v="0"/>
    <n v="0"/>
    <n v="0"/>
    <n v="0"/>
    <n v="0"/>
    <n v="0"/>
    <n v="0"/>
    <n v="0"/>
    <n v="0"/>
    <n v="248.83"/>
    <n v="0"/>
  </r>
  <r>
    <x v="16"/>
    <x v="1"/>
    <x v="0"/>
    <s v="5901200"/>
    <n v="732030"/>
    <s v="Repairs---Other"/>
    <s v="Auburn Med&amp;Spec-Shared Service"/>
    <x v="0"/>
    <m/>
    <n v="0"/>
    <n v="0"/>
    <n v="139"/>
    <n v="19.760000000000002"/>
    <n v="131.72999999999999"/>
    <n v="471.09"/>
    <n v="216.7"/>
    <n v="1984.02"/>
    <n v="364.98"/>
    <n v="0"/>
    <n v="0"/>
    <n v="694.57"/>
    <n v="4021.8500000000004"/>
    <n v="-694.57"/>
  </r>
  <r>
    <x v="16"/>
    <x v="1"/>
    <x v="0"/>
    <s v="5901200"/>
    <n v="732030"/>
    <s v="Repairs&amp;Maintenance-Bldg Routine"/>
    <s v="Auburn Med&amp;Spec-Shared Service"/>
    <x v="0"/>
    <n v="2300"/>
    <n v="0"/>
    <n v="141.9"/>
    <n v="467.46"/>
    <n v="418.98"/>
    <n v="527.88"/>
    <n v="0"/>
    <n v="0"/>
    <n v="0"/>
    <n v="0"/>
    <n v="0"/>
    <n v="0"/>
    <n v="0"/>
    <n v="1556.2200000000003"/>
    <n v="0"/>
  </r>
  <r>
    <x v="13"/>
    <x v="1"/>
    <x v="0"/>
    <s v="5901200"/>
    <n v="735050"/>
    <s v="Amortization-Leasehold Improvements"/>
    <s v="Auburn Med&amp;Spec-Shared Service"/>
    <x v="0"/>
    <m/>
    <n v="19192.7"/>
    <n v="19192.7"/>
    <n v="19192.7"/>
    <n v="19192.7"/>
    <n v="19192.7"/>
    <n v="19192.7"/>
    <n v="19192.71"/>
    <n v="19192.7"/>
    <n v="19192.71"/>
    <n v="19192.7"/>
    <n v="19192.71"/>
    <n v="19192.689999999999"/>
    <n v="230312.42"/>
    <n v="2.0000000000436557E-2"/>
  </r>
  <r>
    <x v="13"/>
    <x v="1"/>
    <x v="0"/>
    <s v="5901200"/>
    <n v="735060"/>
    <s v="Depreciation-Fixed Equipment"/>
    <s v="Auburn Med&amp;Spec-Shared Service"/>
    <x v="0"/>
    <m/>
    <n v="1431.46"/>
    <n v="1431.46"/>
    <n v="1431.46"/>
    <n v="1431.45"/>
    <n v="1431.46"/>
    <n v="1431.45"/>
    <n v="1431.46"/>
    <n v="1431.45"/>
    <n v="1431.46"/>
    <n v="1431.45"/>
    <n v="1431.47"/>
    <n v="1431.45"/>
    <n v="17177.48"/>
    <n v="1.999999999998181E-2"/>
  </r>
  <r>
    <x v="13"/>
    <x v="1"/>
    <x v="0"/>
    <s v="5901200"/>
    <n v="735070"/>
    <s v="Depreciation-Movable Equipment"/>
    <s v="Auburn Med&amp;Spec-Shared Service"/>
    <x v="0"/>
    <m/>
    <n v="9489.34"/>
    <n v="9489.32"/>
    <n v="9489.36"/>
    <n v="9489.2999999999993"/>
    <n v="9489.36"/>
    <n v="9489.2800000000007"/>
    <n v="9489.3700000000008"/>
    <n v="9489.27"/>
    <n v="9489.39"/>
    <n v="9489.26"/>
    <n v="9489.41"/>
    <n v="9489.25"/>
    <n v="113871.91"/>
    <n v="0.15999999999985448"/>
  </r>
  <r>
    <x v="0"/>
    <x v="1"/>
    <x v="0"/>
    <s v="5901200"/>
    <n v="742010"/>
    <s v="Postage-Regular"/>
    <s v="Auburn Med&amp;Spec-Shared Service"/>
    <x v="0"/>
    <m/>
    <n v="78.23"/>
    <n v="0"/>
    <n v="0"/>
    <n v="71.72"/>
    <n v="0"/>
    <n v="0"/>
    <n v="0"/>
    <n v="0"/>
    <n v="0"/>
    <n v="56.7"/>
    <n v="0"/>
    <n v="0"/>
    <n v="206.64999999999998"/>
    <n v="0"/>
  </r>
  <r>
    <x v="0"/>
    <x v="1"/>
    <x v="0"/>
    <s v="5901200"/>
    <n v="742040"/>
    <s v="Freight-Other"/>
    <s v="Auburn Med&amp;Spec-Shared Service"/>
    <x v="0"/>
    <m/>
    <n v="0"/>
    <n v="0"/>
    <n v="0"/>
    <n v="37.25"/>
    <n v="0"/>
    <n v="0"/>
    <n v="0"/>
    <n v="0"/>
    <n v="0"/>
    <n v="0"/>
    <n v="0"/>
    <n v="31.15"/>
    <n v="68.400000000000006"/>
    <n v="-31.15"/>
  </r>
  <r>
    <x v="0"/>
    <x v="1"/>
    <x v="0"/>
    <s v="5901200"/>
    <n v="743020"/>
    <s v="Dues--Individual"/>
    <s v="Auburn Med&amp;Spec-Shared Service"/>
    <x v="0"/>
    <m/>
    <n v="0"/>
    <n v="0"/>
    <n v="0"/>
    <n v="0"/>
    <n v="0"/>
    <n v="0"/>
    <n v="0"/>
    <n v="1730"/>
    <n v="0"/>
    <n v="0"/>
    <n v="0"/>
    <n v="0"/>
    <n v="1730"/>
    <n v="0"/>
  </r>
  <r>
    <x v="0"/>
    <x v="1"/>
    <x v="0"/>
    <s v="5901200"/>
    <n v="749510"/>
    <s v="Miscellaneous Expenses"/>
    <s v="Auburn Med&amp;Spec-Shared Service"/>
    <x v="0"/>
    <m/>
    <n v="88"/>
    <n v="0"/>
    <n v="355.55"/>
    <n v="798.76"/>
    <n v="9.15"/>
    <n v="0"/>
    <n v="313.05"/>
    <n v="-8.83"/>
    <n v="500.18"/>
    <n v="82.75"/>
    <n v="98.33"/>
    <n v="23.36"/>
    <n v="2260.3000000000002"/>
    <n v="74.97"/>
  </r>
  <r>
    <x v="0"/>
    <x v="1"/>
    <x v="0"/>
    <s v="5901200"/>
    <n v="749510"/>
    <s v="Licenses"/>
    <s v="Auburn Med&amp;Spec-Shared Service"/>
    <x v="0"/>
    <n v="1002"/>
    <n v="0"/>
    <n v="0"/>
    <n v="265"/>
    <n v="0"/>
    <n v="0"/>
    <n v="357"/>
    <n v="0"/>
    <n v="0"/>
    <n v="0"/>
    <n v="0"/>
    <n v="0"/>
    <n v="0"/>
    <n v="622"/>
    <n v="0"/>
  </r>
  <r>
    <x v="0"/>
    <x v="1"/>
    <x v="0"/>
    <s v="5901200"/>
    <n v="749510"/>
    <s v="RICE Rewards"/>
    <s v="Auburn Med&amp;Spec-Shared Service"/>
    <x v="0"/>
    <n v="5100"/>
    <n v="0"/>
    <n v="0"/>
    <n v="0"/>
    <n v="220"/>
    <n v="0"/>
    <n v="0"/>
    <n v="0"/>
    <n v="0"/>
    <n v="0"/>
    <n v="0"/>
    <n v="0"/>
    <n v="0"/>
    <n v="220"/>
    <n v="0"/>
  </r>
  <r>
    <x v="0"/>
    <x v="1"/>
    <x v="0"/>
    <s v="5901200"/>
    <n v="749530"/>
    <s v="Mileage"/>
    <s v="Auburn Med&amp;Spec-Shared Service"/>
    <x v="0"/>
    <n v="1001"/>
    <n v="0"/>
    <n v="37.08"/>
    <n v="0"/>
    <n v="92.68"/>
    <n v="0"/>
    <n v="64.86"/>
    <n v="0"/>
    <n v="77.72"/>
    <n v="22.62"/>
    <n v="120.06"/>
    <n v="0"/>
    <n v="29.58"/>
    <n v="444.6"/>
    <n v="-29.58"/>
  </r>
  <r>
    <x v="0"/>
    <x v="1"/>
    <x v="0"/>
    <s v="5901200"/>
    <n v="749550"/>
    <s v="Cash Over/Short"/>
    <s v="Auburn Med&amp;Spec-Shared Service"/>
    <x v="0"/>
    <m/>
    <n v="0"/>
    <n v="0"/>
    <n v="0"/>
    <n v="0"/>
    <n v="0"/>
    <n v="0"/>
    <n v="0"/>
    <n v="0"/>
    <n v="-1.45"/>
    <n v="2"/>
    <n v="0"/>
    <n v="0"/>
    <n v="0.55000000000000004"/>
    <n v="0"/>
  </r>
  <r>
    <x v="0"/>
    <x v="1"/>
    <x v="0"/>
    <s v="5901200"/>
    <n v="749591"/>
    <s v="Other Expense-Intracompany Allocation"/>
    <s v="Auburn Med&amp;Spec-Shared Service"/>
    <x v="0"/>
    <m/>
    <n v="-94272.1"/>
    <n v="-109300.38"/>
    <n v="-114189.1"/>
    <n v="-117793.12"/>
    <n v="-127312.55"/>
    <n v="-114544.39"/>
    <n v="-108160.03"/>
    <n v="-115509"/>
    <n v="-125421.43"/>
    <n v="-207366.08"/>
    <n v="-140734.98000000001"/>
    <n v="-140030.48000000001"/>
    <n v="-1514633.6400000001"/>
    <n v="-704.5"/>
  </r>
  <r>
    <x v="5"/>
    <x v="1"/>
    <x v="0"/>
    <s v="5902200"/>
    <n v="700038"/>
    <s v="Salaries-Service/Support-Productive"/>
    <s v="WH-Gig Harbor Shared Svc"/>
    <x v="0"/>
    <m/>
    <n v="5012.8100000000004"/>
    <n v="3141.31"/>
    <n v="4335.32"/>
    <n v="5597.44"/>
    <n v="4071"/>
    <n v="2788.59"/>
    <n v="4168.8599999999997"/>
    <n v="2695.15"/>
    <n v="3337.29"/>
    <n v="4050.26"/>
    <n v="4275.5600000000004"/>
    <n v="3791.68"/>
    <n v="47265.270000000004"/>
    <n v="483.88000000000056"/>
  </r>
  <r>
    <x v="5"/>
    <x v="1"/>
    <x v="0"/>
    <s v="5902200"/>
    <n v="700038"/>
    <s v="Salaries-Service/Support-OT"/>
    <s v="WH-Gig Harbor Shared Svc"/>
    <x v="0"/>
    <n v="1000"/>
    <n v="61.08"/>
    <n v="-10.18"/>
    <n v="50.9"/>
    <n v="16.97"/>
    <n v="34.799999999999997"/>
    <n v="34.79"/>
    <n v="57.5"/>
    <n v="-13.94"/>
    <n v="26.13"/>
    <n v="153.27000000000001"/>
    <n v="3.5"/>
    <n v="8.7200000000000006"/>
    <n v="423.54000000000008"/>
    <n v="-5.2200000000000006"/>
  </r>
  <r>
    <x v="5"/>
    <x v="1"/>
    <x v="0"/>
    <s v="5902200"/>
    <n v="700078"/>
    <s v="Salaries-Service/Support-Non-productive"/>
    <s v="WH-Gig Harbor Shared Svc"/>
    <x v="0"/>
    <m/>
    <n v="180.96"/>
    <n v="2804.88"/>
    <n v="-271.44"/>
    <n v="0"/>
    <n v="0"/>
    <n v="1292.8399999999999"/>
    <n v="110.44"/>
    <n v="1032.3"/>
    <n v="564.36"/>
    <n v="-278.69"/>
    <n v="139.34"/>
    <n v="145.15"/>
    <n v="5720.1399999999994"/>
    <n v="-5.8100000000000023"/>
  </r>
  <r>
    <x v="5"/>
    <x v="1"/>
    <x v="0"/>
    <s v="5902200"/>
    <n v="700078"/>
    <s v="Salaries-Service/Support-NonProd-Other"/>
    <s v="WH-Gig Harbor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02200"/>
    <n v="700084"/>
    <s v="Accrued PTO"/>
    <s v="WH-Gig Harbor Shared Svc"/>
    <x v="0"/>
    <m/>
    <n v="283.98"/>
    <n v="-1948.71"/>
    <n v="226.43"/>
    <n v="446.22"/>
    <n v="416.49"/>
    <n v="-559.79999999999995"/>
    <n v="115.71"/>
    <n v="-289.41000000000003"/>
    <n v="-140.76"/>
    <n v="421.59"/>
    <n v="348.32"/>
    <n v="410"/>
    <n v="-269.94000000000005"/>
    <n v="-61.680000000000007"/>
  </r>
  <r>
    <x v="6"/>
    <x v="1"/>
    <x v="0"/>
    <s v="5902200"/>
    <n v="713010"/>
    <s v="Benefits-FICA/Medicare"/>
    <s v="WH-Gig Harbor Shared Svc"/>
    <x v="0"/>
    <m/>
    <n v="375.98"/>
    <n v="425.62"/>
    <n v="294.41000000000003"/>
    <n v="393.02"/>
    <n v="293.24"/>
    <n v="294.58"/>
    <n v="308.22000000000003"/>
    <n v="263.66000000000003"/>
    <n v="279.01"/>
    <n v="279.43"/>
    <n v="313.81"/>
    <n v="280.26"/>
    <n v="3801.24"/>
    <n v="33.550000000000011"/>
  </r>
  <r>
    <x v="6"/>
    <x v="1"/>
    <x v="0"/>
    <s v="5902200"/>
    <n v="713090"/>
    <s v="Benefits-Allocated Amounts"/>
    <s v="WH-Gig Harbor Shared Svc"/>
    <x v="0"/>
    <m/>
    <n v="1425.64"/>
    <n v="1323.03"/>
    <n v="1218.8"/>
    <n v="1427.86"/>
    <n v="1264.72"/>
    <n v="1066.8499999999999"/>
    <n v="1374.28"/>
    <n v="1144.49"/>
    <n v="1159.24"/>
    <n v="1135.17"/>
    <n v="1321.31"/>
    <n v="1042.3599999999999"/>
    <n v="14903.75"/>
    <n v="278.95000000000005"/>
  </r>
  <r>
    <x v="17"/>
    <x v="1"/>
    <x v="0"/>
    <s v="5902200"/>
    <n v="714520"/>
    <s v="Other Contracted Professionals"/>
    <s v="WH-Gig Harbor Shared Svc"/>
    <x v="0"/>
    <m/>
    <n v="0"/>
    <n v="0"/>
    <n v="0"/>
    <n v="0"/>
    <n v="0"/>
    <n v="0"/>
    <n v="0"/>
    <n v="0"/>
    <n v="0"/>
    <n v="0"/>
    <n v="1500"/>
    <n v="2400"/>
    <n v="3900"/>
    <n v="-900"/>
  </r>
  <r>
    <x v="7"/>
    <x v="1"/>
    <x v="0"/>
    <s v="5902200"/>
    <n v="718010"/>
    <s v="Media/Print Advertising"/>
    <s v="WH-Gig Harbor Shared Svc"/>
    <x v="0"/>
    <n v="1004"/>
    <n v="0"/>
    <n v="0"/>
    <n v="0"/>
    <n v="0"/>
    <n v="268.93"/>
    <n v="0"/>
    <n v="0"/>
    <n v="0"/>
    <n v="0"/>
    <n v="0"/>
    <n v="217.99"/>
    <n v="0"/>
    <n v="486.92"/>
    <n v="217.99"/>
  </r>
  <r>
    <x v="7"/>
    <x v="1"/>
    <x v="0"/>
    <s v="5902200"/>
    <n v="718050"/>
    <s v="Contract Svcs-Other"/>
    <s v="WH-Gig Harbor Shared Svc"/>
    <x v="0"/>
    <m/>
    <n v="73.75"/>
    <n v="73.75"/>
    <n v="73.75"/>
    <n v="73.75"/>
    <n v="73.75"/>
    <n v="96.06"/>
    <n v="0"/>
    <n v="115.74"/>
    <n v="285.5"/>
    <n v="271.25"/>
    <n v="0"/>
    <n v="10.36"/>
    <n v="1147.6599999999999"/>
    <n v="-10.36"/>
  </r>
  <r>
    <x v="7"/>
    <x v="1"/>
    <x v="0"/>
    <s v="5902200"/>
    <n v="718050"/>
    <s v="Physician Answering"/>
    <s v="WH-Gig Harbor Shared Svc"/>
    <x v="0"/>
    <n v="1015"/>
    <n v="16"/>
    <n v="0"/>
    <n v="128"/>
    <n v="0"/>
    <n v="0"/>
    <n v="0"/>
    <n v="0"/>
    <n v="0"/>
    <n v="0"/>
    <n v="0"/>
    <n v="0"/>
    <n v="0"/>
    <n v="144"/>
    <n v="0"/>
  </r>
  <r>
    <x v="7"/>
    <x v="1"/>
    <x v="0"/>
    <s v="5902200"/>
    <n v="718050"/>
    <s v="Miscellaneous Purchased Svcs"/>
    <s v="WH-Gig Harbor Shared Svc"/>
    <x v="0"/>
    <n v="1020"/>
    <n v="0"/>
    <n v="0"/>
    <n v="54.14"/>
    <n v="0"/>
    <n v="27.07"/>
    <n v="27.07"/>
    <n v="0"/>
    <n v="0"/>
    <n v="54.14"/>
    <n v="54.14"/>
    <n v="0"/>
    <n v="27.07"/>
    <n v="243.63"/>
    <n v="-27.07"/>
  </r>
  <r>
    <x v="7"/>
    <x v="1"/>
    <x v="0"/>
    <s v="5902200"/>
    <n v="718050"/>
    <s v="Translation Services"/>
    <s v="WH-Gig Harbor Shared Svc"/>
    <x v="0"/>
    <n v="1025"/>
    <n v="57.6"/>
    <n v="0"/>
    <n v="133.02000000000001"/>
    <n v="6.32"/>
    <n v="40.01"/>
    <n v="33.97"/>
    <n v="36.57"/>
    <n v="34.979999999999997"/>
    <n v="0"/>
    <n v="25.28"/>
    <n v="32.39"/>
    <n v="267.94"/>
    <n v="668.07999999999993"/>
    <n v="-235.55"/>
  </r>
  <r>
    <x v="7"/>
    <x v="1"/>
    <x v="0"/>
    <s v="5902200"/>
    <n v="718050"/>
    <s v="Purchased Srvcs--Medical Waste"/>
    <s v="WH-Gig Harbor Shared Svc"/>
    <x v="0"/>
    <n v="1027"/>
    <n v="21.52"/>
    <n v="21.52"/>
    <n v="21.52"/>
    <n v="0"/>
    <n v="21.52"/>
    <n v="21.52"/>
    <n v="43.04"/>
    <n v="21.52"/>
    <n v="0"/>
    <n v="43.04"/>
    <n v="0"/>
    <n v="21.52"/>
    <n v="236.72"/>
    <n v="-21.52"/>
  </r>
  <r>
    <x v="7"/>
    <x v="1"/>
    <x v="0"/>
    <s v="5902200"/>
    <n v="718070"/>
    <s v="Contract Srvcs-CHI Clinical Engineering"/>
    <s v="WH-Gig Harbor Shared Svc"/>
    <x v="0"/>
    <m/>
    <n v="0"/>
    <n v="1355.22"/>
    <n v="2291.2199999999998"/>
    <n v="1724.07"/>
    <n v="2613.85"/>
    <n v="2756.89"/>
    <n v="1982.79"/>
    <n v="5725.65"/>
    <n v="0"/>
    <n v="0"/>
    <n v="1494.03"/>
    <n v="0"/>
    <n v="19943.719999999994"/>
    <n v="1494.03"/>
  </r>
  <r>
    <x v="11"/>
    <x v="1"/>
    <x v="0"/>
    <s v="5902200"/>
    <n v="721010"/>
    <s v="Supplies-Medical - Billable"/>
    <s v="WH-Gig Harbor Shared Svc"/>
    <x v="0"/>
    <m/>
    <n v="9493.1200000000008"/>
    <n v="7799.72"/>
    <n v="8136.96"/>
    <n v="9013.5"/>
    <n v="6780.8"/>
    <n v="2617.4699999999998"/>
    <n v="678.08"/>
    <n v="2955.9"/>
    <n v="11525.3"/>
    <n v="10554"/>
    <n v="1780.6"/>
    <n v="7437.4"/>
    <n v="78772.850000000006"/>
    <n v="-5656.7999999999993"/>
  </r>
  <r>
    <x v="11"/>
    <x v="1"/>
    <x v="0"/>
    <s v="5902200"/>
    <n v="721020"/>
    <s v="Endomechanical Supplies &amp; Instruments"/>
    <s v="WH-Gig Harbor Shared Svc"/>
    <x v="0"/>
    <n v="1003"/>
    <n v="0"/>
    <n v="0"/>
    <n v="0"/>
    <n v="0"/>
    <n v="0"/>
    <n v="0"/>
    <n v="0"/>
    <n v="0"/>
    <n v="1651.5"/>
    <n v="24.77"/>
    <n v="0"/>
    <n v="0"/>
    <n v="1676.27"/>
    <n v="0"/>
  </r>
  <r>
    <x v="11"/>
    <x v="1"/>
    <x v="0"/>
    <s v="5902200"/>
    <n v="721250"/>
    <s v="Supplies-Pharmacy Drugs - Billable"/>
    <s v="WH-Gig Harbor Shared Svc"/>
    <x v="0"/>
    <m/>
    <n v="864.6"/>
    <n v="19.72"/>
    <n v="1441.75"/>
    <n v="1535.53"/>
    <n v="1699.08"/>
    <n v="3016.49"/>
    <n v="2566.91"/>
    <n v="1633.09"/>
    <n v="264.88"/>
    <n v="2493.58"/>
    <n v="-26001.38"/>
    <n v="4806.41"/>
    <n v="-5659.340000000002"/>
    <n v="-30807.79"/>
  </r>
  <r>
    <x v="11"/>
    <x v="1"/>
    <x v="0"/>
    <s v="5902200"/>
    <n v="721830"/>
    <s v="Supplies-Office"/>
    <s v="WH-Gig Harbor Shared Svc"/>
    <x v="0"/>
    <m/>
    <n v="248.76"/>
    <n v="54.54"/>
    <n v="0"/>
    <n v="119.43"/>
    <n v="233.51"/>
    <n v="246.07"/>
    <n v="235.39"/>
    <n v="285.86"/>
    <n v="83.59"/>
    <n v="178.84"/>
    <n v="118.65"/>
    <n v="179.06"/>
    <n v="1983.6999999999998"/>
    <n v="-60.41"/>
  </r>
  <r>
    <x v="11"/>
    <x v="1"/>
    <x v="0"/>
    <s v="5902200"/>
    <n v="721835"/>
    <s v="Supplies-Forms"/>
    <s v="WH-Gig Harbor Shared Svc"/>
    <x v="0"/>
    <m/>
    <n v="0"/>
    <n v="0"/>
    <n v="0"/>
    <n v="0"/>
    <n v="19.72"/>
    <n v="33.83"/>
    <n v="0"/>
    <n v="0"/>
    <n v="0"/>
    <n v="14"/>
    <n v="0"/>
    <n v="0"/>
    <n v="67.55"/>
    <n v="0"/>
  </r>
  <r>
    <x v="11"/>
    <x v="1"/>
    <x v="0"/>
    <s v="5902200"/>
    <n v="721870"/>
    <s v="Supplies-Environmental Services"/>
    <s v="WH-Gig Harbor Shared Svc"/>
    <x v="0"/>
    <m/>
    <n v="0"/>
    <n v="0"/>
    <n v="0"/>
    <n v="0"/>
    <n v="0"/>
    <n v="0"/>
    <n v="819.93"/>
    <n v="567.79999999999995"/>
    <n v="537.25"/>
    <n v="136.61000000000001"/>
    <n v="266.06"/>
    <n v="484.77"/>
    <n v="2812.42"/>
    <n v="-218.70999999999998"/>
  </r>
  <r>
    <x v="11"/>
    <x v="1"/>
    <x v="0"/>
    <s v="5902200"/>
    <n v="721910"/>
    <s v="Supplies-Small Equipment"/>
    <s v="WH-Gig Harbor Shared Svc"/>
    <x v="0"/>
    <m/>
    <n v="0"/>
    <n v="0"/>
    <n v="0"/>
    <n v="0"/>
    <n v="0"/>
    <n v="0"/>
    <n v="0"/>
    <n v="891.49"/>
    <n v="0"/>
    <n v="0"/>
    <n v="0"/>
    <n v="0"/>
    <n v="891.49"/>
    <n v="0"/>
  </r>
  <r>
    <x v="11"/>
    <x v="1"/>
    <x v="0"/>
    <s v="5902200"/>
    <n v="722000"/>
    <s v="Supplies-Freight Expense"/>
    <s v="WH-Gig Harbor Shared Svc"/>
    <x v="0"/>
    <m/>
    <n v="0"/>
    <n v="0"/>
    <n v="0"/>
    <n v="0"/>
    <n v="0"/>
    <n v="0"/>
    <n v="0"/>
    <n v="22"/>
    <n v="0"/>
    <n v="25.36"/>
    <n v="0"/>
    <n v="0"/>
    <n v="47.36"/>
    <n v="0"/>
  </r>
  <r>
    <x v="12"/>
    <x v="1"/>
    <x v="0"/>
    <s v="5902200"/>
    <n v="730010"/>
    <s v="Rental and Leases-Building (DO NOT USE)"/>
    <s v="WH-Gig Harbor Shared Svc"/>
    <x v="0"/>
    <m/>
    <n v="6613.44"/>
    <n v="6616.89"/>
    <n v="6716.83"/>
    <n v="6716.83"/>
    <n v="6716.83"/>
    <n v="1176.07"/>
    <n v="4238.92"/>
    <n v="4238.92"/>
    <n v="4238.92"/>
    <n v="-5091.2299999999996"/>
    <n v="4238.92"/>
    <n v="0"/>
    <n v="46421.34"/>
    <n v="4238.92"/>
  </r>
  <r>
    <x v="12"/>
    <x v="1"/>
    <x v="0"/>
    <s v="5902200"/>
    <n v="730010"/>
    <s v="Rental-Common Area Maint (DO NOT USE)"/>
    <s v="WH-Gig Harbor Shared Svc"/>
    <x v="0"/>
    <n v="2200"/>
    <n v="0"/>
    <n v="0"/>
    <n v="0"/>
    <n v="0"/>
    <n v="0"/>
    <n v="5565.9"/>
    <n v="2503.0500000000002"/>
    <n v="2503.0500000000002"/>
    <n v="3429.39"/>
    <n v="10108.379999999999"/>
    <n v="2503.0500000000002"/>
    <n v="1866.03"/>
    <n v="28478.849999999995"/>
    <n v="637.02000000000021"/>
  </r>
  <r>
    <x v="12"/>
    <x v="1"/>
    <x v="0"/>
    <s v="5902200"/>
    <n v="730020"/>
    <s v="Rental and Leases-Copier Usage Fees (DO NOT USE)"/>
    <s v="WH-Gig Harbor Shared Svc"/>
    <x v="0"/>
    <n v="5100"/>
    <n v="312.25"/>
    <n v="321.16000000000003"/>
    <n v="316.7"/>
    <n v="316.7"/>
    <n v="316.7"/>
    <n v="316.7"/>
    <n v="309.5"/>
    <n v="0"/>
    <n v="0"/>
    <n v="0"/>
    <n v="0"/>
    <n v="0"/>
    <n v="2209.71"/>
    <n v="0"/>
  </r>
  <r>
    <x v="12"/>
    <x v="1"/>
    <x v="0"/>
    <s v="5902200"/>
    <n v="730040"/>
    <s v="LT Lease-Real Estate"/>
    <s v="WH-Gig Harbor Shared Svc"/>
    <x v="0"/>
    <m/>
    <n v="0"/>
    <n v="0"/>
    <n v="0"/>
    <n v="0"/>
    <n v="0"/>
    <n v="0"/>
    <n v="0"/>
    <n v="0"/>
    <n v="0"/>
    <n v="0"/>
    <n v="0"/>
    <n v="4875.9399999999996"/>
    <n v="4875.9399999999996"/>
    <n v="-4875.9399999999996"/>
  </r>
  <r>
    <x v="15"/>
    <x v="1"/>
    <x v="0"/>
    <s v="5902200"/>
    <n v="731070"/>
    <s v="Cable TV"/>
    <s v="WH-Gig Harbor Shared Svc"/>
    <x v="0"/>
    <m/>
    <n v="129.97999999999999"/>
    <n v="129.97999999999999"/>
    <n v="129.97999999999999"/>
    <n v="129.97999999999999"/>
    <n v="129.97999999999999"/>
    <n v="134.22999999999999"/>
    <n v="129.97999999999999"/>
    <n v="133.11000000000001"/>
    <n v="131.97999999999999"/>
    <n v="131.97999999999999"/>
    <n v="131.97999999999999"/>
    <n v="131.97999999999999"/>
    <n v="1575.14"/>
    <n v="0"/>
  </r>
  <r>
    <x v="16"/>
    <x v="1"/>
    <x v="0"/>
    <s v="5902200"/>
    <n v="732030"/>
    <s v="Repairs---Other"/>
    <s v="WH-Gig Harbor Shared Svc"/>
    <x v="0"/>
    <m/>
    <n v="0"/>
    <n v="83.81"/>
    <n v="0"/>
    <n v="0"/>
    <n v="0"/>
    <n v="0"/>
    <n v="0"/>
    <n v="0"/>
    <n v="0"/>
    <n v="0"/>
    <n v="0"/>
    <n v="0"/>
    <n v="83.81"/>
    <n v="0"/>
  </r>
  <r>
    <x v="13"/>
    <x v="1"/>
    <x v="0"/>
    <s v="5902200"/>
    <n v="735050"/>
    <s v="Amortization-Leasehold Improvements"/>
    <s v="WH-Gig Harbor Shared Svc"/>
    <x v="0"/>
    <m/>
    <n v="7550.66"/>
    <n v="7550.68"/>
    <n v="7550.61"/>
    <n v="0"/>
    <n v="0"/>
    <n v="0"/>
    <n v="0"/>
    <n v="0"/>
    <n v="0"/>
    <n v="0"/>
    <n v="0"/>
    <n v="0"/>
    <n v="22651.95"/>
    <n v="0"/>
  </r>
  <r>
    <x v="13"/>
    <x v="1"/>
    <x v="0"/>
    <s v="5902200"/>
    <n v="735060"/>
    <s v="Depreciation-Fixed Equipment"/>
    <s v="WH-Gig Harbor Shared Svc"/>
    <x v="0"/>
    <m/>
    <n v="51.72"/>
    <n v="51.72"/>
    <n v="51.72"/>
    <n v="51.72"/>
    <n v="51.72"/>
    <n v="51.72"/>
    <n v="51.72"/>
    <n v="51.72"/>
    <n v="51.71"/>
    <n v="51.72"/>
    <n v="51.71"/>
    <n v="0"/>
    <n v="568.90000000000009"/>
    <n v="51.71"/>
  </r>
  <r>
    <x v="13"/>
    <x v="1"/>
    <x v="0"/>
    <s v="5902200"/>
    <n v="735070"/>
    <s v="Depreciation-Movable Equipment"/>
    <s v="WH-Gig Harbor Shared Svc"/>
    <x v="0"/>
    <m/>
    <n v="2402.69"/>
    <n v="2402.6799999999998"/>
    <n v="2402.69"/>
    <n v="2402.6999999999998"/>
    <n v="2402.69"/>
    <n v="2402.6999999999998"/>
    <n v="2402.67"/>
    <n v="2402.6999999999998"/>
    <n v="2402.67"/>
    <n v="2402.69"/>
    <n v="2402.67"/>
    <n v="1382.91"/>
    <n v="27812.460000000003"/>
    <n v="1019.76"/>
  </r>
  <r>
    <x v="0"/>
    <x v="1"/>
    <x v="0"/>
    <s v="5902200"/>
    <n v="749510"/>
    <s v="Miscellaneous Expenses"/>
    <s v="WH-Gig Harbor Shared Svc"/>
    <x v="0"/>
    <m/>
    <n v="0"/>
    <n v="16.989999999999998"/>
    <n v="-16.989999999999998"/>
    <n v="0"/>
    <n v="16.989999999999998"/>
    <n v="-16.989999999999998"/>
    <n v="35.520000000000003"/>
    <n v="-35.520000000000003"/>
    <n v="0"/>
    <n v="0"/>
    <n v="17.760000000000002"/>
    <n v="-17.760000000000002"/>
    <n v="0"/>
    <n v="35.520000000000003"/>
  </r>
  <r>
    <x v="0"/>
    <x v="1"/>
    <x v="0"/>
    <s v="5902200"/>
    <n v="749510"/>
    <s v="Licenses"/>
    <s v="WH-Gig Harbor Shared Svc"/>
    <x v="0"/>
    <n v="1002"/>
    <n v="0"/>
    <n v="0"/>
    <n v="265"/>
    <n v="0"/>
    <n v="0"/>
    <n v="193"/>
    <n v="38.75"/>
    <n v="0"/>
    <n v="0"/>
    <n v="0"/>
    <n v="0"/>
    <n v="0"/>
    <n v="496.75"/>
    <n v="0"/>
  </r>
  <r>
    <x v="0"/>
    <x v="1"/>
    <x v="0"/>
    <s v="5902200"/>
    <n v="749530"/>
    <s v="Travel"/>
    <s v="WH-Gig Harbor Shared Svc"/>
    <x v="0"/>
    <m/>
    <n v="0"/>
    <n v="0"/>
    <n v="10"/>
    <n v="5"/>
    <n v="0"/>
    <n v="5"/>
    <n v="0"/>
    <n v="5"/>
    <n v="5"/>
    <n v="20"/>
    <n v="0"/>
    <n v="5"/>
    <n v="55"/>
    <n v="-5"/>
  </r>
  <r>
    <x v="0"/>
    <x v="1"/>
    <x v="0"/>
    <s v="5902200"/>
    <n v="749530"/>
    <s v="Mileage"/>
    <s v="WH-Gig Harbor Shared Svc"/>
    <x v="0"/>
    <n v="1001"/>
    <n v="0"/>
    <n v="0"/>
    <n v="23.98"/>
    <n v="11.99"/>
    <n v="0"/>
    <n v="11.99"/>
    <n v="0"/>
    <n v="12.76"/>
    <n v="12.76"/>
    <n v="41.76"/>
    <n v="0"/>
    <n v="12.76"/>
    <n v="128"/>
    <n v="-12.76"/>
  </r>
  <r>
    <x v="5"/>
    <x v="1"/>
    <x v="0"/>
    <s v="5903200"/>
    <n v="700022"/>
    <s v="Salaries-Physician-Productive"/>
    <s v="FPC @ Gravelly Lake"/>
    <x v="0"/>
    <m/>
    <n v="0"/>
    <n v="0"/>
    <n v="6865.38"/>
    <n v="2929.24"/>
    <n v="1647.69"/>
    <n v="0"/>
    <n v="0"/>
    <n v="0"/>
    <n v="0"/>
    <n v="0"/>
    <n v="0"/>
    <n v="0"/>
    <n v="11442.31"/>
    <n v="0"/>
  </r>
  <r>
    <x v="5"/>
    <x v="1"/>
    <x v="0"/>
    <s v="5903200"/>
    <n v="700024"/>
    <s v="Salaries-Advanced Practice Clinician-Productive"/>
    <s v="FPC @ Gravelly Lake"/>
    <x v="0"/>
    <m/>
    <n v="0"/>
    <n v="0"/>
    <n v="0"/>
    <n v="729.84"/>
    <n v="0"/>
    <n v="0"/>
    <n v="0"/>
    <n v="0"/>
    <n v="0"/>
    <n v="0"/>
    <n v="0"/>
    <n v="0"/>
    <n v="729.84"/>
    <n v="0"/>
  </r>
  <r>
    <x v="5"/>
    <x v="1"/>
    <x v="0"/>
    <s v="5903200"/>
    <n v="700026"/>
    <s v="Salaries-RN-Productive"/>
    <s v="FPC @ Gravelly Lake"/>
    <x v="0"/>
    <m/>
    <n v="5583.2"/>
    <n v="5573.36"/>
    <n v="4846.3999999999996"/>
    <n v="2310.63"/>
    <n v="6614.85"/>
    <n v="4109.9799999999996"/>
    <n v="5836.8"/>
    <n v="4717.25"/>
    <n v="1507.01"/>
    <n v="0"/>
    <n v="0"/>
    <n v="0"/>
    <n v="41099.480000000003"/>
    <n v="0"/>
  </r>
  <r>
    <x v="5"/>
    <x v="1"/>
    <x v="0"/>
    <s v="5903200"/>
    <n v="700026"/>
    <s v="Salaries-RN-OT"/>
    <s v="FPC @ Gravelly Lake"/>
    <x v="0"/>
    <n v="1000"/>
    <n v="191.83"/>
    <n v="686.47"/>
    <n v="51.18"/>
    <n v="-34.14"/>
    <n v="423.49"/>
    <n v="165.76"/>
    <n v="43.58"/>
    <n v="301.42"/>
    <n v="-40.020000000000003"/>
    <n v="0"/>
    <n v="0"/>
    <n v="0"/>
    <n v="1789.57"/>
    <n v="0"/>
  </r>
  <r>
    <x v="5"/>
    <x v="1"/>
    <x v="0"/>
    <s v="5903200"/>
    <n v="700026"/>
    <s v="Salaries-RN-Other"/>
    <s v="FPC @ Gravelly Lake"/>
    <x v="0"/>
    <n v="2000"/>
    <n v="154.31"/>
    <n v="45.37"/>
    <n v="13.75"/>
    <n v="-4.62"/>
    <n v="4.25"/>
    <n v="0"/>
    <n v="0"/>
    <n v="0"/>
    <n v="0"/>
    <n v="0"/>
    <n v="0"/>
    <n v="0"/>
    <n v="213.06"/>
    <n v="0"/>
  </r>
  <r>
    <x v="5"/>
    <x v="1"/>
    <x v="0"/>
    <s v="5903200"/>
    <n v="700030"/>
    <s v="Salaries-LPN-Productive"/>
    <s v="FPC @ Gravelly Lake"/>
    <x v="0"/>
    <m/>
    <n v="7334.35"/>
    <n v="7564.25"/>
    <n v="4302.18"/>
    <n v="4050.63"/>
    <n v="4046.92"/>
    <n v="1816.8"/>
    <n v="4072.17"/>
    <n v="3309.14"/>
    <n v="5568.71"/>
    <n v="8526.08"/>
    <n v="9316.9"/>
    <n v="1680.37"/>
    <n v="61588.500000000007"/>
    <n v="7636.53"/>
  </r>
  <r>
    <x v="5"/>
    <x v="1"/>
    <x v="0"/>
    <s v="5903200"/>
    <n v="700030"/>
    <s v="Salaries-LPN-OT"/>
    <s v="FPC @ Gravelly Lake"/>
    <x v="0"/>
    <n v="1000"/>
    <n v="25.11"/>
    <n v="323.24"/>
    <n v="16.62"/>
    <n v="451.56"/>
    <n v="139.88"/>
    <n v="281.05"/>
    <n v="230.28"/>
    <n v="11.93"/>
    <n v="137.26"/>
    <n v="1794.4"/>
    <n v="699.63"/>
    <n v="-349.18"/>
    <n v="3761.78"/>
    <n v="1048.81"/>
  </r>
  <r>
    <x v="5"/>
    <x v="1"/>
    <x v="0"/>
    <s v="5903200"/>
    <n v="700030"/>
    <s v="Salaries-LPN-Other"/>
    <s v="FPC @ Gravelly Lake"/>
    <x v="0"/>
    <n v="2000"/>
    <n v="59.65"/>
    <n v="62.1"/>
    <n v="82.62"/>
    <n v="0"/>
    <n v="4"/>
    <n v="0"/>
    <n v="136.46"/>
    <n v="0"/>
    <n v="30.06"/>
    <n v="-0.02"/>
    <n v="0"/>
    <n v="0"/>
    <n v="374.87000000000006"/>
    <n v="0"/>
  </r>
  <r>
    <x v="5"/>
    <x v="1"/>
    <x v="0"/>
    <s v="5903200"/>
    <n v="700038"/>
    <s v="Salaries-Service/Support-Productive"/>
    <s v="FPC @ Gravelly Lake"/>
    <x v="0"/>
    <m/>
    <n v="14520.22"/>
    <n v="14014.76"/>
    <n v="8207.33"/>
    <n v="11088.97"/>
    <n v="10228.27"/>
    <n v="2642.82"/>
    <n v="5403.1"/>
    <n v="5709.84"/>
    <n v="2785.93"/>
    <n v="3686.09"/>
    <n v="3766.19"/>
    <n v="3092.79"/>
    <n v="85146.309999999983"/>
    <n v="673.40000000000009"/>
  </r>
  <r>
    <x v="5"/>
    <x v="1"/>
    <x v="0"/>
    <s v="5903200"/>
    <n v="700038"/>
    <s v="Salaries-Service/Support-OT"/>
    <s v="FPC @ Gravelly Lake"/>
    <x v="0"/>
    <n v="1000"/>
    <n v="155.21"/>
    <n v="312.17"/>
    <n v="-21.18"/>
    <n v="175.89"/>
    <n v="175.98"/>
    <n v="164.61"/>
    <n v="8.39"/>
    <n v="10.8"/>
    <n v="486.99"/>
    <n v="575.71"/>
    <n v="500.86"/>
    <n v="514.51"/>
    <n v="3059.9399999999996"/>
    <n v="-13.649999999999977"/>
  </r>
  <r>
    <x v="5"/>
    <x v="1"/>
    <x v="0"/>
    <s v="5903200"/>
    <n v="700038"/>
    <s v="Salaries-Service/Support-Other"/>
    <s v="FPC @ Gravelly Lake"/>
    <x v="0"/>
    <n v="2000"/>
    <n v="335.93"/>
    <n v="102.5"/>
    <n v="236.64"/>
    <n v="-20"/>
    <n v="0"/>
    <n v="56.97"/>
    <n v="68.41"/>
    <n v="-4.8"/>
    <n v="0"/>
    <n v="3.51"/>
    <n v="0"/>
    <n v="6"/>
    <n v="785.16"/>
    <n v="-6"/>
  </r>
  <r>
    <x v="5"/>
    <x v="1"/>
    <x v="0"/>
    <s v="5903200"/>
    <n v="700054"/>
    <s v="Salaries-Management-NonProd-Other"/>
    <s v="FPC @ Gravelly Lake"/>
    <x v="0"/>
    <n v="2000"/>
    <n v="0"/>
    <n v="0"/>
    <n v="0"/>
    <n v="0"/>
    <n v="0"/>
    <n v="101.51"/>
    <n v="-101.51"/>
    <n v="0"/>
    <n v="0"/>
    <n v="0"/>
    <n v="0"/>
    <n v="0"/>
    <n v="0"/>
    <n v="0"/>
  </r>
  <r>
    <x v="5"/>
    <x v="1"/>
    <x v="0"/>
    <s v="5903200"/>
    <n v="700066"/>
    <s v="Salaries-RN-Non-productive"/>
    <s v="FPC @ Gravelly Lake"/>
    <x v="0"/>
    <m/>
    <n v="-252.15"/>
    <n v="0"/>
    <n v="0"/>
    <n v="4106.63"/>
    <n v="-1404.47"/>
    <n v="1329.24"/>
    <n v="-75.239999999999995"/>
    <n v="306.11"/>
    <n v="0"/>
    <n v="0"/>
    <n v="0"/>
    <n v="0"/>
    <n v="4010.1200000000003"/>
    <n v="0"/>
  </r>
  <r>
    <x v="5"/>
    <x v="1"/>
    <x v="0"/>
    <s v="5903200"/>
    <n v="700066"/>
    <s v="Salaries-RN-NonProd-Other"/>
    <s v="FPC @ Gravelly Lak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03200"/>
    <n v="700070"/>
    <s v="Salaries-LPN-Non-productive"/>
    <s v="FPC @ Gravelly Lake"/>
    <x v="0"/>
    <m/>
    <n v="522.28"/>
    <n v="649.52"/>
    <n v="161.82"/>
    <n v="0"/>
    <n v="0"/>
    <n v="1998.48"/>
    <n v="112.84"/>
    <n v="-44.34"/>
    <n v="358.2"/>
    <n v="181.94"/>
    <n v="454.86"/>
    <n v="214.04"/>
    <n v="4609.6399999999994"/>
    <n v="240.82000000000002"/>
  </r>
  <r>
    <x v="5"/>
    <x v="1"/>
    <x v="0"/>
    <s v="5903200"/>
    <n v="700078"/>
    <s v="Salaries-Service/Support-Non-productive"/>
    <s v="FPC @ Gravelly Lake"/>
    <x v="0"/>
    <m/>
    <n v="2204.9"/>
    <n v="509.42"/>
    <n v="1045.99"/>
    <n v="571.05999999999995"/>
    <n v="1023.41"/>
    <n v="3949.79"/>
    <n v="813.74"/>
    <n v="491.82"/>
    <n v="-119.79"/>
    <n v="0"/>
    <n v="66.88"/>
    <n v="329.28"/>
    <n v="10886.499999999998"/>
    <n v="-262.39999999999998"/>
  </r>
  <r>
    <x v="5"/>
    <x v="1"/>
    <x v="0"/>
    <s v="5903200"/>
    <n v="700078"/>
    <s v="Salaries-Service/Support-NonProd-Other"/>
    <s v="FPC @ Gravelly Lake"/>
    <x v="0"/>
    <n v="2000"/>
    <n v="0"/>
    <n v="0"/>
    <n v="0"/>
    <n v="0"/>
    <n v="0"/>
    <n v="20.27"/>
    <n v="-1.84"/>
    <n v="0"/>
    <n v="0"/>
    <n v="0"/>
    <n v="0"/>
    <n v="0"/>
    <n v="18.43"/>
    <n v="0"/>
  </r>
  <r>
    <x v="5"/>
    <x v="1"/>
    <x v="0"/>
    <s v="5903200"/>
    <n v="700084"/>
    <s v="Accrued PTO"/>
    <s v="FPC @ Gravelly Lake"/>
    <x v="0"/>
    <m/>
    <n v="616.64"/>
    <n v="1278.32"/>
    <n v="503.27"/>
    <n v="242.12"/>
    <n v="1025.77"/>
    <n v="-3450.97"/>
    <n v="565.79"/>
    <n v="647.15"/>
    <n v="431.18"/>
    <n v="1024.3599999999999"/>
    <n v="764.16"/>
    <n v="719.65"/>
    <n v="4367.4399999999996"/>
    <n v="44.509999999999991"/>
  </r>
  <r>
    <x v="6"/>
    <x v="1"/>
    <x v="0"/>
    <s v="5903200"/>
    <n v="713010"/>
    <s v="Benefits-FICA/Medicare"/>
    <s v="FPC @ Gravelly Lake"/>
    <x v="0"/>
    <m/>
    <n v="2285.5500000000002"/>
    <n v="2440.14"/>
    <n v="2007.15"/>
    <n v="1921.35"/>
    <n v="1678.64"/>
    <n v="1248.82"/>
    <n v="1237.6199999999999"/>
    <n v="1082.3"/>
    <n v="797.9"/>
    <n v="1101.79"/>
    <n v="1105.1500000000001"/>
    <n v="395.13"/>
    <n v="17301.54"/>
    <n v="710.0200000000001"/>
  </r>
  <r>
    <x v="6"/>
    <x v="1"/>
    <x v="0"/>
    <s v="5903200"/>
    <n v="713090"/>
    <s v="Benefits-Allocated Amounts"/>
    <s v="FPC @ Gravelly Lake"/>
    <x v="0"/>
    <m/>
    <n v="8617.02"/>
    <n v="7185.8"/>
    <n v="6400.79"/>
    <n v="6144.18"/>
    <n v="5759.93"/>
    <n v="4048.91"/>
    <n v="5285.46"/>
    <n v="4670.59"/>
    <n v="3433.73"/>
    <n v="3791.78"/>
    <n v="3835.22"/>
    <n v="1108.6199999999999"/>
    <n v="60282.030000000013"/>
    <n v="2726.6"/>
  </r>
  <r>
    <x v="7"/>
    <x v="1"/>
    <x v="0"/>
    <s v="5903200"/>
    <n v="718050"/>
    <s v="Contract Svcs-Other"/>
    <s v="FPC @ Gravelly Lake"/>
    <x v="0"/>
    <m/>
    <n v="0"/>
    <n v="2704.05"/>
    <n v="3219"/>
    <n v="561.51"/>
    <n v="0"/>
    <n v="0"/>
    <n v="2380"/>
    <n v="0"/>
    <n v="2141.66"/>
    <n v="0"/>
    <n v="3053"/>
    <n v="3916.01"/>
    <n v="17975.230000000003"/>
    <n v="-863.01000000000022"/>
  </r>
  <r>
    <x v="7"/>
    <x v="1"/>
    <x v="0"/>
    <s v="5903200"/>
    <n v="718050"/>
    <s v="Physician Answering"/>
    <s v="FPC @ Gravelly Lake"/>
    <x v="0"/>
    <n v="1015"/>
    <n v="128"/>
    <n v="0"/>
    <n v="80"/>
    <n v="64"/>
    <n v="16"/>
    <n v="0"/>
    <n v="192"/>
    <n v="160"/>
    <n v="176"/>
    <n v="96"/>
    <n v="0"/>
    <n v="192.5"/>
    <n v="1104.5"/>
    <n v="-192.5"/>
  </r>
  <r>
    <x v="7"/>
    <x v="1"/>
    <x v="0"/>
    <s v="5903200"/>
    <n v="718050"/>
    <s v="Translation Services"/>
    <s v="FPC @ Gravelly Lake"/>
    <x v="0"/>
    <n v="1025"/>
    <n v="0"/>
    <n v="0"/>
    <n v="35.64"/>
    <n v="0"/>
    <n v="39.5"/>
    <n v="20.54"/>
    <n v="80.58"/>
    <n v="3.95"/>
    <n v="0"/>
    <n v="47.4"/>
    <n v="3.16"/>
    <n v="55.3"/>
    <n v="286.07"/>
    <n v="-52.14"/>
  </r>
  <r>
    <x v="7"/>
    <x v="1"/>
    <x v="0"/>
    <s v="5903200"/>
    <n v="718050"/>
    <s v="Purchased Srvcs--Medical Waste"/>
    <s v="FPC @ Gravelly Lake"/>
    <x v="0"/>
    <n v="1027"/>
    <n v="130.22"/>
    <n v="130.22"/>
    <n v="130.22"/>
    <n v="0"/>
    <n v="130.22"/>
    <n v="130.22"/>
    <n v="260.44"/>
    <n v="130.22"/>
    <n v="0"/>
    <n v="260.44"/>
    <n v="0"/>
    <n v="130.22"/>
    <n v="1432.42"/>
    <n v="-130.22"/>
  </r>
  <r>
    <x v="7"/>
    <x v="1"/>
    <x v="0"/>
    <s v="5903200"/>
    <n v="718070"/>
    <s v="Contract Srvcs-CHI Clinical Engineering"/>
    <s v="FPC @ Gravelly Lake"/>
    <x v="0"/>
    <m/>
    <n v="0"/>
    <n v="1416.26"/>
    <n v="4924.95"/>
    <n v="550.5"/>
    <n v="37.57"/>
    <n v="886.42"/>
    <n v="2286.89"/>
    <n v="1542.8"/>
    <n v="0"/>
    <n v="0"/>
    <n v="1707"/>
    <n v="0"/>
    <n v="13352.39"/>
    <n v="1707"/>
  </r>
  <r>
    <x v="7"/>
    <x v="1"/>
    <x v="0"/>
    <s v="5903200"/>
    <n v="718077"/>
    <s v="PACS"/>
    <s v="FPC @ Gravelly Lake"/>
    <x v="0"/>
    <n v="1000"/>
    <n v="650.25"/>
    <n v="663.75"/>
    <n v="515.25"/>
    <n v="672.75"/>
    <n v="657"/>
    <n v="517.5"/>
    <n v="711"/>
    <n v="497.25"/>
    <n v="508.5"/>
    <n v="317.25"/>
    <n v="330.75"/>
    <n v="195.75"/>
    <n v="6237"/>
    <n v="135"/>
  </r>
  <r>
    <x v="11"/>
    <x v="1"/>
    <x v="0"/>
    <s v="5903200"/>
    <n v="721010"/>
    <s v="Supplies-Medical - Billable"/>
    <s v="FPC @ Gravelly Lake"/>
    <x v="0"/>
    <m/>
    <n v="0"/>
    <n v="0"/>
    <n v="0"/>
    <n v="0"/>
    <n v="0"/>
    <n v="1331.11"/>
    <n v="0"/>
    <n v="0"/>
    <n v="0"/>
    <n v="0"/>
    <n v="0"/>
    <n v="0"/>
    <n v="1331.11"/>
    <n v="0"/>
  </r>
  <r>
    <x v="11"/>
    <x v="1"/>
    <x v="0"/>
    <s v="5903200"/>
    <n v="721250"/>
    <s v="Supplies-Pharmacy Drugs - Billable"/>
    <s v="FPC @ Gravelly Lake"/>
    <x v="0"/>
    <m/>
    <n v="791.89"/>
    <n v="449.15"/>
    <n v="3073.92"/>
    <n v="4033.69"/>
    <n v="7393.5"/>
    <n v="8539.27"/>
    <n v="6718.38"/>
    <n v="2157.0100000000002"/>
    <n v="5474.57"/>
    <n v="1101.96"/>
    <n v="561.76"/>
    <n v="43.96"/>
    <n v="40339.06"/>
    <n v="517.79999999999995"/>
  </r>
  <r>
    <x v="11"/>
    <x v="1"/>
    <x v="0"/>
    <s v="5903200"/>
    <n v="721410"/>
    <s v="Supplies-Medical - Nonbillable"/>
    <s v="FPC @ Gravelly Lake"/>
    <x v="0"/>
    <m/>
    <n v="157.77000000000001"/>
    <n v="0"/>
    <n v="7"/>
    <n v="-105.5"/>
    <n v="0"/>
    <n v="0"/>
    <n v="0"/>
    <n v="0"/>
    <n v="0"/>
    <n v="0"/>
    <n v="9.6"/>
    <n v="0"/>
    <n v="68.87"/>
    <n v="9.6"/>
  </r>
  <r>
    <x v="11"/>
    <x v="1"/>
    <x v="0"/>
    <s v="5903200"/>
    <n v="721830"/>
    <s v="Supplies-Office"/>
    <s v="FPC @ Gravelly Lake"/>
    <x v="0"/>
    <m/>
    <n v="444.59"/>
    <n v="1130.54"/>
    <n v="425.14"/>
    <n v="1026"/>
    <n v="666.52"/>
    <n v="518.86"/>
    <n v="186.08"/>
    <n v="108.34"/>
    <n v="310.83"/>
    <n v="476.3"/>
    <n v="316.88"/>
    <n v="148.25"/>
    <n v="5758.33"/>
    <n v="168.63"/>
  </r>
  <r>
    <x v="11"/>
    <x v="1"/>
    <x v="0"/>
    <s v="5903200"/>
    <n v="721835"/>
    <s v="Supplies-Forms"/>
    <s v="FPC @ Gravelly Lake"/>
    <x v="0"/>
    <m/>
    <n v="0"/>
    <n v="0"/>
    <n v="0"/>
    <n v="0"/>
    <n v="12.8"/>
    <n v="0"/>
    <n v="0"/>
    <n v="0"/>
    <n v="0"/>
    <n v="0"/>
    <n v="9.91"/>
    <n v="0"/>
    <n v="22.71"/>
    <n v="9.91"/>
  </r>
  <r>
    <x v="11"/>
    <x v="1"/>
    <x v="0"/>
    <s v="5903200"/>
    <n v="721910"/>
    <s v="Supplies-Small Equipment"/>
    <s v="FPC @ Gravelly Lake"/>
    <x v="0"/>
    <m/>
    <n v="159.88"/>
    <n v="6.75"/>
    <n v="0"/>
    <n v="773.34"/>
    <n v="0"/>
    <n v="0"/>
    <n v="0"/>
    <n v="0"/>
    <n v="0"/>
    <n v="0"/>
    <n v="0"/>
    <n v="0"/>
    <n v="939.97"/>
    <n v="0"/>
  </r>
  <r>
    <x v="11"/>
    <x v="1"/>
    <x v="0"/>
    <s v="5903200"/>
    <n v="722000"/>
    <s v="Supplies-Freight Expense"/>
    <s v="FPC @ Gravelly Lake"/>
    <x v="0"/>
    <m/>
    <n v="8.43"/>
    <n v="234.04"/>
    <n v="0"/>
    <n v="0"/>
    <n v="0"/>
    <n v="0"/>
    <n v="0"/>
    <n v="0"/>
    <n v="0"/>
    <n v="0"/>
    <n v="0"/>
    <n v="0"/>
    <n v="242.47"/>
    <n v="0"/>
  </r>
  <r>
    <x v="12"/>
    <x v="1"/>
    <x v="0"/>
    <s v="5903200"/>
    <n v="730010"/>
    <s v="Rental and Leases-Building (DO NOT USE)"/>
    <s v="FPC @ Gravelly Lake"/>
    <x v="0"/>
    <m/>
    <n v="8089.59"/>
    <n v="10538.25"/>
    <n v="10711.19"/>
    <n v="10711.19"/>
    <n v="10711.19"/>
    <n v="1813.84"/>
    <n v="8820.19"/>
    <n v="8820.19"/>
    <n v="5486.86"/>
    <n v="5486.86"/>
    <n v="5486.86"/>
    <n v="-3333.33"/>
    <n v="83342.880000000005"/>
    <n v="8820.1899999999987"/>
  </r>
  <r>
    <x v="12"/>
    <x v="1"/>
    <x v="0"/>
    <s v="5903200"/>
    <n v="730010"/>
    <s v="Rental-Common Area Maint (DO NOT USE)"/>
    <s v="FPC @ Gravelly Lake"/>
    <x v="0"/>
    <n v="2200"/>
    <n v="0"/>
    <n v="0"/>
    <n v="0"/>
    <n v="0"/>
    <n v="0"/>
    <n v="8897.35"/>
    <n v="2516"/>
    <n v="2203.5"/>
    <n v="2203.5"/>
    <n v="2203.5"/>
    <n v="8078.55"/>
    <n v="0"/>
    <n v="26102.399999999998"/>
    <n v="8078.55"/>
  </r>
  <r>
    <x v="12"/>
    <x v="1"/>
    <x v="0"/>
    <s v="5903200"/>
    <n v="730020"/>
    <s v="Rental and Leases-Copier Usage Fees (DO NOT USE)"/>
    <s v="FPC @ Gravelly Lake"/>
    <x v="0"/>
    <n v="5100"/>
    <n v="358.06"/>
    <n v="366.4"/>
    <n v="362.23"/>
    <n v="362.23"/>
    <n v="362.23"/>
    <n v="362.23"/>
    <n v="-391.72"/>
    <n v="236.52"/>
    <n v="236.03"/>
    <n v="477.39"/>
    <n v="236.52"/>
    <n v="320.17"/>
    <n v="3288.29"/>
    <n v="-83.65"/>
  </r>
  <r>
    <x v="12"/>
    <x v="1"/>
    <x v="0"/>
    <s v="5903200"/>
    <n v="730040"/>
    <s v="LT Lease-Real Estate"/>
    <s v="FPC @ Gravelly Lake"/>
    <x v="0"/>
    <m/>
    <n v="0"/>
    <n v="0"/>
    <n v="0"/>
    <n v="0"/>
    <n v="0"/>
    <n v="0"/>
    <n v="0"/>
    <n v="0"/>
    <n v="0"/>
    <n v="0"/>
    <n v="0"/>
    <n v="11023.69"/>
    <n v="11023.69"/>
    <n v="-11023.69"/>
  </r>
  <r>
    <x v="16"/>
    <x v="1"/>
    <x v="0"/>
    <s v="5903200"/>
    <n v="732030"/>
    <s v="Repairs---Other"/>
    <s v="FPC @ Gravelly Lake"/>
    <x v="0"/>
    <m/>
    <n v="0"/>
    <n v="0"/>
    <n v="0"/>
    <n v="720.98"/>
    <n v="0"/>
    <n v="304.42"/>
    <n v="911.63"/>
    <n v="0"/>
    <n v="0"/>
    <n v="1676.55"/>
    <n v="0"/>
    <n v="1215.5"/>
    <n v="4829.08"/>
    <n v="-1215.5"/>
  </r>
  <r>
    <x v="13"/>
    <x v="1"/>
    <x v="0"/>
    <s v="5903200"/>
    <n v="735050"/>
    <s v="Amortization-Leasehold Improvements"/>
    <s v="FPC @ Gravelly Lake"/>
    <x v="0"/>
    <m/>
    <n v="21988.01"/>
    <n v="21988.01"/>
    <n v="21988.01"/>
    <n v="21988.01"/>
    <n v="21988.01"/>
    <n v="21988.01"/>
    <n v="21988.01"/>
    <n v="21987.98"/>
    <n v="21988.01"/>
    <n v="21987.97"/>
    <n v="21988.02"/>
    <n v="21987.96"/>
    <n v="263856.01"/>
    <n v="6.0000000001309672E-2"/>
  </r>
  <r>
    <x v="13"/>
    <x v="1"/>
    <x v="0"/>
    <s v="5903200"/>
    <n v="735070"/>
    <s v="Depreciation-Movable Equipment"/>
    <s v="FPC @ Gravelly Lake"/>
    <x v="0"/>
    <m/>
    <n v="23048.65"/>
    <n v="23048.639999999999"/>
    <n v="23048.67"/>
    <n v="23048.639999999999"/>
    <n v="23048.67"/>
    <n v="23048.639999999999"/>
    <n v="23048.68"/>
    <n v="23048.63"/>
    <n v="23048.69"/>
    <n v="23048.6"/>
    <n v="23048.7"/>
    <n v="23048.6"/>
    <n v="276583.81"/>
    <n v="0.10000000000218279"/>
  </r>
  <r>
    <x v="0"/>
    <x v="1"/>
    <x v="0"/>
    <s v="5903200"/>
    <n v="749510"/>
    <s v="Miscellaneous Expenses"/>
    <s v="FPC @ Gravelly Lake"/>
    <x v="0"/>
    <m/>
    <n v="82.52"/>
    <n v="157.47"/>
    <n v="0"/>
    <n v="0"/>
    <n v="124.95"/>
    <n v="274.85000000000002"/>
    <n v="0"/>
    <n v="-1"/>
    <n v="199.9"/>
    <n v="0"/>
    <n v="224.85"/>
    <n v="0"/>
    <n v="1063.54"/>
    <n v="224.85"/>
  </r>
  <r>
    <x v="0"/>
    <x v="1"/>
    <x v="0"/>
    <s v="5903200"/>
    <n v="749510"/>
    <s v="Licenses"/>
    <s v="FPC @ Gravelly Lake"/>
    <x v="0"/>
    <n v="1002"/>
    <n v="0"/>
    <n v="0"/>
    <n v="265"/>
    <n v="0"/>
    <n v="0"/>
    <n v="512"/>
    <n v="38.75"/>
    <n v="0"/>
    <n v="0"/>
    <n v="0"/>
    <n v="200"/>
    <n v="0"/>
    <n v="1015.75"/>
    <n v="200"/>
  </r>
  <r>
    <x v="0"/>
    <x v="1"/>
    <x v="0"/>
    <s v="5903200"/>
    <n v="749535"/>
    <s v="Meetings"/>
    <s v="FPC @ Gravelly Lak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03200"/>
    <n v="749550"/>
    <s v="Cash Over/Short"/>
    <s v="FPC @ Gravelly Lake"/>
    <x v="0"/>
    <m/>
    <n v="0"/>
    <n v="0"/>
    <n v="0"/>
    <n v="0"/>
    <n v="0"/>
    <n v="0"/>
    <n v="0"/>
    <n v="0"/>
    <n v="1.43"/>
    <n v="0"/>
    <n v="20"/>
    <n v="0"/>
    <n v="21.43"/>
    <n v="20"/>
  </r>
  <r>
    <x v="5"/>
    <x v="1"/>
    <x v="0"/>
    <s v="5904200"/>
    <n v="700014"/>
    <s v="Salaries-Management-Productive"/>
    <s v="ENT @ St Clare"/>
    <x v="0"/>
    <m/>
    <n v="2136.29"/>
    <n v="2387.23"/>
    <n v="588.48"/>
    <n v="2242.67"/>
    <n v="2106.85"/>
    <n v="1576.49"/>
    <n v="2313.91"/>
    <n v="2111.2800000000002"/>
    <n v="2216.8200000000002"/>
    <n v="1570.22"/>
    <n v="1148.02"/>
    <n v="1807.76"/>
    <n v="22206.02"/>
    <n v="-659.74"/>
  </r>
  <r>
    <x v="5"/>
    <x v="1"/>
    <x v="0"/>
    <s v="5904200"/>
    <n v="700018"/>
    <s v="Salaries-Supervisory-Productive"/>
    <s v="ENT @ St Clare"/>
    <x v="0"/>
    <m/>
    <n v="0"/>
    <n v="664.08"/>
    <n v="168.4"/>
    <n v="0"/>
    <n v="0"/>
    <n v="0"/>
    <n v="831.81"/>
    <n v="-138.63"/>
    <n v="346.59"/>
    <n v="935.78"/>
    <n v="1032.96"/>
    <n v="928.97"/>
    <n v="4769.96"/>
    <n v="103.99000000000001"/>
  </r>
  <r>
    <x v="5"/>
    <x v="1"/>
    <x v="0"/>
    <s v="5904200"/>
    <n v="700032"/>
    <s v="Salaries-Other Pat Care Providers-Productive"/>
    <s v="ENT @ St Clare"/>
    <x v="0"/>
    <m/>
    <n v="0"/>
    <n v="300.43"/>
    <n v="1673.69"/>
    <n v="-373.33"/>
    <n v="0"/>
    <n v="0"/>
    <n v="0"/>
    <n v="458.35"/>
    <n v="-130.94999999999999"/>
    <n v="0"/>
    <n v="0"/>
    <n v="0"/>
    <n v="1928.1900000000003"/>
    <n v="0"/>
  </r>
  <r>
    <x v="5"/>
    <x v="1"/>
    <x v="0"/>
    <s v="5904200"/>
    <n v="700038"/>
    <s v="Salaries-Service/Support-Productive"/>
    <s v="ENT @ St Clare"/>
    <x v="0"/>
    <m/>
    <n v="3907.96"/>
    <n v="3780.54"/>
    <n v="2800.8"/>
    <n v="4062.03"/>
    <n v="2849.38"/>
    <n v="4036.83"/>
    <n v="3735.27"/>
    <n v="2894.79"/>
    <n v="4187.21"/>
    <n v="1397.64"/>
    <n v="4780.92"/>
    <n v="2608.33"/>
    <n v="41041.700000000004"/>
    <n v="2172.59"/>
  </r>
  <r>
    <x v="5"/>
    <x v="1"/>
    <x v="0"/>
    <s v="5904200"/>
    <n v="700038"/>
    <s v="Salaries-Service/Support-OT"/>
    <s v="ENT @ St Clare"/>
    <x v="0"/>
    <n v="1000"/>
    <n v="102.72"/>
    <n v="47.87"/>
    <n v="1.89"/>
    <n v="17.41"/>
    <n v="96.54"/>
    <n v="-33.44"/>
    <n v="0"/>
    <n v="24.03"/>
    <n v="54.45"/>
    <n v="-19.09"/>
    <n v="76.36"/>
    <n v="-19.09"/>
    <n v="349.65000000000003"/>
    <n v="95.45"/>
  </r>
  <r>
    <x v="5"/>
    <x v="1"/>
    <x v="0"/>
    <s v="5904200"/>
    <n v="700038"/>
    <s v="Salaries-Service/Support-Other"/>
    <s v="ENT @ St Clare"/>
    <x v="0"/>
    <n v="2000"/>
    <n v="0"/>
    <n v="36.369999999999997"/>
    <n v="66.19"/>
    <n v="30.63"/>
    <n v="0"/>
    <n v="0"/>
    <n v="0"/>
    <n v="0"/>
    <n v="0"/>
    <n v="0"/>
    <n v="0"/>
    <n v="0"/>
    <n v="133.19"/>
    <n v="0"/>
  </r>
  <r>
    <x v="5"/>
    <x v="1"/>
    <x v="0"/>
    <s v="5904200"/>
    <n v="700078"/>
    <s v="Salaries-Service/Support-Non-productive"/>
    <s v="ENT @ St Clare"/>
    <x v="0"/>
    <m/>
    <n v="486.89"/>
    <n v="67.2"/>
    <n v="518.1"/>
    <n v="87.92"/>
    <n v="469.24"/>
    <n v="1321.66"/>
    <n v="959.85"/>
    <n v="-47.1"/>
    <n v="1164.2"/>
    <n v="89.44"/>
    <n v="34.869999999999997"/>
    <n v="432.61"/>
    <n v="5584.8799999999992"/>
    <n v="-397.74"/>
  </r>
  <r>
    <x v="5"/>
    <x v="1"/>
    <x v="0"/>
    <s v="5904200"/>
    <n v="700078"/>
    <s v="Salaries-Service/Support-NonProd-Other"/>
    <s v="ENT @ St Cl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04200"/>
    <n v="700084"/>
    <s v="Accrued PTO"/>
    <s v="ENT @ St Clare"/>
    <x v="0"/>
    <m/>
    <n v="-209.75"/>
    <n v="472.51"/>
    <n v="-231.87"/>
    <n v="701.67"/>
    <n v="386.1"/>
    <n v="-620.92999999999995"/>
    <n v="-366.6"/>
    <n v="-927.07"/>
    <n v="1516.94"/>
    <n v="153.38"/>
    <n v="421.04"/>
    <n v="249.78"/>
    <n v="1545.1999999999998"/>
    <n v="171.26000000000002"/>
  </r>
  <r>
    <x v="6"/>
    <x v="1"/>
    <x v="0"/>
    <s v="5904200"/>
    <n v="713010"/>
    <s v="Benefits-FICA/Medicare"/>
    <s v="ENT @ St Clare"/>
    <x v="0"/>
    <m/>
    <n v="490.19"/>
    <n v="535.77"/>
    <n v="427.36"/>
    <n v="440.59"/>
    <n v="415.85"/>
    <n v="510.54"/>
    <n v="748.82"/>
    <n v="392.5"/>
    <n v="557.97"/>
    <n v="294.23"/>
    <n v="511.21"/>
    <n v="417.3"/>
    <n v="5742.33"/>
    <n v="93.909999999999968"/>
  </r>
  <r>
    <x v="6"/>
    <x v="1"/>
    <x v="0"/>
    <s v="5904200"/>
    <n v="713090"/>
    <s v="Benefits-Allocated Amounts"/>
    <s v="ENT @ St Clare"/>
    <x v="0"/>
    <m/>
    <n v="1640.86"/>
    <n v="1535.35"/>
    <n v="1527.93"/>
    <n v="1346.7"/>
    <n v="1428.03"/>
    <n v="1692.51"/>
    <n v="2141.29"/>
    <n v="1490.69"/>
    <n v="2019.92"/>
    <n v="1210.3800000000001"/>
    <n v="1440.44"/>
    <n v="1385.1"/>
    <n v="18859.199999999997"/>
    <n v="55.340000000000146"/>
  </r>
  <r>
    <x v="7"/>
    <x v="1"/>
    <x v="0"/>
    <s v="5904200"/>
    <n v="718010"/>
    <s v="Media/Print Advertising"/>
    <s v="ENT @ St Clare"/>
    <x v="0"/>
    <n v="1004"/>
    <n v="0"/>
    <n v="0"/>
    <n v="0"/>
    <n v="97.59"/>
    <n v="0"/>
    <n v="0"/>
    <n v="0"/>
    <n v="0"/>
    <n v="0"/>
    <n v="-380"/>
    <n v="0"/>
    <n v="0"/>
    <n v="-282.40999999999997"/>
    <n v="0"/>
  </r>
  <r>
    <x v="7"/>
    <x v="1"/>
    <x v="0"/>
    <s v="5904200"/>
    <n v="718050"/>
    <s v="Contract Svcs-Other"/>
    <s v="ENT @ St Clare"/>
    <x v="0"/>
    <m/>
    <n v="0"/>
    <n v="61.9"/>
    <n v="0"/>
    <n v="0"/>
    <n v="57.41"/>
    <n v="104.73"/>
    <n v="12.42"/>
    <n v="12.42"/>
    <n v="0"/>
    <n v="24.84"/>
    <n v="0"/>
    <n v="0"/>
    <n v="273.71999999999997"/>
    <n v="0"/>
  </r>
  <r>
    <x v="7"/>
    <x v="1"/>
    <x v="0"/>
    <s v="5904200"/>
    <n v="718050"/>
    <s v="Miscellaneous Purchased Svcs"/>
    <s v="ENT @ St Clare"/>
    <x v="0"/>
    <n v="1020"/>
    <n v="0"/>
    <n v="0"/>
    <n v="0"/>
    <n v="24.82"/>
    <n v="0"/>
    <n v="0"/>
    <n v="0"/>
    <n v="0"/>
    <n v="0"/>
    <n v="0"/>
    <n v="0"/>
    <n v="0"/>
    <n v="24.82"/>
    <n v="0"/>
  </r>
  <r>
    <x v="7"/>
    <x v="1"/>
    <x v="0"/>
    <s v="5904200"/>
    <n v="718050"/>
    <s v="Translation Services"/>
    <s v="ENT @ St Clare"/>
    <x v="0"/>
    <n v="1025"/>
    <n v="369.5"/>
    <n v="192"/>
    <n v="240"/>
    <n v="244.5"/>
    <n v="240"/>
    <n v="168"/>
    <n v="144"/>
    <n v="272"/>
    <n v="0"/>
    <n v="0"/>
    <n v="260.5"/>
    <n v="0"/>
    <n v="2130.5"/>
    <n v="260.5"/>
  </r>
  <r>
    <x v="7"/>
    <x v="1"/>
    <x v="0"/>
    <s v="5904200"/>
    <n v="718050"/>
    <s v="Purchased Srvcs--Medical Waste"/>
    <s v="ENT @ St Clare"/>
    <x v="0"/>
    <n v="1027"/>
    <n v="20.72"/>
    <n v="108.63"/>
    <n v="20.72"/>
    <n v="73.06"/>
    <n v="10.36"/>
    <n v="20.72"/>
    <n v="41.44"/>
    <n v="117.99"/>
    <n v="0"/>
    <n v="41.44"/>
    <n v="0"/>
    <n v="31.08"/>
    <n v="486.15999999999997"/>
    <n v="-31.08"/>
  </r>
  <r>
    <x v="7"/>
    <x v="1"/>
    <x v="0"/>
    <s v="5904200"/>
    <n v="718070"/>
    <s v="Contract Srvcs-CHI Clinical Engineering"/>
    <s v="ENT @ St Clare"/>
    <x v="0"/>
    <m/>
    <n v="3609"/>
    <n v="1914"/>
    <n v="1299.31"/>
    <n v="407.5"/>
    <n v="0"/>
    <n v="0"/>
    <n v="1541.04"/>
    <n v="338.24"/>
    <n v="330.5"/>
    <n v="0"/>
    <n v="0"/>
    <n v="0"/>
    <n v="9439.5899999999983"/>
    <n v="0"/>
  </r>
  <r>
    <x v="11"/>
    <x v="1"/>
    <x v="0"/>
    <s v="5904200"/>
    <n v="721250"/>
    <s v="Supplies-Pharmacy Drugs - Billable"/>
    <s v="ENT @ St Clare"/>
    <x v="0"/>
    <m/>
    <n v="48392.04"/>
    <n v="1520"/>
    <n v="15046.82"/>
    <n v="47745.15"/>
    <n v="0"/>
    <n v="0"/>
    <n v="-42235.64"/>
    <n v="-48080"/>
    <n v="0"/>
    <n v="0"/>
    <n v="-2211.87"/>
    <n v="0"/>
    <n v="20176.500000000011"/>
    <n v="-2211.87"/>
  </r>
  <r>
    <x v="11"/>
    <x v="1"/>
    <x v="0"/>
    <s v="5904200"/>
    <n v="721410"/>
    <s v="Supplies-Medical - Nonbillable"/>
    <s v="ENT @ St Clare"/>
    <x v="0"/>
    <m/>
    <n v="113.94"/>
    <n v="2100.58"/>
    <n v="1994.76"/>
    <n v="1711.45"/>
    <n v="1977.38"/>
    <n v="912.22"/>
    <n v="284.58"/>
    <n v="1168.69"/>
    <n v="431.7"/>
    <n v="366.31"/>
    <n v="-7895.12"/>
    <n v="693.83"/>
    <n v="3860.3200000000006"/>
    <n v="-8588.9500000000007"/>
  </r>
  <r>
    <x v="11"/>
    <x v="1"/>
    <x v="0"/>
    <s v="5904200"/>
    <n v="721830"/>
    <s v="Supplies-Office"/>
    <s v="ENT @ St Clare"/>
    <x v="0"/>
    <m/>
    <n v="0"/>
    <n v="646.78"/>
    <n v="0"/>
    <n v="0"/>
    <n v="0"/>
    <n v="0"/>
    <n v="0"/>
    <n v="0"/>
    <n v="0"/>
    <n v="0"/>
    <n v="0"/>
    <n v="-97.59"/>
    <n v="549.18999999999994"/>
    <n v="97.59"/>
  </r>
  <r>
    <x v="11"/>
    <x v="1"/>
    <x v="0"/>
    <s v="5904200"/>
    <n v="721910"/>
    <s v="Supplies-Small Equipment"/>
    <s v="ENT @ St Clare"/>
    <x v="0"/>
    <m/>
    <n v="0"/>
    <n v="0"/>
    <n v="0"/>
    <n v="216.41"/>
    <n v="1254.9100000000001"/>
    <n v="36.67"/>
    <n v="0"/>
    <n v="0"/>
    <n v="0"/>
    <n v="0"/>
    <n v="0"/>
    <n v="0"/>
    <n v="1507.9900000000002"/>
    <n v="0"/>
  </r>
  <r>
    <x v="11"/>
    <x v="1"/>
    <x v="0"/>
    <s v="5904200"/>
    <n v="722000"/>
    <s v="Supplies-Freight Expense"/>
    <s v="ENT @ St Clare"/>
    <x v="0"/>
    <m/>
    <n v="0"/>
    <n v="0"/>
    <n v="29.82"/>
    <n v="30.03"/>
    <n v="0"/>
    <n v="8.5299999999999994"/>
    <n v="0"/>
    <n v="0"/>
    <n v="0"/>
    <n v="0"/>
    <n v="0"/>
    <n v="0"/>
    <n v="68.38"/>
    <n v="0"/>
  </r>
  <r>
    <x v="12"/>
    <x v="1"/>
    <x v="0"/>
    <s v="5904200"/>
    <n v="730010"/>
    <s v="Rental and Leases-Building (DO NOT USE)"/>
    <s v="ENT @ St Clare"/>
    <x v="0"/>
    <m/>
    <n v="2886.07"/>
    <n v="2886.07"/>
    <n v="2886.07"/>
    <n v="2886.07"/>
    <n v="2886.07"/>
    <n v="-4839.66"/>
    <n v="1598.44"/>
    <n v="1598.44"/>
    <n v="1598.44"/>
    <n v="1625.5"/>
    <n v="1638.4"/>
    <n v="0"/>
    <n v="17649.910000000003"/>
    <n v="1638.4"/>
  </r>
  <r>
    <x v="12"/>
    <x v="1"/>
    <x v="0"/>
    <s v="5904200"/>
    <n v="730010"/>
    <s v="Rental-Common Area Maint (DO NOT USE)"/>
    <s v="ENT @ St Clare"/>
    <x v="0"/>
    <n v="2200"/>
    <n v="0"/>
    <n v="0"/>
    <n v="0"/>
    <n v="0"/>
    <n v="0"/>
    <n v="7755.77"/>
    <n v="1317.67"/>
    <n v="1317.67"/>
    <n v="-30.33"/>
    <n v="1317.67"/>
    <n v="1317.67"/>
    <n v="0"/>
    <n v="12996.12"/>
    <n v="1317.67"/>
  </r>
  <r>
    <x v="12"/>
    <x v="1"/>
    <x v="0"/>
    <s v="5904200"/>
    <n v="730020"/>
    <s v="Rental and Leases-Copier Usage Fees (DO NOT USE)"/>
    <s v="ENT @ St Clare"/>
    <x v="0"/>
    <n v="5100"/>
    <n v="329.66"/>
    <n v="337.42"/>
    <n v="333.54"/>
    <n v="333.54"/>
    <n v="333.54"/>
    <n v="333.54"/>
    <n v="75.52"/>
    <n v="293.23"/>
    <n v="292.61"/>
    <n v="364.5"/>
    <n v="390.93"/>
    <n v="304.49"/>
    <n v="3722.5200000000004"/>
    <n v="86.44"/>
  </r>
  <r>
    <x v="12"/>
    <x v="1"/>
    <x v="0"/>
    <s v="5904200"/>
    <n v="730040"/>
    <s v="LT Lease-Real Estate"/>
    <s v="ENT @ St Clare"/>
    <x v="0"/>
    <m/>
    <n v="0"/>
    <n v="0"/>
    <n v="0"/>
    <n v="0"/>
    <n v="0"/>
    <n v="0"/>
    <n v="0"/>
    <n v="0"/>
    <n v="0"/>
    <n v="0"/>
    <n v="0"/>
    <n v="2956.07"/>
    <n v="2956.07"/>
    <n v="-2956.07"/>
  </r>
  <r>
    <x v="16"/>
    <x v="1"/>
    <x v="0"/>
    <s v="5904200"/>
    <n v="732015"/>
    <s v="Repairs-Clinical Equip-T&amp;M-Ext to CHI Programs"/>
    <s v="ENT @ St Clare"/>
    <x v="0"/>
    <m/>
    <n v="0"/>
    <n v="0"/>
    <n v="0"/>
    <n v="1029.23"/>
    <n v="0"/>
    <n v="0"/>
    <n v="0"/>
    <n v="0"/>
    <n v="0"/>
    <n v="0"/>
    <n v="0"/>
    <n v="0"/>
    <n v="1029.23"/>
    <n v="0"/>
  </r>
  <r>
    <x v="16"/>
    <x v="1"/>
    <x v="0"/>
    <s v="5904200"/>
    <n v="732030"/>
    <s v="Repairs---Other"/>
    <s v="ENT @ St Clare"/>
    <x v="0"/>
    <m/>
    <n v="0"/>
    <n v="882.1"/>
    <n v="0"/>
    <n v="0"/>
    <n v="0"/>
    <n v="0"/>
    <n v="0"/>
    <n v="0"/>
    <n v="0"/>
    <n v="0"/>
    <n v="48.05"/>
    <n v="0"/>
    <n v="930.15"/>
    <n v="48.05"/>
  </r>
  <r>
    <x v="13"/>
    <x v="1"/>
    <x v="0"/>
    <s v="5904200"/>
    <n v="735070"/>
    <s v="Depreciation-Movable Equipment"/>
    <s v="ENT @ St Clare"/>
    <x v="0"/>
    <m/>
    <n v="2606.4299999999998"/>
    <n v="2606.42"/>
    <n v="2606.44"/>
    <n v="2606.41"/>
    <n v="2606.44"/>
    <n v="1685.5"/>
    <n v="1685.6"/>
    <n v="1685.5"/>
    <n v="1685.6"/>
    <n v="1685.5"/>
    <n v="1685.6"/>
    <n v="1685.5"/>
    <n v="24830.94"/>
    <n v="9.9999999999909051E-2"/>
  </r>
  <r>
    <x v="0"/>
    <x v="1"/>
    <x v="0"/>
    <s v="5904200"/>
    <n v="742040"/>
    <s v="Freight-Other"/>
    <s v="ENT @ St Clare"/>
    <x v="0"/>
    <m/>
    <n v="0"/>
    <n v="0"/>
    <n v="0"/>
    <n v="0"/>
    <n v="0"/>
    <n v="0"/>
    <n v="0"/>
    <n v="0"/>
    <n v="0"/>
    <n v="0"/>
    <n v="0"/>
    <n v="97.59"/>
    <n v="97.59"/>
    <n v="-97.59"/>
  </r>
  <r>
    <x v="0"/>
    <x v="1"/>
    <x v="0"/>
    <s v="5904200"/>
    <n v="749510"/>
    <s v="Miscellaneous Expenses"/>
    <s v="ENT @ St Clare"/>
    <x v="0"/>
    <m/>
    <n v="0"/>
    <n v="-34.369999999999997"/>
    <n v="0"/>
    <n v="0"/>
    <n v="0"/>
    <n v="0"/>
    <n v="0"/>
    <n v="0"/>
    <n v="0"/>
    <n v="0"/>
    <n v="0"/>
    <n v="0"/>
    <n v="-34.369999999999997"/>
    <n v="0"/>
  </r>
  <r>
    <x v="0"/>
    <x v="1"/>
    <x v="0"/>
    <s v="5904200"/>
    <n v="749510"/>
    <s v="Licenses"/>
    <s v="ENT @ St Clare"/>
    <x v="0"/>
    <n v="1002"/>
    <n v="0"/>
    <n v="0"/>
    <n v="265"/>
    <n v="0"/>
    <n v="0"/>
    <n v="155"/>
    <n v="38.75"/>
    <n v="0"/>
    <n v="0"/>
    <n v="0"/>
    <n v="0"/>
    <n v="0"/>
    <n v="458.75"/>
    <n v="0"/>
  </r>
  <r>
    <x v="0"/>
    <x v="1"/>
    <x v="0"/>
    <s v="5904200"/>
    <n v="749510"/>
    <s v="RICE Rewards"/>
    <s v="ENT @ St Clare"/>
    <x v="0"/>
    <n v="5100"/>
    <n v="0"/>
    <n v="0"/>
    <n v="0"/>
    <n v="0"/>
    <n v="0"/>
    <n v="0"/>
    <n v="0"/>
    <n v="0"/>
    <n v="0"/>
    <n v="69.319999999999993"/>
    <n v="0"/>
    <n v="60"/>
    <n v="129.32"/>
    <n v="-60"/>
  </r>
  <r>
    <x v="1"/>
    <x v="1"/>
    <x v="0"/>
    <s v="5905200"/>
    <n v="400029"/>
    <s v="MD Practice Other Rev--Medicare"/>
    <s v="Inpatient Team"/>
    <x v="0"/>
    <n v="1100"/>
    <n v="-90"/>
    <n v="0"/>
    <n v="0"/>
    <n v="-68"/>
    <n v="0"/>
    <n v="0"/>
    <n v="0"/>
    <n v="0"/>
    <n v="0"/>
    <n v="0"/>
    <n v="0"/>
    <n v="0"/>
    <n v="-158"/>
    <n v="0"/>
  </r>
  <r>
    <x v="1"/>
    <x v="1"/>
    <x v="0"/>
    <s v="5905200"/>
    <n v="400029"/>
    <s v="MD Practice Other Rev--Medicaid"/>
    <s v="Inpatient Team"/>
    <x v="0"/>
    <n v="1200"/>
    <n v="0"/>
    <n v="0"/>
    <n v="0"/>
    <n v="-68"/>
    <n v="0"/>
    <n v="0"/>
    <n v="0"/>
    <n v="0"/>
    <n v="0"/>
    <n v="0"/>
    <n v="0"/>
    <n v="0"/>
    <n v="-68"/>
    <n v="0"/>
  </r>
  <r>
    <x v="1"/>
    <x v="1"/>
    <x v="0"/>
    <s v="5905200"/>
    <n v="400029"/>
    <s v="MD Practice Other Rev--Managed Care"/>
    <s v="Inpatient Team"/>
    <x v="0"/>
    <n v="1400"/>
    <n v="0"/>
    <n v="0"/>
    <n v="0"/>
    <n v="-54"/>
    <n v="-76"/>
    <n v="-140"/>
    <n v="0"/>
    <n v="0"/>
    <n v="0"/>
    <n v="0"/>
    <n v="0"/>
    <n v="0"/>
    <n v="-270"/>
    <n v="0"/>
  </r>
  <r>
    <x v="1"/>
    <x v="1"/>
    <x v="0"/>
    <s v="5905200"/>
    <n v="400029"/>
    <s v="MD Practice Other Rev--Other"/>
    <s v="Inpatient Team"/>
    <x v="0"/>
    <n v="1700"/>
    <n v="0"/>
    <n v="0"/>
    <n v="0"/>
    <n v="0"/>
    <n v="0"/>
    <n v="0"/>
    <n v="0"/>
    <n v="0"/>
    <n v="0"/>
    <n v="0"/>
    <n v="-27"/>
    <n v="0"/>
    <n v="-27"/>
    <n v="-27"/>
  </r>
  <r>
    <x v="1"/>
    <x v="1"/>
    <x v="0"/>
    <s v="5905200"/>
    <n v="400040"/>
    <s v="Physician Svcs Rev--Medicare"/>
    <s v="Inpatient Team"/>
    <x v="0"/>
    <n v="1100"/>
    <n v="-2326926.79"/>
    <n v="-2443947.73"/>
    <n v="-2419679.42"/>
    <n v="-2684839.98"/>
    <n v="-2490452.81"/>
    <n v="-2697066.89"/>
    <n v="-2844149.82"/>
    <n v="-2628922.0699999998"/>
    <n v="-2840212.37"/>
    <n v="-2957119.65"/>
    <n v="-2550979.58"/>
    <n v="-2437756.16"/>
    <n v="-31322053.27"/>
    <n v="-113223.41999999993"/>
  </r>
  <r>
    <x v="1"/>
    <x v="1"/>
    <x v="0"/>
    <s v="5905200"/>
    <n v="400040"/>
    <s v="Physician Svcs Rev--Medicaid"/>
    <s v="Inpatient Team"/>
    <x v="0"/>
    <n v="1200"/>
    <n v="-891459.86"/>
    <n v="-885909.58"/>
    <n v="-875461.23"/>
    <n v="-955760.62"/>
    <n v="-846067.19999999995"/>
    <n v="-955269.21"/>
    <n v="-909079.45"/>
    <n v="-847520.74"/>
    <n v="-938634.81"/>
    <n v="-895090.12"/>
    <n v="-912343.72"/>
    <n v="-917171"/>
    <n v="-10829767.540000001"/>
    <n v="4827.2800000000279"/>
  </r>
  <r>
    <x v="1"/>
    <x v="1"/>
    <x v="0"/>
    <s v="5905200"/>
    <n v="400040"/>
    <s v="Physician Svcs Rev--Comm Insurance"/>
    <s v="Inpatient Team"/>
    <x v="0"/>
    <n v="1300"/>
    <n v="-44968"/>
    <n v="-53047"/>
    <n v="-26457"/>
    <n v="-64905"/>
    <n v="-58308"/>
    <n v="-51043"/>
    <n v="-55895"/>
    <n v="-41740"/>
    <n v="-40887"/>
    <n v="-62993"/>
    <n v="-52666"/>
    <n v="-45208"/>
    <n v="-598117"/>
    <n v="-7458"/>
  </r>
  <r>
    <x v="1"/>
    <x v="1"/>
    <x v="0"/>
    <s v="5905200"/>
    <n v="400040"/>
    <s v="Physician Svcs Rev--BCBS Comm"/>
    <s v="Inpatient Team"/>
    <x v="0"/>
    <n v="1301"/>
    <n v="-112651"/>
    <n v="-106683"/>
    <n v="-91427"/>
    <n v="-106168"/>
    <n v="-93463"/>
    <n v="-93820"/>
    <n v="-131861"/>
    <n v="-143518"/>
    <n v="-93319"/>
    <n v="-161980"/>
    <n v="-134309"/>
    <n v="-129315"/>
    <n v="-1398514"/>
    <n v="-4994"/>
  </r>
  <r>
    <x v="1"/>
    <x v="1"/>
    <x v="0"/>
    <s v="5905200"/>
    <n v="400040"/>
    <s v="Physician Svcs Rev--Managed Care"/>
    <s v="Inpatient Team"/>
    <x v="0"/>
    <n v="1400"/>
    <n v="-347053"/>
    <n v="-353965"/>
    <n v="-363270"/>
    <n v="-384626"/>
    <n v="-324097"/>
    <n v="-357239"/>
    <n v="-469412"/>
    <n v="-369378"/>
    <n v="-401645"/>
    <n v="-350208"/>
    <n v="-402302"/>
    <n v="-360550.58"/>
    <n v="-4483745.58"/>
    <n v="-41751.419999999984"/>
  </r>
  <r>
    <x v="1"/>
    <x v="1"/>
    <x v="0"/>
    <s v="5905200"/>
    <n v="400040"/>
    <s v="Physician Svcs Rev--Self Pay"/>
    <s v="Inpatient Team"/>
    <x v="0"/>
    <n v="1500"/>
    <n v="-70584.47"/>
    <n v="-164885.95000000001"/>
    <n v="-60357.9"/>
    <n v="-49623.43"/>
    <n v="-97173.88"/>
    <n v="-48859.78"/>
    <n v="-75146.600000000006"/>
    <n v="-110305.65"/>
    <n v="-102881.13"/>
    <n v="-87588.18"/>
    <n v="-88652"/>
    <n v="-110915.38"/>
    <n v="-1066974.3500000001"/>
    <n v="22263.380000000005"/>
  </r>
  <r>
    <x v="1"/>
    <x v="1"/>
    <x v="0"/>
    <s v="5905200"/>
    <n v="400040"/>
    <s v="Physician Svcs Rev--Other"/>
    <s v="Inpatient Team"/>
    <x v="0"/>
    <n v="1700"/>
    <n v="-52295.41"/>
    <n v="-147131.65"/>
    <n v="-278112.78999999998"/>
    <n v="-70084.72"/>
    <n v="-281571.08"/>
    <n v="-246101.12"/>
    <n v="-38388.379999999997"/>
    <n v="-45611.54"/>
    <n v="-71624.69"/>
    <n v="-249559.05"/>
    <n v="-208571.99"/>
    <n v="-196316.82"/>
    <n v="-1885369.24"/>
    <n v="-12255.169999999984"/>
  </r>
  <r>
    <x v="2"/>
    <x v="1"/>
    <x v="0"/>
    <s v="5905200"/>
    <n v="450029"/>
    <s v="Contr Allow--MD Other-Medicare"/>
    <s v="Inpatient Team"/>
    <x v="0"/>
    <n v="1100"/>
    <n v="62.68"/>
    <n v="0"/>
    <n v="0"/>
    <n v="0"/>
    <n v="40.880000000000003"/>
    <n v="0"/>
    <n v="0"/>
    <n v="0"/>
    <n v="0"/>
    <n v="0"/>
    <n v="0"/>
    <n v="0"/>
    <n v="103.56"/>
    <n v="0"/>
  </r>
  <r>
    <x v="2"/>
    <x v="1"/>
    <x v="0"/>
    <s v="5905200"/>
    <n v="450029"/>
    <s v="Contr Allow--MD Other-Medicaid"/>
    <s v="Inpatient Team"/>
    <x v="0"/>
    <n v="1200"/>
    <n v="0"/>
    <n v="0"/>
    <n v="0"/>
    <n v="51.76"/>
    <n v="0"/>
    <n v="0"/>
    <n v="0"/>
    <n v="0"/>
    <n v="0"/>
    <n v="0"/>
    <n v="0"/>
    <n v="0"/>
    <n v="51.76"/>
    <n v="0"/>
  </r>
  <r>
    <x v="2"/>
    <x v="1"/>
    <x v="0"/>
    <s v="5905200"/>
    <n v="450029"/>
    <s v="Contr Allow--MD Other-Managed Care"/>
    <s v="Inpatient Team"/>
    <x v="0"/>
    <n v="1400"/>
    <n v="0"/>
    <n v="0"/>
    <n v="0"/>
    <n v="0"/>
    <n v="37.700000000000003"/>
    <n v="58.61"/>
    <n v="0"/>
    <n v="12.56"/>
    <n v="0"/>
    <n v="0"/>
    <n v="0"/>
    <n v="0"/>
    <n v="108.87"/>
    <n v="0"/>
  </r>
  <r>
    <x v="2"/>
    <x v="1"/>
    <x v="0"/>
    <s v="5905200"/>
    <n v="450029"/>
    <s v="Admin Adjust-MD Other-Self Pay"/>
    <s v="Inpatient Team"/>
    <x v="0"/>
    <n v="1600"/>
    <n v="0"/>
    <n v="0"/>
    <n v="0"/>
    <n v="0"/>
    <n v="0"/>
    <n v="0"/>
    <n v="0"/>
    <n v="0"/>
    <n v="0"/>
    <n v="0"/>
    <n v="27"/>
    <n v="0"/>
    <n v="27"/>
    <n v="27"/>
  </r>
  <r>
    <x v="2"/>
    <x v="1"/>
    <x v="0"/>
    <s v="5905200"/>
    <n v="450040"/>
    <s v="Contr Allow--Phys Svcs--Mcare"/>
    <s v="Inpatient Team"/>
    <x v="0"/>
    <n v="1100"/>
    <n v="1604247.09"/>
    <n v="1443547.66"/>
    <n v="1564156.08"/>
    <n v="1604580.6"/>
    <n v="1624869.69"/>
    <n v="1656215.48"/>
    <n v="1689884.72"/>
    <n v="1718225.69"/>
    <n v="1769548.96"/>
    <n v="1349626.7"/>
    <n v="369183.04"/>
    <n v="1115797.68"/>
    <n v="17509883.389999997"/>
    <n v="-746614.6399999999"/>
  </r>
  <r>
    <x v="2"/>
    <x v="1"/>
    <x v="0"/>
    <s v="5905200"/>
    <n v="450040"/>
    <s v="Contr Allow--Phys Svcs--Mcaid"/>
    <s v="Inpatient Team"/>
    <x v="0"/>
    <n v="1200"/>
    <n v="664264.13"/>
    <n v="779151.73"/>
    <n v="693462.2"/>
    <n v="718569.85"/>
    <n v="602773.5"/>
    <n v="676499.36"/>
    <n v="621058"/>
    <n v="624945.69999999995"/>
    <n v="736306.03"/>
    <n v="496587.63"/>
    <n v="418738.13"/>
    <n v="994023.24"/>
    <n v="8026379.5"/>
    <n v="-575285.11"/>
  </r>
  <r>
    <x v="2"/>
    <x v="1"/>
    <x v="0"/>
    <s v="5905200"/>
    <n v="450040"/>
    <s v="Contr Allow--Phys Svcs--Comm Insurance"/>
    <s v="Inpatient Team"/>
    <x v="0"/>
    <n v="1300"/>
    <n v="24855.5"/>
    <n v="17710.63"/>
    <n v="14691.99"/>
    <n v="25845.8"/>
    <n v="21407.5"/>
    <n v="15737.72"/>
    <n v="17615.349999999999"/>
    <n v="18616.21"/>
    <n v="17570.18"/>
    <n v="13277.29"/>
    <n v="10068.450000000001"/>
    <n v="19930.62"/>
    <n v="217327.24"/>
    <n v="-9862.1699999999983"/>
  </r>
  <r>
    <x v="2"/>
    <x v="1"/>
    <x v="0"/>
    <s v="5905200"/>
    <n v="450040"/>
    <s v="Contr Allow--Phys Svcs--BCBS Comm Ins"/>
    <s v="Inpatient Team"/>
    <x v="0"/>
    <n v="1301"/>
    <n v="36821.31"/>
    <n v="35350.400000000001"/>
    <n v="26052.53"/>
    <n v="27384.43"/>
    <n v="26488.65"/>
    <n v="23444.35"/>
    <n v="29410.84"/>
    <n v="29925.279999999999"/>
    <n v="39863.07"/>
    <n v="26306.17"/>
    <n v="33109.199999999997"/>
    <n v="55551.69"/>
    <n v="389707.92"/>
    <n v="-22442.490000000005"/>
  </r>
  <r>
    <x v="2"/>
    <x v="1"/>
    <x v="0"/>
    <s v="5905200"/>
    <n v="450040"/>
    <s v="Contr Allow--Phys Svcs--Managed Care"/>
    <s v="Inpatient Team"/>
    <x v="0"/>
    <n v="1400"/>
    <n v="148991.85"/>
    <n v="144635.31"/>
    <n v="129242.64"/>
    <n v="131087.15"/>
    <n v="175604.15"/>
    <n v="103759.35"/>
    <n v="126971.07"/>
    <n v="169665.5"/>
    <n v="143244.54"/>
    <n v="90683.74"/>
    <n v="172927.77"/>
    <n v="129040.25"/>
    <n v="1665853.32"/>
    <n v="43887.51999999999"/>
  </r>
  <r>
    <x v="2"/>
    <x v="1"/>
    <x v="0"/>
    <s v="5905200"/>
    <n v="450040"/>
    <s v="Contr Allow--Phys Svcs--BCBS Mgnd Care"/>
    <s v="Inpatient Team"/>
    <x v="0"/>
    <n v="1401"/>
    <n v="-188511.44"/>
    <n v="-6006.91"/>
    <n v="-16868.46"/>
    <n v="105920.67"/>
    <n v="-48777.15"/>
    <n v="195412.89"/>
    <n v="393740.84"/>
    <n v="61723.18"/>
    <n v="-3038.51"/>
    <n v="696708.39"/>
    <n v="1336850.8400000001"/>
    <n v="147855.91"/>
    <n v="2675010.25"/>
    <n v="1188994.9300000002"/>
  </r>
  <r>
    <x v="2"/>
    <x v="1"/>
    <x v="0"/>
    <s v="5905200"/>
    <n v="450040"/>
    <s v="Prompt Pay Disc-Phys Svcs-Self Pay"/>
    <s v="Inpatient Team"/>
    <x v="0"/>
    <n v="1500"/>
    <n v="-147.77000000000001"/>
    <n v="11954.97"/>
    <n v="-2291.0700000000002"/>
    <n v="-20543.810000000001"/>
    <n v="2757.85"/>
    <n v="-13351.92"/>
    <n v="2178.7399999999998"/>
    <n v="1069.23"/>
    <n v="4605.2"/>
    <n v="6809.59"/>
    <n v="4498.79"/>
    <n v="3278.45"/>
    <n v="818.24999999999818"/>
    <n v="1220.3400000000001"/>
  </r>
  <r>
    <x v="2"/>
    <x v="1"/>
    <x v="0"/>
    <s v="5905200"/>
    <n v="450040"/>
    <s v="Admin Adjust-Phys Svcs-Self Pay"/>
    <s v="Inpatient Team"/>
    <x v="0"/>
    <n v="1600"/>
    <n v="82812.759999999995"/>
    <n v="74600.55"/>
    <n v="79881.97"/>
    <n v="42988.01"/>
    <n v="46109.3"/>
    <n v="46973.51"/>
    <n v="17717.54"/>
    <n v="32047.919999999998"/>
    <n v="37955"/>
    <n v="7985.74"/>
    <n v="24411.759999999998"/>
    <n v="62321.57"/>
    <n v="555805.62999999989"/>
    <n v="-37909.81"/>
  </r>
  <r>
    <x v="2"/>
    <x v="1"/>
    <x v="0"/>
    <s v="5905200"/>
    <n v="450040"/>
    <s v="Contr Allow--Phys Svcs--Other"/>
    <s v="Inpatient Team"/>
    <x v="0"/>
    <n v="1700"/>
    <n v="45664.81"/>
    <n v="109645.83"/>
    <n v="146306.07999999999"/>
    <n v="-4080.38"/>
    <n v="162286.73000000001"/>
    <n v="90505.87"/>
    <n v="-37755.82"/>
    <n v="65920.41"/>
    <n v="115298.9"/>
    <n v="154227.28"/>
    <n v="108538.86"/>
    <n v="43343.18"/>
    <n v="999901.75"/>
    <n v="65195.68"/>
  </r>
  <r>
    <x v="3"/>
    <x v="1"/>
    <x v="0"/>
    <s v="5905200"/>
    <n v="470040"/>
    <s v="Charity Care-Physician Svcs"/>
    <s v="Inpatient Team"/>
    <x v="0"/>
    <m/>
    <n v="6137.46"/>
    <n v="65308.93"/>
    <n v="32401.040000000001"/>
    <n v="37010.1"/>
    <n v="36548.050000000003"/>
    <n v="24026.55"/>
    <n v="37440.239999999998"/>
    <n v="26718.17"/>
    <n v="55754.84"/>
    <n v="50515.89"/>
    <n v="65740.37"/>
    <n v="95106.72"/>
    <n v="532708.36"/>
    <n v="-29366.350000000006"/>
  </r>
  <r>
    <x v="4"/>
    <x v="1"/>
    <x v="0"/>
    <s v="5905200"/>
    <n v="490010"/>
    <s v="Provision for Bad Debts"/>
    <s v="Inpatient Team"/>
    <x v="0"/>
    <m/>
    <n v="73842"/>
    <n v="79053.279999999999"/>
    <n v="62327.54"/>
    <n v="137411.26"/>
    <n v="51013.440000000002"/>
    <n v="79230.100000000006"/>
    <n v="80974.23"/>
    <n v="16594.400000000001"/>
    <n v="70706.3"/>
    <n v="107310.19"/>
    <n v="229492.7"/>
    <n v="98168.93"/>
    <n v="1086124.3699999999"/>
    <n v="131323.77000000002"/>
  </r>
  <r>
    <x v="14"/>
    <x v="1"/>
    <x v="0"/>
    <s v="5905200"/>
    <n v="600050"/>
    <s v="Miscellaneous Revenue"/>
    <s v="Inpatient Team"/>
    <x v="0"/>
    <m/>
    <n v="-73251.210000000006"/>
    <n v="-76251.210000000006"/>
    <n v="-71251.210000000006"/>
    <n v="-71883.710000000006"/>
    <n v="-72516.210000000006"/>
    <n v="-72516.210000000006"/>
    <n v="-71251.210000000006"/>
    <n v="-71251.210000000006"/>
    <n v="-84751.21"/>
    <n v="-71251.210000000006"/>
    <n v="-71251.210000000006"/>
    <n v="-75468.490000000005"/>
    <n v="-882894.29999999993"/>
    <n v="4217.2799999999988"/>
  </r>
  <r>
    <x v="5"/>
    <x v="1"/>
    <x v="0"/>
    <s v="5905200"/>
    <n v="700014"/>
    <s v="Salaries-Management-Productive"/>
    <s v="Inpatient Team"/>
    <x v="0"/>
    <m/>
    <n v="30765.23"/>
    <n v="38283.050000000003"/>
    <n v="36155.730000000003"/>
    <n v="36104.230000000003"/>
    <n v="36645.99"/>
    <n v="32574.11"/>
    <n v="-17591.599999999999"/>
    <n v="47725.83"/>
    <n v="44065.99"/>
    <n v="42889.99"/>
    <n v="44300.7"/>
    <n v="32187.68"/>
    <n v="404106.93"/>
    <n v="12113.019999999997"/>
  </r>
  <r>
    <x v="5"/>
    <x v="1"/>
    <x v="0"/>
    <s v="5905200"/>
    <n v="700014"/>
    <s v="Salaries-Management-Other"/>
    <s v="Inpatient Team"/>
    <x v="0"/>
    <n v="2000"/>
    <n v="30"/>
    <n v="0"/>
    <n v="0"/>
    <n v="0"/>
    <n v="0"/>
    <n v="0"/>
    <n v="0"/>
    <n v="0"/>
    <n v="30.04"/>
    <n v="0"/>
    <n v="0"/>
    <n v="0"/>
    <n v="60.04"/>
    <n v="0"/>
  </r>
  <r>
    <x v="5"/>
    <x v="1"/>
    <x v="0"/>
    <s v="5905200"/>
    <n v="700020"/>
    <s v="Salaries-Physician Admin-Productive"/>
    <s v="Inpatient Team"/>
    <x v="0"/>
    <m/>
    <n v="0"/>
    <n v="0"/>
    <n v="0"/>
    <n v="0"/>
    <n v="0"/>
    <n v="0"/>
    <n v="0"/>
    <n v="0"/>
    <n v="0"/>
    <n v="0"/>
    <n v="63769.72"/>
    <n v="17598.669999999998"/>
    <n v="81368.39"/>
    <n v="46171.05"/>
  </r>
  <r>
    <x v="5"/>
    <x v="1"/>
    <x v="0"/>
    <s v="5905200"/>
    <n v="700020"/>
    <s v="Salaries-Physician Admin-Other"/>
    <s v="Inpatient Team"/>
    <x v="0"/>
    <n v="2000"/>
    <n v="0"/>
    <n v="2400"/>
    <n v="0"/>
    <n v="0"/>
    <n v="0"/>
    <n v="0"/>
    <n v="0"/>
    <n v="0"/>
    <n v="0"/>
    <n v="5558.14"/>
    <n v="6459.47"/>
    <n v="0"/>
    <n v="14417.61"/>
    <n v="6459.47"/>
  </r>
  <r>
    <x v="5"/>
    <x v="1"/>
    <x v="0"/>
    <s v="5905200"/>
    <n v="700022"/>
    <s v="Salaries-Physician-Productive"/>
    <s v="Inpatient Team"/>
    <x v="0"/>
    <m/>
    <n v="1391324.74"/>
    <n v="1387181.97"/>
    <n v="1333268.72"/>
    <n v="3148308.8"/>
    <n v="1612724.18"/>
    <n v="1627165.56"/>
    <n v="1644446.81"/>
    <n v="1598989.96"/>
    <n v="1770159.64"/>
    <n v="1662455.56"/>
    <n v="1853458.71"/>
    <n v="1720588.6"/>
    <n v="20750073.250000004"/>
    <n v="132870.10999999987"/>
  </r>
  <r>
    <x v="5"/>
    <x v="1"/>
    <x v="0"/>
    <s v="5905200"/>
    <n v="700022"/>
    <s v="Salaries-Physician-Other"/>
    <s v="Inpatient Team"/>
    <x v="0"/>
    <n v="2000"/>
    <n v="140869.79"/>
    <n v="240438.84"/>
    <n v="122926.16"/>
    <n v="232364.24"/>
    <n v="-116907.53"/>
    <n v="215194.05"/>
    <n v="242480.78"/>
    <n v="281977.89"/>
    <n v="149256.21"/>
    <n v="261889.43"/>
    <n v="152834.98000000001"/>
    <n v="274463.49"/>
    <n v="2197788.33"/>
    <n v="-121628.50999999998"/>
  </r>
  <r>
    <x v="5"/>
    <x v="1"/>
    <x v="0"/>
    <s v="5905200"/>
    <n v="700022"/>
    <s v="Salaries-Physician-Provider Incentive"/>
    <s v="Inpatient Team"/>
    <x v="0"/>
    <n v="4003"/>
    <n v="146039.5"/>
    <n v="141593.15"/>
    <n v="152657.68"/>
    <n v="210402.07"/>
    <n v="322917.61"/>
    <n v="211752.91"/>
    <n v="251384.47"/>
    <n v="316599.71999999997"/>
    <n v="242634.18"/>
    <n v="287488.51"/>
    <n v="302782.71000000002"/>
    <n v="289775.5"/>
    <n v="2876028.01"/>
    <n v="13007.210000000021"/>
  </r>
  <r>
    <x v="5"/>
    <x v="1"/>
    <x v="0"/>
    <s v="5905200"/>
    <n v="700024"/>
    <s v="Salaries-Advanced Practice Clinician-Productive"/>
    <s v="Inpatient Team"/>
    <x v="0"/>
    <m/>
    <n v="226970.37"/>
    <n v="213929.47"/>
    <n v="208308.55"/>
    <n v="392090.05"/>
    <n v="230698.8"/>
    <n v="224103.71"/>
    <n v="214643.27"/>
    <n v="215479.67"/>
    <n v="230343.89"/>
    <n v="211859.23"/>
    <n v="216800.43"/>
    <n v="196168.07"/>
    <n v="2781395.51"/>
    <n v="20632.359999999986"/>
  </r>
  <r>
    <x v="5"/>
    <x v="1"/>
    <x v="0"/>
    <s v="5905200"/>
    <n v="700024"/>
    <s v="Salaries-Advanced Practice Clinician-Other"/>
    <s v="Inpatient Team"/>
    <x v="0"/>
    <n v="2000"/>
    <n v="35864.370000000003"/>
    <n v="29740.59"/>
    <n v="39200.33"/>
    <n v="11999.97"/>
    <n v="39852.86"/>
    <n v="31160.799999999999"/>
    <n v="35914"/>
    <n v="38202.36"/>
    <n v="34273.019999999997"/>
    <n v="49152.34"/>
    <n v="16546.39"/>
    <n v="50464.95"/>
    <n v="412371.98000000004"/>
    <n v="-33918.559999999998"/>
  </r>
  <r>
    <x v="5"/>
    <x v="1"/>
    <x v="0"/>
    <s v="5905200"/>
    <n v="700024"/>
    <s v="Salaries-Advanced Practice Clinician-Provider Incentive"/>
    <s v="Inpatient Team"/>
    <x v="0"/>
    <n v="4003"/>
    <n v="23839.73"/>
    <n v="13453.7"/>
    <n v="15275.72"/>
    <n v="14440.61"/>
    <n v="16090.81"/>
    <n v="13343.48"/>
    <n v="12324.84"/>
    <n v="20523.669999999998"/>
    <n v="18929.400000000001"/>
    <n v="21918.45"/>
    <n v="24111.26"/>
    <n v="23100.46"/>
    <n v="217352.13"/>
    <n v="1010.7999999999993"/>
  </r>
  <r>
    <x v="5"/>
    <x v="1"/>
    <x v="0"/>
    <s v="5905200"/>
    <n v="700038"/>
    <s v="Salaries-Service/Support-Productive"/>
    <s v="Inpatient Team"/>
    <x v="0"/>
    <m/>
    <n v="14656.59"/>
    <n v="15287.95"/>
    <n v="15581.21"/>
    <n v="17535.96"/>
    <n v="16421.830000000002"/>
    <n v="12745.13"/>
    <n v="16980.34"/>
    <n v="12454.4"/>
    <n v="18233.2"/>
    <n v="17198.599999999999"/>
    <n v="17715.72"/>
    <n v="14148.55"/>
    <n v="188959.48"/>
    <n v="3567.1700000000019"/>
  </r>
  <r>
    <x v="5"/>
    <x v="1"/>
    <x v="0"/>
    <s v="5905200"/>
    <n v="700038"/>
    <s v="Salaries-Service/Support-OT"/>
    <s v="Inpatient Team"/>
    <x v="0"/>
    <n v="1000"/>
    <n v="82.59"/>
    <n v="36.14"/>
    <n v="15.06"/>
    <n v="17.22"/>
    <n v="47.88"/>
    <n v="58.28"/>
    <n v="58.95"/>
    <n v="-14.12"/>
    <n v="14.52"/>
    <n v="83.29"/>
    <n v="-15.67"/>
    <n v="119.02"/>
    <n v="503.15999999999991"/>
    <n v="-134.69"/>
  </r>
  <r>
    <x v="5"/>
    <x v="1"/>
    <x v="0"/>
    <s v="5905200"/>
    <n v="700054"/>
    <s v="Salaries-Management-Non-productive"/>
    <s v="Inpatient Team"/>
    <x v="0"/>
    <m/>
    <n v="0"/>
    <n v="0"/>
    <n v="0"/>
    <n v="3278.9"/>
    <n v="7615.94"/>
    <n v="5294.65"/>
    <n v="55519.53"/>
    <n v="-13471.84"/>
    <n v="-157.68"/>
    <n v="0"/>
    <n v="0"/>
    <n v="10187.5"/>
    <n v="68267"/>
    <n v="-10187.5"/>
  </r>
  <r>
    <x v="5"/>
    <x v="1"/>
    <x v="0"/>
    <s v="5905200"/>
    <n v="700054"/>
    <s v="Salaries-Management-NonProd-Other"/>
    <s v="Inpatient Team"/>
    <x v="0"/>
    <n v="2000"/>
    <n v="0"/>
    <n v="0"/>
    <n v="0"/>
    <n v="0"/>
    <n v="0"/>
    <n v="5512.04"/>
    <n v="0"/>
    <n v="-5512.04"/>
    <n v="0"/>
    <n v="0"/>
    <n v="0"/>
    <n v="0"/>
    <n v="0"/>
    <n v="0"/>
  </r>
  <r>
    <x v="5"/>
    <x v="1"/>
    <x v="0"/>
    <s v="5905200"/>
    <n v="700062"/>
    <s v="Salaries-Physician-Non-productive"/>
    <s v="Inpatient Team"/>
    <x v="0"/>
    <m/>
    <n v="307330.28000000003"/>
    <n v="335773.62"/>
    <n v="323150.55"/>
    <n v="-1515624.34"/>
    <n v="232770.85"/>
    <n v="390941.86"/>
    <n v="260937.5"/>
    <n v="185036.39"/>
    <n v="159503.82"/>
    <n v="192059.48"/>
    <n v="153222.81"/>
    <n v="140871.76"/>
    <n v="1165974.5799999998"/>
    <n v="12351.049999999988"/>
  </r>
  <r>
    <x v="5"/>
    <x v="1"/>
    <x v="0"/>
    <s v="5905200"/>
    <n v="700062"/>
    <s v="Salaries-Physician-NonProd-Other"/>
    <s v="Inpatient Team"/>
    <x v="0"/>
    <n v="2000"/>
    <n v="-2196.92"/>
    <n v="0"/>
    <n v="-3626.3"/>
    <n v="-7335.19"/>
    <n v="4942.7700000000004"/>
    <n v="3774.25"/>
    <n v="0"/>
    <n v="-6601.68"/>
    <n v="0"/>
    <n v="0"/>
    <n v="0"/>
    <n v="0"/>
    <n v="-11043.07"/>
    <n v="0"/>
  </r>
  <r>
    <x v="5"/>
    <x v="1"/>
    <x v="0"/>
    <s v="5905200"/>
    <n v="700064"/>
    <s v="Salaries-Advanced Practice Clinician-Non-Productive"/>
    <s v="Inpatient Team"/>
    <x v="0"/>
    <m/>
    <n v="35338.050000000003"/>
    <n v="36641.379999999997"/>
    <n v="36764.660000000003"/>
    <n v="-121075.29"/>
    <n v="90137.05"/>
    <n v="-108874.9"/>
    <n v="54762.1"/>
    <n v="33210.57"/>
    <n v="33900.769999999997"/>
    <n v="41590.800000000003"/>
    <n v="35368.629999999997"/>
    <n v="24715.3"/>
    <n v="192479.12"/>
    <n v="10653.329999999998"/>
  </r>
  <r>
    <x v="5"/>
    <x v="1"/>
    <x v="0"/>
    <s v="5905200"/>
    <n v="700064"/>
    <s v="Salaries-Advanced Practice Clinician-Non-Prod-Other"/>
    <s v="Inpatient Team"/>
    <x v="0"/>
    <n v="2000"/>
    <n v="0"/>
    <n v="-2521.87"/>
    <n v="618.02"/>
    <n v="0"/>
    <n v="2665.07"/>
    <n v="4467.01"/>
    <n v="0"/>
    <n v="-7132.08"/>
    <n v="0"/>
    <n v="0"/>
    <n v="0"/>
    <n v="0"/>
    <n v="-1903.8499999999995"/>
    <n v="0"/>
  </r>
  <r>
    <x v="5"/>
    <x v="1"/>
    <x v="0"/>
    <s v="5905200"/>
    <n v="700078"/>
    <s v="Salaries-Service/Support-Non-productive"/>
    <s v="Inpatient Team"/>
    <x v="0"/>
    <m/>
    <n v="3570.7"/>
    <n v="2945.3"/>
    <n v="2049.14"/>
    <n v="1166.4000000000001"/>
    <n v="1768.66"/>
    <n v="6087.84"/>
    <n v="2000.62"/>
    <n v="4575.54"/>
    <n v="615.19000000000005"/>
    <n v="1054.07"/>
    <n v="1142.28"/>
    <n v="4095.28"/>
    <n v="31071.019999999997"/>
    <n v="-2953"/>
  </r>
  <r>
    <x v="5"/>
    <x v="1"/>
    <x v="0"/>
    <s v="5905200"/>
    <n v="700084"/>
    <s v="Accrued PTO"/>
    <s v="Inpatient Team"/>
    <x v="0"/>
    <m/>
    <n v="4152.4799999999996"/>
    <n v="-5872.88"/>
    <n v="5506.32"/>
    <n v="29687.51"/>
    <n v="5230.22"/>
    <n v="-219.46"/>
    <n v="-25241.26"/>
    <n v="-3592.51"/>
    <n v="8398.36"/>
    <n v="8490.93"/>
    <n v="12984.61"/>
    <n v="-16781.150000000001"/>
    <n v="22743.170000000006"/>
    <n v="29765.760000000002"/>
  </r>
  <r>
    <x v="10"/>
    <x v="1"/>
    <x v="0"/>
    <s v="5905200"/>
    <n v="710040"/>
    <s v="Contract Labor-Physician (Locum Tenum)"/>
    <s v="Inpatient Team"/>
    <x v="0"/>
    <m/>
    <n v="230696.4"/>
    <n v="39115.910000000003"/>
    <n v="157216.88"/>
    <n v="174744.8"/>
    <n v="141726.5"/>
    <n v="161309.35"/>
    <n v="167030.70000000001"/>
    <n v="156966.68"/>
    <n v="58530.15"/>
    <n v="39876.550000000003"/>
    <n v="6487.82"/>
    <n v="61740"/>
    <n v="1395441.74"/>
    <n v="-55252.18"/>
  </r>
  <r>
    <x v="10"/>
    <x v="1"/>
    <x v="0"/>
    <s v="5905200"/>
    <n v="710042"/>
    <s v="Locum Tenens Travel-Physician"/>
    <s v="Inpatient Team"/>
    <x v="0"/>
    <m/>
    <n v="16182.18"/>
    <n v="11238.86"/>
    <n v="21790.71"/>
    <n v="21203.1"/>
    <n v="14434.13"/>
    <n v="3195.54"/>
    <n v="14554.11"/>
    <n v="14169.29"/>
    <n v="16260.6"/>
    <n v="-4253.9399999999996"/>
    <n v="11216.14"/>
    <n v="-3650.96"/>
    <n v="136339.76000000004"/>
    <n v="14867.099999999999"/>
  </r>
  <r>
    <x v="10"/>
    <x v="1"/>
    <x v="0"/>
    <s v="5905200"/>
    <n v="710060"/>
    <s v="Contract Labor-Other"/>
    <s v="Inpatient Team"/>
    <x v="0"/>
    <m/>
    <n v="15000"/>
    <n v="-15000"/>
    <n v="0"/>
    <n v="0"/>
    <n v="0"/>
    <n v="0"/>
    <n v="0"/>
    <n v="0"/>
    <n v="0"/>
    <n v="0"/>
    <n v="0"/>
    <n v="0"/>
    <n v="0"/>
    <n v="0"/>
  </r>
  <r>
    <x v="6"/>
    <x v="1"/>
    <x v="0"/>
    <s v="5905200"/>
    <n v="713010"/>
    <s v="Benefits-FICA/Medicare"/>
    <s v="Inpatient Team"/>
    <x v="0"/>
    <m/>
    <n v="76455.740000000005"/>
    <n v="65088.13"/>
    <n v="57543.61"/>
    <n v="117333.77"/>
    <n v="77203.600000000006"/>
    <n v="99107.02"/>
    <n v="198357.96"/>
    <n v="193984.84"/>
    <n v="196660.84"/>
    <n v="191837.18"/>
    <n v="165508.07"/>
    <n v="54624"/>
    <n v="1493704.76"/>
    <n v="110884.07"/>
  </r>
  <r>
    <x v="6"/>
    <x v="1"/>
    <x v="0"/>
    <s v="5905200"/>
    <n v="713090"/>
    <s v="Benefits-Allocated Amounts"/>
    <s v="Inpatient Team"/>
    <x v="0"/>
    <m/>
    <n v="0"/>
    <n v="0"/>
    <n v="0"/>
    <n v="0"/>
    <n v="0"/>
    <n v="0"/>
    <n v="0"/>
    <n v="0"/>
    <n v="118905.2"/>
    <n v="14801.64"/>
    <n v="14977.85"/>
    <n v="18246.23"/>
    <n v="166930.92000000001"/>
    <n v="-3268.3799999999992"/>
  </r>
  <r>
    <x v="6"/>
    <x v="1"/>
    <x v="0"/>
    <s v="5905200"/>
    <n v="713092"/>
    <s v="Allocated Benefits-Physician"/>
    <s v="Inpatient Team"/>
    <x v="0"/>
    <m/>
    <n v="161451.5"/>
    <n v="154256.75"/>
    <n v="154977.71"/>
    <n v="161990.87"/>
    <n v="151394.76"/>
    <n v="210675.65"/>
    <n v="187243.36"/>
    <n v="195049.42"/>
    <n v="144083.41"/>
    <n v="189353.59"/>
    <n v="191607.65"/>
    <n v="231018.49"/>
    <n v="2133103.16"/>
    <n v="-39410.839999999997"/>
  </r>
  <r>
    <x v="6"/>
    <x v="1"/>
    <x v="0"/>
    <s v="5905200"/>
    <n v="713093"/>
    <s v="Allocated Benefits-Advanced Practice Clinician"/>
    <s v="Inpatient Team"/>
    <x v="0"/>
    <m/>
    <n v="43169.47"/>
    <n v="41245.699999999997"/>
    <n v="41438.480000000003"/>
    <n v="43313.69"/>
    <n v="40480.449999999997"/>
    <n v="56331.19"/>
    <n v="50065.79"/>
    <n v="52152.99"/>
    <n v="35880.410000000003"/>
    <n v="50300.75"/>
    <n v="50899.53"/>
    <n v="61368.81"/>
    <n v="566647.26"/>
    <n v="-10469.279999999999"/>
  </r>
  <r>
    <x v="6"/>
    <x v="1"/>
    <x v="0"/>
    <s v="5905200"/>
    <n v="713096"/>
    <s v="Employee Recognition"/>
    <s v="Inpatient Team"/>
    <x v="0"/>
    <n v="1017"/>
    <n v="0"/>
    <n v="0"/>
    <n v="0"/>
    <n v="0"/>
    <n v="15.98"/>
    <n v="0"/>
    <n v="0"/>
    <n v="0"/>
    <n v="0"/>
    <n v="0"/>
    <n v="0"/>
    <n v="0"/>
    <n v="15.98"/>
    <n v="0"/>
  </r>
  <r>
    <x v="7"/>
    <x v="1"/>
    <x v="0"/>
    <s v="5905200"/>
    <n v="718040"/>
    <s v="Contract Svcs-Laboratory"/>
    <s v="Inpatient Team"/>
    <x v="0"/>
    <m/>
    <n v="332.8"/>
    <n v="0"/>
    <n v="0"/>
    <n v="0"/>
    <n v="137.5"/>
    <n v="0"/>
    <n v="340"/>
    <n v="0"/>
    <n v="0"/>
    <n v="86"/>
    <n v="20"/>
    <n v="0"/>
    <n v="916.3"/>
    <n v="20"/>
  </r>
  <r>
    <x v="7"/>
    <x v="1"/>
    <x v="0"/>
    <s v="5905200"/>
    <n v="718050"/>
    <s v="Contract Svcs-Other"/>
    <s v="Inpatient Team"/>
    <x v="0"/>
    <m/>
    <n v="1851.98"/>
    <n v="1882.03"/>
    <n v="29245.62"/>
    <n v="3767.59"/>
    <n v="0"/>
    <n v="1644.28"/>
    <n v="1685.77"/>
    <n v="1738.78"/>
    <n v="1726.17"/>
    <n v="447.3"/>
    <n v="1719.88"/>
    <n v="3433.46"/>
    <n v="49142.859999999993"/>
    <n v="-1713.58"/>
  </r>
  <r>
    <x v="7"/>
    <x v="1"/>
    <x v="0"/>
    <s v="5905200"/>
    <n v="718050"/>
    <s v="Document Shredding/Storage"/>
    <s v="Inpatient Team"/>
    <x v="0"/>
    <n v="1012"/>
    <n v="0"/>
    <n v="203.7"/>
    <n v="63.46"/>
    <n v="65.680000000000007"/>
    <n v="-63.46"/>
    <n v="0"/>
    <n v="0"/>
    <n v="0"/>
    <n v="0"/>
    <n v="0"/>
    <n v="0"/>
    <n v="0"/>
    <n v="269.38"/>
    <n v="0"/>
  </r>
  <r>
    <x v="7"/>
    <x v="1"/>
    <x v="0"/>
    <s v="5905200"/>
    <n v="718050"/>
    <s v="Miscellaneous Purchased Svcs"/>
    <s v="Inpatient Team"/>
    <x v="0"/>
    <n v="1020"/>
    <n v="31500"/>
    <n v="37594.120000000003"/>
    <n v="37188.44"/>
    <n v="4017.68"/>
    <n v="0"/>
    <n v="139.46"/>
    <n v="0"/>
    <n v="0"/>
    <n v="0"/>
    <n v="0"/>
    <n v="0"/>
    <n v="20000"/>
    <n v="130439.7"/>
    <n v="-20000"/>
  </r>
  <r>
    <x v="11"/>
    <x v="1"/>
    <x v="0"/>
    <s v="5905200"/>
    <n v="721810"/>
    <s v="Supplies-Dietary/Cafeteria"/>
    <s v="Inpatient Team"/>
    <x v="0"/>
    <m/>
    <n v="953.17"/>
    <n v="1440.21"/>
    <n v="1643.7"/>
    <n v="1667.9"/>
    <n v="1796.93"/>
    <n v="631.96"/>
    <n v="844.88"/>
    <n v="1393.29"/>
    <n v="2290.4299999999998"/>
    <n v="1575.28"/>
    <n v="1324.69"/>
    <n v="1264.47"/>
    <n v="16826.910000000003"/>
    <n v="60.220000000000027"/>
  </r>
  <r>
    <x v="11"/>
    <x v="1"/>
    <x v="0"/>
    <s v="5905200"/>
    <n v="721830"/>
    <s v="Supplies-Office"/>
    <s v="Inpatient Team"/>
    <x v="0"/>
    <m/>
    <n v="402.37"/>
    <n v="76.41"/>
    <n v="189.46"/>
    <n v="-1757.73"/>
    <n v="76.69"/>
    <n v="210.85"/>
    <n v="79.709999999999994"/>
    <n v="302.58999999999997"/>
    <n v="234.16"/>
    <n v="81.849999999999994"/>
    <n v="409.08"/>
    <n v="79.680000000000007"/>
    <n v="385.12000000000006"/>
    <n v="329.4"/>
  </r>
  <r>
    <x v="11"/>
    <x v="1"/>
    <x v="0"/>
    <s v="5905200"/>
    <n v="721835"/>
    <s v="Supplies-Forms"/>
    <s v="Inpatient Team"/>
    <x v="0"/>
    <m/>
    <n v="0"/>
    <n v="0"/>
    <n v="0"/>
    <n v="0"/>
    <n v="26.9"/>
    <n v="0"/>
    <n v="0.25"/>
    <n v="0"/>
    <n v="0"/>
    <n v="16.07"/>
    <n v="0"/>
    <n v="0"/>
    <n v="43.22"/>
    <n v="0"/>
  </r>
  <r>
    <x v="11"/>
    <x v="1"/>
    <x v="0"/>
    <s v="5905200"/>
    <n v="721910"/>
    <s v="Supplies-Small Equipment"/>
    <s v="Inpatient Team"/>
    <x v="0"/>
    <m/>
    <n v="0"/>
    <n v="0"/>
    <n v="0"/>
    <n v="20.48"/>
    <n v="0"/>
    <n v="0"/>
    <n v="0"/>
    <n v="952.23"/>
    <n v="3933.17"/>
    <n v="175.48"/>
    <n v="0"/>
    <n v="0"/>
    <n v="5081.3599999999997"/>
    <n v="0"/>
  </r>
  <r>
    <x v="11"/>
    <x v="1"/>
    <x v="0"/>
    <s v="5905200"/>
    <n v="721980"/>
    <s v="Supplies-Other"/>
    <s v="Inpatient Team"/>
    <x v="0"/>
    <m/>
    <n v="0"/>
    <n v="110"/>
    <n v="25.08"/>
    <n v="0"/>
    <n v="0"/>
    <n v="0"/>
    <n v="0"/>
    <n v="0"/>
    <n v="0"/>
    <n v="79.819999999999993"/>
    <n v="0"/>
    <n v="159.36000000000001"/>
    <n v="374.26"/>
    <n v="-159.36000000000001"/>
  </r>
  <r>
    <x v="12"/>
    <x v="1"/>
    <x v="0"/>
    <s v="5905200"/>
    <n v="730020"/>
    <s v="Rental and Leases-Copier Usage Fees (DO NOT USE)"/>
    <s v="Inpatient Team"/>
    <x v="0"/>
    <n v="5100"/>
    <n v="1129.55"/>
    <n v="1271.4000000000001"/>
    <n v="1200.47"/>
    <n v="1200.47"/>
    <n v="1200.47"/>
    <n v="1200.47"/>
    <n v="-7436.49"/>
    <n v="300.79000000000002"/>
    <n v="585.44000000000005"/>
    <n v="856.44"/>
    <n v="404.37"/>
    <n v="502.16"/>
    <n v="2415.5400000000009"/>
    <n v="-97.79000000000002"/>
  </r>
  <r>
    <x v="15"/>
    <x v="1"/>
    <x v="0"/>
    <s v="5905200"/>
    <n v="731060"/>
    <s v="Pagers"/>
    <s v="Inpatient Team"/>
    <x v="0"/>
    <n v="1002"/>
    <n v="1328.9"/>
    <n v="1274.67"/>
    <n v="1494.07"/>
    <n v="1304.51"/>
    <n v="1277.81"/>
    <n v="0"/>
    <n v="2628.43"/>
    <n v="1251.8900000000001"/>
    <n v="1277.5"/>
    <n v="1264.42"/>
    <n v="1099.17"/>
    <n v="1098.3399999999999"/>
    <n v="15299.710000000001"/>
    <n v="0.83000000000015461"/>
  </r>
  <r>
    <x v="0"/>
    <x v="1"/>
    <x v="0"/>
    <s v="5905200"/>
    <n v="740020"/>
    <s v="Education-Registration Fees"/>
    <s v="Inpatient Team"/>
    <x v="0"/>
    <m/>
    <n v="0"/>
    <n v="0"/>
    <n v="0"/>
    <n v="0"/>
    <n v="0"/>
    <n v="0"/>
    <n v="752.81"/>
    <n v="0"/>
    <n v="0"/>
    <n v="0"/>
    <n v="0"/>
    <n v="620.23"/>
    <n v="1373.04"/>
    <n v="-620.23"/>
  </r>
  <r>
    <x v="0"/>
    <x v="1"/>
    <x v="0"/>
    <s v="5905200"/>
    <n v="740022"/>
    <s v="Education-Physician"/>
    <s v="Inpatient Team"/>
    <x v="0"/>
    <m/>
    <n v="5675"/>
    <n v="0"/>
    <n v="1340"/>
    <n v="1885"/>
    <n v="794"/>
    <n v="2693"/>
    <n v="3115"/>
    <n v="2690"/>
    <n v="11032.02"/>
    <n v="7243.84"/>
    <n v="4414"/>
    <n v="38032.15"/>
    <n v="78914.010000000009"/>
    <n v="-33618.15"/>
  </r>
  <r>
    <x v="0"/>
    <x v="1"/>
    <x v="0"/>
    <s v="5905200"/>
    <n v="740022"/>
    <s v="Books-Physician"/>
    <s v="Inpatient Team"/>
    <x v="0"/>
    <n v="2000"/>
    <n v="0"/>
    <n v="0"/>
    <n v="0"/>
    <n v="0"/>
    <n v="0"/>
    <n v="0"/>
    <n v="0"/>
    <n v="99.99"/>
    <n v="0"/>
    <n v="2797"/>
    <n v="1611.5"/>
    <n v="4137.5600000000004"/>
    <n v="8646.0499999999993"/>
    <n v="-2526.0600000000004"/>
  </r>
  <r>
    <x v="0"/>
    <x v="1"/>
    <x v="0"/>
    <s v="5905200"/>
    <n v="740023"/>
    <s v="Education-Advanced Practice Clinician"/>
    <s v="Inpatient Team"/>
    <x v="0"/>
    <m/>
    <n v="450"/>
    <n v="1062.5"/>
    <n v="0"/>
    <n v="625"/>
    <n v="2775"/>
    <n v="0"/>
    <n v="1550"/>
    <n v="2294"/>
    <n v="1568.68"/>
    <n v="5529"/>
    <n v="1585"/>
    <n v="1749.32"/>
    <n v="19188.5"/>
    <n v="-164.31999999999994"/>
  </r>
  <r>
    <x v="0"/>
    <x v="1"/>
    <x v="0"/>
    <s v="5905200"/>
    <n v="740023"/>
    <s v="Books-Advanced Practice Clinician"/>
    <s v="Inpatient Team"/>
    <x v="0"/>
    <n v="2000"/>
    <n v="0"/>
    <n v="0"/>
    <n v="0"/>
    <n v="0"/>
    <n v="0"/>
    <n v="0"/>
    <n v="0"/>
    <n v="0"/>
    <n v="0"/>
    <n v="0"/>
    <n v="0"/>
    <n v="2789.32"/>
    <n v="2789.32"/>
    <n v="-2789.32"/>
  </r>
  <r>
    <x v="0"/>
    <x v="1"/>
    <x v="0"/>
    <s v="5905200"/>
    <n v="740030"/>
    <s v="Education-Travel"/>
    <s v="Inpatient Team"/>
    <x v="0"/>
    <m/>
    <n v="0"/>
    <n v="427.08"/>
    <n v="413.54"/>
    <n v="510"/>
    <n v="0"/>
    <n v="0"/>
    <n v="505"/>
    <n v="175"/>
    <n v="437.9"/>
    <n v="0"/>
    <n v="0"/>
    <n v="0"/>
    <n v="2468.52"/>
    <n v="0"/>
  </r>
  <r>
    <x v="8"/>
    <x v="1"/>
    <x v="0"/>
    <s v="5905200"/>
    <n v="741012"/>
    <s v="Physician Liab Insurance-CHI Program"/>
    <s v="Inpatient Team"/>
    <x v="0"/>
    <m/>
    <n v="38519.1"/>
    <n v="38884.67"/>
    <n v="39276.92"/>
    <n v="40369.57"/>
    <n v="39858.61"/>
    <n v="40591.01"/>
    <n v="37176.75"/>
    <n v="41480.400000000001"/>
    <n v="41358.29"/>
    <n v="40750.370000000003"/>
    <n v="41397.03"/>
    <n v="42278.54"/>
    <n v="481941.25999999995"/>
    <n v="-881.51000000000204"/>
  </r>
  <r>
    <x v="0"/>
    <x v="1"/>
    <x v="0"/>
    <s v="5905200"/>
    <n v="743020"/>
    <s v="Dues--Individual"/>
    <s v="Inpatient Team"/>
    <x v="0"/>
    <m/>
    <n v="0"/>
    <n v="0"/>
    <n v="0"/>
    <n v="0"/>
    <n v="0"/>
    <n v="0"/>
    <n v="0"/>
    <n v="0"/>
    <n v="0"/>
    <n v="0"/>
    <n v="0"/>
    <n v="26447.67"/>
    <n v="26447.67"/>
    <n v="-26447.67"/>
  </r>
  <r>
    <x v="0"/>
    <x v="1"/>
    <x v="0"/>
    <s v="5905200"/>
    <n v="743022"/>
    <s v="Dues-Physician"/>
    <s v="Inpatient Team"/>
    <x v="0"/>
    <m/>
    <n v="1995"/>
    <n v="0"/>
    <n v="0"/>
    <n v="0"/>
    <n v="0"/>
    <n v="1880"/>
    <n v="0"/>
    <n v="1335"/>
    <n v="3185"/>
    <n v="7200.5"/>
    <n v="2962"/>
    <n v="7381"/>
    <n v="25938.5"/>
    <n v="-4419"/>
  </r>
  <r>
    <x v="0"/>
    <x v="1"/>
    <x v="0"/>
    <s v="5905200"/>
    <n v="743023"/>
    <s v="Dues-Advanced Practice Clinician"/>
    <s v="Inpatient Team"/>
    <x v="0"/>
    <m/>
    <n v="155"/>
    <n v="295"/>
    <n v="399"/>
    <n v="0"/>
    <n v="0"/>
    <n v="0"/>
    <n v="135"/>
    <n v="0"/>
    <n v="0"/>
    <n v="644"/>
    <n v="0"/>
    <n v="843.25"/>
    <n v="2471.25"/>
    <n v="-843.25"/>
  </r>
  <r>
    <x v="0"/>
    <x v="1"/>
    <x v="0"/>
    <s v="5905200"/>
    <n v="743030"/>
    <s v="Subscriptions--Institutional"/>
    <s v="Inpatient Team"/>
    <x v="0"/>
    <m/>
    <n v="0"/>
    <n v="0"/>
    <n v="0"/>
    <n v="0"/>
    <n v="0"/>
    <n v="0"/>
    <n v="0"/>
    <n v="0"/>
    <n v="0"/>
    <n v="0"/>
    <n v="0"/>
    <n v="1357.34"/>
    <n v="1357.34"/>
    <n v="-1357.34"/>
  </r>
  <r>
    <x v="0"/>
    <x v="1"/>
    <x v="0"/>
    <s v="5905200"/>
    <n v="743040"/>
    <s v="Subscriptions--Individual"/>
    <s v="Inpatient Team"/>
    <x v="0"/>
    <m/>
    <n v="0"/>
    <n v="0"/>
    <n v="0"/>
    <n v="0"/>
    <n v="0"/>
    <n v="243.75"/>
    <n v="0"/>
    <n v="0"/>
    <n v="0"/>
    <n v="0"/>
    <n v="0"/>
    <n v="0"/>
    <n v="243.75"/>
    <n v="0"/>
  </r>
  <r>
    <x v="0"/>
    <x v="1"/>
    <x v="0"/>
    <s v="5905200"/>
    <n v="743042"/>
    <s v="Subscriptions-Physician"/>
    <s v="Inpatient Team"/>
    <x v="0"/>
    <m/>
    <n v="5256.24"/>
    <n v="192.49"/>
    <n v="2157.64"/>
    <n v="1710.09"/>
    <n v="189"/>
    <n v="652.5"/>
    <n v="462.52"/>
    <n v="775"/>
    <n v="5711.73"/>
    <n v="12884.35"/>
    <n v="3480.98"/>
    <n v="76206.490000000005"/>
    <n v="109679.03"/>
    <n v="-72725.510000000009"/>
  </r>
  <r>
    <x v="0"/>
    <x v="1"/>
    <x v="0"/>
    <s v="5905200"/>
    <n v="743043"/>
    <s v="Subscriptions-Advanced Practice Clinician"/>
    <s v="Inpatient Team"/>
    <x v="0"/>
    <m/>
    <n v="192.31"/>
    <n v="0"/>
    <n v="0"/>
    <n v="630.02"/>
    <n v="1222.83"/>
    <n v="2410.11"/>
    <n v="1465.91"/>
    <n v="0"/>
    <n v="0"/>
    <n v="2161.19"/>
    <n v="2687.38"/>
    <n v="5194.18"/>
    <n v="15963.93"/>
    <n v="-2506.8000000000002"/>
  </r>
  <r>
    <x v="0"/>
    <x v="1"/>
    <x v="0"/>
    <s v="5905200"/>
    <n v="749510"/>
    <s v="Miscellaneous Expenses"/>
    <s v="Inpatient Team"/>
    <x v="0"/>
    <m/>
    <n v="-112385.07"/>
    <n v="2162.41"/>
    <n v="215.03"/>
    <n v="7707.63"/>
    <n v="-2879.53"/>
    <n v="6419.99"/>
    <n v="8936.94"/>
    <n v="2306.09"/>
    <n v="-6229.5"/>
    <n v="-3420.14"/>
    <n v="7032.16"/>
    <n v="33871.49"/>
    <n v="-56262.499999999993"/>
    <n v="-26839.329999999998"/>
  </r>
  <r>
    <x v="0"/>
    <x v="1"/>
    <x v="0"/>
    <s v="5905200"/>
    <n v="749510"/>
    <s v="Licenses"/>
    <s v="Inpatient Team"/>
    <x v="0"/>
    <n v="1002"/>
    <n v="0"/>
    <n v="0"/>
    <n v="0"/>
    <n v="0"/>
    <n v="0"/>
    <n v="0"/>
    <n v="731"/>
    <n v="0"/>
    <n v="0"/>
    <n v="0"/>
    <n v="0"/>
    <n v="659.5"/>
    <n v="1390.5"/>
    <n v="-659.5"/>
  </r>
  <r>
    <x v="0"/>
    <x v="1"/>
    <x v="0"/>
    <s v="5905200"/>
    <n v="749510"/>
    <s v="RICE Rewards"/>
    <s v="Inpatient Team"/>
    <x v="0"/>
    <n v="5100"/>
    <n v="0"/>
    <n v="0"/>
    <n v="0"/>
    <n v="0"/>
    <n v="0"/>
    <n v="182.56"/>
    <n v="105"/>
    <n v="0"/>
    <n v="0"/>
    <n v="0"/>
    <n v="0"/>
    <n v="6322.39"/>
    <n v="6609.9500000000007"/>
    <n v="-6322.39"/>
  </r>
  <r>
    <x v="0"/>
    <x v="1"/>
    <x v="0"/>
    <s v="5905200"/>
    <n v="749512"/>
    <s v="Licenses-Physician"/>
    <s v="Inpatient Team"/>
    <x v="0"/>
    <n v="2000"/>
    <n v="0"/>
    <n v="0"/>
    <n v="2709.5"/>
    <n v="1319"/>
    <n v="2781"/>
    <n v="3366.5"/>
    <n v="4759.5"/>
    <n v="4970.5"/>
    <n v="5306.5"/>
    <n v="1651"/>
    <n v="4360.5"/>
    <n v="5931.5"/>
    <n v="37155.5"/>
    <n v="-1571"/>
  </r>
  <r>
    <x v="0"/>
    <x v="1"/>
    <x v="0"/>
    <s v="5905200"/>
    <n v="749513"/>
    <s v="Licenses-Advanced Practice Clinician"/>
    <s v="Inpatient Team"/>
    <x v="0"/>
    <n v="2000"/>
    <n v="0"/>
    <n v="0"/>
    <n v="245"/>
    <n v="1348.5"/>
    <n v="0"/>
    <n v="1462"/>
    <n v="0"/>
    <n v="1385"/>
    <n v="981"/>
    <n v="976"/>
    <n v="452"/>
    <n v="240"/>
    <n v="7089.5"/>
    <n v="212"/>
  </r>
  <r>
    <x v="0"/>
    <x v="1"/>
    <x v="0"/>
    <s v="5905200"/>
    <n v="749530"/>
    <s v="Travel"/>
    <s v="Inpatient Team"/>
    <x v="0"/>
    <m/>
    <n v="0"/>
    <n v="24"/>
    <n v="30"/>
    <n v="30"/>
    <n v="315.7"/>
    <n v="471.5"/>
    <n v="1272.01"/>
    <n v="855.34"/>
    <n v="1026.54"/>
    <n v="2476.94"/>
    <n v="116.24"/>
    <n v="45.34"/>
    <n v="6663.6100000000006"/>
    <n v="70.899999999999991"/>
  </r>
  <r>
    <x v="0"/>
    <x v="1"/>
    <x v="0"/>
    <s v="5905200"/>
    <n v="749530"/>
    <s v="Mileage"/>
    <s v="Inpatient Team"/>
    <x v="0"/>
    <n v="1001"/>
    <n v="21.81"/>
    <n v="32.72"/>
    <n v="84.52"/>
    <n v="134.65"/>
    <n v="108.49"/>
    <n v="83.96"/>
    <n v="8.18"/>
    <n v="108.46"/>
    <n v="34.22"/>
    <n v="17.399999999999999"/>
    <n v="102.66"/>
    <n v="118.32"/>
    <n v="855.3900000000001"/>
    <n v="-15.659999999999997"/>
  </r>
  <r>
    <x v="0"/>
    <x v="1"/>
    <x v="0"/>
    <s v="5905200"/>
    <n v="749532"/>
    <s v="Travel-Physician"/>
    <s v="Inpatient Team"/>
    <x v="0"/>
    <m/>
    <n v="6802.74"/>
    <n v="1976"/>
    <n v="0"/>
    <n v="0"/>
    <n v="6367.93"/>
    <n v="4079.44"/>
    <n v="3134.09"/>
    <n v="3703.02"/>
    <n v="13724.05"/>
    <n v="10322.450000000001"/>
    <n v="8422.7199999999993"/>
    <n v="14256.27"/>
    <n v="72788.710000000006"/>
    <n v="-5833.5500000000011"/>
  </r>
  <r>
    <x v="0"/>
    <x v="1"/>
    <x v="0"/>
    <s v="5905200"/>
    <n v="749532"/>
    <s v="Vehicle Expense-Physician"/>
    <s v="Inpatient Team"/>
    <x v="0"/>
    <n v="2001"/>
    <n v="61.04"/>
    <n v="0"/>
    <n v="0"/>
    <n v="0"/>
    <n v="0"/>
    <n v="0"/>
    <n v="0"/>
    <n v="0"/>
    <n v="0"/>
    <n v="0"/>
    <n v="0"/>
    <n v="0"/>
    <n v="61.04"/>
    <n v="0"/>
  </r>
  <r>
    <x v="0"/>
    <x v="1"/>
    <x v="0"/>
    <s v="5905200"/>
    <n v="749533"/>
    <s v="Travel-Advanced Practice Clinician"/>
    <s v="Inpatient Team"/>
    <x v="0"/>
    <m/>
    <n v="5392.83"/>
    <n v="1279.78"/>
    <n v="20"/>
    <n v="247.41"/>
    <n v="161.38999999999999"/>
    <n v="709.28"/>
    <n v="4705.75"/>
    <n v="1215.54"/>
    <n v="6849.39"/>
    <n v="5983.62"/>
    <n v="586.45000000000005"/>
    <n v="2209.48"/>
    <n v="29360.92"/>
    <n v="-1623.03"/>
  </r>
  <r>
    <x v="0"/>
    <x v="1"/>
    <x v="0"/>
    <s v="5905200"/>
    <n v="749533"/>
    <s v="Vehicle Expense-Advanced Practice Clinician"/>
    <s v="Inpatient Team"/>
    <x v="0"/>
    <n v="2001"/>
    <n v="15.81"/>
    <n v="35.44"/>
    <n v="31.62"/>
    <n v="55.61"/>
    <n v="50.15"/>
    <n v="46.36"/>
    <n v="39.25"/>
    <n v="0"/>
    <n v="98.02"/>
    <n v="60.32"/>
    <n v="266.8"/>
    <n v="91.06"/>
    <n v="790.44"/>
    <n v="175.74"/>
  </r>
  <r>
    <x v="0"/>
    <x v="1"/>
    <x v="0"/>
    <s v="5905200"/>
    <n v="749535"/>
    <s v="Meetings"/>
    <s v="Inpatient Team"/>
    <x v="0"/>
    <m/>
    <n v="0"/>
    <n v="65"/>
    <n v="0"/>
    <n v="0"/>
    <n v="25"/>
    <n v="0"/>
    <n v="65.12"/>
    <n v="0"/>
    <n v="0"/>
    <n v="0"/>
    <n v="326.26"/>
    <n v="0"/>
    <n v="481.38"/>
    <n v="326.26"/>
  </r>
  <r>
    <x v="0"/>
    <x v="1"/>
    <x v="0"/>
    <s v="5905200"/>
    <n v="749535"/>
    <s v="Medicare Non-Allowable Beverages"/>
    <s v="Inpatient Team"/>
    <x v="0"/>
    <n v="1005"/>
    <n v="0"/>
    <n v="0"/>
    <n v="0"/>
    <n v="0"/>
    <n v="66"/>
    <n v="0"/>
    <n v="0"/>
    <n v="0"/>
    <n v="38.42"/>
    <n v="31"/>
    <n v="85"/>
    <n v="6.75"/>
    <n v="227.17000000000002"/>
    <n v="78.25"/>
  </r>
  <r>
    <x v="9"/>
    <x v="1"/>
    <x v="0"/>
    <s v="5905200"/>
    <n v="800015"/>
    <s v="Interest Income-Ext to CHI"/>
    <s v="Inpatient Team"/>
    <x v="0"/>
    <m/>
    <n v="-310.67"/>
    <n v="-432.42"/>
    <n v="-582.35"/>
    <n v="-710.37"/>
    <n v="-695.77"/>
    <n v="-714.46"/>
    <n v="-740.36"/>
    <n v="-883.7"/>
    <n v="-987.27"/>
    <n v="-951.07"/>
    <n v="-1067.23"/>
    <n v="-1034.94"/>
    <n v="-9110.6099999999988"/>
    <n v="-32.289999999999964"/>
  </r>
  <r>
    <x v="1"/>
    <x v="1"/>
    <x v="0"/>
    <s v="5906200"/>
    <n v="400040"/>
    <s v="Physician Svcs Rev--Medicare"/>
    <s v="Laparoscopic Fellow"/>
    <x v="0"/>
    <n v="1100"/>
    <n v="-34005"/>
    <n v="-5097"/>
    <n v="-34622"/>
    <n v="-25431"/>
    <n v="-35084.25"/>
    <n v="-37053"/>
    <n v="-27061.25"/>
    <n v="-22927"/>
    <n v="-28553"/>
    <n v="106311.25"/>
    <n v="0"/>
    <n v="16904"/>
    <n v="-126618.25"/>
    <n v="-16904"/>
  </r>
  <r>
    <x v="1"/>
    <x v="1"/>
    <x v="0"/>
    <s v="5906200"/>
    <n v="400040"/>
    <s v="Physician Svcs Rev--Medicaid"/>
    <s v="Laparoscopic Fellow"/>
    <x v="0"/>
    <n v="1200"/>
    <n v="-8024"/>
    <n v="-24073"/>
    <n v="-34239"/>
    <n v="-10646"/>
    <n v="-30821"/>
    <n v="-28129"/>
    <n v="-11097"/>
    <n v="-6133"/>
    <n v="-19491.5"/>
    <n v="2674.5"/>
    <n v="0"/>
    <n v="16572"/>
    <n v="-153407"/>
    <n v="-16572"/>
  </r>
  <r>
    <x v="1"/>
    <x v="1"/>
    <x v="0"/>
    <s v="5906200"/>
    <n v="400040"/>
    <s v="Physician Svcs Rev--Comm Insurance"/>
    <s v="Laparoscopic Fellow"/>
    <x v="0"/>
    <n v="1300"/>
    <n v="0"/>
    <n v="-2070"/>
    <n v="0"/>
    <n v="-2896"/>
    <n v="0"/>
    <n v="-1202"/>
    <n v="0"/>
    <n v="-2602"/>
    <n v="-7525"/>
    <n v="0"/>
    <n v="-3338"/>
    <n v="0"/>
    <n v="-19633"/>
    <n v="-3338"/>
  </r>
  <r>
    <x v="1"/>
    <x v="1"/>
    <x v="0"/>
    <s v="5906200"/>
    <n v="400040"/>
    <s v="Physician Svcs Rev--BCBS Comm"/>
    <s v="Laparoscopic Fellow"/>
    <x v="0"/>
    <n v="1301"/>
    <n v="-2182"/>
    <n v="-7656"/>
    <n v="-1847"/>
    <n v="-12477"/>
    <n v="1724"/>
    <n v="-21760"/>
    <n v="-15955"/>
    <n v="-1847"/>
    <n v="2749"/>
    <n v="0"/>
    <n v="0"/>
    <n v="1200"/>
    <n v="-58051"/>
    <n v="-1200"/>
  </r>
  <r>
    <x v="1"/>
    <x v="1"/>
    <x v="0"/>
    <s v="5906200"/>
    <n v="400040"/>
    <s v="Physician Svcs Rev--Managed Care"/>
    <s v="Laparoscopic Fellow"/>
    <x v="0"/>
    <n v="1400"/>
    <n v="-59115"/>
    <n v="-6097"/>
    <n v="-36008"/>
    <n v="-13514.25"/>
    <n v="-22460"/>
    <n v="-55714"/>
    <n v="-12887"/>
    <n v="-576"/>
    <n v="-54678"/>
    <n v="-6258"/>
    <n v="210"/>
    <n v="18459"/>
    <n v="-248638.25"/>
    <n v="-18249"/>
  </r>
  <r>
    <x v="1"/>
    <x v="1"/>
    <x v="0"/>
    <s v="5906200"/>
    <n v="400040"/>
    <s v="Physician Svcs Rev--Self Pay"/>
    <s v="Laparoscopic Fellow"/>
    <x v="0"/>
    <n v="1500"/>
    <n v="0"/>
    <n v="-1351"/>
    <n v="0"/>
    <n v="0"/>
    <n v="0"/>
    <n v="0"/>
    <n v="-1248"/>
    <n v="0"/>
    <n v="0"/>
    <n v="0"/>
    <n v="-3447"/>
    <n v="0"/>
    <n v="-6046"/>
    <n v="-3447"/>
  </r>
  <r>
    <x v="1"/>
    <x v="1"/>
    <x v="0"/>
    <s v="5906200"/>
    <n v="400040"/>
    <s v="Physician Svcs Rev--Other"/>
    <s v="Laparoscopic Fellow"/>
    <x v="0"/>
    <n v="1700"/>
    <n v="0"/>
    <n v="7887"/>
    <n v="-18243"/>
    <n v="496"/>
    <n v="-4922"/>
    <n v="-7283"/>
    <n v="-4305"/>
    <n v="-4022.5"/>
    <n v="1847"/>
    <n v="0"/>
    <n v="0"/>
    <n v="0"/>
    <n v="-28545.5"/>
    <n v="0"/>
  </r>
  <r>
    <x v="2"/>
    <x v="1"/>
    <x v="0"/>
    <s v="5906200"/>
    <n v="450040"/>
    <s v="Contr Allow--Phys Svcs--Mcare"/>
    <s v="Laparoscopic Fellow"/>
    <x v="0"/>
    <n v="1100"/>
    <n v="-13722.98"/>
    <n v="11677.84"/>
    <n v="5231.04"/>
    <n v="18309.02"/>
    <n v="6493.5"/>
    <n v="20682.400000000001"/>
    <n v="8795.27"/>
    <n v="11925.18"/>
    <n v="3548.1"/>
    <n v="10756.69"/>
    <n v="3684.85"/>
    <n v="2842.6"/>
    <n v="90223.510000000038"/>
    <n v="842.25"/>
  </r>
  <r>
    <x v="2"/>
    <x v="1"/>
    <x v="0"/>
    <s v="5906200"/>
    <n v="450040"/>
    <s v="Contr Allow--Phys Svcs--Mcaid"/>
    <s v="Laparoscopic Fellow"/>
    <x v="0"/>
    <n v="1200"/>
    <n v="7208.49"/>
    <n v="8139.97"/>
    <n v="17798.13"/>
    <n v="28972.83"/>
    <n v="5277.81"/>
    <n v="24655.61"/>
    <n v="18030.46"/>
    <n v="22725.18"/>
    <n v="3582.63"/>
    <n v="33001.300000000003"/>
    <n v="4391.47"/>
    <n v="0"/>
    <n v="173783.87999999998"/>
    <n v="4391.47"/>
  </r>
  <r>
    <x v="2"/>
    <x v="1"/>
    <x v="0"/>
    <s v="5906200"/>
    <n v="450040"/>
    <s v="Contr Allow--Phys Svcs--Comm Insurance"/>
    <s v="Laparoscopic Fellow"/>
    <x v="0"/>
    <n v="1300"/>
    <n v="0"/>
    <n v="0"/>
    <n v="1850.88"/>
    <n v="0"/>
    <n v="0"/>
    <n v="2840.56"/>
    <n v="0"/>
    <n v="3338.47"/>
    <n v="0"/>
    <n v="0"/>
    <n v="0"/>
    <n v="0"/>
    <n v="8029.91"/>
    <n v="0"/>
  </r>
  <r>
    <x v="2"/>
    <x v="1"/>
    <x v="0"/>
    <s v="5906200"/>
    <n v="450040"/>
    <s v="Contr Allow--Phys Svcs--BCBS Comm Ins"/>
    <s v="Laparoscopic Fellow"/>
    <x v="0"/>
    <n v="1301"/>
    <n v="4872.05"/>
    <n v="6524.58"/>
    <n v="2600.83"/>
    <n v="2595.21"/>
    <n v="11159.92"/>
    <n v="2617"/>
    <n v="0"/>
    <n v="20571.919999999998"/>
    <n v="-3601.57"/>
    <n v="100.98"/>
    <n v="0"/>
    <n v="0"/>
    <n v="47440.920000000006"/>
    <n v="0"/>
  </r>
  <r>
    <x v="2"/>
    <x v="1"/>
    <x v="0"/>
    <s v="5906200"/>
    <n v="450040"/>
    <s v="Contr Allow--Phys Svcs--Managed Care"/>
    <s v="Laparoscopic Fellow"/>
    <x v="0"/>
    <n v="1400"/>
    <n v="34851.51"/>
    <n v="35718.99"/>
    <n v="7970.96"/>
    <n v="18896.55"/>
    <n v="43807.58"/>
    <n v="14030.28"/>
    <n v="14397.59"/>
    <n v="33914.980000000003"/>
    <n v="19484.759999999998"/>
    <n v="13537.75"/>
    <n v="8066.06"/>
    <n v="2334.52"/>
    <n v="247011.53000000003"/>
    <n v="5731.5400000000009"/>
  </r>
  <r>
    <x v="2"/>
    <x v="1"/>
    <x v="0"/>
    <s v="5906200"/>
    <n v="450040"/>
    <s v="Contr Allow--Phys Svcs--BCBS Mgnd Care"/>
    <s v="Laparoscopic Fellow"/>
    <x v="0"/>
    <n v="1401"/>
    <n v="17230.52"/>
    <n v="-29438.22"/>
    <n v="40495.49"/>
    <n v="-7559.67"/>
    <n v="1382.71"/>
    <n v="41951.64"/>
    <n v="16009.85"/>
    <n v="-35456"/>
    <n v="43094.79"/>
    <n v="-89886.22"/>
    <n v="-9756.27"/>
    <n v="-39981.800000000003"/>
    <n v="-51913.180000000022"/>
    <n v="30225.530000000002"/>
  </r>
  <r>
    <x v="2"/>
    <x v="1"/>
    <x v="0"/>
    <s v="5906200"/>
    <n v="450040"/>
    <s v="Admin Adjust-Phys Svcs-Self Pay"/>
    <s v="Laparoscopic Fellow"/>
    <x v="0"/>
    <n v="1600"/>
    <n v="13440.32"/>
    <n v="26637.95"/>
    <n v="11756"/>
    <n v="1143"/>
    <n v="0"/>
    <n v="0"/>
    <n v="1125.1500000000001"/>
    <n v="5694.24"/>
    <n v="0"/>
    <n v="0"/>
    <n v="0"/>
    <n v="5405"/>
    <n v="65201.66"/>
    <n v="-5405"/>
  </r>
  <r>
    <x v="2"/>
    <x v="1"/>
    <x v="0"/>
    <s v="5906200"/>
    <n v="450040"/>
    <s v="Contr Allow--Phys Svcs--Other"/>
    <s v="Laparoscopic Fellow"/>
    <x v="0"/>
    <n v="1700"/>
    <n v="12469.37"/>
    <n v="0"/>
    <n v="0"/>
    <n v="1887.05"/>
    <n v="13702.57"/>
    <n v="1131.19"/>
    <n v="1382.71"/>
    <n v="0"/>
    <n v="2297.7800000000002"/>
    <n v="1736.33"/>
    <n v="4943.2"/>
    <n v="0"/>
    <n v="39550.199999999997"/>
    <n v="4943.2"/>
  </r>
  <r>
    <x v="3"/>
    <x v="1"/>
    <x v="0"/>
    <s v="5906200"/>
    <n v="470040"/>
    <s v="Charity Care-Physician Svcs"/>
    <s v="Laparoscopic Fellow"/>
    <x v="0"/>
    <m/>
    <n v="233.77"/>
    <n v="-199.54"/>
    <n v="1961.79"/>
    <n v="-311.35000000000002"/>
    <n v="241.75"/>
    <n v="796.74"/>
    <n v="256.49"/>
    <n v="-1459.38"/>
    <n v="2322.2600000000002"/>
    <n v="-3137.29"/>
    <n v="-712.31"/>
    <n v="10988.48"/>
    <n v="10981.41"/>
    <n v="-11700.789999999999"/>
  </r>
  <r>
    <x v="4"/>
    <x v="1"/>
    <x v="0"/>
    <s v="5906200"/>
    <n v="490010"/>
    <s v="Provision for Bad Debts"/>
    <s v="Laparoscopic Fellow"/>
    <x v="0"/>
    <m/>
    <n v="1664.28"/>
    <n v="-1709.14"/>
    <n v="2132.81"/>
    <n v="-2425.21"/>
    <n v="1146.54"/>
    <n v="3882.14"/>
    <n v="-837.46"/>
    <n v="-5030.5600000000004"/>
    <n v="5488.37"/>
    <n v="-10020.36"/>
    <n v="133.43"/>
    <n v="-3982.01"/>
    <n v="-9557.1700000000019"/>
    <n v="4115.4400000000005"/>
  </r>
  <r>
    <x v="5"/>
    <x v="1"/>
    <x v="0"/>
    <s v="5906200"/>
    <n v="700020"/>
    <s v="Salaries-Physician Admin-Other"/>
    <s v="Laparoscopic Fellow"/>
    <x v="0"/>
    <n v="2000"/>
    <n v="0"/>
    <n v="0"/>
    <n v="0"/>
    <n v="0"/>
    <n v="0"/>
    <n v="0"/>
    <n v="0"/>
    <n v="0"/>
    <n v="0"/>
    <n v="0"/>
    <n v="0"/>
    <n v="19600"/>
    <n v="19600"/>
    <n v="-19600"/>
  </r>
  <r>
    <x v="5"/>
    <x v="1"/>
    <x v="0"/>
    <s v="5906200"/>
    <n v="700032"/>
    <s v="Salaries-Other Pat Care Providers-Productive"/>
    <s v="Laparoscopic Fellow"/>
    <x v="0"/>
    <m/>
    <n v="4417.3900000000003"/>
    <n v="5571.48"/>
    <n v="4945.17"/>
    <n v="5109.9399999999996"/>
    <n v="4944.9399999999996"/>
    <n v="5109.9399999999996"/>
    <n v="5117.8999999999996"/>
    <n v="4622.16"/>
    <n v="5117.43"/>
    <n v="4952.18"/>
    <n v="5117.42"/>
    <n v="4952.42"/>
    <n v="59978.369999999995"/>
    <n v="165"/>
  </r>
  <r>
    <x v="5"/>
    <x v="1"/>
    <x v="0"/>
    <s v="5906200"/>
    <n v="700072"/>
    <s v="Salaries-Other Pat Care Providers-Non-productive"/>
    <s v="Laparoscopic Fellow"/>
    <x v="0"/>
    <m/>
    <n v="692.31"/>
    <n v="0"/>
    <n v="0"/>
    <n v="0"/>
    <n v="0"/>
    <n v="0"/>
    <n v="0"/>
    <n v="0"/>
    <n v="0"/>
    <n v="0"/>
    <n v="0"/>
    <n v="0"/>
    <n v="692.31"/>
    <n v="0"/>
  </r>
  <r>
    <x v="6"/>
    <x v="1"/>
    <x v="0"/>
    <s v="5906200"/>
    <n v="713010"/>
    <s v="Benefits-FICA/Medicare"/>
    <s v="Laparoscopic Fellow"/>
    <x v="0"/>
    <m/>
    <n v="390.87"/>
    <n v="426.21"/>
    <n v="361.38"/>
    <n v="376.32"/>
    <n v="364.17"/>
    <n v="378.54"/>
    <n v="380.59"/>
    <n v="343.76"/>
    <n v="380.61"/>
    <n v="368.29"/>
    <n v="380.6"/>
    <n v="651.76"/>
    <n v="4803.1000000000004"/>
    <n v="-271.15999999999997"/>
  </r>
  <r>
    <x v="6"/>
    <x v="1"/>
    <x v="0"/>
    <s v="5906200"/>
    <n v="713090"/>
    <s v="Benefits-Allocated Amounts"/>
    <s v="Laparoscopic Fellow"/>
    <x v="0"/>
    <m/>
    <n v="1361.22"/>
    <n v="1344.42"/>
    <n v="1370.05"/>
    <n v="1257.8499999999999"/>
    <n v="1333.7"/>
    <n v="1341.93"/>
    <n v="1436.03"/>
    <n v="1381.72"/>
    <n v="1139.04"/>
    <n v="1407.52"/>
    <n v="1473.66"/>
    <n v="2216.16"/>
    <n v="17063.3"/>
    <n v="-742.49999999999977"/>
  </r>
  <r>
    <x v="17"/>
    <x v="1"/>
    <x v="0"/>
    <s v="5906200"/>
    <n v="714510"/>
    <s v="Medical Director Fees"/>
    <s v="Laparoscopic Fellow"/>
    <x v="0"/>
    <m/>
    <n v="2800"/>
    <n v="2800"/>
    <n v="2800"/>
    <n v="2800"/>
    <n v="2800"/>
    <n v="2800"/>
    <n v="2800"/>
    <n v="2800"/>
    <n v="42000"/>
    <n v="5800"/>
    <n v="5400"/>
    <n v="-14000"/>
    <n v="61600"/>
    <n v="19400"/>
  </r>
  <r>
    <x v="7"/>
    <x v="1"/>
    <x v="0"/>
    <s v="5906200"/>
    <n v="718040"/>
    <s v="Contract Svcs-Laboratory"/>
    <s v="Laparoscopic Fellow"/>
    <x v="0"/>
    <m/>
    <n v="0"/>
    <n v="0"/>
    <n v="0"/>
    <n v="0"/>
    <n v="0"/>
    <n v="0"/>
    <n v="0"/>
    <n v="0"/>
    <n v="0"/>
    <n v="0"/>
    <n v="43"/>
    <n v="0"/>
    <n v="43"/>
    <n v="43"/>
  </r>
  <r>
    <x v="7"/>
    <x v="1"/>
    <x v="0"/>
    <s v="5906200"/>
    <n v="718050"/>
    <s v="Miscellaneous Purchased Svcs"/>
    <s v="Laparoscopic Fellow"/>
    <x v="0"/>
    <n v="1020"/>
    <n v="0"/>
    <n v="0"/>
    <n v="0"/>
    <n v="0"/>
    <n v="0"/>
    <n v="0"/>
    <n v="150.88999999999999"/>
    <n v="0"/>
    <n v="0"/>
    <n v="0"/>
    <n v="0"/>
    <n v="0"/>
    <n v="150.88999999999999"/>
    <n v="0"/>
  </r>
  <r>
    <x v="0"/>
    <x v="1"/>
    <x v="0"/>
    <s v="5906200"/>
    <n v="740020"/>
    <s v="Education-Registration Fees"/>
    <s v="Laparoscopic Fellow"/>
    <x v="0"/>
    <m/>
    <n v="0"/>
    <n v="0"/>
    <n v="1350"/>
    <n v="0"/>
    <n v="0"/>
    <n v="0"/>
    <n v="0"/>
    <n v="0"/>
    <n v="0"/>
    <n v="0"/>
    <n v="865"/>
    <n v="0"/>
    <n v="2215"/>
    <n v="865"/>
  </r>
  <r>
    <x v="8"/>
    <x v="1"/>
    <x v="0"/>
    <s v="5906200"/>
    <n v="741012"/>
    <s v="Physician Liab Insurance-CHI Program"/>
    <s v="Laparoscopic Fellow"/>
    <x v="0"/>
    <m/>
    <n v="1894.67"/>
    <n v="2876.21"/>
    <n v="1908.35"/>
    <n v="1908.35"/>
    <n v="1908.35"/>
    <n v="1908.35"/>
    <n v="1908.35"/>
    <n v="1908.35"/>
    <n v="1908.35"/>
    <n v="1908.35"/>
    <n v="1908.36"/>
    <n v="1908.35"/>
    <n v="23854.39"/>
    <n v="9.9999999999909051E-3"/>
  </r>
  <r>
    <x v="0"/>
    <x v="1"/>
    <x v="0"/>
    <s v="5906200"/>
    <n v="743020"/>
    <s v="Dues--Individual"/>
    <s v="Laparoscopic Fellow"/>
    <x v="0"/>
    <m/>
    <n v="900"/>
    <n v="0"/>
    <n v="70"/>
    <n v="0"/>
    <n v="0"/>
    <n v="0"/>
    <n v="0"/>
    <n v="0"/>
    <n v="0"/>
    <n v="0"/>
    <n v="0"/>
    <n v="0"/>
    <n v="970"/>
    <n v="0"/>
  </r>
  <r>
    <x v="0"/>
    <x v="1"/>
    <x v="0"/>
    <s v="5906200"/>
    <n v="749510"/>
    <s v="Licenses"/>
    <s v="Laparoscopic Fellow"/>
    <x v="0"/>
    <n v="1002"/>
    <n v="0"/>
    <n v="0"/>
    <n v="0"/>
    <n v="0"/>
    <n v="0"/>
    <n v="0"/>
    <n v="0"/>
    <n v="659.5"/>
    <n v="0"/>
    <n v="0"/>
    <n v="0"/>
    <n v="0"/>
    <n v="659.5"/>
    <n v="0"/>
  </r>
  <r>
    <x v="0"/>
    <x v="1"/>
    <x v="0"/>
    <s v="5906200"/>
    <n v="749530"/>
    <s v="Travel"/>
    <s v="Laparoscopic Fellow"/>
    <x v="0"/>
    <m/>
    <n v="0"/>
    <n v="0"/>
    <n v="0"/>
    <n v="0"/>
    <n v="0"/>
    <n v="0"/>
    <n v="0"/>
    <n v="0"/>
    <n v="0"/>
    <n v="556.6"/>
    <n v="158.4"/>
    <n v="0"/>
    <n v="715"/>
    <n v="158.4"/>
  </r>
  <r>
    <x v="1"/>
    <x v="1"/>
    <x v="0"/>
    <s v="5909200"/>
    <n v="400029"/>
    <s v="MD Practice Other Rev--Medicare"/>
    <s v="Surgical First Assist Pool"/>
    <x v="0"/>
    <n v="1100"/>
    <n v="871"/>
    <n v="176"/>
    <n v="0"/>
    <n v="0"/>
    <n v="-23"/>
    <n v="0"/>
    <n v="0"/>
    <n v="0"/>
    <n v="-176"/>
    <n v="-352"/>
    <n v="0"/>
    <n v="0"/>
    <n v="496"/>
    <n v="0"/>
  </r>
  <r>
    <x v="1"/>
    <x v="1"/>
    <x v="0"/>
    <s v="5909200"/>
    <n v="400029"/>
    <s v="MD Practice Other Rev--Medicaid"/>
    <s v="Surgical First Assist Pool"/>
    <x v="0"/>
    <n v="1200"/>
    <n v="0"/>
    <n v="0"/>
    <n v="-227"/>
    <n v="51"/>
    <n v="0"/>
    <n v="-199"/>
    <n v="0"/>
    <n v="199"/>
    <n v="0"/>
    <n v="0"/>
    <n v="-92"/>
    <n v="-176"/>
    <n v="-444"/>
    <n v="84"/>
  </r>
  <r>
    <x v="1"/>
    <x v="1"/>
    <x v="0"/>
    <s v="5909200"/>
    <n v="400029"/>
    <s v="MD Practice Other Rev--Comm Insurance"/>
    <s v="Surgical First Assist Pool"/>
    <x v="0"/>
    <n v="1300"/>
    <n v="-176"/>
    <n v="0"/>
    <n v="176"/>
    <n v="0"/>
    <n v="0"/>
    <n v="0"/>
    <n v="0"/>
    <n v="0"/>
    <n v="0"/>
    <n v="-199"/>
    <n v="0"/>
    <n v="0"/>
    <n v="-199"/>
    <n v="0"/>
  </r>
  <r>
    <x v="1"/>
    <x v="1"/>
    <x v="0"/>
    <s v="5909200"/>
    <n v="400029"/>
    <s v="MD Practice Other Rev--Managed Care"/>
    <s v="Surgical First Assist Pool"/>
    <x v="0"/>
    <n v="1400"/>
    <n v="0"/>
    <n v="0"/>
    <n v="0"/>
    <n v="0"/>
    <n v="-199"/>
    <n v="0"/>
    <n v="199"/>
    <n v="0"/>
    <n v="0"/>
    <n v="0"/>
    <n v="0"/>
    <n v="-398"/>
    <n v="-398"/>
    <n v="398"/>
  </r>
  <r>
    <x v="1"/>
    <x v="1"/>
    <x v="0"/>
    <s v="5909200"/>
    <n v="400040"/>
    <s v="Physician Svcs Rev--Medicare"/>
    <s v="Surgical First Assist Pool"/>
    <x v="0"/>
    <n v="1100"/>
    <n v="-196267"/>
    <n v="-158352"/>
    <n v="-205985"/>
    <n v="-151865"/>
    <n v="-270817"/>
    <n v="-231645.25"/>
    <n v="-128631"/>
    <n v="-144072"/>
    <n v="-138985"/>
    <n v="-200943"/>
    <n v="-269195"/>
    <n v="-232466"/>
    <n v="-2329223.25"/>
    <n v="-36729"/>
  </r>
  <r>
    <x v="1"/>
    <x v="1"/>
    <x v="0"/>
    <s v="5909200"/>
    <n v="400040"/>
    <s v="Physician Svcs Rev--Medicaid"/>
    <s v="Surgical First Assist Pool"/>
    <x v="0"/>
    <n v="1200"/>
    <n v="-71886"/>
    <n v="-177189"/>
    <n v="-93925"/>
    <n v="-63666.1"/>
    <n v="-142637"/>
    <n v="-194407"/>
    <n v="-167377"/>
    <n v="-122151"/>
    <n v="-133285"/>
    <n v="-197262"/>
    <n v="-287635"/>
    <n v="-158439"/>
    <n v="-1809859.1"/>
    <n v="-129196"/>
  </r>
  <r>
    <x v="1"/>
    <x v="1"/>
    <x v="0"/>
    <s v="5909200"/>
    <n v="400040"/>
    <s v="Physician Svcs Rev--Comm Insurance"/>
    <s v="Surgical First Assist Pool"/>
    <x v="0"/>
    <n v="1300"/>
    <n v="-37712"/>
    <n v="-21938"/>
    <n v="-10249"/>
    <n v="-7416"/>
    <n v="-34202"/>
    <n v="-72545"/>
    <n v="-27916"/>
    <n v="-14974"/>
    <n v="-32646"/>
    <n v="-60713"/>
    <n v="-28446"/>
    <n v="-59183"/>
    <n v="-407940"/>
    <n v="30737"/>
  </r>
  <r>
    <x v="1"/>
    <x v="1"/>
    <x v="0"/>
    <s v="5909200"/>
    <n v="400040"/>
    <s v="Physician Svcs Rev--BCBS Comm"/>
    <s v="Surgical First Assist Pool"/>
    <x v="0"/>
    <n v="1301"/>
    <n v="-20312"/>
    <n v="-134454"/>
    <n v="-48859"/>
    <n v="-35677"/>
    <n v="-19817"/>
    <n v="-138272"/>
    <n v="-74403"/>
    <n v="-62173"/>
    <n v="-42008"/>
    <n v="-66150.25"/>
    <n v="-116396"/>
    <n v="-112463"/>
    <n v="-870984.25"/>
    <n v="-3933"/>
  </r>
  <r>
    <x v="1"/>
    <x v="1"/>
    <x v="0"/>
    <s v="5909200"/>
    <n v="400040"/>
    <s v="Physician Svcs Rev--Managed Care"/>
    <s v="Surgical First Assist Pool"/>
    <x v="0"/>
    <n v="1400"/>
    <n v="-151283"/>
    <n v="-403968"/>
    <n v="-290247.5"/>
    <n v="-208781"/>
    <n v="-241810"/>
    <n v="-281650"/>
    <n v="-212509"/>
    <n v="-206402"/>
    <n v="-273770"/>
    <n v="-278729"/>
    <n v="-421400"/>
    <n v="-310687"/>
    <n v="-3281236.5"/>
    <n v="-110713"/>
  </r>
  <r>
    <x v="1"/>
    <x v="1"/>
    <x v="0"/>
    <s v="5909200"/>
    <n v="400040"/>
    <s v="Physician Svcs Rev--Self Pay"/>
    <s v="Surgical First Assist Pool"/>
    <x v="0"/>
    <n v="1500"/>
    <n v="0"/>
    <n v="-4930"/>
    <n v="0"/>
    <n v="0"/>
    <n v="-5655"/>
    <n v="0"/>
    <n v="-12175"/>
    <n v="-170"/>
    <n v="0"/>
    <n v="0"/>
    <n v="-32420"/>
    <n v="-5005"/>
    <n v="-60355"/>
    <n v="-27415"/>
  </r>
  <r>
    <x v="1"/>
    <x v="1"/>
    <x v="0"/>
    <s v="5909200"/>
    <n v="400040"/>
    <s v="Physician Svcs Rev--Other"/>
    <s v="Surgical First Assist Pool"/>
    <x v="0"/>
    <n v="1700"/>
    <n v="-38018"/>
    <n v="-18604"/>
    <n v="-20516"/>
    <n v="-32411"/>
    <n v="-5397"/>
    <n v="-17883"/>
    <n v="-30105"/>
    <n v="-32683"/>
    <n v="-18221"/>
    <n v="-33472"/>
    <n v="-19569"/>
    <n v="-41243"/>
    <n v="-308122"/>
    <n v="21674"/>
  </r>
  <r>
    <x v="2"/>
    <x v="1"/>
    <x v="0"/>
    <s v="5909200"/>
    <n v="450029"/>
    <s v="Contr Allow--MD Other-Medicare"/>
    <s v="Surgical First Assist Pool"/>
    <x v="0"/>
    <n v="1100"/>
    <n v="0"/>
    <n v="0"/>
    <n v="0"/>
    <n v="0"/>
    <n v="0"/>
    <n v="0"/>
    <n v="0"/>
    <n v="20.69"/>
    <n v="0"/>
    <n v="0"/>
    <n v="334.6"/>
    <n v="0"/>
    <n v="355.29"/>
    <n v="334.6"/>
  </r>
  <r>
    <x v="2"/>
    <x v="1"/>
    <x v="0"/>
    <s v="5909200"/>
    <n v="450029"/>
    <s v="Contr Allow--MD Other-Medicaid"/>
    <s v="Surgical First Assist Pool"/>
    <x v="0"/>
    <n v="1200"/>
    <n v="0"/>
    <n v="0"/>
    <n v="167.79"/>
    <n v="28.05"/>
    <n v="0"/>
    <n v="0"/>
    <n v="0"/>
    <n v="0"/>
    <n v="0"/>
    <n v="-28.05"/>
    <n v="0"/>
    <n v="0"/>
    <n v="167.79"/>
    <n v="0"/>
  </r>
  <r>
    <x v="2"/>
    <x v="1"/>
    <x v="0"/>
    <s v="5909200"/>
    <n v="450029"/>
    <s v="Contr Allow--MD Other-Comm Insurance"/>
    <s v="Surgical First Assist Pool"/>
    <x v="0"/>
    <n v="1300"/>
    <n v="0"/>
    <n v="0"/>
    <n v="0"/>
    <n v="0"/>
    <n v="0"/>
    <n v="0"/>
    <n v="0"/>
    <n v="0"/>
    <n v="0"/>
    <n v="0"/>
    <n v="23"/>
    <n v="0"/>
    <n v="23"/>
    <n v="23"/>
  </r>
  <r>
    <x v="2"/>
    <x v="1"/>
    <x v="0"/>
    <s v="5909200"/>
    <n v="450029"/>
    <s v="Admin Adjust-MD Other-Self Pay"/>
    <s v="Surgical First Assist Pool"/>
    <x v="0"/>
    <n v="1600"/>
    <n v="0"/>
    <n v="0"/>
    <n v="0"/>
    <n v="0"/>
    <n v="0"/>
    <n v="0"/>
    <n v="0"/>
    <n v="0"/>
    <n v="0"/>
    <n v="0"/>
    <n v="0"/>
    <n v="1.7"/>
    <n v="1.7"/>
    <n v="-1.7"/>
  </r>
  <r>
    <x v="2"/>
    <x v="1"/>
    <x v="0"/>
    <s v="5909200"/>
    <n v="450040"/>
    <s v="Contr Allow--Phys Svcs--Mcare"/>
    <s v="Surgical First Assist Pool"/>
    <x v="0"/>
    <n v="1100"/>
    <n v="146840.6"/>
    <n v="173961.31"/>
    <n v="156174.13"/>
    <n v="195604.54"/>
    <n v="156386.20000000001"/>
    <n v="202039.03"/>
    <n v="184781.82"/>
    <n v="124594.65"/>
    <n v="165354.47"/>
    <n v="124316.46"/>
    <n v="194034.26"/>
    <n v="250968.6"/>
    <n v="2075056.07"/>
    <n v="-56934.34"/>
  </r>
  <r>
    <x v="2"/>
    <x v="1"/>
    <x v="0"/>
    <s v="5909200"/>
    <n v="450040"/>
    <s v="Contr Allow--Phys Svcs--Mcaid"/>
    <s v="Surgical First Assist Pool"/>
    <x v="0"/>
    <n v="1200"/>
    <n v="114523.77"/>
    <n v="96368.8"/>
    <n v="111614.31"/>
    <n v="77408.56"/>
    <n v="90797.52"/>
    <n v="124971.02"/>
    <n v="129274.31"/>
    <n v="155094.06"/>
    <n v="108640.24"/>
    <n v="131042.62"/>
    <n v="187446.43"/>
    <n v="205214.95"/>
    <n v="1532396.5899999999"/>
    <n v="-17768.520000000019"/>
  </r>
  <r>
    <x v="2"/>
    <x v="1"/>
    <x v="0"/>
    <s v="5909200"/>
    <n v="450040"/>
    <s v="Contr Allow--Phys Svcs--Comm Insurance"/>
    <s v="Surgical First Assist Pool"/>
    <x v="0"/>
    <n v="1300"/>
    <n v="15483.48"/>
    <n v="19529.43"/>
    <n v="19655.03"/>
    <n v="11604.75"/>
    <n v="8577.31"/>
    <n v="21579.58"/>
    <n v="47208.51"/>
    <n v="33778.1"/>
    <n v="25219.63"/>
    <n v="31821.83"/>
    <n v="38569.050000000003"/>
    <n v="30397.040000000001"/>
    <n v="303423.74"/>
    <n v="8172.010000000002"/>
  </r>
  <r>
    <x v="2"/>
    <x v="1"/>
    <x v="0"/>
    <s v="5909200"/>
    <n v="450040"/>
    <s v="Contr Allow--Phys Svcs--BCBS Comm Ins"/>
    <s v="Surgical First Assist Pool"/>
    <x v="0"/>
    <n v="1301"/>
    <n v="49925.06"/>
    <n v="32094.74"/>
    <n v="95231.65"/>
    <n v="47429.66"/>
    <n v="26696.74"/>
    <n v="47310.28"/>
    <n v="56707"/>
    <n v="78745.66"/>
    <n v="80155.02"/>
    <n v="40413.57"/>
    <n v="61882.05"/>
    <n v="103176.32000000001"/>
    <n v="719767.75"/>
    <n v="-41294.270000000004"/>
  </r>
  <r>
    <x v="2"/>
    <x v="1"/>
    <x v="0"/>
    <s v="5909200"/>
    <n v="450040"/>
    <s v="Contr Allow--Phys Svcs--Managed Care"/>
    <s v="Surgical First Assist Pool"/>
    <x v="0"/>
    <n v="1400"/>
    <n v="118367.84"/>
    <n v="147544.4"/>
    <n v="258881.97"/>
    <n v="226019.84"/>
    <n v="261225.42"/>
    <n v="148299.01999999999"/>
    <n v="237277.93"/>
    <n v="147513.64000000001"/>
    <n v="303698.92"/>
    <n v="238615.69"/>
    <n v="246121.78"/>
    <n v="292596.17"/>
    <n v="2626162.6199999996"/>
    <n v="-46474.389999999985"/>
  </r>
  <r>
    <x v="2"/>
    <x v="1"/>
    <x v="0"/>
    <s v="5909200"/>
    <n v="450040"/>
    <s v="Contr Allow--Phys Svcs--BCBS Mgnd Care"/>
    <s v="Surgical First Assist Pool"/>
    <x v="0"/>
    <n v="1401"/>
    <n v="17298.16"/>
    <n v="141838.46"/>
    <n v="-84362.58"/>
    <n v="-85269.67"/>
    <n v="61804.83"/>
    <n v="311960.67"/>
    <n v="-92823.9"/>
    <n v="-3428.45"/>
    <n v="-130497.16"/>
    <n v="160058.12"/>
    <n v="325809.28000000003"/>
    <n v="-111041.32"/>
    <n v="511346.44"/>
    <n v="436850.60000000003"/>
  </r>
  <r>
    <x v="2"/>
    <x v="1"/>
    <x v="0"/>
    <s v="5909200"/>
    <n v="450040"/>
    <s v="Prompt Pay Disc-Phys Svcs-Self Pay"/>
    <s v="Surgical First Assist Pool"/>
    <x v="0"/>
    <n v="1500"/>
    <n v="0"/>
    <n v="0"/>
    <n v="0"/>
    <n v="0"/>
    <n v="0"/>
    <n v="0"/>
    <n v="0"/>
    <n v="0"/>
    <n v="5269.44"/>
    <n v="0"/>
    <n v="0"/>
    <n v="0"/>
    <n v="5269.44"/>
    <n v="0"/>
  </r>
  <r>
    <x v="2"/>
    <x v="1"/>
    <x v="0"/>
    <s v="5909200"/>
    <n v="450040"/>
    <s v="Admin Adjust-Phys Svcs-Self Pay"/>
    <s v="Surgical First Assist Pool"/>
    <x v="0"/>
    <n v="1600"/>
    <n v="6164.02"/>
    <n v="181719.75"/>
    <n v="92060.56"/>
    <n v="164.27"/>
    <n v="59138.25"/>
    <n v="6.51"/>
    <n v="15280.8"/>
    <n v="0"/>
    <n v="3727.17"/>
    <n v="-1724.64"/>
    <n v="16324.49"/>
    <n v="67122.960000000006"/>
    <n v="439984.13999999996"/>
    <n v="-50798.470000000008"/>
  </r>
  <r>
    <x v="2"/>
    <x v="1"/>
    <x v="0"/>
    <s v="5909200"/>
    <n v="450040"/>
    <s v="Contr Allow--Phys Svcs--Other"/>
    <s v="Surgical First Assist Pool"/>
    <x v="0"/>
    <n v="1700"/>
    <n v="12524.53"/>
    <n v="31061.24"/>
    <n v="10993.36"/>
    <n v="11729.73"/>
    <n v="14152.26"/>
    <n v="2225.38"/>
    <n v="26490.400000000001"/>
    <n v="17483.580000000002"/>
    <n v="27406.3"/>
    <n v="53553.41"/>
    <n v="14862.84"/>
    <n v="26113"/>
    <n v="248596.03"/>
    <n v="-11250.16"/>
  </r>
  <r>
    <x v="3"/>
    <x v="1"/>
    <x v="0"/>
    <s v="5909200"/>
    <n v="470040"/>
    <s v="Charity Care-Physician Svcs"/>
    <s v="Surgical First Assist Pool"/>
    <x v="0"/>
    <m/>
    <n v="803.18"/>
    <n v="7711.69"/>
    <n v="113.97"/>
    <n v="551.54999999999995"/>
    <n v="2494.84"/>
    <n v="3688.38"/>
    <n v="6933.82"/>
    <n v="-415.66"/>
    <n v="3521.88"/>
    <n v="2011.77"/>
    <n v="2631.5"/>
    <n v="5188.2"/>
    <n v="35235.119999999995"/>
    <n v="-2556.6999999999998"/>
  </r>
  <r>
    <x v="4"/>
    <x v="1"/>
    <x v="0"/>
    <s v="5909200"/>
    <n v="490010"/>
    <s v="Provision for Bad Debts"/>
    <s v="Surgical First Assist Pool"/>
    <x v="0"/>
    <m/>
    <n v="13782.48"/>
    <n v="21864.7"/>
    <n v="-24577.51"/>
    <n v="-2902.94"/>
    <n v="2816.08"/>
    <n v="22474.799999999999"/>
    <n v="-13216.2"/>
    <n v="-9023.59"/>
    <n v="891.87"/>
    <n v="4469.2299999999996"/>
    <n v="22183.040000000001"/>
    <n v="726.99"/>
    <n v="39488.949999999997"/>
    <n v="21456.05"/>
  </r>
  <r>
    <x v="14"/>
    <x v="1"/>
    <x v="0"/>
    <s v="5909200"/>
    <n v="600050"/>
    <s v="Miscellaneous Revenue"/>
    <s v="Surgical First Assist Pool"/>
    <x v="0"/>
    <m/>
    <n v="0"/>
    <n v="0"/>
    <n v="0"/>
    <n v="0"/>
    <n v="0"/>
    <n v="0"/>
    <n v="-1800"/>
    <n v="0"/>
    <n v="-1800"/>
    <n v="0"/>
    <n v="0"/>
    <n v="0"/>
    <n v="-3600"/>
    <n v="0"/>
  </r>
  <r>
    <x v="5"/>
    <x v="1"/>
    <x v="0"/>
    <s v="5909200"/>
    <n v="700022"/>
    <s v="Salaries-Physician-Productive"/>
    <s v="Surgical First Assist Pool"/>
    <x v="0"/>
    <m/>
    <n v="330"/>
    <n v="4578.75"/>
    <n v="5940"/>
    <n v="-2304.75"/>
    <n v="18446"/>
    <n v="-4262.5"/>
    <n v="4684.84"/>
    <n v="1809.86"/>
    <n v="10937.82"/>
    <n v="4552.67"/>
    <n v="1806.64"/>
    <n v="-247.86"/>
    <n v="46271.47"/>
    <n v="2054.5"/>
  </r>
  <r>
    <x v="5"/>
    <x v="1"/>
    <x v="0"/>
    <s v="5909200"/>
    <n v="700022"/>
    <s v="Salaries-Physician-Other"/>
    <s v="Surgical First Assist Pool"/>
    <x v="0"/>
    <n v="2000"/>
    <n v="0"/>
    <n v="0"/>
    <n v="0"/>
    <n v="0"/>
    <n v="0"/>
    <n v="0"/>
    <n v="1800"/>
    <n v="0"/>
    <n v="1800"/>
    <n v="0"/>
    <n v="0"/>
    <n v="0"/>
    <n v="3600"/>
    <n v="0"/>
  </r>
  <r>
    <x v="5"/>
    <x v="1"/>
    <x v="0"/>
    <s v="5909200"/>
    <n v="700024"/>
    <s v="Salaries-Advanced Practice Clinician-Productive"/>
    <s v="Surgical First Assist Pool"/>
    <x v="0"/>
    <m/>
    <n v="37579.29"/>
    <n v="40314.03"/>
    <n v="31051.46"/>
    <n v="57365.37"/>
    <n v="68115.929999999993"/>
    <n v="58753.85"/>
    <n v="75576.12"/>
    <n v="60209"/>
    <n v="67888.11"/>
    <n v="80473.960000000006"/>
    <n v="72844.81"/>
    <n v="57974.46"/>
    <n v="708146.3899999999"/>
    <n v="14870.349999999999"/>
  </r>
  <r>
    <x v="5"/>
    <x v="1"/>
    <x v="0"/>
    <s v="5909200"/>
    <n v="700024"/>
    <s v="Salaries-Advanced Practice Clinician-Other"/>
    <s v="Surgical First Assist Pool"/>
    <x v="0"/>
    <n v="2000"/>
    <n v="491.4"/>
    <n v="-81.900000000000006"/>
    <n v="923.92"/>
    <n v="1319.85"/>
    <n v="1877.4"/>
    <n v="-78.75"/>
    <n v="1454.26"/>
    <n v="732.95"/>
    <n v="1421.67"/>
    <n v="692.98"/>
    <n v="2726.84"/>
    <n v="3763.84"/>
    <n v="15244.460000000001"/>
    <n v="-1037"/>
  </r>
  <r>
    <x v="5"/>
    <x v="1"/>
    <x v="0"/>
    <s v="5909200"/>
    <n v="700026"/>
    <s v="Salaries-RN-Productive"/>
    <s v="Surgical First Assist Pool"/>
    <x v="0"/>
    <m/>
    <n v="15342.48"/>
    <n v="17224.439999999999"/>
    <n v="14466.6"/>
    <n v="14816.43"/>
    <n v="32397.89"/>
    <n v="20094.07"/>
    <n v="34358.410000000003"/>
    <n v="31503.37"/>
    <n v="33545.360000000001"/>
    <n v="31650.3"/>
    <n v="33969.800000000003"/>
    <n v="27090.53"/>
    <n v="306459.67999999993"/>
    <n v="6879.2700000000041"/>
  </r>
  <r>
    <x v="5"/>
    <x v="1"/>
    <x v="0"/>
    <s v="5909200"/>
    <n v="700026"/>
    <s v="Salaries-RN-Other"/>
    <s v="Surgical First Assist Pool"/>
    <x v="0"/>
    <n v="2000"/>
    <n v="0"/>
    <n v="0"/>
    <n v="0"/>
    <n v="0"/>
    <n v="30"/>
    <n v="279.39999999999998"/>
    <n v="-25.4"/>
    <n v="0"/>
    <n v="0"/>
    <n v="127.18"/>
    <n v="0"/>
    <n v="0"/>
    <n v="411.18"/>
    <n v="0"/>
  </r>
  <r>
    <x v="5"/>
    <x v="1"/>
    <x v="0"/>
    <s v="5909200"/>
    <n v="700054"/>
    <s v="Salaries-Management-NonProd-Other"/>
    <s v="Surgical First Assist Pool"/>
    <x v="0"/>
    <n v="2000"/>
    <n v="0"/>
    <n v="0"/>
    <n v="0"/>
    <n v="0"/>
    <n v="0"/>
    <n v="301.25"/>
    <n v="-301.25"/>
    <n v="0"/>
    <n v="0"/>
    <n v="0"/>
    <n v="0"/>
    <n v="0"/>
    <n v="0"/>
    <n v="0"/>
  </r>
  <r>
    <x v="5"/>
    <x v="1"/>
    <x v="0"/>
    <s v="5909200"/>
    <n v="700064"/>
    <s v="Salaries-Advanced Practice Clinician-Non-Productive"/>
    <s v="Surgical First Assist Pool"/>
    <x v="0"/>
    <m/>
    <n v="2468.8000000000002"/>
    <n v="1202.78"/>
    <n v="6130.88"/>
    <n v="749.88"/>
    <n v="657.55"/>
    <n v="16678.62"/>
    <n v="7073"/>
    <n v="12804.16"/>
    <n v="8551.8700000000008"/>
    <n v="-444.23"/>
    <n v="12173.74"/>
    <n v="16247.82"/>
    <n v="84294.87"/>
    <n v="-4074.08"/>
  </r>
  <r>
    <x v="5"/>
    <x v="1"/>
    <x v="0"/>
    <s v="5909200"/>
    <n v="700066"/>
    <s v="Salaries-RN-Non-productive"/>
    <s v="Surgical First Assist Pool"/>
    <x v="0"/>
    <m/>
    <n v="3199.12"/>
    <n v="2159.96"/>
    <n v="2389.4"/>
    <n v="4982.68"/>
    <n v="-1291.8"/>
    <n v="6126.94"/>
    <n v="1566.09"/>
    <n v="783.75"/>
    <n v="356.11"/>
    <n v="3865.54"/>
    <n v="3160.4"/>
    <n v="5196.58"/>
    <n v="32494.770000000004"/>
    <n v="-2036.1799999999998"/>
  </r>
  <r>
    <x v="5"/>
    <x v="1"/>
    <x v="0"/>
    <s v="5909200"/>
    <n v="700066"/>
    <s v="Salaries-RN-NonProd-Other"/>
    <s v="Surgical First Assist Pool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09200"/>
    <n v="700084"/>
    <s v="Accrued PTO"/>
    <s v="Surgical First Assist Pool"/>
    <x v="0"/>
    <m/>
    <n v="-555.83000000000004"/>
    <n v="68.09"/>
    <n v="-947.27"/>
    <n v="-407.33"/>
    <n v="2522.5500000000002"/>
    <n v="-2040.82"/>
    <n v="2082.9299999999998"/>
    <n v="2945.14"/>
    <n v="3540.26"/>
    <n v="-148.49"/>
    <n v="2105.23"/>
    <n v="-739.92"/>
    <n v="8424.5400000000009"/>
    <n v="2845.15"/>
  </r>
  <r>
    <x v="6"/>
    <x v="1"/>
    <x v="0"/>
    <s v="5909200"/>
    <n v="713010"/>
    <s v="Benefits-FICA/Medicare"/>
    <s v="Surgical First Assist Pool"/>
    <x v="0"/>
    <m/>
    <n v="4508.3500000000004"/>
    <n v="4937.49"/>
    <n v="4613.68"/>
    <n v="5800.39"/>
    <n v="9020.33"/>
    <n v="7099"/>
    <n v="9471.2099999999991"/>
    <n v="8146.48"/>
    <n v="9277.08"/>
    <n v="9097.9599999999991"/>
    <n v="9571.9"/>
    <n v="8312.07"/>
    <n v="89855.94"/>
    <n v="1259.83"/>
  </r>
  <r>
    <x v="6"/>
    <x v="1"/>
    <x v="0"/>
    <s v="5909200"/>
    <n v="713090"/>
    <s v="Benefits-Allocated Amounts"/>
    <s v="Surgical First Assist Pool"/>
    <x v="0"/>
    <m/>
    <n v="0"/>
    <n v="0"/>
    <n v="0"/>
    <n v="0"/>
    <n v="0"/>
    <n v="0"/>
    <n v="0"/>
    <n v="0"/>
    <n v="34266.089999999997"/>
    <n v="5141.22"/>
    <n v="5126.38"/>
    <n v="5321.86"/>
    <n v="49855.549999999996"/>
    <n v="-195.47999999999956"/>
  </r>
  <r>
    <x v="6"/>
    <x v="1"/>
    <x v="0"/>
    <s v="5909200"/>
    <n v="713092"/>
    <s v="Allocated Benefits-Physician"/>
    <s v="Surgical First Assist Pool"/>
    <x v="0"/>
    <m/>
    <n v="573.96"/>
    <n v="545.72"/>
    <n v="575.55999999999995"/>
    <n v="657"/>
    <n v="985.9"/>
    <n v="1096.4000000000001"/>
    <n v="1271.5899999999999"/>
    <n v="1218.07"/>
    <n v="-4106.8100000000004"/>
    <n v="422.71"/>
    <n v="421.5"/>
    <n v="437.57"/>
    <n v="4099.1699999999992"/>
    <n v="-16.069999999999993"/>
  </r>
  <r>
    <x v="6"/>
    <x v="1"/>
    <x v="0"/>
    <s v="5909200"/>
    <n v="713093"/>
    <s v="Allocated Benefits-Advanced Practice Clinician"/>
    <s v="Surgical First Assist Pool"/>
    <x v="0"/>
    <m/>
    <n v="7420.55"/>
    <n v="7055.37"/>
    <n v="7441.07"/>
    <n v="8494.09"/>
    <n v="12746.29"/>
    <n v="14174.92"/>
    <n v="16439.759999999998"/>
    <n v="15747.94"/>
    <n v="-11894.53"/>
    <n v="11646.77"/>
    <n v="11613.15"/>
    <n v="12056.01"/>
    <n v="112941.38999999998"/>
    <n v="-442.86000000000058"/>
  </r>
  <r>
    <x v="7"/>
    <x v="1"/>
    <x v="0"/>
    <s v="5909200"/>
    <n v="718050"/>
    <s v="Contract Svcs-Other"/>
    <s v="Surgical First Assist Pool"/>
    <x v="0"/>
    <m/>
    <n v="0"/>
    <n v="0"/>
    <n v="0"/>
    <n v="0"/>
    <n v="1125"/>
    <n v="0"/>
    <n v="0"/>
    <n v="0"/>
    <n v="0"/>
    <n v="0"/>
    <n v="0"/>
    <n v="0"/>
    <n v="1125"/>
    <n v="0"/>
  </r>
  <r>
    <x v="11"/>
    <x v="1"/>
    <x v="0"/>
    <s v="5909200"/>
    <n v="721810"/>
    <s v="Supplies-Dietary/Cafeteria"/>
    <s v="Surgical First Assist Pool"/>
    <x v="0"/>
    <m/>
    <n v="0"/>
    <n v="0"/>
    <n v="0"/>
    <n v="0"/>
    <n v="0"/>
    <n v="0"/>
    <n v="0"/>
    <n v="0"/>
    <n v="0"/>
    <n v="0"/>
    <n v="82.77"/>
    <n v="0"/>
    <n v="82.77"/>
    <n v="82.77"/>
  </r>
  <r>
    <x v="15"/>
    <x v="1"/>
    <x v="0"/>
    <s v="5909200"/>
    <n v="731060"/>
    <s v="Pagers"/>
    <s v="Surgical First Assist Pool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0"/>
    <x v="1"/>
    <x v="0"/>
    <s v="5909200"/>
    <n v="740020"/>
    <s v="Education-Registration Fees"/>
    <s v="Surgical First Assist Pool"/>
    <x v="0"/>
    <m/>
    <n v="0"/>
    <n v="0"/>
    <n v="0"/>
    <n v="0"/>
    <n v="0"/>
    <n v="294"/>
    <n v="0"/>
    <n v="0"/>
    <n v="0"/>
    <n v="0"/>
    <n v="0"/>
    <n v="0"/>
    <n v="294"/>
    <n v="0"/>
  </r>
  <r>
    <x v="0"/>
    <x v="1"/>
    <x v="0"/>
    <s v="5909200"/>
    <n v="740023"/>
    <s v="Education-Advanced Practice Clinician"/>
    <s v="Surgical First Assist Pool"/>
    <x v="0"/>
    <m/>
    <n v="0"/>
    <n v="0"/>
    <n v="0"/>
    <n v="0"/>
    <n v="399"/>
    <n v="0"/>
    <n v="600"/>
    <n v="0"/>
    <n v="1130"/>
    <n v="0"/>
    <n v="486.72"/>
    <n v="1517.6"/>
    <n v="4133.32"/>
    <n v="-1030.8799999999999"/>
  </r>
  <r>
    <x v="0"/>
    <x v="1"/>
    <x v="0"/>
    <s v="5909200"/>
    <n v="740023"/>
    <s v="Education Travel-Advanced Practice Clinician"/>
    <s v="Surgical First Assist Pool"/>
    <x v="0"/>
    <n v="2001"/>
    <n v="0"/>
    <n v="0"/>
    <n v="0"/>
    <n v="0"/>
    <n v="0"/>
    <n v="0"/>
    <n v="0"/>
    <n v="0"/>
    <n v="1573.16"/>
    <n v="0"/>
    <n v="0"/>
    <n v="0"/>
    <n v="1573.16"/>
    <n v="0"/>
  </r>
  <r>
    <x v="8"/>
    <x v="1"/>
    <x v="0"/>
    <s v="5909200"/>
    <n v="741012"/>
    <s v="Physician Liab Insurance-CHI Program"/>
    <s v="Surgical First Assist Pool"/>
    <x v="0"/>
    <m/>
    <n v="1326.27"/>
    <n v="1326.27"/>
    <n v="1326.27"/>
    <n v="1326.27"/>
    <n v="1326.27"/>
    <n v="1326.26"/>
    <n v="1326.27"/>
    <n v="1326.26"/>
    <n v="1326.27"/>
    <n v="1326.26"/>
    <n v="1326.27"/>
    <n v="1326.26"/>
    <n v="15915.200000000003"/>
    <n v="9.9999999999909051E-3"/>
  </r>
  <r>
    <x v="0"/>
    <x v="1"/>
    <x v="0"/>
    <s v="5909200"/>
    <n v="743023"/>
    <s v="Dues-Advanced Practice Clinician"/>
    <s v="Surgical First Assist Pool"/>
    <x v="0"/>
    <m/>
    <n v="0"/>
    <n v="0"/>
    <n v="0"/>
    <n v="0"/>
    <n v="0"/>
    <n v="100"/>
    <n v="0"/>
    <n v="0"/>
    <n v="0"/>
    <n v="0"/>
    <n v="0"/>
    <n v="295"/>
    <n v="395"/>
    <n v="-295"/>
  </r>
  <r>
    <x v="0"/>
    <x v="1"/>
    <x v="0"/>
    <s v="5909200"/>
    <n v="743030"/>
    <s v="Subscriptions--Institutional"/>
    <s v="Surgical First Assist Pool"/>
    <x v="0"/>
    <m/>
    <n v="0"/>
    <n v="0"/>
    <n v="0"/>
    <n v="0"/>
    <n v="0"/>
    <n v="0"/>
    <n v="0"/>
    <n v="0"/>
    <n v="0"/>
    <n v="0"/>
    <n v="0"/>
    <n v="150"/>
    <n v="150"/>
    <n v="-150"/>
  </r>
  <r>
    <x v="0"/>
    <x v="1"/>
    <x v="0"/>
    <s v="5909200"/>
    <n v="743043"/>
    <s v="Subscriptions-Advanced Practice Clinician"/>
    <s v="Surgical First Assist Pool"/>
    <x v="0"/>
    <m/>
    <n v="0"/>
    <n v="0"/>
    <n v="0"/>
    <n v="0"/>
    <n v="295"/>
    <n v="0"/>
    <n v="0"/>
    <n v="0"/>
    <n v="0"/>
    <n v="0"/>
    <n v="0"/>
    <n v="1752.51"/>
    <n v="2047.51"/>
    <n v="-1752.51"/>
  </r>
  <r>
    <x v="0"/>
    <x v="1"/>
    <x v="0"/>
    <s v="5909200"/>
    <n v="749510"/>
    <s v="Miscellaneous Expenses"/>
    <s v="Surgical First Assist Pool"/>
    <x v="0"/>
    <m/>
    <n v="5"/>
    <n v="-24.08"/>
    <n v="67.790000000000006"/>
    <n v="383.56"/>
    <n v="145.36000000000001"/>
    <n v="-464.38"/>
    <n v="636.11"/>
    <n v="2262.42"/>
    <n v="-2768.7"/>
    <n v="-230.04"/>
    <n v="1291.6500000000001"/>
    <n v="1040.53"/>
    <n v="2345.2200000000003"/>
    <n v="251.12000000000012"/>
  </r>
  <r>
    <x v="0"/>
    <x v="1"/>
    <x v="0"/>
    <s v="5909200"/>
    <n v="749510"/>
    <s v="Licenses"/>
    <s v="Surgical First Assist Pool"/>
    <x v="0"/>
    <n v="1002"/>
    <n v="0"/>
    <n v="0"/>
    <n v="120"/>
    <n v="0"/>
    <n v="0"/>
    <n v="0"/>
    <n v="310"/>
    <n v="0"/>
    <n v="0"/>
    <n v="120"/>
    <n v="0"/>
    <n v="0"/>
    <n v="550"/>
    <n v="0"/>
  </r>
  <r>
    <x v="0"/>
    <x v="1"/>
    <x v="0"/>
    <s v="5909200"/>
    <n v="749512"/>
    <s v="Licenses-Physician"/>
    <s v="Surgical First Assist Pool"/>
    <x v="0"/>
    <n v="2000"/>
    <n v="0"/>
    <n v="0"/>
    <n v="0"/>
    <n v="0"/>
    <n v="0"/>
    <n v="0"/>
    <n v="0"/>
    <n v="731"/>
    <n v="0"/>
    <n v="0"/>
    <n v="0"/>
    <n v="0"/>
    <n v="731"/>
    <n v="0"/>
  </r>
  <r>
    <x v="0"/>
    <x v="1"/>
    <x v="0"/>
    <s v="5909200"/>
    <n v="749513"/>
    <s v="Licenses-Advanced Practice Clinician"/>
    <s v="Surgical First Assist Pool"/>
    <x v="0"/>
    <n v="2000"/>
    <n v="0"/>
    <n v="0"/>
    <n v="245"/>
    <n v="204.5"/>
    <n v="0"/>
    <n v="150"/>
    <n v="731"/>
    <n v="202"/>
    <n v="731"/>
    <n v="204.5"/>
    <n v="0"/>
    <n v="202"/>
    <n v="2670"/>
    <n v="-202"/>
  </r>
  <r>
    <x v="0"/>
    <x v="1"/>
    <x v="0"/>
    <s v="5909200"/>
    <n v="749530"/>
    <s v="Travel"/>
    <s v="Surgical First Assist Pool"/>
    <x v="0"/>
    <m/>
    <n v="53"/>
    <n v="0"/>
    <n v="24"/>
    <n v="46"/>
    <n v="6"/>
    <n v="60"/>
    <n v="27"/>
    <n v="18"/>
    <n v="6"/>
    <n v="54"/>
    <n v="0"/>
    <n v="75"/>
    <n v="369"/>
    <n v="-75"/>
  </r>
  <r>
    <x v="0"/>
    <x v="1"/>
    <x v="0"/>
    <s v="5909200"/>
    <n v="749530"/>
    <s v="Mileage"/>
    <s v="Surgical First Assist Pool"/>
    <x v="0"/>
    <n v="1001"/>
    <n v="19.079999999999998"/>
    <n v="0"/>
    <n v="0"/>
    <n v="33.79"/>
    <n v="0"/>
    <n v="24.54"/>
    <n v="26.17"/>
    <n v="0"/>
    <n v="0"/>
    <n v="15.66"/>
    <n v="6.38"/>
    <n v="20.88"/>
    <n v="146.5"/>
    <n v="-14.5"/>
  </r>
  <r>
    <x v="0"/>
    <x v="1"/>
    <x v="0"/>
    <s v="5909200"/>
    <n v="749533"/>
    <s v="Travel-Advanced Practice Clinician"/>
    <s v="Surgical First Assist Pool"/>
    <x v="0"/>
    <m/>
    <n v="0"/>
    <n v="60"/>
    <n v="24"/>
    <n v="0"/>
    <n v="109.56"/>
    <n v="35"/>
    <n v="446.39"/>
    <n v="45"/>
    <n v="848.44"/>
    <n v="60"/>
    <n v="520.74"/>
    <n v="1348.31"/>
    <n v="3497.44"/>
    <n v="-827.56999999999994"/>
  </r>
  <r>
    <x v="0"/>
    <x v="1"/>
    <x v="0"/>
    <s v="5909200"/>
    <n v="749533"/>
    <s v="Vehicle Expense-Advanced Practice Clinician"/>
    <s v="Surgical First Assist Pool"/>
    <x v="0"/>
    <n v="2001"/>
    <n v="0"/>
    <n v="137.91"/>
    <n v="104.11"/>
    <n v="24.53"/>
    <n v="52.89"/>
    <n v="50.16"/>
    <n v="102.5"/>
    <n v="30.74"/>
    <n v="77.72"/>
    <n v="29"/>
    <n v="557.38"/>
    <n v="130.5"/>
    <n v="1297.44"/>
    <n v="426.88"/>
  </r>
  <r>
    <x v="9"/>
    <x v="1"/>
    <x v="0"/>
    <s v="5909200"/>
    <n v="800015"/>
    <s v="Interest Income-Ext to CHI"/>
    <s v="Surgical First Assist Pool"/>
    <x v="0"/>
    <m/>
    <n v="-22.38"/>
    <n v="-21.36"/>
    <n v="-19.690000000000001"/>
    <n v="-27.89"/>
    <n v="-78.069999999999993"/>
    <n v="-91.36"/>
    <n v="-87.03"/>
    <n v="-74.69"/>
    <n v="-78.37"/>
    <n v="-71.64"/>
    <n v="-69.680000000000007"/>
    <n v="-63.26"/>
    <n v="-705.42000000000007"/>
    <n v="-6.4200000000000088"/>
  </r>
  <r>
    <x v="5"/>
    <x v="1"/>
    <x v="0"/>
    <s v="5910200"/>
    <n v="700022"/>
    <s v="Salaries-Physician-Productive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22"/>
    <s v="Salaries-Physician-Other"/>
    <s v="Palliative C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22"/>
    <s v="Salaries-Physician-Provider Incentive"/>
    <s v="Palliative Care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24"/>
    <s v="Salaries-Advanced Practice Clinician-Productive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24"/>
    <s v="Salaries-Advanced Practice Clinician-Other"/>
    <s v="Palliative C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24"/>
    <s v="Salaries-Advanced Practice Clinician-Provider Incentive"/>
    <s v="Palliative Care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62"/>
    <s v="Salaries-Physician-Non-productive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62"/>
    <s v="Salaries-Physician-NonProd-Other"/>
    <s v="Palliative Car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64"/>
    <s v="Salaries-Advanced Practice Clinician-Non-Productive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0200"/>
    <n v="700064"/>
    <s v="Salaries-Advanced Practice Clinician-Non-Prod-Other"/>
    <s v="Palliative Care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910200"/>
    <n v="713010"/>
    <s v="Benefits-FICA/Medicare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5910200"/>
    <n v="713090"/>
    <s v="Benefits-Allocated Amounts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5910200"/>
    <n v="718040"/>
    <s v="Contract Svcs-Laboratory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0022"/>
    <s v="Education-Phys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0022"/>
    <s v="Education Travel-Physician"/>
    <s v="Palliative Care"/>
    <x v="0"/>
    <n v="2001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0023"/>
    <s v="Education-Advanced Practice Clin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8"/>
    <x v="1"/>
    <x v="0"/>
    <s v="5910200"/>
    <n v="741012"/>
    <s v="Physician Liab Insurance-CHI Program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3020"/>
    <s v="Provider-Dues"/>
    <s v="Palliative Care"/>
    <x v="0"/>
    <n v="22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3022"/>
    <s v="Dues-Phys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3023"/>
    <s v="Dues-Advanced Practice Clin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3042"/>
    <s v="Subscriptions-Phys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3043"/>
    <s v="Subscriptions-Advanced Practice Clin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10"/>
    <s v="Miscellaneous Expenses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12"/>
    <s v="Licenses-Physician"/>
    <s v="Palliative Care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13"/>
    <s v="Licenses-Advanced Practice Clinician"/>
    <s v="Palliative Care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30"/>
    <s v="Travel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30"/>
    <s v="Mileage"/>
    <s v="Palliative Care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32"/>
    <s v="Travel-Phys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32"/>
    <s v="Vehicle Expense-Physician"/>
    <s v="Palliative Care"/>
    <x v="0"/>
    <n v="2001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33"/>
    <s v="Travel-Advanced Practice Clinician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5910200"/>
    <n v="749533"/>
    <s v="Vehicle Expense-Advanced Practice Clinician"/>
    <s v="Palliative Care"/>
    <x v="0"/>
    <n v="2001"/>
    <n v="0"/>
    <n v="0"/>
    <n v="0"/>
    <n v="0"/>
    <n v="0"/>
    <n v="0"/>
    <n v="0"/>
    <n v="0"/>
    <n v="0"/>
    <n v="0"/>
    <n v="0"/>
    <n v="0"/>
    <n v="0"/>
    <n v="0"/>
  </r>
  <r>
    <x v="9"/>
    <x v="1"/>
    <x v="0"/>
    <s v="5910200"/>
    <n v="800015"/>
    <s v="Interest Income-Ext to CHI"/>
    <s v="Palliative Care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1200"/>
    <n v="700014"/>
    <s v="Salaries-Management-Productive"/>
    <s v="ENT @ Federal Way"/>
    <x v="0"/>
    <m/>
    <n v="1328.44"/>
    <n v="1086.92"/>
    <n v="905.76"/>
    <n v="1418.78"/>
    <n v="744.58"/>
    <n v="1613.24"/>
    <n v="1118.6099999999999"/>
    <n v="1242.8"/>
    <n v="1304.95"/>
    <n v="1367.07"/>
    <n v="-124.27"/>
    <n v="0"/>
    <n v="12006.88"/>
    <n v="-124.27"/>
  </r>
  <r>
    <x v="5"/>
    <x v="1"/>
    <x v="0"/>
    <s v="5911200"/>
    <n v="700032"/>
    <s v="Salaries-Other Pat Care Providers-Productive"/>
    <s v="ENT @ Federal Way"/>
    <x v="0"/>
    <m/>
    <n v="392.3"/>
    <n v="-65.38"/>
    <n v="0"/>
    <n v="0"/>
    <n v="0"/>
    <n v="0"/>
    <n v="0"/>
    <n v="0"/>
    <n v="0"/>
    <n v="0"/>
    <n v="0"/>
    <n v="0"/>
    <n v="326.92"/>
    <n v="0"/>
  </r>
  <r>
    <x v="5"/>
    <x v="1"/>
    <x v="0"/>
    <s v="5911200"/>
    <n v="700038"/>
    <s v="Salaries-Service/Support-Productive"/>
    <s v="ENT @ Federal Way"/>
    <x v="0"/>
    <m/>
    <n v="730.98"/>
    <n v="-47.16"/>
    <n v="0"/>
    <n v="0"/>
    <n v="0"/>
    <n v="242.9"/>
    <n v="0"/>
    <n v="0"/>
    <n v="0"/>
    <n v="0"/>
    <n v="973.02"/>
    <n v="-255.41"/>
    <n v="1644.33"/>
    <n v="1228.43"/>
  </r>
  <r>
    <x v="6"/>
    <x v="1"/>
    <x v="0"/>
    <s v="5911200"/>
    <n v="713010"/>
    <s v="Benefits-FICA/Medicare"/>
    <s v="ENT @ Federal Way"/>
    <x v="0"/>
    <m/>
    <n v="178.49"/>
    <n v="67.819999999999993"/>
    <n v="63.62"/>
    <n v="99.84"/>
    <n v="54.31"/>
    <n v="131.85"/>
    <n v="78.59"/>
    <n v="87.24"/>
    <n v="91.68"/>
    <n v="96.01"/>
    <n v="64.760000000000005"/>
    <n v="-19.3"/>
    <n v="994.91000000000008"/>
    <n v="84.06"/>
  </r>
  <r>
    <x v="6"/>
    <x v="1"/>
    <x v="0"/>
    <s v="5911200"/>
    <n v="713090"/>
    <s v="Benefits-Allocated Amounts"/>
    <s v="ENT @ Federal Way"/>
    <x v="0"/>
    <m/>
    <n v="516.07000000000005"/>
    <n v="105.59"/>
    <n v="187.51"/>
    <n v="281.23"/>
    <n v="120.86"/>
    <n v="253.79"/>
    <n v="294.29000000000002"/>
    <n v="274.45"/>
    <n v="280.52"/>
    <n v="278.44"/>
    <n v="274.39"/>
    <n v="-135.97"/>
    <n v="2731.17"/>
    <n v="410.36"/>
  </r>
  <r>
    <x v="7"/>
    <x v="1"/>
    <x v="0"/>
    <s v="5911200"/>
    <n v="718050"/>
    <s v="Contract Svcs-Other"/>
    <s v="ENT @ Federal Way"/>
    <x v="0"/>
    <m/>
    <n v="0"/>
    <n v="0"/>
    <n v="0"/>
    <n v="0"/>
    <n v="0"/>
    <n v="0"/>
    <n v="0"/>
    <n v="0"/>
    <n v="0"/>
    <n v="0"/>
    <n v="0"/>
    <n v="5"/>
    <n v="5"/>
    <n v="-5"/>
  </r>
  <r>
    <x v="7"/>
    <x v="1"/>
    <x v="0"/>
    <s v="5911200"/>
    <n v="718050"/>
    <s v="Miscellaneous Purchased Svcs"/>
    <s v="ENT @ Federal Way"/>
    <x v="0"/>
    <n v="1020"/>
    <n v="0"/>
    <n v="0"/>
    <n v="98.85"/>
    <n v="0"/>
    <n v="0"/>
    <n v="0"/>
    <n v="70.900000000000006"/>
    <n v="32.950000000000003"/>
    <n v="0"/>
    <n v="0"/>
    <n v="65.900000000000006"/>
    <n v="65.900000000000006"/>
    <n v="334.5"/>
    <n v="0"/>
  </r>
  <r>
    <x v="7"/>
    <x v="1"/>
    <x v="0"/>
    <s v="5911200"/>
    <n v="718050"/>
    <s v="Translation Services"/>
    <s v="ENT @ Federal Way"/>
    <x v="0"/>
    <n v="1025"/>
    <n v="160"/>
    <n v="557.5"/>
    <n v="0"/>
    <n v="0"/>
    <n v="0"/>
    <n v="0"/>
    <n v="0"/>
    <n v="0"/>
    <n v="0"/>
    <n v="0"/>
    <n v="0"/>
    <n v="0"/>
    <n v="717.5"/>
    <n v="0"/>
  </r>
  <r>
    <x v="7"/>
    <x v="1"/>
    <x v="0"/>
    <s v="5911200"/>
    <n v="718050"/>
    <s v="Purchased Srvcs--Medical Waste"/>
    <s v="ENT @ Federal Way"/>
    <x v="0"/>
    <n v="1027"/>
    <n v="41.98"/>
    <n v="41.98"/>
    <n v="0"/>
    <n v="0"/>
    <n v="0"/>
    <n v="0"/>
    <n v="0"/>
    <n v="10.36"/>
    <n v="0"/>
    <n v="0"/>
    <n v="0"/>
    <n v="0"/>
    <n v="94.32"/>
    <n v="0"/>
  </r>
  <r>
    <x v="7"/>
    <x v="1"/>
    <x v="0"/>
    <s v="5911200"/>
    <n v="718070"/>
    <s v="Contract Srvcs-CHI Clinical Engineering"/>
    <s v="ENT @ Federal Way"/>
    <x v="0"/>
    <m/>
    <n v="0"/>
    <n v="0"/>
    <n v="0"/>
    <n v="0"/>
    <n v="0"/>
    <n v="1694"/>
    <n v="0"/>
    <n v="0"/>
    <n v="0"/>
    <n v="0"/>
    <n v="385.5"/>
    <n v="0"/>
    <n v="2079.5"/>
    <n v="385.5"/>
  </r>
  <r>
    <x v="11"/>
    <x v="1"/>
    <x v="0"/>
    <s v="5911200"/>
    <n v="721250"/>
    <s v="Supplies-Pharmacy Drugs - Billable"/>
    <s v="ENT @ Federal Way"/>
    <x v="0"/>
    <m/>
    <n v="0"/>
    <n v="0"/>
    <n v="0"/>
    <n v="0"/>
    <n v="0"/>
    <n v="0"/>
    <n v="0"/>
    <n v="0"/>
    <n v="0"/>
    <n v="0"/>
    <n v="185.76"/>
    <n v="0"/>
    <n v="185.76"/>
    <n v="185.76"/>
  </r>
  <r>
    <x v="11"/>
    <x v="1"/>
    <x v="0"/>
    <s v="5911200"/>
    <n v="721410"/>
    <s v="Supplies-Medical - Nonbillable"/>
    <s v="ENT @ Federal Way"/>
    <x v="0"/>
    <m/>
    <n v="714.21"/>
    <n v="97.08"/>
    <n v="0"/>
    <n v="0"/>
    <n v="0"/>
    <n v="0"/>
    <n v="0"/>
    <n v="0"/>
    <n v="0"/>
    <n v="0"/>
    <n v="0"/>
    <n v="0"/>
    <n v="811.29000000000008"/>
    <n v="0"/>
  </r>
  <r>
    <x v="11"/>
    <x v="1"/>
    <x v="0"/>
    <s v="5911200"/>
    <n v="721810"/>
    <s v="Supplies-Dietary/Cafeteria"/>
    <s v="ENT @ Federal Way"/>
    <x v="0"/>
    <m/>
    <n v="137.81"/>
    <n v="0"/>
    <n v="0"/>
    <n v="0"/>
    <n v="0"/>
    <n v="0"/>
    <n v="0"/>
    <n v="0"/>
    <n v="0"/>
    <n v="0"/>
    <n v="0"/>
    <n v="0"/>
    <n v="137.81"/>
    <n v="0"/>
  </r>
  <r>
    <x v="11"/>
    <x v="1"/>
    <x v="0"/>
    <s v="5911200"/>
    <n v="721830"/>
    <s v="Supplies-Office"/>
    <s v="ENT @ Federal Way"/>
    <x v="0"/>
    <m/>
    <n v="0"/>
    <n v="115.82"/>
    <n v="0"/>
    <n v="0"/>
    <n v="0"/>
    <n v="0"/>
    <n v="0"/>
    <n v="0"/>
    <n v="0"/>
    <n v="0"/>
    <n v="0"/>
    <n v="0"/>
    <n v="115.82"/>
    <n v="0"/>
  </r>
  <r>
    <x v="12"/>
    <x v="1"/>
    <x v="0"/>
    <s v="5911200"/>
    <n v="730020"/>
    <s v="Rental and Leases-Equipment (DO NOT USE)"/>
    <s v="ENT @ Federal Way"/>
    <x v="0"/>
    <m/>
    <n v="4.7699999999999996"/>
    <n v="0"/>
    <n v="4.7699999999999996"/>
    <n v="0"/>
    <n v="0"/>
    <n v="0"/>
    <n v="0"/>
    <n v="0"/>
    <n v="0"/>
    <n v="0"/>
    <n v="0"/>
    <n v="0"/>
    <n v="9.5399999999999991"/>
    <n v="0"/>
  </r>
  <r>
    <x v="15"/>
    <x v="1"/>
    <x v="0"/>
    <s v="5911200"/>
    <n v="731070"/>
    <s v="Cable TV"/>
    <s v="ENT @ Federal Way"/>
    <x v="0"/>
    <m/>
    <n v="68.489999999999995"/>
    <n v="68.489999999999995"/>
    <n v="68.489999999999995"/>
    <n v="68.489999999999995"/>
    <n v="70.430000000000007"/>
    <n v="70.430000000000007"/>
    <n v="70.430000000000007"/>
    <n v="74.27"/>
    <n v="78.69"/>
    <n v="78.69"/>
    <n v="78.69"/>
    <n v="78.92"/>
    <n v="874.5100000000001"/>
    <n v="-0.23000000000000398"/>
  </r>
  <r>
    <x v="13"/>
    <x v="1"/>
    <x v="0"/>
    <s v="5911200"/>
    <n v="735050"/>
    <s v="Amortization-Leasehold Improvements"/>
    <s v="ENT @ Federal Way"/>
    <x v="0"/>
    <m/>
    <n v="1024.76"/>
    <n v="1024.76"/>
    <n v="1024.76"/>
    <n v="1024.75"/>
    <n v="1024.76"/>
    <n v="1024.75"/>
    <n v="1024.76"/>
    <n v="1024.75"/>
    <n v="1024.76"/>
    <n v="1024.75"/>
    <n v="1024.76"/>
    <n v="1024.75"/>
    <n v="12297.07"/>
    <n v="9.9999999999909051E-3"/>
  </r>
  <r>
    <x v="13"/>
    <x v="1"/>
    <x v="0"/>
    <s v="5911200"/>
    <n v="735070"/>
    <s v="Depreciation-Movable Equipment"/>
    <s v="ENT @ Federal Way"/>
    <x v="0"/>
    <m/>
    <n v="1088.33"/>
    <n v="1088.32"/>
    <n v="1088.33"/>
    <n v="1088.32"/>
    <n v="1088.33"/>
    <n v="1088.32"/>
    <n v="1088.3399999999999"/>
    <n v="1088.32"/>
    <n v="1088.3499999999999"/>
    <n v="1088.32"/>
    <n v="1088.3499999999999"/>
    <n v="1088.32"/>
    <n v="13059.949999999999"/>
    <n v="2.9999999999972715E-2"/>
  </r>
  <r>
    <x v="0"/>
    <x v="1"/>
    <x v="0"/>
    <s v="5911200"/>
    <n v="749510"/>
    <s v="Miscellaneous Expenses"/>
    <s v="ENT @ Federal Way"/>
    <x v="0"/>
    <m/>
    <n v="0"/>
    <n v="0"/>
    <n v="0"/>
    <n v="-940"/>
    <n v="0"/>
    <n v="0"/>
    <n v="0"/>
    <n v="0"/>
    <n v="0"/>
    <n v="0"/>
    <n v="0"/>
    <n v="0"/>
    <n v="-940"/>
    <n v="0"/>
  </r>
  <r>
    <x v="0"/>
    <x v="1"/>
    <x v="0"/>
    <s v="5911200"/>
    <n v="749510"/>
    <s v="Licenses"/>
    <s v="ENT @ Federal Way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911200"/>
    <n v="749530"/>
    <s v="Mileage"/>
    <s v="ENT @ Federal Way"/>
    <x v="0"/>
    <n v="1001"/>
    <n v="4.03"/>
    <n v="0"/>
    <n v="0"/>
    <n v="0"/>
    <n v="0"/>
    <n v="0"/>
    <n v="0"/>
    <n v="0"/>
    <n v="0"/>
    <n v="0"/>
    <n v="0"/>
    <n v="0"/>
    <n v="4.03"/>
    <n v="0"/>
  </r>
  <r>
    <x v="5"/>
    <x v="1"/>
    <x v="0"/>
    <s v="5912200"/>
    <n v="700014"/>
    <s v="Salaries-Management-Productive"/>
    <s v="FMC @ Gravelly Lake"/>
    <x v="0"/>
    <m/>
    <n v="0"/>
    <n v="0"/>
    <n v="2134.62"/>
    <n v="7273.98"/>
    <n v="6281.44"/>
    <n v="5681.84"/>
    <n v="6319.63"/>
    <n v="5718.78"/>
    <n v="4717.99"/>
    <n v="5861.76"/>
    <n v="4860.9799999999996"/>
    <n v="4575.0200000000004"/>
    <n v="53426.040000000008"/>
    <n v="285.95999999999913"/>
  </r>
  <r>
    <x v="5"/>
    <x v="1"/>
    <x v="0"/>
    <s v="5912200"/>
    <n v="700014"/>
    <s v="Salaries-Management-Other"/>
    <s v="FMC @ Gravelly Lake"/>
    <x v="0"/>
    <n v="2000"/>
    <n v="0"/>
    <n v="0"/>
    <n v="30"/>
    <n v="0"/>
    <n v="0"/>
    <n v="0"/>
    <n v="0"/>
    <n v="0"/>
    <n v="0"/>
    <n v="0"/>
    <n v="0"/>
    <n v="0"/>
    <n v="30"/>
    <n v="0"/>
  </r>
  <r>
    <x v="5"/>
    <x v="1"/>
    <x v="0"/>
    <s v="5912200"/>
    <n v="700018"/>
    <s v="Salaries-Supervisory-Productive"/>
    <s v="FMC @ Gravelly Lake"/>
    <x v="0"/>
    <m/>
    <n v="6684.48"/>
    <n v="7170.72"/>
    <n v="6320"/>
    <n v="4530.5600000000004"/>
    <n v="-1311.36"/>
    <n v="0"/>
    <n v="0"/>
    <n v="0"/>
    <n v="0"/>
    <n v="0"/>
    <n v="0"/>
    <n v="0"/>
    <n v="23394.400000000001"/>
    <n v="0"/>
  </r>
  <r>
    <x v="5"/>
    <x v="1"/>
    <x v="0"/>
    <s v="5912200"/>
    <n v="700030"/>
    <s v="Salaries-LPN-Productive"/>
    <s v="FMC @ Gravelly Lake"/>
    <x v="0"/>
    <m/>
    <n v="4362.54"/>
    <n v="4748.84"/>
    <n v="2811.9"/>
    <n v="5214.3"/>
    <n v="-1747.2"/>
    <n v="0"/>
    <n v="0"/>
    <n v="0"/>
    <n v="0"/>
    <n v="0"/>
    <n v="0"/>
    <n v="0"/>
    <n v="15390.380000000001"/>
    <n v="0"/>
  </r>
  <r>
    <x v="5"/>
    <x v="1"/>
    <x v="0"/>
    <s v="5912200"/>
    <n v="700030"/>
    <s v="Salaries-LPN-OT"/>
    <s v="FMC @ Gravelly Lake"/>
    <x v="0"/>
    <n v="1000"/>
    <n v="268.23"/>
    <n v="561.04"/>
    <n v="-92.14"/>
    <n v="1068.8"/>
    <n v="-434.07"/>
    <n v="0"/>
    <n v="0"/>
    <n v="0"/>
    <n v="0"/>
    <n v="0"/>
    <n v="0"/>
    <n v="0"/>
    <n v="1371.86"/>
    <n v="0"/>
  </r>
  <r>
    <x v="5"/>
    <x v="1"/>
    <x v="0"/>
    <s v="5912200"/>
    <n v="700032"/>
    <s v="Salaries-Other Pat Care Providers-Productive"/>
    <s v="FMC @ Gravelly Lake"/>
    <x v="0"/>
    <m/>
    <n v="0"/>
    <n v="0"/>
    <n v="0"/>
    <n v="0"/>
    <n v="0"/>
    <n v="0"/>
    <n v="0"/>
    <n v="0"/>
    <n v="0"/>
    <n v="3718.17"/>
    <n v="3101.95"/>
    <n v="2625.32"/>
    <n v="9445.44"/>
    <n v="476.62999999999965"/>
  </r>
  <r>
    <x v="5"/>
    <x v="1"/>
    <x v="0"/>
    <s v="5912200"/>
    <n v="700032"/>
    <s v="Salaries-Other Pat Care Providers-OT"/>
    <s v="FMC @ Gravelly Lake"/>
    <x v="0"/>
    <n v="1000"/>
    <n v="0"/>
    <n v="0"/>
    <n v="0"/>
    <n v="0"/>
    <n v="0"/>
    <n v="0"/>
    <n v="0"/>
    <n v="0"/>
    <n v="0"/>
    <n v="82.06"/>
    <n v="292.29000000000002"/>
    <n v="50.42"/>
    <n v="424.77000000000004"/>
    <n v="241.87"/>
  </r>
  <r>
    <x v="5"/>
    <x v="1"/>
    <x v="0"/>
    <s v="5912200"/>
    <n v="700038"/>
    <s v="Salaries-Service/Support-Productive"/>
    <s v="FMC @ Gravelly Lake"/>
    <x v="0"/>
    <m/>
    <n v="8735.4500000000007"/>
    <n v="10532.92"/>
    <n v="8526.98"/>
    <n v="9577.9699999999993"/>
    <n v="7016.63"/>
    <n v="7077.09"/>
    <n v="10902.92"/>
    <n v="6652.94"/>
    <n v="6727.64"/>
    <n v="4777.72"/>
    <n v="4393.18"/>
    <n v="3468.09"/>
    <n v="88389.53"/>
    <n v="925.09000000000015"/>
  </r>
  <r>
    <x v="5"/>
    <x v="1"/>
    <x v="0"/>
    <s v="5912200"/>
    <n v="700038"/>
    <s v="Salaries-Service/Support-OT"/>
    <s v="FMC @ Gravelly Lake"/>
    <x v="0"/>
    <n v="1000"/>
    <n v="73.989999999999995"/>
    <n v="727.87"/>
    <n v="558.29"/>
    <n v="-147.02000000000001"/>
    <n v="52.36"/>
    <n v="64.510000000000005"/>
    <n v="28.31"/>
    <n v="2.0299999999999998"/>
    <n v="247.49"/>
    <n v="219.28"/>
    <n v="1734.54"/>
    <n v="-697.54"/>
    <n v="2864.1099999999997"/>
    <n v="2432.08"/>
  </r>
  <r>
    <x v="5"/>
    <x v="1"/>
    <x v="0"/>
    <s v="5912200"/>
    <n v="700038"/>
    <s v="Salaries-Service/Support-Other"/>
    <s v="FMC @ Gravelly Lake"/>
    <x v="0"/>
    <n v="2000"/>
    <n v="77.12"/>
    <n v="31.37"/>
    <n v="94.84"/>
    <n v="-4"/>
    <n v="0"/>
    <n v="0"/>
    <n v="161.32"/>
    <n v="0"/>
    <n v="0"/>
    <n v="20.23"/>
    <n v="3.3"/>
    <n v="30.53"/>
    <n v="414.71000000000004"/>
    <n v="-27.23"/>
  </r>
  <r>
    <x v="5"/>
    <x v="1"/>
    <x v="0"/>
    <s v="5912200"/>
    <n v="700054"/>
    <s v="Salaries-Management-Non-productive"/>
    <s v="FMC @ Gravelly Lake"/>
    <x v="0"/>
    <m/>
    <n v="0"/>
    <n v="0"/>
    <n v="0"/>
    <n v="0"/>
    <n v="0"/>
    <n v="314.07"/>
    <n v="257.39"/>
    <n v="0"/>
    <n v="1286.73"/>
    <n v="428.9"/>
    <n v="1715.62"/>
    <n v="1143.76"/>
    <n v="5146.47"/>
    <n v="571.8599999999999"/>
  </r>
  <r>
    <x v="5"/>
    <x v="1"/>
    <x v="0"/>
    <s v="5912200"/>
    <n v="700054"/>
    <s v="Salaries-Management-NonProd-Other"/>
    <s v="FMC @ Gravelly Lake"/>
    <x v="0"/>
    <n v="2000"/>
    <n v="0"/>
    <n v="0"/>
    <n v="0"/>
    <n v="0"/>
    <n v="0"/>
    <n v="821.64"/>
    <n v="-821.64"/>
    <n v="0"/>
    <n v="0"/>
    <n v="0"/>
    <n v="0"/>
    <n v="0"/>
    <n v="0"/>
    <n v="0"/>
  </r>
  <r>
    <x v="5"/>
    <x v="1"/>
    <x v="0"/>
    <s v="5912200"/>
    <n v="700070"/>
    <s v="Salaries-LPN-Non-productive"/>
    <s v="FMC @ Gravelly Lake"/>
    <x v="0"/>
    <m/>
    <n v="537.80999999999995"/>
    <n v="274.37"/>
    <n v="1556.1"/>
    <n v="-150.15"/>
    <n v="873.6"/>
    <n v="0"/>
    <n v="0"/>
    <n v="0"/>
    <n v="0"/>
    <n v="0"/>
    <n v="0"/>
    <n v="0"/>
    <n v="3091.7299999999996"/>
    <n v="0"/>
  </r>
  <r>
    <x v="5"/>
    <x v="1"/>
    <x v="0"/>
    <s v="5912200"/>
    <n v="700072"/>
    <s v="Salaries-Other Pat Care Providers-Non-productive"/>
    <s v="FMC @ Gravelly Lake"/>
    <x v="0"/>
    <m/>
    <n v="0"/>
    <n v="0"/>
    <n v="0"/>
    <n v="0"/>
    <n v="0"/>
    <n v="0"/>
    <n v="0"/>
    <n v="0"/>
    <n v="0"/>
    <n v="502.04"/>
    <n v="448.28"/>
    <n v="681.54"/>
    <n v="1631.86"/>
    <n v="-233.26"/>
  </r>
  <r>
    <x v="5"/>
    <x v="1"/>
    <x v="0"/>
    <s v="5912200"/>
    <n v="700078"/>
    <s v="Salaries-Service/Support-Non-productive"/>
    <s v="FMC @ Gravelly Lake"/>
    <x v="0"/>
    <m/>
    <n v="1588.7"/>
    <n v="251.03"/>
    <n v="858.62"/>
    <n v="1565.78"/>
    <n v="1406.83"/>
    <n v="2088.5300000000002"/>
    <n v="348.67"/>
    <n v="666.95"/>
    <n v="167.21"/>
    <n v="92.52"/>
    <n v="3022.66"/>
    <n v="-1343.4"/>
    <n v="10714.1"/>
    <n v="4366.0599999999995"/>
  </r>
  <r>
    <x v="5"/>
    <x v="1"/>
    <x v="0"/>
    <s v="5912200"/>
    <n v="700078"/>
    <s v="Salaries-Service/Support-NonProd-Other"/>
    <s v="FMC @ Gravelly Lak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2200"/>
    <n v="700084"/>
    <s v="Accrued PTO"/>
    <s v="FMC @ Gravelly Lake"/>
    <x v="0"/>
    <m/>
    <n v="358.66"/>
    <n v="1465.71"/>
    <n v="45.64"/>
    <n v="1368.6"/>
    <n v="384.59"/>
    <n v="-816.94"/>
    <n v="774.96"/>
    <n v="731.15"/>
    <n v="188.17"/>
    <n v="22.28"/>
    <n v="-1382.53"/>
    <n v="-971.58"/>
    <n v="2168.71"/>
    <n v="-410.94999999999993"/>
  </r>
  <r>
    <x v="6"/>
    <x v="1"/>
    <x v="0"/>
    <s v="5912200"/>
    <n v="713010"/>
    <s v="Benefits-FICA/Medicare"/>
    <s v="FMC @ Gravelly Lake"/>
    <x v="0"/>
    <m/>
    <n v="1662.92"/>
    <n v="1811.66"/>
    <n v="1704.24"/>
    <n v="2571.61"/>
    <n v="993.83"/>
    <n v="1184.8399999999999"/>
    <n v="1392.06"/>
    <n v="937.43"/>
    <n v="964.38"/>
    <n v="1174.31"/>
    <n v="1452"/>
    <n v="797.63"/>
    <n v="16646.91"/>
    <n v="654.37"/>
  </r>
  <r>
    <x v="6"/>
    <x v="1"/>
    <x v="0"/>
    <s v="5912200"/>
    <n v="713090"/>
    <s v="Benefits-Allocated Amounts"/>
    <s v="FMC @ Gravelly Lake"/>
    <x v="0"/>
    <m/>
    <n v="5678.22"/>
    <n v="5368.78"/>
    <n v="5830.4"/>
    <n v="6606.81"/>
    <n v="4027.61"/>
    <n v="3612.33"/>
    <n v="5359.43"/>
    <n v="4322.32"/>
    <n v="3770.12"/>
    <n v="4206.32"/>
    <n v="4521.1499999999996"/>
    <n v="3289.89"/>
    <n v="56593.380000000005"/>
    <n v="1231.2599999999998"/>
  </r>
  <r>
    <x v="7"/>
    <x v="1"/>
    <x v="0"/>
    <s v="5912200"/>
    <n v="718050"/>
    <s v="Contract Svcs-Other"/>
    <s v="FMC @ Gravelly Lake"/>
    <x v="0"/>
    <m/>
    <n v="0"/>
    <n v="0"/>
    <n v="0"/>
    <n v="11750.67"/>
    <n v="0"/>
    <n v="0"/>
    <n v="0"/>
    <n v="0"/>
    <n v="0"/>
    <n v="0"/>
    <n v="0"/>
    <n v="0"/>
    <n v="11750.67"/>
    <n v="0"/>
  </r>
  <r>
    <x v="7"/>
    <x v="1"/>
    <x v="0"/>
    <s v="5912200"/>
    <n v="718050"/>
    <s v="Cleaning Services"/>
    <s v="FMC @ Gravelly Lake"/>
    <x v="0"/>
    <n v="1011"/>
    <n v="0"/>
    <n v="0"/>
    <n v="0"/>
    <n v="2498.94"/>
    <n v="0"/>
    <n v="5052.88"/>
    <n v="0"/>
    <n v="4997.88"/>
    <n v="2498.94"/>
    <n v="0"/>
    <n v="4997.88"/>
    <n v="2498.94"/>
    <n v="22545.46"/>
    <n v="2498.94"/>
  </r>
  <r>
    <x v="7"/>
    <x v="1"/>
    <x v="0"/>
    <s v="5912200"/>
    <n v="718050"/>
    <s v="Miscellaneous Purchased Svcs"/>
    <s v="FMC @ Gravelly Lake"/>
    <x v="0"/>
    <n v="1020"/>
    <n v="0"/>
    <n v="0"/>
    <n v="0"/>
    <n v="237.45"/>
    <n v="2542.98"/>
    <n v="9635.69"/>
    <n v="316.8"/>
    <n v="12215.91"/>
    <n v="3756.58"/>
    <n v="2513.4299999999998"/>
    <n v="5879.04"/>
    <n v="12788.95"/>
    <n v="49886.83"/>
    <n v="-6909.9100000000008"/>
  </r>
  <r>
    <x v="7"/>
    <x v="1"/>
    <x v="0"/>
    <s v="5912200"/>
    <n v="718050"/>
    <s v="Translation Services"/>
    <s v="FMC @ Gravelly Lake"/>
    <x v="0"/>
    <n v="1025"/>
    <n v="17.82"/>
    <n v="0"/>
    <n v="0"/>
    <n v="32"/>
    <n v="49.77"/>
    <n v="82.17"/>
    <n v="96"/>
    <n v="81"/>
    <n v="0"/>
    <n v="0"/>
    <n v="0"/>
    <n v="0"/>
    <n v="358.76"/>
    <n v="0"/>
  </r>
  <r>
    <x v="7"/>
    <x v="1"/>
    <x v="0"/>
    <s v="5912200"/>
    <n v="718050"/>
    <s v="Contract Management--Linen"/>
    <s v="FMC @ Gravelly Lake"/>
    <x v="0"/>
    <n v="1026"/>
    <n v="0"/>
    <n v="0"/>
    <n v="0"/>
    <n v="103.64"/>
    <n v="495.68"/>
    <n v="301.24"/>
    <n v="493.55"/>
    <n v="863.76"/>
    <n v="294.60000000000002"/>
    <n v="306.49"/>
    <n v="196.4"/>
    <n v="494.96"/>
    <n v="3550.32"/>
    <n v="-298.55999999999995"/>
  </r>
  <r>
    <x v="7"/>
    <x v="1"/>
    <x v="0"/>
    <s v="5912200"/>
    <n v="718050"/>
    <s v="Purchased Srvcs--Medical Waste"/>
    <s v="FMC @ Gravelly Lake"/>
    <x v="0"/>
    <n v="1027"/>
    <n v="0"/>
    <n v="0"/>
    <n v="0"/>
    <n v="227.92"/>
    <n v="0"/>
    <n v="633.61"/>
    <n v="300.64999999999998"/>
    <n v="706.72"/>
    <n v="0"/>
    <n v="528.57000000000005"/>
    <n v="0"/>
    <n v="955.93"/>
    <n v="3353.3999999999996"/>
    <n v="-955.93"/>
  </r>
  <r>
    <x v="7"/>
    <x v="1"/>
    <x v="0"/>
    <s v="5912200"/>
    <n v="718070"/>
    <s v="Contract Srvcs-CHI Clinical Engineering"/>
    <s v="FMC @ Gravelly Lake"/>
    <x v="0"/>
    <m/>
    <n v="0"/>
    <n v="1473.19"/>
    <n v="869.8"/>
    <n v="0"/>
    <n v="635.03"/>
    <n v="0"/>
    <n v="2366.4"/>
    <n v="2366.65"/>
    <n v="0"/>
    <n v="0"/>
    <n v="0"/>
    <n v="0"/>
    <n v="7711.07"/>
    <n v="0"/>
  </r>
  <r>
    <x v="11"/>
    <x v="1"/>
    <x v="0"/>
    <s v="5912200"/>
    <n v="721010"/>
    <s v="Supplies-Medical - Billable"/>
    <s v="FMC @ Gravelly Lake"/>
    <x v="0"/>
    <m/>
    <n v="0"/>
    <n v="3390.4"/>
    <n v="678.08"/>
    <n v="682"/>
    <n v="1780.6"/>
    <n v="406"/>
    <n v="0"/>
    <n v="0"/>
    <n v="0"/>
    <n v="0"/>
    <n v="0"/>
    <n v="0"/>
    <n v="6937.08"/>
    <n v="0"/>
  </r>
  <r>
    <x v="11"/>
    <x v="1"/>
    <x v="0"/>
    <s v="5912200"/>
    <n v="721250"/>
    <s v="Supplies-Pharmacy Drugs - Billable"/>
    <s v="FMC @ Gravelly Lake"/>
    <x v="0"/>
    <m/>
    <n v="90.15"/>
    <n v="3288.66"/>
    <n v="12531.13"/>
    <n v="4055.83"/>
    <n v="4073.23"/>
    <n v="4055.83"/>
    <n v="0"/>
    <n v="0"/>
    <n v="-21.87"/>
    <n v="0"/>
    <n v="33527.06"/>
    <n v="4446.66"/>
    <n v="66046.679999999993"/>
    <n v="29080.399999999998"/>
  </r>
  <r>
    <x v="11"/>
    <x v="1"/>
    <x v="0"/>
    <s v="5912200"/>
    <n v="721410"/>
    <s v="Supplies-Medical - Nonbillable"/>
    <s v="FMC @ Gravelly Lake"/>
    <x v="0"/>
    <m/>
    <n v="0"/>
    <n v="0"/>
    <n v="0"/>
    <n v="628.73"/>
    <n v="4560.05"/>
    <n v="4419.1099999999997"/>
    <n v="2315.79"/>
    <n v="5376.35"/>
    <n v="327.08999999999997"/>
    <n v="1817.51"/>
    <n v="4241.04"/>
    <n v="3604.61"/>
    <n v="27290.28"/>
    <n v="636.42999999999984"/>
  </r>
  <r>
    <x v="11"/>
    <x v="1"/>
    <x v="0"/>
    <s v="5912200"/>
    <n v="721830"/>
    <s v="Supplies-Office"/>
    <s v="FMC @ Gravelly Lake"/>
    <x v="0"/>
    <m/>
    <n v="0"/>
    <n v="0"/>
    <n v="0"/>
    <n v="1277.21"/>
    <n v="294.16000000000003"/>
    <n v="276.81"/>
    <n v="357.37"/>
    <n v="0"/>
    <n v="123"/>
    <n v="0"/>
    <n v="361.89"/>
    <n v="0"/>
    <n v="2690.44"/>
    <n v="361.89"/>
  </r>
  <r>
    <x v="11"/>
    <x v="1"/>
    <x v="0"/>
    <s v="5912200"/>
    <n v="721870"/>
    <s v="Supplies-Environmental Services"/>
    <s v="FMC @ Gravelly Lake"/>
    <x v="0"/>
    <m/>
    <n v="0"/>
    <n v="0"/>
    <n v="0"/>
    <n v="780.74"/>
    <n v="938.19"/>
    <n v="103.45"/>
    <n v="554.59"/>
    <n v="696.22"/>
    <n v="162.38"/>
    <n v="260.2"/>
    <n v="320.67"/>
    <n v="398.09"/>
    <n v="4214.5300000000007"/>
    <n v="-77.419999999999959"/>
  </r>
  <r>
    <x v="11"/>
    <x v="1"/>
    <x v="0"/>
    <s v="5912200"/>
    <n v="722000"/>
    <s v="Supplies-Freight Expense"/>
    <s v="FMC @ Gravelly Lake"/>
    <x v="0"/>
    <m/>
    <n v="0"/>
    <n v="0"/>
    <n v="0"/>
    <n v="0"/>
    <n v="0"/>
    <n v="16"/>
    <n v="0"/>
    <n v="0"/>
    <n v="40"/>
    <n v="0"/>
    <n v="0"/>
    <n v="0"/>
    <n v="56"/>
    <n v="0"/>
  </r>
  <r>
    <x v="12"/>
    <x v="1"/>
    <x v="0"/>
    <s v="5912200"/>
    <n v="730010"/>
    <s v="Rental and Leases-Building (DO NOT USE)"/>
    <s v="FMC @ Gravelly Lake"/>
    <x v="0"/>
    <m/>
    <n v="8089.59"/>
    <n v="10538.24"/>
    <n v="10711.19"/>
    <n v="10711.19"/>
    <n v="10711.19"/>
    <n v="1813.84"/>
    <n v="8820.19"/>
    <n v="8820.19"/>
    <n v="5486.86"/>
    <n v="5486.86"/>
    <n v="5486.86"/>
    <n v="-3333.33"/>
    <n v="83342.87000000001"/>
    <n v="8820.1899999999987"/>
  </r>
  <r>
    <x v="12"/>
    <x v="1"/>
    <x v="0"/>
    <s v="5912200"/>
    <n v="730010"/>
    <s v="Rental-Common Area Maint (DO NOT USE)"/>
    <s v="FMC @ Gravelly Lake"/>
    <x v="0"/>
    <n v="2200"/>
    <n v="0"/>
    <n v="0"/>
    <n v="0"/>
    <n v="0"/>
    <n v="0"/>
    <n v="8897.35"/>
    <n v="2516"/>
    <n v="2203.5"/>
    <n v="2203.5"/>
    <n v="2203.5"/>
    <n v="8078.55"/>
    <n v="0"/>
    <n v="26102.399999999998"/>
    <n v="8078.55"/>
  </r>
  <r>
    <x v="12"/>
    <x v="1"/>
    <x v="0"/>
    <s v="5912200"/>
    <n v="730020"/>
    <s v="Rental and Leases-Copier Usage Fees (DO NOT USE)"/>
    <s v="FMC @ Gravelly Lake"/>
    <x v="0"/>
    <n v="5100"/>
    <n v="420.22"/>
    <n v="429.96"/>
    <n v="425.09"/>
    <n v="425.09"/>
    <n v="425.09"/>
    <n v="425.09"/>
    <n v="-107.45"/>
    <n v="273.45"/>
    <n v="287.60000000000002"/>
    <n v="453.07"/>
    <n v="273.45"/>
    <n v="340.27"/>
    <n v="4070.93"/>
    <n v="-66.819999999999993"/>
  </r>
  <r>
    <x v="12"/>
    <x v="1"/>
    <x v="0"/>
    <s v="5912200"/>
    <n v="730040"/>
    <s v="LT Lease-Real Estate"/>
    <s v="FMC @ Gravelly Lake"/>
    <x v="0"/>
    <m/>
    <n v="0"/>
    <n v="0"/>
    <n v="0"/>
    <n v="0"/>
    <n v="0"/>
    <n v="0"/>
    <n v="0"/>
    <n v="0"/>
    <n v="0"/>
    <n v="0"/>
    <n v="0"/>
    <n v="11023.69"/>
    <n v="11023.69"/>
    <n v="-11023.69"/>
  </r>
  <r>
    <x v="15"/>
    <x v="1"/>
    <x v="0"/>
    <s v="5912200"/>
    <n v="731060"/>
    <s v="Telephone"/>
    <s v="FMC @ Gravelly Lake"/>
    <x v="0"/>
    <m/>
    <n v="556.64"/>
    <n v="559.89"/>
    <n v="134.03"/>
    <n v="986.86"/>
    <n v="568.07000000000005"/>
    <n v="150.69999999999999"/>
    <n v="989.42"/>
    <n v="571.76"/>
    <n v="572.76"/>
    <n v="572.04999999999995"/>
    <n v="572.04999999999995"/>
    <n v="153.19"/>
    <n v="6387.42"/>
    <n v="418.85999999999996"/>
  </r>
  <r>
    <x v="16"/>
    <x v="1"/>
    <x v="0"/>
    <s v="5912200"/>
    <n v="732030"/>
    <s v="Repairs---Other"/>
    <s v="FMC @ Gravelly Lake"/>
    <x v="0"/>
    <m/>
    <n v="0"/>
    <n v="0"/>
    <n v="0"/>
    <n v="299.99"/>
    <n v="0"/>
    <n v="0"/>
    <n v="303.87"/>
    <n v="0"/>
    <n v="0"/>
    <n v="0"/>
    <n v="0"/>
    <n v="0"/>
    <n v="603.86"/>
    <n v="0"/>
  </r>
  <r>
    <x v="0"/>
    <x v="1"/>
    <x v="0"/>
    <s v="5912200"/>
    <n v="740010"/>
    <s v="Education-Materials"/>
    <s v="FMC @ Gravelly Lake"/>
    <x v="0"/>
    <m/>
    <n v="0"/>
    <n v="0"/>
    <n v="0"/>
    <n v="0"/>
    <n v="0"/>
    <n v="0"/>
    <n v="0"/>
    <n v="0"/>
    <n v="0"/>
    <n v="0"/>
    <n v="79.180000000000007"/>
    <n v="0"/>
    <n v="79.180000000000007"/>
    <n v="79.180000000000007"/>
  </r>
  <r>
    <x v="0"/>
    <x v="1"/>
    <x v="0"/>
    <s v="5912200"/>
    <n v="749510"/>
    <s v="Miscellaneous Expenses"/>
    <s v="FMC @ Gravelly Lake"/>
    <x v="0"/>
    <m/>
    <n v="0"/>
    <n v="0"/>
    <n v="0"/>
    <n v="170"/>
    <n v="0"/>
    <n v="0"/>
    <n v="191.83"/>
    <n v="17.329999999999998"/>
    <n v="0"/>
    <n v="79.180000000000007"/>
    <n v="-79.180000000000007"/>
    <n v="0"/>
    <n v="379.16"/>
    <n v="-79.180000000000007"/>
  </r>
  <r>
    <x v="0"/>
    <x v="1"/>
    <x v="0"/>
    <s v="5912200"/>
    <n v="749535"/>
    <s v="Meetings"/>
    <s v="FMC @ Gravelly Lake"/>
    <x v="0"/>
    <m/>
    <n v="0"/>
    <n v="23.4"/>
    <n v="0"/>
    <n v="0"/>
    <n v="0"/>
    <n v="0"/>
    <n v="0"/>
    <n v="0"/>
    <n v="0"/>
    <n v="0"/>
    <n v="0"/>
    <n v="0"/>
    <n v="23.4"/>
    <n v="0"/>
  </r>
  <r>
    <x v="0"/>
    <x v="1"/>
    <x v="0"/>
    <s v="5912200"/>
    <n v="749550"/>
    <s v="Cash Over/Short"/>
    <s v="FMC @ Gravelly Lake"/>
    <x v="0"/>
    <m/>
    <n v="0"/>
    <n v="0"/>
    <n v="0"/>
    <n v="0"/>
    <n v="0"/>
    <n v="0"/>
    <n v="0"/>
    <n v="0"/>
    <n v="0"/>
    <n v="19"/>
    <n v="0"/>
    <n v="0"/>
    <n v="19"/>
    <n v="0"/>
  </r>
  <r>
    <x v="0"/>
    <x v="1"/>
    <x v="0"/>
    <s v="5912200"/>
    <n v="749591"/>
    <s v="Other Expense-Intracompany Allocation"/>
    <s v="FMC @ Gravelly Lake"/>
    <x v="0"/>
    <m/>
    <n v="-39202.54"/>
    <n v="-52648.05"/>
    <n v="-55728.81"/>
    <n v="-74345.5"/>
    <n v="-44618.3"/>
    <n v="-56297.68"/>
    <n v="-44238.06"/>
    <n v="-58222.32"/>
    <n v="-33801.17"/>
    <n v="-35345.449999999997"/>
    <n v="-88098.31"/>
    <n v="-47021.64"/>
    <n v="-629567.82999999996"/>
    <n v="-41076.67"/>
  </r>
  <r>
    <x v="1"/>
    <x v="1"/>
    <x v="0"/>
    <s v="5913200"/>
    <n v="400029"/>
    <s v="MD Practice Other Rev--Medicare"/>
    <s v="FMG-Pulmonary Consultants"/>
    <x v="0"/>
    <n v="1100"/>
    <n v="0"/>
    <n v="0"/>
    <n v="0"/>
    <n v="0"/>
    <n v="0"/>
    <n v="0"/>
    <n v="0"/>
    <n v="0"/>
    <n v="0"/>
    <n v="-54"/>
    <n v="0"/>
    <n v="0"/>
    <n v="-54"/>
    <n v="0"/>
  </r>
  <r>
    <x v="1"/>
    <x v="1"/>
    <x v="0"/>
    <s v="5913200"/>
    <n v="400029"/>
    <s v="MD Practice Other Rev--Medicaid"/>
    <s v="FMG-Pulmonary Consultants"/>
    <x v="0"/>
    <n v="1200"/>
    <n v="0"/>
    <n v="0"/>
    <n v="0"/>
    <n v="0"/>
    <n v="0"/>
    <n v="0"/>
    <n v="0"/>
    <n v="0"/>
    <n v="-90"/>
    <n v="0"/>
    <n v="0"/>
    <n v="-40"/>
    <n v="-130"/>
    <n v="40"/>
  </r>
  <r>
    <x v="1"/>
    <x v="1"/>
    <x v="0"/>
    <s v="5913200"/>
    <n v="400029"/>
    <s v="MD Practice Other Rev--Comm Insurance"/>
    <s v="FMG-Pulmonary Consultants"/>
    <x v="0"/>
    <n v="1300"/>
    <n v="0"/>
    <n v="0"/>
    <n v="0"/>
    <n v="0"/>
    <n v="0"/>
    <n v="0"/>
    <n v="0"/>
    <n v="-54"/>
    <n v="0"/>
    <n v="0"/>
    <n v="0"/>
    <n v="0"/>
    <n v="-54"/>
    <n v="0"/>
  </r>
  <r>
    <x v="1"/>
    <x v="1"/>
    <x v="0"/>
    <s v="5913200"/>
    <n v="400029"/>
    <s v="MD Practice Other Rev--Managed Care"/>
    <s v="FMG-Pulmonary Consultants"/>
    <x v="0"/>
    <n v="1400"/>
    <n v="0"/>
    <n v="0"/>
    <n v="0"/>
    <n v="0"/>
    <n v="0"/>
    <n v="0"/>
    <n v="-479"/>
    <n v="0"/>
    <n v="0"/>
    <n v="0"/>
    <n v="0"/>
    <n v="-599"/>
    <n v="-1078"/>
    <n v="599"/>
  </r>
  <r>
    <x v="1"/>
    <x v="1"/>
    <x v="0"/>
    <s v="5913200"/>
    <n v="400029"/>
    <s v="MD Practice Other Rev--Other"/>
    <s v="FMG-Pulmonary Consultants"/>
    <x v="0"/>
    <n v="1700"/>
    <n v="0"/>
    <n v="0"/>
    <n v="0"/>
    <n v="0"/>
    <n v="0"/>
    <n v="0"/>
    <n v="0"/>
    <n v="0"/>
    <n v="-371"/>
    <n v="0"/>
    <n v="0"/>
    <n v="0"/>
    <n v="-371"/>
    <n v="0"/>
  </r>
  <r>
    <x v="1"/>
    <x v="1"/>
    <x v="0"/>
    <s v="5913200"/>
    <n v="400040"/>
    <s v="Physician Svcs Rev--Medicare"/>
    <s v="FMG-Pulmonary Consultants"/>
    <x v="0"/>
    <n v="1100"/>
    <n v="-411089"/>
    <n v="-418485"/>
    <n v="-439288"/>
    <n v="-518595"/>
    <n v="-532293"/>
    <n v="-481729.5"/>
    <n v="-457591.5"/>
    <n v="-443612.5"/>
    <n v="-505426"/>
    <n v="-574983.5"/>
    <n v="-460944"/>
    <n v="-416103"/>
    <n v="-5660140"/>
    <n v="-44841"/>
  </r>
  <r>
    <x v="1"/>
    <x v="1"/>
    <x v="0"/>
    <s v="5913200"/>
    <n v="400040"/>
    <s v="Physician Svcs Rev--Medicaid"/>
    <s v="FMG-Pulmonary Consultants"/>
    <x v="0"/>
    <n v="1200"/>
    <n v="-201604.5"/>
    <n v="-174028"/>
    <n v="-171888.5"/>
    <n v="-171631.5"/>
    <n v="-143221.5"/>
    <n v="-143576"/>
    <n v="-143181.5"/>
    <n v="-156773"/>
    <n v="-191585.5"/>
    <n v="-168946"/>
    <n v="-211455.5"/>
    <n v="-160065.5"/>
    <n v="-2037957"/>
    <n v="-51390"/>
  </r>
  <r>
    <x v="1"/>
    <x v="1"/>
    <x v="0"/>
    <s v="5913200"/>
    <n v="400040"/>
    <s v="Physician Svcs Rev--Comm Insurance"/>
    <s v="FMG-Pulmonary Consultants"/>
    <x v="0"/>
    <n v="1300"/>
    <n v="-20140"/>
    <n v="-4202"/>
    <n v="-9657.5"/>
    <n v="-15644"/>
    <n v="-26670"/>
    <n v="-19652"/>
    <n v="-18763"/>
    <n v="-14704"/>
    <n v="-26018"/>
    <n v="-12710.5"/>
    <n v="-11102"/>
    <n v="-12948"/>
    <n v="-192211"/>
    <n v="1846"/>
  </r>
  <r>
    <x v="1"/>
    <x v="1"/>
    <x v="0"/>
    <s v="5913200"/>
    <n v="400040"/>
    <s v="Physician Svcs Rev--BCBS Comm"/>
    <s v="FMG-Pulmonary Consultants"/>
    <x v="0"/>
    <n v="1301"/>
    <n v="-26801.5"/>
    <n v="-36098"/>
    <n v="-31540.5"/>
    <n v="-32997"/>
    <n v="-35879"/>
    <n v="-53998.5"/>
    <n v="-52927"/>
    <n v="-23905.5"/>
    <n v="-34543"/>
    <n v="-45396.5"/>
    <n v="-28599"/>
    <n v="-30199"/>
    <n v="-432884.5"/>
    <n v="1600"/>
  </r>
  <r>
    <x v="1"/>
    <x v="1"/>
    <x v="0"/>
    <s v="5913200"/>
    <n v="400040"/>
    <s v="Physician Svcs Rev--Managed Care"/>
    <s v="FMG-Pulmonary Consultants"/>
    <x v="0"/>
    <n v="1400"/>
    <n v="-157314"/>
    <n v="-167132.5"/>
    <n v="-133577"/>
    <n v="-145150"/>
    <n v="-146827"/>
    <n v="-134279.79999999999"/>
    <n v="-152076.5"/>
    <n v="-124721.5"/>
    <n v="-160785"/>
    <n v="-127170"/>
    <n v="-127232"/>
    <n v="-139531.5"/>
    <n v="-1715796.8"/>
    <n v="12299.5"/>
  </r>
  <r>
    <x v="1"/>
    <x v="1"/>
    <x v="0"/>
    <s v="5913200"/>
    <n v="400040"/>
    <s v="Physician Svcs Rev--Self Pay"/>
    <s v="FMG-Pulmonary Consultants"/>
    <x v="0"/>
    <n v="1500"/>
    <n v="5471"/>
    <n v="-6735"/>
    <n v="-8458"/>
    <n v="-18583"/>
    <n v="-7459"/>
    <n v="-13455"/>
    <n v="-17413"/>
    <n v="-15044"/>
    <n v="-23977"/>
    <n v="1196"/>
    <n v="-17047"/>
    <n v="-1321"/>
    <n v="-122825"/>
    <n v="-15726"/>
  </r>
  <r>
    <x v="1"/>
    <x v="1"/>
    <x v="0"/>
    <s v="5913200"/>
    <n v="400040"/>
    <s v="Physician Svcs Rev--Other"/>
    <s v="FMG-Pulmonary Consultants"/>
    <x v="0"/>
    <n v="1700"/>
    <n v="-33909"/>
    <n v="-39739"/>
    <n v="-54854"/>
    <n v="-65845.5"/>
    <n v="-60077.5"/>
    <n v="-45903"/>
    <n v="-67649.5"/>
    <n v="-55787.5"/>
    <n v="-20716.5"/>
    <n v="-11956"/>
    <n v="-42106"/>
    <n v="-40533"/>
    <n v="-539076.5"/>
    <n v="-1573"/>
  </r>
  <r>
    <x v="2"/>
    <x v="1"/>
    <x v="0"/>
    <s v="5913200"/>
    <n v="450029"/>
    <s v="Contr Allow--MD Other-Medicare"/>
    <s v="FMG-Pulmonary Consultants"/>
    <x v="0"/>
    <n v="1100"/>
    <n v="0"/>
    <n v="0"/>
    <n v="0"/>
    <n v="0"/>
    <n v="0"/>
    <n v="0"/>
    <n v="0"/>
    <n v="0"/>
    <n v="0"/>
    <n v="0"/>
    <n v="33.130000000000003"/>
    <n v="0"/>
    <n v="33.130000000000003"/>
    <n v="33.130000000000003"/>
  </r>
  <r>
    <x v="2"/>
    <x v="1"/>
    <x v="0"/>
    <s v="5913200"/>
    <n v="450029"/>
    <s v="Contr Allow--MD Other-Medicaid"/>
    <s v="FMG-Pulmonary Consultants"/>
    <x v="0"/>
    <n v="1200"/>
    <n v="0"/>
    <n v="0"/>
    <n v="0"/>
    <n v="0"/>
    <n v="0"/>
    <n v="0"/>
    <n v="0"/>
    <n v="0"/>
    <n v="68.430000000000007"/>
    <n v="0"/>
    <n v="0"/>
    <n v="30.49"/>
    <n v="98.92"/>
    <n v="-30.49"/>
  </r>
  <r>
    <x v="2"/>
    <x v="1"/>
    <x v="0"/>
    <s v="5913200"/>
    <n v="450029"/>
    <s v="Contr Allow--MD Other-Comm Insurance"/>
    <s v="FMG-Pulmonary Consultants"/>
    <x v="0"/>
    <n v="1300"/>
    <n v="13.5"/>
    <n v="0"/>
    <n v="0"/>
    <n v="0"/>
    <n v="0"/>
    <n v="0"/>
    <n v="0"/>
    <n v="0"/>
    <n v="21.73"/>
    <n v="0"/>
    <n v="0"/>
    <n v="0"/>
    <n v="35.230000000000004"/>
    <n v="0"/>
  </r>
  <r>
    <x v="2"/>
    <x v="1"/>
    <x v="0"/>
    <s v="5913200"/>
    <n v="450029"/>
    <s v="Contr Allow--MD Other-Managed Care"/>
    <s v="FMG-Pulmonary Consultants"/>
    <x v="0"/>
    <n v="1400"/>
    <n v="0"/>
    <n v="0"/>
    <n v="0"/>
    <n v="0"/>
    <n v="0"/>
    <n v="0"/>
    <n v="117.1"/>
    <n v="0"/>
    <n v="0"/>
    <n v="0"/>
    <n v="0"/>
    <n v="0"/>
    <n v="117.1"/>
    <n v="0"/>
  </r>
  <r>
    <x v="2"/>
    <x v="1"/>
    <x v="0"/>
    <s v="5913200"/>
    <n v="450029"/>
    <s v="Contr Allow--MD Other-Other"/>
    <s v="FMG-Pulmonary Consultants"/>
    <x v="0"/>
    <n v="1700"/>
    <n v="0"/>
    <n v="0"/>
    <n v="0"/>
    <n v="0"/>
    <n v="0"/>
    <n v="0"/>
    <n v="0"/>
    <n v="0"/>
    <n v="0"/>
    <n v="263.67"/>
    <n v="0"/>
    <n v="0"/>
    <n v="263.67"/>
    <n v="0"/>
  </r>
  <r>
    <x v="2"/>
    <x v="1"/>
    <x v="0"/>
    <s v="5913200"/>
    <n v="450040"/>
    <s v="Contr Allow--Phys Svcs--Mcare"/>
    <s v="FMG-Pulmonary Consultants"/>
    <x v="0"/>
    <n v="1100"/>
    <n v="261906.97"/>
    <n v="263671.7"/>
    <n v="254495.4"/>
    <n v="351968.68"/>
    <n v="339586.96"/>
    <n v="316166.40999999997"/>
    <n v="315461.01"/>
    <n v="271264.62"/>
    <n v="329856.43"/>
    <n v="346446.95"/>
    <n v="335021.92"/>
    <n v="294248.7"/>
    <n v="3680095.7500000005"/>
    <n v="40773.219999999972"/>
  </r>
  <r>
    <x v="2"/>
    <x v="1"/>
    <x v="0"/>
    <s v="5913200"/>
    <n v="450040"/>
    <s v="Contr Allow--Phys Svcs--Mcaid"/>
    <s v="FMG-Pulmonary Consultants"/>
    <x v="0"/>
    <n v="1200"/>
    <n v="146147.28"/>
    <n v="142136.70000000001"/>
    <n v="120622.03"/>
    <n v="144400.31"/>
    <n v="136283.63"/>
    <n v="83791.429999999993"/>
    <n v="140067.76999999999"/>
    <n v="105217.68"/>
    <n v="151226.14000000001"/>
    <n v="141973.87"/>
    <n v="122574.23"/>
    <n v="134103.32999999999"/>
    <n v="1568544.4000000004"/>
    <n v="-11529.099999999991"/>
  </r>
  <r>
    <x v="2"/>
    <x v="1"/>
    <x v="0"/>
    <s v="5913200"/>
    <n v="450040"/>
    <s v="Contr Allow--Phys Svcs--Comm Insurance"/>
    <s v="FMG-Pulmonary Consultants"/>
    <x v="0"/>
    <n v="1300"/>
    <n v="5869.66"/>
    <n v="5404.62"/>
    <n v="3040.92"/>
    <n v="5330.05"/>
    <n v="5577.93"/>
    <n v="10235.31"/>
    <n v="6404.63"/>
    <n v="3924.41"/>
    <n v="8316.49"/>
    <n v="3093.26"/>
    <n v="3577.18"/>
    <n v="7759.94"/>
    <n v="68534.399999999994"/>
    <n v="-4182.76"/>
  </r>
  <r>
    <x v="2"/>
    <x v="1"/>
    <x v="0"/>
    <s v="5913200"/>
    <n v="450040"/>
    <s v="Contr Allow--Phys Svcs--BCBS Comm Ins"/>
    <s v="FMG-Pulmonary Consultants"/>
    <x v="0"/>
    <n v="1301"/>
    <n v="6897.47"/>
    <n v="11472.43"/>
    <n v="8428.35"/>
    <n v="9609.35"/>
    <n v="9958.4599999999991"/>
    <n v="12543.24"/>
    <n v="13059.1"/>
    <n v="8626.41"/>
    <n v="11618.67"/>
    <n v="10967.87"/>
    <n v="13709.07"/>
    <n v="8306.59"/>
    <n v="125197.00999999998"/>
    <n v="5402.48"/>
  </r>
  <r>
    <x v="2"/>
    <x v="1"/>
    <x v="0"/>
    <s v="5913200"/>
    <n v="450040"/>
    <s v="Contr Allow--Phys Svcs--Managed Care"/>
    <s v="FMG-Pulmonary Consultants"/>
    <x v="0"/>
    <n v="1400"/>
    <n v="42625.86"/>
    <n v="58615.59"/>
    <n v="46763.58"/>
    <n v="46991.91"/>
    <n v="55479.63"/>
    <n v="46530.46"/>
    <n v="36419.1"/>
    <n v="40050.400000000001"/>
    <n v="61944.41"/>
    <n v="49189.39"/>
    <n v="46335.839999999997"/>
    <n v="42894.6"/>
    <n v="573840.77"/>
    <n v="3441.239999999998"/>
  </r>
  <r>
    <x v="2"/>
    <x v="1"/>
    <x v="0"/>
    <s v="5913200"/>
    <n v="450040"/>
    <s v="Contr Allow--Phys Svcs--BCBS Mgnd Care"/>
    <s v="FMG-Pulmonary Consultants"/>
    <x v="0"/>
    <n v="1401"/>
    <n v="14268.32"/>
    <n v="-14929.2"/>
    <n v="44886.21"/>
    <n v="-1300.53"/>
    <n v="-13934.39"/>
    <n v="21076.25"/>
    <n v="22840.75"/>
    <n v="64794.73"/>
    <n v="-13127.62"/>
    <n v="-34287.089999999997"/>
    <n v="-5717.01"/>
    <n v="-21527.62"/>
    <n v="63042.800000000032"/>
    <n v="15810.609999999999"/>
  </r>
  <r>
    <x v="2"/>
    <x v="1"/>
    <x v="0"/>
    <s v="5913200"/>
    <n v="450040"/>
    <s v="Prompt Pay Disc-Phys Svcs-Self Pay"/>
    <s v="FMG-Pulmonary Consultants"/>
    <x v="0"/>
    <n v="1500"/>
    <n v="180.64"/>
    <n v="-1314.16"/>
    <n v="85.07"/>
    <n v="0"/>
    <n v="0"/>
    <n v="0"/>
    <n v="-1357.35"/>
    <n v="0"/>
    <n v="907.58"/>
    <n v="0"/>
    <n v="0"/>
    <n v="0"/>
    <n v="-1498.2200000000003"/>
    <n v="0"/>
  </r>
  <r>
    <x v="2"/>
    <x v="1"/>
    <x v="0"/>
    <s v="5913200"/>
    <n v="450040"/>
    <s v="Admin Adjust-Phys Svcs-Self Pay"/>
    <s v="FMG-Pulmonary Consultants"/>
    <x v="0"/>
    <n v="1600"/>
    <n v="-714.99"/>
    <n v="5682.43"/>
    <n v="7324.86"/>
    <n v="8044.21"/>
    <n v="5222.09"/>
    <n v="5562.63"/>
    <n v="-2947.29"/>
    <n v="4743.8"/>
    <n v="7838.56"/>
    <n v="-1055.0999999999999"/>
    <n v="5209.03"/>
    <n v="1119.71"/>
    <n v="46029.939999999995"/>
    <n v="4089.3199999999997"/>
  </r>
  <r>
    <x v="2"/>
    <x v="1"/>
    <x v="0"/>
    <s v="5913200"/>
    <n v="450040"/>
    <s v="Contr Allow--Phys Svcs--Other"/>
    <s v="FMG-Pulmonary Consultants"/>
    <x v="0"/>
    <n v="1700"/>
    <n v="23361.43"/>
    <n v="26082.12"/>
    <n v="17908.25"/>
    <n v="24444.57"/>
    <n v="32221.8"/>
    <n v="26633.58"/>
    <n v="37320.75"/>
    <n v="15475.66"/>
    <n v="22914.23"/>
    <n v="50163.71"/>
    <n v="38595.17"/>
    <n v="22006.55"/>
    <n v="337127.82"/>
    <n v="16588.62"/>
  </r>
  <r>
    <x v="3"/>
    <x v="1"/>
    <x v="0"/>
    <s v="5913200"/>
    <n v="470040"/>
    <s v="Charity Care-Physician Svcs"/>
    <s v="FMG-Pulmonary Consultants"/>
    <x v="0"/>
    <m/>
    <n v="2089.6"/>
    <n v="8584.26"/>
    <n v="5089.25"/>
    <n v="1866.6"/>
    <n v="1619.54"/>
    <n v="874.87"/>
    <n v="4790.22"/>
    <n v="5236.29"/>
    <n v="7221.82"/>
    <n v="10302.07"/>
    <n v="7032"/>
    <n v="25893.63"/>
    <n v="80600.149999999994"/>
    <n v="-18861.63"/>
  </r>
  <r>
    <x v="4"/>
    <x v="1"/>
    <x v="0"/>
    <s v="5913200"/>
    <n v="490010"/>
    <s v="Provision for Bad Debts"/>
    <s v="FMG-Pulmonary Consultants"/>
    <x v="0"/>
    <m/>
    <n v="14598.54"/>
    <n v="9925.41"/>
    <n v="18546.36"/>
    <n v="11661.9"/>
    <n v="23214.33"/>
    <n v="8061.26"/>
    <n v="-1005.48"/>
    <n v="5243.41"/>
    <n v="13577.58"/>
    <n v="-308.75"/>
    <n v="9259.81"/>
    <n v="2957.96"/>
    <n v="115732.33000000002"/>
    <n v="6301.8499999999995"/>
  </r>
  <r>
    <x v="5"/>
    <x v="1"/>
    <x v="0"/>
    <s v="5913200"/>
    <n v="700014"/>
    <s v="Salaries-Management-Productive"/>
    <s v="FMG-Pulmonary Consultants"/>
    <x v="0"/>
    <m/>
    <n v="3956.4"/>
    <n v="6719.6"/>
    <n v="5024"/>
    <n v="-1256"/>
    <n v="0"/>
    <n v="0"/>
    <n v="8241.91"/>
    <n v="7492.66"/>
    <n v="7867.3"/>
    <n v="8241.92"/>
    <n v="8616.57"/>
    <n v="6368.77"/>
    <n v="61273.130000000005"/>
    <n v="2247.7999999999993"/>
  </r>
  <r>
    <x v="5"/>
    <x v="1"/>
    <x v="0"/>
    <s v="5913200"/>
    <n v="700018"/>
    <s v="Salaries-Supervisory-Productive"/>
    <s v="FMG-Pulmonary Consultants"/>
    <x v="0"/>
    <m/>
    <n v="4645.2"/>
    <n v="3981.6"/>
    <n v="4424"/>
    <n v="5237.3599999999997"/>
    <n v="5778.8"/>
    <n v="2338.88"/>
    <n v="1314.92"/>
    <n v="1217.3800000000001"/>
    <n v="2416.86"/>
    <n v="5416.75"/>
    <n v="5286.72"/>
    <n v="2528.42"/>
    <n v="44586.89"/>
    <n v="2758.3"/>
  </r>
  <r>
    <x v="5"/>
    <x v="1"/>
    <x v="0"/>
    <s v="5913200"/>
    <n v="700024"/>
    <s v="Salaries-Advanced Practice Clinician-Productive"/>
    <s v="FMG-Pulmonary Consultants"/>
    <x v="0"/>
    <m/>
    <n v="14412.4"/>
    <n v="16338.62"/>
    <n v="15518.56"/>
    <n v="18634.330000000002"/>
    <n v="18935.03"/>
    <n v="5633.91"/>
    <n v="9181.5400000000009"/>
    <n v="11163.86"/>
    <n v="19257.95"/>
    <n v="19092.259999999998"/>
    <n v="20533.75"/>
    <n v="12563.98"/>
    <n v="181266.19000000003"/>
    <n v="7969.77"/>
  </r>
  <r>
    <x v="5"/>
    <x v="1"/>
    <x v="0"/>
    <s v="5913200"/>
    <n v="700026"/>
    <s v="Salaries-RN-Productive"/>
    <s v="FMG-Pulmonary Consultants"/>
    <x v="0"/>
    <m/>
    <n v="4934.34"/>
    <n v="6634.02"/>
    <n v="6339.69"/>
    <n v="7176.51"/>
    <n v="7511.68"/>
    <n v="6191.8"/>
    <n v="7562.68"/>
    <n v="6413.52"/>
    <n v="6831.34"/>
    <n v="6921.09"/>
    <n v="18194.13"/>
    <n v="13363.16"/>
    <n v="98073.96"/>
    <n v="4830.9700000000012"/>
  </r>
  <r>
    <x v="5"/>
    <x v="1"/>
    <x v="0"/>
    <s v="5913200"/>
    <n v="700026"/>
    <s v="Salaries-RN-OT"/>
    <s v="FMG-Pulmonary Consultants"/>
    <x v="0"/>
    <n v="1000"/>
    <n v="56.22"/>
    <n v="146.78"/>
    <n v="452.85"/>
    <n v="337.37"/>
    <n v="44.82"/>
    <n v="352.11"/>
    <n v="83.33"/>
    <n v="3.21"/>
    <n v="9.6300000000000008"/>
    <n v="32.06"/>
    <n v="80.150000000000006"/>
    <n v="64.12"/>
    <n v="1662.65"/>
    <n v="16.03"/>
  </r>
  <r>
    <x v="5"/>
    <x v="1"/>
    <x v="0"/>
    <s v="5913200"/>
    <n v="700026"/>
    <s v="Salaries-RN-Other"/>
    <s v="FMG-Pulmonary Consultants"/>
    <x v="0"/>
    <n v="2000"/>
    <n v="0"/>
    <n v="9"/>
    <n v="0"/>
    <n v="0"/>
    <n v="0"/>
    <n v="0"/>
    <n v="0"/>
    <n v="0"/>
    <n v="0"/>
    <n v="0"/>
    <n v="37.049999999999997"/>
    <n v="0"/>
    <n v="46.05"/>
    <n v="37.049999999999997"/>
  </r>
  <r>
    <x v="5"/>
    <x v="1"/>
    <x v="0"/>
    <s v="5913200"/>
    <n v="700030"/>
    <s v="Salaries-LPN-Productive"/>
    <s v="FMG-Pulmonary Consultants"/>
    <x v="0"/>
    <m/>
    <n v="5427.21"/>
    <n v="5488.85"/>
    <n v="3751.58"/>
    <n v="6540.48"/>
    <n v="7800.7"/>
    <n v="8346.7000000000007"/>
    <n v="9466.8799999999992"/>
    <n v="4457.97"/>
    <n v="5432.83"/>
    <n v="462.47"/>
    <n v="146.88999999999999"/>
    <n v="5402.45"/>
    <n v="62725.01"/>
    <n v="-5255.5599999999995"/>
  </r>
  <r>
    <x v="5"/>
    <x v="1"/>
    <x v="0"/>
    <s v="5913200"/>
    <n v="700030"/>
    <s v="Salaries-LPN-OT"/>
    <s v="FMG-Pulmonary Consultants"/>
    <x v="0"/>
    <n v="1000"/>
    <n v="162.63"/>
    <n v="619.76"/>
    <n v="-141.69"/>
    <n v="88.7"/>
    <n v="817"/>
    <n v="-177.84"/>
    <n v="225.4"/>
    <n v="0"/>
    <n v="25.24"/>
    <n v="0"/>
    <n v="177.9"/>
    <n v="226.4"/>
    <n v="2023.5000000000005"/>
    <n v="-48.5"/>
  </r>
  <r>
    <x v="5"/>
    <x v="1"/>
    <x v="0"/>
    <s v="5913200"/>
    <n v="700030"/>
    <s v="Salaries-LPN-Other"/>
    <s v="FMG-Pulmonary Consultants"/>
    <x v="0"/>
    <n v="2000"/>
    <n v="223.25"/>
    <n v="245.97"/>
    <n v="208.7"/>
    <n v="237.47"/>
    <n v="226.55"/>
    <n v="437.1"/>
    <n v="230.36"/>
    <n v="182.08"/>
    <n v="222.95"/>
    <n v="233.91"/>
    <n v="119.19"/>
    <n v="165.83"/>
    <n v="2733.3599999999997"/>
    <n v="-46.640000000000015"/>
  </r>
  <r>
    <x v="5"/>
    <x v="1"/>
    <x v="0"/>
    <s v="5913200"/>
    <n v="700032"/>
    <s v="Salaries-Other Pat Care Providers-Productive"/>
    <s v="FMG-Pulmonary Consultants"/>
    <x v="0"/>
    <m/>
    <n v="16907.330000000002"/>
    <n v="17921.11"/>
    <n v="11987.27"/>
    <n v="9870.57"/>
    <n v="13422.36"/>
    <n v="13756.81"/>
    <n v="16724.439999999999"/>
    <n v="14996.58"/>
    <n v="17017.97"/>
    <n v="17987.55"/>
    <n v="21191.5"/>
    <n v="13562.72"/>
    <n v="185346.21"/>
    <n v="7628.7800000000007"/>
  </r>
  <r>
    <x v="5"/>
    <x v="1"/>
    <x v="0"/>
    <s v="5913200"/>
    <n v="700032"/>
    <s v="Salaries-Other Pat Care Providers-OT"/>
    <s v="FMG-Pulmonary Consultants"/>
    <x v="0"/>
    <n v="1000"/>
    <n v="51.01"/>
    <n v="79.5"/>
    <n v="678.09"/>
    <n v="669.21"/>
    <n v="390.86"/>
    <n v="-256.35000000000002"/>
    <n v="27.09"/>
    <n v="64.650000000000006"/>
    <n v="535.16"/>
    <n v="1159.05"/>
    <n v="1198.81"/>
    <n v="61.36"/>
    <n v="4658.4399999999996"/>
    <n v="1137.45"/>
  </r>
  <r>
    <x v="5"/>
    <x v="1"/>
    <x v="0"/>
    <s v="5913200"/>
    <n v="700032"/>
    <s v="Salaries-Other Pat Care Providers-Other"/>
    <s v="FMG-Pulmonary Consultants"/>
    <x v="0"/>
    <n v="2000"/>
    <n v="0"/>
    <n v="0"/>
    <n v="22.12"/>
    <n v="67.33"/>
    <n v="86.8"/>
    <n v="-31.25"/>
    <n v="0"/>
    <n v="21.95"/>
    <n v="0"/>
    <n v="0"/>
    <n v="94.62"/>
    <n v="15.27"/>
    <n v="276.83999999999997"/>
    <n v="79.350000000000009"/>
  </r>
  <r>
    <x v="5"/>
    <x v="1"/>
    <x v="0"/>
    <s v="5913200"/>
    <n v="700034"/>
    <s v="Salaries-Tech/Professional-Productive"/>
    <s v="FMG-Pulmonary Consultants"/>
    <x v="0"/>
    <m/>
    <n v="13080.37"/>
    <n v="13898.75"/>
    <n v="6854.05"/>
    <n v="12813.32"/>
    <n v="14729.96"/>
    <n v="10183.39"/>
    <n v="11619.09"/>
    <n v="8309.9"/>
    <n v="11515.28"/>
    <n v="9359.86"/>
    <n v="11710.57"/>
    <n v="9759.1200000000008"/>
    <n v="133833.65999999997"/>
    <n v="1951.4499999999989"/>
  </r>
  <r>
    <x v="5"/>
    <x v="1"/>
    <x v="0"/>
    <s v="5913200"/>
    <n v="700034"/>
    <s v="Salaries-Tech/Professional-OT"/>
    <s v="FMG-Pulmonary Consultants"/>
    <x v="0"/>
    <n v="1000"/>
    <n v="0"/>
    <n v="18.190000000000001"/>
    <n v="6.07"/>
    <n v="395.45"/>
    <n v="121.78"/>
    <n v="163.99"/>
    <n v="15.04"/>
    <n v="30.03"/>
    <n v="359.92"/>
    <n v="-6.54"/>
    <n v="200.16"/>
    <n v="-87.57"/>
    <n v="1216.5200000000002"/>
    <n v="287.73"/>
  </r>
  <r>
    <x v="5"/>
    <x v="1"/>
    <x v="0"/>
    <s v="5913200"/>
    <n v="700038"/>
    <s v="Salaries-Service/Support-Productive"/>
    <s v="FMG-Pulmonary Consultants"/>
    <x v="0"/>
    <m/>
    <n v="21280.79"/>
    <n v="23710.14"/>
    <n v="19360.64"/>
    <n v="27086.89"/>
    <n v="22212.58"/>
    <n v="16569.46"/>
    <n v="24054.49"/>
    <n v="24202.15"/>
    <n v="24756.68"/>
    <n v="27273.7"/>
    <n v="34948.31"/>
    <n v="22438.35"/>
    <n v="287894.17999999993"/>
    <n v="12509.96"/>
  </r>
  <r>
    <x v="5"/>
    <x v="1"/>
    <x v="0"/>
    <s v="5913200"/>
    <n v="700038"/>
    <s v="Salaries-Service/Support-OT"/>
    <s v="FMG-Pulmonary Consultants"/>
    <x v="0"/>
    <n v="1000"/>
    <n v="24.08"/>
    <n v="56.18"/>
    <n v="14.63"/>
    <n v="114.62"/>
    <n v="895.7"/>
    <n v="454.22"/>
    <n v="652.11"/>
    <n v="-29.84"/>
    <n v="137.16999999999999"/>
    <n v="390.48"/>
    <n v="340.27"/>
    <n v="577.22"/>
    <n v="3626.84"/>
    <n v="-236.95000000000005"/>
  </r>
  <r>
    <x v="5"/>
    <x v="1"/>
    <x v="0"/>
    <s v="5913200"/>
    <n v="700038"/>
    <s v="Salaries-Service/Support-Other"/>
    <s v="FMG-Pulmonary Consultants"/>
    <x v="0"/>
    <n v="2000"/>
    <n v="171.89"/>
    <n v="184.02"/>
    <n v="160.01"/>
    <n v="184.15"/>
    <n v="352.34"/>
    <n v="179.42"/>
    <n v="215.77"/>
    <n v="157.01"/>
    <n v="168.32"/>
    <n v="178.17"/>
    <n v="215.8"/>
    <n v="142.9"/>
    <n v="2309.8000000000002"/>
    <n v="72.900000000000006"/>
  </r>
  <r>
    <x v="5"/>
    <x v="1"/>
    <x v="0"/>
    <s v="5913200"/>
    <n v="700054"/>
    <s v="Salaries-Management-Non-productive"/>
    <s v="FMG-Pulmonary Consultants"/>
    <x v="0"/>
    <m/>
    <n v="2951.6"/>
    <n v="502.4"/>
    <n v="314"/>
    <n v="0"/>
    <n v="0"/>
    <n v="0"/>
    <n v="749.27"/>
    <n v="0"/>
    <n v="0"/>
    <n v="0"/>
    <n v="0"/>
    <n v="1123.8900000000001"/>
    <n v="5641.1600000000008"/>
    <n v="-1123.8900000000001"/>
  </r>
  <r>
    <x v="5"/>
    <x v="1"/>
    <x v="0"/>
    <s v="5913200"/>
    <n v="700054"/>
    <s v="Salaries-Management-NonProd-Other"/>
    <s v="FMG-Pulmonary Consultants"/>
    <x v="0"/>
    <n v="2000"/>
    <n v="0"/>
    <n v="0"/>
    <n v="0"/>
    <n v="0"/>
    <n v="0"/>
    <n v="2278.1"/>
    <n v="-2278.1"/>
    <n v="0"/>
    <n v="0"/>
    <n v="0"/>
    <n v="0"/>
    <n v="0"/>
    <n v="0"/>
    <n v="0"/>
  </r>
  <r>
    <x v="5"/>
    <x v="1"/>
    <x v="0"/>
    <s v="5913200"/>
    <n v="700058"/>
    <s v="Salaries-Supervisory-Non-productive"/>
    <s v="FMG-Pulmonary Consultants"/>
    <x v="0"/>
    <m/>
    <n v="221.2"/>
    <n v="1106"/>
    <n v="0"/>
    <n v="0"/>
    <n v="0"/>
    <n v="3672.32"/>
    <n v="5287.04"/>
    <n v="4597.1400000000003"/>
    <n v="3690.01"/>
    <n v="-603.37"/>
    <n v="0"/>
    <n v="2068.7199999999998"/>
    <n v="20039.060000000001"/>
    <n v="-2068.7199999999998"/>
  </r>
  <r>
    <x v="5"/>
    <x v="1"/>
    <x v="0"/>
    <s v="5913200"/>
    <n v="700064"/>
    <s v="Salaries-Advanced Practice Clinician-Non-Productive"/>
    <s v="FMG-Pulmonary Consultants"/>
    <x v="0"/>
    <m/>
    <n v="4958.2700000000004"/>
    <n v="5418.05"/>
    <n v="2851.15"/>
    <n v="2320.38"/>
    <n v="1198.08"/>
    <n v="13636.66"/>
    <n v="5810.9"/>
    <n v="1094.4000000000001"/>
    <n v="1095.19"/>
    <n v="1088.75"/>
    <n v="1085.45"/>
    <n v="6445.61"/>
    <n v="47002.89"/>
    <n v="-5360.16"/>
  </r>
  <r>
    <x v="5"/>
    <x v="1"/>
    <x v="0"/>
    <s v="5913200"/>
    <n v="700064"/>
    <s v="Salaries-Advanced Practice Clinician-Non-Prod-Other"/>
    <s v="FMG-Pulmonary Consultants"/>
    <x v="0"/>
    <n v="2000"/>
    <n v="0"/>
    <n v="0"/>
    <n v="0"/>
    <n v="0"/>
    <n v="0"/>
    <n v="-449.68"/>
    <n v="-390.07"/>
    <n v="0"/>
    <n v="0"/>
    <n v="0"/>
    <n v="0"/>
    <n v="0"/>
    <n v="-839.75"/>
    <n v="0"/>
  </r>
  <r>
    <x v="5"/>
    <x v="1"/>
    <x v="0"/>
    <s v="5913200"/>
    <n v="700066"/>
    <s v="Salaries-RN-Non-productive"/>
    <s v="FMG-Pulmonary Consultants"/>
    <x v="0"/>
    <m/>
    <n v="2394.3000000000002"/>
    <n v="1332.48"/>
    <n v="333.12"/>
    <n v="666.24"/>
    <n v="0"/>
    <n v="1058.46"/>
    <n v="307.81"/>
    <n v="42.74"/>
    <n v="502.22"/>
    <n v="629.36"/>
    <n v="706.34"/>
    <n v="2329.79"/>
    <n v="10302.86"/>
    <n v="-1623.4499999999998"/>
  </r>
  <r>
    <x v="5"/>
    <x v="1"/>
    <x v="0"/>
    <s v="5913200"/>
    <n v="700066"/>
    <s v="Salaries-RN-NonProd-Other"/>
    <s v="FMG-Pulmonary Consultants"/>
    <x v="0"/>
    <n v="2000"/>
    <n v="0"/>
    <n v="0"/>
    <n v="20.82"/>
    <n v="0"/>
    <n v="0"/>
    <n v="0"/>
    <n v="0"/>
    <n v="0"/>
    <n v="0"/>
    <n v="0"/>
    <n v="0"/>
    <n v="0"/>
    <n v="20.82"/>
    <n v="0"/>
  </r>
  <r>
    <x v="5"/>
    <x v="1"/>
    <x v="0"/>
    <s v="5913200"/>
    <n v="700070"/>
    <s v="Salaries-LPN-Non-productive"/>
    <s v="FMG-Pulmonary Consultants"/>
    <x v="0"/>
    <m/>
    <n v="259.52"/>
    <n v="486.6"/>
    <n v="2043.72"/>
    <n v="-324.39999999999998"/>
    <n v="0"/>
    <n v="1519.18"/>
    <n v="737.55"/>
    <n v="99.65"/>
    <n v="440.15"/>
    <n v="5680.41"/>
    <n v="2873.43"/>
    <n v="-921.81"/>
    <n v="12894"/>
    <n v="3795.24"/>
  </r>
  <r>
    <x v="5"/>
    <x v="1"/>
    <x v="0"/>
    <s v="5913200"/>
    <n v="700072"/>
    <s v="Salaries-Other Pat Care Providers-Non-productive"/>
    <s v="FMG-Pulmonary Consultants"/>
    <x v="0"/>
    <m/>
    <n v="1845.9"/>
    <n v="1620.94"/>
    <n v="5803.3"/>
    <n v="8030.15"/>
    <n v="-1991.27"/>
    <n v="5216.71"/>
    <n v="2145.46"/>
    <n v="1500.3"/>
    <n v="899.37"/>
    <n v="1628.62"/>
    <n v="3901.17"/>
    <n v="180.25"/>
    <n v="30780.899999999994"/>
    <n v="3720.92"/>
  </r>
  <r>
    <x v="5"/>
    <x v="1"/>
    <x v="0"/>
    <s v="5913200"/>
    <n v="700072"/>
    <s v="Salaries-Other Pat Care Providers-NonProd-Other"/>
    <s v="FMG-Pulmonary Consultants"/>
    <x v="0"/>
    <n v="2000"/>
    <n v="0"/>
    <n v="0"/>
    <n v="0"/>
    <n v="10.47"/>
    <n v="0"/>
    <n v="0"/>
    <n v="0"/>
    <n v="0"/>
    <n v="0"/>
    <n v="0"/>
    <n v="0"/>
    <n v="0"/>
    <n v="10.47"/>
    <n v="0"/>
  </r>
  <r>
    <x v="5"/>
    <x v="1"/>
    <x v="0"/>
    <s v="5913200"/>
    <n v="700074"/>
    <s v="Salaries-Tech/Professional-Non-productive"/>
    <s v="FMG-Pulmonary Consultants"/>
    <x v="0"/>
    <m/>
    <n v="517.44000000000005"/>
    <n v="848.93"/>
    <n v="3752.71"/>
    <n v="724.54"/>
    <n v="352.92"/>
    <n v="2313.31"/>
    <n v="2276.0500000000002"/>
    <n v="664.61"/>
    <n v="46.63"/>
    <n v="2232.54"/>
    <n v="794.28"/>
    <n v="1138.42"/>
    <n v="15662.380000000001"/>
    <n v="-344.1400000000001"/>
  </r>
  <r>
    <x v="5"/>
    <x v="1"/>
    <x v="0"/>
    <s v="5913200"/>
    <n v="700074"/>
    <s v="Salaries-Tech/Professional-NonProd-Other"/>
    <s v="FMG-Pulmonary Consultants"/>
    <x v="0"/>
    <n v="2000"/>
    <n v="0"/>
    <n v="0"/>
    <n v="0"/>
    <n v="0"/>
    <n v="0"/>
    <n v="0"/>
    <n v="0"/>
    <n v="17.07"/>
    <n v="25.6"/>
    <n v="-8.5299999999999994"/>
    <n v="34.14"/>
    <n v="-17.07"/>
    <n v="51.21"/>
    <n v="51.21"/>
  </r>
  <r>
    <x v="5"/>
    <x v="1"/>
    <x v="0"/>
    <s v="5913200"/>
    <n v="700078"/>
    <s v="Salaries-Service/Support-Non-productive"/>
    <s v="FMG-Pulmonary Consultants"/>
    <x v="0"/>
    <m/>
    <n v="3198.71"/>
    <n v="2222.5700000000002"/>
    <n v="2612.64"/>
    <n v="2730.06"/>
    <n v="603.46"/>
    <n v="5062"/>
    <n v="4595.4399999999996"/>
    <n v="1764.3"/>
    <n v="3014.04"/>
    <n v="3329.17"/>
    <n v="1431.31"/>
    <n v="6676.53"/>
    <n v="37240.230000000003"/>
    <n v="-5245.2199999999993"/>
  </r>
  <r>
    <x v="5"/>
    <x v="1"/>
    <x v="0"/>
    <s v="5913200"/>
    <n v="700078"/>
    <s v="Salaries-Service/Support-NonProd-Other"/>
    <s v="FMG-Pulmonary Consultants"/>
    <x v="0"/>
    <n v="2000"/>
    <n v="0"/>
    <n v="0"/>
    <n v="0"/>
    <n v="0"/>
    <n v="0"/>
    <n v="0"/>
    <n v="0"/>
    <n v="0"/>
    <n v="0"/>
    <n v="0"/>
    <n v="5.18"/>
    <n v="10.07"/>
    <n v="15.25"/>
    <n v="-4.8900000000000006"/>
  </r>
  <r>
    <x v="5"/>
    <x v="1"/>
    <x v="0"/>
    <s v="5913200"/>
    <n v="700084"/>
    <s v="Accrued PTO"/>
    <s v="FMG-Pulmonary Consultants"/>
    <x v="0"/>
    <m/>
    <n v="-831.26"/>
    <n v="1084.3699999999999"/>
    <n v="-2875.34"/>
    <n v="-5076.93"/>
    <n v="4065.93"/>
    <n v="-4201.04"/>
    <n v="262.22000000000003"/>
    <n v="1136.27"/>
    <n v="354.48"/>
    <n v="2176.54"/>
    <n v="1760.02"/>
    <n v="699.26"/>
    <n v="-1445.4800000000012"/>
    <n v="1060.76"/>
  </r>
  <r>
    <x v="6"/>
    <x v="1"/>
    <x v="0"/>
    <s v="5913200"/>
    <n v="713010"/>
    <s v="Benefits-FICA/Medicare"/>
    <s v="FMG-Pulmonary Consultants"/>
    <x v="0"/>
    <m/>
    <n v="7397.43"/>
    <n v="8039.57"/>
    <n v="6674.24"/>
    <n v="7424.98"/>
    <n v="6874.75"/>
    <n v="7107.7"/>
    <n v="8192.4699999999993"/>
    <n v="6365.27"/>
    <n v="7677.4"/>
    <n v="7939.44"/>
    <n v="9766.7199999999993"/>
    <n v="7658.44"/>
    <n v="91118.41"/>
    <n v="2108.2799999999997"/>
  </r>
  <r>
    <x v="6"/>
    <x v="1"/>
    <x v="0"/>
    <s v="5913200"/>
    <n v="713090"/>
    <s v="Benefits-Allocated Amounts"/>
    <s v="FMG-Pulmonary Consultants"/>
    <x v="0"/>
    <m/>
    <n v="0"/>
    <n v="0"/>
    <n v="0"/>
    <n v="0"/>
    <n v="0"/>
    <n v="0"/>
    <n v="0"/>
    <n v="0"/>
    <n v="186786.57"/>
    <n v="23102.7"/>
    <n v="25850.11"/>
    <n v="25339.83"/>
    <n v="261079.21000000002"/>
    <n v="510.27999999999884"/>
  </r>
  <r>
    <x v="6"/>
    <x v="1"/>
    <x v="0"/>
    <s v="5913200"/>
    <n v="713093"/>
    <s v="Allocated Benefits-Advanced Practice Clinician"/>
    <s v="FMG-Pulmonary Consultants"/>
    <x v="0"/>
    <m/>
    <n v="22851.77"/>
    <n v="21369.52"/>
    <n v="22105.9"/>
    <n v="22170.54"/>
    <n v="20809.900000000001"/>
    <n v="21684.27"/>
    <n v="27317.52"/>
    <n v="24517.35"/>
    <n v="-161614.93"/>
    <n v="2623.59"/>
    <n v="2935.58"/>
    <n v="2877.65"/>
    <n v="29648.660000000025"/>
    <n v="57.929999999999836"/>
  </r>
  <r>
    <x v="17"/>
    <x v="1"/>
    <x v="0"/>
    <s v="5913200"/>
    <n v="714520"/>
    <s v="Other Contracted Professionals"/>
    <s v="FMG-Pulmonary Consultants"/>
    <x v="0"/>
    <m/>
    <n v="778185.23"/>
    <n v="810224.02"/>
    <n v="830106.58"/>
    <n v="799064.44"/>
    <n v="879789.78"/>
    <n v="839341.55"/>
    <n v="782730.45"/>
    <n v="810094.95"/>
    <n v="716400.56"/>
    <n v="749631.26"/>
    <n v="770177.91"/>
    <n v="838216.54"/>
    <n v="9603963.2699999996"/>
    <n v="-68038.63"/>
  </r>
  <r>
    <x v="17"/>
    <x v="1"/>
    <x v="0"/>
    <s v="5913200"/>
    <n v="714520"/>
    <s v="Other Contract Prof-Pulmonologist"/>
    <s v="FMG-Pulmonary Consultants"/>
    <x v="0"/>
    <n v="1130"/>
    <n v="-487353.04"/>
    <n v="-513710.81"/>
    <n v="-493967.35999999999"/>
    <n v="-489415.85"/>
    <n v="-515413.2"/>
    <n v="-493097.73"/>
    <n v="-512600.9"/>
    <n v="-512393.05"/>
    <n v="-464417.53"/>
    <n v="-509900.16"/>
    <n v="-496409.75"/>
    <n v="-626993.97"/>
    <n v="-6115673.3499999996"/>
    <n v="130584.21999999997"/>
  </r>
  <r>
    <x v="7"/>
    <x v="1"/>
    <x v="0"/>
    <s v="5913200"/>
    <n v="718010"/>
    <s v="Media/Print Advertising"/>
    <s v="FMG-Pulmonary Consultants"/>
    <x v="0"/>
    <n v="1004"/>
    <n v="0"/>
    <n v="0"/>
    <n v="0"/>
    <n v="0"/>
    <n v="0"/>
    <n v="0"/>
    <n v="0"/>
    <n v="0"/>
    <n v="0"/>
    <n v="1267.31"/>
    <n v="100.38"/>
    <n v="0"/>
    <n v="1367.69"/>
    <n v="100.38"/>
  </r>
  <r>
    <x v="7"/>
    <x v="1"/>
    <x v="0"/>
    <s v="5913200"/>
    <n v="718040"/>
    <s v="Contract Svcs-Laboratory"/>
    <s v="FMG-Pulmonary Consultants"/>
    <x v="0"/>
    <m/>
    <n v="51.2"/>
    <n v="0"/>
    <n v="0"/>
    <n v="0"/>
    <n v="0"/>
    <n v="0"/>
    <n v="0"/>
    <n v="0"/>
    <n v="0"/>
    <n v="0"/>
    <n v="0"/>
    <n v="0"/>
    <n v="51.2"/>
    <n v="0"/>
  </r>
  <r>
    <x v="7"/>
    <x v="1"/>
    <x v="0"/>
    <s v="5913200"/>
    <n v="718050"/>
    <s v="Contract Svcs-Other"/>
    <s v="FMG-Pulmonary Consultants"/>
    <x v="0"/>
    <m/>
    <n v="72.680000000000007"/>
    <n v="13465.62"/>
    <n v="145.36000000000001"/>
    <n v="8777.83"/>
    <n v="72.69"/>
    <n v="0"/>
    <n v="251.11"/>
    <n v="254.4"/>
    <n v="84.8"/>
    <n v="84.8"/>
    <n v="0"/>
    <n v="3172.71"/>
    <n v="26382"/>
    <n v="-3172.71"/>
  </r>
  <r>
    <x v="7"/>
    <x v="1"/>
    <x v="0"/>
    <s v="5913200"/>
    <n v="718050"/>
    <s v="Document Shredding/Storage"/>
    <s v="FMG-Pulmonary Consultants"/>
    <x v="0"/>
    <n v="1012"/>
    <n v="587.61"/>
    <n v="295.88"/>
    <n v="553.64"/>
    <n v="27.56"/>
    <n v="38.409999999999997"/>
    <n v="28.47"/>
    <n v="28.18"/>
    <n v="503.01"/>
    <n v="1077.69"/>
    <n v="6.84"/>
    <n v="107.56"/>
    <n v="1625.65"/>
    <n v="4880.5"/>
    <n v="-1518.0900000000001"/>
  </r>
  <r>
    <x v="7"/>
    <x v="1"/>
    <x v="0"/>
    <s v="5913200"/>
    <n v="718050"/>
    <s v="Physician Answering"/>
    <s v="FMG-Pulmonary Consultants"/>
    <x v="0"/>
    <n v="1015"/>
    <n v="596.20000000000005"/>
    <n v="789"/>
    <n v="686.2"/>
    <n v="348.6"/>
    <n v="861.6"/>
    <n v="856.4"/>
    <n v="927.4"/>
    <n v="1048.32"/>
    <n v="814.2"/>
    <n v="1143.5999999999999"/>
    <n v="825.4"/>
    <n v="570.6"/>
    <n v="9467.5199999999986"/>
    <n v="254.79999999999995"/>
  </r>
  <r>
    <x v="7"/>
    <x v="1"/>
    <x v="0"/>
    <s v="5913200"/>
    <n v="718050"/>
    <s v="Miscellaneous Purchased Svcs"/>
    <s v="FMG-Pulmonary Consultants"/>
    <x v="0"/>
    <n v="1020"/>
    <n v="157.91"/>
    <n v="-59.75"/>
    <n v="277.39999999999998"/>
    <n v="119.46"/>
    <n v="246.48"/>
    <n v="689.9"/>
    <n v="399.58"/>
    <n v="373.87"/>
    <n v="462.67"/>
    <n v="123.88"/>
    <n v="276.92"/>
    <n v="789.04"/>
    <n v="3857.36"/>
    <n v="-512.11999999999989"/>
  </r>
  <r>
    <x v="7"/>
    <x v="1"/>
    <x v="0"/>
    <s v="5913200"/>
    <n v="718050"/>
    <s v="Translation Services"/>
    <s v="FMG-Pulmonary Consultants"/>
    <x v="0"/>
    <n v="1025"/>
    <n v="414.97"/>
    <n v="1132.5"/>
    <n v="4.05"/>
    <n v="1.8"/>
    <n v="49.34"/>
    <n v="778.73"/>
    <n v="786.69"/>
    <n v="1682.15"/>
    <n v="0"/>
    <n v="97.5"/>
    <n v="1511.67"/>
    <n v="78.72"/>
    <n v="6538.12"/>
    <n v="1432.95"/>
  </r>
  <r>
    <x v="7"/>
    <x v="1"/>
    <x v="0"/>
    <s v="5913200"/>
    <n v="718050"/>
    <s v="Purchased Srvcs--Medical Waste"/>
    <s v="FMG-Pulmonary Consultants"/>
    <x v="0"/>
    <n v="1027"/>
    <n v="365.38"/>
    <n v="681.12"/>
    <n v="723.69"/>
    <n v="0"/>
    <n v="494.85"/>
    <n v="276.33999999999997"/>
    <n v="1199.3599999999999"/>
    <n v="506.01"/>
    <n v="52.58"/>
    <n v="684.36"/>
    <n v="328.44"/>
    <n v="968.47"/>
    <n v="6280.5999999999995"/>
    <n v="-640.03"/>
  </r>
  <r>
    <x v="7"/>
    <x v="1"/>
    <x v="0"/>
    <s v="5913200"/>
    <n v="718070"/>
    <s v="Contract Srvcs-CHI Clinical Engineering"/>
    <s v="FMG-Pulmonary Consultants"/>
    <x v="0"/>
    <m/>
    <n v="0"/>
    <n v="0"/>
    <n v="0"/>
    <n v="0"/>
    <n v="445.9"/>
    <n v="0"/>
    <n v="0"/>
    <n v="0"/>
    <n v="0"/>
    <n v="275.5"/>
    <n v="0"/>
    <n v="0"/>
    <n v="721.4"/>
    <n v="0"/>
  </r>
  <r>
    <x v="11"/>
    <x v="1"/>
    <x v="0"/>
    <s v="5913200"/>
    <n v="721250"/>
    <s v="Supplies-Pharmacy Drugs - Billable"/>
    <s v="FMG-Pulmonary Consultants"/>
    <x v="0"/>
    <m/>
    <n v="20.05"/>
    <n v="176.84"/>
    <n v="6419.35"/>
    <n v="3670.73"/>
    <n v="3275.74"/>
    <n v="4852.5"/>
    <n v="97.25"/>
    <n v="1413.04"/>
    <n v="309.29000000000002"/>
    <n v="84.41"/>
    <n v="-3007.79"/>
    <n v="2816.25"/>
    <n v="20127.66"/>
    <n v="-5824.04"/>
  </r>
  <r>
    <x v="11"/>
    <x v="1"/>
    <x v="0"/>
    <s v="5913200"/>
    <n v="721410"/>
    <s v="Supplies-Medical - Nonbillable"/>
    <s v="FMG-Pulmonary Consultants"/>
    <x v="0"/>
    <m/>
    <n v="2072.2399999999998"/>
    <n v="3759.11"/>
    <n v="818.83"/>
    <n v="-68.099999999999994"/>
    <n v="1179.21"/>
    <n v="3393.42"/>
    <n v="1248.76"/>
    <n v="2457.5700000000002"/>
    <n v="2358.2199999999998"/>
    <n v="886.13"/>
    <n v="925.82"/>
    <n v="2817.27"/>
    <n v="21848.48"/>
    <n v="-1891.4499999999998"/>
  </r>
  <r>
    <x v="11"/>
    <x v="1"/>
    <x v="0"/>
    <s v="5913200"/>
    <n v="721810"/>
    <s v="Supplies-Dietary/Cafeteria"/>
    <s v="FMG-Pulmonary Consultants"/>
    <x v="0"/>
    <m/>
    <n v="28.24"/>
    <n v="0"/>
    <n v="139.99"/>
    <n v="203.52"/>
    <n v="0"/>
    <n v="0"/>
    <n v="0"/>
    <n v="38.61"/>
    <n v="23.58"/>
    <n v="63.39"/>
    <n v="31.99"/>
    <n v="249.46"/>
    <n v="778.78"/>
    <n v="-217.47"/>
  </r>
  <r>
    <x v="11"/>
    <x v="1"/>
    <x v="0"/>
    <s v="5913200"/>
    <n v="721830"/>
    <s v="Supplies-Office"/>
    <s v="FMG-Pulmonary Consultants"/>
    <x v="0"/>
    <m/>
    <n v="607.19000000000005"/>
    <n v="178.16"/>
    <n v="744.52"/>
    <n v="553.16"/>
    <n v="1603.06"/>
    <n v="1012.76"/>
    <n v="215.56"/>
    <n v="62.07"/>
    <n v="764.76"/>
    <n v="1915.97"/>
    <n v="1666.51"/>
    <n v="306.33999999999997"/>
    <n v="9630.06"/>
    <n v="1360.17"/>
  </r>
  <r>
    <x v="11"/>
    <x v="1"/>
    <x v="0"/>
    <s v="5913200"/>
    <n v="721835"/>
    <s v="Supplies-Forms"/>
    <s v="FMG-Pulmonary Consultants"/>
    <x v="0"/>
    <m/>
    <n v="0"/>
    <n v="0"/>
    <n v="0"/>
    <n v="0"/>
    <n v="639.9"/>
    <n v="1652.45"/>
    <n v="0"/>
    <n v="0"/>
    <n v="6"/>
    <n v="473.7"/>
    <n v="0"/>
    <n v="11.5"/>
    <n v="2783.5499999999997"/>
    <n v="-11.5"/>
  </r>
  <r>
    <x v="11"/>
    <x v="1"/>
    <x v="0"/>
    <s v="5913200"/>
    <n v="721910"/>
    <s v="Supplies-Small Equipment"/>
    <s v="FMG-Pulmonary Consultants"/>
    <x v="0"/>
    <m/>
    <n v="0"/>
    <n v="84.92"/>
    <n v="8.58"/>
    <n v="0"/>
    <n v="0"/>
    <n v="6966.52"/>
    <n v="2507.3000000000002"/>
    <n v="256.8"/>
    <n v="352.63"/>
    <n v="1154.75"/>
    <n v="520.6"/>
    <n v="390.97"/>
    <n v="12243.069999999998"/>
    <n v="129.63"/>
  </r>
  <r>
    <x v="11"/>
    <x v="1"/>
    <x v="0"/>
    <s v="5913200"/>
    <n v="721980"/>
    <s v="Supplies-Other"/>
    <s v="FMG-Pulmonary Consultants"/>
    <x v="0"/>
    <m/>
    <n v="0"/>
    <n v="0"/>
    <n v="0"/>
    <n v="0"/>
    <n v="0"/>
    <n v="0"/>
    <n v="0"/>
    <n v="0"/>
    <n v="0"/>
    <n v="0"/>
    <n v="0"/>
    <n v="56.65"/>
    <n v="56.65"/>
    <n v="-56.65"/>
  </r>
  <r>
    <x v="11"/>
    <x v="1"/>
    <x v="0"/>
    <s v="5913200"/>
    <n v="722000"/>
    <s v="Supplies-Freight Expense"/>
    <s v="FMG-Pulmonary Consultants"/>
    <x v="0"/>
    <m/>
    <n v="112.94"/>
    <n v="118.82"/>
    <n v="11.17"/>
    <n v="77.31"/>
    <n v="0"/>
    <n v="5.62"/>
    <n v="50.56"/>
    <n v="13.78"/>
    <n v="14.36"/>
    <n v="19.829999999999998"/>
    <n v="0"/>
    <n v="195.4"/>
    <n v="619.79"/>
    <n v="-195.4"/>
  </r>
  <r>
    <x v="12"/>
    <x v="1"/>
    <x v="0"/>
    <s v="5913200"/>
    <n v="730010"/>
    <s v="Rental and Leases-Building (DO NOT USE)"/>
    <s v="FMG-Pulmonary Consultants"/>
    <x v="0"/>
    <m/>
    <n v="45304.06"/>
    <n v="45959.29"/>
    <n v="45387.1"/>
    <n v="46531.48"/>
    <n v="45959.29"/>
    <n v="-60307.54"/>
    <n v="27782.03"/>
    <n v="25271.47"/>
    <n v="26526.75"/>
    <n v="26526.75"/>
    <n v="26601.040000000001"/>
    <n v="0"/>
    <n v="301541.72000000003"/>
    <n v="26601.040000000001"/>
  </r>
  <r>
    <x v="12"/>
    <x v="1"/>
    <x v="0"/>
    <s v="5913200"/>
    <n v="730010"/>
    <s v="Rental-Common Area Maint (DO NOT USE)"/>
    <s v="FMG-Pulmonary Consultants"/>
    <x v="0"/>
    <n v="2200"/>
    <n v="0"/>
    <n v="0"/>
    <n v="0"/>
    <n v="0"/>
    <n v="0"/>
    <n v="105606.33"/>
    <n v="17783"/>
    <n v="17649.88"/>
    <n v="12750.17"/>
    <n v="17649.86"/>
    <n v="17649.86"/>
    <n v="0"/>
    <n v="189089.09999999998"/>
    <n v="17649.86"/>
  </r>
  <r>
    <x v="12"/>
    <x v="1"/>
    <x v="0"/>
    <s v="5913200"/>
    <n v="730020"/>
    <s v="Rental and Leases-Equipment (DO NOT USE)"/>
    <s v="FMG-Pulmonary Consultants"/>
    <x v="0"/>
    <m/>
    <n v="0"/>
    <n v="0"/>
    <n v="0"/>
    <n v="0"/>
    <n v="393.36"/>
    <n v="1849.24"/>
    <n v="1623.15"/>
    <n v="0"/>
    <n v="0"/>
    <n v="147.93"/>
    <n v="0"/>
    <n v="994.13"/>
    <n v="5007.8099999999995"/>
    <n v="-994.13"/>
  </r>
  <r>
    <x v="12"/>
    <x v="1"/>
    <x v="0"/>
    <s v="5913200"/>
    <n v="730020"/>
    <s v="Rental and Leases-Copier Usage Fees (DO NOT USE)"/>
    <s v="FMG-Pulmonary Consultants"/>
    <x v="0"/>
    <n v="5100"/>
    <n v="2950.06"/>
    <n v="2996.5"/>
    <n v="2973.28"/>
    <n v="2973.28"/>
    <n v="2973.28"/>
    <n v="2973.28"/>
    <n v="-13051.08"/>
    <n v="855.12"/>
    <n v="853.32"/>
    <n v="1695.16"/>
    <n v="855.12"/>
    <n v="1033.3699999999999"/>
    <n v="10080.690000000002"/>
    <n v="-178.24999999999989"/>
  </r>
  <r>
    <x v="12"/>
    <x v="1"/>
    <x v="0"/>
    <s v="5913200"/>
    <n v="730040"/>
    <s v="LT Lease-Real Estate"/>
    <s v="FMG-Pulmonary Consultants"/>
    <x v="0"/>
    <m/>
    <n v="0"/>
    <n v="0"/>
    <n v="0"/>
    <n v="0"/>
    <n v="0"/>
    <n v="0"/>
    <n v="0"/>
    <n v="0"/>
    <n v="0"/>
    <n v="0"/>
    <n v="0"/>
    <n v="44626.78"/>
    <n v="44626.78"/>
    <n v="-44626.78"/>
  </r>
  <r>
    <x v="15"/>
    <x v="1"/>
    <x v="0"/>
    <s v="5913200"/>
    <n v="731050"/>
    <s v="Refuse Disposal"/>
    <s v="FMG-Pulmonary Consultants"/>
    <x v="0"/>
    <m/>
    <n v="0"/>
    <n v="0"/>
    <n v="0"/>
    <n v="0"/>
    <n v="612.75"/>
    <n v="206.26"/>
    <n v="206.26"/>
    <n v="0"/>
    <n v="0"/>
    <n v="0"/>
    <n v="0"/>
    <n v="0"/>
    <n v="1025.27"/>
    <n v="0"/>
  </r>
  <r>
    <x v="15"/>
    <x v="1"/>
    <x v="0"/>
    <s v="5913200"/>
    <n v="731060"/>
    <s v="Pagers"/>
    <s v="FMG-Pulmonary Consultants"/>
    <x v="0"/>
    <n v="1002"/>
    <n v="142.53"/>
    <n v="142.53"/>
    <n v="0"/>
    <n v="0"/>
    <n v="0"/>
    <n v="0"/>
    <n v="0"/>
    <n v="140.83000000000001"/>
    <n v="0"/>
    <n v="0"/>
    <n v="0"/>
    <n v="444.66"/>
    <n v="870.55"/>
    <n v="-444.66"/>
  </r>
  <r>
    <x v="15"/>
    <x v="1"/>
    <x v="0"/>
    <s v="5913200"/>
    <n v="731070"/>
    <s v="Cable TV"/>
    <s v="FMG-Pulmonary Consultants"/>
    <x v="0"/>
    <m/>
    <n v="79.790000000000006"/>
    <n v="79.790000000000006"/>
    <n v="79.790000000000006"/>
    <n v="79.790000000000006"/>
    <n v="79.790000000000006"/>
    <n v="79.790000000000006"/>
    <n v="88.77"/>
    <n v="88.77"/>
    <n v="88.77"/>
    <n v="88.77"/>
    <n v="88.77"/>
    <n v="88.77"/>
    <n v="1011.36"/>
    <n v="0"/>
  </r>
  <r>
    <x v="16"/>
    <x v="1"/>
    <x v="0"/>
    <s v="5913200"/>
    <n v="732030"/>
    <s v="Repairs---Other"/>
    <s v="FMG-Pulmonary Consultants"/>
    <x v="0"/>
    <m/>
    <n v="0"/>
    <n v="0"/>
    <n v="0"/>
    <n v="0"/>
    <n v="0"/>
    <n v="0"/>
    <n v="715.65"/>
    <n v="26.4"/>
    <n v="0"/>
    <n v="0"/>
    <n v="101.27"/>
    <n v="6665.96"/>
    <n v="7509.28"/>
    <n v="-6564.69"/>
  </r>
  <r>
    <x v="16"/>
    <x v="1"/>
    <x v="0"/>
    <s v="5913200"/>
    <n v="732030"/>
    <s v="Repairs&amp;Maintenance-Bldg Routine"/>
    <s v="FMG-Pulmonary Consultants"/>
    <x v="0"/>
    <n v="2300"/>
    <n v="0"/>
    <n v="0"/>
    <n v="0"/>
    <n v="0"/>
    <n v="0"/>
    <n v="250"/>
    <n v="350"/>
    <n v="0"/>
    <n v="0"/>
    <n v="743.61"/>
    <n v="0"/>
    <n v="0"/>
    <n v="1343.6100000000001"/>
    <n v="0"/>
  </r>
  <r>
    <x v="16"/>
    <x v="1"/>
    <x v="0"/>
    <s v="5913200"/>
    <n v="733030"/>
    <s v="Maintenance Contracts-Other"/>
    <s v="FMG-Pulmonary Consultants"/>
    <x v="0"/>
    <m/>
    <n v="0"/>
    <n v="0"/>
    <n v="0"/>
    <n v="0"/>
    <n v="0"/>
    <n v="0"/>
    <n v="6535.05"/>
    <n v="0"/>
    <n v="0"/>
    <n v="0"/>
    <n v="0"/>
    <n v="0"/>
    <n v="6535.05"/>
    <n v="0"/>
  </r>
  <r>
    <x v="13"/>
    <x v="1"/>
    <x v="0"/>
    <s v="5913200"/>
    <n v="735050"/>
    <s v="Amortization-Leasehold Improvements"/>
    <s v="FMG-Pulmonary Consultants"/>
    <x v="0"/>
    <m/>
    <n v="3613.71"/>
    <n v="3613.71"/>
    <n v="3613.71"/>
    <n v="3613.71"/>
    <n v="3613.71"/>
    <n v="3613.71"/>
    <n v="2545.87"/>
    <n v="0"/>
    <n v="0"/>
    <n v="0"/>
    <n v="0"/>
    <n v="0"/>
    <n v="24228.129999999997"/>
    <n v="0"/>
  </r>
  <r>
    <x v="13"/>
    <x v="1"/>
    <x v="0"/>
    <s v="5913200"/>
    <n v="735070"/>
    <s v="Depreciation-Movable Equipment"/>
    <s v="FMG-Pulmonary Consultants"/>
    <x v="0"/>
    <m/>
    <n v="7258.22"/>
    <n v="7258.2"/>
    <n v="7258.21"/>
    <n v="6428.43"/>
    <n v="6428.48"/>
    <n v="6428.42"/>
    <n v="6428.48"/>
    <n v="6428.42"/>
    <n v="6428.5"/>
    <n v="6428.41"/>
    <n v="6428.5"/>
    <n v="6428.4"/>
    <n v="79630.67"/>
    <n v="0.1000000000003638"/>
  </r>
  <r>
    <x v="0"/>
    <x v="1"/>
    <x v="0"/>
    <s v="5913200"/>
    <n v="740020"/>
    <s v="Education-Registration Fees"/>
    <s v="FMG-Pulmonary Consultants"/>
    <x v="0"/>
    <m/>
    <n v="0"/>
    <n v="50"/>
    <n v="0"/>
    <n v="0"/>
    <n v="0"/>
    <n v="0"/>
    <n v="0"/>
    <n v="0"/>
    <n v="0"/>
    <n v="0"/>
    <n v="0"/>
    <n v="0"/>
    <n v="50"/>
    <n v="0"/>
  </r>
  <r>
    <x v="0"/>
    <x v="1"/>
    <x v="0"/>
    <s v="5913200"/>
    <n v="740023"/>
    <s v="Education-Advanced Practice Clinician"/>
    <s v="FMG-Pulmonary Consultants"/>
    <x v="0"/>
    <m/>
    <n v="0"/>
    <n v="0"/>
    <n v="0"/>
    <n v="0"/>
    <n v="0"/>
    <n v="0"/>
    <n v="0"/>
    <n v="0"/>
    <n v="0"/>
    <n v="0"/>
    <n v="0"/>
    <n v="2078.6"/>
    <n v="2078.6"/>
    <n v="-2078.6"/>
  </r>
  <r>
    <x v="0"/>
    <x v="1"/>
    <x v="0"/>
    <s v="5913200"/>
    <n v="743020"/>
    <s v="Provider-Dues"/>
    <s v="FMG-Pulmonary Consultants"/>
    <x v="0"/>
    <n v="2200"/>
    <n v="0"/>
    <n v="0"/>
    <n v="0"/>
    <n v="0"/>
    <n v="0"/>
    <n v="0"/>
    <n v="0"/>
    <n v="5350"/>
    <n v="0"/>
    <n v="5100"/>
    <n v="0"/>
    <n v="0"/>
    <n v="10450"/>
    <n v="0"/>
  </r>
  <r>
    <x v="0"/>
    <x v="1"/>
    <x v="0"/>
    <s v="5913200"/>
    <n v="743023"/>
    <s v="Dues-Advanced Practice Clinician"/>
    <s v="FMG-Pulmonary Consultants"/>
    <x v="0"/>
    <m/>
    <n v="0"/>
    <n v="0"/>
    <n v="0"/>
    <n v="0"/>
    <n v="0"/>
    <n v="50"/>
    <n v="0"/>
    <n v="0"/>
    <n v="0"/>
    <n v="0"/>
    <n v="0"/>
    <n v="0"/>
    <n v="50"/>
    <n v="0"/>
  </r>
  <r>
    <x v="0"/>
    <x v="1"/>
    <x v="0"/>
    <s v="5913200"/>
    <n v="743030"/>
    <s v="Subscriptions--Institutional"/>
    <s v="FMG-Pulmonary Consultants"/>
    <x v="0"/>
    <m/>
    <n v="0"/>
    <n v="0"/>
    <n v="0"/>
    <n v="0"/>
    <n v="92.7"/>
    <n v="234.02"/>
    <n v="98.22"/>
    <n v="0"/>
    <n v="0"/>
    <n v="0"/>
    <n v="0"/>
    <n v="0"/>
    <n v="424.94000000000005"/>
    <n v="0"/>
  </r>
  <r>
    <x v="0"/>
    <x v="1"/>
    <x v="0"/>
    <s v="5913200"/>
    <n v="743043"/>
    <s v="Subscriptions-Advanced Practice Clinician"/>
    <s v="FMG-Pulmonary Consultants"/>
    <x v="0"/>
    <m/>
    <n v="0"/>
    <n v="0"/>
    <n v="0"/>
    <n v="0"/>
    <n v="0"/>
    <n v="0"/>
    <n v="0"/>
    <n v="0"/>
    <n v="0"/>
    <n v="0"/>
    <n v="0"/>
    <n v="2866.47"/>
    <n v="2866.47"/>
    <n v="-2866.47"/>
  </r>
  <r>
    <x v="0"/>
    <x v="1"/>
    <x v="0"/>
    <s v="5913200"/>
    <n v="749510"/>
    <s v="Miscellaneous Expenses"/>
    <s v="FMG-Pulmonary Consultants"/>
    <x v="0"/>
    <m/>
    <n v="-4771.3900000000003"/>
    <n v="0"/>
    <n v="0"/>
    <n v="-1"/>
    <n v="389.91"/>
    <n v="-78.489999999999995"/>
    <n v="685.5"/>
    <n v="-131.5"/>
    <n v="47.18"/>
    <n v="8148.82"/>
    <n v="56.86"/>
    <n v="1804.89"/>
    <n v="6150.7799999999988"/>
    <n v="-1748.0300000000002"/>
  </r>
  <r>
    <x v="0"/>
    <x v="1"/>
    <x v="0"/>
    <s v="5913200"/>
    <n v="749510"/>
    <s v="Licenses"/>
    <s v="FMG-Pulmonary Consultants"/>
    <x v="0"/>
    <n v="1002"/>
    <n v="0"/>
    <n v="0"/>
    <n v="795"/>
    <n v="0"/>
    <n v="0"/>
    <n v="354"/>
    <n v="77.5"/>
    <n v="0"/>
    <n v="0"/>
    <n v="0"/>
    <n v="0"/>
    <n v="0"/>
    <n v="1226.5"/>
    <n v="0"/>
  </r>
  <r>
    <x v="0"/>
    <x v="1"/>
    <x v="0"/>
    <s v="5913200"/>
    <n v="749510"/>
    <s v="RICE Rewards"/>
    <s v="FMG-Pulmonary Consultants"/>
    <x v="0"/>
    <n v="5100"/>
    <n v="0"/>
    <n v="0"/>
    <n v="0"/>
    <n v="0"/>
    <n v="0"/>
    <n v="0"/>
    <n v="0"/>
    <n v="0"/>
    <n v="0"/>
    <n v="385.35"/>
    <n v="0"/>
    <n v="0"/>
    <n v="385.35"/>
    <n v="0"/>
  </r>
  <r>
    <x v="0"/>
    <x v="1"/>
    <x v="0"/>
    <s v="5913200"/>
    <n v="749510"/>
    <s v="Other Clinic IT Costs"/>
    <s v="FMG-Pulmonary Consultants"/>
    <x v="0"/>
    <n v="5105"/>
    <n v="0"/>
    <n v="0"/>
    <n v="0"/>
    <n v="0"/>
    <n v="7058.74"/>
    <n v="6535.05"/>
    <n v="13969"/>
    <n v="6535.05"/>
    <n v="0"/>
    <n v="6691.3"/>
    <n v="0"/>
    <n v="0"/>
    <n v="40789.140000000007"/>
    <n v="0"/>
  </r>
  <r>
    <x v="0"/>
    <x v="1"/>
    <x v="0"/>
    <s v="5913200"/>
    <n v="749513"/>
    <s v="Licenses-Advanced Practice Clinician"/>
    <s v="FMG-Pulmonary Consultants"/>
    <x v="0"/>
    <n v="2000"/>
    <n v="0"/>
    <n v="0"/>
    <n v="0"/>
    <n v="0"/>
    <n v="0"/>
    <n v="245"/>
    <n v="731"/>
    <n v="0"/>
    <n v="0"/>
    <n v="0"/>
    <n v="0"/>
    <n v="0"/>
    <n v="976"/>
    <n v="0"/>
  </r>
  <r>
    <x v="0"/>
    <x v="1"/>
    <x v="0"/>
    <s v="5913200"/>
    <n v="749530"/>
    <s v="Travel"/>
    <s v="FMG-Pulmonary Consultants"/>
    <x v="0"/>
    <m/>
    <n v="0"/>
    <n v="6"/>
    <n v="41"/>
    <n v="6"/>
    <n v="0"/>
    <n v="0"/>
    <n v="0"/>
    <n v="5.5"/>
    <n v="0"/>
    <n v="12"/>
    <n v="96"/>
    <n v="66"/>
    <n v="232.5"/>
    <n v="30"/>
  </r>
  <r>
    <x v="0"/>
    <x v="1"/>
    <x v="0"/>
    <s v="5913200"/>
    <n v="749530"/>
    <s v="Mileage"/>
    <s v="FMG-Pulmonary Consultants"/>
    <x v="0"/>
    <n v="1001"/>
    <n v="0"/>
    <n v="15.81"/>
    <n v="238.2"/>
    <n v="98.11"/>
    <n v="87.78"/>
    <n v="209.29"/>
    <n v="0"/>
    <n v="157.76"/>
    <n v="0"/>
    <n v="264.48"/>
    <n v="324.22000000000003"/>
    <n v="281.88"/>
    <n v="1677.5299999999997"/>
    <n v="42.340000000000032"/>
  </r>
  <r>
    <x v="0"/>
    <x v="1"/>
    <x v="0"/>
    <s v="5913200"/>
    <n v="749550"/>
    <s v="Cash Over/Short"/>
    <s v="FMG-Pulmonary Consultants"/>
    <x v="0"/>
    <m/>
    <n v="0"/>
    <n v="0"/>
    <n v="10"/>
    <n v="0"/>
    <n v="0"/>
    <n v="0"/>
    <n v="0"/>
    <n v="0"/>
    <n v="-15"/>
    <n v="0"/>
    <n v="0"/>
    <n v="0"/>
    <n v="-5"/>
    <n v="0"/>
  </r>
  <r>
    <x v="0"/>
    <x v="1"/>
    <x v="0"/>
    <s v="5913200"/>
    <n v="766010"/>
    <s v="Property Tax"/>
    <s v="FMG-Pulmonary Consultants"/>
    <x v="0"/>
    <m/>
    <n v="261.42"/>
    <n v="261.42"/>
    <n v="261.42"/>
    <n v="261.42"/>
    <n v="261.42"/>
    <n v="261.42"/>
    <n v="261.42"/>
    <n v="261.42"/>
    <n v="261.42"/>
    <n v="-137.07"/>
    <n v="161.80000000000001"/>
    <n v="161.80000000000001"/>
    <n v="2539.3100000000004"/>
    <n v="0"/>
  </r>
  <r>
    <x v="9"/>
    <x v="1"/>
    <x v="0"/>
    <s v="5913200"/>
    <n v="800015"/>
    <s v="Interest Income-Ext to CHI"/>
    <s v="FMG-Pulmonary Consultants"/>
    <x v="0"/>
    <m/>
    <n v="-92.45"/>
    <n v="-87.58"/>
    <n v="-80.05"/>
    <n v="-77.849999999999994"/>
    <n v="-70.63"/>
    <n v="-68.12"/>
    <n v="-63.25"/>
    <n v="-52.73"/>
    <n v="-53.52"/>
    <n v="-47.08"/>
    <n v="-43.79"/>
    <n v="-37.67"/>
    <n v="-774.71999999999991"/>
    <n v="-6.1199999999999974"/>
  </r>
  <r>
    <x v="14"/>
    <x v="1"/>
    <x v="0"/>
    <s v="5914200"/>
    <n v="600026"/>
    <s v="POB Rental"/>
    <s v="West Sound Orthopedics"/>
    <x v="0"/>
    <n v="1001"/>
    <n v="-988.33"/>
    <n v="-988.33"/>
    <n v="-988.33"/>
    <n v="-988.33"/>
    <n v="-988.33"/>
    <n v="-988.33"/>
    <n v="-988.33"/>
    <n v="-988.33"/>
    <n v="-988.33"/>
    <n v="-988.33"/>
    <n v="-933.33"/>
    <n v="-933.33"/>
    <n v="-11749.960000000001"/>
    <n v="0"/>
  </r>
  <r>
    <x v="14"/>
    <x v="1"/>
    <x v="0"/>
    <s v="5914200"/>
    <n v="600026"/>
    <s v="Other Rental"/>
    <s v="West Sound Orthopedics"/>
    <x v="0"/>
    <n v="1002"/>
    <n v="0"/>
    <n v="0"/>
    <n v="0"/>
    <n v="0"/>
    <n v="0"/>
    <n v="0"/>
    <n v="0"/>
    <n v="0"/>
    <n v="0"/>
    <n v="0"/>
    <n v="-55"/>
    <n v="-55"/>
    <n v="-110"/>
    <n v="0"/>
  </r>
  <r>
    <x v="14"/>
    <x v="1"/>
    <x v="0"/>
    <s v="5914200"/>
    <n v="600050"/>
    <s v="Miscellaneous Revenue"/>
    <s v="West Sound Orthopedics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4200"/>
    <n v="700014"/>
    <s v="Salaries-Management-Productive"/>
    <s v="West Sound Orthopedics"/>
    <x v="0"/>
    <m/>
    <n v="8148.8"/>
    <n v="8519.2000000000007"/>
    <n v="6111.6"/>
    <n v="4797.3900000000003"/>
    <n v="10274.049999999999"/>
    <n v="-3833.6"/>
    <n v="0"/>
    <n v="0"/>
    <n v="0"/>
    <n v="6609.66"/>
    <n v="5816.52"/>
    <n v="3965.8"/>
    <n v="50409.42"/>
    <n v="1850.7200000000003"/>
  </r>
  <r>
    <x v="5"/>
    <x v="1"/>
    <x v="0"/>
    <s v="5914200"/>
    <n v="700018"/>
    <s v="Salaries-Supervisory-Productive"/>
    <s v="West Sound Orthopedics"/>
    <x v="0"/>
    <m/>
    <n v="4132.6499999999996"/>
    <n v="4320.51"/>
    <n v="3861.32"/>
    <n v="4779.04"/>
    <n v="4820.6400000000003"/>
    <n v="3637.39"/>
    <n v="5135.13"/>
    <n v="4388.84"/>
    <n v="3072.2"/>
    <n v="-1097.21"/>
    <n v="0"/>
    <n v="0"/>
    <n v="37050.51"/>
    <n v="0"/>
  </r>
  <r>
    <x v="5"/>
    <x v="1"/>
    <x v="0"/>
    <s v="5914200"/>
    <n v="700018"/>
    <s v="Salaries-Supervisory-Other"/>
    <s v="West Sound Orthopedics"/>
    <x v="0"/>
    <n v="2000"/>
    <n v="0"/>
    <n v="0"/>
    <n v="0"/>
    <n v="0"/>
    <n v="0"/>
    <n v="615"/>
    <n v="345.52"/>
    <n v="300.44"/>
    <n v="315.47000000000003"/>
    <n v="-75.11"/>
    <n v="0"/>
    <n v="0"/>
    <n v="1501.3200000000002"/>
    <n v="0"/>
  </r>
  <r>
    <x v="5"/>
    <x v="1"/>
    <x v="0"/>
    <s v="5914200"/>
    <n v="700032"/>
    <s v="Salaries-Other Pat Care Providers-Productive"/>
    <s v="West Sound Orthopedics"/>
    <x v="0"/>
    <m/>
    <n v="5808.56"/>
    <n v="3844.94"/>
    <n v="3557.6"/>
    <n v="3392.86"/>
    <n v="7350.44"/>
    <n v="2237.23"/>
    <n v="1369.77"/>
    <n v="-305.22000000000003"/>
    <n v="0"/>
    <n v="0"/>
    <n v="0"/>
    <n v="0"/>
    <n v="27256.179999999997"/>
    <n v="0"/>
  </r>
  <r>
    <x v="5"/>
    <x v="1"/>
    <x v="0"/>
    <s v="5914200"/>
    <n v="700032"/>
    <s v="Salaries-Other Pat Care Providers-OT"/>
    <s v="West Sound Orthopedics"/>
    <x v="0"/>
    <n v="1000"/>
    <n v="28.58"/>
    <n v="368.84"/>
    <n v="174.49"/>
    <n v="203.57"/>
    <n v="994.57"/>
    <n v="-89.44"/>
    <n v="0"/>
    <n v="0"/>
    <n v="0"/>
    <n v="0"/>
    <n v="0"/>
    <n v="0"/>
    <n v="1680.6100000000001"/>
    <n v="0"/>
  </r>
  <r>
    <x v="5"/>
    <x v="1"/>
    <x v="0"/>
    <s v="5914200"/>
    <n v="700032"/>
    <s v="Salaries-Other Pat Care Providers-Other"/>
    <s v="West Sound Orthopedics"/>
    <x v="0"/>
    <n v="2000"/>
    <n v="0"/>
    <n v="9.75"/>
    <n v="0"/>
    <n v="0"/>
    <n v="37.25"/>
    <n v="0"/>
    <n v="0"/>
    <n v="0"/>
    <n v="0"/>
    <n v="0"/>
    <n v="0"/>
    <n v="0"/>
    <n v="47"/>
    <n v="0"/>
  </r>
  <r>
    <x v="5"/>
    <x v="1"/>
    <x v="0"/>
    <s v="5914200"/>
    <n v="700034"/>
    <s v="Salaries-Tech/Professional-Productive"/>
    <s v="West Sound Orthopedics"/>
    <x v="0"/>
    <m/>
    <n v="4685.1400000000003"/>
    <n v="5092.82"/>
    <n v="3782.19"/>
    <n v="5741.55"/>
    <n v="5718.56"/>
    <n v="3160.86"/>
    <n v="4571.96"/>
    <n v="5188.92"/>
    <n v="5137.7700000000004"/>
    <n v="5698.87"/>
    <n v="4822.51"/>
    <n v="4794.4799999999996"/>
    <n v="58395.630000000005"/>
    <n v="28.030000000000655"/>
  </r>
  <r>
    <x v="5"/>
    <x v="1"/>
    <x v="0"/>
    <s v="5914200"/>
    <n v="700034"/>
    <s v="Salaries-Tech/Professional-OT"/>
    <s v="West Sound Orthopedics"/>
    <x v="0"/>
    <n v="1000"/>
    <n v="131.38"/>
    <n v="394.56"/>
    <n v="119.31"/>
    <n v="278.91000000000003"/>
    <n v="29.67"/>
    <n v="0"/>
    <n v="155.94999999999999"/>
    <n v="-14.86"/>
    <n v="44.56"/>
    <n v="527.65"/>
    <n v="921.84"/>
    <n v="581.92999999999995"/>
    <n v="3170.9"/>
    <n v="339.91000000000008"/>
  </r>
  <r>
    <x v="5"/>
    <x v="1"/>
    <x v="0"/>
    <s v="5914200"/>
    <n v="700034"/>
    <s v="Salaries-Tech/Professional-Other"/>
    <s v="West Sound Orthopedics"/>
    <x v="0"/>
    <n v="2000"/>
    <n v="0"/>
    <n v="6.75"/>
    <n v="-2.25"/>
    <n v="0"/>
    <n v="0"/>
    <n v="0"/>
    <n v="0"/>
    <n v="6.3"/>
    <n v="4.21"/>
    <n v="4.8"/>
    <n v="18.5"/>
    <n v="4.74"/>
    <n v="43.050000000000004"/>
    <n v="13.76"/>
  </r>
  <r>
    <x v="5"/>
    <x v="1"/>
    <x v="0"/>
    <s v="5914200"/>
    <n v="700038"/>
    <s v="Salaries-Service/Support-Productive"/>
    <s v="West Sound Orthopedics"/>
    <x v="0"/>
    <m/>
    <n v="47435.53"/>
    <n v="54752.959999999999"/>
    <n v="45072.13"/>
    <n v="52124.94"/>
    <n v="48053.62"/>
    <n v="37541.17"/>
    <n v="56823.42"/>
    <n v="48795"/>
    <n v="59546.67"/>
    <n v="58375.8"/>
    <n v="61950.26"/>
    <n v="55545.49"/>
    <n v="626016.98999999987"/>
    <n v="6404.7700000000041"/>
  </r>
  <r>
    <x v="5"/>
    <x v="1"/>
    <x v="0"/>
    <s v="5914200"/>
    <n v="700038"/>
    <s v="Salaries-Service/Support-OT"/>
    <s v="West Sound Orthopedics"/>
    <x v="0"/>
    <n v="1000"/>
    <n v="2650.89"/>
    <n v="2913.33"/>
    <n v="2338.35"/>
    <n v="3200.4"/>
    <n v="3470.31"/>
    <n v="682.57"/>
    <n v="3897.02"/>
    <n v="832.79"/>
    <n v="4467.9799999999996"/>
    <n v="1156.71"/>
    <n v="569.4"/>
    <n v="1063.05"/>
    <n v="27242.799999999999"/>
    <n v="-493.65"/>
  </r>
  <r>
    <x v="5"/>
    <x v="1"/>
    <x v="0"/>
    <s v="5914200"/>
    <n v="700038"/>
    <s v="Salaries-Service/Support-Other"/>
    <s v="West Sound Orthopedics"/>
    <x v="0"/>
    <n v="2000"/>
    <n v="25.8"/>
    <n v="89.45"/>
    <n v="15.12"/>
    <n v="31.03"/>
    <n v="32.1"/>
    <n v="44.37"/>
    <n v="57.25"/>
    <n v="96.74"/>
    <n v="53.65"/>
    <n v="25.89"/>
    <n v="19.68"/>
    <n v="46.08"/>
    <n v="537.16"/>
    <n v="-26.4"/>
  </r>
  <r>
    <x v="5"/>
    <x v="1"/>
    <x v="0"/>
    <s v="5914200"/>
    <n v="700054"/>
    <s v="Salaries-Management-Non-productive"/>
    <s v="West Sound Orthopedics"/>
    <x v="0"/>
    <m/>
    <n v="0"/>
    <n v="0"/>
    <n v="1296.4000000000001"/>
    <n v="3955.08"/>
    <n v="-1840.12"/>
    <n v="0"/>
    <n v="0"/>
    <n v="0"/>
    <n v="0"/>
    <n v="528.78"/>
    <n v="264.39"/>
    <n v="1321.94"/>
    <n v="5526.4699999999993"/>
    <n v="-1057.5500000000002"/>
  </r>
  <r>
    <x v="5"/>
    <x v="1"/>
    <x v="0"/>
    <s v="5914200"/>
    <n v="700054"/>
    <s v="Salaries-Management-NonProd-Other"/>
    <s v="West Sound Orthopedics"/>
    <x v="0"/>
    <n v="2000"/>
    <n v="0"/>
    <n v="0"/>
    <n v="0"/>
    <n v="0"/>
    <n v="0"/>
    <n v="208"/>
    <n v="-208"/>
    <n v="0"/>
    <n v="0"/>
    <n v="0"/>
    <n v="0"/>
    <n v="0"/>
    <n v="0"/>
    <n v="0"/>
  </r>
  <r>
    <x v="5"/>
    <x v="1"/>
    <x v="0"/>
    <s v="5914200"/>
    <n v="700058"/>
    <s v="Salaries-Supervisory-Non-productive"/>
    <s v="West Sound Orthopedics"/>
    <x v="0"/>
    <m/>
    <n v="459.18"/>
    <n v="480.06"/>
    <n v="313.08"/>
    <n v="208.72"/>
    <n v="0"/>
    <n v="964.12"/>
    <n v="-87.64"/>
    <n v="0"/>
    <n v="1536.09"/>
    <n v="0"/>
    <n v="0"/>
    <n v="0"/>
    <n v="3873.6099999999997"/>
    <n v="0"/>
  </r>
  <r>
    <x v="5"/>
    <x v="1"/>
    <x v="0"/>
    <s v="5914200"/>
    <n v="700064"/>
    <s v="Salaries-Advanced Practice Clinician-Non-Productive"/>
    <s v="West Sound Orthopedics"/>
    <x v="0"/>
    <m/>
    <n v="114.85"/>
    <n v="114.34"/>
    <n v="113.52"/>
    <n v="113.32"/>
    <n v="112.53"/>
    <n v="112.3"/>
    <n v="111.79"/>
    <n v="110.59"/>
    <n v="110.77"/>
    <n v="110.07"/>
    <n v="109.76"/>
    <n v="109.08"/>
    <n v="1342.9199999999998"/>
    <n v="0.68000000000000682"/>
  </r>
  <r>
    <x v="5"/>
    <x v="1"/>
    <x v="0"/>
    <s v="5914200"/>
    <n v="700072"/>
    <s v="Salaries-Other Pat Care Providers-Non-productive"/>
    <s v="West Sound Orthopedics"/>
    <x v="0"/>
    <m/>
    <n v="963.3"/>
    <n v="1447.6"/>
    <n v="620.4"/>
    <n v="1371.38"/>
    <n v="-185.5"/>
    <n v="636"/>
    <n v="0"/>
    <n v="0"/>
    <n v="0"/>
    <n v="0"/>
    <n v="0"/>
    <n v="0"/>
    <n v="4853.18"/>
    <n v="0"/>
  </r>
  <r>
    <x v="5"/>
    <x v="1"/>
    <x v="0"/>
    <s v="5914200"/>
    <n v="700072"/>
    <s v="Salaries-Other Pat Care Providers-NonProd-Other"/>
    <s v="West Sound Orthopedic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4200"/>
    <n v="700074"/>
    <s v="Salaries-Tech/Professional-Non-productive"/>
    <s v="West Sound Orthopedics"/>
    <x v="0"/>
    <m/>
    <n v="632.22"/>
    <n v="840.84"/>
    <n v="1305.8499999999999"/>
    <n v="0"/>
    <n v="0"/>
    <n v="1872.12"/>
    <n v="1528.32"/>
    <n v="-316.87"/>
    <n v="519.87"/>
    <n v="-173.29"/>
    <n v="1163.54"/>
    <n v="222.79"/>
    <n v="7595.3899999999994"/>
    <n v="940.75"/>
  </r>
  <r>
    <x v="5"/>
    <x v="1"/>
    <x v="0"/>
    <s v="5914200"/>
    <n v="700074"/>
    <s v="Salaries-Tech/Professional-NonProd-Other"/>
    <s v="West Sound Orthopedic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4200"/>
    <n v="700078"/>
    <s v="Salaries-Service/Support-Non-productive"/>
    <s v="West Sound Orthopedics"/>
    <x v="0"/>
    <m/>
    <n v="7888.06"/>
    <n v="4592.21"/>
    <n v="6957.26"/>
    <n v="8886.1200000000008"/>
    <n v="4797.45"/>
    <n v="10212.200000000001"/>
    <n v="6284.55"/>
    <n v="5970.24"/>
    <n v="4502.3"/>
    <n v="4802.3599999999997"/>
    <n v="3163.64"/>
    <n v="7061.99"/>
    <n v="75118.380000000019"/>
    <n v="-3898.35"/>
  </r>
  <r>
    <x v="5"/>
    <x v="1"/>
    <x v="0"/>
    <s v="5914200"/>
    <n v="700078"/>
    <s v="Salaries-Service/Support-NonProd-Other"/>
    <s v="West Sound Orthopedic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4200"/>
    <n v="700084"/>
    <s v="Accrued PTO"/>
    <s v="West Sound Orthopedics"/>
    <x v="0"/>
    <m/>
    <n v="155.49"/>
    <n v="1985.74"/>
    <n v="-177.94"/>
    <n v="833.4"/>
    <n v="3235.82"/>
    <n v="-5933.46"/>
    <n v="1325.32"/>
    <n v="2410.92"/>
    <n v="4301"/>
    <n v="3708.92"/>
    <n v="3726.09"/>
    <n v="2095.2800000000002"/>
    <n v="17666.579999999998"/>
    <n v="1630.81"/>
  </r>
  <r>
    <x v="6"/>
    <x v="1"/>
    <x v="0"/>
    <s v="5914200"/>
    <n v="713010"/>
    <s v="Benefits-FICA/Medicare"/>
    <s v="West Sound Orthopedics"/>
    <x v="0"/>
    <m/>
    <n v="6182.39"/>
    <n v="6887.8"/>
    <n v="5606.2"/>
    <n v="6597.19"/>
    <n v="6799.52"/>
    <n v="4359.6099999999997"/>
    <n v="5945.65"/>
    <n v="4800.17"/>
    <n v="5888.37"/>
    <n v="5706.76"/>
    <n v="5804.64"/>
    <n v="5517.43"/>
    <n v="70095.73000000001"/>
    <n v="287.21000000000004"/>
  </r>
  <r>
    <x v="6"/>
    <x v="1"/>
    <x v="0"/>
    <s v="5914200"/>
    <n v="713090"/>
    <s v="Benefits-Allocated Amounts"/>
    <s v="West Sound Orthopedics"/>
    <x v="0"/>
    <m/>
    <n v="21702.28"/>
    <n v="20510.11"/>
    <n v="21574.67"/>
    <n v="22266.77"/>
    <n v="21420.02"/>
    <n v="16686.39"/>
    <n v="23817.78"/>
    <n v="21657.98"/>
    <n v="22973.16"/>
    <n v="22350.98"/>
    <n v="21910.17"/>
    <n v="23462.69"/>
    <n v="260333.00000000006"/>
    <n v="-1552.5200000000004"/>
  </r>
  <r>
    <x v="6"/>
    <x v="1"/>
    <x v="0"/>
    <s v="5914200"/>
    <n v="713096"/>
    <s v="Employee Recognition"/>
    <s v="West Sound Orthopedics"/>
    <x v="0"/>
    <n v="1017"/>
    <n v="0"/>
    <n v="0"/>
    <n v="50.86"/>
    <n v="46.4"/>
    <n v="209.23"/>
    <n v="76.959999999999994"/>
    <n v="0"/>
    <n v="0"/>
    <n v="0"/>
    <n v="60.3"/>
    <n v="112.17"/>
    <n v="0"/>
    <n v="555.91999999999996"/>
    <n v="112.17"/>
  </r>
  <r>
    <x v="7"/>
    <x v="1"/>
    <x v="0"/>
    <s v="5914200"/>
    <n v="718050"/>
    <s v="Contract Svcs-Other"/>
    <s v="West Sound Orthopedics"/>
    <x v="0"/>
    <m/>
    <n v="22586.33"/>
    <n v="22869.46"/>
    <n v="18236.93"/>
    <n v="19735.16"/>
    <n v="0"/>
    <n v="0"/>
    <n v="0"/>
    <n v="0"/>
    <n v="0"/>
    <n v="0"/>
    <n v="297.54000000000002"/>
    <n v="40"/>
    <n v="83765.42"/>
    <n v="257.54000000000002"/>
  </r>
  <r>
    <x v="7"/>
    <x v="1"/>
    <x v="0"/>
    <s v="5914200"/>
    <n v="718050"/>
    <s v="Cleaning Services"/>
    <s v="West Sound Orthopedics"/>
    <x v="0"/>
    <n v="1011"/>
    <n v="0"/>
    <n v="0"/>
    <n v="0"/>
    <n v="0"/>
    <n v="4056.83"/>
    <n v="0"/>
    <n v="0"/>
    <n v="0"/>
    <n v="0"/>
    <n v="0"/>
    <n v="0"/>
    <n v="0"/>
    <n v="4056.83"/>
    <n v="0"/>
  </r>
  <r>
    <x v="7"/>
    <x v="1"/>
    <x v="0"/>
    <s v="5914200"/>
    <n v="718050"/>
    <s v="Radiology"/>
    <s v="West Sound Orthopedics"/>
    <x v="0"/>
    <n v="1017"/>
    <n v="2757.27"/>
    <n v="1793.07"/>
    <n v="1793.07"/>
    <n v="1793.07"/>
    <n v="0"/>
    <n v="0"/>
    <n v="0"/>
    <n v="0"/>
    <n v="0"/>
    <n v="0"/>
    <n v="0"/>
    <n v="0"/>
    <n v="8136.48"/>
    <n v="0"/>
  </r>
  <r>
    <x v="7"/>
    <x v="1"/>
    <x v="0"/>
    <s v="5914200"/>
    <n v="718050"/>
    <s v="Miscellaneous Purchased Svcs"/>
    <s v="West Sound Orthopedics"/>
    <x v="0"/>
    <n v="1020"/>
    <n v="0"/>
    <n v="0"/>
    <n v="0"/>
    <n v="0"/>
    <n v="0"/>
    <n v="38277.22"/>
    <n v="7286.34"/>
    <n v="20209.78"/>
    <n v="33447.949999999997"/>
    <n v="10409.1"/>
    <n v="13377.27"/>
    <n v="15319.51"/>
    <n v="138327.17000000001"/>
    <n v="-1942.2399999999998"/>
  </r>
  <r>
    <x v="11"/>
    <x v="1"/>
    <x v="0"/>
    <s v="5914200"/>
    <n v="721250"/>
    <s v="Supplies-Pharmacy Drugs - Billable"/>
    <s v="West Sound Orthopedics"/>
    <x v="0"/>
    <m/>
    <n v="0"/>
    <n v="0"/>
    <n v="0"/>
    <n v="0"/>
    <n v="0"/>
    <n v="0"/>
    <n v="0"/>
    <n v="0"/>
    <n v="0"/>
    <n v="0"/>
    <n v="-2292.33"/>
    <n v="0"/>
    <n v="-2292.33"/>
    <n v="-2292.33"/>
  </r>
  <r>
    <x v="11"/>
    <x v="1"/>
    <x v="0"/>
    <s v="5914200"/>
    <n v="721410"/>
    <s v="Supplies-Medical - Nonbillable"/>
    <s v="West Sound Orthopedics"/>
    <x v="0"/>
    <m/>
    <n v="4393.25"/>
    <n v="281.75"/>
    <n v="70.849999999999994"/>
    <n v="2993.33"/>
    <n v="0"/>
    <n v="0"/>
    <n v="5.76"/>
    <n v="0.28999999999999998"/>
    <n v="5.76"/>
    <n v="148.63999999999999"/>
    <n v="1041.8"/>
    <n v="228"/>
    <n v="9169.43"/>
    <n v="813.8"/>
  </r>
  <r>
    <x v="11"/>
    <x v="1"/>
    <x v="0"/>
    <s v="5914200"/>
    <n v="721830"/>
    <s v="Supplies-Office"/>
    <s v="West Sound Orthopedics"/>
    <x v="0"/>
    <m/>
    <n v="1384.04"/>
    <n v="1486.45"/>
    <n v="1712.46"/>
    <n v="1065.7"/>
    <n v="3764.88"/>
    <n v="1202.56"/>
    <n v="1491.6"/>
    <n v="1573.88"/>
    <n v="2999.62"/>
    <n v="1130.6300000000001"/>
    <n v="1660.17"/>
    <n v="288.24"/>
    <n v="19760.23"/>
    <n v="1371.93"/>
  </r>
  <r>
    <x v="11"/>
    <x v="1"/>
    <x v="0"/>
    <s v="5914200"/>
    <n v="721835"/>
    <s v="Supplies-Forms"/>
    <s v="West Sound Orthopedics"/>
    <x v="0"/>
    <m/>
    <n v="0"/>
    <n v="0"/>
    <n v="0"/>
    <n v="0"/>
    <n v="0"/>
    <n v="348.1"/>
    <n v="0"/>
    <n v="0"/>
    <n v="0"/>
    <n v="0"/>
    <n v="1074.3499999999999"/>
    <n v="0"/>
    <n v="1422.4499999999998"/>
    <n v="1074.3499999999999"/>
  </r>
  <r>
    <x v="11"/>
    <x v="1"/>
    <x v="0"/>
    <s v="5914200"/>
    <n v="721910"/>
    <s v="Supplies-Small Equipment"/>
    <s v="West Sound Orthopedics"/>
    <x v="0"/>
    <m/>
    <n v="0"/>
    <n v="0"/>
    <n v="0"/>
    <n v="0"/>
    <n v="0"/>
    <n v="0"/>
    <n v="0"/>
    <n v="0"/>
    <n v="0"/>
    <n v="1295.9000000000001"/>
    <n v="0"/>
    <n v="0"/>
    <n v="1295.9000000000001"/>
    <n v="0"/>
  </r>
  <r>
    <x v="11"/>
    <x v="1"/>
    <x v="0"/>
    <s v="5914200"/>
    <n v="722000"/>
    <s v="Supplies-Freight Expense"/>
    <s v="West Sound Orthopedics"/>
    <x v="0"/>
    <m/>
    <n v="0"/>
    <n v="32.94"/>
    <n v="0"/>
    <n v="84.95"/>
    <n v="0"/>
    <n v="0"/>
    <n v="0"/>
    <n v="0"/>
    <n v="0"/>
    <n v="0"/>
    <n v="0"/>
    <n v="12.92"/>
    <n v="130.81"/>
    <n v="-12.92"/>
  </r>
  <r>
    <x v="12"/>
    <x v="1"/>
    <x v="0"/>
    <s v="5914200"/>
    <n v="730010"/>
    <s v="Rental and Leases-Building (DO NOT USE)"/>
    <s v="West Sound Orthopedics"/>
    <x v="0"/>
    <m/>
    <n v="48843.73"/>
    <n v="48843.73"/>
    <n v="48843.73"/>
    <n v="48843.73"/>
    <n v="48843.73"/>
    <n v="12094.15"/>
    <n v="42718.8"/>
    <n v="42718.8"/>
    <n v="42718.8"/>
    <n v="42718.8"/>
    <n v="42718.8"/>
    <n v="1137.48"/>
    <n v="471044.27999999997"/>
    <n v="41581.32"/>
  </r>
  <r>
    <x v="12"/>
    <x v="1"/>
    <x v="0"/>
    <s v="5914200"/>
    <n v="730010"/>
    <s v="Rental-Common Area Maint (DO NOT USE)"/>
    <s v="West Sound Orthopedics"/>
    <x v="0"/>
    <n v="2200"/>
    <n v="0"/>
    <n v="0"/>
    <n v="0"/>
    <n v="0"/>
    <n v="0"/>
    <n v="36749.58"/>
    <n v="9019.07"/>
    <n v="7572"/>
    <n v="9032.2099999999991"/>
    <n v="7748.58"/>
    <n v="7572"/>
    <n v="0"/>
    <n v="77693.440000000002"/>
    <n v="7572"/>
  </r>
  <r>
    <x v="12"/>
    <x v="1"/>
    <x v="0"/>
    <s v="5914200"/>
    <n v="730020"/>
    <s v="Rental and Leases-Equipment (DO NOT USE)"/>
    <s v="West Sound Orthopedics"/>
    <x v="0"/>
    <m/>
    <n v="261.58999999999997"/>
    <n v="0"/>
    <n v="0"/>
    <n v="0"/>
    <n v="0"/>
    <n v="0"/>
    <n v="0"/>
    <n v="0"/>
    <n v="0"/>
    <n v="0"/>
    <n v="0"/>
    <n v="0"/>
    <n v="261.58999999999997"/>
    <n v="0"/>
  </r>
  <r>
    <x v="12"/>
    <x v="1"/>
    <x v="0"/>
    <s v="5914200"/>
    <n v="730020"/>
    <s v="Rental and Leases-Copier Usage Fees (DO NOT USE)"/>
    <s v="West Sound Orthopedics"/>
    <x v="0"/>
    <n v="5100"/>
    <n v="568.69000000000005"/>
    <n v="603.59"/>
    <n v="586.14"/>
    <n v="586.14"/>
    <n v="586.14"/>
    <n v="586.14"/>
    <n v="4416.57"/>
    <n v="517.05999999999995"/>
    <n v="804.49"/>
    <n v="1177.45"/>
    <n v="783.52"/>
    <n v="863.34"/>
    <n v="12079.27"/>
    <n v="-79.82000000000005"/>
  </r>
  <r>
    <x v="12"/>
    <x v="1"/>
    <x v="0"/>
    <s v="5914200"/>
    <n v="730040"/>
    <s v="LT Lease-Real Estate"/>
    <s v="West Sound Orthopedics"/>
    <x v="0"/>
    <m/>
    <n v="0"/>
    <n v="0"/>
    <n v="0"/>
    <n v="0"/>
    <n v="0"/>
    <n v="0"/>
    <n v="0"/>
    <n v="0"/>
    <n v="0"/>
    <n v="0"/>
    <n v="0"/>
    <n v="49984.95"/>
    <n v="49984.95"/>
    <n v="-49984.95"/>
  </r>
  <r>
    <x v="15"/>
    <x v="1"/>
    <x v="0"/>
    <s v="5914200"/>
    <n v="731060"/>
    <s v="Telephone"/>
    <s v="West Sound Orthopedics"/>
    <x v="0"/>
    <m/>
    <n v="2724.66"/>
    <n v="10480.66"/>
    <n v="1509.24"/>
    <n v="3253.74"/>
    <n v="3743.21"/>
    <n v="1603.91"/>
    <n v="2704.47"/>
    <n v="4053.98"/>
    <n v="3042.8"/>
    <n v="3455.14"/>
    <n v="3449.33"/>
    <n v="3892.05"/>
    <n v="43913.19"/>
    <n v="-442.72000000000025"/>
  </r>
  <r>
    <x v="16"/>
    <x v="1"/>
    <x v="0"/>
    <s v="5914200"/>
    <n v="732030"/>
    <s v="Repairs---Other"/>
    <s v="West Sound Orthopedics"/>
    <x v="0"/>
    <m/>
    <n v="3865.21"/>
    <n v="1520.55"/>
    <n v="1394.5"/>
    <n v="8928.2000000000007"/>
    <n v="1042.96"/>
    <n v="2919.86"/>
    <n v="490.5"/>
    <n v="0"/>
    <n v="264.56"/>
    <n v="0"/>
    <n v="0"/>
    <n v="0"/>
    <n v="20426.340000000004"/>
    <n v="0"/>
  </r>
  <r>
    <x v="16"/>
    <x v="1"/>
    <x v="0"/>
    <s v="5914200"/>
    <n v="732030"/>
    <s v="Repairs&amp;Maintenance-Bldg Routine"/>
    <s v="West Sound Orthopedics"/>
    <x v="0"/>
    <n v="2300"/>
    <n v="0"/>
    <n v="0"/>
    <n v="0"/>
    <n v="0"/>
    <n v="0"/>
    <n v="0"/>
    <n v="330"/>
    <n v="0"/>
    <n v="529.74"/>
    <n v="176.58"/>
    <n v="176.58"/>
    <n v="176.58"/>
    <n v="1389.4799999999998"/>
    <n v="0"/>
  </r>
  <r>
    <x v="16"/>
    <x v="1"/>
    <x v="0"/>
    <s v="5914200"/>
    <n v="733030"/>
    <s v="Maintenance Contracts-Other"/>
    <s v="West Sound Orthopedics"/>
    <x v="0"/>
    <m/>
    <n v="0"/>
    <n v="645.04"/>
    <n v="53225.1"/>
    <n v="0"/>
    <n v="0"/>
    <n v="0"/>
    <n v="0"/>
    <n v="0"/>
    <n v="0"/>
    <n v="0"/>
    <n v="0"/>
    <n v="0"/>
    <n v="53870.14"/>
    <n v="0"/>
  </r>
  <r>
    <x v="16"/>
    <x v="1"/>
    <x v="0"/>
    <s v="5914200"/>
    <n v="733030"/>
    <s v="Maintenance Contract-Elevator"/>
    <s v="West Sound Orthopedics"/>
    <x v="0"/>
    <n v="5101"/>
    <n v="996.29"/>
    <n v="0"/>
    <n v="0"/>
    <n v="0"/>
    <n v="0"/>
    <n v="0"/>
    <n v="0"/>
    <n v="0"/>
    <n v="0"/>
    <n v="0"/>
    <n v="0"/>
    <n v="0"/>
    <n v="996.29"/>
    <n v="0"/>
  </r>
  <r>
    <x v="16"/>
    <x v="1"/>
    <x v="0"/>
    <s v="5914200"/>
    <n v="733030"/>
    <s v="Maintenance Contract-HVAC"/>
    <s v="West Sound Orthopedics"/>
    <x v="0"/>
    <n v="5102"/>
    <n v="0"/>
    <n v="1770.16"/>
    <n v="0"/>
    <n v="0"/>
    <n v="0"/>
    <n v="0"/>
    <n v="0"/>
    <n v="0"/>
    <n v="0"/>
    <n v="0"/>
    <n v="0"/>
    <n v="0"/>
    <n v="1770.16"/>
    <n v="0"/>
  </r>
  <r>
    <x v="16"/>
    <x v="1"/>
    <x v="0"/>
    <s v="5914200"/>
    <n v="733030"/>
    <s v="Maintenance Contract-Landscape General"/>
    <s v="West Sound Orthopedics"/>
    <x v="0"/>
    <n v="5105"/>
    <n v="572.25"/>
    <n v="0"/>
    <n v="0"/>
    <n v="0"/>
    <n v="0"/>
    <n v="0"/>
    <n v="0"/>
    <n v="0"/>
    <n v="0"/>
    <n v="0"/>
    <n v="0"/>
    <n v="0"/>
    <n v="572.25"/>
    <n v="0"/>
  </r>
  <r>
    <x v="13"/>
    <x v="1"/>
    <x v="0"/>
    <s v="5914200"/>
    <n v="735040"/>
    <s v="Depreciation-Building Improvements"/>
    <s v="West Sound Orthopedics"/>
    <x v="0"/>
    <m/>
    <n v="146.87"/>
    <n v="146.87"/>
    <n v="146.87"/>
    <n v="146.86000000000001"/>
    <n v="146.87"/>
    <n v="146.86000000000001"/>
    <n v="146.87"/>
    <n v="146.86000000000001"/>
    <n v="146.87"/>
    <n v="146.86000000000001"/>
    <n v="146.87"/>
    <n v="146.86000000000001"/>
    <n v="1762.3900000000003"/>
    <n v="9.9999999999909051E-3"/>
  </r>
  <r>
    <x v="13"/>
    <x v="1"/>
    <x v="0"/>
    <s v="5914200"/>
    <n v="735070"/>
    <s v="Depreciation-Movable Equipment"/>
    <s v="West Sound Orthopedics"/>
    <x v="0"/>
    <m/>
    <n v="10799.51"/>
    <n v="10798.96"/>
    <n v="10800.51"/>
    <n v="10798.67"/>
    <n v="10801.88"/>
    <n v="10798.16"/>
    <n v="10802.38"/>
    <n v="10797.98"/>
    <n v="10803.49"/>
    <n v="10797.82"/>
    <n v="10803.86"/>
    <n v="10796.94"/>
    <n v="129600.16000000002"/>
    <n v="6.9200000000000728"/>
  </r>
  <r>
    <x v="0"/>
    <x v="1"/>
    <x v="0"/>
    <s v="5914200"/>
    <n v="742010"/>
    <s v="Postage-Regular"/>
    <s v="West Sound Orthopedics"/>
    <x v="0"/>
    <m/>
    <n v="647.71"/>
    <n v="444.72"/>
    <n v="1987.22"/>
    <n v="981.22"/>
    <n v="0"/>
    <n v="0"/>
    <n v="0"/>
    <n v="0"/>
    <n v="26.46"/>
    <n v="0"/>
    <n v="3.05"/>
    <n v="0"/>
    <n v="4090.38"/>
    <n v="3.05"/>
  </r>
  <r>
    <x v="0"/>
    <x v="1"/>
    <x v="0"/>
    <s v="5914200"/>
    <n v="749510"/>
    <s v="Miscellaneous Expenses"/>
    <s v="West Sound Orthopedics"/>
    <x v="0"/>
    <m/>
    <n v="55.05"/>
    <n v="185.22"/>
    <n v="668.16"/>
    <n v="-602"/>
    <n v="-80.47"/>
    <n v="150"/>
    <n v="118.38"/>
    <n v="-118.38"/>
    <n v="100"/>
    <n v="130.81"/>
    <n v="673.19"/>
    <n v="-643.63"/>
    <n v="636.33000000000004"/>
    <n v="1316.8200000000002"/>
  </r>
  <r>
    <x v="0"/>
    <x v="1"/>
    <x v="0"/>
    <s v="5914200"/>
    <n v="749510"/>
    <s v="RICE Rewards"/>
    <s v="West Sound Orthopedics"/>
    <x v="0"/>
    <n v="5100"/>
    <n v="0"/>
    <n v="0"/>
    <n v="0"/>
    <n v="0"/>
    <n v="0"/>
    <n v="0"/>
    <n v="0"/>
    <n v="0"/>
    <n v="0"/>
    <n v="0"/>
    <n v="0"/>
    <n v="771.48"/>
    <n v="771.48"/>
    <n v="-771.48"/>
  </r>
  <r>
    <x v="0"/>
    <x v="1"/>
    <x v="0"/>
    <s v="5914200"/>
    <n v="749530"/>
    <s v="Travel"/>
    <s v="West Sound Orthopedics"/>
    <x v="0"/>
    <m/>
    <n v="6"/>
    <n v="0"/>
    <n v="38.03"/>
    <n v="36.549999999999997"/>
    <n v="6"/>
    <n v="6"/>
    <n v="0"/>
    <n v="12"/>
    <n v="17.16"/>
    <n v="119.64"/>
    <n v="6"/>
    <n v="6"/>
    <n v="253.38"/>
    <n v="0"/>
  </r>
  <r>
    <x v="0"/>
    <x v="1"/>
    <x v="0"/>
    <s v="5914200"/>
    <n v="749530"/>
    <s v="Mileage"/>
    <s v="West Sound Orthopedics"/>
    <x v="0"/>
    <n v="1001"/>
    <n v="309.57"/>
    <n v="0"/>
    <n v="19.62"/>
    <n v="799.56"/>
    <n v="62.14"/>
    <n v="129.72999999999999"/>
    <n v="12.18"/>
    <n v="106.38"/>
    <n v="69.599999999999994"/>
    <n v="101.5"/>
    <n v="64.959999999999994"/>
    <n v="44.08"/>
    <n v="1719.3200000000002"/>
    <n v="20.879999999999995"/>
  </r>
  <r>
    <x v="0"/>
    <x v="1"/>
    <x v="0"/>
    <s v="5914200"/>
    <n v="749535"/>
    <s v="Meetings"/>
    <s v="West Sound Orthopedics"/>
    <x v="0"/>
    <m/>
    <n v="185.96"/>
    <n v="0"/>
    <n v="0"/>
    <n v="99.69"/>
    <n v="69.88"/>
    <n v="0"/>
    <n v="0"/>
    <n v="0"/>
    <n v="0"/>
    <n v="0"/>
    <n v="0"/>
    <n v="0"/>
    <n v="355.53"/>
    <n v="0"/>
  </r>
  <r>
    <x v="0"/>
    <x v="1"/>
    <x v="0"/>
    <s v="5914200"/>
    <n v="766010"/>
    <s v="Property Tax"/>
    <s v="West Sound Orthopedics"/>
    <x v="0"/>
    <m/>
    <n v="945.08"/>
    <n v="945.08"/>
    <n v="945.08"/>
    <n v="945.08"/>
    <n v="945.08"/>
    <n v="945.08"/>
    <n v="945.08"/>
    <n v="945.08"/>
    <n v="945.08"/>
    <n v="-415.04"/>
    <n v="605.04"/>
    <n v="605.04"/>
    <n v="9300.760000000002"/>
    <n v="0"/>
  </r>
  <r>
    <x v="9"/>
    <x v="1"/>
    <x v="0"/>
    <s v="5914200"/>
    <n v="800015"/>
    <s v="Interest Income-Ext to CHI"/>
    <s v="West Sound Orthopedics"/>
    <x v="0"/>
    <m/>
    <n v="-10.68"/>
    <n v="-10.17"/>
    <n v="-9.35"/>
    <n v="-9.15"/>
    <n v="-8.36"/>
    <n v="-8.1300000000000008"/>
    <n v="-7.63"/>
    <n v="-6.43"/>
    <n v="-6.61"/>
    <n v="-5.9"/>
    <n v="-5.59"/>
    <n v="-4.92"/>
    <n v="-92.920000000000016"/>
    <n v="-0.66999999999999993"/>
  </r>
  <r>
    <x v="5"/>
    <x v="1"/>
    <x v="0"/>
    <s v="5915200"/>
    <n v="700014"/>
    <s v="Salaries-Management-Productive"/>
    <s v="Sleep Medicine-Burien"/>
    <x v="0"/>
    <m/>
    <n v="1328.44"/>
    <n v="1086.92"/>
    <n v="603.84"/>
    <n v="1418.78"/>
    <n v="1365.06"/>
    <n v="2521.19"/>
    <n v="2082.1999999999998"/>
    <n v="1843.17"/>
    <n v="2673.74"/>
    <n v="2378.7600000000002"/>
    <n v="2176.62"/>
    <n v="581.98"/>
    <n v="20060.699999999997"/>
    <n v="1594.6399999999999"/>
  </r>
  <r>
    <x v="5"/>
    <x v="1"/>
    <x v="0"/>
    <s v="5915200"/>
    <n v="700038"/>
    <s v="Salaries-Service/Support-Productive"/>
    <s v="Sleep Medicine-Burien"/>
    <x v="0"/>
    <m/>
    <n v="3405.87"/>
    <n v="2947.77"/>
    <n v="2834.31"/>
    <n v="3594.03"/>
    <n v="3661.01"/>
    <n v="2964.47"/>
    <n v="3884.63"/>
    <n v="3096.94"/>
    <n v="3511.16"/>
    <n v="3551.28"/>
    <n v="3906.95"/>
    <n v="2526.5500000000002"/>
    <n v="39884.97"/>
    <n v="1380.3999999999996"/>
  </r>
  <r>
    <x v="5"/>
    <x v="1"/>
    <x v="0"/>
    <s v="5915200"/>
    <n v="700038"/>
    <s v="Salaries-Service/Support-OT"/>
    <s v="Sleep Medicine-Burien"/>
    <x v="0"/>
    <n v="1000"/>
    <n v="22.92"/>
    <n v="0"/>
    <n v="68.760000000000005"/>
    <n v="-8.76"/>
    <n v="64.52"/>
    <n v="-23.6"/>
    <n v="112.47"/>
    <n v="-20.86"/>
    <n v="130.27000000000001"/>
    <n v="-24.78"/>
    <n v="81.2"/>
    <n v="47.27"/>
    <n v="449.41"/>
    <n v="33.93"/>
  </r>
  <r>
    <x v="5"/>
    <x v="1"/>
    <x v="0"/>
    <s v="5915200"/>
    <n v="700038"/>
    <s v="Salaries-Service/Support-Other"/>
    <s v="Sleep Medicine-Burien"/>
    <x v="0"/>
    <n v="2000"/>
    <n v="0"/>
    <n v="0"/>
    <n v="179.92"/>
    <n v="0"/>
    <n v="0"/>
    <n v="0"/>
    <n v="35.04"/>
    <n v="-4.3899999999999997"/>
    <n v="23.18"/>
    <n v="-8.26"/>
    <n v="0"/>
    <n v="0"/>
    <n v="225.49"/>
    <n v="0"/>
  </r>
  <r>
    <x v="5"/>
    <x v="1"/>
    <x v="0"/>
    <s v="5915200"/>
    <n v="700078"/>
    <s v="Salaries-Service/Support-Non-productive"/>
    <s v="Sleep Medicine-Burien"/>
    <x v="0"/>
    <m/>
    <n v="169.06"/>
    <n v="1648.98"/>
    <n v="471.05"/>
    <n v="252.08"/>
    <n v="31.47"/>
    <n v="560.16999999999996"/>
    <n v="618.80999999999995"/>
    <n v="191.2"/>
    <n v="430.72"/>
    <n v="-1.04"/>
    <n v="-46.21"/>
    <n v="835.18"/>
    <n v="5161.47"/>
    <n v="-881.39"/>
  </r>
  <r>
    <x v="5"/>
    <x v="1"/>
    <x v="0"/>
    <s v="5915200"/>
    <n v="700078"/>
    <s v="Salaries-Service/Support-NonProd-Other"/>
    <s v="Sleep Medicine-Burien"/>
    <x v="0"/>
    <n v="2000"/>
    <n v="10.19"/>
    <n v="0"/>
    <n v="30.55"/>
    <n v="-10.18"/>
    <n v="0"/>
    <n v="0"/>
    <n v="0"/>
    <n v="0"/>
    <n v="0"/>
    <n v="0"/>
    <n v="0"/>
    <n v="0"/>
    <n v="30.560000000000002"/>
    <n v="0"/>
  </r>
  <r>
    <x v="5"/>
    <x v="1"/>
    <x v="0"/>
    <s v="5915200"/>
    <n v="700084"/>
    <s v="Accrued PTO"/>
    <s v="Sleep Medicine-Burien"/>
    <x v="0"/>
    <m/>
    <n v="156.24"/>
    <n v="-1074.1099999999999"/>
    <n v="113.25"/>
    <n v="-20.62"/>
    <n v="280.92"/>
    <n v="-74.900000000000006"/>
    <n v="-190.92"/>
    <n v="58.12"/>
    <n v="-22.45"/>
    <n v="181.47"/>
    <n v="306.94"/>
    <n v="-363.79"/>
    <n v="-649.84999999999991"/>
    <n v="670.73"/>
  </r>
  <r>
    <x v="6"/>
    <x v="1"/>
    <x v="0"/>
    <s v="5915200"/>
    <n v="713010"/>
    <s v="Benefits-FICA/Medicare"/>
    <s v="Sleep Medicine-Burien"/>
    <x v="0"/>
    <m/>
    <n v="358.9"/>
    <n v="416.61"/>
    <n v="307.16000000000003"/>
    <n v="381.75"/>
    <n v="375.03"/>
    <n v="440.62"/>
    <n v="493.86"/>
    <n v="371.73"/>
    <n v="494.89"/>
    <n v="430.75"/>
    <n v="449.44"/>
    <n v="295.94"/>
    <n v="4816.6799999999994"/>
    <n v="153.5"/>
  </r>
  <r>
    <x v="6"/>
    <x v="1"/>
    <x v="0"/>
    <s v="5915200"/>
    <n v="713090"/>
    <s v="Benefits-Allocated Amounts"/>
    <s v="Sleep Medicine-Burien"/>
    <x v="0"/>
    <m/>
    <n v="1340.01"/>
    <n v="1366.58"/>
    <n v="1260.8800000000001"/>
    <n v="1304.1199999999999"/>
    <n v="1388.46"/>
    <n v="1441.88"/>
    <n v="1923.13"/>
    <n v="1549.5"/>
    <n v="1844.38"/>
    <n v="1604.16"/>
    <n v="1583.45"/>
    <n v="1169.6600000000001"/>
    <n v="17776.210000000003"/>
    <n v="413.78999999999996"/>
  </r>
  <r>
    <x v="7"/>
    <x v="1"/>
    <x v="0"/>
    <s v="5915200"/>
    <n v="718010"/>
    <s v="Media/Print Advertising"/>
    <s v="Sleep Medicine-Burien"/>
    <x v="0"/>
    <n v="1004"/>
    <n v="0"/>
    <n v="0"/>
    <n v="0"/>
    <n v="97.59"/>
    <n v="0"/>
    <n v="0"/>
    <n v="0"/>
    <n v="0"/>
    <n v="0"/>
    <n v="0"/>
    <n v="0"/>
    <n v="0"/>
    <n v="97.59"/>
    <n v="0"/>
  </r>
  <r>
    <x v="7"/>
    <x v="1"/>
    <x v="0"/>
    <s v="5915200"/>
    <n v="718050"/>
    <s v="Translation Services"/>
    <s v="Sleep Medicine-Burien"/>
    <x v="0"/>
    <n v="1025"/>
    <n v="0"/>
    <n v="0"/>
    <n v="0"/>
    <n v="49"/>
    <n v="0"/>
    <n v="49"/>
    <n v="0"/>
    <n v="0"/>
    <n v="0"/>
    <n v="0"/>
    <n v="0"/>
    <n v="54"/>
    <n v="152"/>
    <n v="-54"/>
  </r>
  <r>
    <x v="11"/>
    <x v="1"/>
    <x v="0"/>
    <s v="5915200"/>
    <n v="721410"/>
    <s v="Supplies-Medical - Nonbillable"/>
    <s v="Sleep Medicine-Burien"/>
    <x v="0"/>
    <m/>
    <n v="14.12"/>
    <n v="109.27"/>
    <n v="0"/>
    <n v="-11.66"/>
    <n v="24.08"/>
    <n v="5"/>
    <n v="0"/>
    <n v="0"/>
    <n v="0"/>
    <n v="0"/>
    <n v="0"/>
    <n v="0"/>
    <n v="140.81"/>
    <n v="0"/>
  </r>
  <r>
    <x v="11"/>
    <x v="1"/>
    <x v="0"/>
    <s v="5915200"/>
    <n v="721810"/>
    <s v="Supplies-Dietary/Cafeteria"/>
    <s v="Sleep Medicine-Burien"/>
    <x v="0"/>
    <m/>
    <n v="0"/>
    <n v="0"/>
    <n v="20.350000000000001"/>
    <n v="0"/>
    <n v="0"/>
    <n v="0"/>
    <n v="29.31"/>
    <n v="0"/>
    <n v="30.7"/>
    <n v="52.69"/>
    <n v="52.69"/>
    <n v="0"/>
    <n v="185.74"/>
    <n v="52.69"/>
  </r>
  <r>
    <x v="11"/>
    <x v="1"/>
    <x v="0"/>
    <s v="5915200"/>
    <n v="721830"/>
    <s v="Supplies-Office"/>
    <s v="Sleep Medicine-Burien"/>
    <x v="0"/>
    <m/>
    <n v="53.26"/>
    <n v="157.53"/>
    <n v="0"/>
    <n v="57.62"/>
    <n v="274.57"/>
    <n v="167.68"/>
    <n v="160.4"/>
    <n v="0"/>
    <n v="164.35"/>
    <n v="102.87"/>
    <n v="63.78"/>
    <n v="75.28"/>
    <n v="1277.3400000000001"/>
    <n v="-11.5"/>
  </r>
  <r>
    <x v="11"/>
    <x v="1"/>
    <x v="0"/>
    <s v="5915200"/>
    <n v="721835"/>
    <s v="Supplies-Forms"/>
    <s v="Sleep Medicine-Burien"/>
    <x v="0"/>
    <m/>
    <n v="0"/>
    <n v="0"/>
    <n v="0"/>
    <n v="0"/>
    <n v="0.06"/>
    <n v="0"/>
    <n v="0"/>
    <n v="0"/>
    <n v="0"/>
    <n v="177.87"/>
    <n v="0"/>
    <n v="9.99"/>
    <n v="187.92000000000002"/>
    <n v="-9.99"/>
  </r>
  <r>
    <x v="11"/>
    <x v="1"/>
    <x v="0"/>
    <s v="5915200"/>
    <n v="722000"/>
    <s v="Supplies-Freight Expense"/>
    <s v="Sleep Medicine-Burien"/>
    <x v="0"/>
    <m/>
    <n v="0"/>
    <n v="0"/>
    <n v="0"/>
    <n v="11.66"/>
    <n v="507.1"/>
    <n v="0"/>
    <n v="0"/>
    <n v="0"/>
    <n v="0"/>
    <n v="0"/>
    <n v="0"/>
    <n v="0"/>
    <n v="518.76"/>
    <n v="0"/>
  </r>
  <r>
    <x v="12"/>
    <x v="1"/>
    <x v="0"/>
    <s v="5915200"/>
    <n v="730010"/>
    <s v="Rental and Leases-Building (DO NOT USE)"/>
    <s v="Sleep Medicine-Burien"/>
    <x v="0"/>
    <m/>
    <n v="3893.05"/>
    <n v="3893.05"/>
    <n v="3893.05"/>
    <n v="3893.05"/>
    <n v="3893.05"/>
    <n v="2458.2199999999998"/>
    <n v="2458.2199999999998"/>
    <n v="2458.2199999999998"/>
    <n v="2458.2199999999998"/>
    <n v="-4715.93"/>
    <n v="2458.2199999999998"/>
    <n v="2458.2199999999998"/>
    <n v="29498.640000000007"/>
    <n v="0"/>
  </r>
  <r>
    <x v="12"/>
    <x v="1"/>
    <x v="0"/>
    <s v="5915200"/>
    <n v="730010"/>
    <s v="Rental-Common Area Maint (DO NOT USE)"/>
    <s v="Sleep Medicine-Burien"/>
    <x v="0"/>
    <n v="2200"/>
    <n v="0"/>
    <n v="0"/>
    <n v="0"/>
    <n v="0"/>
    <n v="0"/>
    <n v="1434.83"/>
    <n v="1434.83"/>
    <n v="1434.83"/>
    <n v="1434.83"/>
    <n v="8582.5"/>
    <n v="1408.35"/>
    <n v="1408.35"/>
    <n v="17138.52"/>
    <n v="0"/>
  </r>
  <r>
    <x v="0"/>
    <x v="1"/>
    <x v="0"/>
    <s v="5915200"/>
    <n v="749510"/>
    <s v="Miscellaneous Expenses"/>
    <s v="Sleep Medicine-Burien"/>
    <x v="0"/>
    <m/>
    <n v="0"/>
    <n v="0"/>
    <n v="0"/>
    <n v="970.2"/>
    <n v="0"/>
    <n v="0"/>
    <n v="0"/>
    <n v="0"/>
    <n v="0"/>
    <n v="0"/>
    <n v="0"/>
    <n v="0"/>
    <n v="970.2"/>
    <n v="0"/>
  </r>
  <r>
    <x v="0"/>
    <x v="1"/>
    <x v="0"/>
    <s v="5915200"/>
    <n v="749510"/>
    <s v="RICE Rewards"/>
    <s v="Sleep Medicine-Burien"/>
    <x v="0"/>
    <n v="5100"/>
    <n v="0"/>
    <n v="0"/>
    <n v="0"/>
    <n v="0"/>
    <n v="0"/>
    <n v="0"/>
    <n v="0"/>
    <n v="0"/>
    <n v="0"/>
    <n v="0"/>
    <n v="0"/>
    <n v="86.48"/>
    <n v="86.48"/>
    <n v="-86.48"/>
  </r>
  <r>
    <x v="0"/>
    <x v="1"/>
    <x v="0"/>
    <s v="5915200"/>
    <n v="749530"/>
    <s v="Mileage"/>
    <s v="Sleep Medicine-Burien"/>
    <x v="0"/>
    <n v="1001"/>
    <n v="4.04"/>
    <n v="0"/>
    <n v="13.63"/>
    <n v="13.9"/>
    <n v="8.5399999999999991"/>
    <n v="3.36"/>
    <n v="8.5399999999999991"/>
    <n v="12.67"/>
    <n v="14.22"/>
    <n v="17.79"/>
    <n v="7.16"/>
    <n v="13.74"/>
    <n v="117.58999999999999"/>
    <n v="-6.58"/>
  </r>
  <r>
    <x v="0"/>
    <x v="1"/>
    <x v="0"/>
    <s v="5915200"/>
    <n v="749535"/>
    <s v="Meetings"/>
    <s v="Sleep Medicine-Burien"/>
    <x v="0"/>
    <m/>
    <n v="0"/>
    <n v="0"/>
    <n v="0"/>
    <n v="0"/>
    <n v="0"/>
    <n v="32.93"/>
    <n v="15.39"/>
    <n v="0"/>
    <n v="0"/>
    <n v="3.87"/>
    <n v="9.51"/>
    <n v="0"/>
    <n v="61.699999999999996"/>
    <n v="9.51"/>
  </r>
  <r>
    <x v="0"/>
    <x v="1"/>
    <x v="0"/>
    <s v="5915200"/>
    <n v="749550"/>
    <s v="Cash Over/Short"/>
    <s v="Sleep Medicine-Burien"/>
    <x v="0"/>
    <m/>
    <n v="0"/>
    <n v="0"/>
    <n v="0"/>
    <n v="0"/>
    <n v="0"/>
    <n v="0"/>
    <n v="0"/>
    <n v="0"/>
    <n v="0"/>
    <n v="0"/>
    <n v="0"/>
    <n v="-35"/>
    <n v="-35"/>
    <n v="35"/>
  </r>
  <r>
    <x v="5"/>
    <x v="1"/>
    <x v="0"/>
    <s v="5916200"/>
    <n v="700014"/>
    <s v="Salaries-Management-Productive"/>
    <s v="FMC Podiatry Shared"/>
    <x v="0"/>
    <m/>
    <n v="1465.72"/>
    <n v="1199.24"/>
    <n v="832.8"/>
    <n v="1711"/>
    <n v="1480.52"/>
    <n v="1043.08"/>
    <n v="1246.8399999999999"/>
    <n v="1347.87"/>
    <n v="1415.28"/>
    <n v="1482.64"/>
    <n v="1550.05"/>
    <n v="673.94"/>
    <n v="15448.98"/>
    <n v="876.1099999999999"/>
  </r>
  <r>
    <x v="5"/>
    <x v="1"/>
    <x v="0"/>
    <s v="5916200"/>
    <n v="700032"/>
    <s v="Salaries-Other Pat Care Providers-Productive"/>
    <s v="FMC Podiatry Shared"/>
    <x v="0"/>
    <m/>
    <n v="0"/>
    <n v="0"/>
    <n v="0"/>
    <n v="0"/>
    <n v="0"/>
    <n v="1349.59"/>
    <n v="605.49"/>
    <n v="0"/>
    <n v="0"/>
    <n v="0"/>
    <n v="0"/>
    <n v="0"/>
    <n v="1955.08"/>
    <n v="0"/>
  </r>
  <r>
    <x v="5"/>
    <x v="1"/>
    <x v="0"/>
    <s v="5916200"/>
    <n v="700032"/>
    <s v="Salaries-Other Pat Care Providers-Other"/>
    <s v="FMC Podiatry Shared"/>
    <x v="0"/>
    <n v="2000"/>
    <n v="0"/>
    <n v="0"/>
    <n v="0"/>
    <n v="0"/>
    <n v="0"/>
    <n v="68.02"/>
    <n v="30.55"/>
    <n v="0"/>
    <n v="0"/>
    <n v="0"/>
    <n v="0"/>
    <n v="0"/>
    <n v="98.57"/>
    <n v="0"/>
  </r>
  <r>
    <x v="5"/>
    <x v="1"/>
    <x v="0"/>
    <s v="5916200"/>
    <n v="700038"/>
    <s v="Salaries-Service/Support-Productive"/>
    <s v="FMC Podiatry Shared"/>
    <x v="0"/>
    <m/>
    <n v="2586.89"/>
    <n v="3752.81"/>
    <n v="3070.95"/>
    <n v="3601.77"/>
    <n v="3818.47"/>
    <n v="2778.62"/>
    <n v="2938.54"/>
    <n v="2829.95"/>
    <n v="3760.19"/>
    <n v="3243.26"/>
    <n v="4054.37"/>
    <n v="2989.91"/>
    <n v="39425.729999999996"/>
    <n v="1064.46"/>
  </r>
  <r>
    <x v="5"/>
    <x v="1"/>
    <x v="0"/>
    <s v="5916200"/>
    <n v="700038"/>
    <s v="Salaries-Service/Support-OT"/>
    <s v="FMC Podiatry Shared"/>
    <x v="0"/>
    <n v="1000"/>
    <n v="117.12"/>
    <n v="331.83"/>
    <n v="167.87"/>
    <n v="219.57"/>
    <n v="49.85"/>
    <n v="32.159999999999997"/>
    <n v="210.94"/>
    <n v="6.45"/>
    <n v="144.93"/>
    <n v="75.67"/>
    <n v="198.07"/>
    <n v="24.16"/>
    <n v="1578.6200000000001"/>
    <n v="173.91"/>
  </r>
  <r>
    <x v="5"/>
    <x v="1"/>
    <x v="0"/>
    <s v="5916200"/>
    <n v="700072"/>
    <s v="Salaries-Other Pat Care Providers-NonProd-Other"/>
    <s v="FMC Podiatry Shared"/>
    <x v="0"/>
    <n v="2000"/>
    <n v="0"/>
    <n v="0"/>
    <n v="0"/>
    <n v="0"/>
    <n v="0"/>
    <n v="0"/>
    <n v="9.92"/>
    <n v="0"/>
    <n v="0"/>
    <n v="0"/>
    <n v="0"/>
    <n v="0"/>
    <n v="9.92"/>
    <n v="0"/>
  </r>
  <r>
    <x v="5"/>
    <x v="1"/>
    <x v="0"/>
    <s v="5916200"/>
    <n v="700078"/>
    <s v="Salaries-Service/Support-Non-productive"/>
    <s v="FMC Podiatry Shared"/>
    <x v="0"/>
    <m/>
    <n v="1077.44"/>
    <n v="10.41"/>
    <n v="286.27"/>
    <n v="318.38"/>
    <n v="-23.58"/>
    <n v="812.57"/>
    <n v="978.11"/>
    <n v="684.92"/>
    <n v="-184.63"/>
    <n v="527.66"/>
    <n v="-103.59"/>
    <n v="520.67999999999995"/>
    <n v="4904.6400000000003"/>
    <n v="-624.27"/>
  </r>
  <r>
    <x v="5"/>
    <x v="1"/>
    <x v="0"/>
    <s v="5916200"/>
    <n v="700078"/>
    <s v="Salaries-Service/Support-NonProd-Other"/>
    <s v="FMC Podiatry Shared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16200"/>
    <n v="700084"/>
    <s v="Accrued PTO"/>
    <s v="FMC Podiatry Shared"/>
    <x v="0"/>
    <m/>
    <n v="-601.62"/>
    <n v="159.9"/>
    <n v="35.19"/>
    <n v="131.66999999999999"/>
    <n v="264.14"/>
    <n v="-337.89"/>
    <n v="-84.26"/>
    <n v="73.75"/>
    <n v="323.95999999999998"/>
    <n v="-59.82"/>
    <n v="304.02"/>
    <n v="-54.03"/>
    <n v="155.00999999999996"/>
    <n v="358.04999999999995"/>
  </r>
  <r>
    <x v="6"/>
    <x v="1"/>
    <x v="0"/>
    <s v="5916200"/>
    <n v="713010"/>
    <s v="Benefits-FICA/Medicare"/>
    <s v="FMC Podiatry Shared"/>
    <x v="0"/>
    <m/>
    <n v="391.63"/>
    <n v="394.88"/>
    <n v="324.58999999999997"/>
    <n v="437.25"/>
    <n v="397.63"/>
    <n v="455.67"/>
    <n v="449.39"/>
    <n v="362.88"/>
    <n v="382.83"/>
    <n v="397.1"/>
    <n v="424.91"/>
    <n v="312.63"/>
    <n v="4731.3900000000003"/>
    <n v="112.28000000000003"/>
  </r>
  <r>
    <x v="6"/>
    <x v="1"/>
    <x v="0"/>
    <s v="5916200"/>
    <n v="713090"/>
    <s v="Benefits-Allocated Amounts"/>
    <s v="FMC Podiatry Shared"/>
    <x v="0"/>
    <m/>
    <n v="1342.36"/>
    <n v="1215.3599999999999"/>
    <n v="1245.17"/>
    <n v="1455.26"/>
    <n v="1337.75"/>
    <n v="1637.9"/>
    <n v="1702.84"/>
    <n v="1456.9"/>
    <n v="1521.9"/>
    <n v="1316.57"/>
    <n v="1500.13"/>
    <n v="1494.69"/>
    <n v="17226.829999999998"/>
    <n v="5.4400000000000546"/>
  </r>
  <r>
    <x v="7"/>
    <x v="1"/>
    <x v="0"/>
    <s v="5916200"/>
    <n v="718050"/>
    <s v="Miscellaneous Purchased Svcs"/>
    <s v="FMC Podiatry Shared"/>
    <x v="0"/>
    <n v="1020"/>
    <n v="0"/>
    <n v="0"/>
    <n v="0"/>
    <n v="0"/>
    <n v="0"/>
    <n v="0"/>
    <n v="0"/>
    <n v="0"/>
    <n v="0"/>
    <n v="0"/>
    <n v="0"/>
    <n v="22.55"/>
    <n v="22.55"/>
    <n v="-22.55"/>
  </r>
  <r>
    <x v="7"/>
    <x v="1"/>
    <x v="0"/>
    <s v="5916200"/>
    <n v="718050"/>
    <s v="Translation Services"/>
    <s v="FMC Podiatry Shared"/>
    <x v="0"/>
    <n v="1025"/>
    <n v="0"/>
    <n v="0"/>
    <n v="0"/>
    <n v="0"/>
    <n v="0"/>
    <n v="0"/>
    <n v="0"/>
    <n v="0"/>
    <n v="160"/>
    <n v="0"/>
    <n v="0"/>
    <n v="0"/>
    <n v="160"/>
    <n v="0"/>
  </r>
  <r>
    <x v="7"/>
    <x v="1"/>
    <x v="0"/>
    <s v="5916200"/>
    <n v="718050"/>
    <s v="Purchased Srvcs--Medical Waste"/>
    <s v="FMC Podiatry Shared"/>
    <x v="0"/>
    <n v="1027"/>
    <n v="0"/>
    <n v="0"/>
    <n v="11.14"/>
    <n v="0"/>
    <n v="0"/>
    <n v="0"/>
    <n v="0"/>
    <n v="11.14"/>
    <n v="0"/>
    <n v="0"/>
    <n v="0"/>
    <n v="0"/>
    <n v="22.28"/>
    <n v="0"/>
  </r>
  <r>
    <x v="7"/>
    <x v="1"/>
    <x v="0"/>
    <s v="5916200"/>
    <n v="718070"/>
    <s v="Contract Srvcs-CHI Clinical Engineering"/>
    <s v="FMC Podiatry Shared"/>
    <x v="0"/>
    <m/>
    <n v="0"/>
    <n v="440.5"/>
    <n v="0"/>
    <n v="165.15"/>
    <n v="0"/>
    <n v="89.73"/>
    <n v="8"/>
    <n v="0"/>
    <n v="0"/>
    <n v="0"/>
    <n v="0"/>
    <n v="0"/>
    <n v="703.38"/>
    <n v="0"/>
  </r>
  <r>
    <x v="11"/>
    <x v="1"/>
    <x v="0"/>
    <s v="5916200"/>
    <n v="721810"/>
    <s v="Supplies-Dietary/Cafeteria"/>
    <s v="FMC Podiatry Shared"/>
    <x v="0"/>
    <m/>
    <n v="0"/>
    <n v="0"/>
    <n v="0"/>
    <n v="0"/>
    <n v="44.96"/>
    <n v="0"/>
    <n v="0"/>
    <n v="0"/>
    <n v="0"/>
    <n v="0"/>
    <n v="0"/>
    <n v="0"/>
    <n v="44.96"/>
    <n v="0"/>
  </r>
  <r>
    <x v="11"/>
    <x v="1"/>
    <x v="0"/>
    <s v="5916200"/>
    <n v="721835"/>
    <s v="Supplies-Forms"/>
    <s v="FMC Podiatry Shared"/>
    <x v="0"/>
    <m/>
    <n v="0"/>
    <n v="0"/>
    <n v="0"/>
    <n v="0"/>
    <n v="0.28999999999999998"/>
    <n v="0"/>
    <n v="0"/>
    <n v="0"/>
    <n v="0"/>
    <n v="0"/>
    <n v="0"/>
    <n v="0"/>
    <n v="0.28999999999999998"/>
    <n v="0"/>
  </r>
  <r>
    <x v="12"/>
    <x v="1"/>
    <x v="0"/>
    <s v="5916200"/>
    <n v="730010"/>
    <s v="Rental and Leases-Building (DO NOT USE)"/>
    <s v="FMC Podiatry Shared"/>
    <x v="0"/>
    <m/>
    <n v="3037.81"/>
    <n v="3538.83"/>
    <n v="3101.3"/>
    <n v="3976.36"/>
    <n v="3538.83"/>
    <n v="-5032.79"/>
    <n v="1943.22"/>
    <n v="1943.22"/>
    <n v="1943.22"/>
    <n v="1943.22"/>
    <n v="1990.18"/>
    <n v="0"/>
    <n v="21923.399999999998"/>
    <n v="1990.18"/>
  </r>
  <r>
    <x v="12"/>
    <x v="1"/>
    <x v="0"/>
    <s v="5916200"/>
    <n v="730010"/>
    <s v="Rental-Common Area Maint (DO NOT USE)"/>
    <s v="FMC Podiatry Shared"/>
    <x v="0"/>
    <n v="2200"/>
    <n v="0"/>
    <n v="0"/>
    <n v="0"/>
    <n v="0"/>
    <n v="0"/>
    <n v="8270.0499999999993"/>
    <n v="1294.04"/>
    <n v="1294.04"/>
    <n v="1204.78"/>
    <n v="1294.04"/>
    <n v="1294.04"/>
    <n v="0"/>
    <n v="14650.990000000002"/>
    <n v="1294.04"/>
  </r>
  <r>
    <x v="12"/>
    <x v="1"/>
    <x v="0"/>
    <s v="5916200"/>
    <n v="730040"/>
    <s v="LT Lease-Real Estate"/>
    <s v="FMC Podiatry Shared"/>
    <x v="0"/>
    <m/>
    <n v="0"/>
    <n v="0"/>
    <n v="0"/>
    <n v="0"/>
    <n v="0"/>
    <n v="0"/>
    <n v="0"/>
    <n v="0"/>
    <n v="0"/>
    <n v="0"/>
    <n v="0"/>
    <n v="3285.84"/>
    <n v="3285.84"/>
    <n v="-3285.84"/>
  </r>
  <r>
    <x v="16"/>
    <x v="1"/>
    <x v="0"/>
    <s v="5916200"/>
    <n v="732030"/>
    <s v="Repairs&amp;Maintenance-Bldg Routine"/>
    <s v="FMC Podiatry Shared"/>
    <x v="0"/>
    <n v="2300"/>
    <n v="0"/>
    <n v="0"/>
    <n v="0"/>
    <n v="0"/>
    <n v="0"/>
    <n v="0"/>
    <n v="0"/>
    <n v="0"/>
    <n v="369.6"/>
    <n v="0"/>
    <n v="0"/>
    <n v="0"/>
    <n v="369.6"/>
    <n v="0"/>
  </r>
  <r>
    <x v="0"/>
    <x v="1"/>
    <x v="0"/>
    <s v="5916200"/>
    <n v="749510"/>
    <s v="Miscellaneous Expenses"/>
    <s v="FMC Podiatry Shared"/>
    <x v="0"/>
    <m/>
    <n v="0"/>
    <n v="0"/>
    <n v="0"/>
    <n v="0"/>
    <n v="0"/>
    <n v="30"/>
    <n v="0"/>
    <n v="0"/>
    <n v="0"/>
    <n v="0"/>
    <n v="0"/>
    <n v="0"/>
    <n v="30"/>
    <n v="0"/>
  </r>
  <r>
    <x v="1"/>
    <x v="1"/>
    <x v="0"/>
    <s v="5918200"/>
    <n v="400040"/>
    <s v="Physician Svcs Rev--Medicare"/>
    <s v="The Doctors Clinic"/>
    <x v="0"/>
    <n v="1100"/>
    <n v="-4056701.75"/>
    <n v="-4124303.74"/>
    <n v="-3815495.28"/>
    <n v="-4315420.74"/>
    <n v="-3684616.42"/>
    <n v="-3485398.09"/>
    <n v="-4068226.68"/>
    <n v="-3398696.09"/>
    <n v="-4325939.03"/>
    <n v="-4504688.5"/>
    <n v="-4003632.92"/>
    <n v="-3531254.87"/>
    <n v="-47314374.109999999"/>
    <n v="-472378.04999999981"/>
  </r>
  <r>
    <x v="1"/>
    <x v="1"/>
    <x v="0"/>
    <s v="5918200"/>
    <n v="400040"/>
    <s v="Physician Svcs Rev--Medicaid"/>
    <s v="The Doctors Clinic"/>
    <x v="0"/>
    <n v="1200"/>
    <n v="-905725.11"/>
    <n v="-861498.1"/>
    <n v="-744568.46"/>
    <n v="-898355.85"/>
    <n v="-828650.04"/>
    <n v="-794630.98"/>
    <n v="-899333.26"/>
    <n v="-741286.11"/>
    <n v="-871577.73"/>
    <n v="-1023981.37"/>
    <n v="-845830.59"/>
    <n v="-976718.2"/>
    <n v="-10392155.799999999"/>
    <n v="130887.60999999999"/>
  </r>
  <r>
    <x v="1"/>
    <x v="1"/>
    <x v="0"/>
    <s v="5918200"/>
    <n v="400040"/>
    <s v="Physician Svcs Rev--Comm Insurance"/>
    <s v="The Doctors Clinic"/>
    <x v="0"/>
    <n v="1300"/>
    <n v="-137733.01999999999"/>
    <n v="-135006.20000000001"/>
    <n v="-78744.05"/>
    <n v="-131182.19"/>
    <n v="-94401.08"/>
    <n v="-75231.03"/>
    <n v="-166031.82"/>
    <n v="-144583.07"/>
    <n v="-193004.08"/>
    <n v="-320978.58"/>
    <n v="-205008.21"/>
    <n v="-195049.94"/>
    <n v="-1876953.27"/>
    <n v="-9958.2699999999895"/>
  </r>
  <r>
    <x v="1"/>
    <x v="1"/>
    <x v="0"/>
    <s v="5918200"/>
    <n v="400040"/>
    <s v="Physician Svcs Rev--BCBS Comm"/>
    <s v="The Doctors Clinic"/>
    <x v="0"/>
    <n v="1301"/>
    <n v="-1014757.78"/>
    <n v="-836450.16"/>
    <n v="-876733.42"/>
    <n v="-1172142.55"/>
    <n v="-928142.59"/>
    <n v="-997536.87"/>
    <n v="-916654.2"/>
    <n v="-724685.91"/>
    <n v="-907359.68"/>
    <n v="-1062609.24"/>
    <n v="-1002068.95"/>
    <n v="-923376.18"/>
    <n v="-11362517.529999999"/>
    <n v="-78692.769999999902"/>
  </r>
  <r>
    <x v="1"/>
    <x v="1"/>
    <x v="0"/>
    <s v="5918200"/>
    <n v="400040"/>
    <s v="Physician Svcs Rev--Managed Care"/>
    <s v="The Doctors Clinic"/>
    <x v="0"/>
    <n v="1400"/>
    <n v="-3441975.6"/>
    <n v="-3611266.17"/>
    <n v="-3452458.43"/>
    <n v="-3851714.97"/>
    <n v="-3572685.46"/>
    <n v="-3235921.27"/>
    <n v="-3475055.03"/>
    <n v="-2531891.4"/>
    <n v="-3759586.06"/>
    <n v="-3474062.73"/>
    <n v="-3494648.75"/>
    <n v="-3154032.46"/>
    <n v="-41055298.329999998"/>
    <n v="-340616.29000000004"/>
  </r>
  <r>
    <x v="1"/>
    <x v="1"/>
    <x v="0"/>
    <s v="5918200"/>
    <n v="400040"/>
    <s v="Physician Svcs Rev--Self Pay"/>
    <s v="The Doctors Clinic"/>
    <x v="0"/>
    <n v="1500"/>
    <n v="-234403.28"/>
    <n v="-277766.46999999997"/>
    <n v="-232213.88"/>
    <n v="-457670.36"/>
    <n v="-264726.3"/>
    <n v="-229585.61"/>
    <n v="-357289.11"/>
    <n v="-202918.12"/>
    <n v="-272475.86"/>
    <n v="-366325.87"/>
    <n v="-341914.32"/>
    <n v="-328715.88"/>
    <n v="-3566005.0599999996"/>
    <n v="-13198.440000000002"/>
  </r>
  <r>
    <x v="1"/>
    <x v="1"/>
    <x v="0"/>
    <s v="5918200"/>
    <n v="400040"/>
    <s v="Physician Svcs Rev--Other"/>
    <s v="The Doctors Clinic"/>
    <x v="0"/>
    <n v="1700"/>
    <n v="-1327144.8899999999"/>
    <n v="-1158368.92"/>
    <n v="-1027224.87"/>
    <n v="-1323237.46"/>
    <n v="-1136663.6100000001"/>
    <n v="-998489.57"/>
    <n v="-1191030.17"/>
    <n v="-866875.31"/>
    <n v="-1160786.3600000001"/>
    <n v="-1150006.06"/>
    <n v="-1103399.21"/>
    <n v="-1058217.56"/>
    <n v="-13501443.99"/>
    <n v="-45181.649999999907"/>
  </r>
  <r>
    <x v="2"/>
    <x v="1"/>
    <x v="0"/>
    <s v="5918200"/>
    <n v="450040"/>
    <s v="Contr Allow--Phys Svcs--Mcare"/>
    <s v="The Doctors Clinic"/>
    <x v="0"/>
    <n v="1100"/>
    <n v="2784742.34"/>
    <n v="2827427.82"/>
    <n v="2560686.31"/>
    <n v="2940926.51"/>
    <n v="2464033.0299999998"/>
    <n v="2356772.08"/>
    <n v="2769618.61"/>
    <n v="2307639.39"/>
    <n v="2962637.36"/>
    <n v="3078971.9"/>
    <n v="2823141.56"/>
    <n v="2491757.0699999998"/>
    <n v="32368353.979999997"/>
    <n v="331384.49000000022"/>
  </r>
  <r>
    <x v="2"/>
    <x v="1"/>
    <x v="0"/>
    <s v="5918200"/>
    <n v="450040"/>
    <s v="Contr Allow--Phys Svcs--Mcaid"/>
    <s v="The Doctors Clinic"/>
    <x v="0"/>
    <n v="1200"/>
    <n v="640327.06999999995"/>
    <n v="615436.53"/>
    <n v="546880.91"/>
    <n v="642954.07999999996"/>
    <n v="599063.25"/>
    <n v="563427.43999999994"/>
    <n v="634373.80000000005"/>
    <n v="471081.15"/>
    <n v="693943.89"/>
    <n v="742498.01"/>
    <n v="581541.57999999996"/>
    <n v="641348.30000000005"/>
    <n v="7372876.0099999998"/>
    <n v="-59806.720000000088"/>
  </r>
  <r>
    <x v="2"/>
    <x v="1"/>
    <x v="0"/>
    <s v="5918200"/>
    <n v="450040"/>
    <s v="Contr Allow--Phys Svcs--Comm Insurance"/>
    <s v="The Doctors Clinic"/>
    <x v="0"/>
    <n v="1300"/>
    <n v="73998.09"/>
    <n v="71450.55"/>
    <n v="7283.66"/>
    <n v="72574.789999999994"/>
    <n v="46784.57"/>
    <n v="39061.730000000003"/>
    <n v="82611.350000000006"/>
    <n v="93810"/>
    <n v="110378.21"/>
    <n v="197713.69"/>
    <n v="85641.04"/>
    <n v="84974.29"/>
    <n v="966281.97"/>
    <n v="666.75"/>
  </r>
  <r>
    <x v="2"/>
    <x v="1"/>
    <x v="0"/>
    <s v="5918200"/>
    <n v="450040"/>
    <s v="Contr Allow--Phys Svcs--BCBS Comm Ins"/>
    <s v="The Doctors Clinic"/>
    <x v="0"/>
    <n v="1301"/>
    <n v="457589.48"/>
    <n v="348985.98"/>
    <n v="360269.48"/>
    <n v="505743.85"/>
    <n v="399819.73"/>
    <n v="398415.11"/>
    <n v="345764.82"/>
    <n v="331706.34999999998"/>
    <n v="394146.32"/>
    <n v="479290.39"/>
    <n v="411583.82"/>
    <n v="391277.95"/>
    <n v="4824593.28"/>
    <n v="20305.869999999995"/>
  </r>
  <r>
    <x v="2"/>
    <x v="1"/>
    <x v="0"/>
    <s v="5918200"/>
    <n v="450040"/>
    <s v="Contr Allow--Phys Svcs--Managed Care"/>
    <s v="The Doctors Clinic"/>
    <x v="0"/>
    <n v="1400"/>
    <n v="1674048.49"/>
    <n v="1679229.08"/>
    <n v="1670161.5"/>
    <n v="1893316.21"/>
    <n v="1692095.91"/>
    <n v="1452549.89"/>
    <n v="1614294.71"/>
    <n v="1152498.58"/>
    <n v="1744677.86"/>
    <n v="1681834.42"/>
    <n v="1619152.6"/>
    <n v="1434433.5"/>
    <n v="19308292.75"/>
    <n v="184719.10000000009"/>
  </r>
  <r>
    <x v="2"/>
    <x v="1"/>
    <x v="0"/>
    <s v="5918200"/>
    <n v="450040"/>
    <s v="Prompt Pay Disc-Phys Svcs-Self Pay"/>
    <s v="The Doctors Clinic"/>
    <x v="0"/>
    <n v="1500"/>
    <n v="-95709.71"/>
    <n v="164752.5"/>
    <n v="82699.3"/>
    <n v="-151742.09"/>
    <n v="0"/>
    <n v="0"/>
    <n v="0"/>
    <n v="0"/>
    <n v="0"/>
    <n v="0"/>
    <n v="0"/>
    <n v="0"/>
    <n v="0"/>
    <n v="0"/>
  </r>
  <r>
    <x v="2"/>
    <x v="1"/>
    <x v="0"/>
    <s v="5918200"/>
    <n v="450040"/>
    <s v="Admin Adjust-Phys Svcs-Self Pay"/>
    <s v="The Doctors Clinic"/>
    <x v="0"/>
    <n v="1600"/>
    <n v="0"/>
    <n v="0"/>
    <n v="0"/>
    <n v="-211607.31"/>
    <n v="-16115.22"/>
    <n v="-7876.29"/>
    <n v="5403.05"/>
    <n v="-39412.559999999998"/>
    <n v="-10777.39"/>
    <n v="7583.15"/>
    <n v="-20322.93"/>
    <n v="-41114.68"/>
    <n v="-334240.18"/>
    <n v="20791.75"/>
  </r>
  <r>
    <x v="2"/>
    <x v="1"/>
    <x v="0"/>
    <s v="5918200"/>
    <n v="450040"/>
    <s v="Contr Allow--Phys Svcs--Other"/>
    <s v="The Doctors Clinic"/>
    <x v="0"/>
    <n v="1700"/>
    <n v="856371.72"/>
    <n v="613181.13"/>
    <n v="557751.93000000005"/>
    <n v="733287.41"/>
    <n v="608085.94999999995"/>
    <n v="447489.08"/>
    <n v="688895.29"/>
    <n v="542150"/>
    <n v="559738.93000000005"/>
    <n v="634672.30000000005"/>
    <n v="556677.37"/>
    <n v="535887.55000000005"/>
    <n v="7334188.6600000001"/>
    <n v="20789.819999999949"/>
  </r>
  <r>
    <x v="3"/>
    <x v="1"/>
    <x v="0"/>
    <s v="5918200"/>
    <n v="470040"/>
    <s v="Charity Care-Physician Svcs"/>
    <s v="The Doctors Clinic"/>
    <x v="0"/>
    <m/>
    <n v="0"/>
    <n v="0"/>
    <n v="0"/>
    <n v="114520.9"/>
    <n v="21126.43"/>
    <n v="15189.82"/>
    <n v="46416.28"/>
    <n v="86442.46"/>
    <n v="35810.089999999997"/>
    <n v="55503.79"/>
    <n v="6081"/>
    <n v="45523.53"/>
    <n v="426614.29999999993"/>
    <n v="-39442.53"/>
  </r>
  <r>
    <x v="4"/>
    <x v="1"/>
    <x v="0"/>
    <s v="5918200"/>
    <n v="490010"/>
    <s v="Provision for Bad Debts"/>
    <s v="The Doctors Clinic"/>
    <x v="0"/>
    <m/>
    <n v="0"/>
    <n v="0"/>
    <n v="0"/>
    <n v="294531.17"/>
    <n v="27675.83"/>
    <n v="47813.89"/>
    <n v="90714.81"/>
    <n v="161873"/>
    <n v="56516.37"/>
    <n v="105664.66"/>
    <n v="-37665.919999999998"/>
    <n v="92108.44"/>
    <n v="839232.25"/>
    <n v="-129774.36"/>
  </r>
  <r>
    <x v="14"/>
    <x v="1"/>
    <x v="0"/>
    <s v="5918200"/>
    <n v="600010"/>
    <s v="Product Sales Income-Taxable"/>
    <s v="The Doctors Clinic"/>
    <x v="0"/>
    <m/>
    <n v="-7134.78"/>
    <n v="-10450.200000000001"/>
    <n v="-8094.8"/>
    <n v="-8143.2"/>
    <n v="-6717.3"/>
    <n v="-14084.94"/>
    <n v="-7454.2"/>
    <n v="-7380.1"/>
    <n v="-10137.700000000001"/>
    <n v="-7595.2"/>
    <n v="-11051.8"/>
    <n v="-6579"/>
    <n v="-104823.22"/>
    <n v="-4472.7999999999993"/>
  </r>
  <r>
    <x v="14"/>
    <x v="1"/>
    <x v="0"/>
    <s v="5918200"/>
    <n v="600060"/>
    <s v="Gain/Loss--Sale of Fixed Assets"/>
    <s v="The Doctors Clinic"/>
    <x v="0"/>
    <m/>
    <n v="0"/>
    <n v="0"/>
    <n v="0"/>
    <n v="0"/>
    <n v="0"/>
    <n v="-99069.73"/>
    <n v="74321.759999999995"/>
    <n v="0"/>
    <n v="4945.8599999999997"/>
    <n v="0"/>
    <n v="0"/>
    <n v="0"/>
    <n v="-19802.11"/>
    <n v="0"/>
  </r>
  <r>
    <x v="17"/>
    <x v="1"/>
    <x v="0"/>
    <s v="5918200"/>
    <n v="714520"/>
    <s v="Other Contracted Professionals"/>
    <s v="The Doctors Clinic"/>
    <x v="0"/>
    <m/>
    <n v="1784386"/>
    <n v="1959285"/>
    <n v="2236228"/>
    <n v="1984623"/>
    <n v="2046298"/>
    <n v="1993223.94"/>
    <n v="2083787.93"/>
    <n v="2189131.56"/>
    <n v="1830318.25"/>
    <n v="1402443.52"/>
    <n v="2106994"/>
    <n v="2100641"/>
    <n v="23717360.199999999"/>
    <n v="6353"/>
  </r>
  <r>
    <x v="7"/>
    <x v="1"/>
    <x v="0"/>
    <s v="5918200"/>
    <n v="718050"/>
    <s v="Contract Svcs-Other"/>
    <s v="The Doctors Clinic"/>
    <x v="0"/>
    <m/>
    <n v="11790.59"/>
    <n v="-1242.42"/>
    <n v="0"/>
    <n v="11790.59"/>
    <n v="-874.59"/>
    <n v="0"/>
    <n v="11790.59"/>
    <n v="0"/>
    <n v="11790.59"/>
    <n v="-47216.24"/>
    <n v="0"/>
    <n v="0"/>
    <n v="-2170.8899999999921"/>
    <n v="0"/>
  </r>
  <r>
    <x v="7"/>
    <x v="1"/>
    <x v="0"/>
    <s v="5918200"/>
    <n v="718050"/>
    <s v="Miscellaneous Purchased Svcs"/>
    <s v="The Doctors Clinic"/>
    <x v="0"/>
    <n v="1020"/>
    <n v="2985358.05"/>
    <n v="3129892.25"/>
    <n v="2855958.99"/>
    <n v="3288611.97"/>
    <n v="2888784.55"/>
    <n v="2888746.32"/>
    <n v="3059916.29"/>
    <n v="2680698.09"/>
    <n v="2917911.98"/>
    <n v="3111025.74"/>
    <n v="2992019"/>
    <n v="2687129.99"/>
    <n v="35486053.219999999"/>
    <n v="304889.00999999978"/>
  </r>
  <r>
    <x v="7"/>
    <x v="1"/>
    <x v="0"/>
    <s v="5918200"/>
    <n v="718070"/>
    <s v="Contract Srvcs-CHI Clinical Engineering"/>
    <s v="The Doctors Clinic"/>
    <x v="0"/>
    <m/>
    <n v="6152.51"/>
    <n v="5985.79"/>
    <n v="3758.94"/>
    <n v="2713.76"/>
    <n v="3991.55"/>
    <n v="5654.31"/>
    <n v="4785.49"/>
    <n v="10477.81"/>
    <n v="6040.13"/>
    <n v="2321.9699999999998"/>
    <n v="5461.76"/>
    <n v="2244.3200000000002"/>
    <n v="59588.34"/>
    <n v="3217.44"/>
  </r>
  <r>
    <x v="11"/>
    <x v="1"/>
    <x v="0"/>
    <s v="5918200"/>
    <n v="721810"/>
    <s v="Supplies-Dietary/Cafeteria"/>
    <s v="The Doctors Clinic"/>
    <x v="0"/>
    <m/>
    <n v="0"/>
    <n v="0"/>
    <n v="0"/>
    <n v="0"/>
    <n v="0"/>
    <n v="0"/>
    <n v="167.5"/>
    <n v="0"/>
    <n v="0"/>
    <n v="0"/>
    <n v="0"/>
    <n v="0"/>
    <n v="167.5"/>
    <n v="0"/>
  </r>
  <r>
    <x v="11"/>
    <x v="1"/>
    <x v="0"/>
    <s v="5918200"/>
    <n v="721835"/>
    <s v="Supplies-Forms"/>
    <s v="The Doctors Clinic"/>
    <x v="0"/>
    <m/>
    <n v="0"/>
    <n v="0"/>
    <n v="0"/>
    <n v="0"/>
    <n v="0"/>
    <n v="0"/>
    <n v="184"/>
    <n v="0"/>
    <n v="0"/>
    <n v="5.99"/>
    <n v="0"/>
    <n v="0"/>
    <n v="189.99"/>
    <n v="0"/>
  </r>
  <r>
    <x v="12"/>
    <x v="1"/>
    <x v="0"/>
    <s v="5918200"/>
    <n v="730010"/>
    <s v="Rental and Leases-Building (DO NOT USE)"/>
    <s v="The Doctors Clinic"/>
    <x v="0"/>
    <m/>
    <n v="380678.81"/>
    <n v="382231.5"/>
    <n v="382231.5"/>
    <n v="382231.5"/>
    <n v="384162.66"/>
    <n v="-189454.43"/>
    <n v="288553.32"/>
    <n v="288553.32"/>
    <n v="174297.72"/>
    <n v="287113.96999999997"/>
    <n v="271388.73"/>
    <n v="0"/>
    <n v="3031988.6"/>
    <n v="271388.73"/>
  </r>
  <r>
    <x v="12"/>
    <x v="1"/>
    <x v="0"/>
    <s v="5918200"/>
    <n v="730010"/>
    <s v="Rental-Common Area Maint (DO NOT USE)"/>
    <s v="The Doctors Clinic"/>
    <x v="0"/>
    <n v="2200"/>
    <n v="0"/>
    <n v="0"/>
    <n v="0"/>
    <n v="0"/>
    <n v="0"/>
    <n v="573632.92000000004"/>
    <n v="95625.17"/>
    <n v="126069.09"/>
    <n v="98852.79"/>
    <n v="107044.44"/>
    <n v="107044.44"/>
    <n v="0"/>
    <n v="1108268.8500000001"/>
    <n v="107044.44"/>
  </r>
  <r>
    <x v="12"/>
    <x v="1"/>
    <x v="0"/>
    <s v="5918200"/>
    <n v="730020"/>
    <s v="Rental and Leases-Equipment (DO NOT USE)"/>
    <s v="The Doctors Clinic"/>
    <x v="0"/>
    <m/>
    <n v="7246.29"/>
    <n v="7246.29"/>
    <n v="-3292.21"/>
    <n v="7246.29"/>
    <n v="7246.29"/>
    <n v="7007.08"/>
    <n v="7246.29"/>
    <n v="7246.29"/>
    <n v="7246.29"/>
    <n v="7246.29"/>
    <n v="8057.11"/>
    <n v="810.82"/>
    <n v="70553.12000000001"/>
    <n v="7246.29"/>
  </r>
  <r>
    <x v="12"/>
    <x v="1"/>
    <x v="0"/>
    <s v="5918200"/>
    <n v="730040"/>
    <s v="LT Lease-Real Estate"/>
    <s v="The Doctors Clinic"/>
    <x v="0"/>
    <m/>
    <n v="0"/>
    <n v="0"/>
    <n v="0"/>
    <n v="0"/>
    <n v="0"/>
    <n v="0"/>
    <n v="0"/>
    <n v="0"/>
    <n v="0"/>
    <n v="0"/>
    <n v="0"/>
    <n v="393014.34"/>
    <n v="393014.34"/>
    <n v="-393014.34"/>
  </r>
  <r>
    <x v="16"/>
    <x v="1"/>
    <x v="0"/>
    <s v="5918200"/>
    <n v="733030"/>
    <s v="Maintenance Contracts-Other"/>
    <s v="The Doctors Clinic"/>
    <x v="0"/>
    <m/>
    <n v="1808.57"/>
    <n v="1808.57"/>
    <n v="-15868.42"/>
    <n v="1808.57"/>
    <n v="1808.57"/>
    <n v="1808.57"/>
    <n v="1808.57"/>
    <n v="1808.57"/>
    <n v="1808.57"/>
    <n v="1808.57"/>
    <n v="1808.57"/>
    <n v="1808.57"/>
    <n v="4025.8499999999976"/>
    <n v="0"/>
  </r>
  <r>
    <x v="13"/>
    <x v="1"/>
    <x v="0"/>
    <s v="5918200"/>
    <n v="735050"/>
    <s v="Amortization-Leasehold Improvements"/>
    <s v="The Doctors Clinic"/>
    <x v="0"/>
    <m/>
    <n v="77723.19"/>
    <n v="77723.06"/>
    <n v="77551.11"/>
    <n v="77550.86"/>
    <n v="77551.25"/>
    <n v="77550.73"/>
    <n v="77551.350000000006"/>
    <n v="77550.64"/>
    <n v="77551.509999999995"/>
    <n v="77550.47"/>
    <n v="77551.600000000006"/>
    <n v="77550.36"/>
    <n v="930956.12999999989"/>
    <n v="1.2400000000052387"/>
  </r>
  <r>
    <x v="13"/>
    <x v="1"/>
    <x v="0"/>
    <s v="5918200"/>
    <n v="735070"/>
    <s v="Depreciation-Movable Equipment"/>
    <s v="The Doctors Clinic"/>
    <x v="0"/>
    <m/>
    <n v="107355.92"/>
    <n v="107355.5"/>
    <n v="97773.39"/>
    <n v="97772.89"/>
    <n v="97773.75"/>
    <n v="106733.19"/>
    <n v="103422.27"/>
    <n v="103420.84"/>
    <n v="91234.64"/>
    <n v="102398.09"/>
    <n v="102400.34"/>
    <n v="102397.94"/>
    <n v="1220038.76"/>
    <n v="2.3999999999941792"/>
  </r>
  <r>
    <x v="13"/>
    <x v="1"/>
    <x v="0"/>
    <s v="5918200"/>
    <n v="736000"/>
    <s v="General Amortization Expense"/>
    <s v="The Doctors Clinic"/>
    <x v="0"/>
    <n v="5000"/>
    <n v="37984.97"/>
    <n v="37984.97"/>
    <n v="37984.97"/>
    <n v="37984.97"/>
    <n v="37984.97"/>
    <n v="37984.97"/>
    <n v="37984.97"/>
    <n v="37984.97"/>
    <n v="37984.97"/>
    <n v="37984.97"/>
    <n v="37984.97"/>
    <n v="37984.97"/>
    <n v="455819.6399999999"/>
    <n v="0"/>
  </r>
  <r>
    <x v="0"/>
    <x v="1"/>
    <x v="0"/>
    <s v="5918200"/>
    <n v="746020"/>
    <s v="Bank Fees--Ext to CHI Programs"/>
    <s v="The Doctors Clinic"/>
    <x v="0"/>
    <m/>
    <n v="0"/>
    <n v="0"/>
    <n v="0"/>
    <n v="0"/>
    <n v="0"/>
    <n v="0"/>
    <n v="0"/>
    <n v="454.12"/>
    <n v="0"/>
    <n v="0"/>
    <n v="0"/>
    <n v="0"/>
    <n v="454.12"/>
    <n v="0"/>
  </r>
  <r>
    <x v="0"/>
    <x v="1"/>
    <x v="0"/>
    <s v="5918200"/>
    <n v="749510"/>
    <s v="Miscellaneous Expenses"/>
    <s v="The Doctors Clinic"/>
    <x v="0"/>
    <m/>
    <n v="0"/>
    <n v="0"/>
    <n v="0"/>
    <n v="0"/>
    <n v="0"/>
    <n v="0"/>
    <n v="0"/>
    <n v="0"/>
    <n v="0"/>
    <n v="-1373"/>
    <n v="0"/>
    <n v="0"/>
    <n v="-1373"/>
    <n v="0"/>
  </r>
  <r>
    <x v="0"/>
    <x v="1"/>
    <x v="0"/>
    <s v="5918200"/>
    <n v="766010"/>
    <s v="Property Tax"/>
    <s v="The Doctors Clinic"/>
    <x v="0"/>
    <m/>
    <n v="3821.57"/>
    <n v="7196.47"/>
    <n v="3821.57"/>
    <n v="3821.57"/>
    <n v="3821.57"/>
    <n v="3821.57"/>
    <n v="3821.57"/>
    <n v="3821.57"/>
    <n v="3821.57"/>
    <n v="448.97"/>
    <n v="2978.45"/>
    <n v="2978.45"/>
    <n v="44174.899999999994"/>
    <n v="0"/>
  </r>
  <r>
    <x v="5"/>
    <x v="1"/>
    <x v="0"/>
    <s v="5941200"/>
    <n v="700014"/>
    <s v="Salaries-Management-Productive"/>
    <s v="Psychiatry Silverdale S/S"/>
    <x v="0"/>
    <m/>
    <n v="3000.38"/>
    <n v="3635.66"/>
    <n v="3161.44"/>
    <n v="3799.69"/>
    <n v="3477.59"/>
    <n v="-626.32000000000005"/>
    <n v="0"/>
    <n v="0"/>
    <n v="0"/>
    <n v="0"/>
    <n v="0"/>
    <n v="0"/>
    <n v="16448.440000000002"/>
    <n v="0"/>
  </r>
  <r>
    <x v="5"/>
    <x v="1"/>
    <x v="0"/>
    <s v="5941200"/>
    <n v="700038"/>
    <s v="Salaries-Service/Support-Productive"/>
    <s v="Psychiatry Silverdale S/S"/>
    <x v="0"/>
    <m/>
    <n v="5564.38"/>
    <n v="5930.69"/>
    <n v="4784.71"/>
    <n v="5820.78"/>
    <n v="5578.74"/>
    <n v="4633.43"/>
    <n v="6082.01"/>
    <n v="5144.8"/>
    <n v="5511.08"/>
    <n v="4541.83"/>
    <n v="6642.92"/>
    <n v="4956.63"/>
    <n v="65192"/>
    <n v="1686.29"/>
  </r>
  <r>
    <x v="5"/>
    <x v="1"/>
    <x v="0"/>
    <s v="5941200"/>
    <n v="700038"/>
    <s v="Salaries-Service/Support-OT"/>
    <s v="Psychiatry Silverdale S/S"/>
    <x v="0"/>
    <n v="1000"/>
    <n v="183.34"/>
    <n v="236.82"/>
    <n v="61.13"/>
    <n v="150.25"/>
    <n v="63.42"/>
    <n v="226.77"/>
    <n v="167.46"/>
    <n v="65.05"/>
    <n v="22.24"/>
    <n v="624.57000000000005"/>
    <n v="230.14"/>
    <n v="-119.03"/>
    <n v="1912.1599999999996"/>
    <n v="349.16999999999996"/>
  </r>
  <r>
    <x v="5"/>
    <x v="1"/>
    <x v="0"/>
    <s v="5941200"/>
    <n v="700038"/>
    <s v="Salaries-Service/Support-Other"/>
    <s v="Psychiatry Silverdale S/S"/>
    <x v="0"/>
    <n v="2000"/>
    <n v="0"/>
    <n v="0"/>
    <n v="0"/>
    <n v="0"/>
    <n v="0"/>
    <n v="0"/>
    <n v="0"/>
    <n v="4.5599999999999996"/>
    <n v="-1.3"/>
    <n v="0"/>
    <n v="0"/>
    <n v="2"/>
    <n v="5.26"/>
    <n v="-2"/>
  </r>
  <r>
    <x v="5"/>
    <x v="1"/>
    <x v="0"/>
    <s v="5941200"/>
    <n v="700054"/>
    <s v="Salaries-Management-Non-productive"/>
    <s v="Psychiatry Silverdale S/S"/>
    <x v="0"/>
    <m/>
    <n v="0"/>
    <n v="0"/>
    <n v="0"/>
    <n v="954.4"/>
    <n v="0"/>
    <n v="0"/>
    <n v="0"/>
    <n v="0"/>
    <n v="0"/>
    <n v="0"/>
    <n v="0"/>
    <n v="0"/>
    <n v="954.4"/>
    <n v="0"/>
  </r>
  <r>
    <x v="5"/>
    <x v="1"/>
    <x v="0"/>
    <s v="5941200"/>
    <n v="700078"/>
    <s v="Salaries-Service/Support-Non-productive"/>
    <s v="Psychiatry Silverdale S/S"/>
    <x v="0"/>
    <m/>
    <n v="-615.47"/>
    <n v="0"/>
    <n v="173.15"/>
    <n v="637.16"/>
    <n v="270.76"/>
    <n v="1396.46"/>
    <n v="433.68"/>
    <n v="358.01"/>
    <n v="115.37"/>
    <n v="1635.72"/>
    <n v="-324.99"/>
    <n v="952.63"/>
    <n v="5032.4800000000005"/>
    <n v="-1277.6199999999999"/>
  </r>
  <r>
    <x v="5"/>
    <x v="1"/>
    <x v="0"/>
    <s v="5941200"/>
    <n v="700078"/>
    <s v="Salaries-Service/Support-NonProd-Other"/>
    <s v="Psychiatry Silverdale S/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41200"/>
    <n v="700084"/>
    <s v="Accrued PTO"/>
    <s v="Psychiatry Silverdale S/S"/>
    <x v="0"/>
    <m/>
    <n v="247.82"/>
    <n v="489.26"/>
    <n v="296.19"/>
    <n v="424.11"/>
    <n v="223.42"/>
    <n v="-538.1"/>
    <n v="33.24"/>
    <n v="213.39"/>
    <n v="498.03"/>
    <n v="-760.04"/>
    <n v="513.30999999999995"/>
    <n v="-265.45"/>
    <n v="1375.1800000000003"/>
    <n v="778.76"/>
  </r>
  <r>
    <x v="6"/>
    <x v="1"/>
    <x v="0"/>
    <s v="5941200"/>
    <n v="713010"/>
    <s v="Benefits-FICA/Medicare"/>
    <s v="Psychiatry Silverdale S/S"/>
    <x v="0"/>
    <m/>
    <n v="569.55999999999995"/>
    <n v="688.58"/>
    <n v="572.4"/>
    <n v="804.95"/>
    <n v="661.68"/>
    <n v="383.05"/>
    <n v="454.84"/>
    <n v="377.31"/>
    <n v="380.59"/>
    <n v="466.37"/>
    <n v="444.57"/>
    <n v="397.06"/>
    <n v="6200.96"/>
    <n v="47.509999999999991"/>
  </r>
  <r>
    <x v="6"/>
    <x v="1"/>
    <x v="0"/>
    <s v="5941200"/>
    <n v="713090"/>
    <s v="Benefits-Allocated Amounts"/>
    <s v="Psychiatry Silverdale S/S"/>
    <x v="0"/>
    <m/>
    <n v="1907.55"/>
    <n v="2097.52"/>
    <n v="2041.15"/>
    <n v="2446.3000000000002"/>
    <n v="2201.2800000000002"/>
    <n v="1935.15"/>
    <n v="2222"/>
    <n v="2039.17"/>
    <n v="1970.37"/>
    <n v="1919.73"/>
    <n v="2069.0100000000002"/>
    <n v="1896.16"/>
    <n v="24745.390000000003"/>
    <n v="172.85000000000014"/>
  </r>
  <r>
    <x v="7"/>
    <x v="1"/>
    <x v="0"/>
    <s v="5941200"/>
    <n v="718050"/>
    <s v="Contract Svcs-Other"/>
    <s v="Psychiatry Silverdale S/S"/>
    <x v="0"/>
    <m/>
    <n v="0"/>
    <n v="0"/>
    <n v="325"/>
    <n v="0"/>
    <n v="0"/>
    <n v="0"/>
    <n v="0"/>
    <n v="0"/>
    <n v="0"/>
    <n v="0"/>
    <n v="125"/>
    <n v="0"/>
    <n v="450"/>
    <n v="125"/>
  </r>
  <r>
    <x v="7"/>
    <x v="1"/>
    <x v="0"/>
    <s v="5941200"/>
    <n v="718050"/>
    <s v="Miscellaneous Purchased Svcs"/>
    <s v="Psychiatry Silverdale S/S"/>
    <x v="0"/>
    <n v="1020"/>
    <n v="160.35"/>
    <n v="188.05"/>
    <n v="188.75"/>
    <n v="162.06"/>
    <n v="180.18"/>
    <n v="162.99"/>
    <n v="317.12"/>
    <n v="142.79"/>
    <n v="270.38"/>
    <n v="134.5"/>
    <n v="0"/>
    <n v="288.31"/>
    <n v="2195.48"/>
    <n v="-288.31"/>
  </r>
  <r>
    <x v="11"/>
    <x v="1"/>
    <x v="0"/>
    <s v="5941200"/>
    <n v="721410"/>
    <s v="Supplies-Medical - Nonbillable"/>
    <s v="Psychiatry Silverdale S/S"/>
    <x v="0"/>
    <m/>
    <n v="0"/>
    <n v="0"/>
    <n v="0"/>
    <n v="0"/>
    <n v="0"/>
    <n v="271.14999999999998"/>
    <n v="0"/>
    <n v="0"/>
    <n v="0"/>
    <n v="0"/>
    <n v="0"/>
    <n v="0"/>
    <n v="271.14999999999998"/>
    <n v="0"/>
  </r>
  <r>
    <x v="12"/>
    <x v="1"/>
    <x v="0"/>
    <s v="5941200"/>
    <n v="730010"/>
    <s v="Rental and Leases-Building (DO NOT USE)"/>
    <s v="Psychiatry Silverdale S/S"/>
    <x v="0"/>
    <m/>
    <n v="5662.17"/>
    <n v="5662.17"/>
    <n v="5662.17"/>
    <n v="5662.17"/>
    <n v="5869.8"/>
    <n v="-7201.26"/>
    <n v="3529.8"/>
    <n v="3529.8"/>
    <n v="2923.06"/>
    <n v="2923.06"/>
    <n v="2923.06"/>
    <n v="-606.74"/>
    <n v="36539.26"/>
    <n v="3529.8"/>
  </r>
  <r>
    <x v="12"/>
    <x v="1"/>
    <x v="0"/>
    <s v="5941200"/>
    <n v="730010"/>
    <s v="Rental-Common Area Maint (DO NOT USE)"/>
    <s v="Psychiatry Silverdale S/S"/>
    <x v="0"/>
    <n v="2200"/>
    <n v="0"/>
    <n v="0"/>
    <n v="0"/>
    <n v="0"/>
    <n v="0"/>
    <n v="12932.64"/>
    <n v="2201.58"/>
    <n v="2201.58"/>
    <n v="1209.69"/>
    <n v="1491.46"/>
    <n v="-7075.54"/>
    <n v="0"/>
    <n v="12961.409999999996"/>
    <n v="-7075.54"/>
  </r>
  <r>
    <x v="12"/>
    <x v="1"/>
    <x v="0"/>
    <s v="5941200"/>
    <n v="730020"/>
    <s v="Rental and Leases-Copier Usage Fees (DO NOT USE)"/>
    <s v="Psychiatry Silverdale S/S"/>
    <x v="0"/>
    <n v="5100"/>
    <n v="436.7"/>
    <n v="484.46"/>
    <n v="460.58"/>
    <n v="460.58"/>
    <n v="460.58"/>
    <n v="460.58"/>
    <n v="-106.51"/>
    <n v="427.6"/>
    <n v="426.7"/>
    <n v="429.53"/>
    <n v="427.6"/>
    <n v="427.6"/>
    <n v="4796"/>
    <n v="0"/>
  </r>
  <r>
    <x v="12"/>
    <x v="1"/>
    <x v="0"/>
    <s v="5941200"/>
    <n v="730040"/>
    <s v="LT Lease-Real Estate"/>
    <s v="Psychiatry Silverdale S/S"/>
    <x v="0"/>
    <m/>
    <n v="0"/>
    <n v="0"/>
    <n v="0"/>
    <n v="0"/>
    <n v="0"/>
    <n v="0"/>
    <n v="0"/>
    <n v="0"/>
    <n v="0"/>
    <n v="0"/>
    <n v="0"/>
    <n v="5021.26"/>
    <n v="5021.26"/>
    <n v="-5021.26"/>
  </r>
  <r>
    <x v="15"/>
    <x v="1"/>
    <x v="0"/>
    <s v="5941200"/>
    <n v="731060"/>
    <s v="Telephone"/>
    <s v="Psychiatry Silverdale S/S"/>
    <x v="0"/>
    <m/>
    <n v="2359.5"/>
    <n v="7098.95"/>
    <n v="529.96"/>
    <n v="2256.94"/>
    <n v="1790.6"/>
    <n v="1531.69"/>
    <n v="2754.3"/>
    <n v="1620.62"/>
    <n v="1904.03"/>
    <n v="2045.96"/>
    <n v="1777.88"/>
    <n v="1573.23"/>
    <n v="27243.66"/>
    <n v="204.65000000000009"/>
  </r>
  <r>
    <x v="16"/>
    <x v="1"/>
    <x v="0"/>
    <s v="5941200"/>
    <n v="732030"/>
    <s v="Repairs---Other"/>
    <s v="Psychiatry Silverdale S/S"/>
    <x v="0"/>
    <m/>
    <n v="0"/>
    <n v="0"/>
    <n v="0"/>
    <n v="18.41"/>
    <n v="0"/>
    <n v="0"/>
    <n v="0"/>
    <n v="0"/>
    <n v="663.82"/>
    <n v="0"/>
    <n v="0"/>
    <n v="0"/>
    <n v="682.23"/>
    <n v="0"/>
  </r>
  <r>
    <x v="0"/>
    <x v="1"/>
    <x v="0"/>
    <s v="5941200"/>
    <n v="749510"/>
    <s v="Miscellaneous Expenses"/>
    <s v="Psychiatry Silverdale S/S"/>
    <x v="0"/>
    <m/>
    <n v="0"/>
    <n v="0"/>
    <n v="0"/>
    <n v="0"/>
    <n v="0"/>
    <n v="0"/>
    <n v="0"/>
    <n v="0"/>
    <n v="0"/>
    <n v="35.24"/>
    <n v="0"/>
    <n v="0"/>
    <n v="35.24"/>
    <n v="0"/>
  </r>
  <r>
    <x v="0"/>
    <x v="1"/>
    <x v="0"/>
    <s v="5941200"/>
    <n v="749530"/>
    <s v="Travel"/>
    <s v="Psychiatry Silverdale S/S"/>
    <x v="0"/>
    <m/>
    <n v="0"/>
    <n v="0"/>
    <n v="0"/>
    <n v="0"/>
    <n v="0"/>
    <n v="0"/>
    <n v="0"/>
    <n v="0"/>
    <n v="0"/>
    <n v="6"/>
    <n v="0"/>
    <n v="0"/>
    <n v="6"/>
    <n v="0"/>
  </r>
  <r>
    <x v="0"/>
    <x v="1"/>
    <x v="0"/>
    <s v="5941200"/>
    <n v="749530"/>
    <s v="Mileage"/>
    <s v="Psychiatry Silverdale S/S"/>
    <x v="0"/>
    <n v="1001"/>
    <n v="0"/>
    <n v="0"/>
    <n v="0"/>
    <n v="0"/>
    <n v="0"/>
    <n v="0"/>
    <n v="0"/>
    <n v="0"/>
    <n v="0"/>
    <n v="44.66"/>
    <n v="0"/>
    <n v="0"/>
    <n v="44.66"/>
    <n v="0"/>
  </r>
  <r>
    <x v="5"/>
    <x v="1"/>
    <x v="0"/>
    <s v="5942200"/>
    <n v="700014"/>
    <s v="Salaries-Management-Productive"/>
    <s v="Cardiology Consultants S/S"/>
    <x v="0"/>
    <m/>
    <n v="0"/>
    <n v="8438.4"/>
    <n v="8016.48"/>
    <n v="9912.9599999999991"/>
    <n v="9537.44"/>
    <n v="5419"/>
    <n v="9595.16"/>
    <n v="5817.71"/>
    <n v="6729.43"/>
    <n v="10636.84"/>
    <n v="9985.6200000000008"/>
    <n v="5209.88"/>
    <n v="89298.92"/>
    <n v="4775.7400000000007"/>
  </r>
  <r>
    <x v="5"/>
    <x v="1"/>
    <x v="0"/>
    <s v="5942200"/>
    <n v="700018"/>
    <s v="Salaries-Supervisory-Productive"/>
    <s v="Cardiology Consultants S/S"/>
    <x v="0"/>
    <m/>
    <n v="2956.8"/>
    <n v="4857.6000000000004"/>
    <n v="4012.8"/>
    <n v="4211.32"/>
    <n v="4952.12"/>
    <n v="1752.96"/>
    <n v="0"/>
    <n v="0"/>
    <n v="0"/>
    <n v="5610.19"/>
    <n v="4712.57"/>
    <n v="2468.4899999999998"/>
    <n v="35534.85"/>
    <n v="2244.08"/>
  </r>
  <r>
    <x v="5"/>
    <x v="1"/>
    <x v="0"/>
    <s v="5942200"/>
    <n v="700034"/>
    <s v="Salaries-Tech/Professional-Productive"/>
    <s v="Cardiology Consultants S/S"/>
    <x v="0"/>
    <m/>
    <n v="4597.05"/>
    <n v="5230.6899999999996"/>
    <n v="1366.13"/>
    <n v="3525.83"/>
    <n v="1812.89"/>
    <n v="0"/>
    <n v="0"/>
    <n v="0"/>
    <n v="0"/>
    <n v="0"/>
    <n v="0"/>
    <n v="0"/>
    <n v="16532.59"/>
    <n v="0"/>
  </r>
  <r>
    <x v="5"/>
    <x v="1"/>
    <x v="0"/>
    <s v="5942200"/>
    <n v="700034"/>
    <s v="Salaries-Tech/Professional-Other"/>
    <s v="Cardiology Consultants S/S"/>
    <x v="0"/>
    <n v="2000"/>
    <n v="578.58000000000004"/>
    <n v="894.99"/>
    <n v="339.01"/>
    <n v="475.96"/>
    <n v="391.13"/>
    <n v="0"/>
    <n v="0"/>
    <n v="0"/>
    <n v="0"/>
    <n v="0"/>
    <n v="0"/>
    <n v="0"/>
    <n v="2679.67"/>
    <n v="0"/>
  </r>
  <r>
    <x v="5"/>
    <x v="1"/>
    <x v="0"/>
    <s v="5942200"/>
    <n v="700038"/>
    <s v="Salaries-Service/Support-Productive"/>
    <s v="Cardiology Consultants S/S"/>
    <x v="0"/>
    <m/>
    <n v="22277.34"/>
    <n v="28259.41"/>
    <n v="26121.13"/>
    <n v="33445.589999999997"/>
    <n v="29998.19"/>
    <n v="27232.67"/>
    <n v="37772.69"/>
    <n v="32070.55"/>
    <n v="42568.79"/>
    <n v="40977.040000000001"/>
    <n v="47942.51"/>
    <n v="37318.120000000003"/>
    <n v="405984.02999999997"/>
    <n v="10624.39"/>
  </r>
  <r>
    <x v="5"/>
    <x v="1"/>
    <x v="0"/>
    <s v="5942200"/>
    <n v="700038"/>
    <s v="Salaries-Service/Support-OT"/>
    <s v="Cardiology Consultants S/S"/>
    <x v="0"/>
    <n v="1000"/>
    <n v="417.84"/>
    <n v="383.4"/>
    <n v="568.32000000000005"/>
    <n v="1111.43"/>
    <n v="2002.1"/>
    <n v="646.44000000000005"/>
    <n v="757"/>
    <n v="550.54"/>
    <n v="1532.93"/>
    <n v="1119.18"/>
    <n v="641.20000000000005"/>
    <n v="93.08"/>
    <n v="9823.4600000000009"/>
    <n v="548.12"/>
  </r>
  <r>
    <x v="5"/>
    <x v="1"/>
    <x v="0"/>
    <s v="5942200"/>
    <n v="700038"/>
    <s v="Salaries-Service/Support-Other"/>
    <s v="Cardiology Consultants S/S"/>
    <x v="0"/>
    <n v="2000"/>
    <n v="0"/>
    <n v="570.30999999999995"/>
    <n v="0"/>
    <n v="180.92"/>
    <n v="252.09"/>
    <n v="503.68"/>
    <n v="281.69"/>
    <n v="211.56"/>
    <n v="206.59"/>
    <n v="179.81"/>
    <n v="199.51"/>
    <n v="279.86"/>
    <n v="2866.02"/>
    <n v="-80.350000000000023"/>
  </r>
  <r>
    <x v="5"/>
    <x v="1"/>
    <x v="0"/>
    <s v="5942200"/>
    <n v="700054"/>
    <s v="Salaries-Management-Non-productive"/>
    <s v="Cardiology Consultants S/S"/>
    <x v="0"/>
    <m/>
    <n v="0"/>
    <n v="2109.6"/>
    <n v="421.92"/>
    <n v="0"/>
    <n v="0"/>
    <n v="3684.92"/>
    <n v="391.07"/>
    <n v="2865.44"/>
    <n v="2387.87"/>
    <n v="-1085.3900000000001"/>
    <n v="0"/>
    <n v="3473.26"/>
    <n v="14248.69"/>
    <n v="-3473.26"/>
  </r>
  <r>
    <x v="5"/>
    <x v="1"/>
    <x v="0"/>
    <s v="5942200"/>
    <n v="700058"/>
    <s v="Salaries-Supervisory-Non-productive"/>
    <s v="Cardiology Consultants S/S"/>
    <x v="0"/>
    <m/>
    <n v="1689.6"/>
    <n v="0"/>
    <n v="211.2"/>
    <n v="788.83"/>
    <n v="-131.47"/>
    <n v="438.24"/>
    <n v="0"/>
    <n v="0"/>
    <n v="0"/>
    <n v="448.82"/>
    <n v="448.82"/>
    <n v="2019.67"/>
    <n v="5913.7100000000009"/>
    <n v="-1570.8500000000001"/>
  </r>
  <r>
    <x v="5"/>
    <x v="1"/>
    <x v="0"/>
    <s v="5942200"/>
    <n v="700078"/>
    <s v="Salaries-Service/Support-Non-productive"/>
    <s v="Cardiology Consultants S/S"/>
    <x v="0"/>
    <m/>
    <n v="4065.83"/>
    <n v="2787.24"/>
    <n v="4909.3"/>
    <n v="2914.65"/>
    <n v="2967.72"/>
    <n v="8361.9500000000007"/>
    <n v="4600.6499999999996"/>
    <n v="5511.02"/>
    <n v="866.64"/>
    <n v="5916.12"/>
    <n v="254.71"/>
    <n v="4870.1499999999996"/>
    <n v="48025.98"/>
    <n v="-4615.4399999999996"/>
  </r>
  <r>
    <x v="5"/>
    <x v="1"/>
    <x v="0"/>
    <s v="5942200"/>
    <n v="700078"/>
    <s v="Salaries-Service/Support-NonProd-Other"/>
    <s v="Cardiology Consultants S/S"/>
    <x v="0"/>
    <n v="2000"/>
    <n v="0"/>
    <n v="0"/>
    <n v="0"/>
    <n v="0"/>
    <n v="271.85000000000002"/>
    <n v="0"/>
    <n v="0"/>
    <n v="-271.85000000000002"/>
    <n v="0"/>
    <n v="0"/>
    <n v="0"/>
    <n v="0"/>
    <n v="0"/>
    <n v="0"/>
  </r>
  <r>
    <x v="5"/>
    <x v="1"/>
    <x v="0"/>
    <s v="5942200"/>
    <n v="700084"/>
    <s v="Accrued PTO"/>
    <s v="Cardiology Consultants S/S"/>
    <x v="0"/>
    <m/>
    <n v="-2773.24"/>
    <n v="-293.83999999999997"/>
    <n v="455.38"/>
    <n v="3167.93"/>
    <n v="2287.64"/>
    <n v="-4815.7"/>
    <n v="619.20000000000005"/>
    <n v="-1661.4"/>
    <n v="1860.34"/>
    <n v="2070.67"/>
    <n v="4622.2"/>
    <n v="-2029.11"/>
    <n v="3510.0700000000006"/>
    <n v="6651.3099999999995"/>
  </r>
  <r>
    <x v="6"/>
    <x v="1"/>
    <x v="0"/>
    <s v="5942200"/>
    <n v="713010"/>
    <s v="Benefits-FICA/Medicare"/>
    <s v="Cardiology Consultants S/S"/>
    <x v="0"/>
    <m/>
    <n v="2710.68"/>
    <n v="4009.34"/>
    <n v="3370.06"/>
    <n v="4194.84"/>
    <n v="3841.53"/>
    <n v="3514.86"/>
    <n v="3933.8"/>
    <n v="3402.28"/>
    <n v="3996.57"/>
    <n v="4700.63"/>
    <n v="4735.3900000000003"/>
    <n v="4094.53"/>
    <n v="46504.509999999995"/>
    <n v="640.86000000000013"/>
  </r>
  <r>
    <x v="6"/>
    <x v="1"/>
    <x v="0"/>
    <s v="5942200"/>
    <n v="713090"/>
    <s v="Benefits-Allocated Amounts"/>
    <s v="Cardiology Consultants S/S"/>
    <x v="0"/>
    <m/>
    <n v="10024.89"/>
    <n v="11531.28"/>
    <n v="12533.17"/>
    <n v="13852.78"/>
    <n v="13168.01"/>
    <n v="12856.13"/>
    <n v="15483.09"/>
    <n v="14564.09"/>
    <n v="15740.88"/>
    <n v="17364.93"/>
    <n v="17701.060000000001"/>
    <n v="18138.53"/>
    <n v="172958.84"/>
    <n v="-437.46999999999753"/>
  </r>
  <r>
    <x v="6"/>
    <x v="1"/>
    <x v="0"/>
    <s v="5942200"/>
    <n v="713096"/>
    <s v="Employee Recognition"/>
    <s v="Cardiology Consultants S/S"/>
    <x v="0"/>
    <n v="1017"/>
    <n v="0"/>
    <n v="0"/>
    <n v="0"/>
    <n v="0"/>
    <n v="139.41"/>
    <n v="436.79"/>
    <n v="651.52"/>
    <n v="0"/>
    <n v="0"/>
    <n v="0"/>
    <n v="0"/>
    <n v="0"/>
    <n v="1227.72"/>
    <n v="0"/>
  </r>
  <r>
    <x v="21"/>
    <x v="1"/>
    <x v="0"/>
    <s v="5942200"/>
    <n v="716046"/>
    <s v="Consulting-Other"/>
    <s v="Cardiology Consultants S/S"/>
    <x v="0"/>
    <m/>
    <n v="35"/>
    <n v="0"/>
    <n v="0"/>
    <n v="0"/>
    <n v="0"/>
    <n v="0"/>
    <n v="0"/>
    <n v="0"/>
    <n v="0"/>
    <n v="0"/>
    <n v="0"/>
    <n v="0"/>
    <n v="35"/>
    <n v="0"/>
  </r>
  <r>
    <x v="7"/>
    <x v="1"/>
    <x v="0"/>
    <s v="5942200"/>
    <n v="718050"/>
    <s v="Contract Svcs-Other"/>
    <s v="Cardiology Consultants S/S"/>
    <x v="0"/>
    <m/>
    <n v="157.61000000000001"/>
    <n v="39.5"/>
    <n v="0"/>
    <n v="113.99"/>
    <n v="709.68"/>
    <n v="173.4"/>
    <n v="4907.8599999999997"/>
    <n v="7095.13"/>
    <n v="5940.03"/>
    <n v="8083.79"/>
    <n v="571"/>
    <n v="7729.1"/>
    <n v="35521.090000000004"/>
    <n v="-7158.1"/>
  </r>
  <r>
    <x v="7"/>
    <x v="1"/>
    <x v="0"/>
    <s v="5942200"/>
    <n v="718050"/>
    <s v="Miscellaneous Purchased Svcs"/>
    <s v="Cardiology Consultants S/S"/>
    <x v="0"/>
    <n v="1020"/>
    <n v="275.76"/>
    <n v="8689.06"/>
    <n v="3947.61"/>
    <n v="5341.49"/>
    <n v="0"/>
    <n v="2607.81"/>
    <n v="5317.04"/>
    <n v="3770.91"/>
    <n v="4753"/>
    <n v="2866.01"/>
    <n v="2376.0100000000002"/>
    <n v="2376.0100000000002"/>
    <n v="42320.710000000006"/>
    <n v="0"/>
  </r>
  <r>
    <x v="7"/>
    <x v="1"/>
    <x v="0"/>
    <s v="5942200"/>
    <n v="718050"/>
    <s v="Contract Management--Linen"/>
    <s v="Cardiology Consultants S/S"/>
    <x v="0"/>
    <n v="1026"/>
    <n v="184.23"/>
    <n v="815.92"/>
    <n v="328.96"/>
    <n v="592.19000000000005"/>
    <n v="0"/>
    <n v="500.26"/>
    <n v="642.12"/>
    <n v="1119.3800000000001"/>
    <n v="567.66"/>
    <n v="0"/>
    <n v="189.22"/>
    <n v="0"/>
    <n v="4939.9399999999996"/>
    <n v="189.22"/>
  </r>
  <r>
    <x v="7"/>
    <x v="1"/>
    <x v="0"/>
    <s v="5942200"/>
    <n v="718050"/>
    <s v="Purchased Srvcs--Medical Waste"/>
    <s v="Cardiology Consultants S/S"/>
    <x v="0"/>
    <n v="1027"/>
    <n v="0"/>
    <n v="0"/>
    <n v="0"/>
    <n v="0"/>
    <n v="0"/>
    <n v="0"/>
    <n v="98.54"/>
    <n v="172.71"/>
    <n v="11.31"/>
    <n v="0"/>
    <n v="98.44"/>
    <n v="0"/>
    <n v="381"/>
    <n v="98.44"/>
  </r>
  <r>
    <x v="7"/>
    <x v="1"/>
    <x v="0"/>
    <s v="5942200"/>
    <n v="718070"/>
    <s v="Contract Srvcs-CHI Clinical Engineering"/>
    <s v="Cardiology Consultants S/S"/>
    <x v="0"/>
    <m/>
    <n v="-1054.49"/>
    <n v="3531.75"/>
    <n v="3830.96"/>
    <n v="2350.7199999999998"/>
    <n v="6114.18"/>
    <n v="6561.82"/>
    <n v="4915.79"/>
    <n v="-436.66"/>
    <n v="4558.6400000000003"/>
    <n v="2046.28"/>
    <n v="734.84"/>
    <n v="1742.84"/>
    <n v="34896.67"/>
    <n v="-1007.9999999999999"/>
  </r>
  <r>
    <x v="11"/>
    <x v="1"/>
    <x v="0"/>
    <s v="5942200"/>
    <n v="721010"/>
    <s v="Supplies-Medical - Billable"/>
    <s v="Cardiology Consultants S/S"/>
    <x v="0"/>
    <m/>
    <n v="58.89"/>
    <n v="168.33"/>
    <n v="52.14"/>
    <n v="154.35"/>
    <n v="78.52"/>
    <n v="39.26"/>
    <n v="161.54"/>
    <n v="117.78"/>
    <n v="78.52"/>
    <n v="78.52"/>
    <n v="58.89"/>
    <n v="117.78"/>
    <n v="1164.52"/>
    <n v="-58.89"/>
  </r>
  <r>
    <x v="11"/>
    <x v="1"/>
    <x v="0"/>
    <s v="5942200"/>
    <n v="721010"/>
    <s v="Patient Monitoring"/>
    <s v="Cardiology Consultants S/S"/>
    <x v="0"/>
    <n v="1000"/>
    <n v="92.8"/>
    <n v="344.32"/>
    <n v="234.32"/>
    <n v="453.84"/>
    <n v="77.13"/>
    <n v="192.56"/>
    <n v="483.36"/>
    <n v="249.61"/>
    <n v="557.76"/>
    <n v="459.16"/>
    <n v="263.95"/>
    <n v="268.27"/>
    <n v="3677.0799999999995"/>
    <n v="-4.3199999999999932"/>
  </r>
  <r>
    <x v="11"/>
    <x v="1"/>
    <x v="0"/>
    <s v="5942200"/>
    <n v="721220"/>
    <s v="Supplies-Medical Gases - Billable"/>
    <s v="Cardiology Consultants S/S"/>
    <x v="0"/>
    <m/>
    <n v="64.22"/>
    <n v="47.85"/>
    <n v="36.65"/>
    <n v="0"/>
    <n v="0"/>
    <n v="0"/>
    <n v="0"/>
    <n v="0"/>
    <n v="0"/>
    <n v="0"/>
    <n v="0"/>
    <n v="0"/>
    <n v="148.72"/>
    <n v="0"/>
  </r>
  <r>
    <x v="11"/>
    <x v="1"/>
    <x v="0"/>
    <s v="5942200"/>
    <n v="721240"/>
    <s v="Supplies-IV Solutions/Supplies - Billable"/>
    <s v="Cardiology Consultants S/S"/>
    <x v="0"/>
    <m/>
    <n v="534"/>
    <n v="1335"/>
    <n v="1424"/>
    <n v="1780"/>
    <n v="2136"/>
    <n v="534"/>
    <n v="2136"/>
    <n v="712"/>
    <n v="2848"/>
    <n v="712"/>
    <n v="712"/>
    <n v="356"/>
    <n v="15219"/>
    <n v="356"/>
  </r>
  <r>
    <x v="11"/>
    <x v="1"/>
    <x v="0"/>
    <s v="5942200"/>
    <n v="721410"/>
    <s v="Supplies-Medical - Nonbillable"/>
    <s v="Cardiology Consultants S/S"/>
    <x v="0"/>
    <m/>
    <n v="176.01"/>
    <n v="618.20000000000005"/>
    <n v="589.36"/>
    <n v="1307.0899999999999"/>
    <n v="199.56"/>
    <n v="872.34"/>
    <n v="708.32"/>
    <n v="592.13"/>
    <n v="1165.94"/>
    <n v="766.66"/>
    <n v="439.34"/>
    <n v="349.91"/>
    <n v="7784.8600000000006"/>
    <n v="89.42999999999995"/>
  </r>
  <r>
    <x v="11"/>
    <x v="1"/>
    <x v="0"/>
    <s v="5942200"/>
    <n v="721410"/>
    <s v="Patient Monitoring"/>
    <s v="Cardiology Consultants S/S"/>
    <x v="0"/>
    <n v="1000"/>
    <n v="0"/>
    <n v="0"/>
    <n v="0"/>
    <n v="0"/>
    <n v="0"/>
    <n v="0"/>
    <n v="0"/>
    <n v="0"/>
    <n v="107.91"/>
    <n v="0"/>
    <n v="-16.11"/>
    <n v="0"/>
    <n v="91.8"/>
    <n v="-16.11"/>
  </r>
  <r>
    <x v="11"/>
    <x v="1"/>
    <x v="0"/>
    <s v="5942200"/>
    <n v="721420"/>
    <s v="Supplies-Surgical Nonbillable"/>
    <s v="Cardiology Consultants S/S"/>
    <x v="0"/>
    <m/>
    <n v="0"/>
    <n v="0"/>
    <n v="0"/>
    <n v="108.46"/>
    <n v="195"/>
    <n v="97.5"/>
    <n v="0"/>
    <n v="97.5"/>
    <n v="0"/>
    <n v="0"/>
    <n v="0"/>
    <n v="108.6"/>
    <n v="607.05999999999995"/>
    <n v="-108.6"/>
  </r>
  <r>
    <x v="11"/>
    <x v="1"/>
    <x v="0"/>
    <s v="5942200"/>
    <n v="721610"/>
    <s v="Supplies-Anesthesia - Nonbillable"/>
    <s v="Cardiology Consultants S/S"/>
    <x v="0"/>
    <m/>
    <n v="0"/>
    <n v="38.409999999999997"/>
    <n v="0"/>
    <n v="10.199999999999999"/>
    <n v="0"/>
    <n v="0"/>
    <n v="0"/>
    <n v="0"/>
    <n v="0"/>
    <n v="0"/>
    <n v="1.6"/>
    <n v="0"/>
    <n v="50.21"/>
    <n v="1.6"/>
  </r>
  <r>
    <x v="11"/>
    <x v="1"/>
    <x v="0"/>
    <s v="5942200"/>
    <n v="721640"/>
    <s v="Supplies-IV Solutions/Supplies - Nonbillable"/>
    <s v="Cardiology Consultants S/S"/>
    <x v="0"/>
    <m/>
    <n v="48"/>
    <n v="177.6"/>
    <n v="96"/>
    <n v="379.2"/>
    <n v="28.8"/>
    <n v="72"/>
    <n v="96"/>
    <n v="48"/>
    <n v="48"/>
    <n v="259.2"/>
    <n v="72"/>
    <n v="72"/>
    <n v="1396.8"/>
    <n v="0"/>
  </r>
  <r>
    <x v="11"/>
    <x v="1"/>
    <x v="0"/>
    <s v="5942200"/>
    <n v="721650"/>
    <s v="Supplies-Pharmacy Drugs - Nonbillable"/>
    <s v="Cardiology Consultants S/S"/>
    <x v="0"/>
    <m/>
    <n v="4168.3900000000003"/>
    <n v="13187.64"/>
    <n v="26375.279999999999"/>
    <n v="0"/>
    <n v="0"/>
    <n v="0"/>
    <n v="0"/>
    <n v="8791.76"/>
    <n v="0"/>
    <n v="0"/>
    <n v="0"/>
    <n v="0"/>
    <n v="52523.07"/>
    <n v="0"/>
  </r>
  <r>
    <x v="11"/>
    <x v="1"/>
    <x v="0"/>
    <s v="5942200"/>
    <n v="721650"/>
    <s v="Radioactive Material"/>
    <s v="Cardiology Consultants S/S"/>
    <x v="0"/>
    <n v="1001"/>
    <n v="0"/>
    <n v="0"/>
    <n v="0"/>
    <n v="0"/>
    <n v="0"/>
    <n v="6978.67"/>
    <n v="4736.2700000000004"/>
    <n v="8546.74"/>
    <n v="0"/>
    <n v="0"/>
    <n v="0"/>
    <n v="0"/>
    <n v="20261.68"/>
    <n v="0"/>
  </r>
  <r>
    <x v="11"/>
    <x v="1"/>
    <x v="0"/>
    <s v="5942200"/>
    <n v="721710"/>
    <s v="Supplies-Laboratory - Nonbillable"/>
    <s v="Cardiology Consultants S/S"/>
    <x v="0"/>
    <m/>
    <n v="0"/>
    <n v="16.25"/>
    <n v="16.25"/>
    <n v="95.18"/>
    <n v="0"/>
    <n v="588.6"/>
    <n v="0"/>
    <n v="32.6"/>
    <n v="0"/>
    <n v="0"/>
    <n v="32.5"/>
    <n v="0"/>
    <n v="781.38"/>
    <n v="32.5"/>
  </r>
  <r>
    <x v="11"/>
    <x v="1"/>
    <x v="0"/>
    <s v="5942200"/>
    <n v="721750"/>
    <s v="Supplies-Film/Radiographic - Nonbillable"/>
    <s v="Cardiology Consultants S/S"/>
    <x v="0"/>
    <m/>
    <n v="11.24"/>
    <n v="22.48"/>
    <n v="22.48"/>
    <n v="44.96"/>
    <n v="11.24"/>
    <n v="0"/>
    <n v="44.96"/>
    <n v="11.24"/>
    <n v="0"/>
    <n v="0"/>
    <n v="0"/>
    <n v="0"/>
    <n v="168.6"/>
    <n v="0"/>
  </r>
  <r>
    <x v="11"/>
    <x v="1"/>
    <x v="0"/>
    <s v="5942200"/>
    <n v="721810"/>
    <s v="Supplies-Dietary/Cafeteria"/>
    <s v="Cardiology Consultants S/S"/>
    <x v="0"/>
    <m/>
    <n v="793.62"/>
    <n v="58.73"/>
    <n v="621.98"/>
    <n v="378.23"/>
    <n v="380.59"/>
    <n v="946.47"/>
    <n v="321.60000000000002"/>
    <n v="282.63"/>
    <n v="751.51"/>
    <n v="665.96"/>
    <n v="659.64"/>
    <n v="398"/>
    <n v="6258.96"/>
    <n v="261.64"/>
  </r>
  <r>
    <x v="11"/>
    <x v="1"/>
    <x v="0"/>
    <s v="5942200"/>
    <n v="721830"/>
    <s v="Supplies-Office"/>
    <s v="Cardiology Consultants S/S"/>
    <x v="0"/>
    <m/>
    <n v="1194.02"/>
    <n v="1080.8499999999999"/>
    <n v="2198.1799999999998"/>
    <n v="2150.98"/>
    <n v="729.35"/>
    <n v="1248.17"/>
    <n v="1535.56"/>
    <n v="5876.75"/>
    <n v="1501.53"/>
    <n v="1600.96"/>
    <n v="951.1"/>
    <n v="226.01"/>
    <n v="20293.459999999995"/>
    <n v="725.09"/>
  </r>
  <r>
    <x v="11"/>
    <x v="1"/>
    <x v="0"/>
    <s v="5942200"/>
    <n v="721835"/>
    <s v="Supplies-Forms"/>
    <s v="Cardiology Consultants S/S"/>
    <x v="0"/>
    <m/>
    <n v="0"/>
    <n v="0"/>
    <n v="452.24"/>
    <n v="0"/>
    <n v="0"/>
    <n v="100"/>
    <n v="0"/>
    <n v="0"/>
    <n v="0"/>
    <n v="0"/>
    <n v="0"/>
    <n v="0"/>
    <n v="552.24"/>
    <n v="0"/>
  </r>
  <r>
    <x v="11"/>
    <x v="1"/>
    <x v="0"/>
    <s v="5942200"/>
    <n v="721870"/>
    <s v="Supplies-Environmental Services"/>
    <s v="Cardiology Consultants S/S"/>
    <x v="0"/>
    <m/>
    <n v="47.28"/>
    <n v="210.49"/>
    <n v="91.93"/>
    <n v="130.19999999999999"/>
    <n v="0"/>
    <n v="116.41"/>
    <n v="47.28"/>
    <n v="277.37"/>
    <n v="58.44"/>
    <n v="108.58"/>
    <n v="237.02"/>
    <n v="47.28"/>
    <n v="1372.2799999999997"/>
    <n v="189.74"/>
  </r>
  <r>
    <x v="11"/>
    <x v="1"/>
    <x v="0"/>
    <s v="5942200"/>
    <n v="721880"/>
    <s v="Supplies-Linen"/>
    <s v="Cardiology Consultants S/S"/>
    <x v="0"/>
    <m/>
    <n v="0"/>
    <n v="118.8"/>
    <n v="79.2"/>
    <n v="158.4"/>
    <n v="344.94"/>
    <n v="110.02"/>
    <n v="800.46"/>
    <n v="143.18"/>
    <n v="74.83"/>
    <n v="227.76"/>
    <n v="80.64"/>
    <n v="59.4"/>
    <n v="2197.63"/>
    <n v="21.240000000000002"/>
  </r>
  <r>
    <x v="11"/>
    <x v="1"/>
    <x v="0"/>
    <s v="5942200"/>
    <n v="721910"/>
    <s v="Supplies-Small Equipment"/>
    <s v="Cardiology Consultants S/S"/>
    <x v="0"/>
    <m/>
    <n v="1311.83"/>
    <n v="86.23"/>
    <n v="3002.2"/>
    <n v="826.7"/>
    <n v="2856.85"/>
    <n v="1864.2"/>
    <n v="1259.0999999999999"/>
    <n v="0"/>
    <n v="3154.22"/>
    <n v="4507.33"/>
    <n v="959"/>
    <n v="-46.87"/>
    <n v="19780.79"/>
    <n v="1005.87"/>
  </r>
  <r>
    <x v="11"/>
    <x v="1"/>
    <x v="0"/>
    <s v="5942200"/>
    <n v="721980"/>
    <s v="Supplies-Other"/>
    <s v="Cardiology Consultants S/S"/>
    <x v="0"/>
    <m/>
    <n v="92.81"/>
    <n v="1596.91"/>
    <n v="5389.76"/>
    <n v="12847.4"/>
    <n v="5604.16"/>
    <n v="0"/>
    <n v="727.6"/>
    <n v="273.74"/>
    <n v="1776.01"/>
    <n v="1594.21"/>
    <n v="3036.63"/>
    <n v="449.1"/>
    <n v="33388.329999999994"/>
    <n v="2587.5300000000002"/>
  </r>
  <r>
    <x v="11"/>
    <x v="1"/>
    <x v="0"/>
    <s v="5942200"/>
    <n v="722000"/>
    <s v="Supplies-Freight Expense"/>
    <s v="Cardiology Consultants S/S"/>
    <x v="0"/>
    <m/>
    <n v="8.01"/>
    <n v="25.45"/>
    <n v="49.99"/>
    <n v="0"/>
    <n v="8.59"/>
    <n v="8.6199999999999992"/>
    <n v="18.32"/>
    <n v="0"/>
    <n v="255.59"/>
    <n v="8.7799999999999994"/>
    <n v="46.71"/>
    <n v="46.87"/>
    <n v="476.93"/>
    <n v="-0.15999999999999659"/>
  </r>
  <r>
    <x v="12"/>
    <x v="1"/>
    <x v="0"/>
    <s v="5942200"/>
    <n v="730010"/>
    <s v="Rental and Leases-Building (DO NOT USE)"/>
    <s v="Cardiology Consultants S/S"/>
    <x v="0"/>
    <m/>
    <n v="20042.45"/>
    <n v="19781.61"/>
    <n v="19781.61"/>
    <n v="19792.34"/>
    <n v="21362.61"/>
    <n v="6438.64"/>
    <n v="17957.009999999998"/>
    <n v="18618.52"/>
    <n v="18014.18"/>
    <n v="18013.72"/>
    <n v="18013.72"/>
    <n v="0"/>
    <n v="197816.40999999997"/>
    <n v="18013.72"/>
  </r>
  <r>
    <x v="12"/>
    <x v="1"/>
    <x v="0"/>
    <s v="5942200"/>
    <n v="730010"/>
    <s v="Rental-Common Area Maint (DO NOT USE)"/>
    <s v="Cardiology Consultants S/S"/>
    <x v="0"/>
    <n v="2200"/>
    <n v="0"/>
    <n v="0"/>
    <n v="0"/>
    <n v="0"/>
    <n v="0"/>
    <n v="13817.12"/>
    <n v="2249.9299999999998"/>
    <n v="2332.67"/>
    <n v="868.84"/>
    <n v="1228.23"/>
    <n v="-32942.36"/>
    <n v="0"/>
    <n v="-12445.57"/>
    <n v="-32942.36"/>
  </r>
  <r>
    <x v="12"/>
    <x v="1"/>
    <x v="0"/>
    <s v="5942200"/>
    <n v="730020"/>
    <s v="Rental and Leases-Equipment (DO NOT USE)"/>
    <s v="Cardiology Consultants S/S"/>
    <x v="0"/>
    <m/>
    <n v="601.36"/>
    <n v="1245.54"/>
    <n v="1186.6199999999999"/>
    <n v="196.48"/>
    <n v="0"/>
    <n v="0"/>
    <n v="0"/>
    <n v="756.79"/>
    <n v="0"/>
    <n v="0"/>
    <n v="0"/>
    <n v="0"/>
    <n v="3986.79"/>
    <n v="0"/>
  </r>
  <r>
    <x v="12"/>
    <x v="1"/>
    <x v="0"/>
    <s v="5942200"/>
    <n v="730020"/>
    <s v="Rental and Leases-Copier Usage Fees (DO NOT USE)"/>
    <s v="Cardiology Consultants S/S"/>
    <x v="0"/>
    <n v="5100"/>
    <n v="1138.49"/>
    <n v="1222.04"/>
    <n v="1180.26"/>
    <n v="1180.26"/>
    <n v="1180.26"/>
    <n v="1180.26"/>
    <n v="855.83"/>
    <n v="1886.16"/>
    <n v="1541.07"/>
    <n v="1818.03"/>
    <n v="2495.62"/>
    <n v="3161.73"/>
    <n v="18840.010000000002"/>
    <n v="-666.11000000000013"/>
  </r>
  <r>
    <x v="12"/>
    <x v="1"/>
    <x v="0"/>
    <s v="5942200"/>
    <n v="730040"/>
    <s v="LT Lease-Real Estate"/>
    <s v="Cardiology Consultants S/S"/>
    <x v="0"/>
    <m/>
    <n v="0"/>
    <n v="0"/>
    <n v="0"/>
    <n v="0"/>
    <n v="0"/>
    <n v="0"/>
    <n v="0"/>
    <n v="0"/>
    <n v="0"/>
    <n v="0"/>
    <n v="0"/>
    <n v="19373.830000000002"/>
    <n v="19373.830000000002"/>
    <n v="-19373.830000000002"/>
  </r>
  <r>
    <x v="15"/>
    <x v="1"/>
    <x v="0"/>
    <s v="5942200"/>
    <n v="731020"/>
    <s v="Electricity"/>
    <s v="Cardiology Consultants S/S"/>
    <x v="0"/>
    <m/>
    <n v="1524.61"/>
    <n v="1640.91"/>
    <n v="1659.45"/>
    <n v="1605.32"/>
    <n v="1681.79"/>
    <n v="1913.26"/>
    <n v="2152.31"/>
    <n v="2043.54"/>
    <n v="2236.29"/>
    <n v="1931.59"/>
    <n v="1690.35"/>
    <n v="1512"/>
    <n v="21591.42"/>
    <n v="178.34999999999991"/>
  </r>
  <r>
    <x v="15"/>
    <x v="1"/>
    <x v="0"/>
    <s v="5942200"/>
    <n v="731030"/>
    <s v="Water"/>
    <s v="Cardiology Consultants S/S"/>
    <x v="0"/>
    <m/>
    <n v="0"/>
    <n v="133.01"/>
    <n v="0"/>
    <n v="126.68"/>
    <n v="0"/>
    <n v="133.01"/>
    <n v="0"/>
    <n v="140.47"/>
    <n v="0"/>
    <n v="136.01"/>
    <n v="0"/>
    <n v="149.38999999999999"/>
    <n v="818.56999999999994"/>
    <n v="-149.38999999999999"/>
  </r>
  <r>
    <x v="15"/>
    <x v="1"/>
    <x v="0"/>
    <s v="5942200"/>
    <n v="731040"/>
    <s v="Sewer"/>
    <s v="Cardiology Consultants S/S"/>
    <x v="0"/>
    <m/>
    <n v="0"/>
    <n v="601.30999999999995"/>
    <n v="0"/>
    <n v="586.76"/>
    <n v="0"/>
    <n v="601.30999999999995"/>
    <n v="0"/>
    <n v="637.62"/>
    <n v="0"/>
    <n v="627.62"/>
    <n v="0"/>
    <n v="657.62"/>
    <n v="3712.24"/>
    <n v="-657.62"/>
  </r>
  <r>
    <x v="15"/>
    <x v="1"/>
    <x v="0"/>
    <s v="5942200"/>
    <n v="731050"/>
    <s v="Refuse Disposal"/>
    <s v="Cardiology Consultants S/S"/>
    <x v="0"/>
    <m/>
    <n v="562.28"/>
    <n v="556.57000000000005"/>
    <n v="507.4"/>
    <n v="556.88"/>
    <n v="483.25"/>
    <n v="483.25"/>
    <n v="483.25"/>
    <n v="490.51"/>
    <n v="490.51"/>
    <n v="500.81"/>
    <n v="500.81"/>
    <n v="500.81"/>
    <n v="6116.3300000000017"/>
    <n v="0"/>
  </r>
  <r>
    <x v="15"/>
    <x v="1"/>
    <x v="0"/>
    <s v="5942200"/>
    <n v="731060"/>
    <s v="Telephone"/>
    <s v="Cardiology Consultants S/S"/>
    <x v="0"/>
    <m/>
    <n v="7443.49"/>
    <n v="6800.9"/>
    <n v="7029.23"/>
    <n v="6692.92"/>
    <n v="6306.46"/>
    <n v="6049.57"/>
    <n v="5190.07"/>
    <n v="4423.55"/>
    <n v="4650.66"/>
    <n v="5798.3"/>
    <n v="4654.0600000000004"/>
    <n v="5704.89"/>
    <n v="70744.100000000006"/>
    <n v="-1050.83"/>
  </r>
  <r>
    <x v="15"/>
    <x v="1"/>
    <x v="0"/>
    <s v="5942200"/>
    <n v="731060"/>
    <s v="Pagers"/>
    <s v="Cardiology Consultants S/S"/>
    <x v="0"/>
    <n v="1002"/>
    <n v="102.6"/>
    <n v="102.6"/>
    <n v="102.6"/>
    <n v="161.16999999999999"/>
    <n v="73.08"/>
    <n v="0"/>
    <n v="165.57"/>
    <n v="67.959999999999994"/>
    <n v="67.959999999999994"/>
    <n v="40.43"/>
    <n v="67.959999999999994"/>
    <n v="67.959999999999994"/>
    <n v="1019.89"/>
    <n v="0"/>
  </r>
  <r>
    <x v="16"/>
    <x v="1"/>
    <x v="0"/>
    <s v="5942200"/>
    <n v="732030"/>
    <s v="Repairs---Other"/>
    <s v="Cardiology Consultants S/S"/>
    <x v="0"/>
    <m/>
    <n v="369.51"/>
    <n v="0"/>
    <n v="47.89"/>
    <n v="52.74"/>
    <n v="0"/>
    <n v="4438.01"/>
    <n v="0"/>
    <n v="0"/>
    <n v="579.77"/>
    <n v="0"/>
    <n v="0"/>
    <n v="631.11"/>
    <n v="6119.03"/>
    <n v="-631.11"/>
  </r>
  <r>
    <x v="16"/>
    <x v="1"/>
    <x v="0"/>
    <s v="5942200"/>
    <n v="733030"/>
    <s v="Maintenance Contracts-Other"/>
    <s v="Cardiology Consultants S/S"/>
    <x v="0"/>
    <m/>
    <n v="2357.98"/>
    <n v="2516.6799999999998"/>
    <n v="3098.72"/>
    <n v="0"/>
    <n v="0"/>
    <n v="3713.04"/>
    <n v="0"/>
    <n v="9948"/>
    <n v="2159.77"/>
    <n v="0"/>
    <n v="0"/>
    <n v="0"/>
    <n v="23794.19"/>
    <n v="0"/>
  </r>
  <r>
    <x v="13"/>
    <x v="1"/>
    <x v="0"/>
    <s v="5942200"/>
    <n v="735050"/>
    <s v="Amortization-Leasehold Improvements"/>
    <s v="Cardiology Consultants S/S"/>
    <x v="0"/>
    <m/>
    <n v="1156.04"/>
    <n v="1388.41"/>
    <n v="1388.41"/>
    <n v="1388.41"/>
    <n v="1388.41"/>
    <n v="1388.41"/>
    <n v="1388.41"/>
    <n v="2321.7399999999998"/>
    <n v="1505.08"/>
    <n v="1505.05"/>
    <n v="1505.08"/>
    <n v="1505.05"/>
    <n v="17828.5"/>
    <n v="2.9999999999972715E-2"/>
  </r>
  <r>
    <x v="13"/>
    <x v="1"/>
    <x v="0"/>
    <s v="5942200"/>
    <n v="735070"/>
    <s v="Depreciation-Movable Equipment"/>
    <s v="Cardiology Consultants S/S"/>
    <x v="0"/>
    <m/>
    <n v="0"/>
    <n v="1786.04"/>
    <n v="2470.46"/>
    <n v="2500.9699999999998"/>
    <n v="2500.98"/>
    <n v="2500.9699999999998"/>
    <n v="2500.98"/>
    <n v="2851.92"/>
    <n v="2544.96"/>
    <n v="2544.79"/>
    <n v="2544.9699999999998"/>
    <n v="2544.7800000000002"/>
    <n v="27291.82"/>
    <n v="0.18999999999959982"/>
  </r>
  <r>
    <x v="0"/>
    <x v="1"/>
    <x v="0"/>
    <s v="5942200"/>
    <n v="740030"/>
    <s v="Education-Travel"/>
    <s v="Cardiology Consultants S/S"/>
    <x v="0"/>
    <m/>
    <n v="0"/>
    <n v="0"/>
    <n v="0"/>
    <n v="18"/>
    <n v="0"/>
    <n v="0"/>
    <n v="0"/>
    <n v="0"/>
    <n v="0"/>
    <n v="0"/>
    <n v="0"/>
    <n v="0"/>
    <n v="18"/>
    <n v="0"/>
  </r>
  <r>
    <x v="0"/>
    <x v="1"/>
    <x v="0"/>
    <s v="5942200"/>
    <n v="742040"/>
    <s v="Freight-Other"/>
    <s v="Cardiology Consultants S/S"/>
    <x v="0"/>
    <m/>
    <n v="0"/>
    <n v="0"/>
    <n v="0"/>
    <n v="46.86"/>
    <n v="0"/>
    <n v="0"/>
    <n v="0"/>
    <n v="0"/>
    <n v="0"/>
    <n v="0"/>
    <n v="0"/>
    <n v="0"/>
    <n v="46.86"/>
    <n v="0"/>
  </r>
  <r>
    <x v="0"/>
    <x v="1"/>
    <x v="0"/>
    <s v="5942200"/>
    <n v="743030"/>
    <s v="Subscriptions--Institutional"/>
    <s v="Cardiology Consultants S/S"/>
    <x v="0"/>
    <m/>
    <n v="0"/>
    <n v="0"/>
    <n v="0"/>
    <n v="0"/>
    <n v="0"/>
    <n v="0"/>
    <n v="0"/>
    <n v="0"/>
    <n v="281.25"/>
    <n v="0"/>
    <n v="0"/>
    <n v="0"/>
    <n v="281.25"/>
    <n v="0"/>
  </r>
  <r>
    <x v="0"/>
    <x v="1"/>
    <x v="0"/>
    <s v="5942200"/>
    <n v="749510"/>
    <s v="Miscellaneous Expenses"/>
    <s v="Cardiology Consultants S/S"/>
    <x v="0"/>
    <m/>
    <n v="0"/>
    <n v="18"/>
    <n v="0"/>
    <n v="121.41"/>
    <n v="142.44"/>
    <n v="0"/>
    <n v="330.27"/>
    <n v="332.45"/>
    <n v="645.54"/>
    <n v="1445.22"/>
    <n v="1711.3"/>
    <n v="1934.01"/>
    <n v="6680.64"/>
    <n v="-222.71000000000004"/>
  </r>
  <r>
    <x v="0"/>
    <x v="1"/>
    <x v="0"/>
    <s v="5942200"/>
    <n v="749510"/>
    <s v="Licenses"/>
    <s v="Cardiology Consultants S/S"/>
    <x v="0"/>
    <n v="1002"/>
    <n v="0"/>
    <n v="0"/>
    <n v="0"/>
    <n v="792.98"/>
    <n v="0"/>
    <n v="11"/>
    <n v="0"/>
    <n v="0"/>
    <n v="0"/>
    <n v="0"/>
    <n v="0"/>
    <n v="0"/>
    <n v="803.98"/>
    <n v="0"/>
  </r>
  <r>
    <x v="0"/>
    <x v="1"/>
    <x v="0"/>
    <s v="5942200"/>
    <n v="749530"/>
    <s v="Travel"/>
    <s v="Cardiology Consultants S/S"/>
    <x v="0"/>
    <m/>
    <n v="0"/>
    <n v="0"/>
    <n v="0"/>
    <n v="6"/>
    <n v="0"/>
    <n v="15"/>
    <n v="18"/>
    <n v="12"/>
    <n v="42"/>
    <n v="0"/>
    <n v="0"/>
    <n v="0"/>
    <n v="93"/>
    <n v="0"/>
  </r>
  <r>
    <x v="0"/>
    <x v="1"/>
    <x v="0"/>
    <s v="5942200"/>
    <n v="749530"/>
    <s v="Mileage"/>
    <s v="Cardiology Consultants S/S"/>
    <x v="0"/>
    <n v="1001"/>
    <n v="0"/>
    <n v="85.04"/>
    <n v="256.74"/>
    <n v="383.2"/>
    <n v="447.51"/>
    <n v="445.85"/>
    <n v="326.42"/>
    <n v="352.06"/>
    <n v="409.48"/>
    <n v="658.88"/>
    <n v="444.28"/>
    <n v="481.98"/>
    <n v="4291.4400000000005"/>
    <n v="-37.700000000000045"/>
  </r>
  <r>
    <x v="0"/>
    <x v="1"/>
    <x v="0"/>
    <s v="5942200"/>
    <n v="766010"/>
    <s v="Property Tax"/>
    <s v="Cardiology Consultants S/S"/>
    <x v="0"/>
    <m/>
    <n v="1782.02"/>
    <n v="1782.02"/>
    <n v="1782.02"/>
    <n v="1782.02"/>
    <n v="1782.02"/>
    <n v="1782.02"/>
    <n v="1782.02"/>
    <n v="1782.02"/>
    <n v="1782.02"/>
    <n v="296.32"/>
    <n v="1410.59"/>
    <n v="1410.59"/>
    <n v="19155.68"/>
    <n v="0"/>
  </r>
  <r>
    <x v="12"/>
    <x v="1"/>
    <x v="0"/>
    <s v="5943200"/>
    <n v="730010"/>
    <s v="Rental and Leases-Building (DO NOT USE)"/>
    <s v="Bremerton Ortho S/S"/>
    <x v="0"/>
    <m/>
    <n v="576.96"/>
    <n v="576.96"/>
    <n v="0"/>
    <n v="0"/>
    <n v="-1153.92"/>
    <n v="0"/>
    <n v="0"/>
    <n v="0"/>
    <n v="0"/>
    <n v="0"/>
    <n v="0"/>
    <n v="0"/>
    <n v="0"/>
    <n v="0"/>
  </r>
  <r>
    <x v="12"/>
    <x v="1"/>
    <x v="0"/>
    <s v="5943200"/>
    <n v="730020"/>
    <s v="Rental and Leases-Copier Usage Fees (DO NOT USE)"/>
    <s v="Bremerton Ortho S/S"/>
    <x v="0"/>
    <n v="5100"/>
    <n v="154.66"/>
    <n v="154.82"/>
    <n v="154.74"/>
    <n v="154.74"/>
    <n v="-618.96"/>
    <n v="0"/>
    <n v="0"/>
    <n v="0"/>
    <n v="0"/>
    <n v="0"/>
    <n v="0"/>
    <n v="0"/>
    <n v="0"/>
    <n v="0"/>
  </r>
  <r>
    <x v="15"/>
    <x v="1"/>
    <x v="0"/>
    <s v="5943200"/>
    <n v="731060"/>
    <s v="Telephone"/>
    <s v="Bremerton Ortho S/S"/>
    <x v="0"/>
    <m/>
    <n v="355.79"/>
    <n v="355.79"/>
    <n v="371.48"/>
    <n v="356.71"/>
    <n v="-1439.77"/>
    <n v="0"/>
    <n v="0"/>
    <n v="0"/>
    <n v="0"/>
    <n v="0"/>
    <n v="0"/>
    <n v="0"/>
    <n v="0"/>
    <n v="0"/>
  </r>
  <r>
    <x v="15"/>
    <x v="1"/>
    <x v="0"/>
    <s v="5943200"/>
    <n v="731065"/>
    <s v="Data Communications"/>
    <s v="Bremerton Ortho S/S"/>
    <x v="0"/>
    <m/>
    <n v="150.66999999999999"/>
    <n v="150.66999999999999"/>
    <n v="154.68"/>
    <n v="150.97999999999999"/>
    <n v="-607"/>
    <n v="0"/>
    <n v="0"/>
    <n v="0"/>
    <n v="0"/>
    <n v="0"/>
    <n v="0"/>
    <n v="0"/>
    <n v="0"/>
    <n v="0"/>
  </r>
  <r>
    <x v="15"/>
    <x v="1"/>
    <x v="0"/>
    <s v="5943200"/>
    <n v="731070"/>
    <s v="Cable TV"/>
    <s v="Bremerton Ortho S/S"/>
    <x v="0"/>
    <m/>
    <n v="11.54"/>
    <n v="11.54"/>
    <n v="11.84"/>
    <n v="11.57"/>
    <n v="-46.49"/>
    <n v="0"/>
    <n v="0"/>
    <n v="0"/>
    <n v="0"/>
    <n v="0"/>
    <n v="0"/>
    <n v="0"/>
    <n v="0"/>
    <n v="0"/>
  </r>
  <r>
    <x v="7"/>
    <x v="1"/>
    <x v="0"/>
    <s v="5944200"/>
    <n v="718050"/>
    <s v="Miscellaneous Purchased Svcs"/>
    <s v="Bremerton Plastics S/S"/>
    <x v="0"/>
    <n v="1020"/>
    <n v="146.02000000000001"/>
    <n v="170.08"/>
    <n v="171.56"/>
    <n v="158.88"/>
    <n v="-646.54"/>
    <n v="0"/>
    <n v="0"/>
    <n v="0"/>
    <n v="0"/>
    <n v="0"/>
    <n v="0"/>
    <n v="0"/>
    <n v="0"/>
    <n v="0"/>
  </r>
  <r>
    <x v="11"/>
    <x v="1"/>
    <x v="0"/>
    <s v="5944200"/>
    <n v="721410"/>
    <s v="Supplies-Medical - Nonbillable"/>
    <s v="Bremerton Plastics S/S"/>
    <x v="0"/>
    <m/>
    <n v="0"/>
    <n v="1300"/>
    <n v="0"/>
    <n v="0"/>
    <n v="-1300"/>
    <n v="0"/>
    <n v="0"/>
    <n v="0"/>
    <n v="0"/>
    <n v="0"/>
    <n v="0"/>
    <n v="0"/>
    <n v="0"/>
    <n v="0"/>
  </r>
  <r>
    <x v="12"/>
    <x v="1"/>
    <x v="0"/>
    <s v="5944200"/>
    <n v="730010"/>
    <s v="Rental and Leases-Building (DO NOT USE)"/>
    <s v="Bremerton Plastics S/S"/>
    <x v="0"/>
    <m/>
    <n v="605.19000000000005"/>
    <n v="605.19000000000005"/>
    <n v="0"/>
    <n v="0"/>
    <n v="-1210.3800000000001"/>
    <n v="0"/>
    <n v="0"/>
    <n v="0"/>
    <n v="0"/>
    <n v="0"/>
    <n v="0"/>
    <n v="0"/>
    <n v="0"/>
    <n v="0"/>
  </r>
  <r>
    <x v="12"/>
    <x v="1"/>
    <x v="0"/>
    <s v="5944200"/>
    <n v="730020"/>
    <s v="Rental and Leases-Copier Usage Fees (DO NOT USE)"/>
    <s v="Bremerton Plastics S/S"/>
    <x v="0"/>
    <n v="5100"/>
    <n v="150.54"/>
    <n v="163.96"/>
    <n v="157.25"/>
    <n v="157.25"/>
    <n v="-629"/>
    <n v="0"/>
    <n v="0"/>
    <n v="0"/>
    <n v="0"/>
    <n v="0"/>
    <n v="0"/>
    <n v="0"/>
    <n v="0"/>
    <n v="0"/>
  </r>
  <r>
    <x v="15"/>
    <x v="1"/>
    <x v="0"/>
    <s v="5944200"/>
    <n v="731060"/>
    <s v="Telephone"/>
    <s v="Bremerton Plastics S/S"/>
    <x v="0"/>
    <m/>
    <n v="256.98"/>
    <n v="3901.42"/>
    <n v="253.21"/>
    <n v="659.5"/>
    <n v="738.15"/>
    <n v="-5809.26"/>
    <n v="0"/>
    <n v="0"/>
    <n v="0"/>
    <n v="0"/>
    <n v="0"/>
    <n v="0"/>
    <n v="-9.0949470177292824E-13"/>
    <n v="0"/>
  </r>
  <r>
    <x v="16"/>
    <x v="1"/>
    <x v="0"/>
    <s v="5944200"/>
    <n v="732030"/>
    <s v="Repairs---Other"/>
    <s v="Bremerton Plastics S/S"/>
    <x v="0"/>
    <m/>
    <n v="522.11"/>
    <n v="0"/>
    <n v="0"/>
    <n v="0"/>
    <n v="-522.11"/>
    <n v="0"/>
    <n v="0"/>
    <n v="0"/>
    <n v="0"/>
    <n v="0"/>
    <n v="0"/>
    <n v="0"/>
    <n v="0"/>
    <n v="0"/>
  </r>
  <r>
    <x v="5"/>
    <x v="1"/>
    <x v="0"/>
    <s v="5945200"/>
    <n v="700014"/>
    <s v="Salaries-Management-Productive"/>
    <s v="Vascular Shared Services"/>
    <x v="0"/>
    <m/>
    <n v="1510.68"/>
    <n v="2043.88"/>
    <n v="1166.3399999999999"/>
    <n v="2242.46"/>
    <n v="1994.08"/>
    <n v="1450.24"/>
    <n v="2087.88"/>
    <n v="1815.44"/>
    <n v="1906.22"/>
    <n v="1996.98"/>
    <n v="2087.7600000000002"/>
    <n v="1361.58"/>
    <n v="21663.54"/>
    <n v="726.18000000000029"/>
  </r>
  <r>
    <x v="5"/>
    <x v="1"/>
    <x v="0"/>
    <s v="5945200"/>
    <n v="700018"/>
    <s v="Salaries-Supervisory-Productive"/>
    <s v="Vascular Shared Services"/>
    <x v="0"/>
    <m/>
    <n v="5412.96"/>
    <n v="5928.48"/>
    <n v="-1288.8"/>
    <n v="0"/>
    <n v="0"/>
    <n v="0"/>
    <n v="3769.82"/>
    <n v="5385.46"/>
    <n v="5654.73"/>
    <n v="5924"/>
    <n v="6193.29"/>
    <n v="5385.46"/>
    <n v="42365.399999999994"/>
    <n v="807.82999999999993"/>
  </r>
  <r>
    <x v="5"/>
    <x v="1"/>
    <x v="0"/>
    <s v="5945200"/>
    <n v="700032"/>
    <s v="Salaries-Other Pat Care Providers-Productive"/>
    <s v="Vascular Shared Services"/>
    <x v="0"/>
    <m/>
    <n v="0"/>
    <n v="0"/>
    <n v="0"/>
    <n v="0"/>
    <n v="1358.76"/>
    <n v="190.01"/>
    <n v="0"/>
    <n v="0"/>
    <n v="0"/>
    <n v="0"/>
    <n v="0"/>
    <n v="114.12"/>
    <n v="1662.8899999999999"/>
    <n v="-114.12"/>
  </r>
  <r>
    <x v="5"/>
    <x v="1"/>
    <x v="0"/>
    <s v="5945200"/>
    <n v="700032"/>
    <s v="Salaries-Other Pat Care Providers-OT"/>
    <s v="Vascular Shared Services"/>
    <x v="0"/>
    <n v="1000"/>
    <n v="0"/>
    <n v="0"/>
    <n v="0"/>
    <n v="0"/>
    <n v="0"/>
    <n v="0"/>
    <n v="0"/>
    <n v="0"/>
    <n v="0"/>
    <n v="0"/>
    <n v="0"/>
    <n v="18.03"/>
    <n v="18.03"/>
    <n v="-18.03"/>
  </r>
  <r>
    <x v="5"/>
    <x v="1"/>
    <x v="0"/>
    <s v="5945200"/>
    <n v="700038"/>
    <s v="Salaries-Service/Support-Productive"/>
    <s v="Vascular Shared Services"/>
    <x v="0"/>
    <m/>
    <n v="0"/>
    <n v="213.88"/>
    <n v="-71.290000000000006"/>
    <n v="0"/>
    <n v="0"/>
    <n v="200.74"/>
    <n v="105.8"/>
    <n v="111.09"/>
    <n v="95.23"/>
    <n v="180.36"/>
    <n v="533.51"/>
    <n v="-95.22"/>
    <n v="1274.1000000000001"/>
    <n v="628.73"/>
  </r>
  <r>
    <x v="5"/>
    <x v="1"/>
    <x v="0"/>
    <s v="5945200"/>
    <n v="700038"/>
    <s v="Salaries-Service/Support-OT"/>
    <s v="Vascular Shared Services"/>
    <x v="0"/>
    <n v="1000"/>
    <n v="0"/>
    <n v="0"/>
    <n v="0"/>
    <n v="0"/>
    <n v="0"/>
    <n v="0"/>
    <n v="0"/>
    <n v="0"/>
    <n v="24.28"/>
    <n v="21.66"/>
    <n v="113.28"/>
    <n v="-8.08"/>
    <n v="151.13999999999999"/>
    <n v="121.36"/>
  </r>
  <r>
    <x v="5"/>
    <x v="1"/>
    <x v="0"/>
    <s v="5945200"/>
    <n v="700038"/>
    <s v="Salaries-Service/Support-Other"/>
    <s v="Vascular Shared Services"/>
    <x v="0"/>
    <n v="2000"/>
    <n v="0"/>
    <n v="0"/>
    <n v="0"/>
    <n v="0"/>
    <n v="0"/>
    <n v="11.88"/>
    <n v="6.27"/>
    <n v="0"/>
    <n v="8.4499999999999993"/>
    <n v="-2.81"/>
    <n v="39.450000000000003"/>
    <n v="-5.93"/>
    <n v="57.31"/>
    <n v="45.38"/>
  </r>
  <r>
    <x v="5"/>
    <x v="1"/>
    <x v="0"/>
    <s v="5945200"/>
    <n v="700058"/>
    <s v="Salaries-Supervisory-Non-productive"/>
    <s v="Vascular Shared Services"/>
    <x v="0"/>
    <m/>
    <n v="257.76"/>
    <n v="0"/>
    <n v="0"/>
    <n v="0"/>
    <n v="0"/>
    <n v="0"/>
    <n v="0"/>
    <n v="0"/>
    <n v="0"/>
    <n v="0"/>
    <n v="0"/>
    <n v="0"/>
    <n v="257.76"/>
    <n v="0"/>
  </r>
  <r>
    <x v="5"/>
    <x v="1"/>
    <x v="0"/>
    <s v="5945200"/>
    <n v="700084"/>
    <s v="Accrued PTO"/>
    <s v="Vascular Shared Services"/>
    <x v="0"/>
    <m/>
    <n v="653.24"/>
    <n v="1309.76"/>
    <n v="0"/>
    <n v="0"/>
    <n v="0"/>
    <n v="0"/>
    <n v="410.49"/>
    <n v="703.45"/>
    <n v="703.12"/>
    <n v="703.11"/>
    <n v="703.46"/>
    <n v="745.8"/>
    <n v="5932.4299999999994"/>
    <n v="-42.339999999999918"/>
  </r>
  <r>
    <x v="6"/>
    <x v="1"/>
    <x v="0"/>
    <s v="5945200"/>
    <n v="713010"/>
    <s v="Benefits-FICA/Medicare"/>
    <s v="Vascular Shared Services"/>
    <x v="0"/>
    <m/>
    <n v="536.19000000000005"/>
    <n v="1005.67"/>
    <n v="-15.13"/>
    <n v="166.01"/>
    <n v="252.73"/>
    <n v="136.83000000000001"/>
    <n v="442.06"/>
    <n v="542.35"/>
    <n v="566.55999999999995"/>
    <n v="579.39"/>
    <n v="658.59"/>
    <n v="498.67"/>
    <n v="5369.92"/>
    <n v="159.92000000000002"/>
  </r>
  <r>
    <x v="6"/>
    <x v="1"/>
    <x v="0"/>
    <s v="5945200"/>
    <n v="713090"/>
    <s v="Benefits-Allocated Amounts"/>
    <s v="Vascular Shared Services"/>
    <x v="0"/>
    <m/>
    <n v="1382.11"/>
    <n v="1405.82"/>
    <n v="136.24"/>
    <n v="296.79000000000002"/>
    <n v="548.66"/>
    <n v="285.58999999999997"/>
    <n v="1045.98"/>
    <n v="1504.91"/>
    <n v="1634.98"/>
    <n v="1558.3"/>
    <n v="1662.3"/>
    <n v="1495.54"/>
    <n v="12957.219999999998"/>
    <n v="166.76"/>
  </r>
  <r>
    <x v="6"/>
    <x v="1"/>
    <x v="0"/>
    <s v="5945200"/>
    <n v="713096"/>
    <s v="Employee Recognition"/>
    <s v="Vascular Shared Services"/>
    <x v="0"/>
    <n v="1017"/>
    <n v="0"/>
    <n v="0"/>
    <n v="0"/>
    <n v="0"/>
    <n v="0"/>
    <n v="0"/>
    <n v="0"/>
    <n v="0"/>
    <n v="46.6"/>
    <n v="30.23"/>
    <n v="0"/>
    <n v="0"/>
    <n v="76.83"/>
    <n v="0"/>
  </r>
  <r>
    <x v="7"/>
    <x v="1"/>
    <x v="0"/>
    <s v="5945200"/>
    <n v="718050"/>
    <s v="Contract Svcs-Other"/>
    <s v="Vascular Shared Services"/>
    <x v="0"/>
    <m/>
    <n v="0"/>
    <n v="0"/>
    <n v="284.22000000000003"/>
    <n v="0"/>
    <n v="0"/>
    <n v="68.23"/>
    <n v="0"/>
    <n v="0"/>
    <n v="202.4"/>
    <n v="0"/>
    <n v="0"/>
    <n v="0"/>
    <n v="554.85"/>
    <n v="0"/>
  </r>
  <r>
    <x v="7"/>
    <x v="1"/>
    <x v="0"/>
    <s v="5945200"/>
    <n v="718050"/>
    <s v="Miscellaneous Purchased Svcs"/>
    <s v="Vascular Shared Services"/>
    <x v="0"/>
    <n v="1020"/>
    <n v="0"/>
    <n v="0"/>
    <n v="600"/>
    <n v="3725.62"/>
    <n v="495.84"/>
    <n v="259.39"/>
    <n v="1887.2"/>
    <n v="1020.34"/>
    <n v="451.13"/>
    <n v="0"/>
    <n v="0"/>
    <n v="966.58"/>
    <n v="9406.1"/>
    <n v="-966.58"/>
  </r>
  <r>
    <x v="7"/>
    <x v="1"/>
    <x v="0"/>
    <s v="5945200"/>
    <n v="718050"/>
    <s v="Contract Management--Linen"/>
    <s v="Vascular Shared Services"/>
    <x v="0"/>
    <n v="1026"/>
    <n v="206.88"/>
    <n v="1272.8399999999999"/>
    <n v="912.51"/>
    <n v="0"/>
    <n v="0"/>
    <n v="0"/>
    <n v="0"/>
    <n v="0"/>
    <n v="0"/>
    <n v="0"/>
    <n v="0"/>
    <n v="0"/>
    <n v="2392.2299999999996"/>
    <n v="0"/>
  </r>
  <r>
    <x v="7"/>
    <x v="1"/>
    <x v="0"/>
    <s v="5945200"/>
    <n v="718070"/>
    <s v="Contract Srvcs-CHI Clinical Engineering"/>
    <s v="Vascular Shared Services"/>
    <x v="0"/>
    <m/>
    <n v="0"/>
    <n v="0"/>
    <n v="0"/>
    <n v="5310.21"/>
    <n v="7272.5"/>
    <n v="9880"/>
    <n v="7700"/>
    <n v="7700"/>
    <n v="157.13999999999999"/>
    <n v="7700"/>
    <n v="0"/>
    <n v="0"/>
    <n v="45719.85"/>
    <n v="0"/>
  </r>
  <r>
    <x v="7"/>
    <x v="1"/>
    <x v="0"/>
    <s v="5945200"/>
    <n v="718077"/>
    <s v="PACS"/>
    <s v="Vascular Shared Services"/>
    <x v="0"/>
    <n v="1000"/>
    <n v="0"/>
    <n v="0"/>
    <n v="2.25"/>
    <n v="0"/>
    <n v="0"/>
    <n v="0"/>
    <n v="0"/>
    <n v="0"/>
    <n v="0"/>
    <n v="0"/>
    <n v="0"/>
    <n v="0"/>
    <n v="2.25"/>
    <n v="0"/>
  </r>
  <r>
    <x v="11"/>
    <x v="1"/>
    <x v="0"/>
    <s v="5945200"/>
    <n v="721010"/>
    <s v="Supplies-Medical - Billable"/>
    <s v="Vascular Shared Services"/>
    <x v="0"/>
    <m/>
    <n v="0"/>
    <n v="0"/>
    <n v="0"/>
    <n v="0"/>
    <n v="0"/>
    <n v="0"/>
    <n v="0"/>
    <n v="422"/>
    <n v="0"/>
    <n v="52.7"/>
    <n v="0"/>
    <n v="0"/>
    <n v="474.7"/>
    <n v="0"/>
  </r>
  <r>
    <x v="11"/>
    <x v="1"/>
    <x v="0"/>
    <s v="5945200"/>
    <n v="721410"/>
    <s v="Supplies-Medical - Nonbillable"/>
    <s v="Vascular Shared Services"/>
    <x v="0"/>
    <m/>
    <n v="0"/>
    <n v="49.01"/>
    <n v="0"/>
    <n v="0"/>
    <n v="0"/>
    <n v="0"/>
    <n v="0"/>
    <n v="0"/>
    <n v="28.3"/>
    <n v="0"/>
    <n v="185.63"/>
    <n v="-156.07"/>
    <n v="106.87"/>
    <n v="341.7"/>
  </r>
  <r>
    <x v="11"/>
    <x v="1"/>
    <x v="0"/>
    <s v="5945200"/>
    <n v="721420"/>
    <s v="Supplies-Surgical Nonbillable"/>
    <s v="Vascular Shared Services"/>
    <x v="0"/>
    <m/>
    <n v="0"/>
    <n v="56.25"/>
    <n v="0"/>
    <n v="0"/>
    <n v="0"/>
    <n v="0"/>
    <n v="0"/>
    <n v="0"/>
    <n v="0"/>
    <n v="0"/>
    <n v="0"/>
    <n v="0"/>
    <n v="56.25"/>
    <n v="0"/>
  </r>
  <r>
    <x v="11"/>
    <x v="1"/>
    <x v="0"/>
    <s v="5945200"/>
    <n v="721810"/>
    <s v="Supplies-Dietary/Cafeteria"/>
    <s v="Vascular Shared Services"/>
    <x v="0"/>
    <m/>
    <n v="0"/>
    <n v="0"/>
    <n v="0"/>
    <n v="0"/>
    <n v="0"/>
    <n v="0"/>
    <n v="0"/>
    <n v="0"/>
    <n v="73.41"/>
    <n v="89.07"/>
    <n v="103.06"/>
    <n v="138.66"/>
    <n v="404.19999999999993"/>
    <n v="-35.599999999999994"/>
  </r>
  <r>
    <x v="11"/>
    <x v="1"/>
    <x v="0"/>
    <s v="5945200"/>
    <n v="721830"/>
    <s v="Supplies-Office"/>
    <s v="Vascular Shared Services"/>
    <x v="0"/>
    <m/>
    <n v="535.19000000000005"/>
    <n v="438.51"/>
    <n v="782.86"/>
    <n v="467.11"/>
    <n v="422.72"/>
    <n v="555.07000000000005"/>
    <n v="1642.69"/>
    <n v="1372.63"/>
    <n v="1568.42"/>
    <n v="1321.53"/>
    <n v="95.84"/>
    <n v="337.85"/>
    <n v="9540.4200000000019"/>
    <n v="-242.01000000000002"/>
  </r>
  <r>
    <x v="11"/>
    <x v="1"/>
    <x v="0"/>
    <s v="5945200"/>
    <n v="721835"/>
    <s v="Supplies-Forms"/>
    <s v="Vascular Shared Services"/>
    <x v="0"/>
    <m/>
    <n v="0"/>
    <n v="158.97999999999999"/>
    <n v="0"/>
    <n v="0"/>
    <n v="0"/>
    <n v="0"/>
    <n v="0"/>
    <n v="0"/>
    <n v="0"/>
    <n v="0.36"/>
    <n v="0"/>
    <n v="0"/>
    <n v="159.34"/>
    <n v="0"/>
  </r>
  <r>
    <x v="11"/>
    <x v="1"/>
    <x v="0"/>
    <s v="5945200"/>
    <n v="721910"/>
    <s v="Supplies-Small Equipment"/>
    <s v="Vascular Shared Services"/>
    <x v="0"/>
    <m/>
    <n v="163.22999999999999"/>
    <n v="12.45"/>
    <n v="521.02"/>
    <n v="230.7"/>
    <n v="0"/>
    <n v="0"/>
    <n v="0"/>
    <n v="138.31"/>
    <n v="216.25"/>
    <n v="446.88"/>
    <n v="990.55"/>
    <n v="21.05"/>
    <n v="2740.4399999999996"/>
    <n v="969.5"/>
  </r>
  <r>
    <x v="11"/>
    <x v="1"/>
    <x v="0"/>
    <s v="5945200"/>
    <n v="721980"/>
    <s v="Supplies-Other"/>
    <s v="Vascular Shared Services"/>
    <x v="0"/>
    <m/>
    <n v="0"/>
    <n v="0"/>
    <n v="0"/>
    <n v="0"/>
    <n v="0"/>
    <n v="0"/>
    <n v="0"/>
    <n v="0"/>
    <n v="0"/>
    <n v="14.99"/>
    <n v="0"/>
    <n v="0"/>
    <n v="14.99"/>
    <n v="0"/>
  </r>
  <r>
    <x v="11"/>
    <x v="1"/>
    <x v="0"/>
    <s v="5945200"/>
    <n v="722000"/>
    <s v="Supplies-Freight Expense"/>
    <s v="Vascular Shared Services"/>
    <x v="0"/>
    <m/>
    <n v="0"/>
    <n v="0"/>
    <n v="0"/>
    <n v="0"/>
    <n v="0"/>
    <n v="0"/>
    <n v="0"/>
    <n v="0"/>
    <n v="10.19"/>
    <n v="71.069999999999993"/>
    <n v="22.66"/>
    <n v="0"/>
    <n v="103.91999999999999"/>
    <n v="22.66"/>
  </r>
  <r>
    <x v="12"/>
    <x v="1"/>
    <x v="0"/>
    <s v="5945200"/>
    <n v="730010"/>
    <s v="Rental and Leases-Building (DO NOT USE)"/>
    <s v="Vascular Shared Services"/>
    <x v="0"/>
    <m/>
    <n v="5912.48"/>
    <n v="5912.48"/>
    <n v="5912.48"/>
    <n v="5912.48"/>
    <n v="5912.48"/>
    <n v="-908.56"/>
    <n v="4775.6400000000003"/>
    <n v="4775.6400000000003"/>
    <n v="4775.6400000000003"/>
    <n v="4890.3599999999997"/>
    <n v="4890.3599999999997"/>
    <n v="0"/>
    <n v="52761.479999999996"/>
    <n v="4890.3599999999997"/>
  </r>
  <r>
    <x v="12"/>
    <x v="1"/>
    <x v="0"/>
    <s v="5945200"/>
    <n v="730010"/>
    <s v="Rental-Common Area Maint (DO NOT USE)"/>
    <s v="Vascular Shared Services"/>
    <x v="0"/>
    <n v="2200"/>
    <n v="0"/>
    <n v="0"/>
    <n v="0"/>
    <n v="0"/>
    <n v="0"/>
    <n v="6821.04"/>
    <n v="1136.8399999999999"/>
    <n v="1136.8399999999999"/>
    <n v="1136.8399999999999"/>
    <n v="1022.11"/>
    <n v="1022.11"/>
    <n v="0"/>
    <n v="12275.78"/>
    <n v="1022.11"/>
  </r>
  <r>
    <x v="12"/>
    <x v="1"/>
    <x v="0"/>
    <s v="5945200"/>
    <n v="730020"/>
    <s v="Rental and Leases-Equipment (DO NOT USE)"/>
    <s v="Vascular Shared Services"/>
    <x v="0"/>
    <m/>
    <n v="0"/>
    <n v="0"/>
    <n v="0"/>
    <n v="0"/>
    <n v="0"/>
    <n v="0"/>
    <n v="0"/>
    <n v="0"/>
    <n v="0"/>
    <n v="0"/>
    <n v="0"/>
    <n v="114.73"/>
    <n v="114.73"/>
    <n v="-114.73"/>
  </r>
  <r>
    <x v="12"/>
    <x v="1"/>
    <x v="0"/>
    <s v="5945200"/>
    <n v="730020"/>
    <s v="Rental and Leases-Copier Usage Fees (DO NOT USE)"/>
    <s v="Vascular Shared Services"/>
    <x v="0"/>
    <n v="5100"/>
    <n v="2654.85"/>
    <n v="2633.8"/>
    <n v="2644.32"/>
    <n v="2644.32"/>
    <n v="2644.32"/>
    <n v="2644.32"/>
    <n v="4632.8999999999996"/>
    <n v="1032.32"/>
    <n v="1030.28"/>
    <n v="7827.7"/>
    <n v="1032.44"/>
    <n v="1167.29"/>
    <n v="32588.859999999997"/>
    <n v="-134.84999999999991"/>
  </r>
  <r>
    <x v="12"/>
    <x v="1"/>
    <x v="0"/>
    <s v="5945200"/>
    <n v="730040"/>
    <s v="LT Lease-Real Estate"/>
    <s v="Vascular Shared Services"/>
    <x v="0"/>
    <m/>
    <n v="0"/>
    <n v="0"/>
    <n v="0"/>
    <n v="0"/>
    <n v="0"/>
    <n v="0"/>
    <n v="0"/>
    <n v="0"/>
    <n v="0"/>
    <n v="0"/>
    <n v="0"/>
    <n v="5797.74"/>
    <n v="5797.74"/>
    <n v="-5797.74"/>
  </r>
  <r>
    <x v="15"/>
    <x v="1"/>
    <x v="0"/>
    <s v="5945200"/>
    <n v="731020"/>
    <s v="Electricity"/>
    <s v="Vascular Shared Services"/>
    <x v="0"/>
    <m/>
    <n v="862.49"/>
    <n v="918.4"/>
    <n v="935.98"/>
    <n v="704.61"/>
    <n v="689.51"/>
    <n v="914.64"/>
    <n v="1023.04"/>
    <n v="968.03"/>
    <n v="1192.67"/>
    <n v="1007.19"/>
    <n v="780.57"/>
    <n v="827.59"/>
    <n v="10824.72"/>
    <n v="-47.019999999999982"/>
  </r>
  <r>
    <x v="15"/>
    <x v="1"/>
    <x v="0"/>
    <s v="5945200"/>
    <n v="731030"/>
    <s v="Water"/>
    <s v="Vascular Shared Services"/>
    <x v="0"/>
    <m/>
    <n v="0"/>
    <n v="73.58"/>
    <n v="0"/>
    <n v="69.36"/>
    <n v="0"/>
    <n v="84.13"/>
    <n v="0"/>
    <n v="79.91"/>
    <n v="0"/>
    <n v="79.91"/>
    <n v="0"/>
    <n v="84.37"/>
    <n v="471.26"/>
    <n v="-84.37"/>
  </r>
  <r>
    <x v="15"/>
    <x v="1"/>
    <x v="0"/>
    <s v="5945200"/>
    <n v="731040"/>
    <s v="Sewer"/>
    <s v="Vascular Shared Services"/>
    <x v="0"/>
    <m/>
    <n v="0"/>
    <n v="231.26"/>
    <n v="0"/>
    <n v="221.56"/>
    <n v="0"/>
    <n v="255.51"/>
    <n v="0"/>
    <n v="246.56"/>
    <n v="0"/>
    <n v="246.56"/>
    <n v="0"/>
    <n v="256.56"/>
    <n v="1458.0099999999998"/>
    <n v="-256.56"/>
  </r>
  <r>
    <x v="15"/>
    <x v="1"/>
    <x v="0"/>
    <s v="5945200"/>
    <n v="731050"/>
    <s v="Refuse Disposal"/>
    <s v="Vascular Shared Services"/>
    <x v="0"/>
    <m/>
    <n v="553.61"/>
    <n v="569.5"/>
    <n v="518.15"/>
    <n v="614.87"/>
    <n v="570.04"/>
    <n v="507.07"/>
    <n v="569.19000000000005"/>
    <n v="593.78"/>
    <n v="518.19000000000005"/>
    <n v="477.68"/>
    <n v="462.37"/>
    <n v="462.61"/>
    <n v="6417.0599999999995"/>
    <n v="-0.24000000000000909"/>
  </r>
  <r>
    <x v="15"/>
    <x v="1"/>
    <x v="0"/>
    <s v="5945200"/>
    <n v="731060"/>
    <s v="Telephone"/>
    <s v="Vascular Shared Services"/>
    <x v="0"/>
    <m/>
    <n v="4164.8900000000003"/>
    <n v="3372.01"/>
    <n v="2795.58"/>
    <n v="2686.2"/>
    <n v="3406.32"/>
    <n v="3482.29"/>
    <n v="4674.62"/>
    <n v="2627.46"/>
    <n v="3331.65"/>
    <n v="3449.14"/>
    <n v="3350.07"/>
    <n v="3827.39"/>
    <n v="41167.620000000003"/>
    <n v="-477.31999999999971"/>
  </r>
  <r>
    <x v="15"/>
    <x v="1"/>
    <x v="0"/>
    <s v="5945200"/>
    <n v="731060"/>
    <s v="Cell Phones"/>
    <s v="Vascular Shared Services"/>
    <x v="0"/>
    <n v="1001"/>
    <n v="0"/>
    <n v="34.01"/>
    <n v="16.489999999999998"/>
    <n v="0"/>
    <n v="16.489999999999998"/>
    <n v="17.079999999999998"/>
    <n v="34.159999999999997"/>
    <n v="0"/>
    <n v="18.079999999999998"/>
    <n v="34.19"/>
    <n v="16.920000000000002"/>
    <n v="17.329999999999998"/>
    <n v="204.75"/>
    <n v="-0.40999999999999659"/>
  </r>
  <r>
    <x v="16"/>
    <x v="1"/>
    <x v="0"/>
    <s v="5945200"/>
    <n v="732030"/>
    <s v="Repairs---Other"/>
    <s v="Vascular Shared Services"/>
    <x v="0"/>
    <m/>
    <n v="0"/>
    <n v="0"/>
    <n v="0"/>
    <n v="0"/>
    <n v="0"/>
    <n v="0"/>
    <n v="0"/>
    <n v="908.84"/>
    <n v="140.61000000000001"/>
    <n v="0"/>
    <n v="0"/>
    <n v="0"/>
    <n v="1049.45"/>
    <n v="0"/>
  </r>
  <r>
    <x v="0"/>
    <x v="1"/>
    <x v="0"/>
    <s v="5945200"/>
    <n v="749510"/>
    <s v="Miscellaneous Expenses"/>
    <s v="Vascular Shared Services"/>
    <x v="0"/>
    <m/>
    <n v="0"/>
    <n v="0"/>
    <n v="0"/>
    <n v="0"/>
    <n v="0"/>
    <n v="0"/>
    <n v="89.37"/>
    <n v="184.43"/>
    <n v="-0.04"/>
    <n v="0"/>
    <n v="0"/>
    <n v="33.89"/>
    <n v="307.64999999999998"/>
    <n v="-33.89"/>
  </r>
  <r>
    <x v="0"/>
    <x v="1"/>
    <x v="0"/>
    <s v="5945200"/>
    <n v="749510"/>
    <s v="RICE Rewards"/>
    <s v="Vascular Shared Services"/>
    <x v="0"/>
    <n v="5100"/>
    <n v="0"/>
    <n v="0"/>
    <n v="0"/>
    <n v="0"/>
    <n v="0"/>
    <n v="0"/>
    <n v="0"/>
    <n v="43.93"/>
    <n v="0"/>
    <n v="0"/>
    <n v="0"/>
    <n v="0"/>
    <n v="43.93"/>
    <n v="0"/>
  </r>
  <r>
    <x v="0"/>
    <x v="1"/>
    <x v="0"/>
    <s v="5945200"/>
    <n v="749530"/>
    <s v="Travel"/>
    <s v="Vascular Shared Services"/>
    <x v="0"/>
    <m/>
    <n v="0"/>
    <n v="0"/>
    <n v="0"/>
    <n v="0"/>
    <n v="0"/>
    <n v="0"/>
    <n v="0"/>
    <n v="6"/>
    <n v="30"/>
    <n v="18"/>
    <n v="0"/>
    <n v="0"/>
    <n v="54"/>
    <n v="0"/>
  </r>
  <r>
    <x v="0"/>
    <x v="1"/>
    <x v="0"/>
    <s v="5945200"/>
    <n v="749530"/>
    <s v="Mileage"/>
    <s v="Vascular Shared Services"/>
    <x v="0"/>
    <n v="1001"/>
    <n v="0"/>
    <n v="0"/>
    <n v="0"/>
    <n v="0"/>
    <n v="0"/>
    <n v="0"/>
    <n v="0"/>
    <n v="39.44"/>
    <n v="197.2"/>
    <n v="120.64"/>
    <n v="71.34"/>
    <n v="0"/>
    <n v="428.62"/>
    <n v="71.34"/>
  </r>
  <r>
    <x v="5"/>
    <x v="1"/>
    <x v="0"/>
    <s v="5946200"/>
    <n v="700014"/>
    <s v="Salaries-Management-Productive"/>
    <s v="Pulmonary Shared Services"/>
    <x v="0"/>
    <m/>
    <n v="7805.28"/>
    <n v="8548.64"/>
    <n v="4274.32"/>
    <n v="9712.56"/>
    <n v="8463.84"/>
    <n v="5578.44"/>
    <n v="6896.87"/>
    <n v="8322.17"/>
    <n v="8090.98"/>
    <n v="8476.27"/>
    <n v="6549.84"/>
    <n v="7320.41"/>
    <n v="90039.62000000001"/>
    <n v="-770.56999999999971"/>
  </r>
  <r>
    <x v="5"/>
    <x v="1"/>
    <x v="0"/>
    <s v="5946200"/>
    <n v="700038"/>
    <s v="Salaries-Service/Support-Productive"/>
    <s v="Pulmonary Shared Services"/>
    <x v="0"/>
    <m/>
    <n v="8153.93"/>
    <n v="6583.05"/>
    <n v="5269.74"/>
    <n v="8738.64"/>
    <n v="6599.41"/>
    <n v="4609.8900000000003"/>
    <n v="6539.55"/>
    <n v="8292.23"/>
    <n v="8670.0300000000007"/>
    <n v="10501.4"/>
    <n v="9264.52"/>
    <n v="9424.83"/>
    <n v="92647.22"/>
    <n v="-160.30999999999949"/>
  </r>
  <r>
    <x v="5"/>
    <x v="1"/>
    <x v="0"/>
    <s v="5946200"/>
    <n v="700038"/>
    <s v="Salaries-Service/Support-OT"/>
    <s v="Pulmonary Shared Services"/>
    <x v="0"/>
    <n v="1000"/>
    <n v="0"/>
    <n v="0"/>
    <n v="30.06"/>
    <n v="-3.34"/>
    <n v="46.63"/>
    <n v="0.01"/>
    <n v="0"/>
    <n v="26.2"/>
    <n v="-5.33"/>
    <n v="35.479999999999997"/>
    <n v="-14.6"/>
    <n v="6.67"/>
    <n v="121.78000000000002"/>
    <n v="-21.27"/>
  </r>
  <r>
    <x v="5"/>
    <x v="1"/>
    <x v="0"/>
    <s v="5946200"/>
    <n v="700038"/>
    <s v="Salaries-Service/Support-Other"/>
    <s v="Pulmonary Shared Services"/>
    <x v="0"/>
    <n v="2000"/>
    <n v="0"/>
    <n v="0"/>
    <n v="24.46"/>
    <n v="44.35"/>
    <n v="15.27"/>
    <n v="0"/>
    <n v="0"/>
    <n v="45.33"/>
    <n v="0"/>
    <n v="130.03"/>
    <n v="77.959999999999994"/>
    <n v="101.65"/>
    <n v="439.04999999999995"/>
    <n v="-23.690000000000012"/>
  </r>
  <r>
    <x v="5"/>
    <x v="1"/>
    <x v="0"/>
    <s v="5946200"/>
    <n v="700054"/>
    <s v="Salaries-Management-Non-productive"/>
    <s v="Pulmonary Shared Services"/>
    <x v="0"/>
    <m/>
    <n v="371.68"/>
    <n v="0"/>
    <n v="3159.28"/>
    <n v="-929.2"/>
    <n v="0"/>
    <n v="2500.6799999999998"/>
    <n v="1965.23"/>
    <n v="-616.45000000000005"/>
    <n v="0"/>
    <n v="0"/>
    <n v="2311.7199999999998"/>
    <n v="385.29"/>
    <n v="9148.2300000000014"/>
    <n v="1926.4299999999998"/>
  </r>
  <r>
    <x v="5"/>
    <x v="1"/>
    <x v="0"/>
    <s v="5946200"/>
    <n v="700078"/>
    <s v="Salaries-Service/Support-Non-productive"/>
    <s v="Pulmonary Shared Services"/>
    <x v="0"/>
    <m/>
    <n v="899.65"/>
    <n v="306.33999999999997"/>
    <n v="1063.83"/>
    <n v="272.02999999999997"/>
    <n v="-115.5"/>
    <n v="1738.8"/>
    <n v="440.41"/>
    <n v="142.26"/>
    <n v="710.7"/>
    <n v="71.19"/>
    <n v="1070.5999999999999"/>
    <n v="598.04999999999995"/>
    <n v="7198.36"/>
    <n v="472.54999999999995"/>
  </r>
  <r>
    <x v="5"/>
    <x v="1"/>
    <x v="0"/>
    <s v="5946200"/>
    <n v="700078"/>
    <s v="Salaries-Service/Support-NonProd-Other"/>
    <s v="Pulmonary Shared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46200"/>
    <n v="700084"/>
    <s v="Accrued PTO"/>
    <s v="Pulmonary Shared Services"/>
    <x v="0"/>
    <m/>
    <n v="626.14"/>
    <n v="1340.12"/>
    <n v="-1622.04"/>
    <n v="1807.38"/>
    <n v="1625.3"/>
    <n v="-3447.86"/>
    <n v="-376.23"/>
    <n v="1673.67"/>
    <n v="1217.74"/>
    <n v="1763.83"/>
    <n v="-75.41"/>
    <n v="466.01"/>
    <n v="4998.6499999999996"/>
    <n v="-541.41999999999996"/>
  </r>
  <r>
    <x v="6"/>
    <x v="1"/>
    <x v="0"/>
    <s v="5946200"/>
    <n v="713010"/>
    <s v="Benefits-FICA/Medicare"/>
    <s v="Pulmonary Shared Services"/>
    <x v="0"/>
    <m/>
    <n v="1255.3399999999999"/>
    <n v="1220.4100000000001"/>
    <n v="1039.51"/>
    <n v="1336.16"/>
    <n v="1133.29"/>
    <n v="1084.76"/>
    <n v="1189.1400000000001"/>
    <n v="1220.1600000000001"/>
    <n v="1315.16"/>
    <n v="1405.02"/>
    <n v="1410.71"/>
    <n v="1308.96"/>
    <n v="14918.619999999999"/>
    <n v="101.75"/>
  </r>
  <r>
    <x v="6"/>
    <x v="1"/>
    <x v="0"/>
    <s v="5946200"/>
    <n v="713090"/>
    <s v="Benefits-Allocated Amounts"/>
    <s v="Pulmonary Shared Services"/>
    <x v="0"/>
    <m/>
    <n v="4238.07"/>
    <n v="3211.94"/>
    <n v="3300.35"/>
    <n v="4127.4799999999996"/>
    <n v="3449.53"/>
    <n v="3264.87"/>
    <n v="4080.03"/>
    <n v="4425.82"/>
    <n v="4574.41"/>
    <n v="4718.84"/>
    <n v="4659.83"/>
    <n v="5141.25"/>
    <n v="49192.42"/>
    <n v="-481.42000000000007"/>
  </r>
  <r>
    <x v="7"/>
    <x v="1"/>
    <x v="0"/>
    <s v="5946200"/>
    <n v="718050"/>
    <s v="Contract Svcs-Other"/>
    <s v="Pulmonary Shared Services"/>
    <x v="0"/>
    <m/>
    <n v="0"/>
    <n v="0"/>
    <n v="0"/>
    <n v="0"/>
    <n v="418.79"/>
    <n v="0"/>
    <n v="0"/>
    <n v="0"/>
    <n v="0"/>
    <n v="0"/>
    <n v="0"/>
    <n v="0"/>
    <n v="418.79"/>
    <n v="0"/>
  </r>
  <r>
    <x v="11"/>
    <x v="1"/>
    <x v="0"/>
    <s v="5946200"/>
    <n v="721410"/>
    <s v="Supplies-Medical - Nonbillable"/>
    <s v="Pulmonary Shared Services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5946200"/>
    <n v="721880"/>
    <s v="Supplies-Linen"/>
    <s v="Pulmonary Shared Services"/>
    <x v="0"/>
    <m/>
    <n v="0"/>
    <n v="0"/>
    <n v="0"/>
    <n v="0"/>
    <n v="0"/>
    <n v="0"/>
    <n v="0"/>
    <n v="0"/>
    <n v="0"/>
    <n v="0"/>
    <n v="0"/>
    <n v="93.07"/>
    <n v="93.07"/>
    <n v="-93.07"/>
  </r>
  <r>
    <x v="11"/>
    <x v="1"/>
    <x v="0"/>
    <s v="5946200"/>
    <n v="721910"/>
    <s v="Supplies-Small Equipment"/>
    <s v="Pulmonary Shared Services"/>
    <x v="0"/>
    <m/>
    <n v="0"/>
    <n v="0"/>
    <n v="0"/>
    <n v="0"/>
    <n v="0"/>
    <n v="0"/>
    <n v="0"/>
    <n v="0"/>
    <n v="2600"/>
    <n v="0"/>
    <n v="0"/>
    <n v="0"/>
    <n v="2600"/>
    <n v="0"/>
  </r>
  <r>
    <x v="12"/>
    <x v="1"/>
    <x v="0"/>
    <s v="5946200"/>
    <n v="730010"/>
    <s v="Rental and Leases-Building (DO NOT USE)"/>
    <s v="Pulmonary Shared Services"/>
    <x v="0"/>
    <m/>
    <n v="27819.47"/>
    <n v="30479.67"/>
    <n v="30716.880000000001"/>
    <n v="30716.880000000001"/>
    <n v="30716.880000000001"/>
    <n v="-31839.51"/>
    <n v="19847.439999999999"/>
    <n v="19847.439999999999"/>
    <n v="19847.439999999999"/>
    <n v="17764.41"/>
    <n v="20403.7"/>
    <n v="0"/>
    <n v="216320.7"/>
    <n v="20403.7"/>
  </r>
  <r>
    <x v="12"/>
    <x v="1"/>
    <x v="0"/>
    <s v="5946200"/>
    <n v="730010"/>
    <s v="Rental-Common Area Maint (DO NOT USE)"/>
    <s v="Pulmonary Shared Services"/>
    <x v="0"/>
    <n v="2200"/>
    <n v="0"/>
    <n v="0"/>
    <n v="0"/>
    <n v="0"/>
    <n v="0"/>
    <n v="62556.39"/>
    <n v="10869.44"/>
    <n v="10869.44"/>
    <n v="6783.36"/>
    <n v="8556.94"/>
    <n v="-37462.26"/>
    <n v="0"/>
    <n v="62173.310000000005"/>
    <n v="-37462.26"/>
  </r>
  <r>
    <x v="12"/>
    <x v="1"/>
    <x v="0"/>
    <s v="5946200"/>
    <n v="730020"/>
    <s v="Rental and Leases-Equipment (DO NOT USE)"/>
    <s v="Pulmonary Shared Services"/>
    <x v="0"/>
    <m/>
    <n v="0"/>
    <n v="1497.73"/>
    <n v="0"/>
    <n v="0"/>
    <n v="0"/>
    <n v="0"/>
    <n v="0"/>
    <n v="0"/>
    <n v="0"/>
    <n v="0"/>
    <n v="0"/>
    <n v="0"/>
    <n v="1497.73"/>
    <n v="0"/>
  </r>
  <r>
    <x v="12"/>
    <x v="1"/>
    <x v="0"/>
    <s v="5946200"/>
    <n v="730020"/>
    <s v="Rental and Leases-Copier Usage Fees (DO NOT USE)"/>
    <s v="Pulmonary Shared Services"/>
    <x v="0"/>
    <n v="5100"/>
    <n v="2535.5500000000002"/>
    <n v="2824.77"/>
    <n v="2680.16"/>
    <n v="2680.16"/>
    <n v="2680.16"/>
    <n v="2680.16"/>
    <n v="-4179.7700000000004"/>
    <n v="405.98"/>
    <n v="750.91"/>
    <n v="4719.04"/>
    <n v="405.98"/>
    <n v="3764.58"/>
    <n v="21947.68"/>
    <n v="-3358.6"/>
  </r>
  <r>
    <x v="12"/>
    <x v="1"/>
    <x v="0"/>
    <s v="5946200"/>
    <n v="730040"/>
    <s v="LT Lease-Real Estate"/>
    <s v="Pulmonary Shared Services"/>
    <x v="0"/>
    <m/>
    <n v="0"/>
    <n v="0"/>
    <n v="0"/>
    <n v="0"/>
    <n v="0"/>
    <n v="0"/>
    <n v="0"/>
    <n v="0"/>
    <n v="0"/>
    <n v="0"/>
    <n v="0"/>
    <n v="28960.639999999999"/>
    <n v="28960.639999999999"/>
    <n v="-28960.639999999999"/>
  </r>
  <r>
    <x v="15"/>
    <x v="1"/>
    <x v="0"/>
    <s v="5946200"/>
    <n v="731050"/>
    <s v="Refuse Disposal"/>
    <s v="Pulmonary Shared Services"/>
    <x v="0"/>
    <m/>
    <n v="482.21"/>
    <n v="497.08"/>
    <n v="497.08"/>
    <n v="497.08"/>
    <n v="497.08"/>
    <n v="497.08"/>
    <n v="497.08"/>
    <n v="503.95"/>
    <n v="503.95"/>
    <n v="503.95"/>
    <n v="503.95"/>
    <n v="503.95"/>
    <n v="5984.4399999999987"/>
    <n v="0"/>
  </r>
  <r>
    <x v="15"/>
    <x v="1"/>
    <x v="0"/>
    <s v="5946200"/>
    <n v="731060"/>
    <s v="Telephone"/>
    <s v="Pulmonary Shared Services"/>
    <x v="0"/>
    <m/>
    <n v="801.16"/>
    <n v="2702.86"/>
    <n v="1602.32"/>
    <n v="1901.85"/>
    <n v="801.16"/>
    <n v="0"/>
    <n v="801.16"/>
    <n v="1780.5"/>
    <n v="801.16"/>
    <n v="801.16"/>
    <n v="974.24"/>
    <n v="801.16"/>
    <n v="13768.73"/>
    <n v="173.08000000000004"/>
  </r>
  <r>
    <x v="15"/>
    <x v="1"/>
    <x v="0"/>
    <s v="5946200"/>
    <n v="731060"/>
    <s v="Pagers"/>
    <s v="Pulmonary Shared Services"/>
    <x v="0"/>
    <n v="1002"/>
    <n v="0"/>
    <n v="0"/>
    <n v="1005.23"/>
    <n v="0"/>
    <n v="0"/>
    <n v="974.72"/>
    <n v="976.64"/>
    <n v="972.8"/>
    <n v="1729.14"/>
    <n v="0"/>
    <n v="0"/>
    <n v="0"/>
    <n v="5658.5300000000007"/>
    <n v="0"/>
  </r>
  <r>
    <x v="15"/>
    <x v="1"/>
    <x v="0"/>
    <s v="5946200"/>
    <n v="731070"/>
    <s v="Cable TV"/>
    <s v="Pulmonary Shared Services"/>
    <x v="0"/>
    <m/>
    <n v="144.97999999999999"/>
    <n v="144.97999999999999"/>
    <n v="144.97999999999999"/>
    <n v="144.97999999999999"/>
    <n v="144.97999999999999"/>
    <n v="144.97999999999999"/>
    <n v="144.97999999999999"/>
    <n v="175.78"/>
    <n v="166.98"/>
    <n v="166.98"/>
    <n v="166.98"/>
    <n v="166.98"/>
    <n v="1858.5600000000002"/>
    <n v="0"/>
  </r>
  <r>
    <x v="16"/>
    <x v="1"/>
    <x v="0"/>
    <s v="5946200"/>
    <n v="732030"/>
    <s v="Repairs---Other"/>
    <s v="Pulmonary Shared Services"/>
    <x v="0"/>
    <m/>
    <n v="0"/>
    <n v="0"/>
    <n v="0"/>
    <n v="0"/>
    <n v="0"/>
    <n v="0"/>
    <n v="0"/>
    <n v="0"/>
    <n v="0"/>
    <n v="0"/>
    <n v="130.69"/>
    <n v="0"/>
    <n v="130.69"/>
    <n v="130.69"/>
  </r>
  <r>
    <x v="13"/>
    <x v="1"/>
    <x v="0"/>
    <s v="5946200"/>
    <n v="735050"/>
    <s v="Amortization-Leasehold Improvements"/>
    <s v="Pulmonary Shared Services"/>
    <x v="0"/>
    <m/>
    <n v="2022.91"/>
    <n v="2022.91"/>
    <n v="2022.91"/>
    <n v="2022.91"/>
    <n v="2022.91"/>
    <n v="2022.91"/>
    <n v="2022.91"/>
    <n v="2022.91"/>
    <n v="2022.91"/>
    <n v="2022.9"/>
    <n v="2022.91"/>
    <n v="2022.9"/>
    <n v="24274.900000000005"/>
    <n v="9.9999999999909051E-3"/>
  </r>
  <r>
    <x v="13"/>
    <x v="1"/>
    <x v="0"/>
    <s v="5946200"/>
    <n v="735060"/>
    <s v="Depreciation-Fixed Equipment"/>
    <s v="Pulmonary Shared Services"/>
    <x v="0"/>
    <m/>
    <n v="199.39"/>
    <n v="199.39"/>
    <n v="199.39"/>
    <n v="199.39"/>
    <n v="199.4"/>
    <n v="199.39"/>
    <n v="199.4"/>
    <n v="199.39"/>
    <n v="199.4"/>
    <n v="199.39"/>
    <n v="199.4"/>
    <n v="199.39"/>
    <n v="2392.7199999999998"/>
    <n v="1.0000000000019327E-2"/>
  </r>
  <r>
    <x v="13"/>
    <x v="1"/>
    <x v="0"/>
    <s v="5946200"/>
    <n v="735070"/>
    <s v="Depreciation-Movable Equipment"/>
    <s v="Pulmonary Shared Services"/>
    <x v="0"/>
    <m/>
    <n v="2135.13"/>
    <n v="2135.13"/>
    <n v="2135.13"/>
    <n v="2135.12"/>
    <n v="2135.14"/>
    <n v="2135.11"/>
    <n v="2135.15"/>
    <n v="2135.12"/>
    <n v="2135.15"/>
    <n v="2135.12"/>
    <n v="2135.15"/>
    <n v="1959.64"/>
    <n v="25446.09"/>
    <n v="175.51"/>
  </r>
  <r>
    <x v="0"/>
    <x v="1"/>
    <x v="0"/>
    <s v="5946200"/>
    <n v="749510"/>
    <s v="Miscellaneous Expenses"/>
    <s v="Pulmonary Shared Services"/>
    <x v="0"/>
    <m/>
    <n v="0"/>
    <n v="0"/>
    <n v="0"/>
    <n v="0"/>
    <n v="0"/>
    <n v="0"/>
    <n v="0"/>
    <n v="0"/>
    <n v="273.76"/>
    <n v="0"/>
    <n v="0"/>
    <n v="2224"/>
    <n v="2497.7600000000002"/>
    <n v="-2224"/>
  </r>
  <r>
    <x v="0"/>
    <x v="1"/>
    <x v="0"/>
    <s v="5946200"/>
    <n v="749510"/>
    <s v="RICE Rewards"/>
    <s v="Pulmonary Shared Services"/>
    <x v="0"/>
    <n v="5100"/>
    <n v="0"/>
    <n v="0"/>
    <n v="0"/>
    <n v="0"/>
    <n v="0"/>
    <n v="0"/>
    <n v="0"/>
    <n v="0"/>
    <n v="0"/>
    <n v="0"/>
    <n v="0"/>
    <n v="1552.72"/>
    <n v="1552.72"/>
    <n v="-1552.72"/>
  </r>
  <r>
    <x v="0"/>
    <x v="1"/>
    <x v="0"/>
    <s v="5946200"/>
    <n v="749530"/>
    <s v="Travel"/>
    <s v="Pulmonary Shared Services"/>
    <x v="0"/>
    <m/>
    <n v="0"/>
    <n v="0"/>
    <n v="0"/>
    <n v="36"/>
    <n v="0"/>
    <n v="0"/>
    <n v="0"/>
    <n v="0"/>
    <n v="0"/>
    <n v="0"/>
    <n v="0"/>
    <n v="0"/>
    <n v="36"/>
    <n v="0"/>
  </r>
  <r>
    <x v="0"/>
    <x v="1"/>
    <x v="0"/>
    <s v="5946200"/>
    <n v="749530"/>
    <s v="Mileage"/>
    <s v="Pulmonary Shared Services"/>
    <x v="0"/>
    <n v="1001"/>
    <n v="53.96"/>
    <n v="0"/>
    <n v="0"/>
    <n v="317.22000000000003"/>
    <n v="0"/>
    <n v="0"/>
    <n v="0"/>
    <n v="0"/>
    <n v="0"/>
    <n v="0"/>
    <n v="0"/>
    <n v="0"/>
    <n v="371.18"/>
    <n v="0"/>
  </r>
  <r>
    <x v="0"/>
    <x v="1"/>
    <x v="0"/>
    <s v="5946200"/>
    <n v="749550"/>
    <s v="Cash Over/Short"/>
    <s v="Pulmonary Shared Services"/>
    <x v="0"/>
    <m/>
    <n v="10"/>
    <n v="0"/>
    <n v="0"/>
    <n v="0"/>
    <n v="0"/>
    <n v="0"/>
    <n v="0"/>
    <n v="0"/>
    <n v="-10"/>
    <n v="0"/>
    <n v="-10"/>
    <n v="0"/>
    <n v="-10"/>
    <n v="-10"/>
  </r>
  <r>
    <x v="0"/>
    <x v="1"/>
    <x v="0"/>
    <s v="5946200"/>
    <n v="766010"/>
    <s v="Property Tax"/>
    <s v="Pulmonary Shared Services"/>
    <x v="0"/>
    <m/>
    <n v="150.66"/>
    <n v="150.66"/>
    <n v="150.66"/>
    <n v="-451.98"/>
    <n v="0"/>
    <n v="0"/>
    <n v="0"/>
    <n v="0"/>
    <n v="0"/>
    <n v="519.04"/>
    <n v="-774.2"/>
    <n v="129.75"/>
    <n v="-125.41000000000008"/>
    <n v="-903.95"/>
  </r>
  <r>
    <x v="5"/>
    <x v="1"/>
    <x v="0"/>
    <s v="5947200"/>
    <n v="700014"/>
    <s v="Salaries-Management-Productive"/>
    <s v="Bremerton Surgery S/S"/>
    <x v="0"/>
    <m/>
    <n v="1510.68"/>
    <n v="1599.56"/>
    <n v="1277.42"/>
    <n v="2242.46"/>
    <n v="1994.08"/>
    <n v="1450.24"/>
    <n v="2087.88"/>
    <n v="1815.44"/>
    <n v="1906.22"/>
    <n v="1996.98"/>
    <n v="2087.7600000000002"/>
    <n v="1248.1199999999999"/>
    <n v="21216.84"/>
    <n v="839.64000000000033"/>
  </r>
  <r>
    <x v="5"/>
    <x v="1"/>
    <x v="0"/>
    <s v="5947200"/>
    <n v="700038"/>
    <s v="Salaries-Service/Support-Productive"/>
    <s v="Bremerton Surgery S/S"/>
    <x v="0"/>
    <m/>
    <n v="3532.81"/>
    <n v="3022.82"/>
    <n v="3516.88"/>
    <n v="4002.16"/>
    <n v="3759.61"/>
    <n v="2473.5700000000002"/>
    <n v="3762.03"/>
    <n v="2173.59"/>
    <n v="3967.89"/>
    <n v="3030.79"/>
    <n v="3799.11"/>
    <n v="2874.86"/>
    <n v="39916.119999999995"/>
    <n v="924.25"/>
  </r>
  <r>
    <x v="5"/>
    <x v="1"/>
    <x v="0"/>
    <s v="5947200"/>
    <n v="700038"/>
    <s v="Salaries-Service/Support-OT"/>
    <s v="Bremerton Surgery S/S"/>
    <x v="0"/>
    <n v="1000"/>
    <n v="0"/>
    <n v="15.94"/>
    <n v="103.61"/>
    <n v="129.66999999999999"/>
    <n v="16.420000000000002"/>
    <n v="87.01"/>
    <n v="3.3"/>
    <n v="0"/>
    <n v="139.78"/>
    <n v="-0.01"/>
    <n v="98.66"/>
    <n v="-49.33"/>
    <n v="545.04999999999995"/>
    <n v="147.99"/>
  </r>
  <r>
    <x v="5"/>
    <x v="1"/>
    <x v="0"/>
    <s v="5947200"/>
    <n v="700078"/>
    <s v="Salaries-Service/Support-Non-productive"/>
    <s v="Bremerton Surgery S/S"/>
    <x v="0"/>
    <m/>
    <n v="213.56"/>
    <n v="896.75"/>
    <n v="-79.680000000000007"/>
    <n v="0"/>
    <n v="93.03"/>
    <n v="1203.95"/>
    <n v="287.25"/>
    <n v="1329.58"/>
    <n v="-284.97000000000003"/>
    <n v="431.86"/>
    <n v="192.95"/>
    <n v="471.31"/>
    <n v="4755.59"/>
    <n v="-278.36"/>
  </r>
  <r>
    <x v="5"/>
    <x v="1"/>
    <x v="0"/>
    <s v="5947200"/>
    <n v="700084"/>
    <s v="Accrued PTO"/>
    <s v="Bremerton Surgery S/S"/>
    <x v="0"/>
    <m/>
    <n v="304.51"/>
    <n v="-190.19"/>
    <n v="269.88"/>
    <n v="580.14"/>
    <n v="332.51"/>
    <n v="-463.85"/>
    <n v="164.61"/>
    <n v="-576.36"/>
    <n v="422.91"/>
    <n v="51.44"/>
    <n v="332.29"/>
    <n v="0"/>
    <n v="1227.8899999999999"/>
    <n v="332.29"/>
  </r>
  <r>
    <x v="6"/>
    <x v="1"/>
    <x v="0"/>
    <s v="5947200"/>
    <n v="713010"/>
    <s v="Benefits-FICA/Medicare"/>
    <s v="Bremerton Surgery S/S"/>
    <x v="0"/>
    <m/>
    <n v="382.02"/>
    <n v="402.34"/>
    <n v="350.5"/>
    <n v="464.99"/>
    <n v="443.34"/>
    <n v="379.58"/>
    <n v="446.55"/>
    <n v="386.67"/>
    <n v="414.09"/>
    <n v="394.79"/>
    <n v="445.01"/>
    <n v="327.96"/>
    <n v="4837.84"/>
    <n v="117.05000000000001"/>
  </r>
  <r>
    <x v="6"/>
    <x v="1"/>
    <x v="0"/>
    <s v="5947200"/>
    <n v="713090"/>
    <s v="Benefits-Allocated Amounts"/>
    <s v="Bremerton Surgery S/S"/>
    <x v="0"/>
    <m/>
    <n v="1293.7"/>
    <n v="1218.75"/>
    <n v="1282.1099999999999"/>
    <n v="1363.19"/>
    <n v="1355.14"/>
    <n v="1304.74"/>
    <n v="1558.85"/>
    <n v="1454.84"/>
    <n v="1465.27"/>
    <n v="1363.79"/>
    <n v="1441.35"/>
    <n v="1434.41"/>
    <n v="16536.140000000003"/>
    <n v="6.9399999999998272"/>
  </r>
  <r>
    <x v="7"/>
    <x v="1"/>
    <x v="0"/>
    <s v="5947200"/>
    <n v="718050"/>
    <s v="Contract Svcs-Other"/>
    <s v="Bremerton Surgery S/S"/>
    <x v="0"/>
    <m/>
    <n v="0"/>
    <n v="0"/>
    <n v="0"/>
    <n v="22.97"/>
    <n v="152.27000000000001"/>
    <n v="0"/>
    <n v="0"/>
    <n v="141"/>
    <n v="230"/>
    <n v="0"/>
    <n v="0"/>
    <n v="0"/>
    <n v="546.24"/>
    <n v="0"/>
  </r>
  <r>
    <x v="7"/>
    <x v="1"/>
    <x v="0"/>
    <s v="5947200"/>
    <n v="718050"/>
    <s v="Miscellaneous Purchased Svcs"/>
    <s v="Bremerton Surgery S/S"/>
    <x v="0"/>
    <n v="1020"/>
    <n v="318.61"/>
    <n v="542.77"/>
    <n v="448.93"/>
    <n v="369.23"/>
    <n v="395.44"/>
    <n v="415.86"/>
    <n v="814.06"/>
    <n v="396.41"/>
    <n v="721.23"/>
    <n v="367.35"/>
    <n v="77.569999999999993"/>
    <n v="708.42"/>
    <n v="5575.88"/>
    <n v="-630.84999999999991"/>
  </r>
  <r>
    <x v="11"/>
    <x v="1"/>
    <x v="0"/>
    <s v="5947200"/>
    <n v="721410"/>
    <s v="Supplies-Medical - Nonbillable"/>
    <s v="Bremerton Surgery S/S"/>
    <x v="0"/>
    <m/>
    <n v="0"/>
    <n v="3128.88"/>
    <n v="3911.1"/>
    <n v="0"/>
    <n v="0"/>
    <n v="0"/>
    <n v="3128.88"/>
    <n v="1564.44"/>
    <n v="1564.44"/>
    <n v="0"/>
    <n v="0"/>
    <n v="0"/>
    <n v="13297.740000000002"/>
    <n v="0"/>
  </r>
  <r>
    <x v="11"/>
    <x v="1"/>
    <x v="0"/>
    <s v="5947200"/>
    <n v="721830"/>
    <s v="Supplies-Office"/>
    <s v="Bremerton Surgery S/S"/>
    <x v="0"/>
    <m/>
    <n v="184.2"/>
    <n v="550.70000000000005"/>
    <n v="21.51"/>
    <n v="166.27"/>
    <n v="0"/>
    <n v="1024.6500000000001"/>
    <n v="198.42"/>
    <n v="200.6"/>
    <n v="284.8"/>
    <n v="180.34"/>
    <n v="150.54"/>
    <n v="157.81"/>
    <n v="3119.84"/>
    <n v="-7.2700000000000102"/>
  </r>
  <r>
    <x v="11"/>
    <x v="1"/>
    <x v="0"/>
    <s v="5947200"/>
    <n v="721910"/>
    <s v="Supplies-Small Equipment"/>
    <s v="Bremerton Surgery S/S"/>
    <x v="0"/>
    <m/>
    <n v="1196.82"/>
    <n v="0"/>
    <n v="0"/>
    <n v="2627.58"/>
    <n v="0"/>
    <n v="0"/>
    <n v="0"/>
    <n v="0"/>
    <n v="0"/>
    <n v="0"/>
    <n v="0"/>
    <n v="0"/>
    <n v="3824.3999999999996"/>
    <n v="0"/>
  </r>
  <r>
    <x v="11"/>
    <x v="1"/>
    <x v="0"/>
    <s v="5947200"/>
    <n v="721980"/>
    <s v="Supplies-Other"/>
    <s v="Bremerton Surgery S/S"/>
    <x v="0"/>
    <m/>
    <n v="0"/>
    <n v="10.06"/>
    <n v="14.36"/>
    <n v="0"/>
    <n v="0"/>
    <n v="0"/>
    <n v="74.25"/>
    <n v="6.77"/>
    <n v="21.86"/>
    <n v="25.17"/>
    <n v="21.55"/>
    <n v="18.600000000000001"/>
    <n v="192.62"/>
    <n v="2.9499999999999993"/>
  </r>
  <r>
    <x v="12"/>
    <x v="1"/>
    <x v="0"/>
    <s v="5947200"/>
    <n v="730010"/>
    <s v="Rental and Leases-Building (DO NOT USE)"/>
    <s v="Bremerton Surgery S/S"/>
    <x v="0"/>
    <m/>
    <n v="7645.34"/>
    <n v="7533.54"/>
    <n v="7533.54"/>
    <n v="7538.14"/>
    <n v="7615.13"/>
    <n v="5854.92"/>
    <n v="7258.82"/>
    <n v="7332.32"/>
    <n v="7283.32"/>
    <n v="7283.77"/>
    <n v="7283.77"/>
    <n v="0"/>
    <n v="80162.610000000015"/>
    <n v="7283.77"/>
  </r>
  <r>
    <x v="12"/>
    <x v="1"/>
    <x v="0"/>
    <s v="5947200"/>
    <n v="730010"/>
    <s v="Rental-Common Area Maint (DO NOT USE)"/>
    <s v="Bremerton Surgery S/S"/>
    <x v="0"/>
    <n v="2200"/>
    <n v="0"/>
    <n v="0"/>
    <n v="0"/>
    <n v="0"/>
    <n v="0"/>
    <n v="1683.62"/>
    <n v="258.35000000000002"/>
    <n v="293.81"/>
    <n v="372.36"/>
    <n v="332.76"/>
    <n v="0"/>
    <n v="0"/>
    <n v="2940.8999999999996"/>
    <n v="0"/>
  </r>
  <r>
    <x v="12"/>
    <x v="1"/>
    <x v="0"/>
    <s v="5947200"/>
    <n v="730020"/>
    <s v="Rental and Leases-Copier Usage Fees (DO NOT USE)"/>
    <s v="Bremerton Surgery S/S"/>
    <x v="0"/>
    <n v="5100"/>
    <n v="399.45"/>
    <n v="435.88"/>
    <n v="417.66"/>
    <n v="417.66"/>
    <n v="417.66"/>
    <n v="417.66"/>
    <n v="-242.59"/>
    <n v="291.62"/>
    <n v="291.01"/>
    <n v="470.71"/>
    <n v="269.61"/>
    <n v="288.8"/>
    <n v="3875.1299999999997"/>
    <n v="-19.189999999999998"/>
  </r>
  <r>
    <x v="12"/>
    <x v="1"/>
    <x v="0"/>
    <s v="5947200"/>
    <n v="730040"/>
    <s v="LT Lease-Real Estate"/>
    <s v="Bremerton Surgery S/S"/>
    <x v="0"/>
    <m/>
    <n v="0"/>
    <n v="0"/>
    <n v="0"/>
    <n v="0"/>
    <n v="0"/>
    <n v="0"/>
    <n v="0"/>
    <n v="0"/>
    <n v="0"/>
    <n v="0"/>
    <n v="0"/>
    <n v="7867.09"/>
    <n v="7867.09"/>
    <n v="-7867.09"/>
  </r>
  <r>
    <x v="15"/>
    <x v="1"/>
    <x v="0"/>
    <s v="5947200"/>
    <n v="731050"/>
    <s v="Refuse Disposal"/>
    <s v="Bremerton Surgery S/S"/>
    <x v="0"/>
    <m/>
    <n v="0"/>
    <n v="133.26"/>
    <n v="94.65"/>
    <n v="104.96"/>
    <n v="37.25"/>
    <n v="79.83"/>
    <n v="80.78"/>
    <n v="58.16"/>
    <n v="58.16"/>
    <n v="21.67"/>
    <n v="36.49"/>
    <n v="132.09"/>
    <n v="837.3"/>
    <n v="-95.6"/>
  </r>
  <r>
    <x v="15"/>
    <x v="1"/>
    <x v="0"/>
    <s v="5947200"/>
    <n v="731060"/>
    <s v="Telephone"/>
    <s v="Bremerton Surgery S/S"/>
    <x v="0"/>
    <m/>
    <n v="4133.6499999999996"/>
    <n v="2864.46"/>
    <n v="1793.15"/>
    <n v="1914.48"/>
    <n v="2932.92"/>
    <n v="2948.8"/>
    <n v="5084.49"/>
    <n v="1808.33"/>
    <n v="2893.17"/>
    <n v="3019.1"/>
    <n v="3452.67"/>
    <n v="2180.81"/>
    <n v="35026.029999999992"/>
    <n v="1271.8600000000001"/>
  </r>
  <r>
    <x v="15"/>
    <x v="1"/>
    <x v="0"/>
    <s v="5947200"/>
    <n v="731060"/>
    <s v="Cell Phones"/>
    <s v="Bremerton Surgery S/S"/>
    <x v="0"/>
    <n v="1001"/>
    <n v="0"/>
    <n v="127.28"/>
    <n v="111.01"/>
    <n v="0"/>
    <n v="58.2"/>
    <n v="27.8"/>
    <n v="308.52"/>
    <n v="0"/>
    <n v="71.790000000000006"/>
    <n v="97.39"/>
    <n v="48.06"/>
    <n v="48.7"/>
    <n v="898.75"/>
    <n v="-0.64000000000000057"/>
  </r>
  <r>
    <x v="16"/>
    <x v="1"/>
    <x v="0"/>
    <s v="5947200"/>
    <n v="732030"/>
    <s v="Repairs---Other"/>
    <s v="Bremerton Surgery S/S"/>
    <x v="0"/>
    <m/>
    <n v="0"/>
    <n v="0"/>
    <n v="20.52"/>
    <n v="0"/>
    <n v="0"/>
    <n v="0"/>
    <n v="0"/>
    <n v="0"/>
    <n v="0"/>
    <n v="0"/>
    <n v="0"/>
    <n v="0"/>
    <n v="20.52"/>
    <n v="0"/>
  </r>
  <r>
    <x v="13"/>
    <x v="1"/>
    <x v="0"/>
    <s v="5947200"/>
    <n v="735070"/>
    <s v="Depreciation-Movable Equipment"/>
    <s v="Bremerton Surgery S/S"/>
    <x v="0"/>
    <m/>
    <n v="53.35"/>
    <n v="53.35"/>
    <n v="53.35"/>
    <n v="53.35"/>
    <n v="53.35"/>
    <n v="53.35"/>
    <n v="53.36"/>
    <n v="53.35"/>
    <n v="53.36"/>
    <n v="53.35"/>
    <n v="53.36"/>
    <n v="53.35"/>
    <n v="640.23000000000013"/>
    <n v="9.9999999999980105E-3"/>
  </r>
  <r>
    <x v="0"/>
    <x v="1"/>
    <x v="0"/>
    <s v="5947200"/>
    <n v="749510"/>
    <s v="Miscellaneous Expenses"/>
    <s v="Bremerton Surgery S/S"/>
    <x v="0"/>
    <m/>
    <n v="0"/>
    <n v="0"/>
    <n v="0"/>
    <n v="0"/>
    <n v="0"/>
    <n v="0"/>
    <n v="0"/>
    <n v="0"/>
    <n v="273.76"/>
    <n v="0"/>
    <n v="0"/>
    <n v="0"/>
    <n v="273.76"/>
    <n v="0"/>
  </r>
  <r>
    <x v="5"/>
    <x v="1"/>
    <x v="0"/>
    <s v="5948200"/>
    <n v="700018"/>
    <s v="Salaries-Supervisory-Productive"/>
    <s v="Silverdale Surgery S/S"/>
    <x v="0"/>
    <m/>
    <n v="3024"/>
    <n v="5418"/>
    <n v="4158"/>
    <n v="5921.28"/>
    <n v="5697.12"/>
    <n v="3444.16"/>
    <n v="6146.48"/>
    <n v="4460.6400000000003"/>
    <n v="5653.62"/>
    <n v="5005.25"/>
    <n v="5368.35"/>
    <n v="4149.4399999999996"/>
    <n v="58446.34"/>
    <n v="1218.9100000000008"/>
  </r>
  <r>
    <x v="5"/>
    <x v="1"/>
    <x v="0"/>
    <s v="5948200"/>
    <n v="700038"/>
    <s v="Salaries-Service/Support-Productive"/>
    <s v="Silverdale Surgery S/S"/>
    <x v="0"/>
    <m/>
    <n v="2997.52"/>
    <n v="2952.92"/>
    <n v="3414.96"/>
    <n v="2932.37"/>
    <n v="3067.23"/>
    <n v="1950.17"/>
    <n v="1613.38"/>
    <n v="1630.2"/>
    <n v="2585.88"/>
    <n v="-597.58000000000004"/>
    <n v="0"/>
    <n v="675.09"/>
    <n v="23222.14"/>
    <n v="-675.09"/>
  </r>
  <r>
    <x v="5"/>
    <x v="1"/>
    <x v="0"/>
    <s v="5948200"/>
    <n v="700038"/>
    <s v="Salaries-Service/Support-OT"/>
    <s v="Silverdale Surgery S/S"/>
    <x v="0"/>
    <n v="1000"/>
    <n v="0"/>
    <n v="0"/>
    <n v="0"/>
    <n v="0"/>
    <n v="13.72"/>
    <n v="-6.86"/>
    <n v="0"/>
    <n v="0"/>
    <n v="0"/>
    <n v="0"/>
    <n v="0"/>
    <n v="0"/>
    <n v="6.86"/>
    <n v="0"/>
  </r>
  <r>
    <x v="5"/>
    <x v="1"/>
    <x v="0"/>
    <s v="5948200"/>
    <n v="700058"/>
    <s v="Salaries-Supervisory-Non-productive"/>
    <s v="Silverdale Surgery S/S"/>
    <x v="0"/>
    <m/>
    <n v="2520"/>
    <n v="378"/>
    <n v="882"/>
    <n v="0"/>
    <n v="0"/>
    <n v="1993.99"/>
    <n v="-181.27"/>
    <n v="726.14"/>
    <n v="-207.46"/>
    <n v="700.21"/>
    <n v="596.49"/>
    <n v="1037.3599999999999"/>
    <n v="8445.4599999999991"/>
    <n v="-440.86999999999989"/>
  </r>
  <r>
    <x v="5"/>
    <x v="1"/>
    <x v="0"/>
    <s v="5948200"/>
    <n v="700078"/>
    <s v="Salaries-Service/Support-Non-productive"/>
    <s v="Silverdale Surgery S/S"/>
    <x v="0"/>
    <m/>
    <n v="0"/>
    <n v="0"/>
    <n v="144.63999999999999"/>
    <n v="412.53"/>
    <n v="-117.05"/>
    <n v="902.6"/>
    <n v="240.96"/>
    <n v="607.20000000000005"/>
    <n v="262.87"/>
    <n v="-59.53"/>
    <n v="0"/>
    <n v="0"/>
    <n v="2394.2199999999998"/>
    <n v="0"/>
  </r>
  <r>
    <x v="5"/>
    <x v="1"/>
    <x v="0"/>
    <s v="5948200"/>
    <n v="700078"/>
    <s v="Salaries-Service/Support-NonProd-Other"/>
    <s v="Silverdale Surgery S/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48200"/>
    <n v="700084"/>
    <s v="Accrued PTO"/>
    <s v="Silverdale Surgery S/S"/>
    <x v="0"/>
    <m/>
    <n v="-626.49"/>
    <n v="407.5"/>
    <n v="-216.18"/>
    <n v="980.51"/>
    <n v="962.29"/>
    <n v="-1068.03"/>
    <n v="852.13"/>
    <n v="9.32"/>
    <n v="729.94"/>
    <n v="212.03"/>
    <n v="-46.61"/>
    <n v="191.54"/>
    <n v="2387.9499999999998"/>
    <n v="-238.14999999999998"/>
  </r>
  <r>
    <x v="6"/>
    <x v="1"/>
    <x v="0"/>
    <s v="5948200"/>
    <n v="713010"/>
    <s v="Benefits-FICA/Medicare"/>
    <s v="Silverdale Surgery S/S"/>
    <x v="0"/>
    <m/>
    <n v="611.79"/>
    <n v="625.82000000000005"/>
    <n v="616.20000000000005"/>
    <n v="665.39"/>
    <n v="620.99"/>
    <n v="593.41999999999996"/>
    <n v="552.82000000000005"/>
    <n v="528.35"/>
    <n v="592.89"/>
    <n v="343.61"/>
    <n v="411.57"/>
    <n v="409.32"/>
    <n v="6572.17"/>
    <n v="2.25"/>
  </r>
  <r>
    <x v="6"/>
    <x v="1"/>
    <x v="0"/>
    <s v="5948200"/>
    <n v="713090"/>
    <s v="Benefits-Allocated Amounts"/>
    <s v="Silverdale Surgery S/S"/>
    <x v="0"/>
    <m/>
    <n v="2151.79"/>
    <n v="1963.25"/>
    <n v="2324.4899999999998"/>
    <n v="2203.63"/>
    <n v="2243.08"/>
    <n v="2082.66"/>
    <n v="2196.56"/>
    <n v="1986.6"/>
    <n v="2308.98"/>
    <n v="1201.79"/>
    <n v="1305.18"/>
    <n v="1262.6199999999999"/>
    <n v="23230.629999999997"/>
    <n v="42.560000000000173"/>
  </r>
  <r>
    <x v="7"/>
    <x v="1"/>
    <x v="0"/>
    <s v="5948200"/>
    <n v="718050"/>
    <s v="Contract Svcs-Other"/>
    <s v="Silverdale Surgery S/S"/>
    <x v="0"/>
    <m/>
    <n v="0"/>
    <n v="255.08"/>
    <n v="0"/>
    <n v="0"/>
    <n v="150.75"/>
    <n v="0"/>
    <n v="0"/>
    <n v="50.25"/>
    <n v="0"/>
    <n v="0"/>
    <n v="0"/>
    <n v="0"/>
    <n v="456.08000000000004"/>
    <n v="0"/>
  </r>
  <r>
    <x v="7"/>
    <x v="1"/>
    <x v="0"/>
    <s v="5948200"/>
    <n v="718050"/>
    <s v="Miscellaneous Purchased Svcs"/>
    <s v="Silverdale Surgery S/S"/>
    <x v="0"/>
    <n v="1020"/>
    <n v="0"/>
    <n v="0"/>
    <n v="122"/>
    <n v="32"/>
    <n v="0"/>
    <n v="0"/>
    <n v="0"/>
    <n v="0"/>
    <n v="0"/>
    <n v="0"/>
    <n v="0"/>
    <n v="0"/>
    <n v="154"/>
    <n v="0"/>
  </r>
  <r>
    <x v="7"/>
    <x v="1"/>
    <x v="0"/>
    <s v="5948200"/>
    <n v="718050"/>
    <s v="Contract Management--Linen"/>
    <s v="Silverdale Surgery S/S"/>
    <x v="0"/>
    <n v="1026"/>
    <n v="92.64"/>
    <n v="277.92"/>
    <n v="185.28"/>
    <n v="184.61"/>
    <n v="185.28"/>
    <n v="138.96"/>
    <n v="279.68"/>
    <n v="138.19999999999999"/>
    <n v="188.8"/>
    <n v="0"/>
    <n v="47.2"/>
    <n v="181.1"/>
    <n v="1899.67"/>
    <n v="-133.89999999999998"/>
  </r>
  <r>
    <x v="12"/>
    <x v="1"/>
    <x v="0"/>
    <s v="5948200"/>
    <n v="730010"/>
    <s v="Rental and Leases-Building (DO NOT USE)"/>
    <s v="Silverdale Surgery S/S"/>
    <x v="0"/>
    <m/>
    <n v="7075.89"/>
    <n v="7075.89"/>
    <n v="7075.89"/>
    <n v="7075.89"/>
    <n v="9689.75"/>
    <n v="-4586.97"/>
    <n v="5211.7299999999996"/>
    <n v="5211.7299999999996"/>
    <n v="2597.87"/>
    <n v="5209.5"/>
    <n v="5209.5"/>
    <n v="0"/>
    <n v="56846.669999999991"/>
    <n v="5209.5"/>
  </r>
  <r>
    <x v="12"/>
    <x v="1"/>
    <x v="0"/>
    <s v="5948200"/>
    <n v="730010"/>
    <s v="Rental-Common Area Maint (DO NOT USE)"/>
    <s v="Silverdale Surgery S/S"/>
    <x v="0"/>
    <n v="2200"/>
    <n v="0"/>
    <n v="0"/>
    <n v="0"/>
    <n v="0"/>
    <n v="0"/>
    <n v="11841.61"/>
    <n v="2042.91"/>
    <n v="2042.91"/>
    <n v="-448.54"/>
    <n v="1673.12"/>
    <n v="1673.12"/>
    <n v="0"/>
    <n v="18825.129999999997"/>
    <n v="1673.12"/>
  </r>
  <r>
    <x v="12"/>
    <x v="1"/>
    <x v="0"/>
    <s v="5948200"/>
    <n v="730020"/>
    <s v="Rental and Leases-Equipment (DO NOT USE)"/>
    <s v="Silverdale Surgery S/S"/>
    <x v="0"/>
    <m/>
    <n v="0"/>
    <n v="0"/>
    <n v="0"/>
    <n v="0"/>
    <n v="0"/>
    <n v="0"/>
    <n v="0"/>
    <n v="0"/>
    <n v="0"/>
    <n v="0"/>
    <n v="0"/>
    <n v="358.64"/>
    <n v="358.64"/>
    <n v="-358.64"/>
  </r>
  <r>
    <x v="12"/>
    <x v="1"/>
    <x v="0"/>
    <s v="5948200"/>
    <n v="730020"/>
    <s v="Rental and Leases-Copier Usage Fees (DO NOT USE)"/>
    <s v="Silverdale Surgery S/S"/>
    <x v="0"/>
    <n v="5100"/>
    <n v="708.92"/>
    <n v="794.93"/>
    <n v="751.92"/>
    <n v="751.92"/>
    <n v="751.92"/>
    <n v="751.92"/>
    <n v="-1215.99"/>
    <n v="545.97"/>
    <n v="544.82000000000005"/>
    <n v="765.81"/>
    <n v="545.97"/>
    <n v="614.66999999999996"/>
    <n v="6312.78"/>
    <n v="-68.699999999999932"/>
  </r>
  <r>
    <x v="12"/>
    <x v="1"/>
    <x v="0"/>
    <s v="5948200"/>
    <n v="730040"/>
    <s v="LT Lease-Real Estate"/>
    <s v="Silverdale Surgery S/S"/>
    <x v="0"/>
    <m/>
    <n v="0"/>
    <n v="0"/>
    <n v="0"/>
    <n v="0"/>
    <n v="0"/>
    <n v="0"/>
    <n v="0"/>
    <n v="0"/>
    <n v="0"/>
    <n v="0"/>
    <n v="0"/>
    <n v="6523.98"/>
    <n v="6523.98"/>
    <n v="-6523.98"/>
  </r>
  <r>
    <x v="15"/>
    <x v="1"/>
    <x v="0"/>
    <s v="5948200"/>
    <n v="731050"/>
    <s v="Refuse Disposal"/>
    <s v="Silverdale Surgery S/S"/>
    <x v="0"/>
    <m/>
    <n v="208.62"/>
    <n v="309.27999999999997"/>
    <n v="242.61"/>
    <n v="208.62"/>
    <n v="234.34"/>
    <n v="196.67"/>
    <n v="218.98"/>
    <n v="177.48"/>
    <n v="239"/>
    <n v="40.74"/>
    <n v="201.11"/>
    <n v="41.5"/>
    <n v="2318.9500000000003"/>
    <n v="159.61000000000001"/>
  </r>
  <r>
    <x v="15"/>
    <x v="1"/>
    <x v="0"/>
    <s v="5948200"/>
    <n v="731060"/>
    <s v="Telephone"/>
    <s v="Silverdale Surgery S/S"/>
    <x v="0"/>
    <m/>
    <n v="1781.39"/>
    <n v="1772.46"/>
    <n v="1772.46"/>
    <n v="1777.97"/>
    <n v="1778.18"/>
    <n v="1778.18"/>
    <n v="1811.74"/>
    <n v="1795.09"/>
    <n v="1795.09"/>
    <n v="1791.78"/>
    <n v="1791.8"/>
    <n v="1791.8"/>
    <n v="21437.94"/>
    <n v="0"/>
  </r>
  <r>
    <x v="13"/>
    <x v="1"/>
    <x v="0"/>
    <s v="5948200"/>
    <n v="735070"/>
    <s v="Depreciation-Movable Equipment"/>
    <s v="Silverdale Surgery S/S"/>
    <x v="0"/>
    <m/>
    <n v="1108.8"/>
    <n v="1032.1300000000001"/>
    <n v="1032.1500000000001"/>
    <n v="1032.0999999999999"/>
    <n v="1032.1500000000001"/>
    <n v="1032.0899999999999"/>
    <n v="1032.1500000000001"/>
    <n v="1032.07"/>
    <n v="1032.1500000000001"/>
    <n v="1032.06"/>
    <n v="1032.1500000000001"/>
    <n v="1032.06"/>
    <n v="12462.059999999998"/>
    <n v="9.0000000000145519E-2"/>
  </r>
  <r>
    <x v="0"/>
    <x v="1"/>
    <x v="0"/>
    <s v="5948200"/>
    <n v="749510"/>
    <s v="Miscellaneous Expenses"/>
    <s v="Silverdale Surgery S/S"/>
    <x v="0"/>
    <m/>
    <n v="0"/>
    <n v="0"/>
    <n v="0"/>
    <n v="111.58"/>
    <n v="0"/>
    <n v="0"/>
    <n v="0"/>
    <n v="0"/>
    <n v="0"/>
    <n v="0"/>
    <n v="0"/>
    <n v="0"/>
    <n v="111.58"/>
    <n v="0"/>
  </r>
  <r>
    <x v="0"/>
    <x v="1"/>
    <x v="0"/>
    <s v="5948200"/>
    <n v="766010"/>
    <s v="Property Tax"/>
    <s v="Silverdale Surgery S/S"/>
    <x v="0"/>
    <m/>
    <n v="66.8"/>
    <n v="66.8"/>
    <n v="66.8"/>
    <n v="-200.4"/>
    <n v="0"/>
    <n v="0"/>
    <n v="0"/>
    <n v="0"/>
    <n v="0"/>
    <n v="199.56"/>
    <n v="-350.91"/>
    <n v="49.88"/>
    <n v="-101.47000000000006"/>
    <n v="-400.79"/>
  </r>
  <r>
    <x v="5"/>
    <x v="1"/>
    <x v="0"/>
    <s v="5949200"/>
    <n v="700014"/>
    <s v="Salaries-Management-Productive"/>
    <s v="Bremerton Derm S/S"/>
    <x v="0"/>
    <m/>
    <n v="1510.68"/>
    <n v="1599.56"/>
    <n v="1777.28"/>
    <n v="2075.84"/>
    <n v="1994.08"/>
    <n v="1450.24"/>
    <n v="2087.88"/>
    <n v="1815.44"/>
    <n v="1906.22"/>
    <n v="1996.98"/>
    <n v="2087.7600000000002"/>
    <n v="907.75"/>
    <n v="21209.71"/>
    <n v="1180.0100000000002"/>
  </r>
  <r>
    <x v="5"/>
    <x v="1"/>
    <x v="0"/>
    <s v="5949200"/>
    <n v="700032"/>
    <s v="Salaries-Other Pat Care Providers-Productive"/>
    <s v="Bremerton Derm S/S"/>
    <x v="0"/>
    <m/>
    <n v="0"/>
    <n v="0"/>
    <n v="0"/>
    <n v="0"/>
    <n v="0"/>
    <n v="219.4"/>
    <n v="0"/>
    <n v="0"/>
    <n v="0"/>
    <n v="0"/>
    <n v="0"/>
    <n v="0"/>
    <n v="219.4"/>
    <n v="0"/>
  </r>
  <r>
    <x v="5"/>
    <x v="1"/>
    <x v="0"/>
    <s v="5949200"/>
    <n v="700038"/>
    <s v="Salaries-Service/Support-Productive"/>
    <s v="Bremerton Derm S/S"/>
    <x v="0"/>
    <m/>
    <n v="0"/>
    <n v="0"/>
    <n v="0"/>
    <n v="2186.94"/>
    <n v="3909.07"/>
    <n v="2633.33"/>
    <n v="3499.66"/>
    <n v="3110.66"/>
    <n v="2584.29"/>
    <n v="3113.31"/>
    <n v="3872.49"/>
    <n v="2809.11"/>
    <n v="27718.86"/>
    <n v="1063.3799999999997"/>
  </r>
  <r>
    <x v="5"/>
    <x v="1"/>
    <x v="0"/>
    <s v="5949200"/>
    <n v="700038"/>
    <s v="Salaries-Service/Support-OT"/>
    <s v="Bremerton Derm S/S"/>
    <x v="0"/>
    <n v="1000"/>
    <n v="0"/>
    <n v="0"/>
    <n v="0"/>
    <n v="0"/>
    <n v="31.7"/>
    <n v="15.85"/>
    <n v="34.89"/>
    <n v="7.93"/>
    <n v="20.64"/>
    <n v="153.94999999999999"/>
    <n v="68.260000000000005"/>
    <n v="31.84"/>
    <n v="365.05999999999995"/>
    <n v="36.42"/>
  </r>
  <r>
    <x v="5"/>
    <x v="1"/>
    <x v="0"/>
    <s v="5949200"/>
    <n v="700038"/>
    <s v="Salaries-Service/Support-Other"/>
    <s v="Bremerton Derm S/S"/>
    <x v="0"/>
    <n v="2000"/>
    <n v="0"/>
    <n v="0"/>
    <n v="0"/>
    <n v="0"/>
    <n v="0"/>
    <n v="0"/>
    <n v="0"/>
    <n v="2.8"/>
    <n v="-0.8"/>
    <n v="0"/>
    <n v="0"/>
    <n v="4.26"/>
    <n v="6.26"/>
    <n v="-4.26"/>
  </r>
  <r>
    <x v="5"/>
    <x v="1"/>
    <x v="0"/>
    <s v="5949200"/>
    <n v="700078"/>
    <s v="Salaries-Service/Support-Non-productive"/>
    <s v="Bremerton Derm S/S"/>
    <x v="0"/>
    <m/>
    <n v="0"/>
    <n v="0"/>
    <n v="0"/>
    <n v="599.04"/>
    <n v="209.18"/>
    <n v="704.15"/>
    <n v="310.62"/>
    <n v="275.10000000000002"/>
    <n v="970.78"/>
    <n v="267.16000000000003"/>
    <n v="21.16"/>
    <n v="534.33000000000004"/>
    <n v="3891.5199999999995"/>
    <n v="-513.17000000000007"/>
  </r>
  <r>
    <x v="5"/>
    <x v="1"/>
    <x v="0"/>
    <s v="5949200"/>
    <n v="700078"/>
    <s v="Salaries-Service/Support-NonProd-Other"/>
    <s v="Bremerton Derm S/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49200"/>
    <n v="700084"/>
    <s v="Accrued PTO"/>
    <s v="Bremerton Derm S/S"/>
    <x v="0"/>
    <m/>
    <n v="0"/>
    <n v="0"/>
    <n v="0"/>
    <n v="-52.18"/>
    <n v="225.88"/>
    <n v="-236.65"/>
    <n v="116.21"/>
    <n v="157.63"/>
    <n v="79.03"/>
    <n v="-159.74"/>
    <n v="439.71"/>
    <n v="119.81"/>
    <n v="689.69999999999982"/>
    <n v="319.89999999999998"/>
  </r>
  <r>
    <x v="6"/>
    <x v="1"/>
    <x v="0"/>
    <s v="5949200"/>
    <n v="713010"/>
    <s v="Benefits-FICA/Medicare"/>
    <s v="Bremerton Derm S/S"/>
    <x v="0"/>
    <m/>
    <n v="111.78"/>
    <n v="118.36"/>
    <n v="131.5"/>
    <n v="356.61"/>
    <n v="453.83"/>
    <n v="367.7"/>
    <n v="434.79"/>
    <n v="382.1"/>
    <n v="398.91"/>
    <n v="400.53"/>
    <n v="439.12"/>
    <n v="312.05"/>
    <n v="3907.2799999999997"/>
    <n v="127.07"/>
  </r>
  <r>
    <x v="6"/>
    <x v="1"/>
    <x v="0"/>
    <s v="5949200"/>
    <n v="713090"/>
    <s v="Benefits-Allocated Amounts"/>
    <s v="Bremerton Derm S/S"/>
    <x v="0"/>
    <m/>
    <n v="190.89"/>
    <n v="178.28"/>
    <n v="247.5"/>
    <n v="757.99"/>
    <n v="1357.27"/>
    <n v="1551.92"/>
    <n v="1465.92"/>
    <n v="1437.74"/>
    <n v="1478.32"/>
    <n v="1266.22"/>
    <n v="1421.32"/>
    <n v="1352.83"/>
    <n v="12706.199999999999"/>
    <n v="68.490000000000009"/>
  </r>
  <r>
    <x v="7"/>
    <x v="1"/>
    <x v="0"/>
    <s v="5949200"/>
    <n v="718050"/>
    <s v="Miscellaneous Purchased Svcs"/>
    <s v="Bremerton Derm S/S"/>
    <x v="0"/>
    <n v="1020"/>
    <n v="0"/>
    <n v="0"/>
    <n v="0"/>
    <n v="1173.18"/>
    <n v="823.01"/>
    <n v="206.12"/>
    <n v="294.89999999999998"/>
    <n v="140.83000000000001"/>
    <n v="258.55"/>
    <n v="266.12"/>
    <n v="0"/>
    <n v="585.4"/>
    <n v="3748.11"/>
    <n v="-585.4"/>
  </r>
  <r>
    <x v="7"/>
    <x v="1"/>
    <x v="0"/>
    <s v="5949200"/>
    <n v="718070"/>
    <s v="Contract Srvcs-CHI Clinical Engineering"/>
    <s v="Bremerton Derm S/S"/>
    <x v="0"/>
    <m/>
    <n v="0"/>
    <n v="0"/>
    <n v="0"/>
    <n v="0"/>
    <n v="0"/>
    <n v="311.47000000000003"/>
    <n v="311.47000000000003"/>
    <n v="311.47000000000003"/>
    <n v="0"/>
    <n v="0"/>
    <n v="0"/>
    <n v="0"/>
    <n v="934.41000000000008"/>
    <n v="0"/>
  </r>
  <r>
    <x v="11"/>
    <x v="1"/>
    <x v="0"/>
    <s v="5949200"/>
    <n v="721810"/>
    <s v="Supplies-Dietary/Cafeteria"/>
    <s v="Bremerton Derm S/S"/>
    <x v="0"/>
    <m/>
    <n v="0"/>
    <n v="86.23"/>
    <n v="0"/>
    <n v="0"/>
    <n v="0"/>
    <n v="0"/>
    <n v="0"/>
    <n v="0"/>
    <n v="0"/>
    <n v="0"/>
    <n v="46.59"/>
    <n v="173.01"/>
    <n v="305.83"/>
    <n v="-126.41999999999999"/>
  </r>
  <r>
    <x v="11"/>
    <x v="1"/>
    <x v="0"/>
    <s v="5949200"/>
    <n v="721835"/>
    <s v="Supplies-Forms"/>
    <s v="Bremerton Derm S/S"/>
    <x v="0"/>
    <m/>
    <n v="0"/>
    <n v="0"/>
    <n v="0"/>
    <n v="0"/>
    <n v="0"/>
    <n v="0"/>
    <n v="0"/>
    <n v="0"/>
    <n v="0"/>
    <n v="0"/>
    <n v="0"/>
    <n v="11.4"/>
    <n v="11.4"/>
    <n v="-11.4"/>
  </r>
  <r>
    <x v="12"/>
    <x v="1"/>
    <x v="0"/>
    <s v="5949200"/>
    <n v="730010"/>
    <s v="Rental and Leases-Building (DO NOT USE)"/>
    <s v="Bremerton Derm S/S"/>
    <x v="0"/>
    <m/>
    <n v="5771.2"/>
    <n v="5771.2"/>
    <n v="6376.39"/>
    <n v="6376.39"/>
    <n v="7586.77"/>
    <n v="-5210.75"/>
    <n v="4180"/>
    <n v="4180"/>
    <n v="4297.3500000000004"/>
    <n v="4297.7299999999996"/>
    <n v="4297.7299999999996"/>
    <n v="0"/>
    <n v="47924.009999999995"/>
    <n v="4297.7299999999996"/>
  </r>
  <r>
    <x v="12"/>
    <x v="1"/>
    <x v="0"/>
    <s v="5949200"/>
    <n v="730010"/>
    <s v="Rental-Common Area Maint (DO NOT USE)"/>
    <s v="Bremerton Derm S/S"/>
    <x v="0"/>
    <n v="2200"/>
    <n v="0"/>
    <n v="0"/>
    <n v="0"/>
    <n v="0"/>
    <n v="0"/>
    <n v="11587.14"/>
    <n v="2196.39"/>
    <n v="2196.39"/>
    <n v="1808.08"/>
    <n v="1808.24"/>
    <n v="-10295.56"/>
    <n v="0"/>
    <n v="9300.6800000000021"/>
    <n v="-10295.56"/>
  </r>
  <r>
    <x v="12"/>
    <x v="1"/>
    <x v="0"/>
    <s v="5949200"/>
    <n v="730020"/>
    <s v="Rental and Leases-Copier Usage Fees (DO NOT USE)"/>
    <s v="Bremerton Derm S/S"/>
    <x v="0"/>
    <n v="5100"/>
    <n v="366.47"/>
    <n v="395.24"/>
    <n v="380.85"/>
    <n v="380.85"/>
    <n v="1167.0999999999999"/>
    <n v="538.1"/>
    <n v="-659.38"/>
    <n v="409.21"/>
    <n v="408.35"/>
    <n v="915.7"/>
    <n v="409.21"/>
    <n v="471"/>
    <n v="5182.7"/>
    <n v="-61.79000000000002"/>
  </r>
  <r>
    <x v="12"/>
    <x v="1"/>
    <x v="0"/>
    <s v="5949200"/>
    <n v="730040"/>
    <s v="LT Lease-Real Estate"/>
    <s v="Bremerton Derm S/S"/>
    <x v="0"/>
    <m/>
    <n v="0"/>
    <n v="0"/>
    <n v="0"/>
    <n v="0"/>
    <n v="0"/>
    <n v="0"/>
    <n v="0"/>
    <n v="0"/>
    <n v="0"/>
    <n v="0"/>
    <n v="0"/>
    <n v="6105.97"/>
    <n v="6105.97"/>
    <n v="-6105.97"/>
  </r>
  <r>
    <x v="15"/>
    <x v="1"/>
    <x v="0"/>
    <s v="5949200"/>
    <n v="731060"/>
    <s v="Telephone"/>
    <s v="Bremerton Derm S/S"/>
    <x v="0"/>
    <m/>
    <n v="0"/>
    <n v="0"/>
    <n v="0"/>
    <n v="0"/>
    <n v="0"/>
    <n v="6558.25"/>
    <n v="2102.96"/>
    <n v="661.19"/>
    <n v="1473.19"/>
    <n v="2194.39"/>
    <n v="1485.54"/>
    <n v="1660.51"/>
    <n v="16136.03"/>
    <n v="-174.97000000000003"/>
  </r>
  <r>
    <x v="16"/>
    <x v="1"/>
    <x v="0"/>
    <s v="5949200"/>
    <n v="732030"/>
    <s v="Repairs---Other"/>
    <s v="Bremerton Derm S/S"/>
    <x v="0"/>
    <m/>
    <n v="0"/>
    <n v="0"/>
    <n v="0"/>
    <n v="2034.82"/>
    <n v="522.11"/>
    <n v="0"/>
    <n v="0"/>
    <n v="0"/>
    <n v="0"/>
    <n v="0"/>
    <n v="0"/>
    <n v="0"/>
    <n v="2556.9299999999998"/>
    <n v="0"/>
  </r>
  <r>
    <x v="13"/>
    <x v="1"/>
    <x v="0"/>
    <s v="5949200"/>
    <n v="735070"/>
    <s v="Depreciation-Movable Equipment"/>
    <s v="Bremerton Derm S/S"/>
    <x v="0"/>
    <m/>
    <n v="823.84"/>
    <n v="814.18"/>
    <n v="814.18"/>
    <n v="814.18"/>
    <n v="814.18"/>
    <n v="814.18"/>
    <n v="1466.58"/>
    <n v="1617.4"/>
    <n v="1466.59"/>
    <n v="1466.53"/>
    <n v="1466.59"/>
    <n v="2130.9499999999998"/>
    <n v="14509.380000000001"/>
    <n v="-664.3599999999999"/>
  </r>
  <r>
    <x v="0"/>
    <x v="1"/>
    <x v="0"/>
    <s v="5949200"/>
    <n v="749510"/>
    <s v="Miscellaneous Expenses"/>
    <s v="Bremerton Derm S/S"/>
    <x v="0"/>
    <m/>
    <n v="0"/>
    <n v="0"/>
    <n v="335.28"/>
    <n v="0"/>
    <n v="0"/>
    <n v="0"/>
    <n v="0"/>
    <n v="0"/>
    <n v="273.76"/>
    <n v="0"/>
    <n v="0"/>
    <n v="477.51"/>
    <n v="1086.55"/>
    <n v="-477.51"/>
  </r>
  <r>
    <x v="0"/>
    <x v="1"/>
    <x v="0"/>
    <s v="5949200"/>
    <n v="766010"/>
    <s v="Property Tax"/>
    <s v="Bremerton Derm S/S"/>
    <x v="0"/>
    <m/>
    <n v="0"/>
    <n v="0"/>
    <n v="0"/>
    <n v="0"/>
    <n v="0"/>
    <n v="0"/>
    <n v="0"/>
    <n v="0"/>
    <n v="0"/>
    <n v="0"/>
    <n v="-608.58000000000004"/>
    <n v="0"/>
    <n v="-608.58000000000004"/>
    <n v="-608.58000000000004"/>
  </r>
  <r>
    <x v="5"/>
    <x v="1"/>
    <x v="0"/>
    <s v="5950200"/>
    <n v="700014"/>
    <s v="Salaries-Management-Productive"/>
    <s v="Sequim Derm Shared Services"/>
    <x v="0"/>
    <m/>
    <n v="3543.23"/>
    <n v="3704.29"/>
    <n v="3221.12"/>
    <n v="2421.8000000000002"/>
    <n v="3543.24"/>
    <n v="-805.28"/>
    <n v="9080.11"/>
    <n v="9558.02"/>
    <n v="9558.01"/>
    <n v="10513.82"/>
    <n v="10991.73"/>
    <n v="6690.6"/>
    <n v="72020.69"/>
    <n v="4301.1299999999992"/>
  </r>
  <r>
    <x v="5"/>
    <x v="1"/>
    <x v="0"/>
    <s v="5950200"/>
    <n v="700018"/>
    <s v="Salaries-Supervisory-Productive"/>
    <s v="Sequim Derm Shared Services"/>
    <x v="0"/>
    <m/>
    <n v="4226.88"/>
    <n v="5718.72"/>
    <n v="4351.2"/>
    <n v="4116.8999999999996"/>
    <n v="6386"/>
    <n v="4374.41"/>
    <n v="4636.9799999999996"/>
    <n v="2558.15"/>
    <n v="5372.11"/>
    <n v="4540.71"/>
    <n v="6331.43"/>
    <n v="4157.01"/>
    <n v="56770.5"/>
    <n v="2174.42"/>
  </r>
  <r>
    <x v="5"/>
    <x v="1"/>
    <x v="0"/>
    <s v="5950200"/>
    <n v="700038"/>
    <s v="Salaries-Service/Support-Productive"/>
    <s v="Sequim Derm Shared Services"/>
    <x v="0"/>
    <m/>
    <n v="6327.23"/>
    <n v="5371.89"/>
    <n v="8179.53"/>
    <n v="10561.39"/>
    <n v="9611.11"/>
    <n v="6228.66"/>
    <n v="9395.69"/>
    <n v="9088.57"/>
    <n v="9772.07"/>
    <n v="8889.9500000000007"/>
    <n v="9525.5499999999993"/>
    <n v="8146.52"/>
    <n v="101098.16"/>
    <n v="1379.0299999999988"/>
  </r>
  <r>
    <x v="5"/>
    <x v="1"/>
    <x v="0"/>
    <s v="5950200"/>
    <n v="700038"/>
    <s v="Salaries-Service/Support-OT"/>
    <s v="Sequim Derm Shared Services"/>
    <x v="0"/>
    <n v="1000"/>
    <n v="109"/>
    <n v="-18.16"/>
    <n v="7.57"/>
    <n v="87.74"/>
    <n v="-9.27"/>
    <n v="176.96"/>
    <n v="0"/>
    <n v="0"/>
    <n v="0"/>
    <n v="0"/>
    <n v="0"/>
    <n v="37.19"/>
    <n v="391.03"/>
    <n v="-37.19"/>
  </r>
  <r>
    <x v="5"/>
    <x v="1"/>
    <x v="0"/>
    <s v="5950200"/>
    <n v="700038"/>
    <s v="Salaries-Service/Support-Other"/>
    <s v="Sequim Derm Shared Services"/>
    <x v="0"/>
    <n v="2000"/>
    <n v="265"/>
    <n v="218.45"/>
    <n v="220.63"/>
    <n v="213.38"/>
    <n v="219.75"/>
    <n v="206.17"/>
    <n v="223.5"/>
    <n v="193.11"/>
    <n v="196.05"/>
    <n v="209.62"/>
    <n v="190.69"/>
    <n v="202.49"/>
    <n v="2558.84"/>
    <n v="-11.800000000000011"/>
  </r>
  <r>
    <x v="5"/>
    <x v="1"/>
    <x v="0"/>
    <s v="5950200"/>
    <n v="700054"/>
    <s v="Salaries-Management-Non-productive"/>
    <s v="Sequim Derm Shared Services"/>
    <x v="0"/>
    <m/>
    <n v="0"/>
    <n v="0"/>
    <n v="0"/>
    <n v="0"/>
    <n v="0"/>
    <n v="11452.8"/>
    <n v="1912.31"/>
    <n v="0"/>
    <n v="477.91"/>
    <n v="0"/>
    <n v="0"/>
    <n v="2867.42"/>
    <n v="16710.439999999999"/>
    <n v="-2867.42"/>
  </r>
  <r>
    <x v="5"/>
    <x v="1"/>
    <x v="0"/>
    <s v="5950200"/>
    <n v="700058"/>
    <s v="Salaries-Supervisory-Non-productive"/>
    <s v="Sequim Derm Shared Services"/>
    <x v="0"/>
    <m/>
    <n v="1243.2"/>
    <n v="0"/>
    <n v="621.6"/>
    <n v="1724.22"/>
    <n v="-766.32"/>
    <n v="989.83"/>
    <n v="1247.1400000000001"/>
    <n v="2558.15"/>
    <n v="0"/>
    <n v="1087.21"/>
    <n v="-447.67"/>
    <n v="959.29"/>
    <n v="9216.6499999999978"/>
    <n v="-1406.96"/>
  </r>
  <r>
    <x v="5"/>
    <x v="1"/>
    <x v="0"/>
    <s v="5950200"/>
    <n v="700078"/>
    <s v="Salaries-Service/Support-Non-productive"/>
    <s v="Sequim Derm Shared Services"/>
    <x v="0"/>
    <m/>
    <n v="767.19"/>
    <n v="1665.57"/>
    <n v="415.59"/>
    <n v="396.17"/>
    <n v="385.19"/>
    <n v="3080.44"/>
    <n v="1637.38"/>
    <n v="417.61"/>
    <n v="259.67"/>
    <n v="1300.17"/>
    <n v="820.6"/>
    <n v="1372.2"/>
    <n v="12517.780000000002"/>
    <n v="-551.6"/>
  </r>
  <r>
    <x v="5"/>
    <x v="1"/>
    <x v="0"/>
    <s v="5950200"/>
    <n v="700078"/>
    <s v="Salaries-Service/Support-NonProd-Other"/>
    <s v="Sequim Derm Shared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50200"/>
    <n v="700084"/>
    <s v="Accrued PTO"/>
    <s v="Sequim Derm Shared Services"/>
    <x v="0"/>
    <m/>
    <n v="-287.70999999999998"/>
    <n v="-66.680000000000007"/>
    <n v="-7.51"/>
    <n v="2010.03"/>
    <n v="2562.84"/>
    <n v="-7411.04"/>
    <n v="-2002.3"/>
    <n v="-158.22"/>
    <n v="2039.78"/>
    <n v="1403.48"/>
    <n v="2025.2"/>
    <n v="-1209.73"/>
    <n v="-1101.8600000000004"/>
    <n v="3234.9300000000003"/>
  </r>
  <r>
    <x v="6"/>
    <x v="1"/>
    <x v="0"/>
    <s v="5950200"/>
    <n v="713010"/>
    <s v="Benefits-FICA/Medicare"/>
    <s v="Sequim Derm Shared Services"/>
    <x v="0"/>
    <m/>
    <n v="1225.81"/>
    <n v="1238.68"/>
    <n v="1270.67"/>
    <n v="1461.3"/>
    <n v="1441.42"/>
    <n v="1917.4"/>
    <n v="2104.3000000000002"/>
    <n v="1822.39"/>
    <n v="1894.11"/>
    <n v="1963.31"/>
    <n v="2037.76"/>
    <n v="1804.07"/>
    <n v="20181.22"/>
    <n v="233.69000000000005"/>
  </r>
  <r>
    <x v="6"/>
    <x v="1"/>
    <x v="0"/>
    <s v="5950200"/>
    <n v="713090"/>
    <s v="Benefits-Allocated Amounts"/>
    <s v="Sequim Derm Shared Services"/>
    <x v="0"/>
    <m/>
    <n v="3729.48"/>
    <n v="3325.55"/>
    <n v="4127.84"/>
    <n v="4537.8599999999997"/>
    <n v="4610.3100000000004"/>
    <n v="5301.88"/>
    <n v="6103.62"/>
    <n v="6072.94"/>
    <n v="5722.95"/>
    <n v="5893.05"/>
    <n v="5714.58"/>
    <n v="6193.4"/>
    <n v="61333.460000000006"/>
    <n v="-478.81999999999971"/>
  </r>
  <r>
    <x v="6"/>
    <x v="1"/>
    <x v="0"/>
    <s v="5950200"/>
    <n v="713096"/>
    <s v="Employee Recognition"/>
    <s v="Sequim Derm Shared Services"/>
    <x v="0"/>
    <n v="1017"/>
    <n v="0"/>
    <n v="0"/>
    <n v="173.91"/>
    <n v="0"/>
    <n v="0"/>
    <n v="0"/>
    <n v="0"/>
    <n v="0"/>
    <n v="0"/>
    <n v="26.75"/>
    <n v="0"/>
    <n v="0"/>
    <n v="200.66"/>
    <n v="0"/>
  </r>
  <r>
    <x v="7"/>
    <x v="1"/>
    <x v="0"/>
    <s v="5950200"/>
    <n v="718050"/>
    <s v="Contract Svcs-Other"/>
    <s v="Sequim Derm Shared Services"/>
    <x v="0"/>
    <m/>
    <n v="0"/>
    <n v="117.09"/>
    <n v="0"/>
    <n v="749"/>
    <n v="0"/>
    <n v="40.19"/>
    <n v="0"/>
    <n v="432.53"/>
    <n v="0"/>
    <n v="0"/>
    <n v="0"/>
    <n v="1630"/>
    <n v="2968.81"/>
    <n v="-1630"/>
  </r>
  <r>
    <x v="7"/>
    <x v="1"/>
    <x v="0"/>
    <s v="5950200"/>
    <n v="718050"/>
    <s v="Miscellaneous Purchased Svcs"/>
    <s v="Sequim Derm Shared Services"/>
    <x v="0"/>
    <n v="1020"/>
    <n v="2056.75"/>
    <n v="5805.45"/>
    <n v="2212.75"/>
    <n v="2154.25"/>
    <n v="610.25"/>
    <n v="2376.02"/>
    <n v="113.49"/>
    <n v="9071.64"/>
    <n v="9116.9500000000007"/>
    <n v="2664.48"/>
    <n v="1048.9000000000001"/>
    <n v="847.15"/>
    <n v="38078.080000000009"/>
    <n v="201.75000000000011"/>
  </r>
  <r>
    <x v="7"/>
    <x v="1"/>
    <x v="0"/>
    <s v="5950200"/>
    <n v="718070"/>
    <s v="Contract Srvcs-CHI Clinical Engineering"/>
    <s v="Sequim Derm Shared Services"/>
    <x v="0"/>
    <m/>
    <n v="0"/>
    <n v="0"/>
    <n v="0"/>
    <n v="0"/>
    <n v="760.34"/>
    <n v="623"/>
    <n v="623"/>
    <n v="623"/>
    <n v="3207.09"/>
    <n v="0"/>
    <n v="0"/>
    <n v="0"/>
    <n v="5836.43"/>
    <n v="0"/>
  </r>
  <r>
    <x v="11"/>
    <x v="1"/>
    <x v="0"/>
    <s v="5950200"/>
    <n v="721410"/>
    <s v="Supplies-Medical - Nonbillable"/>
    <s v="Sequim Derm Shared Services"/>
    <x v="0"/>
    <m/>
    <n v="0"/>
    <n v="0"/>
    <n v="0"/>
    <n v="0"/>
    <n v="0"/>
    <n v="0"/>
    <n v="0"/>
    <n v="0"/>
    <n v="671.57"/>
    <n v="0"/>
    <n v="17309.04"/>
    <n v="0"/>
    <n v="17980.61"/>
    <n v="17309.04"/>
  </r>
  <r>
    <x v="11"/>
    <x v="1"/>
    <x v="0"/>
    <s v="5950200"/>
    <n v="721830"/>
    <s v="Supplies-Office"/>
    <s v="Sequim Derm Shared Services"/>
    <x v="0"/>
    <m/>
    <n v="414.29"/>
    <n v="431.35"/>
    <n v="776.31"/>
    <n v="582.96"/>
    <n v="412.49"/>
    <n v="413.89"/>
    <n v="488.73"/>
    <n v="96.34"/>
    <n v="345.83"/>
    <n v="181.12"/>
    <n v="424.9"/>
    <n v="231.55"/>
    <n v="4799.7599999999993"/>
    <n v="193.34999999999997"/>
  </r>
  <r>
    <x v="11"/>
    <x v="1"/>
    <x v="0"/>
    <s v="5950200"/>
    <n v="721910"/>
    <s v="Supplies-Small Equipment"/>
    <s v="Sequim Derm Shared Services"/>
    <x v="0"/>
    <m/>
    <n v="0"/>
    <n v="0"/>
    <n v="0"/>
    <n v="1229.8699999999999"/>
    <n v="0"/>
    <n v="0"/>
    <n v="0"/>
    <n v="0"/>
    <n v="0"/>
    <n v="0"/>
    <n v="1140.42"/>
    <n v="0"/>
    <n v="2370.29"/>
    <n v="1140.42"/>
  </r>
  <r>
    <x v="11"/>
    <x v="1"/>
    <x v="0"/>
    <s v="5950200"/>
    <n v="721980"/>
    <s v="Supplies-Other"/>
    <s v="Sequim Derm Shared Services"/>
    <x v="0"/>
    <m/>
    <n v="0"/>
    <n v="0"/>
    <n v="0"/>
    <n v="0"/>
    <n v="1574.28"/>
    <n v="0"/>
    <n v="630.57000000000005"/>
    <n v="0"/>
    <n v="0"/>
    <n v="208.33"/>
    <n v="0"/>
    <n v="480.73"/>
    <n v="2893.91"/>
    <n v="-480.73"/>
  </r>
  <r>
    <x v="12"/>
    <x v="1"/>
    <x v="0"/>
    <s v="5950200"/>
    <n v="730010"/>
    <s v="Rental and Leases-Building (DO NOT USE)"/>
    <s v="Sequim Derm Shared Services"/>
    <x v="0"/>
    <m/>
    <n v="7864"/>
    <n v="7864"/>
    <n v="7864"/>
    <n v="7864"/>
    <n v="7864"/>
    <n v="7864"/>
    <n v="7864"/>
    <n v="7864"/>
    <n v="7864"/>
    <n v="7864.03"/>
    <n v="7864.03"/>
    <n v="0"/>
    <n v="86504.06"/>
    <n v="7864.03"/>
  </r>
  <r>
    <x v="12"/>
    <x v="1"/>
    <x v="0"/>
    <s v="5950200"/>
    <n v="730020"/>
    <s v="Rental and Leases-Copier Usage Fees (DO NOT USE)"/>
    <s v="Sequim Derm Shared Services"/>
    <x v="0"/>
    <n v="5100"/>
    <n v="659.55"/>
    <n v="680.29"/>
    <n v="669.92"/>
    <n v="669.92"/>
    <n v="669.92"/>
    <n v="669.92"/>
    <n v="2247.48"/>
    <n v="657.03"/>
    <n v="655.65"/>
    <n v="1645.3"/>
    <n v="657.03"/>
    <n v="782.65"/>
    <n v="10664.66"/>
    <n v="-125.62"/>
  </r>
  <r>
    <x v="12"/>
    <x v="1"/>
    <x v="0"/>
    <s v="5950200"/>
    <n v="730040"/>
    <s v="LT Lease-Real Estate"/>
    <s v="Sequim Derm Shared Services"/>
    <x v="0"/>
    <m/>
    <n v="0"/>
    <n v="0"/>
    <n v="0"/>
    <n v="0"/>
    <n v="0"/>
    <n v="0"/>
    <n v="0"/>
    <n v="0"/>
    <n v="0"/>
    <n v="0"/>
    <n v="0"/>
    <n v="7864.03"/>
    <n v="7864.03"/>
    <n v="-7864.03"/>
  </r>
  <r>
    <x v="15"/>
    <x v="1"/>
    <x v="0"/>
    <s v="5950200"/>
    <n v="731020"/>
    <s v="Electricity"/>
    <s v="Sequim Derm Shared Services"/>
    <x v="0"/>
    <m/>
    <n v="443.94"/>
    <n v="478.11"/>
    <n v="536.84"/>
    <n v="404.24"/>
    <n v="542.07000000000005"/>
    <n v="463.22"/>
    <n v="623.27"/>
    <n v="679.31"/>
    <n v="703.41"/>
    <n v="595.4"/>
    <n v="537.65"/>
    <n v="510.36"/>
    <n v="6517.8199999999988"/>
    <n v="27.289999999999964"/>
  </r>
  <r>
    <x v="15"/>
    <x v="1"/>
    <x v="0"/>
    <s v="5950200"/>
    <n v="731030"/>
    <s v="Water"/>
    <s v="Sequim Derm Shared Services"/>
    <x v="0"/>
    <m/>
    <n v="56.46"/>
    <n v="55.72"/>
    <n v="61.24"/>
    <n v="57.71"/>
    <n v="56.07"/>
    <n v="54.38"/>
    <n v="54.6"/>
    <n v="57.35"/>
    <n v="52.52"/>
    <n v="62.35"/>
    <n v="58.06"/>
    <n v="57.87"/>
    <n v="684.33"/>
    <n v="0.19000000000000483"/>
  </r>
  <r>
    <x v="15"/>
    <x v="1"/>
    <x v="0"/>
    <s v="5950200"/>
    <n v="731040"/>
    <s v="Sewer"/>
    <s v="Sequim Derm Shared Services"/>
    <x v="0"/>
    <m/>
    <n v="63.88"/>
    <n v="63.88"/>
    <n v="69.14"/>
    <n v="63.88"/>
    <n v="63.88"/>
    <n v="63.88"/>
    <n v="63.88"/>
    <n v="62.6"/>
    <n v="62.6"/>
    <n v="62.6"/>
    <n v="62.66"/>
    <n v="62.6"/>
    <n v="765.48"/>
    <n v="5.9999999999995168E-2"/>
  </r>
  <r>
    <x v="15"/>
    <x v="1"/>
    <x v="0"/>
    <s v="5950200"/>
    <n v="731050"/>
    <s v="Refuse Disposal"/>
    <s v="Sequim Derm Shared Services"/>
    <x v="0"/>
    <m/>
    <n v="337.45"/>
    <n v="337.45"/>
    <n v="337.45"/>
    <n v="337.45"/>
    <n v="337.45"/>
    <n v="337.45"/>
    <n v="337.45"/>
    <n v="348.41"/>
    <n v="348.42"/>
    <n v="348.42"/>
    <n v="348.42"/>
    <n v="348.42"/>
    <n v="4104.24"/>
    <n v="0"/>
  </r>
  <r>
    <x v="15"/>
    <x v="1"/>
    <x v="0"/>
    <s v="5950200"/>
    <n v="731060"/>
    <s v="Telephone"/>
    <s v="Sequim Derm Shared Services"/>
    <x v="0"/>
    <m/>
    <n v="1404.1"/>
    <n v="6994.44"/>
    <n v="1108.52"/>
    <n v="1013.38"/>
    <n v="1508.49"/>
    <n v="1603.02"/>
    <n v="2346.5100000000002"/>
    <n v="639.94000000000005"/>
    <n v="1227.1300000000001"/>
    <n v="1219.3599999999999"/>
    <n v="1496.53"/>
    <n v="762.14"/>
    <n v="21323.559999999998"/>
    <n v="734.39"/>
  </r>
  <r>
    <x v="16"/>
    <x v="1"/>
    <x v="0"/>
    <s v="5950200"/>
    <n v="732030"/>
    <s v="Repairs---Other"/>
    <s v="Sequim Derm Shared Services"/>
    <x v="0"/>
    <m/>
    <n v="20.6"/>
    <n v="620.16"/>
    <n v="0"/>
    <n v="0"/>
    <n v="0"/>
    <n v="0"/>
    <n v="0"/>
    <n v="0"/>
    <n v="191.24"/>
    <n v="0"/>
    <n v="315.95999999999998"/>
    <n v="61.75"/>
    <n v="1209.71"/>
    <n v="254.20999999999998"/>
  </r>
  <r>
    <x v="13"/>
    <x v="1"/>
    <x v="0"/>
    <s v="5950200"/>
    <n v="735070"/>
    <s v="Depreciation-Movable Equipment"/>
    <s v="Sequim Derm Shared Services"/>
    <x v="0"/>
    <m/>
    <n v="140.38"/>
    <n v="140.38"/>
    <n v="140.38"/>
    <n v="140.38"/>
    <n v="140.38"/>
    <n v="140.38"/>
    <n v="140.38"/>
    <n v="140.37"/>
    <n v="140.38"/>
    <n v="140.37"/>
    <n v="140.38"/>
    <n v="140.37"/>
    <n v="1684.5299999999997"/>
    <n v="9.9999999999909051E-3"/>
  </r>
  <r>
    <x v="0"/>
    <x v="1"/>
    <x v="0"/>
    <s v="5950200"/>
    <n v="742010"/>
    <s v="Postage-Regular"/>
    <s v="Sequim Derm Shared Services"/>
    <x v="0"/>
    <m/>
    <n v="0"/>
    <n v="13.4"/>
    <n v="633.82000000000005"/>
    <n v="0"/>
    <n v="0"/>
    <n v="633.82000000000005"/>
    <n v="506.7"/>
    <n v="96.35"/>
    <n v="0"/>
    <n v="6.85"/>
    <n v="140.66999999999999"/>
    <n v="0"/>
    <n v="2031.61"/>
    <n v="140.66999999999999"/>
  </r>
  <r>
    <x v="0"/>
    <x v="1"/>
    <x v="0"/>
    <s v="5950200"/>
    <n v="743030"/>
    <s v="Subscriptions--Institutional"/>
    <s v="Sequim Derm Shared Services"/>
    <x v="0"/>
    <m/>
    <n v="0"/>
    <n v="0"/>
    <n v="0"/>
    <n v="0"/>
    <n v="92.7"/>
    <n v="210.02"/>
    <n v="0"/>
    <n v="0"/>
    <n v="0"/>
    <n v="0"/>
    <n v="66"/>
    <n v="0"/>
    <n v="368.72"/>
    <n v="66"/>
  </r>
  <r>
    <x v="0"/>
    <x v="1"/>
    <x v="0"/>
    <s v="5950200"/>
    <n v="749510"/>
    <s v="Miscellaneous Expenses"/>
    <s v="Sequim Derm Shared Services"/>
    <x v="0"/>
    <m/>
    <n v="-458.82"/>
    <n v="63.98"/>
    <n v="670"/>
    <n v="2156.54"/>
    <n v="164.37"/>
    <n v="0"/>
    <n v="640.27"/>
    <n v="68.680000000000007"/>
    <n v="273.76"/>
    <n v="331.75"/>
    <n v="100.14"/>
    <n v="286.39"/>
    <n v="4297.0599999999995"/>
    <n v="-186.25"/>
  </r>
  <r>
    <x v="0"/>
    <x v="1"/>
    <x v="0"/>
    <s v="5950200"/>
    <n v="749510"/>
    <s v="RICE Rewards"/>
    <s v="Sequim Derm Shared Services"/>
    <x v="0"/>
    <n v="5100"/>
    <n v="0"/>
    <n v="0"/>
    <n v="0"/>
    <n v="103.46"/>
    <n v="104.87"/>
    <n v="0"/>
    <n v="0"/>
    <n v="0"/>
    <n v="0"/>
    <n v="173.97"/>
    <n v="0"/>
    <n v="0"/>
    <n v="382.29999999999995"/>
    <n v="0"/>
  </r>
  <r>
    <x v="0"/>
    <x v="1"/>
    <x v="0"/>
    <s v="5950200"/>
    <n v="749530"/>
    <s v="Travel"/>
    <s v="Sequim Derm Shared Services"/>
    <x v="0"/>
    <m/>
    <n v="0"/>
    <n v="0"/>
    <n v="1254.02"/>
    <n v="0"/>
    <n v="0"/>
    <n v="0"/>
    <n v="0"/>
    <n v="0"/>
    <n v="0"/>
    <n v="6"/>
    <n v="5"/>
    <n v="0"/>
    <n v="1265.02"/>
    <n v="5"/>
  </r>
  <r>
    <x v="0"/>
    <x v="1"/>
    <x v="0"/>
    <s v="5950200"/>
    <n v="749530"/>
    <s v="Mileage"/>
    <s v="Sequim Derm Shared Services"/>
    <x v="0"/>
    <n v="1001"/>
    <n v="129.72"/>
    <n v="191.85"/>
    <n v="390.77"/>
    <n v="297.04000000000002"/>
    <n v="128.62"/>
    <n v="0"/>
    <n v="0"/>
    <n v="65.540000000000006"/>
    <n v="0"/>
    <n v="104.98"/>
    <n v="178.06"/>
    <n v="66.12"/>
    <n v="1552.6999999999998"/>
    <n v="111.94"/>
  </r>
  <r>
    <x v="0"/>
    <x v="1"/>
    <x v="0"/>
    <s v="5950200"/>
    <n v="749550"/>
    <s v="Cash Over/Short"/>
    <s v="Sequim Derm Shared Services"/>
    <x v="0"/>
    <m/>
    <n v="0"/>
    <n v="0"/>
    <n v="0"/>
    <n v="0"/>
    <n v="0"/>
    <n v="0"/>
    <n v="0"/>
    <n v="0"/>
    <n v="0"/>
    <n v="0"/>
    <n v="0"/>
    <n v="40"/>
    <n v="40"/>
    <n v="-40"/>
  </r>
  <r>
    <x v="5"/>
    <x v="1"/>
    <x v="0"/>
    <s v="5951200"/>
    <n v="700038"/>
    <s v="Salaries-Service/Support-Productive"/>
    <s v="Rheumatology Shared Services"/>
    <x v="0"/>
    <m/>
    <n v="680.91"/>
    <n v="965.84"/>
    <n v="-238.25"/>
    <n v="167.03"/>
    <n v="0"/>
    <n v="3294.29"/>
    <n v="6562.83"/>
    <n v="3689.06"/>
    <n v="6424.97"/>
    <n v="4443.99"/>
    <n v="7610.56"/>
    <n v="5569.97"/>
    <n v="39171.199999999997"/>
    <n v="2040.5900000000001"/>
  </r>
  <r>
    <x v="5"/>
    <x v="1"/>
    <x v="0"/>
    <s v="5951200"/>
    <n v="700038"/>
    <s v="Salaries-Service/Support-OT"/>
    <s v="Rheumatology Shared Services"/>
    <x v="0"/>
    <n v="1000"/>
    <n v="0"/>
    <n v="0"/>
    <n v="0"/>
    <n v="0"/>
    <n v="0"/>
    <n v="88.81"/>
    <n v="211.53"/>
    <n v="-62.73"/>
    <n v="349.8"/>
    <n v="116.79"/>
    <n v="499.6"/>
    <n v="1157.42"/>
    <n v="2361.2200000000003"/>
    <n v="-657.82"/>
  </r>
  <r>
    <x v="5"/>
    <x v="1"/>
    <x v="0"/>
    <s v="5951200"/>
    <n v="700038"/>
    <s v="Salaries-Service/Support-Other"/>
    <s v="Rheumatology Shared Services"/>
    <x v="0"/>
    <n v="2000"/>
    <n v="0"/>
    <n v="45.46"/>
    <n v="-15.15"/>
    <n v="10.63"/>
    <n v="0"/>
    <n v="0"/>
    <n v="0"/>
    <n v="0"/>
    <n v="0"/>
    <n v="0"/>
    <n v="0"/>
    <n v="0"/>
    <n v="40.940000000000005"/>
    <n v="0"/>
  </r>
  <r>
    <x v="5"/>
    <x v="1"/>
    <x v="0"/>
    <s v="5951200"/>
    <n v="700078"/>
    <s v="Salaries-Service/Support-Non-productive"/>
    <s v="Rheumatology Shared Services"/>
    <x v="0"/>
    <m/>
    <n v="0"/>
    <n v="0"/>
    <n v="0"/>
    <n v="0"/>
    <n v="0"/>
    <n v="587.75"/>
    <n v="802.41"/>
    <n v="3174.73"/>
    <n v="-362.5"/>
    <n v="858.46"/>
    <n v="-42.53"/>
    <n v="706.47"/>
    <n v="5724.79"/>
    <n v="-749"/>
  </r>
  <r>
    <x v="5"/>
    <x v="1"/>
    <x v="0"/>
    <s v="5951200"/>
    <n v="700078"/>
    <s v="Salaries-Service/Support-NonProd-Other"/>
    <s v="Rheumatology Shared Services"/>
    <x v="0"/>
    <n v="2000"/>
    <n v="0"/>
    <n v="0"/>
    <n v="0"/>
    <n v="0"/>
    <n v="0"/>
    <n v="5.3"/>
    <n v="4.7699999999999996"/>
    <n v="36.64"/>
    <n v="40.51"/>
    <n v="32.79"/>
    <n v="127.62"/>
    <n v="352.55"/>
    <n v="600.18000000000006"/>
    <n v="-224.93"/>
  </r>
  <r>
    <x v="5"/>
    <x v="1"/>
    <x v="0"/>
    <s v="5951200"/>
    <n v="700084"/>
    <s v="Accrued PTO"/>
    <s v="Rheumatology Shared Services"/>
    <x v="0"/>
    <m/>
    <n v="0"/>
    <n v="0"/>
    <n v="0"/>
    <n v="0"/>
    <n v="0"/>
    <n v="-418.52"/>
    <n v="-251.53"/>
    <n v="-293.20999999999998"/>
    <n v="296.39"/>
    <n v="80.239999999999995"/>
    <n v="394.49"/>
    <n v="139.07"/>
    <n v="-53.069999999999993"/>
    <n v="255.42000000000002"/>
  </r>
  <r>
    <x v="6"/>
    <x v="1"/>
    <x v="0"/>
    <s v="5951200"/>
    <n v="713010"/>
    <s v="Benefits-FICA/Medicare"/>
    <s v="Rheumatology Shared Services"/>
    <x v="0"/>
    <m/>
    <n v="51.73"/>
    <n v="73.489999999999995"/>
    <n v="-18.13"/>
    <n v="12.77"/>
    <n v="0"/>
    <n v="288.32"/>
    <n v="547.63"/>
    <n v="493.43"/>
    <n v="464.48"/>
    <n v="386.29"/>
    <n v="594.49"/>
    <n v="567.37"/>
    <n v="3461.87"/>
    <n v="27.120000000000005"/>
  </r>
  <r>
    <x v="6"/>
    <x v="1"/>
    <x v="0"/>
    <s v="5951200"/>
    <n v="713090"/>
    <s v="Benefits-Allocated Amounts"/>
    <s v="Rheumatology Shared Services"/>
    <x v="0"/>
    <m/>
    <n v="227.39"/>
    <n v="251.77"/>
    <n v="25.83"/>
    <n v="3.43"/>
    <n v="-25.42"/>
    <n v="1134.48"/>
    <n v="2166.4699999999998"/>
    <n v="2193.94"/>
    <n v="1999.5"/>
    <n v="1969.94"/>
    <n v="2043.3"/>
    <n v="2921.02"/>
    <n v="14911.65"/>
    <n v="-877.72"/>
  </r>
  <r>
    <x v="7"/>
    <x v="1"/>
    <x v="0"/>
    <s v="5951200"/>
    <n v="718050"/>
    <s v="Miscellaneous Purchased Svcs"/>
    <s v="Rheumatology Shared Services"/>
    <x v="0"/>
    <n v="1020"/>
    <n v="0"/>
    <n v="334.67"/>
    <n v="155.03"/>
    <n v="0"/>
    <n v="0"/>
    <n v="183.05"/>
    <n v="310.07"/>
    <n v="155.03"/>
    <n v="310.07"/>
    <n v="155.03"/>
    <n v="155.03"/>
    <n v="155.03"/>
    <n v="1913.0099999999998"/>
    <n v="0"/>
  </r>
  <r>
    <x v="11"/>
    <x v="1"/>
    <x v="0"/>
    <s v="5951200"/>
    <n v="721980"/>
    <s v="Supplies-Other"/>
    <s v="Rheumatology Shared Services"/>
    <x v="0"/>
    <m/>
    <n v="0"/>
    <n v="20.12"/>
    <n v="28.7"/>
    <n v="0"/>
    <n v="0"/>
    <n v="0"/>
    <n v="148.38999999999999"/>
    <n v="13.54"/>
    <n v="43.69"/>
    <n v="278.3"/>
    <n v="43.07"/>
    <n v="37.17"/>
    <n v="612.98"/>
    <n v="5.8999999999999986"/>
  </r>
  <r>
    <x v="12"/>
    <x v="1"/>
    <x v="0"/>
    <s v="5951200"/>
    <n v="730010"/>
    <s v="Rental and Leases-Building (DO NOT USE)"/>
    <s v="Rheumatology Shared Services"/>
    <x v="0"/>
    <m/>
    <n v="2521.21"/>
    <n v="2297.8000000000002"/>
    <n v="2297.8000000000002"/>
    <n v="2306.9899999999998"/>
    <n v="2460.84"/>
    <n v="-1063.49"/>
    <n v="1748.76"/>
    <n v="1895.66"/>
    <n v="1797.73"/>
    <n v="1797.73"/>
    <n v="1797.73"/>
    <n v="0"/>
    <n v="19858.759999999998"/>
    <n v="1797.73"/>
  </r>
  <r>
    <x v="12"/>
    <x v="1"/>
    <x v="0"/>
    <s v="5951200"/>
    <n v="730010"/>
    <s v="Rental-Common Area Maint (DO NOT USE)"/>
    <s v="Rheumatology Shared Services"/>
    <x v="0"/>
    <n v="2200"/>
    <n v="0"/>
    <n v="0"/>
    <n v="0"/>
    <n v="0"/>
    <n v="0"/>
    <n v="3370.36"/>
    <n v="516.29999999999995"/>
    <n v="587.16"/>
    <n v="744.15"/>
    <n v="664.68"/>
    <n v="0"/>
    <n v="0"/>
    <n v="5882.65"/>
    <n v="0"/>
  </r>
  <r>
    <x v="12"/>
    <x v="1"/>
    <x v="0"/>
    <s v="5951200"/>
    <n v="730040"/>
    <s v="LT Lease-Real Estate"/>
    <s v="Rheumatology Shared Services"/>
    <x v="0"/>
    <m/>
    <n v="0"/>
    <n v="0"/>
    <n v="0"/>
    <n v="0"/>
    <n v="0"/>
    <n v="0"/>
    <n v="0"/>
    <n v="0"/>
    <n v="0"/>
    <n v="0"/>
    <n v="0"/>
    <n v="2962.9"/>
    <n v="2962.9"/>
    <n v="-2962.9"/>
  </r>
  <r>
    <x v="0"/>
    <x v="1"/>
    <x v="0"/>
    <s v="5951200"/>
    <n v="749510"/>
    <s v="Miscellaneous Expenses"/>
    <s v="Rheumatology Shared Services"/>
    <x v="0"/>
    <m/>
    <n v="0"/>
    <n v="0"/>
    <n v="0"/>
    <n v="0"/>
    <n v="0"/>
    <n v="0"/>
    <n v="188.52"/>
    <n v="-188.52"/>
    <n v="273.76"/>
    <n v="773.36"/>
    <n v="0"/>
    <n v="73.98"/>
    <n v="1121.0999999999999"/>
    <n v="-73.98"/>
  </r>
  <r>
    <x v="0"/>
    <x v="1"/>
    <x v="0"/>
    <s v="5951200"/>
    <n v="749530"/>
    <s v="Travel"/>
    <s v="Rheumatology Shared Services"/>
    <x v="0"/>
    <m/>
    <n v="0"/>
    <n v="0"/>
    <n v="0"/>
    <n v="0"/>
    <n v="0"/>
    <n v="0"/>
    <n v="0"/>
    <n v="18"/>
    <n v="0"/>
    <n v="0"/>
    <n v="0"/>
    <n v="0"/>
    <n v="18"/>
    <n v="0"/>
  </r>
  <r>
    <x v="0"/>
    <x v="1"/>
    <x v="0"/>
    <s v="5951200"/>
    <n v="749530"/>
    <s v="Mileage"/>
    <s v="Rheumatology Shared Services"/>
    <x v="0"/>
    <n v="1001"/>
    <n v="0"/>
    <n v="0"/>
    <n v="0"/>
    <n v="0"/>
    <n v="0"/>
    <n v="0"/>
    <n v="0"/>
    <n v="170.52"/>
    <n v="0"/>
    <n v="0"/>
    <n v="0"/>
    <n v="0"/>
    <n v="170.52"/>
    <n v="0"/>
  </r>
  <r>
    <x v="7"/>
    <x v="1"/>
    <x v="0"/>
    <s v="5952200"/>
    <n v="718050"/>
    <s v="Document Shredding/Storage"/>
    <s v="Bremerton Oncology S/S"/>
    <x v="0"/>
    <n v="1012"/>
    <n v="0"/>
    <n v="0"/>
    <n v="62.16"/>
    <n v="31.08"/>
    <n v="32.119999999999997"/>
    <n v="51.58"/>
    <n v="51.06"/>
    <n v="12.98"/>
    <n v="30.68"/>
    <n v="94.77"/>
    <n v="51.6"/>
    <n v="15.38"/>
    <n v="433.40999999999997"/>
    <n v="36.22"/>
  </r>
  <r>
    <x v="7"/>
    <x v="1"/>
    <x v="0"/>
    <s v="5952200"/>
    <n v="718050"/>
    <s v="Miscellaneous Purchased Svcs"/>
    <s v="Bremerton Oncology S/S"/>
    <x v="0"/>
    <n v="1020"/>
    <n v="153.81"/>
    <n v="178.23"/>
    <n v="176.25"/>
    <n v="161.04"/>
    <n v="186.21"/>
    <n v="150.53"/>
    <n v="300.25"/>
    <n v="144.72"/>
    <n v="263.60000000000002"/>
    <n v="166.25"/>
    <n v="0"/>
    <n v="348.32"/>
    <n v="2229.21"/>
    <n v="-348.32"/>
  </r>
  <r>
    <x v="12"/>
    <x v="1"/>
    <x v="0"/>
    <s v="5952200"/>
    <n v="730010"/>
    <s v="Rental and Leases-Building (DO NOT USE)"/>
    <s v="Bremerton Oncology S/S"/>
    <x v="0"/>
    <m/>
    <n v="8918.7000000000007"/>
    <n v="8702.81"/>
    <n v="8702.81"/>
    <n v="8702.81"/>
    <n v="8702.81"/>
    <n v="-3340.94"/>
    <n v="6731.5"/>
    <n v="6731.5"/>
    <n v="6731.5"/>
    <n v="6731.5"/>
    <n v="6731.5"/>
    <n v="0"/>
    <n v="74046.5"/>
    <n v="6731.5"/>
  </r>
  <r>
    <x v="12"/>
    <x v="1"/>
    <x v="0"/>
    <s v="5952200"/>
    <n v="730010"/>
    <s v="Rental-Common Area Maint (DO NOT USE)"/>
    <s v="Bremerton Oncology S/S"/>
    <x v="0"/>
    <n v="2200"/>
    <n v="0"/>
    <n v="0"/>
    <n v="0"/>
    <n v="0"/>
    <n v="0"/>
    <n v="12043.76"/>
    <n v="1971.32"/>
    <n v="1971.32"/>
    <n v="1971.32"/>
    <n v="1971.32"/>
    <n v="1971.32"/>
    <n v="0"/>
    <n v="21900.36"/>
    <n v="1971.32"/>
  </r>
  <r>
    <x v="12"/>
    <x v="1"/>
    <x v="0"/>
    <s v="5952200"/>
    <n v="730020"/>
    <s v="Rental and Leases-Copier Usage Fees (DO NOT USE)"/>
    <s v="Bremerton Oncology S/S"/>
    <x v="0"/>
    <n v="5100"/>
    <n v="412.77"/>
    <n v="450.08"/>
    <n v="431.42"/>
    <n v="431.42"/>
    <n v="431.42"/>
    <n v="431.42"/>
    <n v="-424.41"/>
    <n v="198.75"/>
    <n v="198.33"/>
    <n v="538.21"/>
    <n v="198.75"/>
    <n v="223.26"/>
    <n v="3521.42"/>
    <n v="-24.509999999999991"/>
  </r>
  <r>
    <x v="12"/>
    <x v="1"/>
    <x v="0"/>
    <s v="5952200"/>
    <n v="730040"/>
    <s v="LT Lease-Real Estate"/>
    <s v="Bremerton Oncology S/S"/>
    <x v="0"/>
    <m/>
    <n v="0"/>
    <n v="0"/>
    <n v="0"/>
    <n v="0"/>
    <n v="0"/>
    <n v="0"/>
    <n v="0"/>
    <n v="0"/>
    <n v="0"/>
    <n v="0"/>
    <n v="0"/>
    <n v="8702.82"/>
    <n v="8702.82"/>
    <n v="-8702.82"/>
  </r>
  <r>
    <x v="15"/>
    <x v="1"/>
    <x v="0"/>
    <s v="5952200"/>
    <n v="731060"/>
    <s v="Telephone"/>
    <s v="Bremerton Oncology S/S"/>
    <x v="0"/>
    <m/>
    <n v="1481.48"/>
    <n v="5579.58"/>
    <n v="605.76"/>
    <n v="1084.1500000000001"/>
    <n v="1155.77"/>
    <n v="1017.32"/>
    <n v="1492.43"/>
    <n v="1153.17"/>
    <n v="1105.72"/>
    <n v="1166.9100000000001"/>
    <n v="1166.28"/>
    <n v="1018.04"/>
    <n v="18026.61"/>
    <n v="148.24"/>
  </r>
  <r>
    <x v="15"/>
    <x v="1"/>
    <x v="0"/>
    <s v="5952200"/>
    <n v="731060"/>
    <s v="Cell Phones"/>
    <s v="Bremerton Oncology S/S"/>
    <x v="0"/>
    <n v="1001"/>
    <n v="0"/>
    <n v="55.11"/>
    <n v="26.81"/>
    <n v="0"/>
    <n v="26.85"/>
    <n v="27.42"/>
    <n v="54.91"/>
    <n v="0"/>
    <n v="28.05"/>
    <n v="54.82"/>
    <n v="89.98"/>
    <n v="50.12"/>
    <n v="414.07000000000005"/>
    <n v="39.860000000000007"/>
  </r>
  <r>
    <x v="13"/>
    <x v="1"/>
    <x v="0"/>
    <s v="5952200"/>
    <n v="735050"/>
    <s v="Amortization-Leasehold Improvements"/>
    <s v="Bremerton Oncology S/S"/>
    <x v="0"/>
    <m/>
    <n v="2407.7199999999998"/>
    <n v="2407.7199999999998"/>
    <n v="2407.7199999999998"/>
    <n v="2407.7199999999998"/>
    <n v="2407.7199999999998"/>
    <n v="2407.71"/>
    <n v="2407.7199999999998"/>
    <n v="2407.71"/>
    <n v="2407.7199999999998"/>
    <n v="2407.71"/>
    <n v="2407.7199999999998"/>
    <n v="2407.71"/>
    <n v="28892.6"/>
    <n v="9.9999999997635314E-3"/>
  </r>
  <r>
    <x v="13"/>
    <x v="1"/>
    <x v="0"/>
    <s v="5952200"/>
    <n v="735070"/>
    <s v="Depreciation-Movable Equipment"/>
    <s v="Bremerton Oncology S/S"/>
    <x v="0"/>
    <m/>
    <n v="591.36"/>
    <n v="591.36"/>
    <n v="591.37"/>
    <n v="591.35"/>
    <n v="591.37"/>
    <n v="591.35"/>
    <n v="591.37"/>
    <n v="591.35"/>
    <n v="591.37"/>
    <n v="591.35"/>
    <n v="591.37"/>
    <n v="591.35"/>
    <n v="7096.3200000000006"/>
    <n v="1.999999999998181E-2"/>
  </r>
  <r>
    <x v="0"/>
    <x v="1"/>
    <x v="0"/>
    <s v="5952200"/>
    <n v="749510"/>
    <s v="Licenses"/>
    <s v="Bremerton Oncology S/S"/>
    <x v="0"/>
    <n v="1002"/>
    <n v="0"/>
    <n v="0"/>
    <n v="0"/>
    <n v="0"/>
    <n v="0"/>
    <n v="0"/>
    <n v="0"/>
    <n v="0"/>
    <n v="0"/>
    <n v="75"/>
    <n v="0"/>
    <n v="50"/>
    <n v="125"/>
    <n v="-50"/>
  </r>
  <r>
    <x v="0"/>
    <x v="1"/>
    <x v="0"/>
    <s v="5952200"/>
    <n v="766010"/>
    <s v="Property Tax"/>
    <s v="Bremerton Oncology S/S"/>
    <x v="0"/>
    <m/>
    <n v="142.87"/>
    <n v="142.87"/>
    <n v="142.87"/>
    <n v="-428.61"/>
    <n v="0"/>
    <n v="0"/>
    <n v="0"/>
    <n v="0"/>
    <n v="0"/>
    <n v="500.32"/>
    <n v="-732.15"/>
    <n v="125.08"/>
    <n v="-106.74999999999999"/>
    <n v="-857.23"/>
  </r>
  <r>
    <x v="5"/>
    <x v="1"/>
    <x v="0"/>
    <s v="5953200"/>
    <n v="700032"/>
    <s v="Salaries-Other Pat Care Providers-Productive"/>
    <s v="Poulsbo Oncology S/S"/>
    <x v="0"/>
    <m/>
    <n v="0"/>
    <n v="0"/>
    <n v="571.78"/>
    <n v="-190.59"/>
    <n v="0"/>
    <n v="0"/>
    <n v="0"/>
    <n v="0"/>
    <n v="0"/>
    <n v="0"/>
    <n v="0"/>
    <n v="0"/>
    <n v="381.18999999999994"/>
    <n v="0"/>
  </r>
  <r>
    <x v="6"/>
    <x v="1"/>
    <x v="0"/>
    <s v="5953200"/>
    <n v="713010"/>
    <s v="Benefits-FICA/Medicare"/>
    <s v="Poulsbo Oncology S/S"/>
    <x v="0"/>
    <m/>
    <n v="0"/>
    <n v="0"/>
    <n v="38.200000000000003"/>
    <n v="-12.73"/>
    <n v="0"/>
    <n v="0"/>
    <n v="0"/>
    <n v="0"/>
    <n v="0"/>
    <n v="0"/>
    <n v="0"/>
    <n v="0"/>
    <n v="25.470000000000002"/>
    <n v="0"/>
  </r>
  <r>
    <x v="6"/>
    <x v="1"/>
    <x v="0"/>
    <s v="5953200"/>
    <n v="713090"/>
    <s v="Benefits-Allocated Amounts"/>
    <s v="Poulsbo Oncology S/S"/>
    <x v="0"/>
    <m/>
    <n v="0"/>
    <n v="0"/>
    <n v="156.25"/>
    <n v="-69.28"/>
    <n v="22.46"/>
    <n v="22.44"/>
    <n v="25.38"/>
    <n v="23.77"/>
    <n v="22.21"/>
    <n v="-203.23"/>
    <n v="0"/>
    <n v="0"/>
    <n v="2.8421709430404007E-14"/>
    <n v="0"/>
  </r>
  <r>
    <x v="7"/>
    <x v="1"/>
    <x v="0"/>
    <s v="5953200"/>
    <n v="718050"/>
    <s v="Miscellaneous Purchased Svcs"/>
    <s v="Poulsbo Oncology S/S"/>
    <x v="0"/>
    <n v="1020"/>
    <n v="165.26"/>
    <n v="203.64"/>
    <n v="204.15"/>
    <n v="187.77"/>
    <n v="212.6"/>
    <n v="170.45"/>
    <n v="332.59"/>
    <n v="160.24"/>
    <n v="289.95"/>
    <n v="149.99"/>
    <n v="0"/>
    <n v="321.39999999999998"/>
    <n v="2398.04"/>
    <n v="-321.39999999999998"/>
  </r>
  <r>
    <x v="7"/>
    <x v="1"/>
    <x v="0"/>
    <s v="5953200"/>
    <n v="718070"/>
    <s v="Contract Srvcs-CHI Clinical Engineering"/>
    <s v="Poulsbo Oncology S/S"/>
    <x v="0"/>
    <m/>
    <n v="0"/>
    <n v="0"/>
    <n v="0"/>
    <n v="0"/>
    <n v="0"/>
    <n v="0"/>
    <n v="0"/>
    <n v="0"/>
    <n v="0"/>
    <n v="0"/>
    <n v="8.35"/>
    <n v="329"/>
    <n v="337.35"/>
    <n v="-320.64999999999998"/>
  </r>
  <r>
    <x v="12"/>
    <x v="1"/>
    <x v="0"/>
    <s v="5953200"/>
    <n v="730010"/>
    <s v="Rental and Leases-Building (DO NOT USE)"/>
    <s v="Poulsbo Oncology S/S"/>
    <x v="0"/>
    <m/>
    <n v="9819.24"/>
    <n v="9819.24"/>
    <n v="9819.24"/>
    <n v="9819.24"/>
    <n v="9819.24"/>
    <n v="-6323.22"/>
    <n v="7276.73"/>
    <n v="7276.73"/>
    <n v="7276.73"/>
    <n v="7276.73"/>
    <n v="7276.73"/>
    <n v="0"/>
    <n v="79156.629999999976"/>
    <n v="7276.73"/>
  </r>
  <r>
    <x v="12"/>
    <x v="1"/>
    <x v="0"/>
    <s v="5953200"/>
    <n v="730010"/>
    <s v="Rental-Common Area Maint (DO NOT USE)"/>
    <s v="Poulsbo Oncology S/S"/>
    <x v="0"/>
    <n v="2200"/>
    <n v="0"/>
    <n v="0"/>
    <n v="0"/>
    <n v="0"/>
    <n v="0"/>
    <n v="16319.94"/>
    <n v="2719.99"/>
    <n v="2719.99"/>
    <n v="2719.99"/>
    <n v="2719.99"/>
    <n v="2719.99"/>
    <n v="0"/>
    <n v="29919.889999999992"/>
    <n v="2719.99"/>
  </r>
  <r>
    <x v="12"/>
    <x v="1"/>
    <x v="0"/>
    <s v="5953200"/>
    <n v="730020"/>
    <s v="Rental and Leases-Copier Usage Fees (DO NOT USE)"/>
    <s v="Poulsbo Oncology S/S"/>
    <x v="0"/>
    <n v="5100"/>
    <n v="536.14"/>
    <n v="576.38"/>
    <n v="556.26"/>
    <n v="556.26"/>
    <n v="556.26"/>
    <n v="556.26"/>
    <n v="904.5"/>
    <n v="704.04"/>
    <n v="702.56"/>
    <n v="1240.51"/>
    <n v="704.04"/>
    <n v="791.87"/>
    <n v="8385.08"/>
    <n v="-87.830000000000041"/>
  </r>
  <r>
    <x v="12"/>
    <x v="1"/>
    <x v="0"/>
    <s v="5953200"/>
    <n v="730040"/>
    <s v="LT Lease-Real Estate"/>
    <s v="Poulsbo Oncology S/S"/>
    <x v="0"/>
    <m/>
    <n v="0"/>
    <n v="0"/>
    <n v="0"/>
    <n v="0"/>
    <n v="0"/>
    <n v="0"/>
    <n v="0"/>
    <n v="0"/>
    <n v="0"/>
    <n v="0"/>
    <n v="0"/>
    <n v="9996.7199999999993"/>
    <n v="9996.7199999999993"/>
    <n v="-9996.7199999999993"/>
  </r>
  <r>
    <x v="15"/>
    <x v="1"/>
    <x v="0"/>
    <s v="5953200"/>
    <n v="731060"/>
    <s v="Telephone"/>
    <s v="Poulsbo Oncology S/S"/>
    <x v="0"/>
    <m/>
    <n v="359.5"/>
    <n v="362.52"/>
    <n v="361.32"/>
    <n v="363.8"/>
    <n v="364.44"/>
    <n v="364.5"/>
    <n v="380.16"/>
    <n v="359.27"/>
    <n v="361.36"/>
    <n v="358.43"/>
    <n v="358.32"/>
    <n v="365.3"/>
    <n v="4358.92"/>
    <n v="-6.9800000000000182"/>
  </r>
  <r>
    <x v="15"/>
    <x v="1"/>
    <x v="0"/>
    <s v="5953200"/>
    <n v="731065"/>
    <s v="Data Communications"/>
    <s v="Poulsbo Oncology S/S"/>
    <x v="0"/>
    <m/>
    <n v="5570"/>
    <n v="4505.3"/>
    <n v="4061.06"/>
    <n v="5382.04"/>
    <n v="4949.1099999999997"/>
    <n v="4343"/>
    <n v="4466.49"/>
    <n v="4643.03"/>
    <n v="4232.3999999999996"/>
    <n v="4384.38"/>
    <n v="4420.1400000000003"/>
    <n v="4285.29"/>
    <n v="55242.239999999998"/>
    <n v="134.85000000000036"/>
  </r>
  <r>
    <x v="16"/>
    <x v="1"/>
    <x v="0"/>
    <s v="5953200"/>
    <n v="732030"/>
    <s v="Repairs&amp;Maintenance-HVAC"/>
    <s v="Poulsbo Oncology S/S"/>
    <x v="0"/>
    <n v="5102"/>
    <n v="0"/>
    <n v="0"/>
    <n v="0"/>
    <n v="0"/>
    <n v="0"/>
    <n v="0"/>
    <n v="100.39"/>
    <n v="0"/>
    <n v="0"/>
    <n v="0"/>
    <n v="0"/>
    <n v="0"/>
    <n v="100.39"/>
    <n v="0"/>
  </r>
  <r>
    <x v="13"/>
    <x v="1"/>
    <x v="0"/>
    <s v="5953200"/>
    <n v="735050"/>
    <s v="Amortization-Leasehold Improvements"/>
    <s v="Poulsbo Oncology S/S"/>
    <x v="0"/>
    <m/>
    <n v="1814.84"/>
    <n v="1814.84"/>
    <n v="1814.84"/>
    <n v="1814.84"/>
    <n v="1814.84"/>
    <n v="1814.84"/>
    <n v="1814.84"/>
    <n v="1814.84"/>
    <n v="1814.84"/>
    <n v="1814.84"/>
    <n v="1814.85"/>
    <n v="1814.84"/>
    <n v="21778.089999999997"/>
    <n v="9.9999999999909051E-3"/>
  </r>
  <r>
    <x v="13"/>
    <x v="1"/>
    <x v="0"/>
    <s v="5953200"/>
    <n v="735070"/>
    <s v="Depreciation-Movable Equipment"/>
    <s v="Poulsbo Oncology S/S"/>
    <x v="0"/>
    <m/>
    <n v="17.11"/>
    <n v="17.11"/>
    <n v="17.11"/>
    <n v="17.11"/>
    <n v="17.11"/>
    <n v="17.11"/>
    <n v="17.11"/>
    <n v="17.100000000000001"/>
    <n v="17.11"/>
    <n v="17.100000000000001"/>
    <n v="17.11"/>
    <n v="17.100000000000001"/>
    <n v="205.29"/>
    <n v="9.9999999999980105E-3"/>
  </r>
  <r>
    <x v="0"/>
    <x v="1"/>
    <x v="0"/>
    <s v="5953200"/>
    <n v="766010"/>
    <s v="Property Tax"/>
    <s v="Poulsbo Oncology S/S"/>
    <x v="0"/>
    <m/>
    <n v="69.11"/>
    <n v="69.11"/>
    <n v="69.11"/>
    <n v="-207.33"/>
    <n v="0"/>
    <n v="0"/>
    <n v="0"/>
    <n v="0"/>
    <n v="0"/>
    <n v="264.38"/>
    <n v="-348.57"/>
    <n v="66.09"/>
    <n v="-18.099999999999994"/>
    <n v="-414.65999999999997"/>
  </r>
  <r>
    <x v="5"/>
    <x v="1"/>
    <x v="0"/>
    <s v="5954200"/>
    <n v="700014"/>
    <s v="Salaries-Management-Productive"/>
    <s v="Cardio Thoracic Shared Service"/>
    <x v="0"/>
    <m/>
    <n v="1510.68"/>
    <n v="2043.88"/>
    <n v="1332.96"/>
    <n v="2075.84"/>
    <n v="1994.08"/>
    <n v="1450.24"/>
    <n v="2088"/>
    <n v="1815.54"/>
    <n v="-1497.66"/>
    <n v="1997.09"/>
    <n v="2087.88"/>
    <n v="-907.77"/>
    <n v="15990.760000000002"/>
    <n v="2995.65"/>
  </r>
  <r>
    <x v="5"/>
    <x v="1"/>
    <x v="0"/>
    <s v="5954200"/>
    <n v="700032"/>
    <s v="Salaries-Other Pat Care Providers-Productive"/>
    <s v="Cardio Thoracic Shared Service"/>
    <x v="0"/>
    <m/>
    <n v="0"/>
    <n v="0"/>
    <n v="0"/>
    <n v="0"/>
    <n v="0"/>
    <n v="535.45000000000005"/>
    <n v="0"/>
    <n v="0"/>
    <n v="0"/>
    <n v="0"/>
    <n v="0"/>
    <n v="0"/>
    <n v="535.45000000000005"/>
    <n v="0"/>
  </r>
  <r>
    <x v="5"/>
    <x v="1"/>
    <x v="0"/>
    <s v="5954200"/>
    <n v="700038"/>
    <s v="Salaries-Service/Support-Productive"/>
    <s v="Cardio Thoracic Shared Service"/>
    <x v="0"/>
    <m/>
    <n v="3452.72"/>
    <n v="3625.86"/>
    <n v="5520.74"/>
    <n v="5581.66"/>
    <n v="8017.93"/>
    <n v="4503.93"/>
    <n v="7667.96"/>
    <n v="6185.83"/>
    <n v="7714.96"/>
    <n v="6950.07"/>
    <n v="8453.66"/>
    <n v="5199.3100000000004"/>
    <n v="72874.63"/>
    <n v="3254.3499999999995"/>
  </r>
  <r>
    <x v="5"/>
    <x v="1"/>
    <x v="0"/>
    <s v="5954200"/>
    <n v="700038"/>
    <s v="Salaries-Service/Support-OT"/>
    <s v="Cardio Thoracic Shared Service"/>
    <x v="0"/>
    <n v="1000"/>
    <n v="7.64"/>
    <n v="0"/>
    <n v="0"/>
    <n v="0"/>
    <n v="31.48"/>
    <n v="-15.74"/>
    <n v="0"/>
    <n v="0"/>
    <n v="83.24"/>
    <n v="-3.93"/>
    <n v="31.54"/>
    <n v="-15.77"/>
    <n v="118.46"/>
    <n v="47.31"/>
  </r>
  <r>
    <x v="5"/>
    <x v="1"/>
    <x v="0"/>
    <s v="5954200"/>
    <n v="700038"/>
    <s v="Salaries-Service/Support-Other"/>
    <s v="Cardio Thoracic Shared Service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1"/>
    <x v="0"/>
    <s v="5954200"/>
    <n v="700054"/>
    <s v="Salaries-Management-Non-productive"/>
    <s v="Cardio Thoracic Shared Service"/>
    <x v="0"/>
    <m/>
    <n v="0"/>
    <n v="0"/>
    <n v="0"/>
    <n v="0"/>
    <n v="0"/>
    <n v="2266"/>
    <n v="0"/>
    <n v="0"/>
    <n v="3403.98"/>
    <n v="0"/>
    <n v="0"/>
    <n v="2836.69"/>
    <n v="8506.67"/>
    <n v="-2836.69"/>
  </r>
  <r>
    <x v="5"/>
    <x v="1"/>
    <x v="0"/>
    <s v="5954200"/>
    <n v="700078"/>
    <s v="Salaries-Service/Support-Non-productive"/>
    <s v="Cardio Thoracic Shared Service"/>
    <x v="0"/>
    <m/>
    <n v="132.41"/>
    <n v="117.13"/>
    <n v="514.34"/>
    <n v="2611.63"/>
    <n v="-144.36000000000001"/>
    <n v="2880.43"/>
    <n v="312.7"/>
    <n v="752.54"/>
    <n v="-123.83"/>
    <n v="941.83"/>
    <n v="-205.75"/>
    <n v="2018.46"/>
    <n v="9807.5299999999988"/>
    <n v="-2224.21"/>
  </r>
  <r>
    <x v="5"/>
    <x v="1"/>
    <x v="0"/>
    <s v="5954200"/>
    <n v="700078"/>
    <s v="Salaries-Service/Support-NonProd-Other"/>
    <s v="Cardio Thoracic Shared Servi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54200"/>
    <n v="700084"/>
    <s v="Accrued PTO"/>
    <s v="Cardio Thoracic Shared Service"/>
    <x v="0"/>
    <m/>
    <n v="327.07"/>
    <n v="309.01"/>
    <n v="140.22999999999999"/>
    <n v="753.17"/>
    <n v="309.66000000000003"/>
    <n v="-2121.98"/>
    <n v="871.8"/>
    <n v="129.13"/>
    <n v="-1419.03"/>
    <n v="1271.71"/>
    <n v="1788.66"/>
    <n v="-1884.38"/>
    <n v="475.05000000000018"/>
    <n v="3673.04"/>
  </r>
  <r>
    <x v="6"/>
    <x v="1"/>
    <x v="0"/>
    <s v="5954200"/>
    <n v="713010"/>
    <s v="Benefits-FICA/Medicare"/>
    <s v="Cardio Thoracic Shared Service"/>
    <x v="0"/>
    <m/>
    <n v="384.86"/>
    <n v="435.7"/>
    <n v="558.75"/>
    <n v="778.6"/>
    <n v="753.7"/>
    <n v="878.1"/>
    <n v="761.93"/>
    <n v="662.55"/>
    <n v="722.28"/>
    <n v="743.84"/>
    <n v="780.2"/>
    <n v="689.04"/>
    <n v="8149.5499999999993"/>
    <n v="91.160000000000082"/>
  </r>
  <r>
    <x v="6"/>
    <x v="1"/>
    <x v="0"/>
    <s v="5954200"/>
    <n v="713090"/>
    <s v="Benefits-Allocated Amounts"/>
    <s v="Cardio Thoracic Shared Service"/>
    <x v="0"/>
    <m/>
    <n v="1293.7"/>
    <n v="1238.21"/>
    <n v="1823.49"/>
    <n v="2451.36"/>
    <n v="2366.36"/>
    <n v="3025.15"/>
    <n v="2652.68"/>
    <n v="2482.13"/>
    <n v="2534.42"/>
    <n v="2714.37"/>
    <n v="2632.9"/>
    <n v="2669.88"/>
    <n v="27884.65"/>
    <n v="-36.980000000000018"/>
  </r>
  <r>
    <x v="7"/>
    <x v="1"/>
    <x v="0"/>
    <s v="5954200"/>
    <n v="718050"/>
    <s v="Contract Svcs-Other"/>
    <s v="Cardio Thoracic Shared Service"/>
    <x v="0"/>
    <m/>
    <n v="0"/>
    <n v="0"/>
    <n v="0"/>
    <n v="0"/>
    <n v="0"/>
    <n v="0"/>
    <n v="189.28"/>
    <n v="5"/>
    <n v="0"/>
    <n v="0"/>
    <n v="0"/>
    <n v="0"/>
    <n v="194.28"/>
    <n v="0"/>
  </r>
  <r>
    <x v="7"/>
    <x v="1"/>
    <x v="0"/>
    <s v="5954200"/>
    <n v="718050"/>
    <s v="Miscellaneous Purchased Svcs"/>
    <s v="Cardio Thoracic Shared Service"/>
    <x v="0"/>
    <n v="1020"/>
    <n v="165.75"/>
    <n v="231.16"/>
    <n v="264.70999999999998"/>
    <n v="917.39"/>
    <n v="435.86"/>
    <n v="701.05"/>
    <n v="662.2"/>
    <n v="375.83"/>
    <n v="302.45"/>
    <n v="313.63"/>
    <n v="0"/>
    <n v="809.59"/>
    <n v="5179.62"/>
    <n v="-809.59"/>
  </r>
  <r>
    <x v="7"/>
    <x v="1"/>
    <x v="0"/>
    <s v="5954200"/>
    <n v="718050"/>
    <s v="Contract Management--Linen"/>
    <s v="Cardio Thoracic Shared Service"/>
    <x v="0"/>
    <n v="1026"/>
    <n v="0"/>
    <n v="0"/>
    <n v="0"/>
    <n v="35.590000000000003"/>
    <n v="0"/>
    <n v="0"/>
    <n v="0"/>
    <n v="0"/>
    <n v="0"/>
    <n v="0"/>
    <n v="0"/>
    <n v="0"/>
    <n v="35.590000000000003"/>
    <n v="0"/>
  </r>
  <r>
    <x v="11"/>
    <x v="1"/>
    <x v="0"/>
    <s v="5954200"/>
    <n v="721410"/>
    <s v="Supplies-Medical - Nonbillable"/>
    <s v="Cardio Thoracic Shared Service"/>
    <x v="0"/>
    <m/>
    <n v="0"/>
    <n v="0"/>
    <n v="0"/>
    <n v="0"/>
    <n v="0"/>
    <n v="38.1"/>
    <n v="0"/>
    <n v="-3.15"/>
    <n v="0"/>
    <n v="0"/>
    <n v="0"/>
    <n v="10"/>
    <n v="44.95"/>
    <n v="-10"/>
  </r>
  <r>
    <x v="11"/>
    <x v="1"/>
    <x v="0"/>
    <s v="5954200"/>
    <n v="721830"/>
    <s v="Supplies-Office"/>
    <s v="Cardio Thoracic Shared Service"/>
    <x v="0"/>
    <m/>
    <n v="0"/>
    <n v="151.21"/>
    <n v="64.430000000000007"/>
    <n v="200.48"/>
    <n v="0"/>
    <n v="207.6"/>
    <n v="247.02"/>
    <n v="138.4"/>
    <n v="129.49"/>
    <n v="450.89"/>
    <n v="134.97999999999999"/>
    <n v="311.64999999999998"/>
    <n v="2036.15"/>
    <n v="-176.67"/>
  </r>
  <r>
    <x v="11"/>
    <x v="1"/>
    <x v="0"/>
    <s v="5954200"/>
    <n v="721835"/>
    <s v="Supplies-Forms"/>
    <s v="Cardio Thoracic Shared Service"/>
    <x v="0"/>
    <m/>
    <n v="0"/>
    <n v="0"/>
    <n v="0"/>
    <n v="0"/>
    <n v="0"/>
    <n v="0"/>
    <n v="0"/>
    <n v="0"/>
    <n v="0"/>
    <n v="0"/>
    <n v="12.5"/>
    <n v="0"/>
    <n v="12.5"/>
    <n v="12.5"/>
  </r>
  <r>
    <x v="11"/>
    <x v="1"/>
    <x v="0"/>
    <s v="5954200"/>
    <n v="721910"/>
    <s v="Supplies-Small Equipment"/>
    <s v="Cardio Thoracic Shared Service"/>
    <x v="0"/>
    <m/>
    <n v="0"/>
    <n v="0"/>
    <n v="0"/>
    <n v="0"/>
    <n v="0"/>
    <n v="0"/>
    <n v="0"/>
    <n v="138.31"/>
    <n v="12.45"/>
    <n v="140.75"/>
    <n v="3634.54"/>
    <n v="0"/>
    <n v="3926.05"/>
    <n v="3634.54"/>
  </r>
  <r>
    <x v="12"/>
    <x v="1"/>
    <x v="0"/>
    <s v="5954200"/>
    <n v="730010"/>
    <s v="Rental and Leases-Building (DO NOT USE)"/>
    <s v="Cardio Thoracic Shared Service"/>
    <x v="0"/>
    <m/>
    <n v="5912.47"/>
    <n v="5912.47"/>
    <n v="5912.47"/>
    <n v="5912.47"/>
    <n v="5912.47"/>
    <n v="-908.57"/>
    <n v="4775.63"/>
    <n v="4775.63"/>
    <n v="4775.63"/>
    <n v="4890.37"/>
    <n v="4890.37"/>
    <n v="0"/>
    <n v="52761.41"/>
    <n v="4890.37"/>
  </r>
  <r>
    <x v="12"/>
    <x v="1"/>
    <x v="0"/>
    <s v="5954200"/>
    <n v="730010"/>
    <s v="Rental-Common Area Maint (DO NOT USE)"/>
    <s v="Cardio Thoracic Shared Service"/>
    <x v="0"/>
    <n v="2200"/>
    <n v="0"/>
    <n v="0"/>
    <n v="0"/>
    <n v="0"/>
    <n v="0"/>
    <n v="6821.04"/>
    <n v="1136.8399999999999"/>
    <n v="1136.8399999999999"/>
    <n v="1136.8399999999999"/>
    <n v="1022.11"/>
    <n v="1022.11"/>
    <n v="0"/>
    <n v="12275.78"/>
    <n v="1022.11"/>
  </r>
  <r>
    <x v="12"/>
    <x v="1"/>
    <x v="0"/>
    <s v="5954200"/>
    <n v="730040"/>
    <s v="LT Lease-Real Estate"/>
    <s v="Cardio Thoracic Shared Service"/>
    <x v="0"/>
    <m/>
    <n v="0"/>
    <n v="0"/>
    <n v="0"/>
    <n v="0"/>
    <n v="0"/>
    <n v="0"/>
    <n v="0"/>
    <n v="0"/>
    <n v="0"/>
    <n v="0"/>
    <n v="0"/>
    <n v="5797.75"/>
    <n v="5797.75"/>
    <n v="-5797.75"/>
  </r>
  <r>
    <x v="15"/>
    <x v="1"/>
    <x v="0"/>
    <s v="5954200"/>
    <n v="731050"/>
    <s v="Refuse Disposal"/>
    <s v="Cardio Thoracic Shared Service"/>
    <x v="0"/>
    <m/>
    <n v="0"/>
    <n v="76.91"/>
    <n v="76.91"/>
    <n v="0"/>
    <n v="123.92"/>
    <n v="273.43"/>
    <n v="159.78"/>
    <n v="76.91"/>
    <n v="76.91"/>
    <n v="0"/>
    <n v="0"/>
    <n v="123.92"/>
    <n v="988.68999999999994"/>
    <n v="-123.92"/>
  </r>
  <r>
    <x v="15"/>
    <x v="1"/>
    <x v="0"/>
    <s v="5954200"/>
    <n v="731060"/>
    <s v="Telephone"/>
    <s v="Cardio Thoracic Shared Service"/>
    <x v="0"/>
    <m/>
    <n v="336.4"/>
    <n v="167.9"/>
    <n v="169.7"/>
    <n v="167.9"/>
    <n v="0"/>
    <n v="0"/>
    <n v="181.21"/>
    <n v="339.8"/>
    <n v="0"/>
    <n v="0"/>
    <n v="0"/>
    <n v="0"/>
    <n v="1362.91"/>
    <n v="0"/>
  </r>
  <r>
    <x v="16"/>
    <x v="1"/>
    <x v="0"/>
    <s v="5954200"/>
    <n v="732030"/>
    <s v="Repairs&amp;Maintenance-Bldg Routine"/>
    <s v="Cardio Thoracic Shared Service"/>
    <x v="0"/>
    <n v="2300"/>
    <n v="0"/>
    <n v="0"/>
    <n v="0"/>
    <n v="0"/>
    <n v="0"/>
    <n v="0"/>
    <n v="0"/>
    <n v="0"/>
    <n v="0"/>
    <n v="0"/>
    <n v="0"/>
    <n v="114.73"/>
    <n v="114.73"/>
    <n v="-114.73"/>
  </r>
  <r>
    <x v="0"/>
    <x v="1"/>
    <x v="0"/>
    <s v="5954200"/>
    <n v="743030"/>
    <s v="Subscriptions--Institutional"/>
    <s v="Cardio Thoracic Shared Service"/>
    <x v="0"/>
    <m/>
    <n v="0"/>
    <n v="0"/>
    <n v="0"/>
    <n v="0"/>
    <n v="0"/>
    <n v="0"/>
    <n v="0"/>
    <n v="0"/>
    <n v="184.26"/>
    <n v="0"/>
    <n v="0"/>
    <n v="0"/>
    <n v="184.26"/>
    <n v="0"/>
  </r>
  <r>
    <x v="0"/>
    <x v="1"/>
    <x v="0"/>
    <s v="5954200"/>
    <n v="749510"/>
    <s v="Miscellaneous Expenses"/>
    <s v="Cardio Thoracic Shared Service"/>
    <x v="0"/>
    <m/>
    <n v="0"/>
    <n v="0"/>
    <n v="0"/>
    <n v="0"/>
    <n v="0"/>
    <n v="0"/>
    <n v="0"/>
    <n v="0"/>
    <n v="0"/>
    <n v="48.92"/>
    <n v="-48.92"/>
    <n v="45.44"/>
    <n v="45.44"/>
    <n v="-94.36"/>
  </r>
  <r>
    <x v="0"/>
    <x v="1"/>
    <x v="0"/>
    <s v="5954200"/>
    <n v="749530"/>
    <s v="Travel"/>
    <s v="Cardio Thoracic Shared Service"/>
    <x v="0"/>
    <m/>
    <n v="0"/>
    <n v="0"/>
    <n v="0"/>
    <n v="0"/>
    <n v="0"/>
    <n v="0"/>
    <n v="368.94"/>
    <n v="0"/>
    <n v="0"/>
    <n v="0"/>
    <n v="6"/>
    <n v="0"/>
    <n v="374.94"/>
    <n v="6"/>
  </r>
  <r>
    <x v="0"/>
    <x v="1"/>
    <x v="0"/>
    <s v="5954200"/>
    <n v="749530"/>
    <s v="Mileage"/>
    <s v="Cardio Thoracic Shared Service"/>
    <x v="0"/>
    <n v="1001"/>
    <n v="0"/>
    <n v="0"/>
    <n v="0"/>
    <n v="0"/>
    <n v="0"/>
    <n v="0"/>
    <n v="0"/>
    <n v="0"/>
    <n v="0"/>
    <n v="0"/>
    <n v="42.92"/>
    <n v="0"/>
    <n v="42.92"/>
    <n v="42.92"/>
  </r>
  <r>
    <x v="0"/>
    <x v="1"/>
    <x v="0"/>
    <s v="5954200"/>
    <n v="766010"/>
    <s v="Property Tax"/>
    <s v="Cardio Thoracic Shared Service"/>
    <x v="0"/>
    <m/>
    <n v="677.61"/>
    <n v="677.61"/>
    <n v="677.61"/>
    <n v="677.61"/>
    <n v="677.61"/>
    <n v="677.61"/>
    <n v="677.61"/>
    <n v="677.61"/>
    <n v="677.62"/>
    <n v="86.5"/>
    <n v="529.85"/>
    <n v="529.85"/>
    <n v="7244.7000000000007"/>
    <n v="0"/>
  </r>
  <r>
    <x v="14"/>
    <x v="1"/>
    <x v="0"/>
    <s v="5955200"/>
    <n v="600050"/>
    <s v="Miscellaneous Revenue"/>
    <s v="Bremerton Endo Shared Services"/>
    <x v="0"/>
    <m/>
    <n v="0"/>
    <n v="0"/>
    <n v="-312.5"/>
    <n v="-700"/>
    <n v="-300"/>
    <n v="-800"/>
    <n v="-75"/>
    <n v="0"/>
    <n v="0"/>
    <n v="0"/>
    <n v="0"/>
    <n v="0"/>
    <n v="-2187.5"/>
    <n v="0"/>
  </r>
  <r>
    <x v="5"/>
    <x v="1"/>
    <x v="0"/>
    <s v="5955200"/>
    <n v="700014"/>
    <s v="Salaries-Management-Productive"/>
    <s v="Bremerton Endo Shared Services"/>
    <x v="0"/>
    <m/>
    <n v="2074.2199999999998"/>
    <n v="2280.2800000000002"/>
    <n v="2206.7600000000002"/>
    <n v="2367.79"/>
    <n v="2311.65"/>
    <n v="1602.82"/>
    <n v="2423.31"/>
    <n v="2160.7600000000002"/>
    <n v="16985.52"/>
    <n v="4938.72"/>
    <n v="3519.04"/>
    <n v="2778.25"/>
    <n v="45649.120000000003"/>
    <n v="740.79"/>
  </r>
  <r>
    <x v="5"/>
    <x v="1"/>
    <x v="0"/>
    <s v="5955200"/>
    <n v="700032"/>
    <s v="Salaries-Other Pat Care Providers-Productive"/>
    <s v="Bremerton Endo Shared Services"/>
    <x v="0"/>
    <m/>
    <n v="0"/>
    <n v="0"/>
    <n v="0"/>
    <n v="0"/>
    <n v="0"/>
    <n v="1369.11"/>
    <n v="3822.32"/>
    <n v="2387.5700000000002"/>
    <n v="3784.76"/>
    <n v="3607.4"/>
    <n v="3922.44"/>
    <n v="2226.65"/>
    <n v="21120.25"/>
    <n v="1695.79"/>
  </r>
  <r>
    <x v="5"/>
    <x v="1"/>
    <x v="0"/>
    <s v="5955200"/>
    <n v="700032"/>
    <s v="Salaries-Other Pat Care Providers-OT"/>
    <s v="Bremerton Endo Shared Services"/>
    <x v="0"/>
    <n v="1000"/>
    <n v="0"/>
    <n v="0"/>
    <n v="0"/>
    <n v="0"/>
    <n v="0"/>
    <n v="0"/>
    <n v="8.5"/>
    <n v="0"/>
    <n v="0"/>
    <n v="0"/>
    <n v="0"/>
    <n v="0"/>
    <n v="8.5"/>
    <n v="0"/>
  </r>
  <r>
    <x v="5"/>
    <x v="1"/>
    <x v="0"/>
    <s v="5955200"/>
    <n v="700038"/>
    <s v="Salaries-Service/Support-Productive"/>
    <s v="Bremerton Endo Shared Services"/>
    <x v="0"/>
    <m/>
    <n v="6092.78"/>
    <n v="4500.3900000000003"/>
    <n v="8786.2999999999993"/>
    <n v="9942.74"/>
    <n v="7353.05"/>
    <n v="10399.030000000001"/>
    <n v="11046.82"/>
    <n v="8903.3700000000008"/>
    <n v="16019.58"/>
    <n v="16219.67"/>
    <n v="18188.34"/>
    <n v="15243.21"/>
    <n v="132695.28"/>
    <n v="2945.130000000001"/>
  </r>
  <r>
    <x v="5"/>
    <x v="1"/>
    <x v="0"/>
    <s v="5955200"/>
    <n v="700038"/>
    <s v="Salaries-Service/Support-OT"/>
    <s v="Bremerton Endo Shared Services"/>
    <x v="0"/>
    <n v="1000"/>
    <n v="8.25"/>
    <n v="271.82"/>
    <n v="115.23"/>
    <n v="15.73"/>
    <n v="29.72"/>
    <n v="81.95"/>
    <n v="225.69"/>
    <n v="-17.739999999999998"/>
    <n v="47.18"/>
    <n v="20.36"/>
    <n v="43.6"/>
    <n v="384.17"/>
    <n v="1225.96"/>
    <n v="-340.57"/>
  </r>
  <r>
    <x v="5"/>
    <x v="1"/>
    <x v="0"/>
    <s v="5955200"/>
    <n v="700038"/>
    <s v="Salaries-Service/Support-Other"/>
    <s v="Bremerton Endo Shared Services"/>
    <x v="0"/>
    <n v="2000"/>
    <n v="0"/>
    <n v="30"/>
    <n v="0"/>
    <n v="0"/>
    <n v="0"/>
    <n v="0"/>
    <n v="0"/>
    <n v="0"/>
    <n v="0"/>
    <n v="0"/>
    <n v="0"/>
    <n v="0"/>
    <n v="30"/>
    <n v="0"/>
  </r>
  <r>
    <x v="5"/>
    <x v="1"/>
    <x v="0"/>
    <s v="5955200"/>
    <n v="700054"/>
    <s v="Salaries-Management-Non-productive"/>
    <s v="Bremerton Endo Shared Services"/>
    <x v="0"/>
    <m/>
    <n v="0"/>
    <n v="0"/>
    <n v="0"/>
    <n v="0"/>
    <n v="0"/>
    <n v="431.52"/>
    <n v="0"/>
    <n v="0"/>
    <n v="0"/>
    <n v="0"/>
    <n v="0"/>
    <n v="1821.16"/>
    <n v="2252.6800000000003"/>
    <n v="-1821.16"/>
  </r>
  <r>
    <x v="5"/>
    <x v="1"/>
    <x v="0"/>
    <s v="5955200"/>
    <n v="700072"/>
    <s v="Salaries-Other Pat Care Providers-Non-productive"/>
    <s v="Bremerton Endo Shared Services"/>
    <x v="0"/>
    <m/>
    <n v="0"/>
    <n v="0"/>
    <n v="0"/>
    <n v="0"/>
    <n v="0"/>
    <n v="622.32000000000005"/>
    <n v="342.29"/>
    <n v="1238.53"/>
    <n v="22.67"/>
    <n v="381.3"/>
    <n v="247.62"/>
    <n v="1399.45"/>
    <n v="4254.18"/>
    <n v="-1151.83"/>
  </r>
  <r>
    <x v="5"/>
    <x v="1"/>
    <x v="0"/>
    <s v="5955200"/>
    <n v="700078"/>
    <s v="Salaries-Service/Support-Non-productive"/>
    <s v="Bremerton Endo Shared Services"/>
    <x v="0"/>
    <m/>
    <n v="1368.92"/>
    <n v="646.49"/>
    <n v="809.44"/>
    <n v="2296.14"/>
    <n v="4740.5600000000004"/>
    <n v="555.27"/>
    <n v="1096.1199999999999"/>
    <n v="2540.75"/>
    <n v="712.15"/>
    <n v="2185.64"/>
    <n v="1628.85"/>
    <n v="1109.57"/>
    <n v="19689.899999999998"/>
    <n v="519.28"/>
  </r>
  <r>
    <x v="5"/>
    <x v="1"/>
    <x v="0"/>
    <s v="5955200"/>
    <n v="700078"/>
    <s v="Salaries-Service/Support-NonProd-Other"/>
    <s v="Bremerton Endo Shared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55200"/>
    <n v="700084"/>
    <s v="Accrued PTO"/>
    <s v="Bremerton Endo Shared Services"/>
    <x v="0"/>
    <m/>
    <n v="153.46"/>
    <n v="-204.34"/>
    <n v="-507.56"/>
    <n v="373.77"/>
    <n v="171.97"/>
    <n v="-975.31"/>
    <n v="608.15"/>
    <n v="-1180.94"/>
    <n v="637.82000000000005"/>
    <n v="661.73"/>
    <n v="1198.9100000000001"/>
    <n v="-1034.03"/>
    <n v="-96.37"/>
    <n v="2232.94"/>
  </r>
  <r>
    <x v="6"/>
    <x v="1"/>
    <x v="0"/>
    <s v="5955200"/>
    <n v="713010"/>
    <s v="Benefits-FICA/Medicare"/>
    <s v="Bremerton Endo Shared Services"/>
    <x v="0"/>
    <m/>
    <n v="694.55"/>
    <n v="564.52"/>
    <n v="884.46"/>
    <n v="1060.2"/>
    <n v="1090.47"/>
    <n v="1103.48"/>
    <n v="1392.84"/>
    <n v="1271.75"/>
    <n v="1696.59"/>
    <n v="1988.69"/>
    <n v="2034.46"/>
    <n v="1843.03"/>
    <n v="15625.040000000003"/>
    <n v="191.43000000000006"/>
  </r>
  <r>
    <x v="6"/>
    <x v="1"/>
    <x v="0"/>
    <s v="5955200"/>
    <n v="713090"/>
    <s v="Benefits-Allocated Amounts"/>
    <s v="Bremerton Endo Shared Services"/>
    <x v="0"/>
    <m/>
    <n v="2670.29"/>
    <n v="1770.16"/>
    <n v="3155.8"/>
    <n v="3886.01"/>
    <n v="3797.97"/>
    <n v="4391.62"/>
    <n v="5520.64"/>
    <n v="5321.1"/>
    <n v="8693.85"/>
    <n v="7577.68"/>
    <n v="7520.54"/>
    <n v="8454.41"/>
    <n v="62760.069999999992"/>
    <n v="-933.86999999999989"/>
  </r>
  <r>
    <x v="7"/>
    <x v="1"/>
    <x v="0"/>
    <s v="5955200"/>
    <n v="718050"/>
    <s v="Contract Svcs-Other"/>
    <s v="Bremerton Endo Shared Services"/>
    <x v="0"/>
    <m/>
    <n v="167.43"/>
    <n v="85.81"/>
    <n v="172.44"/>
    <n v="45"/>
    <n v="0"/>
    <n v="45"/>
    <n v="290.10000000000002"/>
    <n v="0"/>
    <n v="0"/>
    <n v="0"/>
    <n v="11236.82"/>
    <n v="7613.6"/>
    <n v="19656.2"/>
    <n v="3623.2199999999993"/>
  </r>
  <r>
    <x v="7"/>
    <x v="1"/>
    <x v="0"/>
    <s v="5955200"/>
    <n v="718050"/>
    <s v="Miscellaneous Purchased Svcs"/>
    <s v="Bremerton Endo Shared Services"/>
    <x v="0"/>
    <n v="1020"/>
    <n v="4.7699999999999996"/>
    <n v="201.14"/>
    <n v="325.45999999999998"/>
    <n v="131.46"/>
    <n v="3473.31"/>
    <n v="1253.3800000000001"/>
    <n v="1630"/>
    <n v="815"/>
    <n v="1630"/>
    <n v="815"/>
    <n v="6574.99"/>
    <n v="815"/>
    <n v="17669.510000000002"/>
    <n v="5759.99"/>
  </r>
  <r>
    <x v="7"/>
    <x v="1"/>
    <x v="0"/>
    <s v="5955200"/>
    <n v="718050"/>
    <s v="Contract Management--Linen"/>
    <s v="Bremerton Endo Shared Services"/>
    <x v="0"/>
    <n v="1026"/>
    <n v="40.81"/>
    <n v="163.24"/>
    <n v="81.62"/>
    <n v="122.43"/>
    <n v="163.24"/>
    <n v="40.81"/>
    <n v="82.37"/>
    <n v="82.37"/>
    <n v="414.1"/>
    <n v="83.12"/>
    <n v="83.12"/>
    <n v="207.8"/>
    <n v="1565.03"/>
    <n v="-124.68"/>
  </r>
  <r>
    <x v="11"/>
    <x v="1"/>
    <x v="0"/>
    <s v="5955200"/>
    <n v="721410"/>
    <s v="Supplies-Medical - Nonbillable"/>
    <s v="Bremerton Endo Shared Services"/>
    <x v="0"/>
    <m/>
    <n v="0"/>
    <n v="1582.2"/>
    <n v="0"/>
    <n v="1012.74"/>
    <n v="1582.2"/>
    <n v="4489.04"/>
    <n v="1067.8900000000001"/>
    <n v="277.85000000000002"/>
    <n v="3.05"/>
    <n v="1119.6099999999999"/>
    <n v="253.7"/>
    <n v="3147.64"/>
    <n v="14535.92"/>
    <n v="-2893.94"/>
  </r>
  <r>
    <x v="11"/>
    <x v="1"/>
    <x v="0"/>
    <s v="5955200"/>
    <n v="721710"/>
    <s v="Supplies-Laboratory - Nonbillable"/>
    <s v="Bremerton Endo Shared Services"/>
    <x v="0"/>
    <m/>
    <n v="0"/>
    <n v="0"/>
    <n v="0"/>
    <n v="0"/>
    <n v="0"/>
    <n v="0"/>
    <n v="0"/>
    <n v="0"/>
    <n v="5.8"/>
    <n v="0"/>
    <n v="0"/>
    <n v="0"/>
    <n v="5.8"/>
    <n v="0"/>
  </r>
  <r>
    <x v="11"/>
    <x v="1"/>
    <x v="0"/>
    <s v="5955200"/>
    <n v="721810"/>
    <s v="Supplies-Dietary/Cafeteria"/>
    <s v="Bremerton Endo Shared Services"/>
    <x v="0"/>
    <m/>
    <n v="181.76"/>
    <n v="0"/>
    <n v="525.37"/>
    <n v="432.29"/>
    <n v="326.14999999999998"/>
    <n v="366.36"/>
    <n v="484.61"/>
    <n v="437.61"/>
    <n v="277.22000000000003"/>
    <n v="261.89999999999998"/>
    <n v="139.72999999999999"/>
    <n v="273.92"/>
    <n v="3706.920000000001"/>
    <n v="-134.19000000000003"/>
  </r>
  <r>
    <x v="11"/>
    <x v="1"/>
    <x v="0"/>
    <s v="5955200"/>
    <n v="721830"/>
    <s v="Supplies-Office"/>
    <s v="Bremerton Endo Shared Services"/>
    <x v="0"/>
    <m/>
    <n v="589.66"/>
    <n v="394.21"/>
    <n v="262.54000000000002"/>
    <n v="4843.7299999999996"/>
    <n v="940.45"/>
    <n v="995.61"/>
    <n v="2592.9499999999998"/>
    <n v="612.08000000000004"/>
    <n v="1402.05"/>
    <n v="929.5"/>
    <n v="316.89999999999998"/>
    <n v="157.63999999999999"/>
    <n v="14037.319999999996"/>
    <n v="159.26"/>
  </r>
  <r>
    <x v="11"/>
    <x v="1"/>
    <x v="0"/>
    <s v="5955200"/>
    <n v="721835"/>
    <s v="Supplies-Forms"/>
    <s v="Bremerton Endo Shared Services"/>
    <x v="0"/>
    <m/>
    <n v="103.38"/>
    <n v="269.23"/>
    <n v="304.54000000000002"/>
    <n v="50.76"/>
    <n v="286.20999999999998"/>
    <n v="813"/>
    <n v="0"/>
    <n v="0"/>
    <n v="24.3"/>
    <n v="0"/>
    <n v="0"/>
    <n v="0"/>
    <n v="1851.42"/>
    <n v="0"/>
  </r>
  <r>
    <x v="11"/>
    <x v="1"/>
    <x v="0"/>
    <s v="5955200"/>
    <n v="721870"/>
    <s v="Supplies-Environmental Services"/>
    <s v="Bremerton Endo Shared Services"/>
    <x v="0"/>
    <m/>
    <n v="0"/>
    <n v="0"/>
    <n v="0"/>
    <n v="19.7"/>
    <n v="53.46"/>
    <n v="0"/>
    <n v="45.24"/>
    <n v="0"/>
    <n v="0"/>
    <n v="55.34"/>
    <n v="0"/>
    <n v="0"/>
    <n v="173.74"/>
    <n v="0"/>
  </r>
  <r>
    <x v="11"/>
    <x v="1"/>
    <x v="0"/>
    <s v="5955200"/>
    <n v="721910"/>
    <s v="Supplies-Small Equipment"/>
    <s v="Bremerton Endo Shared Services"/>
    <x v="0"/>
    <m/>
    <n v="0"/>
    <n v="4120.26"/>
    <n v="3623.83"/>
    <n v="6451.15"/>
    <n v="-9.39"/>
    <n v="932.9"/>
    <n v="0"/>
    <n v="217.86"/>
    <n v="-41.56"/>
    <n v="52.76"/>
    <n v="190.07"/>
    <n v="-11.77"/>
    <n v="15526.11"/>
    <n v="201.84"/>
  </r>
  <r>
    <x v="11"/>
    <x v="1"/>
    <x v="0"/>
    <s v="5955200"/>
    <n v="721980"/>
    <s v="Supplies-Other"/>
    <s v="Bremerton Endo Shared Services"/>
    <x v="0"/>
    <m/>
    <n v="0"/>
    <n v="0"/>
    <n v="141.33000000000001"/>
    <n v="1809.31"/>
    <n v="192.41"/>
    <n v="63.27"/>
    <n v="594.79999999999995"/>
    <n v="0"/>
    <n v="136.57"/>
    <n v="328.67"/>
    <n v="170.29"/>
    <n v="31.6"/>
    <n v="3468.25"/>
    <n v="138.69"/>
  </r>
  <r>
    <x v="11"/>
    <x v="1"/>
    <x v="0"/>
    <s v="5955200"/>
    <n v="722000"/>
    <s v="Supplies-Freight Expense"/>
    <s v="Bremerton Endo Shared Services"/>
    <x v="0"/>
    <m/>
    <n v="0"/>
    <n v="0"/>
    <n v="25.19"/>
    <n v="16.350000000000001"/>
    <n v="43.69"/>
    <n v="11.56"/>
    <n v="32.74"/>
    <n v="0"/>
    <n v="13.83"/>
    <n v="0"/>
    <n v="0"/>
    <n v="52.06"/>
    <n v="195.42000000000002"/>
    <n v="-52.06"/>
  </r>
  <r>
    <x v="12"/>
    <x v="1"/>
    <x v="0"/>
    <s v="5955200"/>
    <n v="730010"/>
    <s v="Rental and Leases-Building (DO NOT USE)"/>
    <s v="Bremerton Endo Shared Services"/>
    <x v="0"/>
    <m/>
    <n v="14248.8"/>
    <n v="14248.8"/>
    <n v="14248.8"/>
    <n v="14248.8"/>
    <n v="14248.8"/>
    <n v="7536"/>
    <n v="13130"/>
    <n v="13130"/>
    <n v="13130"/>
    <n v="13130"/>
    <n v="13130"/>
    <n v="0"/>
    <n v="144430"/>
    <n v="13130"/>
  </r>
  <r>
    <x v="12"/>
    <x v="1"/>
    <x v="0"/>
    <s v="5955200"/>
    <n v="730010"/>
    <s v="Rental-Common Area Maint (DO NOT USE)"/>
    <s v="Bremerton Endo Shared Services"/>
    <x v="0"/>
    <n v="2200"/>
    <n v="0"/>
    <n v="0"/>
    <n v="0"/>
    <n v="0"/>
    <n v="0"/>
    <n v="6712.8"/>
    <n v="1118.8"/>
    <n v="1118.8"/>
    <n v="0"/>
    <n v="0"/>
    <n v="-22376"/>
    <n v="0"/>
    <n v="-13425.6"/>
    <n v="-22376"/>
  </r>
  <r>
    <x v="12"/>
    <x v="1"/>
    <x v="0"/>
    <s v="5955200"/>
    <n v="730020"/>
    <s v="Rental and Leases-Equipment (DO NOT USE)"/>
    <s v="Bremerton Endo Shared Services"/>
    <x v="0"/>
    <m/>
    <n v="0"/>
    <n v="0"/>
    <n v="0"/>
    <n v="168.68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1"/>
    <x v="0"/>
    <s v="5955200"/>
    <n v="730020"/>
    <s v="Rental and Leases-Copier Usage Fees (DO NOT USE)"/>
    <s v="Bremerton Endo Shared Services"/>
    <x v="0"/>
    <n v="5100"/>
    <n v="568.57000000000005"/>
    <n v="622.85"/>
    <n v="595.71"/>
    <n v="4146.76"/>
    <n v="540.72"/>
    <n v="2426.2199999999998"/>
    <n v="-4693.29"/>
    <n v="719.37"/>
    <n v="717.86"/>
    <n v="2198.89"/>
    <n v="793.17"/>
    <n v="827.37"/>
    <n v="9464.2000000000007"/>
    <n v="-34.200000000000045"/>
  </r>
  <r>
    <x v="12"/>
    <x v="1"/>
    <x v="0"/>
    <s v="5955200"/>
    <n v="730040"/>
    <s v="LT Lease-Real Estate"/>
    <s v="Bremerton Endo Shared Services"/>
    <x v="0"/>
    <m/>
    <n v="0"/>
    <n v="0"/>
    <n v="0"/>
    <n v="0"/>
    <n v="0"/>
    <n v="0"/>
    <n v="0"/>
    <n v="0"/>
    <n v="0"/>
    <n v="0"/>
    <n v="0"/>
    <n v="13130"/>
    <n v="13130"/>
    <n v="-13130"/>
  </r>
  <r>
    <x v="15"/>
    <x v="1"/>
    <x v="0"/>
    <s v="5955200"/>
    <n v="731050"/>
    <s v="Refuse Disposal"/>
    <s v="Bremerton Endo Shared Services"/>
    <x v="0"/>
    <m/>
    <n v="149.47"/>
    <n v="0"/>
    <n v="31.67"/>
    <n v="170.89"/>
    <n v="31.67"/>
    <n v="0"/>
    <n v="164.64"/>
    <n v="0"/>
    <n v="0"/>
    <n v="0"/>
    <n v="0"/>
    <n v="0"/>
    <n v="548.33999999999992"/>
    <n v="0"/>
  </r>
  <r>
    <x v="15"/>
    <x v="1"/>
    <x v="0"/>
    <s v="5955200"/>
    <n v="731060"/>
    <s v="Pagers"/>
    <s v="Bremerton Endo Shared Services"/>
    <x v="0"/>
    <n v="1002"/>
    <n v="16.2"/>
    <n v="16.2"/>
    <n v="16.2"/>
    <n v="16.239999999999998"/>
    <n v="0"/>
    <n v="16.239999999999998"/>
    <n v="32.479999999999997"/>
    <n v="16.239999999999998"/>
    <n v="18.5"/>
    <n v="18.79"/>
    <n v="45.01"/>
    <n v="17.45"/>
    <n v="229.54999999999995"/>
    <n v="27.56"/>
  </r>
  <r>
    <x v="16"/>
    <x v="1"/>
    <x v="0"/>
    <s v="5955200"/>
    <n v="732030"/>
    <s v="Repairs---Other"/>
    <s v="Bremerton Endo Shared Services"/>
    <x v="0"/>
    <m/>
    <n v="0"/>
    <n v="0"/>
    <n v="0"/>
    <n v="0"/>
    <n v="66.760000000000005"/>
    <n v="1078.01"/>
    <n v="0"/>
    <n v="0"/>
    <n v="1903.22"/>
    <n v="540.32000000000005"/>
    <n v="558.13"/>
    <n v="8.17"/>
    <n v="4154.6099999999997"/>
    <n v="549.96"/>
  </r>
  <r>
    <x v="0"/>
    <x v="1"/>
    <x v="0"/>
    <s v="5955200"/>
    <n v="740020"/>
    <s v="Education-Registration Fees"/>
    <s v="Bremerton Endo Shared Services"/>
    <x v="0"/>
    <m/>
    <n v="0"/>
    <n v="0"/>
    <n v="0"/>
    <n v="0"/>
    <n v="0"/>
    <n v="0"/>
    <n v="0"/>
    <n v="0"/>
    <n v="0"/>
    <n v="350"/>
    <n v="350"/>
    <n v="0"/>
    <n v="700"/>
    <n v="350"/>
  </r>
  <r>
    <x v="0"/>
    <x v="1"/>
    <x v="0"/>
    <s v="5955200"/>
    <n v="743020"/>
    <s v="Dues--Individual"/>
    <s v="Bremerton Endo Shared Services"/>
    <x v="0"/>
    <m/>
    <n v="0"/>
    <n v="0"/>
    <n v="0"/>
    <n v="165"/>
    <n v="0"/>
    <n v="0"/>
    <n v="0"/>
    <n v="0"/>
    <n v="0"/>
    <n v="0"/>
    <n v="0"/>
    <n v="0"/>
    <n v="165"/>
    <n v="0"/>
  </r>
  <r>
    <x v="0"/>
    <x v="1"/>
    <x v="0"/>
    <s v="5955200"/>
    <n v="743030"/>
    <s v="Subscriptions--Institutional"/>
    <s v="Bremerton Endo Shared Services"/>
    <x v="0"/>
    <m/>
    <n v="0"/>
    <n v="0"/>
    <n v="0"/>
    <n v="0"/>
    <n v="0"/>
    <n v="57.12"/>
    <n v="0"/>
    <n v="0"/>
    <n v="0"/>
    <n v="0"/>
    <n v="0"/>
    <n v="0"/>
    <n v="57.12"/>
    <n v="0"/>
  </r>
  <r>
    <x v="0"/>
    <x v="1"/>
    <x v="0"/>
    <s v="5955200"/>
    <n v="749510"/>
    <s v="Miscellaneous Expenses"/>
    <s v="Bremerton Endo Shared Services"/>
    <x v="0"/>
    <m/>
    <n v="0"/>
    <n v="168.42"/>
    <n v="-168.42"/>
    <n v="0"/>
    <n v="57.12"/>
    <n v="-57.12"/>
    <n v="50.25"/>
    <n v="0"/>
    <n v="547.51"/>
    <n v="1151.5"/>
    <n v="-281.05"/>
    <n v="-65.400000000000006"/>
    <n v="1402.81"/>
    <n v="-215.65"/>
  </r>
  <r>
    <x v="0"/>
    <x v="1"/>
    <x v="0"/>
    <s v="5955200"/>
    <n v="749510"/>
    <s v="Licenses"/>
    <s v="Bremerton Endo Shared Services"/>
    <x v="0"/>
    <n v="1002"/>
    <n v="0"/>
    <n v="0"/>
    <n v="0"/>
    <n v="60"/>
    <n v="0"/>
    <n v="61"/>
    <n v="0"/>
    <n v="0"/>
    <n v="0"/>
    <n v="0"/>
    <n v="0"/>
    <n v="0"/>
    <n v="121"/>
    <n v="0"/>
  </r>
  <r>
    <x v="0"/>
    <x v="1"/>
    <x v="0"/>
    <s v="5955200"/>
    <n v="749530"/>
    <s v="Travel"/>
    <s v="Bremerton Endo Shared Services"/>
    <x v="0"/>
    <m/>
    <n v="0"/>
    <n v="0"/>
    <n v="36"/>
    <n v="0"/>
    <n v="0"/>
    <n v="0"/>
    <n v="0"/>
    <n v="0"/>
    <n v="0"/>
    <n v="0"/>
    <n v="0"/>
    <n v="556.79999999999995"/>
    <n v="592.79999999999995"/>
    <n v="-556.79999999999995"/>
  </r>
  <r>
    <x v="0"/>
    <x v="1"/>
    <x v="0"/>
    <s v="5955200"/>
    <n v="749530"/>
    <s v="Mileage"/>
    <s v="Bremerton Endo Shared Services"/>
    <x v="0"/>
    <n v="1001"/>
    <n v="0"/>
    <n v="0"/>
    <n v="307.38"/>
    <n v="0"/>
    <n v="0"/>
    <n v="0"/>
    <n v="0"/>
    <n v="0"/>
    <n v="0"/>
    <n v="35.96"/>
    <n v="71.92"/>
    <n v="71.92"/>
    <n v="487.18"/>
    <n v="0"/>
  </r>
  <r>
    <x v="0"/>
    <x v="1"/>
    <x v="0"/>
    <s v="5955200"/>
    <n v="749535"/>
    <s v="Meetings"/>
    <s v="Bremerton Endo Shared Services"/>
    <x v="0"/>
    <m/>
    <n v="0"/>
    <n v="0"/>
    <n v="0"/>
    <n v="0"/>
    <n v="0"/>
    <n v="0"/>
    <n v="0"/>
    <n v="0"/>
    <n v="0"/>
    <n v="0"/>
    <n v="109.11"/>
    <n v="0"/>
    <n v="109.11"/>
    <n v="109.11"/>
  </r>
  <r>
    <x v="5"/>
    <x v="1"/>
    <x v="0"/>
    <s v="5961200"/>
    <n v="700014"/>
    <s v="Salaries-Management-Productive"/>
    <s v="FMC-Burien FM Shared Svc"/>
    <x v="0"/>
    <m/>
    <n v="6553.68"/>
    <n v="6869.52"/>
    <n v="5922"/>
    <n v="5812.99"/>
    <n v="7104.77"/>
    <n v="6055.03"/>
    <n v="5256.29"/>
    <n v="5854.72"/>
    <n v="3929.92"/>
    <n v="7703.16"/>
    <n v="7087.32"/>
    <n v="5854.74"/>
    <n v="74004.14"/>
    <n v="1232.58"/>
  </r>
  <r>
    <x v="5"/>
    <x v="1"/>
    <x v="0"/>
    <s v="5961200"/>
    <n v="700014"/>
    <s v="Salaries-Management-Other"/>
    <s v="FMC-Burien FM Shared Svc"/>
    <x v="0"/>
    <n v="2000"/>
    <n v="0"/>
    <n v="0"/>
    <n v="0"/>
    <n v="0"/>
    <n v="0"/>
    <n v="0"/>
    <n v="0"/>
    <n v="30.04"/>
    <n v="0"/>
    <n v="0"/>
    <n v="0"/>
    <n v="0"/>
    <n v="30.04"/>
    <n v="0"/>
  </r>
  <r>
    <x v="5"/>
    <x v="1"/>
    <x v="0"/>
    <s v="5961200"/>
    <n v="700018"/>
    <s v="Salaries-Supervisory-Productive"/>
    <s v="FMC-Burien FM Shared Svc"/>
    <x v="0"/>
    <m/>
    <n v="0"/>
    <n v="0"/>
    <n v="0"/>
    <n v="3562.56"/>
    <n v="4354.24"/>
    <n v="3691.2"/>
    <n v="4380.71"/>
    <n v="3964.2"/>
    <n v="4162.41"/>
    <n v="3686.7"/>
    <n v="4439.91"/>
    <n v="3964.2"/>
    <n v="36206.129999999997"/>
    <n v="475.71000000000004"/>
  </r>
  <r>
    <x v="5"/>
    <x v="1"/>
    <x v="0"/>
    <s v="5961200"/>
    <n v="700032"/>
    <s v="Salaries-Other Pat Care Providers-Productive"/>
    <s v="FMC-Burien FM Shared Svc"/>
    <x v="0"/>
    <m/>
    <n v="9443.02"/>
    <n v="6526.88"/>
    <n v="3544.82"/>
    <n v="3682.79"/>
    <n v="3273.3"/>
    <n v="2124.9499999999998"/>
    <n v="3243.87"/>
    <n v="2917.36"/>
    <n v="3343.96"/>
    <n v="2914.4"/>
    <n v="3735.19"/>
    <n v="2973.37"/>
    <n v="47723.91"/>
    <n v="761.82000000000016"/>
  </r>
  <r>
    <x v="5"/>
    <x v="1"/>
    <x v="0"/>
    <s v="5961200"/>
    <n v="700032"/>
    <s v="Salaries-Other Pat Care Providers-OT"/>
    <s v="FMC-Burien FM Shared Svc"/>
    <x v="0"/>
    <n v="1000"/>
    <n v="375.9"/>
    <n v="288.58999999999997"/>
    <n v="3.44"/>
    <n v="63.79"/>
    <n v="5.9"/>
    <n v="0"/>
    <n v="125.32"/>
    <n v="32.43"/>
    <n v="126.1"/>
    <n v="50.87"/>
    <n v="92.9"/>
    <n v="81.09"/>
    <n v="1246.33"/>
    <n v="11.810000000000002"/>
  </r>
  <r>
    <x v="5"/>
    <x v="1"/>
    <x v="0"/>
    <s v="5961200"/>
    <n v="700038"/>
    <s v="Salaries-Service/Support-Productive"/>
    <s v="FMC-Burien FM Shared Svc"/>
    <x v="0"/>
    <m/>
    <n v="43091.38"/>
    <n v="71241.14"/>
    <n v="54997.87"/>
    <n v="53979.7"/>
    <n v="41166.35"/>
    <n v="29968.35"/>
    <n v="51710.3"/>
    <n v="36657.980000000003"/>
    <n v="40526.89"/>
    <n v="50778.09"/>
    <n v="52264.66"/>
    <n v="40925.89"/>
    <n v="567308.6"/>
    <n v="11338.770000000004"/>
  </r>
  <r>
    <x v="5"/>
    <x v="1"/>
    <x v="0"/>
    <s v="5961200"/>
    <n v="700038"/>
    <s v="Salaries-Service/Support-OT"/>
    <s v="FMC-Burien FM Shared Svc"/>
    <x v="0"/>
    <n v="1000"/>
    <n v="1303.1400000000001"/>
    <n v="2776.3"/>
    <n v="1987.15"/>
    <n v="3730.92"/>
    <n v="3119.04"/>
    <n v="3025.7"/>
    <n v="1796.35"/>
    <n v="530.88"/>
    <n v="2280.15"/>
    <n v="2147.96"/>
    <n v="254.75"/>
    <n v="1098.79"/>
    <n v="24051.13"/>
    <n v="-844.04"/>
  </r>
  <r>
    <x v="5"/>
    <x v="1"/>
    <x v="0"/>
    <s v="5961200"/>
    <n v="700038"/>
    <s v="Salaries-Service/Support-Other"/>
    <s v="FMC-Burien FM Shared Svc"/>
    <x v="0"/>
    <n v="2000"/>
    <n v="8.75"/>
    <n v="350.78"/>
    <n v="1306.02"/>
    <n v="421.51"/>
    <n v="268.95"/>
    <n v="287.32"/>
    <n v="553.78"/>
    <n v="225.68"/>
    <n v="294.44"/>
    <n v="308.88"/>
    <n v="311.48"/>
    <n v="493.47"/>
    <n v="4831.0600000000004"/>
    <n v="-181.99"/>
  </r>
  <r>
    <x v="5"/>
    <x v="1"/>
    <x v="0"/>
    <s v="5961200"/>
    <n v="700054"/>
    <s v="Salaries-Management-Non-productive"/>
    <s v="FMC-Burien FM Shared Svc"/>
    <x v="0"/>
    <m/>
    <n v="394.8"/>
    <n v="394.8"/>
    <n v="394.8"/>
    <n v="2368.8000000000002"/>
    <n v="403.68"/>
    <n v="865"/>
    <n v="-57.64"/>
    <n v="3129.41"/>
    <n v="1837.31"/>
    <n v="-924"/>
    <n v="0"/>
    <n v="308.14"/>
    <n v="9115.0999999999985"/>
    <n v="-308.14"/>
  </r>
  <r>
    <x v="5"/>
    <x v="1"/>
    <x v="0"/>
    <s v="5961200"/>
    <n v="700054"/>
    <s v="Salaries-Management-NonProd-Other"/>
    <s v="FMC-Burien FM Shared Svc"/>
    <x v="0"/>
    <n v="2000"/>
    <n v="0"/>
    <n v="0"/>
    <n v="0"/>
    <n v="0"/>
    <n v="0"/>
    <n v="2950.45"/>
    <n v="-2950.45"/>
    <n v="0"/>
    <n v="0"/>
    <n v="0"/>
    <n v="0"/>
    <n v="0"/>
    <n v="0"/>
    <n v="0"/>
  </r>
  <r>
    <x v="5"/>
    <x v="1"/>
    <x v="0"/>
    <s v="5961200"/>
    <n v="700058"/>
    <s v="Salaries-Supervisory-Non-productive"/>
    <s v="FMC-Burien FM Shared Svc"/>
    <x v="0"/>
    <m/>
    <n v="0"/>
    <n v="0"/>
    <n v="0"/>
    <n v="0"/>
    <n v="0"/>
    <n v="465.11"/>
    <n v="178.42"/>
    <n v="0"/>
    <n v="0"/>
    <n v="673.9"/>
    <n v="118.94"/>
    <n v="0"/>
    <n v="1436.37"/>
    <n v="118.94"/>
  </r>
  <r>
    <x v="5"/>
    <x v="1"/>
    <x v="0"/>
    <s v="5961200"/>
    <n v="700072"/>
    <s v="Salaries-Other Pat Care Providers-Non-productive"/>
    <s v="FMC-Burien FM Shared Svc"/>
    <x v="0"/>
    <m/>
    <n v="382.6"/>
    <n v="846.51"/>
    <n v="196.08"/>
    <n v="-95.65"/>
    <n v="206.12"/>
    <n v="1407.95"/>
    <n v="584.45000000000005"/>
    <n v="235.92"/>
    <n v="-43.24"/>
    <n v="530.79999999999995"/>
    <n v="-98.29"/>
    <n v="221.18"/>
    <n v="4374.43"/>
    <n v="-319.47000000000003"/>
  </r>
  <r>
    <x v="5"/>
    <x v="1"/>
    <x v="0"/>
    <s v="5961200"/>
    <n v="700072"/>
    <s v="Salaries-Other Pat Care Providers-NonProd-Other"/>
    <s v="FMC-Burien FM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61200"/>
    <n v="700078"/>
    <s v="Salaries-Service/Support-Non-productive"/>
    <s v="FMC-Burien FM Shared Svc"/>
    <x v="0"/>
    <m/>
    <n v="12307.5"/>
    <n v="14145.2"/>
    <n v="7972.34"/>
    <n v="14083.6"/>
    <n v="7849.01"/>
    <n v="17010.759999999998"/>
    <n v="6518.94"/>
    <n v="7774.98"/>
    <n v="5410.37"/>
    <n v="3844.14"/>
    <n v="5961.59"/>
    <n v="7497.72"/>
    <n v="110376.15"/>
    <n v="-1536.13"/>
  </r>
  <r>
    <x v="5"/>
    <x v="1"/>
    <x v="0"/>
    <s v="5961200"/>
    <n v="700078"/>
    <s v="Salaries-Service/Support-NonProd-Other"/>
    <s v="FMC-Burien FM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61200"/>
    <n v="700084"/>
    <s v="Accrued PTO"/>
    <s v="FMC-Burien FM Shared Svc"/>
    <x v="0"/>
    <m/>
    <n v="-2813.35"/>
    <n v="-1760.55"/>
    <n v="-818.18"/>
    <n v="-1189.8599999999999"/>
    <n v="1909.11"/>
    <n v="-9759.91"/>
    <n v="13143.75"/>
    <n v="534.69000000000005"/>
    <n v="4083.98"/>
    <n v="3460.76"/>
    <n v="2253.5300000000002"/>
    <n v="1683.09"/>
    <n v="10727.060000000001"/>
    <n v="570.44000000000028"/>
  </r>
  <r>
    <x v="6"/>
    <x v="1"/>
    <x v="0"/>
    <s v="5961200"/>
    <n v="713010"/>
    <s v="Benefits-FICA/Medicare"/>
    <s v="FMC-Burien FM Shared Svc"/>
    <x v="0"/>
    <m/>
    <n v="6019.45"/>
    <n v="8254.2900000000009"/>
    <n v="6190.47"/>
    <n v="7523.2"/>
    <n v="5624.39"/>
    <n v="5553.45"/>
    <n v="6286.08"/>
    <n v="5047.43"/>
    <n v="5094.03"/>
    <n v="5636.71"/>
    <n v="6022.15"/>
    <n v="5202.6899999999996"/>
    <n v="72454.34"/>
    <n v="819.46"/>
  </r>
  <r>
    <x v="6"/>
    <x v="1"/>
    <x v="0"/>
    <s v="5961200"/>
    <n v="713090"/>
    <s v="Benefits-Allocated Amounts"/>
    <s v="FMC-Burien FM Shared Svc"/>
    <x v="0"/>
    <m/>
    <n v="21208.75"/>
    <n v="26118.01"/>
    <n v="23454.33"/>
    <n v="23214.35"/>
    <n v="19757.41"/>
    <n v="17818.52"/>
    <n v="23610.39"/>
    <n v="20866.61"/>
    <n v="19169.810000000001"/>
    <n v="21275.55"/>
    <n v="21183.69"/>
    <n v="21494.41"/>
    <n v="259171.83"/>
    <n v="-310.72000000000116"/>
  </r>
  <r>
    <x v="6"/>
    <x v="1"/>
    <x v="0"/>
    <s v="5961200"/>
    <n v="713096"/>
    <s v="Employee Recognition"/>
    <s v="FMC-Burien FM Shared Svc"/>
    <x v="0"/>
    <n v="1017"/>
    <n v="0"/>
    <n v="0"/>
    <n v="145.24"/>
    <n v="0"/>
    <n v="0"/>
    <n v="29.87"/>
    <n v="0"/>
    <n v="0"/>
    <n v="0"/>
    <n v="20.66"/>
    <n v="0"/>
    <n v="0"/>
    <n v="195.77"/>
    <n v="0"/>
  </r>
  <r>
    <x v="7"/>
    <x v="1"/>
    <x v="0"/>
    <s v="5961200"/>
    <n v="718010"/>
    <s v="Contract Services-Advertising &amp; Public Relations"/>
    <s v="FMC-Burien FM Shared Svc"/>
    <x v="0"/>
    <m/>
    <n v="0"/>
    <n v="0"/>
    <n v="0"/>
    <n v="0"/>
    <n v="506.5"/>
    <n v="0"/>
    <n v="0"/>
    <n v="0"/>
    <n v="0"/>
    <n v="0"/>
    <n v="0"/>
    <n v="0"/>
    <n v="506.5"/>
    <n v="0"/>
  </r>
  <r>
    <x v="7"/>
    <x v="1"/>
    <x v="0"/>
    <s v="5961200"/>
    <n v="718010"/>
    <s v="Media/Print Advertising"/>
    <s v="FMC-Burien FM Shared Svc"/>
    <x v="0"/>
    <n v="1004"/>
    <n v="0"/>
    <n v="441.45"/>
    <n v="568.85"/>
    <n v="0"/>
    <n v="1955.25"/>
    <n v="0"/>
    <n v="0"/>
    <n v="0"/>
    <n v="0"/>
    <n v="0"/>
    <n v="0"/>
    <n v="-15.48"/>
    <n v="2950.07"/>
    <n v="15.48"/>
  </r>
  <r>
    <x v="7"/>
    <x v="1"/>
    <x v="0"/>
    <s v="5961200"/>
    <n v="718050"/>
    <s v="Contract Svcs-Other"/>
    <s v="FMC-Burien FM Shared Svc"/>
    <x v="0"/>
    <m/>
    <n v="335.81"/>
    <n v="3297.22"/>
    <n v="45.09"/>
    <n v="45.09"/>
    <n v="449.89"/>
    <n v="284.29000000000002"/>
    <n v="280.61"/>
    <n v="169.38"/>
    <n v="90.18"/>
    <n v="621.91999999999996"/>
    <n v="0"/>
    <n v="45.09"/>
    <n v="5664.5700000000006"/>
    <n v="-45.09"/>
  </r>
  <r>
    <x v="7"/>
    <x v="1"/>
    <x v="0"/>
    <s v="5961200"/>
    <n v="718050"/>
    <s v="Document Shredding/Storage"/>
    <s v="FMC-Burien FM Shared Svc"/>
    <x v="0"/>
    <n v="1012"/>
    <n v="370.72"/>
    <n v="506.7"/>
    <n v="429.39"/>
    <n v="438.66"/>
    <n v="214.46"/>
    <n v="296.91000000000003"/>
    <n v="293.94"/>
    <n v="-169.18"/>
    <n v="126.89"/>
    <n v="601.20000000000005"/>
    <n v="286.55"/>
    <n v="277.37"/>
    <n v="3673.6100000000006"/>
    <n v="9.1800000000000068"/>
  </r>
  <r>
    <x v="7"/>
    <x v="1"/>
    <x v="0"/>
    <s v="5961200"/>
    <n v="718050"/>
    <s v="Miscellaneous Purchased Svcs"/>
    <s v="FMC-Burien FM Shared Svc"/>
    <x v="0"/>
    <n v="1020"/>
    <n v="0"/>
    <n v="137.30000000000001"/>
    <n v="265.8"/>
    <n v="131.78"/>
    <n v="0"/>
    <n v="68.13"/>
    <n v="-194.44"/>
    <n v="0"/>
    <n v="0"/>
    <n v="0"/>
    <n v="3480"/>
    <n v="7115.83"/>
    <n v="11004.4"/>
    <n v="-3635.83"/>
  </r>
  <r>
    <x v="7"/>
    <x v="1"/>
    <x v="0"/>
    <s v="5961200"/>
    <n v="718050"/>
    <s v="Translation Services"/>
    <s v="FMC-Burien FM Shared Svc"/>
    <x v="0"/>
    <n v="1025"/>
    <n v="251"/>
    <n v="129.81"/>
    <n v="0"/>
    <n v="556"/>
    <n v="94"/>
    <n v="0"/>
    <n v="0"/>
    <n v="390"/>
    <n v="557"/>
    <n v="77"/>
    <n v="295.5"/>
    <n v="0"/>
    <n v="2350.31"/>
    <n v="295.5"/>
  </r>
  <r>
    <x v="7"/>
    <x v="1"/>
    <x v="0"/>
    <s v="5961200"/>
    <n v="718050"/>
    <s v="Contract Management--Linen"/>
    <s v="FMC-Burien FM Shared Svc"/>
    <x v="0"/>
    <n v="1026"/>
    <n v="929.38"/>
    <n v="2095.31"/>
    <n v="2505.46"/>
    <n v="0"/>
    <n v="3586.02"/>
    <n v="2780.63"/>
    <n v="711.09"/>
    <n v="234.28"/>
    <n v="778.9"/>
    <n v="0"/>
    <n v="0"/>
    <n v="0"/>
    <n v="13621.07"/>
    <n v="0"/>
  </r>
  <r>
    <x v="7"/>
    <x v="1"/>
    <x v="0"/>
    <s v="5961200"/>
    <n v="718050"/>
    <s v="Purchased Srvcs--Medical Waste"/>
    <s v="FMC-Burien FM Shared Svc"/>
    <x v="0"/>
    <n v="1027"/>
    <n v="0"/>
    <n v="0"/>
    <n v="0"/>
    <n v="0"/>
    <n v="1445.93"/>
    <n v="0"/>
    <n v="0"/>
    <n v="0"/>
    <n v="0"/>
    <n v="0"/>
    <n v="0"/>
    <n v="0"/>
    <n v="1445.93"/>
    <n v="0"/>
  </r>
  <r>
    <x v="7"/>
    <x v="1"/>
    <x v="0"/>
    <s v="5961200"/>
    <n v="718070"/>
    <s v="Contract Srvcs-CHI Clinical Engineering"/>
    <s v="FMC-Burien FM Shared Svc"/>
    <x v="0"/>
    <m/>
    <n v="0"/>
    <n v="2333.23"/>
    <n v="1754.06"/>
    <n v="1936.65"/>
    <n v="8327.92"/>
    <n v="6688.67"/>
    <n v="2456.1799999999998"/>
    <n v="2297.38"/>
    <n v="1723.39"/>
    <n v="678.2"/>
    <n v="4073.8"/>
    <n v="2464.04"/>
    <n v="34733.519999999997"/>
    <n v="1609.7600000000002"/>
  </r>
  <r>
    <x v="7"/>
    <x v="1"/>
    <x v="0"/>
    <s v="5961200"/>
    <n v="718077"/>
    <s v="PACS"/>
    <s v="FMC-Burien FM Shared Svc"/>
    <x v="0"/>
    <n v="1000"/>
    <n v="4108.5"/>
    <n v="4657.5"/>
    <n v="4254.75"/>
    <n v="5249.25"/>
    <n v="4191.75"/>
    <n v="4079.25"/>
    <n v="4482"/>
    <n v="3181.5"/>
    <n v="4315.5"/>
    <n v="4812.75"/>
    <n v="4563"/>
    <n v="4333.5"/>
    <n v="52229.25"/>
    <n v="229.5"/>
  </r>
  <r>
    <x v="11"/>
    <x v="1"/>
    <x v="0"/>
    <s v="5961200"/>
    <n v="721010"/>
    <s v="Supplies-Medical - Billable"/>
    <s v="FMC-Burien FM Shared Svc"/>
    <x v="0"/>
    <m/>
    <n v="0"/>
    <n v="0"/>
    <n v="0"/>
    <n v="0"/>
    <n v="0"/>
    <n v="0"/>
    <n v="132.86000000000001"/>
    <n v="46.96"/>
    <n v="2624.65"/>
    <n v="-52"/>
    <n v="0"/>
    <n v="0"/>
    <n v="2752.4700000000003"/>
    <n v="0"/>
  </r>
  <r>
    <x v="11"/>
    <x v="1"/>
    <x v="0"/>
    <s v="5961200"/>
    <n v="721250"/>
    <s v="Supplies-Pharmacy Drugs - Billable"/>
    <s v="FMC-Burien FM Shared Svc"/>
    <x v="0"/>
    <m/>
    <n v="0"/>
    <n v="1969.75"/>
    <n v="0"/>
    <n v="15960.63"/>
    <n v="15510.85"/>
    <n v="20724.86"/>
    <n v="5343.49"/>
    <n v="17.059999999999999"/>
    <n v="472.44"/>
    <n v="123.44"/>
    <n v="-8543.5499999999993"/>
    <n v="0"/>
    <n v="51578.97"/>
    <n v="-8543.5499999999993"/>
  </r>
  <r>
    <x v="11"/>
    <x v="1"/>
    <x v="0"/>
    <s v="5961200"/>
    <n v="721410"/>
    <s v="Supplies-Medical - Nonbillable"/>
    <s v="FMC-Burien FM Shared Svc"/>
    <x v="0"/>
    <m/>
    <n v="35.93"/>
    <n v="39.75"/>
    <n v="132.35"/>
    <n v="-6.77"/>
    <n v="228.78"/>
    <n v="-228.78"/>
    <n v="0"/>
    <n v="0"/>
    <n v="0"/>
    <n v="0"/>
    <n v="0"/>
    <n v="0"/>
    <n v="201.25999999999996"/>
    <n v="0"/>
  </r>
  <r>
    <x v="11"/>
    <x v="1"/>
    <x v="0"/>
    <s v="5961200"/>
    <n v="721810"/>
    <s v="Supplies-Dietary/Cafeteria"/>
    <s v="FMC-Burien FM Shared Svc"/>
    <x v="0"/>
    <m/>
    <n v="0"/>
    <n v="181.5"/>
    <n v="213"/>
    <n v="258"/>
    <n v="774"/>
    <n v="197.7"/>
    <n v="261.20999999999998"/>
    <n v="227.85"/>
    <n v="775.5"/>
    <n v="0"/>
    <n v="0"/>
    <n v="452.85"/>
    <n v="3341.61"/>
    <n v="-452.85"/>
  </r>
  <r>
    <x v="11"/>
    <x v="1"/>
    <x v="0"/>
    <s v="5961200"/>
    <n v="721830"/>
    <s v="Supplies-Office"/>
    <s v="FMC-Burien FM Shared Svc"/>
    <x v="0"/>
    <m/>
    <n v="557.07000000000005"/>
    <n v="1194.74"/>
    <n v="1390.38"/>
    <n v="1443.14"/>
    <n v="266.76"/>
    <n v="1581.87"/>
    <n v="1080.32"/>
    <n v="783.71"/>
    <n v="764.41"/>
    <n v="1112.71"/>
    <n v="736.51"/>
    <n v="452.07"/>
    <n v="11363.69"/>
    <n v="284.44"/>
  </r>
  <r>
    <x v="11"/>
    <x v="1"/>
    <x v="0"/>
    <s v="5961200"/>
    <n v="721835"/>
    <s v="Supplies-Forms"/>
    <s v="FMC-Burien FM Shared Svc"/>
    <x v="0"/>
    <m/>
    <n v="0"/>
    <n v="0"/>
    <n v="0"/>
    <n v="0"/>
    <n v="285.75"/>
    <n v="0"/>
    <n v="0"/>
    <n v="0"/>
    <n v="34.58"/>
    <n v="100.29"/>
    <n v="0"/>
    <n v="0"/>
    <n v="420.62"/>
    <n v="0"/>
  </r>
  <r>
    <x v="11"/>
    <x v="1"/>
    <x v="0"/>
    <s v="5961200"/>
    <n v="721870"/>
    <s v="Supplies-Environmental Services"/>
    <s v="FMC-Burien FM Shared Svc"/>
    <x v="0"/>
    <m/>
    <n v="0"/>
    <n v="0"/>
    <n v="0"/>
    <n v="0"/>
    <n v="0"/>
    <n v="68.13"/>
    <n v="0"/>
    <n v="0"/>
    <n v="0"/>
    <n v="0"/>
    <n v="0"/>
    <n v="0"/>
    <n v="68.13"/>
    <n v="0"/>
  </r>
  <r>
    <x v="11"/>
    <x v="1"/>
    <x v="0"/>
    <s v="5961200"/>
    <n v="721910"/>
    <s v="Supplies-Small Equipment"/>
    <s v="FMC-Burien FM Shared Svc"/>
    <x v="0"/>
    <m/>
    <n v="0"/>
    <n v="2566.17"/>
    <n v="0"/>
    <n v="0"/>
    <n v="0"/>
    <n v="0"/>
    <n v="0"/>
    <n v="0"/>
    <n v="0"/>
    <n v="0"/>
    <n v="0"/>
    <n v="16.62"/>
    <n v="2582.79"/>
    <n v="-16.62"/>
  </r>
  <r>
    <x v="11"/>
    <x v="1"/>
    <x v="0"/>
    <s v="5961200"/>
    <n v="722000"/>
    <s v="Supplies-Freight Expense"/>
    <s v="FMC-Burien FM Shared Svc"/>
    <x v="0"/>
    <m/>
    <n v="0"/>
    <n v="0"/>
    <n v="0"/>
    <n v="30.16"/>
    <n v="0"/>
    <n v="0"/>
    <n v="0"/>
    <n v="0"/>
    <n v="0"/>
    <n v="52"/>
    <n v="0"/>
    <n v="0"/>
    <n v="82.16"/>
    <n v="0"/>
  </r>
  <r>
    <x v="12"/>
    <x v="1"/>
    <x v="0"/>
    <s v="5961200"/>
    <n v="730010"/>
    <s v="Rental and Leases-Building (DO NOT USE)"/>
    <s v="FMC-Burien FM Shared Svc"/>
    <x v="0"/>
    <m/>
    <n v="45883.040000000001"/>
    <n v="92537"/>
    <n v="69210.02"/>
    <n v="69210.02"/>
    <n v="73131.38"/>
    <n v="55267.42"/>
    <n v="55267.42"/>
    <n v="55267.42"/>
    <n v="55267.42"/>
    <n v="-18366.990000000002"/>
    <n v="55267.42"/>
    <n v="55267.42"/>
    <n v="663208.99000000011"/>
    <n v="0"/>
  </r>
  <r>
    <x v="12"/>
    <x v="1"/>
    <x v="0"/>
    <s v="5961200"/>
    <n v="730010"/>
    <s v="Rental-Common Area Maint (DO NOT USE)"/>
    <s v="FMC-Burien FM Shared Svc"/>
    <x v="0"/>
    <n v="2200"/>
    <n v="0"/>
    <n v="0"/>
    <n v="0"/>
    <n v="0"/>
    <n v="0"/>
    <n v="17863.96"/>
    <n v="17863.96"/>
    <n v="17863.96"/>
    <n v="17863.96"/>
    <n v="80030.52"/>
    <n v="17863.96"/>
    <n v="17863.96"/>
    <n v="187214.27999999997"/>
    <n v="0"/>
  </r>
  <r>
    <x v="12"/>
    <x v="1"/>
    <x v="0"/>
    <s v="5961200"/>
    <n v="730020"/>
    <s v="Rental and Leases-Equipment (DO NOT USE)"/>
    <s v="FMC-Burien FM Shared Svc"/>
    <x v="0"/>
    <m/>
    <n v="139.04"/>
    <n v="0"/>
    <n v="276.89999999999998"/>
    <n v="0"/>
    <n v="139.04"/>
    <n v="0"/>
    <n v="0"/>
    <n v="0"/>
    <n v="78.05"/>
    <n v="0"/>
    <n v="0"/>
    <n v="0"/>
    <n v="633.02999999999986"/>
    <n v="0"/>
  </r>
  <r>
    <x v="12"/>
    <x v="1"/>
    <x v="0"/>
    <s v="5961200"/>
    <n v="730020"/>
    <s v="Rental and Leases-Copier Usage Fees (DO NOT USE)"/>
    <s v="FMC-Burien FM Shared Svc"/>
    <x v="0"/>
    <n v="5100"/>
    <n v="1892.5"/>
    <n v="1916.74"/>
    <n v="1904.62"/>
    <n v="1904.62"/>
    <n v="1904.62"/>
    <n v="1904.62"/>
    <n v="3629.38"/>
    <n v="1927.29"/>
    <n v="2324.42"/>
    <n v="3651.01"/>
    <n v="1640.72"/>
    <n v="2036.86"/>
    <n v="26637.4"/>
    <n v="-396.13999999999987"/>
  </r>
  <r>
    <x v="15"/>
    <x v="1"/>
    <x v="0"/>
    <s v="5961200"/>
    <n v="731060"/>
    <s v="Telephone"/>
    <s v="FMC-Burien FM Shared Svc"/>
    <x v="0"/>
    <m/>
    <n v="2002.08"/>
    <n v="2528.61"/>
    <n v="1347.08"/>
    <n v="2174.13"/>
    <n v="2038.34"/>
    <n v="1741.71"/>
    <n v="2783.48"/>
    <n v="1319.1"/>
    <n v="2062.46"/>
    <n v="1921.79"/>
    <n v="2378.6"/>
    <n v="1369.99"/>
    <n v="23667.370000000003"/>
    <n v="1008.6099999999999"/>
  </r>
  <r>
    <x v="15"/>
    <x v="1"/>
    <x v="0"/>
    <s v="5961200"/>
    <n v="731060"/>
    <s v="Pagers"/>
    <s v="FMC-Burien FM Shared Svc"/>
    <x v="0"/>
    <n v="1002"/>
    <n v="34.450000000000003"/>
    <n v="34.450000000000003"/>
    <n v="34.450000000000003"/>
    <n v="34.54"/>
    <n v="34.54"/>
    <n v="0"/>
    <n v="69.08"/>
    <n v="53.95"/>
    <n v="26.42"/>
    <n v="26.39"/>
    <n v="26.39"/>
    <n v="26.39"/>
    <n v="401.04999999999995"/>
    <n v="0"/>
  </r>
  <r>
    <x v="15"/>
    <x v="1"/>
    <x v="0"/>
    <s v="5961200"/>
    <n v="731070"/>
    <s v="Cable TV"/>
    <s v="FMC-Burien FM Shared Svc"/>
    <x v="0"/>
    <m/>
    <n v="259.39"/>
    <n v="249.39"/>
    <n v="249.39"/>
    <n v="251.63"/>
    <n v="251.63"/>
    <n v="251.63"/>
    <n v="251.63"/>
    <n v="0"/>
    <n v="503.26"/>
    <n v="251.63"/>
    <n v="159.53"/>
    <n v="159.53"/>
    <n v="2838.6400000000003"/>
    <n v="0"/>
  </r>
  <r>
    <x v="16"/>
    <x v="1"/>
    <x v="0"/>
    <s v="5961200"/>
    <n v="732030"/>
    <s v="Repairs---Other"/>
    <s v="FMC-Burien FM Shared Svc"/>
    <x v="0"/>
    <m/>
    <n v="4467.84"/>
    <n v="6629.84"/>
    <n v="250"/>
    <n v="110.86"/>
    <n v="68.13"/>
    <n v="0"/>
    <n v="0"/>
    <n v="0"/>
    <n v="1084.79"/>
    <n v="684.96"/>
    <n v="972.77"/>
    <n v="1892.27"/>
    <n v="16161.46"/>
    <n v="-919.5"/>
  </r>
  <r>
    <x v="13"/>
    <x v="1"/>
    <x v="0"/>
    <s v="5961200"/>
    <n v="735050"/>
    <s v="Amortization-Leasehold Improvements"/>
    <s v="FMC-Burien FM Shared Svc"/>
    <x v="0"/>
    <m/>
    <n v="628.05999999999995"/>
    <n v="628.05999999999995"/>
    <n v="628.05999999999995"/>
    <n v="628.05999999999995"/>
    <n v="628.08000000000004"/>
    <n v="628.04999999999995"/>
    <n v="628.08000000000004"/>
    <n v="628.04999999999995"/>
    <n v="628.08000000000004"/>
    <n v="628.04999999999995"/>
    <n v="628.08000000000004"/>
    <n v="628.04999999999995"/>
    <n v="7536.76"/>
    <n v="3.0000000000086402E-2"/>
  </r>
  <r>
    <x v="13"/>
    <x v="1"/>
    <x v="0"/>
    <s v="5961200"/>
    <n v="735060"/>
    <s v="Depreciation-Fixed Equipment"/>
    <s v="FMC-Burien FM Shared Svc"/>
    <x v="0"/>
    <m/>
    <n v="348.5"/>
    <n v="702.86"/>
    <n v="525.67999999999995"/>
    <n v="525.67999999999995"/>
    <n v="525.67999999999995"/>
    <n v="525.67999999999995"/>
    <n v="525.67999999999995"/>
    <n v="525.67999999999995"/>
    <n v="525.69000000000005"/>
    <n v="525.67999999999995"/>
    <n v="525.69000000000005"/>
    <n v="525.66999999999996"/>
    <n v="6308.17"/>
    <n v="2.0000000000095497E-2"/>
  </r>
  <r>
    <x v="13"/>
    <x v="1"/>
    <x v="0"/>
    <s v="5961200"/>
    <n v="735070"/>
    <s v="Depreciation-Movable Equipment"/>
    <s v="FMC-Burien FM Shared Svc"/>
    <x v="0"/>
    <m/>
    <n v="14650.55"/>
    <n v="28704.83"/>
    <n v="21677.75"/>
    <n v="21677.64"/>
    <n v="21677.75"/>
    <n v="21677.63"/>
    <n v="21677.759999999998"/>
    <n v="21677.57"/>
    <n v="21677.78"/>
    <n v="21677.51"/>
    <n v="21677.83"/>
    <n v="21677.51"/>
    <n v="260132.11000000004"/>
    <n v="0.32000000000334694"/>
  </r>
  <r>
    <x v="0"/>
    <x v="1"/>
    <x v="0"/>
    <s v="5961200"/>
    <n v="742040"/>
    <s v="Freight-Other"/>
    <s v="FMC-Burien FM Shared Svc"/>
    <x v="0"/>
    <m/>
    <n v="0"/>
    <n v="0"/>
    <n v="0"/>
    <n v="0"/>
    <n v="0"/>
    <n v="0"/>
    <n v="0"/>
    <n v="0"/>
    <n v="0"/>
    <n v="0"/>
    <n v="0"/>
    <n v="15.48"/>
    <n v="15.48"/>
    <n v="-15.48"/>
  </r>
  <r>
    <x v="0"/>
    <x v="1"/>
    <x v="0"/>
    <s v="5961200"/>
    <n v="744012"/>
    <s v="Recruitment-Physician"/>
    <s v="FMC-Burien FM Shared Svc"/>
    <x v="0"/>
    <m/>
    <n v="0"/>
    <n v="0"/>
    <n v="0"/>
    <n v="0"/>
    <n v="0"/>
    <n v="0"/>
    <n v="0"/>
    <n v="0"/>
    <n v="0"/>
    <n v="107.1"/>
    <n v="0"/>
    <n v="0"/>
    <n v="107.1"/>
    <n v="0"/>
  </r>
  <r>
    <x v="0"/>
    <x v="1"/>
    <x v="0"/>
    <s v="5961200"/>
    <n v="749510"/>
    <s v="Miscellaneous Expenses"/>
    <s v="FMC-Burien FM Shared Svc"/>
    <x v="0"/>
    <m/>
    <n v="-36.17"/>
    <n v="4543.26"/>
    <n v="826.25"/>
    <n v="-10601.12"/>
    <n v="25.55"/>
    <n v="615.76"/>
    <n v="104.16"/>
    <n v="-91.92"/>
    <n v="101"/>
    <n v="-1001.98"/>
    <n v="250"/>
    <n v="411.24"/>
    <n v="-4853.9700000000012"/>
    <n v="-161.24"/>
  </r>
  <r>
    <x v="0"/>
    <x v="1"/>
    <x v="0"/>
    <s v="5961200"/>
    <n v="749510"/>
    <s v="Licenses"/>
    <s v="FMC-Burien FM Shared Svc"/>
    <x v="0"/>
    <n v="1002"/>
    <n v="0"/>
    <n v="0"/>
    <n v="265"/>
    <n v="0"/>
    <n v="0"/>
    <n v="0"/>
    <n v="0"/>
    <n v="0"/>
    <n v="0"/>
    <n v="0"/>
    <n v="200"/>
    <n v="0"/>
    <n v="465"/>
    <n v="200"/>
  </r>
  <r>
    <x v="0"/>
    <x v="1"/>
    <x v="0"/>
    <s v="5961200"/>
    <n v="749530"/>
    <s v="Travel"/>
    <s v="FMC-Burien FM Shared Svc"/>
    <x v="0"/>
    <m/>
    <n v="0"/>
    <n v="12"/>
    <n v="0"/>
    <n v="0"/>
    <n v="0"/>
    <n v="0"/>
    <n v="0"/>
    <n v="0"/>
    <n v="0"/>
    <n v="0"/>
    <n v="0"/>
    <n v="0"/>
    <n v="12"/>
    <n v="0"/>
  </r>
  <r>
    <x v="0"/>
    <x v="1"/>
    <x v="0"/>
    <s v="5961200"/>
    <n v="749530"/>
    <s v="Mileage"/>
    <s v="FMC-Burien FM Shared Svc"/>
    <x v="0"/>
    <n v="1001"/>
    <n v="0"/>
    <n v="28.89"/>
    <n v="118.27"/>
    <n v="0"/>
    <n v="126.45"/>
    <n v="19.62"/>
    <n v="69.760000000000005"/>
    <n v="129.91999999999999"/>
    <n v="0"/>
    <n v="140.36000000000001"/>
    <n v="52.2"/>
    <n v="0"/>
    <n v="685.47"/>
    <n v="52.2"/>
  </r>
  <r>
    <x v="0"/>
    <x v="1"/>
    <x v="0"/>
    <s v="5961200"/>
    <n v="749535"/>
    <s v="Meetings"/>
    <s v="FMC-Burien FM Shared Svc"/>
    <x v="0"/>
    <m/>
    <n v="0"/>
    <n v="0"/>
    <n v="0"/>
    <n v="0"/>
    <n v="0"/>
    <n v="0"/>
    <n v="0"/>
    <n v="0"/>
    <n v="0"/>
    <n v="0"/>
    <n v="0"/>
    <n v="90.83"/>
    <n v="90.83"/>
    <n v="-90.83"/>
  </r>
  <r>
    <x v="0"/>
    <x v="1"/>
    <x v="0"/>
    <s v="5961200"/>
    <n v="749550"/>
    <s v="Cash Over/Short"/>
    <s v="FMC-Burien FM Shared Svc"/>
    <x v="0"/>
    <m/>
    <n v="8.4"/>
    <n v="-10.3"/>
    <n v="10"/>
    <n v="2"/>
    <n v="0"/>
    <n v="-17.16"/>
    <n v="0"/>
    <n v="0"/>
    <n v="-4.0999999999999996"/>
    <n v="-0.16"/>
    <n v="-1.05"/>
    <n v="0"/>
    <n v="-12.370000000000001"/>
    <n v="-1.05"/>
  </r>
  <r>
    <x v="0"/>
    <x v="1"/>
    <x v="0"/>
    <s v="5961200"/>
    <n v="766010"/>
    <s v="Property Tax"/>
    <s v="FMC-Burien FM Shared Svc"/>
    <x v="0"/>
    <m/>
    <n v="40.450000000000003"/>
    <n v="40.450000000000003"/>
    <n v="40.450000000000003"/>
    <n v="40.450000000000003"/>
    <n v="40.450000000000003"/>
    <n v="40.450000000000003"/>
    <n v="40.450000000000003"/>
    <n v="40.450000000000003"/>
    <n v="40.450000000000003"/>
    <n v="-121.35"/>
    <n v="0"/>
    <n v="0"/>
    <n v="242.69999999999996"/>
    <n v="0"/>
  </r>
  <r>
    <x v="7"/>
    <x v="1"/>
    <x v="0"/>
    <s v="5962200"/>
    <n v="718050"/>
    <s v="Contract Svcs-Other"/>
    <s v="Onc Assoc-Burien Shared Svc"/>
    <x v="0"/>
    <m/>
    <n v="45.09"/>
    <n v="45.09"/>
    <n v="45.09"/>
    <n v="45.09"/>
    <n v="45.09"/>
    <n v="45.09"/>
    <n v="45.09"/>
    <n v="90.18"/>
    <n v="90.18"/>
    <n v="0"/>
    <n v="0"/>
    <n v="45.08"/>
    <n v="541.07000000000005"/>
    <n v="-45.08"/>
  </r>
  <r>
    <x v="7"/>
    <x v="1"/>
    <x v="0"/>
    <s v="5962200"/>
    <n v="718050"/>
    <s v="Document Shredding/Storage"/>
    <s v="Onc Assoc-Burien Shared Svc"/>
    <x v="0"/>
    <n v="1012"/>
    <n v="22.22"/>
    <n v="22.76"/>
    <n v="20.94"/>
    <n v="21.67"/>
    <n v="37.69"/>
    <n v="22.4"/>
    <n v="22.17"/>
    <n v="15.19"/>
    <n v="19.7"/>
    <n v="25.81"/>
    <n v="21.67"/>
    <n v="22.4"/>
    <n v="274.62"/>
    <n v="-0.72999999999999687"/>
  </r>
  <r>
    <x v="7"/>
    <x v="1"/>
    <x v="0"/>
    <s v="5962200"/>
    <n v="718050"/>
    <s v="Physician Answering"/>
    <s v="Onc Assoc-Burien Shared Svc"/>
    <x v="0"/>
    <n v="1015"/>
    <n v="423.4"/>
    <n v="562.79999999999995"/>
    <n v="392.2"/>
    <n v="174.6"/>
    <n v="677.4"/>
    <n v="502.4"/>
    <n v="621.4"/>
    <n v="666.6"/>
    <n v="627"/>
    <n v="669"/>
    <n v="552.4"/>
    <n v="437.4"/>
    <n v="6306.5999999999985"/>
    <n v="115"/>
  </r>
  <r>
    <x v="7"/>
    <x v="1"/>
    <x v="0"/>
    <s v="5962200"/>
    <n v="718050"/>
    <s v="Contract Management--Linen"/>
    <s v="Onc Assoc-Burien Shared Svc"/>
    <x v="0"/>
    <n v="1026"/>
    <n v="0"/>
    <n v="0"/>
    <n v="0"/>
    <n v="0"/>
    <n v="0"/>
    <n v="0"/>
    <n v="140.77000000000001"/>
    <n v="0"/>
    <n v="0"/>
    <n v="0"/>
    <n v="0"/>
    <n v="0"/>
    <n v="140.77000000000001"/>
    <n v="0"/>
  </r>
  <r>
    <x v="12"/>
    <x v="1"/>
    <x v="0"/>
    <s v="5962200"/>
    <n v="730020"/>
    <s v="Rental and Leases-Copier Usage Fees (DO NOT USE)"/>
    <s v="Onc Assoc-Burien Shared Svc"/>
    <x v="0"/>
    <n v="5100"/>
    <n v="37.94"/>
    <n v="39.26"/>
    <n v="38.6"/>
    <n v="38.6"/>
    <n v="38.6"/>
    <n v="38.6"/>
    <n v="27.82"/>
    <n v="39.299999999999997"/>
    <n v="39.22"/>
    <n v="39.380000000000003"/>
    <n v="39.299999999999997"/>
    <n v="45.76"/>
    <n v="462.37999999999994"/>
    <n v="-6.4600000000000009"/>
  </r>
  <r>
    <x v="15"/>
    <x v="1"/>
    <x v="0"/>
    <s v="5962200"/>
    <n v="731060"/>
    <s v="Telephone"/>
    <s v="Onc Assoc-Burien Shared Svc"/>
    <x v="0"/>
    <m/>
    <n v="186.13"/>
    <n v="186.13"/>
    <n v="0"/>
    <n v="372.19"/>
    <n v="186.06"/>
    <n v="0"/>
    <n v="186.13"/>
    <n v="0"/>
    <n v="186.13"/>
    <n v="0"/>
    <n v="0"/>
    <n v="0"/>
    <n v="1302.77"/>
    <n v="0"/>
  </r>
  <r>
    <x v="13"/>
    <x v="1"/>
    <x v="0"/>
    <s v="5962200"/>
    <n v="735070"/>
    <s v="Depreciation-Movable Equipment"/>
    <s v="Onc Assoc-Burien Shared Svc"/>
    <x v="0"/>
    <m/>
    <n v="16"/>
    <n v="15.99"/>
    <n v="16"/>
    <n v="15.99"/>
    <n v="16"/>
    <n v="15.99"/>
    <n v="16"/>
    <n v="15.99"/>
    <n v="16"/>
    <n v="15.98"/>
    <n v="16"/>
    <n v="15.98"/>
    <n v="191.91999999999996"/>
    <n v="1.9999999999999574E-2"/>
  </r>
  <r>
    <x v="0"/>
    <x v="1"/>
    <x v="0"/>
    <s v="5962200"/>
    <n v="749510"/>
    <s v="Miscellaneous Expenses"/>
    <s v="Onc Assoc-Burien Shared Svc"/>
    <x v="0"/>
    <m/>
    <n v="55.05"/>
    <n v="105.05"/>
    <n v="0"/>
    <n v="0"/>
    <n v="50"/>
    <n v="150"/>
    <n v="0"/>
    <n v="0"/>
    <n v="100"/>
    <n v="0"/>
    <n v="150"/>
    <n v="0"/>
    <n v="610.1"/>
    <n v="150"/>
  </r>
  <r>
    <x v="5"/>
    <x v="1"/>
    <x v="0"/>
    <s v="5963200"/>
    <n v="700038"/>
    <s v="Salaries-Service/Support-Productive"/>
    <s v="Ortho-Spine Surgery-Burien S/S"/>
    <x v="0"/>
    <m/>
    <n v="0"/>
    <n v="0"/>
    <n v="0"/>
    <n v="0"/>
    <n v="0"/>
    <n v="0"/>
    <n v="0"/>
    <n v="0"/>
    <n v="0"/>
    <n v="0"/>
    <n v="3881.06"/>
    <n v="3136.49"/>
    <n v="7017.5499999999993"/>
    <n v="744.57000000000016"/>
  </r>
  <r>
    <x v="5"/>
    <x v="1"/>
    <x v="0"/>
    <s v="5963200"/>
    <n v="700038"/>
    <s v="Salaries-Service/Support-OT"/>
    <s v="Ortho-Spine Surgery-Burien S/S"/>
    <x v="0"/>
    <n v="1000"/>
    <n v="0"/>
    <n v="0"/>
    <n v="0"/>
    <n v="0"/>
    <n v="0"/>
    <n v="0"/>
    <n v="0"/>
    <n v="0"/>
    <n v="0"/>
    <n v="0"/>
    <n v="30.62"/>
    <n v="-15.31"/>
    <n v="15.31"/>
    <n v="45.93"/>
  </r>
  <r>
    <x v="5"/>
    <x v="1"/>
    <x v="0"/>
    <s v="5963200"/>
    <n v="700038"/>
    <s v="Salaries-Service/Support-Other"/>
    <s v="Ortho-Spine Surgery-Burien S/S"/>
    <x v="0"/>
    <n v="2000"/>
    <n v="0"/>
    <n v="0"/>
    <n v="0"/>
    <n v="0"/>
    <n v="0"/>
    <n v="0"/>
    <n v="0"/>
    <n v="0"/>
    <n v="0"/>
    <n v="0"/>
    <n v="30.04"/>
    <n v="0"/>
    <n v="30.04"/>
    <n v="30.04"/>
  </r>
  <r>
    <x v="5"/>
    <x v="1"/>
    <x v="0"/>
    <s v="5963200"/>
    <n v="700054"/>
    <s v="Salaries-Management-NonProd-Other"/>
    <s v="Ortho-Spine Surgery-Burien S/S"/>
    <x v="0"/>
    <n v="2000"/>
    <n v="0"/>
    <n v="0"/>
    <n v="0"/>
    <n v="0"/>
    <n v="0"/>
    <n v="547.6"/>
    <n v="-547.6"/>
    <n v="0"/>
    <n v="0"/>
    <n v="0"/>
    <n v="0"/>
    <n v="0"/>
    <n v="0"/>
    <n v="0"/>
  </r>
  <r>
    <x v="5"/>
    <x v="1"/>
    <x v="0"/>
    <s v="5963200"/>
    <n v="700078"/>
    <s v="Salaries-Service/Support-Non-productive"/>
    <s v="Ortho-Spine Surgery-Burien S/S"/>
    <x v="0"/>
    <m/>
    <n v="172.96"/>
    <n v="-3.76"/>
    <n v="0"/>
    <n v="0"/>
    <n v="0"/>
    <n v="0"/>
    <n v="0"/>
    <n v="0"/>
    <n v="0"/>
    <n v="0"/>
    <n v="0"/>
    <n v="0"/>
    <n v="169.20000000000002"/>
    <n v="0"/>
  </r>
  <r>
    <x v="5"/>
    <x v="1"/>
    <x v="0"/>
    <s v="5963200"/>
    <n v="700078"/>
    <s v="Salaries-Service/Support-NonProd-Other"/>
    <s v="Ortho-Spine Surgery-Burien S/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63200"/>
    <n v="700084"/>
    <s v="Accrued PTO"/>
    <s v="Ortho-Spine Surgery-Burien S/S"/>
    <x v="0"/>
    <m/>
    <n v="0"/>
    <n v="0"/>
    <n v="0"/>
    <n v="0"/>
    <n v="0"/>
    <n v="0"/>
    <n v="0"/>
    <n v="0"/>
    <n v="0"/>
    <n v="0"/>
    <n v="211.44"/>
    <n v="436.32"/>
    <n v="647.76"/>
    <n v="-224.88"/>
  </r>
  <r>
    <x v="6"/>
    <x v="1"/>
    <x v="0"/>
    <s v="5963200"/>
    <n v="713010"/>
    <s v="Benefits-FICA/Medicare"/>
    <s v="Ortho-Spine Surgery-Burien S/S"/>
    <x v="0"/>
    <m/>
    <n v="13.12"/>
    <n v="-0.28000000000000003"/>
    <n v="0"/>
    <n v="0"/>
    <n v="0"/>
    <n v="41.89"/>
    <n v="41.89"/>
    <n v="0"/>
    <n v="0"/>
    <n v="0"/>
    <n v="301.12"/>
    <n v="237.55"/>
    <n v="635.29"/>
    <n v="63.569999999999993"/>
  </r>
  <r>
    <x v="6"/>
    <x v="1"/>
    <x v="0"/>
    <s v="5963200"/>
    <n v="713090"/>
    <s v="Benefits-Allocated Amounts"/>
    <s v="Ortho-Spine Surgery-Burien S/S"/>
    <x v="0"/>
    <m/>
    <n v="53.8"/>
    <n v="-11.72"/>
    <n v="22.09"/>
    <n v="22.8"/>
    <n v="-86.97"/>
    <n v="0"/>
    <n v="0"/>
    <n v="0"/>
    <n v="0"/>
    <n v="0"/>
    <n v="874.38"/>
    <n v="1315.28"/>
    <n v="2189.66"/>
    <n v="-440.9"/>
  </r>
  <r>
    <x v="7"/>
    <x v="1"/>
    <x v="0"/>
    <s v="5963200"/>
    <n v="718010"/>
    <s v="Media/Print Advertising"/>
    <s v="Ortho-Spine Surgery-Burien S/S"/>
    <x v="0"/>
    <n v="1004"/>
    <n v="0"/>
    <n v="0"/>
    <n v="0"/>
    <n v="0"/>
    <n v="0"/>
    <n v="0"/>
    <n v="0"/>
    <n v="0"/>
    <n v="0"/>
    <n v="417.19"/>
    <n v="0"/>
    <n v="222.59"/>
    <n v="639.78"/>
    <n v="-222.59"/>
  </r>
  <r>
    <x v="7"/>
    <x v="1"/>
    <x v="0"/>
    <s v="5963200"/>
    <n v="718050"/>
    <s v="Contract Svcs-Other"/>
    <s v="Ortho-Spine Surgery-Burien S/S"/>
    <x v="0"/>
    <m/>
    <n v="716.62"/>
    <n v="0"/>
    <n v="0"/>
    <n v="0"/>
    <n v="0"/>
    <n v="0"/>
    <n v="0"/>
    <n v="0"/>
    <n v="0"/>
    <n v="0"/>
    <n v="0"/>
    <n v="0"/>
    <n v="716.62"/>
    <n v="0"/>
  </r>
  <r>
    <x v="7"/>
    <x v="1"/>
    <x v="0"/>
    <s v="5963200"/>
    <n v="718050"/>
    <s v="Document Shredding/Storage"/>
    <s v="Ortho-Spine Surgery-Burien S/S"/>
    <x v="0"/>
    <n v="1012"/>
    <n v="88.11"/>
    <n v="98.66"/>
    <n v="90.59"/>
    <n v="89.32"/>
    <n v="81.88"/>
    <n v="57.64"/>
    <n v="57.06"/>
    <n v="3.28"/>
    <n v="50.72"/>
    <n v="133.56"/>
    <n v="78.040000000000006"/>
    <n v="41.49"/>
    <n v="870.34999999999991"/>
    <n v="36.550000000000004"/>
  </r>
  <r>
    <x v="7"/>
    <x v="1"/>
    <x v="0"/>
    <s v="5963200"/>
    <n v="718050"/>
    <s v="Physician Answering"/>
    <s v="Ortho-Spine Surgery-Burien S/S"/>
    <x v="0"/>
    <n v="1015"/>
    <n v="204"/>
    <n v="46.22"/>
    <n v="0"/>
    <n v="0"/>
    <n v="0"/>
    <n v="0"/>
    <n v="0"/>
    <n v="0"/>
    <n v="0"/>
    <n v="0"/>
    <n v="0"/>
    <n v="0"/>
    <n v="250.22"/>
    <n v="0"/>
  </r>
  <r>
    <x v="7"/>
    <x v="1"/>
    <x v="0"/>
    <s v="5963200"/>
    <n v="718050"/>
    <s v="Translation Services"/>
    <s v="Ortho-Spine Surgery-Burien S/S"/>
    <x v="0"/>
    <n v="1025"/>
    <n v="19.440000000000001"/>
    <n v="0"/>
    <n v="0"/>
    <n v="8.69"/>
    <n v="53.72"/>
    <n v="0.18"/>
    <n v="0.54"/>
    <n v="95.59"/>
    <n v="0"/>
    <n v="63.44"/>
    <n v="70.489999999999995"/>
    <n v="173.96"/>
    <n v="486.05000000000007"/>
    <n v="-103.47000000000001"/>
  </r>
  <r>
    <x v="7"/>
    <x v="1"/>
    <x v="0"/>
    <s v="5963200"/>
    <n v="718050"/>
    <s v="Purchased Srvcs--Medical Waste"/>
    <s v="Ortho-Spine Surgery-Burien S/S"/>
    <x v="0"/>
    <n v="1027"/>
    <n v="0"/>
    <n v="20.72"/>
    <n v="0"/>
    <n v="0"/>
    <n v="0"/>
    <n v="0"/>
    <n v="0"/>
    <n v="0"/>
    <n v="0"/>
    <n v="0"/>
    <n v="0"/>
    <n v="0"/>
    <n v="20.72"/>
    <n v="0"/>
  </r>
  <r>
    <x v="11"/>
    <x v="1"/>
    <x v="0"/>
    <s v="5963200"/>
    <n v="721250"/>
    <s v="Supplies-Pharmacy Drugs - Billable"/>
    <s v="Ortho-Spine Surgery-Burien S/S"/>
    <x v="0"/>
    <m/>
    <n v="0"/>
    <n v="0"/>
    <n v="0"/>
    <n v="0"/>
    <n v="0"/>
    <n v="0"/>
    <n v="0"/>
    <n v="0"/>
    <n v="0"/>
    <n v="0"/>
    <n v="674.32"/>
    <n v="0"/>
    <n v="674.32"/>
    <n v="674.32"/>
  </r>
  <r>
    <x v="11"/>
    <x v="1"/>
    <x v="0"/>
    <s v="5963200"/>
    <n v="721830"/>
    <s v="Supplies-Office"/>
    <s v="Ortho-Spine Surgery-Burien S/S"/>
    <x v="0"/>
    <m/>
    <n v="0"/>
    <n v="0"/>
    <n v="0"/>
    <n v="0"/>
    <n v="0"/>
    <n v="0"/>
    <n v="0"/>
    <n v="0"/>
    <n v="53.99"/>
    <n v="11.03"/>
    <n v="0"/>
    <n v="0"/>
    <n v="65.02"/>
    <n v="0"/>
  </r>
  <r>
    <x v="11"/>
    <x v="1"/>
    <x v="0"/>
    <s v="5963200"/>
    <n v="721910"/>
    <s v="Supplies-Small Equipment"/>
    <s v="Ortho-Spine Surgery-Burien S/S"/>
    <x v="0"/>
    <m/>
    <n v="0"/>
    <n v="0"/>
    <n v="0"/>
    <n v="0"/>
    <n v="0"/>
    <n v="1442.62"/>
    <n v="317.47000000000003"/>
    <n v="0"/>
    <n v="0"/>
    <n v="0"/>
    <n v="0"/>
    <n v="0"/>
    <n v="1760.09"/>
    <n v="0"/>
  </r>
  <r>
    <x v="11"/>
    <x v="1"/>
    <x v="0"/>
    <s v="5963200"/>
    <n v="722000"/>
    <s v="Supplies-Freight Expense"/>
    <s v="Ortho-Spine Surgery-Burien S/S"/>
    <x v="0"/>
    <m/>
    <n v="0"/>
    <n v="0"/>
    <n v="11.74"/>
    <n v="0"/>
    <n v="0"/>
    <n v="0"/>
    <n v="8.15"/>
    <n v="0"/>
    <n v="16.32"/>
    <n v="0"/>
    <n v="0"/>
    <n v="0"/>
    <n v="36.21"/>
    <n v="0"/>
  </r>
  <r>
    <x v="12"/>
    <x v="1"/>
    <x v="0"/>
    <s v="5963200"/>
    <n v="730010"/>
    <s v="Rental and Leases-Building (DO NOT USE)"/>
    <s v="Ortho-Spine Surgery-Burien S/S"/>
    <x v="0"/>
    <m/>
    <n v="5949.23"/>
    <n v="21226.69"/>
    <n v="13587.96"/>
    <n v="13587.96"/>
    <n v="13722.33"/>
    <n v="-3835.69"/>
    <n v="9542.6299999999992"/>
    <n v="9542.6299999999992"/>
    <n v="9542.6299999999992"/>
    <n v="9542.6299999999992"/>
    <n v="9542.6299999999992"/>
    <n v="0"/>
    <n v="111951.63000000002"/>
    <n v="9542.6299999999992"/>
  </r>
  <r>
    <x v="12"/>
    <x v="1"/>
    <x v="0"/>
    <s v="5963200"/>
    <n v="730010"/>
    <s v="Rental-Common Area Maint (DO NOT USE)"/>
    <s v="Ortho-Spine Surgery-Burien S/S"/>
    <x v="0"/>
    <n v="2200"/>
    <n v="0"/>
    <n v="0"/>
    <n v="0"/>
    <n v="0"/>
    <n v="0"/>
    <n v="17806.45"/>
    <n v="4428.13"/>
    <n v="4291.99"/>
    <n v="4382.75"/>
    <n v="4382.75"/>
    <n v="4382.75"/>
    <n v="0"/>
    <n v="39674.82"/>
    <n v="4382.75"/>
  </r>
  <r>
    <x v="12"/>
    <x v="1"/>
    <x v="0"/>
    <s v="5963200"/>
    <n v="730020"/>
    <s v="Rental and Leases-Equipment (DO NOT USE)"/>
    <s v="Ortho-Spine Surgery-Burien S/S"/>
    <x v="0"/>
    <m/>
    <n v="4.7699999999999996"/>
    <n v="0"/>
    <n v="0"/>
    <n v="0"/>
    <n v="0"/>
    <n v="0"/>
    <n v="0"/>
    <n v="0"/>
    <n v="0"/>
    <n v="0"/>
    <n v="0"/>
    <n v="0"/>
    <n v="4.7699999999999996"/>
    <n v="0"/>
  </r>
  <r>
    <x v="12"/>
    <x v="1"/>
    <x v="0"/>
    <s v="5963200"/>
    <n v="730040"/>
    <s v="LT Lease-Real Estate"/>
    <s v="Ortho-Spine Surgery-Burien S/S"/>
    <x v="0"/>
    <m/>
    <n v="0"/>
    <n v="0"/>
    <n v="0"/>
    <n v="0"/>
    <n v="0"/>
    <n v="0"/>
    <n v="0"/>
    <n v="0"/>
    <n v="0"/>
    <n v="0"/>
    <n v="0"/>
    <n v="13925.38"/>
    <n v="13925.38"/>
    <n v="-13925.38"/>
  </r>
  <r>
    <x v="15"/>
    <x v="1"/>
    <x v="0"/>
    <s v="5963200"/>
    <n v="731060"/>
    <s v="Telephone"/>
    <s v="Ortho-Spine Surgery-Burien S/S"/>
    <x v="0"/>
    <m/>
    <n v="924.76"/>
    <n v="869.37"/>
    <n v="451"/>
    <n v="1309.1500000000001"/>
    <n v="822.61"/>
    <n v="506.17"/>
    <n v="1322.43"/>
    <n v="824.08"/>
    <n v="5250.78"/>
    <n v="3879.32"/>
    <n v="1334.96"/>
    <n v="976.27"/>
    <n v="18470.900000000001"/>
    <n v="358.69000000000005"/>
  </r>
  <r>
    <x v="16"/>
    <x v="1"/>
    <x v="0"/>
    <s v="5963200"/>
    <n v="732030"/>
    <s v="Repairs---Other"/>
    <s v="Ortho-Spine Surgery-Burien S/S"/>
    <x v="0"/>
    <m/>
    <n v="0"/>
    <n v="0"/>
    <n v="0"/>
    <n v="0"/>
    <n v="0"/>
    <n v="0"/>
    <n v="0"/>
    <n v="0"/>
    <n v="0"/>
    <n v="0"/>
    <n v="0"/>
    <n v="10.91"/>
    <n v="10.91"/>
    <n v="-10.91"/>
  </r>
  <r>
    <x v="16"/>
    <x v="1"/>
    <x v="0"/>
    <s v="5963200"/>
    <n v="732030"/>
    <s v="Repairs&amp;Maintenance-Bldg Routine"/>
    <s v="Ortho-Spine Surgery-Burien S/S"/>
    <x v="0"/>
    <n v="2300"/>
    <n v="0"/>
    <n v="0"/>
    <n v="616"/>
    <n v="0"/>
    <n v="0"/>
    <n v="0"/>
    <n v="0"/>
    <n v="0"/>
    <n v="0"/>
    <n v="0"/>
    <n v="350"/>
    <n v="0"/>
    <n v="966"/>
    <n v="350"/>
  </r>
  <r>
    <x v="13"/>
    <x v="1"/>
    <x v="0"/>
    <s v="5963200"/>
    <n v="735070"/>
    <s v="Depreciation-Movable Equipment"/>
    <s v="Ortho-Spine Surgery-Burien S/S"/>
    <x v="0"/>
    <m/>
    <n v="227.04"/>
    <n v="227.04"/>
    <n v="227.04"/>
    <n v="227.04"/>
    <n v="227.04"/>
    <n v="227.03"/>
    <n v="227.04"/>
    <n v="227.02"/>
    <n v="227.04"/>
    <n v="227.02"/>
    <n v="227.04"/>
    <n v="227.02"/>
    <n v="2724.41"/>
    <n v="1.999999999998181E-2"/>
  </r>
  <r>
    <x v="0"/>
    <x v="1"/>
    <x v="0"/>
    <s v="5963200"/>
    <n v="743020"/>
    <s v="Dues--Individual"/>
    <s v="Ortho-Spine Surgery-Burien S/S"/>
    <x v="0"/>
    <m/>
    <n v="0"/>
    <n v="0"/>
    <n v="0"/>
    <n v="0"/>
    <n v="0"/>
    <n v="0"/>
    <n v="0"/>
    <n v="1070"/>
    <n v="0"/>
    <n v="0"/>
    <n v="0"/>
    <n v="0"/>
    <n v="1070"/>
    <n v="0"/>
  </r>
  <r>
    <x v="0"/>
    <x v="1"/>
    <x v="0"/>
    <s v="5963200"/>
    <n v="743030"/>
    <s v="Subscriptions--Institutional"/>
    <s v="Ortho-Spine Surgery-Burien S/S"/>
    <x v="0"/>
    <m/>
    <n v="0"/>
    <n v="0"/>
    <n v="0"/>
    <n v="0"/>
    <n v="0"/>
    <n v="0"/>
    <n v="0"/>
    <n v="0"/>
    <n v="252.52"/>
    <n v="0"/>
    <n v="0"/>
    <n v="0"/>
    <n v="252.52"/>
    <n v="0"/>
  </r>
  <r>
    <x v="0"/>
    <x v="1"/>
    <x v="0"/>
    <s v="5963200"/>
    <n v="749510"/>
    <s v="Miscellaneous Expenses"/>
    <s v="Ortho-Spine Surgery-Burien S/S"/>
    <x v="0"/>
    <m/>
    <n v="55.05"/>
    <n v="105.05"/>
    <n v="0"/>
    <n v="0"/>
    <n v="50"/>
    <n v="150"/>
    <n v="0"/>
    <n v="0"/>
    <n v="100"/>
    <n v="0"/>
    <n v="150"/>
    <n v="0"/>
    <n v="610.1"/>
    <n v="150"/>
  </r>
  <r>
    <x v="0"/>
    <x v="1"/>
    <x v="0"/>
    <s v="5963200"/>
    <n v="749510"/>
    <s v="Licenses"/>
    <s v="Ortho-Spine Surgery-Burien S/S"/>
    <x v="0"/>
    <n v="1002"/>
    <n v="0"/>
    <n v="0"/>
    <n v="530"/>
    <n v="0"/>
    <n v="0"/>
    <n v="0"/>
    <n v="0"/>
    <n v="0"/>
    <n v="0"/>
    <n v="0"/>
    <n v="0"/>
    <n v="0"/>
    <n v="530"/>
    <n v="0"/>
  </r>
  <r>
    <x v="0"/>
    <x v="1"/>
    <x v="0"/>
    <s v="5963200"/>
    <n v="766010"/>
    <s v="Property Tax"/>
    <s v="Ortho-Spine Surgery-Burien S/S"/>
    <x v="0"/>
    <m/>
    <n v="0.23"/>
    <n v="0.23"/>
    <n v="0.23"/>
    <n v="0.23"/>
    <n v="0.23"/>
    <n v="0.23"/>
    <n v="0.23"/>
    <n v="0.23"/>
    <n v="0.23"/>
    <n v="1.52"/>
    <n v="0"/>
    <n v="0"/>
    <n v="3.5900000000000003"/>
    <n v="0"/>
  </r>
  <r>
    <x v="5"/>
    <x v="1"/>
    <x v="0"/>
    <s v="5964200"/>
    <n v="700014"/>
    <s v="Salaries-Management-Productive"/>
    <s v="FMC Des Moines FM Shared Svc"/>
    <x v="0"/>
    <m/>
    <n v="3381.6"/>
    <n v="3888.84"/>
    <n v="3043.44"/>
    <n v="3957.24"/>
    <n v="3803.36"/>
    <n v="2558.62"/>
    <n v="1316.01"/>
    <n v="3739.68"/>
    <n v="3635.79"/>
    <n v="3808.93"/>
    <n v="3982.06"/>
    <n v="3462.66"/>
    <n v="40578.229999999996"/>
    <n v="519.40000000000009"/>
  </r>
  <r>
    <x v="5"/>
    <x v="1"/>
    <x v="0"/>
    <s v="5964200"/>
    <n v="700038"/>
    <s v="Salaries-Service/Support-Productive"/>
    <s v="FMC Des Moines FM Shared Svc"/>
    <x v="0"/>
    <m/>
    <n v="14757.61"/>
    <n v="13132.44"/>
    <n v="14265.59"/>
    <n v="20645.990000000002"/>
    <n v="20369.02"/>
    <n v="12420.05"/>
    <n v="17716.13"/>
    <n v="11390.36"/>
    <n v="16209.01"/>
    <n v="16629.990000000002"/>
    <n v="20024.88"/>
    <n v="14777.03"/>
    <n v="192338.1"/>
    <n v="5247.85"/>
  </r>
  <r>
    <x v="5"/>
    <x v="1"/>
    <x v="0"/>
    <s v="5964200"/>
    <n v="700038"/>
    <s v="Salaries-Service/Support-OT"/>
    <s v="FMC Des Moines FM Shared Svc"/>
    <x v="0"/>
    <n v="1000"/>
    <n v="341.58"/>
    <n v="1229.08"/>
    <n v="-110.82"/>
    <n v="358.97"/>
    <n v="98.79"/>
    <n v="238.92"/>
    <n v="136.08000000000001"/>
    <n v="269.89"/>
    <n v="141.31"/>
    <n v="243.47"/>
    <n v="149.1"/>
    <n v="119.64"/>
    <n v="3216.0099999999993"/>
    <n v="29.459999999999994"/>
  </r>
  <r>
    <x v="5"/>
    <x v="1"/>
    <x v="0"/>
    <s v="5964200"/>
    <n v="700038"/>
    <s v="Salaries-Service/Support-Other"/>
    <s v="FMC Des Moines FM Shared Svc"/>
    <x v="0"/>
    <n v="2000"/>
    <n v="224.37"/>
    <n v="230"/>
    <n v="445.45"/>
    <n v="274.10000000000002"/>
    <n v="221.09"/>
    <n v="221.02"/>
    <n v="231.59"/>
    <n v="200.32"/>
    <n v="210.32"/>
    <n v="222.45"/>
    <n v="240.46"/>
    <n v="213.11"/>
    <n v="2934.2799999999997"/>
    <n v="27.349999999999994"/>
  </r>
  <r>
    <x v="5"/>
    <x v="1"/>
    <x v="0"/>
    <s v="5964200"/>
    <n v="700054"/>
    <s v="Salaries-Management-Non-productive"/>
    <s v="FMC Des Moines FM Shared Svc"/>
    <x v="0"/>
    <m/>
    <n v="743.95"/>
    <n v="1623.17"/>
    <n v="676.32"/>
    <n v="0"/>
    <n v="0"/>
    <n v="2973.53"/>
    <n v="2493.4299999999998"/>
    <n v="-277"/>
    <n v="0"/>
    <n v="588.65"/>
    <n v="-242.38"/>
    <n v="692.54"/>
    <n v="9272.2099999999991"/>
    <n v="-934.92"/>
  </r>
  <r>
    <x v="5"/>
    <x v="1"/>
    <x v="0"/>
    <s v="5964200"/>
    <n v="700078"/>
    <s v="Salaries-Service/Support-Non-productive"/>
    <s v="FMC Des Moines FM Shared Svc"/>
    <x v="0"/>
    <m/>
    <n v="1517.22"/>
    <n v="4171.13"/>
    <n v="1532.72"/>
    <n v="2139.7600000000002"/>
    <n v="957.36"/>
    <n v="5662.79"/>
    <n v="2266.65"/>
    <n v="6604.68"/>
    <n v="2473.21"/>
    <n v="3348.5"/>
    <n v="76.2"/>
    <n v="3306.51"/>
    <n v="34056.730000000003"/>
    <n v="-3230.3100000000004"/>
  </r>
  <r>
    <x v="5"/>
    <x v="1"/>
    <x v="0"/>
    <s v="5964200"/>
    <n v="700078"/>
    <s v="Salaries-Service/Support-NonProd-Other"/>
    <s v="FMC Des Moines FM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64200"/>
    <n v="700084"/>
    <s v="Accrued PTO"/>
    <s v="FMC Des Moines FM Shared Svc"/>
    <x v="0"/>
    <m/>
    <n v="829.05"/>
    <n v="-1720.63"/>
    <n v="-225.78"/>
    <n v="2425.67"/>
    <n v="2144.1"/>
    <n v="-4434.84"/>
    <n v="-987.3"/>
    <n v="978.84"/>
    <n v="1358.24"/>
    <n v="-17.48"/>
    <n v="1769.8"/>
    <n v="-56.71"/>
    <n v="2062.9599999999996"/>
    <n v="1826.51"/>
  </r>
  <r>
    <x v="6"/>
    <x v="1"/>
    <x v="0"/>
    <s v="5964200"/>
    <n v="713010"/>
    <s v="Benefits-FICA/Medicare"/>
    <s v="FMC Des Moines FM Shared Svc"/>
    <x v="0"/>
    <m/>
    <n v="1509.69"/>
    <n v="1754.62"/>
    <n v="1434.27"/>
    <n v="1996.55"/>
    <n v="1855.53"/>
    <n v="1750.97"/>
    <n v="1757.75"/>
    <n v="1597.6"/>
    <n v="1650.6"/>
    <n v="1809.88"/>
    <n v="1730.95"/>
    <n v="1616.04"/>
    <n v="20464.45"/>
    <n v="114.91000000000008"/>
  </r>
  <r>
    <x v="6"/>
    <x v="1"/>
    <x v="0"/>
    <s v="5964200"/>
    <n v="713090"/>
    <s v="Benefits-Allocated Amounts"/>
    <s v="FMC Des Moines FM Shared Svc"/>
    <x v="0"/>
    <m/>
    <n v="5120.96"/>
    <n v="5013.0200000000004"/>
    <n v="5208.8599999999997"/>
    <n v="6492.38"/>
    <n v="6714.28"/>
    <n v="6184.64"/>
    <n v="6771.76"/>
    <n v="6687.7"/>
    <n v="6267.67"/>
    <n v="6634.04"/>
    <n v="6442.36"/>
    <n v="6690.61"/>
    <n v="74228.28"/>
    <n v="-248.25"/>
  </r>
  <r>
    <x v="6"/>
    <x v="1"/>
    <x v="0"/>
    <s v="5964200"/>
    <n v="713096"/>
    <s v="Employee Recognition"/>
    <s v="FMC Des Moines FM Shared Svc"/>
    <x v="0"/>
    <n v="1017"/>
    <n v="0"/>
    <n v="0"/>
    <n v="0"/>
    <n v="0"/>
    <n v="0"/>
    <n v="0"/>
    <n v="0"/>
    <n v="125.3"/>
    <n v="96.93"/>
    <n v="52"/>
    <n v="130.35"/>
    <n v="99.14"/>
    <n v="503.72"/>
    <n v="31.209999999999994"/>
  </r>
  <r>
    <x v="7"/>
    <x v="1"/>
    <x v="0"/>
    <s v="5964200"/>
    <n v="718010"/>
    <s v="Media/Print Advertising"/>
    <s v="FMC Des Moines FM Shared Svc"/>
    <x v="0"/>
    <n v="1004"/>
    <n v="0"/>
    <n v="0"/>
    <n v="0"/>
    <n v="0"/>
    <n v="0"/>
    <n v="0"/>
    <n v="0"/>
    <n v="0"/>
    <n v="0"/>
    <n v="499.82"/>
    <n v="0"/>
    <n v="0"/>
    <n v="499.82"/>
    <n v="0"/>
  </r>
  <r>
    <x v="7"/>
    <x v="1"/>
    <x v="0"/>
    <s v="5964200"/>
    <n v="718050"/>
    <s v="Contract Svcs-Other"/>
    <s v="FMC Des Moines FM Shared Svc"/>
    <x v="0"/>
    <m/>
    <n v="0"/>
    <n v="113.83"/>
    <n v="441.19"/>
    <n v="0"/>
    <n v="99.7"/>
    <n v="0"/>
    <n v="199.4"/>
    <n v="99.7"/>
    <n v="49.85"/>
    <n v="0"/>
    <n v="128.25"/>
    <n v="55.63"/>
    <n v="1187.5500000000002"/>
    <n v="72.62"/>
  </r>
  <r>
    <x v="7"/>
    <x v="1"/>
    <x v="0"/>
    <s v="5964200"/>
    <n v="718050"/>
    <s v="Management Fees"/>
    <s v="FMC Des Moines FM Shared Svc"/>
    <x v="0"/>
    <n v="1004"/>
    <n v="97.59"/>
    <n v="97.59"/>
    <n v="0"/>
    <n v="-12.4"/>
    <n v="0"/>
    <n v="0"/>
    <n v="0"/>
    <n v="0"/>
    <n v="0"/>
    <n v="0"/>
    <n v="0"/>
    <n v="-12.4"/>
    <n v="170.38"/>
    <n v="12.4"/>
  </r>
  <r>
    <x v="7"/>
    <x v="1"/>
    <x v="0"/>
    <s v="5964200"/>
    <n v="718050"/>
    <s v="Cleaning Services"/>
    <s v="FMC Des Moines FM Shared Svc"/>
    <x v="0"/>
    <n v="1011"/>
    <n v="1350"/>
    <n v="1750"/>
    <n v="0"/>
    <n v="0"/>
    <n v="1350"/>
    <n v="1350"/>
    <n v="1350"/>
    <n v="1350"/>
    <n v="1350"/>
    <n v="1350"/>
    <n v="1750"/>
    <n v="1350"/>
    <n v="14300"/>
    <n v="400"/>
  </r>
  <r>
    <x v="7"/>
    <x v="1"/>
    <x v="0"/>
    <s v="5964200"/>
    <n v="718050"/>
    <s v="Document Shredding/Storage"/>
    <s v="FMC Des Moines FM Shared Svc"/>
    <x v="0"/>
    <n v="1012"/>
    <n v="409.13"/>
    <n v="626.70000000000005"/>
    <n v="647.45000000000005"/>
    <n v="577.58000000000004"/>
    <n v="158.63"/>
    <n v="314.88"/>
    <n v="307.77"/>
    <n v="585.35"/>
    <n v="465.08"/>
    <n v="-54.98"/>
    <n v="289.83999999999997"/>
    <n v="221.01"/>
    <n v="4548.4400000000005"/>
    <n v="68.829999999999984"/>
  </r>
  <r>
    <x v="7"/>
    <x v="1"/>
    <x v="0"/>
    <s v="5964200"/>
    <n v="718050"/>
    <s v="Physician Answering"/>
    <s v="FMC Des Moines FM Shared Svc"/>
    <x v="0"/>
    <n v="1015"/>
    <n v="0"/>
    <n v="0"/>
    <n v="0"/>
    <n v="0"/>
    <n v="0"/>
    <n v="0"/>
    <n v="160"/>
    <n v="16"/>
    <n v="64"/>
    <n v="80"/>
    <n v="0"/>
    <n v="35"/>
    <n v="355"/>
    <n v="-35"/>
  </r>
  <r>
    <x v="7"/>
    <x v="1"/>
    <x v="0"/>
    <s v="5964200"/>
    <n v="718050"/>
    <s v="Miscellaneous Purchased Svcs"/>
    <s v="FMC Des Moines FM Shared Svc"/>
    <x v="0"/>
    <n v="1020"/>
    <n v="0"/>
    <n v="0"/>
    <n v="0"/>
    <n v="0"/>
    <n v="0"/>
    <n v="-160.44"/>
    <n v="0"/>
    <n v="0"/>
    <n v="0"/>
    <n v="0"/>
    <n v="0"/>
    <n v="0"/>
    <n v="-160.44"/>
    <n v="0"/>
  </r>
  <r>
    <x v="7"/>
    <x v="1"/>
    <x v="0"/>
    <s v="5964200"/>
    <n v="718050"/>
    <s v="Translation Services"/>
    <s v="FMC Des Moines FM Shared Svc"/>
    <x v="0"/>
    <n v="1025"/>
    <n v="64.260000000000005"/>
    <n v="0"/>
    <n v="8.1"/>
    <n v="26.87"/>
    <n v="47.4"/>
    <n v="53.57"/>
    <n v="31.6"/>
    <n v="75.84"/>
    <n v="0"/>
    <n v="41.08"/>
    <n v="13.43"/>
    <n v="183.72"/>
    <n v="545.87"/>
    <n v="-170.29"/>
  </r>
  <r>
    <x v="7"/>
    <x v="1"/>
    <x v="0"/>
    <s v="5964200"/>
    <n v="718070"/>
    <s v="Contract Srvcs-CHI Clinical Engineering"/>
    <s v="FMC Des Moines FM Shared Svc"/>
    <x v="0"/>
    <m/>
    <n v="88.97"/>
    <n v="7.93"/>
    <n v="7.93"/>
    <n v="173.43"/>
    <n v="7.93"/>
    <n v="7.93"/>
    <n v="0"/>
    <n v="0"/>
    <n v="0"/>
    <n v="0"/>
    <n v="0"/>
    <n v="0"/>
    <n v="294.12"/>
    <n v="0"/>
  </r>
  <r>
    <x v="11"/>
    <x v="1"/>
    <x v="0"/>
    <s v="5964200"/>
    <n v="721010"/>
    <s v="Supplies-Medical - Billable"/>
    <s v="FMC Des Moines FM Shared Svc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5964200"/>
    <n v="721250"/>
    <s v="Supplies-Pharmacy Drugs - Billable"/>
    <s v="FMC Des Moines FM Shared Svc"/>
    <x v="0"/>
    <m/>
    <n v="0"/>
    <n v="0"/>
    <n v="0"/>
    <n v="1464"/>
    <n v="1464"/>
    <n v="1464"/>
    <n v="0"/>
    <n v="0"/>
    <n v="0"/>
    <n v="0"/>
    <n v="-1647.06"/>
    <n v="0"/>
    <n v="2744.94"/>
    <n v="-1647.06"/>
  </r>
  <r>
    <x v="11"/>
    <x v="1"/>
    <x v="0"/>
    <s v="5964200"/>
    <n v="721810"/>
    <s v="Supplies-Dietary/Cafeteria"/>
    <s v="FMC Des Moines FM Shared Svc"/>
    <x v="0"/>
    <m/>
    <n v="0"/>
    <n v="251.61"/>
    <n v="242.32"/>
    <n v="95.5"/>
    <n v="286.31"/>
    <n v="0"/>
    <n v="40.99"/>
    <n v="8.5"/>
    <n v="323.5"/>
    <n v="0"/>
    <n v="54.97"/>
    <n v="288.5"/>
    <n v="1592.2"/>
    <n v="-233.53"/>
  </r>
  <r>
    <x v="11"/>
    <x v="1"/>
    <x v="0"/>
    <s v="5964200"/>
    <n v="721830"/>
    <s v="Supplies-Office"/>
    <s v="FMC Des Moines FM Shared Svc"/>
    <x v="0"/>
    <m/>
    <n v="1098.3900000000001"/>
    <n v="332.22"/>
    <n v="368.51"/>
    <n v="354.3"/>
    <n v="481.09"/>
    <n v="1086.57"/>
    <n v="953.9"/>
    <n v="435.12"/>
    <n v="1236.27"/>
    <n v="798.51"/>
    <n v="483.28"/>
    <n v="593.27"/>
    <n v="8221.4299999999985"/>
    <n v="-109.99000000000001"/>
  </r>
  <r>
    <x v="11"/>
    <x v="1"/>
    <x v="0"/>
    <s v="5964200"/>
    <n v="721835"/>
    <s v="Supplies-Forms"/>
    <s v="FMC Des Moines FM Shared Svc"/>
    <x v="0"/>
    <m/>
    <n v="0"/>
    <n v="0"/>
    <n v="0"/>
    <n v="0"/>
    <n v="0.94"/>
    <n v="0"/>
    <n v="0"/>
    <n v="0"/>
    <n v="0"/>
    <n v="0"/>
    <n v="0"/>
    <n v="0"/>
    <n v="0.94"/>
    <n v="0"/>
  </r>
  <r>
    <x v="11"/>
    <x v="1"/>
    <x v="0"/>
    <s v="5964200"/>
    <n v="721910"/>
    <s v="Supplies-Small Equipment"/>
    <s v="FMC Des Moines FM Shared Svc"/>
    <x v="0"/>
    <m/>
    <n v="750.41"/>
    <n v="-0.68"/>
    <n v="0"/>
    <n v="0"/>
    <n v="0"/>
    <n v="0"/>
    <n v="0"/>
    <n v="0"/>
    <n v="0"/>
    <n v="0"/>
    <n v="0"/>
    <n v="0"/>
    <n v="749.73"/>
    <n v="0"/>
  </r>
  <r>
    <x v="12"/>
    <x v="1"/>
    <x v="0"/>
    <s v="5964200"/>
    <n v="730010"/>
    <s v="Rental and Leases-Building (DO NOT USE)"/>
    <s v="FMC Des Moines FM Shared Svc"/>
    <x v="0"/>
    <m/>
    <n v="13979.26"/>
    <n v="13979.26"/>
    <n v="13979.26"/>
    <n v="13979.26"/>
    <n v="13979.26"/>
    <n v="11043.41"/>
    <n v="11043.41"/>
    <n v="11043.41"/>
    <n v="11043.41"/>
    <n v="-3635.84"/>
    <n v="11043.41"/>
    <n v="11043.41"/>
    <n v="132520.92000000001"/>
    <n v="0"/>
  </r>
  <r>
    <x v="12"/>
    <x v="1"/>
    <x v="0"/>
    <s v="5964200"/>
    <n v="730010"/>
    <s v="Rental-Common Area Maint (DO NOT USE)"/>
    <s v="FMC Des Moines FM Shared Svc"/>
    <x v="0"/>
    <n v="2200"/>
    <n v="0"/>
    <n v="0"/>
    <n v="0"/>
    <n v="0"/>
    <n v="0"/>
    <n v="2935.85"/>
    <n v="2935.85"/>
    <n v="2935.85"/>
    <n v="2935.85"/>
    <n v="15940.26"/>
    <n v="2935.85"/>
    <n v="2935.85"/>
    <n v="33555.360000000001"/>
    <n v="0"/>
  </r>
  <r>
    <x v="12"/>
    <x v="1"/>
    <x v="0"/>
    <s v="5964200"/>
    <n v="730020"/>
    <s v="Rental and Leases-Equipment (DO NOT USE)"/>
    <s v="FMC Des Moines FM Shared Svc"/>
    <x v="0"/>
    <m/>
    <n v="0"/>
    <n v="409.2"/>
    <n v="204.6"/>
    <n v="204.6"/>
    <n v="33"/>
    <n v="0"/>
    <n v="204.6"/>
    <n v="409.2"/>
    <n v="442.05"/>
    <n v="0"/>
    <n v="401.33"/>
    <n v="0"/>
    <n v="2308.58"/>
    <n v="401.33"/>
  </r>
  <r>
    <x v="12"/>
    <x v="1"/>
    <x v="0"/>
    <s v="5964200"/>
    <n v="730020"/>
    <s v="Rental and Leases-Copier Usage Fees (DO NOT USE)"/>
    <s v="FMC Des Moines FM Shared Svc"/>
    <x v="0"/>
    <n v="5100"/>
    <n v="358.39"/>
    <n v="362.5"/>
    <n v="360.44"/>
    <n v="360.44"/>
    <n v="360.44"/>
    <n v="360.44"/>
    <n v="443.06"/>
    <n v="330.7"/>
    <n v="330"/>
    <n v="437.72"/>
    <n v="330.7"/>
    <n v="377.11"/>
    <n v="4411.9399999999996"/>
    <n v="-46.410000000000025"/>
  </r>
  <r>
    <x v="15"/>
    <x v="1"/>
    <x v="0"/>
    <s v="5964200"/>
    <n v="731060"/>
    <s v="Telephone"/>
    <s v="FMC Des Moines FM Shared Svc"/>
    <x v="0"/>
    <m/>
    <n v="3154.41"/>
    <n v="3231.28"/>
    <n v="1624.78"/>
    <n v="2510.5700000000002"/>
    <n v="2649.23"/>
    <n v="2766.67"/>
    <n v="3236.23"/>
    <n v="2035.72"/>
    <n v="2949.59"/>
    <n v="2753.02"/>
    <n v="3060.2"/>
    <n v="2386.9699999999998"/>
    <n v="32358.670000000006"/>
    <n v="673.23"/>
  </r>
  <r>
    <x v="16"/>
    <x v="1"/>
    <x v="0"/>
    <s v="5964200"/>
    <n v="732030"/>
    <s v="Repairs---Other"/>
    <s v="FMC Des Moines FM Shared Svc"/>
    <x v="0"/>
    <m/>
    <n v="492.75"/>
    <n v="0"/>
    <n v="0"/>
    <n v="2.36"/>
    <n v="0"/>
    <n v="106.49"/>
    <n v="0"/>
    <n v="0"/>
    <n v="10.99"/>
    <n v="0"/>
    <n v="105.56"/>
    <n v="398.5"/>
    <n v="1116.6500000000001"/>
    <n v="-292.94"/>
  </r>
  <r>
    <x v="13"/>
    <x v="1"/>
    <x v="0"/>
    <s v="5964200"/>
    <n v="735050"/>
    <s v="Amortization-Leasehold Improvements"/>
    <s v="FMC Des Moines FM Shared Svc"/>
    <x v="0"/>
    <m/>
    <n v="777.71"/>
    <n v="996.71"/>
    <n v="996.71"/>
    <n v="996.71"/>
    <n v="996.72"/>
    <n v="996.7"/>
    <n v="996.72"/>
    <n v="996.7"/>
    <n v="996.72"/>
    <n v="996.7"/>
    <n v="996.72"/>
    <n v="996.7"/>
    <n v="11741.52"/>
    <n v="1.999999999998181E-2"/>
  </r>
  <r>
    <x v="13"/>
    <x v="1"/>
    <x v="0"/>
    <s v="5964200"/>
    <n v="735070"/>
    <s v="Depreciation-Movable Equipment"/>
    <s v="FMC Des Moines FM Shared Svc"/>
    <x v="0"/>
    <m/>
    <n v="2401.9899999999998"/>
    <n v="2401.94"/>
    <n v="2402.0500000000002"/>
    <n v="2401.9"/>
    <n v="2402.09"/>
    <n v="2401.89"/>
    <n v="2402.12"/>
    <n v="2401.83"/>
    <n v="2402.2199999999998"/>
    <n v="2401.8200000000002"/>
    <n v="2402.2600000000002"/>
    <n v="2401.81"/>
    <n v="28823.920000000002"/>
    <n v="0.45000000000027285"/>
  </r>
  <r>
    <x v="0"/>
    <x v="1"/>
    <x v="0"/>
    <s v="5964200"/>
    <n v="742010"/>
    <s v="Postage-Regular"/>
    <s v="FMC Des Moines FM Shared Svc"/>
    <x v="0"/>
    <m/>
    <n v="0"/>
    <n v="26.8"/>
    <n v="46.9"/>
    <n v="0"/>
    <n v="33.5"/>
    <n v="0"/>
    <n v="115.18"/>
    <n v="0"/>
    <n v="0"/>
    <n v="0"/>
    <n v="35.630000000000003"/>
    <n v="0"/>
    <n v="258.01"/>
    <n v="35.630000000000003"/>
  </r>
  <r>
    <x v="0"/>
    <x v="1"/>
    <x v="0"/>
    <s v="5964200"/>
    <n v="742040"/>
    <s v="Freight-Other"/>
    <s v="FMC Des Moines FM Shared Svc"/>
    <x v="0"/>
    <m/>
    <n v="0"/>
    <n v="0"/>
    <n v="0"/>
    <n v="12.4"/>
    <n v="0"/>
    <n v="0"/>
    <n v="0"/>
    <n v="0"/>
    <n v="0"/>
    <n v="0"/>
    <n v="0"/>
    <n v="12.4"/>
    <n v="24.8"/>
    <n v="-12.4"/>
  </r>
  <r>
    <x v="0"/>
    <x v="1"/>
    <x v="0"/>
    <s v="5964200"/>
    <n v="749510"/>
    <s v="Miscellaneous Expenses"/>
    <s v="FMC Des Moines FM Shared Svc"/>
    <x v="0"/>
    <m/>
    <n v="13.08"/>
    <n v="111.05"/>
    <n v="64.87"/>
    <n v="5.98"/>
    <n v="195.48"/>
    <n v="109.66"/>
    <n v="58.39"/>
    <n v="78.98"/>
    <n v="100"/>
    <n v="148.34"/>
    <n v="1.66"/>
    <n v="0"/>
    <n v="887.49"/>
    <n v="1.66"/>
  </r>
  <r>
    <x v="0"/>
    <x v="1"/>
    <x v="0"/>
    <s v="5964200"/>
    <n v="749510"/>
    <s v="Licenses"/>
    <s v="FMC Des Moines FM Shared Svc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964200"/>
    <n v="749510"/>
    <s v="RICE Rewards"/>
    <s v="FMC Des Moines FM Shared Svc"/>
    <x v="0"/>
    <n v="5100"/>
    <n v="0"/>
    <n v="0"/>
    <n v="0"/>
    <n v="0"/>
    <n v="0"/>
    <n v="524.76"/>
    <n v="0"/>
    <n v="0"/>
    <n v="0"/>
    <n v="0"/>
    <n v="249.48"/>
    <n v="318.67"/>
    <n v="1092.9100000000001"/>
    <n v="-69.190000000000026"/>
  </r>
  <r>
    <x v="0"/>
    <x v="1"/>
    <x v="0"/>
    <s v="5964200"/>
    <n v="749530"/>
    <s v="Mileage"/>
    <s v="FMC Des Moines FM Shared Svc"/>
    <x v="0"/>
    <n v="1001"/>
    <n v="41.43"/>
    <n v="0"/>
    <n v="0"/>
    <n v="64.87"/>
    <n v="70.849999999999994"/>
    <n v="40.340000000000003"/>
    <n v="0"/>
    <n v="58.39"/>
    <n v="47.56"/>
    <n v="79.459999999999994"/>
    <n v="107.88"/>
    <n v="71.34"/>
    <n v="582.12"/>
    <n v="36.539999999999992"/>
  </r>
  <r>
    <x v="0"/>
    <x v="1"/>
    <x v="0"/>
    <s v="5964200"/>
    <n v="749550"/>
    <s v="Cash Over/Short"/>
    <s v="FMC Des Moines FM Shared Svc"/>
    <x v="0"/>
    <m/>
    <n v="20"/>
    <n v="-0.9"/>
    <n v="0"/>
    <n v="-1"/>
    <n v="0"/>
    <n v="-0.5"/>
    <n v="0"/>
    <n v="0"/>
    <n v="-16.420000000000002"/>
    <n v="-21.3"/>
    <n v="10.79"/>
    <n v="0"/>
    <n v="-9.3300000000000018"/>
    <n v="10.79"/>
  </r>
  <r>
    <x v="0"/>
    <x v="1"/>
    <x v="0"/>
    <s v="5964200"/>
    <n v="766010"/>
    <s v="Property Tax"/>
    <s v="FMC Des Moines FM Shared Svc"/>
    <x v="0"/>
    <m/>
    <n v="754.69"/>
    <n v="754.69"/>
    <n v="754.69"/>
    <n v="784.49"/>
    <n v="754.69"/>
    <n v="754.69"/>
    <n v="754.69"/>
    <n v="754.69"/>
    <n v="754.69"/>
    <n v="-97.66"/>
    <n v="541.61"/>
    <n v="541.61"/>
    <n v="7807.5700000000015"/>
    <n v="0"/>
  </r>
  <r>
    <x v="12"/>
    <x v="1"/>
    <x v="0"/>
    <s v="5967200"/>
    <n v="730020"/>
    <s v="Rental and Leases-Copier Usage Fees (DO NOT USE)"/>
    <s v="Highline Gero-Psych Shared Svc"/>
    <x v="0"/>
    <n v="5100"/>
    <n v="0"/>
    <n v="0"/>
    <n v="0"/>
    <n v="0"/>
    <n v="0"/>
    <n v="0"/>
    <n v="149.99"/>
    <n v="11.2"/>
    <n v="11.18"/>
    <n v="11.22"/>
    <n v="11.2"/>
    <n v="11.75"/>
    <n v="206.54"/>
    <n v="-0.55000000000000071"/>
  </r>
  <r>
    <x v="15"/>
    <x v="1"/>
    <x v="0"/>
    <s v="5967200"/>
    <n v="731020"/>
    <s v="Electricity"/>
    <s v="Highline Gero-Psych Shared Svc"/>
    <x v="0"/>
    <m/>
    <n v="0"/>
    <n v="181.7"/>
    <n v="0"/>
    <n v="284.11"/>
    <n v="0"/>
    <n v="299.49"/>
    <n v="0"/>
    <n v="385.95"/>
    <n v="0"/>
    <n v="390.69"/>
    <n v="0"/>
    <n v="245.02"/>
    <n v="1786.96"/>
    <n v="-245.02"/>
  </r>
  <r>
    <x v="5"/>
    <x v="1"/>
    <x v="0"/>
    <s v="5968200"/>
    <n v="700014"/>
    <s v="Salaries-Management-Productive"/>
    <s v="FMC-Westwood FM Shared Svc"/>
    <x v="0"/>
    <m/>
    <n v="2598.4"/>
    <n v="3735.2"/>
    <n v="2923.2"/>
    <n v="3215.07"/>
    <n v="2937.09"/>
    <n v="2836.96"/>
    <n v="2841.37"/>
    <n v="3342.5"/>
    <n v="3008.25"/>
    <n v="3275.64"/>
    <n v="3409.36"/>
    <n v="3676.75"/>
    <n v="37799.789999999994"/>
    <n v="-267.38999999999987"/>
  </r>
  <r>
    <x v="5"/>
    <x v="1"/>
    <x v="0"/>
    <s v="5968200"/>
    <n v="700038"/>
    <s v="Salaries-Service/Support-Productive"/>
    <s v="FMC-Westwood FM Shared Svc"/>
    <x v="0"/>
    <m/>
    <n v="15726.22"/>
    <n v="17437"/>
    <n v="15216.99"/>
    <n v="18096.48"/>
    <n v="17408.189999999999"/>
    <n v="13332.93"/>
    <n v="17310.009999999998"/>
    <n v="14427.41"/>
    <n v="16223.77"/>
    <n v="16637.89"/>
    <n v="14259.85"/>
    <n v="11695.87"/>
    <n v="187772.61000000002"/>
    <n v="2563.9799999999996"/>
  </r>
  <r>
    <x v="5"/>
    <x v="1"/>
    <x v="0"/>
    <s v="5968200"/>
    <n v="700038"/>
    <s v="Salaries-Service/Support-OT"/>
    <s v="FMC-Westwood FM Shared Svc"/>
    <x v="0"/>
    <n v="1000"/>
    <n v="172.65"/>
    <n v="171.25"/>
    <n v="280.63"/>
    <n v="423.92"/>
    <n v="533.22"/>
    <n v="202.53"/>
    <n v="273.93"/>
    <n v="362.8"/>
    <n v="465"/>
    <n v="728.59"/>
    <n v="82.68"/>
    <n v="268.76"/>
    <n v="3965.96"/>
    <n v="-186.07999999999998"/>
  </r>
  <r>
    <x v="5"/>
    <x v="1"/>
    <x v="0"/>
    <s v="5968200"/>
    <n v="700038"/>
    <s v="Salaries-Service/Support-Other"/>
    <s v="FMC-Westwood FM Shared Svc"/>
    <x v="0"/>
    <n v="2000"/>
    <n v="203.26"/>
    <n v="203.01"/>
    <n v="422.35"/>
    <n v="207.87"/>
    <n v="209.4"/>
    <n v="191.99"/>
    <n v="209.9"/>
    <n v="178.22"/>
    <n v="196.71"/>
    <n v="206.94"/>
    <n v="204.13"/>
    <n v="181.23"/>
    <n v="2615.0100000000002"/>
    <n v="22.900000000000006"/>
  </r>
  <r>
    <x v="5"/>
    <x v="1"/>
    <x v="0"/>
    <s v="5968200"/>
    <n v="700054"/>
    <s v="Salaries-Management-Non-productive"/>
    <s v="FMC-Westwood FM Shared Svc"/>
    <x v="0"/>
    <m/>
    <n v="974.4"/>
    <n v="324.8"/>
    <n v="1948.8"/>
    <n v="275.95999999999998"/>
    <n v="734.28"/>
    <n v="2102.6799999999998"/>
    <n v="902.63"/>
    <n v="467.94"/>
    <n v="367.68"/>
    <n v="401.1"/>
    <n v="434.53"/>
    <n v="1002.75"/>
    <n v="9937.5500000000011"/>
    <n v="-568.22"/>
  </r>
  <r>
    <x v="5"/>
    <x v="1"/>
    <x v="0"/>
    <s v="5968200"/>
    <n v="700054"/>
    <s v="Salaries-Management-NonProd-Other"/>
    <s v="FMC-Westwood FM Shared Svc"/>
    <x v="0"/>
    <n v="2000"/>
    <n v="0"/>
    <n v="0"/>
    <n v="0"/>
    <n v="0"/>
    <n v="0"/>
    <n v="666.63"/>
    <n v="-666.63"/>
    <n v="0"/>
    <n v="0"/>
    <n v="0"/>
    <n v="0"/>
    <n v="0"/>
    <n v="0"/>
    <n v="0"/>
  </r>
  <r>
    <x v="5"/>
    <x v="1"/>
    <x v="0"/>
    <s v="5968200"/>
    <n v="700078"/>
    <s v="Salaries-Service/Support-Non-productive"/>
    <s v="FMC-Westwood FM Shared Svc"/>
    <x v="0"/>
    <m/>
    <n v="2356.67"/>
    <n v="1295.5"/>
    <n v="1328.69"/>
    <n v="985.74"/>
    <n v="1189.4100000000001"/>
    <n v="4396.1400000000003"/>
    <n v="2425.44"/>
    <n v="2000.2"/>
    <n v="1765.61"/>
    <n v="2132.54"/>
    <n v="5041.67"/>
    <n v="4553.79"/>
    <n v="29471.4"/>
    <n v="487.88000000000011"/>
  </r>
  <r>
    <x v="5"/>
    <x v="1"/>
    <x v="0"/>
    <s v="5968200"/>
    <n v="700078"/>
    <s v="Salaries-Service/Support-NonProd-Other"/>
    <s v="FMC-Westwood FM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68200"/>
    <n v="700084"/>
    <s v="Accrued PTO"/>
    <s v="FMC-Westwood FM Shared Svc"/>
    <x v="0"/>
    <m/>
    <n v="-140.63999999999999"/>
    <n v="1454.02"/>
    <n v="-306.04000000000002"/>
    <n v="2378.42"/>
    <n v="494"/>
    <n v="-2288.6"/>
    <n v="-366.95"/>
    <n v="580.82000000000005"/>
    <n v="818.98"/>
    <n v="870.61"/>
    <n v="1150.78"/>
    <n v="501.12"/>
    <n v="5146.5200000000004"/>
    <n v="649.66"/>
  </r>
  <r>
    <x v="6"/>
    <x v="1"/>
    <x v="0"/>
    <s v="5968200"/>
    <n v="713010"/>
    <s v="Benefits-FICA/Medicare"/>
    <s v="FMC-Westwood FM Shared Svc"/>
    <x v="0"/>
    <m/>
    <n v="1648.08"/>
    <n v="1732.36"/>
    <n v="1646.55"/>
    <n v="1732.7"/>
    <n v="1764.5"/>
    <n v="1765.47"/>
    <n v="1825.37"/>
    <n v="1536.32"/>
    <n v="1631.63"/>
    <n v="1732.19"/>
    <n v="1752.16"/>
    <n v="1588.45"/>
    <n v="20355.78"/>
    <n v="163.71000000000004"/>
  </r>
  <r>
    <x v="6"/>
    <x v="1"/>
    <x v="0"/>
    <s v="5968200"/>
    <n v="713090"/>
    <s v="Benefits-Allocated Amounts"/>
    <s v="FMC-Westwood FM Shared Svc"/>
    <x v="0"/>
    <m/>
    <n v="5934.64"/>
    <n v="5497.46"/>
    <n v="6067.37"/>
    <n v="5988.28"/>
    <n v="5910.77"/>
    <n v="6147.38"/>
    <n v="6991.9"/>
    <n v="6580.08"/>
    <n v="6271.66"/>
    <n v="6394.76"/>
    <n v="6512.61"/>
    <n v="6213.97"/>
    <n v="74510.880000000005"/>
    <n v="298.63999999999942"/>
  </r>
  <r>
    <x v="6"/>
    <x v="1"/>
    <x v="0"/>
    <s v="5968200"/>
    <n v="713096"/>
    <s v="Employee Recognition"/>
    <s v="FMC-Westwood FM Shared Svc"/>
    <x v="0"/>
    <n v="1017"/>
    <n v="81.19"/>
    <n v="0"/>
    <n v="59.51"/>
    <n v="0"/>
    <n v="135.37"/>
    <n v="155.83000000000001"/>
    <n v="129.97999999999999"/>
    <n v="100.99"/>
    <n v="101.13"/>
    <n v="145.5"/>
    <n v="390.92"/>
    <n v="82.33"/>
    <n v="1382.75"/>
    <n v="308.59000000000003"/>
  </r>
  <r>
    <x v="7"/>
    <x v="1"/>
    <x v="0"/>
    <s v="5968200"/>
    <n v="718050"/>
    <s v="Contract Svcs-Other"/>
    <s v="FMC-Westwood FM Shared Svc"/>
    <x v="0"/>
    <m/>
    <n v="63.44"/>
    <n v="1291.68"/>
    <n v="337.21"/>
    <n v="266.14"/>
    <n v="395.83"/>
    <n v="330.06"/>
    <n v="161.24"/>
    <n v="480.64"/>
    <n v="138"/>
    <n v="14.73"/>
    <n v="222.82"/>
    <n v="375.08"/>
    <n v="4076.8700000000003"/>
    <n v="-152.26"/>
  </r>
  <r>
    <x v="7"/>
    <x v="1"/>
    <x v="0"/>
    <s v="5968200"/>
    <n v="718050"/>
    <s v="Cleaning Services"/>
    <s v="FMC-Westwood FM Shared Svc"/>
    <x v="0"/>
    <n v="1011"/>
    <n v="710"/>
    <n v="1218.56"/>
    <n v="0"/>
    <n v="1218.56"/>
    <n v="710"/>
    <n v="710"/>
    <n v="710"/>
    <n v="1233.29"/>
    <n v="724.73"/>
    <n v="710"/>
    <n v="710"/>
    <n v="710"/>
    <n v="9365.14"/>
    <n v="0"/>
  </r>
  <r>
    <x v="7"/>
    <x v="1"/>
    <x v="0"/>
    <s v="5968200"/>
    <n v="718050"/>
    <s v="Document Shredding/Storage"/>
    <s v="FMC-Westwood FM Shared Svc"/>
    <x v="0"/>
    <n v="1012"/>
    <n v="131.72999999999999"/>
    <n v="-12.74"/>
    <n v="186.81"/>
    <n v="130.13"/>
    <n v="-16.350000000000001"/>
    <n v="103.3"/>
    <n v="102.26"/>
    <n v="66.58"/>
    <n v="85.52"/>
    <n v="68.27"/>
    <n v="81.58"/>
    <n v="116.55"/>
    <n v="1043.6400000000001"/>
    <n v="-34.97"/>
  </r>
  <r>
    <x v="7"/>
    <x v="1"/>
    <x v="0"/>
    <s v="5968200"/>
    <n v="718050"/>
    <s v="Pest Control"/>
    <s v="FMC-Westwood FM Shared Svc"/>
    <x v="0"/>
    <n v="1014"/>
    <n v="156.30000000000001"/>
    <n v="78.150000000000006"/>
    <n v="78.150000000000006"/>
    <n v="0"/>
    <n v="156.30000000000001"/>
    <n v="78.150000000000006"/>
    <n v="78.150000000000006"/>
    <n v="78.150000000000006"/>
    <n v="78.150000000000006"/>
    <n v="0"/>
    <n v="78.150000000000006"/>
    <n v="0"/>
    <n v="859.65"/>
    <n v="78.150000000000006"/>
  </r>
  <r>
    <x v="7"/>
    <x v="1"/>
    <x v="0"/>
    <s v="5968200"/>
    <n v="718050"/>
    <s v="Security"/>
    <s v="FMC-Westwood FM Shared Svc"/>
    <x v="0"/>
    <n v="1019"/>
    <n v="0"/>
    <n v="0"/>
    <n v="0"/>
    <n v="312"/>
    <n v="0"/>
    <n v="0"/>
    <n v="0"/>
    <n v="0"/>
    <n v="135"/>
    <n v="125.91"/>
    <n v="0"/>
    <n v="0"/>
    <n v="572.91"/>
    <n v="0"/>
  </r>
  <r>
    <x v="7"/>
    <x v="1"/>
    <x v="0"/>
    <s v="5968200"/>
    <n v="718050"/>
    <s v="Miscellaneous Purchased Svcs"/>
    <s v="FMC-Westwood FM Shared Svc"/>
    <x v="0"/>
    <n v="1020"/>
    <n v="82.5"/>
    <n v="65.94"/>
    <n v="0"/>
    <n v="65.94"/>
    <n v="283.48"/>
    <n v="0"/>
    <n v="65.959999999999994"/>
    <n v="387.98"/>
    <n v="32.979999999999997"/>
    <n v="32.97"/>
    <n v="0"/>
    <n v="131.91"/>
    <n v="1149.6600000000001"/>
    <n v="-131.91"/>
  </r>
  <r>
    <x v="7"/>
    <x v="1"/>
    <x v="0"/>
    <s v="5968200"/>
    <n v="718050"/>
    <s v="Translation Services"/>
    <s v="FMC-Westwood FM Shared Svc"/>
    <x v="0"/>
    <n v="1025"/>
    <n v="219.16"/>
    <n v="150"/>
    <n v="29.97"/>
    <n v="43.45"/>
    <n v="51.35"/>
    <n v="75.05"/>
    <n v="28.44"/>
    <n v="22.12"/>
    <n v="0"/>
    <n v="54.62"/>
    <n v="0.36"/>
    <n v="73.2"/>
    <n v="747.72000000000014"/>
    <n v="-72.84"/>
  </r>
  <r>
    <x v="7"/>
    <x v="1"/>
    <x v="0"/>
    <s v="5968200"/>
    <n v="718050"/>
    <s v="Purchased Srvcs--Medical Waste"/>
    <s v="FMC-Westwood FM Shared Svc"/>
    <x v="0"/>
    <n v="1027"/>
    <n v="11.51"/>
    <n v="11.51"/>
    <n v="11.51"/>
    <n v="265"/>
    <n v="235.82"/>
    <n v="11.51"/>
    <n v="23.02"/>
    <n v="247.95"/>
    <n v="0"/>
    <n v="23.02"/>
    <n v="0"/>
    <n v="11.51"/>
    <n v="852.3599999999999"/>
    <n v="-11.51"/>
  </r>
  <r>
    <x v="7"/>
    <x v="1"/>
    <x v="0"/>
    <s v="5968200"/>
    <n v="718070"/>
    <s v="Contract Srvcs-CHI Clinical Engineering"/>
    <s v="FMC-Westwood FM Shared Svc"/>
    <x v="0"/>
    <m/>
    <n v="0"/>
    <n v="0"/>
    <n v="2900.49"/>
    <n v="2832.58"/>
    <n v="3017.73"/>
    <n v="1355.22"/>
    <n v="2005.3"/>
    <n v="1795.72"/>
    <n v="0"/>
    <n v="0"/>
    <n v="1494.03"/>
    <n v="0"/>
    <n v="15401.069999999998"/>
    <n v="1494.03"/>
  </r>
  <r>
    <x v="11"/>
    <x v="1"/>
    <x v="0"/>
    <s v="5968200"/>
    <n v="721010"/>
    <s v="Supplies-Medical - Billable"/>
    <s v="FMC-Westwood FM Shared Svc"/>
    <x v="0"/>
    <m/>
    <n v="0"/>
    <n v="847.9"/>
    <n v="2712.32"/>
    <n v="2207.98"/>
    <n v="1780.6"/>
    <n v="8724.9"/>
    <n v="3489.96"/>
    <n v="709"/>
    <n v="0"/>
    <n v="0"/>
    <n v="743.74"/>
    <n v="0"/>
    <n v="21216.400000000001"/>
    <n v="743.74"/>
  </r>
  <r>
    <x v="11"/>
    <x v="1"/>
    <x v="0"/>
    <s v="5968200"/>
    <n v="721250"/>
    <s v="Supplies-Pharmacy Drugs - Billable"/>
    <s v="FMC-Westwood FM Shared Svc"/>
    <x v="0"/>
    <m/>
    <n v="3918.25"/>
    <n v="10755.76"/>
    <n v="3549.17"/>
    <n v="18241.5"/>
    <n v="11491.46"/>
    <n v="11074.57"/>
    <n v="4178.3900000000003"/>
    <n v="3373.87"/>
    <n v="7421.12"/>
    <n v="5175.26"/>
    <n v="14269.08"/>
    <n v="10005.07"/>
    <n v="103453.5"/>
    <n v="4264.01"/>
  </r>
  <r>
    <x v="11"/>
    <x v="1"/>
    <x v="0"/>
    <s v="5968200"/>
    <n v="721410"/>
    <s v="Supplies-Medical - Nonbillable"/>
    <s v="FMC-Westwood FM Shared Svc"/>
    <x v="0"/>
    <m/>
    <n v="696.51"/>
    <n v="1791.94"/>
    <n v="0"/>
    <n v="1324.04"/>
    <n v="681.21"/>
    <n v="24.08"/>
    <n v="0"/>
    <n v="1713.13"/>
    <n v="-35"/>
    <n v="0"/>
    <n v="4082.36"/>
    <n v="-27.69"/>
    <n v="10250.58"/>
    <n v="4110.05"/>
  </r>
  <r>
    <x v="11"/>
    <x v="1"/>
    <x v="0"/>
    <s v="5968200"/>
    <n v="721810"/>
    <s v="Supplies-Dietary/Cafeteria"/>
    <s v="FMC-Westwood FM Shared Svc"/>
    <x v="0"/>
    <m/>
    <n v="0"/>
    <n v="0"/>
    <n v="0"/>
    <n v="0"/>
    <n v="0"/>
    <n v="114.42"/>
    <n v="0"/>
    <n v="0"/>
    <n v="0"/>
    <n v="0"/>
    <n v="0"/>
    <n v="0"/>
    <n v="114.42"/>
    <n v="0"/>
  </r>
  <r>
    <x v="11"/>
    <x v="1"/>
    <x v="0"/>
    <s v="5968200"/>
    <n v="721830"/>
    <s v="Supplies-Office"/>
    <s v="FMC-Westwood FM Shared Svc"/>
    <x v="0"/>
    <m/>
    <n v="86.68"/>
    <n v="399.95"/>
    <n v="498.16"/>
    <n v="429.46"/>
    <n v="543.13"/>
    <n v="413.23"/>
    <n v="517.32000000000005"/>
    <n v="257.92"/>
    <n v="821.44"/>
    <n v="697.22"/>
    <n v="285.13"/>
    <n v="184.98"/>
    <n v="5134.62"/>
    <n v="100.15"/>
  </r>
  <r>
    <x v="11"/>
    <x v="1"/>
    <x v="0"/>
    <s v="5968200"/>
    <n v="721835"/>
    <s v="Supplies-Forms"/>
    <s v="FMC-Westwood FM Shared Svc"/>
    <x v="0"/>
    <m/>
    <n v="1403.74"/>
    <n v="94"/>
    <n v="97.68"/>
    <n v="-102.58"/>
    <n v="825.18"/>
    <n v="8.75"/>
    <n v="690.75"/>
    <n v="178.03"/>
    <n v="14.92"/>
    <n v="0"/>
    <n v="501.49"/>
    <n v="-12.1"/>
    <n v="3699.86"/>
    <n v="513.59"/>
  </r>
  <r>
    <x v="11"/>
    <x v="1"/>
    <x v="0"/>
    <s v="5968200"/>
    <n v="721980"/>
    <s v="Supplies-Other"/>
    <s v="FMC-Westwood FM Shared Svc"/>
    <x v="0"/>
    <m/>
    <n v="0"/>
    <n v="0"/>
    <n v="89.11"/>
    <n v="0"/>
    <n v="49.76"/>
    <n v="0"/>
    <n v="0"/>
    <n v="0"/>
    <n v="0"/>
    <n v="24.4"/>
    <n v="169.86"/>
    <n v="16.5"/>
    <n v="349.63"/>
    <n v="153.36000000000001"/>
  </r>
  <r>
    <x v="11"/>
    <x v="1"/>
    <x v="0"/>
    <s v="5968200"/>
    <n v="722000"/>
    <s v="Supplies-Freight Expense"/>
    <s v="FMC-Westwood FM Shared Svc"/>
    <x v="0"/>
    <m/>
    <n v="0"/>
    <n v="0"/>
    <n v="0"/>
    <n v="140.15"/>
    <n v="0"/>
    <n v="0"/>
    <n v="0"/>
    <n v="0"/>
    <n v="35"/>
    <n v="0"/>
    <n v="0"/>
    <n v="51.34"/>
    <n v="226.49"/>
    <n v="-51.34"/>
  </r>
  <r>
    <x v="12"/>
    <x v="1"/>
    <x v="0"/>
    <s v="5968200"/>
    <n v="730010"/>
    <s v="Rental and Leases-Building (DO NOT USE)"/>
    <s v="FMC-Westwood FM Shared Svc"/>
    <x v="0"/>
    <m/>
    <n v="17221.46"/>
    <n v="17221.46"/>
    <n v="17221.46"/>
    <n v="17221.46"/>
    <n v="17221.46"/>
    <n v="-4839.8999999999996"/>
    <n v="13229.56"/>
    <n v="13229.55"/>
    <n v="13229.55"/>
    <n v="13229.55"/>
    <n v="13229.55"/>
    <n v="-3214.72"/>
    <n v="144200.43999999997"/>
    <n v="16444.27"/>
  </r>
  <r>
    <x v="12"/>
    <x v="1"/>
    <x v="0"/>
    <s v="5968200"/>
    <n v="730010"/>
    <s v="Rental-Common Area Maint (DO NOT USE)"/>
    <s v="FMC-Westwood FM Shared Svc"/>
    <x v="0"/>
    <n v="2200"/>
    <n v="0"/>
    <n v="0"/>
    <n v="0"/>
    <n v="0"/>
    <n v="0"/>
    <n v="23882.99"/>
    <n v="4252.74"/>
    <n v="4252.74"/>
    <n v="3797.82"/>
    <n v="4252.74"/>
    <n v="4252.74"/>
    <n v="0"/>
    <n v="44691.77"/>
    <n v="4252.74"/>
  </r>
  <r>
    <x v="12"/>
    <x v="1"/>
    <x v="0"/>
    <s v="5968200"/>
    <n v="730020"/>
    <s v="Rental and Leases-Copier Usage Fees (DO NOT USE)"/>
    <s v="FMC-Westwood FM Shared Svc"/>
    <x v="0"/>
    <n v="5100"/>
    <n v="829.5"/>
    <n v="830.55"/>
    <n v="830.02"/>
    <n v="830.02"/>
    <n v="830.02"/>
    <n v="830.02"/>
    <n v="-67.430000000000007"/>
    <n v="645.16999999999996"/>
    <n v="643.82000000000005"/>
    <n v="1032.31"/>
    <n v="645.16999999999996"/>
    <n v="904.38"/>
    <n v="8783.5499999999975"/>
    <n v="-259.21000000000004"/>
  </r>
  <r>
    <x v="12"/>
    <x v="1"/>
    <x v="0"/>
    <s v="5968200"/>
    <n v="730040"/>
    <s v="LT Lease-Real Estate"/>
    <s v="FMC-Westwood FM Shared Svc"/>
    <x v="0"/>
    <m/>
    <n v="0"/>
    <n v="0"/>
    <n v="0"/>
    <n v="0"/>
    <n v="0"/>
    <n v="0"/>
    <n v="0"/>
    <n v="0"/>
    <n v="0"/>
    <n v="0"/>
    <n v="0"/>
    <n v="20697.009999999998"/>
    <n v="20697.009999999998"/>
    <n v="-20697.009999999998"/>
  </r>
  <r>
    <x v="15"/>
    <x v="1"/>
    <x v="0"/>
    <s v="5968200"/>
    <n v="731010"/>
    <s v="Natural Gas"/>
    <s v="FMC-Westwood FM Shared Svc"/>
    <x v="0"/>
    <m/>
    <n v="41.18"/>
    <n v="36.89"/>
    <n v="40.31"/>
    <n v="52.48"/>
    <n v="81.760000000000005"/>
    <n v="155.5"/>
    <n v="184.62"/>
    <n v="221.23"/>
    <n v="207.64"/>
    <n v="87.61"/>
    <n v="62.81"/>
    <n v="50.47"/>
    <n v="1222.5"/>
    <n v="12.340000000000003"/>
  </r>
  <r>
    <x v="15"/>
    <x v="1"/>
    <x v="0"/>
    <s v="5968200"/>
    <n v="731020"/>
    <s v="Electricity"/>
    <s v="FMC-Westwood FM Shared Svc"/>
    <x v="0"/>
    <m/>
    <n v="702.05"/>
    <n v="751.87"/>
    <n v="631.78"/>
    <n v="575.80999999999995"/>
    <n v="0"/>
    <n v="1228.6099999999999"/>
    <n v="592.54999999999995"/>
    <n v="0"/>
    <n v="667.3"/>
    <n v="1176.32"/>
    <n v="579.53"/>
    <n v="674.52"/>
    <n v="7580.34"/>
    <n v="-94.990000000000009"/>
  </r>
  <r>
    <x v="15"/>
    <x v="1"/>
    <x v="0"/>
    <s v="5968200"/>
    <n v="731060"/>
    <s v="Telephone"/>
    <s v="FMC-Westwood FM Shared Svc"/>
    <x v="0"/>
    <m/>
    <n v="67.209999999999994"/>
    <n v="67.45"/>
    <n v="67.400000000000006"/>
    <n v="67.680000000000007"/>
    <n v="67.77"/>
    <n v="67.790000000000006"/>
    <n v="67.66"/>
    <n v="68.069999999999993"/>
    <n v="67.41"/>
    <n v="68.040000000000006"/>
    <n v="67.89"/>
    <n v="68.540000000000006"/>
    <n v="812.90999999999985"/>
    <n v="-0.65000000000000568"/>
  </r>
  <r>
    <x v="15"/>
    <x v="1"/>
    <x v="0"/>
    <s v="5968200"/>
    <n v="731060"/>
    <s v="Pagers"/>
    <s v="FMC-Westwood FM Shared Svc"/>
    <x v="0"/>
    <n v="1002"/>
    <n v="9.18"/>
    <n v="9.18"/>
    <n v="9.18"/>
    <n v="9.1999999999999993"/>
    <n v="9.1999999999999993"/>
    <n v="0"/>
    <n v="18.399999999999999"/>
    <n v="9.1999999999999993"/>
    <n v="9.1999999999999993"/>
    <n v="9.19"/>
    <n v="9.19"/>
    <n v="9.19"/>
    <n v="110.31"/>
    <n v="0"/>
  </r>
  <r>
    <x v="15"/>
    <x v="1"/>
    <x v="0"/>
    <s v="5968200"/>
    <n v="731070"/>
    <s v="Cable TV"/>
    <s v="FMC-Westwood FM Shared Svc"/>
    <x v="0"/>
    <m/>
    <n v="439.21"/>
    <n v="219.61"/>
    <n v="0"/>
    <n v="219.61"/>
    <n v="223.89"/>
    <n v="223.89"/>
    <n v="233.89"/>
    <n v="223.97"/>
    <n v="223.97"/>
    <n v="457.74"/>
    <n v="234.36"/>
    <n v="0"/>
    <n v="2700.14"/>
    <n v="234.36"/>
  </r>
  <r>
    <x v="16"/>
    <x v="1"/>
    <x v="0"/>
    <s v="5968200"/>
    <n v="732030"/>
    <s v="Repairs---Other"/>
    <s v="FMC-Westwood FM Shared Svc"/>
    <x v="0"/>
    <m/>
    <n v="950.03"/>
    <n v="0"/>
    <n v="0"/>
    <n v="638.03"/>
    <n v="0"/>
    <n v="2494.3200000000002"/>
    <n v="1135.6400000000001"/>
    <n v="1188.8499999999999"/>
    <n v="267.55"/>
    <n v="0"/>
    <n v="0"/>
    <n v="1428.37"/>
    <n v="8102.7900000000009"/>
    <n v="-1428.37"/>
  </r>
  <r>
    <x v="16"/>
    <x v="1"/>
    <x v="0"/>
    <s v="5968200"/>
    <n v="733030"/>
    <s v="Maintenance Contracts-Other"/>
    <s v="FMC-Westwood FM Shared Svc"/>
    <x v="0"/>
    <m/>
    <n v="198.09"/>
    <n v="113.82"/>
    <n v="0"/>
    <n v="198.18"/>
    <n v="99.09"/>
    <n v="99.09"/>
    <n v="44.19"/>
    <n v="912.63"/>
    <n v="0"/>
    <n v="124.41"/>
    <n v="104.6"/>
    <n v="78.150000000000006"/>
    <n v="1972.2500000000002"/>
    <n v="26.449999999999989"/>
  </r>
  <r>
    <x v="13"/>
    <x v="1"/>
    <x v="0"/>
    <s v="5968200"/>
    <n v="735050"/>
    <s v="Amortization-Leasehold Improvements"/>
    <s v="FMC-Westwood FM Shared Svc"/>
    <x v="0"/>
    <m/>
    <n v="12183.92"/>
    <n v="12183.92"/>
    <n v="12183.92"/>
    <n v="12183.92"/>
    <n v="12183.95"/>
    <n v="12183.88"/>
    <n v="12183.95"/>
    <n v="12183.88"/>
    <n v="12183.96"/>
    <n v="12183.88"/>
    <n v="12183.96"/>
    <n v="12183.88"/>
    <n v="146207.02000000002"/>
    <n v="7.999999999992724E-2"/>
  </r>
  <r>
    <x v="13"/>
    <x v="1"/>
    <x v="0"/>
    <s v="5968200"/>
    <n v="735060"/>
    <s v="Depreciation-Fixed Equipment"/>
    <s v="FMC-Westwood FM Shared Svc"/>
    <x v="0"/>
    <m/>
    <n v="1265.33"/>
    <n v="1265.33"/>
    <n v="1265.3399999999999"/>
    <n v="1265.32"/>
    <n v="784.33"/>
    <n v="784.32"/>
    <n v="784.33"/>
    <n v="784.32"/>
    <n v="784.33"/>
    <n v="784.32"/>
    <n v="784.33"/>
    <n v="784.32"/>
    <n v="11335.919999999998"/>
    <n v="9.9999999999909051E-3"/>
  </r>
  <r>
    <x v="13"/>
    <x v="1"/>
    <x v="0"/>
    <s v="5968200"/>
    <n v="735070"/>
    <s v="Depreciation-Movable Equipment"/>
    <s v="FMC-Westwood FM Shared Svc"/>
    <x v="0"/>
    <m/>
    <n v="3319.3"/>
    <n v="3391.62"/>
    <n v="3391.73"/>
    <n v="3391.59"/>
    <n v="1671.43"/>
    <n v="1671.4"/>
    <n v="1671.44"/>
    <n v="1671.38"/>
    <n v="1671.47"/>
    <n v="1671.37"/>
    <n v="1671.49"/>
    <n v="1671.33"/>
    <n v="26865.550000000003"/>
    <n v="0.16000000000008185"/>
  </r>
  <r>
    <x v="0"/>
    <x v="1"/>
    <x v="0"/>
    <s v="5968200"/>
    <n v="742010"/>
    <s v="Postage-Regular"/>
    <s v="FMC-Westwood FM Shared Svc"/>
    <x v="0"/>
    <m/>
    <n v="19.3"/>
    <n v="0"/>
    <n v="403.95"/>
    <n v="0"/>
    <n v="0"/>
    <n v="0"/>
    <n v="157.9"/>
    <n v="0"/>
    <n v="279.05"/>
    <n v="295.25"/>
    <n v="12.15"/>
    <n v="126.2"/>
    <n v="1293.8000000000002"/>
    <n v="-114.05"/>
  </r>
  <r>
    <x v="0"/>
    <x v="1"/>
    <x v="0"/>
    <s v="5968200"/>
    <n v="749510"/>
    <s v="Miscellaneous Expenses"/>
    <s v="FMC-Westwood FM Shared Svc"/>
    <x v="0"/>
    <m/>
    <n v="302.58"/>
    <n v="-25.76"/>
    <n v="-116.72"/>
    <n v="328.8"/>
    <n v="-278.8"/>
    <n v="150"/>
    <n v="0"/>
    <n v="-1"/>
    <n v="100"/>
    <n v="295.38"/>
    <n v="81.95"/>
    <n v="-227.33"/>
    <n v="609.1"/>
    <n v="309.28000000000003"/>
  </r>
  <r>
    <x v="0"/>
    <x v="1"/>
    <x v="0"/>
    <s v="5968200"/>
    <n v="749510"/>
    <s v="Licenses"/>
    <s v="FMC-Westwood FM Shared Svc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968200"/>
    <n v="749510"/>
    <s v="RICE Rewards"/>
    <s v="FMC-Westwood FM Shared Svc"/>
    <x v="0"/>
    <n v="5100"/>
    <n v="0"/>
    <n v="0"/>
    <n v="0"/>
    <n v="0"/>
    <n v="0"/>
    <n v="0"/>
    <n v="0"/>
    <n v="0"/>
    <n v="0"/>
    <n v="1318.82"/>
    <n v="0"/>
    <n v="0"/>
    <n v="1318.82"/>
    <n v="0"/>
  </r>
  <r>
    <x v="0"/>
    <x v="1"/>
    <x v="0"/>
    <s v="5968200"/>
    <n v="749530"/>
    <s v="Mileage"/>
    <s v="FMC-Westwood FM Shared Svc"/>
    <x v="0"/>
    <n v="1001"/>
    <n v="95.93"/>
    <n v="0"/>
    <n v="38.15"/>
    <n v="52.87"/>
    <n v="304.13"/>
    <n v="119.9"/>
    <n v="151.38"/>
    <n v="0"/>
    <n v="88.16"/>
    <n v="158.34"/>
    <n v="87"/>
    <n v="208.8"/>
    <n v="1304.6600000000001"/>
    <n v="-121.80000000000001"/>
  </r>
  <r>
    <x v="0"/>
    <x v="1"/>
    <x v="0"/>
    <s v="5968200"/>
    <n v="749535"/>
    <s v="Meetings"/>
    <s v="FMC-Westwood FM Shared Svc"/>
    <x v="0"/>
    <m/>
    <n v="254.26"/>
    <n v="247.53"/>
    <n v="361.95"/>
    <n v="0"/>
    <n v="0"/>
    <n v="608.9"/>
    <n v="0"/>
    <n v="191.66"/>
    <n v="0"/>
    <n v="0"/>
    <n v="0"/>
    <n v="0"/>
    <n v="1664.3"/>
    <n v="0"/>
  </r>
  <r>
    <x v="0"/>
    <x v="1"/>
    <x v="0"/>
    <s v="5968200"/>
    <n v="749550"/>
    <s v="Cash Over/Short"/>
    <s v="FMC-Westwood FM Shared Svc"/>
    <x v="0"/>
    <m/>
    <n v="-4"/>
    <n v="0"/>
    <n v="20"/>
    <n v="-10"/>
    <n v="0"/>
    <n v="20"/>
    <n v="0"/>
    <n v="0"/>
    <n v="-11"/>
    <n v="21"/>
    <n v="0"/>
    <n v="0"/>
    <n v="36"/>
    <n v="0"/>
  </r>
  <r>
    <x v="5"/>
    <x v="1"/>
    <x v="0"/>
    <s v="5969200"/>
    <n v="700054"/>
    <s v="Salaries-Management-NonProd-Other"/>
    <s v="FMC-Vashon FM Shared Svc"/>
    <x v="0"/>
    <n v="2000"/>
    <n v="0"/>
    <n v="0"/>
    <n v="0"/>
    <n v="0"/>
    <n v="0"/>
    <n v="538.25"/>
    <n v="-538.25"/>
    <n v="0"/>
    <n v="0"/>
    <n v="0"/>
    <n v="0"/>
    <n v="0"/>
    <n v="0"/>
    <n v="0"/>
  </r>
  <r>
    <x v="6"/>
    <x v="1"/>
    <x v="0"/>
    <s v="5969200"/>
    <n v="713010"/>
    <s v="Benefits-FICA/Medicare"/>
    <s v="FMC-Vashon FM Shared Svc"/>
    <x v="0"/>
    <m/>
    <n v="0"/>
    <n v="0"/>
    <n v="0"/>
    <n v="0"/>
    <n v="0"/>
    <n v="41.17"/>
    <n v="41.17"/>
    <n v="0"/>
    <n v="0"/>
    <n v="0"/>
    <n v="0"/>
    <n v="0"/>
    <n v="82.34"/>
    <n v="0"/>
  </r>
  <r>
    <x v="7"/>
    <x v="1"/>
    <x v="0"/>
    <s v="5969200"/>
    <n v="718050"/>
    <s v="Document Shredding/Storage"/>
    <s v="FMC-Vashon FM Shared Svc"/>
    <x v="0"/>
    <n v="1012"/>
    <n v="458.82"/>
    <n v="-917.64"/>
    <n v="0"/>
    <n v="0"/>
    <n v="720.95"/>
    <n v="306.23"/>
    <n v="303.16000000000003"/>
    <n v="118.48"/>
    <n v="208.76"/>
    <n v="276.52"/>
    <n v="243.15"/>
    <n v="150.03"/>
    <n v="1868.4600000000003"/>
    <n v="93.12"/>
  </r>
  <r>
    <x v="7"/>
    <x v="1"/>
    <x v="0"/>
    <s v="5969200"/>
    <n v="718050"/>
    <s v="Purchased Srvcs--Medical Waste"/>
    <s v="FMC-Vashon FM Shared Svc"/>
    <x v="0"/>
    <n v="1027"/>
    <n v="10.36"/>
    <n v="10.36"/>
    <n v="10.36"/>
    <n v="0"/>
    <n v="10.36"/>
    <n v="10.36"/>
    <n v="20.72"/>
    <n v="10.36"/>
    <n v="0"/>
    <n v="20.72"/>
    <n v="0"/>
    <n v="10.36"/>
    <n v="113.96"/>
    <n v="-10.36"/>
  </r>
  <r>
    <x v="12"/>
    <x v="1"/>
    <x v="0"/>
    <s v="5969200"/>
    <n v="730020"/>
    <s v="Rental and Leases-Copier Usage Fees (DO NOT USE)"/>
    <s v="FMC-Vashon FM Shared Svc"/>
    <x v="0"/>
    <n v="5100"/>
    <n v="64.55"/>
    <n v="64.540000000000006"/>
    <n v="64.540000000000006"/>
    <n v="64.540000000000006"/>
    <n v="64.540000000000006"/>
    <n v="64.540000000000006"/>
    <n v="-858.35"/>
    <n v="0"/>
    <n v="0"/>
    <n v="0"/>
    <n v="0"/>
    <n v="0"/>
    <n v="-471.09999999999997"/>
    <n v="0"/>
  </r>
  <r>
    <x v="15"/>
    <x v="1"/>
    <x v="0"/>
    <s v="5969200"/>
    <n v="731060"/>
    <s v="Telephone"/>
    <s v="FMC-Vashon FM Shared Svc"/>
    <x v="0"/>
    <m/>
    <n v="215.76"/>
    <n v="215.62"/>
    <n v="215.62"/>
    <n v="215.9"/>
    <n v="215.9"/>
    <n v="215.9"/>
    <n v="207.06"/>
    <n v="207.06"/>
    <n v="207.06"/>
    <n v="206.91"/>
    <n v="208.97"/>
    <n v="208.97"/>
    <n v="2540.7299999999996"/>
    <n v="0"/>
  </r>
  <r>
    <x v="16"/>
    <x v="1"/>
    <x v="0"/>
    <s v="5969200"/>
    <n v="732030"/>
    <s v="Repairs---Other"/>
    <s v="FMC-Vashon FM Shared Svc"/>
    <x v="0"/>
    <m/>
    <n v="0"/>
    <n v="0"/>
    <n v="0"/>
    <n v="0"/>
    <n v="0"/>
    <n v="0"/>
    <n v="1387.26"/>
    <n v="0"/>
    <n v="0"/>
    <n v="0"/>
    <n v="0"/>
    <n v="0"/>
    <n v="1387.26"/>
    <n v="0"/>
  </r>
  <r>
    <x v="13"/>
    <x v="1"/>
    <x v="0"/>
    <s v="5969200"/>
    <n v="735070"/>
    <s v="Depreciation-Movable Equipment"/>
    <s v="FMC-Vashon FM Shared Svc"/>
    <x v="0"/>
    <m/>
    <n v="76.08"/>
    <n v="76.08"/>
    <n v="76.08"/>
    <n v="76.08"/>
    <n v="76.09"/>
    <n v="76.08"/>
    <n v="76.09"/>
    <n v="76.08"/>
    <n v="76.09"/>
    <n v="76.08"/>
    <n v="76.09"/>
    <n v="76.08"/>
    <n v="913.00000000000011"/>
    <n v="1.0000000000005116E-2"/>
  </r>
  <r>
    <x v="0"/>
    <x v="1"/>
    <x v="0"/>
    <s v="5969200"/>
    <n v="749550"/>
    <s v="Cash Over/Short"/>
    <s v="FMC-Vashon FM Shared Svc"/>
    <x v="0"/>
    <m/>
    <n v="0"/>
    <n v="0"/>
    <n v="0"/>
    <n v="0"/>
    <n v="0"/>
    <n v="0"/>
    <n v="0"/>
    <n v="0"/>
    <n v="-5"/>
    <n v="0"/>
    <n v="0"/>
    <n v="0"/>
    <n v="-5"/>
    <n v="0"/>
  </r>
  <r>
    <x v="5"/>
    <x v="1"/>
    <x v="0"/>
    <s v="5970200"/>
    <n v="700014"/>
    <s v="Salaries-Management-Productive"/>
    <s v="FMC-West Seattle FM Shared Svc"/>
    <x v="0"/>
    <m/>
    <n v="6436.8"/>
    <n v="12861.6"/>
    <n v="6492.8"/>
    <n v="9775.2000000000007"/>
    <n v="9613.76"/>
    <n v="-901.89"/>
    <n v="3944.25"/>
    <n v="2874.54"/>
    <n v="3643.33"/>
    <n v="3676.75"/>
    <n v="3843.88"/>
    <n v="2005.5"/>
    <n v="64266.520000000004"/>
    <n v="1838.38"/>
  </r>
  <r>
    <x v="5"/>
    <x v="1"/>
    <x v="0"/>
    <s v="5970200"/>
    <n v="700038"/>
    <s v="Salaries-Service/Support-Productive"/>
    <s v="FMC-West Seattle FM Shared Svc"/>
    <x v="0"/>
    <m/>
    <n v="14285.33"/>
    <n v="23906.33"/>
    <n v="18542.560000000001"/>
    <n v="27533.91"/>
    <n v="24398.87"/>
    <n v="22484.66"/>
    <n v="25514.97"/>
    <n v="16845.68"/>
    <n v="17409.03"/>
    <n v="14104.13"/>
    <n v="13959.93"/>
    <n v="16416.419999999998"/>
    <n v="235401.82"/>
    <n v="-2456.489999999998"/>
  </r>
  <r>
    <x v="5"/>
    <x v="1"/>
    <x v="0"/>
    <s v="5970200"/>
    <n v="700038"/>
    <s v="Salaries-Service/Support-OT"/>
    <s v="FMC-West Seattle FM Shared Svc"/>
    <x v="0"/>
    <n v="1000"/>
    <n v="741.66"/>
    <n v="1537.55"/>
    <n v="176.59"/>
    <n v="1877.79"/>
    <n v="718.27"/>
    <n v="538.57000000000005"/>
    <n v="957.8"/>
    <n v="580.52"/>
    <n v="724.24"/>
    <n v="1029.3599999999999"/>
    <n v="2154.91"/>
    <n v="-2.2799999999999998"/>
    <n v="11034.98"/>
    <n v="2157.19"/>
  </r>
  <r>
    <x v="5"/>
    <x v="1"/>
    <x v="0"/>
    <s v="5970200"/>
    <n v="700038"/>
    <s v="Salaries-Service/Support-Other"/>
    <s v="FMC-West Seattle FM Shared Svc"/>
    <x v="0"/>
    <n v="2000"/>
    <n v="123.37"/>
    <n v="403.58"/>
    <n v="621.82000000000005"/>
    <n v="442.32"/>
    <n v="270.31"/>
    <n v="278.26"/>
    <n v="331.24"/>
    <n v="262.32"/>
    <n v="310.35000000000002"/>
    <n v="306.56"/>
    <n v="350.24"/>
    <n v="348.63"/>
    <n v="4049"/>
    <n v="1.6100000000000136"/>
  </r>
  <r>
    <x v="5"/>
    <x v="1"/>
    <x v="0"/>
    <s v="5970200"/>
    <n v="700054"/>
    <s v="Salaries-Management-NonProd-Other"/>
    <s v="FMC-West Seattle FM Shared Svc"/>
    <x v="0"/>
    <n v="2000"/>
    <n v="0"/>
    <n v="0"/>
    <n v="0"/>
    <n v="0"/>
    <n v="0"/>
    <n v="1188"/>
    <n v="-753.42"/>
    <n v="0"/>
    <n v="0"/>
    <n v="0"/>
    <n v="0"/>
    <n v="0"/>
    <n v="434.58000000000004"/>
    <n v="0"/>
  </r>
  <r>
    <x v="5"/>
    <x v="1"/>
    <x v="0"/>
    <s v="5970200"/>
    <n v="700078"/>
    <s v="Salaries-Service/Support-Non-productive"/>
    <s v="FMC-West Seattle FM Shared Svc"/>
    <x v="0"/>
    <m/>
    <n v="3873.16"/>
    <n v="3713.58"/>
    <n v="2133.46"/>
    <n v="2568.5"/>
    <n v="3521.35"/>
    <n v="2714.05"/>
    <n v="3577.31"/>
    <n v="3439.01"/>
    <n v="2222.17"/>
    <n v="3297.97"/>
    <n v="2369.2600000000002"/>
    <n v="157.44"/>
    <n v="33587.260000000009"/>
    <n v="2211.8200000000002"/>
  </r>
  <r>
    <x v="5"/>
    <x v="1"/>
    <x v="0"/>
    <s v="5970200"/>
    <n v="700078"/>
    <s v="Salaries-Service/Support-NonProd-Other"/>
    <s v="FMC-West Seattle FM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70200"/>
    <n v="700084"/>
    <s v="Accrued PTO"/>
    <s v="FMC-West Seattle FM Shared Svc"/>
    <x v="0"/>
    <m/>
    <n v="-1524.87"/>
    <n v="141.85"/>
    <n v="-774.41"/>
    <n v="1119.7"/>
    <n v="-270"/>
    <n v="-545.91"/>
    <n v="-835.54"/>
    <n v="39.04"/>
    <n v="-1518.31"/>
    <n v="-448.97"/>
    <n v="-887.67"/>
    <n v="600.53"/>
    <n v="-4904.5600000000004"/>
    <n v="-1488.1999999999998"/>
  </r>
  <r>
    <x v="6"/>
    <x v="1"/>
    <x v="0"/>
    <s v="5970200"/>
    <n v="713010"/>
    <s v="Benefits-FICA/Medicare"/>
    <s v="FMC-West Seattle FM Shared Svc"/>
    <x v="0"/>
    <m/>
    <n v="1885.86"/>
    <n v="3162.54"/>
    <n v="2077.5300000000002"/>
    <n v="3135.01"/>
    <n v="2865.53"/>
    <n v="1950.59"/>
    <n v="2598"/>
    <n v="1792.14"/>
    <n v="1811.21"/>
    <n v="1668.03"/>
    <n v="1693.88"/>
    <n v="1411.89"/>
    <n v="26052.21"/>
    <n v="281.99"/>
  </r>
  <r>
    <x v="6"/>
    <x v="1"/>
    <x v="0"/>
    <s v="5970200"/>
    <n v="713090"/>
    <s v="Benefits-Allocated Amounts"/>
    <s v="FMC-West Seattle FM Shared Svc"/>
    <x v="0"/>
    <m/>
    <n v="6585.01"/>
    <n v="9962.51"/>
    <n v="7941.06"/>
    <n v="10422"/>
    <n v="9985.2900000000009"/>
    <n v="8304.43"/>
    <n v="10576.78"/>
    <n v="8447.35"/>
    <n v="7813.16"/>
    <n v="6740.07"/>
    <n v="6646.23"/>
    <n v="5863.94"/>
    <n v="99287.83"/>
    <n v="782.29"/>
  </r>
  <r>
    <x v="6"/>
    <x v="1"/>
    <x v="0"/>
    <s v="5970200"/>
    <n v="713096"/>
    <s v="Employee Recognition"/>
    <s v="FMC-West Seattle FM Shared Svc"/>
    <x v="0"/>
    <n v="1017"/>
    <n v="0"/>
    <n v="19.88"/>
    <n v="0"/>
    <n v="0"/>
    <n v="0"/>
    <n v="20.09"/>
    <n v="45.41"/>
    <n v="90.25"/>
    <n v="0"/>
    <n v="18.989999999999998"/>
    <n v="0"/>
    <n v="0"/>
    <n v="194.62"/>
    <n v="0"/>
  </r>
  <r>
    <x v="7"/>
    <x v="1"/>
    <x v="0"/>
    <s v="5970200"/>
    <n v="718050"/>
    <s v="Contract Svcs-Other"/>
    <s v="FMC-West Seattle FM Shared Svc"/>
    <x v="0"/>
    <m/>
    <n v="800.31"/>
    <n v="1554.17"/>
    <n v="221.81"/>
    <n v="4498.21"/>
    <n v="935.91"/>
    <n v="534.1"/>
    <n v="1441.9"/>
    <n v="1021.98"/>
    <n v="848.39"/>
    <n v="219.1"/>
    <n v="545.25"/>
    <n v="1345.61"/>
    <n v="13966.74"/>
    <n v="-800.3599999999999"/>
  </r>
  <r>
    <x v="7"/>
    <x v="1"/>
    <x v="0"/>
    <s v="5970200"/>
    <n v="718050"/>
    <s v="Cleaning Services"/>
    <s v="FMC-West Seattle FM Shared Svc"/>
    <x v="0"/>
    <n v="1011"/>
    <n v="1350"/>
    <n v="3487.24"/>
    <n v="0"/>
    <n v="0"/>
    <n v="2110.7199999999998"/>
    <n v="1350"/>
    <n v="1350"/>
    <n v="3100"/>
    <n v="0"/>
    <n v="2141.15"/>
    <n v="0"/>
    <n v="1350"/>
    <n v="16239.109999999999"/>
    <n v="-1350"/>
  </r>
  <r>
    <x v="7"/>
    <x v="1"/>
    <x v="0"/>
    <s v="5970200"/>
    <n v="718050"/>
    <s v="Document Shredding/Storage"/>
    <s v="FMC-West Seattle FM Shared Svc"/>
    <x v="0"/>
    <n v="1012"/>
    <n v="116.79"/>
    <n v="112.55"/>
    <n v="107.07"/>
    <n v="109.23"/>
    <n v="131.08000000000001"/>
    <n v="122.41"/>
    <n v="121.18"/>
    <n v="84.55"/>
    <n v="103.63"/>
    <n v="148.52000000000001"/>
    <n v="121.42"/>
    <n v="133.34"/>
    <n v="1411.77"/>
    <n v="-11.920000000000002"/>
  </r>
  <r>
    <x v="7"/>
    <x v="1"/>
    <x v="0"/>
    <s v="5970200"/>
    <n v="718050"/>
    <s v="Physician Answering"/>
    <s v="FMC-West Seattle FM Shared Svc"/>
    <x v="0"/>
    <n v="1015"/>
    <n v="0"/>
    <n v="0"/>
    <n v="80"/>
    <n v="176"/>
    <n v="96"/>
    <n v="0"/>
    <n v="80"/>
    <n v="457.8"/>
    <n v="824.2"/>
    <n v="509.2"/>
    <n v="0"/>
    <n v="0"/>
    <n v="2223.1999999999998"/>
    <n v="0"/>
  </r>
  <r>
    <x v="7"/>
    <x v="1"/>
    <x v="0"/>
    <s v="5970200"/>
    <n v="718050"/>
    <s v="Security"/>
    <s v="FMC-West Seattle FM Shared Svc"/>
    <x v="0"/>
    <n v="1019"/>
    <n v="355"/>
    <n v="0"/>
    <n v="405"/>
    <n v="0"/>
    <n v="0"/>
    <n v="0"/>
    <n v="0"/>
    <n v="0"/>
    <n v="0"/>
    <n v="318"/>
    <n v="105"/>
    <n v="266.5"/>
    <n v="1449.5"/>
    <n v="-161.5"/>
  </r>
  <r>
    <x v="7"/>
    <x v="1"/>
    <x v="0"/>
    <s v="5970200"/>
    <n v="718050"/>
    <s v="Miscellaneous Purchased Svcs"/>
    <s v="FMC-West Seattle FM Shared Svc"/>
    <x v="0"/>
    <n v="1020"/>
    <n v="126.08"/>
    <n v="60.44"/>
    <n v="0"/>
    <n v="27.32"/>
    <n v="60.45"/>
    <n v="185"/>
    <n v="250.9"/>
    <n v="110"/>
    <n v="279.32"/>
    <n v="60.45"/>
    <n v="0"/>
    <n v="0"/>
    <n v="1159.96"/>
    <n v="0"/>
  </r>
  <r>
    <x v="7"/>
    <x v="1"/>
    <x v="0"/>
    <s v="5970200"/>
    <n v="718050"/>
    <s v="Translation Services"/>
    <s v="FMC-West Seattle FM Shared Svc"/>
    <x v="0"/>
    <n v="1025"/>
    <n v="169.87"/>
    <n v="174"/>
    <n v="807.52"/>
    <n v="78.63"/>
    <n v="13.43"/>
    <n v="85.42"/>
    <n v="16.39"/>
    <n v="99.15"/>
    <n v="0"/>
    <n v="165.56"/>
    <n v="37.89"/>
    <n v="28.62"/>
    <n v="1676.4800000000002"/>
    <n v="9.27"/>
  </r>
  <r>
    <x v="7"/>
    <x v="1"/>
    <x v="0"/>
    <s v="5970200"/>
    <n v="718050"/>
    <s v="Contract Management--Linen"/>
    <s v="FMC-West Seattle FM Shared Svc"/>
    <x v="0"/>
    <n v="1026"/>
    <n v="0"/>
    <n v="0"/>
    <n v="0"/>
    <n v="0"/>
    <n v="0"/>
    <n v="0"/>
    <n v="0"/>
    <n v="0"/>
    <n v="183.39"/>
    <n v="0"/>
    <n v="0"/>
    <n v="0"/>
    <n v="183.39"/>
    <n v="0"/>
  </r>
  <r>
    <x v="7"/>
    <x v="1"/>
    <x v="0"/>
    <s v="5970200"/>
    <n v="718050"/>
    <s v="Purchased Srvcs--Medical Waste"/>
    <s v="FMC-West Seattle FM Shared Svc"/>
    <x v="0"/>
    <n v="1027"/>
    <n v="229.81"/>
    <n v="168.72"/>
    <n v="84.68"/>
    <n v="189.98"/>
    <n v="62.66"/>
    <n v="61.12"/>
    <n v="183.77"/>
    <n v="421.08"/>
    <n v="23.56"/>
    <n v="122.24"/>
    <n v="1.54"/>
    <n v="30.56"/>
    <n v="1579.7199999999998"/>
    <n v="-29.02"/>
  </r>
  <r>
    <x v="7"/>
    <x v="1"/>
    <x v="0"/>
    <s v="5970200"/>
    <n v="718070"/>
    <s v="Contract Srvcs-CHI Clinical Engineering"/>
    <s v="FMC-West Seattle FM Shared Svc"/>
    <x v="0"/>
    <m/>
    <n v="-236.57"/>
    <n v="-709.71"/>
    <n v="-473.14"/>
    <n v="0"/>
    <n v="1761.6"/>
    <n v="533.98"/>
    <n v="0"/>
    <n v="0"/>
    <n v="0"/>
    <n v="848.93"/>
    <n v="495.45"/>
    <n v="0"/>
    <n v="2220.5399999999995"/>
    <n v="495.45"/>
  </r>
  <r>
    <x v="11"/>
    <x v="1"/>
    <x v="0"/>
    <s v="5970200"/>
    <n v="721250"/>
    <s v="Supplies-Pharmacy Drugs - Billable"/>
    <s v="FMC-West Seattle FM Shared Svc"/>
    <x v="0"/>
    <m/>
    <n v="5689.09"/>
    <n v="4697.87"/>
    <n v="8723.74"/>
    <n v="15474.6"/>
    <n v="12067.75"/>
    <n v="20042.47"/>
    <n v="5064.9399999999996"/>
    <n v="2511.6799999999998"/>
    <n v="5980.6"/>
    <n v="7546.83"/>
    <n v="-32966.94"/>
    <n v="8713.7999999999993"/>
    <n v="63546.429999999993"/>
    <n v="-41680.740000000005"/>
  </r>
  <r>
    <x v="11"/>
    <x v="1"/>
    <x v="0"/>
    <s v="5970200"/>
    <n v="721410"/>
    <s v="Supplies-Medical - Nonbillable"/>
    <s v="FMC-West Seattle FM Shared Svc"/>
    <x v="0"/>
    <m/>
    <n v="1900.3"/>
    <n v="2655.28"/>
    <n v="563.41999999999996"/>
    <n v="5173.24"/>
    <n v="49.01"/>
    <n v="0"/>
    <n v="2754.61"/>
    <n v="3042.15"/>
    <n v="17.2"/>
    <n v="0"/>
    <n v="-9970.64"/>
    <n v="204.97"/>
    <n v="6389.5400000000018"/>
    <n v="-10175.609999999999"/>
  </r>
  <r>
    <x v="11"/>
    <x v="1"/>
    <x v="0"/>
    <s v="5970200"/>
    <n v="721810"/>
    <s v="Supplies-Dietary/Cafeteria"/>
    <s v="FMC-West Seattle FM Shared Svc"/>
    <x v="0"/>
    <m/>
    <n v="0"/>
    <n v="0"/>
    <n v="0"/>
    <n v="0"/>
    <n v="0"/>
    <n v="0"/>
    <n v="0"/>
    <n v="0"/>
    <n v="333"/>
    <n v="0"/>
    <n v="0"/>
    <n v="0"/>
    <n v="333"/>
    <n v="0"/>
  </r>
  <r>
    <x v="11"/>
    <x v="1"/>
    <x v="0"/>
    <s v="5970200"/>
    <n v="721830"/>
    <s v="Supplies-Office"/>
    <s v="FMC-West Seattle FM Shared Svc"/>
    <x v="0"/>
    <m/>
    <n v="252.66"/>
    <n v="2296.3200000000002"/>
    <n v="2240.7800000000002"/>
    <n v="1319.98"/>
    <n v="1396.41"/>
    <n v="992.96"/>
    <n v="1636.36"/>
    <n v="1273.5899999999999"/>
    <n v="1067.6400000000001"/>
    <n v="1889.7"/>
    <n v="1274.02"/>
    <n v="1631.67"/>
    <n v="17272.090000000004"/>
    <n v="-357.65000000000009"/>
  </r>
  <r>
    <x v="11"/>
    <x v="1"/>
    <x v="0"/>
    <s v="5970200"/>
    <n v="721835"/>
    <s v="Supplies-Forms"/>
    <s v="FMC-West Seattle FM Shared Svc"/>
    <x v="0"/>
    <m/>
    <n v="1079.5899999999999"/>
    <n v="881.75"/>
    <n v="270.55"/>
    <n v="195.21"/>
    <n v="96.88"/>
    <n v="567.67999999999995"/>
    <n v="0"/>
    <n v="238.35"/>
    <n v="274.12"/>
    <n v="0"/>
    <n v="552.42999999999995"/>
    <n v="184.92"/>
    <n v="4341.4799999999996"/>
    <n v="367.51"/>
  </r>
  <r>
    <x v="11"/>
    <x v="1"/>
    <x v="0"/>
    <s v="5970200"/>
    <n v="721910"/>
    <s v="Supplies-Small Equipment"/>
    <s v="FMC-West Seattle FM Shared Svc"/>
    <x v="0"/>
    <m/>
    <n v="0"/>
    <n v="0"/>
    <n v="345.44"/>
    <n v="1296.45"/>
    <n v="22.83"/>
    <n v="0"/>
    <n v="0"/>
    <n v="362.75"/>
    <n v="1545.44"/>
    <n v="0"/>
    <n v="0"/>
    <n v="0"/>
    <n v="3572.91"/>
    <n v="0"/>
  </r>
  <r>
    <x v="11"/>
    <x v="1"/>
    <x v="0"/>
    <s v="5970200"/>
    <n v="722000"/>
    <s v="Supplies-Freight Expense"/>
    <s v="FMC-West Seattle FM Shared Svc"/>
    <x v="0"/>
    <m/>
    <n v="0"/>
    <n v="0"/>
    <n v="0"/>
    <n v="292.8"/>
    <n v="36.15"/>
    <n v="0"/>
    <n v="0"/>
    <n v="0"/>
    <n v="0"/>
    <n v="0"/>
    <n v="0"/>
    <n v="208.69"/>
    <n v="537.64"/>
    <n v="-208.69"/>
  </r>
  <r>
    <x v="12"/>
    <x v="1"/>
    <x v="0"/>
    <s v="5970200"/>
    <n v="730010"/>
    <s v="Rental and Leases-Building (DO NOT USE)"/>
    <s v="FMC-West Seattle FM Shared Svc"/>
    <x v="0"/>
    <m/>
    <n v="13406.4"/>
    <n v="21873.599999999999"/>
    <n v="15640.8"/>
    <n v="15640.8"/>
    <n v="15640.8"/>
    <n v="15640.8"/>
    <n v="15640.8"/>
    <n v="15640.8"/>
    <n v="15640.8"/>
    <n v="15640.8"/>
    <n v="15640.8"/>
    <n v="0"/>
    <n v="176047.19999999998"/>
    <n v="15640.8"/>
  </r>
  <r>
    <x v="12"/>
    <x v="1"/>
    <x v="0"/>
    <s v="5970200"/>
    <n v="730020"/>
    <s v="Rental and Leases-Copier Usage Fees (DO NOT USE)"/>
    <s v="FMC-West Seattle FM Shared Svc"/>
    <x v="0"/>
    <n v="5100"/>
    <n v="674.16"/>
    <n v="681.51"/>
    <n v="677.83"/>
    <n v="677.83"/>
    <n v="677.84"/>
    <n v="677.84"/>
    <n v="2089.14"/>
    <n v="726.29"/>
    <n v="724.77"/>
    <n v="1513.57"/>
    <n v="726.29"/>
    <n v="791.57"/>
    <n v="10638.64"/>
    <n v="-65.280000000000086"/>
  </r>
  <r>
    <x v="12"/>
    <x v="1"/>
    <x v="0"/>
    <s v="5970200"/>
    <n v="730040"/>
    <s v="LT Lease-Real Estate"/>
    <s v="FMC-West Seattle FM Shared Svc"/>
    <x v="0"/>
    <m/>
    <n v="0"/>
    <n v="0"/>
    <n v="0"/>
    <n v="0"/>
    <n v="0"/>
    <n v="0"/>
    <n v="0"/>
    <n v="0"/>
    <n v="0"/>
    <n v="0"/>
    <n v="0"/>
    <n v="15640.8"/>
    <n v="15640.8"/>
    <n v="-15640.8"/>
  </r>
  <r>
    <x v="15"/>
    <x v="1"/>
    <x v="0"/>
    <s v="5970200"/>
    <n v="731020"/>
    <s v="Electricity"/>
    <s v="FMC-West Seattle FM Shared Svc"/>
    <x v="0"/>
    <m/>
    <n v="1172.6600000000001"/>
    <n v="1583.97"/>
    <n v="1740.85"/>
    <n v="714.09"/>
    <n v="0"/>
    <n v="1616.04"/>
    <n v="0"/>
    <n v="1048.27"/>
    <n v="1070.02"/>
    <n v="799.56"/>
    <n v="1369.37"/>
    <n v="767.44"/>
    <n v="11882.269999999999"/>
    <n v="601.92999999999984"/>
  </r>
  <r>
    <x v="15"/>
    <x v="1"/>
    <x v="0"/>
    <s v="5970200"/>
    <n v="731030"/>
    <s v="Water"/>
    <s v="FMC-West Seattle FM Shared Svc"/>
    <x v="0"/>
    <m/>
    <n v="108.09"/>
    <n v="156.46"/>
    <n v="124.56"/>
    <n v="70.930000000000007"/>
    <n v="76.48"/>
    <n v="77.510000000000005"/>
    <n v="76"/>
    <n v="72.13"/>
    <n v="72.42"/>
    <n v="72.78"/>
    <n v="70.83"/>
    <n v="61.65"/>
    <n v="1039.8399999999999"/>
    <n v="9.18"/>
  </r>
  <r>
    <x v="15"/>
    <x v="1"/>
    <x v="0"/>
    <s v="5970200"/>
    <n v="731040"/>
    <s v="Sewer"/>
    <s v="FMC-West Seattle FM Shared Svc"/>
    <x v="0"/>
    <m/>
    <n v="102.3"/>
    <n v="139.97999999999999"/>
    <n v="107.68"/>
    <n v="63.13"/>
    <n v="81.16"/>
    <n v="72.150000000000006"/>
    <n v="72.150000000000006"/>
    <n v="67.430000000000007"/>
    <n v="67.91"/>
    <n v="77.61"/>
    <n v="67.91"/>
    <n v="48.51"/>
    <n v="967.92"/>
    <n v="19.399999999999999"/>
  </r>
  <r>
    <x v="15"/>
    <x v="1"/>
    <x v="0"/>
    <s v="5970200"/>
    <n v="731050"/>
    <s v="Refuse Disposal"/>
    <s v="FMC-West Seattle FM Shared Svc"/>
    <x v="0"/>
    <m/>
    <n v="1404.72"/>
    <n v="2341.29"/>
    <n v="4354.1899999999996"/>
    <n v="1010.31"/>
    <n v="1012.63"/>
    <n v="1010.85"/>
    <n v="1008.68"/>
    <n v="1007.8"/>
    <n v="1008.4"/>
    <n v="1010.02"/>
    <n v="1075.01"/>
    <n v="1221.67"/>
    <n v="17465.57"/>
    <n v="-146.66000000000008"/>
  </r>
  <r>
    <x v="15"/>
    <x v="1"/>
    <x v="0"/>
    <s v="5970200"/>
    <n v="731060"/>
    <s v="Telephone"/>
    <s v="FMC-West Seattle FM Shared Svc"/>
    <x v="0"/>
    <m/>
    <n v="488.05"/>
    <n v="1486.78"/>
    <n v="919.95"/>
    <n v="1333.54"/>
    <n v="928.81"/>
    <n v="562.91999999999996"/>
    <n v="1547.02"/>
    <n v="785.82"/>
    <n v="953.97"/>
    <n v="968.66"/>
    <n v="951.96"/>
    <n v="509.9"/>
    <n v="11437.38"/>
    <n v="442.06000000000006"/>
  </r>
  <r>
    <x v="16"/>
    <x v="1"/>
    <x v="0"/>
    <s v="5970200"/>
    <n v="732030"/>
    <s v="Repairs---Other"/>
    <s v="FMC-West Seattle FM Shared Svc"/>
    <x v="0"/>
    <m/>
    <n v="0"/>
    <n v="8936.0400000000009"/>
    <n v="12554.16"/>
    <n v="791.54"/>
    <n v="12030.46"/>
    <n v="1758.47"/>
    <n v="20436.07"/>
    <n v="2732.08"/>
    <n v="18715.59"/>
    <n v="798.27"/>
    <n v="1846.38"/>
    <n v="11025.05"/>
    <n v="91624.110000000015"/>
    <n v="-9178.6699999999983"/>
  </r>
  <r>
    <x v="16"/>
    <x v="1"/>
    <x v="0"/>
    <s v="5970200"/>
    <n v="733030"/>
    <s v="Maintenance Contracts-Other"/>
    <s v="FMC-West Seattle FM Shared Svc"/>
    <x v="0"/>
    <m/>
    <n v="716.8"/>
    <n v="793.81"/>
    <n v="0"/>
    <n v="2900.05"/>
    <n v="183.97"/>
    <n v="538.04999999999995"/>
    <n v="157.44999999999999"/>
    <n v="646.1"/>
    <n v="341.57"/>
    <n v="2073.69"/>
    <n v="1622.73"/>
    <n v="256.47000000000003"/>
    <n v="10230.689999999999"/>
    <n v="1366.26"/>
  </r>
  <r>
    <x v="13"/>
    <x v="1"/>
    <x v="0"/>
    <s v="5970200"/>
    <n v="735050"/>
    <s v="Amortization-Leasehold Improvements"/>
    <s v="FMC-West Seattle FM Shared Svc"/>
    <x v="0"/>
    <m/>
    <n v="13840.35"/>
    <n v="14171.48"/>
    <n v="14171.48"/>
    <n v="14171.48"/>
    <n v="14171.49"/>
    <n v="14171.46"/>
    <n v="14171.5"/>
    <n v="14171.45"/>
    <n v="14171.51"/>
    <n v="14171.45"/>
    <n v="14171.54"/>
    <n v="14171.45"/>
    <n v="169726.64"/>
    <n v="9.0000000000145519E-2"/>
  </r>
  <r>
    <x v="13"/>
    <x v="1"/>
    <x v="0"/>
    <s v="5970200"/>
    <n v="735070"/>
    <s v="Depreciation-Movable Equipment"/>
    <s v="FMC-West Seattle FM Shared Svc"/>
    <x v="0"/>
    <m/>
    <n v="405.13"/>
    <n v="2566.8000000000002"/>
    <n v="1485.98"/>
    <n v="1485.94"/>
    <n v="1486"/>
    <n v="1485.93"/>
    <n v="7221.35"/>
    <n v="7221.17"/>
    <n v="7221.37"/>
    <n v="7221.15"/>
    <n v="7221.4"/>
    <n v="7221.14"/>
    <n v="52243.360000000001"/>
    <n v="0.25999999999930878"/>
  </r>
  <r>
    <x v="0"/>
    <x v="1"/>
    <x v="0"/>
    <s v="5970200"/>
    <n v="743030"/>
    <s v="Subscriptions--Institutional"/>
    <s v="FMC-West Seattle FM Shared Svc"/>
    <x v="0"/>
    <m/>
    <n v="0"/>
    <n v="0"/>
    <n v="0"/>
    <n v="80.760000000000005"/>
    <n v="0"/>
    <n v="0"/>
    <n v="0"/>
    <n v="0"/>
    <n v="0"/>
    <n v="0"/>
    <n v="0"/>
    <n v="0"/>
    <n v="80.760000000000005"/>
    <n v="0"/>
  </r>
  <r>
    <x v="0"/>
    <x v="1"/>
    <x v="0"/>
    <s v="5970200"/>
    <n v="749510"/>
    <s v="Miscellaneous Expenses"/>
    <s v="FMC-West Seattle FM Shared Svc"/>
    <x v="0"/>
    <m/>
    <n v="120.05"/>
    <n v="105.05"/>
    <n v="0"/>
    <n v="0"/>
    <n v="50"/>
    <n v="150"/>
    <n v="0"/>
    <n v="0"/>
    <n v="100"/>
    <n v="45"/>
    <n v="150"/>
    <n v="401.64"/>
    <n v="1121.74"/>
    <n v="-251.64"/>
  </r>
  <r>
    <x v="0"/>
    <x v="1"/>
    <x v="0"/>
    <s v="5970200"/>
    <n v="749510"/>
    <s v="Licenses"/>
    <s v="FMC-West Seattle FM Shared Svc"/>
    <x v="0"/>
    <n v="1002"/>
    <n v="0"/>
    <n v="0"/>
    <n v="265"/>
    <n v="357"/>
    <n v="0"/>
    <n v="1210"/>
    <n v="0"/>
    <n v="0"/>
    <n v="0"/>
    <n v="0"/>
    <n v="200"/>
    <n v="0"/>
    <n v="2032"/>
    <n v="200"/>
  </r>
  <r>
    <x v="0"/>
    <x v="1"/>
    <x v="0"/>
    <s v="5970200"/>
    <n v="749510"/>
    <s v="RICE Rewards"/>
    <s v="FMC-West Seattle FM Shared Svc"/>
    <x v="0"/>
    <n v="5100"/>
    <n v="0"/>
    <n v="0"/>
    <n v="0"/>
    <n v="0"/>
    <n v="0"/>
    <n v="0"/>
    <n v="0"/>
    <n v="0"/>
    <n v="0"/>
    <n v="0"/>
    <n v="1043.4000000000001"/>
    <n v="0"/>
    <n v="1043.4000000000001"/>
    <n v="1043.4000000000001"/>
  </r>
  <r>
    <x v="0"/>
    <x v="1"/>
    <x v="0"/>
    <s v="5970200"/>
    <n v="749530"/>
    <s v="Travel"/>
    <s v="FMC-West Seattle FM Shared Svc"/>
    <x v="0"/>
    <m/>
    <n v="0"/>
    <n v="0"/>
    <n v="0"/>
    <n v="0"/>
    <n v="0"/>
    <n v="0"/>
    <n v="0"/>
    <n v="0"/>
    <n v="12"/>
    <n v="0"/>
    <n v="0"/>
    <n v="0"/>
    <n v="12"/>
    <n v="0"/>
  </r>
  <r>
    <x v="0"/>
    <x v="1"/>
    <x v="0"/>
    <s v="5970200"/>
    <n v="749530"/>
    <s v="Mileage"/>
    <s v="FMC-West Seattle FM Shared Svc"/>
    <x v="0"/>
    <n v="1001"/>
    <n v="13.08"/>
    <n v="83.94"/>
    <n v="0"/>
    <n v="263.77999999999997"/>
    <n v="0"/>
    <n v="0"/>
    <n v="0"/>
    <n v="12.76"/>
    <n v="77.72"/>
    <n v="13.34"/>
    <n v="0"/>
    <n v="40.6"/>
    <n v="505.21999999999997"/>
    <n v="-40.6"/>
  </r>
  <r>
    <x v="0"/>
    <x v="1"/>
    <x v="0"/>
    <s v="5970200"/>
    <n v="749535"/>
    <s v="Meetings"/>
    <s v="FMC-West Seattle FM Shared Svc"/>
    <x v="0"/>
    <m/>
    <n v="0"/>
    <n v="285.83999999999997"/>
    <n v="0"/>
    <n v="0"/>
    <n v="0"/>
    <n v="379.49"/>
    <n v="0"/>
    <n v="0"/>
    <n v="20.45"/>
    <n v="0"/>
    <n v="0"/>
    <n v="0"/>
    <n v="685.78"/>
    <n v="0"/>
  </r>
  <r>
    <x v="0"/>
    <x v="1"/>
    <x v="0"/>
    <s v="5970200"/>
    <n v="749550"/>
    <s v="Cash Over/Short"/>
    <s v="FMC-West Seattle FM Shared Svc"/>
    <x v="0"/>
    <m/>
    <n v="0"/>
    <n v="28.85"/>
    <n v="0"/>
    <n v="5"/>
    <n v="0"/>
    <n v="-7"/>
    <n v="0"/>
    <n v="0"/>
    <n v="-33.79"/>
    <n v="-0.15"/>
    <n v="-10"/>
    <n v="0"/>
    <n v="-17.089999999999996"/>
    <n v="-10"/>
  </r>
  <r>
    <x v="0"/>
    <x v="1"/>
    <x v="0"/>
    <s v="5970200"/>
    <n v="766010"/>
    <s v="Property Tax"/>
    <s v="FMC-West Seattle FM Shared Svc"/>
    <x v="0"/>
    <m/>
    <n v="748.39"/>
    <n v="748.39"/>
    <n v="748.39"/>
    <n v="748.39"/>
    <n v="748.39"/>
    <n v="748.39"/>
    <n v="748.39"/>
    <n v="748.39"/>
    <n v="748.39"/>
    <n v="44.06"/>
    <n v="572.30999999999995"/>
    <n v="572.30999999999995"/>
    <n v="7924.1900000000005"/>
    <n v="0"/>
  </r>
  <r>
    <x v="5"/>
    <x v="1"/>
    <x v="0"/>
    <s v="5971200"/>
    <n v="700014"/>
    <s v="Salaries-Management-Productive"/>
    <s v="FMC-Seahurst FM Shared Svc"/>
    <x v="0"/>
    <m/>
    <n v="3313.96"/>
    <n v="2265.6799999999998"/>
    <n v="3043.44"/>
    <n v="3957.24"/>
    <n v="3803.36"/>
    <n v="1728.8"/>
    <n v="4155.1899999999996"/>
    <n v="3462.68"/>
    <n v="3635.82"/>
    <n v="3220.28"/>
    <n v="4224.4799999999996"/>
    <n v="2770.14"/>
    <n v="39581.069999999992"/>
    <n v="1454.3399999999997"/>
  </r>
  <r>
    <x v="5"/>
    <x v="1"/>
    <x v="0"/>
    <s v="5971200"/>
    <n v="700018"/>
    <s v="Salaries-Supervisory-Productive"/>
    <s v="FMC-Seahurst FM Shared Svc"/>
    <x v="0"/>
    <m/>
    <n v="4866.96"/>
    <n v="5330.48"/>
    <n v="3244.64"/>
    <n v="5445.68"/>
    <n v="4763.2"/>
    <n v="4525.04"/>
    <n v="5247.54"/>
    <n v="2909.82"/>
    <n v="4960.9799999999996"/>
    <n v="5247.2"/>
    <n v="4293.18"/>
    <n v="3339.11"/>
    <n v="54173.829999999994"/>
    <n v="954.07000000000016"/>
  </r>
  <r>
    <x v="5"/>
    <x v="1"/>
    <x v="0"/>
    <s v="5971200"/>
    <n v="700032"/>
    <s v="Salaries-Other Pat Care Providers-Productive"/>
    <s v="FMC-Seahurst FM Shared Svc"/>
    <x v="0"/>
    <m/>
    <n v="3041.11"/>
    <n v="3934.61"/>
    <n v="3205.05"/>
    <n v="3639.85"/>
    <n v="338.25"/>
    <n v="4514.1899999999996"/>
    <n v="3986.75"/>
    <n v="2485.6"/>
    <n v="3800.56"/>
    <n v="2388.41"/>
    <n v="1870.85"/>
    <n v="4009.37"/>
    <n v="37214.600000000006"/>
    <n v="-2138.52"/>
  </r>
  <r>
    <x v="5"/>
    <x v="1"/>
    <x v="0"/>
    <s v="5971200"/>
    <n v="700032"/>
    <s v="Salaries-Other Pat Care Providers-OT"/>
    <s v="FMC-Seahurst FM Shared Svc"/>
    <x v="0"/>
    <n v="1000"/>
    <n v="98.77"/>
    <n v="181.09"/>
    <n v="156.36000000000001"/>
    <n v="74.08"/>
    <n v="169.48"/>
    <n v="172.02"/>
    <n v="226.61"/>
    <n v="-67.89"/>
    <n v="1022.6"/>
    <n v="-193.49"/>
    <n v="231.69"/>
    <n v="0.01"/>
    <n v="2071.33"/>
    <n v="231.68"/>
  </r>
  <r>
    <x v="5"/>
    <x v="1"/>
    <x v="0"/>
    <s v="5971200"/>
    <n v="700032"/>
    <s v="Salaries-Other Pat Care Providers-Other"/>
    <s v="FMC-Seahurst FM Shared Svc"/>
    <x v="0"/>
    <n v="2000"/>
    <n v="231.82"/>
    <n v="236.01"/>
    <n v="336.8"/>
    <n v="229.2"/>
    <n v="225.31"/>
    <n v="217.88"/>
    <n v="239.06"/>
    <n v="200.44"/>
    <n v="247.28"/>
    <n v="151.93"/>
    <n v="125.21"/>
    <n v="231.9"/>
    <n v="2672.84"/>
    <n v="-106.69000000000001"/>
  </r>
  <r>
    <x v="5"/>
    <x v="1"/>
    <x v="0"/>
    <s v="5971200"/>
    <n v="700038"/>
    <s v="Salaries-Service/Support-Productive"/>
    <s v="FMC-Seahurst FM Shared Svc"/>
    <x v="0"/>
    <m/>
    <n v="18087.560000000001"/>
    <n v="23561.49"/>
    <n v="13506.74"/>
    <n v="19016.04"/>
    <n v="16049.28"/>
    <n v="14353.9"/>
    <n v="16349.2"/>
    <n v="15724.26"/>
    <n v="19258.18"/>
    <n v="15506.08"/>
    <n v="13949.1"/>
    <n v="16183.76"/>
    <n v="201545.59"/>
    <n v="-2234.66"/>
  </r>
  <r>
    <x v="5"/>
    <x v="1"/>
    <x v="0"/>
    <s v="5971200"/>
    <n v="700038"/>
    <s v="Salaries-Service/Support-OT"/>
    <s v="FMC-Seahurst FM Shared Svc"/>
    <x v="0"/>
    <n v="1000"/>
    <n v="1753.49"/>
    <n v="3122.39"/>
    <n v="2116.09"/>
    <n v="3494.72"/>
    <n v="4580.3100000000004"/>
    <n v="1652.79"/>
    <n v="3042.78"/>
    <n v="1349.66"/>
    <n v="1175.26"/>
    <n v="2026.16"/>
    <n v="2855.6"/>
    <n v="1491.56"/>
    <n v="28660.809999999998"/>
    <n v="1364.04"/>
  </r>
  <r>
    <x v="5"/>
    <x v="1"/>
    <x v="0"/>
    <s v="5971200"/>
    <n v="700038"/>
    <s v="Salaries-Service/Support-Other"/>
    <s v="FMC-Seahurst FM Shared Svc"/>
    <x v="0"/>
    <n v="2000"/>
    <n v="30"/>
    <n v="0"/>
    <n v="7.5"/>
    <n v="-2.5"/>
    <n v="8.5"/>
    <n v="5"/>
    <n v="30.04"/>
    <n v="0"/>
    <n v="0"/>
    <n v="0"/>
    <n v="8.01"/>
    <n v="47.55"/>
    <n v="134.1"/>
    <n v="-39.54"/>
  </r>
  <r>
    <x v="5"/>
    <x v="1"/>
    <x v="0"/>
    <s v="5971200"/>
    <n v="700054"/>
    <s v="Salaries-Management-NonProd-Other"/>
    <s v="FMC-Seahurst FM Shared Svc"/>
    <x v="0"/>
    <n v="2000"/>
    <n v="0"/>
    <n v="0"/>
    <n v="0"/>
    <n v="0"/>
    <n v="0"/>
    <n v="1125.21"/>
    <n v="-1125.21"/>
    <n v="0"/>
    <n v="0"/>
    <n v="0"/>
    <n v="0"/>
    <n v="0"/>
    <n v="0"/>
    <n v="0"/>
  </r>
  <r>
    <x v="5"/>
    <x v="1"/>
    <x v="0"/>
    <s v="5971200"/>
    <n v="700058"/>
    <s v="Salaries-Supervisory-Non-productive"/>
    <s v="FMC-Seahurst FM Shared Svc"/>
    <x v="0"/>
    <m/>
    <n v="231.76"/>
    <n v="0"/>
    <n v="1390.56"/>
    <n v="0"/>
    <n v="476.32"/>
    <n v="476.32"/>
    <n v="238.51"/>
    <n v="1860.35"/>
    <n v="47.72"/>
    <n v="0"/>
    <n v="1192.55"/>
    <n v="1431.06"/>
    <n v="7345.15"/>
    <n v="-238.51"/>
  </r>
  <r>
    <x v="5"/>
    <x v="1"/>
    <x v="0"/>
    <s v="5971200"/>
    <n v="700072"/>
    <s v="Salaries-Other Pat Care Providers-Non-productive"/>
    <s v="FMC-Seahurst FM Shared Svc"/>
    <x v="0"/>
    <m/>
    <n v="887.03"/>
    <n v="11.85"/>
    <n v="452.13"/>
    <n v="344.48"/>
    <n v="3548.8"/>
    <n v="-760.78"/>
    <n v="106.73"/>
    <n v="1115.07"/>
    <n v="-82.18"/>
    <n v="434.24"/>
    <n v="198.81"/>
    <n v="105.52"/>
    <n v="6361.7"/>
    <n v="93.29"/>
  </r>
  <r>
    <x v="5"/>
    <x v="1"/>
    <x v="0"/>
    <s v="5971200"/>
    <n v="700078"/>
    <s v="Salaries-Service/Support-Non-productive"/>
    <s v="FMC-Seahurst FM Shared Svc"/>
    <x v="0"/>
    <m/>
    <n v="3594.74"/>
    <n v="1229.47"/>
    <n v="1390.38"/>
    <n v="327.52999999999997"/>
    <n v="2326.4299999999998"/>
    <n v="4297.5600000000004"/>
    <n v="4162.37"/>
    <n v="1929.43"/>
    <n v="675.16"/>
    <n v="848.97"/>
    <n v="994.64"/>
    <n v="1695.8"/>
    <n v="23472.48"/>
    <n v="-701.16"/>
  </r>
  <r>
    <x v="5"/>
    <x v="1"/>
    <x v="0"/>
    <s v="5971200"/>
    <n v="700078"/>
    <s v="Salaries-Service/Support-NonProd-Other"/>
    <s v="FMC-Seahurst FM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71200"/>
    <n v="700084"/>
    <s v="Accrued PTO"/>
    <s v="FMC-Seahurst FM Shared Svc"/>
    <x v="0"/>
    <m/>
    <n v="821.53"/>
    <n v="2454.7600000000002"/>
    <n v="-378.12"/>
    <n v="2627.87"/>
    <n v="1261.08"/>
    <n v="-1757.11"/>
    <n v="-1034.98"/>
    <n v="-1525.63"/>
    <n v="1640.3"/>
    <n v="2193.4699999999998"/>
    <n v="831.37"/>
    <n v="1043.51"/>
    <n v="8178.05"/>
    <n v="-212.14"/>
  </r>
  <r>
    <x v="6"/>
    <x v="1"/>
    <x v="0"/>
    <s v="5971200"/>
    <n v="713010"/>
    <s v="Benefits-FICA/Medicare"/>
    <s v="FMC-Seahurst FM Shared Svc"/>
    <x v="0"/>
    <m/>
    <n v="2662.62"/>
    <n v="3085.97"/>
    <n v="2126.85"/>
    <n v="2703.07"/>
    <n v="2721.39"/>
    <n v="2391.63"/>
    <n v="2942.96"/>
    <n v="2280.83"/>
    <n v="2564.3200000000002"/>
    <n v="2259.87"/>
    <n v="2220.7399999999998"/>
    <n v="2312.19"/>
    <n v="30272.44"/>
    <n v="-91.450000000000273"/>
  </r>
  <r>
    <x v="6"/>
    <x v="1"/>
    <x v="0"/>
    <s v="5971200"/>
    <n v="713090"/>
    <s v="Benefits-Allocated Amounts"/>
    <s v="FMC-Seahurst FM Shared Svc"/>
    <x v="0"/>
    <m/>
    <n v="9778.77"/>
    <n v="9676.2199999999993"/>
    <n v="8387.32"/>
    <n v="9088.51"/>
    <n v="9048"/>
    <n v="8645.39"/>
    <n v="10784.59"/>
    <n v="9878.02"/>
    <n v="9661.3700000000008"/>
    <n v="8801.35"/>
    <n v="7760.45"/>
    <n v="8820.09"/>
    <n v="110330.08"/>
    <n v="-1059.6400000000003"/>
  </r>
  <r>
    <x v="6"/>
    <x v="1"/>
    <x v="0"/>
    <s v="5971200"/>
    <n v="713096"/>
    <s v="Employee Recognition"/>
    <s v="FMC-Seahurst FM Shared Svc"/>
    <x v="0"/>
    <n v="1017"/>
    <n v="0"/>
    <n v="0"/>
    <n v="0"/>
    <n v="0"/>
    <n v="0"/>
    <n v="0"/>
    <n v="0"/>
    <n v="0"/>
    <n v="0"/>
    <n v="0"/>
    <n v="25.98"/>
    <n v="0"/>
    <n v="25.98"/>
    <n v="25.98"/>
  </r>
  <r>
    <x v="7"/>
    <x v="1"/>
    <x v="0"/>
    <s v="5971200"/>
    <n v="718010"/>
    <s v="Media/Print Advertising"/>
    <s v="FMC-Seahurst FM Shared Svc"/>
    <x v="0"/>
    <n v="1004"/>
    <n v="539.26"/>
    <n v="547.16"/>
    <n v="0"/>
    <n v="-88.3"/>
    <n v="0"/>
    <n v="253.2"/>
    <n v="39.82"/>
    <n v="0"/>
    <n v="0"/>
    <n v="0"/>
    <n v="0"/>
    <n v="-34.57"/>
    <n v="1256.5700000000002"/>
    <n v="34.57"/>
  </r>
  <r>
    <x v="7"/>
    <x v="1"/>
    <x v="0"/>
    <s v="5971200"/>
    <n v="718050"/>
    <s v="Contract Svcs-Other"/>
    <s v="FMC-Seahurst FM Shared Svc"/>
    <x v="0"/>
    <m/>
    <n v="0"/>
    <n v="0"/>
    <n v="0"/>
    <n v="0"/>
    <n v="0"/>
    <n v="0"/>
    <n v="0"/>
    <n v="0"/>
    <n v="250.06"/>
    <n v="0"/>
    <n v="85.77"/>
    <n v="0"/>
    <n v="335.83"/>
    <n v="85.77"/>
  </r>
  <r>
    <x v="7"/>
    <x v="1"/>
    <x v="0"/>
    <s v="5971200"/>
    <n v="718050"/>
    <s v="Management Fees"/>
    <s v="FMC-Seahurst FM Shared Svc"/>
    <x v="0"/>
    <n v="1004"/>
    <n v="0"/>
    <n v="0"/>
    <n v="0"/>
    <n v="0"/>
    <n v="0"/>
    <n v="508.93"/>
    <n v="0"/>
    <n v="0"/>
    <n v="0"/>
    <n v="0"/>
    <n v="0"/>
    <n v="0"/>
    <n v="508.93"/>
    <n v="0"/>
  </r>
  <r>
    <x v="7"/>
    <x v="1"/>
    <x v="0"/>
    <s v="5971200"/>
    <n v="718050"/>
    <s v="Cleaning Services"/>
    <s v="FMC-Seahurst FM Shared Svc"/>
    <x v="0"/>
    <n v="1011"/>
    <n v="0"/>
    <n v="2700"/>
    <n v="2700"/>
    <n v="0"/>
    <n v="1350"/>
    <n v="1350"/>
    <n v="1350"/>
    <n v="1350"/>
    <n v="1350"/>
    <n v="1486.35"/>
    <n v="1350"/>
    <n v="1350"/>
    <n v="16336.35"/>
    <n v="0"/>
  </r>
  <r>
    <x v="7"/>
    <x v="1"/>
    <x v="0"/>
    <s v="5971200"/>
    <n v="718050"/>
    <s v="Document Shredding/Storage"/>
    <s v="FMC-Seahurst FM Shared Svc"/>
    <x v="0"/>
    <n v="1012"/>
    <n v="224.34"/>
    <n v="267.29000000000002"/>
    <n v="226.04"/>
    <n v="228.21"/>
    <n v="324.17"/>
    <n v="209.85"/>
    <n v="207.75"/>
    <n v="129"/>
    <n v="212.95"/>
    <n v="285.01"/>
    <n v="239.09"/>
    <n v="140.34"/>
    <n v="2694.04"/>
    <n v="98.75"/>
  </r>
  <r>
    <x v="7"/>
    <x v="1"/>
    <x v="0"/>
    <s v="5971200"/>
    <n v="718050"/>
    <s v="Miscellaneous Purchased Svcs"/>
    <s v="FMC-Seahurst FM Shared Svc"/>
    <x v="0"/>
    <n v="1020"/>
    <n v="307.8"/>
    <n v="0"/>
    <n v="0"/>
    <n v="307.8"/>
    <n v="0"/>
    <n v="0"/>
    <n v="315.89"/>
    <n v="0"/>
    <n v="315.89"/>
    <n v="0"/>
    <n v="0"/>
    <n v="324.68"/>
    <n v="1572.0600000000002"/>
    <n v="-324.68"/>
  </r>
  <r>
    <x v="7"/>
    <x v="1"/>
    <x v="0"/>
    <s v="5971200"/>
    <n v="718050"/>
    <s v="Translation Services"/>
    <s v="FMC-Seahurst FM Shared Svc"/>
    <x v="0"/>
    <n v="1025"/>
    <n v="0"/>
    <n v="0"/>
    <n v="48"/>
    <n v="0"/>
    <n v="0"/>
    <n v="0"/>
    <n v="0"/>
    <n v="61.5"/>
    <n v="0"/>
    <n v="0"/>
    <n v="0"/>
    <n v="0"/>
    <n v="109.5"/>
    <n v="0"/>
  </r>
  <r>
    <x v="11"/>
    <x v="1"/>
    <x v="0"/>
    <s v="5971200"/>
    <n v="721250"/>
    <s v="Supplies-Pharmacy Drugs - Billable"/>
    <s v="FMC-Seahurst FM Shared Svc"/>
    <x v="0"/>
    <m/>
    <n v="3127.92"/>
    <n v="7998.02"/>
    <n v="12275.84"/>
    <n v="21141.14"/>
    <n v="15840.67"/>
    <n v="23246.41"/>
    <n v="8112.39"/>
    <n v="8806.86"/>
    <n v="9085.08"/>
    <n v="3256.89"/>
    <n v="3745.56"/>
    <n v="9173.5499999999993"/>
    <n v="125810.33"/>
    <n v="-5427.99"/>
  </r>
  <r>
    <x v="11"/>
    <x v="1"/>
    <x v="0"/>
    <s v="5971200"/>
    <n v="721410"/>
    <s v="Supplies-Medical - Nonbillable"/>
    <s v="FMC-Seahurst FM Shared Svc"/>
    <x v="0"/>
    <m/>
    <n v="0"/>
    <n v="0"/>
    <n v="0"/>
    <n v="0"/>
    <n v="0"/>
    <n v="0"/>
    <n v="0"/>
    <n v="0"/>
    <n v="21.85"/>
    <n v="0"/>
    <n v="0"/>
    <n v="0"/>
    <n v="21.85"/>
    <n v="0"/>
  </r>
  <r>
    <x v="11"/>
    <x v="1"/>
    <x v="0"/>
    <s v="5971200"/>
    <n v="721810"/>
    <s v="Supplies-Dietary/Cafeteria"/>
    <s v="FMC-Seahurst FM Shared Svc"/>
    <x v="0"/>
    <m/>
    <n v="0"/>
    <n v="286.13"/>
    <n v="265.23"/>
    <n v="0"/>
    <n v="77.94"/>
    <n v="0"/>
    <n v="63.96"/>
    <n v="41"/>
    <n v="0"/>
    <n v="61"/>
    <n v="15.9"/>
    <n v="0"/>
    <n v="811.16"/>
    <n v="15.9"/>
  </r>
  <r>
    <x v="11"/>
    <x v="1"/>
    <x v="0"/>
    <s v="5971200"/>
    <n v="721830"/>
    <s v="Supplies-Office"/>
    <s v="FMC-Seahurst FM Shared Svc"/>
    <x v="0"/>
    <m/>
    <n v="448.65"/>
    <n v="710.4"/>
    <n v="765.5"/>
    <n v="764.56"/>
    <n v="750.59"/>
    <n v="1784.36"/>
    <n v="1133.0899999999999"/>
    <n v="974.35"/>
    <n v="528.99"/>
    <n v="699.8"/>
    <n v="399.03"/>
    <n v="173.56"/>
    <n v="9132.8799999999992"/>
    <n v="225.46999999999997"/>
  </r>
  <r>
    <x v="11"/>
    <x v="1"/>
    <x v="0"/>
    <s v="5971200"/>
    <n v="721835"/>
    <s v="Supplies-Forms"/>
    <s v="FMC-Seahurst FM Shared Svc"/>
    <x v="0"/>
    <m/>
    <n v="0"/>
    <n v="0"/>
    <n v="0"/>
    <n v="0"/>
    <n v="0"/>
    <n v="45"/>
    <n v="0"/>
    <n v="0"/>
    <n v="0"/>
    <n v="0"/>
    <n v="0"/>
    <n v="0"/>
    <n v="45"/>
    <n v="0"/>
  </r>
  <r>
    <x v="11"/>
    <x v="1"/>
    <x v="0"/>
    <s v="5971200"/>
    <n v="721910"/>
    <s v="Supplies-Small Equipment"/>
    <s v="FMC-Seahurst FM Shared Svc"/>
    <x v="0"/>
    <m/>
    <n v="0"/>
    <n v="0"/>
    <n v="0"/>
    <n v="0"/>
    <n v="0"/>
    <n v="36.39"/>
    <n v="0"/>
    <n v="0"/>
    <n v="3.68"/>
    <n v="1181.1099999999999"/>
    <n v="0"/>
    <n v="0"/>
    <n v="1221.1799999999998"/>
    <n v="0"/>
  </r>
  <r>
    <x v="12"/>
    <x v="1"/>
    <x v="0"/>
    <s v="5971200"/>
    <n v="730010"/>
    <s v="Rental and Leases-Building (DO NOT USE)"/>
    <s v="FMC-Seahurst FM Shared Svc"/>
    <x v="0"/>
    <m/>
    <n v="15617.48"/>
    <n v="15617.48"/>
    <n v="15617.48"/>
    <n v="15617.48"/>
    <n v="15617.48"/>
    <n v="11828.08"/>
    <n v="11828.08"/>
    <n v="11828.08"/>
    <n v="11828.08"/>
    <n v="-7118.92"/>
    <n v="11828.08"/>
    <n v="11828.08"/>
    <n v="141936.95999999999"/>
    <n v="0"/>
  </r>
  <r>
    <x v="12"/>
    <x v="1"/>
    <x v="0"/>
    <s v="5971200"/>
    <n v="730010"/>
    <s v="Rental-Common Area Maint (DO NOT USE)"/>
    <s v="FMC-Seahurst FM Shared Svc"/>
    <x v="0"/>
    <n v="2200"/>
    <n v="0"/>
    <n v="0"/>
    <n v="0"/>
    <n v="0"/>
    <n v="0"/>
    <n v="4021.32"/>
    <n v="4021.32"/>
    <n v="4021.32"/>
    <n v="4021.32"/>
    <n v="26960.14"/>
    <n v="4021.32"/>
    <n v="4021.32"/>
    <n v="51088.06"/>
    <n v="0"/>
  </r>
  <r>
    <x v="12"/>
    <x v="1"/>
    <x v="0"/>
    <s v="5971200"/>
    <n v="730020"/>
    <s v="Rental and Leases-Equipment (DO NOT USE)"/>
    <s v="FMC-Seahurst FM Shared Svc"/>
    <x v="0"/>
    <m/>
    <n v="0"/>
    <n v="349.6"/>
    <n v="170.51"/>
    <n v="0"/>
    <n v="170.51"/>
    <n v="0"/>
    <n v="170.51"/>
    <n v="341.02"/>
    <n v="348.77"/>
    <n v="0"/>
    <n v="0"/>
    <n v="0"/>
    <n v="1550.92"/>
    <n v="0"/>
  </r>
  <r>
    <x v="12"/>
    <x v="1"/>
    <x v="0"/>
    <s v="5971200"/>
    <n v="730020"/>
    <s v="Rental and Leases-Copier Usage Fees (DO NOT USE)"/>
    <s v="FMC-Seahurst FM Shared Svc"/>
    <x v="0"/>
    <n v="5100"/>
    <n v="681.17"/>
    <n v="687"/>
    <n v="684.08"/>
    <n v="684.08"/>
    <n v="684.08"/>
    <n v="684.08"/>
    <n v="-181.88"/>
    <n v="399.78"/>
    <n v="398.94"/>
    <n v="954.53"/>
    <n v="399.78"/>
    <n v="435.1"/>
    <n v="6510.7399999999989"/>
    <n v="-35.32000000000005"/>
  </r>
  <r>
    <x v="15"/>
    <x v="1"/>
    <x v="0"/>
    <s v="5971200"/>
    <n v="731060"/>
    <s v="Pagers"/>
    <s v="FMC-Seahurst FM Shared Svc"/>
    <x v="0"/>
    <n v="1002"/>
    <n v="26.36"/>
    <n v="26.35"/>
    <n v="26.35"/>
    <n v="26.42"/>
    <n v="45.91"/>
    <n v="0"/>
    <n v="36.799999999999997"/>
    <n v="18.399999999999999"/>
    <n v="18.399999999999999"/>
    <n v="18.38"/>
    <n v="18.38"/>
    <n v="18.38"/>
    <n v="280.13"/>
    <n v="0"/>
  </r>
  <r>
    <x v="16"/>
    <x v="1"/>
    <x v="0"/>
    <s v="5971200"/>
    <n v="732030"/>
    <s v="Repairs---Other"/>
    <s v="FMC-Seahurst FM Shared Svc"/>
    <x v="0"/>
    <m/>
    <n v="2492.86"/>
    <n v="0"/>
    <n v="0"/>
    <n v="106.37"/>
    <n v="0"/>
    <n v="0"/>
    <n v="0"/>
    <n v="0"/>
    <n v="38.19"/>
    <n v="0"/>
    <n v="0"/>
    <n v="91.29"/>
    <n v="2728.71"/>
    <n v="-91.29"/>
  </r>
  <r>
    <x v="13"/>
    <x v="1"/>
    <x v="0"/>
    <s v="5971200"/>
    <n v="735050"/>
    <s v="Amortization-Leasehold Improvements"/>
    <s v="FMC-Seahurst FM Shared Svc"/>
    <x v="0"/>
    <m/>
    <n v="2380.5300000000002"/>
    <n v="2431.9"/>
    <n v="2431.91"/>
    <n v="3531.68"/>
    <n v="3531.72"/>
    <n v="3531.68"/>
    <n v="3531.72"/>
    <n v="3531.68"/>
    <n v="3531.72"/>
    <n v="3531.68"/>
    <n v="3531.75"/>
    <n v="3531.68"/>
    <n v="39029.65"/>
    <n v="7.0000000000163709E-2"/>
  </r>
  <r>
    <x v="13"/>
    <x v="1"/>
    <x v="0"/>
    <s v="5971200"/>
    <n v="735070"/>
    <s v="Depreciation-Movable Equipment"/>
    <s v="FMC-Seahurst FM Shared Svc"/>
    <x v="0"/>
    <m/>
    <n v="2469.34"/>
    <n v="2469.31"/>
    <n v="2469.34"/>
    <n v="2469.29"/>
    <n v="2469.34"/>
    <n v="2469.29"/>
    <n v="2469.35"/>
    <n v="2469.29"/>
    <n v="2469.37"/>
    <n v="2469.2800000000002"/>
    <n v="2469.38"/>
    <n v="2469.27"/>
    <n v="29631.85"/>
    <n v="0.11000000000012733"/>
  </r>
  <r>
    <x v="0"/>
    <x v="1"/>
    <x v="0"/>
    <s v="5971200"/>
    <n v="742040"/>
    <s v="Freight-Other"/>
    <s v="FMC-Seahurst FM Shared Svc"/>
    <x v="0"/>
    <m/>
    <n v="0"/>
    <n v="0"/>
    <n v="0"/>
    <n v="88.3"/>
    <n v="0"/>
    <n v="0"/>
    <n v="0"/>
    <n v="0"/>
    <n v="0"/>
    <n v="0"/>
    <n v="0"/>
    <n v="34.57"/>
    <n v="122.87"/>
    <n v="-34.57"/>
  </r>
  <r>
    <x v="0"/>
    <x v="1"/>
    <x v="0"/>
    <s v="5971200"/>
    <n v="749510"/>
    <s v="Miscellaneous Expenses"/>
    <s v="FMC-Seahurst FM Shared Svc"/>
    <x v="0"/>
    <m/>
    <n v="55.05"/>
    <n v="105.05"/>
    <n v="0"/>
    <n v="0"/>
    <n v="50"/>
    <n v="487.5"/>
    <n v="77.75"/>
    <n v="0"/>
    <n v="100"/>
    <n v="0"/>
    <n v="608.65"/>
    <n v="0"/>
    <n v="1484"/>
    <n v="608.65"/>
  </r>
  <r>
    <x v="0"/>
    <x v="1"/>
    <x v="0"/>
    <s v="5971200"/>
    <n v="749550"/>
    <s v="Cash Over/Short"/>
    <s v="FMC-Seahurst FM Shared Svc"/>
    <x v="0"/>
    <m/>
    <n v="0"/>
    <n v="0"/>
    <n v="0"/>
    <n v="0"/>
    <n v="0"/>
    <n v="-4.0999999999999996"/>
    <n v="0"/>
    <n v="0"/>
    <n v="-3.78"/>
    <n v="5.9"/>
    <n v="25"/>
    <n v="0"/>
    <n v="23.020000000000003"/>
    <n v="25"/>
  </r>
  <r>
    <x v="0"/>
    <x v="1"/>
    <x v="0"/>
    <s v="5971200"/>
    <n v="766010"/>
    <s v="Property Tax"/>
    <s v="FMC-Seahurst FM Shared Svc"/>
    <x v="0"/>
    <m/>
    <n v="321.68"/>
    <n v="321.68"/>
    <n v="321.68"/>
    <n v="321.68"/>
    <n v="321.68"/>
    <n v="321.68"/>
    <n v="321.68"/>
    <n v="321.68"/>
    <n v="321.68"/>
    <n v="-17.03"/>
    <n v="237"/>
    <n v="237"/>
    <n v="3352.0899999999997"/>
    <n v="0"/>
  </r>
  <r>
    <x v="5"/>
    <x v="1"/>
    <x v="0"/>
    <s v="5973200"/>
    <n v="700014"/>
    <s v="Salaries-Management-Productive"/>
    <s v="WH-Burien-OB/GYN Shared Svc"/>
    <x v="0"/>
    <m/>
    <n v="4386.62"/>
    <n v="6252.58"/>
    <n v="5728.8"/>
    <n v="6431.76"/>
    <n v="7543.77"/>
    <n v="3532.2"/>
    <n v="6906.56"/>
    <n v="6737.88"/>
    <n v="5558.74"/>
    <n v="6434.69"/>
    <n v="8220.2099999999991"/>
    <n v="3368.93"/>
    <n v="71102.739999999991"/>
    <n v="4851.2799999999988"/>
  </r>
  <r>
    <x v="5"/>
    <x v="1"/>
    <x v="0"/>
    <s v="5973200"/>
    <n v="700018"/>
    <s v="Salaries-Supervisory-Productive"/>
    <s v="WH-Burien-OB/GYN Shared Svc"/>
    <x v="0"/>
    <m/>
    <n v="5331.55"/>
    <n v="3799.49"/>
    <n v="6711.12"/>
    <n v="7593.98"/>
    <n v="6616.1"/>
    <n v="5243.6"/>
    <n v="6802.49"/>
    <n v="6625.8"/>
    <n v="6872.51"/>
    <n v="7762.15"/>
    <n v="8259.84"/>
    <n v="7232.11"/>
    <n v="78850.740000000005"/>
    <n v="1027.7300000000005"/>
  </r>
  <r>
    <x v="5"/>
    <x v="1"/>
    <x v="0"/>
    <s v="5973200"/>
    <n v="700032"/>
    <s v="Salaries-Other Pat Care Providers-Productive"/>
    <s v="WH-Burien-OB/GYN Shared Svc"/>
    <x v="0"/>
    <m/>
    <n v="0"/>
    <n v="0"/>
    <n v="0"/>
    <n v="0"/>
    <n v="0"/>
    <n v="0"/>
    <n v="0"/>
    <n v="0"/>
    <n v="0"/>
    <n v="0"/>
    <n v="0"/>
    <n v="185.58"/>
    <n v="185.58"/>
    <n v="-185.58"/>
  </r>
  <r>
    <x v="5"/>
    <x v="1"/>
    <x v="0"/>
    <s v="5973200"/>
    <n v="700038"/>
    <s v="Salaries-Service/Support-Productive"/>
    <s v="WH-Burien-OB/GYN Shared Svc"/>
    <x v="0"/>
    <m/>
    <n v="33354.21"/>
    <n v="38752.660000000003"/>
    <n v="29890.03"/>
    <n v="36961.56"/>
    <n v="37521.160000000003"/>
    <n v="28364.7"/>
    <n v="40388.1"/>
    <n v="34026.42"/>
    <n v="34953.1"/>
    <n v="32151.43"/>
    <n v="35965.58"/>
    <n v="31254.15"/>
    <n v="413583.10000000003"/>
    <n v="4711.43"/>
  </r>
  <r>
    <x v="5"/>
    <x v="1"/>
    <x v="0"/>
    <s v="5973200"/>
    <n v="700038"/>
    <s v="Salaries-Service/Support-OT"/>
    <s v="WH-Burien-OB/GYN Shared Svc"/>
    <x v="0"/>
    <n v="1000"/>
    <n v="265.45"/>
    <n v="483.2"/>
    <n v="408.94"/>
    <n v="826.11"/>
    <n v="210.81"/>
    <n v="427.47"/>
    <n v="183.12"/>
    <n v="31.55"/>
    <n v="213.35"/>
    <n v="796.06"/>
    <n v="23.61"/>
    <n v="187.59"/>
    <n v="4057.2599999999998"/>
    <n v="-163.98000000000002"/>
  </r>
  <r>
    <x v="5"/>
    <x v="1"/>
    <x v="0"/>
    <s v="5973200"/>
    <n v="700038"/>
    <s v="Salaries-Service/Support-Other"/>
    <s v="WH-Burien-OB/GYN Shared Svc"/>
    <x v="0"/>
    <n v="2000"/>
    <n v="263.11"/>
    <n v="213.7"/>
    <n v="1042.8399999999999"/>
    <n v="285.72000000000003"/>
    <n v="320.47000000000003"/>
    <n v="172.14"/>
    <n v="234.28"/>
    <n v="200.31"/>
    <n v="163.07"/>
    <n v="201.74"/>
    <n v="190.11"/>
    <n v="216.56"/>
    <n v="3504.05"/>
    <n v="-26.449999999999989"/>
  </r>
  <r>
    <x v="5"/>
    <x v="1"/>
    <x v="0"/>
    <s v="5973200"/>
    <n v="700054"/>
    <s v="Salaries-Management-Non-productive"/>
    <s v="WH-Burien-OB/GYN Shared Svc"/>
    <x v="0"/>
    <m/>
    <n v="2815.29"/>
    <n v="1276.71"/>
    <n v="818.4"/>
    <n v="1260.24"/>
    <n v="-142.97"/>
    <n v="3532.2"/>
    <n v="842.48"/>
    <n v="0"/>
    <n v="1516.03"/>
    <n v="977"/>
    <n v="-471.65"/>
    <n v="3368.95"/>
    <n v="15792.68"/>
    <n v="-3840.6"/>
  </r>
  <r>
    <x v="5"/>
    <x v="1"/>
    <x v="0"/>
    <s v="5973200"/>
    <n v="700054"/>
    <s v="Salaries-Management-NonProd-Other"/>
    <s v="WH-Burien-OB/GYN Shared Svc"/>
    <x v="0"/>
    <n v="2000"/>
    <n v="0"/>
    <n v="0"/>
    <n v="0"/>
    <n v="0"/>
    <n v="0"/>
    <n v="1579.04"/>
    <n v="-1483.6"/>
    <n v="0"/>
    <n v="0"/>
    <n v="0"/>
    <n v="0"/>
    <n v="0"/>
    <n v="95.440000000000055"/>
    <n v="0"/>
  </r>
  <r>
    <x v="5"/>
    <x v="1"/>
    <x v="0"/>
    <s v="5973200"/>
    <n v="700058"/>
    <s v="Salaries-Supervisory-Non-productive"/>
    <s v="WH-Burien-OB/GYN Shared Svc"/>
    <x v="0"/>
    <m/>
    <n v="2092.12"/>
    <n v="2691.18"/>
    <n v="-80.66"/>
    <n v="472.13"/>
    <n v="1126.1500000000001"/>
    <n v="1706.81"/>
    <n v="1304.05"/>
    <n v="422.93"/>
    <n v="528.64"/>
    <n v="470.85"/>
    <n v="494.83"/>
    <n v="380.63"/>
    <n v="11609.659999999998"/>
    <n v="114.19999999999999"/>
  </r>
  <r>
    <x v="5"/>
    <x v="1"/>
    <x v="0"/>
    <s v="5973200"/>
    <n v="700078"/>
    <s v="Salaries-Service/Support-Non-productive"/>
    <s v="WH-Burien-OB/GYN Shared Svc"/>
    <x v="0"/>
    <m/>
    <n v="4834.38"/>
    <n v="2457.94"/>
    <n v="4665.54"/>
    <n v="3126.89"/>
    <n v="1410.3"/>
    <n v="6860.71"/>
    <n v="2476.88"/>
    <n v="2619.2800000000002"/>
    <n v="887.71"/>
    <n v="4461.1000000000004"/>
    <n v="2491.42"/>
    <n v="3224.38"/>
    <n v="39516.529999999992"/>
    <n v="-732.96"/>
  </r>
  <r>
    <x v="5"/>
    <x v="1"/>
    <x v="0"/>
    <s v="5973200"/>
    <n v="700078"/>
    <s v="Salaries-Service/Support-NonProd-Other"/>
    <s v="WH-Burien-OB/GYN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73200"/>
    <n v="700084"/>
    <s v="Accrued PTO"/>
    <s v="WH-Burien-OB/GYN Shared Svc"/>
    <x v="0"/>
    <m/>
    <n v="-2326.27"/>
    <n v="256.29000000000002"/>
    <n v="-447.26"/>
    <n v="2523.17"/>
    <n v="2461.36"/>
    <n v="-3114.05"/>
    <n v="854.59"/>
    <n v="2605.19"/>
    <n v="4095.91"/>
    <n v="2029.94"/>
    <n v="2216.5"/>
    <n v="-703.06"/>
    <n v="10452.310000000001"/>
    <n v="2919.56"/>
  </r>
  <r>
    <x v="10"/>
    <x v="1"/>
    <x v="0"/>
    <s v="5973200"/>
    <n v="710060"/>
    <s v="Contract Labor-Other"/>
    <s v="WH-Burien-OB/GYN Shared Svc"/>
    <x v="0"/>
    <m/>
    <n v="-276.24"/>
    <n v="0"/>
    <n v="0"/>
    <n v="0"/>
    <n v="0"/>
    <n v="0"/>
    <n v="0"/>
    <n v="0"/>
    <n v="0"/>
    <n v="0"/>
    <n v="0"/>
    <n v="0"/>
    <n v="-276.24"/>
    <n v="0"/>
  </r>
  <r>
    <x v="6"/>
    <x v="1"/>
    <x v="0"/>
    <s v="5973200"/>
    <n v="713010"/>
    <s v="Benefits-FICA/Medicare"/>
    <s v="WH-Burien-OB/GYN Shared Svc"/>
    <x v="0"/>
    <m/>
    <n v="3894.43"/>
    <n v="4169.28"/>
    <n v="3583.12"/>
    <n v="4200.78"/>
    <n v="4009.22"/>
    <n v="3769.87"/>
    <n v="4388.13"/>
    <n v="3678.04"/>
    <n v="3676.22"/>
    <n v="3930.16"/>
    <n v="3998.35"/>
    <n v="3580.45"/>
    <n v="46878.049999999996"/>
    <n v="417.90000000000009"/>
  </r>
  <r>
    <x v="6"/>
    <x v="1"/>
    <x v="0"/>
    <s v="5973200"/>
    <n v="713090"/>
    <s v="Benefits-Allocated Amounts"/>
    <s v="WH-Burien-OB/GYN Shared Svc"/>
    <x v="0"/>
    <m/>
    <n v="13825.5"/>
    <n v="13056.51"/>
    <n v="13471.04"/>
    <n v="13964.47"/>
    <n v="13890.38"/>
    <n v="13332.83"/>
    <n v="16675.71"/>
    <n v="15561.36"/>
    <n v="14429.99"/>
    <n v="13979.58"/>
    <n v="14368.04"/>
    <n v="14190.11"/>
    <n v="170745.52000000002"/>
    <n v="177.93000000000029"/>
  </r>
  <r>
    <x v="6"/>
    <x v="1"/>
    <x v="0"/>
    <s v="5973200"/>
    <n v="713096"/>
    <s v="Employee Recognition"/>
    <s v="WH-Burien-OB/GYN Shared Svc"/>
    <x v="0"/>
    <n v="1017"/>
    <n v="0"/>
    <n v="281.77"/>
    <n v="0"/>
    <n v="0"/>
    <n v="55.23"/>
    <n v="103.13"/>
    <n v="0"/>
    <n v="0"/>
    <n v="207.01"/>
    <n v="452.82"/>
    <n v="7.99"/>
    <n v="0"/>
    <n v="1107.95"/>
    <n v="7.99"/>
  </r>
  <r>
    <x v="7"/>
    <x v="1"/>
    <x v="0"/>
    <s v="5973200"/>
    <n v="718050"/>
    <s v="Contract Svcs-Other"/>
    <s v="WH-Burien-OB/GYN Shared Svc"/>
    <x v="0"/>
    <m/>
    <n v="250"/>
    <n v="0"/>
    <n v="10.98"/>
    <n v="99.94"/>
    <n v="0"/>
    <n v="950"/>
    <n v="280"/>
    <n v="0"/>
    <n v="0"/>
    <n v="0"/>
    <n v="105"/>
    <n v="25"/>
    <n v="1720.92"/>
    <n v="80"/>
  </r>
  <r>
    <x v="7"/>
    <x v="1"/>
    <x v="0"/>
    <s v="5973200"/>
    <n v="718050"/>
    <s v="Cleaning Services"/>
    <s v="WH-Burien-OB/GYN Shared Svc"/>
    <x v="0"/>
    <n v="1011"/>
    <n v="950"/>
    <n v="3275"/>
    <n v="0"/>
    <n v="4600"/>
    <n v="2100"/>
    <n v="0"/>
    <n v="3250"/>
    <n v="2100"/>
    <n v="2100"/>
    <n v="0"/>
    <n v="2100"/>
    <n v="5020.95"/>
    <n v="25495.95"/>
    <n v="-2920.95"/>
  </r>
  <r>
    <x v="7"/>
    <x v="1"/>
    <x v="0"/>
    <s v="5973200"/>
    <n v="718050"/>
    <s v="Document Shredding/Storage"/>
    <s v="WH-Burien-OB/GYN Shared Svc"/>
    <x v="0"/>
    <n v="1012"/>
    <n v="254.86"/>
    <n v="2102.36"/>
    <n v="290.32"/>
    <n v="286.89999999999998"/>
    <n v="422.84"/>
    <n v="249.37"/>
    <n v="246.87"/>
    <n v="68.900000000000006"/>
    <n v="185.4"/>
    <n v="220.17"/>
    <n v="197.8"/>
    <n v="1103.6099999999999"/>
    <n v="5629.4000000000005"/>
    <n v="-905.81"/>
  </r>
  <r>
    <x v="7"/>
    <x v="1"/>
    <x v="0"/>
    <s v="5973200"/>
    <n v="718050"/>
    <s v="Physician Answering"/>
    <s v="WH-Burien-OB/GYN Shared Svc"/>
    <x v="0"/>
    <n v="1015"/>
    <n v="951.6"/>
    <n v="1168.4000000000001"/>
    <n v="973.4"/>
    <n v="390.2"/>
    <n v="1343.6"/>
    <n v="1004.2"/>
    <n v="1348.8"/>
    <n v="1194.8"/>
    <n v="1077.8"/>
    <n v="1243.5999999999999"/>
    <n v="1119"/>
    <n v="1118.5999999999999"/>
    <n v="12934"/>
    <n v="0.40000000000009095"/>
  </r>
  <r>
    <x v="7"/>
    <x v="1"/>
    <x v="0"/>
    <s v="5973200"/>
    <n v="718050"/>
    <s v="Security"/>
    <s v="WH-Burien-OB/GYN Shared Svc"/>
    <x v="0"/>
    <n v="1019"/>
    <n v="105"/>
    <n v="0"/>
    <n v="105"/>
    <n v="0"/>
    <n v="0"/>
    <n v="0"/>
    <n v="0"/>
    <n v="0"/>
    <n v="0"/>
    <n v="318"/>
    <n v="0"/>
    <n v="115"/>
    <n v="643"/>
    <n v="-115"/>
  </r>
  <r>
    <x v="7"/>
    <x v="1"/>
    <x v="0"/>
    <s v="5973200"/>
    <n v="718050"/>
    <s v="Miscellaneous Purchased Svcs"/>
    <s v="WH-Burien-OB/GYN Shared Svc"/>
    <x v="0"/>
    <n v="1020"/>
    <n v="0"/>
    <n v="438.24"/>
    <n v="65.89"/>
    <n v="466.12"/>
    <n v="73.81"/>
    <n v="73.81"/>
    <n v="134.44999999999999"/>
    <n v="106.76"/>
    <n v="154.76"/>
    <n v="73.81"/>
    <n v="4623.6099999999997"/>
    <n v="208.68"/>
    <n v="6419.94"/>
    <n v="4414.9299999999994"/>
  </r>
  <r>
    <x v="7"/>
    <x v="1"/>
    <x v="0"/>
    <s v="5973200"/>
    <n v="718050"/>
    <s v="Translation Services"/>
    <s v="WH-Burien-OB/GYN Shared Svc"/>
    <x v="0"/>
    <n v="1025"/>
    <n v="277.11"/>
    <n v="0"/>
    <n v="657.54"/>
    <n v="500.04"/>
    <n v="655.7"/>
    <n v="833.23"/>
    <n v="295.02999999999997"/>
    <n v="510.77"/>
    <n v="50"/>
    <n v="655.63"/>
    <n v="733.12"/>
    <n v="1596.2"/>
    <n v="6764.37"/>
    <n v="-863.08"/>
  </r>
  <r>
    <x v="7"/>
    <x v="1"/>
    <x v="0"/>
    <s v="5973200"/>
    <n v="718050"/>
    <s v="Contract Management--Linen"/>
    <s v="WH-Burien-OB/GYN Shared Svc"/>
    <x v="0"/>
    <n v="1026"/>
    <n v="523.9"/>
    <n v="2807.35"/>
    <n v="184.89"/>
    <n v="3793.69"/>
    <n v="2448.81"/>
    <n v="1568.51"/>
    <n v="2848.46"/>
    <n v="1539.62"/>
    <n v="1756.87"/>
    <n v="2112.23"/>
    <n v="421.88"/>
    <n v="3016.39"/>
    <n v="23022.6"/>
    <n v="-2594.5099999999998"/>
  </r>
  <r>
    <x v="7"/>
    <x v="1"/>
    <x v="0"/>
    <s v="5973200"/>
    <n v="718050"/>
    <s v="Purchased Srvcs--Medical Waste"/>
    <s v="WH-Burien-OB/GYN Shared Svc"/>
    <x v="0"/>
    <n v="1027"/>
    <n v="11.14"/>
    <n v="172.76"/>
    <n v="11.14"/>
    <n v="171.98"/>
    <n v="122.09"/>
    <n v="196.32"/>
    <n v="126.65"/>
    <n v="127.29"/>
    <n v="0"/>
    <n v="45.84"/>
    <n v="102"/>
    <n v="88.74"/>
    <n v="1175.95"/>
    <n v="13.260000000000005"/>
  </r>
  <r>
    <x v="7"/>
    <x v="1"/>
    <x v="0"/>
    <s v="5973200"/>
    <n v="718050"/>
    <s v="Contract Services-Food&amp;Catering"/>
    <s v="WH-Burien-OB/GYN Shared Svc"/>
    <x v="0"/>
    <n v="1030"/>
    <n v="0"/>
    <n v="134.07"/>
    <n v="0"/>
    <n v="136.33000000000001"/>
    <n v="100.57"/>
    <n v="0"/>
    <n v="0"/>
    <n v="0"/>
    <n v="56.11"/>
    <n v="0"/>
    <n v="0"/>
    <n v="281.68"/>
    <n v="708.76"/>
    <n v="-281.68"/>
  </r>
  <r>
    <x v="7"/>
    <x v="1"/>
    <x v="0"/>
    <s v="5973200"/>
    <n v="718070"/>
    <s v="Contract Srvcs-CHI Clinical Engineering"/>
    <s v="WH-Burien-OB/GYN Shared Svc"/>
    <x v="0"/>
    <m/>
    <n v="0"/>
    <n v="0"/>
    <n v="0"/>
    <n v="0"/>
    <n v="0"/>
    <n v="3512.27"/>
    <n v="6.5"/>
    <n v="0"/>
    <n v="0"/>
    <n v="0"/>
    <n v="0"/>
    <n v="0"/>
    <n v="3518.77"/>
    <n v="0"/>
  </r>
  <r>
    <x v="11"/>
    <x v="1"/>
    <x v="0"/>
    <s v="5973200"/>
    <n v="721010"/>
    <s v="Supplies-Medical - Billable"/>
    <s v="WH-Burien-OB/GYN Shared Svc"/>
    <x v="0"/>
    <m/>
    <n v="32260.38"/>
    <n v="33430.74"/>
    <n v="7458.88"/>
    <n v="41409.5"/>
    <n v="23554.54"/>
    <n v="86883.62"/>
    <n v="24508.55"/>
    <n v="21776.6"/>
    <n v="33915.5"/>
    <n v="6955"/>
    <n v="26938.53"/>
    <n v="23010.880000000001"/>
    <n v="362102.72"/>
    <n v="3927.6499999999978"/>
  </r>
  <r>
    <x v="11"/>
    <x v="1"/>
    <x v="0"/>
    <s v="5973200"/>
    <n v="721250"/>
    <s v="Supplies-Pharmacy Drugs - Billable"/>
    <s v="WH-Burien-OB/GYN Shared Svc"/>
    <x v="0"/>
    <m/>
    <n v="4438"/>
    <n v="8731.31"/>
    <n v="5430.8"/>
    <n v="9682.6"/>
    <n v="12565.15"/>
    <n v="8001.33"/>
    <n v="6439.13"/>
    <n v="9760.11"/>
    <n v="1820.22"/>
    <n v="8736.23"/>
    <n v="1043.8699999999999"/>
    <n v="2642.42"/>
    <n v="79291.169999999984"/>
    <n v="-1598.5500000000002"/>
  </r>
  <r>
    <x v="11"/>
    <x v="1"/>
    <x v="0"/>
    <s v="5973200"/>
    <n v="721410"/>
    <s v="Supplies-Medical - Nonbillable"/>
    <s v="WH-Burien-OB/GYN Shared Svc"/>
    <x v="0"/>
    <m/>
    <n v="32.700000000000003"/>
    <n v="75.39"/>
    <n v="955.69"/>
    <n v="1372.11"/>
    <n v="16"/>
    <n v="586.79"/>
    <n v="469.85"/>
    <n v="-15.13"/>
    <n v="66.92"/>
    <n v="0"/>
    <n v="0"/>
    <n v="0"/>
    <n v="3560.3199999999997"/>
    <n v="0"/>
  </r>
  <r>
    <x v="11"/>
    <x v="1"/>
    <x v="0"/>
    <s v="5973200"/>
    <n v="721810"/>
    <s v="Supplies-Dietary/Cafeteria"/>
    <s v="WH-Burien-OB/GYN Shared Svc"/>
    <x v="0"/>
    <m/>
    <n v="0"/>
    <n v="0"/>
    <n v="0"/>
    <n v="125.35"/>
    <n v="0"/>
    <n v="131.80000000000001"/>
    <n v="212.28"/>
    <n v="0"/>
    <n v="0"/>
    <n v="129.59"/>
    <n v="481.4"/>
    <n v="190.32"/>
    <n v="1270.74"/>
    <n v="291.08"/>
  </r>
  <r>
    <x v="11"/>
    <x v="1"/>
    <x v="0"/>
    <s v="5973200"/>
    <n v="721830"/>
    <s v="Supplies-Office"/>
    <s v="WH-Burien-OB/GYN Shared Svc"/>
    <x v="0"/>
    <m/>
    <n v="499"/>
    <n v="1076.8399999999999"/>
    <n v="542.85"/>
    <n v="792.73"/>
    <n v="1336.3"/>
    <n v="2057.04"/>
    <n v="915.53"/>
    <n v="1200.76"/>
    <n v="619.28"/>
    <n v="1033.23"/>
    <n v="1208.6500000000001"/>
    <n v="807.31"/>
    <n v="12089.519999999999"/>
    <n v="401.34000000000015"/>
  </r>
  <r>
    <x v="11"/>
    <x v="1"/>
    <x v="0"/>
    <s v="5973200"/>
    <n v="721835"/>
    <s v="Supplies-Forms"/>
    <s v="WH-Burien-OB/GYN Shared Svc"/>
    <x v="0"/>
    <m/>
    <n v="172.36"/>
    <n v="496"/>
    <n v="441.45"/>
    <n v="414.07"/>
    <n v="1205.44"/>
    <n v="358.41"/>
    <n v="480.33"/>
    <n v="451.4"/>
    <n v="184.85"/>
    <n v="138.30000000000001"/>
    <n v="586.75"/>
    <n v="598.72"/>
    <n v="5528.08"/>
    <n v="-11.970000000000027"/>
  </r>
  <r>
    <x v="11"/>
    <x v="1"/>
    <x v="0"/>
    <s v="5973200"/>
    <n v="721910"/>
    <s v="Supplies-Small Equipment"/>
    <s v="WH-Burien-OB/GYN Shared Svc"/>
    <x v="0"/>
    <m/>
    <n v="0"/>
    <n v="152.28"/>
    <n v="1468.8"/>
    <n v="147.35"/>
    <n v="424.11"/>
    <n v="0"/>
    <n v="32.979999999999997"/>
    <n v="691.87"/>
    <n v="7.64"/>
    <n v="13.7"/>
    <n v="0"/>
    <n v="0"/>
    <n v="2938.7299999999996"/>
    <n v="0"/>
  </r>
  <r>
    <x v="11"/>
    <x v="1"/>
    <x v="0"/>
    <s v="5973200"/>
    <n v="721980"/>
    <s v="Supplies-Other"/>
    <s v="WH-Burien-OB/GYN Shared Svc"/>
    <x v="0"/>
    <m/>
    <n v="0"/>
    <n v="18.98"/>
    <n v="0"/>
    <n v="-1"/>
    <n v="0"/>
    <n v="475.2"/>
    <n v="0"/>
    <n v="9.98"/>
    <n v="4.6399999999999997"/>
    <n v="792"/>
    <n v="0"/>
    <n v="0"/>
    <n v="1299.8"/>
    <n v="0"/>
  </r>
  <r>
    <x v="11"/>
    <x v="1"/>
    <x v="0"/>
    <s v="5973200"/>
    <n v="722000"/>
    <s v="Supplies-Freight Expense"/>
    <s v="WH-Burien-OB/GYN Shared Svc"/>
    <x v="0"/>
    <m/>
    <n v="18"/>
    <n v="14"/>
    <n v="0"/>
    <n v="177.99"/>
    <n v="37.799999999999997"/>
    <n v="62.55"/>
    <n v="95.32"/>
    <n v="0"/>
    <n v="22.89"/>
    <n v="7.5"/>
    <n v="0"/>
    <n v="51.43"/>
    <n v="487.48"/>
    <n v="-51.43"/>
  </r>
  <r>
    <x v="12"/>
    <x v="1"/>
    <x v="0"/>
    <s v="5973200"/>
    <n v="730010"/>
    <s v="Rental and Leases-Building (DO NOT USE)"/>
    <s v="WH-Burien-OB/GYN Shared Svc"/>
    <x v="0"/>
    <m/>
    <n v="63707.25"/>
    <n v="63707.25"/>
    <n v="63707.25"/>
    <n v="68646.45"/>
    <n v="72256.02"/>
    <n v="107213.57"/>
    <n v="55812.39"/>
    <n v="55812.39"/>
    <n v="55812.39"/>
    <n v="-11967.48"/>
    <n v="55812.39"/>
    <n v="50873.19"/>
    <n v="701393.06"/>
    <n v="4939.1999999999971"/>
  </r>
  <r>
    <x v="12"/>
    <x v="1"/>
    <x v="0"/>
    <s v="5973200"/>
    <n v="730010"/>
    <s v="Rental-Common Area Maint (DO NOT USE)"/>
    <s v="WH-Burien-OB/GYN Shared Svc"/>
    <x v="0"/>
    <n v="2200"/>
    <n v="0"/>
    <n v="0"/>
    <n v="0"/>
    <n v="0"/>
    <n v="0"/>
    <n v="18308.05"/>
    <n v="16443.63"/>
    <n v="16443.63"/>
    <n v="16443.63"/>
    <n v="73667.53"/>
    <n v="16443.63"/>
    <n v="16443.63"/>
    <n v="174193.73"/>
    <n v="0"/>
  </r>
  <r>
    <x v="12"/>
    <x v="1"/>
    <x v="0"/>
    <s v="5973200"/>
    <n v="730020"/>
    <s v="Rental and Leases-Equipment (DO NOT USE)"/>
    <s v="WH-Burien-OB/GYN Shared Svc"/>
    <x v="0"/>
    <m/>
    <n v="54.42"/>
    <n v="32.24"/>
    <n v="0"/>
    <n v="150.27000000000001"/>
    <n v="59.45"/>
    <n v="31.37"/>
    <n v="59.06"/>
    <n v="145.81"/>
    <n v="59.06"/>
    <n v="0"/>
    <n v="59.06"/>
    <n v="118.12"/>
    <n v="768.86"/>
    <n v="-59.06"/>
  </r>
  <r>
    <x v="12"/>
    <x v="1"/>
    <x v="0"/>
    <s v="5973200"/>
    <n v="730020"/>
    <s v="Rental and Leases-Copier Usage Fees (DO NOT USE)"/>
    <s v="WH-Burien-OB/GYN Shared Svc"/>
    <x v="0"/>
    <n v="5100"/>
    <n v="1107.3499999999999"/>
    <n v="1135.21"/>
    <n v="1121.28"/>
    <n v="1121.28"/>
    <n v="1121.28"/>
    <n v="2187.36"/>
    <n v="-248.65"/>
    <n v="1007.66"/>
    <n v="1004.47"/>
    <n v="1589.67"/>
    <n v="1006.58"/>
    <n v="1229.57"/>
    <n v="13383.06"/>
    <n v="-222.9899999999999"/>
  </r>
  <r>
    <x v="12"/>
    <x v="1"/>
    <x v="0"/>
    <s v="5973200"/>
    <n v="730040"/>
    <s v="LT Lease-Real Estate"/>
    <s v="WH-Burien-OB/GYN Shared Svc"/>
    <x v="0"/>
    <m/>
    <n v="0"/>
    <n v="0"/>
    <n v="0"/>
    <n v="0"/>
    <n v="0"/>
    <n v="0"/>
    <n v="0"/>
    <n v="0"/>
    <n v="0"/>
    <n v="0"/>
    <n v="0"/>
    <n v="4939.2"/>
    <n v="4939.2"/>
    <n v="-4939.2"/>
  </r>
  <r>
    <x v="15"/>
    <x v="1"/>
    <x v="0"/>
    <s v="5973200"/>
    <n v="731020"/>
    <s v="Electricity"/>
    <s v="WH-Burien-OB/GYN Shared Svc"/>
    <x v="0"/>
    <m/>
    <n v="0"/>
    <n v="0"/>
    <n v="0"/>
    <n v="714.09"/>
    <n v="0"/>
    <n v="1616.04"/>
    <n v="0"/>
    <n v="1048.26"/>
    <n v="1070.01"/>
    <n v="799.56"/>
    <n v="1369.35"/>
    <n v="767.43"/>
    <n v="7384.7400000000016"/>
    <n v="601.91999999999996"/>
  </r>
  <r>
    <x v="15"/>
    <x v="1"/>
    <x v="0"/>
    <s v="5973200"/>
    <n v="731030"/>
    <s v="Water"/>
    <s v="WH-Burien-OB/GYN Shared Svc"/>
    <x v="0"/>
    <m/>
    <n v="0"/>
    <n v="0"/>
    <n v="0"/>
    <n v="34.93"/>
    <n v="37.67"/>
    <n v="38.18"/>
    <n v="37.44"/>
    <n v="35.53"/>
    <n v="35.67"/>
    <n v="35.840000000000003"/>
    <n v="34.880000000000003"/>
    <n v="30.36"/>
    <n v="320.50000000000006"/>
    <n v="4.5200000000000031"/>
  </r>
  <r>
    <x v="15"/>
    <x v="1"/>
    <x v="0"/>
    <s v="5973200"/>
    <n v="731040"/>
    <s v="Sewer"/>
    <s v="WH-Burien-OB/GYN Shared Svc"/>
    <x v="0"/>
    <m/>
    <n v="0"/>
    <n v="0"/>
    <n v="0"/>
    <n v="31.09"/>
    <n v="39.979999999999997"/>
    <n v="35.53"/>
    <n v="35.53"/>
    <n v="33.21"/>
    <n v="33.450000000000003"/>
    <n v="38.229999999999997"/>
    <n v="33.450000000000003"/>
    <n v="23.89"/>
    <n v="304.36"/>
    <n v="9.5600000000000023"/>
  </r>
  <r>
    <x v="15"/>
    <x v="1"/>
    <x v="0"/>
    <s v="5973200"/>
    <n v="731050"/>
    <s v="Refuse Disposal"/>
    <s v="WH-Burien-OB/GYN Shared Svc"/>
    <x v="0"/>
    <m/>
    <n v="0"/>
    <n v="0"/>
    <n v="2469.6"/>
    <n v="863.36"/>
    <n v="864.75"/>
    <n v="863.62"/>
    <n v="862.56"/>
    <n v="862.12"/>
    <n v="862.42"/>
    <n v="863.21"/>
    <n v="909.68"/>
    <n v="981.91"/>
    <n v="10403.23"/>
    <n v="-72.230000000000018"/>
  </r>
  <r>
    <x v="15"/>
    <x v="1"/>
    <x v="0"/>
    <s v="5973200"/>
    <n v="731060"/>
    <s v="Telephone"/>
    <s v="WH-Burien-OB/GYN Shared Svc"/>
    <x v="0"/>
    <m/>
    <n v="1417.73"/>
    <n v="1307.52"/>
    <n v="1195.6500000000001"/>
    <n v="1303.51"/>
    <n v="1328.78"/>
    <n v="4501.6400000000003"/>
    <n v="1547.38"/>
    <n v="1198.48"/>
    <n v="1324.25"/>
    <n v="1331.46"/>
    <n v="1433.37"/>
    <n v="1208.45"/>
    <n v="19098.219999999998"/>
    <n v="224.91999999999985"/>
  </r>
  <r>
    <x v="15"/>
    <x v="1"/>
    <x v="0"/>
    <s v="5973200"/>
    <n v="731060"/>
    <s v="Pagers"/>
    <s v="WH-Burien-OB/GYN Shared Svc"/>
    <x v="0"/>
    <n v="1002"/>
    <n v="54.81"/>
    <n v="54.81"/>
    <n v="54.81"/>
    <n v="54.99"/>
    <n v="48.22"/>
    <n v="6.77"/>
    <n v="121.58"/>
    <n v="14.79"/>
    <n v="14.79"/>
    <n v="14.8"/>
    <n v="15.78"/>
    <n v="15.78"/>
    <n v="471.92999999999995"/>
    <n v="0"/>
  </r>
  <r>
    <x v="16"/>
    <x v="1"/>
    <x v="0"/>
    <s v="5973200"/>
    <n v="732030"/>
    <s v="Repairs---Other"/>
    <s v="WH-Burien-OB/GYN Shared Svc"/>
    <x v="0"/>
    <m/>
    <n v="0"/>
    <n v="0"/>
    <n v="5417.11"/>
    <n v="1078.1600000000001"/>
    <n v="0"/>
    <n v="4230.6899999999996"/>
    <n v="10394.26"/>
    <n v="165.33"/>
    <n v="760.22"/>
    <n v="0"/>
    <n v="0"/>
    <n v="4954.24"/>
    <n v="27000.010000000002"/>
    <n v="-4954.24"/>
  </r>
  <r>
    <x v="16"/>
    <x v="1"/>
    <x v="0"/>
    <s v="5973200"/>
    <n v="733030"/>
    <s v="Maintenance Contracts-Other"/>
    <s v="WH-Burien-OB/GYN Shared Svc"/>
    <x v="0"/>
    <m/>
    <n v="487.04"/>
    <n v="0"/>
    <n v="0"/>
    <n v="454.68"/>
    <n v="25"/>
    <n v="200"/>
    <n v="0"/>
    <n v="228.16"/>
    <n v="25"/>
    <n v="1741.73"/>
    <n v="1247.81"/>
    <n v="25"/>
    <n v="4434.42"/>
    <n v="1222.81"/>
  </r>
  <r>
    <x v="13"/>
    <x v="1"/>
    <x v="0"/>
    <s v="5973200"/>
    <n v="735050"/>
    <s v="Amortization-Leasehold Improvements"/>
    <s v="WH-Burien-OB/GYN Shared Svc"/>
    <x v="0"/>
    <m/>
    <n v="818.78"/>
    <n v="818.78"/>
    <n v="818.78"/>
    <n v="818.78"/>
    <n v="818.78"/>
    <n v="37753.129999999997"/>
    <n v="6974.51"/>
    <n v="6974.49"/>
    <n v="6974.51"/>
    <n v="6974.49"/>
    <n v="6974.51"/>
    <n v="6974.49"/>
    <n v="83694.03"/>
    <n v="2.0000000000436557E-2"/>
  </r>
  <r>
    <x v="13"/>
    <x v="1"/>
    <x v="0"/>
    <s v="5973200"/>
    <n v="735060"/>
    <s v="Depreciation-Fixed Equipment"/>
    <s v="WH-Burien-OB/GYN Shared Svc"/>
    <x v="0"/>
    <m/>
    <n v="537.61"/>
    <n v="537.61"/>
    <n v="537.61"/>
    <n v="537.61"/>
    <n v="537.61"/>
    <n v="537.61"/>
    <n v="537.61"/>
    <n v="537.61"/>
    <n v="537.62"/>
    <n v="537.61"/>
    <n v="537.63"/>
    <n v="537.61"/>
    <n v="6451.3499999999995"/>
    <n v="1.999999999998181E-2"/>
  </r>
  <r>
    <x v="13"/>
    <x v="1"/>
    <x v="0"/>
    <s v="5973200"/>
    <n v="735070"/>
    <s v="Depreciation-Movable Equipment"/>
    <s v="WH-Burien-OB/GYN Shared Svc"/>
    <x v="0"/>
    <m/>
    <n v="24512.880000000001"/>
    <n v="24512.81"/>
    <n v="24512.89"/>
    <n v="24512.76"/>
    <n v="24512.94"/>
    <n v="24512.76"/>
    <n v="24512.95"/>
    <n v="24512.74"/>
    <n v="24512.959999999999"/>
    <n v="27389.53"/>
    <n v="27389.8"/>
    <n v="30625.94"/>
    <n v="306020.96000000002"/>
    <n v="-3236.1399999999994"/>
  </r>
  <r>
    <x v="0"/>
    <x v="1"/>
    <x v="0"/>
    <s v="5973200"/>
    <n v="740020"/>
    <s v="Education-Registration Fees"/>
    <s v="WH-Burien-OB/GYN Shared Svc"/>
    <x v="0"/>
    <m/>
    <n v="0"/>
    <n v="0"/>
    <n v="0"/>
    <n v="135"/>
    <n v="0"/>
    <n v="0"/>
    <n v="0"/>
    <n v="0"/>
    <n v="50"/>
    <n v="0"/>
    <n v="650"/>
    <n v="0"/>
    <n v="835"/>
    <n v="650"/>
  </r>
  <r>
    <x v="0"/>
    <x v="1"/>
    <x v="0"/>
    <s v="5973200"/>
    <n v="743030"/>
    <s v="Subscriptions--Institutional"/>
    <s v="WH-Burien-OB/GYN Shared Svc"/>
    <x v="0"/>
    <m/>
    <n v="0"/>
    <n v="0"/>
    <n v="0"/>
    <n v="0"/>
    <n v="250"/>
    <n v="0"/>
    <n v="0"/>
    <n v="472.15"/>
    <n v="15"/>
    <n v="0"/>
    <n v="0"/>
    <n v="0"/>
    <n v="737.15"/>
    <n v="0"/>
  </r>
  <r>
    <x v="0"/>
    <x v="1"/>
    <x v="0"/>
    <s v="5973200"/>
    <n v="749510"/>
    <s v="Miscellaneous Expenses"/>
    <s v="WH-Burien-OB/GYN Shared Svc"/>
    <x v="0"/>
    <m/>
    <n v="378.69"/>
    <n v="376.58"/>
    <n v="251.03"/>
    <n v="464.19"/>
    <n v="-13.95"/>
    <n v="976.96"/>
    <n v="350.04"/>
    <n v="-395.18"/>
    <n v="2364.79"/>
    <n v="-2112.08"/>
    <n v="337.7"/>
    <n v="13.34"/>
    <n v="2992.1099999999997"/>
    <n v="324.36"/>
  </r>
  <r>
    <x v="0"/>
    <x v="1"/>
    <x v="0"/>
    <s v="5973200"/>
    <n v="749510"/>
    <s v="Licenses"/>
    <s v="WH-Burien-OB/GYN Shared Svc"/>
    <x v="0"/>
    <n v="1002"/>
    <n v="0"/>
    <n v="0"/>
    <n v="795"/>
    <n v="267"/>
    <n v="0"/>
    <n v="265"/>
    <n v="0"/>
    <n v="0"/>
    <n v="0"/>
    <n v="0"/>
    <n v="0"/>
    <n v="0"/>
    <n v="1327"/>
    <n v="0"/>
  </r>
  <r>
    <x v="0"/>
    <x v="1"/>
    <x v="0"/>
    <s v="5973200"/>
    <n v="749510"/>
    <s v="RICE Rewards"/>
    <s v="WH-Burien-OB/GYN Shared Svc"/>
    <x v="0"/>
    <n v="5100"/>
    <n v="0"/>
    <n v="0"/>
    <n v="0"/>
    <n v="0"/>
    <n v="0"/>
    <n v="669.11"/>
    <n v="445.5"/>
    <n v="0"/>
    <n v="0"/>
    <n v="0"/>
    <n v="0"/>
    <n v="0"/>
    <n v="1114.6100000000001"/>
    <n v="0"/>
  </r>
  <r>
    <x v="0"/>
    <x v="1"/>
    <x v="0"/>
    <s v="5973200"/>
    <n v="749530"/>
    <s v="Travel"/>
    <s v="WH-Burien-OB/GYN Shared Svc"/>
    <x v="0"/>
    <m/>
    <n v="0"/>
    <n v="0"/>
    <n v="0"/>
    <n v="0"/>
    <n v="0"/>
    <n v="0"/>
    <n v="0"/>
    <n v="0"/>
    <n v="0"/>
    <n v="0"/>
    <n v="12"/>
    <n v="12"/>
    <n v="24"/>
    <n v="0"/>
  </r>
  <r>
    <x v="0"/>
    <x v="1"/>
    <x v="0"/>
    <s v="5973200"/>
    <n v="749530"/>
    <s v="Mileage"/>
    <s v="WH-Burien-OB/GYN Shared Svc"/>
    <x v="0"/>
    <n v="1001"/>
    <n v="0"/>
    <n v="95.39"/>
    <n v="172.24"/>
    <n v="170.06"/>
    <n v="385.91"/>
    <n v="152.62"/>
    <n v="173.88"/>
    <n v="301.02"/>
    <n v="200.68"/>
    <n v="327.12"/>
    <n v="354.96"/>
    <n v="376.42"/>
    <n v="2710.3"/>
    <n v="-21.460000000000036"/>
  </r>
  <r>
    <x v="0"/>
    <x v="1"/>
    <x v="0"/>
    <s v="5973200"/>
    <n v="749535"/>
    <s v="Meetings"/>
    <s v="WH-Burien-OB/GYN Shared Svc"/>
    <x v="0"/>
    <m/>
    <n v="0"/>
    <n v="0"/>
    <n v="0"/>
    <n v="0"/>
    <n v="0"/>
    <n v="28.84"/>
    <n v="0"/>
    <n v="38.020000000000003"/>
    <n v="321.85000000000002"/>
    <n v="189.43"/>
    <n v="0"/>
    <n v="110.43"/>
    <n v="688.57000000000016"/>
    <n v="-110.43"/>
  </r>
  <r>
    <x v="0"/>
    <x v="1"/>
    <x v="0"/>
    <s v="5973200"/>
    <n v="749550"/>
    <s v="Cash Over/Short"/>
    <s v="WH-Burien-OB/GYN Shared Svc"/>
    <x v="0"/>
    <m/>
    <n v="0"/>
    <n v="0"/>
    <n v="0.8"/>
    <n v="0"/>
    <n v="0"/>
    <n v="-1"/>
    <n v="0"/>
    <n v="0"/>
    <n v="-1.6"/>
    <n v="0.51"/>
    <n v="0"/>
    <n v="0"/>
    <n v="-1.29"/>
    <n v="0"/>
  </r>
  <r>
    <x v="5"/>
    <x v="1"/>
    <x v="0"/>
    <s v="5974200"/>
    <n v="700014"/>
    <s v="Salaries-Management-Productive"/>
    <s v="FSA-Burien Gen Surg Shared Svc"/>
    <x v="0"/>
    <m/>
    <n v="1026.52"/>
    <n v="1086.92"/>
    <n v="1207.68"/>
    <n v="1418.78"/>
    <n v="1365.06"/>
    <n v="1303"/>
    <n v="1118.6099999999999"/>
    <n v="1242.8"/>
    <n v="1304.95"/>
    <n v="1367.07"/>
    <n v="186.43"/>
    <n v="5592.52"/>
    <n v="18220.34"/>
    <n v="-5406.09"/>
  </r>
  <r>
    <x v="5"/>
    <x v="1"/>
    <x v="0"/>
    <s v="5974200"/>
    <n v="700038"/>
    <s v="Salaries-Service/Support-Productive"/>
    <s v="FSA-Burien Gen Surg Shared Svc"/>
    <x v="0"/>
    <m/>
    <n v="5587.41"/>
    <n v="7202.56"/>
    <n v="6221.08"/>
    <n v="7088.71"/>
    <n v="7080.89"/>
    <n v="8736.57"/>
    <n v="8359.11"/>
    <n v="9807.8799999999992"/>
    <n v="9187.59"/>
    <n v="8532.75"/>
    <n v="11245.79"/>
    <n v="8490.0499999999993"/>
    <n v="97540.39"/>
    <n v="2755.7400000000016"/>
  </r>
  <r>
    <x v="5"/>
    <x v="1"/>
    <x v="0"/>
    <s v="5974200"/>
    <n v="700038"/>
    <s v="Salaries-Service/Support-OT"/>
    <s v="FSA-Burien Gen Surg Shared Svc"/>
    <x v="0"/>
    <n v="1000"/>
    <n v="95.41"/>
    <n v="255.62"/>
    <n v="26.43"/>
    <n v="244.73"/>
    <n v="1261.77"/>
    <n v="102.17"/>
    <n v="248.78"/>
    <n v="36.64"/>
    <n v="23.3"/>
    <n v="4.88"/>
    <n v="292.7"/>
    <n v="-40.99"/>
    <n v="2551.4400000000005"/>
    <n v="333.69"/>
  </r>
  <r>
    <x v="5"/>
    <x v="1"/>
    <x v="0"/>
    <s v="5974200"/>
    <n v="700038"/>
    <s v="Salaries-Service/Support-Other"/>
    <s v="FSA-Burien Gen Surg Shared Svc"/>
    <x v="0"/>
    <n v="2000"/>
    <n v="30"/>
    <n v="0"/>
    <n v="0"/>
    <n v="0"/>
    <n v="0"/>
    <n v="30"/>
    <n v="4.91"/>
    <n v="-1.4"/>
    <n v="0"/>
    <n v="0"/>
    <n v="0"/>
    <n v="0"/>
    <n v="63.51"/>
    <n v="0"/>
  </r>
  <r>
    <x v="5"/>
    <x v="1"/>
    <x v="0"/>
    <s v="5974200"/>
    <n v="700054"/>
    <s v="Salaries-Management-Non-productive"/>
    <s v="FSA-Burien Gen Surg Shared Svc"/>
    <x v="0"/>
    <m/>
    <n v="0"/>
    <n v="0"/>
    <n v="0"/>
    <n v="0"/>
    <n v="0"/>
    <n v="0"/>
    <n v="0"/>
    <n v="0"/>
    <n v="0"/>
    <n v="0"/>
    <n v="5281.75"/>
    <n v="1242.78"/>
    <n v="6524.53"/>
    <n v="4038.9700000000003"/>
  </r>
  <r>
    <x v="5"/>
    <x v="1"/>
    <x v="0"/>
    <s v="5974200"/>
    <n v="700078"/>
    <s v="Salaries-Service/Support-Non-productive"/>
    <s v="FSA-Burien Gen Surg Shared Svc"/>
    <x v="0"/>
    <m/>
    <n v="182.93"/>
    <n v="-1.1000000000000001"/>
    <n v="258.97000000000003"/>
    <n v="802.53"/>
    <n v="-59.93"/>
    <n v="2407.71"/>
    <n v="803.85"/>
    <n v="286.08"/>
    <n v="1416.73"/>
    <n v="817.62"/>
    <n v="79.31"/>
    <n v="1855.86"/>
    <n v="8850.5600000000013"/>
    <n v="-1776.55"/>
  </r>
  <r>
    <x v="5"/>
    <x v="1"/>
    <x v="0"/>
    <s v="5974200"/>
    <n v="700078"/>
    <s v="Salaries-Service/Support-NonProd-Other"/>
    <s v="FSA-Burien Gen Surg Shared Svc"/>
    <x v="0"/>
    <n v="2000"/>
    <n v="0"/>
    <n v="0"/>
    <n v="0"/>
    <n v="0"/>
    <n v="600.80999999999995"/>
    <n v="1201.6199999999999"/>
    <n v="0"/>
    <n v="-1802.43"/>
    <n v="0"/>
    <n v="0"/>
    <n v="0"/>
    <n v="0"/>
    <n v="-2.2737367544323206E-13"/>
    <n v="0"/>
  </r>
  <r>
    <x v="5"/>
    <x v="1"/>
    <x v="0"/>
    <s v="5974200"/>
    <n v="700084"/>
    <s v="Accrued PTO"/>
    <s v="FSA-Burien Gen Surg Shared Svc"/>
    <x v="0"/>
    <m/>
    <n v="505.01"/>
    <n v="811.75"/>
    <n v="87.06"/>
    <n v="395.06"/>
    <n v="729.86"/>
    <n v="-657.12"/>
    <n v="233.82"/>
    <n v="698.83"/>
    <n v="-20.83"/>
    <n v="220.37"/>
    <n v="10773.05"/>
    <n v="848.29"/>
    <n v="14625.149999999998"/>
    <n v="9924.7599999999984"/>
  </r>
  <r>
    <x v="10"/>
    <x v="1"/>
    <x v="0"/>
    <s v="5974200"/>
    <n v="710060"/>
    <s v="Contract Labor-Other"/>
    <s v="FSA-Burien Gen Surg Shared Svc"/>
    <x v="0"/>
    <m/>
    <n v="1243.5999999999999"/>
    <n v="0"/>
    <n v="2238.48"/>
    <n v="0"/>
    <n v="0"/>
    <n v="0"/>
    <n v="0"/>
    <n v="0"/>
    <n v="0"/>
    <n v="0"/>
    <n v="0"/>
    <n v="0"/>
    <n v="3482.08"/>
    <n v="0"/>
  </r>
  <r>
    <x v="6"/>
    <x v="1"/>
    <x v="0"/>
    <s v="5974200"/>
    <n v="713010"/>
    <s v="Benefits-FICA/Medicare"/>
    <s v="FSA-Burien Gen Surg Shared Svc"/>
    <x v="0"/>
    <m/>
    <n v="520"/>
    <n v="643.32000000000005"/>
    <n v="579.04999999999995"/>
    <n v="719.02"/>
    <n v="866.63"/>
    <n v="994.77"/>
    <n v="792.52"/>
    <n v="852.84"/>
    <n v="895.85"/>
    <n v="771.01"/>
    <n v="1263.45"/>
    <n v="1259.3699999999999"/>
    <n v="10157.830000000002"/>
    <n v="4.0800000000001546"/>
  </r>
  <r>
    <x v="6"/>
    <x v="1"/>
    <x v="0"/>
    <s v="5974200"/>
    <n v="713090"/>
    <s v="Benefits-Allocated Amounts"/>
    <s v="FSA-Burien Gen Surg Shared Svc"/>
    <x v="0"/>
    <m/>
    <n v="1856.09"/>
    <n v="2090.63"/>
    <n v="2272.4"/>
    <n v="2387.2600000000002"/>
    <n v="2498.71"/>
    <n v="3800.68"/>
    <n v="3277"/>
    <n v="3537.36"/>
    <n v="3404"/>
    <n v="3457.26"/>
    <n v="4374.05"/>
    <n v="5453.64"/>
    <n v="38409.08"/>
    <n v="-1079.5900000000001"/>
  </r>
  <r>
    <x v="7"/>
    <x v="1"/>
    <x v="0"/>
    <s v="5974200"/>
    <n v="718010"/>
    <s v="Media/Print Advertising"/>
    <s v="FSA-Burien Gen Surg Shared Svc"/>
    <x v="0"/>
    <n v="1004"/>
    <n v="0"/>
    <n v="0"/>
    <n v="0"/>
    <n v="0"/>
    <n v="0"/>
    <n v="425.73"/>
    <n v="100.29"/>
    <n v="0"/>
    <n v="0"/>
    <n v="0"/>
    <n v="0"/>
    <n v="0"/>
    <n v="526.02"/>
    <n v="0"/>
  </r>
  <r>
    <x v="7"/>
    <x v="1"/>
    <x v="0"/>
    <s v="5974200"/>
    <n v="718050"/>
    <s v="Contract Svcs-Other"/>
    <s v="FSA-Burien Gen Surg Shared Svc"/>
    <x v="0"/>
    <m/>
    <n v="0"/>
    <n v="672.84"/>
    <n v="0"/>
    <n v="0"/>
    <n v="0"/>
    <n v="0"/>
    <n v="760.86"/>
    <n v="0"/>
    <n v="0"/>
    <n v="0"/>
    <n v="0"/>
    <n v="0"/>
    <n v="1433.7"/>
    <n v="0"/>
  </r>
  <r>
    <x v="7"/>
    <x v="1"/>
    <x v="0"/>
    <s v="5974200"/>
    <n v="718050"/>
    <s v="Physician Answering"/>
    <s v="FSA-Burien Gen Surg Shared Svc"/>
    <x v="0"/>
    <n v="1015"/>
    <n v="304.2"/>
    <n v="383.6"/>
    <n v="377.4"/>
    <n v="188"/>
    <n v="723.8"/>
    <n v="415"/>
    <n v="621"/>
    <n v="464.6"/>
    <n v="404.6"/>
    <n v="534.4"/>
    <n v="506.4"/>
    <n v="400.4"/>
    <n v="5323.3999999999987"/>
    <n v="106"/>
  </r>
  <r>
    <x v="7"/>
    <x v="1"/>
    <x v="0"/>
    <s v="5974200"/>
    <n v="718050"/>
    <s v="Translation Services"/>
    <s v="FSA-Burien Gen Surg Shared Svc"/>
    <x v="0"/>
    <n v="1025"/>
    <n v="9.9600000000000009"/>
    <n v="0"/>
    <n v="0"/>
    <n v="0"/>
    <n v="0"/>
    <n v="61.25"/>
    <n v="32"/>
    <n v="396.14"/>
    <n v="201.88"/>
    <n v="0"/>
    <n v="0"/>
    <n v="14.22"/>
    <n v="715.45"/>
    <n v="-14.22"/>
  </r>
  <r>
    <x v="7"/>
    <x v="1"/>
    <x v="0"/>
    <s v="5974200"/>
    <n v="718050"/>
    <s v="Contract Management--Linen"/>
    <s v="FSA-Burien Gen Surg Shared Svc"/>
    <x v="0"/>
    <n v="1026"/>
    <n v="0"/>
    <n v="0"/>
    <n v="0"/>
    <n v="0"/>
    <n v="0"/>
    <n v="281.54000000000002"/>
    <n v="0"/>
    <n v="0"/>
    <n v="0"/>
    <n v="0"/>
    <n v="0"/>
    <n v="0"/>
    <n v="281.54000000000002"/>
    <n v="0"/>
  </r>
  <r>
    <x v="7"/>
    <x v="1"/>
    <x v="0"/>
    <s v="5974200"/>
    <n v="718050"/>
    <s v="Purchased Srvcs--Medical Waste"/>
    <s v="FSA-Burien Gen Surg Shared Svc"/>
    <x v="0"/>
    <n v="1027"/>
    <n v="11.14"/>
    <n v="31.86"/>
    <n v="11.14"/>
    <n v="0"/>
    <n v="11.14"/>
    <n v="53.35"/>
    <n v="43"/>
    <n v="11.14"/>
    <n v="0"/>
    <n v="22.28"/>
    <n v="0"/>
    <n v="11.14"/>
    <n v="206.19"/>
    <n v="-11.14"/>
  </r>
  <r>
    <x v="11"/>
    <x v="1"/>
    <x v="0"/>
    <s v="5974200"/>
    <n v="721250"/>
    <s v="Supplies-Pharmacy Drugs - Billable"/>
    <s v="FSA-Burien Gen Surg Shared Svc"/>
    <x v="0"/>
    <m/>
    <n v="0"/>
    <n v="0"/>
    <n v="0"/>
    <n v="0"/>
    <n v="0"/>
    <n v="0"/>
    <n v="0"/>
    <n v="0"/>
    <n v="88.35"/>
    <n v="0"/>
    <n v="-163.51"/>
    <n v="0"/>
    <n v="-75.16"/>
    <n v="-163.51"/>
  </r>
  <r>
    <x v="11"/>
    <x v="1"/>
    <x v="0"/>
    <s v="5974200"/>
    <n v="721410"/>
    <s v="Supplies-Medical - Nonbillable"/>
    <s v="FSA-Burien Gen Surg Shared Svc"/>
    <x v="0"/>
    <m/>
    <n v="616.91"/>
    <n v="1228.1300000000001"/>
    <n v="1565.21"/>
    <n v="450.62"/>
    <n v="0"/>
    <n v="1448.98"/>
    <n v="364.05"/>
    <n v="631.44000000000005"/>
    <n v="835.02"/>
    <n v="687.54"/>
    <n v="-780.39"/>
    <n v="979.65"/>
    <n v="8027.16"/>
    <n v="-1760.04"/>
  </r>
  <r>
    <x v="11"/>
    <x v="1"/>
    <x v="0"/>
    <s v="5974200"/>
    <n v="721810"/>
    <s v="Supplies-Dietary/Cafeteria"/>
    <s v="FSA-Burien Gen Surg Shared Svc"/>
    <x v="0"/>
    <m/>
    <n v="58.44"/>
    <n v="0"/>
    <n v="75.09"/>
    <n v="0"/>
    <n v="0"/>
    <n v="0"/>
    <n v="0"/>
    <n v="39.85"/>
    <n v="47.31"/>
    <n v="0"/>
    <n v="0"/>
    <n v="56.77"/>
    <n v="277.45999999999998"/>
    <n v="-56.77"/>
  </r>
  <r>
    <x v="11"/>
    <x v="1"/>
    <x v="0"/>
    <s v="5974200"/>
    <n v="721830"/>
    <s v="Supplies-Office"/>
    <s v="FSA-Burien Gen Surg Shared Svc"/>
    <x v="0"/>
    <m/>
    <n v="162.13999999999999"/>
    <n v="629.11"/>
    <n v="0"/>
    <n v="0"/>
    <n v="0"/>
    <n v="0"/>
    <n v="73.5"/>
    <n v="100.35"/>
    <n v="39.700000000000003"/>
    <n v="136.13999999999999"/>
    <n v="0"/>
    <n v="122.02"/>
    <n v="1262.96"/>
    <n v="-122.02"/>
  </r>
  <r>
    <x v="11"/>
    <x v="1"/>
    <x v="0"/>
    <s v="5974200"/>
    <n v="721835"/>
    <s v="Supplies-Forms"/>
    <s v="FSA-Burien Gen Surg Shared Svc"/>
    <x v="0"/>
    <m/>
    <n v="0"/>
    <n v="0"/>
    <n v="0"/>
    <n v="0"/>
    <n v="1.5"/>
    <n v="0"/>
    <n v="0"/>
    <n v="0"/>
    <n v="0"/>
    <n v="14.12"/>
    <n v="21.15"/>
    <n v="0"/>
    <n v="36.769999999999996"/>
    <n v="21.15"/>
  </r>
  <r>
    <x v="11"/>
    <x v="1"/>
    <x v="0"/>
    <s v="5974200"/>
    <n v="721910"/>
    <s v="Supplies-Small Equipment"/>
    <s v="FSA-Burien Gen Surg Shared Svc"/>
    <x v="0"/>
    <m/>
    <n v="0"/>
    <n v="0"/>
    <n v="0"/>
    <n v="698.3"/>
    <n v="0"/>
    <n v="0"/>
    <n v="0"/>
    <n v="1204.95"/>
    <n v="0"/>
    <n v="0"/>
    <n v="0"/>
    <n v="0"/>
    <n v="1903.25"/>
    <n v="0"/>
  </r>
  <r>
    <x v="11"/>
    <x v="1"/>
    <x v="0"/>
    <s v="5974200"/>
    <n v="722000"/>
    <s v="Supplies-Freight Expense"/>
    <s v="FSA-Burien Gen Surg Shared Svc"/>
    <x v="0"/>
    <m/>
    <n v="0"/>
    <n v="7.93"/>
    <n v="0"/>
    <n v="0"/>
    <n v="0"/>
    <n v="0"/>
    <n v="0"/>
    <n v="0"/>
    <n v="0"/>
    <n v="0"/>
    <n v="8.26"/>
    <n v="3.3"/>
    <n v="19.489999999999998"/>
    <n v="4.96"/>
  </r>
  <r>
    <x v="15"/>
    <x v="1"/>
    <x v="0"/>
    <s v="5974200"/>
    <n v="731060"/>
    <s v="Pagers"/>
    <s v="FSA-Burien Gen Surg Shared Svc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1"/>
    <x v="0"/>
    <s v="5974200"/>
    <n v="732030"/>
    <s v="Repairs---Other"/>
    <s v="FSA-Burien Gen Surg Shared Svc"/>
    <x v="0"/>
    <m/>
    <n v="0"/>
    <n v="0"/>
    <n v="0"/>
    <n v="0"/>
    <n v="0"/>
    <n v="0"/>
    <n v="0"/>
    <n v="0"/>
    <n v="17.399999999999999"/>
    <n v="127.08"/>
    <n v="0"/>
    <n v="0"/>
    <n v="144.47999999999999"/>
    <n v="0"/>
  </r>
  <r>
    <x v="0"/>
    <x v="1"/>
    <x v="0"/>
    <s v="5974200"/>
    <n v="743020"/>
    <s v="Provider-Dues"/>
    <s v="FSA-Burien Gen Surg Shared Svc"/>
    <x v="0"/>
    <n v="2200"/>
    <n v="0"/>
    <n v="0"/>
    <n v="0"/>
    <n v="495"/>
    <n v="0"/>
    <n v="0"/>
    <n v="0"/>
    <n v="0"/>
    <n v="0"/>
    <n v="0"/>
    <n v="0"/>
    <n v="0"/>
    <n v="495"/>
    <n v="0"/>
  </r>
  <r>
    <x v="0"/>
    <x v="1"/>
    <x v="0"/>
    <s v="5974200"/>
    <n v="743030"/>
    <s v="Subscriptions--Institutional"/>
    <s v="FSA-Burien Gen Surg Shared Svc"/>
    <x v="0"/>
    <m/>
    <n v="0"/>
    <n v="0"/>
    <n v="182.25"/>
    <n v="0"/>
    <n v="185.41"/>
    <n v="132.11000000000001"/>
    <n v="0"/>
    <n v="0"/>
    <n v="0"/>
    <n v="0"/>
    <n v="0"/>
    <n v="0"/>
    <n v="499.77"/>
    <n v="0"/>
  </r>
  <r>
    <x v="0"/>
    <x v="1"/>
    <x v="0"/>
    <s v="5974200"/>
    <n v="749510"/>
    <s v="Miscellaneous Expenses"/>
    <s v="FSA-Burien Gen Surg Shared Svc"/>
    <x v="0"/>
    <m/>
    <n v="0"/>
    <n v="85.04"/>
    <n v="-85.04"/>
    <n v="0"/>
    <n v="0"/>
    <n v="0"/>
    <n v="0"/>
    <n v="0"/>
    <n v="0"/>
    <n v="0"/>
    <n v="0"/>
    <n v="33.06"/>
    <n v="33.06"/>
    <n v="-33.06"/>
  </r>
  <r>
    <x v="0"/>
    <x v="1"/>
    <x v="0"/>
    <s v="5974200"/>
    <n v="749510"/>
    <s v="Licenses"/>
    <s v="FSA-Burien Gen Surg Shared Svc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974200"/>
    <n v="749510"/>
    <s v="RICE Rewards"/>
    <s v="FSA-Burien Gen Surg Shared Svc"/>
    <x v="0"/>
    <n v="5100"/>
    <n v="0"/>
    <n v="0"/>
    <n v="0"/>
    <n v="0"/>
    <n v="0"/>
    <n v="422.1"/>
    <n v="0"/>
    <n v="0"/>
    <n v="0"/>
    <n v="0"/>
    <n v="0"/>
    <n v="0"/>
    <n v="422.1"/>
    <n v="0"/>
  </r>
  <r>
    <x v="0"/>
    <x v="1"/>
    <x v="0"/>
    <s v="5974200"/>
    <n v="749530"/>
    <s v="Mileage"/>
    <s v="FSA-Burien Gen Surg Shared Svc"/>
    <x v="0"/>
    <n v="1001"/>
    <n v="24.2"/>
    <n v="0"/>
    <n v="85.04"/>
    <n v="0"/>
    <n v="0"/>
    <n v="79.59"/>
    <n v="0"/>
    <n v="0"/>
    <n v="0"/>
    <n v="0"/>
    <n v="226.78"/>
    <n v="0"/>
    <n v="415.61"/>
    <n v="226.78"/>
  </r>
  <r>
    <x v="0"/>
    <x v="1"/>
    <x v="0"/>
    <s v="5974200"/>
    <n v="749535"/>
    <s v="Meetings"/>
    <s v="FSA-Burien Gen Surg Shared Svc"/>
    <x v="0"/>
    <m/>
    <n v="0"/>
    <n v="0"/>
    <n v="0"/>
    <n v="0"/>
    <n v="0"/>
    <n v="39.54"/>
    <n v="0"/>
    <n v="0"/>
    <n v="0"/>
    <n v="0"/>
    <n v="80.58"/>
    <n v="0"/>
    <n v="120.12"/>
    <n v="80.58"/>
  </r>
  <r>
    <x v="7"/>
    <x v="1"/>
    <x v="0"/>
    <s v="5975200"/>
    <n v="718050"/>
    <s v="Purchased Srvcs--Medical Waste"/>
    <s v="FPC Des Moines Shared Svc"/>
    <x v="0"/>
    <n v="1027"/>
    <n v="0"/>
    <n v="0"/>
    <n v="0"/>
    <n v="0"/>
    <n v="0"/>
    <n v="0"/>
    <n v="0"/>
    <n v="0"/>
    <n v="0"/>
    <n v="0"/>
    <n v="0"/>
    <n v="30.56"/>
    <n v="30.56"/>
    <n v="-30.56"/>
  </r>
  <r>
    <x v="15"/>
    <x v="1"/>
    <x v="0"/>
    <s v="5975200"/>
    <n v="731060"/>
    <s v="Telephone"/>
    <s v="FPC Des Moines Shared Svc"/>
    <x v="0"/>
    <m/>
    <n v="0"/>
    <n v="0"/>
    <n v="0"/>
    <n v="0"/>
    <n v="0"/>
    <n v="801.16"/>
    <n v="0"/>
    <n v="0"/>
    <n v="0"/>
    <n v="0"/>
    <n v="0"/>
    <n v="0"/>
    <n v="801.16"/>
    <n v="0"/>
  </r>
  <r>
    <x v="5"/>
    <x v="1"/>
    <x v="0"/>
    <s v="5977200"/>
    <n v="700014"/>
    <s v="Salaries-Management-Productive"/>
    <s v="FPC West Seattle Shared Svc"/>
    <x v="0"/>
    <m/>
    <n v="2864"/>
    <n v="-2864"/>
    <n v="0"/>
    <n v="0"/>
    <n v="0"/>
    <n v="0"/>
    <n v="0"/>
    <n v="0"/>
    <n v="0"/>
    <n v="0"/>
    <n v="0"/>
    <n v="0"/>
    <n v="0"/>
    <n v="0"/>
  </r>
  <r>
    <x v="5"/>
    <x v="1"/>
    <x v="0"/>
    <s v="5977200"/>
    <n v="700038"/>
    <s v="Salaries-Service/Support-Productive"/>
    <s v="FPC West Seattle Shared Svc"/>
    <x v="0"/>
    <m/>
    <n v="5604.72"/>
    <n v="-5604.72"/>
    <n v="0"/>
    <n v="0"/>
    <n v="0"/>
    <n v="0"/>
    <n v="0"/>
    <n v="0"/>
    <n v="0"/>
    <n v="0"/>
    <n v="0"/>
    <n v="0"/>
    <n v="0"/>
    <n v="0"/>
  </r>
  <r>
    <x v="5"/>
    <x v="1"/>
    <x v="0"/>
    <s v="5977200"/>
    <n v="700038"/>
    <s v="Salaries-Service/Support-OT"/>
    <s v="FPC West Seattle Shared Svc"/>
    <x v="0"/>
    <n v="1000"/>
    <n v="8.2899999999999991"/>
    <n v="-8.2899999999999991"/>
    <n v="0"/>
    <n v="0"/>
    <n v="0"/>
    <n v="0"/>
    <n v="0"/>
    <n v="0"/>
    <n v="0"/>
    <n v="0"/>
    <n v="0"/>
    <n v="0"/>
    <n v="0"/>
    <n v="0"/>
  </r>
  <r>
    <x v="5"/>
    <x v="1"/>
    <x v="0"/>
    <s v="5977200"/>
    <n v="700038"/>
    <s v="Salaries-Service/Support-Other"/>
    <s v="FPC West Seattle Shared Svc"/>
    <x v="0"/>
    <n v="2000"/>
    <n v="85.45"/>
    <n v="-85.45"/>
    <n v="0"/>
    <n v="0"/>
    <n v="0"/>
    <n v="0"/>
    <n v="0"/>
    <n v="0"/>
    <n v="0"/>
    <n v="0"/>
    <n v="0"/>
    <n v="0"/>
    <n v="0"/>
    <n v="0"/>
  </r>
  <r>
    <x v="5"/>
    <x v="1"/>
    <x v="0"/>
    <s v="5977200"/>
    <n v="700054"/>
    <s v="Salaries-Management-NonProd-Other"/>
    <s v="FPC West Seattle Shared Svc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5977200"/>
    <n v="700078"/>
    <s v="Salaries-Service/Support-Non-productive"/>
    <s v="FPC West Seattle Shared Svc"/>
    <x v="0"/>
    <m/>
    <n v="268.27"/>
    <n v="-268.27"/>
    <n v="0"/>
    <n v="0"/>
    <n v="0"/>
    <n v="0"/>
    <n v="0"/>
    <n v="0"/>
    <n v="0"/>
    <n v="0"/>
    <n v="0"/>
    <n v="0"/>
    <n v="0"/>
    <n v="0"/>
  </r>
  <r>
    <x v="5"/>
    <x v="1"/>
    <x v="0"/>
    <s v="5977200"/>
    <n v="700084"/>
    <s v="Accrued PTO"/>
    <s v="FPC West Seattle Shared Svc"/>
    <x v="0"/>
    <m/>
    <n v="303.06"/>
    <n v="-303.06"/>
    <n v="0"/>
    <n v="0"/>
    <n v="0"/>
    <n v="0"/>
    <n v="0"/>
    <n v="0"/>
    <n v="0"/>
    <n v="0"/>
    <n v="0"/>
    <n v="0"/>
    <n v="0"/>
    <n v="0"/>
  </r>
  <r>
    <x v="6"/>
    <x v="1"/>
    <x v="0"/>
    <s v="5977200"/>
    <n v="713010"/>
    <s v="Benefits-FICA/Medicare"/>
    <s v="FPC West Seattle Shared Svc"/>
    <x v="0"/>
    <m/>
    <n v="660.66"/>
    <n v="-660.66"/>
    <n v="0"/>
    <n v="0"/>
    <n v="0"/>
    <n v="0"/>
    <n v="0"/>
    <n v="0"/>
    <n v="0"/>
    <n v="0"/>
    <n v="0"/>
    <n v="0"/>
    <n v="0"/>
    <n v="0"/>
  </r>
  <r>
    <x v="6"/>
    <x v="1"/>
    <x v="0"/>
    <s v="5977200"/>
    <n v="713090"/>
    <s v="Benefits-Allocated Amounts"/>
    <s v="FPC West Seattle Shared Svc"/>
    <x v="0"/>
    <m/>
    <n v="2442.8200000000002"/>
    <n v="-2442.8200000000002"/>
    <n v="0"/>
    <n v="0"/>
    <n v="0"/>
    <n v="0"/>
    <n v="0"/>
    <n v="0"/>
    <n v="0"/>
    <n v="0"/>
    <n v="0"/>
    <n v="0"/>
    <n v="0"/>
    <n v="0"/>
  </r>
  <r>
    <x v="7"/>
    <x v="1"/>
    <x v="0"/>
    <s v="5977200"/>
    <n v="718050"/>
    <s v="Translation Services"/>
    <s v="FPC West Seattle Shared Svc"/>
    <x v="0"/>
    <n v="1025"/>
    <n v="121.8"/>
    <n v="-121.8"/>
    <n v="0"/>
    <n v="0"/>
    <n v="0"/>
    <n v="0"/>
    <n v="0"/>
    <n v="0"/>
    <n v="0"/>
    <n v="0"/>
    <n v="0"/>
    <n v="0"/>
    <n v="0"/>
    <n v="0"/>
  </r>
  <r>
    <x v="7"/>
    <x v="1"/>
    <x v="0"/>
    <s v="5977200"/>
    <n v="718050"/>
    <s v="Purchased Srvcs--Medical Waste"/>
    <s v="FPC West Seattle Shared Svc"/>
    <x v="0"/>
    <n v="1027"/>
    <n v="30.56"/>
    <n v="-30.56"/>
    <n v="0"/>
    <n v="0"/>
    <n v="0"/>
    <n v="0"/>
    <n v="0"/>
    <n v="0"/>
    <n v="0"/>
    <n v="0"/>
    <n v="0"/>
    <n v="0"/>
    <n v="0"/>
    <n v="0"/>
  </r>
  <r>
    <x v="7"/>
    <x v="1"/>
    <x v="0"/>
    <s v="5977200"/>
    <n v="718070"/>
    <s v="Contract Srvcs-CHI Clinical Engineering"/>
    <s v="FPC West Seattle Shared Svc"/>
    <x v="0"/>
    <m/>
    <n v="-236.57"/>
    <n v="236.57"/>
    <n v="0"/>
    <n v="0"/>
    <n v="0"/>
    <n v="0"/>
    <n v="0"/>
    <n v="0"/>
    <n v="0"/>
    <n v="0"/>
    <n v="0"/>
    <n v="0"/>
    <n v="0"/>
    <n v="0"/>
  </r>
  <r>
    <x v="11"/>
    <x v="1"/>
    <x v="0"/>
    <s v="5977200"/>
    <n v="721250"/>
    <s v="Supplies-Pharmacy Drugs - Billable"/>
    <s v="FPC West Seattle Shared Svc"/>
    <x v="0"/>
    <m/>
    <n v="353.85"/>
    <n v="-353.85"/>
    <n v="0"/>
    <n v="0"/>
    <n v="0"/>
    <n v="0"/>
    <n v="0"/>
    <n v="0"/>
    <n v="0"/>
    <n v="0"/>
    <n v="0"/>
    <n v="0"/>
    <n v="0"/>
    <n v="0"/>
  </r>
  <r>
    <x v="11"/>
    <x v="1"/>
    <x v="0"/>
    <s v="5977200"/>
    <n v="721830"/>
    <s v="Supplies-Office"/>
    <s v="FPC West Seattle Shared Svc"/>
    <x v="0"/>
    <m/>
    <n v="855.09"/>
    <n v="-855.09"/>
    <n v="0"/>
    <n v="0"/>
    <n v="0"/>
    <n v="0"/>
    <n v="0"/>
    <n v="0"/>
    <n v="0"/>
    <n v="0"/>
    <n v="0"/>
    <n v="0"/>
    <n v="0"/>
    <n v="0"/>
  </r>
  <r>
    <x v="12"/>
    <x v="1"/>
    <x v="0"/>
    <s v="5977200"/>
    <n v="730010"/>
    <s v="Rental and Leases-Building (DO NOT USE)"/>
    <s v="FPC West Seattle Shared Svc"/>
    <x v="0"/>
    <m/>
    <n v="4233.6000000000004"/>
    <n v="-4233.6000000000004"/>
    <n v="0"/>
    <n v="0"/>
    <n v="0"/>
    <n v="0"/>
    <n v="0"/>
    <n v="0"/>
    <n v="0"/>
    <n v="0"/>
    <n v="0"/>
    <n v="0"/>
    <n v="0"/>
    <n v="0"/>
  </r>
  <r>
    <x v="12"/>
    <x v="1"/>
    <x v="0"/>
    <s v="5977200"/>
    <n v="730020"/>
    <s v="Rental and Leases-Copier Usage Fees (DO NOT USE)"/>
    <s v="FPC West Seattle Shared Svc"/>
    <x v="0"/>
    <n v="5100"/>
    <n v="218.73"/>
    <n v="-218.73"/>
    <n v="0"/>
    <n v="0"/>
    <n v="0"/>
    <n v="0"/>
    <n v="0"/>
    <n v="0"/>
    <n v="0"/>
    <n v="0"/>
    <n v="0"/>
    <n v="0"/>
    <n v="0"/>
    <n v="0"/>
  </r>
  <r>
    <x v="15"/>
    <x v="1"/>
    <x v="0"/>
    <s v="5977200"/>
    <n v="731020"/>
    <s v="Electricity"/>
    <s v="FPC West Seattle Shared Svc"/>
    <x v="0"/>
    <m/>
    <n v="390.88"/>
    <n v="-390.88"/>
    <n v="0"/>
    <n v="0"/>
    <n v="0"/>
    <n v="0"/>
    <n v="0"/>
    <n v="0"/>
    <n v="0"/>
    <n v="0"/>
    <n v="0"/>
    <n v="0"/>
    <n v="0"/>
    <n v="0"/>
  </r>
  <r>
    <x v="15"/>
    <x v="1"/>
    <x v="0"/>
    <s v="5977200"/>
    <n v="731030"/>
    <s v="Water"/>
    <s v="FPC West Seattle Shared Svc"/>
    <x v="0"/>
    <m/>
    <n v="34.14"/>
    <n v="-34.14"/>
    <n v="0"/>
    <n v="0"/>
    <n v="0"/>
    <n v="0"/>
    <n v="0"/>
    <n v="0"/>
    <n v="0"/>
    <n v="0"/>
    <n v="0"/>
    <n v="0"/>
    <n v="0"/>
    <n v="0"/>
  </r>
  <r>
    <x v="15"/>
    <x v="1"/>
    <x v="0"/>
    <s v="5977200"/>
    <n v="731040"/>
    <s v="Sewer"/>
    <s v="FPC West Seattle Shared Svc"/>
    <x v="0"/>
    <m/>
    <n v="32.299999999999997"/>
    <n v="-32.299999999999997"/>
    <n v="0"/>
    <n v="0"/>
    <n v="0"/>
    <n v="0"/>
    <n v="0"/>
    <n v="0"/>
    <n v="0"/>
    <n v="0"/>
    <n v="0"/>
    <n v="0"/>
    <n v="0"/>
    <n v="0"/>
  </r>
  <r>
    <x v="15"/>
    <x v="1"/>
    <x v="0"/>
    <s v="5977200"/>
    <n v="731050"/>
    <s v="Refuse Disposal"/>
    <s v="FPC West Seattle Shared Svc"/>
    <x v="0"/>
    <m/>
    <n v="468.23"/>
    <n v="-468.23"/>
    <n v="0"/>
    <n v="0"/>
    <n v="0"/>
    <n v="0"/>
    <n v="0"/>
    <n v="0"/>
    <n v="0"/>
    <n v="0"/>
    <n v="0"/>
    <n v="0"/>
    <n v="0"/>
    <n v="0"/>
  </r>
  <r>
    <x v="15"/>
    <x v="1"/>
    <x v="0"/>
    <s v="5977200"/>
    <n v="731060"/>
    <s v="Telephone"/>
    <s v="FPC West Seattle Shared Svc"/>
    <x v="0"/>
    <m/>
    <n v="555.4"/>
    <n v="-555.4"/>
    <n v="0"/>
    <n v="0"/>
    <n v="0"/>
    <n v="0"/>
    <n v="0"/>
    <n v="0"/>
    <n v="0"/>
    <n v="0"/>
    <n v="0"/>
    <n v="0"/>
    <n v="0"/>
    <n v="0"/>
  </r>
  <r>
    <x v="13"/>
    <x v="1"/>
    <x v="0"/>
    <s v="5977200"/>
    <n v="735070"/>
    <s v="Depreciation-Movable Equipment"/>
    <s v="FPC West Seattle Shared Svc"/>
    <x v="0"/>
    <m/>
    <n v="1080.8499999999999"/>
    <n v="-1080.8499999999999"/>
    <n v="0"/>
    <n v="0"/>
    <n v="0"/>
    <n v="0"/>
    <n v="0"/>
    <n v="0"/>
    <n v="0"/>
    <n v="0"/>
    <n v="0"/>
    <n v="0"/>
    <n v="0"/>
    <n v="0"/>
  </r>
  <r>
    <x v="0"/>
    <x v="1"/>
    <x v="0"/>
    <s v="5977200"/>
    <n v="749550"/>
    <s v="Cash Over/Short"/>
    <s v="FPC West Seattle Shared Svc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5978200"/>
    <n v="718050"/>
    <s v="Document Shredding/Storage"/>
    <s v="WH-3TREE-OB/GYN Shared Svc"/>
    <x v="0"/>
    <n v="1012"/>
    <n v="180.85"/>
    <n v="188.58"/>
    <n v="300.89999999999998"/>
    <n v="230.7"/>
    <n v="201.73"/>
    <n v="219.32"/>
    <n v="217.12"/>
    <n v="138.08000000000001"/>
    <n v="200.34"/>
    <n v="137.80000000000001"/>
    <n v="188.84"/>
    <n v="145.88"/>
    <n v="2350.14"/>
    <n v="42.960000000000008"/>
  </r>
  <r>
    <x v="7"/>
    <x v="1"/>
    <x v="0"/>
    <s v="5978200"/>
    <n v="718050"/>
    <s v="Physician Answering"/>
    <s v="WH-3TREE-OB/GYN Shared Svc"/>
    <x v="0"/>
    <n v="1015"/>
    <n v="98.4"/>
    <n v="98.6"/>
    <n v="108"/>
    <n v="48.2"/>
    <n v="159.19999999999999"/>
    <n v="179.8"/>
    <n v="244.2"/>
    <n v="215"/>
    <n v="180.2"/>
    <n v="237.4"/>
    <n v="98.4"/>
    <n v="134"/>
    <n v="1801.4000000000003"/>
    <n v="-35.599999999999994"/>
  </r>
  <r>
    <x v="7"/>
    <x v="1"/>
    <x v="0"/>
    <s v="5978200"/>
    <n v="718050"/>
    <s v="Purchased Srvcs--Medical Waste"/>
    <s v="WH-3TREE-OB/GYN Shared Svc"/>
    <x v="0"/>
    <n v="1027"/>
    <n v="10.36"/>
    <n v="10.36"/>
    <n v="10.36"/>
    <n v="0"/>
    <n v="10.36"/>
    <n v="10.36"/>
    <n v="20.72"/>
    <n v="10.36"/>
    <n v="0"/>
    <n v="20.72"/>
    <n v="0"/>
    <n v="10.36"/>
    <n v="113.96"/>
    <n v="-10.36"/>
  </r>
  <r>
    <x v="0"/>
    <x v="1"/>
    <x v="0"/>
    <s v="5978200"/>
    <n v="749510"/>
    <s v="Licenses"/>
    <s v="WH-3TREE-OB/GYN Shared Svc"/>
    <x v="0"/>
    <n v="1002"/>
    <n v="0"/>
    <n v="0"/>
    <n v="265"/>
    <n v="0"/>
    <n v="0"/>
    <n v="235"/>
    <n v="58.75"/>
    <n v="0"/>
    <n v="0"/>
    <n v="0"/>
    <n v="0"/>
    <n v="0"/>
    <n v="558.75"/>
    <n v="0"/>
  </r>
  <r>
    <x v="5"/>
    <x v="1"/>
    <x v="0"/>
    <s v="5979200"/>
    <n v="700014"/>
    <s v="Salaries-Management-Productive"/>
    <s v="Neurology Assoc-Highline S/S"/>
    <x v="0"/>
    <m/>
    <n v="1328.44"/>
    <n v="1086.92"/>
    <n v="1207.68"/>
    <n v="1418.78"/>
    <n v="1054.82"/>
    <n v="2179.9299999999998"/>
    <n v="2548.1999999999998"/>
    <n v="1718.77"/>
    <n v="2673.63"/>
    <n v="2676.21"/>
    <n v="2176.66"/>
    <n v="581.98"/>
    <n v="20652.02"/>
    <n v="1594.6799999999998"/>
  </r>
  <r>
    <x v="5"/>
    <x v="1"/>
    <x v="0"/>
    <s v="5979200"/>
    <n v="700026"/>
    <s v="Salaries-RN-Productive"/>
    <s v="Neurology Assoc-Highline S/S"/>
    <x v="0"/>
    <m/>
    <n v="10451.700000000001"/>
    <n v="9263.4699999999993"/>
    <n v="8439.2000000000007"/>
    <n v="6052.29"/>
    <n v="5852.92"/>
    <n v="4341.33"/>
    <n v="4591.83"/>
    <n v="5175.16"/>
    <n v="313.95"/>
    <n v="653.77"/>
    <n v="-169.49"/>
    <n v="0"/>
    <n v="54966.12999999999"/>
    <n v="-169.49"/>
  </r>
  <r>
    <x v="5"/>
    <x v="1"/>
    <x v="0"/>
    <s v="5979200"/>
    <n v="700026"/>
    <s v="Salaries-RN-OT"/>
    <s v="Neurology Assoc-Highline S/S"/>
    <x v="0"/>
    <n v="1000"/>
    <n v="227.16"/>
    <n v="123.01"/>
    <n v="84.59"/>
    <n v="117.53"/>
    <n v="167.58"/>
    <n v="27.52"/>
    <n v="80.16"/>
    <n v="-2.5"/>
    <n v="7.53"/>
    <n v="515.49"/>
    <n v="-26.3"/>
    <n v="0"/>
    <n v="1321.77"/>
    <n v="-26.3"/>
  </r>
  <r>
    <x v="5"/>
    <x v="1"/>
    <x v="0"/>
    <s v="5979200"/>
    <n v="700026"/>
    <s v="Salaries-RN-Other"/>
    <s v="Neurology Assoc-Highline S/S"/>
    <x v="0"/>
    <n v="2000"/>
    <n v="0"/>
    <n v="0"/>
    <n v="1.88"/>
    <n v="0"/>
    <n v="0"/>
    <n v="5.5"/>
    <n v="30.05"/>
    <n v="-0.01"/>
    <n v="0"/>
    <n v="8.02"/>
    <n v="0"/>
    <n v="0"/>
    <n v="45.44"/>
    <n v="0"/>
  </r>
  <r>
    <x v="5"/>
    <x v="1"/>
    <x v="0"/>
    <s v="5979200"/>
    <n v="700038"/>
    <s v="Salaries-Service/Support-Productive"/>
    <s v="Neurology Assoc-Highline S/S"/>
    <x v="0"/>
    <m/>
    <n v="3149.94"/>
    <n v="4229.25"/>
    <n v="2942.23"/>
    <n v="4341.5200000000004"/>
    <n v="2626.37"/>
    <n v="2229.63"/>
    <n v="3644.11"/>
    <n v="2898.2"/>
    <n v="3055.81"/>
    <n v="3499.63"/>
    <n v="3180.05"/>
    <n v="2928.17"/>
    <n v="38724.910000000003"/>
    <n v="251.88000000000011"/>
  </r>
  <r>
    <x v="5"/>
    <x v="1"/>
    <x v="0"/>
    <s v="5979200"/>
    <n v="700038"/>
    <s v="Salaries-Service/Support-OT"/>
    <s v="Neurology Assoc-Highline S/S"/>
    <x v="0"/>
    <n v="1000"/>
    <n v="49.35"/>
    <n v="63.45"/>
    <n v="24.67"/>
    <n v="-10.57"/>
    <n v="59.02"/>
    <n v="-29.51"/>
    <n v="45.32"/>
    <n v="16.079999999999998"/>
    <n v="37.28"/>
    <n v="10.98"/>
    <n v="116.93"/>
    <n v="21.93"/>
    <n v="404.93000000000006"/>
    <n v="95"/>
  </r>
  <r>
    <x v="5"/>
    <x v="1"/>
    <x v="0"/>
    <s v="5979200"/>
    <n v="700038"/>
    <s v="Salaries-Service/Support-Other"/>
    <s v="Neurology Assoc-Highline S/S"/>
    <x v="0"/>
    <n v="2000"/>
    <n v="0"/>
    <n v="0"/>
    <n v="0"/>
    <n v="40.950000000000003"/>
    <n v="16.3"/>
    <n v="-17.25"/>
    <n v="7.01"/>
    <n v="-2"/>
    <n v="0"/>
    <n v="0"/>
    <n v="0"/>
    <n v="0"/>
    <n v="45.01"/>
    <n v="0"/>
  </r>
  <r>
    <x v="5"/>
    <x v="1"/>
    <x v="0"/>
    <s v="5979200"/>
    <n v="700066"/>
    <s v="Salaries-RN-Non-productive"/>
    <s v="Neurology Assoc-Highline S/S"/>
    <x v="0"/>
    <m/>
    <n v="851.28"/>
    <n v="2552.7199999999998"/>
    <n v="2750.63"/>
    <n v="1299.0999999999999"/>
    <n v="16.68"/>
    <n v="1337.33"/>
    <n v="1603.23"/>
    <n v="168.67"/>
    <n v="1189.01"/>
    <n v="0"/>
    <n v="0"/>
    <n v="0"/>
    <n v="11768.65"/>
    <n v="0"/>
  </r>
  <r>
    <x v="5"/>
    <x v="1"/>
    <x v="0"/>
    <s v="5979200"/>
    <n v="700066"/>
    <s v="Salaries-RN-NonProd-Other"/>
    <s v="Neurology Assoc-Highline S/S"/>
    <x v="0"/>
    <n v="2000"/>
    <n v="0"/>
    <n v="15.96"/>
    <n v="23.94"/>
    <n v="-7.98"/>
    <n v="0"/>
    <n v="0"/>
    <n v="0"/>
    <n v="0"/>
    <n v="0"/>
    <n v="0"/>
    <n v="0"/>
    <n v="0"/>
    <n v="31.920000000000005"/>
    <n v="0"/>
  </r>
  <r>
    <x v="5"/>
    <x v="1"/>
    <x v="0"/>
    <s v="5979200"/>
    <n v="700078"/>
    <s v="Salaries-Service/Support-Non-productive"/>
    <s v="Neurology Assoc-Highline S/S"/>
    <x v="0"/>
    <m/>
    <n v="0"/>
    <n v="9.4"/>
    <n v="235"/>
    <n v="9.4"/>
    <n v="1075.17"/>
    <n v="725.37"/>
    <n v="77.59"/>
    <n v="181.24"/>
    <n v="218.28"/>
    <n v="-69.67"/>
    <n v="405.88"/>
    <n v="155.91"/>
    <n v="3023.57"/>
    <n v="249.97"/>
  </r>
  <r>
    <x v="5"/>
    <x v="1"/>
    <x v="0"/>
    <s v="5979200"/>
    <n v="700078"/>
    <s v="Salaries-Service/Support-NonProd-Other"/>
    <s v="Neurology Assoc-Highline S/S"/>
    <x v="0"/>
    <n v="2000"/>
    <n v="0"/>
    <n v="9.4"/>
    <n v="14.1"/>
    <n v="-4.7"/>
    <n v="0"/>
    <n v="0"/>
    <n v="0"/>
    <n v="0"/>
    <n v="0"/>
    <n v="0"/>
    <n v="0"/>
    <n v="0"/>
    <n v="18.8"/>
    <n v="0"/>
  </r>
  <r>
    <x v="5"/>
    <x v="1"/>
    <x v="0"/>
    <s v="5979200"/>
    <n v="700084"/>
    <s v="Accrued PTO"/>
    <s v="Neurology Assoc-Highline S/S"/>
    <x v="0"/>
    <m/>
    <n v="399.35"/>
    <n v="248.12"/>
    <n v="-2357.66"/>
    <n v="870.49"/>
    <n v="237.99"/>
    <n v="-1290.76"/>
    <n v="-432.2"/>
    <n v="74.680000000000007"/>
    <n v="-632.83000000000004"/>
    <n v="435.98"/>
    <n v="38.92"/>
    <n v="120.65"/>
    <n v="-2287.2699999999995"/>
    <n v="-81.73"/>
  </r>
  <r>
    <x v="10"/>
    <x v="1"/>
    <x v="0"/>
    <s v="5979200"/>
    <n v="710060"/>
    <s v="Contract Labor-Other"/>
    <s v="Neurology Assoc-Highline S/S"/>
    <x v="0"/>
    <m/>
    <n v="0"/>
    <n v="2739.89"/>
    <n v="0"/>
    <n v="0"/>
    <n v="0"/>
    <n v="0"/>
    <n v="0"/>
    <n v="0"/>
    <n v="0"/>
    <n v="0"/>
    <n v="0"/>
    <n v="0"/>
    <n v="2739.89"/>
    <n v="0"/>
  </r>
  <r>
    <x v="6"/>
    <x v="1"/>
    <x v="0"/>
    <s v="5979200"/>
    <n v="713010"/>
    <s v="Benefits-FICA/Medicare"/>
    <s v="Neurology Assoc-Highline S/S"/>
    <x v="0"/>
    <m/>
    <n v="1196.98"/>
    <n v="1295.93"/>
    <n v="1212.55"/>
    <n v="956.07"/>
    <n v="822.46"/>
    <n v="817.69"/>
    <n v="953.14"/>
    <n v="764.33"/>
    <n v="560.62"/>
    <n v="633.87"/>
    <n v="425.27"/>
    <n v="280.64"/>
    <n v="9919.5500000000011"/>
    <n v="144.63"/>
  </r>
  <r>
    <x v="6"/>
    <x v="1"/>
    <x v="0"/>
    <s v="5979200"/>
    <n v="713090"/>
    <s v="Benefits-Allocated Amounts"/>
    <s v="Neurology Assoc-Highline S/S"/>
    <x v="0"/>
    <m/>
    <n v="3651.34"/>
    <n v="3568.83"/>
    <n v="3530.19"/>
    <n v="3160.85"/>
    <n v="2631.35"/>
    <n v="2362.7600000000002"/>
    <n v="3159.84"/>
    <n v="2979.31"/>
    <n v="2278.62"/>
    <n v="1916.72"/>
    <n v="1838.04"/>
    <n v="628.84"/>
    <n v="31706.690000000002"/>
    <n v="1209.1999999999998"/>
  </r>
  <r>
    <x v="7"/>
    <x v="1"/>
    <x v="0"/>
    <s v="5979200"/>
    <n v="718010"/>
    <s v="Media/Print Advertising"/>
    <s v="Neurology Assoc-Highline S/S"/>
    <x v="0"/>
    <n v="1004"/>
    <n v="132.97999999999999"/>
    <n v="91.5"/>
    <n v="0"/>
    <n v="771.12"/>
    <n v="0"/>
    <n v="0"/>
    <n v="100.29"/>
    <n v="0"/>
    <n v="0"/>
    <n v="0"/>
    <n v="0"/>
    <n v="-11.75"/>
    <n v="1084.1400000000001"/>
    <n v="11.75"/>
  </r>
  <r>
    <x v="7"/>
    <x v="1"/>
    <x v="0"/>
    <s v="5979200"/>
    <n v="718050"/>
    <s v="Contract Svcs-Other"/>
    <s v="Neurology Assoc-Highline S/S"/>
    <x v="0"/>
    <m/>
    <n v="0"/>
    <n v="100.2"/>
    <n v="264.60000000000002"/>
    <n v="176.1"/>
    <n v="280"/>
    <n v="1334.4"/>
    <n v="2022.78"/>
    <n v="818.84"/>
    <n v="46.22"/>
    <n v="567.41999999999996"/>
    <n v="555.79999999999995"/>
    <n v="1270.5999999999999"/>
    <n v="7436.9600000000009"/>
    <n v="-714.8"/>
  </r>
  <r>
    <x v="7"/>
    <x v="1"/>
    <x v="0"/>
    <s v="5979200"/>
    <n v="718050"/>
    <s v="Document Shredding/Storage"/>
    <s v="Neurology Assoc-Highline S/S"/>
    <x v="0"/>
    <n v="1012"/>
    <n v="11.14"/>
    <n v="-18.61"/>
    <n v="8.6199999999999992"/>
    <n v="4.92"/>
    <n v="6.74"/>
    <n v="1.22"/>
    <n v="1.2"/>
    <n v="-2.79"/>
    <n v="1.07"/>
    <n v="12.58"/>
    <n v="5.52"/>
    <n v="-2.46"/>
    <n v="29.150000000000002"/>
    <n v="7.9799999999999995"/>
  </r>
  <r>
    <x v="7"/>
    <x v="1"/>
    <x v="0"/>
    <s v="5979200"/>
    <n v="718050"/>
    <s v="Miscellaneous Purchased Svcs"/>
    <s v="Neurology Assoc-Highline S/S"/>
    <x v="0"/>
    <n v="1020"/>
    <n v="0"/>
    <n v="0"/>
    <n v="0"/>
    <n v="0"/>
    <n v="0"/>
    <n v="0"/>
    <n v="0"/>
    <n v="1245.3399999999999"/>
    <n v="0"/>
    <n v="0"/>
    <n v="0"/>
    <n v="0"/>
    <n v="1245.3399999999999"/>
    <n v="0"/>
  </r>
  <r>
    <x v="7"/>
    <x v="1"/>
    <x v="0"/>
    <s v="5979200"/>
    <n v="718050"/>
    <s v="Translation Services"/>
    <s v="Neurology Assoc-Highline S/S"/>
    <x v="0"/>
    <n v="1025"/>
    <n v="64"/>
    <n v="0"/>
    <n v="540.5"/>
    <n v="88"/>
    <n v="289.2"/>
    <n v="0"/>
    <n v="0"/>
    <n v="50.47"/>
    <n v="0"/>
    <n v="64"/>
    <n v="0"/>
    <n v="676.07"/>
    <n v="1772.2400000000002"/>
    <n v="-676.07"/>
  </r>
  <r>
    <x v="7"/>
    <x v="1"/>
    <x v="0"/>
    <s v="5979200"/>
    <n v="718050"/>
    <s v="Contract Management--Linen"/>
    <s v="Neurology Assoc-Highline S/S"/>
    <x v="0"/>
    <n v="1026"/>
    <n v="251.55"/>
    <n v="118.5"/>
    <n v="129.62"/>
    <n v="118.5"/>
    <n v="118.51"/>
    <n v="118.51"/>
    <n v="395"/>
    <n v="79.959999999999994"/>
    <n v="158"/>
    <n v="237"/>
    <n v="39.5"/>
    <n v="197.5"/>
    <n v="1962.15"/>
    <n v="-158"/>
  </r>
  <r>
    <x v="7"/>
    <x v="1"/>
    <x v="0"/>
    <s v="5979200"/>
    <n v="718050"/>
    <s v="Purchased Srvcs--Medical Waste"/>
    <s v="Neurology Assoc-Highline S/S"/>
    <x v="0"/>
    <n v="1027"/>
    <n v="0"/>
    <n v="0"/>
    <n v="0"/>
    <n v="20.72"/>
    <n v="10.36"/>
    <n v="10.36"/>
    <n v="20.72"/>
    <n v="31.08"/>
    <n v="10.36"/>
    <n v="10.36"/>
    <n v="0"/>
    <n v="10.36"/>
    <n v="124.32"/>
    <n v="-10.36"/>
  </r>
  <r>
    <x v="11"/>
    <x v="1"/>
    <x v="0"/>
    <s v="5979200"/>
    <n v="721010"/>
    <s v="Supplies-Medical - Billable"/>
    <s v="Neurology Assoc-Highline S/S"/>
    <x v="0"/>
    <m/>
    <n v="204.92"/>
    <n v="4.7699999999999996"/>
    <n v="0"/>
    <n v="4.7699999999999996"/>
    <n v="4.7699999999999996"/>
    <n v="0"/>
    <n v="20"/>
    <n v="10"/>
    <n v="49.5"/>
    <n v="-39.5"/>
    <n v="0"/>
    <n v="15"/>
    <n v="274.23"/>
    <n v="-15"/>
  </r>
  <r>
    <x v="11"/>
    <x v="1"/>
    <x v="0"/>
    <s v="5979200"/>
    <n v="721250"/>
    <s v="Supplies-Pharmacy Drugs - Billable"/>
    <s v="Neurology Assoc-Highline S/S"/>
    <x v="0"/>
    <m/>
    <n v="0"/>
    <n v="6029.72"/>
    <n v="4317.3999999999996"/>
    <n v="0"/>
    <n v="0"/>
    <n v="0"/>
    <n v="0"/>
    <n v="0"/>
    <n v="0"/>
    <n v="0"/>
    <n v="478.84"/>
    <n v="0"/>
    <n v="10825.96"/>
    <n v="478.84"/>
  </r>
  <r>
    <x v="11"/>
    <x v="1"/>
    <x v="0"/>
    <s v="5979200"/>
    <n v="721410"/>
    <s v="Supplies-Medical - Nonbillable"/>
    <s v="Neurology Assoc-Highline S/S"/>
    <x v="0"/>
    <m/>
    <n v="0"/>
    <n v="374.35"/>
    <n v="664.02"/>
    <n v="0"/>
    <n v="14.31"/>
    <n v="0"/>
    <n v="959.43"/>
    <n v="403.04"/>
    <n v="-30"/>
    <n v="589.39"/>
    <n v="-30"/>
    <n v="0"/>
    <n v="2944.5399999999995"/>
    <n v="-30"/>
  </r>
  <r>
    <x v="11"/>
    <x v="1"/>
    <x v="0"/>
    <s v="5979200"/>
    <n v="721810"/>
    <s v="Supplies-Dietary/Cafeteria"/>
    <s v="Neurology Assoc-Highline S/S"/>
    <x v="0"/>
    <m/>
    <n v="0"/>
    <n v="0"/>
    <n v="66.17"/>
    <n v="231.14"/>
    <n v="37.31"/>
    <n v="26.97"/>
    <n v="156.01"/>
    <n v="44.4"/>
    <n v="87.29"/>
    <n v="0"/>
    <n v="47.77"/>
    <n v="0"/>
    <n v="697.06"/>
    <n v="47.77"/>
  </r>
  <r>
    <x v="11"/>
    <x v="1"/>
    <x v="0"/>
    <s v="5979200"/>
    <n v="721830"/>
    <s v="Supplies-Office"/>
    <s v="Neurology Assoc-Highline S/S"/>
    <x v="0"/>
    <m/>
    <n v="313.70999999999998"/>
    <n v="421.6"/>
    <n v="403.53"/>
    <n v="193.32"/>
    <n v="75.33"/>
    <n v="114.26"/>
    <n v="39.08"/>
    <n v="78.67"/>
    <n v="58.92"/>
    <n v="160.44999999999999"/>
    <n v="75.150000000000006"/>
    <n v="95.71"/>
    <n v="2029.73"/>
    <n v="-20.559999999999988"/>
  </r>
  <r>
    <x v="11"/>
    <x v="1"/>
    <x v="0"/>
    <s v="5979200"/>
    <n v="721835"/>
    <s v="Supplies-Forms"/>
    <s v="Neurology Assoc-Highline S/S"/>
    <x v="0"/>
    <m/>
    <n v="0"/>
    <n v="152.79"/>
    <n v="175.03"/>
    <n v="0"/>
    <n v="0.06"/>
    <n v="0"/>
    <n v="0"/>
    <n v="100.29"/>
    <n v="0"/>
    <n v="0"/>
    <n v="0"/>
    <n v="-14.74"/>
    <n v="413.43"/>
    <n v="14.74"/>
  </r>
  <r>
    <x v="11"/>
    <x v="1"/>
    <x v="0"/>
    <s v="5979200"/>
    <n v="721880"/>
    <s v="Supplies-Linen"/>
    <s v="Neurology Assoc-Highline S/S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5979200"/>
    <n v="721910"/>
    <s v="Supplies-Small Equipment"/>
    <s v="Neurology Assoc-Highline S/S"/>
    <x v="0"/>
    <m/>
    <n v="0"/>
    <n v="0"/>
    <n v="1842.64"/>
    <n v="6197.15"/>
    <n v="0"/>
    <n v="0"/>
    <n v="0"/>
    <n v="197.64"/>
    <n v="0"/>
    <n v="0"/>
    <n v="0"/>
    <n v="0"/>
    <n v="8237.43"/>
    <n v="0"/>
  </r>
  <r>
    <x v="11"/>
    <x v="1"/>
    <x v="0"/>
    <s v="5979200"/>
    <n v="722000"/>
    <s v="Supplies-Freight Expense"/>
    <s v="Neurology Assoc-Highline S/S"/>
    <x v="0"/>
    <m/>
    <n v="0"/>
    <n v="0"/>
    <n v="0"/>
    <n v="0"/>
    <n v="0"/>
    <n v="0"/>
    <n v="0"/>
    <n v="0"/>
    <n v="30"/>
    <n v="0"/>
    <n v="30"/>
    <n v="14.74"/>
    <n v="74.739999999999995"/>
    <n v="15.26"/>
  </r>
  <r>
    <x v="12"/>
    <x v="1"/>
    <x v="0"/>
    <s v="5979200"/>
    <n v="730010"/>
    <s v="Rental and Leases-Building (DO NOT USE)"/>
    <s v="Neurology Assoc-Highline S/S"/>
    <x v="0"/>
    <m/>
    <n v="5022.6499999999996"/>
    <n v="5022.6499999999996"/>
    <n v="5022.6499999999996"/>
    <n v="5022.6499999999996"/>
    <n v="5022.6499999999996"/>
    <n v="-4529.3500000000004"/>
    <n v="3477.84"/>
    <n v="3430.65"/>
    <n v="518.38"/>
    <n v="4467.5"/>
    <n v="4467.5"/>
    <n v="0"/>
    <n v="36945.770000000004"/>
    <n v="4467.5"/>
  </r>
  <r>
    <x v="12"/>
    <x v="1"/>
    <x v="0"/>
    <s v="5979200"/>
    <n v="730010"/>
    <s v="Rental-Common Area Maint (DO NOT USE)"/>
    <s v="Neurology Assoc-Highline S/S"/>
    <x v="0"/>
    <n v="2200"/>
    <n v="0"/>
    <n v="0"/>
    <n v="0"/>
    <n v="0"/>
    <n v="0"/>
    <n v="9552"/>
    <n v="1592"/>
    <n v="1592"/>
    <n v="1592"/>
    <n v="1591.92"/>
    <n v="1591.92"/>
    <n v="0"/>
    <n v="17511.84"/>
    <n v="1591.92"/>
  </r>
  <r>
    <x v="12"/>
    <x v="1"/>
    <x v="0"/>
    <s v="5979200"/>
    <n v="730020"/>
    <s v="Rental and Leases-Equipment (DO NOT USE)"/>
    <s v="Neurology Assoc-Highline S/S"/>
    <x v="0"/>
    <m/>
    <n v="0"/>
    <n v="94.38"/>
    <n v="0"/>
    <n v="0"/>
    <n v="141.57"/>
    <n v="47.19"/>
    <n v="0"/>
    <n v="47.19"/>
    <n v="47.19"/>
    <n v="47.19"/>
    <n v="47.19"/>
    <n v="47.19"/>
    <n v="519.08999999999992"/>
    <n v="0"/>
  </r>
  <r>
    <x v="12"/>
    <x v="1"/>
    <x v="0"/>
    <s v="5979200"/>
    <n v="730020"/>
    <s v="Rental and Leases-Copier Usage Fees (DO NOT USE)"/>
    <s v="Neurology Assoc-Highline S/S"/>
    <x v="0"/>
    <n v="5100"/>
    <n v="416.03"/>
    <n v="426.69"/>
    <n v="421.36"/>
    <n v="421.36"/>
    <n v="421.36"/>
    <n v="421.36"/>
    <n v="963.25"/>
    <n v="392.34"/>
    <n v="391.52"/>
    <n v="559.86"/>
    <n v="392.34"/>
    <n v="460.09"/>
    <n v="5687.56"/>
    <n v="-67.75"/>
  </r>
  <r>
    <x v="12"/>
    <x v="1"/>
    <x v="0"/>
    <s v="5979200"/>
    <n v="730040"/>
    <s v="LT Lease-Real Estate"/>
    <s v="Neurology Assoc-Highline S/S"/>
    <x v="0"/>
    <m/>
    <n v="0"/>
    <n v="0"/>
    <n v="0"/>
    <n v="0"/>
    <n v="0"/>
    <n v="0"/>
    <n v="0"/>
    <n v="0"/>
    <n v="0"/>
    <n v="0"/>
    <n v="0"/>
    <n v="6059.42"/>
    <n v="6059.42"/>
    <n v="-6059.42"/>
  </r>
  <r>
    <x v="15"/>
    <x v="1"/>
    <x v="0"/>
    <s v="5979200"/>
    <n v="731060"/>
    <s v="Telephone"/>
    <s v="Neurology Assoc-Highline S/S"/>
    <x v="0"/>
    <m/>
    <n v="905.59"/>
    <n v="666.33"/>
    <n v="420.66"/>
    <n v="920.52"/>
    <n v="427.66"/>
    <n v="643.02"/>
    <n v="981.33"/>
    <n v="0"/>
    <n v="262.3"/>
    <n v="262.8"/>
    <n v="261.79000000000002"/>
    <n v="261.79000000000002"/>
    <n v="6013.7900000000009"/>
    <n v="0"/>
  </r>
  <r>
    <x v="16"/>
    <x v="1"/>
    <x v="0"/>
    <s v="5979200"/>
    <n v="732030"/>
    <s v="Repairs---Other"/>
    <s v="Neurology Assoc-Highline S/S"/>
    <x v="0"/>
    <m/>
    <n v="0"/>
    <n v="0"/>
    <n v="0"/>
    <n v="169.01"/>
    <n v="0"/>
    <n v="0"/>
    <n v="0"/>
    <n v="0"/>
    <n v="31.42"/>
    <n v="0"/>
    <n v="0"/>
    <n v="71.349999999999994"/>
    <n v="271.77999999999997"/>
    <n v="-71.349999999999994"/>
  </r>
  <r>
    <x v="13"/>
    <x v="1"/>
    <x v="0"/>
    <s v="5979200"/>
    <n v="735050"/>
    <s v="Amortization-Leasehold Improvements"/>
    <s v="Neurology Assoc-Highline S/S"/>
    <x v="0"/>
    <m/>
    <n v="2730.91"/>
    <n v="2730.91"/>
    <n v="2730.91"/>
    <n v="2730.91"/>
    <n v="2730.91"/>
    <n v="2730.91"/>
    <n v="2730.91"/>
    <n v="2730.91"/>
    <n v="2730.91"/>
    <n v="2730.91"/>
    <n v="2730.92"/>
    <n v="2730.91"/>
    <n v="32770.929999999993"/>
    <n v="1.0000000000218279E-2"/>
  </r>
  <r>
    <x v="13"/>
    <x v="1"/>
    <x v="0"/>
    <s v="5979200"/>
    <n v="735070"/>
    <s v="Depreciation-Movable Equipment"/>
    <s v="Neurology Assoc-Highline S/S"/>
    <x v="0"/>
    <m/>
    <n v="722.43"/>
    <n v="722.43"/>
    <n v="722.43"/>
    <n v="722.43"/>
    <n v="722.44"/>
    <n v="722.42"/>
    <n v="722.44"/>
    <n v="722.42"/>
    <n v="722.44"/>
    <n v="722.42"/>
    <n v="722.44"/>
    <n v="722.42"/>
    <n v="8669.1600000000017"/>
    <n v="2.0000000000095497E-2"/>
  </r>
  <r>
    <x v="0"/>
    <x v="1"/>
    <x v="0"/>
    <s v="5979200"/>
    <n v="742040"/>
    <s v="Freight-Other"/>
    <s v="Neurology Assoc-Highline S/S"/>
    <x v="0"/>
    <m/>
    <n v="0"/>
    <n v="0"/>
    <n v="0"/>
    <n v="14.73"/>
    <n v="0"/>
    <n v="0"/>
    <n v="0"/>
    <n v="0"/>
    <n v="0"/>
    <n v="0"/>
    <n v="0"/>
    <n v="11.75"/>
    <n v="26.48"/>
    <n v="-11.75"/>
  </r>
  <r>
    <x v="0"/>
    <x v="1"/>
    <x v="0"/>
    <s v="5979200"/>
    <n v="743030"/>
    <s v="Subscriptions--Institutional"/>
    <s v="Neurology Assoc-Highline S/S"/>
    <x v="0"/>
    <m/>
    <n v="0"/>
    <n v="0"/>
    <n v="0"/>
    <n v="0"/>
    <n v="0"/>
    <n v="0"/>
    <n v="0"/>
    <n v="0"/>
    <n v="0"/>
    <n v="0"/>
    <n v="40.46"/>
    <n v="0"/>
    <n v="40.46"/>
    <n v="40.46"/>
  </r>
  <r>
    <x v="0"/>
    <x v="1"/>
    <x v="0"/>
    <s v="5979200"/>
    <n v="749510"/>
    <s v="Miscellaneous Expenses"/>
    <s v="Neurology Assoc-Highline S/S"/>
    <x v="0"/>
    <m/>
    <n v="0"/>
    <n v="0"/>
    <n v="0"/>
    <n v="1004.5"/>
    <n v="0"/>
    <n v="0"/>
    <n v="0"/>
    <n v="0"/>
    <n v="0"/>
    <n v="0"/>
    <n v="0"/>
    <n v="0"/>
    <n v="1004.5"/>
    <n v="0"/>
  </r>
  <r>
    <x v="0"/>
    <x v="1"/>
    <x v="0"/>
    <s v="5979200"/>
    <n v="749510"/>
    <s v="RICE Rewards"/>
    <s v="Neurology Assoc-Highline S/S"/>
    <x v="0"/>
    <n v="5100"/>
    <n v="0"/>
    <n v="0"/>
    <n v="0"/>
    <n v="0"/>
    <n v="0"/>
    <n v="0"/>
    <n v="0"/>
    <n v="13.2"/>
    <n v="0"/>
    <n v="78.3"/>
    <n v="0"/>
    <n v="103.22"/>
    <n v="194.72"/>
    <n v="-103.22"/>
  </r>
  <r>
    <x v="0"/>
    <x v="1"/>
    <x v="0"/>
    <s v="5979200"/>
    <n v="749530"/>
    <s v="Mileage"/>
    <s v="Neurology Assoc-Highline S/S"/>
    <x v="0"/>
    <n v="1001"/>
    <n v="125.06"/>
    <n v="0"/>
    <n v="13.63"/>
    <n v="114.75"/>
    <n v="8.5399999999999991"/>
    <n v="3.36"/>
    <n v="8.5399999999999991"/>
    <n v="12.67"/>
    <n v="14.22"/>
    <n v="17.79"/>
    <n v="7.16"/>
    <n v="13.74"/>
    <n v="339.46000000000015"/>
    <n v="-6.58"/>
  </r>
  <r>
    <x v="0"/>
    <x v="1"/>
    <x v="0"/>
    <s v="5979200"/>
    <n v="749535"/>
    <s v="Meetings"/>
    <s v="Neurology Assoc-Highline S/S"/>
    <x v="0"/>
    <m/>
    <n v="0"/>
    <n v="188.79"/>
    <n v="49.4"/>
    <n v="0"/>
    <n v="0"/>
    <n v="0"/>
    <n v="15.39"/>
    <n v="70.2"/>
    <n v="0"/>
    <n v="3.87"/>
    <n v="9.51"/>
    <n v="0"/>
    <n v="337.15999999999997"/>
    <n v="9.51"/>
  </r>
  <r>
    <x v="5"/>
    <x v="1"/>
    <x v="0"/>
    <s v="5980200"/>
    <n v="700054"/>
    <s v="Salaries-Management-NonProd-Other"/>
    <s v="Franciscan WH Des Moines SS"/>
    <x v="0"/>
    <n v="2000"/>
    <n v="0"/>
    <n v="0"/>
    <n v="0"/>
    <n v="0"/>
    <n v="0"/>
    <n v="0"/>
    <n v="-530.02"/>
    <n v="0"/>
    <n v="0"/>
    <n v="0"/>
    <n v="0"/>
    <n v="0"/>
    <n v="-530.02"/>
    <n v="0"/>
  </r>
  <r>
    <x v="6"/>
    <x v="1"/>
    <x v="0"/>
    <s v="5980200"/>
    <n v="713010"/>
    <s v="Benefits-FICA/Medicare"/>
    <s v="Franciscan WH Des Moines SS"/>
    <x v="0"/>
    <m/>
    <n v="0"/>
    <n v="0"/>
    <n v="0"/>
    <n v="0"/>
    <n v="0"/>
    <n v="0"/>
    <n v="40.549999999999997"/>
    <n v="0"/>
    <n v="0"/>
    <n v="0"/>
    <n v="0"/>
    <n v="0"/>
    <n v="40.549999999999997"/>
    <n v="0"/>
  </r>
  <r>
    <x v="7"/>
    <x v="1"/>
    <x v="0"/>
    <s v="5980200"/>
    <n v="718050"/>
    <s v="Contract Svcs-Other"/>
    <s v="Franciscan WH Des Moines SS"/>
    <x v="0"/>
    <m/>
    <n v="0"/>
    <n v="0"/>
    <n v="0"/>
    <n v="0"/>
    <n v="0"/>
    <n v="0"/>
    <n v="0"/>
    <n v="0"/>
    <n v="49.85"/>
    <n v="0"/>
    <n v="0"/>
    <n v="55.63"/>
    <n v="105.48"/>
    <n v="-55.63"/>
  </r>
  <r>
    <x v="7"/>
    <x v="1"/>
    <x v="0"/>
    <s v="5980200"/>
    <n v="718070"/>
    <s v="Contract Srvcs-CHI Clinical Engineering"/>
    <s v="Franciscan WH Des Moines SS"/>
    <x v="0"/>
    <m/>
    <n v="0"/>
    <n v="0"/>
    <n v="1143.69"/>
    <n v="708.13"/>
    <n v="1330.15"/>
    <n v="-3181.97"/>
    <n v="0"/>
    <n v="14.49"/>
    <n v="0"/>
    <n v="0"/>
    <n v="0"/>
    <n v="0"/>
    <n v="14.490000000000455"/>
    <n v="0"/>
  </r>
  <r>
    <x v="11"/>
    <x v="1"/>
    <x v="0"/>
    <s v="5980200"/>
    <n v="721010"/>
    <s v="Supplies-Medical - Billable"/>
    <s v="Franciscan WH Des Moines SS"/>
    <x v="0"/>
    <m/>
    <n v="6782"/>
    <n v="20686.84"/>
    <n v="8815.0400000000009"/>
    <n v="6554.7"/>
    <n v="0"/>
    <n v="-42838.58"/>
    <n v="7739.92"/>
    <n v="1838.6"/>
    <n v="15993"/>
    <n v="7090"/>
    <n v="8724.9"/>
    <n v="7437.4"/>
    <n v="48823.82"/>
    <n v="1287.5"/>
  </r>
  <r>
    <x v="11"/>
    <x v="1"/>
    <x v="0"/>
    <s v="5980200"/>
    <n v="721250"/>
    <s v="Supplies-Pharmacy Drugs - Billable"/>
    <s v="Franciscan WH Des Moines SS"/>
    <x v="0"/>
    <m/>
    <n v="1275.8"/>
    <n v="0"/>
    <n v="1319.54"/>
    <n v="1225.08"/>
    <n v="462.83"/>
    <n v="-4283.25"/>
    <n v="678.5"/>
    <n v="1958.05"/>
    <n v="33.74"/>
    <n v="2908.07"/>
    <n v="-23910.720000000001"/>
    <n v="679.4"/>
    <n v="-17652.96"/>
    <n v="-24590.120000000003"/>
  </r>
  <r>
    <x v="11"/>
    <x v="1"/>
    <x v="0"/>
    <s v="5980200"/>
    <n v="721410"/>
    <s v="Supplies-Medical - Nonbillable"/>
    <s v="Franciscan WH Des Moines SS"/>
    <x v="0"/>
    <m/>
    <n v="0"/>
    <n v="0"/>
    <n v="251.98"/>
    <n v="4.51"/>
    <n v="0"/>
    <n v="-256.49"/>
    <n v="0"/>
    <n v="0"/>
    <n v="256.45999999999998"/>
    <n v="682.51"/>
    <n v="3.87"/>
    <n v="0"/>
    <n v="942.84"/>
    <n v="3.87"/>
  </r>
  <r>
    <x v="11"/>
    <x v="1"/>
    <x v="0"/>
    <s v="5980200"/>
    <n v="721830"/>
    <s v="Supplies-Office"/>
    <s v="Franciscan WH Des Moines SS"/>
    <x v="0"/>
    <m/>
    <n v="178.26"/>
    <n v="60.21"/>
    <n v="302"/>
    <n v="236.24"/>
    <n v="234.34"/>
    <n v="-1011.05"/>
    <n v="346.3"/>
    <n v="0"/>
    <n v="0"/>
    <n v="0"/>
    <n v="0"/>
    <n v="0"/>
    <n v="346.30000000000013"/>
    <n v="0"/>
  </r>
  <r>
    <x v="11"/>
    <x v="1"/>
    <x v="0"/>
    <s v="5980200"/>
    <n v="721835"/>
    <s v="Supplies-Forms"/>
    <s v="Franciscan WH Des Moines SS"/>
    <x v="0"/>
    <m/>
    <n v="0"/>
    <n v="0"/>
    <n v="0"/>
    <n v="0"/>
    <n v="0.57999999999999996"/>
    <n v="-0.57999999999999996"/>
    <n v="0"/>
    <n v="0"/>
    <n v="0"/>
    <n v="0"/>
    <n v="0"/>
    <n v="0"/>
    <n v="0"/>
    <n v="0"/>
  </r>
  <r>
    <x v="11"/>
    <x v="1"/>
    <x v="0"/>
    <s v="5980200"/>
    <n v="722000"/>
    <s v="Supplies-Freight Expense"/>
    <s v="Franciscan WH Des Moines SS"/>
    <x v="0"/>
    <m/>
    <n v="0"/>
    <n v="0"/>
    <n v="0"/>
    <n v="17.239999999999998"/>
    <n v="0"/>
    <n v="-17.239999999999998"/>
    <n v="25"/>
    <n v="14"/>
    <n v="0"/>
    <n v="9.42"/>
    <n v="9.27"/>
    <n v="0"/>
    <n v="57.69"/>
    <n v="9.27"/>
  </r>
  <r>
    <x v="12"/>
    <x v="1"/>
    <x v="0"/>
    <s v="5980200"/>
    <n v="730010"/>
    <s v="Rental and Leases-Building (DO NOT USE)"/>
    <s v="Franciscan WH Des Moines SS"/>
    <x v="0"/>
    <m/>
    <n v="8877.6"/>
    <n v="8877.6"/>
    <n v="8877.6"/>
    <n v="8877.6"/>
    <n v="8877.6"/>
    <n v="-44388"/>
    <n v="7013.18"/>
    <n v="7013.18"/>
    <n v="7013.18"/>
    <n v="-2308.92"/>
    <n v="7013.18"/>
    <n v="7013.18"/>
    <n v="32756.980000000003"/>
    <n v="0"/>
  </r>
  <r>
    <x v="12"/>
    <x v="1"/>
    <x v="0"/>
    <s v="5980200"/>
    <n v="730010"/>
    <s v="Rental-Common Area Maint (DO NOT USE)"/>
    <s v="Franciscan WH Des Moines SS"/>
    <x v="0"/>
    <n v="2200"/>
    <n v="0"/>
    <n v="0"/>
    <n v="0"/>
    <n v="0"/>
    <n v="0"/>
    <n v="0"/>
    <n v="1864.42"/>
    <n v="1864.42"/>
    <n v="1864.42"/>
    <n v="10122.91"/>
    <n v="1864.42"/>
    <n v="1864.42"/>
    <n v="19445.010000000002"/>
    <n v="0"/>
  </r>
  <r>
    <x v="12"/>
    <x v="1"/>
    <x v="0"/>
    <s v="5980200"/>
    <n v="730020"/>
    <s v="Rental and Leases-Copier Usage Fees (DO NOT USE)"/>
    <s v="Franciscan WH Des Moines SS"/>
    <x v="0"/>
    <n v="5100"/>
    <n v="175.02"/>
    <n v="180.34"/>
    <n v="177.68"/>
    <n v="177.68"/>
    <n v="177.68"/>
    <n v="-888.4"/>
    <n v="0"/>
    <n v="0"/>
    <n v="0"/>
    <n v="0"/>
    <n v="0"/>
    <n v="0"/>
    <n v="1.1368683772161603E-13"/>
    <n v="0"/>
  </r>
  <r>
    <x v="15"/>
    <x v="1"/>
    <x v="0"/>
    <s v="5980200"/>
    <n v="731060"/>
    <s v="Telephone"/>
    <s v="Franciscan WH Des Moines SS"/>
    <x v="0"/>
    <m/>
    <n v="590.39"/>
    <n v="611.61"/>
    <n v="177.71"/>
    <n v="1024.55"/>
    <n v="604.98"/>
    <n v="-3009.24"/>
    <n v="1049.3699999999999"/>
    <n v="623.4"/>
    <n v="631.47"/>
    <n v="630.77"/>
    <n v="630.80999999999995"/>
    <n v="203.58"/>
    <n v="3769.4000000000005"/>
    <n v="427.2299999999999"/>
  </r>
  <r>
    <x v="16"/>
    <x v="1"/>
    <x v="0"/>
    <s v="5980200"/>
    <n v="732030"/>
    <s v="Repairs---Other"/>
    <s v="Franciscan WH Des Moines SS"/>
    <x v="0"/>
    <m/>
    <n v="20.83"/>
    <n v="0"/>
    <n v="0"/>
    <n v="27.74"/>
    <n v="0"/>
    <n v="-48.57"/>
    <n v="0"/>
    <n v="0"/>
    <n v="0"/>
    <n v="0"/>
    <n v="0"/>
    <n v="0"/>
    <n v="-7.1054273576010019E-15"/>
    <n v="0"/>
  </r>
  <r>
    <x v="13"/>
    <x v="1"/>
    <x v="0"/>
    <s v="5980200"/>
    <n v="735050"/>
    <s v="Amortization-Leasehold Improvements"/>
    <s v="Franciscan WH Des Moines SS"/>
    <x v="0"/>
    <m/>
    <n v="6155.73"/>
    <n v="6155.73"/>
    <n v="6155.73"/>
    <n v="6155.72"/>
    <n v="6155.73"/>
    <n v="-30778.639999999999"/>
    <n v="0"/>
    <n v="0"/>
    <n v="0"/>
    <n v="0"/>
    <n v="0"/>
    <n v="0"/>
    <n v="0"/>
    <n v="0"/>
  </r>
  <r>
    <x v="0"/>
    <x v="1"/>
    <x v="0"/>
    <s v="5980200"/>
    <n v="743030"/>
    <s v="Subscriptions--Institutional"/>
    <s v="Franciscan WH Des Moines SS"/>
    <x v="0"/>
    <m/>
    <n v="0"/>
    <n v="0"/>
    <n v="0"/>
    <n v="0"/>
    <n v="0"/>
    <n v="0"/>
    <n v="0"/>
    <n v="0"/>
    <n v="129.83000000000001"/>
    <n v="0"/>
    <n v="0"/>
    <n v="0"/>
    <n v="129.83000000000001"/>
    <n v="0"/>
  </r>
  <r>
    <x v="0"/>
    <x v="1"/>
    <x v="0"/>
    <s v="5980200"/>
    <n v="749510"/>
    <s v="Miscellaneous Expenses"/>
    <s v="Franciscan WH Des Moines SS"/>
    <x v="0"/>
    <m/>
    <n v="97.99"/>
    <n v="186.99"/>
    <n v="0"/>
    <n v="0"/>
    <n v="89"/>
    <n v="-373.98"/>
    <n v="0"/>
    <n v="0"/>
    <n v="150"/>
    <n v="0"/>
    <n v="150"/>
    <n v="0"/>
    <n v="300"/>
    <n v="150"/>
  </r>
  <r>
    <x v="0"/>
    <x v="1"/>
    <x v="0"/>
    <s v="5980200"/>
    <n v="749510"/>
    <s v="Licenses"/>
    <s v="Franciscan WH Des Moines SS"/>
    <x v="0"/>
    <n v="1002"/>
    <n v="0"/>
    <n v="0"/>
    <n v="265"/>
    <n v="0"/>
    <n v="0"/>
    <n v="-265"/>
    <n v="0"/>
    <n v="0"/>
    <n v="0"/>
    <n v="0"/>
    <n v="0"/>
    <n v="0"/>
    <n v="0"/>
    <n v="0"/>
  </r>
  <r>
    <x v="0"/>
    <x v="1"/>
    <x v="0"/>
    <s v="5980200"/>
    <n v="749550"/>
    <s v="Cash Over/Short"/>
    <s v="Franciscan WH Des Moines SS"/>
    <x v="0"/>
    <m/>
    <n v="-1"/>
    <n v="0"/>
    <n v="0"/>
    <n v="0"/>
    <n v="0"/>
    <n v="1"/>
    <n v="0"/>
    <n v="0"/>
    <n v="1"/>
    <n v="0"/>
    <n v="0"/>
    <n v="0"/>
    <n v="1"/>
    <n v="0"/>
  </r>
  <r>
    <x v="1"/>
    <x v="1"/>
    <x v="0"/>
    <s v="5981200"/>
    <n v="400040"/>
    <s v="Physician Svcs Rev--Medicare"/>
    <s v="Crit Care-Intensivist Highline"/>
    <x v="0"/>
    <n v="1100"/>
    <n v="-91143"/>
    <n v="-91727"/>
    <n v="-130713"/>
    <n v="-170635"/>
    <n v="-86590"/>
    <n v="-118916"/>
    <n v="-138377"/>
    <n v="-107533.5"/>
    <n v="-112577"/>
    <n v="-121512.5"/>
    <n v="-115526"/>
    <n v="-130845.5"/>
    <n v="-1416095.5"/>
    <n v="15319.5"/>
  </r>
  <r>
    <x v="1"/>
    <x v="1"/>
    <x v="0"/>
    <s v="5981200"/>
    <n v="400040"/>
    <s v="Physician Svcs Rev--Medicaid"/>
    <s v="Crit Care-Intensivist Highline"/>
    <x v="0"/>
    <n v="1200"/>
    <n v="-33219.5"/>
    <n v="-32560"/>
    <n v="-24907"/>
    <n v="-35727"/>
    <n v="-42578.5"/>
    <n v="-31087.5"/>
    <n v="-49239.5"/>
    <n v="-55730.5"/>
    <n v="-53455"/>
    <n v="-45835"/>
    <n v="-31991"/>
    <n v="-33485.5"/>
    <n v="-469816"/>
    <n v="1494.5"/>
  </r>
  <r>
    <x v="1"/>
    <x v="1"/>
    <x v="0"/>
    <s v="5981200"/>
    <n v="400040"/>
    <s v="Physician Svcs Rev--Comm Insurance"/>
    <s v="Crit Care-Intensivist Highline"/>
    <x v="0"/>
    <n v="1300"/>
    <n v="-379"/>
    <n v="-1086"/>
    <n v="-960"/>
    <n v="-2822"/>
    <n v="-4594"/>
    <n v="-4703"/>
    <n v="-1282"/>
    <n v="-19437"/>
    <n v="-295"/>
    <n v="-4462"/>
    <n v="-3009"/>
    <n v="-1325"/>
    <n v="-44354"/>
    <n v="-1684"/>
  </r>
  <r>
    <x v="1"/>
    <x v="1"/>
    <x v="0"/>
    <s v="5981200"/>
    <n v="400040"/>
    <s v="Physician Svcs Rev--BCBS Comm"/>
    <s v="Crit Care-Intensivist Highline"/>
    <x v="0"/>
    <n v="1301"/>
    <n v="-4401"/>
    <n v="-3179"/>
    <n v="-3084"/>
    <n v="-6220.5"/>
    <n v="-7859.5"/>
    <n v="-19536"/>
    <n v="-2473"/>
    <n v="-5069"/>
    <n v="-4831"/>
    <n v="-9789"/>
    <n v="-3345"/>
    <n v="-6030.5"/>
    <n v="-75817.5"/>
    <n v="2685.5"/>
  </r>
  <r>
    <x v="1"/>
    <x v="1"/>
    <x v="0"/>
    <s v="5981200"/>
    <n v="400040"/>
    <s v="Physician Svcs Rev--Managed Care"/>
    <s v="Crit Care-Intensivist Highline"/>
    <x v="0"/>
    <n v="1400"/>
    <n v="-21214"/>
    <n v="-23041"/>
    <n v="-22254"/>
    <n v="-41654.5"/>
    <n v="-26641"/>
    <n v="-25465"/>
    <n v="-27864.5"/>
    <n v="-17574.5"/>
    <n v="-55477"/>
    <n v="-29905"/>
    <n v="-22051.5"/>
    <n v="-25558.5"/>
    <n v="-338700.5"/>
    <n v="3507"/>
  </r>
  <r>
    <x v="1"/>
    <x v="1"/>
    <x v="0"/>
    <s v="5981200"/>
    <n v="400040"/>
    <s v="Physician Svcs Rev--Self Pay"/>
    <s v="Crit Care-Intensivist Highline"/>
    <x v="0"/>
    <n v="1500"/>
    <n v="-8284"/>
    <n v="1319"/>
    <n v="4035"/>
    <n v="-24304"/>
    <n v="-27345"/>
    <n v="-1426"/>
    <n v="11198"/>
    <n v="-18049"/>
    <n v="20172"/>
    <n v="-4313"/>
    <n v="-3509"/>
    <n v="-10488.5"/>
    <n v="-60994.5"/>
    <n v="6979.5"/>
  </r>
  <r>
    <x v="1"/>
    <x v="1"/>
    <x v="0"/>
    <s v="5981200"/>
    <n v="400040"/>
    <s v="Physician Svcs Rev--Other"/>
    <s v="Crit Care-Intensivist Highline"/>
    <x v="0"/>
    <n v="1700"/>
    <n v="1525"/>
    <n v="-907"/>
    <n v="610"/>
    <n v="-812"/>
    <n v="-4066"/>
    <n v="-1320"/>
    <n v="-3060"/>
    <n v="-56"/>
    <n v="-2132"/>
    <n v="-557"/>
    <n v="-1240"/>
    <n v="-671"/>
    <n v="-12686"/>
    <n v="-569"/>
  </r>
  <r>
    <x v="2"/>
    <x v="1"/>
    <x v="0"/>
    <s v="5981200"/>
    <n v="450029"/>
    <s v="Admin Adjust-MD Other-Self Pay"/>
    <s v="Crit Care-Intensivist Highline"/>
    <x v="0"/>
    <n v="1600"/>
    <n v="0"/>
    <n v="2.3199999999999998"/>
    <n v="0"/>
    <n v="0"/>
    <n v="0"/>
    <n v="0"/>
    <n v="0"/>
    <n v="0"/>
    <n v="0"/>
    <n v="0"/>
    <n v="0"/>
    <n v="0"/>
    <n v="2.3199999999999998"/>
    <n v="0"/>
  </r>
  <r>
    <x v="2"/>
    <x v="1"/>
    <x v="0"/>
    <s v="5981200"/>
    <n v="450040"/>
    <s v="Contr Allow--Phys Svcs--Mcare"/>
    <s v="Crit Care-Intensivist Highline"/>
    <x v="0"/>
    <n v="1100"/>
    <n v="43834.06"/>
    <n v="46620.25"/>
    <n v="54560.24"/>
    <n v="86668.41"/>
    <n v="60611.06"/>
    <n v="56223.54"/>
    <n v="77918.759999999995"/>
    <n v="60471.01"/>
    <n v="55720.959999999999"/>
    <n v="68265.3"/>
    <n v="62647.28"/>
    <n v="99391.83"/>
    <n v="772932.70000000007"/>
    <n v="-36744.550000000003"/>
  </r>
  <r>
    <x v="2"/>
    <x v="1"/>
    <x v="0"/>
    <s v="5981200"/>
    <n v="450040"/>
    <s v="Contr Allow--Phys Svcs--Mcaid"/>
    <s v="Crit Care-Intensivist Highline"/>
    <x v="0"/>
    <n v="1200"/>
    <n v="33145.730000000003"/>
    <n v="22093.79"/>
    <n v="25961.22"/>
    <n v="35993.120000000003"/>
    <n v="21433.22"/>
    <n v="39478.550000000003"/>
    <n v="25284.560000000001"/>
    <n v="42479.45"/>
    <n v="42947.32"/>
    <n v="45179.07"/>
    <n v="16826.21"/>
    <n v="28935.45"/>
    <n v="379757.69000000006"/>
    <n v="-12109.240000000002"/>
  </r>
  <r>
    <x v="2"/>
    <x v="1"/>
    <x v="0"/>
    <s v="5981200"/>
    <n v="450040"/>
    <s v="Contr Allow--Phys Svcs--Comm Insurance"/>
    <s v="Crit Care-Intensivist Highline"/>
    <x v="0"/>
    <n v="1300"/>
    <n v="353.75"/>
    <n v="943.67"/>
    <n v="105.97"/>
    <n v="543.5"/>
    <n v="464.06"/>
    <n v="1439.12"/>
    <n v="704.14"/>
    <n v="489.23"/>
    <n v="486.59"/>
    <n v="3931"/>
    <n v="2297.85"/>
    <n v="9276.4500000000007"/>
    <n v="21035.33"/>
    <n v="-6978.6"/>
  </r>
  <r>
    <x v="2"/>
    <x v="1"/>
    <x v="0"/>
    <s v="5981200"/>
    <n v="450040"/>
    <s v="Contr Allow--Phys Svcs--BCBS Comm Ins"/>
    <s v="Crit Care-Intensivist Highline"/>
    <x v="0"/>
    <n v="1301"/>
    <n v="1489.93"/>
    <n v="1740.38"/>
    <n v="940.65"/>
    <n v="1096.45"/>
    <n v="2001.36"/>
    <n v="3432.65"/>
    <n v="2831.85"/>
    <n v="541.69000000000005"/>
    <n v="1376"/>
    <n v="1790.91"/>
    <n v="2225.58"/>
    <n v="1116.1600000000001"/>
    <n v="20583.610000000004"/>
    <n v="1109.4199999999998"/>
  </r>
  <r>
    <x v="2"/>
    <x v="1"/>
    <x v="0"/>
    <s v="5981200"/>
    <n v="450040"/>
    <s v="Contr Allow--Phys Svcs--Managed Care"/>
    <s v="Crit Care-Intensivist Highline"/>
    <x v="0"/>
    <n v="1400"/>
    <n v="3907.35"/>
    <n v="7830.19"/>
    <n v="8277.49"/>
    <n v="7498.8"/>
    <n v="11080.81"/>
    <n v="11248.75"/>
    <n v="9051.1"/>
    <n v="7297.23"/>
    <n v="11440.21"/>
    <n v="15581.42"/>
    <n v="8660.23"/>
    <n v="6833.38"/>
    <n v="108706.95999999999"/>
    <n v="1826.8499999999995"/>
  </r>
  <r>
    <x v="2"/>
    <x v="1"/>
    <x v="0"/>
    <s v="5981200"/>
    <n v="450040"/>
    <s v="Contr Allow--Phys Svcs--BCBS Mgnd Care"/>
    <s v="Crit Care-Intensivist Highline"/>
    <x v="0"/>
    <n v="1401"/>
    <n v="530.05999999999995"/>
    <n v="5721.53"/>
    <n v="11336.9"/>
    <n v="29926.79"/>
    <n v="7606.73"/>
    <n v="-7981.73"/>
    <n v="20528.849999999999"/>
    <n v="24263.47"/>
    <n v="14203.33"/>
    <n v="-7164.58"/>
    <n v="10110.56"/>
    <n v="-164621.37"/>
    <n v="-55539.459999999992"/>
    <n v="174731.93"/>
  </r>
  <r>
    <x v="2"/>
    <x v="1"/>
    <x v="0"/>
    <s v="5981200"/>
    <n v="450040"/>
    <s v="Prompt Pay Disc-Phys Svcs-Self Pay"/>
    <s v="Crit Care-Intensivist Highline"/>
    <x v="0"/>
    <n v="1500"/>
    <n v="-896.4"/>
    <n v="0"/>
    <n v="0"/>
    <n v="0"/>
    <n v="891.24"/>
    <n v="0"/>
    <n v="567.84"/>
    <n v="0"/>
    <n v="1006.24"/>
    <n v="1319.11"/>
    <n v="0"/>
    <n v="347.95"/>
    <n v="3235.9799999999996"/>
    <n v="-347.95"/>
  </r>
  <r>
    <x v="2"/>
    <x v="1"/>
    <x v="0"/>
    <s v="5981200"/>
    <n v="450040"/>
    <s v="Admin Adjust-Phys Svcs-Self Pay"/>
    <s v="Crit Care-Intensivist Highline"/>
    <x v="0"/>
    <n v="1600"/>
    <n v="1905.85"/>
    <n v="-463.74"/>
    <n v="529.73"/>
    <n v="9172.32"/>
    <n v="9877.2199999999993"/>
    <n v="2604.7199999999998"/>
    <n v="-4865.82"/>
    <n v="6695.24"/>
    <n v="-7776.26"/>
    <n v="939.67"/>
    <n v="1451.62"/>
    <n v="270055.5"/>
    <n v="290126.05"/>
    <n v="-268603.88"/>
  </r>
  <r>
    <x v="2"/>
    <x v="1"/>
    <x v="0"/>
    <s v="5981200"/>
    <n v="450040"/>
    <s v="Contr Allow--Phys Svcs--Other"/>
    <s v="Crit Care-Intensivist Highline"/>
    <x v="0"/>
    <n v="1700"/>
    <n v="1949.29"/>
    <n v="576.53"/>
    <n v="6188.73"/>
    <n v="622.42999999999995"/>
    <n v="376.31"/>
    <n v="0"/>
    <n v="232.33"/>
    <n v="1932.3"/>
    <n v="386.46"/>
    <n v="891.24"/>
    <n v="374.95"/>
    <n v="0"/>
    <n v="13530.569999999998"/>
    <n v="374.95"/>
  </r>
  <r>
    <x v="3"/>
    <x v="1"/>
    <x v="0"/>
    <s v="5981200"/>
    <n v="470040"/>
    <s v="Charity Care-Physician Svcs"/>
    <s v="Crit Care-Intensivist Highline"/>
    <x v="0"/>
    <m/>
    <n v="-401.09"/>
    <n v="3306.91"/>
    <n v="-75.599999999999994"/>
    <n v="2179.17"/>
    <n v="7087.5"/>
    <n v="-910.18"/>
    <n v="1485.2"/>
    <n v="179.19"/>
    <n v="4801.01"/>
    <n v="-1918.79"/>
    <n v="-154.44"/>
    <n v="-675.76"/>
    <n v="14903.119999999999"/>
    <n v="521.31999999999994"/>
  </r>
  <r>
    <x v="4"/>
    <x v="1"/>
    <x v="0"/>
    <s v="5981200"/>
    <n v="490010"/>
    <s v="Provision for Bad Debts"/>
    <s v="Crit Care-Intensivist Highline"/>
    <x v="0"/>
    <m/>
    <n v="18450.580000000002"/>
    <n v="5161.96"/>
    <n v="3761.61"/>
    <n v="-634.95000000000005"/>
    <n v="4365.93"/>
    <n v="30012.76"/>
    <n v="-7642.86"/>
    <n v="3939.38"/>
    <n v="4987.9799999999996"/>
    <n v="5968.26"/>
    <n v="3515.79"/>
    <n v="-14231.39"/>
    <n v="57655.049999999988"/>
    <n v="17747.18"/>
  </r>
  <r>
    <x v="5"/>
    <x v="1"/>
    <x v="0"/>
    <s v="5981200"/>
    <n v="700014"/>
    <s v="Salaries-Management-Productive"/>
    <s v="Crit Care-Intensivist Highline"/>
    <x v="0"/>
    <m/>
    <n v="0"/>
    <n v="0"/>
    <n v="0"/>
    <n v="0"/>
    <n v="0"/>
    <n v="1218.19"/>
    <n v="1398.57"/>
    <n v="476.09"/>
    <n v="1368.79"/>
    <n v="1309.25"/>
    <n v="1368.79"/>
    <n v="892.68"/>
    <n v="8032.3600000000006"/>
    <n v="476.11"/>
  </r>
  <r>
    <x v="5"/>
    <x v="1"/>
    <x v="0"/>
    <s v="5981200"/>
    <n v="700022"/>
    <s v="Salaries-Physician-Productive"/>
    <s v="Crit Care-Intensivist Highline"/>
    <x v="0"/>
    <m/>
    <n v="101476.58"/>
    <n v="106089.16"/>
    <n v="92251.44"/>
    <n v="106089.15"/>
    <n v="101476.59"/>
    <n v="96864.01"/>
    <n v="106251.53"/>
    <n v="92386.76"/>
    <n v="97006.1"/>
    <n v="101534.49"/>
    <n v="106075.77"/>
    <n v="92251.44"/>
    <n v="1199753.0199999998"/>
    <n v="13824.330000000002"/>
  </r>
  <r>
    <x v="5"/>
    <x v="1"/>
    <x v="0"/>
    <s v="5981200"/>
    <n v="700022"/>
    <s v="Salaries-Physician-Provider Incentive"/>
    <s v="Crit Care-Intensivist Highline"/>
    <x v="0"/>
    <n v="4003"/>
    <n v="13863.32"/>
    <n v="500"/>
    <n v="0"/>
    <n v="0"/>
    <n v="10069.4"/>
    <n v="0"/>
    <n v="14634.74"/>
    <n v="-8.56"/>
    <n v="0"/>
    <n v="0"/>
    <n v="10226.24"/>
    <n v="0"/>
    <n v="49285.14"/>
    <n v="10226.24"/>
  </r>
  <r>
    <x v="5"/>
    <x v="1"/>
    <x v="0"/>
    <s v="5981200"/>
    <n v="700026"/>
    <s v="Salaries-RN-Productive"/>
    <s v="Crit Care-Intensivist Highline"/>
    <x v="0"/>
    <m/>
    <n v="6227.45"/>
    <n v="7715.71"/>
    <n v="4770.8599999999997"/>
    <n v="7341.6"/>
    <n v="7684.26"/>
    <n v="5113.4799999999996"/>
    <n v="7047.35"/>
    <n v="5672.21"/>
    <n v="7299.93"/>
    <n v="7609.06"/>
    <n v="7673.92"/>
    <n v="6329.46"/>
    <n v="80485.290000000008"/>
    <n v="1344.46"/>
  </r>
  <r>
    <x v="5"/>
    <x v="1"/>
    <x v="0"/>
    <s v="5981200"/>
    <n v="700026"/>
    <s v="Salaries-RN-OT"/>
    <s v="Crit Care-Intensivist Highline"/>
    <x v="0"/>
    <n v="1000"/>
    <n v="98.17"/>
    <n v="163.09"/>
    <n v="142.51"/>
    <n v="-55.42"/>
    <n v="275.20999999999998"/>
    <n v="-113.32"/>
    <n v="0"/>
    <n v="0"/>
    <n v="0"/>
    <n v="137.81"/>
    <n v="218.88"/>
    <n v="-129.69999999999999"/>
    <n v="737.23"/>
    <n v="348.58"/>
  </r>
  <r>
    <x v="5"/>
    <x v="1"/>
    <x v="0"/>
    <s v="5981200"/>
    <n v="700038"/>
    <s v="Salaries-Service/Support-Productive"/>
    <s v="Crit Care-Intensivist Highline"/>
    <x v="0"/>
    <m/>
    <n v="2281.44"/>
    <n v="3108.96"/>
    <n v="2620.11"/>
    <n v="3765.99"/>
    <n v="3814.99"/>
    <n v="2865.61"/>
    <n v="3119.22"/>
    <n v="2187.42"/>
    <n v="3377.17"/>
    <n v="3725.44"/>
    <n v="1872.08"/>
    <n v="-177.91"/>
    <n v="32560.519999999993"/>
    <n v="2049.9899999999998"/>
  </r>
  <r>
    <x v="5"/>
    <x v="1"/>
    <x v="0"/>
    <s v="5981200"/>
    <n v="700038"/>
    <s v="Salaries-Service/Support-OT"/>
    <s v="Crit Care-Intensivist Highline"/>
    <x v="0"/>
    <n v="1000"/>
    <n v="39.72"/>
    <n v="55.78"/>
    <n v="0"/>
    <n v="117.05"/>
    <n v="78.489999999999995"/>
    <n v="219.56"/>
    <n v="91.8"/>
    <n v="-6.22"/>
    <n v="62.3"/>
    <n v="182.37"/>
    <n v="-65.47"/>
    <n v="0"/>
    <n v="775.37999999999988"/>
    <n v="-65.47"/>
  </r>
  <r>
    <x v="5"/>
    <x v="1"/>
    <x v="0"/>
    <s v="5981200"/>
    <n v="700038"/>
    <s v="Salaries-Service/Support-Other"/>
    <s v="Crit Care-Intensivist Highline"/>
    <x v="0"/>
    <n v="2000"/>
    <n v="0"/>
    <n v="0"/>
    <n v="0"/>
    <n v="0"/>
    <n v="48"/>
    <n v="17.5"/>
    <n v="62.03"/>
    <n v="-3.2"/>
    <n v="0"/>
    <n v="5.96"/>
    <n v="0.8"/>
    <n v="8.51"/>
    <n v="139.6"/>
    <n v="-7.71"/>
  </r>
  <r>
    <x v="5"/>
    <x v="1"/>
    <x v="0"/>
    <s v="5981200"/>
    <n v="700054"/>
    <s v="Salaries-Management-Non-productive"/>
    <s v="Crit Care-Intensivist Highline"/>
    <x v="0"/>
    <m/>
    <n v="572.79999999999995"/>
    <n v="0"/>
    <n v="859.2"/>
    <n v="1145.5999999999999"/>
    <n v="594.24"/>
    <n v="2852.35"/>
    <n v="119.25"/>
    <n v="2975.5"/>
    <n v="-595.1"/>
    <n v="297.52"/>
    <n v="1190.1600000000001"/>
    <n v="1487.72"/>
    <n v="11499.24"/>
    <n v="-297.55999999999995"/>
  </r>
  <r>
    <x v="5"/>
    <x v="1"/>
    <x v="0"/>
    <s v="5981200"/>
    <n v="700062"/>
    <s v="Salaries-Physician-Non-productive"/>
    <s v="Crit Care-Intensivist Highline"/>
    <x v="0"/>
    <m/>
    <n v="6667"/>
    <n v="-3334"/>
    <n v="0"/>
    <n v="3334"/>
    <n v="0"/>
    <n v="0"/>
    <n v="-6667"/>
    <n v="0"/>
    <n v="0"/>
    <n v="0"/>
    <n v="-20000"/>
    <n v="0"/>
    <n v="-20000"/>
    <n v="-20000"/>
  </r>
  <r>
    <x v="5"/>
    <x v="1"/>
    <x v="0"/>
    <s v="5981200"/>
    <n v="700066"/>
    <s v="Salaries-RN-Non-productive"/>
    <s v="Crit Care-Intensivist Highline"/>
    <x v="0"/>
    <m/>
    <n v="1161.05"/>
    <n v="-68.599999999999994"/>
    <n v="2010.73"/>
    <n v="482.62"/>
    <n v="-69.069999999999993"/>
    <n v="2139.0700000000002"/>
    <n v="908.09"/>
    <n v="1245.1400000000001"/>
    <n v="-36.75"/>
    <n v="0"/>
    <n v="281"/>
    <n v="853.87"/>
    <n v="8907.1500000000015"/>
    <n v="-572.87"/>
  </r>
  <r>
    <x v="5"/>
    <x v="1"/>
    <x v="0"/>
    <s v="5981200"/>
    <n v="700066"/>
    <s v="Salaries-RN-NonProd-Other"/>
    <s v="Crit Care-Intensivist Highline"/>
    <x v="0"/>
    <n v="2000"/>
    <n v="42.22"/>
    <n v="105.55"/>
    <n v="-21.11"/>
    <n v="81.08"/>
    <n v="-17.27"/>
    <n v="0"/>
    <n v="0"/>
    <n v="0"/>
    <n v="0"/>
    <n v="0"/>
    <n v="0"/>
    <n v="0"/>
    <n v="190.46999999999997"/>
    <n v="0"/>
  </r>
  <r>
    <x v="5"/>
    <x v="1"/>
    <x v="0"/>
    <s v="5981200"/>
    <n v="700078"/>
    <s v="Salaries-Service/Support-Non-productive"/>
    <s v="Crit Care-Intensivist Highline"/>
    <x v="0"/>
    <m/>
    <n v="1303.67"/>
    <n v="639.12"/>
    <n v="639.12"/>
    <n v="15.28"/>
    <n v="741.1"/>
    <n v="705.34"/>
    <n v="834.08"/>
    <n v="741.17"/>
    <n v="129.25"/>
    <n v="-87.21"/>
    <n v="1989.38"/>
    <n v="-607.24"/>
    <n v="7043.06"/>
    <n v="2596.62"/>
  </r>
  <r>
    <x v="5"/>
    <x v="1"/>
    <x v="0"/>
    <s v="5981200"/>
    <n v="700078"/>
    <s v="Salaries-Service/Support-NonProd-Other"/>
    <s v="Crit Care-Intensivist Highline"/>
    <x v="0"/>
    <n v="2000"/>
    <n v="0"/>
    <n v="0"/>
    <n v="0"/>
    <n v="18.66"/>
    <n v="-8.2899999999999991"/>
    <n v="0"/>
    <n v="0"/>
    <n v="0"/>
    <n v="0"/>
    <n v="0"/>
    <n v="0"/>
    <n v="0"/>
    <n v="10.370000000000001"/>
    <n v="0"/>
  </r>
  <r>
    <x v="5"/>
    <x v="1"/>
    <x v="0"/>
    <s v="5981200"/>
    <n v="700084"/>
    <s v="Accrued PTO"/>
    <s v="Crit Care-Intensivist Highline"/>
    <x v="0"/>
    <m/>
    <n v="-409.42"/>
    <n v="1323.74"/>
    <n v="-1570.28"/>
    <n v="-84.46"/>
    <n v="542.96"/>
    <n v="-2604.85"/>
    <n v="263.83999999999997"/>
    <n v="-2091.87"/>
    <n v="1317.71"/>
    <n v="1380.66"/>
    <n v="442.63"/>
    <n v="-1522.58"/>
    <n v="-3011.92"/>
    <n v="1965.21"/>
  </r>
  <r>
    <x v="6"/>
    <x v="1"/>
    <x v="0"/>
    <s v="5981200"/>
    <n v="713010"/>
    <s v="Benefits-FICA/Medicare"/>
    <s v="Crit Care-Intensivist Highline"/>
    <x v="0"/>
    <m/>
    <n v="2590.4499999999998"/>
    <n v="2381.91"/>
    <n v="2164.11"/>
    <n v="2538.6"/>
    <n v="2577.7399999999998"/>
    <n v="5606.22"/>
    <n v="10620.65"/>
    <n v="7553.77"/>
    <n v="8221.82"/>
    <n v="5530.93"/>
    <n v="1980.77"/>
    <n v="1972.19"/>
    <n v="53739.159999999996"/>
    <n v="8.5799999999999272"/>
  </r>
  <r>
    <x v="6"/>
    <x v="1"/>
    <x v="0"/>
    <s v="5981200"/>
    <n v="713090"/>
    <s v="Benefits-Allocated Amounts"/>
    <s v="Crit Care-Intensivist Highline"/>
    <x v="0"/>
    <m/>
    <n v="0"/>
    <n v="0"/>
    <n v="0"/>
    <n v="0"/>
    <n v="0"/>
    <n v="0"/>
    <n v="0"/>
    <n v="0"/>
    <n v="37963.129999999997"/>
    <n v="4422.1099999999997"/>
    <n v="4257.6099999999997"/>
    <n v="3880.65"/>
    <n v="50523.5"/>
    <n v="376.95999999999958"/>
  </r>
  <r>
    <x v="6"/>
    <x v="1"/>
    <x v="0"/>
    <s v="5981200"/>
    <n v="713092"/>
    <s v="Allocated Benefits-Physician"/>
    <s v="Crit Care-Intensivist Highline"/>
    <x v="0"/>
    <m/>
    <n v="10044.73"/>
    <n v="8266.66"/>
    <n v="8315.51"/>
    <n v="9028.23"/>
    <n v="9274.15"/>
    <n v="9853.5"/>
    <n v="11686.86"/>
    <n v="10494.35"/>
    <n v="-26422.09"/>
    <n v="5887.35"/>
    <n v="5668.33"/>
    <n v="5166.47"/>
    <n v="67264.050000000017"/>
    <n v="501.85999999999967"/>
  </r>
  <r>
    <x v="6"/>
    <x v="1"/>
    <x v="0"/>
    <s v="5981200"/>
    <n v="713096"/>
    <s v="Employee Recognition"/>
    <s v="Crit Care-Intensivist Highline"/>
    <x v="0"/>
    <n v="1017"/>
    <n v="0"/>
    <n v="0"/>
    <n v="34"/>
    <n v="0"/>
    <n v="0"/>
    <n v="0"/>
    <n v="0"/>
    <n v="0"/>
    <n v="0"/>
    <n v="0"/>
    <n v="0"/>
    <n v="0"/>
    <n v="34"/>
    <n v="0"/>
  </r>
  <r>
    <x v="7"/>
    <x v="1"/>
    <x v="0"/>
    <s v="5981200"/>
    <n v="718040"/>
    <s v="Contract Svcs-Laboratory"/>
    <s v="Crit Care-Intensivist Highline"/>
    <x v="0"/>
    <m/>
    <n v="0"/>
    <n v="0"/>
    <n v="0"/>
    <n v="0"/>
    <n v="0"/>
    <n v="0"/>
    <n v="0"/>
    <n v="0"/>
    <n v="0"/>
    <n v="0"/>
    <n v="63"/>
    <n v="0"/>
    <n v="63"/>
    <n v="63"/>
  </r>
  <r>
    <x v="7"/>
    <x v="1"/>
    <x v="0"/>
    <s v="5981200"/>
    <n v="718050"/>
    <s v="Contract Svcs-Other"/>
    <s v="Crit Care-Intensivist Highline"/>
    <x v="0"/>
    <m/>
    <n v="192.5"/>
    <n v="71.28"/>
    <n v="0"/>
    <n v="0"/>
    <n v="0"/>
    <n v="0"/>
    <n v="0"/>
    <n v="0"/>
    <n v="0"/>
    <n v="0"/>
    <n v="0"/>
    <n v="46.22"/>
    <n v="310"/>
    <n v="-46.22"/>
  </r>
  <r>
    <x v="7"/>
    <x v="1"/>
    <x v="0"/>
    <s v="5981200"/>
    <n v="718050"/>
    <s v="Document Shredding/Storage"/>
    <s v="Crit Care-Intensivist Highline"/>
    <x v="0"/>
    <n v="1012"/>
    <n v="0"/>
    <n v="25"/>
    <n v="125"/>
    <n v="0"/>
    <n v="0"/>
    <n v="0"/>
    <n v="0"/>
    <n v="0"/>
    <n v="0"/>
    <n v="0"/>
    <n v="0"/>
    <n v="0"/>
    <n v="150"/>
    <n v="0"/>
  </r>
  <r>
    <x v="7"/>
    <x v="1"/>
    <x v="0"/>
    <s v="5981200"/>
    <n v="718050"/>
    <s v="Physician Answering"/>
    <s v="Crit Care-Intensivist Highline"/>
    <x v="0"/>
    <n v="1015"/>
    <n v="0"/>
    <n v="0"/>
    <n v="0"/>
    <n v="0"/>
    <n v="0"/>
    <n v="0"/>
    <n v="0"/>
    <n v="403"/>
    <n v="0"/>
    <n v="0"/>
    <n v="0"/>
    <n v="0"/>
    <n v="403"/>
    <n v="0"/>
  </r>
  <r>
    <x v="7"/>
    <x v="1"/>
    <x v="0"/>
    <s v="5981200"/>
    <n v="718050"/>
    <s v="Miscellaneous Purchased Svcs"/>
    <s v="Crit Care-Intensivist Highline"/>
    <x v="0"/>
    <n v="1020"/>
    <n v="0"/>
    <n v="0"/>
    <n v="0"/>
    <n v="65.89"/>
    <n v="65.89"/>
    <n v="0"/>
    <n v="65.900000000000006"/>
    <n v="65.900000000000006"/>
    <n v="65.900000000000006"/>
    <n v="0"/>
    <n v="65.900000000000006"/>
    <n v="65.900000000000006"/>
    <n v="461.28"/>
    <n v="0"/>
  </r>
  <r>
    <x v="7"/>
    <x v="1"/>
    <x v="0"/>
    <s v="5981200"/>
    <n v="718050"/>
    <s v="Translation Services"/>
    <s v="Crit Care-Intensivist Highline"/>
    <x v="0"/>
    <n v="1025"/>
    <n v="51.21"/>
    <n v="250"/>
    <n v="7.29"/>
    <n v="46.4"/>
    <n v="45.43"/>
    <n v="28.15"/>
    <n v="92.86"/>
    <n v="14.22"/>
    <n v="0"/>
    <n v="0"/>
    <n v="0"/>
    <n v="79.290000000000006"/>
    <n v="614.84999999999991"/>
    <n v="-79.290000000000006"/>
  </r>
  <r>
    <x v="7"/>
    <x v="1"/>
    <x v="0"/>
    <s v="5981200"/>
    <n v="718050"/>
    <s v="Contract Management--Linen"/>
    <s v="Crit Care-Intensivist Highline"/>
    <x v="0"/>
    <n v="1026"/>
    <n v="39.5"/>
    <n v="371.26"/>
    <n v="98.5"/>
    <n v="168.84"/>
    <n v="0"/>
    <n v="316"/>
    <n v="351.1"/>
    <n v="79"/>
    <n v="158"/>
    <n v="118.5"/>
    <n v="39.5"/>
    <n v="237"/>
    <n v="1977.2"/>
    <n v="-197.5"/>
  </r>
  <r>
    <x v="7"/>
    <x v="1"/>
    <x v="0"/>
    <s v="5981200"/>
    <n v="718050"/>
    <s v="Purchased Srvcs--Medical Waste"/>
    <s v="Crit Care-Intensivist Highline"/>
    <x v="0"/>
    <n v="1027"/>
    <n v="62.93"/>
    <n v="0"/>
    <n v="11.49"/>
    <n v="20.72"/>
    <n v="20.72"/>
    <n v="21.49"/>
    <n v="20.72"/>
    <n v="31.08"/>
    <n v="20.72"/>
    <n v="0"/>
    <n v="10.36"/>
    <n v="10.36"/>
    <n v="230.58999999999997"/>
    <n v="0"/>
  </r>
  <r>
    <x v="11"/>
    <x v="1"/>
    <x v="0"/>
    <s v="5981200"/>
    <n v="721250"/>
    <s v="Supplies-Pharmacy Drugs - Billable"/>
    <s v="Crit Care-Intensivist Highline"/>
    <x v="0"/>
    <m/>
    <n v="0"/>
    <n v="0"/>
    <n v="155.07"/>
    <n v="5881.08"/>
    <n v="759.73"/>
    <n v="3901.39"/>
    <n v="886.66"/>
    <n v="0"/>
    <n v="1880.6"/>
    <n v="0"/>
    <n v="-5730.53"/>
    <n v="70.62"/>
    <n v="7804.619999999999"/>
    <n v="-5801.15"/>
  </r>
  <r>
    <x v="11"/>
    <x v="1"/>
    <x v="0"/>
    <s v="5981200"/>
    <n v="721410"/>
    <s v="Supplies-Medical - Nonbillable"/>
    <s v="Crit Care-Intensivist Highline"/>
    <x v="0"/>
    <m/>
    <n v="276.19"/>
    <n v="564.64"/>
    <n v="0"/>
    <n v="656.81"/>
    <n v="415.8"/>
    <n v="122.93"/>
    <n v="72.64"/>
    <n v="1243.24"/>
    <n v="0"/>
    <n v="202.93"/>
    <n v="2331.09"/>
    <n v="0"/>
    <n v="5886.27"/>
    <n v="2331.09"/>
  </r>
  <r>
    <x v="11"/>
    <x v="1"/>
    <x v="0"/>
    <s v="5981200"/>
    <n v="721810"/>
    <s v="Supplies-Dietary/Cafeteria"/>
    <s v="Crit Care-Intensivist Highline"/>
    <x v="0"/>
    <m/>
    <n v="0"/>
    <n v="26.46"/>
    <n v="0"/>
    <n v="0"/>
    <n v="33.71"/>
    <n v="36.020000000000003"/>
    <n v="0"/>
    <n v="52.69"/>
    <n v="36.86"/>
    <n v="20.72"/>
    <n v="30.44"/>
    <n v="0"/>
    <n v="236.9"/>
    <n v="30.44"/>
  </r>
  <r>
    <x v="11"/>
    <x v="1"/>
    <x v="0"/>
    <s v="5981200"/>
    <n v="721830"/>
    <s v="Supplies-Office"/>
    <s v="Crit Care-Intensivist Highline"/>
    <x v="0"/>
    <m/>
    <n v="211.12"/>
    <n v="100.01"/>
    <n v="0"/>
    <n v="44.75"/>
    <n v="89.49"/>
    <n v="169.57"/>
    <n v="11.36"/>
    <n v="0"/>
    <n v="45.61"/>
    <n v="0"/>
    <n v="0"/>
    <n v="0"/>
    <n v="671.91000000000008"/>
    <n v="0"/>
  </r>
  <r>
    <x v="11"/>
    <x v="1"/>
    <x v="0"/>
    <s v="5981200"/>
    <n v="721835"/>
    <s v="Supplies-Forms"/>
    <s v="Crit Care-Intensivist Highline"/>
    <x v="0"/>
    <m/>
    <n v="0"/>
    <n v="0"/>
    <n v="0"/>
    <n v="0"/>
    <n v="0.06"/>
    <n v="0"/>
    <n v="0"/>
    <n v="0"/>
    <n v="0"/>
    <n v="189.4"/>
    <n v="181.08"/>
    <n v="0"/>
    <n v="370.54"/>
    <n v="181.08"/>
  </r>
  <r>
    <x v="11"/>
    <x v="1"/>
    <x v="0"/>
    <s v="5981200"/>
    <n v="721880"/>
    <s v="Supplies-Linen"/>
    <s v="Crit Care-Intensivist Highline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5981200"/>
    <n v="730010"/>
    <s v="Rental and Leases-Building (DO NOT USE)"/>
    <s v="Crit Care-Intensivist Highline"/>
    <x v="0"/>
    <m/>
    <n v="7815.82"/>
    <n v="7967.95"/>
    <n v="7967.95"/>
    <n v="7967.95"/>
    <n v="7967.95"/>
    <n v="-9000.1299999999992"/>
    <n v="5223.2700000000004"/>
    <n v="5223.2700000000004"/>
    <n v="5223.2700000000004"/>
    <n v="5223.2700000000004"/>
    <n v="5223.2700000000004"/>
    <n v="0"/>
    <n v="56803.840000000026"/>
    <n v="5223.2700000000004"/>
  </r>
  <r>
    <x v="12"/>
    <x v="1"/>
    <x v="0"/>
    <s v="5981200"/>
    <n v="730010"/>
    <s v="Rental-Common Area Maint (DO NOT USE)"/>
    <s v="Crit Care-Intensivist Highline"/>
    <x v="0"/>
    <n v="2200"/>
    <n v="0"/>
    <n v="0"/>
    <n v="0"/>
    <n v="0"/>
    <n v="0"/>
    <n v="16968.080000000002"/>
    <n v="2744.68"/>
    <n v="2744.68"/>
    <n v="2744.68"/>
    <n v="2744.68"/>
    <n v="2744.68"/>
    <n v="0"/>
    <n v="30691.480000000003"/>
    <n v="2744.68"/>
  </r>
  <r>
    <x v="12"/>
    <x v="1"/>
    <x v="0"/>
    <s v="5981200"/>
    <n v="730020"/>
    <s v="Rental and Leases-Equipment (DO NOT USE)"/>
    <s v="Crit Care-Intensivist Highline"/>
    <x v="0"/>
    <m/>
    <n v="100"/>
    <n v="100"/>
    <n v="100"/>
    <n v="100"/>
    <n v="147.52000000000001"/>
    <n v="187.02"/>
    <n v="123.76"/>
    <n v="123.76"/>
    <n v="123.76"/>
    <n v="123.76"/>
    <n v="100"/>
    <n v="23.76"/>
    <n v="1353.34"/>
    <n v="76.239999999999995"/>
  </r>
  <r>
    <x v="12"/>
    <x v="1"/>
    <x v="0"/>
    <s v="5981200"/>
    <n v="730020"/>
    <s v="Rental and Leases-Copier Usage Fees (DO NOT USE)"/>
    <s v="Crit Care-Intensivist Highline"/>
    <x v="0"/>
    <n v="5100"/>
    <n v="114.34"/>
    <n v="114.67"/>
    <n v="114.5"/>
    <n v="114.5"/>
    <n v="114.5"/>
    <n v="114.5"/>
    <n v="58.37"/>
    <n v="86.92"/>
    <n v="87.04"/>
    <n v="124.38"/>
    <n v="86.91"/>
    <n v="91.96"/>
    <n v="1222.5899999999999"/>
    <n v="-5.0499999999999972"/>
  </r>
  <r>
    <x v="12"/>
    <x v="1"/>
    <x v="0"/>
    <s v="5981200"/>
    <n v="730040"/>
    <s v="LT Lease-Real Estate"/>
    <s v="Crit Care-Intensivist Highline"/>
    <x v="0"/>
    <m/>
    <n v="0"/>
    <n v="0"/>
    <n v="0"/>
    <n v="0"/>
    <n v="0"/>
    <n v="0"/>
    <n v="0"/>
    <n v="0"/>
    <n v="0"/>
    <n v="0"/>
    <n v="0"/>
    <n v="7967.95"/>
    <n v="7967.95"/>
    <n v="-7967.95"/>
  </r>
  <r>
    <x v="15"/>
    <x v="1"/>
    <x v="0"/>
    <s v="5981200"/>
    <n v="731060"/>
    <s v="Telephone"/>
    <s v="Crit Care-Intensivist Highline"/>
    <x v="0"/>
    <m/>
    <n v="417.93"/>
    <n v="417.93"/>
    <n v="417.93"/>
    <n v="418.7"/>
    <n v="420.91"/>
    <n v="430.91"/>
    <n v="0"/>
    <n v="431.03"/>
    <n v="862.06"/>
    <n v="0"/>
    <n v="861.19"/>
    <n v="0"/>
    <n v="4678.59"/>
    <n v="861.19"/>
  </r>
  <r>
    <x v="15"/>
    <x v="1"/>
    <x v="0"/>
    <s v="5981200"/>
    <n v="731060"/>
    <s v="Pagers"/>
    <s v="Crit Care-Intensivist Highline"/>
    <x v="0"/>
    <n v="1002"/>
    <n v="48.16"/>
    <n v="48.16"/>
    <n v="48.16"/>
    <n v="48.32"/>
    <n v="67.73"/>
    <n v="0"/>
    <n v="91.87"/>
    <n v="35.69"/>
    <n v="35.18"/>
    <n v="35.15"/>
    <n v="35.15"/>
    <n v="35.15"/>
    <n v="528.71999999999991"/>
    <n v="0"/>
  </r>
  <r>
    <x v="15"/>
    <x v="1"/>
    <x v="0"/>
    <s v="5981200"/>
    <n v="731065"/>
    <s v="Data Communications"/>
    <s v="Crit Care-Intensivist Highline"/>
    <x v="0"/>
    <m/>
    <n v="0"/>
    <n v="120.99"/>
    <n v="0"/>
    <n v="0"/>
    <n v="0"/>
    <n v="0"/>
    <n v="0"/>
    <n v="0"/>
    <n v="0"/>
    <n v="0"/>
    <n v="0"/>
    <n v="0"/>
    <n v="120.99"/>
    <n v="0"/>
  </r>
  <r>
    <x v="16"/>
    <x v="1"/>
    <x v="0"/>
    <s v="5981200"/>
    <n v="732030"/>
    <s v="Repairs&amp;Maintenance-Bldg Routine"/>
    <s v="Crit Care-Intensivist Highline"/>
    <x v="0"/>
    <n v="2300"/>
    <n v="0"/>
    <n v="0"/>
    <n v="0"/>
    <n v="0"/>
    <n v="0"/>
    <n v="0"/>
    <n v="0"/>
    <n v="0"/>
    <n v="0"/>
    <n v="0"/>
    <n v="0"/>
    <n v="100"/>
    <n v="100"/>
    <n v="-100"/>
  </r>
  <r>
    <x v="0"/>
    <x v="1"/>
    <x v="0"/>
    <s v="5981200"/>
    <n v="740022"/>
    <s v="Education-Physician"/>
    <s v="Crit Care-Intensivist Highline"/>
    <x v="0"/>
    <m/>
    <n v="0"/>
    <n v="129"/>
    <n v="0"/>
    <n v="0"/>
    <n v="0"/>
    <n v="0"/>
    <n v="0"/>
    <n v="0"/>
    <n v="0"/>
    <n v="0"/>
    <n v="0"/>
    <n v="3000"/>
    <n v="3129"/>
    <n v="-3000"/>
  </r>
  <r>
    <x v="8"/>
    <x v="1"/>
    <x v="0"/>
    <s v="5981200"/>
    <n v="741012"/>
    <s v="Physician Liab Insurance-CHI Program"/>
    <s v="Crit Care-Intensivist Highline"/>
    <x v="0"/>
    <m/>
    <n v="1657.84"/>
    <n v="1657.84"/>
    <n v="1657.84"/>
    <n v="1657.84"/>
    <n v="1657.84"/>
    <n v="1657.82"/>
    <n v="1657.84"/>
    <n v="1657.82"/>
    <n v="1657.84"/>
    <n v="1657.82"/>
    <n v="1657.84"/>
    <n v="1657.82"/>
    <n v="19894"/>
    <n v="1.999999999998181E-2"/>
  </r>
  <r>
    <x v="0"/>
    <x v="1"/>
    <x v="0"/>
    <s v="5981200"/>
    <n v="742010"/>
    <s v="Postage-Regular"/>
    <s v="Crit Care-Intensivist Highline"/>
    <x v="0"/>
    <m/>
    <n v="0"/>
    <n v="0"/>
    <n v="0"/>
    <n v="0"/>
    <n v="0"/>
    <n v="0"/>
    <n v="0"/>
    <n v="174.11"/>
    <n v="0"/>
    <n v="0"/>
    <n v="0"/>
    <n v="0"/>
    <n v="174.11"/>
    <n v="0"/>
  </r>
  <r>
    <x v="0"/>
    <x v="1"/>
    <x v="0"/>
    <s v="5981200"/>
    <n v="743020"/>
    <s v="Provider-Dues"/>
    <s v="Crit Care-Intensivist Highline"/>
    <x v="0"/>
    <n v="2200"/>
    <n v="0"/>
    <n v="0"/>
    <n v="0"/>
    <n v="0"/>
    <n v="0"/>
    <n v="0"/>
    <n v="0"/>
    <n v="0"/>
    <n v="0"/>
    <n v="2060"/>
    <n v="0"/>
    <n v="0"/>
    <n v="2060"/>
    <n v="0"/>
  </r>
  <r>
    <x v="0"/>
    <x v="1"/>
    <x v="0"/>
    <s v="5981200"/>
    <n v="743022"/>
    <s v="Dues-Physician"/>
    <s v="Crit Care-Intensivist Highline"/>
    <x v="0"/>
    <m/>
    <n v="0"/>
    <n v="790"/>
    <n v="0"/>
    <n v="0"/>
    <n v="0"/>
    <n v="395"/>
    <n v="0"/>
    <n v="0"/>
    <n v="0"/>
    <n v="0"/>
    <n v="0"/>
    <n v="0"/>
    <n v="1185"/>
    <n v="0"/>
  </r>
  <r>
    <x v="0"/>
    <x v="1"/>
    <x v="0"/>
    <s v="5981200"/>
    <n v="743042"/>
    <s v="Subscriptions-Physician"/>
    <s v="Crit Care-Intensivist Highline"/>
    <x v="0"/>
    <m/>
    <n v="0"/>
    <n v="1773.9"/>
    <n v="0"/>
    <n v="0"/>
    <n v="0"/>
    <n v="0"/>
    <n v="0"/>
    <n v="0"/>
    <n v="0"/>
    <n v="0"/>
    <n v="0"/>
    <n v="0"/>
    <n v="1773.9"/>
    <n v="0"/>
  </r>
  <r>
    <x v="0"/>
    <x v="1"/>
    <x v="0"/>
    <s v="5981200"/>
    <n v="749510"/>
    <s v="Miscellaneous Expenses"/>
    <s v="Crit Care-Intensivist Highline"/>
    <x v="0"/>
    <m/>
    <n v="2159.6799999999998"/>
    <n v="-2168.9"/>
    <n v="0"/>
    <n v="0"/>
    <n v="395"/>
    <n v="-187.49"/>
    <n v="-21.72"/>
    <n v="-83.71"/>
    <n v="-102.08"/>
    <n v="0"/>
    <n v="3078.45"/>
    <n v="-640.91"/>
    <n v="2428.3199999999997"/>
    <n v="3719.3599999999997"/>
  </r>
  <r>
    <x v="0"/>
    <x v="1"/>
    <x v="0"/>
    <s v="5981200"/>
    <n v="749510"/>
    <s v="Licenses"/>
    <s v="Crit Care-Intensivist Highline"/>
    <x v="0"/>
    <n v="1002"/>
    <n v="0"/>
    <n v="0"/>
    <n v="265"/>
    <n v="0"/>
    <n v="0"/>
    <n v="0"/>
    <n v="0"/>
    <n v="0"/>
    <n v="0"/>
    <n v="0"/>
    <n v="0"/>
    <n v="0"/>
    <n v="265"/>
    <n v="0"/>
  </r>
  <r>
    <x v="0"/>
    <x v="1"/>
    <x v="0"/>
    <s v="5981200"/>
    <n v="749510"/>
    <s v="RICE Rewards"/>
    <s v="Crit Care-Intensivist Highline"/>
    <x v="0"/>
    <n v="5100"/>
    <n v="0"/>
    <n v="0"/>
    <n v="0"/>
    <n v="0"/>
    <n v="0"/>
    <n v="0"/>
    <n v="0"/>
    <n v="13.21"/>
    <n v="0"/>
    <n v="0"/>
    <n v="0"/>
    <n v="101.35"/>
    <n v="114.56"/>
    <n v="-101.35"/>
  </r>
  <r>
    <x v="0"/>
    <x v="1"/>
    <x v="0"/>
    <s v="5981200"/>
    <n v="749530"/>
    <s v="Mileage"/>
    <s v="Crit Care-Intensivist Highline"/>
    <x v="0"/>
    <n v="1001"/>
    <n v="33.11"/>
    <n v="0"/>
    <n v="13.63"/>
    <n v="13.9"/>
    <n v="8.5399999999999991"/>
    <n v="3.37"/>
    <n v="8.5399999999999991"/>
    <n v="12.65"/>
    <n v="31.01"/>
    <n v="17.78"/>
    <n v="7.14"/>
    <n v="13.7"/>
    <n v="163.37"/>
    <n v="-6.56"/>
  </r>
  <r>
    <x v="0"/>
    <x v="1"/>
    <x v="0"/>
    <s v="5981200"/>
    <n v="749535"/>
    <s v="Meetings"/>
    <s v="Crit Care-Intensivist Highline"/>
    <x v="0"/>
    <m/>
    <n v="0"/>
    <n v="0"/>
    <n v="0"/>
    <n v="0"/>
    <n v="0"/>
    <n v="0"/>
    <n v="15.4"/>
    <n v="0"/>
    <n v="0"/>
    <n v="3.86"/>
    <n v="9.52"/>
    <n v="0"/>
    <n v="28.78"/>
    <n v="9.52"/>
  </r>
  <r>
    <x v="0"/>
    <x v="1"/>
    <x v="0"/>
    <s v="5981200"/>
    <n v="749550"/>
    <s v="Cash Over/Short"/>
    <s v="Crit Care-Intensivist Highline"/>
    <x v="0"/>
    <m/>
    <n v="-10"/>
    <n v="-0.28000000000000003"/>
    <n v="0"/>
    <n v="0"/>
    <n v="0"/>
    <n v="0"/>
    <n v="0"/>
    <n v="0"/>
    <n v="10.28"/>
    <n v="-0.28000000000000003"/>
    <n v="9"/>
    <n v="0"/>
    <n v="8.7200000000000006"/>
    <n v="9"/>
  </r>
  <r>
    <x v="7"/>
    <x v="1"/>
    <x v="0"/>
    <s v="5982200"/>
    <n v="718050"/>
    <s v="Miscellaneous Purchased Svcs"/>
    <s v="Burien ACC"/>
    <x v="0"/>
    <n v="1020"/>
    <n v="0"/>
    <n v="0"/>
    <n v="0"/>
    <n v="0"/>
    <n v="0"/>
    <n v="0"/>
    <n v="0"/>
    <n v="0"/>
    <n v="0"/>
    <n v="0"/>
    <n v="5450.83"/>
    <n v="0"/>
    <n v="5450.83"/>
    <n v="5450.83"/>
  </r>
  <r>
    <x v="11"/>
    <x v="1"/>
    <x v="0"/>
    <s v="5982200"/>
    <n v="721250"/>
    <s v="Supplies-Pharmacy Drugs - Billable"/>
    <s v="Burien ACC"/>
    <x v="0"/>
    <m/>
    <n v="0"/>
    <n v="0"/>
    <n v="0"/>
    <n v="0"/>
    <n v="0"/>
    <n v="0"/>
    <n v="0"/>
    <n v="0"/>
    <n v="0"/>
    <n v="0"/>
    <n v="25617.94"/>
    <n v="0"/>
    <n v="25617.94"/>
    <n v="25617.94"/>
  </r>
  <r>
    <x v="15"/>
    <x v="1"/>
    <x v="0"/>
    <s v="5982200"/>
    <n v="731060"/>
    <s v="Telephone"/>
    <s v="Burien ACC"/>
    <x v="0"/>
    <m/>
    <n v="0"/>
    <n v="0"/>
    <n v="0"/>
    <n v="0"/>
    <n v="0"/>
    <n v="0"/>
    <n v="0"/>
    <n v="0"/>
    <n v="0.02"/>
    <n v="-0.02"/>
    <n v="0"/>
    <n v="0"/>
    <n v="0"/>
    <n v="0"/>
  </r>
  <r>
    <x v="13"/>
    <x v="1"/>
    <x v="0"/>
    <s v="5982200"/>
    <n v="735070"/>
    <s v="Depreciation-Movable Equipment"/>
    <s v="Burien ACC"/>
    <x v="0"/>
    <m/>
    <n v="379.1"/>
    <n v="379.1"/>
    <n v="379.1"/>
    <n v="379.1"/>
    <n v="379.1"/>
    <n v="379.09"/>
    <n v="530.19000000000005"/>
    <n v="530.17999999999995"/>
    <n v="530.19000000000005"/>
    <n v="530.17999999999995"/>
    <n v="530.20000000000005"/>
    <n v="530.17999999999995"/>
    <n v="5455.71"/>
    <n v="2.0000000000095497E-2"/>
  </r>
  <r>
    <x v="0"/>
    <x v="1"/>
    <x v="0"/>
    <s v="5982200"/>
    <n v="749510"/>
    <s v="Miscellaneous Expenses"/>
    <s v="Burien ACC"/>
    <x v="0"/>
    <m/>
    <n v="55.05"/>
    <n v="105.05"/>
    <n v="0"/>
    <n v="0"/>
    <n v="50"/>
    <n v="150"/>
    <n v="0"/>
    <n v="0"/>
    <n v="100"/>
    <n v="0"/>
    <n v="150"/>
    <n v="0"/>
    <n v="610.1"/>
    <n v="150"/>
  </r>
  <r>
    <x v="5"/>
    <x v="1"/>
    <x v="0"/>
    <s v="5983200"/>
    <n v="700038"/>
    <s v="Salaries-Service/Support-Productive"/>
    <s v="Burien ACC Prompt Care"/>
    <x v="0"/>
    <m/>
    <n v="10113.98"/>
    <n v="-10113.98"/>
    <n v="0"/>
    <n v="0"/>
    <n v="0"/>
    <n v="0"/>
    <n v="0"/>
    <n v="0"/>
    <n v="0"/>
    <n v="0"/>
    <n v="0"/>
    <n v="0"/>
    <n v="0"/>
    <n v="0"/>
  </r>
  <r>
    <x v="5"/>
    <x v="1"/>
    <x v="0"/>
    <s v="5983200"/>
    <n v="700038"/>
    <s v="Salaries-Service/Support-OT"/>
    <s v="Burien ACC Prompt Care"/>
    <x v="0"/>
    <n v="1000"/>
    <n v="1303.27"/>
    <n v="-1303.27"/>
    <n v="0"/>
    <n v="0"/>
    <n v="0"/>
    <n v="0"/>
    <n v="0"/>
    <n v="0"/>
    <n v="0"/>
    <n v="0"/>
    <n v="0"/>
    <n v="0"/>
    <n v="0"/>
    <n v="0"/>
  </r>
  <r>
    <x v="5"/>
    <x v="1"/>
    <x v="0"/>
    <s v="5983200"/>
    <n v="700038"/>
    <s v="Salaries-Service/Support-Other"/>
    <s v="Burien ACC Prompt Care"/>
    <x v="0"/>
    <n v="2000"/>
    <n v="239.66"/>
    <n v="-239.66"/>
    <n v="0"/>
    <n v="0"/>
    <n v="0"/>
    <n v="0"/>
    <n v="0"/>
    <n v="0"/>
    <n v="0"/>
    <n v="0"/>
    <n v="0"/>
    <n v="0"/>
    <n v="0"/>
    <n v="0"/>
  </r>
  <r>
    <x v="5"/>
    <x v="1"/>
    <x v="0"/>
    <s v="5983200"/>
    <n v="700078"/>
    <s v="Salaries-Service/Support-Non-productive"/>
    <s v="Burien ACC Prompt Care"/>
    <x v="0"/>
    <m/>
    <n v="1918.55"/>
    <n v="-1918.55"/>
    <n v="0"/>
    <n v="0"/>
    <n v="0"/>
    <n v="0"/>
    <n v="0"/>
    <n v="0"/>
    <n v="0"/>
    <n v="0"/>
    <n v="0"/>
    <n v="0"/>
    <n v="0"/>
    <n v="0"/>
  </r>
  <r>
    <x v="5"/>
    <x v="1"/>
    <x v="0"/>
    <s v="5983200"/>
    <n v="700084"/>
    <s v="Accrued PTO"/>
    <s v="Burien ACC Prompt Care"/>
    <x v="0"/>
    <m/>
    <n v="-279.60000000000002"/>
    <n v="279.60000000000002"/>
    <n v="0"/>
    <n v="0"/>
    <n v="0"/>
    <n v="0"/>
    <n v="0"/>
    <n v="0"/>
    <n v="0"/>
    <n v="0"/>
    <n v="0"/>
    <n v="0"/>
    <n v="0"/>
    <n v="0"/>
  </r>
  <r>
    <x v="6"/>
    <x v="1"/>
    <x v="0"/>
    <s v="5983200"/>
    <n v="713010"/>
    <s v="Benefits-FICA/Medicare"/>
    <s v="Burien ACC Prompt Care"/>
    <x v="0"/>
    <m/>
    <n v="1014.12"/>
    <n v="-1014.12"/>
    <n v="0"/>
    <n v="0"/>
    <n v="0"/>
    <n v="0"/>
    <n v="0"/>
    <n v="0"/>
    <n v="0"/>
    <n v="0"/>
    <n v="0"/>
    <n v="0"/>
    <n v="0"/>
    <n v="0"/>
  </r>
  <r>
    <x v="6"/>
    <x v="1"/>
    <x v="0"/>
    <s v="5983200"/>
    <n v="713090"/>
    <s v="Benefits-Allocated Amounts"/>
    <s v="Burien ACC Prompt Care"/>
    <x v="0"/>
    <m/>
    <n v="3643.4"/>
    <n v="-3643.4"/>
    <n v="0"/>
    <n v="0"/>
    <n v="0"/>
    <n v="0"/>
    <n v="0"/>
    <n v="0"/>
    <n v="0"/>
    <n v="0"/>
    <n v="0"/>
    <n v="0"/>
    <n v="0"/>
    <n v="0"/>
  </r>
  <r>
    <x v="7"/>
    <x v="1"/>
    <x v="0"/>
    <s v="5983200"/>
    <n v="718050"/>
    <s v="Contract Svcs-Other"/>
    <s v="Burien ACC Prompt Care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5983200"/>
    <n v="718070"/>
    <s v="Contract Srvcs-CHI Clinical Engineering"/>
    <s v="Burien ACC Prompt Care"/>
    <x v="0"/>
    <m/>
    <n v="1600.68"/>
    <n v="-1600.68"/>
    <n v="0"/>
    <n v="0"/>
    <n v="0"/>
    <n v="0"/>
    <n v="0"/>
    <n v="0"/>
    <n v="0"/>
    <n v="0"/>
    <n v="0"/>
    <n v="0"/>
    <n v="0"/>
    <n v="0"/>
  </r>
  <r>
    <x v="11"/>
    <x v="1"/>
    <x v="0"/>
    <s v="5983200"/>
    <n v="721250"/>
    <s v="Supplies-Pharmacy Drugs - Billable"/>
    <s v="Burien ACC Prompt Care"/>
    <x v="0"/>
    <m/>
    <n v="148.94"/>
    <n v="-148.94"/>
    <n v="0"/>
    <n v="0"/>
    <n v="0"/>
    <n v="0"/>
    <n v="0"/>
    <n v="0"/>
    <n v="0"/>
    <n v="0"/>
    <n v="0"/>
    <n v="0"/>
    <n v="0"/>
    <n v="0"/>
  </r>
  <r>
    <x v="12"/>
    <x v="1"/>
    <x v="0"/>
    <s v="5983200"/>
    <n v="730010"/>
    <s v="Rental and Leases-Building (DO NOT USE)"/>
    <s v="Burien ACC Prompt Care"/>
    <x v="0"/>
    <m/>
    <n v="23326.98"/>
    <n v="-23326.98"/>
    <n v="0"/>
    <n v="0"/>
    <n v="0"/>
    <n v="0"/>
    <n v="0"/>
    <n v="0"/>
    <n v="0"/>
    <n v="0"/>
    <n v="0"/>
    <n v="0"/>
    <n v="0"/>
    <n v="0"/>
  </r>
  <r>
    <x v="12"/>
    <x v="1"/>
    <x v="0"/>
    <s v="5983200"/>
    <n v="730020"/>
    <s v="Rental and Leases-Copier Usage Fees (DO NOT USE)"/>
    <s v="Burien ACC Prompt Care"/>
    <x v="0"/>
    <n v="5100"/>
    <n v="634.78"/>
    <n v="-634.78"/>
    <n v="0"/>
    <n v="0"/>
    <n v="0"/>
    <n v="0"/>
    <n v="0"/>
    <n v="0"/>
    <n v="0"/>
    <n v="0"/>
    <n v="0"/>
    <n v="0"/>
    <n v="0"/>
    <n v="0"/>
  </r>
  <r>
    <x v="15"/>
    <x v="1"/>
    <x v="0"/>
    <s v="5983200"/>
    <n v="731060"/>
    <s v="Telephone"/>
    <s v="Burien ACC Prompt Care"/>
    <x v="0"/>
    <m/>
    <n v="505.64"/>
    <n v="-505.64"/>
    <n v="0"/>
    <n v="0"/>
    <n v="0"/>
    <n v="0"/>
    <n v="0"/>
    <n v="0"/>
    <n v="0"/>
    <n v="0"/>
    <n v="0"/>
    <n v="0"/>
    <n v="0"/>
    <n v="0"/>
  </r>
  <r>
    <x v="16"/>
    <x v="1"/>
    <x v="0"/>
    <s v="5983200"/>
    <n v="732030"/>
    <s v="Repairs---Other"/>
    <s v="Burien ACC Prompt Care"/>
    <x v="0"/>
    <m/>
    <n v="429.3"/>
    <n v="-429.3"/>
    <n v="0"/>
    <n v="0"/>
    <n v="0"/>
    <n v="0"/>
    <n v="0"/>
    <n v="0"/>
    <n v="0"/>
    <n v="0"/>
    <n v="0"/>
    <n v="0"/>
    <n v="0"/>
    <n v="0"/>
  </r>
  <r>
    <x v="13"/>
    <x v="1"/>
    <x v="0"/>
    <s v="5983200"/>
    <n v="735060"/>
    <s v="Depreciation-Fixed Equipment"/>
    <s v="Burien ACC Prompt Care"/>
    <x v="0"/>
    <m/>
    <n v="177.18"/>
    <n v="-177.18"/>
    <n v="0"/>
    <n v="0"/>
    <n v="0"/>
    <n v="0"/>
    <n v="0"/>
    <n v="0"/>
    <n v="0"/>
    <n v="0"/>
    <n v="0"/>
    <n v="0"/>
    <n v="0"/>
    <n v="0"/>
  </r>
  <r>
    <x v="13"/>
    <x v="1"/>
    <x v="0"/>
    <s v="5983200"/>
    <n v="735070"/>
    <s v="Depreciation-Movable Equipment"/>
    <s v="Burien ACC Prompt Care"/>
    <x v="0"/>
    <m/>
    <n v="7027.16"/>
    <n v="-7027.16"/>
    <n v="0"/>
    <n v="0"/>
    <n v="0"/>
    <n v="0"/>
    <n v="0"/>
    <n v="0"/>
    <n v="0"/>
    <n v="0"/>
    <n v="0"/>
    <n v="0"/>
    <n v="0"/>
    <n v="0"/>
  </r>
  <r>
    <x v="0"/>
    <x v="1"/>
    <x v="0"/>
    <s v="5983200"/>
    <n v="749510"/>
    <s v="Miscellaneous Expenses"/>
    <s v="Burien ACC Prompt Care"/>
    <x v="0"/>
    <m/>
    <n v="55.05"/>
    <n v="-55.05"/>
    <n v="0"/>
    <n v="0"/>
    <n v="0"/>
    <n v="0"/>
    <n v="0"/>
    <n v="0"/>
    <n v="0"/>
    <n v="0"/>
    <n v="0"/>
    <n v="0"/>
    <n v="0"/>
    <n v="0"/>
  </r>
  <r>
    <x v="0"/>
    <x v="1"/>
    <x v="0"/>
    <s v="5983200"/>
    <n v="749550"/>
    <s v="Cash Over/Short"/>
    <s v="Burien ACC Prompt Care"/>
    <x v="0"/>
    <m/>
    <n v="-4"/>
    <n v="4"/>
    <n v="0"/>
    <n v="0"/>
    <n v="0"/>
    <n v="0"/>
    <n v="0"/>
    <n v="0"/>
    <n v="0"/>
    <n v="0"/>
    <n v="0"/>
    <n v="0"/>
    <n v="0"/>
    <n v="0"/>
  </r>
  <r>
    <x v="5"/>
    <x v="1"/>
    <x v="0"/>
    <s v="5984200"/>
    <n v="700014"/>
    <s v="Salaries-Management-Productive"/>
    <s v="Burien Endo-Shared Svc"/>
    <x v="0"/>
    <m/>
    <n v="3081.76"/>
    <n v="3221.84"/>
    <n v="2171.2399999999998"/>
    <n v="-490.28"/>
    <n v="0"/>
    <n v="1515.31"/>
    <n v="1100.95"/>
    <n v="773.67"/>
    <n v="1368.69"/>
    <n v="1309.2"/>
    <n v="773.66"/>
    <n v="1190.24"/>
    <n v="16016.280000000002"/>
    <n v="-416.58000000000004"/>
  </r>
  <r>
    <x v="5"/>
    <x v="1"/>
    <x v="0"/>
    <s v="5984200"/>
    <n v="700038"/>
    <s v="Salaries-Service/Support-Productive"/>
    <s v="Burien Endo-Shared Svc"/>
    <x v="0"/>
    <m/>
    <n v="0"/>
    <n v="0"/>
    <n v="0"/>
    <n v="0"/>
    <n v="0"/>
    <n v="1239.3599999999999"/>
    <n v="3555.47"/>
    <n v="3161.85"/>
    <n v="3534.42"/>
    <n v="2957.11"/>
    <n v="4015.97"/>
    <n v="4091.09"/>
    <n v="22555.27"/>
    <n v="-75.120000000000346"/>
  </r>
  <r>
    <x v="5"/>
    <x v="1"/>
    <x v="0"/>
    <s v="5984200"/>
    <n v="700038"/>
    <s v="Salaries-Service/Support-OT"/>
    <s v="Burien Endo-Shared Svc"/>
    <x v="0"/>
    <n v="1000"/>
    <n v="0"/>
    <n v="0"/>
    <n v="0"/>
    <n v="0"/>
    <n v="0"/>
    <n v="15.77"/>
    <n v="150.02000000000001"/>
    <n v="115.27"/>
    <n v="105.79"/>
    <n v="117.62"/>
    <n v="56.08"/>
    <n v="218.32"/>
    <n v="778.87000000000012"/>
    <n v="-162.24"/>
  </r>
  <r>
    <x v="5"/>
    <x v="1"/>
    <x v="0"/>
    <s v="5984200"/>
    <n v="700038"/>
    <s v="Salaries-Service/Support-Other"/>
    <s v="Burien Endo-Shared Svc"/>
    <x v="0"/>
    <n v="2000"/>
    <n v="0"/>
    <n v="0"/>
    <n v="0"/>
    <n v="0"/>
    <n v="0"/>
    <n v="13"/>
    <n v="1.25"/>
    <n v="1.4"/>
    <n v="-0.4"/>
    <n v="0"/>
    <n v="0"/>
    <n v="51.06"/>
    <n v="66.31"/>
    <n v="-51.06"/>
  </r>
  <r>
    <x v="6"/>
    <x v="1"/>
    <x v="0"/>
    <s v="5984200"/>
    <n v="713010"/>
    <s v="Benefits-FICA/Medicare"/>
    <s v="Burien Endo-Shared Svc"/>
    <x v="0"/>
    <m/>
    <n v="217.95"/>
    <n v="227.84"/>
    <n v="153.54"/>
    <n v="-34.67"/>
    <n v="0"/>
    <n v="208.75"/>
    <n v="348.84"/>
    <n v="293.58999999999997"/>
    <n v="363.91"/>
    <n v="318.94"/>
    <n v="377.83"/>
    <n v="415.92"/>
    <n v="2892.44"/>
    <n v="-38.090000000000032"/>
  </r>
  <r>
    <x v="6"/>
    <x v="1"/>
    <x v="0"/>
    <s v="5984200"/>
    <n v="713090"/>
    <s v="Benefits-Allocated Amounts"/>
    <s v="Burien Endo-Shared Svc"/>
    <x v="0"/>
    <m/>
    <n v="579.70000000000005"/>
    <n v="537.38"/>
    <n v="473.34"/>
    <n v="8.39"/>
    <n v="-13.99"/>
    <n v="518.99"/>
    <n v="1277.23"/>
    <n v="1148.69"/>
    <n v="1318.29"/>
    <n v="1264.17"/>
    <n v="1374.05"/>
    <n v="1630.11"/>
    <n v="10116.35"/>
    <n v="-256.05999999999995"/>
  </r>
  <r>
    <x v="6"/>
    <x v="1"/>
    <x v="0"/>
    <s v="5984200"/>
    <n v="713096"/>
    <s v="Employee Recognition"/>
    <s v="Burien Endo-Shared Svc"/>
    <x v="0"/>
    <n v="1017"/>
    <n v="0"/>
    <n v="0"/>
    <n v="0"/>
    <n v="0"/>
    <n v="0"/>
    <n v="0"/>
    <n v="0"/>
    <n v="0"/>
    <n v="0"/>
    <n v="123.96"/>
    <n v="0"/>
    <n v="0"/>
    <n v="123.96"/>
    <n v="0"/>
  </r>
  <r>
    <x v="7"/>
    <x v="1"/>
    <x v="0"/>
    <s v="5984200"/>
    <n v="718010"/>
    <s v="Media/Print Advertising"/>
    <s v="Burien Endo-Shared Svc"/>
    <x v="0"/>
    <n v="1004"/>
    <n v="0"/>
    <n v="0"/>
    <n v="155.22999999999999"/>
    <n v="115.98"/>
    <n v="0"/>
    <n v="98.09"/>
    <n v="0"/>
    <n v="0"/>
    <n v="0"/>
    <n v="0"/>
    <n v="0"/>
    <n v="0"/>
    <n v="369.29999999999995"/>
    <n v="0"/>
  </r>
  <r>
    <x v="7"/>
    <x v="1"/>
    <x v="0"/>
    <s v="5984200"/>
    <n v="718050"/>
    <s v="Security"/>
    <s v="Burien Endo-Shared Svc"/>
    <x v="0"/>
    <n v="1019"/>
    <n v="0"/>
    <n v="0"/>
    <n v="0"/>
    <n v="22.66"/>
    <n v="0"/>
    <n v="0"/>
    <n v="0"/>
    <n v="0"/>
    <n v="0"/>
    <n v="0"/>
    <n v="0"/>
    <n v="0"/>
    <n v="22.66"/>
    <n v="0"/>
  </r>
  <r>
    <x v="7"/>
    <x v="1"/>
    <x v="0"/>
    <s v="5984200"/>
    <n v="718050"/>
    <s v="Miscellaneous Purchased Svcs"/>
    <s v="Burien Endo-Shared Svc"/>
    <x v="0"/>
    <n v="1020"/>
    <n v="0"/>
    <n v="67.98"/>
    <n v="0"/>
    <n v="67.98"/>
    <n v="31.24"/>
    <n v="31.24"/>
    <n v="31.24"/>
    <n v="31.24"/>
    <n v="31.24"/>
    <n v="31.24"/>
    <n v="0"/>
    <n v="31.24"/>
    <n v="354.64000000000004"/>
    <n v="-31.24"/>
  </r>
  <r>
    <x v="7"/>
    <x v="1"/>
    <x v="0"/>
    <s v="5984200"/>
    <n v="718050"/>
    <s v="Translation Services"/>
    <s v="Burien Endo-Shared Svc"/>
    <x v="0"/>
    <n v="1025"/>
    <n v="0"/>
    <n v="0"/>
    <n v="0"/>
    <n v="0"/>
    <n v="0"/>
    <n v="0"/>
    <n v="0"/>
    <n v="100.94"/>
    <n v="436.5"/>
    <n v="0"/>
    <n v="0"/>
    <n v="0"/>
    <n v="537.44000000000005"/>
    <n v="0"/>
  </r>
  <r>
    <x v="7"/>
    <x v="1"/>
    <x v="0"/>
    <s v="5984200"/>
    <n v="718050"/>
    <s v="Contract Management--Linen"/>
    <s v="Burien Endo-Shared Svc"/>
    <x v="0"/>
    <n v="1026"/>
    <n v="0"/>
    <n v="0"/>
    <n v="39.5"/>
    <n v="0"/>
    <n v="0"/>
    <n v="0"/>
    <n v="0"/>
    <n v="0"/>
    <n v="0"/>
    <n v="0"/>
    <n v="0"/>
    <n v="0"/>
    <n v="39.5"/>
    <n v="0"/>
  </r>
  <r>
    <x v="11"/>
    <x v="1"/>
    <x v="0"/>
    <s v="5984200"/>
    <n v="721010"/>
    <s v="Supplies-Medical - Billable"/>
    <s v="Burien Endo-Shared Svc"/>
    <x v="0"/>
    <m/>
    <n v="0"/>
    <n v="0"/>
    <n v="0"/>
    <n v="0"/>
    <n v="0"/>
    <n v="0"/>
    <n v="0"/>
    <n v="0"/>
    <n v="0"/>
    <n v="1440"/>
    <n v="158.16999999999999"/>
    <n v="0"/>
    <n v="1598.17"/>
    <n v="158.16999999999999"/>
  </r>
  <r>
    <x v="11"/>
    <x v="1"/>
    <x v="0"/>
    <s v="5984200"/>
    <n v="721250"/>
    <s v="Supplies-Pharmacy Drugs - Billable"/>
    <s v="Burien Endo-Shared Svc"/>
    <x v="0"/>
    <m/>
    <n v="0"/>
    <n v="0"/>
    <n v="0"/>
    <n v="0"/>
    <n v="0"/>
    <n v="0"/>
    <n v="0"/>
    <n v="0"/>
    <n v="0"/>
    <n v="0"/>
    <n v="-421.48"/>
    <n v="0"/>
    <n v="-421.48"/>
    <n v="-421.48"/>
  </r>
  <r>
    <x v="11"/>
    <x v="1"/>
    <x v="0"/>
    <s v="5984200"/>
    <n v="721410"/>
    <s v="Supplies-Medical - Nonbillable"/>
    <s v="Burien Endo-Shared Svc"/>
    <x v="0"/>
    <m/>
    <n v="0"/>
    <n v="2163.48"/>
    <n v="0"/>
    <n v="1598.17"/>
    <n v="0"/>
    <n v="2234.2399999999998"/>
    <n v="158.16999999999999"/>
    <n v="156.02000000000001"/>
    <n v="0"/>
    <n v="0"/>
    <n v="-979.14"/>
    <n v="-18.48"/>
    <n v="5312.46"/>
    <n v="-960.66"/>
  </r>
  <r>
    <x v="11"/>
    <x v="1"/>
    <x v="0"/>
    <s v="5984200"/>
    <n v="721810"/>
    <s v="Supplies-Dietary/Cafeteria"/>
    <s v="Burien Endo-Shared Svc"/>
    <x v="0"/>
    <m/>
    <n v="0"/>
    <n v="0"/>
    <n v="0"/>
    <n v="0"/>
    <n v="0"/>
    <n v="0"/>
    <n v="0"/>
    <n v="0"/>
    <n v="12.98"/>
    <n v="21.74"/>
    <n v="26.34"/>
    <n v="0"/>
    <n v="61.06"/>
    <n v="26.34"/>
  </r>
  <r>
    <x v="11"/>
    <x v="1"/>
    <x v="0"/>
    <s v="5984200"/>
    <n v="721830"/>
    <s v="Supplies-Office"/>
    <s v="Burien Endo-Shared Svc"/>
    <x v="0"/>
    <m/>
    <n v="286.51"/>
    <n v="313.64"/>
    <n v="238.36"/>
    <n v="282.87"/>
    <n v="347.12"/>
    <n v="387.37"/>
    <n v="168.79"/>
    <n v="114.64"/>
    <n v="130.78"/>
    <n v="109.77"/>
    <n v="5.69"/>
    <n v="165.21"/>
    <n v="2550.75"/>
    <n v="-159.52000000000001"/>
  </r>
  <r>
    <x v="11"/>
    <x v="1"/>
    <x v="0"/>
    <s v="5984200"/>
    <n v="721835"/>
    <s v="Supplies-Forms"/>
    <s v="Burien Endo-Shared Svc"/>
    <x v="0"/>
    <m/>
    <n v="0"/>
    <n v="0"/>
    <n v="97.59"/>
    <n v="0"/>
    <n v="31.5"/>
    <n v="18"/>
    <n v="0"/>
    <n v="0"/>
    <n v="0"/>
    <n v="0"/>
    <n v="0"/>
    <n v="0"/>
    <n v="147.09"/>
    <n v="0"/>
  </r>
  <r>
    <x v="11"/>
    <x v="1"/>
    <x v="0"/>
    <s v="5984200"/>
    <n v="721910"/>
    <s v="Supplies-Small Equipment"/>
    <s v="Burien Endo-Shared Svc"/>
    <x v="0"/>
    <m/>
    <n v="0"/>
    <n v="11.41"/>
    <n v="0"/>
    <n v="0"/>
    <n v="0"/>
    <n v="0"/>
    <n v="0"/>
    <n v="315.99"/>
    <n v="0"/>
    <n v="0"/>
    <n v="0"/>
    <n v="0"/>
    <n v="327.40000000000003"/>
    <n v="0"/>
  </r>
  <r>
    <x v="11"/>
    <x v="1"/>
    <x v="0"/>
    <s v="5984200"/>
    <n v="722000"/>
    <s v="Supplies-Freight Expense"/>
    <s v="Burien Endo-Shared Svc"/>
    <x v="0"/>
    <m/>
    <n v="0"/>
    <n v="0"/>
    <n v="0"/>
    <n v="0"/>
    <n v="0"/>
    <n v="0"/>
    <n v="0"/>
    <n v="0"/>
    <n v="0"/>
    <n v="0"/>
    <n v="0"/>
    <n v="18.48"/>
    <n v="18.48"/>
    <n v="-18.48"/>
  </r>
  <r>
    <x v="12"/>
    <x v="1"/>
    <x v="0"/>
    <s v="5984200"/>
    <n v="730020"/>
    <s v="Rental and Leases-Equipment (DO NOT USE)"/>
    <s v="Burien Endo-Shared Svc"/>
    <x v="0"/>
    <m/>
    <n v="0"/>
    <n v="0"/>
    <n v="0"/>
    <n v="0"/>
    <n v="0"/>
    <n v="22.66"/>
    <n v="11.33"/>
    <n v="0"/>
    <n v="11.33"/>
    <n v="11.33"/>
    <n v="0"/>
    <n v="0"/>
    <n v="56.65"/>
    <n v="0"/>
  </r>
  <r>
    <x v="12"/>
    <x v="1"/>
    <x v="0"/>
    <s v="5984200"/>
    <n v="730020"/>
    <s v="Rental and Leases-Copier Usage Fees (DO NOT USE)"/>
    <s v="Burien Endo-Shared Svc"/>
    <x v="0"/>
    <n v="5100"/>
    <n v="42.47"/>
    <n v="46.28"/>
    <n v="44.38"/>
    <n v="44.38"/>
    <n v="44.38"/>
    <n v="44.38"/>
    <n v="209.8"/>
    <n v="36"/>
    <n v="35.92"/>
    <n v="239.69"/>
    <n v="36"/>
    <n v="36"/>
    <n v="859.67999999999984"/>
    <n v="0"/>
  </r>
  <r>
    <x v="16"/>
    <x v="1"/>
    <x v="0"/>
    <s v="5984200"/>
    <n v="732030"/>
    <s v="Repairs---Other"/>
    <s v="Burien Endo-Shared Svc"/>
    <x v="0"/>
    <m/>
    <n v="17.18"/>
    <n v="0"/>
    <n v="0"/>
    <n v="0"/>
    <n v="0"/>
    <n v="0"/>
    <n v="0"/>
    <n v="0"/>
    <n v="0"/>
    <n v="0"/>
    <n v="0"/>
    <n v="0"/>
    <n v="17.18"/>
    <n v="0"/>
  </r>
  <r>
    <x v="13"/>
    <x v="1"/>
    <x v="0"/>
    <s v="5984200"/>
    <n v="735070"/>
    <s v="Depreciation-Movable Equipment"/>
    <s v="Burien Endo-Shared Svc"/>
    <x v="0"/>
    <m/>
    <n v="436.64"/>
    <n v="436.64"/>
    <n v="436.64"/>
    <n v="436.63"/>
    <n v="436.64"/>
    <n v="436.63"/>
    <n v="436.64"/>
    <n v="436.63"/>
    <n v="436.64"/>
    <n v="436.63"/>
    <n v="436.64"/>
    <n v="436.63"/>
    <n v="5239.63"/>
    <n v="9.9999999999909051E-3"/>
  </r>
  <r>
    <x v="0"/>
    <x v="1"/>
    <x v="0"/>
    <s v="5984200"/>
    <n v="749510"/>
    <s v="Miscellaneous Expenses"/>
    <s v="Burien Endo-Shared Svc"/>
    <x v="0"/>
    <m/>
    <n v="0"/>
    <n v="0"/>
    <n v="505"/>
    <n v="50.5"/>
    <n v="546.70000000000005"/>
    <n v="0"/>
    <n v="0"/>
    <n v="0"/>
    <n v="0"/>
    <n v="0"/>
    <n v="0"/>
    <n v="0"/>
    <n v="1102.2"/>
    <n v="0"/>
  </r>
  <r>
    <x v="0"/>
    <x v="1"/>
    <x v="0"/>
    <s v="5984200"/>
    <n v="749510"/>
    <s v="RICE Rewards"/>
    <s v="Burien Endo-Shared Svc"/>
    <x v="0"/>
    <n v="5100"/>
    <n v="0"/>
    <n v="0"/>
    <n v="0"/>
    <n v="0"/>
    <n v="0"/>
    <n v="0"/>
    <n v="0"/>
    <n v="13.2"/>
    <n v="0"/>
    <n v="0"/>
    <n v="28.54"/>
    <n v="71.5"/>
    <n v="113.24"/>
    <n v="-42.96"/>
  </r>
  <r>
    <x v="0"/>
    <x v="1"/>
    <x v="0"/>
    <s v="5984200"/>
    <n v="749530"/>
    <s v="Mileage"/>
    <s v="Burien Endo-Shared Svc"/>
    <x v="0"/>
    <n v="1001"/>
    <n v="33.119999999999997"/>
    <n v="0"/>
    <n v="13.63"/>
    <n v="13.9"/>
    <n v="8.5399999999999991"/>
    <n v="3.36"/>
    <n v="8.5399999999999991"/>
    <n v="12.67"/>
    <n v="14.22"/>
    <n v="17.79"/>
    <n v="7.16"/>
    <n v="13.74"/>
    <n v="146.67000000000002"/>
    <n v="-6.58"/>
  </r>
  <r>
    <x v="0"/>
    <x v="1"/>
    <x v="0"/>
    <s v="5984200"/>
    <n v="749535"/>
    <s v="Meetings"/>
    <s v="Burien Endo-Shared Svc"/>
    <x v="0"/>
    <m/>
    <n v="44"/>
    <n v="0"/>
    <n v="0"/>
    <n v="0"/>
    <n v="0"/>
    <n v="0"/>
    <n v="24.26"/>
    <n v="0"/>
    <n v="0"/>
    <n v="3.87"/>
    <n v="9.51"/>
    <n v="0"/>
    <n v="81.640000000000015"/>
    <n v="9.51"/>
  </r>
  <r>
    <x v="5"/>
    <x v="1"/>
    <x v="0"/>
    <s v="5985200"/>
    <n v="700038"/>
    <s v="Salaries-Service/Support-Productive"/>
    <s v="Inf Disease-Burien Shared Svc"/>
    <x v="0"/>
    <m/>
    <n v="3153.32"/>
    <n v="3538.84"/>
    <n v="2943.26"/>
    <n v="3336.81"/>
    <n v="2082.83"/>
    <n v="1054.02"/>
    <n v="3405.14"/>
    <n v="3121.67"/>
    <n v="2405.44"/>
    <n v="3321.92"/>
    <n v="2097.64"/>
    <n v="3787.4"/>
    <n v="34248.29"/>
    <n v="-1689.7600000000002"/>
  </r>
  <r>
    <x v="5"/>
    <x v="1"/>
    <x v="0"/>
    <s v="5985200"/>
    <n v="700038"/>
    <s v="Salaries-Service/Support-OT"/>
    <s v="Inf Disease-Burien Shared Svc"/>
    <x v="0"/>
    <n v="1000"/>
    <n v="97.86"/>
    <n v="94.91"/>
    <n v="-11.13"/>
    <n v="25.96"/>
    <n v="0"/>
    <n v="22.14"/>
    <n v="149.85"/>
    <n v="42.83"/>
    <n v="29.07"/>
    <n v="73.88"/>
    <n v="84.1"/>
    <n v="84.12"/>
    <n v="693.59"/>
    <n v="-2.0000000000010232E-2"/>
  </r>
  <r>
    <x v="5"/>
    <x v="1"/>
    <x v="0"/>
    <s v="5985200"/>
    <n v="700038"/>
    <s v="Salaries-Service/Support-Other"/>
    <s v="Inf Disease-Burien Shared Svc"/>
    <x v="0"/>
    <n v="2000"/>
    <n v="0"/>
    <n v="0"/>
    <n v="179.92"/>
    <n v="0"/>
    <n v="0"/>
    <n v="103.67"/>
    <n v="-3.42"/>
    <n v="0"/>
    <n v="36.06"/>
    <n v="54.08"/>
    <n v="0"/>
    <n v="0"/>
    <n v="370.30999999999995"/>
    <n v="0"/>
  </r>
  <r>
    <x v="5"/>
    <x v="1"/>
    <x v="0"/>
    <s v="5985200"/>
    <n v="700078"/>
    <s v="Salaries-Service/Support-Non-productive"/>
    <s v="Inf Disease-Burien Shared Svc"/>
    <x v="0"/>
    <m/>
    <n v="326.20999999999998"/>
    <n v="98.85"/>
    <n v="234.78"/>
    <n v="376.66"/>
    <n v="1504.61"/>
    <n v="4357.03"/>
    <n v="321.38"/>
    <n v="140.69"/>
    <n v="1717.33"/>
    <n v="1264.18"/>
    <n v="1491.02"/>
    <n v="-361.91"/>
    <n v="11470.83"/>
    <n v="1852.93"/>
  </r>
  <r>
    <x v="5"/>
    <x v="1"/>
    <x v="0"/>
    <s v="5985200"/>
    <n v="700078"/>
    <s v="Salaries-Service/Support-NonProd-Other"/>
    <s v="Inf Disease-Burien Shared Svc"/>
    <x v="0"/>
    <n v="2000"/>
    <n v="0"/>
    <n v="0"/>
    <n v="0"/>
    <n v="18.32"/>
    <n v="-8.14"/>
    <n v="0"/>
    <n v="0"/>
    <n v="0"/>
    <n v="0"/>
    <n v="0"/>
    <n v="0"/>
    <n v="0"/>
    <n v="10.18"/>
    <n v="0"/>
  </r>
  <r>
    <x v="5"/>
    <x v="1"/>
    <x v="0"/>
    <s v="5985200"/>
    <n v="700084"/>
    <s v="Accrued PTO"/>
    <s v="Inf Disease-Burien Shared Svc"/>
    <x v="0"/>
    <m/>
    <n v="58.66"/>
    <n v="203.64"/>
    <n v="71.36"/>
    <n v="197.36"/>
    <n v="-198.11"/>
    <n v="-1758.08"/>
    <n v="-79"/>
    <n v="130.51"/>
    <n v="-888.1"/>
    <n v="-1455.34"/>
    <n v="-494.95"/>
    <n v="371.37"/>
    <n v="-3840.6800000000003"/>
    <n v="-866.31999999999994"/>
  </r>
  <r>
    <x v="6"/>
    <x v="1"/>
    <x v="0"/>
    <s v="5985200"/>
    <n v="713010"/>
    <s v="Benefits-FICA/Medicare"/>
    <s v="Inf Disease-Burien Shared Svc"/>
    <x v="0"/>
    <m/>
    <n v="264.22000000000003"/>
    <n v="275.69"/>
    <n v="247.45"/>
    <n v="277.58999999999997"/>
    <n v="264.39999999999998"/>
    <n v="390.35"/>
    <n v="275.12"/>
    <n v="234.21"/>
    <n v="311.81"/>
    <n v="321.06"/>
    <n v="265.77"/>
    <n v="252.53"/>
    <n v="3380.2"/>
    <n v="13.239999999999981"/>
  </r>
  <r>
    <x v="6"/>
    <x v="1"/>
    <x v="0"/>
    <s v="5985200"/>
    <n v="713090"/>
    <s v="Benefits-Allocated Amounts"/>
    <s v="Inf Disease-Burien Shared Svc"/>
    <x v="0"/>
    <m/>
    <n v="1105.1500000000001"/>
    <n v="1018.68"/>
    <n v="1026.1400000000001"/>
    <n v="1104.77"/>
    <n v="1084.6199999999999"/>
    <n v="1637.47"/>
    <n v="1377.32"/>
    <n v="1105.68"/>
    <n v="1247.48"/>
    <n v="1503.56"/>
    <n v="1162.5899999999999"/>
    <n v="996.69"/>
    <n v="14370.15"/>
    <n v="165.89999999999986"/>
  </r>
  <r>
    <x v="6"/>
    <x v="1"/>
    <x v="0"/>
    <s v="5985200"/>
    <n v="713096"/>
    <s v="Employee Recognition"/>
    <s v="Inf Disease-Burien Shared Svc"/>
    <x v="0"/>
    <n v="1017"/>
    <n v="0"/>
    <n v="0"/>
    <n v="42"/>
    <n v="0"/>
    <n v="0"/>
    <n v="0"/>
    <n v="0"/>
    <n v="0"/>
    <n v="0"/>
    <n v="0"/>
    <n v="0"/>
    <n v="0"/>
    <n v="42"/>
    <n v="0"/>
  </r>
  <r>
    <x v="7"/>
    <x v="1"/>
    <x v="0"/>
    <s v="5985200"/>
    <n v="718050"/>
    <s v="Contract Svcs-Other"/>
    <s v="Inf Disease-Burien Shared Svc"/>
    <x v="0"/>
    <m/>
    <n v="0"/>
    <n v="0"/>
    <n v="0"/>
    <n v="0"/>
    <n v="45"/>
    <n v="0"/>
    <n v="0"/>
    <n v="0"/>
    <n v="0"/>
    <n v="0"/>
    <n v="0"/>
    <n v="0"/>
    <n v="45"/>
    <n v="0"/>
  </r>
  <r>
    <x v="7"/>
    <x v="1"/>
    <x v="0"/>
    <s v="5985200"/>
    <n v="718050"/>
    <s v="Document Shredding/Storage"/>
    <s v="Inf Disease-Burien Shared Svc"/>
    <x v="0"/>
    <n v="1012"/>
    <n v="0"/>
    <n v="0"/>
    <n v="0"/>
    <n v="143.59"/>
    <n v="0"/>
    <n v="0"/>
    <n v="0"/>
    <n v="0"/>
    <n v="0"/>
    <n v="0"/>
    <n v="0"/>
    <n v="0"/>
    <n v="143.59"/>
    <n v="0"/>
  </r>
  <r>
    <x v="7"/>
    <x v="1"/>
    <x v="0"/>
    <s v="5985200"/>
    <n v="718050"/>
    <s v="Physician Answering"/>
    <s v="Inf Disease-Burien Shared Svc"/>
    <x v="0"/>
    <n v="1015"/>
    <n v="220"/>
    <n v="220"/>
    <n v="0"/>
    <n v="0"/>
    <n v="0"/>
    <n v="0"/>
    <n v="0"/>
    <n v="0"/>
    <n v="0"/>
    <n v="0"/>
    <n v="0"/>
    <n v="0"/>
    <n v="440"/>
    <n v="0"/>
  </r>
  <r>
    <x v="7"/>
    <x v="1"/>
    <x v="0"/>
    <s v="5985200"/>
    <n v="718050"/>
    <s v="Miscellaneous Purchased Svcs"/>
    <s v="Inf Disease-Burien Shared Svc"/>
    <x v="0"/>
    <n v="1020"/>
    <n v="0"/>
    <n v="0"/>
    <n v="0"/>
    <n v="0"/>
    <n v="0"/>
    <n v="65.900000000000006"/>
    <n v="65.900000000000006"/>
    <n v="0"/>
    <n v="0"/>
    <n v="0"/>
    <n v="0"/>
    <n v="0"/>
    <n v="131.80000000000001"/>
    <n v="0"/>
  </r>
  <r>
    <x v="7"/>
    <x v="1"/>
    <x v="0"/>
    <s v="5985200"/>
    <n v="718050"/>
    <s v="Translation Services"/>
    <s v="Inf Disease-Burien Shared Svc"/>
    <x v="0"/>
    <n v="1025"/>
    <n v="0"/>
    <n v="249.2"/>
    <n v="0"/>
    <n v="0"/>
    <n v="0"/>
    <n v="0"/>
    <n v="0"/>
    <n v="0"/>
    <n v="0"/>
    <n v="0"/>
    <n v="0"/>
    <n v="0"/>
    <n v="249.2"/>
    <n v="0"/>
  </r>
  <r>
    <x v="7"/>
    <x v="1"/>
    <x v="0"/>
    <s v="5985200"/>
    <n v="718050"/>
    <s v="Contract Management--Linen"/>
    <s v="Inf Disease-Burien Shared Svc"/>
    <x v="0"/>
    <n v="1026"/>
    <n v="0"/>
    <n v="0"/>
    <n v="99"/>
    <n v="39.5"/>
    <n v="0"/>
    <n v="0"/>
    <n v="0"/>
    <n v="0"/>
    <n v="0"/>
    <n v="0"/>
    <n v="0"/>
    <n v="0"/>
    <n v="138.5"/>
    <n v="0"/>
  </r>
  <r>
    <x v="7"/>
    <x v="1"/>
    <x v="0"/>
    <s v="5985200"/>
    <n v="718050"/>
    <s v="Purchased Srvcs--Medical Waste"/>
    <s v="Inf Disease-Burien Shared Svc"/>
    <x v="0"/>
    <n v="1027"/>
    <n v="0"/>
    <n v="0"/>
    <n v="10"/>
    <n v="0"/>
    <n v="0"/>
    <n v="0"/>
    <n v="0"/>
    <n v="0"/>
    <n v="0"/>
    <n v="0"/>
    <n v="0"/>
    <n v="0"/>
    <n v="10"/>
    <n v="0"/>
  </r>
  <r>
    <x v="11"/>
    <x v="1"/>
    <x v="0"/>
    <s v="5985200"/>
    <n v="721250"/>
    <s v="Supplies-Pharmacy Drugs - Billable"/>
    <s v="Inf Disease-Burien Shared Svc"/>
    <x v="0"/>
    <m/>
    <n v="0"/>
    <n v="0"/>
    <n v="0"/>
    <n v="32.020000000000003"/>
    <n v="0"/>
    <n v="0"/>
    <n v="0"/>
    <n v="0"/>
    <n v="0"/>
    <n v="0"/>
    <n v="0"/>
    <n v="0"/>
    <n v="32.020000000000003"/>
    <n v="0"/>
  </r>
  <r>
    <x v="11"/>
    <x v="1"/>
    <x v="0"/>
    <s v="5985200"/>
    <n v="721410"/>
    <s v="Supplies-Medical - Nonbillable"/>
    <s v="Inf Disease-Burien Shared Svc"/>
    <x v="0"/>
    <m/>
    <n v="0"/>
    <n v="0"/>
    <n v="0"/>
    <n v="0"/>
    <n v="0"/>
    <n v="0"/>
    <n v="0"/>
    <n v="0"/>
    <n v="0"/>
    <n v="0"/>
    <n v="90.18"/>
    <n v="0"/>
    <n v="90.18"/>
    <n v="90.18"/>
  </r>
  <r>
    <x v="11"/>
    <x v="1"/>
    <x v="0"/>
    <s v="5985200"/>
    <n v="721810"/>
    <s v="Supplies-Dietary/Cafeteria"/>
    <s v="Inf Disease-Burien Shared Svc"/>
    <x v="0"/>
    <m/>
    <n v="0"/>
    <n v="0"/>
    <n v="0"/>
    <n v="0"/>
    <n v="0"/>
    <n v="0"/>
    <n v="0"/>
    <n v="0"/>
    <n v="36.86"/>
    <n v="20.72"/>
    <n v="30.44"/>
    <n v="0"/>
    <n v="88.02"/>
    <n v="30.44"/>
  </r>
  <r>
    <x v="11"/>
    <x v="1"/>
    <x v="0"/>
    <s v="5985200"/>
    <n v="721830"/>
    <s v="Supplies-Office"/>
    <s v="Inf Disease-Burien Shared Svc"/>
    <x v="0"/>
    <m/>
    <n v="0"/>
    <n v="135.81"/>
    <n v="42.44"/>
    <n v="261.14"/>
    <n v="177.33"/>
    <n v="190.13"/>
    <n v="206.42"/>
    <n v="129.19999999999999"/>
    <n v="163.80000000000001"/>
    <n v="90.98"/>
    <n v="270.48"/>
    <n v="79.8"/>
    <n v="1747.53"/>
    <n v="190.68"/>
  </r>
  <r>
    <x v="11"/>
    <x v="1"/>
    <x v="0"/>
    <s v="5985200"/>
    <n v="721835"/>
    <s v="Supplies-Forms"/>
    <s v="Inf Disease-Burien Shared Svc"/>
    <x v="0"/>
    <m/>
    <n v="0"/>
    <n v="0"/>
    <n v="0"/>
    <n v="0"/>
    <n v="0.06"/>
    <n v="0"/>
    <n v="1.1299999999999999"/>
    <n v="0"/>
    <n v="0"/>
    <n v="100.29"/>
    <n v="0"/>
    <n v="0"/>
    <n v="101.48"/>
    <n v="0"/>
  </r>
  <r>
    <x v="11"/>
    <x v="1"/>
    <x v="0"/>
    <s v="5985200"/>
    <n v="721910"/>
    <s v="Supplies-Small Equipment"/>
    <s v="Inf Disease-Burien Shared Svc"/>
    <x v="0"/>
    <m/>
    <n v="204.92"/>
    <n v="0"/>
    <n v="0"/>
    <n v="0"/>
    <n v="0"/>
    <n v="0"/>
    <n v="0"/>
    <n v="0"/>
    <n v="0"/>
    <n v="0"/>
    <n v="0"/>
    <n v="0"/>
    <n v="204.92"/>
    <n v="0"/>
  </r>
  <r>
    <x v="12"/>
    <x v="1"/>
    <x v="0"/>
    <s v="5985200"/>
    <n v="730020"/>
    <s v="Rental and Leases-Copier Usage Fees (DO NOT USE)"/>
    <s v="Inf Disease-Burien Shared Svc"/>
    <x v="0"/>
    <n v="5100"/>
    <n v="114.34"/>
    <n v="114.67"/>
    <n v="114.5"/>
    <n v="114.5"/>
    <n v="114.5"/>
    <n v="114.5"/>
    <n v="58.35"/>
    <n v="86.92"/>
    <n v="87.04"/>
    <n v="124.38"/>
    <n v="86.91"/>
    <n v="91.96"/>
    <n v="1222.57"/>
    <n v="-5.0499999999999972"/>
  </r>
  <r>
    <x v="15"/>
    <x v="1"/>
    <x v="0"/>
    <s v="5985200"/>
    <n v="731060"/>
    <s v="Telephone"/>
    <s v="Inf Disease-Burien Shared Svc"/>
    <x v="0"/>
    <m/>
    <n v="395.34"/>
    <n v="195.93"/>
    <n v="0"/>
    <n v="196.05"/>
    <n v="198.67"/>
    <n v="198.73"/>
    <n v="208.79"/>
    <n v="208.95"/>
    <n v="208.83"/>
    <n v="208.83"/>
    <n v="208.56"/>
    <n v="208.51"/>
    <n v="2437.1899999999996"/>
    <n v="5.0000000000011369E-2"/>
  </r>
  <r>
    <x v="15"/>
    <x v="1"/>
    <x v="0"/>
    <s v="5985200"/>
    <n v="731060"/>
    <s v="Pagers"/>
    <s v="Inf Disease-Burien Shared Svc"/>
    <x v="0"/>
    <n v="1002"/>
    <n v="16.2"/>
    <n v="16.2"/>
    <n v="35.630000000000003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141.11000000000001"/>
    <n v="0"/>
  </r>
  <r>
    <x v="0"/>
    <x v="1"/>
    <x v="0"/>
    <s v="5985200"/>
    <n v="742010"/>
    <s v="Postage-Regular"/>
    <s v="Inf Disease-Burien Shared Svc"/>
    <x v="0"/>
    <m/>
    <n v="0"/>
    <n v="0"/>
    <n v="0"/>
    <n v="0"/>
    <n v="0"/>
    <n v="0"/>
    <n v="0"/>
    <n v="12"/>
    <n v="0"/>
    <n v="0"/>
    <n v="0"/>
    <n v="0"/>
    <n v="12"/>
    <n v="0"/>
  </r>
  <r>
    <x v="0"/>
    <x v="1"/>
    <x v="0"/>
    <s v="5985200"/>
    <n v="749510"/>
    <s v="Miscellaneous Expenses"/>
    <s v="Inf Disease-Burien Shared Svc"/>
    <x v="0"/>
    <m/>
    <n v="0"/>
    <n v="44.16"/>
    <n v="-44.16"/>
    <n v="0"/>
    <n v="0"/>
    <n v="0"/>
    <n v="0"/>
    <n v="0"/>
    <n v="0"/>
    <n v="0"/>
    <n v="0"/>
    <n v="0"/>
    <n v="0"/>
    <n v="0"/>
  </r>
  <r>
    <x v="0"/>
    <x v="1"/>
    <x v="0"/>
    <s v="5985200"/>
    <n v="749510"/>
    <s v="RICE Rewards"/>
    <s v="Inf Disease-Burien Shared Svc"/>
    <x v="0"/>
    <n v="5100"/>
    <n v="0"/>
    <n v="0"/>
    <n v="0"/>
    <n v="0"/>
    <n v="0"/>
    <n v="0"/>
    <n v="0"/>
    <n v="0"/>
    <n v="0"/>
    <n v="0"/>
    <n v="0"/>
    <n v="33.340000000000003"/>
    <n v="33.340000000000003"/>
    <n v="-33.340000000000003"/>
  </r>
  <r>
    <x v="0"/>
    <x v="1"/>
    <x v="0"/>
    <s v="5985200"/>
    <n v="749530"/>
    <s v="Mileage"/>
    <s v="Inf Disease-Burien Shared Svc"/>
    <x v="0"/>
    <n v="1001"/>
    <n v="33.11"/>
    <n v="0"/>
    <n v="57.78"/>
    <n v="13.9"/>
    <n v="8.5399999999999991"/>
    <n v="3.36"/>
    <n v="8.5399999999999991"/>
    <n v="12.65"/>
    <n v="14.19"/>
    <n v="17.78"/>
    <n v="7.14"/>
    <n v="13.7"/>
    <n v="190.69"/>
    <n v="-6.56"/>
  </r>
  <r>
    <x v="0"/>
    <x v="1"/>
    <x v="0"/>
    <s v="5985200"/>
    <n v="749535"/>
    <s v="Meetings"/>
    <s v="Inf Disease-Burien Shared Svc"/>
    <x v="0"/>
    <m/>
    <n v="0"/>
    <n v="0"/>
    <n v="0"/>
    <n v="0"/>
    <n v="0"/>
    <n v="0"/>
    <n v="15.39"/>
    <n v="0"/>
    <n v="0"/>
    <n v="3.87"/>
    <n v="9.52"/>
    <n v="0"/>
    <n v="28.78"/>
    <n v="9.52"/>
  </r>
  <r>
    <x v="5"/>
    <x v="3"/>
    <x v="0"/>
    <s v="6005101"/>
    <n v="700014"/>
    <s v="Salaries-Management-Productive"/>
    <s v="Housekeeping"/>
    <x v="0"/>
    <m/>
    <n v="8318.2999999999993"/>
    <n v="7245.37"/>
    <n v="7621.04"/>
    <n v="1234.49"/>
    <n v="0"/>
    <n v="0"/>
    <n v="2867.13"/>
    <n v="9205.23"/>
    <n v="9356.27"/>
    <n v="9054.17"/>
    <n v="9356.27"/>
    <n v="9054.6"/>
    <n v="73312.87000000001"/>
    <n v="301.67000000000007"/>
  </r>
  <r>
    <x v="5"/>
    <x v="3"/>
    <x v="0"/>
    <s v="6005101"/>
    <n v="700014"/>
    <s v="Salaries-Management-OT"/>
    <s v="Housekeep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005101"/>
    <n v="700014"/>
    <s v="Salaries-Management-Other"/>
    <s v="Housekeeping"/>
    <x v="0"/>
    <n v="2000"/>
    <n v="0"/>
    <n v="0"/>
    <n v="0"/>
    <n v="0"/>
    <n v="0"/>
    <n v="0"/>
    <n v="30.05"/>
    <n v="-0.01"/>
    <n v="0"/>
    <n v="0"/>
    <n v="0"/>
    <n v="0"/>
    <n v="30.04"/>
    <n v="0"/>
  </r>
  <r>
    <x v="5"/>
    <x v="3"/>
    <x v="0"/>
    <s v="6005101"/>
    <n v="700018"/>
    <s v="Salaries-Supervisory-Productive"/>
    <s v="Housekeeping"/>
    <x v="0"/>
    <m/>
    <n v="3090.34"/>
    <n v="4732.09"/>
    <n v="3756.67"/>
    <n v="3719.7"/>
    <n v="8876.69"/>
    <n v="6058.37"/>
    <n v="6666.35"/>
    <n v="6958.61"/>
    <n v="7275.96"/>
    <n v="5072.13"/>
    <n v="3304.27"/>
    <n v="3270.87"/>
    <n v="62782.049999999996"/>
    <n v="33.400000000000091"/>
  </r>
  <r>
    <x v="5"/>
    <x v="3"/>
    <x v="0"/>
    <s v="6005101"/>
    <n v="700018"/>
    <s v="Salaries-Supervisory-Other"/>
    <s v="Housekeeping"/>
    <x v="0"/>
    <n v="2000"/>
    <n v="30"/>
    <n v="0"/>
    <n v="0"/>
    <n v="0"/>
    <n v="0"/>
    <n v="60"/>
    <n v="0"/>
    <n v="0"/>
    <n v="0"/>
    <n v="0"/>
    <n v="0"/>
    <n v="0"/>
    <n v="90"/>
    <n v="0"/>
  </r>
  <r>
    <x v="5"/>
    <x v="3"/>
    <x v="0"/>
    <s v="6005101"/>
    <n v="700038"/>
    <s v="Salaries-Service/Support-Productive"/>
    <s v="Housekeeping"/>
    <x v="0"/>
    <m/>
    <n v="200451.68"/>
    <n v="192939.08"/>
    <n v="205726.51"/>
    <n v="194831.06"/>
    <n v="209717.21"/>
    <n v="208887.49"/>
    <n v="217558.72"/>
    <n v="190794.52"/>
    <n v="219882.66"/>
    <n v="224003.57"/>
    <n v="249767.12"/>
    <n v="257818.21"/>
    <n v="2572377.83"/>
    <n v="-8051.0899999999965"/>
  </r>
  <r>
    <x v="5"/>
    <x v="3"/>
    <x v="0"/>
    <s v="6005101"/>
    <n v="700038"/>
    <s v="Salaries-Service/Support-OT"/>
    <s v="Housekeeping"/>
    <x v="0"/>
    <n v="1000"/>
    <n v="15372.25"/>
    <n v="19238.36"/>
    <n v="15850.84"/>
    <n v="17141.439999999999"/>
    <n v="13691.13"/>
    <n v="15374.54"/>
    <n v="14594.14"/>
    <n v="14683.32"/>
    <n v="19813.11"/>
    <n v="22474.12"/>
    <n v="23305.96"/>
    <n v="16347.95"/>
    <n v="207887.16"/>
    <n v="6958.0099999999984"/>
  </r>
  <r>
    <x v="5"/>
    <x v="3"/>
    <x v="0"/>
    <s v="6005101"/>
    <n v="700038"/>
    <s v="Salaries-Service/Support-Other"/>
    <s v="Housekeeping"/>
    <x v="0"/>
    <n v="2000"/>
    <n v="12532.37"/>
    <n v="12282.66"/>
    <n v="12295.06"/>
    <n v="11696.13"/>
    <n v="13528.41"/>
    <n v="13593.2"/>
    <n v="13739.24"/>
    <n v="11321.24"/>
    <n v="14207.55"/>
    <n v="14265.95"/>
    <n v="15262.98"/>
    <n v="14991.56"/>
    <n v="159716.35"/>
    <n v="271.42000000000007"/>
  </r>
  <r>
    <x v="5"/>
    <x v="3"/>
    <x v="0"/>
    <s v="6005101"/>
    <n v="700054"/>
    <s v="Salaries-Management-Non-productive"/>
    <s v="Housekeeping"/>
    <x v="0"/>
    <m/>
    <n v="0"/>
    <n v="1073.31"/>
    <n v="429.41"/>
    <n v="0"/>
    <n v="0"/>
    <n v="0"/>
    <n v="0"/>
    <n v="0"/>
    <n v="0"/>
    <n v="0"/>
    <n v="0"/>
    <n v="0"/>
    <n v="1502.72"/>
    <n v="0"/>
  </r>
  <r>
    <x v="5"/>
    <x v="3"/>
    <x v="0"/>
    <s v="6005101"/>
    <n v="700054"/>
    <s v="Salaries-Management-NonProd-Other"/>
    <s v="Housekeeping"/>
    <x v="0"/>
    <n v="2000"/>
    <n v="0"/>
    <n v="0"/>
    <n v="0"/>
    <n v="0"/>
    <n v="0"/>
    <n v="14140.05"/>
    <n v="-14140.05"/>
    <n v="0"/>
    <n v="0"/>
    <n v="0"/>
    <n v="0"/>
    <n v="0"/>
    <n v="0"/>
    <n v="0"/>
  </r>
  <r>
    <x v="5"/>
    <x v="3"/>
    <x v="0"/>
    <s v="6005101"/>
    <n v="700058"/>
    <s v="Salaries-Supervisory-Non-productive"/>
    <s v="Housekeeping"/>
    <x v="0"/>
    <m/>
    <n v="463.2"/>
    <n v="0"/>
    <n v="203.85"/>
    <n v="0"/>
    <n v="805.49"/>
    <n v="2291.6999999999998"/>
    <n v="1550.05"/>
    <n v="806.35"/>
    <n v="1321"/>
    <n v="1052.46"/>
    <n v="850.68"/>
    <n v="496.86"/>
    <n v="9841.6400000000012"/>
    <n v="353.81999999999994"/>
  </r>
  <r>
    <x v="5"/>
    <x v="3"/>
    <x v="0"/>
    <s v="6005101"/>
    <n v="700058"/>
    <s v="Salaries-Supervisory-NonProd-Other"/>
    <s v="Housekeeping"/>
    <x v="0"/>
    <n v="2000"/>
    <n v="0"/>
    <n v="0"/>
    <n v="0"/>
    <n v="0"/>
    <n v="353.31"/>
    <n v="0"/>
    <n v="0"/>
    <n v="0"/>
    <n v="0"/>
    <n v="0"/>
    <n v="0"/>
    <n v="0"/>
    <n v="353.31"/>
    <n v="0"/>
  </r>
  <r>
    <x v="5"/>
    <x v="3"/>
    <x v="0"/>
    <s v="6005101"/>
    <n v="700078"/>
    <s v="Salaries-Service/Support-Non-productive"/>
    <s v="Housekeeping"/>
    <x v="0"/>
    <m/>
    <n v="37097.32"/>
    <n v="40829.25"/>
    <n v="33294.92"/>
    <n v="38468.31"/>
    <n v="19323.52"/>
    <n v="41333.1"/>
    <n v="26018.12"/>
    <n v="35028.43"/>
    <n v="30517"/>
    <n v="26396.63"/>
    <n v="26763.21"/>
    <n v="29041.17"/>
    <n v="384110.98"/>
    <n v="-2277.9599999999991"/>
  </r>
  <r>
    <x v="5"/>
    <x v="3"/>
    <x v="0"/>
    <s v="6005101"/>
    <n v="700078"/>
    <s v="Salaries-Service/Support-NonProd-Other"/>
    <s v="Housekeeping"/>
    <x v="0"/>
    <n v="2000"/>
    <n v="1753.05"/>
    <n v="1645.31"/>
    <n v="1825.09"/>
    <n v="2197.62"/>
    <n v="4189.2"/>
    <n v="4281"/>
    <n v="869.41"/>
    <n v="-4387.0200000000004"/>
    <n v="1131.1500000000001"/>
    <n v="1260.72"/>
    <n v="1202.02"/>
    <n v="1528.65"/>
    <n v="17496.2"/>
    <n v="-326.63000000000011"/>
  </r>
  <r>
    <x v="5"/>
    <x v="3"/>
    <x v="0"/>
    <s v="6005101"/>
    <n v="700084"/>
    <s v="Accrued PTO"/>
    <s v="Housekeeping"/>
    <x v="0"/>
    <m/>
    <n v="-3472.8"/>
    <n v="-2958.24"/>
    <n v="3344.92"/>
    <n v="-5065.45"/>
    <n v="7952.55"/>
    <n v="-6721.85"/>
    <n v="4363.8999999999996"/>
    <n v="1318.02"/>
    <n v="1075.8"/>
    <n v="4400.22"/>
    <n v="8464.11"/>
    <n v="11731.53"/>
    <n v="24432.71"/>
    <n v="-3267.42"/>
  </r>
  <r>
    <x v="10"/>
    <x v="3"/>
    <x v="0"/>
    <s v="6005101"/>
    <n v="710060"/>
    <s v="Contract Labor-Other"/>
    <s v="Housekeeping"/>
    <x v="0"/>
    <m/>
    <n v="0"/>
    <n v="0"/>
    <n v="0"/>
    <n v="0"/>
    <n v="0"/>
    <n v="0"/>
    <n v="0"/>
    <n v="0"/>
    <n v="0"/>
    <n v="0"/>
    <n v="0"/>
    <n v="352615"/>
    <n v="352615"/>
    <n v="-352615"/>
  </r>
  <r>
    <x v="6"/>
    <x v="3"/>
    <x v="0"/>
    <s v="6005101"/>
    <n v="713010"/>
    <s v="Benefits-FICA/Medicare"/>
    <s v="Housekeeping"/>
    <x v="0"/>
    <m/>
    <n v="20556.990000000002"/>
    <n v="20610.04"/>
    <n v="20915.740000000002"/>
    <n v="20626.84"/>
    <n v="20876.560000000001"/>
    <n v="23081.13"/>
    <n v="22322.560000000001"/>
    <n v="19933.560000000001"/>
    <n v="22392.15"/>
    <n v="22273.360000000001"/>
    <n v="24452.43"/>
    <n v="24769.29"/>
    <n v="262810.64999999997"/>
    <n v="-316.86000000000058"/>
  </r>
  <r>
    <x v="6"/>
    <x v="3"/>
    <x v="0"/>
    <s v="6005101"/>
    <n v="713090"/>
    <s v="Benefits-Allocated Amounts"/>
    <s v="Housekeeping"/>
    <x v="0"/>
    <m/>
    <n v="97787.35"/>
    <n v="88641.55"/>
    <n v="99926.5"/>
    <n v="93170.11"/>
    <n v="96058.44"/>
    <n v="98207.8"/>
    <n v="104251.02"/>
    <n v="103252.26"/>
    <n v="92126.2"/>
    <n v="110075.99"/>
    <n v="124396.79"/>
    <n v="125968.67"/>
    <n v="1233862.68"/>
    <n v="-1571.8800000000047"/>
  </r>
  <r>
    <x v="6"/>
    <x v="3"/>
    <x v="0"/>
    <s v="6005101"/>
    <n v="713096"/>
    <s v="Employee Recognition"/>
    <s v="Housekeeping"/>
    <x v="0"/>
    <n v="1017"/>
    <n v="0"/>
    <n v="0"/>
    <n v="1001.37"/>
    <n v="0"/>
    <n v="0"/>
    <n v="0"/>
    <n v="0"/>
    <n v="0"/>
    <n v="0"/>
    <n v="0"/>
    <n v="0"/>
    <n v="345.84"/>
    <n v="1347.21"/>
    <n v="-345.84"/>
  </r>
  <r>
    <x v="7"/>
    <x v="3"/>
    <x v="0"/>
    <s v="6005101"/>
    <n v="718050"/>
    <s v="Contract Svcs-Other"/>
    <s v="Housekeeping"/>
    <x v="0"/>
    <m/>
    <n v="0"/>
    <n v="0"/>
    <n v="4535.79"/>
    <n v="0"/>
    <n v="3699.7"/>
    <n v="0"/>
    <n v="4288.7"/>
    <n v="33971.599999999999"/>
    <n v="17154.8"/>
    <n v="14165.5"/>
    <n v="6924.14"/>
    <n v="12789"/>
    <n v="97529.23"/>
    <n v="-5864.86"/>
  </r>
  <r>
    <x v="7"/>
    <x v="3"/>
    <x v="0"/>
    <s v="6005101"/>
    <n v="718050"/>
    <s v="Miscellaneous Purchased Svcs"/>
    <s v="Housekeeping"/>
    <x v="0"/>
    <n v="1020"/>
    <n v="132506.19"/>
    <n v="33741.86"/>
    <n v="213131.18"/>
    <n v="37548.730000000003"/>
    <n v="59130.87"/>
    <n v="70842.8"/>
    <n v="71920.539999999994"/>
    <n v="67239.39"/>
    <n v="23948.03"/>
    <n v="130678.13"/>
    <n v="137772.54"/>
    <n v="-248845.24"/>
    <n v="729615.02000000014"/>
    <n v="386617.78"/>
  </r>
  <r>
    <x v="7"/>
    <x v="3"/>
    <x v="0"/>
    <s v="6005101"/>
    <n v="718050"/>
    <s v="Contract Management--Linen"/>
    <s v="Housekeeping"/>
    <x v="0"/>
    <n v="1026"/>
    <n v="18.12"/>
    <n v="-0.69"/>
    <n v="0.35"/>
    <n v="2.57"/>
    <n v="8.02"/>
    <n v="4.0999999999999996"/>
    <n v="-0.24"/>
    <n v="8.0299999999999994"/>
    <n v="11.12"/>
    <n v="10.82"/>
    <n v="6.63"/>
    <n v="3.66"/>
    <n v="72.489999999999995"/>
    <n v="2.9699999999999998"/>
  </r>
  <r>
    <x v="11"/>
    <x v="3"/>
    <x v="0"/>
    <s v="6005101"/>
    <n v="721410"/>
    <s v="Supplies-Medical - Nonbillable"/>
    <s v="Housekeeping"/>
    <x v="0"/>
    <m/>
    <n v="303.33999999999997"/>
    <n v="102.42"/>
    <n v="297.66000000000003"/>
    <n v="992.88"/>
    <n v="135.07"/>
    <n v="88.12"/>
    <n v="683.69"/>
    <n v="538.61"/>
    <n v="175.33"/>
    <n v="1255.3699999999999"/>
    <n v="4987.2299999999996"/>
    <n v="1737.97"/>
    <n v="11297.689999999999"/>
    <n v="3249.2599999999993"/>
  </r>
  <r>
    <x v="11"/>
    <x v="3"/>
    <x v="0"/>
    <s v="6005101"/>
    <n v="721810"/>
    <s v="Supplies-Dietary/Cafeteria"/>
    <s v="Housekeeping"/>
    <x v="0"/>
    <m/>
    <n v="298.64"/>
    <n v="189.31"/>
    <n v="539.64"/>
    <n v="133.91"/>
    <n v="208.44"/>
    <n v="158.53"/>
    <n v="163.51"/>
    <n v="514.22"/>
    <n v="188.82"/>
    <n v="309.51"/>
    <n v="172.62"/>
    <n v="123.32"/>
    <n v="3000.47"/>
    <n v="49.300000000000011"/>
  </r>
  <r>
    <x v="11"/>
    <x v="3"/>
    <x v="0"/>
    <s v="6005101"/>
    <n v="721830"/>
    <s v="Supplies-Office"/>
    <s v="Housekeeping"/>
    <x v="0"/>
    <m/>
    <n v="136.27000000000001"/>
    <n v="305.12"/>
    <n v="136.44999999999999"/>
    <n v="125.43"/>
    <n v="1624.04"/>
    <n v="1003.64"/>
    <n v="4512.8599999999997"/>
    <n v="2437.9"/>
    <n v="497.39"/>
    <n v="300.99"/>
    <n v="356.94"/>
    <n v="50.22"/>
    <n v="11487.249999999998"/>
    <n v="306.72000000000003"/>
  </r>
  <r>
    <x v="11"/>
    <x v="3"/>
    <x v="0"/>
    <s v="6005101"/>
    <n v="721835"/>
    <s v="Supplies-Forms"/>
    <s v="Housekeeping"/>
    <x v="0"/>
    <m/>
    <n v="0"/>
    <n v="0"/>
    <n v="0"/>
    <n v="0"/>
    <n v="112"/>
    <n v="56"/>
    <n v="16.66"/>
    <n v="0"/>
    <n v="0"/>
    <n v="0"/>
    <n v="7.2"/>
    <n v="0"/>
    <n v="191.85999999999999"/>
    <n v="7.2"/>
  </r>
  <r>
    <x v="11"/>
    <x v="3"/>
    <x v="0"/>
    <s v="6005101"/>
    <n v="721870"/>
    <s v="Supplies-Environmental Services"/>
    <s v="Housekeeping"/>
    <x v="0"/>
    <m/>
    <n v="38803.81"/>
    <n v="42808.63"/>
    <n v="39041.800000000003"/>
    <n v="39012.94"/>
    <n v="33227.72"/>
    <n v="37775.18"/>
    <n v="45614.13"/>
    <n v="28461.29"/>
    <n v="41226.11"/>
    <n v="45751.58"/>
    <n v="55720.84"/>
    <n v="44354.14"/>
    <n v="491798.16999999993"/>
    <n v="11366.699999999997"/>
  </r>
  <r>
    <x v="11"/>
    <x v="3"/>
    <x v="0"/>
    <s v="6005101"/>
    <n v="721880"/>
    <s v="Supplies-Linen"/>
    <s v="Housekeeping"/>
    <x v="0"/>
    <m/>
    <n v="0"/>
    <n v="1887.87"/>
    <n v="0"/>
    <n v="-0.01"/>
    <n v="0"/>
    <n v="-103.31"/>
    <n v="-38.340000000000003"/>
    <n v="0"/>
    <n v="-104.91"/>
    <n v="0"/>
    <n v="1713.1"/>
    <n v="0"/>
    <n v="3354.3999999999996"/>
    <n v="1713.1"/>
  </r>
  <r>
    <x v="11"/>
    <x v="3"/>
    <x v="0"/>
    <s v="6005101"/>
    <n v="721910"/>
    <s v="Supplies-Small Equipment"/>
    <s v="Housekeeping"/>
    <x v="0"/>
    <m/>
    <n v="1592.22"/>
    <n v="1666.67"/>
    <n v="98.15"/>
    <n v="3249.94"/>
    <n v="-666.34"/>
    <n v="145.80000000000001"/>
    <n v="5698.11"/>
    <n v="181.8"/>
    <n v="5119.2"/>
    <n v="4550.3900000000003"/>
    <n v="203.64"/>
    <n v="206.88"/>
    <n v="22046.46"/>
    <n v="-3.2400000000000091"/>
  </r>
  <r>
    <x v="11"/>
    <x v="3"/>
    <x v="0"/>
    <s v="6005101"/>
    <n v="721980"/>
    <s v="Supplies-Other"/>
    <s v="Housekeeping"/>
    <x v="0"/>
    <m/>
    <n v="859.23"/>
    <n v="0"/>
    <n v="0"/>
    <n v="0"/>
    <n v="0"/>
    <n v="0"/>
    <n v="702.93"/>
    <n v="0"/>
    <n v="0"/>
    <n v="-65.25"/>
    <n v="0"/>
    <n v="0"/>
    <n v="1496.9099999999999"/>
    <n v="0"/>
  </r>
  <r>
    <x v="11"/>
    <x v="3"/>
    <x v="0"/>
    <s v="6005101"/>
    <n v="722000"/>
    <s v="Supplies-Freight Expense"/>
    <s v="Housekeeping"/>
    <x v="0"/>
    <m/>
    <n v="7.93"/>
    <n v="132.72"/>
    <n v="1416.68"/>
    <n v="21.74"/>
    <n v="0"/>
    <n v="141.30000000000001"/>
    <n v="0"/>
    <n v="280.23"/>
    <n v="0"/>
    <n v="139.86000000000001"/>
    <n v="33.04"/>
    <n v="386"/>
    <n v="2559.5"/>
    <n v="-352.96"/>
  </r>
  <r>
    <x v="12"/>
    <x v="3"/>
    <x v="0"/>
    <s v="6005101"/>
    <n v="730020"/>
    <s v="Rental and Leases-Equipment (DO NOT USE)"/>
    <s v="Housekeeping"/>
    <x v="0"/>
    <m/>
    <n v="0"/>
    <n v="2701.85"/>
    <n v="0"/>
    <n v="0"/>
    <n v="3107.14"/>
    <n v="0"/>
    <n v="0"/>
    <n v="0"/>
    <n v="0"/>
    <n v="0"/>
    <n v="0"/>
    <n v="0"/>
    <n v="5808.99"/>
    <n v="0"/>
  </r>
  <r>
    <x v="12"/>
    <x v="3"/>
    <x v="0"/>
    <s v="6005101"/>
    <n v="730020"/>
    <s v="Rental and Leases-Copier Usage Fees (DO NOT USE)"/>
    <s v="Housekeeping"/>
    <x v="0"/>
    <n v="5100"/>
    <n v="309.86"/>
    <n v="321.66000000000003"/>
    <n v="315.75"/>
    <n v="315.76"/>
    <n v="315.75"/>
    <n v="315.76"/>
    <n v="451.96"/>
    <n v="325.14"/>
    <n v="324.45999999999998"/>
    <n v="325.82"/>
    <n v="325.14"/>
    <n v="417.85"/>
    <n v="4064.91"/>
    <n v="-92.710000000000036"/>
  </r>
  <r>
    <x v="15"/>
    <x v="3"/>
    <x v="0"/>
    <s v="6005101"/>
    <n v="731060"/>
    <s v="Cell Phones"/>
    <s v="Housekeeping"/>
    <x v="0"/>
    <n v="1001"/>
    <n v="0"/>
    <n v="56.81"/>
    <n v="26.42"/>
    <n v="0"/>
    <n v="26.47"/>
    <n v="27"/>
    <n v="54.02"/>
    <n v="0"/>
    <n v="27.01"/>
    <n v="53.98"/>
    <n v="26.47"/>
    <n v="643.35"/>
    <n v="941.53"/>
    <n v="-616.88"/>
  </r>
  <r>
    <x v="15"/>
    <x v="3"/>
    <x v="0"/>
    <s v="6005101"/>
    <n v="731060"/>
    <s v="Pagers"/>
    <s v="Housekeeping"/>
    <x v="0"/>
    <n v="1002"/>
    <n v="0"/>
    <n v="0"/>
    <n v="0"/>
    <n v="0"/>
    <n v="0"/>
    <n v="0"/>
    <n v="41.08"/>
    <n v="0"/>
    <n v="27.53"/>
    <n v="0"/>
    <n v="-27.56"/>
    <n v="-27.56"/>
    <n v="13.489999999999998"/>
    <n v="0"/>
  </r>
  <r>
    <x v="16"/>
    <x v="3"/>
    <x v="0"/>
    <s v="6005101"/>
    <n v="732020"/>
    <s v="Repairs--Clin Equip-Parts-Internal to CHI Programs"/>
    <s v="Housekeeping"/>
    <x v="0"/>
    <m/>
    <n v="580.24"/>
    <n v="0"/>
    <n v="0"/>
    <n v="0"/>
    <n v="200.08"/>
    <n v="26.73"/>
    <n v="229.51"/>
    <n v="0"/>
    <n v="32.24"/>
    <n v="624.66"/>
    <n v="6.59"/>
    <n v="227.21"/>
    <n v="1927.26"/>
    <n v="-220.62"/>
  </r>
  <r>
    <x v="16"/>
    <x v="3"/>
    <x v="0"/>
    <s v="6005101"/>
    <n v="732030"/>
    <s v="Repairs---Other"/>
    <s v="Housekeeping"/>
    <x v="0"/>
    <m/>
    <n v="2717"/>
    <n v="274.42"/>
    <n v="0"/>
    <n v="0"/>
    <n v="0"/>
    <n v="0"/>
    <n v="0"/>
    <n v="0"/>
    <n v="0"/>
    <n v="0"/>
    <n v="0"/>
    <n v="0"/>
    <n v="2991.42"/>
    <n v="0"/>
  </r>
  <r>
    <x v="16"/>
    <x v="3"/>
    <x v="0"/>
    <s v="6005101"/>
    <n v="733030"/>
    <s v="Maintenance Contracts-Other"/>
    <s v="Housekeeping"/>
    <x v="0"/>
    <m/>
    <n v="0"/>
    <n v="0"/>
    <n v="0"/>
    <n v="0"/>
    <n v="0"/>
    <n v="0"/>
    <n v="0"/>
    <n v="0"/>
    <n v="0"/>
    <n v="0"/>
    <n v="0"/>
    <n v="172.15"/>
    <n v="172.15"/>
    <n v="-172.15"/>
  </r>
  <r>
    <x v="13"/>
    <x v="3"/>
    <x v="0"/>
    <s v="6005101"/>
    <n v="735070"/>
    <s v="Depreciation-Movable Equipment"/>
    <s v="Housekeeping"/>
    <x v="0"/>
    <m/>
    <n v="2900.4"/>
    <n v="2900.4"/>
    <n v="2900.4"/>
    <n v="2900.39"/>
    <n v="2900.4"/>
    <n v="2900.39"/>
    <n v="3467.53"/>
    <n v="3467.52"/>
    <n v="3467.53"/>
    <n v="2402.06"/>
    <n v="2402.08"/>
    <n v="2402.06"/>
    <n v="35011.159999999996"/>
    <n v="1.999999999998181E-2"/>
  </r>
  <r>
    <x v="0"/>
    <x v="3"/>
    <x v="0"/>
    <s v="6005101"/>
    <n v="749510"/>
    <s v="Miscellaneous Expenses"/>
    <s v="Housekeeping"/>
    <x v="0"/>
    <m/>
    <n v="172.6"/>
    <n v="933.6"/>
    <n v="483.34"/>
    <n v="53.73"/>
    <n v="0"/>
    <n v="0"/>
    <n v="-62.68"/>
    <n v="-3"/>
    <n v="12"/>
    <n v="-1905"/>
    <n v="0"/>
    <n v="-133.96"/>
    <n v="-449.37000000000012"/>
    <n v="133.96"/>
  </r>
  <r>
    <x v="0"/>
    <x v="3"/>
    <x v="0"/>
    <s v="6005101"/>
    <n v="749510"/>
    <s v="Late Payment Penalties &amp; Interest"/>
    <s v="Housekeeping"/>
    <x v="0"/>
    <n v="4600"/>
    <n v="2700"/>
    <n v="0"/>
    <n v="0"/>
    <n v="0"/>
    <n v="0"/>
    <n v="0"/>
    <n v="0"/>
    <n v="0"/>
    <n v="0"/>
    <n v="0"/>
    <n v="0"/>
    <n v="0"/>
    <n v="2700"/>
    <n v="0"/>
  </r>
  <r>
    <x v="0"/>
    <x v="3"/>
    <x v="0"/>
    <s v="6005101"/>
    <n v="749530"/>
    <s v="Travel"/>
    <s v="Housekeeping"/>
    <x v="0"/>
    <m/>
    <n v="0"/>
    <n v="20"/>
    <n v="0"/>
    <n v="0"/>
    <n v="0"/>
    <n v="0"/>
    <n v="0"/>
    <n v="0"/>
    <n v="741.26"/>
    <n v="0"/>
    <n v="1655.77"/>
    <n v="0"/>
    <n v="2417.0299999999997"/>
    <n v="1655.77"/>
  </r>
  <r>
    <x v="0"/>
    <x v="3"/>
    <x v="0"/>
    <s v="6005101"/>
    <n v="749530"/>
    <s v="Mileage"/>
    <s v="Housekeeping"/>
    <x v="0"/>
    <n v="1001"/>
    <n v="0"/>
    <n v="152.6"/>
    <n v="0"/>
    <n v="0"/>
    <n v="0"/>
    <n v="0"/>
    <n v="0"/>
    <n v="0"/>
    <n v="0"/>
    <n v="0"/>
    <n v="0"/>
    <n v="0"/>
    <n v="152.6"/>
    <n v="0"/>
  </r>
  <r>
    <x v="5"/>
    <x v="0"/>
    <x v="0"/>
    <s v="6005102"/>
    <n v="700014"/>
    <s v="Salaries-Management-Productive"/>
    <s v="Housekeeping"/>
    <x v="0"/>
    <m/>
    <n v="3735.99"/>
    <n v="6813.23"/>
    <n v="6285.84"/>
    <n v="6141.03"/>
    <n v="5175.42"/>
    <n v="4286.53"/>
    <n v="6667.66"/>
    <n v="6393.36"/>
    <n v="6073.76"/>
    <n v="6895.49"/>
    <n v="7078.41"/>
    <n v="4886.51"/>
    <n v="70433.23"/>
    <n v="2191.8999999999996"/>
  </r>
  <r>
    <x v="5"/>
    <x v="0"/>
    <x v="0"/>
    <s v="6005102"/>
    <n v="700014"/>
    <s v="Salaries-Management-Other"/>
    <s v="Housekeeping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0"/>
    <x v="0"/>
    <s v="6005102"/>
    <n v="700038"/>
    <s v="Salaries-Service/Support-Productive"/>
    <s v="Housekeeping"/>
    <x v="0"/>
    <m/>
    <n v="74713.789999999994"/>
    <n v="81953.649999999994"/>
    <n v="84680.28"/>
    <n v="98030.98"/>
    <n v="83751.62"/>
    <n v="94086.34"/>
    <n v="88031.17"/>
    <n v="75967.56"/>
    <n v="92401.08"/>
    <n v="87638.6"/>
    <n v="87757.32"/>
    <n v="85992.07"/>
    <n v="1035004.4600000002"/>
    <n v="1765.25"/>
  </r>
  <r>
    <x v="5"/>
    <x v="0"/>
    <x v="0"/>
    <s v="6005102"/>
    <n v="700038"/>
    <s v="Salaries-Service/Support-OT"/>
    <s v="Housekeeping"/>
    <x v="0"/>
    <n v="1000"/>
    <n v="251.39"/>
    <n v="655.51"/>
    <n v="376.67"/>
    <n v="523.94000000000005"/>
    <n v="107.1"/>
    <n v="656.2"/>
    <n v="1351.73"/>
    <n v="2950.6"/>
    <n v="995.24"/>
    <n v="415.84"/>
    <n v="1275.8599999999999"/>
    <n v="688.06"/>
    <n v="10248.14"/>
    <n v="587.79999999999995"/>
  </r>
  <r>
    <x v="5"/>
    <x v="0"/>
    <x v="0"/>
    <s v="6005102"/>
    <n v="700038"/>
    <s v="Salaries-Service/Support-Other"/>
    <s v="Housekeeping"/>
    <x v="0"/>
    <n v="2000"/>
    <n v="5180.3900000000003"/>
    <n v="5513.94"/>
    <n v="5882.38"/>
    <n v="6820.04"/>
    <n v="5410.19"/>
    <n v="6306.26"/>
    <n v="5850.11"/>
    <n v="5205.5"/>
    <n v="6851.75"/>
    <n v="6449.87"/>
    <n v="6927.39"/>
    <n v="6392.17"/>
    <n v="72789.990000000005"/>
    <n v="535.22000000000025"/>
  </r>
  <r>
    <x v="5"/>
    <x v="0"/>
    <x v="0"/>
    <s v="6005102"/>
    <n v="700054"/>
    <s v="Salaries-Management-Non-productive"/>
    <s v="Housekeeping"/>
    <x v="0"/>
    <m/>
    <n v="0"/>
    <n v="0"/>
    <n v="307.69"/>
    <n v="877.68"/>
    <n v="1664.41"/>
    <n v="2781.5"/>
    <n v="411.43"/>
    <n v="0"/>
    <n v="1004.64"/>
    <n v="-45.64"/>
    <n v="0"/>
    <n v="1963.64"/>
    <n v="8965.35"/>
    <n v="-1963.64"/>
  </r>
  <r>
    <x v="5"/>
    <x v="0"/>
    <x v="0"/>
    <s v="6005102"/>
    <n v="700054"/>
    <s v="Salaries-Management-NonProd-Other"/>
    <s v="Housekeeping"/>
    <x v="0"/>
    <n v="2000"/>
    <n v="0"/>
    <n v="0"/>
    <n v="0"/>
    <n v="0"/>
    <n v="448.13"/>
    <n v="3762.98"/>
    <n v="-3762.98"/>
    <n v="-448.13"/>
    <n v="0"/>
    <n v="0"/>
    <n v="0"/>
    <n v="0"/>
    <n v="-3.4106051316484809E-13"/>
    <n v="0"/>
  </r>
  <r>
    <x v="5"/>
    <x v="0"/>
    <x v="0"/>
    <s v="6005102"/>
    <n v="700078"/>
    <s v="Salaries-Service/Support-Non-productive"/>
    <s v="Housekeeping"/>
    <x v="0"/>
    <m/>
    <n v="12005.43"/>
    <n v="11578.24"/>
    <n v="10082.89"/>
    <n v="6735.83"/>
    <n v="16313.38"/>
    <n v="17359.54"/>
    <n v="18653.28"/>
    <n v="22038.22"/>
    <n v="10137.01"/>
    <n v="10289.83"/>
    <n v="14255.51"/>
    <n v="15545.37"/>
    <n v="164994.53"/>
    <n v="-1289.8600000000006"/>
  </r>
  <r>
    <x v="5"/>
    <x v="0"/>
    <x v="0"/>
    <s v="6005102"/>
    <n v="700078"/>
    <s v="Salaries-Service/Support-NonProd-Other"/>
    <s v="Housekeeping"/>
    <x v="0"/>
    <n v="2000"/>
    <n v="501.08"/>
    <n v="-22479.16"/>
    <n v="445.77"/>
    <n v="294.52"/>
    <n v="4441.26"/>
    <n v="9487.33"/>
    <n v="1285.3499999999999"/>
    <n v="-10059.549999999999"/>
    <n v="556.71"/>
    <n v="438.79"/>
    <n v="763.01"/>
    <n v="1226.97"/>
    <n v="-13097.919999999998"/>
    <n v="-463.96000000000004"/>
  </r>
  <r>
    <x v="5"/>
    <x v="0"/>
    <x v="0"/>
    <s v="6005102"/>
    <n v="700084"/>
    <s v="Accrued PTO"/>
    <s v="Housekeeping"/>
    <x v="0"/>
    <m/>
    <n v="2626.16"/>
    <n v="2948.06"/>
    <n v="217.85"/>
    <n v="9120.17"/>
    <n v="-2209.08"/>
    <n v="-276.19"/>
    <n v="-2521.33"/>
    <n v="-4487.8999999999996"/>
    <n v="3565.99"/>
    <n v="2786.7"/>
    <n v="387.03"/>
    <n v="-4025.89"/>
    <n v="8131.5700000000015"/>
    <n v="4412.92"/>
  </r>
  <r>
    <x v="10"/>
    <x v="0"/>
    <x v="0"/>
    <s v="6005102"/>
    <n v="710060"/>
    <s v="Contract Labor-Other"/>
    <s v="Housekeeping"/>
    <x v="0"/>
    <m/>
    <n v="0"/>
    <n v="0"/>
    <n v="0"/>
    <n v="0"/>
    <n v="0"/>
    <n v="0"/>
    <n v="0"/>
    <n v="0"/>
    <n v="0"/>
    <n v="0"/>
    <n v="0"/>
    <n v="182437.5"/>
    <n v="182437.5"/>
    <n v="-182437.5"/>
  </r>
  <r>
    <x v="6"/>
    <x v="0"/>
    <x v="0"/>
    <s v="6005102"/>
    <n v="713010"/>
    <s v="Benefits-FICA/Medicare"/>
    <s v="Housekeeping"/>
    <x v="0"/>
    <m/>
    <n v="7037.85"/>
    <n v="6058.87"/>
    <n v="7903.43"/>
    <n v="8712.89"/>
    <n v="9420.7900000000009"/>
    <n v="11381.5"/>
    <n v="9313.7000000000007"/>
    <n v="8224.82"/>
    <n v="8549.58"/>
    <n v="8051.54"/>
    <n v="8678.01"/>
    <n v="9030.85"/>
    <n v="102363.83"/>
    <n v="-352.84000000000015"/>
  </r>
  <r>
    <x v="6"/>
    <x v="0"/>
    <x v="0"/>
    <s v="6005102"/>
    <n v="713090"/>
    <s v="Benefits-Allocated Amounts"/>
    <s v="Housekeeping"/>
    <x v="0"/>
    <m/>
    <n v="32703.19"/>
    <n v="30694.52"/>
    <n v="35044.94"/>
    <n v="37107.82"/>
    <n v="36331.360000000001"/>
    <n v="39767.760000000002"/>
    <n v="40138.17"/>
    <n v="38362.400000000001"/>
    <n v="36611.58"/>
    <n v="38193.870000000003"/>
    <n v="39195.31"/>
    <n v="39602.230000000003"/>
    <n v="443753.15"/>
    <n v="-406.92000000000553"/>
  </r>
  <r>
    <x v="7"/>
    <x v="0"/>
    <x v="0"/>
    <s v="6005102"/>
    <n v="718050"/>
    <s v="Contract Svcs-Other"/>
    <s v="Housekeeping"/>
    <x v="0"/>
    <m/>
    <n v="48063.34"/>
    <n v="56217.09"/>
    <n v="-11227.95"/>
    <n v="3201"/>
    <n v="736.8"/>
    <n v="28298.9"/>
    <n v="18690.39"/>
    <n v="46324.26"/>
    <n v="27991.200000000001"/>
    <n v="70830.080000000002"/>
    <n v="38157.42"/>
    <n v="-174831.4"/>
    <n v="152451.13000000003"/>
    <n v="212988.82"/>
  </r>
  <r>
    <x v="7"/>
    <x v="0"/>
    <x v="0"/>
    <s v="6005102"/>
    <n v="718050"/>
    <s v="Miscellaneous Purchased Svcs"/>
    <s v="Housekeeping"/>
    <x v="0"/>
    <n v="1020"/>
    <n v="21053.759999999998"/>
    <n v="5915.1"/>
    <n v="9563.6299999999992"/>
    <n v="32462.04"/>
    <n v="2522.98"/>
    <n v="0"/>
    <n v="-1828.6"/>
    <n v="0"/>
    <n v="0"/>
    <n v="0"/>
    <n v="0"/>
    <n v="0"/>
    <n v="69688.909999999989"/>
    <n v="0"/>
  </r>
  <r>
    <x v="11"/>
    <x v="0"/>
    <x v="0"/>
    <s v="6005102"/>
    <n v="721010"/>
    <s v="Supplies-Medical - Billable"/>
    <s v="Housekeeping"/>
    <x v="0"/>
    <m/>
    <n v="0"/>
    <n v="0"/>
    <n v="0"/>
    <n v="0"/>
    <n v="0"/>
    <n v="0"/>
    <n v="0"/>
    <n v="0"/>
    <n v="0"/>
    <n v="0"/>
    <n v="5.18"/>
    <n v="0"/>
    <n v="5.18"/>
    <n v="5.18"/>
  </r>
  <r>
    <x v="11"/>
    <x v="0"/>
    <x v="0"/>
    <s v="6005102"/>
    <n v="721410"/>
    <s v="Supplies-Medical - Nonbillable"/>
    <s v="Housekeeping"/>
    <x v="0"/>
    <m/>
    <n v="55.6"/>
    <n v="52.07"/>
    <n v="13.9"/>
    <n v="1553.41"/>
    <n v="23.77"/>
    <n v="34.75"/>
    <n v="31.19"/>
    <n v="36.36"/>
    <n v="97.44"/>
    <n v="83.44"/>
    <n v="27.8"/>
    <n v="34.75"/>
    <n v="2044.48"/>
    <n v="-6.9499999999999993"/>
  </r>
  <r>
    <x v="11"/>
    <x v="0"/>
    <x v="0"/>
    <s v="6005102"/>
    <n v="721810"/>
    <s v="Supplies-Dietary/Cafeteria"/>
    <s v="Housekeeping"/>
    <x v="0"/>
    <m/>
    <n v="8"/>
    <n v="64.05"/>
    <n v="329.23"/>
    <n v="87.11"/>
    <n v="41.9"/>
    <n v="23.15"/>
    <n v="180.98"/>
    <n v="301.48"/>
    <n v="112.43"/>
    <n v="55.45"/>
    <n v="47.18"/>
    <n v="40"/>
    <n v="1290.9600000000003"/>
    <n v="7.18"/>
  </r>
  <r>
    <x v="11"/>
    <x v="0"/>
    <x v="0"/>
    <s v="6005102"/>
    <n v="721830"/>
    <s v="Supplies-Office"/>
    <s v="Housekeeping"/>
    <x v="0"/>
    <m/>
    <n v="0"/>
    <n v="85.18"/>
    <n v="102.57"/>
    <n v="181.71"/>
    <n v="0"/>
    <n v="0"/>
    <n v="883.76"/>
    <n v="0"/>
    <n v="111.05"/>
    <n v="78.16"/>
    <n v="0"/>
    <n v="0"/>
    <n v="1442.43"/>
    <n v="0"/>
  </r>
  <r>
    <x v="11"/>
    <x v="0"/>
    <x v="0"/>
    <s v="6005102"/>
    <n v="721835"/>
    <s v="Supplies-Forms"/>
    <s v="Housekeeping"/>
    <x v="0"/>
    <m/>
    <n v="0"/>
    <n v="0"/>
    <n v="0"/>
    <n v="0"/>
    <n v="56"/>
    <n v="112"/>
    <n v="16.66"/>
    <n v="0"/>
    <n v="0"/>
    <n v="0"/>
    <n v="252"/>
    <n v="0"/>
    <n v="436.65999999999997"/>
    <n v="252"/>
  </r>
  <r>
    <x v="11"/>
    <x v="0"/>
    <x v="0"/>
    <s v="6005102"/>
    <n v="721870"/>
    <s v="Supplies-Environmental Services"/>
    <s v="Housekeeping"/>
    <x v="0"/>
    <m/>
    <n v="16767.23"/>
    <n v="15284.81"/>
    <n v="13624.79"/>
    <n v="15411.73"/>
    <n v="22273.31"/>
    <n v="15401.52"/>
    <n v="18610.13"/>
    <n v="19693.95"/>
    <n v="16758.84"/>
    <n v="12304.48"/>
    <n v="18037.48"/>
    <n v="15114.05"/>
    <n v="199282.32"/>
    <n v="2923.4300000000003"/>
  </r>
  <r>
    <x v="11"/>
    <x v="0"/>
    <x v="0"/>
    <s v="6005102"/>
    <n v="721910"/>
    <s v="Supplies-Small Equipment"/>
    <s v="Housekeeping"/>
    <x v="0"/>
    <m/>
    <n v="22.76"/>
    <n v="11.52"/>
    <n v="106.06"/>
    <n v="23.88"/>
    <n v="14.4"/>
    <n v="26.4"/>
    <n v="3081.2"/>
    <n v="44.76"/>
    <n v="48.96"/>
    <n v="25.36"/>
    <n v="1613.76"/>
    <n v="556.91999999999996"/>
    <n v="5575.9800000000005"/>
    <n v="1056.8400000000001"/>
  </r>
  <r>
    <x v="11"/>
    <x v="0"/>
    <x v="0"/>
    <s v="6005102"/>
    <n v="721980"/>
    <s v="Supplies-Other"/>
    <s v="Housekeeping"/>
    <x v="0"/>
    <m/>
    <n v="0"/>
    <n v="0"/>
    <n v="0"/>
    <n v="0"/>
    <n v="0"/>
    <n v="0"/>
    <n v="137.15"/>
    <n v="0"/>
    <n v="0"/>
    <n v="-3169.01"/>
    <n v="0"/>
    <n v="0"/>
    <n v="-3031.86"/>
    <n v="0"/>
  </r>
  <r>
    <x v="11"/>
    <x v="0"/>
    <x v="0"/>
    <s v="6005102"/>
    <n v="722000"/>
    <s v="Supplies-Freight Expense"/>
    <s v="Housekeeping"/>
    <x v="0"/>
    <m/>
    <n v="15.87"/>
    <n v="0"/>
    <n v="0"/>
    <n v="19.48"/>
    <n v="0"/>
    <n v="88.36"/>
    <n v="0"/>
    <n v="16.48"/>
    <n v="244.2"/>
    <n v="0"/>
    <n v="0"/>
    <n v="0"/>
    <n v="384.39"/>
    <n v="0"/>
  </r>
  <r>
    <x v="12"/>
    <x v="0"/>
    <x v="0"/>
    <s v="6005102"/>
    <n v="730020"/>
    <s v="Rental and Leases-Copier Usage Fees (DO NOT USE)"/>
    <s v="Housekeeping"/>
    <x v="0"/>
    <n v="5100"/>
    <n v="94.69"/>
    <n v="95.11"/>
    <n v="94.9"/>
    <n v="94.9"/>
    <n v="94.9"/>
    <n v="94.9"/>
    <n v="-224.17"/>
    <n v="55.75"/>
    <n v="55.64"/>
    <n v="228.09"/>
    <n v="55.75"/>
    <n v="62.22"/>
    <n v="802.68000000000006"/>
    <n v="-6.4699999999999989"/>
  </r>
  <r>
    <x v="15"/>
    <x v="0"/>
    <x v="0"/>
    <s v="6005102"/>
    <n v="731060"/>
    <s v="Cell Phones"/>
    <s v="Housekeeping"/>
    <x v="0"/>
    <n v="1001"/>
    <n v="0"/>
    <n v="54.63"/>
    <n v="26.81"/>
    <n v="0"/>
    <n v="80.5"/>
    <n v="27.42"/>
    <n v="54.91"/>
    <n v="0"/>
    <n v="28.05"/>
    <n v="54.82"/>
    <n v="26.85"/>
    <n v="643.72"/>
    <n v="997.71"/>
    <n v="-616.87"/>
  </r>
  <r>
    <x v="16"/>
    <x v="0"/>
    <x v="0"/>
    <s v="6005102"/>
    <n v="732020"/>
    <s v="Repairs--Clin Equip-Parts-Internal to CHI Programs"/>
    <s v="Housekeeping"/>
    <x v="0"/>
    <m/>
    <n v="0"/>
    <n v="0"/>
    <n v="0"/>
    <n v="31"/>
    <n v="0"/>
    <n v="0"/>
    <n v="0"/>
    <n v="0"/>
    <n v="0"/>
    <n v="0"/>
    <n v="133.32"/>
    <n v="0"/>
    <n v="164.32"/>
    <n v="133.32"/>
  </r>
  <r>
    <x v="16"/>
    <x v="0"/>
    <x v="0"/>
    <s v="6005102"/>
    <n v="733030"/>
    <s v="Maintenance Contracts-Other"/>
    <s v="Housekeeping"/>
    <x v="0"/>
    <m/>
    <n v="229.63"/>
    <n v="0"/>
    <n v="0"/>
    <n v="0"/>
    <n v="0"/>
    <n v="0"/>
    <n v="0"/>
    <n v="0"/>
    <n v="0"/>
    <n v="0"/>
    <n v="0"/>
    <n v="0"/>
    <n v="229.63"/>
    <n v="0"/>
  </r>
  <r>
    <x v="13"/>
    <x v="0"/>
    <x v="0"/>
    <s v="6005102"/>
    <n v="735070"/>
    <s v="Depreciation-Movable Equipment"/>
    <s v="Housekeeping"/>
    <x v="0"/>
    <m/>
    <n v="79.59"/>
    <n v="79.599999999999994"/>
    <n v="79.58"/>
    <n v="0"/>
    <n v="0"/>
    <n v="0"/>
    <n v="0"/>
    <n v="0"/>
    <n v="0"/>
    <n v="0"/>
    <n v="0"/>
    <n v="0"/>
    <n v="238.76999999999998"/>
    <n v="0"/>
  </r>
  <r>
    <x v="0"/>
    <x v="0"/>
    <x v="0"/>
    <s v="6005102"/>
    <n v="749510"/>
    <s v="Miscellaneous Expenses"/>
    <s v="Housekeeping"/>
    <x v="0"/>
    <m/>
    <n v="-162.15"/>
    <n v="1994.2"/>
    <n v="175.6"/>
    <n v="1220.1600000000001"/>
    <n v="0"/>
    <n v="28.77"/>
    <n v="0"/>
    <n v="544"/>
    <n v="1237.6099999999999"/>
    <n v="115"/>
    <n v="601.25"/>
    <n v="0"/>
    <n v="5754.44"/>
    <n v="601.25"/>
  </r>
  <r>
    <x v="0"/>
    <x v="0"/>
    <x v="0"/>
    <s v="6005102"/>
    <n v="749530"/>
    <s v="Travel"/>
    <s v="Housekeeping"/>
    <x v="0"/>
    <m/>
    <n v="5"/>
    <n v="0"/>
    <n v="176.15"/>
    <n v="0"/>
    <n v="0"/>
    <n v="0"/>
    <n v="0"/>
    <n v="0"/>
    <n v="0"/>
    <n v="0"/>
    <n v="0"/>
    <n v="0"/>
    <n v="181.15"/>
    <n v="0"/>
  </r>
  <r>
    <x v="0"/>
    <x v="0"/>
    <x v="0"/>
    <s v="6005102"/>
    <n v="749530"/>
    <s v="Mileage"/>
    <s v="Housekeeping"/>
    <x v="0"/>
    <n v="1001"/>
    <n v="49.05"/>
    <n v="0"/>
    <n v="0"/>
    <n v="0"/>
    <n v="0"/>
    <n v="0"/>
    <n v="0"/>
    <n v="0"/>
    <n v="0"/>
    <n v="0"/>
    <n v="0"/>
    <n v="0"/>
    <n v="49.05"/>
    <n v="0"/>
  </r>
  <r>
    <x v="5"/>
    <x v="4"/>
    <x v="0"/>
    <s v="6005103"/>
    <n v="700018"/>
    <s v="Salaries-Supervisory-Productive"/>
    <s v="Housekeeping"/>
    <x v="0"/>
    <m/>
    <n v="4354"/>
    <n v="4354.2"/>
    <n v="4213.8"/>
    <n v="3028.49"/>
    <n v="5012.45"/>
    <n v="4050.9"/>
    <n v="4173.88"/>
    <n v="3327.18"/>
    <n v="4027.63"/>
    <n v="3210.37"/>
    <n v="4304.84"/>
    <n v="3721.26"/>
    <n v="47779.000000000007"/>
    <n v="583.57999999999993"/>
  </r>
  <r>
    <x v="5"/>
    <x v="4"/>
    <x v="0"/>
    <s v="6005103"/>
    <n v="700038"/>
    <s v="Salaries-Service/Support-Productive"/>
    <s v="Housekeeping"/>
    <x v="0"/>
    <m/>
    <n v="56504.67"/>
    <n v="58061.91"/>
    <n v="60010.98"/>
    <n v="50894.66"/>
    <n v="63170.400000000001"/>
    <n v="66064.45"/>
    <n v="67592.31"/>
    <n v="60484.35"/>
    <n v="67533.59"/>
    <n v="68742.38"/>
    <n v="69032.259999999995"/>
    <n v="61720.08"/>
    <n v="749812.03999999992"/>
    <n v="7312.179999999993"/>
  </r>
  <r>
    <x v="5"/>
    <x v="4"/>
    <x v="0"/>
    <s v="6005103"/>
    <n v="700038"/>
    <s v="Salaries-Service/Support-OT"/>
    <s v="Housekeeping"/>
    <x v="0"/>
    <n v="1000"/>
    <n v="820.59"/>
    <n v="924.38"/>
    <n v="813.98"/>
    <n v="1040.8"/>
    <n v="423.45"/>
    <n v="470.26"/>
    <n v="369.6"/>
    <n v="459.49"/>
    <n v="548.84"/>
    <n v="919.16"/>
    <n v="840.87"/>
    <n v="363.49"/>
    <n v="7994.91"/>
    <n v="477.38"/>
  </r>
  <r>
    <x v="5"/>
    <x v="4"/>
    <x v="0"/>
    <s v="6005103"/>
    <n v="700038"/>
    <s v="Salaries-Service/Support-Other"/>
    <s v="Housekeeping"/>
    <x v="0"/>
    <n v="2000"/>
    <n v="3967.52"/>
    <n v="4602.76"/>
    <n v="5344.79"/>
    <n v="3818.94"/>
    <n v="4419.09"/>
    <n v="4539.28"/>
    <n v="4765.57"/>
    <n v="4797.8100000000004"/>
    <n v="5677.85"/>
    <n v="5009.13"/>
    <n v="5201.8900000000003"/>
    <n v="4477.1899999999996"/>
    <n v="56621.819999999992"/>
    <n v="724.70000000000073"/>
  </r>
  <r>
    <x v="5"/>
    <x v="4"/>
    <x v="0"/>
    <s v="6005103"/>
    <n v="700054"/>
    <s v="Salaries-Management-Non-productive"/>
    <s v="Housekeeping"/>
    <x v="0"/>
    <m/>
    <n v="0"/>
    <n v="0"/>
    <n v="0"/>
    <n v="0"/>
    <n v="-1109.4100000000001"/>
    <n v="0"/>
    <n v="0"/>
    <n v="0"/>
    <n v="0"/>
    <n v="0"/>
    <n v="0"/>
    <n v="0"/>
    <n v="-1109.4100000000001"/>
    <n v="0"/>
  </r>
  <r>
    <x v="5"/>
    <x v="4"/>
    <x v="0"/>
    <s v="6005103"/>
    <n v="700054"/>
    <s v="Salaries-Management-NonProd-Other"/>
    <s v="Housekeeping"/>
    <x v="0"/>
    <n v="2000"/>
    <n v="0"/>
    <n v="0"/>
    <n v="0"/>
    <n v="0"/>
    <n v="0"/>
    <n v="2170.5"/>
    <n v="-2170.5"/>
    <n v="0"/>
    <n v="0"/>
    <n v="0"/>
    <n v="0"/>
    <n v="0"/>
    <n v="0"/>
    <n v="0"/>
  </r>
  <r>
    <x v="5"/>
    <x v="4"/>
    <x v="0"/>
    <s v="6005103"/>
    <n v="700058"/>
    <s v="Salaries-Supervisory-Non-productive"/>
    <s v="Housekeeping"/>
    <x v="0"/>
    <m/>
    <n v="0"/>
    <n v="0"/>
    <n v="0"/>
    <n v="1457.13"/>
    <n v="-641.13"/>
    <n v="466.26"/>
    <n v="350.34"/>
    <n v="758.79"/>
    <n v="496.17"/>
    <n v="1167.3399999999999"/>
    <n v="218.95"/>
    <n v="656.69"/>
    <n v="4930.5400000000009"/>
    <n v="-437.74000000000007"/>
  </r>
  <r>
    <x v="5"/>
    <x v="4"/>
    <x v="0"/>
    <s v="6005103"/>
    <n v="700078"/>
    <s v="Salaries-Service/Support-Non-productive"/>
    <s v="Housekeeping"/>
    <x v="0"/>
    <m/>
    <n v="14983.56"/>
    <n v="11519.08"/>
    <n v="15504.77"/>
    <n v="16571.8"/>
    <n v="7354.2"/>
    <n v="11629.39"/>
    <n v="10034.120000000001"/>
    <n v="12328.12"/>
    <n v="7055.27"/>
    <n v="6830.36"/>
    <n v="7480.51"/>
    <n v="12686.16"/>
    <n v="133977.34"/>
    <n v="-5205.6499999999996"/>
  </r>
  <r>
    <x v="5"/>
    <x v="4"/>
    <x v="0"/>
    <s v="6005103"/>
    <n v="700078"/>
    <s v="Salaries-Service/Support-NonProd-Other"/>
    <s v="Housekeeping"/>
    <x v="0"/>
    <n v="2000"/>
    <n v="832.6"/>
    <n v="569.89"/>
    <n v="920.4"/>
    <n v="892.88"/>
    <n v="1522.94"/>
    <n v="593.85"/>
    <n v="608.80999999999995"/>
    <n v="-622.94000000000005"/>
    <n v="394.84"/>
    <n v="479.58"/>
    <n v="339.74"/>
    <n v="739.23"/>
    <n v="7271.82"/>
    <n v="-399.49"/>
  </r>
  <r>
    <x v="5"/>
    <x v="4"/>
    <x v="0"/>
    <s v="6005103"/>
    <n v="700084"/>
    <s v="Accrued PTO"/>
    <s v="Housekeeping"/>
    <x v="0"/>
    <m/>
    <n v="-3176.29"/>
    <n v="-2153.59"/>
    <n v="-1328.83"/>
    <n v="-2476.5500000000002"/>
    <n v="2211.0100000000002"/>
    <n v="-712.87"/>
    <n v="374.39"/>
    <n v="-1740.9"/>
    <n v="2588.4499999999998"/>
    <n v="1989.58"/>
    <n v="2227.36"/>
    <n v="200.4"/>
    <n v="-1997.8399999999992"/>
    <n v="2026.96"/>
  </r>
  <r>
    <x v="10"/>
    <x v="4"/>
    <x v="0"/>
    <s v="6005103"/>
    <n v="710060"/>
    <s v="Contract Labor-Other"/>
    <s v="Housekeeping"/>
    <x v="0"/>
    <m/>
    <n v="0"/>
    <n v="0"/>
    <n v="0"/>
    <n v="0"/>
    <n v="0"/>
    <n v="0"/>
    <n v="0"/>
    <n v="0"/>
    <n v="0"/>
    <n v="0"/>
    <n v="0"/>
    <n v="74060.5"/>
    <n v="74060.5"/>
    <n v="-74060.5"/>
  </r>
  <r>
    <x v="6"/>
    <x v="4"/>
    <x v="0"/>
    <s v="6005103"/>
    <n v="713010"/>
    <s v="Benefits-FICA/Medicare"/>
    <s v="Housekeeping"/>
    <x v="0"/>
    <m/>
    <n v="5977.27"/>
    <n v="5870.46"/>
    <n v="6395.88"/>
    <n v="5678.24"/>
    <n v="6193.47"/>
    <n v="6571.68"/>
    <n v="6593.15"/>
    <n v="6063.37"/>
    <n v="6273.91"/>
    <n v="6330.47"/>
    <n v="6412.52"/>
    <n v="6184.78"/>
    <n v="74545.200000000012"/>
    <n v="227.74000000000069"/>
  </r>
  <r>
    <x v="6"/>
    <x v="4"/>
    <x v="0"/>
    <s v="6005103"/>
    <n v="713090"/>
    <s v="Benefits-Allocated Amounts"/>
    <s v="Housekeeping"/>
    <x v="0"/>
    <m/>
    <n v="26745.11"/>
    <n v="22204.92"/>
    <n v="27176.33"/>
    <n v="23560.23"/>
    <n v="25491.67"/>
    <n v="26628.240000000002"/>
    <n v="29338.18"/>
    <n v="28847.54"/>
    <n v="27051.31"/>
    <n v="30474.83"/>
    <n v="30070.31"/>
    <n v="29537.57"/>
    <n v="327126.24"/>
    <n v="532.7400000000016"/>
  </r>
  <r>
    <x v="6"/>
    <x v="4"/>
    <x v="0"/>
    <s v="6005103"/>
    <n v="713096"/>
    <s v="Employee Recognition"/>
    <s v="Housekeeping"/>
    <x v="0"/>
    <n v="1017"/>
    <n v="0"/>
    <n v="0"/>
    <n v="77.67"/>
    <n v="0"/>
    <n v="0"/>
    <n v="0"/>
    <n v="0"/>
    <n v="0"/>
    <n v="18.989999999999998"/>
    <n v="0"/>
    <n v="0"/>
    <n v="0"/>
    <n v="96.66"/>
    <n v="0"/>
  </r>
  <r>
    <x v="7"/>
    <x v="4"/>
    <x v="0"/>
    <s v="6005103"/>
    <n v="718050"/>
    <s v="Contract Svcs-Other"/>
    <s v="Housekeeping"/>
    <x v="0"/>
    <m/>
    <n v="37481.519999999997"/>
    <n v="40307.35"/>
    <n v="2132.02"/>
    <n v="8000"/>
    <n v="-2829"/>
    <n v="-784.01"/>
    <n v="16418.900000000001"/>
    <n v="18582.099999999999"/>
    <n v="17342.87"/>
    <n v="1446.2"/>
    <n v="53218.29"/>
    <n v="-59967.9"/>
    <n v="131348.34000000003"/>
    <n v="113186.19"/>
  </r>
  <r>
    <x v="7"/>
    <x v="4"/>
    <x v="0"/>
    <s v="6005103"/>
    <n v="718050"/>
    <s v="Miscellaneous Purchased Svcs"/>
    <s v="Housekeeping"/>
    <x v="0"/>
    <n v="1020"/>
    <n v="0"/>
    <n v="4424.67"/>
    <n v="0"/>
    <n v="0"/>
    <n v="0"/>
    <n v="0"/>
    <n v="0"/>
    <n v="0"/>
    <n v="0"/>
    <n v="0"/>
    <n v="0"/>
    <n v="-793.23"/>
    <n v="3631.44"/>
    <n v="793.23"/>
  </r>
  <r>
    <x v="7"/>
    <x v="4"/>
    <x v="0"/>
    <s v="6005103"/>
    <n v="718050"/>
    <s v="Contract Management--Linen"/>
    <s v="Housekeeping"/>
    <x v="0"/>
    <n v="1026"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6005103"/>
    <n v="721010"/>
    <s v="Supplies-Medical - Billable"/>
    <s v="Housekeeping"/>
    <x v="0"/>
    <m/>
    <n v="0"/>
    <n v="0"/>
    <n v="5.18"/>
    <n v="0"/>
    <n v="0"/>
    <n v="0"/>
    <n v="0"/>
    <n v="0"/>
    <n v="0"/>
    <n v="0"/>
    <n v="2.59"/>
    <n v="0"/>
    <n v="7.77"/>
    <n v="2.59"/>
  </r>
  <r>
    <x v="11"/>
    <x v="4"/>
    <x v="0"/>
    <s v="6005103"/>
    <n v="721410"/>
    <s v="Supplies-Medical - Nonbillable"/>
    <s v="Housekeeping"/>
    <x v="0"/>
    <m/>
    <n v="214.94"/>
    <n v="75.98"/>
    <n v="200.99"/>
    <n v="71.400000000000006"/>
    <n v="155.83000000000001"/>
    <n v="3.64"/>
    <n v="1151.58"/>
    <n v="52.35"/>
    <n v="157.27000000000001"/>
    <n v="1577.99"/>
    <n v="978.97"/>
    <n v="88.1"/>
    <n v="4729.0400000000009"/>
    <n v="890.87"/>
  </r>
  <r>
    <x v="11"/>
    <x v="4"/>
    <x v="0"/>
    <s v="6005103"/>
    <n v="721810"/>
    <s v="Supplies-Dietary/Cafeteria"/>
    <s v="Housekeeping"/>
    <x v="0"/>
    <m/>
    <n v="54.59"/>
    <n v="183.98"/>
    <n v="230.67"/>
    <n v="34.08"/>
    <n v="88.88"/>
    <n v="80.88"/>
    <n v="14.59"/>
    <n v="23.33"/>
    <n v="0"/>
    <n v="331.39"/>
    <n v="8"/>
    <n v="350"/>
    <n v="1400.39"/>
    <n v="-342"/>
  </r>
  <r>
    <x v="11"/>
    <x v="4"/>
    <x v="0"/>
    <s v="6005103"/>
    <n v="721830"/>
    <s v="Supplies-Office"/>
    <s v="Housekeeping"/>
    <x v="0"/>
    <m/>
    <n v="28.74"/>
    <n v="389.14"/>
    <n v="0"/>
    <n v="118.57"/>
    <n v="54.26"/>
    <n v="473.19"/>
    <n v="1647.72"/>
    <n v="0"/>
    <n v="0"/>
    <n v="86.18"/>
    <n v="0"/>
    <n v="0"/>
    <n v="2797.7999999999997"/>
    <n v="0"/>
  </r>
  <r>
    <x v="11"/>
    <x v="4"/>
    <x v="0"/>
    <s v="6005103"/>
    <n v="721835"/>
    <s v="Supplies-Forms"/>
    <s v="Housekeeping"/>
    <x v="0"/>
    <m/>
    <n v="0"/>
    <n v="0"/>
    <n v="0"/>
    <n v="0"/>
    <n v="224"/>
    <n v="0"/>
    <n v="16.66"/>
    <n v="0"/>
    <n v="0"/>
    <n v="0"/>
    <n v="0"/>
    <n v="0"/>
    <n v="240.66"/>
    <n v="0"/>
  </r>
  <r>
    <x v="11"/>
    <x v="4"/>
    <x v="0"/>
    <s v="6005103"/>
    <n v="721870"/>
    <s v="Supplies-Environmental Services"/>
    <s v="Housekeeping"/>
    <x v="0"/>
    <m/>
    <n v="13813.42"/>
    <n v="14679.37"/>
    <n v="9612.9500000000007"/>
    <n v="6412.25"/>
    <n v="10338.049999999999"/>
    <n v="14083.83"/>
    <n v="13392.44"/>
    <n v="10200.120000000001"/>
    <n v="11239.6"/>
    <n v="11022.4"/>
    <n v="13658.93"/>
    <n v="10040.06"/>
    <n v="138493.42000000001"/>
    <n v="3618.8700000000008"/>
  </r>
  <r>
    <x v="11"/>
    <x v="4"/>
    <x v="0"/>
    <s v="6005103"/>
    <n v="721880"/>
    <s v="Supplies-Linen"/>
    <s v="Housekeeping"/>
    <x v="0"/>
    <m/>
    <n v="423.34"/>
    <n v="846.68"/>
    <n v="846.68"/>
    <n v="564.45000000000005"/>
    <n v="635.01"/>
    <n v="846.68"/>
    <n v="917.23"/>
    <n v="636.6"/>
    <n v="228.82"/>
    <n v="635.01"/>
    <n v="635.01"/>
    <n v="550.58000000000004"/>
    <n v="7766.09"/>
    <n v="84.42999999999995"/>
  </r>
  <r>
    <x v="11"/>
    <x v="4"/>
    <x v="0"/>
    <s v="6005103"/>
    <n v="721910"/>
    <s v="Supplies-Small Equipment"/>
    <s v="Housekeeping"/>
    <x v="0"/>
    <m/>
    <n v="849.7"/>
    <n v="1615.55"/>
    <n v="18.72"/>
    <n v="208.36"/>
    <n v="909.06"/>
    <n v="124.6"/>
    <n v="3846.85"/>
    <n v="427.67"/>
    <n v="7.2"/>
    <n v="102"/>
    <n v="9.6"/>
    <n v="27.5"/>
    <n v="8146.81"/>
    <n v="-17.899999999999999"/>
  </r>
  <r>
    <x v="11"/>
    <x v="4"/>
    <x v="0"/>
    <s v="6005103"/>
    <n v="721980"/>
    <s v="Supplies-Other"/>
    <s v="Housekeeping"/>
    <x v="0"/>
    <m/>
    <n v="0"/>
    <n v="0"/>
    <n v="0"/>
    <n v="0"/>
    <n v="0"/>
    <n v="0"/>
    <n v="92.93"/>
    <n v="45.89"/>
    <n v="13"/>
    <n v="0"/>
    <n v="0"/>
    <n v="0"/>
    <n v="151.82"/>
    <n v="0"/>
  </r>
  <r>
    <x v="11"/>
    <x v="4"/>
    <x v="0"/>
    <s v="6005103"/>
    <n v="722000"/>
    <s v="Supplies-Freight Expense"/>
    <s v="Housekeeping"/>
    <x v="0"/>
    <m/>
    <n v="0"/>
    <n v="2414.71"/>
    <n v="7.93"/>
    <n v="14.23"/>
    <n v="0"/>
    <n v="0"/>
    <n v="0"/>
    <n v="24.7"/>
    <n v="8.23"/>
    <n v="0"/>
    <n v="0"/>
    <n v="18.64"/>
    <n v="2488.4399999999996"/>
    <n v="-18.64"/>
  </r>
  <r>
    <x v="12"/>
    <x v="4"/>
    <x v="0"/>
    <s v="6005103"/>
    <n v="730020"/>
    <s v="Rental and Leases-Copier Usage Fees (DO NOT USE)"/>
    <s v="Housekeeping"/>
    <x v="0"/>
    <n v="5100"/>
    <n v="34.299999999999997"/>
    <n v="35.090000000000003"/>
    <n v="34.700000000000003"/>
    <n v="34.700000000000003"/>
    <n v="34.700000000000003"/>
    <n v="34.700000000000003"/>
    <n v="129.47"/>
    <n v="36.28"/>
    <n v="52.63"/>
    <n v="69.19"/>
    <n v="52.7"/>
    <n v="65.510000000000005"/>
    <n v="613.96999999999991"/>
    <n v="-12.810000000000002"/>
  </r>
  <r>
    <x v="15"/>
    <x v="4"/>
    <x v="0"/>
    <s v="6005103"/>
    <n v="731060"/>
    <s v="Cell Phones"/>
    <s v="Housekeeping"/>
    <x v="0"/>
    <n v="1001"/>
    <n v="0"/>
    <n v="53.88"/>
    <n v="26.42"/>
    <n v="0"/>
    <n v="26.47"/>
    <n v="27.04"/>
    <n v="56.26"/>
    <n v="0"/>
    <n v="27.08"/>
    <n v="54.09"/>
    <n v="26.47"/>
    <n v="643.35"/>
    <n v="941.06000000000006"/>
    <n v="-616.88"/>
  </r>
  <r>
    <x v="16"/>
    <x v="4"/>
    <x v="0"/>
    <s v="6005103"/>
    <n v="732030"/>
    <s v="Repairs---Other"/>
    <s v="Housekeeping"/>
    <x v="0"/>
    <m/>
    <n v="0"/>
    <n v="0"/>
    <n v="0"/>
    <n v="0"/>
    <n v="0"/>
    <n v="0"/>
    <n v="0"/>
    <n v="0"/>
    <n v="0"/>
    <n v="13062"/>
    <n v="-13062"/>
    <n v="0"/>
    <n v="0"/>
    <n v="-13062"/>
  </r>
  <r>
    <x v="13"/>
    <x v="4"/>
    <x v="0"/>
    <s v="6005103"/>
    <n v="735070"/>
    <s v="Depreciation-Movable Equipment"/>
    <s v="Housekeeping"/>
    <x v="0"/>
    <m/>
    <n v="843.59"/>
    <n v="843.59"/>
    <n v="843.59"/>
    <n v="843.59"/>
    <n v="843.59"/>
    <n v="843.59"/>
    <n v="1410.72"/>
    <n v="1410.72"/>
    <n v="1410.72"/>
    <n v="1410.7"/>
    <n v="1410.72"/>
    <n v="1410.7"/>
    <n v="13525.820000000002"/>
    <n v="1.999999999998181E-2"/>
  </r>
  <r>
    <x v="0"/>
    <x v="4"/>
    <x v="0"/>
    <s v="6005103"/>
    <n v="742040"/>
    <s v="Freight-Other"/>
    <s v="Housekeeping"/>
    <x v="0"/>
    <m/>
    <n v="0"/>
    <n v="0"/>
    <n v="0"/>
    <n v="0"/>
    <n v="0"/>
    <n v="0"/>
    <n v="0"/>
    <n v="0"/>
    <n v="0"/>
    <n v="0"/>
    <n v="0"/>
    <n v="793.23"/>
    <n v="793.23"/>
    <n v="-793.23"/>
  </r>
  <r>
    <x v="0"/>
    <x v="4"/>
    <x v="0"/>
    <s v="6005103"/>
    <n v="749510"/>
    <s v="Miscellaneous Expenses"/>
    <s v="Housekeeping"/>
    <x v="0"/>
    <m/>
    <n v="73.569999999999993"/>
    <n v="40.86"/>
    <n v="-40.86"/>
    <n v="0"/>
    <n v="216.86"/>
    <n v="0"/>
    <n v="50"/>
    <n v="-63.17"/>
    <n v="-18.989999999999998"/>
    <n v="0"/>
    <n v="0"/>
    <n v="322.81"/>
    <n v="581.07999999999993"/>
    <n v="-322.81"/>
  </r>
  <r>
    <x v="0"/>
    <x v="4"/>
    <x v="0"/>
    <s v="6005103"/>
    <n v="749530"/>
    <s v="Travel"/>
    <s v="Housekeeping"/>
    <x v="0"/>
    <m/>
    <n v="0"/>
    <n v="0"/>
    <n v="0"/>
    <n v="0"/>
    <n v="0"/>
    <n v="0"/>
    <n v="0"/>
    <n v="50"/>
    <n v="0"/>
    <n v="0"/>
    <n v="0"/>
    <n v="0"/>
    <n v="50"/>
    <n v="0"/>
  </r>
  <r>
    <x v="0"/>
    <x v="4"/>
    <x v="0"/>
    <s v="6005103"/>
    <n v="749535"/>
    <s v="Meetings"/>
    <s v="Housekeeping"/>
    <x v="0"/>
    <m/>
    <n v="0"/>
    <n v="0"/>
    <n v="40.86"/>
    <n v="0"/>
    <n v="0"/>
    <n v="0"/>
    <n v="0"/>
    <n v="0"/>
    <n v="0"/>
    <n v="104.05"/>
    <n v="0"/>
    <n v="0"/>
    <n v="144.91"/>
    <n v="0"/>
  </r>
  <r>
    <x v="5"/>
    <x v="8"/>
    <x v="0"/>
    <s v="6005104"/>
    <n v="700014"/>
    <s v="Salaries-Management-Productive"/>
    <s v="Housekeeping"/>
    <x v="0"/>
    <m/>
    <n v="7625.7"/>
    <n v="6642.1"/>
    <n v="-1180.5999999999999"/>
    <n v="6318.52"/>
    <n v="7582.08"/>
    <n v="6723.03"/>
    <n v="7543.5"/>
    <n v="7087.2"/>
    <n v="7846.6"/>
    <n v="7238.86"/>
    <n v="7137.87"/>
    <n v="7593.59"/>
    <n v="78158.45"/>
    <n v="-455.72000000000025"/>
  </r>
  <r>
    <x v="5"/>
    <x v="8"/>
    <x v="0"/>
    <s v="6005104"/>
    <n v="700038"/>
    <s v="Salaries-Service/Support-Productive"/>
    <s v="Housekeeping"/>
    <x v="0"/>
    <m/>
    <n v="65643.839999999997"/>
    <n v="68722.080000000002"/>
    <n v="69073.38"/>
    <n v="71117.440000000002"/>
    <n v="64672.06"/>
    <n v="71372.639999999999"/>
    <n v="71407.83"/>
    <n v="63911.91"/>
    <n v="67544.100000000006"/>
    <n v="67041.8"/>
    <n v="74236.77"/>
    <n v="64643.6"/>
    <n v="819387.45000000007"/>
    <n v="9593.1700000000055"/>
  </r>
  <r>
    <x v="5"/>
    <x v="8"/>
    <x v="0"/>
    <s v="6005104"/>
    <n v="700038"/>
    <s v="Salaries-Service/Support-OT"/>
    <s v="Housekeeping"/>
    <x v="0"/>
    <n v="1000"/>
    <n v="1282.71"/>
    <n v="396.82"/>
    <n v="623.66999999999996"/>
    <n v="855.75"/>
    <n v="-30"/>
    <n v="1539.51"/>
    <n v="-54.35"/>
    <n v="1638.73"/>
    <n v="1112.77"/>
    <n v="2231.27"/>
    <n v="913.14"/>
    <n v="533.78"/>
    <n v="11043.800000000001"/>
    <n v="379.36"/>
  </r>
  <r>
    <x v="5"/>
    <x v="8"/>
    <x v="0"/>
    <s v="6005104"/>
    <n v="700038"/>
    <s v="Salaries-Service/Support-Other"/>
    <s v="Housekeeping"/>
    <x v="0"/>
    <n v="2000"/>
    <n v="5642.52"/>
    <n v="5936.29"/>
    <n v="5982.51"/>
    <n v="5859.27"/>
    <n v="5465.17"/>
    <n v="6497.88"/>
    <n v="6116.69"/>
    <n v="5518.91"/>
    <n v="5917.6"/>
    <n v="5804.54"/>
    <n v="6748.21"/>
    <n v="5969.69"/>
    <n v="71459.28"/>
    <n v="778.52000000000044"/>
  </r>
  <r>
    <x v="5"/>
    <x v="8"/>
    <x v="0"/>
    <s v="6005104"/>
    <n v="700054"/>
    <s v="Salaries-Management-Non-productive"/>
    <s v="Housekeeping"/>
    <x v="0"/>
    <m/>
    <n v="0"/>
    <n v="983.95"/>
    <n v="8560.75"/>
    <n v="1476.1"/>
    <n v="0"/>
    <n v="1112.04"/>
    <n v="303.83999999999997"/>
    <n v="0"/>
    <n v="0"/>
    <n v="354.36"/>
    <n v="708.72"/>
    <n v="0"/>
    <n v="13499.76"/>
    <n v="708.72"/>
  </r>
  <r>
    <x v="5"/>
    <x v="8"/>
    <x v="0"/>
    <s v="6005104"/>
    <n v="700054"/>
    <s v="Salaries-Management-NonProd-Other"/>
    <s v="Housekeeping"/>
    <x v="0"/>
    <n v="2000"/>
    <n v="0"/>
    <n v="0"/>
    <n v="0"/>
    <n v="0"/>
    <n v="0"/>
    <n v="749.79"/>
    <n v="-749.79"/>
    <n v="0"/>
    <n v="0"/>
    <n v="0"/>
    <n v="0"/>
    <n v="0"/>
    <n v="0"/>
    <n v="0"/>
  </r>
  <r>
    <x v="5"/>
    <x v="8"/>
    <x v="0"/>
    <s v="6005104"/>
    <n v="700078"/>
    <s v="Salaries-Service/Support-Non-productive"/>
    <s v="Housekeeping"/>
    <x v="0"/>
    <m/>
    <n v="10785.48"/>
    <n v="11090.04"/>
    <n v="5402.5"/>
    <n v="3624.79"/>
    <n v="11370.81"/>
    <n v="11130.31"/>
    <n v="8153.3"/>
    <n v="8221.75"/>
    <n v="6731"/>
    <n v="13699.36"/>
    <n v="7109.64"/>
    <n v="14534.58"/>
    <n v="111853.56000000001"/>
    <n v="-7424.94"/>
  </r>
  <r>
    <x v="5"/>
    <x v="8"/>
    <x v="0"/>
    <s v="6005104"/>
    <n v="700078"/>
    <s v="Salaries-Service/Support-NonProd-Other"/>
    <s v="Housekeeping"/>
    <x v="0"/>
    <n v="2000"/>
    <n v="644.82000000000005"/>
    <n v="562.29999999999995"/>
    <n v="477.24"/>
    <n v="197.51"/>
    <n v="1821.15"/>
    <n v="2472.15"/>
    <n v="492.79"/>
    <n v="-2774.15"/>
    <n v="354.13"/>
    <n v="844.98"/>
    <n v="269.64999999999998"/>
    <n v="840.39"/>
    <n v="6202.96"/>
    <n v="-570.74"/>
  </r>
  <r>
    <x v="5"/>
    <x v="8"/>
    <x v="0"/>
    <s v="6005104"/>
    <n v="700084"/>
    <s v="Accrued PTO"/>
    <s v="Housekeeping"/>
    <x v="0"/>
    <m/>
    <n v="411.2"/>
    <n v="-2455.44"/>
    <n v="-6225.39"/>
    <n v="5500.5"/>
    <n v="2160.11"/>
    <n v="-2684.73"/>
    <n v="2298.9299999999998"/>
    <n v="-45.37"/>
    <n v="2245.21"/>
    <n v="975.66"/>
    <n v="-91.64"/>
    <n v="-2536.65"/>
    <n v="-447.61000000000104"/>
    <n v="2445.0100000000002"/>
  </r>
  <r>
    <x v="6"/>
    <x v="8"/>
    <x v="0"/>
    <s v="6005104"/>
    <n v="713010"/>
    <s v="Benefits-FICA/Medicare"/>
    <s v="Housekeeping"/>
    <x v="0"/>
    <m/>
    <n v="6700.35"/>
    <n v="6936.32"/>
    <n v="6525.54"/>
    <n v="6559.85"/>
    <n v="6887"/>
    <n v="7550.75"/>
    <n v="6978.69"/>
    <n v="6336.92"/>
    <n v="6562.53"/>
    <n v="7072.68"/>
    <n v="7152.18"/>
    <n v="6847.45"/>
    <n v="82110.259999999995"/>
    <n v="304.73000000000047"/>
  </r>
  <r>
    <x v="6"/>
    <x v="8"/>
    <x v="0"/>
    <s v="6005104"/>
    <n v="713090"/>
    <s v="Benefits-Allocated Amounts"/>
    <s v="Housekeeping"/>
    <x v="0"/>
    <m/>
    <n v="29922.91"/>
    <n v="27236.74"/>
    <n v="27322.799999999999"/>
    <n v="28011.65"/>
    <n v="28953.56"/>
    <n v="29730.54"/>
    <n v="30137.52"/>
    <n v="29828.18"/>
    <n v="27747.03"/>
    <n v="33527.58"/>
    <n v="32564.400000000001"/>
    <n v="31312.95"/>
    <n v="356295.86000000004"/>
    <n v="1251.4500000000007"/>
  </r>
  <r>
    <x v="6"/>
    <x v="8"/>
    <x v="0"/>
    <s v="6005104"/>
    <n v="713096"/>
    <s v="Employee Recognition"/>
    <s v="Housekeeping"/>
    <x v="0"/>
    <n v="1017"/>
    <n v="0"/>
    <n v="637.65"/>
    <n v="0"/>
    <n v="487.93"/>
    <n v="0"/>
    <n v="377.82"/>
    <n v="0"/>
    <n v="88.43"/>
    <n v="0"/>
    <n v="0"/>
    <n v="53.13"/>
    <n v="138.62"/>
    <n v="1783.58"/>
    <n v="-85.490000000000009"/>
  </r>
  <r>
    <x v="7"/>
    <x v="8"/>
    <x v="0"/>
    <s v="6005104"/>
    <n v="718050"/>
    <s v="Contract Svcs-Other"/>
    <s v="Housekeeping"/>
    <x v="0"/>
    <m/>
    <n v="-1825.66"/>
    <n v="14780.34"/>
    <n v="1736.54"/>
    <n v="3201"/>
    <n v="0"/>
    <n v="0"/>
    <n v="0"/>
    <n v="-11534.62"/>
    <n v="0"/>
    <n v="25868.5"/>
    <n v="0"/>
    <n v="5074.58"/>
    <n v="37300.68"/>
    <n v="-5074.58"/>
  </r>
  <r>
    <x v="7"/>
    <x v="8"/>
    <x v="0"/>
    <s v="6005104"/>
    <n v="718050"/>
    <s v="Miscellaneous Purchased Svcs"/>
    <s v="Housekeeping"/>
    <x v="0"/>
    <n v="1020"/>
    <n v="0"/>
    <n v="3362.34"/>
    <n v="12803.18"/>
    <n v="3201"/>
    <n v="4801.5"/>
    <n v="0"/>
    <n v="0"/>
    <n v="0"/>
    <n v="3335.68"/>
    <n v="4862.18"/>
    <n v="3332.74"/>
    <n v="3406.74"/>
    <n v="39105.360000000001"/>
    <n v="-74"/>
  </r>
  <r>
    <x v="11"/>
    <x v="8"/>
    <x v="0"/>
    <s v="6005104"/>
    <n v="721010"/>
    <s v="Supplies-Medical - Billable"/>
    <s v="Housekeeping"/>
    <x v="0"/>
    <m/>
    <n v="0"/>
    <n v="0"/>
    <n v="0"/>
    <n v="0"/>
    <n v="0"/>
    <n v="0.1"/>
    <n v="-0.1"/>
    <n v="0"/>
    <n v="0"/>
    <n v="-30.66"/>
    <n v="0"/>
    <n v="0"/>
    <n v="-30.66"/>
    <n v="0"/>
  </r>
  <r>
    <x v="11"/>
    <x v="8"/>
    <x v="0"/>
    <s v="6005104"/>
    <n v="721410"/>
    <s v="Supplies-Medical - Nonbillable"/>
    <s v="Housekeeping"/>
    <x v="0"/>
    <m/>
    <n v="694.61"/>
    <n v="515.04"/>
    <n v="1268.81"/>
    <n v="1300.3499999999999"/>
    <n v="790.62"/>
    <n v="475"/>
    <n v="851.34"/>
    <n v="916.5"/>
    <n v="663.38"/>
    <n v="725.81"/>
    <n v="865.61"/>
    <n v="802.56"/>
    <n v="9869.630000000001"/>
    <n v="63.050000000000068"/>
  </r>
  <r>
    <x v="11"/>
    <x v="8"/>
    <x v="0"/>
    <s v="6005104"/>
    <n v="721420"/>
    <s v="Supplies-Surgical Nonbillable"/>
    <s v="Housekeeping"/>
    <x v="0"/>
    <m/>
    <n v="42.32"/>
    <n v="0"/>
    <n v="42.32"/>
    <n v="0"/>
    <n v="0"/>
    <n v="84.63"/>
    <n v="0"/>
    <n v="0"/>
    <n v="0"/>
    <n v="42.32"/>
    <n v="0"/>
    <n v="0"/>
    <n v="211.58999999999997"/>
    <n v="0"/>
  </r>
  <r>
    <x v="11"/>
    <x v="8"/>
    <x v="0"/>
    <s v="6005104"/>
    <n v="721710"/>
    <s v="Supplies-Laboratory - Nonbillable"/>
    <s v="Housekeeping"/>
    <x v="0"/>
    <m/>
    <n v="0"/>
    <n v="104.25"/>
    <n v="0"/>
    <n v="0"/>
    <n v="0"/>
    <n v="243.35"/>
    <n v="0"/>
    <n v="15.14"/>
    <n v="0"/>
    <n v="0"/>
    <n v="0"/>
    <n v="243.35"/>
    <n v="606.09"/>
    <n v="-243.35"/>
  </r>
  <r>
    <x v="11"/>
    <x v="8"/>
    <x v="0"/>
    <s v="6005104"/>
    <n v="721810"/>
    <s v="Supplies-Dietary/Cafeteria"/>
    <s v="Housekeeping"/>
    <x v="0"/>
    <m/>
    <n v="44.92"/>
    <n v="173.43"/>
    <n v="88.26"/>
    <n v="84.66"/>
    <n v="40.75"/>
    <n v="90.57"/>
    <n v="96.89"/>
    <n v="184"/>
    <n v="402.66"/>
    <n v="69.19"/>
    <n v="29.03"/>
    <n v="135.16"/>
    <n v="1439.52"/>
    <n v="-106.13"/>
  </r>
  <r>
    <x v="11"/>
    <x v="8"/>
    <x v="0"/>
    <s v="6005104"/>
    <n v="721830"/>
    <s v="Supplies-Office"/>
    <s v="Housekeeping"/>
    <x v="0"/>
    <m/>
    <n v="347.64"/>
    <n v="104.46"/>
    <n v="108.51"/>
    <n v="127.57"/>
    <n v="159.19999999999999"/>
    <n v="571.99"/>
    <n v="79.900000000000006"/>
    <n v="325.70999999999998"/>
    <n v="191.35"/>
    <n v="185.81"/>
    <n v="551.61"/>
    <n v="116.53"/>
    <n v="2870.2800000000007"/>
    <n v="435.08000000000004"/>
  </r>
  <r>
    <x v="11"/>
    <x v="8"/>
    <x v="0"/>
    <s v="6005104"/>
    <n v="721835"/>
    <s v="Supplies-Forms"/>
    <s v="Housekeeping"/>
    <x v="0"/>
    <m/>
    <n v="0"/>
    <n v="0"/>
    <n v="0"/>
    <n v="0"/>
    <n v="218.4"/>
    <n v="4.0999999999999996"/>
    <n v="128.66"/>
    <n v="0"/>
    <n v="0"/>
    <n v="140"/>
    <n v="56"/>
    <n v="0"/>
    <n v="547.16"/>
    <n v="56"/>
  </r>
  <r>
    <x v="11"/>
    <x v="8"/>
    <x v="0"/>
    <s v="6005104"/>
    <n v="721850"/>
    <s v="Supplies-Maintenance"/>
    <s v="Housekeeping"/>
    <x v="0"/>
    <m/>
    <n v="0"/>
    <n v="0"/>
    <n v="0"/>
    <n v="-8.4"/>
    <n v="8.4"/>
    <n v="0"/>
    <n v="0"/>
    <n v="0"/>
    <n v="0"/>
    <n v="0"/>
    <n v="0"/>
    <n v="0"/>
    <n v="0"/>
    <n v="0"/>
  </r>
  <r>
    <x v="11"/>
    <x v="8"/>
    <x v="0"/>
    <s v="6005104"/>
    <n v="721870"/>
    <s v="Supplies-Environmental Services"/>
    <s v="Housekeeping"/>
    <x v="0"/>
    <m/>
    <n v="11748.74"/>
    <n v="15037.9"/>
    <n v="12053.75"/>
    <n v="13261.88"/>
    <n v="11362.52"/>
    <n v="14350.59"/>
    <n v="14321.46"/>
    <n v="16000.24"/>
    <n v="12269.41"/>
    <n v="12569.25"/>
    <n v="16911.580000000002"/>
    <n v="12829.6"/>
    <n v="162716.92000000001"/>
    <n v="4081.9800000000014"/>
  </r>
  <r>
    <x v="11"/>
    <x v="8"/>
    <x v="0"/>
    <s v="6005104"/>
    <n v="721880"/>
    <s v="Supplies-Linen"/>
    <s v="Housekeeping"/>
    <x v="0"/>
    <m/>
    <n v="557.23"/>
    <n v="758.21"/>
    <n v="626.9"/>
    <n v="5369.37"/>
    <n v="557.24"/>
    <n v="4509.2700000000004"/>
    <n v="696.55"/>
    <n v="696.55"/>
    <n v="1221.24"/>
    <n v="1949.83"/>
    <n v="557.25"/>
    <n v="696.78"/>
    <n v="18196.419999999998"/>
    <n v="-139.52999999999997"/>
  </r>
  <r>
    <x v="11"/>
    <x v="8"/>
    <x v="0"/>
    <s v="6005104"/>
    <n v="721910"/>
    <s v="Supplies-Small Equipment"/>
    <s v="Housekeeping"/>
    <x v="0"/>
    <m/>
    <n v="118.56"/>
    <n v="581.69000000000005"/>
    <n v="82.12"/>
    <n v="355.77"/>
    <n v="171.02"/>
    <n v="895.01"/>
    <n v="169.98"/>
    <n v="1029.8399999999999"/>
    <n v="402.48"/>
    <n v="1082.51"/>
    <n v="161.6"/>
    <n v="1590.74"/>
    <n v="6641.32"/>
    <n v="-1429.14"/>
  </r>
  <r>
    <x v="11"/>
    <x v="8"/>
    <x v="0"/>
    <s v="6005104"/>
    <n v="721980"/>
    <s v="Supplies-Other"/>
    <s v="Housekeeping"/>
    <x v="0"/>
    <m/>
    <n v="0"/>
    <n v="0"/>
    <n v="0"/>
    <n v="0"/>
    <n v="0"/>
    <n v="0"/>
    <n v="182.28"/>
    <n v="0"/>
    <n v="0"/>
    <n v="0"/>
    <n v="0"/>
    <n v="51.92"/>
    <n v="234.2"/>
    <n v="-51.92"/>
  </r>
  <r>
    <x v="11"/>
    <x v="8"/>
    <x v="0"/>
    <s v="6005104"/>
    <n v="722000"/>
    <s v="Supplies-Freight Expense"/>
    <s v="Housekeeping"/>
    <x v="0"/>
    <m/>
    <n v="0"/>
    <n v="0"/>
    <n v="0"/>
    <n v="8.4"/>
    <n v="0"/>
    <n v="0"/>
    <n v="149.24"/>
    <n v="0"/>
    <n v="19.93"/>
    <n v="131.6"/>
    <n v="0"/>
    <n v="2.99"/>
    <n v="312.16000000000003"/>
    <n v="-2.99"/>
  </r>
  <r>
    <x v="12"/>
    <x v="8"/>
    <x v="0"/>
    <s v="6005104"/>
    <n v="730020"/>
    <s v="Rental and Leases-Copier Usage Fees (DO NOT USE)"/>
    <s v="Housekeeping"/>
    <x v="0"/>
    <n v="5100"/>
    <n v="34.799999999999997"/>
    <n v="36.01"/>
    <n v="35.409999999999997"/>
    <n v="35.409999999999997"/>
    <n v="35.4"/>
    <n v="35.409999999999997"/>
    <n v="52.03"/>
    <n v="36.04"/>
    <n v="35.96"/>
    <n v="36.119999999999997"/>
    <n v="36.04"/>
    <n v="53.43"/>
    <n v="462.06000000000006"/>
    <n v="-17.39"/>
  </r>
  <r>
    <x v="15"/>
    <x v="8"/>
    <x v="0"/>
    <s v="6005104"/>
    <n v="731060"/>
    <s v="Cell Phones"/>
    <s v="Housekeeping"/>
    <x v="0"/>
    <n v="1001"/>
    <n v="0"/>
    <n v="62.65"/>
    <n v="25.85"/>
    <n v="0"/>
    <n v="29.78"/>
    <n v="10.82"/>
    <n v="62.94"/>
    <n v="0"/>
    <n v="31.97"/>
    <n v="63.43"/>
    <n v="31.09"/>
    <n v="648"/>
    <n v="966.53"/>
    <n v="-616.91"/>
  </r>
  <r>
    <x v="16"/>
    <x v="8"/>
    <x v="0"/>
    <s v="6005104"/>
    <n v="732020"/>
    <s v="Repairs--Clin Equip-Parts-Internal to CHI Programs"/>
    <s v="Housekeeping"/>
    <x v="0"/>
    <m/>
    <n v="0"/>
    <n v="-0.01"/>
    <n v="0"/>
    <n v="82.21"/>
    <n v="10.46"/>
    <n v="223.51"/>
    <n v="0"/>
    <n v="0"/>
    <n v="39"/>
    <n v="46.11"/>
    <n v="0"/>
    <n v="19.5"/>
    <n v="420.78"/>
    <n v="-19.5"/>
  </r>
  <r>
    <x v="16"/>
    <x v="8"/>
    <x v="0"/>
    <s v="6005104"/>
    <n v="732030"/>
    <s v="Repairs---Other"/>
    <s v="Housekeeping"/>
    <x v="0"/>
    <m/>
    <n v="9.68"/>
    <n v="501"/>
    <n v="42.59"/>
    <n v="0"/>
    <n v="-8.4"/>
    <n v="288.41000000000003"/>
    <n v="0"/>
    <n v="0"/>
    <n v="2886.05"/>
    <n v="0"/>
    <n v="0"/>
    <n v="0"/>
    <n v="3719.33"/>
    <n v="0"/>
  </r>
  <r>
    <x v="16"/>
    <x v="8"/>
    <x v="0"/>
    <s v="6005104"/>
    <n v="732030"/>
    <s v="Repairs&amp;Maintenance-Bldg Routine"/>
    <s v="Housekeeping"/>
    <x v="0"/>
    <n v="2300"/>
    <n v="0"/>
    <n v="0"/>
    <n v="0"/>
    <n v="0"/>
    <n v="28.39"/>
    <n v="0"/>
    <n v="0"/>
    <n v="9058"/>
    <n v="0"/>
    <n v="2870"/>
    <n v="0"/>
    <n v="18514.759999999998"/>
    <n v="30471.149999999998"/>
    <n v="-18514.759999999998"/>
  </r>
  <r>
    <x v="13"/>
    <x v="8"/>
    <x v="0"/>
    <s v="6005104"/>
    <n v="735030"/>
    <s v="Depreciation-Buildings"/>
    <s v="Housekeeping"/>
    <x v="0"/>
    <m/>
    <n v="752.75"/>
    <n v="752.73"/>
    <n v="752.75"/>
    <n v="752.71"/>
    <n v="752.79"/>
    <n v="752.66"/>
    <n v="752.81"/>
    <n v="752.64"/>
    <n v="752.82"/>
    <n v="734"/>
    <n v="734.23"/>
    <n v="733.97"/>
    <n v="8976.86"/>
    <n v="0.25999999999999091"/>
  </r>
  <r>
    <x v="13"/>
    <x v="8"/>
    <x v="0"/>
    <s v="6005104"/>
    <n v="735070"/>
    <s v="Depreciation-Movable Equipment"/>
    <s v="Housekeeping"/>
    <x v="0"/>
    <m/>
    <n v="3793.53"/>
    <n v="3793.55"/>
    <n v="3793.49"/>
    <n v="3793.55"/>
    <n v="3793.47"/>
    <n v="3793.56"/>
    <n v="3793.48"/>
    <n v="3793.56"/>
    <n v="3793.46"/>
    <n v="2537.6"/>
    <n v="2537.67"/>
    <n v="2537.6"/>
    <n v="41754.519999999997"/>
    <n v="7.0000000000163709E-2"/>
  </r>
  <r>
    <x v="0"/>
    <x v="8"/>
    <x v="0"/>
    <s v="6005104"/>
    <n v="749510"/>
    <s v="Miscellaneous Expenses"/>
    <s v="Housekeeping"/>
    <x v="0"/>
    <m/>
    <n v="-342.17"/>
    <n v="11.99"/>
    <n v="-11.99"/>
    <n v="0"/>
    <n v="377.82"/>
    <n v="-377.82"/>
    <n v="279.61"/>
    <n v="-279.61"/>
    <n v="0"/>
    <n v="0"/>
    <n v="126.33"/>
    <n v="-126.33"/>
    <n v="-342.17"/>
    <n v="252.66"/>
  </r>
  <r>
    <x v="0"/>
    <x v="8"/>
    <x v="0"/>
    <s v="6005104"/>
    <n v="749530"/>
    <s v="Travel"/>
    <s v="Housekeeping"/>
    <x v="0"/>
    <m/>
    <n v="0"/>
    <n v="15"/>
    <n v="0"/>
    <n v="0"/>
    <n v="0"/>
    <n v="0"/>
    <n v="0"/>
    <n v="66"/>
    <n v="0"/>
    <n v="0"/>
    <n v="5"/>
    <n v="0"/>
    <n v="86"/>
    <n v="5"/>
  </r>
  <r>
    <x v="0"/>
    <x v="8"/>
    <x v="0"/>
    <s v="6005104"/>
    <n v="749530"/>
    <s v="Mileage"/>
    <s v="Housekeeping"/>
    <x v="0"/>
    <n v="1001"/>
    <n v="0"/>
    <n v="47.43"/>
    <n v="11.99"/>
    <n v="26.71"/>
    <n v="0"/>
    <n v="0"/>
    <n v="0"/>
    <n v="213.61"/>
    <n v="0"/>
    <n v="0"/>
    <n v="16.82"/>
    <n v="0"/>
    <n v="316.56"/>
    <n v="16.82"/>
  </r>
  <r>
    <x v="14"/>
    <x v="5"/>
    <x v="0"/>
    <s v="6005106"/>
    <n v="600050"/>
    <s v="Miscellaneous Revenue"/>
    <s v="Housekeeping"/>
    <x v="0"/>
    <m/>
    <n v="-15645"/>
    <n v="-15645"/>
    <n v="-15645"/>
    <n v="-15645"/>
    <n v="-15645"/>
    <n v="-15645"/>
    <n v="-15645"/>
    <n v="-16427.25"/>
    <n v="-15645"/>
    <n v="-22685.25"/>
    <n v="-16427.25"/>
    <n v="-16427.25"/>
    <n v="-197127"/>
    <n v="0"/>
  </r>
  <r>
    <x v="5"/>
    <x v="5"/>
    <x v="0"/>
    <s v="6005106"/>
    <n v="700014"/>
    <s v="Salaries-Management-Productive"/>
    <s v="Housekeeping"/>
    <x v="0"/>
    <m/>
    <n v="2713.6"/>
    <n v="6589.97"/>
    <n v="5814.98"/>
    <n v="6190.15"/>
    <n v="6032.41"/>
    <n v="3780.53"/>
    <n v="5598.63"/>
    <n v="5638.66"/>
    <n v="6242.84"/>
    <n v="3665.01"/>
    <n v="6645.56"/>
    <n v="5437.4"/>
    <n v="64349.739999999991"/>
    <n v="1208.1600000000008"/>
  </r>
  <r>
    <x v="5"/>
    <x v="5"/>
    <x v="0"/>
    <s v="6005106"/>
    <n v="700038"/>
    <s v="Salaries-Service/Support-Productive"/>
    <s v="Housekeeping"/>
    <x v="0"/>
    <m/>
    <n v="90059.4"/>
    <n v="82060.820000000007"/>
    <n v="80083.83"/>
    <n v="84577.25"/>
    <n v="81302.570000000007"/>
    <n v="84990.66"/>
    <n v="77364.25"/>
    <n v="76982.91"/>
    <n v="89959.12"/>
    <n v="86097"/>
    <n v="85445.78"/>
    <n v="87367.69"/>
    <n v="1006291.28"/>
    <n v="-1921.9100000000035"/>
  </r>
  <r>
    <x v="5"/>
    <x v="5"/>
    <x v="0"/>
    <s v="6005106"/>
    <n v="700038"/>
    <s v="Salaries-Service/Support-OT"/>
    <s v="Housekeeping"/>
    <x v="0"/>
    <n v="1000"/>
    <n v="12281.68"/>
    <n v="14130.01"/>
    <n v="10013.969999999999"/>
    <n v="10774.03"/>
    <n v="9246.94"/>
    <n v="6037.98"/>
    <n v="6532.69"/>
    <n v="7805.49"/>
    <n v="9450.3799999999992"/>
    <n v="10204.92"/>
    <n v="10128.92"/>
    <n v="10114.700000000001"/>
    <n v="116721.71"/>
    <n v="14.219999999999345"/>
  </r>
  <r>
    <x v="5"/>
    <x v="5"/>
    <x v="0"/>
    <s v="6005106"/>
    <n v="700038"/>
    <s v="Salaries-Service/Support-Other"/>
    <s v="Housekeeping"/>
    <x v="0"/>
    <n v="2000"/>
    <n v="4116.63"/>
    <n v="4278.67"/>
    <n v="4053.55"/>
    <n v="4121.49"/>
    <n v="4187.7299999999996"/>
    <n v="3758.81"/>
    <n v="3406.42"/>
    <n v="3566.47"/>
    <n v="4493.9399999999996"/>
    <n v="4422.7299999999996"/>
    <n v="4250.3599999999997"/>
    <n v="4506.55"/>
    <n v="49163.350000000006"/>
    <n v="-256.19000000000051"/>
  </r>
  <r>
    <x v="5"/>
    <x v="5"/>
    <x v="0"/>
    <s v="6005106"/>
    <n v="700054"/>
    <s v="Salaries-Management-Non-productive"/>
    <s v="Housekeeping"/>
    <x v="0"/>
    <m/>
    <n v="3294.85"/>
    <n v="-581.25"/>
    <n v="0"/>
    <n v="0"/>
    <n v="0"/>
    <n v="2453.16"/>
    <n v="644.79999999999995"/>
    <n v="0"/>
    <n v="0"/>
    <n v="2376.25"/>
    <n v="-402.71"/>
    <n v="604.12"/>
    <n v="8389.2200000000012"/>
    <n v="-1006.8299999999999"/>
  </r>
  <r>
    <x v="5"/>
    <x v="5"/>
    <x v="0"/>
    <s v="6005106"/>
    <n v="700078"/>
    <s v="Salaries-Service/Support-Non-productive"/>
    <s v="Housekeeping"/>
    <x v="0"/>
    <m/>
    <n v="21209.77"/>
    <n v="25382.03"/>
    <n v="19592.52"/>
    <n v="18572.41"/>
    <n v="16424.240000000002"/>
    <n v="20707.330000000002"/>
    <n v="22791"/>
    <n v="14659.96"/>
    <n v="15878.06"/>
    <n v="14646.74"/>
    <n v="18399.349999999999"/>
    <n v="17591.13"/>
    <n v="225854.54"/>
    <n v="808.21999999999753"/>
  </r>
  <r>
    <x v="5"/>
    <x v="5"/>
    <x v="0"/>
    <s v="6005106"/>
    <n v="700078"/>
    <s v="Salaries-Service/Support-NonProd-Other"/>
    <s v="Housekeeping"/>
    <x v="0"/>
    <n v="2000"/>
    <n v="602.44000000000005"/>
    <n v="372.14"/>
    <n v="464.7"/>
    <n v="700.97"/>
    <n v="932.34"/>
    <n v="825.92"/>
    <n v="703.42"/>
    <n v="2.78"/>
    <n v="403.75"/>
    <n v="352.15"/>
    <n v="525.4"/>
    <n v="427.74"/>
    <n v="6313.7499999999991"/>
    <n v="97.659999999999968"/>
  </r>
  <r>
    <x v="5"/>
    <x v="5"/>
    <x v="0"/>
    <s v="6005106"/>
    <n v="700084"/>
    <s v="Accrued PTO"/>
    <s v="Housekeeping"/>
    <x v="0"/>
    <m/>
    <n v="-6669.86"/>
    <n v="-5938.58"/>
    <n v="584.88"/>
    <n v="-1102.48"/>
    <n v="-1389.43"/>
    <n v="-6678.51"/>
    <n v="-3376.71"/>
    <n v="-2686.77"/>
    <n v="-2300.1799999999998"/>
    <n v="-1110.68"/>
    <n v="-2609.85"/>
    <n v="-1521.05"/>
    <n v="-34799.22"/>
    <n v="-1088.8"/>
  </r>
  <r>
    <x v="10"/>
    <x v="5"/>
    <x v="0"/>
    <s v="6005106"/>
    <n v="710060"/>
    <s v="Contract Labor-Other"/>
    <s v="Housekeeping"/>
    <x v="0"/>
    <m/>
    <n v="0"/>
    <n v="0"/>
    <n v="0"/>
    <n v="0"/>
    <n v="0"/>
    <n v="0"/>
    <n v="0"/>
    <n v="0"/>
    <n v="0"/>
    <n v="0"/>
    <n v="0"/>
    <n v="545000.5"/>
    <n v="545000.5"/>
    <n v="-545000.5"/>
  </r>
  <r>
    <x v="6"/>
    <x v="5"/>
    <x v="0"/>
    <s v="6005106"/>
    <n v="713010"/>
    <s v="Benefits-FICA/Medicare"/>
    <s v="Housekeeping"/>
    <x v="0"/>
    <m/>
    <n v="9949.91"/>
    <n v="9795.5300000000007"/>
    <n v="8878.69"/>
    <n v="9231.2900000000009"/>
    <n v="8787.17"/>
    <n v="9054.09"/>
    <n v="8675.74"/>
    <n v="8094.37"/>
    <n v="9397.11"/>
    <n v="9049.4500000000007"/>
    <n v="9307.89"/>
    <n v="9380.99"/>
    <n v="109602.23000000001"/>
    <n v="-73.100000000000364"/>
  </r>
  <r>
    <x v="6"/>
    <x v="5"/>
    <x v="0"/>
    <s v="6005106"/>
    <n v="713090"/>
    <s v="Benefits-Allocated Amounts"/>
    <s v="Housekeeping"/>
    <x v="0"/>
    <m/>
    <n v="48942.12"/>
    <n v="45428.18"/>
    <n v="42461.599999999999"/>
    <n v="42814.13"/>
    <n v="43073.52"/>
    <n v="42882.93"/>
    <n v="42227.09"/>
    <n v="40251.72"/>
    <n v="42989.08"/>
    <n v="43865.58"/>
    <n v="44219.67"/>
    <n v="45327.03"/>
    <n v="524482.64999999991"/>
    <n v="-1107.3600000000006"/>
  </r>
  <r>
    <x v="6"/>
    <x v="5"/>
    <x v="0"/>
    <s v="6005106"/>
    <n v="713096"/>
    <s v="Employee Recognition"/>
    <s v="Housekeeping"/>
    <x v="0"/>
    <n v="1017"/>
    <n v="0"/>
    <n v="0"/>
    <n v="0"/>
    <n v="0"/>
    <n v="0"/>
    <n v="0"/>
    <n v="0"/>
    <n v="0"/>
    <n v="411.22"/>
    <n v="0"/>
    <n v="0"/>
    <n v="83.46"/>
    <n v="494.68"/>
    <n v="-83.46"/>
  </r>
  <r>
    <x v="7"/>
    <x v="5"/>
    <x v="0"/>
    <s v="6005106"/>
    <n v="718050"/>
    <s v="Contract Svcs-Other"/>
    <s v="Housekeeping"/>
    <x v="0"/>
    <m/>
    <n v="11176.48"/>
    <n v="12904.21"/>
    <n v="12422.65"/>
    <n v="-21468.55"/>
    <n v="187140.54"/>
    <n v="100489.19"/>
    <n v="92782.13"/>
    <n v="98354.13"/>
    <n v="73470.16"/>
    <n v="107509.02"/>
    <n v="69976.77"/>
    <n v="-468684.1"/>
    <n v="276072.63000000012"/>
    <n v="538660.87"/>
  </r>
  <r>
    <x v="7"/>
    <x v="5"/>
    <x v="0"/>
    <s v="6005106"/>
    <n v="718050"/>
    <s v="Miscellaneous Purchased Svcs"/>
    <s v="Housekeeping"/>
    <x v="0"/>
    <n v="1020"/>
    <n v="73210.5"/>
    <n v="334.82"/>
    <n v="51832.5"/>
    <n v="63109.5"/>
    <n v="-179144.2"/>
    <n v="0"/>
    <n v="0"/>
    <n v="1154.47"/>
    <n v="0"/>
    <n v="8731.9699999999993"/>
    <n v="19991.439999999999"/>
    <n v="2396.75"/>
    <n v="41617.749999999993"/>
    <n v="17594.689999999999"/>
  </r>
  <r>
    <x v="7"/>
    <x v="5"/>
    <x v="0"/>
    <s v="6005106"/>
    <n v="718050"/>
    <s v="Purchased Srvcs--Medical Waste"/>
    <s v="Housekeeping"/>
    <x v="0"/>
    <n v="1027"/>
    <n v="16609.82"/>
    <n v="2572.7399999999998"/>
    <n v="7854.45"/>
    <n v="12089.76"/>
    <n v="229.33"/>
    <n v="6240.33"/>
    <n v="2675.19"/>
    <n v="20630.490000000002"/>
    <n v="284.37"/>
    <n v="13872.55"/>
    <n v="9745.14"/>
    <n v="3120.22"/>
    <n v="95924.39"/>
    <n v="6624.92"/>
  </r>
  <r>
    <x v="11"/>
    <x v="5"/>
    <x v="0"/>
    <s v="6005106"/>
    <n v="721010"/>
    <s v="Supplies-Medical - Billable"/>
    <s v="Housekeeping"/>
    <x v="0"/>
    <m/>
    <n v="0"/>
    <n v="5.92"/>
    <n v="0"/>
    <n v="0"/>
    <n v="0"/>
    <n v="0"/>
    <n v="0"/>
    <n v="0"/>
    <n v="7.1"/>
    <n v="0"/>
    <n v="0"/>
    <n v="0"/>
    <n v="13.02"/>
    <n v="0"/>
  </r>
  <r>
    <x v="11"/>
    <x v="5"/>
    <x v="0"/>
    <s v="6005106"/>
    <n v="721410"/>
    <s v="Supplies-Medical - Nonbillable"/>
    <s v="Housekeeping"/>
    <x v="0"/>
    <m/>
    <n v="324.33999999999997"/>
    <n v="161.66"/>
    <n v="562.04999999999995"/>
    <n v="279.81"/>
    <n v="330.8"/>
    <n v="98.76"/>
    <n v="409.05"/>
    <n v="414.51"/>
    <n v="539.1"/>
    <n v="360.9"/>
    <n v="414.72"/>
    <n v="275.8"/>
    <n v="4171.5"/>
    <n v="138.92000000000002"/>
  </r>
  <r>
    <x v="11"/>
    <x v="5"/>
    <x v="0"/>
    <s v="6005106"/>
    <n v="721810"/>
    <s v="Supplies-Dietary/Cafeteria"/>
    <s v="Housekeeping"/>
    <x v="0"/>
    <m/>
    <n v="0"/>
    <n v="0"/>
    <n v="258.63"/>
    <n v="54.43"/>
    <n v="8"/>
    <n v="7.36"/>
    <n v="8"/>
    <n v="76.34"/>
    <n v="31.18"/>
    <n v="8"/>
    <n v="31.07"/>
    <n v="48"/>
    <n v="531.01"/>
    <n v="-16.93"/>
  </r>
  <r>
    <x v="11"/>
    <x v="5"/>
    <x v="0"/>
    <s v="6005106"/>
    <n v="721830"/>
    <s v="Supplies-Office"/>
    <s v="Housekeeping"/>
    <x v="0"/>
    <m/>
    <n v="152.6"/>
    <n v="356.31"/>
    <n v="30.5"/>
    <n v="981.86"/>
    <n v="0"/>
    <n v="78.42"/>
    <n v="44.41"/>
    <n v="208.99"/>
    <n v="81.180000000000007"/>
    <n v="429.18"/>
    <n v="0"/>
    <n v="0"/>
    <n v="2363.4500000000003"/>
    <n v="0"/>
  </r>
  <r>
    <x v="11"/>
    <x v="5"/>
    <x v="0"/>
    <s v="6005106"/>
    <n v="721835"/>
    <s v="Supplies-Forms"/>
    <s v="Housekeeping"/>
    <x v="0"/>
    <m/>
    <n v="0"/>
    <n v="0"/>
    <n v="0"/>
    <n v="0"/>
    <n v="56"/>
    <n v="0"/>
    <n v="16.66"/>
    <n v="0"/>
    <n v="0"/>
    <n v="0"/>
    <n v="0"/>
    <n v="0"/>
    <n v="72.66"/>
    <n v="0"/>
  </r>
  <r>
    <x v="11"/>
    <x v="5"/>
    <x v="0"/>
    <s v="6005106"/>
    <n v="721870"/>
    <s v="Supplies-Environmental Services"/>
    <s v="Housekeeping"/>
    <x v="0"/>
    <m/>
    <n v="11841.65"/>
    <n v="13539.97"/>
    <n v="11594.69"/>
    <n v="7921.45"/>
    <n v="10270.24"/>
    <n v="9612.16"/>
    <n v="15485.28"/>
    <n v="8897.92"/>
    <n v="11326.79"/>
    <n v="7730.59"/>
    <n v="13220.94"/>
    <n v="9136.68"/>
    <n v="130578.35999999999"/>
    <n v="4084.26"/>
  </r>
  <r>
    <x v="11"/>
    <x v="5"/>
    <x v="0"/>
    <s v="6005106"/>
    <n v="721910"/>
    <s v="Supplies-Small Equipment"/>
    <s v="Housekeeping"/>
    <x v="0"/>
    <m/>
    <n v="6.24"/>
    <n v="3.84"/>
    <n v="784.74"/>
    <n v="2890.29"/>
    <n v="1.36"/>
    <n v="0"/>
    <n v="13.6"/>
    <n v="1993.35"/>
    <n v="971.46"/>
    <n v="63.05"/>
    <n v="899.48"/>
    <n v="165.57"/>
    <n v="7792.98"/>
    <n v="733.91000000000008"/>
  </r>
  <r>
    <x v="11"/>
    <x v="5"/>
    <x v="0"/>
    <s v="6005106"/>
    <n v="721980"/>
    <s v="Supplies-Other"/>
    <s v="Housekeeping"/>
    <x v="0"/>
    <m/>
    <n v="0"/>
    <n v="0"/>
    <n v="0"/>
    <n v="-6.24"/>
    <n v="0"/>
    <n v="49.89"/>
    <n v="0"/>
    <n v="17.579999999999998"/>
    <n v="0"/>
    <n v="-185.95"/>
    <n v="1.76"/>
    <n v="30.98"/>
    <n v="-91.97999999999999"/>
    <n v="-29.22"/>
  </r>
  <r>
    <x v="11"/>
    <x v="5"/>
    <x v="0"/>
    <s v="6005106"/>
    <n v="722000"/>
    <s v="Supplies-Freight Expense"/>
    <s v="Housekeeping"/>
    <x v="0"/>
    <m/>
    <n v="49.62"/>
    <n v="109.16"/>
    <n v="7.93"/>
    <n v="7.99"/>
    <n v="0"/>
    <n v="0"/>
    <n v="0"/>
    <n v="0"/>
    <n v="131.6"/>
    <n v="8.5500000000000007"/>
    <n v="39.99"/>
    <n v="0"/>
    <n v="354.84000000000003"/>
    <n v="39.99"/>
  </r>
  <r>
    <x v="12"/>
    <x v="5"/>
    <x v="0"/>
    <s v="6005106"/>
    <n v="730020"/>
    <s v="Rental and Leases-Copier Usage Fees (DO NOT USE)"/>
    <s v="Housekeeping"/>
    <x v="0"/>
    <n v="5100"/>
    <n v="86.49"/>
    <n v="87.49"/>
    <n v="86.98"/>
    <n v="86.98"/>
    <n v="86.98"/>
    <n v="86.98"/>
    <n v="72.77"/>
    <n v="73.17"/>
    <n v="73.010000000000005"/>
    <n v="133.96"/>
    <n v="73.17"/>
    <n v="87.7"/>
    <n v="1035.6799999999998"/>
    <n v="-14.530000000000001"/>
  </r>
  <r>
    <x v="15"/>
    <x v="5"/>
    <x v="0"/>
    <s v="6005106"/>
    <n v="731050"/>
    <s v="Refuse Disposal"/>
    <s v="Housekeeping"/>
    <x v="0"/>
    <m/>
    <n v="1062"/>
    <n v="1359.36"/>
    <n v="1189.44"/>
    <n v="913.32"/>
    <n v="1338.12"/>
    <n v="1231.92"/>
    <n v="1210.68"/>
    <n v="1614.24"/>
    <n v="1508.04"/>
    <n v="1146.96"/>
    <n v="1274.4000000000001"/>
    <n v="1847.88"/>
    <n v="15696.359999999997"/>
    <n v="-573.48"/>
  </r>
  <r>
    <x v="15"/>
    <x v="5"/>
    <x v="0"/>
    <s v="6005106"/>
    <n v="731060"/>
    <s v="Cell Phones"/>
    <s v="Housekeeping"/>
    <x v="0"/>
    <n v="1001"/>
    <n v="0"/>
    <n v="55.11"/>
    <n v="26.81"/>
    <n v="0"/>
    <n v="26.85"/>
    <n v="27.42"/>
    <n v="54.91"/>
    <n v="0"/>
    <n v="28.05"/>
    <n v="54.82"/>
    <n v="26.85"/>
    <n v="67.92"/>
    <n v="368.74000000000007"/>
    <n v="-41.07"/>
  </r>
  <r>
    <x v="15"/>
    <x v="5"/>
    <x v="0"/>
    <s v="6005106"/>
    <n v="731060"/>
    <s v="Pagers"/>
    <s v="Housekeeping"/>
    <x v="0"/>
    <n v="1002"/>
    <n v="7.99"/>
    <n v="7.99"/>
    <n v="7.99"/>
    <n v="8.02"/>
    <n v="8.02"/>
    <n v="0"/>
    <n v="16.04"/>
    <n v="8.02"/>
    <n v="8.02"/>
    <n v="8.01"/>
    <n v="8.01"/>
    <n v="8.01"/>
    <n v="96.12"/>
    <n v="0"/>
  </r>
  <r>
    <x v="16"/>
    <x v="5"/>
    <x v="0"/>
    <s v="6005106"/>
    <n v="732020"/>
    <s v="Repairs--Clin Equip-Parts-Internal to CHI Programs"/>
    <s v="Housekeeping"/>
    <x v="0"/>
    <m/>
    <n v="0"/>
    <n v="0"/>
    <n v="0"/>
    <n v="0"/>
    <n v="0"/>
    <n v="0"/>
    <n v="0"/>
    <n v="0"/>
    <n v="0"/>
    <n v="80.8"/>
    <n v="127.76"/>
    <n v="0"/>
    <n v="208.56"/>
    <n v="127.76"/>
  </r>
  <r>
    <x v="16"/>
    <x v="5"/>
    <x v="0"/>
    <s v="6005106"/>
    <n v="732030"/>
    <s v="Repairs---Other"/>
    <s v="Housekeeping"/>
    <x v="0"/>
    <m/>
    <n v="0"/>
    <n v="0"/>
    <n v="0"/>
    <n v="0"/>
    <n v="0"/>
    <n v="0"/>
    <n v="387.2"/>
    <n v="0"/>
    <n v="0"/>
    <n v="0"/>
    <n v="0"/>
    <n v="217.62"/>
    <n v="604.81999999999994"/>
    <n v="-217.62"/>
  </r>
  <r>
    <x v="13"/>
    <x v="5"/>
    <x v="0"/>
    <s v="6005106"/>
    <n v="735060"/>
    <s v="Depreciation-Fixed Equipment"/>
    <s v="Housekeeping"/>
    <x v="0"/>
    <m/>
    <n v="0.72"/>
    <n v="0.72"/>
    <n v="0.72"/>
    <n v="0.72"/>
    <n v="0.73"/>
    <n v="0.72"/>
    <n v="0.73"/>
    <n v="0.72"/>
    <n v="0.73"/>
    <n v="0.72"/>
    <n v="0.73"/>
    <n v="0.72"/>
    <n v="8.68"/>
    <n v="1.0000000000000009E-2"/>
  </r>
  <r>
    <x v="13"/>
    <x v="5"/>
    <x v="0"/>
    <s v="6005106"/>
    <n v="735070"/>
    <s v="Depreciation-Movable Equipment"/>
    <s v="Housekeeping"/>
    <x v="0"/>
    <m/>
    <n v="833.48"/>
    <n v="833.35"/>
    <n v="833.49"/>
    <n v="833.29"/>
    <n v="833.49"/>
    <n v="833.28"/>
    <n v="1405.78"/>
    <n v="1405.44"/>
    <n v="1405.89"/>
    <n v="1405.43"/>
    <n v="1405.95"/>
    <n v="1405.43"/>
    <n v="13434.3"/>
    <n v="0.51999999999998181"/>
  </r>
  <r>
    <x v="0"/>
    <x v="5"/>
    <x v="0"/>
    <s v="6005106"/>
    <n v="749510"/>
    <s v="Miscellaneous Expenses"/>
    <s v="Housekeeping"/>
    <x v="0"/>
    <m/>
    <n v="-173.37"/>
    <n v="-45.24"/>
    <n v="0"/>
    <n v="166.23"/>
    <n v="60.81"/>
    <n v="-227.04"/>
    <n v="207.64"/>
    <n v="-207.64"/>
    <n v="0"/>
    <n v="0"/>
    <n v="21189.91"/>
    <n v="-102.16"/>
    <n v="20869.14"/>
    <n v="21292.07"/>
  </r>
  <r>
    <x v="0"/>
    <x v="5"/>
    <x v="0"/>
    <s v="6005106"/>
    <n v="749530"/>
    <s v="Travel"/>
    <s v="Housekeeping"/>
    <x v="0"/>
    <m/>
    <n v="0"/>
    <n v="0"/>
    <n v="449.46"/>
    <n v="0"/>
    <n v="0"/>
    <n v="0"/>
    <n v="0"/>
    <n v="0"/>
    <n v="128"/>
    <n v="0"/>
    <n v="0"/>
    <n v="0"/>
    <n v="577.46"/>
    <n v="0"/>
  </r>
  <r>
    <x v="0"/>
    <x v="5"/>
    <x v="0"/>
    <s v="6005106"/>
    <n v="749530"/>
    <s v="Mileage"/>
    <s v="Housekeeping"/>
    <x v="0"/>
    <n v="1001"/>
    <n v="176.58"/>
    <n v="191.86"/>
    <n v="147.69999999999999"/>
    <n v="125.9"/>
    <n v="166.23"/>
    <n v="177.15"/>
    <n v="0"/>
    <n v="207.64"/>
    <n v="389.18"/>
    <n v="527.22"/>
    <n v="0"/>
    <n v="343.94"/>
    <n v="2453.4"/>
    <n v="-343.94"/>
  </r>
  <r>
    <x v="5"/>
    <x v="6"/>
    <x v="0"/>
    <s v="6005107"/>
    <n v="700014"/>
    <s v="Salaries-Management-Productive"/>
    <s v="Housekeeping-Bremerton"/>
    <x v="0"/>
    <m/>
    <n v="9253.58"/>
    <n v="9254"/>
    <n v="7642.17"/>
    <n v="5685.14"/>
    <n v="10889.1"/>
    <n v="6196.39"/>
    <n v="7373.04"/>
    <n v="7894.84"/>
    <n v="7956.34"/>
    <n v="8478.31"/>
    <n v="7679.85"/>
    <n v="7833.64"/>
    <n v="96136.4"/>
    <n v="-153.78999999999996"/>
  </r>
  <r>
    <x v="5"/>
    <x v="6"/>
    <x v="0"/>
    <s v="6005107"/>
    <n v="700018"/>
    <s v="Salaries-Supervisory-Productive"/>
    <s v="Housekeeping-Bremerton"/>
    <x v="0"/>
    <m/>
    <n v="11855.15"/>
    <n v="13987.03"/>
    <n v="10901.14"/>
    <n v="13566.52"/>
    <n v="13275.15"/>
    <n v="9084.86"/>
    <n v="12904.97"/>
    <n v="11846.38"/>
    <n v="13848.4"/>
    <n v="11696.56"/>
    <n v="11357.5"/>
    <n v="9876.66"/>
    <n v="144200.32000000001"/>
    <n v="1480.8400000000001"/>
  </r>
  <r>
    <x v="5"/>
    <x v="6"/>
    <x v="0"/>
    <s v="6005107"/>
    <n v="700038"/>
    <s v="Salaries-Service/Support-Productive"/>
    <s v="Housekeeping-Bremerton"/>
    <x v="0"/>
    <m/>
    <n v="135871.31"/>
    <n v="138168.87"/>
    <n v="133226.98000000001"/>
    <n v="136860.97"/>
    <n v="126686.19"/>
    <n v="142793.57"/>
    <n v="137267.12"/>
    <n v="130266.53"/>
    <n v="135565.62"/>
    <n v="140167.69"/>
    <n v="121919.73"/>
    <n v="132867.96"/>
    <n v="1611662.54"/>
    <n v="-10948.229999999996"/>
  </r>
  <r>
    <x v="5"/>
    <x v="6"/>
    <x v="0"/>
    <s v="6005107"/>
    <n v="700038"/>
    <s v="Salaries-Service/Support-OT"/>
    <s v="Housekeeping-Bremerton"/>
    <x v="0"/>
    <n v="1000"/>
    <n v="1682.44"/>
    <n v="1573.27"/>
    <n v="2637.41"/>
    <n v="1579.38"/>
    <n v="2919.4"/>
    <n v="576.86"/>
    <n v="638.66999999999996"/>
    <n v="864.32"/>
    <n v="861.29"/>
    <n v="3884.94"/>
    <n v="3210.82"/>
    <n v="4163.96"/>
    <n v="24592.76"/>
    <n v="-953.13999999999987"/>
  </r>
  <r>
    <x v="5"/>
    <x v="6"/>
    <x v="0"/>
    <s v="6005107"/>
    <n v="700038"/>
    <s v="Salaries-Service/Support-Other"/>
    <s v="Housekeeping-Bremerton"/>
    <x v="0"/>
    <n v="2000"/>
    <n v="11644.89"/>
    <n v="12396.88"/>
    <n v="12280.74"/>
    <n v="10858.8"/>
    <n v="10100.75"/>
    <n v="11199.43"/>
    <n v="10834.95"/>
    <n v="10880.51"/>
    <n v="11532.01"/>
    <n v="11910.33"/>
    <n v="13104.91"/>
    <n v="12481.45"/>
    <n v="139225.65"/>
    <n v="623.45999999999913"/>
  </r>
  <r>
    <x v="5"/>
    <x v="6"/>
    <x v="0"/>
    <s v="6005107"/>
    <n v="700054"/>
    <s v="Salaries-Management-Non-productive"/>
    <s v="Housekeeping-Bremerton"/>
    <x v="0"/>
    <m/>
    <n v="0"/>
    <n v="0"/>
    <n v="1313.43"/>
    <n v="3774.58"/>
    <n v="-1687.05"/>
    <n v="3312.7"/>
    <n v="2150.87"/>
    <n v="706.57"/>
    <n v="1566.71"/>
    <n v="737.21"/>
    <n v="1843.21"/>
    <n v="1382.32"/>
    <n v="15100.549999999996"/>
    <n v="460.8900000000001"/>
  </r>
  <r>
    <x v="5"/>
    <x v="6"/>
    <x v="0"/>
    <s v="6005107"/>
    <n v="700054"/>
    <s v="Salaries-Management-NonProd-Other"/>
    <s v="Housekeeping-Bremerton"/>
    <x v="0"/>
    <n v="2000"/>
    <n v="0"/>
    <n v="0"/>
    <n v="0"/>
    <n v="0"/>
    <n v="0"/>
    <n v="1377.58"/>
    <n v="-1377.58"/>
    <n v="0"/>
    <n v="0"/>
    <n v="0"/>
    <n v="0"/>
    <n v="0"/>
    <n v="0"/>
    <n v="0"/>
  </r>
  <r>
    <x v="5"/>
    <x v="6"/>
    <x v="0"/>
    <s v="6005107"/>
    <n v="700058"/>
    <s v="Salaries-Supervisory-Non-productive"/>
    <s v="Housekeeping-Bremerton"/>
    <x v="0"/>
    <m/>
    <n v="2200.5700000000002"/>
    <n v="69.349999999999994"/>
    <n v="2701.99"/>
    <n v="619.84"/>
    <n v="483.37"/>
    <n v="5132.6899999999996"/>
    <n v="1334.83"/>
    <n v="1014.06"/>
    <n v="390.06"/>
    <n v="2082.14"/>
    <n v="2880.95"/>
    <n v="-181.44"/>
    <n v="18728.41"/>
    <n v="3062.39"/>
  </r>
  <r>
    <x v="5"/>
    <x v="6"/>
    <x v="0"/>
    <s v="6005107"/>
    <n v="700078"/>
    <s v="Salaries-Service/Support-Non-productive"/>
    <s v="Housekeeping-Bremerton"/>
    <x v="0"/>
    <m/>
    <n v="20193.25"/>
    <n v="22632.85"/>
    <n v="15961.23"/>
    <n v="19172.87"/>
    <n v="17376.37"/>
    <n v="13904.97"/>
    <n v="14321.83"/>
    <n v="16201.49"/>
    <n v="20794.93"/>
    <n v="7701.48"/>
    <n v="18957.080000000002"/>
    <n v="14942.68"/>
    <n v="202161.02999999997"/>
    <n v="4014.4000000000015"/>
  </r>
  <r>
    <x v="5"/>
    <x v="6"/>
    <x v="0"/>
    <s v="6005107"/>
    <n v="700078"/>
    <s v="Salaries-Service/Support-NonProd-Other"/>
    <s v="Housekeeping-Bremerton"/>
    <x v="0"/>
    <n v="2000"/>
    <n v="1045.79"/>
    <n v="1204.69"/>
    <n v="862.89"/>
    <n v="699.64"/>
    <n v="750.51"/>
    <n v="762.95"/>
    <n v="589.15"/>
    <n v="773.47"/>
    <n v="930.08"/>
    <n v="567.77"/>
    <n v="923.93"/>
    <n v="905.08"/>
    <n v="10015.949999999999"/>
    <n v="18.849999999999909"/>
  </r>
  <r>
    <x v="5"/>
    <x v="6"/>
    <x v="0"/>
    <s v="6005107"/>
    <n v="700084"/>
    <s v="Accrued PTO"/>
    <s v="Housekeeping-Bremerton"/>
    <x v="0"/>
    <m/>
    <n v="-1933.34"/>
    <n v="932.29"/>
    <n v="-2101.21"/>
    <n v="3507"/>
    <n v="2726.94"/>
    <n v="1090.5899999999999"/>
    <n v="1901.45"/>
    <n v="4880.97"/>
    <n v="1073.53"/>
    <n v="8608.34"/>
    <n v="727.62"/>
    <n v="3985.18"/>
    <n v="25399.359999999997"/>
    <n v="-3257.56"/>
  </r>
  <r>
    <x v="6"/>
    <x v="6"/>
    <x v="0"/>
    <s v="6005107"/>
    <n v="713010"/>
    <s v="Benefits-FICA/Medicare"/>
    <s v="Housekeeping-Bremerton"/>
    <x v="0"/>
    <m/>
    <n v="14497.19"/>
    <n v="14896.93"/>
    <n v="14184.93"/>
    <n v="14410.85"/>
    <n v="13652.69"/>
    <n v="14782.84"/>
    <n v="14005.84"/>
    <n v="13410.8"/>
    <n v="14358.93"/>
    <n v="15546.76"/>
    <n v="13595.3"/>
    <n v="13912.19"/>
    <n v="171255.25"/>
    <n v="-316.89000000000124"/>
  </r>
  <r>
    <x v="6"/>
    <x v="6"/>
    <x v="0"/>
    <s v="6005107"/>
    <n v="713090"/>
    <s v="Benefits-Allocated Amounts"/>
    <s v="Housekeeping-Bremerton"/>
    <x v="0"/>
    <m/>
    <n v="57881.45"/>
    <n v="53945.3"/>
    <n v="55604.12"/>
    <n v="57960.13"/>
    <n v="62868.41"/>
    <n v="59289.64"/>
    <n v="58634.58"/>
    <n v="60143.93"/>
    <n v="53420.57"/>
    <n v="63444.94"/>
    <n v="54468.67"/>
    <n v="67741.59"/>
    <n v="705403.33000000007"/>
    <n v="-13272.919999999998"/>
  </r>
  <r>
    <x v="7"/>
    <x v="6"/>
    <x v="0"/>
    <s v="6005107"/>
    <n v="718050"/>
    <s v="Contract Svcs-Other"/>
    <s v="Housekeeping-Bremerton"/>
    <x v="0"/>
    <m/>
    <n v="0"/>
    <n v="0"/>
    <n v="0"/>
    <n v="0"/>
    <n v="0"/>
    <n v="0"/>
    <n v="0"/>
    <n v="0"/>
    <n v="0"/>
    <n v="1529.42"/>
    <n v="0"/>
    <n v="0"/>
    <n v="1529.42"/>
    <n v="0"/>
  </r>
  <r>
    <x v="7"/>
    <x v="6"/>
    <x v="0"/>
    <s v="6005107"/>
    <n v="718050"/>
    <s v="Miscellaneous Purchased Svcs"/>
    <s v="Housekeeping-Bremerton"/>
    <x v="0"/>
    <n v="1020"/>
    <n v="1202.1500000000001"/>
    <n v="1301.1400000000001"/>
    <n v="1916.52"/>
    <n v="6922.89"/>
    <n v="830.54"/>
    <n v="772.98"/>
    <n v="1488.06"/>
    <n v="1070.8900000000001"/>
    <n v="3003.5"/>
    <n v="240.66"/>
    <n v="7795.42"/>
    <n v="1018.07"/>
    <n v="27562.82"/>
    <n v="6777.35"/>
  </r>
  <r>
    <x v="7"/>
    <x v="6"/>
    <x v="0"/>
    <s v="6005107"/>
    <n v="718050"/>
    <s v="Purchased Srvcs--Medical Waste"/>
    <s v="Housekeeping-Bremerton"/>
    <x v="0"/>
    <n v="1027"/>
    <n v="16965"/>
    <n v="0"/>
    <n v="-16965"/>
    <n v="0"/>
    <n v="0"/>
    <n v="0"/>
    <n v="0"/>
    <n v="0"/>
    <n v="0"/>
    <n v="0"/>
    <n v="0"/>
    <n v="0"/>
    <n v="0"/>
    <n v="0"/>
  </r>
  <r>
    <x v="11"/>
    <x v="6"/>
    <x v="0"/>
    <s v="6005107"/>
    <n v="721410"/>
    <s v="Supplies-Medical - Nonbillable"/>
    <s v="Housekeeping-Bremerton"/>
    <x v="0"/>
    <m/>
    <n v="741.54"/>
    <n v="857.64"/>
    <n v="435.01"/>
    <n v="929.81"/>
    <n v="177.47"/>
    <n v="849.26"/>
    <n v="309.16000000000003"/>
    <n v="509.26"/>
    <n v="1943.49"/>
    <n v="1150.54"/>
    <n v="100.31"/>
    <n v="329.11"/>
    <n v="8332.6"/>
    <n v="-228.8"/>
  </r>
  <r>
    <x v="11"/>
    <x v="6"/>
    <x v="0"/>
    <s v="6005107"/>
    <n v="721710"/>
    <s v="Supplies-Laboratory - Nonbillable"/>
    <s v="Housekeeping-Bremerton"/>
    <x v="0"/>
    <m/>
    <n v="0"/>
    <n v="0"/>
    <n v="0"/>
    <n v="488.95"/>
    <n v="0"/>
    <n v="0"/>
    <n v="0"/>
    <n v="0"/>
    <n v="0"/>
    <n v="0"/>
    <n v="0"/>
    <n v="0"/>
    <n v="488.95"/>
    <n v="0"/>
  </r>
  <r>
    <x v="11"/>
    <x v="6"/>
    <x v="0"/>
    <s v="6005107"/>
    <n v="721810"/>
    <s v="Supplies-Dietary/Cafeteria"/>
    <s v="Housekeeping-Bremerton"/>
    <x v="0"/>
    <m/>
    <n v="4.1900000000000004"/>
    <n v="8.7100000000000009"/>
    <n v="18.440000000000001"/>
    <n v="1.39"/>
    <n v="12.04"/>
    <n v="2.73"/>
    <n v="1.4"/>
    <n v="0"/>
    <n v="64.430000000000007"/>
    <n v="0"/>
    <n v="0"/>
    <n v="18.79"/>
    <n v="132.12"/>
    <n v="-18.79"/>
  </r>
  <r>
    <x v="11"/>
    <x v="6"/>
    <x v="0"/>
    <s v="6005107"/>
    <n v="721830"/>
    <s v="Supplies-Office"/>
    <s v="Housekeeping-Bremerton"/>
    <x v="0"/>
    <m/>
    <n v="24.4"/>
    <n v="240.47"/>
    <n v="1113.22"/>
    <n v="0"/>
    <n v="0"/>
    <n v="111.63"/>
    <n v="0"/>
    <n v="0"/>
    <n v="0"/>
    <n v="0"/>
    <n v="0"/>
    <n v="63.89"/>
    <n v="1553.6100000000004"/>
    <n v="-63.89"/>
  </r>
  <r>
    <x v="11"/>
    <x v="6"/>
    <x v="0"/>
    <s v="6005107"/>
    <n v="721835"/>
    <s v="Supplies-Forms"/>
    <s v="Housekeeping-Bremerton"/>
    <x v="0"/>
    <m/>
    <n v="0"/>
    <n v="0"/>
    <n v="0"/>
    <n v="0"/>
    <n v="317"/>
    <n v="0"/>
    <n v="26.66"/>
    <n v="0"/>
    <n v="0"/>
    <n v="182"/>
    <n v="15"/>
    <n v="1"/>
    <n v="541.66000000000008"/>
    <n v="14"/>
  </r>
  <r>
    <x v="11"/>
    <x v="6"/>
    <x v="0"/>
    <s v="6005107"/>
    <n v="721870"/>
    <s v="Supplies-Environmental Services"/>
    <s v="Housekeeping-Bremerton"/>
    <x v="0"/>
    <m/>
    <n v="12749.85"/>
    <n v="8738.35"/>
    <n v="7736.16"/>
    <n v="6601.43"/>
    <n v="7362.57"/>
    <n v="9519.1"/>
    <n v="7555.51"/>
    <n v="8265.5300000000007"/>
    <n v="8818.5"/>
    <n v="13431.48"/>
    <n v="10657.52"/>
    <n v="8940.65"/>
    <n v="110376.65"/>
    <n v="1716.8700000000008"/>
  </r>
  <r>
    <x v="11"/>
    <x v="6"/>
    <x v="0"/>
    <s v="6005107"/>
    <n v="721880"/>
    <s v="Supplies-Linen"/>
    <s v="Housekeeping-Bremerton"/>
    <x v="0"/>
    <m/>
    <n v="18.64"/>
    <n v="240.27"/>
    <n v="0"/>
    <n v="547.78"/>
    <n v="0"/>
    <n v="55.01"/>
    <n v="105.83"/>
    <n v="995.67"/>
    <n v="0"/>
    <n v="327.77"/>
    <n v="0"/>
    <n v="24.52"/>
    <n v="2315.4900000000002"/>
    <n v="-24.52"/>
  </r>
  <r>
    <x v="11"/>
    <x v="6"/>
    <x v="0"/>
    <s v="6005107"/>
    <n v="721910"/>
    <s v="Supplies-Small Equipment"/>
    <s v="Housekeeping-Bremerton"/>
    <x v="0"/>
    <m/>
    <n v="79.88"/>
    <n v="3827.14"/>
    <n v="1043.1199999999999"/>
    <n v="1629.68"/>
    <n v="286.58999999999997"/>
    <n v="842.87"/>
    <n v="2202.1"/>
    <n v="113.04"/>
    <n v="1315.28"/>
    <n v="437.71"/>
    <n v="3508.12"/>
    <n v="436.41"/>
    <n v="15721.939999999999"/>
    <n v="3071.71"/>
  </r>
  <r>
    <x v="11"/>
    <x v="6"/>
    <x v="0"/>
    <s v="6005107"/>
    <n v="721980"/>
    <s v="Supplies-Other"/>
    <s v="Housekeeping-Bremerton"/>
    <x v="0"/>
    <m/>
    <n v="844.25"/>
    <n v="1200.93"/>
    <n v="263.61"/>
    <n v="402.16"/>
    <n v="975.29"/>
    <n v="1830.47"/>
    <n v="211.88"/>
    <n v="2822.36"/>
    <n v="1585.62"/>
    <n v="1179.29"/>
    <n v="503.33"/>
    <n v="119.32"/>
    <n v="11938.51"/>
    <n v="384.01"/>
  </r>
  <r>
    <x v="11"/>
    <x v="6"/>
    <x v="0"/>
    <s v="6005107"/>
    <n v="722000"/>
    <s v="Supplies-Freight Expense"/>
    <s v="Housekeeping-Bremerton"/>
    <x v="0"/>
    <m/>
    <n v="0"/>
    <n v="149.46"/>
    <n v="0"/>
    <n v="43.55"/>
    <n v="0"/>
    <n v="133.28"/>
    <n v="0"/>
    <n v="0"/>
    <n v="0"/>
    <n v="0"/>
    <n v="0"/>
    <n v="74.39"/>
    <n v="400.67999999999995"/>
    <n v="-74.39"/>
  </r>
  <r>
    <x v="11"/>
    <x v="6"/>
    <x v="0"/>
    <s v="6005107"/>
    <n v="722000"/>
    <s v="Minimum Order Fees"/>
    <s v="Housekeeping-Bremerton"/>
    <x v="0"/>
    <n v="1000"/>
    <n v="0"/>
    <n v="0"/>
    <n v="0"/>
    <n v="14.12"/>
    <n v="0"/>
    <n v="0"/>
    <n v="0"/>
    <n v="0"/>
    <n v="0"/>
    <n v="0"/>
    <n v="0"/>
    <n v="105.26"/>
    <n v="119.38000000000001"/>
    <n v="-105.26"/>
  </r>
  <r>
    <x v="12"/>
    <x v="6"/>
    <x v="0"/>
    <s v="6005107"/>
    <n v="730020"/>
    <s v="Rental and Leases-Equipment (DO NOT USE)"/>
    <s v="Housekeeping-Bremerton"/>
    <x v="0"/>
    <m/>
    <n v="0"/>
    <n v="168.69"/>
    <n v="84.02"/>
    <n v="84.67"/>
    <n v="0"/>
    <n v="0"/>
    <n v="146.04"/>
    <n v="0"/>
    <n v="73.02"/>
    <n v="0"/>
    <n v="146.04"/>
    <n v="73.02"/>
    <n v="775.49999999999989"/>
    <n v="73.02"/>
  </r>
  <r>
    <x v="12"/>
    <x v="6"/>
    <x v="0"/>
    <s v="6005107"/>
    <n v="730020"/>
    <s v="Rental and Leases-Copier Usage Fees (DO NOT USE)"/>
    <s v="Housekeeping-Bremerton"/>
    <x v="0"/>
    <n v="5100"/>
    <n v="423.25"/>
    <n v="402.86"/>
    <n v="413.06"/>
    <n v="413.05"/>
    <n v="413.06"/>
    <n v="413.05"/>
    <n v="1734.16"/>
    <n v="249.67"/>
    <n v="249.15"/>
    <n v="1079.72"/>
    <n v="249.67"/>
    <n v="305.11"/>
    <n v="6345.81"/>
    <n v="-55.440000000000026"/>
  </r>
  <r>
    <x v="15"/>
    <x v="6"/>
    <x v="0"/>
    <s v="6005107"/>
    <n v="731050"/>
    <s v="Refuse Disposal"/>
    <s v="Housekeeping-Bremerton"/>
    <x v="0"/>
    <m/>
    <n v="6335.47"/>
    <n v="5811.92"/>
    <n v="7767.76"/>
    <n v="6092.91"/>
    <n v="7289.56"/>
    <n v="7142.35"/>
    <n v="6845.25"/>
    <n v="6657.72"/>
    <n v="-53942.94"/>
    <n v="0"/>
    <n v="0"/>
    <n v="0"/>
    <n v="0"/>
    <n v="0"/>
  </r>
  <r>
    <x v="15"/>
    <x v="6"/>
    <x v="0"/>
    <s v="6005107"/>
    <n v="731060"/>
    <s v="Pagers"/>
    <s v="Housekeeping-Bremerton"/>
    <x v="0"/>
    <n v="1002"/>
    <n v="364.5"/>
    <n v="364.5"/>
    <n v="364.5"/>
    <n v="365.4"/>
    <n v="0"/>
    <n v="365.4"/>
    <n v="730.8"/>
    <n v="365.4"/>
    <n v="365.4"/>
    <n v="365.4"/>
    <n v="365.4"/>
    <n v="365.4"/>
    <n v="4382.1000000000004"/>
    <n v="0"/>
  </r>
  <r>
    <x v="16"/>
    <x v="6"/>
    <x v="0"/>
    <s v="6005107"/>
    <n v="732020"/>
    <s v="Repairs--Clin Equip-Parts-Internal to CHI Programs"/>
    <s v="Housekeeping-Bremerton"/>
    <x v="0"/>
    <m/>
    <n v="284.33999999999997"/>
    <n v="547.85"/>
    <n v="856.46"/>
    <n v="169.57"/>
    <n v="212.51"/>
    <n v="740.63"/>
    <n v="589.70000000000005"/>
    <n v="236.37"/>
    <n v="940.27"/>
    <n v="432.17"/>
    <n v="80.08"/>
    <n v="354.67"/>
    <n v="5444.6200000000008"/>
    <n v="-274.59000000000003"/>
  </r>
  <r>
    <x v="16"/>
    <x v="6"/>
    <x v="0"/>
    <s v="6005107"/>
    <n v="732030"/>
    <s v="Repairs---Other"/>
    <s v="Housekeeping-Bremerton"/>
    <x v="0"/>
    <m/>
    <n v="0"/>
    <n v="927.42"/>
    <n v="304.64999999999998"/>
    <n v="0"/>
    <n v="1437.13"/>
    <n v="955.93"/>
    <n v="1250.31"/>
    <n v="1576.36"/>
    <n v="0"/>
    <n v="412.57"/>
    <n v="1704.16"/>
    <n v="856.24"/>
    <n v="9424.7699999999986"/>
    <n v="847.92000000000007"/>
  </r>
  <r>
    <x v="13"/>
    <x v="6"/>
    <x v="0"/>
    <s v="6005107"/>
    <n v="735070"/>
    <s v="Depreciation-Movable Equipment"/>
    <s v="Housekeeping-Bremerton"/>
    <x v="0"/>
    <m/>
    <n v="290.83999999999997"/>
    <n v="225.84"/>
    <n v="225.84"/>
    <n v="225.84"/>
    <n v="225.85"/>
    <n v="225.84"/>
    <n v="225.85"/>
    <n v="225.84"/>
    <n v="225.86"/>
    <n v="225.84"/>
    <n v="225.86"/>
    <n v="225.83"/>
    <n v="2775.13"/>
    <n v="3.0000000000001137E-2"/>
  </r>
  <r>
    <x v="0"/>
    <x v="6"/>
    <x v="0"/>
    <s v="6005107"/>
    <n v="749510"/>
    <s v="Miscellaneous Expenses"/>
    <s v="Housekeeping-Bremerton"/>
    <x v="0"/>
    <m/>
    <n v="-1488.58"/>
    <n v="193.7"/>
    <n v="658.37"/>
    <n v="1692.78"/>
    <n v="-194.75"/>
    <n v="117.46"/>
    <n v="331.2"/>
    <n v="69.64"/>
    <n v="717.86"/>
    <n v="27.53"/>
    <n v="25.93"/>
    <n v="227.67"/>
    <n v="2378.8100000000004"/>
    <n v="-201.73999999999998"/>
  </r>
  <r>
    <x v="0"/>
    <x v="6"/>
    <x v="0"/>
    <s v="6005107"/>
    <n v="749510"/>
    <s v="Uniforms"/>
    <s v="Housekeeping-Bremerton"/>
    <x v="0"/>
    <n v="1028"/>
    <n v="0"/>
    <n v="0"/>
    <n v="0"/>
    <n v="0"/>
    <n v="216.06"/>
    <n v="0"/>
    <n v="0"/>
    <n v="0"/>
    <n v="0"/>
    <n v="0"/>
    <n v="0"/>
    <n v="0"/>
    <n v="216.06"/>
    <n v="0"/>
  </r>
  <r>
    <x v="0"/>
    <x v="6"/>
    <x v="0"/>
    <s v="6005107"/>
    <n v="749510"/>
    <s v="RICE Rewards"/>
    <s v="Housekeeping-Bremerton"/>
    <x v="0"/>
    <n v="5100"/>
    <n v="0"/>
    <n v="0"/>
    <n v="0"/>
    <n v="0"/>
    <n v="0"/>
    <n v="0"/>
    <n v="0"/>
    <n v="0"/>
    <n v="0"/>
    <n v="428.2"/>
    <n v="63.98"/>
    <n v="0"/>
    <n v="492.18"/>
    <n v="63.98"/>
  </r>
  <r>
    <x v="0"/>
    <x v="6"/>
    <x v="0"/>
    <s v="6005107"/>
    <n v="749530"/>
    <s v="Travel"/>
    <s v="Housekeeping-Bremerton"/>
    <x v="0"/>
    <m/>
    <n v="0"/>
    <n v="27"/>
    <n v="10"/>
    <n v="95.85"/>
    <n v="21.5"/>
    <n v="16.5"/>
    <n v="20"/>
    <n v="0"/>
    <n v="95.32"/>
    <n v="11"/>
    <n v="22.5"/>
    <n v="35"/>
    <n v="354.66999999999996"/>
    <n v="-12.5"/>
  </r>
  <r>
    <x v="0"/>
    <x v="6"/>
    <x v="0"/>
    <s v="6005107"/>
    <n v="749530"/>
    <s v="Mileage"/>
    <s v="Housekeeping-Bremerton"/>
    <x v="0"/>
    <n v="1001"/>
    <n v="0"/>
    <n v="185.85"/>
    <n v="239.28"/>
    <n v="295.43"/>
    <n v="264.41000000000003"/>
    <n v="183.19"/>
    <n v="178.81"/>
    <n v="0"/>
    <n v="302.18"/>
    <n v="136.88"/>
    <n v="196.62"/>
    <n v="314.94"/>
    <n v="2297.59"/>
    <n v="-118.32"/>
  </r>
  <r>
    <x v="0"/>
    <x v="6"/>
    <x v="0"/>
    <s v="6005107"/>
    <n v="749535"/>
    <s v="Meetings"/>
    <s v="Housekeeping-Bremerton"/>
    <x v="0"/>
    <m/>
    <n v="0"/>
    <n v="0"/>
    <n v="0"/>
    <n v="0"/>
    <n v="0"/>
    <n v="32.409999999999997"/>
    <n v="0"/>
    <n v="0"/>
    <n v="0"/>
    <n v="0"/>
    <n v="0"/>
    <n v="0"/>
    <n v="32.409999999999997"/>
    <n v="0"/>
  </r>
  <r>
    <x v="5"/>
    <x v="7"/>
    <x v="0"/>
    <s v="6005150"/>
    <n v="700018"/>
    <s v="Salaries-Supervisory-Productive"/>
    <s v="Housekeeping"/>
    <x v="0"/>
    <m/>
    <n v="3978.07"/>
    <n v="4166.43"/>
    <n v="4032.08"/>
    <n v="2493.8000000000002"/>
    <n v="4642.8500000000004"/>
    <n v="1673.21"/>
    <n v="4049.58"/>
    <n v="3909.72"/>
    <n v="4328.6499999999996"/>
    <n v="3406.93"/>
    <n v="2443.67"/>
    <n v="5096.62"/>
    <n v="44221.610000000008"/>
    <n v="-2652.95"/>
  </r>
  <r>
    <x v="5"/>
    <x v="7"/>
    <x v="0"/>
    <s v="6005150"/>
    <n v="700038"/>
    <s v="Salaries-Service/Support-Productive"/>
    <s v="Housekeeping"/>
    <x v="0"/>
    <m/>
    <n v="32069.91"/>
    <n v="31791.13"/>
    <n v="30978"/>
    <n v="31181.34"/>
    <n v="31708.89"/>
    <n v="32108.02"/>
    <n v="32493.34"/>
    <n v="30946.799999999999"/>
    <n v="27439.42"/>
    <n v="29650.04"/>
    <n v="33144.11"/>
    <n v="28047.35"/>
    <n v="371558.34999999992"/>
    <n v="5096.760000000002"/>
  </r>
  <r>
    <x v="5"/>
    <x v="7"/>
    <x v="0"/>
    <s v="6005150"/>
    <n v="700038"/>
    <s v="Salaries-Service/Support-OT"/>
    <s v="Housekeeping"/>
    <x v="0"/>
    <n v="1000"/>
    <n v="900.81"/>
    <n v="108.48"/>
    <n v="321.75"/>
    <n v="219"/>
    <n v="56.67"/>
    <n v="416.6"/>
    <n v="267.91000000000003"/>
    <n v="294.64"/>
    <n v="658.61"/>
    <n v="742.49"/>
    <n v="-75.59"/>
    <n v="287.58"/>
    <n v="4198.95"/>
    <n v="-363.16999999999996"/>
  </r>
  <r>
    <x v="5"/>
    <x v="7"/>
    <x v="0"/>
    <s v="6005150"/>
    <n v="700038"/>
    <s v="Salaries-Service/Support-Other"/>
    <s v="Housekeeping"/>
    <x v="0"/>
    <n v="2000"/>
    <n v="2094.0700000000002"/>
    <n v="2369.12"/>
    <n v="1994.55"/>
    <n v="1656.5"/>
    <n v="2184.58"/>
    <n v="1382.03"/>
    <n v="2166.9"/>
    <n v="1761.17"/>
    <n v="1562.7"/>
    <n v="1637.76"/>
    <n v="1583.8"/>
    <n v="1531.33"/>
    <n v="21924.509999999995"/>
    <n v="52.470000000000027"/>
  </r>
  <r>
    <x v="5"/>
    <x v="7"/>
    <x v="0"/>
    <s v="6005150"/>
    <n v="700054"/>
    <s v="Salaries-Management-NonProd-Other"/>
    <s v="Housekeeping"/>
    <x v="0"/>
    <n v="2000"/>
    <n v="0"/>
    <n v="0"/>
    <n v="0"/>
    <n v="0"/>
    <n v="0"/>
    <n v="72.790000000000006"/>
    <n v="-72.790000000000006"/>
    <n v="0"/>
    <n v="0"/>
    <n v="0"/>
    <n v="0"/>
    <n v="0"/>
    <n v="0"/>
    <n v="0"/>
  </r>
  <r>
    <x v="5"/>
    <x v="7"/>
    <x v="0"/>
    <s v="6005150"/>
    <n v="700058"/>
    <s v="Salaries-Supervisory-Non-productive"/>
    <s v="Housekeeping"/>
    <x v="0"/>
    <m/>
    <n v="188.16"/>
    <n v="0"/>
    <n v="0"/>
    <n v="1798.33"/>
    <n v="-460.09"/>
    <n v="2649.09"/>
    <n v="279.48"/>
    <n v="0"/>
    <n v="0"/>
    <n v="781.94"/>
    <n v="1884.95"/>
    <n v="-907.52"/>
    <n v="6214.34"/>
    <n v="2792.4700000000003"/>
  </r>
  <r>
    <x v="5"/>
    <x v="7"/>
    <x v="0"/>
    <s v="6005150"/>
    <n v="700078"/>
    <s v="Salaries-Service/Support-Non-productive"/>
    <s v="Housekeeping"/>
    <x v="0"/>
    <m/>
    <n v="3526.83"/>
    <n v="5110.8100000000004"/>
    <n v="4372.1099999999997"/>
    <n v="4578.43"/>
    <n v="3617.56"/>
    <n v="4723.74"/>
    <n v="5001.58"/>
    <n v="2309.66"/>
    <n v="4404.17"/>
    <n v="3110.45"/>
    <n v="1877.63"/>
    <n v="6076.15"/>
    <n v="48709.119999999995"/>
    <n v="-4198.5199999999995"/>
  </r>
  <r>
    <x v="5"/>
    <x v="7"/>
    <x v="0"/>
    <s v="6005150"/>
    <n v="700078"/>
    <s v="Salaries-Service/Support-NonProd-Other"/>
    <s v="Housekeeping"/>
    <x v="0"/>
    <n v="2000"/>
    <n v="152.12"/>
    <n v="123.08"/>
    <n v="169.27"/>
    <n v="165.64"/>
    <n v="920.14"/>
    <n v="1124.3"/>
    <n v="164.56"/>
    <n v="-1051.69"/>
    <n v="0"/>
    <n v="243.17"/>
    <n v="385.36"/>
    <n v="67.12"/>
    <n v="2463.0700000000002"/>
    <n v="318.24"/>
  </r>
  <r>
    <x v="5"/>
    <x v="7"/>
    <x v="0"/>
    <s v="6005150"/>
    <n v="700084"/>
    <s v="Accrued PTO"/>
    <s v="Housekeeping"/>
    <x v="0"/>
    <m/>
    <n v="1059.3499999999999"/>
    <n v="-721.12"/>
    <n v="-639.91999999999996"/>
    <n v="1249.31"/>
    <n v="1582.24"/>
    <n v="-1623.94"/>
    <n v="-722.7"/>
    <n v="1472.61"/>
    <n v="755.85"/>
    <n v="992.39"/>
    <n v="2164.0100000000002"/>
    <n v="-548.34"/>
    <n v="5019.74"/>
    <n v="2712.3500000000004"/>
  </r>
  <r>
    <x v="10"/>
    <x v="7"/>
    <x v="0"/>
    <s v="6005150"/>
    <n v="710060"/>
    <s v="Contract Labor-Other"/>
    <s v="Housekeeping"/>
    <x v="0"/>
    <m/>
    <n v="0"/>
    <n v="0"/>
    <n v="0"/>
    <n v="0"/>
    <n v="0"/>
    <n v="0"/>
    <n v="0"/>
    <n v="0"/>
    <n v="0"/>
    <n v="0"/>
    <n v="0"/>
    <n v="50106"/>
    <n v="50106"/>
    <n v="-50106"/>
  </r>
  <r>
    <x v="6"/>
    <x v="7"/>
    <x v="0"/>
    <s v="6005150"/>
    <n v="713010"/>
    <s v="Benefits-FICA/Medicare"/>
    <s v="Housekeeping"/>
    <x v="0"/>
    <m/>
    <n v="3150.34"/>
    <n v="3187.04"/>
    <n v="3054.67"/>
    <n v="3067.14"/>
    <n v="3252.76"/>
    <n v="3391.4"/>
    <n v="3251.71"/>
    <n v="2925.17"/>
    <n v="2832.23"/>
    <n v="2839.93"/>
    <n v="3013.18"/>
    <n v="3131.64"/>
    <n v="37097.209999999992"/>
    <n v="-118.46000000000004"/>
  </r>
  <r>
    <x v="6"/>
    <x v="7"/>
    <x v="0"/>
    <s v="6005150"/>
    <n v="713090"/>
    <s v="Benefits-Allocated Amounts"/>
    <s v="Housekeeping"/>
    <x v="0"/>
    <m/>
    <n v="14895.74"/>
    <n v="13031.19"/>
    <n v="14270.53"/>
    <n v="14406.79"/>
    <n v="14129.22"/>
    <n v="13515.64"/>
    <n v="14996.73"/>
    <n v="12181.67"/>
    <n v="11084.63"/>
    <n v="13434.65"/>
    <n v="13576.28"/>
    <n v="14162.13"/>
    <n v="163685.20000000001"/>
    <n v="-585.84999999999854"/>
  </r>
  <r>
    <x v="7"/>
    <x v="7"/>
    <x v="0"/>
    <s v="6005150"/>
    <n v="718050"/>
    <s v="Contract Svcs-Other"/>
    <s v="Housekeeping"/>
    <x v="0"/>
    <m/>
    <n v="0"/>
    <n v="4185.8999999999996"/>
    <n v="0"/>
    <n v="26798"/>
    <n v="0"/>
    <n v="4389"/>
    <n v="14706.21"/>
    <n v="13049.64"/>
    <n v="3606.05"/>
    <n v="699.9"/>
    <n v="29524.26"/>
    <n v="-47327.4"/>
    <n v="49631.55999999999"/>
    <n v="76851.66"/>
  </r>
  <r>
    <x v="7"/>
    <x v="7"/>
    <x v="0"/>
    <s v="6005150"/>
    <n v="718050"/>
    <s v="Miscellaneous Purchased Svcs"/>
    <s v="Housekeeping"/>
    <x v="0"/>
    <n v="1020"/>
    <n v="4433.2"/>
    <n v="5853.49"/>
    <n v="782.7"/>
    <n v="2900.25"/>
    <n v="819.69"/>
    <n v="1425.48"/>
    <n v="-9779.67"/>
    <n v="888.24"/>
    <n v="1365.88"/>
    <n v="1567.8"/>
    <n v="763.2"/>
    <n v="2961.9"/>
    <n v="13982.159999999998"/>
    <n v="-2198.6999999999998"/>
  </r>
  <r>
    <x v="11"/>
    <x v="7"/>
    <x v="0"/>
    <s v="6005150"/>
    <n v="721410"/>
    <s v="Supplies-Medical - Nonbillable"/>
    <s v="Housekeeping"/>
    <x v="0"/>
    <m/>
    <n v="211.56"/>
    <n v="297.55"/>
    <n v="208.5"/>
    <n v="271.05"/>
    <n v="269.75"/>
    <n v="217.01"/>
    <n v="257.14999999999998"/>
    <n v="186.35"/>
    <n v="180.7"/>
    <n v="194.92"/>
    <n v="316.72000000000003"/>
    <n v="159.85"/>
    <n v="2771.11"/>
    <n v="156.87000000000003"/>
  </r>
  <r>
    <x v="11"/>
    <x v="7"/>
    <x v="0"/>
    <s v="6005150"/>
    <n v="721810"/>
    <s v="Supplies-Dietary/Cafeteria"/>
    <s v="Housekeeping"/>
    <x v="0"/>
    <m/>
    <n v="52.27"/>
    <n v="8"/>
    <n v="112.11"/>
    <n v="77.650000000000006"/>
    <n v="26.47"/>
    <n v="39.61"/>
    <n v="73.760000000000005"/>
    <n v="161.77000000000001"/>
    <n v="102.55"/>
    <n v="75.260000000000005"/>
    <n v="160.33000000000001"/>
    <n v="83.95"/>
    <n v="973.73"/>
    <n v="76.38000000000001"/>
  </r>
  <r>
    <x v="11"/>
    <x v="7"/>
    <x v="0"/>
    <s v="6005150"/>
    <n v="721830"/>
    <s v="Supplies-Office"/>
    <s v="Housekeeping"/>
    <x v="0"/>
    <m/>
    <n v="8.1300000000000008"/>
    <n v="56.35"/>
    <n v="0"/>
    <n v="270.32"/>
    <n v="0"/>
    <n v="0"/>
    <n v="0"/>
    <n v="0"/>
    <n v="447.34"/>
    <n v="1794.29"/>
    <n v="1055.23"/>
    <n v="643.38"/>
    <n v="4275.04"/>
    <n v="411.85"/>
  </r>
  <r>
    <x v="11"/>
    <x v="7"/>
    <x v="0"/>
    <s v="6005150"/>
    <n v="721835"/>
    <s v="Supplies-Forms"/>
    <s v="Housekeeping"/>
    <x v="0"/>
    <m/>
    <n v="0"/>
    <n v="0"/>
    <n v="0"/>
    <n v="0"/>
    <n v="0"/>
    <n v="0"/>
    <n v="16.66"/>
    <n v="0"/>
    <n v="0"/>
    <n v="0"/>
    <n v="14"/>
    <n v="0"/>
    <n v="30.66"/>
    <n v="14"/>
  </r>
  <r>
    <x v="11"/>
    <x v="7"/>
    <x v="0"/>
    <s v="6005150"/>
    <n v="721870"/>
    <s v="Supplies-Environmental Services"/>
    <s v="Housekeeping"/>
    <x v="0"/>
    <m/>
    <n v="3041.15"/>
    <n v="3700.53"/>
    <n v="3865.96"/>
    <n v="3058.32"/>
    <n v="3266.34"/>
    <n v="3804.6"/>
    <n v="4275.5"/>
    <n v="3421.07"/>
    <n v="4223.55"/>
    <n v="2867.41"/>
    <n v="3908.14"/>
    <n v="3170.28"/>
    <n v="42602.849999999991"/>
    <n v="737.85999999999967"/>
  </r>
  <r>
    <x v="11"/>
    <x v="7"/>
    <x v="0"/>
    <s v="6005150"/>
    <n v="721880"/>
    <s v="Supplies-Linen"/>
    <s v="Housekeeping"/>
    <x v="0"/>
    <m/>
    <n v="0"/>
    <n v="0"/>
    <n v="0"/>
    <n v="0"/>
    <n v="0"/>
    <n v="296.35000000000002"/>
    <n v="0"/>
    <n v="88.62"/>
    <n v="0"/>
    <n v="0"/>
    <n v="0"/>
    <n v="219.14"/>
    <n v="604.11"/>
    <n v="-219.14"/>
  </r>
  <r>
    <x v="11"/>
    <x v="7"/>
    <x v="0"/>
    <s v="6005150"/>
    <n v="721910"/>
    <s v="Supplies-Small Equipment"/>
    <s v="Housekeeping"/>
    <x v="0"/>
    <m/>
    <n v="1059.94"/>
    <n v="369.01"/>
    <n v="1189.6500000000001"/>
    <n v="584.44000000000005"/>
    <n v="733.77"/>
    <n v="21.6"/>
    <n v="141.4"/>
    <n v="481.82"/>
    <n v="24"/>
    <n v="28.8"/>
    <n v="7.2"/>
    <n v="0"/>
    <n v="4641.63"/>
    <n v="7.2"/>
  </r>
  <r>
    <x v="11"/>
    <x v="7"/>
    <x v="0"/>
    <s v="6005150"/>
    <n v="721980"/>
    <s v="Supplies-Other"/>
    <s v="Housekeeping"/>
    <x v="0"/>
    <m/>
    <n v="119.03"/>
    <n v="870.26"/>
    <n v="68.47"/>
    <n v="373.17"/>
    <n v="-298.52999999999997"/>
    <n v="0"/>
    <n v="757.2"/>
    <n v="267.60000000000002"/>
    <n v="17.55"/>
    <n v="0"/>
    <n v="0"/>
    <n v="0"/>
    <n v="2174.7500000000005"/>
    <n v="0"/>
  </r>
  <r>
    <x v="11"/>
    <x v="7"/>
    <x v="0"/>
    <s v="6005150"/>
    <n v="722000"/>
    <s v="Supplies-Freight Expense"/>
    <s v="Housekeeping"/>
    <x v="0"/>
    <m/>
    <n v="0"/>
    <n v="10.48"/>
    <n v="11.11"/>
    <n v="0"/>
    <n v="0"/>
    <n v="10.69"/>
    <n v="0"/>
    <n v="0"/>
    <n v="0"/>
    <n v="0"/>
    <n v="0"/>
    <n v="0"/>
    <n v="32.28"/>
    <n v="0"/>
  </r>
  <r>
    <x v="12"/>
    <x v="7"/>
    <x v="0"/>
    <s v="6005150"/>
    <n v="730020"/>
    <s v="Rental and Leases-Copier Usage Fees (DO NOT USE)"/>
    <s v="Housekeeping"/>
    <x v="0"/>
    <n v="5100"/>
    <n v="115.94"/>
    <n v="120.19"/>
    <n v="118.06"/>
    <n v="118.07"/>
    <n v="118.07"/>
    <n v="118.07"/>
    <n v="491.33"/>
    <n v="131.91999999999999"/>
    <n v="131.65"/>
    <n v="275.5"/>
    <n v="131.91999999999999"/>
    <n v="140.05000000000001"/>
    <n v="2010.77"/>
    <n v="-8.1300000000000239"/>
  </r>
  <r>
    <x v="15"/>
    <x v="7"/>
    <x v="0"/>
    <s v="6005150"/>
    <n v="731060"/>
    <s v="Cell Phones"/>
    <s v="Housekeeping"/>
    <x v="0"/>
    <n v="1001"/>
    <n v="0"/>
    <n v="54.64"/>
    <n v="26.81"/>
    <n v="0"/>
    <n v="26.85"/>
    <n v="27.42"/>
    <n v="54.91"/>
    <n v="0"/>
    <n v="28.05"/>
    <n v="54.82"/>
    <n v="26.85"/>
    <n v="67.92"/>
    <n v="368.2700000000001"/>
    <n v="-41.07"/>
  </r>
  <r>
    <x v="16"/>
    <x v="7"/>
    <x v="0"/>
    <s v="6005150"/>
    <n v="732020"/>
    <s v="Repairs--Clin Equip-Parts-Internal to CHI Programs"/>
    <s v="Housekeeping"/>
    <x v="0"/>
    <m/>
    <n v="0"/>
    <n v="0"/>
    <n v="0"/>
    <n v="0"/>
    <n v="0"/>
    <n v="0"/>
    <n v="230.28"/>
    <n v="0"/>
    <n v="0"/>
    <n v="0"/>
    <n v="0"/>
    <n v="0"/>
    <n v="230.28"/>
    <n v="0"/>
  </r>
  <r>
    <x v="16"/>
    <x v="7"/>
    <x v="0"/>
    <s v="6005150"/>
    <n v="732030"/>
    <s v="Repairs---Other"/>
    <s v="Housekeeping"/>
    <x v="0"/>
    <m/>
    <n v="0"/>
    <n v="14304.01"/>
    <n v="0"/>
    <n v="106.72"/>
    <n v="0"/>
    <n v="0"/>
    <n v="9.2799999999999994"/>
    <n v="3050"/>
    <n v="0"/>
    <n v="17989.21"/>
    <n v="-13062"/>
    <n v="5550"/>
    <n v="27947.22"/>
    <n v="-18612"/>
  </r>
  <r>
    <x v="16"/>
    <x v="7"/>
    <x v="0"/>
    <s v="6005150"/>
    <n v="732030"/>
    <s v="Repairs&amp;Maintenance-Bldg Routine"/>
    <s v="Housekeeping"/>
    <x v="0"/>
    <n v="2300"/>
    <n v="0"/>
    <n v="880.8"/>
    <n v="0"/>
    <n v="385.35"/>
    <n v="1276.06"/>
    <n v="0"/>
    <n v="0"/>
    <n v="0"/>
    <n v="0"/>
    <n v="0"/>
    <n v="0"/>
    <n v="0"/>
    <n v="2542.21"/>
    <n v="0"/>
  </r>
  <r>
    <x v="13"/>
    <x v="7"/>
    <x v="0"/>
    <s v="6005150"/>
    <n v="735070"/>
    <s v="Depreciation-Movable Equipment"/>
    <s v="Housekeeping"/>
    <x v="0"/>
    <m/>
    <n v="830.52"/>
    <n v="830.51"/>
    <n v="830.54"/>
    <n v="830.51"/>
    <n v="830.54"/>
    <n v="830.51"/>
    <n v="830.55"/>
    <n v="830.5"/>
    <n v="830.58"/>
    <n v="830.46"/>
    <n v="830.58"/>
    <n v="830.45"/>
    <n v="9966.2500000000018"/>
    <n v="0.12999999999999545"/>
  </r>
  <r>
    <x v="0"/>
    <x v="7"/>
    <x v="0"/>
    <s v="6005150"/>
    <n v="749510"/>
    <s v="Miscellaneous Expenses"/>
    <s v="Housekeeping"/>
    <x v="0"/>
    <m/>
    <n v="180.96"/>
    <n v="-88.84"/>
    <n v="-32.119999999999997"/>
    <n v="10.5"/>
    <n v="0"/>
    <n v="0"/>
    <n v="31.9"/>
    <n v="-32.9"/>
    <n v="0"/>
    <n v="-743"/>
    <n v="0"/>
    <n v="0"/>
    <n v="-673.5"/>
    <n v="0"/>
  </r>
  <r>
    <x v="0"/>
    <x v="7"/>
    <x v="0"/>
    <s v="6005150"/>
    <n v="749510"/>
    <s v="RICE Rewards"/>
    <s v="Housekeeping"/>
    <x v="0"/>
    <n v="5100"/>
    <n v="0"/>
    <n v="0"/>
    <n v="0"/>
    <n v="0"/>
    <n v="0"/>
    <n v="0"/>
    <n v="0"/>
    <n v="0"/>
    <n v="0"/>
    <n v="0"/>
    <n v="0"/>
    <n v="426.03"/>
    <n v="426.03"/>
    <n v="-426.03"/>
  </r>
  <r>
    <x v="0"/>
    <x v="7"/>
    <x v="0"/>
    <s v="6005150"/>
    <n v="749530"/>
    <s v="Mileage"/>
    <s v="Housekeeping"/>
    <x v="0"/>
    <n v="1001"/>
    <n v="57.78"/>
    <n v="298.7"/>
    <n v="179.88"/>
    <n v="118.82"/>
    <n v="0"/>
    <n v="0"/>
    <n v="0"/>
    <n v="31.9"/>
    <n v="0"/>
    <n v="0"/>
    <n v="0"/>
    <n v="15.66"/>
    <n v="702.74"/>
    <n v="-15.66"/>
  </r>
  <r>
    <x v="7"/>
    <x v="10"/>
    <x v="0"/>
    <s v="6005306"/>
    <n v="718050"/>
    <s v="Miscellaneous Purchased Svcs"/>
    <s v="Housekeeping"/>
    <x v="0"/>
    <n v="1020"/>
    <n v="15645"/>
    <n v="15645"/>
    <n v="15645"/>
    <n v="15645"/>
    <n v="15645"/>
    <n v="15645"/>
    <n v="15645"/>
    <n v="16427.25"/>
    <n v="15645"/>
    <n v="22685.25"/>
    <n v="16427.25"/>
    <n v="16427.25"/>
    <n v="197127"/>
    <n v="0"/>
  </r>
  <r>
    <x v="5"/>
    <x v="6"/>
    <x v="0"/>
    <s v="6006107"/>
    <n v="700018"/>
    <s v="Salaries-Supervisory-Productive"/>
    <s v="Housekeeping-Silverdale"/>
    <x v="0"/>
    <m/>
    <n v="0"/>
    <n v="0"/>
    <n v="0"/>
    <n v="0"/>
    <n v="0"/>
    <n v="0"/>
    <n v="0"/>
    <n v="0"/>
    <n v="0"/>
    <n v="0"/>
    <n v="0"/>
    <n v="2816.68"/>
    <n v="2816.68"/>
    <n v="-2816.68"/>
  </r>
  <r>
    <x v="5"/>
    <x v="6"/>
    <x v="0"/>
    <s v="6006107"/>
    <n v="700038"/>
    <s v="Salaries-Service/Support-Productive"/>
    <s v="Housekeeping-Silverdale"/>
    <x v="0"/>
    <m/>
    <n v="54305.2"/>
    <n v="54946.559999999998"/>
    <n v="53752.11"/>
    <n v="48905.34"/>
    <n v="50287.5"/>
    <n v="53457.63"/>
    <n v="54367.99"/>
    <n v="48254.48"/>
    <n v="52422.09"/>
    <n v="50270.95"/>
    <n v="63521.74"/>
    <n v="47130.97"/>
    <n v="631622.55999999994"/>
    <n v="16390.769999999997"/>
  </r>
  <r>
    <x v="5"/>
    <x v="6"/>
    <x v="0"/>
    <s v="6006107"/>
    <n v="700038"/>
    <s v="Salaries-Service/Support-OT"/>
    <s v="Housekeeping-Silverdale"/>
    <x v="0"/>
    <n v="1000"/>
    <n v="1266.53"/>
    <n v="-70.3"/>
    <n v="433.36"/>
    <n v="-153.32"/>
    <n v="574.22"/>
    <n v="-173.19"/>
    <n v="33.19"/>
    <n v="676.16"/>
    <n v="-122.86"/>
    <n v="925.95"/>
    <n v="1073.21"/>
    <n v="305.45"/>
    <n v="4768.3999999999996"/>
    <n v="767.76"/>
  </r>
  <r>
    <x v="5"/>
    <x v="6"/>
    <x v="0"/>
    <s v="6006107"/>
    <n v="700038"/>
    <s v="Salaries-Service/Support-Other"/>
    <s v="Housekeeping-Silverdale"/>
    <x v="0"/>
    <n v="2000"/>
    <n v="4048.14"/>
    <n v="3915.57"/>
    <n v="4061.7"/>
    <n v="3552.44"/>
    <n v="3578.79"/>
    <n v="3884.4"/>
    <n v="3713.54"/>
    <n v="3437.41"/>
    <n v="3880.32"/>
    <n v="3347.59"/>
    <n v="3705.08"/>
    <n v="3235.56"/>
    <n v="44360.540000000008"/>
    <n v="469.52"/>
  </r>
  <r>
    <x v="5"/>
    <x v="6"/>
    <x v="0"/>
    <s v="6006107"/>
    <n v="700054"/>
    <s v="Salaries-Management-NonProd-Other"/>
    <s v="Housekeeping-Silverdale"/>
    <x v="0"/>
    <n v="2000"/>
    <n v="0"/>
    <n v="0"/>
    <n v="0"/>
    <n v="0"/>
    <n v="0"/>
    <n v="1245.8"/>
    <n v="-1245.8"/>
    <n v="0"/>
    <n v="0"/>
    <n v="0"/>
    <n v="0"/>
    <n v="0"/>
    <n v="0"/>
    <n v="0"/>
  </r>
  <r>
    <x v="5"/>
    <x v="6"/>
    <x v="0"/>
    <s v="6006107"/>
    <n v="700078"/>
    <s v="Salaries-Service/Support-Non-productive"/>
    <s v="Housekeeping-Silverdale"/>
    <x v="0"/>
    <m/>
    <n v="9666.8799999999992"/>
    <n v="5018.75"/>
    <n v="6220.47"/>
    <n v="8569.85"/>
    <n v="5563.03"/>
    <n v="8488.51"/>
    <n v="9217.81"/>
    <n v="3734.57"/>
    <n v="8678.48"/>
    <n v="7018.31"/>
    <n v="10688.89"/>
    <n v="10641.56"/>
    <n v="93507.109999999986"/>
    <n v="47.329999999999927"/>
  </r>
  <r>
    <x v="5"/>
    <x v="6"/>
    <x v="0"/>
    <s v="6006107"/>
    <n v="700078"/>
    <s v="Salaries-Service/Support-NonProd-Other"/>
    <s v="Housekeeping-Silverdale"/>
    <x v="0"/>
    <n v="2000"/>
    <n v="518.65"/>
    <n v="288.95999999999998"/>
    <n v="168.84"/>
    <n v="629.22"/>
    <n v="304.58999999999997"/>
    <n v="79.02"/>
    <n v="483.51"/>
    <n v="256.45999999999998"/>
    <n v="893.91"/>
    <n v="441.73"/>
    <n v="554.6"/>
    <n v="573.5"/>
    <n v="5192.99"/>
    <n v="-18.899999999999977"/>
  </r>
  <r>
    <x v="5"/>
    <x v="6"/>
    <x v="0"/>
    <s v="6006107"/>
    <n v="700084"/>
    <s v="Accrued PTO"/>
    <s v="Housekeeping-Silverdale"/>
    <x v="0"/>
    <m/>
    <n v="-1312.23"/>
    <n v="2053.7600000000002"/>
    <n v="1371.07"/>
    <n v="-1013.54"/>
    <n v="1135.74"/>
    <n v="1542"/>
    <n v="-1524.26"/>
    <n v="2386.83"/>
    <n v="-1396.87"/>
    <n v="1359.98"/>
    <n v="-1973.5"/>
    <n v="-3909.96"/>
    <n v="-1280.9800000000005"/>
    <n v="1936.46"/>
  </r>
  <r>
    <x v="6"/>
    <x v="6"/>
    <x v="0"/>
    <s v="6006107"/>
    <n v="713010"/>
    <s v="Benefits-FICA/Medicare"/>
    <s v="Housekeeping-Silverdale"/>
    <x v="0"/>
    <m/>
    <n v="5441.62"/>
    <n v="4741.5"/>
    <n v="4824.62"/>
    <n v="4632.51"/>
    <n v="4535.1000000000004"/>
    <n v="5146.8500000000004"/>
    <n v="5151.51"/>
    <n v="4288.7"/>
    <n v="5116.04"/>
    <n v="4626.6899999999996"/>
    <n v="5974.36"/>
    <n v="5229.25"/>
    <n v="59708.75"/>
    <n v="745.10999999999967"/>
  </r>
  <r>
    <x v="6"/>
    <x v="6"/>
    <x v="0"/>
    <s v="6006107"/>
    <n v="713090"/>
    <s v="Benefits-Allocated Amounts"/>
    <s v="Housekeeping-Silverdale"/>
    <x v="0"/>
    <m/>
    <n v="21494.83"/>
    <n v="17269.84"/>
    <n v="19490.71"/>
    <n v="18415.150000000001"/>
    <n v="21043"/>
    <n v="20098.34"/>
    <n v="21288.77"/>
    <n v="18561.36"/>
    <n v="17985.29"/>
    <n v="20724.7"/>
    <n v="25004.86"/>
    <n v="23532.81"/>
    <n v="244909.66000000003"/>
    <n v="1472.0499999999993"/>
  </r>
  <r>
    <x v="7"/>
    <x v="6"/>
    <x v="0"/>
    <s v="6006107"/>
    <n v="718050"/>
    <s v="Miscellaneous Purchased Svcs"/>
    <s v="Housekeeping-Silverdale"/>
    <x v="0"/>
    <n v="1020"/>
    <n v="279.60000000000002"/>
    <n v="210.75"/>
    <n v="209.7"/>
    <n v="8716.7000000000007"/>
    <n v="421.5"/>
    <n v="0"/>
    <n v="629.1"/>
    <n v="69.900000000000006"/>
    <n v="349.5"/>
    <n v="69.900000000000006"/>
    <n v="209.7"/>
    <n v="9274.2999999999993"/>
    <n v="20440.650000000001"/>
    <n v="-9064.5999999999985"/>
  </r>
  <r>
    <x v="11"/>
    <x v="6"/>
    <x v="0"/>
    <s v="6006107"/>
    <n v="721410"/>
    <s v="Supplies-Medical - Nonbillable"/>
    <s v="Housekeeping-Silverdale"/>
    <x v="0"/>
    <m/>
    <n v="69.92"/>
    <n v="62.45"/>
    <n v="173.4"/>
    <n v="92.15"/>
    <n v="96.4"/>
    <n v="57.6"/>
    <n v="134.63"/>
    <n v="76.17"/>
    <n v="55.65"/>
    <n v="121.92"/>
    <n v="150.6"/>
    <n v="123.4"/>
    <n v="1214.29"/>
    <n v="27.199999999999989"/>
  </r>
  <r>
    <x v="11"/>
    <x v="6"/>
    <x v="0"/>
    <s v="6006107"/>
    <n v="721810"/>
    <s v="Supplies-Dietary/Cafeteria"/>
    <s v="Housekeeping-Silverdale"/>
    <x v="0"/>
    <m/>
    <n v="0"/>
    <n v="0"/>
    <n v="0"/>
    <n v="0"/>
    <n v="0"/>
    <n v="0"/>
    <n v="0"/>
    <n v="0"/>
    <n v="13.75"/>
    <n v="0"/>
    <n v="3.48"/>
    <n v="0"/>
    <n v="17.23"/>
    <n v="3.48"/>
  </r>
  <r>
    <x v="11"/>
    <x v="6"/>
    <x v="0"/>
    <s v="6006107"/>
    <n v="721835"/>
    <s v="Supplies-Forms"/>
    <s v="Housekeeping-Silverdale"/>
    <x v="0"/>
    <m/>
    <n v="0"/>
    <n v="0"/>
    <n v="0"/>
    <n v="0"/>
    <n v="0"/>
    <n v="0"/>
    <n v="0"/>
    <n v="0"/>
    <n v="0"/>
    <n v="0"/>
    <n v="0"/>
    <n v="0.5"/>
    <n v="0.5"/>
    <n v="-0.5"/>
  </r>
  <r>
    <x v="11"/>
    <x v="6"/>
    <x v="0"/>
    <s v="6006107"/>
    <n v="721870"/>
    <s v="Supplies-Environmental Services"/>
    <s v="Housekeeping-Silverdale"/>
    <x v="0"/>
    <m/>
    <n v="2264.12"/>
    <n v="2561.2600000000002"/>
    <n v="2489"/>
    <n v="2985.04"/>
    <n v="3748.07"/>
    <n v="2899.2"/>
    <n v="2746.65"/>
    <n v="3572.2"/>
    <n v="3398.42"/>
    <n v="3732.56"/>
    <n v="4001.49"/>
    <n v="3180.43"/>
    <n v="37578.44"/>
    <n v="821.06"/>
  </r>
  <r>
    <x v="11"/>
    <x v="6"/>
    <x v="0"/>
    <s v="6006107"/>
    <n v="721910"/>
    <s v="Supplies-Small Equipment"/>
    <s v="Housekeeping-Silverdale"/>
    <x v="0"/>
    <m/>
    <n v="22.56"/>
    <n v="16.32"/>
    <n v="12.48"/>
    <n v="0"/>
    <n v="4.08"/>
    <n v="14.4"/>
    <n v="0"/>
    <n v="18.48"/>
    <n v="14.4"/>
    <n v="18.48"/>
    <n v="0"/>
    <n v="4.08"/>
    <n v="125.28000000000002"/>
    <n v="-4.08"/>
  </r>
  <r>
    <x v="11"/>
    <x v="6"/>
    <x v="0"/>
    <s v="6006107"/>
    <n v="722000"/>
    <s v="Supplies-Freight Expense"/>
    <s v="Housekeeping-Silverdale"/>
    <x v="0"/>
    <m/>
    <n v="0"/>
    <n v="0"/>
    <n v="0"/>
    <n v="140.9"/>
    <n v="0"/>
    <n v="133.84"/>
    <n v="0"/>
    <n v="0"/>
    <n v="0"/>
    <n v="0"/>
    <n v="0"/>
    <n v="0"/>
    <n v="274.74"/>
    <n v="0"/>
  </r>
  <r>
    <x v="12"/>
    <x v="6"/>
    <x v="0"/>
    <s v="6006107"/>
    <n v="730020"/>
    <s v="Rental and Leases-Copier Usage Fees (DO NOT USE)"/>
    <s v="Housekeeping-Silverdale"/>
    <x v="0"/>
    <n v="5100"/>
    <n v="40.15"/>
    <n v="40.4"/>
    <n v="40.270000000000003"/>
    <n v="40.270000000000003"/>
    <n v="40.270000000000003"/>
    <n v="40.270000000000003"/>
    <n v="7.02"/>
    <n v="45"/>
    <n v="44.82"/>
    <n v="44.91"/>
    <n v="44.91"/>
    <n v="53.69"/>
    <n v="481.97999999999996"/>
    <n v="-8.7800000000000011"/>
  </r>
  <r>
    <x v="15"/>
    <x v="6"/>
    <x v="0"/>
    <s v="6006107"/>
    <n v="731050"/>
    <s v="Refuse Disposal"/>
    <s v="Housekeeping-Silverdale"/>
    <x v="0"/>
    <m/>
    <n v="4812.7299999999996"/>
    <n v="4589.13"/>
    <n v="5153.1499999999996"/>
    <n v="4396.2299999999996"/>
    <n v="5169.9399999999996"/>
    <n v="4827.76"/>
    <n v="4788.28"/>
    <n v="4806.1499999999996"/>
    <n v="-38543.370000000003"/>
    <n v="0"/>
    <n v="0"/>
    <n v="0"/>
    <n v="-7.2759576141834259E-12"/>
    <n v="0"/>
  </r>
  <r>
    <x v="15"/>
    <x v="6"/>
    <x v="0"/>
    <s v="6006107"/>
    <n v="731060"/>
    <s v="Pagers"/>
    <s v="Housekeeping-Silverdale"/>
    <x v="0"/>
    <n v="1002"/>
    <n v="113.4"/>
    <n v="113.4"/>
    <n v="113.4"/>
    <n v="113.68"/>
    <n v="0"/>
    <n v="113.68"/>
    <n v="227.36"/>
    <n v="113.68"/>
    <n v="113.68"/>
    <n v="113.68"/>
    <n v="113.68"/>
    <n v="113.68"/>
    <n v="1363.3200000000004"/>
    <n v="0"/>
  </r>
  <r>
    <x v="16"/>
    <x v="6"/>
    <x v="0"/>
    <s v="6006107"/>
    <n v="732020"/>
    <s v="Repairs--Clin Equip-Parts-Internal to CHI Programs"/>
    <s v="Housekeeping-Silverdale"/>
    <x v="0"/>
    <m/>
    <n v="0"/>
    <n v="-7.31"/>
    <n v="96.47"/>
    <n v="15.81"/>
    <n v="308.27"/>
    <n v="0"/>
    <n v="0"/>
    <n v="0"/>
    <n v="0"/>
    <n v="0"/>
    <n v="0"/>
    <n v="0"/>
    <n v="413.24"/>
    <n v="0"/>
  </r>
  <r>
    <x v="0"/>
    <x v="6"/>
    <x v="0"/>
    <s v="6006107"/>
    <n v="749510"/>
    <s v="Miscellaneous Expenses"/>
    <s v="Housekeeping-Silverdale"/>
    <x v="0"/>
    <m/>
    <n v="0"/>
    <n v="3.82"/>
    <n v="-3.82"/>
    <n v="38.200000000000003"/>
    <n v="-38.200000000000003"/>
    <n v="0"/>
    <n v="0"/>
    <n v="0"/>
    <n v="0"/>
    <n v="0"/>
    <n v="0"/>
    <n v="0"/>
    <n v="0"/>
    <n v="0"/>
  </r>
  <r>
    <x v="0"/>
    <x v="6"/>
    <x v="0"/>
    <s v="6006107"/>
    <n v="749510"/>
    <s v="RICE Rewards"/>
    <s v="Housekeeping-Silverdale"/>
    <x v="0"/>
    <n v="5100"/>
    <n v="0"/>
    <n v="0"/>
    <n v="0"/>
    <n v="0"/>
    <n v="0"/>
    <n v="0"/>
    <n v="0"/>
    <n v="0"/>
    <n v="0"/>
    <n v="319.20999999999998"/>
    <n v="0"/>
    <n v="0"/>
    <n v="319.20999999999998"/>
    <n v="0"/>
  </r>
  <r>
    <x v="0"/>
    <x v="6"/>
    <x v="0"/>
    <s v="6006107"/>
    <n v="749530"/>
    <s v="Mileage"/>
    <s v="Housekeeping-Silverdale"/>
    <x v="0"/>
    <n v="1001"/>
    <n v="0"/>
    <n v="22.92"/>
    <n v="3.82"/>
    <n v="0"/>
    <n v="38.200000000000003"/>
    <n v="0"/>
    <n v="0"/>
    <n v="0"/>
    <n v="0"/>
    <n v="0"/>
    <n v="0"/>
    <n v="0"/>
    <n v="64.94"/>
    <n v="0"/>
  </r>
  <r>
    <x v="5"/>
    <x v="3"/>
    <x v="0"/>
    <s v="6010101"/>
    <n v="700038"/>
    <s v="Salaries-Service/Support-Productive"/>
    <s v="Laundry &amp; Linen"/>
    <x v="0"/>
    <m/>
    <n v="16263.67"/>
    <n v="15547.99"/>
    <n v="13101.28"/>
    <n v="16042.05"/>
    <n v="15964.28"/>
    <n v="14681.34"/>
    <n v="14367.72"/>
    <n v="13764.64"/>
    <n v="14952.24"/>
    <n v="15671.51"/>
    <n v="12409.29"/>
    <n v="13386.1"/>
    <n v="176152.11000000002"/>
    <n v="-976.80999999999949"/>
  </r>
  <r>
    <x v="5"/>
    <x v="3"/>
    <x v="0"/>
    <s v="6010101"/>
    <n v="700038"/>
    <s v="Salaries-Service/Support-OT"/>
    <s v="Laundry &amp; Linen"/>
    <x v="0"/>
    <n v="1000"/>
    <n v="1108.97"/>
    <n v="824.59"/>
    <n v="1077.51"/>
    <n v="1485.87"/>
    <n v="419.14"/>
    <n v="245.48"/>
    <n v="697.13"/>
    <n v="796.6"/>
    <n v="208.82"/>
    <n v="1069.3800000000001"/>
    <n v="882.74"/>
    <n v="573.33000000000004"/>
    <n v="9389.56"/>
    <n v="309.40999999999997"/>
  </r>
  <r>
    <x v="5"/>
    <x v="3"/>
    <x v="0"/>
    <s v="6010101"/>
    <n v="700038"/>
    <s v="Salaries-Service/Support-Other"/>
    <s v="Laundry &amp; Linen"/>
    <x v="0"/>
    <n v="2000"/>
    <n v="1163.26"/>
    <n v="4811.9799999999996"/>
    <n v="1370.62"/>
    <n v="1571.07"/>
    <n v="1331.47"/>
    <n v="1345.27"/>
    <n v="1275.8399999999999"/>
    <n v="1190.72"/>
    <n v="1190.8900000000001"/>
    <n v="1567.63"/>
    <n v="1005.77"/>
    <n v="1107.29"/>
    <n v="18931.810000000001"/>
    <n v="-101.51999999999998"/>
  </r>
  <r>
    <x v="5"/>
    <x v="3"/>
    <x v="0"/>
    <s v="6010101"/>
    <n v="700078"/>
    <s v="Salaries-Service/Support-Non-productive"/>
    <s v="Laundry &amp; Linen"/>
    <x v="0"/>
    <m/>
    <n v="1768.26"/>
    <n v="1713.61"/>
    <n v="2427.44"/>
    <n v="527.21"/>
    <n v="704.82"/>
    <n v="2139.37"/>
    <n v="2278.04"/>
    <n v="1186.02"/>
    <n v="650.58000000000004"/>
    <n v="2019.76"/>
    <n v="2366.04"/>
    <n v="1703.38"/>
    <n v="19484.530000000002"/>
    <n v="662.65999999999985"/>
  </r>
  <r>
    <x v="5"/>
    <x v="3"/>
    <x v="0"/>
    <s v="6010101"/>
    <n v="700078"/>
    <s v="Salaries-Service/Support-NonProd-Other"/>
    <s v="Laundry &amp; Linen"/>
    <x v="0"/>
    <n v="2000"/>
    <n v="205.11"/>
    <n v="90.27"/>
    <n v="-16.96"/>
    <n v="25.29"/>
    <n v="292.98"/>
    <n v="50.14"/>
    <n v="19.309999999999999"/>
    <n v="-229.72"/>
    <n v="47.89"/>
    <n v="74"/>
    <n v="146"/>
    <n v="86.8"/>
    <n v="791.1099999999999"/>
    <n v="59.2"/>
  </r>
  <r>
    <x v="5"/>
    <x v="3"/>
    <x v="0"/>
    <s v="6010101"/>
    <n v="700084"/>
    <s v="Accrued PTO"/>
    <s v="Laundry &amp; Linen"/>
    <x v="0"/>
    <m/>
    <n v="-141.76"/>
    <n v="-257.17"/>
    <n v="-1452.28"/>
    <n v="534.99"/>
    <n v="762.29"/>
    <n v="-317.2"/>
    <n v="-531.07000000000005"/>
    <n v="153.49"/>
    <n v="720.43"/>
    <n v="205.35"/>
    <n v="-71.680000000000007"/>
    <n v="734.08"/>
    <n v="339.46999999999974"/>
    <n v="-805.76"/>
  </r>
  <r>
    <x v="6"/>
    <x v="3"/>
    <x v="0"/>
    <s v="6010101"/>
    <n v="713010"/>
    <s v="Benefits-FICA/Medicare"/>
    <s v="Laundry &amp; Linen"/>
    <x v="0"/>
    <m/>
    <n v="1529.65"/>
    <n v="1830.73"/>
    <n v="1224.3800000000001"/>
    <n v="1463.96"/>
    <n v="1444.49"/>
    <n v="1347.46"/>
    <n v="1386.56"/>
    <n v="1272.4100000000001"/>
    <n v="1245.0999999999999"/>
    <n v="1509.26"/>
    <n v="1232.8900000000001"/>
    <n v="1238.52"/>
    <n v="16725.41"/>
    <n v="-5.6299999999998818"/>
  </r>
  <r>
    <x v="6"/>
    <x v="3"/>
    <x v="0"/>
    <s v="6010101"/>
    <n v="713090"/>
    <s v="Benefits-Allocated Amounts"/>
    <s v="Laundry &amp; Linen"/>
    <x v="0"/>
    <m/>
    <n v="8170.47"/>
    <n v="7057.27"/>
    <n v="7135.43"/>
    <n v="7636.98"/>
    <n v="7466.95"/>
    <n v="6932.01"/>
    <n v="7684.03"/>
    <n v="7232.97"/>
    <n v="5962.22"/>
    <n v="7916.59"/>
    <n v="7087.81"/>
    <n v="6893.54"/>
    <n v="87176.26999999999"/>
    <n v="194.27000000000044"/>
  </r>
  <r>
    <x v="7"/>
    <x v="3"/>
    <x v="0"/>
    <s v="6010101"/>
    <n v="718050"/>
    <s v="Miscellaneous Purchased Svcs"/>
    <s v="Laundry &amp; Linen"/>
    <x v="0"/>
    <n v="1020"/>
    <n v="0"/>
    <n v="0"/>
    <n v="0"/>
    <n v="0"/>
    <n v="0"/>
    <n v="0"/>
    <n v="0"/>
    <n v="0"/>
    <n v="0"/>
    <n v="0"/>
    <n v="0"/>
    <n v="100"/>
    <n v="100"/>
    <n v="-100"/>
  </r>
  <r>
    <x v="7"/>
    <x v="3"/>
    <x v="0"/>
    <s v="6010101"/>
    <n v="718050"/>
    <s v="Contract Management--Linen"/>
    <s v="Laundry &amp; Linen"/>
    <x v="0"/>
    <n v="1026"/>
    <n v="538.48"/>
    <n v="983.26"/>
    <n v="945.59"/>
    <n v="-920.38"/>
    <n v="71.430000000000007"/>
    <n v="243.05"/>
    <n v="213.16"/>
    <n v="184.14"/>
    <n v="242.95"/>
    <n v="209.89"/>
    <n v="298.70999999999998"/>
    <n v="8.74"/>
    <n v="3019.0199999999991"/>
    <n v="289.96999999999997"/>
  </r>
  <r>
    <x v="11"/>
    <x v="3"/>
    <x v="0"/>
    <s v="6010101"/>
    <n v="721410"/>
    <s v="Supplies-Medical - Nonbillable"/>
    <s v="Laundry &amp; Linen"/>
    <x v="0"/>
    <m/>
    <n v="0"/>
    <n v="0"/>
    <n v="0"/>
    <n v="0"/>
    <n v="0"/>
    <n v="0"/>
    <n v="0"/>
    <n v="0"/>
    <n v="0"/>
    <n v="113.57"/>
    <n v="0"/>
    <n v="0"/>
    <n v="113.57"/>
    <n v="0"/>
  </r>
  <r>
    <x v="11"/>
    <x v="3"/>
    <x v="0"/>
    <s v="6010101"/>
    <n v="721870"/>
    <s v="Supplies-Environmental Services"/>
    <s v="Laundry &amp; Linen"/>
    <x v="0"/>
    <m/>
    <n v="4008.65"/>
    <n v="0"/>
    <n v="1198.52"/>
    <n v="1239.8499999999999"/>
    <n v="1065.0999999999999"/>
    <n v="603.08000000000004"/>
    <n v="1165.48"/>
    <n v="1299.32"/>
    <n v="708.85"/>
    <n v="1882.77"/>
    <n v="326.8"/>
    <n v="495.2"/>
    <n v="13993.62"/>
    <n v="-168.39999999999998"/>
  </r>
  <r>
    <x v="12"/>
    <x v="3"/>
    <x v="0"/>
    <s v="6010101"/>
    <n v="730020"/>
    <s v="Rental and Leases-Copier Usage Fees (DO NOT USE)"/>
    <s v="Laundry &amp; Linen"/>
    <x v="0"/>
    <n v="5100"/>
    <n v="2.4500000000000002"/>
    <n v="1.97"/>
    <n v="2.21"/>
    <n v="2.21"/>
    <n v="2.21"/>
    <n v="2.21"/>
    <n v="-28.73"/>
    <n v="0"/>
    <n v="0"/>
    <n v="0"/>
    <n v="0"/>
    <n v="0"/>
    <n v="-15.469999999999999"/>
    <n v="0"/>
  </r>
  <r>
    <x v="0"/>
    <x v="3"/>
    <x v="0"/>
    <s v="6010101"/>
    <n v="749510"/>
    <s v="Licenses"/>
    <s v="Laundry &amp; Linen"/>
    <x v="0"/>
    <n v="1002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6010102"/>
    <n v="700038"/>
    <s v="Salaries-Service/Support-Productive"/>
    <s v="Laundry &amp; Linen"/>
    <x v="0"/>
    <m/>
    <n v="3381.34"/>
    <n v="3793.57"/>
    <n v="3455.48"/>
    <n v="3753.07"/>
    <n v="3544.67"/>
    <n v="3949.06"/>
    <n v="1564.71"/>
    <n v="3860.19"/>
    <n v="3090.73"/>
    <n v="3723.64"/>
    <n v="3971.98"/>
    <n v="2694.81"/>
    <n v="40783.25"/>
    <n v="1277.17"/>
  </r>
  <r>
    <x v="5"/>
    <x v="0"/>
    <x v="0"/>
    <s v="6010102"/>
    <n v="700038"/>
    <s v="Salaries-Service/Support-OT"/>
    <s v="Laundry &amp; Linen"/>
    <x v="0"/>
    <n v="1000"/>
    <n v="16.010000000000002"/>
    <n v="7.99"/>
    <n v="49.1"/>
    <n v="21.44"/>
    <n v="-6.41"/>
    <n v="17.5"/>
    <n v="-1.1599999999999999"/>
    <n v="22.23"/>
    <n v="18.71"/>
    <n v="22.19"/>
    <n v="49.68"/>
    <n v="26.85"/>
    <n v="244.13"/>
    <n v="22.83"/>
  </r>
  <r>
    <x v="5"/>
    <x v="0"/>
    <x v="0"/>
    <s v="6010102"/>
    <n v="700038"/>
    <s v="Salaries-Service/Support-Other"/>
    <s v="Laundry &amp; Linen"/>
    <x v="0"/>
    <n v="2000"/>
    <n v="53.14"/>
    <n v="53.14"/>
    <n v="51.43"/>
    <n v="53.82"/>
    <n v="51.13"/>
    <n v="53.14"/>
    <n v="20.62"/>
    <n v="56.66"/>
    <n v="53.23"/>
    <n v="51.51"/>
    <n v="53.23"/>
    <n v="26.16"/>
    <n v="577.21"/>
    <n v="27.069999999999997"/>
  </r>
  <r>
    <x v="5"/>
    <x v="0"/>
    <x v="0"/>
    <s v="6010102"/>
    <n v="700078"/>
    <s v="Salaries-Service/Support-Non-productive"/>
    <s v="Laundry &amp; Linen"/>
    <x v="0"/>
    <m/>
    <n v="375.7"/>
    <n v="-36.340000000000003"/>
    <n v="266.63"/>
    <n v="62.13"/>
    <n v="500.74"/>
    <n v="40.75"/>
    <n v="2507.27"/>
    <n v="-384.72"/>
    <n v="757.14"/>
    <n v="0"/>
    <n v="-124.09"/>
    <n v="1117.08"/>
    <n v="5082.2899999999991"/>
    <n v="-1241.1699999999998"/>
  </r>
  <r>
    <x v="5"/>
    <x v="0"/>
    <x v="0"/>
    <s v="6010102"/>
    <n v="700084"/>
    <s v="Accrued PTO"/>
    <s v="Laundry &amp; Linen"/>
    <x v="0"/>
    <m/>
    <n v="226.66"/>
    <n v="565.30999999999995"/>
    <n v="399.08"/>
    <n v="834.13"/>
    <n v="258.97000000000003"/>
    <n v="722.85"/>
    <n v="-1403.12"/>
    <n v="405.29"/>
    <n v="145.97"/>
    <n v="405.52"/>
    <n v="580.69000000000005"/>
    <n v="-399.16"/>
    <n v="2742.1899999999996"/>
    <n v="979.85000000000014"/>
  </r>
  <r>
    <x v="6"/>
    <x v="0"/>
    <x v="0"/>
    <s v="6010102"/>
    <n v="713010"/>
    <s v="Benefits-FICA/Medicare"/>
    <s v="Laundry &amp; Linen"/>
    <x v="0"/>
    <m/>
    <n v="283.2"/>
    <n v="282.61"/>
    <n v="283.25"/>
    <n v="288.12"/>
    <n v="319.01"/>
    <n v="301.05"/>
    <n v="302.89999999999998"/>
    <n v="262.82"/>
    <n v="289.8"/>
    <n v="280.77"/>
    <n v="292.17"/>
    <n v="385.48"/>
    <n v="3571.1800000000003"/>
    <n v="-93.31"/>
  </r>
  <r>
    <x v="6"/>
    <x v="0"/>
    <x v="0"/>
    <s v="6010102"/>
    <n v="713090"/>
    <s v="Benefits-Allocated Amounts"/>
    <s v="Laundry &amp; Linen"/>
    <x v="0"/>
    <m/>
    <n v="1232.1500000000001"/>
    <n v="1081.19"/>
    <n v="1159.28"/>
    <n v="1144.8699999999999"/>
    <n v="1269.77"/>
    <n v="1199.6099999999999"/>
    <n v="1197.9100000000001"/>
    <n v="1159.6400000000001"/>
    <n v="1202.3"/>
    <n v="1178.3"/>
    <n v="1239.3"/>
    <n v="1213.1400000000001"/>
    <n v="14277.459999999997"/>
    <n v="26.159999999999854"/>
  </r>
  <r>
    <x v="7"/>
    <x v="0"/>
    <x v="0"/>
    <s v="6010102"/>
    <n v="718050"/>
    <s v="Contract Svcs-Other"/>
    <s v="Laundry &amp; Linen"/>
    <x v="0"/>
    <m/>
    <n v="0"/>
    <n v="0"/>
    <n v="0"/>
    <n v="0"/>
    <n v="0"/>
    <n v="0"/>
    <n v="0"/>
    <n v="-0.01"/>
    <n v="0"/>
    <n v="0"/>
    <n v="0"/>
    <n v="0"/>
    <n v="-0.01"/>
    <n v="0"/>
  </r>
  <r>
    <x v="7"/>
    <x v="0"/>
    <x v="0"/>
    <s v="6010102"/>
    <n v="718050"/>
    <s v="Miscellaneous Purchased Svcs"/>
    <s v="Laundry &amp; Linen"/>
    <x v="0"/>
    <n v="1020"/>
    <n v="0"/>
    <n v="0"/>
    <n v="0"/>
    <n v="0"/>
    <n v="0"/>
    <n v="-1000"/>
    <n v="3000"/>
    <n v="-2000"/>
    <n v="0"/>
    <n v="0"/>
    <n v="0"/>
    <n v="1000"/>
    <n v="1000"/>
    <n v="-1000"/>
  </r>
  <r>
    <x v="11"/>
    <x v="0"/>
    <x v="0"/>
    <s v="6010102"/>
    <n v="721410"/>
    <s v="Supplies-Medical - Nonbillable"/>
    <s v="Laundry &amp; Linen"/>
    <x v="0"/>
    <m/>
    <n v="0"/>
    <n v="0"/>
    <n v="0"/>
    <n v="0"/>
    <n v="0"/>
    <n v="0"/>
    <n v="0"/>
    <n v="13.9"/>
    <n v="0"/>
    <n v="0"/>
    <n v="0"/>
    <n v="0"/>
    <n v="13.9"/>
    <n v="0"/>
  </r>
  <r>
    <x v="5"/>
    <x v="4"/>
    <x v="0"/>
    <s v="6010103"/>
    <n v="700038"/>
    <s v="Salaries-Service/Support-Productive"/>
    <s v="Laundry &amp; Linen"/>
    <x v="0"/>
    <m/>
    <n v="3033.69"/>
    <n v="1940.79"/>
    <n v="4038.33"/>
    <n v="2736.65"/>
    <n v="4123.38"/>
    <n v="2725.39"/>
    <n v="2616.87"/>
    <n v="3118.87"/>
    <n v="3122.15"/>
    <n v="3488.96"/>
    <n v="3160.36"/>
    <n v="2136.4899999999998"/>
    <n v="36241.929999999993"/>
    <n v="1023.8700000000003"/>
  </r>
  <r>
    <x v="5"/>
    <x v="4"/>
    <x v="0"/>
    <s v="6010103"/>
    <n v="700038"/>
    <s v="Salaries-Service/Support-OT"/>
    <s v="Laundry &amp; Linen"/>
    <x v="0"/>
    <n v="1000"/>
    <n v="0"/>
    <n v="32.51"/>
    <n v="115.35"/>
    <n v="-25.62"/>
    <n v="65.25"/>
    <n v="8.16"/>
    <n v="0"/>
    <n v="8.17"/>
    <n v="40.69"/>
    <n v="0"/>
    <n v="31.98"/>
    <n v="-15.39"/>
    <n v="261.09999999999997"/>
    <n v="47.370000000000005"/>
  </r>
  <r>
    <x v="5"/>
    <x v="4"/>
    <x v="0"/>
    <s v="6010103"/>
    <n v="700038"/>
    <s v="Salaries-Service/Support-Other"/>
    <s v="Laundry &amp; Linen"/>
    <x v="0"/>
    <n v="2000"/>
    <n v="44.28"/>
    <n v="24.29"/>
    <n v="42.85"/>
    <n v="8.58"/>
    <n v="58.57"/>
    <n v="24.28"/>
    <n v="44.35"/>
    <n v="13.2"/>
    <n v="31.45"/>
    <n v="42.9"/>
    <n v="5"/>
    <n v="52.2"/>
    <n v="391.94999999999993"/>
    <n v="-47.2"/>
  </r>
  <r>
    <x v="5"/>
    <x v="4"/>
    <x v="0"/>
    <s v="6010103"/>
    <n v="700078"/>
    <s v="Salaries-Service/Support-Non-productive"/>
    <s v="Laundry &amp; Linen"/>
    <x v="0"/>
    <m/>
    <n v="758.41"/>
    <n v="1738.61"/>
    <n v="-46.62"/>
    <n v="1038.49"/>
    <n v="-385.05"/>
    <n v="1330.2"/>
    <n v="1121.8900000000001"/>
    <n v="666.05"/>
    <n v="642.75"/>
    <n v="286.20999999999998"/>
    <n v="715.58"/>
    <n v="1562.28"/>
    <n v="9428.8000000000011"/>
    <n v="-846.69999999999993"/>
  </r>
  <r>
    <x v="5"/>
    <x v="4"/>
    <x v="0"/>
    <s v="6010103"/>
    <n v="700084"/>
    <s v="Accrued PTO"/>
    <s v="Laundry &amp; Linen"/>
    <x v="0"/>
    <m/>
    <n v="6.96"/>
    <n v="-912.76"/>
    <n v="-295.62"/>
    <n v="-819.43"/>
    <n v="497.14"/>
    <n v="-1372"/>
    <n v="-171.56"/>
    <n v="22.39"/>
    <n v="53.16"/>
    <n v="332.58"/>
    <n v="287.33"/>
    <n v="-636.29"/>
    <n v="-3008.1000000000004"/>
    <n v="923.61999999999989"/>
  </r>
  <r>
    <x v="6"/>
    <x v="4"/>
    <x v="0"/>
    <s v="6010103"/>
    <n v="713010"/>
    <s v="Benefits-FICA/Medicare"/>
    <s v="Laundry &amp; Linen"/>
    <x v="0"/>
    <m/>
    <n v="283.95999999999998"/>
    <n v="276.33"/>
    <n v="308.27999999999997"/>
    <n v="278"/>
    <n v="286.25"/>
    <n v="303.17"/>
    <n v="279.33999999999997"/>
    <n v="282.06"/>
    <n v="283.5"/>
    <n v="282.33"/>
    <n v="289.29000000000002"/>
    <n v="276.58"/>
    <n v="3429.0899999999997"/>
    <n v="12.710000000000036"/>
  </r>
  <r>
    <x v="6"/>
    <x v="4"/>
    <x v="0"/>
    <s v="6010103"/>
    <n v="713090"/>
    <s v="Benefits-Allocated Amounts"/>
    <s v="Laundry &amp; Linen"/>
    <x v="0"/>
    <m/>
    <n v="1155.19"/>
    <n v="930.77"/>
    <n v="1129.6400000000001"/>
    <n v="997.56"/>
    <n v="1123.6600000000001"/>
    <n v="1044.96"/>
    <n v="1148.23"/>
    <n v="1213.56"/>
    <n v="1052.1500000000001"/>
    <n v="1186.52"/>
    <n v="1245.96"/>
    <n v="1100.7"/>
    <n v="13328.900000000001"/>
    <n v="145.26"/>
  </r>
  <r>
    <x v="7"/>
    <x v="4"/>
    <x v="0"/>
    <s v="6010103"/>
    <n v="718050"/>
    <s v="Contract Svcs-Other"/>
    <s v="Laundry &amp; Linen"/>
    <x v="0"/>
    <m/>
    <n v="0"/>
    <n v="0"/>
    <n v="0"/>
    <n v="0"/>
    <n v="0"/>
    <n v="0"/>
    <n v="0"/>
    <n v="0"/>
    <n v="0"/>
    <n v="0"/>
    <n v="0"/>
    <n v="-39378.879999999997"/>
    <n v="-39378.879999999997"/>
    <n v="39378.879999999997"/>
  </r>
  <r>
    <x v="7"/>
    <x v="4"/>
    <x v="0"/>
    <s v="6010103"/>
    <n v="718050"/>
    <s v="Miscellaneous Purchased Svcs"/>
    <s v="Laundry &amp; Linen"/>
    <x v="0"/>
    <n v="1020"/>
    <n v="0"/>
    <n v="0"/>
    <n v="0"/>
    <n v="0"/>
    <n v="0"/>
    <n v="0"/>
    <n v="0"/>
    <n v="0"/>
    <n v="0"/>
    <n v="1000"/>
    <n v="1000"/>
    <n v="-1000"/>
    <n v="1000"/>
    <n v="2000"/>
  </r>
  <r>
    <x v="5"/>
    <x v="8"/>
    <x v="0"/>
    <s v="6010104"/>
    <n v="700038"/>
    <s v="Salaries-Service/Support-Productive"/>
    <s v="Laundry &amp; Linen"/>
    <x v="0"/>
    <m/>
    <n v="4412.2700000000004"/>
    <n v="3569.94"/>
    <n v="3428.06"/>
    <n v="2610.14"/>
    <n v="3741.23"/>
    <n v="3931.48"/>
    <n v="4323.91"/>
    <n v="2642.86"/>
    <n v="3421.95"/>
    <n v="3177.57"/>
    <n v="2647.39"/>
    <n v="3568.9"/>
    <n v="41475.700000000004"/>
    <n v="-921.51000000000022"/>
  </r>
  <r>
    <x v="5"/>
    <x v="8"/>
    <x v="0"/>
    <s v="6010104"/>
    <n v="700038"/>
    <s v="Salaries-Service/Support-OT"/>
    <s v="Laundry &amp; Linen"/>
    <x v="0"/>
    <n v="1000"/>
    <n v="0"/>
    <n v="46.16"/>
    <n v="22.17"/>
    <n v="-3.69"/>
    <n v="13.5"/>
    <n v="67.56"/>
    <n v="-7.61"/>
    <n v="27.1"/>
    <n v="-7.13"/>
    <n v="6.67"/>
    <n v="0"/>
    <n v="0"/>
    <n v="164.72999999999996"/>
    <n v="0"/>
  </r>
  <r>
    <x v="5"/>
    <x v="8"/>
    <x v="0"/>
    <s v="6010104"/>
    <n v="700038"/>
    <s v="Salaries-Service/Support-Other"/>
    <s v="Laundry &amp; Linen"/>
    <x v="0"/>
    <n v="2000"/>
    <n v="182.95"/>
    <n v="91.66"/>
    <n v="89.58"/>
    <n v="90.13"/>
    <n v="96.02"/>
    <n v="192.97"/>
    <n v="154.11000000000001"/>
    <n v="67.47"/>
    <n v="76.31"/>
    <n v="97.05"/>
    <n v="23.14"/>
    <n v="152.12"/>
    <n v="1313.5100000000002"/>
    <n v="-128.98000000000002"/>
  </r>
  <r>
    <x v="5"/>
    <x v="8"/>
    <x v="0"/>
    <s v="6010104"/>
    <n v="700078"/>
    <s v="Salaries-Service/Support-Non-productive"/>
    <s v="Laundry &amp; Linen"/>
    <x v="0"/>
    <m/>
    <n v="798.33"/>
    <n v="666.39"/>
    <n v="-234.88"/>
    <n v="1211.8900000000001"/>
    <n v="1104.28"/>
    <n v="409.74"/>
    <n v="108.8"/>
    <n v="1400.58"/>
    <n v="353.87"/>
    <n v="738.63"/>
    <n v="232.83"/>
    <n v="888.31"/>
    <n v="7678.77"/>
    <n v="-655.4799999999999"/>
  </r>
  <r>
    <x v="5"/>
    <x v="8"/>
    <x v="0"/>
    <s v="6010104"/>
    <n v="700078"/>
    <s v="Salaries-Service/Support-NonProd-Other"/>
    <s v="Laundry &amp; Line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6010104"/>
    <n v="700084"/>
    <s v="Accrued PTO"/>
    <s v="Laundry &amp; Linen"/>
    <x v="0"/>
    <m/>
    <n v="-200.97"/>
    <n v="50.53"/>
    <n v="471.79"/>
    <n v="-515.02"/>
    <n v="-58.47"/>
    <n v="-55.12"/>
    <n v="379.3"/>
    <n v="-778.4"/>
    <n v="170.07"/>
    <n v="2236.4899999999998"/>
    <n v="100.61"/>
    <n v="-358.27"/>
    <n v="1442.5399999999997"/>
    <n v="458.88"/>
  </r>
  <r>
    <x v="6"/>
    <x v="8"/>
    <x v="0"/>
    <s v="6010104"/>
    <n v="713010"/>
    <s v="Benefits-FICA/Medicare"/>
    <s v="Laundry &amp; Linen"/>
    <x v="0"/>
    <m/>
    <n v="402.57"/>
    <n v="325.36"/>
    <n v="244.56"/>
    <n v="290.07"/>
    <n v="369.32"/>
    <n v="342.65"/>
    <n v="340.15"/>
    <n v="307.73"/>
    <n v="284.68"/>
    <n v="297.27"/>
    <n v="218.23"/>
    <n v="343.93"/>
    <n v="3766.5199999999995"/>
    <n v="-125.70000000000002"/>
  </r>
  <r>
    <x v="6"/>
    <x v="8"/>
    <x v="0"/>
    <s v="6010104"/>
    <n v="713090"/>
    <s v="Benefits-Allocated Amounts"/>
    <s v="Laundry &amp; Linen"/>
    <x v="0"/>
    <m/>
    <n v="1897.21"/>
    <n v="1343.79"/>
    <n v="1126.96"/>
    <n v="1292.3599999999999"/>
    <n v="1727.78"/>
    <n v="1467.16"/>
    <n v="1558.47"/>
    <n v="1524.18"/>
    <n v="1270.67"/>
    <n v="1604.79"/>
    <n v="1114.52"/>
    <n v="1564.46"/>
    <n v="17492.349999999999"/>
    <n v="-449.94000000000005"/>
  </r>
  <r>
    <x v="7"/>
    <x v="8"/>
    <x v="0"/>
    <s v="6010104"/>
    <n v="718050"/>
    <s v="Contract Svcs-Other"/>
    <s v="Laundry &amp; Linen"/>
    <x v="0"/>
    <m/>
    <n v="167.01"/>
    <n v="37755.279999999999"/>
    <n v="-37755.279999999999"/>
    <n v="0"/>
    <n v="0"/>
    <n v="0"/>
    <n v="0"/>
    <n v="0"/>
    <n v="0"/>
    <n v="0"/>
    <n v="0"/>
    <n v="0"/>
    <n v="167.01000000000204"/>
    <n v="0"/>
  </r>
  <r>
    <x v="7"/>
    <x v="8"/>
    <x v="0"/>
    <s v="6010104"/>
    <n v="718050"/>
    <s v="Miscellaneous Purchased Svcs"/>
    <s v="Laundry &amp; Linen"/>
    <x v="0"/>
    <n v="1020"/>
    <n v="11401.44"/>
    <n v="5039.09"/>
    <n v="0"/>
    <n v="-1608.8"/>
    <n v="500"/>
    <n v="-500"/>
    <n v="0"/>
    <n v="-1000"/>
    <n v="0"/>
    <n v="0"/>
    <n v="0"/>
    <n v="6000"/>
    <n v="19831.73"/>
    <n v="-6000"/>
  </r>
  <r>
    <x v="13"/>
    <x v="8"/>
    <x v="0"/>
    <s v="6010104"/>
    <n v="735030"/>
    <s v="Depreciation-Buildings"/>
    <s v="Laundry &amp; Linen"/>
    <x v="0"/>
    <m/>
    <n v="940.61"/>
    <n v="940.57"/>
    <n v="940.62"/>
    <n v="940.52"/>
    <n v="940.65"/>
    <n v="940.49"/>
    <n v="940.68"/>
    <n v="940.44"/>
    <n v="940.69"/>
    <n v="917.12"/>
    <n v="917.41"/>
    <n v="917.11"/>
    <n v="11216.910000000002"/>
    <n v="0.29999999999995453"/>
  </r>
  <r>
    <x v="13"/>
    <x v="8"/>
    <x v="0"/>
    <s v="6010104"/>
    <n v="735070"/>
    <s v="Depreciation-Movable Equipment"/>
    <s v="Laundry &amp; Linen"/>
    <x v="0"/>
    <m/>
    <n v="162.99"/>
    <n v="162.99"/>
    <n v="162.97999999999999"/>
    <n v="163"/>
    <n v="162.97999999999999"/>
    <n v="163"/>
    <n v="162.97999999999999"/>
    <n v="163.01"/>
    <n v="162.97999999999999"/>
    <n v="0"/>
    <n v="0"/>
    <n v="0"/>
    <n v="1466.91"/>
    <n v="0"/>
  </r>
  <r>
    <x v="7"/>
    <x v="5"/>
    <x v="0"/>
    <s v="6010106"/>
    <n v="718050"/>
    <s v="Contract Svcs-Other"/>
    <s v="Laundry &amp; Linen"/>
    <x v="0"/>
    <m/>
    <n v="0"/>
    <n v="0"/>
    <n v="0"/>
    <n v="0"/>
    <n v="0"/>
    <n v="0"/>
    <n v="0"/>
    <n v="0"/>
    <n v="0"/>
    <n v="0"/>
    <n v="0"/>
    <n v="0"/>
    <n v="0"/>
    <n v="0"/>
  </r>
  <r>
    <x v="7"/>
    <x v="5"/>
    <x v="0"/>
    <s v="6010106"/>
    <n v="718050"/>
    <s v="Miscellaneous Purchased Svcs"/>
    <s v="Laundry &amp; Linen"/>
    <x v="0"/>
    <n v="102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010107"/>
    <n v="700038"/>
    <s v="Salaries-Service/Support-Productive"/>
    <s v="Laundry &amp; Linen"/>
    <x v="0"/>
    <m/>
    <n v="6872.61"/>
    <n v="6751.55"/>
    <n v="6469.27"/>
    <n v="4546.2700000000004"/>
    <n v="9187.82"/>
    <n v="8162.41"/>
    <n v="8115.97"/>
    <n v="8045.48"/>
    <n v="8304.32"/>
    <n v="8132.03"/>
    <n v="8283.0400000000009"/>
    <n v="8026.46"/>
    <n v="90897.230000000025"/>
    <n v="256.58000000000084"/>
  </r>
  <r>
    <x v="5"/>
    <x v="6"/>
    <x v="0"/>
    <s v="6010107"/>
    <n v="700038"/>
    <s v="Salaries-Service/Support-OT"/>
    <s v="Laundry &amp; Linen"/>
    <x v="0"/>
    <n v="1000"/>
    <n v="218.89"/>
    <n v="62.55"/>
    <n v="-19.5"/>
    <n v="0"/>
    <n v="0"/>
    <n v="6.57"/>
    <n v="-0.82"/>
    <n v="0"/>
    <n v="0"/>
    <n v="0"/>
    <n v="612.87"/>
    <n v="241.4"/>
    <n v="1121.96"/>
    <n v="371.47"/>
  </r>
  <r>
    <x v="5"/>
    <x v="6"/>
    <x v="0"/>
    <s v="6010107"/>
    <n v="700038"/>
    <s v="Salaries-Service/Support-Other"/>
    <s v="Laundry &amp; Linen"/>
    <x v="0"/>
    <n v="2000"/>
    <n v="429.05"/>
    <n v="451.79"/>
    <n v="426.21"/>
    <n v="321.73"/>
    <n v="695.39"/>
    <n v="621.13"/>
    <n v="617.26"/>
    <n v="551.5"/>
    <n v="625.11"/>
    <n v="597.5"/>
    <n v="603.67999999999995"/>
    <n v="614.5"/>
    <n v="6554.85"/>
    <n v="-10.82000000000005"/>
  </r>
  <r>
    <x v="5"/>
    <x v="6"/>
    <x v="0"/>
    <s v="6010107"/>
    <n v="700078"/>
    <s v="Salaries-Service/Support-Non-productive"/>
    <s v="Laundry &amp; Linen"/>
    <x v="0"/>
    <m/>
    <n v="1644.45"/>
    <n v="1427.66"/>
    <n v="757.56"/>
    <n v="784.57"/>
    <n v="247.54"/>
    <n v="2009.61"/>
    <n v="745.55"/>
    <n v="446.89"/>
    <n v="1347.87"/>
    <n v="447.06"/>
    <n v="2560.94"/>
    <n v="250.88"/>
    <n v="12670.58"/>
    <n v="2310.06"/>
  </r>
  <r>
    <x v="5"/>
    <x v="6"/>
    <x v="0"/>
    <s v="6010107"/>
    <n v="700084"/>
    <s v="Accrued PTO"/>
    <s v="Laundry &amp; Linen"/>
    <x v="0"/>
    <m/>
    <n v="-568.96"/>
    <n v="-303.07"/>
    <n v="229.88"/>
    <n v="63.02"/>
    <n v="198.52"/>
    <n v="-764.72"/>
    <n v="-134.78"/>
    <n v="503.11"/>
    <n v="-37.78"/>
    <n v="337.11"/>
    <n v="-711.6"/>
    <n v="119.22"/>
    <n v="-1070.05"/>
    <n v="-830.82"/>
  </r>
  <r>
    <x v="6"/>
    <x v="6"/>
    <x v="0"/>
    <s v="6010107"/>
    <n v="713010"/>
    <s v="Benefits-FICA/Medicare"/>
    <s v="Laundry &amp; Linen"/>
    <x v="0"/>
    <m/>
    <n v="691.99"/>
    <n v="654.80999999999995"/>
    <n v="572.70000000000005"/>
    <n v="435.27"/>
    <n v="799.32"/>
    <n v="815.58"/>
    <n v="699.1"/>
    <n v="686.96"/>
    <n v="770.41"/>
    <n v="693.03"/>
    <n v="909.41"/>
    <n v="683.32"/>
    <n v="8411.9"/>
    <n v="226.08999999999992"/>
  </r>
  <r>
    <x v="6"/>
    <x v="6"/>
    <x v="0"/>
    <s v="6010107"/>
    <n v="713090"/>
    <s v="Benefits-Allocated Amounts"/>
    <s v="Laundry &amp; Linen"/>
    <x v="0"/>
    <m/>
    <n v="2899.24"/>
    <n v="2460.27"/>
    <n v="2423.27"/>
    <n v="1724.83"/>
    <n v="3587.56"/>
    <n v="3471.92"/>
    <n v="3233.49"/>
    <n v="3122.76"/>
    <n v="3014.22"/>
    <n v="3282.72"/>
    <n v="3921.94"/>
    <n v="3606.05"/>
    <n v="36748.270000000011"/>
    <n v="315.88999999999987"/>
  </r>
  <r>
    <x v="7"/>
    <x v="6"/>
    <x v="0"/>
    <s v="6010107"/>
    <n v="718050"/>
    <s v="Miscellaneous Purchased Svcs"/>
    <s v="Laundry &amp; Linen"/>
    <x v="0"/>
    <n v="1020"/>
    <n v="7000"/>
    <n v="0"/>
    <n v="-7000"/>
    <n v="0"/>
    <n v="0"/>
    <n v="0"/>
    <n v="0"/>
    <n v="0"/>
    <n v="0"/>
    <n v="0"/>
    <n v="0"/>
    <n v="0.04"/>
    <n v="0.04"/>
    <n v="-0.04"/>
  </r>
  <r>
    <x v="0"/>
    <x v="6"/>
    <x v="0"/>
    <s v="6010107"/>
    <n v="749510"/>
    <s v="RICE Rewards"/>
    <s v="Laundry &amp; Linen"/>
    <x v="0"/>
    <n v="5100"/>
    <n v="0"/>
    <n v="0"/>
    <n v="0"/>
    <n v="0"/>
    <n v="0"/>
    <n v="0"/>
    <n v="0"/>
    <n v="0"/>
    <n v="0"/>
    <n v="157.32"/>
    <n v="0"/>
    <n v="0"/>
    <n v="157.32"/>
    <n v="0"/>
  </r>
  <r>
    <x v="11"/>
    <x v="9"/>
    <x v="0"/>
    <s v="6040501"/>
    <n v="721810"/>
    <s v="Supplies-Dietary/Cafeteria"/>
    <s v="EVS Education"/>
    <x v="0"/>
    <m/>
    <n v="0"/>
    <n v="0"/>
    <n v="0"/>
    <n v="6.81"/>
    <n v="0"/>
    <n v="0"/>
    <n v="0"/>
    <n v="0"/>
    <n v="0"/>
    <n v="7.88"/>
    <n v="0"/>
    <n v="0"/>
    <n v="14.69"/>
    <n v="0"/>
  </r>
  <r>
    <x v="0"/>
    <x v="9"/>
    <x v="0"/>
    <s v="6040501"/>
    <n v="749510"/>
    <s v="Miscellaneous Expenses"/>
    <s v="EVS Education"/>
    <x v="0"/>
    <m/>
    <n v="0"/>
    <n v="0"/>
    <n v="0"/>
    <n v="0"/>
    <n v="0"/>
    <n v="0"/>
    <n v="0"/>
    <n v="-79.099999999999994"/>
    <n v="0"/>
    <n v="0"/>
    <n v="0"/>
    <n v="158.19999999999999"/>
    <n v="79.099999999999994"/>
    <n v="-158.19999999999999"/>
  </r>
  <r>
    <x v="14"/>
    <x v="5"/>
    <x v="0"/>
    <s v="6050106"/>
    <n v="600026"/>
    <s v="Rental Revenue-Non-Taxable"/>
    <s v="HL Med Pavilion-Oncology Cntr"/>
    <x v="0"/>
    <m/>
    <n v="-179.55"/>
    <n v="-179.55"/>
    <n v="-179.55"/>
    <n v="-179.55"/>
    <n v="-179.55"/>
    <n v="117.59"/>
    <n v="-233.97"/>
    <n v="15827.05"/>
    <n v="15827.05"/>
    <n v="15827.05"/>
    <n v="12244.04"/>
    <n v="15827.05"/>
    <n v="74538.11"/>
    <n v="-3583.0099999999984"/>
  </r>
  <r>
    <x v="14"/>
    <x v="5"/>
    <x v="0"/>
    <s v="6050106"/>
    <n v="600026"/>
    <s v="POB Rental"/>
    <s v="HL Med Pavilion-Oncology Cntr"/>
    <x v="0"/>
    <n v="1001"/>
    <n v="0"/>
    <n v="0"/>
    <n v="0"/>
    <n v="0"/>
    <n v="0"/>
    <n v="0"/>
    <n v="0"/>
    <n v="-10320.049999999999"/>
    <n v="-10031.18"/>
    <n v="-10031.18"/>
    <n v="-10031.18"/>
    <n v="-10031.18"/>
    <n v="-50444.77"/>
    <n v="0"/>
  </r>
  <r>
    <x v="14"/>
    <x v="5"/>
    <x v="0"/>
    <s v="6050106"/>
    <n v="600026"/>
    <s v="Other Rental"/>
    <s v="HL Med Pavilion-Oncology Cntr"/>
    <x v="0"/>
    <n v="1002"/>
    <n v="0"/>
    <n v="0"/>
    <n v="0"/>
    <n v="0"/>
    <n v="0"/>
    <n v="0"/>
    <n v="6042.13"/>
    <n v="-5514.24"/>
    <n v="-5514.24"/>
    <n v="-5514.24"/>
    <n v="-5514.24"/>
    <n v="-5514.24"/>
    <n v="-21529.07"/>
    <n v="0"/>
  </r>
  <r>
    <x v="7"/>
    <x v="5"/>
    <x v="0"/>
    <s v="6050106"/>
    <n v="718050"/>
    <s v="Cleaning Services"/>
    <s v="HL Med Pavilion-Oncology Cntr"/>
    <x v="0"/>
    <n v="1011"/>
    <n v="0"/>
    <n v="0"/>
    <n v="3051.45"/>
    <n v="3051.45"/>
    <n v="3051.45"/>
    <n v="6102.9"/>
    <n v="0"/>
    <n v="6102.9"/>
    <n v="3793.95"/>
    <n v="3051.45"/>
    <n v="3051.45"/>
    <n v="0"/>
    <n v="31257"/>
    <n v="3051.45"/>
  </r>
  <r>
    <x v="7"/>
    <x v="5"/>
    <x v="0"/>
    <s v="6050106"/>
    <n v="718050"/>
    <s v="Miscellaneous Purchased Svcs"/>
    <s v="HL Med Pavilion-Oncology Cntr"/>
    <x v="0"/>
    <n v="1020"/>
    <n v="0"/>
    <n v="3051.45"/>
    <n v="0"/>
    <n v="0"/>
    <n v="0"/>
    <n v="-3051.45"/>
    <n v="0"/>
    <n v="0"/>
    <n v="0"/>
    <n v="0"/>
    <n v="0"/>
    <n v="0"/>
    <n v="0"/>
    <n v="0"/>
  </r>
  <r>
    <x v="11"/>
    <x v="5"/>
    <x v="0"/>
    <s v="6050106"/>
    <n v="721830"/>
    <s v="Supplies-Office"/>
    <s v="HL Med Pavilion-Oncology Cntr"/>
    <x v="0"/>
    <m/>
    <n v="0"/>
    <n v="0"/>
    <n v="0"/>
    <n v="0"/>
    <n v="0"/>
    <n v="0"/>
    <n v="0"/>
    <n v="0"/>
    <n v="0"/>
    <n v="809.54"/>
    <n v="0"/>
    <n v="0"/>
    <n v="809.54"/>
    <n v="0"/>
  </r>
  <r>
    <x v="11"/>
    <x v="5"/>
    <x v="0"/>
    <s v="6050106"/>
    <n v="721870"/>
    <s v="Supplies-Environmental Services"/>
    <s v="HL Med Pavilion-Oncology Cntr"/>
    <x v="0"/>
    <m/>
    <n v="0"/>
    <n v="0"/>
    <n v="0"/>
    <n v="524.98"/>
    <n v="0"/>
    <n v="0"/>
    <n v="0"/>
    <n v="0"/>
    <n v="0"/>
    <n v="0"/>
    <n v="0"/>
    <n v="0"/>
    <n v="524.98"/>
    <n v="0"/>
  </r>
  <r>
    <x v="15"/>
    <x v="5"/>
    <x v="0"/>
    <s v="6050106"/>
    <n v="731010"/>
    <s v="Natural Gas"/>
    <s v="HL Med Pavilion-Oncology Cntr"/>
    <x v="0"/>
    <m/>
    <n v="116.27"/>
    <n v="120.41"/>
    <n v="116.97"/>
    <n v="115.86"/>
    <n v="161.61000000000001"/>
    <n v="234.44"/>
    <n v="197.84"/>
    <n v="235.68"/>
    <n v="216.57"/>
    <n v="163.89"/>
    <n v="125.14"/>
    <n v="121.06"/>
    <n v="1925.74"/>
    <n v="4.0799999999999983"/>
  </r>
  <r>
    <x v="15"/>
    <x v="5"/>
    <x v="0"/>
    <s v="6050106"/>
    <n v="731020"/>
    <s v="Electricity"/>
    <s v="HL Med Pavilion-Oncology Cntr"/>
    <x v="0"/>
    <m/>
    <n v="4581.34"/>
    <n v="9536.6299999999992"/>
    <n v="4762.32"/>
    <n v="8162.32"/>
    <n v="5880.36"/>
    <n v="7001.19"/>
    <n v="7315.91"/>
    <n v="8899.2000000000007"/>
    <n v="7007.97"/>
    <n v="3193.1"/>
    <n v="4575.66"/>
    <n v="5302.7"/>
    <n v="76218.700000000012"/>
    <n v="-727.04"/>
  </r>
  <r>
    <x v="15"/>
    <x v="5"/>
    <x v="0"/>
    <s v="6050106"/>
    <n v="731030"/>
    <s v="Water"/>
    <s v="HL Med Pavilion-Oncology Cntr"/>
    <x v="0"/>
    <m/>
    <n v="2331.11"/>
    <n v="0"/>
    <n v="2412.71"/>
    <n v="0"/>
    <n v="1219.55"/>
    <n v="0"/>
    <n v="1190.6400000000001"/>
    <n v="0"/>
    <n v="1174.1199999999999"/>
    <n v="0"/>
    <n v="1689.73"/>
    <n v="0"/>
    <n v="10017.86"/>
    <n v="1689.73"/>
  </r>
  <r>
    <x v="15"/>
    <x v="5"/>
    <x v="0"/>
    <s v="6050106"/>
    <n v="731040"/>
    <s v="Sewer"/>
    <s v="HL Med Pavilion-Oncology Cntr"/>
    <x v="0"/>
    <m/>
    <n v="170.17"/>
    <n v="0"/>
    <n v="170.17"/>
    <n v="0"/>
    <n v="170.17"/>
    <n v="0"/>
    <n v="170.17"/>
    <n v="0"/>
    <n v="251.5"/>
    <n v="0"/>
    <n v="255.5"/>
    <n v="0"/>
    <n v="1187.6799999999998"/>
    <n v="255.5"/>
  </r>
  <r>
    <x v="16"/>
    <x v="5"/>
    <x v="0"/>
    <s v="6050106"/>
    <n v="732030"/>
    <s v="Repairs---Other"/>
    <s v="HL Med Pavilion-Oncology Cntr"/>
    <x v="0"/>
    <m/>
    <n v="0"/>
    <n v="563.46"/>
    <n v="0"/>
    <n v="0"/>
    <n v="0"/>
    <n v="0"/>
    <n v="200.84"/>
    <n v="203.47"/>
    <n v="581.47"/>
    <n v="0"/>
    <n v="0"/>
    <n v="0"/>
    <n v="1549.2400000000002"/>
    <n v="0"/>
  </r>
  <r>
    <x v="16"/>
    <x v="5"/>
    <x v="0"/>
    <s v="6050106"/>
    <n v="732030"/>
    <s v="Repairs&amp;Maintenance-Bldg Routine"/>
    <s v="HL Med Pavilion-Oncology Cntr"/>
    <x v="0"/>
    <n v="2300"/>
    <n v="0"/>
    <n v="0"/>
    <n v="1077.1199999999999"/>
    <n v="0"/>
    <n v="0"/>
    <n v="0"/>
    <n v="1077.1199999999999"/>
    <n v="0"/>
    <n v="0"/>
    <n v="0"/>
    <n v="0"/>
    <n v="0"/>
    <n v="2154.2399999999998"/>
    <n v="0"/>
  </r>
  <r>
    <x v="16"/>
    <x v="5"/>
    <x v="0"/>
    <s v="6050106"/>
    <n v="732030"/>
    <s v="Repairs&amp;Maintenance-HVAC"/>
    <s v="HL Med Pavilion-Oncology Cntr"/>
    <x v="0"/>
    <n v="5102"/>
    <n v="0"/>
    <n v="0"/>
    <n v="0"/>
    <n v="0"/>
    <n v="0"/>
    <n v="0"/>
    <n v="356.4"/>
    <n v="0"/>
    <n v="0"/>
    <n v="0"/>
    <n v="0"/>
    <n v="0"/>
    <n v="356.4"/>
    <n v="0"/>
  </r>
  <r>
    <x v="16"/>
    <x v="5"/>
    <x v="0"/>
    <s v="6050106"/>
    <n v="733030"/>
    <s v="Maintenance Contracts-Other"/>
    <s v="HL Med Pavilion-Oncology Cntr"/>
    <x v="0"/>
    <m/>
    <n v="0"/>
    <n v="171.6"/>
    <n v="0"/>
    <n v="0"/>
    <n v="0"/>
    <n v="0"/>
    <n v="0"/>
    <n v="0"/>
    <n v="0"/>
    <n v="0"/>
    <n v="0"/>
    <n v="0"/>
    <n v="171.6"/>
    <n v="0"/>
  </r>
  <r>
    <x v="16"/>
    <x v="5"/>
    <x v="0"/>
    <s v="6050106"/>
    <n v="733030"/>
    <s v="Maintenance Contract-Landscape General"/>
    <s v="HL Med Pavilion-Oncology Cntr"/>
    <x v="0"/>
    <n v="5105"/>
    <n v="0"/>
    <n v="448.8"/>
    <n v="138.6"/>
    <n v="491.7"/>
    <n v="0"/>
    <n v="458.7"/>
    <n v="181.5"/>
    <n v="277.2"/>
    <n v="320.10000000000002"/>
    <n v="501.6"/>
    <n v="138.6"/>
    <n v="640.20000000000005"/>
    <n v="3597"/>
    <n v="-501.6"/>
  </r>
  <r>
    <x v="13"/>
    <x v="5"/>
    <x v="0"/>
    <s v="6050106"/>
    <n v="735040"/>
    <s v="Depreciation-Building Improvements"/>
    <s v="HL Med Pavilion-Oncology Cntr"/>
    <x v="0"/>
    <m/>
    <n v="1.06"/>
    <n v="1.06"/>
    <n v="1.06"/>
    <n v="1.06"/>
    <n v="1.06"/>
    <n v="1.06"/>
    <n v="1.06"/>
    <n v="1.06"/>
    <n v="1.06"/>
    <n v="1.06"/>
    <n v="1.06"/>
    <n v="1.06"/>
    <n v="12.720000000000004"/>
    <n v="0"/>
  </r>
  <r>
    <x v="13"/>
    <x v="5"/>
    <x v="0"/>
    <s v="6050106"/>
    <n v="735050"/>
    <s v="Amortization-Leasehold Improvements"/>
    <s v="HL Med Pavilion-Oncology Cntr"/>
    <x v="0"/>
    <m/>
    <n v="4.29"/>
    <n v="4.28"/>
    <n v="4.29"/>
    <n v="4.28"/>
    <n v="4.3"/>
    <n v="4.28"/>
    <n v="4.3"/>
    <n v="4.28"/>
    <n v="4.3"/>
    <n v="4.2699999999999996"/>
    <n v="4.3"/>
    <n v="4.2699999999999996"/>
    <n v="51.44"/>
    <n v="3.0000000000000249E-2"/>
  </r>
  <r>
    <x v="13"/>
    <x v="5"/>
    <x v="0"/>
    <s v="6050106"/>
    <n v="735060"/>
    <s v="Depreciation-Fixed Equipment"/>
    <s v="HL Med Pavilion-Oncology Cntr"/>
    <x v="0"/>
    <m/>
    <n v="12.61"/>
    <n v="12.61"/>
    <n v="12.61"/>
    <n v="12.61"/>
    <n v="12.61"/>
    <n v="12.61"/>
    <n v="12.61"/>
    <n v="12.61"/>
    <n v="12.61"/>
    <n v="12.61"/>
    <n v="12.61"/>
    <n v="12.6"/>
    <n v="151.30999999999997"/>
    <n v="9.9999999999997868E-3"/>
  </r>
  <r>
    <x v="13"/>
    <x v="5"/>
    <x v="0"/>
    <s v="6050106"/>
    <n v="735070"/>
    <s v="Depreciation-Movable Equipment"/>
    <s v="HL Med Pavilion-Oncology Cntr"/>
    <x v="0"/>
    <m/>
    <n v="0.13"/>
    <n v="0.13"/>
    <n v="0.13"/>
    <n v="0.13"/>
    <n v="0.13"/>
    <n v="0.13"/>
    <n v="0.13"/>
    <n v="0.13"/>
    <n v="0.14000000000000001"/>
    <n v="0.13"/>
    <n v="0.14000000000000001"/>
    <n v="0.13"/>
    <n v="1.58"/>
    <n v="1.0000000000000009E-2"/>
  </r>
  <r>
    <x v="8"/>
    <x v="5"/>
    <x v="0"/>
    <s v="6050106"/>
    <n v="741010"/>
    <s v="Liability Insurance-CHI Programs"/>
    <s v="HL Med Pavilion-Oncology Cntr"/>
    <x v="0"/>
    <m/>
    <n v="110.91"/>
    <n v="110.91"/>
    <n v="151.54"/>
    <n v="124.45"/>
    <n v="124.45"/>
    <n v="124.45"/>
    <n v="124.45"/>
    <n v="124.45"/>
    <n v="124.45"/>
    <n v="124.45"/>
    <n v="124.45"/>
    <n v="124.45"/>
    <n v="1493.4100000000003"/>
    <n v="0"/>
  </r>
  <r>
    <x v="8"/>
    <x v="5"/>
    <x v="0"/>
    <s v="6050106"/>
    <n v="741030"/>
    <s v="Property Insurance-CHI Programs"/>
    <s v="HL Med Pavilion-Oncology Cntr"/>
    <x v="0"/>
    <m/>
    <n v="432.47"/>
    <n v="432.47"/>
    <n v="216.08"/>
    <n v="360.34"/>
    <n v="360.34"/>
    <n v="360.34"/>
    <n v="360.34"/>
    <n v="360.34"/>
    <n v="360.34"/>
    <n v="360.34"/>
    <n v="360.34"/>
    <n v="360.34"/>
    <n v="4324.0800000000008"/>
    <n v="0"/>
  </r>
  <r>
    <x v="0"/>
    <x v="5"/>
    <x v="0"/>
    <s v="6050106"/>
    <n v="749510"/>
    <s v="Miscellaneous Expense"/>
    <s v="HL Med Pavilion-Oncology Cntr"/>
    <x v="0"/>
    <n v="1009"/>
    <n v="0"/>
    <n v="0"/>
    <n v="0"/>
    <n v="0"/>
    <n v="0"/>
    <n v="0"/>
    <n v="0"/>
    <n v="0"/>
    <n v="51.86"/>
    <n v="0"/>
    <n v="0"/>
    <n v="0"/>
    <n v="51.86"/>
    <n v="0"/>
  </r>
  <r>
    <x v="11"/>
    <x v="6"/>
    <x v="0"/>
    <s v="6050107"/>
    <n v="721410"/>
    <s v="Supplies-Medical - Nonbillable"/>
    <s v="Facilities Ops-Bremerton"/>
    <x v="0"/>
    <m/>
    <n v="0"/>
    <n v="0"/>
    <n v="0"/>
    <n v="0"/>
    <n v="0"/>
    <n v="0"/>
    <n v="0"/>
    <n v="0"/>
    <n v="0"/>
    <n v="0"/>
    <n v="0"/>
    <n v="0"/>
    <n v="0"/>
    <n v="0"/>
  </r>
  <r>
    <x v="15"/>
    <x v="6"/>
    <x v="0"/>
    <s v="6050107"/>
    <n v="731010"/>
    <s v="Natural Gas"/>
    <s v="Facilities Ops-Bremerton"/>
    <x v="0"/>
    <m/>
    <n v="0"/>
    <n v="0"/>
    <n v="0"/>
    <n v="0"/>
    <n v="0"/>
    <n v="0"/>
    <n v="0"/>
    <n v="0"/>
    <n v="-0.99"/>
    <n v="0.99"/>
    <n v="0"/>
    <n v="0"/>
    <n v="0"/>
    <n v="0"/>
  </r>
  <r>
    <x v="15"/>
    <x v="6"/>
    <x v="0"/>
    <s v="6050107"/>
    <n v="731020"/>
    <s v="Electricity"/>
    <s v="Facilities Ops-Bremerton"/>
    <x v="0"/>
    <m/>
    <n v="0"/>
    <n v="0"/>
    <n v="0"/>
    <n v="0"/>
    <n v="0"/>
    <n v="0"/>
    <n v="0"/>
    <n v="0"/>
    <n v="0"/>
    <n v="0"/>
    <n v="0"/>
    <n v="0"/>
    <n v="0"/>
    <n v="0"/>
  </r>
  <r>
    <x v="15"/>
    <x v="6"/>
    <x v="0"/>
    <s v="6050107"/>
    <n v="731060"/>
    <s v="Telephone"/>
    <s v="Facilities Ops-Bremerton"/>
    <x v="0"/>
    <m/>
    <n v="0"/>
    <n v="0"/>
    <n v="0"/>
    <n v="0"/>
    <n v="0"/>
    <n v="0"/>
    <n v="0"/>
    <n v="0"/>
    <n v="0"/>
    <n v="0"/>
    <n v="0"/>
    <n v="0"/>
    <n v="0"/>
    <n v="0"/>
  </r>
  <r>
    <x v="16"/>
    <x v="6"/>
    <x v="0"/>
    <s v="6050107"/>
    <n v="732030"/>
    <s v="Repairs---Other"/>
    <s v="Facilities Ops-Bremerton"/>
    <x v="0"/>
    <m/>
    <n v="0"/>
    <n v="0"/>
    <n v="0"/>
    <n v="0"/>
    <n v="0"/>
    <n v="0"/>
    <n v="0"/>
    <n v="0"/>
    <n v="0"/>
    <n v="0"/>
    <n v="0"/>
    <n v="0"/>
    <n v="0"/>
    <n v="0"/>
  </r>
  <r>
    <x v="16"/>
    <x v="6"/>
    <x v="0"/>
    <s v="6050107"/>
    <n v="733030"/>
    <s v="Maintenance Contracts-Other"/>
    <s v="Facilities Ops-Bremerton"/>
    <x v="0"/>
    <m/>
    <n v="0"/>
    <n v="0"/>
    <n v="0"/>
    <n v="0"/>
    <n v="0"/>
    <n v="0"/>
    <n v="0"/>
    <n v="0"/>
    <n v="0"/>
    <n v="0"/>
    <n v="0"/>
    <n v="0"/>
    <n v="0"/>
    <n v="0"/>
  </r>
  <r>
    <x v="14"/>
    <x v="9"/>
    <x v="0"/>
    <s v="6050501"/>
    <n v="600050"/>
    <s v="Miscellaneous Revenue"/>
    <s v="Property Management"/>
    <x v="0"/>
    <m/>
    <n v="-9273"/>
    <n v="-9273"/>
    <n v="-9273"/>
    <n v="-9273"/>
    <n v="-9273"/>
    <n v="-9273"/>
    <n v="-9273"/>
    <n v="-9273"/>
    <n v="-9273"/>
    <n v="-9273"/>
    <n v="-9273"/>
    <n v="-9273"/>
    <n v="-111276"/>
    <n v="0"/>
  </r>
  <r>
    <x v="5"/>
    <x v="9"/>
    <x v="0"/>
    <s v="6050501"/>
    <n v="700038"/>
    <s v="Salaries-Service/Support-Productive"/>
    <s v="Property Management"/>
    <x v="0"/>
    <m/>
    <n v="43515.65"/>
    <n v="40524.65"/>
    <n v="42466.86"/>
    <n v="49129.49"/>
    <n v="44352.55"/>
    <n v="33219.22"/>
    <n v="45493.63"/>
    <n v="38511.410000000003"/>
    <n v="50504.95"/>
    <n v="35965.699999999997"/>
    <n v="36296.01"/>
    <n v="42049.66"/>
    <n v="502029.78"/>
    <n v="-5753.6500000000015"/>
  </r>
  <r>
    <x v="5"/>
    <x v="9"/>
    <x v="0"/>
    <s v="6050501"/>
    <n v="700038"/>
    <s v="Salaries-Service/Support-OT"/>
    <s v="Property Management"/>
    <x v="0"/>
    <n v="1000"/>
    <n v="152.29"/>
    <n v="18.55"/>
    <n v="17.63"/>
    <n v="286.25"/>
    <n v="-48.64"/>
    <n v="489.37"/>
    <n v="1710.03"/>
    <n v="217.72"/>
    <n v="955.48"/>
    <n v="471.02"/>
    <n v="866.63"/>
    <n v="-12.88"/>
    <n v="5123.45"/>
    <n v="879.51"/>
  </r>
  <r>
    <x v="5"/>
    <x v="9"/>
    <x v="0"/>
    <s v="6050501"/>
    <n v="700038"/>
    <s v="Salaries-Service/Support-Other"/>
    <s v="Property Management"/>
    <x v="0"/>
    <n v="2000"/>
    <n v="1995.52"/>
    <n v="2005.49"/>
    <n v="1891.99"/>
    <n v="1980.76"/>
    <n v="1848.46"/>
    <n v="1943.35"/>
    <n v="1942.87"/>
    <n v="1708.68"/>
    <n v="1952.5"/>
    <n v="1878.28"/>
    <n v="1987.43"/>
    <n v="1919.65"/>
    <n v="23054.980000000003"/>
    <n v="67.779999999999973"/>
  </r>
  <r>
    <x v="5"/>
    <x v="9"/>
    <x v="0"/>
    <s v="6050501"/>
    <n v="700054"/>
    <s v="Salaries-Management-Non-productive"/>
    <s v="Property Management"/>
    <x v="0"/>
    <m/>
    <n v="0"/>
    <n v="0"/>
    <n v="0"/>
    <n v="0"/>
    <n v="0"/>
    <n v="0"/>
    <n v="0"/>
    <n v="0"/>
    <n v="0"/>
    <n v="0"/>
    <n v="1204.8"/>
    <n v="0"/>
    <n v="1204.8"/>
    <n v="1204.8"/>
  </r>
  <r>
    <x v="5"/>
    <x v="9"/>
    <x v="0"/>
    <s v="6050501"/>
    <n v="700054"/>
    <s v="Salaries-Management-NonProd-Other"/>
    <s v="Property Management"/>
    <x v="0"/>
    <n v="2000"/>
    <n v="0"/>
    <n v="0"/>
    <n v="0"/>
    <n v="0"/>
    <n v="0"/>
    <n v="2288.87"/>
    <n v="-2288.87"/>
    <n v="0"/>
    <n v="0"/>
    <n v="0"/>
    <n v="0"/>
    <n v="0"/>
    <n v="0"/>
    <n v="0"/>
  </r>
  <r>
    <x v="5"/>
    <x v="9"/>
    <x v="0"/>
    <s v="6050501"/>
    <n v="700078"/>
    <s v="Salaries-Service/Support-Non-productive"/>
    <s v="Property Management"/>
    <x v="0"/>
    <m/>
    <n v="8126.04"/>
    <n v="11363.91"/>
    <n v="7467.04"/>
    <n v="3170.19"/>
    <n v="5336.17"/>
    <n v="16877.060000000001"/>
    <n v="6342.25"/>
    <n v="8696.5400000000009"/>
    <n v="2449.9499999999998"/>
    <n v="12110.22"/>
    <n v="8451.42"/>
    <n v="2399.64"/>
    <n v="92790.430000000008"/>
    <n v="6051.7800000000007"/>
  </r>
  <r>
    <x v="5"/>
    <x v="9"/>
    <x v="0"/>
    <s v="6050501"/>
    <n v="700078"/>
    <s v="Salaries-Service/Support-NonProd-Other"/>
    <s v="Property Management"/>
    <x v="0"/>
    <n v="2000"/>
    <n v="0"/>
    <n v="48.93"/>
    <n v="0"/>
    <n v="0"/>
    <n v="99.35"/>
    <n v="0"/>
    <n v="0"/>
    <n v="65.73"/>
    <n v="60.74"/>
    <n v="21.08"/>
    <n v="143.72"/>
    <n v="166"/>
    <n v="605.54999999999995"/>
    <n v="-22.28"/>
  </r>
  <r>
    <x v="5"/>
    <x v="9"/>
    <x v="0"/>
    <s v="6050501"/>
    <n v="700084"/>
    <s v="Accrued PTO"/>
    <s v="Property Management"/>
    <x v="0"/>
    <m/>
    <n v="-499.1"/>
    <n v="-1636.46"/>
    <n v="-1853.75"/>
    <n v="3251.29"/>
    <n v="1642.08"/>
    <n v="-6735.91"/>
    <n v="189.68"/>
    <n v="1037.67"/>
    <n v="5064.6400000000003"/>
    <n v="-354.83"/>
    <n v="150.9"/>
    <n v="2075.8000000000002"/>
    <n v="2332.0100000000007"/>
    <n v="-1924.9"/>
  </r>
  <r>
    <x v="6"/>
    <x v="9"/>
    <x v="0"/>
    <s v="6050501"/>
    <n v="713010"/>
    <s v="Benefits-FICA/Medicare"/>
    <s v="Property Management"/>
    <x v="0"/>
    <m/>
    <n v="3911.57"/>
    <n v="3922.69"/>
    <n v="3721.47"/>
    <n v="3989.89"/>
    <n v="3792.36"/>
    <n v="3975.66"/>
    <n v="4183.82"/>
    <n v="3553.46"/>
    <n v="4044.22"/>
    <n v="3845.16"/>
    <n v="3586.04"/>
    <n v="3394.03"/>
    <n v="45920.37"/>
    <n v="192.00999999999976"/>
  </r>
  <r>
    <x v="6"/>
    <x v="9"/>
    <x v="0"/>
    <s v="6050501"/>
    <n v="713090"/>
    <s v="Benefits-Allocated Amounts"/>
    <s v="Property Management"/>
    <x v="0"/>
    <m/>
    <n v="12288.97"/>
    <n v="11133.58"/>
    <n v="11913.29"/>
    <n v="11893.63"/>
    <n v="10899.77"/>
    <n v="11887.3"/>
    <n v="13233.18"/>
    <n v="12212.76"/>
    <n v="13938.62"/>
    <n v="11786.68"/>
    <n v="10929.33"/>
    <n v="10937.63"/>
    <n v="143054.74"/>
    <n v="-8.2999999999992724"/>
  </r>
  <r>
    <x v="6"/>
    <x v="9"/>
    <x v="0"/>
    <s v="6050501"/>
    <n v="713096"/>
    <s v="Employee Recognition"/>
    <s v="Property Management"/>
    <x v="0"/>
    <n v="1017"/>
    <n v="0"/>
    <n v="0"/>
    <n v="0"/>
    <n v="0"/>
    <n v="165.69"/>
    <n v="0"/>
    <n v="0"/>
    <n v="0"/>
    <n v="0"/>
    <n v="0"/>
    <n v="7.99"/>
    <n v="0"/>
    <n v="173.68"/>
    <n v="7.99"/>
  </r>
  <r>
    <x v="21"/>
    <x v="9"/>
    <x v="0"/>
    <s v="6050501"/>
    <n v="716046"/>
    <s v="Consulting-Other"/>
    <s v="Property Management"/>
    <x v="0"/>
    <m/>
    <n v="0"/>
    <n v="0"/>
    <n v="0"/>
    <n v="0"/>
    <n v="0"/>
    <n v="0"/>
    <n v="0"/>
    <n v="350"/>
    <n v="0"/>
    <n v="0"/>
    <n v="0"/>
    <n v="0"/>
    <n v="350"/>
    <n v="0"/>
  </r>
  <r>
    <x v="7"/>
    <x v="9"/>
    <x v="0"/>
    <s v="6050501"/>
    <n v="718050"/>
    <s v="Contract Svcs-Other"/>
    <s v="Property Management"/>
    <x v="0"/>
    <m/>
    <n v="0"/>
    <n v="308"/>
    <n v="0"/>
    <n v="0"/>
    <n v="0"/>
    <n v="0"/>
    <n v="0"/>
    <n v="0"/>
    <n v="0"/>
    <n v="0"/>
    <n v="0"/>
    <n v="4500"/>
    <n v="4808"/>
    <n v="-4500"/>
  </r>
  <r>
    <x v="11"/>
    <x v="9"/>
    <x v="0"/>
    <s v="6050501"/>
    <n v="721810"/>
    <s v="Supplies-Dietary/Cafeteria"/>
    <s v="Property Management"/>
    <x v="0"/>
    <m/>
    <n v="0"/>
    <n v="0"/>
    <n v="8"/>
    <n v="8"/>
    <n v="0"/>
    <n v="0"/>
    <n v="0"/>
    <n v="0"/>
    <n v="0"/>
    <n v="7.71"/>
    <n v="0"/>
    <n v="0"/>
    <n v="23.71"/>
    <n v="0"/>
  </r>
  <r>
    <x v="11"/>
    <x v="9"/>
    <x v="0"/>
    <s v="6050501"/>
    <n v="721830"/>
    <s v="Supplies-Office"/>
    <s v="Property Management"/>
    <x v="0"/>
    <m/>
    <n v="109.9"/>
    <n v="54.63"/>
    <n v="52.15"/>
    <n v="147.59"/>
    <n v="61"/>
    <n v="111.84"/>
    <n v="202.01"/>
    <n v="86.1"/>
    <n v="73.02"/>
    <n v="0"/>
    <n v="0"/>
    <n v="0"/>
    <n v="898.24"/>
    <n v="0"/>
  </r>
  <r>
    <x v="11"/>
    <x v="9"/>
    <x v="0"/>
    <s v="6050501"/>
    <n v="721980"/>
    <s v="Supplies-Other"/>
    <s v="Property Management"/>
    <x v="0"/>
    <m/>
    <n v="-1768.83"/>
    <n v="-1462.1"/>
    <n v="391.35"/>
    <n v="-3704.14"/>
    <n v="10018.290000000001"/>
    <n v="3051.11"/>
    <n v="-8576.99"/>
    <n v="-13366.02"/>
    <n v="10221.43"/>
    <n v="50.65"/>
    <n v="875.78"/>
    <n v="177.16"/>
    <n v="-4092.3099999999986"/>
    <n v="698.62"/>
  </r>
  <r>
    <x v="11"/>
    <x v="9"/>
    <x v="0"/>
    <s v="6050501"/>
    <n v="722000"/>
    <s v="Supplies-Freight Expense"/>
    <s v="Property Management"/>
    <x v="0"/>
    <m/>
    <n v="57.83"/>
    <n v="0"/>
    <n v="115.38"/>
    <n v="66.28"/>
    <n v="57.38"/>
    <n v="42.03"/>
    <n v="24.67"/>
    <n v="105.74"/>
    <n v="40.200000000000003"/>
    <n v="72.83"/>
    <n v="55.51"/>
    <n v="60.3"/>
    <n v="698.15"/>
    <n v="-4.7899999999999991"/>
  </r>
  <r>
    <x v="12"/>
    <x v="9"/>
    <x v="0"/>
    <s v="6050501"/>
    <n v="730020"/>
    <s v="Rental and Leases-Copier Usage Fees (DO NOT USE)"/>
    <s v="Property Management"/>
    <x v="0"/>
    <n v="5100"/>
    <n v="846.41"/>
    <n v="876.58"/>
    <n v="861.5"/>
    <n v="861.49"/>
    <n v="861.49"/>
    <n v="861.49"/>
    <n v="1005.4"/>
    <n v="660.66"/>
    <n v="699.28"/>
    <n v="1671.12"/>
    <n v="837.38"/>
    <n v="952.54"/>
    <n v="10995.339999999997"/>
    <n v="-115.15999999999997"/>
  </r>
  <r>
    <x v="15"/>
    <x v="9"/>
    <x v="0"/>
    <s v="6050501"/>
    <n v="731060"/>
    <s v="Cell Phones"/>
    <s v="Property Management"/>
    <x v="0"/>
    <n v="1001"/>
    <n v="0"/>
    <n v="0"/>
    <n v="-27.48"/>
    <n v="0"/>
    <n v="0"/>
    <n v="0"/>
    <n v="0"/>
    <n v="0"/>
    <n v="0"/>
    <n v="0"/>
    <n v="0"/>
    <n v="0"/>
    <n v="-27.48"/>
    <n v="0"/>
  </r>
  <r>
    <x v="15"/>
    <x v="9"/>
    <x v="0"/>
    <s v="6050501"/>
    <n v="731060"/>
    <s v="Pagers"/>
    <s v="Property Management"/>
    <x v="0"/>
    <n v="1002"/>
    <n v="55.5"/>
    <n v="55.5"/>
    <n v="55.5"/>
    <n v="55.63"/>
    <n v="55.63"/>
    <n v="0"/>
    <n v="111.26"/>
    <n v="55.63"/>
    <n v="55.63"/>
    <n v="55.63"/>
    <n v="55.63"/>
    <n v="55.63"/>
    <n v="667.17"/>
    <n v="0"/>
  </r>
  <r>
    <x v="15"/>
    <x v="9"/>
    <x v="0"/>
    <s v="6050501"/>
    <n v="731065"/>
    <s v="Data Communications"/>
    <s v="Property Management"/>
    <x v="0"/>
    <m/>
    <n v="-10.14"/>
    <n v="0"/>
    <n v="0"/>
    <n v="38.520000000000003"/>
    <n v="0"/>
    <n v="0"/>
    <n v="0"/>
    <n v="0"/>
    <n v="0"/>
    <n v="0"/>
    <n v="0"/>
    <n v="0"/>
    <n v="28.380000000000003"/>
    <n v="0"/>
  </r>
  <r>
    <x v="16"/>
    <x v="9"/>
    <x v="0"/>
    <s v="6050501"/>
    <n v="732030"/>
    <s v="Repairs---Other"/>
    <s v="Property Management"/>
    <x v="0"/>
    <m/>
    <n v="0"/>
    <n v="0"/>
    <n v="16.02"/>
    <n v="96.66"/>
    <n v="11"/>
    <n v="3252.04"/>
    <n v="1089.96"/>
    <n v="0"/>
    <n v="91.27"/>
    <n v="0"/>
    <n v="198.46"/>
    <n v="1809.63"/>
    <n v="6565.0400000000009"/>
    <n v="-1611.17"/>
  </r>
  <r>
    <x v="16"/>
    <x v="9"/>
    <x v="0"/>
    <s v="6050501"/>
    <n v="733030"/>
    <s v="Maintenance Contracts-Other"/>
    <s v="Property Management"/>
    <x v="0"/>
    <m/>
    <n v="0"/>
    <n v="0"/>
    <n v="0"/>
    <n v="0"/>
    <n v="0"/>
    <n v="0"/>
    <n v="0"/>
    <n v="0"/>
    <n v="0"/>
    <n v="3823.73"/>
    <n v="0"/>
    <n v="0"/>
    <n v="3823.73"/>
    <n v="0"/>
  </r>
  <r>
    <x v="13"/>
    <x v="9"/>
    <x v="0"/>
    <s v="6050501"/>
    <n v="735070"/>
    <s v="Depreciation-Movable Equipment"/>
    <s v="Property Management"/>
    <x v="0"/>
    <m/>
    <n v="206.88"/>
    <n v="206.88"/>
    <n v="206.88"/>
    <n v="206.88"/>
    <n v="206.89"/>
    <n v="206.88"/>
    <n v="206.89"/>
    <n v="206.88"/>
    <n v="206.89"/>
    <n v="206.88"/>
    <n v="206.89"/>
    <n v="206.88"/>
    <n v="2482.6"/>
    <n v="9.9999999999909051E-3"/>
  </r>
  <r>
    <x v="0"/>
    <x v="9"/>
    <x v="0"/>
    <s v="6050501"/>
    <n v="743030"/>
    <s v="Subscriptions--Institutional"/>
    <s v="Property Management"/>
    <x v="0"/>
    <m/>
    <n v="0"/>
    <n v="0"/>
    <n v="0"/>
    <n v="6814.27"/>
    <n v="0"/>
    <n v="0"/>
    <n v="0"/>
    <n v="14324"/>
    <n v="0"/>
    <n v="0"/>
    <n v="0"/>
    <n v="0"/>
    <n v="21138.27"/>
    <n v="0"/>
  </r>
  <r>
    <x v="0"/>
    <x v="9"/>
    <x v="0"/>
    <s v="6050501"/>
    <n v="749510"/>
    <s v="Miscellaneous Expenses"/>
    <s v="Property Management"/>
    <x v="0"/>
    <m/>
    <n v="3795.96"/>
    <n v="5029.0200000000004"/>
    <n v="4050.15"/>
    <n v="3127.93"/>
    <n v="-848.76"/>
    <n v="17106.88"/>
    <n v="7416.85"/>
    <n v="2264.0500000000002"/>
    <n v="-41930.57"/>
    <n v="3300.51"/>
    <n v="1768.37"/>
    <n v="-1125.01"/>
    <n v="3955.3800000000019"/>
    <n v="2893.38"/>
  </r>
  <r>
    <x v="0"/>
    <x v="9"/>
    <x v="0"/>
    <s v="6050501"/>
    <n v="749510"/>
    <s v="Licenses"/>
    <s v="Property Management"/>
    <x v="0"/>
    <n v="1002"/>
    <n v="0"/>
    <n v="0"/>
    <n v="0"/>
    <n v="0"/>
    <n v="-3.95"/>
    <n v="0"/>
    <n v="0"/>
    <n v="132.94999999999999"/>
    <n v="0"/>
    <n v="0"/>
    <n v="0"/>
    <n v="875"/>
    <n v="1004"/>
    <n v="-875"/>
  </r>
  <r>
    <x v="0"/>
    <x v="9"/>
    <x v="0"/>
    <s v="6050501"/>
    <n v="749510"/>
    <s v="RICE Rewards"/>
    <s v="Property Management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050501"/>
    <n v="749530"/>
    <s v="Travel"/>
    <s v="Property Management"/>
    <x v="0"/>
    <m/>
    <n v="0"/>
    <n v="0"/>
    <n v="0"/>
    <n v="0"/>
    <n v="15"/>
    <n v="0"/>
    <n v="15"/>
    <n v="0"/>
    <n v="17222.05"/>
    <n v="0"/>
    <n v="-16732"/>
    <n v="0"/>
    <n v="520.04999999999927"/>
    <n v="-16732"/>
  </r>
  <r>
    <x v="0"/>
    <x v="9"/>
    <x v="0"/>
    <s v="6050501"/>
    <n v="749530"/>
    <s v="Mileage"/>
    <s v="Property Management"/>
    <x v="0"/>
    <n v="1001"/>
    <n v="0"/>
    <n v="0"/>
    <n v="0"/>
    <n v="0"/>
    <n v="61.04"/>
    <n v="0"/>
    <n v="165.15"/>
    <n v="23.78"/>
    <n v="119.48"/>
    <n v="0"/>
    <n v="0"/>
    <n v="0"/>
    <n v="369.45"/>
    <n v="0"/>
  </r>
  <r>
    <x v="14"/>
    <x v="5"/>
    <x v="0"/>
    <s v="6051106"/>
    <n v="600026"/>
    <s v="POB Rental"/>
    <s v="MC Des Moines Med Plaza"/>
    <x v="0"/>
    <n v="1001"/>
    <n v="-18056.59"/>
    <n v="-18056.59"/>
    <n v="-18056.59"/>
    <n v="-18056.59"/>
    <n v="-18056.59"/>
    <n v="-18056.59"/>
    <n v="-18056.59"/>
    <n v="-18056.59"/>
    <n v="-18056.59"/>
    <n v="-18056.59"/>
    <n v="-18056.59"/>
    <n v="-18056.59"/>
    <n v="-216679.08"/>
    <n v="0"/>
  </r>
  <r>
    <x v="14"/>
    <x v="5"/>
    <x v="0"/>
    <s v="6051106"/>
    <n v="600026"/>
    <s v="Other Rental"/>
    <s v="MC Des Moines Med Plaza"/>
    <x v="0"/>
    <n v="1002"/>
    <n v="-4800.2700000000004"/>
    <n v="-4800.2700000000004"/>
    <n v="-4800.2700000000004"/>
    <n v="-4800.2700000000004"/>
    <n v="-4800.2700000000004"/>
    <n v="-4800.2700000000004"/>
    <n v="-4800.2700000000004"/>
    <n v="-4800.2700000000004"/>
    <n v="-4800.2700000000004"/>
    <n v="-2061.8200000000002"/>
    <n v="-4800.2700000000004"/>
    <n v="-4800.2700000000004"/>
    <n v="-54864.790000000008"/>
    <n v="0"/>
  </r>
  <r>
    <x v="7"/>
    <x v="5"/>
    <x v="0"/>
    <s v="6051106"/>
    <n v="718050"/>
    <s v="Contract Svcs-Other"/>
    <s v="MC Des Moines Med Plaza"/>
    <x v="0"/>
    <m/>
    <n v="0"/>
    <n v="0"/>
    <n v="668"/>
    <n v="0"/>
    <n v="0"/>
    <n v="0"/>
    <n v="0"/>
    <n v="0"/>
    <n v="393"/>
    <n v="0"/>
    <n v="0"/>
    <n v="668"/>
    <n v="1729"/>
    <n v="-668"/>
  </r>
  <r>
    <x v="7"/>
    <x v="5"/>
    <x v="0"/>
    <s v="6051106"/>
    <n v="718050"/>
    <s v="Cleaning Services"/>
    <s v="MC Des Moines Med Plaza"/>
    <x v="0"/>
    <n v="1011"/>
    <n v="0"/>
    <n v="1370"/>
    <n v="693.51"/>
    <n v="535"/>
    <n v="0"/>
    <n v="1070"/>
    <n v="535"/>
    <n v="535"/>
    <n v="535"/>
    <n v="535"/>
    <n v="535"/>
    <n v="1070"/>
    <n v="7413.51"/>
    <n v="-535"/>
  </r>
  <r>
    <x v="7"/>
    <x v="5"/>
    <x v="0"/>
    <s v="6051106"/>
    <n v="718050"/>
    <s v="Pest Control"/>
    <s v="MC Des Moines Med Plaza"/>
    <x v="0"/>
    <n v="1014"/>
    <n v="75.08"/>
    <n v="0"/>
    <n v="0"/>
    <n v="121"/>
    <n v="60.5"/>
    <n v="121"/>
    <n v="135.58000000000001"/>
    <n v="60.5"/>
    <n v="121"/>
    <n v="0"/>
    <n v="0"/>
    <n v="60.5"/>
    <n v="755.16"/>
    <n v="-60.5"/>
  </r>
  <r>
    <x v="7"/>
    <x v="5"/>
    <x v="0"/>
    <s v="6051106"/>
    <n v="718050"/>
    <s v="Purchased Service-Fire Equipment"/>
    <s v="MC Des Moines Med Plaza"/>
    <x v="0"/>
    <n v="5100"/>
    <n v="0"/>
    <n v="0"/>
    <n v="0"/>
    <n v="0"/>
    <n v="0"/>
    <n v="0"/>
    <n v="0"/>
    <n v="0"/>
    <n v="0"/>
    <n v="0"/>
    <n v="0"/>
    <n v="195.61"/>
    <n v="195.61"/>
    <n v="-195.61"/>
  </r>
  <r>
    <x v="11"/>
    <x v="5"/>
    <x v="0"/>
    <s v="6051106"/>
    <n v="721830"/>
    <s v="Supplies-Office"/>
    <s v="MC Des Moines Med Plaza"/>
    <x v="0"/>
    <m/>
    <n v="0"/>
    <n v="0"/>
    <n v="0"/>
    <n v="0"/>
    <n v="66.06"/>
    <n v="0"/>
    <n v="0"/>
    <n v="0"/>
    <n v="0"/>
    <n v="0"/>
    <n v="0"/>
    <n v="0"/>
    <n v="66.06"/>
    <n v="0"/>
  </r>
  <r>
    <x v="15"/>
    <x v="5"/>
    <x v="0"/>
    <s v="6051106"/>
    <n v="731010"/>
    <s v="Natural Gas"/>
    <s v="MC Des Moines Med Plaza"/>
    <x v="0"/>
    <m/>
    <n v="38.380000000000003"/>
    <n v="39.19"/>
    <n v="40.11"/>
    <n v="49.86"/>
    <n v="91.21"/>
    <n v="161.97999999999999"/>
    <n v="175.29"/>
    <n v="238.92"/>
    <n v="153.63999999999999"/>
    <n v="63.98"/>
    <n v="42.25"/>
    <n v="39.9"/>
    <n v="1134.71"/>
    <n v="2.3500000000000014"/>
  </r>
  <r>
    <x v="15"/>
    <x v="5"/>
    <x v="0"/>
    <s v="6051106"/>
    <n v="731020"/>
    <s v="Electricity"/>
    <s v="MC Des Moines Med Plaza"/>
    <x v="0"/>
    <m/>
    <n v="1344.01"/>
    <n v="1412.21"/>
    <n v="1317.47"/>
    <n v="1292.03"/>
    <n v="1508.77"/>
    <n v="1840.93"/>
    <n v="1865.44"/>
    <n v="2096.7600000000002"/>
    <n v="2178.61"/>
    <n v="1420.2"/>
    <n v="1255.93"/>
    <n v="1218.02"/>
    <n v="18750.38"/>
    <n v="37.910000000000082"/>
  </r>
  <r>
    <x v="15"/>
    <x v="5"/>
    <x v="0"/>
    <s v="6051106"/>
    <n v="731030"/>
    <s v="Water"/>
    <s v="MC Des Moines Med Plaza"/>
    <x v="0"/>
    <m/>
    <n v="479.64"/>
    <n v="0"/>
    <n v="502.44"/>
    <n v="0"/>
    <n v="468.24"/>
    <n v="0"/>
    <n v="505.12"/>
    <n v="0"/>
    <n v="512.72"/>
    <n v="0"/>
    <n v="516.52"/>
    <n v="0"/>
    <n v="2984.68"/>
    <n v="516.52"/>
  </r>
  <r>
    <x v="15"/>
    <x v="5"/>
    <x v="0"/>
    <s v="6051106"/>
    <n v="731040"/>
    <s v="Sewer"/>
    <s v="MC Des Moines Med Plaza"/>
    <x v="0"/>
    <m/>
    <n v="68.760000000000005"/>
    <n v="0"/>
    <n v="87.86"/>
    <n v="0"/>
    <n v="57.3"/>
    <n v="0"/>
    <n v="57.3"/>
    <n v="0"/>
    <n v="71.3"/>
    <n v="0"/>
    <n v="71.3"/>
    <n v="0"/>
    <n v="413.82000000000005"/>
    <n v="71.3"/>
  </r>
  <r>
    <x v="15"/>
    <x v="5"/>
    <x v="0"/>
    <s v="6051106"/>
    <n v="731050"/>
    <s v="Refuse Disposal"/>
    <s v="MC Des Moines Med Plaza"/>
    <x v="0"/>
    <m/>
    <n v="579.79999999999995"/>
    <n v="579.79999999999995"/>
    <n v="579.79999999999995"/>
    <n v="579.79999999999995"/>
    <n v="579.79999999999995"/>
    <n v="579.79999999999995"/>
    <n v="579.79999999999995"/>
    <n v="597.03"/>
    <n v="597.03"/>
    <n v="597.03"/>
    <n v="597.03"/>
    <n v="597.03"/>
    <n v="7043.7499999999991"/>
    <n v="0"/>
  </r>
  <r>
    <x v="15"/>
    <x v="5"/>
    <x v="0"/>
    <s v="6051106"/>
    <n v="731060"/>
    <s v="Telephone"/>
    <s v="MC Des Moines Med Plaza"/>
    <x v="0"/>
    <m/>
    <n v="11069.81"/>
    <n v="1188.46"/>
    <n v="315.47000000000003"/>
    <n v="1529.79"/>
    <n v="1167.81"/>
    <n v="1163.2"/>
    <n v="1518.53"/>
    <n v="896.97"/>
    <n v="1100.06"/>
    <n v="1109.78"/>
    <n v="1106.4000000000001"/>
    <n v="1101.3699999999999"/>
    <n v="23267.649999999998"/>
    <n v="5.0300000000002001"/>
  </r>
  <r>
    <x v="16"/>
    <x v="5"/>
    <x v="0"/>
    <s v="6051106"/>
    <n v="732030"/>
    <s v="Repairs---Other"/>
    <s v="MC Des Moines Med Plaza"/>
    <x v="0"/>
    <m/>
    <n v="875.6"/>
    <n v="318.16000000000003"/>
    <n v="222.92"/>
    <n v="166.09"/>
    <n v="0"/>
    <n v="912.09"/>
    <n v="0"/>
    <n v="20.22"/>
    <n v="7.68"/>
    <n v="0"/>
    <n v="0"/>
    <n v="0"/>
    <n v="2522.7599999999998"/>
    <n v="0"/>
  </r>
  <r>
    <x v="16"/>
    <x v="5"/>
    <x v="0"/>
    <s v="6051106"/>
    <n v="732030"/>
    <s v="Repairs&amp;Maintenance-HVAC"/>
    <s v="MC Des Moines Med Plaza"/>
    <x v="0"/>
    <n v="5102"/>
    <n v="0"/>
    <n v="0"/>
    <n v="0"/>
    <n v="22"/>
    <n v="0"/>
    <n v="0"/>
    <n v="120"/>
    <n v="0"/>
    <n v="0"/>
    <n v="0"/>
    <n v="0"/>
    <n v="0"/>
    <n v="142"/>
    <n v="0"/>
  </r>
  <r>
    <x v="16"/>
    <x v="5"/>
    <x v="0"/>
    <s v="6051106"/>
    <n v="733030"/>
    <s v="Maintenance Contract-Elevator"/>
    <s v="MC Des Moines Med Plaza"/>
    <x v="0"/>
    <n v="5101"/>
    <n v="0"/>
    <n v="0"/>
    <n v="0"/>
    <n v="812.28"/>
    <n v="0"/>
    <n v="838.93"/>
    <n v="0"/>
    <n v="0"/>
    <n v="838.93"/>
    <n v="0"/>
    <n v="0"/>
    <n v="0"/>
    <n v="2490.14"/>
    <n v="0"/>
  </r>
  <r>
    <x v="16"/>
    <x v="5"/>
    <x v="0"/>
    <s v="6051106"/>
    <n v="733030"/>
    <s v="Maintenance Contract-HVAC"/>
    <s v="MC Des Moines Med Plaza"/>
    <x v="0"/>
    <n v="5102"/>
    <n v="397.17"/>
    <n v="397.17"/>
    <n v="0"/>
    <n v="397.17"/>
    <n v="413.05"/>
    <n v="826.1"/>
    <n v="413.05"/>
    <n v="0"/>
    <n v="1636.32"/>
    <n v="0"/>
    <n v="0"/>
    <n v="826.1"/>
    <n v="5306.13"/>
    <n v="-826.1"/>
  </r>
  <r>
    <x v="16"/>
    <x v="5"/>
    <x v="0"/>
    <s v="6051106"/>
    <n v="733030"/>
    <s v="Maintenance Contract-Landscape General"/>
    <s v="MC Des Moines Med Plaza"/>
    <x v="0"/>
    <n v="5105"/>
    <n v="0"/>
    <n v="54.45"/>
    <n v="624.25"/>
    <n v="817.3"/>
    <n v="0"/>
    <n v="1768.74"/>
    <n v="220.2"/>
    <n v="817.3"/>
    <n v="0"/>
    <n v="817.3"/>
    <n v="818.04"/>
    <n v="863.68"/>
    <n v="6801.26"/>
    <n v="-45.639999999999986"/>
  </r>
  <r>
    <x v="16"/>
    <x v="5"/>
    <x v="0"/>
    <s v="6051106"/>
    <n v="733030"/>
    <s v="Maintenance Contract-Parking"/>
    <s v="MC Des Moines Med Plaza"/>
    <x v="0"/>
    <n v="5106"/>
    <n v="54.45"/>
    <n v="54.45"/>
    <n v="0"/>
    <n v="54.45"/>
    <n v="54.45"/>
    <n v="926.2"/>
    <n v="0"/>
    <n v="1496.16"/>
    <n v="631.95000000000005"/>
    <n v="934.9"/>
    <n v="54.45"/>
    <n v="54.45"/>
    <n v="4315.9099999999989"/>
    <n v="0"/>
  </r>
  <r>
    <x v="8"/>
    <x v="5"/>
    <x v="0"/>
    <s v="6051106"/>
    <n v="741010"/>
    <s v="Liability Insurance-CHI Programs"/>
    <s v="MC Des Moines Med Plaza"/>
    <x v="0"/>
    <m/>
    <n v="73.650000000000006"/>
    <n v="73.650000000000006"/>
    <n v="100.62"/>
    <n v="82.64"/>
    <n v="82.64"/>
    <n v="82.64"/>
    <n v="82.64"/>
    <n v="82.64"/>
    <n v="82.64"/>
    <n v="82.64"/>
    <n v="82.64"/>
    <n v="82.64"/>
    <n v="991.68"/>
    <n v="0"/>
  </r>
  <r>
    <x v="8"/>
    <x v="5"/>
    <x v="0"/>
    <s v="6051106"/>
    <n v="741030"/>
    <s v="Property Insurance-CHI Programs"/>
    <s v="MC Des Moines Med Plaza"/>
    <x v="0"/>
    <m/>
    <n v="287.16000000000003"/>
    <n v="287.16000000000003"/>
    <n v="143.49"/>
    <n v="239.27"/>
    <n v="239.27"/>
    <n v="239.27"/>
    <n v="239.27"/>
    <n v="239.27"/>
    <n v="239.27"/>
    <n v="239.27"/>
    <n v="239.27"/>
    <n v="239.27"/>
    <n v="2871.2400000000002"/>
    <n v="0"/>
  </r>
  <r>
    <x v="0"/>
    <x v="5"/>
    <x v="0"/>
    <s v="6051106"/>
    <n v="749510"/>
    <s v="Licenses"/>
    <s v="MC Des Moines Med Plaza"/>
    <x v="0"/>
    <n v="1002"/>
    <n v="0"/>
    <n v="0"/>
    <n v="0"/>
    <n v="0"/>
    <n v="0"/>
    <n v="0"/>
    <n v="141.6"/>
    <n v="0"/>
    <n v="0"/>
    <n v="0"/>
    <n v="0"/>
    <n v="0"/>
    <n v="141.6"/>
    <n v="0"/>
  </r>
  <r>
    <x v="0"/>
    <x v="5"/>
    <x v="0"/>
    <s v="6051106"/>
    <n v="749510"/>
    <s v="Miscellaneous Expense"/>
    <s v="MC Des Moines Med Plaza"/>
    <x v="0"/>
    <n v="1009"/>
    <n v="0"/>
    <n v="0"/>
    <n v="0"/>
    <n v="2579.5"/>
    <n v="185.9"/>
    <n v="185.9"/>
    <n v="0"/>
    <n v="0"/>
    <n v="0"/>
    <n v="0"/>
    <n v="0"/>
    <n v="0"/>
    <n v="2951.3"/>
    <n v="0"/>
  </r>
  <r>
    <x v="0"/>
    <x v="5"/>
    <x v="0"/>
    <s v="6051106"/>
    <n v="749510"/>
    <s v="Monitoring - Fire"/>
    <s v="MC Des Moines Med Plaza"/>
    <x v="0"/>
    <n v="5102"/>
    <n v="0"/>
    <n v="0"/>
    <n v="0"/>
    <n v="264"/>
    <n v="0"/>
    <n v="0"/>
    <n v="0"/>
    <n v="0"/>
    <n v="0"/>
    <n v="0"/>
    <n v="264"/>
    <n v="0"/>
    <n v="528"/>
    <n v="264"/>
  </r>
  <r>
    <x v="0"/>
    <x v="5"/>
    <x v="0"/>
    <s v="6051106"/>
    <n v="766010"/>
    <s v="Property Tax"/>
    <s v="MC Des Moines Med Plaza"/>
    <x v="0"/>
    <m/>
    <n v="2422.23"/>
    <n v="2422.23"/>
    <n v="2422.23"/>
    <n v="2422.19"/>
    <n v="2422.23"/>
    <n v="2422.23"/>
    <n v="2422.23"/>
    <n v="2422.23"/>
    <n v="2422.23"/>
    <n v="2677.92"/>
    <n v="2486.14"/>
    <n v="2486.14"/>
    <n v="29450.229999999996"/>
    <n v="0"/>
  </r>
  <r>
    <x v="11"/>
    <x v="6"/>
    <x v="0"/>
    <s v="6051107"/>
    <n v="721830"/>
    <s v="Supplies-Office"/>
    <s v="Westsound Office Bldg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6051200"/>
    <n v="718050"/>
    <s v="Cleaning Services"/>
    <s v="West Sound Building"/>
    <x v="0"/>
    <n v="1011"/>
    <n v="0"/>
    <n v="7064.84"/>
    <n v="7825.55"/>
    <n v="4047.49"/>
    <n v="0"/>
    <n v="0"/>
    <n v="7488.85"/>
    <n v="3749.95"/>
    <n v="7652.2"/>
    <n v="4550.05"/>
    <n v="4278.3999999999996"/>
    <n v="3345"/>
    <n v="50002.33"/>
    <n v="933.39999999999964"/>
  </r>
  <r>
    <x v="7"/>
    <x v="1"/>
    <x v="0"/>
    <s v="6051200"/>
    <n v="718050"/>
    <s v="Pest Control"/>
    <s v="West Sound Building"/>
    <x v="0"/>
    <n v="1014"/>
    <n v="0"/>
    <n v="144.43"/>
    <n v="0"/>
    <n v="0"/>
    <n v="0"/>
    <n v="0"/>
    <n v="0"/>
    <n v="0"/>
    <n v="0"/>
    <n v="0"/>
    <n v="0"/>
    <n v="0"/>
    <n v="144.43"/>
    <n v="0"/>
  </r>
  <r>
    <x v="7"/>
    <x v="1"/>
    <x v="0"/>
    <s v="6051200"/>
    <n v="718050"/>
    <s v="Security"/>
    <s v="West Sound Building"/>
    <x v="0"/>
    <n v="1019"/>
    <n v="216.51"/>
    <n v="0"/>
    <n v="0"/>
    <n v="216.51"/>
    <n v="0"/>
    <n v="0"/>
    <n v="0"/>
    <n v="0"/>
    <n v="0"/>
    <n v="0"/>
    <n v="0"/>
    <n v="0"/>
    <n v="433.02"/>
    <n v="0"/>
  </r>
  <r>
    <x v="11"/>
    <x v="1"/>
    <x v="0"/>
    <s v="6051200"/>
    <n v="721980"/>
    <s v="Supplies-Other"/>
    <s v="West Sound Building"/>
    <x v="0"/>
    <m/>
    <n v="0"/>
    <n v="0"/>
    <n v="0"/>
    <n v="0"/>
    <n v="0"/>
    <n v="0"/>
    <n v="0"/>
    <n v="0"/>
    <n v="0"/>
    <n v="0"/>
    <n v="0"/>
    <n v="489.04"/>
    <n v="489.04"/>
    <n v="-489.04"/>
  </r>
  <r>
    <x v="15"/>
    <x v="1"/>
    <x v="0"/>
    <s v="6051200"/>
    <n v="731020"/>
    <s v="Electricity"/>
    <s v="West Sound Building"/>
    <x v="0"/>
    <m/>
    <n v="4681.17"/>
    <n v="4903.74"/>
    <n v="4870.32"/>
    <n v="5005.4799999999996"/>
    <n v="4748.5600000000004"/>
    <n v="5314.28"/>
    <n v="4993.8100000000004"/>
    <n v="4748.17"/>
    <n v="5623.78"/>
    <n v="5078.45"/>
    <n v="3705.72"/>
    <n v="3769.34"/>
    <n v="57442.819999999992"/>
    <n v="-63.620000000000346"/>
  </r>
  <r>
    <x v="15"/>
    <x v="1"/>
    <x v="0"/>
    <s v="6051200"/>
    <n v="731030"/>
    <s v="Water"/>
    <s v="West Sound Building"/>
    <x v="0"/>
    <m/>
    <n v="0"/>
    <n v="2704.85"/>
    <n v="0"/>
    <n v="2933.26"/>
    <n v="0"/>
    <n v="306.05"/>
    <n v="0"/>
    <n v="293.47000000000003"/>
    <n v="0"/>
    <n v="313.47000000000003"/>
    <n v="0"/>
    <n v="418.81"/>
    <n v="6969.9100000000017"/>
    <n v="-418.81"/>
  </r>
  <r>
    <x v="15"/>
    <x v="1"/>
    <x v="0"/>
    <s v="6051200"/>
    <n v="731040"/>
    <s v="Sewer"/>
    <s v="West Sound Building"/>
    <x v="0"/>
    <m/>
    <n v="895.36"/>
    <n v="895.36"/>
    <n v="895.36"/>
    <n v="895.36"/>
    <n v="895.36"/>
    <n v="984.9"/>
    <n v="805.82"/>
    <n v="925.31"/>
    <n v="925.31"/>
    <n v="925.31"/>
    <n v="925.31"/>
    <n v="925.31"/>
    <n v="10894.069999999998"/>
    <n v="0"/>
  </r>
  <r>
    <x v="15"/>
    <x v="1"/>
    <x v="0"/>
    <s v="6051200"/>
    <n v="731050"/>
    <s v="Refuse Disposal"/>
    <s v="West Sound Building"/>
    <x v="0"/>
    <m/>
    <n v="557.23"/>
    <n v="553.5"/>
    <n v="469.39"/>
    <n v="657.19"/>
    <n v="507.31"/>
    <n v="506.48"/>
    <n v="504.97"/>
    <n v="503.66"/>
    <n v="504.25"/>
    <n v="505.88"/>
    <n v="524.03"/>
    <n v="508.96"/>
    <n v="6302.8499999999995"/>
    <n v="15.069999999999993"/>
  </r>
  <r>
    <x v="16"/>
    <x v="1"/>
    <x v="0"/>
    <s v="6051200"/>
    <n v="732030"/>
    <s v="Repairs---Other"/>
    <s v="West Sound Building"/>
    <x v="0"/>
    <m/>
    <n v="37.11"/>
    <n v="1770.16"/>
    <n v="0"/>
    <n v="1453.96"/>
    <n v="0"/>
    <n v="572.25"/>
    <n v="958.11"/>
    <n v="0"/>
    <n v="41.55"/>
    <n v="0"/>
    <n v="0"/>
    <n v="0"/>
    <n v="4833.1400000000003"/>
    <n v="0"/>
  </r>
  <r>
    <x v="16"/>
    <x v="1"/>
    <x v="0"/>
    <s v="6051200"/>
    <n v="732030"/>
    <s v="Repairs&amp;Maintenance-HVAC"/>
    <s v="West Sound Building"/>
    <x v="0"/>
    <n v="5102"/>
    <n v="0"/>
    <n v="0"/>
    <n v="0"/>
    <n v="0"/>
    <n v="0"/>
    <n v="0"/>
    <n v="0"/>
    <n v="1351.6"/>
    <n v="0"/>
    <n v="0"/>
    <n v="0"/>
    <n v="1363.68"/>
    <n v="2715.2799999999997"/>
    <n v="-1363.68"/>
  </r>
  <r>
    <x v="16"/>
    <x v="1"/>
    <x v="0"/>
    <s v="6051200"/>
    <n v="733030"/>
    <s v="Maintenance Contract-Elevator"/>
    <s v="West Sound Building"/>
    <x v="0"/>
    <n v="5101"/>
    <n v="0"/>
    <n v="0"/>
    <n v="0"/>
    <n v="996.29"/>
    <n v="0"/>
    <n v="0"/>
    <n v="1028.97"/>
    <n v="0"/>
    <n v="0"/>
    <n v="1028.97"/>
    <n v="0"/>
    <n v="0"/>
    <n v="3054.23"/>
    <n v="0"/>
  </r>
  <r>
    <x v="16"/>
    <x v="1"/>
    <x v="0"/>
    <s v="6051200"/>
    <n v="733030"/>
    <s v="Maintenance Contract-HVAC"/>
    <s v="West Sound Building"/>
    <x v="0"/>
    <n v="5102"/>
    <n v="0"/>
    <n v="0"/>
    <n v="0"/>
    <n v="2727.18"/>
    <n v="0"/>
    <n v="0"/>
    <n v="1350.51"/>
    <n v="0"/>
    <n v="1770.16"/>
    <n v="0"/>
    <n v="0"/>
    <n v="1770.16"/>
    <n v="7618.0099999999993"/>
    <n v="-1770.16"/>
  </r>
  <r>
    <x v="16"/>
    <x v="1"/>
    <x v="0"/>
    <s v="6051200"/>
    <n v="733030"/>
    <s v="Maintenance Contract-Landscape General"/>
    <s v="West Sound Building"/>
    <x v="0"/>
    <n v="5105"/>
    <n v="185.3"/>
    <n v="801.15"/>
    <n v="0"/>
    <n v="1284.02"/>
    <n v="0"/>
    <n v="179.85"/>
    <n v="1144.5"/>
    <n v="572.25"/>
    <n v="572.25"/>
    <n v="0"/>
    <n v="0"/>
    <n v="0"/>
    <n v="4739.32"/>
    <n v="0"/>
  </r>
  <r>
    <x v="16"/>
    <x v="1"/>
    <x v="0"/>
    <s v="6051200"/>
    <n v="733030"/>
    <s v="Maintenance Contract-Parking"/>
    <s v="West Sound Building"/>
    <x v="0"/>
    <n v="5106"/>
    <n v="185.3"/>
    <n v="0"/>
    <n v="0"/>
    <n v="0"/>
    <n v="0"/>
    <n v="0"/>
    <n v="359.7"/>
    <n v="3685.55"/>
    <n v="0"/>
    <n v="3300"/>
    <n v="962.5"/>
    <n v="0"/>
    <n v="8493.0499999999993"/>
    <n v="962.5"/>
  </r>
  <r>
    <x v="8"/>
    <x v="1"/>
    <x v="0"/>
    <s v="6051200"/>
    <n v="741010"/>
    <s v="Liability Insurance-CHI Programs"/>
    <s v="West Sound Building"/>
    <x v="0"/>
    <m/>
    <n v="129.54"/>
    <n v="129.54"/>
    <n v="102.21"/>
    <n v="120.43"/>
    <n v="120.43"/>
    <n v="120.43"/>
    <n v="120.43"/>
    <n v="120.43"/>
    <n v="120.43"/>
    <n v="120.43"/>
    <n v="120.43"/>
    <n v="120.43"/>
    <n v="1445.1600000000003"/>
    <n v="0"/>
  </r>
  <r>
    <x v="8"/>
    <x v="1"/>
    <x v="0"/>
    <s v="6051200"/>
    <n v="741030"/>
    <s v="Property Insurance-CHI Programs"/>
    <s v="West Sound Building"/>
    <x v="0"/>
    <m/>
    <n v="217.55"/>
    <n v="217.55"/>
    <n v="281.83999999999997"/>
    <n v="238.98"/>
    <n v="238.98"/>
    <n v="238.98"/>
    <n v="238.98"/>
    <n v="238.98"/>
    <n v="238.98"/>
    <n v="238.98"/>
    <n v="238.98"/>
    <n v="238.98"/>
    <n v="2867.76"/>
    <n v="0"/>
  </r>
  <r>
    <x v="0"/>
    <x v="1"/>
    <x v="0"/>
    <s v="6051200"/>
    <n v="749510"/>
    <s v="Licenses"/>
    <s v="West Sound Building"/>
    <x v="0"/>
    <n v="1002"/>
    <n v="0"/>
    <n v="0"/>
    <n v="0"/>
    <n v="0"/>
    <n v="0"/>
    <n v="0"/>
    <n v="129"/>
    <n v="0"/>
    <n v="0"/>
    <n v="0"/>
    <n v="0"/>
    <n v="0"/>
    <n v="129"/>
    <n v="0"/>
  </r>
  <r>
    <x v="0"/>
    <x v="1"/>
    <x v="0"/>
    <s v="6051200"/>
    <n v="749510"/>
    <s v="Miscellaneous Expense"/>
    <s v="West Sound Building"/>
    <x v="0"/>
    <n v="1009"/>
    <n v="0"/>
    <n v="0"/>
    <n v="0"/>
    <n v="0"/>
    <n v="185.9"/>
    <n v="185.9"/>
    <n v="0"/>
    <n v="0"/>
    <n v="0"/>
    <n v="0"/>
    <n v="0"/>
    <n v="0"/>
    <n v="371.8"/>
    <n v="0"/>
  </r>
  <r>
    <x v="7"/>
    <x v="9"/>
    <x v="0"/>
    <s v="6051501"/>
    <n v="718050"/>
    <s v="Contract Svcs-Other"/>
    <s v="SJMOB Property Management"/>
    <x v="0"/>
    <m/>
    <n v="0"/>
    <n v="0"/>
    <n v="0"/>
    <n v="0"/>
    <n v="0"/>
    <n v="0"/>
    <n v="2728.14"/>
    <n v="1570"/>
    <n v="0"/>
    <n v="4502"/>
    <n v="0"/>
    <n v="-5887"/>
    <n v="2913.1399999999994"/>
    <n v="5887"/>
  </r>
  <r>
    <x v="7"/>
    <x v="9"/>
    <x v="0"/>
    <s v="6051501"/>
    <n v="718050"/>
    <s v="Cleaning Services"/>
    <s v="SJMOB Property Management"/>
    <x v="0"/>
    <n v="1011"/>
    <n v="1509.42"/>
    <n v="16880.63"/>
    <n v="0"/>
    <n v="33761.26"/>
    <n v="0"/>
    <n v="18876.63"/>
    <n v="0"/>
    <n v="33805.26"/>
    <n v="16924.63"/>
    <n v="16924.63"/>
    <n v="16924.63"/>
    <n v="16924.63"/>
    <n v="172531.72000000003"/>
    <n v="0"/>
  </r>
  <r>
    <x v="7"/>
    <x v="9"/>
    <x v="0"/>
    <s v="6051501"/>
    <n v="718050"/>
    <s v="Pest Control"/>
    <s v="SJMOB Property Management"/>
    <x v="0"/>
    <n v="1014"/>
    <n v="0"/>
    <n v="62.39"/>
    <n v="0"/>
    <n v="62.39"/>
    <n v="62.39"/>
    <n v="677.49"/>
    <n v="62.39"/>
    <n v="62.39"/>
    <n v="124.78"/>
    <n v="0"/>
    <n v="62.45"/>
    <n v="0"/>
    <n v="1176.67"/>
    <n v="62.45"/>
  </r>
  <r>
    <x v="7"/>
    <x v="9"/>
    <x v="0"/>
    <s v="6051501"/>
    <n v="718050"/>
    <s v="Security"/>
    <s v="SJMOB Property Management"/>
    <x v="0"/>
    <n v="1019"/>
    <n v="4855.53"/>
    <n v="2615.7800000000002"/>
    <n v="2531.4"/>
    <n v="2615.7800000000002"/>
    <n v="2531.4"/>
    <n v="2615.7800000000002"/>
    <n v="2615.7800000000002"/>
    <n v="2362.64"/>
    <n v="2615.7800000000002"/>
    <n v="2531.4"/>
    <n v="2615.7800000000002"/>
    <n v="2531.4"/>
    <n v="33038.449999999997"/>
    <n v="84.380000000000109"/>
  </r>
  <r>
    <x v="7"/>
    <x v="9"/>
    <x v="0"/>
    <s v="6051501"/>
    <n v="718050"/>
    <s v="Purchased Srvcs-Environmental Remediation"/>
    <s v="SJMOB Property Management"/>
    <x v="0"/>
    <n v="1028"/>
    <n v="0"/>
    <n v="209"/>
    <n v="107"/>
    <n v="214"/>
    <n v="0"/>
    <n v="107"/>
    <n v="107"/>
    <n v="107"/>
    <n v="107"/>
    <n v="107"/>
    <n v="107"/>
    <n v="662.36"/>
    <n v="1834.3600000000001"/>
    <n v="-555.36"/>
  </r>
  <r>
    <x v="7"/>
    <x v="9"/>
    <x v="0"/>
    <s v="6051501"/>
    <n v="718050"/>
    <s v="Purchased Service-Fire/Life Safety Test"/>
    <s v="SJMOB Property Management"/>
    <x v="0"/>
    <n v="5101"/>
    <n v="0"/>
    <n v="0"/>
    <n v="0"/>
    <n v="0"/>
    <n v="0"/>
    <n v="0"/>
    <n v="0"/>
    <n v="0"/>
    <n v="0"/>
    <n v="0"/>
    <n v="697.98"/>
    <n v="0"/>
    <n v="697.98"/>
    <n v="697.98"/>
  </r>
  <r>
    <x v="11"/>
    <x v="9"/>
    <x v="0"/>
    <s v="6051501"/>
    <n v="721830"/>
    <s v="Supplies-Office"/>
    <s v="SJMOB Property Management"/>
    <x v="0"/>
    <m/>
    <n v="920.44"/>
    <n v="0"/>
    <n v="0"/>
    <n v="0"/>
    <n v="0"/>
    <n v="0"/>
    <n v="0"/>
    <n v="0"/>
    <n v="186.18"/>
    <n v="2822.7"/>
    <n v="4607.03"/>
    <n v="0"/>
    <n v="8536.3499999999985"/>
    <n v="4607.03"/>
  </r>
  <r>
    <x v="11"/>
    <x v="9"/>
    <x v="0"/>
    <s v="6051501"/>
    <n v="721870"/>
    <s v="Supplies-Environmental Services"/>
    <s v="SJMOB Property Management"/>
    <x v="0"/>
    <m/>
    <n v="0"/>
    <n v="2582.3200000000002"/>
    <n v="1260.82"/>
    <n v="2926.61"/>
    <n v="0"/>
    <n v="2296.69"/>
    <n v="5095.8999999999996"/>
    <n v="3138.35"/>
    <n v="1247.8399999999999"/>
    <n v="0"/>
    <n v="0"/>
    <n v="0"/>
    <n v="18548.53"/>
    <n v="0"/>
  </r>
  <r>
    <x v="12"/>
    <x v="9"/>
    <x v="0"/>
    <s v="6051501"/>
    <n v="730010"/>
    <s v="Rental and Leases-Building (DO NOT USE)"/>
    <s v="SJMOB Property Management"/>
    <x v="0"/>
    <m/>
    <n v="-21727.64"/>
    <n v="-21727.88"/>
    <n v="-21727.64"/>
    <n v="-21727.64"/>
    <n v="-21727.64"/>
    <n v="108638.44"/>
    <n v="0"/>
    <n v="0"/>
    <n v="0"/>
    <n v="0"/>
    <n v="0"/>
    <n v="0"/>
    <n v="0"/>
    <n v="0"/>
  </r>
  <r>
    <x v="12"/>
    <x v="9"/>
    <x v="0"/>
    <s v="6051501"/>
    <n v="730010"/>
    <s v="Rental-Common Area Maint (DO NOT USE)"/>
    <s v="SJMOB Property Management"/>
    <x v="0"/>
    <n v="2200"/>
    <n v="0"/>
    <n v="0"/>
    <n v="0"/>
    <n v="0"/>
    <n v="0"/>
    <n v="-130068.53"/>
    <n v="-21430.09"/>
    <n v="-21430.09"/>
    <n v="-37675.61"/>
    <n v="51975.96"/>
    <n v="-21430.09"/>
    <n v="-75822.710000000006"/>
    <n v="-255881.16000000003"/>
    <n v="54392.62000000001"/>
  </r>
  <r>
    <x v="12"/>
    <x v="9"/>
    <x v="0"/>
    <s v="6051501"/>
    <n v="730040"/>
    <s v="LT Lease-Real Estate"/>
    <s v="SJMOB Property Management"/>
    <x v="0"/>
    <m/>
    <n v="0"/>
    <n v="0"/>
    <n v="0"/>
    <n v="0"/>
    <n v="0"/>
    <n v="0"/>
    <n v="0"/>
    <n v="0"/>
    <n v="0"/>
    <n v="0"/>
    <n v="0"/>
    <n v="54392.62"/>
    <n v="54392.62"/>
    <n v="-54392.62"/>
  </r>
  <r>
    <x v="15"/>
    <x v="9"/>
    <x v="0"/>
    <s v="6051501"/>
    <n v="731020"/>
    <s v="Electricity"/>
    <s v="SJMOB Property Management"/>
    <x v="0"/>
    <m/>
    <n v="10626.35"/>
    <n v="11830.78"/>
    <n v="10933.72"/>
    <n v="12188.25"/>
    <n v="11702.18"/>
    <n v="12901.52"/>
    <n v="12190.51"/>
    <n v="12324.59"/>
    <n v="12732.42"/>
    <n v="11425.21"/>
    <n v="12315.84"/>
    <n v="11621.15"/>
    <n v="142792.51999999999"/>
    <n v="694.69000000000051"/>
  </r>
  <r>
    <x v="15"/>
    <x v="9"/>
    <x v="0"/>
    <s v="6051501"/>
    <n v="731030"/>
    <s v="Water"/>
    <s v="SJMOB Property Management"/>
    <x v="0"/>
    <m/>
    <n v="471.63"/>
    <n v="489.27"/>
    <n v="471.84"/>
    <n v="490.56"/>
    <n v="495.87"/>
    <n v="507.38"/>
    <n v="479.62"/>
    <n v="516.4"/>
    <n v="521.37"/>
    <n v="531"/>
    <n v="539.6"/>
    <n v="527.84"/>
    <n v="6042.380000000001"/>
    <n v="11.759999999999991"/>
  </r>
  <r>
    <x v="15"/>
    <x v="9"/>
    <x v="0"/>
    <s v="6051501"/>
    <n v="731040"/>
    <s v="Sewer"/>
    <s v="SJMOB Property Management"/>
    <x v="0"/>
    <m/>
    <n v="492.35"/>
    <n v="548.69000000000005"/>
    <n v="493.03"/>
    <n v="552.83000000000004"/>
    <n v="569.78"/>
    <n v="606.53"/>
    <n v="512.54"/>
    <n v="609.76"/>
    <n v="625.55999999999995"/>
    <n v="656.16"/>
    <n v="683.47"/>
    <n v="646.13"/>
    <n v="6996.83"/>
    <n v="37.340000000000032"/>
  </r>
  <r>
    <x v="15"/>
    <x v="9"/>
    <x v="0"/>
    <s v="6051501"/>
    <n v="731050"/>
    <s v="Refuse Disposal"/>
    <s v="SJMOB Property Management"/>
    <x v="0"/>
    <m/>
    <n v="3377.96"/>
    <n v="3615.27"/>
    <n v="3377.96"/>
    <n v="3377.96"/>
    <n v="3378.32"/>
    <n v="3378.32"/>
    <n v="3423.86"/>
    <n v="3299.67"/>
    <n v="3718.21"/>
    <n v="3741.18"/>
    <n v="3739.8"/>
    <n v="3740.93"/>
    <n v="42169.440000000002"/>
    <n v="-1.1299999999996544"/>
  </r>
  <r>
    <x v="15"/>
    <x v="9"/>
    <x v="0"/>
    <s v="6051501"/>
    <n v="731060"/>
    <s v="Telephone"/>
    <s v="SJMOB Property Management"/>
    <x v="0"/>
    <m/>
    <n v="133.36000000000001"/>
    <n v="133.36000000000001"/>
    <n v="133.36000000000001"/>
    <n v="133.82"/>
    <n v="133.82"/>
    <n v="133.82"/>
    <n v="140.80000000000001"/>
    <n v="140.80000000000001"/>
    <n v="140.80000000000001"/>
    <n v="140.54"/>
    <n v="140.54"/>
    <n v="140.62"/>
    <n v="1645.6399999999999"/>
    <n v="-8.0000000000012506E-2"/>
  </r>
  <r>
    <x v="16"/>
    <x v="9"/>
    <x v="0"/>
    <s v="6051501"/>
    <n v="732030"/>
    <s v="Repairs---Other"/>
    <s v="SJMOB Property Management"/>
    <x v="0"/>
    <m/>
    <n v="794.34"/>
    <n v="346.69"/>
    <n v="893.9"/>
    <n v="4071.38"/>
    <n v="1482.09"/>
    <n v="3913.88"/>
    <n v="1360.42"/>
    <n v="1440.09"/>
    <n v="8358.65"/>
    <n v="1266.56"/>
    <n v="59.33"/>
    <n v="-6485.05"/>
    <n v="17502.280000000002"/>
    <n v="6544.38"/>
  </r>
  <r>
    <x v="16"/>
    <x v="9"/>
    <x v="0"/>
    <s v="6051501"/>
    <n v="732030"/>
    <s v="Repairs&amp;Maintenance-HVAC"/>
    <s v="SJMOB Property Management"/>
    <x v="0"/>
    <n v="5102"/>
    <n v="0"/>
    <n v="1114.76"/>
    <n v="0"/>
    <n v="0"/>
    <n v="0"/>
    <n v="0"/>
    <n v="0"/>
    <n v="0"/>
    <n v="0"/>
    <n v="5253.98"/>
    <n v="0"/>
    <n v="-5016.16"/>
    <n v="1352.58"/>
    <n v="5016.16"/>
  </r>
  <r>
    <x v="16"/>
    <x v="9"/>
    <x v="0"/>
    <s v="6051501"/>
    <n v="732030"/>
    <s v="Repairs&amp;Maintenance-Plumbing"/>
    <s v="SJMOB Property Management"/>
    <x v="0"/>
    <n v="5103"/>
    <n v="0"/>
    <n v="0"/>
    <n v="261.49"/>
    <n v="0"/>
    <n v="0"/>
    <n v="222.95"/>
    <n v="0"/>
    <n v="0"/>
    <n v="0"/>
    <n v="331.95"/>
    <n v="4249.8599999999997"/>
    <n v="-4212.42"/>
    <n v="853.82999999999993"/>
    <n v="8462.2799999999988"/>
  </r>
  <r>
    <x v="16"/>
    <x v="9"/>
    <x v="0"/>
    <s v="6051501"/>
    <n v="733030"/>
    <s v="Maintenance Contract-HVAC"/>
    <s v="SJMOB Property Management"/>
    <x v="0"/>
    <n v="5102"/>
    <n v="5767.03"/>
    <n v="0"/>
    <n v="0"/>
    <n v="5377.28"/>
    <n v="0"/>
    <n v="0"/>
    <n v="5377.28"/>
    <n v="1114.76"/>
    <n v="0"/>
    <n v="1114.76"/>
    <n v="0"/>
    <n v="10759.45"/>
    <n v="29510.559999999998"/>
    <n v="-10759.45"/>
  </r>
  <r>
    <x v="16"/>
    <x v="9"/>
    <x v="0"/>
    <s v="6051501"/>
    <n v="733030"/>
    <s v="Maintenance Contract-Landscape General"/>
    <s v="SJMOB Property Management"/>
    <x v="0"/>
    <n v="5105"/>
    <n v="475.82"/>
    <n v="1180.46"/>
    <n v="1836.92"/>
    <n v="475.82"/>
    <n v="0"/>
    <n v="951.64"/>
    <n v="475.82"/>
    <n v="485.34"/>
    <n v="0"/>
    <n v="0"/>
    <n v="970.24"/>
    <n v="971.12"/>
    <n v="7823.1799999999994"/>
    <n v="-0.87999999999999545"/>
  </r>
  <r>
    <x v="16"/>
    <x v="9"/>
    <x v="0"/>
    <s v="6051501"/>
    <n v="733030"/>
    <s v="Maintenance Contract-Parking"/>
    <s v="SJMOB Property Management"/>
    <x v="0"/>
    <n v="5106"/>
    <n v="0"/>
    <n v="0"/>
    <n v="0"/>
    <n v="0"/>
    <n v="0"/>
    <n v="0"/>
    <n v="188.55"/>
    <n v="672.99"/>
    <n v="999.16"/>
    <n v="2987.42"/>
    <n v="2543.31"/>
    <n v="99.09"/>
    <n v="7490.52"/>
    <n v="2444.2199999999998"/>
  </r>
  <r>
    <x v="13"/>
    <x v="9"/>
    <x v="0"/>
    <s v="6051501"/>
    <n v="735050"/>
    <s v="Amortization-Leasehold Improvements"/>
    <s v="SJMOB Property Management"/>
    <x v="0"/>
    <m/>
    <n v="905.85"/>
    <n v="905.85"/>
    <n v="905.85"/>
    <n v="905.85"/>
    <n v="905.85"/>
    <n v="905.85"/>
    <n v="905.86"/>
    <n v="905.84"/>
    <n v="905.87"/>
    <n v="905.84"/>
    <n v="905.87"/>
    <n v="905.83"/>
    <n v="10870.210000000001"/>
    <n v="3.999999999996362E-2"/>
  </r>
  <r>
    <x v="0"/>
    <x v="9"/>
    <x v="0"/>
    <s v="6051501"/>
    <n v="749510"/>
    <s v="Licenses"/>
    <s v="SJMOB Property Management"/>
    <x v="0"/>
    <n v="1002"/>
    <n v="0"/>
    <n v="0"/>
    <n v="0"/>
    <n v="-1461.28"/>
    <n v="0"/>
    <n v="0"/>
    <n v="0"/>
    <n v="0"/>
    <n v="0"/>
    <n v="0"/>
    <n v="0"/>
    <n v="0"/>
    <n v="-1461.28"/>
    <n v="0"/>
  </r>
  <r>
    <x v="0"/>
    <x v="9"/>
    <x v="0"/>
    <s v="6051501"/>
    <n v="749510"/>
    <s v="Miscellaneous Expense"/>
    <s v="SJMOB Property Management"/>
    <x v="0"/>
    <n v="1009"/>
    <n v="129.5"/>
    <n v="16880.63"/>
    <n v="16880.63"/>
    <n v="-15444.31"/>
    <n v="0"/>
    <n v="247.07"/>
    <n v="0"/>
    <n v="5376.56"/>
    <n v="51.19"/>
    <n v="0"/>
    <n v="0"/>
    <n v="17168.330000000002"/>
    <n v="41289.600000000006"/>
    <n v="-17168.330000000002"/>
  </r>
  <r>
    <x v="0"/>
    <x v="9"/>
    <x v="0"/>
    <s v="6051501"/>
    <n v="749510"/>
    <s v="Monitoring - Fire"/>
    <s v="SJMOB Property Management"/>
    <x v="0"/>
    <n v="5102"/>
    <n v="0"/>
    <n v="0"/>
    <n v="0"/>
    <n v="0"/>
    <n v="0"/>
    <n v="0"/>
    <n v="0"/>
    <n v="0"/>
    <n v="231"/>
    <n v="0"/>
    <n v="0"/>
    <n v="0"/>
    <n v="231"/>
    <n v="0"/>
  </r>
  <r>
    <x v="0"/>
    <x v="9"/>
    <x v="0"/>
    <s v="6051501"/>
    <n v="749510"/>
    <s v="Monitoring - Security"/>
    <s v="SJMOB Property Management"/>
    <x v="0"/>
    <n v="5103"/>
    <n v="0"/>
    <n v="0"/>
    <n v="0"/>
    <n v="210"/>
    <n v="0"/>
    <n v="0"/>
    <n v="0"/>
    <n v="0"/>
    <n v="0"/>
    <n v="0"/>
    <n v="0"/>
    <n v="0"/>
    <n v="210"/>
    <n v="0"/>
  </r>
  <r>
    <x v="14"/>
    <x v="5"/>
    <x v="0"/>
    <s v="6052106"/>
    <n v="600026"/>
    <s v="Rental Revenue-Non-Taxable"/>
    <s v="Highline Medical Park"/>
    <x v="0"/>
    <m/>
    <n v="-19898.91"/>
    <n v="-19898.91"/>
    <n v="-19898.91"/>
    <n v="-19898.91"/>
    <n v="-19898.91"/>
    <n v="-4067.57"/>
    <n v="-4067.57"/>
    <n v="0"/>
    <n v="0"/>
    <n v="75634.36"/>
    <n v="0"/>
    <n v="0"/>
    <n v="-31995.330000000016"/>
    <n v="0"/>
  </r>
  <r>
    <x v="14"/>
    <x v="5"/>
    <x v="0"/>
    <s v="6052106"/>
    <n v="600026"/>
    <s v="POB Rental"/>
    <s v="Highline Medical Park"/>
    <x v="0"/>
    <n v="1001"/>
    <n v="0"/>
    <n v="0"/>
    <n v="0"/>
    <n v="0"/>
    <n v="0"/>
    <n v="-12008.75"/>
    <n v="-12015.08"/>
    <n v="-14818.47"/>
    <n v="-14818.47"/>
    <n v="-74892.160000000003"/>
    <n v="-14848.41"/>
    <n v="-14848.41"/>
    <n v="-158249.75"/>
    <n v="0"/>
  </r>
  <r>
    <x v="14"/>
    <x v="5"/>
    <x v="0"/>
    <s v="6052106"/>
    <n v="600026"/>
    <s v="Other Rental"/>
    <s v="Highline Medical Park"/>
    <x v="0"/>
    <n v="1002"/>
    <n v="0"/>
    <n v="0"/>
    <n v="0"/>
    <n v="0"/>
    <n v="0"/>
    <n v="-4105.0200000000004"/>
    <n v="-4105.0200000000004"/>
    <n v="-5369.2"/>
    <n v="-5369.2"/>
    <n v="-25894.3"/>
    <n v="-5369.2"/>
    <n v="-5369.2"/>
    <n v="-55581.14"/>
    <n v="0"/>
  </r>
  <r>
    <x v="5"/>
    <x v="5"/>
    <x v="0"/>
    <s v="6052106"/>
    <n v="700038"/>
    <s v="Salaries-Service/Support-Productive"/>
    <s v="Highline Medical Park"/>
    <x v="0"/>
    <m/>
    <n v="0"/>
    <n v="0"/>
    <n v="170.16"/>
    <n v="-170.16"/>
    <n v="0"/>
    <n v="0"/>
    <n v="0"/>
    <n v="0"/>
    <n v="0"/>
    <n v="0"/>
    <n v="0"/>
    <n v="0"/>
    <n v="0"/>
    <n v="0"/>
  </r>
  <r>
    <x v="5"/>
    <x v="5"/>
    <x v="0"/>
    <s v="6052106"/>
    <n v="700038"/>
    <s v="Salaries-Service/Support-Other"/>
    <s v="Highline Medical Park"/>
    <x v="0"/>
    <n v="2000"/>
    <n v="0"/>
    <n v="0"/>
    <n v="16.3"/>
    <n v="-16.3"/>
    <n v="0"/>
    <n v="0"/>
    <n v="0"/>
    <n v="0"/>
    <n v="0"/>
    <n v="0"/>
    <n v="0"/>
    <n v="0"/>
    <n v="0"/>
    <n v="0"/>
  </r>
  <r>
    <x v="6"/>
    <x v="5"/>
    <x v="0"/>
    <s v="6052106"/>
    <n v="713010"/>
    <s v="Benefits-FICA/Medicare"/>
    <s v="Highline Medical Park"/>
    <x v="0"/>
    <m/>
    <n v="0"/>
    <n v="0"/>
    <n v="13.68"/>
    <n v="-13.68"/>
    <n v="0"/>
    <n v="0"/>
    <n v="0"/>
    <n v="0"/>
    <n v="0"/>
    <n v="0"/>
    <n v="0"/>
    <n v="0"/>
    <n v="0"/>
    <n v="0"/>
  </r>
  <r>
    <x v="6"/>
    <x v="5"/>
    <x v="0"/>
    <s v="6052106"/>
    <n v="713090"/>
    <s v="Benefits-Allocated Amounts"/>
    <s v="Highline Medical Park"/>
    <x v="0"/>
    <m/>
    <n v="0"/>
    <n v="0"/>
    <n v="53.86"/>
    <n v="-53.86"/>
    <n v="0"/>
    <n v="0"/>
    <n v="0"/>
    <n v="0"/>
    <n v="0"/>
    <n v="0"/>
    <n v="0"/>
    <n v="0"/>
    <n v="0"/>
    <n v="0"/>
  </r>
  <r>
    <x v="7"/>
    <x v="5"/>
    <x v="0"/>
    <s v="6052106"/>
    <n v="718050"/>
    <s v="Cleaning Services"/>
    <s v="Highline Medical Park"/>
    <x v="0"/>
    <n v="1011"/>
    <n v="0"/>
    <n v="1000"/>
    <n v="1000"/>
    <n v="1000"/>
    <n v="1000"/>
    <n v="1000"/>
    <n v="1000"/>
    <n v="1000"/>
    <n v="1000"/>
    <n v="1000"/>
    <n v="1000"/>
    <n v="1000"/>
    <n v="11000"/>
    <n v="0"/>
  </r>
  <r>
    <x v="7"/>
    <x v="5"/>
    <x v="0"/>
    <s v="6052106"/>
    <n v="718050"/>
    <s v="Pest Control"/>
    <s v="Highline Medical Park"/>
    <x v="0"/>
    <n v="1014"/>
    <n v="0"/>
    <n v="0"/>
    <n v="0"/>
    <n v="121"/>
    <n v="60.5"/>
    <n v="0"/>
    <n v="60.5"/>
    <n v="60.5"/>
    <n v="60.5"/>
    <n v="60.5"/>
    <n v="0"/>
    <n v="60.5"/>
    <n v="484"/>
    <n v="-60.5"/>
  </r>
  <r>
    <x v="11"/>
    <x v="5"/>
    <x v="0"/>
    <s v="6052106"/>
    <n v="721830"/>
    <s v="Supplies-Office"/>
    <s v="Highline Medical Park"/>
    <x v="0"/>
    <m/>
    <n v="0"/>
    <n v="0"/>
    <n v="0"/>
    <n v="0"/>
    <n v="0"/>
    <n v="0"/>
    <n v="0"/>
    <n v="0"/>
    <n v="1106.4000000000001"/>
    <n v="0"/>
    <n v="0"/>
    <n v="0"/>
    <n v="1106.4000000000001"/>
    <n v="0"/>
  </r>
  <r>
    <x v="11"/>
    <x v="5"/>
    <x v="0"/>
    <s v="6052106"/>
    <n v="721870"/>
    <s v="Supplies-Environmental Services"/>
    <s v="Highline Medical Park"/>
    <x v="0"/>
    <m/>
    <n v="0"/>
    <n v="55.1"/>
    <n v="0"/>
    <n v="306.99"/>
    <n v="0"/>
    <n v="0"/>
    <n v="0"/>
    <n v="0"/>
    <n v="0"/>
    <n v="0"/>
    <n v="0"/>
    <n v="0"/>
    <n v="362.09000000000003"/>
    <n v="0"/>
  </r>
  <r>
    <x v="15"/>
    <x v="5"/>
    <x v="0"/>
    <s v="6052106"/>
    <n v="731020"/>
    <s v="Electricity"/>
    <s v="Highline Medical Park"/>
    <x v="0"/>
    <m/>
    <n v="2752.57"/>
    <n v="2775.74"/>
    <n v="2539.9699999999998"/>
    <n v="2600.92"/>
    <n v="2587.75"/>
    <n v="3217.38"/>
    <n v="2719.89"/>
    <n v="4868.63"/>
    <n v="3788.12"/>
    <n v="2399.06"/>
    <n v="1936.6"/>
    <n v="3542.35"/>
    <n v="35728.979999999996"/>
    <n v="-1605.75"/>
  </r>
  <r>
    <x v="15"/>
    <x v="5"/>
    <x v="0"/>
    <s v="6052106"/>
    <n v="731030"/>
    <s v="Water"/>
    <s v="Highline Medical Park"/>
    <x v="0"/>
    <m/>
    <n v="597.16999999999996"/>
    <n v="0"/>
    <n v="597.16999999999996"/>
    <n v="0"/>
    <n v="576.52"/>
    <n v="0"/>
    <n v="576.52"/>
    <n v="0"/>
    <n v="568.26"/>
    <n v="0"/>
    <n v="613.07000000000005"/>
    <n v="0"/>
    <n v="3528.7100000000005"/>
    <n v="613.07000000000005"/>
  </r>
  <r>
    <x v="15"/>
    <x v="5"/>
    <x v="0"/>
    <s v="6052106"/>
    <n v="731040"/>
    <s v="Sewer"/>
    <s v="Highline Medical Park"/>
    <x v="0"/>
    <m/>
    <n v="104.17"/>
    <n v="0"/>
    <n v="104.17"/>
    <n v="0"/>
    <n v="104.17"/>
    <n v="0"/>
    <n v="104.17"/>
    <n v="0"/>
    <n v="114.83"/>
    <n v="0"/>
    <n v="118.83"/>
    <n v="0"/>
    <n v="650.34"/>
    <n v="118.83"/>
  </r>
  <r>
    <x v="15"/>
    <x v="5"/>
    <x v="0"/>
    <s v="6052106"/>
    <n v="731050"/>
    <s v="Refuse Disposal"/>
    <s v="Highline Medical Park"/>
    <x v="0"/>
    <m/>
    <n v="1367.2"/>
    <n v="1367.2"/>
    <n v="1367.2"/>
    <n v="1367.2"/>
    <n v="1367.2"/>
    <n v="1367.2"/>
    <n v="1367.2"/>
    <n v="1420.95"/>
    <n v="1420.95"/>
    <n v="1633.77"/>
    <n v="1633.77"/>
    <n v="1633.77"/>
    <n v="17313.610000000004"/>
    <n v="0"/>
  </r>
  <r>
    <x v="16"/>
    <x v="5"/>
    <x v="0"/>
    <s v="6052106"/>
    <n v="732030"/>
    <s v="Repairs---Other"/>
    <s v="Highline Medical Park"/>
    <x v="0"/>
    <m/>
    <n v="0"/>
    <n v="0"/>
    <n v="637.52"/>
    <n v="452.37"/>
    <n v="0"/>
    <n v="355.81"/>
    <n v="142.87"/>
    <n v="0"/>
    <n v="509.48"/>
    <n v="0"/>
    <n v="0"/>
    <n v="0"/>
    <n v="2098.0499999999997"/>
    <n v="0"/>
  </r>
  <r>
    <x v="16"/>
    <x v="5"/>
    <x v="0"/>
    <s v="6052106"/>
    <n v="732030"/>
    <s v="Repairs&amp;Maintenance-HVAC"/>
    <s v="Highline Medical Park"/>
    <x v="0"/>
    <n v="5102"/>
    <n v="0"/>
    <n v="259.60000000000002"/>
    <n v="0"/>
    <n v="0"/>
    <n v="0"/>
    <n v="204.05"/>
    <n v="0"/>
    <n v="0"/>
    <n v="0"/>
    <n v="0"/>
    <n v="491.04"/>
    <n v="426.25"/>
    <n v="1380.94"/>
    <n v="64.79000000000002"/>
  </r>
  <r>
    <x v="16"/>
    <x v="5"/>
    <x v="0"/>
    <s v="6052106"/>
    <n v="732030"/>
    <s v="Repairs&amp;Maintenance-Plumbing"/>
    <s v="Highline Medical Park"/>
    <x v="0"/>
    <n v="5103"/>
    <n v="0"/>
    <n v="0"/>
    <n v="0"/>
    <n v="0"/>
    <n v="0"/>
    <n v="0"/>
    <n v="0"/>
    <n v="0"/>
    <n v="7.68"/>
    <n v="0"/>
    <n v="0"/>
    <n v="0"/>
    <n v="7.68"/>
    <n v="0"/>
  </r>
  <r>
    <x v="16"/>
    <x v="5"/>
    <x v="0"/>
    <s v="6052106"/>
    <n v="733030"/>
    <s v="Maintenance Contract-HVAC"/>
    <s v="Highline Medical Park"/>
    <x v="0"/>
    <n v="5102"/>
    <n v="0"/>
    <n v="0"/>
    <n v="1639.02"/>
    <n v="0"/>
    <n v="654.51"/>
    <n v="0"/>
    <n v="0"/>
    <n v="0"/>
    <n v="654.51"/>
    <n v="0"/>
    <n v="0"/>
    <n v="0"/>
    <n v="2948.04"/>
    <n v="0"/>
  </r>
  <r>
    <x v="16"/>
    <x v="5"/>
    <x v="0"/>
    <s v="6052106"/>
    <n v="733030"/>
    <s v="Maintenance Contract-Parking"/>
    <s v="Highline Medical Park"/>
    <x v="0"/>
    <n v="5106"/>
    <n v="0"/>
    <n v="0"/>
    <n v="0"/>
    <n v="0"/>
    <n v="0"/>
    <n v="0"/>
    <n v="0"/>
    <n v="0"/>
    <n v="85.72"/>
    <n v="0"/>
    <n v="0"/>
    <n v="0"/>
    <n v="85.72"/>
    <n v="0"/>
  </r>
  <r>
    <x v="8"/>
    <x v="5"/>
    <x v="0"/>
    <s v="6052106"/>
    <n v="741010"/>
    <s v="Liability Insurance-CHI Programs"/>
    <s v="Highline Medical Park"/>
    <x v="0"/>
    <m/>
    <n v="98.45"/>
    <n v="98.45"/>
    <n v="134.51"/>
    <n v="110.47"/>
    <n v="110.47"/>
    <n v="110.47"/>
    <n v="110.47"/>
    <n v="110.47"/>
    <n v="110.47"/>
    <n v="110.47"/>
    <n v="110.47"/>
    <n v="110.47"/>
    <n v="1325.64"/>
    <n v="0"/>
  </r>
  <r>
    <x v="8"/>
    <x v="5"/>
    <x v="0"/>
    <s v="6052106"/>
    <n v="741030"/>
    <s v="Property Insurance-CHI Programs"/>
    <s v="Highline Medical Park"/>
    <x v="0"/>
    <m/>
    <n v="383.87"/>
    <n v="383.87"/>
    <n v="191.81"/>
    <n v="319.85000000000002"/>
    <n v="319.85000000000002"/>
    <n v="319.85000000000002"/>
    <n v="319.85000000000002"/>
    <n v="319.85000000000002"/>
    <n v="319.85000000000002"/>
    <n v="319.85000000000002"/>
    <n v="319.85000000000002"/>
    <n v="319.85000000000002"/>
    <n v="3838.1999999999994"/>
    <n v="0"/>
  </r>
  <r>
    <x v="0"/>
    <x v="5"/>
    <x v="0"/>
    <s v="6052106"/>
    <n v="749510"/>
    <s v="Miscellaneous Expenses"/>
    <s v="Highline Medical Park"/>
    <x v="0"/>
    <m/>
    <n v="0"/>
    <n v="0"/>
    <n v="0"/>
    <n v="0"/>
    <n v="0"/>
    <n v="0"/>
    <n v="0"/>
    <n v="0"/>
    <n v="2240.6999999999998"/>
    <n v="0"/>
    <n v="0"/>
    <n v="0"/>
    <n v="2240.6999999999998"/>
    <n v="0"/>
  </r>
  <r>
    <x v="0"/>
    <x v="5"/>
    <x v="0"/>
    <s v="6052106"/>
    <n v="749510"/>
    <s v="Miscellaneous Expense"/>
    <s v="Highline Medical Park"/>
    <x v="0"/>
    <n v="1009"/>
    <n v="42.37"/>
    <n v="1100"/>
    <n v="1382.7"/>
    <n v="254.61"/>
    <n v="0"/>
    <n v="4030"/>
    <n v="0"/>
    <n v="0"/>
    <n v="65.510000000000005"/>
    <n v="0"/>
    <n v="0"/>
    <n v="0"/>
    <n v="6875.1900000000005"/>
    <n v="0"/>
  </r>
  <r>
    <x v="0"/>
    <x v="5"/>
    <x v="0"/>
    <s v="6052106"/>
    <n v="766010"/>
    <s v="Property Tax"/>
    <s v="Highline Medical Park"/>
    <x v="0"/>
    <m/>
    <n v="5231.25"/>
    <n v="5231.25"/>
    <n v="5231.25"/>
    <n v="5231.25"/>
    <n v="5231.25"/>
    <n v="5231.25"/>
    <n v="5231.25"/>
    <n v="5231.25"/>
    <n v="5231.25"/>
    <n v="2433"/>
    <n v="4531.6899999999996"/>
    <n v="4531.6899999999996"/>
    <n v="58577.630000000005"/>
    <n v="0"/>
  </r>
  <r>
    <x v="7"/>
    <x v="6"/>
    <x v="0"/>
    <s v="6052107"/>
    <n v="718050"/>
    <s v="Miscellaneous Purchased Svcs"/>
    <s v="Healthcare Office Bldg-Poulsbo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6052107"/>
    <n v="721980"/>
    <s v="Supplies-Other"/>
    <s v="Healthcare Office Bldg-Poulsbo"/>
    <x v="0"/>
    <m/>
    <n v="0"/>
    <n v="0"/>
    <n v="0"/>
    <n v="0"/>
    <n v="0"/>
    <n v="0"/>
    <n v="0"/>
    <n v="0"/>
    <n v="0"/>
    <n v="0"/>
    <n v="0"/>
    <n v="0"/>
    <n v="0"/>
    <n v="0"/>
  </r>
  <r>
    <x v="16"/>
    <x v="6"/>
    <x v="0"/>
    <s v="6052107"/>
    <n v="732030"/>
    <s v="Repairs---Other"/>
    <s v="Healthcare Office Bldg-Poulsbo"/>
    <x v="0"/>
    <m/>
    <n v="0"/>
    <n v="0"/>
    <n v="0"/>
    <n v="0"/>
    <n v="0"/>
    <n v="0"/>
    <n v="0"/>
    <n v="0"/>
    <n v="0"/>
    <n v="0"/>
    <n v="0"/>
    <n v="0"/>
    <n v="0"/>
    <n v="0"/>
  </r>
  <r>
    <x v="7"/>
    <x v="9"/>
    <x v="0"/>
    <s v="6052501"/>
    <n v="718050"/>
    <s v="Contract Svcs-Other"/>
    <s v="FESC Building"/>
    <x v="0"/>
    <m/>
    <n v="0"/>
    <n v="0"/>
    <n v="136"/>
    <n v="0"/>
    <n v="0"/>
    <n v="0"/>
    <n v="0"/>
    <n v="308"/>
    <n v="0"/>
    <n v="146"/>
    <n v="0"/>
    <n v="0"/>
    <n v="590"/>
    <n v="0"/>
  </r>
  <r>
    <x v="7"/>
    <x v="9"/>
    <x v="0"/>
    <s v="6052501"/>
    <n v="718050"/>
    <s v="Cleaning Services"/>
    <s v="FESC Building"/>
    <x v="0"/>
    <n v="1011"/>
    <n v="20275.98"/>
    <n v="10137.99"/>
    <n v="10137.99"/>
    <n v="10137.99"/>
    <n v="0"/>
    <n v="10190.49"/>
    <n v="10137.99"/>
    <n v="20275.98"/>
    <n v="0"/>
    <n v="10137.99"/>
    <n v="10137.99"/>
    <n v="20275.98"/>
    <n v="131846.37"/>
    <n v="-10137.99"/>
  </r>
  <r>
    <x v="7"/>
    <x v="9"/>
    <x v="0"/>
    <s v="6052501"/>
    <n v="718050"/>
    <s v="Pest Control"/>
    <s v="FESC Building"/>
    <x v="0"/>
    <n v="1014"/>
    <n v="0"/>
    <n v="128.91"/>
    <n v="0"/>
    <n v="114.68"/>
    <n v="255.52"/>
    <n v="222.49"/>
    <n v="57.34"/>
    <n v="57.34"/>
    <n v="114.68"/>
    <n v="0"/>
    <n v="57.39"/>
    <n v="0"/>
    <n v="1008.35"/>
    <n v="57.39"/>
  </r>
  <r>
    <x v="7"/>
    <x v="9"/>
    <x v="0"/>
    <s v="6052501"/>
    <n v="718050"/>
    <s v="Security"/>
    <s v="FESC Building"/>
    <x v="0"/>
    <n v="1019"/>
    <n v="14133.12"/>
    <n v="14803.92"/>
    <n v="14638.96"/>
    <n v="14298.08"/>
    <n v="0"/>
    <n v="14638.96"/>
    <n v="29147.57"/>
    <n v="0"/>
    <n v="28032.240000000002"/>
    <n v="0"/>
    <n v="14566.67"/>
    <n v="28990.49"/>
    <n v="173250.01"/>
    <n v="-14423.820000000002"/>
  </r>
  <r>
    <x v="7"/>
    <x v="9"/>
    <x v="0"/>
    <s v="6052501"/>
    <n v="718050"/>
    <s v="Purchased Service-Fire/Life Safety Test"/>
    <s v="FESC Building"/>
    <x v="0"/>
    <n v="5101"/>
    <n v="0"/>
    <n v="0"/>
    <n v="169.65"/>
    <n v="0"/>
    <n v="0"/>
    <n v="3021.57"/>
    <n v="0"/>
    <n v="0"/>
    <n v="0"/>
    <n v="0"/>
    <n v="0"/>
    <n v="0"/>
    <n v="3191.2200000000003"/>
    <n v="0"/>
  </r>
  <r>
    <x v="11"/>
    <x v="9"/>
    <x v="0"/>
    <s v="6052501"/>
    <n v="721830"/>
    <s v="Supplies-Office"/>
    <s v="FESC Building"/>
    <x v="0"/>
    <m/>
    <n v="0"/>
    <n v="0"/>
    <n v="1750.81"/>
    <n v="0"/>
    <n v="0"/>
    <n v="0"/>
    <n v="0"/>
    <n v="0"/>
    <n v="0"/>
    <n v="0"/>
    <n v="0"/>
    <n v="0"/>
    <n v="1750.81"/>
    <n v="0"/>
  </r>
  <r>
    <x v="11"/>
    <x v="9"/>
    <x v="0"/>
    <s v="6052501"/>
    <n v="721870"/>
    <s v="Supplies-Environmental Services"/>
    <s v="FESC Building"/>
    <x v="0"/>
    <m/>
    <n v="2742.11"/>
    <n v="1823.16"/>
    <n v="0"/>
    <n v="1895.75"/>
    <n v="0"/>
    <n v="376.94"/>
    <n v="2965.14"/>
    <n v="4732.4399999999996"/>
    <n v="2411.98"/>
    <n v="9158.93"/>
    <n v="827.13"/>
    <n v="0"/>
    <n v="26933.58"/>
    <n v="827.13"/>
  </r>
  <r>
    <x v="15"/>
    <x v="9"/>
    <x v="0"/>
    <s v="6052501"/>
    <n v="731020"/>
    <s v="Electricity"/>
    <s v="FESC Building"/>
    <x v="0"/>
    <m/>
    <n v="15024.49"/>
    <n v="16398.830000000002"/>
    <n v="11969.49"/>
    <n v="15925.04"/>
    <n v="11773.97"/>
    <n v="16020.04"/>
    <n v="15278.38"/>
    <n v="17190.11"/>
    <n v="13732.32"/>
    <n v="15101.75"/>
    <n v="14618.3"/>
    <n v="12253.65"/>
    <n v="175286.36999999997"/>
    <n v="2364.6499999999996"/>
  </r>
  <r>
    <x v="15"/>
    <x v="9"/>
    <x v="0"/>
    <s v="6052501"/>
    <n v="731030"/>
    <s v="Water"/>
    <s v="FESC Building"/>
    <x v="0"/>
    <m/>
    <n v="1757.9"/>
    <n v="2661.2"/>
    <n v="2397.31"/>
    <n v="2420.56"/>
    <n v="1790.71"/>
    <n v="1817.88"/>
    <n v="1661.23"/>
    <n v="1874.81"/>
    <n v="1722.78"/>
    <n v="1729.73"/>
    <n v="1759.71"/>
    <n v="2500.3200000000002"/>
    <n v="24094.14"/>
    <n v="-740.61000000000013"/>
  </r>
  <r>
    <x v="15"/>
    <x v="9"/>
    <x v="0"/>
    <s v="6052501"/>
    <n v="731040"/>
    <s v="Sewer"/>
    <s v="FESC Building"/>
    <x v="0"/>
    <m/>
    <n v="4153.92"/>
    <n v="7038.68"/>
    <n v="6195.92"/>
    <n v="6270.16"/>
    <n v="4258.67"/>
    <n v="4281.59"/>
    <n v="3845.19"/>
    <n v="4206.67"/>
    <n v="3969.18"/>
    <n v="4054.82"/>
    <n v="4150.09"/>
    <n v="6503.68"/>
    <n v="58928.57"/>
    <n v="-2353.59"/>
  </r>
  <r>
    <x v="15"/>
    <x v="9"/>
    <x v="0"/>
    <s v="6052501"/>
    <n v="731050"/>
    <s v="Refuse Disposal"/>
    <s v="FESC Building"/>
    <x v="0"/>
    <m/>
    <n v="19.5"/>
    <n v="19.5"/>
    <n v="19.5"/>
    <n v="19.5"/>
    <n v="19.5"/>
    <n v="19.5"/>
    <n v="19.5"/>
    <n v="19.5"/>
    <n v="19.5"/>
    <n v="19.5"/>
    <n v="19.5"/>
    <n v="19.5"/>
    <n v="234"/>
    <n v="0"/>
  </r>
  <r>
    <x v="15"/>
    <x v="9"/>
    <x v="0"/>
    <s v="6052501"/>
    <n v="731060"/>
    <s v="Telephone"/>
    <s v="FESC Building"/>
    <x v="0"/>
    <m/>
    <n v="284.19"/>
    <n v="288.39999999999998"/>
    <n v="281.14999999999998"/>
    <n v="282.45999999999998"/>
    <n v="282.19"/>
    <n v="282.32"/>
    <n v="282.27999999999997"/>
    <n v="282.27999999999997"/>
    <n v="282.49"/>
    <n v="281.83999999999997"/>
    <n v="281.92"/>
    <n v="294.14"/>
    <n v="3405.6599999999994"/>
    <n v="-12.21999999999997"/>
  </r>
  <r>
    <x v="16"/>
    <x v="9"/>
    <x v="0"/>
    <s v="6052501"/>
    <n v="732030"/>
    <s v="Repairs---Other"/>
    <s v="FESC Building"/>
    <x v="0"/>
    <m/>
    <n v="15914.67"/>
    <n v="0"/>
    <n v="86.23"/>
    <n v="1425.55"/>
    <n v="0"/>
    <n v="660.98"/>
    <n v="593.55999999999995"/>
    <n v="-1356.59"/>
    <n v="409.05"/>
    <n v="426.09"/>
    <n v="541.88"/>
    <n v="286.45999999999998"/>
    <n v="18987.88"/>
    <n v="255.42000000000002"/>
  </r>
  <r>
    <x v="16"/>
    <x v="9"/>
    <x v="0"/>
    <s v="6052501"/>
    <n v="732030"/>
    <s v="Repairs&amp;Maintenance-Electrical"/>
    <s v="FESC Building"/>
    <x v="0"/>
    <n v="5100"/>
    <n v="0"/>
    <n v="857.68"/>
    <n v="0"/>
    <n v="0"/>
    <n v="0"/>
    <n v="0"/>
    <n v="0"/>
    <n v="0"/>
    <n v="0"/>
    <n v="0"/>
    <n v="694.73"/>
    <n v="0"/>
    <n v="1552.4099999999999"/>
    <n v="694.73"/>
  </r>
  <r>
    <x v="16"/>
    <x v="9"/>
    <x v="0"/>
    <s v="6052501"/>
    <n v="732030"/>
    <s v="Repairs&amp;Maintenance-HVAC"/>
    <s v="FESC Building"/>
    <x v="0"/>
    <n v="5102"/>
    <n v="0"/>
    <n v="0"/>
    <n v="178.36"/>
    <n v="8828.93"/>
    <n v="0"/>
    <n v="3410.9"/>
    <n v="3375.65"/>
    <n v="2540.46"/>
    <n v="4140.05"/>
    <n v="2439.9"/>
    <n v="3154.27"/>
    <n v="5119.75"/>
    <n v="33188.270000000004"/>
    <n v="-1965.48"/>
  </r>
  <r>
    <x v="16"/>
    <x v="9"/>
    <x v="0"/>
    <s v="6052501"/>
    <n v="732030"/>
    <s v="Repairs&amp;Maintenance-Plumbing"/>
    <s v="FESC Building"/>
    <x v="0"/>
    <n v="5103"/>
    <n v="0"/>
    <n v="520.33000000000004"/>
    <n v="0"/>
    <n v="1576.63"/>
    <n v="136.63999999999999"/>
    <n v="0"/>
    <n v="0"/>
    <n v="0"/>
    <n v="1338.82"/>
    <n v="0"/>
    <n v="0"/>
    <n v="0"/>
    <n v="3572.42"/>
    <n v="0"/>
  </r>
  <r>
    <x v="16"/>
    <x v="9"/>
    <x v="0"/>
    <s v="6052501"/>
    <n v="732030"/>
    <s v="Repairs&amp;Maintenance-Security"/>
    <s v="FESC Building"/>
    <x v="0"/>
    <n v="5104"/>
    <n v="0"/>
    <n v="0"/>
    <n v="0"/>
    <n v="0"/>
    <n v="0"/>
    <n v="0"/>
    <n v="0"/>
    <n v="0"/>
    <n v="0"/>
    <n v="0"/>
    <n v="0"/>
    <n v="285.42"/>
    <n v="285.42"/>
    <n v="-285.42"/>
  </r>
  <r>
    <x v="16"/>
    <x v="9"/>
    <x v="0"/>
    <s v="6052501"/>
    <n v="733030"/>
    <s v="Maintenance Contracts-Other"/>
    <s v="FESC Building"/>
    <x v="0"/>
    <m/>
    <n v="0"/>
    <n v="0"/>
    <n v="0"/>
    <n v="0"/>
    <n v="0"/>
    <n v="0"/>
    <n v="0"/>
    <n v="0"/>
    <n v="0"/>
    <n v="8020.23"/>
    <n v="0"/>
    <n v="0"/>
    <n v="8020.23"/>
    <n v="0"/>
  </r>
  <r>
    <x v="16"/>
    <x v="9"/>
    <x v="0"/>
    <s v="6052501"/>
    <n v="733030"/>
    <s v="Maintenance Contract-HVAC"/>
    <s v="FESC Building"/>
    <x v="0"/>
    <n v="5102"/>
    <n v="7250.36"/>
    <n v="990.9"/>
    <n v="495.45"/>
    <n v="8280.91"/>
    <n v="0"/>
    <n v="495.45"/>
    <n v="7999.59"/>
    <n v="1149.96"/>
    <n v="0"/>
    <n v="502.14"/>
    <n v="502.6"/>
    <n v="15300.14"/>
    <n v="42967.5"/>
    <n v="-14797.539999999999"/>
  </r>
  <r>
    <x v="16"/>
    <x v="9"/>
    <x v="0"/>
    <s v="6052501"/>
    <n v="733030"/>
    <s v="Maintenance Contract-Landscape(Exterior)"/>
    <s v="FESC Building"/>
    <x v="0"/>
    <n v="5104"/>
    <n v="0"/>
    <n v="0"/>
    <n v="0"/>
    <n v="0"/>
    <n v="0"/>
    <n v="0"/>
    <n v="0"/>
    <n v="0"/>
    <n v="0"/>
    <n v="0"/>
    <n v="0"/>
    <n v="1889.47"/>
    <n v="1889.47"/>
    <n v="-1889.47"/>
  </r>
  <r>
    <x v="16"/>
    <x v="9"/>
    <x v="0"/>
    <s v="6052501"/>
    <n v="733030"/>
    <s v="Maintenance Contract-Landscape General"/>
    <s v="FESC Building"/>
    <x v="0"/>
    <n v="5105"/>
    <n v="1913.63"/>
    <n v="3827.26"/>
    <n v="752.62"/>
    <n v="1913.63"/>
    <n v="4845.0200000000004"/>
    <n v="3827.26"/>
    <n v="1913.63"/>
    <n v="1951.91"/>
    <n v="0"/>
    <n v="4967.6899999999996"/>
    <n v="1953.68"/>
    <n v="3905.59"/>
    <n v="31771.919999999998"/>
    <n v="-1951.91"/>
  </r>
  <r>
    <x v="16"/>
    <x v="9"/>
    <x v="0"/>
    <s v="6052501"/>
    <n v="733030"/>
    <s v="Maintenance Contract-Parking"/>
    <s v="FESC Building"/>
    <x v="0"/>
    <n v="5106"/>
    <n v="0"/>
    <n v="0"/>
    <n v="1913.63"/>
    <n v="0"/>
    <n v="0"/>
    <n v="0"/>
    <n v="510.59"/>
    <n v="3193.19"/>
    <n v="0"/>
    <n v="10689.33"/>
    <n v="10363.709999999999"/>
    <n v="506.46"/>
    <n v="27176.909999999996"/>
    <n v="9857.25"/>
  </r>
  <r>
    <x v="13"/>
    <x v="9"/>
    <x v="0"/>
    <s v="6052501"/>
    <n v="735020"/>
    <s v="Depreciation-Land Improvements"/>
    <s v="FESC Building"/>
    <x v="0"/>
    <m/>
    <n v="101.5"/>
    <n v="101.5"/>
    <n v="101.5"/>
    <n v="101.5"/>
    <n v="101.5"/>
    <n v="101.5"/>
    <n v="101.5"/>
    <n v="101.5"/>
    <n v="101.5"/>
    <n v="101.5"/>
    <n v="101.51"/>
    <n v="101.5"/>
    <n v="1218.01"/>
    <n v="1.0000000000005116E-2"/>
  </r>
  <r>
    <x v="13"/>
    <x v="9"/>
    <x v="0"/>
    <s v="6052501"/>
    <n v="735040"/>
    <s v="Depreciation-Building Improvements"/>
    <s v="FESC Building"/>
    <x v="0"/>
    <m/>
    <n v="13793.05"/>
    <n v="13793.05"/>
    <n v="13793.05"/>
    <n v="13793.05"/>
    <n v="13793.05"/>
    <n v="13793.05"/>
    <n v="13793.05"/>
    <n v="13793.05"/>
    <n v="13793.06"/>
    <n v="13793.05"/>
    <n v="13793.06"/>
    <n v="13793.05"/>
    <n v="165516.62"/>
    <n v="1.0000000000218279E-2"/>
  </r>
  <r>
    <x v="13"/>
    <x v="9"/>
    <x v="0"/>
    <s v="6052501"/>
    <n v="735050"/>
    <s v="Amortization-Leasehold Improvements"/>
    <s v="FESC Building"/>
    <x v="0"/>
    <m/>
    <n v="360.36"/>
    <n v="360.36"/>
    <n v="360.36"/>
    <n v="599.72"/>
    <n v="599.72"/>
    <n v="680.46"/>
    <n v="680.46"/>
    <n v="680.46"/>
    <n v="680.46"/>
    <n v="680.46"/>
    <n v="680.46"/>
    <n v="680.45"/>
    <n v="7043.73"/>
    <n v="9.9999999999909051E-3"/>
  </r>
  <r>
    <x v="13"/>
    <x v="9"/>
    <x v="0"/>
    <s v="6052501"/>
    <n v="735060"/>
    <s v="Depreciation-Fixed Equipment"/>
    <s v="FESC Building"/>
    <x v="0"/>
    <m/>
    <n v="41.08"/>
    <n v="41.08"/>
    <n v="41.08"/>
    <n v="41.08"/>
    <n v="41.09"/>
    <n v="41.08"/>
    <n v="41.09"/>
    <n v="41.08"/>
    <n v="41.09"/>
    <n v="41.08"/>
    <n v="41.09"/>
    <n v="41.08"/>
    <n v="492.99999999999994"/>
    <n v="1.0000000000005116E-2"/>
  </r>
  <r>
    <x v="13"/>
    <x v="9"/>
    <x v="0"/>
    <s v="6052501"/>
    <n v="735070"/>
    <s v="Depreciation-Movable Equipment"/>
    <s v="FESC Building"/>
    <x v="0"/>
    <m/>
    <n v="12148.34"/>
    <n v="12148.32"/>
    <n v="12148.34"/>
    <n v="12148.32"/>
    <n v="12148.34"/>
    <n v="12148.32"/>
    <n v="11672.28"/>
    <n v="11672.26"/>
    <n v="11672.29"/>
    <n v="11672.26"/>
    <n v="11672.29"/>
    <n v="11672.25"/>
    <n v="142923.60999999999"/>
    <n v="4.0000000000873115E-2"/>
  </r>
  <r>
    <x v="0"/>
    <x v="9"/>
    <x v="0"/>
    <s v="6052501"/>
    <n v="749510"/>
    <s v="Miscellaneous Expense"/>
    <s v="FESC Building"/>
    <x v="0"/>
    <n v="1009"/>
    <n v="16875.900000000001"/>
    <n v="586.16999999999996"/>
    <n v="7558.37"/>
    <n v="1950.97"/>
    <n v="185.9"/>
    <n v="185.9"/>
    <n v="0"/>
    <n v="6967.81"/>
    <n v="1065.3"/>
    <n v="0"/>
    <n v="500"/>
    <n v="0"/>
    <n v="35876.320000000007"/>
    <n v="500"/>
  </r>
  <r>
    <x v="14"/>
    <x v="5"/>
    <x v="0"/>
    <s v="6053106"/>
    <n v="600026"/>
    <s v="POB Rental"/>
    <s v="Highline Brookside Building"/>
    <x v="0"/>
    <n v="1001"/>
    <n v="-3704.67"/>
    <n v="-3704.67"/>
    <n v="-3704.67"/>
    <n v="-3704.67"/>
    <n v="-3704.67"/>
    <n v="-2950"/>
    <n v="-2950"/>
    <n v="-2950"/>
    <n v="-2950"/>
    <n v="823.35"/>
    <n v="-2666.67"/>
    <n v="-3233.33"/>
    <n v="-35400"/>
    <n v="566.65999999999985"/>
  </r>
  <r>
    <x v="14"/>
    <x v="5"/>
    <x v="0"/>
    <s v="6053106"/>
    <n v="600026"/>
    <s v="Other Rental"/>
    <s v="Highline Brookside Building"/>
    <x v="0"/>
    <n v="1002"/>
    <n v="-80.180000000000007"/>
    <n v="-80.180000000000007"/>
    <n v="-80.180000000000007"/>
    <n v="-80.180000000000007"/>
    <n v="-80.180000000000007"/>
    <n v="-834.85"/>
    <n v="-834.85"/>
    <n v="-834.85"/>
    <n v="-834.85"/>
    <n v="-4608.2"/>
    <n v="-754.67"/>
    <n v="-915.03"/>
    <n v="-10018.200000000001"/>
    <n v="160.36000000000001"/>
  </r>
  <r>
    <x v="7"/>
    <x v="5"/>
    <x v="0"/>
    <s v="6053106"/>
    <n v="718050"/>
    <s v="Pest Control"/>
    <s v="Highline Brookside Building"/>
    <x v="0"/>
    <n v="1014"/>
    <n v="0"/>
    <n v="0"/>
    <n v="0"/>
    <n v="0"/>
    <n v="0"/>
    <n v="60.5"/>
    <n v="0"/>
    <n v="60.5"/>
    <n v="0"/>
    <n v="0"/>
    <n v="0"/>
    <n v="0"/>
    <n v="121"/>
    <n v="0"/>
  </r>
  <r>
    <x v="7"/>
    <x v="5"/>
    <x v="0"/>
    <s v="6053106"/>
    <n v="718050"/>
    <s v="Security"/>
    <s v="Highline Brookside Building"/>
    <x v="0"/>
    <n v="1019"/>
    <n v="0"/>
    <n v="0"/>
    <n v="0"/>
    <n v="0"/>
    <n v="0"/>
    <n v="0"/>
    <n v="0"/>
    <n v="0"/>
    <n v="0"/>
    <n v="0"/>
    <n v="0"/>
    <n v="0"/>
    <n v="0"/>
    <n v="0"/>
  </r>
  <r>
    <x v="7"/>
    <x v="5"/>
    <x v="0"/>
    <s v="6053106"/>
    <n v="718050"/>
    <s v="Miscellaneous Purchased Svcs"/>
    <s v="Highline Brookside Building"/>
    <x v="0"/>
    <n v="1020"/>
    <n v="0"/>
    <n v="0"/>
    <n v="0"/>
    <n v="0"/>
    <n v="1325.25"/>
    <n v="0"/>
    <n v="0"/>
    <n v="74.540000000000006"/>
    <n v="0"/>
    <n v="0"/>
    <n v="0"/>
    <n v="0"/>
    <n v="1399.79"/>
    <n v="0"/>
  </r>
  <r>
    <x v="7"/>
    <x v="5"/>
    <x v="0"/>
    <s v="6053106"/>
    <n v="718050"/>
    <s v="Purchased Service-Fire Equipment"/>
    <s v="Highline Brookside Building"/>
    <x v="0"/>
    <n v="5100"/>
    <n v="0"/>
    <n v="0"/>
    <n v="0"/>
    <n v="0"/>
    <n v="0"/>
    <n v="0"/>
    <n v="341"/>
    <n v="0"/>
    <n v="0"/>
    <n v="0"/>
    <n v="0"/>
    <n v="0"/>
    <n v="341"/>
    <n v="0"/>
  </r>
  <r>
    <x v="15"/>
    <x v="5"/>
    <x v="0"/>
    <s v="6053106"/>
    <n v="731020"/>
    <s v="Electricity"/>
    <s v="Highline Brookside Building"/>
    <x v="0"/>
    <m/>
    <n v="3.89"/>
    <n v="2063.48"/>
    <n v="3.89"/>
    <n v="330.47"/>
    <n v="3.89"/>
    <n v="460.59"/>
    <n v="3.89"/>
    <n v="835.7"/>
    <n v="3.89"/>
    <n v="1071.79"/>
    <n v="3.89"/>
    <n v="604.04999999999995"/>
    <n v="5389.42"/>
    <n v="-600.16"/>
  </r>
  <r>
    <x v="15"/>
    <x v="5"/>
    <x v="0"/>
    <s v="6053106"/>
    <n v="731030"/>
    <s v="Water"/>
    <s v="Highline Brookside Building"/>
    <x v="0"/>
    <m/>
    <n v="611.4"/>
    <n v="0"/>
    <n v="636.17999999999995"/>
    <n v="0"/>
    <n v="570.1"/>
    <n v="0"/>
    <n v="623.79"/>
    <n v="0"/>
    <n v="578.36"/>
    <n v="0"/>
    <n v="653.74"/>
    <n v="0"/>
    <n v="3673.5699999999997"/>
    <n v="653.74"/>
  </r>
  <r>
    <x v="15"/>
    <x v="5"/>
    <x v="0"/>
    <s v="6053106"/>
    <n v="731040"/>
    <s v="Sewer"/>
    <s v="Highline Brookside Building"/>
    <x v="0"/>
    <m/>
    <n v="352.83"/>
    <n v="0"/>
    <n v="352.83"/>
    <n v="0"/>
    <n v="352.83"/>
    <n v="0"/>
    <n v="352.83"/>
    <n v="0"/>
    <n v="438.17"/>
    <n v="0"/>
    <n v="442.17"/>
    <n v="0"/>
    <n v="2291.66"/>
    <n v="442.17"/>
  </r>
  <r>
    <x v="15"/>
    <x v="5"/>
    <x v="0"/>
    <s v="6053106"/>
    <n v="731050"/>
    <s v="Refuse Disposal"/>
    <s v="Highline Brookside Building"/>
    <x v="0"/>
    <m/>
    <n v="0"/>
    <n v="0"/>
    <n v="0"/>
    <n v="0"/>
    <n v="0"/>
    <n v="0"/>
    <n v="555.35"/>
    <n v="0"/>
    <n v="0"/>
    <n v="0"/>
    <n v="0"/>
    <n v="0"/>
    <n v="555.35"/>
    <n v="0"/>
  </r>
  <r>
    <x v="16"/>
    <x v="5"/>
    <x v="0"/>
    <s v="6053106"/>
    <n v="732030"/>
    <s v="Repairs---Other"/>
    <s v="Highline Brookside Building"/>
    <x v="0"/>
    <m/>
    <n v="0"/>
    <n v="0"/>
    <n v="1729.2"/>
    <n v="858.83"/>
    <n v="0"/>
    <n v="0"/>
    <n v="0"/>
    <n v="530.76"/>
    <n v="200.6"/>
    <n v="0"/>
    <n v="0"/>
    <n v="0"/>
    <n v="3319.39"/>
    <n v="0"/>
  </r>
  <r>
    <x v="16"/>
    <x v="5"/>
    <x v="0"/>
    <s v="6053106"/>
    <n v="732030"/>
    <s v="Repairs&amp;Maintenance-HVAC"/>
    <s v="Highline Brookside Building"/>
    <x v="0"/>
    <n v="5102"/>
    <n v="0"/>
    <n v="220.55"/>
    <n v="0"/>
    <n v="0"/>
    <n v="0"/>
    <n v="0"/>
    <n v="0"/>
    <n v="0"/>
    <n v="0"/>
    <n v="0"/>
    <n v="0"/>
    <n v="0"/>
    <n v="220.55"/>
    <n v="0"/>
  </r>
  <r>
    <x v="16"/>
    <x v="5"/>
    <x v="0"/>
    <s v="6053106"/>
    <n v="733030"/>
    <s v="Maintenance Contract-HVAC"/>
    <s v="Highline Brookside Building"/>
    <x v="0"/>
    <n v="5102"/>
    <n v="0"/>
    <n v="0"/>
    <n v="0"/>
    <n v="0"/>
    <n v="0"/>
    <n v="0"/>
    <n v="0"/>
    <n v="1636.8"/>
    <n v="220.55"/>
    <n v="0"/>
    <n v="0"/>
    <n v="0"/>
    <n v="1857.35"/>
    <n v="0"/>
  </r>
  <r>
    <x v="16"/>
    <x v="5"/>
    <x v="0"/>
    <s v="6053106"/>
    <n v="733030"/>
    <s v="Maintenance Contract-Parking"/>
    <s v="Highline Brookside Building"/>
    <x v="0"/>
    <n v="5106"/>
    <n v="0"/>
    <n v="0"/>
    <n v="0"/>
    <n v="0"/>
    <n v="0"/>
    <n v="0"/>
    <n v="0"/>
    <n v="0"/>
    <n v="98.91"/>
    <n v="0"/>
    <n v="0"/>
    <n v="0"/>
    <n v="98.91"/>
    <n v="0"/>
  </r>
  <r>
    <x v="8"/>
    <x v="5"/>
    <x v="0"/>
    <s v="6053106"/>
    <n v="741010"/>
    <s v="Liability Insurance-CHI Programs"/>
    <s v="Highline Brookside Building"/>
    <x v="0"/>
    <m/>
    <n v="65.42"/>
    <n v="65.42"/>
    <n v="89.4"/>
    <n v="73.41"/>
    <n v="73.41"/>
    <n v="73.41"/>
    <n v="73.41"/>
    <n v="73.41"/>
    <n v="73.41"/>
    <n v="73.41"/>
    <n v="73.41"/>
    <n v="73.41"/>
    <n v="880.92999999999972"/>
    <n v="0"/>
  </r>
  <r>
    <x v="8"/>
    <x v="5"/>
    <x v="0"/>
    <s v="6053106"/>
    <n v="741030"/>
    <s v="Property Insurance-CHI Programs"/>
    <s v="Highline Brookside Building"/>
    <x v="0"/>
    <m/>
    <n v="255.11"/>
    <n v="255.11"/>
    <n v="127.46"/>
    <n v="212.56"/>
    <n v="212.56"/>
    <n v="212.56"/>
    <n v="212.56"/>
    <n v="212.56"/>
    <n v="212.56"/>
    <n v="212.56"/>
    <n v="212.56"/>
    <n v="212.56"/>
    <n v="2550.7199999999998"/>
    <n v="0"/>
  </r>
  <r>
    <x v="0"/>
    <x v="5"/>
    <x v="0"/>
    <s v="6053106"/>
    <n v="749510"/>
    <s v="Miscellaneous Expense"/>
    <s v="Highline Brookside Building"/>
    <x v="0"/>
    <n v="1009"/>
    <n v="0"/>
    <n v="0"/>
    <n v="0"/>
    <n v="0"/>
    <n v="185.9"/>
    <n v="185.9"/>
    <n v="0"/>
    <n v="0"/>
    <n v="102.39"/>
    <n v="0"/>
    <n v="0"/>
    <n v="0"/>
    <n v="474.19"/>
    <n v="0"/>
  </r>
  <r>
    <x v="0"/>
    <x v="5"/>
    <x v="0"/>
    <s v="6053106"/>
    <n v="766010"/>
    <s v="Property Tax"/>
    <s v="Highline Brookside Building"/>
    <x v="0"/>
    <m/>
    <n v="24.65"/>
    <n v="24.65"/>
    <n v="24.65"/>
    <n v="24.65"/>
    <n v="24.65"/>
    <n v="24.65"/>
    <n v="24.65"/>
    <n v="24.65"/>
    <n v="24.65"/>
    <n v="28.48"/>
    <n v="25.6"/>
    <n v="25.6"/>
    <n v="301.53000000000003"/>
    <n v="0"/>
  </r>
  <r>
    <x v="7"/>
    <x v="6"/>
    <x v="0"/>
    <s v="6054107"/>
    <n v="718050"/>
    <s v="Cleaning Services"/>
    <s v="Professional Office Building"/>
    <x v="0"/>
    <n v="1011"/>
    <n v="3018.49"/>
    <n v="5342.55"/>
    <n v="3445"/>
    <n v="2904.93"/>
    <n v="3035.68"/>
    <n v="0"/>
    <n v="6093.79"/>
    <n v="2724.78"/>
    <n v="6062.79"/>
    <n v="3038.47"/>
    <n v="3168.04"/>
    <n v="2734.67"/>
    <n v="41569.19"/>
    <n v="433.36999999999989"/>
  </r>
  <r>
    <x v="11"/>
    <x v="6"/>
    <x v="0"/>
    <s v="6054107"/>
    <n v="721810"/>
    <s v="Supplies-Dietary/Cafeteria"/>
    <s v="Professional Office Building"/>
    <x v="0"/>
    <m/>
    <n v="480.36"/>
    <n v="1060.29"/>
    <n v="906.5"/>
    <n v="1028.5899999999999"/>
    <n v="1015.34"/>
    <n v="892.3"/>
    <n v="743.52"/>
    <n v="1087.97"/>
    <n v="752.75"/>
    <n v="1057.07"/>
    <n v="1397.45"/>
    <n v="419.53"/>
    <n v="10841.670000000002"/>
    <n v="977.92000000000007"/>
  </r>
  <r>
    <x v="11"/>
    <x v="6"/>
    <x v="0"/>
    <s v="6054107"/>
    <n v="721980"/>
    <s v="Supplies-Other"/>
    <s v="Professional Office Building"/>
    <x v="0"/>
    <m/>
    <n v="0"/>
    <n v="388.39"/>
    <n v="0"/>
    <n v="0"/>
    <n v="0"/>
    <n v="0"/>
    <n v="-388.39"/>
    <n v="0"/>
    <n v="0"/>
    <n v="0"/>
    <n v="0"/>
    <n v="0"/>
    <n v="0"/>
    <n v="0"/>
  </r>
  <r>
    <x v="12"/>
    <x v="6"/>
    <x v="0"/>
    <s v="6054107"/>
    <n v="730010"/>
    <s v="Rental and Leases-Building (DO NOT USE)"/>
    <s v="Professional Office Building"/>
    <x v="0"/>
    <m/>
    <n v="44209"/>
    <n v="48035"/>
    <n v="48035"/>
    <n v="48035"/>
    <n v="48035"/>
    <n v="-38610.019999999997"/>
    <n v="37946.67"/>
    <n v="37946.67"/>
    <n v="37946.67"/>
    <n v="40967.269999999997"/>
    <n v="40967.269999999997"/>
    <n v="0"/>
    <n v="393513.53"/>
    <n v="40967.269999999997"/>
  </r>
  <r>
    <x v="12"/>
    <x v="6"/>
    <x v="0"/>
    <s v="6054107"/>
    <n v="730010"/>
    <s v="Rental-Common Area Maint (DO NOT USE)"/>
    <s v="Professional Office Building"/>
    <x v="0"/>
    <n v="2200"/>
    <n v="0"/>
    <n v="0"/>
    <n v="0"/>
    <n v="0"/>
    <n v="0"/>
    <n v="86645.02"/>
    <n v="10088.33"/>
    <n v="14448"/>
    <n v="10303.200000000001"/>
    <n v="10983"/>
    <n v="10983"/>
    <n v="0"/>
    <n v="143450.54999999999"/>
    <n v="10983"/>
  </r>
  <r>
    <x v="12"/>
    <x v="6"/>
    <x v="0"/>
    <s v="6054107"/>
    <n v="730020"/>
    <s v="Rental and Leases-Equipment (DO NOT USE)"/>
    <s v="Professional Office Building"/>
    <x v="0"/>
    <m/>
    <n v="66.209999999999994"/>
    <n v="66.22"/>
    <n v="66.209999999999994"/>
    <n v="66.22"/>
    <n v="43.4"/>
    <n v="0"/>
    <n v="132.28"/>
    <n v="0"/>
    <n v="66.040000000000006"/>
    <n v="66.040000000000006"/>
    <n v="66.040000000000006"/>
    <n v="0"/>
    <n v="638.66"/>
    <n v="66.040000000000006"/>
  </r>
  <r>
    <x v="12"/>
    <x v="6"/>
    <x v="0"/>
    <s v="6054107"/>
    <n v="730040"/>
    <s v="LT Lease-Real Estate"/>
    <s v="Professional Office Building"/>
    <x v="0"/>
    <m/>
    <n v="0"/>
    <n v="0"/>
    <n v="0"/>
    <n v="0"/>
    <n v="0"/>
    <n v="0"/>
    <n v="0"/>
    <n v="0"/>
    <n v="0"/>
    <n v="0"/>
    <n v="0"/>
    <n v="51950.27"/>
    <n v="51950.27"/>
    <n v="-51950.27"/>
  </r>
  <r>
    <x v="15"/>
    <x v="6"/>
    <x v="0"/>
    <s v="6054107"/>
    <n v="731010"/>
    <s v="Natural Gas"/>
    <s v="Professional Office Building"/>
    <x v="0"/>
    <m/>
    <n v="102.9"/>
    <n v="33.96"/>
    <n v="106.68"/>
    <n v="335.94"/>
    <n v="587.20000000000005"/>
    <n v="885.11"/>
    <n v="1087.96"/>
    <n v="1366.01"/>
    <n v="1013.28"/>
    <n v="610.77"/>
    <n v="363.54"/>
    <n v="163.9"/>
    <n v="6657.2499999999991"/>
    <n v="199.64000000000001"/>
  </r>
  <r>
    <x v="15"/>
    <x v="6"/>
    <x v="0"/>
    <s v="6054107"/>
    <n v="731020"/>
    <s v="Electricity"/>
    <s v="Professional Office Building"/>
    <x v="0"/>
    <m/>
    <n v="4942.42"/>
    <n v="5828.07"/>
    <n v="5552.71"/>
    <n v="5974.11"/>
    <n v="5496.63"/>
    <n v="5671.3"/>
    <n v="4961.0200000000004"/>
    <n v="5066.93"/>
    <n v="5173.08"/>
    <n v="5103.93"/>
    <n v="4649.8999999999996"/>
    <n v="4429.34"/>
    <n v="62849.440000000017"/>
    <n v="220.55999999999949"/>
  </r>
  <r>
    <x v="15"/>
    <x v="6"/>
    <x v="0"/>
    <s v="6054107"/>
    <n v="731030"/>
    <s v="Water"/>
    <s v="Professional Office Building"/>
    <x v="0"/>
    <m/>
    <n v="0"/>
    <n v="199.11"/>
    <n v="0"/>
    <n v="266.93"/>
    <n v="74.47"/>
    <n v="230.76"/>
    <n v="0"/>
    <n v="170.17"/>
    <n v="0"/>
    <n v="161.25"/>
    <n v="0"/>
    <n v="170.17"/>
    <n v="1272.8600000000001"/>
    <n v="-170.17"/>
  </r>
  <r>
    <x v="15"/>
    <x v="6"/>
    <x v="0"/>
    <s v="6054107"/>
    <n v="731040"/>
    <s v="Sewer"/>
    <s v="Professional Office Building"/>
    <x v="0"/>
    <m/>
    <n v="0"/>
    <n v="2638.57"/>
    <n v="0"/>
    <n v="2560.9699999999998"/>
    <n v="0"/>
    <n v="2711.32"/>
    <n v="0"/>
    <n v="2744.9"/>
    <n v="0"/>
    <n v="2724.9"/>
    <n v="0"/>
    <n v="2744.9"/>
    <n v="16125.56"/>
    <n v="-2744.9"/>
  </r>
  <r>
    <x v="15"/>
    <x v="6"/>
    <x v="0"/>
    <s v="6054107"/>
    <n v="731050"/>
    <s v="Refuse Disposal"/>
    <s v="Professional Office Building"/>
    <x v="0"/>
    <m/>
    <n v="1135.98"/>
    <n v="1148.55"/>
    <n v="1150.6500000000001"/>
    <n v="1144.98"/>
    <n v="1155.29"/>
    <n v="1153.25"/>
    <n v="1147.6600000000001"/>
    <n v="1151.0999999999999"/>
    <n v="1156.3"/>
    <n v="1171.52"/>
    <n v="1187.8599999999999"/>
    <n v="1205.3399999999999"/>
    <n v="13908.48"/>
    <n v="-17.480000000000018"/>
  </r>
  <r>
    <x v="15"/>
    <x v="6"/>
    <x v="0"/>
    <s v="6054107"/>
    <n v="731060"/>
    <s v="Telephone"/>
    <s v="Professional Office Building"/>
    <x v="0"/>
    <m/>
    <n v="5170.58"/>
    <n v="15561.93"/>
    <n v="1510.58"/>
    <n v="2492.79"/>
    <n v="2387.8000000000002"/>
    <n v="1947.27"/>
    <n v="2864.01"/>
    <n v="2123.5300000000002"/>
    <n v="2470.6999999999998"/>
    <n v="2437.35"/>
    <n v="2592.84"/>
    <n v="2023.85"/>
    <n v="43583.23"/>
    <n v="568.99000000000024"/>
  </r>
  <r>
    <x v="16"/>
    <x v="6"/>
    <x v="0"/>
    <s v="6054107"/>
    <n v="732030"/>
    <s v="Repairs---Other"/>
    <s v="Professional Office Building"/>
    <x v="0"/>
    <m/>
    <n v="0"/>
    <n v="256.02"/>
    <n v="526.03"/>
    <n v="939.83"/>
    <n v="0"/>
    <n v="61.31"/>
    <n v="845.84"/>
    <n v="1516.19"/>
    <n v="1810.61"/>
    <n v="0"/>
    <n v="0"/>
    <n v="0"/>
    <n v="5955.83"/>
    <n v="0"/>
  </r>
  <r>
    <x v="16"/>
    <x v="6"/>
    <x v="0"/>
    <s v="6054107"/>
    <n v="732030"/>
    <s v="Repairs&amp;Maintenance-HVAC"/>
    <s v="Professional Office Building"/>
    <x v="0"/>
    <n v="5102"/>
    <n v="0"/>
    <n v="117.72"/>
    <n v="294.3"/>
    <n v="850.2"/>
    <n v="0"/>
    <n v="1092.18"/>
    <n v="353.16"/>
    <n v="2491.7399999999998"/>
    <n v="0"/>
    <n v="0"/>
    <n v="940.13"/>
    <n v="256.14999999999998"/>
    <n v="6395.579999999999"/>
    <n v="683.98"/>
  </r>
  <r>
    <x v="16"/>
    <x v="6"/>
    <x v="0"/>
    <s v="6054107"/>
    <n v="733030"/>
    <s v="Maintenance Contract-Elevator"/>
    <s v="Professional Office Building"/>
    <x v="0"/>
    <n v="5101"/>
    <n v="0"/>
    <n v="0"/>
    <n v="0"/>
    <n v="0"/>
    <n v="0"/>
    <n v="0"/>
    <n v="1177.9000000000001"/>
    <n v="0"/>
    <n v="0"/>
    <n v="0"/>
    <n v="0"/>
    <n v="0"/>
    <n v="1177.9000000000001"/>
    <n v="0"/>
  </r>
  <r>
    <x v="16"/>
    <x v="6"/>
    <x v="0"/>
    <s v="6054107"/>
    <n v="733030"/>
    <s v="Maintenance Contract-HVAC"/>
    <s v="Professional Office Building"/>
    <x v="0"/>
    <n v="5102"/>
    <n v="0"/>
    <n v="1624.1"/>
    <n v="0"/>
    <n v="1624.1"/>
    <n v="0"/>
    <n v="0"/>
    <n v="0"/>
    <n v="0"/>
    <n v="0"/>
    <n v="1624.1"/>
    <n v="1624.1"/>
    <n v="0"/>
    <n v="6496.4"/>
    <n v="1624.1"/>
  </r>
  <r>
    <x v="13"/>
    <x v="6"/>
    <x v="0"/>
    <s v="6054107"/>
    <n v="735050"/>
    <s v="Amortization-Leasehold Improvements"/>
    <s v="Professional Office Building"/>
    <x v="0"/>
    <m/>
    <n v="18559.98"/>
    <n v="18519.919999999998"/>
    <n v="18519.919999999998"/>
    <n v="18519.91"/>
    <n v="18519.93"/>
    <n v="18519.900000000001"/>
    <n v="18519.939999999999"/>
    <n v="18519.89"/>
    <n v="18519.96"/>
    <n v="18519.88"/>
    <n v="18519.96"/>
    <n v="18519.88"/>
    <n v="222279.07"/>
    <n v="7.9999999998108251E-2"/>
  </r>
  <r>
    <x v="13"/>
    <x v="6"/>
    <x v="0"/>
    <s v="6054107"/>
    <n v="735070"/>
    <s v="Depreciation-Movable Equipment"/>
    <s v="Professional Office Building"/>
    <x v="0"/>
    <m/>
    <n v="8298.7199999999993"/>
    <n v="7835.38"/>
    <n v="7835.39"/>
    <n v="7835.37"/>
    <n v="7835.45"/>
    <n v="7835.36"/>
    <n v="7835.47"/>
    <n v="7835.35"/>
    <n v="7835.49"/>
    <n v="7835.34"/>
    <n v="7835.51"/>
    <n v="7835.32"/>
    <n v="94488.15"/>
    <n v="0.19000000000050932"/>
  </r>
  <r>
    <x v="0"/>
    <x v="6"/>
    <x v="0"/>
    <s v="6054107"/>
    <n v="749510"/>
    <s v="Miscellaneous Expenses"/>
    <s v="Professional Office Building"/>
    <x v="0"/>
    <m/>
    <n v="0"/>
    <n v="826.5"/>
    <n v="0"/>
    <n v="0"/>
    <n v="0"/>
    <n v="0"/>
    <n v="0"/>
    <n v="0"/>
    <n v="25.65"/>
    <n v="0"/>
    <n v="0"/>
    <n v="0"/>
    <n v="852.15"/>
    <n v="0"/>
  </r>
  <r>
    <x v="0"/>
    <x v="6"/>
    <x v="0"/>
    <s v="6054107"/>
    <n v="749510"/>
    <s v="Miscellaneous Expense"/>
    <s v="Professional Office Building"/>
    <x v="0"/>
    <n v="1009"/>
    <n v="15.12"/>
    <n v="0"/>
    <n v="0"/>
    <n v="2694.48"/>
    <n v="2500"/>
    <n v="0"/>
    <n v="0"/>
    <n v="0"/>
    <n v="102.4"/>
    <n v="0"/>
    <n v="0"/>
    <n v="0"/>
    <n v="5312"/>
    <n v="0"/>
  </r>
  <r>
    <x v="7"/>
    <x v="6"/>
    <x v="0"/>
    <s v="6056107"/>
    <n v="718050"/>
    <s v="Miscellaneous Purchased Svcs"/>
    <s v="Facilities Ops-PO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6056107"/>
    <n v="721980"/>
    <s v="Supplies-Other"/>
    <s v="Facilities Ops-PO"/>
    <x v="0"/>
    <m/>
    <n v="0"/>
    <n v="0"/>
    <n v="0"/>
    <n v="0"/>
    <n v="0"/>
    <n v="0"/>
    <n v="0"/>
    <n v="0"/>
    <n v="0"/>
    <n v="0"/>
    <n v="0"/>
    <n v="0"/>
    <n v="0"/>
    <n v="0"/>
  </r>
  <r>
    <x v="15"/>
    <x v="6"/>
    <x v="0"/>
    <s v="6056107"/>
    <n v="731020"/>
    <s v="Electricity"/>
    <s v="Facilities Ops-PO"/>
    <x v="0"/>
    <m/>
    <n v="0"/>
    <n v="0"/>
    <n v="0"/>
    <n v="0"/>
    <n v="0"/>
    <n v="0"/>
    <n v="0"/>
    <n v="0"/>
    <n v="0"/>
    <n v="0"/>
    <n v="0"/>
    <n v="0"/>
    <n v="0"/>
    <n v="0"/>
  </r>
  <r>
    <x v="15"/>
    <x v="6"/>
    <x v="0"/>
    <s v="6056107"/>
    <n v="731030"/>
    <s v="Water"/>
    <s v="Facilities Ops-PO"/>
    <x v="0"/>
    <m/>
    <n v="0"/>
    <n v="0"/>
    <n v="0"/>
    <n v="0"/>
    <n v="0"/>
    <n v="0"/>
    <n v="0"/>
    <n v="0"/>
    <n v="0"/>
    <n v="0"/>
    <n v="0"/>
    <n v="0"/>
    <n v="0"/>
    <n v="0"/>
  </r>
  <r>
    <x v="15"/>
    <x v="6"/>
    <x v="0"/>
    <s v="6056107"/>
    <n v="731060"/>
    <s v="Telephone"/>
    <s v="Facilities Ops-PO"/>
    <x v="0"/>
    <m/>
    <n v="0"/>
    <n v="0"/>
    <n v="0"/>
    <n v="0"/>
    <n v="0"/>
    <n v="0"/>
    <n v="0"/>
    <n v="0"/>
    <n v="0"/>
    <n v="0"/>
    <n v="0"/>
    <n v="0"/>
    <n v="0"/>
    <n v="0"/>
  </r>
  <r>
    <x v="15"/>
    <x v="6"/>
    <x v="0"/>
    <s v="6056107"/>
    <n v="731070"/>
    <s v="Cable TV"/>
    <s v="Facilities Ops-PO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6056107"/>
    <n v="749510"/>
    <s v="Miscellaneous Expenses"/>
    <s v="Facilities Ops-PO"/>
    <x v="0"/>
    <m/>
    <n v="0"/>
    <n v="0"/>
    <n v="0"/>
    <n v="0"/>
    <n v="0"/>
    <n v="0"/>
    <n v="0"/>
    <n v="0"/>
    <n v="0"/>
    <n v="0"/>
    <n v="0"/>
    <n v="0"/>
    <n v="0"/>
    <n v="0"/>
  </r>
  <r>
    <x v="14"/>
    <x v="3"/>
    <x v="0"/>
    <s v="6060101"/>
    <n v="600050"/>
    <s v="Miscellaneous Revenue"/>
    <s v="Plant Ops &amp; Maintenance"/>
    <x v="0"/>
    <m/>
    <n v="-0.25"/>
    <n v="0"/>
    <n v="-94.5"/>
    <n v="-20.53"/>
    <n v="0"/>
    <n v="-19.77"/>
    <n v="0"/>
    <n v="-14.89"/>
    <n v="0"/>
    <n v="0"/>
    <n v="0"/>
    <n v="0"/>
    <n v="-149.94"/>
    <n v="0"/>
  </r>
  <r>
    <x v="5"/>
    <x v="3"/>
    <x v="0"/>
    <s v="6060101"/>
    <n v="700038"/>
    <s v="Salaries-Service/Support-Productive"/>
    <s v="Plant Ops &amp; Maintenance"/>
    <x v="0"/>
    <m/>
    <n v="82852.899999999994"/>
    <n v="89320.53"/>
    <n v="85757.07"/>
    <n v="89795.08"/>
    <n v="92236.59"/>
    <n v="75226.23"/>
    <n v="81808.81"/>
    <n v="76819.69"/>
    <n v="88648.57"/>
    <n v="88100.59"/>
    <n v="88069.08"/>
    <n v="87547.33"/>
    <n v="1026182.4699999999"/>
    <n v="521.75"/>
  </r>
  <r>
    <x v="5"/>
    <x v="3"/>
    <x v="0"/>
    <s v="6060101"/>
    <n v="700038"/>
    <s v="Salaries-Service/Support-OT"/>
    <s v="Plant Ops &amp; Maintenance"/>
    <x v="0"/>
    <n v="1000"/>
    <n v="1928.4"/>
    <n v="2527.2600000000002"/>
    <n v="1781.93"/>
    <n v="2112.04"/>
    <n v="274.06"/>
    <n v="635.66"/>
    <n v="273.89999999999998"/>
    <n v="1265.6500000000001"/>
    <n v="1189.31"/>
    <n v="426.49"/>
    <n v="1280.53"/>
    <n v="1624.29"/>
    <n v="15319.52"/>
    <n v="-343.76"/>
  </r>
  <r>
    <x v="5"/>
    <x v="3"/>
    <x v="0"/>
    <s v="6060101"/>
    <n v="700038"/>
    <s v="Salaries-Service/Support-Other"/>
    <s v="Plant Ops &amp; Maintenance"/>
    <x v="0"/>
    <n v="2000"/>
    <n v="3728.29"/>
    <n v="4149.99"/>
    <n v="2771.08"/>
    <n v="3291.28"/>
    <n v="2724.94"/>
    <n v="4086.06"/>
    <n v="3177.89"/>
    <n v="3080.83"/>
    <n v="3428.89"/>
    <n v="3674.88"/>
    <n v="2911.65"/>
    <n v="3062.48"/>
    <n v="40088.26"/>
    <n v="-150.82999999999993"/>
  </r>
  <r>
    <x v="5"/>
    <x v="3"/>
    <x v="0"/>
    <s v="6060101"/>
    <n v="700078"/>
    <s v="Salaries-Service/Support-Non-productive"/>
    <s v="Plant Ops &amp; Maintenance"/>
    <x v="0"/>
    <m/>
    <n v="18649.18"/>
    <n v="14373.9"/>
    <n v="10742.34"/>
    <n v="9461.2099999999991"/>
    <n v="4814.01"/>
    <n v="23062.81"/>
    <n v="16523.900000000001"/>
    <n v="10757.91"/>
    <n v="9599.06"/>
    <n v="9285.7999999999993"/>
    <n v="9058"/>
    <n v="10719.33"/>
    <n v="147047.44999999998"/>
    <n v="-1661.33"/>
  </r>
  <r>
    <x v="5"/>
    <x v="3"/>
    <x v="0"/>
    <s v="6060101"/>
    <n v="700078"/>
    <s v="Salaries-Service/Support-NonProd-Other"/>
    <s v="Plant Ops &amp; Maintenance"/>
    <x v="0"/>
    <n v="2000"/>
    <n v="254.92"/>
    <n v="249.96"/>
    <n v="590.23"/>
    <n v="125.38"/>
    <n v="340.75"/>
    <n v="927.74"/>
    <n v="614.21"/>
    <n v="326.44"/>
    <n v="157.58000000000001"/>
    <n v="897.56"/>
    <n v="227.21"/>
    <n v="974.78"/>
    <n v="5686.76"/>
    <n v="-747.56999999999994"/>
  </r>
  <r>
    <x v="5"/>
    <x v="3"/>
    <x v="0"/>
    <s v="6060101"/>
    <n v="700084"/>
    <s v="Accrued PTO"/>
    <s v="Plant Ops &amp; Maintenance"/>
    <x v="0"/>
    <m/>
    <n v="-4787.8100000000004"/>
    <n v="-2040.93"/>
    <n v="883.94"/>
    <n v="4762.7700000000004"/>
    <n v="5008.9399999999996"/>
    <n v="-4711.79"/>
    <n v="-554.63"/>
    <n v="452.29"/>
    <n v="2204.38"/>
    <n v="10853.25"/>
    <n v="1422.33"/>
    <n v="3964.78"/>
    <n v="17457.52"/>
    <n v="-2542.4500000000003"/>
  </r>
  <r>
    <x v="6"/>
    <x v="3"/>
    <x v="0"/>
    <s v="6060101"/>
    <n v="713010"/>
    <s v="Benefits-FICA/Medicare"/>
    <s v="Plant Ops &amp; Maintenance"/>
    <x v="0"/>
    <m/>
    <n v="7963.87"/>
    <n v="8209.0400000000009"/>
    <n v="7526.84"/>
    <n v="7763.04"/>
    <n v="7487.77"/>
    <n v="8181.69"/>
    <n v="7554.22"/>
    <n v="6808.41"/>
    <n v="7610.49"/>
    <n v="7567.05"/>
    <n v="7495.2"/>
    <n v="7849.36"/>
    <n v="92016.98000000001"/>
    <n v="-354.15999999999985"/>
  </r>
  <r>
    <x v="6"/>
    <x v="3"/>
    <x v="0"/>
    <s v="6060101"/>
    <n v="713090"/>
    <s v="Benefits-Allocated Amounts"/>
    <s v="Plant Ops &amp; Maintenance"/>
    <x v="0"/>
    <m/>
    <n v="25842.959999999999"/>
    <n v="24436.19"/>
    <n v="25149.88"/>
    <n v="25433.439999999999"/>
    <n v="25042.51"/>
    <n v="23726.47"/>
    <n v="25830.880000000001"/>
    <n v="24939.119999999999"/>
    <n v="21063.09"/>
    <n v="26066.27"/>
    <n v="26994.54"/>
    <n v="26726.57"/>
    <n v="301251.92"/>
    <n v="267.97000000000116"/>
  </r>
  <r>
    <x v="7"/>
    <x v="3"/>
    <x v="0"/>
    <s v="6060101"/>
    <n v="718050"/>
    <s v="Contract Svcs-Other"/>
    <s v="Plant Ops &amp; Maintenance"/>
    <x v="0"/>
    <m/>
    <n v="15909.63"/>
    <n v="6996.23"/>
    <n v="10121.61"/>
    <n v="2082.69"/>
    <n v="5665.31"/>
    <n v="1085.3599999999999"/>
    <n v="13271.54"/>
    <n v="0"/>
    <n v="1148.56"/>
    <n v="2438.46"/>
    <n v="9808.1299999999992"/>
    <n v="17479.29"/>
    <n v="86006.81"/>
    <n v="-7671.1600000000017"/>
  </r>
  <r>
    <x v="7"/>
    <x v="3"/>
    <x v="0"/>
    <s v="6060101"/>
    <n v="718050"/>
    <s v="Cleaning Services"/>
    <s v="Plant Ops &amp; Maintenance"/>
    <x v="0"/>
    <n v="1011"/>
    <n v="66.37"/>
    <n v="464.59"/>
    <n v="464.59"/>
    <n v="24311.32"/>
    <n v="10703.58"/>
    <n v="6936.61"/>
    <n v="20880.93"/>
    <n v="6870.24"/>
    <n v="17877.27"/>
    <n v="10731.96"/>
    <n v="15968.07"/>
    <n v="14084.76"/>
    <n v="129360.29"/>
    <n v="1883.3099999999995"/>
  </r>
  <r>
    <x v="7"/>
    <x v="3"/>
    <x v="0"/>
    <s v="6060101"/>
    <n v="718050"/>
    <s v="Document Shredding/Storage"/>
    <s v="Plant Ops &amp; Maintenance"/>
    <x v="0"/>
    <n v="1012"/>
    <n v="0"/>
    <n v="5612.5"/>
    <n v="4257.25"/>
    <n v="5700.25"/>
    <n v="0"/>
    <n v="6691.75"/>
    <n v="0"/>
    <n v="3181"/>
    <n v="3984.5"/>
    <n v="0"/>
    <n v="3251.5"/>
    <n v="0"/>
    <n v="32678.75"/>
    <n v="3251.5"/>
  </r>
  <r>
    <x v="7"/>
    <x v="3"/>
    <x v="0"/>
    <s v="6060101"/>
    <n v="718050"/>
    <s v="Lawn Services"/>
    <s v="Plant Ops &amp; Maintenance"/>
    <x v="0"/>
    <n v="1013"/>
    <n v="18725.84"/>
    <n v="44345.55"/>
    <n v="61552.4"/>
    <n v="24811.09"/>
    <n v="70149.97"/>
    <n v="19060.13"/>
    <n v="28233.23"/>
    <n v="30108.17"/>
    <n v="40033.230000000003"/>
    <n v="58156.11"/>
    <n v="23003.69"/>
    <n v="41720.35"/>
    <n v="459899.75999999995"/>
    <n v="-18716.66"/>
  </r>
  <r>
    <x v="7"/>
    <x v="3"/>
    <x v="0"/>
    <s v="6060101"/>
    <n v="718050"/>
    <s v="Pest Control"/>
    <s v="Plant Ops &amp; Maintenance"/>
    <x v="0"/>
    <n v="1014"/>
    <n v="356.04"/>
    <n v="1842.59"/>
    <n v="2224.89"/>
    <n v="2534.2800000000002"/>
    <n v="991.23"/>
    <n v="1370.33"/>
    <n v="769.93"/>
    <n v="940.4"/>
    <n v="940.4"/>
    <n v="886.3"/>
    <n v="0"/>
    <n v="3305.52"/>
    <n v="16161.91"/>
    <n v="-3305.52"/>
  </r>
  <r>
    <x v="7"/>
    <x v="3"/>
    <x v="0"/>
    <s v="6060101"/>
    <n v="718050"/>
    <s v="Miscellaneous Purchased Svcs"/>
    <s v="Plant Ops &amp; Maintenance"/>
    <x v="0"/>
    <n v="1020"/>
    <n v="0"/>
    <n v="2850"/>
    <n v="1425"/>
    <n v="1425"/>
    <n v="2850"/>
    <n v="522.1"/>
    <n v="1922"/>
    <n v="1425"/>
    <n v="1425"/>
    <n v="0"/>
    <n v="2850"/>
    <n v="2850"/>
    <n v="19544.099999999999"/>
    <n v="0"/>
  </r>
  <r>
    <x v="7"/>
    <x v="3"/>
    <x v="0"/>
    <s v="6060101"/>
    <n v="718050"/>
    <s v="Purchased Srvcs--Medical Waste"/>
    <s v="Plant Ops &amp; Maintenance"/>
    <x v="0"/>
    <n v="1027"/>
    <n v="5659.76"/>
    <n v="107888.08"/>
    <n v="59665.78"/>
    <n v="49392.07"/>
    <n v="53029.55"/>
    <n v="5415.38"/>
    <n v="60588.34"/>
    <n v="51198.53"/>
    <n v="147711.85"/>
    <n v="120313.74"/>
    <n v="31520.06"/>
    <n v="67006.05"/>
    <n v="759389.19000000006"/>
    <n v="-35485.990000000005"/>
  </r>
  <r>
    <x v="7"/>
    <x v="3"/>
    <x v="0"/>
    <s v="6060101"/>
    <n v="718050"/>
    <s v="Purchased Service-Fire/Life Safety Test"/>
    <s v="Plant Ops &amp; Maintenance"/>
    <x v="0"/>
    <n v="5101"/>
    <n v="5529"/>
    <n v="0"/>
    <n v="5564.67"/>
    <n v="69624.399999999994"/>
    <n v="1018.69"/>
    <n v="0"/>
    <n v="0"/>
    <n v="36871.08"/>
    <n v="627.57000000000005"/>
    <n v="13080.09"/>
    <n v="3743.4"/>
    <n v="2042.81"/>
    <n v="138101.71"/>
    <n v="1700.5900000000001"/>
  </r>
  <r>
    <x v="7"/>
    <x v="3"/>
    <x v="0"/>
    <s v="6060101"/>
    <n v="718071"/>
    <s v="Contract Srvcs-CHI Facilities Mgmt"/>
    <s v="Plant Ops &amp; Maintenance"/>
    <x v="0"/>
    <m/>
    <n v="26339.22"/>
    <n v="35161.660000000003"/>
    <n v="36297.93"/>
    <n v="35320.65"/>
    <n v="34775.699999999997"/>
    <n v="34041.03"/>
    <n v="36957.279999999999"/>
    <n v="32590.29"/>
    <n v="16678.79"/>
    <n v="23646.23"/>
    <n v="22550.6"/>
    <n v="26384.65"/>
    <n v="360744.02999999991"/>
    <n v="-3834.0500000000029"/>
  </r>
  <r>
    <x v="11"/>
    <x v="3"/>
    <x v="0"/>
    <s v="6060101"/>
    <n v="721010"/>
    <s v="Supplies-Medical - Billable"/>
    <s v="Plant Ops &amp; Maintenance"/>
    <x v="0"/>
    <m/>
    <n v="0"/>
    <n v="0.84"/>
    <n v="0"/>
    <n v="0"/>
    <n v="0"/>
    <n v="0"/>
    <n v="0"/>
    <n v="0"/>
    <n v="0"/>
    <n v="0"/>
    <n v="0"/>
    <n v="0"/>
    <n v="0.84"/>
    <n v="0"/>
  </r>
  <r>
    <x v="11"/>
    <x v="3"/>
    <x v="0"/>
    <s v="6060101"/>
    <n v="721250"/>
    <s v="Supplies-Pharmacy Drugs - Billable"/>
    <s v="Plant Ops &amp; Maintenance"/>
    <x v="0"/>
    <m/>
    <n v="0"/>
    <n v="0"/>
    <n v="0"/>
    <n v="0"/>
    <n v="0"/>
    <n v="0"/>
    <n v="0"/>
    <n v="0"/>
    <n v="0"/>
    <n v="0"/>
    <n v="1.34"/>
    <n v="0"/>
    <n v="1.34"/>
    <n v="1.34"/>
  </r>
  <r>
    <x v="11"/>
    <x v="3"/>
    <x v="0"/>
    <s v="6060101"/>
    <n v="721410"/>
    <s v="Supplies-Medical - Nonbillable"/>
    <s v="Plant Ops &amp; Maintenance"/>
    <x v="0"/>
    <m/>
    <n v="6.95"/>
    <n v="29.09"/>
    <n v="6.95"/>
    <n v="30.12"/>
    <n v="0"/>
    <n v="20.22"/>
    <n v="0"/>
    <n v="6.95"/>
    <n v="2.78"/>
    <n v="20.22"/>
    <n v="22.49"/>
    <n v="20.22"/>
    <n v="165.99"/>
    <n v="2.2699999999999996"/>
  </r>
  <r>
    <x v="11"/>
    <x v="3"/>
    <x v="0"/>
    <s v="6060101"/>
    <n v="721650"/>
    <s v="Supplies-Pharmacy Drugs - Nonbillable"/>
    <s v="Plant Ops &amp; Maintenance"/>
    <x v="0"/>
    <m/>
    <n v="0"/>
    <n v="0"/>
    <n v="0"/>
    <n v="0"/>
    <n v="0"/>
    <n v="0"/>
    <n v="0"/>
    <n v="0"/>
    <n v="0"/>
    <n v="0.91"/>
    <n v="0"/>
    <n v="0"/>
    <n v="0.91"/>
    <n v="0"/>
  </r>
  <r>
    <x v="11"/>
    <x v="3"/>
    <x v="0"/>
    <s v="6060101"/>
    <n v="721810"/>
    <s v="Supplies-Dietary/Cafeteria"/>
    <s v="Plant Ops &amp; Maintenance"/>
    <x v="0"/>
    <m/>
    <n v="4.3"/>
    <n v="15.98"/>
    <n v="0"/>
    <n v="16.510000000000002"/>
    <n v="78.72"/>
    <n v="0"/>
    <n v="22.8"/>
    <n v="32"/>
    <n v="8"/>
    <n v="0"/>
    <n v="0"/>
    <n v="0"/>
    <n v="178.31"/>
    <n v="0"/>
  </r>
  <r>
    <x v="11"/>
    <x v="3"/>
    <x v="0"/>
    <s v="6060101"/>
    <n v="721830"/>
    <s v="Supplies-Office"/>
    <s v="Plant Ops &amp; Maintenance"/>
    <x v="0"/>
    <m/>
    <n v="198.57"/>
    <n v="494.41"/>
    <n v="177.66"/>
    <n v="735.04"/>
    <n v="218.56"/>
    <n v="325.97000000000003"/>
    <n v="321.88"/>
    <n v="517.77"/>
    <n v="1152.7"/>
    <n v="792.46"/>
    <n v="289.38"/>
    <n v="318.56"/>
    <n v="5542.9600000000009"/>
    <n v="-29.180000000000007"/>
  </r>
  <r>
    <x v="11"/>
    <x v="3"/>
    <x v="0"/>
    <s v="6060101"/>
    <n v="721870"/>
    <s v="Supplies-Environmental Services"/>
    <s v="Plant Ops &amp; Maintenance"/>
    <x v="0"/>
    <m/>
    <n v="6.53"/>
    <n v="0"/>
    <n v="0"/>
    <n v="0"/>
    <n v="1.78"/>
    <n v="0"/>
    <n v="26.55"/>
    <n v="0"/>
    <n v="0"/>
    <n v="0"/>
    <n v="0"/>
    <n v="0"/>
    <n v="34.86"/>
    <n v="0"/>
  </r>
  <r>
    <x v="11"/>
    <x v="3"/>
    <x v="0"/>
    <s v="6060101"/>
    <n v="721910"/>
    <s v="Supplies-Small Equipment"/>
    <s v="Plant Ops &amp; Maintenance"/>
    <x v="0"/>
    <m/>
    <n v="325.01"/>
    <n v="1839.29"/>
    <n v="46.08"/>
    <n v="47"/>
    <n v="0"/>
    <n v="0"/>
    <n v="0"/>
    <n v="100.4"/>
    <n v="0"/>
    <n v="1543.37"/>
    <n v="0"/>
    <n v="7.34"/>
    <n v="3908.4900000000002"/>
    <n v="-7.34"/>
  </r>
  <r>
    <x v="11"/>
    <x v="3"/>
    <x v="0"/>
    <s v="6060101"/>
    <n v="721980"/>
    <s v="Supplies-Other"/>
    <s v="Plant Ops &amp; Maintenance"/>
    <x v="0"/>
    <m/>
    <n v="0"/>
    <n v="20.59"/>
    <n v="0"/>
    <n v="-11782.89"/>
    <n v="0"/>
    <n v="0"/>
    <n v="0"/>
    <n v="0"/>
    <n v="0"/>
    <n v="0"/>
    <n v="0"/>
    <n v="0"/>
    <n v="-11762.3"/>
    <n v="0"/>
  </r>
  <r>
    <x v="11"/>
    <x v="3"/>
    <x v="0"/>
    <s v="6060101"/>
    <n v="722000"/>
    <s v="Supplies-Freight Expense"/>
    <s v="Plant Ops &amp; Maintenance"/>
    <x v="0"/>
    <m/>
    <n v="55.61"/>
    <n v="43.83"/>
    <n v="230.35"/>
    <n v="146.65"/>
    <n v="53.54"/>
    <n v="273.48"/>
    <n v="156.32"/>
    <n v="26.66"/>
    <n v="42.35"/>
    <n v="198.56"/>
    <n v="140.99"/>
    <n v="110.21"/>
    <n v="1478.55"/>
    <n v="30.780000000000015"/>
  </r>
  <r>
    <x v="11"/>
    <x v="3"/>
    <x v="0"/>
    <s v="6060101"/>
    <n v="722000"/>
    <s v="Minimum Order Fees"/>
    <s v="Plant Ops &amp; Maintenance"/>
    <x v="0"/>
    <n v="1000"/>
    <n v="0"/>
    <n v="0"/>
    <n v="0"/>
    <n v="0"/>
    <n v="0"/>
    <n v="0"/>
    <n v="0"/>
    <n v="0"/>
    <n v="0"/>
    <n v="0"/>
    <n v="0"/>
    <n v="44.04"/>
    <n v="44.04"/>
    <n v="-44.04"/>
  </r>
  <r>
    <x v="12"/>
    <x v="3"/>
    <x v="0"/>
    <s v="6060101"/>
    <n v="730010"/>
    <s v="Rental and Leases-Building (DO NOT USE)"/>
    <s v="Plant Ops &amp; Maintenance"/>
    <x v="0"/>
    <m/>
    <n v="0"/>
    <n v="0"/>
    <n v="0"/>
    <n v="0"/>
    <n v="0"/>
    <n v="0"/>
    <n v="1156.8"/>
    <n v="941.4"/>
    <n v="1436.4"/>
    <n v="1068.45"/>
    <n v="909.15"/>
    <n v="909.15"/>
    <n v="6421.3499999999995"/>
    <n v="0"/>
  </r>
  <r>
    <x v="12"/>
    <x v="3"/>
    <x v="0"/>
    <s v="6060101"/>
    <n v="730020"/>
    <s v="Rental and Leases-Equipment (DO NOT USE)"/>
    <s v="Plant Ops &amp; Maintenance"/>
    <x v="0"/>
    <m/>
    <n v="0"/>
    <n v="0"/>
    <n v="16050.42"/>
    <n v="0"/>
    <n v="0"/>
    <n v="0"/>
    <n v="0"/>
    <n v="0"/>
    <n v="4458.57"/>
    <n v="8280.6200000000008"/>
    <n v="0"/>
    <n v="0"/>
    <n v="28789.61"/>
    <n v="0"/>
  </r>
  <r>
    <x v="12"/>
    <x v="3"/>
    <x v="0"/>
    <s v="6060101"/>
    <n v="730020"/>
    <s v="Rental and Leases-Copier Usage Fees (DO NOT USE)"/>
    <s v="Plant Ops &amp; Maintenance"/>
    <x v="0"/>
    <n v="5100"/>
    <n v="427.09"/>
    <n v="437.84"/>
    <n v="432.46"/>
    <n v="432.46"/>
    <n v="432.46"/>
    <n v="432.46"/>
    <n v="535.02"/>
    <n v="426.35"/>
    <n v="399.39"/>
    <n v="583.57000000000005"/>
    <n v="400.29"/>
    <n v="438.82"/>
    <n v="5378.2099999999991"/>
    <n v="-38.529999999999973"/>
  </r>
  <r>
    <x v="15"/>
    <x v="3"/>
    <x v="0"/>
    <s v="6060101"/>
    <n v="731010"/>
    <s v="Natural Gas"/>
    <s v="Plant Ops &amp; Maintenance"/>
    <x v="0"/>
    <m/>
    <n v="30440.799999999999"/>
    <n v="29739.05"/>
    <n v="31874.22"/>
    <n v="33357.9"/>
    <n v="54809.64"/>
    <n v="823.41"/>
    <n v="880.9"/>
    <n v="873.71"/>
    <n v="753.76"/>
    <n v="834.27"/>
    <n v="806.42"/>
    <n v="181123.89"/>
    <n v="366317.97"/>
    <n v="-180317.47"/>
  </r>
  <r>
    <x v="15"/>
    <x v="3"/>
    <x v="0"/>
    <s v="6060101"/>
    <n v="731020"/>
    <s v="Electricity"/>
    <s v="Plant Ops &amp; Maintenance"/>
    <x v="0"/>
    <m/>
    <n v="133824.87"/>
    <n v="146130.79999999999"/>
    <n v="144596.07999999999"/>
    <n v="132656.81"/>
    <n v="130550.97"/>
    <n v="123381.02"/>
    <n v="119626.49"/>
    <n v="125379.69"/>
    <n v="113535.33"/>
    <n v="132158.51999999999"/>
    <n v="127879.97"/>
    <n v="139059.26"/>
    <n v="1568779.81"/>
    <n v="-11179.290000000008"/>
  </r>
  <r>
    <x v="15"/>
    <x v="3"/>
    <x v="0"/>
    <s v="6060101"/>
    <n v="731030"/>
    <s v="Water"/>
    <s v="Plant Ops &amp; Maintenance"/>
    <x v="0"/>
    <m/>
    <n v="19519.27"/>
    <n v="31340.6"/>
    <n v="26679.96"/>
    <n v="29910.52"/>
    <n v="19826.27"/>
    <n v="25603.5"/>
    <n v="18752.09"/>
    <n v="22749.79"/>
    <n v="21624.38"/>
    <n v="2937.16"/>
    <n v="19467.009999999998"/>
    <n v="32712.76"/>
    <n v="271123.31"/>
    <n v="-13245.75"/>
  </r>
  <r>
    <x v="15"/>
    <x v="3"/>
    <x v="0"/>
    <s v="6060101"/>
    <n v="731040"/>
    <s v="Sewer"/>
    <s v="Plant Ops &amp; Maintenance"/>
    <x v="0"/>
    <m/>
    <n v="26887.25"/>
    <n v="32913.5"/>
    <n v="32084.05"/>
    <n v="33100.1"/>
    <n v="31116.04"/>
    <n v="32272.16"/>
    <n v="30182.63"/>
    <n v="32401.23"/>
    <n v="26693.03"/>
    <n v="27213.4"/>
    <n v="29299.200000000001"/>
    <n v="31231.56"/>
    <n v="365394.15"/>
    <n v="-1932.3600000000006"/>
  </r>
  <r>
    <x v="15"/>
    <x v="3"/>
    <x v="0"/>
    <s v="6060101"/>
    <n v="731050"/>
    <s v="Refuse Disposal"/>
    <s v="Plant Ops &amp; Maintenance"/>
    <x v="0"/>
    <m/>
    <n v="56077.49"/>
    <n v="-5960.01"/>
    <n v="53259.55"/>
    <n v="48286.67"/>
    <n v="53347.93"/>
    <n v="48923.59"/>
    <n v="48582.39"/>
    <n v="54608.29"/>
    <n v="47628.63"/>
    <n v="51800.72"/>
    <n v="12370.3"/>
    <n v="54941.79"/>
    <n v="523867.33999999997"/>
    <n v="-42571.490000000005"/>
  </r>
  <r>
    <x v="15"/>
    <x v="3"/>
    <x v="0"/>
    <s v="6060101"/>
    <n v="731060"/>
    <s v="Cell Phones"/>
    <s v="Plant Ops &amp; Maintenance"/>
    <x v="0"/>
    <n v="1001"/>
    <n v="0"/>
    <n v="372.31"/>
    <n v="52.27"/>
    <n v="0"/>
    <n v="56.25"/>
    <n v="40.35"/>
    <n v="119.2"/>
    <n v="0"/>
    <n v="59.05"/>
    <n v="117.52"/>
    <n v="57.56"/>
    <n v="58.77"/>
    <n v="933.28"/>
    <n v="-1.2100000000000009"/>
  </r>
  <r>
    <x v="15"/>
    <x v="3"/>
    <x v="0"/>
    <s v="6060101"/>
    <n v="731060"/>
    <s v="Pagers"/>
    <s v="Plant Ops &amp; Maintenance"/>
    <x v="0"/>
    <n v="1002"/>
    <n v="135.63"/>
    <n v="-2.02"/>
    <n v="25.51"/>
    <n v="25.57"/>
    <n v="25.57"/>
    <n v="0"/>
    <n v="51.14"/>
    <n v="25.57"/>
    <n v="-1.96"/>
    <n v="25.57"/>
    <n v="25.57"/>
    <n v="25.57"/>
    <n v="361.71999999999997"/>
    <n v="0"/>
  </r>
  <r>
    <x v="15"/>
    <x v="3"/>
    <x v="0"/>
    <s v="6060101"/>
    <n v="731070"/>
    <s v="Cable TV"/>
    <s v="Plant Ops &amp; Maintenance"/>
    <x v="0"/>
    <m/>
    <n v="11177.57"/>
    <n v="11177.57"/>
    <n v="11177.57"/>
    <n v="11177.55"/>
    <n v="11141.73"/>
    <n v="11141.73"/>
    <n v="11473.42"/>
    <n v="11473.42"/>
    <n v="11473.42"/>
    <n v="11473.42"/>
    <n v="11473.66"/>
    <n v="11497.05"/>
    <n v="135858.10999999999"/>
    <n v="-23.389999999999418"/>
  </r>
  <r>
    <x v="15"/>
    <x v="3"/>
    <x v="0"/>
    <s v="6060101"/>
    <n v="731090"/>
    <s v="Other Utilities"/>
    <s v="Plant Ops &amp; Maintenance"/>
    <x v="0"/>
    <m/>
    <n v="0"/>
    <n v="0"/>
    <n v="385.12"/>
    <n v="0"/>
    <n v="0"/>
    <n v="0"/>
    <n v="0"/>
    <n v="0"/>
    <n v="0"/>
    <n v="2259.89"/>
    <n v="0"/>
    <n v="0"/>
    <n v="2645.0099999999998"/>
    <n v="0"/>
  </r>
  <r>
    <x v="16"/>
    <x v="3"/>
    <x v="0"/>
    <s v="6060101"/>
    <n v="732020"/>
    <s v="Repairs--Clin Equip-Parts-Internal to CHI Programs"/>
    <s v="Plant Ops &amp; Maintenance"/>
    <x v="0"/>
    <m/>
    <n v="0"/>
    <n v="0"/>
    <n v="0"/>
    <n v="0"/>
    <n v="0"/>
    <n v="0"/>
    <n v="0"/>
    <n v="0"/>
    <n v="0"/>
    <n v="0"/>
    <n v="24.02"/>
    <n v="33.33"/>
    <n v="57.349999999999994"/>
    <n v="-9.3099999999999987"/>
  </r>
  <r>
    <x v="16"/>
    <x v="3"/>
    <x v="0"/>
    <s v="6060101"/>
    <n v="732030"/>
    <s v="Repairs---Other"/>
    <s v="Plant Ops &amp; Maintenance"/>
    <x v="0"/>
    <m/>
    <n v="-17156"/>
    <n v="92396.18"/>
    <n v="212766.37"/>
    <n v="299354.59000000003"/>
    <n v="248222.46"/>
    <n v="288045.90999999997"/>
    <n v="211258.5"/>
    <n v="100014.5"/>
    <n v="133799.85"/>
    <n v="163996.43"/>
    <n v="109082.2"/>
    <n v="482576.2"/>
    <n v="2324357.19"/>
    <n v="-373494"/>
  </r>
  <r>
    <x v="16"/>
    <x v="3"/>
    <x v="0"/>
    <s v="6060101"/>
    <n v="732030"/>
    <s v="Repairs&amp;Maintenance-Bldg Routine"/>
    <s v="Plant Ops &amp; Maintenance"/>
    <x v="0"/>
    <n v="2300"/>
    <n v="1996.1"/>
    <n v="17357.78"/>
    <n v="32233.56"/>
    <n v="95341.79"/>
    <n v="40208.519999999997"/>
    <n v="3302.58"/>
    <n v="81077.350000000006"/>
    <n v="14016.47"/>
    <n v="44832.82"/>
    <n v="182114.62"/>
    <n v="48481.23"/>
    <n v="70981.55"/>
    <n v="631944.37"/>
    <n v="-22500.32"/>
  </r>
  <r>
    <x v="16"/>
    <x v="3"/>
    <x v="0"/>
    <s v="6060101"/>
    <n v="732030"/>
    <s v="Repairs&amp;Maintenance-Electrical"/>
    <s v="Plant Ops &amp; Maintenance"/>
    <x v="0"/>
    <n v="5100"/>
    <n v="12966.63"/>
    <n v="380.76"/>
    <n v="13840.11"/>
    <n v="3405.26"/>
    <n v="17432.95"/>
    <n v="20907.97"/>
    <n v="18305.96"/>
    <n v="5212.38"/>
    <n v="5989.09"/>
    <n v="909.03"/>
    <n v="43765.31"/>
    <n v="20906.07"/>
    <n v="164021.52000000002"/>
    <n v="22859.239999999998"/>
  </r>
  <r>
    <x v="16"/>
    <x v="3"/>
    <x v="0"/>
    <s v="6060101"/>
    <n v="732030"/>
    <s v="Repairs&amp;Maintenance-Elevator"/>
    <s v="Plant Ops &amp; Maintenance"/>
    <x v="0"/>
    <n v="5101"/>
    <n v="0"/>
    <n v="525.17999999999995"/>
    <n v="0"/>
    <n v="0"/>
    <n v="0"/>
    <n v="0"/>
    <n v="3557.37"/>
    <n v="0"/>
    <n v="686.75"/>
    <n v="0"/>
    <n v="0"/>
    <n v="2568.46"/>
    <n v="7337.7599999999993"/>
    <n v="-2568.46"/>
  </r>
  <r>
    <x v="16"/>
    <x v="3"/>
    <x v="0"/>
    <s v="6060101"/>
    <n v="732030"/>
    <s v="Repairs&amp;Maintenance-HVAC"/>
    <s v="Plant Ops &amp; Maintenance"/>
    <x v="0"/>
    <n v="5102"/>
    <n v="46971.55"/>
    <n v="16409.72"/>
    <n v="45539.28"/>
    <n v="8675.2099999999991"/>
    <n v="52763.18"/>
    <n v="79247.34"/>
    <n v="83614.84"/>
    <n v="14915.52"/>
    <n v="34902.97"/>
    <n v="192379.79"/>
    <n v="88960.06"/>
    <n v="68284.58"/>
    <n v="732664.03999999992"/>
    <n v="20675.479999999996"/>
  </r>
  <r>
    <x v="16"/>
    <x v="3"/>
    <x v="0"/>
    <s v="6060101"/>
    <n v="732030"/>
    <s v="Repairs&amp;Maintenance-Plumbing"/>
    <s v="Plant Ops &amp; Maintenance"/>
    <x v="0"/>
    <n v="5103"/>
    <n v="14670.24"/>
    <n v="29831.22"/>
    <n v="44715.22"/>
    <n v="20720.7"/>
    <n v="14493.02"/>
    <n v="25153.72"/>
    <n v="17026.48"/>
    <n v="38349.019999999997"/>
    <n v="31007.5"/>
    <n v="41839.79"/>
    <n v="32770.589999999997"/>
    <n v="100688.47"/>
    <n v="411265.97"/>
    <n v="-67917.88"/>
  </r>
  <r>
    <x v="16"/>
    <x v="3"/>
    <x v="0"/>
    <s v="6060101"/>
    <n v="733030"/>
    <s v="Maintenance Contracts-Other"/>
    <s v="Plant Ops &amp; Maintenance"/>
    <x v="0"/>
    <m/>
    <n v="22292.33"/>
    <n v="38658.879999999997"/>
    <n v="67319.149999999994"/>
    <n v="26072.29"/>
    <n v="22287.42"/>
    <n v="41718.269999999997"/>
    <n v="28410.75"/>
    <n v="18737.37"/>
    <n v="35244.660000000003"/>
    <n v="22180.89"/>
    <n v="53494.2"/>
    <n v="65059.22"/>
    <n v="441475.43000000005"/>
    <n v="-11565.020000000004"/>
  </r>
  <r>
    <x v="16"/>
    <x v="3"/>
    <x v="0"/>
    <s v="6060101"/>
    <n v="733030"/>
    <s v="Maintenance Contracts-Oper Expense Projects"/>
    <s v="Plant Ops &amp; Maintenance"/>
    <x v="0"/>
    <n v="1003"/>
    <n v="0"/>
    <n v="0"/>
    <n v="-0.02"/>
    <n v="0"/>
    <n v="0"/>
    <n v="0"/>
    <n v="0"/>
    <n v="0"/>
    <n v="0"/>
    <n v="0"/>
    <n v="0"/>
    <n v="0"/>
    <n v="-0.02"/>
    <n v="0"/>
  </r>
  <r>
    <x v="16"/>
    <x v="3"/>
    <x v="0"/>
    <s v="6060101"/>
    <n v="733030"/>
    <s v="Maintenance Contract-Elevator"/>
    <s v="Plant Ops &amp; Maintenance"/>
    <x v="0"/>
    <n v="5101"/>
    <n v="47443.82"/>
    <n v="54349.7"/>
    <n v="0"/>
    <n v="0"/>
    <n v="51855.11"/>
    <n v="0"/>
    <n v="0"/>
    <n v="53555.94"/>
    <n v="0"/>
    <n v="2733.58"/>
    <n v="0"/>
    <n v="16878.23"/>
    <n v="226816.38"/>
    <n v="-16878.23"/>
  </r>
  <r>
    <x v="13"/>
    <x v="3"/>
    <x v="0"/>
    <s v="6060101"/>
    <n v="735050"/>
    <s v="Amortization-Leasehold Improvements"/>
    <s v="Plant Ops &amp; Maintenance"/>
    <x v="0"/>
    <m/>
    <n v="14300.32"/>
    <n v="17209.61"/>
    <n v="17209.62"/>
    <n v="23239.19"/>
    <n v="23239.21"/>
    <n v="23239.18"/>
    <n v="23176.73"/>
    <n v="23176.69"/>
    <n v="23176.73"/>
    <n v="23176.67"/>
    <n v="23176.73"/>
    <n v="23176.67"/>
    <n v="257497.35000000003"/>
    <n v="6.0000000001309672E-2"/>
  </r>
  <r>
    <x v="13"/>
    <x v="3"/>
    <x v="0"/>
    <s v="6060101"/>
    <n v="735060"/>
    <s v="Depreciation-Fixed Equipment"/>
    <s v="Plant Ops &amp; Maintenance"/>
    <x v="0"/>
    <m/>
    <n v="12126.36"/>
    <n v="12126.35"/>
    <n v="20972.61"/>
    <n v="20972.58"/>
    <n v="20972.62"/>
    <n v="20972.58"/>
    <n v="24630.17"/>
    <n v="27628.43"/>
    <n v="27628.51"/>
    <n v="27665.98"/>
    <n v="55238.01"/>
    <n v="59832.55"/>
    <n v="330766.75"/>
    <n v="-4594.5400000000009"/>
  </r>
  <r>
    <x v="13"/>
    <x v="3"/>
    <x v="0"/>
    <s v="6060101"/>
    <n v="735070"/>
    <s v="Depreciation-Movable Equipment"/>
    <s v="Plant Ops &amp; Maintenance"/>
    <x v="0"/>
    <m/>
    <n v="2642.49"/>
    <n v="2642.49"/>
    <n v="2642.49"/>
    <n v="2642.49"/>
    <n v="2642.51"/>
    <n v="2642.47"/>
    <n v="2486.44"/>
    <n v="2486.38"/>
    <n v="2220.31"/>
    <n v="1891.05"/>
    <n v="1891.1"/>
    <n v="1760.15"/>
    <n v="28590.37"/>
    <n v="130.94999999999982"/>
  </r>
  <r>
    <x v="0"/>
    <x v="3"/>
    <x v="0"/>
    <s v="6060101"/>
    <n v="742040"/>
    <s v="Freight-Other"/>
    <s v="Plant Ops &amp; Maintenance"/>
    <x v="0"/>
    <m/>
    <n v="0"/>
    <n v="0"/>
    <n v="0"/>
    <n v="102.69"/>
    <n v="0"/>
    <n v="0"/>
    <n v="0"/>
    <n v="0"/>
    <n v="0"/>
    <n v="0"/>
    <n v="0"/>
    <n v="281.45"/>
    <n v="384.14"/>
    <n v="-281.45"/>
  </r>
  <r>
    <x v="0"/>
    <x v="3"/>
    <x v="0"/>
    <s v="6060101"/>
    <n v="742050"/>
    <s v="Freight-Purchases"/>
    <s v="Plant Ops &amp; Maintenance"/>
    <x v="0"/>
    <m/>
    <n v="0"/>
    <n v="0"/>
    <n v="0"/>
    <n v="0"/>
    <n v="0"/>
    <n v="0"/>
    <n v="0"/>
    <n v="0"/>
    <n v="0"/>
    <n v="0"/>
    <n v="0"/>
    <n v="150.77000000000001"/>
    <n v="150.77000000000001"/>
    <n v="-150.77000000000001"/>
  </r>
  <r>
    <x v="0"/>
    <x v="3"/>
    <x v="0"/>
    <s v="6060101"/>
    <n v="743030"/>
    <s v="Subscriptions--Institutional"/>
    <s v="Plant Ops &amp; Maintenance"/>
    <x v="0"/>
    <m/>
    <n v="0"/>
    <n v="0"/>
    <n v="0"/>
    <n v="0"/>
    <n v="0"/>
    <n v="0"/>
    <n v="629.97"/>
    <n v="0"/>
    <n v="0"/>
    <n v="0"/>
    <n v="6554.91"/>
    <n v="0"/>
    <n v="7184.88"/>
    <n v="6554.91"/>
  </r>
  <r>
    <x v="0"/>
    <x v="3"/>
    <x v="0"/>
    <s v="6060101"/>
    <n v="749510"/>
    <s v="Miscellaneous Expenses"/>
    <s v="Plant Ops &amp; Maintenance"/>
    <x v="0"/>
    <m/>
    <n v="1452.5"/>
    <n v="0"/>
    <n v="4613.8999999999996"/>
    <n v="-11967.53"/>
    <n v="0"/>
    <n v="1150"/>
    <n v="0"/>
    <n v="390"/>
    <n v="39.39"/>
    <n v="440"/>
    <n v="1525.89"/>
    <n v="657"/>
    <n v="-1698.8500000000004"/>
    <n v="868.8900000000001"/>
  </r>
  <r>
    <x v="0"/>
    <x v="3"/>
    <x v="0"/>
    <s v="6060101"/>
    <n v="749510"/>
    <s v="Licenses"/>
    <s v="Plant Ops &amp; Maintenance"/>
    <x v="0"/>
    <n v="1002"/>
    <n v="0"/>
    <n v="0"/>
    <n v="532.4"/>
    <n v="4467.2"/>
    <n v="0"/>
    <n v="0"/>
    <n v="1070.4100000000001"/>
    <n v="556.89"/>
    <n v="586.66"/>
    <n v="0"/>
    <n v="0"/>
    <n v="1923.38"/>
    <n v="9136.9399999999987"/>
    <n v="-1923.38"/>
  </r>
  <r>
    <x v="14"/>
    <x v="0"/>
    <x v="0"/>
    <s v="6060102"/>
    <n v="600050"/>
    <s v="Miscellaneous Revenue"/>
    <s v="Plant Ops &amp; Maintenance"/>
    <x v="0"/>
    <m/>
    <n v="0"/>
    <n v="0"/>
    <n v="0"/>
    <n v="0"/>
    <n v="0"/>
    <n v="-46.95"/>
    <n v="0"/>
    <n v="-35.36"/>
    <n v="0"/>
    <n v="0"/>
    <n v="0"/>
    <n v="0"/>
    <n v="-82.31"/>
    <n v="0"/>
  </r>
  <r>
    <x v="5"/>
    <x v="0"/>
    <x v="0"/>
    <s v="6060102"/>
    <n v="700038"/>
    <s v="Salaries-Service/Support-Productive"/>
    <s v="Plant Ops &amp; Maintenance"/>
    <x v="0"/>
    <m/>
    <n v="26881.08"/>
    <n v="25403.16"/>
    <n v="22207.89"/>
    <n v="25739.22"/>
    <n v="27330.45"/>
    <n v="31698.61"/>
    <n v="31343.26"/>
    <n v="26929.200000000001"/>
    <n v="33141.629999999997"/>
    <n v="29471.919999999998"/>
    <n v="29597.69"/>
    <n v="26892.92"/>
    <n v="336637.03"/>
    <n v="2704.7700000000004"/>
  </r>
  <r>
    <x v="5"/>
    <x v="0"/>
    <x v="0"/>
    <s v="6060102"/>
    <n v="700038"/>
    <s v="Salaries-Service/Support-OT"/>
    <s v="Plant Ops &amp; Maintenance"/>
    <x v="0"/>
    <n v="1000"/>
    <n v="469.4"/>
    <n v="76.290000000000006"/>
    <n v="580.04"/>
    <n v="161.09"/>
    <n v="-33.159999999999997"/>
    <n v="100.07"/>
    <n v="77.33"/>
    <n v="69.849999999999994"/>
    <n v="230.33"/>
    <n v="184.37"/>
    <n v="-110.47"/>
    <n v="305.01"/>
    <n v="2110.1499999999996"/>
    <n v="-415.48"/>
  </r>
  <r>
    <x v="5"/>
    <x v="0"/>
    <x v="0"/>
    <s v="6060102"/>
    <n v="700038"/>
    <s v="Salaries-Service/Support-Other"/>
    <s v="Plant Ops &amp; Maintenance"/>
    <x v="0"/>
    <n v="2000"/>
    <n v="1851.1"/>
    <n v="1842.89"/>
    <n v="1759.31"/>
    <n v="1791.07"/>
    <n v="1882.96"/>
    <n v="1965.94"/>
    <n v="1928.75"/>
    <n v="1727.56"/>
    <n v="1905.91"/>
    <n v="1760.04"/>
    <n v="1778.81"/>
    <n v="1832.71"/>
    <n v="22027.05"/>
    <n v="-53.900000000000091"/>
  </r>
  <r>
    <x v="5"/>
    <x v="0"/>
    <x v="0"/>
    <s v="6060102"/>
    <n v="700054"/>
    <s v="Salaries-Management-NonProd-Other"/>
    <s v="Plant Ops &amp; Maintenance"/>
    <x v="0"/>
    <n v="2000"/>
    <n v="0"/>
    <n v="0"/>
    <n v="0"/>
    <n v="0"/>
    <n v="0"/>
    <n v="272.26"/>
    <n v="-272.26"/>
    <n v="0"/>
    <n v="0"/>
    <n v="0"/>
    <n v="0"/>
    <n v="0"/>
    <n v="0"/>
    <n v="0"/>
  </r>
  <r>
    <x v="5"/>
    <x v="0"/>
    <x v="0"/>
    <s v="6060102"/>
    <n v="700078"/>
    <s v="Salaries-Service/Support-Non-productive"/>
    <s v="Plant Ops &amp; Maintenance"/>
    <x v="0"/>
    <m/>
    <n v="7863.37"/>
    <n v="2385.42"/>
    <n v="5432.07"/>
    <n v="3236.31"/>
    <n v="158.68"/>
    <n v="5716.72"/>
    <n v="3322.83"/>
    <n v="4250.3"/>
    <n v="774.4"/>
    <n v="3020.74"/>
    <n v="6225.8"/>
    <n v="5420.25"/>
    <n v="47806.89"/>
    <n v="805.55000000000018"/>
  </r>
  <r>
    <x v="5"/>
    <x v="0"/>
    <x v="0"/>
    <s v="6060102"/>
    <n v="700078"/>
    <s v="Salaries-Service/Support-NonProd-Other"/>
    <s v="Plant Ops &amp; Maintenance"/>
    <x v="0"/>
    <n v="2000"/>
    <n v="261.22000000000003"/>
    <n v="698.71"/>
    <n v="414.09"/>
    <n v="66.849999999999994"/>
    <n v="1172.9000000000001"/>
    <n v="-9.3000000000000007"/>
    <n v="435.6"/>
    <n v="-63.75"/>
    <n v="534.92999999999995"/>
    <n v="85.07"/>
    <n v="694.09"/>
    <n v="404.47"/>
    <n v="4694.88"/>
    <n v="289.62"/>
  </r>
  <r>
    <x v="5"/>
    <x v="0"/>
    <x v="0"/>
    <s v="6060102"/>
    <n v="700084"/>
    <s v="Accrued PTO"/>
    <s v="Plant Ops &amp; Maintenance"/>
    <x v="0"/>
    <m/>
    <n v="-1730.45"/>
    <n v="2088.0100000000002"/>
    <n v="-1086.1199999999999"/>
    <n v="1544.01"/>
    <n v="3064.63"/>
    <n v="1675.78"/>
    <n v="886.5"/>
    <n v="-93.31"/>
    <n v="2774"/>
    <n v="4841.3599999999997"/>
    <n v="1551.54"/>
    <n v="-1892.42"/>
    <n v="13623.53"/>
    <n v="3443.96"/>
  </r>
  <r>
    <x v="6"/>
    <x v="0"/>
    <x v="0"/>
    <s v="6060102"/>
    <n v="713010"/>
    <s v="Benefits-FICA/Medicare"/>
    <s v="Plant Ops &amp; Maintenance"/>
    <x v="0"/>
    <m/>
    <n v="2712.26"/>
    <n v="2225.37"/>
    <n v="2224.48"/>
    <n v="2267.2800000000002"/>
    <n v="2305.0500000000002"/>
    <n v="3517.08"/>
    <n v="2748.45"/>
    <n v="2440.81"/>
    <n v="2688.33"/>
    <n v="2534.11"/>
    <n v="2813.38"/>
    <n v="2558.36"/>
    <n v="31034.960000000003"/>
    <n v="255.01999999999998"/>
  </r>
  <r>
    <x v="6"/>
    <x v="0"/>
    <x v="0"/>
    <s v="6060102"/>
    <n v="713090"/>
    <s v="Benefits-Allocated Amounts"/>
    <s v="Plant Ops &amp; Maintenance"/>
    <x v="0"/>
    <m/>
    <n v="9273.7800000000007"/>
    <n v="6718.76"/>
    <n v="7562.09"/>
    <n v="7029.53"/>
    <n v="7873.24"/>
    <n v="9488.89"/>
    <n v="8690.7999999999993"/>
    <n v="9224.43"/>
    <n v="8143.44"/>
    <n v="9082.33"/>
    <n v="9137.2999999999993"/>
    <n v="9096.6200000000008"/>
    <n v="101321.20999999999"/>
    <n v="40.679999999998472"/>
  </r>
  <r>
    <x v="7"/>
    <x v="0"/>
    <x v="0"/>
    <s v="6060102"/>
    <n v="718050"/>
    <s v="Contract Svcs-Other"/>
    <s v="Plant Ops &amp; Maintenance"/>
    <x v="0"/>
    <m/>
    <n v="16927.86"/>
    <n v="30030.46"/>
    <n v="7153.94"/>
    <n v="24812.69"/>
    <n v="1378.83"/>
    <n v="7551.69"/>
    <n v="23260.1"/>
    <n v="4203.74"/>
    <n v="6015.83"/>
    <n v="2701.73"/>
    <n v="4419.2299999999996"/>
    <n v="11872.07"/>
    <n v="140328.17000000001"/>
    <n v="-7452.84"/>
  </r>
  <r>
    <x v="7"/>
    <x v="0"/>
    <x v="0"/>
    <s v="6060102"/>
    <n v="718050"/>
    <s v="Document Shredding/Storage"/>
    <s v="Plant Ops &amp; Maintenance"/>
    <x v="0"/>
    <n v="1012"/>
    <n v="0"/>
    <n v="1494.4"/>
    <n v="900.75"/>
    <n v="1776"/>
    <n v="0"/>
    <n v="1905"/>
    <n v="0"/>
    <n v="903"/>
    <n v="1095"/>
    <n v="0"/>
    <n v="898.5"/>
    <n v="0"/>
    <n v="8972.65"/>
    <n v="898.5"/>
  </r>
  <r>
    <x v="7"/>
    <x v="0"/>
    <x v="0"/>
    <s v="6060102"/>
    <n v="718050"/>
    <s v="Lawn Services"/>
    <s v="Plant Ops &amp; Maintenance"/>
    <x v="0"/>
    <n v="1013"/>
    <n v="359.7"/>
    <n v="1997.81"/>
    <n v="4746.22"/>
    <n v="6036.95"/>
    <n v="3724.33"/>
    <n v="473.83"/>
    <n v="1694.35"/>
    <n v="852"/>
    <n v="0"/>
    <n v="2200.04"/>
    <n v="368.5"/>
    <n v="0"/>
    <n v="22453.730000000003"/>
    <n v="368.5"/>
  </r>
  <r>
    <x v="7"/>
    <x v="0"/>
    <x v="0"/>
    <s v="6060102"/>
    <n v="718050"/>
    <s v="Pest Control"/>
    <s v="Plant Ops &amp; Maintenance"/>
    <x v="0"/>
    <n v="1014"/>
    <n v="0"/>
    <n v="673.76"/>
    <n v="1278.26"/>
    <n v="279.13"/>
    <n v="228.26"/>
    <n v="114.13"/>
    <n v="503.26"/>
    <n v="327.26"/>
    <n v="228.26"/>
    <n v="114.13"/>
    <n v="114.13"/>
    <n v="1214.1300000000001"/>
    <n v="5074.7100000000009"/>
    <n v="-1100"/>
  </r>
  <r>
    <x v="7"/>
    <x v="0"/>
    <x v="0"/>
    <s v="6060102"/>
    <n v="718050"/>
    <s v="Radiology"/>
    <s v="Plant Ops &amp; Maintenance"/>
    <x v="0"/>
    <n v="1017"/>
    <n v="0"/>
    <n v="0"/>
    <n v="0"/>
    <n v="0"/>
    <n v="0"/>
    <n v="0"/>
    <n v="0"/>
    <n v="0"/>
    <n v="0"/>
    <n v="0"/>
    <n v="0"/>
    <n v="275"/>
    <n v="275"/>
    <n v="-275"/>
  </r>
  <r>
    <x v="7"/>
    <x v="0"/>
    <x v="0"/>
    <s v="6060102"/>
    <n v="718050"/>
    <s v="Miscellaneous Purchased Svcs"/>
    <s v="Plant Ops &amp; Maintenance"/>
    <x v="0"/>
    <n v="1020"/>
    <n v="0"/>
    <n v="0"/>
    <n v="0"/>
    <n v="0"/>
    <n v="0"/>
    <n v="0"/>
    <n v="4650.3999999999996"/>
    <n v="11752.96"/>
    <n v="24341.360000000001"/>
    <n v="29809.18"/>
    <n v="0"/>
    <n v="0"/>
    <n v="70553.899999999994"/>
    <n v="0"/>
  </r>
  <r>
    <x v="7"/>
    <x v="0"/>
    <x v="0"/>
    <s v="6060102"/>
    <n v="718050"/>
    <s v="Purchased Srvcs--Medical Waste"/>
    <s v="Plant Ops &amp; Maintenance"/>
    <x v="0"/>
    <n v="1027"/>
    <n v="3940.73"/>
    <n v="22658.65"/>
    <n v="19309.82"/>
    <n v="13559.39"/>
    <n v="4471.46"/>
    <n v="14279.71"/>
    <n v="21112.13"/>
    <n v="14620.37"/>
    <n v="733.77"/>
    <n v="18980.59"/>
    <n v="4485.88"/>
    <n v="8781.41"/>
    <n v="146933.91"/>
    <n v="-4295.53"/>
  </r>
  <r>
    <x v="7"/>
    <x v="0"/>
    <x v="0"/>
    <s v="6060102"/>
    <n v="718050"/>
    <s v="Purchased Srvcs-Environmental Remediation"/>
    <s v="Plant Ops &amp; Maintenance"/>
    <x v="0"/>
    <n v="1028"/>
    <n v="0"/>
    <n v="137.5"/>
    <n v="0"/>
    <n v="0"/>
    <n v="0"/>
    <n v="0"/>
    <n v="0"/>
    <n v="733.77"/>
    <n v="0"/>
    <n v="0"/>
    <n v="0"/>
    <n v="0"/>
    <n v="871.27"/>
    <n v="0"/>
  </r>
  <r>
    <x v="7"/>
    <x v="0"/>
    <x v="0"/>
    <s v="6060102"/>
    <n v="718050"/>
    <s v="Purchased Service-Fire/Life Safety Test"/>
    <s v="Plant Ops &amp; Maintenance"/>
    <x v="0"/>
    <n v="5101"/>
    <n v="1492.7"/>
    <n v="0"/>
    <n v="0"/>
    <n v="2873.2"/>
    <n v="24747.57"/>
    <n v="-23960.52"/>
    <n v="0"/>
    <n v="21819.599999999999"/>
    <n v="1311.77"/>
    <n v="0"/>
    <n v="0"/>
    <n v="0"/>
    <n v="28284.32"/>
    <n v="0"/>
  </r>
  <r>
    <x v="7"/>
    <x v="0"/>
    <x v="0"/>
    <s v="6060102"/>
    <n v="718071"/>
    <s v="Contract Srvcs-CHI Facilities Mgmt"/>
    <s v="Plant Ops &amp; Maintenance"/>
    <x v="0"/>
    <m/>
    <n v="18743.689999999999"/>
    <n v="21812.45"/>
    <n v="16870.55"/>
    <n v="19023.8"/>
    <n v="17633.490000000002"/>
    <n v="17939.52"/>
    <n v="18481.07"/>
    <n v="18386.89"/>
    <n v="16309.72"/>
    <n v="18716.78"/>
    <n v="18649.75"/>
    <n v="16908.52"/>
    <n v="219476.23"/>
    <n v="1741.2299999999996"/>
  </r>
  <r>
    <x v="11"/>
    <x v="0"/>
    <x v="0"/>
    <s v="6060102"/>
    <n v="721010"/>
    <s v="Supplies-Medical - Billable"/>
    <s v="Plant Ops &amp; Maintenance"/>
    <x v="0"/>
    <m/>
    <n v="0"/>
    <n v="0"/>
    <n v="0"/>
    <n v="0"/>
    <n v="0.66"/>
    <n v="0"/>
    <n v="0"/>
    <n v="0"/>
    <n v="0"/>
    <n v="0"/>
    <n v="0"/>
    <n v="0"/>
    <n v="0.66"/>
    <n v="0"/>
  </r>
  <r>
    <x v="11"/>
    <x v="0"/>
    <x v="0"/>
    <s v="6060102"/>
    <n v="721410"/>
    <s v="Supplies-Medical - Nonbillable"/>
    <s v="Plant Ops &amp; Maintenance"/>
    <x v="0"/>
    <m/>
    <n v="6.95"/>
    <n v="9.24"/>
    <n v="6.95"/>
    <n v="0.28999999999999998"/>
    <n v="13.9"/>
    <n v="3.31"/>
    <n v="0.27"/>
    <n v="0.6"/>
    <n v="7.22"/>
    <n v="6.95"/>
    <n v="13.9"/>
    <n v="8.6300000000000008"/>
    <n v="78.210000000000008"/>
    <n v="5.27"/>
  </r>
  <r>
    <x v="11"/>
    <x v="0"/>
    <x v="0"/>
    <s v="6060102"/>
    <n v="721810"/>
    <s v="Supplies-Dietary/Cafeteria"/>
    <s v="Plant Ops &amp; Maintenance"/>
    <x v="0"/>
    <m/>
    <n v="6.75"/>
    <n v="4.5"/>
    <n v="9.5"/>
    <n v="4.5"/>
    <n v="9.4"/>
    <n v="12.5"/>
    <n v="79.86"/>
    <n v="0"/>
    <n v="2.25"/>
    <n v="5.03"/>
    <n v="14.75"/>
    <n v="8"/>
    <n v="157.04"/>
    <n v="6.75"/>
  </r>
  <r>
    <x v="11"/>
    <x v="0"/>
    <x v="0"/>
    <s v="6060102"/>
    <n v="721830"/>
    <s v="Supplies-Office"/>
    <s v="Plant Ops &amp; Maintenance"/>
    <x v="0"/>
    <m/>
    <n v="0"/>
    <n v="22.37"/>
    <n v="47.48"/>
    <n v="30.56"/>
    <n v="0"/>
    <n v="189.52"/>
    <n v="0"/>
    <n v="0"/>
    <n v="28.79"/>
    <n v="0"/>
    <n v="0"/>
    <n v="0"/>
    <n v="318.72000000000003"/>
    <n v="0"/>
  </r>
  <r>
    <x v="11"/>
    <x v="0"/>
    <x v="0"/>
    <s v="6060102"/>
    <n v="721870"/>
    <s v="Supplies-Environmental Services"/>
    <s v="Plant Ops &amp; Maintenance"/>
    <x v="0"/>
    <m/>
    <n v="0"/>
    <n v="0"/>
    <n v="0"/>
    <n v="0"/>
    <n v="0"/>
    <n v="0"/>
    <n v="0"/>
    <n v="9.6"/>
    <n v="0"/>
    <n v="0"/>
    <n v="0"/>
    <n v="0"/>
    <n v="9.6"/>
    <n v="0"/>
  </r>
  <r>
    <x v="11"/>
    <x v="0"/>
    <x v="0"/>
    <s v="6060102"/>
    <n v="721910"/>
    <s v="Supplies-Small Equipment"/>
    <s v="Plant Ops &amp; Maintenance"/>
    <x v="0"/>
    <m/>
    <n v="3389.63"/>
    <n v="0.96"/>
    <n v="662.97"/>
    <n v="895.06"/>
    <n v="1.36"/>
    <n v="0.34"/>
    <n v="2.56"/>
    <n v="0.68"/>
    <n v="0.51"/>
    <n v="6.12"/>
    <n v="8.64"/>
    <n v="553.85"/>
    <n v="5522.6800000000021"/>
    <n v="-545.21"/>
  </r>
  <r>
    <x v="11"/>
    <x v="0"/>
    <x v="0"/>
    <s v="6060102"/>
    <n v="721980"/>
    <s v="Supplies-Other"/>
    <s v="Plant Ops &amp; Maintenance"/>
    <x v="0"/>
    <m/>
    <n v="199.1"/>
    <n v="0"/>
    <n v="0"/>
    <n v="-17.600000000000001"/>
    <n v="0"/>
    <n v="0"/>
    <n v="-460.08"/>
    <n v="0"/>
    <n v="-302.94"/>
    <n v="0"/>
    <n v="25.03"/>
    <n v="0"/>
    <n v="-556.49"/>
    <n v="25.03"/>
  </r>
  <r>
    <x v="11"/>
    <x v="0"/>
    <x v="0"/>
    <s v="6060102"/>
    <n v="722000"/>
    <s v="Supplies-Freight Expense"/>
    <s v="Plant Ops &amp; Maintenance"/>
    <x v="0"/>
    <m/>
    <n v="0"/>
    <n v="3.18"/>
    <n v="0"/>
    <n v="29.78"/>
    <n v="0"/>
    <n v="0"/>
    <n v="0"/>
    <n v="80.77"/>
    <n v="8.4600000000000009"/>
    <n v="0"/>
    <n v="5.82"/>
    <n v="10.47"/>
    <n v="138.47999999999999"/>
    <n v="-4.6500000000000004"/>
  </r>
  <r>
    <x v="12"/>
    <x v="0"/>
    <x v="0"/>
    <s v="6060102"/>
    <n v="730010"/>
    <s v="Rental and Leases-Building (DO NOT USE)"/>
    <s v="Plant Ops &amp; Maintenance"/>
    <x v="0"/>
    <m/>
    <n v="289.52"/>
    <n v="340.34"/>
    <n v="425.04"/>
    <n v="425.04"/>
    <n v="428.06"/>
    <n v="512.76"/>
    <n v="342.21"/>
    <n v="987.47"/>
    <n v="0"/>
    <n v="304.92"/>
    <n v="548.48"/>
    <n v="0"/>
    <n v="4603.84"/>
    <n v="548.48"/>
  </r>
  <r>
    <x v="12"/>
    <x v="0"/>
    <x v="0"/>
    <s v="6060102"/>
    <n v="730020"/>
    <s v="Rental and Leases-Equipment (DO NOT USE)"/>
    <s v="Plant Ops &amp; Maintenance"/>
    <x v="0"/>
    <m/>
    <n v="634.16"/>
    <n v="2810.52"/>
    <n v="801.56"/>
    <n v="3982.82"/>
    <n v="3275.39"/>
    <n v="2634.39"/>
    <n v="2747.12"/>
    <n v="4856.32"/>
    <n v="2822.75"/>
    <n v="2804.93"/>
    <n v="0"/>
    <n v="-25.15"/>
    <n v="27344.809999999998"/>
    <n v="25.15"/>
  </r>
  <r>
    <x v="12"/>
    <x v="0"/>
    <x v="0"/>
    <s v="6060102"/>
    <n v="730020"/>
    <s v="Rental and Leases-Copier Usage Fees (DO NOT USE)"/>
    <s v="Plant Ops &amp; Maintenance"/>
    <x v="0"/>
    <n v="5100"/>
    <n v="34.85"/>
    <n v="35.590000000000003"/>
    <n v="35.22"/>
    <n v="35.22"/>
    <n v="35.22"/>
    <n v="35.22"/>
    <n v="495.8"/>
    <n v="81.87"/>
    <n v="81.7"/>
    <n v="93.74"/>
    <n v="81.87"/>
    <n v="81.87"/>
    <n v="1128.17"/>
    <n v="0"/>
  </r>
  <r>
    <x v="15"/>
    <x v="0"/>
    <x v="0"/>
    <s v="6060102"/>
    <n v="731010"/>
    <s v="Natural Gas"/>
    <s v="Plant Ops &amp; Maintenance"/>
    <x v="0"/>
    <m/>
    <n v="12306.57"/>
    <n v="11372.29"/>
    <n v="11698.83"/>
    <n v="12668.12"/>
    <n v="20075.54"/>
    <n v="63.81"/>
    <n v="74.760000000000005"/>
    <n v="68.569999999999993"/>
    <n v="157.13999999999999"/>
    <n v="34.28"/>
    <n v="28.38"/>
    <n v="7287.42"/>
    <n v="75835.710000000006"/>
    <n v="-7259.04"/>
  </r>
  <r>
    <x v="15"/>
    <x v="0"/>
    <x v="0"/>
    <s v="6060102"/>
    <n v="731020"/>
    <s v="Electricity"/>
    <s v="Plant Ops &amp; Maintenance"/>
    <x v="0"/>
    <m/>
    <n v="59752.85"/>
    <n v="62854.15"/>
    <n v="58966.51"/>
    <n v="56226.92"/>
    <n v="61744.51"/>
    <n v="62339.360000000001"/>
    <n v="55034.66"/>
    <n v="17690.25"/>
    <n v="40395.71"/>
    <n v="118656.65"/>
    <n v="60240.93"/>
    <n v="112502"/>
    <n v="766404.5"/>
    <n v="-52261.07"/>
  </r>
  <r>
    <x v="15"/>
    <x v="0"/>
    <x v="0"/>
    <s v="6060102"/>
    <n v="731030"/>
    <s v="Water"/>
    <s v="Plant Ops &amp; Maintenance"/>
    <x v="0"/>
    <m/>
    <n v="8162.64"/>
    <n v="0"/>
    <n v="15068.72"/>
    <n v="0"/>
    <n v="13032.24"/>
    <n v="0"/>
    <n v="6668.38"/>
    <n v="0"/>
    <n v="5906.08"/>
    <n v="0"/>
    <n v="6558.4"/>
    <n v="0"/>
    <n v="55396.46"/>
    <n v="6558.4"/>
  </r>
  <r>
    <x v="15"/>
    <x v="0"/>
    <x v="0"/>
    <s v="6060102"/>
    <n v="731040"/>
    <s v="Sewer"/>
    <s v="Plant Ops &amp; Maintenance"/>
    <x v="0"/>
    <m/>
    <n v="16876.68"/>
    <n v="0"/>
    <n v="21935.13"/>
    <n v="0"/>
    <n v="20480.400000000001"/>
    <n v="0"/>
    <n v="17132.650000000001"/>
    <n v="0"/>
    <n v="14729.35"/>
    <n v="0"/>
    <n v="15765.89"/>
    <n v="0"/>
    <n v="106920.1"/>
    <n v="15765.89"/>
  </r>
  <r>
    <x v="15"/>
    <x v="0"/>
    <x v="0"/>
    <s v="6060102"/>
    <n v="731050"/>
    <s v="Refuse Disposal"/>
    <s v="Plant Ops &amp; Maintenance"/>
    <x v="0"/>
    <m/>
    <n v="7890.02"/>
    <n v="7428.58"/>
    <n v="9069.65"/>
    <n v="8392.83"/>
    <n v="9341.9500000000007"/>
    <n v="8396.36"/>
    <n v="9836.56"/>
    <n v="8475.1299999999992"/>
    <n v="7448.5"/>
    <n v="10525.97"/>
    <n v="10747.13"/>
    <n v="8550.69"/>
    <n v="106103.37000000001"/>
    <n v="2196.4399999999987"/>
  </r>
  <r>
    <x v="15"/>
    <x v="0"/>
    <x v="0"/>
    <s v="6060102"/>
    <n v="731060"/>
    <s v="Pagers"/>
    <s v="Plant Ops &amp; Maintenance"/>
    <x v="0"/>
    <n v="1002"/>
    <n v="34.200000000000003"/>
    <n v="34.200000000000003"/>
    <n v="34.200000000000003"/>
    <n v="34.24"/>
    <n v="34.24"/>
    <n v="0"/>
    <n v="68.48"/>
    <n v="34.24"/>
    <n v="61.77"/>
    <n v="34.24"/>
    <n v="34.24"/>
    <n v="61.8"/>
    <n v="465.85"/>
    <n v="-27.559999999999995"/>
  </r>
  <r>
    <x v="15"/>
    <x v="0"/>
    <x v="0"/>
    <s v="6060102"/>
    <n v="731070"/>
    <s v="Cable TV"/>
    <s v="Plant Ops &amp; Maintenance"/>
    <x v="0"/>
    <m/>
    <n v="2838.38"/>
    <n v="2838.38"/>
    <n v="2838.38"/>
    <n v="2838.38"/>
    <n v="2823.45"/>
    <n v="2823.45"/>
    <n v="2907.95"/>
    <n v="2907.95"/>
    <n v="2907.95"/>
    <n v="2907.95"/>
    <n v="2907.95"/>
    <n v="2917.29"/>
    <n v="34457.460000000006"/>
    <n v="-9.3400000000001455"/>
  </r>
  <r>
    <x v="15"/>
    <x v="0"/>
    <x v="0"/>
    <s v="6060102"/>
    <n v="731090"/>
    <s v="Fuel-Oil"/>
    <s v="Plant Ops &amp; Maintenance"/>
    <x v="0"/>
    <n v="6200"/>
    <n v="0"/>
    <n v="0"/>
    <n v="0"/>
    <n v="0"/>
    <n v="0"/>
    <n v="0"/>
    <n v="0"/>
    <n v="8158.73"/>
    <n v="3404.71"/>
    <n v="3708.17"/>
    <n v="0"/>
    <n v="0"/>
    <n v="15271.609999999999"/>
    <n v="0"/>
  </r>
  <r>
    <x v="16"/>
    <x v="0"/>
    <x v="0"/>
    <s v="6060102"/>
    <n v="732020"/>
    <s v="Repairs--Clin Equip-Parts-Internal to CHI Programs"/>
    <s v="Plant Ops &amp; Maintenance"/>
    <x v="0"/>
    <m/>
    <n v="93.42"/>
    <n v="186.18"/>
    <n v="48"/>
    <n v="22.92"/>
    <n v="25.08"/>
    <n v="22.92"/>
    <n v="281.76"/>
    <n v="70.5"/>
    <n v="68.760000000000005"/>
    <n v="235.92"/>
    <n v="45.84"/>
    <n v="0"/>
    <n v="1101.3"/>
    <n v="45.84"/>
  </r>
  <r>
    <x v="16"/>
    <x v="0"/>
    <x v="0"/>
    <s v="6060102"/>
    <n v="732030"/>
    <s v="Repairs---Other"/>
    <s v="Plant Ops &amp; Maintenance"/>
    <x v="0"/>
    <m/>
    <n v="14755.84"/>
    <n v="14601.48"/>
    <n v="11451.92"/>
    <n v="14383.07"/>
    <n v="14196.27"/>
    <n v="36814.15"/>
    <n v="23563.64"/>
    <n v="26810.880000000001"/>
    <n v="11835.86"/>
    <n v="13637.44"/>
    <n v="18842.46"/>
    <n v="9326.74"/>
    <n v="210219.74999999997"/>
    <n v="9515.7199999999993"/>
  </r>
  <r>
    <x v="16"/>
    <x v="0"/>
    <x v="0"/>
    <s v="6060102"/>
    <n v="732030"/>
    <s v="Repairs&amp;Maintenance-Bldg Routine"/>
    <s v="Plant Ops &amp; Maintenance"/>
    <x v="0"/>
    <n v="2300"/>
    <n v="1274.1400000000001"/>
    <n v="1858.45"/>
    <n v="3795.4"/>
    <n v="0"/>
    <n v="347.76"/>
    <n v="742.23"/>
    <n v="3868.84"/>
    <n v="15204.2"/>
    <n v="472.12"/>
    <n v="21876.2"/>
    <n v="15639.08"/>
    <n v="3432"/>
    <n v="68510.42"/>
    <n v="12207.08"/>
  </r>
  <r>
    <x v="16"/>
    <x v="0"/>
    <x v="0"/>
    <s v="6060102"/>
    <n v="732030"/>
    <s v="Repairs&amp;Maintenance-Electrical"/>
    <s v="Plant Ops &amp; Maintenance"/>
    <x v="0"/>
    <n v="5100"/>
    <n v="11755.41"/>
    <n v="11596.16"/>
    <n v="7350.81"/>
    <n v="5568.84"/>
    <n v="13343.79"/>
    <n v="6266.92"/>
    <n v="12159.38"/>
    <n v="9757.48"/>
    <n v="5889.33"/>
    <n v="526.05999999999995"/>
    <n v="24383.5"/>
    <n v="1532.37"/>
    <n v="110130.04999999999"/>
    <n v="22851.13"/>
  </r>
  <r>
    <x v="16"/>
    <x v="0"/>
    <x v="0"/>
    <s v="6060102"/>
    <n v="732030"/>
    <s v="Repairs&amp;Maintenance-Elevator"/>
    <s v="Plant Ops &amp; Maintenance"/>
    <x v="0"/>
    <n v="5101"/>
    <n v="5670.58"/>
    <n v="3811.13"/>
    <n v="0"/>
    <n v="0"/>
    <n v="0"/>
    <n v="0"/>
    <n v="0"/>
    <n v="2484.71"/>
    <n v="0"/>
    <n v="0"/>
    <n v="0"/>
    <n v="0"/>
    <n v="11966.419999999998"/>
    <n v="0"/>
  </r>
  <r>
    <x v="16"/>
    <x v="0"/>
    <x v="0"/>
    <s v="6060102"/>
    <n v="732030"/>
    <s v="Repairs&amp;Maintenance-HVAC"/>
    <s v="Plant Ops &amp; Maintenance"/>
    <x v="0"/>
    <n v="5102"/>
    <n v="5430.97"/>
    <n v="646.83000000000004"/>
    <n v="33802.6"/>
    <n v="12644.22"/>
    <n v="347.44"/>
    <n v="1650"/>
    <n v="8719.34"/>
    <n v="1577.24"/>
    <n v="1781.81"/>
    <n v="149.36000000000001"/>
    <n v="4892.3900000000003"/>
    <n v="14306.02"/>
    <n v="85948.220000000016"/>
    <n v="-9413.630000000001"/>
  </r>
  <r>
    <x v="16"/>
    <x v="0"/>
    <x v="0"/>
    <s v="6060102"/>
    <n v="732030"/>
    <s v="Repairs&amp;Maintenance-Plumbing"/>
    <s v="Plant Ops &amp; Maintenance"/>
    <x v="0"/>
    <n v="5103"/>
    <n v="12107.35"/>
    <n v="8861.34"/>
    <n v="2899.67"/>
    <n v="14340.45"/>
    <n v="8567.26"/>
    <n v="4981.3"/>
    <n v="12622.94"/>
    <n v="4472.96"/>
    <n v="6391.56"/>
    <n v="4785.51"/>
    <n v="1531.49"/>
    <n v="5671.31"/>
    <n v="87233.14"/>
    <n v="-4139.8200000000006"/>
  </r>
  <r>
    <x v="16"/>
    <x v="0"/>
    <x v="0"/>
    <s v="6060102"/>
    <n v="733030"/>
    <s v="Maintenance Contracts-Other"/>
    <s v="Plant Ops &amp; Maintenance"/>
    <x v="0"/>
    <m/>
    <n v="0"/>
    <n v="0"/>
    <n v="0"/>
    <n v="0"/>
    <n v="15475.92"/>
    <n v="0"/>
    <n v="0"/>
    <n v="0"/>
    <n v="13009.15"/>
    <n v="-13009.15"/>
    <n v="13009.15"/>
    <n v="0"/>
    <n v="28485.07"/>
    <n v="13009.15"/>
  </r>
  <r>
    <x v="16"/>
    <x v="0"/>
    <x v="0"/>
    <s v="6060102"/>
    <n v="733030"/>
    <s v="Maintenance Contract-Elevator"/>
    <s v="Plant Ops &amp; Maintenance"/>
    <x v="0"/>
    <n v="5101"/>
    <n v="0"/>
    <n v="10524.72"/>
    <n v="0"/>
    <n v="0"/>
    <n v="10524.72"/>
    <n v="2768.14"/>
    <n v="0"/>
    <n v="10869.96"/>
    <n v="1646.7"/>
    <n v="1866.27"/>
    <n v="0"/>
    <n v="10869.96"/>
    <n v="49070.469999999987"/>
    <n v="-10869.96"/>
  </r>
  <r>
    <x v="16"/>
    <x v="0"/>
    <x v="0"/>
    <s v="6060102"/>
    <n v="733030"/>
    <s v="Maintenance Contract-Landscape General"/>
    <s v="Plant Ops &amp; Maintenance"/>
    <x v="0"/>
    <n v="5105"/>
    <n v="5536.28"/>
    <n v="5536.28"/>
    <n v="2768.14"/>
    <n v="2768.14"/>
    <n v="0"/>
    <n v="2768.14"/>
    <n v="2768.14"/>
    <n v="5390.32"/>
    <n v="0"/>
    <n v="0"/>
    <n v="5647"/>
    <n v="3080.18"/>
    <n v="36262.620000000003"/>
    <n v="2566.8200000000002"/>
  </r>
  <r>
    <x v="13"/>
    <x v="0"/>
    <x v="0"/>
    <s v="6060102"/>
    <n v="735040"/>
    <s v="Depreciation-Building Improvements"/>
    <s v="Plant Ops &amp; Maintenance"/>
    <x v="0"/>
    <m/>
    <n v="717.2"/>
    <n v="717.2"/>
    <n v="717.2"/>
    <n v="717.2"/>
    <n v="717.2"/>
    <n v="717.2"/>
    <n v="717.2"/>
    <n v="717.2"/>
    <n v="717.21"/>
    <n v="717.2"/>
    <n v="717.21"/>
    <n v="717.2"/>
    <n v="8606.42"/>
    <n v="9.9999999999909051E-3"/>
  </r>
  <r>
    <x v="13"/>
    <x v="0"/>
    <x v="0"/>
    <s v="6060102"/>
    <n v="735060"/>
    <s v="Depreciation-Fixed Equipment"/>
    <s v="Plant Ops &amp; Maintenance"/>
    <x v="0"/>
    <m/>
    <n v="2795.87"/>
    <n v="17318.64"/>
    <n v="17318.669999999998"/>
    <n v="17318.63"/>
    <n v="17318.68"/>
    <n v="17318.61"/>
    <n v="17318.68"/>
    <n v="17318.61"/>
    <n v="17318.68"/>
    <n v="17318.599999999999"/>
    <n v="17318.68"/>
    <n v="17318.59"/>
    <n v="193300.94"/>
    <n v="9.0000000000145519E-2"/>
  </r>
  <r>
    <x v="13"/>
    <x v="0"/>
    <x v="0"/>
    <s v="6060102"/>
    <n v="735070"/>
    <s v="Depreciation-Movable Equipment"/>
    <s v="Plant Ops &amp; Maintenance"/>
    <x v="0"/>
    <m/>
    <n v="1223.73"/>
    <n v="1223.73"/>
    <n v="1223.73"/>
    <n v="1218.75"/>
    <n v="1218.77"/>
    <n v="1218.75"/>
    <n v="1218.77"/>
    <n v="1218.75"/>
    <n v="1218.77"/>
    <n v="1218.74"/>
    <n v="1218.77"/>
    <n v="1218.74"/>
    <n v="14640.000000000002"/>
    <n v="2.9999999999972715E-2"/>
  </r>
  <r>
    <x v="0"/>
    <x v="0"/>
    <x v="0"/>
    <s v="6060102"/>
    <n v="740020"/>
    <s v="Education-Registration Fees"/>
    <s v="Plant Ops &amp; Maintenance"/>
    <x v="0"/>
    <m/>
    <n v="0"/>
    <n v="0"/>
    <n v="-174"/>
    <n v="0"/>
    <n v="0"/>
    <n v="0"/>
    <n v="0"/>
    <n v="0"/>
    <n v="0"/>
    <n v="0"/>
    <n v="0"/>
    <n v="0"/>
    <n v="-174"/>
    <n v="0"/>
  </r>
  <r>
    <x v="0"/>
    <x v="0"/>
    <x v="0"/>
    <s v="6060102"/>
    <n v="742040"/>
    <s v="Freight-Other"/>
    <s v="Plant Ops &amp; Maintenance"/>
    <x v="0"/>
    <m/>
    <n v="0"/>
    <n v="0"/>
    <n v="0"/>
    <n v="11.98"/>
    <n v="0"/>
    <n v="0"/>
    <n v="0"/>
    <n v="0"/>
    <n v="0"/>
    <n v="0"/>
    <n v="0"/>
    <n v="64.41"/>
    <n v="76.39"/>
    <n v="-64.41"/>
  </r>
  <r>
    <x v="0"/>
    <x v="0"/>
    <x v="0"/>
    <s v="6060102"/>
    <n v="749510"/>
    <s v="Miscellaneous Expenses"/>
    <s v="Plant Ops &amp; Maintenance"/>
    <x v="0"/>
    <m/>
    <n v="21.75"/>
    <n v="0"/>
    <n v="0"/>
    <n v="649"/>
    <n v="0"/>
    <n v="0"/>
    <n v="1971.54"/>
    <n v="0"/>
    <n v="134.30000000000001"/>
    <n v="49.86"/>
    <n v="0"/>
    <n v="0"/>
    <n v="2826.4500000000003"/>
    <n v="0"/>
  </r>
  <r>
    <x v="0"/>
    <x v="0"/>
    <x v="0"/>
    <s v="6060102"/>
    <n v="749510"/>
    <s v="Licenses"/>
    <s v="Plant Ops &amp; Maintenance"/>
    <x v="0"/>
    <n v="1002"/>
    <n v="0"/>
    <n v="1170.5999999999999"/>
    <n v="254.7"/>
    <n v="326.2"/>
    <n v="0"/>
    <n v="0"/>
    <n v="0"/>
    <n v="0"/>
    <n v="0"/>
    <n v="372"/>
    <n v="0"/>
    <n v="0"/>
    <n v="2123.5"/>
    <n v="0"/>
  </r>
  <r>
    <x v="0"/>
    <x v="0"/>
    <x v="0"/>
    <s v="6060102"/>
    <n v="749530"/>
    <s v="Mileage"/>
    <s v="Plant Ops &amp; Maintenance"/>
    <x v="0"/>
    <n v="1001"/>
    <n v="0"/>
    <n v="0"/>
    <n v="0"/>
    <n v="0"/>
    <n v="0"/>
    <n v="0"/>
    <n v="0"/>
    <n v="0"/>
    <n v="0"/>
    <n v="19.14"/>
    <n v="0"/>
    <n v="0"/>
    <n v="19.14"/>
    <n v="0"/>
  </r>
  <r>
    <x v="14"/>
    <x v="4"/>
    <x v="0"/>
    <s v="6060103"/>
    <n v="600050"/>
    <s v="Miscellaneous Revenue"/>
    <s v="Utility Plant"/>
    <x v="0"/>
    <m/>
    <n v="0"/>
    <n v="0"/>
    <n v="0"/>
    <n v="0"/>
    <n v="0"/>
    <n v="-24.71"/>
    <n v="0"/>
    <n v="-18.61"/>
    <n v="0"/>
    <n v="0"/>
    <n v="0"/>
    <n v="0"/>
    <n v="-43.32"/>
    <n v="0"/>
  </r>
  <r>
    <x v="5"/>
    <x v="4"/>
    <x v="0"/>
    <s v="6060103"/>
    <n v="700038"/>
    <s v="Salaries-Service/Support-Productive"/>
    <s v="Utility Plant"/>
    <x v="0"/>
    <m/>
    <n v="22369.35"/>
    <n v="21750.34"/>
    <n v="25400.79"/>
    <n v="23432.09"/>
    <n v="27728.19"/>
    <n v="22988.38"/>
    <n v="25531.27"/>
    <n v="22051.48"/>
    <n v="27894.65"/>
    <n v="23529.69"/>
    <n v="24727.49"/>
    <n v="24766.45"/>
    <n v="292170.17000000004"/>
    <n v="-38.959999999999127"/>
  </r>
  <r>
    <x v="5"/>
    <x v="4"/>
    <x v="0"/>
    <s v="6060103"/>
    <n v="700038"/>
    <s v="Salaries-Service/Support-OT"/>
    <s v="Utility Plant"/>
    <x v="0"/>
    <n v="1000"/>
    <n v="0"/>
    <n v="43.72"/>
    <n v="20.6"/>
    <n v="606.21"/>
    <n v="-257.33"/>
    <n v="13"/>
    <n v="0"/>
    <n v="13.21"/>
    <n v="11.51"/>
    <n v="-5.44"/>
    <n v="13.41"/>
    <n v="0"/>
    <n v="458.89"/>
    <n v="13.41"/>
  </r>
  <r>
    <x v="5"/>
    <x v="4"/>
    <x v="0"/>
    <s v="6060103"/>
    <n v="700038"/>
    <s v="Salaries-Service/Support-Other"/>
    <s v="Utility Plant"/>
    <x v="0"/>
    <n v="2000"/>
    <n v="1906.13"/>
    <n v="1671.48"/>
    <n v="1697.15"/>
    <n v="1926.99"/>
    <n v="1647.72"/>
    <n v="1836.23"/>
    <n v="1785.7"/>
    <n v="1756.13"/>
    <n v="1777.54"/>
    <n v="1767.32"/>
    <n v="1632.92"/>
    <n v="1791.07"/>
    <n v="21196.379999999997"/>
    <n v="-158.14999999999986"/>
  </r>
  <r>
    <x v="5"/>
    <x v="4"/>
    <x v="0"/>
    <s v="6060103"/>
    <n v="700078"/>
    <s v="Salaries-Service/Support-Non-productive"/>
    <s v="Utility Plant"/>
    <x v="0"/>
    <m/>
    <n v="6187.81"/>
    <n v="6525.03"/>
    <n v="2117.84"/>
    <n v="4828.8900000000003"/>
    <n v="-413.5"/>
    <n v="5376.68"/>
    <n v="3060.76"/>
    <n v="4057.66"/>
    <n v="456.39"/>
    <n v="3943.29"/>
    <n v="3819.59"/>
    <n v="2747.85"/>
    <n v="42708.29"/>
    <n v="1071.7400000000002"/>
  </r>
  <r>
    <x v="5"/>
    <x v="4"/>
    <x v="0"/>
    <s v="6060103"/>
    <n v="700078"/>
    <s v="Salaries-Service/Support-NonProd-Other"/>
    <s v="Utility Plant"/>
    <x v="0"/>
    <n v="2000"/>
    <n v="284.92"/>
    <n v="303.54000000000002"/>
    <n v="184.47"/>
    <n v="142.55000000000001"/>
    <n v="-42.42"/>
    <n v="206.55"/>
    <n v="152.72999999999999"/>
    <n v="175.2"/>
    <n v="-3.86"/>
    <n v="18.54"/>
    <n v="149.91"/>
    <n v="101.37"/>
    <n v="1673.5000000000005"/>
    <n v="48.539999999999992"/>
  </r>
  <r>
    <x v="5"/>
    <x v="4"/>
    <x v="0"/>
    <s v="6060103"/>
    <n v="700084"/>
    <s v="Accrued PTO"/>
    <s v="Utility Plant"/>
    <x v="0"/>
    <m/>
    <n v="-732.01"/>
    <n v="-2111.06"/>
    <n v="142.16"/>
    <n v="228.76"/>
    <n v="1973.01"/>
    <n v="1062.1600000000001"/>
    <n v="1119.49"/>
    <n v="556.79"/>
    <n v="3361.77"/>
    <n v="133.55000000000001"/>
    <n v="-844.9"/>
    <n v="28.04"/>
    <n v="4917.76"/>
    <n v="-872.93999999999994"/>
  </r>
  <r>
    <x v="6"/>
    <x v="4"/>
    <x v="0"/>
    <s v="6060103"/>
    <n v="713010"/>
    <s v="Benefits-FICA/Medicare"/>
    <s v="Utility Plant"/>
    <x v="0"/>
    <m/>
    <n v="2310.86"/>
    <n v="2276.12"/>
    <n v="2210.66"/>
    <n v="2325.2800000000002"/>
    <n v="2157.33"/>
    <n v="2285.6"/>
    <n v="2290.88"/>
    <n v="2104.92"/>
    <n v="2260.33"/>
    <n v="2194.6"/>
    <n v="2275.9899999999998"/>
    <n v="2204.9499999999998"/>
    <n v="26897.52"/>
    <n v="71.039999999999964"/>
  </r>
  <r>
    <x v="6"/>
    <x v="4"/>
    <x v="0"/>
    <s v="6060103"/>
    <n v="713090"/>
    <s v="Benefits-Allocated Amounts"/>
    <s v="Utility Plant"/>
    <x v="0"/>
    <m/>
    <n v="6373.51"/>
    <n v="5324.62"/>
    <n v="5901.94"/>
    <n v="5892.63"/>
    <n v="5937.6"/>
    <n v="6000.71"/>
    <n v="6463.44"/>
    <n v="6200.37"/>
    <n v="6156.95"/>
    <n v="6513"/>
    <n v="6448.36"/>
    <n v="6521.24"/>
    <n v="73734.37000000001"/>
    <n v="-72.880000000000109"/>
  </r>
  <r>
    <x v="7"/>
    <x v="4"/>
    <x v="0"/>
    <s v="6060103"/>
    <n v="718050"/>
    <s v="Contract Svcs-Other"/>
    <s v="Utility Plant"/>
    <x v="0"/>
    <m/>
    <n v="4569.05"/>
    <n v="8553.4699999999993"/>
    <n v="175.62"/>
    <n v="5798.93"/>
    <n v="-2505.61"/>
    <n v="2441.1"/>
    <n v="7916.78"/>
    <n v="2815.33"/>
    <n v="1956.67"/>
    <n v="4908.4799999999996"/>
    <n v="2664.25"/>
    <n v="6519.35"/>
    <n v="45813.419999999991"/>
    <n v="-3855.1000000000004"/>
  </r>
  <r>
    <x v="7"/>
    <x v="4"/>
    <x v="0"/>
    <s v="6060103"/>
    <n v="718050"/>
    <s v="Document Shredding/Storage"/>
    <s v="Utility Plant"/>
    <x v="0"/>
    <n v="1012"/>
    <n v="0"/>
    <n v="854.25"/>
    <n v="532.5"/>
    <n v="841.5"/>
    <n v="0"/>
    <n v="876.75"/>
    <n v="0"/>
    <n v="328.5"/>
    <n v="549"/>
    <n v="0"/>
    <n v="441"/>
    <n v="0"/>
    <n v="4423.5"/>
    <n v="441"/>
  </r>
  <r>
    <x v="7"/>
    <x v="4"/>
    <x v="0"/>
    <s v="6060103"/>
    <n v="718050"/>
    <s v="Lawn Services"/>
    <s v="Utility Plant"/>
    <x v="0"/>
    <n v="1013"/>
    <n v="5284.92"/>
    <n v="6650.87"/>
    <n v="3053.13"/>
    <n v="3328.79"/>
    <n v="4280.93"/>
    <n v="1038.8599999999999"/>
    <n v="6246.36"/>
    <n v="6617.59"/>
    <n v="0"/>
    <n v="3886.74"/>
    <n v="6754.05"/>
    <n v="1307.83"/>
    <n v="48450.070000000007"/>
    <n v="5446.22"/>
  </r>
  <r>
    <x v="7"/>
    <x v="4"/>
    <x v="0"/>
    <s v="6060103"/>
    <n v="718050"/>
    <s v="Pest Control"/>
    <s v="Utility Plant"/>
    <x v="0"/>
    <n v="1014"/>
    <n v="88.29"/>
    <n v="334.81"/>
    <n v="875.96"/>
    <n v="122.26"/>
    <n v="334.81"/>
    <n v="212.55"/>
    <n v="457.07"/>
    <n v="736.2"/>
    <n v="384.65"/>
    <n v="318.70999999999998"/>
    <n v="0"/>
    <n v="164.85"/>
    <n v="4030.16"/>
    <n v="-164.85"/>
  </r>
  <r>
    <x v="7"/>
    <x v="4"/>
    <x v="0"/>
    <s v="6060103"/>
    <n v="718050"/>
    <s v="Miscellaneous Purchased Svcs"/>
    <s v="Utility Plant"/>
    <x v="0"/>
    <n v="1020"/>
    <n v="0"/>
    <n v="0"/>
    <n v="297.3"/>
    <n v="0"/>
    <n v="0"/>
    <n v="0"/>
    <n v="0"/>
    <n v="0"/>
    <n v="0"/>
    <n v="1596.49"/>
    <n v="0"/>
    <n v="31.08"/>
    <n v="1924.87"/>
    <n v="-31.08"/>
  </r>
  <r>
    <x v="7"/>
    <x v="4"/>
    <x v="0"/>
    <s v="6060103"/>
    <n v="718050"/>
    <s v="Purchased Srvcs--Medical Waste"/>
    <s v="Utility Plant"/>
    <x v="0"/>
    <n v="1027"/>
    <n v="12328.85"/>
    <n v="11736.51"/>
    <n v="11080.18"/>
    <n v="18798.87"/>
    <n v="11415.64"/>
    <n v="13092.05"/>
    <n v="10145.65"/>
    <n v="13132.34"/>
    <n v="12761.33"/>
    <n v="10852.21"/>
    <n v="13651.82"/>
    <n v="10064.620000000001"/>
    <n v="149060.07"/>
    <n v="3587.1999999999989"/>
  </r>
  <r>
    <x v="7"/>
    <x v="4"/>
    <x v="0"/>
    <s v="6060103"/>
    <n v="718050"/>
    <s v="Purchased Service-Fire/Life Safety Test"/>
    <s v="Utility Plant"/>
    <x v="0"/>
    <n v="5101"/>
    <n v="0"/>
    <n v="5265.61"/>
    <n v="230.79"/>
    <n v="7428.2"/>
    <n v="550.6"/>
    <n v="0"/>
    <n v="529.72"/>
    <n v="11152.95"/>
    <n v="175.62"/>
    <n v="0"/>
    <n v="0"/>
    <n v="181.44"/>
    <n v="25514.929999999997"/>
    <n v="-181.44"/>
  </r>
  <r>
    <x v="7"/>
    <x v="4"/>
    <x v="0"/>
    <s v="6060103"/>
    <n v="718071"/>
    <s v="Contract Srvcs-CHI Facilities Mgmt"/>
    <s v="Utility Plant"/>
    <x v="0"/>
    <m/>
    <n v="16788.04"/>
    <n v="18306.54"/>
    <n v="18856.810000000001"/>
    <n v="20298.54"/>
    <n v="19832.53"/>
    <n v="16900.080000000002"/>
    <n v="20856.41"/>
    <n v="15957.89"/>
    <n v="17637.099999999999"/>
    <n v="20907.310000000001"/>
    <n v="21120.799999999999"/>
    <n v="16489.14"/>
    <n v="223951.18999999994"/>
    <n v="4631.66"/>
  </r>
  <r>
    <x v="11"/>
    <x v="4"/>
    <x v="0"/>
    <s v="6060103"/>
    <n v="721220"/>
    <s v="Supplies-Medical Gases - Billable"/>
    <s v="Utility Plant"/>
    <x v="0"/>
    <m/>
    <n v="8"/>
    <n v="8"/>
    <n v="0"/>
    <n v="16"/>
    <n v="8"/>
    <n v="8"/>
    <n v="8"/>
    <n v="16"/>
    <n v="8"/>
    <n v="8"/>
    <n v="0"/>
    <n v="16"/>
    <n v="104"/>
    <n v="-16"/>
  </r>
  <r>
    <x v="11"/>
    <x v="4"/>
    <x v="0"/>
    <s v="6060103"/>
    <n v="721410"/>
    <s v="Supplies-Medical - Nonbillable"/>
    <s v="Utility Plant"/>
    <x v="0"/>
    <m/>
    <n v="0"/>
    <n v="0"/>
    <n v="0"/>
    <n v="0"/>
    <n v="0.56999999999999995"/>
    <n v="27.8"/>
    <n v="0"/>
    <n v="0"/>
    <n v="0"/>
    <n v="0"/>
    <n v="0"/>
    <n v="0"/>
    <n v="28.37"/>
    <n v="0"/>
  </r>
  <r>
    <x v="11"/>
    <x v="4"/>
    <x v="0"/>
    <s v="6060103"/>
    <n v="721810"/>
    <s v="Supplies-Dietary/Cafeteria"/>
    <s v="Utility Plant"/>
    <x v="0"/>
    <m/>
    <n v="151.13"/>
    <n v="29.14"/>
    <n v="82.41"/>
    <n v="197.37"/>
    <n v="83.49"/>
    <n v="85.74"/>
    <n v="82.13"/>
    <n v="84.74"/>
    <n v="4.7699999999999996"/>
    <n v="368.03"/>
    <n v="38.78"/>
    <n v="1315.42"/>
    <n v="2523.1499999999996"/>
    <n v="-1276.6400000000001"/>
  </r>
  <r>
    <x v="11"/>
    <x v="4"/>
    <x v="0"/>
    <s v="6060103"/>
    <n v="721830"/>
    <s v="Supplies-Office"/>
    <s v="Utility Plant"/>
    <x v="0"/>
    <m/>
    <n v="2.34"/>
    <n v="0"/>
    <n v="29.49"/>
    <n v="0"/>
    <n v="0"/>
    <n v="0"/>
    <n v="61.04"/>
    <n v="30.21"/>
    <n v="0"/>
    <n v="179.66"/>
    <n v="0"/>
    <n v="0"/>
    <n v="302.74"/>
    <n v="0"/>
  </r>
  <r>
    <x v="11"/>
    <x v="4"/>
    <x v="0"/>
    <s v="6060103"/>
    <n v="721850"/>
    <s v="Supplies-Maintenance"/>
    <s v="Utility Plant"/>
    <x v="0"/>
    <m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6060103"/>
    <n v="721870"/>
    <s v="Supplies-Environmental Services"/>
    <s v="Utility Plant"/>
    <x v="0"/>
    <m/>
    <n v="0"/>
    <n v="0"/>
    <n v="0"/>
    <n v="4.8"/>
    <n v="39"/>
    <n v="0"/>
    <n v="0"/>
    <n v="0"/>
    <n v="0"/>
    <n v="0"/>
    <n v="0"/>
    <n v="0"/>
    <n v="43.8"/>
    <n v="0"/>
  </r>
  <r>
    <x v="11"/>
    <x v="4"/>
    <x v="0"/>
    <s v="6060103"/>
    <n v="721910"/>
    <s v="Supplies-Small Equipment"/>
    <s v="Utility Plant"/>
    <x v="0"/>
    <m/>
    <n v="1892.48"/>
    <n v="3107.7"/>
    <n v="24.96"/>
    <n v="755.27"/>
    <n v="-726.93"/>
    <n v="14.4"/>
    <n v="61.68"/>
    <n v="14.4"/>
    <n v="1317.23"/>
    <n v="112.73"/>
    <n v="50.4"/>
    <n v="158.22999999999999"/>
    <n v="6782.5499999999975"/>
    <n v="-107.82999999999998"/>
  </r>
  <r>
    <x v="11"/>
    <x v="4"/>
    <x v="0"/>
    <s v="6060103"/>
    <n v="721980"/>
    <s v="Supplies-Other"/>
    <s v="Utility Plant"/>
    <x v="0"/>
    <m/>
    <n v="269.26"/>
    <n v="67.91"/>
    <n v="86.83"/>
    <n v="506.52"/>
    <n v="0"/>
    <n v="81.010000000000005"/>
    <n v="0"/>
    <n v="383.9"/>
    <n v="0"/>
    <n v="43.07"/>
    <n v="2306"/>
    <n v="32.97"/>
    <n v="3777.47"/>
    <n v="2273.0300000000002"/>
  </r>
  <r>
    <x v="11"/>
    <x v="4"/>
    <x v="0"/>
    <s v="6060103"/>
    <n v="722000"/>
    <s v="Supplies-Freight Expense"/>
    <s v="Utility Plant"/>
    <x v="0"/>
    <m/>
    <n v="0"/>
    <n v="258.68"/>
    <n v="193.16"/>
    <n v="7.06"/>
    <n v="187.28"/>
    <n v="12.5"/>
    <n v="253.62"/>
    <n v="14.61"/>
    <n v="0"/>
    <n v="28.32"/>
    <n v="10.63"/>
    <n v="14.31"/>
    <n v="980.17000000000007"/>
    <n v="-3.6799999999999997"/>
  </r>
  <r>
    <x v="12"/>
    <x v="4"/>
    <x v="0"/>
    <s v="6060103"/>
    <n v="730020"/>
    <s v="Rental and Leases-Copier Usage Fees (DO NOT USE)"/>
    <s v="Utility Plant"/>
    <x v="0"/>
    <n v="5100"/>
    <n v="132.46"/>
    <n v="134.09"/>
    <n v="133.28"/>
    <n v="133.27000000000001"/>
    <n v="133.28"/>
    <n v="133.27000000000001"/>
    <n v="148.55000000000001"/>
    <n v="92.42"/>
    <n v="92.23"/>
    <n v="223.86"/>
    <n v="92.42"/>
    <n v="192.98"/>
    <n v="1642.1100000000001"/>
    <n v="-100.55999999999999"/>
  </r>
  <r>
    <x v="15"/>
    <x v="4"/>
    <x v="0"/>
    <s v="6060103"/>
    <n v="731010"/>
    <s v="Natural Gas"/>
    <s v="Utility Plant"/>
    <x v="0"/>
    <m/>
    <n v="8297.6"/>
    <n v="8335.7999999999993"/>
    <n v="9016.39"/>
    <n v="9361.35"/>
    <n v="14166.06"/>
    <n v="14471"/>
    <n v="8840.74"/>
    <n v="6894.12"/>
    <n v="7821.6"/>
    <n v="7689.67"/>
    <n v="10563.94"/>
    <n v="18371.84"/>
    <n v="123830.11"/>
    <n v="-7807.9"/>
  </r>
  <r>
    <x v="15"/>
    <x v="4"/>
    <x v="0"/>
    <s v="6060103"/>
    <n v="731020"/>
    <s v="Electricity"/>
    <s v="Utility Plant"/>
    <x v="0"/>
    <m/>
    <n v="38307.129999999997"/>
    <n v="35152.28"/>
    <n v="33830.03"/>
    <n v="26237.84"/>
    <n v="25577.27"/>
    <n v="24125.07"/>
    <n v="22840.68"/>
    <n v="23517.11"/>
    <n v="22753.79"/>
    <n v="24464.02"/>
    <n v="25094.89"/>
    <n v="27859.86"/>
    <n v="329759.96999999997"/>
    <n v="-2764.9700000000012"/>
  </r>
  <r>
    <x v="15"/>
    <x v="4"/>
    <x v="0"/>
    <s v="6060103"/>
    <n v="731030"/>
    <s v="Water"/>
    <s v="Utility Plant"/>
    <x v="0"/>
    <m/>
    <n v="1529.59"/>
    <n v="8410.74"/>
    <n v="4592.47"/>
    <n v="5348.58"/>
    <n v="12047.18"/>
    <n v="5321.85"/>
    <n v="625.48"/>
    <n v="3218.04"/>
    <n v="6010.79"/>
    <n v="6897.88"/>
    <n v="0"/>
    <n v="9303.25"/>
    <n v="63305.85"/>
    <n v="-9303.25"/>
  </r>
  <r>
    <x v="15"/>
    <x v="4"/>
    <x v="0"/>
    <s v="6060103"/>
    <n v="731040"/>
    <s v="Sewer"/>
    <s v="Utility Plant"/>
    <x v="0"/>
    <m/>
    <n v="9594.2900000000009"/>
    <n v="9594.2900000000009"/>
    <n v="9594.2900000000009"/>
    <n v="9594.2900000000009"/>
    <n v="9594.2900000000009"/>
    <n v="9594.2900000000009"/>
    <n v="9594.2900000000009"/>
    <n v="10700.36"/>
    <n v="10925.36"/>
    <n v="10700.36"/>
    <n v="10700.36"/>
    <n v="10700.36"/>
    <n v="120886.83"/>
    <n v="0"/>
  </r>
  <r>
    <x v="15"/>
    <x v="4"/>
    <x v="0"/>
    <s v="6060103"/>
    <n v="731050"/>
    <s v="Refuse Disposal"/>
    <s v="Utility Plant"/>
    <x v="0"/>
    <m/>
    <n v="9771.9500000000007"/>
    <n v="10260.31"/>
    <n v="10390.32"/>
    <n v="9649.67"/>
    <n v="11443.49"/>
    <n v="9361.65"/>
    <n v="12384.24"/>
    <n v="10659.35"/>
    <n v="10503.4"/>
    <n v="10759.78"/>
    <n v="12076.09"/>
    <n v="11307.18"/>
    <n v="128567.43"/>
    <n v="768.90999999999985"/>
  </r>
  <r>
    <x v="15"/>
    <x v="4"/>
    <x v="0"/>
    <s v="6060103"/>
    <n v="731060"/>
    <s v="Pagers"/>
    <s v="Utility Plant"/>
    <x v="0"/>
    <n v="1002"/>
    <n v="56.7"/>
    <n v="56.7"/>
    <n v="56.7"/>
    <n v="56.84"/>
    <n v="56.84"/>
    <n v="0"/>
    <n v="113.68"/>
    <n v="56.84"/>
    <n v="56.84"/>
    <n v="56.84"/>
    <n v="56.84"/>
    <n v="56.84"/>
    <n v="681.6600000000002"/>
    <n v="0"/>
  </r>
  <r>
    <x v="15"/>
    <x v="4"/>
    <x v="0"/>
    <s v="6060103"/>
    <n v="731070"/>
    <s v="Cable TV"/>
    <s v="Utility Plant"/>
    <x v="0"/>
    <m/>
    <n v="2664.42"/>
    <n v="2664.42"/>
    <n v="2664.42"/>
    <n v="2662.78"/>
    <n v="2662.78"/>
    <n v="2662.78"/>
    <n v="2740.74"/>
    <n v="2740.74"/>
    <n v="2740.74"/>
    <n v="2740.74"/>
    <n v="2741.71"/>
    <n v="2741.71"/>
    <n v="32427.979999999996"/>
    <n v="0"/>
  </r>
  <r>
    <x v="15"/>
    <x v="4"/>
    <x v="0"/>
    <s v="6060103"/>
    <n v="731090"/>
    <s v="Other Utilities"/>
    <s v="Utility Plant"/>
    <x v="0"/>
    <m/>
    <n v="0"/>
    <n v="712.76"/>
    <n v="0"/>
    <n v="0"/>
    <n v="0"/>
    <n v="0"/>
    <n v="0"/>
    <n v="0"/>
    <n v="0"/>
    <n v="0"/>
    <n v="0"/>
    <n v="0"/>
    <n v="712.76"/>
    <n v="0"/>
  </r>
  <r>
    <x v="15"/>
    <x v="4"/>
    <x v="0"/>
    <s v="6060103"/>
    <n v="731090"/>
    <s v="Fuel-Oil"/>
    <s v="Utility Plant"/>
    <x v="0"/>
    <n v="6200"/>
    <n v="0"/>
    <n v="0"/>
    <n v="0"/>
    <n v="0"/>
    <n v="0"/>
    <n v="0"/>
    <n v="0"/>
    <n v="0"/>
    <n v="0"/>
    <n v="0"/>
    <n v="12421.99"/>
    <n v="0"/>
    <n v="12421.99"/>
    <n v="12421.99"/>
  </r>
  <r>
    <x v="16"/>
    <x v="4"/>
    <x v="0"/>
    <s v="6060103"/>
    <n v="732015"/>
    <s v="Repairs-Clinical Equip-T&amp;M-Ext to CHI Programs"/>
    <s v="Utility Plant"/>
    <x v="0"/>
    <m/>
    <n v="0"/>
    <n v="0"/>
    <n v="0"/>
    <n v="0"/>
    <n v="0"/>
    <n v="336.29"/>
    <n v="0"/>
    <n v="0"/>
    <n v="0"/>
    <n v="0"/>
    <n v="0"/>
    <n v="0"/>
    <n v="336.29"/>
    <n v="0"/>
  </r>
  <r>
    <x v="16"/>
    <x v="4"/>
    <x v="0"/>
    <s v="6060103"/>
    <n v="732020"/>
    <s v="Repairs--Clin Equip-Parts-Internal to CHI Programs"/>
    <s v="Utility Plant"/>
    <x v="0"/>
    <m/>
    <n v="145.99"/>
    <n v="1958.25"/>
    <n v="0"/>
    <n v="1086.32"/>
    <n v="350.38"/>
    <n v="1080.8"/>
    <n v="0"/>
    <n v="5.28"/>
    <n v="1445.96"/>
    <n v="856.39"/>
    <n v="1361.89"/>
    <n v="451.64"/>
    <n v="8742.9"/>
    <n v="910.25000000000011"/>
  </r>
  <r>
    <x v="16"/>
    <x v="4"/>
    <x v="0"/>
    <s v="6060103"/>
    <n v="732030"/>
    <s v="Repairs---Other"/>
    <s v="Utility Plant"/>
    <x v="0"/>
    <m/>
    <n v="13297.44"/>
    <n v="20035.34"/>
    <n v="39157.21"/>
    <n v="52656.959999999999"/>
    <n v="18531.78"/>
    <n v="22389.03"/>
    <n v="31766.27"/>
    <n v="33631.75"/>
    <n v="12482.28"/>
    <n v="6407.17"/>
    <n v="28213.72"/>
    <n v="14578.46"/>
    <n v="293147.40999999997"/>
    <n v="13635.260000000002"/>
  </r>
  <r>
    <x v="16"/>
    <x v="4"/>
    <x v="0"/>
    <s v="6060103"/>
    <n v="732030"/>
    <s v="Vehicle Maintenance"/>
    <s v="Utility Plant"/>
    <x v="0"/>
    <n v="1000"/>
    <n v="0"/>
    <n v="0"/>
    <n v="0"/>
    <n v="0"/>
    <n v="0"/>
    <n v="57.99"/>
    <n v="0"/>
    <n v="0"/>
    <n v="0"/>
    <n v="0"/>
    <n v="0"/>
    <n v="0"/>
    <n v="57.99"/>
    <n v="0"/>
  </r>
  <r>
    <x v="16"/>
    <x v="4"/>
    <x v="0"/>
    <s v="6060103"/>
    <n v="732030"/>
    <s v="Repairs&amp;Maintenance-Bldg Routine"/>
    <s v="Utility Plant"/>
    <x v="0"/>
    <n v="2300"/>
    <n v="6409.64"/>
    <n v="0"/>
    <n v="1206.83"/>
    <n v="141.62"/>
    <n v="0"/>
    <n v="814.68"/>
    <n v="4829.57"/>
    <n v="20909.7"/>
    <n v="8727.15"/>
    <n v="10998.95"/>
    <n v="9275.1"/>
    <n v="17348.95"/>
    <n v="80662.19"/>
    <n v="-8073.85"/>
  </r>
  <r>
    <x v="16"/>
    <x v="4"/>
    <x v="0"/>
    <s v="6060103"/>
    <n v="732030"/>
    <s v="Repairs&amp;Maintenance-Electrical"/>
    <s v="Utility Plant"/>
    <x v="0"/>
    <n v="5100"/>
    <n v="0"/>
    <n v="0"/>
    <n v="1486.62"/>
    <n v="1745.89"/>
    <n v="3668.43"/>
    <n v="1003.6"/>
    <n v="798.45"/>
    <n v="145.01"/>
    <n v="463.17"/>
    <n v="543.9"/>
    <n v="0"/>
    <n v="608.46"/>
    <n v="10463.530000000002"/>
    <n v="-608.46"/>
  </r>
  <r>
    <x v="16"/>
    <x v="4"/>
    <x v="0"/>
    <s v="6060103"/>
    <n v="732030"/>
    <s v="Repairs&amp;Maintenance-Elevator"/>
    <s v="Utility Plant"/>
    <x v="0"/>
    <n v="5101"/>
    <n v="524.22"/>
    <n v="0"/>
    <n v="0"/>
    <n v="0"/>
    <n v="0"/>
    <n v="0"/>
    <n v="0"/>
    <n v="0"/>
    <n v="0"/>
    <n v="0"/>
    <n v="0"/>
    <n v="0"/>
    <n v="524.22"/>
    <n v="0"/>
  </r>
  <r>
    <x v="16"/>
    <x v="4"/>
    <x v="0"/>
    <s v="6060103"/>
    <n v="732030"/>
    <s v="Repairs&amp;Maintenance-HVAC"/>
    <s v="Utility Plant"/>
    <x v="0"/>
    <n v="5102"/>
    <n v="0"/>
    <n v="0"/>
    <n v="366.04"/>
    <n v="0"/>
    <n v="0"/>
    <n v="768.28"/>
    <n v="0"/>
    <n v="0"/>
    <n v="0"/>
    <n v="0"/>
    <n v="0"/>
    <n v="1612.15"/>
    <n v="2746.4700000000003"/>
    <n v="-1612.15"/>
  </r>
  <r>
    <x v="16"/>
    <x v="4"/>
    <x v="0"/>
    <s v="6060103"/>
    <n v="732030"/>
    <s v="Repairs&amp;Maintenance-Plumbing"/>
    <s v="Utility Plant"/>
    <x v="0"/>
    <n v="5103"/>
    <n v="0"/>
    <n v="156.52000000000001"/>
    <n v="0"/>
    <n v="59.45"/>
    <n v="0"/>
    <n v="0"/>
    <n v="0"/>
    <n v="142.6"/>
    <n v="0"/>
    <n v="0"/>
    <n v="0"/>
    <n v="847.88"/>
    <n v="1206.45"/>
    <n v="-847.88"/>
  </r>
  <r>
    <x v="16"/>
    <x v="4"/>
    <x v="0"/>
    <s v="6060103"/>
    <n v="733030"/>
    <s v="Maintenance Contracts-Other"/>
    <s v="Utility Plant"/>
    <x v="0"/>
    <m/>
    <n v="3201.69"/>
    <n v="1774.96"/>
    <n v="2813.78"/>
    <n v="2937.7"/>
    <n v="4862.28"/>
    <n v="1336.92"/>
    <n v="5386.65"/>
    <n v="3179.3"/>
    <n v="1425.23"/>
    <n v="1513.85"/>
    <n v="4937.7"/>
    <n v="1774.96"/>
    <n v="35145.019999999997"/>
    <n v="3162.74"/>
  </r>
  <r>
    <x v="16"/>
    <x v="4"/>
    <x v="0"/>
    <s v="6060103"/>
    <n v="733030"/>
    <s v="Maintenance Contract-Landscape General"/>
    <s v="Utility Plant"/>
    <x v="0"/>
    <n v="5105"/>
    <n v="0"/>
    <n v="0"/>
    <n v="0"/>
    <n v="0"/>
    <n v="0"/>
    <n v="0"/>
    <n v="0"/>
    <n v="0"/>
    <n v="0"/>
    <n v="0"/>
    <n v="0"/>
    <n v="2840.87"/>
    <n v="2840.87"/>
    <n v="-2840.87"/>
  </r>
  <r>
    <x v="16"/>
    <x v="4"/>
    <x v="0"/>
    <s v="6060103"/>
    <n v="733030"/>
    <s v="Maintenance Contract-Parking"/>
    <s v="Utility Plant"/>
    <x v="0"/>
    <n v="5106"/>
    <n v="0"/>
    <n v="0"/>
    <n v="0"/>
    <n v="0"/>
    <n v="0"/>
    <n v="0"/>
    <n v="0"/>
    <n v="0"/>
    <n v="0"/>
    <n v="0"/>
    <n v="4628.34"/>
    <n v="1558.82"/>
    <n v="6187.16"/>
    <n v="3069.5200000000004"/>
  </r>
  <r>
    <x v="13"/>
    <x v="4"/>
    <x v="0"/>
    <s v="6060103"/>
    <n v="735040"/>
    <s v="Depreciation-Building Improvements"/>
    <s v="Utility Plant"/>
    <x v="0"/>
    <m/>
    <n v="128.12"/>
    <n v="128.12"/>
    <n v="128.12"/>
    <n v="128.12"/>
    <n v="128.12"/>
    <n v="128.11000000000001"/>
    <n v="128.12"/>
    <n v="128.11000000000001"/>
    <n v="707.2"/>
    <n v="978.33"/>
    <n v="978.36"/>
    <n v="978.33"/>
    <n v="4667.1600000000008"/>
    <n v="2.9999999999972715E-2"/>
  </r>
  <r>
    <x v="13"/>
    <x v="4"/>
    <x v="0"/>
    <s v="6060103"/>
    <n v="735050"/>
    <s v="Amortization-Leasehold Improvements"/>
    <s v="Utility Plant"/>
    <x v="0"/>
    <m/>
    <n v="516.21"/>
    <n v="516.21"/>
    <n v="516.22"/>
    <n v="516.21"/>
    <n v="516.22"/>
    <n v="516.21"/>
    <n v="516.22"/>
    <n v="516.21"/>
    <n v="516.23"/>
    <n v="516.21"/>
    <n v="516.23"/>
    <n v="58.89"/>
    <n v="5737.2700000000013"/>
    <n v="457.34000000000003"/>
  </r>
  <r>
    <x v="13"/>
    <x v="4"/>
    <x v="0"/>
    <s v="6060103"/>
    <n v="735060"/>
    <s v="Depreciation-Fixed Equipment"/>
    <s v="Utility Plant"/>
    <x v="0"/>
    <m/>
    <n v="705.74"/>
    <n v="705.74"/>
    <n v="705.74"/>
    <n v="705.74"/>
    <n v="705.74"/>
    <n v="705.73"/>
    <n v="705.75"/>
    <n v="705.72"/>
    <n v="705.76"/>
    <n v="705.72"/>
    <n v="705.81"/>
    <n v="705.71"/>
    <n v="8468.9000000000015"/>
    <n v="9.9999999999909051E-2"/>
  </r>
  <r>
    <x v="13"/>
    <x v="4"/>
    <x v="0"/>
    <s v="6060103"/>
    <n v="735070"/>
    <s v="Depreciation-Movable Equipment"/>
    <s v="Utility Plant"/>
    <x v="0"/>
    <m/>
    <n v="2301.27"/>
    <n v="2301.25"/>
    <n v="2301.27"/>
    <n v="2301.25"/>
    <n v="2301.2800000000002"/>
    <n v="2301.25"/>
    <n v="2301.2800000000002"/>
    <n v="2301.25"/>
    <n v="2301.2800000000002"/>
    <n v="2301.25"/>
    <n v="2301.2800000000002"/>
    <n v="2301.23"/>
    <n v="27615.14"/>
    <n v="5.0000000000181899E-2"/>
  </r>
  <r>
    <x v="0"/>
    <x v="4"/>
    <x v="0"/>
    <s v="6060103"/>
    <n v="742040"/>
    <s v="Freight-Other"/>
    <s v="Utility Plant"/>
    <x v="0"/>
    <m/>
    <n v="0"/>
    <n v="0"/>
    <n v="0"/>
    <n v="85.44"/>
    <n v="0"/>
    <n v="0"/>
    <n v="0"/>
    <n v="0"/>
    <n v="0"/>
    <n v="0"/>
    <n v="0"/>
    <n v="341.95"/>
    <n v="427.39"/>
    <n v="-341.95"/>
  </r>
  <r>
    <x v="0"/>
    <x v="4"/>
    <x v="0"/>
    <s v="6060103"/>
    <n v="743020"/>
    <s v="Dues--Individual"/>
    <s v="Utility Plant"/>
    <x v="0"/>
    <m/>
    <n v="0"/>
    <n v="150"/>
    <n v="0"/>
    <n v="0"/>
    <n v="0"/>
    <n v="0"/>
    <n v="25"/>
    <n v="0"/>
    <n v="0"/>
    <n v="0"/>
    <n v="0"/>
    <n v="0"/>
    <n v="175"/>
    <n v="0"/>
  </r>
  <r>
    <x v="0"/>
    <x v="4"/>
    <x v="0"/>
    <s v="6060103"/>
    <n v="743030"/>
    <s v="Subscriptions--Institutional"/>
    <s v="Utility Plant"/>
    <x v="0"/>
    <m/>
    <n v="0"/>
    <n v="0"/>
    <n v="0"/>
    <n v="0"/>
    <n v="0"/>
    <n v="0"/>
    <n v="0"/>
    <n v="0"/>
    <n v="695"/>
    <n v="0"/>
    <n v="0"/>
    <n v="0"/>
    <n v="695"/>
    <n v="0"/>
  </r>
  <r>
    <x v="0"/>
    <x v="4"/>
    <x v="0"/>
    <s v="6060103"/>
    <n v="749510"/>
    <s v="Miscellaneous Expenses"/>
    <s v="Utility Plant"/>
    <x v="0"/>
    <m/>
    <n v="24.74"/>
    <n v="792.71"/>
    <n v="-783.15"/>
    <n v="122.89"/>
    <n v="220.11"/>
    <n v="698.95"/>
    <n v="918.34"/>
    <n v="3434.52"/>
    <n v="-493.82"/>
    <n v="-179.54"/>
    <n v="-36.6"/>
    <n v="-60.02"/>
    <n v="4659.13"/>
    <n v="23.42"/>
  </r>
  <r>
    <x v="0"/>
    <x v="4"/>
    <x v="0"/>
    <s v="6060103"/>
    <n v="749510"/>
    <s v="Licenses"/>
    <s v="Utility Plant"/>
    <x v="0"/>
    <n v="1002"/>
    <n v="0"/>
    <n v="0"/>
    <n v="294.8"/>
    <n v="0"/>
    <n v="0"/>
    <n v="602.15"/>
    <n v="439.8"/>
    <n v="283.5"/>
    <n v="0"/>
    <n v="75"/>
    <n v="0"/>
    <n v="0"/>
    <n v="1695.25"/>
    <n v="0"/>
  </r>
  <r>
    <x v="0"/>
    <x v="4"/>
    <x v="0"/>
    <s v="6060103"/>
    <n v="749510"/>
    <s v="Miscellaneous Expense"/>
    <s v="Utility Plant"/>
    <x v="0"/>
    <n v="1009"/>
    <n v="0"/>
    <n v="0"/>
    <n v="0"/>
    <n v="0"/>
    <n v="0"/>
    <n v="0"/>
    <n v="0"/>
    <n v="831.26"/>
    <n v="0"/>
    <n v="0"/>
    <n v="0"/>
    <n v="0"/>
    <n v="831.26"/>
    <n v="0"/>
  </r>
  <r>
    <x v="0"/>
    <x v="4"/>
    <x v="0"/>
    <s v="6060103"/>
    <n v="749510"/>
    <s v="Signage"/>
    <s v="Utility Plant"/>
    <x v="0"/>
    <n v="5104"/>
    <n v="0"/>
    <n v="0"/>
    <n v="0"/>
    <n v="0"/>
    <n v="0"/>
    <n v="799.57"/>
    <n v="156.65"/>
    <n v="0"/>
    <n v="46.71"/>
    <n v="10.89"/>
    <n v="0"/>
    <n v="0"/>
    <n v="1013.82"/>
    <n v="0"/>
  </r>
  <r>
    <x v="14"/>
    <x v="8"/>
    <x v="0"/>
    <s v="6060104"/>
    <n v="600050"/>
    <s v="Miscellaneous Revenue"/>
    <s v="Plant Ops &amp; Maintenance"/>
    <x v="0"/>
    <m/>
    <n v="0"/>
    <n v="0"/>
    <n v="0"/>
    <n v="0"/>
    <n v="0"/>
    <n v="-33.96"/>
    <n v="0"/>
    <n v="-25.58"/>
    <n v="0"/>
    <n v="0"/>
    <n v="0"/>
    <n v="0"/>
    <n v="-59.54"/>
    <n v="0"/>
  </r>
  <r>
    <x v="5"/>
    <x v="8"/>
    <x v="0"/>
    <s v="6060104"/>
    <n v="700038"/>
    <s v="Salaries-Service/Support-Productive"/>
    <s v="Plant Ops &amp; Maintenance"/>
    <x v="0"/>
    <m/>
    <n v="29034.79"/>
    <n v="28362.53"/>
    <n v="23423.74"/>
    <n v="29420.01"/>
    <n v="30891.37"/>
    <n v="27323.81"/>
    <n v="30246.400000000001"/>
    <n v="20608.96"/>
    <n v="32378.52"/>
    <n v="32400.77"/>
    <n v="27693.96"/>
    <n v="30432.639999999999"/>
    <n v="342217.5"/>
    <n v="-2738.6800000000003"/>
  </r>
  <r>
    <x v="5"/>
    <x v="8"/>
    <x v="0"/>
    <s v="6060104"/>
    <n v="700038"/>
    <s v="Salaries-Service/Support-OT"/>
    <s v="Plant Ops &amp; Maintenance"/>
    <x v="0"/>
    <n v="1000"/>
    <n v="1254.07"/>
    <n v="-145.54"/>
    <n v="11.58"/>
    <n v="415.02"/>
    <n v="-108.73"/>
    <n v="146.85"/>
    <n v="132.11000000000001"/>
    <n v="707.22"/>
    <n v="212.1"/>
    <n v="-69.73"/>
    <n v="114.11"/>
    <n v="29.42"/>
    <n v="2698.48"/>
    <n v="84.69"/>
  </r>
  <r>
    <x v="5"/>
    <x v="8"/>
    <x v="0"/>
    <s v="6060104"/>
    <n v="700038"/>
    <s v="Salaries-Service/Support-Other"/>
    <s v="Plant Ops &amp; Maintenance"/>
    <x v="0"/>
    <n v="2000"/>
    <n v="1322.32"/>
    <n v="1312.75"/>
    <n v="1395.87"/>
    <n v="1528.15"/>
    <n v="1222.0999999999999"/>
    <n v="1469.84"/>
    <n v="1423"/>
    <n v="608.79999999999995"/>
    <n v="1270.67"/>
    <n v="1310.78"/>
    <n v="1488.56"/>
    <n v="1371.41"/>
    <n v="15724.25"/>
    <n v="117.14999999999986"/>
  </r>
  <r>
    <x v="5"/>
    <x v="8"/>
    <x v="0"/>
    <s v="6060104"/>
    <n v="700078"/>
    <s v="Salaries-Service/Support-Non-productive"/>
    <s v="Plant Ops &amp; Maintenance"/>
    <x v="0"/>
    <m/>
    <n v="5350.47"/>
    <n v="5451.57"/>
    <n v="9709.8700000000008"/>
    <n v="5483.95"/>
    <n v="2775.86"/>
    <n v="8006.39"/>
    <n v="4816.91"/>
    <n v="11707.63"/>
    <n v="1840.27"/>
    <n v="2254.23"/>
    <n v="5040.5"/>
    <n v="4473.95"/>
    <n v="66911.600000000006"/>
    <n v="566.55000000000018"/>
  </r>
  <r>
    <x v="5"/>
    <x v="8"/>
    <x v="0"/>
    <s v="6060104"/>
    <n v="700078"/>
    <s v="Salaries-Service/Support-NonProd-Other"/>
    <s v="Plant Ops &amp; Maintenance"/>
    <x v="0"/>
    <n v="2000"/>
    <n v="11.6"/>
    <n v="23.2"/>
    <n v="46.4"/>
    <n v="27.19"/>
    <n v="699.04"/>
    <n v="449.11"/>
    <n v="19.93"/>
    <n v="-1104.25"/>
    <n v="-4.67"/>
    <n v="0"/>
    <n v="204.14"/>
    <n v="-57.45"/>
    <n v="314.24000000000007"/>
    <n v="261.58999999999997"/>
  </r>
  <r>
    <x v="5"/>
    <x v="8"/>
    <x v="0"/>
    <s v="6060104"/>
    <n v="700084"/>
    <s v="Accrued PTO"/>
    <s v="Plant Ops &amp; Maintenance"/>
    <x v="0"/>
    <m/>
    <n v="-893.06"/>
    <n v="-428.76"/>
    <n v="-2482.69"/>
    <n v="926.28"/>
    <n v="-493.92"/>
    <n v="-1727.95"/>
    <n v="-762.23"/>
    <n v="-3510.21"/>
    <n v="1039.33"/>
    <n v="2380.37"/>
    <n v="-443.75"/>
    <n v="120.08"/>
    <n v="-6276.5100000000011"/>
    <n v="-563.83000000000004"/>
  </r>
  <r>
    <x v="6"/>
    <x v="8"/>
    <x v="0"/>
    <s v="6060104"/>
    <n v="713010"/>
    <s v="Benefits-FICA/Medicare"/>
    <s v="Plant Ops &amp; Maintenance"/>
    <x v="0"/>
    <m/>
    <n v="2688.13"/>
    <n v="2537.39"/>
    <n v="2509.91"/>
    <n v="2680.46"/>
    <n v="2683.37"/>
    <n v="2752.45"/>
    <n v="2662.43"/>
    <n v="2447.42"/>
    <n v="2590.65"/>
    <n v="2610.7399999999998"/>
    <n v="2502.15"/>
    <n v="2637.09"/>
    <n v="31302.19"/>
    <n v="-134.94000000000005"/>
  </r>
  <r>
    <x v="6"/>
    <x v="8"/>
    <x v="0"/>
    <s v="6060104"/>
    <n v="713090"/>
    <s v="Benefits-Allocated Amounts"/>
    <s v="Plant Ops &amp; Maintenance"/>
    <x v="0"/>
    <m/>
    <n v="7747.6"/>
    <n v="6534.06"/>
    <n v="6804.43"/>
    <n v="7311.89"/>
    <n v="7230.19"/>
    <n v="7189.73"/>
    <n v="7404.78"/>
    <n v="7311.67"/>
    <n v="7291.36"/>
    <n v="8050.85"/>
    <n v="7208.2"/>
    <n v="7807.4"/>
    <n v="87892.159999999989"/>
    <n v="-599.19999999999982"/>
  </r>
  <r>
    <x v="7"/>
    <x v="8"/>
    <x v="0"/>
    <s v="6060104"/>
    <n v="718050"/>
    <s v="Contract Svcs-Other"/>
    <s v="Plant Ops &amp; Maintenance"/>
    <x v="0"/>
    <m/>
    <n v="0"/>
    <n v="13113"/>
    <n v="11451.71"/>
    <n v="0"/>
    <n v="3009.79"/>
    <n v="0"/>
    <n v="0"/>
    <n v="-13476.21"/>
    <n v="1083.92"/>
    <n v="1382.92"/>
    <n v="19544.21"/>
    <n v="-18460.29"/>
    <n v="17649.049999999996"/>
    <n v="38004.5"/>
  </r>
  <r>
    <x v="7"/>
    <x v="8"/>
    <x v="0"/>
    <s v="6060104"/>
    <n v="718050"/>
    <s v="Cleaning Services"/>
    <s v="Plant Ops &amp; Maintenance"/>
    <x v="0"/>
    <n v="1011"/>
    <n v="0"/>
    <n v="0"/>
    <n v="0"/>
    <n v="0"/>
    <n v="0"/>
    <n v="0"/>
    <n v="0"/>
    <n v="0"/>
    <n v="-14639.91"/>
    <n v="0"/>
    <n v="0"/>
    <n v="19544.21"/>
    <n v="4904.2999999999993"/>
    <n v="-19544.21"/>
  </r>
  <r>
    <x v="7"/>
    <x v="8"/>
    <x v="0"/>
    <s v="6060104"/>
    <n v="718050"/>
    <s v="Document Shredding/Storage"/>
    <s v="Plant Ops &amp; Maintenance"/>
    <x v="0"/>
    <n v="1012"/>
    <n v="0"/>
    <n v="1945.5"/>
    <n v="1200.25"/>
    <n v="1423.5"/>
    <n v="0"/>
    <n v="1708.65"/>
    <n v="0"/>
    <n v="825.75"/>
    <n v="1004.25"/>
    <n v="0"/>
    <n v="820.5"/>
    <n v="0"/>
    <n v="8928.4"/>
    <n v="820.5"/>
  </r>
  <r>
    <x v="7"/>
    <x v="8"/>
    <x v="0"/>
    <s v="6060104"/>
    <n v="718050"/>
    <s v="Lawn Services"/>
    <s v="Plant Ops &amp; Maintenance"/>
    <x v="0"/>
    <n v="1013"/>
    <n v="6922.21"/>
    <n v="7821.89"/>
    <n v="1595.79"/>
    <n v="1509.9"/>
    <n v="2967.56"/>
    <n v="1580.36"/>
    <n v="321.7"/>
    <n v="-4811.67"/>
    <n v="0"/>
    <n v="-5337"/>
    <n v="0"/>
    <n v="0"/>
    <n v="12570.740000000005"/>
    <n v="0"/>
  </r>
  <r>
    <x v="7"/>
    <x v="8"/>
    <x v="0"/>
    <s v="6060104"/>
    <n v="718050"/>
    <s v="Pest Control"/>
    <s v="Plant Ops &amp; Maintenance"/>
    <x v="0"/>
    <n v="1014"/>
    <n v="140.63"/>
    <n v="319.66000000000003"/>
    <n v="140.63"/>
    <n v="0"/>
    <n v="140.63"/>
    <n v="140.63"/>
    <n v="0"/>
    <n v="59.68"/>
    <n v="314.64"/>
    <n v="189.88"/>
    <n v="797.44"/>
    <n v="823.42"/>
    <n v="3067.2400000000002"/>
    <n v="-25.979999999999905"/>
  </r>
  <r>
    <x v="7"/>
    <x v="8"/>
    <x v="0"/>
    <s v="6060104"/>
    <n v="718050"/>
    <s v="Miscellaneous Purchased Svcs"/>
    <s v="Plant Ops &amp; Maintenance"/>
    <x v="0"/>
    <n v="1020"/>
    <n v="291.97000000000003"/>
    <n v="2624.9"/>
    <n v="23.91"/>
    <n v="0"/>
    <n v="0"/>
    <n v="291.97000000000003"/>
    <n v="0"/>
    <n v="2936.45"/>
    <n v="97955.05"/>
    <n v="-41784.43"/>
    <n v="0"/>
    <n v="0"/>
    <n v="62339.82"/>
    <n v="0"/>
  </r>
  <r>
    <x v="7"/>
    <x v="8"/>
    <x v="0"/>
    <s v="6060104"/>
    <n v="718050"/>
    <s v="Purchased Srvcs--Medical Waste"/>
    <s v="Plant Ops &amp; Maintenance"/>
    <x v="0"/>
    <n v="1027"/>
    <n v="12606.21"/>
    <n v="513.29"/>
    <n v="15611.95"/>
    <n v="12276.56"/>
    <n v="11577"/>
    <n v="1461.21"/>
    <n v="850.06"/>
    <n v="24066.07"/>
    <n v="991.62"/>
    <n v="12357.5"/>
    <n v="24107.05"/>
    <n v="5889.84"/>
    <n v="122308.36"/>
    <n v="18217.21"/>
  </r>
  <r>
    <x v="7"/>
    <x v="8"/>
    <x v="0"/>
    <s v="6060104"/>
    <n v="718050"/>
    <s v="Purchased Service-Fire/Life Safety Test"/>
    <s v="Plant Ops &amp; Maintenance"/>
    <x v="0"/>
    <n v="5101"/>
    <n v="15955.78"/>
    <n v="72162.67"/>
    <n v="3569.92"/>
    <n v="4830.96"/>
    <n v="-1301.8800000000001"/>
    <n v="-5546.46"/>
    <n v="13007.2"/>
    <n v="0"/>
    <n v="2773.64"/>
    <n v="3655.79"/>
    <n v="28461.94"/>
    <n v="0"/>
    <n v="137569.55999999997"/>
    <n v="28461.94"/>
  </r>
  <r>
    <x v="7"/>
    <x v="8"/>
    <x v="0"/>
    <s v="6060104"/>
    <n v="718071"/>
    <s v="Contract Srvcs-CHI Facilities Mgmt"/>
    <s v="Plant Ops &amp; Maintenance"/>
    <x v="0"/>
    <m/>
    <n v="14897.63"/>
    <n v="16234.36"/>
    <n v="14360.17"/>
    <n v="15879.66"/>
    <n v="14739.39"/>
    <n v="15811.84"/>
    <n v="15173.14"/>
    <n v="15314.34"/>
    <n v="12138.17"/>
    <n v="15678.63"/>
    <n v="15535.16"/>
    <n v="15040.95"/>
    <n v="180803.44"/>
    <n v="494.20999999999913"/>
  </r>
  <r>
    <x v="11"/>
    <x v="8"/>
    <x v="0"/>
    <s v="6060104"/>
    <n v="721010"/>
    <s v="Supplies-Medical - Billable"/>
    <s v="Plant Ops &amp; Maintenance"/>
    <x v="0"/>
    <m/>
    <n v="-28.64"/>
    <n v="0"/>
    <n v="0"/>
    <n v="0"/>
    <n v="0"/>
    <n v="0"/>
    <n v="0"/>
    <n v="98.34"/>
    <n v="0"/>
    <n v="8.36"/>
    <n v="0"/>
    <n v="0"/>
    <n v="78.06"/>
    <n v="0"/>
  </r>
  <r>
    <x v="11"/>
    <x v="8"/>
    <x v="0"/>
    <s v="6060104"/>
    <n v="721220"/>
    <s v="Supplies-Medical Gases - Billable"/>
    <s v="Plant Ops &amp; Maintenance"/>
    <x v="0"/>
    <m/>
    <n v="0"/>
    <n v="2600.89"/>
    <n v="0"/>
    <n v="0"/>
    <n v="0"/>
    <n v="0"/>
    <n v="0"/>
    <n v="0"/>
    <n v="0"/>
    <n v="0"/>
    <n v="0"/>
    <n v="-23.77"/>
    <n v="2577.12"/>
    <n v="23.77"/>
  </r>
  <r>
    <x v="11"/>
    <x v="8"/>
    <x v="0"/>
    <s v="6060104"/>
    <n v="721410"/>
    <s v="Supplies-Medical - Nonbillable"/>
    <s v="Plant Ops &amp; Maintenance"/>
    <x v="0"/>
    <m/>
    <n v="3316.8"/>
    <n v="5462.1"/>
    <n v="346.66"/>
    <n v="2731.44"/>
    <n v="5493.1"/>
    <n v="163.52000000000001"/>
    <n v="6086.96"/>
    <n v="663.53"/>
    <n v="5812.12"/>
    <n v="3041.93"/>
    <n v="143.13999999999999"/>
    <n v="2789.79"/>
    <n v="36051.089999999997"/>
    <n v="-2646.65"/>
  </r>
  <r>
    <x v="11"/>
    <x v="8"/>
    <x v="0"/>
    <s v="6060104"/>
    <n v="721810"/>
    <s v="Supplies-Dietary/Cafeteria"/>
    <s v="Plant Ops &amp; Maintenance"/>
    <x v="0"/>
    <m/>
    <n v="14.39"/>
    <n v="31.75"/>
    <n v="22.95"/>
    <n v="117.36"/>
    <n v="0"/>
    <n v="60.69"/>
    <n v="16"/>
    <n v="22.86"/>
    <n v="0"/>
    <n v="0"/>
    <n v="30.66"/>
    <n v="3"/>
    <n v="319.66000000000003"/>
    <n v="27.66"/>
  </r>
  <r>
    <x v="11"/>
    <x v="8"/>
    <x v="0"/>
    <s v="6060104"/>
    <n v="721830"/>
    <s v="Supplies-Office"/>
    <s v="Plant Ops &amp; Maintenance"/>
    <x v="0"/>
    <m/>
    <n v="0"/>
    <n v="0"/>
    <n v="0"/>
    <n v="17.63"/>
    <n v="0"/>
    <n v="0"/>
    <n v="155.51"/>
    <n v="0"/>
    <n v="0"/>
    <n v="0"/>
    <n v="0"/>
    <n v="0"/>
    <n v="173.14"/>
    <n v="0"/>
  </r>
  <r>
    <x v="11"/>
    <x v="8"/>
    <x v="0"/>
    <s v="6060104"/>
    <n v="721870"/>
    <s v="Supplies-Environmental Services"/>
    <s v="Plant Ops &amp; Maintenance"/>
    <x v="0"/>
    <m/>
    <n v="0"/>
    <n v="20.7"/>
    <n v="20.7"/>
    <n v="10.35"/>
    <n v="0"/>
    <n v="0"/>
    <n v="10.35"/>
    <n v="0"/>
    <n v="10.35"/>
    <n v="5.28"/>
    <n v="10.35"/>
    <n v="0"/>
    <n v="88.08"/>
    <n v="10.35"/>
  </r>
  <r>
    <x v="11"/>
    <x v="8"/>
    <x v="0"/>
    <s v="6060104"/>
    <n v="721910"/>
    <s v="Supplies-Small Equipment"/>
    <s v="Plant Ops &amp; Maintenance"/>
    <x v="0"/>
    <m/>
    <n v="2.08"/>
    <n v="0"/>
    <n v="8.9600000000000009"/>
    <n v="11.28"/>
    <n v="0.68"/>
    <n v="4.08"/>
    <n v="24.48"/>
    <n v="0.68"/>
    <n v="4.08"/>
    <n v="0"/>
    <n v="0"/>
    <n v="2.04"/>
    <n v="58.36"/>
    <n v="-2.04"/>
  </r>
  <r>
    <x v="11"/>
    <x v="8"/>
    <x v="0"/>
    <s v="6060104"/>
    <n v="722000"/>
    <s v="Supplies-Freight Expense"/>
    <s v="Plant Ops &amp; Maintenance"/>
    <x v="0"/>
    <m/>
    <n v="7.94"/>
    <n v="96.74"/>
    <n v="52.69"/>
    <n v="302.63"/>
    <n v="17.02"/>
    <n v="0"/>
    <n v="1822.68"/>
    <n v="14"/>
    <n v="266.29000000000002"/>
    <n v="331.1"/>
    <n v="209.6"/>
    <n v="201.37"/>
    <n v="3322.0599999999995"/>
    <n v="8.2299999999999898"/>
  </r>
  <r>
    <x v="12"/>
    <x v="8"/>
    <x v="0"/>
    <s v="6060104"/>
    <n v="730020"/>
    <s v="Rental and Leases-Copier Usage Fees (DO NOT USE)"/>
    <s v="Plant Ops &amp; Maintenance"/>
    <x v="0"/>
    <n v="5100"/>
    <n v="93.44"/>
    <n v="92.04"/>
    <n v="92.74"/>
    <n v="92.74"/>
    <n v="92.74"/>
    <n v="92.74"/>
    <n v="746.38"/>
    <n v="153.28"/>
    <n v="152.96"/>
    <n v="181.33"/>
    <n v="153.28"/>
    <n v="200.4"/>
    <n v="2144.0700000000002"/>
    <n v="-47.120000000000005"/>
  </r>
  <r>
    <x v="15"/>
    <x v="8"/>
    <x v="0"/>
    <s v="6060104"/>
    <n v="731010"/>
    <s v="Natural Gas"/>
    <s v="Plant Ops &amp; Maintenance"/>
    <x v="0"/>
    <m/>
    <n v="13035.72"/>
    <n v="13034.5"/>
    <n v="14068.69"/>
    <n v="14166.24"/>
    <n v="21440.41"/>
    <n v="4540.24"/>
    <n v="4956.1899999999996"/>
    <n v="4950.53"/>
    <n v="5440.55"/>
    <n v="4977.3"/>
    <n v="4438.79"/>
    <n v="58897.4"/>
    <n v="163946.56"/>
    <n v="-54458.61"/>
  </r>
  <r>
    <x v="15"/>
    <x v="8"/>
    <x v="0"/>
    <s v="6060104"/>
    <n v="731020"/>
    <s v="Electricity"/>
    <s v="Plant Ops &amp; Maintenance"/>
    <x v="0"/>
    <m/>
    <n v="71583.360000000001"/>
    <n v="75991.19"/>
    <n v="75120.7"/>
    <n v="64247.71"/>
    <n v="58356.59"/>
    <n v="55611.96"/>
    <n v="56498.09"/>
    <n v="57472.71"/>
    <n v="54859.9"/>
    <n v="61545.83"/>
    <n v="65102.2"/>
    <n v="67275.66"/>
    <n v="763665.9"/>
    <n v="-2173.4600000000064"/>
  </r>
  <r>
    <x v="15"/>
    <x v="8"/>
    <x v="0"/>
    <s v="6060104"/>
    <n v="731030"/>
    <s v="Water"/>
    <s v="Plant Ops &amp; Maintenance"/>
    <x v="0"/>
    <m/>
    <n v="13239.78"/>
    <n v="0"/>
    <n v="17268.91"/>
    <n v="0"/>
    <n v="9304.3799999999992"/>
    <n v="0"/>
    <n v="5014.3"/>
    <n v="0"/>
    <n v="5681.27"/>
    <n v="0"/>
    <n v="7355.52"/>
    <n v="0"/>
    <n v="57864.160000000003"/>
    <n v="7355.52"/>
  </r>
  <r>
    <x v="15"/>
    <x v="8"/>
    <x v="0"/>
    <s v="6060104"/>
    <n v="731040"/>
    <s v="Sewer"/>
    <s v="Plant Ops &amp; Maintenance"/>
    <x v="0"/>
    <m/>
    <n v="15144.92"/>
    <n v="0"/>
    <n v="15144.67"/>
    <n v="0"/>
    <n v="15145.33"/>
    <n v="0"/>
    <n v="13444.53"/>
    <n v="0"/>
    <n v="15685.04"/>
    <n v="0"/>
    <n v="14923.37"/>
    <n v="0"/>
    <n v="89487.859999999986"/>
    <n v="14923.37"/>
  </r>
  <r>
    <x v="15"/>
    <x v="8"/>
    <x v="0"/>
    <s v="6060104"/>
    <n v="731050"/>
    <s v="Refuse Disposal"/>
    <s v="Plant Ops &amp; Maintenance"/>
    <x v="0"/>
    <m/>
    <n v="5574.74"/>
    <n v="7122.3"/>
    <n v="5268.62"/>
    <n v="6290.92"/>
    <n v="6573.69"/>
    <n v="7139.5"/>
    <n v="6116.44"/>
    <n v="6120.15"/>
    <n v="6061.85"/>
    <n v="6070.67"/>
    <n v="9788.42"/>
    <n v="6992.92"/>
    <n v="79120.22"/>
    <n v="2795.5"/>
  </r>
  <r>
    <x v="15"/>
    <x v="8"/>
    <x v="0"/>
    <s v="6060104"/>
    <n v="731060"/>
    <s v="Pagers"/>
    <s v="Plant Ops &amp; Maintenance"/>
    <x v="0"/>
    <n v="1002"/>
    <n v="56.7"/>
    <n v="56.7"/>
    <n v="56.7"/>
    <n v="56.84"/>
    <n v="56.84"/>
    <n v="0"/>
    <n v="113.68"/>
    <n v="56.84"/>
    <n v="56.84"/>
    <n v="56.84"/>
    <n v="56.84"/>
    <n v="56.84"/>
    <n v="681.6600000000002"/>
    <n v="0"/>
  </r>
  <r>
    <x v="15"/>
    <x v="8"/>
    <x v="0"/>
    <s v="6060104"/>
    <n v="731070"/>
    <s v="Cable TV"/>
    <s v="Plant Ops &amp; Maintenance"/>
    <x v="0"/>
    <m/>
    <n v="2761.16"/>
    <n v="2761.16"/>
    <n v="2761.16"/>
    <n v="2761.16"/>
    <n v="2759.69"/>
    <n v="2759.69"/>
    <n v="2842.29"/>
    <n v="2842.29"/>
    <n v="2842.29"/>
    <n v="2842.29"/>
    <n v="2842.29"/>
    <n v="2863.31"/>
    <n v="33638.780000000006"/>
    <n v="-21.019999999999982"/>
  </r>
  <r>
    <x v="15"/>
    <x v="8"/>
    <x v="0"/>
    <s v="6060104"/>
    <n v="731090"/>
    <s v="Fuel-Oil"/>
    <s v="Plant Ops &amp; Maintenance"/>
    <x v="0"/>
    <n v="6200"/>
    <n v="0"/>
    <n v="0"/>
    <n v="0"/>
    <n v="0"/>
    <n v="15508.72"/>
    <n v="0"/>
    <n v="0"/>
    <n v="0"/>
    <n v="0"/>
    <n v="0"/>
    <n v="0"/>
    <n v="0"/>
    <n v="15508.72"/>
    <n v="0"/>
  </r>
  <r>
    <x v="16"/>
    <x v="8"/>
    <x v="0"/>
    <s v="6060104"/>
    <n v="732030"/>
    <s v="Repairs---Other"/>
    <s v="Plant Ops &amp; Maintenance"/>
    <x v="0"/>
    <m/>
    <n v="7765.48"/>
    <n v="46875.519999999997"/>
    <n v="17922.419999999998"/>
    <n v="3178.95"/>
    <n v="56967.23"/>
    <n v="25678.06"/>
    <n v="32399.71"/>
    <n v="7292.86"/>
    <n v="69582.12"/>
    <n v="9896.44"/>
    <n v="4455.1400000000003"/>
    <n v="12395.64"/>
    <n v="294409.57"/>
    <n v="-7940.4999999999991"/>
  </r>
  <r>
    <x v="16"/>
    <x v="8"/>
    <x v="0"/>
    <s v="6060104"/>
    <n v="732030"/>
    <s v="Repairs&amp;Maintenance-Bldg Routine"/>
    <s v="Plant Ops &amp; Maintenance"/>
    <x v="0"/>
    <n v="2300"/>
    <n v="21975.279999999999"/>
    <n v="6033.33"/>
    <n v="10854.1"/>
    <n v="32619.41"/>
    <n v="527.07000000000005"/>
    <n v="16367.34"/>
    <n v="1366.25"/>
    <n v="1901.9"/>
    <n v="10732.68"/>
    <n v="10358.700000000001"/>
    <n v="0"/>
    <n v="1213.23"/>
    <n v="113949.28999999998"/>
    <n v="-1213.23"/>
  </r>
  <r>
    <x v="16"/>
    <x v="8"/>
    <x v="0"/>
    <s v="6060104"/>
    <n v="732030"/>
    <s v="Repairs&amp;Maintenance-Electrical"/>
    <s v="Plant Ops &amp; Maintenance"/>
    <x v="0"/>
    <n v="5100"/>
    <n v="2431.4899999999998"/>
    <n v="2420.3000000000002"/>
    <n v="-1792.76"/>
    <n v="2981.11"/>
    <n v="448.72"/>
    <n v="7.66"/>
    <n v="17757.38"/>
    <n v="2598.39"/>
    <n v="950.41"/>
    <n v="5269.9"/>
    <n v="13095.36"/>
    <n v="688.91"/>
    <n v="46856.87"/>
    <n v="12406.45"/>
  </r>
  <r>
    <x v="16"/>
    <x v="8"/>
    <x v="0"/>
    <s v="6060104"/>
    <n v="732030"/>
    <s v="Repairs&amp;Maintenance-Elevator"/>
    <s v="Plant Ops &amp; Maintenance"/>
    <x v="0"/>
    <n v="5101"/>
    <n v="2016.52"/>
    <n v="12867.66"/>
    <n v="0"/>
    <n v="8632.86"/>
    <n v="23292.35"/>
    <n v="0"/>
    <n v="0"/>
    <n v="0"/>
    <n v="13289.72"/>
    <n v="0"/>
    <n v="0"/>
    <n v="13289.72"/>
    <n v="73388.83"/>
    <n v="-13289.72"/>
  </r>
  <r>
    <x v="16"/>
    <x v="8"/>
    <x v="0"/>
    <s v="6060104"/>
    <n v="732030"/>
    <s v="Repairs&amp;Maintenance-HVAC"/>
    <s v="Plant Ops &amp; Maintenance"/>
    <x v="0"/>
    <n v="5102"/>
    <n v="6680.66"/>
    <n v="21526.1"/>
    <n v="27772.55"/>
    <n v="377.44"/>
    <n v="205.8"/>
    <n v="14721.53"/>
    <n v="4043.91"/>
    <n v="1313.5"/>
    <n v="10309.200000000001"/>
    <n v="14693.98"/>
    <n v="2955.87"/>
    <n v="7129.23"/>
    <n v="111729.76999999999"/>
    <n v="-4173.3599999999997"/>
  </r>
  <r>
    <x v="16"/>
    <x v="8"/>
    <x v="0"/>
    <s v="6060104"/>
    <n v="732030"/>
    <s v="Repairs&amp;Maintenance-Plumbing"/>
    <s v="Plant Ops &amp; Maintenance"/>
    <x v="0"/>
    <n v="5103"/>
    <n v="2943.27"/>
    <n v="478.26"/>
    <n v="218.3"/>
    <n v="5290.37"/>
    <n v="1571.65"/>
    <n v="1716.04"/>
    <n v="743.19"/>
    <n v="2078.42"/>
    <n v="1646.59"/>
    <n v="2683.31"/>
    <n v="8417.23"/>
    <n v="1839.26"/>
    <n v="29625.89"/>
    <n v="6577.9699999999993"/>
  </r>
  <r>
    <x v="16"/>
    <x v="8"/>
    <x v="0"/>
    <s v="6060104"/>
    <n v="733030"/>
    <s v="Maintenance Contracts-Other"/>
    <s v="Plant Ops &amp; Maintenance"/>
    <x v="0"/>
    <m/>
    <n v="0"/>
    <n v="4144.7"/>
    <n v="42867.72"/>
    <n v="-1375.26"/>
    <n v="0"/>
    <n v="0"/>
    <n v="178.22"/>
    <n v="0"/>
    <n v="-115.05"/>
    <n v="0"/>
    <n v="15220"/>
    <n v="0"/>
    <n v="60920.329999999994"/>
    <n v="15220"/>
  </r>
  <r>
    <x v="16"/>
    <x v="8"/>
    <x v="0"/>
    <s v="6060104"/>
    <n v="733030"/>
    <s v="Maintenance Contracts-Oper Expense Projects"/>
    <s v="Plant Ops &amp; Maintenance"/>
    <x v="0"/>
    <n v="1003"/>
    <n v="8750"/>
    <n v="0"/>
    <n v="0"/>
    <n v="743.75"/>
    <n v="0"/>
    <n v="0"/>
    <n v="0"/>
    <n v="0"/>
    <n v="292.52"/>
    <n v="0"/>
    <n v="0"/>
    <n v="0"/>
    <n v="9786.27"/>
    <n v="0"/>
  </r>
  <r>
    <x v="16"/>
    <x v="8"/>
    <x v="0"/>
    <s v="6060104"/>
    <n v="733030"/>
    <s v="Maintenance Contract-Elevator"/>
    <s v="Plant Ops &amp; Maintenance"/>
    <x v="0"/>
    <n v="5101"/>
    <n v="0"/>
    <n v="0"/>
    <n v="0"/>
    <n v="0"/>
    <n v="0"/>
    <n v="0"/>
    <n v="812.13"/>
    <n v="13289.72"/>
    <n v="-13289.72"/>
    <n v="1082.83"/>
    <n v="0"/>
    <n v="0"/>
    <n v="1894.9599999999991"/>
    <n v="0"/>
  </r>
  <r>
    <x v="16"/>
    <x v="8"/>
    <x v="0"/>
    <s v="6060104"/>
    <n v="733030"/>
    <s v="Maintenance Contract-Landscape General"/>
    <s v="Plant Ops &amp; Maintenance"/>
    <x v="0"/>
    <n v="5105"/>
    <n v="4030.05"/>
    <n v="4030.05"/>
    <n v="0"/>
    <n v="5926.54"/>
    <n v="6163.61"/>
    <n v="0"/>
    <n v="6291.42"/>
    <n v="41836.699999999997"/>
    <n v="582.11"/>
    <n v="8078.22"/>
    <n v="49663.09"/>
    <n v="13205.53"/>
    <n v="139807.32"/>
    <n v="36457.56"/>
  </r>
  <r>
    <x v="13"/>
    <x v="8"/>
    <x v="0"/>
    <s v="6060104"/>
    <n v="735030"/>
    <s v="Depreciation-Buildings"/>
    <s v="Plant Ops &amp; Maintenance"/>
    <x v="0"/>
    <m/>
    <n v="19968.400000000001"/>
    <n v="19968.38"/>
    <n v="19968.41"/>
    <n v="19968.34"/>
    <n v="19968.439999999999"/>
    <n v="19968.310000000001"/>
    <n v="19968.439999999999"/>
    <n v="19968.27"/>
    <n v="19968.45"/>
    <n v="19473.96"/>
    <n v="19474.2"/>
    <n v="19473.95"/>
    <n v="238137.55000000002"/>
    <n v="0.25"/>
  </r>
  <r>
    <x v="13"/>
    <x v="8"/>
    <x v="0"/>
    <s v="6060104"/>
    <n v="735070"/>
    <s v="Depreciation-Movable Equipment"/>
    <s v="Plant Ops &amp; Maintenance"/>
    <x v="0"/>
    <m/>
    <n v="803.95"/>
    <n v="803.95"/>
    <n v="803.93"/>
    <n v="803.99"/>
    <n v="803.93"/>
    <n v="803.99"/>
    <n v="803.91"/>
    <n v="804"/>
    <n v="803.9"/>
    <n v="427.98"/>
    <n v="428.02"/>
    <n v="698.27"/>
    <n v="8789.82"/>
    <n v="-270.25"/>
  </r>
  <r>
    <x v="0"/>
    <x v="8"/>
    <x v="0"/>
    <s v="6060104"/>
    <n v="742040"/>
    <s v="Freight-Other"/>
    <s v="Plant Ops &amp; Maintenance"/>
    <x v="0"/>
    <m/>
    <n v="0"/>
    <n v="0"/>
    <n v="0"/>
    <n v="42.93"/>
    <n v="0"/>
    <n v="0"/>
    <n v="0"/>
    <n v="0"/>
    <n v="0"/>
    <n v="0"/>
    <n v="0"/>
    <n v="102.89"/>
    <n v="145.82"/>
    <n v="-102.89"/>
  </r>
  <r>
    <x v="0"/>
    <x v="8"/>
    <x v="0"/>
    <s v="6060104"/>
    <n v="749510"/>
    <s v="Miscellaneous Expenses"/>
    <s v="Plant Ops &amp; Maintenance"/>
    <x v="0"/>
    <m/>
    <n v="0"/>
    <n v="0"/>
    <n v="0"/>
    <n v="-2427.15"/>
    <n v="0"/>
    <n v="0"/>
    <n v="690"/>
    <n v="0"/>
    <n v="0"/>
    <n v="172.5"/>
    <n v="328.94"/>
    <n v="27.97"/>
    <n v="-1207.74"/>
    <n v="300.97000000000003"/>
  </r>
  <r>
    <x v="0"/>
    <x v="8"/>
    <x v="0"/>
    <s v="6060104"/>
    <n v="749510"/>
    <s v="Licenses"/>
    <s v="Plant Ops &amp; Maintenance"/>
    <x v="0"/>
    <n v="1002"/>
    <n v="209.7"/>
    <n v="0"/>
    <n v="177.47"/>
    <n v="0"/>
    <n v="0"/>
    <n v="3250"/>
    <n v="1117.7"/>
    <n v="0"/>
    <n v="0"/>
    <n v="0"/>
    <n v="0"/>
    <n v="0"/>
    <n v="4754.87"/>
    <n v="0"/>
  </r>
  <r>
    <x v="14"/>
    <x v="5"/>
    <x v="0"/>
    <s v="6060106"/>
    <n v="600030"/>
    <s v="Services Sold-Non-Taxable"/>
    <s v="Plant Op &amp; Maintenance"/>
    <x v="0"/>
    <m/>
    <n v="-1765.66"/>
    <n v="-1765.66"/>
    <n v="-1765.66"/>
    <n v="-1765.66"/>
    <n v="-1765.66"/>
    <n v="-1765.66"/>
    <n v="-625"/>
    <n v="-1765.66"/>
    <n v="-1765.66"/>
    <n v="-1765.66"/>
    <n v="-1765.66"/>
    <n v="-625"/>
    <n v="-18906.600000000002"/>
    <n v="-1140.6600000000001"/>
  </r>
  <r>
    <x v="14"/>
    <x v="5"/>
    <x v="0"/>
    <s v="6060106"/>
    <n v="600050"/>
    <s v="Miscellaneous Revenue"/>
    <s v="Plant Op &amp; Maintenance"/>
    <x v="0"/>
    <m/>
    <n v="0"/>
    <n v="0"/>
    <n v="-125.46"/>
    <n v="0"/>
    <n v="0"/>
    <n v="0"/>
    <n v="-1140.6600000000001"/>
    <n v="0"/>
    <n v="0"/>
    <n v="0"/>
    <n v="0"/>
    <n v="-1140.6600000000001"/>
    <n v="-2406.7800000000002"/>
    <n v="1140.6600000000001"/>
  </r>
  <r>
    <x v="14"/>
    <x v="5"/>
    <x v="0"/>
    <s v="6060106"/>
    <n v="600050"/>
    <s v="Misc.Revenue-Contract Services"/>
    <s v="Plant Op &amp; Maintenance"/>
    <x v="0"/>
    <n v="1017"/>
    <n v="-837.9"/>
    <n v="-409.5"/>
    <n v="-191.1"/>
    <n v="-1014.3"/>
    <n v="-531.29999999999995"/>
    <n v="-743.4"/>
    <n v="-365.4"/>
    <n v="-850.7"/>
    <n v="-1206.1300000000001"/>
    <n v="-604.16999999999996"/>
    <n v="-432.18"/>
    <n v="-624.01"/>
    <n v="-7810.0900000000011"/>
    <n v="191.82999999999998"/>
  </r>
  <r>
    <x v="5"/>
    <x v="5"/>
    <x v="0"/>
    <s v="6060106"/>
    <n v="700038"/>
    <s v="Salaries-Service/Support-Productive"/>
    <s v="Plant Op &amp; Maintenance"/>
    <x v="0"/>
    <m/>
    <n v="44401.36"/>
    <n v="39549.71"/>
    <n v="38940.94"/>
    <n v="40230.42"/>
    <n v="45509.87"/>
    <n v="34169.120000000003"/>
    <n v="39283.24"/>
    <n v="36558.32"/>
    <n v="39340.21"/>
    <n v="38908.300000000003"/>
    <n v="40620.51"/>
    <n v="30661.66"/>
    <n v="468173.66"/>
    <n v="9958.8500000000022"/>
  </r>
  <r>
    <x v="5"/>
    <x v="5"/>
    <x v="0"/>
    <s v="6060106"/>
    <n v="700038"/>
    <s v="Salaries-Service/Support-OT"/>
    <s v="Plant Op &amp; Maintenance"/>
    <x v="0"/>
    <n v="1000"/>
    <n v="629.17999999999995"/>
    <n v="-18.57"/>
    <n v="148.33000000000001"/>
    <n v="723.32"/>
    <n v="41.28"/>
    <n v="583.73"/>
    <n v="427.2"/>
    <n v="2746.16"/>
    <n v="151.82"/>
    <n v="952.93"/>
    <n v="353.94"/>
    <n v="228.71"/>
    <n v="6968.0299999999988"/>
    <n v="125.22999999999999"/>
  </r>
  <r>
    <x v="5"/>
    <x v="5"/>
    <x v="0"/>
    <s v="6060106"/>
    <n v="700038"/>
    <s v="Salaries-Service/Support-Other"/>
    <s v="Plant Op &amp; Maintenance"/>
    <x v="0"/>
    <n v="2000"/>
    <n v="1197.6300000000001"/>
    <n v="1128.82"/>
    <n v="1134.68"/>
    <n v="1208.24"/>
    <n v="1184.97"/>
    <n v="1112.26"/>
    <n v="1167.42"/>
    <n v="2216.92"/>
    <n v="1228.8"/>
    <n v="1328.08"/>
    <n v="1275.0899999999999"/>
    <n v="1299.47"/>
    <n v="15482.38"/>
    <n v="-24.380000000000109"/>
  </r>
  <r>
    <x v="5"/>
    <x v="5"/>
    <x v="0"/>
    <s v="6060106"/>
    <n v="700078"/>
    <s v="Salaries-Service/Support-Non-productive"/>
    <s v="Plant Op &amp; Maintenance"/>
    <x v="0"/>
    <m/>
    <n v="4159.05"/>
    <n v="8834.16"/>
    <n v="8470.1"/>
    <n v="8119.88"/>
    <n v="1817.72"/>
    <n v="6913.93"/>
    <n v="3939.15"/>
    <n v="5573.69"/>
    <n v="3399.31"/>
    <n v="4005.23"/>
    <n v="2823.94"/>
    <n v="12033.2"/>
    <n v="70089.36"/>
    <n v="-9209.26"/>
  </r>
  <r>
    <x v="5"/>
    <x v="5"/>
    <x v="0"/>
    <s v="6060106"/>
    <n v="700078"/>
    <s v="Salaries-Service/Support-NonProd-Other"/>
    <s v="Plant Op &amp; Maintenance"/>
    <x v="0"/>
    <n v="2000"/>
    <n v="94.58"/>
    <n v="214.79"/>
    <n v="97.84"/>
    <n v="31.43"/>
    <n v="137.85"/>
    <n v="185.29"/>
    <n v="112.86"/>
    <n v="49.37"/>
    <n v="-13.38"/>
    <n v="21.6"/>
    <n v="196.67"/>
    <n v="569.76"/>
    <n v="1698.66"/>
    <n v="-373.09000000000003"/>
  </r>
  <r>
    <x v="5"/>
    <x v="5"/>
    <x v="0"/>
    <s v="6060106"/>
    <n v="700084"/>
    <s v="Accrued PTO"/>
    <s v="Plant Op &amp; Maintenance"/>
    <x v="0"/>
    <m/>
    <n v="2336.0100000000002"/>
    <n v="-1896.33"/>
    <n v="-2995.4"/>
    <n v="197.94"/>
    <n v="2753.76"/>
    <n v="-477.77"/>
    <n v="1065.03"/>
    <n v="650.88"/>
    <n v="2995.42"/>
    <n v="1452.42"/>
    <n v="2345.73"/>
    <n v="-5224.63"/>
    <n v="3203.0600000000004"/>
    <n v="7570.3600000000006"/>
  </r>
  <r>
    <x v="6"/>
    <x v="5"/>
    <x v="0"/>
    <s v="6060106"/>
    <n v="713010"/>
    <s v="Benefits-FICA/Medicare"/>
    <s v="Plant Op &amp; Maintenance"/>
    <x v="0"/>
    <m/>
    <n v="3807.48"/>
    <n v="3748.37"/>
    <n v="3680"/>
    <n v="3794.62"/>
    <n v="3672.27"/>
    <n v="3406.69"/>
    <n v="3378.87"/>
    <n v="3554.89"/>
    <n v="3319.12"/>
    <n v="3404.27"/>
    <n v="3406.54"/>
    <n v="3371.9"/>
    <n v="42545.02"/>
    <n v="34.639999999999873"/>
  </r>
  <r>
    <x v="6"/>
    <x v="5"/>
    <x v="0"/>
    <s v="6060106"/>
    <n v="713090"/>
    <s v="Benefits-Allocated Amounts"/>
    <s v="Plant Op &amp; Maintenance"/>
    <x v="0"/>
    <m/>
    <n v="13701.84"/>
    <n v="12879.95"/>
    <n v="12588.99"/>
    <n v="12743.41"/>
    <n v="13179.96"/>
    <n v="11112.88"/>
    <n v="12119.73"/>
    <n v="12580.62"/>
    <n v="11322.52"/>
    <n v="12068.96"/>
    <n v="11967.02"/>
    <n v="11394.91"/>
    <n v="147660.78999999998"/>
    <n v="572.11000000000058"/>
  </r>
  <r>
    <x v="7"/>
    <x v="5"/>
    <x v="0"/>
    <s v="6060106"/>
    <n v="718050"/>
    <s v="Contract Svcs-Other"/>
    <s v="Plant Op &amp; Maintenance"/>
    <x v="0"/>
    <m/>
    <n v="0"/>
    <n v="4145"/>
    <n v="7943.5"/>
    <n v="1425"/>
    <n v="7325"/>
    <n v="3925"/>
    <n v="0"/>
    <n v="12645"/>
    <n v="135"/>
    <n v="3450"/>
    <n v="7350"/>
    <n v="6502.06"/>
    <n v="54845.56"/>
    <n v="847.9399999999996"/>
  </r>
  <r>
    <x v="7"/>
    <x v="5"/>
    <x v="0"/>
    <s v="6060106"/>
    <n v="718050"/>
    <s v="Document Shredding/Storage"/>
    <s v="Plant Op &amp; Maintenance"/>
    <x v="0"/>
    <n v="1012"/>
    <n v="0"/>
    <n v="1431.75"/>
    <n v="1122"/>
    <n v="1192.5"/>
    <n v="0"/>
    <n v="1380.75"/>
    <n v="0"/>
    <n v="789.75"/>
    <n v="1033.5"/>
    <n v="0"/>
    <n v="792"/>
    <n v="0"/>
    <n v="7742.25"/>
    <n v="792"/>
  </r>
  <r>
    <x v="7"/>
    <x v="5"/>
    <x v="0"/>
    <s v="6060106"/>
    <n v="718050"/>
    <s v="Lawn Services"/>
    <s v="Plant Op &amp; Maintenance"/>
    <x v="0"/>
    <n v="1013"/>
    <n v="0"/>
    <n v="121.23"/>
    <n v="0"/>
    <n v="0"/>
    <n v="0"/>
    <n v="0"/>
    <n v="0"/>
    <n v="726"/>
    <n v="0"/>
    <n v="495"/>
    <n v="775.94"/>
    <n v="0"/>
    <n v="2118.17"/>
    <n v="775.94"/>
  </r>
  <r>
    <x v="7"/>
    <x v="5"/>
    <x v="0"/>
    <s v="6060106"/>
    <n v="718050"/>
    <s v="Pest Control"/>
    <s v="Plant Op &amp; Maintenance"/>
    <x v="0"/>
    <n v="1014"/>
    <n v="0"/>
    <n v="0"/>
    <n v="41.25"/>
    <n v="82.5"/>
    <n v="41.25"/>
    <n v="41.25"/>
    <n v="0"/>
    <n v="929.5"/>
    <n v="730.07"/>
    <n v="397.25"/>
    <n v="206.91"/>
    <n v="514.25"/>
    <n v="2984.23"/>
    <n v="-307.34000000000003"/>
  </r>
  <r>
    <x v="7"/>
    <x v="5"/>
    <x v="0"/>
    <s v="6060106"/>
    <n v="718050"/>
    <s v="Miscellaneous Purchased Svcs"/>
    <s v="Plant Op &amp; Maintenance"/>
    <x v="0"/>
    <n v="1020"/>
    <n v="2379.8200000000002"/>
    <n v="14588.13"/>
    <n v="5418.07"/>
    <n v="240"/>
    <n v="4672.46"/>
    <n v="120"/>
    <n v="22478.25"/>
    <n v="16527.7"/>
    <n v="1832.73"/>
    <n v="29811.03"/>
    <n v="9271.7999999999993"/>
    <n v="23048.45"/>
    <n v="130388.43999999999"/>
    <n v="-13776.650000000001"/>
  </r>
  <r>
    <x v="7"/>
    <x v="5"/>
    <x v="0"/>
    <s v="6060106"/>
    <n v="718050"/>
    <s v="Purchased Srvcs--Medical Waste"/>
    <s v="Plant Op &amp; Maintenance"/>
    <x v="0"/>
    <n v="1027"/>
    <n v="638.25"/>
    <n v="411.34"/>
    <n v="1541.61"/>
    <n v="-455.06"/>
    <n v="0"/>
    <n v="0"/>
    <n v="110.36"/>
    <n v="213.04"/>
    <n v="423.72"/>
    <n v="364.01"/>
    <n v="1085.78"/>
    <n v="0"/>
    <n v="4333.05"/>
    <n v="1085.78"/>
  </r>
  <r>
    <x v="7"/>
    <x v="5"/>
    <x v="0"/>
    <s v="6060106"/>
    <n v="718050"/>
    <s v="Purchased Service-Fire/Life Safety Test"/>
    <s v="Plant Op &amp; Maintenance"/>
    <x v="0"/>
    <n v="5101"/>
    <n v="0"/>
    <n v="0"/>
    <n v="258.74"/>
    <n v="0"/>
    <n v="8415.83"/>
    <n v="8415.83"/>
    <n v="0"/>
    <n v="17090.39"/>
    <n v="0"/>
    <n v="3761.5"/>
    <n v="0"/>
    <n v="0"/>
    <n v="37942.29"/>
    <n v="0"/>
  </r>
  <r>
    <x v="7"/>
    <x v="5"/>
    <x v="0"/>
    <s v="6060106"/>
    <n v="718071"/>
    <s v="Contract Srvcs-CHI Facilities Mgmt"/>
    <s v="Plant Op &amp; Maintenance"/>
    <x v="0"/>
    <m/>
    <n v="16941.73"/>
    <n v="17963.34"/>
    <n v="16598.53"/>
    <n v="22150.62"/>
    <n v="16054.69"/>
    <n v="17298.580000000002"/>
    <n v="20684.12"/>
    <n v="18780.48"/>
    <n v="15849.72"/>
    <n v="19089.66"/>
    <n v="20066.87"/>
    <n v="13153.59"/>
    <n v="214631.93"/>
    <n v="6913.2799999999988"/>
  </r>
  <r>
    <x v="11"/>
    <x v="5"/>
    <x v="0"/>
    <s v="6060106"/>
    <n v="721410"/>
    <s v="Supplies-Medical - Nonbillable"/>
    <s v="Plant Op &amp; Maintenance"/>
    <x v="0"/>
    <m/>
    <n v="0"/>
    <n v="13.9"/>
    <n v="13.9"/>
    <n v="70.22"/>
    <n v="0"/>
    <n v="13.9"/>
    <n v="10.8"/>
    <n v="23.8"/>
    <n v="6.95"/>
    <n v="13.9"/>
    <n v="20.85"/>
    <n v="15.58"/>
    <n v="203.8"/>
    <n v="5.2700000000000014"/>
  </r>
  <r>
    <x v="11"/>
    <x v="5"/>
    <x v="0"/>
    <s v="6060106"/>
    <n v="721810"/>
    <s v="Supplies-Dietary/Cafeteria"/>
    <s v="Plant Op &amp; Maintenance"/>
    <x v="0"/>
    <m/>
    <n v="76.91"/>
    <n v="4.29"/>
    <n v="0"/>
    <n v="1.45"/>
    <n v="0"/>
    <n v="14.7"/>
    <n v="0"/>
    <n v="15.71"/>
    <n v="8"/>
    <n v="0"/>
    <n v="8"/>
    <n v="0"/>
    <n v="129.06"/>
    <n v="8"/>
  </r>
  <r>
    <x v="11"/>
    <x v="5"/>
    <x v="0"/>
    <s v="6060106"/>
    <n v="721830"/>
    <s v="Supplies-Office"/>
    <s v="Plant Op &amp; Maintenance"/>
    <x v="0"/>
    <m/>
    <n v="92.28"/>
    <n v="0"/>
    <n v="0"/>
    <n v="0"/>
    <n v="0"/>
    <n v="0"/>
    <n v="39.43"/>
    <n v="0"/>
    <n v="0"/>
    <n v="131.91999999999999"/>
    <n v="0"/>
    <n v="63.78"/>
    <n v="327.40999999999997"/>
    <n v="-63.78"/>
  </r>
  <r>
    <x v="11"/>
    <x v="5"/>
    <x v="0"/>
    <s v="6060106"/>
    <n v="721870"/>
    <s v="Supplies-Environmental Services"/>
    <s v="Plant Op &amp; Maintenance"/>
    <x v="0"/>
    <m/>
    <n v="0"/>
    <n v="0"/>
    <n v="0"/>
    <n v="164.14"/>
    <n v="4.55"/>
    <n v="0"/>
    <n v="275.89999999999998"/>
    <n v="3.81"/>
    <n v="12.17"/>
    <n v="0"/>
    <n v="12.9"/>
    <n v="156.57"/>
    <n v="630.04"/>
    <n v="-143.66999999999999"/>
  </r>
  <r>
    <x v="11"/>
    <x v="5"/>
    <x v="0"/>
    <s v="6060106"/>
    <n v="721910"/>
    <s v="Supplies-Small Equipment"/>
    <s v="Plant Op &amp; Maintenance"/>
    <x v="0"/>
    <m/>
    <n v="21.89"/>
    <n v="0"/>
    <n v="0"/>
    <n v="1331.57"/>
    <n v="102.24"/>
    <n v="4.08"/>
    <n v="10.84"/>
    <n v="1041.02"/>
    <n v="2143.1"/>
    <n v="302.48"/>
    <n v="11846.24"/>
    <n v="4.08"/>
    <n v="16807.54"/>
    <n v="11842.16"/>
  </r>
  <r>
    <x v="11"/>
    <x v="5"/>
    <x v="0"/>
    <s v="6060106"/>
    <n v="721980"/>
    <s v="Supplies-Other"/>
    <s v="Plant Op &amp; Maintenance"/>
    <x v="0"/>
    <m/>
    <n v="0"/>
    <n v="0"/>
    <n v="0"/>
    <n v="-70"/>
    <n v="540"/>
    <n v="0"/>
    <n v="130"/>
    <n v="0"/>
    <n v="13"/>
    <n v="0"/>
    <n v="0"/>
    <n v="0"/>
    <n v="613"/>
    <n v="0"/>
  </r>
  <r>
    <x v="11"/>
    <x v="5"/>
    <x v="0"/>
    <s v="6060106"/>
    <n v="722000"/>
    <s v="Supplies-Freight Expense"/>
    <s v="Plant Op &amp; Maintenance"/>
    <x v="0"/>
    <m/>
    <n v="23.79"/>
    <n v="23.69"/>
    <n v="0"/>
    <n v="0"/>
    <n v="0"/>
    <n v="8"/>
    <n v="7.78"/>
    <n v="0"/>
    <n v="12.49"/>
    <n v="0"/>
    <n v="8.27"/>
    <n v="0"/>
    <n v="84.02"/>
    <n v="8.27"/>
  </r>
  <r>
    <x v="12"/>
    <x v="5"/>
    <x v="0"/>
    <s v="6060106"/>
    <n v="730020"/>
    <s v="Rental and Leases-Equipment (DO NOT USE)"/>
    <s v="Plant Op &amp; Maintenance"/>
    <x v="0"/>
    <m/>
    <n v="0"/>
    <n v="0"/>
    <n v="0"/>
    <n v="0"/>
    <n v="236.26"/>
    <n v="0"/>
    <n v="0"/>
    <n v="0"/>
    <n v="0"/>
    <n v="0"/>
    <n v="0"/>
    <n v="0"/>
    <n v="236.26"/>
    <n v="0"/>
  </r>
  <r>
    <x v="12"/>
    <x v="5"/>
    <x v="0"/>
    <s v="6060106"/>
    <n v="730020"/>
    <s v="Rental and Leases-Copier Usage Fees (DO NOT USE)"/>
    <s v="Plant Op &amp; Maintenance"/>
    <x v="0"/>
    <n v="5100"/>
    <n v="166.7"/>
    <n v="169.91"/>
    <n v="168.3"/>
    <n v="168.3"/>
    <n v="168.3"/>
    <n v="168.3"/>
    <n v="9.41"/>
    <n v="116.68"/>
    <n v="116.44"/>
    <n v="314.10000000000002"/>
    <n v="116.68"/>
    <n v="137.52000000000001"/>
    <n v="1820.64"/>
    <n v="-20.840000000000003"/>
  </r>
  <r>
    <x v="15"/>
    <x v="5"/>
    <x v="0"/>
    <s v="6060106"/>
    <n v="731010"/>
    <s v="Natural Gas"/>
    <s v="Plant Op &amp; Maintenance"/>
    <x v="0"/>
    <m/>
    <n v="7565.28"/>
    <n v="7545.98"/>
    <n v="7792.44"/>
    <n v="8230.89"/>
    <n v="12647.94"/>
    <n v="10537.47"/>
    <n v="10537.48"/>
    <n v="10537.48"/>
    <n v="10355.08"/>
    <n v="10537.48"/>
    <n v="0"/>
    <n v="13693.51"/>
    <n v="109981.02999999998"/>
    <n v="-13693.51"/>
  </r>
  <r>
    <x v="15"/>
    <x v="5"/>
    <x v="0"/>
    <s v="6060106"/>
    <n v="731020"/>
    <s v="Electricity"/>
    <s v="Plant Op &amp; Maintenance"/>
    <x v="0"/>
    <m/>
    <n v="94173.18"/>
    <n v="83561.95"/>
    <n v="77847.86"/>
    <n v="74706.929999999993"/>
    <n v="73745.25"/>
    <n v="70229.2"/>
    <n v="73955.929999999993"/>
    <n v="77103.08"/>
    <n v="70899.89"/>
    <n v="70778.039999999994"/>
    <n v="70851.62"/>
    <n v="78378.22"/>
    <n v="916231.15"/>
    <n v="-7526.6000000000058"/>
  </r>
  <r>
    <x v="15"/>
    <x v="5"/>
    <x v="0"/>
    <s v="6060106"/>
    <n v="731030"/>
    <s v="Water"/>
    <s v="Plant Op &amp; Maintenance"/>
    <x v="0"/>
    <m/>
    <n v="12951.85"/>
    <n v="9000"/>
    <n v="11388.87"/>
    <n v="9000"/>
    <n v="15597.04"/>
    <n v="7000"/>
    <n v="8362.6299999999992"/>
    <n v="-4000"/>
    <n v="8698.06"/>
    <n v="7000"/>
    <n v="8946.27"/>
    <n v="7000"/>
    <n v="100944.72"/>
    <n v="1946.2700000000004"/>
  </r>
  <r>
    <x v="15"/>
    <x v="5"/>
    <x v="0"/>
    <s v="6060106"/>
    <n v="731040"/>
    <s v="Sewer"/>
    <s v="Plant Op &amp; Maintenance"/>
    <x v="0"/>
    <m/>
    <n v="4853.1099999999997"/>
    <n v="6139"/>
    <n v="4853.1099999999997"/>
    <n v="6076.45"/>
    <n v="4757.63"/>
    <n v="6138.31"/>
    <n v="4853.1099999999997"/>
    <n v="6145.95"/>
    <n v="5173.84"/>
    <n v="7172.13"/>
    <n v="6210.02"/>
    <n v="6153.95"/>
    <n v="68526.609999999986"/>
    <n v="56.070000000000618"/>
  </r>
  <r>
    <x v="15"/>
    <x v="5"/>
    <x v="0"/>
    <s v="6060106"/>
    <n v="731050"/>
    <s v="Refuse Disposal"/>
    <s v="Plant Op &amp; Maintenance"/>
    <x v="0"/>
    <m/>
    <n v="6996.63"/>
    <n v="7067.07"/>
    <n v="7096.88"/>
    <n v="7030.25"/>
    <n v="6361.13"/>
    <n v="7071.88"/>
    <n v="6535.21"/>
    <n v="7385.81"/>
    <n v="7746.22"/>
    <n v="8528.7900000000009"/>
    <n v="8128.33"/>
    <n v="8071.22"/>
    <n v="88019.42"/>
    <n v="57.109999999999673"/>
  </r>
  <r>
    <x v="15"/>
    <x v="5"/>
    <x v="0"/>
    <s v="6060106"/>
    <n v="731060"/>
    <s v="Cell Phones"/>
    <s v="Plant Op &amp; Maintenance"/>
    <x v="0"/>
    <n v="1001"/>
    <n v="0"/>
    <n v="0"/>
    <n v="11.65"/>
    <n v="0"/>
    <n v="23.04"/>
    <n v="14.65"/>
    <n v="56.25"/>
    <n v="0"/>
    <n v="27.69"/>
    <n v="53.75"/>
    <n v="26.9"/>
    <n v="27.6"/>
    <n v="241.53"/>
    <n v="-0.70000000000000284"/>
  </r>
  <r>
    <x v="15"/>
    <x v="5"/>
    <x v="0"/>
    <s v="6060106"/>
    <n v="731060"/>
    <s v="Pagers"/>
    <s v="Plant Op &amp; Maintenance"/>
    <x v="0"/>
    <n v="1002"/>
    <n v="49.13"/>
    <n v="49.13"/>
    <n v="49.13"/>
    <n v="49.31"/>
    <n v="49.31"/>
    <n v="0"/>
    <n v="98.62"/>
    <n v="49.31"/>
    <n v="49.31"/>
    <n v="49.25"/>
    <n v="49.25"/>
    <n v="49.25"/>
    <n v="591"/>
    <n v="0"/>
  </r>
  <r>
    <x v="15"/>
    <x v="5"/>
    <x v="0"/>
    <s v="6060106"/>
    <n v="731090"/>
    <s v="Fuel-Oil"/>
    <s v="Plant Op &amp; Maintenance"/>
    <x v="0"/>
    <n v="6200"/>
    <n v="0"/>
    <n v="0"/>
    <n v="2358.79"/>
    <n v="0"/>
    <n v="1401.15"/>
    <n v="0"/>
    <n v="0"/>
    <n v="0"/>
    <n v="1474.9"/>
    <n v="0"/>
    <n v="1474.9"/>
    <n v="0"/>
    <n v="6709.74"/>
    <n v="1474.9"/>
  </r>
  <r>
    <x v="16"/>
    <x v="5"/>
    <x v="0"/>
    <s v="6060106"/>
    <n v="732030"/>
    <s v="Repairs---Other"/>
    <s v="Plant Op &amp; Maintenance"/>
    <x v="0"/>
    <m/>
    <n v="7816.81"/>
    <n v="1405.13"/>
    <n v="11990.41"/>
    <n v="8420.2800000000007"/>
    <n v="16014.73"/>
    <n v="3457.61"/>
    <n v="5985.12"/>
    <n v="17262.32"/>
    <n v="3432.27"/>
    <n v="8353.4"/>
    <n v="20238.95"/>
    <n v="9637.93"/>
    <n v="114014.95999999999"/>
    <n v="10601.02"/>
  </r>
  <r>
    <x v="16"/>
    <x v="5"/>
    <x v="0"/>
    <s v="6060106"/>
    <n v="732030"/>
    <s v="Repairs&amp;Maintenance-Bldg Routine"/>
    <s v="Plant Op &amp; Maintenance"/>
    <x v="0"/>
    <n v="2300"/>
    <n v="2406.1"/>
    <n v="0"/>
    <n v="16856.41"/>
    <n v="1658.25"/>
    <n v="5212.87"/>
    <n v="2155.67"/>
    <n v="28917.56"/>
    <n v="508.4"/>
    <n v="48.4"/>
    <n v="5590.27"/>
    <n v="0"/>
    <n v="0"/>
    <n v="63353.930000000008"/>
    <n v="0"/>
  </r>
  <r>
    <x v="16"/>
    <x v="5"/>
    <x v="0"/>
    <s v="6060106"/>
    <n v="732030"/>
    <s v="Repairs&amp;Maintenance-Electrical"/>
    <s v="Plant Op &amp; Maintenance"/>
    <x v="0"/>
    <n v="5100"/>
    <n v="2102.56"/>
    <n v="5088.41"/>
    <n v="5913.65"/>
    <n v="1364.19"/>
    <n v="-710.24"/>
    <n v="4152.7299999999996"/>
    <n v="2112.27"/>
    <n v="5863.3"/>
    <n v="2693.54"/>
    <n v="2358.5"/>
    <n v="2019.42"/>
    <n v="-1551.11"/>
    <n v="31407.22"/>
    <n v="3570.5299999999997"/>
  </r>
  <r>
    <x v="16"/>
    <x v="5"/>
    <x v="0"/>
    <s v="6060106"/>
    <n v="732030"/>
    <s v="Repairs&amp;Maintenance-Elevator"/>
    <s v="Plant Op &amp; Maintenance"/>
    <x v="0"/>
    <n v="5101"/>
    <n v="8819.85"/>
    <n v="41131.75"/>
    <n v="4146.76"/>
    <n v="2229.98"/>
    <n v="1295.5"/>
    <n v="2094.4699999999998"/>
    <n v="0"/>
    <n v="-2976.71"/>
    <n v="1135.3800000000001"/>
    <n v="405.09"/>
    <n v="2138.3200000000002"/>
    <n v="400.91"/>
    <n v="60821.3"/>
    <n v="1737.41"/>
  </r>
  <r>
    <x v="16"/>
    <x v="5"/>
    <x v="0"/>
    <s v="6060106"/>
    <n v="732030"/>
    <s v="Repairs&amp;Maintenance-HVAC"/>
    <s v="Plant Op &amp; Maintenance"/>
    <x v="0"/>
    <n v="5102"/>
    <n v="3492.48"/>
    <n v="3281.93"/>
    <n v="6784.92"/>
    <n v="4585.57"/>
    <n v="3152.56"/>
    <n v="900.12"/>
    <n v="17515.14"/>
    <n v="4820.53"/>
    <n v="745.94"/>
    <n v="3599.75"/>
    <n v="306.89999999999998"/>
    <n v="4496.7700000000004"/>
    <n v="53682.61"/>
    <n v="-4189.8700000000008"/>
  </r>
  <r>
    <x v="16"/>
    <x v="5"/>
    <x v="0"/>
    <s v="6060106"/>
    <n v="732030"/>
    <s v="Repairs&amp;Maintenance-Plumbing"/>
    <s v="Plant Op &amp; Maintenance"/>
    <x v="0"/>
    <n v="5103"/>
    <n v="0"/>
    <n v="487.89"/>
    <n v="2537.52"/>
    <n v="966.74"/>
    <n v="1845.84"/>
    <n v="5920.16"/>
    <n v="-861.34"/>
    <n v="2505.3200000000002"/>
    <n v="779.9"/>
    <n v="644.69000000000005"/>
    <n v="886.16"/>
    <n v="617.61"/>
    <n v="16330.49"/>
    <n v="268.54999999999995"/>
  </r>
  <r>
    <x v="16"/>
    <x v="5"/>
    <x v="0"/>
    <s v="6060106"/>
    <n v="733030"/>
    <s v="Maintenance Contracts-Other"/>
    <s v="Plant Op &amp; Maintenance"/>
    <x v="0"/>
    <m/>
    <n v="3143.8"/>
    <n v="0"/>
    <n v="1045.42"/>
    <n v="0"/>
    <n v="0"/>
    <n v="3511"/>
    <n v="0"/>
    <n v="0"/>
    <n v="0"/>
    <n v="367.2"/>
    <n v="0"/>
    <n v="240"/>
    <n v="8307.42"/>
    <n v="-240"/>
  </r>
  <r>
    <x v="16"/>
    <x v="5"/>
    <x v="0"/>
    <s v="6060106"/>
    <n v="733030"/>
    <s v="Maintenance Contract-Elevator"/>
    <s v="Plant Op &amp; Maintenance"/>
    <x v="0"/>
    <n v="5101"/>
    <n v="2147.88"/>
    <n v="7559.62"/>
    <n v="4089.25"/>
    <n v="5454.63"/>
    <n v="5936.02"/>
    <n v="5641.64"/>
    <n v="3662.24"/>
    <n v="8777.67"/>
    <n v="3435.36"/>
    <n v="7279.45"/>
    <n v="7943.1"/>
    <n v="6592.96"/>
    <n v="68519.819999999992"/>
    <n v="1350.1400000000003"/>
  </r>
  <r>
    <x v="16"/>
    <x v="5"/>
    <x v="0"/>
    <s v="6060106"/>
    <n v="733030"/>
    <s v="Maintenance Contract-Landscape General"/>
    <s v="Plant Op &amp; Maintenance"/>
    <x v="0"/>
    <n v="5105"/>
    <n v="0"/>
    <n v="0"/>
    <n v="0"/>
    <n v="1396.12"/>
    <n v="0"/>
    <n v="0"/>
    <n v="0"/>
    <n v="0"/>
    <n v="0"/>
    <n v="0"/>
    <n v="0"/>
    <n v="126.06"/>
    <n v="1522.1799999999998"/>
    <n v="-126.06"/>
  </r>
  <r>
    <x v="13"/>
    <x v="5"/>
    <x v="0"/>
    <s v="6060106"/>
    <n v="735020"/>
    <s v="Depreciation-Land Improvements"/>
    <s v="Plant Op &amp; Maintenance"/>
    <x v="0"/>
    <m/>
    <n v="1857.65"/>
    <n v="1857.61"/>
    <n v="1857.69"/>
    <n v="1857.58"/>
    <n v="1857.69"/>
    <n v="1857.58"/>
    <n v="1857.72"/>
    <n v="1857.52"/>
    <n v="1857.76"/>
    <n v="1857.51"/>
    <n v="1857.84"/>
    <n v="1857.5"/>
    <n v="22291.649999999998"/>
    <n v="0.33999999999991815"/>
  </r>
  <r>
    <x v="13"/>
    <x v="5"/>
    <x v="0"/>
    <s v="6060106"/>
    <n v="735040"/>
    <s v="Depreciation-Building Improvements"/>
    <s v="Plant Op &amp; Maintenance"/>
    <x v="0"/>
    <m/>
    <n v="4474.5200000000004"/>
    <n v="4474.47"/>
    <n v="4474.6000000000004"/>
    <n v="4474.45"/>
    <n v="4474.6099999999997"/>
    <n v="4474.4399999999996"/>
    <n v="4474.6499999999996"/>
    <n v="4474.34"/>
    <n v="4474.7"/>
    <n v="4474.28"/>
    <n v="4474.74"/>
    <n v="5153.46"/>
    <n v="54373.259999999995"/>
    <n v="-678.72000000000025"/>
  </r>
  <r>
    <x v="13"/>
    <x v="5"/>
    <x v="0"/>
    <s v="6060106"/>
    <n v="735060"/>
    <s v="Depreciation-Fixed Equipment"/>
    <s v="Plant Op &amp; Maintenance"/>
    <x v="0"/>
    <m/>
    <n v="9108.8799999999992"/>
    <n v="9108.7900000000009"/>
    <n v="9108.94"/>
    <n v="9108.74"/>
    <n v="9108.9500000000007"/>
    <n v="9108.7199999999993"/>
    <n v="9108.9699999999993"/>
    <n v="9108.65"/>
    <n v="9109.06"/>
    <n v="9108.57"/>
    <n v="9109.2000000000007"/>
    <n v="9108.4599999999991"/>
    <n v="109305.93"/>
    <n v="0.74000000000160071"/>
  </r>
  <r>
    <x v="13"/>
    <x v="5"/>
    <x v="0"/>
    <s v="6060106"/>
    <n v="735070"/>
    <s v="Depreciation-Movable Equipment"/>
    <s v="Plant Op &amp; Maintenance"/>
    <x v="0"/>
    <m/>
    <n v="1750.1"/>
    <n v="1750.03"/>
    <n v="1750.29"/>
    <n v="1749.99"/>
    <n v="1750.3"/>
    <n v="1749.97"/>
    <n v="1750.33"/>
    <n v="1749.96"/>
    <n v="1750.52"/>
    <n v="1749.59"/>
    <n v="1750.7"/>
    <n v="1749.58"/>
    <n v="21001.360000000001"/>
    <n v="1.1200000000001182"/>
  </r>
  <r>
    <x v="0"/>
    <x v="5"/>
    <x v="0"/>
    <s v="6060106"/>
    <n v="740020"/>
    <s v="Education-Registration Fees"/>
    <s v="Plant Op &amp; Maintenance"/>
    <x v="0"/>
    <m/>
    <n v="0"/>
    <n v="0"/>
    <n v="120"/>
    <n v="0"/>
    <n v="0"/>
    <n v="0"/>
    <n v="0"/>
    <n v="0"/>
    <n v="0"/>
    <n v="0"/>
    <n v="0"/>
    <n v="0"/>
    <n v="120"/>
    <n v="0"/>
  </r>
  <r>
    <x v="0"/>
    <x v="5"/>
    <x v="0"/>
    <s v="6060106"/>
    <n v="742030"/>
    <s v="Freight-Courier"/>
    <s v="Plant Op &amp; Maintenance"/>
    <x v="0"/>
    <m/>
    <n v="1213.5"/>
    <n v="3635"/>
    <n v="9405.9"/>
    <n v="2164.5"/>
    <n v="6029"/>
    <n v="3663.6"/>
    <n v="3489.26"/>
    <n v="9271"/>
    <n v="5250"/>
    <n v="1312.5"/>
    <n v="9286.48"/>
    <n v="4110.8"/>
    <n v="58831.540000000008"/>
    <n v="5175.6799999999994"/>
  </r>
  <r>
    <x v="0"/>
    <x v="5"/>
    <x v="0"/>
    <s v="6060106"/>
    <n v="742040"/>
    <s v="Freight-Other"/>
    <s v="Plant Op &amp; Maintenance"/>
    <x v="0"/>
    <m/>
    <n v="0"/>
    <n v="0"/>
    <n v="0"/>
    <n v="12.93"/>
    <n v="0"/>
    <n v="0"/>
    <n v="0"/>
    <n v="0"/>
    <n v="0"/>
    <n v="0"/>
    <n v="0"/>
    <n v="52.38"/>
    <n v="65.31"/>
    <n v="-52.38"/>
  </r>
  <r>
    <x v="0"/>
    <x v="5"/>
    <x v="0"/>
    <s v="6060106"/>
    <n v="749510"/>
    <s v="Licenses"/>
    <s v="Plant Op &amp; Maintenance"/>
    <x v="0"/>
    <n v="1002"/>
    <n v="0"/>
    <n v="0"/>
    <n v="0"/>
    <n v="0"/>
    <n v="0"/>
    <n v="514.4"/>
    <n v="0"/>
    <n v="0"/>
    <n v="968"/>
    <n v="1301.7"/>
    <n v="0"/>
    <n v="0"/>
    <n v="2784.1000000000004"/>
    <n v="0"/>
  </r>
  <r>
    <x v="0"/>
    <x v="5"/>
    <x v="0"/>
    <s v="6060106"/>
    <n v="749510"/>
    <s v="Uniforms"/>
    <s v="Plant Op &amp; Maintenance"/>
    <x v="0"/>
    <n v="1028"/>
    <n v="0"/>
    <n v="0"/>
    <n v="0"/>
    <n v="0"/>
    <n v="0"/>
    <n v="0"/>
    <n v="0"/>
    <n v="0"/>
    <n v="0"/>
    <n v="696.03"/>
    <n v="0"/>
    <n v="0"/>
    <n v="696.03"/>
    <n v="0"/>
  </r>
  <r>
    <x v="14"/>
    <x v="6"/>
    <x v="0"/>
    <s v="6060107"/>
    <n v="600050"/>
    <s v="Miscellaneous Revenue"/>
    <s v="Plant Maintenance-Bremerton"/>
    <x v="0"/>
    <m/>
    <n v="0"/>
    <n v="-6.46"/>
    <n v="-138.85"/>
    <n v="0"/>
    <n v="-5.54"/>
    <n v="0"/>
    <n v="0"/>
    <n v="0"/>
    <n v="0"/>
    <n v="0"/>
    <n v="0"/>
    <n v="0"/>
    <n v="-150.85"/>
    <n v="0"/>
  </r>
  <r>
    <x v="5"/>
    <x v="6"/>
    <x v="0"/>
    <s v="6060107"/>
    <n v="700038"/>
    <s v="Salaries-Service/Support-Productive"/>
    <s v="Plant Maintenance-Bremerton"/>
    <x v="0"/>
    <m/>
    <n v="56976.17"/>
    <n v="63769.51"/>
    <n v="61417.01"/>
    <n v="62967.66"/>
    <n v="66080.87"/>
    <n v="57024.82"/>
    <n v="68914.2"/>
    <n v="55925.07"/>
    <n v="62122.34"/>
    <n v="60936.43"/>
    <n v="59215.19"/>
    <n v="58609.72"/>
    <n v="733958.99"/>
    <n v="605.47000000000116"/>
  </r>
  <r>
    <x v="5"/>
    <x v="6"/>
    <x v="0"/>
    <s v="6060107"/>
    <n v="700038"/>
    <s v="Salaries-Service/Support-OT"/>
    <s v="Plant Maintenance-Bremerton"/>
    <x v="0"/>
    <n v="1000"/>
    <n v="1604.2"/>
    <n v="766.38"/>
    <n v="-23.86"/>
    <n v="766.25"/>
    <n v="1215.21"/>
    <n v="1367.46"/>
    <n v="369.5"/>
    <n v="2936.05"/>
    <n v="238.78"/>
    <n v="2512.71"/>
    <n v="-1019.14"/>
    <n v="1376.95"/>
    <n v="12110.490000000002"/>
    <n v="-2396.09"/>
  </r>
  <r>
    <x v="5"/>
    <x v="6"/>
    <x v="0"/>
    <s v="6060107"/>
    <n v="700038"/>
    <s v="Salaries-Service/Support-Other"/>
    <s v="Plant Maintenance-Bremerton"/>
    <x v="0"/>
    <n v="2000"/>
    <n v="3249.64"/>
    <n v="3200.17"/>
    <n v="2342.98"/>
    <n v="2396.37"/>
    <n v="2799.28"/>
    <n v="2827.82"/>
    <n v="2787.81"/>
    <n v="2816.24"/>
    <n v="2471.9"/>
    <n v="2022.31"/>
    <n v="1812.88"/>
    <n v="3388.09"/>
    <n v="32115.490000000009"/>
    <n v="-1575.21"/>
  </r>
  <r>
    <x v="5"/>
    <x v="6"/>
    <x v="0"/>
    <s v="6060107"/>
    <n v="700054"/>
    <s v="Salaries-Management-NonProd-Other"/>
    <s v="Plant Maintenance-Bremerton"/>
    <x v="0"/>
    <n v="2000"/>
    <n v="0"/>
    <n v="0"/>
    <n v="0"/>
    <n v="0"/>
    <n v="0"/>
    <n v="40.630000000000003"/>
    <n v="-40.630000000000003"/>
    <n v="0"/>
    <n v="0"/>
    <n v="0"/>
    <n v="0"/>
    <n v="0"/>
    <n v="0"/>
    <n v="0"/>
  </r>
  <r>
    <x v="5"/>
    <x v="6"/>
    <x v="0"/>
    <s v="6060107"/>
    <n v="700078"/>
    <s v="Salaries-Service/Support-Non-productive"/>
    <s v="Plant Maintenance-Bremerton"/>
    <x v="0"/>
    <m/>
    <n v="18675.36"/>
    <n v="8559.0499999999993"/>
    <n v="9776.65"/>
    <n v="10227.73"/>
    <n v="5939.67"/>
    <n v="17242.61"/>
    <n v="6479"/>
    <n v="12201.28"/>
    <n v="9435.18"/>
    <n v="8810.92"/>
    <n v="8859.4"/>
    <n v="17368.509999999998"/>
    <n v="133575.35999999999"/>
    <n v="-8509.1099999999988"/>
  </r>
  <r>
    <x v="5"/>
    <x v="6"/>
    <x v="0"/>
    <s v="6060107"/>
    <n v="700078"/>
    <s v="Salaries-Service/Support-NonProd-Other"/>
    <s v="Plant Maintenance-Bremerton"/>
    <x v="0"/>
    <n v="2000"/>
    <n v="654.77"/>
    <n v="294.75"/>
    <n v="128.6"/>
    <n v="395.53"/>
    <n v="74.650000000000006"/>
    <n v="275.38"/>
    <n v="119.6"/>
    <n v="319.08"/>
    <n v="28.61"/>
    <n v="205.11"/>
    <n v="210.61"/>
    <n v="228.16"/>
    <n v="2934.85"/>
    <n v="-17.549999999999983"/>
  </r>
  <r>
    <x v="5"/>
    <x v="6"/>
    <x v="0"/>
    <s v="6060107"/>
    <n v="700084"/>
    <s v="Accrued PTO"/>
    <s v="Plant Maintenance-Bremerton"/>
    <x v="0"/>
    <m/>
    <n v="-6597.3"/>
    <n v="4475.24"/>
    <n v="208.35"/>
    <n v="946.39"/>
    <n v="3041.81"/>
    <n v="-3702.61"/>
    <n v="4124.28"/>
    <n v="-2040.3"/>
    <n v="2825.74"/>
    <n v="1745.04"/>
    <n v="-828.47"/>
    <n v="990.49"/>
    <n v="5188.659999999998"/>
    <n v="-1818.96"/>
  </r>
  <r>
    <x v="6"/>
    <x v="6"/>
    <x v="0"/>
    <s v="6060107"/>
    <n v="713010"/>
    <s v="Benefits-FICA/Medicare"/>
    <s v="Plant Maintenance-Bremerton"/>
    <x v="0"/>
    <m/>
    <n v="6022.22"/>
    <n v="5675.79"/>
    <n v="5435.22"/>
    <n v="5805.49"/>
    <n v="5596.33"/>
    <n v="5838.02"/>
    <n v="5888.48"/>
    <n v="5503.27"/>
    <n v="5521.99"/>
    <n v="5465.71"/>
    <n v="5089.8100000000004"/>
    <n v="6145.8"/>
    <n v="67988.13"/>
    <n v="-1055.9899999999998"/>
  </r>
  <r>
    <x v="6"/>
    <x v="6"/>
    <x v="0"/>
    <s v="6060107"/>
    <n v="713090"/>
    <s v="Benefits-Allocated Amounts"/>
    <s v="Plant Maintenance-Bremerton"/>
    <x v="0"/>
    <m/>
    <n v="15224.04"/>
    <n v="13306.38"/>
    <n v="14255.87"/>
    <n v="14327.2"/>
    <n v="16678.09"/>
    <n v="15268.36"/>
    <n v="15877.29"/>
    <n v="15277.56"/>
    <n v="12671.17"/>
    <n v="16198.37"/>
    <n v="13925.63"/>
    <n v="18655.04"/>
    <n v="181665.00000000003"/>
    <n v="-4729.4100000000017"/>
  </r>
  <r>
    <x v="6"/>
    <x v="6"/>
    <x v="0"/>
    <s v="6060107"/>
    <n v="713096"/>
    <s v="Employee Recognition"/>
    <s v="Plant Maintenance-Bremerton"/>
    <x v="0"/>
    <n v="1017"/>
    <n v="0"/>
    <n v="98.49"/>
    <n v="0"/>
    <n v="0"/>
    <n v="21.79"/>
    <n v="0"/>
    <n v="199.74"/>
    <n v="0"/>
    <n v="0"/>
    <n v="57.66"/>
    <n v="0"/>
    <n v="48.29"/>
    <n v="425.96999999999997"/>
    <n v="-48.29"/>
  </r>
  <r>
    <x v="7"/>
    <x v="6"/>
    <x v="0"/>
    <s v="6060107"/>
    <n v="718050"/>
    <s v="Contract Svcs-Other"/>
    <s v="Plant Maintenance-Bremerton"/>
    <x v="0"/>
    <m/>
    <n v="3721.54"/>
    <n v="1087.28"/>
    <n v="130"/>
    <n v="0"/>
    <n v="5031.4399999999996"/>
    <n v="16895"/>
    <n v="0"/>
    <n v="-12291.11"/>
    <n v="63.75"/>
    <n v="0"/>
    <n v="0"/>
    <n v="0"/>
    <n v="14637.899999999998"/>
    <n v="0"/>
  </r>
  <r>
    <x v="7"/>
    <x v="6"/>
    <x v="0"/>
    <s v="6060107"/>
    <n v="718050"/>
    <s v="Document Shredding/Storage"/>
    <s v="Plant Maintenance-Bremerton"/>
    <x v="0"/>
    <n v="1012"/>
    <n v="0"/>
    <n v="3559.5"/>
    <n v="2244.75"/>
    <n v="4068"/>
    <n v="0"/>
    <n v="4576.5"/>
    <n v="0"/>
    <n v="2036.75"/>
    <n v="2542.5"/>
    <n v="0"/>
    <n v="2034.25"/>
    <n v="0"/>
    <n v="21062.25"/>
    <n v="2034.25"/>
  </r>
  <r>
    <x v="7"/>
    <x v="6"/>
    <x v="0"/>
    <s v="6060107"/>
    <n v="718050"/>
    <s v="Lawn Services"/>
    <s v="Plant Maintenance-Bremerton"/>
    <x v="0"/>
    <n v="1013"/>
    <n v="0"/>
    <n v="4021.96"/>
    <n v="3815"/>
    <n v="1977.23"/>
    <n v="2725"/>
    <n v="0"/>
    <n v="1977.23"/>
    <n v="-3281.24"/>
    <n v="1779.51"/>
    <n v="-147.18"/>
    <n v="146.75"/>
    <n v="6623.3"/>
    <n v="19637.560000000001"/>
    <n v="-6476.55"/>
  </r>
  <r>
    <x v="7"/>
    <x v="6"/>
    <x v="0"/>
    <s v="6060107"/>
    <n v="718050"/>
    <s v="Pest Control"/>
    <s v="Plant Maintenance-Bremerton"/>
    <x v="0"/>
    <n v="1014"/>
    <n v="0"/>
    <n v="460.98"/>
    <n v="538.46"/>
    <n v="799.34"/>
    <n v="1599.09"/>
    <n v="1589.59"/>
    <n v="-1119.06"/>
    <n v="897.44"/>
    <n v="0"/>
    <n v="1707.67"/>
    <n v="1661.79"/>
    <n v="399.67"/>
    <n v="8534.9699999999993"/>
    <n v="1262.1199999999999"/>
  </r>
  <r>
    <x v="7"/>
    <x v="6"/>
    <x v="0"/>
    <s v="6060107"/>
    <n v="718050"/>
    <s v="Miscellaneous Purchased Svcs"/>
    <s v="Plant Maintenance-Bremerton"/>
    <x v="0"/>
    <n v="1020"/>
    <n v="36598.65"/>
    <n v="0"/>
    <n v="0"/>
    <n v="0"/>
    <n v="0"/>
    <n v="0"/>
    <n v="24187.1"/>
    <n v="34771"/>
    <n v="129772.76"/>
    <n v="-76972.89"/>
    <n v="0"/>
    <n v="0"/>
    <n v="148356.62"/>
    <n v="0"/>
  </r>
  <r>
    <x v="7"/>
    <x v="6"/>
    <x v="0"/>
    <s v="6060107"/>
    <n v="718050"/>
    <s v="Purchased Srvcs--Medical Waste"/>
    <s v="Plant Maintenance-Bremerton"/>
    <x v="0"/>
    <n v="1027"/>
    <n v="2034"/>
    <n v="27526.79"/>
    <n v="34085.17"/>
    <n v="24727.61"/>
    <n v="78141.89"/>
    <n v="38930.410000000003"/>
    <n v="24651.86"/>
    <n v="46728.59"/>
    <n v="29919.040000000001"/>
    <n v="17136.3"/>
    <n v="7816.95"/>
    <n v="85167.24"/>
    <n v="416865.85000000003"/>
    <n v="-77350.290000000008"/>
  </r>
  <r>
    <x v="7"/>
    <x v="6"/>
    <x v="0"/>
    <s v="6060107"/>
    <n v="718050"/>
    <s v="Purchased Srvcs-Environmental Remediation"/>
    <s v="Plant Maintenance-Bremerton"/>
    <x v="0"/>
    <n v="1028"/>
    <n v="0"/>
    <n v="0"/>
    <n v="0"/>
    <n v="0"/>
    <n v="0"/>
    <n v="0"/>
    <n v="-5728.35"/>
    <n v="0"/>
    <n v="0"/>
    <n v="0"/>
    <n v="-37285"/>
    <n v="0"/>
    <n v="-43013.35"/>
    <n v="-37285"/>
  </r>
  <r>
    <x v="7"/>
    <x v="6"/>
    <x v="0"/>
    <s v="6060107"/>
    <n v="718050"/>
    <s v="Purchased Service-Fire/Life Safety Test"/>
    <s v="Plant Maintenance-Bremerton"/>
    <x v="0"/>
    <n v="5101"/>
    <n v="15965.62"/>
    <n v="0"/>
    <n v="640.91999999999996"/>
    <n v="3172.61"/>
    <n v="0"/>
    <n v="21592"/>
    <n v="6590"/>
    <n v="52003.3"/>
    <n v="0"/>
    <n v="52.92"/>
    <n v="1455.62"/>
    <n v="0"/>
    <n v="101472.99"/>
    <n v="1455.62"/>
  </r>
  <r>
    <x v="7"/>
    <x v="6"/>
    <x v="0"/>
    <s v="6060107"/>
    <n v="718071"/>
    <s v="Contract Srvcs-CHI Facilities Mgmt"/>
    <s v="Plant Maintenance-Bremerton"/>
    <x v="0"/>
    <m/>
    <n v="27033.9"/>
    <n v="30804.62"/>
    <n v="26518.31"/>
    <n v="32875.160000000003"/>
    <n v="28889.73"/>
    <n v="25994.17"/>
    <n v="30938.7"/>
    <n v="33471.4"/>
    <n v="18750.2"/>
    <n v="31353.31"/>
    <n v="32688.04"/>
    <n v="31610.47"/>
    <n v="350928.01"/>
    <n v="1077.5699999999997"/>
  </r>
  <r>
    <x v="11"/>
    <x v="6"/>
    <x v="0"/>
    <s v="6060107"/>
    <n v="721410"/>
    <s v="Supplies-Medical - Nonbillable"/>
    <s v="Plant Maintenance-Bremerton"/>
    <x v="0"/>
    <m/>
    <n v="0"/>
    <n v="45.26"/>
    <n v="0"/>
    <n v="1.36"/>
    <n v="20.84"/>
    <n v="0"/>
    <n v="0"/>
    <n v="16.149999999999999"/>
    <n v="26.86"/>
    <n v="2.17"/>
    <n v="16.72"/>
    <n v="4.08"/>
    <n v="133.44"/>
    <n v="12.639999999999999"/>
  </r>
  <r>
    <x v="11"/>
    <x v="6"/>
    <x v="0"/>
    <s v="6060107"/>
    <n v="721810"/>
    <s v="Supplies-Dietary/Cafeteria"/>
    <s v="Plant Maintenance-Bremerton"/>
    <x v="0"/>
    <m/>
    <n v="192.34"/>
    <n v="225.55"/>
    <n v="288.04000000000002"/>
    <n v="365.78"/>
    <n v="232.89"/>
    <n v="385.56"/>
    <n v="201.13"/>
    <n v="291.23"/>
    <n v="254.73"/>
    <n v="403.05"/>
    <n v="326.27"/>
    <n v="361.58"/>
    <n v="3528.15"/>
    <n v="-35.31"/>
  </r>
  <r>
    <x v="11"/>
    <x v="6"/>
    <x v="0"/>
    <s v="6060107"/>
    <n v="721830"/>
    <s v="Supplies-Office"/>
    <s v="Plant Maintenance-Bremerton"/>
    <x v="0"/>
    <m/>
    <n v="240.33"/>
    <n v="132.24"/>
    <n v="568.14"/>
    <n v="189.8"/>
    <n v="174.95"/>
    <n v="48.45"/>
    <n v="188.01"/>
    <n v="0"/>
    <n v="152.72999999999999"/>
    <n v="103.48"/>
    <n v="28.82"/>
    <n v="0"/>
    <n v="1826.95"/>
    <n v="28.82"/>
  </r>
  <r>
    <x v="11"/>
    <x v="6"/>
    <x v="0"/>
    <s v="6060107"/>
    <n v="721850"/>
    <s v="Air Filters &amp; HVAC Supplies"/>
    <s v="Plant Maintenance-Bremerton"/>
    <x v="0"/>
    <n v="1001"/>
    <n v="0"/>
    <n v="0"/>
    <n v="0"/>
    <n v="309.10000000000002"/>
    <n v="-309.10000000000002"/>
    <n v="0"/>
    <n v="0"/>
    <n v="0"/>
    <n v="0"/>
    <n v="0"/>
    <n v="0"/>
    <n v="0"/>
    <n v="0"/>
    <n v="0"/>
  </r>
  <r>
    <x v="11"/>
    <x v="6"/>
    <x v="0"/>
    <s v="6060107"/>
    <n v="721870"/>
    <s v="Supplies-Environmental Services"/>
    <s v="Plant Maintenance-Bremerton"/>
    <x v="0"/>
    <m/>
    <n v="17.82"/>
    <n v="39.58"/>
    <n v="0"/>
    <n v="0"/>
    <n v="0"/>
    <n v="0"/>
    <n v="0"/>
    <n v="0"/>
    <n v="0"/>
    <n v="35.64"/>
    <n v="17.82"/>
    <n v="15.76"/>
    <n v="126.61999999999999"/>
    <n v="2.0600000000000005"/>
  </r>
  <r>
    <x v="11"/>
    <x v="6"/>
    <x v="0"/>
    <s v="6060107"/>
    <n v="721910"/>
    <s v="Supplies-Small Equipment"/>
    <s v="Plant Maintenance-Bremerton"/>
    <x v="0"/>
    <m/>
    <n v="40"/>
    <n v="658.89"/>
    <n v="0"/>
    <n v="5.12"/>
    <n v="0"/>
    <n v="0"/>
    <n v="4167.96"/>
    <n v="120.58"/>
    <n v="2515.38"/>
    <n v="1016.85"/>
    <n v="8.16"/>
    <n v="0"/>
    <n v="8532.94"/>
    <n v="8.16"/>
  </r>
  <r>
    <x v="11"/>
    <x v="6"/>
    <x v="0"/>
    <s v="6060107"/>
    <n v="721980"/>
    <s v="Supplies-Other"/>
    <s v="Plant Maintenance-Bremerton"/>
    <x v="0"/>
    <m/>
    <n v="196.2"/>
    <n v="38.159999999999997"/>
    <n v="0"/>
    <n v="14.68"/>
    <n v="238.71"/>
    <n v="0"/>
    <n v="0"/>
    <n v="0"/>
    <n v="0"/>
    <n v="65.39"/>
    <n v="0"/>
    <n v="42"/>
    <n v="595.14"/>
    <n v="-42"/>
  </r>
  <r>
    <x v="11"/>
    <x v="6"/>
    <x v="0"/>
    <s v="6060107"/>
    <n v="722000"/>
    <s v="Supplies-Freight Expense"/>
    <s v="Plant Maintenance-Bremerton"/>
    <x v="0"/>
    <m/>
    <n v="16.8"/>
    <n v="84.99"/>
    <n v="0"/>
    <n v="76.5"/>
    <n v="35.380000000000003"/>
    <n v="8.02"/>
    <n v="12.99"/>
    <n v="0"/>
    <n v="8.75"/>
    <n v="557.41"/>
    <n v="81"/>
    <n v="8.7899999999999991"/>
    <n v="890.62999999999988"/>
    <n v="72.210000000000008"/>
  </r>
  <r>
    <x v="11"/>
    <x v="6"/>
    <x v="0"/>
    <s v="6060107"/>
    <n v="722000"/>
    <s v="Minimum Order Fees"/>
    <s v="Plant Maintenance-Bremerton"/>
    <x v="0"/>
    <n v="1000"/>
    <n v="0"/>
    <n v="0"/>
    <n v="0"/>
    <n v="0"/>
    <n v="0"/>
    <n v="0"/>
    <n v="0"/>
    <n v="0"/>
    <n v="0"/>
    <n v="0"/>
    <n v="0"/>
    <n v="21.8"/>
    <n v="21.8"/>
    <n v="-21.8"/>
  </r>
  <r>
    <x v="12"/>
    <x v="6"/>
    <x v="0"/>
    <s v="6060107"/>
    <n v="730020"/>
    <s v="Rental and Leases-Equipment (DO NOT USE)"/>
    <s v="Plant Maintenance-Bremerton"/>
    <x v="0"/>
    <m/>
    <n v="0"/>
    <n v="84.34"/>
    <n v="42.01"/>
    <n v="1938.93"/>
    <n v="0"/>
    <n v="0"/>
    <n v="76.040000000000006"/>
    <n v="0"/>
    <n v="38.020000000000003"/>
    <n v="0"/>
    <n v="76.040000000000006"/>
    <n v="38.020000000000003"/>
    <n v="2293.4"/>
    <n v="38.020000000000003"/>
  </r>
  <r>
    <x v="12"/>
    <x v="6"/>
    <x v="0"/>
    <s v="6060107"/>
    <n v="730020"/>
    <s v="Rental and Leases-Copier Usage Fees (DO NOT USE)"/>
    <s v="Plant Maintenance-Bremerton"/>
    <x v="0"/>
    <n v="5100"/>
    <n v="593.04999999999995"/>
    <n v="607.28"/>
    <n v="600.16"/>
    <n v="600.16"/>
    <n v="600.16"/>
    <n v="600.16"/>
    <n v="727.06"/>
    <n v="555.55999999999995"/>
    <n v="554.39"/>
    <n v="777.61"/>
    <n v="555.55999999999995"/>
    <n v="627.75"/>
    <n v="7398.8999999999978"/>
    <n v="-72.190000000000055"/>
  </r>
  <r>
    <x v="15"/>
    <x v="6"/>
    <x v="0"/>
    <s v="6060107"/>
    <n v="731010"/>
    <s v="Natural Gas"/>
    <s v="Plant Maintenance-Bremerton"/>
    <x v="0"/>
    <m/>
    <n v="20009.77"/>
    <n v="18848.75"/>
    <n v="20018.400000000001"/>
    <n v="21149.9"/>
    <n v="25043.52"/>
    <n v="72121.460000000006"/>
    <n v="127135.01"/>
    <n v="56829.05"/>
    <n v="48269.760000000002"/>
    <n v="85558.59"/>
    <n v="56541.86"/>
    <n v="25819.75"/>
    <n v="577345.81999999995"/>
    <n v="30722.11"/>
  </r>
  <r>
    <x v="15"/>
    <x v="6"/>
    <x v="0"/>
    <s v="6060107"/>
    <n v="731020"/>
    <s v="Electricity"/>
    <s v="Plant Maintenance-Bremerton"/>
    <x v="0"/>
    <m/>
    <n v="104295.98"/>
    <n v="113354.91"/>
    <n v="107869.15"/>
    <n v="105879.61"/>
    <n v="97353.89"/>
    <n v="96074.7"/>
    <n v="90217.9"/>
    <n v="91804.67"/>
    <n v="83500.06"/>
    <n v="98081.57"/>
    <n v="89965.13"/>
    <n v="95301.21"/>
    <n v="1173698.7800000003"/>
    <n v="-5336.0800000000017"/>
  </r>
  <r>
    <x v="15"/>
    <x v="6"/>
    <x v="0"/>
    <s v="6060107"/>
    <n v="731030"/>
    <s v="Water"/>
    <s v="Plant Maintenance-Bremerton"/>
    <x v="0"/>
    <m/>
    <n v="0"/>
    <n v="15979.09"/>
    <n v="0"/>
    <n v="15359.37"/>
    <n v="0"/>
    <n v="14544.29"/>
    <n v="0"/>
    <n v="13189.78"/>
    <n v="0"/>
    <n v="13296.82"/>
    <n v="0"/>
    <n v="15459.92"/>
    <n v="87829.27"/>
    <n v="-15459.92"/>
  </r>
  <r>
    <x v="15"/>
    <x v="6"/>
    <x v="0"/>
    <s v="6060107"/>
    <n v="731040"/>
    <s v="Sewer"/>
    <s v="Plant Maintenance-Bremerton"/>
    <x v="0"/>
    <m/>
    <n v="0"/>
    <n v="36997.93"/>
    <n v="0"/>
    <n v="35290.730000000003"/>
    <n v="0"/>
    <n v="33699.93"/>
    <n v="0"/>
    <n v="30051.360000000001"/>
    <n v="0"/>
    <n v="30291.360000000001"/>
    <n v="0"/>
    <n v="35141.360000000001"/>
    <n v="201472.66999999998"/>
    <n v="-35141.360000000001"/>
  </r>
  <r>
    <x v="15"/>
    <x v="6"/>
    <x v="0"/>
    <s v="6060107"/>
    <n v="731050"/>
    <s v="Refuse Disposal"/>
    <s v="Plant Maintenance-Bremerton"/>
    <x v="0"/>
    <m/>
    <n v="319.33"/>
    <n v="315.93"/>
    <n v="316.83"/>
    <n v="314.55"/>
    <n v="319.73"/>
    <n v="318.35000000000002"/>
    <n v="315.08"/>
    <n v="360.07"/>
    <n v="60869.87"/>
    <n v="7700.35"/>
    <n v="7656.89"/>
    <n v="8310.8700000000008"/>
    <n v="87117.85"/>
    <n v="-653.98000000000047"/>
  </r>
  <r>
    <x v="15"/>
    <x v="6"/>
    <x v="0"/>
    <s v="6060107"/>
    <n v="731060"/>
    <s v="Cell Phones"/>
    <s v="Plant Maintenance-Bremerton"/>
    <x v="0"/>
    <n v="1001"/>
    <n v="0"/>
    <n v="215.5"/>
    <n v="105.68"/>
    <n v="0"/>
    <n v="105.88"/>
    <n v="108.2"/>
    <n v="220.79"/>
    <n v="0"/>
    <n v="110.32"/>
    <n v="216.48"/>
    <n v="306.25"/>
    <n v="182.14"/>
    <n v="1571.2399999999998"/>
    <n v="124.11000000000001"/>
  </r>
  <r>
    <x v="15"/>
    <x v="6"/>
    <x v="0"/>
    <s v="6060107"/>
    <n v="731060"/>
    <s v="Pagers"/>
    <s v="Plant Maintenance-Bremerton"/>
    <x v="0"/>
    <n v="1002"/>
    <n v="8.1"/>
    <n v="8.1"/>
    <n v="8.1"/>
    <n v="8.1199999999999992"/>
    <n v="0"/>
    <n v="8.1199999999999992"/>
    <n v="16.239999999999998"/>
    <n v="8.1199999999999992"/>
    <n v="8.1199999999999992"/>
    <n v="8.1199999999999992"/>
    <n v="8.1199999999999992"/>
    <n v="8.1199999999999992"/>
    <n v="97.38000000000001"/>
    <n v="0"/>
  </r>
  <r>
    <x v="15"/>
    <x v="6"/>
    <x v="0"/>
    <s v="6060107"/>
    <n v="731090"/>
    <s v="Fuel-Oil"/>
    <s v="Plant Maintenance-Bremerton"/>
    <x v="0"/>
    <n v="6200"/>
    <n v="0"/>
    <n v="0"/>
    <n v="0"/>
    <n v="0"/>
    <n v="4352.28"/>
    <n v="0"/>
    <n v="2467.5700000000002"/>
    <n v="0"/>
    <n v="0"/>
    <n v="0"/>
    <n v="0"/>
    <n v="0"/>
    <n v="6819.85"/>
    <n v="0"/>
  </r>
  <r>
    <x v="16"/>
    <x v="6"/>
    <x v="0"/>
    <s v="6060107"/>
    <n v="732030"/>
    <s v="Repairs---Other"/>
    <s v="Plant Maintenance-Bremerton"/>
    <x v="0"/>
    <m/>
    <n v="28107.27"/>
    <n v="16086.1"/>
    <n v="21805.42"/>
    <n v="15434.79"/>
    <n v="19284.05"/>
    <n v="2964.36"/>
    <n v="24441.65"/>
    <n v="26287.08"/>
    <n v="18373.87"/>
    <n v="26238.69"/>
    <n v="34105.97"/>
    <n v="46422.21"/>
    <n v="279551.46000000002"/>
    <n v="-12316.239999999998"/>
  </r>
  <r>
    <x v="16"/>
    <x v="6"/>
    <x v="0"/>
    <s v="6060107"/>
    <n v="732030"/>
    <s v="Vehicle Maintenance"/>
    <s v="Plant Maintenance-Bremerton"/>
    <x v="0"/>
    <n v="1000"/>
    <n v="0"/>
    <n v="0"/>
    <n v="0"/>
    <n v="0"/>
    <n v="0"/>
    <n v="0"/>
    <n v="0"/>
    <n v="69.2"/>
    <n v="28.32"/>
    <n v="1034.9100000000001"/>
    <n v="10.89"/>
    <n v="0"/>
    <n v="1143.3200000000002"/>
    <n v="10.89"/>
  </r>
  <r>
    <x v="16"/>
    <x v="6"/>
    <x v="0"/>
    <s v="6060107"/>
    <n v="732030"/>
    <s v="Repairs&amp;Maintenance-Bldg Routine"/>
    <s v="Plant Maintenance-Bremerton"/>
    <x v="0"/>
    <n v="2300"/>
    <n v="16714.669999999998"/>
    <n v="10834.58"/>
    <n v="17114.240000000002"/>
    <n v="7823.32"/>
    <n v="30175.35"/>
    <n v="482.12"/>
    <n v="2056.7199999999998"/>
    <n v="605.4"/>
    <n v="0"/>
    <n v="7043.89"/>
    <n v="627.13"/>
    <n v="0"/>
    <n v="93477.42"/>
    <n v="627.13"/>
  </r>
  <r>
    <x v="16"/>
    <x v="6"/>
    <x v="0"/>
    <s v="6060107"/>
    <n v="732030"/>
    <s v="Repairs&amp;Maintenance-Electrical"/>
    <s v="Plant Maintenance-Bremerton"/>
    <x v="0"/>
    <n v="5100"/>
    <n v="31713.13"/>
    <n v="4447.2"/>
    <n v="2645.47"/>
    <n v="20712.97"/>
    <n v="2543.1999999999998"/>
    <n v="4242.22"/>
    <n v="3775.04"/>
    <n v="7106"/>
    <n v="2717.15"/>
    <n v="463.45"/>
    <n v="5084.8599999999997"/>
    <n v="9645.73"/>
    <n v="95096.419999999984"/>
    <n v="-4560.87"/>
  </r>
  <r>
    <x v="16"/>
    <x v="6"/>
    <x v="0"/>
    <s v="6060107"/>
    <n v="732030"/>
    <s v="Repairs&amp;Maintenance-Elevator"/>
    <s v="Plant Maintenance-Bremerton"/>
    <x v="0"/>
    <n v="5101"/>
    <n v="-72354.960000000006"/>
    <n v="1118.42"/>
    <n v="5657.62"/>
    <n v="4303.75"/>
    <n v="0"/>
    <n v="1099.08"/>
    <n v="6070.05"/>
    <n v="4283.49"/>
    <n v="0"/>
    <n v="2234.5"/>
    <n v="2447.0500000000002"/>
    <n v="1237.4100000000001"/>
    <n v="-43903.590000000004"/>
    <n v="1209.6400000000001"/>
  </r>
  <r>
    <x v="16"/>
    <x v="6"/>
    <x v="0"/>
    <s v="6060107"/>
    <n v="732030"/>
    <s v="Repairs&amp;Maintenance-HVAC"/>
    <s v="Plant Maintenance-Bremerton"/>
    <x v="0"/>
    <n v="5102"/>
    <n v="5361.36"/>
    <n v="21424.94"/>
    <n v="17292.53"/>
    <n v="19045.63"/>
    <n v="37952.68"/>
    <n v="6945.05"/>
    <n v="18984.14"/>
    <n v="47309.78"/>
    <n v="2588.16"/>
    <n v="17061.939999999999"/>
    <n v="127656.15"/>
    <n v="59860.66"/>
    <n v="381483.02"/>
    <n v="67795.489999999991"/>
  </r>
  <r>
    <x v="16"/>
    <x v="6"/>
    <x v="0"/>
    <s v="6060107"/>
    <n v="732030"/>
    <s v="Repairs&amp;Maintenance-Plumbing"/>
    <s v="Plant Maintenance-Bremerton"/>
    <x v="0"/>
    <n v="5103"/>
    <n v="9907.3700000000008"/>
    <n v="69027.509999999995"/>
    <n v="8983.83"/>
    <n v="33802.47"/>
    <n v="7551.19"/>
    <n v="-20550.91"/>
    <n v="11008.17"/>
    <n v="11062.82"/>
    <n v="17705.240000000002"/>
    <n v="12466.74"/>
    <n v="16804.939999999999"/>
    <n v="1403.15"/>
    <n v="179172.51999999996"/>
    <n v="15401.789999999999"/>
  </r>
  <r>
    <x v="16"/>
    <x v="6"/>
    <x v="0"/>
    <s v="6060107"/>
    <n v="733030"/>
    <s v="Maintenance Contracts-Other"/>
    <s v="Plant Maintenance-Bremerton"/>
    <x v="0"/>
    <m/>
    <n v="6730.39"/>
    <n v="4137.66"/>
    <n v="3725.05"/>
    <n v="285.24"/>
    <n v="2470.94"/>
    <n v="72435.350000000006"/>
    <n v="3954.46"/>
    <n v="1390.17"/>
    <n v="1045.94"/>
    <n v="1129.2"/>
    <n v="4411.25"/>
    <n v="1523.97"/>
    <n v="103239.62000000001"/>
    <n v="2887.2799999999997"/>
  </r>
  <r>
    <x v="16"/>
    <x v="6"/>
    <x v="0"/>
    <s v="6060107"/>
    <n v="733030"/>
    <s v="Maintenance Contracts-Oper Expense Projects"/>
    <s v="Plant Maintenance-Bremerton"/>
    <x v="0"/>
    <n v="1003"/>
    <n v="0"/>
    <n v="0"/>
    <n v="15745.92"/>
    <n v="-2265.92"/>
    <n v="-16000"/>
    <n v="0"/>
    <n v="0"/>
    <n v="0"/>
    <n v="0"/>
    <n v="0"/>
    <n v="0"/>
    <n v="0"/>
    <n v="-2520"/>
    <n v="0"/>
  </r>
  <r>
    <x v="16"/>
    <x v="6"/>
    <x v="0"/>
    <s v="6060107"/>
    <n v="733030"/>
    <s v="Maintenance Contract-Elevator"/>
    <s v="Plant Maintenance-Bremerton"/>
    <x v="0"/>
    <n v="5101"/>
    <n v="79518.490000000005"/>
    <n v="1819.91"/>
    <n v="0"/>
    <n v="1296.0899999999999"/>
    <n v="1182.94"/>
    <n v="30131.61"/>
    <n v="0"/>
    <n v="0"/>
    <n v="0"/>
    <n v="0"/>
    <n v="0"/>
    <n v="0"/>
    <n v="113949.04000000001"/>
    <n v="0"/>
  </r>
  <r>
    <x v="13"/>
    <x v="6"/>
    <x v="0"/>
    <s v="6060107"/>
    <n v="735040"/>
    <s v="Depreciation-Building Improvements"/>
    <s v="Plant Maintenance-Bremerton"/>
    <x v="0"/>
    <m/>
    <n v="159.03"/>
    <n v="159.03"/>
    <n v="159.03"/>
    <n v="159.03"/>
    <n v="159.03"/>
    <n v="159.03"/>
    <n v="159.03"/>
    <n v="159.03"/>
    <n v="159.03"/>
    <n v="159.02000000000001"/>
    <n v="159.03"/>
    <n v="159.02000000000001"/>
    <n v="1908.34"/>
    <n v="9.9999999999909051E-3"/>
  </r>
  <r>
    <x v="13"/>
    <x v="6"/>
    <x v="0"/>
    <s v="6060107"/>
    <n v="735060"/>
    <s v="Depreciation-Fixed Equipment"/>
    <s v="Plant Maintenance-Bremerton"/>
    <x v="0"/>
    <m/>
    <n v="610.80999999999995"/>
    <n v="610.80999999999995"/>
    <n v="610.82000000000005"/>
    <n v="610.80999999999995"/>
    <n v="610.82000000000005"/>
    <n v="610.80999999999995"/>
    <n v="610.82000000000005"/>
    <n v="610.79999999999995"/>
    <n v="610.82000000000005"/>
    <n v="610.79999999999995"/>
    <n v="610.83000000000004"/>
    <n v="610.79999999999995"/>
    <n v="7329.75"/>
    <n v="3.0000000000086402E-2"/>
  </r>
  <r>
    <x v="13"/>
    <x v="6"/>
    <x v="0"/>
    <s v="6060107"/>
    <n v="735070"/>
    <s v="Depreciation-Movable Equipment"/>
    <s v="Plant Maintenance-Bremerton"/>
    <x v="0"/>
    <m/>
    <n v="1770.75"/>
    <n v="1504.39"/>
    <n v="1504.41"/>
    <n v="1504.37"/>
    <n v="1504.42"/>
    <n v="1504.33"/>
    <n v="1504.42"/>
    <n v="1504.33"/>
    <n v="1504.43"/>
    <n v="1504.33"/>
    <n v="1504.44"/>
    <n v="1504.32"/>
    <n v="18318.939999999999"/>
    <n v="0.12000000000011823"/>
  </r>
  <r>
    <x v="0"/>
    <x v="6"/>
    <x v="0"/>
    <s v="6060107"/>
    <n v="740010"/>
    <s v="Education-Materials"/>
    <s v="Plant Maintenance-Bremerton"/>
    <x v="0"/>
    <m/>
    <n v="0"/>
    <n v="0"/>
    <n v="0"/>
    <n v="0"/>
    <n v="0"/>
    <n v="0"/>
    <n v="0"/>
    <n v="0"/>
    <n v="0"/>
    <n v="229"/>
    <n v="0"/>
    <n v="0"/>
    <n v="229"/>
    <n v="0"/>
  </r>
  <r>
    <x v="0"/>
    <x v="6"/>
    <x v="0"/>
    <s v="6060107"/>
    <n v="740020"/>
    <s v="Education-Registration Fees"/>
    <s v="Plant Maintenance-Bremerton"/>
    <x v="0"/>
    <m/>
    <n v="0"/>
    <n v="-240"/>
    <n v="0"/>
    <n v="0"/>
    <n v="0"/>
    <n v="-26.42"/>
    <n v="330"/>
    <n v="0"/>
    <n v="0"/>
    <n v="0"/>
    <n v="0"/>
    <n v="0"/>
    <n v="63.579999999999984"/>
    <n v="0"/>
  </r>
  <r>
    <x v="0"/>
    <x v="6"/>
    <x v="0"/>
    <s v="6060107"/>
    <n v="740030"/>
    <s v="Education-Travel"/>
    <s v="Plant Maintenance-Bremerton"/>
    <x v="0"/>
    <m/>
    <n v="0"/>
    <n v="0"/>
    <n v="0"/>
    <n v="0"/>
    <n v="0"/>
    <n v="0"/>
    <n v="0"/>
    <n v="0"/>
    <n v="0"/>
    <n v="1890.26"/>
    <n v="0"/>
    <n v="0"/>
    <n v="1890.26"/>
    <n v="0"/>
  </r>
  <r>
    <x v="0"/>
    <x v="6"/>
    <x v="0"/>
    <s v="6060107"/>
    <n v="742040"/>
    <s v="Freight-Other"/>
    <s v="Plant Maintenance-Bremerton"/>
    <x v="0"/>
    <m/>
    <n v="0"/>
    <n v="0"/>
    <n v="0"/>
    <n v="0"/>
    <n v="0"/>
    <n v="0"/>
    <n v="0"/>
    <n v="0"/>
    <n v="0"/>
    <n v="0"/>
    <n v="0"/>
    <n v="29.6"/>
    <n v="29.6"/>
    <n v="-29.6"/>
  </r>
  <r>
    <x v="0"/>
    <x v="6"/>
    <x v="0"/>
    <s v="6060107"/>
    <n v="743020"/>
    <s v="Dues--Individual"/>
    <s v="Plant Maintenance-Bremerton"/>
    <x v="0"/>
    <m/>
    <n v="0"/>
    <n v="0"/>
    <n v="0"/>
    <n v="0"/>
    <n v="0"/>
    <n v="0"/>
    <n v="175"/>
    <n v="0"/>
    <n v="0"/>
    <n v="0"/>
    <n v="1345.5"/>
    <n v="150"/>
    <n v="1670.5"/>
    <n v="1195.5"/>
  </r>
  <r>
    <x v="0"/>
    <x v="6"/>
    <x v="0"/>
    <s v="6060107"/>
    <n v="749510"/>
    <s v="Miscellaneous Expenses"/>
    <s v="Plant Maintenance-Bremerton"/>
    <x v="0"/>
    <m/>
    <n v="705.01"/>
    <n v="-418.19"/>
    <n v="1850.62"/>
    <n v="-2073.3000000000002"/>
    <n v="200.95"/>
    <n v="1308.52"/>
    <n v="-1411.72"/>
    <n v="1754.36"/>
    <n v="-155.33000000000001"/>
    <n v="449.56"/>
    <n v="128.82"/>
    <n v="619.20000000000005"/>
    <n v="2958.5"/>
    <n v="-490.38000000000005"/>
  </r>
  <r>
    <x v="0"/>
    <x v="6"/>
    <x v="0"/>
    <s v="6060107"/>
    <n v="749510"/>
    <s v="Licenses"/>
    <s v="Plant Maintenance-Bremerton"/>
    <x v="0"/>
    <n v="1002"/>
    <n v="0"/>
    <n v="50.55"/>
    <n v="27.25"/>
    <n v="0"/>
    <n v="0"/>
    <n v="0"/>
    <n v="0"/>
    <n v="0"/>
    <n v="0"/>
    <n v="0"/>
    <n v="0"/>
    <n v="0"/>
    <n v="77.8"/>
    <n v="0"/>
  </r>
  <r>
    <x v="0"/>
    <x v="6"/>
    <x v="0"/>
    <s v="6060107"/>
    <n v="749510"/>
    <s v="Uniforms"/>
    <s v="Plant Maintenance-Bremerton"/>
    <x v="0"/>
    <n v="1028"/>
    <n v="0"/>
    <n v="0"/>
    <n v="0"/>
    <n v="0"/>
    <n v="1226.0999999999999"/>
    <n v="0"/>
    <n v="48.5"/>
    <n v="0"/>
    <n v="-0.56999999999999995"/>
    <n v="-50.89"/>
    <n v="267.06"/>
    <n v="869.9"/>
    <n v="2360.1"/>
    <n v="-602.83999999999992"/>
  </r>
  <r>
    <x v="0"/>
    <x v="6"/>
    <x v="0"/>
    <s v="6060107"/>
    <n v="749510"/>
    <s v="RICE Rewards"/>
    <s v="Plant Maintenance-Bremerton"/>
    <x v="0"/>
    <n v="5100"/>
    <n v="0"/>
    <n v="0"/>
    <n v="0"/>
    <n v="0"/>
    <n v="0"/>
    <n v="0"/>
    <n v="0"/>
    <n v="0"/>
    <n v="0"/>
    <n v="0"/>
    <n v="0"/>
    <n v="289.85000000000002"/>
    <n v="289.85000000000002"/>
    <n v="-289.85000000000002"/>
  </r>
  <r>
    <x v="0"/>
    <x v="6"/>
    <x v="0"/>
    <s v="6060107"/>
    <n v="749510"/>
    <s v="Signage"/>
    <s v="Plant Maintenance-Bremerton"/>
    <x v="0"/>
    <n v="5104"/>
    <n v="0"/>
    <n v="0"/>
    <n v="15"/>
    <n v="17.16"/>
    <n v="0"/>
    <n v="0"/>
    <n v="64.86"/>
    <n v="0"/>
    <n v="0"/>
    <n v="0"/>
    <n v="0"/>
    <n v="0"/>
    <n v="97.02"/>
    <n v="0"/>
  </r>
  <r>
    <x v="0"/>
    <x v="6"/>
    <x v="0"/>
    <s v="6060107"/>
    <n v="749530"/>
    <s v="Travel"/>
    <s v="Plant Maintenance-Bremerton"/>
    <x v="0"/>
    <m/>
    <n v="0"/>
    <n v="0"/>
    <n v="0"/>
    <n v="0"/>
    <n v="0"/>
    <n v="0"/>
    <n v="0"/>
    <n v="6"/>
    <n v="0"/>
    <n v="0"/>
    <n v="0"/>
    <n v="0"/>
    <n v="6"/>
    <n v="0"/>
  </r>
  <r>
    <x v="0"/>
    <x v="6"/>
    <x v="0"/>
    <s v="6060107"/>
    <n v="749530"/>
    <s v="Mileage"/>
    <s v="Plant Maintenance-Bremerton"/>
    <x v="0"/>
    <n v="1001"/>
    <n v="0"/>
    <n v="0"/>
    <n v="199.51"/>
    <n v="0"/>
    <n v="0"/>
    <n v="0"/>
    <n v="0"/>
    <n v="0"/>
    <n v="0"/>
    <n v="0"/>
    <n v="0"/>
    <n v="0"/>
    <n v="199.51"/>
    <n v="0"/>
  </r>
  <r>
    <x v="0"/>
    <x v="6"/>
    <x v="0"/>
    <s v="6060107"/>
    <n v="749535"/>
    <s v="Meetings"/>
    <s v="Plant Maintenance-Bremerton"/>
    <x v="0"/>
    <m/>
    <n v="26.33"/>
    <n v="0"/>
    <n v="0"/>
    <n v="0"/>
    <n v="42.35"/>
    <n v="65.569999999999993"/>
    <n v="0"/>
    <n v="0"/>
    <n v="0"/>
    <n v="0"/>
    <n v="0"/>
    <n v="0"/>
    <n v="134.25"/>
    <n v="0"/>
  </r>
  <r>
    <x v="14"/>
    <x v="7"/>
    <x v="0"/>
    <s v="6060150"/>
    <n v="600050"/>
    <s v="Miscellaneous Revenue"/>
    <s v="Utility Plant"/>
    <x v="0"/>
    <m/>
    <n v="0"/>
    <n v="0"/>
    <n v="0"/>
    <n v="0"/>
    <n v="0"/>
    <n v="-6.21"/>
    <n v="0"/>
    <n v="-4.68"/>
    <n v="0"/>
    <n v="0"/>
    <n v="0"/>
    <n v="0"/>
    <n v="-10.89"/>
    <n v="0"/>
  </r>
  <r>
    <x v="5"/>
    <x v="7"/>
    <x v="0"/>
    <s v="6060150"/>
    <n v="700038"/>
    <s v="Salaries-Service/Support-Productive"/>
    <s v="Utility Plant"/>
    <x v="0"/>
    <m/>
    <n v="16427.439999999999"/>
    <n v="19809.580000000002"/>
    <n v="18958.29"/>
    <n v="16897.939999999999"/>
    <n v="15575.12"/>
    <n v="16871.810000000001"/>
    <n v="17810.45"/>
    <n v="14922.82"/>
    <n v="20382.16"/>
    <n v="18936.849999999999"/>
    <n v="18859.91"/>
    <n v="15582.07"/>
    <n v="211034.44"/>
    <n v="3277.84"/>
  </r>
  <r>
    <x v="5"/>
    <x v="7"/>
    <x v="0"/>
    <s v="6060150"/>
    <n v="700038"/>
    <s v="Salaries-Service/Support-OT"/>
    <s v="Utility Plant"/>
    <x v="0"/>
    <n v="1000"/>
    <n v="15.03"/>
    <n v="36.93"/>
    <n v="0"/>
    <n v="0"/>
    <n v="124.05"/>
    <n v="-87.89"/>
    <n v="39.25"/>
    <n v="4.8600000000000003"/>
    <n v="0"/>
    <n v="13.13"/>
    <n v="0"/>
    <n v="25.36"/>
    <n v="170.71999999999997"/>
    <n v="-25.36"/>
  </r>
  <r>
    <x v="5"/>
    <x v="7"/>
    <x v="0"/>
    <s v="6060150"/>
    <n v="700038"/>
    <s v="Salaries-Service/Support-Other"/>
    <s v="Utility Plant"/>
    <x v="0"/>
    <n v="2000"/>
    <n v="1802.3"/>
    <n v="1917.25"/>
    <n v="1847.37"/>
    <n v="1789.91"/>
    <n v="1620"/>
    <n v="1711.77"/>
    <n v="1624.75"/>
    <n v="1716.14"/>
    <n v="1843.27"/>
    <n v="1837.98"/>
    <n v="1805.25"/>
    <n v="1755.26"/>
    <n v="21271.25"/>
    <n v="49.990000000000009"/>
  </r>
  <r>
    <x v="5"/>
    <x v="7"/>
    <x v="0"/>
    <s v="6060150"/>
    <n v="700078"/>
    <s v="Salaries-Service/Support-Non-productive"/>
    <s v="Utility Plant"/>
    <x v="0"/>
    <m/>
    <n v="5962.16"/>
    <n v="1280.3499999999999"/>
    <n v="2036.76"/>
    <n v="1521.88"/>
    <n v="2212.9"/>
    <n v="4041.11"/>
    <n v="4239.63"/>
    <n v="4219.7299999999996"/>
    <n v="696.86"/>
    <n v="1399.78"/>
    <n v="2635.38"/>
    <n v="4391.3599999999997"/>
    <n v="34637.9"/>
    <n v="-1755.9799999999996"/>
  </r>
  <r>
    <x v="5"/>
    <x v="7"/>
    <x v="0"/>
    <s v="6060150"/>
    <n v="700078"/>
    <s v="Salaries-Service/Support-NonProd-Other"/>
    <s v="Utility Plant"/>
    <x v="0"/>
    <n v="2000"/>
    <n v="553.02"/>
    <n v="65.64"/>
    <n v="36.35"/>
    <n v="-5.98"/>
    <n v="548.66"/>
    <n v="-90.23"/>
    <n v="230.36"/>
    <n v="-14.56"/>
    <n v="296.19"/>
    <n v="121.06"/>
    <n v="247.26"/>
    <n v="797.55"/>
    <n v="2785.32"/>
    <n v="-550.29"/>
  </r>
  <r>
    <x v="5"/>
    <x v="7"/>
    <x v="0"/>
    <s v="6060150"/>
    <n v="700084"/>
    <s v="Accrued PTO"/>
    <s v="Utility Plant"/>
    <x v="0"/>
    <m/>
    <n v="-2625.27"/>
    <n v="1016.34"/>
    <n v="573.24"/>
    <n v="383.04"/>
    <n v="-14.94"/>
    <n v="-1135.27"/>
    <n v="-1487.3"/>
    <n v="-1673.03"/>
    <n v="1050.77"/>
    <n v="823.35"/>
    <n v="599.79"/>
    <n v="-2128.2800000000002"/>
    <n v="-4617.5599999999995"/>
    <n v="2728.07"/>
  </r>
  <r>
    <x v="6"/>
    <x v="7"/>
    <x v="0"/>
    <s v="6060150"/>
    <n v="713010"/>
    <s v="Benefits-FICA/Medicare"/>
    <s v="Utility Plant"/>
    <x v="0"/>
    <m/>
    <n v="1815.2"/>
    <n v="1689.08"/>
    <n v="1673.86"/>
    <n v="3137.75"/>
    <n v="1479.64"/>
    <n v="1665.64"/>
    <n v="1763.63"/>
    <n v="1527.24"/>
    <n v="1701.29"/>
    <n v="1634.18"/>
    <n v="1726.43"/>
    <n v="1667.42"/>
    <n v="21481.360000000001"/>
    <n v="59.009999999999991"/>
  </r>
  <r>
    <x v="6"/>
    <x v="7"/>
    <x v="0"/>
    <s v="6060150"/>
    <n v="713090"/>
    <s v="Benefits-Allocated Amounts"/>
    <s v="Utility Plant"/>
    <x v="0"/>
    <m/>
    <n v="5222.2299999999996"/>
    <n v="4406.21"/>
    <n v="4959.47"/>
    <n v="4326.79"/>
    <n v="4093.6"/>
    <n v="4709.37"/>
    <n v="5216.74"/>
    <n v="4304.93"/>
    <n v="4510.22"/>
    <n v="5036.97"/>
    <n v="4984.72"/>
    <n v="5008.2299999999996"/>
    <n v="56779.479999999996"/>
    <n v="-23.509999999999309"/>
  </r>
  <r>
    <x v="7"/>
    <x v="7"/>
    <x v="0"/>
    <s v="6060150"/>
    <n v="718050"/>
    <s v="Contract Svcs-Other"/>
    <s v="Utility Plant"/>
    <x v="0"/>
    <m/>
    <n v="923.95"/>
    <n v="503.32"/>
    <n v="0"/>
    <n v="1272.43"/>
    <n v="3010.99"/>
    <n v="0"/>
    <n v="744.18"/>
    <n v="0"/>
    <n v="0"/>
    <n v="1419.96"/>
    <n v="0"/>
    <n v="2750"/>
    <n v="10624.83"/>
    <n v="-2750"/>
  </r>
  <r>
    <x v="7"/>
    <x v="7"/>
    <x v="0"/>
    <s v="6060150"/>
    <n v="718050"/>
    <s v="Cleaning Services"/>
    <s v="Utility Plant"/>
    <x v="0"/>
    <n v="1011"/>
    <n v="0"/>
    <n v="1304.4000000000001"/>
    <n v="0"/>
    <n v="0"/>
    <n v="0"/>
    <n v="0"/>
    <n v="0"/>
    <n v="0"/>
    <n v="0"/>
    <n v="0"/>
    <n v="0"/>
    <n v="0"/>
    <n v="1304.4000000000001"/>
    <n v="0"/>
  </r>
  <r>
    <x v="7"/>
    <x v="7"/>
    <x v="0"/>
    <s v="6060150"/>
    <n v="718050"/>
    <s v="Document Shredding/Storage"/>
    <s v="Utility Plant"/>
    <x v="0"/>
    <n v="1012"/>
    <n v="0"/>
    <n v="564.75"/>
    <n v="326.25"/>
    <n v="522"/>
    <n v="0"/>
    <n v="596.25"/>
    <n v="0"/>
    <n v="254.25"/>
    <n v="328.5"/>
    <n v="0"/>
    <n v="274.5"/>
    <n v="0"/>
    <n v="2866.5"/>
    <n v="274.5"/>
  </r>
  <r>
    <x v="7"/>
    <x v="7"/>
    <x v="0"/>
    <s v="6060150"/>
    <n v="718050"/>
    <s v="Lawn Services"/>
    <s v="Utility Plant"/>
    <x v="0"/>
    <n v="1013"/>
    <n v="5298.1"/>
    <n v="0"/>
    <n v="6712.21"/>
    <n v="3743.29"/>
    <n v="0"/>
    <n v="2649.05"/>
    <n v="0"/>
    <n v="5351.08"/>
    <n v="0"/>
    <n v="0"/>
    <n v="0"/>
    <n v="8797.92"/>
    <n v="32551.65"/>
    <n v="-8797.92"/>
  </r>
  <r>
    <x v="7"/>
    <x v="7"/>
    <x v="0"/>
    <s v="6060150"/>
    <n v="718050"/>
    <s v="Pest Control"/>
    <s v="Utility Plant"/>
    <x v="0"/>
    <n v="1014"/>
    <n v="441.69"/>
    <n v="0"/>
    <n v="940.61"/>
    <n v="173.92"/>
    <n v="173.92"/>
    <n v="173.92"/>
    <n v="0"/>
    <n v="173.92"/>
    <n v="173.92"/>
    <n v="173.92"/>
    <n v="0"/>
    <n v="0"/>
    <n v="2425.8200000000002"/>
    <n v="0"/>
  </r>
  <r>
    <x v="7"/>
    <x v="7"/>
    <x v="0"/>
    <s v="6060150"/>
    <n v="718050"/>
    <s v="Miscellaneous Purchased Svcs"/>
    <s v="Utility Plant"/>
    <x v="0"/>
    <n v="1020"/>
    <n v="0"/>
    <n v="0"/>
    <n v="0"/>
    <n v="0"/>
    <n v="0"/>
    <n v="0"/>
    <n v="41.4"/>
    <n v="3568.12"/>
    <n v="24798.28"/>
    <n v="8900.1"/>
    <n v="0"/>
    <n v="15031.07"/>
    <n v="52338.97"/>
    <n v="-15031.07"/>
  </r>
  <r>
    <x v="7"/>
    <x v="7"/>
    <x v="0"/>
    <s v="6060150"/>
    <n v="718050"/>
    <s v="Purchased Srvcs--Medical Waste"/>
    <s v="Utility Plant"/>
    <x v="0"/>
    <n v="1027"/>
    <n v="602.05999999999995"/>
    <n v="6853.75"/>
    <n v="12965.91"/>
    <n v="6925.5"/>
    <n v="1208.47"/>
    <n v="6609.76"/>
    <n v="0"/>
    <n v="19788.71"/>
    <n v="5923.14"/>
    <n v="6598.04"/>
    <n v="6738.5"/>
    <n v="298.69"/>
    <n v="74512.53"/>
    <n v="6439.81"/>
  </r>
  <r>
    <x v="7"/>
    <x v="7"/>
    <x v="0"/>
    <s v="6060150"/>
    <n v="718050"/>
    <s v="Purchased Service-Fire/Life Safety Test"/>
    <s v="Utility Plant"/>
    <x v="0"/>
    <n v="5101"/>
    <n v="271.75"/>
    <n v="4556.47"/>
    <n v="6388.77"/>
    <n v="271.75"/>
    <n v="700"/>
    <n v="1853.6"/>
    <n v="0"/>
    <n v="14405.44"/>
    <n v="0"/>
    <n v="9956.73"/>
    <n v="0"/>
    <n v="3316.28"/>
    <n v="41720.79"/>
    <n v="-3316.28"/>
  </r>
  <r>
    <x v="7"/>
    <x v="7"/>
    <x v="0"/>
    <s v="6060150"/>
    <n v="718071"/>
    <s v="Contract Srvcs-CHI Facilities Mgmt"/>
    <s v="Utility Plant"/>
    <x v="0"/>
    <m/>
    <n v="13944.42"/>
    <n v="18260.29"/>
    <n v="15061.23"/>
    <n v="17925.22"/>
    <n v="16899.439999999999"/>
    <n v="17128.73"/>
    <n v="19401.759999999998"/>
    <n v="14654.09"/>
    <n v="17199.009999999998"/>
    <n v="18154.07"/>
    <n v="14836.42"/>
    <n v="11801.35"/>
    <n v="195266.03000000003"/>
    <n v="3035.0699999999997"/>
  </r>
  <r>
    <x v="11"/>
    <x v="7"/>
    <x v="0"/>
    <s v="6060150"/>
    <n v="721010"/>
    <s v="Supplies-Medical - Billable"/>
    <s v="Utility Plant"/>
    <x v="0"/>
    <m/>
    <n v="0"/>
    <n v="0"/>
    <n v="0"/>
    <n v="0"/>
    <n v="0"/>
    <n v="0"/>
    <n v="0"/>
    <n v="0"/>
    <n v="0"/>
    <n v="3.34"/>
    <n v="0"/>
    <n v="0"/>
    <n v="3.34"/>
    <n v="0"/>
  </r>
  <r>
    <x v="11"/>
    <x v="7"/>
    <x v="0"/>
    <s v="6060150"/>
    <n v="721410"/>
    <s v="Supplies-Medical - Nonbillable"/>
    <s v="Utility Plant"/>
    <x v="0"/>
    <m/>
    <n v="279.79000000000002"/>
    <n v="1008.04"/>
    <n v="857.92"/>
    <n v="857.02"/>
    <n v="2021.31"/>
    <n v="853.27"/>
    <n v="1126.6099999999999"/>
    <n v="1119.54"/>
    <n v="863.12"/>
    <n v="879.22"/>
    <n v="0"/>
    <n v="1162.57"/>
    <n v="11028.41"/>
    <n v="-1162.57"/>
  </r>
  <r>
    <x v="11"/>
    <x v="7"/>
    <x v="0"/>
    <s v="6060150"/>
    <n v="721810"/>
    <s v="Supplies-Dietary/Cafeteria"/>
    <s v="Utility Plant"/>
    <x v="0"/>
    <m/>
    <n v="0"/>
    <n v="0"/>
    <n v="0.91"/>
    <n v="0"/>
    <n v="42.45"/>
    <n v="22.83"/>
    <n v="8.7799999999999994"/>
    <n v="31.22"/>
    <n v="14.75"/>
    <n v="0"/>
    <n v="0"/>
    <n v="0"/>
    <n v="120.94"/>
    <n v="0"/>
  </r>
  <r>
    <x v="11"/>
    <x v="7"/>
    <x v="0"/>
    <s v="6060150"/>
    <n v="721830"/>
    <s v="Supplies-Office"/>
    <s v="Utility Plant"/>
    <x v="0"/>
    <m/>
    <n v="0"/>
    <n v="27.39"/>
    <n v="0"/>
    <n v="6.31"/>
    <n v="4.91"/>
    <n v="80.349999999999994"/>
    <n v="13.42"/>
    <n v="7.3"/>
    <n v="0"/>
    <n v="0"/>
    <n v="50.25"/>
    <n v="4.37"/>
    <n v="194.3"/>
    <n v="45.88"/>
  </r>
  <r>
    <x v="11"/>
    <x v="7"/>
    <x v="0"/>
    <s v="6060150"/>
    <n v="721870"/>
    <s v="Supplies-Environmental Services"/>
    <s v="Utility Plant"/>
    <x v="0"/>
    <m/>
    <n v="0"/>
    <n v="0"/>
    <n v="3.36"/>
    <n v="0"/>
    <n v="0"/>
    <n v="0"/>
    <n v="0"/>
    <n v="0"/>
    <n v="0"/>
    <n v="0"/>
    <n v="0"/>
    <n v="0"/>
    <n v="3.36"/>
    <n v="0"/>
  </r>
  <r>
    <x v="11"/>
    <x v="7"/>
    <x v="0"/>
    <s v="6060150"/>
    <n v="721910"/>
    <s v="Supplies-Small Equipment"/>
    <s v="Utility Plant"/>
    <x v="0"/>
    <m/>
    <n v="6.25"/>
    <n v="0"/>
    <n v="358.83"/>
    <n v="138.84"/>
    <n v="448.53"/>
    <n v="211.9"/>
    <n v="579.13"/>
    <n v="170.94"/>
    <n v="450.04"/>
    <n v="357.5"/>
    <n v="820.15"/>
    <n v="29.24"/>
    <n v="3571.35"/>
    <n v="790.91"/>
  </r>
  <r>
    <x v="11"/>
    <x v="7"/>
    <x v="0"/>
    <s v="6060150"/>
    <n v="721980"/>
    <s v="Supplies-Other"/>
    <s v="Utility Plant"/>
    <x v="0"/>
    <m/>
    <n v="0"/>
    <n v="0"/>
    <n v="0"/>
    <n v="379.77"/>
    <n v="0"/>
    <n v="0"/>
    <n v="0"/>
    <n v="0"/>
    <n v="0"/>
    <n v="0"/>
    <n v="0"/>
    <n v="0"/>
    <n v="379.77"/>
    <n v="0"/>
  </r>
  <r>
    <x v="11"/>
    <x v="7"/>
    <x v="0"/>
    <s v="6060150"/>
    <n v="722000"/>
    <s v="Supplies-Freight Expense"/>
    <s v="Utility Plant"/>
    <x v="0"/>
    <m/>
    <n v="0"/>
    <n v="229.38"/>
    <n v="0"/>
    <n v="203.51"/>
    <n v="0"/>
    <n v="34.56"/>
    <n v="65.8"/>
    <n v="25.34"/>
    <n v="236.42"/>
    <n v="33.54"/>
    <n v="37.93"/>
    <n v="22.67"/>
    <n v="889.14999999999986"/>
    <n v="15.259999999999998"/>
  </r>
  <r>
    <x v="12"/>
    <x v="7"/>
    <x v="0"/>
    <s v="6060150"/>
    <n v="730010"/>
    <s v="Rental and Leases-Building (DO NOT USE)"/>
    <s v="Utility Plant"/>
    <x v="0"/>
    <m/>
    <n v="0"/>
    <n v="0"/>
    <n v="452"/>
    <n v="2134"/>
    <n v="0"/>
    <n v="0"/>
    <n v="0"/>
    <n v="0"/>
    <n v="0"/>
    <n v="1359"/>
    <n v="0"/>
    <n v="0"/>
    <n v="3945"/>
    <n v="0"/>
  </r>
  <r>
    <x v="12"/>
    <x v="7"/>
    <x v="0"/>
    <s v="6060150"/>
    <n v="730020"/>
    <s v="Rental and Leases-Equipment (DO NOT USE)"/>
    <s v="Utility Plant"/>
    <x v="0"/>
    <m/>
    <n v="2095.09"/>
    <n v="2095.09"/>
    <n v="0"/>
    <n v="1172.57"/>
    <n v="0"/>
    <n v="0"/>
    <n v="0"/>
    <n v="0"/>
    <n v="0"/>
    <n v="0"/>
    <n v="0"/>
    <n v="0"/>
    <n v="5362.75"/>
    <n v="0"/>
  </r>
  <r>
    <x v="12"/>
    <x v="7"/>
    <x v="0"/>
    <s v="6060150"/>
    <n v="730020"/>
    <s v="Rental and Leases-Copier Usage Fees (DO NOT USE)"/>
    <s v="Utility Plant"/>
    <x v="0"/>
    <n v="5100"/>
    <n v="21.21"/>
    <n v="21.94"/>
    <n v="21.57"/>
    <n v="21.57"/>
    <n v="21.57"/>
    <n v="21.57"/>
    <n v="15.87"/>
    <n v="21.95"/>
    <n v="21.91"/>
    <n v="21.99"/>
    <n v="21.95"/>
    <n v="24.37"/>
    <n v="257.46999999999997"/>
    <n v="-2.4200000000000017"/>
  </r>
  <r>
    <x v="15"/>
    <x v="7"/>
    <x v="0"/>
    <s v="6060150"/>
    <n v="731010"/>
    <s v="Natural Gas"/>
    <s v="Utility Plant"/>
    <x v="0"/>
    <m/>
    <n v="4036.81"/>
    <n v="3003.8"/>
    <n v="3010.53"/>
    <n v="3516.51"/>
    <n v="5074.03"/>
    <n v="5948.76"/>
    <n v="6201.33"/>
    <n v="6874.85"/>
    <n v="7105.53"/>
    <n v="6541.46"/>
    <n v="5079.08"/>
    <n v="4541.5200000000004"/>
    <n v="60934.210000000006"/>
    <n v="537.55999999999949"/>
  </r>
  <r>
    <x v="15"/>
    <x v="7"/>
    <x v="0"/>
    <s v="6060150"/>
    <n v="731020"/>
    <s v="Electricity"/>
    <s v="Utility Plant"/>
    <x v="0"/>
    <m/>
    <n v="22894.9"/>
    <n v="25711.91"/>
    <n v="25449.63"/>
    <n v="21790.95"/>
    <n v="23096.3"/>
    <n v="23811.02"/>
    <n v="22617.82"/>
    <n v="49.83"/>
    <n v="45822.27"/>
    <n v="23578.65"/>
    <n v="49.52"/>
    <n v="48.78"/>
    <n v="234921.57999999996"/>
    <n v="0.74000000000000199"/>
  </r>
  <r>
    <x v="15"/>
    <x v="7"/>
    <x v="0"/>
    <s v="6060150"/>
    <n v="731030"/>
    <s v="Water"/>
    <s v="Utility Plant"/>
    <x v="0"/>
    <m/>
    <n v="2006.25"/>
    <n v="3950.25"/>
    <n v="3593.04"/>
    <n v="1669.33"/>
    <n v="1183.33"/>
    <n v="1112.8599999999999"/>
    <n v="998.65"/>
    <n v="1280.98"/>
    <n v="969.49"/>
    <n v="1100.71"/>
    <n v="1511.38"/>
    <n v="1516.24"/>
    <n v="20892.510000000002"/>
    <n v="-4.8599999999999"/>
  </r>
  <r>
    <x v="15"/>
    <x v="7"/>
    <x v="0"/>
    <s v="6060150"/>
    <n v="731040"/>
    <s v="Sewer"/>
    <s v="Utility Plant"/>
    <x v="0"/>
    <m/>
    <n v="2672.51"/>
    <n v="3036.91"/>
    <n v="3173.56"/>
    <n v="2526.75"/>
    <n v="2900.26"/>
    <n v="2909.37"/>
    <n v="2481.1999999999998"/>
    <n v="2659.75"/>
    <n v="2134.9499999999998"/>
    <n v="2520.35"/>
    <n v="2454.75"/>
    <n v="2405.5500000000002"/>
    <n v="31875.91"/>
    <n v="49.199999999999818"/>
  </r>
  <r>
    <x v="15"/>
    <x v="7"/>
    <x v="0"/>
    <s v="6060150"/>
    <n v="731050"/>
    <s v="Refuse Disposal"/>
    <s v="Utility Plant"/>
    <x v="0"/>
    <m/>
    <n v="2268.69"/>
    <n v="2205.9499999999998"/>
    <n v="2935.78"/>
    <n v="2189.71"/>
    <n v="2610.0300000000002"/>
    <n v="2251.41"/>
    <n v="2276.2800000000002"/>
    <n v="3047.62"/>
    <n v="2384.0700000000002"/>
    <n v="2368.8200000000002"/>
    <n v="2569.81"/>
    <n v="4265.22"/>
    <n v="31373.390000000003"/>
    <n v="-1695.4100000000003"/>
  </r>
  <r>
    <x v="15"/>
    <x v="7"/>
    <x v="0"/>
    <s v="6060150"/>
    <n v="731060"/>
    <s v="Pagers"/>
    <s v="Utility Plant"/>
    <x v="0"/>
    <n v="1002"/>
    <n v="49.81"/>
    <n v="49.81"/>
    <n v="49.81"/>
    <n v="49.93"/>
    <n v="49.93"/>
    <n v="0"/>
    <n v="111.15"/>
    <n v="41.81"/>
    <n v="41.81"/>
    <n v="41.81"/>
    <n v="41.81"/>
    <n v="41.81"/>
    <n v="569.49"/>
    <n v="0"/>
  </r>
  <r>
    <x v="15"/>
    <x v="7"/>
    <x v="0"/>
    <s v="6060150"/>
    <n v="731090"/>
    <s v="Other Utilities"/>
    <s v="Utility Plant"/>
    <x v="0"/>
    <m/>
    <n v="0"/>
    <n v="5527.9"/>
    <n v="4375.3"/>
    <n v="1845.7"/>
    <n v="2337.52"/>
    <n v="0"/>
    <n v="4217.7299999999996"/>
    <n v="2440"/>
    <n v="1845.7"/>
    <n v="1845.7"/>
    <n v="0"/>
    <n v="971.57"/>
    <n v="25407.120000000003"/>
    <n v="-971.57"/>
  </r>
  <r>
    <x v="15"/>
    <x v="7"/>
    <x v="0"/>
    <s v="6060150"/>
    <n v="731090"/>
    <s v="Fuel-Oil"/>
    <s v="Utility Plant"/>
    <x v="0"/>
    <n v="6200"/>
    <n v="0"/>
    <n v="2830.1"/>
    <n v="0"/>
    <n v="0"/>
    <n v="0"/>
    <n v="0"/>
    <n v="0"/>
    <n v="0"/>
    <n v="0"/>
    <n v="0"/>
    <n v="0"/>
    <n v="0"/>
    <n v="2830.1"/>
    <n v="0"/>
  </r>
  <r>
    <x v="16"/>
    <x v="7"/>
    <x v="0"/>
    <s v="6060150"/>
    <n v="732020"/>
    <s v="Repairs--Clin Equip-Parts-Internal to CHI Programs"/>
    <s v="Utility Plant"/>
    <x v="0"/>
    <m/>
    <n v="453.19"/>
    <n v="713.77"/>
    <n v="389.42"/>
    <n v="184.21"/>
    <n v="404.46"/>
    <n v="1325.51"/>
    <n v="764.94"/>
    <n v="1752.12"/>
    <n v="415.89"/>
    <n v="744.94"/>
    <n v="205.15"/>
    <n v="141.01"/>
    <n v="7494.6100000000006"/>
    <n v="64.140000000000015"/>
  </r>
  <r>
    <x v="16"/>
    <x v="7"/>
    <x v="0"/>
    <s v="6060150"/>
    <n v="732025"/>
    <s v="Repairs--Clin Equip-Parts-Ext to CHI Programs"/>
    <s v="Utility Plant"/>
    <x v="0"/>
    <m/>
    <n v="0"/>
    <n v="0"/>
    <n v="0"/>
    <n v="0"/>
    <n v="0"/>
    <n v="0"/>
    <n v="0"/>
    <n v="0"/>
    <n v="1482.39"/>
    <n v="0"/>
    <n v="0"/>
    <n v="0"/>
    <n v="1482.39"/>
    <n v="0"/>
  </r>
  <r>
    <x v="16"/>
    <x v="7"/>
    <x v="0"/>
    <s v="6060150"/>
    <n v="732030"/>
    <s v="Repairs---Other"/>
    <s v="Utility Plant"/>
    <x v="0"/>
    <m/>
    <n v="6703.07"/>
    <n v="5417.34"/>
    <n v="6195.3"/>
    <n v="3315.99"/>
    <n v="4323.84"/>
    <n v="6258.95"/>
    <n v="4334.01"/>
    <n v="1839.94"/>
    <n v="455.35"/>
    <n v="2420.19"/>
    <n v="828.18"/>
    <n v="3131.19"/>
    <n v="45223.350000000006"/>
    <n v="-2303.0100000000002"/>
  </r>
  <r>
    <x v="16"/>
    <x v="7"/>
    <x v="0"/>
    <s v="6060150"/>
    <n v="732030"/>
    <s v="Vehicle Maintenance"/>
    <s v="Utility Plant"/>
    <x v="0"/>
    <n v="1000"/>
    <n v="0"/>
    <n v="143.59"/>
    <n v="0"/>
    <n v="0"/>
    <n v="0"/>
    <n v="0"/>
    <n v="0"/>
    <n v="0"/>
    <n v="0"/>
    <n v="0"/>
    <n v="0"/>
    <n v="0"/>
    <n v="143.59"/>
    <n v="0"/>
  </r>
  <r>
    <x v="16"/>
    <x v="7"/>
    <x v="0"/>
    <s v="6060150"/>
    <n v="732030"/>
    <s v="Repairs&amp;Maintenance-Bldg Routine"/>
    <s v="Utility Plant"/>
    <x v="0"/>
    <n v="2300"/>
    <n v="27906.799999999999"/>
    <n v="7798.25"/>
    <n v="24701.88"/>
    <n v="18703.400000000001"/>
    <n v="3715.18"/>
    <n v="9139.42"/>
    <n v="2917.37"/>
    <n v="2002.65"/>
    <n v="608.77"/>
    <n v="12570.5"/>
    <n v="2288.52"/>
    <n v="16260.69"/>
    <n v="128613.43000000001"/>
    <n v="-13972.17"/>
  </r>
  <r>
    <x v="16"/>
    <x v="7"/>
    <x v="0"/>
    <s v="6060150"/>
    <n v="732030"/>
    <s v="Repairs&amp;Maintenance-Electrical"/>
    <s v="Utility Plant"/>
    <x v="0"/>
    <n v="5100"/>
    <n v="498.55"/>
    <n v="4248.6499999999996"/>
    <n v="2683.68"/>
    <n v="9598.99"/>
    <n v="10710.28"/>
    <n v="1784.42"/>
    <n v="7842.78"/>
    <n v="3491.44"/>
    <n v="46.96"/>
    <n v="949.28"/>
    <n v="0"/>
    <n v="3326.61"/>
    <n v="45181.64"/>
    <n v="-3326.61"/>
  </r>
  <r>
    <x v="16"/>
    <x v="7"/>
    <x v="0"/>
    <s v="6060150"/>
    <n v="732030"/>
    <s v="Repairs&amp;Maintenance-Elevator"/>
    <s v="Utility Plant"/>
    <x v="0"/>
    <n v="5101"/>
    <n v="0"/>
    <n v="0"/>
    <n v="2015.28"/>
    <n v="1345.17"/>
    <n v="0"/>
    <n v="1495.07"/>
    <n v="0"/>
    <n v="0"/>
    <n v="0"/>
    <n v="0"/>
    <n v="0"/>
    <n v="0"/>
    <n v="4855.5199999999995"/>
    <n v="0"/>
  </r>
  <r>
    <x v="16"/>
    <x v="7"/>
    <x v="0"/>
    <s v="6060150"/>
    <n v="732030"/>
    <s v="Repairs&amp;Maintenance-HVAC"/>
    <s v="Utility Plant"/>
    <x v="0"/>
    <n v="5102"/>
    <n v="0"/>
    <n v="8856.89"/>
    <n v="3350.13"/>
    <n v="7178.02"/>
    <n v="0"/>
    <n v="13664.15"/>
    <n v="4959.4399999999996"/>
    <n v="2032.69"/>
    <n v="3636.21"/>
    <n v="0"/>
    <n v="679.38"/>
    <n v="10867.68"/>
    <n v="55224.590000000004"/>
    <n v="-10188.300000000001"/>
  </r>
  <r>
    <x v="16"/>
    <x v="7"/>
    <x v="0"/>
    <s v="6060150"/>
    <n v="732030"/>
    <s v="Repairs&amp;Maintenance-Plumbing"/>
    <s v="Utility Plant"/>
    <x v="0"/>
    <n v="5103"/>
    <n v="0"/>
    <n v="8643.2900000000009"/>
    <n v="1307.1199999999999"/>
    <n v="6353.44"/>
    <n v="254.37"/>
    <n v="3076.18"/>
    <n v="2334.4899999999998"/>
    <n v="3057.33"/>
    <n v="35.28"/>
    <n v="11144.01"/>
    <n v="271.75"/>
    <n v="838.62"/>
    <n v="37315.880000000005"/>
    <n v="-566.87"/>
  </r>
  <r>
    <x v="16"/>
    <x v="7"/>
    <x v="0"/>
    <s v="6060150"/>
    <n v="733030"/>
    <s v="Maintenance Contracts-Other"/>
    <s v="Utility Plant"/>
    <x v="0"/>
    <m/>
    <n v="104.23"/>
    <n v="392.13"/>
    <n v="0"/>
    <n v="17870.23"/>
    <n v="45.27"/>
    <n v="0"/>
    <n v="0"/>
    <n v="489.15"/>
    <n v="1329.75"/>
    <n v="0"/>
    <n v="42.49"/>
    <n v="0"/>
    <n v="20273.250000000004"/>
    <n v="42.49"/>
  </r>
  <r>
    <x v="16"/>
    <x v="7"/>
    <x v="0"/>
    <s v="6060150"/>
    <n v="733030"/>
    <s v="Maintenance Contracts-Oper Expense Projects"/>
    <s v="Utility Plant"/>
    <x v="0"/>
    <n v="1003"/>
    <n v="0"/>
    <n v="0"/>
    <n v="8217.7199999999993"/>
    <n v="0"/>
    <n v="0"/>
    <n v="0"/>
    <n v="0"/>
    <n v="170"/>
    <n v="0"/>
    <n v="739.16"/>
    <n v="1150.05"/>
    <n v="0"/>
    <n v="10276.929999999998"/>
    <n v="1150.05"/>
  </r>
  <r>
    <x v="16"/>
    <x v="7"/>
    <x v="0"/>
    <s v="6060150"/>
    <n v="733030"/>
    <s v="Maintenance Contract-Landscape General"/>
    <s v="Utility Plant"/>
    <x v="0"/>
    <n v="5105"/>
    <n v="0"/>
    <n v="0"/>
    <n v="3113.54"/>
    <n v="0"/>
    <n v="0"/>
    <n v="2649.05"/>
    <n v="0"/>
    <n v="2702.03"/>
    <n v="0"/>
    <n v="0"/>
    <n v="0"/>
    <n v="0"/>
    <n v="8464.6200000000008"/>
    <n v="0"/>
  </r>
  <r>
    <x v="13"/>
    <x v="7"/>
    <x v="0"/>
    <s v="6060150"/>
    <n v="735070"/>
    <s v="Depreciation-Movable Equipment"/>
    <s v="Utility Plant"/>
    <x v="0"/>
    <m/>
    <n v="1517.76"/>
    <n v="1517.75"/>
    <n v="1926.23"/>
    <n v="1926.2"/>
    <n v="1926.23"/>
    <n v="1926.19"/>
    <n v="1926.23"/>
    <n v="1926.18"/>
    <n v="1926.25"/>
    <n v="1926.18"/>
    <n v="1926.27"/>
    <n v="1926.15"/>
    <n v="22297.620000000003"/>
    <n v="0.11999999999989086"/>
  </r>
  <r>
    <x v="0"/>
    <x v="7"/>
    <x v="0"/>
    <s v="6060150"/>
    <n v="742040"/>
    <s v="Freight-Other"/>
    <s v="Utility Plant"/>
    <x v="0"/>
    <m/>
    <n v="0"/>
    <n v="0"/>
    <n v="0"/>
    <n v="0"/>
    <n v="0"/>
    <n v="0"/>
    <n v="0"/>
    <n v="0"/>
    <n v="0"/>
    <n v="0"/>
    <n v="0"/>
    <n v="79.64"/>
    <n v="79.64"/>
    <n v="-79.64"/>
  </r>
  <r>
    <x v="0"/>
    <x v="7"/>
    <x v="0"/>
    <s v="6060150"/>
    <n v="749510"/>
    <s v="Miscellaneous Expenses"/>
    <s v="Utility Plant"/>
    <x v="0"/>
    <m/>
    <n v="0"/>
    <n v="87.86"/>
    <n v="0"/>
    <n v="462.6"/>
    <n v="0"/>
    <n v="0"/>
    <n v="0"/>
    <n v="0"/>
    <n v="600"/>
    <n v="0"/>
    <n v="0"/>
    <n v="0"/>
    <n v="1150.46"/>
    <n v="0"/>
  </r>
  <r>
    <x v="0"/>
    <x v="7"/>
    <x v="0"/>
    <s v="6060150"/>
    <n v="749510"/>
    <s v="Licenses"/>
    <s v="Utility Plant"/>
    <x v="0"/>
    <n v="1002"/>
    <n v="0"/>
    <n v="0"/>
    <n v="0"/>
    <n v="0"/>
    <n v="0"/>
    <n v="419.4"/>
    <n v="0"/>
    <n v="60"/>
    <n v="0"/>
    <n v="0"/>
    <n v="173.8"/>
    <n v="0"/>
    <n v="653.20000000000005"/>
    <n v="173.8"/>
  </r>
  <r>
    <x v="14"/>
    <x v="6"/>
    <x v="0"/>
    <s v="6062107"/>
    <n v="600060"/>
    <s v="Gain/Loss--Sale of Fixed Assets"/>
    <s v="Plant Maintenance-Silverdale"/>
    <x v="0"/>
    <m/>
    <n v="0"/>
    <n v="0"/>
    <n v="0"/>
    <n v="-750"/>
    <n v="0"/>
    <n v="0"/>
    <n v="0"/>
    <n v="0"/>
    <n v="0"/>
    <n v="0"/>
    <n v="0"/>
    <n v="0"/>
    <n v="-750"/>
    <n v="0"/>
  </r>
  <r>
    <x v="5"/>
    <x v="6"/>
    <x v="0"/>
    <s v="6062107"/>
    <n v="700038"/>
    <s v="Salaries-Service/Support-Productive"/>
    <s v="Plant Maintenance-Silverdale"/>
    <x v="0"/>
    <m/>
    <n v="14511.49"/>
    <n v="16370.64"/>
    <n v="13493.17"/>
    <n v="15206.88"/>
    <n v="17014.77"/>
    <n v="15318.57"/>
    <n v="15719.64"/>
    <n v="16887.66"/>
    <n v="15061.66"/>
    <n v="14285.21"/>
    <n v="13395.14"/>
    <n v="17752.28"/>
    <n v="185017.10999999996"/>
    <n v="-4357.1399999999994"/>
  </r>
  <r>
    <x v="5"/>
    <x v="6"/>
    <x v="0"/>
    <s v="6062107"/>
    <n v="700038"/>
    <s v="Salaries-Service/Support-OT"/>
    <s v="Plant Maintenance-Silverdale"/>
    <x v="0"/>
    <n v="1000"/>
    <n v="0"/>
    <n v="0"/>
    <n v="0"/>
    <n v="106.33"/>
    <n v="0"/>
    <n v="258.79000000000002"/>
    <n v="-3.03"/>
    <n v="1109.55"/>
    <n v="-274.27999999999997"/>
    <n v="0"/>
    <n v="0"/>
    <n v="188.8"/>
    <n v="1386.1599999999999"/>
    <n v="-188.8"/>
  </r>
  <r>
    <x v="5"/>
    <x v="6"/>
    <x v="0"/>
    <s v="6062107"/>
    <n v="700038"/>
    <s v="Salaries-Service/Support-Other"/>
    <s v="Plant Maintenance-Silverdale"/>
    <x v="0"/>
    <n v="2000"/>
    <n v="500.52"/>
    <n v="498.33"/>
    <n v="434.64"/>
    <n v="533.28"/>
    <n v="515.79999999999995"/>
    <n v="531.33000000000004"/>
    <n v="470.14"/>
    <n v="663.55"/>
    <n v="434.32"/>
    <n v="524"/>
    <n v="434.13"/>
    <n v="543.11"/>
    <n v="6083.1499999999987"/>
    <n v="-108.98000000000002"/>
  </r>
  <r>
    <x v="5"/>
    <x v="6"/>
    <x v="0"/>
    <s v="6062107"/>
    <n v="700078"/>
    <s v="Salaries-Service/Support-Non-productive"/>
    <s v="Plant Maintenance-Silverdale"/>
    <x v="0"/>
    <m/>
    <n v="3773.52"/>
    <n v="873.73"/>
    <n v="4276.66"/>
    <n v="4140.76"/>
    <n v="-332.01"/>
    <n v="5539.74"/>
    <n v="1258.6400000000001"/>
    <n v="1083.1600000000001"/>
    <n v="4621.3900000000003"/>
    <n v="1591.86"/>
    <n v="6196.42"/>
    <n v="-501.94"/>
    <n v="32521.930000000004"/>
    <n v="6698.36"/>
  </r>
  <r>
    <x v="5"/>
    <x v="6"/>
    <x v="0"/>
    <s v="6062107"/>
    <n v="700078"/>
    <s v="Salaries-Service/Support-NonProd-Other"/>
    <s v="Plant Maintenance-Silverdale"/>
    <x v="0"/>
    <n v="2000"/>
    <n v="25.6"/>
    <n v="18.28"/>
    <n v="96.92"/>
    <n v="0"/>
    <n v="0"/>
    <n v="177.36"/>
    <n v="29"/>
    <n v="5.66"/>
    <n v="201.13"/>
    <n v="-60.31"/>
    <n v="12.81"/>
    <n v="38.44"/>
    <n v="544.8900000000001"/>
    <n v="-25.629999999999995"/>
  </r>
  <r>
    <x v="5"/>
    <x v="6"/>
    <x v="0"/>
    <s v="6062107"/>
    <n v="700084"/>
    <s v="Accrued PTO"/>
    <s v="Plant Maintenance-Silverdale"/>
    <x v="0"/>
    <m/>
    <n v="-1412.4"/>
    <n v="1407.53"/>
    <n v="-911.81"/>
    <n v="1265.9100000000001"/>
    <n v="1081.6400000000001"/>
    <n v="-2188.5500000000002"/>
    <n v="585.21"/>
    <n v="1017.77"/>
    <n v="-1072.8499999999999"/>
    <n v="47.55"/>
    <n v="-2090.36"/>
    <n v="916.08"/>
    <n v="-1354.2800000000002"/>
    <n v="-3006.44"/>
  </r>
  <r>
    <x v="6"/>
    <x v="6"/>
    <x v="0"/>
    <s v="6062107"/>
    <n v="713010"/>
    <s v="Benefits-FICA/Medicare"/>
    <s v="Plant Maintenance-Silverdale"/>
    <x v="0"/>
    <m/>
    <n v="1366.92"/>
    <n v="1287.5999999999999"/>
    <n v="1332.25"/>
    <n v="1447.17"/>
    <n v="1258.02"/>
    <n v="1598.76"/>
    <n v="1277.5999999999999"/>
    <n v="1452.12"/>
    <n v="1475.35"/>
    <n v="1190.68"/>
    <n v="1462.03"/>
    <n v="1322.24"/>
    <n v="16470.740000000005"/>
    <n v="139.78999999999996"/>
  </r>
  <r>
    <x v="6"/>
    <x v="6"/>
    <x v="0"/>
    <s v="6062107"/>
    <n v="713090"/>
    <s v="Benefits-Allocated Amounts"/>
    <s v="Plant Maintenance-Silverdale"/>
    <x v="0"/>
    <m/>
    <n v="3720.74"/>
    <n v="3200.2"/>
    <n v="3600.16"/>
    <n v="3950.56"/>
    <n v="3934.21"/>
    <n v="4357.12"/>
    <n v="3617.72"/>
    <n v="4256.76"/>
    <n v="3571.75"/>
    <n v="3729.35"/>
    <n v="3937.56"/>
    <n v="4381.9399999999996"/>
    <n v="46258.07"/>
    <n v="-444.37999999999965"/>
  </r>
  <r>
    <x v="7"/>
    <x v="6"/>
    <x v="0"/>
    <s v="6062107"/>
    <n v="718050"/>
    <s v="Contract Svcs-Other"/>
    <s v="Plant Maintenance-Silverdale"/>
    <x v="0"/>
    <m/>
    <n v="-2315.6"/>
    <n v="1397.93"/>
    <n v="5940"/>
    <n v="0"/>
    <n v="0"/>
    <n v="6551"/>
    <n v="0"/>
    <n v="-4765.8500000000004"/>
    <n v="-17572.25"/>
    <n v="0"/>
    <n v="3275.5"/>
    <n v="19357.400000000001"/>
    <n v="11868.130000000001"/>
    <n v="-16081.900000000001"/>
  </r>
  <r>
    <x v="7"/>
    <x v="6"/>
    <x v="0"/>
    <s v="6062107"/>
    <n v="718050"/>
    <s v="Lawn Services"/>
    <s v="Plant Maintenance-Silverdale"/>
    <x v="0"/>
    <n v="1013"/>
    <n v="0"/>
    <n v="7303.16"/>
    <n v="13532.35"/>
    <n v="3601.51"/>
    <n v="0"/>
    <n v="4610.29"/>
    <n v="3965.57"/>
    <n v="6876.31"/>
    <n v="2861.48"/>
    <n v="582.14"/>
    <n v="1303.96"/>
    <n v="6494.47"/>
    <n v="51131.240000000005"/>
    <n v="-5190.51"/>
  </r>
  <r>
    <x v="7"/>
    <x v="6"/>
    <x v="0"/>
    <s v="6062107"/>
    <n v="718050"/>
    <s v="Pest Control"/>
    <s v="Plant Maintenance-Silverdale"/>
    <x v="0"/>
    <n v="1014"/>
    <n v="0"/>
    <n v="185.3"/>
    <n v="185.3"/>
    <n v="185.3"/>
    <n v="631.08000000000004"/>
    <n v="185.3"/>
    <n v="-342.23"/>
    <n v="185.3"/>
    <n v="185.3"/>
    <n v="185.3"/>
    <n v="310.64999999999998"/>
    <n v="185.3"/>
    <n v="2081.9"/>
    <n v="125.34999999999997"/>
  </r>
  <r>
    <x v="7"/>
    <x v="6"/>
    <x v="0"/>
    <s v="6062107"/>
    <n v="718050"/>
    <s v="Miscellaneous Purchased Svcs"/>
    <s v="Plant Maintenance-Silverdale"/>
    <x v="0"/>
    <n v="1020"/>
    <n v="24160"/>
    <n v="0"/>
    <n v="0"/>
    <n v="0"/>
    <n v="0"/>
    <n v="1820.3"/>
    <n v="20023.3"/>
    <n v="28613.88"/>
    <n v="61759.4"/>
    <n v="1362.5"/>
    <n v="0"/>
    <n v="0"/>
    <n v="137739.38"/>
    <n v="0"/>
  </r>
  <r>
    <x v="7"/>
    <x v="6"/>
    <x v="0"/>
    <s v="6062107"/>
    <n v="718050"/>
    <s v="Purchased Srvcs--Medical Waste"/>
    <s v="Plant Maintenance-Silverdale"/>
    <x v="0"/>
    <n v="1027"/>
    <n v="8598.7999999999993"/>
    <n v="867.76"/>
    <n v="34777.89"/>
    <n v="15575"/>
    <n v="-12117.71"/>
    <n v="21606.01"/>
    <n v="8936.8700000000008"/>
    <n v="21400.3"/>
    <n v="18720.71"/>
    <n v="0"/>
    <n v="16012.86"/>
    <n v="12308.97"/>
    <n v="146687.46"/>
    <n v="3703.8900000000012"/>
  </r>
  <r>
    <x v="7"/>
    <x v="6"/>
    <x v="0"/>
    <s v="6062107"/>
    <n v="718050"/>
    <s v="Purchased Service-Fire/Life Safety Test"/>
    <s v="Plant Maintenance-Silverdale"/>
    <x v="0"/>
    <n v="5101"/>
    <n v="22122.6"/>
    <n v="1400"/>
    <n v="13282.46"/>
    <n v="4360"/>
    <n v="0"/>
    <n v="16981.599999999999"/>
    <n v="-6598.87"/>
    <n v="38771.300000000003"/>
    <n v="378.45"/>
    <n v="670.45"/>
    <n v="0"/>
    <n v="874.34"/>
    <n v="92242.329999999987"/>
    <n v="-874.34"/>
  </r>
  <r>
    <x v="7"/>
    <x v="6"/>
    <x v="0"/>
    <s v="6062107"/>
    <n v="718071"/>
    <s v="Contract Srvcs-CHI Facilities Mgmt"/>
    <s v="Plant Maintenance-Silverdale"/>
    <x v="0"/>
    <m/>
    <n v="1515.74"/>
    <n v="1077.9000000000001"/>
    <n v="1526.58"/>
    <n v="1390.86"/>
    <n v="2597.19"/>
    <n v="0"/>
    <n v="1297.03"/>
    <n v="1446.46"/>
    <n v="1620.33"/>
    <n v="1191.0899999999999"/>
    <n v="1404.28"/>
    <n v="1236.3699999999999"/>
    <n v="16303.830000000002"/>
    <n v="167.91000000000008"/>
  </r>
  <r>
    <x v="11"/>
    <x v="6"/>
    <x v="0"/>
    <s v="6062107"/>
    <n v="721810"/>
    <s v="Supplies-Dietary/Cafeteria"/>
    <s v="Plant Maintenance-Silverdale"/>
    <x v="0"/>
    <m/>
    <n v="0"/>
    <n v="0"/>
    <n v="0"/>
    <n v="15.66"/>
    <n v="0"/>
    <n v="0"/>
    <n v="0"/>
    <n v="65.319999999999993"/>
    <n v="0"/>
    <n v="0"/>
    <n v="0"/>
    <n v="0"/>
    <n v="80.97999999999999"/>
    <n v="0"/>
  </r>
  <r>
    <x v="11"/>
    <x v="6"/>
    <x v="0"/>
    <s v="6062107"/>
    <n v="721910"/>
    <s v="Supplies-Small Equipment"/>
    <s v="Plant Maintenance-Silverdale"/>
    <x v="0"/>
    <m/>
    <n v="200.03"/>
    <n v="0"/>
    <n v="0"/>
    <n v="0"/>
    <n v="0"/>
    <n v="0"/>
    <n v="0"/>
    <n v="0"/>
    <n v="0"/>
    <n v="0"/>
    <n v="0"/>
    <n v="0"/>
    <n v="200.03"/>
    <n v="0"/>
  </r>
  <r>
    <x v="11"/>
    <x v="6"/>
    <x v="0"/>
    <s v="6062107"/>
    <n v="722000"/>
    <s v="Supplies-Freight Expense"/>
    <s v="Plant Maintenance-Silverdale"/>
    <x v="0"/>
    <m/>
    <n v="7.94"/>
    <n v="12.26"/>
    <n v="13.81"/>
    <n v="0"/>
    <n v="0"/>
    <n v="8.5299999999999994"/>
    <n v="0"/>
    <n v="9.26"/>
    <n v="9.24"/>
    <n v="0"/>
    <n v="9.27"/>
    <n v="0"/>
    <n v="70.31"/>
    <n v="9.27"/>
  </r>
  <r>
    <x v="11"/>
    <x v="6"/>
    <x v="0"/>
    <s v="6062107"/>
    <n v="722000"/>
    <s v="Minimum Order Fees"/>
    <s v="Plant Maintenance-Silverdale"/>
    <x v="0"/>
    <n v="1000"/>
    <n v="0"/>
    <n v="0"/>
    <n v="0"/>
    <n v="21.8"/>
    <n v="0"/>
    <n v="0"/>
    <n v="0"/>
    <n v="0"/>
    <n v="0"/>
    <n v="0"/>
    <n v="0"/>
    <n v="0"/>
    <n v="21.8"/>
    <n v="0"/>
  </r>
  <r>
    <x v="12"/>
    <x v="6"/>
    <x v="0"/>
    <s v="6062107"/>
    <n v="730020"/>
    <s v="Rental and Leases-Equipment (DO NOT USE)"/>
    <s v="Plant Maintenance-Silverdale"/>
    <x v="0"/>
    <m/>
    <n v="0"/>
    <n v="84.34"/>
    <n v="42.01"/>
    <n v="42.33"/>
    <n v="0"/>
    <n v="0"/>
    <n v="76.040000000000006"/>
    <n v="0"/>
    <n v="38.020000000000003"/>
    <n v="0"/>
    <n v="76.040000000000006"/>
    <n v="38.020000000000003"/>
    <n v="396.8"/>
    <n v="38.020000000000003"/>
  </r>
  <r>
    <x v="12"/>
    <x v="6"/>
    <x v="0"/>
    <s v="6062107"/>
    <n v="730020"/>
    <s v="Rental and Leases-Copier Usage Fees (DO NOT USE)"/>
    <s v="Plant Maintenance-Silverdale"/>
    <x v="0"/>
    <n v="5100"/>
    <n v="72.94"/>
    <n v="73.69"/>
    <n v="73.319999999999993"/>
    <n v="73.319999999999993"/>
    <n v="73.319999999999993"/>
    <n v="73.31"/>
    <n v="38.43"/>
    <n v="53.1"/>
    <n v="52.99"/>
    <n v="56.51"/>
    <n v="53.1"/>
    <n v="60.37"/>
    <n v="754.4"/>
    <n v="-7.269999999999996"/>
  </r>
  <r>
    <x v="15"/>
    <x v="6"/>
    <x v="0"/>
    <s v="6062107"/>
    <n v="731010"/>
    <s v="Natural Gas"/>
    <s v="Plant Maintenance-Silverdale"/>
    <x v="0"/>
    <m/>
    <n v="1432.08"/>
    <n v="1385.22"/>
    <n v="1473.56"/>
    <n v="1516.99"/>
    <n v="1579.99"/>
    <n v="2957.13"/>
    <n v="3700.52"/>
    <n v="3610.1"/>
    <n v="3631.01"/>
    <n v="3550.41"/>
    <n v="3315.08"/>
    <n v="3366.68"/>
    <n v="31518.769999999997"/>
    <n v="-51.599999999999909"/>
  </r>
  <r>
    <x v="15"/>
    <x v="6"/>
    <x v="0"/>
    <s v="6062107"/>
    <n v="731020"/>
    <s v="Electricity"/>
    <s v="Plant Maintenance-Silverdale"/>
    <x v="0"/>
    <m/>
    <n v="32208.41"/>
    <n v="37721.99"/>
    <n v="35321.35"/>
    <n v="34012.18"/>
    <n v="31987.79"/>
    <n v="31229.75"/>
    <n v="30316.080000000002"/>
    <n v="28814.799999999999"/>
    <n v="28654.880000000001"/>
    <n v="31601.85"/>
    <n v="28246.02"/>
    <n v="31348.06"/>
    <n v="381463.16"/>
    <n v="-3102.0400000000009"/>
  </r>
  <r>
    <x v="15"/>
    <x v="6"/>
    <x v="0"/>
    <s v="6062107"/>
    <n v="731030"/>
    <s v="Water"/>
    <s v="Plant Maintenance-Silverdale"/>
    <x v="0"/>
    <m/>
    <n v="0"/>
    <n v="8137.54"/>
    <n v="6636.34"/>
    <n v="14353.64"/>
    <n v="0"/>
    <n v="7783.96"/>
    <n v="0"/>
    <n v="2892.36"/>
    <n v="0"/>
    <n v="1601.23"/>
    <n v="0"/>
    <n v="1569.27"/>
    <n v="42974.340000000004"/>
    <n v="-1569.27"/>
  </r>
  <r>
    <x v="15"/>
    <x v="6"/>
    <x v="0"/>
    <s v="6062107"/>
    <n v="731040"/>
    <s v="Sewer"/>
    <s v="Plant Maintenance-Silverdale"/>
    <x v="0"/>
    <m/>
    <n v="22434.03"/>
    <n v="12058.18"/>
    <n v="22434.03"/>
    <n v="12949.75"/>
    <n v="23068.27"/>
    <n v="6279.93"/>
    <n v="4614.3999999999996"/>
    <n v="6249.7"/>
    <n v="6024.45"/>
    <n v="6274.52"/>
    <n v="6024.45"/>
    <n v="6519.2"/>
    <n v="134930.91"/>
    <n v="-494.75"/>
  </r>
  <r>
    <x v="15"/>
    <x v="6"/>
    <x v="0"/>
    <s v="6062107"/>
    <n v="731050"/>
    <s v="Refuse Disposal"/>
    <s v="Plant Maintenance-Silverdale"/>
    <x v="0"/>
    <m/>
    <n v="0"/>
    <n v="0"/>
    <n v="0"/>
    <n v="0"/>
    <n v="0"/>
    <n v="0"/>
    <n v="0"/>
    <n v="0"/>
    <n v="42750.34"/>
    <n v="4880.76"/>
    <n v="4797.59"/>
    <n v="5182.6899999999996"/>
    <n v="57611.380000000005"/>
    <n v="-385.09999999999945"/>
  </r>
  <r>
    <x v="15"/>
    <x v="6"/>
    <x v="0"/>
    <s v="6062107"/>
    <n v="731060"/>
    <s v="Cell Phones"/>
    <s v="Plant Maintenance-Silverdale"/>
    <x v="0"/>
    <n v="1001"/>
    <n v="0"/>
    <n v="53.87"/>
    <n v="26.42"/>
    <n v="0"/>
    <n v="26.47"/>
    <n v="27.06"/>
    <n v="54.13"/>
    <n v="0"/>
    <n v="28.08"/>
    <n v="54.15"/>
    <n v="99.11"/>
    <n v="51.78"/>
    <n v="421.06999999999994"/>
    <n v="47.33"/>
  </r>
  <r>
    <x v="15"/>
    <x v="6"/>
    <x v="0"/>
    <s v="6062107"/>
    <n v="731090"/>
    <s v="Fuel-Oil"/>
    <s v="Plant Maintenance-Silverdale"/>
    <x v="0"/>
    <n v="6200"/>
    <n v="0"/>
    <n v="2168"/>
    <n v="0"/>
    <n v="-10.47"/>
    <n v="0"/>
    <n v="0"/>
    <n v="0"/>
    <n v="0"/>
    <n v="0"/>
    <n v="3940.7"/>
    <n v="0"/>
    <n v="0"/>
    <n v="6098.23"/>
    <n v="0"/>
  </r>
  <r>
    <x v="16"/>
    <x v="6"/>
    <x v="0"/>
    <s v="6062107"/>
    <n v="732030"/>
    <s v="Repairs---Other"/>
    <s v="Plant Maintenance-Silverdale"/>
    <x v="0"/>
    <m/>
    <n v="1300.06"/>
    <n v="496.18"/>
    <n v="3147.24"/>
    <n v="4174.51"/>
    <n v="14625.24"/>
    <n v="7851.4"/>
    <n v="3760.31"/>
    <n v="3746.71"/>
    <n v="15133.73"/>
    <n v="7030.75"/>
    <n v="23715.9"/>
    <n v="10171.56"/>
    <n v="95153.59"/>
    <n v="13544.340000000002"/>
  </r>
  <r>
    <x v="16"/>
    <x v="6"/>
    <x v="0"/>
    <s v="6062107"/>
    <n v="732030"/>
    <s v="Vehicle Maintenance"/>
    <s v="Plant Maintenance-Silverdale"/>
    <x v="0"/>
    <n v="1000"/>
    <n v="0"/>
    <n v="0"/>
    <n v="0"/>
    <n v="-58.86"/>
    <n v="0"/>
    <n v="0"/>
    <n v="0"/>
    <n v="0"/>
    <n v="0"/>
    <n v="0"/>
    <n v="0"/>
    <n v="0"/>
    <n v="-58.86"/>
    <n v="0"/>
  </r>
  <r>
    <x v="16"/>
    <x v="6"/>
    <x v="0"/>
    <s v="6062107"/>
    <n v="732030"/>
    <s v="Repairs&amp;Maintenance-Bldg Routine"/>
    <s v="Plant Maintenance-Silverdale"/>
    <x v="0"/>
    <n v="2300"/>
    <n v="1279.17"/>
    <n v="790.25"/>
    <n v="21327.22"/>
    <n v="9525.7199999999993"/>
    <n v="7234.55"/>
    <n v="4900.3"/>
    <n v="0"/>
    <n v="0"/>
    <n v="0"/>
    <n v="5216.7700000000004"/>
    <n v="469.51"/>
    <n v="1546.32"/>
    <n v="52289.810000000012"/>
    <n v="-1076.81"/>
  </r>
  <r>
    <x v="16"/>
    <x v="6"/>
    <x v="0"/>
    <s v="6062107"/>
    <n v="732030"/>
    <s v="Repairs&amp;Maintenance-Electrical"/>
    <s v="Plant Maintenance-Silverdale"/>
    <x v="0"/>
    <n v="5100"/>
    <n v="3195.76"/>
    <n v="2608.17"/>
    <n v="778.9"/>
    <n v="65.81"/>
    <n v="17898.72"/>
    <n v="3212.47"/>
    <n v="1707.22"/>
    <n v="151.57"/>
    <n v="283.66000000000003"/>
    <n v="417.97"/>
    <n v="708.28"/>
    <n v="617.77"/>
    <n v="31646.300000000003"/>
    <n v="90.509999999999991"/>
  </r>
  <r>
    <x v="16"/>
    <x v="6"/>
    <x v="0"/>
    <s v="6062107"/>
    <n v="732030"/>
    <s v="Repairs&amp;Maintenance-Elevator"/>
    <s v="Plant Maintenance-Silverdale"/>
    <x v="0"/>
    <n v="5101"/>
    <n v="0"/>
    <n v="0"/>
    <n v="0"/>
    <n v="1544.53"/>
    <n v="0"/>
    <n v="951.92"/>
    <n v="4014.21"/>
    <n v="779.9"/>
    <n v="0"/>
    <n v="2863.43"/>
    <n v="1590.96"/>
    <n v="0"/>
    <n v="11744.95"/>
    <n v="1590.96"/>
  </r>
  <r>
    <x v="16"/>
    <x v="6"/>
    <x v="0"/>
    <s v="6062107"/>
    <n v="732030"/>
    <s v="Repairs&amp;Maintenance-HVAC"/>
    <s v="Plant Maintenance-Silverdale"/>
    <x v="0"/>
    <n v="5102"/>
    <n v="1936.67"/>
    <n v="4290"/>
    <n v="1686.43"/>
    <n v="10414.540000000001"/>
    <n v="2442.98"/>
    <n v="7674.4"/>
    <n v="9657.43"/>
    <n v="122.64"/>
    <n v="5619.58"/>
    <n v="-1021.97"/>
    <n v="86155.8"/>
    <n v="194728.36"/>
    <n v="323706.86"/>
    <n v="-108572.55999999998"/>
  </r>
  <r>
    <x v="16"/>
    <x v="6"/>
    <x v="0"/>
    <s v="6062107"/>
    <n v="732030"/>
    <s v="Repairs&amp;Maintenance-Plumbing"/>
    <s v="Plant Maintenance-Silverdale"/>
    <x v="0"/>
    <n v="5103"/>
    <n v="8764.42"/>
    <n v="11361.4"/>
    <n v="4209.46"/>
    <n v="3525.04"/>
    <n v="1092.5899999999999"/>
    <n v="698.65"/>
    <n v="1530.53"/>
    <n v="0"/>
    <n v="4903.04"/>
    <n v="2055.8000000000002"/>
    <n v="835.99"/>
    <n v="4035.19"/>
    <n v="43012.11"/>
    <n v="-3199.2"/>
  </r>
  <r>
    <x v="16"/>
    <x v="6"/>
    <x v="0"/>
    <s v="6062107"/>
    <n v="733030"/>
    <s v="Maintenance Contracts-Other"/>
    <s v="Plant Maintenance-Silverdale"/>
    <x v="0"/>
    <m/>
    <n v="800"/>
    <n v="613.20000000000005"/>
    <n v="1226.4000000000001"/>
    <n v="0.01"/>
    <n v="4347.2"/>
    <n v="2399.14"/>
    <n v="0"/>
    <n v="0"/>
    <n v="613.20000000000005"/>
    <n v="0"/>
    <n v="2850"/>
    <n v="0"/>
    <n v="12849.150000000001"/>
    <n v="2850"/>
  </r>
  <r>
    <x v="16"/>
    <x v="6"/>
    <x v="0"/>
    <s v="6062107"/>
    <n v="733030"/>
    <s v="Maintenance Contract-Elevator"/>
    <s v="Plant Maintenance-Silverdale"/>
    <x v="0"/>
    <n v="5101"/>
    <n v="0"/>
    <n v="3464.03"/>
    <n v="1544.53"/>
    <n v="1544.53"/>
    <n v="29982.6"/>
    <n v="-26893.54"/>
    <n v="19591.48"/>
    <n v="-19591.48"/>
    <n v="1544.53"/>
    <n v="1544.53"/>
    <n v="0"/>
    <n v="1544.53"/>
    <n v="14275.740000000003"/>
    <n v="-1544.53"/>
  </r>
  <r>
    <x v="16"/>
    <x v="6"/>
    <x v="0"/>
    <s v="6062107"/>
    <n v="733030"/>
    <s v="Maintenance Contract-Landscape General"/>
    <s v="Plant Maintenance-Silverdale"/>
    <x v="0"/>
    <n v="5105"/>
    <n v="7203.02"/>
    <n v="13532.35"/>
    <n v="-226.4"/>
    <n v="0"/>
    <n v="0"/>
    <n v="7203.02"/>
    <n v="831.63"/>
    <n v="0"/>
    <n v="-5402.25"/>
    <n v="0"/>
    <n v="0"/>
    <n v="0"/>
    <n v="23141.370000000003"/>
    <n v="0"/>
  </r>
  <r>
    <x v="13"/>
    <x v="6"/>
    <x v="0"/>
    <s v="6062107"/>
    <n v="735070"/>
    <s v="Depreciation-Movable Equipment"/>
    <s v="Plant Maintenance-Silverdale"/>
    <x v="0"/>
    <m/>
    <n v="91.08"/>
    <n v="81.11"/>
    <n v="81.11"/>
    <n v="81.11"/>
    <n v="81.11"/>
    <n v="81.11"/>
    <n v="81.11"/>
    <n v="81.11"/>
    <n v="81.11"/>
    <n v="81.11"/>
    <n v="81.11"/>
    <n v="81.099999999999994"/>
    <n v="983.28000000000009"/>
    <n v="1.0000000000005116E-2"/>
  </r>
  <r>
    <x v="0"/>
    <x v="6"/>
    <x v="0"/>
    <s v="6062107"/>
    <n v="742040"/>
    <s v="Freight-Other"/>
    <s v="Plant Maintenance-Silverdale"/>
    <x v="0"/>
    <m/>
    <n v="0"/>
    <n v="0"/>
    <n v="0"/>
    <n v="20.97"/>
    <n v="0"/>
    <n v="0"/>
    <n v="0"/>
    <n v="0"/>
    <n v="0"/>
    <n v="0"/>
    <n v="0"/>
    <n v="0"/>
    <n v="20.97"/>
    <n v="0"/>
  </r>
  <r>
    <x v="0"/>
    <x v="6"/>
    <x v="0"/>
    <s v="6062107"/>
    <n v="749510"/>
    <s v="Miscellaneous Expenses"/>
    <s v="Plant Maintenance-Silverdale"/>
    <x v="0"/>
    <m/>
    <n v="502.69"/>
    <n v="-502.69"/>
    <n v="0"/>
    <n v="0"/>
    <n v="0"/>
    <n v="0"/>
    <n v="0"/>
    <n v="0"/>
    <n v="0"/>
    <n v="0"/>
    <n v="0"/>
    <n v="0"/>
    <n v="0"/>
    <n v="0"/>
  </r>
  <r>
    <x v="0"/>
    <x v="6"/>
    <x v="0"/>
    <s v="6062107"/>
    <n v="749510"/>
    <s v="Licenses"/>
    <s v="Plant Maintenance-Silverdale"/>
    <x v="0"/>
    <n v="1002"/>
    <n v="0"/>
    <n v="672.4"/>
    <n v="0"/>
    <n v="0"/>
    <n v="0"/>
    <n v="0"/>
    <n v="0"/>
    <n v="0"/>
    <n v="0"/>
    <n v="0"/>
    <n v="0"/>
    <n v="0"/>
    <n v="672.4"/>
    <n v="0"/>
  </r>
  <r>
    <x v="0"/>
    <x v="6"/>
    <x v="0"/>
    <s v="6062107"/>
    <n v="749530"/>
    <s v="Travel"/>
    <s v="Plant Maintenance-Silverdale"/>
    <x v="0"/>
    <m/>
    <n v="6"/>
    <n v="0"/>
    <n v="0"/>
    <n v="0"/>
    <n v="0"/>
    <n v="0"/>
    <n v="0"/>
    <n v="0"/>
    <n v="0"/>
    <n v="0"/>
    <n v="0"/>
    <n v="0"/>
    <n v="6"/>
    <n v="0"/>
  </r>
  <r>
    <x v="12"/>
    <x v="6"/>
    <x v="0"/>
    <s v="6070107"/>
    <n v="730020"/>
    <s v="Rental and Leases-Equipment (DO NOT USE)"/>
    <s v="Design &amp; Construction"/>
    <x v="0"/>
    <m/>
    <n v="0"/>
    <n v="253.04"/>
    <n v="126.03"/>
    <n v="127.01"/>
    <n v="0"/>
    <n v="0"/>
    <n v="286.04000000000002"/>
    <n v="0"/>
    <n v="143.02000000000001"/>
    <n v="0"/>
    <n v="286.04000000000002"/>
    <n v="143.02000000000001"/>
    <n v="1364.2"/>
    <n v="143.02000000000001"/>
  </r>
  <r>
    <x v="12"/>
    <x v="6"/>
    <x v="0"/>
    <s v="6070107"/>
    <n v="730020"/>
    <s v="Rental and Leases-Copier Usage Fees (DO NOT USE)"/>
    <s v="Design &amp; Construction"/>
    <x v="0"/>
    <n v="5100"/>
    <n v="222.16"/>
    <n v="229.59"/>
    <n v="225.87"/>
    <n v="225.87"/>
    <n v="225.87"/>
    <n v="225.87"/>
    <n v="106.86"/>
    <n v="216.36"/>
    <n v="215.91"/>
    <n v="238.47"/>
    <n v="216.36"/>
    <n v="240.87"/>
    <n v="2590.06"/>
    <n v="-24.509999999999991"/>
  </r>
  <r>
    <x v="15"/>
    <x v="6"/>
    <x v="0"/>
    <s v="6070107"/>
    <n v="731060"/>
    <s v="Telephone"/>
    <s v="Design &amp; Construction"/>
    <x v="0"/>
    <m/>
    <n v="1278"/>
    <n v="1278"/>
    <n v="1278"/>
    <n v="1278"/>
    <n v="1278"/>
    <n v="926.41"/>
    <n v="1629.59"/>
    <n v="1278"/>
    <n v="1278"/>
    <n v="1278"/>
    <n v="1278"/>
    <n v="1278"/>
    <n v="15336"/>
    <n v="0"/>
  </r>
  <r>
    <x v="0"/>
    <x v="6"/>
    <x v="0"/>
    <s v="6070107"/>
    <n v="743020"/>
    <s v="Dues--Individual"/>
    <s v="Design &amp; Construction"/>
    <x v="0"/>
    <m/>
    <n v="0"/>
    <n v="0"/>
    <n v="0"/>
    <n v="0"/>
    <n v="0"/>
    <n v="0"/>
    <n v="0"/>
    <n v="0"/>
    <n v="0"/>
    <n v="0"/>
    <n v="0"/>
    <n v="129"/>
    <n v="129"/>
    <n v="-129"/>
  </r>
  <r>
    <x v="0"/>
    <x v="6"/>
    <x v="0"/>
    <s v="6070107"/>
    <n v="749510"/>
    <s v="Miscellaneous Expenses"/>
    <s v="Design &amp; Construction"/>
    <x v="0"/>
    <m/>
    <n v="0"/>
    <n v="0"/>
    <n v="0"/>
    <n v="0"/>
    <n v="0"/>
    <n v="0"/>
    <n v="0"/>
    <n v="0"/>
    <n v="0"/>
    <n v="-1"/>
    <n v="96"/>
    <n v="-96"/>
    <n v="-1"/>
    <n v="192"/>
  </r>
  <r>
    <x v="0"/>
    <x v="6"/>
    <x v="0"/>
    <s v="6070107"/>
    <n v="749535"/>
    <s v="Meetings"/>
    <s v="Design &amp; Construction"/>
    <x v="0"/>
    <m/>
    <n v="0"/>
    <n v="0"/>
    <n v="0"/>
    <n v="0"/>
    <n v="0"/>
    <n v="0"/>
    <n v="0"/>
    <n v="0"/>
    <n v="0"/>
    <n v="0"/>
    <n v="0"/>
    <n v="96"/>
    <n v="96"/>
    <n v="-96"/>
  </r>
  <r>
    <x v="5"/>
    <x v="9"/>
    <x v="0"/>
    <s v="6070501"/>
    <n v="700014"/>
    <s v="Salaries-Management-Productive"/>
    <s v="Construction Mgmt"/>
    <x v="0"/>
    <m/>
    <n v="14611.22"/>
    <n v="13777.34"/>
    <n v="11235.31"/>
    <n v="12543.22"/>
    <n v="13425.96"/>
    <n v="10793.01"/>
    <n v="11544.73"/>
    <n v="10679.01"/>
    <n v="12278.72"/>
    <n v="11067.79"/>
    <n v="11414.02"/>
    <n v="11412.19"/>
    <n v="144782.51999999996"/>
    <n v="1.8299999999999272"/>
  </r>
  <r>
    <x v="5"/>
    <x v="9"/>
    <x v="0"/>
    <s v="6070501"/>
    <n v="700014"/>
    <s v="Salaries-Management-Other"/>
    <s v="Construction Mgmt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9"/>
    <x v="0"/>
    <s v="6070501"/>
    <n v="700034"/>
    <s v="Salaries-Tech/Professional-Productive"/>
    <s v="Construction Mgmt"/>
    <x v="0"/>
    <m/>
    <n v="6419.58"/>
    <n v="3043.93"/>
    <n v="6240.8"/>
    <n v="9176.2800000000007"/>
    <n v="7942.08"/>
    <n v="5665.67"/>
    <n v="7795.1"/>
    <n v="7423.68"/>
    <n v="7052.56"/>
    <n v="7370.44"/>
    <n v="7026.03"/>
    <n v="8298.74"/>
    <n v="83454.89"/>
    <n v="-1272.71"/>
  </r>
  <r>
    <x v="5"/>
    <x v="9"/>
    <x v="0"/>
    <s v="6070501"/>
    <n v="700038"/>
    <s v="Salaries-Service/Support-Productive"/>
    <s v="Construction Mgmt"/>
    <x v="0"/>
    <m/>
    <n v="0"/>
    <n v="0"/>
    <n v="0"/>
    <n v="0"/>
    <n v="0"/>
    <n v="0"/>
    <n v="4782.62"/>
    <n v="3664.13"/>
    <n v="4933.49"/>
    <n v="5024.95"/>
    <n v="5008.8900000000003"/>
    <n v="4618.9799999999996"/>
    <n v="28033.059999999998"/>
    <n v="389.91000000000076"/>
  </r>
  <r>
    <x v="5"/>
    <x v="9"/>
    <x v="0"/>
    <s v="6070501"/>
    <n v="700038"/>
    <s v="Salaries-Service/Support-OT"/>
    <s v="Construction Mgmt"/>
    <x v="0"/>
    <n v="1000"/>
    <n v="0"/>
    <n v="0"/>
    <n v="0"/>
    <n v="0"/>
    <n v="0"/>
    <n v="0"/>
    <n v="14.92"/>
    <n v="18.07"/>
    <n v="51.83"/>
    <n v="229.26"/>
    <n v="97.38"/>
    <n v="482.07"/>
    <n v="893.53"/>
    <n v="-384.69"/>
  </r>
  <r>
    <x v="5"/>
    <x v="9"/>
    <x v="0"/>
    <s v="6070501"/>
    <n v="700054"/>
    <s v="Salaries-Management-Non-productive"/>
    <s v="Construction Mgmt"/>
    <x v="0"/>
    <m/>
    <n v="6248.3"/>
    <n v="149.80000000000001"/>
    <n v="1248.3699999999999"/>
    <n v="746.4"/>
    <n v="-474.87"/>
    <n v="2590.21"/>
    <n v="1859.4"/>
    <n v="1426.73"/>
    <n v="1124.1400000000001"/>
    <n v="1902.31"/>
    <n v="1988.86"/>
    <n v="4323.4399999999996"/>
    <n v="23133.09"/>
    <n v="-2334.58"/>
  </r>
  <r>
    <x v="5"/>
    <x v="9"/>
    <x v="0"/>
    <s v="6070501"/>
    <n v="700054"/>
    <s v="Salaries-Management-NonProd-Other"/>
    <s v="Construction Mgmt"/>
    <x v="0"/>
    <n v="2000"/>
    <n v="0"/>
    <n v="0"/>
    <n v="0"/>
    <n v="0"/>
    <n v="0"/>
    <n v="5131.5"/>
    <n v="-5131.5"/>
    <n v="0"/>
    <n v="0"/>
    <n v="0"/>
    <n v="0"/>
    <n v="0"/>
    <n v="0"/>
    <n v="0"/>
  </r>
  <r>
    <x v="5"/>
    <x v="9"/>
    <x v="0"/>
    <s v="6070501"/>
    <n v="700074"/>
    <s v="Salaries-Tech/Professional-Non-productive"/>
    <s v="Construction Mgmt"/>
    <x v="0"/>
    <m/>
    <n v="1509.02"/>
    <n v="4885.03"/>
    <n v="1432.5"/>
    <n v="-1023.03"/>
    <n v="0"/>
    <n v="2541.4"/>
    <n v="424.81"/>
    <n v="0"/>
    <n v="1166.55"/>
    <n v="583.29999999999995"/>
    <n v="1193.0999999999999"/>
    <n v="-344.64"/>
    <n v="12368.039999999999"/>
    <n v="1537.7399999999998"/>
  </r>
  <r>
    <x v="5"/>
    <x v="9"/>
    <x v="0"/>
    <s v="6070501"/>
    <n v="700078"/>
    <s v="Salaries-Service/Support-Non-productive"/>
    <s v="Construction Mgmt"/>
    <x v="0"/>
    <m/>
    <n v="0"/>
    <n v="0"/>
    <n v="0"/>
    <n v="0"/>
    <n v="0"/>
    <n v="0"/>
    <n v="727.58"/>
    <n v="981.98"/>
    <n v="276.42"/>
    <n v="0"/>
    <n v="183.71"/>
    <n v="406.21"/>
    <n v="2575.9"/>
    <n v="-222.49999999999997"/>
  </r>
  <r>
    <x v="5"/>
    <x v="9"/>
    <x v="0"/>
    <s v="6070501"/>
    <n v="700084"/>
    <s v="Accrued PTO"/>
    <s v="Construction Mgmt"/>
    <x v="0"/>
    <m/>
    <n v="2889.12"/>
    <n v="-6974.36"/>
    <n v="-643.70000000000005"/>
    <n v="3346.08"/>
    <n v="1140.18"/>
    <n v="-2076.27"/>
    <n v="861.65"/>
    <n v="1164.5999999999999"/>
    <n v="837.97"/>
    <n v="582.98"/>
    <n v="-291.33999999999997"/>
    <n v="-975.44"/>
    <n v="-138.52999999999975"/>
    <n v="684.10000000000014"/>
  </r>
  <r>
    <x v="6"/>
    <x v="9"/>
    <x v="0"/>
    <s v="6070501"/>
    <n v="713010"/>
    <s v="Benefits-FICA/Medicare"/>
    <s v="Construction Mgmt"/>
    <x v="0"/>
    <m/>
    <n v="2100.71"/>
    <n v="1587.83"/>
    <n v="1467.58"/>
    <n v="1566.67"/>
    <n v="972.92"/>
    <n v="1522.9"/>
    <n v="2399.0100000000002"/>
    <n v="1787.48"/>
    <n v="1986.45"/>
    <n v="1934.7"/>
    <n v="1988.62"/>
    <n v="2167.8000000000002"/>
    <n v="21482.67"/>
    <n v="-179.18000000000029"/>
  </r>
  <r>
    <x v="6"/>
    <x v="9"/>
    <x v="0"/>
    <s v="6070501"/>
    <n v="713090"/>
    <s v="Benefits-Allocated Amounts"/>
    <s v="Construction Mgmt"/>
    <x v="0"/>
    <m/>
    <n v="4508.8500000000004"/>
    <n v="2515.5300000000002"/>
    <n v="2885.64"/>
    <n v="2891.63"/>
    <n v="2613.9299999999998"/>
    <n v="3230.34"/>
    <n v="4572.68"/>
    <n v="3981.54"/>
    <n v="4830.63"/>
    <n v="4540.28"/>
    <n v="4370.28"/>
    <n v="5002.33"/>
    <n v="45943.66"/>
    <n v="-632.05000000000018"/>
  </r>
  <r>
    <x v="6"/>
    <x v="9"/>
    <x v="0"/>
    <s v="6070501"/>
    <n v="713096"/>
    <s v="Employee Recognition"/>
    <s v="Construction Mgmt"/>
    <x v="0"/>
    <n v="1017"/>
    <n v="0"/>
    <n v="0"/>
    <n v="0"/>
    <n v="0"/>
    <n v="0"/>
    <n v="0"/>
    <n v="0"/>
    <n v="0"/>
    <n v="192.73"/>
    <n v="0"/>
    <n v="0"/>
    <n v="0"/>
    <n v="192.73"/>
    <n v="0"/>
  </r>
  <r>
    <x v="21"/>
    <x v="9"/>
    <x v="0"/>
    <s v="6070501"/>
    <n v="716046"/>
    <s v="Consulting-Other"/>
    <s v="Construction Mgmt"/>
    <x v="0"/>
    <m/>
    <n v="0"/>
    <n v="0"/>
    <n v="24772.5"/>
    <n v="6571.94"/>
    <n v="-24772.5"/>
    <n v="0"/>
    <n v="0"/>
    <n v="0"/>
    <n v="0"/>
    <n v="0"/>
    <n v="0"/>
    <n v="3487.83"/>
    <n v="10059.769999999999"/>
    <n v="-3487.83"/>
  </r>
  <r>
    <x v="7"/>
    <x v="9"/>
    <x v="0"/>
    <s v="6070501"/>
    <n v="718050"/>
    <s v="Contract Svcs-Other"/>
    <s v="Construction Mgmt"/>
    <x v="0"/>
    <m/>
    <n v="0"/>
    <n v="40027.5"/>
    <n v="0"/>
    <n v="0"/>
    <n v="0"/>
    <n v="10398.18"/>
    <n v="21736.68"/>
    <n v="0"/>
    <n v="275.25"/>
    <n v="25213.96"/>
    <n v="32.979999999999997"/>
    <n v="0"/>
    <n v="97684.55"/>
    <n v="32.979999999999997"/>
  </r>
  <r>
    <x v="7"/>
    <x v="9"/>
    <x v="0"/>
    <s v="6070501"/>
    <n v="718050"/>
    <s v="Document Shredding/Storage"/>
    <s v="Construction Mgmt"/>
    <x v="0"/>
    <n v="1012"/>
    <n v="54.56"/>
    <n v="38.72"/>
    <n v="62.86"/>
    <n v="56.07"/>
    <n v="57.97"/>
    <n v="57.97"/>
    <n v="265.02"/>
    <n v="49.23"/>
    <n v="51"/>
    <n v="66.75"/>
    <n v="124.5"/>
    <n v="57.97"/>
    <n v="942.62"/>
    <n v="66.53"/>
  </r>
  <r>
    <x v="7"/>
    <x v="9"/>
    <x v="0"/>
    <s v="6070501"/>
    <n v="718050"/>
    <s v="Miscellaneous Purchased Svcs"/>
    <s v="Construction Mgmt"/>
    <x v="0"/>
    <n v="1020"/>
    <n v="-20000"/>
    <n v="24772.5"/>
    <n v="-19725.3"/>
    <n v="5082.97"/>
    <n v="24772.5"/>
    <n v="0"/>
    <n v="-24574.66"/>
    <n v="7335.7"/>
    <n v="4950"/>
    <n v="0"/>
    <n v="0"/>
    <n v="0"/>
    <n v="2613.7100000000019"/>
    <n v="0"/>
  </r>
  <r>
    <x v="11"/>
    <x v="9"/>
    <x v="0"/>
    <s v="6070501"/>
    <n v="721830"/>
    <s v="Supplies-Office"/>
    <s v="Construction Mgmt"/>
    <x v="0"/>
    <m/>
    <n v="1403.57"/>
    <n v="52.46"/>
    <n v="185.83"/>
    <n v="52.01"/>
    <n v="55.32"/>
    <n v="179.09"/>
    <n v="181.43"/>
    <n v="292.05"/>
    <n v="210.74"/>
    <n v="595.5"/>
    <n v="270.25"/>
    <n v="5142.0200000000004"/>
    <n v="8620.27"/>
    <n v="-4871.7700000000004"/>
  </r>
  <r>
    <x v="11"/>
    <x v="9"/>
    <x v="0"/>
    <s v="6070501"/>
    <n v="721910"/>
    <s v="Supplies-Small Equipment"/>
    <s v="Construction Mgmt"/>
    <x v="0"/>
    <m/>
    <n v="-870"/>
    <n v="0"/>
    <n v="0"/>
    <n v="-31.69"/>
    <n v="0"/>
    <n v="0"/>
    <n v="0"/>
    <n v="0"/>
    <n v="0"/>
    <n v="0"/>
    <n v="0"/>
    <n v="6372.3"/>
    <n v="5470.6100000000006"/>
    <n v="-6372.3"/>
  </r>
  <r>
    <x v="11"/>
    <x v="9"/>
    <x v="0"/>
    <s v="6070501"/>
    <n v="722000"/>
    <s v="Supplies-Freight Expense"/>
    <s v="Construction Mgmt"/>
    <x v="0"/>
    <m/>
    <n v="0"/>
    <n v="8.41"/>
    <n v="8.41"/>
    <n v="25.47"/>
    <n v="8.5299999999999994"/>
    <n v="22.93"/>
    <n v="16.72"/>
    <n v="264.26"/>
    <n v="0"/>
    <n v="0"/>
    <n v="0"/>
    <n v="0"/>
    <n v="354.73"/>
    <n v="0"/>
  </r>
  <r>
    <x v="12"/>
    <x v="9"/>
    <x v="0"/>
    <s v="6070501"/>
    <n v="730020"/>
    <s v="Rental and Leases-Copier Usage Fees (DO NOT USE)"/>
    <s v="Construction Mgmt"/>
    <x v="0"/>
    <n v="5100"/>
    <n v="421.29"/>
    <n v="430.19"/>
    <n v="425.74"/>
    <n v="425.74"/>
    <n v="425.75"/>
    <n v="425.74"/>
    <n v="397.79"/>
    <n v="302.12"/>
    <n v="301.49"/>
    <n v="684.5"/>
    <n v="302.12"/>
    <n v="333.1"/>
    <n v="4875.57"/>
    <n v="-30.980000000000018"/>
  </r>
  <r>
    <x v="15"/>
    <x v="9"/>
    <x v="0"/>
    <s v="6070501"/>
    <n v="731065"/>
    <s v="Data Communications"/>
    <s v="Construction Mgmt"/>
    <x v="0"/>
    <m/>
    <n v="233.71"/>
    <n v="233.71"/>
    <n v="233.71"/>
    <n v="233.71"/>
    <n v="235.89"/>
    <n v="235.89"/>
    <n v="242.89"/>
    <n v="242.89"/>
    <n v="423.22"/>
    <n v="242.89"/>
    <n v="114.46"/>
    <n v="252.89"/>
    <n v="2925.8599999999997"/>
    <n v="-138.43"/>
  </r>
  <r>
    <x v="15"/>
    <x v="9"/>
    <x v="0"/>
    <s v="6070501"/>
    <n v="731070"/>
    <s v="Cable TV"/>
    <s v="Construction Mgmt"/>
    <x v="0"/>
    <m/>
    <n v="68.39"/>
    <n v="68.39"/>
    <n v="68.39"/>
    <n v="68.39"/>
    <n v="68.39"/>
    <n v="68.39"/>
    <n v="75.09"/>
    <n v="75.09"/>
    <n v="75.09"/>
    <n v="75.09"/>
    <n v="75.09"/>
    <n v="75.09"/>
    <n v="860.88000000000011"/>
    <n v="0"/>
  </r>
  <r>
    <x v="0"/>
    <x v="9"/>
    <x v="0"/>
    <s v="6070501"/>
    <n v="742010"/>
    <s v="Postage-Regular"/>
    <s v="Construction Mgmt"/>
    <x v="0"/>
    <m/>
    <n v="6540"/>
    <n v="5678.63"/>
    <n v="655.44"/>
    <n v="5044.21"/>
    <n v="50.02"/>
    <n v="7694.99"/>
    <n v="-21911.1"/>
    <n v="135.16999999999999"/>
    <n v="3432.98"/>
    <n v="-3400"/>
    <n v="4199.53"/>
    <n v="0"/>
    <n v="8119.8700000000017"/>
    <n v="4199.53"/>
  </r>
  <r>
    <x v="0"/>
    <x v="9"/>
    <x v="0"/>
    <s v="6070501"/>
    <n v="749510"/>
    <s v="Miscellaneous Expenses"/>
    <s v="Construction Mgmt"/>
    <x v="0"/>
    <m/>
    <n v="0"/>
    <n v="0"/>
    <n v="19.059999999999999"/>
    <n v="-2755.37"/>
    <n v="-1860.2"/>
    <n v="1143.8900000000001"/>
    <n v="1658.86"/>
    <n v="1929.16"/>
    <n v="1301.21"/>
    <n v="5473.42"/>
    <n v="2273.9899999999998"/>
    <n v="3741.2"/>
    <n v="12925.220000000001"/>
    <n v="-1467.21"/>
  </r>
  <r>
    <x v="0"/>
    <x v="9"/>
    <x v="0"/>
    <s v="6070501"/>
    <n v="749530"/>
    <s v="Travel"/>
    <s v="Construction Mgmt"/>
    <x v="0"/>
    <m/>
    <n v="35"/>
    <n v="20"/>
    <n v="5"/>
    <n v="5"/>
    <n v="3004.95"/>
    <n v="4248.0600000000004"/>
    <n v="0"/>
    <n v="0"/>
    <n v="1597.04"/>
    <n v="1927.43"/>
    <n v="10"/>
    <n v="4148.51"/>
    <n v="15000.99"/>
    <n v="-4138.51"/>
  </r>
  <r>
    <x v="0"/>
    <x v="9"/>
    <x v="0"/>
    <s v="6070501"/>
    <n v="749530"/>
    <s v="Mileage"/>
    <s v="Construction Mgmt"/>
    <x v="0"/>
    <n v="1001"/>
    <n v="264.91000000000003"/>
    <n v="244.2"/>
    <n v="107.93"/>
    <n v="61.05"/>
    <n v="948.93"/>
    <n v="2661.44"/>
    <n v="0"/>
    <n v="49.88"/>
    <n v="2048.7600000000002"/>
    <n v="1897.76"/>
    <n v="103.82"/>
    <n v="3836.12"/>
    <n v="12224.8"/>
    <n v="-3732.2999999999997"/>
  </r>
  <r>
    <x v="0"/>
    <x v="9"/>
    <x v="0"/>
    <s v="6070501"/>
    <n v="749535"/>
    <s v="Meetings"/>
    <s v="Construction Mgmt"/>
    <x v="0"/>
    <m/>
    <n v="0"/>
    <n v="108.56"/>
    <n v="0"/>
    <n v="85"/>
    <n v="0"/>
    <n v="98.68"/>
    <n v="0"/>
    <n v="0"/>
    <n v="54.22"/>
    <n v="219.9"/>
    <n v="54.45"/>
    <n v="203.8"/>
    <n v="824.61000000000013"/>
    <n v="-149.35000000000002"/>
  </r>
  <r>
    <x v="11"/>
    <x v="6"/>
    <x v="0"/>
    <s v="6071107"/>
    <n v="721810"/>
    <s v="Supplies-Dietary/Cafeteria"/>
    <s v="Vision 2020-Capital"/>
    <x v="0"/>
    <m/>
    <n v="0"/>
    <n v="0"/>
    <n v="0"/>
    <n v="0"/>
    <n v="0"/>
    <n v="0"/>
    <n v="0"/>
    <n v="0"/>
    <n v="596.04999999999995"/>
    <n v="0"/>
    <n v="0"/>
    <n v="0"/>
    <n v="596.04999999999995"/>
    <n v="0"/>
  </r>
  <r>
    <x v="11"/>
    <x v="6"/>
    <x v="0"/>
    <s v="6071107"/>
    <n v="721980"/>
    <s v="Supplies-Other"/>
    <s v="Vision 2020-Capital"/>
    <x v="0"/>
    <m/>
    <n v="0"/>
    <n v="0"/>
    <n v="0"/>
    <n v="0"/>
    <n v="0"/>
    <n v="0"/>
    <n v="0"/>
    <n v="0"/>
    <n v="62.73"/>
    <n v="0"/>
    <n v="0"/>
    <n v="0"/>
    <n v="62.73"/>
    <n v="0"/>
  </r>
  <r>
    <x v="15"/>
    <x v="6"/>
    <x v="0"/>
    <s v="6071107"/>
    <n v="731065"/>
    <s v="Data Communications"/>
    <s v="Vision 2020-Capital"/>
    <x v="0"/>
    <m/>
    <n v="0"/>
    <n v="0"/>
    <n v="4.95"/>
    <n v="0"/>
    <n v="0"/>
    <n v="0"/>
    <n v="0"/>
    <n v="0"/>
    <n v="0"/>
    <n v="0"/>
    <n v="0"/>
    <n v="0"/>
    <n v="4.95"/>
    <n v="0"/>
  </r>
  <r>
    <x v="0"/>
    <x v="6"/>
    <x v="0"/>
    <s v="6071107"/>
    <n v="749510"/>
    <s v="Miscellaneous Expenses"/>
    <s v="Vision 2020-Capital"/>
    <x v="0"/>
    <m/>
    <n v="-688.04"/>
    <n v="248.72"/>
    <n v="-248.72"/>
    <n v="0"/>
    <n v="0"/>
    <n v="0"/>
    <n v="0"/>
    <n v="0"/>
    <n v="0"/>
    <n v="0"/>
    <n v="0"/>
    <n v="0"/>
    <n v="-688.04"/>
    <n v="0"/>
  </r>
  <r>
    <x v="0"/>
    <x v="6"/>
    <x v="0"/>
    <s v="6071107"/>
    <n v="749530"/>
    <s v="Travel"/>
    <s v="Vision 2020-Capital"/>
    <x v="0"/>
    <m/>
    <n v="0"/>
    <n v="0"/>
    <n v="6003.77"/>
    <n v="0"/>
    <n v="1287.5999999999999"/>
    <n v="0"/>
    <n v="0"/>
    <n v="0"/>
    <n v="0"/>
    <n v="0"/>
    <n v="0"/>
    <n v="0"/>
    <n v="7291.3700000000008"/>
    <n v="0"/>
  </r>
  <r>
    <x v="0"/>
    <x v="6"/>
    <x v="0"/>
    <s v="6071107"/>
    <n v="749535"/>
    <s v="Meetings"/>
    <s v="Vision 2020-Capital"/>
    <x v="0"/>
    <m/>
    <n v="0"/>
    <n v="0"/>
    <n v="0"/>
    <n v="0"/>
    <n v="0"/>
    <n v="0"/>
    <n v="0"/>
    <n v="0"/>
    <n v="100"/>
    <n v="0"/>
    <n v="0"/>
    <n v="0"/>
    <n v="100"/>
    <n v="0"/>
  </r>
  <r>
    <x v="14"/>
    <x v="0"/>
    <x v="0"/>
    <s v="6075102"/>
    <n v="600026"/>
    <s v="POB Rental"/>
    <s v="Devco-SFMOB Parking Lot"/>
    <x v="0"/>
    <n v="1001"/>
    <n v="-1651.95"/>
    <n v="-1651.95"/>
    <n v="-1651.95"/>
    <n v="-1651.95"/>
    <n v="-1651.95"/>
    <n v="-1651.95"/>
    <n v="-1651.95"/>
    <n v="-1651.95"/>
    <n v="-1651.95"/>
    <n v="-7548.01"/>
    <n v="-2163.38"/>
    <n v="-2163.38"/>
    <n v="-26742.320000000007"/>
    <n v="0"/>
  </r>
  <r>
    <x v="16"/>
    <x v="0"/>
    <x v="0"/>
    <s v="6075102"/>
    <n v="732030"/>
    <s v="Repairs---Other"/>
    <s v="Devco-SFMOB Parking Lot"/>
    <x v="0"/>
    <m/>
    <n v="39.86"/>
    <n v="0"/>
    <n v="0"/>
    <n v="13.21"/>
    <n v="0"/>
    <n v="0"/>
    <n v="0"/>
    <n v="101.43"/>
    <n v="0"/>
    <n v="0"/>
    <n v="0"/>
    <n v="0"/>
    <n v="154.5"/>
    <n v="0"/>
  </r>
  <r>
    <x v="16"/>
    <x v="0"/>
    <x v="0"/>
    <s v="6075102"/>
    <n v="733030"/>
    <s v="Maintenance Contract-HVAC"/>
    <s v="Devco-SFMOB Parking Lot"/>
    <x v="0"/>
    <n v="5102"/>
    <n v="0"/>
    <n v="0"/>
    <n v="0"/>
    <n v="0"/>
    <n v="0"/>
    <n v="0"/>
    <n v="0"/>
    <n v="0"/>
    <n v="0"/>
    <n v="807.81"/>
    <n v="0"/>
    <n v="0"/>
    <n v="807.81"/>
    <n v="0"/>
  </r>
  <r>
    <x v="16"/>
    <x v="0"/>
    <x v="0"/>
    <s v="6075102"/>
    <n v="733030"/>
    <s v="Maintenance Contract-Landscape General"/>
    <s v="Devco-SFMOB Parking Lot"/>
    <x v="0"/>
    <n v="5105"/>
    <n v="791.97"/>
    <n v="1742.45"/>
    <n v="2257.17"/>
    <n v="791.97"/>
    <n v="0"/>
    <n v="1583.94"/>
    <n v="791.97"/>
    <n v="1689.06"/>
    <n v="0"/>
    <n v="0"/>
    <n v="1615.62"/>
    <n v="807.81"/>
    <n v="12071.960000000001"/>
    <n v="807.81"/>
  </r>
  <r>
    <x v="16"/>
    <x v="0"/>
    <x v="0"/>
    <s v="6075102"/>
    <n v="733030"/>
    <s v="Maintenance Contract-Parking"/>
    <s v="Devco-SFMOB Parking Lot"/>
    <x v="0"/>
    <n v="5106"/>
    <n v="158.51"/>
    <n v="158.51"/>
    <n v="0"/>
    <n v="0"/>
    <n v="158.51"/>
    <n v="158.51"/>
    <n v="2247.86"/>
    <n v="1220.01"/>
    <n v="317.02"/>
    <n v="11284.9"/>
    <n v="18409.61"/>
    <n v="406.01"/>
    <n v="34519.450000000004"/>
    <n v="18003.600000000002"/>
  </r>
  <r>
    <x v="8"/>
    <x v="0"/>
    <x v="0"/>
    <s v="6075102"/>
    <n v="741010"/>
    <s v="Liability Insurance-CHI Programs"/>
    <s v="Devco-SFMOB Parking Lot"/>
    <x v="0"/>
    <m/>
    <n v="81.319999999999993"/>
    <n v="81.319999999999993"/>
    <n v="48.62"/>
    <n v="70.42"/>
    <n v="70.42"/>
    <n v="70.42"/>
    <n v="70.42"/>
    <n v="70.42"/>
    <n v="70.42"/>
    <n v="70.42"/>
    <n v="70.42"/>
    <n v="70.42"/>
    <n v="845.03999999999985"/>
    <n v="0"/>
  </r>
  <r>
    <x v="8"/>
    <x v="0"/>
    <x v="0"/>
    <s v="6075102"/>
    <n v="741030"/>
    <s v="Property Insurance-CHI Programs"/>
    <s v="Devco-SFMOB Parking Lot"/>
    <x v="0"/>
    <m/>
    <n v="130.30000000000001"/>
    <n v="130.30000000000001"/>
    <n v="119.58"/>
    <n v="126.73"/>
    <n v="126.73"/>
    <n v="126.73"/>
    <n v="126.73"/>
    <n v="126.73"/>
    <n v="126.73"/>
    <n v="126.73"/>
    <n v="126.73"/>
    <n v="126.73"/>
    <n v="1520.75"/>
    <n v="0"/>
  </r>
  <r>
    <x v="0"/>
    <x v="0"/>
    <x v="0"/>
    <s v="6075102"/>
    <n v="749510"/>
    <s v="Miscellaneous Expense"/>
    <s v="Devco-SFMOB Parking Lot"/>
    <x v="0"/>
    <n v="1009"/>
    <n v="0"/>
    <n v="0"/>
    <n v="0"/>
    <n v="0"/>
    <n v="0"/>
    <n v="0"/>
    <n v="0"/>
    <n v="85.94"/>
    <n v="51.19"/>
    <n v="0"/>
    <n v="0"/>
    <n v="0"/>
    <n v="137.13"/>
    <n v="0"/>
  </r>
  <r>
    <x v="24"/>
    <x v="0"/>
    <x v="0"/>
    <s v="6075102"/>
    <n v="760010"/>
    <s v="Interest Expense-CHI Debt Program-National Only"/>
    <s v="Devco-SFMOB Parking Lot"/>
    <x v="0"/>
    <m/>
    <n v="0"/>
    <n v="0"/>
    <n v="0"/>
    <n v="0"/>
    <n v="0"/>
    <n v="0"/>
    <n v="0"/>
    <n v="0"/>
    <n v="0"/>
    <n v="0"/>
    <n v="0"/>
    <n v="0"/>
    <n v="0"/>
    <n v="0"/>
  </r>
  <r>
    <x v="0"/>
    <x v="0"/>
    <x v="0"/>
    <s v="6075102"/>
    <n v="766010"/>
    <s v="Property Tax"/>
    <s v="Devco-SFMOB Parking Lot"/>
    <x v="0"/>
    <m/>
    <n v="1816.81"/>
    <n v="1816.81"/>
    <n v="248.23"/>
    <n v="-12003.2"/>
    <n v="945.37"/>
    <n v="945.37"/>
    <n v="1293.95"/>
    <n v="1293.95"/>
    <n v="1293.95"/>
    <n v="518.38"/>
    <n v="1100.05"/>
    <n v="1100.05"/>
    <n v="369.71999999999889"/>
    <n v="0"/>
  </r>
  <r>
    <x v="16"/>
    <x v="4"/>
    <x v="0"/>
    <s v="6075103"/>
    <n v="732030"/>
    <s v="Repairs---Other"/>
    <s v="St. Clare MP Parking Lot"/>
    <x v="0"/>
    <m/>
    <n v="0"/>
    <n v="202.33"/>
    <n v="0"/>
    <n v="0"/>
    <n v="0"/>
    <n v="0"/>
    <n v="0"/>
    <n v="0"/>
    <n v="0"/>
    <n v="0"/>
    <n v="0"/>
    <n v="0"/>
    <n v="202.33"/>
    <n v="0"/>
  </r>
  <r>
    <x v="16"/>
    <x v="4"/>
    <x v="0"/>
    <s v="6075103"/>
    <n v="732030"/>
    <s v="Repairs&amp;Maintenance-Plumbing"/>
    <s v="St. Clare MP Parking Lot"/>
    <x v="0"/>
    <n v="5103"/>
    <n v="0"/>
    <n v="0"/>
    <n v="0"/>
    <n v="1990.54"/>
    <n v="0"/>
    <n v="0"/>
    <n v="0"/>
    <n v="0"/>
    <n v="0"/>
    <n v="0"/>
    <n v="0"/>
    <n v="0"/>
    <n v="1990.54"/>
    <n v="0"/>
  </r>
  <r>
    <x v="16"/>
    <x v="4"/>
    <x v="0"/>
    <s v="6075103"/>
    <n v="733030"/>
    <s v="Maintenance Contract-Landscape(Exterior)"/>
    <s v="St. Clare MP Parking Lot"/>
    <x v="0"/>
    <n v="5104"/>
    <n v="0"/>
    <n v="0"/>
    <n v="758.23"/>
    <n v="0"/>
    <n v="0"/>
    <n v="0"/>
    <n v="0"/>
    <n v="0"/>
    <n v="0"/>
    <n v="0"/>
    <n v="0"/>
    <n v="0"/>
    <n v="758.23"/>
    <n v="0"/>
  </r>
  <r>
    <x v="16"/>
    <x v="4"/>
    <x v="0"/>
    <s v="6075103"/>
    <n v="733030"/>
    <s v="Maintenance Contract-Landscape General"/>
    <s v="St. Clare MP Parking Lot"/>
    <x v="0"/>
    <n v="5105"/>
    <n v="693.27"/>
    <n v="2777.56"/>
    <n v="2310.88"/>
    <n v="1155.44"/>
    <n v="0"/>
    <n v="2310.88"/>
    <n v="1155.44"/>
    <n v="1178.56"/>
    <n v="0"/>
    <n v="1178.56"/>
    <n v="2357.12"/>
    <n v="1178.56"/>
    <n v="16296.269999999999"/>
    <n v="1178.56"/>
  </r>
  <r>
    <x v="16"/>
    <x v="4"/>
    <x v="0"/>
    <s v="6075103"/>
    <n v="733030"/>
    <s v="Maintenance Contract-Parking"/>
    <s v="St. Clare MP Parking Lot"/>
    <x v="0"/>
    <n v="5106"/>
    <n v="0"/>
    <n v="0"/>
    <n v="0"/>
    <n v="0"/>
    <n v="0"/>
    <n v="0"/>
    <n v="0"/>
    <n v="1020.4"/>
    <n v="526.35"/>
    <n v="2315.59"/>
    <n v="14752.34"/>
    <n v="3735.97"/>
    <n v="22350.65"/>
    <n v="11016.37"/>
  </r>
  <r>
    <x v="8"/>
    <x v="4"/>
    <x v="0"/>
    <s v="6075103"/>
    <n v="741010"/>
    <s v="Liability Insurance-CHI Programs"/>
    <s v="St. Clare MP Parking Lot"/>
    <x v="0"/>
    <m/>
    <n v="64.52"/>
    <n v="64.52"/>
    <n v="37.69"/>
    <n v="55.58"/>
    <n v="55.58"/>
    <n v="55.58"/>
    <n v="55.58"/>
    <n v="55.58"/>
    <n v="55.58"/>
    <n v="55.58"/>
    <n v="55.58"/>
    <n v="55.58"/>
    <n v="666.95"/>
    <n v="0"/>
  </r>
  <r>
    <x v="8"/>
    <x v="4"/>
    <x v="0"/>
    <s v="6075103"/>
    <n v="741030"/>
    <s v="Property Insurance-CHI Programs"/>
    <s v="St. Clare MP Parking Lot"/>
    <x v="0"/>
    <m/>
    <n v="149.84"/>
    <n v="149.84"/>
    <n v="120.4"/>
    <n v="140.03"/>
    <n v="140.03"/>
    <n v="140.03"/>
    <n v="140.03"/>
    <n v="140.03"/>
    <n v="140.03"/>
    <n v="140.03"/>
    <n v="140.03"/>
    <n v="140.03"/>
    <n v="1680.35"/>
    <n v="0"/>
  </r>
  <r>
    <x v="0"/>
    <x v="4"/>
    <x v="0"/>
    <s v="6075103"/>
    <n v="749510"/>
    <s v="Miscellaneous Expense"/>
    <s v="St. Clare MP Parking Lot"/>
    <x v="0"/>
    <n v="1009"/>
    <n v="0"/>
    <n v="-19729.09"/>
    <n v="0"/>
    <n v="0"/>
    <n v="0"/>
    <n v="0"/>
    <n v="0"/>
    <n v="0"/>
    <n v="102.4"/>
    <n v="0"/>
    <n v="0"/>
    <n v="0"/>
    <n v="-19626.689999999999"/>
    <n v="0"/>
  </r>
  <r>
    <x v="0"/>
    <x v="4"/>
    <x v="0"/>
    <s v="6075103"/>
    <n v="766010"/>
    <s v="Property Tax"/>
    <s v="St. Clare MP Parking Lot"/>
    <x v="0"/>
    <m/>
    <n v="544.74"/>
    <n v="544.74"/>
    <n v="544.74"/>
    <n v="544.75"/>
    <n v="544.74"/>
    <n v="544.74"/>
    <n v="544.74"/>
    <n v="544.74"/>
    <n v="544.74"/>
    <n v="1631.98"/>
    <n v="816.54"/>
    <n v="816.54"/>
    <n v="8167.73"/>
    <n v="0"/>
  </r>
  <r>
    <x v="7"/>
    <x v="13"/>
    <x v="0"/>
    <s v="6075500"/>
    <n v="718050"/>
    <s v="Security"/>
    <s v="Devco-PMC Parking Lot"/>
    <x v="0"/>
    <n v="1019"/>
    <n v="376"/>
    <n v="0"/>
    <n v="752"/>
    <n v="376"/>
    <n v="0"/>
    <n v="752"/>
    <n v="-752"/>
    <n v="1128"/>
    <n v="752"/>
    <n v="376"/>
    <n v="1128"/>
    <n v="0"/>
    <n v="4888"/>
    <n v="1128"/>
  </r>
  <r>
    <x v="15"/>
    <x v="13"/>
    <x v="0"/>
    <s v="6075500"/>
    <n v="731020"/>
    <s v="Electricity"/>
    <s v="Devco-PMC Parking Lot"/>
    <x v="0"/>
    <m/>
    <n v="765.74"/>
    <n v="843.91"/>
    <n v="802.89"/>
    <n v="835.28"/>
    <n v="994.4"/>
    <n v="1242.07"/>
    <n v="983.63"/>
    <n v="976.58"/>
    <n v="891.59"/>
    <n v="576.79999999999995"/>
    <n v="637.86"/>
    <n v="459.99"/>
    <n v="10010.739999999998"/>
    <n v="177.87"/>
  </r>
  <r>
    <x v="15"/>
    <x v="13"/>
    <x v="0"/>
    <s v="6075500"/>
    <n v="731030"/>
    <s v="Water"/>
    <s v="Devco-PMC Parking Lot"/>
    <x v="0"/>
    <m/>
    <n v="749.24"/>
    <n v="0"/>
    <n v="733.56"/>
    <n v="0"/>
    <n v="460.68"/>
    <n v="0"/>
    <n v="232.48"/>
    <n v="0"/>
    <n v="176.4"/>
    <n v="0"/>
    <n v="658.36"/>
    <n v="0"/>
    <n v="3010.7200000000003"/>
    <n v="658.36"/>
  </r>
  <r>
    <x v="15"/>
    <x v="13"/>
    <x v="0"/>
    <s v="6075500"/>
    <n v="731040"/>
    <s v="Sewer"/>
    <s v="Devco-PMC Parking Lot"/>
    <x v="0"/>
    <m/>
    <n v="510.73"/>
    <n v="510.73"/>
    <n v="510.73"/>
    <n v="510.73"/>
    <n v="510.73"/>
    <n v="510.73"/>
    <n v="514.32000000000005"/>
    <n v="527.69000000000005"/>
    <n v="527.69000000000005"/>
    <n v="527.69000000000005"/>
    <n v="527.69000000000005"/>
    <n v="527.69000000000005"/>
    <n v="6217.1500000000015"/>
    <n v="0"/>
  </r>
  <r>
    <x v="16"/>
    <x v="13"/>
    <x v="0"/>
    <s v="6075500"/>
    <n v="733030"/>
    <s v="Maintenance Contract-Parking"/>
    <s v="Devco-PMC Parking Lot"/>
    <x v="0"/>
    <n v="5106"/>
    <n v="0"/>
    <n v="0"/>
    <n v="0"/>
    <n v="0"/>
    <n v="0"/>
    <n v="158.51"/>
    <n v="0"/>
    <n v="0"/>
    <n v="0"/>
    <n v="0"/>
    <n v="0"/>
    <n v="0"/>
    <n v="158.51"/>
    <n v="0"/>
  </r>
  <r>
    <x v="8"/>
    <x v="13"/>
    <x v="0"/>
    <s v="6075500"/>
    <n v="741010"/>
    <s v="Liability Insurance-CHI Programs"/>
    <s v="Devco-PMC Parking Lot"/>
    <x v="0"/>
    <m/>
    <n v="88.46"/>
    <n v="88.46"/>
    <n v="-24.34"/>
    <n v="50.86"/>
    <n v="50.86"/>
    <n v="50.86"/>
    <n v="50.86"/>
    <n v="50.86"/>
    <n v="50.86"/>
    <n v="50.86"/>
    <n v="50.86"/>
    <n v="50.86"/>
    <n v="610.32000000000005"/>
    <n v="0"/>
  </r>
  <r>
    <x v="8"/>
    <x v="13"/>
    <x v="0"/>
    <s v="6075500"/>
    <n v="741030"/>
    <s v="Property Insurance-CHI Programs"/>
    <s v="Devco-PMC Parking Lot"/>
    <x v="0"/>
    <m/>
    <n v="64.7"/>
    <n v="64.7"/>
    <n v="-20.52"/>
    <n v="36.29"/>
    <n v="36.29"/>
    <n v="36.29"/>
    <n v="36.29"/>
    <n v="36.29"/>
    <n v="36.29"/>
    <n v="36.29"/>
    <n v="36.29"/>
    <n v="36.29"/>
    <n v="435.49000000000007"/>
    <n v="0"/>
  </r>
  <r>
    <x v="0"/>
    <x v="13"/>
    <x v="0"/>
    <s v="6075500"/>
    <n v="749510"/>
    <s v="Miscellaneous Expense"/>
    <s v="Devco-PMC Parking Lot"/>
    <x v="0"/>
    <n v="1009"/>
    <n v="0"/>
    <n v="0"/>
    <n v="0"/>
    <n v="0"/>
    <n v="0"/>
    <n v="228"/>
    <n v="0"/>
    <n v="0"/>
    <n v="0"/>
    <n v="0"/>
    <n v="0"/>
    <n v="0"/>
    <n v="228"/>
    <n v="0"/>
  </r>
  <r>
    <x v="0"/>
    <x v="13"/>
    <x v="0"/>
    <s v="6075500"/>
    <n v="749510"/>
    <s v="Monitoring - Security"/>
    <s v="Devco-PMC Parking Lot"/>
    <x v="0"/>
    <n v="5103"/>
    <n v="0"/>
    <n v="0"/>
    <n v="0"/>
    <n v="0"/>
    <n v="0"/>
    <n v="0"/>
    <n v="0"/>
    <n v="0"/>
    <n v="0"/>
    <n v="0"/>
    <n v="0"/>
    <n v="0"/>
    <n v="0"/>
    <n v="0"/>
  </r>
  <r>
    <x v="0"/>
    <x v="13"/>
    <x v="0"/>
    <s v="6075500"/>
    <n v="766010"/>
    <s v="Property Tax"/>
    <s v="Devco-PMC Parking Lot"/>
    <x v="0"/>
    <m/>
    <n v="99.81"/>
    <n v="99.81"/>
    <n v="99.81"/>
    <n v="99.81"/>
    <n v="99.81"/>
    <n v="99.81"/>
    <n v="99.81"/>
    <n v="99.81"/>
    <n v="99.81"/>
    <n v="75.28"/>
    <n v="93.69"/>
    <n v="93.69"/>
    <n v="1160.95"/>
    <n v="0"/>
  </r>
  <r>
    <x v="7"/>
    <x v="9"/>
    <x v="0"/>
    <s v="6076501"/>
    <n v="718050"/>
    <s v="Miscellaneous Purchased Svcs"/>
    <s v="Parking"/>
    <x v="0"/>
    <n v="1020"/>
    <n v="80153.03"/>
    <n v="90465.01"/>
    <n v="92630.41"/>
    <n v="98797.42"/>
    <n v="88896.78"/>
    <n v="86772.38"/>
    <n v="90217.35"/>
    <n v="99122.51"/>
    <n v="89935.89"/>
    <n v="87349.47"/>
    <n v="49265.59"/>
    <n v="94231.77"/>
    <n v="1047837.6099999999"/>
    <n v="-44966.180000000008"/>
  </r>
  <r>
    <x v="11"/>
    <x v="9"/>
    <x v="0"/>
    <s v="6076501"/>
    <n v="721830"/>
    <s v="Supplies-Office"/>
    <s v="Parking"/>
    <x v="0"/>
    <m/>
    <n v="74.66"/>
    <n v="0"/>
    <n v="14.39"/>
    <n v="31.49"/>
    <n v="0"/>
    <n v="62.77"/>
    <n v="323.89"/>
    <n v="0"/>
    <n v="204.76"/>
    <n v="0"/>
    <n v="0"/>
    <n v="0"/>
    <n v="711.96"/>
    <n v="0"/>
  </r>
  <r>
    <x v="11"/>
    <x v="9"/>
    <x v="0"/>
    <s v="6076501"/>
    <n v="721980"/>
    <s v="Supplies-Other"/>
    <s v="Parking"/>
    <x v="0"/>
    <m/>
    <n v="0"/>
    <n v="0"/>
    <n v="0"/>
    <n v="0"/>
    <n v="0"/>
    <n v="0"/>
    <n v="0"/>
    <n v="0"/>
    <n v="1948.77"/>
    <n v="0"/>
    <n v="0"/>
    <n v="0"/>
    <n v="1948.77"/>
    <n v="0"/>
  </r>
  <r>
    <x v="16"/>
    <x v="9"/>
    <x v="0"/>
    <s v="6076501"/>
    <n v="732030"/>
    <s v="Repairs---Other"/>
    <s v="Parking"/>
    <x v="0"/>
    <m/>
    <n v="0"/>
    <n v="0"/>
    <n v="0"/>
    <n v="0"/>
    <n v="0"/>
    <n v="0"/>
    <n v="0"/>
    <n v="0"/>
    <n v="0"/>
    <n v="0"/>
    <n v="0"/>
    <n v="33.75"/>
    <n v="33.75"/>
    <n v="-33.75"/>
  </r>
  <r>
    <x v="0"/>
    <x v="9"/>
    <x v="0"/>
    <s v="6076501"/>
    <n v="749510"/>
    <s v="Miscellaneous Expenses"/>
    <s v="Parking"/>
    <x v="0"/>
    <m/>
    <n v="165.15"/>
    <n v="0"/>
    <n v="0"/>
    <n v="0"/>
    <n v="0"/>
    <n v="0"/>
    <n v="0"/>
    <n v="-1"/>
    <n v="0"/>
    <n v="-1070"/>
    <n v="0"/>
    <n v="0"/>
    <n v="-905.85"/>
    <n v="0"/>
  </r>
  <r>
    <x v="21"/>
    <x v="3"/>
    <x v="0"/>
    <s v="6077101"/>
    <n v="716046"/>
    <s v="Consulting-Other"/>
    <s v="SJMOB Garage"/>
    <x v="0"/>
    <m/>
    <n v="0"/>
    <n v="0"/>
    <n v="0"/>
    <n v="0"/>
    <n v="0"/>
    <n v="-1461.28"/>
    <n v="0"/>
    <n v="0"/>
    <n v="0"/>
    <n v="0"/>
    <n v="0"/>
    <n v="0"/>
    <n v="-1461.28"/>
    <n v="0"/>
  </r>
  <r>
    <x v="7"/>
    <x v="3"/>
    <x v="0"/>
    <s v="6077101"/>
    <n v="718050"/>
    <s v="Contract Svcs-Other"/>
    <s v="SJMOB Garage"/>
    <x v="0"/>
    <m/>
    <n v="0"/>
    <n v="0"/>
    <n v="0"/>
    <n v="0"/>
    <n v="0"/>
    <n v="0"/>
    <n v="0"/>
    <n v="0"/>
    <n v="0"/>
    <n v="0"/>
    <n v="0"/>
    <n v="4502"/>
    <n v="4502"/>
    <n v="-4502"/>
  </r>
  <r>
    <x v="7"/>
    <x v="3"/>
    <x v="0"/>
    <s v="6077101"/>
    <n v="718050"/>
    <s v="Cleaning Services"/>
    <s v="SJMOB Garage"/>
    <x v="0"/>
    <n v="1011"/>
    <n v="0"/>
    <n v="1996"/>
    <n v="0"/>
    <n v="1996"/>
    <n v="1996"/>
    <n v="0"/>
    <n v="3130.03"/>
    <n v="1996"/>
    <n v="1996"/>
    <n v="1996"/>
    <n v="1996"/>
    <n v="861.97"/>
    <n v="17964"/>
    <n v="1134.03"/>
  </r>
  <r>
    <x v="7"/>
    <x v="3"/>
    <x v="0"/>
    <s v="6077101"/>
    <n v="718050"/>
    <s v="Security"/>
    <s v="SJMOB Garage"/>
    <x v="0"/>
    <n v="1019"/>
    <n v="4700.4399999999996"/>
    <n v="2615.7800000000002"/>
    <n v="6848.32"/>
    <n v="4881.1000000000004"/>
    <n v="2531.4"/>
    <n v="4739.33"/>
    <n v="2615.7800000000002"/>
    <n v="6551.93"/>
    <n v="2615.7800000000002"/>
    <n v="2531.4"/>
    <n v="6050.56"/>
    <n v="4997.3500000000004"/>
    <n v="51679.17"/>
    <n v="1053.21"/>
  </r>
  <r>
    <x v="7"/>
    <x v="3"/>
    <x v="0"/>
    <s v="6077101"/>
    <n v="718050"/>
    <s v="Purchased Srvcs-Environmental Remediation"/>
    <s v="SJMOB Garage"/>
    <x v="0"/>
    <n v="1028"/>
    <n v="0"/>
    <n v="0"/>
    <n v="0"/>
    <n v="0"/>
    <n v="0"/>
    <n v="0"/>
    <n v="0"/>
    <n v="46.59"/>
    <n v="0"/>
    <n v="0"/>
    <n v="0"/>
    <n v="0"/>
    <n v="46.59"/>
    <n v="0"/>
  </r>
  <r>
    <x v="7"/>
    <x v="3"/>
    <x v="0"/>
    <s v="6077101"/>
    <n v="718050"/>
    <s v="Purchased Service-Fire/Life Safety Test"/>
    <s v="SJMOB Garage"/>
    <x v="0"/>
    <n v="5101"/>
    <n v="0"/>
    <n v="0"/>
    <n v="0"/>
    <n v="0"/>
    <n v="0"/>
    <n v="0"/>
    <n v="316.35000000000002"/>
    <n v="0"/>
    <n v="0"/>
    <n v="0"/>
    <n v="697.98"/>
    <n v="0"/>
    <n v="1014.33"/>
    <n v="697.98"/>
  </r>
  <r>
    <x v="11"/>
    <x v="3"/>
    <x v="0"/>
    <s v="6077101"/>
    <n v="721980"/>
    <s v="Supplies-Other"/>
    <s v="SJMOB Garage"/>
    <x v="0"/>
    <m/>
    <n v="0"/>
    <n v="0"/>
    <n v="0"/>
    <n v="0"/>
    <n v="0"/>
    <n v="0"/>
    <n v="0"/>
    <n v="0"/>
    <n v="0"/>
    <n v="0"/>
    <n v="0"/>
    <n v="33.75"/>
    <n v="33.75"/>
    <n v="-33.75"/>
  </r>
  <r>
    <x v="12"/>
    <x v="3"/>
    <x v="0"/>
    <s v="6077101"/>
    <n v="730010"/>
    <s v="Rental and Leases-Building (DO NOT USE)"/>
    <s v="SJMOB Garage"/>
    <x v="0"/>
    <m/>
    <n v="204707.35"/>
    <n v="204707.35"/>
    <n v="204707.35"/>
    <n v="204707.35"/>
    <n v="204707.35"/>
    <n v="17157.91"/>
    <n v="176601.74"/>
    <n v="173449.1"/>
    <n v="173449.1"/>
    <n v="173449.1"/>
    <n v="173449.1"/>
    <n v="12664.73"/>
    <n v="1923757.5300000003"/>
    <n v="160784.37"/>
  </r>
  <r>
    <x v="12"/>
    <x v="3"/>
    <x v="0"/>
    <s v="6077101"/>
    <n v="730010"/>
    <s v="Rental-Common Area Maint (DO NOT USE)"/>
    <s v="SJMOB Garage"/>
    <x v="0"/>
    <n v="2200"/>
    <n v="0"/>
    <n v="0"/>
    <n v="0"/>
    <n v="0"/>
    <n v="0"/>
    <n v="187619.33"/>
    <n v="31328.13"/>
    <n v="31328.13"/>
    <n v="19300.95"/>
    <n v="31328.13"/>
    <n v="31328.13"/>
    <n v="0"/>
    <n v="332232.8"/>
    <n v="31328.13"/>
  </r>
  <r>
    <x v="12"/>
    <x v="3"/>
    <x v="0"/>
    <s v="6077101"/>
    <n v="730040"/>
    <s v="LT Lease-Real Estate"/>
    <s v="SJMOB Garage"/>
    <x v="0"/>
    <m/>
    <n v="0"/>
    <n v="0"/>
    <n v="0"/>
    <n v="0"/>
    <n v="0"/>
    <n v="0"/>
    <n v="0"/>
    <n v="0"/>
    <n v="0"/>
    <n v="0"/>
    <n v="0"/>
    <n v="192112.5"/>
    <n v="192112.5"/>
    <n v="-192112.5"/>
  </r>
  <r>
    <x v="15"/>
    <x v="3"/>
    <x v="0"/>
    <s v="6077101"/>
    <n v="731020"/>
    <s v="Electricity"/>
    <s v="SJMOB Garage"/>
    <x v="0"/>
    <m/>
    <n v="1583.36"/>
    <n v="1671.45"/>
    <n v="1502.82"/>
    <n v="1932.26"/>
    <n v="2097.15"/>
    <n v="2637.24"/>
    <n v="2658.47"/>
    <n v="2316.3200000000002"/>
    <n v="2376.19"/>
    <n v="2107.59"/>
    <n v="2152.19"/>
    <n v="1722.43"/>
    <n v="24757.469999999998"/>
    <n v="429.76"/>
  </r>
  <r>
    <x v="15"/>
    <x v="3"/>
    <x v="0"/>
    <s v="6077101"/>
    <n v="731030"/>
    <s v="Water"/>
    <s v="SJMOB Garage"/>
    <x v="0"/>
    <m/>
    <n v="256.52999999999997"/>
    <n v="256.10000000000002"/>
    <n v="255.68"/>
    <n v="255.68"/>
    <n v="256.10000000000002"/>
    <n v="255.89"/>
    <n v="257.44"/>
    <n v="263.64"/>
    <n v="263.86"/>
    <n v="263.86"/>
    <n v="263.86"/>
    <n v="263.41000000000003"/>
    <n v="3112.05"/>
    <n v="0.44999999999998863"/>
  </r>
  <r>
    <x v="15"/>
    <x v="3"/>
    <x v="0"/>
    <s v="6077101"/>
    <n v="731040"/>
    <s v="Sewer"/>
    <s v="SJMOB Garage"/>
    <x v="0"/>
    <m/>
    <n v="24.96"/>
    <n v="24.96"/>
    <n v="24.96"/>
    <n v="24.96"/>
    <n v="24.96"/>
    <n v="24.96"/>
    <n v="25.16"/>
    <n v="25.87"/>
    <n v="25.87"/>
    <n v="25.87"/>
    <n v="25.87"/>
    <n v="25.87"/>
    <n v="304.27000000000004"/>
    <n v="0"/>
  </r>
  <r>
    <x v="16"/>
    <x v="3"/>
    <x v="0"/>
    <s v="6077101"/>
    <n v="732030"/>
    <s v="Repairs&amp;Maintenance-Electrical"/>
    <s v="SJMOB Garage"/>
    <x v="0"/>
    <n v="5100"/>
    <n v="0"/>
    <n v="0"/>
    <n v="0"/>
    <n v="0"/>
    <n v="0"/>
    <n v="0"/>
    <n v="0"/>
    <n v="687.97"/>
    <n v="0"/>
    <n v="0"/>
    <n v="0"/>
    <n v="107.15"/>
    <n v="795.12"/>
    <n v="-107.15"/>
  </r>
  <r>
    <x v="16"/>
    <x v="3"/>
    <x v="0"/>
    <s v="6077101"/>
    <n v="732030"/>
    <s v="Repairs&amp;Maintenance-Elevator"/>
    <s v="SJMOB Garage"/>
    <x v="0"/>
    <n v="5101"/>
    <n v="0"/>
    <n v="0"/>
    <n v="0"/>
    <n v="0"/>
    <n v="0"/>
    <n v="0"/>
    <n v="5370.82"/>
    <n v="0"/>
    <n v="0"/>
    <n v="0"/>
    <n v="0"/>
    <n v="-5370.82"/>
    <n v="0"/>
    <n v="5370.82"/>
  </r>
  <r>
    <x v="13"/>
    <x v="3"/>
    <x v="0"/>
    <s v="6077101"/>
    <n v="735050"/>
    <s v="Amortization-Leasehold Improvements"/>
    <s v="SJMOB Garage"/>
    <x v="0"/>
    <m/>
    <n v="67309.279999999999"/>
    <n v="67309.27"/>
    <n v="67309.279999999999"/>
    <n v="67309.27"/>
    <n v="67309.279999999999"/>
    <n v="67309.27"/>
    <n v="67309.279999999999"/>
    <n v="67309.27"/>
    <n v="67309.289999999994"/>
    <n v="67309.27"/>
    <n v="67309.3"/>
    <n v="67309.27"/>
    <n v="807711.33000000019"/>
    <n v="2.9999999998835847E-2"/>
  </r>
  <r>
    <x v="0"/>
    <x v="3"/>
    <x v="0"/>
    <s v="6077101"/>
    <n v="749510"/>
    <s v="Miscellaneous Expense"/>
    <s v="SJMOB Garage"/>
    <x v="0"/>
    <n v="1009"/>
    <n v="2247"/>
    <n v="226.95"/>
    <n v="0"/>
    <n v="902"/>
    <n v="0"/>
    <n v="0"/>
    <n v="0"/>
    <n v="14.05"/>
    <n v="0"/>
    <n v="46.16"/>
    <n v="0"/>
    <n v="0"/>
    <n v="3436.16"/>
    <n v="0"/>
  </r>
  <r>
    <x v="12"/>
    <x v="5"/>
    <x v="0"/>
    <s v="6080106"/>
    <n v="730020"/>
    <s v="Rental and Leases-Copier Usage Fees (DO NOT USE)"/>
    <s v="Security"/>
    <x v="0"/>
    <n v="5100"/>
    <n v="0"/>
    <n v="0"/>
    <n v="0"/>
    <n v="0"/>
    <n v="0"/>
    <n v="0"/>
    <n v="0"/>
    <n v="0"/>
    <n v="0"/>
    <n v="0"/>
    <n v="0"/>
    <n v="0"/>
    <n v="0"/>
    <n v="0"/>
  </r>
  <r>
    <x v="16"/>
    <x v="5"/>
    <x v="0"/>
    <s v="6080106"/>
    <n v="732030"/>
    <s v="Repairs---Other"/>
    <s v="Security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6080107"/>
    <n v="721410"/>
    <s v="Supplies-Medical - Nonbillable"/>
    <s v="Security"/>
    <x v="0"/>
    <m/>
    <n v="6.85"/>
    <n v="364.32"/>
    <n v="14.86"/>
    <n v="741.2"/>
    <n v="-1127.23"/>
    <n v="0"/>
    <n v="0"/>
    <n v="0"/>
    <n v="0"/>
    <n v="0"/>
    <n v="0"/>
    <n v="0"/>
    <n v="0"/>
    <n v="0"/>
  </r>
  <r>
    <x v="11"/>
    <x v="6"/>
    <x v="0"/>
    <s v="6080107"/>
    <n v="721830"/>
    <s v="Supplies-Office"/>
    <s v="Security"/>
    <x v="0"/>
    <m/>
    <n v="8.14"/>
    <n v="661.84"/>
    <n v="21.55"/>
    <n v="0"/>
    <n v="-691.53"/>
    <n v="0"/>
    <n v="0"/>
    <n v="0"/>
    <n v="0"/>
    <n v="0"/>
    <n v="0"/>
    <n v="0"/>
    <n v="0"/>
    <n v="0"/>
  </r>
  <r>
    <x v="11"/>
    <x v="6"/>
    <x v="0"/>
    <s v="6080107"/>
    <n v="721870"/>
    <s v="Supplies-Environmental Services"/>
    <s v="Security"/>
    <x v="0"/>
    <m/>
    <n v="22.74"/>
    <n v="0"/>
    <n v="89.35"/>
    <n v="37.68"/>
    <n v="-149.77000000000001"/>
    <n v="0"/>
    <n v="0"/>
    <n v="0"/>
    <n v="0"/>
    <n v="0"/>
    <n v="0"/>
    <n v="0"/>
    <n v="-2.8421709430404007E-14"/>
    <n v="0"/>
  </r>
  <r>
    <x v="11"/>
    <x v="6"/>
    <x v="0"/>
    <s v="6080107"/>
    <n v="722000"/>
    <s v="Supplies-Freight Expense"/>
    <s v="Security"/>
    <x v="0"/>
    <m/>
    <n v="0"/>
    <n v="13.75"/>
    <n v="0"/>
    <n v="0"/>
    <n v="-13.75"/>
    <n v="0"/>
    <n v="0"/>
    <n v="0"/>
    <n v="0"/>
    <n v="0"/>
    <n v="0"/>
    <n v="0"/>
    <n v="0"/>
    <n v="0"/>
  </r>
  <r>
    <x v="15"/>
    <x v="6"/>
    <x v="0"/>
    <s v="6080107"/>
    <n v="731060"/>
    <s v="Telephone"/>
    <s v="Security"/>
    <x v="0"/>
    <m/>
    <n v="278.61"/>
    <n v="278.61"/>
    <n v="271.61"/>
    <n v="278.61"/>
    <n v="-972.45"/>
    <n v="0"/>
    <n v="0"/>
    <n v="0"/>
    <n v="0"/>
    <n v="0"/>
    <n v="0"/>
    <n v="0"/>
    <n v="134.99"/>
    <n v="0"/>
  </r>
  <r>
    <x v="15"/>
    <x v="6"/>
    <x v="0"/>
    <s v="6080107"/>
    <n v="731060"/>
    <s v="Pagers"/>
    <s v="Security"/>
    <x v="0"/>
    <n v="1002"/>
    <n v="8.1"/>
    <n v="8.1"/>
    <n v="8.1"/>
    <n v="8.1199999999999992"/>
    <n v="-32.42"/>
    <n v="0"/>
    <n v="0"/>
    <n v="0"/>
    <n v="0"/>
    <n v="0"/>
    <n v="0"/>
    <n v="0"/>
    <n v="-7.1054273576010019E-15"/>
    <n v="0"/>
  </r>
  <r>
    <x v="14"/>
    <x v="9"/>
    <x v="0"/>
    <s v="6080501"/>
    <n v="600030"/>
    <s v="Services Sold-Non-Taxable"/>
    <s v="Security"/>
    <x v="0"/>
    <m/>
    <n v="-800"/>
    <n v="200"/>
    <n v="-800"/>
    <n v="-800"/>
    <n v="-800"/>
    <n v="-800"/>
    <n v="-800"/>
    <n v="-800"/>
    <n v="-800"/>
    <n v="-800"/>
    <n v="-6292.85"/>
    <n v="-6115.67"/>
    <n v="-19408.52"/>
    <n v="-177.18000000000029"/>
  </r>
  <r>
    <x v="14"/>
    <x v="9"/>
    <x v="0"/>
    <s v="6080501"/>
    <n v="600050"/>
    <s v="Miscellaneous Revenue"/>
    <s v="Security"/>
    <x v="0"/>
    <m/>
    <n v="-9765.31"/>
    <n v="-12310.31"/>
    <n v="-9650.2999999999993"/>
    <n v="-10357.16"/>
    <n v="-10870.3"/>
    <n v="-10085.31"/>
    <n v="-9765.31"/>
    <n v="-9340.2800000000007"/>
    <n v="-11190.11"/>
    <n v="-63537.4"/>
    <n v="-10960.31"/>
    <n v="-9856.2999999999993"/>
    <n v="-177688.4"/>
    <n v="-1104.0100000000002"/>
  </r>
  <r>
    <x v="5"/>
    <x v="9"/>
    <x v="0"/>
    <s v="6080501"/>
    <n v="700018"/>
    <s v="Salaries-Supervisory-Productive"/>
    <s v="Security"/>
    <x v="0"/>
    <m/>
    <n v="25111.360000000001"/>
    <n v="24116.240000000002"/>
    <n v="29940.799999999999"/>
    <n v="29634.12"/>
    <n v="32968.25"/>
    <n v="23083.27"/>
    <n v="32172.52"/>
    <n v="29424.53"/>
    <n v="26764.77"/>
    <n v="33799.410000000003"/>
    <n v="28808.53"/>
    <n v="31843.919999999998"/>
    <n v="347667.72000000003"/>
    <n v="-3035.3899999999994"/>
  </r>
  <r>
    <x v="5"/>
    <x v="9"/>
    <x v="0"/>
    <s v="6080501"/>
    <n v="700018"/>
    <s v="Salaries-Supervisory-Other"/>
    <s v="Security"/>
    <x v="0"/>
    <n v="2000"/>
    <n v="996.39"/>
    <n v="996.43"/>
    <n v="964.31"/>
    <n v="996.43"/>
    <n v="964.26"/>
    <n v="996.44"/>
    <n v="997.98"/>
    <n v="901.32"/>
    <n v="997.9"/>
    <n v="965.68"/>
    <n v="997.89"/>
    <n v="995.76"/>
    <n v="11770.789999999999"/>
    <n v="2.1299999999999955"/>
  </r>
  <r>
    <x v="5"/>
    <x v="9"/>
    <x v="0"/>
    <s v="6080501"/>
    <n v="700034"/>
    <s v="Salaries-Tech/Professional-Productive"/>
    <s v="Security"/>
    <x v="0"/>
    <m/>
    <n v="6068.82"/>
    <n v="6362.74"/>
    <n v="4802.34"/>
    <n v="5685.8"/>
    <n v="5167.49"/>
    <n v="4221.2"/>
    <n v="4857.4799999999996"/>
    <n v="4339.62"/>
    <n v="5238.96"/>
    <n v="3852.43"/>
    <n v="4316.41"/>
    <n v="5483.69"/>
    <n v="60396.98000000001"/>
    <n v="-1167.2799999999997"/>
  </r>
  <r>
    <x v="5"/>
    <x v="9"/>
    <x v="0"/>
    <s v="6080501"/>
    <n v="700034"/>
    <s v="Salaries-Tech/Professional-OT"/>
    <s v="Security"/>
    <x v="0"/>
    <n v="1000"/>
    <n v="402.97"/>
    <n v="262.11"/>
    <n v="334.83"/>
    <n v="389.93"/>
    <n v="277.19"/>
    <n v="124.68"/>
    <n v="203.37"/>
    <n v="38.5"/>
    <n v="194.71"/>
    <n v="287.36"/>
    <n v="443.6"/>
    <n v="179.04"/>
    <n v="3138.2900000000004"/>
    <n v="264.56000000000006"/>
  </r>
  <r>
    <x v="5"/>
    <x v="9"/>
    <x v="0"/>
    <s v="6080501"/>
    <n v="700034"/>
    <s v="Salaries-Tech/Professional-Other"/>
    <s v="Security"/>
    <x v="0"/>
    <n v="2000"/>
    <n v="217.33"/>
    <n v="220.06"/>
    <n v="248.37"/>
    <n v="73.19"/>
    <n v="72.069999999999993"/>
    <n v="0"/>
    <n v="0"/>
    <n v="0"/>
    <n v="0"/>
    <n v="0"/>
    <n v="0"/>
    <n v="0"/>
    <n v="831.02"/>
    <n v="0"/>
  </r>
  <r>
    <x v="5"/>
    <x v="9"/>
    <x v="0"/>
    <s v="6080501"/>
    <n v="700038"/>
    <s v="Salaries-Service/Support-Productive"/>
    <s v="Security"/>
    <x v="0"/>
    <m/>
    <n v="365619.83"/>
    <n v="372035.49"/>
    <n v="367185.42"/>
    <n v="389654.8"/>
    <n v="376218.3"/>
    <n v="401319.37"/>
    <n v="408433.65"/>
    <n v="358405.32"/>
    <n v="397734.63"/>
    <n v="372004.74"/>
    <n v="389206.29"/>
    <n v="376322.77"/>
    <n v="4574140.6099999994"/>
    <n v="12883.51999999996"/>
  </r>
  <r>
    <x v="5"/>
    <x v="9"/>
    <x v="0"/>
    <s v="6080501"/>
    <n v="700038"/>
    <s v="Salaries-Service/Support-OT"/>
    <s v="Security"/>
    <x v="0"/>
    <n v="1000"/>
    <n v="14851.45"/>
    <n v="13015.59"/>
    <n v="9169.08"/>
    <n v="14188.16"/>
    <n v="12353.48"/>
    <n v="8018.87"/>
    <n v="6652.58"/>
    <n v="13897.02"/>
    <n v="15609.18"/>
    <n v="18168.97"/>
    <n v="11897.29"/>
    <n v="14709.28"/>
    <n v="152530.95000000001"/>
    <n v="-2811.99"/>
  </r>
  <r>
    <x v="5"/>
    <x v="9"/>
    <x v="0"/>
    <s v="6080501"/>
    <n v="700038"/>
    <s v="Salaries-Service/Support-Other"/>
    <s v="Security"/>
    <x v="0"/>
    <n v="2000"/>
    <n v="30207.96"/>
    <n v="30839.55"/>
    <n v="29703.23"/>
    <n v="33915.19"/>
    <n v="31456.27"/>
    <n v="33796.07"/>
    <n v="34516.660000000003"/>
    <n v="29359.79"/>
    <n v="32787.769999999997"/>
    <n v="31391.9"/>
    <n v="33255.050000000003"/>
    <n v="33599.43"/>
    <n v="384828.87"/>
    <n v="-344.37999999999738"/>
  </r>
  <r>
    <x v="5"/>
    <x v="9"/>
    <x v="0"/>
    <s v="6080501"/>
    <n v="700054"/>
    <s v="Salaries-Management-NonProd-Other"/>
    <s v="Security"/>
    <x v="0"/>
    <n v="2000"/>
    <n v="0"/>
    <n v="0"/>
    <n v="0"/>
    <n v="0"/>
    <n v="0"/>
    <n v="7820.73"/>
    <n v="-7820.73"/>
    <n v="0"/>
    <n v="0"/>
    <n v="0"/>
    <n v="0"/>
    <n v="0"/>
    <n v="0"/>
    <n v="0"/>
  </r>
  <r>
    <x v="5"/>
    <x v="9"/>
    <x v="0"/>
    <s v="6080501"/>
    <n v="700058"/>
    <s v="Salaries-Supervisory-Non-productive"/>
    <s v="Security"/>
    <x v="0"/>
    <m/>
    <n v="7478.09"/>
    <n v="8474.7000000000007"/>
    <n v="1599.25"/>
    <n v="3895.4"/>
    <n v="-303.39"/>
    <n v="10671.47"/>
    <n v="1634.99"/>
    <n v="1108.19"/>
    <n v="7039.58"/>
    <n v="-1086.6600000000001"/>
    <n v="4995.82"/>
    <n v="2222.3000000000002"/>
    <n v="47729.740000000005"/>
    <n v="2773.5199999999995"/>
  </r>
  <r>
    <x v="5"/>
    <x v="9"/>
    <x v="0"/>
    <s v="6080501"/>
    <n v="700074"/>
    <s v="Salaries-Tech/Professional-Non-productive"/>
    <s v="Security"/>
    <x v="0"/>
    <m/>
    <n v="452.48"/>
    <n v="0"/>
    <n v="2036.16"/>
    <n v="0"/>
    <n v="234.16"/>
    <n v="1003.51"/>
    <n v="-66.87"/>
    <n v="407.74"/>
    <n v="-107.28"/>
    <n v="703.51"/>
    <n v="904.48"/>
    <n v="-435.47"/>
    <n v="5132.4199999999992"/>
    <n v="1339.95"/>
  </r>
  <r>
    <x v="5"/>
    <x v="9"/>
    <x v="0"/>
    <s v="6080501"/>
    <n v="700078"/>
    <s v="Salaries-Service/Support-Non-productive"/>
    <s v="Security"/>
    <x v="0"/>
    <m/>
    <n v="57750.52"/>
    <n v="60666.12"/>
    <n v="46345.75"/>
    <n v="52102.89"/>
    <n v="50315.29"/>
    <n v="54983.21"/>
    <n v="32381.25"/>
    <n v="56227.58"/>
    <n v="41783.11"/>
    <n v="39952.75"/>
    <n v="44758.33"/>
    <n v="48703.54"/>
    <n v="585970.34000000008"/>
    <n v="-3945.2099999999991"/>
  </r>
  <r>
    <x v="5"/>
    <x v="9"/>
    <x v="0"/>
    <s v="6080501"/>
    <n v="700078"/>
    <s v="Salaries-Service/Support-NonProd-Other"/>
    <s v="Security"/>
    <x v="0"/>
    <n v="2000"/>
    <n v="3455.17"/>
    <n v="3710.79"/>
    <n v="2644.12"/>
    <n v="2655.76"/>
    <n v="4904.62"/>
    <n v="4967.13"/>
    <n v="2242.52"/>
    <n v="1188.68"/>
    <n v="3058.64"/>
    <n v="3434.36"/>
    <n v="1962.17"/>
    <n v="2892.2"/>
    <n v="37116.159999999996"/>
    <n v="-930.02999999999975"/>
  </r>
  <r>
    <x v="5"/>
    <x v="9"/>
    <x v="0"/>
    <s v="6080501"/>
    <n v="700084"/>
    <s v="Accrued PTO"/>
    <s v="Security"/>
    <x v="0"/>
    <m/>
    <n v="-5432.65"/>
    <n v="-5974.51"/>
    <n v="391.39"/>
    <n v="9468.58"/>
    <n v="1959.93"/>
    <n v="-10152.17"/>
    <n v="14601.61"/>
    <n v="8099.74"/>
    <n v="7175.31"/>
    <n v="-491.95"/>
    <n v="3528.18"/>
    <n v="15766.95"/>
    <n v="38940.410000000003"/>
    <n v="-12238.77"/>
  </r>
  <r>
    <x v="6"/>
    <x v="9"/>
    <x v="0"/>
    <s v="6080501"/>
    <n v="713010"/>
    <s v="Benefits-FICA/Medicare"/>
    <s v="Security"/>
    <x v="0"/>
    <m/>
    <n v="37821.06"/>
    <n v="38622.67"/>
    <n v="36665.599999999999"/>
    <n v="39460.32"/>
    <n v="38498.07"/>
    <n v="42269.32"/>
    <n v="40259.35"/>
    <n v="36522.39"/>
    <n v="39250.269999999997"/>
    <n v="38070.120000000003"/>
    <n v="38573.58"/>
    <n v="39105.22"/>
    <n v="465117.97000000009"/>
    <n v="-531.63999999999942"/>
  </r>
  <r>
    <x v="6"/>
    <x v="9"/>
    <x v="0"/>
    <s v="6080501"/>
    <n v="713090"/>
    <s v="Benefits-Allocated Amounts"/>
    <s v="Security"/>
    <x v="0"/>
    <m/>
    <n v="151900.04999999999"/>
    <n v="142460.67000000001"/>
    <n v="148678.92000000001"/>
    <n v="151722.67000000001"/>
    <n v="144674.81"/>
    <n v="160529.45000000001"/>
    <n v="164334.21"/>
    <n v="161047.01"/>
    <n v="168666.96"/>
    <n v="160757.37"/>
    <n v="163610.25"/>
    <n v="162480.25"/>
    <n v="1880862.62"/>
    <n v="1130"/>
  </r>
  <r>
    <x v="7"/>
    <x v="9"/>
    <x v="0"/>
    <s v="6080501"/>
    <n v="718050"/>
    <s v="Contract Svcs-Other"/>
    <s v="Security"/>
    <x v="0"/>
    <m/>
    <n v="0"/>
    <n v="150"/>
    <n v="24.24"/>
    <n v="0"/>
    <n v="0"/>
    <n v="0"/>
    <n v="0"/>
    <n v="0"/>
    <n v="52.44"/>
    <n v="0"/>
    <n v="786.98"/>
    <n v="0"/>
    <n v="1013.6600000000001"/>
    <n v="786.98"/>
  </r>
  <r>
    <x v="7"/>
    <x v="9"/>
    <x v="0"/>
    <s v="6080501"/>
    <n v="718050"/>
    <s v="Document Shredding/Storage"/>
    <s v="Security"/>
    <x v="0"/>
    <n v="1012"/>
    <n v="19.809999999999999"/>
    <n v="294.44"/>
    <n v="23.84"/>
    <n v="27.54"/>
    <n v="28.47"/>
    <n v="28.47"/>
    <n v="28.18"/>
    <n v="24.21"/>
    <n v="25.06"/>
    <n v="32.76"/>
    <n v="29.54"/>
    <n v="61.84"/>
    <n v="624.16000000000008"/>
    <n v="-32.300000000000004"/>
  </r>
  <r>
    <x v="7"/>
    <x v="9"/>
    <x v="0"/>
    <s v="6080501"/>
    <n v="718050"/>
    <s v="Miscellaneous Purchased Svcs"/>
    <s v="Security"/>
    <x v="0"/>
    <n v="1020"/>
    <n v="6349.1"/>
    <n v="-14630.76"/>
    <n v="6349.1"/>
    <n v="6417.85"/>
    <n v="11760.19"/>
    <n v="6349.1"/>
    <n v="6349.1"/>
    <n v="6349.1"/>
    <n v="6349.1"/>
    <n v="0"/>
    <n v="4380"/>
    <n v="2700"/>
    <n v="48721.88"/>
    <n v="1680"/>
  </r>
  <r>
    <x v="11"/>
    <x v="9"/>
    <x v="0"/>
    <s v="6080501"/>
    <n v="721020"/>
    <s v="Supplies-Surgical - Billable"/>
    <s v="Security"/>
    <x v="0"/>
    <m/>
    <n v="-3870.58"/>
    <n v="-3088.3"/>
    <n v="-2799.56"/>
    <n v="-6928.71"/>
    <n v="2828.05"/>
    <n v="-2371.83"/>
    <n v="-2043.43"/>
    <n v="81.069999999999993"/>
    <n v="1071.9000000000001"/>
    <n v="1647.25"/>
    <n v="1701.97"/>
    <n v="2395.56"/>
    <n v="-11376.61"/>
    <n v="-693.58999999999992"/>
  </r>
  <r>
    <x v="11"/>
    <x v="9"/>
    <x v="0"/>
    <s v="6080501"/>
    <n v="721250"/>
    <s v="Supplies-Pharmacy Drugs - Billable"/>
    <s v="Security"/>
    <x v="0"/>
    <m/>
    <n v="0"/>
    <n v="0"/>
    <n v="0"/>
    <n v="2.72"/>
    <n v="0"/>
    <n v="0"/>
    <n v="0"/>
    <n v="0"/>
    <n v="1.37"/>
    <n v="0"/>
    <n v="0"/>
    <n v="0"/>
    <n v="4.09"/>
    <n v="0"/>
  </r>
  <r>
    <x v="11"/>
    <x v="9"/>
    <x v="0"/>
    <s v="6080501"/>
    <n v="721410"/>
    <s v="Supplies-Medical - Nonbillable"/>
    <s v="Security"/>
    <x v="0"/>
    <m/>
    <n v="-305.98"/>
    <n v="20.85"/>
    <n v="314.12"/>
    <n v="291.22000000000003"/>
    <n v="1564.48"/>
    <n v="510.53"/>
    <n v="229.39"/>
    <n v="173.47"/>
    <n v="494.24"/>
    <n v="582.19000000000005"/>
    <n v="249.49"/>
    <n v="486.3"/>
    <n v="4610.3"/>
    <n v="-236.81"/>
  </r>
  <r>
    <x v="11"/>
    <x v="9"/>
    <x v="0"/>
    <s v="6080501"/>
    <n v="721810"/>
    <s v="Supplies-Dietary/Cafeteria"/>
    <s v="Security"/>
    <x v="0"/>
    <m/>
    <n v="89.28"/>
    <n v="38.47"/>
    <n v="144.72"/>
    <n v="39.61"/>
    <n v="78.13"/>
    <n v="15.71"/>
    <n v="29.71"/>
    <n v="195.23"/>
    <n v="243.66"/>
    <n v="84.66"/>
    <n v="155.88999999999999"/>
    <n v="106.43"/>
    <n v="1221.5"/>
    <n v="49.45999999999998"/>
  </r>
  <r>
    <x v="11"/>
    <x v="9"/>
    <x v="0"/>
    <s v="6080501"/>
    <n v="721830"/>
    <s v="Supplies-Office"/>
    <s v="Security"/>
    <x v="0"/>
    <m/>
    <n v="164.18"/>
    <n v="567.83000000000004"/>
    <n v="1686.04"/>
    <n v="953.42"/>
    <n v="904.67"/>
    <n v="588.6"/>
    <n v="1602.56"/>
    <n v="1571.99"/>
    <n v="755.09"/>
    <n v="1813.4"/>
    <n v="8.6999999999999993"/>
    <n v="-1803.17"/>
    <n v="8813.3100000000013"/>
    <n v="1811.8700000000001"/>
  </r>
  <r>
    <x v="11"/>
    <x v="9"/>
    <x v="0"/>
    <s v="6080501"/>
    <n v="721835"/>
    <s v="Supplies-Forms"/>
    <s v="Security"/>
    <x v="0"/>
    <m/>
    <n v="0"/>
    <n v="0"/>
    <n v="0"/>
    <n v="0"/>
    <n v="92.2"/>
    <n v="0"/>
    <n v="64.5"/>
    <n v="0"/>
    <n v="175.94"/>
    <n v="51.6"/>
    <n v="0"/>
    <n v="0"/>
    <n v="384.24"/>
    <n v="0"/>
  </r>
  <r>
    <x v="11"/>
    <x v="9"/>
    <x v="0"/>
    <s v="6080501"/>
    <n v="721870"/>
    <s v="Supplies-Environmental Services"/>
    <s v="Security"/>
    <x v="0"/>
    <m/>
    <n v="23.68"/>
    <n v="359.7"/>
    <n v="0"/>
    <n v="38.090000000000003"/>
    <n v="394.05"/>
    <n v="186.5"/>
    <n v="104.26"/>
    <n v="203.3"/>
    <n v="360.65"/>
    <n v="27.68"/>
    <n v="0"/>
    <n v="59.78"/>
    <n v="1757.69"/>
    <n v="-59.78"/>
  </r>
  <r>
    <x v="11"/>
    <x v="9"/>
    <x v="0"/>
    <s v="6080501"/>
    <n v="721910"/>
    <s v="Supplies-Small Equipment"/>
    <s v="Security"/>
    <x v="0"/>
    <m/>
    <n v="84.84"/>
    <n v="0"/>
    <n v="1.92"/>
    <n v="462.15"/>
    <n v="0"/>
    <n v="543.70000000000005"/>
    <n v="54.85"/>
    <n v="100.57"/>
    <n v="0"/>
    <n v="8822.6299999999992"/>
    <n v="0"/>
    <n v="45.7"/>
    <n v="10116.36"/>
    <n v="-45.7"/>
  </r>
  <r>
    <x v="11"/>
    <x v="9"/>
    <x v="0"/>
    <s v="6080501"/>
    <n v="721980"/>
    <s v="Supplies-Other"/>
    <s v="Security"/>
    <x v="0"/>
    <m/>
    <n v="3270"/>
    <n v="10899.87"/>
    <n v="3137.85"/>
    <n v="1417.33"/>
    <n v="0"/>
    <n v="-98.89"/>
    <n v="124.41"/>
    <n v="0"/>
    <n v="0"/>
    <n v="3137.85"/>
    <n v="-287.85000000000002"/>
    <n v="0"/>
    <n v="21600.570000000003"/>
    <n v="-287.85000000000002"/>
  </r>
  <r>
    <x v="11"/>
    <x v="9"/>
    <x v="0"/>
    <s v="6080501"/>
    <n v="722000"/>
    <s v="Supplies-Freight Expense"/>
    <s v="Security"/>
    <x v="0"/>
    <m/>
    <n v="0"/>
    <n v="0"/>
    <n v="151.13"/>
    <n v="0"/>
    <n v="13.75"/>
    <n v="0"/>
    <n v="0"/>
    <n v="0"/>
    <n v="21.44"/>
    <n v="0"/>
    <n v="0"/>
    <n v="0"/>
    <n v="186.32"/>
    <n v="0"/>
  </r>
  <r>
    <x v="12"/>
    <x v="9"/>
    <x v="0"/>
    <s v="6080501"/>
    <n v="730010"/>
    <s v="Rental and Leases-Building (DO NOT USE)"/>
    <s v="Security"/>
    <x v="0"/>
    <m/>
    <n v="2929.95"/>
    <n v="2929.95"/>
    <n v="2929.95"/>
    <n v="2929.95"/>
    <n v="2929.95"/>
    <n v="2510.7399999999998"/>
    <n v="2863.89"/>
    <n v="2863.89"/>
    <n v="2863.89"/>
    <n v="2859.29"/>
    <n v="2861.67"/>
    <n v="0"/>
    <n v="31473.119999999995"/>
    <n v="2861.67"/>
  </r>
  <r>
    <x v="12"/>
    <x v="9"/>
    <x v="0"/>
    <s v="6080501"/>
    <n v="730010"/>
    <s v="Rental-Common Area Maint (DO NOT USE)"/>
    <s v="Security"/>
    <x v="0"/>
    <n v="2200"/>
    <n v="0"/>
    <n v="0"/>
    <n v="0"/>
    <n v="0"/>
    <n v="0"/>
    <n v="420.19"/>
    <n v="67.040000000000006"/>
    <n v="67.040000000000006"/>
    <n v="96.74"/>
    <n v="66.930000000000007"/>
    <n v="66.930000000000007"/>
    <n v="0"/>
    <n v="784.87000000000012"/>
    <n v="66.930000000000007"/>
  </r>
  <r>
    <x v="12"/>
    <x v="9"/>
    <x v="0"/>
    <s v="6080501"/>
    <n v="730020"/>
    <s v="Rental and Leases-Copier Usage Fees (DO NOT USE)"/>
    <s v="Security"/>
    <x v="0"/>
    <n v="5100"/>
    <n v="519.21"/>
    <n v="497.28"/>
    <n v="508.25"/>
    <n v="508.25"/>
    <n v="727.11"/>
    <n v="560.41"/>
    <n v="2109.46"/>
    <n v="552.15"/>
    <n v="550.99"/>
    <n v="1079.26"/>
    <n v="552.15"/>
    <n v="656.2"/>
    <n v="8820.7199999999993"/>
    <n v="-104.05000000000007"/>
  </r>
  <r>
    <x v="12"/>
    <x v="9"/>
    <x v="0"/>
    <s v="6080501"/>
    <n v="730040"/>
    <s v="LT Lease-Real Estate"/>
    <s v="Security"/>
    <x v="0"/>
    <m/>
    <n v="0"/>
    <n v="0"/>
    <n v="0"/>
    <n v="0"/>
    <n v="0"/>
    <n v="0"/>
    <n v="0"/>
    <n v="0"/>
    <n v="0"/>
    <n v="0"/>
    <n v="0"/>
    <n v="2997.71"/>
    <n v="2997.71"/>
    <n v="-2997.71"/>
  </r>
  <r>
    <x v="15"/>
    <x v="9"/>
    <x v="0"/>
    <s v="6080501"/>
    <n v="731060"/>
    <s v="Telephone"/>
    <s v="Security"/>
    <x v="0"/>
    <m/>
    <n v="0"/>
    <n v="43"/>
    <n v="51.6"/>
    <n v="0"/>
    <n v="1107.44"/>
    <n v="401.42"/>
    <n v="321.61"/>
    <n v="278.61"/>
    <n v="283.97000000000003"/>
    <n v="279.67"/>
    <n v="279.67"/>
    <n v="279.67"/>
    <n v="3326.6600000000008"/>
    <n v="0"/>
  </r>
  <r>
    <x v="15"/>
    <x v="9"/>
    <x v="0"/>
    <s v="6080501"/>
    <n v="731060"/>
    <s v="Cell Phones"/>
    <s v="Security"/>
    <x v="0"/>
    <n v="1001"/>
    <n v="0"/>
    <n v="291.08"/>
    <n v="161.69999999999999"/>
    <n v="0"/>
    <n v="192.75"/>
    <n v="233.09"/>
    <n v="324.56"/>
    <n v="0"/>
    <n v="504.19"/>
    <n v="1251.83"/>
    <n v="369.32"/>
    <n v="371.44"/>
    <n v="3699.96"/>
    <n v="-2.1200000000000045"/>
  </r>
  <r>
    <x v="15"/>
    <x v="9"/>
    <x v="0"/>
    <s v="6080501"/>
    <n v="731060"/>
    <s v="Pagers"/>
    <s v="Security"/>
    <x v="0"/>
    <n v="1002"/>
    <n v="145.36000000000001"/>
    <n v="145.36000000000001"/>
    <n v="145.36000000000001"/>
    <n v="145.76"/>
    <n v="146.1"/>
    <n v="8.1199999999999992"/>
    <n v="259.83999999999997"/>
    <n v="129.91999999999999"/>
    <n v="129.91999999999999"/>
    <n v="81.2"/>
    <n v="81.2"/>
    <n v="191.44"/>
    <n v="1609.5800000000004"/>
    <n v="-110.24"/>
  </r>
  <r>
    <x v="16"/>
    <x v="9"/>
    <x v="0"/>
    <s v="6080501"/>
    <n v="732015"/>
    <s v="Repairs-Clinical Equip-T&amp;M-Ext to CHI Programs"/>
    <s v="Security"/>
    <x v="0"/>
    <m/>
    <n v="0"/>
    <n v="0"/>
    <n v="0"/>
    <n v="0"/>
    <n v="0"/>
    <n v="0"/>
    <n v="246.25"/>
    <n v="39.14"/>
    <n v="0"/>
    <n v="0"/>
    <n v="0"/>
    <n v="0"/>
    <n v="285.39"/>
    <n v="0"/>
  </r>
  <r>
    <x v="16"/>
    <x v="9"/>
    <x v="0"/>
    <s v="6080501"/>
    <n v="732030"/>
    <s v="Repairs---Other"/>
    <s v="Security"/>
    <x v="0"/>
    <m/>
    <n v="83428.63"/>
    <n v="22261.83"/>
    <n v="40102.300000000003"/>
    <n v="20564.98"/>
    <n v="63544.3"/>
    <n v="16825.84"/>
    <n v="36646.97"/>
    <n v="56175.85"/>
    <n v="18366.830000000002"/>
    <n v="8526.59"/>
    <n v="42707.56"/>
    <n v="10972.92"/>
    <n v="420124.60000000003"/>
    <n v="31734.639999999999"/>
  </r>
  <r>
    <x v="16"/>
    <x v="9"/>
    <x v="0"/>
    <s v="6080501"/>
    <n v="732030"/>
    <s v="Repairs&amp;Maintenance-Bldg Routine"/>
    <s v="Security"/>
    <x v="0"/>
    <n v="2300"/>
    <n v="4.9800000000000004"/>
    <n v="4.9800000000000004"/>
    <n v="4.9800000000000004"/>
    <n v="4.9800000000000004"/>
    <n v="319.98"/>
    <n v="46.04"/>
    <n v="4.9800000000000004"/>
    <n v="4.9800000000000004"/>
    <n v="4.9800000000000004"/>
    <n v="4.9800000000000004"/>
    <n v="4.9800000000000004"/>
    <n v="4.9800000000000004"/>
    <n v="415.82000000000016"/>
    <n v="0"/>
  </r>
  <r>
    <x v="13"/>
    <x v="9"/>
    <x v="0"/>
    <s v="6080501"/>
    <n v="735040"/>
    <s v="Depreciation-Building Improvements"/>
    <s v="Security"/>
    <x v="0"/>
    <m/>
    <n v="2305.23"/>
    <n v="2305.23"/>
    <n v="2305.23"/>
    <n v="2305.23"/>
    <n v="2305.23"/>
    <n v="2305.2199999999998"/>
    <n v="2305.23"/>
    <n v="2305.2199999999998"/>
    <n v="2305.23"/>
    <n v="2305.2199999999998"/>
    <n v="2305.23"/>
    <n v="2305.2199999999998"/>
    <n v="27662.720000000001"/>
    <n v="1.0000000000218279E-2"/>
  </r>
  <r>
    <x v="13"/>
    <x v="9"/>
    <x v="0"/>
    <s v="6080501"/>
    <n v="735060"/>
    <s v="Depreciation-Fixed Equipment"/>
    <s v="Security"/>
    <x v="0"/>
    <m/>
    <n v="5599.27"/>
    <n v="5599.27"/>
    <n v="5599.28"/>
    <n v="5599.27"/>
    <n v="5599.28"/>
    <n v="5599.27"/>
    <n v="5599.28"/>
    <n v="5599.26"/>
    <n v="5599.28"/>
    <n v="5599.26"/>
    <n v="5599.28"/>
    <n v="5599.25"/>
    <n v="67191.25"/>
    <n v="2.9999999999745341E-2"/>
  </r>
  <r>
    <x v="13"/>
    <x v="9"/>
    <x v="0"/>
    <s v="6080501"/>
    <n v="735070"/>
    <s v="Depreciation-Movable Equipment"/>
    <s v="Security"/>
    <x v="0"/>
    <m/>
    <n v="6781.05"/>
    <n v="6641.04"/>
    <n v="6641.06"/>
    <n v="6641.01"/>
    <n v="12700.57"/>
    <n v="7852.91"/>
    <n v="7853"/>
    <n v="7852.9"/>
    <n v="7853"/>
    <n v="7852.89"/>
    <n v="7853.01"/>
    <n v="7852.85"/>
    <n v="94375.290000000008"/>
    <n v="0.15999999999985448"/>
  </r>
  <r>
    <x v="0"/>
    <x v="9"/>
    <x v="0"/>
    <s v="6080501"/>
    <n v="740010"/>
    <s v="Education-Materials"/>
    <s v="Security"/>
    <x v="0"/>
    <m/>
    <n v="0"/>
    <n v="0"/>
    <n v="0"/>
    <n v="0"/>
    <n v="0"/>
    <n v="0"/>
    <n v="0"/>
    <n v="0"/>
    <n v="0"/>
    <n v="0"/>
    <n v="0"/>
    <n v="528.4"/>
    <n v="528.4"/>
    <n v="-528.4"/>
  </r>
  <r>
    <x v="0"/>
    <x v="9"/>
    <x v="0"/>
    <s v="6080501"/>
    <n v="740030"/>
    <s v="Education-Travel"/>
    <s v="Security"/>
    <x v="0"/>
    <m/>
    <n v="0"/>
    <n v="0"/>
    <n v="0"/>
    <n v="0"/>
    <n v="0"/>
    <n v="0"/>
    <n v="0"/>
    <n v="1597"/>
    <n v="0"/>
    <n v="0"/>
    <n v="0"/>
    <n v="0"/>
    <n v="1597"/>
    <n v="0"/>
  </r>
  <r>
    <x v="0"/>
    <x v="9"/>
    <x v="0"/>
    <s v="6080501"/>
    <n v="749510"/>
    <s v="Miscellaneous Expenses"/>
    <s v="Security"/>
    <x v="0"/>
    <m/>
    <n v="391.99"/>
    <n v="1190.21"/>
    <n v="2647.52"/>
    <n v="674.22"/>
    <n v="50038.66"/>
    <n v="-43212.94"/>
    <n v="43540.160000000003"/>
    <n v="-54.18"/>
    <n v="408.22"/>
    <n v="127.66"/>
    <n v="-14.29"/>
    <n v="991.54"/>
    <n v="56728.770000000011"/>
    <n v="-1005.8299999999999"/>
  </r>
  <r>
    <x v="0"/>
    <x v="9"/>
    <x v="0"/>
    <s v="6080501"/>
    <n v="749510"/>
    <s v="Uniforms"/>
    <s v="Security"/>
    <x v="0"/>
    <n v="1028"/>
    <n v="225.26"/>
    <n v="2304.0300000000002"/>
    <n v="2388.4699999999998"/>
    <n v="2220.5"/>
    <n v="575.74"/>
    <n v="2413.7199999999998"/>
    <n v="4630.66"/>
    <n v="1764.71"/>
    <n v="2525.73"/>
    <n v="2564.5700000000002"/>
    <n v="2137.3200000000002"/>
    <n v="5308.1"/>
    <n v="29058.809999999998"/>
    <n v="-3170.78"/>
  </r>
  <r>
    <x v="0"/>
    <x v="9"/>
    <x v="0"/>
    <s v="6080501"/>
    <n v="749510"/>
    <s v="Casualty Loss/Patient Property"/>
    <s v="Security"/>
    <x v="0"/>
    <n v="4601"/>
    <n v="0"/>
    <n v="0"/>
    <n v="0"/>
    <n v="0"/>
    <n v="0"/>
    <n v="0"/>
    <n v="0"/>
    <n v="0"/>
    <n v="262.5"/>
    <n v="0"/>
    <n v="0"/>
    <n v="0"/>
    <n v="262.5"/>
    <n v="0"/>
  </r>
  <r>
    <x v="0"/>
    <x v="9"/>
    <x v="0"/>
    <s v="6080501"/>
    <n v="749510"/>
    <s v="RICE Rewards"/>
    <s v="Security"/>
    <x v="0"/>
    <n v="5100"/>
    <n v="0"/>
    <n v="17.66"/>
    <n v="0"/>
    <n v="0"/>
    <n v="0"/>
    <n v="0"/>
    <n v="0"/>
    <n v="0"/>
    <n v="0"/>
    <n v="0"/>
    <n v="0"/>
    <n v="532.28"/>
    <n v="549.93999999999994"/>
    <n v="-532.28"/>
  </r>
  <r>
    <x v="0"/>
    <x v="9"/>
    <x v="0"/>
    <s v="6080501"/>
    <n v="749530"/>
    <s v="Travel"/>
    <s v="Security"/>
    <x v="0"/>
    <m/>
    <n v="0"/>
    <n v="0"/>
    <n v="5"/>
    <n v="21"/>
    <n v="17"/>
    <n v="240.9"/>
    <n v="17"/>
    <n v="5"/>
    <n v="721.84"/>
    <n v="6"/>
    <n v="0"/>
    <n v="0"/>
    <n v="1033.74"/>
    <n v="0"/>
  </r>
  <r>
    <x v="0"/>
    <x v="9"/>
    <x v="0"/>
    <s v="6080501"/>
    <n v="749530"/>
    <s v="Mileage"/>
    <s v="Security"/>
    <x v="0"/>
    <n v="1001"/>
    <n v="155.88999999999999"/>
    <n v="124.83"/>
    <n v="222.39"/>
    <n v="317.23"/>
    <n v="506.38"/>
    <n v="340.14"/>
    <n v="148.97"/>
    <n v="104.06"/>
    <n v="230.26"/>
    <n v="200.68"/>
    <n v="45.24"/>
    <n v="248.24"/>
    <n v="2644.3099999999995"/>
    <n v="-203"/>
  </r>
  <r>
    <x v="12"/>
    <x v="6"/>
    <x v="0"/>
    <s v="6081107"/>
    <n v="730020"/>
    <s v="Rental and Leases-Copier Usage Fees (DO NOT USE)"/>
    <s v="Security-Silverdale"/>
    <x v="0"/>
    <n v="5100"/>
    <n v="52.28"/>
    <n v="52.05"/>
    <n v="52.16"/>
    <n v="52.16"/>
    <n v="-166.7"/>
    <n v="0"/>
    <n v="0"/>
    <n v="0"/>
    <n v="0"/>
    <n v="0"/>
    <n v="0"/>
    <n v="0"/>
    <n v="41.950000000000017"/>
    <n v="0"/>
  </r>
  <r>
    <x v="15"/>
    <x v="6"/>
    <x v="0"/>
    <s v="6081107"/>
    <n v="731060"/>
    <s v="Pagers"/>
    <s v="Security-Silverdale"/>
    <x v="0"/>
    <n v="1002"/>
    <n v="8.1"/>
    <n v="8.1"/>
    <n v="8.1"/>
    <n v="8.1199999999999992"/>
    <n v="0"/>
    <n v="8.1199999999999992"/>
    <n v="0"/>
    <n v="0"/>
    <n v="0"/>
    <n v="0"/>
    <n v="0"/>
    <n v="0"/>
    <n v="40.539999999999992"/>
    <n v="0"/>
  </r>
  <r>
    <x v="13"/>
    <x v="6"/>
    <x v="0"/>
    <s v="6081107"/>
    <n v="735070"/>
    <s v="Depreciation-Movable Equipment"/>
    <s v="Security-Silverdale"/>
    <x v="0"/>
    <m/>
    <n v="1211.9000000000001"/>
    <n v="1211.9000000000001"/>
    <n v="1211.9000000000001"/>
    <n v="1211.9000000000001"/>
    <n v="-4847.6000000000004"/>
    <n v="0"/>
    <n v="0"/>
    <n v="0"/>
    <n v="0"/>
    <n v="0"/>
    <n v="0"/>
    <n v="0"/>
    <n v="0"/>
    <n v="0"/>
  </r>
  <r>
    <x v="14"/>
    <x v="3"/>
    <x v="0"/>
    <s v="6100101"/>
    <n v="600060"/>
    <s v="Gain/Loss--Sale of Fixed Assets"/>
    <s v="Clinical Engineering"/>
    <x v="0"/>
    <m/>
    <n v="0"/>
    <n v="0"/>
    <n v="0"/>
    <n v="0"/>
    <n v="-500"/>
    <n v="0"/>
    <n v="0"/>
    <n v="0"/>
    <n v="0"/>
    <n v="0"/>
    <n v="0"/>
    <n v="0"/>
    <n v="-500"/>
    <n v="0"/>
  </r>
  <r>
    <x v="7"/>
    <x v="3"/>
    <x v="0"/>
    <s v="6100101"/>
    <n v="718070"/>
    <s v="Contract Srvcs-CHI Clinical Engineering"/>
    <s v="Clinical Engineering"/>
    <x v="0"/>
    <m/>
    <n v="422549.78"/>
    <n v="382252.4"/>
    <n v="384136.24"/>
    <n v="470492.35"/>
    <n v="379482.76"/>
    <n v="388441.05"/>
    <n v="456008.72"/>
    <n v="432300.76"/>
    <n v="439237.3"/>
    <n v="445889.75"/>
    <n v="432762.89"/>
    <n v="539941.4"/>
    <n v="5173495.3999999994"/>
    <n v="-107178.51000000001"/>
  </r>
  <r>
    <x v="11"/>
    <x v="3"/>
    <x v="0"/>
    <s v="6100101"/>
    <n v="721010"/>
    <s v="Supplies-Medical - Billable"/>
    <s v="Clinical Engineering"/>
    <x v="0"/>
    <m/>
    <n v="0"/>
    <n v="0"/>
    <n v="0"/>
    <n v="0"/>
    <n v="0"/>
    <n v="0"/>
    <n v="0"/>
    <n v="5.18"/>
    <n v="0"/>
    <n v="0"/>
    <n v="0"/>
    <n v="0"/>
    <n v="5.18"/>
    <n v="0"/>
  </r>
  <r>
    <x v="11"/>
    <x v="3"/>
    <x v="0"/>
    <s v="6100101"/>
    <n v="721250"/>
    <s v="Supplies-Pharmacy Drugs - Billable"/>
    <s v="Clinical Engineering"/>
    <x v="0"/>
    <m/>
    <n v="0"/>
    <n v="5.41"/>
    <n v="27"/>
    <n v="0"/>
    <n v="0"/>
    <n v="0"/>
    <n v="27"/>
    <n v="0"/>
    <n v="79.260000000000005"/>
    <n v="0"/>
    <n v="0"/>
    <n v="70.23"/>
    <n v="208.90000000000003"/>
    <n v="-70.23"/>
  </r>
  <r>
    <x v="11"/>
    <x v="3"/>
    <x v="0"/>
    <s v="6100101"/>
    <n v="721410"/>
    <s v="Supplies-Medical - Nonbillable"/>
    <s v="Clinical Engineering"/>
    <x v="0"/>
    <m/>
    <n v="18.3"/>
    <n v="0"/>
    <n v="8.6300000000000008"/>
    <n v="29.48"/>
    <n v="0"/>
    <n v="5.82"/>
    <n v="22.71"/>
    <n v="13.17"/>
    <n v="67.790000000000006"/>
    <n v="4.29"/>
    <n v="15.67"/>
    <n v="26.23"/>
    <n v="212.08999999999997"/>
    <n v="-10.56"/>
  </r>
  <r>
    <x v="11"/>
    <x v="3"/>
    <x v="0"/>
    <s v="6100101"/>
    <n v="721650"/>
    <s v="Supplies-Pharmacy Drugs - Nonbillable"/>
    <s v="Clinical Engineering"/>
    <x v="0"/>
    <m/>
    <n v="0"/>
    <n v="47.93"/>
    <n v="0"/>
    <n v="0"/>
    <n v="0"/>
    <n v="0"/>
    <n v="0"/>
    <n v="0"/>
    <n v="0"/>
    <n v="0"/>
    <n v="0"/>
    <n v="0"/>
    <n v="47.93"/>
    <n v="0"/>
  </r>
  <r>
    <x v="11"/>
    <x v="3"/>
    <x v="0"/>
    <s v="6100101"/>
    <n v="721810"/>
    <s v="Supplies-Dietary/Cafeteria"/>
    <s v="Clinical Engineering"/>
    <x v="0"/>
    <m/>
    <n v="135.22"/>
    <n v="131.41999999999999"/>
    <n v="45"/>
    <n v="322.41000000000003"/>
    <n v="145.83000000000001"/>
    <n v="104.28"/>
    <n v="37.6"/>
    <n v="68.73"/>
    <n v="318.69"/>
    <n v="303.42"/>
    <n v="421.35"/>
    <n v="304.99"/>
    <n v="2338.9400000000005"/>
    <n v="116.36000000000001"/>
  </r>
  <r>
    <x v="11"/>
    <x v="3"/>
    <x v="0"/>
    <s v="6100101"/>
    <n v="721830"/>
    <s v="Supplies-Office"/>
    <s v="Clinical Engineering"/>
    <x v="0"/>
    <m/>
    <n v="0"/>
    <n v="0"/>
    <n v="0"/>
    <n v="0"/>
    <n v="0"/>
    <n v="0"/>
    <n v="0"/>
    <n v="0"/>
    <n v="0"/>
    <n v="0.86"/>
    <n v="0"/>
    <n v="0"/>
    <n v="0.86"/>
    <n v="0"/>
  </r>
  <r>
    <x v="11"/>
    <x v="3"/>
    <x v="0"/>
    <s v="6100101"/>
    <n v="721870"/>
    <s v="Supplies-Environmental Services"/>
    <s v="Clinical Engineering"/>
    <x v="0"/>
    <m/>
    <n v="0"/>
    <n v="0"/>
    <n v="4.8"/>
    <n v="31.05"/>
    <n v="15.15"/>
    <n v="0"/>
    <n v="35.85"/>
    <n v="0"/>
    <n v="15.15"/>
    <n v="0"/>
    <n v="15.15"/>
    <n v="0"/>
    <n v="117.15"/>
    <n v="15.15"/>
  </r>
  <r>
    <x v="11"/>
    <x v="3"/>
    <x v="0"/>
    <s v="6100101"/>
    <n v="721910"/>
    <s v="Supplies-Small Equipment"/>
    <s v="Clinical Engineering"/>
    <x v="0"/>
    <m/>
    <n v="66.41"/>
    <n v="-3.1"/>
    <n v="51.4"/>
    <n v="74.23"/>
    <n v="2018.28"/>
    <n v="614.16999999999996"/>
    <n v="573.61"/>
    <n v="47.36"/>
    <n v="291.48"/>
    <n v="73.69"/>
    <n v="53.18"/>
    <n v="0"/>
    <n v="3860.71"/>
    <n v="53.18"/>
  </r>
  <r>
    <x v="11"/>
    <x v="3"/>
    <x v="0"/>
    <s v="6100101"/>
    <n v="722000"/>
    <s v="Supplies-Freight Expense"/>
    <s v="Clinical Engineering"/>
    <x v="0"/>
    <m/>
    <n v="58.4"/>
    <n v="66.400000000000006"/>
    <n v="143.32"/>
    <n v="127.58"/>
    <n v="83.1"/>
    <n v="113.39"/>
    <n v="91.63"/>
    <n v="75.87"/>
    <n v="321.92"/>
    <n v="82.39"/>
    <n v="84.14"/>
    <n v="32.58"/>
    <n v="1280.72"/>
    <n v="51.56"/>
  </r>
  <r>
    <x v="12"/>
    <x v="3"/>
    <x v="0"/>
    <s v="6100101"/>
    <n v="730020"/>
    <s v="Rental and Leases-Equipment (DO NOT USE)"/>
    <s v="Clinical Engineering"/>
    <x v="0"/>
    <m/>
    <n v="0"/>
    <n v="0"/>
    <n v="0"/>
    <n v="0"/>
    <n v="0"/>
    <n v="0"/>
    <n v="0"/>
    <n v="0"/>
    <n v="0"/>
    <n v="0"/>
    <n v="0"/>
    <n v="17.64"/>
    <n v="17.64"/>
    <n v="-17.64"/>
  </r>
  <r>
    <x v="12"/>
    <x v="3"/>
    <x v="0"/>
    <s v="6100101"/>
    <n v="730020"/>
    <s v="Rental and Leases-Copier Usage Fees (DO NOT USE)"/>
    <s v="Clinical Engineering"/>
    <x v="0"/>
    <n v="5100"/>
    <n v="55.92"/>
    <n v="57.87"/>
    <n v="56.89"/>
    <n v="56.9"/>
    <n v="56.89"/>
    <n v="56.9"/>
    <n v="69.2"/>
    <n v="57.91"/>
    <n v="57.79"/>
    <n v="58.03"/>
    <n v="57.91"/>
    <n v="68.430000000000007"/>
    <n v="710.63999999999987"/>
    <n v="-10.52000000000001"/>
  </r>
  <r>
    <x v="16"/>
    <x v="3"/>
    <x v="0"/>
    <s v="6100101"/>
    <n v="732030"/>
    <s v="Repairs---Other"/>
    <s v="Clinical Engineering"/>
    <x v="0"/>
    <m/>
    <n v="6020.27"/>
    <n v="0"/>
    <n v="0"/>
    <n v="0"/>
    <n v="0"/>
    <n v="0"/>
    <n v="0"/>
    <n v="0"/>
    <n v="0"/>
    <n v="952.37"/>
    <n v="0"/>
    <n v="0"/>
    <n v="6972.64"/>
    <n v="0"/>
  </r>
  <r>
    <x v="13"/>
    <x v="3"/>
    <x v="0"/>
    <s v="6100101"/>
    <n v="735070"/>
    <s v="Depreciation-Movable Equipment"/>
    <s v="Clinical Engineering"/>
    <x v="0"/>
    <m/>
    <n v="0"/>
    <n v="12306.09"/>
    <n v="12306.09"/>
    <n v="12306.09"/>
    <n v="12306.09"/>
    <n v="12306.09"/>
    <n v="12306.09"/>
    <n v="12306.09"/>
    <n v="12306.1"/>
    <n v="12306.09"/>
    <n v="12306.1"/>
    <n v="12306.09"/>
    <n v="135367.01"/>
    <n v="1.0000000000218279E-2"/>
  </r>
  <r>
    <x v="0"/>
    <x v="3"/>
    <x v="0"/>
    <s v="6100101"/>
    <n v="740010"/>
    <s v="Education-Materials"/>
    <s v="Clinical Engineering"/>
    <x v="0"/>
    <m/>
    <n v="0"/>
    <n v="0"/>
    <n v="0"/>
    <n v="0"/>
    <n v="0"/>
    <n v="0"/>
    <n v="0"/>
    <n v="0"/>
    <n v="0"/>
    <n v="0"/>
    <n v="660.6"/>
    <n v="0"/>
    <n v="660.6"/>
    <n v="660.6"/>
  </r>
  <r>
    <x v="7"/>
    <x v="0"/>
    <x v="0"/>
    <s v="6100102"/>
    <n v="718050"/>
    <s v="Contract Svcs-Other"/>
    <s v="Clinical Engineering"/>
    <x v="0"/>
    <m/>
    <n v="0"/>
    <n v="0"/>
    <n v="0"/>
    <n v="0"/>
    <n v="0"/>
    <n v="0"/>
    <n v="0"/>
    <n v="0"/>
    <n v="0"/>
    <n v="0"/>
    <n v="275"/>
    <n v="0"/>
    <n v="275"/>
    <n v="275"/>
  </r>
  <r>
    <x v="7"/>
    <x v="0"/>
    <x v="0"/>
    <s v="6100102"/>
    <n v="718070"/>
    <s v="Contract Srvcs-CHI Clinical Engineering"/>
    <s v="Clinical Engineering"/>
    <x v="0"/>
    <m/>
    <n v="171271.17"/>
    <n v="176580.97"/>
    <n v="161218.46"/>
    <n v="188375.45"/>
    <n v="164294.69"/>
    <n v="191659.61"/>
    <n v="214078.78"/>
    <n v="205449.43"/>
    <n v="244516.72"/>
    <n v="204913.15"/>
    <n v="196360.36"/>
    <n v="317127.75"/>
    <n v="2435846.54"/>
    <n v="-120767.39000000001"/>
  </r>
  <r>
    <x v="11"/>
    <x v="0"/>
    <x v="0"/>
    <s v="6100102"/>
    <n v="721810"/>
    <s v="Supplies-Dietary/Cafeteria"/>
    <s v="Clinical Engineering"/>
    <x v="0"/>
    <m/>
    <n v="0"/>
    <n v="0"/>
    <n v="7.23"/>
    <n v="24"/>
    <n v="0"/>
    <n v="0"/>
    <n v="0"/>
    <n v="0"/>
    <n v="18"/>
    <n v="24"/>
    <n v="34.49"/>
    <n v="0"/>
    <n v="107.72"/>
    <n v="34.49"/>
  </r>
  <r>
    <x v="11"/>
    <x v="0"/>
    <x v="0"/>
    <s v="6100102"/>
    <n v="721910"/>
    <s v="Supplies-Small Equipment"/>
    <s v="Clinical Engineering"/>
    <x v="0"/>
    <m/>
    <n v="0"/>
    <n v="0"/>
    <n v="0"/>
    <n v="0"/>
    <n v="300"/>
    <n v="0"/>
    <n v="0"/>
    <n v="0"/>
    <n v="6.58"/>
    <n v="0"/>
    <n v="0"/>
    <n v="0"/>
    <n v="306.58"/>
    <n v="0"/>
  </r>
  <r>
    <x v="11"/>
    <x v="0"/>
    <x v="0"/>
    <s v="6100102"/>
    <n v="722000"/>
    <s v="Supplies-Freight Expense"/>
    <s v="Clinical Engineering"/>
    <x v="0"/>
    <m/>
    <n v="0"/>
    <n v="153.69999999999999"/>
    <n v="0"/>
    <n v="0"/>
    <n v="0"/>
    <n v="7.59"/>
    <n v="11.26"/>
    <n v="0"/>
    <n v="19.11"/>
    <n v="0"/>
    <n v="0"/>
    <n v="0"/>
    <n v="191.65999999999997"/>
    <n v="0"/>
  </r>
  <r>
    <x v="12"/>
    <x v="0"/>
    <x v="0"/>
    <s v="6100102"/>
    <n v="730020"/>
    <s v="Rental and Leases-Copier Usage Fees (DO NOT USE)"/>
    <s v="Clinical Engineering"/>
    <x v="0"/>
    <n v="5100"/>
    <n v="34.409999999999997"/>
    <n v="35.61"/>
    <n v="35.01"/>
    <n v="35.01"/>
    <n v="35.01"/>
    <n v="35.01"/>
    <n v="48.75"/>
    <n v="36.35"/>
    <n v="36.270000000000003"/>
    <n v="105.59"/>
    <n v="52.75"/>
    <n v="52.75"/>
    <n v="542.52"/>
    <n v="0"/>
  </r>
  <r>
    <x v="7"/>
    <x v="4"/>
    <x v="0"/>
    <s v="6100103"/>
    <n v="718070"/>
    <s v="Contract Srvcs-CHI Clinical Engineering"/>
    <s v="Clinical Engineering"/>
    <x v="0"/>
    <m/>
    <n v="91108.97"/>
    <n v="93846.01"/>
    <n v="91862"/>
    <n v="103956.36"/>
    <n v="108552.5"/>
    <n v="121212.69"/>
    <n v="119510.36"/>
    <n v="122879.49"/>
    <n v="117099.84"/>
    <n v="112341.49"/>
    <n v="141032.99"/>
    <n v="102479.02"/>
    <n v="1325881.72"/>
    <n v="38553.969999999987"/>
  </r>
  <r>
    <x v="11"/>
    <x v="4"/>
    <x v="0"/>
    <s v="6100103"/>
    <n v="721810"/>
    <s v="Supplies-Dietary/Cafeteria"/>
    <s v="Clinical Engineering"/>
    <x v="0"/>
    <m/>
    <n v="0"/>
    <n v="0"/>
    <n v="0"/>
    <n v="31.6"/>
    <n v="0"/>
    <n v="0"/>
    <n v="0"/>
    <n v="0"/>
    <n v="0"/>
    <n v="0"/>
    <n v="8"/>
    <n v="84"/>
    <n v="123.6"/>
    <n v="-76"/>
  </r>
  <r>
    <x v="11"/>
    <x v="4"/>
    <x v="0"/>
    <s v="6100103"/>
    <n v="721870"/>
    <s v="Supplies-Environmental Services"/>
    <s v="Clinical Engineering"/>
    <x v="0"/>
    <m/>
    <n v="0"/>
    <n v="0"/>
    <n v="10.35"/>
    <n v="0"/>
    <n v="0"/>
    <n v="0"/>
    <n v="0"/>
    <n v="0"/>
    <n v="0"/>
    <n v="0"/>
    <n v="0"/>
    <n v="0"/>
    <n v="10.35"/>
    <n v="0"/>
  </r>
  <r>
    <x v="11"/>
    <x v="4"/>
    <x v="0"/>
    <s v="6100103"/>
    <n v="721910"/>
    <s v="Supplies-Small Equipment"/>
    <s v="Clinical Engineering"/>
    <x v="0"/>
    <m/>
    <n v="0"/>
    <n v="0"/>
    <n v="0.64"/>
    <n v="0"/>
    <n v="0"/>
    <n v="0"/>
    <n v="0"/>
    <n v="0"/>
    <n v="0"/>
    <n v="0"/>
    <n v="0"/>
    <n v="0"/>
    <n v="0.64"/>
    <n v="0"/>
  </r>
  <r>
    <x v="11"/>
    <x v="4"/>
    <x v="0"/>
    <s v="6100103"/>
    <n v="722000"/>
    <s v="Supplies-Freight Expense"/>
    <s v="Clinical Engineering"/>
    <x v="0"/>
    <m/>
    <n v="0"/>
    <n v="0"/>
    <n v="0"/>
    <n v="0"/>
    <n v="0"/>
    <n v="0"/>
    <n v="0"/>
    <n v="20.27"/>
    <n v="8.16"/>
    <n v="20.07"/>
    <n v="0"/>
    <n v="23.36"/>
    <n v="71.86"/>
    <n v="-23.36"/>
  </r>
  <r>
    <x v="12"/>
    <x v="4"/>
    <x v="0"/>
    <s v="6100103"/>
    <n v="730020"/>
    <s v="Rental and Leases-Copier Usage Fees (DO NOT USE)"/>
    <s v="Clinical Engineering"/>
    <x v="0"/>
    <n v="5100"/>
    <n v="38.15"/>
    <n v="38.380000000000003"/>
    <n v="38.26"/>
    <n v="38.26"/>
    <n v="38.26"/>
    <n v="38.26"/>
    <n v="-17.57"/>
    <n v="35.6"/>
    <n v="35.53"/>
    <n v="35.67"/>
    <n v="35.6"/>
    <n v="35.6"/>
    <n v="390.00000000000006"/>
    <n v="0"/>
  </r>
  <r>
    <x v="7"/>
    <x v="8"/>
    <x v="0"/>
    <s v="6100104"/>
    <n v="718070"/>
    <s v="Contract Srvcs-CHI Clinical Engineering"/>
    <s v="Clinical Engineering"/>
    <x v="0"/>
    <m/>
    <n v="148280"/>
    <n v="122373.34"/>
    <n v="144943.23000000001"/>
    <n v="134056.43"/>
    <n v="129912.88"/>
    <n v="146043.47"/>
    <n v="149852.85999999999"/>
    <n v="130625.35"/>
    <n v="129637.88"/>
    <n v="137249.32"/>
    <n v="145922.4"/>
    <n v="133071.94"/>
    <n v="1651969.0999999999"/>
    <n v="12850.459999999992"/>
  </r>
  <r>
    <x v="11"/>
    <x v="8"/>
    <x v="0"/>
    <s v="6100104"/>
    <n v="721410"/>
    <s v="Supplies-Medical - Nonbillable"/>
    <s v="Clinical Engineering"/>
    <x v="0"/>
    <m/>
    <n v="0"/>
    <n v="0"/>
    <n v="0"/>
    <n v="0"/>
    <n v="0"/>
    <n v="0"/>
    <n v="45.04"/>
    <n v="0"/>
    <n v="0.05"/>
    <n v="0"/>
    <n v="180"/>
    <n v="0"/>
    <n v="225.09"/>
    <n v="180"/>
  </r>
  <r>
    <x v="11"/>
    <x v="8"/>
    <x v="0"/>
    <s v="6100104"/>
    <n v="721810"/>
    <s v="Supplies-Dietary/Cafeteria"/>
    <s v="Clinical Engineering"/>
    <x v="0"/>
    <m/>
    <n v="0"/>
    <n v="0"/>
    <n v="0"/>
    <n v="8"/>
    <n v="8"/>
    <n v="0"/>
    <n v="0"/>
    <n v="0"/>
    <n v="0"/>
    <n v="0"/>
    <n v="0"/>
    <n v="29.86"/>
    <n v="45.86"/>
    <n v="-29.86"/>
  </r>
  <r>
    <x v="11"/>
    <x v="8"/>
    <x v="0"/>
    <s v="6100104"/>
    <n v="721830"/>
    <s v="Supplies-Office"/>
    <s v="Clinical Engineering"/>
    <x v="0"/>
    <m/>
    <n v="0"/>
    <n v="0"/>
    <n v="0"/>
    <n v="0"/>
    <n v="0"/>
    <n v="0"/>
    <n v="19.239999999999998"/>
    <n v="0"/>
    <n v="0"/>
    <n v="0"/>
    <n v="0"/>
    <n v="0"/>
    <n v="19.239999999999998"/>
    <n v="0"/>
  </r>
  <r>
    <x v="11"/>
    <x v="8"/>
    <x v="0"/>
    <s v="6100104"/>
    <n v="722000"/>
    <s v="Supplies-Freight Expense"/>
    <s v="Clinical Engineering"/>
    <x v="0"/>
    <m/>
    <n v="173.35"/>
    <n v="141.44"/>
    <n v="336.61"/>
    <n v="228.84"/>
    <n v="193.46"/>
    <n v="276.02"/>
    <n v="243.39"/>
    <n v="188.74"/>
    <n v="169.54"/>
    <n v="94.8"/>
    <n v="133.71"/>
    <n v="187.69"/>
    <n v="2367.59"/>
    <n v="-53.97999999999999"/>
  </r>
  <r>
    <x v="12"/>
    <x v="8"/>
    <x v="0"/>
    <s v="6100104"/>
    <n v="730020"/>
    <s v="Rental and Leases-Copier Usage Fees (DO NOT USE)"/>
    <s v="Clinical Engineering"/>
    <x v="0"/>
    <n v="5100"/>
    <n v="33.94"/>
    <n v="35.119999999999997"/>
    <n v="34.53"/>
    <n v="34.53"/>
    <n v="34.53"/>
    <n v="34.53"/>
    <n v="297.55"/>
    <n v="35.15"/>
    <n v="35.08"/>
    <n v="35.22"/>
    <n v="35.15"/>
    <n v="39.42"/>
    <n v="684.75"/>
    <n v="-4.2700000000000031"/>
  </r>
  <r>
    <x v="13"/>
    <x v="8"/>
    <x v="0"/>
    <s v="6100104"/>
    <n v="735070"/>
    <s v="Depreciation-Movable Equipment"/>
    <s v="Clinical Engineering"/>
    <x v="0"/>
    <m/>
    <n v="67.98"/>
    <n v="67.98"/>
    <n v="67.98"/>
    <n v="67.98"/>
    <n v="67.97"/>
    <n v="67.98"/>
    <n v="67.959999999999994"/>
    <n v="67.98"/>
    <n v="67.959999999999994"/>
    <n v="0"/>
    <n v="0"/>
    <n v="0"/>
    <n v="611.77"/>
    <n v="0"/>
  </r>
  <r>
    <x v="7"/>
    <x v="5"/>
    <x v="0"/>
    <s v="6100106"/>
    <n v="718070"/>
    <s v="Contract Srvcs-CHI Clinical Engineering"/>
    <s v="Clinical Engineering"/>
    <x v="0"/>
    <m/>
    <n v="174225.16"/>
    <n v="181636.72"/>
    <n v="150665.82999999999"/>
    <n v="179873.8"/>
    <n v="178284.6"/>
    <n v="192873.24"/>
    <n v="156730.96"/>
    <n v="155684.13"/>
    <n v="165817.60999999999"/>
    <n v="158658.48000000001"/>
    <n v="164891.35999999999"/>
    <n v="215442.81"/>
    <n v="2074784.6999999997"/>
    <n v="-50551.450000000012"/>
  </r>
  <r>
    <x v="11"/>
    <x v="5"/>
    <x v="0"/>
    <s v="6100106"/>
    <n v="721810"/>
    <s v="Supplies-Dietary/Cafeteria"/>
    <s v="Clinical Engineering"/>
    <x v="0"/>
    <m/>
    <n v="0"/>
    <n v="0"/>
    <n v="0"/>
    <n v="0"/>
    <n v="0"/>
    <n v="7.36"/>
    <n v="0"/>
    <n v="0"/>
    <n v="0"/>
    <n v="23.36"/>
    <n v="0"/>
    <n v="8"/>
    <n v="38.72"/>
    <n v="-8"/>
  </r>
  <r>
    <x v="11"/>
    <x v="5"/>
    <x v="0"/>
    <s v="6100106"/>
    <n v="722000"/>
    <s v="Supplies-Freight Expense"/>
    <s v="Clinical Engineering"/>
    <x v="0"/>
    <m/>
    <n v="0"/>
    <n v="0"/>
    <n v="3.19"/>
    <n v="0"/>
    <n v="0"/>
    <n v="0"/>
    <n v="0"/>
    <n v="0"/>
    <n v="0"/>
    <n v="0"/>
    <n v="0"/>
    <n v="0"/>
    <n v="3.19"/>
    <n v="0"/>
  </r>
  <r>
    <x v="12"/>
    <x v="5"/>
    <x v="0"/>
    <s v="6100106"/>
    <n v="730020"/>
    <s v="Rental and Leases-Copier Usage Fees (DO NOT USE)"/>
    <s v="Clinical Engineering"/>
    <x v="0"/>
    <n v="5100"/>
    <n v="46.41"/>
    <n v="48.02"/>
    <n v="47.21"/>
    <n v="47.21"/>
    <n v="47.21"/>
    <n v="47.21"/>
    <n v="55.94"/>
    <n v="46.79"/>
    <n v="46.69"/>
    <n v="62.44"/>
    <n v="46.79"/>
    <n v="46.79"/>
    <n v="588.71"/>
    <n v="0"/>
  </r>
  <r>
    <x v="5"/>
    <x v="6"/>
    <x v="0"/>
    <s v="6100107"/>
    <n v="700034"/>
    <s v="Salaries-Tech/Professional-Productive"/>
    <s v="Bio Medical Srvcs-Bremerton"/>
    <x v="0"/>
    <m/>
    <n v="6259.44"/>
    <n v="4123.6499999999996"/>
    <n v="1249.5999999999999"/>
    <n v="0"/>
    <n v="0"/>
    <n v="0"/>
    <n v="0"/>
    <n v="0"/>
    <n v="0"/>
    <n v="0"/>
    <n v="0"/>
    <n v="0"/>
    <n v="11632.69"/>
    <n v="0"/>
  </r>
  <r>
    <x v="5"/>
    <x v="6"/>
    <x v="0"/>
    <s v="6100107"/>
    <n v="700034"/>
    <s v="Salaries-Tech/Professional-OT"/>
    <s v="Bio Medical Srvcs-Bremerton"/>
    <x v="0"/>
    <n v="1000"/>
    <n v="2.62"/>
    <n v="43.69"/>
    <n v="-14.64"/>
    <n v="0"/>
    <n v="0"/>
    <n v="0"/>
    <n v="0"/>
    <n v="0"/>
    <n v="0"/>
    <n v="0"/>
    <n v="0"/>
    <n v="0"/>
    <n v="31.669999999999995"/>
    <n v="0"/>
  </r>
  <r>
    <x v="5"/>
    <x v="6"/>
    <x v="0"/>
    <s v="6100107"/>
    <n v="700034"/>
    <s v="Salaries-Tech/Professional-Other"/>
    <s v="Bio Medical Srvcs-Bremerton"/>
    <x v="0"/>
    <n v="2000"/>
    <n v="478.5"/>
    <n v="0"/>
    <n v="0"/>
    <n v="0"/>
    <n v="0"/>
    <n v="0"/>
    <n v="0"/>
    <n v="0"/>
    <n v="0"/>
    <n v="0"/>
    <n v="0"/>
    <n v="0"/>
    <n v="478.5"/>
    <n v="0"/>
  </r>
  <r>
    <x v="5"/>
    <x v="6"/>
    <x v="0"/>
    <s v="6100107"/>
    <n v="700074"/>
    <s v="Salaries-Tech/Professional-Non-productive"/>
    <s v="Bio Medical Srvcs-Bremerton"/>
    <x v="0"/>
    <m/>
    <n v="785.88"/>
    <n v="3124"/>
    <n v="312.39999999999998"/>
    <n v="0"/>
    <n v="0"/>
    <n v="0"/>
    <n v="0"/>
    <n v="0"/>
    <n v="0"/>
    <n v="0"/>
    <n v="0"/>
    <n v="0"/>
    <n v="4222.28"/>
    <n v="0"/>
  </r>
  <r>
    <x v="5"/>
    <x v="6"/>
    <x v="0"/>
    <s v="6100107"/>
    <n v="700074"/>
    <s v="Salaries-Tech/Professional-NonProd-Other"/>
    <s v="Bio Medical Srvcs-Bremerton"/>
    <x v="0"/>
    <n v="2000"/>
    <n v="871.89"/>
    <n v="0"/>
    <n v="0"/>
    <n v="0"/>
    <n v="0"/>
    <n v="0"/>
    <n v="0"/>
    <n v="0"/>
    <n v="0"/>
    <n v="0"/>
    <n v="0"/>
    <n v="0"/>
    <n v="871.89"/>
    <n v="0"/>
  </r>
  <r>
    <x v="5"/>
    <x v="6"/>
    <x v="0"/>
    <s v="6100107"/>
    <n v="700084"/>
    <s v="Accrued PTO"/>
    <s v="Bio Medical Srvcs-Bremerton"/>
    <x v="0"/>
    <m/>
    <n v="-2016.54"/>
    <n v="0"/>
    <n v="0"/>
    <n v="0"/>
    <n v="0"/>
    <n v="0"/>
    <n v="0"/>
    <n v="0"/>
    <n v="0"/>
    <n v="0"/>
    <n v="0"/>
    <n v="0"/>
    <n v="-2016.54"/>
    <n v="0"/>
  </r>
  <r>
    <x v="6"/>
    <x v="6"/>
    <x v="0"/>
    <s v="6100107"/>
    <n v="713010"/>
    <s v="Benefits-FICA/Medicare"/>
    <s v="Bio Medical Srvcs-Bremerton"/>
    <x v="0"/>
    <m/>
    <n v="3210.8"/>
    <n v="537.84"/>
    <n v="118.25"/>
    <n v="0"/>
    <n v="0"/>
    <n v="0"/>
    <n v="0"/>
    <n v="0"/>
    <n v="0"/>
    <n v="0"/>
    <n v="0"/>
    <n v="0"/>
    <n v="3866.8900000000003"/>
    <n v="0"/>
  </r>
  <r>
    <x v="6"/>
    <x v="6"/>
    <x v="0"/>
    <s v="6100107"/>
    <n v="713090"/>
    <s v="Benefits-Allocated Amounts"/>
    <s v="Bio Medical Srvcs-Bremerton"/>
    <x v="0"/>
    <m/>
    <n v="1120.98"/>
    <n v="1092.51"/>
    <n v="312.23"/>
    <n v="-31.55"/>
    <n v="89.32"/>
    <n v="-6.61"/>
    <n v="68.739999999999995"/>
    <n v="-29.73"/>
    <n v="-40.71"/>
    <n v="99.56"/>
    <n v="-83.27"/>
    <n v="61.57"/>
    <n v="2653.0399999999995"/>
    <n v="-144.84"/>
  </r>
  <r>
    <x v="7"/>
    <x v="6"/>
    <x v="0"/>
    <s v="6100107"/>
    <n v="718070"/>
    <s v="Contract Srvcs-CHI Clinical Engineering"/>
    <s v="Bio Medical Srvcs-Bremerton"/>
    <x v="0"/>
    <m/>
    <n v="287833.96000000002"/>
    <n v="335068.52"/>
    <n v="334078.44"/>
    <n v="330254.63"/>
    <n v="350973.95"/>
    <n v="347555.93"/>
    <n v="356818.63"/>
    <n v="342650.06"/>
    <n v="352353.6"/>
    <n v="339589.95"/>
    <n v="346598.37"/>
    <n v="355460.09"/>
    <n v="4079236.13"/>
    <n v="-8861.7200000000303"/>
  </r>
  <r>
    <x v="11"/>
    <x v="6"/>
    <x v="0"/>
    <s v="6100107"/>
    <n v="721240"/>
    <s v="Supplies-IV Solutions/Supplies - Billable"/>
    <s v="Bio Medical Srvcs-Bremerton"/>
    <x v="0"/>
    <m/>
    <n v="0"/>
    <n v="36"/>
    <n v="36"/>
    <n v="0"/>
    <n v="0"/>
    <n v="0"/>
    <n v="0"/>
    <n v="0"/>
    <n v="0"/>
    <n v="0"/>
    <n v="0"/>
    <n v="0"/>
    <n v="72"/>
    <n v="0"/>
  </r>
  <r>
    <x v="11"/>
    <x v="6"/>
    <x v="0"/>
    <s v="6100107"/>
    <n v="721410"/>
    <s v="Supplies-Medical - Nonbillable"/>
    <s v="Bio Medical Srvcs-Bremerton"/>
    <x v="0"/>
    <m/>
    <n v="75"/>
    <n v="0"/>
    <n v="0"/>
    <n v="0"/>
    <n v="0"/>
    <n v="0"/>
    <n v="0"/>
    <n v="0"/>
    <n v="0"/>
    <n v="0"/>
    <n v="0"/>
    <n v="0"/>
    <n v="75"/>
    <n v="0"/>
  </r>
  <r>
    <x v="11"/>
    <x v="6"/>
    <x v="0"/>
    <s v="6100107"/>
    <n v="721640"/>
    <s v="Supplies-IV Solutions/Supplies - Nonbillable"/>
    <s v="Bio Medical Srvcs-Bremerton"/>
    <x v="0"/>
    <m/>
    <n v="0"/>
    <n v="0"/>
    <n v="0"/>
    <n v="0"/>
    <n v="0"/>
    <n v="0"/>
    <n v="0"/>
    <n v="0"/>
    <n v="0"/>
    <n v="0"/>
    <n v="19.2"/>
    <n v="0"/>
    <n v="19.2"/>
    <n v="19.2"/>
  </r>
  <r>
    <x v="11"/>
    <x v="6"/>
    <x v="0"/>
    <s v="6100107"/>
    <n v="721810"/>
    <s v="Supplies-Dietary/Cafeteria"/>
    <s v="Bio Medical Srvcs-Bremerton"/>
    <x v="0"/>
    <m/>
    <n v="0"/>
    <n v="14.48"/>
    <n v="32"/>
    <n v="0"/>
    <n v="15.98"/>
    <n v="7.71"/>
    <n v="7.71"/>
    <n v="47.6"/>
    <n v="54.26"/>
    <n v="125.68"/>
    <n v="51.74"/>
    <n v="15.37"/>
    <n v="372.53"/>
    <n v="36.370000000000005"/>
  </r>
  <r>
    <x v="11"/>
    <x v="6"/>
    <x v="0"/>
    <s v="6100107"/>
    <n v="721830"/>
    <s v="Supplies-Office"/>
    <s v="Bio Medical Srvcs-Bremerton"/>
    <x v="0"/>
    <m/>
    <n v="0"/>
    <n v="0"/>
    <n v="0"/>
    <n v="0"/>
    <n v="0"/>
    <n v="125.93"/>
    <n v="0"/>
    <n v="0"/>
    <n v="0"/>
    <n v="0"/>
    <n v="0"/>
    <n v="0"/>
    <n v="125.93"/>
    <n v="0"/>
  </r>
  <r>
    <x v="11"/>
    <x v="6"/>
    <x v="0"/>
    <s v="6100107"/>
    <n v="721870"/>
    <s v="Supplies-Environmental Services"/>
    <s v="Bio Medical Srvcs-Bremerton"/>
    <x v="0"/>
    <m/>
    <n v="0"/>
    <n v="0"/>
    <n v="0"/>
    <n v="0"/>
    <n v="0"/>
    <n v="0"/>
    <n v="0"/>
    <n v="0"/>
    <n v="0"/>
    <n v="0"/>
    <n v="0"/>
    <n v="5.28"/>
    <n v="5.28"/>
    <n v="-5.28"/>
  </r>
  <r>
    <x v="11"/>
    <x v="6"/>
    <x v="0"/>
    <s v="6100107"/>
    <n v="721910"/>
    <s v="Supplies-Small Equipment"/>
    <s v="Bio Medical Srvcs-Bremerton"/>
    <x v="0"/>
    <m/>
    <n v="0"/>
    <n v="11.16"/>
    <n v="0"/>
    <n v="0"/>
    <n v="0"/>
    <n v="0"/>
    <n v="4.08"/>
    <n v="7.44"/>
    <n v="0"/>
    <n v="8.16"/>
    <n v="0"/>
    <n v="0"/>
    <n v="30.84"/>
    <n v="0"/>
  </r>
  <r>
    <x v="11"/>
    <x v="6"/>
    <x v="0"/>
    <s v="6100107"/>
    <n v="721980"/>
    <s v="Supplies-Other"/>
    <s v="Bio Medical Srvcs-Bremerton"/>
    <x v="0"/>
    <m/>
    <n v="0"/>
    <n v="0"/>
    <n v="0"/>
    <n v="0"/>
    <n v="0"/>
    <n v="0"/>
    <n v="0"/>
    <n v="0"/>
    <n v="0"/>
    <n v="695"/>
    <n v="100.59"/>
    <n v="0"/>
    <n v="795.59"/>
    <n v="100.59"/>
  </r>
  <r>
    <x v="11"/>
    <x v="6"/>
    <x v="0"/>
    <s v="6100107"/>
    <n v="722000"/>
    <s v="Supplies-Freight Expense"/>
    <s v="Bio Medical Srvcs-Bremerton"/>
    <x v="0"/>
    <m/>
    <n v="0"/>
    <n v="0"/>
    <n v="0"/>
    <n v="0"/>
    <n v="0"/>
    <n v="0"/>
    <n v="0"/>
    <n v="14.57"/>
    <n v="71.78"/>
    <n v="0"/>
    <n v="0"/>
    <n v="11.12"/>
    <n v="97.47"/>
    <n v="-11.12"/>
  </r>
  <r>
    <x v="12"/>
    <x v="6"/>
    <x v="0"/>
    <s v="6100107"/>
    <n v="730020"/>
    <s v="Rental and Leases-Copier Usage Fees (DO NOT USE)"/>
    <s v="Bio Medical Srvcs-Bremerton"/>
    <x v="0"/>
    <n v="5100"/>
    <n v="68.48"/>
    <n v="70.239999999999995"/>
    <n v="69.36"/>
    <n v="69.36"/>
    <n v="69.36"/>
    <n v="69.36"/>
    <n v="-206.53"/>
    <n v="49.56"/>
    <n v="49.45"/>
    <n v="49.67"/>
    <n v="49.56"/>
    <n v="57.87"/>
    <n v="465.74000000000007"/>
    <n v="-8.3099999999999952"/>
  </r>
  <r>
    <x v="15"/>
    <x v="6"/>
    <x v="0"/>
    <s v="6100107"/>
    <n v="731070"/>
    <s v="Cable TV"/>
    <s v="Bio Medical Srvcs-Bremerton"/>
    <x v="0"/>
    <m/>
    <n v="2965.53"/>
    <n v="3995.96"/>
    <n v="4287.32"/>
    <n v="4287.3"/>
    <n v="3171.2"/>
    <n v="4297.2299999999996"/>
    <n v="6519.29"/>
    <n v="3191.2"/>
    <n v="4257.25"/>
    <n v="4287.25"/>
    <n v="4287.42"/>
    <n v="4287.42"/>
    <n v="49834.369999999995"/>
    <n v="0"/>
  </r>
  <r>
    <x v="16"/>
    <x v="6"/>
    <x v="0"/>
    <s v="6100107"/>
    <n v="733030"/>
    <s v="Maintenance Contracts-Other"/>
    <s v="Bio Medical Srvcs-Bremerton"/>
    <x v="0"/>
    <m/>
    <n v="1186.6500000000001"/>
    <n v="-60151.48"/>
    <n v="0"/>
    <n v="-654"/>
    <n v="0"/>
    <n v="-275.7"/>
    <n v="12726.72"/>
    <n v="11434.1"/>
    <n v="-11434.1"/>
    <n v="0"/>
    <n v="0"/>
    <n v="31861.25"/>
    <n v="-15306.559999999998"/>
    <n v="-31861.25"/>
  </r>
  <r>
    <x v="13"/>
    <x v="6"/>
    <x v="0"/>
    <s v="6100107"/>
    <n v="735070"/>
    <s v="Depreciation-Movable Equipment"/>
    <s v="Bio Medical Srvcs-Bremerton"/>
    <x v="0"/>
    <m/>
    <n v="16608.830000000002"/>
    <n v="14182.87"/>
    <n v="13412.42"/>
    <n v="13412.38"/>
    <n v="13412.51"/>
    <n v="13412.35"/>
    <n v="13412.51"/>
    <n v="12438.91"/>
    <n v="12221.72"/>
    <n v="11532.58"/>
    <n v="11532.87"/>
    <n v="11532.51"/>
    <n v="157112.46"/>
    <n v="0.36000000000058208"/>
  </r>
  <r>
    <x v="0"/>
    <x v="6"/>
    <x v="0"/>
    <s v="6100107"/>
    <n v="749530"/>
    <s v="Mileage"/>
    <s v="Bio Medical Srvcs-Bremerton"/>
    <x v="0"/>
    <n v="1001"/>
    <n v="46.33"/>
    <n v="0"/>
    <n v="0"/>
    <n v="0"/>
    <n v="0"/>
    <n v="0"/>
    <n v="0"/>
    <n v="0"/>
    <n v="0"/>
    <n v="0"/>
    <n v="0"/>
    <n v="0"/>
    <n v="46.33"/>
    <n v="0"/>
  </r>
  <r>
    <x v="7"/>
    <x v="7"/>
    <x v="0"/>
    <s v="6100150"/>
    <n v="718070"/>
    <s v="Contract Srvcs-CHI Clinical Engineering"/>
    <s v="Clinical Engineering"/>
    <x v="0"/>
    <m/>
    <n v="47954.35"/>
    <n v="42899.519999999997"/>
    <n v="57110.22"/>
    <n v="64144.84"/>
    <n v="41338.230000000003"/>
    <n v="39828.730000000003"/>
    <n v="39275.06"/>
    <n v="51294.52"/>
    <n v="50237.46"/>
    <n v="45934.21"/>
    <n v="56812.66"/>
    <n v="46022.93"/>
    <n v="582852.7300000001"/>
    <n v="10789.730000000003"/>
  </r>
  <r>
    <x v="11"/>
    <x v="7"/>
    <x v="0"/>
    <s v="6100150"/>
    <n v="721810"/>
    <s v="Supplies-Dietary/Cafeteria"/>
    <s v="Clinical Engineering"/>
    <x v="0"/>
    <m/>
    <n v="0"/>
    <n v="0"/>
    <n v="8"/>
    <n v="0"/>
    <n v="0"/>
    <n v="0"/>
    <n v="0"/>
    <n v="0"/>
    <n v="0"/>
    <n v="0"/>
    <n v="0"/>
    <n v="0"/>
    <n v="8"/>
    <n v="0"/>
  </r>
  <r>
    <x v="12"/>
    <x v="7"/>
    <x v="0"/>
    <s v="6100150"/>
    <n v="730020"/>
    <s v="Rental and Leases-Copier Usage Fees (DO NOT USE)"/>
    <s v="Clinical Engineering"/>
    <x v="0"/>
    <n v="5100"/>
    <n v="34.01"/>
    <n v="35.19"/>
    <n v="34.6"/>
    <n v="34.6"/>
    <n v="34.6"/>
    <n v="34.6"/>
    <n v="102.97"/>
    <n v="73.97"/>
    <n v="73.81"/>
    <n v="74.13"/>
    <n v="73.97"/>
    <n v="86.21"/>
    <n v="692.66000000000008"/>
    <n v="-12.239999999999995"/>
  </r>
  <r>
    <x v="7"/>
    <x v="10"/>
    <x v="0"/>
    <s v="6100306"/>
    <n v="718070"/>
    <s v="Contract Srvcs-CHI Clinical Engineering"/>
    <s v="Clinical Engineering"/>
    <x v="0"/>
    <m/>
    <n v="472.62"/>
    <n v="3022.93"/>
    <n v="6910.27"/>
    <n v="876.03"/>
    <n v="1123.25"/>
    <n v="2210.5500000000002"/>
    <n v="384.88"/>
    <n v="928.3"/>
    <n v="628.53"/>
    <n v="847.83"/>
    <n v="2862.97"/>
    <n v="54.93"/>
    <n v="20323.090000000004"/>
    <n v="2808.04"/>
  </r>
  <r>
    <x v="5"/>
    <x v="6"/>
    <x v="0"/>
    <s v="6101107"/>
    <n v="700034"/>
    <s v="Salaries-Tech/Professional-Productive"/>
    <s v="Bio Medical Srvcs-Silverdale"/>
    <x v="0"/>
    <m/>
    <n v="864.48"/>
    <n v="0"/>
    <n v="0"/>
    <n v="0"/>
    <n v="0"/>
    <n v="0"/>
    <n v="0"/>
    <n v="0"/>
    <n v="0"/>
    <n v="0"/>
    <n v="0"/>
    <n v="0"/>
    <n v="864.48"/>
    <n v="0"/>
  </r>
  <r>
    <x v="5"/>
    <x v="6"/>
    <x v="0"/>
    <s v="6101107"/>
    <n v="700034"/>
    <s v="Salaries-Tech/Professional-OT"/>
    <s v="Bio Medical Srvcs-Silverdale"/>
    <x v="0"/>
    <n v="1000"/>
    <n v="30.56"/>
    <n v="-0.22"/>
    <n v="0"/>
    <n v="0"/>
    <n v="0"/>
    <n v="0"/>
    <n v="0"/>
    <n v="0"/>
    <n v="0"/>
    <n v="0"/>
    <n v="0"/>
    <n v="0"/>
    <n v="30.34"/>
    <n v="0"/>
  </r>
  <r>
    <x v="5"/>
    <x v="6"/>
    <x v="0"/>
    <s v="6101107"/>
    <n v="700034"/>
    <s v="Salaries-Tech/Professional-Other"/>
    <s v="Bio Medical Srvcs-Silverdale"/>
    <x v="0"/>
    <n v="2000"/>
    <n v="58"/>
    <n v="0"/>
    <n v="0"/>
    <n v="0"/>
    <n v="0"/>
    <n v="0"/>
    <n v="0"/>
    <n v="0"/>
    <n v="0"/>
    <n v="0"/>
    <n v="0"/>
    <n v="0"/>
    <n v="58"/>
    <n v="0"/>
  </r>
  <r>
    <x v="5"/>
    <x v="6"/>
    <x v="0"/>
    <s v="6101107"/>
    <n v="700074"/>
    <s v="Salaries-Tech/Professional-NonProd-Other"/>
    <s v="Bio Medical Srvcs-Silverdale"/>
    <x v="0"/>
    <n v="2000"/>
    <n v="24"/>
    <n v="0"/>
    <n v="0"/>
    <n v="0"/>
    <n v="0"/>
    <n v="0"/>
    <n v="0"/>
    <n v="0"/>
    <n v="0"/>
    <n v="0"/>
    <n v="0"/>
    <n v="0"/>
    <n v="24"/>
    <n v="0"/>
  </r>
  <r>
    <x v="6"/>
    <x v="6"/>
    <x v="0"/>
    <s v="6101107"/>
    <n v="713010"/>
    <s v="Benefits-FICA/Medicare"/>
    <s v="Bio Medical Srvcs-Silverdale"/>
    <x v="0"/>
    <m/>
    <n v="71.59"/>
    <n v="-0.9"/>
    <n v="0"/>
    <n v="0"/>
    <n v="0"/>
    <n v="0"/>
    <n v="0"/>
    <n v="0"/>
    <n v="0"/>
    <n v="0"/>
    <n v="0"/>
    <n v="0"/>
    <n v="70.69"/>
    <n v="0"/>
  </r>
  <r>
    <x v="6"/>
    <x v="6"/>
    <x v="0"/>
    <s v="6101107"/>
    <n v="713090"/>
    <s v="Benefits-Allocated Amounts"/>
    <s v="Bio Medical Srvcs-Silverdale"/>
    <x v="0"/>
    <m/>
    <n v="161.03"/>
    <n v="-17.48"/>
    <n v="12.28"/>
    <n v="-16.55"/>
    <n v="40"/>
    <n v="-51.59"/>
    <n v="-0.62"/>
    <n v="18.260000000000002"/>
    <n v="15.62"/>
    <n v="19.43"/>
    <n v="18.96"/>
    <n v="21.74"/>
    <n v="221.08"/>
    <n v="-2.7799999999999976"/>
  </r>
  <r>
    <x v="7"/>
    <x v="6"/>
    <x v="0"/>
    <s v="6101107"/>
    <n v="718070"/>
    <s v="Contract Srvcs-CHI Clinical Engineering"/>
    <s v="Bio Medical Srvcs-Silverdale"/>
    <x v="0"/>
    <m/>
    <n v="82508.25"/>
    <n v="82692.3"/>
    <n v="78566.14"/>
    <n v="61375.98"/>
    <n v="86227.71"/>
    <n v="64578.27"/>
    <n v="90641.63"/>
    <n v="79956.38"/>
    <n v="84640.87"/>
    <n v="80137.75"/>
    <n v="92166.66"/>
    <n v="89881.82"/>
    <n v="973373.76"/>
    <n v="2284.8399999999965"/>
  </r>
  <r>
    <x v="12"/>
    <x v="6"/>
    <x v="0"/>
    <s v="6101107"/>
    <n v="730020"/>
    <s v="Rental and Leases-Copier Usage Fees (DO NOT USE)"/>
    <s v="Bio Medical Srvcs-Silverdale"/>
    <x v="0"/>
    <n v="5100"/>
    <n v="67.8"/>
    <n v="-1139.47"/>
    <n v="-299.69"/>
    <n v="172.6"/>
    <n v="-299.69"/>
    <n v="-299.69"/>
    <n v="2047.46"/>
    <n v="35.31"/>
    <n v="35.24"/>
    <n v="35.380000000000003"/>
    <n v="35.31"/>
    <n v="39.69"/>
    <n v="430.24999999999972"/>
    <n v="-4.3799999999999955"/>
  </r>
  <r>
    <x v="13"/>
    <x v="6"/>
    <x v="0"/>
    <s v="6101107"/>
    <n v="735070"/>
    <s v="Depreciation-Movable Equipment"/>
    <s v="Bio Medical Srvcs-Silverdale"/>
    <x v="0"/>
    <m/>
    <n v="1028.24"/>
    <n v="1028.23"/>
    <n v="1028.24"/>
    <n v="5361.47"/>
    <n v="5361.47"/>
    <n v="5361.47"/>
    <n v="5361.48"/>
    <n v="4690.7700000000004"/>
    <n v="4680.83"/>
    <n v="4508.63"/>
    <n v="4508.66"/>
    <n v="4508.63"/>
    <n v="47428.12"/>
    <n v="2.9999999999745341E-2"/>
  </r>
  <r>
    <x v="19"/>
    <x v="3"/>
    <x v="0"/>
    <s v="6125101"/>
    <n v="400020"/>
    <s v="O/P Care Svcs Rev--Medicare"/>
    <s v="Dietary"/>
    <x v="0"/>
    <n v="1100"/>
    <n v="0"/>
    <n v="-170"/>
    <n v="0"/>
    <n v="-3810.92"/>
    <n v="0"/>
    <n v="0"/>
    <n v="0"/>
    <n v="0"/>
    <n v="0"/>
    <n v="0"/>
    <n v="0"/>
    <n v="0"/>
    <n v="-3980.92"/>
    <n v="0"/>
  </r>
  <r>
    <x v="19"/>
    <x v="3"/>
    <x v="0"/>
    <s v="6125101"/>
    <n v="400020"/>
    <s v="O/P Care Svcs Rev--Medicaid"/>
    <s v="Dietary"/>
    <x v="0"/>
    <n v="1200"/>
    <n v="-187.42"/>
    <n v="170"/>
    <n v="0"/>
    <n v="3810.92"/>
    <n v="0"/>
    <n v="-187.42"/>
    <n v="0"/>
    <n v="0"/>
    <n v="0"/>
    <n v="0"/>
    <n v="0"/>
    <n v="-482.6"/>
    <n v="3123.48"/>
    <n v="482.6"/>
  </r>
  <r>
    <x v="19"/>
    <x v="3"/>
    <x v="0"/>
    <s v="6125101"/>
    <n v="400020"/>
    <s v="O/P Care Svcs Rev--BCBS Comm"/>
    <s v="Dietary"/>
    <x v="0"/>
    <n v="1301"/>
    <n v="0"/>
    <n v="0"/>
    <n v="0"/>
    <n v="0"/>
    <n v="0"/>
    <n v="0"/>
    <n v="0"/>
    <n v="0"/>
    <n v="0"/>
    <n v="0"/>
    <n v="-193.04"/>
    <n v="-193.04"/>
    <n v="-386.08"/>
    <n v="0"/>
  </r>
  <r>
    <x v="14"/>
    <x v="3"/>
    <x v="0"/>
    <s v="6125101"/>
    <n v="600034"/>
    <s v="Cafeteria Revenue"/>
    <s v="Dietary"/>
    <x v="0"/>
    <m/>
    <n v="-143948.63"/>
    <n v="-164276.89000000001"/>
    <n v="-134616.74"/>
    <n v="-156227.87"/>
    <n v="-158345.82999999999"/>
    <n v="-140582.22"/>
    <n v="-149736.46"/>
    <n v="-152649.98000000001"/>
    <n v="-158722.10999999999"/>
    <n v="-143940.20000000001"/>
    <n v="-151500.14000000001"/>
    <n v="-152529.07"/>
    <n v="-1807076.14"/>
    <n v="1028.929999999993"/>
  </r>
  <r>
    <x v="14"/>
    <x v="3"/>
    <x v="0"/>
    <s v="6125101"/>
    <n v="600034"/>
    <s v="Vending Commission"/>
    <s v="Dietary"/>
    <x v="0"/>
    <n v="1002"/>
    <n v="-134.49"/>
    <n v="-5398.97"/>
    <n v="0"/>
    <n v="0"/>
    <n v="0"/>
    <n v="-5127.75"/>
    <n v="0"/>
    <n v="-49265.65"/>
    <n v="27081.83"/>
    <n v="0"/>
    <n v="0"/>
    <n v="0"/>
    <n v="-32845.03"/>
    <n v="0"/>
  </r>
  <r>
    <x v="14"/>
    <x v="3"/>
    <x v="0"/>
    <s v="6125101"/>
    <n v="600034"/>
    <s v="Cafeteria MHC Revenue"/>
    <s v="Dietary"/>
    <x v="0"/>
    <n v="2300"/>
    <n v="-10844.42"/>
    <n v="-12985.47"/>
    <n v="-10374.799999999999"/>
    <n v="-10811.72"/>
    <n v="-12916.67"/>
    <n v="-8627.2900000000009"/>
    <n v="-11711.29"/>
    <n v="-8967.48"/>
    <n v="-12401.23"/>
    <n v="-10565"/>
    <n v="-11365.26"/>
    <n v="-11291.94"/>
    <n v="-132862.56999999998"/>
    <n v="-73.319999999999709"/>
  </r>
  <r>
    <x v="14"/>
    <x v="3"/>
    <x v="0"/>
    <s v="6125101"/>
    <n v="600034"/>
    <s v="Deli Revenue"/>
    <s v="Dietary"/>
    <x v="0"/>
    <n v="5100"/>
    <n v="-93909.2"/>
    <n v="-118998.52"/>
    <n v="-97751.3"/>
    <n v="-109198.88"/>
    <n v="-113352.34"/>
    <n v="-102469.86"/>
    <n v="-107865.15"/>
    <n v="-74517.34"/>
    <n v="-114589.23"/>
    <n v="-109440.23"/>
    <n v="-115761.22"/>
    <n v="-113753.43"/>
    <n v="-1271606.7"/>
    <n v="-2007.7900000000081"/>
  </r>
  <r>
    <x v="14"/>
    <x v="3"/>
    <x v="0"/>
    <s v="6125101"/>
    <n v="600034"/>
    <s v="Catering Revenue"/>
    <s v="Dietary"/>
    <x v="0"/>
    <n v="5101"/>
    <n v="-6727.38"/>
    <n v="-7611.85"/>
    <n v="-8561"/>
    <n v="-11092.35"/>
    <n v="-10037.25"/>
    <n v="-8373.39"/>
    <n v="-56418.9"/>
    <n v="-10308.69"/>
    <n v="-8673.7099999999991"/>
    <n v="-8432.2800000000007"/>
    <n v="-11727.67"/>
    <n v="-9507.64"/>
    <n v="-157472.10999999999"/>
    <n v="-2220.0300000000007"/>
  </r>
  <r>
    <x v="14"/>
    <x v="3"/>
    <x v="0"/>
    <s v="6125101"/>
    <n v="600038"/>
    <s v="Meals on Wheels Revenue"/>
    <s v="Dietary"/>
    <x v="0"/>
    <m/>
    <n v="-17275.91"/>
    <n v="-22389.26"/>
    <n v="-19679.759999999998"/>
    <n v="-22013.85"/>
    <n v="-22937.5"/>
    <n v="-16943.419999999998"/>
    <n v="-19427.87"/>
    <n v="-16772.39"/>
    <n v="-24205.94"/>
    <n v="-21891.919999999998"/>
    <n v="-22414.89"/>
    <n v="-20335.18"/>
    <n v="-246287.89"/>
    <n v="-2079.7099999999991"/>
  </r>
  <r>
    <x v="14"/>
    <x v="3"/>
    <x v="0"/>
    <s v="6125101"/>
    <n v="600060"/>
    <s v="Gain/Loss--Sale of Fixed Assets"/>
    <s v="Dietary"/>
    <x v="0"/>
    <m/>
    <n v="0"/>
    <n v="0"/>
    <n v="0"/>
    <n v="0"/>
    <n v="0"/>
    <n v="112.15"/>
    <n v="0"/>
    <n v="0"/>
    <n v="0"/>
    <n v="0"/>
    <n v="0"/>
    <n v="0"/>
    <n v="112.15"/>
    <n v="0"/>
  </r>
  <r>
    <x v="5"/>
    <x v="3"/>
    <x v="0"/>
    <s v="6125101"/>
    <n v="700014"/>
    <s v="Salaries-Management-Productive"/>
    <s v="Dietary"/>
    <x v="0"/>
    <m/>
    <n v="0"/>
    <n v="0"/>
    <n v="0"/>
    <n v="0"/>
    <n v="116.16"/>
    <n v="0"/>
    <n v="0"/>
    <n v="0"/>
    <n v="0"/>
    <n v="0"/>
    <n v="0"/>
    <n v="0"/>
    <n v="116.16"/>
    <n v="0"/>
  </r>
  <r>
    <x v="5"/>
    <x v="3"/>
    <x v="0"/>
    <s v="6125101"/>
    <n v="700014"/>
    <s v="Salaries-Management-OT"/>
    <s v="Dietary"/>
    <x v="0"/>
    <n v="1000"/>
    <n v="0"/>
    <n v="0"/>
    <n v="0"/>
    <n v="0"/>
    <n v="58.08"/>
    <n v="0"/>
    <n v="0"/>
    <n v="0"/>
    <n v="0"/>
    <n v="0"/>
    <n v="0"/>
    <n v="0"/>
    <n v="58.08"/>
    <n v="0"/>
  </r>
  <r>
    <x v="5"/>
    <x v="3"/>
    <x v="0"/>
    <s v="6125101"/>
    <n v="700014"/>
    <s v="Salaries-Management-Other"/>
    <s v="Dietary"/>
    <x v="0"/>
    <n v="2000"/>
    <n v="0"/>
    <n v="0"/>
    <n v="0"/>
    <n v="0"/>
    <n v="35.54"/>
    <n v="0"/>
    <n v="0"/>
    <n v="0"/>
    <n v="0"/>
    <n v="0"/>
    <n v="0"/>
    <n v="0"/>
    <n v="35.54"/>
    <n v="0"/>
  </r>
  <r>
    <x v="5"/>
    <x v="3"/>
    <x v="0"/>
    <s v="6125101"/>
    <n v="700032"/>
    <s v="Salaries-Other Pat Care Providers-Productive"/>
    <s v="Dietary"/>
    <x v="0"/>
    <m/>
    <n v="0"/>
    <n v="0"/>
    <n v="0"/>
    <n v="0"/>
    <n v="0"/>
    <n v="0"/>
    <n v="0"/>
    <n v="0"/>
    <n v="0"/>
    <n v="0"/>
    <n v="0"/>
    <n v="14.03"/>
    <n v="14.03"/>
    <n v="-14.03"/>
  </r>
  <r>
    <x v="5"/>
    <x v="3"/>
    <x v="0"/>
    <s v="6125101"/>
    <n v="700038"/>
    <s v="Salaries-Service/Support-Productive"/>
    <s v="Dietary"/>
    <x v="0"/>
    <m/>
    <n v="331326.14"/>
    <n v="327746.89"/>
    <n v="320360.34999999998"/>
    <n v="328736.61"/>
    <n v="325531.56"/>
    <n v="323374.56"/>
    <n v="328323.90000000002"/>
    <n v="290593.46000000002"/>
    <n v="331977.71999999997"/>
    <n v="318374.56"/>
    <n v="320985.46999999997"/>
    <n v="312642.32"/>
    <n v="3859973.5400000005"/>
    <n v="8343.1499999999651"/>
  </r>
  <r>
    <x v="5"/>
    <x v="3"/>
    <x v="0"/>
    <s v="6125101"/>
    <n v="700038"/>
    <s v="Salaries-Service/Support-OT"/>
    <s v="Dietary"/>
    <x v="0"/>
    <n v="1000"/>
    <n v="12896.07"/>
    <n v="11614.4"/>
    <n v="21010.78"/>
    <n v="13439.67"/>
    <n v="13509.67"/>
    <n v="10211.93"/>
    <n v="6941.18"/>
    <n v="12248.03"/>
    <n v="12627.5"/>
    <n v="13246.54"/>
    <n v="16086.37"/>
    <n v="20766.009999999998"/>
    <n v="164598.15"/>
    <n v="-4679.6399999999976"/>
  </r>
  <r>
    <x v="5"/>
    <x v="3"/>
    <x v="0"/>
    <s v="6125101"/>
    <n v="700038"/>
    <s v="Salaries-Service/Support-Other"/>
    <s v="Dietary"/>
    <x v="0"/>
    <n v="2000"/>
    <n v="19855.490000000002"/>
    <n v="21027.15"/>
    <n v="19184.03"/>
    <n v="19563.810000000001"/>
    <n v="18809.64"/>
    <n v="19183.52"/>
    <n v="18462.990000000002"/>
    <n v="15981.72"/>
    <n v="17924.3"/>
    <n v="17476.689999999999"/>
    <n v="16676.150000000001"/>
    <n v="16831.27"/>
    <n v="220976.75999999998"/>
    <n v="-155.11999999999898"/>
  </r>
  <r>
    <x v="5"/>
    <x v="3"/>
    <x v="0"/>
    <s v="6125101"/>
    <n v="700054"/>
    <s v="Salaries-Management-Non-productive"/>
    <s v="Dietary"/>
    <x v="0"/>
    <m/>
    <n v="0"/>
    <n v="0"/>
    <n v="0"/>
    <n v="0"/>
    <n v="340.98"/>
    <n v="0"/>
    <n v="0"/>
    <n v="0"/>
    <n v="0"/>
    <n v="0"/>
    <n v="0"/>
    <n v="0"/>
    <n v="340.98"/>
    <n v="0"/>
  </r>
  <r>
    <x v="5"/>
    <x v="3"/>
    <x v="0"/>
    <s v="6125101"/>
    <n v="700054"/>
    <s v="Salaries-Management-NonProd-Other"/>
    <s v="Dietary"/>
    <x v="0"/>
    <n v="2000"/>
    <n v="0"/>
    <n v="0"/>
    <n v="0"/>
    <n v="0"/>
    <n v="0"/>
    <n v="5487.08"/>
    <n v="-5487.08"/>
    <n v="0"/>
    <n v="0"/>
    <n v="0"/>
    <n v="0"/>
    <n v="0"/>
    <n v="0"/>
    <n v="0"/>
  </r>
  <r>
    <x v="5"/>
    <x v="3"/>
    <x v="0"/>
    <s v="6125101"/>
    <n v="700078"/>
    <s v="Salaries-Service/Support-Non-productive"/>
    <s v="Dietary"/>
    <x v="0"/>
    <m/>
    <n v="55067.31"/>
    <n v="53177.26"/>
    <n v="43319.3"/>
    <n v="49165.43"/>
    <n v="32816.61"/>
    <n v="63187.09"/>
    <n v="42580.39"/>
    <n v="49702.97"/>
    <n v="24714.57"/>
    <n v="39714.949999999997"/>
    <n v="44345.82"/>
    <n v="39159.160000000003"/>
    <n v="536950.86"/>
    <n v="5186.6599999999962"/>
  </r>
  <r>
    <x v="5"/>
    <x v="3"/>
    <x v="0"/>
    <s v="6125101"/>
    <n v="700078"/>
    <s v="Salaries-Service/Support-NonProd-Other"/>
    <s v="Dietary"/>
    <x v="0"/>
    <n v="2000"/>
    <n v="1655.09"/>
    <n v="1926.23"/>
    <n v="2459.23"/>
    <n v="1870.46"/>
    <n v="5120.1899999999996"/>
    <n v="5039.53"/>
    <n v="1179.82"/>
    <n v="-4483.62"/>
    <n v="1094.58"/>
    <n v="1510.87"/>
    <n v="1373.93"/>
    <n v="1533.08"/>
    <n v="20279.39"/>
    <n v="-159.14999999999986"/>
  </r>
  <r>
    <x v="5"/>
    <x v="3"/>
    <x v="0"/>
    <s v="6125101"/>
    <n v="700084"/>
    <s v="Accrued PTO"/>
    <s v="Dietary"/>
    <x v="0"/>
    <m/>
    <n v="-8138.59"/>
    <n v="-3925.32"/>
    <n v="-760.62"/>
    <n v="6255.5"/>
    <n v="12023.02"/>
    <n v="-10523.06"/>
    <n v="983.78"/>
    <n v="-5887.96"/>
    <n v="18112.62"/>
    <n v="12647.76"/>
    <n v="6250.41"/>
    <n v="9164.2099999999991"/>
    <n v="36201.75"/>
    <n v="-2913.7999999999993"/>
  </r>
  <r>
    <x v="6"/>
    <x v="3"/>
    <x v="0"/>
    <s v="6125101"/>
    <n v="713010"/>
    <s v="Benefits-FICA/Medicare"/>
    <s v="Dietary"/>
    <x v="0"/>
    <m/>
    <n v="31254.09"/>
    <n v="30795.919999999998"/>
    <n v="31662.27"/>
    <n v="30528.99"/>
    <n v="30580.37"/>
    <n v="33076.32"/>
    <n v="29995.03"/>
    <n v="27271.63"/>
    <n v="28561.05"/>
    <n v="28546.31"/>
    <n v="29386.77"/>
    <n v="29685.63"/>
    <n v="361344.38000000006"/>
    <n v="-298.86000000000058"/>
  </r>
  <r>
    <x v="6"/>
    <x v="3"/>
    <x v="0"/>
    <s v="6125101"/>
    <n v="713090"/>
    <s v="Benefits-Allocated Amounts"/>
    <s v="Dietary"/>
    <x v="0"/>
    <m/>
    <n v="150442"/>
    <n v="136287.94"/>
    <n v="145008.85999999999"/>
    <n v="145301.26999999999"/>
    <n v="142132.96"/>
    <n v="142766.39999999999"/>
    <n v="148945.23000000001"/>
    <n v="145357.78"/>
    <n v="120923.46"/>
    <n v="145938.85999999999"/>
    <n v="153545.94"/>
    <n v="145018.96"/>
    <n v="1721669.6599999997"/>
    <n v="8526.9800000000105"/>
  </r>
  <r>
    <x v="7"/>
    <x v="3"/>
    <x v="0"/>
    <s v="6125101"/>
    <n v="718010"/>
    <s v="Employee Advertising"/>
    <s v="Dietary"/>
    <x v="0"/>
    <n v="1002"/>
    <n v="0"/>
    <n v="0"/>
    <n v="0"/>
    <n v="0"/>
    <n v="0"/>
    <n v="0"/>
    <n v="0"/>
    <n v="0"/>
    <n v="0"/>
    <n v="60"/>
    <n v="0"/>
    <n v="0"/>
    <n v="60"/>
    <n v="0"/>
  </r>
  <r>
    <x v="7"/>
    <x v="3"/>
    <x v="0"/>
    <s v="6125101"/>
    <n v="718050"/>
    <s v="Cleaning Services"/>
    <s v="Dietary"/>
    <x v="0"/>
    <n v="1011"/>
    <n v="895.25"/>
    <n v="2787.88"/>
    <n v="275"/>
    <n v="1415"/>
    <n v="3173.75"/>
    <n v="302.77999999999997"/>
    <n v="3909.05"/>
    <n v="21225.93"/>
    <n v="2772.85"/>
    <n v="6869.56"/>
    <n v="6566.78"/>
    <n v="8633.09"/>
    <n v="58826.92"/>
    <n v="-2066.3100000000004"/>
  </r>
  <r>
    <x v="7"/>
    <x v="3"/>
    <x v="0"/>
    <s v="6125101"/>
    <n v="718050"/>
    <s v="Document Shredding/Storage"/>
    <s v="Dietary"/>
    <x v="0"/>
    <n v="1012"/>
    <n v="10"/>
    <n v="11.24"/>
    <n v="9.75"/>
    <n v="10.08"/>
    <n v="10.41"/>
    <n v="10.41"/>
    <n v="10.3"/>
    <n v="8.85"/>
    <n v="9.16"/>
    <n v="61.74"/>
    <n v="34.950000000000003"/>
    <n v="-38.32"/>
    <n v="148.57"/>
    <n v="73.27000000000001"/>
  </r>
  <r>
    <x v="7"/>
    <x v="3"/>
    <x v="0"/>
    <s v="6125101"/>
    <n v="718050"/>
    <s v="Miscellaneous Purchased Svcs"/>
    <s v="Dietary"/>
    <x v="0"/>
    <n v="1020"/>
    <n v="0"/>
    <n v="0"/>
    <n v="0"/>
    <n v="0"/>
    <n v="0"/>
    <n v="0"/>
    <n v="0"/>
    <n v="0"/>
    <n v="0"/>
    <n v="0"/>
    <n v="3522.25"/>
    <n v="0"/>
    <n v="3522.25"/>
    <n v="3522.25"/>
  </r>
  <r>
    <x v="7"/>
    <x v="3"/>
    <x v="0"/>
    <s v="6125101"/>
    <n v="718050"/>
    <s v="Translation Services"/>
    <s v="Dietary"/>
    <x v="0"/>
    <n v="1025"/>
    <n v="147.5"/>
    <n v="219.5"/>
    <n v="0"/>
    <n v="24.96"/>
    <n v="0"/>
    <n v="0"/>
    <n v="198.74"/>
    <n v="148"/>
    <n v="200.69"/>
    <n v="0"/>
    <n v="3.16"/>
    <n v="3.24"/>
    <n v="945.79000000000008"/>
    <n v="-8.0000000000000071E-2"/>
  </r>
  <r>
    <x v="7"/>
    <x v="3"/>
    <x v="0"/>
    <s v="6125101"/>
    <n v="718050"/>
    <s v="Contract Management--Linen"/>
    <s v="Dietary"/>
    <x v="0"/>
    <n v="1026"/>
    <n v="3651.27"/>
    <n v="5876.22"/>
    <n v="4345.33"/>
    <n v="3867.72"/>
    <n v="3140.3"/>
    <n v="4912.6499999999996"/>
    <n v="3119.59"/>
    <n v="4331.26"/>
    <n v="2195.67"/>
    <n v="609.65"/>
    <n v="934.09"/>
    <n v="862.74"/>
    <n v="37846.489999999991"/>
    <n v="71.350000000000023"/>
  </r>
  <r>
    <x v="7"/>
    <x v="3"/>
    <x v="0"/>
    <s v="6125101"/>
    <n v="718050"/>
    <s v="Contract Services-Food&amp;Catering"/>
    <s v="Dietary"/>
    <x v="0"/>
    <n v="1030"/>
    <n v="104800.97"/>
    <n v="105003.79"/>
    <n v="103999.58"/>
    <n v="99242.84"/>
    <n v="96910.89"/>
    <n v="101704.38"/>
    <n v="99133.81"/>
    <n v="152760.07999999999"/>
    <n v="94648.01"/>
    <n v="94785.9"/>
    <n v="95344.63"/>
    <n v="95753.5"/>
    <n v="1244088.3799999999"/>
    <n v="-408.86999999999534"/>
  </r>
  <r>
    <x v="7"/>
    <x v="3"/>
    <x v="0"/>
    <s v="6125101"/>
    <n v="718091"/>
    <s v="Contract Services-Intracompany Allocation"/>
    <s v="Dietary"/>
    <x v="0"/>
    <m/>
    <n v="52806.95"/>
    <n v="52006.36"/>
    <n v="54014.16"/>
    <n v="55115.48"/>
    <n v="53148.92"/>
    <n v="56683.07"/>
    <n v="56785.919999999998"/>
    <n v="53487.89"/>
    <n v="58948.72"/>
    <n v="54296.09"/>
    <n v="54771.24"/>
    <n v="57219.69"/>
    <n v="659284.49"/>
    <n v="-2448.4500000000044"/>
  </r>
  <r>
    <x v="11"/>
    <x v="3"/>
    <x v="0"/>
    <s v="6125101"/>
    <n v="721010"/>
    <s v="Supplies-Medical - Billable"/>
    <s v="Dietary"/>
    <x v="0"/>
    <m/>
    <n v="107.94"/>
    <n v="0"/>
    <n v="0"/>
    <n v="0"/>
    <n v="0"/>
    <n v="0"/>
    <n v="0"/>
    <n v="0"/>
    <n v="0"/>
    <n v="53.97"/>
    <n v="5.45"/>
    <n v="0"/>
    <n v="167.35999999999999"/>
    <n v="5.45"/>
  </r>
  <r>
    <x v="11"/>
    <x v="3"/>
    <x v="0"/>
    <s v="6125101"/>
    <n v="721250"/>
    <s v="Supplies-Pharmacy Drugs - Billable"/>
    <s v="Dietary"/>
    <x v="0"/>
    <m/>
    <n v="5639.8"/>
    <n v="5879.96"/>
    <n v="5011.1099999999997"/>
    <n v="5363.34"/>
    <n v="4957.09"/>
    <n v="6709.58"/>
    <n v="7518.97"/>
    <n v="6145.61"/>
    <n v="5996.58"/>
    <n v="5669.96"/>
    <n v="6682.19"/>
    <n v="4253.08"/>
    <n v="69827.27"/>
    <n v="2429.1099999999997"/>
  </r>
  <r>
    <x v="11"/>
    <x v="3"/>
    <x v="0"/>
    <s v="6125101"/>
    <n v="721410"/>
    <s v="Supplies-Medical - Nonbillable"/>
    <s v="Dietary"/>
    <x v="0"/>
    <m/>
    <n v="1473.43"/>
    <n v="2453.17"/>
    <n v="1953.72"/>
    <n v="1560.04"/>
    <n v="2128.56"/>
    <n v="2237.41"/>
    <n v="1919.53"/>
    <n v="1949.25"/>
    <n v="2252.44"/>
    <n v="1483.61"/>
    <n v="1768.74"/>
    <n v="1945.95"/>
    <n v="23125.850000000002"/>
    <n v="-177.21000000000004"/>
  </r>
  <r>
    <x v="11"/>
    <x v="3"/>
    <x v="0"/>
    <s v="6125101"/>
    <n v="721650"/>
    <s v="Supplies-Pharmacy Drugs - Nonbillable"/>
    <s v="Dietary"/>
    <x v="0"/>
    <m/>
    <n v="393.03"/>
    <n v="-36.06"/>
    <n v="262.02"/>
    <n v="262.02"/>
    <n v="-24.04"/>
    <n v="393.03"/>
    <n v="0"/>
    <n v="85.05"/>
    <n v="110"/>
    <n v="231.11"/>
    <n v="0"/>
    <n v="197.78"/>
    <n v="1873.9399999999998"/>
    <n v="-197.78"/>
  </r>
  <r>
    <x v="11"/>
    <x v="3"/>
    <x v="0"/>
    <s v="6125101"/>
    <n v="721810"/>
    <s v="Supplies-Dietary/Cafeteria"/>
    <s v="Dietary"/>
    <x v="0"/>
    <m/>
    <n v="243970.45"/>
    <n v="363257.04"/>
    <n v="321007.26"/>
    <n v="340133.62"/>
    <n v="275756.7"/>
    <n v="325446.21000000002"/>
    <n v="358979.67"/>
    <n v="352518.42"/>
    <n v="340015.15"/>
    <n v="256678.02"/>
    <n v="217358.15"/>
    <n v="377292.86"/>
    <n v="3772413.55"/>
    <n v="-159934.71"/>
  </r>
  <r>
    <x v="11"/>
    <x v="3"/>
    <x v="0"/>
    <s v="6125101"/>
    <n v="721810"/>
    <s v="Food Products (RESTRICTED)"/>
    <s v="Dietary"/>
    <x v="0"/>
    <n v="5200"/>
    <n v="-66579.67"/>
    <n v="-70326.77"/>
    <n v="-75977.06"/>
    <n v="-80821.440000000002"/>
    <n v="-94636.23"/>
    <n v="-96149.06"/>
    <n v="-33976.42"/>
    <n v="-61953.34"/>
    <n v="-89395.41"/>
    <n v="-70437.06"/>
    <n v="-88148.94"/>
    <n v="-66961.81"/>
    <n v="-895363.21"/>
    <n v="-21187.130000000005"/>
  </r>
  <r>
    <x v="11"/>
    <x v="3"/>
    <x v="0"/>
    <s v="6125101"/>
    <n v="721830"/>
    <s v="Supplies-Office"/>
    <s v="Dietary"/>
    <x v="0"/>
    <m/>
    <n v="275.2"/>
    <n v="761.99"/>
    <n v="922.8"/>
    <n v="850.5"/>
    <n v="746.86"/>
    <n v="539.66"/>
    <n v="478.31"/>
    <n v="1301.1300000000001"/>
    <n v="273.99"/>
    <n v="1152.17"/>
    <n v="522.4"/>
    <n v="293.48"/>
    <n v="8118.49"/>
    <n v="228.91999999999996"/>
  </r>
  <r>
    <x v="11"/>
    <x v="3"/>
    <x v="0"/>
    <s v="6125101"/>
    <n v="721835"/>
    <s v="Supplies-Forms"/>
    <s v="Dietary"/>
    <x v="0"/>
    <m/>
    <n v="0"/>
    <n v="0"/>
    <n v="0"/>
    <n v="0"/>
    <n v="2273.89"/>
    <n v="0"/>
    <n v="247.73"/>
    <n v="0"/>
    <n v="5.55"/>
    <n v="845.84"/>
    <n v="0"/>
    <n v="71.25"/>
    <n v="3444.26"/>
    <n v="-71.25"/>
  </r>
  <r>
    <x v="11"/>
    <x v="3"/>
    <x v="0"/>
    <s v="6125101"/>
    <n v="721870"/>
    <s v="Supplies-Environmental Services"/>
    <s v="Dietary"/>
    <x v="0"/>
    <m/>
    <n v="7079.82"/>
    <n v="7796.27"/>
    <n v="6902.91"/>
    <n v="5287.49"/>
    <n v="2954.47"/>
    <n v="4943.6099999999997"/>
    <n v="5176.95"/>
    <n v="3591.82"/>
    <n v="5210.6099999999997"/>
    <n v="4281.1000000000004"/>
    <n v="4079.38"/>
    <n v="5285.29"/>
    <n v="62589.719999999994"/>
    <n v="-1205.9099999999999"/>
  </r>
  <r>
    <x v="11"/>
    <x v="3"/>
    <x v="0"/>
    <s v="6125101"/>
    <n v="721910"/>
    <s v="Supplies-Small Equipment"/>
    <s v="Dietary"/>
    <x v="0"/>
    <m/>
    <n v="4334.95"/>
    <n v="9808.33"/>
    <n v="6752.76"/>
    <n v="9660.7900000000009"/>
    <n v="4019.74"/>
    <n v="7446.85"/>
    <n v="9583.0400000000009"/>
    <n v="8397.76"/>
    <n v="2710.45"/>
    <n v="5914.28"/>
    <n v="1488.32"/>
    <n v="2690.41"/>
    <n v="72807.680000000008"/>
    <n v="-1202.0899999999999"/>
  </r>
  <r>
    <x v="11"/>
    <x v="3"/>
    <x v="0"/>
    <s v="6125101"/>
    <n v="721980"/>
    <s v="Supplies-Other"/>
    <s v="Dietary"/>
    <x v="0"/>
    <m/>
    <n v="24400.76"/>
    <n v="25918.29"/>
    <n v="24769.7"/>
    <n v="29261.5"/>
    <n v="18568.349999999999"/>
    <n v="31511.61"/>
    <n v="30426.1"/>
    <n v="22012.080000000002"/>
    <n v="30506.68"/>
    <n v="24052.21"/>
    <n v="22067.54"/>
    <n v="26075.3"/>
    <n v="309570.12"/>
    <n v="-4007.7599999999984"/>
  </r>
  <r>
    <x v="11"/>
    <x v="3"/>
    <x v="0"/>
    <s v="6125101"/>
    <n v="722000"/>
    <s v="Supplies-Freight Expense"/>
    <s v="Dietary"/>
    <x v="0"/>
    <m/>
    <n v="81.510000000000005"/>
    <n v="2021.62"/>
    <n v="0"/>
    <n v="18.440000000000001"/>
    <n v="0"/>
    <n v="0"/>
    <n v="27.54"/>
    <n v="46.7"/>
    <n v="8.23"/>
    <n v="12.63"/>
    <n v="-1934.69"/>
    <n v="224.37"/>
    <n v="506.35"/>
    <n v="-2159.06"/>
  </r>
  <r>
    <x v="11"/>
    <x v="3"/>
    <x v="0"/>
    <s v="6125101"/>
    <n v="722000"/>
    <s v="Minimum Order Fees"/>
    <s v="Dietary"/>
    <x v="0"/>
    <n v="1000"/>
    <n v="0"/>
    <n v="0"/>
    <n v="0"/>
    <n v="166"/>
    <n v="0"/>
    <n v="0"/>
    <n v="0"/>
    <n v="0"/>
    <n v="0"/>
    <n v="0"/>
    <n v="0"/>
    <n v="0"/>
    <n v="166"/>
    <n v="0"/>
  </r>
  <r>
    <x v="11"/>
    <x v="3"/>
    <x v="0"/>
    <s v="6125101"/>
    <n v="723000"/>
    <s v="Supply Rebates/Patronage Dividend"/>
    <s v="Dietary"/>
    <x v="0"/>
    <m/>
    <n v="0"/>
    <n v="0"/>
    <n v="-54556.34"/>
    <n v="0"/>
    <n v="0"/>
    <n v="-58371.07"/>
    <n v="0"/>
    <n v="0"/>
    <n v="-101084.01"/>
    <n v="-4968.72"/>
    <n v="0"/>
    <n v="-71231.64"/>
    <n v="-290211.77999999997"/>
    <n v="71231.64"/>
  </r>
  <r>
    <x v="12"/>
    <x v="3"/>
    <x v="0"/>
    <s v="6125101"/>
    <n v="730010"/>
    <s v="Rental and Leases-Building (DO NOT USE)"/>
    <s v="Dietary"/>
    <x v="0"/>
    <m/>
    <n v="7101.63"/>
    <n v="7101.63"/>
    <n v="7101.63"/>
    <n v="7101.63"/>
    <n v="7101.63"/>
    <n v="5258.04"/>
    <n v="6344.69"/>
    <n v="6344.69"/>
    <n v="6344.69"/>
    <n v="6353.04"/>
    <n v="6355.64"/>
    <n v="0"/>
    <n v="72508.94"/>
    <n v="6355.64"/>
  </r>
  <r>
    <x v="12"/>
    <x v="3"/>
    <x v="0"/>
    <s v="6125101"/>
    <n v="730010"/>
    <s v="Rental-Common Area Maint (DO NOT USE)"/>
    <s v="Dietary"/>
    <x v="0"/>
    <n v="2200"/>
    <n v="0"/>
    <n v="0"/>
    <n v="0"/>
    <n v="0"/>
    <n v="0"/>
    <n v="4935.67"/>
    <n v="820.88"/>
    <n v="820.88"/>
    <n v="853.44"/>
    <n v="97.17"/>
    <n v="820.76"/>
    <n v="747.41"/>
    <n v="9096.2100000000009"/>
    <n v="73.350000000000023"/>
  </r>
  <r>
    <x v="12"/>
    <x v="3"/>
    <x v="0"/>
    <s v="6125101"/>
    <n v="730020"/>
    <s v="Rental and Leases-Copier Usage Fees (DO NOT USE)"/>
    <s v="Dietary"/>
    <x v="0"/>
    <n v="5100"/>
    <n v="1194.94"/>
    <n v="2204.36"/>
    <n v="1284.8499999999999"/>
    <n v="1284.8499999999999"/>
    <n v="1284.8499999999999"/>
    <n v="1284.8499999999999"/>
    <n v="-288.51"/>
    <n v="643.74"/>
    <n v="642.39"/>
    <n v="1430.09"/>
    <n v="643.74"/>
    <n v="794.24"/>
    <n v="12404.39"/>
    <n v="-150.5"/>
  </r>
  <r>
    <x v="12"/>
    <x v="3"/>
    <x v="0"/>
    <s v="6125101"/>
    <n v="730040"/>
    <s v="LT Lease-Real Estate"/>
    <s v="Dietary"/>
    <x v="0"/>
    <m/>
    <n v="0"/>
    <n v="0"/>
    <n v="0"/>
    <n v="0"/>
    <n v="0"/>
    <n v="0"/>
    <n v="0"/>
    <n v="0"/>
    <n v="0"/>
    <n v="0"/>
    <n v="0"/>
    <n v="6504.72"/>
    <n v="6504.72"/>
    <n v="-6504.72"/>
  </r>
  <r>
    <x v="15"/>
    <x v="3"/>
    <x v="0"/>
    <s v="6125101"/>
    <n v="731060"/>
    <s v="Telephone"/>
    <s v="Dietary"/>
    <x v="0"/>
    <m/>
    <n v="12.22"/>
    <n v="8.3800000000000008"/>
    <n v="11.39"/>
    <n v="11.42"/>
    <n v="11.41"/>
    <n v="11.98"/>
    <n v="11.59"/>
    <n v="11.39"/>
    <n v="11.62"/>
    <n v="8.3800000000000008"/>
    <n v="11.61"/>
    <n v="11.61"/>
    <n v="133"/>
    <n v="0"/>
  </r>
  <r>
    <x v="15"/>
    <x v="3"/>
    <x v="0"/>
    <s v="6125101"/>
    <n v="731060"/>
    <s v="Pagers"/>
    <s v="Dietary"/>
    <x v="0"/>
    <n v="1002"/>
    <n v="48.6"/>
    <n v="48.6"/>
    <n v="48.6"/>
    <n v="48.72"/>
    <n v="48.72"/>
    <n v="0"/>
    <n v="97.44"/>
    <n v="48.72"/>
    <n v="48.72"/>
    <n v="8.1199999999999992"/>
    <n v="8.1199999999999992"/>
    <n v="8.1199999999999992"/>
    <n v="462.48"/>
    <n v="0"/>
  </r>
  <r>
    <x v="15"/>
    <x v="3"/>
    <x v="0"/>
    <s v="6125101"/>
    <n v="731090"/>
    <s v="Other Utilities"/>
    <s v="Dietary"/>
    <x v="0"/>
    <m/>
    <n v="300.3"/>
    <n v="0"/>
    <n v="221.39"/>
    <n v="163.85"/>
    <n v="211.54"/>
    <n v="120.02"/>
    <n v="141.72999999999999"/>
    <n v="0"/>
    <n v="75.319999999999993"/>
    <n v="143.04"/>
    <n v="63.21"/>
    <n v="0"/>
    <n v="1440.3999999999999"/>
    <n v="63.21"/>
  </r>
  <r>
    <x v="16"/>
    <x v="3"/>
    <x v="0"/>
    <s v="6125101"/>
    <n v="732030"/>
    <s v="Repairs---Other"/>
    <s v="Dietary"/>
    <x v="0"/>
    <m/>
    <n v="12051.97"/>
    <n v="16419.89"/>
    <n v="8260.91"/>
    <n v="7174.13"/>
    <n v="7080.2"/>
    <n v="2741.32"/>
    <n v="2779.83"/>
    <n v="371.45"/>
    <n v="10909.2"/>
    <n v="0"/>
    <n v="356.18"/>
    <n v="25598.67"/>
    <n v="93743.749999999985"/>
    <n v="-25242.489999999998"/>
  </r>
  <r>
    <x v="16"/>
    <x v="3"/>
    <x v="0"/>
    <s v="6125101"/>
    <n v="732030"/>
    <s v="Repairs&amp;Maintenance-Bldg Routine"/>
    <s v="Dietary"/>
    <x v="0"/>
    <n v="2300"/>
    <n v="5.47"/>
    <n v="5.47"/>
    <n v="5.47"/>
    <n v="5.47"/>
    <n v="5.47"/>
    <n v="5.47"/>
    <n v="5.47"/>
    <n v="5.47"/>
    <n v="5.47"/>
    <n v="5.46"/>
    <n v="5.46"/>
    <n v="5.46"/>
    <n v="65.61"/>
    <n v="0"/>
  </r>
  <r>
    <x v="16"/>
    <x v="3"/>
    <x v="0"/>
    <s v="6125101"/>
    <n v="733030"/>
    <s v="Maintenance Contracts-Other"/>
    <s v="Dietary"/>
    <x v="0"/>
    <m/>
    <n v="71492"/>
    <n v="-70575.679999999993"/>
    <n v="303.16000000000003"/>
    <n v="303.16000000000003"/>
    <n v="185.74"/>
    <n v="303.16000000000003"/>
    <n v="117.42"/>
    <n v="19176.740000000002"/>
    <n v="303.16000000000003"/>
    <n v="303.16000000000003"/>
    <n v="303.44"/>
    <n v="303.44"/>
    <n v="22518.900000000005"/>
    <n v="0"/>
  </r>
  <r>
    <x v="16"/>
    <x v="3"/>
    <x v="0"/>
    <s v="6125101"/>
    <n v="733030"/>
    <s v="Maintenance Contracts-Software"/>
    <s v="Dietary"/>
    <x v="0"/>
    <n v="1002"/>
    <n v="88.08"/>
    <n v="0"/>
    <n v="0"/>
    <n v="88.08"/>
    <n v="0"/>
    <n v="0"/>
    <n v="0"/>
    <n v="80"/>
    <n v="0"/>
    <n v="240"/>
    <n v="220"/>
    <n v="290"/>
    <n v="1006.16"/>
    <n v="-70"/>
  </r>
  <r>
    <x v="13"/>
    <x v="3"/>
    <x v="0"/>
    <s v="6125101"/>
    <n v="735040"/>
    <s v="Depreciation-Building Improvements"/>
    <s v="Dietary"/>
    <x v="0"/>
    <m/>
    <n v="2837.24"/>
    <n v="2837.24"/>
    <n v="2837.24"/>
    <n v="2837.23"/>
    <n v="2837.24"/>
    <n v="2837.23"/>
    <n v="2837.24"/>
    <n v="2837.22"/>
    <n v="2837.24"/>
    <n v="2837.22"/>
    <n v="2837.24"/>
    <n v="3032.9"/>
    <n v="34242.479999999996"/>
    <n v="-195.66000000000031"/>
  </r>
  <r>
    <x v="13"/>
    <x v="3"/>
    <x v="0"/>
    <s v="6125101"/>
    <n v="735050"/>
    <s v="Amortization-Leasehold Improvements"/>
    <s v="Dietary"/>
    <x v="0"/>
    <m/>
    <n v="7584.63"/>
    <n v="7584.62"/>
    <n v="7584.63"/>
    <n v="7584.62"/>
    <n v="7584.64"/>
    <n v="7584.62"/>
    <n v="7584.64"/>
    <n v="7584.62"/>
    <n v="7584.65"/>
    <n v="7584.62"/>
    <n v="7584.65"/>
    <n v="7584.61"/>
    <n v="91015.549999999988"/>
    <n v="3.999999999996362E-2"/>
  </r>
  <r>
    <x v="13"/>
    <x v="3"/>
    <x v="0"/>
    <s v="6125101"/>
    <n v="735060"/>
    <s v="Depreciation-Fixed Equipment"/>
    <s v="Dietary"/>
    <x v="0"/>
    <m/>
    <n v="1411.52"/>
    <n v="1411.52"/>
    <n v="1411.53"/>
    <n v="1411.52"/>
    <n v="1411.53"/>
    <n v="1411.52"/>
    <n v="1411.53"/>
    <n v="1411.51"/>
    <n v="1411.53"/>
    <n v="1411.51"/>
    <n v="1411.53"/>
    <n v="1411.51"/>
    <n v="16938.260000000002"/>
    <n v="1.999999999998181E-2"/>
  </r>
  <r>
    <x v="13"/>
    <x v="3"/>
    <x v="0"/>
    <s v="6125101"/>
    <n v="735070"/>
    <s v="Depreciation-Movable Equipment"/>
    <s v="Dietary"/>
    <x v="0"/>
    <m/>
    <n v="10938.29"/>
    <n v="10876.75"/>
    <n v="11273.2"/>
    <n v="11402.14"/>
    <n v="11402.26"/>
    <n v="11677.62"/>
    <n v="11677.77"/>
    <n v="11572.11"/>
    <n v="11572.31"/>
    <n v="15823.48"/>
    <n v="17438.98"/>
    <n v="17438.7"/>
    <n v="153093.61000000002"/>
    <n v="0.27999999999883585"/>
  </r>
  <r>
    <x v="0"/>
    <x v="3"/>
    <x v="0"/>
    <s v="6125101"/>
    <n v="740010"/>
    <s v="Education-Materials"/>
    <s v="Dietary"/>
    <x v="0"/>
    <m/>
    <n v="119.91"/>
    <n v="-223.78"/>
    <n v="0"/>
    <n v="65.489999999999995"/>
    <n v="0"/>
    <n v="0"/>
    <n v="0"/>
    <n v="0"/>
    <n v="0"/>
    <n v="250.99"/>
    <n v="134.31"/>
    <n v="296.39"/>
    <n v="643.30999999999995"/>
    <n v="-162.07999999999998"/>
  </r>
  <r>
    <x v="0"/>
    <x v="3"/>
    <x v="0"/>
    <s v="6125101"/>
    <n v="740030"/>
    <s v="Education-Travel"/>
    <s v="Dietary"/>
    <x v="0"/>
    <m/>
    <n v="0"/>
    <n v="0"/>
    <n v="0"/>
    <n v="0"/>
    <n v="0"/>
    <n v="0"/>
    <n v="0"/>
    <n v="4167.3999999999996"/>
    <n v="0"/>
    <n v="0"/>
    <n v="0"/>
    <n v="0"/>
    <n v="4167.3999999999996"/>
    <n v="0"/>
  </r>
  <r>
    <x v="0"/>
    <x v="3"/>
    <x v="0"/>
    <s v="6125101"/>
    <n v="742040"/>
    <s v="Freight-Other"/>
    <s v="Dietary"/>
    <x v="0"/>
    <m/>
    <n v="0"/>
    <n v="0"/>
    <n v="0"/>
    <n v="111.69"/>
    <n v="0"/>
    <n v="0"/>
    <n v="0"/>
    <n v="0"/>
    <n v="0"/>
    <n v="0"/>
    <n v="0"/>
    <n v="362.44"/>
    <n v="474.13"/>
    <n v="-362.44"/>
  </r>
  <r>
    <x v="0"/>
    <x v="3"/>
    <x v="0"/>
    <s v="6125101"/>
    <n v="743020"/>
    <s v="Dues--Individual"/>
    <s v="Dietary"/>
    <x v="0"/>
    <m/>
    <n v="0"/>
    <n v="0"/>
    <n v="0"/>
    <n v="0"/>
    <n v="0"/>
    <n v="0"/>
    <n v="864.64"/>
    <n v="0"/>
    <n v="0"/>
    <n v="0"/>
    <n v="0"/>
    <n v="0"/>
    <n v="864.64"/>
    <n v="0"/>
  </r>
  <r>
    <x v="0"/>
    <x v="3"/>
    <x v="0"/>
    <s v="6125101"/>
    <n v="743030"/>
    <s v="Subscriptions--Institutional"/>
    <s v="Dietary"/>
    <x v="0"/>
    <m/>
    <n v="0"/>
    <n v="0"/>
    <n v="0"/>
    <n v="0"/>
    <n v="0"/>
    <n v="0"/>
    <n v="788.31"/>
    <n v="130.72"/>
    <n v="0"/>
    <n v="36"/>
    <n v="138.63999999999999"/>
    <n v="0"/>
    <n v="1093.67"/>
    <n v="138.63999999999999"/>
  </r>
  <r>
    <x v="0"/>
    <x v="3"/>
    <x v="0"/>
    <s v="6125101"/>
    <n v="749510"/>
    <s v="Miscellaneous Expenses"/>
    <s v="Dietary"/>
    <x v="0"/>
    <m/>
    <n v="6001.01"/>
    <n v="6144.22"/>
    <n v="2435.35"/>
    <n v="32.97"/>
    <n v="4377.99"/>
    <n v="1459.18"/>
    <n v="-8.6"/>
    <n v="5818.4"/>
    <n v="32.979999999999997"/>
    <n v="-3394.72"/>
    <n v="2078.36"/>
    <n v="13777.7"/>
    <n v="38754.840000000004"/>
    <n v="-11699.34"/>
  </r>
  <r>
    <x v="0"/>
    <x v="3"/>
    <x v="0"/>
    <s v="6125101"/>
    <n v="749510"/>
    <s v="Licenses"/>
    <s v="Dietary"/>
    <x v="0"/>
    <n v="1002"/>
    <n v="99"/>
    <n v="9839.09"/>
    <n v="0"/>
    <n v="0"/>
    <n v="0"/>
    <n v="0"/>
    <n v="0"/>
    <n v="14382.84"/>
    <n v="0"/>
    <n v="403.75"/>
    <n v="415.08"/>
    <n v="500"/>
    <n v="25639.760000000002"/>
    <n v="-84.920000000000016"/>
  </r>
  <r>
    <x v="0"/>
    <x v="3"/>
    <x v="0"/>
    <s v="6125101"/>
    <n v="749510"/>
    <s v="Miscellaneous Employee Expense"/>
    <s v="Dietary"/>
    <x v="0"/>
    <n v="1010"/>
    <n v="102.99"/>
    <n v="0"/>
    <n v="0"/>
    <n v="84.26"/>
    <n v="0"/>
    <n v="0"/>
    <n v="0"/>
    <n v="1713.92"/>
    <n v="0"/>
    <n v="640.09"/>
    <n v="31.99"/>
    <n v="910.75"/>
    <n v="3484"/>
    <n v="-878.76"/>
  </r>
  <r>
    <x v="0"/>
    <x v="3"/>
    <x v="0"/>
    <s v="6125101"/>
    <n v="749510"/>
    <s v="Uniforms"/>
    <s v="Dietary"/>
    <x v="0"/>
    <n v="1028"/>
    <n v="0"/>
    <n v="0"/>
    <n v="5200"/>
    <n v="0"/>
    <n v="0"/>
    <n v="0"/>
    <n v="3036.92"/>
    <n v="366.27"/>
    <n v="347.27"/>
    <n v="8790.26"/>
    <n v="0"/>
    <n v="207.79"/>
    <n v="17948.510000000002"/>
    <n v="-207.79"/>
  </r>
  <r>
    <x v="0"/>
    <x v="3"/>
    <x v="0"/>
    <s v="6125101"/>
    <n v="749510"/>
    <s v="Special Events"/>
    <s v="Dietary"/>
    <x v="0"/>
    <n v="4300"/>
    <n v="13.76"/>
    <n v="437.4"/>
    <n v="2972.85"/>
    <n v="738.09"/>
    <n v="1144.8499999999999"/>
    <n v="3380.82"/>
    <n v="2267.25"/>
    <n v="2261.2399999999998"/>
    <n v="4687.1899999999996"/>
    <n v="0"/>
    <n v="0"/>
    <n v="0"/>
    <n v="17903.449999999997"/>
    <n v="0"/>
  </r>
  <r>
    <x v="0"/>
    <x v="3"/>
    <x v="0"/>
    <s v="6125101"/>
    <n v="749510"/>
    <s v="RICE Rewards"/>
    <s v="Dietary"/>
    <x v="0"/>
    <n v="5100"/>
    <n v="0"/>
    <n v="0"/>
    <n v="0"/>
    <n v="0"/>
    <n v="0"/>
    <n v="32.97"/>
    <n v="0"/>
    <n v="0"/>
    <n v="0"/>
    <n v="3672.85"/>
    <n v="0"/>
    <n v="0"/>
    <n v="3705.8199999999997"/>
    <n v="0"/>
  </r>
  <r>
    <x v="0"/>
    <x v="3"/>
    <x v="0"/>
    <s v="6125101"/>
    <n v="749530"/>
    <s v="Travel"/>
    <s v="Dietary"/>
    <x v="0"/>
    <m/>
    <n v="0"/>
    <n v="0"/>
    <n v="0"/>
    <n v="0"/>
    <n v="0"/>
    <n v="0"/>
    <n v="0"/>
    <n v="11"/>
    <n v="50.21"/>
    <n v="1303.17"/>
    <n v="110.61"/>
    <n v="52.6"/>
    <n v="1527.59"/>
    <n v="58.01"/>
  </r>
  <r>
    <x v="0"/>
    <x v="3"/>
    <x v="0"/>
    <s v="6125101"/>
    <n v="749530"/>
    <s v="Mileage"/>
    <s v="Dietary"/>
    <x v="0"/>
    <n v="1001"/>
    <n v="0"/>
    <n v="152.6"/>
    <n v="0"/>
    <n v="0"/>
    <n v="0"/>
    <n v="0"/>
    <n v="0"/>
    <n v="16.47"/>
    <n v="0"/>
    <n v="0"/>
    <n v="0"/>
    <n v="0"/>
    <n v="169.07"/>
    <n v="0"/>
  </r>
  <r>
    <x v="0"/>
    <x v="3"/>
    <x v="0"/>
    <s v="6125101"/>
    <n v="749535"/>
    <s v="Medicare Non-Allowable Beverages"/>
    <s v="Dietary"/>
    <x v="0"/>
    <n v="1005"/>
    <n v="703.97"/>
    <n v="166.39"/>
    <n v="0"/>
    <n v="164.3"/>
    <n v="0"/>
    <n v="0"/>
    <n v="0"/>
    <n v="123.68"/>
    <n v="0"/>
    <n v="1629.76"/>
    <n v="52.05"/>
    <n v="1056.6099999999999"/>
    <n v="3896.76"/>
    <n v="-1004.56"/>
  </r>
  <r>
    <x v="0"/>
    <x v="3"/>
    <x v="0"/>
    <s v="6125101"/>
    <n v="749550"/>
    <s v="Cash Over/Short"/>
    <s v="Dietary"/>
    <x v="0"/>
    <m/>
    <n v="-4.8099999999999996"/>
    <n v="-18.02"/>
    <n v="-48.11"/>
    <n v="-95.42"/>
    <n v="-83.51"/>
    <n v="-11.63"/>
    <n v="-99.18"/>
    <n v="23.38"/>
    <n v="-41.87"/>
    <n v="-266.48"/>
    <n v="347.47"/>
    <n v="-72.97"/>
    <n v="-371.15000000000009"/>
    <n v="420.44000000000005"/>
  </r>
  <r>
    <x v="14"/>
    <x v="0"/>
    <x v="0"/>
    <s v="6125102"/>
    <n v="600034"/>
    <s v="Cafeteria Revenue"/>
    <s v="Dietary"/>
    <x v="0"/>
    <m/>
    <n v="-56007.21"/>
    <n v="-80419.460000000006"/>
    <n v="-64232.18"/>
    <n v="-69587.66"/>
    <n v="-77941.62"/>
    <n v="-46551.76"/>
    <n v="-94215.49"/>
    <n v="-71812.740000000005"/>
    <n v="-72926.59"/>
    <n v="-75306.47"/>
    <n v="-75115.81"/>
    <n v="-67669.89"/>
    <n v="-851786.88"/>
    <n v="-7445.9199999999983"/>
  </r>
  <r>
    <x v="14"/>
    <x v="0"/>
    <x v="0"/>
    <s v="6125102"/>
    <n v="600034"/>
    <s v="Vending Commission"/>
    <s v="Dietary"/>
    <x v="0"/>
    <n v="1002"/>
    <n v="-20.27"/>
    <n v="-1507.98"/>
    <n v="0"/>
    <n v="0"/>
    <n v="0"/>
    <n v="-1471.4"/>
    <n v="0"/>
    <n v="-15296.46"/>
    <n v="2979.38"/>
    <n v="0"/>
    <n v="0"/>
    <n v="0"/>
    <n v="-15316.73"/>
    <n v="0"/>
  </r>
  <r>
    <x v="14"/>
    <x v="0"/>
    <x v="0"/>
    <s v="6125102"/>
    <n v="600034"/>
    <s v="Deli Revenue"/>
    <s v="Dietary"/>
    <x v="0"/>
    <n v="5100"/>
    <n v="-9796.02"/>
    <n v="-14088.92"/>
    <n v="-12200.72"/>
    <n v="-12961.69"/>
    <n v="-14583.11"/>
    <n v="-9153.4599999999991"/>
    <n v="-11343.83"/>
    <n v="-12392.77"/>
    <n v="-15066.39"/>
    <n v="-14873.83"/>
    <n v="-15389.63"/>
    <n v="-13926.64"/>
    <n v="-155777.01"/>
    <n v="-1462.9899999999998"/>
  </r>
  <r>
    <x v="14"/>
    <x v="0"/>
    <x v="0"/>
    <s v="6125102"/>
    <n v="600034"/>
    <s v="Catering Revenue"/>
    <s v="Dietary"/>
    <x v="0"/>
    <n v="5101"/>
    <n v="-4321.01"/>
    <n v="-4191.04"/>
    <n v="-4710.4399999999996"/>
    <n v="-12827.37"/>
    <n v="-3419.1"/>
    <n v="-3350.25"/>
    <n v="-3843.05"/>
    <n v="-5167.32"/>
    <n v="-3951.98"/>
    <n v="-2975.89"/>
    <n v="-3740.88"/>
    <n v="-3485.9"/>
    <n v="-55984.23"/>
    <n v="-254.98000000000002"/>
  </r>
  <r>
    <x v="5"/>
    <x v="0"/>
    <x v="0"/>
    <s v="6125102"/>
    <n v="700038"/>
    <s v="Salaries-Service/Support-Productive"/>
    <s v="Dietary"/>
    <x v="0"/>
    <m/>
    <n v="114570.92"/>
    <n v="108618.48"/>
    <n v="105966.17"/>
    <n v="115123.31"/>
    <n v="109103.7"/>
    <n v="117209.41"/>
    <n v="115825"/>
    <n v="100886.21"/>
    <n v="118970.97"/>
    <n v="113220.11"/>
    <n v="124721.93"/>
    <n v="115944.22"/>
    <n v="1360160.43"/>
    <n v="8777.7099999999919"/>
  </r>
  <r>
    <x v="5"/>
    <x v="0"/>
    <x v="0"/>
    <s v="6125102"/>
    <n v="700038"/>
    <s v="Salaries-Service/Support-OT"/>
    <s v="Dietary"/>
    <x v="0"/>
    <n v="1000"/>
    <n v="5756.93"/>
    <n v="7527.04"/>
    <n v="7779.66"/>
    <n v="3618.69"/>
    <n v="5030.01"/>
    <n v="6005.59"/>
    <n v="6697.93"/>
    <n v="5753.46"/>
    <n v="5891.66"/>
    <n v="4493.7700000000004"/>
    <n v="7918.2"/>
    <n v="2141.8000000000002"/>
    <n v="68614.740000000005"/>
    <n v="5776.4"/>
  </r>
  <r>
    <x v="5"/>
    <x v="0"/>
    <x v="0"/>
    <s v="6125102"/>
    <n v="700038"/>
    <s v="Salaries-Service/Support-Other"/>
    <s v="Dietary"/>
    <x v="0"/>
    <n v="2000"/>
    <n v="8249.7099999999991"/>
    <n v="7951.79"/>
    <n v="7747.77"/>
    <n v="7932.48"/>
    <n v="8093.76"/>
    <n v="8166.88"/>
    <n v="8136.37"/>
    <n v="7770.31"/>
    <n v="8362.36"/>
    <n v="8321.93"/>
    <n v="9703.27"/>
    <n v="9288.7999999999993"/>
    <n v="99725.43"/>
    <n v="414.47000000000116"/>
  </r>
  <r>
    <x v="5"/>
    <x v="0"/>
    <x v="0"/>
    <s v="6125102"/>
    <n v="700054"/>
    <s v="Salaries-Management-NonProd-Other"/>
    <s v="Dietary"/>
    <x v="0"/>
    <n v="2000"/>
    <n v="0"/>
    <n v="0"/>
    <n v="0"/>
    <n v="0"/>
    <n v="0"/>
    <n v="1122.99"/>
    <n v="-1122.99"/>
    <n v="0"/>
    <n v="0"/>
    <n v="0"/>
    <n v="0"/>
    <n v="0"/>
    <n v="0"/>
    <n v="0"/>
  </r>
  <r>
    <x v="5"/>
    <x v="0"/>
    <x v="0"/>
    <s v="6125102"/>
    <n v="700078"/>
    <s v="Salaries-Service/Support-Non-productive"/>
    <s v="Dietary"/>
    <x v="0"/>
    <m/>
    <n v="14526.88"/>
    <n v="18470.689999999999"/>
    <n v="18964.7"/>
    <n v="13327.88"/>
    <n v="15177.31"/>
    <n v="16399.12"/>
    <n v="13600.98"/>
    <n v="16760.22"/>
    <n v="12142.42"/>
    <n v="13930.08"/>
    <n v="12476.3"/>
    <n v="18071.79"/>
    <n v="183848.37"/>
    <n v="-5595.4900000000016"/>
  </r>
  <r>
    <x v="5"/>
    <x v="0"/>
    <x v="0"/>
    <s v="6125102"/>
    <n v="700078"/>
    <s v="Salaries-Service/Support-NonProd-Other"/>
    <s v="Dietary"/>
    <x v="0"/>
    <n v="2000"/>
    <n v="177.97"/>
    <n v="262.62"/>
    <n v="384.05"/>
    <n v="480.65"/>
    <n v="1629.34"/>
    <n v="1228.43"/>
    <n v="338.68"/>
    <n v="-1728.32"/>
    <n v="317"/>
    <n v="101.35"/>
    <n v="257.18"/>
    <n v="582.64"/>
    <n v="4031.5900000000006"/>
    <n v="-325.45999999999998"/>
  </r>
  <r>
    <x v="5"/>
    <x v="0"/>
    <x v="0"/>
    <s v="6125102"/>
    <n v="700084"/>
    <s v="Accrued PTO"/>
    <s v="Dietary"/>
    <x v="0"/>
    <m/>
    <n v="1619.6"/>
    <n v="-3038.02"/>
    <n v="3990.48"/>
    <n v="9318.61"/>
    <n v="2086.2600000000002"/>
    <n v="-1337.56"/>
    <n v="1810.49"/>
    <n v="-2515.44"/>
    <n v="703.8"/>
    <n v="-367.82"/>
    <n v="163.79"/>
    <n v="-2462.41"/>
    <n v="9971.7800000000007"/>
    <n v="2626.2"/>
  </r>
  <r>
    <x v="6"/>
    <x v="0"/>
    <x v="0"/>
    <s v="6125102"/>
    <n v="713010"/>
    <s v="Benefits-FICA/Medicare"/>
    <s v="Dietary"/>
    <x v="0"/>
    <m/>
    <n v="10566.69"/>
    <n v="10565.74"/>
    <n v="10403.16"/>
    <n v="10342.42"/>
    <n v="10570.38"/>
    <n v="11874.04"/>
    <n v="10704.92"/>
    <n v="9665.98"/>
    <n v="10706.2"/>
    <n v="10237.629999999999"/>
    <n v="11565.87"/>
    <n v="11546.49"/>
    <n v="128749.52"/>
    <n v="19.380000000001019"/>
  </r>
  <r>
    <x v="6"/>
    <x v="0"/>
    <x v="0"/>
    <s v="6125102"/>
    <n v="713090"/>
    <s v="Benefits-Allocated Amounts"/>
    <s v="Dietary"/>
    <x v="0"/>
    <m/>
    <n v="46185.11"/>
    <n v="39562.199999999997"/>
    <n v="43289.55"/>
    <n v="41521.379999999997"/>
    <n v="41641.9"/>
    <n v="43588.47"/>
    <n v="45688.13"/>
    <n v="43618.11"/>
    <n v="43535.92"/>
    <n v="46229.48"/>
    <n v="49146.48"/>
    <n v="48179.71"/>
    <n v="532186.43999999994"/>
    <n v="966.77000000000407"/>
  </r>
  <r>
    <x v="7"/>
    <x v="0"/>
    <x v="0"/>
    <s v="6125102"/>
    <n v="718050"/>
    <s v="Contract Svcs-Other"/>
    <s v="Dietary"/>
    <x v="0"/>
    <m/>
    <n v="0"/>
    <n v="0"/>
    <n v="31.3"/>
    <n v="0"/>
    <n v="0"/>
    <n v="2606.5500000000002"/>
    <n v="0"/>
    <n v="0"/>
    <n v="0"/>
    <n v="0"/>
    <n v="0"/>
    <n v="0"/>
    <n v="2637.8500000000004"/>
    <n v="0"/>
  </r>
  <r>
    <x v="7"/>
    <x v="0"/>
    <x v="0"/>
    <s v="6125102"/>
    <n v="718050"/>
    <s v="Cleaning Services"/>
    <s v="Dietary"/>
    <x v="0"/>
    <n v="1011"/>
    <n v="1281"/>
    <n v="2626"/>
    <n v="2601.1999999999998"/>
    <n v="128"/>
    <n v="1345"/>
    <n v="1365.7"/>
    <n v="1409"/>
    <n v="1383.43"/>
    <n v="1386.03"/>
    <n v="1452.63"/>
    <n v="1319.43"/>
    <n v="2283.63"/>
    <n v="18581.050000000003"/>
    <n v="-964.2"/>
  </r>
  <r>
    <x v="7"/>
    <x v="0"/>
    <x v="0"/>
    <s v="6125102"/>
    <n v="718050"/>
    <s v="Document Shredding/Storage"/>
    <s v="Dietary"/>
    <x v="0"/>
    <n v="1012"/>
    <n v="2.97"/>
    <n v="2.98"/>
    <n v="2.91"/>
    <n v="2.94"/>
    <n v="3.03"/>
    <n v="3.03"/>
    <n v="2.99"/>
    <n v="2.62"/>
    <n v="2.68"/>
    <n v="3.47"/>
    <n v="2.94"/>
    <n v="3.03"/>
    <n v="35.590000000000003"/>
    <n v="-8.9999999999999858E-2"/>
  </r>
  <r>
    <x v="7"/>
    <x v="0"/>
    <x v="0"/>
    <s v="6125102"/>
    <n v="718050"/>
    <s v="Translation Services"/>
    <s v="Dietary"/>
    <x v="0"/>
    <n v="1025"/>
    <n v="64"/>
    <n v="0"/>
    <n v="0"/>
    <n v="0"/>
    <n v="0"/>
    <n v="0"/>
    <n v="0"/>
    <n v="0"/>
    <n v="0"/>
    <n v="0"/>
    <n v="0"/>
    <n v="0"/>
    <n v="64"/>
    <n v="0"/>
  </r>
  <r>
    <x v="7"/>
    <x v="0"/>
    <x v="0"/>
    <s v="6125102"/>
    <n v="718050"/>
    <s v="Contract Management--Linen"/>
    <s v="Dietary"/>
    <x v="0"/>
    <n v="1026"/>
    <n v="246.58"/>
    <n v="876.04"/>
    <n v="1559.06"/>
    <n v="-205.35"/>
    <n v="350.43"/>
    <n v="456.84"/>
    <n v="558.36"/>
    <n v="413.11"/>
    <n v="897.27"/>
    <n v="232.5"/>
    <n v="0"/>
    <n v="298.7"/>
    <n v="5683.54"/>
    <n v="-298.7"/>
  </r>
  <r>
    <x v="7"/>
    <x v="0"/>
    <x v="0"/>
    <s v="6125102"/>
    <n v="718050"/>
    <s v="Contract Services-Food&amp;Catering"/>
    <s v="Dietary"/>
    <x v="0"/>
    <n v="1030"/>
    <n v="4653.74"/>
    <n v="58772.27"/>
    <n v="32628.44"/>
    <n v="29539.79"/>
    <n v="21035.32"/>
    <n v="29634.880000000001"/>
    <n v="29755.31"/>
    <n v="29856.7"/>
    <n v="29853.55"/>
    <n v="30228.76"/>
    <n v="30832.080000000002"/>
    <n v="30728.16"/>
    <n v="357519"/>
    <n v="103.92000000000189"/>
  </r>
  <r>
    <x v="7"/>
    <x v="0"/>
    <x v="0"/>
    <s v="6125102"/>
    <n v="718091"/>
    <s v="Contract Services-Intracompany Allocation"/>
    <s v="Dietary"/>
    <x v="0"/>
    <m/>
    <n v="17428.38"/>
    <n v="17164.16"/>
    <n v="17826.8"/>
    <n v="18190.29"/>
    <n v="17541.240000000002"/>
    <n v="18707.66"/>
    <n v="18741.599999999999"/>
    <n v="17653.11"/>
    <n v="19455.41"/>
    <n v="17919.86"/>
    <n v="18076.669999999998"/>
    <n v="18884.759999999998"/>
    <n v="217589.94"/>
    <n v="-808.09000000000015"/>
  </r>
  <r>
    <x v="11"/>
    <x v="0"/>
    <x v="0"/>
    <s v="6125102"/>
    <n v="721250"/>
    <s v="Supplies-Pharmacy Drugs - Billable"/>
    <s v="Dietary"/>
    <x v="0"/>
    <m/>
    <n v="787.33"/>
    <n v="1069.8399999999999"/>
    <n v="1222.3699999999999"/>
    <n v="981.3"/>
    <n v="941.55"/>
    <n v="510.19"/>
    <n v="620.67999999999995"/>
    <n v="552.45000000000005"/>
    <n v="1198.68"/>
    <n v="792.53"/>
    <n v="284.11"/>
    <n v="685.42"/>
    <n v="9646.4500000000007"/>
    <n v="-401.30999999999995"/>
  </r>
  <r>
    <x v="11"/>
    <x v="0"/>
    <x v="0"/>
    <s v="6125102"/>
    <n v="721410"/>
    <s v="Supplies-Medical - Nonbillable"/>
    <s v="Dietary"/>
    <x v="0"/>
    <m/>
    <n v="779.38"/>
    <n v="807.57"/>
    <n v="722.32"/>
    <n v="962.41"/>
    <n v="825.05"/>
    <n v="793.51"/>
    <n v="904.27"/>
    <n v="786.99"/>
    <n v="912.15"/>
    <n v="873.72"/>
    <n v="965.02"/>
    <n v="784.1"/>
    <n v="10116.49"/>
    <n v="180.91999999999996"/>
  </r>
  <r>
    <x v="11"/>
    <x v="0"/>
    <x v="0"/>
    <s v="6125102"/>
    <n v="721810"/>
    <s v="Supplies-Dietary/Cafeteria"/>
    <s v="Dietary"/>
    <x v="0"/>
    <m/>
    <n v="91269.66"/>
    <n v="99282.03"/>
    <n v="88982.81"/>
    <n v="118144.34"/>
    <n v="68667.89"/>
    <n v="126179.17"/>
    <n v="116280.13"/>
    <n v="89905.62"/>
    <n v="116135.96"/>
    <n v="95985.76"/>
    <n v="73042.429999999993"/>
    <n v="136201.72"/>
    <n v="1220077.52"/>
    <n v="-63159.290000000008"/>
  </r>
  <r>
    <x v="11"/>
    <x v="0"/>
    <x v="0"/>
    <s v="6125102"/>
    <n v="721810"/>
    <s v="Food Products (RESTRICTED)"/>
    <s v="Dietary"/>
    <x v="0"/>
    <n v="5200"/>
    <n v="-38921.040000000001"/>
    <n v="-42916.97"/>
    <n v="-43238.06"/>
    <n v="-38363.019999999997"/>
    <n v="-37965.11"/>
    <n v="-43141.68"/>
    <n v="-38944.22"/>
    <n v="-32108.46"/>
    <n v="-39747.089999999997"/>
    <n v="-39108.17"/>
    <n v="-52680.17"/>
    <n v="-35017.449999999997"/>
    <n v="-482151.44"/>
    <n v="-17662.72"/>
  </r>
  <r>
    <x v="11"/>
    <x v="0"/>
    <x v="0"/>
    <s v="6125102"/>
    <n v="721830"/>
    <s v="Supplies-Office"/>
    <s v="Dietary"/>
    <x v="0"/>
    <m/>
    <n v="60.92"/>
    <n v="0"/>
    <n v="254.12"/>
    <n v="248.91"/>
    <n v="689.93"/>
    <n v="238.3"/>
    <n v="429"/>
    <n v="295.35000000000002"/>
    <n v="126.42"/>
    <n v="1621.53"/>
    <n v="196.7"/>
    <n v="157.35"/>
    <n v="4318.5300000000007"/>
    <n v="39.349999999999994"/>
  </r>
  <r>
    <x v="11"/>
    <x v="0"/>
    <x v="0"/>
    <s v="6125102"/>
    <n v="721835"/>
    <s v="Supplies-Forms"/>
    <s v="Dietary"/>
    <x v="0"/>
    <m/>
    <n v="0"/>
    <n v="0"/>
    <n v="0"/>
    <n v="0"/>
    <n v="37.130000000000003"/>
    <n v="0"/>
    <n v="9.32"/>
    <n v="0"/>
    <n v="18.5"/>
    <n v="0"/>
    <n v="0"/>
    <n v="27.5"/>
    <n v="92.45"/>
    <n v="-27.5"/>
  </r>
  <r>
    <x v="11"/>
    <x v="0"/>
    <x v="0"/>
    <s v="6125102"/>
    <n v="721870"/>
    <s v="Supplies-Environmental Services"/>
    <s v="Dietary"/>
    <x v="0"/>
    <m/>
    <n v="2199.44"/>
    <n v="2341.9299999999998"/>
    <n v="1021.94"/>
    <n v="3920.56"/>
    <n v="1764.07"/>
    <n v="5054.41"/>
    <n v="3232.01"/>
    <n v="2261.84"/>
    <n v="3101.43"/>
    <n v="6245.24"/>
    <n v="3934.99"/>
    <n v="3451.25"/>
    <n v="38529.11"/>
    <n v="483.73999999999978"/>
  </r>
  <r>
    <x v="11"/>
    <x v="0"/>
    <x v="0"/>
    <s v="6125102"/>
    <n v="721880"/>
    <s v="Supplies-Linen"/>
    <s v="Dietary"/>
    <x v="0"/>
    <m/>
    <n v="178.46"/>
    <n v="0"/>
    <n v="0"/>
    <n v="0"/>
    <n v="0"/>
    <n v="0"/>
    <n v="0"/>
    <n v="0"/>
    <n v="0"/>
    <n v="0"/>
    <n v="0"/>
    <n v="0"/>
    <n v="178.46"/>
    <n v="0"/>
  </r>
  <r>
    <x v="11"/>
    <x v="0"/>
    <x v="0"/>
    <s v="6125102"/>
    <n v="721910"/>
    <s v="Supplies-Small Equipment"/>
    <s v="Dietary"/>
    <x v="0"/>
    <m/>
    <n v="-186.24"/>
    <n v="11329.37"/>
    <n v="-4100.3999999999996"/>
    <n v="2493.89"/>
    <n v="3756.86"/>
    <n v="1012.72"/>
    <n v="1732.37"/>
    <n v="3728.73"/>
    <n v="1311.9"/>
    <n v="5324.98"/>
    <n v="945.47"/>
    <n v="7215.4"/>
    <n v="34565.050000000003"/>
    <n v="-6269.9299999999994"/>
  </r>
  <r>
    <x v="11"/>
    <x v="0"/>
    <x v="0"/>
    <s v="6125102"/>
    <n v="721980"/>
    <s v="Supplies-Other"/>
    <s v="Dietary"/>
    <x v="0"/>
    <m/>
    <n v="5542.77"/>
    <n v="6118.74"/>
    <n v="5027.5200000000004"/>
    <n v="8772.73"/>
    <n v="4445.1899999999996"/>
    <n v="8818.49"/>
    <n v="6097.88"/>
    <n v="4893.8500000000004"/>
    <n v="6837.42"/>
    <n v="5580.94"/>
    <n v="6363.12"/>
    <n v="4468.1099999999997"/>
    <n v="72966.759999999995"/>
    <n v="1895.0100000000002"/>
  </r>
  <r>
    <x v="11"/>
    <x v="0"/>
    <x v="0"/>
    <s v="6125102"/>
    <n v="722000"/>
    <s v="Supplies-Freight Expense"/>
    <s v="Dietary"/>
    <x v="0"/>
    <m/>
    <n v="49"/>
    <n v="3"/>
    <n v="0"/>
    <n v="0"/>
    <n v="0"/>
    <n v="0"/>
    <n v="16.66"/>
    <n v="23.98"/>
    <n v="0"/>
    <n v="54.53"/>
    <n v="0"/>
    <n v="119.44"/>
    <n v="266.61"/>
    <n v="-119.44"/>
  </r>
  <r>
    <x v="11"/>
    <x v="0"/>
    <x v="0"/>
    <s v="6125102"/>
    <n v="723000"/>
    <s v="Supply Rebates/Patronage Dividend"/>
    <s v="Dietary"/>
    <x v="0"/>
    <m/>
    <n v="0"/>
    <n v="0"/>
    <n v="-11669.89"/>
    <n v="0"/>
    <n v="0"/>
    <n v="-13922.29"/>
    <n v="0"/>
    <n v="0"/>
    <n v="-25517.21"/>
    <n v="-1586.11"/>
    <n v="0"/>
    <n v="-15321.23"/>
    <n v="-68016.73"/>
    <n v="15321.23"/>
  </r>
  <r>
    <x v="12"/>
    <x v="0"/>
    <x v="0"/>
    <s v="6125102"/>
    <n v="730010"/>
    <s v="Rental and Leases-Building (DO NOT USE)"/>
    <s v="Dietary"/>
    <x v="0"/>
    <m/>
    <n v="84.7"/>
    <n v="84.7"/>
    <n v="84.7"/>
    <n v="84.7"/>
    <n v="84.7"/>
    <n v="0"/>
    <n v="84.7"/>
    <n v="84.7"/>
    <n v="84.7"/>
    <n v="84.7"/>
    <n v="84.7"/>
    <n v="0"/>
    <n v="847.00000000000011"/>
    <n v="84.7"/>
  </r>
  <r>
    <x v="12"/>
    <x v="0"/>
    <x v="0"/>
    <s v="6125102"/>
    <n v="730020"/>
    <s v="Rental and Leases-Equipment (DO NOT USE)"/>
    <s v="Dietary"/>
    <x v="0"/>
    <m/>
    <n v="0"/>
    <n v="98.85"/>
    <n v="2125.67"/>
    <n v="3242.96"/>
    <n v="2502.96"/>
    <n v="32.950000000000003"/>
    <n v="2360.12"/>
    <n v="5115.1099999999997"/>
    <n v="131.80000000000001"/>
    <n v="3737.38"/>
    <n v="2686.03"/>
    <n v="98.85"/>
    <n v="22132.679999999997"/>
    <n v="2587.1800000000003"/>
  </r>
  <r>
    <x v="12"/>
    <x v="0"/>
    <x v="0"/>
    <s v="6125102"/>
    <n v="730020"/>
    <s v="Rental and Leases-Copier Usage Fees (DO NOT USE)"/>
    <s v="Dietary"/>
    <x v="0"/>
    <n v="5100"/>
    <n v="243.06"/>
    <n v="241.61"/>
    <n v="242.33"/>
    <n v="242.33"/>
    <n v="242.33"/>
    <n v="242.33"/>
    <n v="-378.95"/>
    <n v="90.99"/>
    <n v="90.8"/>
    <n v="336.58"/>
    <n v="90.99"/>
    <n v="100.11"/>
    <n v="1784.5099999999998"/>
    <n v="-9.1200000000000045"/>
  </r>
  <r>
    <x v="15"/>
    <x v="0"/>
    <x v="0"/>
    <s v="6125102"/>
    <n v="731060"/>
    <s v="Telephone"/>
    <s v="Dietary"/>
    <x v="0"/>
    <m/>
    <n v="0"/>
    <n v="0"/>
    <n v="0"/>
    <n v="0"/>
    <n v="43"/>
    <n v="0"/>
    <n v="4.3"/>
    <n v="0"/>
    <n v="0"/>
    <n v="0"/>
    <n v="0"/>
    <n v="0"/>
    <n v="47.3"/>
    <n v="0"/>
  </r>
  <r>
    <x v="15"/>
    <x v="0"/>
    <x v="0"/>
    <s v="6125102"/>
    <n v="731060"/>
    <s v="Pagers"/>
    <s v="Dietary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5"/>
    <x v="0"/>
    <x v="0"/>
    <s v="6125102"/>
    <n v="731090"/>
    <s v="Other Utilities"/>
    <s v="Dietary"/>
    <x v="0"/>
    <m/>
    <n v="445.5"/>
    <n v="0"/>
    <n v="0"/>
    <n v="0"/>
    <n v="0"/>
    <n v="0"/>
    <n v="0"/>
    <n v="0"/>
    <n v="0"/>
    <n v="462"/>
    <n v="0"/>
    <n v="0"/>
    <n v="907.5"/>
    <n v="0"/>
  </r>
  <r>
    <x v="16"/>
    <x v="0"/>
    <x v="0"/>
    <s v="6125102"/>
    <n v="732030"/>
    <s v="Repairs---Other"/>
    <s v="Dietary"/>
    <x v="0"/>
    <m/>
    <n v="1554"/>
    <n v="4291.6499999999996"/>
    <n v="4517.34"/>
    <n v="2561.2600000000002"/>
    <n v="3202.52"/>
    <n v="481.91"/>
    <n v="2072.21"/>
    <n v="0"/>
    <n v="3102.96"/>
    <n v="4858.07"/>
    <n v="1337.3"/>
    <n v="9355.69"/>
    <n v="37334.909999999996"/>
    <n v="-8018.39"/>
  </r>
  <r>
    <x v="16"/>
    <x v="0"/>
    <x v="0"/>
    <s v="6125102"/>
    <n v="733030"/>
    <s v="Maintenance Contracts-Other"/>
    <s v="Dietary"/>
    <x v="0"/>
    <m/>
    <n v="0"/>
    <n v="0"/>
    <n v="0"/>
    <n v="0"/>
    <n v="915.2"/>
    <n v="0"/>
    <n v="1184"/>
    <n v="4224.5600000000004"/>
    <n v="3213.54"/>
    <n v="1930.5"/>
    <n v="897.6"/>
    <n v="0"/>
    <n v="12365.4"/>
    <n v="897.6"/>
  </r>
  <r>
    <x v="16"/>
    <x v="0"/>
    <x v="0"/>
    <s v="6125102"/>
    <n v="733030"/>
    <s v="Maintenance Contracts-Software"/>
    <s v="Dietary"/>
    <x v="0"/>
    <n v="1002"/>
    <n v="22"/>
    <n v="2"/>
    <n v="22"/>
    <n v="22"/>
    <n v="0"/>
    <n v="0"/>
    <n v="0"/>
    <n v="60"/>
    <n v="0"/>
    <n v="60"/>
    <n v="20"/>
    <n v="60"/>
    <n v="268"/>
    <n v="-40"/>
  </r>
  <r>
    <x v="13"/>
    <x v="0"/>
    <x v="0"/>
    <s v="6125102"/>
    <n v="735040"/>
    <s v="Depreciation-Building Improvements"/>
    <s v="Dietary"/>
    <x v="0"/>
    <m/>
    <n v="2008.95"/>
    <n v="2009"/>
    <n v="2008.95"/>
    <n v="1166.44"/>
    <n v="1166.46"/>
    <n v="1166.44"/>
    <n v="1166.46"/>
    <n v="1166.43"/>
    <n v="1166.47"/>
    <n v="1166.43"/>
    <n v="1166.47"/>
    <n v="1166.4000000000001"/>
    <n v="16524.900000000001"/>
    <n v="6.9999999999936335E-2"/>
  </r>
  <r>
    <x v="13"/>
    <x v="0"/>
    <x v="0"/>
    <s v="6125102"/>
    <n v="735060"/>
    <s v="Depreciation-Fixed Equipment"/>
    <s v="Dietary"/>
    <x v="0"/>
    <m/>
    <n v="15.81"/>
    <n v="15.81"/>
    <n v="15.81"/>
    <n v="15.81"/>
    <n v="15.81"/>
    <n v="15.81"/>
    <n v="15.81"/>
    <n v="15.81"/>
    <n v="15.81"/>
    <n v="15.81"/>
    <n v="15.81"/>
    <n v="15.81"/>
    <n v="189.72"/>
    <n v="0"/>
  </r>
  <r>
    <x v="13"/>
    <x v="0"/>
    <x v="0"/>
    <s v="6125102"/>
    <n v="735070"/>
    <s v="Depreciation-Movable Equipment"/>
    <s v="Dietary"/>
    <x v="0"/>
    <m/>
    <n v="2406.11"/>
    <n v="2406.1"/>
    <n v="2406.12"/>
    <n v="2406.0700000000002"/>
    <n v="2406.14"/>
    <n v="2406.06"/>
    <n v="2329.9499999999998"/>
    <n v="2329.86"/>
    <n v="2329.9499999999998"/>
    <n v="2329.86"/>
    <n v="2512.2399999999998"/>
    <n v="2512.12"/>
    <n v="28780.579999999998"/>
    <n v="0.11999999999989086"/>
  </r>
  <r>
    <x v="0"/>
    <x v="0"/>
    <x v="0"/>
    <s v="6125102"/>
    <n v="740010"/>
    <s v="Education-Materials"/>
    <s v="Dietary"/>
    <x v="0"/>
    <m/>
    <n v="2.37"/>
    <n v="0"/>
    <n v="0"/>
    <n v="0"/>
    <n v="0"/>
    <n v="0"/>
    <n v="0"/>
    <n v="16.739999999999998"/>
    <n v="0"/>
    <n v="0"/>
    <n v="0"/>
    <n v="0"/>
    <n v="19.11"/>
    <n v="0"/>
  </r>
  <r>
    <x v="0"/>
    <x v="0"/>
    <x v="0"/>
    <s v="6125102"/>
    <n v="740030"/>
    <s v="Education-Travel"/>
    <s v="Dietary"/>
    <x v="0"/>
    <m/>
    <n v="0"/>
    <n v="0"/>
    <n v="0"/>
    <n v="0"/>
    <n v="0"/>
    <n v="0"/>
    <n v="0"/>
    <n v="825"/>
    <n v="0"/>
    <n v="0"/>
    <n v="0"/>
    <n v="0"/>
    <n v="825"/>
    <n v="0"/>
  </r>
  <r>
    <x v="0"/>
    <x v="0"/>
    <x v="0"/>
    <s v="6125102"/>
    <n v="742040"/>
    <s v="Freight-Other"/>
    <s v="Dietary"/>
    <x v="0"/>
    <m/>
    <n v="0"/>
    <n v="0"/>
    <n v="0"/>
    <n v="0"/>
    <n v="0"/>
    <n v="0"/>
    <n v="0"/>
    <n v="0"/>
    <n v="0"/>
    <n v="0"/>
    <n v="0"/>
    <n v="26.03"/>
    <n v="26.03"/>
    <n v="-26.03"/>
  </r>
  <r>
    <x v="0"/>
    <x v="0"/>
    <x v="0"/>
    <s v="6125102"/>
    <n v="743030"/>
    <s v="Subscriptions--Institutional"/>
    <s v="Dietary"/>
    <x v="0"/>
    <m/>
    <n v="0"/>
    <n v="0"/>
    <n v="0"/>
    <n v="0"/>
    <n v="0"/>
    <n v="0"/>
    <n v="23.73"/>
    <n v="36"/>
    <n v="0"/>
    <n v="0"/>
    <n v="138.61000000000001"/>
    <n v="0"/>
    <n v="198.34000000000003"/>
    <n v="138.61000000000001"/>
  </r>
  <r>
    <x v="0"/>
    <x v="0"/>
    <x v="0"/>
    <s v="6125102"/>
    <n v="749510"/>
    <s v="Miscellaneous Expenses"/>
    <s v="Dietary"/>
    <x v="0"/>
    <m/>
    <n v="9.33"/>
    <n v="65.78"/>
    <n v="0"/>
    <n v="81.67"/>
    <n v="1357.05"/>
    <n v="0"/>
    <n v="-50.47"/>
    <n v="179.14"/>
    <n v="-28.68"/>
    <n v="1017.13"/>
    <n v="469.01"/>
    <n v="957.99"/>
    <n v="4057.95"/>
    <n v="-488.98"/>
  </r>
  <r>
    <x v="0"/>
    <x v="0"/>
    <x v="0"/>
    <s v="6125102"/>
    <n v="749510"/>
    <s v="Licenses"/>
    <s v="Dietary"/>
    <x v="0"/>
    <n v="1002"/>
    <n v="39"/>
    <n v="9830.15"/>
    <n v="0"/>
    <n v="0"/>
    <n v="0"/>
    <n v="0"/>
    <n v="0"/>
    <n v="0"/>
    <n v="0"/>
    <n v="80"/>
    <n v="23.33"/>
    <n v="500"/>
    <n v="10472.48"/>
    <n v="-476.67"/>
  </r>
  <r>
    <x v="0"/>
    <x v="0"/>
    <x v="0"/>
    <s v="6125102"/>
    <n v="749510"/>
    <s v="Miscellaneous Employee Expense"/>
    <s v="Dietary"/>
    <x v="0"/>
    <n v="1010"/>
    <n v="0"/>
    <n v="0"/>
    <n v="41.44"/>
    <n v="0"/>
    <n v="0"/>
    <n v="0"/>
    <n v="0"/>
    <n v="59.33"/>
    <n v="0"/>
    <n v="20.98"/>
    <n v="0"/>
    <n v="0"/>
    <n v="121.75"/>
    <n v="0"/>
  </r>
  <r>
    <x v="0"/>
    <x v="0"/>
    <x v="0"/>
    <s v="6125102"/>
    <n v="749510"/>
    <s v="Uniforms"/>
    <s v="Dietary"/>
    <x v="0"/>
    <n v="1028"/>
    <n v="0"/>
    <n v="154.18"/>
    <n v="0"/>
    <n v="0"/>
    <n v="0"/>
    <n v="0"/>
    <n v="0"/>
    <n v="281.95999999999998"/>
    <n v="1438.86"/>
    <n v="174.9"/>
    <n v="0"/>
    <n v="-26.03"/>
    <n v="2023.8700000000001"/>
    <n v="26.03"/>
  </r>
  <r>
    <x v="0"/>
    <x v="0"/>
    <x v="0"/>
    <s v="6125102"/>
    <n v="749510"/>
    <s v="Special Events"/>
    <s v="Dietary"/>
    <x v="0"/>
    <n v="4300"/>
    <n v="0"/>
    <n v="0"/>
    <n v="0"/>
    <n v="0"/>
    <n v="0"/>
    <n v="0"/>
    <n v="265.41000000000003"/>
    <n v="0"/>
    <n v="0"/>
    <n v="0"/>
    <n v="0"/>
    <n v="0"/>
    <n v="265.41000000000003"/>
    <n v="0"/>
  </r>
  <r>
    <x v="0"/>
    <x v="0"/>
    <x v="0"/>
    <s v="6125102"/>
    <n v="749510"/>
    <s v="RICE Rewards"/>
    <s v="Dietary"/>
    <x v="0"/>
    <n v="5100"/>
    <n v="0"/>
    <n v="0"/>
    <n v="0"/>
    <n v="0"/>
    <n v="0"/>
    <n v="0"/>
    <n v="0"/>
    <n v="0"/>
    <n v="0"/>
    <n v="1337.27"/>
    <n v="0"/>
    <n v="0"/>
    <n v="1337.27"/>
    <n v="0"/>
  </r>
  <r>
    <x v="0"/>
    <x v="0"/>
    <x v="0"/>
    <s v="6125102"/>
    <n v="749530"/>
    <s v="Travel"/>
    <s v="Dietary"/>
    <x v="0"/>
    <m/>
    <n v="0"/>
    <n v="0"/>
    <n v="0"/>
    <n v="0"/>
    <n v="0"/>
    <n v="0"/>
    <n v="0"/>
    <n v="0"/>
    <n v="0"/>
    <n v="0"/>
    <n v="51.77"/>
    <n v="6.58"/>
    <n v="58.35"/>
    <n v="45.190000000000005"/>
  </r>
  <r>
    <x v="0"/>
    <x v="0"/>
    <x v="0"/>
    <s v="6125102"/>
    <n v="749535"/>
    <s v="Medicare Non-Allowable Beverages"/>
    <s v="Dietary"/>
    <x v="0"/>
    <n v="1005"/>
    <n v="172.93"/>
    <n v="0"/>
    <n v="18.690000000000001"/>
    <n v="0"/>
    <n v="0"/>
    <n v="0"/>
    <n v="0"/>
    <n v="264.55"/>
    <n v="0"/>
    <n v="199.23"/>
    <n v="123.94"/>
    <n v="95.61"/>
    <n v="874.94999999999993"/>
    <n v="28.33"/>
  </r>
  <r>
    <x v="0"/>
    <x v="0"/>
    <x v="0"/>
    <s v="6125102"/>
    <n v="749550"/>
    <s v="Cash Over/Short"/>
    <s v="Dietary"/>
    <x v="0"/>
    <m/>
    <n v="40.06"/>
    <n v="-0.92"/>
    <n v="-13.98"/>
    <n v="123.75"/>
    <n v="16.97"/>
    <n v="17.27"/>
    <n v="-12.09"/>
    <n v="41.7"/>
    <n v="23.69"/>
    <n v="-33.11"/>
    <n v="15.07"/>
    <n v="-39.56"/>
    <n v="178.84999999999997"/>
    <n v="54.63"/>
  </r>
  <r>
    <x v="14"/>
    <x v="4"/>
    <x v="0"/>
    <s v="6125103"/>
    <n v="600034"/>
    <s v="Cafeteria Revenue"/>
    <s v="Dietary"/>
    <x v="0"/>
    <m/>
    <n v="-45801.86"/>
    <n v="-48173.8"/>
    <n v="-35287.81"/>
    <n v="-49022.239999999998"/>
    <n v="-43207.29"/>
    <n v="-37998.69"/>
    <n v="-42607.74"/>
    <n v="-37156.94"/>
    <n v="-42316.43"/>
    <n v="-39144.74"/>
    <n v="-41721.56"/>
    <n v="-40497.760000000002"/>
    <n v="-502936.86"/>
    <n v="-1223.7999999999956"/>
  </r>
  <r>
    <x v="14"/>
    <x v="4"/>
    <x v="0"/>
    <s v="6125103"/>
    <n v="600034"/>
    <s v="Vending Commission"/>
    <s v="Dietary"/>
    <x v="0"/>
    <n v="1002"/>
    <n v="-52.73"/>
    <n v="-1331.26"/>
    <n v="0"/>
    <n v="0"/>
    <n v="0"/>
    <n v="-1325.66"/>
    <n v="0"/>
    <n v="-6843.6"/>
    <n v="2656.92"/>
    <n v="0"/>
    <n v="0"/>
    <n v="0"/>
    <n v="-6896.33"/>
    <n v="0"/>
  </r>
  <r>
    <x v="14"/>
    <x v="4"/>
    <x v="0"/>
    <s v="6125103"/>
    <n v="600034"/>
    <s v="Deli Revenue"/>
    <s v="Dietary"/>
    <x v="0"/>
    <n v="5100"/>
    <n v="-6956.79"/>
    <n v="-8564.26"/>
    <n v="-9648.67"/>
    <n v="-13402.97"/>
    <n v="-12959.89"/>
    <n v="-14375.85"/>
    <n v="-12229.12"/>
    <n v="-13166.39"/>
    <n v="-11154.34"/>
    <n v="-13884.69"/>
    <n v="-13297.04"/>
    <n v="-14079.69"/>
    <n v="-143719.70000000001"/>
    <n v="782.64999999999964"/>
  </r>
  <r>
    <x v="14"/>
    <x v="4"/>
    <x v="0"/>
    <s v="6125103"/>
    <n v="600034"/>
    <s v="Catering Revenue"/>
    <s v="Dietary"/>
    <x v="0"/>
    <n v="5101"/>
    <n v="-1216.92"/>
    <n v="-1441.98"/>
    <n v="-912.45"/>
    <n v="-1919.88"/>
    <n v="-1639.52"/>
    <n v="-1639.52"/>
    <n v="-1032.6199999999999"/>
    <n v="-1272.98"/>
    <n v="-62.16"/>
    <n v="-2730.8"/>
    <n v="-1322.01"/>
    <n v="-30694"/>
    <n v="-45884.84"/>
    <n v="29371.99"/>
  </r>
  <r>
    <x v="5"/>
    <x v="4"/>
    <x v="0"/>
    <s v="6125103"/>
    <n v="700038"/>
    <s v="Salaries-Service/Support-Productive"/>
    <s v="Dietary"/>
    <x v="0"/>
    <m/>
    <n v="111640.21"/>
    <n v="104164.41"/>
    <n v="104069.62"/>
    <n v="106239.41"/>
    <n v="103202.88"/>
    <n v="103029.92"/>
    <n v="105025.85"/>
    <n v="91977.42"/>
    <n v="104793.25"/>
    <n v="95709.34"/>
    <n v="99642.43"/>
    <n v="99738.87"/>
    <n v="1229233.6099999999"/>
    <n v="-96.440000000002328"/>
  </r>
  <r>
    <x v="5"/>
    <x v="4"/>
    <x v="0"/>
    <s v="6125103"/>
    <n v="700038"/>
    <s v="Salaries-Service/Support-OT"/>
    <s v="Dietary"/>
    <x v="0"/>
    <n v="1000"/>
    <n v="1364.44"/>
    <n v="2384.7399999999998"/>
    <n v="1328.54"/>
    <n v="1916.48"/>
    <n v="1538.44"/>
    <n v="1469.9"/>
    <n v="1594"/>
    <n v="3134.19"/>
    <n v="1886.16"/>
    <n v="2363.4499999999998"/>
    <n v="3565.07"/>
    <n v="1672.47"/>
    <n v="24217.88"/>
    <n v="1892.6000000000001"/>
  </r>
  <r>
    <x v="5"/>
    <x v="4"/>
    <x v="0"/>
    <s v="6125103"/>
    <n v="700038"/>
    <s v="Salaries-Service/Support-Other"/>
    <s v="Dietary"/>
    <x v="0"/>
    <n v="2000"/>
    <n v="6205.14"/>
    <n v="5433.85"/>
    <n v="5369.86"/>
    <n v="4495.21"/>
    <n v="5415.54"/>
    <n v="5258.65"/>
    <n v="4808.3"/>
    <n v="3999.41"/>
    <n v="5517.14"/>
    <n v="5277.3"/>
    <n v="4575.3599999999997"/>
    <n v="4716.32"/>
    <n v="61072.080000000009"/>
    <n v="-140.96000000000004"/>
  </r>
  <r>
    <x v="5"/>
    <x v="4"/>
    <x v="0"/>
    <s v="6125103"/>
    <n v="700054"/>
    <s v="Salaries-Management-NonProd-Other"/>
    <s v="Dietary"/>
    <x v="0"/>
    <n v="2000"/>
    <n v="0"/>
    <n v="0"/>
    <n v="0"/>
    <n v="0"/>
    <n v="0"/>
    <n v="773.43"/>
    <n v="-773.43"/>
    <n v="0"/>
    <n v="0"/>
    <n v="0"/>
    <n v="0"/>
    <n v="0"/>
    <n v="0"/>
    <n v="0"/>
  </r>
  <r>
    <x v="5"/>
    <x v="4"/>
    <x v="0"/>
    <s v="6125103"/>
    <n v="700078"/>
    <s v="Salaries-Service/Support-Non-productive"/>
    <s v="Dietary"/>
    <x v="0"/>
    <m/>
    <n v="15906.49"/>
    <n v="19939.61"/>
    <n v="14141.45"/>
    <n v="8735.49"/>
    <n v="15332.39"/>
    <n v="24243.08"/>
    <n v="12549.63"/>
    <n v="16656.21"/>
    <n v="12141.27"/>
    <n v="17698.04"/>
    <n v="12260.94"/>
    <n v="13900.04"/>
    <n v="183504.64000000001"/>
    <n v="-1639.1000000000004"/>
  </r>
  <r>
    <x v="5"/>
    <x v="4"/>
    <x v="0"/>
    <s v="6125103"/>
    <n v="700078"/>
    <s v="Salaries-Service/Support-NonProd-Other"/>
    <s v="Dietary"/>
    <x v="0"/>
    <n v="2000"/>
    <n v="453.94"/>
    <n v="694.31"/>
    <n v="1221.1199999999999"/>
    <n v="-30.95"/>
    <n v="2609.81"/>
    <n v="1125.5999999999999"/>
    <n v="422.83"/>
    <n v="-2085.1799999999998"/>
    <n v="420.1"/>
    <n v="258.75"/>
    <n v="458.5"/>
    <n v="418.13"/>
    <n v="5966.96"/>
    <n v="40.370000000000005"/>
  </r>
  <r>
    <x v="5"/>
    <x v="4"/>
    <x v="0"/>
    <s v="6125103"/>
    <n v="700084"/>
    <s v="Accrued PTO"/>
    <s v="Dietary"/>
    <x v="0"/>
    <m/>
    <n v="4004.82"/>
    <n v="-1797.68"/>
    <n v="159.1"/>
    <n v="3689.21"/>
    <n v="1304.8"/>
    <n v="-6210.34"/>
    <n v="3194.82"/>
    <n v="3855.33"/>
    <n v="3622.8"/>
    <n v="-1001.24"/>
    <n v="3421.25"/>
    <n v="2865.55"/>
    <n v="17108.420000000002"/>
    <n v="555.69999999999982"/>
  </r>
  <r>
    <x v="6"/>
    <x v="4"/>
    <x v="0"/>
    <s v="6125103"/>
    <n v="713010"/>
    <s v="Benefits-FICA/Medicare"/>
    <s v="Dietary"/>
    <x v="0"/>
    <m/>
    <n v="9911.68"/>
    <n v="9726.9599999999991"/>
    <n v="9854.3799999999992"/>
    <n v="8622.1299999999992"/>
    <n v="9809"/>
    <n v="9778.4"/>
    <n v="9051.5400000000009"/>
    <n v="8423.64"/>
    <n v="9021.5499999999993"/>
    <n v="8695.75"/>
    <n v="8715.3700000000008"/>
    <n v="8674.9699999999993"/>
    <n v="110285.37"/>
    <n v="40.400000000001455"/>
  </r>
  <r>
    <x v="6"/>
    <x v="4"/>
    <x v="0"/>
    <s v="6125103"/>
    <n v="713090"/>
    <s v="Benefits-Allocated Amounts"/>
    <s v="Dietary"/>
    <x v="0"/>
    <m/>
    <n v="42571.33"/>
    <n v="34805.14"/>
    <n v="37097.9"/>
    <n v="34746.06"/>
    <n v="38030.42"/>
    <n v="37853.599999999999"/>
    <n v="38802.57"/>
    <n v="38003.410000000003"/>
    <n v="36600.370000000003"/>
    <n v="40014.269999999997"/>
    <n v="38396.589999999997"/>
    <n v="39288.129999999997"/>
    <n v="456209.78999999992"/>
    <n v="-891.54000000000087"/>
  </r>
  <r>
    <x v="7"/>
    <x v="4"/>
    <x v="0"/>
    <s v="6125103"/>
    <n v="718010"/>
    <s v="Employee Advertising"/>
    <s v="Dietary"/>
    <x v="0"/>
    <n v="1002"/>
    <n v="0"/>
    <n v="0"/>
    <n v="0"/>
    <n v="0"/>
    <n v="0"/>
    <n v="0"/>
    <n v="0"/>
    <n v="0"/>
    <n v="0"/>
    <n v="0"/>
    <n v="394.89"/>
    <n v="713.3"/>
    <n v="1108.19"/>
    <n v="-318.40999999999997"/>
  </r>
  <r>
    <x v="7"/>
    <x v="4"/>
    <x v="0"/>
    <s v="6125103"/>
    <n v="718050"/>
    <s v="Contract Svcs-Other"/>
    <s v="Dietary"/>
    <x v="0"/>
    <m/>
    <n v="0"/>
    <n v="800"/>
    <n v="1408.79"/>
    <n v="0"/>
    <n v="905.58"/>
    <n v="0"/>
    <n v="879.2"/>
    <n v="274.75"/>
    <n v="0"/>
    <n v="879.2"/>
    <n v="0"/>
    <n v="0"/>
    <n v="5147.5199999999995"/>
    <n v="0"/>
  </r>
  <r>
    <x v="7"/>
    <x v="4"/>
    <x v="0"/>
    <s v="6125103"/>
    <n v="718050"/>
    <s v="Miscellaneous Purchased Svcs"/>
    <s v="Dietary"/>
    <x v="0"/>
    <n v="1020"/>
    <n v="0"/>
    <n v="0"/>
    <n v="0"/>
    <n v="0"/>
    <n v="0"/>
    <n v="0"/>
    <n v="0"/>
    <n v="0"/>
    <n v="0"/>
    <n v="0"/>
    <n v="0"/>
    <n v="63"/>
    <n v="63"/>
    <n v="-63"/>
  </r>
  <r>
    <x v="7"/>
    <x v="4"/>
    <x v="0"/>
    <s v="6125103"/>
    <n v="718050"/>
    <s v="Contract Management--Linen"/>
    <s v="Dietary"/>
    <x v="0"/>
    <n v="1026"/>
    <n v="558.66"/>
    <n v="1193.27"/>
    <n v="929.81"/>
    <n v="760.54"/>
    <n v="790.99"/>
    <n v="1046.08"/>
    <n v="533.15"/>
    <n v="1496.9"/>
    <n v="565.35"/>
    <n v="0"/>
    <n v="177.97"/>
    <n v="174.85"/>
    <n v="8227.57"/>
    <n v="3.1200000000000045"/>
  </r>
  <r>
    <x v="7"/>
    <x v="4"/>
    <x v="0"/>
    <s v="6125103"/>
    <n v="718050"/>
    <s v="Contract Services-Food&amp;Catering"/>
    <s v="Dietary"/>
    <x v="0"/>
    <n v="1030"/>
    <n v="26255.07"/>
    <n v="26121.599999999999"/>
    <n v="27912.98"/>
    <n v="25696"/>
    <n v="25696"/>
    <n v="25325.200000000001"/>
    <n v="27255.73"/>
    <n v="26429.06"/>
    <n v="22670.3"/>
    <n v="18554.66"/>
    <n v="18554.66"/>
    <n v="24875.1"/>
    <n v="295346.36"/>
    <n v="-6320.4399999999987"/>
  </r>
  <r>
    <x v="7"/>
    <x v="4"/>
    <x v="0"/>
    <s v="6125103"/>
    <n v="718091"/>
    <s v="Contract Services-Intracompany Allocation"/>
    <s v="Dietary"/>
    <x v="0"/>
    <m/>
    <n v="14193.17"/>
    <n v="13978"/>
    <n v="14517.64"/>
    <n v="14813.64"/>
    <n v="14285.09"/>
    <n v="15234.97"/>
    <n v="15262.62"/>
    <n v="14376.19"/>
    <n v="15843.93"/>
    <n v="14593.41"/>
    <n v="14721.13"/>
    <n v="15379.2"/>
    <n v="177198.99000000002"/>
    <n v="-658.07000000000153"/>
  </r>
  <r>
    <x v="11"/>
    <x v="4"/>
    <x v="0"/>
    <s v="6125103"/>
    <n v="721250"/>
    <s v="Supplies-Pharmacy Drugs - Billable"/>
    <s v="Dietary"/>
    <x v="0"/>
    <m/>
    <n v="691.39"/>
    <n v="767.77"/>
    <n v="972.46"/>
    <n v="842.03"/>
    <n v="935.4"/>
    <n v="1347.4"/>
    <n v="1388.61"/>
    <n v="1081.25"/>
    <n v="1093.6199999999999"/>
    <n v="1500.25"/>
    <n v="781.68"/>
    <n v="712.19"/>
    <n v="12114.05"/>
    <n v="69.489999999999895"/>
  </r>
  <r>
    <x v="11"/>
    <x v="4"/>
    <x v="0"/>
    <s v="6125103"/>
    <n v="721410"/>
    <s v="Supplies-Medical - Nonbillable"/>
    <s v="Dietary"/>
    <x v="0"/>
    <m/>
    <n v="1172.23"/>
    <n v="1164.3699999999999"/>
    <n v="979.37"/>
    <n v="1065.94"/>
    <n v="1010.66"/>
    <n v="755.52"/>
    <n v="1124.23"/>
    <n v="750.31"/>
    <n v="902.61"/>
    <n v="873.02"/>
    <n v="945.15"/>
    <n v="814.86"/>
    <n v="11558.27"/>
    <n v="130.28999999999996"/>
  </r>
  <r>
    <x v="11"/>
    <x v="4"/>
    <x v="0"/>
    <s v="6125103"/>
    <n v="721650"/>
    <s v="Supplies-Pharmacy Drugs - Nonbillable"/>
    <s v="Dietary"/>
    <x v="0"/>
    <m/>
    <n v="0"/>
    <n v="0"/>
    <n v="0"/>
    <n v="0"/>
    <n v="0"/>
    <n v="130.77000000000001"/>
    <n v="0"/>
    <n v="-11.78"/>
    <n v="0"/>
    <n v="0"/>
    <n v="0"/>
    <n v="120.89"/>
    <n v="239.88"/>
    <n v="-120.89"/>
  </r>
  <r>
    <x v="11"/>
    <x v="4"/>
    <x v="0"/>
    <s v="6125103"/>
    <n v="721810"/>
    <s v="Supplies-Dietary/Cafeteria"/>
    <s v="Dietary"/>
    <x v="0"/>
    <m/>
    <n v="80105.47"/>
    <n v="87981.24"/>
    <n v="87349.15"/>
    <n v="83206.14"/>
    <n v="69304.23"/>
    <n v="97360.63"/>
    <n v="90021.92"/>
    <n v="91911.18"/>
    <n v="66789.5"/>
    <n v="88356.32"/>
    <n v="66713.009999999995"/>
    <n v="91832.63"/>
    <n v="1000931.42"/>
    <n v="-25119.62000000001"/>
  </r>
  <r>
    <x v="11"/>
    <x v="4"/>
    <x v="0"/>
    <s v="6125103"/>
    <n v="721810"/>
    <s v="Food Products (RESTRICTED)"/>
    <s v="Dietary"/>
    <x v="0"/>
    <n v="5200"/>
    <n v="-32604.23"/>
    <n v="-36781.85"/>
    <n v="-31804.9"/>
    <n v="-37768.82"/>
    <n v="-35150.28"/>
    <n v="-35150.29"/>
    <n v="-38008.79"/>
    <n v="-36357.760000000002"/>
    <n v="0"/>
    <n v="-77296.149999999994"/>
    <n v="-46193.67"/>
    <n v="-34671.79"/>
    <n v="-441788.53"/>
    <n v="-11521.879999999997"/>
  </r>
  <r>
    <x v="11"/>
    <x v="4"/>
    <x v="0"/>
    <s v="6125103"/>
    <n v="721830"/>
    <s v="Supplies-Office"/>
    <s v="Dietary"/>
    <x v="0"/>
    <m/>
    <n v="190.1"/>
    <n v="1467.1"/>
    <n v="427.49"/>
    <n v="391.1"/>
    <n v="852.3"/>
    <n v="527.57000000000005"/>
    <n v="292.01"/>
    <n v="1336.13"/>
    <n v="421.76"/>
    <n v="404.42"/>
    <n v="853.78"/>
    <n v="157.41999999999999"/>
    <n v="7321.1799999999994"/>
    <n v="696.36"/>
  </r>
  <r>
    <x v="11"/>
    <x v="4"/>
    <x v="0"/>
    <s v="6125103"/>
    <n v="721835"/>
    <s v="Supplies-Forms"/>
    <s v="Dietary"/>
    <x v="0"/>
    <m/>
    <n v="0"/>
    <n v="0"/>
    <n v="0"/>
    <n v="0"/>
    <n v="9.9499999999999993"/>
    <n v="0"/>
    <n v="0"/>
    <n v="0"/>
    <n v="9.24"/>
    <n v="0"/>
    <n v="0"/>
    <n v="0"/>
    <n v="19.189999999999998"/>
    <n v="0"/>
  </r>
  <r>
    <x v="11"/>
    <x v="4"/>
    <x v="0"/>
    <s v="6125103"/>
    <n v="721870"/>
    <s v="Supplies-Environmental Services"/>
    <s v="Dietary"/>
    <x v="0"/>
    <m/>
    <n v="3148.76"/>
    <n v="4755.28"/>
    <n v="-1150.93"/>
    <n v="3032.51"/>
    <n v="1084.33"/>
    <n v="2531.5100000000002"/>
    <n v="2129.63"/>
    <n v="1920.65"/>
    <n v="2246.5"/>
    <n v="1830.65"/>
    <n v="2691.66"/>
    <n v="1694.36"/>
    <n v="25914.910000000003"/>
    <n v="997.3"/>
  </r>
  <r>
    <x v="11"/>
    <x v="4"/>
    <x v="0"/>
    <s v="6125103"/>
    <n v="721910"/>
    <s v="Supplies-Small Equipment"/>
    <s v="Dietary"/>
    <x v="0"/>
    <m/>
    <n v="559.12"/>
    <n v="1439.87"/>
    <n v="4273.42"/>
    <n v="812.46"/>
    <n v="3813.7"/>
    <n v="1923.3"/>
    <n v="1015.95"/>
    <n v="1475.95"/>
    <n v="1310.5899999999999"/>
    <n v="928.72"/>
    <n v="339.05"/>
    <n v="2577.4899999999998"/>
    <n v="20469.620000000003"/>
    <n v="-2238.4399999999996"/>
  </r>
  <r>
    <x v="11"/>
    <x v="4"/>
    <x v="0"/>
    <s v="6125103"/>
    <n v="721980"/>
    <s v="Supplies-Other"/>
    <s v="Dietary"/>
    <x v="0"/>
    <m/>
    <n v="6396.02"/>
    <n v="4154.01"/>
    <n v="4990.13"/>
    <n v="5870.81"/>
    <n v="3169.02"/>
    <n v="7824.76"/>
    <n v="5909.77"/>
    <n v="5577.69"/>
    <n v="5368.61"/>
    <n v="5380.24"/>
    <n v="5046.93"/>
    <n v="4894.72"/>
    <n v="64582.710000000006"/>
    <n v="152.21000000000004"/>
  </r>
  <r>
    <x v="11"/>
    <x v="4"/>
    <x v="0"/>
    <s v="6125103"/>
    <n v="722000"/>
    <s v="Supplies-Freight Expense"/>
    <s v="Dietary"/>
    <x v="0"/>
    <m/>
    <n v="12.54"/>
    <n v="-29.21"/>
    <n v="62.01"/>
    <n v="24.5"/>
    <n v="0"/>
    <n v="0"/>
    <n v="10.3"/>
    <n v="32.93"/>
    <n v="0"/>
    <n v="0"/>
    <n v="85.81"/>
    <n v="25.72"/>
    <n v="224.6"/>
    <n v="60.09"/>
  </r>
  <r>
    <x v="11"/>
    <x v="4"/>
    <x v="0"/>
    <s v="6125103"/>
    <n v="723000"/>
    <s v="Supply Rebates/Patronage Dividend"/>
    <s v="Dietary"/>
    <x v="0"/>
    <m/>
    <n v="0"/>
    <n v="0"/>
    <n v="-10911.22"/>
    <n v="0"/>
    <n v="0"/>
    <n v="-11771.21"/>
    <n v="0"/>
    <n v="0"/>
    <n v="-19758.689999999999"/>
    <n v="-1359.52"/>
    <n v="0"/>
    <n v="-13007.07"/>
    <n v="-56807.709999999992"/>
    <n v="13007.07"/>
  </r>
  <r>
    <x v="12"/>
    <x v="4"/>
    <x v="0"/>
    <s v="6125103"/>
    <n v="730010"/>
    <s v="Rental and Leases-Building (DO NOT USE)"/>
    <s v="Dietary"/>
    <x v="0"/>
    <m/>
    <n v="0"/>
    <n v="0"/>
    <n v="0"/>
    <n v="1869"/>
    <n v="0"/>
    <n v="0"/>
    <n v="0"/>
    <n v="0"/>
    <n v="0"/>
    <n v="0"/>
    <n v="0"/>
    <n v="0"/>
    <n v="1869"/>
    <n v="0"/>
  </r>
  <r>
    <x v="12"/>
    <x v="4"/>
    <x v="0"/>
    <s v="6125103"/>
    <n v="730020"/>
    <s v="Rental and Leases-Equipment (DO NOT USE)"/>
    <s v="Dietary"/>
    <x v="0"/>
    <m/>
    <n v="1346.28"/>
    <n v="0"/>
    <n v="0"/>
    <n v="0"/>
    <n v="0"/>
    <n v="0"/>
    <n v="0"/>
    <n v="0"/>
    <n v="0"/>
    <n v="0"/>
    <n v="1560.58"/>
    <n v="0"/>
    <n v="2906.8599999999997"/>
    <n v="1560.58"/>
  </r>
  <r>
    <x v="12"/>
    <x v="4"/>
    <x v="0"/>
    <s v="6125103"/>
    <n v="730020"/>
    <s v="Rental and Leases-Copier Usage Fees (DO NOT USE)"/>
    <s v="Dietary"/>
    <x v="0"/>
    <n v="5100"/>
    <n v="263.44"/>
    <n v="259.58"/>
    <n v="261.51"/>
    <n v="261.51"/>
    <n v="261.51"/>
    <n v="261.51"/>
    <n v="-191.74"/>
    <n v="225.58"/>
    <n v="116.95"/>
    <n v="419.05"/>
    <n v="117.43"/>
    <n v="134.94999999999999"/>
    <n v="2391.2799999999997"/>
    <n v="-17.519999999999982"/>
  </r>
  <r>
    <x v="15"/>
    <x v="4"/>
    <x v="0"/>
    <s v="6125103"/>
    <n v="731060"/>
    <s v="Pagers"/>
    <s v="Dietary"/>
    <x v="0"/>
    <n v="1002"/>
    <n v="12.6"/>
    <n v="12.6"/>
    <n v="12.6"/>
    <n v="12.62"/>
    <n v="12.62"/>
    <n v="0"/>
    <n v="25.24"/>
    <n v="12.62"/>
    <n v="12.62"/>
    <n v="12.62"/>
    <n v="12.62"/>
    <n v="12.62"/>
    <n v="151.38"/>
    <n v="0"/>
  </r>
  <r>
    <x v="16"/>
    <x v="4"/>
    <x v="0"/>
    <s v="6125103"/>
    <n v="732030"/>
    <s v="Repairs---Other"/>
    <s v="Dietary"/>
    <x v="0"/>
    <m/>
    <n v="965.74"/>
    <n v="4289.6400000000003"/>
    <n v="2584.79"/>
    <n v="2492.7199999999998"/>
    <n v="3090.59"/>
    <n v="4549.5600000000004"/>
    <n v="1985.94"/>
    <n v="1742.13"/>
    <n v="3259.75"/>
    <n v="7216.52"/>
    <n v="0"/>
    <n v="9010.48"/>
    <n v="41187.86"/>
    <n v="-9010.48"/>
  </r>
  <r>
    <x v="16"/>
    <x v="4"/>
    <x v="0"/>
    <s v="6125103"/>
    <n v="733030"/>
    <s v="Maintenance Contracts-Other"/>
    <s v="Dietary"/>
    <x v="0"/>
    <m/>
    <n v="291.79000000000002"/>
    <n v="2597.63"/>
    <n v="784.12"/>
    <n v="2174.63"/>
    <n v="496.2"/>
    <n v="694.02"/>
    <n v="2215.59"/>
    <n v="4113.8599999999997"/>
    <n v="872.47"/>
    <n v="2166.38"/>
    <n v="366.97"/>
    <n v="1341.04"/>
    <n v="18114.7"/>
    <n v="-974.06999999999994"/>
  </r>
  <r>
    <x v="16"/>
    <x v="4"/>
    <x v="0"/>
    <s v="6125103"/>
    <n v="733030"/>
    <s v="Maintenance Contracts-Software"/>
    <s v="Dietary"/>
    <x v="0"/>
    <n v="1002"/>
    <n v="21.98"/>
    <n v="-20"/>
    <n v="43.96"/>
    <n v="0"/>
    <n v="0"/>
    <n v="20"/>
    <n v="20"/>
    <n v="40"/>
    <n v="0"/>
    <n v="0"/>
    <n v="50"/>
    <n v="66"/>
    <n v="241.94"/>
    <n v="-16"/>
  </r>
  <r>
    <x v="13"/>
    <x v="4"/>
    <x v="0"/>
    <s v="6125103"/>
    <n v="735060"/>
    <s v="Depreciation-Fixed Equipment"/>
    <s v="Dietary"/>
    <x v="0"/>
    <m/>
    <n v="0"/>
    <n v="0"/>
    <n v="152.5"/>
    <n v="152.5"/>
    <n v="152.5"/>
    <n v="152.5"/>
    <n v="152.5"/>
    <n v="152.5"/>
    <n v="152.51"/>
    <n v="152.5"/>
    <n v="152.51"/>
    <n v="152.5"/>
    <n v="1525.02"/>
    <n v="9.9999999999909051E-3"/>
  </r>
  <r>
    <x v="13"/>
    <x v="4"/>
    <x v="0"/>
    <s v="6125103"/>
    <n v="735070"/>
    <s v="Depreciation-Movable Equipment"/>
    <s v="Dietary"/>
    <x v="0"/>
    <m/>
    <n v="9240.84"/>
    <n v="9240.82"/>
    <n v="9240.84"/>
    <n v="9240.7999999999993"/>
    <n v="9240.85"/>
    <n v="9240.7800000000007"/>
    <n v="9240.85"/>
    <n v="9240.7800000000007"/>
    <n v="9339.85"/>
    <n v="9339.75"/>
    <n v="9339.86"/>
    <n v="9339.73"/>
    <n v="111285.75"/>
    <n v="0.13000000000101863"/>
  </r>
  <r>
    <x v="0"/>
    <x v="4"/>
    <x v="0"/>
    <s v="6125103"/>
    <n v="740010"/>
    <s v="Education-Materials"/>
    <s v="Dietary"/>
    <x v="0"/>
    <m/>
    <n v="2.37"/>
    <n v="0"/>
    <n v="0"/>
    <n v="0"/>
    <n v="0"/>
    <n v="0"/>
    <n v="13.8"/>
    <n v="0"/>
    <n v="0"/>
    <n v="0"/>
    <n v="0"/>
    <n v="0"/>
    <n v="16.170000000000002"/>
    <n v="0"/>
  </r>
  <r>
    <x v="0"/>
    <x v="4"/>
    <x v="0"/>
    <s v="6125103"/>
    <n v="740030"/>
    <s v="Education-Travel"/>
    <s v="Dietary"/>
    <x v="0"/>
    <m/>
    <n v="0"/>
    <n v="0"/>
    <n v="0"/>
    <n v="0"/>
    <n v="0"/>
    <n v="0"/>
    <n v="0"/>
    <n v="846.2"/>
    <n v="0"/>
    <n v="0"/>
    <n v="0"/>
    <n v="0"/>
    <n v="846.2"/>
    <n v="0"/>
  </r>
  <r>
    <x v="0"/>
    <x v="4"/>
    <x v="0"/>
    <s v="6125103"/>
    <n v="743010"/>
    <s v="Dues--Institutional"/>
    <s v="Dietary"/>
    <x v="0"/>
    <m/>
    <n v="0"/>
    <n v="157"/>
    <n v="0"/>
    <n v="0"/>
    <n v="0"/>
    <n v="0"/>
    <n v="0"/>
    <n v="0"/>
    <n v="0"/>
    <n v="0"/>
    <n v="0"/>
    <n v="0"/>
    <n v="157"/>
    <n v="0"/>
  </r>
  <r>
    <x v="0"/>
    <x v="4"/>
    <x v="0"/>
    <s v="6125103"/>
    <n v="743030"/>
    <s v="Subscriptions--Institutional"/>
    <s v="Dietary"/>
    <x v="0"/>
    <m/>
    <n v="0"/>
    <n v="0"/>
    <n v="0"/>
    <n v="0"/>
    <n v="0"/>
    <n v="0"/>
    <n v="0"/>
    <n v="36"/>
    <n v="0"/>
    <n v="0"/>
    <n v="138.61000000000001"/>
    <n v="0"/>
    <n v="174.61"/>
    <n v="138.61000000000001"/>
  </r>
  <r>
    <x v="0"/>
    <x v="4"/>
    <x v="0"/>
    <s v="6125103"/>
    <n v="749510"/>
    <s v="Miscellaneous Expenses"/>
    <s v="Dietary"/>
    <x v="0"/>
    <m/>
    <n v="0"/>
    <n v="-414.7"/>
    <n v="450.84"/>
    <n v="0"/>
    <n v="1296.95"/>
    <n v="0"/>
    <n v="0"/>
    <n v="593.98"/>
    <n v="0"/>
    <n v="1200.1600000000001"/>
    <n v="729.86"/>
    <n v="90.75"/>
    <n v="3947.8400000000006"/>
    <n v="639.11"/>
  </r>
  <r>
    <x v="0"/>
    <x v="4"/>
    <x v="0"/>
    <s v="6125103"/>
    <n v="749510"/>
    <s v="Licenses"/>
    <s v="Dietary"/>
    <x v="0"/>
    <n v="1002"/>
    <n v="39"/>
    <n v="9821.2099999999991"/>
    <n v="0"/>
    <n v="0"/>
    <n v="0"/>
    <n v="0"/>
    <n v="0"/>
    <n v="0"/>
    <n v="0"/>
    <n v="0"/>
    <n v="109.33"/>
    <n v="500"/>
    <n v="10469.539999999999"/>
    <n v="-390.67"/>
  </r>
  <r>
    <x v="0"/>
    <x v="4"/>
    <x v="0"/>
    <s v="6125103"/>
    <n v="749510"/>
    <s v="Miscellaneous Employee Expense"/>
    <s v="Dietary"/>
    <x v="0"/>
    <n v="1010"/>
    <n v="16.47"/>
    <n v="0"/>
    <n v="51.95"/>
    <n v="0"/>
    <n v="0"/>
    <n v="0"/>
    <n v="41.98"/>
    <n v="89.37"/>
    <n v="0"/>
    <n v="0"/>
    <n v="131.16999999999999"/>
    <n v="161.71"/>
    <n v="492.65"/>
    <n v="-30.54000000000002"/>
  </r>
  <r>
    <x v="0"/>
    <x v="4"/>
    <x v="0"/>
    <s v="6125103"/>
    <n v="749510"/>
    <s v="Uniforms"/>
    <s v="Dietary"/>
    <x v="0"/>
    <n v="1028"/>
    <n v="0"/>
    <n v="0"/>
    <n v="0"/>
    <n v="3511.4"/>
    <n v="0"/>
    <n v="795.19"/>
    <n v="0"/>
    <n v="39.619999999999997"/>
    <n v="0"/>
    <n v="68.34"/>
    <n v="0"/>
    <n v="0"/>
    <n v="4414.55"/>
    <n v="0"/>
  </r>
  <r>
    <x v="0"/>
    <x v="4"/>
    <x v="0"/>
    <s v="6125103"/>
    <n v="749510"/>
    <s v="Special Events"/>
    <s v="Dietary"/>
    <x v="0"/>
    <n v="4300"/>
    <n v="0"/>
    <n v="165.65"/>
    <n v="38.979999999999997"/>
    <n v="0"/>
    <n v="0"/>
    <n v="403.22"/>
    <n v="0"/>
    <n v="0"/>
    <n v="0"/>
    <n v="0"/>
    <n v="0"/>
    <n v="0"/>
    <n v="607.85"/>
    <n v="0"/>
  </r>
  <r>
    <x v="0"/>
    <x v="4"/>
    <x v="0"/>
    <s v="6125103"/>
    <n v="749510"/>
    <s v="RICE Rewards"/>
    <s v="Dietary"/>
    <x v="0"/>
    <n v="5100"/>
    <n v="0"/>
    <n v="0"/>
    <n v="0"/>
    <n v="0"/>
    <n v="0"/>
    <n v="54.98"/>
    <n v="0"/>
    <n v="0"/>
    <n v="0"/>
    <n v="1290.05"/>
    <n v="0"/>
    <n v="0"/>
    <n v="1345.03"/>
    <n v="0"/>
  </r>
  <r>
    <x v="0"/>
    <x v="4"/>
    <x v="0"/>
    <s v="6125103"/>
    <n v="749530"/>
    <s v="Travel"/>
    <s v="Dietary"/>
    <x v="0"/>
    <m/>
    <n v="0"/>
    <n v="0"/>
    <n v="0"/>
    <n v="0"/>
    <n v="0"/>
    <n v="17.04"/>
    <n v="0"/>
    <n v="0"/>
    <n v="0"/>
    <n v="0"/>
    <n v="51.74"/>
    <n v="11.56"/>
    <n v="80.34"/>
    <n v="40.18"/>
  </r>
  <r>
    <x v="0"/>
    <x v="4"/>
    <x v="0"/>
    <s v="6125103"/>
    <n v="749530"/>
    <s v="Mileage"/>
    <s v="Dietary"/>
    <x v="0"/>
    <n v="1001"/>
    <n v="0"/>
    <n v="88.29"/>
    <n v="0"/>
    <n v="0"/>
    <n v="0"/>
    <n v="0"/>
    <n v="0"/>
    <n v="335.72"/>
    <n v="0"/>
    <n v="0"/>
    <n v="0"/>
    <n v="0"/>
    <n v="424.01000000000005"/>
    <n v="0"/>
  </r>
  <r>
    <x v="0"/>
    <x v="4"/>
    <x v="0"/>
    <s v="6125103"/>
    <n v="749535"/>
    <s v="Medicare Non-Allowable Beverages"/>
    <s v="Dietary"/>
    <x v="0"/>
    <n v="1005"/>
    <n v="194.47"/>
    <n v="0"/>
    <n v="27.07"/>
    <n v="0"/>
    <n v="0"/>
    <n v="0"/>
    <n v="0"/>
    <n v="199.25"/>
    <n v="0"/>
    <n v="0"/>
    <n v="37.64"/>
    <n v="65.48"/>
    <n v="523.91"/>
    <n v="-27.840000000000003"/>
  </r>
  <r>
    <x v="0"/>
    <x v="4"/>
    <x v="0"/>
    <s v="6125103"/>
    <n v="749550"/>
    <s v="Cash Over/Short"/>
    <s v="Dietary"/>
    <x v="0"/>
    <m/>
    <n v="40.99"/>
    <n v="-23.22"/>
    <n v="36.24"/>
    <n v="-37.590000000000003"/>
    <n v="10.09"/>
    <n v="17.77"/>
    <n v="-0.51"/>
    <n v="-11.98"/>
    <n v="3.28"/>
    <n v="21.98"/>
    <n v="5.0599999999999996"/>
    <n v="-3.38"/>
    <n v="58.73"/>
    <n v="8.44"/>
  </r>
  <r>
    <x v="14"/>
    <x v="8"/>
    <x v="0"/>
    <s v="6125104"/>
    <n v="600034"/>
    <s v="Cafeteria Revenue"/>
    <s v="Dietary"/>
    <x v="0"/>
    <m/>
    <n v="-79469.48"/>
    <n v="-74476.929999999993"/>
    <n v="-66983.97"/>
    <n v="-82435.59"/>
    <n v="-71652.929999999993"/>
    <n v="-68385.61"/>
    <n v="-75468.160000000003"/>
    <n v="-65788.44"/>
    <n v="-75445.210000000006"/>
    <n v="-74237.289999999994"/>
    <n v="-77922.740000000005"/>
    <n v="-76960.17"/>
    <n v="-889226.5199999999"/>
    <n v="-962.57000000000698"/>
  </r>
  <r>
    <x v="14"/>
    <x v="8"/>
    <x v="0"/>
    <s v="6125104"/>
    <n v="600034"/>
    <s v="Vending Commission"/>
    <s v="Dietary"/>
    <x v="0"/>
    <n v="1002"/>
    <n v="0"/>
    <n v="-940.2"/>
    <n v="0"/>
    <n v="0"/>
    <n v="0"/>
    <n v="-941.65"/>
    <n v="0"/>
    <n v="-6798.42"/>
    <n v="1868.5"/>
    <n v="0"/>
    <n v="-34.86"/>
    <n v="0"/>
    <n v="-6846.63"/>
    <n v="-34.86"/>
  </r>
  <r>
    <x v="14"/>
    <x v="8"/>
    <x v="0"/>
    <s v="6125104"/>
    <n v="600034"/>
    <s v="Catering Revenue"/>
    <s v="Dietary"/>
    <x v="0"/>
    <n v="5101"/>
    <n v="-807.98"/>
    <n v="-1583.27"/>
    <n v="-913.98"/>
    <n v="-1531.83"/>
    <n v="-1694.47"/>
    <n v="-1341.29"/>
    <n v="-1041.72"/>
    <n v="-2054.9899999999998"/>
    <n v="-1658.7"/>
    <n v="-1251.52"/>
    <n v="-1653.06"/>
    <n v="-1143.73"/>
    <n v="-16676.54"/>
    <n v="-509.32999999999993"/>
  </r>
  <r>
    <x v="14"/>
    <x v="8"/>
    <x v="0"/>
    <s v="6125104"/>
    <n v="600060"/>
    <s v="Gain/Loss--Sale of Fixed Assets"/>
    <s v="Dietary"/>
    <x v="0"/>
    <m/>
    <n v="0"/>
    <n v="0"/>
    <n v="0"/>
    <n v="63.63"/>
    <n v="0"/>
    <n v="0"/>
    <n v="0"/>
    <n v="0"/>
    <n v="0"/>
    <n v="0"/>
    <n v="0"/>
    <n v="0"/>
    <n v="63.63"/>
    <n v="0"/>
  </r>
  <r>
    <x v="20"/>
    <x v="8"/>
    <x v="0"/>
    <s v="6125104"/>
    <n v="610010"/>
    <s v="Foundation Distributions"/>
    <s v="Dietary"/>
    <x v="0"/>
    <n v="1175"/>
    <n v="0"/>
    <n v="0"/>
    <n v="0"/>
    <n v="0"/>
    <n v="0"/>
    <n v="0"/>
    <n v="0"/>
    <n v="0"/>
    <n v="-2862.37"/>
    <n v="0"/>
    <n v="0"/>
    <n v="0"/>
    <n v="-2862.37"/>
    <n v="0"/>
  </r>
  <r>
    <x v="5"/>
    <x v="8"/>
    <x v="0"/>
    <s v="6125104"/>
    <n v="700038"/>
    <s v="Salaries-Service/Support-Productive"/>
    <s v="Dietary"/>
    <x v="0"/>
    <m/>
    <n v="89489.56"/>
    <n v="87863.7"/>
    <n v="86219.91"/>
    <n v="84595.77"/>
    <n v="86094.89"/>
    <n v="85614.55"/>
    <n v="91640.29"/>
    <n v="85027.56"/>
    <n v="97974.88"/>
    <n v="88069.35"/>
    <n v="86849.27"/>
    <n v="92671.17"/>
    <n v="1062110.8999999999"/>
    <n v="-5821.8999999999942"/>
  </r>
  <r>
    <x v="5"/>
    <x v="8"/>
    <x v="0"/>
    <s v="6125104"/>
    <n v="700038"/>
    <s v="Salaries-Service/Support-OT"/>
    <s v="Dietary"/>
    <x v="0"/>
    <n v="1000"/>
    <n v="245.93"/>
    <n v="926.98"/>
    <n v="45.56"/>
    <n v="2957.38"/>
    <n v="307.89999999999998"/>
    <n v="3087.67"/>
    <n v="501.61"/>
    <n v="1559.51"/>
    <n v="451.15"/>
    <n v="780.18"/>
    <n v="1743.39"/>
    <n v="484.14"/>
    <n v="13091.399999999998"/>
    <n v="1259.25"/>
  </r>
  <r>
    <x v="5"/>
    <x v="8"/>
    <x v="0"/>
    <s v="6125104"/>
    <n v="700038"/>
    <s v="Salaries-Service/Support-Other"/>
    <s v="Dietary"/>
    <x v="0"/>
    <n v="2000"/>
    <n v="6605.23"/>
    <n v="6839.99"/>
    <n v="6217.28"/>
    <n v="6510.32"/>
    <n v="6061.01"/>
    <n v="6594.26"/>
    <n v="7258.87"/>
    <n v="7617.94"/>
    <n v="8913.39"/>
    <n v="8622.14"/>
    <n v="7052.56"/>
    <n v="9138.01"/>
    <n v="87431"/>
    <n v="-2085.4499999999998"/>
  </r>
  <r>
    <x v="5"/>
    <x v="8"/>
    <x v="0"/>
    <s v="6125104"/>
    <n v="700054"/>
    <s v="Salaries-Management-NonProd-Other"/>
    <s v="Dietary"/>
    <x v="0"/>
    <n v="2000"/>
    <n v="0"/>
    <n v="0"/>
    <n v="0"/>
    <n v="0"/>
    <n v="0"/>
    <n v="5685.42"/>
    <n v="-5685.42"/>
    <n v="0"/>
    <n v="0"/>
    <n v="0"/>
    <n v="0"/>
    <n v="0"/>
    <n v="0"/>
    <n v="0"/>
  </r>
  <r>
    <x v="5"/>
    <x v="8"/>
    <x v="0"/>
    <s v="6125104"/>
    <n v="700078"/>
    <s v="Salaries-Service/Support-Non-productive"/>
    <s v="Dietary"/>
    <x v="0"/>
    <m/>
    <n v="14130.79"/>
    <n v="14635.28"/>
    <n v="9398.44"/>
    <n v="9359.69"/>
    <n v="4995.16"/>
    <n v="14096.97"/>
    <n v="7152.66"/>
    <n v="9675.9"/>
    <n v="4466.3"/>
    <n v="8720"/>
    <n v="6579.42"/>
    <n v="8667.9500000000007"/>
    <n v="111878.56"/>
    <n v="-2088.5300000000007"/>
  </r>
  <r>
    <x v="5"/>
    <x v="8"/>
    <x v="0"/>
    <s v="6125104"/>
    <n v="700078"/>
    <s v="Salaries-Service/Support-NonProd-Other"/>
    <s v="Dietary"/>
    <x v="0"/>
    <n v="2000"/>
    <n v="241.23"/>
    <n v="449.34"/>
    <n v="166.71"/>
    <n v="255.04"/>
    <n v="148.4"/>
    <n v="679.75"/>
    <n v="154.63999999999999"/>
    <n v="270.54000000000002"/>
    <n v="106.22"/>
    <n v="319.7"/>
    <n v="113.79"/>
    <n v="322.83999999999997"/>
    <n v="3228.2"/>
    <n v="-209.04999999999995"/>
  </r>
  <r>
    <x v="5"/>
    <x v="8"/>
    <x v="0"/>
    <s v="6125104"/>
    <n v="700084"/>
    <s v="Accrued PTO"/>
    <s v="Dietary"/>
    <x v="0"/>
    <m/>
    <n v="-2402.0300000000002"/>
    <n v="-3048.16"/>
    <n v="36.200000000000003"/>
    <n v="2040.63"/>
    <n v="2360.88"/>
    <n v="-1052.26"/>
    <n v="3325.14"/>
    <n v="1250.9000000000001"/>
    <n v="3633.23"/>
    <n v="1189.74"/>
    <n v="1499.57"/>
    <n v="2207.9"/>
    <n v="11041.739999999998"/>
    <n v="-708.33000000000015"/>
  </r>
  <r>
    <x v="6"/>
    <x v="8"/>
    <x v="0"/>
    <s v="6125104"/>
    <n v="713010"/>
    <s v="Benefits-FICA/Medicare"/>
    <s v="Dietary"/>
    <x v="0"/>
    <m/>
    <n v="8228.49"/>
    <n v="8246.2000000000007"/>
    <n v="7649.45"/>
    <n v="7751.29"/>
    <n v="7263.11"/>
    <n v="8789.5400000000009"/>
    <n v="8502.6"/>
    <n v="7760.12"/>
    <n v="8319.41"/>
    <n v="7948.32"/>
    <n v="7686.21"/>
    <n v="8278.2900000000009"/>
    <n v="96423.03"/>
    <n v="-592.08000000000084"/>
  </r>
  <r>
    <x v="6"/>
    <x v="8"/>
    <x v="0"/>
    <s v="6125104"/>
    <n v="713090"/>
    <s v="Benefits-Allocated Amounts"/>
    <s v="Dietary"/>
    <x v="0"/>
    <m/>
    <n v="36238.21"/>
    <n v="31483.25"/>
    <n v="31570.3"/>
    <n v="32021.77"/>
    <n v="32045.62"/>
    <n v="33151.39"/>
    <n v="34042.589999999997"/>
    <n v="35660.720000000001"/>
    <n v="35028.050000000003"/>
    <n v="36727.24"/>
    <n v="33895.01"/>
    <n v="36645.19"/>
    <n v="408509.33999999997"/>
    <n v="-2750.1800000000003"/>
  </r>
  <r>
    <x v="7"/>
    <x v="8"/>
    <x v="0"/>
    <s v="6125104"/>
    <n v="718050"/>
    <s v="Contract Svcs-Other"/>
    <s v="Dietary"/>
    <x v="0"/>
    <m/>
    <n v="0"/>
    <n v="0"/>
    <n v="161.06"/>
    <n v="0"/>
    <n v="0"/>
    <n v="0"/>
    <n v="294.39999999999998"/>
    <n v="0"/>
    <n v="0"/>
    <n v="290.07"/>
    <n v="0"/>
    <n v="0"/>
    <n v="745.53"/>
    <n v="0"/>
  </r>
  <r>
    <x v="7"/>
    <x v="8"/>
    <x v="0"/>
    <s v="6125104"/>
    <n v="718050"/>
    <s v="Cleaning Services"/>
    <s v="Dietary"/>
    <x v="0"/>
    <n v="1011"/>
    <n v="0"/>
    <n v="0"/>
    <n v="0"/>
    <n v="0"/>
    <n v="893"/>
    <n v="0"/>
    <n v="0"/>
    <n v="893"/>
    <n v="0"/>
    <n v="0"/>
    <n v="0"/>
    <n v="893"/>
    <n v="2679"/>
    <n v="-893"/>
  </r>
  <r>
    <x v="7"/>
    <x v="8"/>
    <x v="0"/>
    <s v="6125104"/>
    <n v="718050"/>
    <s v="Translation Services"/>
    <s v="Dietary"/>
    <x v="0"/>
    <n v="1025"/>
    <n v="0"/>
    <n v="0"/>
    <n v="0"/>
    <n v="0"/>
    <n v="0"/>
    <n v="35.15"/>
    <n v="0"/>
    <n v="0"/>
    <n v="0"/>
    <n v="0"/>
    <n v="0"/>
    <n v="0"/>
    <n v="35.15"/>
    <n v="0"/>
  </r>
  <r>
    <x v="7"/>
    <x v="8"/>
    <x v="0"/>
    <s v="6125104"/>
    <n v="718050"/>
    <s v="Contract Management--Linen"/>
    <s v="Dietary"/>
    <x v="0"/>
    <n v="1026"/>
    <n v="599.15"/>
    <n v="269.57"/>
    <n v="564.75"/>
    <n v="945.05"/>
    <n v="470.17"/>
    <n v="628.91"/>
    <n v="609.58000000000004"/>
    <n v="1321.28"/>
    <n v="197.29"/>
    <n v="0"/>
    <n v="80.52"/>
    <n v="659.91"/>
    <n v="6346.18"/>
    <n v="-579.39"/>
  </r>
  <r>
    <x v="7"/>
    <x v="8"/>
    <x v="0"/>
    <s v="6125104"/>
    <n v="718050"/>
    <s v="Contract Services-Food&amp;Catering"/>
    <s v="Dietary"/>
    <x v="0"/>
    <n v="1030"/>
    <n v="26911.59"/>
    <n v="28851.89"/>
    <n v="28276.65"/>
    <n v="25963.62"/>
    <n v="25963.61"/>
    <n v="25236.69"/>
    <n v="27583.4"/>
    <n v="27076.85"/>
    <n v="26781.49"/>
    <n v="26982.81"/>
    <n v="26982.81"/>
    <n v="27205.83"/>
    <n v="323817.24"/>
    <n v="-223.02000000000044"/>
  </r>
  <r>
    <x v="7"/>
    <x v="8"/>
    <x v="0"/>
    <s v="6125104"/>
    <n v="718091"/>
    <s v="Contract Services-Intracompany Allocation"/>
    <s v="Dietary"/>
    <x v="0"/>
    <m/>
    <n v="13984.45"/>
    <n v="13772.43"/>
    <n v="14304.15"/>
    <n v="14595.8"/>
    <n v="14075.01"/>
    <n v="15010.93"/>
    <n v="15038.17"/>
    <n v="14164.78"/>
    <n v="15610.92"/>
    <n v="14378.81"/>
    <n v="14504.63"/>
    <n v="15153.05"/>
    <n v="174593.12999999998"/>
    <n v="-648.42000000000007"/>
  </r>
  <r>
    <x v="11"/>
    <x v="8"/>
    <x v="0"/>
    <s v="6125104"/>
    <n v="721250"/>
    <s v="Supplies-Pharmacy Drugs - Billable"/>
    <s v="Dietary"/>
    <x v="0"/>
    <m/>
    <n v="885.35"/>
    <n v="412.63"/>
    <n v="1034.3599999999999"/>
    <n v="534.41"/>
    <n v="508.44"/>
    <n v="948.49"/>
    <n v="842.17"/>
    <n v="886.91"/>
    <n v="1356.63"/>
    <n v="803.2"/>
    <n v="1019.58"/>
    <n v="400.07"/>
    <n v="9632.24"/>
    <n v="619.51"/>
  </r>
  <r>
    <x v="11"/>
    <x v="8"/>
    <x v="0"/>
    <s v="6125104"/>
    <n v="721410"/>
    <s v="Supplies-Medical - Nonbillable"/>
    <s v="Dietary"/>
    <x v="0"/>
    <m/>
    <n v="867.66"/>
    <n v="1153.3800000000001"/>
    <n v="1005.52"/>
    <n v="1026.9000000000001"/>
    <n v="935.79"/>
    <n v="1032.3900000000001"/>
    <n v="1044.47"/>
    <n v="955.19"/>
    <n v="1071.8399999999999"/>
    <n v="1278.24"/>
    <n v="1203.92"/>
    <n v="650.13"/>
    <n v="12225.43"/>
    <n v="553.79000000000008"/>
  </r>
  <r>
    <x v="11"/>
    <x v="8"/>
    <x v="0"/>
    <s v="6125104"/>
    <n v="721650"/>
    <s v="Supplies-Pharmacy Drugs - Nonbillable"/>
    <s v="Dietary"/>
    <x v="0"/>
    <m/>
    <n v="0"/>
    <n v="0"/>
    <n v="0"/>
    <n v="0"/>
    <n v="129.1"/>
    <n v="-10.11"/>
    <n v="0"/>
    <n v="0"/>
    <n v="0"/>
    <n v="0"/>
    <n v="0"/>
    <n v="0"/>
    <n v="118.99"/>
    <n v="0"/>
  </r>
  <r>
    <x v="11"/>
    <x v="8"/>
    <x v="0"/>
    <s v="6125104"/>
    <n v="721810"/>
    <s v="Supplies-Dietary/Cafeteria"/>
    <s v="Dietary"/>
    <x v="0"/>
    <m/>
    <n v="74135.91"/>
    <n v="75929.84"/>
    <n v="77422.42"/>
    <n v="73661.81"/>
    <n v="62673.599999999999"/>
    <n v="91464.46"/>
    <n v="90355.67"/>
    <n v="81208.320000000007"/>
    <n v="78051.759999999995"/>
    <n v="85130.66"/>
    <n v="64079.42"/>
    <n v="85727.96"/>
    <n v="939841.83000000007"/>
    <n v="-21648.540000000008"/>
  </r>
  <r>
    <x v="11"/>
    <x v="8"/>
    <x v="0"/>
    <s v="6125104"/>
    <n v="721810"/>
    <s v="Food Products (RESTRICTED)"/>
    <s v="Dietary"/>
    <x v="0"/>
    <n v="5200"/>
    <n v="-24945.11"/>
    <n v="-27173.81"/>
    <n v="-31257.54"/>
    <n v="-27227.46"/>
    <n v="-27976.32"/>
    <n v="-38147.82"/>
    <n v="-26638.78"/>
    <n v="-25869.4"/>
    <n v="-41705.96"/>
    <n v="-30728.89"/>
    <n v="-29274.16"/>
    <n v="-30956.21"/>
    <n v="-361901.46"/>
    <n v="1682.0499999999993"/>
  </r>
  <r>
    <x v="11"/>
    <x v="8"/>
    <x v="0"/>
    <s v="6125104"/>
    <n v="721830"/>
    <s v="Supplies-Office"/>
    <s v="Dietary"/>
    <x v="0"/>
    <m/>
    <n v="135.22"/>
    <n v="625.78"/>
    <n v="0"/>
    <n v="224.04"/>
    <n v="213.08"/>
    <n v="248.58"/>
    <n v="96.12"/>
    <n v="163.82"/>
    <n v="496.25"/>
    <n v="916.65"/>
    <n v="99.17"/>
    <n v="234.41"/>
    <n v="3453.1199999999994"/>
    <n v="-135.24"/>
  </r>
  <r>
    <x v="11"/>
    <x v="8"/>
    <x v="0"/>
    <s v="6125104"/>
    <n v="721835"/>
    <s v="Supplies-Forms"/>
    <s v="Dietary"/>
    <x v="0"/>
    <m/>
    <n v="0"/>
    <n v="0"/>
    <n v="0"/>
    <n v="0"/>
    <n v="242.52"/>
    <n v="31.5"/>
    <n v="40"/>
    <n v="0"/>
    <n v="142.5"/>
    <n v="81.709999999999994"/>
    <n v="77.209999999999994"/>
    <n v="5.5"/>
    <n v="620.94000000000005"/>
    <n v="71.709999999999994"/>
  </r>
  <r>
    <x v="11"/>
    <x v="8"/>
    <x v="0"/>
    <s v="6125104"/>
    <n v="721870"/>
    <s v="Supplies-Environmental Services"/>
    <s v="Dietary"/>
    <x v="0"/>
    <m/>
    <n v="2450.44"/>
    <n v="2540.0300000000002"/>
    <n v="1682.92"/>
    <n v="2071.2600000000002"/>
    <n v="1583.73"/>
    <n v="2868.41"/>
    <n v="3322.04"/>
    <n v="1849.58"/>
    <n v="2338.56"/>
    <n v="2170.36"/>
    <n v="1441.54"/>
    <n v="2512.4"/>
    <n v="26831.270000000008"/>
    <n v="-1070.8600000000001"/>
  </r>
  <r>
    <x v="11"/>
    <x v="8"/>
    <x v="0"/>
    <s v="6125104"/>
    <n v="721910"/>
    <s v="Supplies-Small Equipment"/>
    <s v="Dietary"/>
    <x v="0"/>
    <m/>
    <n v="738.39"/>
    <n v="1274.3499999999999"/>
    <n v="2760.46"/>
    <n v="4370.25"/>
    <n v="1375.5"/>
    <n v="13192.93"/>
    <n v="154.74"/>
    <n v="1394.82"/>
    <n v="2232.66"/>
    <n v="-5103.17"/>
    <n v="2777.09"/>
    <n v="2363.56"/>
    <n v="27531.58"/>
    <n v="413.5300000000002"/>
  </r>
  <r>
    <x v="11"/>
    <x v="8"/>
    <x v="0"/>
    <s v="6125104"/>
    <n v="721980"/>
    <s v="Supplies-Other"/>
    <s v="Dietary"/>
    <x v="0"/>
    <m/>
    <n v="4897.4399999999996"/>
    <n v="7951.53"/>
    <n v="4432.78"/>
    <n v="5065.12"/>
    <n v="4838.7299999999996"/>
    <n v="9683.17"/>
    <n v="7892.67"/>
    <n v="13172.83"/>
    <n v="5321.65"/>
    <n v="7284.34"/>
    <n v="6396.15"/>
    <n v="8518.7800000000007"/>
    <n v="85455.189999999988"/>
    <n v="-2122.630000000001"/>
  </r>
  <r>
    <x v="11"/>
    <x v="8"/>
    <x v="0"/>
    <s v="6125104"/>
    <n v="722000"/>
    <s v="Supplies-Freight Expense"/>
    <s v="Dietary"/>
    <x v="0"/>
    <m/>
    <n v="29.1"/>
    <n v="10.09"/>
    <n v="0"/>
    <n v="32.590000000000003"/>
    <n v="0"/>
    <n v="11"/>
    <n v="15.99"/>
    <n v="0"/>
    <n v="403.23"/>
    <n v="23.98"/>
    <n v="12.85"/>
    <n v="160.31"/>
    <n v="699.1400000000001"/>
    <n v="-147.46"/>
  </r>
  <r>
    <x v="11"/>
    <x v="8"/>
    <x v="0"/>
    <s v="6125104"/>
    <n v="723000"/>
    <s v="Supply Rebates/Patronage Dividend"/>
    <s v="Dietary"/>
    <x v="0"/>
    <m/>
    <n v="0"/>
    <n v="0"/>
    <n v="-9947.06"/>
    <n v="0"/>
    <n v="0"/>
    <n v="-9952.2999999999993"/>
    <n v="0"/>
    <n v="0"/>
    <n v="-19365.86"/>
    <n v="-1068.19"/>
    <n v="0"/>
    <n v="-11610.93"/>
    <n v="-51944.340000000004"/>
    <n v="11610.93"/>
  </r>
  <r>
    <x v="12"/>
    <x v="8"/>
    <x v="0"/>
    <s v="6125104"/>
    <n v="730020"/>
    <s v="Rental and Leases-Equipment (DO NOT USE)"/>
    <s v="Dietary"/>
    <x v="0"/>
    <m/>
    <n v="693.42"/>
    <n v="0"/>
    <n v="357.25"/>
    <n v="0"/>
    <n v="0"/>
    <n v="0"/>
    <n v="0"/>
    <n v="0"/>
    <n v="0"/>
    <n v="0"/>
    <n v="0"/>
    <n v="92.96"/>
    <n v="1143.6300000000001"/>
    <n v="-92.96"/>
  </r>
  <r>
    <x v="12"/>
    <x v="8"/>
    <x v="0"/>
    <s v="6125104"/>
    <n v="730020"/>
    <s v="Rental and Leases-Copier Usage Fees (DO NOT USE)"/>
    <s v="Dietary"/>
    <x v="0"/>
    <n v="5100"/>
    <n v="448.27"/>
    <n v="459.43"/>
    <n v="453.85"/>
    <n v="453.85"/>
    <n v="453.85"/>
    <n v="453.85"/>
    <n v="335.88"/>
    <n v="343.14"/>
    <n v="342.42"/>
    <n v="760.8"/>
    <n v="451.64"/>
    <n v="432.72"/>
    <n v="5389.7000000000007"/>
    <n v="18.919999999999959"/>
  </r>
  <r>
    <x v="15"/>
    <x v="8"/>
    <x v="0"/>
    <s v="6125104"/>
    <n v="731060"/>
    <s v="Pagers"/>
    <s v="Dietary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8"/>
    <x v="0"/>
    <s v="6125104"/>
    <n v="732030"/>
    <s v="Repairs---Other"/>
    <s v="Dietary"/>
    <x v="0"/>
    <m/>
    <n v="0"/>
    <n v="0"/>
    <n v="0"/>
    <n v="154.13999999999999"/>
    <n v="2938.07"/>
    <n v="0"/>
    <n v="1004.03"/>
    <n v="0"/>
    <n v="624.36"/>
    <n v="-1704"/>
    <n v="0"/>
    <n v="0"/>
    <n v="3016.5999999999995"/>
    <n v="0"/>
  </r>
  <r>
    <x v="16"/>
    <x v="8"/>
    <x v="0"/>
    <s v="6125104"/>
    <n v="733030"/>
    <s v="Maintenance Contracts-Other"/>
    <s v="Dietary"/>
    <x v="0"/>
    <m/>
    <n v="4386.75"/>
    <n v="2135.62"/>
    <n v="8789.2199999999993"/>
    <n v="985.31"/>
    <n v="997.01"/>
    <n v="1596.72"/>
    <n v="1186.8900000000001"/>
    <n v="8079.54"/>
    <n v="4877.4799999999996"/>
    <n v="1100.01"/>
    <n v="1586.55"/>
    <n v="3906.96"/>
    <n v="39628.060000000005"/>
    <n v="-2320.41"/>
  </r>
  <r>
    <x v="16"/>
    <x v="8"/>
    <x v="0"/>
    <s v="6125104"/>
    <n v="733030"/>
    <s v="Maintenance Contracts-Software"/>
    <s v="Dietary"/>
    <x v="0"/>
    <n v="1002"/>
    <n v="21.7"/>
    <n v="1.7"/>
    <n v="21.7"/>
    <n v="0"/>
    <n v="0"/>
    <n v="0"/>
    <n v="20"/>
    <n v="20"/>
    <n v="0"/>
    <n v="80"/>
    <n v="40"/>
    <n v="60"/>
    <n v="265.10000000000002"/>
    <n v="-20"/>
  </r>
  <r>
    <x v="13"/>
    <x v="8"/>
    <x v="0"/>
    <s v="6125104"/>
    <n v="735030"/>
    <s v="Depreciation-Buildings"/>
    <s v="Dietary"/>
    <x v="0"/>
    <m/>
    <n v="7686.33"/>
    <n v="7686.29"/>
    <n v="7686.37"/>
    <n v="7686.29"/>
    <n v="7686.42"/>
    <n v="7686.26"/>
    <n v="7686.44"/>
    <n v="7686.22"/>
    <n v="7686.44"/>
    <n v="7495.91"/>
    <n v="7496.2"/>
    <n v="7495.89"/>
    <n v="91665.06"/>
    <n v="0.30999999999949068"/>
  </r>
  <r>
    <x v="13"/>
    <x v="8"/>
    <x v="0"/>
    <s v="6125104"/>
    <n v="735070"/>
    <s v="Depreciation-Movable Equipment"/>
    <s v="Dietary"/>
    <x v="0"/>
    <m/>
    <n v="8756.16"/>
    <n v="8756.18"/>
    <n v="9533.2999999999993"/>
    <n v="9522.75"/>
    <n v="9522.65"/>
    <n v="9522.7999999999993"/>
    <n v="9582.23"/>
    <n v="9582.41"/>
    <n v="9631.14"/>
    <n v="8119.27"/>
    <n v="8119.37"/>
    <n v="8262.93"/>
    <n v="108911.19"/>
    <n v="-143.5600000000004"/>
  </r>
  <r>
    <x v="0"/>
    <x v="8"/>
    <x v="0"/>
    <s v="6125104"/>
    <n v="740010"/>
    <s v="Education-Materials"/>
    <s v="Dietary"/>
    <x v="0"/>
    <m/>
    <n v="2.37"/>
    <n v="0"/>
    <n v="0"/>
    <n v="0"/>
    <n v="0"/>
    <n v="0"/>
    <n v="57.99"/>
    <n v="0"/>
    <n v="0"/>
    <n v="13.49"/>
    <n v="0"/>
    <n v="0"/>
    <n v="73.849999999999994"/>
    <n v="0"/>
  </r>
  <r>
    <x v="0"/>
    <x v="8"/>
    <x v="0"/>
    <s v="6125104"/>
    <n v="740030"/>
    <s v="Education-Travel"/>
    <s v="Dietary"/>
    <x v="0"/>
    <m/>
    <n v="0"/>
    <n v="0"/>
    <n v="0"/>
    <n v="0"/>
    <n v="0"/>
    <n v="0"/>
    <n v="0"/>
    <n v="20.3"/>
    <n v="0"/>
    <n v="0"/>
    <n v="0"/>
    <n v="0"/>
    <n v="20.3"/>
    <n v="0"/>
  </r>
  <r>
    <x v="0"/>
    <x v="8"/>
    <x v="0"/>
    <s v="6125104"/>
    <n v="743030"/>
    <s v="Subscriptions--Institutional"/>
    <s v="Dietary"/>
    <x v="0"/>
    <m/>
    <n v="0"/>
    <n v="0"/>
    <n v="0"/>
    <n v="0"/>
    <n v="0"/>
    <n v="71.33"/>
    <n v="0"/>
    <n v="36"/>
    <n v="14.97"/>
    <n v="0"/>
    <n v="138.61000000000001"/>
    <n v="0"/>
    <n v="260.91000000000003"/>
    <n v="138.61000000000001"/>
  </r>
  <r>
    <x v="0"/>
    <x v="8"/>
    <x v="0"/>
    <s v="6125104"/>
    <n v="749510"/>
    <s v="Miscellaneous Expenses"/>
    <s v="Dietary"/>
    <x v="0"/>
    <m/>
    <n v="954.8"/>
    <n v="11.3"/>
    <n v="-42.71"/>
    <n v="0"/>
    <n v="1190.4000000000001"/>
    <n v="177.5"/>
    <n v="-14.48"/>
    <n v="1517.2"/>
    <n v="0"/>
    <n v="-509.34"/>
    <n v="2369.4899999999998"/>
    <n v="479.58"/>
    <n v="6133.74"/>
    <n v="1889.9099999999999"/>
  </r>
  <r>
    <x v="0"/>
    <x v="8"/>
    <x v="0"/>
    <s v="6125104"/>
    <n v="749510"/>
    <s v="Licenses"/>
    <s v="Dietary"/>
    <x v="0"/>
    <n v="1002"/>
    <n v="49"/>
    <n v="9696.1"/>
    <n v="0"/>
    <n v="0"/>
    <n v="0"/>
    <n v="0"/>
    <n v="0"/>
    <n v="0"/>
    <n v="0"/>
    <n v="0"/>
    <n v="73.5"/>
    <n v="500"/>
    <n v="10318.6"/>
    <n v="-426.5"/>
  </r>
  <r>
    <x v="0"/>
    <x v="8"/>
    <x v="0"/>
    <s v="6125104"/>
    <n v="749510"/>
    <s v="Miscellaneous Employee Expense"/>
    <s v="Dietary"/>
    <x v="0"/>
    <n v="1010"/>
    <n v="39"/>
    <n v="81.93"/>
    <n v="101.95"/>
    <n v="54.99"/>
    <n v="0"/>
    <n v="0"/>
    <n v="49.1"/>
    <n v="115.67"/>
    <n v="0"/>
    <n v="563.01"/>
    <n v="276.01"/>
    <n v="200.51"/>
    <n v="1482.17"/>
    <n v="75.5"/>
  </r>
  <r>
    <x v="0"/>
    <x v="8"/>
    <x v="0"/>
    <s v="6125104"/>
    <n v="749510"/>
    <s v="Uniforms"/>
    <s v="Dietary"/>
    <x v="0"/>
    <n v="1028"/>
    <n v="0"/>
    <n v="0"/>
    <n v="398.91"/>
    <n v="944.42"/>
    <n v="274.85000000000002"/>
    <n v="3479.15"/>
    <n v="1021.36"/>
    <n v="841.25"/>
    <n v="176.68"/>
    <n v="0"/>
    <n v="868.09"/>
    <n v="181.13"/>
    <n v="8185.84"/>
    <n v="686.96"/>
  </r>
  <r>
    <x v="0"/>
    <x v="8"/>
    <x v="0"/>
    <s v="6125104"/>
    <n v="749510"/>
    <s v="Special Events"/>
    <s v="Dietary"/>
    <x v="0"/>
    <n v="4300"/>
    <n v="0"/>
    <n v="0"/>
    <n v="57.25"/>
    <n v="0"/>
    <n v="476.18"/>
    <n v="0"/>
    <n v="355.12"/>
    <n v="819.14"/>
    <n v="12.29"/>
    <n v="155.13"/>
    <n v="1108.32"/>
    <n v="0"/>
    <n v="2983.4300000000003"/>
    <n v="1108.32"/>
  </r>
  <r>
    <x v="0"/>
    <x v="8"/>
    <x v="0"/>
    <s v="6125104"/>
    <n v="749510"/>
    <s v="RICE Rewards"/>
    <s v="Dietary"/>
    <x v="0"/>
    <n v="5100"/>
    <n v="0"/>
    <n v="0"/>
    <n v="0"/>
    <n v="0"/>
    <n v="0"/>
    <n v="0"/>
    <n v="0"/>
    <n v="0"/>
    <n v="0"/>
    <n v="1186.6099999999999"/>
    <n v="1229.32"/>
    <n v="0"/>
    <n v="2415.9299999999998"/>
    <n v="1229.32"/>
  </r>
  <r>
    <x v="0"/>
    <x v="8"/>
    <x v="0"/>
    <s v="6125104"/>
    <n v="749530"/>
    <s v="Travel"/>
    <s v="Dietary"/>
    <x v="0"/>
    <m/>
    <n v="0"/>
    <n v="0"/>
    <n v="5"/>
    <n v="0"/>
    <n v="0"/>
    <n v="0"/>
    <n v="0"/>
    <n v="0"/>
    <n v="0"/>
    <n v="5"/>
    <n v="51.78"/>
    <n v="6.58"/>
    <n v="68.36"/>
    <n v="45.2"/>
  </r>
  <r>
    <x v="0"/>
    <x v="8"/>
    <x v="0"/>
    <s v="6125104"/>
    <n v="749530"/>
    <s v="Mileage"/>
    <s v="Dietary"/>
    <x v="0"/>
    <n v="1001"/>
    <n v="0"/>
    <n v="67.58"/>
    <n v="14.71"/>
    <n v="0"/>
    <n v="0"/>
    <n v="0"/>
    <n v="0"/>
    <n v="0"/>
    <n v="0"/>
    <n v="127.6"/>
    <n v="0"/>
    <n v="81.2"/>
    <n v="291.08999999999997"/>
    <n v="-81.2"/>
  </r>
  <r>
    <x v="0"/>
    <x v="8"/>
    <x v="0"/>
    <s v="6125104"/>
    <n v="749535"/>
    <s v="Medicare Non-Allowable Beverages"/>
    <s v="Dietary"/>
    <x v="0"/>
    <n v="1005"/>
    <n v="0"/>
    <n v="0"/>
    <n v="47.7"/>
    <n v="0"/>
    <n v="0"/>
    <n v="0"/>
    <n v="0"/>
    <n v="223"/>
    <n v="0"/>
    <n v="34.159999999999997"/>
    <n v="197.35"/>
    <n v="44.18"/>
    <n v="546.39"/>
    <n v="153.16999999999999"/>
  </r>
  <r>
    <x v="0"/>
    <x v="8"/>
    <x v="0"/>
    <s v="6125104"/>
    <n v="749550"/>
    <s v="Cash Over/Short"/>
    <s v="Dietary"/>
    <x v="0"/>
    <m/>
    <n v="39.47"/>
    <n v="0.4"/>
    <n v="79.59"/>
    <n v="-34.020000000000003"/>
    <n v="6.79"/>
    <n v="12.88"/>
    <n v="28.5"/>
    <n v="8.8699999999999992"/>
    <n v="-75.680000000000007"/>
    <n v="125.05"/>
    <n v="8.43"/>
    <n v="-25.46"/>
    <n v="174.82000000000002"/>
    <n v="33.89"/>
  </r>
  <r>
    <x v="14"/>
    <x v="5"/>
    <x v="0"/>
    <s v="6125106"/>
    <n v="600034"/>
    <s v="Cafeteria Revenue"/>
    <s v="Dietary"/>
    <x v="0"/>
    <m/>
    <n v="-46210.34"/>
    <n v="-51142.44"/>
    <n v="-42376.639999999999"/>
    <n v="-55744.65"/>
    <n v="-39302.67"/>
    <n v="-53457.62"/>
    <n v="-48917.279999999999"/>
    <n v="-45118.54"/>
    <n v="-51225.68"/>
    <n v="-49198.34"/>
    <n v="-47014.26"/>
    <n v="-49883.29"/>
    <n v="-579591.75"/>
    <n v="2869.0299999999988"/>
  </r>
  <r>
    <x v="14"/>
    <x v="5"/>
    <x v="0"/>
    <s v="6125106"/>
    <n v="600034"/>
    <s v="Vending Commission"/>
    <s v="Dietary"/>
    <x v="0"/>
    <n v="1002"/>
    <n v="0"/>
    <n v="-1429.34"/>
    <n v="0"/>
    <n v="0"/>
    <n v="0"/>
    <n v="-1383.96"/>
    <n v="0"/>
    <n v="-17471.98"/>
    <n v="2704.9"/>
    <n v="0"/>
    <n v="0"/>
    <n v="0"/>
    <n v="-17580.379999999997"/>
    <n v="0"/>
  </r>
  <r>
    <x v="14"/>
    <x v="5"/>
    <x v="0"/>
    <s v="6125106"/>
    <n v="600034"/>
    <s v="Catering Revenue"/>
    <s v="Dietary"/>
    <x v="0"/>
    <n v="5101"/>
    <n v="-7751.91"/>
    <n v="-8833.5400000000009"/>
    <n v="-6418.51"/>
    <n v="-8839.44"/>
    <n v="-2492.67"/>
    <n v="-5163.63"/>
    <n v="-7760.43"/>
    <n v="-10863.33"/>
    <n v="-20600.61"/>
    <n v="-11193.52"/>
    <n v="-9676.7000000000007"/>
    <n v="-15754.75"/>
    <n v="-115349.04000000001"/>
    <n v="6078.0499999999993"/>
  </r>
  <r>
    <x v="5"/>
    <x v="5"/>
    <x v="0"/>
    <s v="6125106"/>
    <n v="700032"/>
    <s v="Salaries-Other Pat Care Providers-Productive"/>
    <s v="Dietary"/>
    <x v="0"/>
    <m/>
    <n v="11557.72"/>
    <n v="13134.46"/>
    <n v="11202.17"/>
    <n v="13409.37"/>
    <n v="11564.37"/>
    <n v="10810.92"/>
    <n v="11574.71"/>
    <n v="9901.66"/>
    <n v="12676.62"/>
    <n v="11815.52"/>
    <n v="12063.86"/>
    <n v="11331.88"/>
    <n v="141043.26"/>
    <n v="731.98000000000138"/>
  </r>
  <r>
    <x v="5"/>
    <x v="5"/>
    <x v="0"/>
    <s v="6125106"/>
    <n v="700032"/>
    <s v="Salaries-Other Pat Care Providers-OT"/>
    <s v="Dietary"/>
    <x v="0"/>
    <n v="1000"/>
    <n v="51.17"/>
    <n v="68.3"/>
    <n v="263.92"/>
    <n v="194.55"/>
    <n v="362.37"/>
    <n v="-102.05"/>
    <n v="0"/>
    <n v="72.62"/>
    <n v="315.52"/>
    <n v="829.76"/>
    <n v="-238.58"/>
    <n v="220.12"/>
    <n v="2037.6999999999998"/>
    <n v="-458.70000000000005"/>
  </r>
  <r>
    <x v="5"/>
    <x v="5"/>
    <x v="0"/>
    <s v="6125106"/>
    <n v="700032"/>
    <s v="Salaries-Other Pat Care Providers-Other"/>
    <s v="Dietary"/>
    <x v="0"/>
    <n v="2000"/>
    <n v="490.66"/>
    <n v="664.77"/>
    <n v="403.83"/>
    <n v="940.66"/>
    <n v="582.59"/>
    <n v="319.98"/>
    <n v="614.48"/>
    <n v="285.04000000000002"/>
    <n v="502.26"/>
    <n v="571.78"/>
    <n v="378.31"/>
    <n v="404.55"/>
    <n v="6158.9100000000008"/>
    <n v="-26.240000000000009"/>
  </r>
  <r>
    <x v="5"/>
    <x v="5"/>
    <x v="0"/>
    <s v="6125106"/>
    <n v="700038"/>
    <s v="Salaries-Service/Support-Productive"/>
    <s v="Dietary"/>
    <x v="0"/>
    <m/>
    <n v="94379.7"/>
    <n v="95624.12"/>
    <n v="95138.43"/>
    <n v="98412.81"/>
    <n v="95210.79"/>
    <n v="92679.4"/>
    <n v="97358.24"/>
    <n v="89946.77"/>
    <n v="99752.19"/>
    <n v="97005.85"/>
    <n v="99287.06"/>
    <n v="92451.71"/>
    <n v="1147247.0699999998"/>
    <n v="6835.3499999999913"/>
  </r>
  <r>
    <x v="5"/>
    <x v="5"/>
    <x v="0"/>
    <s v="6125106"/>
    <n v="700038"/>
    <s v="Salaries-Service/Support-OT"/>
    <s v="Dietary"/>
    <x v="0"/>
    <n v="1000"/>
    <n v="6086.45"/>
    <n v="3853.35"/>
    <n v="3791.09"/>
    <n v="3650.57"/>
    <n v="5386.63"/>
    <n v="7304.19"/>
    <n v="7910.36"/>
    <n v="7978.63"/>
    <n v="9744.42"/>
    <n v="7732.93"/>
    <n v="8167.24"/>
    <n v="5802.74"/>
    <n v="77408.600000000006"/>
    <n v="2364.5"/>
  </r>
  <r>
    <x v="5"/>
    <x v="5"/>
    <x v="0"/>
    <s v="6125106"/>
    <n v="700038"/>
    <s v="Salaries-Service/Support-Other"/>
    <s v="Dietary"/>
    <x v="0"/>
    <n v="2000"/>
    <n v="2115.5700000000002"/>
    <n v="2182.25"/>
    <n v="2398.87"/>
    <n v="2030.14"/>
    <n v="2451"/>
    <n v="2559.5100000000002"/>
    <n v="2836.53"/>
    <n v="1926.66"/>
    <n v="2860.04"/>
    <n v="2578.85"/>
    <n v="2964.59"/>
    <n v="3066.93"/>
    <n v="29970.94"/>
    <n v="-102.33999999999969"/>
  </r>
  <r>
    <x v="5"/>
    <x v="5"/>
    <x v="0"/>
    <s v="6125106"/>
    <n v="700072"/>
    <s v="Salaries-Other Pat Care Providers-Non-productive"/>
    <s v="Dietary"/>
    <x v="0"/>
    <m/>
    <n v="2168.48"/>
    <n v="2252.11"/>
    <n v="619.01"/>
    <n v="4356.97"/>
    <n v="1186.4100000000001"/>
    <n v="1035.02"/>
    <n v="3053.96"/>
    <n v="1119.5999999999999"/>
    <n v="253.34"/>
    <n v="2570.5300000000002"/>
    <n v="-356.54"/>
    <n v="860.02"/>
    <n v="19118.91"/>
    <n v="-1216.56"/>
  </r>
  <r>
    <x v="5"/>
    <x v="5"/>
    <x v="0"/>
    <s v="6125106"/>
    <n v="700072"/>
    <s v="Salaries-Other Pat Care Providers-NonProd-Other"/>
    <s v="Dietary"/>
    <x v="0"/>
    <n v="2000"/>
    <n v="42.42"/>
    <n v="5.08"/>
    <n v="16.64"/>
    <n v="28.86"/>
    <n v="3.5"/>
    <n v="22.49"/>
    <n v="36.26"/>
    <n v="25.43"/>
    <n v="-3.83"/>
    <n v="0"/>
    <n v="7.24"/>
    <n v="7.53"/>
    <n v="191.62"/>
    <n v="-0.29000000000000004"/>
  </r>
  <r>
    <x v="5"/>
    <x v="5"/>
    <x v="0"/>
    <s v="6125106"/>
    <n v="700078"/>
    <s v="Salaries-Service/Support-Non-productive"/>
    <s v="Dietary"/>
    <x v="0"/>
    <m/>
    <n v="24709.279999999999"/>
    <n v="13978.26"/>
    <n v="14797.45"/>
    <n v="11224.15"/>
    <n v="14114.11"/>
    <n v="23887.88"/>
    <n v="18140.77"/>
    <n v="12558.73"/>
    <n v="14634.5"/>
    <n v="15375.3"/>
    <n v="20258.47"/>
    <n v="17721.599999999999"/>
    <n v="201400.5"/>
    <n v="2536.8700000000026"/>
  </r>
  <r>
    <x v="5"/>
    <x v="5"/>
    <x v="0"/>
    <s v="6125106"/>
    <n v="700078"/>
    <s v="Salaries-Service/Support-NonProd-Other"/>
    <s v="Dietary"/>
    <x v="0"/>
    <n v="2000"/>
    <n v="318.64999999999998"/>
    <n v="156.54"/>
    <n v="167.36"/>
    <n v="234.07"/>
    <n v="156.06"/>
    <n v="482.37"/>
    <n v="322.86"/>
    <n v="124.67"/>
    <n v="66.930000000000007"/>
    <n v="227.06"/>
    <n v="236.41"/>
    <n v="41.37"/>
    <n v="2534.35"/>
    <n v="195.04"/>
  </r>
  <r>
    <x v="5"/>
    <x v="5"/>
    <x v="0"/>
    <s v="6125106"/>
    <n v="700084"/>
    <s v="Accrued PTO"/>
    <s v="Dietary"/>
    <x v="0"/>
    <m/>
    <n v="-7618.46"/>
    <n v="-480.1"/>
    <n v="2705.53"/>
    <n v="-1022.85"/>
    <n v="3726.91"/>
    <n v="-5371.5"/>
    <n v="2112.81"/>
    <n v="4214.66"/>
    <n v="4005.32"/>
    <n v="3778.68"/>
    <n v="1102.97"/>
    <n v="-3761.52"/>
    <n v="3392.4499999999985"/>
    <n v="4864.49"/>
  </r>
  <r>
    <x v="6"/>
    <x v="5"/>
    <x v="0"/>
    <s v="6125106"/>
    <n v="713010"/>
    <s v="Benefits-FICA/Medicare"/>
    <s v="Dietary"/>
    <x v="0"/>
    <m/>
    <n v="10525.91"/>
    <n v="9656.2900000000009"/>
    <n v="9502.8799999999992"/>
    <n v="9886.91"/>
    <n v="9672.6299999999992"/>
    <n v="10364.91"/>
    <n v="10498.84"/>
    <n v="9160.9699999999993"/>
    <n v="10405.120000000001"/>
    <n v="10600.01"/>
    <n v="10613.56"/>
    <n v="9717.68"/>
    <n v="120605.70999999999"/>
    <n v="895.8799999999992"/>
  </r>
  <r>
    <x v="6"/>
    <x v="5"/>
    <x v="0"/>
    <s v="6125106"/>
    <n v="713090"/>
    <s v="Benefits-Allocated Amounts"/>
    <s v="Dietary"/>
    <x v="0"/>
    <m/>
    <n v="48522.27"/>
    <n v="43758.47"/>
    <n v="44010.239999999998"/>
    <n v="43889.71"/>
    <n v="45892.959999999999"/>
    <n v="46145.9"/>
    <n v="48345.43"/>
    <n v="43881.22"/>
    <n v="45749.57"/>
    <n v="47260.7"/>
    <n v="48146.22"/>
    <n v="44425.89"/>
    <n v="550028.57999999996"/>
    <n v="3720.3300000000017"/>
  </r>
  <r>
    <x v="7"/>
    <x v="5"/>
    <x v="0"/>
    <s v="6125106"/>
    <n v="718050"/>
    <s v="Miscellaneous Purchased Svcs"/>
    <s v="Dietary"/>
    <x v="0"/>
    <n v="1020"/>
    <n v="414.61"/>
    <n v="402.64"/>
    <n v="375.27"/>
    <n v="340.48"/>
    <n v="782.74"/>
    <n v="337.12"/>
    <n v="0"/>
    <n v="0"/>
    <n v="0"/>
    <n v="0"/>
    <n v="0"/>
    <n v="0"/>
    <n v="2652.8599999999997"/>
    <n v="0"/>
  </r>
  <r>
    <x v="7"/>
    <x v="5"/>
    <x v="0"/>
    <s v="6125106"/>
    <n v="718050"/>
    <s v="Contract Management--Linen"/>
    <s v="Dietary"/>
    <x v="0"/>
    <n v="1026"/>
    <n v="1054.18"/>
    <n v="2220.86"/>
    <n v="1704.06"/>
    <n v="696.34"/>
    <n v="1347.09"/>
    <n v="1426.84"/>
    <n v="1024.53"/>
    <n v="1370.86"/>
    <n v="1039.71"/>
    <n v="616.65"/>
    <n v="321"/>
    <n v="353.27"/>
    <n v="13175.390000000001"/>
    <n v="-32.269999999999982"/>
  </r>
  <r>
    <x v="7"/>
    <x v="5"/>
    <x v="0"/>
    <s v="6125106"/>
    <n v="718050"/>
    <s v="Contract Services-Food&amp;Catering"/>
    <s v="Dietary"/>
    <x v="0"/>
    <n v="1030"/>
    <n v="28509.200000000001"/>
    <n v="28509.200000000001"/>
    <n v="30738.04"/>
    <n v="27802.66"/>
    <n v="28085.07"/>
    <n v="26759.200000000001"/>
    <n v="29146.46"/>
    <n v="28861.88"/>
    <n v="28294.15"/>
    <n v="28572.43"/>
    <n v="28572.43"/>
    <n v="28948.63"/>
    <n v="342799.35000000003"/>
    <n v="-376.20000000000073"/>
  </r>
  <r>
    <x v="11"/>
    <x v="5"/>
    <x v="0"/>
    <s v="6125106"/>
    <n v="721250"/>
    <s v="Supplies-Pharmacy Drugs - Billable"/>
    <s v="Dietary"/>
    <x v="0"/>
    <m/>
    <n v="1219.9100000000001"/>
    <n v="2386.4499999999998"/>
    <n v="1569.25"/>
    <n v="2397.14"/>
    <n v="1856.45"/>
    <n v="1511.14"/>
    <n v="2746.38"/>
    <n v="2787.76"/>
    <n v="2725.61"/>
    <n v="2756.33"/>
    <n v="2425.1"/>
    <n v="1810.86"/>
    <n v="26192.380000000005"/>
    <n v="614.24"/>
  </r>
  <r>
    <x v="11"/>
    <x v="5"/>
    <x v="0"/>
    <s v="6125106"/>
    <n v="721410"/>
    <s v="Supplies-Medical - Nonbillable"/>
    <s v="Dietary"/>
    <x v="0"/>
    <m/>
    <n v="486.23"/>
    <n v="631.03"/>
    <n v="474.05"/>
    <n v="508.25"/>
    <n v="569.78"/>
    <n v="376.76"/>
    <n v="464.45"/>
    <n v="481.18"/>
    <n v="488.38"/>
    <n v="418.12"/>
    <n v="592.65"/>
    <n v="472.95"/>
    <n v="5963.829999999999"/>
    <n v="119.69999999999999"/>
  </r>
  <r>
    <x v="11"/>
    <x v="5"/>
    <x v="0"/>
    <s v="6125106"/>
    <n v="721650"/>
    <s v="Supplies-Pharmacy Drugs - Nonbillable"/>
    <s v="Dietary"/>
    <x v="0"/>
    <m/>
    <n v="0"/>
    <n v="0"/>
    <n v="3926.65"/>
    <n v="0"/>
    <n v="0"/>
    <n v="0"/>
    <n v="0"/>
    <n v="0"/>
    <n v="0"/>
    <n v="0"/>
    <n v="0"/>
    <n v="0"/>
    <n v="3926.65"/>
    <n v="0"/>
  </r>
  <r>
    <x v="11"/>
    <x v="5"/>
    <x v="0"/>
    <s v="6125106"/>
    <n v="721810"/>
    <s v="Supplies-Dietary/Cafeteria"/>
    <s v="Dietary"/>
    <x v="0"/>
    <m/>
    <n v="52180.3"/>
    <n v="92403.95"/>
    <n v="67615.320000000007"/>
    <n v="63540.52"/>
    <n v="80810.5"/>
    <n v="83801.2"/>
    <n v="70973.42"/>
    <n v="76629.039999999994"/>
    <n v="99452.06"/>
    <n v="69569.490000000005"/>
    <n v="52041.55"/>
    <n v="83480.34"/>
    <n v="892497.69000000006"/>
    <n v="-31438.789999999994"/>
  </r>
  <r>
    <x v="11"/>
    <x v="5"/>
    <x v="0"/>
    <s v="6125106"/>
    <n v="721810"/>
    <s v="Food Products (RESTRICTED)"/>
    <s v="Dietary"/>
    <x v="0"/>
    <n v="5200"/>
    <n v="-34071.339999999997"/>
    <n v="-17039.189999999999"/>
    <n v="-23657.81"/>
    <n v="-25115.83"/>
    <n v="-23194.14"/>
    <n v="-33982.53"/>
    <n v="-33395.68"/>
    <n v="-23415.31"/>
    <n v="-31010.91"/>
    <n v="-26010.98"/>
    <n v="-34528.800000000003"/>
    <n v="-22885.71"/>
    <n v="-328308.23"/>
    <n v="-11643.090000000004"/>
  </r>
  <r>
    <x v="11"/>
    <x v="5"/>
    <x v="0"/>
    <s v="6125106"/>
    <n v="721830"/>
    <s v="Supplies-Office"/>
    <s v="Dietary"/>
    <x v="0"/>
    <m/>
    <n v="151.37"/>
    <n v="264.87"/>
    <n v="121.53"/>
    <n v="292.62"/>
    <n v="0"/>
    <n v="112.59"/>
    <n v="274.66000000000003"/>
    <n v="1171.3699999999999"/>
    <n v="0"/>
    <n v="497.3"/>
    <n v="249.36"/>
    <n v="101.81"/>
    <n v="3237.4800000000005"/>
    <n v="147.55000000000001"/>
  </r>
  <r>
    <x v="11"/>
    <x v="5"/>
    <x v="0"/>
    <s v="6125106"/>
    <n v="721835"/>
    <s v="Supplies-Forms"/>
    <s v="Dietary"/>
    <x v="0"/>
    <m/>
    <n v="0"/>
    <n v="0"/>
    <n v="0"/>
    <n v="0"/>
    <n v="71.25"/>
    <n v="0"/>
    <n v="0"/>
    <n v="0"/>
    <n v="0"/>
    <n v="13.32"/>
    <n v="38.5"/>
    <n v="0"/>
    <n v="123.07"/>
    <n v="38.5"/>
  </r>
  <r>
    <x v="11"/>
    <x v="5"/>
    <x v="0"/>
    <s v="6125106"/>
    <n v="721870"/>
    <s v="Supplies-Environmental Services"/>
    <s v="Dietary"/>
    <x v="0"/>
    <m/>
    <n v="2886"/>
    <n v="1850.84"/>
    <n v="2321.5700000000002"/>
    <n v="2980.47"/>
    <n v="1256.5"/>
    <n v="3507.56"/>
    <n v="1851.74"/>
    <n v="3319.72"/>
    <n v="1892.61"/>
    <n v="3353.78"/>
    <n v="2398.89"/>
    <n v="2387.36"/>
    <n v="30007.040000000001"/>
    <n v="11.529999999999745"/>
  </r>
  <r>
    <x v="11"/>
    <x v="5"/>
    <x v="0"/>
    <s v="6125106"/>
    <n v="721880"/>
    <s v="Supplies-Linen"/>
    <s v="Dietary"/>
    <x v="0"/>
    <m/>
    <n v="0"/>
    <n v="0"/>
    <n v="0"/>
    <n v="0"/>
    <n v="0"/>
    <n v="0"/>
    <n v="0"/>
    <n v="0"/>
    <n v="337.57"/>
    <n v="-337.57"/>
    <n v="0"/>
    <n v="0"/>
    <n v="0"/>
    <n v="0"/>
  </r>
  <r>
    <x v="11"/>
    <x v="5"/>
    <x v="0"/>
    <s v="6125106"/>
    <n v="721910"/>
    <s v="Supplies-Small Equipment"/>
    <s v="Dietary"/>
    <x v="0"/>
    <m/>
    <n v="5721.75"/>
    <n v="-1213.53"/>
    <n v="1835.05"/>
    <n v="2774.64"/>
    <n v="5379"/>
    <n v="6533.51"/>
    <n v="3229.08"/>
    <n v="11202.91"/>
    <n v="4413.1499999999996"/>
    <n v="5289.62"/>
    <n v="255"/>
    <n v="3359.56"/>
    <n v="48779.740000000005"/>
    <n v="-3104.56"/>
  </r>
  <r>
    <x v="11"/>
    <x v="5"/>
    <x v="0"/>
    <s v="6125106"/>
    <n v="721980"/>
    <s v="Supplies-Other"/>
    <s v="Dietary"/>
    <x v="0"/>
    <m/>
    <n v="7740.29"/>
    <n v="6086.92"/>
    <n v="6567.96"/>
    <n v="6932.17"/>
    <n v="4961.1899999999996"/>
    <n v="7261.4"/>
    <n v="6471.18"/>
    <n v="5158.83"/>
    <n v="9146.92"/>
    <n v="7181.69"/>
    <n v="6992.03"/>
    <n v="5998.57"/>
    <n v="80499.149999999994"/>
    <n v="993.46"/>
  </r>
  <r>
    <x v="11"/>
    <x v="5"/>
    <x v="0"/>
    <s v="6125106"/>
    <n v="722000"/>
    <s v="Supplies-Freight Expense"/>
    <s v="Dietary"/>
    <x v="0"/>
    <m/>
    <n v="16.73"/>
    <n v="40.92"/>
    <n v="0"/>
    <n v="24"/>
    <n v="0"/>
    <n v="0"/>
    <n v="20.49"/>
    <n v="49.77"/>
    <n v="248.37"/>
    <n v="165.51"/>
    <n v="41.45"/>
    <n v="45.71"/>
    <n v="652.95000000000005"/>
    <n v="-4.259999999999998"/>
  </r>
  <r>
    <x v="11"/>
    <x v="5"/>
    <x v="0"/>
    <s v="6125106"/>
    <n v="723000"/>
    <s v="Supply Rebates/Patronage Dividend"/>
    <s v="Dietary"/>
    <x v="0"/>
    <m/>
    <n v="0"/>
    <n v="0"/>
    <n v="-9500.9"/>
    <n v="0"/>
    <n v="0"/>
    <n v="-11972.75"/>
    <n v="0"/>
    <n v="0"/>
    <n v="-18708"/>
    <n v="-1715.58"/>
    <n v="0"/>
    <n v="-10744.08"/>
    <n v="-52641.310000000005"/>
    <n v="10744.08"/>
  </r>
  <r>
    <x v="12"/>
    <x v="5"/>
    <x v="0"/>
    <s v="6125106"/>
    <n v="730020"/>
    <s v="Rental and Leases-Equipment (DO NOT USE)"/>
    <s v="Dietary"/>
    <x v="0"/>
    <m/>
    <n v="0"/>
    <n v="0"/>
    <n v="0"/>
    <n v="0"/>
    <n v="0"/>
    <n v="0"/>
    <n v="0"/>
    <n v="1179.2"/>
    <n v="0"/>
    <n v="0"/>
    <n v="0"/>
    <n v="0"/>
    <n v="1179.2"/>
    <n v="0"/>
  </r>
  <r>
    <x v="12"/>
    <x v="5"/>
    <x v="0"/>
    <s v="6125106"/>
    <n v="730020"/>
    <s v="Rental and Leases-Copier Usage Fees (DO NOT USE)"/>
    <s v="Dietary"/>
    <x v="0"/>
    <n v="5100"/>
    <n v="510.83"/>
    <n v="525.09"/>
    <n v="517.96"/>
    <n v="517.96"/>
    <n v="517.96"/>
    <n v="517.96"/>
    <n v="-302.2"/>
    <n v="126.58"/>
    <n v="126.32"/>
    <n v="1059.67"/>
    <n v="126.58"/>
    <n v="155.82"/>
    <n v="4400.5300000000007"/>
    <n v="-29.239999999999995"/>
  </r>
  <r>
    <x v="15"/>
    <x v="5"/>
    <x v="0"/>
    <s v="6125106"/>
    <n v="731060"/>
    <s v="Pagers"/>
    <s v="Dietary"/>
    <x v="0"/>
    <n v="1002"/>
    <n v="23.97"/>
    <n v="23.97"/>
    <n v="23.97"/>
    <n v="24.06"/>
    <n v="24.06"/>
    <n v="0"/>
    <n v="48.12"/>
    <n v="24.06"/>
    <n v="24.06"/>
    <n v="24.03"/>
    <n v="24.03"/>
    <n v="24.03"/>
    <n v="288.36"/>
    <n v="0"/>
  </r>
  <r>
    <x v="16"/>
    <x v="5"/>
    <x v="0"/>
    <s v="6125106"/>
    <n v="732030"/>
    <s v="Repairs---Other"/>
    <s v="Dietary"/>
    <x v="0"/>
    <m/>
    <n v="2087.62"/>
    <n v="8641.74"/>
    <n v="3875.39"/>
    <n v="2466.2600000000002"/>
    <n v="3243.68"/>
    <n v="3005.33"/>
    <n v="447.79"/>
    <n v="321.42"/>
    <n v="3357.03"/>
    <n v="0"/>
    <n v="10285.39"/>
    <n v="3115.46"/>
    <n v="40847.11"/>
    <n v="7169.9299999999994"/>
  </r>
  <r>
    <x v="16"/>
    <x v="5"/>
    <x v="0"/>
    <s v="6125106"/>
    <n v="733030"/>
    <s v="Maintenance Contracts-Other"/>
    <s v="Dietary"/>
    <x v="0"/>
    <m/>
    <n v="1344.3"/>
    <n v="3703.27"/>
    <n v="296.45"/>
    <n v="1300.8499999999999"/>
    <n v="1441.7"/>
    <n v="1576.8"/>
    <n v="1180.45"/>
    <n v="3818.48"/>
    <n v="4862.91"/>
    <n v="296.45"/>
    <n v="1677.96"/>
    <n v="5201.33"/>
    <n v="26700.949999999997"/>
    <n v="-3523.37"/>
  </r>
  <r>
    <x v="16"/>
    <x v="5"/>
    <x v="0"/>
    <s v="6125106"/>
    <n v="733030"/>
    <s v="Maintenance Contracts-Software"/>
    <s v="Dietary"/>
    <x v="0"/>
    <n v="1002"/>
    <n v="22"/>
    <n v="2"/>
    <n v="0"/>
    <n v="0"/>
    <n v="22"/>
    <n v="0"/>
    <n v="20"/>
    <n v="60"/>
    <n v="0"/>
    <n v="40"/>
    <n v="40"/>
    <n v="60"/>
    <n v="266"/>
    <n v="-20"/>
  </r>
  <r>
    <x v="13"/>
    <x v="5"/>
    <x v="0"/>
    <s v="6125106"/>
    <n v="735040"/>
    <s v="Depreciation-Building Improvements"/>
    <s v="Dietary"/>
    <x v="0"/>
    <m/>
    <n v="743.41"/>
    <n v="743.4"/>
    <n v="743.41"/>
    <n v="743.39"/>
    <n v="743.41"/>
    <n v="743.39"/>
    <n v="743.41"/>
    <n v="743.39"/>
    <n v="743.41"/>
    <n v="743.39"/>
    <n v="743.42"/>
    <n v="743.37"/>
    <n v="8920.8000000000011"/>
    <n v="4.9999999999954525E-2"/>
  </r>
  <r>
    <x v="13"/>
    <x v="5"/>
    <x v="0"/>
    <s v="6125106"/>
    <n v="735060"/>
    <s v="Depreciation-Fixed Equipment"/>
    <s v="Dietary"/>
    <x v="0"/>
    <m/>
    <n v="46.33"/>
    <n v="46.32"/>
    <n v="46.33"/>
    <n v="46.32"/>
    <n v="46.33"/>
    <n v="46.32"/>
    <n v="46.34"/>
    <n v="46.32"/>
    <n v="46.36"/>
    <n v="46.31"/>
    <n v="46.37"/>
    <n v="46.3"/>
    <n v="555.94999999999993"/>
    <n v="7.0000000000000284E-2"/>
  </r>
  <r>
    <x v="13"/>
    <x v="5"/>
    <x v="0"/>
    <s v="6125106"/>
    <n v="735070"/>
    <s v="Depreciation-Movable Equipment"/>
    <s v="Dietary"/>
    <x v="0"/>
    <m/>
    <n v="3076.57"/>
    <n v="3076.51"/>
    <n v="3076.72"/>
    <n v="3076.45"/>
    <n v="3076.78"/>
    <n v="3076.32"/>
    <n v="3076.98"/>
    <n v="3250.6"/>
    <n v="3251.7"/>
    <n v="3250.41"/>
    <n v="3251.79"/>
    <n v="3250.27"/>
    <n v="37791.1"/>
    <n v="1.5199999999999818"/>
  </r>
  <r>
    <x v="0"/>
    <x v="5"/>
    <x v="0"/>
    <s v="6125106"/>
    <n v="740010"/>
    <s v="Education-Materials"/>
    <s v="Dietary"/>
    <x v="0"/>
    <m/>
    <n v="2.37"/>
    <n v="0"/>
    <n v="0"/>
    <n v="0"/>
    <n v="0"/>
    <n v="0"/>
    <n v="0"/>
    <n v="15.5"/>
    <n v="0"/>
    <n v="0"/>
    <n v="761.58"/>
    <n v="0"/>
    <n v="779.45"/>
    <n v="761.58"/>
  </r>
  <r>
    <x v="0"/>
    <x v="5"/>
    <x v="0"/>
    <s v="6125106"/>
    <n v="740030"/>
    <s v="Education-Travel"/>
    <s v="Dietary"/>
    <x v="0"/>
    <m/>
    <n v="0"/>
    <n v="0"/>
    <n v="0"/>
    <n v="0"/>
    <n v="0"/>
    <n v="0"/>
    <n v="135.71"/>
    <n v="846.11"/>
    <n v="0"/>
    <n v="0"/>
    <n v="0"/>
    <n v="0"/>
    <n v="981.82"/>
    <n v="0"/>
  </r>
  <r>
    <x v="0"/>
    <x v="5"/>
    <x v="0"/>
    <s v="6125106"/>
    <n v="742040"/>
    <s v="Freight-Other"/>
    <s v="Dietary"/>
    <x v="0"/>
    <m/>
    <n v="0"/>
    <n v="0"/>
    <n v="0"/>
    <n v="28.91"/>
    <n v="0"/>
    <n v="0"/>
    <n v="0"/>
    <n v="0"/>
    <n v="0"/>
    <n v="0"/>
    <n v="0"/>
    <n v="193.85"/>
    <n v="222.76"/>
    <n v="-193.85"/>
  </r>
  <r>
    <x v="0"/>
    <x v="5"/>
    <x v="0"/>
    <s v="6125106"/>
    <n v="743030"/>
    <s v="Subscriptions--Institutional"/>
    <s v="Dietary"/>
    <x v="0"/>
    <m/>
    <n v="0"/>
    <n v="0"/>
    <n v="0"/>
    <n v="0"/>
    <n v="0"/>
    <n v="0"/>
    <n v="0"/>
    <n v="36"/>
    <n v="0"/>
    <n v="0"/>
    <n v="138.61000000000001"/>
    <n v="0"/>
    <n v="174.61"/>
    <n v="138.61000000000001"/>
  </r>
  <r>
    <x v="0"/>
    <x v="5"/>
    <x v="0"/>
    <s v="6125106"/>
    <n v="746020"/>
    <s v="Bank Fees--Ext to CHI Programs"/>
    <s v="Dietary"/>
    <x v="0"/>
    <m/>
    <n v="0"/>
    <n v="0"/>
    <n v="0"/>
    <n v="0"/>
    <n v="0"/>
    <n v="0"/>
    <n v="0"/>
    <n v="368.83"/>
    <n v="801.99"/>
    <n v="437.5"/>
    <n v="0"/>
    <n v="881.65"/>
    <n v="2489.9699999999998"/>
    <n v="-881.65"/>
  </r>
  <r>
    <x v="0"/>
    <x v="5"/>
    <x v="0"/>
    <s v="6125106"/>
    <n v="749510"/>
    <s v="Miscellaneous Expenses"/>
    <s v="Dietary"/>
    <x v="0"/>
    <m/>
    <n v="141.22999999999999"/>
    <n v="2.19"/>
    <n v="20.79"/>
    <n v="0"/>
    <n v="1000.53"/>
    <n v="0"/>
    <n v="0"/>
    <n v="1320.49"/>
    <n v="-37.33"/>
    <n v="-1060.6199999999999"/>
    <n v="1195.83"/>
    <n v="110.96"/>
    <n v="2694.07"/>
    <n v="1084.8699999999999"/>
  </r>
  <r>
    <x v="0"/>
    <x v="5"/>
    <x v="0"/>
    <s v="6125106"/>
    <n v="749510"/>
    <s v="Licenses"/>
    <s v="Dietary"/>
    <x v="0"/>
    <n v="1002"/>
    <n v="39"/>
    <n v="9830.15"/>
    <n v="0"/>
    <n v="0"/>
    <n v="0"/>
    <n v="0"/>
    <n v="0"/>
    <n v="0"/>
    <n v="0"/>
    <n v="0"/>
    <n v="23.33"/>
    <n v="600"/>
    <n v="10492.48"/>
    <n v="-576.66999999999996"/>
  </r>
  <r>
    <x v="0"/>
    <x v="5"/>
    <x v="0"/>
    <s v="6125106"/>
    <n v="749510"/>
    <s v="Miscellaneous Employee Expense"/>
    <s v="Dietary"/>
    <x v="0"/>
    <n v="1010"/>
    <n v="36.97"/>
    <n v="0"/>
    <n v="0"/>
    <n v="0"/>
    <n v="51.95"/>
    <n v="0"/>
    <n v="0"/>
    <n v="253.95"/>
    <n v="0"/>
    <n v="45.26"/>
    <n v="222.36"/>
    <n v="163.83000000000001"/>
    <n v="774.32"/>
    <n v="58.53"/>
  </r>
  <r>
    <x v="0"/>
    <x v="5"/>
    <x v="0"/>
    <s v="6125106"/>
    <n v="749510"/>
    <s v="Uniforms"/>
    <s v="Dietary"/>
    <x v="0"/>
    <n v="1028"/>
    <n v="0"/>
    <n v="2225.2399999999998"/>
    <n v="0"/>
    <n v="0"/>
    <n v="155.77000000000001"/>
    <n v="0"/>
    <n v="0"/>
    <n v="0"/>
    <n v="0"/>
    <n v="0"/>
    <n v="0"/>
    <n v="-193.85"/>
    <n v="2187.16"/>
    <n v="193.85"/>
  </r>
  <r>
    <x v="0"/>
    <x v="5"/>
    <x v="0"/>
    <s v="6125106"/>
    <n v="749510"/>
    <s v="Special Events"/>
    <s v="Dietary"/>
    <x v="0"/>
    <n v="4300"/>
    <n v="904.2"/>
    <n v="0"/>
    <n v="0"/>
    <n v="0"/>
    <n v="0"/>
    <n v="175.91"/>
    <n v="0"/>
    <n v="0"/>
    <n v="297"/>
    <n v="0"/>
    <n v="16.489999999999998"/>
    <n v="0"/>
    <n v="1393.6000000000001"/>
    <n v="16.489999999999998"/>
  </r>
  <r>
    <x v="0"/>
    <x v="5"/>
    <x v="0"/>
    <s v="6125106"/>
    <n v="749510"/>
    <s v="RICE Rewards"/>
    <s v="Dietary"/>
    <x v="0"/>
    <n v="5100"/>
    <n v="0"/>
    <n v="0"/>
    <n v="0"/>
    <n v="0"/>
    <n v="0"/>
    <n v="0"/>
    <n v="0"/>
    <n v="0"/>
    <n v="0"/>
    <n v="1000.53"/>
    <n v="0"/>
    <n v="156.54"/>
    <n v="1157.07"/>
    <n v="-156.54"/>
  </r>
  <r>
    <x v="0"/>
    <x v="5"/>
    <x v="0"/>
    <s v="6125106"/>
    <n v="749530"/>
    <s v="Travel"/>
    <s v="Dietary"/>
    <x v="0"/>
    <m/>
    <n v="0"/>
    <n v="0"/>
    <n v="0"/>
    <n v="0"/>
    <n v="0"/>
    <n v="0"/>
    <n v="17.04"/>
    <n v="34.409999999999997"/>
    <n v="0"/>
    <n v="0"/>
    <n v="82.47"/>
    <n v="6.58"/>
    <n v="140.5"/>
    <n v="75.89"/>
  </r>
  <r>
    <x v="0"/>
    <x v="5"/>
    <x v="0"/>
    <s v="6125106"/>
    <n v="749530"/>
    <s v="Mileage"/>
    <s v="Dietary"/>
    <x v="0"/>
    <n v="1001"/>
    <n v="0"/>
    <n v="0"/>
    <n v="29.43"/>
    <n v="436"/>
    <n v="30.52"/>
    <n v="0"/>
    <n v="169.5"/>
    <n v="0"/>
    <n v="31.32"/>
    <n v="586.96"/>
    <n v="0"/>
    <n v="31.32"/>
    <n v="1315.05"/>
    <n v="-31.32"/>
  </r>
  <r>
    <x v="0"/>
    <x v="5"/>
    <x v="0"/>
    <s v="6125106"/>
    <n v="749535"/>
    <s v="Medicare Non-Allowable Beverages"/>
    <s v="Dietary"/>
    <x v="0"/>
    <n v="1005"/>
    <n v="0"/>
    <n v="0"/>
    <n v="0"/>
    <n v="0"/>
    <n v="0"/>
    <n v="0"/>
    <n v="165.33"/>
    <n v="0"/>
    <n v="0"/>
    <n v="0"/>
    <n v="155.78"/>
    <n v="273.12"/>
    <n v="594.23"/>
    <n v="-117.34"/>
  </r>
  <r>
    <x v="0"/>
    <x v="5"/>
    <x v="0"/>
    <s v="6125106"/>
    <n v="749550"/>
    <s v="Cash Over/Short"/>
    <s v="Dietary"/>
    <x v="0"/>
    <m/>
    <n v="-26.82"/>
    <n v="-26.06"/>
    <n v="-33.590000000000003"/>
    <n v="-29.67"/>
    <n v="-13.74"/>
    <n v="-25.16"/>
    <n v="-24.73"/>
    <n v="-3.52"/>
    <n v="-47.85"/>
    <n v="-28.09"/>
    <n v="-23.21"/>
    <n v="-22.56"/>
    <n v="-304.99999999999994"/>
    <n v="-0.65000000000000213"/>
  </r>
  <r>
    <x v="14"/>
    <x v="6"/>
    <x v="0"/>
    <s v="6125107"/>
    <n v="600034"/>
    <s v="Cafeteria Revenue"/>
    <s v="Nutrition Services"/>
    <x v="0"/>
    <m/>
    <n v="-107232.79"/>
    <n v="-112689.29"/>
    <n v="-107116.04"/>
    <n v="-113639.15"/>
    <n v="-109919.29"/>
    <n v="-106214.42"/>
    <n v="-109892.7"/>
    <n v="-116719.36"/>
    <n v="-120515.36"/>
    <n v="-117930.12"/>
    <n v="-136467.07"/>
    <n v="-103804.61"/>
    <n v="-1362140.2000000002"/>
    <n v="-32662.460000000006"/>
  </r>
  <r>
    <x v="14"/>
    <x v="6"/>
    <x v="0"/>
    <s v="6125107"/>
    <n v="600034"/>
    <s v="Vending Commission"/>
    <s v="Nutrition Services"/>
    <x v="0"/>
    <n v="1002"/>
    <n v="0"/>
    <n v="-4468.49"/>
    <n v="0"/>
    <n v="0"/>
    <n v="0"/>
    <n v="-4386.33"/>
    <n v="0"/>
    <n v="-10230.370000000001"/>
    <n v="8854.82"/>
    <n v="0"/>
    <n v="0"/>
    <n v="0"/>
    <n v="-10230.370000000003"/>
    <n v="0"/>
  </r>
  <r>
    <x v="14"/>
    <x v="6"/>
    <x v="0"/>
    <s v="6125107"/>
    <n v="600034"/>
    <s v="Catering Revenue"/>
    <s v="Nutrition Services"/>
    <x v="0"/>
    <n v="5101"/>
    <n v="-2941.59"/>
    <n v="-1317.4"/>
    <n v="-2538.9899999999998"/>
    <n v="-5586.59"/>
    <n v="-1955.83"/>
    <n v="-2369.29"/>
    <n v="-2023.68"/>
    <n v="-3436.76"/>
    <n v="-1393.35"/>
    <n v="-3330.79"/>
    <n v="-2239.62"/>
    <n v="-7497.6"/>
    <n v="-36631.49"/>
    <n v="5257.9800000000005"/>
  </r>
  <r>
    <x v="5"/>
    <x v="6"/>
    <x v="0"/>
    <s v="6125107"/>
    <n v="700032"/>
    <s v="Salaries-Other Pat Care Providers-Productive"/>
    <s v="Nutrition Services"/>
    <x v="0"/>
    <m/>
    <n v="9921.2199999999993"/>
    <n v="12162.3"/>
    <n v="17498.53"/>
    <n v="19757.150000000001"/>
    <n v="22466.55"/>
    <n v="18825.560000000001"/>
    <n v="18233.560000000001"/>
    <n v="17824.189999999999"/>
    <n v="20776.59"/>
    <n v="19047.13"/>
    <n v="20218.7"/>
    <n v="18050.25"/>
    <n v="214781.73"/>
    <n v="2168.4500000000007"/>
  </r>
  <r>
    <x v="5"/>
    <x v="6"/>
    <x v="0"/>
    <s v="6125107"/>
    <n v="700032"/>
    <s v="Salaries-Other Pat Care Providers-OT"/>
    <s v="Nutrition Services"/>
    <x v="0"/>
    <n v="1000"/>
    <n v="934.25"/>
    <n v="283.44"/>
    <n v="444.69"/>
    <n v="894.74"/>
    <n v="-8.16"/>
    <n v="624.07000000000005"/>
    <n v="935.42"/>
    <n v="1309.42"/>
    <n v="683.97"/>
    <n v="699.68"/>
    <n v="2033.8"/>
    <n v="2818.44"/>
    <n v="11653.76"/>
    <n v="-784.6400000000001"/>
  </r>
  <r>
    <x v="5"/>
    <x v="6"/>
    <x v="0"/>
    <s v="6125107"/>
    <n v="700032"/>
    <s v="Salaries-Other Pat Care Providers-Other"/>
    <s v="Nutrition Services"/>
    <x v="0"/>
    <n v="2000"/>
    <n v="156.83000000000001"/>
    <n v="96.48"/>
    <n v="233.76"/>
    <n v="783.2"/>
    <n v="888.37"/>
    <n v="1301.6199999999999"/>
    <n v="456.33"/>
    <n v="548.65"/>
    <n v="770.12"/>
    <n v="963.78"/>
    <n v="1101.02"/>
    <n v="1122.52"/>
    <n v="8422.68"/>
    <n v="-21.5"/>
  </r>
  <r>
    <x v="5"/>
    <x v="6"/>
    <x v="0"/>
    <s v="6125107"/>
    <n v="700038"/>
    <s v="Salaries-Service/Support-Productive"/>
    <s v="Nutrition Services"/>
    <x v="0"/>
    <m/>
    <n v="151031.45000000001"/>
    <n v="144603.65"/>
    <n v="154098.29999999999"/>
    <n v="153709.42000000001"/>
    <n v="148077.14000000001"/>
    <n v="154467.49"/>
    <n v="159851.57999999999"/>
    <n v="141832.59"/>
    <n v="158201.97"/>
    <n v="148328.01999999999"/>
    <n v="155868.21"/>
    <n v="156831.82999999999"/>
    <n v="1826901.6500000001"/>
    <n v="-963.61999999999534"/>
  </r>
  <r>
    <x v="5"/>
    <x v="6"/>
    <x v="0"/>
    <s v="6125107"/>
    <n v="700038"/>
    <s v="Salaries-Service/Support-OT"/>
    <s v="Nutrition Services"/>
    <x v="0"/>
    <n v="1000"/>
    <n v="8946.33"/>
    <n v="9527.25"/>
    <n v="7527.79"/>
    <n v="9119.17"/>
    <n v="6836.54"/>
    <n v="11678.41"/>
    <n v="7551.27"/>
    <n v="11263.05"/>
    <n v="9938.02"/>
    <n v="12007.47"/>
    <n v="12683.6"/>
    <n v="11672.18"/>
    <n v="118751.08000000002"/>
    <n v="1011.4200000000001"/>
  </r>
  <r>
    <x v="5"/>
    <x v="6"/>
    <x v="0"/>
    <s v="6125107"/>
    <n v="700038"/>
    <s v="Salaries-Service/Support-Other"/>
    <s v="Nutrition Services"/>
    <x v="0"/>
    <n v="2000"/>
    <n v="9598.82"/>
    <n v="9643"/>
    <n v="9001.1200000000008"/>
    <n v="8368.81"/>
    <n v="7502.08"/>
    <n v="9906.69"/>
    <n v="9656.5499999999993"/>
    <n v="7587.4"/>
    <n v="8111.52"/>
    <n v="7071.4"/>
    <n v="8514.58"/>
    <n v="9421.27"/>
    <n v="104383.24"/>
    <n v="-906.69000000000051"/>
  </r>
  <r>
    <x v="5"/>
    <x v="6"/>
    <x v="0"/>
    <s v="6125107"/>
    <n v="700054"/>
    <s v="Salaries-Management-NonProd-Other"/>
    <s v="Nutrition Services"/>
    <x v="0"/>
    <n v="2000"/>
    <n v="0"/>
    <n v="0"/>
    <n v="0"/>
    <n v="0"/>
    <n v="0"/>
    <n v="5005.62"/>
    <n v="-5005.62"/>
    <n v="0"/>
    <n v="0"/>
    <n v="0"/>
    <n v="0"/>
    <n v="0"/>
    <n v="0"/>
    <n v="0"/>
  </r>
  <r>
    <x v="5"/>
    <x v="6"/>
    <x v="0"/>
    <s v="6125107"/>
    <n v="700072"/>
    <s v="Salaries-Other Pat Care Providers-Non-productive"/>
    <s v="Nutrition Services"/>
    <x v="0"/>
    <m/>
    <n v="3525.46"/>
    <n v="1967"/>
    <n v="678.42"/>
    <n v="1095.49"/>
    <n v="491.76"/>
    <n v="3647.53"/>
    <n v="1289.77"/>
    <n v="1925.98"/>
    <n v="1174.42"/>
    <n v="3325.98"/>
    <n v="3193.62"/>
    <n v="3582.71"/>
    <n v="25898.14"/>
    <n v="-389.09000000000015"/>
  </r>
  <r>
    <x v="5"/>
    <x v="6"/>
    <x v="0"/>
    <s v="6125107"/>
    <n v="700072"/>
    <s v="Salaries-Other Pat Care Providers-NonProd-Other"/>
    <s v="Nutrition Services"/>
    <x v="0"/>
    <n v="2000"/>
    <n v="44.8"/>
    <n v="31.08"/>
    <n v="13.72"/>
    <n v="4.28"/>
    <n v="5.32"/>
    <n v="112.74"/>
    <n v="18.88"/>
    <n v="41.84"/>
    <n v="7.74"/>
    <n v="24.02"/>
    <n v="0"/>
    <n v="108.87"/>
    <n v="413.28999999999996"/>
    <n v="-108.87"/>
  </r>
  <r>
    <x v="5"/>
    <x v="6"/>
    <x v="0"/>
    <s v="6125107"/>
    <n v="700078"/>
    <s v="Salaries-Service/Support-Non-productive"/>
    <s v="Nutrition Services"/>
    <x v="0"/>
    <m/>
    <n v="23898.82"/>
    <n v="30371.71"/>
    <n v="16616.580000000002"/>
    <n v="16002.22"/>
    <n v="13183.8"/>
    <n v="26070.57"/>
    <n v="14253.11"/>
    <n v="13813.27"/>
    <n v="14082.7"/>
    <n v="17016.72"/>
    <n v="18419.71"/>
    <n v="25505.96"/>
    <n v="229235.16999999998"/>
    <n v="-7086.25"/>
  </r>
  <r>
    <x v="5"/>
    <x v="6"/>
    <x v="0"/>
    <s v="6125107"/>
    <n v="700078"/>
    <s v="Salaries-Service/Support-NonProd-Other"/>
    <s v="Nutrition Services"/>
    <x v="0"/>
    <n v="2000"/>
    <n v="434.39"/>
    <n v="641.75"/>
    <n v="413.26"/>
    <n v="304.39"/>
    <n v="738.88"/>
    <n v="879.79"/>
    <n v="598.58000000000004"/>
    <n v="-381.91"/>
    <n v="190.09"/>
    <n v="317.60000000000002"/>
    <n v="344.25"/>
    <n v="513.12"/>
    <n v="4994.1900000000005"/>
    <n v="-168.87"/>
  </r>
  <r>
    <x v="5"/>
    <x v="6"/>
    <x v="0"/>
    <s v="6125107"/>
    <n v="700084"/>
    <s v="Accrued PTO"/>
    <s v="Nutrition Services"/>
    <x v="0"/>
    <m/>
    <n v="-6157.39"/>
    <n v="-6994.93"/>
    <n v="743.13"/>
    <n v="2570.3200000000002"/>
    <n v="4438.05"/>
    <n v="-4055.76"/>
    <n v="1933.33"/>
    <n v="4941.08"/>
    <n v="5920.82"/>
    <n v="6365.6"/>
    <n v="1520.46"/>
    <n v="-828.41"/>
    <n v="10396.299999999999"/>
    <n v="2348.87"/>
  </r>
  <r>
    <x v="6"/>
    <x v="6"/>
    <x v="0"/>
    <s v="6125107"/>
    <n v="713010"/>
    <s v="Benefits-FICA/Medicare"/>
    <s v="Nutrition Services"/>
    <x v="0"/>
    <m/>
    <n v="15506.13"/>
    <n v="15505.96"/>
    <n v="15297.35"/>
    <n v="15625.82"/>
    <n v="15496.15"/>
    <n v="17694.37"/>
    <n v="16286.2"/>
    <n v="14549.43"/>
    <n v="15947.38"/>
    <n v="15598.6"/>
    <n v="16541.650000000001"/>
    <n v="17263.669999999998"/>
    <n v="191312.70999999996"/>
    <n v="-722.0199999999968"/>
  </r>
  <r>
    <x v="6"/>
    <x v="6"/>
    <x v="0"/>
    <s v="6125107"/>
    <n v="713090"/>
    <s v="Benefits-Allocated Amounts"/>
    <s v="Nutrition Services"/>
    <x v="0"/>
    <m/>
    <n v="60487.360000000001"/>
    <n v="54303.27"/>
    <n v="59494.15"/>
    <n v="59601.15"/>
    <n v="66335.820000000007"/>
    <n v="65526.42"/>
    <n v="63891.82"/>
    <n v="61746.99"/>
    <n v="56685.75"/>
    <n v="67003.399999999994"/>
    <n v="64329.49"/>
    <n v="77803.039999999994"/>
    <n v="757208.66"/>
    <n v="-13473.549999999996"/>
  </r>
  <r>
    <x v="7"/>
    <x v="6"/>
    <x v="0"/>
    <s v="6125107"/>
    <n v="718010"/>
    <s v="Contract Services-Advertising &amp; Public Relations"/>
    <s v="Nutrition Services"/>
    <x v="0"/>
    <m/>
    <n v="0"/>
    <n v="345.2"/>
    <n v="184.21"/>
    <n v="172.6"/>
    <n v="0"/>
    <n v="172.52"/>
    <n v="172.52"/>
    <n v="345.04"/>
    <n v="0"/>
    <n v="338"/>
    <n v="0"/>
    <n v="507"/>
    <n v="2237.09"/>
    <n v="-507"/>
  </r>
  <r>
    <x v="7"/>
    <x v="6"/>
    <x v="0"/>
    <s v="6125107"/>
    <n v="718010"/>
    <s v="Employee Advertising"/>
    <s v="Nutrition Services"/>
    <x v="0"/>
    <n v="1002"/>
    <n v="184.61"/>
    <n v="-8.1199999999999992"/>
    <n v="48.23"/>
    <n v="0"/>
    <n v="0"/>
    <n v="0"/>
    <n v="0"/>
    <n v="79.58"/>
    <n v="0"/>
    <n v="0"/>
    <n v="0"/>
    <n v="189.79"/>
    <n v="494.09000000000003"/>
    <n v="-189.79"/>
  </r>
  <r>
    <x v="7"/>
    <x v="6"/>
    <x v="0"/>
    <s v="6125107"/>
    <n v="718050"/>
    <s v="Contract Svcs-Other"/>
    <s v="Nutrition Services"/>
    <x v="0"/>
    <m/>
    <n v="39.770000000000003"/>
    <n v="0"/>
    <n v="0"/>
    <n v="0"/>
    <n v="0"/>
    <n v="94.36"/>
    <n v="76.27"/>
    <n v="95.09"/>
    <n v="22.95"/>
    <n v="0"/>
    <n v="0"/>
    <n v="0"/>
    <n v="328.44"/>
    <n v="0"/>
  </r>
  <r>
    <x v="7"/>
    <x v="6"/>
    <x v="0"/>
    <s v="6125107"/>
    <n v="718050"/>
    <s v="Cleaning Services"/>
    <s v="Nutrition Services"/>
    <x v="0"/>
    <n v="1011"/>
    <n v="0"/>
    <n v="0"/>
    <n v="3030"/>
    <n v="35"/>
    <n v="0"/>
    <n v="0"/>
    <n v="3033.9"/>
    <n v="0"/>
    <n v="0"/>
    <n v="35"/>
    <n v="0"/>
    <n v="0"/>
    <n v="6133.9"/>
    <n v="0"/>
  </r>
  <r>
    <x v="7"/>
    <x v="6"/>
    <x v="0"/>
    <s v="6125107"/>
    <n v="718050"/>
    <s v="Miscellaneous Purchased Svcs"/>
    <s v="Nutrition Services"/>
    <x v="0"/>
    <n v="1020"/>
    <n v="4218.3"/>
    <n v="0"/>
    <n v="0"/>
    <n v="0"/>
    <n v="0"/>
    <n v="0"/>
    <n v="0"/>
    <n v="1827.75"/>
    <n v="0"/>
    <n v="102"/>
    <n v="5.5"/>
    <n v="124.5"/>
    <n v="6278.05"/>
    <n v="-119"/>
  </r>
  <r>
    <x v="7"/>
    <x v="6"/>
    <x v="0"/>
    <s v="6125107"/>
    <n v="718050"/>
    <s v="Contract Management--Linen"/>
    <s v="Nutrition Services"/>
    <x v="0"/>
    <n v="1026"/>
    <n v="1102.6199999999999"/>
    <n v="2854.65"/>
    <n v="2693.46"/>
    <n v="3585.83"/>
    <n v="2103.0300000000002"/>
    <n v="1496.6"/>
    <n v="3745.34"/>
    <n v="3518.06"/>
    <n v="4241.62"/>
    <n v="706.63"/>
    <n v="3414.86"/>
    <n v="2512.29"/>
    <n v="31974.99"/>
    <n v="902.57000000000016"/>
  </r>
  <r>
    <x v="7"/>
    <x v="6"/>
    <x v="0"/>
    <s v="6125107"/>
    <n v="718050"/>
    <s v="Contract Services-Food&amp;Catering"/>
    <s v="Nutrition Services"/>
    <x v="0"/>
    <n v="1030"/>
    <n v="87831.16"/>
    <n v="40206.18"/>
    <n v="84886.42"/>
    <n v="13006.81"/>
    <n v="47883.57"/>
    <n v="43061.04"/>
    <n v="52700.66"/>
    <n v="69164.429999999993"/>
    <n v="33558.44"/>
    <n v="51602"/>
    <n v="52151.38"/>
    <n v="58562.03"/>
    <n v="634614.12"/>
    <n v="-6410.6500000000015"/>
  </r>
  <r>
    <x v="11"/>
    <x v="6"/>
    <x v="0"/>
    <s v="6125107"/>
    <n v="721250"/>
    <s v="Supplies-Pharmacy Drugs - Billable"/>
    <s v="Nutrition Services"/>
    <x v="0"/>
    <m/>
    <n v="1140.95"/>
    <n v="2629.33"/>
    <n v="8289.4599999999991"/>
    <n v="9098.49"/>
    <n v="2529.8000000000002"/>
    <n v="-3588.99"/>
    <n v="1866.68"/>
    <n v="2950"/>
    <n v="1805.02"/>
    <n v="6281.47"/>
    <n v="-2599.08"/>
    <n v="1802.84"/>
    <n v="32205.96999999999"/>
    <n v="-4401.92"/>
  </r>
  <r>
    <x v="11"/>
    <x v="6"/>
    <x v="0"/>
    <s v="6125107"/>
    <n v="721410"/>
    <s v="Supplies-Medical - Nonbillable"/>
    <s v="Nutrition Services"/>
    <x v="0"/>
    <m/>
    <n v="1985.05"/>
    <n v="2808.85"/>
    <n v="3198.2"/>
    <n v="2286.8200000000002"/>
    <n v="1963.94"/>
    <n v="2825.37"/>
    <n v="1901.44"/>
    <n v="2589.7600000000002"/>
    <n v="2233.4299999999998"/>
    <n v="2897.74"/>
    <n v="1986.35"/>
    <n v="1949.53"/>
    <n v="28626.479999999996"/>
    <n v="36.819999999999936"/>
  </r>
  <r>
    <x v="11"/>
    <x v="6"/>
    <x v="0"/>
    <s v="6125107"/>
    <n v="721650"/>
    <s v="Supplies-Pharmacy Drugs - Nonbillable"/>
    <s v="Nutrition Services"/>
    <x v="0"/>
    <m/>
    <n v="0"/>
    <n v="0"/>
    <n v="389.1"/>
    <n v="0"/>
    <n v="0"/>
    <n v="0"/>
    <n v="0"/>
    <n v="271.7"/>
    <n v="0"/>
    <n v="531.70000000000005"/>
    <n v="-23.4"/>
    <n v="0"/>
    <n v="1169.0999999999999"/>
    <n v="-23.4"/>
  </r>
  <r>
    <x v="11"/>
    <x v="6"/>
    <x v="0"/>
    <s v="6125107"/>
    <n v="721810"/>
    <s v="Supplies-Dietary/Cafeteria"/>
    <s v="Nutrition Services"/>
    <x v="0"/>
    <m/>
    <n v="101760.53"/>
    <n v="172575.16"/>
    <n v="177270.14"/>
    <n v="171042.61"/>
    <n v="134809.17000000001"/>
    <n v="115786.73"/>
    <n v="177178.99"/>
    <n v="177668.01"/>
    <n v="146218.75"/>
    <n v="136610.49"/>
    <n v="116501.65"/>
    <n v="158418.63"/>
    <n v="1785840.8599999999"/>
    <n v="-41916.98000000001"/>
  </r>
  <r>
    <x v="11"/>
    <x v="6"/>
    <x v="0"/>
    <s v="6125107"/>
    <n v="721810"/>
    <s v="Food Products (RESTRICTED)"/>
    <s v="Nutrition Services"/>
    <x v="0"/>
    <n v="5200"/>
    <n v="-43909.82"/>
    <n v="-47775.25"/>
    <n v="-41898.75"/>
    <n v="-61083.05"/>
    <n v="-50007.21"/>
    <n v="-77682.61"/>
    <n v="-49705.86"/>
    <n v="-46704.3"/>
    <n v="-50782.53"/>
    <n v="-47175.89"/>
    <n v="-58218.36"/>
    <n v="-52781.78"/>
    <n v="-627725.41"/>
    <n v="-5436.5800000000017"/>
  </r>
  <r>
    <x v="11"/>
    <x v="6"/>
    <x v="0"/>
    <s v="6125107"/>
    <n v="721830"/>
    <s v="Supplies-Office"/>
    <s v="Nutrition Services"/>
    <x v="0"/>
    <m/>
    <n v="966.56"/>
    <n v="957.11"/>
    <n v="855.52"/>
    <n v="520.97"/>
    <n v="832.57"/>
    <n v="647.39"/>
    <n v="1019.94"/>
    <n v="441.48"/>
    <n v="694.93"/>
    <n v="658.24"/>
    <n v="287.95"/>
    <n v="291.88"/>
    <n v="8174.5399999999991"/>
    <n v="-3.9300000000000068"/>
  </r>
  <r>
    <x v="11"/>
    <x v="6"/>
    <x v="0"/>
    <s v="6125107"/>
    <n v="721835"/>
    <s v="Supplies-Forms"/>
    <s v="Nutrition Services"/>
    <x v="0"/>
    <m/>
    <n v="0"/>
    <n v="0"/>
    <n v="0"/>
    <n v="0"/>
    <n v="75.95"/>
    <n v="150.49"/>
    <n v="0"/>
    <n v="0"/>
    <n v="206.98"/>
    <n v="141.87"/>
    <n v="99.48"/>
    <n v="37.159999999999997"/>
    <n v="711.93"/>
    <n v="62.320000000000007"/>
  </r>
  <r>
    <x v="11"/>
    <x v="6"/>
    <x v="0"/>
    <s v="6125107"/>
    <n v="721870"/>
    <s v="Supplies-Environmental Services"/>
    <s v="Nutrition Services"/>
    <x v="0"/>
    <m/>
    <n v="1238.95"/>
    <n v="2665.86"/>
    <n v="2973.94"/>
    <n v="3180.39"/>
    <n v="1839.44"/>
    <n v="3109.24"/>
    <n v="2429.58"/>
    <n v="2571.48"/>
    <n v="3017.61"/>
    <n v="3232.55"/>
    <n v="2401.4299999999998"/>
    <n v="1919.62"/>
    <n v="30580.09"/>
    <n v="481.80999999999995"/>
  </r>
  <r>
    <x v="11"/>
    <x v="6"/>
    <x v="0"/>
    <s v="6125107"/>
    <n v="721910"/>
    <s v="Supplies-Small Equipment"/>
    <s v="Nutrition Services"/>
    <x v="0"/>
    <m/>
    <n v="1066.9100000000001"/>
    <n v="5525.84"/>
    <n v="5425.31"/>
    <n v="5987.67"/>
    <n v="6669.33"/>
    <n v="3483.41"/>
    <n v="3264.42"/>
    <n v="14285.73"/>
    <n v="6399.2"/>
    <n v="1812.28"/>
    <n v="1368.46"/>
    <n v="3166.88"/>
    <n v="58455.44"/>
    <n v="-1798.42"/>
  </r>
  <r>
    <x v="11"/>
    <x v="6"/>
    <x v="0"/>
    <s v="6125107"/>
    <n v="721980"/>
    <s v="Supplies-Other"/>
    <s v="Nutrition Services"/>
    <x v="0"/>
    <m/>
    <n v="13478.9"/>
    <n v="19422.919999999998"/>
    <n v="23276.14"/>
    <n v="22754.43"/>
    <n v="14141.66"/>
    <n v="18920.72"/>
    <n v="17836.72"/>
    <n v="16487.59"/>
    <n v="18781.59"/>
    <n v="17244.73"/>
    <n v="16694.62"/>
    <n v="15514.23"/>
    <n v="214554.25000000003"/>
    <n v="1180.3899999999994"/>
  </r>
  <r>
    <x v="11"/>
    <x v="6"/>
    <x v="0"/>
    <s v="6125107"/>
    <n v="722000"/>
    <s v="Supplies-Freight Expense"/>
    <s v="Nutrition Services"/>
    <x v="0"/>
    <m/>
    <n v="94.48"/>
    <n v="2.0499999999999998"/>
    <n v="71.22"/>
    <n v="-50.64"/>
    <n v="0"/>
    <n v="0"/>
    <n v="0"/>
    <n v="408.31"/>
    <n v="60.84"/>
    <n v="89.57"/>
    <n v="24.34"/>
    <n v="566"/>
    <n v="1266.17"/>
    <n v="-541.66"/>
  </r>
  <r>
    <x v="11"/>
    <x v="6"/>
    <x v="0"/>
    <s v="6125107"/>
    <n v="723000"/>
    <s v="Supply Rebates/Patronage Dividend"/>
    <s v="Nutrition Services"/>
    <x v="0"/>
    <m/>
    <n v="0"/>
    <n v="0"/>
    <n v="-20643.13"/>
    <n v="0"/>
    <n v="0"/>
    <n v="-22318.37"/>
    <n v="0"/>
    <n v="0"/>
    <n v="-45565.57"/>
    <n v="-3981.45"/>
    <n v="0"/>
    <n v="-25840.94"/>
    <n v="-118349.46"/>
    <n v="25840.94"/>
  </r>
  <r>
    <x v="12"/>
    <x v="6"/>
    <x v="0"/>
    <s v="6125107"/>
    <n v="730020"/>
    <s v="Rental and Leases-Equipment (DO NOT USE)"/>
    <s v="Nutrition Services"/>
    <x v="0"/>
    <m/>
    <n v="2037.7"/>
    <n v="0"/>
    <n v="0"/>
    <n v="0"/>
    <n v="0"/>
    <n v="0"/>
    <n v="0"/>
    <n v="0"/>
    <n v="0"/>
    <n v="0"/>
    <n v="0"/>
    <n v="2114.89"/>
    <n v="4152.59"/>
    <n v="-2114.89"/>
  </r>
  <r>
    <x v="12"/>
    <x v="6"/>
    <x v="0"/>
    <s v="6125107"/>
    <n v="730020"/>
    <s v="Rental and Leases-Copier Usage Fees (DO NOT USE)"/>
    <s v="Nutrition Services"/>
    <x v="0"/>
    <n v="5100"/>
    <n v="1149.83"/>
    <n v="1142.82"/>
    <n v="1146.32"/>
    <n v="1146.32"/>
    <n v="1146.32"/>
    <n v="1146.32"/>
    <n v="1077.21"/>
    <n v="898.99"/>
    <n v="897.1"/>
    <n v="1698.88"/>
    <n v="898.99"/>
    <n v="1050.33"/>
    <n v="13399.43"/>
    <n v="-151.33999999999992"/>
  </r>
  <r>
    <x v="15"/>
    <x v="6"/>
    <x v="0"/>
    <s v="6125107"/>
    <n v="731060"/>
    <s v="Pagers"/>
    <s v="Nutrition Services"/>
    <x v="0"/>
    <n v="1002"/>
    <n v="32.4"/>
    <n v="53.44"/>
    <n v="48.6"/>
    <n v="48.72"/>
    <n v="0"/>
    <n v="48.72"/>
    <n v="97.44"/>
    <n v="48.72"/>
    <n v="48.72"/>
    <n v="48.72"/>
    <n v="48.72"/>
    <n v="48.72"/>
    <n v="572.92000000000007"/>
    <n v="0"/>
  </r>
  <r>
    <x v="15"/>
    <x v="6"/>
    <x v="0"/>
    <s v="6125107"/>
    <n v="731090"/>
    <s v="Other Utilities"/>
    <s v="Nutrition Services"/>
    <x v="0"/>
    <m/>
    <n v="59.5"/>
    <n v="96.24"/>
    <n v="64.55"/>
    <n v="61.92"/>
    <n v="81"/>
    <n v="51.86"/>
    <n v="73"/>
    <n v="74.22"/>
    <n v="40"/>
    <n v="0"/>
    <n v="60.2"/>
    <n v="138.76"/>
    <n v="801.25000000000011"/>
    <n v="-78.559999999999988"/>
  </r>
  <r>
    <x v="16"/>
    <x v="6"/>
    <x v="0"/>
    <s v="6125107"/>
    <n v="732030"/>
    <s v="Repairs---Other"/>
    <s v="Nutrition Services"/>
    <x v="0"/>
    <m/>
    <n v="0"/>
    <n v="8448.0400000000009"/>
    <n v="6859.77"/>
    <n v="3366.47"/>
    <n v="22.19"/>
    <n v="42.3"/>
    <n v="9766.67"/>
    <n v="0"/>
    <n v="2349.2199999999998"/>
    <n v="9948.2099999999991"/>
    <n v="4069.07"/>
    <n v="31080.35"/>
    <n v="75952.290000000008"/>
    <n v="-27011.279999999999"/>
  </r>
  <r>
    <x v="16"/>
    <x v="6"/>
    <x v="0"/>
    <s v="6125107"/>
    <n v="732030"/>
    <s v="Repairs&amp;Maintenance-Bldg Routine"/>
    <s v="Nutrition Services"/>
    <x v="0"/>
    <n v="2300"/>
    <n v="0"/>
    <n v="1095.9000000000001"/>
    <n v="0"/>
    <n v="1934.63"/>
    <n v="0"/>
    <n v="0"/>
    <n v="0"/>
    <n v="0"/>
    <n v="0"/>
    <n v="0"/>
    <n v="0"/>
    <n v="0"/>
    <n v="3030.53"/>
    <n v="0"/>
  </r>
  <r>
    <x v="16"/>
    <x v="6"/>
    <x v="0"/>
    <s v="6125107"/>
    <n v="733030"/>
    <s v="Maintenance Contracts-Other"/>
    <s v="Nutrition Services"/>
    <x v="0"/>
    <m/>
    <n v="2771.21"/>
    <n v="1749.98"/>
    <n v="0"/>
    <n v="5165.91"/>
    <n v="6293.14"/>
    <n v="7536.33"/>
    <n v="35"/>
    <n v="994.03"/>
    <n v="10940.46"/>
    <n v="14799.48"/>
    <n v="5485.8"/>
    <n v="20310.419999999998"/>
    <n v="76081.759999999995"/>
    <n v="-14824.619999999999"/>
  </r>
  <r>
    <x v="16"/>
    <x v="6"/>
    <x v="0"/>
    <s v="6125107"/>
    <n v="733030"/>
    <s v="Maintenance Contracts-Software"/>
    <s v="Nutrition Services"/>
    <x v="0"/>
    <n v="1002"/>
    <n v="109"/>
    <n v="4.5"/>
    <n v="54.5"/>
    <n v="13705"/>
    <n v="-13705"/>
    <n v="0"/>
    <n v="0"/>
    <n v="200"/>
    <n v="0"/>
    <n v="120"/>
    <n v="56"/>
    <n v="190"/>
    <n v="734"/>
    <n v="-134"/>
  </r>
  <r>
    <x v="13"/>
    <x v="6"/>
    <x v="0"/>
    <s v="6125107"/>
    <n v="735070"/>
    <s v="Depreciation-Movable Equipment"/>
    <s v="Nutrition Services"/>
    <x v="0"/>
    <m/>
    <n v="15791.83"/>
    <n v="15161.83"/>
    <n v="15342.47"/>
    <n v="15342.36"/>
    <n v="15342.48"/>
    <n v="15329.26"/>
    <n v="15474.75"/>
    <n v="15474.49"/>
    <n v="15474.83"/>
    <n v="15474.45"/>
    <n v="15474.9"/>
    <n v="15474.41"/>
    <n v="185158.06"/>
    <n v="0.48999999999978172"/>
  </r>
  <r>
    <x v="0"/>
    <x v="6"/>
    <x v="0"/>
    <s v="6125107"/>
    <n v="740010"/>
    <s v="Education-Materials"/>
    <s v="Nutrition Services"/>
    <x v="0"/>
    <m/>
    <n v="36.01"/>
    <n v="0"/>
    <n v="0"/>
    <n v="0"/>
    <n v="0"/>
    <n v="0"/>
    <n v="0"/>
    <n v="24.65"/>
    <n v="0"/>
    <n v="0"/>
    <n v="0"/>
    <n v="0"/>
    <n v="60.66"/>
    <n v="0"/>
  </r>
  <r>
    <x v="0"/>
    <x v="6"/>
    <x v="0"/>
    <s v="6125107"/>
    <n v="740020"/>
    <s v="Education-Registration Fees"/>
    <s v="Nutrition Services"/>
    <x v="0"/>
    <m/>
    <n v="350"/>
    <n v="0"/>
    <n v="0"/>
    <n v="121.4"/>
    <n v="0"/>
    <n v="0"/>
    <n v="0"/>
    <n v="0"/>
    <n v="0"/>
    <n v="0"/>
    <n v="0"/>
    <n v="0"/>
    <n v="471.4"/>
    <n v="0"/>
  </r>
  <r>
    <x v="0"/>
    <x v="6"/>
    <x v="0"/>
    <s v="6125107"/>
    <n v="740030"/>
    <s v="Education-Travel"/>
    <s v="Nutrition Services"/>
    <x v="0"/>
    <m/>
    <n v="768.14"/>
    <n v="0"/>
    <n v="0"/>
    <n v="0"/>
    <n v="0"/>
    <n v="0"/>
    <n v="0"/>
    <n v="4150"/>
    <n v="0"/>
    <n v="0"/>
    <n v="0"/>
    <n v="0"/>
    <n v="4918.1400000000003"/>
    <n v="0"/>
  </r>
  <r>
    <x v="0"/>
    <x v="6"/>
    <x v="0"/>
    <s v="6125107"/>
    <n v="742010"/>
    <s v="Postage-Regular"/>
    <s v="Nutrition Services"/>
    <x v="0"/>
    <m/>
    <n v="0"/>
    <n v="0"/>
    <n v="0"/>
    <n v="66.989999999999995"/>
    <n v="0"/>
    <n v="0"/>
    <n v="0"/>
    <n v="0"/>
    <n v="0"/>
    <n v="0"/>
    <n v="0"/>
    <n v="0"/>
    <n v="66.989999999999995"/>
    <n v="0"/>
  </r>
  <r>
    <x v="0"/>
    <x v="6"/>
    <x v="0"/>
    <s v="6125107"/>
    <n v="742040"/>
    <s v="Freight-Other"/>
    <s v="Nutrition Services"/>
    <x v="0"/>
    <m/>
    <n v="0"/>
    <n v="0"/>
    <n v="0"/>
    <n v="24.31"/>
    <n v="0"/>
    <n v="0"/>
    <n v="0"/>
    <n v="0"/>
    <n v="0"/>
    <n v="0"/>
    <n v="0"/>
    <n v="18.46"/>
    <n v="42.769999999999996"/>
    <n v="-18.46"/>
  </r>
  <r>
    <x v="0"/>
    <x v="6"/>
    <x v="0"/>
    <s v="6125107"/>
    <n v="743030"/>
    <s v="Subscriptions--Institutional"/>
    <s v="Nutrition Services"/>
    <x v="0"/>
    <m/>
    <n v="945.58"/>
    <n v="0"/>
    <n v="0"/>
    <n v="0"/>
    <n v="0"/>
    <n v="117.51"/>
    <n v="0"/>
    <n v="36"/>
    <n v="0"/>
    <n v="0"/>
    <n v="138.63999999999999"/>
    <n v="0"/>
    <n v="1237.73"/>
    <n v="138.63999999999999"/>
  </r>
  <r>
    <x v="0"/>
    <x v="6"/>
    <x v="0"/>
    <s v="6125107"/>
    <n v="749510"/>
    <s v="Miscellaneous Expenses"/>
    <s v="Nutrition Services"/>
    <x v="0"/>
    <m/>
    <n v="28.25"/>
    <n v="74.36"/>
    <n v="329.08"/>
    <n v="0"/>
    <n v="2671.89"/>
    <n v="9.27"/>
    <n v="-5.4"/>
    <n v="1114.55"/>
    <n v="-9.27"/>
    <n v="-2204.02"/>
    <n v="0"/>
    <n v="10517.44"/>
    <n v="12526.15"/>
    <n v="-10517.44"/>
  </r>
  <r>
    <x v="0"/>
    <x v="6"/>
    <x v="0"/>
    <s v="6125107"/>
    <n v="749510"/>
    <s v="Licenses"/>
    <s v="Nutrition Services"/>
    <x v="0"/>
    <n v="1002"/>
    <n v="39"/>
    <n v="9740.7900000000009"/>
    <n v="0"/>
    <n v="0"/>
    <n v="0"/>
    <n v="0"/>
    <n v="0"/>
    <n v="0"/>
    <n v="0"/>
    <n v="77.95"/>
    <n v="23.33"/>
    <n v="1155"/>
    <n v="11036.070000000002"/>
    <n v="-1131.67"/>
  </r>
  <r>
    <x v="0"/>
    <x v="6"/>
    <x v="0"/>
    <s v="6125107"/>
    <n v="749510"/>
    <s v="Miscellaneous Employee Expense"/>
    <s v="Nutrition Services"/>
    <x v="0"/>
    <n v="1010"/>
    <n v="0"/>
    <n v="0"/>
    <n v="93.74"/>
    <n v="0"/>
    <n v="0"/>
    <n v="0"/>
    <n v="0"/>
    <n v="874.98"/>
    <n v="0"/>
    <n v="41.87"/>
    <n v="77.39"/>
    <n v="77.91"/>
    <n v="1165.8900000000001"/>
    <n v="-0.51999999999999602"/>
  </r>
  <r>
    <x v="0"/>
    <x v="6"/>
    <x v="0"/>
    <s v="6125107"/>
    <n v="749510"/>
    <s v="Uniforms"/>
    <s v="Nutrition Services"/>
    <x v="0"/>
    <n v="1028"/>
    <n v="208.74"/>
    <n v="311.83"/>
    <n v="518.94000000000005"/>
    <n v="1693.2"/>
    <n v="303.39999999999998"/>
    <n v="732.34"/>
    <n v="65.42"/>
    <n v="1103.7"/>
    <n v="492"/>
    <n v="0"/>
    <n v="312.12"/>
    <n v="465.17"/>
    <n v="6206.8600000000006"/>
    <n v="-153.05000000000001"/>
  </r>
  <r>
    <x v="0"/>
    <x v="6"/>
    <x v="0"/>
    <s v="6125107"/>
    <n v="749510"/>
    <s v="Special Events"/>
    <s v="Nutrition Services"/>
    <x v="0"/>
    <n v="4300"/>
    <n v="885.13"/>
    <n v="0"/>
    <n v="397.85"/>
    <n v="0"/>
    <n v="0"/>
    <n v="0"/>
    <n v="2250.04"/>
    <n v="0"/>
    <n v="246.18"/>
    <n v="0"/>
    <n v="1085.04"/>
    <n v="0"/>
    <n v="4864.24"/>
    <n v="1085.04"/>
  </r>
  <r>
    <x v="0"/>
    <x v="6"/>
    <x v="0"/>
    <s v="6125107"/>
    <n v="749510"/>
    <s v="RICE Rewards"/>
    <s v="Nutrition Services"/>
    <x v="0"/>
    <n v="5100"/>
    <n v="0"/>
    <n v="0"/>
    <n v="0"/>
    <n v="0"/>
    <n v="0"/>
    <n v="0"/>
    <n v="0"/>
    <n v="0"/>
    <n v="0"/>
    <n v="2671.89"/>
    <n v="0"/>
    <n v="0"/>
    <n v="2671.89"/>
    <n v="0"/>
  </r>
  <r>
    <x v="0"/>
    <x v="6"/>
    <x v="0"/>
    <s v="6125107"/>
    <n v="749530"/>
    <s v="Travel"/>
    <s v="Nutrition Services"/>
    <x v="0"/>
    <m/>
    <n v="225.13"/>
    <n v="10"/>
    <n v="5"/>
    <n v="2.5"/>
    <n v="0"/>
    <n v="0"/>
    <n v="0"/>
    <n v="249.53"/>
    <n v="7.5"/>
    <n v="5"/>
    <n v="72.78"/>
    <n v="6.58"/>
    <n v="584.02"/>
    <n v="66.2"/>
  </r>
  <r>
    <x v="0"/>
    <x v="6"/>
    <x v="0"/>
    <s v="6125107"/>
    <n v="749530"/>
    <s v="Mileage"/>
    <s v="Nutrition Services"/>
    <x v="0"/>
    <n v="1001"/>
    <n v="388.37"/>
    <n v="41.09"/>
    <n v="21.15"/>
    <n v="20.76"/>
    <n v="0"/>
    <n v="0"/>
    <n v="0"/>
    <n v="100.63"/>
    <n v="27.2"/>
    <n v="0"/>
    <n v="64.61"/>
    <n v="239.1"/>
    <n v="902.91000000000008"/>
    <n v="-174.49"/>
  </r>
  <r>
    <x v="0"/>
    <x v="6"/>
    <x v="0"/>
    <s v="6125107"/>
    <n v="749535"/>
    <s v="Medicare Non-Allowable Beverages"/>
    <s v="Nutrition Services"/>
    <x v="0"/>
    <n v="1005"/>
    <n v="0"/>
    <n v="0"/>
    <n v="0"/>
    <n v="0"/>
    <n v="0"/>
    <n v="0"/>
    <n v="0"/>
    <n v="498.34"/>
    <n v="0"/>
    <n v="654.16"/>
    <n v="84.99"/>
    <n v="0"/>
    <n v="1237.49"/>
    <n v="84.99"/>
  </r>
  <r>
    <x v="0"/>
    <x v="6"/>
    <x v="0"/>
    <s v="6125107"/>
    <n v="749550"/>
    <s v="Cash Over/Short"/>
    <s v="Nutrition Services"/>
    <x v="0"/>
    <m/>
    <n v="32.229999999999997"/>
    <n v="93.44"/>
    <n v="259.67"/>
    <n v="111.58"/>
    <n v="40.49"/>
    <n v="275.7"/>
    <n v="157.26"/>
    <n v="58.1"/>
    <n v="651.41"/>
    <n v="13.59"/>
    <n v="216.06"/>
    <n v="-63.58"/>
    <n v="1845.9499999999996"/>
    <n v="279.64"/>
  </r>
  <r>
    <x v="14"/>
    <x v="7"/>
    <x v="0"/>
    <s v="6125150"/>
    <n v="600034"/>
    <s v="Cafeteria Revenue"/>
    <s v="Dietary"/>
    <x v="0"/>
    <m/>
    <n v="-28045.19"/>
    <n v="-29864.92"/>
    <n v="-26362.36"/>
    <n v="-27891.51"/>
    <n v="-28151.4"/>
    <n v="-25745.24"/>
    <n v="-29897.68"/>
    <n v="-24634.25"/>
    <n v="-28636.560000000001"/>
    <n v="-29413.74"/>
    <n v="-30874.12"/>
    <n v="-25542.89"/>
    <n v="-335059.86"/>
    <n v="-5331.23"/>
  </r>
  <r>
    <x v="14"/>
    <x v="7"/>
    <x v="0"/>
    <s v="6125150"/>
    <n v="600034"/>
    <s v="Vending Commission"/>
    <s v="Dietary"/>
    <x v="0"/>
    <n v="1002"/>
    <n v="-26.47"/>
    <n v="-424.41"/>
    <n v="0"/>
    <n v="-5"/>
    <n v="0"/>
    <n v="-382.74"/>
    <n v="0"/>
    <n v="-2789.77"/>
    <n v="762.64"/>
    <n v="0"/>
    <n v="0"/>
    <n v="0"/>
    <n v="-2865.75"/>
    <n v="0"/>
  </r>
  <r>
    <x v="14"/>
    <x v="7"/>
    <x v="0"/>
    <s v="6125150"/>
    <n v="600034"/>
    <s v="Catering Revenue"/>
    <s v="Dietary"/>
    <x v="0"/>
    <n v="5101"/>
    <n v="-1435.21"/>
    <n v="-2402.83"/>
    <n v="-2277.9"/>
    <n v="-5217.08"/>
    <n v="-1420.93"/>
    <n v="-4422.25"/>
    <n v="-1974.26"/>
    <n v="-1742.88"/>
    <n v="-1609.54"/>
    <n v="-4236.57"/>
    <n v="-1717.3"/>
    <n v="-1753.48"/>
    <n v="-30210.23"/>
    <n v="36.180000000000064"/>
  </r>
  <r>
    <x v="5"/>
    <x v="7"/>
    <x v="0"/>
    <s v="6125150"/>
    <n v="700038"/>
    <s v="Salaries-Service/Support-Productive"/>
    <s v="Dietary"/>
    <x v="0"/>
    <m/>
    <n v="32134.07"/>
    <n v="30685.25"/>
    <n v="31820.93"/>
    <n v="30879.64"/>
    <n v="27754.98"/>
    <n v="32083.279999999999"/>
    <n v="32200.49"/>
    <n v="30930.49"/>
    <n v="35396.53"/>
    <n v="34045.42"/>
    <n v="34472.31"/>
    <n v="32081.01"/>
    <n v="384484.39999999997"/>
    <n v="2391.2999999999993"/>
  </r>
  <r>
    <x v="5"/>
    <x v="7"/>
    <x v="0"/>
    <s v="6125150"/>
    <n v="700038"/>
    <s v="Salaries-Service/Support-OT"/>
    <s v="Dietary"/>
    <x v="0"/>
    <n v="1000"/>
    <n v="2401.91"/>
    <n v="1893.19"/>
    <n v="2365.7199999999998"/>
    <n v="1349.9"/>
    <n v="1564.43"/>
    <n v="1501.79"/>
    <n v="627.08000000000004"/>
    <n v="1156.72"/>
    <n v="452.26"/>
    <n v="1363.42"/>
    <n v="2217.35"/>
    <n v="363.9"/>
    <n v="17257.669999999998"/>
    <n v="1853.4499999999998"/>
  </r>
  <r>
    <x v="5"/>
    <x v="7"/>
    <x v="0"/>
    <s v="6125150"/>
    <n v="700038"/>
    <s v="Salaries-Service/Support-Other"/>
    <s v="Dietary"/>
    <x v="0"/>
    <n v="2000"/>
    <n v="3221.48"/>
    <n v="2731.27"/>
    <n v="2483.11"/>
    <n v="2709.36"/>
    <n v="2795.17"/>
    <n v="3637.68"/>
    <n v="3531.73"/>
    <n v="2735.26"/>
    <n v="3279.3"/>
    <n v="3046.18"/>
    <n v="3160.98"/>
    <n v="2052"/>
    <n v="35383.519999999997"/>
    <n v="1108.98"/>
  </r>
  <r>
    <x v="5"/>
    <x v="7"/>
    <x v="0"/>
    <s v="6125150"/>
    <n v="700054"/>
    <s v="Salaries-Management-NonProd-Other"/>
    <s v="Dietary"/>
    <x v="0"/>
    <n v="2000"/>
    <n v="0"/>
    <n v="0"/>
    <n v="0"/>
    <n v="0"/>
    <n v="0"/>
    <n v="1402.21"/>
    <n v="-1402.21"/>
    <n v="0"/>
    <n v="0"/>
    <n v="0"/>
    <n v="0"/>
    <n v="0"/>
    <n v="0"/>
    <n v="0"/>
  </r>
  <r>
    <x v="5"/>
    <x v="7"/>
    <x v="0"/>
    <s v="6125150"/>
    <n v="700078"/>
    <s v="Salaries-Service/Support-Non-productive"/>
    <s v="Dietary"/>
    <x v="0"/>
    <m/>
    <n v="4426.2"/>
    <n v="5469.9"/>
    <n v="597.94000000000005"/>
    <n v="3235.87"/>
    <n v="4543.78"/>
    <n v="459.61"/>
    <n v="2758.34"/>
    <n v="2026.17"/>
    <n v="3019.67"/>
    <n v="2829.98"/>
    <n v="1967.9"/>
    <n v="2721.32"/>
    <n v="34056.68"/>
    <n v="-753.42000000000007"/>
  </r>
  <r>
    <x v="5"/>
    <x v="7"/>
    <x v="0"/>
    <s v="6125150"/>
    <n v="700078"/>
    <s v="Salaries-Service/Support-NonProd-Other"/>
    <s v="Dietary"/>
    <x v="0"/>
    <n v="2000"/>
    <n v="90.39"/>
    <n v="124.78"/>
    <n v="41.62"/>
    <n v="5.66"/>
    <n v="47.31"/>
    <n v="41.76"/>
    <n v="74.489999999999995"/>
    <n v="32.17"/>
    <n v="62.69"/>
    <n v="35.64"/>
    <n v="47.98"/>
    <n v="60.19"/>
    <n v="664.68000000000006"/>
    <n v="-12.21"/>
  </r>
  <r>
    <x v="5"/>
    <x v="7"/>
    <x v="0"/>
    <s v="6125150"/>
    <n v="700084"/>
    <s v="Accrued PTO"/>
    <s v="Dietary"/>
    <x v="0"/>
    <m/>
    <n v="258.88"/>
    <n v="-1464.78"/>
    <n v="1080.6099999999999"/>
    <n v="501.31"/>
    <n v="-739.29"/>
    <n v="2310.71"/>
    <n v="555.66999999999996"/>
    <n v="703.69"/>
    <n v="316.35000000000002"/>
    <n v="40.14"/>
    <n v="647.79"/>
    <n v="773.24"/>
    <n v="4984.32"/>
    <n v="-125.45000000000005"/>
  </r>
  <r>
    <x v="6"/>
    <x v="7"/>
    <x v="0"/>
    <s v="6125150"/>
    <n v="713010"/>
    <s v="Benefits-FICA/Medicare"/>
    <s v="Dietary"/>
    <x v="0"/>
    <m/>
    <n v="3123.09"/>
    <n v="3017.63"/>
    <n v="2747.82"/>
    <n v="3111.25"/>
    <n v="2621.71"/>
    <n v="2946.63"/>
    <n v="3003.14"/>
    <n v="2710.91"/>
    <n v="3117.02"/>
    <n v="3052.29"/>
    <n v="3068.25"/>
    <n v="2714.17"/>
    <n v="35233.910000000003"/>
    <n v="354.07999999999993"/>
  </r>
  <r>
    <x v="6"/>
    <x v="7"/>
    <x v="0"/>
    <s v="6125150"/>
    <n v="713090"/>
    <s v="Benefits-Allocated Amounts"/>
    <s v="Dietary"/>
    <x v="0"/>
    <m/>
    <n v="14923.17"/>
    <n v="12478.59"/>
    <n v="13151.87"/>
    <n v="13674.13"/>
    <n v="12782.05"/>
    <n v="12232.56"/>
    <n v="13915.7"/>
    <n v="12018.78"/>
    <n v="13374.21"/>
    <n v="14914.76"/>
    <n v="14255.27"/>
    <n v="14161.23"/>
    <n v="161882.32"/>
    <n v="94.040000000000873"/>
  </r>
  <r>
    <x v="7"/>
    <x v="7"/>
    <x v="0"/>
    <s v="6125150"/>
    <n v="718010"/>
    <s v="Employee Advertising"/>
    <s v="Dietary"/>
    <x v="0"/>
    <n v="1002"/>
    <n v="0"/>
    <n v="0"/>
    <n v="0"/>
    <n v="0"/>
    <n v="0"/>
    <n v="0"/>
    <n v="0"/>
    <n v="0"/>
    <n v="0"/>
    <n v="239.22"/>
    <n v="0"/>
    <n v="0"/>
    <n v="239.22"/>
    <n v="0"/>
  </r>
  <r>
    <x v="7"/>
    <x v="7"/>
    <x v="0"/>
    <s v="6125150"/>
    <n v="718050"/>
    <s v="Miscellaneous Purchased Svcs"/>
    <s v="Dietary"/>
    <x v="0"/>
    <n v="1020"/>
    <n v="74.97"/>
    <n v="77.28"/>
    <n v="0"/>
    <n v="69.23"/>
    <n v="0"/>
    <n v="68.739999999999995"/>
    <n v="137.76"/>
    <n v="456.54"/>
    <n v="77.42"/>
    <n v="145.32"/>
    <n v="811.73"/>
    <n v="0"/>
    <n v="1918.99"/>
    <n v="811.73"/>
  </r>
  <r>
    <x v="7"/>
    <x v="7"/>
    <x v="0"/>
    <s v="6125150"/>
    <n v="718050"/>
    <s v="Contract Management--Linen"/>
    <s v="Dietary"/>
    <x v="0"/>
    <n v="1026"/>
    <n v="402.54"/>
    <n v="371.69"/>
    <n v="471.84"/>
    <n v="827.8"/>
    <n v="184.15"/>
    <n v="652.04"/>
    <n v="179.02"/>
    <n v="716.35"/>
    <n v="201.59"/>
    <n v="89.43"/>
    <n v="0"/>
    <n v="56.03"/>
    <n v="4152.4799999999996"/>
    <n v="-56.03"/>
  </r>
  <r>
    <x v="7"/>
    <x v="7"/>
    <x v="0"/>
    <s v="6125150"/>
    <n v="718050"/>
    <s v="Contract Services-Food&amp;Catering"/>
    <s v="Dietary"/>
    <x v="0"/>
    <n v="1030"/>
    <n v="17616.02"/>
    <n v="17616.02"/>
    <n v="17735.7"/>
    <n v="17370.8"/>
    <n v="19578.150000000001"/>
    <n v="17346.25"/>
    <n v="18357.009999999998"/>
    <n v="19123.02"/>
    <n v="18219.05"/>
    <n v="18181.509999999998"/>
    <n v="18181.509999999998"/>
    <n v="19802.919999999998"/>
    <n v="219127.96000000002"/>
    <n v="-1621.4099999999999"/>
  </r>
  <r>
    <x v="7"/>
    <x v="7"/>
    <x v="0"/>
    <s v="6125150"/>
    <n v="718091"/>
    <s v="Contract Services-Intracompany Allocation"/>
    <s v="Dietary"/>
    <x v="0"/>
    <m/>
    <n v="5948.61"/>
    <n v="5858.42"/>
    <n v="6084.6"/>
    <n v="6208.66"/>
    <n v="5987.13"/>
    <n v="6385.25"/>
    <n v="6396.83"/>
    <n v="6025.32"/>
    <n v="6640.47"/>
    <n v="6116.36"/>
    <n v="6169.88"/>
    <n v="6445.7"/>
    <n v="74267.23"/>
    <n v="-275.81999999999971"/>
  </r>
  <r>
    <x v="11"/>
    <x v="7"/>
    <x v="0"/>
    <s v="6125150"/>
    <n v="721250"/>
    <s v="Supplies-Pharmacy Drugs - Billable"/>
    <s v="Dietary"/>
    <x v="0"/>
    <m/>
    <n v="0"/>
    <n v="27.21"/>
    <n v="36.46"/>
    <n v="45.91"/>
    <n v="21.18"/>
    <n v="23.12"/>
    <n v="30.72"/>
    <n v="29.04"/>
    <n v="42.25"/>
    <n v="36.630000000000003"/>
    <n v="56.19"/>
    <n v="0"/>
    <n v="348.71"/>
    <n v="56.19"/>
  </r>
  <r>
    <x v="11"/>
    <x v="7"/>
    <x v="0"/>
    <s v="6125150"/>
    <n v="721410"/>
    <s v="Supplies-Medical - Nonbillable"/>
    <s v="Dietary"/>
    <x v="0"/>
    <m/>
    <n v="471.75"/>
    <n v="334.37"/>
    <n v="395.78"/>
    <n v="473.14"/>
    <n v="292.67"/>
    <n v="313.52"/>
    <n v="510.02"/>
    <n v="264.87"/>
    <n v="305.8"/>
    <n v="391.4"/>
    <n v="367.37"/>
    <n v="375.89"/>
    <n v="4496.5800000000008"/>
    <n v="-8.5199999999999818"/>
  </r>
  <r>
    <x v="11"/>
    <x v="7"/>
    <x v="0"/>
    <s v="6125150"/>
    <n v="721650"/>
    <s v="Supplies-Pharmacy Drugs - Nonbillable"/>
    <s v="Dietary"/>
    <x v="0"/>
    <m/>
    <n v="0"/>
    <n v="0"/>
    <n v="0"/>
    <n v="139.69"/>
    <n v="0"/>
    <n v="0"/>
    <n v="0"/>
    <n v="0"/>
    <n v="0"/>
    <n v="0"/>
    <n v="0"/>
    <n v="0"/>
    <n v="139.69"/>
    <n v="0"/>
  </r>
  <r>
    <x v="11"/>
    <x v="7"/>
    <x v="0"/>
    <s v="6125150"/>
    <n v="721810"/>
    <s v="Supplies-Dietary/Cafeteria"/>
    <s v="Dietary"/>
    <x v="0"/>
    <m/>
    <n v="29529.919999999998"/>
    <n v="29813.74"/>
    <n v="30279.06"/>
    <n v="31230.38"/>
    <n v="26081.37"/>
    <n v="34154.92"/>
    <n v="31296.12"/>
    <n v="32411.63"/>
    <n v="26656.87"/>
    <n v="24495.759999999998"/>
    <n v="25789.83"/>
    <n v="37617.69"/>
    <n v="359357.29000000004"/>
    <n v="-11827.86"/>
  </r>
  <r>
    <x v="11"/>
    <x v="7"/>
    <x v="0"/>
    <s v="6125150"/>
    <n v="721810"/>
    <s v="Food Products (RESTRICTED)"/>
    <s v="Dietary"/>
    <x v="0"/>
    <n v="5200"/>
    <n v="-10003.26"/>
    <n v="-14102.23"/>
    <n v="-11135.38"/>
    <n v="-15346.56"/>
    <n v="-11325.85"/>
    <n v="-12034.35"/>
    <n v="-10460.65"/>
    <n v="-9631.1299999999992"/>
    <n v="-13930.82"/>
    <n v="-4714.8999999999996"/>
    <n v="-10251.299999999999"/>
    <n v="-9657.1"/>
    <n v="-132593.52999999997"/>
    <n v="-594.19999999999891"/>
  </r>
  <r>
    <x v="11"/>
    <x v="7"/>
    <x v="0"/>
    <s v="6125150"/>
    <n v="721830"/>
    <s v="Supplies-Office"/>
    <s v="Dietary"/>
    <x v="0"/>
    <m/>
    <n v="64.64"/>
    <n v="1267.0999999999999"/>
    <n v="0"/>
    <n v="0"/>
    <n v="704.6"/>
    <n v="54.67"/>
    <n v="0"/>
    <n v="848.72"/>
    <n v="45.3"/>
    <n v="107.23"/>
    <n v="68.73"/>
    <n v="0"/>
    <n v="3160.9900000000007"/>
    <n v="68.73"/>
  </r>
  <r>
    <x v="11"/>
    <x v="7"/>
    <x v="0"/>
    <s v="6125150"/>
    <n v="721835"/>
    <s v="Supplies-Forms"/>
    <s v="Dietary"/>
    <x v="0"/>
    <m/>
    <n v="0"/>
    <n v="0"/>
    <n v="0"/>
    <n v="0"/>
    <n v="0"/>
    <n v="0"/>
    <n v="4.7300000000000004"/>
    <n v="0"/>
    <n v="9.64"/>
    <n v="0"/>
    <n v="0"/>
    <n v="0"/>
    <n v="14.370000000000001"/>
    <n v="0"/>
  </r>
  <r>
    <x v="11"/>
    <x v="7"/>
    <x v="0"/>
    <s v="6125150"/>
    <n v="721870"/>
    <s v="Supplies-Environmental Services"/>
    <s v="Dietary"/>
    <x v="0"/>
    <m/>
    <n v="699.51"/>
    <n v="721.74"/>
    <n v="643.86"/>
    <n v="669.68"/>
    <n v="402.79"/>
    <n v="977.15"/>
    <n v="931.07"/>
    <n v="485.07"/>
    <n v="738.73"/>
    <n v="867.31"/>
    <n v="983.8"/>
    <n v="769.71"/>
    <n v="8890.4199999999983"/>
    <n v="214.08999999999992"/>
  </r>
  <r>
    <x v="11"/>
    <x v="7"/>
    <x v="0"/>
    <s v="6125150"/>
    <n v="721910"/>
    <s v="Supplies-Small Equipment"/>
    <s v="Dietary"/>
    <x v="0"/>
    <m/>
    <n v="433.84"/>
    <n v="1852.13"/>
    <n v="659.64"/>
    <n v="56.85"/>
    <n v="420.34"/>
    <n v="1335.95"/>
    <n v="322.27"/>
    <n v="324.10000000000002"/>
    <n v="455.12"/>
    <n v="548.44000000000005"/>
    <n v="132.97999999999999"/>
    <n v="352.12"/>
    <n v="6893.78"/>
    <n v="-219.14000000000001"/>
  </r>
  <r>
    <x v="11"/>
    <x v="7"/>
    <x v="0"/>
    <s v="6125150"/>
    <n v="721980"/>
    <s v="Supplies-Other"/>
    <s v="Dietary"/>
    <x v="0"/>
    <m/>
    <n v="4027.66"/>
    <n v="3891.75"/>
    <n v="4198.1499999999996"/>
    <n v="4174.55"/>
    <n v="2639.32"/>
    <n v="4281.05"/>
    <n v="4580.29"/>
    <n v="3309.08"/>
    <n v="3503.03"/>
    <n v="4853.7299999999996"/>
    <n v="4339.8500000000004"/>
    <n v="3905.68"/>
    <n v="47704.14"/>
    <n v="434.17000000000053"/>
  </r>
  <r>
    <x v="11"/>
    <x v="7"/>
    <x v="0"/>
    <s v="6125150"/>
    <n v="722000"/>
    <s v="Supplies-Freight Expense"/>
    <s v="Dietary"/>
    <x v="0"/>
    <m/>
    <n v="44"/>
    <n v="152.33000000000001"/>
    <n v="57.78"/>
    <n v="70.900000000000006"/>
    <n v="220.05"/>
    <n v="100.17"/>
    <n v="121.47"/>
    <n v="108.43"/>
    <n v="10.66"/>
    <n v="85.51"/>
    <n v="37.520000000000003"/>
    <n v="37.67"/>
    <n v="1046.4899999999998"/>
    <n v="-0.14999999999999858"/>
  </r>
  <r>
    <x v="11"/>
    <x v="7"/>
    <x v="0"/>
    <s v="6125150"/>
    <n v="723000"/>
    <s v="Supply Rebates/Patronage Dividend"/>
    <s v="Dietary"/>
    <x v="0"/>
    <m/>
    <n v="0"/>
    <n v="0"/>
    <n v="-3809.29"/>
    <n v="0"/>
    <n v="0"/>
    <n v="-4175.3599999999997"/>
    <n v="0"/>
    <n v="0"/>
    <n v="-7216.31"/>
    <n v="-339.88"/>
    <n v="0"/>
    <n v="-4609.5600000000004"/>
    <n v="-20150.399999999998"/>
    <n v="4609.5600000000004"/>
  </r>
  <r>
    <x v="12"/>
    <x v="7"/>
    <x v="0"/>
    <s v="6125150"/>
    <n v="730020"/>
    <s v="Rental and Leases-Equipment (DO NOT USE)"/>
    <s v="Dietary"/>
    <x v="0"/>
    <m/>
    <n v="178.9"/>
    <n v="178.9"/>
    <n v="178.9"/>
    <n v="178.9"/>
    <n v="178.9"/>
    <n v="178.9"/>
    <n v="357.8"/>
    <n v="0"/>
    <n v="178.9"/>
    <n v="178.9"/>
    <n v="178.9"/>
    <n v="178.9"/>
    <n v="2146.8000000000002"/>
    <n v="0"/>
  </r>
  <r>
    <x v="12"/>
    <x v="7"/>
    <x v="0"/>
    <s v="6125150"/>
    <n v="730020"/>
    <s v="Rental and Leases-Copier Usage Fees (DO NOT USE)"/>
    <s v="Dietary"/>
    <x v="0"/>
    <n v="5100"/>
    <n v="118.91"/>
    <n v="118.81"/>
    <n v="118.86"/>
    <n v="118.86"/>
    <n v="118.86"/>
    <n v="118.86"/>
    <n v="71.959999999999994"/>
    <n v="88.59"/>
    <n v="88.4"/>
    <n v="203.19"/>
    <n v="88.59"/>
    <n v="96.8"/>
    <n v="1350.6899999999998"/>
    <n v="-8.2099999999999937"/>
  </r>
  <r>
    <x v="15"/>
    <x v="7"/>
    <x v="0"/>
    <s v="6125150"/>
    <n v="731090"/>
    <s v="Other Utilities"/>
    <s v="Dietary"/>
    <x v="0"/>
    <m/>
    <n v="71.64"/>
    <n v="99.91"/>
    <n v="0"/>
    <n v="92.63"/>
    <n v="0"/>
    <n v="0"/>
    <n v="0"/>
    <n v="20.23"/>
    <n v="0"/>
    <n v="0"/>
    <n v="0"/>
    <n v="76.7"/>
    <n v="361.11"/>
    <n v="-76.7"/>
  </r>
  <r>
    <x v="16"/>
    <x v="7"/>
    <x v="0"/>
    <s v="6125150"/>
    <n v="732030"/>
    <s v="Repairs---Other"/>
    <s v="Dietary"/>
    <x v="0"/>
    <m/>
    <n v="0"/>
    <n v="978.97"/>
    <n v="0"/>
    <n v="89.38"/>
    <n v="7.78"/>
    <n v="119.16"/>
    <n v="3397.53"/>
    <n v="0"/>
    <n v="554.11"/>
    <n v="1055.27"/>
    <n v="0"/>
    <n v="768.59"/>
    <n v="6970.7899999999991"/>
    <n v="-768.59"/>
  </r>
  <r>
    <x v="16"/>
    <x v="7"/>
    <x v="0"/>
    <s v="6125150"/>
    <n v="733030"/>
    <s v="Maintenance Contracts-Other"/>
    <s v="Dietary"/>
    <x v="0"/>
    <m/>
    <n v="42.94"/>
    <n v="798.62"/>
    <n v="253.34"/>
    <n v="163.86"/>
    <n v="174.73"/>
    <n v="1653.78"/>
    <n v="185.6"/>
    <n v="2673.87"/>
    <n v="174.73"/>
    <n v="174.73"/>
    <n v="0"/>
    <n v="1584.36"/>
    <n v="7880.5599999999986"/>
    <n v="-1584.36"/>
  </r>
  <r>
    <x v="16"/>
    <x v="7"/>
    <x v="0"/>
    <s v="6125150"/>
    <n v="733030"/>
    <s v="Maintenance Contracts-Software"/>
    <s v="Dietary"/>
    <x v="0"/>
    <n v="1002"/>
    <n v="21.74"/>
    <n v="1.74"/>
    <n v="21.74"/>
    <n v="21.74"/>
    <n v="0"/>
    <n v="0"/>
    <n v="0"/>
    <n v="40"/>
    <n v="0"/>
    <n v="80"/>
    <n v="20"/>
    <n v="60"/>
    <n v="266.95999999999998"/>
    <n v="-40"/>
  </r>
  <r>
    <x v="13"/>
    <x v="7"/>
    <x v="0"/>
    <s v="6125150"/>
    <n v="735040"/>
    <s v="Depreciation-Building Improvements"/>
    <s v="Dietary"/>
    <x v="0"/>
    <m/>
    <n v="122.95"/>
    <n v="122.95"/>
    <n v="122.95"/>
    <n v="122.95"/>
    <n v="122.96"/>
    <n v="122.95"/>
    <n v="122.96"/>
    <n v="122.95"/>
    <n v="122.96"/>
    <n v="122.95"/>
    <n v="122.96"/>
    <n v="122.95"/>
    <n v="1475.4400000000003"/>
    <n v="9.9999999999909051E-3"/>
  </r>
  <r>
    <x v="13"/>
    <x v="7"/>
    <x v="0"/>
    <s v="6125150"/>
    <n v="735060"/>
    <s v="Depreciation-Fixed Equipment"/>
    <s v="Dietary"/>
    <x v="0"/>
    <m/>
    <n v="18.2"/>
    <n v="18.2"/>
    <n v="18.21"/>
    <n v="18.2"/>
    <n v="18.21"/>
    <n v="18.2"/>
    <n v="18.21"/>
    <n v="18.2"/>
    <n v="18.21"/>
    <n v="18.2"/>
    <n v="18.21"/>
    <n v="18.2"/>
    <n v="218.45"/>
    <n v="1.0000000000001563E-2"/>
  </r>
  <r>
    <x v="13"/>
    <x v="7"/>
    <x v="0"/>
    <s v="6125150"/>
    <n v="735070"/>
    <s v="Depreciation-Movable Equipment"/>
    <s v="Dietary"/>
    <x v="0"/>
    <m/>
    <n v="3217.98"/>
    <n v="3217.98"/>
    <n v="3217.98"/>
    <n v="3217.98"/>
    <n v="3217.99"/>
    <n v="3217.98"/>
    <n v="3218.01"/>
    <n v="3217.98"/>
    <n v="3218.01"/>
    <n v="3217.96"/>
    <n v="3218.01"/>
    <n v="3217.96"/>
    <n v="38615.82"/>
    <n v="5.0000000000181899E-2"/>
  </r>
  <r>
    <x v="0"/>
    <x v="7"/>
    <x v="0"/>
    <s v="6125150"/>
    <n v="740010"/>
    <s v="Education-Materials"/>
    <s v="Dietary"/>
    <x v="0"/>
    <m/>
    <n v="226.37"/>
    <n v="0"/>
    <n v="0"/>
    <n v="0"/>
    <n v="0"/>
    <n v="0"/>
    <n v="0"/>
    <n v="5.74"/>
    <n v="0"/>
    <n v="0"/>
    <n v="0"/>
    <n v="0"/>
    <n v="232.11"/>
    <n v="0"/>
  </r>
  <r>
    <x v="0"/>
    <x v="7"/>
    <x v="0"/>
    <s v="6125150"/>
    <n v="740030"/>
    <s v="Education-Travel"/>
    <s v="Dietary"/>
    <x v="0"/>
    <m/>
    <n v="0"/>
    <n v="0"/>
    <n v="0"/>
    <n v="0"/>
    <n v="0"/>
    <n v="0"/>
    <n v="0"/>
    <n v="0"/>
    <n v="0"/>
    <n v="846.2"/>
    <n v="0"/>
    <n v="0"/>
    <n v="846.2"/>
    <n v="0"/>
  </r>
  <r>
    <x v="0"/>
    <x v="7"/>
    <x v="0"/>
    <s v="6125150"/>
    <n v="743030"/>
    <s v="Subscriptions--Institutional"/>
    <s v="Dietary"/>
    <x v="0"/>
    <m/>
    <n v="0"/>
    <n v="0"/>
    <n v="0"/>
    <n v="0"/>
    <n v="0"/>
    <n v="0"/>
    <n v="0"/>
    <n v="36"/>
    <n v="61.39"/>
    <n v="0"/>
    <n v="138.61000000000001"/>
    <n v="0"/>
    <n v="236"/>
    <n v="138.61000000000001"/>
  </r>
  <r>
    <x v="0"/>
    <x v="7"/>
    <x v="0"/>
    <s v="6125150"/>
    <n v="749510"/>
    <s v="Miscellaneous Expenses"/>
    <s v="Dietary"/>
    <x v="0"/>
    <m/>
    <n v="547.66"/>
    <n v="204.49"/>
    <n v="74.319999999999993"/>
    <n v="64.2"/>
    <n v="476.1"/>
    <n v="0"/>
    <n v="0"/>
    <n v="627.30999999999995"/>
    <n v="0"/>
    <n v="4.8600000000000003"/>
    <n v="32.61"/>
    <n v="594.01"/>
    <n v="2625.5599999999995"/>
    <n v="-561.4"/>
  </r>
  <r>
    <x v="0"/>
    <x v="7"/>
    <x v="0"/>
    <s v="6125150"/>
    <n v="749510"/>
    <s v="Licenses"/>
    <s v="Dietary"/>
    <x v="0"/>
    <n v="1002"/>
    <n v="0"/>
    <n v="9713.98"/>
    <n v="0"/>
    <n v="60"/>
    <n v="0"/>
    <n v="0"/>
    <n v="0"/>
    <n v="350"/>
    <n v="0"/>
    <n v="0"/>
    <n v="41"/>
    <n v="500"/>
    <n v="10664.98"/>
    <n v="-459"/>
  </r>
  <r>
    <x v="0"/>
    <x v="7"/>
    <x v="0"/>
    <s v="6125150"/>
    <n v="749510"/>
    <s v="Miscellaneous Employee Expense"/>
    <s v="Dietary"/>
    <x v="0"/>
    <n v="1010"/>
    <n v="80.849999999999994"/>
    <n v="27.97"/>
    <n v="190.75"/>
    <n v="122.23"/>
    <n v="0"/>
    <n v="0"/>
    <n v="676.92"/>
    <n v="101.12"/>
    <n v="0"/>
    <n v="29.78"/>
    <n v="76.62"/>
    <n v="80.540000000000006"/>
    <n v="1386.7800000000002"/>
    <n v="-3.9200000000000017"/>
  </r>
  <r>
    <x v="0"/>
    <x v="7"/>
    <x v="0"/>
    <s v="6125150"/>
    <n v="749510"/>
    <s v="Uniforms"/>
    <s v="Dietary"/>
    <x v="0"/>
    <n v="1028"/>
    <n v="0"/>
    <n v="0"/>
    <n v="0"/>
    <n v="0"/>
    <n v="0"/>
    <n v="245.8"/>
    <n v="1765.01"/>
    <n v="710.04"/>
    <n v="0"/>
    <n v="0"/>
    <n v="0"/>
    <n v="201.26"/>
    <n v="2922.1099999999997"/>
    <n v="-201.26"/>
  </r>
  <r>
    <x v="0"/>
    <x v="7"/>
    <x v="0"/>
    <s v="6125150"/>
    <n v="749510"/>
    <s v="Special Events"/>
    <s v="Dietary"/>
    <x v="0"/>
    <n v="4300"/>
    <n v="0"/>
    <n v="0"/>
    <n v="0"/>
    <n v="284.11"/>
    <n v="550"/>
    <n v="0"/>
    <n v="0"/>
    <n v="0"/>
    <n v="0"/>
    <n v="0"/>
    <n v="0"/>
    <n v="0"/>
    <n v="834.11"/>
    <n v="0"/>
  </r>
  <r>
    <x v="0"/>
    <x v="7"/>
    <x v="0"/>
    <s v="6125150"/>
    <n v="749510"/>
    <s v="RICE Rewards"/>
    <s v="Dietary"/>
    <x v="0"/>
    <n v="5100"/>
    <n v="0"/>
    <n v="0"/>
    <n v="0"/>
    <n v="0"/>
    <n v="0"/>
    <n v="0"/>
    <n v="0"/>
    <n v="0"/>
    <n v="0"/>
    <n v="476.1"/>
    <n v="0"/>
    <n v="0"/>
    <n v="476.1"/>
    <n v="0"/>
  </r>
  <r>
    <x v="0"/>
    <x v="7"/>
    <x v="0"/>
    <s v="6125150"/>
    <n v="749530"/>
    <s v="Travel"/>
    <s v="Dietary"/>
    <x v="0"/>
    <m/>
    <n v="0"/>
    <n v="0"/>
    <n v="0"/>
    <n v="6"/>
    <n v="0"/>
    <n v="0"/>
    <n v="0"/>
    <n v="0"/>
    <n v="0"/>
    <n v="0"/>
    <n v="51.78"/>
    <n v="12.58"/>
    <n v="70.36"/>
    <n v="39.200000000000003"/>
  </r>
  <r>
    <x v="0"/>
    <x v="7"/>
    <x v="0"/>
    <s v="6125150"/>
    <n v="749530"/>
    <s v="Mileage"/>
    <s v="Dietary"/>
    <x v="0"/>
    <n v="1001"/>
    <n v="114.88"/>
    <n v="0"/>
    <n v="36.520000000000003"/>
    <n v="180.5"/>
    <n v="0"/>
    <n v="0"/>
    <n v="0"/>
    <n v="0"/>
    <n v="0"/>
    <n v="0"/>
    <n v="0"/>
    <n v="215.24"/>
    <n v="547.14"/>
    <n v="-215.24"/>
  </r>
  <r>
    <x v="0"/>
    <x v="7"/>
    <x v="0"/>
    <s v="6125150"/>
    <n v="749535"/>
    <s v="Medicare Non-Allowable Beverages"/>
    <s v="Dietary"/>
    <x v="0"/>
    <n v="1005"/>
    <n v="0"/>
    <n v="19.64"/>
    <n v="0"/>
    <n v="244.03"/>
    <n v="0"/>
    <n v="0"/>
    <n v="0"/>
    <n v="0"/>
    <n v="0"/>
    <n v="525.82000000000005"/>
    <n v="0"/>
    <n v="11.25"/>
    <n v="800.74"/>
    <n v="-11.25"/>
  </r>
  <r>
    <x v="0"/>
    <x v="7"/>
    <x v="0"/>
    <s v="6125150"/>
    <n v="749550"/>
    <s v="Cash Over/Short"/>
    <s v="Dietary"/>
    <x v="0"/>
    <m/>
    <n v="-51.11"/>
    <n v="3.29"/>
    <n v="15.9"/>
    <n v="-5.1100000000000003"/>
    <n v="-28.12"/>
    <n v="-1.57"/>
    <n v="-2.4900000000000002"/>
    <n v="-0.8"/>
    <n v="10.58"/>
    <n v="14.96"/>
    <n v="7.11"/>
    <n v="8.56"/>
    <n v="-28.79999999999999"/>
    <n v="-1.4500000000000002"/>
  </r>
  <r>
    <x v="5"/>
    <x v="10"/>
    <x v="0"/>
    <s v="6125306"/>
    <n v="700032"/>
    <s v="Salaries-Other Pat Care Providers-Productive"/>
    <s v="Dietary"/>
    <x v="0"/>
    <m/>
    <n v="2726.31"/>
    <n v="1866.49"/>
    <n v="3036.54"/>
    <n v="1309.47"/>
    <n v="3101.69"/>
    <n v="2938.41"/>
    <n v="2340.35"/>
    <n v="2613.06"/>
    <n v="2840.41"/>
    <n v="2766.28"/>
    <n v="2105.58"/>
    <n v="2214.0500000000002"/>
    <n v="29858.639999999996"/>
    <n v="-108.47000000000025"/>
  </r>
  <r>
    <x v="5"/>
    <x v="10"/>
    <x v="0"/>
    <s v="6125306"/>
    <n v="700032"/>
    <s v="Salaries-Other Pat Care Providers-OT"/>
    <s v="Dietary"/>
    <x v="0"/>
    <n v="1000"/>
    <n v="15.08"/>
    <n v="0"/>
    <n v="101.38"/>
    <n v="7"/>
    <n v="287.32"/>
    <n v="-142.79"/>
    <n v="50.67"/>
    <n v="35.6"/>
    <n v="-10.78"/>
    <n v="66.87"/>
    <n v="-21.56"/>
    <n v="25.05"/>
    <n v="413.84000000000009"/>
    <n v="-46.61"/>
  </r>
  <r>
    <x v="5"/>
    <x v="10"/>
    <x v="0"/>
    <s v="6125306"/>
    <n v="700032"/>
    <s v="Salaries-Other Pat Care Providers-Other"/>
    <s v="Dietary"/>
    <x v="0"/>
    <n v="2000"/>
    <n v="0"/>
    <n v="0"/>
    <n v="0"/>
    <n v="0"/>
    <n v="17.350000000000001"/>
    <n v="-8.35"/>
    <n v="0"/>
    <n v="0"/>
    <n v="0"/>
    <n v="0"/>
    <n v="0"/>
    <n v="0"/>
    <n v="9.0000000000000018"/>
    <n v="0"/>
  </r>
  <r>
    <x v="6"/>
    <x v="10"/>
    <x v="0"/>
    <s v="6125306"/>
    <n v="713010"/>
    <s v="Benefits-FICA/Medicare"/>
    <s v="Dietary"/>
    <x v="0"/>
    <m/>
    <n v="208.64"/>
    <n v="142"/>
    <n v="238.78"/>
    <n v="100.75"/>
    <n v="259.56"/>
    <n v="211.9"/>
    <n v="181.97"/>
    <n v="201.27"/>
    <n v="215.06"/>
    <n v="215.55"/>
    <n v="114.42"/>
    <n v="137.30000000000001"/>
    <n v="2227.2000000000003"/>
    <n v="-22.88000000000001"/>
  </r>
  <r>
    <x v="6"/>
    <x v="10"/>
    <x v="0"/>
    <s v="6125306"/>
    <n v="713090"/>
    <s v="Benefits-Allocated Amounts"/>
    <s v="Dietary"/>
    <x v="0"/>
    <m/>
    <n v="610.52"/>
    <n v="176.62"/>
    <n v="554.86"/>
    <n v="61.12"/>
    <n v="624.12"/>
    <n v="338.91"/>
    <n v="332.64"/>
    <n v="323.91000000000003"/>
    <n v="465.74"/>
    <n v="345.76"/>
    <n v="295.08"/>
    <n v="428.89"/>
    <n v="4558.17"/>
    <n v="-133.81"/>
  </r>
  <r>
    <x v="11"/>
    <x v="5"/>
    <x v="0"/>
    <s v="6126106"/>
    <n v="721810"/>
    <s v="Supplies-Dietary/Cafeteria"/>
    <s v="Wellness-Dietary"/>
    <x v="0"/>
    <m/>
    <n v="0"/>
    <n v="0"/>
    <n v="0"/>
    <n v="0"/>
    <n v="0"/>
    <n v="0"/>
    <n v="0"/>
    <n v="0"/>
    <n v="0"/>
    <n v="0"/>
    <n v="0"/>
    <n v="17968.990000000002"/>
    <n v="17968.990000000002"/>
    <n v="-17968.990000000002"/>
  </r>
  <r>
    <x v="0"/>
    <x v="5"/>
    <x v="0"/>
    <s v="6126106"/>
    <n v="749550"/>
    <s v="Cash Over/Short"/>
    <s v="Wellness-Dietary"/>
    <x v="0"/>
    <m/>
    <n v="-0.31"/>
    <n v="0"/>
    <n v="-0.1"/>
    <n v="-0.33"/>
    <n v="0"/>
    <n v="-0.25"/>
    <n v="-3.73"/>
    <n v="-0.09"/>
    <n v="-0.48"/>
    <n v="20"/>
    <n v="0.23"/>
    <n v="0"/>
    <n v="14.940000000000001"/>
    <n v="0.23"/>
  </r>
  <r>
    <x v="14"/>
    <x v="6"/>
    <x v="0"/>
    <s v="6126107"/>
    <n v="600034"/>
    <s v="Cafeteria Revenue"/>
    <s v="Nutrition Services-Silverdale"/>
    <x v="0"/>
    <m/>
    <n v="-32749.05"/>
    <n v="-34649.370000000003"/>
    <n v="-30486.65"/>
    <n v="-34729.61"/>
    <n v="-29769.71"/>
    <n v="-32552.14"/>
    <n v="-31261.59"/>
    <n v="-32617.67"/>
    <n v="-36299.97"/>
    <n v="-36353.919999999998"/>
    <n v="-35618.03"/>
    <n v="-30272.83"/>
    <n v="-397360.54"/>
    <n v="-5345.1999999999971"/>
  </r>
  <r>
    <x v="14"/>
    <x v="6"/>
    <x v="0"/>
    <s v="6126107"/>
    <n v="600034"/>
    <s v="Vending Commission"/>
    <s v="Nutrition Services-Silverdale"/>
    <x v="0"/>
    <n v="1002"/>
    <n v="0"/>
    <n v="0"/>
    <n v="0"/>
    <n v="0"/>
    <n v="0"/>
    <n v="0"/>
    <n v="0"/>
    <n v="-2614.94"/>
    <n v="0"/>
    <n v="0"/>
    <n v="0"/>
    <n v="0"/>
    <n v="-2614.94"/>
    <n v="0"/>
  </r>
  <r>
    <x v="14"/>
    <x v="6"/>
    <x v="0"/>
    <s v="6126107"/>
    <n v="600034"/>
    <s v="Catering Revenue"/>
    <s v="Nutrition Services-Silverdale"/>
    <x v="0"/>
    <n v="5101"/>
    <n v="-3203.77"/>
    <n v="-3545.5"/>
    <n v="-1843.32"/>
    <n v="-3281.06"/>
    <n v="-3556.61"/>
    <n v="-2485.0100000000002"/>
    <n v="-5676.78"/>
    <n v="-2282.41"/>
    <n v="-3454.17"/>
    <n v="-6685.7"/>
    <n v="-1375.09"/>
    <n v="-7708.37"/>
    <n v="-45097.789999999994"/>
    <n v="6333.28"/>
  </r>
  <r>
    <x v="5"/>
    <x v="6"/>
    <x v="0"/>
    <s v="6126107"/>
    <n v="700032"/>
    <s v="Salaries-Other Pat Care Providers-Productive"/>
    <s v="Nutrition Services-Silverdale"/>
    <x v="0"/>
    <m/>
    <n v="5137.1099999999997"/>
    <n v="5975.73"/>
    <n v="1301.76"/>
    <n v="2682.86"/>
    <n v="466.36"/>
    <n v="-202.71"/>
    <n v="593.41999999999996"/>
    <n v="-156.13999999999999"/>
    <n v="0"/>
    <n v="218.64"/>
    <n v="0"/>
    <n v="0"/>
    <n v="16017.030000000002"/>
    <n v="0"/>
  </r>
  <r>
    <x v="5"/>
    <x v="6"/>
    <x v="0"/>
    <s v="6126107"/>
    <n v="700032"/>
    <s v="Salaries-Other Pat Care Providers-OT"/>
    <s v="Nutrition Services-Silverdale"/>
    <x v="0"/>
    <n v="1000"/>
    <n v="69.459999999999994"/>
    <n v="205.5"/>
    <n v="-7.96"/>
    <n v="10.23"/>
    <n v="0"/>
    <n v="0"/>
    <n v="55.63"/>
    <n v="-14.63"/>
    <n v="0"/>
    <n v="10.25"/>
    <n v="0"/>
    <n v="0"/>
    <n v="328.48"/>
    <n v="0"/>
  </r>
  <r>
    <x v="5"/>
    <x v="6"/>
    <x v="0"/>
    <s v="6126107"/>
    <n v="700032"/>
    <s v="Salaries-Other Pat Care Providers-Other"/>
    <s v="Nutrition Services-Silverdale"/>
    <x v="0"/>
    <n v="2000"/>
    <n v="810.95"/>
    <n v="927.18"/>
    <n v="194.06"/>
    <n v="403.94"/>
    <n v="136.01"/>
    <n v="37.57"/>
    <n v="167.54"/>
    <n v="86.57"/>
    <n v="116.63"/>
    <n v="15.61"/>
    <n v="0"/>
    <n v="0"/>
    <n v="2896.0600000000009"/>
    <n v="0"/>
  </r>
  <r>
    <x v="5"/>
    <x v="6"/>
    <x v="0"/>
    <s v="6126107"/>
    <n v="700038"/>
    <s v="Salaries-Service/Support-Productive"/>
    <s v="Nutrition Services-Silverdale"/>
    <x v="0"/>
    <m/>
    <n v="51004.31"/>
    <n v="51109.74"/>
    <n v="49925.95"/>
    <n v="53852.480000000003"/>
    <n v="49494.25"/>
    <n v="49591.56"/>
    <n v="52636.01"/>
    <n v="44193.81"/>
    <n v="47437.63"/>
    <n v="46765.919999999998"/>
    <n v="48169.86"/>
    <n v="42087.47"/>
    <n v="586268.99"/>
    <n v="6082.3899999999994"/>
  </r>
  <r>
    <x v="5"/>
    <x v="6"/>
    <x v="0"/>
    <s v="6126107"/>
    <n v="700038"/>
    <s v="Salaries-Service/Support-OT"/>
    <s v="Nutrition Services-Silverdale"/>
    <x v="0"/>
    <n v="1000"/>
    <n v="2264.1"/>
    <n v="1673.71"/>
    <n v="2030.19"/>
    <n v="2261.96"/>
    <n v="2631.46"/>
    <n v="2618.13"/>
    <n v="1519.78"/>
    <n v="2117.4299999999998"/>
    <n v="938.12"/>
    <n v="1659.67"/>
    <n v="2337.8000000000002"/>
    <n v="3944.84"/>
    <n v="25997.189999999995"/>
    <n v="-1607.04"/>
  </r>
  <r>
    <x v="5"/>
    <x v="6"/>
    <x v="0"/>
    <s v="6126107"/>
    <n v="700038"/>
    <s v="Salaries-Service/Support-Other"/>
    <s v="Nutrition Services-Silverdale"/>
    <x v="0"/>
    <n v="2000"/>
    <n v="2625.49"/>
    <n v="2657.04"/>
    <n v="2651.24"/>
    <n v="2632.4"/>
    <n v="2840.65"/>
    <n v="2094.9299999999998"/>
    <n v="2219.67"/>
    <n v="1810.33"/>
    <n v="2282.4"/>
    <n v="1853.75"/>
    <n v="2406.3200000000002"/>
    <n v="1683.53"/>
    <n v="27757.75"/>
    <n v="722.79000000000019"/>
  </r>
  <r>
    <x v="5"/>
    <x v="6"/>
    <x v="0"/>
    <s v="6126107"/>
    <n v="700054"/>
    <s v="Salaries-Management-NonProd-Other"/>
    <s v="Nutrition Services-Silverdale"/>
    <x v="0"/>
    <n v="2000"/>
    <n v="0"/>
    <n v="0"/>
    <n v="0"/>
    <n v="0"/>
    <n v="0"/>
    <n v="80"/>
    <n v="-80"/>
    <n v="0"/>
    <n v="0"/>
    <n v="0"/>
    <n v="0"/>
    <n v="0"/>
    <n v="0"/>
    <n v="0"/>
  </r>
  <r>
    <x v="5"/>
    <x v="6"/>
    <x v="0"/>
    <s v="6126107"/>
    <n v="700078"/>
    <s v="Salaries-Service/Support-Non-productive"/>
    <s v="Nutrition Services-Silverdale"/>
    <x v="0"/>
    <m/>
    <n v="6091.59"/>
    <n v="6738.37"/>
    <n v="7786.38"/>
    <n v="2547.6799999999998"/>
    <n v="5692.56"/>
    <n v="5943.1"/>
    <n v="6182.8"/>
    <n v="5704.02"/>
    <n v="5100.55"/>
    <n v="6459.29"/>
    <n v="8259.5400000000009"/>
    <n v="9345.43"/>
    <n v="75851.31"/>
    <n v="-1085.8899999999994"/>
  </r>
  <r>
    <x v="5"/>
    <x v="6"/>
    <x v="0"/>
    <s v="6126107"/>
    <n v="700078"/>
    <s v="Salaries-Service/Support-NonProd-Other"/>
    <s v="Nutrition Services-Silverdale"/>
    <x v="0"/>
    <n v="2000"/>
    <n v="92.82"/>
    <n v="139.51"/>
    <n v="243.66"/>
    <n v="42.25"/>
    <n v="105.28"/>
    <n v="199.56"/>
    <n v="130.99"/>
    <n v="54.83"/>
    <n v="76.92"/>
    <n v="51.42"/>
    <n v="142.65"/>
    <n v="151.29"/>
    <n v="1431.18"/>
    <n v="-8.6399999999999864"/>
  </r>
  <r>
    <x v="5"/>
    <x v="6"/>
    <x v="0"/>
    <s v="6126107"/>
    <n v="700084"/>
    <s v="Accrued PTO"/>
    <s v="Nutrition Services-Silverdale"/>
    <x v="0"/>
    <m/>
    <n v="-300.83999999999997"/>
    <n v="-395.01"/>
    <n v="-1624.17"/>
    <n v="2323.71"/>
    <n v="949.17"/>
    <n v="1062.33"/>
    <n v="1400.01"/>
    <n v="270.88"/>
    <n v="474.37"/>
    <n v="900.9"/>
    <n v="761.43"/>
    <n v="3456.25"/>
    <n v="9279.0299999999988"/>
    <n v="-2694.82"/>
  </r>
  <r>
    <x v="6"/>
    <x v="6"/>
    <x v="0"/>
    <s v="6126107"/>
    <n v="713010"/>
    <s v="Benefits-FICA/Medicare"/>
    <s v="Nutrition Services-Silverdale"/>
    <x v="0"/>
    <m/>
    <n v="5115.66"/>
    <n v="5213.18"/>
    <n v="4810.21"/>
    <n v="4831.2700000000004"/>
    <n v="4686.76"/>
    <n v="4699.79"/>
    <n v="4777.59"/>
    <n v="4012.12"/>
    <n v="4181.21"/>
    <n v="4338.99"/>
    <n v="4605.4799999999996"/>
    <n v="4408.82"/>
    <n v="55681.080000000009"/>
    <n v="196.65999999999985"/>
  </r>
  <r>
    <x v="6"/>
    <x v="6"/>
    <x v="0"/>
    <s v="6126107"/>
    <n v="713090"/>
    <s v="Benefits-Allocated Amounts"/>
    <s v="Nutrition Services-Silverdale"/>
    <x v="0"/>
    <m/>
    <n v="19642.05"/>
    <n v="17860.509999999998"/>
    <n v="18725.189999999999"/>
    <n v="18798.82"/>
    <n v="20819.3"/>
    <n v="18347.490000000002"/>
    <n v="19611.36"/>
    <n v="17635.46"/>
    <n v="14938.99"/>
    <n v="19085.98"/>
    <n v="18169.96"/>
    <n v="20300.71"/>
    <n v="223935.82"/>
    <n v="-2130.75"/>
  </r>
  <r>
    <x v="7"/>
    <x v="6"/>
    <x v="0"/>
    <s v="6126107"/>
    <n v="718010"/>
    <s v="Contract Services-Advertising &amp; Public Relations"/>
    <s v="Nutrition Services-Silverdale"/>
    <x v="0"/>
    <m/>
    <n v="0"/>
    <n v="345.2"/>
    <n v="184.21"/>
    <n v="0"/>
    <n v="0"/>
    <n v="0"/>
    <n v="172.52"/>
    <n v="345.04"/>
    <n v="0"/>
    <n v="169"/>
    <n v="0"/>
    <n v="507"/>
    <n v="1722.97"/>
    <n v="-507"/>
  </r>
  <r>
    <x v="7"/>
    <x v="6"/>
    <x v="0"/>
    <s v="6126107"/>
    <n v="718050"/>
    <s v="Contract Svcs-Other"/>
    <s v="Nutrition Services-Silverdale"/>
    <x v="0"/>
    <m/>
    <n v="433.41"/>
    <n v="319.33999999999997"/>
    <n v="0"/>
    <n v="322.77999999999997"/>
    <n v="0"/>
    <n v="237.77"/>
    <n v="0"/>
    <n v="0"/>
    <n v="488.56"/>
    <n v="241.23"/>
    <n v="0"/>
    <n v="0"/>
    <n v="2043.09"/>
    <n v="0"/>
  </r>
  <r>
    <x v="7"/>
    <x v="6"/>
    <x v="0"/>
    <s v="6126107"/>
    <n v="718050"/>
    <s v="Cleaning Services"/>
    <s v="Nutrition Services-Silverdale"/>
    <x v="0"/>
    <n v="1011"/>
    <n v="0"/>
    <n v="0"/>
    <n v="1150"/>
    <n v="0"/>
    <n v="0"/>
    <n v="0"/>
    <n v="1245"/>
    <n v="0"/>
    <n v="1248.9000000000001"/>
    <n v="0"/>
    <n v="0"/>
    <n v="0"/>
    <n v="3643.9"/>
    <n v="0"/>
  </r>
  <r>
    <x v="7"/>
    <x v="6"/>
    <x v="0"/>
    <s v="6126107"/>
    <n v="718050"/>
    <s v="Miscellaneous Purchased Svcs"/>
    <s v="Nutrition Services-Silverdale"/>
    <x v="0"/>
    <n v="1020"/>
    <n v="0"/>
    <n v="0"/>
    <n v="0"/>
    <n v="0"/>
    <n v="0"/>
    <n v="0"/>
    <n v="0"/>
    <n v="0"/>
    <n v="0"/>
    <n v="0"/>
    <n v="0"/>
    <n v="0"/>
    <n v="0"/>
    <n v="0"/>
  </r>
  <r>
    <x v="7"/>
    <x v="6"/>
    <x v="0"/>
    <s v="6126107"/>
    <n v="718050"/>
    <s v="Contract Management--Linen"/>
    <s v="Nutrition Services-Silverdale"/>
    <x v="0"/>
    <n v="1026"/>
    <n v="590.12"/>
    <n v="1415.85"/>
    <n v="2262.63"/>
    <n v="2320.44"/>
    <n v="1061.0899999999999"/>
    <n v="1145.22"/>
    <n v="1755.54"/>
    <n v="1504.04"/>
    <n v="1637.44"/>
    <n v="88.59"/>
    <n v="2587.06"/>
    <n v="841.52"/>
    <n v="17209.54"/>
    <n v="1745.54"/>
  </r>
  <r>
    <x v="7"/>
    <x v="6"/>
    <x v="0"/>
    <s v="6126107"/>
    <n v="718050"/>
    <s v="Contract Services-Food&amp;Catering"/>
    <s v="Nutrition Services-Silverdale"/>
    <x v="0"/>
    <n v="1030"/>
    <n v="13725.55"/>
    <n v="13950.8"/>
    <n v="13003.44"/>
    <n v="63048.88"/>
    <n v="1146.28"/>
    <n v="15137.29"/>
    <n v="37085.42"/>
    <n v="11528.13"/>
    <n v="23564.240000000002"/>
    <n v="12865.07"/>
    <n v="24865.07"/>
    <n v="3040.27"/>
    <n v="232960.43999999997"/>
    <n v="21824.799999999999"/>
  </r>
  <r>
    <x v="11"/>
    <x v="6"/>
    <x v="0"/>
    <s v="6126107"/>
    <n v="721410"/>
    <s v="Supplies-Medical - Nonbillable"/>
    <s v="Nutrition Services-Silverdale"/>
    <x v="0"/>
    <m/>
    <n v="915.9"/>
    <n v="668.42"/>
    <n v="1573.32"/>
    <n v="1022.76"/>
    <n v="356.76"/>
    <n v="475.68"/>
    <n v="1704.68"/>
    <n v="772.98"/>
    <n v="1070.28"/>
    <n v="1108.49"/>
    <n v="939.04"/>
    <n v="586.9"/>
    <n v="11195.210000000001"/>
    <n v="352.14"/>
  </r>
  <r>
    <x v="11"/>
    <x v="6"/>
    <x v="0"/>
    <s v="6126107"/>
    <n v="721810"/>
    <s v="Supplies-Dietary/Cafeteria"/>
    <s v="Nutrition Services-Silverdale"/>
    <x v="0"/>
    <m/>
    <n v="42792.44"/>
    <n v="42124.29"/>
    <n v="57570.82"/>
    <n v="50639.79"/>
    <n v="30942.84"/>
    <n v="20194.14"/>
    <n v="77466.399999999994"/>
    <n v="45589.37"/>
    <n v="47302.19"/>
    <n v="35094.9"/>
    <n v="37009.97"/>
    <n v="40561.839999999997"/>
    <n v="527288.99"/>
    <n v="-3551.8699999999953"/>
  </r>
  <r>
    <x v="11"/>
    <x v="6"/>
    <x v="0"/>
    <s v="6126107"/>
    <n v="721810"/>
    <s v="Food Products (RESTRICTED)"/>
    <s v="Nutrition Services-Silverdale"/>
    <x v="0"/>
    <n v="5200"/>
    <n v="-16146.74"/>
    <n v="-16802.8"/>
    <n v="-13861.28"/>
    <n v="-64240.91"/>
    <n v="-11633.54"/>
    <n v="-22481.5"/>
    <n v="-15374.35"/>
    <n v="-10548.35"/>
    <n v="-15661.64"/>
    <n v="-13503.5"/>
    <n v="-16575.12"/>
    <n v="-12893.84"/>
    <n v="-229723.57000000004"/>
    <n v="-3681.2799999999988"/>
  </r>
  <r>
    <x v="11"/>
    <x v="6"/>
    <x v="0"/>
    <s v="6126107"/>
    <n v="721830"/>
    <s v="Supplies-Office"/>
    <s v="Nutrition Services-Silverdale"/>
    <x v="0"/>
    <m/>
    <n v="0"/>
    <n v="0"/>
    <n v="0"/>
    <n v="0"/>
    <n v="0"/>
    <n v="0"/>
    <n v="0"/>
    <n v="0"/>
    <n v="0"/>
    <n v="72.13"/>
    <n v="0"/>
    <n v="0"/>
    <n v="72.13"/>
    <n v="0"/>
  </r>
  <r>
    <x v="11"/>
    <x v="6"/>
    <x v="0"/>
    <s v="6126107"/>
    <n v="721870"/>
    <s v="Supplies-Environmental Services"/>
    <s v="Nutrition Services-Silverdale"/>
    <x v="0"/>
    <m/>
    <n v="509.94"/>
    <n v="1524.7"/>
    <n v="1790.45"/>
    <n v="1444.41"/>
    <n v="944.99"/>
    <n v="523.58000000000004"/>
    <n v="2281.5700000000002"/>
    <n v="1731.45"/>
    <n v="1200.3800000000001"/>
    <n v="1669.92"/>
    <n v="3928.76"/>
    <n v="1113.68"/>
    <n v="18663.830000000002"/>
    <n v="2815.08"/>
  </r>
  <r>
    <x v="11"/>
    <x v="6"/>
    <x v="0"/>
    <s v="6126107"/>
    <n v="721880"/>
    <s v="Supplies-Linen"/>
    <s v="Nutrition Services-Silverdale"/>
    <x v="0"/>
    <m/>
    <n v="0"/>
    <n v="194.5"/>
    <n v="-194.5"/>
    <n v="0"/>
    <n v="0"/>
    <n v="0"/>
    <n v="0"/>
    <n v="0"/>
    <n v="0"/>
    <n v="0"/>
    <n v="0"/>
    <n v="0"/>
    <n v="0"/>
    <n v="0"/>
  </r>
  <r>
    <x v="11"/>
    <x v="6"/>
    <x v="0"/>
    <s v="6126107"/>
    <n v="721910"/>
    <s v="Supplies-Small Equipment"/>
    <s v="Nutrition Services-Silverdale"/>
    <x v="0"/>
    <m/>
    <n v="2268.19"/>
    <n v="1201.8900000000001"/>
    <n v="227.69"/>
    <n v="131.38999999999999"/>
    <n v="144.28"/>
    <n v="1210.01"/>
    <n v="519.26"/>
    <n v="422.52"/>
    <n v="157.27000000000001"/>
    <n v="0"/>
    <n v="328.23"/>
    <n v="19.38"/>
    <n v="6630.11"/>
    <n v="308.85000000000002"/>
  </r>
  <r>
    <x v="11"/>
    <x v="6"/>
    <x v="0"/>
    <s v="6126107"/>
    <n v="721980"/>
    <s v="Supplies-Other"/>
    <s v="Nutrition Services-Silverdale"/>
    <x v="0"/>
    <m/>
    <n v="2831.96"/>
    <n v="5659.6"/>
    <n v="6538.56"/>
    <n v="5269.46"/>
    <n v="2379.98"/>
    <n v="2328.2399999999998"/>
    <n v="8087.6"/>
    <n v="2807.67"/>
    <n v="4373.1499999999996"/>
    <n v="4076.82"/>
    <n v="3630.09"/>
    <n v="2618.5700000000002"/>
    <n v="50601.700000000004"/>
    <n v="1011.52"/>
  </r>
  <r>
    <x v="11"/>
    <x v="6"/>
    <x v="0"/>
    <s v="6126107"/>
    <n v="722000"/>
    <s v="Supplies-Freight Expense"/>
    <s v="Nutrition Services-Silverdale"/>
    <x v="0"/>
    <m/>
    <n v="33.270000000000003"/>
    <n v="14.28"/>
    <n v="176.32"/>
    <n v="-11.8"/>
    <n v="0"/>
    <n v="37.97"/>
    <n v="15.63"/>
    <n v="11.94"/>
    <n v="15.99"/>
    <n v="52.27"/>
    <n v="0"/>
    <n v="25.85"/>
    <n v="371.72"/>
    <n v="-25.85"/>
  </r>
  <r>
    <x v="11"/>
    <x v="6"/>
    <x v="0"/>
    <s v="6126107"/>
    <n v="723000"/>
    <s v="Supply Rebates/Patronage Dividend"/>
    <s v="Nutrition Services-Silverdale"/>
    <x v="0"/>
    <m/>
    <n v="0"/>
    <n v="0"/>
    <n v="-12316.51"/>
    <n v="0"/>
    <n v="0"/>
    <n v="-10475.49"/>
    <n v="0"/>
    <n v="0"/>
    <n v="-21138.98"/>
    <n v="-873.98"/>
    <n v="0"/>
    <n v="-13466.49"/>
    <n v="-58271.45"/>
    <n v="13466.49"/>
  </r>
  <r>
    <x v="12"/>
    <x v="6"/>
    <x v="0"/>
    <s v="6126107"/>
    <n v="730020"/>
    <s v="Rental and Leases-Equipment (DO NOT USE)"/>
    <s v="Nutrition Services-Silverdale"/>
    <x v="0"/>
    <m/>
    <n v="1074.24"/>
    <n v="346.17"/>
    <n v="0"/>
    <n v="0"/>
    <n v="0"/>
    <n v="0"/>
    <n v="0"/>
    <n v="1379.96"/>
    <n v="0"/>
    <n v="0"/>
    <n v="200"/>
    <n v="-200"/>
    <n v="2800.37"/>
    <n v="400"/>
  </r>
  <r>
    <x v="12"/>
    <x v="6"/>
    <x v="0"/>
    <s v="6126107"/>
    <n v="730020"/>
    <s v="Rental and Leases-Copier Usage Fees (DO NOT USE)"/>
    <s v="Nutrition Services-Silverdale"/>
    <x v="0"/>
    <n v="5100"/>
    <n v="135.08000000000001"/>
    <n v="137.13999999999999"/>
    <n v="136.11000000000001"/>
    <n v="136.11000000000001"/>
    <n v="136.11000000000001"/>
    <n v="136.11000000000001"/>
    <n v="3.74"/>
    <n v="84.87"/>
    <n v="84.7"/>
    <n v="246.7"/>
    <n v="84.87"/>
    <n v="99.68"/>
    <n v="1421.22"/>
    <n v="-14.810000000000002"/>
  </r>
  <r>
    <x v="15"/>
    <x v="6"/>
    <x v="0"/>
    <s v="6126107"/>
    <n v="731090"/>
    <s v="Other Utilities"/>
    <s v="Nutrition Services-Silverdale"/>
    <x v="0"/>
    <m/>
    <n v="0"/>
    <n v="0"/>
    <n v="0"/>
    <n v="2005.6"/>
    <n v="0"/>
    <n v="0"/>
    <n v="0"/>
    <n v="0"/>
    <n v="0"/>
    <n v="0"/>
    <n v="0"/>
    <n v="0"/>
    <n v="2005.6"/>
    <n v="0"/>
  </r>
  <r>
    <x v="16"/>
    <x v="6"/>
    <x v="0"/>
    <s v="6126107"/>
    <n v="732030"/>
    <s v="Repairs---Other"/>
    <s v="Nutrition Services-Silverdale"/>
    <x v="0"/>
    <m/>
    <n v="3096.51"/>
    <n v="1997.94"/>
    <n v="0"/>
    <n v="484.72"/>
    <n v="2584.58"/>
    <n v="207.04"/>
    <n v="330.22"/>
    <n v="0"/>
    <n v="452.95"/>
    <n v="2005.6"/>
    <n v="278.07"/>
    <n v="7449.41"/>
    <n v="18887.04"/>
    <n v="-7171.34"/>
  </r>
  <r>
    <x v="16"/>
    <x v="6"/>
    <x v="0"/>
    <s v="6126107"/>
    <n v="733030"/>
    <s v="Maintenance Contracts-Other"/>
    <s v="Nutrition Services-Silverdale"/>
    <x v="0"/>
    <m/>
    <n v="2400.4299999999998"/>
    <n v="226.08"/>
    <n v="0"/>
    <n v="173.32"/>
    <n v="0"/>
    <n v="172.52"/>
    <n v="121.4"/>
    <n v="0"/>
    <n v="4662.53"/>
    <n v="6308.59"/>
    <n v="10153.290000000001"/>
    <n v="19483.490000000002"/>
    <n v="43701.65"/>
    <n v="-9330.2000000000007"/>
  </r>
  <r>
    <x v="16"/>
    <x v="6"/>
    <x v="0"/>
    <s v="6126107"/>
    <n v="733030"/>
    <s v="Maintenance Contracts-Software"/>
    <s v="Nutrition Services-Silverdale"/>
    <x v="0"/>
    <n v="1002"/>
    <n v="43.6"/>
    <n v="23.6"/>
    <n v="21.8"/>
    <n v="21.8"/>
    <n v="0"/>
    <n v="0"/>
    <n v="0"/>
    <n v="80"/>
    <n v="0"/>
    <n v="72"/>
    <n v="10"/>
    <n v="20"/>
    <n v="292.8"/>
    <n v="-10"/>
  </r>
  <r>
    <x v="13"/>
    <x v="6"/>
    <x v="0"/>
    <s v="6126107"/>
    <n v="735070"/>
    <s v="Depreciation-Movable Equipment"/>
    <s v="Nutrition Services-Silverdale"/>
    <x v="0"/>
    <m/>
    <n v="259.77999999999997"/>
    <n v="267.2"/>
    <n v="267.20999999999998"/>
    <n v="267.2"/>
    <n v="267.20999999999998"/>
    <n v="176.89"/>
    <n v="176.92"/>
    <n v="176.89"/>
    <n v="176.92"/>
    <n v="176.89"/>
    <n v="176.92"/>
    <n v="176.89"/>
    <n v="2566.92"/>
    <n v="3.0000000000001137E-2"/>
  </r>
  <r>
    <x v="0"/>
    <x v="6"/>
    <x v="0"/>
    <s v="6126107"/>
    <n v="740010"/>
    <s v="Education-Materials"/>
    <s v="Nutrition Services-Silverdale"/>
    <x v="0"/>
    <m/>
    <n v="35.99"/>
    <n v="0"/>
    <n v="0"/>
    <n v="0"/>
    <n v="0"/>
    <n v="0"/>
    <n v="0"/>
    <n v="6.51"/>
    <n v="0"/>
    <n v="0"/>
    <n v="0"/>
    <n v="0"/>
    <n v="42.5"/>
    <n v="0"/>
  </r>
  <r>
    <x v="0"/>
    <x v="6"/>
    <x v="0"/>
    <s v="6126107"/>
    <n v="740030"/>
    <s v="Education-Travel"/>
    <s v="Nutrition Services-Silverdale"/>
    <x v="0"/>
    <m/>
    <n v="0"/>
    <n v="102.78"/>
    <n v="0"/>
    <n v="0"/>
    <n v="0"/>
    <n v="0"/>
    <n v="0"/>
    <n v="0"/>
    <n v="0"/>
    <n v="0"/>
    <n v="0"/>
    <n v="0"/>
    <n v="102.78"/>
    <n v="0"/>
  </r>
  <r>
    <x v="0"/>
    <x v="6"/>
    <x v="0"/>
    <s v="6126107"/>
    <n v="742010"/>
    <s v="Postage-Regular"/>
    <s v="Nutrition Services-Silverdale"/>
    <x v="0"/>
    <m/>
    <n v="0"/>
    <n v="0"/>
    <n v="0"/>
    <n v="11.8"/>
    <n v="0"/>
    <n v="0"/>
    <n v="0"/>
    <n v="0"/>
    <n v="0"/>
    <n v="0"/>
    <n v="0"/>
    <n v="0"/>
    <n v="11.8"/>
    <n v="0"/>
  </r>
  <r>
    <x v="0"/>
    <x v="6"/>
    <x v="0"/>
    <s v="6126107"/>
    <n v="742040"/>
    <s v="Freight-Other"/>
    <s v="Nutrition Services-Silverdale"/>
    <x v="0"/>
    <m/>
    <n v="0"/>
    <n v="0"/>
    <n v="0"/>
    <n v="0"/>
    <n v="0"/>
    <n v="0"/>
    <n v="0"/>
    <n v="0"/>
    <n v="0"/>
    <n v="0"/>
    <n v="0"/>
    <n v="59.82"/>
    <n v="59.82"/>
    <n v="-59.82"/>
  </r>
  <r>
    <x v="0"/>
    <x v="6"/>
    <x v="0"/>
    <s v="6126107"/>
    <n v="743030"/>
    <s v="Subscriptions--Institutional"/>
    <s v="Nutrition Services-Silverdale"/>
    <x v="0"/>
    <m/>
    <n v="945.58"/>
    <n v="0"/>
    <n v="0"/>
    <n v="0"/>
    <n v="0"/>
    <n v="0"/>
    <n v="0"/>
    <n v="36"/>
    <n v="0"/>
    <n v="0"/>
    <n v="138.61000000000001"/>
    <n v="0"/>
    <n v="1120.19"/>
    <n v="138.61000000000001"/>
  </r>
  <r>
    <x v="0"/>
    <x v="6"/>
    <x v="0"/>
    <s v="6126107"/>
    <n v="749510"/>
    <s v="Miscellaneous Expenses"/>
    <s v="Nutrition Services-Silverdale"/>
    <x v="0"/>
    <m/>
    <n v="180.04"/>
    <n v="276.89"/>
    <n v="30.48"/>
    <n v="0"/>
    <n v="0"/>
    <n v="0"/>
    <n v="0"/>
    <n v="492.32"/>
    <n v="0"/>
    <n v="330.23"/>
    <n v="0"/>
    <n v="45.24"/>
    <n v="1355.2"/>
    <n v="-45.24"/>
  </r>
  <r>
    <x v="0"/>
    <x v="6"/>
    <x v="0"/>
    <s v="6126107"/>
    <n v="749510"/>
    <s v="Licenses"/>
    <s v="Nutrition Services-Silverdale"/>
    <x v="0"/>
    <n v="1002"/>
    <n v="0"/>
    <n v="9740.7900000000009"/>
    <n v="0"/>
    <n v="0"/>
    <n v="0"/>
    <n v="0"/>
    <n v="0"/>
    <n v="0"/>
    <n v="0"/>
    <n v="0"/>
    <n v="0"/>
    <n v="1155"/>
    <n v="10895.79"/>
    <n v="-1155"/>
  </r>
  <r>
    <x v="0"/>
    <x v="6"/>
    <x v="0"/>
    <s v="6126107"/>
    <n v="749510"/>
    <s v="Miscellaneous Employee Expense"/>
    <s v="Nutrition Services-Silverdale"/>
    <x v="0"/>
    <n v="1010"/>
    <n v="0"/>
    <n v="268.54000000000002"/>
    <n v="0"/>
    <n v="0"/>
    <n v="0"/>
    <n v="0"/>
    <n v="0"/>
    <n v="445.38"/>
    <n v="0"/>
    <n v="10.49"/>
    <n v="0"/>
    <n v="0"/>
    <n v="724.41000000000008"/>
    <n v="0"/>
  </r>
  <r>
    <x v="0"/>
    <x v="6"/>
    <x v="0"/>
    <s v="6126107"/>
    <n v="749510"/>
    <s v="Uniforms"/>
    <s v="Nutrition Services-Silverdale"/>
    <x v="0"/>
    <n v="1028"/>
    <n v="0"/>
    <n v="0"/>
    <n v="412.01"/>
    <n v="0"/>
    <n v="567.11"/>
    <n v="0"/>
    <n v="0"/>
    <n v="0"/>
    <n v="0"/>
    <n v="0"/>
    <n v="0"/>
    <n v="0"/>
    <n v="979.12"/>
    <n v="0"/>
  </r>
  <r>
    <x v="0"/>
    <x v="6"/>
    <x v="0"/>
    <s v="6126107"/>
    <n v="749510"/>
    <s v="Special Events"/>
    <s v="Nutrition Services-Silverdale"/>
    <x v="0"/>
    <n v="4300"/>
    <n v="0"/>
    <n v="0"/>
    <n v="0"/>
    <n v="0"/>
    <n v="32247.57"/>
    <n v="656.96"/>
    <n v="0"/>
    <n v="1441.62"/>
    <n v="0"/>
    <n v="0"/>
    <n v="0"/>
    <n v="0"/>
    <n v="34346.15"/>
    <n v="0"/>
  </r>
  <r>
    <x v="0"/>
    <x v="6"/>
    <x v="0"/>
    <s v="6126107"/>
    <n v="749530"/>
    <s v="Travel"/>
    <s v="Nutrition Services-Silverdale"/>
    <x v="0"/>
    <m/>
    <n v="0"/>
    <n v="10"/>
    <n v="5"/>
    <n v="2.5"/>
    <n v="0"/>
    <n v="0"/>
    <n v="0"/>
    <n v="2.5"/>
    <n v="7.5"/>
    <n v="6"/>
    <n v="66.77"/>
    <n v="16.57"/>
    <n v="116.84"/>
    <n v="50.199999999999996"/>
  </r>
  <r>
    <x v="0"/>
    <x v="6"/>
    <x v="0"/>
    <s v="6126107"/>
    <n v="749530"/>
    <s v="Mileage"/>
    <s v="Nutrition Services-Silverdale"/>
    <x v="0"/>
    <n v="1001"/>
    <n v="0"/>
    <n v="105.19"/>
    <n v="57.23"/>
    <n v="79.41"/>
    <n v="0"/>
    <n v="0"/>
    <n v="0"/>
    <n v="241.67"/>
    <n v="214.64"/>
    <n v="56.98"/>
    <n v="129.34"/>
    <n v="67.16"/>
    <n v="951.62"/>
    <n v="62.180000000000007"/>
  </r>
  <r>
    <x v="0"/>
    <x v="6"/>
    <x v="0"/>
    <s v="6126107"/>
    <n v="749535"/>
    <s v="Medicare Non-Allowable Beverages"/>
    <s v="Nutrition Services-Silverdale"/>
    <x v="0"/>
    <n v="1005"/>
    <n v="420.96"/>
    <n v="0"/>
    <n v="153.99"/>
    <n v="0"/>
    <n v="0"/>
    <n v="0"/>
    <n v="0"/>
    <n v="1407.23"/>
    <n v="0"/>
    <n v="110"/>
    <n v="0"/>
    <n v="258.72000000000003"/>
    <n v="2350.9000000000005"/>
    <n v="-258.72000000000003"/>
  </r>
  <r>
    <x v="0"/>
    <x v="6"/>
    <x v="0"/>
    <s v="6126107"/>
    <n v="749550"/>
    <s v="Cash Over/Short"/>
    <s v="Nutrition Services-Silverdale"/>
    <x v="0"/>
    <m/>
    <n v="-122.83"/>
    <n v="-1.35"/>
    <n v="-3.26"/>
    <n v="53.09"/>
    <n v="23.38"/>
    <n v="-13.26"/>
    <n v="35.340000000000003"/>
    <n v="72.89"/>
    <n v="39.090000000000003"/>
    <n v="24.07"/>
    <n v="11.58"/>
    <n v="12.84"/>
    <n v="131.57999999999998"/>
    <n v="-1.2599999999999998"/>
  </r>
  <r>
    <x v="5"/>
    <x v="9"/>
    <x v="0"/>
    <s v="6126501"/>
    <n v="700032"/>
    <s v="Salaries-Other Pat Care Providers-Productive"/>
    <s v="IP Dietitians"/>
    <x v="0"/>
    <m/>
    <n v="66936.759999999995"/>
    <n v="67892.2"/>
    <n v="68607.86"/>
    <n v="70986.320000000007"/>
    <n v="70318.03"/>
    <n v="66616.600000000006"/>
    <n v="70159.649999999994"/>
    <n v="67046.95"/>
    <n v="70799.929999999993"/>
    <n v="69472.47"/>
    <n v="70657.11"/>
    <n v="70870.41"/>
    <n v="830364.29"/>
    <n v="-213.30000000000291"/>
  </r>
  <r>
    <x v="5"/>
    <x v="9"/>
    <x v="0"/>
    <s v="6126501"/>
    <n v="700032"/>
    <s v="Salaries-Other Pat Care Providers-OT"/>
    <s v="IP Dietitians"/>
    <x v="0"/>
    <n v="1000"/>
    <n v="466"/>
    <n v="934.34"/>
    <n v="469.9"/>
    <n v="671.42"/>
    <n v="624.77"/>
    <n v="143.86000000000001"/>
    <n v="420.33"/>
    <n v="347.63"/>
    <n v="1746.87"/>
    <n v="76.08"/>
    <n v="907.31"/>
    <n v="384.22"/>
    <n v="7192.7300000000005"/>
    <n v="523.08999999999992"/>
  </r>
  <r>
    <x v="5"/>
    <x v="9"/>
    <x v="0"/>
    <s v="6126501"/>
    <n v="700032"/>
    <s v="Salaries-Other Pat Care Providers-Other"/>
    <s v="IP Dietitians"/>
    <x v="0"/>
    <n v="2000"/>
    <n v="1221.97"/>
    <n v="1499.94"/>
    <n v="1827.78"/>
    <n v="1703.02"/>
    <n v="1794.49"/>
    <n v="1963.06"/>
    <n v="2101.23"/>
    <n v="2235.94"/>
    <n v="2517.16"/>
    <n v="1723.19"/>
    <n v="2082.64"/>
    <n v="2033.95"/>
    <n v="22704.369999999995"/>
    <n v="48.689999999999827"/>
  </r>
  <r>
    <x v="5"/>
    <x v="9"/>
    <x v="0"/>
    <s v="6126501"/>
    <n v="700038"/>
    <s v="Salaries-Service/Support-Productive"/>
    <s v="IP Dietitians"/>
    <x v="0"/>
    <m/>
    <n v="2178.13"/>
    <n v="1934.84"/>
    <n v="2491.5500000000002"/>
    <n v="2276.9299999999998"/>
    <n v="2478.11"/>
    <n v="1882.53"/>
    <n v="2455.44"/>
    <n v="1940.06"/>
    <n v="2717.78"/>
    <n v="2655.61"/>
    <n v="2351.91"/>
    <n v="1730.27"/>
    <n v="27093.160000000003"/>
    <n v="621.63999999999987"/>
  </r>
  <r>
    <x v="5"/>
    <x v="9"/>
    <x v="0"/>
    <s v="6126501"/>
    <n v="700054"/>
    <s v="Salaries-Management-NonProd-Other"/>
    <s v="IP Dietitians"/>
    <x v="0"/>
    <n v="2000"/>
    <n v="0"/>
    <n v="0"/>
    <n v="0"/>
    <n v="0"/>
    <n v="0"/>
    <n v="545.35"/>
    <n v="-545.35"/>
    <n v="0"/>
    <n v="0"/>
    <n v="0"/>
    <n v="0"/>
    <n v="0"/>
    <n v="0"/>
    <n v="0"/>
  </r>
  <r>
    <x v="5"/>
    <x v="9"/>
    <x v="0"/>
    <s v="6126501"/>
    <n v="700072"/>
    <s v="Salaries-Other Pat Care Providers-Non-productive"/>
    <s v="IP Dietitians"/>
    <x v="0"/>
    <m/>
    <n v="7385.24"/>
    <n v="6959.06"/>
    <n v="8552.4"/>
    <n v="5540.44"/>
    <n v="4554.7299999999996"/>
    <n v="14687.61"/>
    <n v="10070.200000000001"/>
    <n v="10531.84"/>
    <n v="13126.78"/>
    <n v="7589.27"/>
    <n v="4657.84"/>
    <n v="6722.99"/>
    <n v="100378.4"/>
    <n v="-2065.1499999999996"/>
  </r>
  <r>
    <x v="5"/>
    <x v="9"/>
    <x v="0"/>
    <s v="6126501"/>
    <n v="700072"/>
    <s v="Salaries-Other Pat Care Providers-NonProd-Other"/>
    <s v="IP Dietitians"/>
    <x v="0"/>
    <n v="2000"/>
    <n v="100.58"/>
    <n v="71.2"/>
    <n v="91.93"/>
    <n v="71.77"/>
    <n v="57.92"/>
    <n v="150.21"/>
    <n v="186.44"/>
    <n v="190.88"/>
    <n v="229.56"/>
    <n v="95.9"/>
    <n v="66.3"/>
    <n v="105.74"/>
    <n v="1418.43"/>
    <n v="-39.44"/>
  </r>
  <r>
    <x v="5"/>
    <x v="9"/>
    <x v="0"/>
    <s v="6126501"/>
    <n v="700078"/>
    <s v="Salaries-Service/Support-Non-productive"/>
    <s v="IP Dietitians"/>
    <x v="0"/>
    <m/>
    <n v="468.94"/>
    <n v="782.21"/>
    <n v="666.19"/>
    <n v="1140.1600000000001"/>
    <n v="252.71"/>
    <n v="1332.18"/>
    <n v="653.17999999999995"/>
    <n v="1054.48"/>
    <n v="339.56"/>
    <n v="244.42"/>
    <n v="592.20000000000005"/>
    <n v="1511.86"/>
    <n v="9038.090000000002"/>
    <n v="-919.65999999999985"/>
  </r>
  <r>
    <x v="5"/>
    <x v="9"/>
    <x v="0"/>
    <s v="6126501"/>
    <n v="700084"/>
    <s v="Accrued PTO"/>
    <s v="IP Dietitians"/>
    <x v="0"/>
    <m/>
    <n v="2994.1"/>
    <n v="1410.77"/>
    <n v="834.81"/>
    <n v="3701.75"/>
    <n v="3779.97"/>
    <n v="-401.86"/>
    <n v="1267.96"/>
    <n v="-1899.68"/>
    <n v="-3194.38"/>
    <n v="864.65"/>
    <n v="2447.2199999999998"/>
    <n v="4663.62"/>
    <n v="16468.929999999997"/>
    <n v="-2216.4"/>
  </r>
  <r>
    <x v="6"/>
    <x v="9"/>
    <x v="0"/>
    <s v="6126501"/>
    <n v="713010"/>
    <s v="Benefits-FICA/Medicare"/>
    <s v="IP Dietitians"/>
    <x v="0"/>
    <m/>
    <n v="5758.51"/>
    <n v="5784.32"/>
    <n v="5963.48"/>
    <n v="5962.31"/>
    <n v="5819.65"/>
    <n v="6734.03"/>
    <n v="6270.61"/>
    <n v="6064.39"/>
    <n v="6651.89"/>
    <n v="5929.3"/>
    <n v="5884.88"/>
    <n v="6208.51"/>
    <n v="73031.87999999999"/>
    <n v="-323.63000000000011"/>
  </r>
  <r>
    <x v="6"/>
    <x v="9"/>
    <x v="0"/>
    <s v="6126501"/>
    <n v="713090"/>
    <s v="Benefits-Allocated Amounts"/>
    <s v="IP Dietitians"/>
    <x v="0"/>
    <m/>
    <n v="16558.63"/>
    <n v="15510.48"/>
    <n v="17241.46"/>
    <n v="16272.72"/>
    <n v="15349.02"/>
    <n v="18110.599999999999"/>
    <n v="18681.82"/>
    <n v="18476.43"/>
    <n v="20814.87"/>
    <n v="18303.63"/>
    <n v="17613.900000000001"/>
    <n v="18445.13"/>
    <n v="211378.69"/>
    <n v="-831.22999999999956"/>
  </r>
  <r>
    <x v="11"/>
    <x v="9"/>
    <x v="0"/>
    <s v="6126501"/>
    <n v="721810"/>
    <s v="Supplies-Dietary/Cafeteria"/>
    <s v="IP Dietitians"/>
    <x v="0"/>
    <m/>
    <n v="0"/>
    <n v="0"/>
    <n v="0"/>
    <n v="0"/>
    <n v="8"/>
    <n v="6.08"/>
    <n v="0"/>
    <n v="20.399999999999999"/>
    <n v="0"/>
    <n v="0"/>
    <n v="0"/>
    <n v="0"/>
    <n v="34.479999999999997"/>
    <n v="0"/>
  </r>
  <r>
    <x v="0"/>
    <x v="9"/>
    <x v="0"/>
    <s v="6126501"/>
    <n v="740010"/>
    <s v="Education-Materials"/>
    <s v="IP Dietitians"/>
    <x v="0"/>
    <m/>
    <n v="19.82"/>
    <n v="0"/>
    <n v="0"/>
    <n v="0"/>
    <n v="0"/>
    <n v="0"/>
    <n v="0"/>
    <n v="201.6"/>
    <n v="0"/>
    <n v="0"/>
    <n v="0"/>
    <n v="0"/>
    <n v="221.42"/>
    <n v="0"/>
  </r>
  <r>
    <x v="0"/>
    <x v="9"/>
    <x v="0"/>
    <s v="6126501"/>
    <n v="740020"/>
    <s v="Education-Registration Fees"/>
    <s v="IP Dietitians"/>
    <x v="0"/>
    <m/>
    <n v="0"/>
    <n v="0"/>
    <n v="0"/>
    <n v="0"/>
    <n v="0"/>
    <n v="0"/>
    <n v="0"/>
    <n v="0"/>
    <n v="210"/>
    <n v="350"/>
    <n v="0"/>
    <n v="0"/>
    <n v="560"/>
    <n v="0"/>
  </r>
  <r>
    <x v="0"/>
    <x v="9"/>
    <x v="0"/>
    <s v="6126501"/>
    <n v="749510"/>
    <s v="RICE Rewards"/>
    <s v="IP Dietitians"/>
    <x v="0"/>
    <n v="5100"/>
    <n v="0"/>
    <n v="0"/>
    <n v="0"/>
    <n v="289.16000000000003"/>
    <n v="0"/>
    <n v="0"/>
    <n v="0"/>
    <n v="0"/>
    <n v="0"/>
    <n v="0"/>
    <n v="0"/>
    <n v="0"/>
    <n v="289.16000000000003"/>
    <n v="0"/>
  </r>
  <r>
    <x v="0"/>
    <x v="9"/>
    <x v="0"/>
    <s v="6126501"/>
    <n v="749530"/>
    <s v="Travel"/>
    <s v="IP Dietitians"/>
    <x v="0"/>
    <m/>
    <n v="20"/>
    <n v="0"/>
    <n v="0"/>
    <n v="25"/>
    <n v="0"/>
    <n v="20"/>
    <n v="0"/>
    <n v="0"/>
    <n v="323.32"/>
    <n v="0"/>
    <n v="982.24"/>
    <n v="20"/>
    <n v="1390.56"/>
    <n v="962.24"/>
  </r>
  <r>
    <x v="0"/>
    <x v="9"/>
    <x v="0"/>
    <s v="6126501"/>
    <n v="749530"/>
    <s v="Mileage"/>
    <s v="IP Dietitians"/>
    <x v="0"/>
    <n v="1001"/>
    <n v="252.89"/>
    <n v="0"/>
    <n v="0"/>
    <n v="282.86"/>
    <n v="0"/>
    <n v="231.63"/>
    <n v="0"/>
    <n v="0"/>
    <n v="216.11"/>
    <n v="0"/>
    <n v="0"/>
    <n v="385.7"/>
    <n v="1369.19"/>
    <n v="-385.7"/>
  </r>
  <r>
    <x v="18"/>
    <x v="3"/>
    <x v="0"/>
    <s v="6127101"/>
    <n v="400010"/>
    <s v="Acute I/P Svcs Rev--Medicare"/>
    <s v="Outpatient Dietitians"/>
    <x v="0"/>
    <n v="1100"/>
    <n v="0"/>
    <n v="0"/>
    <n v="0"/>
    <n v="0"/>
    <n v="0"/>
    <n v="-187.42"/>
    <n v="0"/>
    <n v="-187.42"/>
    <n v="0"/>
    <n v="0"/>
    <n v="0"/>
    <n v="0"/>
    <n v="-374.84"/>
    <n v="0"/>
  </r>
  <r>
    <x v="19"/>
    <x v="3"/>
    <x v="0"/>
    <s v="6127101"/>
    <n v="400020"/>
    <s v="O/P Care Svcs Rev--Medicare"/>
    <s v="Outpatient Dietitians"/>
    <x v="0"/>
    <n v="1100"/>
    <n v="-21258.79"/>
    <n v="-17430.060000000001"/>
    <n v="-18081.57"/>
    <n v="-20709.91"/>
    <n v="-23146.37"/>
    <n v="-22115.56"/>
    <n v="-21459.59"/>
    <n v="-18347.23"/>
    <n v="-23641.78"/>
    <n v="-25095.200000000001"/>
    <n v="-28944.76"/>
    <n v="-24612.6"/>
    <n v="-264843.42000000004"/>
    <n v="-4332.16"/>
  </r>
  <r>
    <x v="19"/>
    <x v="3"/>
    <x v="0"/>
    <s v="6127101"/>
    <n v="400020"/>
    <s v="O/P Care Svcs Rev--Medicaid"/>
    <s v="Outpatient Dietitians"/>
    <x v="0"/>
    <n v="1200"/>
    <n v="-31089.42"/>
    <n v="-26738.57"/>
    <n v="-26537.35"/>
    <n v="-29893.49"/>
    <n v="-27457.03"/>
    <n v="-25114.28"/>
    <n v="-26809.98"/>
    <n v="-19797.84"/>
    <n v="-24923.48"/>
    <n v="-32527.24"/>
    <n v="-31090.68"/>
    <n v="-25384.76"/>
    <n v="-327364.12"/>
    <n v="-5705.9200000000019"/>
  </r>
  <r>
    <x v="19"/>
    <x v="3"/>
    <x v="0"/>
    <s v="6127101"/>
    <n v="400020"/>
    <s v="O/P Care Svcs Rev--Comm Insurance"/>
    <s v="Outpatient Dietitians"/>
    <x v="0"/>
    <n v="1300"/>
    <n v="-1227.1500000000001"/>
    <n v="-1593.07"/>
    <n v="-2249.04"/>
    <n v="-562.26"/>
    <n v="-1124.52"/>
    <n v="-655.97"/>
    <n v="-1967.91"/>
    <n v="-1640.84"/>
    <n v="-1158.24"/>
    <n v="-1447.8"/>
    <n v="-2026.92"/>
    <n v="-1447.8"/>
    <n v="-17101.52"/>
    <n v="-579.12000000000012"/>
  </r>
  <r>
    <x v="19"/>
    <x v="3"/>
    <x v="0"/>
    <s v="6127101"/>
    <n v="400020"/>
    <s v="O/P Care Svcs Rev--BCBS Comm"/>
    <s v="Outpatient Dietitians"/>
    <x v="0"/>
    <n v="1301"/>
    <n v="-5805.56"/>
    <n v="-6747.12"/>
    <n v="-6635.57"/>
    <n v="-6559.7"/>
    <n v="-6747.12"/>
    <n v="-7309.38"/>
    <n v="-7206.75"/>
    <n v="-6566.17"/>
    <n v="-8482.52"/>
    <n v="-7909.02"/>
    <n v="-8590.2800000000007"/>
    <n v="-6177.28"/>
    <n v="-84736.47"/>
    <n v="-2413.0000000000009"/>
  </r>
  <r>
    <x v="19"/>
    <x v="3"/>
    <x v="0"/>
    <s v="6127101"/>
    <n v="400020"/>
    <s v="O/P Care Svcs Rev--Managed Care"/>
    <s v="Outpatient Dietitians"/>
    <x v="0"/>
    <n v="1400"/>
    <n v="-13382.69"/>
    <n v="-15908.4"/>
    <n v="-14899.89"/>
    <n v="-15743.28"/>
    <n v="-16492.96"/>
    <n v="-17804.900000000001"/>
    <n v="-26145.09"/>
    <n v="-21598"/>
    <n v="-20534.63"/>
    <n v="-22296.12"/>
    <n v="-24621.03"/>
    <n v="-20751.8"/>
    <n v="-230178.78999999998"/>
    <n v="-3869.2299999999996"/>
  </r>
  <r>
    <x v="19"/>
    <x v="3"/>
    <x v="0"/>
    <s v="6127101"/>
    <n v="400020"/>
    <s v="O/P Care Svcs Rev--Self Pay"/>
    <s v="Outpatient Dietitians"/>
    <x v="0"/>
    <n v="1500"/>
    <n v="-2739.89"/>
    <n v="-1303.02"/>
    <n v="-1593.07"/>
    <n v="-2155.33"/>
    <n v="-2998.72"/>
    <n v="-1030.81"/>
    <n v="-4498.08"/>
    <n v="-2413"/>
    <n v="-3880.47"/>
    <n v="-4445.54"/>
    <n v="-2018.49"/>
    <n v="-1158.24"/>
    <n v="-30234.660000000003"/>
    <n v="-860.25"/>
  </r>
  <r>
    <x v="19"/>
    <x v="3"/>
    <x v="0"/>
    <s v="6127101"/>
    <n v="400020"/>
    <s v="O/P Care Svcs Rev--Other"/>
    <s v="Outpatient Dietitians"/>
    <x v="0"/>
    <n v="1700"/>
    <n v="-1209.31"/>
    <n v="-1686.78"/>
    <n v="-1013.39"/>
    <n v="-1686.78"/>
    <n v="-2530.17"/>
    <n v="-1124.52"/>
    <n v="-1967.91"/>
    <n v="-868.68"/>
    <n v="-2123.44"/>
    <n v="-2123.44"/>
    <n v="-1061.72"/>
    <n v="-3764.28"/>
    <n v="-21160.420000000002"/>
    <n v="2702.5600000000004"/>
  </r>
  <r>
    <x v="5"/>
    <x v="3"/>
    <x v="0"/>
    <s v="6127101"/>
    <n v="700032"/>
    <s v="Salaries-Other Pat Care Providers-Productive"/>
    <s v="Outpatient Dietitians"/>
    <x v="0"/>
    <m/>
    <n v="22708.53"/>
    <n v="18345.79"/>
    <n v="23666.47"/>
    <n v="20097.32"/>
    <n v="24972.74"/>
    <n v="18481.13"/>
    <n v="22254.639999999999"/>
    <n v="21491.94"/>
    <n v="23911.9"/>
    <n v="21900.67"/>
    <n v="23386.95"/>
    <n v="22621.07"/>
    <n v="263839.15000000002"/>
    <n v="765.88000000000102"/>
  </r>
  <r>
    <x v="5"/>
    <x v="3"/>
    <x v="0"/>
    <s v="6127101"/>
    <n v="700032"/>
    <s v="Salaries-Other Pat Care Providers-OT"/>
    <s v="Outpatient Dietitians"/>
    <x v="0"/>
    <n v="1000"/>
    <n v="61.39"/>
    <n v="333.67"/>
    <n v="257.3"/>
    <n v="64.17"/>
    <n v="161.59"/>
    <n v="102.82"/>
    <n v="116.15"/>
    <n v="281.33999999999997"/>
    <n v="149.47"/>
    <n v="643.61"/>
    <n v="3.04"/>
    <n v="95.22"/>
    <n v="2269.77"/>
    <n v="-92.179999999999993"/>
  </r>
  <r>
    <x v="5"/>
    <x v="3"/>
    <x v="0"/>
    <s v="6127101"/>
    <n v="700032"/>
    <s v="Salaries-Other Pat Care Providers-Other"/>
    <s v="Outpatient Dietitians"/>
    <x v="0"/>
    <n v="2000"/>
    <n v="320.02"/>
    <n v="312.61"/>
    <n v="286.52999999999997"/>
    <n v="285.5"/>
    <n v="323.58999999999997"/>
    <n v="248.99"/>
    <n v="230.92"/>
    <n v="293.43"/>
    <n v="306.63"/>
    <n v="250.66"/>
    <n v="344.57"/>
    <n v="288.82"/>
    <n v="3492.27"/>
    <n v="55.75"/>
  </r>
  <r>
    <x v="5"/>
    <x v="3"/>
    <x v="0"/>
    <s v="6127101"/>
    <n v="700072"/>
    <s v="Salaries-Other Pat Care Providers-Non-productive"/>
    <s v="Outpatient Dietitians"/>
    <x v="0"/>
    <m/>
    <n v="690.72"/>
    <n v="3714.82"/>
    <n v="-597.39"/>
    <n v="3975.36"/>
    <n v="305.94"/>
    <n v="3962.64"/>
    <n v="2665.46"/>
    <n v="1470.04"/>
    <n v="440.29"/>
    <n v="1253.56"/>
    <n v="4626.3900000000003"/>
    <n v="2737.73"/>
    <n v="25245.56"/>
    <n v="1888.6600000000003"/>
  </r>
  <r>
    <x v="5"/>
    <x v="3"/>
    <x v="0"/>
    <s v="6127101"/>
    <n v="700084"/>
    <s v="Accrued PTO"/>
    <s v="Outpatient Dietitians"/>
    <x v="0"/>
    <m/>
    <n v="1677.7"/>
    <n v="-742.7"/>
    <n v="1722.62"/>
    <n v="-348.94"/>
    <n v="883.38"/>
    <n v="-618.29"/>
    <n v="299.04000000000002"/>
    <n v="1094.8900000000001"/>
    <n v="2044.34"/>
    <n v="1722.47"/>
    <n v="-326.39999999999998"/>
    <n v="-662.13"/>
    <n v="6745.9800000000005"/>
    <n v="335.73"/>
  </r>
  <r>
    <x v="6"/>
    <x v="3"/>
    <x v="0"/>
    <s v="6127101"/>
    <n v="713010"/>
    <s v="Benefits-FICA/Medicare"/>
    <s v="Outpatient Dietitians"/>
    <x v="0"/>
    <m/>
    <n v="1771.74"/>
    <n v="1689.62"/>
    <n v="1760.53"/>
    <n v="1820.88"/>
    <n v="1925.02"/>
    <n v="1697.27"/>
    <n v="1880.98"/>
    <n v="1753.7"/>
    <n v="1846.09"/>
    <n v="1804.11"/>
    <n v="2106.31"/>
    <n v="1917.72"/>
    <n v="21973.97"/>
    <n v="188.58999999999992"/>
  </r>
  <r>
    <x v="6"/>
    <x v="3"/>
    <x v="0"/>
    <s v="6127101"/>
    <n v="713090"/>
    <s v="Benefits-Allocated Amounts"/>
    <s v="Outpatient Dietitians"/>
    <x v="0"/>
    <m/>
    <n v="5265.97"/>
    <n v="4529.09"/>
    <n v="5271.23"/>
    <n v="5215.51"/>
    <n v="5693.89"/>
    <n v="4995.2700000000004"/>
    <n v="5723.48"/>
    <n v="5647.46"/>
    <n v="4560.55"/>
    <n v="5653.69"/>
    <n v="6750.05"/>
    <n v="6093.39"/>
    <n v="65399.580000000009"/>
    <n v="656.65999999999985"/>
  </r>
  <r>
    <x v="7"/>
    <x v="3"/>
    <x v="0"/>
    <s v="6127101"/>
    <n v="718050"/>
    <s v="Translation Services"/>
    <s v="Outpatient Dietitians"/>
    <x v="0"/>
    <n v="1025"/>
    <n v="0"/>
    <n v="211"/>
    <n v="147.5"/>
    <n v="136"/>
    <n v="0"/>
    <n v="243.5"/>
    <n v="0"/>
    <n v="0"/>
    <n v="0"/>
    <n v="307"/>
    <n v="353.5"/>
    <n v="0"/>
    <n v="1398.5"/>
    <n v="353.5"/>
  </r>
  <r>
    <x v="11"/>
    <x v="3"/>
    <x v="0"/>
    <s v="6127101"/>
    <n v="721810"/>
    <s v="Supplies-Dietary/Cafeteria"/>
    <s v="Outpatient Dietitians"/>
    <x v="0"/>
    <m/>
    <n v="44.09"/>
    <n v="144.30000000000001"/>
    <n v="0"/>
    <n v="117.36"/>
    <n v="0"/>
    <n v="0"/>
    <n v="49.5"/>
    <n v="106.14"/>
    <n v="0"/>
    <n v="0"/>
    <n v="0"/>
    <n v="0"/>
    <n v="461.39"/>
    <n v="0"/>
  </r>
  <r>
    <x v="11"/>
    <x v="3"/>
    <x v="0"/>
    <s v="6127101"/>
    <n v="721830"/>
    <s v="Supplies-Office"/>
    <s v="Outpatient Dietitians"/>
    <x v="0"/>
    <m/>
    <n v="88.75"/>
    <n v="143.34"/>
    <n v="40.19"/>
    <n v="0"/>
    <n v="84.96"/>
    <n v="0"/>
    <n v="57.84"/>
    <n v="97.14"/>
    <n v="34.46"/>
    <n v="58.78"/>
    <n v="51.19"/>
    <n v="46.55"/>
    <n v="703.19999999999982"/>
    <n v="4.6400000000000006"/>
  </r>
  <r>
    <x v="11"/>
    <x v="3"/>
    <x v="0"/>
    <s v="6127101"/>
    <n v="721835"/>
    <s v="Supplies-Forms"/>
    <s v="Outpatient Dietitians"/>
    <x v="0"/>
    <m/>
    <n v="0"/>
    <n v="0"/>
    <n v="0"/>
    <n v="0"/>
    <n v="74.75"/>
    <n v="112.55"/>
    <n v="0"/>
    <n v="0"/>
    <n v="61.53"/>
    <n v="85.6"/>
    <n v="38.6"/>
    <n v="5.85"/>
    <n v="378.88000000000005"/>
    <n v="32.75"/>
  </r>
  <r>
    <x v="12"/>
    <x v="3"/>
    <x v="0"/>
    <s v="6127101"/>
    <n v="730010"/>
    <s v="Rental and Leases-Building (DO NOT USE)"/>
    <s v="Outpatient Dietitians"/>
    <x v="0"/>
    <m/>
    <n v="4761.09"/>
    <n v="4761.09"/>
    <n v="4761.09"/>
    <n v="4761.09"/>
    <n v="4761.09"/>
    <n v="-9016.83"/>
    <n v="2464.77"/>
    <n v="2464.77"/>
    <n v="2464.77"/>
    <n v="2506.5100000000002"/>
    <n v="2526.38"/>
    <n v="0"/>
    <n v="27215.820000000003"/>
    <n v="2526.38"/>
  </r>
  <r>
    <x v="12"/>
    <x v="3"/>
    <x v="0"/>
    <s v="6127101"/>
    <n v="730010"/>
    <s v="Rental-Common Area Maint (DO NOT USE)"/>
    <s v="Outpatient Dietitians"/>
    <x v="0"/>
    <n v="2200"/>
    <n v="0"/>
    <n v="0"/>
    <n v="0"/>
    <n v="0"/>
    <n v="0"/>
    <n v="13822.38"/>
    <n v="2340.7800000000002"/>
    <n v="2340.7800000000002"/>
    <n v="781.95"/>
    <n v="2340.7800000000002"/>
    <n v="2340.7800000000002"/>
    <n v="0"/>
    <n v="23967.449999999997"/>
    <n v="2340.7800000000002"/>
  </r>
  <r>
    <x v="12"/>
    <x v="3"/>
    <x v="0"/>
    <s v="6127101"/>
    <n v="730040"/>
    <s v="LT Lease-Real Estate"/>
    <s v="Outpatient Dietitians"/>
    <x v="0"/>
    <m/>
    <n v="0"/>
    <n v="0"/>
    <n v="0"/>
    <n v="0"/>
    <n v="0"/>
    <n v="0"/>
    <n v="0"/>
    <n v="0"/>
    <n v="0"/>
    <n v="0"/>
    <n v="0"/>
    <n v="4867.16"/>
    <n v="4867.16"/>
    <n v="-4867.16"/>
  </r>
  <r>
    <x v="16"/>
    <x v="3"/>
    <x v="0"/>
    <s v="6127101"/>
    <n v="732030"/>
    <s v="Repairs&amp;Maintenance-Bldg Routine"/>
    <s v="Outpatient Dietitians"/>
    <x v="0"/>
    <n v="2300"/>
    <n v="0"/>
    <n v="0"/>
    <n v="0"/>
    <n v="0"/>
    <n v="0"/>
    <n v="0"/>
    <n v="0"/>
    <n v="0"/>
    <n v="0"/>
    <n v="15.62"/>
    <n v="0"/>
    <n v="0"/>
    <n v="15.62"/>
    <n v="0"/>
  </r>
  <r>
    <x v="0"/>
    <x v="3"/>
    <x v="0"/>
    <s v="6127101"/>
    <n v="740010"/>
    <s v="Education-Materials"/>
    <s v="Outpatient Dietitians"/>
    <x v="0"/>
    <m/>
    <n v="0"/>
    <n v="223.78"/>
    <n v="0"/>
    <n v="0"/>
    <n v="0"/>
    <n v="0"/>
    <n v="0"/>
    <n v="0"/>
    <n v="0"/>
    <n v="0"/>
    <n v="338.88"/>
    <n v="223.78"/>
    <n v="786.43999999999994"/>
    <n v="115.1"/>
  </r>
  <r>
    <x v="0"/>
    <x v="3"/>
    <x v="0"/>
    <s v="6127101"/>
    <n v="749510"/>
    <s v="Miscellaneous Expenses"/>
    <s v="Outpatient Dietitians"/>
    <x v="0"/>
    <m/>
    <n v="0"/>
    <n v="0"/>
    <n v="0"/>
    <n v="0"/>
    <n v="0"/>
    <n v="0"/>
    <n v="41.76"/>
    <n v="-41.76"/>
    <n v="0"/>
    <n v="0"/>
    <n v="0"/>
    <n v="0"/>
    <n v="0"/>
    <n v="0"/>
  </r>
  <r>
    <x v="0"/>
    <x v="3"/>
    <x v="0"/>
    <s v="6127101"/>
    <n v="749530"/>
    <s v="Travel"/>
    <s v="Outpatient Dietitians"/>
    <x v="0"/>
    <m/>
    <n v="11.03"/>
    <n v="0"/>
    <n v="0"/>
    <n v="0"/>
    <n v="0"/>
    <n v="0"/>
    <n v="0"/>
    <n v="0"/>
    <n v="0"/>
    <n v="0"/>
    <n v="0"/>
    <n v="0"/>
    <n v="11.03"/>
    <n v="0"/>
  </r>
  <r>
    <x v="0"/>
    <x v="3"/>
    <x v="0"/>
    <s v="6127101"/>
    <n v="749530"/>
    <s v="Mileage"/>
    <s v="Outpatient Dietitians"/>
    <x v="0"/>
    <n v="1001"/>
    <n v="35.97"/>
    <n v="0"/>
    <n v="0"/>
    <n v="0"/>
    <n v="0"/>
    <n v="0"/>
    <n v="0"/>
    <n v="41.76"/>
    <n v="0"/>
    <n v="0"/>
    <n v="0"/>
    <n v="0"/>
    <n v="77.72999999999999"/>
    <n v="0"/>
  </r>
  <r>
    <x v="5"/>
    <x v="9"/>
    <x v="0"/>
    <s v="6150501"/>
    <n v="700014"/>
    <s v="Salaries-Management-Productive"/>
    <s v="Regional Materials Management"/>
    <x v="0"/>
    <m/>
    <n v="22885.96"/>
    <n v="21243.56"/>
    <n v="21424.31"/>
    <n v="26172.74"/>
    <n v="23637.21"/>
    <n v="20550.96"/>
    <n v="23636.43"/>
    <n v="21885.85"/>
    <n v="25878.93"/>
    <n v="29709.49"/>
    <n v="32922.800000000003"/>
    <n v="25914.97"/>
    <n v="295863.20999999996"/>
    <n v="7007.8300000000017"/>
  </r>
  <r>
    <x v="5"/>
    <x v="9"/>
    <x v="0"/>
    <s v="6150501"/>
    <n v="700014"/>
    <s v="Salaries-Management-Other"/>
    <s v="Regional Materials Management"/>
    <x v="0"/>
    <n v="2000"/>
    <n v="412.82"/>
    <n v="340.02"/>
    <n v="364.29"/>
    <n v="72.87"/>
    <n v="0"/>
    <n v="0"/>
    <n v="0"/>
    <n v="203.85"/>
    <n v="332.64"/>
    <n v="321.89"/>
    <n v="332.63"/>
    <n v="321.91000000000003"/>
    <n v="2702.9199999999996"/>
    <n v="10.71999999999997"/>
  </r>
  <r>
    <x v="5"/>
    <x v="9"/>
    <x v="0"/>
    <s v="6150501"/>
    <n v="700018"/>
    <s v="Salaries-Supervisory-Productive"/>
    <s v="Regional Materials Management"/>
    <x v="0"/>
    <m/>
    <n v="0"/>
    <n v="0"/>
    <n v="0"/>
    <n v="0"/>
    <n v="0"/>
    <n v="0"/>
    <n v="3031.82"/>
    <n v="3861.72"/>
    <n v="5106.41"/>
    <n v="4787.13"/>
    <n v="4516"/>
    <n v="4771.38"/>
    <n v="26074.460000000003"/>
    <n v="-255.38000000000011"/>
  </r>
  <r>
    <x v="5"/>
    <x v="9"/>
    <x v="0"/>
    <s v="6150501"/>
    <n v="700034"/>
    <s v="Salaries-Tech/Professional-Productive"/>
    <s v="Regional Materials Management"/>
    <x v="0"/>
    <m/>
    <n v="66723.11"/>
    <n v="75120.55"/>
    <n v="67078.03"/>
    <n v="80686.66"/>
    <n v="78988.87"/>
    <n v="66806.740000000005"/>
    <n v="73247.570000000007"/>
    <n v="57927.98"/>
    <n v="72381.63"/>
    <n v="70464.240000000005"/>
    <n v="74753.2"/>
    <n v="69096.13"/>
    <n v="853274.71"/>
    <n v="5657.0699999999924"/>
  </r>
  <r>
    <x v="5"/>
    <x v="9"/>
    <x v="0"/>
    <s v="6150501"/>
    <n v="700034"/>
    <s v="Salaries-Tech/Professional-OT"/>
    <s v="Regional Materials Management"/>
    <x v="0"/>
    <n v="1000"/>
    <n v="535.28"/>
    <n v="26.84"/>
    <n v="554.67999999999995"/>
    <n v="-103.48"/>
    <n v="23.07"/>
    <n v="47.5"/>
    <n v="47.36"/>
    <n v="-1.59"/>
    <n v="310.52999999999997"/>
    <n v="627.03"/>
    <n v="-67.73"/>
    <n v="284.97000000000003"/>
    <n v="2284.46"/>
    <n v="-352.70000000000005"/>
  </r>
  <r>
    <x v="5"/>
    <x v="9"/>
    <x v="0"/>
    <s v="6150501"/>
    <n v="700034"/>
    <s v="Salaries-Tech/Professional-Other"/>
    <s v="Regional Materials Management"/>
    <x v="0"/>
    <n v="2000"/>
    <n v="30"/>
    <n v="0"/>
    <n v="32.4"/>
    <n v="0"/>
    <n v="0"/>
    <n v="0"/>
    <n v="0"/>
    <n v="150.22"/>
    <n v="0"/>
    <n v="0"/>
    <n v="30.07"/>
    <n v="-0.03"/>
    <n v="242.66"/>
    <n v="30.1"/>
  </r>
  <r>
    <x v="5"/>
    <x v="9"/>
    <x v="0"/>
    <s v="6150501"/>
    <n v="700038"/>
    <s v="Salaries-Service/Support-Productive"/>
    <s v="Regional Materials Management"/>
    <x v="0"/>
    <m/>
    <n v="4033.6"/>
    <n v="3762.93"/>
    <n v="4223.9799999999996"/>
    <n v="5141.6499999999996"/>
    <n v="4187.5200000000004"/>
    <n v="3915.31"/>
    <n v="4705.4799999999996"/>
    <n v="4935.34"/>
    <n v="4492.16"/>
    <n v="4568.72"/>
    <n v="2864.14"/>
    <n v="5489.41"/>
    <n v="52320.240000000005"/>
    <n v="-2625.27"/>
  </r>
  <r>
    <x v="5"/>
    <x v="9"/>
    <x v="0"/>
    <s v="6150501"/>
    <n v="700038"/>
    <s v="Salaries-Service/Support-OT"/>
    <s v="Regional Materials Management"/>
    <x v="0"/>
    <n v="1000"/>
    <n v="0"/>
    <n v="0"/>
    <n v="0"/>
    <n v="0"/>
    <n v="446.85"/>
    <n v="-446.85"/>
    <n v="0"/>
    <n v="0"/>
    <n v="0"/>
    <n v="0"/>
    <n v="0"/>
    <n v="0"/>
    <n v="0"/>
    <n v="0"/>
  </r>
  <r>
    <x v="5"/>
    <x v="9"/>
    <x v="0"/>
    <s v="6150501"/>
    <n v="700054"/>
    <s v="Salaries-Management-Non-productive"/>
    <s v="Regional Materials Management"/>
    <x v="0"/>
    <m/>
    <n v="2747.37"/>
    <n v="4390.95"/>
    <n v="3383.61"/>
    <n v="104.63"/>
    <n v="2453.9699999999998"/>
    <n v="6268.62"/>
    <n v="3225"/>
    <n v="5793.13"/>
    <n v="6559.33"/>
    <n v="1681.31"/>
    <n v="-484.53"/>
    <n v="5477.3"/>
    <n v="41600.69"/>
    <n v="-5961.83"/>
  </r>
  <r>
    <x v="5"/>
    <x v="9"/>
    <x v="0"/>
    <s v="6150501"/>
    <n v="700054"/>
    <s v="Salaries-Management-NonProd-Other"/>
    <s v="Regional Materials Management"/>
    <x v="0"/>
    <n v="2000"/>
    <n v="0"/>
    <n v="0"/>
    <n v="0"/>
    <n v="0"/>
    <n v="0"/>
    <n v="1779.92"/>
    <n v="-1779.92"/>
    <n v="0"/>
    <n v="0"/>
    <n v="0"/>
    <n v="0"/>
    <n v="0"/>
    <n v="0"/>
    <n v="0"/>
  </r>
  <r>
    <x v="5"/>
    <x v="9"/>
    <x v="0"/>
    <s v="6150501"/>
    <n v="700058"/>
    <s v="Salaries-Supervisory-Non-productive"/>
    <s v="Regional Materials Management"/>
    <x v="0"/>
    <m/>
    <n v="0"/>
    <n v="0"/>
    <n v="0"/>
    <n v="0"/>
    <n v="0"/>
    <n v="0"/>
    <n v="0"/>
    <n v="606.37"/>
    <n v="-159.55000000000001"/>
    <n v="0"/>
    <n v="430.83"/>
    <n v="15.99"/>
    <n v="893.64"/>
    <n v="414.84"/>
  </r>
  <r>
    <x v="5"/>
    <x v="9"/>
    <x v="0"/>
    <s v="6150501"/>
    <n v="700074"/>
    <s v="Salaries-Tech/Professional-Non-productive"/>
    <s v="Regional Materials Management"/>
    <x v="0"/>
    <m/>
    <n v="14690.63"/>
    <n v="8414.67"/>
    <n v="13664.72"/>
    <n v="3780.03"/>
    <n v="4433.25"/>
    <n v="18885.259999999998"/>
    <n v="9582.6"/>
    <n v="12039.59"/>
    <n v="3855.97"/>
    <n v="3820.01"/>
    <n v="6652.43"/>
    <n v="10851.32"/>
    <n v="110670.48000000001"/>
    <n v="-4198.8899999999994"/>
  </r>
  <r>
    <x v="5"/>
    <x v="9"/>
    <x v="0"/>
    <s v="6150501"/>
    <n v="700074"/>
    <s v="Salaries-Tech/Professional-NonProd-Other"/>
    <s v="Regional Materials Management"/>
    <x v="0"/>
    <n v="2000"/>
    <n v="0"/>
    <n v="0"/>
    <n v="0"/>
    <n v="0"/>
    <n v="761.42"/>
    <n v="815.06"/>
    <n v="0"/>
    <n v="-1576.48"/>
    <n v="0"/>
    <n v="0"/>
    <n v="0"/>
    <n v="0"/>
    <n v="0"/>
    <n v="0"/>
  </r>
  <r>
    <x v="5"/>
    <x v="9"/>
    <x v="0"/>
    <s v="6150501"/>
    <n v="700078"/>
    <s v="Salaries-Service/Support-Non-productive"/>
    <s v="Regional Materials Management"/>
    <x v="0"/>
    <m/>
    <n v="632.16"/>
    <n v="903.04"/>
    <n v="779.07"/>
    <n v="98.45"/>
    <n v="1157.52"/>
    <n v="1123.48"/>
    <n v="579.89"/>
    <n v="0"/>
    <n v="750.08"/>
    <n v="545.5"/>
    <n v="2420.7399999999998"/>
    <n v="-374.94"/>
    <n v="8614.99"/>
    <n v="2795.68"/>
  </r>
  <r>
    <x v="5"/>
    <x v="9"/>
    <x v="0"/>
    <s v="6150501"/>
    <n v="700078"/>
    <s v="Salaries-Service/Support-NonProd-Other"/>
    <s v="Regional Materials Management"/>
    <x v="0"/>
    <n v="2000"/>
    <n v="0"/>
    <n v="0"/>
    <n v="0"/>
    <n v="0"/>
    <n v="262.39"/>
    <n v="0"/>
    <n v="0"/>
    <n v="-262.39"/>
    <n v="0"/>
    <n v="0"/>
    <n v="0"/>
    <n v="0"/>
    <n v="0"/>
    <n v="0"/>
  </r>
  <r>
    <x v="5"/>
    <x v="9"/>
    <x v="0"/>
    <s v="6150501"/>
    <n v="700084"/>
    <s v="Accrued PTO"/>
    <s v="Regional Materials Management"/>
    <x v="0"/>
    <m/>
    <n v="-13715.29"/>
    <n v="1830.88"/>
    <n v="-3195.39"/>
    <n v="11700.6"/>
    <n v="7263.41"/>
    <n v="-6316.23"/>
    <n v="212.98"/>
    <n v="7443.46"/>
    <n v="3213.65"/>
    <n v="14582.72"/>
    <n v="9883.75"/>
    <n v="4033.05"/>
    <n v="36937.590000000004"/>
    <n v="5850.7"/>
  </r>
  <r>
    <x v="6"/>
    <x v="9"/>
    <x v="0"/>
    <s v="6150501"/>
    <n v="713010"/>
    <s v="Benefits-FICA/Medicare"/>
    <s v="Regional Materials Management"/>
    <x v="0"/>
    <m/>
    <n v="8322.2000000000007"/>
    <n v="8436.08"/>
    <n v="8233.7099999999991"/>
    <n v="8565.41"/>
    <n v="8837.09"/>
    <n v="8973.39"/>
    <n v="8831.58"/>
    <n v="7912.7"/>
    <n v="8806.16"/>
    <n v="8570.1200000000008"/>
    <n v="9175.08"/>
    <n v="9054.0300000000007"/>
    <n v="103717.54999999999"/>
    <n v="121.04999999999927"/>
  </r>
  <r>
    <x v="6"/>
    <x v="9"/>
    <x v="0"/>
    <s v="6150501"/>
    <n v="713090"/>
    <s v="Benefits-Allocated Amounts"/>
    <s v="Regional Materials Management"/>
    <x v="0"/>
    <m/>
    <n v="25019.47"/>
    <n v="24007.39"/>
    <n v="25233.759999999998"/>
    <n v="25132.05"/>
    <n v="24351.22"/>
    <n v="26583.47"/>
    <n v="27807.8"/>
    <n v="26578.73"/>
    <n v="29217.09"/>
    <n v="28445.43"/>
    <n v="29425.16"/>
    <n v="29135.89"/>
    <n v="320937.45999999996"/>
    <n v="289.27000000000044"/>
  </r>
  <r>
    <x v="6"/>
    <x v="9"/>
    <x v="0"/>
    <s v="6150501"/>
    <n v="713096"/>
    <s v="Employee Relations/Picnic"/>
    <s v="Regional Materials Management"/>
    <x v="0"/>
    <n v="1004"/>
    <n v="-649.87"/>
    <n v="0"/>
    <n v="0"/>
    <n v="0"/>
    <n v="0"/>
    <n v="0"/>
    <n v="0"/>
    <n v="0"/>
    <n v="0"/>
    <n v="0"/>
    <n v="0"/>
    <n v="0"/>
    <n v="-649.87"/>
    <n v="0"/>
  </r>
  <r>
    <x v="6"/>
    <x v="9"/>
    <x v="0"/>
    <s v="6150501"/>
    <n v="713096"/>
    <s v="Employee Recognition"/>
    <s v="Regional Materials Management"/>
    <x v="0"/>
    <n v="1017"/>
    <n v="-162.51"/>
    <n v="0"/>
    <n v="0"/>
    <n v="0"/>
    <n v="0"/>
    <n v="0"/>
    <n v="0"/>
    <n v="0"/>
    <n v="0"/>
    <n v="0"/>
    <n v="0"/>
    <n v="81.96"/>
    <n v="-80.55"/>
    <n v="-81.96"/>
  </r>
  <r>
    <x v="7"/>
    <x v="9"/>
    <x v="0"/>
    <s v="6150501"/>
    <n v="718050"/>
    <s v="Document Shredding/Storage"/>
    <s v="Regional Materials Management"/>
    <x v="0"/>
    <n v="1012"/>
    <n v="74.77"/>
    <n v="76.540000000000006"/>
    <n v="70.459999999999994"/>
    <n v="72.91"/>
    <n v="75.36"/>
    <n v="75.36"/>
    <n v="74.599999999999994"/>
    <n v="63.97"/>
    <n v="66.290000000000006"/>
    <n v="86.83"/>
    <n v="72.91"/>
    <n v="75.36"/>
    <n v="885.36"/>
    <n v="-2.4500000000000028"/>
  </r>
  <r>
    <x v="7"/>
    <x v="9"/>
    <x v="0"/>
    <s v="6150501"/>
    <n v="718050"/>
    <s v="Miscellaneous Purchased Svcs"/>
    <s v="Regional Materials Management"/>
    <x v="0"/>
    <n v="1020"/>
    <n v="0"/>
    <n v="0"/>
    <n v="0"/>
    <n v="-172"/>
    <n v="0"/>
    <n v="0"/>
    <n v="0"/>
    <n v="0"/>
    <n v="0"/>
    <n v="0"/>
    <n v="0"/>
    <n v="0"/>
    <n v="-172"/>
    <n v="0"/>
  </r>
  <r>
    <x v="11"/>
    <x v="9"/>
    <x v="0"/>
    <s v="6150501"/>
    <n v="721010"/>
    <s v="Supplies-Medical - Billable"/>
    <s v="Regional Materials Management"/>
    <x v="0"/>
    <m/>
    <n v="0"/>
    <n v="0"/>
    <n v="0"/>
    <n v="-0.78"/>
    <n v="0"/>
    <n v="0"/>
    <n v="0"/>
    <n v="0"/>
    <n v="0"/>
    <n v="0"/>
    <n v="0"/>
    <n v="0"/>
    <n v="-0.78"/>
    <n v="0"/>
  </r>
  <r>
    <x v="11"/>
    <x v="9"/>
    <x v="0"/>
    <s v="6150501"/>
    <n v="721410"/>
    <s v="Supplies-Medical - Nonbillable"/>
    <s v="Regional Materials Management"/>
    <x v="0"/>
    <m/>
    <n v="0"/>
    <n v="0"/>
    <n v="22.68"/>
    <n v="14.42"/>
    <n v="0"/>
    <n v="0"/>
    <n v="0"/>
    <n v="0"/>
    <n v="0"/>
    <n v="0"/>
    <n v="0"/>
    <n v="0"/>
    <n v="37.1"/>
    <n v="0"/>
  </r>
  <r>
    <x v="11"/>
    <x v="9"/>
    <x v="0"/>
    <s v="6150501"/>
    <n v="721810"/>
    <s v="Supplies-Dietary/Cafeteria"/>
    <s v="Regional Materials Management"/>
    <x v="0"/>
    <m/>
    <n v="157.38999999999999"/>
    <n v="16.71"/>
    <n v="111.86"/>
    <n v="636.1"/>
    <n v="58.09"/>
    <n v="228.21"/>
    <n v="15.21"/>
    <n v="15.06"/>
    <n v="15.14"/>
    <n v="178.81"/>
    <n v="8"/>
    <n v="103.86"/>
    <n v="1544.4399999999998"/>
    <n v="-95.86"/>
  </r>
  <r>
    <x v="11"/>
    <x v="9"/>
    <x v="0"/>
    <s v="6150501"/>
    <n v="721830"/>
    <s v="Supplies-Office"/>
    <s v="Regional Materials Management"/>
    <x v="0"/>
    <m/>
    <n v="542.92999999999995"/>
    <n v="198.97"/>
    <n v="571.39"/>
    <n v="807.22"/>
    <n v="800.66"/>
    <n v="405.61"/>
    <n v="245.9"/>
    <n v="393.25"/>
    <n v="109.9"/>
    <n v="1219.1300000000001"/>
    <n v="371.15"/>
    <n v="0"/>
    <n v="5666.1100000000006"/>
    <n v="371.15"/>
  </r>
  <r>
    <x v="11"/>
    <x v="9"/>
    <x v="0"/>
    <s v="6150501"/>
    <n v="721835"/>
    <s v="Supplies-Forms"/>
    <s v="Regional Materials Management"/>
    <x v="0"/>
    <m/>
    <n v="0"/>
    <n v="0"/>
    <n v="0"/>
    <n v="0"/>
    <n v="0.28999999999999998"/>
    <n v="0"/>
    <n v="0"/>
    <n v="0"/>
    <n v="0"/>
    <n v="0"/>
    <n v="0"/>
    <n v="0"/>
    <n v="0.28999999999999998"/>
    <n v="0"/>
  </r>
  <r>
    <x v="11"/>
    <x v="9"/>
    <x v="0"/>
    <s v="6150501"/>
    <n v="721870"/>
    <s v="Supplies-Environmental Services"/>
    <s v="Regional Materials Management"/>
    <x v="0"/>
    <m/>
    <n v="6.53"/>
    <n v="0"/>
    <n v="0"/>
    <n v="0"/>
    <n v="0"/>
    <n v="0"/>
    <n v="0"/>
    <n v="13.06"/>
    <n v="0"/>
    <n v="0"/>
    <n v="0"/>
    <n v="0"/>
    <n v="19.59"/>
    <n v="0"/>
  </r>
  <r>
    <x v="11"/>
    <x v="9"/>
    <x v="0"/>
    <s v="6150501"/>
    <n v="721910"/>
    <s v="Supplies-Small Equipment"/>
    <s v="Regional Materials Management"/>
    <x v="0"/>
    <m/>
    <n v="0"/>
    <n v="26.88"/>
    <n v="0"/>
    <n v="4.2300000000000004"/>
    <n v="12.65"/>
    <n v="31.46"/>
    <n v="454.71"/>
    <n v="869.8"/>
    <n v="87.39"/>
    <n v="8.16"/>
    <n v="0"/>
    <n v="0"/>
    <n v="1495.2800000000002"/>
    <n v="0"/>
  </r>
  <r>
    <x v="11"/>
    <x v="9"/>
    <x v="0"/>
    <s v="6150501"/>
    <n v="721980"/>
    <s v="Supplies-Other"/>
    <s v="Regional Materials Management"/>
    <x v="0"/>
    <m/>
    <n v="2071.5"/>
    <n v="312.89"/>
    <n v="0"/>
    <n v="0"/>
    <n v="0"/>
    <n v="0"/>
    <n v="0"/>
    <n v="0"/>
    <n v="195"/>
    <n v="21.35"/>
    <n v="67.959999999999994"/>
    <n v="0"/>
    <n v="2668.7"/>
    <n v="67.959999999999994"/>
  </r>
  <r>
    <x v="11"/>
    <x v="9"/>
    <x v="0"/>
    <s v="6150501"/>
    <n v="722000"/>
    <s v="Supplies-Freight Expense"/>
    <s v="Regional Materials Management"/>
    <x v="0"/>
    <m/>
    <n v="0"/>
    <n v="52.88"/>
    <n v="38.92"/>
    <n v="25.04"/>
    <n v="0"/>
    <n v="0"/>
    <n v="7.54"/>
    <n v="12.5"/>
    <n v="0"/>
    <n v="0"/>
    <n v="2.37"/>
    <n v="38.6"/>
    <n v="177.85"/>
    <n v="-36.230000000000004"/>
  </r>
  <r>
    <x v="12"/>
    <x v="9"/>
    <x v="0"/>
    <s v="6150501"/>
    <n v="730010"/>
    <s v="Rental and Leases-Building (DO NOT USE)"/>
    <s v="Regional Materials Management"/>
    <x v="0"/>
    <m/>
    <n v="1881.25"/>
    <n v="1881.25"/>
    <n v="1881.25"/>
    <n v="1881.25"/>
    <n v="1881.25"/>
    <n v="1881.25"/>
    <n v="1881.25"/>
    <n v="1881.25"/>
    <n v="1881.25"/>
    <n v="1881.25"/>
    <n v="1881.25"/>
    <n v="1881.25"/>
    <n v="22575"/>
    <n v="0"/>
  </r>
  <r>
    <x v="12"/>
    <x v="9"/>
    <x v="0"/>
    <s v="6150501"/>
    <n v="730020"/>
    <s v="Rental and Leases-Copier Usage Fees (DO NOT USE)"/>
    <s v="Regional Materials Management"/>
    <x v="0"/>
    <n v="5100"/>
    <n v="339.18"/>
    <n v="353.32"/>
    <n v="346.25"/>
    <n v="346.25"/>
    <n v="346.25"/>
    <n v="346.25"/>
    <n v="-991.56"/>
    <n v="227.08"/>
    <n v="226.6"/>
    <n v="332.56"/>
    <n v="227.08"/>
    <n v="258.52"/>
    <n v="2357.7799999999997"/>
    <n v="-31.439999999999969"/>
  </r>
  <r>
    <x v="15"/>
    <x v="9"/>
    <x v="0"/>
    <s v="6150501"/>
    <n v="731020"/>
    <s v="Electricity"/>
    <s v="Regional Materials Management"/>
    <x v="0"/>
    <m/>
    <n v="-274.45999999999998"/>
    <n v="0"/>
    <n v="0"/>
    <n v="0"/>
    <n v="0"/>
    <n v="0"/>
    <n v="0"/>
    <n v="0"/>
    <n v="0"/>
    <n v="0"/>
    <n v="0"/>
    <n v="0"/>
    <n v="-274.45999999999998"/>
    <n v="0"/>
  </r>
  <r>
    <x v="15"/>
    <x v="9"/>
    <x v="0"/>
    <s v="6150501"/>
    <n v="731060"/>
    <s v="Telephone"/>
    <s v="Regional Materials Management"/>
    <x v="0"/>
    <m/>
    <n v="350"/>
    <n v="0"/>
    <n v="0"/>
    <n v="580.21"/>
    <n v="0"/>
    <n v="0"/>
    <n v="0"/>
    <n v="0"/>
    <n v="0"/>
    <n v="0"/>
    <n v="0"/>
    <n v="0"/>
    <n v="930.21"/>
    <n v="0"/>
  </r>
  <r>
    <x v="15"/>
    <x v="9"/>
    <x v="0"/>
    <s v="6150501"/>
    <n v="731070"/>
    <s v="Cable TV"/>
    <s v="Regional Materials Management"/>
    <x v="0"/>
    <m/>
    <n v="-545.02"/>
    <n v="0"/>
    <n v="0"/>
    <n v="0"/>
    <n v="0"/>
    <n v="0"/>
    <n v="0"/>
    <n v="0"/>
    <n v="0"/>
    <n v="0"/>
    <n v="0"/>
    <n v="0"/>
    <n v="-545.02"/>
    <n v="0"/>
  </r>
  <r>
    <x v="16"/>
    <x v="9"/>
    <x v="0"/>
    <s v="6150501"/>
    <n v="732030"/>
    <s v="Repairs---Other"/>
    <s v="Regional Materials Management"/>
    <x v="0"/>
    <m/>
    <n v="32.700000000000003"/>
    <n v="0"/>
    <n v="0"/>
    <n v="0"/>
    <n v="0"/>
    <n v="0"/>
    <n v="21.8"/>
    <n v="0"/>
    <n v="0"/>
    <n v="0"/>
    <n v="0"/>
    <n v="327.85"/>
    <n v="382.35"/>
    <n v="-327.85"/>
  </r>
  <r>
    <x v="16"/>
    <x v="9"/>
    <x v="0"/>
    <s v="6150501"/>
    <n v="733030"/>
    <s v="Maintenance Contracts-Software"/>
    <s v="Regional Materials Management"/>
    <x v="0"/>
    <n v="1002"/>
    <n v="-4.95"/>
    <n v="0"/>
    <n v="0"/>
    <n v="0"/>
    <n v="0"/>
    <n v="0"/>
    <n v="0"/>
    <n v="0"/>
    <n v="0"/>
    <n v="0"/>
    <n v="0"/>
    <n v="0"/>
    <n v="-4.95"/>
    <n v="0"/>
  </r>
  <r>
    <x v="13"/>
    <x v="9"/>
    <x v="0"/>
    <s v="6150501"/>
    <n v="735070"/>
    <s v="Depreciation-Movable Equipment"/>
    <s v="Regional Materials Management"/>
    <x v="0"/>
    <m/>
    <n v="54.75"/>
    <n v="54.75"/>
    <n v="54.75"/>
    <n v="54.75"/>
    <n v="54.75"/>
    <n v="54.75"/>
    <n v="54.75"/>
    <n v="54.75"/>
    <n v="54.75"/>
    <n v="54.75"/>
    <n v="54.75"/>
    <n v="54.75"/>
    <n v="657"/>
    <n v="0"/>
  </r>
  <r>
    <x v="0"/>
    <x v="9"/>
    <x v="0"/>
    <s v="6150501"/>
    <n v="740010"/>
    <s v="Education-Materials"/>
    <s v="Regional Materials Management"/>
    <x v="0"/>
    <m/>
    <n v="-165"/>
    <n v="0"/>
    <n v="0"/>
    <n v="0"/>
    <n v="0"/>
    <n v="0"/>
    <n v="0"/>
    <n v="0"/>
    <n v="0"/>
    <n v="0"/>
    <n v="0"/>
    <n v="0"/>
    <n v="-165"/>
    <n v="0"/>
  </r>
  <r>
    <x v="0"/>
    <x v="9"/>
    <x v="0"/>
    <s v="6150501"/>
    <n v="740020"/>
    <s v="Education-Registration Fees"/>
    <s v="Regional Materials Management"/>
    <x v="0"/>
    <m/>
    <n v="0"/>
    <n v="0"/>
    <n v="0"/>
    <n v="0"/>
    <n v="0"/>
    <n v="0"/>
    <n v="0"/>
    <n v="0"/>
    <n v="0"/>
    <n v="0"/>
    <n v="64"/>
    <n v="0"/>
    <n v="64"/>
    <n v="64"/>
  </r>
  <r>
    <x v="0"/>
    <x v="9"/>
    <x v="0"/>
    <s v="6150501"/>
    <n v="742040"/>
    <s v="Freight-Other"/>
    <s v="Regional Materials Management"/>
    <x v="0"/>
    <m/>
    <n v="-192.32"/>
    <n v="0"/>
    <n v="0"/>
    <n v="0"/>
    <n v="0"/>
    <n v="0"/>
    <n v="0"/>
    <n v="0"/>
    <n v="0"/>
    <n v="0"/>
    <n v="0"/>
    <n v="0"/>
    <n v="-192.32"/>
    <n v="0"/>
  </r>
  <r>
    <x v="0"/>
    <x v="9"/>
    <x v="0"/>
    <s v="6150501"/>
    <n v="743020"/>
    <s v="Dues--Individual"/>
    <s v="Regional Materials Management"/>
    <x v="0"/>
    <m/>
    <n v="0"/>
    <n v="165"/>
    <n v="0"/>
    <n v="0"/>
    <n v="0"/>
    <n v="0"/>
    <n v="0"/>
    <n v="0"/>
    <n v="0"/>
    <n v="0"/>
    <n v="0"/>
    <n v="0"/>
    <n v="165"/>
    <n v="0"/>
  </r>
  <r>
    <x v="0"/>
    <x v="9"/>
    <x v="0"/>
    <s v="6150501"/>
    <n v="749510"/>
    <s v="Miscellaneous Expenses"/>
    <s v="Regional Materials Management"/>
    <x v="0"/>
    <m/>
    <n v="-2450.2800000000002"/>
    <n v="-1905.61"/>
    <n v="3.19"/>
    <n v="2281.3000000000002"/>
    <n v="676.52"/>
    <n v="-1076.8599999999999"/>
    <n v="2416.73"/>
    <n v="-2232.0300000000002"/>
    <n v="-1185.53"/>
    <n v="1401.69"/>
    <n v="923.3"/>
    <n v="1183.01"/>
    <n v="35.429999999999382"/>
    <n v="-259.71000000000004"/>
  </r>
  <r>
    <x v="0"/>
    <x v="9"/>
    <x v="0"/>
    <s v="6150501"/>
    <n v="749510"/>
    <s v="Licenses"/>
    <s v="Regional Materials Management"/>
    <x v="0"/>
    <n v="1002"/>
    <n v="-735"/>
    <n v="0"/>
    <n v="0"/>
    <n v="0"/>
    <n v="0"/>
    <n v="0"/>
    <n v="0"/>
    <n v="0"/>
    <n v="0"/>
    <n v="0"/>
    <n v="0"/>
    <n v="0"/>
    <n v="-735"/>
    <n v="0"/>
  </r>
  <r>
    <x v="0"/>
    <x v="9"/>
    <x v="0"/>
    <s v="6150501"/>
    <n v="749510"/>
    <s v="Miscellaneous Expense"/>
    <s v="Regional Materials Management"/>
    <x v="0"/>
    <n v="1009"/>
    <n v="-11171.42"/>
    <n v="0"/>
    <n v="0"/>
    <n v="0"/>
    <n v="0"/>
    <n v="0"/>
    <n v="0"/>
    <n v="0"/>
    <n v="0"/>
    <n v="0"/>
    <n v="1299.51"/>
    <n v="0"/>
    <n v="-9871.91"/>
    <n v="1299.51"/>
  </r>
  <r>
    <x v="0"/>
    <x v="9"/>
    <x v="0"/>
    <s v="6150501"/>
    <n v="749510"/>
    <s v="Miscellaneous Employee Expense"/>
    <s v="Regional Materials Management"/>
    <x v="0"/>
    <n v="1010"/>
    <n v="-302.25"/>
    <n v="0"/>
    <n v="0"/>
    <n v="0"/>
    <n v="0"/>
    <n v="0"/>
    <n v="0"/>
    <n v="0"/>
    <n v="0"/>
    <n v="0"/>
    <n v="0"/>
    <n v="0"/>
    <n v="-302.25"/>
    <n v="0"/>
  </r>
  <r>
    <x v="0"/>
    <x v="9"/>
    <x v="0"/>
    <s v="6150501"/>
    <n v="749510"/>
    <s v="Program Expense"/>
    <s v="Regional Materials Management"/>
    <x v="0"/>
    <n v="3300"/>
    <n v="-134.94999999999999"/>
    <n v="0"/>
    <n v="0"/>
    <n v="0"/>
    <n v="0"/>
    <n v="0"/>
    <n v="0"/>
    <n v="0"/>
    <n v="0"/>
    <n v="0"/>
    <n v="0"/>
    <n v="0"/>
    <n v="-134.94999999999999"/>
    <n v="0"/>
  </r>
  <r>
    <x v="0"/>
    <x v="9"/>
    <x v="0"/>
    <s v="6150501"/>
    <n v="749510"/>
    <s v="RICE Rewards"/>
    <s v="Regional Materials Management"/>
    <x v="0"/>
    <n v="5100"/>
    <n v="0"/>
    <n v="0"/>
    <n v="0"/>
    <n v="0"/>
    <n v="0"/>
    <n v="200"/>
    <n v="0"/>
    <n v="0"/>
    <n v="0"/>
    <n v="0"/>
    <n v="0"/>
    <n v="516.74"/>
    <n v="716.74"/>
    <n v="-516.74"/>
  </r>
  <r>
    <x v="0"/>
    <x v="9"/>
    <x v="0"/>
    <s v="6150501"/>
    <n v="749530"/>
    <s v="Travel"/>
    <s v="Regional Materials Management"/>
    <x v="0"/>
    <m/>
    <n v="-44.3"/>
    <n v="2461.7800000000002"/>
    <n v="448.04"/>
    <n v="129.19999999999999"/>
    <n v="5"/>
    <n v="2320.5700000000002"/>
    <n v="6"/>
    <n v="1134.98"/>
    <n v="1914.21"/>
    <n v="1064.02"/>
    <n v="793.07"/>
    <n v="1943.25"/>
    <n v="12175.82"/>
    <n v="-1150.1799999999998"/>
  </r>
  <r>
    <x v="0"/>
    <x v="9"/>
    <x v="0"/>
    <s v="6150501"/>
    <n v="749530"/>
    <s v="Owned Vehicles - Fuel"/>
    <s v="Regional Materials Management"/>
    <x v="0"/>
    <n v="1000"/>
    <n v="-29.7"/>
    <n v="0"/>
    <n v="0"/>
    <n v="0"/>
    <n v="0"/>
    <n v="0"/>
    <n v="0"/>
    <n v="0"/>
    <n v="0"/>
    <n v="0"/>
    <n v="0"/>
    <n v="0"/>
    <n v="-29.7"/>
    <n v="0"/>
  </r>
  <r>
    <x v="0"/>
    <x v="9"/>
    <x v="0"/>
    <s v="6150501"/>
    <n v="749530"/>
    <s v="Mileage"/>
    <s v="Regional Materials Management"/>
    <x v="0"/>
    <n v="1001"/>
    <n v="0"/>
    <n v="313.92"/>
    <n v="739.6"/>
    <n v="219.66"/>
    <n v="334.11"/>
    <n v="324.83999999999997"/>
    <n v="38.15"/>
    <n v="770.74"/>
    <n v="564.91999999999996"/>
    <n v="1331.68"/>
    <n v="938.44"/>
    <n v="777.2"/>
    <n v="6353.2599999999993"/>
    <n v="161.24"/>
  </r>
  <r>
    <x v="0"/>
    <x v="9"/>
    <x v="0"/>
    <s v="6150501"/>
    <n v="749535"/>
    <s v="Meetings"/>
    <s v="Regional Materials Management"/>
    <x v="0"/>
    <m/>
    <n v="-10"/>
    <n v="0"/>
    <n v="0"/>
    <n v="0"/>
    <n v="0"/>
    <n v="233.27"/>
    <n v="0"/>
    <n v="0"/>
    <n v="27.92"/>
    <n v="168.28"/>
    <n v="0"/>
    <n v="0"/>
    <n v="419.47"/>
    <n v="0"/>
  </r>
  <r>
    <x v="0"/>
    <x v="9"/>
    <x v="0"/>
    <s v="6150501"/>
    <n v="749535"/>
    <s v="Employee Functions"/>
    <s v="Regional Materials Management"/>
    <x v="0"/>
    <n v="1004"/>
    <n v="0"/>
    <n v="0"/>
    <n v="0"/>
    <n v="0"/>
    <n v="149.57"/>
    <n v="0"/>
    <n v="0"/>
    <n v="0"/>
    <n v="546.29"/>
    <n v="0"/>
    <n v="107.92"/>
    <n v="0"/>
    <n v="803.77999999999986"/>
    <n v="107.92"/>
  </r>
  <r>
    <x v="5"/>
    <x v="3"/>
    <x v="0"/>
    <s v="6158101"/>
    <n v="700014"/>
    <s v="Salaries-Management-Productive"/>
    <s v="Medical Supplies/CSR"/>
    <x v="0"/>
    <m/>
    <n v="6635.2"/>
    <n v="6949.36"/>
    <n v="6411.44"/>
    <n v="6451.93"/>
    <n v="6445.83"/>
    <n v="5288.51"/>
    <n v="6546.82"/>
    <n v="5614.43"/>
    <n v="4159.7700000000004"/>
    <n v="7364.45"/>
    <n v="7273.76"/>
    <n v="6182.83"/>
    <n v="75324.33"/>
    <n v="1090.9300000000003"/>
  </r>
  <r>
    <x v="5"/>
    <x v="3"/>
    <x v="0"/>
    <s v="6158101"/>
    <n v="700018"/>
    <s v="Salaries-Supervisory-Productive"/>
    <s v="Medical Supplies/CSR"/>
    <x v="0"/>
    <m/>
    <n v="5648.38"/>
    <n v="8495.18"/>
    <n v="9376.75"/>
    <n v="9159.7199999999993"/>
    <n v="6403.93"/>
    <n v="8076.89"/>
    <n v="8194.4"/>
    <n v="7147.77"/>
    <n v="10403.969999999999"/>
    <n v="10021.51"/>
    <n v="6036.06"/>
    <n v="9924.68"/>
    <n v="98889.239999999991"/>
    <n v="-3888.62"/>
  </r>
  <r>
    <x v="5"/>
    <x v="3"/>
    <x v="0"/>
    <s v="6158101"/>
    <n v="700038"/>
    <s v="Salaries-Service/Support-Productive"/>
    <s v="Medical Supplies/CSR"/>
    <x v="0"/>
    <m/>
    <n v="104908.97"/>
    <n v="105081.46"/>
    <n v="99247.19"/>
    <n v="121203.36"/>
    <n v="118910.2"/>
    <n v="111917.03"/>
    <n v="112491.31"/>
    <n v="95323.93"/>
    <n v="118750.03"/>
    <n v="114635.75"/>
    <n v="118450.8"/>
    <n v="101479.15"/>
    <n v="1322399.18"/>
    <n v="16971.650000000009"/>
  </r>
  <r>
    <x v="5"/>
    <x v="3"/>
    <x v="0"/>
    <s v="6158101"/>
    <n v="700038"/>
    <s v="Salaries-Service/Support-OT"/>
    <s v="Medical Supplies/CSR"/>
    <x v="0"/>
    <n v="1000"/>
    <n v="2739.8"/>
    <n v="2523.3000000000002"/>
    <n v="3708.66"/>
    <n v="904.53"/>
    <n v="334.43"/>
    <n v="1172.1400000000001"/>
    <n v="1183.6099999999999"/>
    <n v="2681.97"/>
    <n v="848.16"/>
    <n v="2641.21"/>
    <n v="1502.75"/>
    <n v="4580.09"/>
    <n v="24820.65"/>
    <n v="-3077.34"/>
  </r>
  <r>
    <x v="5"/>
    <x v="3"/>
    <x v="0"/>
    <s v="6158101"/>
    <n v="700038"/>
    <s v="Salaries-Service/Support-Other"/>
    <s v="Medical Supplies/CSR"/>
    <x v="0"/>
    <n v="2000"/>
    <n v="5132.43"/>
    <n v="5074.09"/>
    <n v="4792.3900000000003"/>
    <n v="5515.7"/>
    <n v="5658.34"/>
    <n v="5616.79"/>
    <n v="5452.17"/>
    <n v="4429.29"/>
    <n v="5833.18"/>
    <n v="5255.39"/>
    <n v="5513.28"/>
    <n v="4940.22"/>
    <n v="63213.270000000004"/>
    <n v="573.05999999999949"/>
  </r>
  <r>
    <x v="5"/>
    <x v="3"/>
    <x v="0"/>
    <s v="6158101"/>
    <n v="700054"/>
    <s v="Salaries-Management-Non-productive"/>
    <s v="Medical Supplies/CSR"/>
    <x v="0"/>
    <m/>
    <n v="313.83999999999997"/>
    <n v="0"/>
    <n v="0"/>
    <n v="567.41999999999996"/>
    <n v="363.14"/>
    <n v="1747.64"/>
    <n v="500.33"/>
    <n v="750.07"/>
    <n v="2886.71"/>
    <n v="-545.51"/>
    <n v="-227.26"/>
    <n v="636.44000000000005"/>
    <n v="6992.82"/>
    <n v="-863.7"/>
  </r>
  <r>
    <x v="5"/>
    <x v="3"/>
    <x v="0"/>
    <s v="6158101"/>
    <n v="700054"/>
    <s v="Salaries-Management-NonProd-Other"/>
    <s v="Medical Supplies/CSR"/>
    <x v="0"/>
    <n v="2000"/>
    <n v="0"/>
    <n v="0"/>
    <n v="0"/>
    <n v="0"/>
    <n v="0"/>
    <n v="2637.99"/>
    <n v="-2416.6799999999998"/>
    <n v="0"/>
    <n v="0"/>
    <n v="0"/>
    <n v="0"/>
    <n v="0"/>
    <n v="221.30999999999995"/>
    <n v="0"/>
  </r>
  <r>
    <x v="5"/>
    <x v="3"/>
    <x v="0"/>
    <s v="6158101"/>
    <n v="700058"/>
    <s v="Salaries-Supervisory-Non-productive"/>
    <s v="Medical Supplies/CSR"/>
    <x v="0"/>
    <m/>
    <n v="4482"/>
    <n v="1635.69"/>
    <n v="427.45"/>
    <n v="1195.43"/>
    <n v="3668.94"/>
    <n v="2332.09"/>
    <n v="2230.84"/>
    <n v="2267.62"/>
    <n v="20.3"/>
    <n v="66.150000000000006"/>
    <n v="4388.16"/>
    <n v="163.47"/>
    <n v="22878.140000000003"/>
    <n v="4224.6899999999996"/>
  </r>
  <r>
    <x v="5"/>
    <x v="3"/>
    <x v="0"/>
    <s v="6158101"/>
    <n v="700078"/>
    <s v="Salaries-Service/Support-Non-productive"/>
    <s v="Medical Supplies/CSR"/>
    <x v="0"/>
    <m/>
    <n v="14585.31"/>
    <n v="14716.88"/>
    <n v="15466.25"/>
    <n v="5993.65"/>
    <n v="11136.06"/>
    <n v="25477.86"/>
    <n v="19473.28"/>
    <n v="26260.66"/>
    <n v="13088.76"/>
    <n v="10679.94"/>
    <n v="7874.37"/>
    <n v="13996.25"/>
    <n v="178749.27000000002"/>
    <n v="-6121.88"/>
  </r>
  <r>
    <x v="5"/>
    <x v="3"/>
    <x v="0"/>
    <s v="6158101"/>
    <n v="700078"/>
    <s v="Salaries-Service/Support-NonProd-Other"/>
    <s v="Medical Supplies/CSR"/>
    <x v="0"/>
    <n v="2000"/>
    <n v="601.75"/>
    <n v="593.04999999999995"/>
    <n v="601.75"/>
    <n v="186.04"/>
    <n v="1233.21"/>
    <n v="2602.86"/>
    <n v="372.48"/>
    <n v="-1374.31"/>
    <n v="289.93"/>
    <n v="428.42"/>
    <n v="326.38"/>
    <n v="769.52"/>
    <n v="6631.08"/>
    <n v="-443.14"/>
  </r>
  <r>
    <x v="5"/>
    <x v="3"/>
    <x v="0"/>
    <s v="6158101"/>
    <n v="700084"/>
    <s v="Accrued PTO"/>
    <s v="Medical Supplies/CSR"/>
    <x v="0"/>
    <m/>
    <n v="-1942.37"/>
    <n v="514.57000000000005"/>
    <n v="-183.7"/>
    <n v="8957.2900000000009"/>
    <n v="6593.1"/>
    <n v="-7229.69"/>
    <n v="434.85"/>
    <n v="-8998.16"/>
    <n v="8739.94"/>
    <n v="6430.76"/>
    <n v="3343.05"/>
    <n v="4286.5"/>
    <n v="20946.140000000003"/>
    <n v="-943.44999999999982"/>
  </r>
  <r>
    <x v="6"/>
    <x v="3"/>
    <x v="0"/>
    <s v="6158101"/>
    <n v="713010"/>
    <s v="Benefits-FICA/Medicare"/>
    <s v="Medical Supplies/CSR"/>
    <x v="0"/>
    <m/>
    <n v="10732.68"/>
    <n v="10756.02"/>
    <n v="10371.16"/>
    <n v="11209.89"/>
    <n v="11752.83"/>
    <n v="13065.47"/>
    <n v="11925.53"/>
    <n v="10732.05"/>
    <n v="11518.41"/>
    <n v="11080.44"/>
    <n v="11662.41"/>
    <n v="11286.81"/>
    <n v="136093.70000000001"/>
    <n v="375.60000000000036"/>
  </r>
  <r>
    <x v="6"/>
    <x v="3"/>
    <x v="0"/>
    <s v="6158101"/>
    <n v="713090"/>
    <s v="Benefits-Allocated Amounts"/>
    <s v="Medical Supplies/CSR"/>
    <x v="0"/>
    <m/>
    <n v="50480.83"/>
    <n v="46385.17"/>
    <n v="49735.05"/>
    <n v="53089.27"/>
    <n v="54795.67"/>
    <n v="54943.12"/>
    <n v="57029.56"/>
    <n v="55833.07"/>
    <n v="48424.27"/>
    <n v="55411.14"/>
    <n v="57914.28"/>
    <n v="52715.3"/>
    <n v="636756.7300000001"/>
    <n v="5198.9799999999959"/>
  </r>
  <r>
    <x v="7"/>
    <x v="3"/>
    <x v="0"/>
    <s v="6158101"/>
    <n v="718050"/>
    <s v="Contract Svcs-Other"/>
    <s v="Medical Supplies/CSR"/>
    <x v="0"/>
    <m/>
    <n v="40"/>
    <n v="12839.24"/>
    <n v="12625"/>
    <n v="-378.18"/>
    <n v="12625"/>
    <n v="25357.119999999999"/>
    <n v="637.73"/>
    <n v="12839.24"/>
    <n v="-62849.75"/>
    <n v="-107.12"/>
    <n v="0"/>
    <n v="0"/>
    <n v="13628.279999999993"/>
    <n v="0"/>
  </r>
  <r>
    <x v="7"/>
    <x v="3"/>
    <x v="0"/>
    <s v="6158101"/>
    <n v="718050"/>
    <s v="Miscellaneous Purchased Svcs"/>
    <s v="Medical Supplies/CSR"/>
    <x v="0"/>
    <n v="1020"/>
    <n v="0"/>
    <n v="0"/>
    <n v="0"/>
    <n v="0"/>
    <n v="107.12"/>
    <n v="0"/>
    <n v="0"/>
    <n v="0"/>
    <n v="107.12"/>
    <n v="0"/>
    <n v="107.12"/>
    <n v="0"/>
    <n v="321.36"/>
    <n v="107.12"/>
  </r>
  <r>
    <x v="7"/>
    <x v="3"/>
    <x v="0"/>
    <s v="6158101"/>
    <n v="718050"/>
    <s v="Contract Management--Linen"/>
    <s v="Medical Supplies/CSR"/>
    <x v="0"/>
    <n v="1026"/>
    <n v="564.41"/>
    <n v="610.23"/>
    <n v="600.66999999999996"/>
    <n v="506.53"/>
    <n v="713.63"/>
    <n v="574.72"/>
    <n v="512.9"/>
    <n v="591.57000000000005"/>
    <n v="507.35"/>
    <n v="460.17"/>
    <n v="752.28"/>
    <n v="264.66000000000003"/>
    <n v="6659.1200000000008"/>
    <n v="487.61999999999995"/>
  </r>
  <r>
    <x v="11"/>
    <x v="3"/>
    <x v="0"/>
    <s v="6158101"/>
    <n v="721010"/>
    <s v="Supplies-Medical - Billable"/>
    <s v="Medical Supplies/CSR"/>
    <x v="0"/>
    <m/>
    <n v="-212.25"/>
    <n v="-4084.01"/>
    <n v="-840.56"/>
    <n v="-3691.82"/>
    <n v="1426.87"/>
    <n v="-716.75"/>
    <n v="-6204.88"/>
    <n v="-2419.06"/>
    <n v="-12207.12"/>
    <n v="-3844.67"/>
    <n v="3591.93"/>
    <n v="2512.09"/>
    <n v="-26690.23"/>
    <n v="1079.8399999999997"/>
  </r>
  <r>
    <x v="11"/>
    <x v="3"/>
    <x v="0"/>
    <s v="6158101"/>
    <n v="721010"/>
    <s v="Patient Monitoring"/>
    <s v="Medical Supplies/CSR"/>
    <x v="0"/>
    <n v="1000"/>
    <n v="-1383.5"/>
    <n v="99.78"/>
    <n v="-3879.23"/>
    <n v="6.36"/>
    <n v="-256.37"/>
    <n v="37.44"/>
    <n v="-279.67"/>
    <n v="-3732.49"/>
    <n v="-167.92"/>
    <n v="-3180.45"/>
    <n v="-3593.18"/>
    <n v="-6558.13"/>
    <n v="-22887.360000000001"/>
    <n v="2964.9500000000003"/>
  </r>
  <r>
    <x v="11"/>
    <x v="3"/>
    <x v="0"/>
    <s v="6158101"/>
    <n v="721020"/>
    <s v="Supplies-Surgical - Billable"/>
    <s v="Medical Supplies/CSR"/>
    <x v="0"/>
    <m/>
    <n v="-3226.63"/>
    <n v="9431.25"/>
    <n v="-1511.36"/>
    <n v="-13815.61"/>
    <n v="15793.8"/>
    <n v="25364.44"/>
    <n v="32953.599999999999"/>
    <n v="19535.54"/>
    <n v="40446.68"/>
    <n v="17074.09"/>
    <n v="22942.61"/>
    <n v="31032.76"/>
    <n v="196021.16999999998"/>
    <n v="-8090.1499999999978"/>
  </r>
  <r>
    <x v="11"/>
    <x v="3"/>
    <x v="0"/>
    <s v="6158101"/>
    <n v="721020"/>
    <s v="Custom Packs"/>
    <s v="Medical Supplies/CSR"/>
    <x v="0"/>
    <n v="1000"/>
    <n v="-403.55"/>
    <n v="423.68"/>
    <n v="-665.09"/>
    <n v="185.94"/>
    <n v="-217.21"/>
    <n v="-521.91"/>
    <n v="201.12"/>
    <n v="1070.82"/>
    <n v="793.52"/>
    <n v="-1444.25"/>
    <n v="-221.5"/>
    <n v="-488.46"/>
    <n v="-1286.8899999999999"/>
    <n v="266.95999999999998"/>
  </r>
  <r>
    <x v="11"/>
    <x v="3"/>
    <x v="0"/>
    <s v="6158101"/>
    <n v="721020"/>
    <s v="Suture/Wound Closure"/>
    <s v="Medical Supplies/CSR"/>
    <x v="0"/>
    <n v="1001"/>
    <n v="-743.16"/>
    <n v="-617.77"/>
    <n v="-1962.78"/>
    <n v="0"/>
    <n v="0"/>
    <n v="139.97"/>
    <n v="-125.97"/>
    <n v="-146.84"/>
    <n v="0"/>
    <n v="-80.77"/>
    <n v="0"/>
    <n v="0"/>
    <n v="-3537.32"/>
    <n v="0"/>
  </r>
  <r>
    <x v="11"/>
    <x v="3"/>
    <x v="0"/>
    <s v="6158101"/>
    <n v="721020"/>
    <s v="Endoscopy - Trocars &amp; Accessories"/>
    <s v="Medical Supplies/CSR"/>
    <x v="0"/>
    <n v="1002"/>
    <n v="0"/>
    <n v="-306.67"/>
    <n v="0"/>
    <n v="0"/>
    <n v="0"/>
    <n v="0"/>
    <n v="-360"/>
    <n v="0"/>
    <n v="0"/>
    <n v="0"/>
    <n v="0"/>
    <n v="-108"/>
    <n v="-774.67000000000007"/>
    <n v="108"/>
  </r>
  <r>
    <x v="11"/>
    <x v="3"/>
    <x v="0"/>
    <s v="6158101"/>
    <n v="721020"/>
    <s v="Endomechanical Supplies &amp; Instruments"/>
    <s v="Medical Supplies/CSR"/>
    <x v="0"/>
    <n v="1003"/>
    <n v="1729.6"/>
    <n v="10.95"/>
    <n v="601.09"/>
    <n v="-810"/>
    <n v="711.08"/>
    <n v="5729.07"/>
    <n v="-1096.71"/>
    <n v="1713.95"/>
    <n v="-831.81"/>
    <n v="257.14"/>
    <n v="1554.96"/>
    <n v="-653.19000000000005"/>
    <n v="8916.1299999999992"/>
    <n v="2208.15"/>
  </r>
  <r>
    <x v="11"/>
    <x v="3"/>
    <x v="0"/>
    <s v="6158101"/>
    <n v="721020"/>
    <s v="Bone Cement &amp; Supplies"/>
    <s v="Medical Supplies/CSR"/>
    <x v="0"/>
    <n v="1004"/>
    <n v="0"/>
    <n v="0"/>
    <n v="0"/>
    <n v="-7788.4"/>
    <n v="0"/>
    <n v="0"/>
    <n v="0"/>
    <n v="-3458.83"/>
    <n v="0"/>
    <n v="0"/>
    <n v="0"/>
    <n v="-261.91000000000003"/>
    <n v="-11509.14"/>
    <n v="261.91000000000003"/>
  </r>
  <r>
    <x v="11"/>
    <x v="3"/>
    <x v="0"/>
    <s v="6158101"/>
    <n v="721020"/>
    <s v="Heart/Lung Machine Supplies"/>
    <s v="Medical Supplies/CSR"/>
    <x v="0"/>
    <n v="1005"/>
    <n v="0"/>
    <n v="-5760"/>
    <n v="0"/>
    <n v="0"/>
    <n v="-85.38"/>
    <n v="249.37"/>
    <n v="-151.46"/>
    <n v="-224.94"/>
    <n v="-1130.51"/>
    <n v="-106.73"/>
    <n v="-186.54"/>
    <n v="-205.74"/>
    <n v="-7601.9299999999994"/>
    <n v="19.200000000000017"/>
  </r>
  <r>
    <x v="11"/>
    <x v="3"/>
    <x v="0"/>
    <s v="6158101"/>
    <n v="721020"/>
    <s v="Urological Supplies"/>
    <s v="Medical Supplies/CSR"/>
    <x v="0"/>
    <n v="1006"/>
    <n v="0"/>
    <n v="-333.72"/>
    <n v="0"/>
    <n v="222.99"/>
    <n v="0"/>
    <n v="-295.83"/>
    <n v="261.22000000000003"/>
    <n v="0"/>
    <n v="4363.57"/>
    <n v="-1309.43"/>
    <n v="-1603.1"/>
    <n v="0"/>
    <n v="1305.6999999999994"/>
    <n v="-1603.1"/>
  </r>
  <r>
    <x v="11"/>
    <x v="3"/>
    <x v="0"/>
    <s v="6158101"/>
    <n v="721020"/>
    <s v="Surgical Cardiovascular"/>
    <s v="Medical Supplies/CSR"/>
    <x v="0"/>
    <n v="1007"/>
    <n v="112.06"/>
    <n v="-65.16"/>
    <n v="-1593.89"/>
    <n v="1423.22"/>
    <n v="-15.84"/>
    <n v="-368.83"/>
    <n v="-46419.72"/>
    <n v="54067.32"/>
    <n v="50"/>
    <n v="0"/>
    <n v="-5641.56"/>
    <n v="10.11"/>
    <n v="1557.7099999999957"/>
    <n v="-5651.67"/>
  </r>
  <r>
    <x v="11"/>
    <x v="3"/>
    <x v="0"/>
    <s v="6158101"/>
    <n v="721020"/>
    <s v="Tubes Drains &amp; Related Supplies"/>
    <s v="Medical Supplies/CSR"/>
    <x v="0"/>
    <n v="1008"/>
    <n v="0"/>
    <n v="0"/>
    <n v="38.65"/>
    <n v="0"/>
    <n v="-219.6"/>
    <n v="0"/>
    <n v="439.48"/>
    <n v="0"/>
    <n v="-332.29"/>
    <n v="27.64"/>
    <n v="0"/>
    <n v="309.14999999999998"/>
    <n v="263.02999999999997"/>
    <n v="-309.14999999999998"/>
  </r>
  <r>
    <x v="11"/>
    <x v="3"/>
    <x v="0"/>
    <s v="6158101"/>
    <n v="721050"/>
    <s v="Supplies-Cardiac Rhythm - Billable"/>
    <s v="Medical Supplies/CSR"/>
    <x v="0"/>
    <m/>
    <n v="-42668.19"/>
    <n v="89.85"/>
    <n v="1321.2"/>
    <n v="39907.599999999999"/>
    <n v="646.58000000000004"/>
    <n v="-204.06"/>
    <n v="-89503.83"/>
    <n v="35405.99"/>
    <n v="13659.99"/>
    <n v="-12391.34"/>
    <n v="12.66"/>
    <n v="-2080"/>
    <n v="-55803.55"/>
    <n v="2092.66"/>
  </r>
  <r>
    <x v="11"/>
    <x v="3"/>
    <x v="0"/>
    <s v="6158101"/>
    <n v="721050"/>
    <s v="Pacemakers - Internal"/>
    <s v="Medical Supplies/CSR"/>
    <x v="0"/>
    <n v="1000"/>
    <n v="202.87"/>
    <n v="0"/>
    <n v="0"/>
    <n v="0"/>
    <n v="0"/>
    <n v="0"/>
    <n v="0"/>
    <n v="0"/>
    <n v="0"/>
    <n v="0"/>
    <n v="0"/>
    <n v="-17087.52"/>
    <n v="-16884.650000000001"/>
    <n v="17087.52"/>
  </r>
  <r>
    <x v="11"/>
    <x v="3"/>
    <x v="0"/>
    <s v="6158101"/>
    <n v="721050"/>
    <s v="Electrophysiology Products"/>
    <s v="Medical Supplies/CSR"/>
    <x v="0"/>
    <n v="1002"/>
    <n v="23.44"/>
    <n v="376.12"/>
    <n v="0"/>
    <n v="-43.51"/>
    <n v="0"/>
    <n v="-106.32"/>
    <n v="0"/>
    <n v="0"/>
    <n v="0"/>
    <n v="-211.15"/>
    <n v="232.48"/>
    <n v="0"/>
    <n v="271.06"/>
    <n v="232.48"/>
  </r>
  <r>
    <x v="11"/>
    <x v="3"/>
    <x v="0"/>
    <s v="6158101"/>
    <n v="721060"/>
    <s v="Supplies-Heart Valves - Billable"/>
    <s v="Medical Supplies/CSR"/>
    <x v="0"/>
    <m/>
    <n v="-44251"/>
    <n v="0"/>
    <n v="-8283"/>
    <n v="-149950"/>
    <n v="151489.62"/>
    <n v="0"/>
    <n v="-389987"/>
    <n v="327210"/>
    <n v="0"/>
    <n v="0"/>
    <n v="0"/>
    <n v="-24145"/>
    <n v="-137916.38"/>
    <n v="24145"/>
  </r>
  <r>
    <x v="11"/>
    <x v="3"/>
    <x v="0"/>
    <s v="6158101"/>
    <n v="721120"/>
    <s v="Hip Prosthesis"/>
    <s v="Medical Supplies/CSR"/>
    <x v="0"/>
    <n v="1000"/>
    <n v="0"/>
    <n v="0"/>
    <n v="0"/>
    <n v="0"/>
    <n v="290.32"/>
    <n v="0"/>
    <n v="0"/>
    <n v="0"/>
    <n v="0"/>
    <n v="0"/>
    <n v="0"/>
    <n v="0"/>
    <n v="290.32"/>
    <n v="0"/>
  </r>
  <r>
    <x v="11"/>
    <x v="3"/>
    <x v="0"/>
    <s v="6158101"/>
    <n v="721120"/>
    <s v="Knee Prosthesis"/>
    <s v="Medical Supplies/CSR"/>
    <x v="0"/>
    <n v="1001"/>
    <n v="1200"/>
    <n v="0"/>
    <n v="0"/>
    <n v="0"/>
    <n v="0"/>
    <n v="0"/>
    <n v="0"/>
    <n v="0"/>
    <n v="0"/>
    <n v="0"/>
    <n v="0"/>
    <n v="0"/>
    <n v="1200"/>
    <n v="0"/>
  </r>
  <r>
    <x v="11"/>
    <x v="3"/>
    <x v="0"/>
    <s v="6158101"/>
    <n v="721150"/>
    <s v="Supplies-Other Implants - Billable"/>
    <s v="Medical Supplies/CSR"/>
    <x v="0"/>
    <m/>
    <n v="0"/>
    <n v="0"/>
    <n v="0"/>
    <n v="0"/>
    <n v="-590"/>
    <n v="0"/>
    <n v="0"/>
    <n v="-1624.35"/>
    <n v="-435.48"/>
    <n v="0"/>
    <n v="0"/>
    <n v="-2340"/>
    <n v="-4989.83"/>
    <n v="2340"/>
  </r>
  <r>
    <x v="11"/>
    <x v="3"/>
    <x v="0"/>
    <s v="6158101"/>
    <n v="721150"/>
    <s v="Fracture Management"/>
    <s v="Medical Supplies/CSR"/>
    <x v="0"/>
    <n v="1001"/>
    <n v="9661.7000000000007"/>
    <n v="539.5"/>
    <n v="373.45"/>
    <n v="0"/>
    <n v="0"/>
    <n v="-795.6"/>
    <n v="0"/>
    <n v="0"/>
    <n v="0"/>
    <n v="0"/>
    <n v="0"/>
    <n v="0"/>
    <n v="9779.0500000000011"/>
    <n v="0"/>
  </r>
  <r>
    <x v="11"/>
    <x v="3"/>
    <x v="0"/>
    <s v="6158101"/>
    <n v="721240"/>
    <s v="Supplies-IV Solutions/Supplies - Billable"/>
    <s v="Medical Supplies/CSR"/>
    <x v="0"/>
    <m/>
    <n v="8675.81"/>
    <n v="8204.4500000000007"/>
    <n v="18.8"/>
    <n v="1337.35"/>
    <n v="6427.14"/>
    <n v="26162.77"/>
    <n v="8927.31"/>
    <n v="760.3"/>
    <n v="5977.35"/>
    <n v="1263.55"/>
    <n v="-4685.49"/>
    <n v="1572.4"/>
    <n v="64641.740000000005"/>
    <n v="-6257.8899999999994"/>
  </r>
  <r>
    <x v="11"/>
    <x v="3"/>
    <x v="0"/>
    <s v="6158101"/>
    <n v="721250"/>
    <s v="Supplies-Pharmacy Drugs - Billable"/>
    <s v="Medical Supplies/CSR"/>
    <x v="0"/>
    <m/>
    <n v="127.36"/>
    <n v="0"/>
    <n v="0"/>
    <n v="3755.26"/>
    <n v="0"/>
    <n v="0"/>
    <n v="97.27"/>
    <n v="0"/>
    <n v="0"/>
    <n v="0"/>
    <n v="0"/>
    <n v="95.7"/>
    <n v="4075.59"/>
    <n v="-95.7"/>
  </r>
  <r>
    <x v="11"/>
    <x v="3"/>
    <x v="0"/>
    <s v="6158101"/>
    <n v="721410"/>
    <s v="Supplies-Medical - Nonbillable"/>
    <s v="Medical Supplies/CSR"/>
    <x v="0"/>
    <m/>
    <n v="-8512.6200000000008"/>
    <n v="149.25"/>
    <n v="16936.599999999999"/>
    <n v="1564.7"/>
    <n v="-18258.34"/>
    <n v="25996.92"/>
    <n v="-5818.13"/>
    <n v="33845.19"/>
    <n v="-45162.06"/>
    <n v="-2436.48"/>
    <n v="56471.48"/>
    <n v="-13873.59"/>
    <n v="40902.92"/>
    <n v="70345.070000000007"/>
  </r>
  <r>
    <x v="11"/>
    <x v="3"/>
    <x v="0"/>
    <s v="6158101"/>
    <n v="721410"/>
    <s v="Patient Monitoring"/>
    <s v="Medical Supplies/CSR"/>
    <x v="0"/>
    <n v="1000"/>
    <n v="0"/>
    <n v="0"/>
    <n v="0"/>
    <n v="-16.16"/>
    <n v="0"/>
    <n v="0"/>
    <n v="0"/>
    <n v="-30"/>
    <n v="0"/>
    <n v="0"/>
    <n v="0"/>
    <n v="0"/>
    <n v="-46.16"/>
    <n v="0"/>
  </r>
  <r>
    <x v="11"/>
    <x v="3"/>
    <x v="0"/>
    <s v="6158101"/>
    <n v="721420"/>
    <s v="Supplies-Surgical Nonbillable"/>
    <s v="Medical Supplies/CSR"/>
    <x v="0"/>
    <m/>
    <n v="-2199.08"/>
    <n v="304.81"/>
    <n v="-2017.77"/>
    <n v="298.37"/>
    <n v="-860.78"/>
    <n v="-1425.67"/>
    <n v="767.86"/>
    <n v="-1004.74"/>
    <n v="-506.68"/>
    <n v="-1007.46"/>
    <n v="-359.98"/>
    <n v="413"/>
    <n v="-7598.1200000000008"/>
    <n v="-772.98"/>
  </r>
  <r>
    <x v="11"/>
    <x v="3"/>
    <x v="0"/>
    <s v="6158101"/>
    <n v="721420"/>
    <s v="Heart/Lung Machine Supplies"/>
    <s v="Medical Supplies/CSR"/>
    <x v="0"/>
    <n v="1005"/>
    <n v="-302.57"/>
    <n v="0"/>
    <n v="0"/>
    <n v="-31312.5"/>
    <n v="34875"/>
    <n v="0"/>
    <n v="-31979.919999999998"/>
    <n v="32668.67"/>
    <n v="0"/>
    <n v="0"/>
    <n v="0"/>
    <n v="-6084.75"/>
    <n v="-2136.0699999999997"/>
    <n v="6084.75"/>
  </r>
  <r>
    <x v="11"/>
    <x v="3"/>
    <x v="0"/>
    <s v="6158101"/>
    <n v="721420"/>
    <s v="Tubes Drains &amp; Related Supplies"/>
    <s v="Medical Supplies/CSR"/>
    <x v="0"/>
    <n v="1008"/>
    <n v="0"/>
    <n v="281.63"/>
    <n v="-40.26"/>
    <n v="0"/>
    <n v="258.07"/>
    <n v="214.78"/>
    <n v="26.01"/>
    <n v="19.21"/>
    <n v="2.39"/>
    <n v="-348.42"/>
    <n v="114.87"/>
    <n v="1384.73"/>
    <n v="1913.01"/>
    <n v="-1269.8600000000001"/>
  </r>
  <r>
    <x v="11"/>
    <x v="3"/>
    <x v="0"/>
    <s v="6158101"/>
    <n v="721420"/>
    <s v="Sterilization Process Products"/>
    <s v="Medical Supplies/CSR"/>
    <x v="0"/>
    <n v="1009"/>
    <n v="0"/>
    <n v="-71.73"/>
    <n v="0"/>
    <n v="1178.71"/>
    <n v="-104.03"/>
    <n v="29.24"/>
    <n v="99.09"/>
    <n v="110.82"/>
    <n v="39.64"/>
    <n v="155.66"/>
    <n v="-250.83"/>
    <n v="-731.66"/>
    <n v="454.9100000000002"/>
    <n v="480.82999999999993"/>
  </r>
  <r>
    <x v="11"/>
    <x v="3"/>
    <x v="0"/>
    <s v="6158101"/>
    <n v="721610"/>
    <s v="Supplies-Anesthesia - Nonbillable"/>
    <s v="Medical Supplies/CSR"/>
    <x v="0"/>
    <m/>
    <n v="2077.75"/>
    <n v="281.63"/>
    <n v="0"/>
    <n v="0"/>
    <n v="-676.79"/>
    <n v="-115.33"/>
    <n v="2198.09"/>
    <n v="5491.75"/>
    <n v="-2448.58"/>
    <n v="-3609.57"/>
    <n v="-1480.99"/>
    <n v="4021.87"/>
    <n v="5739.83"/>
    <n v="-5502.86"/>
  </r>
  <r>
    <x v="11"/>
    <x v="3"/>
    <x v="0"/>
    <s v="6158101"/>
    <n v="721640"/>
    <s v="Supplies-IV Solutions/Supplies - Nonbillable"/>
    <s v="Medical Supplies/CSR"/>
    <x v="0"/>
    <m/>
    <n v="-227.75"/>
    <n v="-2626.21"/>
    <n v="-12.13"/>
    <n v="-8017.88"/>
    <n v="-368.96"/>
    <n v="86.18"/>
    <n v="451.44"/>
    <n v="-37.619999999999997"/>
    <n v="-387.18"/>
    <n v="830.47"/>
    <n v="-513.09"/>
    <n v="1057.05"/>
    <n v="-9765.6800000000021"/>
    <n v="-1570.1399999999999"/>
  </r>
  <r>
    <x v="11"/>
    <x v="3"/>
    <x v="0"/>
    <s v="6158101"/>
    <n v="721650"/>
    <s v="Supplies-Pharmacy Drugs - Nonbillable"/>
    <s v="Medical Supplies/CSR"/>
    <x v="0"/>
    <m/>
    <n v="0"/>
    <n v="57.66"/>
    <n v="0"/>
    <n v="170.68"/>
    <n v="0"/>
    <n v="-17.37"/>
    <n v="0.24"/>
    <n v="0"/>
    <n v="-8.4499999999999993"/>
    <n v="-8.02"/>
    <n v="7.23"/>
    <n v="-166.16"/>
    <n v="35.81"/>
    <n v="173.39"/>
  </r>
  <r>
    <x v="11"/>
    <x v="3"/>
    <x v="0"/>
    <s v="6158101"/>
    <n v="721710"/>
    <s v="Supplies-Laboratory - Nonbillable"/>
    <s v="Medical Supplies/CSR"/>
    <x v="0"/>
    <m/>
    <n v="203.01"/>
    <n v="-43.47"/>
    <n v="-247.3"/>
    <n v="-448.93"/>
    <n v="-630.04999999999995"/>
    <n v="-636.07000000000005"/>
    <n v="-22.28"/>
    <n v="32.020000000000003"/>
    <n v="-240.25"/>
    <n v="495.06"/>
    <n v="-86.47"/>
    <n v="-320.77999999999997"/>
    <n v="-1945.51"/>
    <n v="234.30999999999997"/>
  </r>
  <r>
    <x v="11"/>
    <x v="3"/>
    <x v="0"/>
    <s v="6158101"/>
    <n v="721710"/>
    <s v="Reagents"/>
    <s v="Medical Supplies/CSR"/>
    <x v="0"/>
    <n v="1000"/>
    <n v="0"/>
    <n v="0"/>
    <n v="-59.8"/>
    <n v="-57.21"/>
    <n v="0"/>
    <n v="0"/>
    <n v="0"/>
    <n v="0"/>
    <n v="0"/>
    <n v="0"/>
    <n v="-167.89"/>
    <n v="143.81"/>
    <n v="-141.08999999999997"/>
    <n v="-311.7"/>
  </r>
  <r>
    <x v="11"/>
    <x v="3"/>
    <x v="0"/>
    <s v="6158101"/>
    <n v="721750"/>
    <s v="Supplies-Film/Radiographic - Nonbillable"/>
    <s v="Medical Supplies/CSR"/>
    <x v="0"/>
    <m/>
    <n v="0"/>
    <n v="0"/>
    <n v="0"/>
    <n v="0"/>
    <n v="-1289.22"/>
    <n v="-46.53"/>
    <n v="-402.32"/>
    <n v="-759.27"/>
    <n v="555.46"/>
    <n v="60.78"/>
    <n v="0"/>
    <n v="0"/>
    <n v="-1881.1000000000001"/>
    <n v="0"/>
  </r>
  <r>
    <x v="11"/>
    <x v="3"/>
    <x v="0"/>
    <s v="6158101"/>
    <n v="721810"/>
    <s v="Supplies-Dietary/Cafeteria"/>
    <s v="Medical Supplies/CSR"/>
    <x v="0"/>
    <m/>
    <n v="1789.24"/>
    <n v="-215.07"/>
    <n v="297.5"/>
    <n v="453.62"/>
    <n v="2079.06"/>
    <n v="-619.89"/>
    <n v="55.28"/>
    <n v="-2157.11"/>
    <n v="-10136"/>
    <n v="3933.65"/>
    <n v="308.73"/>
    <n v="-87.86"/>
    <n v="-4298.8499999999995"/>
    <n v="396.59000000000003"/>
  </r>
  <r>
    <x v="11"/>
    <x v="3"/>
    <x v="0"/>
    <s v="6158101"/>
    <n v="721830"/>
    <s v="Supplies-Office"/>
    <s v="Medical Supplies/CSR"/>
    <x v="0"/>
    <m/>
    <n v="1654.68"/>
    <n v="638.36"/>
    <n v="442.52"/>
    <n v="1593.6"/>
    <n v="1564.64"/>
    <n v="608.27"/>
    <n v="1250.3699999999999"/>
    <n v="-1218.2"/>
    <n v="698.02"/>
    <n v="942.78"/>
    <n v="784.99"/>
    <n v="4103.13"/>
    <n v="13063.16"/>
    <n v="-3318.1400000000003"/>
  </r>
  <r>
    <x v="11"/>
    <x v="3"/>
    <x v="0"/>
    <s v="6158101"/>
    <n v="721835"/>
    <s v="Supplies-Forms"/>
    <s v="Medical Supplies/CSR"/>
    <x v="0"/>
    <m/>
    <n v="0"/>
    <n v="0"/>
    <n v="0"/>
    <n v="0"/>
    <n v="1290"/>
    <n v="0"/>
    <n v="0"/>
    <n v="0"/>
    <n v="646"/>
    <n v="0"/>
    <n v="658.69"/>
    <n v="0"/>
    <n v="2594.69"/>
    <n v="658.69"/>
  </r>
  <r>
    <x v="11"/>
    <x v="3"/>
    <x v="0"/>
    <s v="6158101"/>
    <n v="721870"/>
    <s v="Supplies-Environmental Services"/>
    <s v="Medical Supplies/CSR"/>
    <x v="0"/>
    <m/>
    <n v="-14771.92"/>
    <n v="-10983.31"/>
    <n v="-8899.5499999999993"/>
    <n v="-3360.31"/>
    <n v="702.26"/>
    <n v="1353.4"/>
    <n v="1778.52"/>
    <n v="-1052.83"/>
    <n v="592.04999999999995"/>
    <n v="332.83"/>
    <n v="936.11"/>
    <n v="2328.6"/>
    <n v="-31044.149999999994"/>
    <n v="-1392.4899999999998"/>
  </r>
  <r>
    <x v="11"/>
    <x v="3"/>
    <x v="0"/>
    <s v="6158101"/>
    <n v="721880"/>
    <s v="Supplies-Linen"/>
    <s v="Medical Supplies/CSR"/>
    <x v="0"/>
    <m/>
    <n v="-57.2"/>
    <n v="0"/>
    <n v="0"/>
    <n v="0"/>
    <n v="131.61000000000001"/>
    <n v="0"/>
    <n v="0"/>
    <n v="0"/>
    <n v="0"/>
    <n v="183.16"/>
    <n v="24.69"/>
    <n v="0"/>
    <n v="282.26"/>
    <n v="24.69"/>
  </r>
  <r>
    <x v="11"/>
    <x v="3"/>
    <x v="0"/>
    <s v="6158101"/>
    <n v="721910"/>
    <s v="Supplies-Small Equipment"/>
    <s v="Medical Supplies/CSR"/>
    <x v="0"/>
    <m/>
    <n v="2155.56"/>
    <n v="-7366.25"/>
    <n v="3456.81"/>
    <n v="285.04000000000002"/>
    <n v="1856.65"/>
    <n v="-256.3"/>
    <n v="858.61"/>
    <n v="431.53"/>
    <n v="-4094.82"/>
    <n v="-37.94"/>
    <n v="-1128.73"/>
    <n v="2458.44"/>
    <n v="-1381.400000000001"/>
    <n v="-3587.17"/>
  </r>
  <r>
    <x v="11"/>
    <x v="3"/>
    <x v="0"/>
    <s v="6158101"/>
    <n v="721910"/>
    <s v="Instruments"/>
    <s v="Medical Supplies/CSR"/>
    <x v="0"/>
    <n v="1000"/>
    <n v="-10806.42"/>
    <n v="-129.85"/>
    <n v="1017.21"/>
    <n v="-29395.33"/>
    <n v="6097.39"/>
    <n v="-24224.04"/>
    <n v="-49751.78"/>
    <n v="-15412.02"/>
    <n v="-33412.92"/>
    <n v="-12308.03"/>
    <n v="-21315.99"/>
    <n v="-43166.5"/>
    <n v="-232808.28"/>
    <n v="21850.51"/>
  </r>
  <r>
    <x v="11"/>
    <x v="3"/>
    <x v="0"/>
    <s v="6158101"/>
    <n v="721980"/>
    <s v="Supplies-Other"/>
    <s v="Medical Supplies/CSR"/>
    <x v="0"/>
    <m/>
    <n v="36412.07"/>
    <n v="38256.050000000003"/>
    <n v="18161.060000000001"/>
    <n v="15284.96"/>
    <n v="8960.1299999999992"/>
    <n v="8148.97"/>
    <n v="3531.91"/>
    <n v="6365.37"/>
    <n v="2400.62"/>
    <n v="18831.86"/>
    <n v="4830.41"/>
    <n v="2669.89"/>
    <n v="163853.30000000002"/>
    <n v="2160.52"/>
  </r>
  <r>
    <x v="11"/>
    <x v="3"/>
    <x v="0"/>
    <s v="6158101"/>
    <n v="722000"/>
    <s v="Supplies-Freight Expense"/>
    <s v="Medical Supplies/CSR"/>
    <x v="0"/>
    <m/>
    <n v="33755.550000000003"/>
    <n v="35545.08"/>
    <n v="42020.800000000003"/>
    <n v="14533.92"/>
    <n v="43952.11"/>
    <n v="47135.39"/>
    <n v="53433"/>
    <n v="40362.26"/>
    <n v="49622.6"/>
    <n v="47601.38"/>
    <n v="61713.05"/>
    <n v="53024.67"/>
    <n v="522699.81"/>
    <n v="8688.3800000000047"/>
  </r>
  <r>
    <x v="11"/>
    <x v="3"/>
    <x v="0"/>
    <s v="6158101"/>
    <n v="722000"/>
    <s v="Minimum Order Fees"/>
    <s v="Medical Supplies/CSR"/>
    <x v="0"/>
    <n v="1000"/>
    <n v="280"/>
    <n v="115.71"/>
    <n v="639.54"/>
    <n v="230.05"/>
    <n v="175.99"/>
    <n v="115.99"/>
    <n v="73.760000000000005"/>
    <n v="490"/>
    <n v="360"/>
    <n v="395"/>
    <n v="327.5"/>
    <n v="700.18"/>
    <n v="3903.72"/>
    <n v="-372.67999999999995"/>
  </r>
  <r>
    <x v="11"/>
    <x v="3"/>
    <x v="0"/>
    <s v="6158101"/>
    <n v="722000"/>
    <s v="Rush Order Fees"/>
    <s v="Medical Supplies/CSR"/>
    <x v="0"/>
    <n v="1005"/>
    <n v="0"/>
    <n v="0"/>
    <n v="0"/>
    <n v="0"/>
    <n v="55"/>
    <n v="0"/>
    <n v="0"/>
    <n v="0"/>
    <n v="0"/>
    <n v="0"/>
    <n v="60"/>
    <n v="0"/>
    <n v="115"/>
    <n v="60"/>
  </r>
  <r>
    <x v="11"/>
    <x v="3"/>
    <x v="0"/>
    <s v="6158101"/>
    <n v="722010"/>
    <s v="Standard Distribution Fees"/>
    <s v="Medical Supplies/CSR"/>
    <x v="0"/>
    <n v="1000"/>
    <n v="0"/>
    <n v="14786.14"/>
    <n v="0"/>
    <n v="32863.360000000001"/>
    <n v="13395.95"/>
    <n v="30772.560000000001"/>
    <n v="0"/>
    <n v="16849.45"/>
    <n v="16596.759999999998"/>
    <n v="14744.26"/>
    <n v="19093.63"/>
    <n v="16133.21"/>
    <n v="175235.31999999998"/>
    <n v="2960.4200000000019"/>
  </r>
  <r>
    <x v="11"/>
    <x v="3"/>
    <x v="0"/>
    <s v="6158101"/>
    <n v="723000"/>
    <s v="Supply Rebates/Patronage Dividend"/>
    <s v="Medical Supplies/CSR"/>
    <x v="0"/>
    <m/>
    <n v="0"/>
    <n v="0"/>
    <n v="-443169.74"/>
    <n v="0"/>
    <n v="0"/>
    <n v="-665515.61"/>
    <n v="0"/>
    <n v="0"/>
    <n v="-442392.39"/>
    <n v="0"/>
    <n v="0"/>
    <n v="-660945.87"/>
    <n v="-2212023.6100000003"/>
    <n v="660945.87"/>
  </r>
  <r>
    <x v="11"/>
    <x v="3"/>
    <x v="0"/>
    <s v="6158101"/>
    <n v="723001"/>
    <s v="Inventory Adjustments *"/>
    <s v="Medical Supplies/CSR"/>
    <x v="0"/>
    <m/>
    <n v="4720.9399999999996"/>
    <n v="9035.56"/>
    <n v="5243.52"/>
    <n v="14968.45"/>
    <n v="11628.45"/>
    <n v="15799.57"/>
    <n v="44278.38"/>
    <n v="-22510.45"/>
    <n v="4029.14"/>
    <n v="12396.06"/>
    <n v="7137.66"/>
    <n v="-7708.84"/>
    <n v="99018.44"/>
    <n v="14846.5"/>
  </r>
  <r>
    <x v="11"/>
    <x v="3"/>
    <x v="0"/>
    <s v="6158101"/>
    <n v="723002"/>
    <s v="Physical Inventory Variance *"/>
    <s v="Medical Supplies/CSR"/>
    <x v="0"/>
    <m/>
    <n v="-692.62"/>
    <n v="-1133.02"/>
    <n v="-6.65"/>
    <n v="-412.44"/>
    <n v="-3073.43"/>
    <n v="10.81"/>
    <n v="-829.44"/>
    <n v="203.25"/>
    <n v="0"/>
    <n v="-7493.11"/>
    <n v="-1137.92"/>
    <n v="-402.17"/>
    <n v="-14966.739999999998"/>
    <n v="-735.75"/>
  </r>
  <r>
    <x v="11"/>
    <x v="3"/>
    <x v="0"/>
    <s v="6158101"/>
    <n v="724000"/>
    <s v="Item Cost Variance Suspense *"/>
    <s v="Medical Supplies/CSR"/>
    <x v="0"/>
    <m/>
    <n v="-3766.31"/>
    <n v="3569.33"/>
    <n v="11187.42"/>
    <n v="-17031.740000000002"/>
    <n v="1581.78"/>
    <n v="-7380.04"/>
    <n v="-3251.57"/>
    <n v="6954.65"/>
    <n v="12973.48"/>
    <n v="-10044.89"/>
    <n v="1839.14"/>
    <n v="2865.6"/>
    <n v="-503.150000000001"/>
    <n v="-1026.4599999999998"/>
  </r>
  <r>
    <x v="11"/>
    <x v="3"/>
    <x v="0"/>
    <s v="6158101"/>
    <n v="724001"/>
    <s v="Tolerance Offset *"/>
    <s v="Medical Supplies/CSR"/>
    <x v="0"/>
    <m/>
    <n v="-0.02"/>
    <n v="-91.5"/>
    <n v="0"/>
    <n v="10.01"/>
    <n v="59.8"/>
    <n v="0"/>
    <n v="0.52"/>
    <n v="0"/>
    <n v="0.02"/>
    <n v="0"/>
    <n v="1.05"/>
    <n v="-0.01"/>
    <n v="-20.129999999999995"/>
    <n v="1.06"/>
  </r>
  <r>
    <x v="11"/>
    <x v="3"/>
    <x v="0"/>
    <s v="6158101"/>
    <n v="724002"/>
    <s v="Match Write Off *"/>
    <s v="Medical Supplies/CSR"/>
    <x v="0"/>
    <m/>
    <n v="0"/>
    <n v="0"/>
    <n v="-603.25"/>
    <n v="-73524.3"/>
    <n v="0"/>
    <n v="-470.89"/>
    <n v="-9044.7099999999991"/>
    <n v="-2550.6"/>
    <n v="-3377.03"/>
    <n v="-58.6"/>
    <n v="0"/>
    <n v="-47253.73"/>
    <n v="-136883.11000000002"/>
    <n v="47253.73"/>
  </r>
  <r>
    <x v="11"/>
    <x v="3"/>
    <x v="0"/>
    <s v="6158101"/>
    <n v="724005"/>
    <s v="Return Suspense *"/>
    <s v="Medical Supplies/CSR"/>
    <x v="0"/>
    <m/>
    <n v="69.680000000000007"/>
    <n v="-1007.62"/>
    <n v="0"/>
    <n v="8.2799999999999994"/>
    <n v="1919.63"/>
    <n v="0"/>
    <n v="0"/>
    <n v="1961.68"/>
    <n v="6682.35"/>
    <n v="2288.44"/>
    <n v="-1123.29"/>
    <n v="4060.35"/>
    <n v="14859.500000000002"/>
    <n v="-5183.6399999999994"/>
  </r>
  <r>
    <x v="12"/>
    <x v="3"/>
    <x v="0"/>
    <s v="6158101"/>
    <n v="730020"/>
    <s v="Rental and Leases-Equipment (DO NOT USE)"/>
    <s v="Medical Supplies/CSR"/>
    <x v="0"/>
    <m/>
    <n v="0"/>
    <n v="0"/>
    <n v="0"/>
    <n v="-1735.99"/>
    <n v="107.12"/>
    <n v="0"/>
    <n v="107.12"/>
    <n v="-107.12"/>
    <n v="0"/>
    <n v="-260"/>
    <n v="0"/>
    <n v="0"/>
    <n v="-1888.87"/>
    <n v="0"/>
  </r>
  <r>
    <x v="12"/>
    <x v="3"/>
    <x v="0"/>
    <s v="6158101"/>
    <n v="730020"/>
    <s v="Rental and Leases-Copier Usage Fees (DO NOT USE)"/>
    <s v="Medical Supplies/CSR"/>
    <x v="0"/>
    <n v="5100"/>
    <n v="722.88"/>
    <n v="733.36"/>
    <n v="728.12"/>
    <n v="728.12"/>
    <n v="728.12"/>
    <n v="728.12"/>
    <n v="-442.64"/>
    <n v="488.96"/>
    <n v="487.93"/>
    <n v="586.07000000000005"/>
    <n v="488.96"/>
    <n v="518.78"/>
    <n v="6496.78"/>
    <n v="-29.819999999999993"/>
  </r>
  <r>
    <x v="16"/>
    <x v="3"/>
    <x v="0"/>
    <s v="6158101"/>
    <n v="732020"/>
    <s v="Repairs--Clin Equip-Parts-Internal to CHI Programs"/>
    <s v="Medical Supplies/CSR"/>
    <x v="0"/>
    <m/>
    <n v="0"/>
    <n v="2"/>
    <n v="-12.14"/>
    <n v="83.7"/>
    <n v="0"/>
    <n v="0"/>
    <n v="-76.64"/>
    <n v="117.26"/>
    <n v="130.38"/>
    <n v="0"/>
    <n v="469.03"/>
    <n v="103.87"/>
    <n v="817.45999999999992"/>
    <n v="365.15999999999997"/>
  </r>
  <r>
    <x v="16"/>
    <x v="3"/>
    <x v="0"/>
    <s v="6158101"/>
    <n v="733030"/>
    <s v="Maintenance Contracts-Other"/>
    <s v="Medical Supplies/CSR"/>
    <x v="0"/>
    <m/>
    <n v="0"/>
    <n v="0"/>
    <n v="0"/>
    <n v="0"/>
    <n v="0"/>
    <n v="0"/>
    <n v="0"/>
    <n v="0"/>
    <n v="4312.5"/>
    <n v="0"/>
    <n v="0"/>
    <n v="0"/>
    <n v="4312.5"/>
    <n v="0"/>
  </r>
  <r>
    <x v="13"/>
    <x v="3"/>
    <x v="0"/>
    <s v="6158101"/>
    <n v="735070"/>
    <s v="Depreciation-Movable Equipment"/>
    <s v="Medical Supplies/CSR"/>
    <x v="0"/>
    <m/>
    <n v="4450.6400000000003"/>
    <n v="4450.62"/>
    <n v="3296.96"/>
    <n v="3296.94"/>
    <n v="3211.27"/>
    <n v="3211.26"/>
    <n v="0"/>
    <n v="0"/>
    <n v="0"/>
    <n v="0"/>
    <n v="0"/>
    <n v="0"/>
    <n v="21917.690000000002"/>
    <n v="0"/>
  </r>
  <r>
    <x v="0"/>
    <x v="3"/>
    <x v="0"/>
    <s v="6158101"/>
    <n v="742030"/>
    <s v="Freight-Courier"/>
    <s v="Medical Supplies/CSR"/>
    <x v="0"/>
    <m/>
    <n v="0"/>
    <n v="0"/>
    <n v="30"/>
    <n v="0"/>
    <n v="0"/>
    <n v="10"/>
    <n v="-193.23"/>
    <n v="45"/>
    <n v="0"/>
    <n v="0"/>
    <n v="0"/>
    <n v="10"/>
    <n v="-98.22999999999999"/>
    <n v="-10"/>
  </r>
  <r>
    <x v="0"/>
    <x v="3"/>
    <x v="0"/>
    <s v="6158101"/>
    <n v="742050"/>
    <s v="Freight-Purchases"/>
    <s v="Medical Supplies/CSR"/>
    <x v="0"/>
    <m/>
    <n v="0"/>
    <n v="0"/>
    <n v="0"/>
    <n v="0"/>
    <n v="0"/>
    <n v="0"/>
    <n v="0"/>
    <n v="0"/>
    <n v="0"/>
    <n v="0"/>
    <n v="367"/>
    <n v="132.74"/>
    <n v="499.74"/>
    <n v="234.26"/>
  </r>
  <r>
    <x v="0"/>
    <x v="3"/>
    <x v="0"/>
    <s v="6158101"/>
    <n v="743030"/>
    <s v="Subscriptions--Institutional"/>
    <s v="Medical Supplies/CSR"/>
    <x v="0"/>
    <m/>
    <n v="0"/>
    <n v="0"/>
    <n v="0"/>
    <n v="0"/>
    <n v="0"/>
    <n v="0"/>
    <n v="0"/>
    <n v="0"/>
    <n v="75750"/>
    <n v="0"/>
    <n v="25250"/>
    <n v="25250"/>
    <n v="126250"/>
    <n v="0"/>
  </r>
  <r>
    <x v="0"/>
    <x v="3"/>
    <x v="0"/>
    <s v="6158101"/>
    <n v="745010"/>
    <s v="Donations and Contributions"/>
    <s v="Medical Supplies/CSR"/>
    <x v="0"/>
    <m/>
    <n v="0"/>
    <n v="5754.09"/>
    <n v="761.68"/>
    <n v="17951.54"/>
    <n v="2296.12"/>
    <n v="2888.73"/>
    <n v="1731.07"/>
    <n v="0"/>
    <n v="0"/>
    <n v="2439.42"/>
    <n v="285.81"/>
    <n v="1095.28"/>
    <n v="35203.74"/>
    <n v="-809.47"/>
  </r>
  <r>
    <x v="0"/>
    <x v="3"/>
    <x v="0"/>
    <s v="6158101"/>
    <n v="749510"/>
    <s v="Miscellaneous Expenses"/>
    <s v="Medical Supplies/CSR"/>
    <x v="0"/>
    <m/>
    <n v="14.61"/>
    <n v="122.65"/>
    <n v="82.71"/>
    <n v="27.29"/>
    <n v="201.51"/>
    <n v="35.28"/>
    <n v="356.41"/>
    <n v="74.150000000000006"/>
    <n v="15.71"/>
    <n v="34.28"/>
    <n v="1687.54"/>
    <n v="122.15"/>
    <n v="2774.29"/>
    <n v="1565.3899999999999"/>
  </r>
  <r>
    <x v="5"/>
    <x v="0"/>
    <x v="0"/>
    <s v="6158102"/>
    <n v="700014"/>
    <s v="Salaries-Management-Productive"/>
    <s v="Medical Supplies/CSR"/>
    <x v="0"/>
    <m/>
    <n v="5417.85"/>
    <n v="7344.33"/>
    <n v="7031.48"/>
    <n v="1107.78"/>
    <n v="7719.52"/>
    <n v="2969.27"/>
    <n v="7186.35"/>
    <n v="3642.63"/>
    <n v="5079.67"/>
    <n v="7433.54"/>
    <n v="7012.58"/>
    <n v="4286.91"/>
    <n v="66231.91"/>
    <n v="2725.67"/>
  </r>
  <r>
    <x v="5"/>
    <x v="0"/>
    <x v="0"/>
    <s v="6158102"/>
    <n v="700038"/>
    <s v="Salaries-Service/Support-Productive"/>
    <s v="Medical Supplies/CSR"/>
    <x v="0"/>
    <m/>
    <n v="45629.3"/>
    <n v="45393.53"/>
    <n v="40136.69"/>
    <n v="43394.89"/>
    <n v="37050.269999999997"/>
    <n v="49486.45"/>
    <n v="49980.66"/>
    <n v="46336.79"/>
    <n v="49191.12"/>
    <n v="41694.81"/>
    <n v="48802.79"/>
    <n v="45717.45"/>
    <n v="542814.75"/>
    <n v="3085.3400000000038"/>
  </r>
  <r>
    <x v="5"/>
    <x v="0"/>
    <x v="0"/>
    <s v="6158102"/>
    <n v="700038"/>
    <s v="Salaries-Service/Support-OT"/>
    <s v="Medical Supplies/CSR"/>
    <x v="0"/>
    <n v="1000"/>
    <n v="2295.9899999999998"/>
    <n v="1489.17"/>
    <n v="1567.94"/>
    <n v="2388.33"/>
    <n v="1897.13"/>
    <n v="1330.59"/>
    <n v="1418.12"/>
    <n v="474.78"/>
    <n v="724.01"/>
    <n v="1042.8900000000001"/>
    <n v="1381.26"/>
    <n v="936.28"/>
    <n v="16946.490000000002"/>
    <n v="444.98"/>
  </r>
  <r>
    <x v="5"/>
    <x v="0"/>
    <x v="0"/>
    <s v="6158102"/>
    <n v="700038"/>
    <s v="Salaries-Service/Support-Other"/>
    <s v="Medical Supplies/CSR"/>
    <x v="0"/>
    <n v="2000"/>
    <n v="2257.9"/>
    <n v="1993.07"/>
    <n v="1729.43"/>
    <n v="1407.59"/>
    <n v="1130.0999999999999"/>
    <n v="2347.81"/>
    <n v="2150.6999999999998"/>
    <n v="2080.69"/>
    <n v="2135.44"/>
    <n v="2008.37"/>
    <n v="2026.54"/>
    <n v="1901.05"/>
    <n v="23168.69"/>
    <n v="125.49000000000001"/>
  </r>
  <r>
    <x v="5"/>
    <x v="0"/>
    <x v="0"/>
    <s v="6158102"/>
    <n v="700054"/>
    <s v="Salaries-Management-Non-productive"/>
    <s v="Medical Supplies/CSR"/>
    <x v="0"/>
    <m/>
    <n v="2046.65"/>
    <n v="120.52"/>
    <n v="192.67"/>
    <n v="6522.78"/>
    <n v="-296.86"/>
    <n v="4701.0600000000004"/>
    <n v="495.96"/>
    <n v="3295.52"/>
    <n v="2601.92"/>
    <n v="0"/>
    <n v="669.01"/>
    <n v="3146.99"/>
    <n v="23496.22"/>
    <n v="-2477.9799999999996"/>
  </r>
  <r>
    <x v="5"/>
    <x v="0"/>
    <x v="0"/>
    <s v="6158102"/>
    <n v="700054"/>
    <s v="Salaries-Management-NonProd-Other"/>
    <s v="Medical Supplies/CSR"/>
    <x v="0"/>
    <n v="2000"/>
    <n v="0"/>
    <n v="0"/>
    <n v="0"/>
    <n v="0"/>
    <n v="470.2"/>
    <n v="844.94"/>
    <n v="-844.94"/>
    <n v="-470.2"/>
    <n v="0"/>
    <n v="0"/>
    <n v="0"/>
    <n v="0"/>
    <n v="5.6843418860808015E-14"/>
    <n v="0"/>
  </r>
  <r>
    <x v="5"/>
    <x v="0"/>
    <x v="0"/>
    <s v="6158102"/>
    <n v="700078"/>
    <s v="Salaries-Service/Support-Non-productive"/>
    <s v="Medical Supplies/CSR"/>
    <x v="0"/>
    <m/>
    <n v="6214.04"/>
    <n v="3690.41"/>
    <n v="6948.06"/>
    <n v="5992.45"/>
    <n v="8069.15"/>
    <n v="7207.99"/>
    <n v="4444.51"/>
    <n v="4809.22"/>
    <n v="4569.8"/>
    <n v="9267.33"/>
    <n v="2899.11"/>
    <n v="3567.86"/>
    <n v="67679.930000000008"/>
    <n v="-668.75"/>
  </r>
  <r>
    <x v="5"/>
    <x v="0"/>
    <x v="0"/>
    <s v="6158102"/>
    <n v="700078"/>
    <s v="Salaries-Service/Support-NonProd-Other"/>
    <s v="Medical Supplies/CSR"/>
    <x v="0"/>
    <n v="2000"/>
    <n v="189.36"/>
    <n v="55.06"/>
    <n v="152.02000000000001"/>
    <n v="427.24"/>
    <n v="415.37"/>
    <n v="366.56"/>
    <n v="233.17"/>
    <n v="-211.01"/>
    <n v="344.39"/>
    <n v="202.29"/>
    <n v="154.59"/>
    <n v="86.06"/>
    <n v="2415.1000000000004"/>
    <n v="68.53"/>
  </r>
  <r>
    <x v="5"/>
    <x v="0"/>
    <x v="0"/>
    <s v="6158102"/>
    <n v="700084"/>
    <s v="Accrued PTO"/>
    <s v="Medical Supplies/CSR"/>
    <x v="0"/>
    <m/>
    <n v="1089.57"/>
    <n v="1314.77"/>
    <n v="-1829.77"/>
    <n v="4541.54"/>
    <n v="-4009.33"/>
    <n v="-3471.92"/>
    <n v="1637.98"/>
    <n v="2448.39"/>
    <n v="1725.9"/>
    <n v="-743.18"/>
    <n v="1156.49"/>
    <n v="2086.31"/>
    <n v="5946.75"/>
    <n v="-929.81999999999994"/>
  </r>
  <r>
    <x v="6"/>
    <x v="0"/>
    <x v="0"/>
    <s v="6158102"/>
    <n v="713010"/>
    <s v="Benefits-FICA/Medicare"/>
    <s v="Medical Supplies/CSR"/>
    <x v="0"/>
    <m/>
    <n v="4746.58"/>
    <n v="4437.1099999999997"/>
    <n v="4267.0600000000004"/>
    <n v="4528.51"/>
    <n v="4366.51"/>
    <n v="5507.29"/>
    <n v="4920.71"/>
    <n v="4481.3900000000003"/>
    <n v="4744.6400000000003"/>
    <n v="4543.6400000000003"/>
    <n v="4671.8900000000003"/>
    <n v="4646.0200000000004"/>
    <n v="55861.350000000006"/>
    <n v="25.869999999999891"/>
  </r>
  <r>
    <x v="6"/>
    <x v="0"/>
    <x v="0"/>
    <s v="6158102"/>
    <n v="713090"/>
    <s v="Benefits-Allocated Amounts"/>
    <s v="Medical Supplies/CSR"/>
    <x v="0"/>
    <m/>
    <n v="19865.900000000001"/>
    <n v="16102.08"/>
    <n v="17024.39"/>
    <n v="17282.12"/>
    <n v="15888.6"/>
    <n v="19655.14"/>
    <n v="20264.009999999998"/>
    <n v="19732.16"/>
    <n v="18628.310000000001"/>
    <n v="19363.509999999998"/>
    <n v="19407.91"/>
    <n v="18968.25"/>
    <n v="222182.38"/>
    <n v="439.65999999999985"/>
  </r>
  <r>
    <x v="7"/>
    <x v="0"/>
    <x v="0"/>
    <s v="6158102"/>
    <n v="718050"/>
    <s v="Contract Svcs-Other"/>
    <s v="Medical Supplies/CSR"/>
    <x v="0"/>
    <m/>
    <n v="0"/>
    <n v="0"/>
    <n v="0"/>
    <n v="6468.38"/>
    <n v="2937.5"/>
    <n v="2937.5"/>
    <n v="0"/>
    <n v="2937.5"/>
    <n v="-15280.88"/>
    <n v="0"/>
    <n v="0"/>
    <n v="0"/>
    <n v="1.8189894035458565E-12"/>
    <n v="0"/>
  </r>
  <r>
    <x v="7"/>
    <x v="0"/>
    <x v="0"/>
    <s v="6158102"/>
    <n v="718050"/>
    <s v="Document Shredding/Storage"/>
    <s v="Medical Supplies/CSR"/>
    <x v="0"/>
    <n v="1012"/>
    <n v="100.39"/>
    <n v="-157.01"/>
    <n v="13.63"/>
    <n v="14.11"/>
    <n v="14.59"/>
    <n v="14.59"/>
    <n v="14.44"/>
    <n v="101.88"/>
    <n v="14.67"/>
    <n v="19.2"/>
    <n v="16.13"/>
    <n v="16.670000000000002"/>
    <n v="183.28999999999996"/>
    <n v="-0.5400000000000027"/>
  </r>
  <r>
    <x v="11"/>
    <x v="0"/>
    <x v="0"/>
    <s v="6158102"/>
    <n v="721010"/>
    <s v="Supplies-Medical - Billable"/>
    <s v="Medical Supplies/CSR"/>
    <x v="0"/>
    <m/>
    <n v="1359.5"/>
    <n v="311.16000000000003"/>
    <n v="105.13"/>
    <n v="-517.74"/>
    <n v="1779.84"/>
    <n v="2849.92"/>
    <n v="1962.41"/>
    <n v="-872.09"/>
    <n v="-339.73"/>
    <n v="4974.26"/>
    <n v="878.65"/>
    <n v="646.51"/>
    <n v="13137.82"/>
    <n v="232.14"/>
  </r>
  <r>
    <x v="11"/>
    <x v="0"/>
    <x v="0"/>
    <s v="6158102"/>
    <n v="721010"/>
    <s v="Patient Monitoring"/>
    <s v="Medical Supplies/CSR"/>
    <x v="0"/>
    <n v="1000"/>
    <n v="-868.37"/>
    <n v="909.53"/>
    <n v="-830.9"/>
    <n v="165.34"/>
    <n v="181.44"/>
    <n v="26.82"/>
    <n v="160.94"/>
    <n v="117.56"/>
    <n v="174.12"/>
    <n v="-2825.5"/>
    <n v="103"/>
    <n v="26.17"/>
    <n v="-2659.85"/>
    <n v="76.83"/>
  </r>
  <r>
    <x v="11"/>
    <x v="0"/>
    <x v="0"/>
    <s v="6158102"/>
    <n v="721020"/>
    <s v="Supplies-Surgical - Billable"/>
    <s v="Medical Supplies/CSR"/>
    <x v="0"/>
    <m/>
    <n v="-306.77999999999997"/>
    <n v="-983.96"/>
    <n v="-1617.73"/>
    <n v="-1495.65"/>
    <n v="-606.78"/>
    <n v="-388.38"/>
    <n v="-6.12"/>
    <n v="218.37"/>
    <n v="-783.85"/>
    <n v="5198.2299999999996"/>
    <n v="-495.77"/>
    <n v="-633.22"/>
    <n v="-1901.6400000000015"/>
    <n v="137.45000000000005"/>
  </r>
  <r>
    <x v="11"/>
    <x v="0"/>
    <x v="0"/>
    <s v="6158102"/>
    <n v="721020"/>
    <s v="Custom Packs"/>
    <s v="Medical Supplies/CSR"/>
    <x v="0"/>
    <n v="1000"/>
    <n v="-1055.67"/>
    <n v="455.66"/>
    <n v="24.53"/>
    <n v="-290.51"/>
    <n v="55.47"/>
    <n v="-204.18"/>
    <n v="-135.29"/>
    <n v="-195.51"/>
    <n v="363.4"/>
    <n v="942.02"/>
    <n v="320.25"/>
    <n v="-49.16"/>
    <n v="231.00999999999996"/>
    <n v="369.40999999999997"/>
  </r>
  <r>
    <x v="11"/>
    <x v="0"/>
    <x v="0"/>
    <s v="6158102"/>
    <n v="721020"/>
    <s v="Suture/Wound Closure"/>
    <s v="Medical Supplies/CSR"/>
    <x v="0"/>
    <n v="1001"/>
    <n v="0"/>
    <n v="0"/>
    <n v="244.8"/>
    <n v="0"/>
    <n v="0"/>
    <n v="0"/>
    <n v="0"/>
    <n v="0"/>
    <n v="0"/>
    <n v="0"/>
    <n v="0"/>
    <n v="0"/>
    <n v="244.8"/>
    <n v="0"/>
  </r>
  <r>
    <x v="11"/>
    <x v="0"/>
    <x v="0"/>
    <s v="6158102"/>
    <n v="721020"/>
    <s v="Endomechanical Supplies &amp; Instruments"/>
    <s v="Medical Supplies/CSR"/>
    <x v="0"/>
    <n v="1003"/>
    <n v="-250"/>
    <n v="0"/>
    <n v="-55"/>
    <n v="0"/>
    <n v="0"/>
    <n v="0"/>
    <n v="0"/>
    <n v="-21.66"/>
    <n v="220"/>
    <n v="0"/>
    <n v="-20"/>
    <n v="-600"/>
    <n v="-726.66000000000008"/>
    <n v="580"/>
  </r>
  <r>
    <x v="11"/>
    <x v="0"/>
    <x v="0"/>
    <s v="6158102"/>
    <n v="721020"/>
    <s v="Bone Cement &amp; Supplies"/>
    <s v="Medical Supplies/CSR"/>
    <x v="0"/>
    <n v="1004"/>
    <n v="0"/>
    <n v="0"/>
    <n v="0"/>
    <n v="46.3"/>
    <n v="0"/>
    <n v="0"/>
    <n v="0"/>
    <n v="0"/>
    <n v="0"/>
    <n v="0"/>
    <n v="0"/>
    <n v="-462.69"/>
    <n v="-416.39"/>
    <n v="462.69"/>
  </r>
  <r>
    <x v="11"/>
    <x v="0"/>
    <x v="0"/>
    <s v="6158102"/>
    <n v="721020"/>
    <s v="Urological Supplies"/>
    <s v="Medical Supplies/CSR"/>
    <x v="0"/>
    <n v="1006"/>
    <n v="221.65"/>
    <n v="-55.15"/>
    <n v="793.72"/>
    <n v="-939.53"/>
    <n v="-106.28"/>
    <n v="-103.2"/>
    <n v="0"/>
    <n v="-106.28"/>
    <n v="0"/>
    <n v="0"/>
    <n v="-55.62"/>
    <n v="0"/>
    <n v="-350.68999999999994"/>
    <n v="-55.62"/>
  </r>
  <r>
    <x v="11"/>
    <x v="0"/>
    <x v="0"/>
    <s v="6158102"/>
    <n v="721020"/>
    <s v="Surgical Cardiovascular"/>
    <s v="Medical Supplies/CSR"/>
    <x v="0"/>
    <n v="1007"/>
    <n v="0"/>
    <n v="0"/>
    <n v="0"/>
    <n v="-46.41"/>
    <n v="-64.040000000000006"/>
    <n v="0"/>
    <n v="0"/>
    <n v="0"/>
    <n v="0"/>
    <n v="26.13"/>
    <n v="0"/>
    <n v="0"/>
    <n v="-84.320000000000007"/>
    <n v="0"/>
  </r>
  <r>
    <x v="11"/>
    <x v="0"/>
    <x v="0"/>
    <s v="6158102"/>
    <n v="721020"/>
    <s v="Tubes Drains &amp; Related Supplies"/>
    <s v="Medical Supplies/CSR"/>
    <x v="0"/>
    <n v="1008"/>
    <n v="0"/>
    <n v="-268.5"/>
    <n v="0"/>
    <n v="-158.37"/>
    <n v="-742.64"/>
    <n v="-7.7"/>
    <n v="0"/>
    <n v="0"/>
    <n v="0"/>
    <n v="0"/>
    <n v="0"/>
    <n v="-134.25"/>
    <n v="-1311.46"/>
    <n v="134.25"/>
  </r>
  <r>
    <x v="11"/>
    <x v="0"/>
    <x v="0"/>
    <s v="6158102"/>
    <n v="721050"/>
    <s v="Supplies-Cardiac Rhythm - Billable"/>
    <s v="Medical Supplies/CSR"/>
    <x v="0"/>
    <m/>
    <n v="402.05"/>
    <n v="-4.9000000000000004"/>
    <n v="0"/>
    <n v="-1170"/>
    <n v="0"/>
    <n v="0"/>
    <n v="0"/>
    <n v="0"/>
    <n v="0"/>
    <n v="296.5"/>
    <n v="-196.5"/>
    <n v="0"/>
    <n v="-672.84999999999991"/>
    <n v="-196.5"/>
  </r>
  <r>
    <x v="11"/>
    <x v="0"/>
    <x v="0"/>
    <s v="6158102"/>
    <n v="721050"/>
    <s v="Pacemakers - Internal"/>
    <s v="Medical Supplies/CSR"/>
    <x v="0"/>
    <n v="1000"/>
    <n v="0"/>
    <n v="0"/>
    <n v="0"/>
    <n v="0"/>
    <n v="0"/>
    <n v="0"/>
    <n v="0"/>
    <n v="0"/>
    <n v="0"/>
    <n v="0"/>
    <n v="575"/>
    <n v="0"/>
    <n v="575"/>
    <n v="575"/>
  </r>
  <r>
    <x v="11"/>
    <x v="0"/>
    <x v="0"/>
    <s v="6158102"/>
    <n v="721150"/>
    <s v="Fracture Management"/>
    <s v="Medical Supplies/CSR"/>
    <x v="0"/>
    <n v="1001"/>
    <n v="0"/>
    <n v="0"/>
    <n v="0"/>
    <n v="-246.77"/>
    <n v="0"/>
    <n v="0"/>
    <n v="0"/>
    <n v="0"/>
    <n v="0"/>
    <n v="0"/>
    <n v="0"/>
    <n v="0"/>
    <n v="-246.77"/>
    <n v="0"/>
  </r>
  <r>
    <x v="11"/>
    <x v="0"/>
    <x v="0"/>
    <s v="6158102"/>
    <n v="721240"/>
    <s v="Supplies-IV Solutions/Supplies - Billable"/>
    <s v="Medical Supplies/CSR"/>
    <x v="0"/>
    <m/>
    <n v="3644.18"/>
    <n v="3392.1"/>
    <n v="-683.45"/>
    <n v="-22.53"/>
    <n v="6466.96"/>
    <n v="3334.75"/>
    <n v="1635.12"/>
    <n v="1128.8699999999999"/>
    <n v="-325.57"/>
    <n v="3840.75"/>
    <n v="-111.14"/>
    <n v="1258.6199999999999"/>
    <n v="23558.66"/>
    <n v="-1369.76"/>
  </r>
  <r>
    <x v="11"/>
    <x v="0"/>
    <x v="0"/>
    <s v="6158102"/>
    <n v="721250"/>
    <s v="Supplies-Pharmacy Drugs - Billable"/>
    <s v="Medical Supplies/CSR"/>
    <x v="0"/>
    <m/>
    <n v="0"/>
    <n v="0"/>
    <n v="0"/>
    <n v="0"/>
    <n v="1.34"/>
    <n v="2.2400000000000002"/>
    <n v="0"/>
    <n v="2.33"/>
    <n v="0"/>
    <n v="1.34"/>
    <n v="0"/>
    <n v="0"/>
    <n v="7.25"/>
    <n v="0"/>
  </r>
  <r>
    <x v="11"/>
    <x v="0"/>
    <x v="0"/>
    <s v="6158102"/>
    <n v="721350"/>
    <s v="Supplies-Film/Radiographic - Billable"/>
    <s v="Medical Supplies/CSR"/>
    <x v="0"/>
    <m/>
    <n v="0"/>
    <n v="0"/>
    <n v="0"/>
    <n v="0"/>
    <n v="0"/>
    <n v="0"/>
    <n v="670.63"/>
    <n v="0"/>
    <n v="609.66"/>
    <n v="60.97"/>
    <n v="0"/>
    <n v="0"/>
    <n v="1341.26"/>
    <n v="0"/>
  </r>
  <r>
    <x v="11"/>
    <x v="0"/>
    <x v="0"/>
    <s v="6158102"/>
    <n v="721410"/>
    <s v="Supplies-Medical - Nonbillable"/>
    <s v="Medical Supplies/CSR"/>
    <x v="0"/>
    <m/>
    <n v="-5666.51"/>
    <n v="-7181.99"/>
    <n v="5266.26"/>
    <n v="4493.6899999999996"/>
    <n v="-2991.02"/>
    <n v="-435.46"/>
    <n v="-6432.89"/>
    <n v="-785.26"/>
    <n v="-12871.11"/>
    <n v="15276.65"/>
    <n v="3628.29"/>
    <n v="-5107.4799999999996"/>
    <n v="-12806.830000000002"/>
    <n v="8735.77"/>
  </r>
  <r>
    <x v="11"/>
    <x v="0"/>
    <x v="0"/>
    <s v="6158102"/>
    <n v="721420"/>
    <s v="Supplies-Surgical Nonbillable"/>
    <s v="Medical Supplies/CSR"/>
    <x v="0"/>
    <m/>
    <n v="-371.65"/>
    <n v="-358"/>
    <n v="-305.83"/>
    <n v="-388.01"/>
    <n v="-2771.26"/>
    <n v="-383.03"/>
    <n v="-51.82"/>
    <n v="-422.73"/>
    <n v="145.11000000000001"/>
    <n v="1297.8399999999999"/>
    <n v="4485.6400000000003"/>
    <n v="337.91"/>
    <n v="1214.1700000000003"/>
    <n v="4147.7300000000005"/>
  </r>
  <r>
    <x v="11"/>
    <x v="0"/>
    <x v="0"/>
    <s v="6158102"/>
    <n v="721420"/>
    <s v="Tubes Drains &amp; Related Supplies"/>
    <s v="Medical Supplies/CSR"/>
    <x v="0"/>
    <n v="1008"/>
    <n v="-11.49"/>
    <n v="-142.38999999999999"/>
    <n v="0"/>
    <n v="-292.38"/>
    <n v="80"/>
    <n v="-190.79"/>
    <n v="0"/>
    <n v="36.270000000000003"/>
    <n v="0"/>
    <n v="-174.04"/>
    <n v="39.75"/>
    <n v="526.82000000000005"/>
    <n v="-128.24999999999989"/>
    <n v="-487.07000000000005"/>
  </r>
  <r>
    <x v="11"/>
    <x v="0"/>
    <x v="0"/>
    <s v="6158102"/>
    <n v="721420"/>
    <s v="Sterilization Process Products"/>
    <s v="Medical Supplies/CSR"/>
    <x v="0"/>
    <n v="1009"/>
    <n v="25.02"/>
    <n v="110.92"/>
    <n v="11.77"/>
    <n v="117.53"/>
    <n v="-55.33"/>
    <n v="139.51"/>
    <n v="4.05"/>
    <n v="0"/>
    <n v="58.55"/>
    <n v="-335.72"/>
    <n v="116.51"/>
    <n v="-254.13"/>
    <n v="-61.319999999999993"/>
    <n v="370.64"/>
  </r>
  <r>
    <x v="11"/>
    <x v="0"/>
    <x v="0"/>
    <s v="6158102"/>
    <n v="721610"/>
    <s v="Supplies-Anesthesia - Nonbillable"/>
    <s v="Medical Supplies/CSR"/>
    <x v="0"/>
    <m/>
    <n v="443.08"/>
    <n v="43.29"/>
    <n v="460.67"/>
    <n v="273.08"/>
    <n v="-701.1"/>
    <n v="675.74"/>
    <n v="-2102.13"/>
    <n v="1210.1400000000001"/>
    <n v="-163.72"/>
    <n v="-226.33"/>
    <n v="431.4"/>
    <n v="1309.79"/>
    <n v="1653.9099999999996"/>
    <n v="-878.39"/>
  </r>
  <r>
    <x v="11"/>
    <x v="0"/>
    <x v="0"/>
    <s v="6158102"/>
    <n v="721640"/>
    <s v="Supplies-IV Solutions/Supplies - Nonbillable"/>
    <s v="Medical Supplies/CSR"/>
    <x v="0"/>
    <m/>
    <n v="245.93"/>
    <n v="336.5"/>
    <n v="62.72"/>
    <n v="-480.64"/>
    <n v="13.55"/>
    <n v="754.95"/>
    <n v="1305.1600000000001"/>
    <n v="-414.7"/>
    <n v="-27.5"/>
    <n v="136.5"/>
    <n v="0"/>
    <n v="1934.5"/>
    <n v="3866.9700000000003"/>
    <n v="-1934.5"/>
  </r>
  <r>
    <x v="11"/>
    <x v="0"/>
    <x v="0"/>
    <s v="6158102"/>
    <n v="721650"/>
    <s v="Supplies-Pharmacy Drugs - Nonbillable"/>
    <s v="Medical Supplies/CSR"/>
    <x v="0"/>
    <m/>
    <n v="0"/>
    <n v="-171.73"/>
    <n v="-179.75"/>
    <n v="0"/>
    <n v="0"/>
    <n v="-36.869999999999997"/>
    <n v="0"/>
    <n v="-0.02"/>
    <n v="0"/>
    <n v="0"/>
    <n v="0"/>
    <n v="0"/>
    <n v="-388.37"/>
    <n v="0"/>
  </r>
  <r>
    <x v="11"/>
    <x v="0"/>
    <x v="0"/>
    <s v="6158102"/>
    <n v="721710"/>
    <s v="Supplies-Laboratory - Nonbillable"/>
    <s v="Medical Supplies/CSR"/>
    <x v="0"/>
    <m/>
    <n v="-387.91"/>
    <n v="-58.8"/>
    <n v="-10.97"/>
    <n v="-111.39"/>
    <n v="-335.9"/>
    <n v="-287.74"/>
    <n v="402.86"/>
    <n v="-222.61"/>
    <n v="6.22"/>
    <n v="155.28"/>
    <n v="348.94"/>
    <n v="2.63"/>
    <n v="-499.39000000000004"/>
    <n v="346.31"/>
  </r>
  <r>
    <x v="11"/>
    <x v="0"/>
    <x v="0"/>
    <s v="6158102"/>
    <n v="721710"/>
    <s v="Reagents"/>
    <s v="Medical Supplies/CSR"/>
    <x v="0"/>
    <n v="1000"/>
    <n v="0"/>
    <n v="0"/>
    <n v="0"/>
    <n v="0"/>
    <n v="0"/>
    <n v="0"/>
    <n v="-99.95"/>
    <n v="0"/>
    <n v="0"/>
    <n v="0"/>
    <n v="0"/>
    <n v="0"/>
    <n v="-99.95"/>
    <n v="0"/>
  </r>
  <r>
    <x v="11"/>
    <x v="0"/>
    <x v="0"/>
    <s v="6158102"/>
    <n v="721750"/>
    <s v="Supplies-Film/Radiographic - Nonbillable"/>
    <s v="Medical Supplies/CSR"/>
    <x v="0"/>
    <m/>
    <n v="0"/>
    <n v="-540.25"/>
    <n v="0"/>
    <n v="0"/>
    <n v="53.92"/>
    <n v="-69.73"/>
    <n v="-354.35"/>
    <n v="-283.48"/>
    <n v="0"/>
    <n v="0"/>
    <n v="0"/>
    <n v="2.25"/>
    <n v="-1191.6399999999999"/>
    <n v="-2.25"/>
  </r>
  <r>
    <x v="11"/>
    <x v="0"/>
    <x v="0"/>
    <s v="6158102"/>
    <n v="721810"/>
    <s v="Supplies-Dietary/Cafeteria"/>
    <s v="Medical Supplies/CSR"/>
    <x v="0"/>
    <m/>
    <n v="18.96"/>
    <n v="-9.6999999999999993"/>
    <n v="12.91"/>
    <n v="80.61"/>
    <n v="12.83"/>
    <n v="64.680000000000007"/>
    <n v="-93.04"/>
    <n v="-41.76"/>
    <n v="34.94"/>
    <n v="186.27"/>
    <n v="29.58"/>
    <n v="33.25"/>
    <n v="329.53000000000003"/>
    <n v="-3.6700000000000017"/>
  </r>
  <r>
    <x v="11"/>
    <x v="0"/>
    <x v="0"/>
    <s v="6158102"/>
    <n v="721830"/>
    <s v="Supplies-Office"/>
    <s v="Medical Supplies/CSR"/>
    <x v="0"/>
    <m/>
    <n v="599.15"/>
    <n v="357.67"/>
    <n v="472.21"/>
    <n v="659.02"/>
    <n v="378.26"/>
    <n v="505"/>
    <n v="292.33999999999997"/>
    <n v="501.12"/>
    <n v="318.49"/>
    <n v="336.93"/>
    <n v="-1653.54"/>
    <n v="284.58999999999997"/>
    <n v="3051.2400000000007"/>
    <n v="-1938.1299999999999"/>
  </r>
  <r>
    <x v="11"/>
    <x v="0"/>
    <x v="0"/>
    <s v="6158102"/>
    <n v="721835"/>
    <s v="Supplies-Forms"/>
    <s v="Medical Supplies/CSR"/>
    <x v="0"/>
    <m/>
    <n v="0"/>
    <n v="0"/>
    <n v="0"/>
    <n v="0"/>
    <n v="0.5"/>
    <n v="0"/>
    <n v="0"/>
    <n v="0"/>
    <n v="0"/>
    <n v="0"/>
    <n v="0"/>
    <n v="0"/>
    <n v="0.5"/>
    <n v="0"/>
  </r>
  <r>
    <x v="11"/>
    <x v="0"/>
    <x v="0"/>
    <s v="6158102"/>
    <n v="721870"/>
    <s v="Supplies-Environmental Services"/>
    <s v="Medical Supplies/CSR"/>
    <x v="0"/>
    <m/>
    <n v="165.88"/>
    <n v="293.52999999999997"/>
    <n v="1248.4100000000001"/>
    <n v="341"/>
    <n v="-1422.09"/>
    <n v="-3070.8"/>
    <n v="-2492.7600000000002"/>
    <n v="-31.48"/>
    <n v="0"/>
    <n v="3902.42"/>
    <n v="-271.74"/>
    <n v="-113.29"/>
    <n v="-1450.9199999999994"/>
    <n v="-158.44999999999999"/>
  </r>
  <r>
    <x v="11"/>
    <x v="0"/>
    <x v="0"/>
    <s v="6158102"/>
    <n v="721880"/>
    <s v="Supplies-Linen"/>
    <s v="Medical Supplies/CSR"/>
    <x v="0"/>
    <m/>
    <n v="-51.36"/>
    <n v="0"/>
    <n v="0"/>
    <n v="19.260000000000002"/>
    <n v="0"/>
    <n v="12.84"/>
    <n v="6.42"/>
    <n v="-64.2"/>
    <n v="19.260000000000002"/>
    <n v="19.260000000000002"/>
    <n v="12.84"/>
    <n v="12.84"/>
    <n v="-12.839999999999982"/>
    <n v="0"/>
  </r>
  <r>
    <x v="11"/>
    <x v="0"/>
    <x v="0"/>
    <s v="6158102"/>
    <n v="721910"/>
    <s v="Supplies-Small Equipment"/>
    <s v="Medical Supplies/CSR"/>
    <x v="0"/>
    <m/>
    <n v="-157.53"/>
    <n v="-42.52"/>
    <n v="-259.2"/>
    <n v="-47.34"/>
    <n v="141.16999999999999"/>
    <n v="196.94"/>
    <n v="100.68"/>
    <n v="-51.48"/>
    <n v="77.5"/>
    <n v="220.19"/>
    <n v="-702.68"/>
    <n v="227.98"/>
    <n v="-296.28999999999996"/>
    <n v="-930.66"/>
  </r>
  <r>
    <x v="11"/>
    <x v="0"/>
    <x v="0"/>
    <s v="6158102"/>
    <n v="721910"/>
    <s v="Instruments"/>
    <s v="Medical Supplies/CSR"/>
    <x v="0"/>
    <n v="1000"/>
    <n v="0"/>
    <n v="0"/>
    <n v="0"/>
    <n v="100.31"/>
    <n v="110.86"/>
    <n v="4.8"/>
    <n v="0"/>
    <n v="0"/>
    <n v="0"/>
    <n v="0"/>
    <n v="-1176"/>
    <n v="0"/>
    <n v="-960.03"/>
    <n v="-1176"/>
  </r>
  <r>
    <x v="11"/>
    <x v="0"/>
    <x v="0"/>
    <s v="6158102"/>
    <n v="721980"/>
    <s v="Supplies-Other"/>
    <s v="Medical Supplies/CSR"/>
    <x v="0"/>
    <m/>
    <n v="366.68"/>
    <n v="1881.54"/>
    <n v="4849"/>
    <n v="-5134.1899999999996"/>
    <n v="3894.64"/>
    <n v="3457.01"/>
    <n v="3339.89"/>
    <n v="2766.9"/>
    <n v="1921.48"/>
    <n v="838.06"/>
    <n v="304.56"/>
    <n v="2125.77"/>
    <n v="20611.340000000004"/>
    <n v="-1821.21"/>
  </r>
  <r>
    <x v="11"/>
    <x v="0"/>
    <x v="0"/>
    <s v="6158102"/>
    <n v="722000"/>
    <s v="Supplies-Freight Expense"/>
    <s v="Medical Supplies/CSR"/>
    <x v="0"/>
    <m/>
    <n v="1290.92"/>
    <n v="3318.87"/>
    <n v="1704.58"/>
    <n v="2716.08"/>
    <n v="1644.6"/>
    <n v="3138.36"/>
    <n v="4172.1099999999997"/>
    <n v="1791.57"/>
    <n v="2210.0700000000002"/>
    <n v="2477.3000000000002"/>
    <n v="2032.45"/>
    <n v="9989.6200000000008"/>
    <n v="36486.53"/>
    <n v="-7957.170000000001"/>
  </r>
  <r>
    <x v="11"/>
    <x v="0"/>
    <x v="0"/>
    <s v="6158102"/>
    <n v="722000"/>
    <s v="Minimum Order Fees"/>
    <s v="Medical Supplies/CSR"/>
    <x v="0"/>
    <n v="1000"/>
    <n v="0"/>
    <n v="40"/>
    <n v="0"/>
    <n v="25"/>
    <n v="0"/>
    <n v="0"/>
    <n v="0"/>
    <n v="0"/>
    <n v="0"/>
    <n v="0"/>
    <n v="0"/>
    <n v="195.01"/>
    <n v="260.01"/>
    <n v="-195.01"/>
  </r>
  <r>
    <x v="11"/>
    <x v="0"/>
    <x v="0"/>
    <s v="6158102"/>
    <n v="722010"/>
    <s v="Standard Distribution Fees"/>
    <s v="Medical Supplies/CSR"/>
    <x v="0"/>
    <n v="1000"/>
    <n v="10764.82"/>
    <n v="5301.51"/>
    <n v="0"/>
    <n v="12250.9"/>
    <n v="5350.2"/>
    <n v="11321.28"/>
    <n v="0"/>
    <n v="5991.45"/>
    <n v="6237.43"/>
    <n v="5484.16"/>
    <n v="7246.55"/>
    <n v="5796.68"/>
    <n v="75744.98000000001"/>
    <n v="1449.87"/>
  </r>
  <r>
    <x v="11"/>
    <x v="0"/>
    <x v="0"/>
    <s v="6158102"/>
    <n v="723000"/>
    <s v="Supply Rebates/Patronage Dividend"/>
    <s v="Medical Supplies/CSR"/>
    <x v="0"/>
    <m/>
    <n v="0"/>
    <n v="0"/>
    <n v="-133913.67000000001"/>
    <n v="0"/>
    <n v="0"/>
    <n v="-196529.94"/>
    <n v="0"/>
    <n v="0"/>
    <n v="-125663.36"/>
    <n v="0"/>
    <n v="0"/>
    <n v="-199906.34"/>
    <n v="-656013.30999999994"/>
    <n v="199906.34"/>
  </r>
  <r>
    <x v="11"/>
    <x v="0"/>
    <x v="0"/>
    <s v="6158102"/>
    <n v="723001"/>
    <s v="Inventory Adjustments *"/>
    <s v="Medical Supplies/CSR"/>
    <x v="0"/>
    <m/>
    <n v="-12446.12"/>
    <n v="-4277.78"/>
    <n v="-4316.93"/>
    <n v="-10450.76"/>
    <n v="-1969.09"/>
    <n v="-4675.5"/>
    <n v="-3785.39"/>
    <n v="-3351.98"/>
    <n v="-11513.54"/>
    <n v="-13929.33"/>
    <n v="-15035.99"/>
    <n v="-18007.599999999999"/>
    <n v="-103760.01000000001"/>
    <n v="2971.6099999999988"/>
  </r>
  <r>
    <x v="11"/>
    <x v="0"/>
    <x v="0"/>
    <s v="6158102"/>
    <n v="723002"/>
    <s v="Physical Inventory Variance *"/>
    <s v="Medical Supplies/CSR"/>
    <x v="0"/>
    <m/>
    <n v="0"/>
    <n v="0"/>
    <n v="0"/>
    <n v="0"/>
    <n v="0"/>
    <n v="0"/>
    <n v="0"/>
    <n v="0"/>
    <n v="0"/>
    <n v="-4317.3500000000004"/>
    <n v="2100"/>
    <n v="0"/>
    <n v="-2217.3500000000004"/>
    <n v="2100"/>
  </r>
  <r>
    <x v="11"/>
    <x v="0"/>
    <x v="0"/>
    <s v="6158102"/>
    <n v="724000"/>
    <s v="Item Cost Variance Suspense *"/>
    <s v="Medical Supplies/CSR"/>
    <x v="0"/>
    <m/>
    <n v="-1765.5"/>
    <n v="524.02"/>
    <n v="5228.07"/>
    <n v="-6307.66"/>
    <n v="2361.38"/>
    <n v="-589.27"/>
    <n v="2418.48"/>
    <n v="5363.72"/>
    <n v="2708.71"/>
    <n v="-2977.11"/>
    <n v="654.47"/>
    <n v="-1655.87"/>
    <n v="5963.4400000000005"/>
    <n v="2310.34"/>
  </r>
  <r>
    <x v="11"/>
    <x v="0"/>
    <x v="0"/>
    <s v="6158102"/>
    <n v="724001"/>
    <s v="Tolerance Offset *"/>
    <s v="Medical Supplies/CSR"/>
    <x v="0"/>
    <m/>
    <n v="0.73"/>
    <n v="0.36"/>
    <n v="0.72"/>
    <n v="-3.27"/>
    <n v="299.99"/>
    <n v="-0.01"/>
    <n v="0"/>
    <n v="0.01"/>
    <n v="-0.02"/>
    <n v="0"/>
    <n v="-0.01"/>
    <n v="-0.02"/>
    <n v="298.48000000000008"/>
    <n v="0.01"/>
  </r>
  <r>
    <x v="11"/>
    <x v="0"/>
    <x v="0"/>
    <s v="6158102"/>
    <n v="724002"/>
    <s v="Match Write Off *"/>
    <s v="Medical Supplies/CSR"/>
    <x v="0"/>
    <m/>
    <n v="0"/>
    <n v="0"/>
    <n v="-22.02"/>
    <n v="-18238.07"/>
    <n v="0"/>
    <n v="-2891.51"/>
    <n v="-430.8"/>
    <n v="-1163.0999999999999"/>
    <n v="-2431.06"/>
    <n v="0"/>
    <n v="0"/>
    <n v="-122.54"/>
    <n v="-25299.1"/>
    <n v="122.54"/>
  </r>
  <r>
    <x v="11"/>
    <x v="0"/>
    <x v="0"/>
    <s v="6158102"/>
    <n v="724005"/>
    <s v="Return Suspense *"/>
    <s v="Medical Supplies/CSR"/>
    <x v="0"/>
    <m/>
    <n v="1181.4000000000001"/>
    <n v="-641.69000000000005"/>
    <n v="0"/>
    <n v="0"/>
    <n v="-1093.8"/>
    <n v="0"/>
    <n v="0"/>
    <n v="0"/>
    <n v="0"/>
    <n v="0"/>
    <n v="2664"/>
    <n v="2925.04"/>
    <n v="5034.95"/>
    <n v="-261.03999999999996"/>
  </r>
  <r>
    <x v="12"/>
    <x v="0"/>
    <x v="0"/>
    <s v="6158102"/>
    <n v="730020"/>
    <s v="Rental and Leases-Copier Usage Fees (DO NOT USE)"/>
    <s v="Medical Supplies/CSR"/>
    <x v="0"/>
    <n v="5100"/>
    <n v="214.28"/>
    <n v="217.19"/>
    <n v="215.73"/>
    <n v="215.73"/>
    <n v="215.73"/>
    <n v="215.73"/>
    <n v="-479.41"/>
    <n v="147.82"/>
    <n v="147.51"/>
    <n v="148.13"/>
    <n v="147.82"/>
    <n v="155.13"/>
    <n v="1561.3899999999999"/>
    <n v="-7.3100000000000023"/>
  </r>
  <r>
    <x v="16"/>
    <x v="0"/>
    <x v="0"/>
    <s v="6158102"/>
    <n v="732020"/>
    <s v="Repairs--Clin Equip-Parts-Internal to CHI Programs"/>
    <s v="Medical Supplies/CSR"/>
    <x v="0"/>
    <m/>
    <n v="0"/>
    <n v="0"/>
    <n v="90.3"/>
    <n v="0"/>
    <n v="422.7"/>
    <n v="9.5"/>
    <n v="165.52"/>
    <n v="0"/>
    <n v="0"/>
    <n v="0"/>
    <n v="0"/>
    <n v="0"/>
    <n v="688.02"/>
    <n v="0"/>
  </r>
  <r>
    <x v="13"/>
    <x v="0"/>
    <x v="0"/>
    <s v="6158102"/>
    <n v="735070"/>
    <s v="Depreciation-Movable Equipment"/>
    <s v="Medical Supplies/CSR"/>
    <x v="0"/>
    <m/>
    <n v="135.51"/>
    <n v="135.51"/>
    <n v="135.51"/>
    <n v="135.5"/>
    <n v="135.51"/>
    <n v="135.5"/>
    <n v="135.51"/>
    <n v="135.5"/>
    <n v="0"/>
    <n v="0"/>
    <n v="0"/>
    <n v="0"/>
    <n v="1084.05"/>
    <n v="0"/>
  </r>
  <r>
    <x v="0"/>
    <x v="0"/>
    <x v="0"/>
    <s v="6158102"/>
    <n v="742030"/>
    <s v="Freight-Courier"/>
    <s v="Medical Supplies/CSR"/>
    <x v="0"/>
    <m/>
    <n v="0"/>
    <n v="0"/>
    <n v="0"/>
    <n v="0"/>
    <n v="0"/>
    <n v="0"/>
    <n v="0"/>
    <n v="30"/>
    <n v="30"/>
    <n v="0"/>
    <n v="0"/>
    <n v="60"/>
    <n v="120"/>
    <n v="-60"/>
  </r>
  <r>
    <x v="0"/>
    <x v="0"/>
    <x v="0"/>
    <s v="6158102"/>
    <n v="742050"/>
    <s v="Freight-Purchases"/>
    <s v="Medical Supplies/CSR"/>
    <x v="0"/>
    <m/>
    <n v="0"/>
    <n v="0"/>
    <n v="0"/>
    <n v="0"/>
    <n v="0"/>
    <n v="0"/>
    <n v="0"/>
    <n v="0"/>
    <n v="0"/>
    <n v="0"/>
    <n v="917.6"/>
    <n v="0"/>
    <n v="917.6"/>
    <n v="917.6"/>
  </r>
  <r>
    <x v="0"/>
    <x v="0"/>
    <x v="0"/>
    <s v="6158102"/>
    <n v="743030"/>
    <s v="Subscriptions--Institutional"/>
    <s v="Medical Supplies/CSR"/>
    <x v="0"/>
    <m/>
    <n v="0"/>
    <n v="0"/>
    <n v="0"/>
    <n v="0"/>
    <n v="0"/>
    <n v="0"/>
    <n v="0"/>
    <n v="0"/>
    <n v="15280.88"/>
    <n v="2937.5"/>
    <n v="8500"/>
    <n v="7187.5"/>
    <n v="33905.879999999997"/>
    <n v="1312.5"/>
  </r>
  <r>
    <x v="0"/>
    <x v="0"/>
    <x v="0"/>
    <s v="6158102"/>
    <n v="745010"/>
    <s v="Donations and Contributions"/>
    <s v="Medical Supplies/CSR"/>
    <x v="0"/>
    <m/>
    <n v="0"/>
    <n v="45.24"/>
    <n v="0"/>
    <n v="0"/>
    <n v="0"/>
    <n v="0"/>
    <n v="0"/>
    <n v="0"/>
    <n v="0"/>
    <n v="0"/>
    <n v="0"/>
    <n v="0"/>
    <n v="45.24"/>
    <n v="0"/>
  </r>
  <r>
    <x v="0"/>
    <x v="0"/>
    <x v="0"/>
    <s v="6158102"/>
    <n v="749510"/>
    <s v="RICE Rewards"/>
    <s v="Medical Supplies/CSR"/>
    <x v="0"/>
    <n v="5100"/>
    <n v="0"/>
    <n v="0"/>
    <n v="0"/>
    <n v="0"/>
    <n v="0"/>
    <n v="0"/>
    <n v="0"/>
    <n v="833.79"/>
    <n v="0"/>
    <n v="0"/>
    <n v="0"/>
    <n v="0"/>
    <n v="833.79"/>
    <n v="0"/>
  </r>
  <r>
    <x v="5"/>
    <x v="4"/>
    <x v="0"/>
    <s v="6158103"/>
    <n v="700014"/>
    <s v="Salaries-Management-Productive"/>
    <s v="Medical Supplies/CSR"/>
    <x v="0"/>
    <m/>
    <n v="5312.36"/>
    <n v="5185.66"/>
    <n v="4825.87"/>
    <n v="5069.3500000000004"/>
    <n v="6763.5"/>
    <n v="4436.05"/>
    <n v="6729.88"/>
    <n v="3276.84"/>
    <n v="5959.92"/>
    <n v="6949.36"/>
    <n v="5630.08"/>
    <n v="5630.09"/>
    <n v="65768.959999999992"/>
    <n v="-1.0000000000218279E-2"/>
  </r>
  <r>
    <x v="5"/>
    <x v="4"/>
    <x v="0"/>
    <s v="6158103"/>
    <n v="700038"/>
    <s v="Salaries-Service/Support-Productive"/>
    <s v="Medical Supplies/CSR"/>
    <x v="0"/>
    <m/>
    <n v="27828.07"/>
    <n v="28580.45"/>
    <n v="27187.75"/>
    <n v="25262.2"/>
    <n v="29056.959999999999"/>
    <n v="25936.59"/>
    <n v="27485.279999999999"/>
    <n v="24236.45"/>
    <n v="22920.52"/>
    <n v="24433.7"/>
    <n v="26955.67"/>
    <n v="26794.48"/>
    <n v="316678.11999999994"/>
    <n v="161.18999999999869"/>
  </r>
  <r>
    <x v="5"/>
    <x v="4"/>
    <x v="0"/>
    <s v="6158103"/>
    <n v="700038"/>
    <s v="Salaries-Service/Support-OT"/>
    <s v="Medical Supplies/CSR"/>
    <x v="0"/>
    <n v="1000"/>
    <n v="14.12"/>
    <n v="111.66"/>
    <n v="131.36000000000001"/>
    <n v="18.64"/>
    <n v="13.86"/>
    <n v="135.41999999999999"/>
    <n v="33.799999999999997"/>
    <n v="86.77"/>
    <n v="67.599999999999994"/>
    <n v="111.34"/>
    <n v="331.44"/>
    <n v="-109.23"/>
    <n v="946.78"/>
    <n v="440.67"/>
  </r>
  <r>
    <x v="5"/>
    <x v="4"/>
    <x v="0"/>
    <s v="6158103"/>
    <n v="700038"/>
    <s v="Salaries-Service/Support-Other"/>
    <s v="Medical Supplies/CSR"/>
    <x v="0"/>
    <n v="2000"/>
    <n v="500.9"/>
    <n v="471.09"/>
    <n v="483.53"/>
    <n v="343.96"/>
    <n v="446.23"/>
    <n v="496.15"/>
    <n v="513.96"/>
    <n v="274.35000000000002"/>
    <n v="363.21"/>
    <n v="337.63"/>
    <n v="539.02"/>
    <n v="559.62"/>
    <n v="5329.6500000000005"/>
    <n v="-20.600000000000023"/>
  </r>
  <r>
    <x v="5"/>
    <x v="4"/>
    <x v="0"/>
    <s v="6158103"/>
    <n v="700054"/>
    <s v="Salaries-Management-Non-productive"/>
    <s v="Medical Supplies/CSR"/>
    <x v="0"/>
    <m/>
    <n v="1248.75"/>
    <n v="1375.75"/>
    <n v="1523.98"/>
    <n v="1690.63"/>
    <n v="-175.67"/>
    <n v="2371.59"/>
    <n v="88.39"/>
    <n v="2880.97"/>
    <n v="857.7"/>
    <n v="-351.85"/>
    <n v="1187.54"/>
    <n v="967.72"/>
    <n v="13665.499999999998"/>
    <n v="219.81999999999994"/>
  </r>
  <r>
    <x v="5"/>
    <x v="4"/>
    <x v="0"/>
    <s v="6158103"/>
    <n v="700054"/>
    <s v="Salaries-Management-NonProd-Other"/>
    <s v="Medical Supplies/CSR"/>
    <x v="0"/>
    <n v="2000"/>
    <n v="0"/>
    <n v="0"/>
    <n v="0"/>
    <n v="0"/>
    <n v="347.19"/>
    <n v="309"/>
    <n v="-309"/>
    <n v="-347.19"/>
    <n v="0"/>
    <n v="0"/>
    <n v="0"/>
    <n v="0"/>
    <n v="5.6843418860808015E-14"/>
    <n v="0"/>
  </r>
  <r>
    <x v="5"/>
    <x v="4"/>
    <x v="0"/>
    <s v="6158103"/>
    <n v="700078"/>
    <s v="Salaries-Service/Support-Non-productive"/>
    <s v="Medical Supplies/CSR"/>
    <x v="0"/>
    <m/>
    <n v="4165.9399999999996"/>
    <n v="3353.93"/>
    <n v="3655.93"/>
    <n v="6763.58"/>
    <n v="2014.73"/>
    <n v="6606.64"/>
    <n v="3898.07"/>
    <n v="3348.88"/>
    <n v="6433"/>
    <n v="3134.97"/>
    <n v="3417.71"/>
    <n v="3120.14"/>
    <n v="49913.52"/>
    <n v="297.57000000000016"/>
  </r>
  <r>
    <x v="5"/>
    <x v="4"/>
    <x v="0"/>
    <s v="6158103"/>
    <n v="700078"/>
    <s v="Salaries-Service/Support-NonProd-Other"/>
    <s v="Medical Supplies/CSR"/>
    <x v="0"/>
    <n v="2000"/>
    <n v="53.51"/>
    <n v="80.709999999999994"/>
    <n v="36.450000000000003"/>
    <n v="238.18"/>
    <n v="2343.35"/>
    <n v="1266.43"/>
    <n v="85.97"/>
    <n v="-3333.85"/>
    <n v="256.44"/>
    <n v="43.21"/>
    <n v="64.099999999999994"/>
    <n v="19.670000000000002"/>
    <n v="1154.1700000000005"/>
    <n v="44.429999999999993"/>
  </r>
  <r>
    <x v="5"/>
    <x v="4"/>
    <x v="0"/>
    <s v="6158103"/>
    <n v="700084"/>
    <s v="Accrued PTO"/>
    <s v="Medical Supplies/CSR"/>
    <x v="0"/>
    <m/>
    <n v="64.81"/>
    <n v="349.14"/>
    <n v="-1361.8"/>
    <n v="57.31"/>
    <n v="1461.52"/>
    <n v="-2761.79"/>
    <n v="1219.4000000000001"/>
    <n v="-799.38"/>
    <n v="-189.67"/>
    <n v="1647.49"/>
    <n v="1362.21"/>
    <n v="1262.02"/>
    <n v="2311.2600000000002"/>
    <n v="100.19000000000005"/>
  </r>
  <r>
    <x v="6"/>
    <x v="4"/>
    <x v="0"/>
    <s v="6158103"/>
    <n v="713010"/>
    <s v="Benefits-FICA/Medicare"/>
    <s v="Medical Supplies/CSR"/>
    <x v="0"/>
    <m/>
    <n v="2806.13"/>
    <n v="2808.95"/>
    <n v="2714.4"/>
    <n v="2844.75"/>
    <n v="3350.29"/>
    <n v="2829.49"/>
    <n v="2808.14"/>
    <n v="2450.21"/>
    <n v="2633.74"/>
    <n v="2406.11"/>
    <n v="2734"/>
    <n v="2650.64"/>
    <n v="33036.85"/>
    <n v="83.360000000000127"/>
  </r>
  <r>
    <x v="6"/>
    <x v="4"/>
    <x v="0"/>
    <s v="6158103"/>
    <n v="713090"/>
    <s v="Benefits-Allocated Amounts"/>
    <s v="Medical Supplies/CSR"/>
    <x v="0"/>
    <m/>
    <n v="11950.15"/>
    <n v="10035.24"/>
    <n v="10891.27"/>
    <n v="10864.64"/>
    <n v="11319.19"/>
    <n v="11103.29"/>
    <n v="11822.62"/>
    <n v="10764.92"/>
    <n v="10372.07"/>
    <n v="11140.73"/>
    <n v="11667.74"/>
    <n v="11659.13"/>
    <n v="133590.99"/>
    <n v="8.6100000000005821"/>
  </r>
  <r>
    <x v="7"/>
    <x v="4"/>
    <x v="0"/>
    <s v="6158103"/>
    <n v="718050"/>
    <s v="Contract Svcs-Other"/>
    <s v="Medical Supplies/CSR"/>
    <x v="0"/>
    <m/>
    <n v="33.33"/>
    <n v="66"/>
    <n v="0"/>
    <n v="0"/>
    <n v="0"/>
    <n v="0"/>
    <n v="28"/>
    <n v="0"/>
    <n v="112"/>
    <n v="0"/>
    <n v="0"/>
    <n v="-66"/>
    <n v="173.32999999999998"/>
    <n v="66"/>
  </r>
  <r>
    <x v="7"/>
    <x v="4"/>
    <x v="0"/>
    <s v="6158103"/>
    <n v="718050"/>
    <s v="Document Shredding/Storage"/>
    <s v="Medical Supplies/CSR"/>
    <x v="0"/>
    <n v="1012"/>
    <n v="153.38999999999999"/>
    <n v="-186.42"/>
    <n v="42.48"/>
    <n v="38.909999999999997"/>
    <n v="188.22"/>
    <n v="20.84"/>
    <n v="20.63"/>
    <n v="62.27"/>
    <n v="86.4"/>
    <n v="-109.85"/>
    <n v="21.51"/>
    <n v="133.68"/>
    <n v="472.05999999999989"/>
    <n v="-112.17"/>
  </r>
  <r>
    <x v="7"/>
    <x v="4"/>
    <x v="0"/>
    <s v="6158103"/>
    <n v="718050"/>
    <s v="Miscellaneous Purchased Svcs"/>
    <s v="Medical Supplies/CSR"/>
    <x v="0"/>
    <n v="1020"/>
    <n v="0"/>
    <n v="0"/>
    <n v="0"/>
    <n v="0"/>
    <n v="0"/>
    <n v="0"/>
    <n v="0"/>
    <n v="0"/>
    <n v="0"/>
    <n v="0"/>
    <n v="274.75"/>
    <n v="0"/>
    <n v="274.75"/>
    <n v="274.75"/>
  </r>
  <r>
    <x v="11"/>
    <x v="4"/>
    <x v="0"/>
    <s v="6158103"/>
    <n v="721010"/>
    <s v="Supplies-Medical - Billable"/>
    <s v="Medical Supplies/CSR"/>
    <x v="0"/>
    <m/>
    <n v="-791.71"/>
    <n v="-1176.79"/>
    <n v="68.599999999999994"/>
    <n v="-738.95"/>
    <n v="1001.98"/>
    <n v="-288.92"/>
    <n v="209.94"/>
    <n v="637.85"/>
    <n v="-425.2"/>
    <n v="-1420.48"/>
    <n v="115.63"/>
    <n v="1046.29"/>
    <n v="-1761.7600000000002"/>
    <n v="-930.66"/>
  </r>
  <r>
    <x v="11"/>
    <x v="4"/>
    <x v="0"/>
    <s v="6158103"/>
    <n v="721010"/>
    <s v="Patient Monitoring"/>
    <s v="Medical Supplies/CSR"/>
    <x v="0"/>
    <n v="1000"/>
    <n v="-425.1"/>
    <n v="5.97"/>
    <n v="-296.38"/>
    <n v="-73.599999999999994"/>
    <n v="-49.14"/>
    <n v="53.96"/>
    <n v="-126.57"/>
    <n v="0"/>
    <n v="367.47"/>
    <n v="-1716.01"/>
    <n v="198.46"/>
    <n v="-2076.13"/>
    <n v="-4137.07"/>
    <n v="2274.59"/>
  </r>
  <r>
    <x v="11"/>
    <x v="4"/>
    <x v="0"/>
    <s v="6158103"/>
    <n v="721020"/>
    <s v="Supplies-Surgical - Billable"/>
    <s v="Medical Supplies/CSR"/>
    <x v="0"/>
    <m/>
    <n v="51.69"/>
    <n v="143.80000000000001"/>
    <n v="-1721.31"/>
    <n v="-181.76"/>
    <n v="-1289.71"/>
    <n v="63.44"/>
    <n v="73.55"/>
    <n v="-136.01"/>
    <n v="572.98"/>
    <n v="-63.89"/>
    <n v="15.66"/>
    <n v="-274.48"/>
    <n v="-2746.0399999999995"/>
    <n v="290.14000000000004"/>
  </r>
  <r>
    <x v="11"/>
    <x v="4"/>
    <x v="0"/>
    <s v="6158103"/>
    <n v="721020"/>
    <s v="Custom Packs"/>
    <s v="Medical Supplies/CSR"/>
    <x v="0"/>
    <n v="1000"/>
    <n v="0"/>
    <n v="-371.79"/>
    <n v="15.44"/>
    <n v="0"/>
    <n v="0"/>
    <n v="0"/>
    <n v="14.4"/>
    <n v="-16.399999999999999"/>
    <n v="33.950000000000003"/>
    <n v="438.46"/>
    <n v="-148.80000000000001"/>
    <n v="0"/>
    <n v="-34.740000000000066"/>
    <n v="-148.80000000000001"/>
  </r>
  <r>
    <x v="11"/>
    <x v="4"/>
    <x v="0"/>
    <s v="6158103"/>
    <n v="721020"/>
    <s v="Suture/Wound Closure"/>
    <s v="Medical Supplies/CSR"/>
    <x v="0"/>
    <n v="1001"/>
    <n v="0"/>
    <n v="13.39"/>
    <n v="51.04"/>
    <n v="0"/>
    <n v="0"/>
    <n v="0"/>
    <n v="0"/>
    <n v="0"/>
    <n v="0"/>
    <n v="0"/>
    <n v="0"/>
    <n v="0"/>
    <n v="64.430000000000007"/>
    <n v="0"/>
  </r>
  <r>
    <x v="11"/>
    <x v="4"/>
    <x v="0"/>
    <s v="6158103"/>
    <n v="721020"/>
    <s v="Endoscopy - Trocars &amp; Accessories"/>
    <s v="Medical Supplies/CSR"/>
    <x v="0"/>
    <n v="1002"/>
    <n v="-765"/>
    <n v="132"/>
    <n v="0"/>
    <n v="0"/>
    <n v="-125"/>
    <n v="0"/>
    <n v="0"/>
    <n v="0"/>
    <n v="0"/>
    <n v="0"/>
    <n v="0"/>
    <n v="0"/>
    <n v="-758"/>
    <n v="0"/>
  </r>
  <r>
    <x v="11"/>
    <x v="4"/>
    <x v="0"/>
    <s v="6158103"/>
    <n v="721020"/>
    <s v="Endomechanical Supplies &amp; Instruments"/>
    <s v="Medical Supplies/CSR"/>
    <x v="0"/>
    <n v="1003"/>
    <n v="-6401"/>
    <n v="0"/>
    <n v="-6228"/>
    <n v="0"/>
    <n v="-1730"/>
    <n v="-6228"/>
    <n v="0"/>
    <n v="0"/>
    <n v="0"/>
    <n v="-3114"/>
    <n v="0"/>
    <n v="-2422"/>
    <n v="-26123"/>
    <n v="2422"/>
  </r>
  <r>
    <x v="11"/>
    <x v="4"/>
    <x v="0"/>
    <s v="6158103"/>
    <n v="721020"/>
    <s v="Bone Cement &amp; Supplies"/>
    <s v="Medical Supplies/CSR"/>
    <x v="0"/>
    <n v="1004"/>
    <n v="0"/>
    <n v="0"/>
    <n v="0"/>
    <n v="0"/>
    <n v="0"/>
    <n v="38.89"/>
    <n v="0"/>
    <n v="0"/>
    <n v="0"/>
    <n v="0"/>
    <n v="-785.64"/>
    <n v="0"/>
    <n v="-746.75"/>
    <n v="-785.64"/>
  </r>
  <r>
    <x v="11"/>
    <x v="4"/>
    <x v="0"/>
    <s v="6158103"/>
    <n v="721020"/>
    <s v="Tubes Drains &amp; Related Supplies"/>
    <s v="Medical Supplies/CSR"/>
    <x v="0"/>
    <n v="1008"/>
    <n v="0"/>
    <n v="0"/>
    <n v="0"/>
    <n v="0"/>
    <n v="0"/>
    <n v="0"/>
    <n v="-51.13"/>
    <n v="0"/>
    <n v="0"/>
    <n v="52.79"/>
    <n v="-27.6"/>
    <n v="0"/>
    <n v="-25.940000000000005"/>
    <n v="-27.6"/>
  </r>
  <r>
    <x v="11"/>
    <x v="4"/>
    <x v="0"/>
    <s v="6158103"/>
    <n v="721050"/>
    <s v="Supplies-Cardiac Rhythm - Billable"/>
    <s v="Medical Supplies/CSR"/>
    <x v="0"/>
    <m/>
    <n v="0"/>
    <n v="0"/>
    <n v="0"/>
    <n v="0"/>
    <n v="54.77"/>
    <n v="0"/>
    <n v="0"/>
    <n v="0"/>
    <n v="0"/>
    <n v="-51.3"/>
    <n v="0"/>
    <n v="0"/>
    <n v="3.470000000000006"/>
    <n v="0"/>
  </r>
  <r>
    <x v="11"/>
    <x v="4"/>
    <x v="0"/>
    <s v="6158103"/>
    <n v="721150"/>
    <s v="Supplies-Other Implants - Billable"/>
    <s v="Medical Supplies/CSR"/>
    <x v="0"/>
    <m/>
    <n v="0"/>
    <n v="0"/>
    <n v="0"/>
    <n v="0"/>
    <n v="0"/>
    <n v="0"/>
    <n v="0"/>
    <n v="211.44"/>
    <n v="0"/>
    <n v="0"/>
    <n v="0"/>
    <n v="0"/>
    <n v="211.44"/>
    <n v="0"/>
  </r>
  <r>
    <x v="11"/>
    <x v="4"/>
    <x v="0"/>
    <s v="6158103"/>
    <n v="721150"/>
    <s v="Fracture Management"/>
    <s v="Medical Supplies/CSR"/>
    <x v="0"/>
    <n v="1001"/>
    <n v="0"/>
    <n v="0"/>
    <n v="-482.56"/>
    <n v="0"/>
    <n v="0"/>
    <n v="0"/>
    <n v="148.72"/>
    <n v="0"/>
    <n v="-148.72"/>
    <n v="0"/>
    <n v="0"/>
    <n v="121.56"/>
    <n v="-361.00000000000006"/>
    <n v="-121.56"/>
  </r>
  <r>
    <x v="11"/>
    <x v="4"/>
    <x v="0"/>
    <s v="6158103"/>
    <n v="721220"/>
    <s v="Supplies-Medical Gases - Billable"/>
    <s v="Medical Supplies/CSR"/>
    <x v="0"/>
    <m/>
    <n v="8"/>
    <n v="8"/>
    <n v="0"/>
    <n v="16"/>
    <n v="8"/>
    <n v="8"/>
    <n v="8"/>
    <n v="16"/>
    <n v="8"/>
    <n v="8"/>
    <n v="0"/>
    <n v="16"/>
    <n v="104"/>
    <n v="-16"/>
  </r>
  <r>
    <x v="11"/>
    <x v="4"/>
    <x v="0"/>
    <s v="6158103"/>
    <n v="721240"/>
    <s v="Supplies-IV Solutions/Supplies - Billable"/>
    <s v="Medical Supplies/CSR"/>
    <x v="0"/>
    <m/>
    <n v="2191.06"/>
    <n v="2147.62"/>
    <n v="129.44"/>
    <n v="-2039.42"/>
    <n v="1463.8"/>
    <n v="-472.27"/>
    <n v="-1726.66"/>
    <n v="1222.54"/>
    <n v="1080.8499999999999"/>
    <n v="1745.79"/>
    <n v="-705.16"/>
    <n v="-2355.54"/>
    <n v="2682.05"/>
    <n v="1650.38"/>
  </r>
  <r>
    <x v="11"/>
    <x v="4"/>
    <x v="0"/>
    <s v="6158103"/>
    <n v="721250"/>
    <s v="Supplies-Pharmacy Drugs - Billable"/>
    <s v="Medical Supplies/CSR"/>
    <x v="0"/>
    <m/>
    <n v="0"/>
    <n v="0"/>
    <n v="0"/>
    <n v="0"/>
    <n v="0"/>
    <n v="0"/>
    <n v="0"/>
    <n v="0"/>
    <n v="0"/>
    <n v="0"/>
    <n v="0"/>
    <n v="35.299999999999997"/>
    <n v="35.299999999999997"/>
    <n v="-35.299999999999997"/>
  </r>
  <r>
    <x v="11"/>
    <x v="4"/>
    <x v="0"/>
    <s v="6158103"/>
    <n v="721350"/>
    <s v="Supplies-Film/Radiographic - Billable"/>
    <s v="Medical Supplies/CSR"/>
    <x v="0"/>
    <m/>
    <n v="0"/>
    <n v="0"/>
    <n v="0"/>
    <n v="0"/>
    <n v="0"/>
    <n v="0"/>
    <n v="0"/>
    <n v="406.44"/>
    <n v="40.24"/>
    <n v="426.82"/>
    <n v="42.26"/>
    <n v="0"/>
    <n v="915.76"/>
    <n v="42.26"/>
  </r>
  <r>
    <x v="11"/>
    <x v="4"/>
    <x v="0"/>
    <s v="6158103"/>
    <n v="721410"/>
    <s v="Supplies-Medical - Nonbillable"/>
    <s v="Medical Supplies/CSR"/>
    <x v="0"/>
    <m/>
    <n v="-4080.13"/>
    <n v="41.87"/>
    <n v="-5703.34"/>
    <n v="2430.13"/>
    <n v="-3253.42"/>
    <n v="-9396.15"/>
    <n v="7907.82"/>
    <n v="-6679.03"/>
    <n v="757.44"/>
    <n v="2762.68"/>
    <n v="13720.77"/>
    <n v="-12524.64"/>
    <n v="-14016"/>
    <n v="26245.41"/>
  </r>
  <r>
    <x v="11"/>
    <x v="4"/>
    <x v="0"/>
    <s v="6158103"/>
    <n v="721410"/>
    <s v="Patient Monitoring"/>
    <s v="Medical Supplies/CSR"/>
    <x v="0"/>
    <n v="1000"/>
    <n v="0"/>
    <n v="659.44"/>
    <n v="0"/>
    <n v="0"/>
    <n v="0"/>
    <n v="0"/>
    <n v="0"/>
    <n v="0"/>
    <n v="4.2300000000000004"/>
    <n v="0"/>
    <n v="0"/>
    <n v="0"/>
    <n v="663.67000000000007"/>
    <n v="0"/>
  </r>
  <r>
    <x v="11"/>
    <x v="4"/>
    <x v="0"/>
    <s v="6158103"/>
    <n v="721420"/>
    <s v="Supplies-Surgical Nonbillable"/>
    <s v="Medical Supplies/CSR"/>
    <x v="0"/>
    <m/>
    <n v="-0.06"/>
    <n v="-116"/>
    <n v="-292.49"/>
    <n v="-754.4"/>
    <n v="-464.24"/>
    <n v="-960.16"/>
    <n v="410.91"/>
    <n v="312.85000000000002"/>
    <n v="360.58"/>
    <n v="-136.25"/>
    <n v="-36.049999999999997"/>
    <n v="26.58"/>
    <n v="-1648.7300000000002"/>
    <n v="-62.629999999999995"/>
  </r>
  <r>
    <x v="11"/>
    <x v="4"/>
    <x v="0"/>
    <s v="6158103"/>
    <n v="721420"/>
    <s v="Tubes Drains &amp; Related Supplies"/>
    <s v="Medical Supplies/CSR"/>
    <x v="0"/>
    <n v="1008"/>
    <n v="0"/>
    <n v="0"/>
    <n v="0"/>
    <n v="0"/>
    <n v="0"/>
    <n v="0"/>
    <n v="0"/>
    <n v="147.22999999999999"/>
    <n v="0"/>
    <n v="41.78"/>
    <n v="13.35"/>
    <n v="5.56"/>
    <n v="207.92"/>
    <n v="7.79"/>
  </r>
  <r>
    <x v="11"/>
    <x v="4"/>
    <x v="0"/>
    <s v="6158103"/>
    <n v="721420"/>
    <s v="Sterilization Process Products"/>
    <s v="Medical Supplies/CSR"/>
    <x v="0"/>
    <n v="1009"/>
    <n v="0"/>
    <n v="0"/>
    <n v="0"/>
    <n v="107.47"/>
    <n v="22.28"/>
    <n v="360.8"/>
    <n v="0"/>
    <n v="0"/>
    <n v="16.760000000000002"/>
    <n v="-426.8"/>
    <n v="0"/>
    <n v="-213.4"/>
    <n v="-132.89000000000001"/>
    <n v="213.4"/>
  </r>
  <r>
    <x v="11"/>
    <x v="4"/>
    <x v="0"/>
    <s v="6158103"/>
    <n v="721610"/>
    <s v="Supplies-Anesthesia - Nonbillable"/>
    <s v="Medical Supplies/CSR"/>
    <x v="0"/>
    <m/>
    <n v="184.96"/>
    <n v="172.26"/>
    <n v="-62.06"/>
    <n v="0"/>
    <n v="-279.3"/>
    <n v="0"/>
    <n v="-249.72"/>
    <n v="-115.78"/>
    <n v="-184.41"/>
    <n v="-156.08000000000001"/>
    <n v="63.33"/>
    <n v="73.64"/>
    <n v="-553.16"/>
    <n v="-10.310000000000002"/>
  </r>
  <r>
    <x v="11"/>
    <x v="4"/>
    <x v="0"/>
    <s v="6158103"/>
    <n v="721640"/>
    <s v="Supplies-IV Solutions/Supplies - Nonbillable"/>
    <s v="Medical Supplies/CSR"/>
    <x v="0"/>
    <m/>
    <n v="35.880000000000003"/>
    <n v="14.6"/>
    <n v="90.5"/>
    <n v="35.979999999999997"/>
    <n v="47.15"/>
    <n v="-745.6"/>
    <n v="184.49"/>
    <n v="53.22"/>
    <n v="617.20000000000005"/>
    <n v="172.18"/>
    <n v="-953.28"/>
    <n v="404.6"/>
    <n v="-43.07999999999987"/>
    <n v="-1357.88"/>
  </r>
  <r>
    <x v="11"/>
    <x v="4"/>
    <x v="0"/>
    <s v="6158103"/>
    <n v="721650"/>
    <s v="Supplies-Pharmacy Drugs - Nonbillable"/>
    <s v="Medical Supplies/CSR"/>
    <x v="0"/>
    <m/>
    <n v="0"/>
    <n v="0"/>
    <n v="0"/>
    <n v="0"/>
    <n v="0"/>
    <n v="0"/>
    <n v="0"/>
    <n v="0"/>
    <n v="0"/>
    <n v="3.4"/>
    <n v="0"/>
    <n v="-5.95"/>
    <n v="-2.5500000000000003"/>
    <n v="5.95"/>
  </r>
  <r>
    <x v="11"/>
    <x v="4"/>
    <x v="0"/>
    <s v="6158103"/>
    <n v="721710"/>
    <s v="Supplies-Laboratory - Nonbillable"/>
    <s v="Medical Supplies/CSR"/>
    <x v="0"/>
    <m/>
    <n v="-480"/>
    <n v="0"/>
    <n v="8.82"/>
    <n v="-848.38"/>
    <n v="-509"/>
    <n v="-233.84"/>
    <n v="-923.41"/>
    <n v="0"/>
    <n v="0.44"/>
    <n v="1111.79"/>
    <n v="17.57"/>
    <n v="-11.93"/>
    <n v="-1867.94"/>
    <n v="29.5"/>
  </r>
  <r>
    <x v="11"/>
    <x v="4"/>
    <x v="0"/>
    <s v="6158103"/>
    <n v="721750"/>
    <s v="Supplies-Film/Radiographic - Nonbillable"/>
    <s v="Medical Supplies/CSR"/>
    <x v="0"/>
    <m/>
    <n v="0"/>
    <n v="0"/>
    <n v="0"/>
    <n v="0"/>
    <n v="0"/>
    <n v="0"/>
    <n v="50.36"/>
    <n v="-575.97"/>
    <n v="0"/>
    <n v="0"/>
    <n v="0"/>
    <n v="0"/>
    <n v="-525.61"/>
    <n v="0"/>
  </r>
  <r>
    <x v="11"/>
    <x v="4"/>
    <x v="0"/>
    <s v="6158103"/>
    <n v="721810"/>
    <s v="Supplies-Dietary/Cafeteria"/>
    <s v="Medical Supplies/CSR"/>
    <x v="0"/>
    <m/>
    <n v="-85.6"/>
    <n v="8"/>
    <n v="-39.979999999999997"/>
    <n v="-125.07"/>
    <n v="-50.49"/>
    <n v="79.52"/>
    <n v="-182.9"/>
    <n v="0"/>
    <n v="-359.54"/>
    <n v="60"/>
    <n v="366.81"/>
    <n v="-30.7"/>
    <n v="-359.94999999999993"/>
    <n v="397.51"/>
  </r>
  <r>
    <x v="11"/>
    <x v="4"/>
    <x v="0"/>
    <s v="6158103"/>
    <n v="721830"/>
    <s v="Supplies-Office"/>
    <s v="Medical Supplies/CSR"/>
    <x v="0"/>
    <m/>
    <n v="337.8"/>
    <n v="343.5"/>
    <n v="605.80999999999995"/>
    <n v="386.42"/>
    <n v="180.15"/>
    <n v="143.68"/>
    <n v="616.25"/>
    <n v="153.06"/>
    <n v="611.9"/>
    <n v="237.89"/>
    <n v="180.03"/>
    <n v="60.45"/>
    <n v="3856.94"/>
    <n v="119.58"/>
  </r>
  <r>
    <x v="11"/>
    <x v="4"/>
    <x v="0"/>
    <s v="6158103"/>
    <n v="721870"/>
    <s v="Supplies-Environmental Services"/>
    <s v="Medical Supplies/CSR"/>
    <x v="0"/>
    <m/>
    <n v="147.16999999999999"/>
    <n v="57.3"/>
    <n v="49.17"/>
    <n v="28.44"/>
    <n v="129.25"/>
    <n v="132.94999999999999"/>
    <n v="124.91"/>
    <n v="14.91"/>
    <n v="52.88"/>
    <n v="2.97"/>
    <n v="53.02"/>
    <n v="-12.85"/>
    <n v="780.11999999999989"/>
    <n v="65.87"/>
  </r>
  <r>
    <x v="11"/>
    <x v="4"/>
    <x v="0"/>
    <s v="6158103"/>
    <n v="721910"/>
    <s v="Supplies-Small Equipment"/>
    <s v="Medical Supplies/CSR"/>
    <x v="0"/>
    <m/>
    <n v="-207.39"/>
    <n v="0.96"/>
    <n v="1.28"/>
    <n v="28.58"/>
    <n v="7.08"/>
    <n v="18.52"/>
    <n v="0"/>
    <n v="37.380000000000003"/>
    <n v="1313.82"/>
    <n v="-834.09"/>
    <n v="-31.22"/>
    <n v="-198.01"/>
    <n v="136.90999999999997"/>
    <n v="166.79"/>
  </r>
  <r>
    <x v="11"/>
    <x v="4"/>
    <x v="0"/>
    <s v="6158103"/>
    <n v="721910"/>
    <s v="Instruments"/>
    <s v="Medical Supplies/CSR"/>
    <x v="0"/>
    <n v="1000"/>
    <n v="0"/>
    <n v="-199.36"/>
    <n v="0"/>
    <n v="0"/>
    <n v="233.2"/>
    <n v="848.62"/>
    <n v="-57.72"/>
    <n v="0"/>
    <n v="0"/>
    <n v="0"/>
    <n v="-157.68"/>
    <n v="-648"/>
    <n v="19.059999999999945"/>
    <n v="490.32"/>
  </r>
  <r>
    <x v="11"/>
    <x v="4"/>
    <x v="0"/>
    <s v="6158103"/>
    <n v="721980"/>
    <s v="Supplies-Other"/>
    <s v="Medical Supplies/CSR"/>
    <x v="0"/>
    <m/>
    <n v="3453.05"/>
    <n v="3060.48"/>
    <n v="4407.49"/>
    <n v="4429.53"/>
    <n v="7522.47"/>
    <n v="9184.69"/>
    <n v="3211.24"/>
    <n v="2799.35"/>
    <n v="3308.54"/>
    <n v="-332.5"/>
    <n v="1882.92"/>
    <n v="-603.57000000000005"/>
    <n v="42323.689999999995"/>
    <n v="2486.4900000000002"/>
  </r>
  <r>
    <x v="11"/>
    <x v="4"/>
    <x v="0"/>
    <s v="6158103"/>
    <n v="722000"/>
    <s v="Supplies-Freight Expense"/>
    <s v="Medical Supplies/CSR"/>
    <x v="0"/>
    <m/>
    <n v="1138.93"/>
    <n v="5540.14"/>
    <n v="3552.18"/>
    <n v="3122.46"/>
    <n v="2828.65"/>
    <n v="6132.6"/>
    <n v="5278.63"/>
    <n v="2748.55"/>
    <n v="6508.25"/>
    <n v="3215.12"/>
    <n v="3340.78"/>
    <n v="9471.61"/>
    <n v="52877.9"/>
    <n v="-6130.83"/>
  </r>
  <r>
    <x v="11"/>
    <x v="4"/>
    <x v="0"/>
    <s v="6158103"/>
    <n v="722000"/>
    <s v="Minimum Order Fees"/>
    <s v="Medical Supplies/CSR"/>
    <x v="0"/>
    <n v="1000"/>
    <n v="0"/>
    <n v="0"/>
    <n v="0"/>
    <n v="50"/>
    <n v="0"/>
    <n v="0"/>
    <n v="0"/>
    <n v="0"/>
    <n v="0"/>
    <n v="0"/>
    <n v="0"/>
    <n v="25"/>
    <n v="75"/>
    <n v="-25"/>
  </r>
  <r>
    <x v="11"/>
    <x v="4"/>
    <x v="0"/>
    <s v="6158103"/>
    <n v="722010"/>
    <s v="Standard Distribution Fees"/>
    <s v="Medical Supplies/CSR"/>
    <x v="0"/>
    <n v="1000"/>
    <n v="4168.16"/>
    <n v="3775.64"/>
    <n v="0"/>
    <n v="8788.06"/>
    <n v="3375.68"/>
    <n v="7673.22"/>
    <n v="0"/>
    <n v="0"/>
    <n v="4685.76"/>
    <n v="8304.76"/>
    <n v="4518.29"/>
    <n v="4358.21"/>
    <n v="49647.780000000006"/>
    <n v="160.07999999999993"/>
  </r>
  <r>
    <x v="11"/>
    <x v="4"/>
    <x v="0"/>
    <s v="6158103"/>
    <n v="723000"/>
    <s v="Supply Rebates/Patronage Dividend"/>
    <s v="Medical Supplies/CSR"/>
    <x v="0"/>
    <m/>
    <n v="0"/>
    <n v="0"/>
    <n v="-103176.95"/>
    <n v="0"/>
    <n v="0"/>
    <n v="-165516.01"/>
    <n v="0"/>
    <n v="0"/>
    <n v="-98692.31"/>
    <n v="0"/>
    <n v="0"/>
    <n v="-164370.74"/>
    <n v="-531756.01"/>
    <n v="164370.74"/>
  </r>
  <r>
    <x v="11"/>
    <x v="4"/>
    <x v="0"/>
    <s v="6158103"/>
    <n v="723001"/>
    <s v="Inventory Adjustments *"/>
    <s v="Medical Supplies/CSR"/>
    <x v="0"/>
    <m/>
    <n v="-274.14"/>
    <n v="741.98"/>
    <n v="8424.9599999999991"/>
    <n v="3547.31"/>
    <n v="467.79"/>
    <n v="1909.87"/>
    <n v="761.52"/>
    <n v="-141.82"/>
    <n v="2733.99"/>
    <n v="852.77"/>
    <n v="595.54"/>
    <n v="1128.5899999999999"/>
    <n v="20748.36"/>
    <n v="-533.04999999999995"/>
  </r>
  <r>
    <x v="11"/>
    <x v="4"/>
    <x v="0"/>
    <s v="6158103"/>
    <n v="723002"/>
    <s v="Physical Inventory Variance *"/>
    <s v="Medical Supplies/CSR"/>
    <x v="0"/>
    <m/>
    <n v="244.81"/>
    <n v="-52.75"/>
    <n v="-1618.64"/>
    <n v="-438.82"/>
    <n v="-163.25"/>
    <n v="-5.99"/>
    <n v="-379.42"/>
    <n v="-267.33"/>
    <n v="-162.96"/>
    <n v="-284.63"/>
    <n v="-102.75"/>
    <n v="51.86"/>
    <n v="-3179.87"/>
    <n v="-154.61000000000001"/>
  </r>
  <r>
    <x v="11"/>
    <x v="4"/>
    <x v="0"/>
    <s v="6158103"/>
    <n v="724000"/>
    <s v="Item Cost Variance Suspense *"/>
    <s v="Medical Supplies/CSR"/>
    <x v="0"/>
    <m/>
    <n v="-996.57"/>
    <n v="-2724.71"/>
    <n v="4314.6499999999996"/>
    <n v="-3278.55"/>
    <n v="-611.71"/>
    <n v="-10622.69"/>
    <n v="1843.24"/>
    <n v="1266.51"/>
    <n v="2914.32"/>
    <n v="-3190.69"/>
    <n v="-3872.79"/>
    <n v="-4875.75"/>
    <n v="-19834.740000000002"/>
    <n v="1002.96"/>
  </r>
  <r>
    <x v="11"/>
    <x v="4"/>
    <x v="0"/>
    <s v="6158103"/>
    <n v="724001"/>
    <s v="Tolerance Offset *"/>
    <s v="Medical Supplies/CSR"/>
    <x v="0"/>
    <m/>
    <n v="0"/>
    <n v="0"/>
    <n v="0.01"/>
    <n v="0.02"/>
    <n v="79.319999999999993"/>
    <n v="0.04"/>
    <n v="-0.02"/>
    <n v="-0.02"/>
    <n v="0"/>
    <n v="0"/>
    <n v="-0.03"/>
    <n v="0"/>
    <n v="79.320000000000007"/>
    <n v="-0.03"/>
  </r>
  <r>
    <x v="11"/>
    <x v="4"/>
    <x v="0"/>
    <s v="6158103"/>
    <n v="724002"/>
    <s v="Match Write Off *"/>
    <s v="Medical Supplies/CSR"/>
    <x v="0"/>
    <m/>
    <n v="0"/>
    <n v="0"/>
    <n v="-110"/>
    <n v="-11884.6"/>
    <n v="0"/>
    <n v="-342.76"/>
    <n v="-1242"/>
    <n v="-1147.18"/>
    <n v="-751.23"/>
    <n v="0"/>
    <n v="0"/>
    <n v="-3279.99"/>
    <n v="-18757.760000000002"/>
    <n v="3279.99"/>
  </r>
  <r>
    <x v="11"/>
    <x v="4"/>
    <x v="0"/>
    <s v="6158103"/>
    <n v="724005"/>
    <s v="Return Suspense *"/>
    <s v="Medical Supplies/CSR"/>
    <x v="0"/>
    <m/>
    <n v="0"/>
    <n v="0"/>
    <n v="3114"/>
    <n v="0"/>
    <n v="-570.38"/>
    <n v="309.05"/>
    <n v="0"/>
    <n v="0"/>
    <n v="370"/>
    <n v="0"/>
    <n v="816"/>
    <n v="-413.73"/>
    <n v="3624.94"/>
    <n v="1229.73"/>
  </r>
  <r>
    <x v="12"/>
    <x v="4"/>
    <x v="0"/>
    <s v="6158103"/>
    <n v="730020"/>
    <s v="Rental and Leases-Equipment (DO NOT USE)"/>
    <s v="Medical Supplies/CSR"/>
    <x v="0"/>
    <m/>
    <n v="0"/>
    <n v="2437.5"/>
    <n v="5116.3100000000004"/>
    <n v="0"/>
    <n v="2437.5"/>
    <n v="7312.5"/>
    <n v="2437.5"/>
    <n v="0"/>
    <n v="2437.5"/>
    <n v="0"/>
    <n v="0"/>
    <n v="2960"/>
    <n v="25138.81"/>
    <n v="-2960"/>
  </r>
  <r>
    <x v="12"/>
    <x v="4"/>
    <x v="0"/>
    <s v="6158103"/>
    <n v="730020"/>
    <s v="Rental and Leases-Copier Usage Fees (DO NOT USE)"/>
    <s v="Medical Supplies/CSR"/>
    <x v="0"/>
    <n v="5100"/>
    <n v="190.47"/>
    <n v="194.52"/>
    <n v="192.49"/>
    <n v="192.49"/>
    <n v="192.49"/>
    <n v="192.49"/>
    <n v="60.94"/>
    <n v="232.65"/>
    <n v="178.57"/>
    <n v="107.83"/>
    <n v="160.93"/>
    <n v="163.69"/>
    <n v="2059.56"/>
    <n v="-2.7599999999999909"/>
  </r>
  <r>
    <x v="16"/>
    <x v="4"/>
    <x v="0"/>
    <s v="6158103"/>
    <n v="732020"/>
    <s v="Repairs--Clin Equip-Parts-Internal to CHI Programs"/>
    <s v="Medical Supplies/CSR"/>
    <x v="0"/>
    <m/>
    <n v="0"/>
    <n v="0"/>
    <n v="0"/>
    <n v="0"/>
    <n v="0"/>
    <n v="0"/>
    <n v="0"/>
    <n v="0"/>
    <n v="0"/>
    <n v="0"/>
    <n v="0"/>
    <n v="59.08"/>
    <n v="59.08"/>
    <n v="-59.08"/>
  </r>
  <r>
    <x v="16"/>
    <x v="4"/>
    <x v="0"/>
    <s v="6158103"/>
    <n v="732030"/>
    <s v="Repairs---Other"/>
    <s v="Medical Supplies/CSR"/>
    <x v="0"/>
    <m/>
    <n v="4320.17"/>
    <n v="0"/>
    <n v="0"/>
    <n v="0"/>
    <n v="0"/>
    <n v="0"/>
    <n v="0"/>
    <n v="0"/>
    <n v="0"/>
    <n v="0"/>
    <n v="0"/>
    <n v="0"/>
    <n v="4320.17"/>
    <n v="0"/>
  </r>
  <r>
    <x v="13"/>
    <x v="4"/>
    <x v="0"/>
    <s v="6158103"/>
    <n v="735070"/>
    <s v="Depreciation-Movable Equipment"/>
    <s v="Medical Supplies/CSR"/>
    <x v="0"/>
    <m/>
    <n v="681.49"/>
    <n v="681.49"/>
    <n v="681.49"/>
    <n v="681.48"/>
    <n v="681.49"/>
    <n v="681.48"/>
    <n v="681.49"/>
    <n v="681.48"/>
    <n v="681.49"/>
    <n v="681.46"/>
    <n v="681.49"/>
    <n v="681.46"/>
    <n v="8177.7899999999991"/>
    <n v="2.9999999999972715E-2"/>
  </r>
  <r>
    <x v="0"/>
    <x v="4"/>
    <x v="0"/>
    <s v="6158103"/>
    <n v="742030"/>
    <s v="Freight-Courier"/>
    <s v="Medical Supplies/CSR"/>
    <x v="0"/>
    <m/>
    <n v="0"/>
    <n v="28"/>
    <n v="112"/>
    <n v="0"/>
    <n v="28"/>
    <n v="0"/>
    <n v="0"/>
    <n v="237.5"/>
    <n v="28"/>
    <n v="0"/>
    <n v="0"/>
    <n v="94"/>
    <n v="527.5"/>
    <n v="-94"/>
  </r>
  <r>
    <x v="0"/>
    <x v="4"/>
    <x v="0"/>
    <s v="6158103"/>
    <n v="742050"/>
    <s v="Freight-Purchases"/>
    <s v="Medical Supplies/CSR"/>
    <x v="0"/>
    <m/>
    <n v="0"/>
    <n v="0"/>
    <n v="0"/>
    <n v="0"/>
    <n v="0"/>
    <n v="0"/>
    <n v="0"/>
    <n v="0"/>
    <n v="0"/>
    <n v="0"/>
    <n v="260.52999999999997"/>
    <n v="247.5"/>
    <n v="508.03"/>
    <n v="13.029999999999973"/>
  </r>
  <r>
    <x v="0"/>
    <x v="4"/>
    <x v="0"/>
    <s v="6158103"/>
    <n v="743030"/>
    <s v="Subscriptions--Institutional"/>
    <s v="Medical Supplies/CSR"/>
    <x v="0"/>
    <m/>
    <n v="0"/>
    <n v="0"/>
    <n v="0"/>
    <n v="0"/>
    <n v="0"/>
    <n v="0"/>
    <n v="0"/>
    <n v="0"/>
    <n v="0"/>
    <n v="0"/>
    <n v="4875"/>
    <n v="4875"/>
    <n v="9750"/>
    <n v="0"/>
  </r>
  <r>
    <x v="0"/>
    <x v="4"/>
    <x v="0"/>
    <s v="6158103"/>
    <n v="745010"/>
    <s v="Donations and Contributions"/>
    <s v="Medical Supplies/CSR"/>
    <x v="0"/>
    <m/>
    <n v="-17.5"/>
    <n v="188.05"/>
    <n v="333"/>
    <n v="2532.87"/>
    <n v="0"/>
    <n v="0"/>
    <n v="0"/>
    <n v="0"/>
    <n v="0"/>
    <n v="0"/>
    <n v="0"/>
    <n v="276.48"/>
    <n v="3312.9"/>
    <n v="-276.48"/>
  </r>
  <r>
    <x v="0"/>
    <x v="4"/>
    <x v="0"/>
    <s v="6158103"/>
    <n v="749510"/>
    <s v="RICE Rewards"/>
    <s v="Medical Supplies/CSR"/>
    <x v="0"/>
    <n v="5100"/>
    <n v="0"/>
    <n v="0"/>
    <n v="0"/>
    <n v="0"/>
    <n v="0"/>
    <n v="0"/>
    <n v="0"/>
    <n v="0"/>
    <n v="0"/>
    <n v="0"/>
    <n v="0"/>
    <n v="439.78"/>
    <n v="439.78"/>
    <n v="-439.78"/>
  </r>
  <r>
    <x v="14"/>
    <x v="8"/>
    <x v="0"/>
    <s v="6158104"/>
    <n v="600060"/>
    <s v="Gain/Loss--Sale of Fixed Assets"/>
    <s v="Medical Supplies/CSR"/>
    <x v="0"/>
    <m/>
    <n v="0"/>
    <n v="0"/>
    <n v="0"/>
    <n v="166.95"/>
    <n v="0"/>
    <n v="0"/>
    <n v="0"/>
    <n v="0"/>
    <n v="0"/>
    <n v="0"/>
    <n v="0"/>
    <n v="0"/>
    <n v="166.95"/>
    <n v="0"/>
  </r>
  <r>
    <x v="5"/>
    <x v="8"/>
    <x v="0"/>
    <s v="6158104"/>
    <n v="700014"/>
    <s v="Salaries-Management-Productive"/>
    <s v="Medical Supplies/CSR"/>
    <x v="0"/>
    <m/>
    <n v="7098.7"/>
    <n v="7583.57"/>
    <n v="6929.51"/>
    <n v="30.32"/>
    <n v="-269.14"/>
    <n v="0"/>
    <n v="0"/>
    <n v="0"/>
    <n v="0"/>
    <n v="0"/>
    <n v="0"/>
    <n v="0"/>
    <n v="21372.959999999999"/>
    <n v="0"/>
  </r>
  <r>
    <x v="5"/>
    <x v="8"/>
    <x v="0"/>
    <s v="6158104"/>
    <n v="700032"/>
    <s v="Salaries-Other Pat Care Providers-Productive"/>
    <s v="Medical Supplies/CSR"/>
    <x v="0"/>
    <m/>
    <n v="0"/>
    <n v="0"/>
    <n v="0"/>
    <n v="0"/>
    <n v="0"/>
    <n v="0"/>
    <n v="0"/>
    <n v="0"/>
    <n v="0"/>
    <n v="0"/>
    <n v="81.260000000000005"/>
    <n v="246.47"/>
    <n v="327.73"/>
    <n v="-165.20999999999998"/>
  </r>
  <r>
    <x v="5"/>
    <x v="8"/>
    <x v="0"/>
    <s v="6158104"/>
    <n v="700032"/>
    <s v="Salaries-Other Pat Care Providers-OT"/>
    <s v="Medical Supplies/CSR"/>
    <x v="0"/>
    <n v="1000"/>
    <n v="0"/>
    <n v="0"/>
    <n v="0"/>
    <n v="0"/>
    <n v="0"/>
    <n v="0"/>
    <n v="0"/>
    <n v="0"/>
    <n v="0"/>
    <n v="0"/>
    <n v="0"/>
    <n v="9.7200000000000006"/>
    <n v="9.7200000000000006"/>
    <n v="-9.7200000000000006"/>
  </r>
  <r>
    <x v="5"/>
    <x v="8"/>
    <x v="0"/>
    <s v="6158104"/>
    <n v="700032"/>
    <s v="Salaries-Other Pat Care Providers-Other"/>
    <s v="Medical Supplies/CSR"/>
    <x v="0"/>
    <n v="2000"/>
    <n v="0"/>
    <n v="0"/>
    <n v="0"/>
    <n v="0"/>
    <n v="0"/>
    <n v="0"/>
    <n v="0"/>
    <n v="0"/>
    <n v="0"/>
    <n v="0"/>
    <n v="0"/>
    <n v="2.33"/>
    <n v="2.33"/>
    <n v="-2.33"/>
  </r>
  <r>
    <x v="5"/>
    <x v="8"/>
    <x v="0"/>
    <s v="6158104"/>
    <n v="700038"/>
    <s v="Salaries-Service/Support-Productive"/>
    <s v="Medical Supplies/CSR"/>
    <x v="0"/>
    <m/>
    <n v="27961.83"/>
    <n v="27930.34"/>
    <n v="26300.7"/>
    <n v="30712.03"/>
    <n v="29558.99"/>
    <n v="25845.55"/>
    <n v="29982.55"/>
    <n v="26221.35"/>
    <n v="31273.040000000001"/>
    <n v="28287.53"/>
    <n v="31225.43"/>
    <n v="24296.17"/>
    <n v="339595.50999999995"/>
    <n v="6929.260000000002"/>
  </r>
  <r>
    <x v="5"/>
    <x v="8"/>
    <x v="0"/>
    <s v="6158104"/>
    <n v="700038"/>
    <s v="Salaries-Service/Support-OT"/>
    <s v="Medical Supplies/CSR"/>
    <x v="0"/>
    <n v="1000"/>
    <n v="656.4"/>
    <n v="438.39"/>
    <n v="1137.47"/>
    <n v="-76.989999999999995"/>
    <n v="278.20999999999998"/>
    <n v="628.16"/>
    <n v="625.5"/>
    <n v="233.34"/>
    <n v="499.74"/>
    <n v="184.83"/>
    <n v="43.44"/>
    <n v="85.61"/>
    <n v="4734.0999999999995"/>
    <n v="-42.17"/>
  </r>
  <r>
    <x v="5"/>
    <x v="8"/>
    <x v="0"/>
    <s v="6158104"/>
    <n v="700038"/>
    <s v="Salaries-Service/Support-Other"/>
    <s v="Medical Supplies/CSR"/>
    <x v="0"/>
    <n v="2000"/>
    <n v="403.65"/>
    <n v="465.81"/>
    <n v="253.48"/>
    <n v="533.26"/>
    <n v="575.67999999999995"/>
    <n v="590.16999999999996"/>
    <n v="590.65"/>
    <n v="380.93"/>
    <n v="536.03"/>
    <n v="444.68"/>
    <n v="380.97"/>
    <n v="220.5"/>
    <n v="5375.81"/>
    <n v="160.47000000000003"/>
  </r>
  <r>
    <x v="5"/>
    <x v="8"/>
    <x v="0"/>
    <s v="6158104"/>
    <n v="700054"/>
    <s v="Salaries-Management-Non-productive"/>
    <s v="Medical Supplies/CSR"/>
    <x v="0"/>
    <m/>
    <n v="411.85"/>
    <n v="-72.650000000000006"/>
    <n v="339.2"/>
    <n v="7540.57"/>
    <n v="7609.53"/>
    <n v="7585.3"/>
    <n v="310.29000000000002"/>
    <n v="-38.270000000000003"/>
    <n v="0"/>
    <n v="0"/>
    <n v="0"/>
    <n v="0"/>
    <n v="23685.82"/>
    <n v="0"/>
  </r>
  <r>
    <x v="5"/>
    <x v="8"/>
    <x v="0"/>
    <s v="6158104"/>
    <n v="700054"/>
    <s v="Salaries-Management-NonProd-Other"/>
    <s v="Medical Supplies/CSR"/>
    <x v="0"/>
    <n v="2000"/>
    <n v="0"/>
    <n v="0"/>
    <n v="0"/>
    <n v="0"/>
    <n v="415.42"/>
    <n v="0"/>
    <n v="0"/>
    <n v="-415.42"/>
    <n v="0"/>
    <n v="0"/>
    <n v="0"/>
    <n v="0"/>
    <n v="0"/>
    <n v="0"/>
  </r>
  <r>
    <x v="5"/>
    <x v="8"/>
    <x v="0"/>
    <s v="6158104"/>
    <n v="700078"/>
    <s v="Salaries-Service/Support-Non-productive"/>
    <s v="Medical Supplies/CSR"/>
    <x v="0"/>
    <m/>
    <n v="4541.8100000000004"/>
    <n v="3914.67"/>
    <n v="4176.9799999999996"/>
    <n v="1920.1"/>
    <n v="3548.23"/>
    <n v="8991.91"/>
    <n v="3975.05"/>
    <n v="4009.86"/>
    <n v="1898.58"/>
    <n v="3742.11"/>
    <n v="1617.08"/>
    <n v="7892.93"/>
    <n v="50229.310000000005"/>
    <n v="-6275.85"/>
  </r>
  <r>
    <x v="5"/>
    <x v="8"/>
    <x v="0"/>
    <s v="6158104"/>
    <n v="700078"/>
    <s v="Salaries-Service/Support-NonProd-Other"/>
    <s v="Medical Supplies/CSR"/>
    <x v="0"/>
    <n v="2000"/>
    <n v="132.72"/>
    <n v="38.33"/>
    <n v="219.36"/>
    <n v="117.51"/>
    <n v="285.14"/>
    <n v="89.51"/>
    <n v="31.29"/>
    <n v="-220.98"/>
    <n v="37.630000000000003"/>
    <n v="6.67"/>
    <n v="48.28"/>
    <n v="39.15"/>
    <n v="824.60999999999979"/>
    <n v="9.1300000000000026"/>
  </r>
  <r>
    <x v="5"/>
    <x v="8"/>
    <x v="0"/>
    <s v="6158104"/>
    <n v="700084"/>
    <s v="Accrued PTO"/>
    <s v="Medical Supplies/CSR"/>
    <x v="0"/>
    <m/>
    <n v="875.54"/>
    <n v="1411.94"/>
    <n v="134.41999999999999"/>
    <n v="-1900.94"/>
    <n v="1126.71"/>
    <n v="-4591.12"/>
    <n v="252.3"/>
    <n v="-1724.76"/>
    <n v="1647.28"/>
    <n v="1751.89"/>
    <n v="2542.02"/>
    <n v="-2860.94"/>
    <n v="-1335.66"/>
    <n v="5402.96"/>
  </r>
  <r>
    <x v="6"/>
    <x v="8"/>
    <x v="0"/>
    <s v="6158104"/>
    <n v="713010"/>
    <s v="Benefits-FICA/Medicare"/>
    <s v="Medical Supplies/CSR"/>
    <x v="0"/>
    <m/>
    <n v="3016.68"/>
    <n v="2947.14"/>
    <n v="2879.37"/>
    <n v="2977.7"/>
    <n v="3221.15"/>
    <n v="3139.36"/>
    <n v="2556.33"/>
    <n v="2226.06"/>
    <n v="2469.17"/>
    <n v="2353.9699999999998"/>
    <n v="2406.0500000000002"/>
    <n v="2361.2199999999998"/>
    <n v="32554.2"/>
    <n v="44.830000000000382"/>
  </r>
  <r>
    <x v="6"/>
    <x v="8"/>
    <x v="0"/>
    <s v="6158104"/>
    <n v="713090"/>
    <s v="Benefits-Allocated Amounts"/>
    <s v="Medical Supplies/CSR"/>
    <x v="0"/>
    <m/>
    <n v="11757.59"/>
    <n v="10093.17"/>
    <n v="10456.59"/>
    <n v="10820.22"/>
    <n v="11626.47"/>
    <n v="11441.11"/>
    <n v="10591.55"/>
    <n v="10022.15"/>
    <n v="9981.4599999999991"/>
    <n v="10644.91"/>
    <n v="10573.69"/>
    <n v="10173.790000000001"/>
    <n v="128182.70000000001"/>
    <n v="399.89999999999964"/>
  </r>
  <r>
    <x v="7"/>
    <x v="8"/>
    <x v="0"/>
    <s v="6158104"/>
    <n v="718050"/>
    <s v="Contract Svcs-Other"/>
    <s v="Medical Supplies/CSR"/>
    <x v="0"/>
    <m/>
    <n v="0"/>
    <n v="0"/>
    <n v="4679.0600000000004"/>
    <n v="8625"/>
    <n v="4312.5"/>
    <n v="4312.5"/>
    <n v="0"/>
    <n v="0"/>
    <n v="-17616.560000000001"/>
    <n v="0"/>
    <n v="0"/>
    <n v="0"/>
    <n v="4312.5"/>
    <n v="0"/>
  </r>
  <r>
    <x v="7"/>
    <x v="8"/>
    <x v="0"/>
    <s v="6158104"/>
    <n v="718050"/>
    <s v="Miscellaneous Purchased Svcs"/>
    <s v="Medical Supplies/CSR"/>
    <x v="0"/>
    <n v="1020"/>
    <n v="55"/>
    <n v="0"/>
    <n v="0"/>
    <n v="-55"/>
    <n v="0"/>
    <n v="0"/>
    <n v="45"/>
    <n v="0"/>
    <n v="0"/>
    <n v="0"/>
    <n v="0"/>
    <n v="0"/>
    <n v="45"/>
    <n v="0"/>
  </r>
  <r>
    <x v="7"/>
    <x v="8"/>
    <x v="0"/>
    <s v="6158104"/>
    <n v="718050"/>
    <s v="Contract Management--Linen"/>
    <s v="Medical Supplies/CSR"/>
    <x v="0"/>
    <n v="1026"/>
    <n v="42.54"/>
    <n v="139.55000000000001"/>
    <n v="30.17"/>
    <n v="68.23"/>
    <n v="69.739999999999995"/>
    <n v="81.069999999999993"/>
    <n v="96.3"/>
    <n v="96.85"/>
    <n v="81.52"/>
    <n v="90.51"/>
    <n v="67.55"/>
    <n v="117.82"/>
    <n v="981.84999999999991"/>
    <n v="-50.269999999999996"/>
  </r>
  <r>
    <x v="11"/>
    <x v="8"/>
    <x v="0"/>
    <s v="6158104"/>
    <n v="721010"/>
    <s v="Supplies-Medical - Billable"/>
    <s v="Medical Supplies/CSR"/>
    <x v="0"/>
    <m/>
    <n v="128.41"/>
    <n v="2378.06"/>
    <n v="2806.33"/>
    <n v="-225.79"/>
    <n v="2333.4699999999998"/>
    <n v="747.49"/>
    <n v="763.88"/>
    <n v="4557.83"/>
    <n v="-1684.94"/>
    <n v="-728.09"/>
    <n v="8.06"/>
    <n v="917.99"/>
    <n v="12002.699999999997"/>
    <n v="-909.93000000000006"/>
  </r>
  <r>
    <x v="11"/>
    <x v="8"/>
    <x v="0"/>
    <s v="6158104"/>
    <n v="721010"/>
    <s v="Patient Monitoring"/>
    <s v="Medical Supplies/CSR"/>
    <x v="0"/>
    <n v="1000"/>
    <n v="0"/>
    <n v="-816.23"/>
    <n v="-744"/>
    <n v="-372"/>
    <n v="0"/>
    <n v="17.72"/>
    <n v="7.57"/>
    <n v="84.75"/>
    <n v="-422.74"/>
    <n v="0"/>
    <n v="-61.92"/>
    <n v="90.53"/>
    <n v="-2216.3200000000002"/>
    <n v="-152.44999999999999"/>
  </r>
  <r>
    <x v="11"/>
    <x v="8"/>
    <x v="0"/>
    <s v="6158104"/>
    <n v="721020"/>
    <s v="Supplies-Surgical - Billable"/>
    <s v="Medical Supplies/CSR"/>
    <x v="0"/>
    <m/>
    <n v="426.7"/>
    <n v="-2364.5300000000002"/>
    <n v="-39.72"/>
    <n v="-371.55"/>
    <n v="-1939.88"/>
    <n v="-2113.31"/>
    <n v="3201.04"/>
    <n v="406.03"/>
    <n v="768.57"/>
    <n v="-668.18"/>
    <n v="-2837.91"/>
    <n v="10230.629999999999"/>
    <n v="4697.8899999999985"/>
    <n v="-13068.539999999999"/>
  </r>
  <r>
    <x v="11"/>
    <x v="8"/>
    <x v="0"/>
    <s v="6158104"/>
    <n v="721020"/>
    <s v="Custom Packs"/>
    <s v="Medical Supplies/CSR"/>
    <x v="0"/>
    <n v="1000"/>
    <n v="-471.79"/>
    <n v="-319.81"/>
    <n v="1090.3900000000001"/>
    <n v="5.09"/>
    <n v="454.3"/>
    <n v="0"/>
    <n v="67.900000000000006"/>
    <n v="-4722.3100000000004"/>
    <n v="0"/>
    <n v="-68.28"/>
    <n v="326.20999999999998"/>
    <n v="-410.44"/>
    <n v="-4048.7400000000007"/>
    <n v="736.65"/>
  </r>
  <r>
    <x v="11"/>
    <x v="8"/>
    <x v="0"/>
    <s v="6158104"/>
    <n v="721020"/>
    <s v="Suture/Wound Closure"/>
    <s v="Medical Supplies/CSR"/>
    <x v="0"/>
    <n v="1001"/>
    <n v="0"/>
    <n v="0"/>
    <n v="0"/>
    <n v="40.79"/>
    <n v="0"/>
    <n v="0"/>
    <n v="0"/>
    <n v="-154.28"/>
    <n v="0"/>
    <n v="-146.4"/>
    <n v="613.39"/>
    <n v="-28.8"/>
    <n v="324.7"/>
    <n v="642.18999999999994"/>
  </r>
  <r>
    <x v="11"/>
    <x v="8"/>
    <x v="0"/>
    <s v="6158104"/>
    <n v="721020"/>
    <s v="Endoscopy - Trocars &amp; Accessories"/>
    <s v="Medical Supplies/CSR"/>
    <x v="0"/>
    <n v="1002"/>
    <n v="0"/>
    <n v="22.95"/>
    <n v="-360"/>
    <n v="0"/>
    <n v="0"/>
    <n v="0"/>
    <n v="0"/>
    <n v="0"/>
    <n v="0"/>
    <n v="0"/>
    <n v="0"/>
    <n v="0"/>
    <n v="-337.05"/>
    <n v="0"/>
  </r>
  <r>
    <x v="11"/>
    <x v="8"/>
    <x v="0"/>
    <s v="6158104"/>
    <n v="721020"/>
    <s v="Endomechanical Supplies &amp; Instruments"/>
    <s v="Medical Supplies/CSR"/>
    <x v="0"/>
    <n v="1003"/>
    <n v="-1971.9"/>
    <n v="8898.7800000000007"/>
    <n v="10.8"/>
    <n v="55.94"/>
    <n v="0"/>
    <n v="9.94"/>
    <n v="263.75"/>
    <n v="0"/>
    <n v="48.83"/>
    <n v="0"/>
    <n v="-556.61"/>
    <n v="0"/>
    <n v="6759.5300000000007"/>
    <n v="-556.61"/>
  </r>
  <r>
    <x v="11"/>
    <x v="8"/>
    <x v="0"/>
    <s v="6158104"/>
    <n v="721020"/>
    <s v="Bone Cement &amp; Supplies"/>
    <s v="Medical Supplies/CSR"/>
    <x v="0"/>
    <n v="1004"/>
    <n v="0"/>
    <n v="420.55"/>
    <n v="0"/>
    <n v="0"/>
    <n v="0"/>
    <n v="0"/>
    <n v="0"/>
    <n v="0"/>
    <n v="0"/>
    <n v="0"/>
    <n v="0"/>
    <n v="65.89"/>
    <n v="486.44"/>
    <n v="-65.89"/>
  </r>
  <r>
    <x v="11"/>
    <x v="8"/>
    <x v="0"/>
    <s v="6158104"/>
    <n v="721020"/>
    <s v="Urological Supplies"/>
    <s v="Medical Supplies/CSR"/>
    <x v="0"/>
    <n v="1006"/>
    <n v="106.28"/>
    <n v="0"/>
    <n v="0"/>
    <n v="0"/>
    <n v="117.72"/>
    <n v="0"/>
    <n v="0"/>
    <n v="64.180000000000007"/>
    <n v="0"/>
    <n v="94.27"/>
    <n v="0"/>
    <n v="0"/>
    <n v="382.45"/>
    <n v="0"/>
  </r>
  <r>
    <x v="11"/>
    <x v="8"/>
    <x v="0"/>
    <s v="6158104"/>
    <n v="721020"/>
    <s v="Tubes Drains &amp; Related Supplies"/>
    <s v="Medical Supplies/CSR"/>
    <x v="0"/>
    <n v="1008"/>
    <n v="0"/>
    <n v="0"/>
    <n v="0"/>
    <n v="0"/>
    <n v="0"/>
    <n v="0"/>
    <n v="0"/>
    <n v="0"/>
    <n v="0"/>
    <n v="0"/>
    <n v="22.26"/>
    <n v="0"/>
    <n v="22.26"/>
    <n v="22.26"/>
  </r>
  <r>
    <x v="11"/>
    <x v="8"/>
    <x v="0"/>
    <s v="6158104"/>
    <n v="721050"/>
    <s v="Supplies-Cardiac Rhythm - Billable"/>
    <s v="Medical Supplies/CSR"/>
    <x v="0"/>
    <m/>
    <n v="0"/>
    <n v="142.21"/>
    <n v="0"/>
    <n v="191.84"/>
    <n v="0"/>
    <n v="0"/>
    <n v="-8.84"/>
    <n v="-1.81"/>
    <n v="0"/>
    <n v="16.09"/>
    <n v="0"/>
    <n v="0"/>
    <n v="339.49"/>
    <n v="0"/>
  </r>
  <r>
    <x v="11"/>
    <x v="8"/>
    <x v="0"/>
    <s v="6158104"/>
    <n v="721150"/>
    <s v="Fracture Management"/>
    <s v="Medical Supplies/CSR"/>
    <x v="0"/>
    <n v="1001"/>
    <n v="0"/>
    <n v="0"/>
    <n v="-336.86"/>
    <n v="0"/>
    <n v="0"/>
    <n v="0"/>
    <n v="0"/>
    <n v="1672"/>
    <n v="0"/>
    <n v="168.43"/>
    <n v="0"/>
    <n v="0"/>
    <n v="1503.57"/>
    <n v="0"/>
  </r>
  <r>
    <x v="11"/>
    <x v="8"/>
    <x v="0"/>
    <s v="6158104"/>
    <n v="721240"/>
    <s v="Supplies-IV Solutions/Supplies - Billable"/>
    <s v="Medical Supplies/CSR"/>
    <x v="0"/>
    <m/>
    <n v="3809.54"/>
    <n v="-1829.76"/>
    <n v="0"/>
    <n v="-6249.45"/>
    <n v="2408.1999999999998"/>
    <n v="-878.3"/>
    <n v="1684.55"/>
    <n v="168.92"/>
    <n v="-88.6"/>
    <n v="1439.96"/>
    <n v="372.51"/>
    <n v="802.51"/>
    <n v="1640.0799999999995"/>
    <n v="-430"/>
  </r>
  <r>
    <x v="11"/>
    <x v="8"/>
    <x v="0"/>
    <s v="6158104"/>
    <n v="721250"/>
    <s v="Supplies-Pharmacy Drugs - Billable"/>
    <s v="Medical Supplies/CSR"/>
    <x v="0"/>
    <m/>
    <n v="0"/>
    <n v="0"/>
    <n v="0"/>
    <n v="210.88"/>
    <n v="0"/>
    <n v="0"/>
    <n v="0"/>
    <n v="0"/>
    <n v="0"/>
    <n v="0"/>
    <n v="159.5"/>
    <n v="0"/>
    <n v="370.38"/>
    <n v="159.5"/>
  </r>
  <r>
    <x v="11"/>
    <x v="8"/>
    <x v="0"/>
    <s v="6158104"/>
    <n v="721410"/>
    <s v="Supplies-Medical - Nonbillable"/>
    <s v="Medical Supplies/CSR"/>
    <x v="0"/>
    <m/>
    <n v="71.36"/>
    <n v="-10122.620000000001"/>
    <n v="10833.41"/>
    <n v="-328.54"/>
    <n v="6674.76"/>
    <n v="-3555.92"/>
    <n v="-1251.3"/>
    <n v="4454.87"/>
    <n v="-4612.09"/>
    <n v="-16699.27"/>
    <n v="4185.17"/>
    <n v="-7228.93"/>
    <n v="-17579.099999999999"/>
    <n v="11414.1"/>
  </r>
  <r>
    <x v="11"/>
    <x v="8"/>
    <x v="0"/>
    <s v="6158104"/>
    <n v="721420"/>
    <s v="Supplies-Surgical Nonbillable"/>
    <s v="Medical Supplies/CSR"/>
    <x v="0"/>
    <m/>
    <n v="-30.86"/>
    <n v="3534.9"/>
    <n v="-1506.8"/>
    <n v="1618.52"/>
    <n v="-950.71"/>
    <n v="1446.26"/>
    <n v="-487.07"/>
    <n v="643.33000000000004"/>
    <n v="1266.58"/>
    <n v="-1410.63"/>
    <n v="332.49"/>
    <n v="-146.76"/>
    <n v="4309.25"/>
    <n v="479.25"/>
  </r>
  <r>
    <x v="11"/>
    <x v="8"/>
    <x v="0"/>
    <s v="6158104"/>
    <n v="721420"/>
    <s v="Tubes Drains &amp; Related Supplies"/>
    <s v="Medical Supplies/CSR"/>
    <x v="0"/>
    <n v="1008"/>
    <n v="0"/>
    <n v="0"/>
    <n v="0"/>
    <n v="0"/>
    <n v="12"/>
    <n v="0"/>
    <n v="1.59"/>
    <n v="666"/>
    <n v="-66.400000000000006"/>
    <n v="0"/>
    <n v="7.88"/>
    <n v="0"/>
    <n v="621.07000000000005"/>
    <n v="7.88"/>
  </r>
  <r>
    <x v="11"/>
    <x v="8"/>
    <x v="0"/>
    <s v="6158104"/>
    <n v="721420"/>
    <s v="Sterilization Process Products"/>
    <s v="Medical Supplies/CSR"/>
    <x v="0"/>
    <n v="1009"/>
    <n v="0"/>
    <n v="2562.86"/>
    <n v="0"/>
    <n v="-97.44"/>
    <n v="0"/>
    <n v="0"/>
    <n v="18.86"/>
    <n v="0"/>
    <n v="500.93"/>
    <n v="-40.71"/>
    <n v="0"/>
    <n v="48.08"/>
    <n v="2992.58"/>
    <n v="-48.08"/>
  </r>
  <r>
    <x v="11"/>
    <x v="8"/>
    <x v="0"/>
    <s v="6158104"/>
    <n v="721610"/>
    <s v="Supplies-Anesthesia - Nonbillable"/>
    <s v="Medical Supplies/CSR"/>
    <x v="0"/>
    <m/>
    <n v="0"/>
    <n v="63.46"/>
    <n v="119.46"/>
    <n v="21.99"/>
    <n v="327.95"/>
    <n v="20.55"/>
    <n v="486.91"/>
    <n v="-160.5"/>
    <n v="-1447.36"/>
    <n v="9.02"/>
    <n v="738.44"/>
    <n v="219"/>
    <n v="398.92000000000007"/>
    <n v="519.44000000000005"/>
  </r>
  <r>
    <x v="11"/>
    <x v="8"/>
    <x v="0"/>
    <s v="6158104"/>
    <n v="721640"/>
    <s v="Supplies-IV Solutions/Supplies - Nonbillable"/>
    <s v="Medical Supplies/CSR"/>
    <x v="0"/>
    <m/>
    <n v="-186.96"/>
    <n v="29.91"/>
    <n v="0"/>
    <n v="-10607.78"/>
    <n v="2159.48"/>
    <n v="750.92"/>
    <n v="1093.99"/>
    <n v="301.11"/>
    <n v="-1743.21"/>
    <n v="-85.63"/>
    <n v="52.02"/>
    <n v="5115.8599999999997"/>
    <n v="-3120.29"/>
    <n v="-5063.8399999999992"/>
  </r>
  <r>
    <x v="11"/>
    <x v="8"/>
    <x v="0"/>
    <s v="6158104"/>
    <n v="721650"/>
    <s v="Supplies-Pharmacy Drugs - Nonbillable"/>
    <s v="Medical Supplies/CSR"/>
    <x v="0"/>
    <m/>
    <n v="0"/>
    <n v="0"/>
    <n v="0"/>
    <n v="0"/>
    <n v="-66.989999999999995"/>
    <n v="0"/>
    <n v="0"/>
    <n v="0"/>
    <n v="0"/>
    <n v="0"/>
    <n v="0"/>
    <n v="0"/>
    <n v="-66.989999999999995"/>
    <n v="0"/>
  </r>
  <r>
    <x v="11"/>
    <x v="8"/>
    <x v="0"/>
    <s v="6158104"/>
    <n v="721710"/>
    <s v="Supplies-Laboratory - Nonbillable"/>
    <s v="Medical Supplies/CSR"/>
    <x v="0"/>
    <m/>
    <n v="401.68"/>
    <n v="-215.4"/>
    <n v="40.92"/>
    <n v="-274.02"/>
    <n v="98.38"/>
    <n v="-86.32"/>
    <n v="-4.2"/>
    <n v="-485"/>
    <n v="622.13"/>
    <n v="-29.93"/>
    <n v="115.22"/>
    <n v="-158.02000000000001"/>
    <n v="25.439999999999941"/>
    <n v="273.24"/>
  </r>
  <r>
    <x v="11"/>
    <x v="8"/>
    <x v="0"/>
    <s v="6158104"/>
    <n v="721710"/>
    <s v="Reagents"/>
    <s v="Medical Supplies/CSR"/>
    <x v="0"/>
    <n v="1000"/>
    <n v="0"/>
    <n v="0"/>
    <n v="0"/>
    <n v="0"/>
    <n v="0"/>
    <n v="0"/>
    <n v="0"/>
    <n v="0"/>
    <n v="0"/>
    <n v="0"/>
    <n v="0"/>
    <n v="418.36"/>
    <n v="418.36"/>
    <n v="-418.36"/>
  </r>
  <r>
    <x v="11"/>
    <x v="8"/>
    <x v="0"/>
    <s v="6158104"/>
    <n v="721750"/>
    <s v="Supplies-Film/Radiographic - Nonbillable"/>
    <s v="Medical Supplies/CSR"/>
    <x v="0"/>
    <m/>
    <n v="0"/>
    <n v="0"/>
    <n v="0"/>
    <n v="0"/>
    <n v="0"/>
    <n v="0"/>
    <n v="0"/>
    <n v="-70.87"/>
    <n v="132.83000000000001"/>
    <n v="0"/>
    <n v="0"/>
    <n v="0"/>
    <n v="61.960000000000008"/>
    <n v="0"/>
  </r>
  <r>
    <x v="11"/>
    <x v="8"/>
    <x v="0"/>
    <s v="6158104"/>
    <n v="721810"/>
    <s v="Supplies-Dietary/Cafeteria"/>
    <s v="Medical Supplies/CSR"/>
    <x v="0"/>
    <m/>
    <n v="195.94"/>
    <n v="114.02"/>
    <n v="-37.700000000000003"/>
    <n v="161.88"/>
    <n v="22.45"/>
    <n v="39.28"/>
    <n v="-246.19"/>
    <n v="56.38"/>
    <n v="100.74"/>
    <n v="39.89"/>
    <n v="36.46"/>
    <n v="76.849999999999994"/>
    <n v="560"/>
    <n v="-40.389999999999993"/>
  </r>
  <r>
    <x v="11"/>
    <x v="8"/>
    <x v="0"/>
    <s v="6158104"/>
    <n v="721830"/>
    <s v="Supplies-Office"/>
    <s v="Medical Supplies/CSR"/>
    <x v="0"/>
    <m/>
    <n v="188.19"/>
    <n v="406.97"/>
    <n v="227.98"/>
    <n v="209.16"/>
    <n v="768.93"/>
    <n v="226.83"/>
    <n v="216.13"/>
    <n v="378.62"/>
    <n v="-337.72"/>
    <n v="271.83999999999997"/>
    <n v="515.1"/>
    <n v="974.28"/>
    <n v="4046.3100000000004"/>
    <n v="-459.17999999999995"/>
  </r>
  <r>
    <x v="11"/>
    <x v="8"/>
    <x v="0"/>
    <s v="6158104"/>
    <n v="721835"/>
    <s v="Supplies-Forms"/>
    <s v="Medical Supplies/CSR"/>
    <x v="0"/>
    <m/>
    <n v="0"/>
    <n v="0"/>
    <n v="0"/>
    <n v="0"/>
    <n v="0"/>
    <n v="2.2999999999999998"/>
    <n v="0"/>
    <n v="0"/>
    <n v="0"/>
    <n v="0"/>
    <n v="0"/>
    <n v="0"/>
    <n v="2.2999999999999998"/>
    <n v="0"/>
  </r>
  <r>
    <x v="11"/>
    <x v="8"/>
    <x v="0"/>
    <s v="6158104"/>
    <n v="721870"/>
    <s v="Supplies-Environmental Services"/>
    <s v="Medical Supplies/CSR"/>
    <x v="0"/>
    <m/>
    <n v="-1021.25"/>
    <n v="768.82"/>
    <n v="-1001.25"/>
    <n v="136.69"/>
    <n v="108.01"/>
    <n v="151"/>
    <n v="139.59"/>
    <n v="40.83"/>
    <n v="14.66"/>
    <n v="0"/>
    <n v="213.35"/>
    <n v="12.19"/>
    <n v="-437.35999999999973"/>
    <n v="201.16"/>
  </r>
  <r>
    <x v="11"/>
    <x v="8"/>
    <x v="0"/>
    <s v="6158104"/>
    <n v="721910"/>
    <s v="Supplies-Small Equipment"/>
    <s v="Medical Supplies/CSR"/>
    <x v="0"/>
    <m/>
    <n v="0"/>
    <n v="411.89"/>
    <n v="14.13"/>
    <n v="1382.22"/>
    <n v="0"/>
    <n v="378.12"/>
    <n v="-49.47"/>
    <n v="1217.21"/>
    <n v="1178.8"/>
    <n v="-141.6"/>
    <n v="27.86"/>
    <n v="52.01"/>
    <n v="4471.17"/>
    <n v="-24.15"/>
  </r>
  <r>
    <x v="11"/>
    <x v="8"/>
    <x v="0"/>
    <s v="6158104"/>
    <n v="721910"/>
    <s v="Instruments"/>
    <s v="Medical Supplies/CSR"/>
    <x v="0"/>
    <n v="1000"/>
    <n v="0"/>
    <n v="98.94"/>
    <n v="0"/>
    <n v="89.6"/>
    <n v="-35.97"/>
    <n v="-499.5"/>
    <n v="0"/>
    <n v="889.7"/>
    <n v="4.82"/>
    <n v="1.77"/>
    <n v="0"/>
    <n v="296.82"/>
    <n v="846.18000000000006"/>
    <n v="-296.82"/>
  </r>
  <r>
    <x v="11"/>
    <x v="8"/>
    <x v="0"/>
    <s v="6158104"/>
    <n v="721980"/>
    <s v="Supplies-Other"/>
    <s v="Medical Supplies/CSR"/>
    <x v="0"/>
    <m/>
    <n v="826.3"/>
    <n v="652.55999999999995"/>
    <n v="60.96"/>
    <n v="313.57"/>
    <n v="577.29"/>
    <n v="943.29"/>
    <n v="213.51"/>
    <n v="4767.7"/>
    <n v="3375.06"/>
    <n v="3287.01"/>
    <n v="2831.42"/>
    <n v="391.85"/>
    <n v="18240.519999999997"/>
    <n v="2439.5700000000002"/>
  </r>
  <r>
    <x v="11"/>
    <x v="8"/>
    <x v="0"/>
    <s v="6158104"/>
    <n v="722000"/>
    <s v="Supplies-Freight Expense"/>
    <s v="Medical Supplies/CSR"/>
    <x v="0"/>
    <m/>
    <n v="1196.4100000000001"/>
    <n v="2705.01"/>
    <n v="2048.2399999999998"/>
    <n v="2894.71"/>
    <n v="1691.91"/>
    <n v="2592.94"/>
    <n v="3938.14"/>
    <n v="1143.24"/>
    <n v="3101.89"/>
    <n v="2334.29"/>
    <n v="1895.55"/>
    <n v="5929.06"/>
    <n v="31471.390000000003"/>
    <n v="-4033.51"/>
  </r>
  <r>
    <x v="11"/>
    <x v="8"/>
    <x v="0"/>
    <s v="6158104"/>
    <n v="722000"/>
    <s v="Minimum Order Fees"/>
    <s v="Medical Supplies/CSR"/>
    <x v="0"/>
    <n v="1000"/>
    <n v="0"/>
    <n v="161.55000000000001"/>
    <n v="0"/>
    <n v="100"/>
    <n v="0"/>
    <n v="0"/>
    <n v="0"/>
    <n v="0"/>
    <n v="0"/>
    <n v="0"/>
    <n v="0"/>
    <n v="150"/>
    <n v="411.55"/>
    <n v="-150"/>
  </r>
  <r>
    <x v="11"/>
    <x v="8"/>
    <x v="0"/>
    <s v="6158104"/>
    <n v="722000"/>
    <s v="Rush Order Fees"/>
    <s v="Medical Supplies/CSR"/>
    <x v="0"/>
    <n v="1005"/>
    <n v="45"/>
    <n v="45"/>
    <n v="0"/>
    <n v="-45"/>
    <n v="0"/>
    <n v="0"/>
    <n v="0"/>
    <n v="0"/>
    <n v="0"/>
    <n v="0"/>
    <n v="0"/>
    <n v="-45"/>
    <n v="0"/>
    <n v="45"/>
  </r>
  <r>
    <x v="11"/>
    <x v="8"/>
    <x v="0"/>
    <s v="6158104"/>
    <n v="722010"/>
    <s v="Supplies-Distribution Fees"/>
    <s v="Medical Supplies/CSR"/>
    <x v="0"/>
    <m/>
    <n v="0"/>
    <n v="0"/>
    <n v="0"/>
    <n v="286.88"/>
    <n v="0"/>
    <n v="0"/>
    <n v="0"/>
    <n v="0"/>
    <n v="0"/>
    <n v="0"/>
    <n v="0"/>
    <n v="0"/>
    <n v="286.88"/>
    <n v="0"/>
  </r>
  <r>
    <x v="11"/>
    <x v="8"/>
    <x v="0"/>
    <s v="6158104"/>
    <n v="722010"/>
    <s v="Standard Distribution Fees"/>
    <s v="Medical Supplies/CSR"/>
    <x v="0"/>
    <n v="1000"/>
    <n v="3493.79"/>
    <n v="3342.62"/>
    <n v="0"/>
    <n v="6470.17"/>
    <n v="2890.41"/>
    <n v="6525.06"/>
    <n v="0"/>
    <n v="3695.61"/>
    <n v="3548.79"/>
    <n v="3620.09"/>
    <n v="4191.55"/>
    <n v="3561.29"/>
    <n v="41339.380000000005"/>
    <n v="630.26000000000022"/>
  </r>
  <r>
    <x v="11"/>
    <x v="8"/>
    <x v="0"/>
    <s v="6158104"/>
    <n v="723000"/>
    <s v="Supply Rebates/Patronage Dividend"/>
    <s v="Medical Supplies/CSR"/>
    <x v="0"/>
    <m/>
    <n v="0"/>
    <n v="0"/>
    <n v="-102559.47"/>
    <n v="0"/>
    <n v="0"/>
    <n v="-150379.92000000001"/>
    <n v="0"/>
    <n v="0"/>
    <n v="-94091.58"/>
    <n v="0"/>
    <n v="0"/>
    <n v="-151506.31"/>
    <n v="-498537.28"/>
    <n v="151506.31"/>
  </r>
  <r>
    <x v="11"/>
    <x v="8"/>
    <x v="0"/>
    <s v="6158104"/>
    <n v="723001"/>
    <s v="Inventory Adjustments *"/>
    <s v="Medical Supplies/CSR"/>
    <x v="0"/>
    <m/>
    <n v="178.03"/>
    <n v="1318.17"/>
    <n v="293.02999999999997"/>
    <n v="67.22"/>
    <n v="-2268.88"/>
    <n v="-996.24"/>
    <n v="-338.91"/>
    <n v="373.81"/>
    <n v="51.6"/>
    <n v="706.01"/>
    <n v="-44.66"/>
    <n v="304.74"/>
    <n v="-356.08000000000027"/>
    <n v="-349.4"/>
  </r>
  <r>
    <x v="11"/>
    <x v="8"/>
    <x v="0"/>
    <s v="6158104"/>
    <n v="723002"/>
    <s v="Physical Inventory Variance *"/>
    <s v="Medical Supplies/CSR"/>
    <x v="0"/>
    <m/>
    <n v="-1716.18"/>
    <n v="-835.52"/>
    <n v="693.56"/>
    <n v="1261.43"/>
    <n v="-2903.2"/>
    <n v="-5437.7"/>
    <n v="1031.96"/>
    <n v="-4043.4"/>
    <n v="2625.64"/>
    <n v="-4064.38"/>
    <n v="-3456.93"/>
    <n v="-16589.91"/>
    <n v="-33434.630000000005"/>
    <n v="13132.98"/>
  </r>
  <r>
    <x v="11"/>
    <x v="8"/>
    <x v="0"/>
    <s v="6158104"/>
    <n v="724000"/>
    <s v="Item Cost Variance Suspense *"/>
    <s v="Medical Supplies/CSR"/>
    <x v="0"/>
    <m/>
    <n v="-442.01"/>
    <n v="-1201.95"/>
    <n v="2406.34"/>
    <n v="-2433.36"/>
    <n v="-986.42"/>
    <n v="-4513.12"/>
    <n v="-765.42"/>
    <n v="2728.4"/>
    <n v="-2804.27"/>
    <n v="-3233.19"/>
    <n v="171.79"/>
    <n v="-707.66"/>
    <n v="-11780.87"/>
    <n v="879.44999999999993"/>
  </r>
  <r>
    <x v="11"/>
    <x v="8"/>
    <x v="0"/>
    <s v="6158104"/>
    <n v="724001"/>
    <s v="Tolerance Offset *"/>
    <s v="Medical Supplies/CSR"/>
    <x v="0"/>
    <m/>
    <n v="0"/>
    <n v="0"/>
    <n v="-0.02"/>
    <n v="0.01"/>
    <n v="0"/>
    <n v="-0.01"/>
    <n v="0"/>
    <n v="-0.01"/>
    <n v="0"/>
    <n v="-0.03"/>
    <n v="-0.02"/>
    <n v="0.03"/>
    <n v="-0.05"/>
    <n v="-0.05"/>
  </r>
  <r>
    <x v="11"/>
    <x v="8"/>
    <x v="0"/>
    <s v="6158104"/>
    <n v="724002"/>
    <s v="Match Write Off *"/>
    <s v="Medical Supplies/CSR"/>
    <x v="0"/>
    <m/>
    <n v="0"/>
    <n v="0"/>
    <n v="0"/>
    <n v="-13450.92"/>
    <n v="0"/>
    <n v="0"/>
    <n v="0"/>
    <n v="-224.99"/>
    <n v="-875.38"/>
    <n v="0"/>
    <n v="0"/>
    <n v="-4534.04"/>
    <n v="-19085.329999999998"/>
    <n v="4534.04"/>
  </r>
  <r>
    <x v="12"/>
    <x v="8"/>
    <x v="0"/>
    <s v="6158104"/>
    <n v="730020"/>
    <s v="Rental and Leases-Copier Usage Fees (DO NOT USE)"/>
    <s v="Medical Supplies/CSR"/>
    <x v="0"/>
    <n v="5100"/>
    <n v="375.25"/>
    <n v="373.49"/>
    <n v="374.37"/>
    <n v="374.37"/>
    <n v="374.37"/>
    <n v="374.37"/>
    <n v="-581.36"/>
    <n v="280.3"/>
    <n v="244.57"/>
    <n v="352.51"/>
    <n v="280.3"/>
    <n v="319.77999999999997"/>
    <n v="3142.3199999999997"/>
    <n v="-39.479999999999961"/>
  </r>
  <r>
    <x v="16"/>
    <x v="8"/>
    <x v="0"/>
    <s v="6158104"/>
    <n v="732020"/>
    <s v="Repairs--Clin Equip-Parts-Internal to CHI Programs"/>
    <s v="Medical Supplies/CSR"/>
    <x v="0"/>
    <m/>
    <n v="0"/>
    <n v="0"/>
    <n v="0"/>
    <n v="178.98"/>
    <n v="0"/>
    <n v="0"/>
    <n v="0"/>
    <n v="0"/>
    <n v="0"/>
    <n v="0"/>
    <n v="0"/>
    <n v="0"/>
    <n v="178.98"/>
    <n v="0"/>
  </r>
  <r>
    <x v="13"/>
    <x v="8"/>
    <x v="0"/>
    <s v="6158104"/>
    <n v="735030"/>
    <s v="Depreciation-Buildings"/>
    <s v="Medical Supplies/CSR"/>
    <x v="0"/>
    <m/>
    <n v="7148.98"/>
    <n v="7148.96"/>
    <n v="7149"/>
    <n v="7148.92"/>
    <n v="7149.03"/>
    <n v="7148.9"/>
    <n v="7149.07"/>
    <n v="7148.87"/>
    <n v="7149.08"/>
    <n v="6971.89"/>
    <n v="6972.15"/>
    <n v="6971.89"/>
    <n v="85256.74"/>
    <n v="0.25999999999930878"/>
  </r>
  <r>
    <x v="13"/>
    <x v="8"/>
    <x v="0"/>
    <s v="6158104"/>
    <n v="735070"/>
    <s v="Depreciation-Movable Equipment"/>
    <s v="Medical Supplies/CSR"/>
    <x v="0"/>
    <m/>
    <n v="8654.3700000000008"/>
    <n v="8654.44"/>
    <n v="8654.25"/>
    <n v="8626.7800000000007"/>
    <n v="8626.33"/>
    <n v="8626.84"/>
    <n v="8565.17"/>
    <n v="8565.84"/>
    <n v="8565.08"/>
    <n v="2685.07"/>
    <n v="2685.09"/>
    <n v="2685.05"/>
    <n v="85594.310000000012"/>
    <n v="3.999999999996362E-2"/>
  </r>
  <r>
    <x v="0"/>
    <x v="8"/>
    <x v="0"/>
    <s v="6158104"/>
    <n v="742030"/>
    <s v="Freight-Courier"/>
    <s v="Medical Supplies/CSR"/>
    <x v="0"/>
    <m/>
    <n v="0"/>
    <n v="0"/>
    <n v="45"/>
    <n v="100"/>
    <n v="0"/>
    <n v="0"/>
    <n v="0"/>
    <n v="139"/>
    <n v="0"/>
    <n v="0"/>
    <n v="0"/>
    <n v="90"/>
    <n v="374"/>
    <n v="-90"/>
  </r>
  <r>
    <x v="0"/>
    <x v="8"/>
    <x v="0"/>
    <s v="6158104"/>
    <n v="743030"/>
    <s v="Subscriptions--Institutional"/>
    <s v="Medical Supplies/CSR"/>
    <x v="0"/>
    <m/>
    <n v="0"/>
    <n v="0"/>
    <n v="0"/>
    <n v="0"/>
    <n v="0"/>
    <n v="0"/>
    <n v="0"/>
    <n v="0"/>
    <n v="21929.06"/>
    <n v="0"/>
    <n v="8625"/>
    <n v="8625"/>
    <n v="39179.06"/>
    <n v="0"/>
  </r>
  <r>
    <x v="0"/>
    <x v="8"/>
    <x v="0"/>
    <s v="6158104"/>
    <n v="745010"/>
    <s v="Donations and Contributions"/>
    <s v="Medical Supplies/CSR"/>
    <x v="0"/>
    <m/>
    <n v="0"/>
    <n v="17565.84"/>
    <n v="0"/>
    <n v="0"/>
    <n v="0"/>
    <n v="0"/>
    <n v="0"/>
    <n v="0"/>
    <n v="0"/>
    <n v="43.4"/>
    <n v="0"/>
    <n v="335.23"/>
    <n v="17944.47"/>
    <n v="-335.23"/>
  </r>
  <r>
    <x v="0"/>
    <x v="8"/>
    <x v="0"/>
    <s v="6158104"/>
    <n v="749510"/>
    <s v="Miscellaneous Expenses"/>
    <s v="Medical Supplies/CSR"/>
    <x v="0"/>
    <m/>
    <n v="0"/>
    <n v="552.65"/>
    <n v="0"/>
    <n v="46.97"/>
    <n v="32.54"/>
    <n v="0"/>
    <n v="0"/>
    <n v="113.4"/>
    <n v="0"/>
    <n v="0"/>
    <n v="0"/>
    <n v="0"/>
    <n v="745.56"/>
    <n v="0"/>
  </r>
  <r>
    <x v="5"/>
    <x v="5"/>
    <x v="0"/>
    <s v="6158106"/>
    <n v="700014"/>
    <s v="Salaries-Management-Productive"/>
    <s v="Central Stores"/>
    <x v="0"/>
    <m/>
    <n v="5045.42"/>
    <n v="5457.5"/>
    <n v="5684.11"/>
    <n v="6741.87"/>
    <n v="6409.54"/>
    <n v="4401.4399999999996"/>
    <n v="6162.77"/>
    <n v="4685.9799999999996"/>
    <n v="6269.37"/>
    <n v="6290.56"/>
    <n v="6633.13"/>
    <n v="4878.6899999999996"/>
    <n v="68660.37999999999"/>
    <n v="1754.4400000000005"/>
  </r>
  <r>
    <x v="5"/>
    <x v="5"/>
    <x v="0"/>
    <s v="6158106"/>
    <n v="700034"/>
    <s v="Salaries-Tech/Professional-Productive"/>
    <s v="Central Stores"/>
    <x v="0"/>
    <m/>
    <n v="0"/>
    <n v="0"/>
    <n v="0"/>
    <n v="0"/>
    <n v="0"/>
    <n v="2270.66"/>
    <n v="3804.7"/>
    <n v="2684.88"/>
    <n v="371.56"/>
    <n v="0"/>
    <n v="354.32"/>
    <n v="0"/>
    <n v="9486.119999999999"/>
    <n v="354.32"/>
  </r>
  <r>
    <x v="5"/>
    <x v="5"/>
    <x v="0"/>
    <s v="6158106"/>
    <n v="700034"/>
    <s v="Salaries-Tech/Professional-OT"/>
    <s v="Central Stores"/>
    <x v="0"/>
    <n v="1000"/>
    <n v="0"/>
    <n v="0"/>
    <n v="0"/>
    <n v="0"/>
    <n v="0"/>
    <n v="0"/>
    <n v="824.94"/>
    <n v="-213.56"/>
    <n v="0"/>
    <n v="0"/>
    <n v="0"/>
    <n v="0"/>
    <n v="611.38000000000011"/>
    <n v="0"/>
  </r>
  <r>
    <x v="5"/>
    <x v="5"/>
    <x v="0"/>
    <s v="6158106"/>
    <n v="700034"/>
    <s v="Salaries-Tech/Professional-Other"/>
    <s v="Central Stores"/>
    <x v="0"/>
    <n v="2000"/>
    <n v="0"/>
    <n v="0"/>
    <n v="0"/>
    <n v="0"/>
    <n v="0"/>
    <n v="7.42"/>
    <n v="96.26"/>
    <n v="10.08"/>
    <n v="-2.85"/>
    <n v="0"/>
    <n v="0"/>
    <n v="0"/>
    <n v="110.91000000000001"/>
    <n v="0"/>
  </r>
  <r>
    <x v="5"/>
    <x v="5"/>
    <x v="0"/>
    <s v="6158106"/>
    <n v="700038"/>
    <s v="Salaries-Service/Support-Productive"/>
    <s v="Central Stores"/>
    <x v="0"/>
    <m/>
    <n v="36756.339999999997"/>
    <n v="40094.629999999997"/>
    <n v="37872.239999999998"/>
    <n v="39611.96"/>
    <n v="31808.6"/>
    <n v="29452.95"/>
    <n v="32965.72"/>
    <n v="28425.99"/>
    <n v="38419.85"/>
    <n v="33566.839999999997"/>
    <n v="35578.1"/>
    <n v="39936.54"/>
    <n v="424489.75999999995"/>
    <n v="-4358.4400000000023"/>
  </r>
  <r>
    <x v="5"/>
    <x v="5"/>
    <x v="0"/>
    <s v="6158106"/>
    <n v="700038"/>
    <s v="Salaries-Service/Support-OT"/>
    <s v="Central Stores"/>
    <x v="0"/>
    <n v="1000"/>
    <n v="135.4"/>
    <n v="316.22000000000003"/>
    <n v="983.54"/>
    <n v="1382.86"/>
    <n v="-151.71"/>
    <n v="1230.6199999999999"/>
    <n v="98.8"/>
    <n v="775.25"/>
    <n v="297.29000000000002"/>
    <n v="1262.6199999999999"/>
    <n v="980.62"/>
    <n v="115.57"/>
    <n v="7427.079999999999"/>
    <n v="865.05"/>
  </r>
  <r>
    <x v="5"/>
    <x v="5"/>
    <x v="0"/>
    <s v="6158106"/>
    <n v="700038"/>
    <s v="Salaries-Service/Support-Other"/>
    <s v="Central Stores"/>
    <x v="0"/>
    <n v="2000"/>
    <n v="138.36000000000001"/>
    <n v="337.51"/>
    <n v="597.89"/>
    <n v="143.26"/>
    <n v="603.85"/>
    <n v="50.39"/>
    <n v="143.61000000000001"/>
    <n v="140.77000000000001"/>
    <n v="181.74"/>
    <n v="151.35"/>
    <n v="123.29"/>
    <n v="305.37"/>
    <n v="2917.39"/>
    <n v="-182.07999999999998"/>
  </r>
  <r>
    <x v="5"/>
    <x v="5"/>
    <x v="0"/>
    <s v="6158106"/>
    <n v="700054"/>
    <s v="Salaries-Management-Non-productive"/>
    <s v="Central Stores"/>
    <x v="0"/>
    <m/>
    <n v="1338.55"/>
    <n v="926.78"/>
    <n v="494.29"/>
    <n v="-164.74"/>
    <n v="0"/>
    <n v="2221.98"/>
    <n v="470.98"/>
    <n v="1305.2"/>
    <n v="363.76"/>
    <n v="128.4"/>
    <n v="0"/>
    <n v="1540.56"/>
    <n v="8625.76"/>
    <n v="-1540.56"/>
  </r>
  <r>
    <x v="5"/>
    <x v="5"/>
    <x v="0"/>
    <s v="6158106"/>
    <n v="700054"/>
    <s v="Salaries-Management-NonProd-Other"/>
    <s v="Central Stores"/>
    <x v="0"/>
    <n v="2000"/>
    <n v="0"/>
    <n v="0"/>
    <n v="0"/>
    <n v="0"/>
    <n v="0"/>
    <n v="387.4"/>
    <n v="-387.4"/>
    <n v="0"/>
    <n v="0"/>
    <n v="0"/>
    <n v="0"/>
    <n v="0"/>
    <n v="0"/>
    <n v="0"/>
  </r>
  <r>
    <x v="5"/>
    <x v="5"/>
    <x v="0"/>
    <s v="6158106"/>
    <n v="700078"/>
    <s v="Salaries-Service/Support-Non-productive"/>
    <s v="Central Stores"/>
    <x v="0"/>
    <m/>
    <n v="10758.57"/>
    <n v="7822.67"/>
    <n v="5820.41"/>
    <n v="7539"/>
    <n v="10178.81"/>
    <n v="5415.71"/>
    <n v="3319.49"/>
    <n v="4907.99"/>
    <n v="3841.25"/>
    <n v="4150.8500000000004"/>
    <n v="2533.21"/>
    <n v="4426.38"/>
    <n v="70714.34"/>
    <n v="-1893.17"/>
  </r>
  <r>
    <x v="5"/>
    <x v="5"/>
    <x v="0"/>
    <s v="6158106"/>
    <n v="700078"/>
    <s v="Salaries-Service/Support-NonProd-Other"/>
    <s v="Central Stores"/>
    <x v="0"/>
    <n v="2000"/>
    <n v="40.85"/>
    <n v="19.489999999999998"/>
    <n v="20.11"/>
    <n v="26.17"/>
    <n v="631.48"/>
    <n v="472.46"/>
    <n v="38.049999999999997"/>
    <n v="-925.54"/>
    <n v="91.85"/>
    <n v="-13.66"/>
    <n v="0"/>
    <n v="0"/>
    <n v="401.25999999999993"/>
    <n v="0"/>
  </r>
  <r>
    <x v="5"/>
    <x v="5"/>
    <x v="0"/>
    <s v="6158106"/>
    <n v="700084"/>
    <s v="Accrued PTO"/>
    <s v="Central Stores"/>
    <x v="0"/>
    <m/>
    <n v="-605.89"/>
    <n v="-2300.39"/>
    <n v="-680.81"/>
    <n v="1840.35"/>
    <n v="-3099.15"/>
    <n v="-13637.74"/>
    <n v="2290.31"/>
    <n v="-24.17"/>
    <n v="556.27"/>
    <n v="1252.04"/>
    <n v="2152.02"/>
    <n v="1771.47"/>
    <n v="-10485.689999999997"/>
    <n v="380.54999999999995"/>
  </r>
  <r>
    <x v="6"/>
    <x v="5"/>
    <x v="0"/>
    <s v="6158106"/>
    <n v="713010"/>
    <s v="Benefits-FICA/Medicare"/>
    <s v="Central Stores"/>
    <x v="0"/>
    <m/>
    <n v="3944.83"/>
    <n v="4021.36"/>
    <n v="3741.86"/>
    <n v="4023.81"/>
    <n v="3708.29"/>
    <n v="4176.25"/>
    <n v="3518.9"/>
    <n v="3117.18"/>
    <n v="3651.35"/>
    <n v="3640.52"/>
    <n v="3385.98"/>
    <n v="3769.2"/>
    <n v="44699.53"/>
    <n v="-383.2199999999998"/>
  </r>
  <r>
    <x v="6"/>
    <x v="5"/>
    <x v="0"/>
    <s v="6158106"/>
    <n v="713090"/>
    <s v="Benefits-Allocated Amounts"/>
    <s v="Central Stores"/>
    <x v="0"/>
    <m/>
    <n v="19558.48"/>
    <n v="18539.77"/>
    <n v="17626.27"/>
    <n v="18681.72"/>
    <n v="17297.939999999999"/>
    <n v="14732.97"/>
    <n v="16654.759999999998"/>
    <n v="15572.95"/>
    <n v="16752.18"/>
    <n v="16283.23"/>
    <n v="16069.26"/>
    <n v="18881.27"/>
    <n v="206650.80000000002"/>
    <n v="-2812.01"/>
  </r>
  <r>
    <x v="6"/>
    <x v="5"/>
    <x v="0"/>
    <s v="6158106"/>
    <n v="713096"/>
    <s v="Employee Recognition"/>
    <s v="Central Stores"/>
    <x v="0"/>
    <n v="1017"/>
    <n v="0"/>
    <n v="0"/>
    <n v="0"/>
    <n v="0"/>
    <n v="0"/>
    <n v="0"/>
    <n v="0"/>
    <n v="0"/>
    <n v="0"/>
    <n v="0"/>
    <n v="0"/>
    <n v="147.38999999999999"/>
    <n v="147.38999999999999"/>
    <n v="-147.38999999999999"/>
  </r>
  <r>
    <x v="7"/>
    <x v="5"/>
    <x v="0"/>
    <s v="6158106"/>
    <n v="718050"/>
    <s v="Contract Svcs-Other"/>
    <s v="Central Stores"/>
    <x v="0"/>
    <m/>
    <n v="0"/>
    <n v="0"/>
    <n v="7837.5"/>
    <n v="7125"/>
    <n v="3562.5"/>
    <n v="3562.5"/>
    <n v="0"/>
    <n v="3562.5"/>
    <n v="-22087.5"/>
    <n v="0"/>
    <n v="0"/>
    <n v="0"/>
    <n v="3562.5"/>
    <n v="0"/>
  </r>
  <r>
    <x v="7"/>
    <x v="5"/>
    <x v="0"/>
    <s v="6158106"/>
    <n v="718050"/>
    <s v="Document Shredding/Storage"/>
    <s v="Central Stores"/>
    <x v="0"/>
    <n v="1012"/>
    <n v="16.37"/>
    <n v="14.64"/>
    <n v="-15.79"/>
    <n v="0"/>
    <n v="4.58"/>
    <n v="1.56"/>
    <n v="1.54"/>
    <n v="43.24"/>
    <n v="14.51"/>
    <n v="64.209999999999994"/>
    <n v="46.03"/>
    <n v="76.489999999999995"/>
    <n v="267.38"/>
    <n v="-30.459999999999994"/>
  </r>
  <r>
    <x v="7"/>
    <x v="5"/>
    <x v="0"/>
    <s v="6158106"/>
    <n v="718050"/>
    <s v="Contract Management--Linen"/>
    <s v="Central Stores"/>
    <x v="0"/>
    <n v="1026"/>
    <n v="-49.23"/>
    <n v="141.26"/>
    <n v="157.28"/>
    <n v="-7.48"/>
    <n v="172.69"/>
    <n v="134.84"/>
    <n v="106.21"/>
    <n v="58.09"/>
    <n v="135.41999999999999"/>
    <n v="126.85"/>
    <n v="116.59"/>
    <n v="88.86"/>
    <n v="1181.3799999999999"/>
    <n v="27.730000000000004"/>
  </r>
  <r>
    <x v="7"/>
    <x v="5"/>
    <x v="0"/>
    <s v="6158106"/>
    <n v="718050"/>
    <s v="Purchased Srvcs--Medical Waste"/>
    <s v="Central Stores"/>
    <x v="0"/>
    <n v="1027"/>
    <n v="0"/>
    <n v="0"/>
    <n v="0"/>
    <n v="117.11"/>
    <n v="0"/>
    <n v="0"/>
    <n v="110.36"/>
    <n v="0"/>
    <n v="444.73"/>
    <n v="715.68"/>
    <n v="329.82"/>
    <n v="0"/>
    <n v="1717.7"/>
    <n v="329.82"/>
  </r>
  <r>
    <x v="11"/>
    <x v="5"/>
    <x v="0"/>
    <s v="6158106"/>
    <n v="721010"/>
    <s v="Supplies-Medical - Billable"/>
    <s v="Central Stores"/>
    <x v="0"/>
    <m/>
    <n v="-116.6"/>
    <n v="850.25"/>
    <n v="882.53"/>
    <n v="-2040.9"/>
    <n v="-426.24"/>
    <n v="-284.60000000000002"/>
    <n v="-4761.08"/>
    <n v="-686.23"/>
    <n v="4278.24"/>
    <n v="-7790.3"/>
    <n v="12308.02"/>
    <n v="-5852.17"/>
    <n v="-3639.08"/>
    <n v="18160.190000000002"/>
  </r>
  <r>
    <x v="11"/>
    <x v="5"/>
    <x v="0"/>
    <s v="6158106"/>
    <n v="721010"/>
    <s v="Patient Monitoring"/>
    <s v="Central Stores"/>
    <x v="0"/>
    <n v="1000"/>
    <n v="624.45000000000005"/>
    <n v="111.01"/>
    <n v="4.59"/>
    <n v="219.73"/>
    <n v="-135.84"/>
    <n v="11.43"/>
    <n v="0"/>
    <n v="-181.8"/>
    <n v="-441.48"/>
    <n v="-32.54"/>
    <n v="29.46"/>
    <n v="462.45"/>
    <n v="671.45999999999992"/>
    <n v="-432.99"/>
  </r>
  <r>
    <x v="11"/>
    <x v="5"/>
    <x v="0"/>
    <s v="6158106"/>
    <n v="721020"/>
    <s v="Supplies-Surgical - Billable"/>
    <s v="Central Stores"/>
    <x v="0"/>
    <m/>
    <n v="1009.64"/>
    <n v="12.25"/>
    <n v="911"/>
    <n v="364.26"/>
    <n v="-1015.82"/>
    <n v="822.7"/>
    <n v="2300.16"/>
    <n v="404.74"/>
    <n v="437.43"/>
    <n v="254.44"/>
    <n v="1415.41"/>
    <n v="-461.74"/>
    <n v="6454.4699999999993"/>
    <n v="1877.15"/>
  </r>
  <r>
    <x v="11"/>
    <x v="5"/>
    <x v="0"/>
    <s v="6158106"/>
    <n v="721020"/>
    <s v="Custom Packs"/>
    <s v="Central Stores"/>
    <x v="0"/>
    <n v="1000"/>
    <n v="0"/>
    <n v="0"/>
    <n v="-394.6"/>
    <n v="-699.19"/>
    <n v="0"/>
    <n v="-413.16"/>
    <n v="0"/>
    <n v="0"/>
    <n v="0"/>
    <n v="0"/>
    <n v="170.54"/>
    <n v="139.54"/>
    <n v="-1196.8700000000001"/>
    <n v="31"/>
  </r>
  <r>
    <x v="11"/>
    <x v="5"/>
    <x v="0"/>
    <s v="6158106"/>
    <n v="721020"/>
    <s v="Endoscopy - Trocars &amp; Accessories"/>
    <s v="Central Stores"/>
    <x v="0"/>
    <n v="1002"/>
    <n v="54"/>
    <n v="49.5"/>
    <n v="0"/>
    <n v="0"/>
    <n v="0"/>
    <n v="0"/>
    <n v="0"/>
    <n v="0"/>
    <n v="0"/>
    <n v="-96"/>
    <n v="-132"/>
    <n v="-49.5"/>
    <n v="-174"/>
    <n v="-82.5"/>
  </r>
  <r>
    <x v="11"/>
    <x v="5"/>
    <x v="0"/>
    <s v="6158106"/>
    <n v="721020"/>
    <s v="Endomechanical Supplies &amp; Instruments"/>
    <s v="Central Stores"/>
    <x v="0"/>
    <n v="1003"/>
    <n v="210.95"/>
    <n v="0"/>
    <n v="0"/>
    <n v="-10.95"/>
    <n v="294.52999999999997"/>
    <n v="0"/>
    <n v="0"/>
    <n v="0"/>
    <n v="0"/>
    <n v="161.33000000000001"/>
    <n v="0"/>
    <n v="0"/>
    <n v="655.86"/>
    <n v="0"/>
  </r>
  <r>
    <x v="11"/>
    <x v="5"/>
    <x v="0"/>
    <s v="6158106"/>
    <n v="721020"/>
    <s v="Urological Supplies"/>
    <s v="Central Stores"/>
    <x v="0"/>
    <n v="1006"/>
    <n v="63.36"/>
    <n v="0"/>
    <n v="0"/>
    <n v="-40.799999999999997"/>
    <n v="0"/>
    <n v="-43.2"/>
    <n v="190.08"/>
    <n v="0"/>
    <n v="43.2"/>
    <n v="1.21"/>
    <n v="2.87"/>
    <n v="0"/>
    <n v="216.72"/>
    <n v="2.87"/>
  </r>
  <r>
    <x v="11"/>
    <x v="5"/>
    <x v="0"/>
    <s v="6158106"/>
    <n v="721020"/>
    <s v="Tubes Drains &amp; Related Supplies"/>
    <s v="Central Stores"/>
    <x v="0"/>
    <n v="1008"/>
    <n v="3.9"/>
    <n v="4.4000000000000004"/>
    <n v="0"/>
    <n v="0"/>
    <n v="39"/>
    <n v="0"/>
    <n v="-5.92"/>
    <n v="0"/>
    <n v="-455.1"/>
    <n v="117.99"/>
    <n v="0"/>
    <n v="-4.4000000000000004"/>
    <n v="-300.13"/>
    <n v="4.4000000000000004"/>
  </r>
  <r>
    <x v="11"/>
    <x v="5"/>
    <x v="0"/>
    <s v="6158106"/>
    <n v="721050"/>
    <s v="Supplies-Cardiac Rhythm - Billable"/>
    <s v="Central Stores"/>
    <x v="0"/>
    <m/>
    <n v="-312.5"/>
    <n v="0"/>
    <n v="1110.18"/>
    <n v="82.5"/>
    <n v="0"/>
    <n v="114.13"/>
    <n v="825"/>
    <n v="0"/>
    <n v="0"/>
    <n v="0"/>
    <n v="0"/>
    <n v="0"/>
    <n v="1819.31"/>
    <n v="0"/>
  </r>
  <r>
    <x v="11"/>
    <x v="5"/>
    <x v="0"/>
    <s v="6158106"/>
    <n v="721050"/>
    <s v="Pacemakers - Internal"/>
    <s v="Central Stores"/>
    <x v="0"/>
    <n v="1000"/>
    <n v="0"/>
    <n v="895"/>
    <n v="0"/>
    <n v="0"/>
    <n v="0"/>
    <n v="272.25"/>
    <n v="0"/>
    <n v="0"/>
    <n v="0"/>
    <n v="0"/>
    <n v="0"/>
    <n v="0"/>
    <n v="1167.25"/>
    <n v="0"/>
  </r>
  <r>
    <x v="11"/>
    <x v="5"/>
    <x v="0"/>
    <s v="6158106"/>
    <n v="721150"/>
    <s v="Supplies-Other Implants - Billable"/>
    <s v="Central Stores"/>
    <x v="0"/>
    <m/>
    <n v="0"/>
    <n v="0"/>
    <n v="0"/>
    <n v="0"/>
    <n v="0"/>
    <n v="0"/>
    <n v="0"/>
    <n v="-290"/>
    <n v="-145"/>
    <n v="0"/>
    <n v="0"/>
    <n v="0"/>
    <n v="-435"/>
    <n v="0"/>
  </r>
  <r>
    <x v="11"/>
    <x v="5"/>
    <x v="0"/>
    <s v="6158106"/>
    <n v="721150"/>
    <s v="Fracture Management"/>
    <s v="Central Stores"/>
    <x v="0"/>
    <n v="1001"/>
    <n v="0"/>
    <n v="0"/>
    <n v="0"/>
    <n v="0"/>
    <n v="0"/>
    <n v="0"/>
    <n v="0"/>
    <n v="0"/>
    <n v="1859.15"/>
    <n v="0"/>
    <n v="0"/>
    <n v="0"/>
    <n v="1859.15"/>
    <n v="0"/>
  </r>
  <r>
    <x v="11"/>
    <x v="5"/>
    <x v="0"/>
    <s v="6158106"/>
    <n v="721240"/>
    <s v="Supplies-IV Solutions/Supplies - Billable"/>
    <s v="Central Stores"/>
    <x v="0"/>
    <m/>
    <n v="-1239.79"/>
    <n v="698.64"/>
    <n v="368.63"/>
    <n v="-179"/>
    <n v="1245.56"/>
    <n v="-1694.77"/>
    <n v="409.77"/>
    <n v="-42.71"/>
    <n v="1872.16"/>
    <n v="-6174.28"/>
    <n v="-227.63"/>
    <n v="2215.2800000000002"/>
    <n v="-2748.14"/>
    <n v="-2442.9100000000003"/>
  </r>
  <r>
    <x v="11"/>
    <x v="5"/>
    <x v="0"/>
    <s v="6158106"/>
    <n v="721410"/>
    <s v="Supplies-Medical - Nonbillable"/>
    <s v="Central Stores"/>
    <x v="0"/>
    <m/>
    <n v="-4451.6400000000003"/>
    <n v="-1173"/>
    <n v="6380.61"/>
    <n v="3178.39"/>
    <n v="463.99"/>
    <n v="-1777.62"/>
    <n v="-406.46"/>
    <n v="2042.09"/>
    <n v="461.26"/>
    <n v="3.89"/>
    <n v="-5455.51"/>
    <n v="2114.11"/>
    <n v="1380.1100000000001"/>
    <n v="-7569.6200000000008"/>
  </r>
  <r>
    <x v="11"/>
    <x v="5"/>
    <x v="0"/>
    <s v="6158106"/>
    <n v="721420"/>
    <s v="Supplies-Surgical Nonbillable"/>
    <s v="Central Stores"/>
    <x v="0"/>
    <m/>
    <n v="-1493.95"/>
    <n v="449.02"/>
    <n v="-383.54"/>
    <n v="-432.83"/>
    <n v="-65.94"/>
    <n v="-189.96"/>
    <n v="321.2"/>
    <n v="192.81"/>
    <n v="206.61"/>
    <n v="-2544.1999999999998"/>
    <n v="-1533.47"/>
    <n v="-180.41"/>
    <n v="-5654.66"/>
    <n v="-1353.06"/>
  </r>
  <r>
    <x v="11"/>
    <x v="5"/>
    <x v="0"/>
    <s v="6158106"/>
    <n v="721420"/>
    <s v="Tubes Drains &amp; Related Supplies"/>
    <s v="Central Stores"/>
    <x v="0"/>
    <n v="1008"/>
    <n v="12.38"/>
    <n v="4.13"/>
    <n v="0"/>
    <n v="0"/>
    <n v="214.09"/>
    <n v="-57.49"/>
    <n v="0"/>
    <n v="177.74"/>
    <n v="-52.84"/>
    <n v="-299.86"/>
    <n v="0"/>
    <n v="451.61"/>
    <n v="449.76"/>
    <n v="-451.61"/>
  </r>
  <r>
    <x v="11"/>
    <x v="5"/>
    <x v="0"/>
    <s v="6158106"/>
    <n v="721420"/>
    <s v="Sterilization Process Products"/>
    <s v="Central Stores"/>
    <x v="0"/>
    <n v="1009"/>
    <n v="-75.77"/>
    <n v="1259.1199999999999"/>
    <n v="18.02"/>
    <n v="395.56"/>
    <n v="-76.900000000000006"/>
    <n v="-32553.96"/>
    <n v="-18085.53"/>
    <n v="-3533.1"/>
    <n v="249.32"/>
    <n v="-2678.06"/>
    <n v="2397.9299999999998"/>
    <n v="-7422.48"/>
    <n v="-60105.849999999991"/>
    <n v="9820.41"/>
  </r>
  <r>
    <x v="11"/>
    <x v="5"/>
    <x v="0"/>
    <s v="6158106"/>
    <n v="721610"/>
    <s v="Supplies-Anesthesia - Nonbillable"/>
    <s v="Central Stores"/>
    <x v="0"/>
    <m/>
    <n v="1328.57"/>
    <n v="4020.63"/>
    <n v="-1781.35"/>
    <n v="-132.79"/>
    <n v="241.56"/>
    <n v="-488.59"/>
    <n v="212.68"/>
    <n v="2180.6999999999998"/>
    <n v="-258.25"/>
    <n v="-422.99"/>
    <n v="62.61"/>
    <n v="17.489999999999998"/>
    <n v="4980.2699999999995"/>
    <n v="45.120000000000005"/>
  </r>
  <r>
    <x v="11"/>
    <x v="5"/>
    <x v="0"/>
    <s v="6158106"/>
    <n v="721640"/>
    <s v="Supplies-IV Solutions/Supplies - Nonbillable"/>
    <s v="Central Stores"/>
    <x v="0"/>
    <m/>
    <n v="838.87"/>
    <n v="-239.57"/>
    <n v="-12.57"/>
    <n v="-559.17999999999995"/>
    <n v="-2547.25"/>
    <n v="1287"/>
    <n v="1196.74"/>
    <n v="-287.76"/>
    <n v="260.7"/>
    <n v="-284.14999999999998"/>
    <n v="574.54999999999995"/>
    <n v="695.58"/>
    <n v="922.96000000000026"/>
    <n v="-121.03000000000009"/>
  </r>
  <r>
    <x v="11"/>
    <x v="5"/>
    <x v="0"/>
    <s v="6158106"/>
    <n v="721650"/>
    <s v="Supplies-Pharmacy Drugs - Nonbillable"/>
    <s v="Central Stores"/>
    <x v="0"/>
    <m/>
    <n v="0"/>
    <n v="0"/>
    <n v="0"/>
    <n v="0"/>
    <n v="0"/>
    <n v="-38.880000000000003"/>
    <n v="0"/>
    <n v="0"/>
    <n v="-31.52"/>
    <n v="19.440000000000001"/>
    <n v="-7.25"/>
    <n v="28.95"/>
    <n v="-29.260000000000009"/>
    <n v="-36.200000000000003"/>
  </r>
  <r>
    <x v="11"/>
    <x v="5"/>
    <x v="0"/>
    <s v="6158106"/>
    <n v="721710"/>
    <s v="Supplies-Laboratory - Nonbillable"/>
    <s v="Central Stores"/>
    <x v="0"/>
    <m/>
    <n v="973.01"/>
    <n v="-6.97"/>
    <n v="-63.07"/>
    <n v="-810.63"/>
    <n v="470.36"/>
    <n v="8.08"/>
    <n v="98.6"/>
    <n v="185.76"/>
    <n v="62.5"/>
    <n v="-2777.71"/>
    <n v="1033.49"/>
    <n v="-98.39"/>
    <n v="-924.97000000000014"/>
    <n v="1131.8800000000001"/>
  </r>
  <r>
    <x v="11"/>
    <x v="5"/>
    <x v="0"/>
    <s v="6158106"/>
    <n v="721710"/>
    <s v="Reagents"/>
    <s v="Central Stores"/>
    <x v="0"/>
    <n v="1000"/>
    <n v="0"/>
    <n v="0"/>
    <n v="0"/>
    <n v="0"/>
    <n v="0"/>
    <n v="412.5"/>
    <n v="-35.92"/>
    <n v="0"/>
    <n v="0"/>
    <n v="0"/>
    <n v="0"/>
    <n v="0"/>
    <n v="376.58"/>
    <n v="0"/>
  </r>
  <r>
    <x v="11"/>
    <x v="5"/>
    <x v="0"/>
    <s v="6158106"/>
    <n v="721750"/>
    <s v="Supplies-Film/Radiographic - Nonbillable"/>
    <s v="Central Stores"/>
    <x v="0"/>
    <m/>
    <n v="0"/>
    <n v="0"/>
    <n v="0"/>
    <n v="-70.87"/>
    <n v="0"/>
    <n v="0"/>
    <n v="-283.48"/>
    <n v="606.46"/>
    <n v="0"/>
    <n v="444.97"/>
    <n v="325.31"/>
    <n v="0"/>
    <n v="1022.3900000000001"/>
    <n v="325.31"/>
  </r>
  <r>
    <x v="11"/>
    <x v="5"/>
    <x v="0"/>
    <s v="6158106"/>
    <n v="721810"/>
    <s v="Supplies-Dietary/Cafeteria"/>
    <s v="Central Stores"/>
    <x v="0"/>
    <m/>
    <n v="15.36"/>
    <n v="12.15"/>
    <n v="69.09"/>
    <n v="279.75"/>
    <n v="2.2999999999999998"/>
    <n v="-97.9"/>
    <n v="-56.47"/>
    <n v="31.71"/>
    <n v="49.97"/>
    <n v="211.17"/>
    <n v="22.32"/>
    <n v="-175.01"/>
    <n v="364.44000000000005"/>
    <n v="197.32999999999998"/>
  </r>
  <r>
    <x v="11"/>
    <x v="5"/>
    <x v="0"/>
    <s v="6158106"/>
    <n v="721830"/>
    <s v="Supplies-Office"/>
    <s v="Central Stores"/>
    <x v="0"/>
    <m/>
    <n v="291.92"/>
    <n v="-262.2"/>
    <n v="591.6"/>
    <n v="-573.03"/>
    <n v="-37.049999999999997"/>
    <n v="103.44"/>
    <n v="-26.87"/>
    <n v="-17.690000000000001"/>
    <n v="0"/>
    <n v="376.69"/>
    <n v="262.02"/>
    <n v="16.399999999999999"/>
    <n v="725.23"/>
    <n v="245.61999999999998"/>
  </r>
  <r>
    <x v="11"/>
    <x v="5"/>
    <x v="0"/>
    <s v="6158106"/>
    <n v="721870"/>
    <s v="Supplies-Environmental Services"/>
    <s v="Central Stores"/>
    <x v="0"/>
    <m/>
    <n v="-128.9"/>
    <n v="94.22"/>
    <n v="-38.700000000000003"/>
    <n v="-23.64"/>
    <n v="-763.97"/>
    <n v="11.26"/>
    <n v="79.489999999999995"/>
    <n v="1.1200000000000001"/>
    <n v="116.39"/>
    <n v="57.42"/>
    <n v="-129.84"/>
    <n v="-583.52"/>
    <n v="-1308.67"/>
    <n v="453.67999999999995"/>
  </r>
  <r>
    <x v="11"/>
    <x v="5"/>
    <x v="0"/>
    <s v="6158106"/>
    <n v="721880"/>
    <s v="Supplies-Linen"/>
    <s v="Central Stores"/>
    <x v="0"/>
    <m/>
    <n v="-118.08"/>
    <n v="7.85"/>
    <n v="0"/>
    <n v="0"/>
    <n v="0"/>
    <n v="4.51"/>
    <n v="0"/>
    <n v="33.340000000000003"/>
    <n v="0"/>
    <n v="-5.24"/>
    <n v="0"/>
    <n v="-118.4"/>
    <n v="-196.01999999999998"/>
    <n v="118.4"/>
  </r>
  <r>
    <x v="11"/>
    <x v="5"/>
    <x v="0"/>
    <s v="6158106"/>
    <n v="721910"/>
    <s v="Supplies-Small Equipment"/>
    <s v="Central Stores"/>
    <x v="0"/>
    <m/>
    <n v="-900.06"/>
    <n v="13.5"/>
    <n v="-22.4"/>
    <n v="-702.51"/>
    <n v="2727.05"/>
    <n v="-606.34"/>
    <n v="171.95"/>
    <n v="0"/>
    <n v="645.11"/>
    <n v="-163.76"/>
    <n v="-85.68"/>
    <n v="9.8000000000000007"/>
    <n v="1086.6600000000001"/>
    <n v="-95.48"/>
  </r>
  <r>
    <x v="11"/>
    <x v="5"/>
    <x v="0"/>
    <s v="6158106"/>
    <n v="721910"/>
    <s v="Instruments"/>
    <s v="Central Stores"/>
    <x v="0"/>
    <n v="1000"/>
    <n v="-195"/>
    <n v="0"/>
    <n v="0"/>
    <n v="-6.44"/>
    <n v="0"/>
    <n v="88.04"/>
    <n v="0"/>
    <n v="0"/>
    <n v="0"/>
    <n v="62.94"/>
    <n v="0"/>
    <n v="0"/>
    <n v="-50.459999999999994"/>
    <n v="0"/>
  </r>
  <r>
    <x v="11"/>
    <x v="5"/>
    <x v="0"/>
    <s v="6158106"/>
    <n v="721980"/>
    <s v="Supplies-Other"/>
    <s v="Central Stores"/>
    <x v="0"/>
    <m/>
    <n v="1257.1400000000001"/>
    <n v="2364.06"/>
    <n v="11.48"/>
    <n v="494.05"/>
    <n v="2960.12"/>
    <n v="5973.49"/>
    <n v="6225.55"/>
    <n v="1280.0999999999999"/>
    <n v="1372.08"/>
    <n v="5918.49"/>
    <n v="918.55"/>
    <n v="926.87"/>
    <n v="29701.979999999996"/>
    <n v="-8.32000000000005"/>
  </r>
  <r>
    <x v="11"/>
    <x v="5"/>
    <x v="0"/>
    <s v="6158106"/>
    <n v="722000"/>
    <s v="Supplies-Freight Expense"/>
    <s v="Central Stores"/>
    <x v="0"/>
    <m/>
    <n v="2322.2600000000002"/>
    <n v="2584.46"/>
    <n v="1944.84"/>
    <n v="3952.68"/>
    <n v="826.79"/>
    <n v="2523.94"/>
    <n v="3274.46"/>
    <n v="949.05"/>
    <n v="2531.9899999999998"/>
    <n v="1657.09"/>
    <n v="2380.8000000000002"/>
    <n v="9824.44"/>
    <n v="34772.800000000003"/>
    <n v="-7443.64"/>
  </r>
  <r>
    <x v="11"/>
    <x v="5"/>
    <x v="0"/>
    <s v="6158106"/>
    <n v="722000"/>
    <s v="Minimum Order Fees"/>
    <s v="Central Stores"/>
    <x v="0"/>
    <n v="1000"/>
    <n v="0"/>
    <n v="0"/>
    <n v="0"/>
    <n v="22"/>
    <n v="0"/>
    <n v="0"/>
    <n v="0"/>
    <n v="0"/>
    <n v="0"/>
    <n v="0"/>
    <n v="0"/>
    <n v="0"/>
    <n v="22"/>
    <n v="0"/>
  </r>
  <r>
    <x v="11"/>
    <x v="5"/>
    <x v="0"/>
    <s v="6158106"/>
    <n v="722000"/>
    <s v="Rush Order Fees"/>
    <s v="Central Stores"/>
    <x v="0"/>
    <n v="1005"/>
    <n v="0"/>
    <n v="82.5"/>
    <n v="0"/>
    <n v="0"/>
    <n v="0"/>
    <n v="0"/>
    <n v="0"/>
    <n v="0"/>
    <n v="0"/>
    <n v="0"/>
    <n v="0"/>
    <n v="0"/>
    <n v="82.5"/>
    <n v="0"/>
  </r>
  <r>
    <x v="11"/>
    <x v="5"/>
    <x v="0"/>
    <s v="6158106"/>
    <n v="722010"/>
    <s v="Supplies-Distribution Fees"/>
    <s v="Central Stores"/>
    <x v="0"/>
    <m/>
    <n v="0"/>
    <n v="0"/>
    <n v="0"/>
    <n v="4409.88"/>
    <n v="0"/>
    <n v="0"/>
    <n v="0"/>
    <n v="0"/>
    <n v="0"/>
    <n v="0"/>
    <n v="0"/>
    <n v="0"/>
    <n v="4409.88"/>
    <n v="0"/>
  </r>
  <r>
    <x v="11"/>
    <x v="5"/>
    <x v="0"/>
    <s v="6158106"/>
    <n v="722010"/>
    <s v="Standard Distribution Fees"/>
    <s v="Central Stores"/>
    <x v="0"/>
    <n v="1000"/>
    <n v="4611.97"/>
    <n v="0"/>
    <n v="4250.0600000000004"/>
    <n v="5253.08"/>
    <n v="3944.13"/>
    <n v="8007.63"/>
    <n v="0"/>
    <n v="4154.24"/>
    <n v="5176.1499999999996"/>
    <n v="4491.59"/>
    <n v="4876.54"/>
    <n v="4503.05"/>
    <n v="49268.44000000001"/>
    <n v="373.48999999999978"/>
  </r>
  <r>
    <x v="11"/>
    <x v="5"/>
    <x v="0"/>
    <s v="6158106"/>
    <n v="723000"/>
    <s v="Supply Rebates/Patronage Dividend"/>
    <s v="Central Stores"/>
    <x v="0"/>
    <m/>
    <n v="0"/>
    <n v="0"/>
    <n v="-103792.2"/>
    <n v="0"/>
    <n v="0"/>
    <n v="-159597.20000000001"/>
    <n v="0"/>
    <n v="0"/>
    <n v="-104389.8"/>
    <n v="0"/>
    <n v="0"/>
    <n v="-160933.29"/>
    <n v="-528712.49"/>
    <n v="160933.29"/>
  </r>
  <r>
    <x v="11"/>
    <x v="5"/>
    <x v="0"/>
    <s v="6158106"/>
    <n v="723001"/>
    <s v="Inventory Adjustments *"/>
    <s v="Central Stores"/>
    <x v="0"/>
    <m/>
    <n v="27.09"/>
    <n v="0"/>
    <n v="0"/>
    <n v="0"/>
    <n v="-9279.7800000000007"/>
    <n v="0"/>
    <n v="0"/>
    <n v="0"/>
    <n v="-18.829999999999998"/>
    <n v="3084.02"/>
    <n v="-383.92"/>
    <n v="-2137.0300000000002"/>
    <n v="-8708.4500000000007"/>
    <n v="1753.1100000000001"/>
  </r>
  <r>
    <x v="11"/>
    <x v="5"/>
    <x v="0"/>
    <s v="6158106"/>
    <n v="723002"/>
    <s v="Physical Inventory Variance *"/>
    <s v="Central Stores"/>
    <x v="0"/>
    <m/>
    <n v="2252.81"/>
    <n v="-4539.66"/>
    <n v="-4357.66"/>
    <n v="-1756.76"/>
    <n v="0"/>
    <n v="6321.94"/>
    <n v="0"/>
    <n v="0"/>
    <n v="-260.02999999999997"/>
    <n v="388.78"/>
    <n v="4858.71"/>
    <n v="14.69"/>
    <n v="2922.8199999999993"/>
    <n v="4844.0200000000004"/>
  </r>
  <r>
    <x v="11"/>
    <x v="5"/>
    <x v="0"/>
    <s v="6158106"/>
    <n v="724000"/>
    <s v="Item Cost Variance Suspense *"/>
    <s v="Central Stores"/>
    <x v="0"/>
    <m/>
    <n v="-451.6"/>
    <n v="-1095.07"/>
    <n v="4613.18"/>
    <n v="-2650.65"/>
    <n v="-137.19"/>
    <n v="-2691.15"/>
    <n v="-3969.75"/>
    <n v="-1395.21"/>
    <n v="2732.4"/>
    <n v="-4890.7700000000004"/>
    <n v="-2185.81"/>
    <n v="-3318.18"/>
    <n v="-15439.8"/>
    <n v="1132.3699999999999"/>
  </r>
  <r>
    <x v="11"/>
    <x v="5"/>
    <x v="0"/>
    <s v="6158106"/>
    <n v="724001"/>
    <s v="Tolerance Offset *"/>
    <s v="Central Stores"/>
    <x v="0"/>
    <m/>
    <n v="-0.09"/>
    <n v="4.9400000000000004"/>
    <n v="-0.01"/>
    <n v="5"/>
    <n v="-7.0000000000000007E-2"/>
    <n v="-0.03"/>
    <n v="5.98"/>
    <n v="-0.02"/>
    <n v="-0.02"/>
    <n v="-0.01"/>
    <n v="-0.04"/>
    <n v="-0.02"/>
    <n v="15.610000000000003"/>
    <n v="-0.02"/>
  </r>
  <r>
    <x v="11"/>
    <x v="5"/>
    <x v="0"/>
    <s v="6158106"/>
    <n v="724002"/>
    <s v="Match Write Off *"/>
    <s v="Central Stores"/>
    <x v="0"/>
    <m/>
    <n v="0"/>
    <n v="0"/>
    <n v="0"/>
    <n v="-15676.55"/>
    <n v="0"/>
    <n v="0"/>
    <n v="0"/>
    <n v="-244.77"/>
    <n v="-1381.85"/>
    <n v="0"/>
    <n v="0"/>
    <n v="-287.35000000000002"/>
    <n v="-17590.519999999997"/>
    <n v="287.35000000000002"/>
  </r>
  <r>
    <x v="11"/>
    <x v="5"/>
    <x v="0"/>
    <s v="6158106"/>
    <n v="724005"/>
    <s v="Return Suspense *"/>
    <s v="Central Stores"/>
    <x v="0"/>
    <m/>
    <n v="-27.09"/>
    <n v="0"/>
    <n v="0"/>
    <n v="0"/>
    <n v="755.95"/>
    <n v="0"/>
    <n v="243.75"/>
    <n v="0"/>
    <n v="0"/>
    <n v="145.24"/>
    <n v="2226.83"/>
    <n v="3021.87"/>
    <n v="6366.5499999999993"/>
    <n v="-795.04"/>
  </r>
  <r>
    <x v="12"/>
    <x v="5"/>
    <x v="0"/>
    <s v="6158106"/>
    <n v="730020"/>
    <s v="Rental and Leases-Copier Usage Fees (DO NOT USE)"/>
    <s v="Central Stores"/>
    <x v="0"/>
    <n v="5100"/>
    <n v="403.52"/>
    <n v="411.88"/>
    <n v="407.7"/>
    <n v="407.7"/>
    <n v="407.7"/>
    <n v="407.7"/>
    <n v="162.94"/>
    <n v="366.66"/>
    <n v="365.89"/>
    <n v="440.79"/>
    <n v="366.66"/>
    <n v="440.93"/>
    <n v="4590.07"/>
    <n v="-74.269999999999982"/>
  </r>
  <r>
    <x v="16"/>
    <x v="5"/>
    <x v="0"/>
    <s v="6158106"/>
    <n v="732030"/>
    <s v="Repairs---Other"/>
    <s v="Central Stores"/>
    <x v="0"/>
    <m/>
    <n v="0"/>
    <n v="0"/>
    <n v="0"/>
    <n v="0"/>
    <n v="0"/>
    <n v="0"/>
    <n v="394.9"/>
    <n v="0"/>
    <n v="0"/>
    <n v="0"/>
    <n v="0"/>
    <n v="0"/>
    <n v="394.9"/>
    <n v="0"/>
  </r>
  <r>
    <x v="13"/>
    <x v="5"/>
    <x v="0"/>
    <s v="6158106"/>
    <n v="735040"/>
    <s v="Depreciation-Building Improvements"/>
    <s v="Central Stores"/>
    <x v="0"/>
    <m/>
    <n v="170.57"/>
    <n v="170.56"/>
    <n v="170.57"/>
    <n v="170.56"/>
    <n v="170.57"/>
    <n v="170.56"/>
    <n v="170.57"/>
    <n v="0"/>
    <n v="0"/>
    <n v="0"/>
    <n v="0"/>
    <n v="0"/>
    <n v="1193.9599999999998"/>
    <n v="0"/>
  </r>
  <r>
    <x v="13"/>
    <x v="5"/>
    <x v="0"/>
    <s v="6158106"/>
    <n v="735060"/>
    <s v="Depreciation-Fixed Equipment"/>
    <s v="Central Stores"/>
    <x v="0"/>
    <m/>
    <n v="23.69"/>
    <n v="23.69"/>
    <n v="23.69"/>
    <n v="23.69"/>
    <n v="23.69"/>
    <n v="23.69"/>
    <n v="23.69"/>
    <n v="0"/>
    <n v="0"/>
    <n v="0"/>
    <n v="0"/>
    <n v="0"/>
    <n v="165.83"/>
    <n v="0"/>
  </r>
  <r>
    <x v="13"/>
    <x v="5"/>
    <x v="0"/>
    <s v="6158106"/>
    <n v="735070"/>
    <s v="Depreciation-Movable Equipment"/>
    <s v="Central Stores"/>
    <x v="0"/>
    <m/>
    <n v="1046.5899999999999"/>
    <n v="816.93"/>
    <n v="817.01"/>
    <n v="816.92"/>
    <n v="817.01"/>
    <n v="816.9"/>
    <n v="817.01"/>
    <n v="0"/>
    <n v="0"/>
    <n v="0"/>
    <n v="0"/>
    <n v="0"/>
    <n v="5948.37"/>
    <n v="0"/>
  </r>
  <r>
    <x v="0"/>
    <x v="5"/>
    <x v="0"/>
    <s v="6158106"/>
    <n v="740020"/>
    <s v="Education-Registration Fees"/>
    <s v="Central Stores"/>
    <x v="0"/>
    <m/>
    <n v="0"/>
    <n v="0"/>
    <n v="0"/>
    <n v="0"/>
    <n v="0"/>
    <n v="0"/>
    <n v="0"/>
    <n v="0"/>
    <n v="0"/>
    <n v="0"/>
    <n v="64"/>
    <n v="0"/>
    <n v="64"/>
    <n v="64"/>
  </r>
  <r>
    <x v="0"/>
    <x v="5"/>
    <x v="0"/>
    <s v="6158106"/>
    <n v="742030"/>
    <s v="Freight-Courier"/>
    <s v="Central Stores"/>
    <x v="0"/>
    <m/>
    <n v="0"/>
    <n v="0"/>
    <n v="96"/>
    <n v="0"/>
    <n v="0"/>
    <n v="0"/>
    <n v="0"/>
    <n v="68"/>
    <n v="0"/>
    <n v="0"/>
    <n v="0"/>
    <n v="0"/>
    <n v="164"/>
    <n v="0"/>
  </r>
  <r>
    <x v="0"/>
    <x v="5"/>
    <x v="0"/>
    <s v="6158106"/>
    <n v="742050"/>
    <s v="Freight-Purchases"/>
    <s v="Central Stores"/>
    <x v="0"/>
    <m/>
    <n v="0"/>
    <n v="0"/>
    <n v="0"/>
    <n v="0"/>
    <n v="0"/>
    <n v="0"/>
    <n v="0"/>
    <n v="0"/>
    <n v="0"/>
    <n v="0"/>
    <n v="30.72"/>
    <n v="0"/>
    <n v="30.72"/>
    <n v="30.72"/>
  </r>
  <r>
    <x v="0"/>
    <x v="5"/>
    <x v="0"/>
    <s v="6158106"/>
    <n v="743030"/>
    <s v="Subscriptions--Institutional"/>
    <s v="Central Stores"/>
    <x v="0"/>
    <m/>
    <n v="0"/>
    <n v="0"/>
    <n v="0"/>
    <n v="0"/>
    <n v="0"/>
    <n v="0"/>
    <n v="0"/>
    <n v="0"/>
    <n v="25650"/>
    <n v="0"/>
    <n v="7125"/>
    <n v="7125"/>
    <n v="39900"/>
    <n v="0"/>
  </r>
  <r>
    <x v="0"/>
    <x v="5"/>
    <x v="0"/>
    <s v="6158106"/>
    <n v="745010"/>
    <s v="Donations and Contributions"/>
    <s v="Central Stores"/>
    <x v="0"/>
    <m/>
    <n v="0"/>
    <n v="0"/>
    <n v="0"/>
    <n v="0"/>
    <n v="108.16"/>
    <n v="0"/>
    <n v="0"/>
    <n v="0"/>
    <n v="0"/>
    <n v="0"/>
    <n v="0"/>
    <n v="0"/>
    <n v="108.16"/>
    <n v="0"/>
  </r>
  <r>
    <x v="0"/>
    <x v="5"/>
    <x v="0"/>
    <s v="6158106"/>
    <n v="749510"/>
    <s v="Miscellaneous Expenses"/>
    <s v="Central Stores"/>
    <x v="0"/>
    <m/>
    <n v="0"/>
    <n v="0"/>
    <n v="0"/>
    <n v="0"/>
    <n v="0"/>
    <n v="0"/>
    <n v="0"/>
    <n v="1212.45"/>
    <n v="0"/>
    <n v="144.62"/>
    <n v="-64"/>
    <n v="0"/>
    <n v="1293.0700000000002"/>
    <n v="-64"/>
  </r>
  <r>
    <x v="5"/>
    <x v="6"/>
    <x v="0"/>
    <s v="6158107"/>
    <n v="700014"/>
    <s v="Salaries-Management-Productive"/>
    <s v="Central Stores"/>
    <x v="0"/>
    <m/>
    <n v="7156.29"/>
    <n v="5725.33"/>
    <n v="6741.14"/>
    <n v="6991.99"/>
    <n v="5502.9"/>
    <n v="5787.75"/>
    <n v="6437.94"/>
    <n v="6437.52"/>
    <n v="6508.87"/>
    <n v="6318.56"/>
    <n v="7031.47"/>
    <n v="6105.12"/>
    <n v="76744.87999999999"/>
    <n v="926.35000000000036"/>
  </r>
  <r>
    <x v="5"/>
    <x v="6"/>
    <x v="0"/>
    <s v="6158107"/>
    <n v="700018"/>
    <s v="Salaries-Supervisory-Productive"/>
    <s v="Central Stores"/>
    <x v="0"/>
    <m/>
    <n v="4187.8"/>
    <n v="4103.13"/>
    <n v="3622.11"/>
    <n v="4106.91"/>
    <n v="3788.45"/>
    <n v="2614.9299999999998"/>
    <n v="3333.11"/>
    <n v="3541.19"/>
    <n v="4136.3500000000004"/>
    <n v="3838.63"/>
    <n v="4195.8900000000003"/>
    <n v="3213.91"/>
    <n v="44682.41"/>
    <n v="981.98000000000047"/>
  </r>
  <r>
    <x v="5"/>
    <x v="6"/>
    <x v="0"/>
    <s v="6158107"/>
    <n v="700038"/>
    <s v="Salaries-Service/Support-Productive"/>
    <s v="Central Stores"/>
    <x v="0"/>
    <m/>
    <n v="66017.42"/>
    <n v="67532.52"/>
    <n v="65282.3"/>
    <n v="71320.14"/>
    <n v="70189.97"/>
    <n v="65546.490000000005"/>
    <n v="68948.61"/>
    <n v="56460.08"/>
    <n v="76888.100000000006"/>
    <n v="71632.09"/>
    <n v="70455.399999999994"/>
    <n v="70695.7"/>
    <n v="820968.81999999983"/>
    <n v="-240.30000000000291"/>
  </r>
  <r>
    <x v="5"/>
    <x v="6"/>
    <x v="0"/>
    <s v="6158107"/>
    <n v="700038"/>
    <s v="Salaries-Service/Support-OT"/>
    <s v="Central Stores"/>
    <x v="0"/>
    <n v="1000"/>
    <n v="2498.4"/>
    <n v="2062.25"/>
    <n v="4070.42"/>
    <n v="1764.93"/>
    <n v="3478.36"/>
    <n v="709.67"/>
    <n v="2995.61"/>
    <n v="1781.76"/>
    <n v="2304.14"/>
    <n v="1210.83"/>
    <n v="4125.26"/>
    <n v="511.5"/>
    <n v="27513.129999999997"/>
    <n v="3613.76"/>
  </r>
  <r>
    <x v="5"/>
    <x v="6"/>
    <x v="0"/>
    <s v="6158107"/>
    <n v="700038"/>
    <s v="Salaries-Service/Support-Other"/>
    <s v="Central Stores"/>
    <x v="0"/>
    <n v="2000"/>
    <n v="1195.58"/>
    <n v="1349.84"/>
    <n v="1228.32"/>
    <n v="1410.7"/>
    <n v="1223.3599999999999"/>
    <n v="1370.94"/>
    <n v="1444.01"/>
    <n v="1129.45"/>
    <n v="1368.85"/>
    <n v="1308.94"/>
    <n v="1244.05"/>
    <n v="1358.69"/>
    <n v="15632.730000000001"/>
    <n v="-114.6400000000001"/>
  </r>
  <r>
    <x v="5"/>
    <x v="6"/>
    <x v="0"/>
    <s v="6158107"/>
    <n v="700054"/>
    <s v="Salaries-Management-Non-productive"/>
    <s v="Central Stores"/>
    <x v="0"/>
    <m/>
    <n v="0"/>
    <n v="1431.29"/>
    <n v="184.71"/>
    <n v="323.2"/>
    <n v="1612.91"/>
    <n v="1565.49"/>
    <n v="926.78"/>
    <n v="213.82"/>
    <n v="855.16"/>
    <n v="807.69"/>
    <n v="332.57"/>
    <n v="1021.45"/>
    <n v="9275.07"/>
    <n v="-688.88000000000011"/>
  </r>
  <r>
    <x v="5"/>
    <x v="6"/>
    <x v="0"/>
    <s v="6158107"/>
    <n v="700054"/>
    <s v="Salaries-Management-NonProd-Other"/>
    <s v="Central Stores"/>
    <x v="0"/>
    <n v="2000"/>
    <n v="0"/>
    <n v="0"/>
    <n v="0"/>
    <n v="0"/>
    <n v="0"/>
    <n v="465.15"/>
    <n v="-465.15"/>
    <n v="0"/>
    <n v="0"/>
    <n v="0"/>
    <n v="0"/>
    <n v="0"/>
    <n v="0"/>
    <n v="0"/>
  </r>
  <r>
    <x v="5"/>
    <x v="6"/>
    <x v="0"/>
    <s v="6158107"/>
    <n v="700058"/>
    <s v="Salaries-Supervisory-Non-productive"/>
    <s v="Central Stores"/>
    <x v="0"/>
    <m/>
    <n v="198.08"/>
    <n v="282.95"/>
    <n v="622.54999999999995"/>
    <n v="456.32"/>
    <n v="668.58"/>
    <n v="1990.8"/>
    <n v="1279.82"/>
    <n v="624.91"/>
    <n v="476.16"/>
    <n v="624.91999999999996"/>
    <n v="416.62"/>
    <n v="1197.77"/>
    <n v="8839.48"/>
    <n v="-781.15"/>
  </r>
  <r>
    <x v="5"/>
    <x v="6"/>
    <x v="0"/>
    <s v="6158107"/>
    <n v="700078"/>
    <s v="Salaries-Service/Support-Non-productive"/>
    <s v="Central Stores"/>
    <x v="0"/>
    <m/>
    <n v="14863.95"/>
    <n v="10380.040000000001"/>
    <n v="7694.27"/>
    <n v="4986.71"/>
    <n v="3817.56"/>
    <n v="12658.05"/>
    <n v="11096.61"/>
    <n v="14966.85"/>
    <n v="2003.6"/>
    <n v="7216.77"/>
    <n v="10299.1"/>
    <n v="8481.7800000000007"/>
    <n v="108465.29000000002"/>
    <n v="1817.3199999999997"/>
  </r>
  <r>
    <x v="5"/>
    <x v="6"/>
    <x v="0"/>
    <s v="6158107"/>
    <n v="700078"/>
    <s v="Salaries-Service/Support-NonProd-Other"/>
    <s v="Central Stores"/>
    <x v="0"/>
    <n v="2000"/>
    <n v="117.16"/>
    <n v="-10.029999999999999"/>
    <n v="15.82"/>
    <n v="15.43"/>
    <n v="351.17"/>
    <n v="395.91"/>
    <n v="20.079999999999998"/>
    <n v="-702.34"/>
    <n v="16.98"/>
    <n v="4.6399999999999997"/>
    <n v="46.51"/>
    <n v="-10.02"/>
    <n v="261.31000000000006"/>
    <n v="56.53"/>
  </r>
  <r>
    <x v="5"/>
    <x v="6"/>
    <x v="0"/>
    <s v="6158107"/>
    <n v="700084"/>
    <s v="Accrued PTO"/>
    <s v="Central Stores"/>
    <x v="0"/>
    <m/>
    <n v="-3442.29"/>
    <n v="-527.66999999999996"/>
    <n v="666.98"/>
    <n v="7475.36"/>
    <n v="5067.92"/>
    <n v="-721.11"/>
    <n v="1295.51"/>
    <n v="-3005.64"/>
    <n v="5602.25"/>
    <n v="4594.12"/>
    <n v="1213.7"/>
    <n v="265.43"/>
    <n v="18484.560000000001"/>
    <n v="948.27"/>
  </r>
  <r>
    <x v="6"/>
    <x v="6"/>
    <x v="0"/>
    <s v="6158107"/>
    <n v="713010"/>
    <s v="Benefits-FICA/Medicare"/>
    <s v="Central Stores"/>
    <x v="0"/>
    <m/>
    <n v="7173.18"/>
    <n v="6923.59"/>
    <n v="6663.3"/>
    <n v="6788.7"/>
    <n v="6813.97"/>
    <n v="7823.11"/>
    <n v="7222.07"/>
    <n v="6319.3"/>
    <n v="7013.69"/>
    <n v="6871.77"/>
    <n v="7299.33"/>
    <n v="7200.16"/>
    <n v="84112.170000000013"/>
    <n v="99.170000000000073"/>
  </r>
  <r>
    <x v="6"/>
    <x v="6"/>
    <x v="0"/>
    <s v="6158107"/>
    <n v="713090"/>
    <s v="Benefits-Allocated Amounts"/>
    <s v="Central Stores"/>
    <x v="0"/>
    <m/>
    <n v="25954.92"/>
    <n v="21960.83"/>
    <n v="23540.880000000001"/>
    <n v="23817.63"/>
    <n v="27029.9"/>
    <n v="24835.11"/>
    <n v="26369.74"/>
    <n v="24653.599999999999"/>
    <n v="22500.240000000002"/>
    <n v="27559"/>
    <n v="26013.4"/>
    <n v="29602.42"/>
    <n v="303837.67"/>
    <n v="-3589.0199999999968"/>
  </r>
  <r>
    <x v="7"/>
    <x v="6"/>
    <x v="0"/>
    <s v="6158107"/>
    <n v="718050"/>
    <s v="Contract Svcs-Other"/>
    <s v="Central Stores"/>
    <x v="0"/>
    <m/>
    <n v="775.23"/>
    <n v="361.02"/>
    <n v="274.19"/>
    <n v="284.12"/>
    <n v="23948.91"/>
    <n v="8053.64"/>
    <n v="440.25"/>
    <n v="7884.74"/>
    <n v="-30223.53"/>
    <n v="454.98"/>
    <n v="151.66"/>
    <n v="75.83"/>
    <n v="12481.039999999999"/>
    <n v="75.83"/>
  </r>
  <r>
    <x v="11"/>
    <x v="6"/>
    <x v="0"/>
    <s v="6158107"/>
    <n v="721010"/>
    <s v="Supplies-Medical - Billable"/>
    <s v="Central Stores"/>
    <x v="0"/>
    <m/>
    <n v="-227.32"/>
    <n v="491.52"/>
    <n v="-368.76"/>
    <n v="-547.14"/>
    <n v="-1877.29"/>
    <n v="-7860.67"/>
    <n v="51.88"/>
    <n v="-720.57"/>
    <n v="-4249.42"/>
    <n v="-1006.61"/>
    <n v="99.95"/>
    <n v="2797.15"/>
    <n v="-13417.28"/>
    <n v="-2697.2000000000003"/>
  </r>
  <r>
    <x v="11"/>
    <x v="6"/>
    <x v="0"/>
    <s v="6158107"/>
    <n v="721010"/>
    <s v="Patient Monitoring"/>
    <s v="Central Stores"/>
    <x v="0"/>
    <n v="1000"/>
    <n v="0"/>
    <n v="0"/>
    <n v="849.42"/>
    <n v="10798.78"/>
    <n v="-344.22"/>
    <n v="0"/>
    <n v="-570.29999999999995"/>
    <n v="-883.67"/>
    <n v="-648.1"/>
    <n v="-140.52000000000001"/>
    <n v="-706.23"/>
    <n v="0"/>
    <n v="8355.1600000000017"/>
    <n v="-706.23"/>
  </r>
  <r>
    <x v="11"/>
    <x v="6"/>
    <x v="0"/>
    <s v="6158107"/>
    <n v="721020"/>
    <s v="Supplies-Surgical - Billable"/>
    <s v="Central Stores"/>
    <x v="0"/>
    <m/>
    <n v="5806.42"/>
    <n v="252.72"/>
    <n v="1040.03"/>
    <n v="1305.6099999999999"/>
    <n v="547.16999999999996"/>
    <n v="1604.09"/>
    <n v="2292"/>
    <n v="5304.78"/>
    <n v="-109.15"/>
    <n v="-1563.55"/>
    <n v="-6106.3"/>
    <n v="-2900.78"/>
    <n v="7473.0399999999991"/>
    <n v="-3205.52"/>
  </r>
  <r>
    <x v="11"/>
    <x v="6"/>
    <x v="0"/>
    <s v="6158107"/>
    <n v="721020"/>
    <s v="Custom Packs"/>
    <s v="Central Stores"/>
    <x v="0"/>
    <n v="1000"/>
    <n v="-3319.29"/>
    <n v="-2450.39"/>
    <n v="222.08"/>
    <n v="-644.62"/>
    <n v="0"/>
    <n v="-677.99"/>
    <n v="63.48"/>
    <n v="-1253.2"/>
    <n v="156.19999999999999"/>
    <n v="-2692.64"/>
    <n v="36.99"/>
    <n v="-1947.24"/>
    <n v="-12506.62"/>
    <n v="1984.23"/>
  </r>
  <r>
    <x v="11"/>
    <x v="6"/>
    <x v="0"/>
    <s v="6158107"/>
    <n v="721020"/>
    <s v="Suture/Wound Closure"/>
    <s v="Central Stores"/>
    <x v="0"/>
    <n v="1001"/>
    <n v="0"/>
    <n v="-188.8"/>
    <n v="0"/>
    <n v="0"/>
    <n v="0"/>
    <n v="0"/>
    <n v="0"/>
    <n v="0"/>
    <n v="0"/>
    <n v="-184.8"/>
    <n v="0"/>
    <n v="0"/>
    <n v="-373.6"/>
    <n v="0"/>
  </r>
  <r>
    <x v="11"/>
    <x v="6"/>
    <x v="0"/>
    <s v="6158107"/>
    <n v="721020"/>
    <s v="Endoscopy - Trocars &amp; Accessories"/>
    <s v="Central Stores"/>
    <x v="0"/>
    <n v="1002"/>
    <n v="0"/>
    <n v="0"/>
    <n v="0"/>
    <n v="0"/>
    <n v="0"/>
    <n v="0"/>
    <n v="0"/>
    <n v="0"/>
    <n v="0"/>
    <n v="-289.08"/>
    <n v="0"/>
    <n v="0"/>
    <n v="-289.08"/>
    <n v="0"/>
  </r>
  <r>
    <x v="11"/>
    <x v="6"/>
    <x v="0"/>
    <s v="6158107"/>
    <n v="721020"/>
    <s v="Endomechanical Supplies &amp; Instruments"/>
    <s v="Central Stores"/>
    <x v="0"/>
    <n v="1003"/>
    <n v="135.21"/>
    <n v="597.86"/>
    <n v="0"/>
    <n v="11.75"/>
    <n v="0"/>
    <n v="10.85"/>
    <n v="0"/>
    <n v="0"/>
    <n v="202.5"/>
    <n v="-277.68"/>
    <n v="0"/>
    <n v="-1467.98"/>
    <n v="-787.49"/>
    <n v="1467.98"/>
  </r>
  <r>
    <x v="11"/>
    <x v="6"/>
    <x v="0"/>
    <s v="6158107"/>
    <n v="721020"/>
    <s v="Bone Cement &amp; Supplies"/>
    <s v="Central Stores"/>
    <x v="0"/>
    <n v="1004"/>
    <n v="0"/>
    <n v="0"/>
    <n v="0"/>
    <n v="0"/>
    <n v="1948.84"/>
    <n v="0"/>
    <n v="0"/>
    <n v="0"/>
    <n v="0"/>
    <n v="0"/>
    <n v="0"/>
    <n v="0"/>
    <n v="1948.84"/>
    <n v="0"/>
  </r>
  <r>
    <x v="11"/>
    <x v="6"/>
    <x v="0"/>
    <s v="6158107"/>
    <n v="721020"/>
    <s v="Urological Supplies"/>
    <s v="Central Stores"/>
    <x v="0"/>
    <n v="1006"/>
    <n v="0"/>
    <n v="0"/>
    <n v="-435"/>
    <n v="0"/>
    <n v="0"/>
    <n v="0"/>
    <n v="0"/>
    <n v="0"/>
    <n v="0"/>
    <n v="0"/>
    <n v="0"/>
    <n v="0"/>
    <n v="-435"/>
    <n v="0"/>
  </r>
  <r>
    <x v="11"/>
    <x v="6"/>
    <x v="0"/>
    <s v="6158107"/>
    <n v="721050"/>
    <s v="Supplies-Cardiac Rhythm - Billable"/>
    <s v="Central Stores"/>
    <x v="0"/>
    <m/>
    <n v="316.32"/>
    <n v="1338.64"/>
    <n v="703.06"/>
    <n v="0"/>
    <n v="1.25"/>
    <n v="0"/>
    <n v="0"/>
    <n v="6785.25"/>
    <n v="526.04"/>
    <n v="-7372.85"/>
    <n v="0"/>
    <n v="169.25"/>
    <n v="2466.9600000000009"/>
    <n v="-169.25"/>
  </r>
  <r>
    <x v="11"/>
    <x v="6"/>
    <x v="0"/>
    <s v="6158107"/>
    <n v="721050"/>
    <s v="Pacemakers - Internal"/>
    <s v="Central Stores"/>
    <x v="0"/>
    <n v="1000"/>
    <n v="0"/>
    <n v="0"/>
    <n v="0"/>
    <n v="0"/>
    <n v="-144.5"/>
    <n v="0"/>
    <n v="0"/>
    <n v="0"/>
    <n v="0"/>
    <n v="0"/>
    <n v="0"/>
    <n v="491.4"/>
    <n v="346.9"/>
    <n v="-491.4"/>
  </r>
  <r>
    <x v="11"/>
    <x v="6"/>
    <x v="0"/>
    <s v="6158107"/>
    <n v="721050"/>
    <s v="Electrophysiology Products"/>
    <s v="Central Stores"/>
    <x v="0"/>
    <n v="1002"/>
    <n v="-12.36"/>
    <n v="-3.53"/>
    <n v="0"/>
    <n v="0"/>
    <n v="-31.45"/>
    <n v="0"/>
    <n v="0"/>
    <n v="0"/>
    <n v="0"/>
    <n v="211.15"/>
    <n v="-113.83"/>
    <n v="0"/>
    <n v="49.980000000000004"/>
    <n v="-113.83"/>
  </r>
  <r>
    <x v="11"/>
    <x v="6"/>
    <x v="0"/>
    <s v="6158107"/>
    <n v="721210"/>
    <s v="Supplies-Anesthesia - Billable"/>
    <s v="Central Stores"/>
    <x v="0"/>
    <m/>
    <n v="817.59"/>
    <n v="0"/>
    <n v="0"/>
    <n v="0"/>
    <n v="0"/>
    <n v="0"/>
    <n v="0"/>
    <n v="0"/>
    <n v="0"/>
    <n v="0"/>
    <n v="0"/>
    <n v="0"/>
    <n v="817.59"/>
    <n v="0"/>
  </r>
  <r>
    <x v="11"/>
    <x v="6"/>
    <x v="0"/>
    <s v="6158107"/>
    <n v="721240"/>
    <s v="Supplies-IV Solutions/Supplies - Billable"/>
    <s v="Central Stores"/>
    <x v="0"/>
    <m/>
    <n v="-2938.48"/>
    <n v="-3529.86"/>
    <n v="-578.9"/>
    <n v="-2945.97"/>
    <n v="-919.67"/>
    <n v="14487"/>
    <n v="-2654.84"/>
    <n v="-194.82"/>
    <n v="-1332.72"/>
    <n v="-2111.48"/>
    <n v="-573.1"/>
    <n v="-0.01"/>
    <n v="-3292.8499999999995"/>
    <n v="-573.09"/>
  </r>
  <r>
    <x v="11"/>
    <x v="6"/>
    <x v="0"/>
    <s v="6158107"/>
    <n v="721320"/>
    <s v="Supplies-Purchased Blood - Billable"/>
    <s v="Central Stores"/>
    <x v="0"/>
    <m/>
    <n v="0"/>
    <n v="0"/>
    <n v="0"/>
    <n v="0"/>
    <n v="0"/>
    <n v="0"/>
    <n v="-228.6"/>
    <n v="0"/>
    <n v="0"/>
    <n v="0"/>
    <n v="0"/>
    <n v="0"/>
    <n v="-228.6"/>
    <n v="0"/>
  </r>
  <r>
    <x v="11"/>
    <x v="6"/>
    <x v="0"/>
    <s v="6158107"/>
    <n v="721350"/>
    <s v="Radiology Imaging - Contrast Media"/>
    <s v="Central Stores"/>
    <x v="0"/>
    <n v="1000"/>
    <n v="42.36"/>
    <n v="0"/>
    <n v="0"/>
    <n v="0"/>
    <n v="0"/>
    <n v="0"/>
    <n v="0"/>
    <n v="0"/>
    <n v="0"/>
    <n v="0"/>
    <n v="0"/>
    <n v="0"/>
    <n v="42.36"/>
    <n v="0"/>
  </r>
  <r>
    <x v="11"/>
    <x v="6"/>
    <x v="0"/>
    <s v="6158107"/>
    <n v="721410"/>
    <s v="Supplies-Medical - Nonbillable"/>
    <s v="Central Stores"/>
    <x v="0"/>
    <m/>
    <n v="9097.9599999999991"/>
    <n v="-1979.18"/>
    <n v="-9833.5300000000007"/>
    <n v="24463.8"/>
    <n v="4966.6499999999996"/>
    <n v="-2160.6799999999998"/>
    <n v="11569.32"/>
    <n v="11950.7"/>
    <n v="20672.41"/>
    <n v="-33068.910000000003"/>
    <n v="59161.4"/>
    <n v="20273.560000000001"/>
    <n v="115113.5"/>
    <n v="38887.839999999997"/>
  </r>
  <r>
    <x v="11"/>
    <x v="6"/>
    <x v="0"/>
    <s v="6158107"/>
    <n v="721420"/>
    <s v="Supplies-Surgical Nonbillable"/>
    <s v="Central Stores"/>
    <x v="0"/>
    <m/>
    <n v="0"/>
    <n v="0"/>
    <n v="-560.88"/>
    <n v="-2631.16"/>
    <n v="-5181.49"/>
    <n v="-187.4"/>
    <n v="-311"/>
    <n v="-557.54999999999995"/>
    <n v="140.25"/>
    <n v="-34.71"/>
    <n v="2273.0100000000002"/>
    <n v="-845.75"/>
    <n v="-7896.6799999999967"/>
    <n v="3118.76"/>
  </r>
  <r>
    <x v="11"/>
    <x v="6"/>
    <x v="0"/>
    <s v="6158107"/>
    <n v="721420"/>
    <s v="Tubes Drains &amp; Related Supplies"/>
    <s v="Central Stores"/>
    <x v="0"/>
    <n v="1008"/>
    <n v="0"/>
    <n v="0"/>
    <n v="0"/>
    <n v="-370.14"/>
    <n v="0"/>
    <n v="0"/>
    <n v="-98.27"/>
    <n v="0"/>
    <n v="0"/>
    <n v="-547.27"/>
    <n v="-351.12"/>
    <n v="261.01"/>
    <n v="-1105.79"/>
    <n v="-612.13"/>
  </r>
  <r>
    <x v="11"/>
    <x v="6"/>
    <x v="0"/>
    <s v="6158107"/>
    <n v="721420"/>
    <s v="Sterilization Process Products"/>
    <s v="Central Stores"/>
    <x v="0"/>
    <n v="1009"/>
    <n v="0"/>
    <n v="0"/>
    <n v="0"/>
    <n v="0"/>
    <n v="0"/>
    <n v="-229.58"/>
    <n v="0"/>
    <n v="0"/>
    <n v="0"/>
    <n v="777.93"/>
    <n v="0"/>
    <n v="-30.03"/>
    <n v="518.31999999999994"/>
    <n v="30.03"/>
  </r>
  <r>
    <x v="11"/>
    <x v="6"/>
    <x v="0"/>
    <s v="6158107"/>
    <n v="721610"/>
    <s v="Supplies-Anesthesia - Nonbillable"/>
    <s v="Central Stores"/>
    <x v="0"/>
    <m/>
    <n v="-204.99"/>
    <n v="-287.08999999999997"/>
    <n v="-90.3"/>
    <n v="-335.83"/>
    <n v="-72.86"/>
    <n v="29.22"/>
    <n v="-5123.84"/>
    <n v="-1598.47"/>
    <n v="-814.32"/>
    <n v="-406.36"/>
    <n v="-19.5"/>
    <n v="0"/>
    <n v="-8924.340000000002"/>
    <n v="-19.5"/>
  </r>
  <r>
    <x v="11"/>
    <x v="6"/>
    <x v="0"/>
    <s v="6158107"/>
    <n v="721640"/>
    <s v="Supplies-IV Solutions/Supplies - Nonbillable"/>
    <s v="Central Stores"/>
    <x v="0"/>
    <m/>
    <n v="-780.82"/>
    <n v="-1400.21"/>
    <n v="0"/>
    <n v="0"/>
    <n v="-1998.69"/>
    <n v="-142.31"/>
    <n v="-244"/>
    <n v="0"/>
    <n v="41.1"/>
    <n v="0"/>
    <n v="0"/>
    <n v="-19401.13"/>
    <n v="-23926.06"/>
    <n v="19401.13"/>
  </r>
  <r>
    <x v="11"/>
    <x v="6"/>
    <x v="0"/>
    <s v="6158107"/>
    <n v="721650"/>
    <s v="Supplies-Pharmacy Drugs - Nonbillable"/>
    <s v="Central Stores"/>
    <x v="0"/>
    <m/>
    <n v="0"/>
    <n v="0"/>
    <n v="0"/>
    <n v="15.22"/>
    <n v="-665.94"/>
    <n v="-93.94"/>
    <n v="0"/>
    <n v="0"/>
    <n v="0"/>
    <n v="0"/>
    <n v="0"/>
    <n v="0"/>
    <n v="-744.66000000000008"/>
    <n v="0"/>
  </r>
  <r>
    <x v="11"/>
    <x v="6"/>
    <x v="0"/>
    <s v="6158107"/>
    <n v="721710"/>
    <s v="Supplies-Laboratory - Nonbillable"/>
    <s v="Central Stores"/>
    <x v="0"/>
    <m/>
    <n v="14.24"/>
    <n v="-421.02"/>
    <n v="-443.24"/>
    <n v="0"/>
    <n v="16.559999999999999"/>
    <n v="0"/>
    <n v="0"/>
    <n v="191.23"/>
    <n v="502.08"/>
    <n v="11.9"/>
    <n v="-200.41"/>
    <n v="-760"/>
    <n v="-1088.6600000000001"/>
    <n v="559.59"/>
  </r>
  <r>
    <x v="11"/>
    <x v="6"/>
    <x v="0"/>
    <s v="6158107"/>
    <n v="721710"/>
    <s v="Reagents"/>
    <s v="Central Stores"/>
    <x v="0"/>
    <n v="1000"/>
    <n v="0"/>
    <n v="0"/>
    <n v="0"/>
    <n v="0"/>
    <n v="0"/>
    <n v="0"/>
    <n v="0"/>
    <n v="0"/>
    <n v="0"/>
    <n v="0"/>
    <n v="120.1"/>
    <n v="0"/>
    <n v="120.1"/>
    <n v="120.1"/>
  </r>
  <r>
    <x v="11"/>
    <x v="6"/>
    <x v="0"/>
    <s v="6158107"/>
    <n v="721750"/>
    <s v="Supplies-Film/Radiographic - Nonbillable"/>
    <s v="Central Stores"/>
    <x v="0"/>
    <m/>
    <n v="0"/>
    <n v="0"/>
    <n v="0"/>
    <n v="0"/>
    <n v="0"/>
    <n v="0"/>
    <n v="-1219.32"/>
    <n v="0"/>
    <n v="0"/>
    <n v="0"/>
    <n v="0"/>
    <n v="0"/>
    <n v="-1219.32"/>
    <n v="0"/>
  </r>
  <r>
    <x v="11"/>
    <x v="6"/>
    <x v="0"/>
    <s v="6158107"/>
    <n v="721810"/>
    <s v="Supplies-Dietary/Cafeteria"/>
    <s v="Central Stores"/>
    <x v="0"/>
    <m/>
    <n v="211.32"/>
    <n v="59.98"/>
    <n v="0"/>
    <n v="-117.61"/>
    <n v="1100.47"/>
    <n v="-998.31"/>
    <n v="-156.66"/>
    <n v="-139.97999999999999"/>
    <n v="-121.5"/>
    <n v="-388.42"/>
    <n v="3"/>
    <n v="32.94"/>
    <n v="-514.76999999999975"/>
    <n v="-29.939999999999998"/>
  </r>
  <r>
    <x v="11"/>
    <x v="6"/>
    <x v="0"/>
    <s v="6158107"/>
    <n v="721830"/>
    <s v="Supplies-Office"/>
    <s v="Central Stores"/>
    <x v="0"/>
    <m/>
    <n v="415.5"/>
    <n v="476.13"/>
    <n v="226.82"/>
    <n v="499.65"/>
    <n v="756.97"/>
    <n v="159.4"/>
    <n v="530.08000000000004"/>
    <n v="342"/>
    <n v="605.19000000000005"/>
    <n v="150.46"/>
    <n v="222.19"/>
    <n v="113.19"/>
    <n v="4497.579999999999"/>
    <n v="109"/>
  </r>
  <r>
    <x v="11"/>
    <x v="6"/>
    <x v="0"/>
    <s v="6158107"/>
    <n v="721835"/>
    <s v="Supplies-Forms"/>
    <s v="Central Stores"/>
    <x v="0"/>
    <m/>
    <n v="0"/>
    <n v="0"/>
    <n v="0"/>
    <n v="0"/>
    <n v="6.47"/>
    <n v="0"/>
    <n v="0"/>
    <n v="0"/>
    <n v="44.2"/>
    <n v="0"/>
    <n v="0"/>
    <n v="0"/>
    <n v="50.67"/>
    <n v="0"/>
  </r>
  <r>
    <x v="11"/>
    <x v="6"/>
    <x v="0"/>
    <s v="6158107"/>
    <n v="721870"/>
    <s v="Supplies-Environmental Services"/>
    <s v="Central Stores"/>
    <x v="0"/>
    <m/>
    <n v="0"/>
    <n v="0"/>
    <n v="105.35"/>
    <n v="14.58"/>
    <n v="12.23"/>
    <n v="-224.93"/>
    <n v="-208.3"/>
    <n v="429.84"/>
    <n v="-264.02999999999997"/>
    <n v="0"/>
    <n v="153.41999999999999"/>
    <n v="92"/>
    <n v="110.15999999999994"/>
    <n v="61.419999999999987"/>
  </r>
  <r>
    <x v="11"/>
    <x v="6"/>
    <x v="0"/>
    <s v="6158107"/>
    <n v="721910"/>
    <s v="Supplies-Small Equipment"/>
    <s v="Central Stores"/>
    <x v="0"/>
    <m/>
    <n v="0"/>
    <n v="3396.39"/>
    <n v="0"/>
    <n v="-1060"/>
    <n v="-342.71"/>
    <n v="1672.41"/>
    <n v="13.9"/>
    <n v="-47.83"/>
    <n v="-90.91"/>
    <n v="10.01"/>
    <n v="32.4"/>
    <n v="-230.4"/>
    <n v="3353.2600000000007"/>
    <n v="262.8"/>
  </r>
  <r>
    <x v="11"/>
    <x v="6"/>
    <x v="0"/>
    <s v="6158107"/>
    <n v="721910"/>
    <s v="Instruments"/>
    <s v="Central Stores"/>
    <x v="0"/>
    <n v="1000"/>
    <n v="0"/>
    <n v="-1800"/>
    <n v="0"/>
    <n v="0"/>
    <n v="0"/>
    <n v="0"/>
    <n v="0"/>
    <n v="0"/>
    <n v="0"/>
    <n v="0"/>
    <n v="0"/>
    <n v="0"/>
    <n v="-1800"/>
    <n v="0"/>
  </r>
  <r>
    <x v="11"/>
    <x v="6"/>
    <x v="0"/>
    <s v="6158107"/>
    <n v="721980"/>
    <s v="Supplies-Other"/>
    <s v="Central Stores"/>
    <x v="0"/>
    <m/>
    <n v="5902.84"/>
    <n v="2761.17"/>
    <n v="1719.02"/>
    <n v="6436.72"/>
    <n v="4704.3999999999996"/>
    <n v="1144.8800000000001"/>
    <n v="287.86"/>
    <n v="620.65"/>
    <n v="881.72"/>
    <n v="472.08"/>
    <n v="0"/>
    <n v="723.4"/>
    <n v="25654.740000000009"/>
    <n v="-723.4"/>
  </r>
  <r>
    <x v="11"/>
    <x v="6"/>
    <x v="0"/>
    <s v="6158107"/>
    <n v="722000"/>
    <s v="Supplies-Freight Expense"/>
    <s v="Central Stores"/>
    <x v="0"/>
    <m/>
    <n v="6118.93"/>
    <n v="14389.51"/>
    <n v="13037.28"/>
    <n v="10064.209999999999"/>
    <n v="8821.57"/>
    <n v="12956.11"/>
    <n v="14975.76"/>
    <n v="5410.36"/>
    <n v="13432.4"/>
    <n v="9358.4500000000007"/>
    <n v="11179.15"/>
    <n v="26515.26"/>
    <n v="146258.99"/>
    <n v="-15336.109999999999"/>
  </r>
  <r>
    <x v="11"/>
    <x v="6"/>
    <x v="0"/>
    <s v="6158107"/>
    <n v="722000"/>
    <s v="Minimum Order Fees"/>
    <s v="Central Stores"/>
    <x v="0"/>
    <n v="1000"/>
    <n v="0"/>
    <n v="98.25"/>
    <n v="0"/>
    <n v="130"/>
    <n v="0"/>
    <n v="0"/>
    <n v="0"/>
    <n v="0"/>
    <n v="0"/>
    <n v="0"/>
    <n v="0"/>
    <n v="40"/>
    <n v="268.25"/>
    <n v="-40"/>
  </r>
  <r>
    <x v="11"/>
    <x v="6"/>
    <x v="0"/>
    <s v="6158107"/>
    <n v="722000"/>
    <s v="Rush Order Fees"/>
    <s v="Central Stores"/>
    <x v="0"/>
    <n v="1005"/>
    <n v="0"/>
    <n v="0"/>
    <n v="0"/>
    <n v="0"/>
    <n v="0"/>
    <n v="0"/>
    <n v="0"/>
    <n v="0"/>
    <n v="0"/>
    <n v="0"/>
    <n v="0"/>
    <n v="60"/>
    <n v="60"/>
    <n v="-60"/>
  </r>
  <r>
    <x v="11"/>
    <x v="6"/>
    <x v="0"/>
    <s v="6158107"/>
    <n v="722010"/>
    <s v="Supplies-Distribution Fees"/>
    <s v="Central Stores"/>
    <x v="0"/>
    <m/>
    <n v="0"/>
    <n v="0"/>
    <n v="0"/>
    <n v="875.2"/>
    <n v="0"/>
    <n v="0"/>
    <n v="0"/>
    <n v="0"/>
    <n v="0"/>
    <n v="0"/>
    <n v="0"/>
    <n v="0"/>
    <n v="875.2"/>
    <n v="0"/>
  </r>
  <r>
    <x v="11"/>
    <x v="6"/>
    <x v="0"/>
    <s v="6158107"/>
    <n v="722010"/>
    <s v="Standard Distribution Fees"/>
    <s v="Central Stores"/>
    <x v="0"/>
    <n v="1000"/>
    <n v="10628.33"/>
    <n v="9923.43"/>
    <n v="0"/>
    <n v="20101.72"/>
    <n v="9451.2900000000009"/>
    <n v="19527.68"/>
    <n v="0"/>
    <n v="10457.94"/>
    <n v="10315.83"/>
    <n v="10047.469999999999"/>
    <n v="11987.56"/>
    <n v="10746.3"/>
    <n v="123187.55000000002"/>
    <n v="1241.2600000000002"/>
  </r>
  <r>
    <x v="11"/>
    <x v="6"/>
    <x v="0"/>
    <s v="6158107"/>
    <n v="723000"/>
    <s v="Supply Rebates/Patronage Dividend"/>
    <s v="Central Stores"/>
    <x v="0"/>
    <m/>
    <n v="0"/>
    <n v="0"/>
    <n v="-353731.81"/>
    <n v="0"/>
    <n v="0"/>
    <n v="-429275.65"/>
    <n v="0"/>
    <n v="0"/>
    <n v="-396701.27"/>
    <n v="0"/>
    <n v="0"/>
    <n v="-502906.88"/>
    <n v="-1682615.6099999999"/>
    <n v="502906.88"/>
  </r>
  <r>
    <x v="11"/>
    <x v="6"/>
    <x v="0"/>
    <s v="6158107"/>
    <n v="723001"/>
    <s v="Inventory Adjustments *"/>
    <s v="Central Stores"/>
    <x v="0"/>
    <m/>
    <n v="-21967.360000000001"/>
    <n v="-6736.2"/>
    <n v="-14432.61"/>
    <n v="-9805.7900000000009"/>
    <n v="-8327.9500000000007"/>
    <n v="-6967.83"/>
    <n v="-19026.13"/>
    <n v="-9599.8799999999992"/>
    <n v="1238.22"/>
    <n v="-5780.35"/>
    <n v="-4861.67"/>
    <n v="4142.67"/>
    <n v="-102124.88000000002"/>
    <n v="-9004.34"/>
  </r>
  <r>
    <x v="11"/>
    <x v="6"/>
    <x v="0"/>
    <s v="6158107"/>
    <n v="723002"/>
    <s v="Physical Inventory Variance *"/>
    <s v="Central Stores"/>
    <x v="0"/>
    <m/>
    <n v="-5852.05"/>
    <n v="-7614.29"/>
    <n v="10935.33"/>
    <n v="-10284.06"/>
    <n v="86.15"/>
    <n v="5734.95"/>
    <n v="-116.01"/>
    <n v="-1669.46"/>
    <n v="-16259.67"/>
    <n v="-1646.33"/>
    <n v="-2089.21"/>
    <n v="-2006.14"/>
    <n v="-30780.79"/>
    <n v="-83.069999999999936"/>
  </r>
  <r>
    <x v="11"/>
    <x v="6"/>
    <x v="0"/>
    <s v="6158107"/>
    <n v="724000"/>
    <s v="Item Cost Variance Suspense *"/>
    <s v="Central Stores"/>
    <x v="0"/>
    <m/>
    <n v="-162.66999999999999"/>
    <n v="-3265.62"/>
    <n v="10892.8"/>
    <n v="-6379.59"/>
    <n v="-1935.09"/>
    <n v="-3831.27"/>
    <n v="552.49"/>
    <n v="-3063.79"/>
    <n v="16578.53"/>
    <n v="-6174.51"/>
    <n v="3818.44"/>
    <n v="2536.34"/>
    <n v="9566.0599999999977"/>
    <n v="1282.0999999999999"/>
  </r>
  <r>
    <x v="11"/>
    <x v="6"/>
    <x v="0"/>
    <s v="6158107"/>
    <n v="724001"/>
    <s v="Tolerance Offset *"/>
    <s v="Central Stores"/>
    <x v="0"/>
    <m/>
    <n v="0"/>
    <n v="0"/>
    <n v="0.31"/>
    <n v="-25.27"/>
    <n v="-592.55999999999995"/>
    <n v="0.02"/>
    <n v="0.06"/>
    <n v="0.02"/>
    <n v="-0.01"/>
    <n v="0.02"/>
    <n v="0.05"/>
    <n v="-0.03"/>
    <n v="-617.3900000000001"/>
    <n v="0.08"/>
  </r>
  <r>
    <x v="11"/>
    <x v="6"/>
    <x v="0"/>
    <s v="6158107"/>
    <n v="724002"/>
    <s v="Match Write Off *"/>
    <s v="Central Stores"/>
    <x v="0"/>
    <m/>
    <n v="0"/>
    <n v="0"/>
    <n v="-157.26"/>
    <n v="-66038.63"/>
    <n v="-965"/>
    <n v="-3760.39"/>
    <n v="-1137.44"/>
    <n v="-3157"/>
    <n v="-2887.96"/>
    <n v="0"/>
    <n v="230.75"/>
    <n v="-3896.71"/>
    <n v="-81769.640000000014"/>
    <n v="4127.46"/>
  </r>
  <r>
    <x v="11"/>
    <x v="6"/>
    <x v="0"/>
    <s v="6158107"/>
    <n v="724005"/>
    <s v="Return Suspense *"/>
    <s v="Central Stores"/>
    <x v="0"/>
    <m/>
    <n v="0"/>
    <n v="0"/>
    <n v="0"/>
    <n v="0"/>
    <n v="780.15"/>
    <n v="627.24"/>
    <n v="384.72"/>
    <n v="659.18"/>
    <n v="428.72"/>
    <n v="341.76"/>
    <n v="2158.0300000000002"/>
    <n v="6910.33"/>
    <n v="12290.130000000001"/>
    <n v="-4752.2999999999993"/>
  </r>
  <r>
    <x v="12"/>
    <x v="6"/>
    <x v="0"/>
    <s v="6158107"/>
    <n v="730020"/>
    <s v="Rental and Leases-Equipment (DO NOT USE)"/>
    <s v="Central Stores"/>
    <x v="0"/>
    <m/>
    <n v="14933.5"/>
    <n v="8267.08"/>
    <n v="6306.22"/>
    <n v="4455.4799999999996"/>
    <n v="0"/>
    <n v="0"/>
    <n v="76.06"/>
    <n v="0"/>
    <n v="38.03"/>
    <n v="0"/>
    <n v="76.06"/>
    <n v="38.03"/>
    <n v="34190.459999999992"/>
    <n v="38.03"/>
  </r>
  <r>
    <x v="12"/>
    <x v="6"/>
    <x v="0"/>
    <s v="6158107"/>
    <n v="730020"/>
    <s v="Rental and Leases-Copier Usage Fees (DO NOT USE)"/>
    <s v="Central Stores"/>
    <x v="0"/>
    <n v="5100"/>
    <n v="625.30999999999995"/>
    <n v="637.14"/>
    <n v="631.23"/>
    <n v="631.23"/>
    <n v="631.23"/>
    <n v="631.23"/>
    <n v="894.12"/>
    <n v="596.99"/>
    <n v="595.73"/>
    <n v="773.31"/>
    <n v="596.99"/>
    <n v="672.51"/>
    <n v="7917.0199999999986"/>
    <n v="-75.519999999999982"/>
  </r>
  <r>
    <x v="16"/>
    <x v="6"/>
    <x v="0"/>
    <s v="6158107"/>
    <n v="732020"/>
    <s v="Repairs--Clin Equip-Parts-Internal to CHI Programs"/>
    <s v="Central Stores"/>
    <x v="0"/>
    <m/>
    <n v="99.8"/>
    <n v="0"/>
    <n v="0"/>
    <n v="0"/>
    <n v="307.2"/>
    <n v="0"/>
    <n v="25.9"/>
    <n v="0"/>
    <n v="-404"/>
    <n v="155.36000000000001"/>
    <n v="0"/>
    <n v="0"/>
    <n v="184.26"/>
    <n v="0"/>
  </r>
  <r>
    <x v="16"/>
    <x v="6"/>
    <x v="0"/>
    <s v="6158107"/>
    <n v="732030"/>
    <s v="Repairs---Other"/>
    <s v="Central Stores"/>
    <x v="0"/>
    <m/>
    <n v="0"/>
    <n v="0"/>
    <n v="0"/>
    <n v="0"/>
    <n v="0"/>
    <n v="0"/>
    <n v="1415.71"/>
    <n v="61.31"/>
    <n v="0"/>
    <n v="61.31"/>
    <n v="61.31"/>
    <n v="383.14"/>
    <n v="1982.7799999999997"/>
    <n v="-321.83"/>
  </r>
  <r>
    <x v="16"/>
    <x v="6"/>
    <x v="0"/>
    <s v="6158107"/>
    <n v="732030"/>
    <s v="Vehicle Maintenance"/>
    <s v="Central Stores"/>
    <x v="0"/>
    <n v="1000"/>
    <n v="0"/>
    <n v="0"/>
    <n v="0"/>
    <n v="0"/>
    <n v="0"/>
    <n v="0"/>
    <n v="4.3499999999999996"/>
    <n v="0"/>
    <n v="0"/>
    <n v="0"/>
    <n v="0"/>
    <n v="0"/>
    <n v="4.3499999999999996"/>
    <n v="0"/>
  </r>
  <r>
    <x v="16"/>
    <x v="6"/>
    <x v="0"/>
    <s v="6158107"/>
    <n v="733030"/>
    <s v="Maintenance Contracts-Other"/>
    <s v="Central Stores"/>
    <x v="0"/>
    <m/>
    <n v="0"/>
    <n v="0"/>
    <n v="0"/>
    <n v="0"/>
    <n v="340.08"/>
    <n v="0"/>
    <n v="-255.06"/>
    <n v="0"/>
    <n v="0"/>
    <n v="0"/>
    <n v="255.06"/>
    <n v="0"/>
    <n v="340.08"/>
    <n v="255.06"/>
  </r>
  <r>
    <x v="13"/>
    <x v="6"/>
    <x v="0"/>
    <s v="6158107"/>
    <n v="735070"/>
    <s v="Depreciation-Movable Equipment"/>
    <s v="Central Stores"/>
    <x v="0"/>
    <m/>
    <n v="8769.94"/>
    <n v="8769.93"/>
    <n v="8769.94"/>
    <n v="8769.93"/>
    <n v="8769.94"/>
    <n v="8769.92"/>
    <n v="8769.94"/>
    <n v="8769.92"/>
    <n v="8769.94"/>
    <n v="8769.92"/>
    <n v="8769.94"/>
    <n v="8769.92"/>
    <n v="105239.18000000001"/>
    <n v="2.0000000000436557E-2"/>
  </r>
  <r>
    <x v="0"/>
    <x v="6"/>
    <x v="0"/>
    <s v="6158107"/>
    <n v="742010"/>
    <s v="Postage-Regular"/>
    <s v="Central Stores"/>
    <x v="0"/>
    <m/>
    <n v="0"/>
    <n v="0"/>
    <n v="887.58"/>
    <n v="92"/>
    <n v="48.49"/>
    <n v="29.91"/>
    <n v="230.22"/>
    <n v="226.66"/>
    <n v="888.61"/>
    <n v="246.32"/>
    <n v="182.41"/>
    <n v="117.74"/>
    <n v="2949.94"/>
    <n v="64.67"/>
  </r>
  <r>
    <x v="0"/>
    <x v="6"/>
    <x v="0"/>
    <s v="6158107"/>
    <n v="742050"/>
    <s v="Freight-Purchases"/>
    <s v="Central Stores"/>
    <x v="0"/>
    <m/>
    <n v="0"/>
    <n v="0"/>
    <n v="0"/>
    <n v="0"/>
    <n v="0"/>
    <n v="64.86"/>
    <n v="0"/>
    <n v="0"/>
    <n v="0"/>
    <n v="42.5"/>
    <n v="0"/>
    <n v="204.92"/>
    <n v="312.27999999999997"/>
    <n v="-204.92"/>
  </r>
  <r>
    <x v="0"/>
    <x v="6"/>
    <x v="0"/>
    <s v="6158107"/>
    <n v="743030"/>
    <s v="Subscriptions--Institutional"/>
    <s v="Central Stores"/>
    <x v="0"/>
    <m/>
    <n v="0"/>
    <n v="0"/>
    <n v="0"/>
    <n v="0"/>
    <n v="0"/>
    <n v="0"/>
    <n v="0"/>
    <n v="0"/>
    <n v="38437.5"/>
    <n v="0"/>
    <n v="7687.5"/>
    <n v="23062.5"/>
    <n v="69187.5"/>
    <n v="-15375"/>
  </r>
  <r>
    <x v="0"/>
    <x v="6"/>
    <x v="0"/>
    <s v="6158107"/>
    <n v="749510"/>
    <s v="Miscellaneous Expenses"/>
    <s v="Central Stores"/>
    <x v="0"/>
    <m/>
    <n v="0"/>
    <n v="0"/>
    <n v="0"/>
    <n v="102.11"/>
    <n v="-97.76"/>
    <n v="0"/>
    <n v="-4.3499999999999996"/>
    <n v="449.63"/>
    <n v="0"/>
    <n v="0"/>
    <n v="0"/>
    <n v="0"/>
    <n v="449.63"/>
    <n v="0"/>
  </r>
  <r>
    <x v="0"/>
    <x v="6"/>
    <x v="0"/>
    <s v="6158107"/>
    <n v="749530"/>
    <s v="Travel"/>
    <s v="Central Stores"/>
    <x v="0"/>
    <m/>
    <n v="0"/>
    <n v="26"/>
    <n v="0"/>
    <n v="0"/>
    <n v="15"/>
    <n v="0"/>
    <n v="0"/>
    <n v="20"/>
    <n v="0"/>
    <n v="35"/>
    <n v="0"/>
    <n v="0"/>
    <n v="96"/>
    <n v="0"/>
  </r>
  <r>
    <x v="0"/>
    <x v="6"/>
    <x v="0"/>
    <s v="6158107"/>
    <n v="749530"/>
    <s v="Mileage"/>
    <s v="Central Stores"/>
    <x v="0"/>
    <n v="1001"/>
    <n v="0"/>
    <n v="38.700000000000003"/>
    <n v="0"/>
    <n v="0"/>
    <n v="126.46"/>
    <n v="0"/>
    <n v="0"/>
    <n v="143.84"/>
    <n v="26.1"/>
    <n v="158.34"/>
    <n v="0"/>
    <n v="0"/>
    <n v="493.44000000000005"/>
    <n v="0"/>
  </r>
  <r>
    <x v="5"/>
    <x v="7"/>
    <x v="0"/>
    <s v="6158150"/>
    <n v="700014"/>
    <s v="Salaries-Management-Productive"/>
    <s v="Medical Supplies/CSR"/>
    <x v="0"/>
    <m/>
    <n v="7400.38"/>
    <n v="2997.7"/>
    <n v="9177.7900000000009"/>
    <n v="8371.59"/>
    <n v="8135.78"/>
    <n v="5098.7299999999996"/>
    <n v="7930.98"/>
    <n v="7088.72"/>
    <n v="8555.3799999999992"/>
    <n v="8147.71"/>
    <n v="8419.59"/>
    <n v="6980.24"/>
    <n v="88304.59"/>
    <n v="1439.3500000000004"/>
  </r>
  <r>
    <x v="5"/>
    <x v="7"/>
    <x v="0"/>
    <s v="6158150"/>
    <n v="700038"/>
    <s v="Salaries-Service/Support-Productive"/>
    <s v="Medical Supplies/CSR"/>
    <x v="0"/>
    <m/>
    <n v="12640.19"/>
    <n v="12746.99"/>
    <n v="13163.05"/>
    <n v="12435.74"/>
    <n v="16853.57"/>
    <n v="12650.47"/>
    <n v="14688.34"/>
    <n v="13208.52"/>
    <n v="14840.39"/>
    <n v="14416.63"/>
    <n v="13780.79"/>
    <n v="14239.16"/>
    <n v="165663.84"/>
    <n v="-458.36999999999898"/>
  </r>
  <r>
    <x v="5"/>
    <x v="7"/>
    <x v="0"/>
    <s v="6158150"/>
    <n v="700038"/>
    <s v="Salaries-Service/Support-OT"/>
    <s v="Medical Supplies/CSR"/>
    <x v="0"/>
    <n v="1000"/>
    <n v="9.75"/>
    <n v="34.21"/>
    <n v="5.71"/>
    <n v="59.91"/>
    <n v="-11.21"/>
    <n v="189.32"/>
    <n v="56.42"/>
    <n v="89.55"/>
    <n v="87.5"/>
    <n v="70.180000000000007"/>
    <n v="130.72"/>
    <n v="67.33"/>
    <n v="789.39000000000021"/>
    <n v="63.39"/>
  </r>
  <r>
    <x v="5"/>
    <x v="7"/>
    <x v="0"/>
    <s v="6158150"/>
    <n v="700038"/>
    <s v="Salaries-Service/Support-Other"/>
    <s v="Medical Supplies/CSR"/>
    <x v="0"/>
    <n v="2000"/>
    <n v="0"/>
    <n v="9.2100000000000009"/>
    <n v="-1.1499999999999999"/>
    <n v="0"/>
    <n v="30"/>
    <n v="8.85"/>
    <n v="0"/>
    <n v="0"/>
    <n v="0"/>
    <n v="0"/>
    <n v="0"/>
    <n v="33.81"/>
    <n v="80.72"/>
    <n v="-33.81"/>
  </r>
  <r>
    <x v="5"/>
    <x v="7"/>
    <x v="0"/>
    <s v="6158150"/>
    <n v="700054"/>
    <s v="Salaries-Management-Non-productive"/>
    <s v="Medical Supplies/CSR"/>
    <x v="0"/>
    <m/>
    <n v="822.26"/>
    <n v="5225.33"/>
    <n v="-1219.9100000000001"/>
    <n v="0"/>
    <n v="0"/>
    <n v="3308.53"/>
    <n v="489.39"/>
    <n v="516.01"/>
    <n v="-135.77000000000001"/>
    <n v="0"/>
    <n v="0"/>
    <n v="1167.8399999999999"/>
    <n v="10173.68"/>
    <n v="-1167.8399999999999"/>
  </r>
  <r>
    <x v="5"/>
    <x v="7"/>
    <x v="0"/>
    <s v="6158150"/>
    <n v="700078"/>
    <s v="Salaries-Service/Support-Non-productive"/>
    <s v="Medical Supplies/CSR"/>
    <x v="0"/>
    <m/>
    <n v="2725.61"/>
    <n v="2590.37"/>
    <n v="1585.49"/>
    <n v="2334.42"/>
    <n v="106.37"/>
    <n v="3931.38"/>
    <n v="982.32"/>
    <n v="1089.6199999999999"/>
    <n v="921.06"/>
    <n v="958.99"/>
    <n v="2108.9899999999998"/>
    <n v="2530.48"/>
    <n v="21865.099999999995"/>
    <n v="-421.49000000000024"/>
  </r>
  <r>
    <x v="5"/>
    <x v="7"/>
    <x v="0"/>
    <s v="6158150"/>
    <n v="700078"/>
    <s v="Salaries-Service/Support-NonProd-Other"/>
    <s v="Medical Supplies/CSR"/>
    <x v="0"/>
    <n v="2000"/>
    <n v="0"/>
    <n v="0"/>
    <n v="0"/>
    <n v="0"/>
    <n v="17.309999999999999"/>
    <n v="29.08"/>
    <n v="24.96"/>
    <n v="23.6"/>
    <n v="29.85"/>
    <n v="30.2"/>
    <n v="29.69"/>
    <n v="23.03"/>
    <n v="207.71999999999997"/>
    <n v="6.66"/>
  </r>
  <r>
    <x v="5"/>
    <x v="7"/>
    <x v="0"/>
    <s v="6158150"/>
    <n v="700084"/>
    <s v="Accrued PTO"/>
    <s v="Medical Supplies/CSR"/>
    <x v="0"/>
    <m/>
    <n v="-721.41"/>
    <n v="-4032.91"/>
    <n v="324.27"/>
    <n v="1143.6400000000001"/>
    <n v="2512.86"/>
    <n v="-2554.6799999999998"/>
    <n v="861.9"/>
    <n v="1370.44"/>
    <n v="1448.5"/>
    <n v="1311.06"/>
    <n v="110.91"/>
    <n v="13.66"/>
    <n v="1788.2400000000016"/>
    <n v="97.25"/>
  </r>
  <r>
    <x v="6"/>
    <x v="7"/>
    <x v="0"/>
    <s v="6158150"/>
    <n v="713010"/>
    <s v="Benefits-FICA/Medicare"/>
    <s v="Medical Supplies/CSR"/>
    <x v="0"/>
    <m/>
    <n v="1802.46"/>
    <n v="1741.09"/>
    <n v="1674.89"/>
    <n v="1710.34"/>
    <n v="1902.69"/>
    <n v="1863.97"/>
    <n v="1782.6"/>
    <n v="1624.43"/>
    <n v="1792.64"/>
    <n v="1743.19"/>
    <n v="1805.83"/>
    <n v="1851.44"/>
    <n v="21295.569999999996"/>
    <n v="-45.610000000000127"/>
  </r>
  <r>
    <x v="6"/>
    <x v="7"/>
    <x v="0"/>
    <s v="6158150"/>
    <n v="713090"/>
    <s v="Benefits-Allocated Amounts"/>
    <s v="Medical Supplies/CSR"/>
    <x v="0"/>
    <m/>
    <n v="6392.22"/>
    <n v="5288.19"/>
    <n v="6047.91"/>
    <n v="6040.96"/>
    <n v="6821.29"/>
    <n v="6277.49"/>
    <n v="6397.05"/>
    <n v="5486.48"/>
    <n v="5572.89"/>
    <n v="6347.19"/>
    <n v="6163.96"/>
    <n v="7069.41"/>
    <n v="73905.040000000008"/>
    <n v="-905.44999999999982"/>
  </r>
  <r>
    <x v="11"/>
    <x v="7"/>
    <x v="0"/>
    <s v="6158150"/>
    <n v="721010"/>
    <s v="Supplies-Medical - Billable"/>
    <s v="Medical Supplies/CSR"/>
    <x v="0"/>
    <m/>
    <n v="73.680000000000007"/>
    <n v="50.92"/>
    <n v="137.37"/>
    <n v="7.6"/>
    <n v="47.93"/>
    <n v="4.9800000000000004"/>
    <n v="90.58"/>
    <n v="-1007.75"/>
    <n v="304.02"/>
    <n v="-356.59"/>
    <n v="-2.91"/>
    <n v="0.05"/>
    <n v="-650.12"/>
    <n v="-2.96"/>
  </r>
  <r>
    <x v="11"/>
    <x v="7"/>
    <x v="0"/>
    <s v="6158150"/>
    <n v="721010"/>
    <s v="Patient Monitoring"/>
    <s v="Medical Supplies/CSR"/>
    <x v="0"/>
    <n v="1000"/>
    <n v="11.06"/>
    <n v="0"/>
    <n v="0"/>
    <n v="0"/>
    <n v="0"/>
    <n v="0"/>
    <n v="0"/>
    <n v="0"/>
    <n v="0"/>
    <n v="5.57"/>
    <n v="-6.41"/>
    <n v="-9.61"/>
    <n v="0.61000000000000298"/>
    <n v="3.1999999999999993"/>
  </r>
  <r>
    <x v="11"/>
    <x v="7"/>
    <x v="0"/>
    <s v="6158150"/>
    <n v="721020"/>
    <s v="Supplies-Surgical - Billable"/>
    <s v="Medical Supplies/CSR"/>
    <x v="0"/>
    <m/>
    <n v="129.34"/>
    <n v="171.51"/>
    <n v="-320.60000000000002"/>
    <n v="-68.28"/>
    <n v="-136.56"/>
    <n v="5.01"/>
    <n v="235.26"/>
    <n v="1955.18"/>
    <n v="54.08"/>
    <n v="1282.8800000000001"/>
    <n v="3762.07"/>
    <n v="-1603.83"/>
    <n v="5466.06"/>
    <n v="5365.9"/>
  </r>
  <r>
    <x v="11"/>
    <x v="7"/>
    <x v="0"/>
    <s v="6158150"/>
    <n v="721020"/>
    <s v="Custom Packs"/>
    <s v="Medical Supplies/CSR"/>
    <x v="0"/>
    <n v="1000"/>
    <n v="214.3"/>
    <n v="1189.26"/>
    <n v="-461.59"/>
    <n v="-930.7"/>
    <n v="-650.84"/>
    <n v="-979.94"/>
    <n v="-1566.96"/>
    <n v="-1523.18"/>
    <n v="-310.64999999999998"/>
    <n v="-801.03"/>
    <n v="-660.02"/>
    <n v="-960.02"/>
    <n v="-7441.3700000000008"/>
    <n v="300"/>
  </r>
  <r>
    <x v="11"/>
    <x v="7"/>
    <x v="0"/>
    <s v="6158150"/>
    <n v="721020"/>
    <s v="Suture/Wound Closure"/>
    <s v="Medical Supplies/CSR"/>
    <x v="0"/>
    <n v="1001"/>
    <n v="0"/>
    <n v="0"/>
    <n v="0"/>
    <n v="0"/>
    <n v="0.7"/>
    <n v="0"/>
    <n v="0"/>
    <n v="0"/>
    <n v="0"/>
    <n v="46.35"/>
    <n v="0"/>
    <n v="0"/>
    <n v="47.050000000000004"/>
    <n v="0"/>
  </r>
  <r>
    <x v="11"/>
    <x v="7"/>
    <x v="0"/>
    <s v="6158150"/>
    <n v="721020"/>
    <s v="Endoscopy - Trocars &amp; Accessories"/>
    <s v="Medical Supplies/CSR"/>
    <x v="0"/>
    <n v="1002"/>
    <n v="34.450000000000003"/>
    <n v="0"/>
    <n v="-498.5"/>
    <n v="0"/>
    <n v="0"/>
    <n v="14.09"/>
    <n v="0"/>
    <n v="0"/>
    <n v="0"/>
    <n v="0"/>
    <n v="0"/>
    <n v="0"/>
    <n v="-449.96000000000004"/>
    <n v="0"/>
  </r>
  <r>
    <x v="11"/>
    <x v="7"/>
    <x v="0"/>
    <s v="6158150"/>
    <n v="721020"/>
    <s v="Endomechanical Supplies &amp; Instruments"/>
    <s v="Medical Supplies/CSR"/>
    <x v="0"/>
    <n v="1003"/>
    <n v="106.94"/>
    <n v="0"/>
    <n v="0"/>
    <n v="66.84"/>
    <n v="0"/>
    <n v="0"/>
    <n v="0"/>
    <n v="0"/>
    <n v="1109.1300000000001"/>
    <n v="0"/>
    <n v="0"/>
    <n v="0"/>
    <n v="1282.9100000000001"/>
    <n v="0"/>
  </r>
  <r>
    <x v="11"/>
    <x v="7"/>
    <x v="0"/>
    <s v="6158150"/>
    <n v="721020"/>
    <s v="Bone Cement &amp; Supplies"/>
    <s v="Medical Supplies/CSR"/>
    <x v="0"/>
    <n v="1004"/>
    <n v="0"/>
    <n v="0"/>
    <n v="0"/>
    <n v="0"/>
    <n v="0"/>
    <n v="0"/>
    <n v="0"/>
    <n v="0"/>
    <n v="0"/>
    <n v="0"/>
    <n v="0"/>
    <n v="0"/>
    <n v="0"/>
    <n v="0"/>
  </r>
  <r>
    <x v="11"/>
    <x v="7"/>
    <x v="0"/>
    <s v="6158150"/>
    <n v="721020"/>
    <s v="Tubes Drains &amp; Related Supplies"/>
    <s v="Medical Supplies/CSR"/>
    <x v="0"/>
    <n v="1008"/>
    <n v="0"/>
    <n v="0"/>
    <n v="0"/>
    <n v="0"/>
    <n v="-21.18"/>
    <n v="0"/>
    <n v="0"/>
    <n v="0"/>
    <n v="0"/>
    <n v="0"/>
    <n v="0"/>
    <n v="0"/>
    <n v="-21.18"/>
    <n v="0"/>
  </r>
  <r>
    <x v="11"/>
    <x v="7"/>
    <x v="0"/>
    <s v="6158150"/>
    <n v="721050"/>
    <s v="Supplies-Cardiac Rhythm - Billable"/>
    <s v="Medical Supplies/CSR"/>
    <x v="0"/>
    <m/>
    <n v="0"/>
    <n v="76.209999999999994"/>
    <n v="0"/>
    <n v="0"/>
    <n v="0"/>
    <n v="0"/>
    <n v="0"/>
    <n v="0"/>
    <n v="0"/>
    <n v="0"/>
    <n v="0"/>
    <n v="0"/>
    <n v="76.209999999999994"/>
    <n v="0"/>
  </r>
  <r>
    <x v="11"/>
    <x v="7"/>
    <x v="0"/>
    <s v="6158150"/>
    <n v="721240"/>
    <s v="Supplies-IV Solutions/Supplies - Billable"/>
    <s v="Medical Supplies/CSR"/>
    <x v="0"/>
    <m/>
    <n v="122.29"/>
    <n v="4068.86"/>
    <n v="1122.96"/>
    <n v="0"/>
    <n v="1139.6099999999999"/>
    <n v="356.25"/>
    <n v="769.5"/>
    <n v="2914.56"/>
    <n v="-1060.77"/>
    <n v="360"/>
    <n v="0"/>
    <n v="-485.42"/>
    <n v="9307.84"/>
    <n v="485.42"/>
  </r>
  <r>
    <x v="11"/>
    <x v="7"/>
    <x v="0"/>
    <s v="6158150"/>
    <n v="721410"/>
    <s v="Supplies-Medical - Nonbillable"/>
    <s v="Medical Supplies/CSR"/>
    <x v="0"/>
    <m/>
    <n v="-25661.54"/>
    <n v="14800.33"/>
    <n v="-1445.67"/>
    <n v="-902.73"/>
    <n v="541.76"/>
    <n v="-393.13"/>
    <n v="-462.18"/>
    <n v="1335.52"/>
    <n v="522.91"/>
    <n v="7628.8"/>
    <n v="-9179.69"/>
    <n v="-2455.36"/>
    <n v="-15670.98"/>
    <n v="-6724.33"/>
  </r>
  <r>
    <x v="11"/>
    <x v="7"/>
    <x v="0"/>
    <s v="6158150"/>
    <n v="721410"/>
    <s v="Patient Monitoring"/>
    <s v="Medical Supplies/CSR"/>
    <x v="0"/>
    <n v="1000"/>
    <n v="0"/>
    <n v="0"/>
    <n v="0"/>
    <n v="0"/>
    <n v="0"/>
    <n v="0"/>
    <n v="0"/>
    <n v="0"/>
    <n v="0"/>
    <n v="0"/>
    <n v="0"/>
    <n v="12.79"/>
    <n v="12.79"/>
    <n v="-12.79"/>
  </r>
  <r>
    <x v="11"/>
    <x v="7"/>
    <x v="0"/>
    <s v="6158150"/>
    <n v="721420"/>
    <s v="Supplies-Surgical Nonbillable"/>
    <s v="Medical Supplies/CSR"/>
    <x v="0"/>
    <m/>
    <n v="11.06"/>
    <n v="69.11"/>
    <n v="-192.83"/>
    <n v="-413.84"/>
    <n v="-3212.28"/>
    <n v="59.16"/>
    <n v="-100.36"/>
    <n v="49.23"/>
    <n v="-46.85"/>
    <n v="-129.4"/>
    <n v="0"/>
    <n v="0"/>
    <n v="-3907.0000000000005"/>
    <n v="0"/>
  </r>
  <r>
    <x v="11"/>
    <x v="7"/>
    <x v="0"/>
    <s v="6158150"/>
    <n v="721420"/>
    <s v="Tubes Drains &amp; Related Supplies"/>
    <s v="Medical Supplies/CSR"/>
    <x v="0"/>
    <n v="1008"/>
    <n v="105.75"/>
    <n v="-3.14"/>
    <n v="0"/>
    <n v="-102.61"/>
    <n v="0"/>
    <n v="5.22"/>
    <n v="-29.6"/>
    <n v="0"/>
    <n v="0"/>
    <n v="11.52"/>
    <n v="-90.93"/>
    <n v="0"/>
    <n v="-103.79"/>
    <n v="-90.93"/>
  </r>
  <r>
    <x v="11"/>
    <x v="7"/>
    <x v="0"/>
    <s v="6158150"/>
    <n v="721420"/>
    <s v="Sterilization Process Products"/>
    <s v="Medical Supplies/CSR"/>
    <x v="0"/>
    <n v="1009"/>
    <n v="-312.99"/>
    <n v="143.01"/>
    <n v="0"/>
    <n v="81.44"/>
    <n v="91.18"/>
    <n v="459.56"/>
    <n v="113.92"/>
    <n v="-441.64"/>
    <n v="25.59"/>
    <n v="24.66"/>
    <n v="0"/>
    <n v="-49.19"/>
    <n v="135.54000000000002"/>
    <n v="49.19"/>
  </r>
  <r>
    <x v="11"/>
    <x v="7"/>
    <x v="0"/>
    <s v="6158150"/>
    <n v="721610"/>
    <s v="Supplies-Anesthesia - Nonbillable"/>
    <s v="Medical Supplies/CSR"/>
    <x v="0"/>
    <m/>
    <n v="28.25"/>
    <n v="521.76"/>
    <n v="134.08000000000001"/>
    <n v="0"/>
    <n v="11"/>
    <n v="-2.96"/>
    <n v="77.27"/>
    <n v="-157"/>
    <n v="-1168.46"/>
    <n v="-301.52"/>
    <n v="0"/>
    <n v="324.82"/>
    <n v="-532.76"/>
    <n v="-324.82"/>
  </r>
  <r>
    <x v="11"/>
    <x v="7"/>
    <x v="0"/>
    <s v="6158150"/>
    <n v="721640"/>
    <s v="Supplies-IV Solutions/Supplies - Nonbillable"/>
    <s v="Medical Supplies/CSR"/>
    <x v="0"/>
    <m/>
    <n v="711.65"/>
    <n v="483.55"/>
    <n v="381.57"/>
    <n v="0"/>
    <n v="498.8"/>
    <n v="254.95"/>
    <n v="-2336.0300000000002"/>
    <n v="19.05"/>
    <n v="63.35"/>
    <n v="112.49"/>
    <n v="-26.1"/>
    <n v="0"/>
    <n v="163.27999999999977"/>
    <n v="-26.1"/>
  </r>
  <r>
    <x v="11"/>
    <x v="7"/>
    <x v="0"/>
    <s v="6158150"/>
    <n v="721650"/>
    <s v="Supplies-Pharmacy Drugs - Nonbillable"/>
    <s v="Medical Supplies/CSR"/>
    <x v="0"/>
    <m/>
    <n v="0"/>
    <n v="4.1900000000000004"/>
    <n v="0"/>
    <n v="0"/>
    <n v="0"/>
    <n v="0"/>
    <n v="0"/>
    <n v="0"/>
    <n v="0"/>
    <n v="0"/>
    <n v="0"/>
    <n v="0"/>
    <n v="4.1900000000000004"/>
    <n v="0"/>
  </r>
  <r>
    <x v="11"/>
    <x v="7"/>
    <x v="0"/>
    <s v="6158150"/>
    <n v="721710"/>
    <s v="Supplies-Laboratory - Nonbillable"/>
    <s v="Medical Supplies/CSR"/>
    <x v="0"/>
    <m/>
    <n v="48.57"/>
    <n v="160.81"/>
    <n v="57.11"/>
    <n v="0"/>
    <n v="52.82"/>
    <n v="63.79"/>
    <n v="-514.82000000000005"/>
    <n v="1.76"/>
    <n v="6.14"/>
    <n v="18.489999999999998"/>
    <n v="-190"/>
    <n v="-9.44"/>
    <n v="-304.77000000000004"/>
    <n v="-180.56"/>
  </r>
  <r>
    <x v="11"/>
    <x v="7"/>
    <x v="0"/>
    <s v="6158150"/>
    <n v="721710"/>
    <s v="Reagents"/>
    <s v="Medical Supplies/CSR"/>
    <x v="0"/>
    <n v="1000"/>
    <n v="0"/>
    <n v="0"/>
    <n v="0"/>
    <n v="0"/>
    <n v="0"/>
    <n v="0"/>
    <n v="0"/>
    <n v="0"/>
    <n v="0"/>
    <n v="17.39"/>
    <n v="444.6"/>
    <n v="0"/>
    <n v="461.99"/>
    <n v="444.6"/>
  </r>
  <r>
    <x v="11"/>
    <x v="7"/>
    <x v="0"/>
    <s v="6158150"/>
    <n v="721750"/>
    <s v="Supplies-Film/Radiographic - Nonbillable"/>
    <s v="Medical Supplies/CSR"/>
    <x v="0"/>
    <m/>
    <n v="0"/>
    <n v="0"/>
    <n v="0"/>
    <n v="0"/>
    <n v="0"/>
    <n v="0"/>
    <n v="12.33"/>
    <n v="0"/>
    <n v="9.7799999999999994"/>
    <n v="0"/>
    <n v="0"/>
    <n v="0"/>
    <n v="22.11"/>
    <n v="0"/>
  </r>
  <r>
    <x v="11"/>
    <x v="7"/>
    <x v="0"/>
    <s v="6158150"/>
    <n v="721810"/>
    <s v="Supplies-Dietary/Cafeteria"/>
    <s v="Medical Supplies/CSR"/>
    <x v="0"/>
    <m/>
    <n v="-475.86"/>
    <n v="162.41"/>
    <n v="-135"/>
    <n v="-82.45"/>
    <n v="11.75"/>
    <n v="15.66"/>
    <n v="0"/>
    <n v="14"/>
    <n v="0"/>
    <n v="0"/>
    <n v="8"/>
    <n v="10.25"/>
    <n v="-471.24000000000007"/>
    <n v="-2.25"/>
  </r>
  <r>
    <x v="11"/>
    <x v="7"/>
    <x v="0"/>
    <s v="6158150"/>
    <n v="721830"/>
    <s v="Supplies-Office"/>
    <s v="Medical Supplies/CSR"/>
    <x v="0"/>
    <m/>
    <n v="48.25"/>
    <n v="256.33999999999997"/>
    <n v="39.22"/>
    <n v="-40.729999999999997"/>
    <n v="208.49"/>
    <n v="47.4"/>
    <n v="83.54"/>
    <n v="121.61"/>
    <n v="0"/>
    <n v="221.2"/>
    <n v="69.45"/>
    <n v="70.680000000000007"/>
    <n v="1125.45"/>
    <n v="-1.230000000000004"/>
  </r>
  <r>
    <x v="11"/>
    <x v="7"/>
    <x v="0"/>
    <s v="6158150"/>
    <n v="721835"/>
    <s v="Supplies-Forms"/>
    <s v="Medical Supplies/CSR"/>
    <x v="0"/>
    <m/>
    <n v="0"/>
    <n v="0"/>
    <n v="0"/>
    <n v="0"/>
    <n v="0"/>
    <n v="0"/>
    <n v="0"/>
    <n v="0"/>
    <n v="0"/>
    <n v="0"/>
    <n v="177.68"/>
    <n v="0"/>
    <n v="177.68"/>
    <n v="177.68"/>
  </r>
  <r>
    <x v="11"/>
    <x v="7"/>
    <x v="0"/>
    <s v="6158150"/>
    <n v="721870"/>
    <s v="Supplies-Environmental Services"/>
    <s v="Medical Supplies/CSR"/>
    <x v="0"/>
    <m/>
    <n v="72.430000000000007"/>
    <n v="30.23"/>
    <n v="-24.96"/>
    <n v="1.37"/>
    <n v="0.46"/>
    <n v="23.38"/>
    <n v="47.78"/>
    <n v="0.92"/>
    <n v="27.3"/>
    <n v="13.37"/>
    <n v="0"/>
    <n v="6.7"/>
    <n v="198.98"/>
    <n v="-6.7"/>
  </r>
  <r>
    <x v="11"/>
    <x v="7"/>
    <x v="0"/>
    <s v="6158150"/>
    <n v="721880"/>
    <s v="Supplies-Linen"/>
    <s v="Medical Supplies/CSR"/>
    <x v="0"/>
    <m/>
    <n v="5.59"/>
    <n v="69.790000000000006"/>
    <n v="-64.2"/>
    <n v="0"/>
    <n v="0"/>
    <n v="0"/>
    <n v="0"/>
    <n v="5.59"/>
    <n v="0"/>
    <n v="0"/>
    <n v="-128.4"/>
    <n v="0"/>
    <n v="-111.63"/>
    <n v="-128.4"/>
  </r>
  <r>
    <x v="11"/>
    <x v="7"/>
    <x v="0"/>
    <s v="6158150"/>
    <n v="721910"/>
    <s v="Supplies-Small Equipment"/>
    <s v="Medical Supplies/CSR"/>
    <x v="0"/>
    <m/>
    <n v="0"/>
    <n v="0"/>
    <n v="42.24"/>
    <n v="54.66"/>
    <n v="243.5"/>
    <n v="0"/>
    <n v="40.99"/>
    <n v="268.52"/>
    <n v="8.2200000000000006"/>
    <n v="186.51"/>
    <n v="0"/>
    <n v="89.83"/>
    <n v="934.47"/>
    <n v="-89.83"/>
  </r>
  <r>
    <x v="11"/>
    <x v="7"/>
    <x v="0"/>
    <s v="6158150"/>
    <n v="721980"/>
    <s v="Supplies-Other"/>
    <s v="Medical Supplies/CSR"/>
    <x v="0"/>
    <m/>
    <n v="690.64"/>
    <n v="381.4"/>
    <n v="615.21"/>
    <n v="1193.02"/>
    <n v="5798.48"/>
    <n v="1548.15"/>
    <n v="5084.03"/>
    <n v="666.46"/>
    <n v="2305.7399999999998"/>
    <n v="440.97"/>
    <n v="287.73"/>
    <n v="271.25"/>
    <n v="19283.079999999998"/>
    <n v="16.480000000000018"/>
  </r>
  <r>
    <x v="11"/>
    <x v="7"/>
    <x v="0"/>
    <s v="6158150"/>
    <n v="722000"/>
    <s v="Supplies-Freight Expense"/>
    <s v="Medical Supplies/CSR"/>
    <x v="0"/>
    <m/>
    <n v="133.53"/>
    <n v="1375.48"/>
    <n v="843.13"/>
    <n v="1413.54"/>
    <n v="563.44000000000005"/>
    <n v="440.35"/>
    <n v="1019"/>
    <n v="282.98"/>
    <n v="1168.83"/>
    <n v="722.59"/>
    <n v="602.54"/>
    <n v="4085.48"/>
    <n v="12650.89"/>
    <n v="-3482.94"/>
  </r>
  <r>
    <x v="11"/>
    <x v="7"/>
    <x v="0"/>
    <s v="6158150"/>
    <n v="722000"/>
    <s v="Minimum Order Fees"/>
    <s v="Medical Supplies/CSR"/>
    <x v="0"/>
    <n v="1000"/>
    <n v="0"/>
    <n v="5.05"/>
    <n v="0"/>
    <n v="0"/>
    <n v="0"/>
    <n v="0"/>
    <n v="0"/>
    <n v="0"/>
    <n v="0"/>
    <n v="0"/>
    <n v="0"/>
    <n v="0"/>
    <n v="5.05"/>
    <n v="0"/>
  </r>
  <r>
    <x v="11"/>
    <x v="7"/>
    <x v="0"/>
    <s v="6158150"/>
    <n v="722010"/>
    <s v="Standard Distribution Fees"/>
    <s v="Medical Supplies/CSR"/>
    <x v="0"/>
    <n v="1000"/>
    <n v="1420.84"/>
    <n v="904.16"/>
    <n v="0"/>
    <n v="2275.87"/>
    <n v="808.54"/>
    <n v="2036.12"/>
    <n v="0"/>
    <n v="1093.69"/>
    <n v="1292.49"/>
    <n v="1043.57"/>
    <n v="1186.4000000000001"/>
    <n v="1078.3800000000001"/>
    <n v="13140.059999999998"/>
    <n v="108.01999999999998"/>
  </r>
  <r>
    <x v="11"/>
    <x v="7"/>
    <x v="0"/>
    <s v="6158150"/>
    <n v="723000"/>
    <s v="Supply Rebates/Patronage Dividend"/>
    <s v="Medical Supplies/CSR"/>
    <x v="0"/>
    <m/>
    <n v="0"/>
    <n v="0"/>
    <n v="-21158.66"/>
    <n v="0"/>
    <n v="0"/>
    <n v="-23235.07"/>
    <n v="0"/>
    <n v="0"/>
    <n v="-26119.57"/>
    <n v="0"/>
    <n v="0"/>
    <n v="-37665.46"/>
    <n v="-108178.75999999998"/>
    <n v="37665.46"/>
  </r>
  <r>
    <x v="11"/>
    <x v="7"/>
    <x v="0"/>
    <s v="6158150"/>
    <n v="723001"/>
    <s v="Inventory Adjustments *"/>
    <s v="Medical Supplies/CSR"/>
    <x v="0"/>
    <m/>
    <n v="-233.56"/>
    <n v="13428.5"/>
    <n v="456.17"/>
    <n v="1553.84"/>
    <n v="3"/>
    <n v="-149.83000000000001"/>
    <n v="735.3"/>
    <n v="1488.96"/>
    <n v="1138.3800000000001"/>
    <n v="-107.08"/>
    <n v="108172.06"/>
    <n v="1578.2"/>
    <n v="128063.93999999999"/>
    <n v="106593.86"/>
  </r>
  <r>
    <x v="11"/>
    <x v="7"/>
    <x v="0"/>
    <s v="6158150"/>
    <n v="723002"/>
    <s v="Physical Inventory Variance *"/>
    <s v="Medical Supplies/CSR"/>
    <x v="0"/>
    <m/>
    <n v="144.78"/>
    <n v="-767.11"/>
    <n v="-98.28"/>
    <n v="2.88"/>
    <n v="-1231.57"/>
    <n v="-319.70999999999998"/>
    <n v="-32.46"/>
    <n v="-528.88"/>
    <n v="-650.82000000000005"/>
    <n v="-1445.54"/>
    <n v="-286.17"/>
    <n v="-3004.37"/>
    <n v="-8217.25"/>
    <n v="2718.2"/>
  </r>
  <r>
    <x v="11"/>
    <x v="7"/>
    <x v="0"/>
    <s v="6158150"/>
    <n v="724000"/>
    <s v="Item Cost Variance Suspense *"/>
    <s v="Medical Supplies/CSR"/>
    <x v="0"/>
    <m/>
    <n v="-426.59"/>
    <n v="-92.39"/>
    <n v="-1692.12"/>
    <n v="1612.52"/>
    <n v="823.97"/>
    <n v="-4017.59"/>
    <n v="1164.4000000000001"/>
    <n v="168.57"/>
    <n v="190.93"/>
    <n v="-619.07000000000005"/>
    <n v="-76.47"/>
    <n v="-26.13"/>
    <n v="-2989.97"/>
    <n v="-50.34"/>
  </r>
  <r>
    <x v="11"/>
    <x v="7"/>
    <x v="0"/>
    <s v="6158150"/>
    <n v="724001"/>
    <s v="Tolerance Offset *"/>
    <s v="Medical Supplies/CSR"/>
    <x v="0"/>
    <m/>
    <n v="0"/>
    <n v="0"/>
    <n v="0"/>
    <n v="0"/>
    <n v="-0.01"/>
    <n v="0"/>
    <n v="0"/>
    <n v="0"/>
    <n v="0"/>
    <n v="0.02"/>
    <n v="-0.02"/>
    <n v="0.03"/>
    <n v="1.9999999999999997E-2"/>
    <n v="-0.05"/>
  </r>
  <r>
    <x v="11"/>
    <x v="7"/>
    <x v="0"/>
    <s v="6158150"/>
    <n v="724002"/>
    <s v="Match Write Off *"/>
    <s v="Medical Supplies/CSR"/>
    <x v="0"/>
    <m/>
    <n v="0"/>
    <n v="0"/>
    <n v="0"/>
    <n v="-414.25"/>
    <n v="0"/>
    <n v="0"/>
    <n v="0"/>
    <n v="-650"/>
    <n v="-242.03"/>
    <n v="0"/>
    <n v="0"/>
    <n v="-170.89"/>
    <n v="-1477.17"/>
    <n v="170.89"/>
  </r>
  <r>
    <x v="11"/>
    <x v="7"/>
    <x v="0"/>
    <s v="6158150"/>
    <n v="724005"/>
    <s v="Return Suspense *"/>
    <s v="Medical Supplies/CSR"/>
    <x v="0"/>
    <m/>
    <n v="0"/>
    <n v="183.12"/>
    <n v="3273.31"/>
    <n v="-2947.96"/>
    <n v="0"/>
    <n v="384"/>
    <n v="23.49"/>
    <n v="-66.28"/>
    <n v="216"/>
    <n v="102.36"/>
    <n v="-105012.18"/>
    <n v="-914.4"/>
    <n v="-104758.54"/>
    <n v="-104097.78"/>
  </r>
  <r>
    <x v="12"/>
    <x v="7"/>
    <x v="0"/>
    <s v="6158150"/>
    <n v="730020"/>
    <s v="Rental and Leases-Copier Usage Fees (DO NOT USE)"/>
    <s v="Medical Supplies/CSR"/>
    <x v="0"/>
    <n v="5100"/>
    <n v="202.08"/>
    <n v="203.86"/>
    <n v="202.97"/>
    <n v="202.97"/>
    <n v="202.97"/>
    <n v="202.97"/>
    <n v="-384.49"/>
    <n v="100.51"/>
    <n v="100.3"/>
    <n v="358.34"/>
    <n v="100.51"/>
    <n v="128.08000000000001"/>
    <n v="1621.07"/>
    <n v="-27.570000000000007"/>
  </r>
  <r>
    <x v="16"/>
    <x v="7"/>
    <x v="0"/>
    <s v="6158150"/>
    <n v="732020"/>
    <s v="Repairs--Clin Equip-Parts-Internal to CHI Programs"/>
    <s v="Medical Supplies/CSR"/>
    <x v="0"/>
    <m/>
    <n v="0"/>
    <n v="0"/>
    <n v="0"/>
    <n v="0"/>
    <n v="0"/>
    <n v="0"/>
    <n v="0"/>
    <n v="0"/>
    <n v="178.92"/>
    <n v="0"/>
    <n v="143.13999999999999"/>
    <n v="5.0999999999999996"/>
    <n v="327.15999999999997"/>
    <n v="138.04"/>
  </r>
  <r>
    <x v="16"/>
    <x v="7"/>
    <x v="0"/>
    <s v="6158150"/>
    <n v="732030"/>
    <s v="Repairs---Other"/>
    <s v="Medical Supplies/CSR"/>
    <x v="0"/>
    <m/>
    <n v="7.1"/>
    <n v="0"/>
    <n v="0"/>
    <n v="0"/>
    <n v="653.54999999999995"/>
    <n v="-653.54999999999995"/>
    <n v="0"/>
    <n v="0"/>
    <n v="0"/>
    <n v="0"/>
    <n v="28.23"/>
    <n v="16.29"/>
    <n v="51.620000000000026"/>
    <n v="11.940000000000001"/>
  </r>
  <r>
    <x v="0"/>
    <x v="7"/>
    <x v="0"/>
    <s v="6158150"/>
    <n v="740020"/>
    <s v="Education-Registration Fees"/>
    <s v="Medical Supplies/CSR"/>
    <x v="0"/>
    <m/>
    <n v="0"/>
    <n v="0"/>
    <n v="0"/>
    <n v="0"/>
    <n v="0"/>
    <n v="0"/>
    <n v="0"/>
    <n v="0"/>
    <n v="0"/>
    <n v="64"/>
    <n v="0"/>
    <n v="0"/>
    <n v="64"/>
    <n v="0"/>
  </r>
  <r>
    <x v="0"/>
    <x v="7"/>
    <x v="0"/>
    <s v="6158150"/>
    <n v="745010"/>
    <s v="Donations and Contributions"/>
    <s v="Medical Supplies/CSR"/>
    <x v="0"/>
    <m/>
    <n v="0"/>
    <n v="0"/>
    <n v="0"/>
    <n v="0"/>
    <n v="0"/>
    <n v="0"/>
    <n v="0"/>
    <n v="0"/>
    <n v="0"/>
    <n v="0"/>
    <n v="298.29000000000002"/>
    <n v="425.1"/>
    <n v="723.3900000000001"/>
    <n v="-126.81"/>
  </r>
  <r>
    <x v="0"/>
    <x v="7"/>
    <x v="0"/>
    <s v="6158150"/>
    <n v="749510"/>
    <s v="Miscellaneous Expenses"/>
    <s v="Medical Supplies/CSR"/>
    <x v="0"/>
    <m/>
    <n v="0"/>
    <n v="0"/>
    <n v="0"/>
    <n v="16.350000000000001"/>
    <n v="-16.350000000000001"/>
    <n v="0"/>
    <n v="0"/>
    <n v="0"/>
    <n v="0"/>
    <n v="0"/>
    <n v="0"/>
    <n v="15"/>
    <n v="15"/>
    <n v="-15"/>
  </r>
  <r>
    <x v="0"/>
    <x v="7"/>
    <x v="0"/>
    <s v="6158150"/>
    <n v="749510"/>
    <s v="RICE Rewards"/>
    <s v="Medical Supplies/CSR"/>
    <x v="0"/>
    <n v="5100"/>
    <n v="0"/>
    <n v="0"/>
    <n v="0"/>
    <n v="0"/>
    <n v="0"/>
    <n v="0"/>
    <n v="0"/>
    <n v="0"/>
    <n v="170.6"/>
    <n v="0"/>
    <n v="0"/>
    <n v="65.77"/>
    <n v="236.37"/>
    <n v="-65.77"/>
  </r>
  <r>
    <x v="0"/>
    <x v="7"/>
    <x v="0"/>
    <s v="6158150"/>
    <n v="749530"/>
    <s v="Mileage"/>
    <s v="Medical Supplies/CSR"/>
    <x v="0"/>
    <n v="1001"/>
    <n v="0"/>
    <n v="0"/>
    <n v="0"/>
    <n v="15.81"/>
    <n v="16.350000000000001"/>
    <n v="16.350000000000001"/>
    <n v="0"/>
    <n v="34.22"/>
    <n v="34.22"/>
    <n v="16.82"/>
    <n v="17.399999999999999"/>
    <n v="0"/>
    <n v="151.17000000000002"/>
    <n v="17.399999999999999"/>
  </r>
  <r>
    <x v="5"/>
    <x v="1"/>
    <x v="0"/>
    <s v="6158200"/>
    <n v="700014"/>
    <s v="Salaries-Management-Productive"/>
    <s v="Medical Supplies/CSR"/>
    <x v="0"/>
    <m/>
    <n v="7417.2"/>
    <n v="7593.8"/>
    <n v="5651.2"/>
    <n v="7061.64"/>
    <n v="6531.84"/>
    <n v="6822.14"/>
    <n v="7704.78"/>
    <n v="7268.26"/>
    <n v="7086.54"/>
    <n v="8176.8"/>
    <n v="6541.43"/>
    <n v="6541.42"/>
    <n v="84397.05"/>
    <n v="1.0000000000218279E-2"/>
  </r>
  <r>
    <x v="5"/>
    <x v="1"/>
    <x v="0"/>
    <s v="6158200"/>
    <n v="700038"/>
    <s v="Salaries-Service/Support-Productive"/>
    <s v="Medical Supplies/CSR"/>
    <x v="0"/>
    <m/>
    <n v="8781.66"/>
    <n v="9020.9500000000007"/>
    <n v="8183.79"/>
    <n v="12064.18"/>
    <n v="11104.09"/>
    <n v="9414.31"/>
    <n v="11072.94"/>
    <n v="9904.26"/>
    <n v="11474.96"/>
    <n v="12142.47"/>
    <n v="13459.96"/>
    <n v="10910.9"/>
    <n v="127534.46999999997"/>
    <n v="2549.0599999999995"/>
  </r>
  <r>
    <x v="5"/>
    <x v="1"/>
    <x v="0"/>
    <s v="6158200"/>
    <n v="700038"/>
    <s v="Salaries-Service/Support-OT"/>
    <s v="Medical Supplies/CSR"/>
    <x v="0"/>
    <n v="1000"/>
    <n v="0"/>
    <n v="0"/>
    <n v="0"/>
    <n v="0"/>
    <n v="0"/>
    <n v="15.87"/>
    <n v="0"/>
    <n v="0"/>
    <n v="19.739999999999998"/>
    <n v="0"/>
    <n v="0"/>
    <n v="0"/>
    <n v="35.61"/>
    <n v="0"/>
  </r>
  <r>
    <x v="5"/>
    <x v="1"/>
    <x v="0"/>
    <s v="6158200"/>
    <n v="700054"/>
    <s v="Salaries-Management-Non-productive"/>
    <s v="Medical Supplies/CSR"/>
    <x v="0"/>
    <m/>
    <n v="353.2"/>
    <n v="529.79999999999995"/>
    <n v="1412.8"/>
    <n v="1236.2"/>
    <n v="1451.52"/>
    <n v="798.33"/>
    <n v="654.26"/>
    <n v="0"/>
    <n v="545.13"/>
    <n v="-181.71"/>
    <n v="1817.07"/>
    <n v="726.84"/>
    <n v="9343.44"/>
    <n v="1090.23"/>
  </r>
  <r>
    <x v="5"/>
    <x v="1"/>
    <x v="0"/>
    <s v="6158200"/>
    <n v="700078"/>
    <s v="Salaries-Service/Support-Non-productive"/>
    <s v="Medical Supplies/CSR"/>
    <x v="0"/>
    <m/>
    <n v="3311.51"/>
    <n v="3324.01"/>
    <n v="1181.93"/>
    <n v="1162.6099999999999"/>
    <n v="1088.95"/>
    <n v="2553.87"/>
    <n v="2176.64"/>
    <n v="1689.24"/>
    <n v="795.58"/>
    <n v="726.11"/>
    <n v="-6.41"/>
    <n v="787.83"/>
    <n v="18791.870000000006"/>
    <n v="-794.24"/>
  </r>
  <r>
    <x v="5"/>
    <x v="1"/>
    <x v="0"/>
    <s v="6158200"/>
    <n v="700078"/>
    <s v="Salaries-Service/Support-NonProd-Other"/>
    <s v="Medical Supplies/CSR"/>
    <x v="0"/>
    <n v="2000"/>
    <n v="0"/>
    <n v="0"/>
    <n v="0"/>
    <n v="0"/>
    <n v="400.1"/>
    <n v="400.1"/>
    <n v="0"/>
    <n v="-800.2"/>
    <n v="0"/>
    <n v="0"/>
    <n v="0"/>
    <n v="0"/>
    <n v="0"/>
    <n v="0"/>
  </r>
  <r>
    <x v="5"/>
    <x v="1"/>
    <x v="0"/>
    <s v="6158200"/>
    <n v="700084"/>
    <s v="Accrued PTO"/>
    <s v="Medical Supplies/CSR"/>
    <x v="0"/>
    <m/>
    <n v="-752.37"/>
    <n v="414.36"/>
    <n v="-550.42999999999995"/>
    <n v="526.30999999999995"/>
    <n v="1292.8399999999999"/>
    <n v="-323.83"/>
    <n v="-467.49"/>
    <n v="1180.52"/>
    <n v="926.03"/>
    <n v="1808.36"/>
    <n v="539.80999999999995"/>
    <n v="2369.06"/>
    <n v="6963.1699999999983"/>
    <n v="-1829.25"/>
  </r>
  <r>
    <x v="6"/>
    <x v="1"/>
    <x v="0"/>
    <s v="6158200"/>
    <n v="713010"/>
    <s v="Benefits-FICA/Medicare"/>
    <s v="Medical Supplies/CSR"/>
    <x v="0"/>
    <m/>
    <n v="1431.52"/>
    <n v="1473.85"/>
    <n v="1176.8900000000001"/>
    <n v="1554.63"/>
    <n v="1547.8"/>
    <n v="1503.92"/>
    <n v="1566.44"/>
    <n v="1367.68"/>
    <n v="1444.97"/>
    <n v="1513.26"/>
    <n v="1582.14"/>
    <n v="1454"/>
    <n v="17617.099999999999"/>
    <n v="128.1400000000001"/>
  </r>
  <r>
    <x v="6"/>
    <x v="1"/>
    <x v="0"/>
    <s v="6158200"/>
    <n v="713090"/>
    <s v="Benefits-Allocated Amounts"/>
    <s v="Medical Supplies/CSR"/>
    <x v="0"/>
    <m/>
    <n v="4463.13"/>
    <n v="4042.43"/>
    <n v="3899.38"/>
    <n v="4529.93"/>
    <n v="4388.57"/>
    <n v="4587.74"/>
    <n v="5107.95"/>
    <n v="5080.25"/>
    <n v="4703.12"/>
    <n v="4894.6400000000003"/>
    <n v="5077.83"/>
    <n v="4821.4799999999996"/>
    <n v="55596.450000000012"/>
    <n v="256.35000000000036"/>
  </r>
  <r>
    <x v="7"/>
    <x v="1"/>
    <x v="0"/>
    <s v="6158200"/>
    <n v="718050"/>
    <s v="Contract Svcs-Other"/>
    <s v="Medical Supplies/CSR"/>
    <x v="0"/>
    <m/>
    <n v="32.97"/>
    <n v="302.94"/>
    <n v="448.7"/>
    <n v="257.98"/>
    <n v="78.34"/>
    <n v="78.33"/>
    <n v="141.19999999999999"/>
    <n v="44.14"/>
    <n v="481.26"/>
    <n v="45.36"/>
    <n v="78.38"/>
    <n v="377.34"/>
    <n v="2366.94"/>
    <n v="-298.95999999999998"/>
  </r>
  <r>
    <x v="7"/>
    <x v="1"/>
    <x v="0"/>
    <s v="6158200"/>
    <n v="718050"/>
    <s v="Document Shredding/Storage"/>
    <s v="Medical Supplies/CSR"/>
    <x v="0"/>
    <n v="1012"/>
    <n v="0"/>
    <n v="5996.45"/>
    <n v="4082.7"/>
    <n v="6174.8"/>
    <n v="0"/>
    <n v="6285.49"/>
    <n v="0"/>
    <n v="3143.84"/>
    <n v="3721.84"/>
    <n v="13410.15"/>
    <n v="-10183.85"/>
    <n v="0"/>
    <n v="32631.420000000006"/>
    <n v="-10183.85"/>
  </r>
  <r>
    <x v="7"/>
    <x v="1"/>
    <x v="0"/>
    <s v="6158200"/>
    <n v="718050"/>
    <s v="Translation Services"/>
    <s v="Medical Supplies/CSR"/>
    <x v="0"/>
    <n v="1025"/>
    <n v="0"/>
    <n v="0"/>
    <n v="0"/>
    <n v="4.74"/>
    <n v="0"/>
    <n v="0"/>
    <n v="0"/>
    <n v="0"/>
    <n v="0"/>
    <n v="0"/>
    <n v="0"/>
    <n v="0"/>
    <n v="4.74"/>
    <n v="0"/>
  </r>
  <r>
    <x v="7"/>
    <x v="1"/>
    <x v="0"/>
    <s v="6158200"/>
    <n v="718050"/>
    <s v="Purchased Srvcs--Medical Waste"/>
    <s v="Medical Supplies/CSR"/>
    <x v="0"/>
    <n v="1027"/>
    <n v="3505.16"/>
    <n v="11.16"/>
    <n v="22.32"/>
    <n v="-3494"/>
    <n v="0"/>
    <n v="22.32"/>
    <n v="11.16"/>
    <n v="0"/>
    <n v="11.16"/>
    <n v="0"/>
    <n v="2626.9"/>
    <n v="11.16"/>
    <n v="2727.3399999999997"/>
    <n v="2615.7400000000002"/>
  </r>
  <r>
    <x v="11"/>
    <x v="1"/>
    <x v="0"/>
    <s v="6158200"/>
    <n v="721010"/>
    <s v="Supplies-Medical - Billable"/>
    <s v="Medical Supplies/CSR"/>
    <x v="0"/>
    <m/>
    <n v="16982"/>
    <n v="-36468.800000000003"/>
    <n v="84790"/>
    <n v="51886.6"/>
    <n v="-1780.6"/>
    <n v="-125441.4"/>
    <n v="-81369.600000000006"/>
    <n v="0"/>
    <n v="-309.64"/>
    <n v="106755"/>
    <n v="-106755"/>
    <n v="123130"/>
    <n v="31418.559999999983"/>
    <n v="-229885"/>
  </r>
  <r>
    <x v="11"/>
    <x v="1"/>
    <x v="0"/>
    <s v="6158200"/>
    <n v="721250"/>
    <s v="Supplies-Pharmacy Drugs - Billable"/>
    <s v="Medical Supplies/CSR"/>
    <x v="0"/>
    <m/>
    <n v="-2563.89"/>
    <n v="1810.97"/>
    <n v="-306.87"/>
    <n v="44592.36"/>
    <n v="93426.08"/>
    <n v="4365.66"/>
    <n v="-45973.19"/>
    <n v="172742.55"/>
    <n v="-36985.22"/>
    <n v="-86342.38"/>
    <n v="-155583.67999999999"/>
    <n v="76801.3"/>
    <n v="65983.689999999988"/>
    <n v="-232384.97999999998"/>
  </r>
  <r>
    <x v="11"/>
    <x v="1"/>
    <x v="0"/>
    <s v="6158200"/>
    <n v="721410"/>
    <s v="Supplies-Medical - Nonbillable"/>
    <s v="Medical Supplies/CSR"/>
    <x v="0"/>
    <m/>
    <n v="0"/>
    <n v="759.09"/>
    <n v="0"/>
    <n v="0"/>
    <n v="0"/>
    <n v="0"/>
    <n v="0"/>
    <n v="0"/>
    <n v="0"/>
    <n v="0"/>
    <n v="7.0000000000000007E-2"/>
    <n v="-0.02"/>
    <n v="759.1400000000001"/>
    <n v="9.0000000000000011E-2"/>
  </r>
  <r>
    <x v="11"/>
    <x v="1"/>
    <x v="0"/>
    <s v="6158200"/>
    <n v="721420"/>
    <s v="Supplies-Surgical Nonbillable"/>
    <s v="Medical Supplies/CSR"/>
    <x v="0"/>
    <m/>
    <n v="0"/>
    <n v="0"/>
    <n v="44.38"/>
    <n v="4.4800000000000004"/>
    <n v="0"/>
    <n v="0"/>
    <n v="0"/>
    <n v="0"/>
    <n v="0"/>
    <n v="0"/>
    <n v="0"/>
    <n v="0"/>
    <n v="48.86"/>
    <n v="0"/>
  </r>
  <r>
    <x v="11"/>
    <x v="1"/>
    <x v="0"/>
    <s v="6158200"/>
    <n v="721810"/>
    <s v="Supplies-Dietary/Cafeteria"/>
    <s v="Medical Supplies/CSR"/>
    <x v="0"/>
    <m/>
    <n v="0"/>
    <n v="11"/>
    <n v="0"/>
    <n v="0"/>
    <n v="0"/>
    <n v="0"/>
    <n v="0"/>
    <n v="0"/>
    <n v="0"/>
    <n v="0"/>
    <n v="0"/>
    <n v="0"/>
    <n v="11"/>
    <n v="0"/>
  </r>
  <r>
    <x v="11"/>
    <x v="1"/>
    <x v="0"/>
    <s v="6158200"/>
    <n v="721835"/>
    <s v="Supplies-Forms"/>
    <s v="Medical Supplies/CSR"/>
    <x v="0"/>
    <m/>
    <n v="0"/>
    <n v="0"/>
    <n v="0"/>
    <n v="0"/>
    <n v="0.28000000000000003"/>
    <n v="0"/>
    <n v="0"/>
    <n v="0"/>
    <n v="0"/>
    <n v="0"/>
    <n v="0"/>
    <n v="0"/>
    <n v="0.28000000000000003"/>
    <n v="0"/>
  </r>
  <r>
    <x v="11"/>
    <x v="1"/>
    <x v="0"/>
    <s v="6158200"/>
    <n v="721910"/>
    <s v="Supplies-Small Equipment"/>
    <s v="Medical Supplies/CSR"/>
    <x v="0"/>
    <m/>
    <n v="-55843.64"/>
    <n v="0"/>
    <n v="0"/>
    <n v="0"/>
    <n v="0"/>
    <n v="0"/>
    <n v="0"/>
    <n v="865.31"/>
    <n v="118.85"/>
    <n v="0"/>
    <n v="0"/>
    <n v="0"/>
    <n v="-54859.48"/>
    <n v="0"/>
  </r>
  <r>
    <x v="11"/>
    <x v="1"/>
    <x v="0"/>
    <s v="6158200"/>
    <n v="722000"/>
    <s v="Supplies-Freight Expense"/>
    <s v="Medical Supplies/CSR"/>
    <x v="0"/>
    <m/>
    <n v="0"/>
    <n v="0"/>
    <n v="0"/>
    <n v="30.18"/>
    <n v="0"/>
    <n v="0"/>
    <n v="0"/>
    <n v="0"/>
    <n v="0"/>
    <n v="0"/>
    <n v="0"/>
    <n v="0"/>
    <n v="30.18"/>
    <n v="0"/>
  </r>
  <r>
    <x v="11"/>
    <x v="1"/>
    <x v="0"/>
    <s v="6158200"/>
    <n v="723000"/>
    <s v="Supply Rebates/Patronage Dividend"/>
    <s v="Medical Supplies/CSR"/>
    <x v="0"/>
    <m/>
    <n v="0"/>
    <n v="0"/>
    <n v="-56203"/>
    <n v="0"/>
    <n v="0"/>
    <n v="-62760.02"/>
    <n v="0"/>
    <n v="0"/>
    <n v="-56203"/>
    <n v="0"/>
    <n v="0"/>
    <n v="-77731.55"/>
    <n v="-252897.57"/>
    <n v="77731.55"/>
  </r>
  <r>
    <x v="12"/>
    <x v="1"/>
    <x v="0"/>
    <s v="6158200"/>
    <n v="730010"/>
    <s v="Rental and Leases-Building (DO NOT USE)"/>
    <s v="Medical Supplies/CSR"/>
    <x v="0"/>
    <m/>
    <n v="8424.49"/>
    <n v="8424.49"/>
    <n v="8424.49"/>
    <n v="8424.49"/>
    <n v="8424.49"/>
    <n v="-14694.83"/>
    <n v="4571.2700000000004"/>
    <n v="4571.2700000000004"/>
    <n v="4571.2700000000004"/>
    <n v="4571.2700000000004"/>
    <n v="4575.08"/>
    <n v="0"/>
    <n v="50287.78"/>
    <n v="4575.08"/>
  </r>
  <r>
    <x v="12"/>
    <x v="1"/>
    <x v="0"/>
    <s v="6158200"/>
    <n v="730010"/>
    <s v="Rental-Common Area Maint (DO NOT USE)"/>
    <s v="Medical Supplies/CSR"/>
    <x v="0"/>
    <n v="2200"/>
    <n v="0"/>
    <n v="0"/>
    <n v="0"/>
    <n v="0"/>
    <n v="0"/>
    <n v="23040.68"/>
    <n v="3774.58"/>
    <n v="3774.58"/>
    <n v="2504.12"/>
    <n v="3774.57"/>
    <n v="3774.57"/>
    <n v="0"/>
    <n v="40643.100000000006"/>
    <n v="3774.57"/>
  </r>
  <r>
    <x v="12"/>
    <x v="1"/>
    <x v="0"/>
    <s v="6158200"/>
    <n v="730020"/>
    <s v="Rental and Leases-Copier Usage Fees (DO NOT USE)"/>
    <s v="Medical Supplies/CSR"/>
    <x v="0"/>
    <n v="5100"/>
    <n v="108.44"/>
    <n v="108.9"/>
    <n v="108.67"/>
    <n v="108.67"/>
    <n v="108.67"/>
    <n v="108.67"/>
    <n v="137.79"/>
    <n v="115.05"/>
    <n v="114.81"/>
    <n v="115.29"/>
    <n v="115.05"/>
    <n v="170.43"/>
    <n v="1420.4399999999998"/>
    <n v="-55.38000000000001"/>
  </r>
  <r>
    <x v="12"/>
    <x v="1"/>
    <x v="0"/>
    <s v="6158200"/>
    <n v="730040"/>
    <s v="LT Lease-Real Estate"/>
    <s v="Medical Supplies/CSR"/>
    <x v="0"/>
    <m/>
    <n v="0"/>
    <n v="0"/>
    <n v="0"/>
    <n v="0"/>
    <n v="0"/>
    <n v="0"/>
    <n v="0"/>
    <n v="0"/>
    <n v="0"/>
    <n v="0"/>
    <n v="0"/>
    <n v="8460.1200000000008"/>
    <n v="8460.1200000000008"/>
    <n v="-8460.1200000000008"/>
  </r>
  <r>
    <x v="0"/>
    <x v="1"/>
    <x v="0"/>
    <s v="6158200"/>
    <n v="742010"/>
    <s v="Postage-Regular"/>
    <s v="Medical Supplies/CSR"/>
    <x v="0"/>
    <m/>
    <n v="10447.379999999999"/>
    <n v="23835.439999999999"/>
    <n v="16152.88"/>
    <n v="10234.35"/>
    <n v="9648.5300000000007"/>
    <n v="10647.57"/>
    <n v="41021.03"/>
    <n v="5910.22"/>
    <n v="20102.150000000001"/>
    <n v="11358.73"/>
    <n v="28810.94"/>
    <n v="73588.710000000006"/>
    <n v="261757.93"/>
    <n v="-44777.770000000004"/>
  </r>
  <r>
    <x v="0"/>
    <x v="1"/>
    <x v="0"/>
    <s v="6158200"/>
    <n v="742040"/>
    <s v="Freight-Other"/>
    <s v="Medical Supplies/CSR"/>
    <x v="0"/>
    <m/>
    <n v="0"/>
    <n v="0"/>
    <n v="0"/>
    <n v="0"/>
    <n v="0"/>
    <n v="0"/>
    <n v="0"/>
    <n v="0"/>
    <n v="0"/>
    <n v="771.84"/>
    <n v="0"/>
    <n v="0"/>
    <n v="771.84"/>
    <n v="0"/>
  </r>
  <r>
    <x v="0"/>
    <x v="1"/>
    <x v="0"/>
    <s v="6158200"/>
    <n v="748521"/>
    <s v="COGS-Pharmacy Drugs-Retail"/>
    <s v="Medical Supplies/CSR"/>
    <x v="0"/>
    <m/>
    <n v="4240.2700000000004"/>
    <n v="-501.33"/>
    <n v="0.6"/>
    <n v="-2953.29"/>
    <n v="13.84"/>
    <n v="319.08999999999997"/>
    <n v="95.53"/>
    <n v="11.24"/>
    <n v="-2542.19"/>
    <n v="-7480.65"/>
    <n v="144.88999999999999"/>
    <n v="158.01"/>
    <n v="-8493.99"/>
    <n v="-13.120000000000005"/>
  </r>
  <r>
    <x v="0"/>
    <x v="1"/>
    <x v="0"/>
    <s v="6158200"/>
    <n v="749510"/>
    <s v="RICE Rewards"/>
    <s v="Medical Supplies/CSR"/>
    <x v="0"/>
    <n v="5100"/>
    <n v="0"/>
    <n v="0"/>
    <n v="0"/>
    <n v="0"/>
    <n v="0"/>
    <n v="0"/>
    <n v="0"/>
    <n v="0"/>
    <n v="0"/>
    <n v="0"/>
    <n v="519.15"/>
    <n v="0"/>
    <n v="519.15"/>
    <n v="519.15"/>
  </r>
  <r>
    <x v="0"/>
    <x v="1"/>
    <x v="0"/>
    <s v="6158200"/>
    <n v="749530"/>
    <s v="Travel"/>
    <s v="Medical Supplies/CSR"/>
    <x v="0"/>
    <m/>
    <n v="0"/>
    <n v="0"/>
    <n v="0"/>
    <n v="0"/>
    <n v="0"/>
    <n v="0"/>
    <n v="0"/>
    <n v="0"/>
    <n v="0"/>
    <n v="0"/>
    <n v="6"/>
    <n v="0"/>
    <n v="6"/>
    <n v="6"/>
  </r>
  <r>
    <x v="0"/>
    <x v="1"/>
    <x v="0"/>
    <s v="6158200"/>
    <n v="749530"/>
    <s v="Mileage"/>
    <s v="Medical Supplies/CSR"/>
    <x v="0"/>
    <n v="1001"/>
    <n v="0"/>
    <n v="0"/>
    <n v="0"/>
    <n v="0"/>
    <n v="0"/>
    <n v="0"/>
    <n v="0"/>
    <n v="0"/>
    <n v="0"/>
    <n v="0"/>
    <n v="24.36"/>
    <n v="0"/>
    <n v="24.36"/>
    <n v="24.36"/>
  </r>
  <r>
    <x v="11"/>
    <x v="10"/>
    <x v="0"/>
    <s v="6158306"/>
    <n v="723000"/>
    <s v="Supply Rebates/Patronage Dividend"/>
    <s v="Central Stores"/>
    <x v="0"/>
    <m/>
    <n v="0"/>
    <n v="0"/>
    <n v="-2196"/>
    <n v="0"/>
    <n v="0"/>
    <n v="-2452.1999999999998"/>
    <n v="0"/>
    <n v="0"/>
    <n v="-2196"/>
    <n v="0"/>
    <n v="0"/>
    <n v="-3037.18"/>
    <n v="-9881.3799999999992"/>
    <n v="3037.18"/>
  </r>
  <r>
    <x v="14"/>
    <x v="3"/>
    <x v="0"/>
    <s v="6160101"/>
    <n v="600060"/>
    <s v="Gain/Loss--Sale of Fixed Assets"/>
    <s v="Courier Services"/>
    <x v="0"/>
    <m/>
    <n v="0"/>
    <n v="0"/>
    <n v="0"/>
    <n v="0"/>
    <n v="-500"/>
    <n v="0"/>
    <n v="0"/>
    <n v="0"/>
    <n v="0"/>
    <n v="0"/>
    <n v="0"/>
    <n v="0"/>
    <n v="-500"/>
    <n v="0"/>
  </r>
  <r>
    <x v="5"/>
    <x v="3"/>
    <x v="0"/>
    <s v="6160101"/>
    <n v="700054"/>
    <s v="Salaries-Management-NonProd-Other"/>
    <s v="Courier Services"/>
    <x v="0"/>
    <n v="2000"/>
    <n v="0"/>
    <n v="0"/>
    <n v="0"/>
    <n v="0"/>
    <n v="0"/>
    <n v="960.17"/>
    <n v="-960.17"/>
    <n v="0"/>
    <n v="0"/>
    <n v="0"/>
    <n v="0"/>
    <n v="0"/>
    <n v="0"/>
    <n v="0"/>
  </r>
  <r>
    <x v="5"/>
    <x v="3"/>
    <x v="0"/>
    <s v="6160101"/>
    <n v="700078"/>
    <s v="Salaries-Service/Support-NonProd-Other"/>
    <s v="Courier Services"/>
    <x v="0"/>
    <n v="2000"/>
    <n v="636.95000000000005"/>
    <n v="158.28"/>
    <n v="0"/>
    <n v="0"/>
    <n v="0"/>
    <n v="0"/>
    <n v="0"/>
    <n v="0"/>
    <n v="0"/>
    <n v="0"/>
    <n v="0"/>
    <n v="0"/>
    <n v="795.23"/>
    <n v="0"/>
  </r>
  <r>
    <x v="5"/>
    <x v="3"/>
    <x v="0"/>
    <s v="6160101"/>
    <n v="700084"/>
    <s v="Accrued PTO"/>
    <s v="Courier Services"/>
    <x v="0"/>
    <m/>
    <n v="154.65"/>
    <n v="0"/>
    <n v="0"/>
    <n v="0"/>
    <n v="0"/>
    <n v="0"/>
    <n v="0"/>
    <n v="0"/>
    <n v="0"/>
    <n v="0"/>
    <n v="0"/>
    <n v="0"/>
    <n v="154.65"/>
    <n v="0"/>
  </r>
  <r>
    <x v="6"/>
    <x v="3"/>
    <x v="0"/>
    <s v="6160101"/>
    <n v="713010"/>
    <s v="Benefits-FICA/Medicare"/>
    <s v="Courier Services"/>
    <x v="0"/>
    <m/>
    <n v="48.8"/>
    <n v="12.05"/>
    <n v="0"/>
    <n v="0"/>
    <n v="0"/>
    <n v="73.45"/>
    <n v="105.96"/>
    <n v="0"/>
    <n v="0"/>
    <n v="0"/>
    <n v="0"/>
    <n v="0"/>
    <n v="240.26"/>
    <n v="0"/>
  </r>
  <r>
    <x v="6"/>
    <x v="3"/>
    <x v="0"/>
    <s v="6160101"/>
    <n v="713090"/>
    <s v="Benefits-Allocated Amounts"/>
    <s v="Courier Services"/>
    <x v="0"/>
    <m/>
    <n v="42.87"/>
    <n v="8.2200000000000006"/>
    <n v="-0.13"/>
    <n v="-16.97"/>
    <n v="8.41"/>
    <n v="60.59"/>
    <n v="17.690000000000001"/>
    <n v="-51.99"/>
    <n v="5.25"/>
    <n v="9.09"/>
    <n v="9.2799999999999994"/>
    <n v="-92.31"/>
    <n v="0"/>
    <n v="101.59"/>
  </r>
  <r>
    <x v="11"/>
    <x v="3"/>
    <x v="0"/>
    <s v="6160101"/>
    <n v="721410"/>
    <s v="Supplies-Medical - Nonbillable"/>
    <s v="Courier Services"/>
    <x v="0"/>
    <m/>
    <n v="0"/>
    <n v="0"/>
    <n v="12.71"/>
    <n v="0"/>
    <n v="0"/>
    <n v="7.15"/>
    <n v="0"/>
    <n v="0"/>
    <n v="0"/>
    <n v="0"/>
    <n v="0"/>
    <n v="0"/>
    <n v="19.86"/>
    <n v="0"/>
  </r>
  <r>
    <x v="11"/>
    <x v="3"/>
    <x v="0"/>
    <s v="6160101"/>
    <n v="721870"/>
    <s v="Supplies-Environmental Services"/>
    <s v="Courier Services"/>
    <x v="0"/>
    <m/>
    <n v="0"/>
    <n v="0"/>
    <n v="0"/>
    <n v="0"/>
    <n v="0"/>
    <n v="0"/>
    <n v="0"/>
    <n v="12.47"/>
    <n v="28.81"/>
    <n v="0"/>
    <n v="0"/>
    <n v="9.6"/>
    <n v="50.88"/>
    <n v="-9.6"/>
  </r>
  <r>
    <x v="11"/>
    <x v="3"/>
    <x v="0"/>
    <s v="6160101"/>
    <n v="721880"/>
    <s v="Supplies-Linen"/>
    <s v="Courier Services"/>
    <x v="0"/>
    <m/>
    <n v="0"/>
    <n v="178.36"/>
    <n v="0"/>
    <n v="0"/>
    <n v="0"/>
    <n v="0"/>
    <n v="0"/>
    <n v="0"/>
    <n v="0"/>
    <n v="0"/>
    <n v="0"/>
    <n v="-12"/>
    <n v="166.36"/>
    <n v="12"/>
  </r>
  <r>
    <x v="11"/>
    <x v="3"/>
    <x v="0"/>
    <s v="6160101"/>
    <n v="721910"/>
    <s v="Supplies-Small Equipment"/>
    <s v="Courier Services"/>
    <x v="0"/>
    <m/>
    <n v="0"/>
    <n v="0"/>
    <n v="0"/>
    <n v="0"/>
    <n v="0"/>
    <n v="0"/>
    <n v="0"/>
    <n v="0"/>
    <n v="0"/>
    <n v="0"/>
    <n v="0.37"/>
    <n v="0"/>
    <n v="0.37"/>
    <n v="0.37"/>
  </r>
  <r>
    <x v="11"/>
    <x v="3"/>
    <x v="0"/>
    <s v="6160101"/>
    <n v="721980"/>
    <s v="Supplies-Other"/>
    <s v="Courier Services"/>
    <x v="0"/>
    <m/>
    <n v="0"/>
    <n v="1529.61"/>
    <n v="64.959999999999994"/>
    <n v="0"/>
    <n v="0"/>
    <n v="0"/>
    <n v="0"/>
    <n v="186.62"/>
    <n v="0"/>
    <n v="0"/>
    <n v="0"/>
    <n v="-136.5"/>
    <n v="1644.69"/>
    <n v="136.5"/>
  </r>
  <r>
    <x v="11"/>
    <x v="3"/>
    <x v="0"/>
    <s v="6160101"/>
    <n v="722000"/>
    <s v="Supplies-Freight Expense"/>
    <s v="Courier Services"/>
    <x v="0"/>
    <m/>
    <n v="0"/>
    <n v="0"/>
    <n v="0"/>
    <n v="0"/>
    <n v="0"/>
    <n v="0"/>
    <n v="0"/>
    <n v="0"/>
    <n v="0"/>
    <n v="0"/>
    <n v="0"/>
    <n v="148.5"/>
    <n v="148.5"/>
    <n v="-148.5"/>
  </r>
  <r>
    <x v="12"/>
    <x v="3"/>
    <x v="0"/>
    <s v="6160101"/>
    <n v="730020"/>
    <s v="Rental and Leases-Copier Usage Fees (DO NOT USE)"/>
    <s v="Courier Services"/>
    <x v="0"/>
    <n v="5100"/>
    <n v="154.26"/>
    <n v="149.49"/>
    <n v="151.87"/>
    <n v="151.87"/>
    <n v="151.87"/>
    <n v="151.87"/>
    <n v="221.69"/>
    <n v="46.84"/>
    <n v="46.74"/>
    <n v="356.96"/>
    <n v="46.84"/>
    <n v="53.33"/>
    <n v="1683.6299999999999"/>
    <n v="-6.4899999999999949"/>
  </r>
  <r>
    <x v="5"/>
    <x v="3"/>
    <x v="0"/>
    <s v="6161101"/>
    <n v="700018"/>
    <s v="Salaries-Supervisory-Productive"/>
    <s v="Fleet Services"/>
    <x v="0"/>
    <m/>
    <n v="6958.07"/>
    <n v="6435.88"/>
    <n v="6127.28"/>
    <n v="5169.03"/>
    <n v="5925.52"/>
    <n v="3157.3"/>
    <n v="7150.7"/>
    <n v="5885.8"/>
    <n v="6761.37"/>
    <n v="6712.54"/>
    <n v="5788.57"/>
    <n v="6129.12"/>
    <n v="72201.179999999993"/>
    <n v="-340.55000000000018"/>
  </r>
  <r>
    <x v="5"/>
    <x v="3"/>
    <x v="0"/>
    <s v="6161101"/>
    <n v="700038"/>
    <s v="Salaries-Service/Support-Productive"/>
    <s v="Fleet Services"/>
    <x v="0"/>
    <m/>
    <n v="48260.95"/>
    <n v="49041.36"/>
    <n v="47510.41"/>
    <n v="51978.23"/>
    <n v="52430.18"/>
    <n v="44368.05"/>
    <n v="52408.53"/>
    <n v="48239.83"/>
    <n v="55457.95"/>
    <n v="49289.17"/>
    <n v="51198.16"/>
    <n v="41854.839999999997"/>
    <n v="592037.65999999992"/>
    <n v="9343.320000000007"/>
  </r>
  <r>
    <x v="5"/>
    <x v="3"/>
    <x v="0"/>
    <s v="6161101"/>
    <n v="700038"/>
    <s v="Salaries-Service/Support-OT"/>
    <s v="Fleet Services"/>
    <x v="0"/>
    <n v="1000"/>
    <n v="1334.17"/>
    <n v="1323.55"/>
    <n v="1231.9100000000001"/>
    <n v="757.56"/>
    <n v="524.20000000000005"/>
    <n v="1014.51"/>
    <n v="888.85"/>
    <n v="1567.72"/>
    <n v="875.21"/>
    <n v="1232.72"/>
    <n v="2466.7199999999998"/>
    <n v="2107.1999999999998"/>
    <n v="15324.32"/>
    <n v="359.52"/>
  </r>
  <r>
    <x v="5"/>
    <x v="3"/>
    <x v="0"/>
    <s v="6161101"/>
    <n v="700038"/>
    <s v="Salaries-Service/Support-Other"/>
    <s v="Fleet Services"/>
    <x v="0"/>
    <n v="2000"/>
    <n v="1188.2"/>
    <n v="1161.29"/>
    <n v="1147.3399999999999"/>
    <n v="1184.94"/>
    <n v="1186.79"/>
    <n v="1056.08"/>
    <n v="1146.05"/>
    <n v="1076.8599999999999"/>
    <n v="1220.1500000000001"/>
    <n v="1143.26"/>
    <n v="1177.8499999999999"/>
    <n v="906.83"/>
    <n v="13595.640000000001"/>
    <n v="271.01999999999987"/>
  </r>
  <r>
    <x v="5"/>
    <x v="3"/>
    <x v="0"/>
    <s v="6161101"/>
    <n v="700054"/>
    <s v="Salaries-Management-NonProd-Other"/>
    <s v="Fleet Services"/>
    <x v="0"/>
    <n v="2000"/>
    <n v="0"/>
    <n v="0"/>
    <n v="0"/>
    <n v="0"/>
    <n v="0"/>
    <n v="168.87"/>
    <n v="-168.87"/>
    <n v="0"/>
    <n v="0"/>
    <n v="0"/>
    <n v="0"/>
    <n v="0"/>
    <n v="0"/>
    <n v="0"/>
  </r>
  <r>
    <x v="5"/>
    <x v="3"/>
    <x v="0"/>
    <s v="6161101"/>
    <n v="700058"/>
    <s v="Salaries-Supervisory-Non-productive"/>
    <s v="Fleet Services"/>
    <x v="0"/>
    <m/>
    <n v="403.69"/>
    <n v="926.23"/>
    <n v="997.44"/>
    <n v="1122.1199999999999"/>
    <n v="1360"/>
    <n v="3594.2"/>
    <n v="273.98"/>
    <n v="924.16"/>
    <n v="778.32"/>
    <n v="583.65"/>
    <n v="1751.11"/>
    <n v="1167.43"/>
    <n v="13882.33"/>
    <n v="583.67999999999984"/>
  </r>
  <r>
    <x v="5"/>
    <x v="3"/>
    <x v="0"/>
    <s v="6161101"/>
    <n v="700058"/>
    <s v="Salaries-Supervisory-NonProd-Other"/>
    <s v="Fleet Services"/>
    <x v="0"/>
    <n v="2000"/>
    <n v="0"/>
    <n v="0"/>
    <n v="0"/>
    <n v="0"/>
    <n v="393.4"/>
    <n v="786.8"/>
    <n v="0"/>
    <n v="-1180.2"/>
    <n v="0"/>
    <n v="0"/>
    <n v="0"/>
    <n v="0"/>
    <n v="-2.2737367544323206E-13"/>
    <n v="0"/>
  </r>
  <r>
    <x v="5"/>
    <x v="3"/>
    <x v="0"/>
    <s v="6161101"/>
    <n v="700078"/>
    <s v="Salaries-Service/Support-Non-productive"/>
    <s v="Fleet Services"/>
    <x v="0"/>
    <m/>
    <n v="9069.51"/>
    <n v="8050.15"/>
    <n v="6542.33"/>
    <n v="5190.54"/>
    <n v="4315.84"/>
    <n v="14769.82"/>
    <n v="5894.71"/>
    <n v="6452.39"/>
    <n v="3329.49"/>
    <n v="6809.63"/>
    <n v="5125.78"/>
    <n v="7007.4"/>
    <n v="82557.589999999982"/>
    <n v="-1881.62"/>
  </r>
  <r>
    <x v="5"/>
    <x v="3"/>
    <x v="0"/>
    <s v="6161101"/>
    <n v="700078"/>
    <s v="Salaries-Service/Support-NonProd-Other"/>
    <s v="Fleet Services"/>
    <x v="0"/>
    <n v="2000"/>
    <n v="187.26"/>
    <n v="162.15"/>
    <n v="217.47"/>
    <n v="209.58"/>
    <n v="874.35"/>
    <n v="323.02"/>
    <n v="135.04"/>
    <n v="-556.70000000000005"/>
    <n v="71.239999999999995"/>
    <n v="325.02999999999997"/>
    <n v="-31.41"/>
    <n v="138.11000000000001"/>
    <n v="2055.14"/>
    <n v="-169.52"/>
  </r>
  <r>
    <x v="5"/>
    <x v="3"/>
    <x v="0"/>
    <s v="6161101"/>
    <n v="700084"/>
    <s v="Accrued PTO"/>
    <s v="Fleet Services"/>
    <x v="0"/>
    <m/>
    <n v="-454.46"/>
    <n v="-245.78"/>
    <n v="-1537.97"/>
    <n v="1849.12"/>
    <n v="3740.38"/>
    <n v="-6567.38"/>
    <n v="1139.29"/>
    <n v="1809.22"/>
    <n v="3070.65"/>
    <n v="2105.6999999999998"/>
    <n v="1032.83"/>
    <n v="2565.27"/>
    <n v="8506.869999999999"/>
    <n v="-1532.44"/>
  </r>
  <r>
    <x v="6"/>
    <x v="3"/>
    <x v="0"/>
    <s v="6161101"/>
    <n v="713010"/>
    <s v="Benefits-FICA/Medicare"/>
    <s v="Fleet Services"/>
    <x v="0"/>
    <m/>
    <n v="5022.47"/>
    <n v="4999.54"/>
    <n v="4749.45"/>
    <n v="4885.8500000000004"/>
    <n v="5223.32"/>
    <n v="5354.02"/>
    <n v="5028.38"/>
    <n v="4757.7"/>
    <n v="5040.88"/>
    <n v="4929.43"/>
    <n v="4987"/>
    <n v="4761.87"/>
    <n v="59739.909999999996"/>
    <n v="225.13000000000011"/>
  </r>
  <r>
    <x v="6"/>
    <x v="3"/>
    <x v="0"/>
    <s v="6161101"/>
    <n v="713090"/>
    <s v="Benefits-Allocated Amounts"/>
    <s v="Fleet Services"/>
    <x v="0"/>
    <m/>
    <n v="24312.47"/>
    <n v="22064.86"/>
    <n v="23297.79"/>
    <n v="23688.240000000002"/>
    <n v="23967.09"/>
    <n v="23304.19"/>
    <n v="25227.45"/>
    <n v="24982.52"/>
    <n v="21607.9"/>
    <n v="24313.61"/>
    <n v="25867.98"/>
    <n v="21805.82"/>
    <n v="284439.92"/>
    <n v="4062.16"/>
  </r>
  <r>
    <x v="7"/>
    <x v="3"/>
    <x v="0"/>
    <s v="6161101"/>
    <n v="718050"/>
    <s v="Contract Svcs-Other"/>
    <s v="Fleet Services"/>
    <x v="0"/>
    <m/>
    <n v="96.94"/>
    <n v="33.380000000000003"/>
    <n v="168.5"/>
    <n v="385.49"/>
    <n v="0"/>
    <n v="0"/>
    <n v="0"/>
    <n v="0"/>
    <n v="238.35"/>
    <n v="127.12"/>
    <n v="127.12"/>
    <n v="95.34"/>
    <n v="1272.24"/>
    <n v="31.78"/>
  </r>
  <r>
    <x v="11"/>
    <x v="3"/>
    <x v="0"/>
    <s v="6161101"/>
    <n v="721710"/>
    <s v="Supplies-Laboratory - Nonbillable"/>
    <s v="Fleet Services"/>
    <x v="0"/>
    <m/>
    <n v="0"/>
    <n v="0"/>
    <n v="0"/>
    <n v="0"/>
    <n v="660.63"/>
    <n v="550.52"/>
    <n v="1470.36"/>
    <n v="737.72"/>
    <n v="1422.64"/>
    <n v="1145.6500000000001"/>
    <n v="1539.3"/>
    <n v="2221.9899999999998"/>
    <n v="9748.8100000000013"/>
    <n v="-682.68999999999983"/>
  </r>
  <r>
    <x v="11"/>
    <x v="3"/>
    <x v="0"/>
    <s v="6161101"/>
    <n v="721810"/>
    <s v="Supplies-Dietary/Cafeteria"/>
    <s v="Fleet Services"/>
    <x v="0"/>
    <m/>
    <n v="0"/>
    <n v="0"/>
    <n v="0"/>
    <n v="0"/>
    <n v="0"/>
    <n v="0"/>
    <n v="0"/>
    <n v="0"/>
    <n v="0"/>
    <n v="0"/>
    <n v="0"/>
    <n v="23.4"/>
    <n v="23.4"/>
    <n v="-23.4"/>
  </r>
  <r>
    <x v="11"/>
    <x v="3"/>
    <x v="0"/>
    <s v="6161101"/>
    <n v="721830"/>
    <s v="Supplies-Office"/>
    <s v="Fleet Services"/>
    <x v="0"/>
    <m/>
    <n v="68.790000000000006"/>
    <n v="0"/>
    <n v="0"/>
    <n v="0"/>
    <n v="71.48"/>
    <n v="0"/>
    <n v="85.7"/>
    <n v="0"/>
    <n v="122"/>
    <n v="86.07"/>
    <n v="28.82"/>
    <n v="0"/>
    <n v="462.86"/>
    <n v="28.82"/>
  </r>
  <r>
    <x v="11"/>
    <x v="3"/>
    <x v="0"/>
    <s v="6161101"/>
    <n v="721870"/>
    <s v="Supplies-Environmental Services"/>
    <s v="Fleet Services"/>
    <x v="0"/>
    <m/>
    <n v="0"/>
    <n v="19.21"/>
    <n v="0"/>
    <n v="0"/>
    <n v="0"/>
    <n v="0"/>
    <n v="0"/>
    <n v="0"/>
    <n v="0"/>
    <n v="0"/>
    <n v="0"/>
    <n v="0"/>
    <n v="19.21"/>
    <n v="0"/>
  </r>
  <r>
    <x v="11"/>
    <x v="3"/>
    <x v="0"/>
    <s v="6161101"/>
    <n v="721880"/>
    <s v="Supplies-Linen"/>
    <s v="Fleet Services"/>
    <x v="0"/>
    <m/>
    <n v="17.489999999999998"/>
    <n v="127.57"/>
    <n v="0"/>
    <n v="-2.2000000000000002"/>
    <n v="0"/>
    <n v="0"/>
    <n v="0"/>
    <n v="0"/>
    <n v="0"/>
    <n v="0"/>
    <n v="0"/>
    <n v="-12"/>
    <n v="130.86000000000001"/>
    <n v="12"/>
  </r>
  <r>
    <x v="11"/>
    <x v="3"/>
    <x v="0"/>
    <s v="6161101"/>
    <n v="721910"/>
    <s v="Supplies-Small Equipment"/>
    <s v="Fleet Services"/>
    <x v="0"/>
    <m/>
    <n v="142.58000000000001"/>
    <n v="-1.23"/>
    <n v="0"/>
    <n v="0"/>
    <n v="0"/>
    <n v="0.68"/>
    <n v="0"/>
    <n v="0"/>
    <n v="0"/>
    <n v="0"/>
    <n v="0"/>
    <n v="0"/>
    <n v="142.03000000000003"/>
    <n v="0"/>
  </r>
  <r>
    <x v="11"/>
    <x v="3"/>
    <x v="0"/>
    <s v="6161101"/>
    <n v="721980"/>
    <s v="Supplies-Other"/>
    <s v="Fleet Services"/>
    <x v="0"/>
    <m/>
    <n v="17.489999999999998"/>
    <n v="2636.28"/>
    <n v="357.3"/>
    <n v="847.83"/>
    <n v="1.65"/>
    <n v="187.85"/>
    <n v="278.26"/>
    <n v="297.3"/>
    <n v="0"/>
    <n v="0"/>
    <n v="0"/>
    <n v="-273.02"/>
    <n v="4350.9400000000005"/>
    <n v="273.02"/>
  </r>
  <r>
    <x v="11"/>
    <x v="3"/>
    <x v="0"/>
    <s v="6161101"/>
    <n v="722000"/>
    <s v="Supplies-Freight Expense"/>
    <s v="Fleet Services"/>
    <x v="0"/>
    <m/>
    <n v="8.43"/>
    <n v="0"/>
    <n v="0"/>
    <n v="19.18"/>
    <n v="24.94"/>
    <n v="34.590000000000003"/>
    <n v="8.4"/>
    <n v="0"/>
    <n v="17.18"/>
    <n v="8.61"/>
    <n v="17.34"/>
    <n v="301.48"/>
    <n v="440.15"/>
    <n v="-284.14000000000004"/>
  </r>
  <r>
    <x v="15"/>
    <x v="3"/>
    <x v="0"/>
    <s v="6161101"/>
    <n v="731090"/>
    <s v="Other Utilities"/>
    <s v="Fleet Services"/>
    <x v="0"/>
    <m/>
    <n v="14697.86"/>
    <n v="14239.84"/>
    <n v="15523.56"/>
    <n v="14490.58"/>
    <n v="18205.52"/>
    <n v="17462.439999999999"/>
    <n v="14537.77"/>
    <n v="15063.69"/>
    <n v="12534.25"/>
    <n v="13840.32"/>
    <n v="14541.38"/>
    <n v="14692.57"/>
    <n v="179829.78000000003"/>
    <n v="-151.19000000000051"/>
  </r>
  <r>
    <x v="16"/>
    <x v="3"/>
    <x v="0"/>
    <s v="6161101"/>
    <n v="732015"/>
    <s v="Repairs-Clinical Equip-T&amp;M-Ext to CHI Programs"/>
    <s v="Fleet Services"/>
    <x v="0"/>
    <m/>
    <n v="10056.459999999999"/>
    <n v="7274.38"/>
    <n v="7029.1"/>
    <n v="13878.82"/>
    <n v="6947.62"/>
    <n v="21091.27"/>
    <n v="9151.1200000000008"/>
    <n v="30505.23"/>
    <n v="14427.11"/>
    <n v="32110.09"/>
    <n v="3094.74"/>
    <n v="12457.04"/>
    <n v="168022.98"/>
    <n v="-9362.3000000000011"/>
  </r>
  <r>
    <x v="16"/>
    <x v="3"/>
    <x v="0"/>
    <s v="6161101"/>
    <n v="732020"/>
    <s v="Repairs--Clin Equip-Parts-Internal to CHI Programs"/>
    <s v="Fleet Services"/>
    <x v="0"/>
    <m/>
    <n v="0"/>
    <n v="0"/>
    <n v="1541.5"/>
    <n v="776.28"/>
    <n v="1387.37"/>
    <n v="349.71"/>
    <n v="250.85"/>
    <n v="0"/>
    <n v="107.45"/>
    <n v="0"/>
    <n v="60.57"/>
    <n v="0"/>
    <n v="4473.7299999999996"/>
    <n v="60.57"/>
  </r>
  <r>
    <x v="13"/>
    <x v="3"/>
    <x v="0"/>
    <s v="6161101"/>
    <n v="735070"/>
    <s v="Depreciation-Movable Equipment"/>
    <s v="Fleet Services"/>
    <x v="0"/>
    <m/>
    <n v="3035.68"/>
    <n v="3035.68"/>
    <n v="3035.72"/>
    <n v="3035.68"/>
    <n v="3035.72"/>
    <n v="3035.68"/>
    <n v="3035.72"/>
    <n v="3035.68"/>
    <n v="3035.72"/>
    <n v="3035.67"/>
    <n v="3035.72"/>
    <n v="3035.66"/>
    <n v="36428.33"/>
    <n v="5.999999999994543E-2"/>
  </r>
  <r>
    <x v="0"/>
    <x v="3"/>
    <x v="0"/>
    <s v="6161101"/>
    <n v="742010"/>
    <s v="Postage-Regular"/>
    <s v="Fleet Services"/>
    <x v="0"/>
    <m/>
    <n v="0"/>
    <n v="0"/>
    <n v="0"/>
    <n v="0"/>
    <n v="0"/>
    <n v="0"/>
    <n v="1130.81"/>
    <n v="0"/>
    <n v="0"/>
    <n v="0"/>
    <n v="0"/>
    <n v="0"/>
    <n v="1130.81"/>
    <n v="0"/>
  </r>
  <r>
    <x v="0"/>
    <x v="3"/>
    <x v="0"/>
    <s v="6161101"/>
    <n v="749510"/>
    <s v="Miscellaneous Expenses"/>
    <s v="Fleet Services"/>
    <x v="0"/>
    <m/>
    <n v="4889"/>
    <n v="0"/>
    <n v="4509.1000000000004"/>
    <n v="0"/>
    <n v="4550"/>
    <n v="0"/>
    <n v="4149"/>
    <n v="805.33"/>
    <n v="7070.85"/>
    <n v="1398.95"/>
    <n v="4532"/>
    <n v="3613.38"/>
    <n v="35517.61"/>
    <n v="918.61999999999989"/>
  </r>
  <r>
    <x v="0"/>
    <x v="3"/>
    <x v="0"/>
    <s v="6161101"/>
    <n v="749510"/>
    <s v="Licenses"/>
    <s v="Fleet Services"/>
    <x v="0"/>
    <n v="1002"/>
    <n v="0"/>
    <n v="0"/>
    <n v="928.5"/>
    <n v="10510.25"/>
    <n v="10491.25"/>
    <n v="-10633.25"/>
    <n v="150"/>
    <n v="0"/>
    <n v="0"/>
    <n v="0"/>
    <n v="0"/>
    <n v="402.5"/>
    <n v="11849.25"/>
    <n v="-402.5"/>
  </r>
  <r>
    <x v="0"/>
    <x v="3"/>
    <x v="0"/>
    <s v="6161101"/>
    <n v="749510"/>
    <s v="RICE Rewards"/>
    <s v="Fleet Services"/>
    <x v="0"/>
    <n v="5100"/>
    <n v="0"/>
    <n v="0"/>
    <n v="0"/>
    <n v="0"/>
    <n v="0"/>
    <n v="0"/>
    <n v="0"/>
    <n v="0"/>
    <n v="0"/>
    <n v="0"/>
    <n v="950"/>
    <n v="0"/>
    <n v="950"/>
    <n v="950"/>
  </r>
  <r>
    <x v="5"/>
    <x v="10"/>
    <x v="0"/>
    <s v="6165306"/>
    <n v="700038"/>
    <s v="Salaries-Service/Support-Productive"/>
    <s v="Purchasing"/>
    <x v="0"/>
    <m/>
    <n v="3868.43"/>
    <n v="2060.23"/>
    <n v="4217.93"/>
    <n v="3450.33"/>
    <n v="4394.25"/>
    <n v="2957.74"/>
    <n v="4001.86"/>
    <n v="4110.62"/>
    <n v="4402.71"/>
    <n v="3911.82"/>
    <n v="-393.59"/>
    <n v="5709.77"/>
    <n v="42692.100000000006"/>
    <n v="-6103.3600000000006"/>
  </r>
  <r>
    <x v="5"/>
    <x v="10"/>
    <x v="0"/>
    <s v="6165306"/>
    <n v="700038"/>
    <s v="Salaries-Service/Support-OT"/>
    <s v="Purchasing"/>
    <x v="0"/>
    <n v="1000"/>
    <n v="9.41"/>
    <n v="0"/>
    <n v="124.51"/>
    <n v="20.84"/>
    <n v="2.02"/>
    <n v="48.38"/>
    <n v="21.29"/>
    <n v="54.85"/>
    <n v="121.06"/>
    <n v="224.74"/>
    <n v="43.86"/>
    <n v="13.64"/>
    <n v="684.6"/>
    <n v="30.22"/>
  </r>
  <r>
    <x v="5"/>
    <x v="10"/>
    <x v="0"/>
    <s v="6165306"/>
    <n v="700038"/>
    <s v="Salaries-Service/Support-Other"/>
    <s v="Purchasing"/>
    <x v="0"/>
    <n v="2000"/>
    <n v="0"/>
    <n v="0"/>
    <n v="0"/>
    <n v="0"/>
    <n v="0"/>
    <n v="0"/>
    <n v="0"/>
    <n v="0"/>
    <n v="8.75"/>
    <n v="0"/>
    <n v="0"/>
    <n v="1000"/>
    <n v="1008.75"/>
    <n v="-1000"/>
  </r>
  <r>
    <x v="5"/>
    <x v="10"/>
    <x v="0"/>
    <s v="6165306"/>
    <n v="700078"/>
    <s v="Salaries-Service/Support-Non-productive"/>
    <s v="Purchasing"/>
    <x v="0"/>
    <m/>
    <n v="555.32000000000005"/>
    <n v="2382.5500000000002"/>
    <n v="71.73"/>
    <n v="983.48"/>
    <n v="-94.94"/>
    <n v="1465.33"/>
    <n v="539.1"/>
    <n v="301.47000000000003"/>
    <n v="23.77"/>
    <n v="438.49"/>
    <n v="5093.95"/>
    <n v="-1338.24"/>
    <n v="10422.01"/>
    <n v="6432.19"/>
  </r>
  <r>
    <x v="5"/>
    <x v="10"/>
    <x v="0"/>
    <s v="6165306"/>
    <n v="700084"/>
    <s v="Accrued PTO"/>
    <s v="Purchasing"/>
    <x v="0"/>
    <m/>
    <n v="-24.82"/>
    <n v="-1527.88"/>
    <n v="-14.8"/>
    <n v="390.5"/>
    <n v="203.4"/>
    <n v="-679.67"/>
    <n v="54.85"/>
    <n v="263.48"/>
    <n v="496.5"/>
    <n v="501.63"/>
    <n v="-2097.56"/>
    <n v="443.56"/>
    <n v="-1990.81"/>
    <n v="-2541.12"/>
  </r>
  <r>
    <x v="6"/>
    <x v="10"/>
    <x v="0"/>
    <s v="6165306"/>
    <n v="713010"/>
    <s v="Benefits-FICA/Medicare"/>
    <s v="Purchasing"/>
    <x v="0"/>
    <m/>
    <n v="325.02999999999997"/>
    <n v="325.79000000000002"/>
    <n v="324.02999999999997"/>
    <n v="326.7"/>
    <n v="315.39"/>
    <n v="329.61"/>
    <n v="333.36"/>
    <n v="327.8"/>
    <n v="333.35"/>
    <n v="335.09"/>
    <n v="349.23"/>
    <n v="402.42"/>
    <n v="4027.8000000000006"/>
    <n v="-53.19"/>
  </r>
  <r>
    <x v="6"/>
    <x v="10"/>
    <x v="0"/>
    <s v="6165306"/>
    <n v="713090"/>
    <s v="Benefits-Allocated Amounts"/>
    <s v="Purchasing"/>
    <x v="0"/>
    <m/>
    <n v="746.6"/>
    <n v="762.96"/>
    <n v="875.32"/>
    <n v="787.35"/>
    <n v="787.21"/>
    <n v="902.27"/>
    <n v="800.35"/>
    <n v="768.61"/>
    <n v="903.8"/>
    <n v="854.64"/>
    <n v="715.11"/>
    <n v="957.53"/>
    <n v="9861.7500000000018"/>
    <n v="-242.41999999999996"/>
  </r>
  <r>
    <x v="11"/>
    <x v="10"/>
    <x v="0"/>
    <s v="6165306"/>
    <n v="721830"/>
    <s v="Supplies-Office"/>
    <s v="Purchasing"/>
    <x v="0"/>
    <m/>
    <n v="987.36"/>
    <n v="1447.4"/>
    <n v="246.67"/>
    <n v="558.54"/>
    <n v="519.74"/>
    <n v="847.95"/>
    <n v="11.8"/>
    <n v="983.12"/>
    <n v="2047.16"/>
    <n v="809.61"/>
    <n v="408.22"/>
    <n v="769.72"/>
    <n v="9637.2899999999991"/>
    <n v="-361.5"/>
  </r>
  <r>
    <x v="11"/>
    <x v="10"/>
    <x v="0"/>
    <s v="6165306"/>
    <n v="721870"/>
    <s v="Supplies-Environmental Services"/>
    <s v="Purchasing"/>
    <x v="0"/>
    <m/>
    <n v="0"/>
    <n v="0"/>
    <n v="0"/>
    <n v="0"/>
    <n v="0"/>
    <n v="0"/>
    <n v="0"/>
    <n v="0"/>
    <n v="15.74"/>
    <n v="0"/>
    <n v="0"/>
    <n v="0"/>
    <n v="15.74"/>
    <n v="0"/>
  </r>
  <r>
    <x v="11"/>
    <x v="10"/>
    <x v="0"/>
    <s v="6165306"/>
    <n v="722000"/>
    <s v="Supplies-Freight Expense"/>
    <s v="Purchasing"/>
    <x v="0"/>
    <m/>
    <n v="0"/>
    <n v="16.66"/>
    <n v="0"/>
    <n v="0"/>
    <n v="0"/>
    <n v="58.45"/>
    <n v="0"/>
    <n v="0"/>
    <n v="0"/>
    <n v="0"/>
    <n v="0"/>
    <n v="0"/>
    <n v="75.11"/>
    <n v="0"/>
  </r>
  <r>
    <x v="13"/>
    <x v="10"/>
    <x v="0"/>
    <s v="6165306"/>
    <n v="735070"/>
    <s v="Depreciation-Movable Equipment"/>
    <s v="Purchasing"/>
    <x v="0"/>
    <m/>
    <n v="65.650000000000006"/>
    <n v="65.64"/>
    <n v="65.650000000000006"/>
    <n v="65.64"/>
    <n v="65.67"/>
    <n v="65.64"/>
    <n v="65.67"/>
    <n v="65.64"/>
    <n v="65.67"/>
    <n v="65.64"/>
    <n v="65.680000000000007"/>
    <n v="65.64"/>
    <n v="787.83"/>
    <n v="4.0000000000006253E-2"/>
  </r>
  <r>
    <x v="5"/>
    <x v="3"/>
    <x v="0"/>
    <s v="6170101"/>
    <n v="700038"/>
    <s v="Salaries-Service/Support-Productive"/>
    <s v="Mail Center"/>
    <x v="0"/>
    <m/>
    <n v="2459.7399999999998"/>
    <n v="3203.07"/>
    <n v="2605.92"/>
    <n v="3339.44"/>
    <n v="2827.62"/>
    <n v="733.69"/>
    <n v="3166.71"/>
    <n v="2517.3000000000002"/>
    <n v="3480.1"/>
    <n v="3031.09"/>
    <n v="3004.2"/>
    <n v="3062.34"/>
    <n v="33431.22"/>
    <n v="-58.140000000000327"/>
  </r>
  <r>
    <x v="5"/>
    <x v="3"/>
    <x v="0"/>
    <s v="6170101"/>
    <n v="700038"/>
    <s v="Salaries-Service/Support-OT"/>
    <s v="Mail Center"/>
    <x v="0"/>
    <n v="1000"/>
    <n v="0"/>
    <n v="0"/>
    <n v="0"/>
    <n v="0"/>
    <n v="0"/>
    <n v="0"/>
    <n v="0"/>
    <n v="9.86"/>
    <n v="-2.59"/>
    <n v="0"/>
    <n v="0"/>
    <n v="0"/>
    <n v="7.27"/>
    <n v="0"/>
  </r>
  <r>
    <x v="5"/>
    <x v="3"/>
    <x v="0"/>
    <s v="6170101"/>
    <n v="700078"/>
    <s v="Salaries-Service/Support-Non-productive"/>
    <s v="Mail Center"/>
    <x v="0"/>
    <m/>
    <n v="831.43"/>
    <n v="88.28"/>
    <n v="579.29"/>
    <n v="-48.09"/>
    <n v="414.56"/>
    <n v="2623.18"/>
    <n v="195.4"/>
    <n v="592.79"/>
    <n v="-49.11"/>
    <n v="289.13"/>
    <n v="426.78"/>
    <n v="223.79"/>
    <n v="6167.4299999999994"/>
    <n v="202.98999999999998"/>
  </r>
  <r>
    <x v="5"/>
    <x v="3"/>
    <x v="0"/>
    <s v="6170101"/>
    <n v="700078"/>
    <s v="Salaries-Service/Support-NonProd-Other"/>
    <s v="Mail Cente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170101"/>
    <n v="700084"/>
    <s v="Accrued PTO"/>
    <s v="Mail Center"/>
    <x v="0"/>
    <m/>
    <n v="-389.62"/>
    <n v="270.14999999999998"/>
    <n v="-78.22"/>
    <n v="358.41"/>
    <n v="63.97"/>
    <n v="-1500.65"/>
    <n v="104.79"/>
    <n v="-86.62"/>
    <n v="397.06"/>
    <n v="237.68"/>
    <n v="49.13"/>
    <n v="218.93"/>
    <n v="-354.98999999999995"/>
    <n v="-169.8"/>
  </r>
  <r>
    <x v="6"/>
    <x v="3"/>
    <x v="0"/>
    <s v="6170101"/>
    <n v="713010"/>
    <s v="Benefits-FICA/Medicare"/>
    <s v="Mail Center"/>
    <x v="0"/>
    <m/>
    <n v="250.01"/>
    <n v="250.04"/>
    <n v="241.94"/>
    <n v="250.05"/>
    <n v="281.58"/>
    <n v="254.99"/>
    <n v="254.93"/>
    <n v="236.63"/>
    <n v="260"/>
    <n v="251.81"/>
    <n v="260.20999999999998"/>
    <n v="249.2"/>
    <n v="3041.39"/>
    <n v="11.009999999999991"/>
  </r>
  <r>
    <x v="6"/>
    <x v="3"/>
    <x v="0"/>
    <s v="6170101"/>
    <n v="713090"/>
    <s v="Benefits-Allocated Amounts"/>
    <s v="Mail Center"/>
    <x v="0"/>
    <m/>
    <n v="1241.1500000000001"/>
    <n v="1124.81"/>
    <n v="1224.47"/>
    <n v="1265.5899999999999"/>
    <n v="1215.4000000000001"/>
    <n v="1113.2"/>
    <n v="1292.8800000000001"/>
    <n v="1456.51"/>
    <n v="982.68"/>
    <n v="1280.07"/>
    <n v="1342.68"/>
    <n v="1287.78"/>
    <n v="14827.220000000001"/>
    <n v="54.900000000000091"/>
  </r>
  <r>
    <x v="11"/>
    <x v="3"/>
    <x v="0"/>
    <s v="6170101"/>
    <n v="722000"/>
    <s v="Supplies-Freight Expense"/>
    <s v="Mail Center"/>
    <x v="0"/>
    <m/>
    <n v="0"/>
    <n v="0"/>
    <n v="0"/>
    <n v="0"/>
    <n v="0"/>
    <n v="0"/>
    <n v="0"/>
    <n v="0"/>
    <n v="9.58"/>
    <n v="0"/>
    <n v="0"/>
    <n v="0"/>
    <n v="9.58"/>
    <n v="0"/>
  </r>
  <r>
    <x v="0"/>
    <x v="3"/>
    <x v="0"/>
    <s v="6170101"/>
    <n v="742010"/>
    <s v="Postage-Regular"/>
    <s v="Mail Center"/>
    <x v="0"/>
    <m/>
    <n v="27880.11"/>
    <n v="75097.48"/>
    <n v="39215.370000000003"/>
    <n v="33373.730000000003"/>
    <n v="45036.3"/>
    <n v="18300.7"/>
    <n v="78962.8"/>
    <n v="0"/>
    <n v="14584.72"/>
    <n v="17477.98"/>
    <n v="9482.7800000000007"/>
    <n v="61106.41"/>
    <n v="420518.38"/>
    <n v="-51623.630000000005"/>
  </r>
  <r>
    <x v="0"/>
    <x v="3"/>
    <x v="0"/>
    <s v="6170101"/>
    <n v="749510"/>
    <s v="RICE Rewards"/>
    <s v="Mail Center"/>
    <x v="0"/>
    <n v="5100"/>
    <n v="0"/>
    <n v="0"/>
    <n v="0"/>
    <n v="0"/>
    <n v="0"/>
    <n v="0"/>
    <n v="0"/>
    <n v="0"/>
    <n v="0"/>
    <n v="0"/>
    <n v="50"/>
    <n v="0"/>
    <n v="50"/>
    <n v="50"/>
  </r>
  <r>
    <x v="5"/>
    <x v="0"/>
    <x v="0"/>
    <s v="6170102"/>
    <n v="700038"/>
    <s v="Salaries-Service/Support-Productive"/>
    <s v="Mail Center"/>
    <x v="0"/>
    <m/>
    <n v="1294.8"/>
    <n v="1360.8"/>
    <n v="1624.9"/>
    <n v="1500.69"/>
    <n v="1627.23"/>
    <n v="1421.37"/>
    <n v="1553.2"/>
    <n v="1227.78"/>
    <n v="1437.62"/>
    <n v="795.74"/>
    <n v="1775.97"/>
    <n v="1465.61"/>
    <n v="17085.710000000003"/>
    <n v="310.36000000000013"/>
  </r>
  <r>
    <x v="5"/>
    <x v="0"/>
    <x v="0"/>
    <s v="6170102"/>
    <n v="700078"/>
    <s v="Salaries-Service/Support-Non-productive"/>
    <s v="Mail Center"/>
    <x v="0"/>
    <m/>
    <n v="463.28"/>
    <n v="397.36"/>
    <n v="76.56"/>
    <n v="298.7"/>
    <n v="108.75"/>
    <n v="376.63"/>
    <n v="247.6"/>
    <n v="398.6"/>
    <n v="363.05"/>
    <n v="946.76"/>
    <n v="24.67"/>
    <n v="277.01"/>
    <n v="3978.9700000000003"/>
    <n v="-252.33999999999997"/>
  </r>
  <r>
    <x v="5"/>
    <x v="0"/>
    <x v="0"/>
    <s v="6170102"/>
    <n v="700084"/>
    <s v="Accrued PTO"/>
    <s v="Mail Center"/>
    <x v="0"/>
    <m/>
    <n v="-187.38"/>
    <n v="-98.26"/>
    <n v="154.83000000000001"/>
    <n v="248.51"/>
    <n v="173.57"/>
    <n v="-26.19"/>
    <n v="26.39"/>
    <n v="-95.41"/>
    <n v="-8.93"/>
    <n v="-704.41"/>
    <n v="148.38999999999999"/>
    <n v="115.71"/>
    <n v="-253.18"/>
    <n v="32.679999999999993"/>
  </r>
  <r>
    <x v="6"/>
    <x v="0"/>
    <x v="0"/>
    <s v="6170102"/>
    <n v="713010"/>
    <s v="Benefits-FICA/Medicare"/>
    <s v="Mail Center"/>
    <x v="0"/>
    <m/>
    <n v="105.65"/>
    <n v="105.67"/>
    <n v="102.25"/>
    <n v="108.8"/>
    <n v="104.9"/>
    <n v="106.97"/>
    <n v="105.33"/>
    <n v="95.13"/>
    <n v="105.32"/>
    <n v="101.92"/>
    <n v="105.31"/>
    <n v="101.94"/>
    <n v="1249.19"/>
    <n v="3.3700000000000045"/>
  </r>
  <r>
    <x v="6"/>
    <x v="0"/>
    <x v="0"/>
    <s v="6170102"/>
    <n v="713090"/>
    <s v="Benefits-Allocated Amounts"/>
    <s v="Mail Center"/>
    <x v="0"/>
    <m/>
    <n v="589.73"/>
    <n v="512.12"/>
    <n v="556.61"/>
    <n v="578.36"/>
    <n v="577.92999999999995"/>
    <n v="531.69000000000005"/>
    <n v="613.41999999999996"/>
    <n v="585.53"/>
    <n v="575.48"/>
    <n v="547.42999999999995"/>
    <n v="626.16999999999996"/>
    <n v="601.49"/>
    <n v="6895.9600000000009"/>
    <n v="24.67999999999995"/>
  </r>
  <r>
    <x v="5"/>
    <x v="4"/>
    <x v="0"/>
    <s v="6170103"/>
    <n v="700038"/>
    <s v="Salaries-Service/Support-Productive"/>
    <s v="Mail Center"/>
    <x v="0"/>
    <m/>
    <n v="828.65"/>
    <n v="1414.72"/>
    <n v="1084.06"/>
    <n v="1285.95"/>
    <n v="1224.98"/>
    <n v="1272.94"/>
    <n v="1255.32"/>
    <n v="1102"/>
    <n v="1413.93"/>
    <n v="1292.95"/>
    <n v="1365.9"/>
    <n v="826.22"/>
    <n v="14367.62"/>
    <n v="539.68000000000006"/>
  </r>
  <r>
    <x v="5"/>
    <x v="4"/>
    <x v="0"/>
    <s v="6170103"/>
    <n v="700078"/>
    <s v="Salaries-Service/Support-Non-productive"/>
    <s v="Mail Center"/>
    <x v="0"/>
    <m/>
    <n v="545.03"/>
    <n v="-40.950000000000003"/>
    <n v="245.38"/>
    <n v="87.81"/>
    <n v="104.41"/>
    <n v="120.76"/>
    <n v="145.46"/>
    <n v="163.87"/>
    <n v="-12.42"/>
    <n v="63.29"/>
    <n v="35.6"/>
    <n v="530.08000000000004"/>
    <n v="1988.3199999999997"/>
    <n v="-494.48"/>
  </r>
  <r>
    <x v="5"/>
    <x v="4"/>
    <x v="0"/>
    <s v="6170103"/>
    <n v="700084"/>
    <s v="Accrued PTO"/>
    <s v="Mail Center"/>
    <x v="0"/>
    <m/>
    <n v="-9.7100000000000009"/>
    <n v="101.8"/>
    <n v="-57.34"/>
    <n v="-14.53"/>
    <n v="66.75"/>
    <n v="26.94"/>
    <n v="24.9"/>
    <n v="-26.8"/>
    <n v="115.38"/>
    <n v="68.150000000000006"/>
    <n v="95.65"/>
    <n v="-332.36"/>
    <n v="58.829999999999927"/>
    <n v="428.01"/>
  </r>
  <r>
    <x v="6"/>
    <x v="4"/>
    <x v="0"/>
    <s v="6170103"/>
    <n v="713010"/>
    <s v="Benefits-FICA/Medicare"/>
    <s v="Mail Center"/>
    <x v="0"/>
    <m/>
    <n v="102.88"/>
    <n v="102.88"/>
    <n v="99.58"/>
    <n v="102.88"/>
    <n v="99.56"/>
    <n v="104.42"/>
    <n v="104.78"/>
    <n v="94.71"/>
    <n v="104.85"/>
    <n v="101.45"/>
    <n v="104.86"/>
    <n v="101.49"/>
    <n v="1224.3399999999999"/>
    <n v="3.3700000000000045"/>
  </r>
  <r>
    <x v="6"/>
    <x v="4"/>
    <x v="0"/>
    <s v="6170103"/>
    <n v="713090"/>
    <s v="Benefits-Allocated Amounts"/>
    <s v="Mail Center"/>
    <x v="0"/>
    <m/>
    <n v="552.20000000000005"/>
    <n v="461.7"/>
    <n v="504.94"/>
    <n v="497.42"/>
    <n v="515.89"/>
    <n v="516.46"/>
    <n v="567.15"/>
    <n v="507.12"/>
    <n v="509.02"/>
    <n v="568.91"/>
    <n v="552.71"/>
    <n v="559.45000000000005"/>
    <n v="6312.9699999999993"/>
    <n v="-6.7400000000000091"/>
  </r>
  <r>
    <x v="5"/>
    <x v="5"/>
    <x v="0"/>
    <s v="6170106"/>
    <n v="700038"/>
    <s v="Salaries-Service/Support-Productive"/>
    <s v="Mail Center"/>
    <x v="0"/>
    <m/>
    <n v="0"/>
    <n v="0"/>
    <n v="874.15"/>
    <n v="821.47"/>
    <n v="1299.29"/>
    <n v="430.87"/>
    <n v="1380.29"/>
    <n v="350.27"/>
    <n v="1517.44"/>
    <n v="1405.41"/>
    <n v="1422.31"/>
    <n v="589.78"/>
    <n v="10091.280000000001"/>
    <n v="832.53"/>
  </r>
  <r>
    <x v="6"/>
    <x v="5"/>
    <x v="0"/>
    <s v="6170106"/>
    <n v="713010"/>
    <s v="Benefits-FICA/Medicare"/>
    <s v="Mail Center"/>
    <x v="0"/>
    <m/>
    <n v="0"/>
    <n v="0"/>
    <n v="66.89"/>
    <n v="62.83"/>
    <n v="99.4"/>
    <n v="32.96"/>
    <n v="105.43"/>
    <n v="26.76"/>
    <n v="115.91"/>
    <n v="107.35"/>
    <n v="108.65"/>
    <n v="45.03"/>
    <n v="771.20999999999992"/>
    <n v="63.620000000000005"/>
  </r>
  <r>
    <x v="6"/>
    <x v="5"/>
    <x v="0"/>
    <s v="6170106"/>
    <n v="713090"/>
    <s v="Benefits-Allocated Amounts"/>
    <s v="Mail Center"/>
    <x v="0"/>
    <m/>
    <n v="0"/>
    <n v="0"/>
    <n v="368.75"/>
    <n v="335.91"/>
    <n v="532.25"/>
    <n v="187.48"/>
    <n v="571.58000000000004"/>
    <n v="196.92"/>
    <n v="587.6"/>
    <n v="567.32000000000005"/>
    <n v="638.26"/>
    <n v="234.33"/>
    <n v="4220.4000000000005"/>
    <n v="403.92999999999995"/>
  </r>
  <r>
    <x v="5"/>
    <x v="6"/>
    <x v="0"/>
    <s v="6170107"/>
    <n v="700038"/>
    <s v="Salaries-Service/Support-Productive"/>
    <s v="Mail Center"/>
    <x v="0"/>
    <m/>
    <n v="3038.21"/>
    <n v="3167.36"/>
    <n v="3156.73"/>
    <n v="3242.45"/>
    <n v="2913.58"/>
    <n v="2811.63"/>
    <n v="3031.74"/>
    <n v="1727.94"/>
    <n v="3701.32"/>
    <n v="3454.11"/>
    <n v="2304.75"/>
    <n v="3757.62"/>
    <n v="36307.439999999995"/>
    <n v="-1452.87"/>
  </r>
  <r>
    <x v="5"/>
    <x v="6"/>
    <x v="0"/>
    <s v="6170107"/>
    <n v="700038"/>
    <s v="Salaries-Service/Support-OT"/>
    <s v="Mail Center"/>
    <x v="0"/>
    <n v="1000"/>
    <n v="0"/>
    <n v="10.62"/>
    <n v="43.58"/>
    <n v="-17"/>
    <n v="0"/>
    <n v="0"/>
    <n v="0"/>
    <n v="7.45"/>
    <n v="0"/>
    <n v="0"/>
    <n v="0"/>
    <n v="0"/>
    <n v="44.65"/>
    <n v="0"/>
  </r>
  <r>
    <x v="5"/>
    <x v="6"/>
    <x v="0"/>
    <s v="6170107"/>
    <n v="700078"/>
    <s v="Salaries-Service/Support-Non-productive"/>
    <s v="Mail Center"/>
    <x v="0"/>
    <m/>
    <n v="476.16"/>
    <n v="340.09"/>
    <n v="215.43"/>
    <n v="283.42"/>
    <n v="487.48"/>
    <n v="702.91"/>
    <n v="488.27"/>
    <n v="1436.21"/>
    <n v="-181.6"/>
    <n v="0"/>
    <n v="1277.03"/>
    <n v="-291.33"/>
    <n v="5234.07"/>
    <n v="1568.36"/>
  </r>
  <r>
    <x v="5"/>
    <x v="6"/>
    <x v="0"/>
    <s v="6170107"/>
    <n v="700084"/>
    <s v="Accrued PTO"/>
    <s v="Mail Center"/>
    <x v="0"/>
    <m/>
    <n v="-134.32"/>
    <n v="103.17"/>
    <n v="22.22"/>
    <n v="341.84"/>
    <n v="24.6"/>
    <n v="-439.65"/>
    <n v="-134.32"/>
    <n v="-175.58"/>
    <n v="183.12"/>
    <n v="420.75"/>
    <n v="186.55"/>
    <n v="198.67"/>
    <n v="597.05000000000007"/>
    <n v="-12.119999999999976"/>
  </r>
  <r>
    <x v="6"/>
    <x v="6"/>
    <x v="0"/>
    <s v="6170107"/>
    <n v="713010"/>
    <s v="Benefits-FICA/Medicare"/>
    <s v="Mail Center"/>
    <x v="0"/>
    <m/>
    <n v="268.83"/>
    <n v="269.14999999999998"/>
    <n v="261.31"/>
    <n v="268.42"/>
    <n v="260.18"/>
    <n v="268.87"/>
    <n v="268.86"/>
    <n v="242.27"/>
    <n v="268.85000000000002"/>
    <n v="263.86"/>
    <n v="273.62"/>
    <n v="264.77"/>
    <n v="3178.9900000000002"/>
    <n v="8.8500000000000227"/>
  </r>
  <r>
    <x v="6"/>
    <x v="6"/>
    <x v="0"/>
    <s v="6170107"/>
    <n v="713090"/>
    <s v="Benefits-Allocated Amounts"/>
    <s v="Mail Center"/>
    <x v="0"/>
    <m/>
    <n v="1051.47"/>
    <n v="957.97"/>
    <n v="999.34"/>
    <n v="1029.6099999999999"/>
    <n v="1174.06"/>
    <n v="1057.1199999999999"/>
    <n v="1096.3599999999999"/>
    <n v="1036.45"/>
    <n v="969.54"/>
    <n v="1122.78"/>
    <n v="1090.47"/>
    <n v="1261.04"/>
    <n v="12846.210000000003"/>
    <n v="-170.56999999999994"/>
  </r>
  <r>
    <x v="11"/>
    <x v="6"/>
    <x v="0"/>
    <s v="6170107"/>
    <n v="721410"/>
    <s v="Supplies-Medical - Nonbillable"/>
    <s v="Mail Center"/>
    <x v="0"/>
    <m/>
    <n v="4.8499999999999996"/>
    <n v="0"/>
    <n v="0"/>
    <n v="0"/>
    <n v="0"/>
    <n v="0"/>
    <n v="0"/>
    <n v="0"/>
    <n v="9.6999999999999993"/>
    <n v="0"/>
    <n v="0"/>
    <n v="0"/>
    <n v="14.549999999999999"/>
    <n v="0"/>
  </r>
  <r>
    <x v="11"/>
    <x v="6"/>
    <x v="0"/>
    <s v="6170107"/>
    <n v="721810"/>
    <s v="Supplies-Dietary/Cafeteria"/>
    <s v="Mail Center"/>
    <x v="0"/>
    <m/>
    <n v="0"/>
    <n v="0"/>
    <n v="0"/>
    <n v="0"/>
    <n v="0"/>
    <n v="0"/>
    <n v="0"/>
    <n v="0"/>
    <n v="0"/>
    <n v="8"/>
    <n v="0"/>
    <n v="0"/>
    <n v="8"/>
    <n v="0"/>
  </r>
  <r>
    <x v="0"/>
    <x v="6"/>
    <x v="0"/>
    <s v="6170107"/>
    <n v="742010"/>
    <s v="Postage-Regular"/>
    <s v="Mail Center"/>
    <x v="0"/>
    <m/>
    <n v="24690"/>
    <n v="8000"/>
    <n v="8000"/>
    <n v="16000"/>
    <n v="24000"/>
    <n v="8000"/>
    <n v="9480"/>
    <n v="8000"/>
    <n v="16000"/>
    <n v="16000"/>
    <n v="32235"/>
    <n v="0"/>
    <n v="170405"/>
    <n v="32235"/>
  </r>
  <r>
    <x v="0"/>
    <x v="7"/>
    <x v="0"/>
    <s v="6170150"/>
    <n v="742010"/>
    <s v="Postage-Regular"/>
    <s v="Mail Center"/>
    <x v="0"/>
    <m/>
    <n v="0"/>
    <n v="394"/>
    <n v="0"/>
    <n v="-394"/>
    <n v="0"/>
    <n v="0"/>
    <n v="0"/>
    <n v="0"/>
    <n v="0"/>
    <n v="0"/>
    <n v="0"/>
    <n v="0"/>
    <n v="0"/>
    <n v="0"/>
  </r>
  <r>
    <x v="15"/>
    <x v="5"/>
    <x v="0"/>
    <s v="6175106"/>
    <n v="731060"/>
    <s v="Pagers"/>
    <s v="Printing"/>
    <x v="0"/>
    <n v="1002"/>
    <n v="15.98"/>
    <n v="15.98"/>
    <n v="-31.96"/>
    <n v="0"/>
    <n v="0"/>
    <n v="0"/>
    <n v="0"/>
    <n v="0"/>
    <n v="0"/>
    <n v="0"/>
    <n v="0"/>
    <n v="0"/>
    <n v="0"/>
    <n v="0"/>
  </r>
  <r>
    <x v="0"/>
    <x v="5"/>
    <x v="0"/>
    <s v="6175106"/>
    <n v="742010"/>
    <s v="Postage-Regular"/>
    <s v="Printing"/>
    <x v="0"/>
    <m/>
    <n v="-75"/>
    <n v="-75"/>
    <n v="150"/>
    <n v="0"/>
    <n v="0"/>
    <n v="0"/>
    <n v="0"/>
    <n v="0"/>
    <n v="0"/>
    <n v="0"/>
    <n v="0"/>
    <n v="0"/>
    <n v="0"/>
    <n v="0"/>
  </r>
  <r>
    <x v="5"/>
    <x v="9"/>
    <x v="0"/>
    <s v="6175501"/>
    <n v="700054"/>
    <s v="Salaries-Management-NonProd-Other"/>
    <s v="Printing &amp; Duplicating"/>
    <x v="0"/>
    <n v="2000"/>
    <n v="0"/>
    <n v="0"/>
    <n v="0"/>
    <n v="0"/>
    <n v="0"/>
    <n v="1656.08"/>
    <n v="-1656.08"/>
    <n v="0"/>
    <n v="0"/>
    <n v="0"/>
    <n v="0"/>
    <n v="0"/>
    <n v="0"/>
    <n v="0"/>
  </r>
  <r>
    <x v="6"/>
    <x v="9"/>
    <x v="0"/>
    <s v="6175501"/>
    <n v="713010"/>
    <s v="Benefits-FICA/Medicare"/>
    <s v="Printing &amp; Duplicating"/>
    <x v="0"/>
    <m/>
    <n v="0"/>
    <n v="0"/>
    <n v="0"/>
    <n v="0"/>
    <n v="0"/>
    <n v="126.7"/>
    <n v="126.7"/>
    <n v="0"/>
    <n v="0"/>
    <n v="0"/>
    <n v="0"/>
    <n v="0"/>
    <n v="253.4"/>
    <n v="0"/>
  </r>
  <r>
    <x v="6"/>
    <x v="9"/>
    <x v="0"/>
    <s v="6175501"/>
    <n v="713090"/>
    <s v="Benefits-Allocated Amounts"/>
    <s v="Printing &amp; Duplicating"/>
    <x v="0"/>
    <m/>
    <n v="0"/>
    <n v="0"/>
    <n v="0"/>
    <n v="0"/>
    <n v="0"/>
    <n v="81.89"/>
    <n v="-16.79"/>
    <n v="-65.099999999999994"/>
    <n v="0"/>
    <n v="0"/>
    <n v="0"/>
    <n v="0"/>
    <n v="0"/>
    <n v="0"/>
  </r>
  <r>
    <x v="21"/>
    <x v="9"/>
    <x v="0"/>
    <s v="6175501"/>
    <n v="716046"/>
    <s v="Consulting-Other"/>
    <s v="Printing &amp; Duplicating"/>
    <x v="0"/>
    <m/>
    <n v="0"/>
    <n v="0"/>
    <n v="0"/>
    <n v="551.85"/>
    <n v="0"/>
    <n v="0"/>
    <n v="0"/>
    <n v="0"/>
    <n v="0"/>
    <n v="0"/>
    <n v="0"/>
    <n v="0"/>
    <n v="551.85"/>
    <n v="0"/>
  </r>
  <r>
    <x v="7"/>
    <x v="9"/>
    <x v="0"/>
    <s v="6175501"/>
    <n v="718050"/>
    <s v="Contract Svcs-Other"/>
    <s v="Printing &amp; Duplicating"/>
    <x v="0"/>
    <m/>
    <n v="32655.32"/>
    <n v="54771.59"/>
    <n v="45795.040000000001"/>
    <n v="35408.379999999997"/>
    <n v="50349.55"/>
    <n v="56165.9"/>
    <n v="61075.01"/>
    <n v="45635.13"/>
    <n v="47272.86"/>
    <n v="45826.19"/>
    <n v="60689.58"/>
    <n v="51411.19"/>
    <n v="587055.74"/>
    <n v="9278.39"/>
  </r>
  <r>
    <x v="11"/>
    <x v="9"/>
    <x v="0"/>
    <s v="6175501"/>
    <n v="721830"/>
    <s v="Supplies-Office"/>
    <s v="Printing &amp; Duplicating"/>
    <x v="0"/>
    <m/>
    <n v="1215.54"/>
    <n v="1215.54"/>
    <n v="1215.54"/>
    <n v="1221.54"/>
    <n v="1218.54"/>
    <n v="1218.54"/>
    <n v="1218.54"/>
    <n v="968.63"/>
    <n v="1218.54"/>
    <n v="1219.6500000000001"/>
    <n v="1219.6500000000001"/>
    <n v="1219.6500000000001"/>
    <n v="14369.899999999996"/>
    <n v="0"/>
  </r>
  <r>
    <x v="11"/>
    <x v="9"/>
    <x v="0"/>
    <s v="6175501"/>
    <n v="721835"/>
    <s v="Supplies-Forms"/>
    <s v="Printing &amp; Duplicating"/>
    <x v="0"/>
    <m/>
    <n v="0"/>
    <n v="0"/>
    <n v="0"/>
    <n v="0"/>
    <n v="-116593.3"/>
    <n v="-33965.230000000003"/>
    <n v="-21780.52"/>
    <n v="0"/>
    <n v="-45936.3"/>
    <n v="-34736.82"/>
    <n v="-34885.11"/>
    <n v="-37972.550000000003"/>
    <n v="-325869.82999999996"/>
    <n v="3087.4400000000023"/>
  </r>
  <r>
    <x v="11"/>
    <x v="9"/>
    <x v="0"/>
    <s v="6175501"/>
    <n v="721910"/>
    <s v="Supplies-Small Equipment"/>
    <s v="Printing &amp; Duplicating"/>
    <x v="0"/>
    <m/>
    <n v="0"/>
    <n v="0"/>
    <n v="0"/>
    <n v="0"/>
    <n v="0"/>
    <n v="0"/>
    <n v="0"/>
    <n v="0"/>
    <n v="0"/>
    <n v="0"/>
    <n v="2825.46"/>
    <n v="0"/>
    <n v="2825.46"/>
    <n v="2825.46"/>
  </r>
  <r>
    <x v="11"/>
    <x v="9"/>
    <x v="0"/>
    <s v="6175501"/>
    <n v="722000"/>
    <s v="Supplies-Freight Expense"/>
    <s v="Printing &amp; Duplicating"/>
    <x v="0"/>
    <m/>
    <n v="7.96"/>
    <n v="109.02"/>
    <n v="114.12"/>
    <n v="60.73"/>
    <n v="98.68"/>
    <n v="112.15"/>
    <n v="50.45"/>
    <n v="153.33000000000001"/>
    <n v="65.42"/>
    <n v="102.91"/>
    <n v="82.37"/>
    <n v="95.29"/>
    <n v="1052.43"/>
    <n v="-12.920000000000002"/>
  </r>
  <r>
    <x v="12"/>
    <x v="9"/>
    <x v="0"/>
    <s v="6175501"/>
    <n v="730020"/>
    <s v="Rental and Leases-Equipment (DO NOT USE)"/>
    <s v="Printing &amp; Duplicating"/>
    <x v="0"/>
    <m/>
    <n v="24675"/>
    <n v="25674.05"/>
    <n v="25174.53"/>
    <n v="25433.57"/>
    <n v="34839.79"/>
    <n v="25199.09"/>
    <n v="25199.08"/>
    <n v="25199.08"/>
    <n v="25198.98"/>
    <n v="25222.03"/>
    <n v="25221.96"/>
    <n v="25221.96"/>
    <n v="312259.12000000005"/>
    <n v="0"/>
  </r>
  <r>
    <x v="12"/>
    <x v="9"/>
    <x v="0"/>
    <s v="6175501"/>
    <n v="730020"/>
    <s v="Rental and Leases-Equipment-Other (DO NOT USE)"/>
    <s v="Printing &amp; Duplicating"/>
    <x v="0"/>
    <n v="6511"/>
    <n v="49374"/>
    <n v="-462.94"/>
    <n v="0"/>
    <n v="0"/>
    <n v="0"/>
    <n v="38193.17"/>
    <n v="0"/>
    <n v="0"/>
    <n v="56882.14"/>
    <n v="0"/>
    <n v="36965.760000000002"/>
    <n v="0"/>
    <n v="180952.13"/>
    <n v="36965.760000000002"/>
  </r>
  <r>
    <x v="15"/>
    <x v="9"/>
    <x v="0"/>
    <s v="6175501"/>
    <n v="731060"/>
    <s v="Pagers"/>
    <s v="Printing &amp; Duplicating"/>
    <x v="0"/>
    <n v="1002"/>
    <n v="0"/>
    <n v="0"/>
    <n v="47.94"/>
    <n v="8.02"/>
    <n v="27.51"/>
    <n v="0"/>
    <n v="0"/>
    <n v="0"/>
    <n v="0"/>
    <n v="0"/>
    <n v="0"/>
    <n v="0"/>
    <n v="83.47"/>
    <n v="0"/>
  </r>
  <r>
    <x v="13"/>
    <x v="9"/>
    <x v="0"/>
    <s v="6175501"/>
    <n v="735050"/>
    <s v="Amortization-Leasehold Improvements"/>
    <s v="Printing &amp; Duplicating"/>
    <x v="0"/>
    <m/>
    <n v="0"/>
    <n v="0"/>
    <n v="464.13"/>
    <n v="464.13"/>
    <n v="464.13"/>
    <n v="482.7"/>
    <n v="784.04"/>
    <n v="784.04"/>
    <n v="784.04"/>
    <n v="1526.59"/>
    <n v="575.39"/>
    <n v="575.38"/>
    <n v="6904.5700000000006"/>
    <n v="9.9999999999909051E-3"/>
  </r>
  <r>
    <x v="0"/>
    <x v="9"/>
    <x v="0"/>
    <s v="6175501"/>
    <n v="742010"/>
    <s v="Postage-Regular"/>
    <s v="Printing &amp; Duplicating"/>
    <x v="0"/>
    <m/>
    <n v="0"/>
    <n v="0"/>
    <n v="-225"/>
    <n v="-75"/>
    <n v="-75"/>
    <n v="-75"/>
    <n v="-75"/>
    <n v="-75"/>
    <n v="-75"/>
    <n v="-75"/>
    <n v="-75"/>
    <n v="-75"/>
    <n v="-900"/>
    <n v="0"/>
  </r>
  <r>
    <x v="14"/>
    <x v="5"/>
    <x v="0"/>
    <s v="6200106"/>
    <n v="600050"/>
    <s v="Miscellaneous Revenue"/>
    <s v="Health Information Management"/>
    <x v="0"/>
    <m/>
    <n v="0"/>
    <n v="0"/>
    <n v="0"/>
    <n v="0"/>
    <n v="0"/>
    <n v="0"/>
    <n v="0"/>
    <n v="0"/>
    <n v="0"/>
    <n v="0"/>
    <n v="0"/>
    <n v="0"/>
    <n v="0"/>
    <n v="0"/>
  </r>
  <r>
    <x v="7"/>
    <x v="5"/>
    <x v="0"/>
    <s v="6200106"/>
    <n v="718050"/>
    <s v="Document Shredding/Storage"/>
    <s v="Health Information Management"/>
    <x v="0"/>
    <n v="1012"/>
    <n v="0"/>
    <n v="0"/>
    <n v="0"/>
    <n v="0"/>
    <n v="0"/>
    <n v="0"/>
    <n v="0"/>
    <n v="0"/>
    <n v="0"/>
    <n v="0"/>
    <n v="0"/>
    <n v="0"/>
    <n v="0"/>
    <n v="0"/>
  </r>
  <r>
    <x v="14"/>
    <x v="6"/>
    <x v="0"/>
    <s v="6200107"/>
    <n v="600050"/>
    <s v="Miscellaneous Revenue"/>
    <s v="Health Info Management"/>
    <x v="0"/>
    <m/>
    <n v="-324.42"/>
    <n v="0"/>
    <n v="-26.5"/>
    <n v="0"/>
    <n v="0"/>
    <n v="0"/>
    <n v="-301.70999999999998"/>
    <n v="0"/>
    <n v="-76"/>
    <n v="-1585.56"/>
    <n v="-111.62"/>
    <n v="0"/>
    <n v="-2425.81"/>
    <n v="-111.62"/>
  </r>
  <r>
    <x v="7"/>
    <x v="6"/>
    <x v="0"/>
    <s v="6200107"/>
    <n v="718050"/>
    <s v="Document Shredding/Storage"/>
    <s v="Health Info Management"/>
    <x v="0"/>
    <n v="1012"/>
    <n v="4950.51"/>
    <n v="2978.44"/>
    <n v="4012.9"/>
    <n v="4157.66"/>
    <n v="3456.76"/>
    <n v="4550.75"/>
    <n v="4505.24"/>
    <n v="4312.26"/>
    <n v="2712.36"/>
    <n v="7728.57"/>
    <n v="5010.1099999999997"/>
    <n v="2990.57"/>
    <n v="51366.130000000005"/>
    <n v="2019.5399999999995"/>
  </r>
  <r>
    <x v="7"/>
    <x v="6"/>
    <x v="0"/>
    <s v="6200107"/>
    <n v="718050"/>
    <s v="Miscellaneous Purchased Svcs"/>
    <s v="Health Info Management"/>
    <x v="0"/>
    <n v="1020"/>
    <n v="0"/>
    <n v="0"/>
    <n v="0"/>
    <n v="0"/>
    <n v="0"/>
    <n v="0"/>
    <n v="0"/>
    <n v="0"/>
    <n v="0"/>
    <n v="0"/>
    <n v="0"/>
    <n v="42.81"/>
    <n v="42.81"/>
    <n v="-42.81"/>
  </r>
  <r>
    <x v="7"/>
    <x v="6"/>
    <x v="0"/>
    <s v="6200107"/>
    <n v="718060"/>
    <s v="Contract Services-CHI RRC Fees"/>
    <s v="Health Info Management"/>
    <x v="0"/>
    <m/>
    <n v="276785"/>
    <n v="276785"/>
    <n v="276785"/>
    <n v="276785"/>
    <n v="276785"/>
    <n v="276785"/>
    <n v="276785"/>
    <n v="276785"/>
    <n v="276785"/>
    <n v="276785"/>
    <n v="276785"/>
    <n v="276785"/>
    <n v="3321420"/>
    <n v="0"/>
  </r>
  <r>
    <x v="11"/>
    <x v="6"/>
    <x v="0"/>
    <s v="6200107"/>
    <n v="721830"/>
    <s v="Supplies-Office"/>
    <s v="Health Info Management"/>
    <x v="0"/>
    <m/>
    <n v="719.39"/>
    <n v="556.07000000000005"/>
    <n v="213.95"/>
    <n v="654.20000000000005"/>
    <n v="513.02"/>
    <n v="421.68"/>
    <n v="532.01"/>
    <n v="472.28"/>
    <n v="256.58"/>
    <n v="224.33"/>
    <n v="513.65"/>
    <n v="203.06"/>
    <n v="5280.2199999999993"/>
    <n v="310.58999999999997"/>
  </r>
  <r>
    <x v="12"/>
    <x v="6"/>
    <x v="0"/>
    <s v="6200107"/>
    <n v="730020"/>
    <s v="Rental and Leases-Equipment (DO NOT USE)"/>
    <s v="Health Info Management"/>
    <x v="0"/>
    <m/>
    <n v="0"/>
    <n v="84.34"/>
    <n v="42.01"/>
    <n v="42.33"/>
    <n v="0"/>
    <n v="0"/>
    <n v="76.06"/>
    <n v="0"/>
    <n v="38.03"/>
    <n v="0"/>
    <n v="76.06"/>
    <n v="38.03"/>
    <n v="396.86"/>
    <n v="38.03"/>
  </r>
  <r>
    <x v="12"/>
    <x v="6"/>
    <x v="0"/>
    <s v="6200107"/>
    <n v="730020"/>
    <s v="Rental and Leases-Copier Usage Fees (DO NOT USE)"/>
    <s v="Health Info Management"/>
    <x v="0"/>
    <n v="5100"/>
    <n v="977.07"/>
    <n v="916.6"/>
    <n v="946.84"/>
    <n v="946.84"/>
    <n v="946.84"/>
    <n v="946.84"/>
    <n v="6743.71"/>
    <n v="1181.04"/>
    <n v="1178.56"/>
    <n v="1389.31"/>
    <n v="1181.04"/>
    <n v="1334.24"/>
    <n v="18688.930000000004"/>
    <n v="-153.20000000000005"/>
  </r>
  <r>
    <x v="13"/>
    <x v="6"/>
    <x v="0"/>
    <s v="6200107"/>
    <n v="735070"/>
    <s v="Depreciation-Movable Equipment"/>
    <s v="Health Info Management"/>
    <x v="0"/>
    <m/>
    <n v="730.95"/>
    <n v="297.62"/>
    <n v="297.62"/>
    <n v="297.62"/>
    <n v="297.62"/>
    <n v="297.62"/>
    <n v="297.62"/>
    <n v="297.62"/>
    <n v="297.62"/>
    <n v="297.62"/>
    <n v="297.62"/>
    <n v="297.61"/>
    <n v="4004.7599999999993"/>
    <n v="9.9999999999909051E-3"/>
  </r>
  <r>
    <x v="5"/>
    <x v="1"/>
    <x v="0"/>
    <s v="6200200"/>
    <n v="700014"/>
    <s v="Salaries-Management-Productive"/>
    <s v="Health Information Mgmt"/>
    <x v="0"/>
    <m/>
    <n v="10886.4"/>
    <n v="9590.4"/>
    <n v="8035.2"/>
    <n v="9665.56"/>
    <n v="11078.92"/>
    <n v="7243.9"/>
    <n v="11415.66"/>
    <n v="10668.4"/>
    <n v="11201.82"/>
    <n v="4534.07"/>
    <n v="14135.63"/>
    <n v="8534.7199999999993"/>
    <n v="116990.68"/>
    <n v="5600.91"/>
  </r>
  <r>
    <x v="5"/>
    <x v="1"/>
    <x v="0"/>
    <s v="6200200"/>
    <n v="700018"/>
    <s v="Salaries-Supervisory-Productive"/>
    <s v="Health Information Mgmt"/>
    <x v="0"/>
    <m/>
    <n v="9702.67"/>
    <n v="11509.41"/>
    <n v="9066.64"/>
    <n v="16267.39"/>
    <n v="16698.45"/>
    <n v="8355.32"/>
    <n v="15962.7"/>
    <n v="15303.8"/>
    <n v="16761.04"/>
    <n v="17361.48"/>
    <n v="13346.05"/>
    <n v="15981.59"/>
    <n v="166316.54"/>
    <n v="-2635.5400000000009"/>
  </r>
  <r>
    <x v="5"/>
    <x v="1"/>
    <x v="0"/>
    <s v="6200200"/>
    <n v="700034"/>
    <s v="Salaries-Tech/Professional-Productive"/>
    <s v="Health Information Mgmt"/>
    <x v="0"/>
    <m/>
    <n v="8116.98"/>
    <n v="-777.59"/>
    <n v="0"/>
    <n v="0"/>
    <n v="0"/>
    <n v="0"/>
    <n v="0"/>
    <n v="0"/>
    <n v="0"/>
    <n v="0"/>
    <n v="0"/>
    <n v="0"/>
    <n v="7339.3899999999994"/>
    <n v="0"/>
  </r>
  <r>
    <x v="5"/>
    <x v="1"/>
    <x v="0"/>
    <s v="6200200"/>
    <n v="700038"/>
    <s v="Salaries-Service/Support-Productive"/>
    <s v="Health Information Mgmt"/>
    <x v="0"/>
    <m/>
    <n v="108158.06"/>
    <n v="117560.85"/>
    <n v="102987.71"/>
    <n v="133009.01"/>
    <n v="125933.4"/>
    <n v="106650.92"/>
    <n v="138460.81"/>
    <n v="123305.13"/>
    <n v="140668.25"/>
    <n v="138905"/>
    <n v="140540.35"/>
    <n v="130323.03"/>
    <n v="1506502.5200000003"/>
    <n v="10217.320000000007"/>
  </r>
  <r>
    <x v="5"/>
    <x v="1"/>
    <x v="0"/>
    <s v="6200200"/>
    <n v="700038"/>
    <s v="Salaries-Service/Support-OT"/>
    <s v="Health Information Mgmt"/>
    <x v="0"/>
    <n v="1000"/>
    <n v="188.41"/>
    <n v="2495.6799999999998"/>
    <n v="1002.47"/>
    <n v="5402.95"/>
    <n v="4218.18"/>
    <n v="7802.57"/>
    <n v="16723.169999999998"/>
    <n v="8785.06"/>
    <n v="-1972.79"/>
    <n v="11972.6"/>
    <n v="20571.27"/>
    <n v="15715.12"/>
    <n v="92904.689999999988"/>
    <n v="4856.1499999999996"/>
  </r>
  <r>
    <x v="5"/>
    <x v="1"/>
    <x v="0"/>
    <s v="6200200"/>
    <n v="700038"/>
    <s v="Salaries-Service/Support-Other"/>
    <s v="Health Information Mgmt"/>
    <x v="0"/>
    <n v="2000"/>
    <n v="756.63"/>
    <n v="1056.72"/>
    <n v="948.07"/>
    <n v="1144.5899999999999"/>
    <n v="1128.95"/>
    <n v="1398.57"/>
    <n v="1439.57"/>
    <n v="874.35"/>
    <n v="952.59"/>
    <n v="1237.8800000000001"/>
    <n v="1514.7"/>
    <n v="1526.95"/>
    <n v="13979.57"/>
    <n v="-12.25"/>
  </r>
  <r>
    <x v="5"/>
    <x v="1"/>
    <x v="0"/>
    <s v="6200200"/>
    <n v="700054"/>
    <s v="Salaries-Management-Non-productive"/>
    <s v="Health Information Mgmt"/>
    <x v="0"/>
    <m/>
    <n v="518.4"/>
    <n v="2332.8000000000002"/>
    <n v="2332.8000000000002"/>
    <n v="2513.9499999999998"/>
    <n v="639.16999999999996"/>
    <n v="3941.53"/>
    <n v="853.79"/>
    <n v="0"/>
    <n v="0"/>
    <n v="7201.17"/>
    <n v="-1866.97"/>
    <n v="2133.6799999999998"/>
    <n v="20600.32"/>
    <n v="-4000.6499999999996"/>
  </r>
  <r>
    <x v="5"/>
    <x v="1"/>
    <x v="0"/>
    <s v="6200200"/>
    <n v="700054"/>
    <s v="Salaries-Management-NonProd-Other"/>
    <s v="Health Information Mgmt"/>
    <x v="0"/>
    <n v="2000"/>
    <n v="0"/>
    <n v="0"/>
    <n v="0"/>
    <n v="0"/>
    <n v="0"/>
    <n v="2702.65"/>
    <n v="-2702.65"/>
    <n v="0"/>
    <n v="0"/>
    <n v="0"/>
    <n v="0"/>
    <n v="0"/>
    <n v="0"/>
    <n v="0"/>
  </r>
  <r>
    <x v="5"/>
    <x v="1"/>
    <x v="0"/>
    <s v="6200200"/>
    <n v="700058"/>
    <s v="Salaries-Supervisory-Non-productive"/>
    <s v="Health Information Mgmt"/>
    <x v="0"/>
    <m/>
    <n v="1556.04"/>
    <n v="261.08"/>
    <n v="1168.56"/>
    <n v="792.2"/>
    <n v="1024.76"/>
    <n v="8562.27"/>
    <n v="2594.4699999999998"/>
    <n v="831.82"/>
    <n v="181.39"/>
    <n v="387.73"/>
    <n v="5209.95"/>
    <n v="154.05000000000001"/>
    <n v="22724.32"/>
    <n v="5055.8999999999996"/>
  </r>
  <r>
    <x v="5"/>
    <x v="1"/>
    <x v="0"/>
    <s v="6200200"/>
    <n v="700074"/>
    <s v="Salaries-Tech/Professional-Non-productive"/>
    <s v="Health Information Mgmt"/>
    <x v="0"/>
    <m/>
    <n v="287.5"/>
    <n v="0"/>
    <n v="0"/>
    <n v="0"/>
    <n v="0"/>
    <n v="0"/>
    <n v="0"/>
    <n v="0"/>
    <n v="0"/>
    <n v="0"/>
    <n v="0"/>
    <n v="0"/>
    <n v="287.5"/>
    <n v="0"/>
  </r>
  <r>
    <x v="5"/>
    <x v="1"/>
    <x v="0"/>
    <s v="6200200"/>
    <n v="700078"/>
    <s v="Salaries-Service/Support-Non-productive"/>
    <s v="Health Information Mgmt"/>
    <x v="0"/>
    <m/>
    <n v="18286.37"/>
    <n v="18954.689999999999"/>
    <n v="16228.64"/>
    <n v="16193.66"/>
    <n v="12800.8"/>
    <n v="31938.42"/>
    <n v="18726.45"/>
    <n v="16174.74"/>
    <n v="6313.11"/>
    <n v="14817.86"/>
    <n v="15036.18"/>
    <n v="21480.48"/>
    <n v="206951.4"/>
    <n v="-6444.2999999999993"/>
  </r>
  <r>
    <x v="5"/>
    <x v="1"/>
    <x v="0"/>
    <s v="6200200"/>
    <n v="700078"/>
    <s v="Salaries-Service/Support-NonProd-Other"/>
    <s v="Health Information Mgmt"/>
    <x v="0"/>
    <n v="2000"/>
    <n v="0"/>
    <n v="0"/>
    <n v="0"/>
    <n v="0"/>
    <n v="885.95"/>
    <n v="1000"/>
    <n v="0"/>
    <n v="-1885.95"/>
    <n v="0"/>
    <n v="0"/>
    <n v="0"/>
    <n v="0"/>
    <n v="0"/>
    <n v="0"/>
  </r>
  <r>
    <x v="5"/>
    <x v="1"/>
    <x v="0"/>
    <s v="6200200"/>
    <n v="700084"/>
    <s v="Accrued PTO"/>
    <s v="Health Information Mgmt"/>
    <x v="0"/>
    <m/>
    <n v="116.48"/>
    <n v="131.88"/>
    <n v="-4327.74"/>
    <n v="15048.53"/>
    <n v="3925.01"/>
    <n v="-21026.080000000002"/>
    <n v="-270.81"/>
    <n v="5914.18"/>
    <n v="11966.47"/>
    <n v="2684.03"/>
    <n v="5675.61"/>
    <n v="3716.9"/>
    <n v="23554.46"/>
    <n v="1958.7099999999996"/>
  </r>
  <r>
    <x v="6"/>
    <x v="1"/>
    <x v="0"/>
    <s v="6200200"/>
    <n v="713010"/>
    <s v="Benefits-FICA/Medicare"/>
    <s v="Health Information Mgmt"/>
    <x v="0"/>
    <m/>
    <n v="11682.73"/>
    <n v="12076.67"/>
    <n v="10461.14"/>
    <n v="13587.18"/>
    <n v="12825.62"/>
    <n v="12806.08"/>
    <n v="15459.42"/>
    <n v="13056.19"/>
    <n v="12839.53"/>
    <n v="14656.79"/>
    <n v="15645.01"/>
    <n v="14793.12"/>
    <n v="159889.48000000001"/>
    <n v="851.88999999999942"/>
  </r>
  <r>
    <x v="6"/>
    <x v="1"/>
    <x v="0"/>
    <s v="6200200"/>
    <n v="713090"/>
    <s v="Benefits-Allocated Amounts"/>
    <s v="Health Information Mgmt"/>
    <x v="0"/>
    <m/>
    <n v="46134.81"/>
    <n v="41729.61"/>
    <n v="44565.73"/>
    <n v="49626.58"/>
    <n v="50056.26"/>
    <n v="52842.19"/>
    <n v="62687.21"/>
    <n v="59922.879999999997"/>
    <n v="55410.94"/>
    <n v="58322.49"/>
    <n v="60013.25"/>
    <n v="66606.16"/>
    <n v="647918.11"/>
    <n v="-6592.9100000000035"/>
  </r>
  <r>
    <x v="6"/>
    <x v="1"/>
    <x v="0"/>
    <s v="6200200"/>
    <n v="713096"/>
    <s v="Employee Recognition"/>
    <s v="Health Information Mgmt"/>
    <x v="0"/>
    <n v="1017"/>
    <n v="0"/>
    <n v="0"/>
    <n v="4.4000000000000004"/>
    <n v="8.7200000000000006"/>
    <n v="26.03"/>
    <n v="70"/>
    <n v="57.34"/>
    <n v="98.59"/>
    <n v="0"/>
    <n v="33.61"/>
    <n v="27.88"/>
    <n v="166.15"/>
    <n v="492.72"/>
    <n v="-138.27000000000001"/>
  </r>
  <r>
    <x v="7"/>
    <x v="1"/>
    <x v="0"/>
    <s v="6200200"/>
    <n v="718010"/>
    <s v="Media/Print Advertising"/>
    <s v="Health Information Mgmt"/>
    <x v="0"/>
    <n v="1004"/>
    <n v="0"/>
    <n v="0"/>
    <n v="0"/>
    <n v="529.4"/>
    <n v="0"/>
    <n v="0"/>
    <n v="0"/>
    <n v="0"/>
    <n v="0"/>
    <n v="0"/>
    <n v="0"/>
    <n v="0"/>
    <n v="529.4"/>
    <n v="0"/>
  </r>
  <r>
    <x v="7"/>
    <x v="1"/>
    <x v="0"/>
    <s v="6200200"/>
    <n v="718050"/>
    <s v="Contract Svcs-Other"/>
    <s v="Health Information Mgmt"/>
    <x v="0"/>
    <m/>
    <n v="0"/>
    <n v="0"/>
    <n v="0"/>
    <n v="0"/>
    <n v="0"/>
    <n v="0"/>
    <n v="19.79"/>
    <n v="0"/>
    <n v="0"/>
    <n v="0"/>
    <n v="0"/>
    <n v="0"/>
    <n v="19.79"/>
    <n v="0"/>
  </r>
  <r>
    <x v="7"/>
    <x v="1"/>
    <x v="0"/>
    <s v="6200200"/>
    <n v="718050"/>
    <s v="Transcription"/>
    <s v="Health Information Mgmt"/>
    <x v="0"/>
    <n v="1006"/>
    <n v="0"/>
    <n v="0"/>
    <n v="2728.71"/>
    <n v="771.19"/>
    <n v="0"/>
    <n v="1073.71"/>
    <n v="0"/>
    <n v="1271.5"/>
    <n v="939.04"/>
    <n v="0"/>
    <n v="654.41"/>
    <n v="1111.95"/>
    <n v="8550.51"/>
    <n v="-457.54000000000008"/>
  </r>
  <r>
    <x v="7"/>
    <x v="1"/>
    <x v="0"/>
    <s v="6200200"/>
    <n v="718050"/>
    <s v="Document Shredding/Storage"/>
    <s v="Health Information Mgmt"/>
    <x v="0"/>
    <n v="1012"/>
    <n v="44.76"/>
    <n v="5943.5"/>
    <n v="1333.53"/>
    <n v="1999.59"/>
    <n v="-759.69"/>
    <n v="855.88"/>
    <n v="964.87"/>
    <n v="3059.82"/>
    <n v="21"/>
    <n v="-706.6"/>
    <n v="333.85"/>
    <n v="1618.68"/>
    <n v="14709.189999999999"/>
    <n v="-1284.83"/>
  </r>
  <r>
    <x v="7"/>
    <x v="1"/>
    <x v="0"/>
    <s v="6200200"/>
    <n v="718050"/>
    <s v="Translation Services"/>
    <s v="Health Information Mgmt"/>
    <x v="0"/>
    <n v="1025"/>
    <n v="0"/>
    <n v="0"/>
    <n v="4.05"/>
    <n v="26.07"/>
    <n v="3.16"/>
    <n v="58.45"/>
    <n v="7.9"/>
    <n v="0"/>
    <n v="0"/>
    <n v="0"/>
    <n v="30.81"/>
    <n v="25.28"/>
    <n v="155.72"/>
    <n v="5.5299999999999976"/>
  </r>
  <r>
    <x v="11"/>
    <x v="1"/>
    <x v="0"/>
    <s v="6200200"/>
    <n v="721810"/>
    <s v="Supplies-Dietary/Cafeteria"/>
    <s v="Health Information Mgmt"/>
    <x v="0"/>
    <m/>
    <n v="0"/>
    <n v="0"/>
    <n v="32.97"/>
    <n v="32.97"/>
    <n v="0"/>
    <n v="0"/>
    <n v="65.959999999999994"/>
    <n v="32.979999999999997"/>
    <n v="32.979999999999997"/>
    <n v="32.979999999999997"/>
    <n v="0"/>
    <n v="0"/>
    <n v="230.83999999999995"/>
    <n v="0"/>
  </r>
  <r>
    <x v="11"/>
    <x v="1"/>
    <x v="0"/>
    <s v="6200200"/>
    <n v="721830"/>
    <s v="Supplies-Office"/>
    <s v="Health Information Mgmt"/>
    <x v="0"/>
    <m/>
    <n v="2163.19"/>
    <n v="438.99"/>
    <n v="107.8"/>
    <n v="954.5"/>
    <n v="325.27999999999997"/>
    <n v="1299.45"/>
    <n v="1706.93"/>
    <n v="1218.24"/>
    <n v="348.29"/>
    <n v="1588.98"/>
    <n v="1264.56"/>
    <n v="987.28"/>
    <n v="12403.490000000002"/>
    <n v="277.27999999999997"/>
  </r>
  <r>
    <x v="11"/>
    <x v="1"/>
    <x v="0"/>
    <s v="6200200"/>
    <n v="721835"/>
    <s v="Supplies-Forms"/>
    <s v="Health Information Mgmt"/>
    <x v="0"/>
    <m/>
    <n v="0"/>
    <n v="0"/>
    <n v="0"/>
    <n v="0"/>
    <n v="50"/>
    <n v="0"/>
    <n v="512.5"/>
    <n v="0"/>
    <n v="328.01"/>
    <n v="0"/>
    <n v="11.46"/>
    <n v="21"/>
    <n v="922.97"/>
    <n v="-9.5399999999999991"/>
  </r>
  <r>
    <x v="11"/>
    <x v="1"/>
    <x v="0"/>
    <s v="6200200"/>
    <n v="721910"/>
    <s v="Supplies-Small Equipment"/>
    <s v="Health Information Mgmt"/>
    <x v="0"/>
    <m/>
    <n v="513.4"/>
    <n v="0"/>
    <n v="2791.75"/>
    <n v="1472.96"/>
    <n v="2043.75"/>
    <n v="-95"/>
    <n v="2494.29"/>
    <n v="1281.3599999999999"/>
    <n v="969.12"/>
    <n v="0"/>
    <n v="106.2"/>
    <n v="89.64"/>
    <n v="11667.470000000003"/>
    <n v="16.560000000000002"/>
  </r>
  <r>
    <x v="11"/>
    <x v="1"/>
    <x v="0"/>
    <s v="6200200"/>
    <n v="721980"/>
    <s v="Supplies-Other"/>
    <s v="Health Information Mgmt"/>
    <x v="0"/>
    <m/>
    <n v="0"/>
    <n v="0"/>
    <n v="0"/>
    <n v="10.99"/>
    <n v="0"/>
    <n v="30.72"/>
    <n v="0"/>
    <n v="6.59"/>
    <n v="0"/>
    <n v="0"/>
    <n v="0"/>
    <n v="0"/>
    <n v="48.3"/>
    <n v="0"/>
  </r>
  <r>
    <x v="11"/>
    <x v="1"/>
    <x v="0"/>
    <s v="6200200"/>
    <n v="722000"/>
    <s v="Supplies-Freight Expense"/>
    <s v="Health Information Mgmt"/>
    <x v="0"/>
    <m/>
    <n v="0"/>
    <n v="0"/>
    <n v="0"/>
    <n v="0"/>
    <n v="20.56"/>
    <n v="95"/>
    <n v="10.210000000000001"/>
    <n v="42.54"/>
    <n v="0"/>
    <n v="0"/>
    <n v="0"/>
    <n v="0"/>
    <n v="168.31"/>
    <n v="0"/>
  </r>
  <r>
    <x v="12"/>
    <x v="1"/>
    <x v="0"/>
    <s v="6200200"/>
    <n v="730010"/>
    <s v="Rental and Leases-Building (DO NOT USE)"/>
    <s v="Health Information Mgmt"/>
    <x v="0"/>
    <m/>
    <n v="12551.63"/>
    <n v="12551.63"/>
    <n v="12551.63"/>
    <n v="12551.63"/>
    <n v="12551.63"/>
    <n v="-14429.09"/>
    <n v="8066.17"/>
    <n v="8066.17"/>
    <n v="8272.99"/>
    <n v="8272.6"/>
    <n v="8272.6"/>
    <n v="0"/>
    <n v="89279.590000000011"/>
    <n v="8272.6"/>
  </r>
  <r>
    <x v="12"/>
    <x v="1"/>
    <x v="0"/>
    <s v="6200200"/>
    <n v="730010"/>
    <s v="Rental-Common Area Maint (DO NOT USE)"/>
    <s v="Health Information Mgmt"/>
    <x v="0"/>
    <n v="2200"/>
    <n v="0"/>
    <n v="0"/>
    <n v="0"/>
    <n v="0"/>
    <n v="0"/>
    <n v="27032.07"/>
    <n v="7885.58"/>
    <n v="4536.8100000000004"/>
    <n v="4536.8100000000004"/>
    <n v="4636.6000000000004"/>
    <n v="4536.6000000000004"/>
    <n v="0"/>
    <n v="53164.469999999994"/>
    <n v="4536.6000000000004"/>
  </r>
  <r>
    <x v="12"/>
    <x v="1"/>
    <x v="0"/>
    <s v="6200200"/>
    <n v="730020"/>
    <s v="Rental and Leases-Copier Usage Fees (DO NOT USE)"/>
    <s v="Health Information Mgmt"/>
    <x v="0"/>
    <n v="5100"/>
    <n v="631.86"/>
    <n v="635.53"/>
    <n v="633.70000000000005"/>
    <n v="633.70000000000005"/>
    <n v="633.70000000000005"/>
    <n v="633.70000000000005"/>
    <n v="1352.77"/>
    <n v="658.03"/>
    <n v="656.64"/>
    <n v="903.11"/>
    <n v="658.03"/>
    <n v="818.01"/>
    <n v="8848.7799999999988"/>
    <n v="-159.98000000000002"/>
  </r>
  <r>
    <x v="12"/>
    <x v="1"/>
    <x v="0"/>
    <s v="6200200"/>
    <n v="730040"/>
    <s v="LT Lease-Real Estate"/>
    <s v="Health Information Mgmt"/>
    <x v="0"/>
    <m/>
    <n v="0"/>
    <n v="0"/>
    <n v="0"/>
    <n v="0"/>
    <n v="0"/>
    <n v="0"/>
    <n v="0"/>
    <n v="0"/>
    <n v="0"/>
    <n v="0"/>
    <n v="0"/>
    <n v="12809.2"/>
    <n v="12809.2"/>
    <n v="-12809.2"/>
  </r>
  <r>
    <x v="16"/>
    <x v="1"/>
    <x v="0"/>
    <s v="6200200"/>
    <n v="732030"/>
    <s v="Repairs---Other"/>
    <s v="Health Information Mgmt"/>
    <x v="0"/>
    <m/>
    <n v="0"/>
    <n v="0"/>
    <n v="140.13999999999999"/>
    <n v="490.09"/>
    <n v="0"/>
    <n v="0"/>
    <n v="0"/>
    <n v="91.49"/>
    <n v="0"/>
    <n v="34.75"/>
    <n v="90.35"/>
    <n v="0"/>
    <n v="846.82"/>
    <n v="90.35"/>
  </r>
  <r>
    <x v="16"/>
    <x v="1"/>
    <x v="0"/>
    <s v="6200200"/>
    <n v="732030"/>
    <s v="Repairs&amp;Maintenance-Bldg Routine"/>
    <s v="Health Information Mgmt"/>
    <x v="0"/>
    <n v="2300"/>
    <n v="304.02"/>
    <n v="0"/>
    <n v="0"/>
    <n v="50"/>
    <n v="203.6"/>
    <n v="185.5"/>
    <n v="0"/>
    <n v="0"/>
    <n v="0"/>
    <n v="0"/>
    <n v="0"/>
    <n v="0"/>
    <n v="743.12"/>
    <n v="0"/>
  </r>
  <r>
    <x v="13"/>
    <x v="1"/>
    <x v="0"/>
    <s v="6200200"/>
    <n v="735070"/>
    <s v="Depreciation-Movable Equipment"/>
    <s v="Health Information Mgmt"/>
    <x v="0"/>
    <m/>
    <n v="0"/>
    <n v="0"/>
    <n v="0"/>
    <n v="0"/>
    <n v="0"/>
    <n v="0"/>
    <n v="622.27"/>
    <n v="88.89"/>
    <n v="88.9"/>
    <n v="88.89"/>
    <n v="88.9"/>
    <n v="88.89"/>
    <n v="1066.74"/>
    <n v="1.0000000000005116E-2"/>
  </r>
  <r>
    <x v="0"/>
    <x v="1"/>
    <x v="0"/>
    <s v="6200200"/>
    <n v="740020"/>
    <s v="Education-Registration Fees"/>
    <s v="Health Information Mgmt"/>
    <x v="0"/>
    <m/>
    <n v="0"/>
    <n v="0"/>
    <n v="0"/>
    <n v="0"/>
    <n v="0"/>
    <n v="0"/>
    <n v="64"/>
    <n v="0"/>
    <n v="0"/>
    <n v="0"/>
    <n v="1466"/>
    <n v="0"/>
    <n v="1530"/>
    <n v="1466"/>
  </r>
  <r>
    <x v="0"/>
    <x v="1"/>
    <x v="0"/>
    <s v="6200200"/>
    <n v="742010"/>
    <s v="Postage-Regular"/>
    <s v="Health Information Mgmt"/>
    <x v="0"/>
    <m/>
    <n v="0"/>
    <n v="0"/>
    <n v="0"/>
    <n v="0"/>
    <n v="0"/>
    <n v="0"/>
    <n v="0"/>
    <n v="0"/>
    <n v="1435.28"/>
    <n v="0"/>
    <n v="0"/>
    <n v="0"/>
    <n v="1435.28"/>
    <n v="0"/>
  </r>
  <r>
    <x v="0"/>
    <x v="1"/>
    <x v="0"/>
    <s v="6200200"/>
    <n v="743020"/>
    <s v="Dues--Individual"/>
    <s v="Health Information Mgmt"/>
    <x v="0"/>
    <m/>
    <n v="0"/>
    <n v="0"/>
    <n v="63"/>
    <n v="0"/>
    <n v="0"/>
    <n v="0"/>
    <n v="0"/>
    <n v="0"/>
    <n v="0"/>
    <n v="165"/>
    <n v="0"/>
    <n v="0"/>
    <n v="228"/>
    <n v="0"/>
  </r>
  <r>
    <x v="0"/>
    <x v="1"/>
    <x v="0"/>
    <s v="6200200"/>
    <n v="743040"/>
    <s v="Subscriptions--Individual"/>
    <s v="Health Information Mgmt"/>
    <x v="0"/>
    <m/>
    <n v="0"/>
    <n v="0"/>
    <n v="0"/>
    <n v="0"/>
    <n v="0"/>
    <n v="0"/>
    <n v="0"/>
    <n v="0"/>
    <n v="194"/>
    <n v="0"/>
    <n v="0"/>
    <n v="0"/>
    <n v="194"/>
    <n v="0"/>
  </r>
  <r>
    <x v="0"/>
    <x v="1"/>
    <x v="0"/>
    <s v="6200200"/>
    <n v="749510"/>
    <s v="Miscellaneous Expenses"/>
    <s v="Health Information Mgmt"/>
    <x v="0"/>
    <m/>
    <n v="-103.74"/>
    <n v="-76.33"/>
    <n v="374.91"/>
    <n v="-1.73"/>
    <n v="633.01"/>
    <n v="-399.52"/>
    <n v="351.11"/>
    <n v="44"/>
    <n v="-460.11"/>
    <n v="-78"/>
    <n v="401.1"/>
    <n v="-56.25"/>
    <n v="628.45000000000005"/>
    <n v="457.35"/>
  </r>
  <r>
    <x v="0"/>
    <x v="1"/>
    <x v="0"/>
    <s v="6200200"/>
    <n v="749510"/>
    <s v="RICE Rewards"/>
    <s v="Health Information Mgmt"/>
    <x v="0"/>
    <n v="5100"/>
    <n v="0"/>
    <n v="0"/>
    <n v="0"/>
    <n v="0"/>
    <n v="0"/>
    <n v="0"/>
    <n v="0"/>
    <n v="0"/>
    <n v="517.87"/>
    <n v="0"/>
    <n v="0"/>
    <n v="2297.27"/>
    <n v="2815.14"/>
    <n v="-2297.27"/>
  </r>
  <r>
    <x v="0"/>
    <x v="1"/>
    <x v="0"/>
    <s v="6200200"/>
    <n v="749530"/>
    <s v="Travel"/>
    <s v="Health Information Mgmt"/>
    <x v="0"/>
    <m/>
    <n v="0"/>
    <n v="0"/>
    <n v="6"/>
    <n v="392.91"/>
    <n v="0"/>
    <n v="1239.79"/>
    <n v="15"/>
    <n v="0"/>
    <n v="525.11"/>
    <n v="90"/>
    <n v="6"/>
    <n v="358.1"/>
    <n v="2632.91"/>
    <n v="-352.1"/>
  </r>
  <r>
    <x v="0"/>
    <x v="1"/>
    <x v="0"/>
    <s v="6200200"/>
    <n v="749530"/>
    <s v="Mileage"/>
    <s v="Health Information Mgmt"/>
    <x v="0"/>
    <n v="1001"/>
    <n v="0"/>
    <n v="106.85"/>
    <n v="108.47"/>
    <n v="323.76"/>
    <n v="61.6"/>
    <n v="50.14"/>
    <n v="80.66"/>
    <n v="12.76"/>
    <n v="64.38"/>
    <n v="88.16"/>
    <n v="47.56"/>
    <n v="128.76"/>
    <n v="1073.0999999999999"/>
    <n v="-81.199999999999989"/>
  </r>
  <r>
    <x v="14"/>
    <x v="9"/>
    <x v="0"/>
    <s v="6200501"/>
    <n v="600050"/>
    <s v="Miscellaneous Revenue"/>
    <s v="Health Information Management"/>
    <x v="0"/>
    <m/>
    <n v="-2049.84"/>
    <n v="-1859.05"/>
    <n v="-3447.69"/>
    <n v="-952.02"/>
    <n v="-3703.14"/>
    <n v="-3800"/>
    <n v="-544.24"/>
    <n v="-545"/>
    <n v="-4314.1400000000003"/>
    <n v="-3697.47"/>
    <n v="-4578.28"/>
    <n v="-25"/>
    <n v="-29515.87"/>
    <n v="-4553.28"/>
  </r>
  <r>
    <x v="7"/>
    <x v="9"/>
    <x v="0"/>
    <s v="6200501"/>
    <n v="718050"/>
    <s v="Contract Svcs-Other"/>
    <s v="Health Information Management"/>
    <x v="0"/>
    <m/>
    <n v="2000.25"/>
    <n v="51569.78"/>
    <n v="5153.09"/>
    <n v="86465.48"/>
    <n v="49846.14"/>
    <n v="0"/>
    <n v="43819.74"/>
    <n v="33000.120000000003"/>
    <n v="58989.42"/>
    <n v="59923.49"/>
    <n v="64670.73"/>
    <n v="128090.76"/>
    <n v="583528.99999999988"/>
    <n v="-63420.029999999992"/>
  </r>
  <r>
    <x v="7"/>
    <x v="9"/>
    <x v="0"/>
    <s v="6200501"/>
    <n v="718050"/>
    <s v="Document Shredding/Storage"/>
    <s v="Health Information Management"/>
    <x v="0"/>
    <n v="1012"/>
    <n v="18067.59"/>
    <n v="20939.759999999998"/>
    <n v="7792.28"/>
    <n v="14729.23"/>
    <n v="32763.77"/>
    <n v="22587.68"/>
    <n v="20340.099999999999"/>
    <n v="16681.91"/>
    <n v="13088.29"/>
    <n v="26201.91"/>
    <n v="19501.57"/>
    <n v="20719.45"/>
    <n v="233413.54000000004"/>
    <n v="-1217.880000000001"/>
  </r>
  <r>
    <x v="7"/>
    <x v="9"/>
    <x v="0"/>
    <s v="6200501"/>
    <n v="718050"/>
    <s v="Miscellaneous Purchased Svcs"/>
    <s v="Health Information Management"/>
    <x v="0"/>
    <n v="1020"/>
    <n v="18228.919999999998"/>
    <n v="23629.47"/>
    <n v="27394.79"/>
    <n v="27480.38"/>
    <n v="11439.32"/>
    <n v="7530.64"/>
    <n v="42986.44"/>
    <n v="24622.67"/>
    <n v="47880.71"/>
    <n v="28313.08"/>
    <n v="23937.69"/>
    <n v="24023.31"/>
    <n v="307467.42"/>
    <n v="-85.620000000002619"/>
  </r>
  <r>
    <x v="7"/>
    <x v="9"/>
    <x v="0"/>
    <s v="6200501"/>
    <n v="718050"/>
    <s v="Translation Services"/>
    <s v="Health Information Management"/>
    <x v="0"/>
    <n v="1025"/>
    <n v="41.49"/>
    <n v="19.8"/>
    <n v="39.24"/>
    <n v="5.0999999999999996"/>
    <n v="0"/>
    <n v="1.8"/>
    <n v="31.02"/>
    <n v="0"/>
    <n v="0"/>
    <n v="0"/>
    <n v="8.98"/>
    <n v="0"/>
    <n v="147.42999999999998"/>
    <n v="8.98"/>
  </r>
  <r>
    <x v="7"/>
    <x v="9"/>
    <x v="0"/>
    <s v="6200501"/>
    <n v="718060"/>
    <s v="Contract Services-CHI RRC Fees"/>
    <s v="Health Information Management"/>
    <x v="0"/>
    <m/>
    <n v="1790564"/>
    <n v="1790564"/>
    <n v="1790564"/>
    <n v="1790564"/>
    <n v="1790562"/>
    <n v="1790564"/>
    <n v="1790564"/>
    <n v="1790564"/>
    <n v="1790562"/>
    <n v="1790564"/>
    <n v="1790564"/>
    <n v="1790564"/>
    <n v="21486764"/>
    <n v="0"/>
  </r>
  <r>
    <x v="11"/>
    <x v="9"/>
    <x v="0"/>
    <s v="6200501"/>
    <n v="721410"/>
    <s v="Supplies-Medical - Nonbillable"/>
    <s v="Health Information Management"/>
    <x v="0"/>
    <m/>
    <n v="0"/>
    <n v="6.4"/>
    <n v="0"/>
    <n v="0"/>
    <n v="0"/>
    <n v="0"/>
    <n v="0"/>
    <n v="0"/>
    <n v="0"/>
    <n v="0"/>
    <n v="0"/>
    <n v="0"/>
    <n v="6.4"/>
    <n v="0"/>
  </r>
  <r>
    <x v="11"/>
    <x v="9"/>
    <x v="0"/>
    <s v="6200501"/>
    <n v="721830"/>
    <s v="Supplies-Office"/>
    <s v="Health Information Management"/>
    <x v="0"/>
    <m/>
    <n v="1359.8"/>
    <n v="2816.54"/>
    <n v="2111.31"/>
    <n v="2454.61"/>
    <n v="2776.01"/>
    <n v="2637.12"/>
    <n v="2898.67"/>
    <n v="2515.0700000000002"/>
    <n v="2938.12"/>
    <n v="2836.01"/>
    <n v="1770.53"/>
    <n v="1355.94"/>
    <n v="28469.729999999992"/>
    <n v="414.58999999999992"/>
  </r>
  <r>
    <x v="11"/>
    <x v="9"/>
    <x v="0"/>
    <s v="6200501"/>
    <n v="721835"/>
    <s v="Supplies-Forms"/>
    <s v="Health Information Management"/>
    <x v="0"/>
    <m/>
    <n v="0"/>
    <n v="0"/>
    <n v="0"/>
    <n v="0"/>
    <n v="209"/>
    <n v="0"/>
    <n v="48"/>
    <n v="0"/>
    <n v="0"/>
    <n v="50"/>
    <n v="0"/>
    <n v="48"/>
    <n v="355"/>
    <n v="-48"/>
  </r>
  <r>
    <x v="11"/>
    <x v="9"/>
    <x v="0"/>
    <s v="6200501"/>
    <n v="721910"/>
    <s v="Supplies-Small Equipment"/>
    <s v="Health Information Management"/>
    <x v="0"/>
    <m/>
    <n v="0"/>
    <n v="0"/>
    <n v="0"/>
    <n v="0"/>
    <n v="0"/>
    <n v="0"/>
    <n v="0"/>
    <n v="0"/>
    <n v="-0.01"/>
    <n v="0"/>
    <n v="0"/>
    <n v="0"/>
    <n v="-0.01"/>
    <n v="0"/>
  </r>
  <r>
    <x v="11"/>
    <x v="9"/>
    <x v="0"/>
    <s v="6200501"/>
    <n v="722000"/>
    <s v="Supplies-Freight Expense"/>
    <s v="Health Information Management"/>
    <x v="0"/>
    <m/>
    <n v="538.95000000000005"/>
    <n v="46.16"/>
    <n v="794.92"/>
    <n v="378.9"/>
    <n v="138.75"/>
    <n v="373.84"/>
    <n v="227.01"/>
    <n v="311.27999999999997"/>
    <n v="234.26"/>
    <n v="889.91"/>
    <n v="699.16"/>
    <n v="922.23"/>
    <n v="5555.369999999999"/>
    <n v="-223.07000000000005"/>
  </r>
  <r>
    <x v="12"/>
    <x v="9"/>
    <x v="0"/>
    <s v="6200501"/>
    <n v="730010"/>
    <s v="Rental and Leases-Building (DO NOT USE)"/>
    <s v="Health Information Management"/>
    <x v="0"/>
    <m/>
    <n v="1169.8"/>
    <n v="1169.8"/>
    <n v="1169.8"/>
    <n v="1169.8"/>
    <n v="1169.8"/>
    <n v="-1961.66"/>
    <n v="647.89"/>
    <n v="647.89"/>
    <n v="647.89"/>
    <n v="658.86"/>
    <n v="664.08"/>
    <n v="0"/>
    <n v="7153.9500000000007"/>
    <n v="664.08"/>
  </r>
  <r>
    <x v="12"/>
    <x v="9"/>
    <x v="0"/>
    <s v="6200501"/>
    <n v="730010"/>
    <s v="Rental-Common Area Maint (DO NOT USE)"/>
    <s v="Health Information Management"/>
    <x v="0"/>
    <n v="2200"/>
    <n v="0"/>
    <n v="0"/>
    <n v="0"/>
    <n v="0"/>
    <n v="0"/>
    <n v="3143.63"/>
    <n v="534.08000000000004"/>
    <n v="534.08000000000004"/>
    <n v="-12.29"/>
    <n v="534.08000000000004"/>
    <n v="534.08000000000004"/>
    <n v="0"/>
    <n v="5267.66"/>
    <n v="534.08000000000004"/>
  </r>
  <r>
    <x v="12"/>
    <x v="9"/>
    <x v="0"/>
    <s v="6200501"/>
    <n v="730020"/>
    <s v="Rental and Leases-Copier Usage Fees (DO NOT USE)"/>
    <s v="Health Information Management"/>
    <x v="0"/>
    <n v="5100"/>
    <n v="4045.58"/>
    <n v="4123.63"/>
    <n v="4084.6"/>
    <n v="4084.6"/>
    <n v="4084.6"/>
    <n v="4084.6"/>
    <n v="-1147.98"/>
    <n v="3193.53"/>
    <n v="3528.57"/>
    <n v="4523.78"/>
    <n v="3267.36"/>
    <n v="3709.32"/>
    <n v="41582.189999999995"/>
    <n v="-441.96000000000004"/>
  </r>
  <r>
    <x v="12"/>
    <x v="9"/>
    <x v="0"/>
    <s v="6200501"/>
    <n v="730040"/>
    <s v="LT Lease-Real Estate"/>
    <s v="Health Information Management"/>
    <x v="0"/>
    <m/>
    <n v="0"/>
    <n v="0"/>
    <n v="0"/>
    <n v="0"/>
    <n v="0"/>
    <n v="0"/>
    <n v="0"/>
    <n v="0"/>
    <n v="0"/>
    <n v="0"/>
    <n v="0"/>
    <n v="1198.1600000000001"/>
    <n v="1198.1600000000001"/>
    <n v="-1198.1600000000001"/>
  </r>
  <r>
    <x v="15"/>
    <x v="9"/>
    <x v="0"/>
    <s v="6200501"/>
    <n v="731060"/>
    <s v="Telephone"/>
    <s v="Health Information Management"/>
    <x v="0"/>
    <m/>
    <n v="0"/>
    <n v="0"/>
    <n v="0"/>
    <n v="0"/>
    <n v="0"/>
    <n v="0"/>
    <n v="0"/>
    <n v="0"/>
    <n v="0"/>
    <n v="0"/>
    <n v="0"/>
    <n v="620.95000000000005"/>
    <n v="620.95000000000005"/>
    <n v="-620.95000000000005"/>
  </r>
  <r>
    <x v="15"/>
    <x v="9"/>
    <x v="0"/>
    <s v="6200501"/>
    <n v="731060"/>
    <s v="Pagers"/>
    <s v="Health Information Management"/>
    <x v="0"/>
    <n v="1002"/>
    <n v="9.31"/>
    <n v="9.31"/>
    <n v="9.31"/>
    <n v="9.33"/>
    <n v="9.33"/>
    <n v="0"/>
    <n v="17.45"/>
    <n v="8.1199999999999992"/>
    <n v="8.1199999999999992"/>
    <n v="8.1199999999999992"/>
    <n v="8.1199999999999992"/>
    <n v="8.1199999999999992"/>
    <n v="104.64000000000001"/>
    <n v="0"/>
  </r>
  <r>
    <x v="16"/>
    <x v="9"/>
    <x v="0"/>
    <s v="6200501"/>
    <n v="732030"/>
    <s v="Repairs---Other"/>
    <s v="Health Information Management"/>
    <x v="0"/>
    <m/>
    <n v="0"/>
    <n v="0"/>
    <n v="0"/>
    <n v="37.32"/>
    <n v="0"/>
    <n v="0"/>
    <n v="0"/>
    <n v="0"/>
    <n v="0"/>
    <n v="0"/>
    <n v="0"/>
    <n v="0"/>
    <n v="37.32"/>
    <n v="0"/>
  </r>
  <r>
    <x v="16"/>
    <x v="9"/>
    <x v="0"/>
    <s v="6200501"/>
    <n v="733030"/>
    <s v="Maintenance Contracts-Other"/>
    <s v="Health Information Management"/>
    <x v="0"/>
    <m/>
    <n v="0"/>
    <n v="0"/>
    <n v="0"/>
    <n v="0"/>
    <n v="0"/>
    <n v="0"/>
    <n v="6964.78"/>
    <n v="0"/>
    <n v="0"/>
    <n v="0"/>
    <n v="0"/>
    <n v="0"/>
    <n v="6964.78"/>
    <n v="0"/>
  </r>
  <r>
    <x v="13"/>
    <x v="9"/>
    <x v="0"/>
    <s v="6200501"/>
    <n v="735040"/>
    <s v="Depreciation-Building Improvements"/>
    <s v="Health Information Management"/>
    <x v="0"/>
    <m/>
    <n v="26.13"/>
    <n v="26.12"/>
    <n v="26.13"/>
    <n v="26.12"/>
    <n v="26.13"/>
    <n v="26.12"/>
    <n v="26.13"/>
    <n v="26.12"/>
    <n v="26.13"/>
    <n v="26.12"/>
    <n v="26.13"/>
    <n v="26.12"/>
    <n v="313.5"/>
    <n v="9.9999999999980105E-3"/>
  </r>
  <r>
    <x v="13"/>
    <x v="9"/>
    <x v="0"/>
    <s v="6200501"/>
    <n v="735060"/>
    <s v="Depreciation-Fixed Equipment"/>
    <s v="Health Information Management"/>
    <x v="0"/>
    <m/>
    <n v="32.57"/>
    <n v="32.57"/>
    <n v="32.57"/>
    <n v="32.57"/>
    <n v="32.57"/>
    <n v="32.57"/>
    <n v="32.58"/>
    <n v="32.57"/>
    <n v="32.58"/>
    <n v="32.56"/>
    <n v="32.58"/>
    <n v="32.56"/>
    <n v="390.84999999999997"/>
    <n v="1.9999999999996021E-2"/>
  </r>
  <r>
    <x v="13"/>
    <x v="9"/>
    <x v="0"/>
    <s v="6200501"/>
    <n v="735070"/>
    <s v="Depreciation-Movable Equipment"/>
    <s v="Health Information Management"/>
    <x v="0"/>
    <m/>
    <n v="24716.04"/>
    <n v="25012.6"/>
    <n v="24716.06"/>
    <n v="24715.96"/>
    <n v="24716.080000000002"/>
    <n v="24715.96"/>
    <n v="24716.14"/>
    <n v="24715.89"/>
    <n v="24716.21"/>
    <n v="25471"/>
    <n v="25472.01"/>
    <n v="25470.959999999999"/>
    <n v="299154.91000000003"/>
    <n v="1.0499999999992724"/>
  </r>
  <r>
    <x v="0"/>
    <x v="9"/>
    <x v="0"/>
    <s v="6200501"/>
    <n v="749510"/>
    <s v="Miscellaneous Expenses"/>
    <s v="Health Information Management"/>
    <x v="0"/>
    <m/>
    <n v="0"/>
    <n v="0"/>
    <n v="528.48"/>
    <n v="0"/>
    <n v="0"/>
    <n v="0"/>
    <n v="0"/>
    <n v="0"/>
    <n v="0"/>
    <n v="0"/>
    <n v="0"/>
    <n v="0"/>
    <n v="528.48"/>
    <n v="0"/>
  </r>
  <r>
    <x v="12"/>
    <x v="6"/>
    <x v="0"/>
    <s v="6201107"/>
    <n v="730020"/>
    <s v="Rental and Leases-Copier Usage Fees (DO NOT USE)"/>
    <s v="Documentation"/>
    <x v="0"/>
    <n v="5100"/>
    <n v="21.26"/>
    <n v="-21.26"/>
    <n v="0"/>
    <n v="0"/>
    <n v="0"/>
    <n v="0"/>
    <n v="0"/>
    <n v="0"/>
    <n v="0"/>
    <n v="0"/>
    <n v="0"/>
    <n v="0"/>
    <n v="0"/>
    <n v="0"/>
  </r>
  <r>
    <x v="5"/>
    <x v="1"/>
    <x v="0"/>
    <s v="6201200"/>
    <n v="700038"/>
    <s v="Salaries-Service/Support-Productive"/>
    <s v="Health Information Mgmt"/>
    <x v="0"/>
    <m/>
    <n v="12503.12"/>
    <n v="13465.26"/>
    <n v="9875.9"/>
    <n v="2908.21"/>
    <n v="0"/>
    <n v="0"/>
    <n v="0"/>
    <n v="0"/>
    <n v="0"/>
    <n v="0"/>
    <n v="0"/>
    <n v="0"/>
    <n v="38752.49"/>
    <n v="0"/>
  </r>
  <r>
    <x v="5"/>
    <x v="1"/>
    <x v="0"/>
    <s v="6201200"/>
    <n v="700038"/>
    <s v="Salaries-Service/Support-OT"/>
    <s v="Health Information Mgmt"/>
    <x v="0"/>
    <n v="1000"/>
    <n v="7.75"/>
    <n v="76.2"/>
    <n v="303.76"/>
    <n v="284.63"/>
    <n v="0"/>
    <n v="0"/>
    <n v="0"/>
    <n v="0"/>
    <n v="0"/>
    <n v="0"/>
    <n v="0"/>
    <n v="0"/>
    <n v="672.33999999999992"/>
    <n v="0"/>
  </r>
  <r>
    <x v="5"/>
    <x v="1"/>
    <x v="0"/>
    <s v="6201200"/>
    <n v="700038"/>
    <s v="Salaries-Service/Support-Other"/>
    <s v="Health Information Mgmt"/>
    <x v="0"/>
    <n v="2000"/>
    <n v="0"/>
    <n v="0"/>
    <n v="5.25"/>
    <n v="5.75"/>
    <n v="0"/>
    <n v="0"/>
    <n v="0"/>
    <n v="0"/>
    <n v="0"/>
    <n v="0"/>
    <n v="0"/>
    <n v="0"/>
    <n v="11"/>
    <n v="0"/>
  </r>
  <r>
    <x v="5"/>
    <x v="1"/>
    <x v="0"/>
    <s v="6201200"/>
    <n v="700078"/>
    <s v="Salaries-Service/Support-Non-productive"/>
    <s v="Health Information Mgmt"/>
    <x v="0"/>
    <m/>
    <n v="2566"/>
    <n v="222.43"/>
    <n v="1072.4100000000001"/>
    <n v="-172.19"/>
    <n v="0"/>
    <n v="0"/>
    <n v="0"/>
    <n v="0"/>
    <n v="0"/>
    <n v="0"/>
    <n v="0"/>
    <n v="0"/>
    <n v="3688.65"/>
    <n v="0"/>
  </r>
  <r>
    <x v="5"/>
    <x v="1"/>
    <x v="0"/>
    <s v="6201200"/>
    <n v="700084"/>
    <s v="Accrued PTO"/>
    <s v="Health Information Mgmt"/>
    <x v="0"/>
    <m/>
    <n v="-1118.83"/>
    <n v="798.3"/>
    <n v="89.39"/>
    <n v="-6287.96"/>
    <n v="0"/>
    <n v="0"/>
    <n v="0"/>
    <n v="0"/>
    <n v="0"/>
    <n v="0"/>
    <n v="0"/>
    <n v="0"/>
    <n v="-6519.1"/>
    <n v="0"/>
  </r>
  <r>
    <x v="6"/>
    <x v="1"/>
    <x v="0"/>
    <s v="6201200"/>
    <n v="713010"/>
    <s v="Benefits-FICA/Medicare"/>
    <s v="Health Information Mgmt"/>
    <x v="0"/>
    <m/>
    <n v="1059.52"/>
    <n v="957.88"/>
    <n v="779.85"/>
    <n v="211.22"/>
    <n v="0"/>
    <n v="0"/>
    <n v="0"/>
    <n v="0"/>
    <n v="0"/>
    <n v="0"/>
    <n v="0"/>
    <n v="0"/>
    <n v="3008.47"/>
    <n v="0"/>
  </r>
  <r>
    <x v="6"/>
    <x v="1"/>
    <x v="0"/>
    <s v="6201200"/>
    <n v="713090"/>
    <s v="Benefits-Allocated Amounts"/>
    <s v="Health Information Mgmt"/>
    <x v="0"/>
    <m/>
    <n v="5278.23"/>
    <n v="4356.43"/>
    <n v="4265.21"/>
    <n v="1912.02"/>
    <n v="9.99"/>
    <n v="-1035.8900000000001"/>
    <n v="585.46"/>
    <n v="204.73"/>
    <n v="202.8"/>
    <n v="65.78"/>
    <n v="-85.27"/>
    <n v="-282.68"/>
    <n v="15476.81"/>
    <n v="197.41000000000003"/>
  </r>
  <r>
    <x v="11"/>
    <x v="1"/>
    <x v="0"/>
    <s v="6201200"/>
    <n v="721830"/>
    <s v="Supplies-Office"/>
    <s v="Health Information Mgmt"/>
    <x v="0"/>
    <m/>
    <n v="291.14999999999998"/>
    <n v="618.25"/>
    <n v="0"/>
    <n v="484.02"/>
    <n v="0"/>
    <n v="0"/>
    <n v="-1329.58"/>
    <n v="-63.84"/>
    <n v="0"/>
    <n v="0"/>
    <n v="0"/>
    <n v="0"/>
    <n v="1.4210854715202004E-13"/>
    <n v="0"/>
  </r>
  <r>
    <x v="11"/>
    <x v="1"/>
    <x v="0"/>
    <s v="6201200"/>
    <n v="721835"/>
    <s v="Supplies-Forms"/>
    <s v="Health Information Mgmt"/>
    <x v="0"/>
    <m/>
    <n v="0"/>
    <n v="0"/>
    <n v="0"/>
    <n v="0"/>
    <n v="307.5"/>
    <n v="205"/>
    <n v="-512.5"/>
    <n v="0"/>
    <n v="0"/>
    <n v="0"/>
    <n v="0"/>
    <n v="0"/>
    <n v="0"/>
    <n v="0"/>
  </r>
  <r>
    <x v="11"/>
    <x v="1"/>
    <x v="0"/>
    <s v="6201200"/>
    <n v="721910"/>
    <s v="Supplies-Small Equipment"/>
    <s v="Health Information Mgmt"/>
    <x v="0"/>
    <m/>
    <n v="138.31"/>
    <n v="1785.91"/>
    <n v="318.33999999999997"/>
    <n v="301.52"/>
    <n v="66.86"/>
    <n v="425.88"/>
    <n v="-1958.7"/>
    <n v="-1078.1199999999999"/>
    <n v="0"/>
    <n v="0"/>
    <n v="0"/>
    <n v="0"/>
    <n v="2.2737367544323206E-13"/>
    <n v="0"/>
  </r>
  <r>
    <x v="11"/>
    <x v="1"/>
    <x v="0"/>
    <s v="6201200"/>
    <n v="722000"/>
    <s v="Supplies-Freight Expense"/>
    <s v="Health Information Mgmt"/>
    <x v="0"/>
    <m/>
    <n v="0"/>
    <n v="10.210000000000001"/>
    <n v="0"/>
    <n v="0"/>
    <n v="0"/>
    <n v="0"/>
    <n v="-10.210000000000001"/>
    <n v="0"/>
    <n v="0"/>
    <n v="0"/>
    <n v="0"/>
    <n v="0"/>
    <n v="0"/>
    <n v="0"/>
  </r>
  <r>
    <x v="13"/>
    <x v="1"/>
    <x v="0"/>
    <s v="6201200"/>
    <n v="735070"/>
    <s v="Depreciation-Movable Equipment"/>
    <s v="Health Information Mgmt"/>
    <x v="0"/>
    <m/>
    <n v="88.9"/>
    <n v="88.89"/>
    <n v="88.9"/>
    <n v="88.89"/>
    <n v="88.9"/>
    <n v="88.89"/>
    <n v="-533.37"/>
    <n v="0"/>
    <n v="0"/>
    <n v="0"/>
    <n v="0"/>
    <n v="0"/>
    <n v="0"/>
    <n v="0"/>
  </r>
  <r>
    <x v="0"/>
    <x v="1"/>
    <x v="0"/>
    <s v="6201200"/>
    <n v="749510"/>
    <s v="Miscellaneous Expenses"/>
    <s v="Health Information Mgmt"/>
    <x v="0"/>
    <m/>
    <n v="-46.34"/>
    <n v="0"/>
    <n v="0"/>
    <n v="0"/>
    <n v="0"/>
    <n v="0"/>
    <n v="46.34"/>
    <n v="0"/>
    <n v="0"/>
    <n v="0"/>
    <n v="0"/>
    <n v="0"/>
    <n v="0"/>
    <n v="0"/>
  </r>
  <r>
    <x v="5"/>
    <x v="1"/>
    <x v="0"/>
    <s v="6206200"/>
    <n v="700014"/>
    <s v="Salaries-Management-Productive"/>
    <s v="FMG Coding"/>
    <x v="0"/>
    <m/>
    <n v="5828.96"/>
    <n v="7886.24"/>
    <n v="4800.32"/>
    <n v="4199.5200000000004"/>
    <n v="7751.04"/>
    <n v="5179.1000000000004"/>
    <n v="7162.95"/>
    <n v="7056.74"/>
    <n v="6703.9"/>
    <n v="6562.76"/>
    <n v="5433.67"/>
    <n v="15927.16"/>
    <n v="84492.36"/>
    <n v="-10493.49"/>
  </r>
  <r>
    <x v="5"/>
    <x v="1"/>
    <x v="0"/>
    <s v="6206200"/>
    <n v="700014"/>
    <s v="Salaries-Management-Other"/>
    <s v="FMG Coding"/>
    <x v="0"/>
    <n v="2000"/>
    <n v="0"/>
    <n v="0"/>
    <n v="0"/>
    <n v="0"/>
    <n v="0"/>
    <n v="0"/>
    <n v="0"/>
    <n v="0"/>
    <n v="0"/>
    <n v="0"/>
    <n v="0"/>
    <n v="525.78"/>
    <n v="525.78"/>
    <n v="-525.78"/>
  </r>
  <r>
    <x v="5"/>
    <x v="1"/>
    <x v="0"/>
    <s v="6206200"/>
    <n v="700018"/>
    <s v="Salaries-Supervisory-Productive"/>
    <s v="FMG Coding"/>
    <x v="0"/>
    <m/>
    <n v="25091.63"/>
    <n v="31904.09"/>
    <n v="24938.04"/>
    <n v="27200.28"/>
    <n v="28038.6"/>
    <n v="18775.14"/>
    <n v="27381.29"/>
    <n v="27030.54"/>
    <n v="27230.02"/>
    <n v="22085.88"/>
    <n v="29872.74"/>
    <n v="14094.88"/>
    <n v="303643.13000000006"/>
    <n v="15777.860000000002"/>
  </r>
  <r>
    <x v="5"/>
    <x v="1"/>
    <x v="0"/>
    <s v="6206200"/>
    <n v="700034"/>
    <s v="Salaries-Tech/Professional-Productive"/>
    <s v="FMG Coding"/>
    <x v="0"/>
    <m/>
    <n v="222847.11"/>
    <n v="260138.98"/>
    <n v="216326.26"/>
    <n v="265695.03999999998"/>
    <n v="261035.19"/>
    <n v="201325.54"/>
    <n v="257790.78"/>
    <n v="245745.26"/>
    <n v="257922.5"/>
    <n v="262831.95"/>
    <n v="286430.05"/>
    <n v="216054.12"/>
    <n v="2954142.7800000003"/>
    <n v="70375.929999999993"/>
  </r>
  <r>
    <x v="5"/>
    <x v="1"/>
    <x v="0"/>
    <s v="6206200"/>
    <n v="700034"/>
    <s v="Salaries-Tech/Professional-OT"/>
    <s v="FMG Coding"/>
    <x v="0"/>
    <n v="1000"/>
    <n v="36.57"/>
    <n v="26.18"/>
    <n v="0"/>
    <n v="112.19"/>
    <n v="257.69"/>
    <n v="-7.44"/>
    <n v="0"/>
    <n v="11.42"/>
    <n v="78.819999999999993"/>
    <n v="-26.27"/>
    <n v="11.02"/>
    <n v="0"/>
    <n v="500.18000000000006"/>
    <n v="11.02"/>
  </r>
  <r>
    <x v="5"/>
    <x v="1"/>
    <x v="0"/>
    <s v="6206200"/>
    <n v="700034"/>
    <s v="Salaries-Tech/Professional-Other"/>
    <s v="FMG Coding"/>
    <x v="0"/>
    <n v="2000"/>
    <n v="34.25"/>
    <n v="44"/>
    <n v="12.77"/>
    <n v="-3.12"/>
    <n v="65.5"/>
    <n v="0"/>
    <n v="6.51"/>
    <n v="5.95"/>
    <n v="13.8"/>
    <n v="7.07"/>
    <n v="17.43"/>
    <n v="34.54"/>
    <n v="238.69999999999996"/>
    <n v="-17.11"/>
  </r>
  <r>
    <x v="5"/>
    <x v="1"/>
    <x v="0"/>
    <s v="6206200"/>
    <n v="700038"/>
    <s v="Salaries-Service/Support-Productive"/>
    <s v="FMG Coding"/>
    <x v="0"/>
    <m/>
    <n v="11053.57"/>
    <n v="15739.09"/>
    <n v="9592.01"/>
    <n v="17313.060000000001"/>
    <n v="21093.22"/>
    <n v="13575.27"/>
    <n v="18527.7"/>
    <n v="14912.81"/>
    <n v="18814.97"/>
    <n v="19404.169999999998"/>
    <n v="20457.89"/>
    <n v="18279.28"/>
    <n v="198763.04"/>
    <n v="2178.6100000000006"/>
  </r>
  <r>
    <x v="5"/>
    <x v="1"/>
    <x v="0"/>
    <s v="6206200"/>
    <n v="700038"/>
    <s v="Salaries-Service/Support-OT"/>
    <s v="FMG Coding"/>
    <x v="0"/>
    <n v="1000"/>
    <n v="0"/>
    <n v="0"/>
    <n v="0"/>
    <n v="15.21"/>
    <n v="-6.76"/>
    <n v="0"/>
    <n v="0"/>
    <n v="0"/>
    <n v="0"/>
    <n v="0"/>
    <n v="0"/>
    <n v="41.14"/>
    <n v="49.59"/>
    <n v="-41.14"/>
  </r>
  <r>
    <x v="5"/>
    <x v="1"/>
    <x v="0"/>
    <s v="6206200"/>
    <n v="700038"/>
    <s v="Salaries-Service/Support-Other"/>
    <s v="FMG Coding"/>
    <x v="0"/>
    <n v="2000"/>
    <n v="0"/>
    <n v="0"/>
    <n v="0"/>
    <n v="0"/>
    <n v="0"/>
    <n v="0"/>
    <n v="0"/>
    <n v="0"/>
    <n v="0"/>
    <n v="0"/>
    <n v="0"/>
    <n v="40.06"/>
    <n v="40.06"/>
    <n v="-40.06"/>
  </r>
  <r>
    <x v="5"/>
    <x v="1"/>
    <x v="0"/>
    <s v="6206200"/>
    <n v="700054"/>
    <s v="Salaries-Management-Non-productive"/>
    <s v="FMG Coding"/>
    <x v="0"/>
    <m/>
    <n v="1714.4"/>
    <n v="0"/>
    <n v="2057.2800000000002"/>
    <n v="3856.64"/>
    <n v="0"/>
    <n v="2219.61"/>
    <n v="952.82"/>
    <n v="0"/>
    <n v="705.68"/>
    <n v="1199.6400000000001"/>
    <n v="2681.6"/>
    <n v="-59.13"/>
    <n v="15328.54"/>
    <n v="2740.73"/>
  </r>
  <r>
    <x v="5"/>
    <x v="1"/>
    <x v="0"/>
    <s v="6206200"/>
    <n v="700054"/>
    <s v="Salaries-Management-NonProd-Other"/>
    <s v="FMG Coding"/>
    <x v="0"/>
    <n v="2000"/>
    <n v="0"/>
    <n v="0"/>
    <n v="0"/>
    <n v="0"/>
    <n v="0"/>
    <n v="1809.25"/>
    <n v="-1809.25"/>
    <n v="0"/>
    <n v="0"/>
    <n v="0"/>
    <n v="0"/>
    <n v="0"/>
    <n v="0"/>
    <n v="0"/>
  </r>
  <r>
    <x v="5"/>
    <x v="1"/>
    <x v="0"/>
    <s v="6206200"/>
    <n v="700058"/>
    <s v="Salaries-Supervisory-Non-productive"/>
    <s v="FMG Coding"/>
    <x v="0"/>
    <m/>
    <n v="7799.93"/>
    <n v="2482.59"/>
    <n v="4963.3999999999996"/>
    <n v="7772.15"/>
    <n v="5568.97"/>
    <n v="13304.75"/>
    <n v="7807.73"/>
    <n v="3566.62"/>
    <n v="5088.96"/>
    <n v="4121.62"/>
    <n v="-868.18"/>
    <n v="11126.42"/>
    <n v="72734.960000000006"/>
    <n v="-11994.6"/>
  </r>
  <r>
    <x v="5"/>
    <x v="1"/>
    <x v="0"/>
    <s v="6206200"/>
    <n v="700074"/>
    <s v="Salaries-Tech/Professional-Non-productive"/>
    <s v="FMG Coding"/>
    <x v="0"/>
    <m/>
    <n v="41723.25"/>
    <n v="21613.81"/>
    <n v="29168.7"/>
    <n v="17143.28"/>
    <n v="22302.14"/>
    <n v="67104.59"/>
    <n v="38934.699999999997"/>
    <n v="15446.94"/>
    <n v="22842.47"/>
    <n v="27305.49"/>
    <n v="24291.89"/>
    <n v="47577.1"/>
    <n v="375454.36"/>
    <n v="-23285.21"/>
  </r>
  <r>
    <x v="5"/>
    <x v="1"/>
    <x v="0"/>
    <s v="6206200"/>
    <n v="700074"/>
    <s v="Salaries-Tech/Professional-NonProd-Other"/>
    <s v="FMG Coding"/>
    <x v="0"/>
    <n v="2000"/>
    <n v="0"/>
    <n v="0"/>
    <n v="0"/>
    <n v="0"/>
    <n v="1561.78"/>
    <n v="2255.16"/>
    <n v="0"/>
    <n v="-3816.94"/>
    <n v="0"/>
    <n v="0"/>
    <n v="0"/>
    <n v="0"/>
    <n v="-4.5474735088646412E-13"/>
    <n v="0"/>
  </r>
  <r>
    <x v="5"/>
    <x v="1"/>
    <x v="0"/>
    <s v="6206200"/>
    <n v="700078"/>
    <s v="Salaries-Service/Support-Non-productive"/>
    <s v="FMG Coding"/>
    <x v="0"/>
    <m/>
    <n v="4017.43"/>
    <n v="198.77"/>
    <n v="4547.29"/>
    <n v="-39.32"/>
    <n v="520.84"/>
    <n v="4801.9799999999996"/>
    <n v="2405.98"/>
    <n v="2743.64"/>
    <n v="1237.56"/>
    <n v="908.11"/>
    <n v="1594.34"/>
    <n v="2434.44"/>
    <n v="25371.06"/>
    <n v="-840.10000000000014"/>
  </r>
  <r>
    <x v="5"/>
    <x v="1"/>
    <x v="0"/>
    <s v="6206200"/>
    <n v="700078"/>
    <s v="Salaries-Service/Support-NonProd-Other"/>
    <s v="FMG Cod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6206200"/>
    <n v="700084"/>
    <s v="Accrued PTO"/>
    <s v="FMG Coding"/>
    <x v="0"/>
    <m/>
    <n v="-12119.64"/>
    <n v="10953.46"/>
    <n v="-8069.97"/>
    <n v="18674.78"/>
    <n v="19764.810000000001"/>
    <n v="-36490.42"/>
    <n v="-10085.83"/>
    <n v="14033.65"/>
    <n v="7745.23"/>
    <n v="14025.12"/>
    <n v="11092.47"/>
    <n v="-3551.3"/>
    <n v="25972.360000000004"/>
    <n v="14643.77"/>
  </r>
  <r>
    <x v="6"/>
    <x v="1"/>
    <x v="0"/>
    <s v="6206200"/>
    <n v="713010"/>
    <s v="Benefits-FICA/Medicare"/>
    <s v="FMG Coding"/>
    <x v="0"/>
    <m/>
    <n v="23626.89"/>
    <n v="25107.56"/>
    <n v="21872.880000000001"/>
    <n v="25307.31"/>
    <n v="26045.22"/>
    <n v="24220.29"/>
    <n v="26730.93"/>
    <n v="23333.07"/>
    <n v="25102.33"/>
    <n v="25379.96"/>
    <n v="27306.06"/>
    <n v="24043.35"/>
    <n v="298075.84999999998"/>
    <n v="3262.7100000000028"/>
  </r>
  <r>
    <x v="6"/>
    <x v="1"/>
    <x v="0"/>
    <s v="6206200"/>
    <n v="713090"/>
    <s v="Benefits-Allocated Amounts"/>
    <s v="FMG Coding"/>
    <x v="0"/>
    <m/>
    <n v="70222.880000000005"/>
    <n v="66155.039999999994"/>
    <n v="68971.16"/>
    <n v="71545.179999999993"/>
    <n v="73944.38"/>
    <n v="73711.289999999994"/>
    <n v="85546.05"/>
    <n v="82173.69"/>
    <n v="81020.100000000006"/>
    <n v="80321.34"/>
    <n v="81474.55"/>
    <n v="83417.19"/>
    <n v="918502.84999999986"/>
    <n v="-1942.6399999999994"/>
  </r>
  <r>
    <x v="6"/>
    <x v="1"/>
    <x v="0"/>
    <s v="6206200"/>
    <n v="713096"/>
    <s v="Employee Recognition"/>
    <s v="FMG Coding"/>
    <x v="0"/>
    <n v="1017"/>
    <n v="0"/>
    <n v="0"/>
    <n v="0"/>
    <n v="0"/>
    <n v="0"/>
    <n v="0"/>
    <n v="0"/>
    <n v="0"/>
    <n v="1086.23"/>
    <n v="1724.31"/>
    <n v="0"/>
    <n v="0"/>
    <n v="2810.54"/>
    <n v="0"/>
  </r>
  <r>
    <x v="7"/>
    <x v="1"/>
    <x v="0"/>
    <s v="6206200"/>
    <n v="718050"/>
    <s v="Contract Svcs-Other"/>
    <s v="FMG Coding"/>
    <x v="0"/>
    <m/>
    <n v="0"/>
    <n v="0"/>
    <n v="0"/>
    <n v="0"/>
    <n v="97.68"/>
    <n v="0"/>
    <n v="0"/>
    <n v="0"/>
    <n v="400"/>
    <n v="0"/>
    <n v="0"/>
    <n v="0"/>
    <n v="497.68"/>
    <n v="0"/>
  </r>
  <r>
    <x v="11"/>
    <x v="1"/>
    <x v="0"/>
    <s v="6206200"/>
    <n v="721830"/>
    <s v="Supplies-Office"/>
    <s v="FMG Coding"/>
    <x v="0"/>
    <m/>
    <n v="78.209999999999994"/>
    <n v="116.25"/>
    <n v="102.82"/>
    <n v="345.17"/>
    <n v="132.19"/>
    <n v="301.39"/>
    <n v="46.88"/>
    <n v="300.73"/>
    <n v="251.13"/>
    <n v="194.13"/>
    <n v="0"/>
    <n v="133.18"/>
    <n v="2002.0800000000006"/>
    <n v="-133.18"/>
  </r>
  <r>
    <x v="11"/>
    <x v="1"/>
    <x v="0"/>
    <s v="6206200"/>
    <n v="721835"/>
    <s v="Supplies-Forms"/>
    <s v="FMG Coding"/>
    <x v="0"/>
    <m/>
    <n v="0"/>
    <n v="91.58"/>
    <n v="0"/>
    <n v="0"/>
    <n v="665.95"/>
    <n v="0"/>
    <n v="0"/>
    <n v="0"/>
    <n v="401.42"/>
    <n v="0"/>
    <n v="0"/>
    <n v="-11.76"/>
    <n v="1147.19"/>
    <n v="11.76"/>
  </r>
  <r>
    <x v="11"/>
    <x v="1"/>
    <x v="0"/>
    <s v="6206200"/>
    <n v="721910"/>
    <s v="Supplies-Small Equipment"/>
    <s v="FMG Coding"/>
    <x v="0"/>
    <m/>
    <n v="0"/>
    <n v="1153.57"/>
    <n v="116.51"/>
    <n v="0"/>
    <n v="0"/>
    <n v="267.58"/>
    <n v="13.51"/>
    <n v="1119.08"/>
    <n v="1193.7"/>
    <n v="0"/>
    <n v="0"/>
    <n v="0"/>
    <n v="3863.95"/>
    <n v="0"/>
  </r>
  <r>
    <x v="11"/>
    <x v="1"/>
    <x v="0"/>
    <s v="6206200"/>
    <n v="722000"/>
    <s v="Supplies-Freight Expense"/>
    <s v="FMG Coding"/>
    <x v="0"/>
    <m/>
    <n v="0"/>
    <n v="0"/>
    <n v="30.09"/>
    <n v="0"/>
    <n v="0"/>
    <n v="0"/>
    <n v="33.880000000000003"/>
    <n v="0"/>
    <n v="0"/>
    <n v="0"/>
    <n v="39.340000000000003"/>
    <n v="11.76"/>
    <n v="115.07000000000001"/>
    <n v="27.580000000000005"/>
  </r>
  <r>
    <x v="12"/>
    <x v="1"/>
    <x v="0"/>
    <s v="6206200"/>
    <n v="730010"/>
    <s v="Rental and Leases-Building (DO NOT USE)"/>
    <s v="FMG Coding"/>
    <x v="0"/>
    <m/>
    <n v="1234.79"/>
    <n v="1234.79"/>
    <n v="1234.79"/>
    <n v="1234.79"/>
    <n v="1234.79"/>
    <n v="-1424.8"/>
    <n v="793.53"/>
    <n v="793.53"/>
    <n v="813.87"/>
    <n v="813.42"/>
    <n v="813.42"/>
    <n v="0"/>
    <n v="8776.9199999999983"/>
    <n v="813.42"/>
  </r>
  <r>
    <x v="12"/>
    <x v="1"/>
    <x v="0"/>
    <s v="6206200"/>
    <n v="730010"/>
    <s v="Rental-Common Area Maint (DO NOT USE)"/>
    <s v="FMG Coding"/>
    <x v="0"/>
    <n v="2200"/>
    <n v="0"/>
    <n v="0"/>
    <n v="0"/>
    <n v="0"/>
    <n v="0"/>
    <n v="2664.65"/>
    <n v="776.09"/>
    <n v="446.32"/>
    <n v="446.32"/>
    <n v="446.07"/>
    <n v="446.07"/>
    <n v="0"/>
    <n v="5225.5199999999995"/>
    <n v="446.07"/>
  </r>
  <r>
    <x v="12"/>
    <x v="1"/>
    <x v="0"/>
    <s v="6206200"/>
    <n v="730040"/>
    <s v="LT Lease-Real Estate"/>
    <s v="FMG Coding"/>
    <x v="0"/>
    <m/>
    <n v="0"/>
    <n v="0"/>
    <n v="0"/>
    <n v="0"/>
    <n v="0"/>
    <n v="0"/>
    <n v="0"/>
    <n v="0"/>
    <n v="0"/>
    <n v="0"/>
    <n v="0"/>
    <n v="1259.49"/>
    <n v="1259.49"/>
    <n v="-1259.49"/>
  </r>
  <r>
    <x v="15"/>
    <x v="1"/>
    <x v="0"/>
    <s v="6206200"/>
    <n v="731060"/>
    <s v="Telephone"/>
    <s v="FMG Coding"/>
    <x v="0"/>
    <m/>
    <n v="0"/>
    <n v="0"/>
    <n v="0"/>
    <n v="0"/>
    <n v="0"/>
    <n v="0"/>
    <n v="0"/>
    <n v="0"/>
    <n v="0"/>
    <n v="0"/>
    <n v="0"/>
    <n v="133.79"/>
    <n v="133.79"/>
    <n v="-133.79"/>
  </r>
  <r>
    <x v="16"/>
    <x v="1"/>
    <x v="0"/>
    <s v="6206200"/>
    <n v="732030"/>
    <s v="Repairs---Other"/>
    <s v="FMG Coding"/>
    <x v="0"/>
    <m/>
    <n v="0"/>
    <n v="0"/>
    <n v="0"/>
    <n v="0"/>
    <n v="0"/>
    <n v="0"/>
    <n v="0"/>
    <n v="0"/>
    <n v="0"/>
    <n v="0"/>
    <n v="0"/>
    <n v="91.33"/>
    <n v="91.33"/>
    <n v="-91.33"/>
  </r>
  <r>
    <x v="16"/>
    <x v="1"/>
    <x v="0"/>
    <s v="6206200"/>
    <n v="732030"/>
    <s v="Repairs&amp;Maintenance-Bldg Routine"/>
    <s v="FMG Coding"/>
    <x v="0"/>
    <n v="2300"/>
    <n v="4.34"/>
    <n v="0"/>
    <n v="0"/>
    <n v="0"/>
    <n v="3.89"/>
    <n v="92.34"/>
    <n v="0"/>
    <n v="0"/>
    <n v="0"/>
    <n v="0"/>
    <n v="0"/>
    <n v="0"/>
    <n v="100.57000000000001"/>
    <n v="0"/>
  </r>
  <r>
    <x v="0"/>
    <x v="1"/>
    <x v="0"/>
    <s v="6206200"/>
    <n v="740020"/>
    <s v="Education-Registration Fees"/>
    <s v="FMG Coding"/>
    <x v="0"/>
    <m/>
    <n v="0"/>
    <n v="0"/>
    <n v="0"/>
    <n v="825"/>
    <n v="0"/>
    <n v="0"/>
    <n v="0"/>
    <n v="0"/>
    <n v="2010"/>
    <n v="195"/>
    <n v="0"/>
    <n v="0"/>
    <n v="3030"/>
    <n v="0"/>
  </r>
  <r>
    <x v="0"/>
    <x v="1"/>
    <x v="0"/>
    <s v="6206200"/>
    <n v="742010"/>
    <s v="Postage-Regular"/>
    <s v="FMG Coding"/>
    <x v="0"/>
    <m/>
    <n v="0"/>
    <n v="0"/>
    <n v="0"/>
    <n v="0"/>
    <n v="0"/>
    <n v="0"/>
    <n v="0"/>
    <n v="55.57"/>
    <n v="36.909999999999997"/>
    <n v="0"/>
    <n v="0"/>
    <n v="0"/>
    <n v="92.47999999999999"/>
    <n v="0"/>
  </r>
  <r>
    <x v="0"/>
    <x v="1"/>
    <x v="0"/>
    <s v="6206200"/>
    <n v="743030"/>
    <s v="Subscriptions--Institutional"/>
    <s v="FMG Coding"/>
    <x v="0"/>
    <m/>
    <n v="0"/>
    <n v="0"/>
    <n v="6196.37"/>
    <n v="0"/>
    <n v="6304.27"/>
    <n v="1730.72"/>
    <n v="348.22"/>
    <n v="791.85"/>
    <n v="0"/>
    <n v="0"/>
    <n v="3599.15"/>
    <n v="5344.76"/>
    <n v="24315.339999999997"/>
    <n v="-1745.6100000000001"/>
  </r>
  <r>
    <x v="0"/>
    <x v="1"/>
    <x v="0"/>
    <s v="6206200"/>
    <n v="743040"/>
    <s v="Subscriptions--Individual"/>
    <s v="FMG Coding"/>
    <x v="0"/>
    <m/>
    <n v="0"/>
    <n v="0"/>
    <n v="0"/>
    <n v="0"/>
    <n v="0"/>
    <n v="0"/>
    <n v="0"/>
    <n v="0"/>
    <n v="375"/>
    <n v="0"/>
    <n v="0"/>
    <n v="0"/>
    <n v="375"/>
    <n v="0"/>
  </r>
  <r>
    <x v="0"/>
    <x v="1"/>
    <x v="0"/>
    <s v="6206200"/>
    <n v="749510"/>
    <s v="Miscellaneous Expenses"/>
    <s v="FMG Coding"/>
    <x v="0"/>
    <m/>
    <n v="-365.2"/>
    <n v="289.52999999999997"/>
    <n v="507.37"/>
    <n v="-764.19"/>
    <n v="333.59"/>
    <n v="-84.49"/>
    <n v="1156.18"/>
    <n v="917.58"/>
    <n v="-2104.66"/>
    <n v="-95.7"/>
    <n v="707.24"/>
    <n v="-891.88"/>
    <n v="-394.62999999999994"/>
    <n v="1599.12"/>
  </r>
  <r>
    <x v="0"/>
    <x v="1"/>
    <x v="0"/>
    <s v="6206200"/>
    <n v="749530"/>
    <s v="Travel"/>
    <s v="FMG Coding"/>
    <x v="0"/>
    <m/>
    <n v="6"/>
    <n v="6"/>
    <n v="5"/>
    <n v="52"/>
    <n v="12"/>
    <n v="12"/>
    <n v="0"/>
    <n v="1704.4"/>
    <n v="803.7"/>
    <n v="23"/>
    <n v="263.01"/>
    <n v="60"/>
    <n v="2947.1100000000006"/>
    <n v="203.01"/>
  </r>
  <r>
    <x v="0"/>
    <x v="1"/>
    <x v="0"/>
    <s v="6206200"/>
    <n v="749530"/>
    <s v="Mileage"/>
    <s v="FMG Coding"/>
    <x v="0"/>
    <n v="1001"/>
    <n v="335.22"/>
    <n v="83.94"/>
    <n v="46.87"/>
    <n v="1271.6300000000001"/>
    <n v="265.44"/>
    <n v="454.05"/>
    <n v="365.75"/>
    <n v="1055.6300000000001"/>
    <n v="250.56"/>
    <n v="1159.8599999999999"/>
    <n v="729.06"/>
    <n v="1762.04"/>
    <n v="7780.05"/>
    <n v="-1032.98"/>
  </r>
  <r>
    <x v="13"/>
    <x v="6"/>
    <x v="0"/>
    <s v="6210107"/>
    <n v="735070"/>
    <s v="Depreciation-Movable Equipment"/>
    <s v="Transcription Services"/>
    <x v="0"/>
    <m/>
    <n v="296.58999999999997"/>
    <n v="-296.58999999999997"/>
    <n v="0"/>
    <n v="0"/>
    <n v="0"/>
    <n v="0"/>
    <n v="0"/>
    <n v="0"/>
    <n v="0"/>
    <n v="0"/>
    <n v="0"/>
    <n v="0"/>
    <n v="0"/>
    <n v="0"/>
  </r>
  <r>
    <x v="7"/>
    <x v="9"/>
    <x v="0"/>
    <s v="6220501"/>
    <n v="718050"/>
    <s v="Document Shredding/Storage"/>
    <s v="Compliance"/>
    <x v="0"/>
    <n v="1012"/>
    <n v="10.5"/>
    <n v="10.77"/>
    <n v="9.91"/>
    <n v="10.25"/>
    <n v="10.59"/>
    <n v="10.59"/>
    <n v="10.48"/>
    <n v="8.98"/>
    <n v="9.31"/>
    <n v="12.22"/>
    <n v="12.25"/>
    <n v="8.59"/>
    <n v="124.44000000000001"/>
    <n v="3.66"/>
  </r>
  <r>
    <x v="12"/>
    <x v="9"/>
    <x v="0"/>
    <s v="6220501"/>
    <n v="730020"/>
    <s v="Rental and Leases-Copier Usage Fees (DO NOT USE)"/>
    <s v="Compliance"/>
    <x v="0"/>
    <n v="5100"/>
    <n v="130.49"/>
    <n v="134.43"/>
    <n v="132.46"/>
    <n v="132.46"/>
    <n v="132.46"/>
    <n v="132.46"/>
    <n v="138.22"/>
    <n v="134.19"/>
    <n v="133.9"/>
    <n v="183.3"/>
    <n v="134.19"/>
    <n v="168.34"/>
    <n v="1686.9"/>
    <n v="-34.150000000000006"/>
  </r>
  <r>
    <x v="13"/>
    <x v="9"/>
    <x v="0"/>
    <s v="6220501"/>
    <n v="735070"/>
    <s v="Depreciation-Movable Equipment"/>
    <s v="Compliance"/>
    <x v="0"/>
    <m/>
    <n v="373.7"/>
    <n v="373.7"/>
    <n v="373.72"/>
    <n v="373.7"/>
    <n v="373.72"/>
    <n v="373.66"/>
    <n v="373.74"/>
    <n v="373.63"/>
    <n v="373.74"/>
    <n v="373.63"/>
    <n v="373.76"/>
    <n v="373.63"/>
    <n v="4484.33"/>
    <n v="0.12999999999999545"/>
  </r>
  <r>
    <x v="5"/>
    <x v="0"/>
    <x v="0"/>
    <s v="6225102"/>
    <n v="700034"/>
    <s v="Salaries-Tech/Professional-Productive"/>
    <s v="Tumor Registry"/>
    <x v="0"/>
    <m/>
    <n v="1912.08"/>
    <n v="0"/>
    <n v="0"/>
    <n v="0"/>
    <n v="0"/>
    <n v="0"/>
    <n v="0"/>
    <n v="0"/>
    <n v="0"/>
    <n v="0"/>
    <n v="0"/>
    <n v="0"/>
    <n v="1912.08"/>
    <n v="0"/>
  </r>
  <r>
    <x v="5"/>
    <x v="0"/>
    <x v="0"/>
    <s v="6225102"/>
    <n v="700034"/>
    <s v="Salaries-Tech/Professional-OT"/>
    <s v="Tumor Registry"/>
    <x v="0"/>
    <n v="1000"/>
    <n v="11.16"/>
    <n v="0"/>
    <n v="0"/>
    <n v="0"/>
    <n v="0"/>
    <n v="0"/>
    <n v="0"/>
    <n v="0"/>
    <n v="0"/>
    <n v="0"/>
    <n v="0"/>
    <n v="0"/>
    <n v="11.16"/>
    <n v="0"/>
  </r>
  <r>
    <x v="5"/>
    <x v="0"/>
    <x v="0"/>
    <s v="6225102"/>
    <n v="700074"/>
    <s v="Salaries-Tech/Professional-Non-productive"/>
    <s v="Tumor Registry"/>
    <x v="0"/>
    <m/>
    <n v="476.16"/>
    <n v="0"/>
    <n v="0"/>
    <n v="0"/>
    <n v="0"/>
    <n v="0"/>
    <n v="0"/>
    <n v="0"/>
    <n v="0"/>
    <n v="0"/>
    <n v="0"/>
    <n v="0"/>
    <n v="476.16"/>
    <n v="0"/>
  </r>
  <r>
    <x v="5"/>
    <x v="0"/>
    <x v="0"/>
    <s v="6225102"/>
    <n v="700084"/>
    <s v="Accrued PTO"/>
    <s v="Tumor Registry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6225102"/>
    <n v="713010"/>
    <s v="Benefits-FICA/Medicare"/>
    <s v="Tumor Registry"/>
    <x v="0"/>
    <m/>
    <n v="181.86"/>
    <n v="0"/>
    <n v="0"/>
    <n v="0"/>
    <n v="0"/>
    <n v="0"/>
    <n v="0"/>
    <n v="0"/>
    <n v="0"/>
    <n v="0"/>
    <n v="0"/>
    <n v="0"/>
    <n v="181.86"/>
    <n v="0"/>
  </r>
  <r>
    <x v="6"/>
    <x v="0"/>
    <x v="0"/>
    <s v="6225102"/>
    <n v="713090"/>
    <s v="Benefits-Allocated Amounts"/>
    <s v="Tumor Registry"/>
    <x v="0"/>
    <m/>
    <n v="588.11"/>
    <n v="-46.58"/>
    <n v="13.63"/>
    <n v="-1.34"/>
    <n v="-15.38"/>
    <n v="3.13"/>
    <n v="23.33"/>
    <n v="-3.41"/>
    <n v="0.24"/>
    <n v="37.159999999999997"/>
    <n v="-26.03"/>
    <n v="19.440000000000001"/>
    <n v="592.30000000000007"/>
    <n v="-45.47"/>
  </r>
  <r>
    <x v="7"/>
    <x v="0"/>
    <x v="0"/>
    <s v="6225102"/>
    <n v="718050"/>
    <s v="Contract Svcs-Other"/>
    <s v="Tumor Registry"/>
    <x v="0"/>
    <m/>
    <n v="0"/>
    <n v="0"/>
    <n v="223.98"/>
    <n v="0"/>
    <n v="0"/>
    <n v="0"/>
    <n v="0"/>
    <n v="0"/>
    <n v="0"/>
    <n v="0"/>
    <n v="0"/>
    <n v="0"/>
    <n v="223.98"/>
    <n v="0"/>
  </r>
  <r>
    <x v="11"/>
    <x v="0"/>
    <x v="0"/>
    <s v="6225102"/>
    <n v="721810"/>
    <s v="Supplies-Dietary/Cafeteria"/>
    <s v="Tumor Registry"/>
    <x v="0"/>
    <m/>
    <n v="251.11"/>
    <n v="493.12"/>
    <n v="485.37"/>
    <n v="224.44"/>
    <n v="406.94"/>
    <n v="258.58999999999997"/>
    <n v="547.35"/>
    <n v="81.7"/>
    <n v="434.71"/>
    <n v="396.6"/>
    <n v="591.92999999999995"/>
    <n v="383.96"/>
    <n v="4555.82"/>
    <n v="207.96999999999997"/>
  </r>
  <r>
    <x v="12"/>
    <x v="0"/>
    <x v="0"/>
    <s v="6225102"/>
    <n v="730020"/>
    <s v="Rental and Leases-Copier Usage Fees (DO NOT USE)"/>
    <s v="Tumor Registry"/>
    <x v="0"/>
    <n v="5100"/>
    <n v="32.54"/>
    <n v="33.28"/>
    <n v="32.909999999999997"/>
    <n v="32.909999999999997"/>
    <n v="32.909999999999997"/>
    <n v="32.909999999999997"/>
    <n v="69.09"/>
    <n v="35.64"/>
    <n v="35.56"/>
    <n v="35.72"/>
    <n v="35.64"/>
    <n v="40.450000000000003"/>
    <n v="449.55999999999989"/>
    <n v="-4.8100000000000023"/>
  </r>
  <r>
    <x v="0"/>
    <x v="0"/>
    <x v="0"/>
    <s v="6225102"/>
    <n v="740020"/>
    <s v="Education-Registration Fees"/>
    <s v="Tumor Registry"/>
    <x v="0"/>
    <m/>
    <n v="40"/>
    <n v="0"/>
    <n v="0"/>
    <n v="0"/>
    <n v="0"/>
    <n v="0"/>
    <n v="0"/>
    <n v="0"/>
    <n v="0"/>
    <n v="0"/>
    <n v="0"/>
    <n v="0"/>
    <n v="40"/>
    <n v="0"/>
  </r>
  <r>
    <x v="0"/>
    <x v="0"/>
    <x v="0"/>
    <s v="6225102"/>
    <n v="749530"/>
    <s v="Travel"/>
    <s v="Tumor Registry"/>
    <x v="0"/>
    <m/>
    <n v="10"/>
    <n v="0"/>
    <n v="0"/>
    <n v="0"/>
    <n v="0"/>
    <n v="0"/>
    <n v="0"/>
    <n v="0"/>
    <n v="0"/>
    <n v="0"/>
    <n v="0"/>
    <n v="0"/>
    <n v="10"/>
    <n v="0"/>
  </r>
  <r>
    <x v="0"/>
    <x v="0"/>
    <x v="0"/>
    <s v="6225102"/>
    <n v="749530"/>
    <s v="Mileage"/>
    <s v="Tumor Registry"/>
    <x v="0"/>
    <n v="1001"/>
    <n v="19.260000000000002"/>
    <n v="0"/>
    <n v="0"/>
    <n v="0"/>
    <n v="0"/>
    <n v="0"/>
    <n v="0"/>
    <n v="0"/>
    <n v="0"/>
    <n v="0"/>
    <n v="0"/>
    <n v="0"/>
    <n v="19.260000000000002"/>
    <n v="0"/>
  </r>
  <r>
    <x v="7"/>
    <x v="3"/>
    <x v="0"/>
    <s v="6280101"/>
    <n v="718050"/>
    <s v="Document Shredding/Storage"/>
    <s v="Admitting"/>
    <x v="0"/>
    <n v="1012"/>
    <n v="2.76"/>
    <n v="2.8"/>
    <n v="2.61"/>
    <n v="2.69"/>
    <n v="2.77"/>
    <n v="2.77"/>
    <n v="2.74"/>
    <n v="2.36"/>
    <n v="2.44"/>
    <n v="3.2"/>
    <n v="2.69"/>
    <n v="2.77"/>
    <n v="32.6"/>
    <n v="-8.0000000000000071E-2"/>
  </r>
  <r>
    <x v="7"/>
    <x v="3"/>
    <x v="0"/>
    <s v="6280101"/>
    <n v="718050"/>
    <s v="Miscellaneous Purchased Svcs"/>
    <s v="Admitting"/>
    <x v="0"/>
    <n v="1020"/>
    <n v="0"/>
    <n v="0"/>
    <n v="0"/>
    <n v="224.19"/>
    <n v="0"/>
    <n v="0"/>
    <n v="0"/>
    <n v="0"/>
    <n v="0"/>
    <n v="275.25"/>
    <n v="0"/>
    <n v="0"/>
    <n v="499.44"/>
    <n v="0"/>
  </r>
  <r>
    <x v="7"/>
    <x v="3"/>
    <x v="0"/>
    <s v="6280101"/>
    <n v="718050"/>
    <s v="Translation Services"/>
    <s v="Admitting"/>
    <x v="0"/>
    <n v="1025"/>
    <n v="0"/>
    <n v="247.41"/>
    <n v="111.69"/>
    <n v="353.82"/>
    <n v="49"/>
    <n v="83.52"/>
    <n v="117.5"/>
    <n v="0"/>
    <n v="373.57"/>
    <n v="0"/>
    <n v="52.14"/>
    <n v="63.48"/>
    <n v="1452.13"/>
    <n v="-11.339999999999996"/>
  </r>
  <r>
    <x v="7"/>
    <x v="3"/>
    <x v="0"/>
    <s v="6280101"/>
    <n v="718060"/>
    <s v="Contract Services-CHI RRC Fees"/>
    <s v="Admitting"/>
    <x v="0"/>
    <m/>
    <n v="166465"/>
    <n v="166465"/>
    <n v="166465"/>
    <n v="166465"/>
    <n v="166465"/>
    <n v="166465"/>
    <n v="166465"/>
    <n v="166465"/>
    <n v="166465"/>
    <n v="166465"/>
    <n v="166465"/>
    <n v="166465"/>
    <n v="1997580"/>
    <n v="0"/>
  </r>
  <r>
    <x v="11"/>
    <x v="3"/>
    <x v="0"/>
    <s v="6280101"/>
    <n v="721410"/>
    <s v="Supplies-Medical - Nonbillable"/>
    <s v="Admitting"/>
    <x v="0"/>
    <m/>
    <n v="1444.14"/>
    <n v="3016.12"/>
    <n v="0"/>
    <n v="2919.63"/>
    <n v="703.52"/>
    <n v="968.27"/>
    <n v="2404.41"/>
    <n v="1805.86"/>
    <n v="1236.17"/>
    <n v="1923.06"/>
    <n v="1524.66"/>
    <n v="1223.78"/>
    <n v="19169.62"/>
    <n v="300.88000000000011"/>
  </r>
  <r>
    <x v="11"/>
    <x v="3"/>
    <x v="0"/>
    <s v="6280101"/>
    <n v="721810"/>
    <s v="Supplies-Dietary/Cafeteria"/>
    <s v="Admitting"/>
    <x v="0"/>
    <m/>
    <n v="50.46"/>
    <n v="58.5"/>
    <n v="0"/>
    <n v="69.75"/>
    <n v="58.5"/>
    <n v="0"/>
    <n v="40.65"/>
    <n v="31.5"/>
    <n v="13.5"/>
    <n v="0"/>
    <n v="15.09"/>
    <n v="22.5"/>
    <n v="360.45"/>
    <n v="-7.41"/>
  </r>
  <r>
    <x v="11"/>
    <x v="3"/>
    <x v="0"/>
    <s v="6280101"/>
    <n v="721830"/>
    <s v="Supplies-Office"/>
    <s v="Admitting"/>
    <x v="0"/>
    <m/>
    <n v="217.56"/>
    <n v="530.29999999999995"/>
    <n v="163.16999999999999"/>
    <n v="435.12"/>
    <n v="299.14"/>
    <n v="714.13"/>
    <n v="367.13"/>
    <n v="598.29"/>
    <n v="435.12"/>
    <n v="493.05"/>
    <n v="489.51"/>
    <n v="380.73"/>
    <n v="5123.25"/>
    <n v="108.77999999999997"/>
  </r>
  <r>
    <x v="11"/>
    <x v="3"/>
    <x v="0"/>
    <s v="6280101"/>
    <n v="721835"/>
    <s v="Supplies-Forms"/>
    <s v="Admitting"/>
    <x v="0"/>
    <m/>
    <n v="0"/>
    <n v="0"/>
    <n v="0"/>
    <n v="0"/>
    <n v="911.27"/>
    <n v="1720.2"/>
    <n v="630.75"/>
    <n v="0"/>
    <n v="720.8"/>
    <n v="1008.4"/>
    <n v="127.1"/>
    <n v="832.7"/>
    <n v="5951.22"/>
    <n v="-705.6"/>
  </r>
  <r>
    <x v="11"/>
    <x v="3"/>
    <x v="0"/>
    <s v="6280101"/>
    <n v="721870"/>
    <s v="Supplies-Environmental Services"/>
    <s v="Admitting"/>
    <x v="0"/>
    <m/>
    <n v="150.74"/>
    <n v="141.16"/>
    <n v="0"/>
    <n v="91.28"/>
    <n v="94.44"/>
    <n v="44.83"/>
    <n v="152.51"/>
    <n v="119.97"/>
    <n v="147.01"/>
    <n v="166.87"/>
    <n v="0"/>
    <n v="38.409999999999997"/>
    <n v="1147.22"/>
    <n v="-38.409999999999997"/>
  </r>
  <r>
    <x v="11"/>
    <x v="3"/>
    <x v="0"/>
    <s v="6280101"/>
    <n v="721910"/>
    <s v="Supplies-Small Equipment"/>
    <s v="Admitting"/>
    <x v="0"/>
    <m/>
    <n v="0"/>
    <n v="1212.8599999999999"/>
    <n v="0"/>
    <n v="0"/>
    <n v="0"/>
    <n v="0"/>
    <n v="0"/>
    <n v="0"/>
    <n v="404.15"/>
    <n v="0"/>
    <n v="0"/>
    <n v="4.08"/>
    <n v="1621.0899999999997"/>
    <n v="-4.08"/>
  </r>
  <r>
    <x v="12"/>
    <x v="3"/>
    <x v="0"/>
    <s v="6280101"/>
    <n v="730020"/>
    <s v="Rental and Leases-Copier Usage Fees (DO NOT USE)"/>
    <s v="Admitting"/>
    <x v="0"/>
    <n v="5100"/>
    <n v="1317.43"/>
    <n v="1351.36"/>
    <n v="1334.39"/>
    <n v="1334.39"/>
    <n v="1334.39"/>
    <n v="1334.39"/>
    <n v="1461.78"/>
    <n v="1464.95"/>
    <n v="1514.2"/>
    <n v="864.98"/>
    <n v="1163.9000000000001"/>
    <n v="1328.32"/>
    <n v="15804.480000000001"/>
    <n v="-164.41999999999985"/>
  </r>
  <r>
    <x v="15"/>
    <x v="3"/>
    <x v="0"/>
    <s v="6280101"/>
    <n v="731060"/>
    <s v="Pagers"/>
    <s v="Admitting"/>
    <x v="0"/>
    <n v="1002"/>
    <n v="27.93"/>
    <n v="27.93"/>
    <n v="27.93"/>
    <n v="27.99"/>
    <n v="27.99"/>
    <n v="0"/>
    <n v="55.98"/>
    <n v="27.99"/>
    <n v="27.99"/>
    <n v="27.99"/>
    <n v="27.99"/>
    <n v="27.99"/>
    <n v="335.7"/>
    <n v="0"/>
  </r>
  <r>
    <x v="13"/>
    <x v="3"/>
    <x v="0"/>
    <s v="6280101"/>
    <n v="735060"/>
    <s v="Depreciation-Fixed Equipment"/>
    <s v="Admitting"/>
    <x v="0"/>
    <m/>
    <n v="20.12"/>
    <n v="20.12"/>
    <n v="20.12"/>
    <n v="20.12"/>
    <n v="20.13"/>
    <n v="20.12"/>
    <n v="20.13"/>
    <n v="20.12"/>
    <n v="20.13"/>
    <n v="20.12"/>
    <n v="20.13"/>
    <n v="20.12"/>
    <n v="241.48000000000002"/>
    <n v="9.9999999999980105E-3"/>
  </r>
  <r>
    <x v="0"/>
    <x v="3"/>
    <x v="0"/>
    <s v="6280101"/>
    <n v="743030"/>
    <s v="Subscriptions--Institutional"/>
    <s v="Admitting"/>
    <x v="0"/>
    <m/>
    <n v="0"/>
    <n v="0"/>
    <n v="0"/>
    <n v="0"/>
    <n v="0"/>
    <n v="0"/>
    <n v="1730.42"/>
    <n v="0"/>
    <n v="0"/>
    <n v="0"/>
    <n v="0"/>
    <n v="0"/>
    <n v="1730.42"/>
    <n v="0"/>
  </r>
  <r>
    <x v="0"/>
    <x v="3"/>
    <x v="0"/>
    <s v="6280101"/>
    <n v="749510"/>
    <s v="Miscellaneous Expenses"/>
    <s v="Admitting"/>
    <x v="0"/>
    <m/>
    <n v="12.68"/>
    <n v="238.59"/>
    <n v="29.73"/>
    <n v="80.650000000000006"/>
    <n v="189.4"/>
    <n v="0"/>
    <n v="159.58000000000001"/>
    <n v="61.3"/>
    <n v="51.72"/>
    <n v="2697.25"/>
    <n v="32.979999999999997"/>
    <n v="119.53"/>
    <n v="3673.4100000000003"/>
    <n v="-86.550000000000011"/>
  </r>
  <r>
    <x v="0"/>
    <x v="3"/>
    <x v="0"/>
    <s v="6280101"/>
    <n v="749550"/>
    <s v="Cash Over/Short"/>
    <s v="Admitting"/>
    <x v="0"/>
    <m/>
    <n v="7.6"/>
    <n v="-0.01"/>
    <n v="-2"/>
    <n v="-5.45"/>
    <n v="0"/>
    <n v="0"/>
    <n v="0"/>
    <n v="0"/>
    <n v="-3.34"/>
    <n v="-9.0299999999999994"/>
    <n v="30.71"/>
    <n v="0"/>
    <n v="18.48"/>
    <n v="30.71"/>
  </r>
  <r>
    <x v="5"/>
    <x v="0"/>
    <x v="0"/>
    <s v="6280102"/>
    <n v="700026"/>
    <s v="Salaries-RN-Productive"/>
    <s v="Admitting"/>
    <x v="0"/>
    <m/>
    <n v="0"/>
    <n v="0"/>
    <n v="320.69"/>
    <n v="-116.61"/>
    <n v="0"/>
    <n v="0"/>
    <n v="0"/>
    <n v="0"/>
    <n v="0"/>
    <n v="0"/>
    <n v="0"/>
    <n v="0"/>
    <n v="204.07999999999998"/>
    <n v="0"/>
  </r>
  <r>
    <x v="5"/>
    <x v="0"/>
    <x v="0"/>
    <s v="6280102"/>
    <n v="700026"/>
    <s v="Salaries-RN-OT"/>
    <s v="Admitting"/>
    <x v="0"/>
    <n v="1000"/>
    <n v="0"/>
    <n v="0"/>
    <n v="859.58"/>
    <n v="-312.56"/>
    <n v="0"/>
    <n v="0"/>
    <n v="0"/>
    <n v="0"/>
    <n v="0"/>
    <n v="0"/>
    <n v="0"/>
    <n v="0"/>
    <n v="547.02"/>
    <n v="0"/>
  </r>
  <r>
    <x v="5"/>
    <x v="0"/>
    <x v="0"/>
    <s v="6280102"/>
    <n v="700026"/>
    <s v="Salaries-RN-Other"/>
    <s v="Admitting"/>
    <x v="0"/>
    <n v="2000"/>
    <n v="0"/>
    <n v="0"/>
    <n v="125.31"/>
    <n v="-45.56"/>
    <n v="0"/>
    <n v="0"/>
    <n v="0"/>
    <n v="0"/>
    <n v="0"/>
    <n v="0"/>
    <n v="0"/>
    <n v="0"/>
    <n v="79.75"/>
    <n v="0"/>
  </r>
  <r>
    <x v="5"/>
    <x v="0"/>
    <x v="0"/>
    <s v="6280102"/>
    <n v="700038"/>
    <s v="Salaries-Service/Support-Productive"/>
    <s v="Admitting"/>
    <x v="0"/>
    <m/>
    <n v="6576"/>
    <n v="6576"/>
    <n v="6576"/>
    <n v="6576"/>
    <n v="6576"/>
    <n v="6576"/>
    <n v="6576"/>
    <n v="6576"/>
    <n v="6576"/>
    <n v="6576"/>
    <n v="6576"/>
    <n v="6576"/>
    <n v="78912"/>
    <n v="0"/>
  </r>
  <r>
    <x v="6"/>
    <x v="0"/>
    <x v="0"/>
    <s v="6280102"/>
    <n v="713010"/>
    <s v="Benefits-FICA/Medicare"/>
    <s v="Admitting"/>
    <x v="0"/>
    <m/>
    <n v="0"/>
    <n v="0"/>
    <n v="97.46"/>
    <n v="-35.43"/>
    <n v="0"/>
    <n v="0"/>
    <n v="0"/>
    <n v="0"/>
    <n v="0"/>
    <n v="0"/>
    <n v="0"/>
    <n v="0"/>
    <n v="62.029999999999994"/>
    <n v="0"/>
  </r>
  <r>
    <x v="6"/>
    <x v="0"/>
    <x v="0"/>
    <s v="6280102"/>
    <n v="713090"/>
    <s v="Benefits-Allocated Amounts"/>
    <s v="Admitting"/>
    <x v="0"/>
    <m/>
    <n v="2183.2399999999998"/>
    <n v="1886.31"/>
    <n v="2244.21"/>
    <n v="1938.78"/>
    <n v="2065.34"/>
    <n v="2055.64"/>
    <n v="2192.0700000000002"/>
    <n v="2304.1799999999998"/>
    <n v="2013.41"/>
    <n v="2233.58"/>
    <n v="2124.0100000000002"/>
    <n v="2318.19"/>
    <n v="25558.960000000003"/>
    <n v="-194.17999999999984"/>
  </r>
  <r>
    <x v="7"/>
    <x v="0"/>
    <x v="0"/>
    <s v="6280102"/>
    <n v="718050"/>
    <s v="Contract Svcs-Other"/>
    <s v="Admitting"/>
    <x v="0"/>
    <m/>
    <n v="0"/>
    <n v="0"/>
    <n v="0"/>
    <n v="0"/>
    <n v="0"/>
    <n v="0"/>
    <n v="0"/>
    <n v="0"/>
    <n v="137.63"/>
    <n v="0"/>
    <n v="0"/>
    <n v="0"/>
    <n v="137.63"/>
    <n v="0"/>
  </r>
  <r>
    <x v="7"/>
    <x v="0"/>
    <x v="0"/>
    <s v="6280102"/>
    <n v="718050"/>
    <s v="Document Shredding/Storage"/>
    <s v="Admitting"/>
    <x v="0"/>
    <n v="1012"/>
    <n v="3.1"/>
    <n v="3.17"/>
    <n v="2.92"/>
    <n v="3.02"/>
    <n v="3.12"/>
    <n v="3.12"/>
    <n v="3.08"/>
    <n v="2.66"/>
    <n v="2.74"/>
    <n v="3.6"/>
    <n v="3.02"/>
    <n v="3.12"/>
    <n v="36.67"/>
    <n v="-0.10000000000000009"/>
  </r>
  <r>
    <x v="7"/>
    <x v="0"/>
    <x v="0"/>
    <s v="6280102"/>
    <n v="718050"/>
    <s v="Miscellaneous Purchased Svcs"/>
    <s v="Admitting"/>
    <x v="0"/>
    <n v="1020"/>
    <n v="0"/>
    <n v="0"/>
    <n v="0"/>
    <n v="0"/>
    <n v="0"/>
    <n v="0"/>
    <n v="0"/>
    <n v="0"/>
    <n v="0"/>
    <n v="275.25"/>
    <n v="0"/>
    <n v="0"/>
    <n v="275.25"/>
    <n v="0"/>
  </r>
  <r>
    <x v="7"/>
    <x v="0"/>
    <x v="0"/>
    <s v="6280102"/>
    <n v="718050"/>
    <s v="Translation Services"/>
    <s v="Admitting"/>
    <x v="0"/>
    <n v="1025"/>
    <n v="89.1"/>
    <n v="136.38"/>
    <n v="3.6"/>
    <n v="0.9"/>
    <n v="0"/>
    <n v="83.88"/>
    <n v="41.67"/>
    <n v="230.85"/>
    <n v="60.66"/>
    <n v="1.98"/>
    <n v="0"/>
    <n v="0"/>
    <n v="649.02"/>
    <n v="0"/>
  </r>
  <r>
    <x v="7"/>
    <x v="0"/>
    <x v="0"/>
    <s v="6280102"/>
    <n v="718060"/>
    <s v="Contract Services-CHI RRC Fees"/>
    <s v="Admitting"/>
    <x v="0"/>
    <m/>
    <n v="128908"/>
    <n v="128908"/>
    <n v="128908"/>
    <n v="128908"/>
    <n v="128908"/>
    <n v="128908"/>
    <n v="128908"/>
    <n v="128908"/>
    <n v="128908"/>
    <n v="128908"/>
    <n v="128908"/>
    <n v="128908"/>
    <n v="1546896"/>
    <n v="0"/>
  </r>
  <r>
    <x v="11"/>
    <x v="0"/>
    <x v="0"/>
    <s v="6280102"/>
    <n v="721410"/>
    <s v="Supplies-Medical - Nonbillable"/>
    <s v="Admitting"/>
    <x v="0"/>
    <m/>
    <n v="687.81"/>
    <n v="688.36"/>
    <n v="565.15"/>
    <n v="461.55"/>
    <n v="472.68"/>
    <n v="483.21"/>
    <n v="284.04000000000002"/>
    <n v="506.04"/>
    <n v="1187.6099999999999"/>
    <n v="528.88"/>
    <n v="22.47"/>
    <n v="957.69"/>
    <n v="6845.49"/>
    <n v="-935.22"/>
  </r>
  <r>
    <x v="11"/>
    <x v="0"/>
    <x v="0"/>
    <s v="6280102"/>
    <n v="721810"/>
    <s v="Supplies-Dietary/Cafeteria"/>
    <s v="Admitting"/>
    <x v="0"/>
    <m/>
    <n v="7.23"/>
    <n v="0"/>
    <n v="36.799999999999997"/>
    <n v="10.81"/>
    <n v="0"/>
    <n v="51.81"/>
    <n v="12.75"/>
    <n v="12.21"/>
    <n v="15.33"/>
    <n v="32.74"/>
    <n v="48.35"/>
    <n v="0"/>
    <n v="228.03000000000003"/>
    <n v="48.35"/>
  </r>
  <r>
    <x v="11"/>
    <x v="0"/>
    <x v="0"/>
    <s v="6280102"/>
    <n v="721830"/>
    <s v="Supplies-Office"/>
    <s v="Admitting"/>
    <x v="0"/>
    <m/>
    <n v="349.18"/>
    <n v="470.21"/>
    <n v="358.13"/>
    <n v="913.29"/>
    <n v="432.99"/>
    <n v="371.22"/>
    <n v="298.72000000000003"/>
    <n v="355.19"/>
    <n v="480.06"/>
    <n v="303.58"/>
    <n v="256.06"/>
    <n v="134.72999999999999"/>
    <n v="4723.3600000000006"/>
    <n v="121.33000000000001"/>
  </r>
  <r>
    <x v="11"/>
    <x v="0"/>
    <x v="0"/>
    <s v="6280102"/>
    <n v="721835"/>
    <s v="Supplies-Forms"/>
    <s v="Admitting"/>
    <x v="0"/>
    <m/>
    <n v="0"/>
    <n v="0"/>
    <n v="0"/>
    <n v="0"/>
    <n v="0"/>
    <n v="73.2"/>
    <n v="132"/>
    <n v="0"/>
    <n v="0"/>
    <n v="0"/>
    <n v="0"/>
    <n v="0"/>
    <n v="205.2"/>
    <n v="0"/>
  </r>
  <r>
    <x v="11"/>
    <x v="0"/>
    <x v="0"/>
    <s v="6280102"/>
    <n v="721870"/>
    <s v="Supplies-Environmental Services"/>
    <s v="Admitting"/>
    <x v="0"/>
    <m/>
    <n v="0"/>
    <n v="93.58"/>
    <n v="7.87"/>
    <n v="31.48"/>
    <n v="91.14"/>
    <n v="20.7"/>
    <n v="38.49"/>
    <n v="72.45"/>
    <n v="20.7"/>
    <n v="31.48"/>
    <n v="26"/>
    <n v="23"/>
    <n v="456.89"/>
    <n v="3"/>
  </r>
  <r>
    <x v="11"/>
    <x v="0"/>
    <x v="0"/>
    <s v="6280102"/>
    <n v="721910"/>
    <s v="Supplies-Small Equipment"/>
    <s v="Admitting"/>
    <x v="0"/>
    <m/>
    <n v="0"/>
    <n v="1.28"/>
    <n v="0"/>
    <n v="0"/>
    <n v="685.5"/>
    <n v="497.88"/>
    <n v="50.01"/>
    <n v="0"/>
    <n v="0"/>
    <n v="0"/>
    <n v="0"/>
    <n v="2203.1999999999998"/>
    <n v="3437.87"/>
    <n v="-2203.1999999999998"/>
  </r>
  <r>
    <x v="11"/>
    <x v="0"/>
    <x v="0"/>
    <s v="6280102"/>
    <n v="722000"/>
    <s v="Supplies-Freight Expense"/>
    <s v="Admitting"/>
    <x v="0"/>
    <m/>
    <n v="0"/>
    <n v="0"/>
    <n v="0"/>
    <n v="0"/>
    <n v="0"/>
    <n v="0"/>
    <n v="0"/>
    <n v="0"/>
    <n v="21.44"/>
    <n v="0"/>
    <n v="0"/>
    <n v="0"/>
    <n v="21.44"/>
    <n v="0"/>
  </r>
  <r>
    <x v="12"/>
    <x v="0"/>
    <x v="0"/>
    <s v="6280102"/>
    <n v="730020"/>
    <s v="Rental and Leases-Copier Usage Fees (DO NOT USE)"/>
    <s v="Admitting"/>
    <x v="0"/>
    <n v="5100"/>
    <n v="929.58"/>
    <n v="955.56"/>
    <n v="942.57"/>
    <n v="942.57"/>
    <n v="942.57"/>
    <n v="942.57"/>
    <n v="-683.68"/>
    <n v="786.76"/>
    <n v="714.76"/>
    <n v="747.79"/>
    <n v="716.43"/>
    <n v="773.1"/>
    <n v="8710.58"/>
    <n v="-56.670000000000073"/>
  </r>
  <r>
    <x v="15"/>
    <x v="0"/>
    <x v="0"/>
    <s v="6280102"/>
    <n v="731060"/>
    <s v="Telephone"/>
    <s v="Admitting"/>
    <x v="0"/>
    <m/>
    <n v="0"/>
    <n v="0"/>
    <n v="0"/>
    <n v="0"/>
    <n v="0"/>
    <n v="0"/>
    <n v="49"/>
    <n v="0"/>
    <n v="0"/>
    <n v="0"/>
    <n v="0"/>
    <n v="0"/>
    <n v="49"/>
    <n v="0"/>
  </r>
  <r>
    <x v="15"/>
    <x v="0"/>
    <x v="0"/>
    <s v="6280102"/>
    <n v="731060"/>
    <s v="Pagers"/>
    <s v="Admitting"/>
    <x v="0"/>
    <n v="1002"/>
    <n v="51.83"/>
    <n v="24.3"/>
    <n v="24.3"/>
    <n v="24.36"/>
    <n v="24.36"/>
    <n v="0"/>
    <n v="48.72"/>
    <n v="24.36"/>
    <n v="24.36"/>
    <n v="24.36"/>
    <n v="24.36"/>
    <n v="24.36"/>
    <n v="319.67"/>
    <n v="0"/>
  </r>
  <r>
    <x v="13"/>
    <x v="0"/>
    <x v="0"/>
    <s v="6280102"/>
    <n v="735070"/>
    <s v="Depreciation-Movable Equipment"/>
    <s v="Admitting"/>
    <x v="0"/>
    <m/>
    <n v="0"/>
    <n v="0"/>
    <n v="0"/>
    <n v="0"/>
    <n v="0"/>
    <n v="0"/>
    <n v="109.26"/>
    <n v="109.26"/>
    <n v="109.26"/>
    <n v="109.26"/>
    <n v="109.26"/>
    <n v="109.25"/>
    <n v="655.55000000000007"/>
    <n v="1.0000000000005116E-2"/>
  </r>
  <r>
    <x v="0"/>
    <x v="0"/>
    <x v="0"/>
    <s v="6280102"/>
    <n v="749510"/>
    <s v="Miscellaneous Expenses"/>
    <s v="Admitting"/>
    <x v="0"/>
    <m/>
    <n v="988.75"/>
    <n v="58.25"/>
    <n v="0"/>
    <n v="139.5"/>
    <n v="206.25"/>
    <n v="0"/>
    <n v="0"/>
    <n v="0"/>
    <n v="0"/>
    <n v="-2"/>
    <n v="0"/>
    <n v="0"/>
    <n v="1390.75"/>
    <n v="0"/>
  </r>
  <r>
    <x v="0"/>
    <x v="0"/>
    <x v="0"/>
    <s v="6280102"/>
    <n v="749550"/>
    <s v="Cash Over/Short"/>
    <s v="Admitting"/>
    <x v="0"/>
    <m/>
    <n v="0"/>
    <n v="0"/>
    <n v="0"/>
    <n v="-7.0000000000000007E-2"/>
    <n v="0"/>
    <n v="0"/>
    <n v="0"/>
    <n v="0"/>
    <n v="1.53"/>
    <n v="-6.1"/>
    <n v="0"/>
    <n v="0"/>
    <n v="-4.6399999999999997"/>
    <n v="0"/>
  </r>
  <r>
    <x v="7"/>
    <x v="4"/>
    <x v="0"/>
    <s v="6280103"/>
    <n v="718050"/>
    <s v="Contract Svcs-Other"/>
    <s v="Admitting"/>
    <x v="0"/>
    <m/>
    <n v="0"/>
    <n v="0"/>
    <n v="163.72999999999999"/>
    <n v="0"/>
    <n v="0"/>
    <n v="0"/>
    <n v="0"/>
    <n v="0"/>
    <n v="274.75"/>
    <n v="0"/>
    <n v="0"/>
    <n v="0"/>
    <n v="438.48"/>
    <n v="0"/>
  </r>
  <r>
    <x v="7"/>
    <x v="4"/>
    <x v="0"/>
    <s v="6280103"/>
    <n v="718050"/>
    <s v="Document Shredding/Storage"/>
    <s v="Admitting"/>
    <x v="0"/>
    <n v="1012"/>
    <n v="1.2"/>
    <n v="1.27"/>
    <n v="1.1399999999999999"/>
    <n v="1.18"/>
    <n v="1.22"/>
    <n v="1.22"/>
    <n v="1.2"/>
    <n v="1.02"/>
    <n v="1.06"/>
    <n v="1.43"/>
    <n v="1.18"/>
    <n v="1.22"/>
    <n v="14.339999999999998"/>
    <n v="-4.0000000000000036E-2"/>
  </r>
  <r>
    <x v="7"/>
    <x v="4"/>
    <x v="0"/>
    <s v="6280103"/>
    <n v="718050"/>
    <s v="Translation Services"/>
    <s v="Admitting"/>
    <x v="0"/>
    <n v="1025"/>
    <n v="217.08"/>
    <n v="9.7200000000000006"/>
    <n v="1.61"/>
    <n v="0"/>
    <n v="4.74"/>
    <n v="0"/>
    <n v="0"/>
    <n v="0"/>
    <n v="0"/>
    <n v="0"/>
    <n v="0"/>
    <n v="0"/>
    <n v="233.15000000000003"/>
    <n v="0"/>
  </r>
  <r>
    <x v="7"/>
    <x v="4"/>
    <x v="0"/>
    <s v="6280103"/>
    <n v="718060"/>
    <s v="Contract Services-CHI RRC Fees"/>
    <s v="Admitting"/>
    <x v="0"/>
    <m/>
    <n v="59467"/>
    <n v="59467"/>
    <n v="59467"/>
    <n v="59467"/>
    <n v="59467"/>
    <n v="59467"/>
    <n v="59467"/>
    <n v="59467"/>
    <n v="59467"/>
    <n v="59467"/>
    <n v="59467"/>
    <n v="59467"/>
    <n v="713604"/>
    <n v="0"/>
  </r>
  <r>
    <x v="11"/>
    <x v="4"/>
    <x v="0"/>
    <s v="6280103"/>
    <n v="721410"/>
    <s v="Supplies-Medical - Nonbillable"/>
    <s v="Admitting"/>
    <x v="0"/>
    <m/>
    <n v="747.3"/>
    <n v="840.72"/>
    <n v="0"/>
    <n v="1633.47"/>
    <n v="951.06"/>
    <n v="1476.68"/>
    <n v="972.85"/>
    <n v="1050.8399999999999"/>
    <n v="1748.7"/>
    <n v="777.2"/>
    <n v="1130.44"/>
    <n v="974.19"/>
    <n v="12303.450000000003"/>
    <n v="156.25"/>
  </r>
  <r>
    <x v="11"/>
    <x v="4"/>
    <x v="0"/>
    <s v="6280103"/>
    <n v="721810"/>
    <s v="Supplies-Dietary/Cafeteria"/>
    <s v="Admitting"/>
    <x v="0"/>
    <m/>
    <n v="0"/>
    <n v="0"/>
    <n v="0"/>
    <n v="9"/>
    <n v="0"/>
    <n v="0"/>
    <n v="4.9800000000000004"/>
    <n v="0"/>
    <n v="0"/>
    <n v="0"/>
    <n v="7.02"/>
    <n v="0"/>
    <n v="21"/>
    <n v="7.02"/>
  </r>
  <r>
    <x v="11"/>
    <x v="4"/>
    <x v="0"/>
    <s v="6280103"/>
    <n v="721830"/>
    <s v="Supplies-Office"/>
    <s v="Admitting"/>
    <x v="0"/>
    <m/>
    <n v="543.9"/>
    <n v="793.88"/>
    <n v="223.21"/>
    <n v="484.56"/>
    <n v="707.07"/>
    <n v="794.61"/>
    <n v="1062.04"/>
    <n v="2397.96"/>
    <n v="1007.55"/>
    <n v="754.45"/>
    <n v="380.73"/>
    <n v="95.58"/>
    <n v="9245.5400000000009"/>
    <n v="285.15000000000003"/>
  </r>
  <r>
    <x v="11"/>
    <x v="4"/>
    <x v="0"/>
    <s v="6280103"/>
    <n v="721835"/>
    <s v="Supplies-Forms"/>
    <s v="Admitting"/>
    <x v="0"/>
    <m/>
    <n v="0"/>
    <n v="0"/>
    <n v="0"/>
    <n v="0"/>
    <n v="835.59"/>
    <n v="3117"/>
    <n v="15"/>
    <n v="0"/>
    <n v="37.5"/>
    <n v="0"/>
    <n v="0"/>
    <n v="0"/>
    <n v="4005.09"/>
    <n v="0"/>
  </r>
  <r>
    <x v="11"/>
    <x v="4"/>
    <x v="0"/>
    <s v="6280103"/>
    <n v="721870"/>
    <s v="Supplies-Environmental Services"/>
    <s v="Admitting"/>
    <x v="0"/>
    <m/>
    <n v="0"/>
    <n v="0"/>
    <n v="0"/>
    <n v="91.1"/>
    <n v="67.739999999999995"/>
    <n v="0"/>
    <n v="0"/>
    <n v="72.88"/>
    <n v="0"/>
    <n v="0"/>
    <n v="31.27"/>
    <n v="0"/>
    <n v="262.98999999999995"/>
    <n v="31.27"/>
  </r>
  <r>
    <x v="11"/>
    <x v="4"/>
    <x v="0"/>
    <s v="6280103"/>
    <n v="721910"/>
    <s v="Supplies-Small Equipment"/>
    <s v="Admitting"/>
    <x v="0"/>
    <m/>
    <n v="0"/>
    <n v="0"/>
    <n v="0"/>
    <n v="0"/>
    <n v="8.16"/>
    <n v="1617.15"/>
    <n v="0"/>
    <n v="6164.3"/>
    <n v="0"/>
    <n v="0"/>
    <n v="0"/>
    <n v="0"/>
    <n v="7789.6100000000006"/>
    <n v="0"/>
  </r>
  <r>
    <x v="11"/>
    <x v="4"/>
    <x v="0"/>
    <s v="6280103"/>
    <n v="722000"/>
    <s v="Supplies-Freight Expense"/>
    <s v="Admitting"/>
    <x v="0"/>
    <m/>
    <n v="0"/>
    <n v="0"/>
    <n v="0"/>
    <n v="0"/>
    <n v="0"/>
    <n v="0"/>
    <n v="0"/>
    <n v="0"/>
    <n v="9.39"/>
    <n v="0"/>
    <n v="0"/>
    <n v="0"/>
    <n v="9.39"/>
    <n v="0"/>
  </r>
  <r>
    <x v="12"/>
    <x v="4"/>
    <x v="0"/>
    <s v="6280103"/>
    <n v="730020"/>
    <s v="Rental and Leases-Copier Usage Fees (DO NOT USE)"/>
    <s v="Admitting"/>
    <x v="0"/>
    <n v="5100"/>
    <n v="235.85"/>
    <n v="242.74"/>
    <n v="239.3"/>
    <n v="239.3"/>
    <n v="239.3"/>
    <n v="239.3"/>
    <n v="2524.16"/>
    <n v="406.46"/>
    <n v="398.6"/>
    <n v="728.66"/>
    <n v="399.45"/>
    <n v="399.45"/>
    <n v="6292.57"/>
    <n v="0"/>
  </r>
  <r>
    <x v="0"/>
    <x v="4"/>
    <x v="0"/>
    <s v="6280103"/>
    <n v="749510"/>
    <s v="Miscellaneous Expenses"/>
    <s v="Admitting"/>
    <x v="0"/>
    <m/>
    <n v="0"/>
    <n v="0"/>
    <n v="0"/>
    <n v="-1"/>
    <n v="0"/>
    <n v="-7.6"/>
    <n v="0"/>
    <n v="0"/>
    <n v="0"/>
    <n v="648.75"/>
    <n v="0"/>
    <n v="64.33"/>
    <n v="704.48"/>
    <n v="-64.33"/>
  </r>
  <r>
    <x v="0"/>
    <x v="4"/>
    <x v="0"/>
    <s v="6280103"/>
    <n v="749550"/>
    <s v="Cash Over/Short"/>
    <s v="Admitting"/>
    <x v="0"/>
    <m/>
    <n v="0"/>
    <n v="0"/>
    <n v="-0.1"/>
    <n v="-5"/>
    <n v="0"/>
    <n v="0.09"/>
    <n v="0"/>
    <n v="0"/>
    <n v="0.12"/>
    <n v="0.09"/>
    <n v="0"/>
    <n v="0"/>
    <n v="-4.8"/>
    <n v="0"/>
  </r>
  <r>
    <x v="7"/>
    <x v="8"/>
    <x v="0"/>
    <s v="6280104"/>
    <n v="718050"/>
    <s v="Translation Services"/>
    <s v="Admitting"/>
    <x v="0"/>
    <n v="1025"/>
    <n v="0"/>
    <n v="0"/>
    <n v="14.58"/>
    <n v="0"/>
    <n v="0"/>
    <n v="24.49"/>
    <n v="0"/>
    <n v="0"/>
    <n v="10.27"/>
    <n v="0"/>
    <n v="0"/>
    <n v="0"/>
    <n v="49.34"/>
    <n v="0"/>
  </r>
  <r>
    <x v="7"/>
    <x v="8"/>
    <x v="0"/>
    <s v="6280104"/>
    <n v="718060"/>
    <s v="Contract Services-CHI RRC Fees"/>
    <s v="Admitting"/>
    <x v="0"/>
    <m/>
    <n v="49352"/>
    <n v="49352"/>
    <n v="49352"/>
    <n v="49352"/>
    <n v="49352"/>
    <n v="49352"/>
    <n v="49352"/>
    <n v="49352"/>
    <n v="49352"/>
    <n v="49352"/>
    <n v="49352"/>
    <n v="67084"/>
    <n v="609956"/>
    <n v="-17732"/>
  </r>
  <r>
    <x v="11"/>
    <x v="8"/>
    <x v="0"/>
    <s v="6280104"/>
    <n v="721010"/>
    <s v="Supplies-Medical - Billable"/>
    <s v="Admitting"/>
    <x v="0"/>
    <m/>
    <n v="0"/>
    <n v="0"/>
    <n v="0"/>
    <n v="0"/>
    <n v="83.75"/>
    <n v="0"/>
    <n v="0"/>
    <n v="0"/>
    <n v="0"/>
    <n v="0"/>
    <n v="0"/>
    <n v="0"/>
    <n v="83.75"/>
    <n v="0"/>
  </r>
  <r>
    <x v="11"/>
    <x v="8"/>
    <x v="0"/>
    <s v="6280104"/>
    <n v="721410"/>
    <s v="Supplies-Medical - Nonbillable"/>
    <s v="Admitting"/>
    <x v="0"/>
    <m/>
    <n v="937.57"/>
    <n v="376.21"/>
    <n v="632.25"/>
    <n v="694.82"/>
    <n v="836.08"/>
    <n v="1029.97"/>
    <n v="822.37"/>
    <n v="1285.22"/>
    <n v="949.95"/>
    <n v="1269.1099999999999"/>
    <n v="1100.75"/>
    <n v="543.13"/>
    <n v="10477.429999999998"/>
    <n v="557.62"/>
  </r>
  <r>
    <x v="11"/>
    <x v="8"/>
    <x v="0"/>
    <s v="6280104"/>
    <n v="721830"/>
    <s v="Supplies-Office"/>
    <s v="Admitting"/>
    <x v="0"/>
    <m/>
    <n v="541.36"/>
    <n v="163.16999999999999"/>
    <n v="784.43"/>
    <n v="815.83"/>
    <n v="271.95"/>
    <n v="711.28"/>
    <n v="359.94"/>
    <n v="580.86"/>
    <n v="626.37"/>
    <n v="522.66999999999996"/>
    <n v="435.12"/>
    <n v="326.33999999999997"/>
    <n v="6139.32"/>
    <n v="108.78000000000003"/>
  </r>
  <r>
    <x v="11"/>
    <x v="8"/>
    <x v="0"/>
    <s v="6280104"/>
    <n v="721835"/>
    <s v="Supplies-Forms"/>
    <s v="Admitting"/>
    <x v="0"/>
    <m/>
    <n v="0"/>
    <n v="0"/>
    <n v="0"/>
    <n v="0"/>
    <n v="207.6"/>
    <n v="0"/>
    <n v="240"/>
    <n v="0"/>
    <n v="0"/>
    <n v="0"/>
    <n v="0"/>
    <n v="0"/>
    <n v="447.6"/>
    <n v="0"/>
  </r>
  <r>
    <x v="11"/>
    <x v="8"/>
    <x v="0"/>
    <s v="6280104"/>
    <n v="721870"/>
    <s v="Supplies-Environmental Services"/>
    <s v="Admitting"/>
    <x v="0"/>
    <m/>
    <n v="0"/>
    <n v="9.6"/>
    <n v="9.6"/>
    <n v="0"/>
    <n v="0"/>
    <n v="14.41"/>
    <n v="0"/>
    <n v="14.4"/>
    <n v="9.6"/>
    <n v="38.409999999999997"/>
    <n v="4.8"/>
    <n v="19.2"/>
    <n v="120.02"/>
    <n v="-14.399999999999999"/>
  </r>
  <r>
    <x v="11"/>
    <x v="8"/>
    <x v="0"/>
    <s v="6280104"/>
    <n v="721910"/>
    <s v="Supplies-Small Equipment"/>
    <s v="Admitting"/>
    <x v="0"/>
    <m/>
    <n v="170.9"/>
    <n v="17.260000000000002"/>
    <n v="0"/>
    <n v="0"/>
    <n v="0"/>
    <n v="0"/>
    <n v="0"/>
    <n v="0"/>
    <n v="0"/>
    <n v="0"/>
    <n v="0"/>
    <n v="0"/>
    <n v="188.16"/>
    <n v="0"/>
  </r>
  <r>
    <x v="11"/>
    <x v="8"/>
    <x v="0"/>
    <s v="6280104"/>
    <n v="721980"/>
    <s v="Supplies-Other"/>
    <s v="Admitting"/>
    <x v="0"/>
    <m/>
    <n v="0"/>
    <n v="0"/>
    <n v="0"/>
    <n v="0"/>
    <n v="0"/>
    <n v="0"/>
    <n v="213.68"/>
    <n v="0"/>
    <n v="0"/>
    <n v="0"/>
    <n v="0"/>
    <n v="0"/>
    <n v="213.68"/>
    <n v="0"/>
  </r>
  <r>
    <x v="12"/>
    <x v="8"/>
    <x v="0"/>
    <s v="6280104"/>
    <n v="730020"/>
    <s v="Rental and Leases-Copier Usage Fees (DO NOT USE)"/>
    <s v="Admitting"/>
    <x v="0"/>
    <n v="5100"/>
    <n v="984.09"/>
    <n v="1024.19"/>
    <n v="1004.14"/>
    <n v="1004.14"/>
    <n v="1004.14"/>
    <n v="1004.14"/>
    <n v="-1339.46"/>
    <n v="796.88"/>
    <n v="795.21"/>
    <n v="964.07"/>
    <n v="796.88"/>
    <n v="860.2"/>
    <n v="8898.6200000000008"/>
    <n v="-63.32000000000005"/>
  </r>
  <r>
    <x v="15"/>
    <x v="8"/>
    <x v="0"/>
    <s v="6280104"/>
    <n v="731060"/>
    <s v="Pagers"/>
    <s v="Admitting"/>
    <x v="0"/>
    <n v="1002"/>
    <n v="9.31"/>
    <n v="9.31"/>
    <n v="9.31"/>
    <n v="9.33"/>
    <n v="9.33"/>
    <n v="0"/>
    <n v="18.66"/>
    <n v="9.33"/>
    <n v="9.33"/>
    <n v="-18.2"/>
    <n v="9.33"/>
    <n v="9.33"/>
    <n v="84.36999999999999"/>
    <n v="0"/>
  </r>
  <r>
    <x v="13"/>
    <x v="8"/>
    <x v="0"/>
    <s v="6280104"/>
    <n v="735050"/>
    <s v="Amortization-Leasehold Improvements"/>
    <s v="Admitting"/>
    <x v="0"/>
    <m/>
    <n v="1461.32"/>
    <n v="1461.37"/>
    <n v="1461.32"/>
    <n v="1461.41"/>
    <n v="1461.27"/>
    <n v="1461.4"/>
    <n v="1461.24"/>
    <n v="1461.41"/>
    <n v="1461.23"/>
    <n v="152.99"/>
    <n v="153.01"/>
    <n v="152.99"/>
    <n v="13610.959999999997"/>
    <n v="1.999999999998181E-2"/>
  </r>
  <r>
    <x v="13"/>
    <x v="8"/>
    <x v="0"/>
    <s v="6280104"/>
    <n v="735060"/>
    <s v="Depreciation-Fixed Equipment"/>
    <s v="Admitting"/>
    <x v="0"/>
    <m/>
    <n v="15.18"/>
    <n v="15.18"/>
    <n v="15.18"/>
    <n v="15.17"/>
    <n v="15.18"/>
    <n v="15.17"/>
    <n v="15.18"/>
    <n v="15.17"/>
    <n v="15.18"/>
    <n v="15.17"/>
    <n v="15.18"/>
    <n v="15.17"/>
    <n v="182.10999999999999"/>
    <n v="9.9999999999997868E-3"/>
  </r>
  <r>
    <x v="13"/>
    <x v="8"/>
    <x v="0"/>
    <s v="6280104"/>
    <n v="735070"/>
    <s v="Depreciation-Movable Equipment"/>
    <s v="Admitting"/>
    <x v="0"/>
    <m/>
    <n v="591.71"/>
    <n v="591.72"/>
    <n v="591.70000000000005"/>
    <n v="591.76"/>
    <n v="591.69000000000005"/>
    <n v="591.75"/>
    <n v="591.66"/>
    <n v="591.76"/>
    <n v="591.66"/>
    <n v="291.33"/>
    <n v="291.35000000000002"/>
    <n v="291.33"/>
    <n v="6199.420000000001"/>
    <n v="2.0000000000038654E-2"/>
  </r>
  <r>
    <x v="0"/>
    <x v="8"/>
    <x v="0"/>
    <s v="6280104"/>
    <n v="749510"/>
    <s v="Miscellaneous Expenses"/>
    <s v="Admitting"/>
    <x v="0"/>
    <m/>
    <n v="0"/>
    <n v="120"/>
    <n v="150"/>
    <n v="117"/>
    <n v="0"/>
    <n v="120"/>
    <n v="420"/>
    <n v="215.5"/>
    <n v="0"/>
    <n v="270"/>
    <n v="120"/>
    <n v="0"/>
    <n v="1532.5"/>
    <n v="120"/>
  </r>
  <r>
    <x v="0"/>
    <x v="8"/>
    <x v="0"/>
    <s v="6280104"/>
    <n v="749550"/>
    <s v="Cash Over/Short"/>
    <s v="Admitting"/>
    <x v="0"/>
    <m/>
    <n v="0"/>
    <n v="-0.06"/>
    <n v="-1"/>
    <n v="0"/>
    <n v="0"/>
    <n v="9.6"/>
    <n v="0"/>
    <n v="0"/>
    <n v="1.06"/>
    <n v="8.6"/>
    <n v="0"/>
    <n v="0"/>
    <n v="18.2"/>
    <n v="0"/>
  </r>
  <r>
    <x v="5"/>
    <x v="6"/>
    <x v="0"/>
    <s v="6280107"/>
    <n v="700032"/>
    <s v="Salaries-Other Pat Care Providers-Productive"/>
    <s v="Registration Srvcs-Bremerton"/>
    <x v="0"/>
    <m/>
    <n v="0"/>
    <n v="0"/>
    <n v="0"/>
    <n v="39.380000000000003"/>
    <n v="0"/>
    <n v="0"/>
    <n v="0"/>
    <n v="0"/>
    <n v="0"/>
    <n v="0"/>
    <n v="0"/>
    <n v="0"/>
    <n v="39.380000000000003"/>
    <n v="0"/>
  </r>
  <r>
    <x v="6"/>
    <x v="6"/>
    <x v="0"/>
    <s v="6280107"/>
    <n v="713010"/>
    <s v="Benefits-FICA/Medicare"/>
    <s v="Registration Srvcs-Bremerton"/>
    <x v="0"/>
    <m/>
    <n v="0"/>
    <n v="0"/>
    <n v="0"/>
    <n v="3.01"/>
    <n v="0"/>
    <n v="0"/>
    <n v="0"/>
    <n v="0"/>
    <n v="0"/>
    <n v="0"/>
    <n v="0"/>
    <n v="0"/>
    <n v="3.01"/>
    <n v="0"/>
  </r>
  <r>
    <x v="7"/>
    <x v="6"/>
    <x v="0"/>
    <s v="6280107"/>
    <n v="718060"/>
    <s v="Contract Services-CHI RRC Fees"/>
    <s v="Registration Srvcs-Bremerton"/>
    <x v="0"/>
    <m/>
    <n v="131103"/>
    <n v="131103"/>
    <n v="131103"/>
    <n v="131103"/>
    <n v="131103"/>
    <n v="131103"/>
    <n v="131103"/>
    <n v="131103"/>
    <n v="131103"/>
    <n v="131103"/>
    <n v="245729"/>
    <n v="146593"/>
    <n v="1703352"/>
    <n v="99136"/>
  </r>
  <r>
    <x v="11"/>
    <x v="6"/>
    <x v="0"/>
    <s v="6280107"/>
    <n v="721350"/>
    <s v="Radiology Imaging - Contrast Media"/>
    <s v="Registration Srvcs-Bremerton"/>
    <x v="0"/>
    <n v="1000"/>
    <n v="0"/>
    <n v="0"/>
    <n v="0"/>
    <n v="0"/>
    <n v="0"/>
    <n v="0"/>
    <n v="0"/>
    <n v="0"/>
    <n v="232.98"/>
    <n v="219.66"/>
    <n v="0"/>
    <n v="0"/>
    <n v="452.64"/>
    <n v="0"/>
  </r>
  <r>
    <x v="11"/>
    <x v="6"/>
    <x v="0"/>
    <s v="6280107"/>
    <n v="721410"/>
    <s v="Supplies-Medical - Nonbillable"/>
    <s v="Registration Srvcs-Bremerton"/>
    <x v="0"/>
    <m/>
    <n v="0"/>
    <n v="0"/>
    <n v="1259.96"/>
    <n v="0"/>
    <n v="0"/>
    <n v="0"/>
    <n v="0"/>
    <n v="0"/>
    <n v="233.16"/>
    <n v="0"/>
    <n v="0"/>
    <n v="699.48"/>
    <n v="2192.6000000000004"/>
    <n v="-699.48"/>
  </r>
  <r>
    <x v="11"/>
    <x v="6"/>
    <x v="0"/>
    <s v="6280107"/>
    <n v="721830"/>
    <s v="Supplies-Office"/>
    <s v="Registration Srvcs-Bremerton"/>
    <x v="0"/>
    <m/>
    <n v="0"/>
    <n v="449.25"/>
    <n v="1324.18"/>
    <n v="0"/>
    <n v="159.41999999999999"/>
    <n v="2092.02"/>
    <n v="536.89"/>
    <n v="632.82000000000005"/>
    <n v="747.13"/>
    <n v="470.94"/>
    <n v="795.53"/>
    <n v="217.56"/>
    <n v="7425.74"/>
    <n v="577.97"/>
  </r>
  <r>
    <x v="11"/>
    <x v="6"/>
    <x v="0"/>
    <s v="6280107"/>
    <n v="721835"/>
    <s v="Supplies-Forms"/>
    <s v="Registration Srvcs-Bremerton"/>
    <x v="0"/>
    <m/>
    <n v="0"/>
    <n v="0"/>
    <n v="0"/>
    <n v="0"/>
    <n v="654"/>
    <n v="0"/>
    <n v="548.4"/>
    <n v="0"/>
    <n v="0"/>
    <n v="1817"/>
    <n v="0"/>
    <n v="0"/>
    <n v="3019.4"/>
    <n v="0"/>
  </r>
  <r>
    <x v="11"/>
    <x v="6"/>
    <x v="0"/>
    <s v="6280107"/>
    <n v="721910"/>
    <s v="Supplies-Small Equipment"/>
    <s v="Registration Srvcs-Bremerton"/>
    <x v="0"/>
    <m/>
    <n v="0"/>
    <n v="0"/>
    <n v="0"/>
    <n v="-1"/>
    <n v="0"/>
    <n v="0"/>
    <n v="0"/>
    <n v="0"/>
    <n v="0"/>
    <n v="0"/>
    <n v="0"/>
    <n v="0"/>
    <n v="-1"/>
    <n v="0"/>
  </r>
  <r>
    <x v="12"/>
    <x v="6"/>
    <x v="0"/>
    <s v="6280107"/>
    <n v="730020"/>
    <s v="Rental and Leases-Copier Usage Fees (DO NOT USE)"/>
    <s v="Registration Srvcs-Bremerton"/>
    <x v="0"/>
    <n v="5100"/>
    <n v="456.32"/>
    <n v="461.25"/>
    <n v="458.79"/>
    <n v="458.78"/>
    <n v="458.78"/>
    <n v="458.78"/>
    <n v="320.51"/>
    <n v="397.88"/>
    <n v="397.04"/>
    <n v="609.79999999999995"/>
    <n v="517.16999999999996"/>
    <n v="578"/>
    <n v="5573.1"/>
    <n v="-60.830000000000041"/>
  </r>
  <r>
    <x v="15"/>
    <x v="6"/>
    <x v="0"/>
    <s v="6280107"/>
    <n v="731060"/>
    <s v="Pagers"/>
    <s v="Registration Srvcs-Bremerton"/>
    <x v="0"/>
    <n v="1002"/>
    <n v="0"/>
    <n v="0"/>
    <n v="0"/>
    <n v="0"/>
    <n v="0"/>
    <n v="0"/>
    <n v="3.41"/>
    <n v="1.21"/>
    <n v="1.21"/>
    <n v="1.21"/>
    <n v="1.21"/>
    <n v="17.98"/>
    <n v="26.23"/>
    <n v="-16.77"/>
  </r>
  <r>
    <x v="0"/>
    <x v="6"/>
    <x v="0"/>
    <s v="6280107"/>
    <n v="749510"/>
    <s v="Miscellaneous Expenses"/>
    <s v="Registration Srvcs-Bremerton"/>
    <x v="0"/>
    <m/>
    <n v="0"/>
    <n v="0"/>
    <n v="0"/>
    <n v="-2"/>
    <n v="0"/>
    <n v="0"/>
    <n v="0"/>
    <n v="0"/>
    <n v="0"/>
    <n v="0"/>
    <n v="0"/>
    <n v="0"/>
    <n v="-2"/>
    <n v="0"/>
  </r>
  <r>
    <x v="0"/>
    <x v="6"/>
    <x v="0"/>
    <s v="6280107"/>
    <n v="749550"/>
    <s v="Cash Over/Short"/>
    <s v="Registration Srvcs-Bremerton"/>
    <x v="0"/>
    <m/>
    <n v="0"/>
    <n v="0"/>
    <n v="0.2"/>
    <n v="0"/>
    <n v="0"/>
    <n v="0"/>
    <n v="10"/>
    <n v="0"/>
    <n v="-0.2"/>
    <n v="0.2"/>
    <n v="0"/>
    <n v="0"/>
    <n v="10.199999999999999"/>
    <n v="0"/>
  </r>
  <r>
    <x v="7"/>
    <x v="7"/>
    <x v="0"/>
    <s v="6280150"/>
    <n v="718050"/>
    <s v="Contract Svcs-Other"/>
    <s v="Admitting"/>
    <x v="0"/>
    <m/>
    <n v="0"/>
    <n v="460"/>
    <n v="345.67"/>
    <n v="0"/>
    <n v="285.2"/>
    <n v="0"/>
    <n v="233.68"/>
    <n v="0"/>
    <n v="0"/>
    <n v="0"/>
    <n v="0"/>
    <n v="0"/>
    <n v="1324.5500000000002"/>
    <n v="0"/>
  </r>
  <r>
    <x v="7"/>
    <x v="7"/>
    <x v="0"/>
    <s v="6280150"/>
    <n v="718050"/>
    <s v="Miscellaneous Purchased Svcs"/>
    <s v="Admitting"/>
    <x v="0"/>
    <n v="1020"/>
    <n v="0"/>
    <n v="0"/>
    <n v="26.41"/>
    <n v="0"/>
    <n v="0"/>
    <n v="0"/>
    <n v="0"/>
    <n v="0"/>
    <n v="0"/>
    <n v="0"/>
    <n v="0"/>
    <n v="0"/>
    <n v="26.41"/>
    <n v="0"/>
  </r>
  <r>
    <x v="7"/>
    <x v="7"/>
    <x v="0"/>
    <s v="6280150"/>
    <n v="718050"/>
    <s v="Translation Services"/>
    <s v="Admitting"/>
    <x v="0"/>
    <n v="1025"/>
    <n v="17.010000000000002"/>
    <n v="23.91"/>
    <n v="0"/>
    <n v="3.16"/>
    <n v="6.32"/>
    <n v="14.22"/>
    <n v="23.7"/>
    <n v="37.130000000000003"/>
    <n v="365.91"/>
    <n v="0"/>
    <n v="33.18"/>
    <n v="17.38"/>
    <n v="541.91999999999996"/>
    <n v="15.8"/>
  </r>
  <r>
    <x v="7"/>
    <x v="7"/>
    <x v="0"/>
    <s v="6280150"/>
    <n v="718060"/>
    <s v="Contract Services-CHI RRC Fees"/>
    <s v="Admitting"/>
    <x v="0"/>
    <m/>
    <n v="92306"/>
    <n v="92306"/>
    <n v="92306"/>
    <n v="92306"/>
    <n v="92306"/>
    <n v="92306"/>
    <n v="92306"/>
    <n v="92306"/>
    <n v="92306"/>
    <n v="92306"/>
    <n v="92306"/>
    <n v="92306"/>
    <n v="1107672"/>
    <n v="0"/>
  </r>
  <r>
    <x v="11"/>
    <x v="7"/>
    <x v="0"/>
    <s v="6280150"/>
    <n v="721410"/>
    <s v="Supplies-Medical - Nonbillable"/>
    <s v="Admitting"/>
    <x v="0"/>
    <m/>
    <n v="353.99"/>
    <n v="743.94"/>
    <n v="368.41"/>
    <n v="778.54"/>
    <n v="486.97"/>
    <n v="793.07"/>
    <n v="0"/>
    <n v="11.8"/>
    <n v="223.35"/>
    <n v="611.95000000000005"/>
    <n v="597.65"/>
    <n v="711.11"/>
    <n v="5680.78"/>
    <n v="-113.46000000000004"/>
  </r>
  <r>
    <x v="11"/>
    <x v="7"/>
    <x v="0"/>
    <s v="6280150"/>
    <n v="721830"/>
    <s v="Supplies-Office"/>
    <s v="Admitting"/>
    <x v="0"/>
    <m/>
    <n v="190.64"/>
    <n v="254.25"/>
    <n v="236.51"/>
    <n v="295.95999999999998"/>
    <n v="258.47000000000003"/>
    <n v="507.14"/>
    <n v="36.51"/>
    <n v="8.2799999999999994"/>
    <n v="242.77"/>
    <n v="471.34"/>
    <n v="135.97999999999999"/>
    <n v="182.29"/>
    <n v="2820.14"/>
    <n v="-46.31"/>
  </r>
  <r>
    <x v="11"/>
    <x v="7"/>
    <x v="0"/>
    <s v="6280150"/>
    <n v="721835"/>
    <s v="Supplies-Forms"/>
    <s v="Admitting"/>
    <x v="0"/>
    <m/>
    <n v="0"/>
    <n v="0"/>
    <n v="0"/>
    <n v="0"/>
    <n v="26.88"/>
    <n v="0"/>
    <n v="0"/>
    <n v="0"/>
    <n v="0"/>
    <n v="0"/>
    <n v="0"/>
    <n v="0"/>
    <n v="26.88"/>
    <n v="0"/>
  </r>
  <r>
    <x v="11"/>
    <x v="7"/>
    <x v="0"/>
    <s v="6280150"/>
    <n v="721870"/>
    <s v="Supplies-Environmental Services"/>
    <s v="Admitting"/>
    <x v="0"/>
    <m/>
    <n v="33.58"/>
    <n v="29.72"/>
    <n v="45.45"/>
    <n v="27.87"/>
    <n v="51.26"/>
    <n v="94.01"/>
    <n v="0"/>
    <n v="2.2799999999999998"/>
    <n v="0"/>
    <n v="48.02"/>
    <n v="31.25"/>
    <n v="0"/>
    <n v="363.43999999999994"/>
    <n v="31.25"/>
  </r>
  <r>
    <x v="11"/>
    <x v="7"/>
    <x v="0"/>
    <s v="6280150"/>
    <n v="721910"/>
    <s v="Supplies-Small Equipment"/>
    <s v="Admitting"/>
    <x v="0"/>
    <m/>
    <n v="0"/>
    <n v="0"/>
    <n v="0"/>
    <n v="0"/>
    <n v="0"/>
    <n v="0"/>
    <n v="0"/>
    <n v="399.39"/>
    <n v="0"/>
    <n v="0"/>
    <n v="0"/>
    <n v="0"/>
    <n v="399.39"/>
    <n v="0"/>
  </r>
  <r>
    <x v="12"/>
    <x v="7"/>
    <x v="0"/>
    <s v="6280150"/>
    <n v="730020"/>
    <s v="Rental and Leases-Copier Usage Fees (DO NOT USE)"/>
    <s v="Admitting"/>
    <x v="0"/>
    <n v="5100"/>
    <n v="710.01"/>
    <n v="722.62"/>
    <n v="716.31"/>
    <n v="716.31"/>
    <n v="716.31"/>
    <n v="716.32"/>
    <n v="1095.1600000000001"/>
    <n v="700.51"/>
    <n v="699.04"/>
    <n v="808.71"/>
    <n v="768.82"/>
    <n v="866.48"/>
    <n v="9236.6"/>
    <n v="-97.659999999999968"/>
  </r>
  <r>
    <x v="13"/>
    <x v="7"/>
    <x v="0"/>
    <s v="6280150"/>
    <n v="735070"/>
    <s v="Depreciation-Movable Equipment"/>
    <s v="Admitting"/>
    <x v="0"/>
    <m/>
    <n v="11.84"/>
    <n v="11.84"/>
    <n v="11.84"/>
    <n v="11.84"/>
    <n v="11.84"/>
    <n v="11.84"/>
    <n v="11.84"/>
    <n v="11.84"/>
    <n v="11.85"/>
    <n v="11.83"/>
    <n v="11.85"/>
    <n v="11.83"/>
    <n v="142.08000000000001"/>
    <n v="1.9999999999999574E-2"/>
  </r>
  <r>
    <x v="0"/>
    <x v="7"/>
    <x v="0"/>
    <s v="6280150"/>
    <n v="749510"/>
    <s v="Miscellaneous Expenses"/>
    <s v="Admitting"/>
    <x v="0"/>
    <m/>
    <n v="0"/>
    <n v="0"/>
    <n v="0"/>
    <n v="-46.5"/>
    <n v="0"/>
    <n v="0"/>
    <n v="0"/>
    <n v="34.020000000000003"/>
    <n v="0"/>
    <n v="0"/>
    <n v="0"/>
    <n v="0"/>
    <n v="-12.479999999999997"/>
    <n v="0"/>
  </r>
  <r>
    <x v="0"/>
    <x v="7"/>
    <x v="0"/>
    <s v="6280150"/>
    <n v="749550"/>
    <s v="Cash Over/Short"/>
    <s v="Admitting"/>
    <x v="0"/>
    <m/>
    <n v="0"/>
    <n v="0"/>
    <n v="0"/>
    <n v="0"/>
    <n v="20"/>
    <n v="0"/>
    <n v="0"/>
    <n v="0"/>
    <n v="0"/>
    <n v="0"/>
    <n v="0"/>
    <n v="0"/>
    <n v="20"/>
    <n v="0"/>
  </r>
  <r>
    <x v="7"/>
    <x v="3"/>
    <x v="0"/>
    <s v="6281101"/>
    <n v="718050"/>
    <s v="Miscellaneous Purchased Svcs"/>
    <s v="Emergency Registration"/>
    <x v="0"/>
    <n v="1020"/>
    <n v="0"/>
    <n v="275.25"/>
    <n v="97.78"/>
    <n v="0"/>
    <n v="0"/>
    <n v="0"/>
    <n v="0"/>
    <n v="0"/>
    <n v="0"/>
    <n v="0"/>
    <n v="0"/>
    <n v="0"/>
    <n v="373.03"/>
    <n v="0"/>
  </r>
  <r>
    <x v="7"/>
    <x v="3"/>
    <x v="0"/>
    <s v="6281101"/>
    <n v="718050"/>
    <s v="Translation Services"/>
    <s v="Emergency Registration"/>
    <x v="0"/>
    <n v="1025"/>
    <n v="0"/>
    <n v="43.74"/>
    <n v="0"/>
    <n v="0"/>
    <n v="0"/>
    <n v="0"/>
    <n v="0"/>
    <n v="0"/>
    <n v="0"/>
    <n v="0"/>
    <n v="0"/>
    <n v="0"/>
    <n v="43.74"/>
    <n v="0"/>
  </r>
  <r>
    <x v="7"/>
    <x v="3"/>
    <x v="0"/>
    <s v="6281101"/>
    <n v="718060"/>
    <s v="Contract Services-CHI RRC Fees"/>
    <s v="Emergency Registration"/>
    <x v="0"/>
    <m/>
    <n v="143800"/>
    <n v="143800"/>
    <n v="143800"/>
    <n v="143800"/>
    <n v="143800"/>
    <n v="143800"/>
    <n v="143800"/>
    <n v="143800"/>
    <n v="143800"/>
    <n v="143800"/>
    <n v="143800"/>
    <n v="143800"/>
    <n v="1725600"/>
    <n v="0"/>
  </r>
  <r>
    <x v="12"/>
    <x v="3"/>
    <x v="0"/>
    <s v="6281101"/>
    <n v="730020"/>
    <s v="Rental and Leases-Copier Usage Fees (DO NOT USE)"/>
    <s v="Emergency Registration"/>
    <x v="0"/>
    <n v="5100"/>
    <n v="188.66"/>
    <n v="191.38"/>
    <n v="190.02"/>
    <n v="190.02"/>
    <n v="190.02"/>
    <n v="190.02"/>
    <n v="1981.48"/>
    <n v="303.82"/>
    <n v="133.77000000000001"/>
    <n v="-34.36"/>
    <n v="134.41"/>
    <n v="141.32"/>
    <n v="3800.56"/>
    <n v="-6.9099999999999966"/>
  </r>
  <r>
    <x v="7"/>
    <x v="0"/>
    <x v="0"/>
    <s v="6281102"/>
    <n v="718050"/>
    <s v="Translation Services"/>
    <s v="Emergency Registration"/>
    <x v="0"/>
    <n v="1025"/>
    <n v="0"/>
    <n v="2.88"/>
    <n v="0"/>
    <n v="0"/>
    <n v="49"/>
    <n v="0"/>
    <n v="0"/>
    <n v="0"/>
    <n v="0"/>
    <n v="0"/>
    <n v="0"/>
    <n v="0"/>
    <n v="51.88"/>
    <n v="0"/>
  </r>
  <r>
    <x v="7"/>
    <x v="0"/>
    <x v="0"/>
    <s v="6281102"/>
    <n v="718060"/>
    <s v="Contract Services-CHI RRC Fees"/>
    <s v="Emergency Registration"/>
    <x v="0"/>
    <m/>
    <n v="110522"/>
    <n v="110522"/>
    <n v="110522"/>
    <n v="110522"/>
    <n v="110522"/>
    <n v="110522"/>
    <n v="110522"/>
    <n v="110522"/>
    <n v="110522"/>
    <n v="110522"/>
    <n v="110522"/>
    <n v="110522"/>
    <n v="1326264"/>
    <n v="0"/>
  </r>
  <r>
    <x v="11"/>
    <x v="0"/>
    <x v="0"/>
    <s v="6281102"/>
    <n v="721830"/>
    <s v="Supplies-Office"/>
    <s v="Emergency Registration"/>
    <x v="0"/>
    <m/>
    <n v="102.04"/>
    <n v="165.26"/>
    <n v="97.48"/>
    <n v="289.10000000000002"/>
    <n v="231.01"/>
    <n v="486.62"/>
    <n v="125.43"/>
    <n v="643.16999999999996"/>
    <n v="184.69"/>
    <n v="165.06"/>
    <n v="0"/>
    <n v="0"/>
    <n v="2489.86"/>
    <n v="0"/>
  </r>
  <r>
    <x v="11"/>
    <x v="0"/>
    <x v="0"/>
    <s v="6281102"/>
    <n v="721835"/>
    <s v="Supplies-Forms"/>
    <s v="Emergency Registration"/>
    <x v="0"/>
    <m/>
    <n v="0"/>
    <n v="0"/>
    <n v="0"/>
    <n v="0"/>
    <n v="923.1"/>
    <n v="154.19999999999999"/>
    <n v="188"/>
    <n v="0"/>
    <n v="659.6"/>
    <n v="165.6"/>
    <n v="236.4"/>
    <n v="190.4"/>
    <n v="2517.3000000000002"/>
    <n v="46"/>
  </r>
  <r>
    <x v="11"/>
    <x v="0"/>
    <x v="0"/>
    <s v="6281102"/>
    <n v="721910"/>
    <s v="Supplies-Small Equipment"/>
    <s v="Emergency Registration"/>
    <x v="0"/>
    <m/>
    <n v="0"/>
    <n v="540.99"/>
    <n v="0"/>
    <n v="0"/>
    <n v="0"/>
    <n v="0"/>
    <n v="0"/>
    <n v="92.36"/>
    <n v="0"/>
    <n v="0"/>
    <n v="0"/>
    <n v="0"/>
    <n v="633.35"/>
    <n v="0"/>
  </r>
  <r>
    <x v="0"/>
    <x v="0"/>
    <x v="0"/>
    <s v="6281102"/>
    <n v="749510"/>
    <s v="Miscellaneous Expenses"/>
    <s v="Emergency Registration"/>
    <x v="0"/>
    <m/>
    <n v="0"/>
    <n v="37.54"/>
    <n v="0"/>
    <n v="0"/>
    <n v="0"/>
    <n v="0"/>
    <n v="0"/>
    <n v="0"/>
    <n v="0"/>
    <n v="0"/>
    <n v="0"/>
    <n v="0"/>
    <n v="37.54"/>
    <n v="0"/>
  </r>
  <r>
    <x v="0"/>
    <x v="0"/>
    <x v="0"/>
    <s v="6281102"/>
    <n v="749550"/>
    <s v="Cash Over/Short"/>
    <s v="Emergency Registration"/>
    <x v="0"/>
    <m/>
    <n v="0"/>
    <n v="0"/>
    <n v="0"/>
    <n v="0"/>
    <n v="0"/>
    <n v="0"/>
    <n v="0"/>
    <n v="0"/>
    <n v="0"/>
    <n v="0"/>
    <n v="10"/>
    <n v="0"/>
    <n v="10"/>
    <n v="10"/>
  </r>
  <r>
    <x v="7"/>
    <x v="4"/>
    <x v="0"/>
    <s v="6281103"/>
    <n v="718050"/>
    <s v="Contract Svcs-Other"/>
    <s v="Emergency Registration"/>
    <x v="0"/>
    <m/>
    <n v="0"/>
    <n v="0"/>
    <n v="0"/>
    <n v="257.60000000000002"/>
    <n v="0"/>
    <n v="0"/>
    <n v="263.12"/>
    <n v="0"/>
    <n v="0"/>
    <n v="0"/>
    <n v="0"/>
    <n v="0"/>
    <n v="520.72"/>
    <n v="0"/>
  </r>
  <r>
    <x v="7"/>
    <x v="4"/>
    <x v="0"/>
    <s v="6281103"/>
    <n v="718060"/>
    <s v="Contract Services-CHI RRC Fees"/>
    <s v="Emergency Registration"/>
    <x v="0"/>
    <m/>
    <n v="114507"/>
    <n v="114507"/>
    <n v="114507"/>
    <n v="114507"/>
    <n v="114507"/>
    <n v="114507"/>
    <n v="114507"/>
    <n v="114507"/>
    <n v="114507"/>
    <n v="114507"/>
    <n v="114507"/>
    <n v="114507"/>
    <n v="1374084"/>
    <n v="0"/>
  </r>
  <r>
    <x v="11"/>
    <x v="4"/>
    <x v="0"/>
    <s v="6281103"/>
    <n v="721010"/>
    <s v="Supplies-Medical - Billable"/>
    <s v="Emergency Registration"/>
    <x v="0"/>
    <m/>
    <n v="0"/>
    <n v="0"/>
    <n v="3.35"/>
    <n v="0"/>
    <n v="0"/>
    <n v="0"/>
    <n v="0"/>
    <n v="0"/>
    <n v="0"/>
    <n v="0"/>
    <n v="0"/>
    <n v="0"/>
    <n v="3.35"/>
    <n v="0"/>
  </r>
  <r>
    <x v="11"/>
    <x v="4"/>
    <x v="0"/>
    <s v="6281103"/>
    <n v="721830"/>
    <s v="Supplies-Office"/>
    <s v="Emergency Registration"/>
    <x v="0"/>
    <m/>
    <n v="0"/>
    <n v="0"/>
    <n v="0"/>
    <n v="0"/>
    <n v="0"/>
    <n v="0"/>
    <n v="0"/>
    <n v="91.1"/>
    <n v="0"/>
    <n v="0"/>
    <n v="0"/>
    <n v="0"/>
    <n v="91.1"/>
    <n v="0"/>
  </r>
  <r>
    <x v="12"/>
    <x v="4"/>
    <x v="0"/>
    <s v="6281103"/>
    <n v="730020"/>
    <s v="Rental and Leases-Copier Usage Fees (DO NOT USE)"/>
    <s v="Emergency Registration"/>
    <x v="0"/>
    <n v="5100"/>
    <n v="453.82"/>
    <n v="461.86"/>
    <n v="457.84"/>
    <n v="457.84"/>
    <n v="457.84"/>
    <n v="457.84"/>
    <n v="115.63"/>
    <n v="379.29"/>
    <n v="378.5"/>
    <n v="436.15"/>
    <n v="379.29"/>
    <n v="469.55"/>
    <n v="4905.4500000000007"/>
    <n v="-90.259999999999991"/>
  </r>
  <r>
    <x v="15"/>
    <x v="4"/>
    <x v="0"/>
    <s v="6281103"/>
    <n v="731060"/>
    <s v="Telephone"/>
    <s v="Emergency Registration"/>
    <x v="0"/>
    <m/>
    <n v="0"/>
    <n v="0"/>
    <n v="0"/>
    <n v="0"/>
    <n v="0"/>
    <n v="0"/>
    <n v="350"/>
    <n v="0"/>
    <n v="0"/>
    <n v="0"/>
    <n v="0"/>
    <n v="0"/>
    <n v="350"/>
    <n v="0"/>
  </r>
  <r>
    <x v="15"/>
    <x v="4"/>
    <x v="0"/>
    <s v="6281103"/>
    <n v="731060"/>
    <s v="Pagers"/>
    <s v="Emergency Registration"/>
    <x v="0"/>
    <n v="1002"/>
    <n v="17.41"/>
    <n v="17.41"/>
    <n v="17.41"/>
    <n v="17.45"/>
    <n v="17.45"/>
    <n v="0"/>
    <n v="18.66"/>
    <n v="9.33"/>
    <n v="9.33"/>
    <n v="9.33"/>
    <n v="9.33"/>
    <n v="9.33"/>
    <n v="152.44000000000003"/>
    <n v="0"/>
  </r>
  <r>
    <x v="0"/>
    <x v="4"/>
    <x v="0"/>
    <s v="6281103"/>
    <n v="749510"/>
    <s v="Miscellaneous Expenses"/>
    <s v="Emergency Registration"/>
    <x v="0"/>
    <m/>
    <n v="0"/>
    <n v="0"/>
    <n v="0"/>
    <n v="472.57"/>
    <n v="0"/>
    <n v="0"/>
    <n v="0"/>
    <n v="0"/>
    <n v="0"/>
    <n v="0"/>
    <n v="0"/>
    <n v="0"/>
    <n v="472.57"/>
    <n v="0"/>
  </r>
  <r>
    <x v="0"/>
    <x v="4"/>
    <x v="0"/>
    <s v="6281103"/>
    <n v="749550"/>
    <s v="Cash Over/Short"/>
    <s v="Emergency Registration"/>
    <x v="0"/>
    <m/>
    <n v="0"/>
    <n v="0"/>
    <n v="0"/>
    <n v="0"/>
    <n v="0"/>
    <n v="0"/>
    <n v="0"/>
    <n v="0"/>
    <n v="1"/>
    <n v="0"/>
    <n v="0"/>
    <n v="30"/>
    <n v="31"/>
    <n v="-30"/>
  </r>
  <r>
    <x v="7"/>
    <x v="8"/>
    <x v="0"/>
    <s v="6281104"/>
    <n v="718050"/>
    <s v="Translation Services"/>
    <s v="Emergency Registration"/>
    <x v="0"/>
    <n v="1025"/>
    <n v="85.05"/>
    <n v="0"/>
    <n v="4.8600000000000003"/>
    <n v="40.18"/>
    <n v="0"/>
    <n v="0"/>
    <n v="14.58"/>
    <n v="0"/>
    <n v="0"/>
    <n v="0"/>
    <n v="0"/>
    <n v="0"/>
    <n v="144.67000000000002"/>
    <n v="0"/>
  </r>
  <r>
    <x v="7"/>
    <x v="8"/>
    <x v="0"/>
    <s v="6281104"/>
    <n v="718060"/>
    <s v="Contract Services-CHI RRC Fees"/>
    <s v="Emergency Registration"/>
    <x v="0"/>
    <m/>
    <n v="90866"/>
    <n v="90866"/>
    <n v="90866"/>
    <n v="90866"/>
    <n v="90866"/>
    <n v="90866"/>
    <n v="90866"/>
    <n v="90866"/>
    <n v="90866"/>
    <n v="90866"/>
    <n v="90866"/>
    <n v="90866"/>
    <n v="1090392"/>
    <n v="0"/>
  </r>
  <r>
    <x v="11"/>
    <x v="8"/>
    <x v="0"/>
    <s v="6281104"/>
    <n v="721410"/>
    <s v="Supplies-Medical - Nonbillable"/>
    <s v="Emergency Registration"/>
    <x v="0"/>
    <m/>
    <n v="0"/>
    <n v="0"/>
    <n v="582.9"/>
    <n v="0"/>
    <n v="0"/>
    <n v="0"/>
    <n v="0"/>
    <n v="0"/>
    <n v="0"/>
    <n v="0"/>
    <n v="0"/>
    <n v="0"/>
    <n v="582.9"/>
    <n v="0"/>
  </r>
  <r>
    <x v="11"/>
    <x v="8"/>
    <x v="0"/>
    <s v="6281104"/>
    <n v="721830"/>
    <s v="Supplies-Office"/>
    <s v="Emergency Registration"/>
    <x v="0"/>
    <m/>
    <n v="0"/>
    <n v="594.04"/>
    <n v="0"/>
    <n v="0"/>
    <n v="0"/>
    <n v="0"/>
    <n v="0"/>
    <n v="458.92"/>
    <n v="300.47000000000003"/>
    <n v="0"/>
    <n v="0"/>
    <n v="0"/>
    <n v="1353.43"/>
    <n v="0"/>
  </r>
  <r>
    <x v="11"/>
    <x v="8"/>
    <x v="0"/>
    <s v="6281104"/>
    <n v="721835"/>
    <s v="Supplies-Forms"/>
    <s v="Emergency Registration"/>
    <x v="0"/>
    <m/>
    <n v="0"/>
    <n v="0"/>
    <n v="0"/>
    <n v="0"/>
    <n v="312"/>
    <n v="0"/>
    <n v="0"/>
    <n v="0"/>
    <n v="0"/>
    <n v="0"/>
    <n v="0"/>
    <n v="0"/>
    <n v="312"/>
    <n v="0"/>
  </r>
  <r>
    <x v="11"/>
    <x v="8"/>
    <x v="0"/>
    <s v="6281104"/>
    <n v="721910"/>
    <s v="Supplies-Small Equipment"/>
    <s v="Emergency Registration"/>
    <x v="0"/>
    <m/>
    <n v="0"/>
    <n v="3024.98"/>
    <n v="1212.8599999999999"/>
    <n v="0"/>
    <n v="0"/>
    <n v="0"/>
    <n v="0"/>
    <n v="0"/>
    <n v="0"/>
    <n v="0"/>
    <n v="0"/>
    <n v="7712.9"/>
    <n v="11950.74"/>
    <n v="-7712.9"/>
  </r>
  <r>
    <x v="11"/>
    <x v="8"/>
    <x v="0"/>
    <s v="6281104"/>
    <n v="721980"/>
    <s v="Supplies-Other"/>
    <s v="Emergency Registration"/>
    <x v="0"/>
    <m/>
    <n v="0"/>
    <n v="0"/>
    <n v="0"/>
    <n v="0"/>
    <n v="0"/>
    <n v="0"/>
    <n v="0"/>
    <n v="0"/>
    <n v="0"/>
    <n v="80.989999999999995"/>
    <n v="0"/>
    <n v="6.88"/>
    <n v="87.86999999999999"/>
    <n v="-6.88"/>
  </r>
  <r>
    <x v="11"/>
    <x v="8"/>
    <x v="0"/>
    <s v="6281104"/>
    <n v="722000"/>
    <s v="Supplies-Freight Expense"/>
    <s v="Emergency Registration"/>
    <x v="0"/>
    <m/>
    <n v="0"/>
    <n v="0"/>
    <n v="7.93"/>
    <n v="0"/>
    <n v="0"/>
    <n v="0"/>
    <n v="0"/>
    <n v="0"/>
    <n v="0"/>
    <n v="0"/>
    <n v="0"/>
    <n v="0"/>
    <n v="7.93"/>
    <n v="0"/>
  </r>
  <r>
    <x v="0"/>
    <x v="8"/>
    <x v="0"/>
    <s v="6281104"/>
    <n v="749510"/>
    <s v="Miscellaneous Expenses"/>
    <s v="Emergency Registration"/>
    <x v="0"/>
    <m/>
    <n v="0"/>
    <n v="0"/>
    <n v="0"/>
    <n v="0"/>
    <n v="0"/>
    <n v="0"/>
    <n v="0"/>
    <n v="0"/>
    <n v="0"/>
    <n v="1499.89"/>
    <n v="0"/>
    <n v="0"/>
    <n v="1499.89"/>
    <n v="0"/>
  </r>
  <r>
    <x v="7"/>
    <x v="6"/>
    <x v="0"/>
    <s v="6281107"/>
    <n v="718060"/>
    <s v="Contract Services-CHI RRC Fees"/>
    <s v="ER Registration-Bremerton"/>
    <x v="0"/>
    <m/>
    <n v="70259"/>
    <n v="70259"/>
    <n v="70259"/>
    <n v="70259"/>
    <n v="70259"/>
    <n v="70259"/>
    <n v="70259"/>
    <n v="70259"/>
    <n v="70259"/>
    <n v="70259"/>
    <n v="70259"/>
    <n v="70259"/>
    <n v="843108"/>
    <n v="0"/>
  </r>
  <r>
    <x v="11"/>
    <x v="6"/>
    <x v="0"/>
    <s v="6281107"/>
    <n v="721410"/>
    <s v="Supplies-Medical - Nonbillable"/>
    <s v="ER Registration-Bremerton"/>
    <x v="0"/>
    <m/>
    <n v="560.48"/>
    <n v="0"/>
    <n v="114.3"/>
    <n v="21.65"/>
    <n v="0"/>
    <n v="0"/>
    <n v="0"/>
    <n v="0"/>
    <n v="0"/>
    <n v="699.48"/>
    <n v="0"/>
    <n v="0"/>
    <n v="1395.9099999999999"/>
    <n v="0"/>
  </r>
  <r>
    <x v="11"/>
    <x v="6"/>
    <x v="0"/>
    <s v="6281107"/>
    <n v="721830"/>
    <s v="Supplies-Office"/>
    <s v="ER Registration-Bremerton"/>
    <x v="0"/>
    <m/>
    <n v="54.39"/>
    <n v="48.37"/>
    <n v="128"/>
    <n v="318.61"/>
    <n v="0"/>
    <n v="217.62"/>
    <n v="0"/>
    <n v="0"/>
    <n v="0"/>
    <n v="217.56"/>
    <n v="0"/>
    <n v="0"/>
    <n v="984.55"/>
    <n v="0"/>
  </r>
  <r>
    <x v="11"/>
    <x v="6"/>
    <x v="0"/>
    <s v="6281107"/>
    <n v="721835"/>
    <s v="Supplies-Forms"/>
    <s v="ER Registration-Bremerton"/>
    <x v="0"/>
    <m/>
    <n v="0"/>
    <n v="0"/>
    <n v="0"/>
    <n v="0"/>
    <n v="1048"/>
    <n v="0"/>
    <n v="48"/>
    <n v="0"/>
    <n v="0"/>
    <n v="0"/>
    <n v="0"/>
    <n v="0"/>
    <n v="1096"/>
    <n v="0"/>
  </r>
  <r>
    <x v="12"/>
    <x v="6"/>
    <x v="0"/>
    <s v="6281107"/>
    <n v="730020"/>
    <s v="Rental and Leases-Copier Usage Fees (DO NOT USE)"/>
    <s v="ER Registration-Bremerton"/>
    <x v="0"/>
    <n v="5100"/>
    <n v="403.74"/>
    <n v="415.93"/>
    <n v="409.83"/>
    <n v="409.83"/>
    <n v="409.83"/>
    <n v="409.83"/>
    <n v="134.09"/>
    <n v="384.07"/>
    <n v="383.26"/>
    <n v="384.88"/>
    <n v="384.07"/>
    <n v="414.01"/>
    <n v="4543.37"/>
    <n v="-29.939999999999998"/>
  </r>
  <r>
    <x v="0"/>
    <x v="6"/>
    <x v="0"/>
    <s v="6281107"/>
    <n v="749510"/>
    <s v="Miscellaneous Expenses"/>
    <s v="ER Registration-Bremerton"/>
    <x v="0"/>
    <m/>
    <n v="0"/>
    <n v="0"/>
    <n v="0"/>
    <n v="-1"/>
    <n v="0"/>
    <n v="0"/>
    <n v="0"/>
    <n v="0"/>
    <n v="-1"/>
    <n v="0"/>
    <n v="0"/>
    <n v="0"/>
    <n v="-2"/>
    <n v="0"/>
  </r>
  <r>
    <x v="11"/>
    <x v="6"/>
    <x v="0"/>
    <s v="6282107"/>
    <n v="721830"/>
    <s v="Supplies-Office"/>
    <s v="Registration Srvcs-Belfair"/>
    <x v="0"/>
    <m/>
    <n v="187.66"/>
    <n v="183.62"/>
    <n v="555.22"/>
    <n v="445.95"/>
    <n v="132.91"/>
    <n v="396.51"/>
    <n v="0"/>
    <n v="182.13"/>
    <n v="857.54"/>
    <n v="177.05"/>
    <n v="191.51"/>
    <n v="255.58"/>
    <n v="3565.6800000000003"/>
    <n v="-64.070000000000022"/>
  </r>
  <r>
    <x v="11"/>
    <x v="6"/>
    <x v="0"/>
    <s v="6282107"/>
    <n v="721910"/>
    <s v="Supplies-Small Equipment"/>
    <s v="Registration Srvcs-Belfair"/>
    <x v="0"/>
    <m/>
    <n v="0"/>
    <n v="0"/>
    <n v="0"/>
    <n v="-1"/>
    <n v="0"/>
    <n v="0"/>
    <n v="0"/>
    <n v="0"/>
    <n v="0"/>
    <n v="0"/>
    <n v="0"/>
    <n v="0"/>
    <n v="-1"/>
    <n v="0"/>
  </r>
  <r>
    <x v="7"/>
    <x v="6"/>
    <x v="0"/>
    <s v="6283107"/>
    <n v="718060"/>
    <s v="Contract Services-CHI RRC Fees"/>
    <s v="Registration Srvcs-Silverdale"/>
    <x v="0"/>
    <m/>
    <n v="23868"/>
    <n v="23868"/>
    <n v="23868"/>
    <n v="23868"/>
    <n v="23868"/>
    <n v="23868"/>
    <n v="23868"/>
    <n v="23868"/>
    <n v="23868"/>
    <n v="23868"/>
    <n v="23868"/>
    <n v="23868"/>
    <n v="286416"/>
    <n v="0"/>
  </r>
  <r>
    <x v="11"/>
    <x v="6"/>
    <x v="0"/>
    <s v="6283107"/>
    <n v="721410"/>
    <s v="Supplies-Medical - Nonbillable"/>
    <s v="Registration Srvcs-Silverdale"/>
    <x v="0"/>
    <m/>
    <n v="0"/>
    <n v="224.19"/>
    <n v="0"/>
    <n v="0"/>
    <n v="0"/>
    <n v="0"/>
    <n v="0"/>
    <n v="0"/>
    <n v="2331.6"/>
    <n v="0"/>
    <n v="0"/>
    <n v="0"/>
    <n v="2555.79"/>
    <n v="0"/>
  </r>
  <r>
    <x v="11"/>
    <x v="6"/>
    <x v="0"/>
    <s v="6283107"/>
    <n v="721830"/>
    <s v="Supplies-Office"/>
    <s v="Registration Srvcs-Silverdale"/>
    <x v="0"/>
    <m/>
    <n v="0"/>
    <n v="260.08999999999997"/>
    <n v="0"/>
    <n v="0"/>
    <n v="0"/>
    <n v="0"/>
    <n v="0"/>
    <n v="0"/>
    <n v="619.39"/>
    <n v="0"/>
    <n v="0"/>
    <n v="0"/>
    <n v="879.48"/>
    <n v="0"/>
  </r>
  <r>
    <x v="11"/>
    <x v="6"/>
    <x v="0"/>
    <s v="6283107"/>
    <n v="721835"/>
    <s v="Supplies-Forms"/>
    <s v="Registration Srvcs-Silverdale"/>
    <x v="0"/>
    <m/>
    <n v="0"/>
    <n v="0"/>
    <n v="0"/>
    <n v="0"/>
    <n v="151.4"/>
    <n v="0"/>
    <n v="0"/>
    <n v="0"/>
    <n v="0"/>
    <n v="0"/>
    <n v="0"/>
    <n v="0"/>
    <n v="151.4"/>
    <n v="0"/>
  </r>
  <r>
    <x v="11"/>
    <x v="6"/>
    <x v="0"/>
    <s v="6283107"/>
    <n v="721910"/>
    <s v="Supplies-Small Equipment"/>
    <s v="Registration Srvcs-Silverdale"/>
    <x v="0"/>
    <m/>
    <n v="0"/>
    <n v="0"/>
    <n v="3863.72"/>
    <n v="-1"/>
    <n v="0"/>
    <n v="1714.6"/>
    <n v="173.18"/>
    <n v="0"/>
    <n v="0"/>
    <n v="347.76"/>
    <n v="0"/>
    <n v="0"/>
    <n v="6098.26"/>
    <n v="0"/>
  </r>
  <r>
    <x v="12"/>
    <x v="6"/>
    <x v="0"/>
    <s v="6283107"/>
    <n v="730020"/>
    <s v="Rental and Leases-Copier Usage Fees (DO NOT USE)"/>
    <s v="Registration Srvcs-Silverdale"/>
    <x v="0"/>
    <n v="5100"/>
    <n v="339.93"/>
    <n v="347.39"/>
    <n v="343.66"/>
    <n v="343.66"/>
    <n v="343.66"/>
    <n v="343.66"/>
    <n v="3073.17"/>
    <n v="282.70999999999998"/>
    <n v="282.11"/>
    <n v="490.08"/>
    <n v="282.70999999999998"/>
    <n v="313.01"/>
    <n v="6785.75"/>
    <n v="-30.300000000000011"/>
  </r>
  <r>
    <x v="0"/>
    <x v="6"/>
    <x v="0"/>
    <s v="6283107"/>
    <n v="749510"/>
    <s v="Miscellaneous Expenses"/>
    <s v="Registration Srvcs-Silverdale"/>
    <x v="0"/>
    <m/>
    <n v="0"/>
    <n v="0"/>
    <n v="0"/>
    <n v="-1"/>
    <n v="0"/>
    <n v="0"/>
    <n v="0"/>
    <n v="0"/>
    <n v="0"/>
    <n v="202.23"/>
    <n v="0"/>
    <n v="0"/>
    <n v="201.23"/>
    <n v="0"/>
  </r>
  <r>
    <x v="14"/>
    <x v="9"/>
    <x v="0"/>
    <s v="6283501"/>
    <n v="600050"/>
    <s v="Miscellaneous Revenue"/>
    <s v="Financial Account Reps"/>
    <x v="0"/>
    <m/>
    <n v="-520"/>
    <n v="-100"/>
    <n v="-280"/>
    <n v="-400"/>
    <n v="-320"/>
    <n v="-460"/>
    <n v="-260"/>
    <n v="-280"/>
    <n v="-160"/>
    <n v="-220"/>
    <n v="-260"/>
    <n v="-240"/>
    <n v="-3500"/>
    <n v="-20"/>
  </r>
  <r>
    <x v="7"/>
    <x v="9"/>
    <x v="0"/>
    <s v="6283501"/>
    <n v="718050"/>
    <s v="Document Shredding/Storage"/>
    <s v="Financial Account Reps"/>
    <x v="0"/>
    <n v="1012"/>
    <n v="243.82"/>
    <n v="-86.23"/>
    <n v="-38.549999999999997"/>
    <n v="69.53"/>
    <n v="139.58000000000001"/>
    <n v="138.9"/>
    <n v="137.51"/>
    <n v="288.83"/>
    <n v="238.55"/>
    <n v="-35.08"/>
    <n v="124.15"/>
    <n v="-9.0399999999999991"/>
    <n v="1211.97"/>
    <n v="133.19"/>
  </r>
  <r>
    <x v="7"/>
    <x v="9"/>
    <x v="0"/>
    <s v="6283501"/>
    <n v="718050"/>
    <s v="Miscellaneous Purchased Svcs"/>
    <s v="Financial Account Reps"/>
    <x v="0"/>
    <n v="1020"/>
    <n v="0"/>
    <n v="0"/>
    <n v="0"/>
    <n v="0"/>
    <n v="0"/>
    <n v="0"/>
    <n v="0"/>
    <n v="0"/>
    <n v="275.25"/>
    <n v="275.25"/>
    <n v="275"/>
    <n v="0"/>
    <n v="825.5"/>
    <n v="275"/>
  </r>
  <r>
    <x v="7"/>
    <x v="9"/>
    <x v="0"/>
    <s v="6283501"/>
    <n v="718050"/>
    <s v="Translation Services"/>
    <s v="Financial Account Reps"/>
    <x v="0"/>
    <n v="1025"/>
    <n v="51.03"/>
    <n v="0"/>
    <n v="7060.5"/>
    <n v="1631.56"/>
    <n v="1848.46"/>
    <n v="0"/>
    <n v="1658.04"/>
    <n v="0"/>
    <n v="2420.84"/>
    <n v="3560.77"/>
    <n v="0"/>
    <n v="2096.44"/>
    <n v="20327.64"/>
    <n v="-2096.44"/>
  </r>
  <r>
    <x v="7"/>
    <x v="9"/>
    <x v="0"/>
    <s v="6283501"/>
    <n v="718060"/>
    <s v="Contract Services-CHI RRC Fees"/>
    <s v="Financial Account Reps"/>
    <x v="0"/>
    <m/>
    <n v="583626"/>
    <n v="583626"/>
    <n v="583626"/>
    <n v="583626"/>
    <n v="583626"/>
    <n v="583626"/>
    <n v="583626"/>
    <n v="583626"/>
    <n v="583626"/>
    <n v="583626"/>
    <n v="583626"/>
    <n v="583626"/>
    <n v="7003512"/>
    <n v="0"/>
  </r>
  <r>
    <x v="11"/>
    <x v="9"/>
    <x v="0"/>
    <s v="6283501"/>
    <n v="721830"/>
    <s v="Supplies-Office"/>
    <s v="Financial Account Reps"/>
    <x v="0"/>
    <m/>
    <n v="2037.99"/>
    <n v="6045.91"/>
    <n v="560.44000000000005"/>
    <n v="3006.57"/>
    <n v="1147.3399999999999"/>
    <n v="1018.82"/>
    <n v="1773"/>
    <n v="6326.31"/>
    <n v="1622.2"/>
    <n v="1374.82"/>
    <n v="1608.38"/>
    <n v="827"/>
    <n v="27348.780000000002"/>
    <n v="781.38000000000011"/>
  </r>
  <r>
    <x v="11"/>
    <x v="9"/>
    <x v="0"/>
    <s v="6283501"/>
    <n v="721835"/>
    <s v="Supplies-Forms"/>
    <s v="Financial Account Reps"/>
    <x v="0"/>
    <m/>
    <n v="0"/>
    <n v="0"/>
    <n v="0"/>
    <n v="0"/>
    <n v="306.26"/>
    <n v="68"/>
    <n v="0"/>
    <n v="0"/>
    <n v="266.02999999999997"/>
    <n v="161.6"/>
    <n v="179.2"/>
    <n v="29"/>
    <n v="1010.0899999999999"/>
    <n v="150.19999999999999"/>
  </r>
  <r>
    <x v="11"/>
    <x v="9"/>
    <x v="0"/>
    <s v="6283501"/>
    <n v="721910"/>
    <s v="Supplies-Small Equipment"/>
    <s v="Financial Account Reps"/>
    <x v="0"/>
    <m/>
    <n v="0"/>
    <n v="0"/>
    <n v="0"/>
    <n v="3494.58"/>
    <n v="99.97"/>
    <n v="0"/>
    <n v="0"/>
    <n v="1237.2"/>
    <n v="1362.21"/>
    <n v="444.14"/>
    <n v="336.21"/>
    <n v="66.849999999999994"/>
    <n v="7041.1600000000008"/>
    <n v="269.36"/>
  </r>
  <r>
    <x v="11"/>
    <x v="9"/>
    <x v="0"/>
    <s v="6283501"/>
    <n v="721980"/>
    <s v="Supplies-Other"/>
    <s v="Financial Account Reps"/>
    <x v="0"/>
    <m/>
    <n v="0"/>
    <n v="0"/>
    <n v="0"/>
    <n v="0"/>
    <n v="0"/>
    <n v="544.5"/>
    <n v="0"/>
    <n v="-49.95"/>
    <n v="0"/>
    <n v="-361.73"/>
    <n v="-61.56"/>
    <n v="0"/>
    <n v="71.259999999999991"/>
    <n v="-61.56"/>
  </r>
  <r>
    <x v="11"/>
    <x v="9"/>
    <x v="0"/>
    <s v="6283501"/>
    <n v="722000"/>
    <s v="Supplies-Freight Expense"/>
    <s v="Financial Account Reps"/>
    <x v="0"/>
    <m/>
    <n v="0"/>
    <n v="15.37"/>
    <n v="151.82"/>
    <n v="22.65"/>
    <n v="88.92"/>
    <n v="0"/>
    <n v="7.47"/>
    <n v="37.99"/>
    <n v="83.43"/>
    <n v="65.099999999999994"/>
    <n v="58.78"/>
    <n v="0"/>
    <n v="531.53"/>
    <n v="58.78"/>
  </r>
  <r>
    <x v="12"/>
    <x v="9"/>
    <x v="0"/>
    <s v="6283501"/>
    <n v="730010"/>
    <s v="Rental and Leases-Building (DO NOT USE)"/>
    <s v="Financial Account Reps"/>
    <x v="0"/>
    <m/>
    <n v="16305.64"/>
    <n v="16305.64"/>
    <n v="16305.64"/>
    <n v="16305.64"/>
    <n v="16305.64"/>
    <n v="13962.53"/>
    <n v="15938.03"/>
    <n v="15938.03"/>
    <n v="15938.03"/>
    <n v="15940.56"/>
    <n v="15953.85"/>
    <n v="0"/>
    <n v="175199.23"/>
    <n v="15953.85"/>
  </r>
  <r>
    <x v="12"/>
    <x v="9"/>
    <x v="0"/>
    <s v="6283501"/>
    <n v="730010"/>
    <s v="Rental-Common Area Maint (DO NOT USE)"/>
    <s v="Financial Account Reps"/>
    <x v="0"/>
    <n v="2200"/>
    <n v="0"/>
    <n v="0"/>
    <n v="0"/>
    <n v="0"/>
    <n v="0"/>
    <n v="2348.59"/>
    <n v="373.09"/>
    <n v="373.09"/>
    <n v="538.37"/>
    <n v="373.15"/>
    <n v="373.15"/>
    <n v="0"/>
    <n v="4379.4400000000005"/>
    <n v="373.15"/>
  </r>
  <r>
    <x v="12"/>
    <x v="9"/>
    <x v="0"/>
    <s v="6283501"/>
    <n v="730020"/>
    <s v="Rental and Leases-Copier Usage Fees (DO NOT USE)"/>
    <s v="Financial Account Reps"/>
    <x v="0"/>
    <n v="5100"/>
    <n v="2503.9499999999998"/>
    <n v="2559.33"/>
    <n v="2531.64"/>
    <n v="2531.63"/>
    <n v="2531.63"/>
    <n v="2531.64"/>
    <n v="4637.53"/>
    <n v="2582.84"/>
    <n v="2717.21"/>
    <n v="4052.44"/>
    <n v="2821.03"/>
    <n v="3109.51"/>
    <n v="35110.379999999997"/>
    <n v="-288.48"/>
  </r>
  <r>
    <x v="12"/>
    <x v="9"/>
    <x v="0"/>
    <s v="6283501"/>
    <n v="730040"/>
    <s v="LT Lease-Real Estate"/>
    <s v="Financial Account Reps"/>
    <x v="0"/>
    <m/>
    <n v="0"/>
    <n v="0"/>
    <n v="0"/>
    <n v="0"/>
    <n v="0"/>
    <n v="0"/>
    <n v="0"/>
    <n v="0"/>
    <n v="0"/>
    <n v="0"/>
    <n v="0"/>
    <n v="16712.22"/>
    <n v="16712.22"/>
    <n v="-16712.22"/>
  </r>
  <r>
    <x v="15"/>
    <x v="9"/>
    <x v="0"/>
    <s v="6283501"/>
    <n v="731060"/>
    <s v="Telephone"/>
    <s v="Financial Account Reps"/>
    <x v="0"/>
    <m/>
    <n v="0"/>
    <n v="0"/>
    <n v="0"/>
    <n v="0"/>
    <n v="0"/>
    <n v="0"/>
    <n v="247.45"/>
    <n v="0"/>
    <n v="64"/>
    <n v="3.51"/>
    <n v="0"/>
    <n v="0"/>
    <n v="314.95999999999998"/>
    <n v="0"/>
  </r>
  <r>
    <x v="15"/>
    <x v="9"/>
    <x v="0"/>
    <s v="6283501"/>
    <n v="731060"/>
    <s v="Pagers"/>
    <s v="Financial Account Reps"/>
    <x v="0"/>
    <n v="1002"/>
    <n v="43.73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222.29000000000002"/>
    <n v="0"/>
  </r>
  <r>
    <x v="16"/>
    <x v="9"/>
    <x v="0"/>
    <s v="6283501"/>
    <n v="732030"/>
    <s v="Repairs---Other"/>
    <s v="Financial Account Reps"/>
    <x v="0"/>
    <m/>
    <n v="0"/>
    <n v="0"/>
    <n v="322.5"/>
    <n v="0"/>
    <n v="0"/>
    <n v="0"/>
    <n v="0"/>
    <n v="0"/>
    <n v="0"/>
    <n v="0"/>
    <n v="0"/>
    <n v="-322.5"/>
    <n v="0"/>
    <n v="322.5"/>
  </r>
  <r>
    <x v="16"/>
    <x v="9"/>
    <x v="0"/>
    <s v="6283501"/>
    <n v="732030"/>
    <s v="Repairs&amp;Maintenance-Bldg Routine"/>
    <s v="Financial Account Reps"/>
    <x v="0"/>
    <n v="2300"/>
    <n v="27.75"/>
    <n v="27.75"/>
    <n v="27.75"/>
    <n v="27.75"/>
    <n v="27.75"/>
    <n v="27.75"/>
    <n v="27.75"/>
    <n v="27.75"/>
    <n v="27.75"/>
    <n v="27.76"/>
    <n v="27.76"/>
    <n v="27.76"/>
    <n v="333.03"/>
    <n v="0"/>
  </r>
  <r>
    <x v="13"/>
    <x v="9"/>
    <x v="0"/>
    <s v="6283501"/>
    <n v="735070"/>
    <s v="Depreciation-Movable Equipment"/>
    <s v="Financial Account Reps"/>
    <x v="0"/>
    <m/>
    <n v="19.579999999999998"/>
    <n v="19.579999999999998"/>
    <n v="19.59"/>
    <n v="19.579999999999998"/>
    <n v="19.59"/>
    <n v="19.579999999999998"/>
    <n v="19.59"/>
    <n v="19.579999999999998"/>
    <n v="19.59"/>
    <n v="19.579999999999998"/>
    <n v="19.59"/>
    <n v="19.579999999999998"/>
    <n v="235.01000000000005"/>
    <n v="1.0000000000001563E-2"/>
  </r>
  <r>
    <x v="0"/>
    <x v="9"/>
    <x v="0"/>
    <s v="6283501"/>
    <n v="748010"/>
    <s v="Medical Claims Expense"/>
    <s v="Financial Account Reps"/>
    <x v="0"/>
    <m/>
    <n v="0"/>
    <n v="0"/>
    <n v="0"/>
    <n v="0"/>
    <n v="0"/>
    <n v="0"/>
    <n v="0"/>
    <n v="0"/>
    <n v="0"/>
    <n v="0"/>
    <n v="0"/>
    <n v="395"/>
    <n v="395"/>
    <n v="-395"/>
  </r>
  <r>
    <x v="0"/>
    <x v="9"/>
    <x v="0"/>
    <s v="6283501"/>
    <n v="749510"/>
    <s v="Miscellaneous Expenses"/>
    <s v="Financial Account Reps"/>
    <x v="0"/>
    <m/>
    <n v="95"/>
    <n v="332.1"/>
    <n v="32.57"/>
    <n v="-1"/>
    <n v="0"/>
    <n v="0"/>
    <n v="0"/>
    <n v="0"/>
    <n v="1922.38"/>
    <n v="0"/>
    <n v="0"/>
    <n v="0"/>
    <n v="2381.0500000000002"/>
    <n v="0"/>
  </r>
  <r>
    <x v="7"/>
    <x v="6"/>
    <x v="0"/>
    <s v="6284107"/>
    <n v="718060"/>
    <s v="Contract Services-CHI RRC Fees"/>
    <s v="Registration Srvcs-PO"/>
    <x v="0"/>
    <m/>
    <n v="32297"/>
    <n v="32297"/>
    <n v="32297"/>
    <n v="32297"/>
    <n v="32297"/>
    <n v="32297"/>
    <n v="32297"/>
    <n v="32297"/>
    <n v="32297"/>
    <n v="32297"/>
    <n v="32297"/>
    <n v="32297"/>
    <n v="387564"/>
    <n v="0"/>
  </r>
  <r>
    <x v="11"/>
    <x v="6"/>
    <x v="0"/>
    <s v="6284107"/>
    <n v="721910"/>
    <s v="Supplies-Small Equipment"/>
    <s v="Registration Srvcs-PO"/>
    <x v="0"/>
    <m/>
    <n v="0"/>
    <n v="0"/>
    <n v="0"/>
    <n v="-1"/>
    <n v="0"/>
    <n v="0"/>
    <n v="0"/>
    <n v="0"/>
    <n v="0"/>
    <n v="0"/>
    <n v="0"/>
    <n v="0"/>
    <n v="-1"/>
    <n v="0"/>
  </r>
  <r>
    <x v="7"/>
    <x v="6"/>
    <x v="0"/>
    <s v="6285107"/>
    <n v="718060"/>
    <s v="Contract Services-CHI RRC Fees"/>
    <s v="ER Registration-Silverdale"/>
    <x v="0"/>
    <m/>
    <n v="40251"/>
    <n v="40251"/>
    <n v="40251"/>
    <n v="40251"/>
    <n v="40251"/>
    <n v="40251"/>
    <n v="40251"/>
    <n v="40251"/>
    <n v="40251"/>
    <n v="40251"/>
    <n v="40251"/>
    <n v="40251"/>
    <n v="483012"/>
    <n v="0"/>
  </r>
  <r>
    <x v="11"/>
    <x v="6"/>
    <x v="0"/>
    <s v="6285107"/>
    <n v="721410"/>
    <s v="Supplies-Medical - Nonbillable"/>
    <s v="ER Registration-Silverdale"/>
    <x v="0"/>
    <m/>
    <n v="0"/>
    <n v="0"/>
    <n v="38.1"/>
    <n v="21.61"/>
    <n v="0"/>
    <n v="0"/>
    <n v="0"/>
    <n v="0"/>
    <n v="0"/>
    <n v="0"/>
    <n v="0"/>
    <n v="466.32"/>
    <n v="526.03"/>
    <n v="-466.32"/>
  </r>
  <r>
    <x v="11"/>
    <x v="6"/>
    <x v="0"/>
    <s v="6285107"/>
    <n v="721830"/>
    <s v="Supplies-Office"/>
    <s v="ER Registration-Silverdale"/>
    <x v="0"/>
    <m/>
    <n v="0"/>
    <n v="0"/>
    <n v="31.3"/>
    <n v="0"/>
    <n v="0"/>
    <n v="0"/>
    <n v="0"/>
    <n v="0"/>
    <n v="0"/>
    <n v="0"/>
    <n v="0"/>
    <n v="163.16999999999999"/>
    <n v="194.47"/>
    <n v="-163.16999999999999"/>
  </r>
  <r>
    <x v="11"/>
    <x v="6"/>
    <x v="0"/>
    <s v="6285107"/>
    <n v="721835"/>
    <s v="Supplies-Forms"/>
    <s v="ER Registration-Silverdale"/>
    <x v="0"/>
    <m/>
    <n v="0"/>
    <n v="0"/>
    <n v="0"/>
    <n v="0"/>
    <n v="413"/>
    <n v="0"/>
    <n v="0"/>
    <n v="0"/>
    <n v="0"/>
    <n v="0"/>
    <n v="0"/>
    <n v="0"/>
    <n v="413"/>
    <n v="0"/>
  </r>
  <r>
    <x v="12"/>
    <x v="6"/>
    <x v="0"/>
    <s v="6285107"/>
    <n v="730020"/>
    <s v="Rental and Leases-Copier Usage Fees (DO NOT USE)"/>
    <s v="ER Registration-Silverdale"/>
    <x v="0"/>
    <n v="5100"/>
    <n v="151.83000000000001"/>
    <n v="154.93"/>
    <n v="153.38"/>
    <n v="153.38"/>
    <n v="153.38"/>
    <n v="153.38"/>
    <n v="53.89"/>
    <n v="116.91"/>
    <n v="687.68"/>
    <n v="180.08"/>
    <n v="126.05"/>
    <n v="135.35"/>
    <n v="2220.2399999999998"/>
    <n v="-9.2999999999999972"/>
  </r>
  <r>
    <x v="13"/>
    <x v="6"/>
    <x v="0"/>
    <s v="6285107"/>
    <n v="735070"/>
    <s v="Depreciation-Movable Equipment"/>
    <s v="ER Registration-Silverdale"/>
    <x v="0"/>
    <m/>
    <n v="78.260000000000005"/>
    <n v="78.260000000000005"/>
    <n v="78.260000000000005"/>
    <n v="78.260000000000005"/>
    <n v="78.260000000000005"/>
    <n v="78.260000000000005"/>
    <n v="78.260000000000005"/>
    <n v="78.260000000000005"/>
    <n v="78.260000000000005"/>
    <n v="78.260000000000005"/>
    <n v="78.260000000000005"/>
    <n v="78.260000000000005"/>
    <n v="939.12"/>
    <n v="0"/>
  </r>
  <r>
    <x v="11"/>
    <x v="6"/>
    <x v="0"/>
    <s v="6286107"/>
    <n v="721910"/>
    <s v="Supplies-Small Equipment"/>
    <s v="Registration-Bainbridge"/>
    <x v="0"/>
    <m/>
    <n v="0"/>
    <n v="0"/>
    <n v="0"/>
    <n v="-2"/>
    <n v="0"/>
    <n v="0"/>
    <n v="0"/>
    <n v="0"/>
    <n v="0"/>
    <n v="0"/>
    <n v="0"/>
    <n v="0"/>
    <n v="-2"/>
    <n v="0"/>
  </r>
  <r>
    <x v="12"/>
    <x v="6"/>
    <x v="0"/>
    <s v="6286107"/>
    <n v="730020"/>
    <s v="Rental and Leases-Copier Usage Fees (DO NOT USE)"/>
    <s v="Registration-Bainbridge"/>
    <x v="0"/>
    <n v="5100"/>
    <n v="10.72"/>
    <n v="11.09"/>
    <n v="10.9"/>
    <n v="10.9"/>
    <n v="10.9"/>
    <n v="10.9"/>
    <n v="8.0500000000000007"/>
    <n v="11.1"/>
    <n v="11.08"/>
    <n v="11.79"/>
    <n v="11.1"/>
    <n v="11.1"/>
    <n v="129.62999999999997"/>
    <n v="0"/>
  </r>
  <r>
    <x v="0"/>
    <x v="6"/>
    <x v="0"/>
    <s v="6286107"/>
    <n v="749550"/>
    <s v="Cash Over/Short"/>
    <s v="Registration-Bainbridge"/>
    <x v="0"/>
    <m/>
    <n v="10"/>
    <n v="0"/>
    <n v="0"/>
    <n v="0"/>
    <n v="0"/>
    <n v="0"/>
    <n v="0"/>
    <n v="0"/>
    <n v="-10"/>
    <n v="0"/>
    <n v="0"/>
    <n v="0"/>
    <n v="0"/>
    <n v="0"/>
  </r>
  <r>
    <x v="5"/>
    <x v="5"/>
    <x v="0"/>
    <s v="6289106"/>
    <n v="700038"/>
    <s v="Salaries-Service/Support-Productive"/>
    <s v="Patient Access"/>
    <x v="0"/>
    <m/>
    <n v="6998.4"/>
    <n v="6998.4"/>
    <n v="6998.4"/>
    <n v="6998.4"/>
    <n v="6998.4"/>
    <n v="6998.4"/>
    <n v="6998.4"/>
    <n v="6998.4"/>
    <n v="6998.4"/>
    <n v="6998.4"/>
    <n v="6998.4"/>
    <n v="6998.4"/>
    <n v="83980.799999999988"/>
    <n v="0"/>
  </r>
  <r>
    <x v="6"/>
    <x v="5"/>
    <x v="0"/>
    <s v="6289106"/>
    <n v="713090"/>
    <s v="Benefits-Allocated Amounts"/>
    <s v="Patient Access"/>
    <x v="0"/>
    <m/>
    <n v="2541.06"/>
    <n v="2392.8000000000002"/>
    <n v="2454.19"/>
    <n v="2376.4899999999998"/>
    <n v="2548.69"/>
    <n v="2460.17"/>
    <n v="2546.9299999999998"/>
    <n v="2623.86"/>
    <n v="2357.79"/>
    <n v="2577.79"/>
    <n v="2446"/>
    <n v="2536.46"/>
    <n v="29862.230000000003"/>
    <n v="-90.460000000000036"/>
  </r>
  <r>
    <x v="7"/>
    <x v="5"/>
    <x v="0"/>
    <s v="6289106"/>
    <n v="718050"/>
    <s v="Document Shredding/Storage"/>
    <s v="Patient Access"/>
    <x v="0"/>
    <n v="1012"/>
    <n v="16.190000000000001"/>
    <n v="223.34"/>
    <n v="8087.73"/>
    <n v="4055.17"/>
    <n v="-8041.04"/>
    <n v="23.62"/>
    <n v="23.38"/>
    <n v="20.059999999999999"/>
    <n v="20.77"/>
    <n v="27.2"/>
    <n v="22.84"/>
    <n v="23.62"/>
    <n v="4502.880000000001"/>
    <n v="-0.78000000000000114"/>
  </r>
  <r>
    <x v="7"/>
    <x v="5"/>
    <x v="0"/>
    <s v="6289106"/>
    <n v="718050"/>
    <s v="Miscellaneous Purchased Svcs"/>
    <s v="Patient Access"/>
    <x v="0"/>
    <n v="1020"/>
    <n v="0"/>
    <n v="0"/>
    <n v="0"/>
    <n v="0"/>
    <n v="0"/>
    <n v="0"/>
    <n v="0"/>
    <n v="0"/>
    <n v="0"/>
    <n v="275"/>
    <n v="0"/>
    <n v="0"/>
    <n v="275"/>
    <n v="0"/>
  </r>
  <r>
    <x v="11"/>
    <x v="5"/>
    <x v="0"/>
    <s v="6289106"/>
    <n v="721410"/>
    <s v="Supplies-Medical - Nonbillable"/>
    <s v="Patient Access"/>
    <x v="0"/>
    <m/>
    <n v="896.76"/>
    <n v="896.76"/>
    <n v="753.28"/>
    <n v="1165.8"/>
    <n v="971.5"/>
    <n v="1718.69"/>
    <n v="1165.8"/>
    <n v="932.64"/>
    <n v="932.64"/>
    <n v="932.64"/>
    <n v="932.64"/>
    <n v="1632.12"/>
    <n v="12931.27"/>
    <n v="-699.4799999999999"/>
  </r>
  <r>
    <x v="11"/>
    <x v="5"/>
    <x v="0"/>
    <s v="6289106"/>
    <n v="721810"/>
    <s v="Supplies-Dietary/Cafeteria"/>
    <s v="Patient Access"/>
    <x v="0"/>
    <m/>
    <n v="0"/>
    <n v="0"/>
    <n v="0"/>
    <n v="0"/>
    <n v="0"/>
    <n v="0"/>
    <n v="0"/>
    <n v="0"/>
    <n v="0"/>
    <n v="7.62"/>
    <n v="0"/>
    <n v="0"/>
    <n v="7.62"/>
    <n v="0"/>
  </r>
  <r>
    <x v="11"/>
    <x v="5"/>
    <x v="0"/>
    <s v="6289106"/>
    <n v="721830"/>
    <s v="Supplies-Office"/>
    <s v="Patient Access"/>
    <x v="0"/>
    <m/>
    <n v="326.35000000000002"/>
    <n v="543.91999999999996"/>
    <n v="355.27"/>
    <n v="921.34"/>
    <n v="679.88"/>
    <n v="421.52"/>
    <n v="739.75"/>
    <n v="326.33999999999997"/>
    <n v="435.12"/>
    <n v="629.03"/>
    <n v="380.73"/>
    <n v="489.51"/>
    <n v="6248.76"/>
    <n v="-108.77999999999997"/>
  </r>
  <r>
    <x v="11"/>
    <x v="5"/>
    <x v="0"/>
    <s v="6289106"/>
    <n v="721835"/>
    <s v="Supplies-Forms"/>
    <s v="Patient Access"/>
    <x v="0"/>
    <m/>
    <n v="0"/>
    <n v="0"/>
    <n v="0"/>
    <n v="0"/>
    <n v="0"/>
    <n v="0"/>
    <n v="127.5"/>
    <n v="0"/>
    <n v="97.1"/>
    <n v="94"/>
    <n v="121.6"/>
    <n v="104.2"/>
    <n v="544.40000000000009"/>
    <n v="17.399999999999991"/>
  </r>
  <r>
    <x v="11"/>
    <x v="5"/>
    <x v="0"/>
    <s v="6289106"/>
    <n v="721870"/>
    <s v="Supplies-Environmental Services"/>
    <s v="Patient Access"/>
    <x v="0"/>
    <m/>
    <n v="0"/>
    <n v="0"/>
    <n v="0"/>
    <n v="0"/>
    <n v="0"/>
    <n v="0"/>
    <n v="0"/>
    <n v="0"/>
    <n v="0"/>
    <n v="0"/>
    <n v="11.42"/>
    <n v="0"/>
    <n v="11.42"/>
    <n v="11.42"/>
  </r>
  <r>
    <x v="11"/>
    <x v="5"/>
    <x v="0"/>
    <s v="6289106"/>
    <n v="721910"/>
    <s v="Supplies-Small Equipment"/>
    <s v="Patient Access"/>
    <x v="0"/>
    <m/>
    <n v="0"/>
    <n v="1212.8599999999999"/>
    <n v="0"/>
    <n v="41.96"/>
    <n v="0"/>
    <n v="0"/>
    <n v="0"/>
    <n v="0"/>
    <n v="0"/>
    <n v="0"/>
    <n v="318.81"/>
    <n v="0"/>
    <n v="1573.6299999999999"/>
    <n v="318.81"/>
  </r>
  <r>
    <x v="11"/>
    <x v="5"/>
    <x v="0"/>
    <s v="6289106"/>
    <n v="722000"/>
    <s v="Supplies-Freight Expense"/>
    <s v="Patient Access"/>
    <x v="0"/>
    <m/>
    <n v="0"/>
    <n v="0"/>
    <n v="35.83"/>
    <n v="0"/>
    <n v="0"/>
    <n v="0"/>
    <n v="0"/>
    <n v="0"/>
    <n v="0"/>
    <n v="0"/>
    <n v="0"/>
    <n v="0"/>
    <n v="35.83"/>
    <n v="0"/>
  </r>
  <r>
    <x v="12"/>
    <x v="5"/>
    <x v="0"/>
    <s v="6289106"/>
    <n v="730020"/>
    <s v="Rental and Leases-Copier Usage Fees (DO NOT USE)"/>
    <s v="Patient Access"/>
    <x v="0"/>
    <n v="5100"/>
    <n v="406.65"/>
    <n v="422.93"/>
    <n v="414.79"/>
    <n v="414.79"/>
    <n v="414.79"/>
    <n v="414.79"/>
    <n v="-267.47000000000003"/>
    <n v="323.47000000000003"/>
    <n v="381.71"/>
    <n v="662.83"/>
    <n v="340.59"/>
    <n v="386.22"/>
    <n v="4316.09"/>
    <n v="-45.630000000000052"/>
  </r>
  <r>
    <x v="15"/>
    <x v="5"/>
    <x v="0"/>
    <s v="6289106"/>
    <n v="731060"/>
    <s v="Telephone"/>
    <s v="Patient Access"/>
    <x v="0"/>
    <m/>
    <n v="0"/>
    <n v="86"/>
    <n v="8.6"/>
    <n v="0"/>
    <n v="0"/>
    <n v="0"/>
    <n v="0"/>
    <n v="0"/>
    <n v="0"/>
    <n v="0"/>
    <n v="0"/>
    <n v="0"/>
    <n v="94.6"/>
    <n v="0"/>
  </r>
  <r>
    <x v="16"/>
    <x v="5"/>
    <x v="0"/>
    <s v="6289106"/>
    <n v="732030"/>
    <s v="Repairs---Other"/>
    <s v="Patient Access"/>
    <x v="0"/>
    <m/>
    <n v="0"/>
    <n v="0"/>
    <n v="0"/>
    <n v="0"/>
    <n v="0"/>
    <n v="5569.31"/>
    <n v="0"/>
    <n v="0"/>
    <n v="0"/>
    <n v="0"/>
    <n v="0"/>
    <n v="0"/>
    <n v="5569.31"/>
    <n v="0"/>
  </r>
  <r>
    <x v="13"/>
    <x v="5"/>
    <x v="0"/>
    <s v="6289106"/>
    <n v="735040"/>
    <s v="Depreciation-Building Improvements"/>
    <s v="Patient Access"/>
    <x v="0"/>
    <m/>
    <n v="980.43"/>
    <n v="980.43"/>
    <n v="980.43"/>
    <n v="980.43"/>
    <n v="980.43"/>
    <n v="980.43"/>
    <n v="980.44"/>
    <n v="980.42"/>
    <n v="980.45"/>
    <n v="980.41"/>
    <n v="980.45"/>
    <n v="980.4"/>
    <n v="11765.150000000001"/>
    <n v="5.0000000000068212E-2"/>
  </r>
  <r>
    <x v="13"/>
    <x v="5"/>
    <x v="0"/>
    <s v="6289106"/>
    <n v="735060"/>
    <s v="Depreciation-Fixed Equipment"/>
    <s v="Patient Access"/>
    <x v="0"/>
    <m/>
    <n v="14.61"/>
    <n v="14.61"/>
    <n v="14.61"/>
    <n v="14.61"/>
    <n v="14.61"/>
    <n v="14.61"/>
    <n v="14.61"/>
    <n v="14.61"/>
    <n v="14.61"/>
    <n v="14.6"/>
    <n v="14.62"/>
    <n v="14.6"/>
    <n v="175.31"/>
    <n v="1.9999999999999574E-2"/>
  </r>
  <r>
    <x v="13"/>
    <x v="5"/>
    <x v="0"/>
    <s v="6289106"/>
    <n v="735070"/>
    <s v="Depreciation-Movable Equipment"/>
    <s v="Patient Access"/>
    <x v="0"/>
    <m/>
    <n v="687.24"/>
    <n v="687.1"/>
    <n v="687.3"/>
    <n v="687.09"/>
    <n v="687.35"/>
    <n v="687.08"/>
    <n v="687.4"/>
    <n v="686.95"/>
    <n v="687.49"/>
    <n v="686.81"/>
    <n v="687.52"/>
    <n v="686.78"/>
    <n v="8246.11"/>
    <n v="0.74000000000000909"/>
  </r>
  <r>
    <x v="0"/>
    <x v="5"/>
    <x v="0"/>
    <s v="6289106"/>
    <n v="749510"/>
    <s v="Miscellaneous Expenses"/>
    <s v="Patient Access"/>
    <x v="0"/>
    <m/>
    <n v="0"/>
    <n v="0"/>
    <n v="0"/>
    <n v="-2"/>
    <n v="0"/>
    <n v="0"/>
    <n v="0"/>
    <n v="0"/>
    <n v="0"/>
    <n v="0"/>
    <n v="0"/>
    <n v="0"/>
    <n v="-2"/>
    <n v="0"/>
  </r>
  <r>
    <x v="0"/>
    <x v="5"/>
    <x v="0"/>
    <s v="6289106"/>
    <n v="749550"/>
    <s v="Cash Over/Short"/>
    <s v="Patient Access"/>
    <x v="0"/>
    <m/>
    <n v="0"/>
    <n v="0"/>
    <n v="-2.21"/>
    <n v="5"/>
    <n v="0"/>
    <n v="9"/>
    <n v="0"/>
    <n v="0"/>
    <n v="1.91"/>
    <n v="3.35"/>
    <n v="25.48"/>
    <n v="0"/>
    <n v="42.53"/>
    <n v="25.48"/>
  </r>
  <r>
    <x v="11"/>
    <x v="1"/>
    <x v="0"/>
    <s v="6289200"/>
    <n v="721830"/>
    <s v="Supplies-Office"/>
    <s v="Patient Access"/>
    <x v="0"/>
    <m/>
    <n v="0"/>
    <n v="188.98"/>
    <n v="0"/>
    <n v="0"/>
    <n v="0"/>
    <n v="0"/>
    <n v="0"/>
    <n v="-188.98"/>
    <n v="0"/>
    <n v="0"/>
    <n v="0"/>
    <n v="0"/>
    <n v="0"/>
    <n v="0"/>
  </r>
  <r>
    <x v="11"/>
    <x v="1"/>
    <x v="0"/>
    <s v="6289200"/>
    <n v="721835"/>
    <s v="Supplies-Forms"/>
    <s v="Patient Access"/>
    <x v="0"/>
    <m/>
    <n v="0"/>
    <n v="0"/>
    <n v="0"/>
    <n v="0"/>
    <n v="170"/>
    <n v="0"/>
    <n v="0"/>
    <n v="-170"/>
    <n v="0"/>
    <n v="0"/>
    <n v="0"/>
    <n v="0"/>
    <n v="0"/>
    <n v="0"/>
  </r>
  <r>
    <x v="0"/>
    <x v="1"/>
    <x v="0"/>
    <s v="6289200"/>
    <n v="749510"/>
    <s v="Miscellaneous Expenses"/>
    <s v="Patient Access"/>
    <x v="0"/>
    <m/>
    <n v="-44.15"/>
    <n v="0"/>
    <n v="0"/>
    <n v="0"/>
    <n v="0"/>
    <n v="0"/>
    <n v="0"/>
    <n v="44.15"/>
    <n v="0"/>
    <n v="0"/>
    <n v="0"/>
    <n v="0"/>
    <n v="0"/>
    <n v="0"/>
  </r>
  <r>
    <x v="5"/>
    <x v="10"/>
    <x v="0"/>
    <s v="6289306"/>
    <n v="700038"/>
    <s v="Salaries-Service/Support-Productive"/>
    <s v="Patient Access"/>
    <x v="0"/>
    <m/>
    <n v="2894.67"/>
    <n v="2585.39"/>
    <n v="879.49"/>
    <n v="-260.55"/>
    <n v="0"/>
    <n v="0"/>
    <n v="0"/>
    <n v="0"/>
    <n v="0"/>
    <n v="0"/>
    <n v="0"/>
    <n v="0"/>
    <n v="6098.9999999999991"/>
    <n v="0"/>
  </r>
  <r>
    <x v="5"/>
    <x v="10"/>
    <x v="0"/>
    <s v="6289306"/>
    <n v="700078"/>
    <s v="Salaries-Service/Support-Non-productive"/>
    <s v="Patient Access"/>
    <x v="0"/>
    <m/>
    <n v="152"/>
    <n v="0"/>
    <n v="2041.11"/>
    <n v="-521.11"/>
    <n v="0"/>
    <n v="0"/>
    <n v="0"/>
    <n v="0"/>
    <n v="0"/>
    <n v="0"/>
    <n v="0"/>
    <n v="0"/>
    <n v="1671.9999999999995"/>
    <n v="0"/>
  </r>
  <r>
    <x v="5"/>
    <x v="10"/>
    <x v="0"/>
    <s v="6289306"/>
    <n v="700084"/>
    <s v="Accrued PTO"/>
    <s v="Patient Access"/>
    <x v="0"/>
    <m/>
    <n v="167.96"/>
    <n v="276.26"/>
    <n v="-459.8"/>
    <n v="0"/>
    <n v="0"/>
    <n v="0"/>
    <n v="0"/>
    <n v="0"/>
    <n v="0"/>
    <n v="0"/>
    <n v="0"/>
    <n v="0"/>
    <n v="-15.579999999999984"/>
    <n v="0"/>
  </r>
  <r>
    <x v="6"/>
    <x v="10"/>
    <x v="0"/>
    <s v="6289306"/>
    <n v="713010"/>
    <s v="Benefits-FICA/Medicare"/>
    <s v="Patient Access"/>
    <x v="0"/>
    <m/>
    <n v="233.06"/>
    <n v="197.78"/>
    <n v="500"/>
    <n v="-59.79"/>
    <n v="0"/>
    <n v="0"/>
    <n v="0"/>
    <n v="0"/>
    <n v="0"/>
    <n v="0"/>
    <n v="0"/>
    <n v="0"/>
    <n v="871.05000000000007"/>
    <n v="0"/>
  </r>
  <r>
    <x v="6"/>
    <x v="10"/>
    <x v="0"/>
    <s v="6289306"/>
    <n v="713090"/>
    <s v="Benefits-Allocated Amounts"/>
    <s v="Patient Access"/>
    <x v="0"/>
    <m/>
    <n v="405.76"/>
    <n v="422.06"/>
    <n v="408.95"/>
    <n v="-143.94"/>
    <n v="-4.24"/>
    <n v="22.85"/>
    <n v="-10.61"/>
    <n v="-11.92"/>
    <n v="12.44"/>
    <n v="-2.2000000000000002"/>
    <n v="-4.53"/>
    <n v="15.32"/>
    <n v="1109.9399999999998"/>
    <n v="-19.850000000000001"/>
  </r>
  <r>
    <x v="12"/>
    <x v="10"/>
    <x v="0"/>
    <s v="6289306"/>
    <n v="730020"/>
    <s v="Rental and Leases-Copier Usage Fees (DO NOT USE)"/>
    <s v="Patient Access"/>
    <x v="0"/>
    <n v="5100"/>
    <n v="-5.92"/>
    <n v="-9.14"/>
    <n v="-7.53"/>
    <n v="-7.53"/>
    <n v="-7.53"/>
    <n v="-7.53"/>
    <n v="98.15"/>
    <n v="0"/>
    <n v="0"/>
    <n v="0"/>
    <n v="0"/>
    <n v="0"/>
    <n v="52.970000000000006"/>
    <n v="0"/>
  </r>
  <r>
    <x v="7"/>
    <x v="9"/>
    <x v="0"/>
    <s v="6289501"/>
    <n v="718050"/>
    <s v="Contract Svcs-Other"/>
    <s v="Regional Patient Access"/>
    <x v="0"/>
    <m/>
    <n v="124.29"/>
    <n v="229.13"/>
    <n v="828.37"/>
    <n v="121.76"/>
    <n v="130"/>
    <n v="121.76"/>
    <n v="218"/>
    <n v="0"/>
    <n v="0"/>
    <n v="179.89"/>
    <n v="170.2"/>
    <n v="-12.41"/>
    <n v="2110.9899999999998"/>
    <n v="182.60999999999999"/>
  </r>
  <r>
    <x v="7"/>
    <x v="9"/>
    <x v="0"/>
    <s v="6289501"/>
    <n v="718050"/>
    <s v="Document Shredding/Storage"/>
    <s v="Regional Patient Access"/>
    <x v="0"/>
    <n v="1012"/>
    <n v="380.67"/>
    <n v="393.3"/>
    <n v="359.86"/>
    <n v="372.37"/>
    <n v="384.88"/>
    <n v="384.88"/>
    <n v="381.03"/>
    <n v="326.76"/>
    <n v="338.64"/>
    <n v="443.34"/>
    <n v="372.37"/>
    <n v="384.88"/>
    <n v="4522.9800000000005"/>
    <n v="-12.509999999999991"/>
  </r>
  <r>
    <x v="7"/>
    <x v="9"/>
    <x v="0"/>
    <s v="6289501"/>
    <n v="718050"/>
    <s v="Translation Services"/>
    <s v="Regional Patient Access"/>
    <x v="0"/>
    <n v="1025"/>
    <n v="940.44"/>
    <n v="1858.61"/>
    <n v="2496.19"/>
    <n v="1084.3499999999999"/>
    <n v="326.33999999999997"/>
    <n v="1366.62"/>
    <n v="2073.0700000000002"/>
    <n v="1684.18"/>
    <n v="1974.21"/>
    <n v="1063.9100000000001"/>
    <n v="1224.46"/>
    <n v="904.92"/>
    <n v="16997.3"/>
    <n v="319.54000000000008"/>
  </r>
  <r>
    <x v="7"/>
    <x v="9"/>
    <x v="0"/>
    <s v="6289501"/>
    <n v="718060"/>
    <s v="Contract Services-CHI RRC Fees"/>
    <s v="Regional Patient Access"/>
    <x v="0"/>
    <m/>
    <n v="365223"/>
    <n v="365223"/>
    <n v="365223"/>
    <n v="365223"/>
    <n v="365223"/>
    <n v="365223"/>
    <n v="365223"/>
    <n v="365223"/>
    <n v="365223"/>
    <n v="365223"/>
    <n v="365223"/>
    <n v="365223"/>
    <n v="4382676"/>
    <n v="0"/>
  </r>
  <r>
    <x v="11"/>
    <x v="9"/>
    <x v="0"/>
    <s v="6289501"/>
    <n v="721830"/>
    <s v="Supplies-Office"/>
    <s v="Regional Patient Access"/>
    <x v="0"/>
    <m/>
    <n v="0"/>
    <n v="0"/>
    <n v="0"/>
    <n v="0"/>
    <n v="0"/>
    <n v="0"/>
    <n v="0"/>
    <n v="681.99"/>
    <n v="0"/>
    <n v="151.34"/>
    <n v="0"/>
    <n v="0"/>
    <n v="833.33"/>
    <n v="0"/>
  </r>
  <r>
    <x v="11"/>
    <x v="9"/>
    <x v="0"/>
    <s v="6289501"/>
    <n v="721835"/>
    <s v="Supplies-Forms"/>
    <s v="Regional Patient Access"/>
    <x v="0"/>
    <m/>
    <n v="0"/>
    <n v="0"/>
    <n v="0"/>
    <n v="0"/>
    <n v="982.35"/>
    <n v="109.33"/>
    <n v="0"/>
    <n v="0"/>
    <n v="580.16"/>
    <n v="143.15"/>
    <n v="669.23"/>
    <n v="67.510000000000005"/>
    <n v="2551.7300000000005"/>
    <n v="601.72"/>
  </r>
  <r>
    <x v="11"/>
    <x v="9"/>
    <x v="0"/>
    <s v="6289501"/>
    <n v="721910"/>
    <s v="Supplies-Small Equipment"/>
    <s v="Regional Patient Access"/>
    <x v="0"/>
    <m/>
    <n v="0"/>
    <n v="175"/>
    <n v="712.84"/>
    <n v="0"/>
    <n v="0"/>
    <n v="0"/>
    <n v="0"/>
    <n v="772.45"/>
    <n v="47.25"/>
    <n v="0"/>
    <n v="0"/>
    <n v="22.27"/>
    <n v="1729.81"/>
    <n v="-22.27"/>
  </r>
  <r>
    <x v="11"/>
    <x v="9"/>
    <x v="0"/>
    <s v="6289501"/>
    <n v="722000"/>
    <s v="Supplies-Freight Expense"/>
    <s v="Regional Patient Access"/>
    <x v="0"/>
    <m/>
    <n v="0"/>
    <n v="0"/>
    <n v="20.38"/>
    <n v="0"/>
    <n v="0"/>
    <n v="0"/>
    <n v="0"/>
    <n v="0"/>
    <n v="43.56"/>
    <n v="0"/>
    <n v="0"/>
    <n v="0"/>
    <n v="63.94"/>
    <n v="0"/>
  </r>
  <r>
    <x v="12"/>
    <x v="9"/>
    <x v="0"/>
    <s v="6289501"/>
    <n v="730020"/>
    <s v="Rental and Leases-Copier Usage Fees (DO NOT USE)"/>
    <s v="Regional Patient Access"/>
    <x v="0"/>
    <n v="5100"/>
    <n v="620.38"/>
    <n v="637.9"/>
    <n v="629.14"/>
    <n v="629.14"/>
    <n v="629.14"/>
    <n v="629.13"/>
    <n v="622.62"/>
    <n v="597.35"/>
    <n v="596.1"/>
    <n v="562.29"/>
    <n v="561.04"/>
    <n v="658.4"/>
    <n v="7372.63"/>
    <n v="-97.360000000000014"/>
  </r>
  <r>
    <x v="15"/>
    <x v="9"/>
    <x v="0"/>
    <s v="6289501"/>
    <n v="731060"/>
    <s v="Pagers"/>
    <s v="Regional Patient Access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0"/>
    <x v="9"/>
    <x v="0"/>
    <s v="6289501"/>
    <n v="742040"/>
    <s v="Freight-Other"/>
    <s v="Regional Patient Access"/>
    <x v="0"/>
    <m/>
    <n v="0"/>
    <n v="0"/>
    <n v="0"/>
    <n v="0"/>
    <n v="0"/>
    <n v="0"/>
    <n v="0"/>
    <n v="0"/>
    <n v="0"/>
    <n v="0"/>
    <n v="0"/>
    <n v="12.41"/>
    <n v="12.41"/>
    <n v="-12.41"/>
  </r>
  <r>
    <x v="0"/>
    <x v="9"/>
    <x v="0"/>
    <s v="6289501"/>
    <n v="749510"/>
    <s v="Miscellaneous Expenses"/>
    <s v="Regional Patient Access"/>
    <x v="0"/>
    <m/>
    <n v="0"/>
    <n v="0"/>
    <n v="0"/>
    <n v="1557.6"/>
    <n v="60.57"/>
    <n v="32.270000000000003"/>
    <n v="0"/>
    <n v="0"/>
    <n v="0"/>
    <n v="0"/>
    <n v="0"/>
    <n v="0"/>
    <n v="1650.4399999999998"/>
    <n v="0"/>
  </r>
  <r>
    <x v="0"/>
    <x v="9"/>
    <x v="0"/>
    <s v="6289501"/>
    <n v="749550"/>
    <s v="Cash Over/Short"/>
    <s v="Regional Patient Access"/>
    <x v="0"/>
    <m/>
    <n v="0"/>
    <n v="0"/>
    <n v="-2"/>
    <n v="0"/>
    <n v="0"/>
    <n v="0"/>
    <n v="0"/>
    <n v="0"/>
    <n v="2"/>
    <n v="-5"/>
    <n v="15"/>
    <n v="0"/>
    <n v="10"/>
    <n v="15"/>
  </r>
  <r>
    <x v="5"/>
    <x v="9"/>
    <x v="0"/>
    <s v="6336501"/>
    <n v="700026"/>
    <s v="Salaries-RN-Productive"/>
    <s v="Patient Transfer Center"/>
    <x v="0"/>
    <m/>
    <n v="55458.879999999997"/>
    <n v="49691.4"/>
    <n v="55301.51"/>
    <n v="49094.28"/>
    <n v="52275.16"/>
    <n v="56086"/>
    <n v="57592.84"/>
    <n v="55992.83"/>
    <n v="60086.77"/>
    <n v="54722.53"/>
    <n v="52687.31"/>
    <n v="52939.519999999997"/>
    <n v="651929.03"/>
    <n v="-252.20999999999913"/>
  </r>
  <r>
    <x v="5"/>
    <x v="9"/>
    <x v="0"/>
    <s v="6336501"/>
    <n v="700026"/>
    <s v="Salaries-RN-OT"/>
    <s v="Patient Transfer Center"/>
    <x v="0"/>
    <n v="1000"/>
    <n v="284.35000000000002"/>
    <n v="2418.2199999999998"/>
    <n v="3390.65"/>
    <n v="5381.09"/>
    <n v="777.97"/>
    <n v="439.15"/>
    <n v="1665.45"/>
    <n v="5318.94"/>
    <n v="2807.57"/>
    <n v="3252.58"/>
    <n v="7908.07"/>
    <n v="-765.24"/>
    <n v="32878.800000000003"/>
    <n v="8673.31"/>
  </r>
  <r>
    <x v="5"/>
    <x v="9"/>
    <x v="0"/>
    <s v="6336501"/>
    <n v="700026"/>
    <s v="Salaries-RN-Other"/>
    <s v="Patient Transfer Center"/>
    <x v="0"/>
    <n v="2000"/>
    <n v="3257.49"/>
    <n v="3318.68"/>
    <n v="3703.92"/>
    <n v="3273.79"/>
    <n v="2761.68"/>
    <n v="3143.05"/>
    <n v="3186.23"/>
    <n v="2929.96"/>
    <n v="3582.82"/>
    <n v="3950.4"/>
    <n v="3611.81"/>
    <n v="2829.07"/>
    <n v="39548.899999999994"/>
    <n v="782.73999999999978"/>
  </r>
  <r>
    <x v="5"/>
    <x v="9"/>
    <x v="0"/>
    <s v="6336501"/>
    <n v="700066"/>
    <s v="Salaries-RN-Non-productive"/>
    <s v="Patient Transfer Center"/>
    <x v="0"/>
    <m/>
    <n v="5307.22"/>
    <n v="9920.56"/>
    <n v="9647.24"/>
    <n v="10928.34"/>
    <n v="2028"/>
    <n v="5008.91"/>
    <n v="2559.4699999999998"/>
    <n v="8756.0499999999993"/>
    <n v="5840.39"/>
    <n v="8005.01"/>
    <n v="13035.43"/>
    <n v="2258.9699999999998"/>
    <n v="83295.59"/>
    <n v="10776.460000000001"/>
  </r>
  <r>
    <x v="5"/>
    <x v="9"/>
    <x v="0"/>
    <s v="6336501"/>
    <n v="700066"/>
    <s v="Salaries-RN-NonProd-Other"/>
    <s v="Patient Transfer Center"/>
    <x v="0"/>
    <n v="2000"/>
    <n v="206.92"/>
    <n v="796.18"/>
    <n v="31.5"/>
    <n v="273.45"/>
    <n v="491.24"/>
    <n v="1956.21"/>
    <n v="344.13"/>
    <n v="-575.48"/>
    <n v="106.09"/>
    <n v="648.70000000000005"/>
    <n v="102.09"/>
    <n v="574.16999999999996"/>
    <n v="4955.2000000000007"/>
    <n v="-472.07999999999993"/>
  </r>
  <r>
    <x v="5"/>
    <x v="9"/>
    <x v="0"/>
    <s v="6336501"/>
    <n v="700084"/>
    <s v="Accrued PTO"/>
    <s v="Patient Transfer Center"/>
    <x v="0"/>
    <m/>
    <n v="4835.59"/>
    <n v="300.98"/>
    <n v="-269.82"/>
    <n v="1683.11"/>
    <n v="7427.88"/>
    <n v="10444.89"/>
    <n v="5410.33"/>
    <n v="1011.23"/>
    <n v="2950.47"/>
    <n v="2133.35"/>
    <n v="3584.5"/>
    <n v="4213.29"/>
    <n v="43725.799999999996"/>
    <n v="-628.79"/>
  </r>
  <r>
    <x v="6"/>
    <x v="9"/>
    <x v="0"/>
    <s v="6336501"/>
    <n v="713010"/>
    <s v="Benefits-FICA/Medicare"/>
    <s v="Patient Transfer Center"/>
    <x v="0"/>
    <m/>
    <n v="4746.18"/>
    <n v="5387.6"/>
    <n v="5122.95"/>
    <n v="5063.29"/>
    <n v="4588.28"/>
    <n v="5883.79"/>
    <n v="4786.37"/>
    <n v="5448.08"/>
    <n v="5328.28"/>
    <n v="5239.09"/>
    <n v="5737.31"/>
    <n v="5054.1400000000003"/>
    <n v="62385.36"/>
    <n v="683.17000000000007"/>
  </r>
  <r>
    <x v="6"/>
    <x v="9"/>
    <x v="0"/>
    <s v="6336501"/>
    <n v="713090"/>
    <s v="Benefits-Allocated Amounts"/>
    <s v="Patient Transfer Center"/>
    <x v="0"/>
    <m/>
    <n v="9890.51"/>
    <n v="9070.92"/>
    <n v="10606.31"/>
    <n v="9337.7000000000007"/>
    <n v="7807.34"/>
    <n v="10159.5"/>
    <n v="10384.67"/>
    <n v="11519.3"/>
    <n v="12527.69"/>
    <n v="11258.69"/>
    <n v="11779.78"/>
    <n v="9418.18"/>
    <n v="123760.59"/>
    <n v="2361.6000000000004"/>
  </r>
  <r>
    <x v="7"/>
    <x v="9"/>
    <x v="0"/>
    <s v="6336501"/>
    <n v="718050"/>
    <s v="Miscellaneous Purchased Svcs"/>
    <s v="Patient Transfer Center"/>
    <x v="0"/>
    <n v="1020"/>
    <n v="14776.45"/>
    <n v="1651.9"/>
    <n v="16503.91"/>
    <n v="3750.79"/>
    <n v="40931.57"/>
    <n v="0"/>
    <n v="30042.27"/>
    <n v="13545.99"/>
    <n v="13104.85"/>
    <n v="26000"/>
    <n v="13000"/>
    <n v="16754.05"/>
    <n v="190061.78"/>
    <n v="-3754.0499999999993"/>
  </r>
  <r>
    <x v="11"/>
    <x v="9"/>
    <x v="0"/>
    <s v="6336501"/>
    <n v="721830"/>
    <s v="Supplies-Office"/>
    <s v="Patient Transfer Center"/>
    <x v="0"/>
    <m/>
    <n v="0"/>
    <n v="0"/>
    <n v="11.65"/>
    <n v="0"/>
    <n v="252.13"/>
    <n v="0"/>
    <n v="690.7"/>
    <n v="370.48"/>
    <n v="580.74"/>
    <n v="46.18"/>
    <n v="0"/>
    <n v="0"/>
    <n v="1951.88"/>
    <n v="0"/>
  </r>
  <r>
    <x v="11"/>
    <x v="9"/>
    <x v="0"/>
    <s v="6336501"/>
    <n v="721910"/>
    <s v="Supplies-Small Equipment"/>
    <s v="Patient Transfer Center"/>
    <x v="0"/>
    <m/>
    <n v="3.68"/>
    <n v="0"/>
    <n v="0"/>
    <n v="174.07"/>
    <n v="0"/>
    <n v="0"/>
    <n v="0"/>
    <n v="0"/>
    <n v="0"/>
    <n v="0"/>
    <n v="0"/>
    <n v="0"/>
    <n v="177.75"/>
    <n v="0"/>
  </r>
  <r>
    <x v="11"/>
    <x v="9"/>
    <x v="0"/>
    <s v="6336501"/>
    <n v="721980"/>
    <s v="Supplies-Other"/>
    <s v="Patient Transfer Center"/>
    <x v="0"/>
    <m/>
    <n v="0"/>
    <n v="0"/>
    <n v="0"/>
    <n v="0"/>
    <n v="0"/>
    <n v="231.7"/>
    <n v="23.4"/>
    <n v="0"/>
    <n v="0"/>
    <n v="0"/>
    <n v="0"/>
    <n v="0"/>
    <n v="255.1"/>
    <n v="0"/>
  </r>
  <r>
    <x v="12"/>
    <x v="9"/>
    <x v="0"/>
    <s v="6336501"/>
    <n v="730020"/>
    <s v="Rental and Leases-Copier Usage Fees (DO NOT USE)"/>
    <s v="Patient Transfer Center"/>
    <x v="0"/>
    <n v="5100"/>
    <n v="115.37"/>
    <n v="117.57"/>
    <n v="116.47"/>
    <n v="116.47"/>
    <n v="116.47"/>
    <n v="116.47"/>
    <n v="151.05000000000001"/>
    <n v="91.36"/>
    <n v="91.16"/>
    <n v="197.19"/>
    <n v="91.36"/>
    <n v="91.36"/>
    <n v="1412.3"/>
    <n v="0"/>
  </r>
  <r>
    <x v="15"/>
    <x v="9"/>
    <x v="0"/>
    <s v="6336501"/>
    <n v="731060"/>
    <s v="Telephone"/>
    <s v="Patient Transfer Center"/>
    <x v="0"/>
    <m/>
    <n v="0"/>
    <n v="0"/>
    <n v="0"/>
    <n v="0"/>
    <n v="0"/>
    <n v="0"/>
    <n v="0"/>
    <n v="0"/>
    <n v="0"/>
    <n v="0"/>
    <n v="0"/>
    <n v="1854.64"/>
    <n v="1854.64"/>
    <n v="-1854.64"/>
  </r>
  <r>
    <x v="15"/>
    <x v="9"/>
    <x v="0"/>
    <s v="6336501"/>
    <n v="731060"/>
    <s v="Cell Phones"/>
    <s v="Patient Transfer Center"/>
    <x v="0"/>
    <n v="1001"/>
    <n v="0"/>
    <n v="72.540000000000006"/>
    <n v="145.06"/>
    <n v="0"/>
    <n v="71.63"/>
    <n v="73.459999999999994"/>
    <n v="146.16999999999999"/>
    <n v="0"/>
    <n v="74.38"/>
    <n v="148.08000000000001"/>
    <n v="72.150000000000006"/>
    <n v="73.16"/>
    <n v="876.63"/>
    <n v="-1.0099999999999909"/>
  </r>
  <r>
    <x v="0"/>
    <x v="9"/>
    <x v="0"/>
    <s v="6336501"/>
    <n v="749510"/>
    <s v="Miscellaneous Expenses"/>
    <s v="Patient Transfer Center"/>
    <x v="0"/>
    <m/>
    <n v="0"/>
    <n v="0"/>
    <n v="0"/>
    <n v="0"/>
    <n v="0"/>
    <n v="0"/>
    <n v="0"/>
    <n v="0"/>
    <n v="46.18"/>
    <n v="-46.18"/>
    <n v="0"/>
    <n v="0"/>
    <n v="0"/>
    <n v="0"/>
  </r>
  <r>
    <x v="0"/>
    <x v="9"/>
    <x v="0"/>
    <s v="6336501"/>
    <n v="749510"/>
    <s v="RICE Rewards"/>
    <s v="Patient Transfer Center"/>
    <x v="0"/>
    <n v="5100"/>
    <n v="0"/>
    <n v="0"/>
    <n v="0"/>
    <n v="0"/>
    <n v="0"/>
    <n v="0"/>
    <n v="380.97"/>
    <n v="0"/>
    <n v="0"/>
    <n v="0"/>
    <n v="0"/>
    <n v="0"/>
    <n v="380.97"/>
    <n v="0"/>
  </r>
  <r>
    <x v="0"/>
    <x v="9"/>
    <x v="0"/>
    <s v="6336501"/>
    <n v="749535"/>
    <s v="Meetings"/>
    <s v="Patient Transfer Center"/>
    <x v="0"/>
    <m/>
    <n v="0"/>
    <n v="0"/>
    <n v="0"/>
    <n v="0"/>
    <n v="0"/>
    <n v="0"/>
    <n v="0"/>
    <n v="0"/>
    <n v="0"/>
    <n v="95.05"/>
    <n v="0"/>
    <n v="0"/>
    <n v="95.05"/>
    <n v="0"/>
  </r>
  <r>
    <x v="5"/>
    <x v="9"/>
    <x v="0"/>
    <s v="6337501"/>
    <n v="700038"/>
    <s v="Salaries-Service/Support-Productive"/>
    <s v="Bed Placement"/>
    <x v="0"/>
    <m/>
    <n v="0"/>
    <n v="0"/>
    <n v="0"/>
    <n v="0"/>
    <n v="0"/>
    <n v="0"/>
    <n v="0"/>
    <n v="0"/>
    <n v="0"/>
    <n v="0"/>
    <n v="0"/>
    <n v="5753.12"/>
    <n v="5753.12"/>
    <n v="-5753.12"/>
  </r>
  <r>
    <x v="5"/>
    <x v="9"/>
    <x v="0"/>
    <s v="6337501"/>
    <n v="700038"/>
    <s v="Salaries-Service/Support-Other"/>
    <s v="Bed Placement"/>
    <x v="0"/>
    <n v="2000"/>
    <n v="0"/>
    <n v="0"/>
    <n v="0"/>
    <n v="0"/>
    <n v="0"/>
    <n v="0"/>
    <n v="0"/>
    <n v="0"/>
    <n v="0"/>
    <n v="0"/>
    <n v="0"/>
    <n v="90.12"/>
    <n v="90.12"/>
    <n v="-90.12"/>
  </r>
  <r>
    <x v="5"/>
    <x v="9"/>
    <x v="0"/>
    <s v="6337501"/>
    <n v="700078"/>
    <s v="Salaries-Service/Support-Non-productive"/>
    <s v="Bed Placement"/>
    <x v="0"/>
    <m/>
    <n v="0"/>
    <n v="0"/>
    <n v="0"/>
    <n v="0"/>
    <n v="0"/>
    <n v="0"/>
    <n v="0"/>
    <n v="0"/>
    <n v="0"/>
    <n v="0"/>
    <n v="0"/>
    <n v="667.79"/>
    <n v="667.79"/>
    <n v="-667.79"/>
  </r>
  <r>
    <x v="5"/>
    <x v="9"/>
    <x v="0"/>
    <s v="6337501"/>
    <n v="700078"/>
    <s v="Salaries-Service/Support-NonProd-Other"/>
    <s v="Bed Placement"/>
    <x v="0"/>
    <n v="2000"/>
    <n v="0"/>
    <n v="0"/>
    <n v="0"/>
    <n v="0"/>
    <n v="0"/>
    <n v="0"/>
    <n v="0"/>
    <n v="0"/>
    <n v="0"/>
    <n v="0"/>
    <n v="0"/>
    <n v="31.9"/>
    <n v="31.9"/>
    <n v="-31.9"/>
  </r>
  <r>
    <x v="5"/>
    <x v="9"/>
    <x v="0"/>
    <s v="6337501"/>
    <n v="700084"/>
    <s v="Accrued PTO"/>
    <s v="Bed Placement"/>
    <x v="0"/>
    <m/>
    <n v="0"/>
    <n v="0"/>
    <n v="0"/>
    <n v="0"/>
    <n v="0"/>
    <n v="0"/>
    <n v="0"/>
    <n v="0"/>
    <n v="0"/>
    <n v="0"/>
    <n v="0"/>
    <n v="12128.45"/>
    <n v="12128.45"/>
    <n v="-12128.45"/>
  </r>
  <r>
    <x v="6"/>
    <x v="9"/>
    <x v="0"/>
    <s v="6337501"/>
    <n v="713010"/>
    <s v="Benefits-FICA/Medicare"/>
    <s v="Bed Placement"/>
    <x v="0"/>
    <m/>
    <n v="0"/>
    <n v="0"/>
    <n v="0"/>
    <n v="0"/>
    <n v="0"/>
    <n v="0"/>
    <n v="0"/>
    <n v="0"/>
    <n v="0"/>
    <n v="0"/>
    <n v="0"/>
    <n v="481.03"/>
    <n v="481.03"/>
    <n v="-481.03"/>
  </r>
  <r>
    <x v="6"/>
    <x v="9"/>
    <x v="0"/>
    <s v="6337501"/>
    <n v="713090"/>
    <s v="Benefits-Allocated Amounts"/>
    <s v="Bed Placement"/>
    <x v="0"/>
    <m/>
    <n v="0"/>
    <n v="0"/>
    <n v="0"/>
    <n v="0"/>
    <n v="0"/>
    <n v="0"/>
    <n v="0"/>
    <n v="0"/>
    <n v="0"/>
    <n v="0"/>
    <n v="0"/>
    <n v="2283.14"/>
    <n v="2283.14"/>
    <n v="-2283.14"/>
  </r>
  <r>
    <x v="5"/>
    <x v="7"/>
    <x v="0"/>
    <s v="6355150"/>
    <n v="700034"/>
    <s v="Salaries-Tech/Professional-Productive"/>
    <s v="Quality Management"/>
    <x v="0"/>
    <m/>
    <n v="4549.55"/>
    <n v="5960.13"/>
    <n v="6096.69"/>
    <n v="6073.02"/>
    <n v="6333.44"/>
    <n v="4988.1099999999997"/>
    <n v="6784.62"/>
    <n v="5622.64"/>
    <n v="6412.62"/>
    <n v="7341.74"/>
    <n v="4066.11"/>
    <n v="8155.16"/>
    <n v="72383.83"/>
    <n v="-4089.0499999999997"/>
  </r>
  <r>
    <x v="5"/>
    <x v="7"/>
    <x v="0"/>
    <s v="6355150"/>
    <n v="700074"/>
    <s v="Salaries-Tech/Professional-Non-productive"/>
    <s v="Quality Management"/>
    <x v="0"/>
    <m/>
    <n v="2502.23"/>
    <n v="1091.97"/>
    <n v="728.01"/>
    <n v="1091.95"/>
    <n v="626.37"/>
    <n v="2203.9299999999998"/>
    <n v="418.65"/>
    <n v="882.87"/>
    <n v="789.97"/>
    <n v="-371.72"/>
    <n v="3136.46"/>
    <n v="-1184.8"/>
    <n v="11915.89"/>
    <n v="4321.26"/>
  </r>
  <r>
    <x v="5"/>
    <x v="7"/>
    <x v="0"/>
    <s v="6355150"/>
    <n v="700084"/>
    <s v="Accrued PTO"/>
    <s v="Quality Management"/>
    <x v="0"/>
    <m/>
    <n v="-1170"/>
    <n v="103.87"/>
    <n v="103.93"/>
    <n v="234"/>
    <n v="755.57"/>
    <n v="-653.25"/>
    <n v="430.78"/>
    <n v="430.74"/>
    <n v="430.76"/>
    <n v="1080.3699999999999"/>
    <n v="-544.03"/>
    <n v="1295.97"/>
    <n v="2498.71"/>
    <n v="-1840"/>
  </r>
  <r>
    <x v="6"/>
    <x v="7"/>
    <x v="0"/>
    <s v="6355150"/>
    <n v="713010"/>
    <s v="Benefits-FICA/Medicare"/>
    <s v="Quality Management"/>
    <x v="0"/>
    <m/>
    <n v="537.70000000000005"/>
    <n v="537.75"/>
    <n v="520.41"/>
    <n v="546.37"/>
    <n v="531.02"/>
    <n v="548.38"/>
    <n v="548.30999999999995"/>
    <n v="495.25"/>
    <n v="548.32000000000005"/>
    <n v="530.62"/>
    <n v="548.29999999999995"/>
    <n v="530.64"/>
    <n v="6423.0700000000006"/>
    <n v="17.659999999999968"/>
  </r>
  <r>
    <x v="6"/>
    <x v="7"/>
    <x v="0"/>
    <s v="6355150"/>
    <n v="713090"/>
    <s v="Benefits-Allocated Amounts"/>
    <s v="Quality Management"/>
    <x v="0"/>
    <m/>
    <n v="1345.76"/>
    <n v="1219.31"/>
    <n v="1338.28"/>
    <n v="1382.7"/>
    <n v="1359.83"/>
    <n v="1278.3800000000001"/>
    <n v="1418.98"/>
    <n v="1204.67"/>
    <n v="1245.97"/>
    <n v="1415.4"/>
    <n v="1327.75"/>
    <n v="1479.37"/>
    <n v="16016.399999999998"/>
    <n v="-151.61999999999989"/>
  </r>
  <r>
    <x v="7"/>
    <x v="7"/>
    <x v="0"/>
    <s v="6355150"/>
    <n v="718050"/>
    <s v="Miscellaneous Purchased Svcs"/>
    <s v="Quality Management"/>
    <x v="0"/>
    <n v="1020"/>
    <n v="149.13999999999999"/>
    <n v="0"/>
    <n v="0"/>
    <n v="0"/>
    <n v="0"/>
    <n v="0"/>
    <n v="0"/>
    <n v="0"/>
    <n v="0"/>
    <n v="0"/>
    <n v="0"/>
    <n v="0"/>
    <n v="149.13999999999999"/>
    <n v="0"/>
  </r>
  <r>
    <x v="11"/>
    <x v="7"/>
    <x v="0"/>
    <s v="6355150"/>
    <n v="721830"/>
    <s v="Supplies-Office"/>
    <s v="Quality Management"/>
    <x v="0"/>
    <m/>
    <n v="0"/>
    <n v="39.04"/>
    <n v="0"/>
    <n v="0"/>
    <n v="0"/>
    <n v="0"/>
    <n v="0"/>
    <n v="0"/>
    <n v="0"/>
    <n v="0"/>
    <n v="0"/>
    <n v="0"/>
    <n v="39.04"/>
    <n v="0"/>
  </r>
  <r>
    <x v="11"/>
    <x v="7"/>
    <x v="0"/>
    <s v="6355150"/>
    <n v="721835"/>
    <s v="Supplies-Forms"/>
    <s v="Quality Management"/>
    <x v="0"/>
    <m/>
    <n v="0"/>
    <n v="0"/>
    <n v="0"/>
    <n v="0"/>
    <n v="0"/>
    <n v="0"/>
    <n v="1.5"/>
    <n v="0"/>
    <n v="0"/>
    <n v="0"/>
    <n v="0"/>
    <n v="0"/>
    <n v="1.5"/>
    <n v="0"/>
  </r>
  <r>
    <x v="12"/>
    <x v="7"/>
    <x v="0"/>
    <s v="6355150"/>
    <n v="730020"/>
    <s v="Rental and Leases-Equipment (DO NOT USE)"/>
    <s v="Quality Management"/>
    <x v="0"/>
    <m/>
    <n v="0"/>
    <n v="0"/>
    <n v="42.01"/>
    <n v="0"/>
    <n v="0"/>
    <n v="0"/>
    <n v="0"/>
    <n v="0"/>
    <n v="0"/>
    <n v="0"/>
    <n v="0"/>
    <n v="0"/>
    <n v="42.01"/>
    <n v="0"/>
  </r>
  <r>
    <x v="0"/>
    <x v="7"/>
    <x v="0"/>
    <s v="6355150"/>
    <n v="749510"/>
    <s v="Licenses"/>
    <s v="Quality Management"/>
    <x v="0"/>
    <n v="1002"/>
    <n v="448.93"/>
    <n v="0"/>
    <n v="0"/>
    <n v="0"/>
    <n v="0"/>
    <n v="0"/>
    <n v="0"/>
    <n v="0"/>
    <n v="0"/>
    <n v="0"/>
    <n v="0"/>
    <n v="0"/>
    <n v="448.93"/>
    <n v="0"/>
  </r>
  <r>
    <x v="0"/>
    <x v="7"/>
    <x v="0"/>
    <s v="6355150"/>
    <n v="749510"/>
    <s v="RICE Rewards"/>
    <s v="Quality Management"/>
    <x v="0"/>
    <n v="5100"/>
    <n v="0"/>
    <n v="0"/>
    <n v="0"/>
    <n v="0"/>
    <n v="0"/>
    <n v="0"/>
    <n v="0"/>
    <n v="0"/>
    <n v="0"/>
    <n v="0"/>
    <n v="0"/>
    <n v="50"/>
    <n v="50"/>
    <n v="-50"/>
  </r>
  <r>
    <x v="5"/>
    <x v="1"/>
    <x v="0"/>
    <s v="6355200"/>
    <n v="700022"/>
    <s v="Salaries-Physician-Productive"/>
    <s v="FMG Quality &amp; Risk"/>
    <x v="0"/>
    <m/>
    <n v="11869.66"/>
    <n v="12409.19"/>
    <n v="10790.6"/>
    <n v="12409.19"/>
    <n v="11869.66"/>
    <n v="11330.13"/>
    <n v="12428.17"/>
    <n v="10806.42"/>
    <n v="11346.74"/>
    <n v="11887.06"/>
    <n v="12427.39"/>
    <n v="10788.21"/>
    <n v="140362.42000000001"/>
    <n v="1639.1800000000003"/>
  </r>
  <r>
    <x v="5"/>
    <x v="1"/>
    <x v="0"/>
    <s v="6355200"/>
    <n v="700054"/>
    <s v="Salaries-Management-NonProd-Other"/>
    <s v="FMG Quality &amp; Risk"/>
    <x v="0"/>
    <n v="2000"/>
    <n v="0"/>
    <n v="0"/>
    <n v="0"/>
    <n v="0"/>
    <n v="0"/>
    <n v="2463.2600000000002"/>
    <n v="-2463.2600000000002"/>
    <n v="0"/>
    <n v="0"/>
    <n v="0"/>
    <n v="0"/>
    <n v="0"/>
    <n v="0"/>
    <n v="0"/>
  </r>
  <r>
    <x v="6"/>
    <x v="1"/>
    <x v="0"/>
    <s v="6355200"/>
    <n v="713010"/>
    <s v="Benefits-FICA/Medicare"/>
    <s v="FMG Quality &amp; Risk"/>
    <x v="0"/>
    <m/>
    <n v="166.39"/>
    <n v="174.09"/>
    <n v="151.24"/>
    <n v="173.95"/>
    <n v="170.47"/>
    <n v="701"/>
    <n v="1106.3499999999999"/>
    <n v="798.14"/>
    <n v="838.08"/>
    <n v="878.02"/>
    <n v="917.85"/>
    <n v="182.87"/>
    <n v="6258.45"/>
    <n v="734.98"/>
  </r>
  <r>
    <x v="6"/>
    <x v="1"/>
    <x v="0"/>
    <s v="6355200"/>
    <n v="713090"/>
    <s v="Benefits-Allocated Amounts"/>
    <s v="FMG Quality &amp; Risk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6355200"/>
    <n v="713092"/>
    <s v="Allocated Benefits-Physician"/>
    <s v="FMG Quality &amp; Risk"/>
    <x v="0"/>
    <m/>
    <n v="923.55"/>
    <n v="854.79"/>
    <n v="825.48"/>
    <n v="914.18"/>
    <n v="862.85"/>
    <n v="1003.91"/>
    <n v="1083.3499999999999"/>
    <n v="974.86"/>
    <n v="1191.8499999999999"/>
    <n v="963.12"/>
    <n v="1036.1300000000001"/>
    <n v="1004.19"/>
    <n v="11638.26"/>
    <n v="31.940000000000055"/>
  </r>
  <r>
    <x v="6"/>
    <x v="1"/>
    <x v="0"/>
    <s v="6355200"/>
    <n v="713096"/>
    <s v="Employee Recognition"/>
    <s v="FMG Quality &amp; Risk"/>
    <x v="0"/>
    <n v="1017"/>
    <n v="0"/>
    <n v="138.94999999999999"/>
    <n v="0"/>
    <n v="0"/>
    <n v="0"/>
    <n v="0"/>
    <n v="0"/>
    <n v="0"/>
    <n v="0"/>
    <n v="0"/>
    <n v="0"/>
    <n v="0"/>
    <n v="138.94999999999999"/>
    <n v="0"/>
  </r>
  <r>
    <x v="7"/>
    <x v="1"/>
    <x v="0"/>
    <s v="6355200"/>
    <n v="718050"/>
    <s v="Contract Svcs-Other"/>
    <s v="FMG Quality &amp; Risk"/>
    <x v="0"/>
    <m/>
    <n v="0"/>
    <n v="0"/>
    <n v="0"/>
    <n v="0"/>
    <n v="0"/>
    <n v="0"/>
    <n v="0"/>
    <n v="0"/>
    <n v="0"/>
    <n v="0"/>
    <n v="275.25"/>
    <n v="0"/>
    <n v="275.25"/>
    <n v="275.25"/>
  </r>
  <r>
    <x v="7"/>
    <x v="1"/>
    <x v="0"/>
    <s v="6355200"/>
    <n v="718050"/>
    <s v="Document Shredding/Storage"/>
    <s v="FMG Quality &amp; Risk"/>
    <x v="0"/>
    <n v="1012"/>
    <n v="7.4"/>
    <n v="7.43"/>
    <n v="7.03"/>
    <n v="7.22"/>
    <n v="7.47"/>
    <n v="7.47"/>
    <n v="7.39"/>
    <n v="6.34"/>
    <n v="6.56"/>
    <n v="8.6300000000000008"/>
    <n v="7.23"/>
    <n v="7.45"/>
    <n v="87.62"/>
    <n v="-0.21999999999999975"/>
  </r>
  <r>
    <x v="7"/>
    <x v="1"/>
    <x v="0"/>
    <s v="6355200"/>
    <n v="718050"/>
    <s v="Physician Answering"/>
    <s v="FMG Quality &amp; Risk"/>
    <x v="0"/>
    <n v="1015"/>
    <n v="50.4"/>
    <n v="75.599999999999994"/>
    <n v="50.4"/>
    <n v="25.2"/>
    <n v="75.599999999999994"/>
    <n v="50.4"/>
    <n v="75.599999999999994"/>
    <n v="50.4"/>
    <n v="50.4"/>
    <n v="50.4"/>
    <n v="50.4"/>
    <n v="50.4"/>
    <n v="655.19999999999982"/>
    <n v="0"/>
  </r>
  <r>
    <x v="7"/>
    <x v="1"/>
    <x v="0"/>
    <s v="6355200"/>
    <n v="718050"/>
    <s v="Purchased Srvcs--Medical Waste"/>
    <s v="FMG Quality &amp; Risk"/>
    <x v="0"/>
    <n v="1027"/>
    <n v="280.07"/>
    <n v="435.82"/>
    <n v="161.66999999999999"/>
    <n v="0"/>
    <n v="315.83999999999997"/>
    <n v="259.02"/>
    <n v="557.65"/>
    <n v="488.94"/>
    <n v="0"/>
    <n v="638.66999999999996"/>
    <n v="0"/>
    <n v="251.96"/>
    <n v="3389.64"/>
    <n v="-251.96"/>
  </r>
  <r>
    <x v="11"/>
    <x v="1"/>
    <x v="0"/>
    <s v="6355200"/>
    <n v="721410"/>
    <s v="Supplies-Medical - Nonbillable"/>
    <s v="FMG Quality &amp; Risk"/>
    <x v="0"/>
    <m/>
    <n v="0"/>
    <n v="0"/>
    <n v="46.37"/>
    <n v="0"/>
    <n v="0"/>
    <n v="0"/>
    <n v="0"/>
    <n v="0"/>
    <n v="0"/>
    <n v="0"/>
    <n v="31.37"/>
    <n v="0"/>
    <n v="77.739999999999995"/>
    <n v="31.37"/>
  </r>
  <r>
    <x v="11"/>
    <x v="1"/>
    <x v="0"/>
    <s v="6355200"/>
    <n v="721810"/>
    <s v="Supplies-Dietary/Cafeteria"/>
    <s v="FMG Quality &amp; Risk"/>
    <x v="0"/>
    <m/>
    <n v="147.24"/>
    <n v="142.1"/>
    <n v="121.38"/>
    <n v="40.46"/>
    <n v="107.89"/>
    <n v="0"/>
    <n v="0"/>
    <n v="0"/>
    <n v="0"/>
    <n v="0"/>
    <n v="0"/>
    <n v="0"/>
    <n v="559.07000000000005"/>
    <n v="0"/>
  </r>
  <r>
    <x v="11"/>
    <x v="1"/>
    <x v="0"/>
    <s v="6355200"/>
    <n v="721830"/>
    <s v="Supplies-Office"/>
    <s v="FMG Quality &amp; Risk"/>
    <x v="0"/>
    <m/>
    <n v="0"/>
    <n v="173.94"/>
    <n v="0"/>
    <n v="260.91000000000003"/>
    <n v="0"/>
    <n v="0"/>
    <n v="0"/>
    <n v="0"/>
    <n v="0"/>
    <n v="556.22"/>
    <n v="-46.37"/>
    <n v="0"/>
    <n v="944.7"/>
    <n v="-46.37"/>
  </r>
  <r>
    <x v="11"/>
    <x v="1"/>
    <x v="0"/>
    <s v="6355200"/>
    <n v="721835"/>
    <s v="Supplies-Forms"/>
    <s v="FMG Quality &amp; Risk"/>
    <x v="0"/>
    <m/>
    <n v="0"/>
    <n v="0"/>
    <n v="0"/>
    <n v="0"/>
    <n v="880.04"/>
    <n v="0"/>
    <n v="0"/>
    <n v="0"/>
    <n v="21.2"/>
    <n v="0"/>
    <n v="0"/>
    <n v="0"/>
    <n v="901.24"/>
    <n v="0"/>
  </r>
  <r>
    <x v="11"/>
    <x v="1"/>
    <x v="0"/>
    <s v="6355200"/>
    <n v="721910"/>
    <s v="Supplies-Small Equipment"/>
    <s v="FMG Quality &amp; Risk"/>
    <x v="0"/>
    <m/>
    <n v="0"/>
    <n v="0"/>
    <n v="0"/>
    <n v="472.43"/>
    <n v="47.72"/>
    <n v="0"/>
    <n v="0"/>
    <n v="0"/>
    <n v="0"/>
    <n v="0"/>
    <n v="0"/>
    <n v="0"/>
    <n v="520.15"/>
    <n v="0"/>
  </r>
  <r>
    <x v="11"/>
    <x v="1"/>
    <x v="0"/>
    <s v="6355200"/>
    <n v="721980"/>
    <s v="Supplies-Other"/>
    <s v="FMG Quality &amp; Risk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6355200"/>
    <n v="722000"/>
    <s v="Supplies-Freight Expense"/>
    <s v="FMG Quality &amp; Risk"/>
    <x v="0"/>
    <m/>
    <n v="0"/>
    <n v="0"/>
    <n v="0"/>
    <n v="0"/>
    <n v="0"/>
    <n v="0"/>
    <n v="0"/>
    <n v="0"/>
    <n v="0"/>
    <n v="0"/>
    <n v="15"/>
    <n v="0"/>
    <n v="15"/>
    <n v="15"/>
  </r>
  <r>
    <x v="12"/>
    <x v="1"/>
    <x v="0"/>
    <s v="6355200"/>
    <n v="730020"/>
    <s v="Rental and Leases-Equipment (DO NOT USE)"/>
    <s v="FMG Quality &amp; Risk"/>
    <x v="0"/>
    <m/>
    <n v="0"/>
    <n v="84.34"/>
    <n v="0"/>
    <n v="0"/>
    <n v="0"/>
    <n v="0"/>
    <n v="76.06"/>
    <n v="0"/>
    <n v="0"/>
    <n v="0"/>
    <n v="0"/>
    <n v="0"/>
    <n v="160.4"/>
    <n v="0"/>
  </r>
  <r>
    <x v="12"/>
    <x v="1"/>
    <x v="0"/>
    <s v="6355200"/>
    <n v="730020"/>
    <s v="Rental and Leases-Copier Usage Fees (DO NOT USE)"/>
    <s v="FMG Quality &amp; Risk"/>
    <x v="0"/>
    <n v="5100"/>
    <n v="766.26"/>
    <n v="756.54"/>
    <n v="761.4"/>
    <n v="761.4"/>
    <n v="761.4"/>
    <n v="761.4"/>
    <n v="2324.65"/>
    <n v="748.87"/>
    <n v="773.01"/>
    <n v="1508.09"/>
    <n v="1309.9000000000001"/>
    <n v="1398.16"/>
    <n v="12631.079999999998"/>
    <n v="-88.259999999999991"/>
  </r>
  <r>
    <x v="13"/>
    <x v="1"/>
    <x v="0"/>
    <s v="6355200"/>
    <n v="735070"/>
    <s v="Depreciation-Movable Equipment"/>
    <s v="FMG Quality &amp; Risk"/>
    <x v="0"/>
    <m/>
    <n v="174.61"/>
    <n v="174.61"/>
    <n v="174.61"/>
    <n v="174.61"/>
    <n v="174.61"/>
    <n v="174.6"/>
    <n v="174.61"/>
    <n v="174.6"/>
    <n v="174.61"/>
    <n v="174.6"/>
    <n v="174.61"/>
    <n v="174.6"/>
    <n v="2095.2800000000002"/>
    <n v="1.0000000000019327E-2"/>
  </r>
  <r>
    <x v="0"/>
    <x v="1"/>
    <x v="0"/>
    <s v="6355200"/>
    <n v="740020"/>
    <s v="Education-Registration Fees"/>
    <s v="FMG Quality &amp; Risk"/>
    <x v="0"/>
    <m/>
    <n v="0"/>
    <n v="0"/>
    <n v="2995"/>
    <n v="1400"/>
    <n v="0"/>
    <n v="0"/>
    <n v="0"/>
    <n v="0"/>
    <n v="0"/>
    <n v="0"/>
    <n v="0"/>
    <n v="0"/>
    <n v="4395"/>
    <n v="0"/>
  </r>
  <r>
    <x v="0"/>
    <x v="1"/>
    <x v="0"/>
    <s v="6355200"/>
    <n v="743030"/>
    <s v="Subscriptions--Institutional"/>
    <s v="FMG Quality &amp; Risk"/>
    <x v="0"/>
    <m/>
    <n v="0"/>
    <n v="0"/>
    <n v="1120"/>
    <n v="0"/>
    <n v="0"/>
    <n v="0"/>
    <n v="0"/>
    <n v="0"/>
    <n v="0"/>
    <n v="0"/>
    <n v="0"/>
    <n v="0"/>
    <n v="1120"/>
    <n v="0"/>
  </r>
  <r>
    <x v="0"/>
    <x v="1"/>
    <x v="0"/>
    <s v="6355200"/>
    <n v="749510"/>
    <s v="Miscellaneous Expenses"/>
    <s v="FMG Quality &amp; Risk"/>
    <x v="0"/>
    <m/>
    <n v="0"/>
    <n v="0"/>
    <n v="0"/>
    <n v="-2792.55"/>
    <n v="0"/>
    <n v="0"/>
    <n v="0"/>
    <n v="0"/>
    <n v="0"/>
    <n v="-1175.73"/>
    <n v="0"/>
    <n v="0"/>
    <n v="-3968.28"/>
    <n v="0"/>
  </r>
  <r>
    <x v="0"/>
    <x v="1"/>
    <x v="0"/>
    <s v="6355200"/>
    <n v="749530"/>
    <s v="Travel"/>
    <s v="FMG Quality &amp; Risk"/>
    <x v="0"/>
    <m/>
    <n v="0"/>
    <n v="0"/>
    <n v="628"/>
    <n v="259"/>
    <n v="0"/>
    <n v="0"/>
    <n v="0"/>
    <n v="0"/>
    <n v="0"/>
    <n v="0"/>
    <n v="0"/>
    <n v="0"/>
    <n v="887"/>
    <n v="0"/>
  </r>
  <r>
    <x v="0"/>
    <x v="1"/>
    <x v="0"/>
    <s v="6355200"/>
    <n v="749532"/>
    <s v="Travel-Physician"/>
    <s v="FMG Quality &amp; Risk"/>
    <x v="0"/>
    <m/>
    <n v="0"/>
    <n v="0"/>
    <n v="0"/>
    <n v="0"/>
    <n v="304.5"/>
    <n v="0"/>
    <n v="0"/>
    <n v="0"/>
    <n v="0"/>
    <n v="0"/>
    <n v="0"/>
    <n v="0"/>
    <n v="304.5"/>
    <n v="0"/>
  </r>
  <r>
    <x v="0"/>
    <x v="1"/>
    <x v="0"/>
    <s v="6355200"/>
    <n v="749535"/>
    <s v="Meetings"/>
    <s v="FMG Quality &amp; Risk"/>
    <x v="0"/>
    <m/>
    <n v="0"/>
    <n v="135.75"/>
    <n v="107.59"/>
    <n v="500.03"/>
    <n v="0"/>
    <n v="0"/>
    <n v="0"/>
    <n v="0"/>
    <n v="0"/>
    <n v="0"/>
    <n v="0"/>
    <n v="0"/>
    <n v="743.37"/>
    <n v="0"/>
  </r>
  <r>
    <x v="11"/>
    <x v="10"/>
    <x v="0"/>
    <s v="6355306"/>
    <n v="721810"/>
    <s v="Supplies-Dietary/Cafeteria"/>
    <s v="Quality Management"/>
    <x v="0"/>
    <m/>
    <n v="0"/>
    <n v="100.04"/>
    <n v="0"/>
    <n v="0"/>
    <n v="0"/>
    <n v="0"/>
    <n v="0"/>
    <n v="0"/>
    <n v="0"/>
    <n v="0"/>
    <n v="0"/>
    <n v="0"/>
    <n v="100.04"/>
    <n v="0"/>
  </r>
  <r>
    <x v="12"/>
    <x v="10"/>
    <x v="0"/>
    <s v="6355306"/>
    <n v="730020"/>
    <s v="Rental and Leases-Copier Usage Fees (DO NOT USE)"/>
    <s v="Quality Management"/>
    <x v="0"/>
    <n v="5100"/>
    <n v="32.35"/>
    <n v="30.26"/>
    <n v="31.3"/>
    <n v="31.3"/>
    <n v="31.3"/>
    <n v="31.3"/>
    <n v="-339.94"/>
    <n v="10.47"/>
    <n v="10.45"/>
    <n v="22.61"/>
    <n v="10.47"/>
    <n v="12.37"/>
    <n v="-85.76"/>
    <n v="-1.8999999999999986"/>
  </r>
  <r>
    <x v="5"/>
    <x v="3"/>
    <x v="0"/>
    <s v="6359101"/>
    <n v="700032"/>
    <s v="Salaries-Other Pat Care Providers-Productive"/>
    <s v="Leapfrog Support"/>
    <x v="0"/>
    <m/>
    <n v="415.68"/>
    <n v="0"/>
    <n v="519.6"/>
    <n v="0"/>
    <n v="0"/>
    <n v="0"/>
    <n v="754.25"/>
    <n v="1049.31"/>
    <n v="-295"/>
    <n v="0"/>
    <n v="0"/>
    <n v="107.76"/>
    <n v="2551.6000000000004"/>
    <n v="-107.76"/>
  </r>
  <r>
    <x v="5"/>
    <x v="3"/>
    <x v="0"/>
    <s v="6359101"/>
    <n v="700032"/>
    <s v="Salaries-Other Pat Care Providers-OT"/>
    <s v="Leapfrog Support"/>
    <x v="0"/>
    <n v="1000"/>
    <n v="0"/>
    <n v="301.20999999999998"/>
    <n v="-90.35"/>
    <n v="0"/>
    <n v="0"/>
    <n v="0"/>
    <n v="0"/>
    <n v="147.26"/>
    <n v="-38.74"/>
    <n v="0"/>
    <n v="0"/>
    <n v="108.88"/>
    <n v="428.26"/>
    <n v="-108.88"/>
  </r>
  <r>
    <x v="5"/>
    <x v="3"/>
    <x v="0"/>
    <s v="6359101"/>
    <n v="700032"/>
    <s v="Salaries-Other Pat Care Providers-Other"/>
    <s v="Leapfrog Support"/>
    <x v="0"/>
    <n v="2000"/>
    <n v="13.51"/>
    <n v="9.6300000000000008"/>
    <n v="20.75"/>
    <n v="0"/>
    <n v="0"/>
    <n v="0"/>
    <n v="23.64"/>
    <n v="11.84"/>
    <n v="-2.81"/>
    <n v="0"/>
    <n v="0"/>
    <n v="5.64"/>
    <n v="82.2"/>
    <n v="-5.64"/>
  </r>
  <r>
    <x v="6"/>
    <x v="3"/>
    <x v="0"/>
    <s v="6359101"/>
    <n v="713010"/>
    <s v="Benefits-FICA/Medicare"/>
    <s v="Leapfrog Support"/>
    <x v="0"/>
    <m/>
    <n v="31.97"/>
    <n v="22.93"/>
    <n v="33.22"/>
    <n v="0"/>
    <n v="0"/>
    <n v="0"/>
    <n v="57.17"/>
    <n v="89.12"/>
    <n v="-24.8"/>
    <n v="0"/>
    <n v="0"/>
    <n v="16.39"/>
    <n v="226"/>
    <n v="-16.39"/>
  </r>
  <r>
    <x v="6"/>
    <x v="3"/>
    <x v="0"/>
    <s v="6359101"/>
    <n v="713090"/>
    <s v="Benefits-Allocated Amounts"/>
    <s v="Leapfrog Support"/>
    <x v="0"/>
    <m/>
    <n v="52.89"/>
    <n v="31.79"/>
    <n v="68.78"/>
    <n v="18.079999999999998"/>
    <n v="0.39"/>
    <n v="34.72"/>
    <n v="97.31"/>
    <n v="43.88"/>
    <n v="35.979999999999997"/>
    <n v="45.64"/>
    <n v="47.48"/>
    <n v="45.87"/>
    <n v="522.81000000000006"/>
    <n v="1.6099999999999994"/>
  </r>
  <r>
    <x v="5"/>
    <x v="4"/>
    <x v="0"/>
    <s v="6359103"/>
    <n v="700032"/>
    <s v="Salaries-Other Pat Care Providers-Productive"/>
    <s v="Leapfrog Support"/>
    <x v="0"/>
    <m/>
    <n v="0"/>
    <n v="0"/>
    <n v="0"/>
    <n v="0"/>
    <n v="0"/>
    <n v="0"/>
    <n v="0"/>
    <n v="0"/>
    <n v="0"/>
    <n v="0"/>
    <n v="0"/>
    <n v="482.55"/>
    <n v="482.55"/>
    <n v="-482.55"/>
  </r>
  <r>
    <x v="6"/>
    <x v="4"/>
    <x v="0"/>
    <s v="6359103"/>
    <n v="713010"/>
    <s v="Benefits-FICA/Medicare"/>
    <s v="Leapfrog Support"/>
    <x v="0"/>
    <m/>
    <n v="0"/>
    <n v="0"/>
    <n v="0"/>
    <n v="0"/>
    <n v="0"/>
    <n v="0"/>
    <n v="0"/>
    <n v="0"/>
    <n v="0"/>
    <n v="0"/>
    <n v="0"/>
    <n v="36.56"/>
    <n v="36.56"/>
    <n v="-36.56"/>
  </r>
  <r>
    <x v="6"/>
    <x v="4"/>
    <x v="0"/>
    <s v="6359103"/>
    <n v="713090"/>
    <s v="Benefits-Allocated Amounts"/>
    <s v="Leapfrog Support"/>
    <x v="0"/>
    <m/>
    <n v="0"/>
    <n v="0"/>
    <n v="0"/>
    <n v="0"/>
    <n v="0"/>
    <n v="0"/>
    <n v="0"/>
    <n v="0"/>
    <n v="0"/>
    <n v="0"/>
    <n v="0"/>
    <n v="87.62"/>
    <n v="87.62"/>
    <n v="-87.62"/>
  </r>
  <r>
    <x v="5"/>
    <x v="8"/>
    <x v="0"/>
    <s v="6359104"/>
    <n v="700032"/>
    <s v="Salaries-Other Pat Care Providers-Productive"/>
    <s v="Leapfrog Support"/>
    <x v="0"/>
    <m/>
    <n v="0"/>
    <n v="0"/>
    <n v="0"/>
    <n v="0"/>
    <n v="0"/>
    <n v="0"/>
    <n v="0"/>
    <n v="0"/>
    <n v="0"/>
    <n v="1172.01"/>
    <n v="0"/>
    <n v="211.35"/>
    <n v="1383.36"/>
    <n v="-211.35"/>
  </r>
  <r>
    <x v="5"/>
    <x v="8"/>
    <x v="0"/>
    <s v="6359104"/>
    <n v="700032"/>
    <s v="Salaries-Other Pat Care Providers-Other"/>
    <s v="Leapfrog Support"/>
    <x v="0"/>
    <n v="2000"/>
    <n v="0"/>
    <n v="0"/>
    <n v="0"/>
    <n v="0"/>
    <n v="0"/>
    <n v="0"/>
    <n v="0"/>
    <n v="0"/>
    <n v="0"/>
    <n v="2.25"/>
    <n v="0"/>
    <n v="0"/>
    <n v="2.25"/>
    <n v="0"/>
  </r>
  <r>
    <x v="6"/>
    <x v="8"/>
    <x v="0"/>
    <s v="6359104"/>
    <n v="713010"/>
    <s v="Benefits-FICA/Medicare"/>
    <s v="Leapfrog Support"/>
    <x v="0"/>
    <m/>
    <n v="0"/>
    <n v="0"/>
    <n v="0"/>
    <n v="0"/>
    <n v="0"/>
    <n v="0"/>
    <n v="0"/>
    <n v="0"/>
    <n v="0"/>
    <n v="86.5"/>
    <n v="0"/>
    <n v="15.57"/>
    <n v="102.07"/>
    <n v="-15.57"/>
  </r>
  <r>
    <x v="6"/>
    <x v="8"/>
    <x v="0"/>
    <s v="6359104"/>
    <n v="713090"/>
    <s v="Benefits-Allocated Amounts"/>
    <s v="Leapfrog Support"/>
    <x v="0"/>
    <m/>
    <n v="0"/>
    <n v="0"/>
    <n v="0"/>
    <n v="0"/>
    <n v="0"/>
    <n v="0"/>
    <n v="0"/>
    <n v="0"/>
    <n v="0"/>
    <n v="150.05000000000001"/>
    <n v="15.91"/>
    <n v="16.04"/>
    <n v="182"/>
    <n v="-0.12999999999999901"/>
  </r>
  <r>
    <x v="12"/>
    <x v="6"/>
    <x v="0"/>
    <s v="6359107"/>
    <n v="730020"/>
    <s v="Rental and Leases-Equipment (DO NOT USE)"/>
    <s v="Leapfrog Support"/>
    <x v="0"/>
    <m/>
    <n v="0"/>
    <n v="0"/>
    <n v="0"/>
    <n v="42.33"/>
    <n v="0"/>
    <n v="0"/>
    <n v="0"/>
    <n v="0"/>
    <n v="38.03"/>
    <n v="0"/>
    <n v="0"/>
    <n v="0"/>
    <n v="80.36"/>
    <n v="0"/>
  </r>
  <r>
    <x v="5"/>
    <x v="7"/>
    <x v="0"/>
    <s v="6359150"/>
    <n v="700032"/>
    <s v="Salaries-Other Pat Care Providers-Productive"/>
    <s v="Leapfrog Support"/>
    <x v="0"/>
    <m/>
    <n v="0"/>
    <n v="0"/>
    <n v="0"/>
    <n v="0"/>
    <n v="0"/>
    <n v="0"/>
    <n v="0"/>
    <n v="0"/>
    <n v="0"/>
    <n v="0"/>
    <n v="839.1"/>
    <n v="314.89"/>
    <n v="1153.99"/>
    <n v="524.21"/>
  </r>
  <r>
    <x v="5"/>
    <x v="7"/>
    <x v="0"/>
    <s v="6359150"/>
    <n v="700032"/>
    <s v="Salaries-Other Pat Care Providers-Other"/>
    <s v="Leapfrog Support"/>
    <x v="0"/>
    <n v="2000"/>
    <n v="0"/>
    <n v="0"/>
    <n v="0"/>
    <n v="0"/>
    <n v="0"/>
    <n v="0"/>
    <n v="0"/>
    <n v="0"/>
    <n v="0"/>
    <n v="0"/>
    <n v="24.96"/>
    <n v="0.39"/>
    <n v="25.35"/>
    <n v="24.57"/>
  </r>
  <r>
    <x v="6"/>
    <x v="7"/>
    <x v="0"/>
    <s v="6359150"/>
    <n v="713010"/>
    <s v="Benefits-FICA/Medicare"/>
    <s v="Leapfrog Support"/>
    <x v="0"/>
    <m/>
    <n v="0"/>
    <n v="0"/>
    <n v="0"/>
    <n v="0"/>
    <n v="0"/>
    <n v="0"/>
    <n v="0"/>
    <n v="0"/>
    <n v="0"/>
    <n v="0"/>
    <n v="61.18"/>
    <n v="22.63"/>
    <n v="83.81"/>
    <n v="38.549999999999997"/>
  </r>
  <r>
    <x v="6"/>
    <x v="7"/>
    <x v="0"/>
    <s v="6359150"/>
    <n v="713090"/>
    <s v="Benefits-Allocated Amounts"/>
    <s v="Leapfrog Support"/>
    <x v="0"/>
    <m/>
    <n v="0"/>
    <n v="0"/>
    <n v="0"/>
    <n v="0"/>
    <n v="0"/>
    <n v="0"/>
    <n v="0"/>
    <n v="0"/>
    <n v="0"/>
    <n v="0"/>
    <n v="109.1"/>
    <n v="42.17"/>
    <n v="151.26999999999998"/>
    <n v="66.929999999999993"/>
  </r>
  <r>
    <x v="12"/>
    <x v="7"/>
    <x v="0"/>
    <s v="6375150"/>
    <n v="730020"/>
    <s v="Rental and Leases-Copier Usage Fees (DO NOT USE)"/>
    <s v="Util Review/Disch Pl"/>
    <x v="0"/>
    <n v="5100"/>
    <n v="42.59"/>
    <n v="41.71"/>
    <n v="42.15"/>
    <n v="42.15"/>
    <n v="42.15"/>
    <n v="42.15"/>
    <n v="126.33"/>
    <n v="35.21"/>
    <n v="35.14"/>
    <n v="-449.58"/>
    <n v="0"/>
    <n v="41.01"/>
    <n v="41.01"/>
    <n v="-41.01"/>
  </r>
  <r>
    <x v="13"/>
    <x v="3"/>
    <x v="0"/>
    <s v="6426101"/>
    <n v="735070"/>
    <s v="Depreciation-Movable Equipment"/>
    <s v="Clinical Process Improvement"/>
    <x v="0"/>
    <m/>
    <n v="219.31"/>
    <n v="219.31"/>
    <n v="219.31"/>
    <n v="219.31"/>
    <n v="219.32"/>
    <n v="219.31"/>
    <n v="219.32"/>
    <n v="219.31"/>
    <n v="219.32"/>
    <n v="219.31"/>
    <n v="219.32"/>
    <n v="219.31"/>
    <n v="2631.7599999999998"/>
    <n v="9.9999999999909051E-3"/>
  </r>
  <r>
    <x v="13"/>
    <x v="0"/>
    <x v="0"/>
    <s v="6426102"/>
    <n v="735070"/>
    <s v="Depreciation-Movable Equipment"/>
    <s v="Clinical Process Improvement"/>
    <x v="0"/>
    <m/>
    <n v="166.67"/>
    <n v="166.67"/>
    <n v="166.67"/>
    <n v="166.67"/>
    <n v="166.67"/>
    <n v="166.66"/>
    <n v="166.67"/>
    <n v="166.66"/>
    <n v="166.67"/>
    <n v="166.66"/>
    <n v="166.67"/>
    <n v="166.66"/>
    <n v="2000.0000000000002"/>
    <n v="9.9999999999909051E-3"/>
  </r>
  <r>
    <x v="13"/>
    <x v="4"/>
    <x v="0"/>
    <s v="6426103"/>
    <n v="735070"/>
    <s v="Depreciation-Movable Equipment"/>
    <s v="Clinical Process Improvement"/>
    <x v="0"/>
    <m/>
    <n v="182.33"/>
    <n v="182.33"/>
    <n v="182.33"/>
    <n v="182.33"/>
    <n v="182.34"/>
    <n v="182.33"/>
    <n v="182.34"/>
    <n v="182.33"/>
    <n v="182.34"/>
    <n v="182.33"/>
    <n v="182.34"/>
    <n v="182.33"/>
    <n v="2187.9999999999995"/>
    <n v="9.9999999999909051E-3"/>
  </r>
  <r>
    <x v="5"/>
    <x v="9"/>
    <x v="0"/>
    <s v="6432501"/>
    <n v="700014"/>
    <s v="Salaries-Management-Productive"/>
    <s v="Mission Control Center"/>
    <x v="0"/>
    <m/>
    <n v="0"/>
    <n v="0"/>
    <n v="0"/>
    <n v="0"/>
    <n v="0"/>
    <n v="0"/>
    <n v="0"/>
    <n v="0"/>
    <n v="0"/>
    <n v="0"/>
    <n v="0"/>
    <n v="7325.08"/>
    <n v="7325.08"/>
    <n v="-7325.08"/>
  </r>
  <r>
    <x v="5"/>
    <x v="9"/>
    <x v="0"/>
    <s v="6432501"/>
    <n v="700038"/>
    <s v="Salaries-Service/Support-Productive"/>
    <s v="Mission Control Center"/>
    <x v="0"/>
    <m/>
    <n v="0"/>
    <n v="0"/>
    <n v="0"/>
    <n v="0"/>
    <n v="0"/>
    <n v="0"/>
    <n v="0"/>
    <n v="0"/>
    <n v="0"/>
    <n v="0"/>
    <n v="0"/>
    <n v="421.24"/>
    <n v="421.24"/>
    <n v="-421.24"/>
  </r>
  <r>
    <x v="5"/>
    <x v="9"/>
    <x v="0"/>
    <s v="6432501"/>
    <n v="700038"/>
    <s v="Salaries-Service/Support-Other"/>
    <s v="Mission Control Center"/>
    <x v="0"/>
    <n v="2000"/>
    <n v="0"/>
    <n v="0"/>
    <n v="0"/>
    <n v="0"/>
    <n v="0"/>
    <n v="0"/>
    <n v="0"/>
    <n v="0"/>
    <n v="0"/>
    <n v="0"/>
    <n v="0"/>
    <n v="30.04"/>
    <n v="30.04"/>
    <n v="-30.04"/>
  </r>
  <r>
    <x v="5"/>
    <x v="9"/>
    <x v="0"/>
    <s v="6432501"/>
    <n v="700084"/>
    <s v="Accrued PTO"/>
    <s v="Mission Control Center"/>
    <x v="0"/>
    <m/>
    <n v="0"/>
    <n v="0"/>
    <n v="0"/>
    <n v="0"/>
    <n v="0"/>
    <n v="0"/>
    <n v="0"/>
    <n v="0"/>
    <n v="0"/>
    <n v="0"/>
    <n v="0"/>
    <n v="5270.15"/>
    <n v="5270.15"/>
    <n v="-5270.15"/>
  </r>
  <r>
    <x v="6"/>
    <x v="9"/>
    <x v="0"/>
    <s v="6432501"/>
    <n v="713010"/>
    <s v="Benefits-FICA/Medicare"/>
    <s v="Mission Control Center"/>
    <x v="0"/>
    <m/>
    <n v="0"/>
    <n v="0"/>
    <n v="0"/>
    <n v="0"/>
    <n v="0"/>
    <n v="0"/>
    <n v="0"/>
    <n v="0"/>
    <n v="0"/>
    <n v="0"/>
    <n v="0"/>
    <n v="703.79"/>
    <n v="703.79"/>
    <n v="-703.79"/>
  </r>
  <r>
    <x v="6"/>
    <x v="9"/>
    <x v="0"/>
    <s v="6432501"/>
    <n v="713090"/>
    <s v="Benefits-Allocated Amounts"/>
    <s v="Mission Control Center"/>
    <x v="0"/>
    <m/>
    <n v="0"/>
    <n v="0"/>
    <n v="0"/>
    <n v="0"/>
    <n v="0"/>
    <n v="0"/>
    <n v="0"/>
    <n v="0"/>
    <n v="0"/>
    <n v="0"/>
    <n v="0"/>
    <n v="1226.05"/>
    <n v="1226.05"/>
    <n v="-1226.05"/>
  </r>
  <r>
    <x v="7"/>
    <x v="9"/>
    <x v="0"/>
    <s v="6432501"/>
    <n v="718050"/>
    <s v="Miscellaneous Purchased Svcs"/>
    <s v="Mission Control Center"/>
    <x v="0"/>
    <n v="1020"/>
    <n v="0"/>
    <n v="0"/>
    <n v="0"/>
    <n v="0"/>
    <n v="0"/>
    <n v="34425.300000000003"/>
    <n v="-34425.300000000003"/>
    <n v="227100.3"/>
    <n v="-13724.4"/>
    <n v="-75750.899999999994"/>
    <n v="27550"/>
    <n v="27550"/>
    <n v="192725"/>
    <n v="0"/>
  </r>
  <r>
    <x v="11"/>
    <x v="9"/>
    <x v="0"/>
    <s v="6432501"/>
    <n v="721830"/>
    <s v="Supplies-Office"/>
    <s v="Mission Control Center"/>
    <x v="0"/>
    <m/>
    <n v="0"/>
    <n v="0"/>
    <n v="0"/>
    <n v="0"/>
    <n v="0"/>
    <n v="0"/>
    <n v="0"/>
    <n v="0"/>
    <n v="0"/>
    <n v="0"/>
    <n v="0"/>
    <n v="514.66999999999996"/>
    <n v="514.66999999999996"/>
    <n v="-514.66999999999996"/>
  </r>
  <r>
    <x v="12"/>
    <x v="9"/>
    <x v="0"/>
    <s v="6432501"/>
    <n v="730010"/>
    <s v="Rental and Leases-Building (DO NOT USE)"/>
    <s v="Mission Control Center"/>
    <x v="0"/>
    <m/>
    <n v="0"/>
    <n v="0"/>
    <n v="0"/>
    <n v="0"/>
    <n v="0"/>
    <n v="0"/>
    <n v="0"/>
    <n v="0"/>
    <n v="20295.34"/>
    <n v="10147.67"/>
    <n v="10147.67"/>
    <n v="0"/>
    <n v="40590.68"/>
    <n v="10147.67"/>
  </r>
  <r>
    <x v="12"/>
    <x v="9"/>
    <x v="0"/>
    <s v="6432501"/>
    <n v="730010"/>
    <s v="Rental-Common Area Maint (DO NOT USE)"/>
    <s v="Mission Control Center"/>
    <x v="0"/>
    <n v="2200"/>
    <n v="0"/>
    <n v="0"/>
    <n v="0"/>
    <n v="0"/>
    <n v="0"/>
    <n v="0"/>
    <n v="0"/>
    <n v="0"/>
    <n v="8226.86"/>
    <n v="2608.5700000000002"/>
    <n v="0"/>
    <n v="0"/>
    <n v="10835.43"/>
    <n v="0"/>
  </r>
  <r>
    <x v="12"/>
    <x v="9"/>
    <x v="0"/>
    <s v="6432501"/>
    <n v="730040"/>
    <s v="LT Lease-Real Estate"/>
    <s v="Mission Control Center"/>
    <x v="0"/>
    <m/>
    <n v="0"/>
    <n v="0"/>
    <n v="0"/>
    <n v="0"/>
    <n v="0"/>
    <n v="0"/>
    <n v="0"/>
    <n v="0"/>
    <n v="0"/>
    <n v="0"/>
    <n v="0"/>
    <n v="10147.67"/>
    <n v="10147.67"/>
    <n v="-10147.67"/>
  </r>
  <r>
    <x v="0"/>
    <x v="9"/>
    <x v="0"/>
    <s v="6432501"/>
    <n v="749510"/>
    <s v="Miscellaneous Expenses"/>
    <s v="Mission Control Center"/>
    <x v="0"/>
    <m/>
    <n v="0"/>
    <n v="0"/>
    <n v="0"/>
    <n v="0"/>
    <n v="0"/>
    <n v="0"/>
    <n v="0"/>
    <n v="1694.13"/>
    <n v="0"/>
    <n v="0"/>
    <n v="0"/>
    <n v="308.13"/>
    <n v="2002.2600000000002"/>
    <n v="-308.13"/>
  </r>
  <r>
    <x v="5"/>
    <x v="9"/>
    <x v="0"/>
    <s v="6433501"/>
    <n v="700014"/>
    <s v="Salaries-Management-Productive"/>
    <s v="Post Acute"/>
    <x v="0"/>
    <m/>
    <n v="0"/>
    <n v="0"/>
    <n v="0"/>
    <n v="0"/>
    <n v="0"/>
    <n v="0"/>
    <n v="0"/>
    <n v="0"/>
    <n v="7630.58"/>
    <n v="10405.27"/>
    <n v="6070.14"/>
    <n v="10683.06"/>
    <n v="34789.049999999996"/>
    <n v="-4612.9199999999992"/>
  </r>
  <r>
    <x v="5"/>
    <x v="9"/>
    <x v="0"/>
    <s v="6433501"/>
    <n v="700054"/>
    <s v="Salaries-Management-Non-productive"/>
    <s v="Post Acute"/>
    <x v="0"/>
    <m/>
    <n v="0"/>
    <n v="0"/>
    <n v="0"/>
    <n v="0"/>
    <n v="0"/>
    <n v="0"/>
    <n v="0"/>
    <n v="0"/>
    <n v="0"/>
    <n v="0"/>
    <n v="4682.3100000000004"/>
    <n v="-277.3"/>
    <n v="4405.01"/>
    <n v="4959.6100000000006"/>
  </r>
  <r>
    <x v="5"/>
    <x v="9"/>
    <x v="0"/>
    <s v="6433501"/>
    <n v="700084"/>
    <s v="Accrued PTO"/>
    <s v="Post Acute"/>
    <x v="0"/>
    <m/>
    <n v="0"/>
    <n v="0"/>
    <n v="0"/>
    <n v="0"/>
    <n v="0"/>
    <n v="0"/>
    <n v="0"/>
    <n v="0"/>
    <n v="1379.49"/>
    <n v="1378.87"/>
    <n v="-1044.92"/>
    <n v="129.1"/>
    <n v="1842.5399999999995"/>
    <n v="-1174.02"/>
  </r>
  <r>
    <x v="6"/>
    <x v="9"/>
    <x v="0"/>
    <s v="6433501"/>
    <n v="713010"/>
    <s v="Benefits-FICA/Medicare"/>
    <s v="Post Acute"/>
    <x v="0"/>
    <m/>
    <n v="0"/>
    <n v="0"/>
    <n v="0"/>
    <n v="0"/>
    <n v="0"/>
    <n v="0"/>
    <n v="0"/>
    <n v="0"/>
    <n v="559.21"/>
    <n v="762.64"/>
    <n v="787.92"/>
    <n v="762.61"/>
    <n v="2872.38"/>
    <n v="25.309999999999945"/>
  </r>
  <r>
    <x v="6"/>
    <x v="9"/>
    <x v="0"/>
    <s v="6433501"/>
    <n v="713090"/>
    <s v="Benefits-Allocated Amounts"/>
    <s v="Post Acute"/>
    <x v="0"/>
    <m/>
    <n v="0"/>
    <n v="0"/>
    <n v="0"/>
    <n v="0"/>
    <n v="0"/>
    <n v="0"/>
    <n v="0"/>
    <n v="0"/>
    <n v="1148.0999999999999"/>
    <n v="1534.07"/>
    <n v="1544.03"/>
    <n v="1469.1"/>
    <n v="5695.2999999999993"/>
    <n v="74.930000000000064"/>
  </r>
  <r>
    <x v="11"/>
    <x v="9"/>
    <x v="0"/>
    <s v="6433501"/>
    <n v="721830"/>
    <s v="Supplies-Office"/>
    <s v="Post Acute"/>
    <x v="0"/>
    <m/>
    <n v="0"/>
    <n v="0"/>
    <n v="0"/>
    <n v="0"/>
    <n v="0"/>
    <n v="0"/>
    <n v="0"/>
    <n v="0"/>
    <n v="0"/>
    <n v="28.79"/>
    <n v="0"/>
    <n v="0"/>
    <n v="28.79"/>
    <n v="0"/>
  </r>
  <r>
    <x v="0"/>
    <x v="9"/>
    <x v="0"/>
    <s v="6433501"/>
    <n v="749510"/>
    <s v="Miscellaneous Expenses"/>
    <s v="Post Acute"/>
    <x v="0"/>
    <m/>
    <n v="0"/>
    <n v="0"/>
    <n v="0"/>
    <n v="0"/>
    <n v="0"/>
    <n v="0"/>
    <n v="0"/>
    <n v="0"/>
    <n v="0"/>
    <n v="79.28"/>
    <n v="-79.28"/>
    <n v="50.68"/>
    <n v="50.68"/>
    <n v="-129.96"/>
  </r>
  <r>
    <x v="0"/>
    <x v="9"/>
    <x v="0"/>
    <s v="6433501"/>
    <n v="749530"/>
    <s v="Travel"/>
    <s v="Post Acute"/>
    <x v="0"/>
    <m/>
    <n v="0"/>
    <n v="0"/>
    <n v="304.58999999999997"/>
    <n v="0"/>
    <n v="0"/>
    <n v="0"/>
    <n v="0"/>
    <n v="0"/>
    <n v="0"/>
    <n v="669.65"/>
    <n v="12"/>
    <n v="2"/>
    <n v="988.24"/>
    <n v="10"/>
  </r>
  <r>
    <x v="0"/>
    <x v="9"/>
    <x v="0"/>
    <s v="6433501"/>
    <n v="749530"/>
    <s v="Mileage"/>
    <s v="Post Acute"/>
    <x v="0"/>
    <n v="1001"/>
    <n v="0"/>
    <n v="0"/>
    <n v="0"/>
    <n v="0"/>
    <n v="0"/>
    <n v="0"/>
    <n v="0"/>
    <n v="0"/>
    <n v="0"/>
    <n v="42.34"/>
    <n v="67.28"/>
    <n v="59.74"/>
    <n v="169.36"/>
    <n v="7.5399999999999991"/>
  </r>
  <r>
    <x v="0"/>
    <x v="9"/>
    <x v="0"/>
    <s v="6433501"/>
    <n v="749535"/>
    <s v="Meetings"/>
    <s v="Post Acute"/>
    <x v="0"/>
    <m/>
    <n v="0"/>
    <n v="0"/>
    <n v="147.08000000000001"/>
    <n v="0"/>
    <n v="0"/>
    <n v="0"/>
    <n v="0"/>
    <n v="0"/>
    <n v="0"/>
    <n v="0"/>
    <n v="0"/>
    <n v="0"/>
    <n v="147.08000000000001"/>
    <n v="0"/>
  </r>
  <r>
    <x v="5"/>
    <x v="9"/>
    <x v="0"/>
    <s v="6434501"/>
    <n v="700014"/>
    <s v="Salaries-Management-Productive"/>
    <s v="Denials Management"/>
    <x v="0"/>
    <m/>
    <n v="6025.76"/>
    <n v="8717.68"/>
    <n v="8197.89"/>
    <n v="11110.49"/>
    <n v="9271.2000000000007"/>
    <n v="5814.46"/>
    <n v="8655.81"/>
    <n v="8970.26"/>
    <n v="9757.2000000000007"/>
    <n v="9001.49"/>
    <n v="9757.2000000000007"/>
    <n v="8561.2900000000009"/>
    <n v="103840.73000000001"/>
    <n v="1195.9099999999999"/>
  </r>
  <r>
    <x v="5"/>
    <x v="9"/>
    <x v="0"/>
    <s v="6434501"/>
    <n v="700026"/>
    <s v="Salaries-RN-Productive"/>
    <s v="Denials Management"/>
    <x v="0"/>
    <m/>
    <n v="47615.75"/>
    <n v="49221.279999999999"/>
    <n v="44611.96"/>
    <n v="64175.62"/>
    <n v="45197.02"/>
    <n v="53303.3"/>
    <n v="56029.21"/>
    <n v="42035.1"/>
    <n v="51879.199999999997"/>
    <n v="44517.81"/>
    <n v="53893.53"/>
    <n v="44522.400000000001"/>
    <n v="597002.18000000005"/>
    <n v="9371.1299999999974"/>
  </r>
  <r>
    <x v="5"/>
    <x v="9"/>
    <x v="0"/>
    <s v="6434501"/>
    <n v="700026"/>
    <s v="Salaries-RN-OT"/>
    <s v="Denials Management"/>
    <x v="0"/>
    <n v="1000"/>
    <n v="147.41"/>
    <n v="393.83"/>
    <n v="322.05"/>
    <n v="404.28"/>
    <n v="1421.15"/>
    <n v="-149.94999999999999"/>
    <n v="689.11"/>
    <n v="280.88"/>
    <n v="221.66"/>
    <n v="131.58000000000001"/>
    <n v="62.02"/>
    <n v="159.51"/>
    <n v="4083.5300000000007"/>
    <n v="-97.489999999999981"/>
  </r>
  <r>
    <x v="5"/>
    <x v="9"/>
    <x v="0"/>
    <s v="6434501"/>
    <n v="700026"/>
    <s v="Salaries-RN-Other"/>
    <s v="Denials Management"/>
    <x v="0"/>
    <n v="2000"/>
    <n v="51.73"/>
    <n v="63.69"/>
    <n v="9.77"/>
    <n v="27.9"/>
    <n v="85.39"/>
    <n v="263.14999999999998"/>
    <n v="190.63"/>
    <n v="140.86000000000001"/>
    <n v="40.07"/>
    <n v="-17.04"/>
    <n v="5.31"/>
    <n v="0"/>
    <n v="861.46"/>
    <n v="5.31"/>
  </r>
  <r>
    <x v="5"/>
    <x v="9"/>
    <x v="0"/>
    <s v="6434501"/>
    <n v="700038"/>
    <s v="Salaries-Service/Support-Productive"/>
    <s v="Denials Management"/>
    <x v="0"/>
    <m/>
    <n v="2771.38"/>
    <n v="2162.79"/>
    <n v="2340.42"/>
    <n v="2843.93"/>
    <n v="2487"/>
    <n v="2202.2399999999998"/>
    <n v="2595.02"/>
    <n v="2251.21"/>
    <n v="2699.88"/>
    <n v="2353.9"/>
    <n v="2640.08"/>
    <n v="2560.6799999999998"/>
    <n v="29908.53"/>
    <n v="79.400000000000091"/>
  </r>
  <r>
    <x v="5"/>
    <x v="9"/>
    <x v="0"/>
    <s v="6434501"/>
    <n v="700038"/>
    <s v="Salaries-Service/Support-OT"/>
    <s v="Denials Management"/>
    <x v="0"/>
    <n v="1000"/>
    <n v="22.96"/>
    <n v="0"/>
    <n v="5.74"/>
    <n v="0"/>
    <n v="17.670000000000002"/>
    <n v="163.16"/>
    <n v="191.66"/>
    <n v="-32.42"/>
    <n v="29.5"/>
    <n v="39.6"/>
    <n v="3.38"/>
    <n v="36.22"/>
    <n v="477.47"/>
    <n v="-32.839999999999996"/>
  </r>
  <r>
    <x v="5"/>
    <x v="9"/>
    <x v="0"/>
    <s v="6434501"/>
    <n v="700054"/>
    <s v="Salaries-Management-Non-productive"/>
    <s v="Denials Management"/>
    <x v="0"/>
    <m/>
    <n v="3456.32"/>
    <n v="764.84"/>
    <n v="978.87"/>
    <n v="1082.02"/>
    <n v="157.13"/>
    <n v="3928.45"/>
    <n v="1102.31"/>
    <n v="-157.35"/>
    <n v="0"/>
    <n v="440.65"/>
    <n v="0"/>
    <n v="881.3"/>
    <n v="12634.539999999997"/>
    <n v="-881.3"/>
  </r>
  <r>
    <x v="5"/>
    <x v="9"/>
    <x v="0"/>
    <s v="6434501"/>
    <n v="700066"/>
    <s v="Salaries-RN-Non-productive"/>
    <s v="Denials Management"/>
    <x v="0"/>
    <m/>
    <n v="7027.7"/>
    <n v="5424.26"/>
    <n v="13743.9"/>
    <n v="-133.44"/>
    <n v="16579.78"/>
    <n v="10563.25"/>
    <n v="7937.23"/>
    <n v="10259.81"/>
    <n v="1864.9"/>
    <n v="7588.78"/>
    <n v="1556.14"/>
    <n v="10193.52"/>
    <n v="92605.829999999987"/>
    <n v="-8637.380000000001"/>
  </r>
  <r>
    <x v="5"/>
    <x v="9"/>
    <x v="0"/>
    <s v="6434501"/>
    <n v="700066"/>
    <s v="Salaries-RN-NonProd-Other"/>
    <s v="Denials Management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434501"/>
    <n v="700078"/>
    <s v="Salaries-Service/Support-Non-productive"/>
    <s v="Denials Management"/>
    <x v="0"/>
    <m/>
    <n v="0"/>
    <n v="563.9"/>
    <n v="279.77999999999997"/>
    <n v="-78.680000000000007"/>
    <n v="242.21"/>
    <n v="565.19000000000005"/>
    <n v="197.77"/>
    <n v="296.48"/>
    <n v="80.88"/>
    <n v="341.39"/>
    <n v="152.75"/>
    <n v="134.79"/>
    <n v="2776.46"/>
    <n v="17.960000000000008"/>
  </r>
  <r>
    <x v="5"/>
    <x v="9"/>
    <x v="0"/>
    <s v="6434501"/>
    <n v="700084"/>
    <s v="Accrued PTO"/>
    <s v="Denials Management"/>
    <x v="0"/>
    <m/>
    <n v="585.22"/>
    <n v="2738.53"/>
    <n v="-2438.75"/>
    <n v="7679.18"/>
    <n v="-3270.88"/>
    <n v="-2425.8000000000002"/>
    <n v="1595.41"/>
    <n v="-2547.6"/>
    <n v="6421.73"/>
    <n v="2731.56"/>
    <n v="5399.58"/>
    <n v="747.63"/>
    <n v="17215.810000000001"/>
    <n v="4651.95"/>
  </r>
  <r>
    <x v="6"/>
    <x v="9"/>
    <x v="0"/>
    <s v="6434501"/>
    <n v="713010"/>
    <s v="Benefits-FICA/Medicare"/>
    <s v="Denials Management"/>
    <x v="0"/>
    <m/>
    <n v="5010.1400000000003"/>
    <n v="5024.8999999999996"/>
    <n v="5272.17"/>
    <n v="5952.13"/>
    <n v="5609.81"/>
    <n v="6014.68"/>
    <n v="5749.44"/>
    <n v="4797.3"/>
    <n v="4949.54"/>
    <n v="4792.07"/>
    <n v="5068.3500000000004"/>
    <n v="5246.56"/>
    <n v="63487.090000000004"/>
    <n v="-178.21000000000004"/>
  </r>
  <r>
    <x v="6"/>
    <x v="9"/>
    <x v="0"/>
    <s v="6434501"/>
    <n v="713090"/>
    <s v="Benefits-Allocated Amounts"/>
    <s v="Denials Management"/>
    <x v="0"/>
    <m/>
    <n v="10874.37"/>
    <n v="10128.16"/>
    <n v="11222.82"/>
    <n v="11827.34"/>
    <n v="10610.29"/>
    <n v="12173.4"/>
    <n v="12927.97"/>
    <n v="11109.63"/>
    <n v="12682.56"/>
    <n v="11299.05"/>
    <n v="11721.8"/>
    <n v="11419.11"/>
    <n v="137996.5"/>
    <n v="302.68999999999869"/>
  </r>
  <r>
    <x v="17"/>
    <x v="9"/>
    <x v="0"/>
    <s v="6434501"/>
    <n v="714510"/>
    <s v="Medical Director Fees"/>
    <s v="Denials Management"/>
    <x v="0"/>
    <m/>
    <n v="0"/>
    <n v="0"/>
    <n v="0"/>
    <n v="0"/>
    <n v="0"/>
    <n v="0"/>
    <n v="206966.62"/>
    <n v="0"/>
    <n v="103483.32"/>
    <n v="44350"/>
    <n v="116911"/>
    <n v="83850"/>
    <n v="555560.93999999994"/>
    <n v="33061"/>
  </r>
  <r>
    <x v="7"/>
    <x v="9"/>
    <x v="0"/>
    <s v="6434501"/>
    <n v="718050"/>
    <s v="Contract Svcs-Other"/>
    <s v="Denials Management"/>
    <x v="0"/>
    <m/>
    <n v="0"/>
    <n v="0"/>
    <n v="0"/>
    <n v="0"/>
    <n v="0"/>
    <n v="0"/>
    <n v="0"/>
    <n v="0"/>
    <n v="0"/>
    <n v="0"/>
    <n v="0"/>
    <n v="1514.28"/>
    <n v="1514.28"/>
    <n v="-1514.28"/>
  </r>
  <r>
    <x v="11"/>
    <x v="9"/>
    <x v="0"/>
    <s v="6434501"/>
    <n v="721810"/>
    <s v="Supplies-Dietary/Cafeteria"/>
    <s v="Denials Management"/>
    <x v="0"/>
    <m/>
    <n v="0"/>
    <n v="0"/>
    <n v="0"/>
    <n v="33.32"/>
    <n v="95.75"/>
    <n v="9.98"/>
    <n v="0"/>
    <n v="0"/>
    <n v="0"/>
    <n v="138.72"/>
    <n v="0"/>
    <n v="0"/>
    <n v="277.77"/>
    <n v="0"/>
  </r>
  <r>
    <x v="11"/>
    <x v="9"/>
    <x v="0"/>
    <s v="6434501"/>
    <n v="721830"/>
    <s v="Supplies-Office"/>
    <s v="Denials Management"/>
    <x v="0"/>
    <m/>
    <n v="35.01"/>
    <n v="0"/>
    <n v="0"/>
    <n v="0"/>
    <n v="211.03"/>
    <n v="0"/>
    <n v="0"/>
    <n v="59.83"/>
    <n v="0"/>
    <n v="57.47"/>
    <n v="91.14"/>
    <n v="92.87"/>
    <n v="547.35"/>
    <n v="-1.730000000000004"/>
  </r>
  <r>
    <x v="11"/>
    <x v="9"/>
    <x v="0"/>
    <s v="6434501"/>
    <n v="721910"/>
    <s v="Supplies-Small Equipment"/>
    <s v="Denials Management"/>
    <x v="0"/>
    <m/>
    <n v="0"/>
    <n v="0"/>
    <n v="0"/>
    <n v="0"/>
    <n v="0"/>
    <n v="0"/>
    <n v="0"/>
    <n v="0"/>
    <n v="0"/>
    <n v="0"/>
    <n v="0"/>
    <n v="1582.74"/>
    <n v="1582.74"/>
    <n v="-1582.74"/>
  </r>
  <r>
    <x v="12"/>
    <x v="9"/>
    <x v="0"/>
    <s v="6434501"/>
    <n v="730020"/>
    <s v="Rental and Leases-Copier Usage Fees (DO NOT USE)"/>
    <s v="Denials Management"/>
    <x v="0"/>
    <n v="5100"/>
    <n v="0"/>
    <n v="0"/>
    <n v="0"/>
    <n v="0"/>
    <n v="0"/>
    <n v="0"/>
    <n v="0"/>
    <n v="0"/>
    <n v="0"/>
    <n v="0"/>
    <n v="0"/>
    <n v="57.72"/>
    <n v="57.72"/>
    <n v="-57.72"/>
  </r>
  <r>
    <x v="15"/>
    <x v="9"/>
    <x v="0"/>
    <s v="6434501"/>
    <n v="731060"/>
    <s v="Telephone"/>
    <s v="Denials Management"/>
    <x v="0"/>
    <m/>
    <n v="0"/>
    <n v="0"/>
    <n v="0"/>
    <n v="0"/>
    <n v="0"/>
    <n v="0"/>
    <n v="0"/>
    <n v="0"/>
    <n v="0"/>
    <n v="0"/>
    <n v="875"/>
    <n v="78.75"/>
    <n v="953.75"/>
    <n v="796.25"/>
  </r>
  <r>
    <x v="16"/>
    <x v="9"/>
    <x v="0"/>
    <s v="6434501"/>
    <n v="732030"/>
    <s v="Repairs---Other"/>
    <s v="Denials Management"/>
    <x v="0"/>
    <m/>
    <n v="0"/>
    <n v="0"/>
    <n v="0"/>
    <n v="0"/>
    <n v="0"/>
    <n v="0"/>
    <n v="0"/>
    <n v="0"/>
    <n v="0"/>
    <n v="0"/>
    <n v="0"/>
    <n v="4640"/>
    <n v="4640"/>
    <n v="-4640"/>
  </r>
  <r>
    <x v="0"/>
    <x v="9"/>
    <x v="0"/>
    <s v="6434501"/>
    <n v="742020"/>
    <s v="Postage-Express Services"/>
    <s v="Denials Management"/>
    <x v="0"/>
    <m/>
    <n v="0"/>
    <n v="0"/>
    <n v="0"/>
    <n v="26.96"/>
    <n v="0"/>
    <n v="0"/>
    <n v="0"/>
    <n v="0"/>
    <n v="0"/>
    <n v="0"/>
    <n v="0"/>
    <n v="0"/>
    <n v="26.96"/>
    <n v="0"/>
  </r>
  <r>
    <x v="0"/>
    <x v="9"/>
    <x v="0"/>
    <s v="6434501"/>
    <n v="749510"/>
    <s v="Miscellaneous Expenses"/>
    <s v="Denials Management"/>
    <x v="0"/>
    <m/>
    <n v="-22.35"/>
    <n v="0"/>
    <n v="0"/>
    <n v="145"/>
    <n v="64.319999999999993"/>
    <n v="-165.16"/>
    <n v="8.0399999999999991"/>
    <n v="74.819999999999993"/>
    <n v="-127.02"/>
    <n v="81.2"/>
    <n v="172.6"/>
    <n v="226.6"/>
    <n v="458.04999999999995"/>
    <n v="-54"/>
  </r>
  <r>
    <x v="0"/>
    <x v="9"/>
    <x v="0"/>
    <s v="6434501"/>
    <n v="749510"/>
    <s v="RICE Rewards"/>
    <s v="Denials Management"/>
    <x v="0"/>
    <n v="5100"/>
    <n v="0"/>
    <n v="0"/>
    <n v="0"/>
    <n v="0"/>
    <n v="0"/>
    <n v="0"/>
    <n v="0"/>
    <n v="0"/>
    <n v="0"/>
    <n v="0"/>
    <n v="0"/>
    <n v="368.9"/>
    <n v="368.9"/>
    <n v="-368.9"/>
  </r>
  <r>
    <x v="0"/>
    <x v="9"/>
    <x v="0"/>
    <s v="6434501"/>
    <n v="749530"/>
    <s v="Travel"/>
    <s v="Denials Management"/>
    <x v="0"/>
    <m/>
    <n v="8.35"/>
    <n v="365.08"/>
    <n v="0"/>
    <n v="0"/>
    <n v="0"/>
    <n v="0"/>
    <n v="168.94"/>
    <n v="17"/>
    <n v="0"/>
    <n v="0"/>
    <n v="0"/>
    <n v="8.8000000000000007"/>
    <n v="568.16999999999996"/>
    <n v="-8.8000000000000007"/>
  </r>
  <r>
    <x v="0"/>
    <x v="9"/>
    <x v="0"/>
    <s v="6434501"/>
    <n v="749530"/>
    <s v="Mileage"/>
    <s v="Denials Management"/>
    <x v="0"/>
    <n v="1001"/>
    <n v="68.14"/>
    <n v="38.159999999999997"/>
    <n v="63.23"/>
    <n v="50.69"/>
    <n v="18.53"/>
    <n v="209.32"/>
    <n v="63.24"/>
    <n v="20.88"/>
    <n v="127.02"/>
    <n v="0"/>
    <n v="121.8"/>
    <n v="81.78"/>
    <n v="862.79"/>
    <n v="40.019999999999996"/>
  </r>
  <r>
    <x v="11"/>
    <x v="5"/>
    <x v="0"/>
    <s v="6435106"/>
    <n v="721830"/>
    <s v="Supplies-Office"/>
    <s v="Case Management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6435106"/>
    <n v="721910"/>
    <s v="Supplies-Small Equipment"/>
    <s v="Case Management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6435106"/>
    <n v="722000"/>
    <s v="Supplies-Freight Expense"/>
    <s v="Case Management"/>
    <x v="0"/>
    <m/>
    <n v="0"/>
    <n v="0"/>
    <n v="0"/>
    <n v="0"/>
    <n v="0"/>
    <n v="0"/>
    <n v="0"/>
    <n v="0"/>
    <n v="0"/>
    <n v="0"/>
    <n v="0"/>
    <n v="0"/>
    <n v="0"/>
    <n v="0"/>
  </r>
  <r>
    <x v="15"/>
    <x v="5"/>
    <x v="0"/>
    <s v="6435106"/>
    <n v="731060"/>
    <s v="Cell Phones"/>
    <s v="Case Management"/>
    <x v="0"/>
    <n v="1001"/>
    <n v="0"/>
    <n v="0"/>
    <n v="0"/>
    <n v="0"/>
    <n v="0"/>
    <n v="0"/>
    <n v="0"/>
    <n v="0"/>
    <n v="0"/>
    <n v="0"/>
    <n v="0"/>
    <n v="0"/>
    <n v="0"/>
    <n v="0"/>
  </r>
  <r>
    <x v="7"/>
    <x v="6"/>
    <x v="0"/>
    <s v="6435107"/>
    <n v="718050"/>
    <s v="Contract Svcs-Other"/>
    <s v="Case Management"/>
    <x v="0"/>
    <m/>
    <n v="0"/>
    <n v="0"/>
    <n v="0"/>
    <n v="0"/>
    <n v="502.32"/>
    <n v="0"/>
    <n v="0"/>
    <n v="0"/>
    <n v="0"/>
    <n v="0"/>
    <n v="0"/>
    <n v="0"/>
    <n v="502.32"/>
    <n v="0"/>
  </r>
  <r>
    <x v="7"/>
    <x v="6"/>
    <x v="0"/>
    <s v="6435107"/>
    <n v="718050"/>
    <s v="Miscellaneous Purchased Svcs"/>
    <s v="Case Management"/>
    <x v="0"/>
    <n v="1020"/>
    <n v="0"/>
    <n v="0"/>
    <n v="0"/>
    <n v="416.38"/>
    <n v="0"/>
    <n v="0"/>
    <n v="0"/>
    <n v="0"/>
    <n v="0"/>
    <n v="0"/>
    <n v="0"/>
    <n v="0"/>
    <n v="416.38"/>
    <n v="0"/>
  </r>
  <r>
    <x v="11"/>
    <x v="6"/>
    <x v="0"/>
    <s v="6435107"/>
    <n v="721010"/>
    <s v="Supplies-Medical - Billable"/>
    <s v="Case Management"/>
    <x v="0"/>
    <m/>
    <n v="0"/>
    <n v="18.25"/>
    <n v="0"/>
    <n v="0"/>
    <n v="0"/>
    <n v="0"/>
    <n v="0"/>
    <n v="0"/>
    <n v="0"/>
    <n v="0"/>
    <n v="0"/>
    <n v="0"/>
    <n v="18.25"/>
    <n v="0"/>
  </r>
  <r>
    <x v="11"/>
    <x v="6"/>
    <x v="0"/>
    <s v="6435107"/>
    <n v="721830"/>
    <s v="Supplies-Office"/>
    <s v="Case Management"/>
    <x v="0"/>
    <m/>
    <n v="168.74"/>
    <n v="559.6"/>
    <n v="195.4"/>
    <n v="220.1"/>
    <n v="358.01"/>
    <n v="226.03"/>
    <n v="316.45999999999998"/>
    <n v="192.73"/>
    <n v="192.22"/>
    <n v="246.47"/>
    <n v="200.06"/>
    <n v="170.15"/>
    <n v="3045.9699999999993"/>
    <n v="29.909999999999997"/>
  </r>
  <r>
    <x v="11"/>
    <x v="6"/>
    <x v="0"/>
    <s v="6435107"/>
    <n v="721835"/>
    <s v="Supplies-Forms"/>
    <s v="Case Management"/>
    <x v="0"/>
    <m/>
    <n v="0"/>
    <n v="0"/>
    <n v="0"/>
    <n v="0"/>
    <n v="0"/>
    <n v="24"/>
    <n v="0"/>
    <n v="0"/>
    <n v="0"/>
    <n v="0"/>
    <n v="0"/>
    <n v="0"/>
    <n v="24"/>
    <n v="0"/>
  </r>
  <r>
    <x v="11"/>
    <x v="6"/>
    <x v="0"/>
    <s v="6435107"/>
    <n v="722000"/>
    <s v="Supplies-Freight Expense"/>
    <s v="Case Management"/>
    <x v="0"/>
    <m/>
    <n v="0"/>
    <n v="0"/>
    <n v="0"/>
    <n v="0"/>
    <n v="0"/>
    <n v="0"/>
    <n v="20.190000000000001"/>
    <n v="0"/>
    <n v="0"/>
    <n v="0"/>
    <n v="0"/>
    <n v="0"/>
    <n v="20.190000000000001"/>
    <n v="0"/>
  </r>
  <r>
    <x v="12"/>
    <x v="6"/>
    <x v="0"/>
    <s v="6435107"/>
    <n v="730020"/>
    <s v="Rental and Leases-Copier Usage Fees (DO NOT USE)"/>
    <s v="Case Management"/>
    <x v="0"/>
    <n v="5100"/>
    <n v="940.63"/>
    <n v="925.92"/>
    <n v="933.27"/>
    <n v="933.27"/>
    <n v="933.27"/>
    <n v="933.27"/>
    <n v="471.13"/>
    <n v="385.38"/>
    <n v="384.57"/>
    <n v="2352.4699999999998"/>
    <n v="385.38"/>
    <n v="432.86"/>
    <n v="10011.419999999998"/>
    <n v="-47.480000000000018"/>
  </r>
  <r>
    <x v="15"/>
    <x v="6"/>
    <x v="0"/>
    <s v="6435107"/>
    <n v="731060"/>
    <s v="Telephone"/>
    <s v="Case Management"/>
    <x v="0"/>
    <m/>
    <n v="0"/>
    <n v="0"/>
    <n v="0"/>
    <n v="0"/>
    <n v="0"/>
    <n v="0"/>
    <n v="0"/>
    <n v="0"/>
    <n v="42.51"/>
    <n v="0"/>
    <n v="0"/>
    <n v="0"/>
    <n v="42.51"/>
    <n v="0"/>
  </r>
  <r>
    <x v="16"/>
    <x v="6"/>
    <x v="0"/>
    <s v="6435107"/>
    <n v="732030"/>
    <s v="Repairs---Other"/>
    <s v="Case Management"/>
    <x v="0"/>
    <m/>
    <n v="0"/>
    <n v="0"/>
    <n v="0"/>
    <n v="0"/>
    <n v="0"/>
    <n v="0"/>
    <n v="0"/>
    <n v="204.38"/>
    <n v="0"/>
    <n v="0"/>
    <n v="0"/>
    <n v="0"/>
    <n v="204.38"/>
    <n v="0"/>
  </r>
  <r>
    <x v="5"/>
    <x v="10"/>
    <x v="0"/>
    <s v="6435306"/>
    <n v="700014"/>
    <s v="Salaries-Management-Productive"/>
    <s v="Case Management"/>
    <x v="0"/>
    <m/>
    <n v="7612.81"/>
    <n v="7973.25"/>
    <n v="5195.59"/>
    <n v="463.07"/>
    <n v="10342.94"/>
    <n v="7156.56"/>
    <n v="6889.59"/>
    <n v="6815.42"/>
    <n v="7211.47"/>
    <n v="8113.39"/>
    <n v="8005.48"/>
    <n v="6977.85"/>
    <n v="82757.42"/>
    <n v="1027.6299999999992"/>
  </r>
  <r>
    <x v="5"/>
    <x v="10"/>
    <x v="0"/>
    <s v="6435306"/>
    <n v="700014"/>
    <s v="Salaries-Management-Other"/>
    <s v="Case Management"/>
    <x v="0"/>
    <n v="2000"/>
    <n v="0"/>
    <n v="0"/>
    <n v="0"/>
    <n v="0"/>
    <n v="0"/>
    <n v="0"/>
    <n v="205.72"/>
    <n v="0"/>
    <n v="-102.86"/>
    <n v="0"/>
    <n v="0"/>
    <n v="0"/>
    <n v="102.86"/>
    <n v="0"/>
  </r>
  <r>
    <x v="5"/>
    <x v="10"/>
    <x v="0"/>
    <s v="6435306"/>
    <n v="700032"/>
    <s v="Salaries-Other Pat Care Providers-Productive"/>
    <s v="Case Management"/>
    <x v="0"/>
    <m/>
    <n v="10049.1"/>
    <n v="9857.7099999999991"/>
    <n v="10246.68"/>
    <n v="12459.51"/>
    <n v="10372.98"/>
    <n v="8847.33"/>
    <n v="10783.64"/>
    <n v="10441.719999999999"/>
    <n v="12670.75"/>
    <n v="10880.26"/>
    <n v="10496.08"/>
    <n v="9957.07"/>
    <n v="127062.82999999999"/>
    <n v="539.01000000000022"/>
  </r>
  <r>
    <x v="5"/>
    <x v="10"/>
    <x v="0"/>
    <s v="6435306"/>
    <n v="700032"/>
    <s v="Salaries-Other Pat Care Providers-OT"/>
    <s v="Case Management"/>
    <x v="0"/>
    <n v="1000"/>
    <n v="90.91"/>
    <n v="81.06"/>
    <n v="96.62"/>
    <n v="110.64"/>
    <n v="51.79"/>
    <n v="63.54"/>
    <n v="68.790000000000006"/>
    <n v="333.29"/>
    <n v="158.49"/>
    <n v="82.46"/>
    <n v="288.58"/>
    <n v="-20.32"/>
    <n v="1405.8500000000001"/>
    <n v="308.89999999999998"/>
  </r>
  <r>
    <x v="5"/>
    <x v="10"/>
    <x v="0"/>
    <s v="6435306"/>
    <n v="700032"/>
    <s v="Salaries-Other Pat Care Providers-Other"/>
    <s v="Case Management"/>
    <x v="0"/>
    <n v="2000"/>
    <n v="709.02"/>
    <n v="104.14"/>
    <n v="-15.25"/>
    <n v="151.57"/>
    <n v="-25.77"/>
    <n v="105.23"/>
    <n v="-5.41"/>
    <n v="0"/>
    <n v="479.43"/>
    <n v="-150.6"/>
    <n v="157.86000000000001"/>
    <n v="0"/>
    <n v="1510.2200000000003"/>
    <n v="157.86000000000001"/>
  </r>
  <r>
    <x v="5"/>
    <x v="10"/>
    <x v="0"/>
    <s v="6435306"/>
    <n v="700034"/>
    <s v="Salaries-Tech/Professional-Productive"/>
    <s v="Case Management"/>
    <x v="0"/>
    <m/>
    <n v="3454.91"/>
    <n v="3665.86"/>
    <n v="3174.1"/>
    <n v="3671.74"/>
    <n v="3577.59"/>
    <n v="3203.13"/>
    <n v="2722.97"/>
    <n v="3158.31"/>
    <n v="3828.26"/>
    <n v="3582.72"/>
    <n v="3418.48"/>
    <n v="3292.96"/>
    <n v="40751.030000000006"/>
    <n v="125.51999999999998"/>
  </r>
  <r>
    <x v="5"/>
    <x v="10"/>
    <x v="0"/>
    <s v="6435306"/>
    <n v="700034"/>
    <s v="Salaries-Tech/Professional-Other"/>
    <s v="Case Management"/>
    <x v="0"/>
    <n v="2000"/>
    <n v="62.97"/>
    <n v="25.29"/>
    <n v="88.06"/>
    <n v="-11.87"/>
    <n v="130.5"/>
    <n v="93.97"/>
    <n v="94.92"/>
    <n v="186.16"/>
    <n v="-23.36"/>
    <n v="38.51"/>
    <n v="64.900000000000006"/>
    <n v="564.59"/>
    <n v="1314.6399999999999"/>
    <n v="-499.69000000000005"/>
  </r>
  <r>
    <x v="5"/>
    <x v="10"/>
    <x v="0"/>
    <s v="6435306"/>
    <n v="700054"/>
    <s v="Salaries-Management-Non-productive"/>
    <s v="Case Management"/>
    <x v="0"/>
    <m/>
    <n v="360.08"/>
    <n v="0"/>
    <n v="2520.56"/>
    <n v="7831.61"/>
    <n v="-2241.4499999999998"/>
    <n v="1215.26"/>
    <n v="2866.89"/>
    <n v="757.28"/>
    <n v="486.87"/>
    <n v="0"/>
    <n v="378.64"/>
    <n v="1135.9100000000001"/>
    <n v="15311.65"/>
    <n v="-757.2700000000001"/>
  </r>
  <r>
    <x v="5"/>
    <x v="10"/>
    <x v="0"/>
    <s v="6435306"/>
    <n v="700072"/>
    <s v="Salaries-Other Pat Care Providers-Non-productive"/>
    <s v="Case Management"/>
    <x v="0"/>
    <m/>
    <n v="607.36"/>
    <n v="95.08"/>
    <n v="237.72"/>
    <n v="0"/>
    <n v="650.66"/>
    <n v="2870.48"/>
    <n v="575.86"/>
    <n v="477.69"/>
    <n v="1795.7"/>
    <n v="-393.3"/>
    <n v="2346.86"/>
    <n v="1283.53"/>
    <n v="10547.64"/>
    <n v="1063.3300000000002"/>
  </r>
  <r>
    <x v="5"/>
    <x v="10"/>
    <x v="0"/>
    <s v="6435306"/>
    <n v="700074"/>
    <s v="Salaries-Tech/Professional-Non-productive"/>
    <s v="Case Management"/>
    <x v="0"/>
    <m/>
    <n v="540.38"/>
    <n v="102.93"/>
    <n v="548.96"/>
    <n v="0"/>
    <n v="823.96"/>
    <n v="984.73"/>
    <n v="443.02"/>
    <n v="1290.57"/>
    <n v="-339.58"/>
    <n v="281.77"/>
    <n v="657.86"/>
    <n v="623.91"/>
    <n v="5958.5099999999993"/>
    <n v="33.950000000000045"/>
  </r>
  <r>
    <x v="5"/>
    <x v="10"/>
    <x v="0"/>
    <s v="6435306"/>
    <n v="700084"/>
    <s v="Accrued PTO"/>
    <s v="Case Management"/>
    <x v="0"/>
    <m/>
    <n v="653.6"/>
    <n v="2135.83"/>
    <n v="-739.81"/>
    <n v="-1712.88"/>
    <n v="1122.8599999999999"/>
    <n v="-1312.46"/>
    <n v="-1344.67"/>
    <n v="805.37"/>
    <n v="718.28"/>
    <n v="2185.96"/>
    <n v="264.04000000000002"/>
    <n v="1011.36"/>
    <n v="3787.4799999999996"/>
    <n v="-747.31999999999994"/>
  </r>
  <r>
    <x v="6"/>
    <x v="10"/>
    <x v="0"/>
    <s v="6435306"/>
    <n v="713010"/>
    <s v="Benefits-FICA/Medicare"/>
    <s v="Case Management"/>
    <x v="0"/>
    <m/>
    <n v="1754.23"/>
    <n v="1634.13"/>
    <n v="1647.99"/>
    <n v="1842.99"/>
    <n v="1777.58"/>
    <n v="1832.4"/>
    <n v="1820.82"/>
    <n v="1741.17"/>
    <n v="1942.29"/>
    <n v="1659.25"/>
    <n v="1915.58"/>
    <n v="1767.43"/>
    <n v="21335.86"/>
    <n v="148.14999999999986"/>
  </r>
  <r>
    <x v="6"/>
    <x v="10"/>
    <x v="0"/>
    <s v="6435306"/>
    <n v="713090"/>
    <s v="Benefits-Allocated Amounts"/>
    <s v="Case Management"/>
    <x v="0"/>
    <m/>
    <n v="3063.39"/>
    <n v="3598.94"/>
    <n v="3461.3"/>
    <n v="3139.45"/>
    <n v="3424.13"/>
    <n v="3938.84"/>
    <n v="3276.65"/>
    <n v="3114.02"/>
    <n v="4037.88"/>
    <n v="3299.03"/>
    <n v="3521.32"/>
    <n v="3800.09"/>
    <n v="41675.040000000008"/>
    <n v="-278.77"/>
  </r>
  <r>
    <x v="11"/>
    <x v="10"/>
    <x v="0"/>
    <s v="6435306"/>
    <n v="721830"/>
    <s v="Supplies-Office"/>
    <s v="Case Management"/>
    <x v="0"/>
    <m/>
    <n v="0"/>
    <n v="0"/>
    <n v="0"/>
    <n v="0"/>
    <n v="0"/>
    <n v="0"/>
    <n v="0"/>
    <n v="25.77"/>
    <n v="0"/>
    <n v="0"/>
    <n v="0"/>
    <n v="0"/>
    <n v="25.77"/>
    <n v="0"/>
  </r>
  <r>
    <x v="11"/>
    <x v="10"/>
    <x v="0"/>
    <s v="6435306"/>
    <n v="721980"/>
    <s v="Supplies-Other"/>
    <s v="Case Management"/>
    <x v="0"/>
    <m/>
    <n v="0"/>
    <n v="0"/>
    <n v="28.77"/>
    <n v="0"/>
    <n v="0"/>
    <n v="0"/>
    <n v="28.77"/>
    <n v="0"/>
    <n v="0"/>
    <n v="0"/>
    <n v="0"/>
    <n v="0"/>
    <n v="57.54"/>
    <n v="0"/>
  </r>
  <r>
    <x v="12"/>
    <x v="10"/>
    <x v="0"/>
    <s v="6435306"/>
    <n v="730020"/>
    <s v="Rental and Leases-Copier Usage Fees (DO NOT USE)"/>
    <s v="Case Management"/>
    <x v="0"/>
    <n v="5100"/>
    <n v="53.74"/>
    <n v="55.36"/>
    <n v="54.55"/>
    <n v="54.55"/>
    <n v="54.55"/>
    <n v="54.55"/>
    <n v="-189.16"/>
    <n v="35.64"/>
    <n v="35.56"/>
    <n v="35.72"/>
    <n v="141.15"/>
    <n v="52.75"/>
    <n v="438.96000000000004"/>
    <n v="88.4"/>
  </r>
  <r>
    <x v="15"/>
    <x v="10"/>
    <x v="0"/>
    <s v="6435306"/>
    <n v="731060"/>
    <s v="Pagers"/>
    <s v="Case Management"/>
    <x v="0"/>
    <n v="1002"/>
    <n v="7.99"/>
    <n v="7.99"/>
    <n v="7.99"/>
    <n v="8.02"/>
    <n v="8.02"/>
    <n v="0"/>
    <n v="16.04"/>
    <n v="8.02"/>
    <n v="8.02"/>
    <n v="8.01"/>
    <n v="8.01"/>
    <n v="8.01"/>
    <n v="96.12"/>
    <n v="0"/>
  </r>
  <r>
    <x v="0"/>
    <x v="10"/>
    <x v="0"/>
    <s v="6435306"/>
    <n v="740020"/>
    <s v="Education-Registration Fees"/>
    <s v="Case Management"/>
    <x v="0"/>
    <m/>
    <n v="0"/>
    <n v="0"/>
    <n v="0"/>
    <n v="0"/>
    <n v="0"/>
    <n v="0"/>
    <n v="0"/>
    <n v="0"/>
    <n v="0"/>
    <n v="0"/>
    <n v="0"/>
    <n v="0"/>
    <n v="0"/>
    <n v="0"/>
  </r>
  <r>
    <x v="0"/>
    <x v="10"/>
    <x v="0"/>
    <s v="6435306"/>
    <n v="749510"/>
    <s v="Miscellaneous Expenses"/>
    <s v="Case Management"/>
    <x v="0"/>
    <m/>
    <n v="0"/>
    <n v="29.98"/>
    <n v="0"/>
    <n v="-29.98"/>
    <n v="0"/>
    <n v="0"/>
    <n v="0"/>
    <n v="0"/>
    <n v="0"/>
    <n v="0"/>
    <n v="0"/>
    <n v="0"/>
    <n v="0"/>
    <n v="0"/>
  </r>
  <r>
    <x v="0"/>
    <x v="10"/>
    <x v="0"/>
    <s v="6435306"/>
    <n v="749530"/>
    <s v="Mileage"/>
    <s v="Case Management"/>
    <x v="0"/>
    <n v="1001"/>
    <n v="0"/>
    <n v="0"/>
    <n v="0"/>
    <n v="29.98"/>
    <n v="0"/>
    <n v="69.760000000000005"/>
    <n v="0"/>
    <n v="0"/>
    <n v="0"/>
    <n v="0"/>
    <n v="0"/>
    <n v="0"/>
    <n v="99.740000000000009"/>
    <n v="0"/>
  </r>
  <r>
    <x v="5"/>
    <x v="9"/>
    <x v="0"/>
    <s v="6435501"/>
    <n v="700014"/>
    <s v="Salaries-Management-Productive"/>
    <s v="Care Management-Admin"/>
    <x v="0"/>
    <m/>
    <n v="7452.01"/>
    <n v="9552.57"/>
    <n v="9891.4599999999991"/>
    <n v="10691.1"/>
    <n v="9454.91"/>
    <n v="6130.39"/>
    <n v="10475.6"/>
    <n v="8393.82"/>
    <n v="3468.7"/>
    <n v="0"/>
    <n v="15901.94"/>
    <n v="29053.81"/>
    <n v="120466.31"/>
    <n v="-13151.87"/>
  </r>
  <r>
    <x v="5"/>
    <x v="9"/>
    <x v="0"/>
    <s v="6435501"/>
    <n v="700014"/>
    <s v="Salaries-Management-Other"/>
    <s v="Care Management-Admin"/>
    <x v="0"/>
    <n v="2000"/>
    <n v="0"/>
    <n v="0"/>
    <n v="0"/>
    <n v="0"/>
    <n v="0"/>
    <n v="0"/>
    <n v="0"/>
    <n v="0"/>
    <n v="0"/>
    <n v="0"/>
    <n v="30.04"/>
    <n v="0"/>
    <n v="30.04"/>
    <n v="30.04"/>
  </r>
  <r>
    <x v="5"/>
    <x v="9"/>
    <x v="0"/>
    <s v="6435501"/>
    <n v="700026"/>
    <s v="Salaries-RN-Productive"/>
    <s v="Care Management-Admin"/>
    <x v="0"/>
    <m/>
    <n v="0"/>
    <n v="0"/>
    <n v="0"/>
    <n v="0"/>
    <n v="0"/>
    <n v="0"/>
    <n v="6963.99"/>
    <n v="6953.56"/>
    <n v="2503.9499999999998"/>
    <n v="5426.46"/>
    <n v="6098.09"/>
    <n v="6225.41"/>
    <n v="34171.46"/>
    <n v="-127.31999999999971"/>
  </r>
  <r>
    <x v="5"/>
    <x v="9"/>
    <x v="0"/>
    <s v="6435501"/>
    <n v="700026"/>
    <s v="Salaries-RN-OT"/>
    <s v="Care Management-Admin"/>
    <x v="0"/>
    <n v="1000"/>
    <n v="0"/>
    <n v="0"/>
    <n v="0"/>
    <n v="0"/>
    <n v="0"/>
    <n v="0"/>
    <n v="0"/>
    <n v="0"/>
    <n v="36.65"/>
    <n v="0"/>
    <n v="0"/>
    <n v="0"/>
    <n v="36.65"/>
    <n v="0"/>
  </r>
  <r>
    <x v="5"/>
    <x v="9"/>
    <x v="0"/>
    <s v="6435501"/>
    <n v="700026"/>
    <s v="Salaries-RN-Other"/>
    <s v="Care Management-Admin"/>
    <x v="0"/>
    <n v="2000"/>
    <n v="0"/>
    <n v="0"/>
    <n v="0"/>
    <n v="0"/>
    <n v="0"/>
    <n v="0"/>
    <n v="33.78"/>
    <n v="188.21"/>
    <n v="203.09"/>
    <n v="30.06"/>
    <n v="-0.02"/>
    <n v="393.78"/>
    <n v="848.90000000000009"/>
    <n v="-393.79999999999995"/>
  </r>
  <r>
    <x v="5"/>
    <x v="9"/>
    <x v="0"/>
    <s v="6435501"/>
    <n v="700054"/>
    <s v="Salaries-Management-Non-productive"/>
    <s v="Care Management-Admin"/>
    <x v="0"/>
    <m/>
    <n v="3048.6"/>
    <n v="948.53"/>
    <n v="271.02999999999997"/>
    <n v="0"/>
    <n v="935.09"/>
    <n v="4606.3100000000004"/>
    <n v="277.88"/>
    <n v="1318.01"/>
    <n v="-346.81"/>
    <n v="0"/>
    <n v="0"/>
    <n v="0"/>
    <n v="11058.640000000001"/>
    <n v="0"/>
  </r>
  <r>
    <x v="5"/>
    <x v="9"/>
    <x v="0"/>
    <s v="6435501"/>
    <n v="700054"/>
    <s v="Salaries-Management-NonProd-Other"/>
    <s v="Care Management-Admin"/>
    <x v="0"/>
    <n v="2000"/>
    <n v="0"/>
    <n v="0"/>
    <n v="0"/>
    <n v="0"/>
    <n v="0"/>
    <n v="9391.11"/>
    <n v="-9391.11"/>
    <n v="0"/>
    <n v="0"/>
    <n v="0"/>
    <n v="0"/>
    <n v="0"/>
    <n v="0"/>
    <n v="0"/>
  </r>
  <r>
    <x v="5"/>
    <x v="9"/>
    <x v="0"/>
    <s v="6435501"/>
    <n v="700066"/>
    <s v="Salaries-RN-Non-productive"/>
    <s v="Care Management-Admin"/>
    <x v="0"/>
    <m/>
    <n v="0"/>
    <n v="0"/>
    <n v="0"/>
    <n v="0"/>
    <n v="0"/>
    <n v="0"/>
    <n v="382.72"/>
    <n v="0"/>
    <n v="0"/>
    <n v="0"/>
    <n v="763.09"/>
    <n v="121.04"/>
    <n v="1266.8499999999999"/>
    <n v="642.05000000000007"/>
  </r>
  <r>
    <x v="5"/>
    <x v="9"/>
    <x v="0"/>
    <s v="6435501"/>
    <n v="700066"/>
    <s v="Salaries-RN-NonProd-Other"/>
    <s v="Care Management-Admin"/>
    <x v="0"/>
    <n v="2000"/>
    <n v="0"/>
    <n v="0"/>
    <n v="0"/>
    <n v="0"/>
    <n v="0"/>
    <n v="0"/>
    <n v="22.04"/>
    <n v="0"/>
    <n v="0"/>
    <n v="0"/>
    <n v="67.209999999999994"/>
    <n v="6.72"/>
    <n v="95.97"/>
    <n v="60.489999999999995"/>
  </r>
  <r>
    <x v="5"/>
    <x v="9"/>
    <x v="0"/>
    <s v="6435501"/>
    <n v="700084"/>
    <s v="Accrued PTO"/>
    <s v="Care Management-Admin"/>
    <x v="0"/>
    <m/>
    <n v="-1496.82"/>
    <n v="400.13"/>
    <n v="874.98"/>
    <n v="1873.87"/>
    <n v="894.6"/>
    <n v="-2647.84"/>
    <n v="5916.3"/>
    <n v="1307.82"/>
    <n v="0"/>
    <n v="1951.97"/>
    <n v="1567.26"/>
    <n v="2889.89"/>
    <n v="13532.159999999998"/>
    <n v="-1322.6299999999999"/>
  </r>
  <r>
    <x v="10"/>
    <x v="9"/>
    <x v="0"/>
    <s v="6435501"/>
    <n v="710060"/>
    <s v="Contract Labor-Other"/>
    <s v="Care Management-Admin"/>
    <x v="0"/>
    <m/>
    <n v="65137.04"/>
    <n v="38028.92"/>
    <n v="56521.96"/>
    <n v="26400"/>
    <n v="0"/>
    <n v="26400"/>
    <n v="47366.57"/>
    <n v="37947.99"/>
    <n v="52800"/>
    <n v="33000"/>
    <n v="0"/>
    <n v="18075.87"/>
    <n v="401678.35"/>
    <n v="-18075.87"/>
  </r>
  <r>
    <x v="6"/>
    <x v="9"/>
    <x v="0"/>
    <s v="6435501"/>
    <n v="713010"/>
    <s v="Benefits-FICA/Medicare"/>
    <s v="Care Management-Admin"/>
    <x v="0"/>
    <m/>
    <n v="770.23"/>
    <n v="770.28"/>
    <n v="745.42"/>
    <n v="784.78"/>
    <n v="770.23"/>
    <n v="1506.5"/>
    <n v="2026.86"/>
    <n v="1218.99"/>
    <n v="426.15"/>
    <n v="369.07"/>
    <n v="1680.87"/>
    <n v="2618.29"/>
    <n v="13687.670000000002"/>
    <n v="-937.42000000000007"/>
  </r>
  <r>
    <x v="6"/>
    <x v="9"/>
    <x v="0"/>
    <s v="6435501"/>
    <n v="713090"/>
    <s v="Benefits-Allocated Amounts"/>
    <s v="Care Management-Admin"/>
    <x v="0"/>
    <m/>
    <n v="1428.79"/>
    <n v="1401.73"/>
    <n v="1498.34"/>
    <n v="1437.4"/>
    <n v="1336.61"/>
    <n v="1822.82"/>
    <n v="3072.88"/>
    <n v="2253.52"/>
    <n v="1204.82"/>
    <n v="1094.23"/>
    <n v="3089.53"/>
    <n v="3675.43"/>
    <n v="23316.1"/>
    <n v="-585.89999999999964"/>
  </r>
  <r>
    <x v="21"/>
    <x v="9"/>
    <x v="0"/>
    <s v="6435501"/>
    <n v="716046"/>
    <s v="Consulting-Other"/>
    <s v="Care Management-Admin"/>
    <x v="0"/>
    <m/>
    <n v="0"/>
    <n v="0"/>
    <n v="0"/>
    <n v="0"/>
    <n v="0"/>
    <n v="0"/>
    <n v="0"/>
    <n v="0"/>
    <n v="5152.37"/>
    <n v="0"/>
    <n v="0"/>
    <n v="0"/>
    <n v="5152.37"/>
    <n v="0"/>
  </r>
  <r>
    <x v="7"/>
    <x v="9"/>
    <x v="0"/>
    <s v="6435501"/>
    <n v="718050"/>
    <s v="Contract Svcs-Other"/>
    <s v="Care Management-Admin"/>
    <x v="0"/>
    <m/>
    <n v="0"/>
    <n v="0"/>
    <n v="0"/>
    <n v="0"/>
    <n v="0"/>
    <n v="0"/>
    <n v="0"/>
    <n v="0"/>
    <n v="137.62"/>
    <n v="0"/>
    <n v="275"/>
    <n v="0"/>
    <n v="412.62"/>
    <n v="275"/>
  </r>
  <r>
    <x v="7"/>
    <x v="9"/>
    <x v="0"/>
    <s v="6435501"/>
    <n v="718050"/>
    <s v="Miscellaneous Purchased Svcs"/>
    <s v="Care Management-Admin"/>
    <x v="0"/>
    <n v="1020"/>
    <n v="95"/>
    <n v="13026.84"/>
    <n v="13026.83"/>
    <n v="13026.83"/>
    <n v="12686.66"/>
    <n v="13026.83"/>
    <n v="32851.83"/>
    <n v="13026.83"/>
    <n v="13026.83"/>
    <n v="13026.83"/>
    <n v="13238.83"/>
    <n v="13026.85"/>
    <n v="163086.99"/>
    <n v="211.97999999999956"/>
  </r>
  <r>
    <x v="7"/>
    <x v="9"/>
    <x v="0"/>
    <s v="6435501"/>
    <n v="718050"/>
    <s v="Printing"/>
    <s v="Care Management-Admin"/>
    <x v="0"/>
    <n v="1021"/>
    <n v="28.79"/>
    <n v="0"/>
    <n v="0"/>
    <n v="0"/>
    <n v="0"/>
    <n v="0"/>
    <n v="115.09"/>
    <n v="0"/>
    <n v="0"/>
    <n v="0"/>
    <n v="0"/>
    <n v="0"/>
    <n v="143.88"/>
    <n v="0"/>
  </r>
  <r>
    <x v="7"/>
    <x v="9"/>
    <x v="0"/>
    <s v="6435501"/>
    <n v="718050"/>
    <s v="Translation Services"/>
    <s v="Care Management-Admin"/>
    <x v="0"/>
    <n v="1025"/>
    <n v="0"/>
    <n v="56.79"/>
    <n v="0"/>
    <n v="61.75"/>
    <n v="0"/>
    <n v="19.079999999999998"/>
    <n v="141.1"/>
    <n v="0"/>
    <n v="47.81"/>
    <n v="0"/>
    <n v="3.16"/>
    <n v="0"/>
    <n v="329.69000000000005"/>
    <n v="3.16"/>
  </r>
  <r>
    <x v="7"/>
    <x v="9"/>
    <x v="0"/>
    <s v="6435501"/>
    <n v="718050"/>
    <s v="Purchased Srvcs-Medical/Clinical Review"/>
    <s v="Care Management-Admin"/>
    <x v="0"/>
    <n v="1032"/>
    <n v="0"/>
    <n v="0"/>
    <n v="0"/>
    <n v="0"/>
    <n v="19910"/>
    <n v="5212.38"/>
    <n v="16850"/>
    <n v="19775"/>
    <n v="19050"/>
    <n v="0"/>
    <n v="22265"/>
    <n v="97790"/>
    <n v="200852.38"/>
    <n v="-75525"/>
  </r>
  <r>
    <x v="11"/>
    <x v="9"/>
    <x v="0"/>
    <s v="6435501"/>
    <n v="721250"/>
    <s v="Supplies-Pharmacy Drugs - Billable"/>
    <s v="Care Management-Admin"/>
    <x v="0"/>
    <m/>
    <n v="0"/>
    <n v="0"/>
    <n v="0"/>
    <n v="0"/>
    <n v="228.69"/>
    <n v="0"/>
    <n v="0.9"/>
    <n v="15.26"/>
    <n v="0"/>
    <n v="0"/>
    <n v="0"/>
    <n v="0"/>
    <n v="244.85"/>
    <n v="0"/>
  </r>
  <r>
    <x v="11"/>
    <x v="9"/>
    <x v="0"/>
    <s v="6435501"/>
    <n v="721410"/>
    <s v="Supplies-Medical - Nonbillable"/>
    <s v="Care Management-Admin"/>
    <x v="0"/>
    <m/>
    <n v="2.69"/>
    <n v="0"/>
    <n v="25.22"/>
    <n v="0"/>
    <n v="40.32"/>
    <n v="4.37"/>
    <n v="2.69"/>
    <n v="6.05"/>
    <n v="5.38"/>
    <n v="3.36"/>
    <n v="2.69"/>
    <n v="8.4499999999999993"/>
    <n v="101.22"/>
    <n v="-5.76"/>
  </r>
  <r>
    <x v="11"/>
    <x v="9"/>
    <x v="0"/>
    <s v="6435501"/>
    <n v="721810"/>
    <s v="Supplies-Dietary/Cafeteria"/>
    <s v="Care Management-Admin"/>
    <x v="0"/>
    <m/>
    <n v="16.059999999999999"/>
    <n v="34.450000000000003"/>
    <n v="129.13"/>
    <n v="43.73"/>
    <n v="225.98"/>
    <n v="40.880000000000003"/>
    <n v="57.73"/>
    <n v="104.78"/>
    <n v="98.11"/>
    <n v="122.26"/>
    <n v="78.099999999999994"/>
    <n v="60.18"/>
    <n v="1011.3899999999999"/>
    <n v="17.919999999999995"/>
  </r>
  <r>
    <x v="11"/>
    <x v="9"/>
    <x v="0"/>
    <s v="6435501"/>
    <n v="721830"/>
    <s v="Supplies-Office"/>
    <s v="Care Management-Admin"/>
    <x v="0"/>
    <m/>
    <n v="92.26"/>
    <n v="691.16"/>
    <n v="912.95"/>
    <n v="1169.98"/>
    <n v="0"/>
    <n v="348.95"/>
    <n v="100.05"/>
    <n v="182.6"/>
    <n v="237.16"/>
    <n v="282.33"/>
    <n v="163.79"/>
    <n v="137.83000000000001"/>
    <n v="4319.0599999999995"/>
    <n v="25.95999999999998"/>
  </r>
  <r>
    <x v="11"/>
    <x v="9"/>
    <x v="0"/>
    <s v="6435501"/>
    <n v="721870"/>
    <s v="Supplies-Environmental Services"/>
    <s v="Care Management-Admin"/>
    <x v="0"/>
    <m/>
    <n v="15.23"/>
    <n v="0"/>
    <n v="7.62"/>
    <n v="32.119999999999997"/>
    <n v="0"/>
    <n v="13.66"/>
    <n v="15.23"/>
    <n v="0"/>
    <n v="28.32"/>
    <n v="0"/>
    <n v="0"/>
    <n v="15.23"/>
    <n v="127.41000000000001"/>
    <n v="-15.23"/>
  </r>
  <r>
    <x v="11"/>
    <x v="9"/>
    <x v="0"/>
    <s v="6435501"/>
    <n v="721910"/>
    <s v="Supplies-Small Equipment"/>
    <s v="Care Management-Admin"/>
    <x v="0"/>
    <m/>
    <n v="63.26"/>
    <n v="0"/>
    <n v="72.5"/>
    <n v="921.96"/>
    <n v="1511.51"/>
    <n v="0"/>
    <n v="43"/>
    <n v="0"/>
    <n v="4.3"/>
    <n v="0"/>
    <n v="0"/>
    <n v="0"/>
    <n v="2616.5300000000002"/>
    <n v="0"/>
  </r>
  <r>
    <x v="11"/>
    <x v="9"/>
    <x v="0"/>
    <s v="6435501"/>
    <n v="721980"/>
    <s v="Supplies-Other"/>
    <s v="Care Management-Admin"/>
    <x v="0"/>
    <m/>
    <n v="1938.36"/>
    <n v="1931.94"/>
    <n v="1875.33"/>
    <n v="5343.29"/>
    <n v="2753.61"/>
    <n v="1964.82"/>
    <n v="2080.4299999999998"/>
    <n v="1637.01"/>
    <n v="1228.83"/>
    <n v="4173.99"/>
    <n v="5673.71"/>
    <n v="978.58"/>
    <n v="31579.899999999994"/>
    <n v="4695.13"/>
  </r>
  <r>
    <x v="11"/>
    <x v="9"/>
    <x v="0"/>
    <s v="6435501"/>
    <n v="722000"/>
    <s v="Supplies-Freight Expense"/>
    <s v="Care Management-Admin"/>
    <x v="0"/>
    <m/>
    <n v="0"/>
    <n v="0"/>
    <n v="10.8"/>
    <n v="20.56"/>
    <n v="8.93"/>
    <n v="0"/>
    <n v="0"/>
    <n v="0"/>
    <n v="21.25"/>
    <n v="0"/>
    <n v="5.8"/>
    <n v="0"/>
    <n v="67.34"/>
    <n v="5.8"/>
  </r>
  <r>
    <x v="12"/>
    <x v="9"/>
    <x v="0"/>
    <s v="6435501"/>
    <n v="730020"/>
    <s v="Rental and Leases-Copier Usage Fees (DO NOT USE)"/>
    <s v="Care Management-Admin"/>
    <x v="0"/>
    <n v="5100"/>
    <n v="1180.43"/>
    <n v="1170.8800000000001"/>
    <n v="1175.6500000000001"/>
    <n v="1175.6500000000001"/>
    <n v="1175.6500000000001"/>
    <n v="1175.6500000000001"/>
    <n v="-1371.45"/>
    <n v="799.19"/>
    <n v="755.56"/>
    <n v="1324.65"/>
    <n v="809.95"/>
    <n v="956.44"/>
    <n v="10328.25"/>
    <n v="-146.49"/>
  </r>
  <r>
    <x v="15"/>
    <x v="9"/>
    <x v="0"/>
    <s v="6435501"/>
    <n v="731060"/>
    <s v="Telephone"/>
    <s v="Care Management-Admin"/>
    <x v="0"/>
    <m/>
    <n v="0"/>
    <n v="0"/>
    <n v="0"/>
    <n v="0"/>
    <n v="0"/>
    <n v="13.21"/>
    <n v="0"/>
    <n v="0"/>
    <n v="0"/>
    <n v="0"/>
    <n v="0"/>
    <n v="0"/>
    <n v="13.21"/>
    <n v="0"/>
  </r>
  <r>
    <x v="15"/>
    <x v="9"/>
    <x v="0"/>
    <s v="6435501"/>
    <n v="731060"/>
    <s v="Pagers"/>
    <s v="Care Management-Admin"/>
    <x v="0"/>
    <n v="1002"/>
    <n v="483.13"/>
    <n v="246.46"/>
    <n v="489.71"/>
    <n v="271.58999999999997"/>
    <n v="247.02"/>
    <n v="0"/>
    <n v="477.8"/>
    <n v="246.56"/>
    <n v="175.26"/>
    <n v="202.78"/>
    <n v="194.66"/>
    <n v="194.66"/>
    <n v="3229.6299999999997"/>
    <n v="0"/>
  </r>
  <r>
    <x v="0"/>
    <x v="9"/>
    <x v="0"/>
    <s v="6435501"/>
    <n v="740020"/>
    <s v="Education-Registration Fees"/>
    <s v="Care Management-Admin"/>
    <x v="0"/>
    <m/>
    <n v="0"/>
    <n v="0"/>
    <n v="0"/>
    <n v="0"/>
    <n v="0"/>
    <n v="0"/>
    <n v="0"/>
    <n v="13583"/>
    <n v="550"/>
    <n v="500"/>
    <n v="0"/>
    <n v="0"/>
    <n v="14633"/>
    <n v="0"/>
  </r>
  <r>
    <x v="0"/>
    <x v="9"/>
    <x v="0"/>
    <s v="6435501"/>
    <n v="743020"/>
    <s v="Dues--Individual"/>
    <s v="Care Management-Admin"/>
    <x v="0"/>
    <m/>
    <n v="0"/>
    <n v="0"/>
    <n v="0"/>
    <n v="0"/>
    <n v="0"/>
    <n v="0"/>
    <n v="0"/>
    <n v="135"/>
    <n v="0"/>
    <n v="0"/>
    <n v="0"/>
    <n v="0"/>
    <n v="135"/>
    <n v="0"/>
  </r>
  <r>
    <x v="0"/>
    <x v="9"/>
    <x v="0"/>
    <s v="6435501"/>
    <n v="749510"/>
    <s v="Miscellaneous Expenses"/>
    <s v="Care Management-Admin"/>
    <x v="0"/>
    <m/>
    <n v="225.18"/>
    <n v="911.33"/>
    <n v="114.65"/>
    <n v="3875.02"/>
    <n v="-2689.65"/>
    <n v="10653.38"/>
    <n v="7181.24"/>
    <n v="24942.959999999999"/>
    <n v="-26069.52"/>
    <n v="433.46"/>
    <n v="2873.93"/>
    <n v="-2901.97"/>
    <n v="19550.009999999998"/>
    <n v="5775.9"/>
  </r>
  <r>
    <x v="0"/>
    <x v="9"/>
    <x v="0"/>
    <s v="6435501"/>
    <n v="749510"/>
    <s v="Licenses"/>
    <s v="Care Management-Admin"/>
    <x v="0"/>
    <n v="1002"/>
    <n v="0"/>
    <n v="0"/>
    <n v="25300"/>
    <n v="30"/>
    <n v="0"/>
    <n v="0"/>
    <n v="0"/>
    <n v="0"/>
    <n v="0"/>
    <n v="0"/>
    <n v="0"/>
    <n v="0"/>
    <n v="25330"/>
    <n v="0"/>
  </r>
  <r>
    <x v="0"/>
    <x v="9"/>
    <x v="0"/>
    <s v="6435501"/>
    <n v="749510"/>
    <s v="Patient Discharge Assistance"/>
    <s v="Care Management-Admin"/>
    <x v="0"/>
    <n v="1024"/>
    <n v="127906.77"/>
    <n v="156093.72"/>
    <n v="99675.65"/>
    <n v="131615.95000000001"/>
    <n v="219986.01"/>
    <n v="231089.8"/>
    <n v="222175.39"/>
    <n v="214439.23"/>
    <n v="237565.63"/>
    <n v="219438.5"/>
    <n v="194724.17"/>
    <n v="242319.48"/>
    <n v="2297030.2999999998"/>
    <n v="-47595.31"/>
  </r>
  <r>
    <x v="0"/>
    <x v="9"/>
    <x v="0"/>
    <s v="6435501"/>
    <n v="749530"/>
    <s v="Travel"/>
    <s v="Care Management-Admin"/>
    <x v="0"/>
    <m/>
    <n v="0"/>
    <n v="6"/>
    <n v="12"/>
    <n v="6"/>
    <n v="3774"/>
    <n v="75.06"/>
    <n v="6"/>
    <n v="0"/>
    <n v="0"/>
    <n v="12"/>
    <n v="0"/>
    <n v="0"/>
    <n v="3891.06"/>
    <n v="0"/>
  </r>
  <r>
    <x v="0"/>
    <x v="9"/>
    <x v="0"/>
    <s v="6435501"/>
    <n v="749530"/>
    <s v="Mileage"/>
    <s v="Care Management-Admin"/>
    <x v="0"/>
    <n v="1001"/>
    <n v="0"/>
    <n v="119.37"/>
    <n v="189.13"/>
    <n v="79.040000000000006"/>
    <n v="128.09"/>
    <n v="64.319999999999993"/>
    <n v="51.24"/>
    <n v="0"/>
    <n v="52.2"/>
    <n v="114.26"/>
    <n v="0"/>
    <n v="0"/>
    <n v="797.65000000000009"/>
    <n v="0"/>
  </r>
  <r>
    <x v="5"/>
    <x v="3"/>
    <x v="0"/>
    <s v="6436101"/>
    <n v="700014"/>
    <s v="Salaries-Management-Productive"/>
    <s v="Transfusion Free"/>
    <x v="0"/>
    <m/>
    <n v="0"/>
    <n v="7737.6"/>
    <n v="5777.22"/>
    <n v="10620.54"/>
    <n v="10844.96"/>
    <n v="6151.93"/>
    <n v="9086.5300000000007"/>
    <n v="9405.6299999999992"/>
    <n v="11653"/>
    <n v="9019.14"/>
    <n v="4465.08"/>
    <n v="12288.78"/>
    <n v="97050.41"/>
    <n v="-7823.7000000000007"/>
  </r>
  <r>
    <x v="5"/>
    <x v="3"/>
    <x v="0"/>
    <s v="6436101"/>
    <n v="700014"/>
    <s v="Salaries-Management-Other"/>
    <s v="Transfusion Free"/>
    <x v="0"/>
    <n v="2000"/>
    <n v="0"/>
    <n v="271.39999999999998"/>
    <n v="121.91"/>
    <n v="151.35"/>
    <n v="216.61"/>
    <n v="67.27"/>
    <n v="49.47"/>
    <n v="69.22"/>
    <n v="288.61"/>
    <n v="-59.32"/>
    <n v="100.12"/>
    <n v="68.61"/>
    <n v="1345.2500000000002"/>
    <n v="31.510000000000005"/>
  </r>
  <r>
    <x v="5"/>
    <x v="3"/>
    <x v="0"/>
    <s v="6436101"/>
    <n v="700026"/>
    <s v="Salaries-RN-Productive"/>
    <s v="Transfusion Free"/>
    <x v="0"/>
    <m/>
    <n v="33166.03"/>
    <n v="30990.26"/>
    <n v="35357.089999999997"/>
    <n v="37895.230000000003"/>
    <n v="34739.480000000003"/>
    <n v="29694.34"/>
    <n v="34773.980000000003"/>
    <n v="32922.75"/>
    <n v="37292.31"/>
    <n v="42533.29"/>
    <n v="36055.919999999998"/>
    <n v="39781.370000000003"/>
    <n v="425202.05"/>
    <n v="-3725.4500000000044"/>
  </r>
  <r>
    <x v="5"/>
    <x v="3"/>
    <x v="0"/>
    <s v="6436101"/>
    <n v="700026"/>
    <s v="Salaries-RN-Other"/>
    <s v="Transfusion Free"/>
    <x v="0"/>
    <n v="2000"/>
    <n v="2989.15"/>
    <n v="2989.31"/>
    <n v="2215.7800000000002"/>
    <n v="3621.43"/>
    <n v="2892.78"/>
    <n v="2989.33"/>
    <n v="2993.94"/>
    <n v="2703.97"/>
    <n v="3023.82"/>
    <n v="2896.99"/>
    <n v="2124.6"/>
    <n v="3766.25"/>
    <n v="35207.35"/>
    <n v="-1641.65"/>
  </r>
  <r>
    <x v="5"/>
    <x v="3"/>
    <x v="0"/>
    <s v="6436101"/>
    <n v="700054"/>
    <s v="Salaries-Management-Non-productive"/>
    <s v="Transfusion Free"/>
    <x v="0"/>
    <m/>
    <n v="0"/>
    <n v="0"/>
    <n v="4228.6499999999996"/>
    <n v="61.35"/>
    <n v="0"/>
    <n v="4011.12"/>
    <n v="972.96"/>
    <n v="-156.88"/>
    <n v="0"/>
    <n v="0"/>
    <n v="5931.17"/>
    <n v="-2416.27"/>
    <n v="12632.099999999999"/>
    <n v="8347.44"/>
  </r>
  <r>
    <x v="5"/>
    <x v="3"/>
    <x v="0"/>
    <s v="6436101"/>
    <n v="700066"/>
    <s v="Salaries-RN-Non-productive"/>
    <s v="Transfusion Free"/>
    <x v="0"/>
    <m/>
    <n v="2311.5"/>
    <n v="5672.28"/>
    <n v="1647.17"/>
    <n v="1240.99"/>
    <n v="2073.6"/>
    <n v="9552.8700000000008"/>
    <n v="4532.47"/>
    <n v="2576.35"/>
    <n v="3125.62"/>
    <n v="-841.02"/>
    <n v="6377.12"/>
    <n v="2083.5500000000002"/>
    <n v="40352.500000000007"/>
    <n v="4293.57"/>
  </r>
  <r>
    <x v="5"/>
    <x v="3"/>
    <x v="0"/>
    <s v="6436101"/>
    <n v="700066"/>
    <s v="Salaries-RN-NonProd-Other"/>
    <s v="Transfusion Fre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436101"/>
    <n v="700084"/>
    <s v="Accrued PTO"/>
    <s v="Transfusion Free"/>
    <x v="0"/>
    <m/>
    <n v="2471.52"/>
    <n v="414.33"/>
    <n v="243.11"/>
    <n v="3265.73"/>
    <n v="3277.68"/>
    <n v="-2324.91"/>
    <n v="-696.7"/>
    <n v="2254.67"/>
    <n v="3316.47"/>
    <n v="9653.49"/>
    <n v="-3965.43"/>
    <n v="4855.8500000000004"/>
    <n v="22765.809999999998"/>
    <n v="-8821.2800000000007"/>
  </r>
  <r>
    <x v="6"/>
    <x v="3"/>
    <x v="0"/>
    <s v="6436101"/>
    <n v="713010"/>
    <s v="Benefits-FICA/Medicare"/>
    <s v="Transfusion Free"/>
    <x v="0"/>
    <m/>
    <n v="2830.87"/>
    <n v="3536.55"/>
    <n v="3667.58"/>
    <n v="3989.63"/>
    <n v="3739.76"/>
    <n v="4045.53"/>
    <n v="3820.18"/>
    <n v="3464.82"/>
    <n v="4048.91"/>
    <n v="3902.13"/>
    <n v="4002.78"/>
    <n v="4054.53"/>
    <n v="45103.27"/>
    <n v="-51.75"/>
  </r>
  <r>
    <x v="6"/>
    <x v="3"/>
    <x v="0"/>
    <s v="6436101"/>
    <n v="713090"/>
    <s v="Benefits-Allocated Amounts"/>
    <s v="Transfusion Free"/>
    <x v="0"/>
    <m/>
    <n v="6948.62"/>
    <n v="7862.1"/>
    <n v="9034.49"/>
    <n v="9374.7999999999993"/>
    <n v="9194.86"/>
    <n v="8975.58"/>
    <n v="9591.41"/>
    <n v="9554.59"/>
    <n v="8276"/>
    <n v="10349.49"/>
    <n v="10628.3"/>
    <n v="10285.719999999999"/>
    <n v="110075.96"/>
    <n v="342.57999999999993"/>
  </r>
  <r>
    <x v="11"/>
    <x v="3"/>
    <x v="0"/>
    <s v="6436101"/>
    <n v="721410"/>
    <s v="Supplies-Medical - Nonbillable"/>
    <s v="Transfusion Free"/>
    <x v="0"/>
    <m/>
    <n v="0"/>
    <n v="0"/>
    <n v="0"/>
    <n v="0"/>
    <n v="188.93"/>
    <n v="5.68"/>
    <n v="0"/>
    <n v="0"/>
    <n v="0"/>
    <n v="0"/>
    <n v="0"/>
    <n v="0"/>
    <n v="194.61"/>
    <n v="0"/>
  </r>
  <r>
    <x v="11"/>
    <x v="3"/>
    <x v="0"/>
    <s v="6436101"/>
    <n v="721810"/>
    <s v="Supplies-Dietary/Cafeteria"/>
    <s v="Transfusion Free"/>
    <x v="0"/>
    <m/>
    <n v="0"/>
    <n v="0"/>
    <n v="0"/>
    <n v="0"/>
    <n v="0"/>
    <n v="0"/>
    <n v="61.88"/>
    <n v="0"/>
    <n v="136.86000000000001"/>
    <n v="0"/>
    <n v="0"/>
    <n v="0"/>
    <n v="198.74"/>
    <n v="0"/>
  </r>
  <r>
    <x v="11"/>
    <x v="3"/>
    <x v="0"/>
    <s v="6436101"/>
    <n v="721830"/>
    <s v="Supplies-Office"/>
    <s v="Transfusion Free"/>
    <x v="0"/>
    <m/>
    <n v="0"/>
    <n v="94.06"/>
    <n v="171.16"/>
    <n v="141"/>
    <n v="47.92"/>
    <n v="363.24"/>
    <n v="192.5"/>
    <n v="0"/>
    <n v="101.6"/>
    <n v="91.75"/>
    <n v="172.9"/>
    <n v="105.16"/>
    <n v="1481.2900000000002"/>
    <n v="67.740000000000009"/>
  </r>
  <r>
    <x v="11"/>
    <x v="3"/>
    <x v="0"/>
    <s v="6436101"/>
    <n v="721835"/>
    <s v="Supplies-Forms"/>
    <s v="Transfusion Free"/>
    <x v="0"/>
    <m/>
    <n v="0"/>
    <n v="0"/>
    <n v="0"/>
    <n v="0"/>
    <n v="314.85000000000002"/>
    <n v="103.45"/>
    <n v="147.69999999999999"/>
    <n v="0"/>
    <n v="132.03"/>
    <n v="687.74"/>
    <n v="0"/>
    <n v="27.8"/>
    <n v="1413.57"/>
    <n v="-27.8"/>
  </r>
  <r>
    <x v="11"/>
    <x v="3"/>
    <x v="0"/>
    <s v="6436101"/>
    <n v="721910"/>
    <s v="Supplies-Small Equipment"/>
    <s v="Transfusion Free"/>
    <x v="0"/>
    <m/>
    <n v="0"/>
    <n v="301.52"/>
    <n v="646.04"/>
    <n v="0"/>
    <n v="0"/>
    <n v="112.47"/>
    <n v="0"/>
    <n v="0"/>
    <n v="0"/>
    <n v="0"/>
    <n v="0"/>
    <n v="0"/>
    <n v="1060.03"/>
    <n v="0"/>
  </r>
  <r>
    <x v="11"/>
    <x v="3"/>
    <x v="0"/>
    <s v="6436101"/>
    <n v="721980"/>
    <s v="Supplies-Other"/>
    <s v="Transfusion Free"/>
    <x v="0"/>
    <m/>
    <n v="0"/>
    <n v="0"/>
    <n v="446.9"/>
    <n v="0"/>
    <n v="0"/>
    <n v="0"/>
    <n v="0"/>
    <n v="0"/>
    <n v="0"/>
    <n v="0"/>
    <n v="0"/>
    <n v="0"/>
    <n v="446.9"/>
    <n v="0"/>
  </r>
  <r>
    <x v="11"/>
    <x v="3"/>
    <x v="0"/>
    <s v="6436101"/>
    <n v="722000"/>
    <s v="Supplies-Freight Expense"/>
    <s v="Transfusion Free"/>
    <x v="0"/>
    <m/>
    <n v="0"/>
    <n v="0"/>
    <n v="0"/>
    <n v="0"/>
    <n v="0"/>
    <n v="9.02"/>
    <n v="8"/>
    <n v="0"/>
    <n v="0"/>
    <n v="0"/>
    <n v="0"/>
    <n v="0"/>
    <n v="17.02"/>
    <n v="0"/>
  </r>
  <r>
    <x v="12"/>
    <x v="3"/>
    <x v="0"/>
    <s v="6436101"/>
    <n v="730010"/>
    <s v="Rental and Leases-Building (DO NOT USE)"/>
    <s v="Transfusion Free"/>
    <x v="0"/>
    <m/>
    <n v="3666.55"/>
    <n v="3666.55"/>
    <n v="3666.55"/>
    <n v="3666.55"/>
    <n v="3666.55"/>
    <n v="-6411.92"/>
    <n v="1989.53"/>
    <n v="1989.53"/>
    <n v="1989.53"/>
    <n v="1989.53"/>
    <n v="1991.19"/>
    <n v="0"/>
    <n v="21870.14"/>
    <n v="1991.19"/>
  </r>
  <r>
    <x v="12"/>
    <x v="3"/>
    <x v="0"/>
    <s v="6436101"/>
    <n v="730010"/>
    <s v="Rental-Common Area Maint (DO NOT USE)"/>
    <s v="Transfusion Free"/>
    <x v="0"/>
    <n v="2200"/>
    <n v="0"/>
    <n v="0"/>
    <n v="0"/>
    <n v="0"/>
    <n v="0"/>
    <n v="10044.24"/>
    <n v="1642.79"/>
    <n v="1642.79"/>
    <n v="1089.8499999999999"/>
    <n v="1642.78"/>
    <n v="1642.78"/>
    <n v="0"/>
    <n v="17705.23"/>
    <n v="1642.78"/>
  </r>
  <r>
    <x v="12"/>
    <x v="3"/>
    <x v="0"/>
    <s v="6436101"/>
    <n v="730020"/>
    <s v="Rental and Leases-Copier Usage Fees (DO NOT USE)"/>
    <s v="Transfusion Free"/>
    <x v="0"/>
    <n v="5100"/>
    <n v="139.36000000000001"/>
    <n v="144.22999999999999"/>
    <n v="141.79"/>
    <n v="141.80000000000001"/>
    <n v="141.79"/>
    <n v="141.80000000000001"/>
    <n v="195.36"/>
    <n v="144.34"/>
    <n v="144.03"/>
    <n v="144.65"/>
    <n v="144.34"/>
    <n v="188.56"/>
    <n v="1812.05"/>
    <n v="-44.22"/>
  </r>
  <r>
    <x v="12"/>
    <x v="3"/>
    <x v="0"/>
    <s v="6436101"/>
    <n v="730040"/>
    <s v="LT Lease-Real Estate"/>
    <s v="Transfusion Free"/>
    <x v="0"/>
    <m/>
    <n v="0"/>
    <n v="0"/>
    <n v="0"/>
    <n v="0"/>
    <n v="0"/>
    <n v="0"/>
    <n v="0"/>
    <n v="0"/>
    <n v="0"/>
    <n v="0"/>
    <n v="0"/>
    <n v="3682.05"/>
    <n v="3682.05"/>
    <n v="-3682.05"/>
  </r>
  <r>
    <x v="15"/>
    <x v="3"/>
    <x v="0"/>
    <s v="6436101"/>
    <n v="731060"/>
    <s v="Pagers"/>
    <s v="Transfusion Free"/>
    <x v="0"/>
    <n v="1002"/>
    <n v="57.9"/>
    <n v="57.91"/>
    <n v="57.91"/>
    <n v="58.05"/>
    <n v="58.05"/>
    <n v="0"/>
    <n v="99.86"/>
    <n v="49.93"/>
    <n v="58.85"/>
    <n v="58.05"/>
    <n v="58.05"/>
    <n v="58.05"/>
    <n v="672.6099999999999"/>
    <n v="0"/>
  </r>
  <r>
    <x v="16"/>
    <x v="3"/>
    <x v="0"/>
    <s v="6436101"/>
    <n v="732030"/>
    <s v="Repairs---Other"/>
    <s v="Transfusion Free"/>
    <x v="0"/>
    <m/>
    <n v="0"/>
    <n v="0"/>
    <n v="0"/>
    <n v="168.55"/>
    <n v="0"/>
    <n v="0"/>
    <n v="0"/>
    <n v="65.92"/>
    <n v="0"/>
    <n v="0"/>
    <n v="0"/>
    <n v="30.74"/>
    <n v="265.21000000000004"/>
    <n v="-30.74"/>
  </r>
  <r>
    <x v="16"/>
    <x v="3"/>
    <x v="0"/>
    <s v="6436101"/>
    <n v="732030"/>
    <s v="Repairs&amp;Maintenance-Bldg Routine"/>
    <s v="Transfusion Free"/>
    <x v="0"/>
    <n v="2300"/>
    <n v="0"/>
    <n v="0"/>
    <n v="0"/>
    <n v="16.350000000000001"/>
    <n v="0"/>
    <n v="0"/>
    <n v="0"/>
    <n v="0"/>
    <n v="0"/>
    <n v="0"/>
    <n v="0"/>
    <n v="0"/>
    <n v="16.350000000000001"/>
    <n v="0"/>
  </r>
  <r>
    <x v="0"/>
    <x v="3"/>
    <x v="0"/>
    <s v="6436101"/>
    <n v="740020"/>
    <s v="Education-Registration Fees"/>
    <s v="Transfusion Free"/>
    <x v="0"/>
    <m/>
    <n v="0"/>
    <n v="0"/>
    <n v="1100"/>
    <n v="0"/>
    <n v="0"/>
    <n v="0"/>
    <n v="0"/>
    <n v="0"/>
    <n v="0"/>
    <n v="0"/>
    <n v="0"/>
    <n v="0"/>
    <n v="1100"/>
    <n v="0"/>
  </r>
  <r>
    <x v="0"/>
    <x v="3"/>
    <x v="0"/>
    <s v="6436101"/>
    <n v="743020"/>
    <s v="Dues--Individual"/>
    <s v="Transfusion Free"/>
    <x v="0"/>
    <m/>
    <n v="0"/>
    <n v="0"/>
    <n v="200"/>
    <n v="0"/>
    <n v="0"/>
    <n v="0"/>
    <n v="0"/>
    <n v="0"/>
    <n v="0"/>
    <n v="0"/>
    <n v="0"/>
    <n v="0"/>
    <n v="200"/>
    <n v="0"/>
  </r>
  <r>
    <x v="0"/>
    <x v="3"/>
    <x v="0"/>
    <s v="6436101"/>
    <n v="743030"/>
    <s v="Subscriptions--Institutional"/>
    <s v="Transfusion Free"/>
    <x v="0"/>
    <m/>
    <n v="0"/>
    <n v="0"/>
    <n v="0"/>
    <n v="0"/>
    <n v="0"/>
    <n v="0"/>
    <n v="0"/>
    <n v="0"/>
    <n v="0"/>
    <n v="0"/>
    <n v="266.19"/>
    <n v="0"/>
    <n v="266.19"/>
    <n v="266.19"/>
  </r>
  <r>
    <x v="0"/>
    <x v="3"/>
    <x v="0"/>
    <s v="6436101"/>
    <n v="749510"/>
    <s v="Miscellaneous Expenses"/>
    <s v="Transfusion Free"/>
    <x v="0"/>
    <m/>
    <n v="356.56"/>
    <n v="-324.24"/>
    <n v="-550"/>
    <n v="442.51"/>
    <n v="-127.21"/>
    <n v="-159.13"/>
    <n v="-156.16999999999999"/>
    <n v="0"/>
    <n v="0"/>
    <n v="431.29"/>
    <n v="-99.1"/>
    <n v="9636.41"/>
    <n v="9450.92"/>
    <n v="-9735.51"/>
  </r>
  <r>
    <x v="0"/>
    <x v="3"/>
    <x v="0"/>
    <s v="6436101"/>
    <n v="749510"/>
    <s v="RICE Rewards"/>
    <s v="Transfusion Free"/>
    <x v="0"/>
    <n v="5100"/>
    <n v="0"/>
    <n v="0"/>
    <n v="0"/>
    <n v="0"/>
    <n v="0"/>
    <n v="0"/>
    <n v="0"/>
    <n v="0"/>
    <n v="0"/>
    <n v="0"/>
    <n v="0"/>
    <n v="260.23"/>
    <n v="260.23"/>
    <n v="-260.23"/>
  </r>
  <r>
    <x v="0"/>
    <x v="3"/>
    <x v="0"/>
    <s v="6436101"/>
    <n v="749530"/>
    <s v="Travel"/>
    <s v="Transfusion Free"/>
    <x v="0"/>
    <m/>
    <n v="55"/>
    <n v="137"/>
    <n v="2000.94"/>
    <n v="74"/>
    <n v="95"/>
    <n v="71"/>
    <n v="45"/>
    <n v="88"/>
    <n v="41"/>
    <n v="58"/>
    <n v="40"/>
    <n v="51"/>
    <n v="2755.94"/>
    <n v="-11"/>
  </r>
  <r>
    <x v="0"/>
    <x v="3"/>
    <x v="0"/>
    <s v="6436101"/>
    <n v="749530"/>
    <s v="Mileage"/>
    <s v="Transfusion Free"/>
    <x v="0"/>
    <n v="1001"/>
    <n v="310.73"/>
    <n v="928.98"/>
    <n v="762.18"/>
    <n v="654.12"/>
    <n v="1061.97"/>
    <n v="611.13"/>
    <n v="662.33"/>
    <n v="757.28"/>
    <n v="363.08"/>
    <n v="719.78"/>
    <n v="540.55999999999995"/>
    <n v="504.02"/>
    <n v="7876.16"/>
    <n v="36.539999999999964"/>
  </r>
  <r>
    <x v="11"/>
    <x v="5"/>
    <x v="0"/>
    <s v="6436106"/>
    <n v="721810"/>
    <s v="Supplies-Dietary/Cafeteria"/>
    <s v="Planetree"/>
    <x v="0"/>
    <m/>
    <n v="0"/>
    <n v="0"/>
    <n v="0"/>
    <n v="0"/>
    <n v="0"/>
    <n v="7.41"/>
    <n v="0"/>
    <n v="0"/>
    <n v="0"/>
    <n v="0"/>
    <n v="0"/>
    <n v="0"/>
    <n v="7.41"/>
    <n v="0"/>
  </r>
  <r>
    <x v="12"/>
    <x v="5"/>
    <x v="0"/>
    <s v="6436106"/>
    <n v="730020"/>
    <s v="Rental and Leases-Copier Usage Fees (DO NOT USE)"/>
    <s v="Planetree"/>
    <x v="0"/>
    <n v="5100"/>
    <n v="33.700000000000003"/>
    <n v="34.68"/>
    <n v="34.19"/>
    <n v="34.19"/>
    <n v="34.19"/>
    <n v="34.19"/>
    <n v="40.28"/>
    <n v="35.64"/>
    <n v="35.56"/>
    <n v="35.72"/>
    <n v="35.64"/>
    <n v="44.99"/>
    <n v="432.97"/>
    <n v="-9.3500000000000014"/>
  </r>
  <r>
    <x v="0"/>
    <x v="5"/>
    <x v="0"/>
    <s v="6436106"/>
    <n v="743030"/>
    <s v="Subscriptions--Institutional"/>
    <s v="Planetree"/>
    <x v="0"/>
    <m/>
    <n v="200"/>
    <n v="250"/>
    <n v="200"/>
    <n v="199.6"/>
    <n v="250"/>
    <n v="180"/>
    <n v="200"/>
    <n v="0"/>
    <n v="410"/>
    <n v="200"/>
    <n v="250"/>
    <n v="0"/>
    <n v="2339.6"/>
    <n v="250"/>
  </r>
  <r>
    <x v="14"/>
    <x v="9"/>
    <x v="0"/>
    <s v="6436501"/>
    <n v="600050"/>
    <s v="Miscellaneous Revenue"/>
    <s v="Care Management-Ambulatory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436501"/>
    <n v="700026"/>
    <s v="Salaries-RN-Productive"/>
    <s v="Care Management-Ambulatory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436501"/>
    <n v="700026"/>
    <s v="Salaries-RN-OT"/>
    <s v="Care Management-Ambulatory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436501"/>
    <n v="700066"/>
    <s v="Salaries-RN-Non-productive"/>
    <s v="Care Management-Ambulatory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436501"/>
    <n v="700084"/>
    <s v="Accrued PTO"/>
    <s v="Care Management-Ambulatory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6436501"/>
    <n v="713010"/>
    <s v="Benefits-FICA/Medicare"/>
    <s v="Care Management-Ambulatory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6436501"/>
    <n v="713090"/>
    <s v="Benefits-Allocated Amounts"/>
    <s v="Care Management-Ambulatory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6436501"/>
    <n v="721910"/>
    <s v="Supplies-Small Equipment"/>
    <s v="Care Management-Ambulatory"/>
    <x v="0"/>
    <m/>
    <n v="0"/>
    <n v="0"/>
    <n v="0"/>
    <n v="0"/>
    <n v="0"/>
    <n v="0"/>
    <n v="0"/>
    <n v="0"/>
    <n v="0"/>
    <n v="0"/>
    <n v="0"/>
    <n v="0"/>
    <n v="0"/>
    <n v="0"/>
  </r>
  <r>
    <x v="12"/>
    <x v="9"/>
    <x v="0"/>
    <s v="6436501"/>
    <n v="730020"/>
    <s v="Rental and Leases-Copier Usage Fees (DO NOT USE)"/>
    <s v="Care Management-Ambulatory"/>
    <x v="0"/>
    <n v="5100"/>
    <n v="0"/>
    <n v="0"/>
    <n v="0"/>
    <n v="0"/>
    <n v="0"/>
    <n v="0"/>
    <n v="0"/>
    <n v="0"/>
    <n v="0"/>
    <n v="0"/>
    <n v="0"/>
    <n v="0"/>
    <n v="0"/>
    <n v="0"/>
  </r>
  <r>
    <x v="8"/>
    <x v="9"/>
    <x v="0"/>
    <s v="6436501"/>
    <n v="741060"/>
    <s v="Insurance-Bonds"/>
    <s v="Care Management-Ambulatory"/>
    <x v="0"/>
    <n v="1005"/>
    <n v="0"/>
    <n v="0"/>
    <n v="0"/>
    <n v="0"/>
    <n v="0"/>
    <n v="0"/>
    <n v="0"/>
    <n v="0"/>
    <n v="0"/>
    <n v="0"/>
    <n v="0"/>
    <n v="0"/>
    <n v="0"/>
    <n v="0"/>
  </r>
  <r>
    <x v="14"/>
    <x v="14"/>
    <x v="0"/>
    <s v="6436730"/>
    <n v="600050"/>
    <s v="Miscellaneous Revenue"/>
    <s v="Care Management ACO"/>
    <x v="0"/>
    <m/>
    <n v="-495873.33"/>
    <n v="-208848.63"/>
    <n v="-43688.26"/>
    <n v="-479278"/>
    <n v="-110581.2"/>
    <n v="-112323"/>
    <n v="-195772.5"/>
    <n v="-144106.47"/>
    <n v="3870.25"/>
    <n v="-368405.22"/>
    <n v="-170926"/>
    <n v="-25559"/>
    <n v="-2351491.36"/>
    <n v="-145367"/>
  </r>
  <r>
    <x v="5"/>
    <x v="14"/>
    <x v="0"/>
    <s v="6436730"/>
    <n v="700026"/>
    <s v="Salaries-RN-Productive"/>
    <s v="Care Management ACO"/>
    <x v="0"/>
    <m/>
    <n v="0"/>
    <n v="0"/>
    <n v="11213.36"/>
    <n v="9502.64"/>
    <n v="6104.74"/>
    <n v="4533.32"/>
    <n v="0"/>
    <n v="0"/>
    <n v="0"/>
    <n v="0"/>
    <n v="0"/>
    <n v="0"/>
    <n v="31354.059999999998"/>
    <n v="0"/>
  </r>
  <r>
    <x v="5"/>
    <x v="14"/>
    <x v="0"/>
    <s v="6436730"/>
    <n v="700026"/>
    <s v="Salaries-RN-OT"/>
    <s v="Care Management ACO"/>
    <x v="0"/>
    <n v="1000"/>
    <n v="0"/>
    <n v="0"/>
    <n v="202.14"/>
    <n v="-73.5"/>
    <n v="0"/>
    <n v="21.98"/>
    <n v="0"/>
    <n v="0"/>
    <n v="0"/>
    <n v="0"/>
    <n v="0"/>
    <n v="0"/>
    <n v="150.61999999999998"/>
    <n v="0"/>
  </r>
  <r>
    <x v="5"/>
    <x v="14"/>
    <x v="0"/>
    <s v="6436730"/>
    <n v="700066"/>
    <s v="Salaries-RN-Non-productive"/>
    <s v="Care Management ACO"/>
    <x v="0"/>
    <m/>
    <n v="0"/>
    <n v="0"/>
    <n v="457.36"/>
    <n v="861.63"/>
    <n v="3940.7"/>
    <n v="489.89"/>
    <n v="0"/>
    <n v="0"/>
    <n v="0"/>
    <n v="0"/>
    <n v="0"/>
    <n v="0"/>
    <n v="5749.58"/>
    <n v="0"/>
  </r>
  <r>
    <x v="5"/>
    <x v="14"/>
    <x v="0"/>
    <s v="6436730"/>
    <n v="700084"/>
    <s v="Accrued PTO"/>
    <s v="Care Management ACO"/>
    <x v="0"/>
    <m/>
    <n v="0"/>
    <n v="667.75"/>
    <n v="601.41999999999996"/>
    <n v="543.52"/>
    <n v="-1057.1500000000001"/>
    <n v="0"/>
    <n v="0"/>
    <n v="0"/>
    <n v="0"/>
    <n v="0"/>
    <n v="0"/>
    <n v="0"/>
    <n v="755.54"/>
    <n v="0"/>
  </r>
  <r>
    <x v="6"/>
    <x v="14"/>
    <x v="0"/>
    <s v="6436730"/>
    <n v="713010"/>
    <s v="Benefits-FICA/Medicare"/>
    <s v="Care Management ACO"/>
    <x v="0"/>
    <m/>
    <n v="0"/>
    <n v="0"/>
    <n v="879.48"/>
    <n v="762.44"/>
    <n v="744.48"/>
    <n v="373.97"/>
    <n v="0"/>
    <n v="0"/>
    <n v="0"/>
    <n v="0"/>
    <n v="0"/>
    <n v="0"/>
    <n v="2760.37"/>
    <n v="0"/>
  </r>
  <r>
    <x v="6"/>
    <x v="14"/>
    <x v="0"/>
    <s v="6436730"/>
    <n v="713090"/>
    <s v="Benefits-Allocated Amounts"/>
    <s v="Care Management ACO"/>
    <x v="0"/>
    <m/>
    <n v="0"/>
    <n v="36.369999999999997"/>
    <n v="1720.36"/>
    <n v="1402.92"/>
    <n v="1259.8499999999999"/>
    <n v="750.71"/>
    <n v="67.930000000000007"/>
    <n v="131.55000000000001"/>
    <n v="58.82"/>
    <n v="3.15"/>
    <n v="48.81"/>
    <n v="89.72"/>
    <n v="5570.1900000000005"/>
    <n v="-40.909999999999997"/>
  </r>
  <r>
    <x v="11"/>
    <x v="14"/>
    <x v="0"/>
    <s v="6436730"/>
    <n v="721910"/>
    <s v="Supplies-Small Equipment"/>
    <s v="Care Management ACO"/>
    <x v="0"/>
    <m/>
    <n v="0"/>
    <n v="0"/>
    <n v="0"/>
    <n v="0"/>
    <n v="70.11"/>
    <n v="0"/>
    <n v="0"/>
    <n v="0"/>
    <n v="0"/>
    <n v="0"/>
    <n v="0"/>
    <n v="0"/>
    <n v="70.11"/>
    <n v="0"/>
  </r>
  <r>
    <x v="12"/>
    <x v="14"/>
    <x v="0"/>
    <s v="6436730"/>
    <n v="730020"/>
    <s v="Rental and Leases-Copier Usage Fees (DO NOT USE)"/>
    <s v="Care Management ACO"/>
    <x v="0"/>
    <n v="5100"/>
    <n v="0"/>
    <n v="0"/>
    <n v="0"/>
    <n v="0"/>
    <n v="0"/>
    <n v="0"/>
    <n v="3105.11"/>
    <n v="275.39999999999998"/>
    <n v="274.82"/>
    <n v="769.83"/>
    <n v="275.39999999999998"/>
    <n v="326.27"/>
    <n v="5026.83"/>
    <n v="-50.870000000000005"/>
  </r>
  <r>
    <x v="8"/>
    <x v="14"/>
    <x v="0"/>
    <s v="6436730"/>
    <n v="741060"/>
    <s v="Insurance-Bonds"/>
    <s v="Care Management ACO"/>
    <x v="0"/>
    <n v="1005"/>
    <n v="0"/>
    <n v="0"/>
    <n v="0"/>
    <n v="0"/>
    <n v="0"/>
    <n v="0"/>
    <n v="24302"/>
    <n v="0"/>
    <n v="0"/>
    <n v="0"/>
    <n v="0"/>
    <n v="0"/>
    <n v="24302"/>
    <n v="0"/>
  </r>
  <r>
    <x v="5"/>
    <x v="9"/>
    <x v="0"/>
    <s v="6437501"/>
    <n v="700014"/>
    <s v="Salaries-Management-Productive"/>
    <s v="Care Management-Peninsula"/>
    <x v="0"/>
    <m/>
    <n v="9546.49"/>
    <n v="11043.16"/>
    <n v="7837.29"/>
    <n v="11599.34"/>
    <n v="10926.56"/>
    <n v="4662.3999999999996"/>
    <n v="10797.17"/>
    <n v="9520.33"/>
    <n v="11849.02"/>
    <n v="10431.92"/>
    <n v="9338.07"/>
    <n v="10833.62"/>
    <n v="118385.37"/>
    <n v="-1495.5500000000011"/>
  </r>
  <r>
    <x v="5"/>
    <x v="9"/>
    <x v="0"/>
    <s v="6437501"/>
    <n v="700014"/>
    <s v="Salaries-Management-Other"/>
    <s v="Care Management-Peninsula"/>
    <x v="0"/>
    <n v="2000"/>
    <n v="0"/>
    <n v="0"/>
    <n v="0"/>
    <n v="0"/>
    <n v="0"/>
    <n v="0"/>
    <n v="0"/>
    <n v="0"/>
    <n v="21.97"/>
    <n v="0"/>
    <n v="0"/>
    <n v="0"/>
    <n v="21.97"/>
    <n v="0"/>
  </r>
  <r>
    <x v="5"/>
    <x v="9"/>
    <x v="0"/>
    <s v="6437501"/>
    <n v="700018"/>
    <s v="Salaries-Supervisory-Productive"/>
    <s v="Care Management-Peninsula"/>
    <x v="0"/>
    <m/>
    <n v="17758.68"/>
    <n v="17133.09"/>
    <n v="21995.75"/>
    <n v="24903.29"/>
    <n v="22249.69"/>
    <n v="16296.66"/>
    <n v="23935.79"/>
    <n v="20206.7"/>
    <n v="21832.84"/>
    <n v="22954.14"/>
    <n v="21495.55"/>
    <n v="22922.69"/>
    <n v="253684.87"/>
    <n v="-1427.1399999999994"/>
  </r>
  <r>
    <x v="5"/>
    <x v="9"/>
    <x v="0"/>
    <s v="6437501"/>
    <n v="700018"/>
    <s v="Salaries-Supervisory-Other"/>
    <s v="Care Management-Peninsula"/>
    <x v="0"/>
    <n v="2000"/>
    <n v="30"/>
    <n v="0"/>
    <n v="0"/>
    <n v="0"/>
    <n v="0"/>
    <n v="0"/>
    <n v="0"/>
    <n v="0"/>
    <n v="0"/>
    <n v="0"/>
    <n v="0"/>
    <n v="0"/>
    <n v="30"/>
    <n v="0"/>
  </r>
  <r>
    <x v="5"/>
    <x v="9"/>
    <x v="0"/>
    <s v="6437501"/>
    <n v="700026"/>
    <s v="Salaries-RN-Productive"/>
    <s v="Care Management-Peninsula"/>
    <x v="0"/>
    <m/>
    <n v="150491.76999999999"/>
    <n v="155930.91"/>
    <n v="163999.31"/>
    <n v="159340.6"/>
    <n v="175104.37"/>
    <n v="163455.70000000001"/>
    <n v="180184.25"/>
    <n v="173253.32"/>
    <n v="191851.67"/>
    <n v="183367.01"/>
    <n v="177356.36"/>
    <n v="186813.42"/>
    <n v="2061148.69"/>
    <n v="-9457.0600000000268"/>
  </r>
  <r>
    <x v="5"/>
    <x v="9"/>
    <x v="0"/>
    <s v="6437501"/>
    <n v="700026"/>
    <s v="Salaries-RN-OT"/>
    <s v="Care Management-Peninsula"/>
    <x v="0"/>
    <n v="1000"/>
    <n v="1614.56"/>
    <n v="3061.4"/>
    <n v="3227.83"/>
    <n v="2203.0700000000002"/>
    <n v="2203.44"/>
    <n v="2111.9499999999998"/>
    <n v="2038.68"/>
    <n v="2105.1999999999998"/>
    <n v="2631.56"/>
    <n v="3045.77"/>
    <n v="3132.1"/>
    <n v="2036.1"/>
    <n v="29411.66"/>
    <n v="1096"/>
  </r>
  <r>
    <x v="5"/>
    <x v="9"/>
    <x v="0"/>
    <s v="6437501"/>
    <n v="700026"/>
    <s v="Salaries-RN-Other"/>
    <s v="Care Management-Peninsula"/>
    <x v="0"/>
    <n v="2000"/>
    <n v="2499.41"/>
    <n v="2408.9699999999998"/>
    <n v="2540.21"/>
    <n v="3293.56"/>
    <n v="2831.92"/>
    <n v="3325.72"/>
    <n v="3135.36"/>
    <n v="3576.06"/>
    <n v="4658.1899999999996"/>
    <n v="4632.03"/>
    <n v="4171"/>
    <n v="5183.68"/>
    <n v="42256.11"/>
    <n v="-1012.6800000000003"/>
  </r>
  <r>
    <x v="5"/>
    <x v="9"/>
    <x v="0"/>
    <s v="6437501"/>
    <n v="700032"/>
    <s v="Salaries-Other Pat Care Providers-Productive"/>
    <s v="Care Management-Peninsula"/>
    <x v="0"/>
    <m/>
    <n v="136966.13"/>
    <n v="129570.58"/>
    <n v="135390.82"/>
    <n v="149623.9"/>
    <n v="150888.32000000001"/>
    <n v="142302.16"/>
    <n v="155050.91"/>
    <n v="132089.84"/>
    <n v="149689.43"/>
    <n v="147420.62"/>
    <n v="139187.85999999999"/>
    <n v="147399.72"/>
    <n v="1715580.2899999998"/>
    <n v="-8211.8600000000151"/>
  </r>
  <r>
    <x v="5"/>
    <x v="9"/>
    <x v="0"/>
    <s v="6437501"/>
    <n v="700032"/>
    <s v="Salaries-Other Pat Care Providers-OT"/>
    <s v="Care Management-Peninsula"/>
    <x v="0"/>
    <n v="1000"/>
    <n v="4886.9399999999996"/>
    <n v="6720.68"/>
    <n v="2672.53"/>
    <n v="3453.49"/>
    <n v="3146.37"/>
    <n v="3937.61"/>
    <n v="4828.51"/>
    <n v="2977.72"/>
    <n v="5743.9"/>
    <n v="6141.08"/>
    <n v="4997.26"/>
    <n v="7329.93"/>
    <n v="56836.020000000004"/>
    <n v="-2332.67"/>
  </r>
  <r>
    <x v="5"/>
    <x v="9"/>
    <x v="0"/>
    <s v="6437501"/>
    <n v="700032"/>
    <s v="Salaries-Other Pat Care Providers-Other"/>
    <s v="Care Management-Peninsula"/>
    <x v="0"/>
    <n v="2000"/>
    <n v="5513.89"/>
    <n v="5294.83"/>
    <n v="6267.3"/>
    <n v="6403.82"/>
    <n v="7266.56"/>
    <n v="6170.57"/>
    <n v="6368.96"/>
    <n v="5885.32"/>
    <n v="7416.39"/>
    <n v="7223"/>
    <n v="6450.99"/>
    <n v="6095.05"/>
    <n v="76356.680000000008"/>
    <n v="355.9399999999996"/>
  </r>
  <r>
    <x v="5"/>
    <x v="9"/>
    <x v="0"/>
    <s v="6437501"/>
    <n v="700038"/>
    <s v="Salaries-Service/Support-Productive"/>
    <s v="Care Management-Peninsula"/>
    <x v="0"/>
    <m/>
    <n v="14885.94"/>
    <n v="12114.65"/>
    <n v="15214.35"/>
    <n v="13337.95"/>
    <n v="14825.49"/>
    <n v="13318.72"/>
    <n v="13168.76"/>
    <n v="13236.01"/>
    <n v="14928.14"/>
    <n v="14686.61"/>
    <n v="14084.83"/>
    <n v="14403.52"/>
    <n v="168204.96999999997"/>
    <n v="-318.69000000000051"/>
  </r>
  <r>
    <x v="5"/>
    <x v="9"/>
    <x v="0"/>
    <s v="6437501"/>
    <n v="700038"/>
    <s v="Salaries-Service/Support-OT"/>
    <s v="Care Management-Peninsula"/>
    <x v="0"/>
    <n v="1000"/>
    <n v="124.52"/>
    <n v="120.71"/>
    <n v="1125.79"/>
    <n v="791.5"/>
    <n v="848.1"/>
    <n v="72.33"/>
    <n v="110.24"/>
    <n v="134.15"/>
    <n v="331.79"/>
    <n v="275.48"/>
    <n v="270.26"/>
    <n v="137.22999999999999"/>
    <n v="4342.0999999999995"/>
    <n v="133.03"/>
  </r>
  <r>
    <x v="5"/>
    <x v="9"/>
    <x v="0"/>
    <s v="6437501"/>
    <n v="700038"/>
    <s v="Salaries-Service/Support-Other"/>
    <s v="Care Management-Peninsula"/>
    <x v="0"/>
    <n v="2000"/>
    <n v="0"/>
    <n v="11.63"/>
    <n v="37.700000000000003"/>
    <n v="29.15"/>
    <n v="28.16"/>
    <n v="16.79"/>
    <n v="-3.42"/>
    <n v="0"/>
    <n v="0"/>
    <n v="0"/>
    <n v="0"/>
    <n v="0"/>
    <n v="120.01"/>
    <n v="0"/>
  </r>
  <r>
    <x v="5"/>
    <x v="9"/>
    <x v="0"/>
    <s v="6437501"/>
    <n v="700054"/>
    <s v="Salaries-Management-Non-productive"/>
    <s v="Care Management-Peninsula"/>
    <x v="0"/>
    <m/>
    <n v="1496.16"/>
    <n v="0"/>
    <n v="2849.78"/>
    <n v="-356.18"/>
    <n v="0"/>
    <n v="6628.74"/>
    <n v="511.64"/>
    <n v="693.02"/>
    <n v="-182.35"/>
    <n v="1820.47"/>
    <n v="2842.85"/>
    <n v="109.48"/>
    <n v="16413.61"/>
    <n v="2733.37"/>
  </r>
  <r>
    <x v="5"/>
    <x v="9"/>
    <x v="0"/>
    <s v="6437501"/>
    <n v="700054"/>
    <s v="Salaries-Management-NonProd-Other"/>
    <s v="Care Management-Peninsula"/>
    <x v="0"/>
    <n v="2000"/>
    <n v="0"/>
    <n v="0"/>
    <n v="0"/>
    <n v="0"/>
    <n v="0"/>
    <n v="2491"/>
    <n v="-2491"/>
    <n v="0"/>
    <n v="0"/>
    <n v="0"/>
    <n v="0"/>
    <n v="0"/>
    <n v="0"/>
    <n v="0"/>
  </r>
  <r>
    <x v="5"/>
    <x v="9"/>
    <x v="0"/>
    <s v="6437501"/>
    <n v="700058"/>
    <s v="Salaries-Supervisory-Non-productive"/>
    <s v="Care Management-Peninsula"/>
    <x v="0"/>
    <m/>
    <n v="1021.67"/>
    <n v="76.45"/>
    <n v="1417.76"/>
    <n v="0"/>
    <n v="1953.68"/>
    <n v="8714.2800000000007"/>
    <n v="1114.23"/>
    <n v="2416.81"/>
    <n v="3214.82"/>
    <n v="1284.75"/>
    <n v="3552.08"/>
    <n v="1317.29"/>
    <n v="26083.82"/>
    <n v="2234.79"/>
  </r>
  <r>
    <x v="5"/>
    <x v="9"/>
    <x v="0"/>
    <s v="6437501"/>
    <n v="700066"/>
    <s v="Salaries-RN-Non-productive"/>
    <s v="Care Management-Peninsula"/>
    <x v="0"/>
    <m/>
    <n v="27376.05"/>
    <n v="30100.33"/>
    <n v="23355.95"/>
    <n v="23856.36"/>
    <n v="8461.33"/>
    <n v="35558.019999999997"/>
    <n v="26377.71"/>
    <n v="17921.13"/>
    <n v="17317.11"/>
    <n v="24917.66"/>
    <n v="28948.43"/>
    <n v="26948.45"/>
    <n v="291138.53000000003"/>
    <n v="1999.9799999999996"/>
  </r>
  <r>
    <x v="5"/>
    <x v="9"/>
    <x v="0"/>
    <s v="6437501"/>
    <n v="700066"/>
    <s v="Salaries-RN-NonProd-Other"/>
    <s v="Care Management-Peninsula"/>
    <x v="0"/>
    <n v="2000"/>
    <n v="0"/>
    <n v="81.63"/>
    <n v="0"/>
    <n v="0"/>
    <n v="487.83"/>
    <n v="16.11"/>
    <n v="39.619999999999997"/>
    <n v="-165.12"/>
    <n v="125.22"/>
    <n v="123.91"/>
    <n v="173.1"/>
    <n v="36.65"/>
    <n v="918.95"/>
    <n v="136.44999999999999"/>
  </r>
  <r>
    <x v="5"/>
    <x v="9"/>
    <x v="0"/>
    <s v="6437501"/>
    <n v="700072"/>
    <s v="Salaries-Other Pat Care Providers-Non-productive"/>
    <s v="Care Management-Peninsula"/>
    <x v="0"/>
    <m/>
    <n v="15788.53"/>
    <n v="23479"/>
    <n v="12321.34"/>
    <n v="15034.02"/>
    <n v="16713.46"/>
    <n v="28466.63"/>
    <n v="11041.24"/>
    <n v="25183.38"/>
    <n v="13373.53"/>
    <n v="7740.57"/>
    <n v="19348.22"/>
    <n v="12334.59"/>
    <n v="200824.51"/>
    <n v="7013.630000000001"/>
  </r>
  <r>
    <x v="5"/>
    <x v="9"/>
    <x v="0"/>
    <s v="6437501"/>
    <n v="700072"/>
    <s v="Salaries-Other Pat Care Providers-NonProd-Other"/>
    <s v="Care Management-Peninsula"/>
    <x v="0"/>
    <n v="2000"/>
    <n v="299.69"/>
    <n v="427.6"/>
    <n v="39.68"/>
    <n v="53.98"/>
    <n v="889"/>
    <n v="523.4"/>
    <n v="220.69"/>
    <n v="-107.48"/>
    <n v="254.98"/>
    <n v="251.65"/>
    <n v="159.16999999999999"/>
    <n v="295.25"/>
    <n v="3307.61"/>
    <n v="-136.08000000000001"/>
  </r>
  <r>
    <x v="5"/>
    <x v="9"/>
    <x v="0"/>
    <s v="6437501"/>
    <n v="700078"/>
    <s v="Salaries-Service/Support-Non-productive"/>
    <s v="Care Management-Peninsula"/>
    <x v="0"/>
    <m/>
    <n v="198.26"/>
    <n v="2726.24"/>
    <n v="-554.65"/>
    <n v="1822.92"/>
    <n v="-158.44"/>
    <n v="2218.2199999999998"/>
    <n v="2127.3000000000002"/>
    <n v="979.58"/>
    <n v="319.20999999999998"/>
    <n v="16.96"/>
    <n v="1189.1300000000001"/>
    <n v="748.91"/>
    <n v="11633.64"/>
    <n v="440.22000000000014"/>
  </r>
  <r>
    <x v="5"/>
    <x v="9"/>
    <x v="0"/>
    <s v="6437501"/>
    <n v="700078"/>
    <s v="Salaries-Service/Support-NonProd-Other"/>
    <s v="Care Management-Peninsula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437501"/>
    <n v="700084"/>
    <s v="Accrued PTO"/>
    <s v="Care Management-Peninsula"/>
    <x v="0"/>
    <m/>
    <n v="10257.93"/>
    <n v="-7877.18"/>
    <n v="10710.04"/>
    <n v="22639.75"/>
    <n v="16027.31"/>
    <n v="-5503.03"/>
    <n v="12291.07"/>
    <n v="8772.07"/>
    <n v="17150"/>
    <n v="16027.05"/>
    <n v="1536.05"/>
    <n v="13413.64"/>
    <n v="115444.7"/>
    <n v="-11877.59"/>
  </r>
  <r>
    <x v="6"/>
    <x v="9"/>
    <x v="0"/>
    <s v="6437501"/>
    <n v="713010"/>
    <s v="Benefits-FICA/Medicare"/>
    <s v="Care Management-Peninsula"/>
    <x v="0"/>
    <m/>
    <n v="29284.22"/>
    <n v="29825.81"/>
    <n v="29882.31"/>
    <n v="31917.43"/>
    <n v="31488.43"/>
    <n v="33853.31"/>
    <n v="33044.18"/>
    <n v="30514.04"/>
    <n v="33296.339999999997"/>
    <n v="32411.64"/>
    <n v="32451.360000000001"/>
    <n v="34237.99"/>
    <n v="382207.05999999994"/>
    <n v="-1786.6299999999974"/>
  </r>
  <r>
    <x v="6"/>
    <x v="9"/>
    <x v="0"/>
    <s v="6437501"/>
    <n v="713090"/>
    <s v="Benefits-Allocated Amounts"/>
    <s v="Care Management-Peninsula"/>
    <x v="0"/>
    <m/>
    <n v="67532.17"/>
    <n v="63083.12"/>
    <n v="68689.53"/>
    <n v="67599.28"/>
    <n v="65485.97"/>
    <n v="74688.94"/>
    <n v="79181.62"/>
    <n v="76370.179999999993"/>
    <n v="86720.73"/>
    <n v="80610.929999999993"/>
    <n v="78130.77"/>
    <n v="80979.399999999994"/>
    <n v="889072.64000000001"/>
    <n v="-2848.6299999999901"/>
  </r>
  <r>
    <x v="6"/>
    <x v="9"/>
    <x v="0"/>
    <s v="6437501"/>
    <n v="713096"/>
    <s v="Employee Recognition"/>
    <s v="Care Management-Peninsula"/>
    <x v="0"/>
    <n v="1017"/>
    <n v="0"/>
    <n v="0"/>
    <n v="0"/>
    <n v="100"/>
    <n v="439.17"/>
    <n v="59.95"/>
    <n v="0"/>
    <n v="0"/>
    <n v="0"/>
    <n v="0"/>
    <n v="72.709999999999994"/>
    <n v="0"/>
    <n v="671.83000000000015"/>
    <n v="72.709999999999994"/>
  </r>
  <r>
    <x v="7"/>
    <x v="9"/>
    <x v="0"/>
    <s v="6437501"/>
    <n v="718050"/>
    <s v="Miscellaneous Purchased Svcs"/>
    <s v="Care Management-Peninsula"/>
    <x v="0"/>
    <n v="1020"/>
    <n v="387.75"/>
    <n v="775.5"/>
    <n v="3263.53"/>
    <n v="341.55"/>
    <n v="1646.26"/>
    <n v="1045.77"/>
    <n v="2917.86"/>
    <n v="0"/>
    <n v="1731.85"/>
    <n v="699.12"/>
    <n v="0"/>
    <n v="406.38"/>
    <n v="13215.570000000002"/>
    <n v="-406.38"/>
  </r>
  <r>
    <x v="7"/>
    <x v="9"/>
    <x v="0"/>
    <s v="6437501"/>
    <n v="718050"/>
    <s v="Printing"/>
    <s v="Care Management-Peninsula"/>
    <x v="0"/>
    <n v="1021"/>
    <n v="56.87"/>
    <n v="182.26"/>
    <n v="57"/>
    <n v="0"/>
    <n v="62.62"/>
    <n v="85.5"/>
    <n v="28.5"/>
    <n v="0"/>
    <n v="0"/>
    <n v="0"/>
    <n v="0"/>
    <n v="0"/>
    <n v="472.75"/>
    <n v="0"/>
  </r>
  <r>
    <x v="7"/>
    <x v="9"/>
    <x v="0"/>
    <s v="6437501"/>
    <n v="718050"/>
    <s v="Purchased Srvcs-Medical/Clinical Review"/>
    <s v="Care Management-Peninsula"/>
    <x v="0"/>
    <n v="1032"/>
    <n v="10494.56"/>
    <n v="4342.51"/>
    <n v="6472.38"/>
    <n v="1499.56"/>
    <n v="1345"/>
    <n v="0"/>
    <n v="0"/>
    <n v="-25990"/>
    <n v="0"/>
    <n v="0"/>
    <n v="8211.5"/>
    <n v="0"/>
    <n v="6375.510000000002"/>
    <n v="8211.5"/>
  </r>
  <r>
    <x v="11"/>
    <x v="9"/>
    <x v="0"/>
    <s v="6437501"/>
    <n v="721830"/>
    <s v="Supplies-Office"/>
    <s v="Care Management-Peninsula"/>
    <x v="0"/>
    <m/>
    <n v="153.84"/>
    <n v="-0.7"/>
    <n v="165.48"/>
    <n v="0"/>
    <n v="0"/>
    <n v="13.07"/>
    <n v="0"/>
    <n v="321.70999999999998"/>
    <n v="420.41"/>
    <n v="0"/>
    <n v="0"/>
    <n v="0"/>
    <n v="1073.81"/>
    <n v="0"/>
  </r>
  <r>
    <x v="11"/>
    <x v="9"/>
    <x v="0"/>
    <s v="6437501"/>
    <n v="721835"/>
    <s v="Supplies-Forms"/>
    <s v="Care Management-Peninsula"/>
    <x v="0"/>
    <m/>
    <n v="0"/>
    <n v="0"/>
    <n v="0"/>
    <n v="0"/>
    <n v="0"/>
    <n v="0"/>
    <n v="0"/>
    <n v="0"/>
    <n v="0"/>
    <n v="0"/>
    <n v="0"/>
    <n v="57.9"/>
    <n v="57.9"/>
    <n v="-57.9"/>
  </r>
  <r>
    <x v="11"/>
    <x v="9"/>
    <x v="0"/>
    <s v="6437501"/>
    <n v="721910"/>
    <s v="Supplies-Small Equipment"/>
    <s v="Care Management-Peninsula"/>
    <x v="0"/>
    <m/>
    <n v="0"/>
    <n v="0"/>
    <n v="1334.55"/>
    <n v="0"/>
    <n v="0"/>
    <n v="0"/>
    <n v="0"/>
    <n v="0"/>
    <n v="0"/>
    <n v="0"/>
    <n v="0"/>
    <n v="0"/>
    <n v="1334.55"/>
    <n v="0"/>
  </r>
  <r>
    <x v="11"/>
    <x v="9"/>
    <x v="0"/>
    <s v="6437501"/>
    <n v="721980"/>
    <s v="Supplies-Other"/>
    <s v="Care Management-Peninsula"/>
    <x v="0"/>
    <m/>
    <n v="0"/>
    <n v="60.74"/>
    <n v="58.35"/>
    <n v="0"/>
    <n v="242.9"/>
    <n v="7.96"/>
    <n v="129.99"/>
    <n v="150.85"/>
    <n v="0"/>
    <n v="122.02"/>
    <n v="38.57"/>
    <n v="296.47000000000003"/>
    <n v="1107.8499999999999"/>
    <n v="-257.90000000000003"/>
  </r>
  <r>
    <x v="11"/>
    <x v="9"/>
    <x v="0"/>
    <s v="6437501"/>
    <n v="722000"/>
    <s v="Supplies-Freight Expense"/>
    <s v="Care Management-Peninsula"/>
    <x v="0"/>
    <m/>
    <n v="0"/>
    <n v="0"/>
    <n v="0"/>
    <n v="7.99"/>
    <n v="0"/>
    <n v="0"/>
    <n v="0"/>
    <n v="0"/>
    <n v="0"/>
    <n v="0"/>
    <n v="0"/>
    <n v="0"/>
    <n v="7.99"/>
    <n v="0"/>
  </r>
  <r>
    <x v="12"/>
    <x v="9"/>
    <x v="0"/>
    <s v="6437501"/>
    <n v="730020"/>
    <s v="Rental and Leases-Copier Usage Fees (DO NOT USE)"/>
    <s v="Care Management-Peninsula"/>
    <x v="0"/>
    <n v="5100"/>
    <n v="33.93"/>
    <n v="35.11"/>
    <n v="34.520000000000003"/>
    <n v="34.520000000000003"/>
    <n v="34.520000000000003"/>
    <n v="34.520000000000003"/>
    <n v="32.61"/>
    <n v="35.15"/>
    <n v="35.08"/>
    <n v="35.22"/>
    <n v="35.15"/>
    <n v="39.43"/>
    <n v="419.75999999999993"/>
    <n v="-4.2800000000000011"/>
  </r>
  <r>
    <x v="15"/>
    <x v="9"/>
    <x v="0"/>
    <s v="6437501"/>
    <n v="731060"/>
    <s v="Telephone"/>
    <s v="Care Management-Peninsula"/>
    <x v="0"/>
    <m/>
    <n v="0"/>
    <n v="0"/>
    <n v="0"/>
    <n v="0"/>
    <n v="0"/>
    <n v="0"/>
    <n v="0"/>
    <n v="0"/>
    <n v="0"/>
    <n v="0"/>
    <n v="39"/>
    <n v="0"/>
    <n v="39"/>
    <n v="39"/>
  </r>
  <r>
    <x v="15"/>
    <x v="9"/>
    <x v="0"/>
    <s v="6437501"/>
    <n v="731060"/>
    <s v="Cell Phones"/>
    <s v="Care Management-Peninsula"/>
    <x v="0"/>
    <n v="1001"/>
    <n v="0"/>
    <n v="85.36"/>
    <n v="26.42"/>
    <n v="0"/>
    <n v="26.47"/>
    <n v="26.98"/>
    <n v="55.11"/>
    <n v="0"/>
    <n v="28.08"/>
    <n v="54.13"/>
    <n v="26.47"/>
    <n v="26.74"/>
    <n v="355.76"/>
    <n v="-0.26999999999999957"/>
  </r>
  <r>
    <x v="15"/>
    <x v="9"/>
    <x v="0"/>
    <s v="6437501"/>
    <n v="731060"/>
    <s v="Pagers"/>
    <s v="Care Management-Peninsula"/>
    <x v="0"/>
    <n v="1002"/>
    <n v="279.31"/>
    <n v="279.31"/>
    <n v="279.31"/>
    <n v="279.97000000000003"/>
    <n v="0"/>
    <n v="268.95999999999998"/>
    <n v="579.35"/>
    <n v="297.60000000000002"/>
    <n v="272.60000000000002"/>
    <n v="231.78"/>
    <n v="231.25"/>
    <n v="231.25"/>
    <n v="3230.69"/>
    <n v="0"/>
  </r>
  <r>
    <x v="0"/>
    <x v="9"/>
    <x v="0"/>
    <s v="6437501"/>
    <n v="740020"/>
    <s v="Education-Registration Fees"/>
    <s v="Care Management-Peninsula"/>
    <x v="0"/>
    <m/>
    <n v="0"/>
    <n v="0"/>
    <n v="825"/>
    <n v="0"/>
    <n v="0"/>
    <n v="0"/>
    <n v="0"/>
    <n v="0"/>
    <n v="0"/>
    <n v="499"/>
    <n v="0"/>
    <n v="0"/>
    <n v="1324"/>
    <n v="0"/>
  </r>
  <r>
    <x v="0"/>
    <x v="9"/>
    <x v="0"/>
    <s v="6437501"/>
    <n v="749510"/>
    <s v="Miscellaneous Expenses"/>
    <s v="Care Management-Peninsula"/>
    <x v="0"/>
    <m/>
    <n v="-32.25"/>
    <n v="75.25"/>
    <n v="8310.48"/>
    <n v="230"/>
    <n v="695.04"/>
    <n v="439.55"/>
    <n v="-528.88"/>
    <n v="2077.77"/>
    <n v="1234.78"/>
    <n v="-150.9"/>
    <n v="0"/>
    <n v="1863.03"/>
    <n v="14213.870000000003"/>
    <n v="-1863.03"/>
  </r>
  <r>
    <x v="0"/>
    <x v="9"/>
    <x v="0"/>
    <s v="6437501"/>
    <n v="749510"/>
    <s v="RICE Rewards"/>
    <s v="Care Management-Peninsula"/>
    <x v="0"/>
    <n v="5100"/>
    <n v="0"/>
    <n v="0"/>
    <n v="0"/>
    <n v="0"/>
    <n v="0"/>
    <n v="0"/>
    <n v="0"/>
    <n v="0"/>
    <n v="0"/>
    <n v="296.17"/>
    <n v="0"/>
    <n v="74.53"/>
    <n v="370.70000000000005"/>
    <n v="-74.53"/>
  </r>
  <r>
    <x v="0"/>
    <x v="9"/>
    <x v="0"/>
    <s v="6437501"/>
    <n v="749530"/>
    <s v="Travel"/>
    <s v="Care Management-Peninsula"/>
    <x v="0"/>
    <m/>
    <n v="26.35"/>
    <n v="26"/>
    <n v="10"/>
    <n v="990.93"/>
    <n v="10"/>
    <n v="54.56"/>
    <n v="5"/>
    <n v="343.56"/>
    <n v="15"/>
    <n v="18.8"/>
    <n v="0"/>
    <n v="1079.07"/>
    <n v="2579.2699999999995"/>
    <n v="-1079.07"/>
  </r>
  <r>
    <x v="0"/>
    <x v="9"/>
    <x v="0"/>
    <s v="6437501"/>
    <n v="749530"/>
    <s v="Mileage"/>
    <s v="Care Management-Peninsula"/>
    <x v="0"/>
    <n v="1001"/>
    <n v="121.55"/>
    <n v="239.85"/>
    <n v="196.24"/>
    <n v="261.08999999999997"/>
    <n v="114.48"/>
    <n v="123.18"/>
    <n v="160.24"/>
    <n v="89.9"/>
    <n v="183.86"/>
    <n v="284.2"/>
    <n v="93.38"/>
    <n v="497.64"/>
    <n v="2365.61"/>
    <n v="-404.26"/>
  </r>
  <r>
    <x v="5"/>
    <x v="9"/>
    <x v="0"/>
    <s v="6438501"/>
    <n v="700014"/>
    <s v="Salaries-Management-Productive"/>
    <s v="Care Management-King Cty"/>
    <x v="0"/>
    <m/>
    <n v="17183.11"/>
    <n v="20237.189999999999"/>
    <n v="17158.55"/>
    <n v="20495.21"/>
    <n v="19075.11"/>
    <n v="15987.6"/>
    <n v="18252.830000000002"/>
    <n v="16316.29"/>
    <n v="20421.580000000002"/>
    <n v="15620.12"/>
    <n v="20722.669999999998"/>
    <n v="17618.86"/>
    <n v="219089.12"/>
    <n v="3103.8099999999977"/>
  </r>
  <r>
    <x v="5"/>
    <x v="9"/>
    <x v="0"/>
    <s v="6438501"/>
    <n v="700018"/>
    <s v="Salaries-Supervisory-Productive"/>
    <s v="Care Management-King Cty"/>
    <x v="0"/>
    <m/>
    <n v="15809.38"/>
    <n v="15810.1"/>
    <n v="14933.11"/>
    <n v="15435.1"/>
    <n v="15876.92"/>
    <n v="12703.78"/>
    <n v="12333.32"/>
    <n v="13863.29"/>
    <n v="15812.2"/>
    <n v="15840.09"/>
    <n v="10367.870000000001"/>
    <n v="15893.73"/>
    <n v="174678.89"/>
    <n v="-5525.8599999999988"/>
  </r>
  <r>
    <x v="5"/>
    <x v="9"/>
    <x v="0"/>
    <s v="6438501"/>
    <n v="700026"/>
    <s v="Salaries-RN-Productive"/>
    <s v="Care Management-King Cty"/>
    <x v="0"/>
    <m/>
    <n v="135240.64000000001"/>
    <n v="130921.16"/>
    <n v="130907.71"/>
    <n v="139515.62"/>
    <n v="133578.74"/>
    <n v="145851.16"/>
    <n v="141175.76"/>
    <n v="113410.7"/>
    <n v="147614.35999999999"/>
    <n v="132955.43"/>
    <n v="156613.04999999999"/>
    <n v="155312.17000000001"/>
    <n v="1663096.5"/>
    <n v="1300.8799999999756"/>
  </r>
  <r>
    <x v="5"/>
    <x v="9"/>
    <x v="0"/>
    <s v="6438501"/>
    <n v="700026"/>
    <s v="Salaries-RN-OT"/>
    <s v="Care Management-King Cty"/>
    <x v="0"/>
    <n v="1000"/>
    <n v="5545.48"/>
    <n v="10191.44"/>
    <n v="5710.77"/>
    <n v="5250.43"/>
    <n v="8382.7199999999993"/>
    <n v="6423.69"/>
    <n v="4567.09"/>
    <n v="3412.84"/>
    <n v="5591.05"/>
    <n v="5034.92"/>
    <n v="1923.13"/>
    <n v="1295.17"/>
    <n v="63328.73"/>
    <n v="627.96"/>
  </r>
  <r>
    <x v="5"/>
    <x v="9"/>
    <x v="0"/>
    <s v="6438501"/>
    <n v="700026"/>
    <s v="Salaries-RN-Other"/>
    <s v="Care Management-King Cty"/>
    <x v="0"/>
    <n v="2000"/>
    <n v="2625.35"/>
    <n v="2673.56"/>
    <n v="3141.07"/>
    <n v="3727.8"/>
    <n v="3481.48"/>
    <n v="3436.91"/>
    <n v="2368.3200000000002"/>
    <n v="2567.9299999999998"/>
    <n v="2979.69"/>
    <n v="2219.4899999999998"/>
    <n v="2625.51"/>
    <n v="2938.44"/>
    <n v="34785.550000000003"/>
    <n v="-312.92999999999984"/>
  </r>
  <r>
    <x v="5"/>
    <x v="9"/>
    <x v="0"/>
    <s v="6438501"/>
    <n v="700032"/>
    <s v="Salaries-Other Pat Care Providers-Productive"/>
    <s v="Care Management-King Cty"/>
    <x v="0"/>
    <m/>
    <n v="150136.6"/>
    <n v="161277.48000000001"/>
    <n v="143895.42000000001"/>
    <n v="130085.46"/>
    <n v="137916.84"/>
    <n v="114793.64"/>
    <n v="137079.62"/>
    <n v="115082.58"/>
    <n v="154877.75"/>
    <n v="153784.91"/>
    <n v="162831.75"/>
    <n v="118847.31"/>
    <n v="1680609.3599999999"/>
    <n v="43984.44"/>
  </r>
  <r>
    <x v="5"/>
    <x v="9"/>
    <x v="0"/>
    <s v="6438501"/>
    <n v="700032"/>
    <s v="Salaries-Other Pat Care Providers-OT"/>
    <s v="Care Management-King Cty"/>
    <x v="0"/>
    <n v="1000"/>
    <n v="17068.7"/>
    <n v="5550.88"/>
    <n v="9165.9500000000007"/>
    <n v="8649.6299999999992"/>
    <n v="7945.24"/>
    <n v="6016.12"/>
    <n v="7250.1"/>
    <n v="7319.93"/>
    <n v="6656.9"/>
    <n v="15761.68"/>
    <n v="9426.09"/>
    <n v="11305.37"/>
    <n v="112116.59"/>
    <n v="-1879.2800000000007"/>
  </r>
  <r>
    <x v="5"/>
    <x v="9"/>
    <x v="0"/>
    <s v="6438501"/>
    <n v="700032"/>
    <s v="Salaries-Other Pat Care Providers-Other"/>
    <s v="Care Management-King Cty"/>
    <x v="0"/>
    <n v="2000"/>
    <n v="11925.41"/>
    <n v="10034"/>
    <n v="10300.450000000001"/>
    <n v="7642.6"/>
    <n v="8706.27"/>
    <n v="6830.02"/>
    <n v="7678.96"/>
    <n v="6934.1"/>
    <n v="9071.0499999999993"/>
    <n v="10748.43"/>
    <n v="10122.92"/>
    <n v="9169.99"/>
    <n v="109164.20000000001"/>
    <n v="952.93000000000029"/>
  </r>
  <r>
    <x v="5"/>
    <x v="9"/>
    <x v="0"/>
    <s v="6438501"/>
    <n v="700038"/>
    <s v="Salaries-Service/Support-Productive"/>
    <s v="Care Management-King Cty"/>
    <x v="0"/>
    <m/>
    <n v="9789.66"/>
    <n v="13493.61"/>
    <n v="13084.1"/>
    <n v="16448.52"/>
    <n v="16029.31"/>
    <n v="15513.5"/>
    <n v="16688.8"/>
    <n v="16041.07"/>
    <n v="15526.52"/>
    <n v="14062.43"/>
    <n v="22627.29"/>
    <n v="19874.599999999999"/>
    <n v="189179.41"/>
    <n v="2752.6900000000023"/>
  </r>
  <r>
    <x v="5"/>
    <x v="9"/>
    <x v="0"/>
    <s v="6438501"/>
    <n v="700038"/>
    <s v="Salaries-Service/Support-OT"/>
    <s v="Care Management-King Cty"/>
    <x v="0"/>
    <n v="1000"/>
    <n v="770.59"/>
    <n v="1051.76"/>
    <n v="418.16"/>
    <n v="525.82000000000005"/>
    <n v="220"/>
    <n v="264.39999999999998"/>
    <n v="390.85"/>
    <n v="483.27"/>
    <n v="616.77"/>
    <n v="1346.39"/>
    <n v="72.77"/>
    <n v="565.33000000000004"/>
    <n v="6726.1100000000015"/>
    <n v="-492.56000000000006"/>
  </r>
  <r>
    <x v="5"/>
    <x v="9"/>
    <x v="0"/>
    <s v="6438501"/>
    <n v="700038"/>
    <s v="Salaries-Service/Support-Other"/>
    <s v="Care Management-King Cty"/>
    <x v="0"/>
    <n v="2000"/>
    <n v="0"/>
    <n v="30"/>
    <n v="0"/>
    <n v="0"/>
    <n v="30"/>
    <n v="191.36"/>
    <n v="130.47"/>
    <n v="118.04"/>
    <n v="140.11000000000001"/>
    <n v="116.15"/>
    <n v="159.56"/>
    <n v="107.96"/>
    <n v="1023.6500000000001"/>
    <n v="51.600000000000009"/>
  </r>
  <r>
    <x v="5"/>
    <x v="9"/>
    <x v="0"/>
    <s v="6438501"/>
    <n v="700054"/>
    <s v="Salaries-Management-Non-productive"/>
    <s v="Care Management-King Cty"/>
    <x v="0"/>
    <m/>
    <n v="2932.04"/>
    <n v="-121.12"/>
    <n v="2308.89"/>
    <n v="66.59"/>
    <n v="922.72"/>
    <n v="4678.5200000000004"/>
    <n v="2445.54"/>
    <n v="2377.1"/>
    <n v="274.86"/>
    <n v="4408"/>
    <n v="-26.23"/>
    <n v="2410.1999999999998"/>
    <n v="22677.11"/>
    <n v="-2436.4299999999998"/>
  </r>
  <r>
    <x v="5"/>
    <x v="9"/>
    <x v="0"/>
    <s v="6438501"/>
    <n v="700054"/>
    <s v="Salaries-Management-NonProd-Other"/>
    <s v="Care Management-King Cty"/>
    <x v="0"/>
    <n v="2000"/>
    <n v="0"/>
    <n v="0"/>
    <n v="0"/>
    <n v="0"/>
    <n v="632.34"/>
    <n v="3002.69"/>
    <n v="-1738.01"/>
    <n v="-1897.02"/>
    <n v="0"/>
    <n v="0"/>
    <n v="0"/>
    <n v="0"/>
    <n v="2.2737367544323206E-13"/>
    <n v="0"/>
  </r>
  <r>
    <x v="5"/>
    <x v="9"/>
    <x v="0"/>
    <s v="6438501"/>
    <n v="700058"/>
    <s v="Salaries-Supervisory-Non-productive"/>
    <s v="Care Management-King Cty"/>
    <x v="0"/>
    <m/>
    <n v="0"/>
    <n v="0"/>
    <n v="367.2"/>
    <n v="626.41999999999996"/>
    <n v="-275.62"/>
    <n v="3418.09"/>
    <n v="3813.74"/>
    <n v="719.68"/>
    <n v="333.36"/>
    <n v="-215.88"/>
    <n v="5777.68"/>
    <n v="-268.82"/>
    <n v="14295.850000000002"/>
    <n v="6046.5"/>
  </r>
  <r>
    <x v="5"/>
    <x v="9"/>
    <x v="0"/>
    <s v="6438501"/>
    <n v="700066"/>
    <s v="Salaries-RN-Non-productive"/>
    <s v="Care Management-King Cty"/>
    <x v="0"/>
    <m/>
    <n v="14898.74"/>
    <n v="22332.62"/>
    <n v="18844.82"/>
    <n v="10409.459999999999"/>
    <n v="23034.92"/>
    <n v="20614.37"/>
    <n v="15804.52"/>
    <n v="23678.62"/>
    <n v="10904.67"/>
    <n v="22971.41"/>
    <n v="8342.91"/>
    <n v="19089.400000000001"/>
    <n v="210926.46000000002"/>
    <n v="-10746.490000000002"/>
  </r>
  <r>
    <x v="5"/>
    <x v="9"/>
    <x v="0"/>
    <s v="6438501"/>
    <n v="700066"/>
    <s v="Salaries-RN-NonProd-Other"/>
    <s v="Care Management-King Cty"/>
    <x v="0"/>
    <n v="2000"/>
    <n v="63.47"/>
    <n v="-11.19"/>
    <n v="0"/>
    <n v="200.17"/>
    <n v="554.04999999999995"/>
    <n v="771.15"/>
    <n v="165.98"/>
    <n v="-718.45"/>
    <n v="52.56"/>
    <n v="495.06"/>
    <n v="-25.72"/>
    <n v="475.68"/>
    <n v="2022.76"/>
    <n v="-501.4"/>
  </r>
  <r>
    <x v="5"/>
    <x v="9"/>
    <x v="0"/>
    <s v="6438501"/>
    <n v="700072"/>
    <s v="Salaries-Other Pat Care Providers-Non-productive"/>
    <s v="Care Management-King Cty"/>
    <x v="0"/>
    <m/>
    <n v="33175.81"/>
    <n v="20623.599999999999"/>
    <n v="18945.66"/>
    <n v="15619.82"/>
    <n v="9852.01"/>
    <n v="36064.9"/>
    <n v="17041.46"/>
    <n v="22057.5"/>
    <n v="9488.58"/>
    <n v="24703.16"/>
    <n v="13867.64"/>
    <n v="25493.56"/>
    <n v="246933.69999999995"/>
    <n v="-11625.920000000002"/>
  </r>
  <r>
    <x v="5"/>
    <x v="9"/>
    <x v="0"/>
    <s v="6438501"/>
    <n v="700072"/>
    <s v="Salaries-Other Pat Care Providers-NonProd-Other"/>
    <s v="Care Management-King Cty"/>
    <x v="0"/>
    <n v="2000"/>
    <n v="590.51"/>
    <n v="401.83"/>
    <n v="519.12"/>
    <n v="467.15"/>
    <n v="858"/>
    <n v="1025"/>
    <n v="456.98"/>
    <n v="363.14"/>
    <n v="167.55"/>
    <n v="515.23"/>
    <n v="333.34"/>
    <n v="754.81"/>
    <n v="6452.66"/>
    <n v="-421.46999999999997"/>
  </r>
  <r>
    <x v="5"/>
    <x v="9"/>
    <x v="0"/>
    <s v="6438501"/>
    <n v="700078"/>
    <s v="Salaries-Service/Support-Non-productive"/>
    <s v="Care Management-King Cty"/>
    <x v="0"/>
    <m/>
    <n v="1710.43"/>
    <n v="2537.4299999999998"/>
    <n v="2044.24"/>
    <n v="-244.02"/>
    <n v="1383.94"/>
    <n v="4157.54"/>
    <n v="1561.64"/>
    <n v="1236.0899999999999"/>
    <n v="4119.57"/>
    <n v="3201.7"/>
    <n v="2062.1799999999998"/>
    <n v="3201.06"/>
    <n v="26971.8"/>
    <n v="-1138.8800000000001"/>
  </r>
  <r>
    <x v="5"/>
    <x v="9"/>
    <x v="0"/>
    <s v="6438501"/>
    <n v="700078"/>
    <s v="Salaries-Service/Support-NonProd-Other"/>
    <s v="Care Management-King Cty"/>
    <x v="0"/>
    <n v="2000"/>
    <n v="0"/>
    <n v="13.03"/>
    <n v="0"/>
    <n v="0"/>
    <n v="0"/>
    <n v="13.49"/>
    <n v="0"/>
    <n v="0"/>
    <n v="0"/>
    <n v="0"/>
    <n v="0"/>
    <n v="11.86"/>
    <n v="38.379999999999995"/>
    <n v="-11.86"/>
  </r>
  <r>
    <x v="5"/>
    <x v="9"/>
    <x v="0"/>
    <s v="6438501"/>
    <n v="700084"/>
    <s v="Accrued PTO"/>
    <s v="Care Management-King Cty"/>
    <x v="0"/>
    <m/>
    <n v="2566.86"/>
    <n v="-1094.01"/>
    <n v="-838.99"/>
    <n v="25556.9"/>
    <n v="3841.15"/>
    <n v="-16818.57"/>
    <n v="5749.4"/>
    <n v="-4811.8999999999996"/>
    <n v="16198.73"/>
    <n v="10777.83"/>
    <n v="13667.02"/>
    <n v="6793.44"/>
    <n v="61587.860000000015"/>
    <n v="6873.5800000000008"/>
  </r>
  <r>
    <x v="6"/>
    <x v="9"/>
    <x v="0"/>
    <s v="6438501"/>
    <n v="713010"/>
    <s v="Benefits-FICA/Medicare"/>
    <s v="Care Management-King Cty"/>
    <x v="0"/>
    <m/>
    <n v="32753.58"/>
    <n v="31101.86"/>
    <n v="31604.36"/>
    <n v="29403.01"/>
    <n v="30663.61"/>
    <n v="32096.57"/>
    <n v="31105.25"/>
    <n v="27462.81"/>
    <n v="31739.64"/>
    <n v="33147.57"/>
    <n v="33428.129999999997"/>
    <n v="33670.75"/>
    <n v="378177.14"/>
    <n v="-242.62000000000262"/>
  </r>
  <r>
    <x v="6"/>
    <x v="9"/>
    <x v="0"/>
    <s v="6438501"/>
    <n v="713090"/>
    <s v="Benefits-Allocated Amounts"/>
    <s v="Care Management-King Cty"/>
    <x v="0"/>
    <m/>
    <n v="75654.990000000005"/>
    <n v="67164.33"/>
    <n v="70920.39"/>
    <n v="63971.07"/>
    <n v="62986.37"/>
    <n v="72110.009999999995"/>
    <n v="75109.77"/>
    <n v="70044.100000000006"/>
    <n v="84643.56"/>
    <n v="83575.240000000005"/>
    <n v="83549"/>
    <n v="82474.7"/>
    <n v="892203.53"/>
    <n v="1074.3000000000029"/>
  </r>
  <r>
    <x v="6"/>
    <x v="9"/>
    <x v="0"/>
    <s v="6438501"/>
    <n v="713096"/>
    <s v="Employee Recognition"/>
    <s v="Care Management-King Cty"/>
    <x v="0"/>
    <n v="1017"/>
    <n v="0"/>
    <n v="0"/>
    <n v="0"/>
    <n v="1187.53"/>
    <n v="24.97"/>
    <n v="80.7"/>
    <n v="0"/>
    <n v="86.85"/>
    <n v="1453.49"/>
    <n v="1061.67"/>
    <n v="2109.5500000000002"/>
    <n v="89.33"/>
    <n v="6094.09"/>
    <n v="2020.2200000000003"/>
  </r>
  <r>
    <x v="7"/>
    <x v="9"/>
    <x v="0"/>
    <s v="6438501"/>
    <n v="718050"/>
    <s v="Miscellaneous Purchased Svcs"/>
    <s v="Care Management-King Cty"/>
    <x v="0"/>
    <n v="1020"/>
    <n v="2619.61"/>
    <n v="7234.23"/>
    <n v="3110.55"/>
    <n v="8171.18"/>
    <n v="4018.3"/>
    <n v="4509.7"/>
    <n v="4468.47"/>
    <n v="0"/>
    <n v="2012.75"/>
    <n v="879.2"/>
    <n v="2401.1999999999998"/>
    <n v="0"/>
    <n v="39425.189999999995"/>
    <n v="2401.1999999999998"/>
  </r>
  <r>
    <x v="7"/>
    <x v="9"/>
    <x v="0"/>
    <s v="6438501"/>
    <n v="718050"/>
    <s v="Printing"/>
    <s v="Care Management-King Cty"/>
    <x v="0"/>
    <n v="1021"/>
    <n v="34.43"/>
    <n v="143.85"/>
    <n v="0"/>
    <n v="0"/>
    <n v="57.54"/>
    <n v="0"/>
    <n v="57.54"/>
    <n v="0"/>
    <n v="0"/>
    <n v="0"/>
    <n v="0"/>
    <n v="0"/>
    <n v="293.36"/>
    <n v="0"/>
  </r>
  <r>
    <x v="7"/>
    <x v="9"/>
    <x v="0"/>
    <s v="6438501"/>
    <n v="718050"/>
    <s v="Purchased Srvcs-Medical/Clinical Review"/>
    <s v="Care Management-King Cty"/>
    <x v="0"/>
    <n v="1032"/>
    <n v="14285.44"/>
    <n v="185"/>
    <n v="4220"/>
    <n v="7730.45"/>
    <n v="-0.01"/>
    <n v="11204.87"/>
    <n v="0"/>
    <n v="-80076.87"/>
    <n v="2825"/>
    <n v="0"/>
    <n v="12558.39"/>
    <n v="1110"/>
    <n v="-25957.729999999989"/>
    <n v="11448.39"/>
  </r>
  <r>
    <x v="11"/>
    <x v="9"/>
    <x v="0"/>
    <s v="6438501"/>
    <n v="721810"/>
    <s v="Supplies-Dietary/Cafeteria"/>
    <s v="Care Management-King Cty"/>
    <x v="0"/>
    <m/>
    <n v="7.92"/>
    <n v="16"/>
    <n v="8"/>
    <n v="198.24"/>
    <n v="15.98"/>
    <n v="33.979999999999997"/>
    <n v="16"/>
    <n v="88.65"/>
    <n v="209.23"/>
    <n v="36.86"/>
    <n v="254.37"/>
    <n v="78.88"/>
    <n v="964.11"/>
    <n v="175.49"/>
  </r>
  <r>
    <x v="11"/>
    <x v="9"/>
    <x v="0"/>
    <s v="6438501"/>
    <n v="721830"/>
    <s v="Supplies-Office"/>
    <s v="Care Management-King Cty"/>
    <x v="0"/>
    <m/>
    <n v="318.68"/>
    <n v="412.82"/>
    <n v="403.09"/>
    <n v="4020.96"/>
    <n v="1264.5"/>
    <n v="617.72"/>
    <n v="568.41999999999996"/>
    <n v="544.53"/>
    <n v="833.65"/>
    <n v="618.29"/>
    <n v="277.20999999999998"/>
    <n v="96.2"/>
    <n v="9976.07"/>
    <n v="181.01"/>
  </r>
  <r>
    <x v="11"/>
    <x v="9"/>
    <x v="0"/>
    <s v="6438501"/>
    <n v="721835"/>
    <s v="Supplies-Forms"/>
    <s v="Care Management-King Cty"/>
    <x v="0"/>
    <m/>
    <n v="0"/>
    <n v="0"/>
    <n v="0"/>
    <n v="0"/>
    <n v="651.07000000000005"/>
    <n v="4.9800000000000004"/>
    <n v="129.1"/>
    <n v="0"/>
    <n v="449.34"/>
    <n v="68.400000000000006"/>
    <n v="664.37"/>
    <n v="28.1"/>
    <n v="1995.3600000000001"/>
    <n v="636.27"/>
  </r>
  <r>
    <x v="11"/>
    <x v="9"/>
    <x v="0"/>
    <s v="6438501"/>
    <n v="721910"/>
    <s v="Supplies-Small Equipment"/>
    <s v="Care Management-King Cty"/>
    <x v="0"/>
    <m/>
    <n v="1132.03"/>
    <n v="486.5"/>
    <n v="48.65"/>
    <n v="4327.95"/>
    <n v="0"/>
    <n v="0"/>
    <n v="0"/>
    <n v="1292.2"/>
    <n v="3876.95"/>
    <n v="18.45"/>
    <n v="0"/>
    <n v="566.87"/>
    <n v="11749.6"/>
    <n v="-566.87"/>
  </r>
  <r>
    <x v="11"/>
    <x v="9"/>
    <x v="0"/>
    <s v="6438501"/>
    <n v="721980"/>
    <s v="Supplies-Other"/>
    <s v="Care Management-King Cty"/>
    <x v="0"/>
    <m/>
    <n v="46.12"/>
    <n v="644.25"/>
    <n v="46.12"/>
    <n v="46.12"/>
    <n v="41.93"/>
    <n v="79.98"/>
    <n v="92.24"/>
    <n v="0"/>
    <n v="46.12"/>
    <n v="528.12"/>
    <n v="133.37"/>
    <n v="33.42"/>
    <n v="1737.79"/>
    <n v="99.95"/>
  </r>
  <r>
    <x v="11"/>
    <x v="9"/>
    <x v="0"/>
    <s v="6438501"/>
    <n v="722000"/>
    <s v="Supplies-Freight Expense"/>
    <s v="Care Management-King Cty"/>
    <x v="0"/>
    <m/>
    <n v="0"/>
    <n v="7.93"/>
    <n v="20.38"/>
    <n v="20.59"/>
    <n v="15.99"/>
    <n v="20.67"/>
    <n v="20.190000000000001"/>
    <n v="0"/>
    <n v="38.74"/>
    <n v="21.67"/>
    <n v="0"/>
    <n v="0"/>
    <n v="166.16000000000003"/>
    <n v="0"/>
  </r>
  <r>
    <x v="12"/>
    <x v="9"/>
    <x v="0"/>
    <s v="6438501"/>
    <n v="730020"/>
    <s v="Rental and Leases-Copier Usage Fees (DO NOT USE)"/>
    <s v="Care Management-King Cty"/>
    <x v="0"/>
    <n v="5100"/>
    <n v="466.36"/>
    <n v="665.91"/>
    <n v="566.13"/>
    <n v="566.13"/>
    <n v="566.13"/>
    <n v="566.13"/>
    <n v="-1134.2"/>
    <n v="350.25"/>
    <n v="349.5"/>
    <n v="835.85"/>
    <n v="385.46"/>
    <n v="571.70000000000005"/>
    <n v="4755.3499999999995"/>
    <n v="-186.24000000000007"/>
  </r>
  <r>
    <x v="15"/>
    <x v="9"/>
    <x v="0"/>
    <s v="6438501"/>
    <n v="731060"/>
    <s v="Telephone"/>
    <s v="Care Management-King Cty"/>
    <x v="0"/>
    <m/>
    <n v="0"/>
    <n v="0"/>
    <n v="43"/>
    <n v="47.3"/>
    <n v="4.3"/>
    <n v="1113.3"/>
    <n v="0"/>
    <n v="4.3"/>
    <n v="0"/>
    <n v="57.54"/>
    <n v="305.3"/>
    <n v="25.8"/>
    <n v="1600.8399999999997"/>
    <n v="279.5"/>
  </r>
  <r>
    <x v="15"/>
    <x v="9"/>
    <x v="0"/>
    <s v="6438501"/>
    <n v="731060"/>
    <s v="Cell Phones"/>
    <s v="Care Management-King Cty"/>
    <x v="0"/>
    <n v="1001"/>
    <n v="0"/>
    <n v="156.22999999999999"/>
    <n v="164.86"/>
    <n v="0"/>
    <n v="129.36000000000001"/>
    <n v="131.06"/>
    <n v="264.60000000000002"/>
    <n v="0"/>
    <n v="133.29"/>
    <n v="262.67"/>
    <n v="129.32"/>
    <n v="130.63999999999999"/>
    <n v="1502.0299999999997"/>
    <n v="-1.3199999999999932"/>
  </r>
  <r>
    <x v="15"/>
    <x v="9"/>
    <x v="0"/>
    <s v="6438501"/>
    <n v="731060"/>
    <s v="Pagers"/>
    <s v="Care Management-King Cty"/>
    <x v="0"/>
    <n v="1002"/>
    <n v="0"/>
    <n v="0"/>
    <n v="0"/>
    <n v="0"/>
    <n v="0"/>
    <n v="0"/>
    <n v="0"/>
    <n v="0"/>
    <n v="18.79"/>
    <n v="17.45"/>
    <n v="17.45"/>
    <n v="17.45"/>
    <n v="71.14"/>
    <n v="0"/>
  </r>
  <r>
    <x v="16"/>
    <x v="9"/>
    <x v="0"/>
    <s v="6438501"/>
    <n v="732030"/>
    <s v="Repairs---Other"/>
    <s v="Care Management-King Cty"/>
    <x v="0"/>
    <m/>
    <n v="0"/>
    <n v="702.86"/>
    <n v="0"/>
    <n v="0"/>
    <n v="0"/>
    <n v="0"/>
    <n v="0"/>
    <n v="0"/>
    <n v="0"/>
    <n v="0"/>
    <n v="0"/>
    <n v="0"/>
    <n v="702.86"/>
    <n v="0"/>
  </r>
  <r>
    <x v="13"/>
    <x v="9"/>
    <x v="0"/>
    <s v="6438501"/>
    <n v="735060"/>
    <s v="Depreciation-Fixed Equipment"/>
    <s v="Care Management-King Cty"/>
    <x v="0"/>
    <m/>
    <n v="2.41"/>
    <n v="2.41"/>
    <n v="2.41"/>
    <n v="2.4"/>
    <n v="2.41"/>
    <n v="2.4"/>
    <n v="2.41"/>
    <n v="2.4"/>
    <n v="2.41"/>
    <n v="2.4"/>
    <n v="2.41"/>
    <n v="2.4"/>
    <n v="28.869999999999997"/>
    <n v="1.0000000000000231E-2"/>
  </r>
  <r>
    <x v="13"/>
    <x v="9"/>
    <x v="0"/>
    <s v="6438501"/>
    <n v="735070"/>
    <s v="Depreciation-Movable Equipment"/>
    <s v="Care Management-King Cty"/>
    <x v="0"/>
    <m/>
    <n v="31.65"/>
    <n v="31.65"/>
    <n v="31.7"/>
    <n v="31.65"/>
    <n v="31.7"/>
    <n v="31.65"/>
    <n v="31.7"/>
    <n v="31.63"/>
    <n v="31.75"/>
    <n v="31.62"/>
    <n v="31.76"/>
    <n v="31.61"/>
    <n v="380.07"/>
    <n v="0.15000000000000213"/>
  </r>
  <r>
    <x v="0"/>
    <x v="9"/>
    <x v="0"/>
    <s v="6438501"/>
    <n v="740020"/>
    <s v="Education-Registration Fees"/>
    <s v="Care Management-King Cty"/>
    <x v="0"/>
    <m/>
    <n v="0"/>
    <n v="0"/>
    <n v="1105"/>
    <n v="0"/>
    <n v="0"/>
    <n v="0"/>
    <n v="0"/>
    <n v="0"/>
    <n v="597.42999999999995"/>
    <n v="0"/>
    <n v="0"/>
    <n v="0"/>
    <n v="1702.4299999999998"/>
    <n v="0"/>
  </r>
  <r>
    <x v="0"/>
    <x v="9"/>
    <x v="0"/>
    <s v="6438501"/>
    <n v="743030"/>
    <s v="Subscriptions--Institutional"/>
    <s v="Care Management-King Cty"/>
    <x v="0"/>
    <m/>
    <n v="0"/>
    <n v="0"/>
    <n v="0"/>
    <n v="0"/>
    <n v="0"/>
    <n v="0"/>
    <n v="0"/>
    <n v="0"/>
    <n v="98.79"/>
    <n v="0"/>
    <n v="0"/>
    <n v="0"/>
    <n v="98.79"/>
    <n v="0"/>
  </r>
  <r>
    <x v="0"/>
    <x v="9"/>
    <x v="0"/>
    <s v="6438501"/>
    <n v="749510"/>
    <s v="Miscellaneous Expenses"/>
    <s v="Care Management-King Cty"/>
    <x v="0"/>
    <m/>
    <n v="931.72"/>
    <n v="2067.0300000000002"/>
    <n v="2597.64"/>
    <n v="1570.17"/>
    <n v="1871.07"/>
    <n v="2554.48"/>
    <n v="1043.3599999999999"/>
    <n v="2048.36"/>
    <n v="-3050.59"/>
    <n v="1089.3800000000001"/>
    <n v="3510.9"/>
    <n v="1916.2"/>
    <n v="18149.719999999998"/>
    <n v="1594.7"/>
  </r>
  <r>
    <x v="0"/>
    <x v="9"/>
    <x v="0"/>
    <s v="6438501"/>
    <n v="749510"/>
    <s v="Licenses"/>
    <s v="Care Management-King Cty"/>
    <x v="0"/>
    <n v="1002"/>
    <n v="0"/>
    <n v="0"/>
    <n v="385"/>
    <n v="0"/>
    <n v="0"/>
    <n v="0"/>
    <n v="0"/>
    <n v="0"/>
    <n v="0"/>
    <n v="0"/>
    <n v="0"/>
    <n v="0"/>
    <n v="385"/>
    <n v="0"/>
  </r>
  <r>
    <x v="0"/>
    <x v="9"/>
    <x v="0"/>
    <s v="6438501"/>
    <n v="749510"/>
    <s v="Patient Discharge Assistance"/>
    <s v="Care Management-King Cty"/>
    <x v="0"/>
    <n v="1024"/>
    <n v="0"/>
    <n v="0"/>
    <n v="0"/>
    <n v="75"/>
    <n v="65"/>
    <n v="0"/>
    <n v="0"/>
    <n v="0"/>
    <n v="0"/>
    <n v="0"/>
    <n v="0"/>
    <n v="0"/>
    <n v="140"/>
    <n v="0"/>
  </r>
  <r>
    <x v="0"/>
    <x v="9"/>
    <x v="0"/>
    <s v="6438501"/>
    <n v="749510"/>
    <s v="RICE Rewards"/>
    <s v="Care Management-King Cty"/>
    <x v="0"/>
    <n v="5100"/>
    <n v="0"/>
    <n v="0"/>
    <n v="0"/>
    <n v="0"/>
    <n v="0"/>
    <n v="87.25"/>
    <n v="0"/>
    <n v="0"/>
    <n v="118.98"/>
    <n v="0"/>
    <n v="0"/>
    <n v="0"/>
    <n v="206.23000000000002"/>
    <n v="0"/>
  </r>
  <r>
    <x v="0"/>
    <x v="9"/>
    <x v="0"/>
    <s v="6438501"/>
    <n v="749530"/>
    <s v="Travel"/>
    <s v="Care Management-King Cty"/>
    <x v="0"/>
    <m/>
    <n v="0"/>
    <n v="44"/>
    <n v="50.07"/>
    <n v="99"/>
    <n v="0"/>
    <n v="515.79999999999995"/>
    <n v="22.07"/>
    <n v="456.73"/>
    <n v="210.67"/>
    <n v="6"/>
    <n v="0"/>
    <n v="16"/>
    <n v="1420.3400000000001"/>
    <n v="-16"/>
  </r>
  <r>
    <x v="0"/>
    <x v="9"/>
    <x v="0"/>
    <s v="6438501"/>
    <n v="749530"/>
    <s v="Mileage"/>
    <s v="Care Management-King Cty"/>
    <x v="0"/>
    <n v="1001"/>
    <n v="435.58"/>
    <n v="600.78"/>
    <n v="791.03"/>
    <n v="655.26"/>
    <n v="762.14"/>
    <n v="347.32"/>
    <n v="571.88"/>
    <n v="551.58000000000004"/>
    <n v="325.95999999999998"/>
    <n v="879.28"/>
    <n v="591.6"/>
    <n v="1122.8800000000001"/>
    <n v="7635.29"/>
    <n v="-531.28000000000009"/>
  </r>
  <r>
    <x v="0"/>
    <x v="9"/>
    <x v="0"/>
    <s v="6438501"/>
    <n v="749535"/>
    <s v="Meetings"/>
    <s v="Care Management-King Cty"/>
    <x v="0"/>
    <m/>
    <n v="0"/>
    <n v="29.99"/>
    <n v="0"/>
    <n v="0"/>
    <n v="0"/>
    <n v="176"/>
    <n v="0"/>
    <n v="0"/>
    <n v="0"/>
    <n v="0"/>
    <n v="0"/>
    <n v="0"/>
    <n v="205.99"/>
    <n v="0"/>
  </r>
  <r>
    <x v="5"/>
    <x v="9"/>
    <x v="0"/>
    <s v="6439501"/>
    <n v="700014"/>
    <s v="Salaries-Management-Productive"/>
    <s v="Care Management-Pierce"/>
    <x v="0"/>
    <m/>
    <n v="7594.57"/>
    <n v="10175.780000000001"/>
    <n v="7890.02"/>
    <n v="11636.48"/>
    <n v="11308.84"/>
    <n v="7615.05"/>
    <n v="11552.72"/>
    <n v="10570.68"/>
    <n v="8532.1299999999992"/>
    <n v="11325.42"/>
    <n v="3888.69"/>
    <n v="7965.91"/>
    <n v="110056.29000000002"/>
    <n v="-4077.22"/>
  </r>
  <r>
    <x v="5"/>
    <x v="9"/>
    <x v="0"/>
    <s v="6439501"/>
    <n v="700018"/>
    <s v="Salaries-Supervisory-Productive"/>
    <s v="Care Management-Pierce"/>
    <x v="0"/>
    <m/>
    <n v="23779.599999999999"/>
    <n v="24767.91"/>
    <n v="24148.7"/>
    <n v="24563.26"/>
    <n v="16847.13"/>
    <n v="20435.34"/>
    <n v="23265.68"/>
    <n v="23805.5"/>
    <n v="22901.16"/>
    <n v="26770.15"/>
    <n v="26860.959999999999"/>
    <n v="25412.25"/>
    <n v="283557.64"/>
    <n v="1448.7099999999991"/>
  </r>
  <r>
    <x v="5"/>
    <x v="9"/>
    <x v="0"/>
    <s v="6439501"/>
    <n v="700026"/>
    <s v="Salaries-RN-Productive"/>
    <s v="Care Management-Pierce"/>
    <x v="0"/>
    <m/>
    <n v="246343.66"/>
    <n v="243178.61"/>
    <n v="220431.74"/>
    <n v="265538.19"/>
    <n v="268777.25"/>
    <n v="245064.01"/>
    <n v="281207.98"/>
    <n v="253306.07"/>
    <n v="277944.43"/>
    <n v="255079.3"/>
    <n v="267453.99"/>
    <n v="261086.25"/>
    <n v="3085411.4799999995"/>
    <n v="6367.7399999999907"/>
  </r>
  <r>
    <x v="5"/>
    <x v="9"/>
    <x v="0"/>
    <s v="6439501"/>
    <n v="700026"/>
    <s v="Salaries-RN-OT"/>
    <s v="Care Management-Pierce"/>
    <x v="0"/>
    <n v="1000"/>
    <n v="5821.38"/>
    <n v="5410.65"/>
    <n v="4968.6099999999997"/>
    <n v="8913.75"/>
    <n v="6458.84"/>
    <n v="4349.55"/>
    <n v="6612.42"/>
    <n v="2334.9899999999998"/>
    <n v="7875.5"/>
    <n v="2288.83"/>
    <n v="9534.48"/>
    <n v="4252.3"/>
    <n v="68821.3"/>
    <n v="5282.1799999999994"/>
  </r>
  <r>
    <x v="5"/>
    <x v="9"/>
    <x v="0"/>
    <s v="6439501"/>
    <n v="700026"/>
    <s v="Salaries-RN-Other"/>
    <s v="Care Management-Pierce"/>
    <x v="0"/>
    <n v="2000"/>
    <n v="1567.19"/>
    <n v="1752.21"/>
    <n v="1559.82"/>
    <n v="1262.32"/>
    <n v="1834.48"/>
    <n v="1808.97"/>
    <n v="2851.68"/>
    <n v="3390.05"/>
    <n v="4422.41"/>
    <n v="2930.07"/>
    <n v="4179.16"/>
    <n v="3530.61"/>
    <n v="31088.97"/>
    <n v="648.54999999999973"/>
  </r>
  <r>
    <x v="5"/>
    <x v="9"/>
    <x v="0"/>
    <s v="6439501"/>
    <n v="700032"/>
    <s v="Salaries-Other Pat Care Providers-Productive"/>
    <s v="Care Management-Pierce"/>
    <x v="0"/>
    <m/>
    <n v="172619.63"/>
    <n v="180208.31"/>
    <n v="181744.51"/>
    <n v="203180.61"/>
    <n v="187515.42"/>
    <n v="196023.95"/>
    <n v="210364.59"/>
    <n v="181111.87"/>
    <n v="211758.34"/>
    <n v="198447.59"/>
    <n v="203347.93"/>
    <n v="181290.25"/>
    <n v="2307613.0000000005"/>
    <n v="22057.679999999993"/>
  </r>
  <r>
    <x v="5"/>
    <x v="9"/>
    <x v="0"/>
    <s v="6439501"/>
    <n v="700032"/>
    <s v="Salaries-Other Pat Care Providers-OT"/>
    <s v="Care Management-Pierce"/>
    <x v="0"/>
    <n v="1000"/>
    <n v="8868.69"/>
    <n v="11572.13"/>
    <n v="5952.06"/>
    <n v="14140.57"/>
    <n v="7522.46"/>
    <n v="2899.87"/>
    <n v="5073.16"/>
    <n v="5127.1499999999996"/>
    <n v="5427.72"/>
    <n v="7236.13"/>
    <n v="6046.96"/>
    <n v="6462.5"/>
    <n v="86329.400000000009"/>
    <n v="-415.53999999999996"/>
  </r>
  <r>
    <x v="5"/>
    <x v="9"/>
    <x v="0"/>
    <s v="6439501"/>
    <n v="700032"/>
    <s v="Salaries-Other Pat Care Providers-Other"/>
    <s v="Care Management-Pierce"/>
    <x v="0"/>
    <n v="2000"/>
    <n v="8116.41"/>
    <n v="8745.49"/>
    <n v="7850.5"/>
    <n v="7648.69"/>
    <n v="9036.5"/>
    <n v="10919.65"/>
    <n v="11453.13"/>
    <n v="9399.59"/>
    <n v="10342.25"/>
    <n v="10318.26"/>
    <n v="9300.82"/>
    <n v="9320.52"/>
    <n v="112451.80999999998"/>
    <n v="-19.700000000000728"/>
  </r>
  <r>
    <x v="5"/>
    <x v="9"/>
    <x v="0"/>
    <s v="6439501"/>
    <n v="700038"/>
    <s v="Salaries-Service/Support-Productive"/>
    <s v="Care Management-Pierce"/>
    <x v="0"/>
    <m/>
    <n v="13621.77"/>
    <n v="16675.28"/>
    <n v="16102.57"/>
    <n v="20945.84"/>
    <n v="20289.22"/>
    <n v="17857.88"/>
    <n v="18714.47"/>
    <n v="14241.78"/>
    <n v="15183.2"/>
    <n v="14446.44"/>
    <n v="14782.94"/>
    <n v="14993.55"/>
    <n v="197854.94"/>
    <n v="-210.60999999999876"/>
  </r>
  <r>
    <x v="5"/>
    <x v="9"/>
    <x v="0"/>
    <s v="6439501"/>
    <n v="700038"/>
    <s v="Salaries-Service/Support-OT"/>
    <s v="Care Management-Pierce"/>
    <x v="0"/>
    <n v="1000"/>
    <n v="355.72"/>
    <n v="628.66999999999996"/>
    <n v="506.31"/>
    <n v="891.84"/>
    <n v="689.49"/>
    <n v="-237.17"/>
    <n v="821.44"/>
    <n v="301.83"/>
    <n v="702.69"/>
    <n v="508.81"/>
    <n v="-33.78"/>
    <n v="274.98"/>
    <n v="5410.83"/>
    <n v="-308.76"/>
  </r>
  <r>
    <x v="5"/>
    <x v="9"/>
    <x v="0"/>
    <s v="6439501"/>
    <n v="700038"/>
    <s v="Salaries-Service/Support-Other"/>
    <s v="Care Management-Pierce"/>
    <x v="0"/>
    <n v="2000"/>
    <n v="0"/>
    <n v="10.35"/>
    <n v="26.9"/>
    <n v="12"/>
    <n v="0"/>
    <n v="8.34"/>
    <n v="32.86"/>
    <n v="7.88"/>
    <n v="0"/>
    <n v="0"/>
    <n v="0"/>
    <n v="15.98"/>
    <n v="114.31"/>
    <n v="-15.98"/>
  </r>
  <r>
    <x v="5"/>
    <x v="9"/>
    <x v="0"/>
    <s v="6439501"/>
    <n v="700054"/>
    <s v="Salaries-Management-Non-productive"/>
    <s v="Care Management-Pierce"/>
    <x v="0"/>
    <m/>
    <n v="3834.24"/>
    <n v="1253.54"/>
    <n v="3170.78"/>
    <n v="0"/>
    <n v="0"/>
    <n v="4071.14"/>
    <n v="151.71"/>
    <n v="0"/>
    <n v="3171.2"/>
    <n v="0"/>
    <n v="7814.63"/>
    <n v="3360.04"/>
    <n v="26827.279999999999"/>
    <n v="4454.59"/>
  </r>
  <r>
    <x v="5"/>
    <x v="9"/>
    <x v="0"/>
    <s v="6439501"/>
    <n v="700054"/>
    <s v="Salaries-Management-NonProd-Other"/>
    <s v="Care Management-Pierce"/>
    <x v="0"/>
    <n v="2000"/>
    <n v="0"/>
    <n v="0"/>
    <n v="0"/>
    <n v="0"/>
    <n v="361.09"/>
    <n v="5916.96"/>
    <n v="-5916.96"/>
    <n v="-361.09"/>
    <n v="0"/>
    <n v="0"/>
    <n v="0"/>
    <n v="0"/>
    <n v="1.7053025658242404E-13"/>
    <n v="0"/>
  </r>
  <r>
    <x v="5"/>
    <x v="9"/>
    <x v="0"/>
    <s v="6439501"/>
    <n v="700058"/>
    <s v="Salaries-Supervisory-Non-productive"/>
    <s v="Care Management-Pierce"/>
    <x v="0"/>
    <m/>
    <n v="3137.09"/>
    <n v="2150.0300000000002"/>
    <n v="1901.28"/>
    <n v="3044.45"/>
    <n v="10027.540000000001"/>
    <n v="7336.54"/>
    <n v="4549.62"/>
    <n v="1315.45"/>
    <n v="4911.5"/>
    <n v="144.47999999999999"/>
    <n v="951.69"/>
    <n v="1503.61"/>
    <n v="40973.280000000006"/>
    <n v="-551.91999999999985"/>
  </r>
  <r>
    <x v="5"/>
    <x v="9"/>
    <x v="0"/>
    <s v="6439501"/>
    <n v="700066"/>
    <s v="Salaries-RN-Non-productive"/>
    <s v="Care Management-Pierce"/>
    <x v="0"/>
    <m/>
    <n v="62270.35"/>
    <n v="63345.03"/>
    <n v="68988.77"/>
    <n v="41112.370000000003"/>
    <n v="31129.55"/>
    <n v="70713.66"/>
    <n v="45296.78"/>
    <n v="40263.51"/>
    <n v="43840.18"/>
    <n v="47106.19"/>
    <n v="46395.38"/>
    <n v="42880.58"/>
    <n v="603342.35"/>
    <n v="3514.7999999999956"/>
  </r>
  <r>
    <x v="5"/>
    <x v="9"/>
    <x v="0"/>
    <s v="6439501"/>
    <n v="700066"/>
    <s v="Salaries-RN-NonProd-Other"/>
    <s v="Care Management-Pierce"/>
    <x v="0"/>
    <n v="2000"/>
    <n v="649.88"/>
    <n v="23.51"/>
    <n v="-470.78"/>
    <n v="329.31"/>
    <n v="1834.23"/>
    <n v="3021.74"/>
    <n v="108.16"/>
    <n v="-4760.3599999999997"/>
    <n v="29.02"/>
    <n v="161.32"/>
    <n v="-7.66"/>
    <n v="57.85"/>
    <n v="976.21999999999957"/>
    <n v="-65.510000000000005"/>
  </r>
  <r>
    <x v="5"/>
    <x v="9"/>
    <x v="0"/>
    <s v="6439501"/>
    <n v="700072"/>
    <s v="Salaries-Other Pat Care Providers-Non-productive"/>
    <s v="Care Management-Pierce"/>
    <x v="0"/>
    <m/>
    <n v="37308.82"/>
    <n v="29704.85"/>
    <n v="24317.4"/>
    <n v="21911.17"/>
    <n v="21851.08"/>
    <n v="36083.42"/>
    <n v="28231.48"/>
    <n v="30356"/>
    <n v="19299.169999999998"/>
    <n v="25930.02"/>
    <n v="18946.2"/>
    <n v="35079.870000000003"/>
    <n v="329019.48000000004"/>
    <n v="-16133.670000000002"/>
  </r>
  <r>
    <x v="5"/>
    <x v="9"/>
    <x v="0"/>
    <s v="6439501"/>
    <n v="700072"/>
    <s v="Salaries-Other Pat Care Providers-NonProd-Other"/>
    <s v="Care Management-Pierce"/>
    <x v="0"/>
    <n v="2000"/>
    <n v="606.13"/>
    <n v="188.15"/>
    <n v="333.61"/>
    <n v="420.7"/>
    <n v="2265.08"/>
    <n v="2379.4699999999998"/>
    <n v="216.43"/>
    <n v="-3785.7"/>
    <n v="96.44"/>
    <n v="647.35"/>
    <n v="174.62"/>
    <n v="313.2"/>
    <n v="3855.4799999999996"/>
    <n v="-138.57999999999998"/>
  </r>
  <r>
    <x v="5"/>
    <x v="9"/>
    <x v="0"/>
    <s v="6439501"/>
    <n v="700078"/>
    <s v="Salaries-Service/Support-Non-productive"/>
    <s v="Care Management-Pierce"/>
    <x v="0"/>
    <m/>
    <n v="5335.63"/>
    <n v="400.75"/>
    <n v="4798.32"/>
    <n v="457.18"/>
    <n v="230.12"/>
    <n v="3371.5"/>
    <n v="2671.07"/>
    <n v="2718.71"/>
    <n v="1503.79"/>
    <n v="2112.81"/>
    <n v="2205.25"/>
    <n v="1604.18"/>
    <n v="27409.310000000005"/>
    <n v="601.06999999999994"/>
  </r>
  <r>
    <x v="5"/>
    <x v="9"/>
    <x v="0"/>
    <s v="6439501"/>
    <n v="700078"/>
    <s v="Salaries-Service/Support-NonProd-Other"/>
    <s v="Care Management-Pierce"/>
    <x v="0"/>
    <n v="2000"/>
    <n v="0"/>
    <n v="0"/>
    <n v="0"/>
    <n v="0"/>
    <n v="259.77"/>
    <n v="0"/>
    <n v="0"/>
    <n v="-259.77"/>
    <n v="0"/>
    <n v="0"/>
    <n v="0"/>
    <n v="0"/>
    <n v="0"/>
    <n v="0"/>
  </r>
  <r>
    <x v="5"/>
    <x v="9"/>
    <x v="0"/>
    <s v="6439501"/>
    <n v="700084"/>
    <s v="Accrued PTO"/>
    <s v="Care Management-Pierce"/>
    <x v="0"/>
    <m/>
    <n v="-7344.97"/>
    <n v="-222.58"/>
    <n v="-19420.61"/>
    <n v="29455.56"/>
    <n v="18312.189999999999"/>
    <n v="-25846.98"/>
    <n v="2671.95"/>
    <n v="8535.07"/>
    <n v="10374.69"/>
    <n v="3737.56"/>
    <n v="11272.07"/>
    <n v="6330.47"/>
    <n v="37854.42"/>
    <n v="4941.5999999999995"/>
  </r>
  <r>
    <x v="6"/>
    <x v="9"/>
    <x v="0"/>
    <s v="6439501"/>
    <n v="713010"/>
    <s v="Benefits-FICA/Medicare"/>
    <s v="Care Management-Pierce"/>
    <x v="0"/>
    <m/>
    <n v="44746.11"/>
    <n v="44854.66"/>
    <n v="42589.279999999999"/>
    <n v="46433.77"/>
    <n v="45100.23"/>
    <n v="48317.9"/>
    <n v="48878.21"/>
    <n v="43115.7"/>
    <n v="47253.85"/>
    <n v="44728.43"/>
    <n v="46128.23"/>
    <n v="45091.38"/>
    <n v="547237.75"/>
    <n v="1036.8500000000058"/>
  </r>
  <r>
    <x v="6"/>
    <x v="9"/>
    <x v="0"/>
    <s v="6439501"/>
    <n v="713090"/>
    <s v="Benefits-Allocated Amounts"/>
    <s v="Care Management-Pierce"/>
    <x v="0"/>
    <m/>
    <n v="100867.85"/>
    <n v="93392.08"/>
    <n v="96551.06"/>
    <n v="98817.08"/>
    <n v="90890.21"/>
    <n v="105912.5"/>
    <n v="114294.62"/>
    <n v="105121.83"/>
    <n v="121364.5"/>
    <n v="109194.56"/>
    <n v="109684.52"/>
    <n v="107524.02"/>
    <n v="1253614.83"/>
    <n v="2160.5"/>
  </r>
  <r>
    <x v="6"/>
    <x v="9"/>
    <x v="0"/>
    <s v="6439501"/>
    <n v="713096"/>
    <s v="Employee Recognition"/>
    <s v="Care Management-Pierce"/>
    <x v="0"/>
    <n v="1017"/>
    <n v="54.39"/>
    <n v="53.51"/>
    <n v="0"/>
    <n v="54.95"/>
    <n v="0"/>
    <n v="42.48"/>
    <n v="28.3"/>
    <n v="57.68"/>
    <n v="0"/>
    <n v="107.79"/>
    <n v="497.89"/>
    <n v="155"/>
    <n v="1051.99"/>
    <n v="342.89"/>
  </r>
  <r>
    <x v="7"/>
    <x v="9"/>
    <x v="0"/>
    <s v="6439501"/>
    <n v="718050"/>
    <s v="Contract Svcs-Other"/>
    <s v="Care Management-Pierce"/>
    <x v="0"/>
    <m/>
    <n v="0"/>
    <n v="3326.61"/>
    <n v="0"/>
    <n v="709.48"/>
    <n v="55.95"/>
    <n v="539.9"/>
    <n v="0"/>
    <n v="410.65"/>
    <n v="0"/>
    <n v="3379.09"/>
    <n v="443.59"/>
    <n v="294.56"/>
    <n v="9159.83"/>
    <n v="149.02999999999997"/>
  </r>
  <r>
    <x v="7"/>
    <x v="9"/>
    <x v="0"/>
    <s v="6439501"/>
    <n v="718050"/>
    <s v="Miscellaneous Purchased Svcs"/>
    <s v="Care Management-Pierce"/>
    <x v="0"/>
    <n v="1020"/>
    <n v="7773.05"/>
    <n v="5998"/>
    <n v="1755.27"/>
    <n v="0"/>
    <n v="3820.5"/>
    <n v="7312.24"/>
    <n v="3002.78"/>
    <n v="2282.39"/>
    <n v="6220.92"/>
    <n v="684.02"/>
    <n v="0"/>
    <n v="3179.24"/>
    <n v="42028.409999999989"/>
    <n v="-3179.24"/>
  </r>
  <r>
    <x v="7"/>
    <x v="9"/>
    <x v="0"/>
    <s v="6439501"/>
    <n v="718050"/>
    <s v="Printing"/>
    <s v="Care Management-Pierce"/>
    <x v="0"/>
    <n v="1021"/>
    <n v="115.16"/>
    <n v="28.79"/>
    <n v="0"/>
    <n v="28.79"/>
    <n v="0"/>
    <n v="28.79"/>
    <n v="0"/>
    <n v="0"/>
    <n v="0"/>
    <n v="0"/>
    <n v="0"/>
    <n v="0"/>
    <n v="201.52999999999997"/>
    <n v="0"/>
  </r>
  <r>
    <x v="7"/>
    <x v="9"/>
    <x v="0"/>
    <s v="6439501"/>
    <n v="718050"/>
    <s v="Purchased Srvcs-Medical/Clinical Review"/>
    <s v="Care Management-Pierce"/>
    <x v="0"/>
    <n v="1032"/>
    <n v="22054.080000000002"/>
    <n v="185"/>
    <n v="4675"/>
    <n v="13384.07"/>
    <n v="0.01"/>
    <n v="0"/>
    <n v="0"/>
    <n v="-105130"/>
    <n v="0"/>
    <n v="0"/>
    <n v="16898.16"/>
    <n v="0"/>
    <n v="-47933.679999999993"/>
    <n v="16898.16"/>
  </r>
  <r>
    <x v="11"/>
    <x v="9"/>
    <x v="0"/>
    <s v="6439501"/>
    <n v="721250"/>
    <s v="Supplies-Pharmacy Drugs - Billable"/>
    <s v="Care Management-Pierce"/>
    <x v="0"/>
    <m/>
    <n v="0"/>
    <n v="0"/>
    <n v="0"/>
    <n v="0"/>
    <n v="0"/>
    <n v="0"/>
    <n v="0"/>
    <n v="0"/>
    <n v="0"/>
    <n v="0"/>
    <n v="311.63"/>
    <n v="0"/>
    <n v="311.63"/>
    <n v="311.63"/>
  </r>
  <r>
    <x v="11"/>
    <x v="9"/>
    <x v="0"/>
    <s v="6439501"/>
    <n v="721810"/>
    <s v="Supplies-Dietary/Cafeteria"/>
    <s v="Care Management-Pierce"/>
    <x v="0"/>
    <m/>
    <n v="0"/>
    <n v="3.88"/>
    <n v="0"/>
    <n v="427.66"/>
    <n v="10.69"/>
    <n v="7.69"/>
    <n v="7.26"/>
    <n v="24"/>
    <n v="0"/>
    <n v="54.2"/>
    <n v="66.540000000000006"/>
    <n v="161.28"/>
    <n v="763.19999999999993"/>
    <n v="-94.74"/>
  </r>
  <r>
    <x v="11"/>
    <x v="9"/>
    <x v="0"/>
    <s v="6439501"/>
    <n v="721830"/>
    <s v="Supplies-Office"/>
    <s v="Care Management-Pierce"/>
    <x v="0"/>
    <m/>
    <n v="0"/>
    <n v="24.2"/>
    <n v="67"/>
    <n v="33.380000000000003"/>
    <n v="0"/>
    <n v="55.05"/>
    <n v="28.79"/>
    <n v="157.72"/>
    <n v="178.07"/>
    <n v="406.23"/>
    <n v="0"/>
    <n v="656.25"/>
    <n v="1606.69"/>
    <n v="-656.25"/>
  </r>
  <r>
    <x v="11"/>
    <x v="9"/>
    <x v="0"/>
    <s v="6439501"/>
    <n v="721835"/>
    <s v="Supplies-Forms"/>
    <s v="Care Management-Pierce"/>
    <x v="0"/>
    <m/>
    <n v="0"/>
    <n v="0"/>
    <n v="0"/>
    <n v="0"/>
    <n v="75.400000000000006"/>
    <n v="128.56"/>
    <n v="78"/>
    <n v="0"/>
    <n v="40"/>
    <n v="55.2"/>
    <n v="0"/>
    <n v="78"/>
    <n v="455.16"/>
    <n v="-78"/>
  </r>
  <r>
    <x v="11"/>
    <x v="9"/>
    <x v="0"/>
    <s v="6439501"/>
    <n v="721910"/>
    <s v="Supplies-Small Equipment"/>
    <s v="Care Management-Pierce"/>
    <x v="0"/>
    <m/>
    <n v="0"/>
    <n v="0"/>
    <n v="0"/>
    <n v="92.44"/>
    <n v="0"/>
    <n v="0"/>
    <n v="0"/>
    <n v="0"/>
    <n v="0"/>
    <n v="0"/>
    <n v="0"/>
    <n v="0"/>
    <n v="92.44"/>
    <n v="0"/>
  </r>
  <r>
    <x v="11"/>
    <x v="9"/>
    <x v="0"/>
    <s v="6439501"/>
    <n v="721980"/>
    <s v="Supplies-Other"/>
    <s v="Care Management-Pierce"/>
    <x v="0"/>
    <m/>
    <n v="16.96"/>
    <n v="30.79"/>
    <n v="0"/>
    <n v="207.95"/>
    <n v="0"/>
    <n v="193.81"/>
    <n v="0"/>
    <n v="0"/>
    <n v="0"/>
    <n v="117.46"/>
    <n v="0"/>
    <n v="7.46"/>
    <n v="574.43000000000006"/>
    <n v="-7.46"/>
  </r>
  <r>
    <x v="11"/>
    <x v="9"/>
    <x v="0"/>
    <s v="6439501"/>
    <n v="722000"/>
    <s v="Supplies-Freight Expense"/>
    <s v="Care Management-Pierce"/>
    <x v="0"/>
    <m/>
    <n v="0"/>
    <n v="0"/>
    <n v="0"/>
    <n v="20.56"/>
    <n v="0"/>
    <n v="21.6"/>
    <n v="0"/>
    <n v="0"/>
    <n v="0"/>
    <n v="0"/>
    <n v="0"/>
    <n v="0"/>
    <n v="42.16"/>
    <n v="0"/>
  </r>
  <r>
    <x v="15"/>
    <x v="9"/>
    <x v="0"/>
    <s v="6439501"/>
    <n v="731060"/>
    <s v="Cell Phones"/>
    <s v="Care Management-Pierce"/>
    <x v="0"/>
    <n v="1001"/>
    <n v="100.2"/>
    <n v="461.33"/>
    <n v="208.37"/>
    <n v="200.2"/>
    <n v="117.98"/>
    <n v="420.56"/>
    <n v="241.3"/>
    <n v="100.1"/>
    <n v="271.58"/>
    <n v="341.36"/>
    <n v="117.96"/>
    <n v="451.75"/>
    <n v="3032.69"/>
    <n v="-333.79"/>
  </r>
  <r>
    <x v="15"/>
    <x v="9"/>
    <x v="0"/>
    <s v="6439501"/>
    <n v="731060"/>
    <s v="Pagers"/>
    <s v="Care Management-Pierce"/>
    <x v="0"/>
    <n v="1002"/>
    <n v="0"/>
    <n v="0"/>
    <n v="39"/>
    <n v="441.8"/>
    <n v="44.23"/>
    <n v="0"/>
    <n v="0"/>
    <n v="0"/>
    <n v="0"/>
    <n v="0"/>
    <n v="0"/>
    <n v="0"/>
    <n v="525.03"/>
    <n v="0"/>
  </r>
  <r>
    <x v="0"/>
    <x v="9"/>
    <x v="0"/>
    <s v="6439501"/>
    <n v="740020"/>
    <s v="Education-Registration Fees"/>
    <s v="Care Management-Pierce"/>
    <x v="0"/>
    <m/>
    <n v="775.5"/>
    <n v="0"/>
    <n v="0"/>
    <n v="1230"/>
    <n v="0"/>
    <n v="825"/>
    <n v="0"/>
    <n v="1023"/>
    <n v="0"/>
    <n v="0"/>
    <n v="550"/>
    <n v="0"/>
    <n v="4403.5"/>
    <n v="550"/>
  </r>
  <r>
    <x v="0"/>
    <x v="9"/>
    <x v="0"/>
    <s v="6439501"/>
    <n v="740030"/>
    <s v="Education-Travel"/>
    <s v="Care Management-Pierce"/>
    <x v="0"/>
    <m/>
    <n v="0"/>
    <n v="0"/>
    <n v="0"/>
    <n v="0"/>
    <n v="0"/>
    <n v="0"/>
    <n v="0"/>
    <n v="0"/>
    <n v="0"/>
    <n v="0"/>
    <n v="80"/>
    <n v="0"/>
    <n v="80"/>
    <n v="80"/>
  </r>
  <r>
    <x v="0"/>
    <x v="9"/>
    <x v="0"/>
    <s v="6439501"/>
    <n v="743020"/>
    <s v="Dues--Individual"/>
    <s v="Care Management-Pierce"/>
    <x v="0"/>
    <m/>
    <n v="0"/>
    <n v="0"/>
    <n v="0"/>
    <n v="762"/>
    <n v="0"/>
    <n v="0"/>
    <n v="0"/>
    <n v="0"/>
    <n v="0"/>
    <n v="0"/>
    <n v="0"/>
    <n v="135"/>
    <n v="897"/>
    <n v="-135"/>
  </r>
  <r>
    <x v="0"/>
    <x v="9"/>
    <x v="0"/>
    <s v="6439501"/>
    <n v="749510"/>
    <s v="Miscellaneous Expenses"/>
    <s v="Care Management-Pierce"/>
    <x v="0"/>
    <m/>
    <n v="-3172.46"/>
    <n v="-661.18"/>
    <n v="2825.15"/>
    <n v="5540.88"/>
    <n v="1488.35"/>
    <n v="-3757.55"/>
    <n v="3630.77"/>
    <n v="-1071.55"/>
    <n v="-3047.85"/>
    <n v="3691.99"/>
    <n v="-2075.17"/>
    <n v="-443.1"/>
    <n v="2948.2799999999993"/>
    <n v="-1632.0700000000002"/>
  </r>
  <r>
    <x v="0"/>
    <x v="9"/>
    <x v="0"/>
    <s v="6439501"/>
    <n v="749510"/>
    <s v="Projects and Publications"/>
    <s v="Care Management-Pierce"/>
    <x v="0"/>
    <n v="1005"/>
    <n v="0"/>
    <n v="0"/>
    <n v="0"/>
    <n v="0"/>
    <n v="0"/>
    <n v="0"/>
    <n v="0"/>
    <n v="111.3"/>
    <n v="0"/>
    <n v="0"/>
    <n v="0"/>
    <n v="0"/>
    <n v="111.3"/>
    <n v="0"/>
  </r>
  <r>
    <x v="0"/>
    <x v="9"/>
    <x v="0"/>
    <s v="6439501"/>
    <n v="749510"/>
    <s v="Miscellaneous Expense"/>
    <s v="Care Management-Pierce"/>
    <x v="0"/>
    <n v="1009"/>
    <n v="0"/>
    <n v="58.36"/>
    <n v="0"/>
    <n v="0"/>
    <n v="0"/>
    <n v="214.31"/>
    <n v="0"/>
    <n v="0"/>
    <n v="0"/>
    <n v="0"/>
    <n v="0"/>
    <n v="0"/>
    <n v="272.67"/>
    <n v="0"/>
  </r>
  <r>
    <x v="0"/>
    <x v="9"/>
    <x v="0"/>
    <s v="6439501"/>
    <n v="749510"/>
    <s v="RICE Rewards"/>
    <s v="Care Management-Pierce"/>
    <x v="0"/>
    <n v="5100"/>
    <n v="0"/>
    <n v="0"/>
    <n v="0"/>
    <n v="0"/>
    <n v="0"/>
    <n v="0"/>
    <n v="0"/>
    <n v="0"/>
    <n v="0"/>
    <n v="0"/>
    <n v="1266.5"/>
    <n v="3401.73"/>
    <n v="4668.2299999999996"/>
    <n v="-2135.23"/>
  </r>
  <r>
    <x v="0"/>
    <x v="9"/>
    <x v="0"/>
    <s v="6439501"/>
    <n v="749530"/>
    <s v="Travel"/>
    <s v="Care Management-Pierce"/>
    <x v="0"/>
    <m/>
    <n v="6"/>
    <n v="595.57000000000005"/>
    <n v="6"/>
    <n v="415.86"/>
    <n v="22"/>
    <n v="4139.5600000000004"/>
    <n v="0"/>
    <n v="1321.81"/>
    <n v="0"/>
    <n v="185.19"/>
    <n v="162"/>
    <n v="32"/>
    <n v="6885.9900000000007"/>
    <n v="130"/>
  </r>
  <r>
    <x v="0"/>
    <x v="9"/>
    <x v="0"/>
    <s v="6439501"/>
    <n v="749530"/>
    <s v="Mileage"/>
    <s v="Care Management-Pierce"/>
    <x v="0"/>
    <n v="1001"/>
    <n v="355.37"/>
    <n v="160.32"/>
    <n v="64.33"/>
    <n v="399.06"/>
    <n v="48.53"/>
    <n v="274.19"/>
    <n v="29.77"/>
    <n v="253.79"/>
    <n v="102.57"/>
    <n v="306.24"/>
    <n v="44.66"/>
    <n v="661.2"/>
    <n v="2700.03"/>
    <n v="-616.54000000000008"/>
  </r>
  <r>
    <x v="0"/>
    <x v="9"/>
    <x v="0"/>
    <s v="6439501"/>
    <n v="749535"/>
    <s v="Meetings"/>
    <s v="Care Management-Pierce"/>
    <x v="0"/>
    <m/>
    <n v="0"/>
    <n v="0"/>
    <n v="0"/>
    <n v="72.67"/>
    <n v="0"/>
    <n v="0"/>
    <n v="0"/>
    <n v="0"/>
    <n v="0"/>
    <n v="0"/>
    <n v="0"/>
    <n v="0"/>
    <n v="72.67"/>
    <n v="0"/>
  </r>
  <r>
    <x v="0"/>
    <x v="9"/>
    <x v="0"/>
    <s v="6439501"/>
    <n v="749535"/>
    <s v="Employee Functions"/>
    <s v="Care Management-Pierce"/>
    <x v="0"/>
    <n v="1004"/>
    <n v="0"/>
    <n v="0"/>
    <n v="0"/>
    <n v="0"/>
    <n v="0"/>
    <n v="162.15"/>
    <n v="0"/>
    <n v="0"/>
    <n v="0"/>
    <n v="0"/>
    <n v="0"/>
    <n v="0"/>
    <n v="162.15"/>
    <n v="0"/>
  </r>
  <r>
    <x v="14"/>
    <x v="9"/>
    <x v="0"/>
    <s v="6440501"/>
    <n v="600050"/>
    <s v="Miscellaneous Revenue"/>
    <s v="Clinical Effectiveness"/>
    <x v="0"/>
    <m/>
    <n v="0"/>
    <n v="0"/>
    <n v="0"/>
    <n v="0"/>
    <n v="0"/>
    <n v="0"/>
    <n v="0"/>
    <n v="0"/>
    <n v="0"/>
    <n v="0"/>
    <n v="-1000"/>
    <n v="0"/>
    <n v="-1000"/>
    <n v="-1000"/>
  </r>
  <r>
    <x v="5"/>
    <x v="9"/>
    <x v="0"/>
    <s v="6440501"/>
    <n v="700014"/>
    <s v="Salaries-Management-Productive"/>
    <s v="Clinical Effectiveness"/>
    <x v="0"/>
    <m/>
    <n v="89510.58"/>
    <n v="104804.99"/>
    <n v="115163.82"/>
    <n v="119491.09"/>
    <n v="129175.41"/>
    <n v="84647.679999999993"/>
    <n v="124632.15"/>
    <n v="116626.94"/>
    <n v="126091.05"/>
    <n v="107768.83"/>
    <n v="122479.11"/>
    <n v="105767.25"/>
    <n v="1346158.9000000004"/>
    <n v="16711.86"/>
  </r>
  <r>
    <x v="5"/>
    <x v="9"/>
    <x v="0"/>
    <s v="6440501"/>
    <n v="700014"/>
    <s v="Salaries-Management-Other"/>
    <s v="Clinical Effectiveness"/>
    <x v="0"/>
    <n v="2000"/>
    <n v="0"/>
    <n v="30"/>
    <n v="0"/>
    <n v="0"/>
    <n v="0"/>
    <n v="0"/>
    <n v="30.05"/>
    <n v="-0.01"/>
    <n v="0"/>
    <n v="0"/>
    <n v="0"/>
    <n v="0"/>
    <n v="60.04"/>
    <n v="0"/>
  </r>
  <r>
    <x v="5"/>
    <x v="9"/>
    <x v="0"/>
    <s v="6440501"/>
    <n v="700026"/>
    <s v="Salaries-RN-Productive"/>
    <s v="Clinical Effectiveness"/>
    <x v="0"/>
    <m/>
    <n v="115151.52"/>
    <n v="124082.2"/>
    <n v="111622.96"/>
    <n v="127220.63"/>
    <n v="114068.86"/>
    <n v="94834.32"/>
    <n v="127717.16"/>
    <n v="107923.55"/>
    <n v="125477.29"/>
    <n v="114581.97"/>
    <n v="145112.20000000001"/>
    <n v="143309.21"/>
    <n v="1451101.87"/>
    <n v="1802.9900000000198"/>
  </r>
  <r>
    <x v="5"/>
    <x v="9"/>
    <x v="0"/>
    <s v="6440501"/>
    <n v="700026"/>
    <s v="Salaries-RN-Other"/>
    <s v="Clinical Effectiveness"/>
    <x v="0"/>
    <n v="2000"/>
    <n v="0"/>
    <n v="0"/>
    <n v="0"/>
    <n v="0"/>
    <n v="0"/>
    <n v="30"/>
    <n v="0"/>
    <n v="0"/>
    <n v="0"/>
    <n v="60.12"/>
    <n v="30"/>
    <n v="30.04"/>
    <n v="150.16"/>
    <n v="-3.9999999999999147E-2"/>
  </r>
  <r>
    <x v="5"/>
    <x v="9"/>
    <x v="0"/>
    <s v="6440501"/>
    <n v="700034"/>
    <s v="Salaries-Tech/Professional-Productive"/>
    <s v="Clinical Effectiveness"/>
    <x v="0"/>
    <m/>
    <n v="64544.14"/>
    <n v="61809.85"/>
    <n v="68971.789999999994"/>
    <n v="75824.63"/>
    <n v="77613.59"/>
    <n v="62522.34"/>
    <n v="71381.75"/>
    <n v="67759.839999999997"/>
    <n v="77304.45"/>
    <n v="71899.28"/>
    <n v="66192.070000000007"/>
    <n v="64964.97"/>
    <n v="830788.7"/>
    <n v="1227.1000000000058"/>
  </r>
  <r>
    <x v="5"/>
    <x v="9"/>
    <x v="0"/>
    <s v="6440501"/>
    <n v="700034"/>
    <s v="Salaries-Tech/Professional-OT"/>
    <s v="Clinical Effectiveness"/>
    <x v="0"/>
    <n v="1000"/>
    <n v="0"/>
    <n v="0"/>
    <n v="0"/>
    <n v="0"/>
    <n v="0"/>
    <n v="115.38"/>
    <n v="0"/>
    <n v="0"/>
    <n v="0"/>
    <n v="0"/>
    <n v="0"/>
    <n v="0"/>
    <n v="115.38"/>
    <n v="0"/>
  </r>
  <r>
    <x v="5"/>
    <x v="9"/>
    <x v="0"/>
    <s v="6440501"/>
    <n v="700034"/>
    <s v="Salaries-Tech/Professional-Other"/>
    <s v="Clinical Effectiveness"/>
    <x v="0"/>
    <n v="2000"/>
    <n v="0"/>
    <n v="0"/>
    <n v="0"/>
    <n v="0"/>
    <n v="1487.48"/>
    <n v="548.1"/>
    <n v="1048.52"/>
    <n v="10.96"/>
    <n v="40.44"/>
    <n v="0"/>
    <n v="0"/>
    <n v="0"/>
    <n v="3135.5"/>
    <n v="0"/>
  </r>
  <r>
    <x v="5"/>
    <x v="9"/>
    <x v="0"/>
    <s v="6440501"/>
    <n v="700038"/>
    <s v="Salaries-Service/Support-Productive"/>
    <s v="Clinical Effectiveness"/>
    <x v="0"/>
    <m/>
    <n v="8287.23"/>
    <n v="6541.22"/>
    <n v="4394.09"/>
    <n v="7918.36"/>
    <n v="6584.2"/>
    <n v="6780.01"/>
    <n v="8077.59"/>
    <n v="7160.85"/>
    <n v="8882.4"/>
    <n v="7535.32"/>
    <n v="8221.7199999999993"/>
    <n v="7252.87"/>
    <n v="87635.859999999986"/>
    <n v="968.84999999999945"/>
  </r>
  <r>
    <x v="5"/>
    <x v="9"/>
    <x v="0"/>
    <s v="6440501"/>
    <n v="700038"/>
    <s v="Salaries-Service/Support-OT"/>
    <s v="Clinical Effectiveness"/>
    <x v="0"/>
    <n v="1000"/>
    <n v="33.93"/>
    <n v="40.6"/>
    <n v="0"/>
    <n v="130.12"/>
    <n v="37.81"/>
    <n v="29.39"/>
    <n v="100.42"/>
    <n v="17.32"/>
    <n v="316.20999999999998"/>
    <n v="32.299999999999997"/>
    <n v="107.33"/>
    <n v="158.13"/>
    <n v="1003.56"/>
    <n v="-50.8"/>
  </r>
  <r>
    <x v="5"/>
    <x v="9"/>
    <x v="0"/>
    <s v="6440501"/>
    <n v="700038"/>
    <s v="Salaries-Service/Support-Other"/>
    <s v="Clinical Effectiveness"/>
    <x v="0"/>
    <n v="2000"/>
    <n v="0"/>
    <n v="0"/>
    <n v="0"/>
    <n v="30"/>
    <n v="0"/>
    <n v="0"/>
    <n v="0"/>
    <n v="0"/>
    <n v="0"/>
    <n v="0"/>
    <n v="0"/>
    <n v="0"/>
    <n v="30"/>
    <n v="0"/>
  </r>
  <r>
    <x v="5"/>
    <x v="9"/>
    <x v="0"/>
    <s v="6440501"/>
    <n v="700054"/>
    <s v="Salaries-Management-Non-productive"/>
    <s v="Clinical Effectiveness"/>
    <x v="0"/>
    <m/>
    <n v="34467.660000000003"/>
    <n v="28821.439999999999"/>
    <n v="7092.9"/>
    <n v="8599.5499999999993"/>
    <n v="350.43"/>
    <n v="44033.19"/>
    <n v="9470.81"/>
    <n v="12472.56"/>
    <n v="11297.6"/>
    <n v="25183.52"/>
    <n v="14909.56"/>
    <n v="15285.7"/>
    <n v="211984.92"/>
    <n v="-376.14000000000124"/>
  </r>
  <r>
    <x v="5"/>
    <x v="9"/>
    <x v="0"/>
    <s v="6440501"/>
    <n v="700054"/>
    <s v="Salaries-Management-NonProd-Other"/>
    <s v="Clinical Effectiveness"/>
    <x v="0"/>
    <n v="2000"/>
    <n v="0"/>
    <n v="0"/>
    <n v="0"/>
    <n v="0"/>
    <n v="0"/>
    <n v="281.29000000000002"/>
    <n v="-281.29000000000002"/>
    <n v="0"/>
    <n v="0"/>
    <n v="0"/>
    <n v="0"/>
    <n v="0"/>
    <n v="0"/>
    <n v="0"/>
  </r>
  <r>
    <x v="5"/>
    <x v="9"/>
    <x v="0"/>
    <s v="6440501"/>
    <n v="700066"/>
    <s v="Salaries-RN-Non-productive"/>
    <s v="Clinical Effectiveness"/>
    <x v="0"/>
    <m/>
    <n v="17128.93"/>
    <n v="6214.44"/>
    <n v="16603.36"/>
    <n v="8380.67"/>
    <n v="17215.82"/>
    <n v="38904.54"/>
    <n v="12595.83"/>
    <n v="17596.2"/>
    <n v="10955.06"/>
    <n v="20021.89"/>
    <n v="10530.17"/>
    <n v="20371.53"/>
    <n v="196518.44"/>
    <n v="-9841.3599999999988"/>
  </r>
  <r>
    <x v="5"/>
    <x v="9"/>
    <x v="0"/>
    <s v="6440501"/>
    <n v="700066"/>
    <s v="Salaries-RN-NonProd-Other"/>
    <s v="Clinical Effectivenes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440501"/>
    <n v="700074"/>
    <s v="Salaries-Tech/Professional-Non-productive"/>
    <s v="Clinical Effectiveness"/>
    <x v="0"/>
    <m/>
    <n v="13999.31"/>
    <n v="17178.36"/>
    <n v="7316.36"/>
    <n v="5151.1000000000004"/>
    <n v="10939.24"/>
    <n v="22483.040000000001"/>
    <n v="16579.830000000002"/>
    <n v="5613.35"/>
    <n v="4654.1499999999996"/>
    <n v="7052.57"/>
    <n v="13956.54"/>
    <n v="8899.18"/>
    <n v="133823.03"/>
    <n v="5057.3600000000006"/>
  </r>
  <r>
    <x v="5"/>
    <x v="9"/>
    <x v="0"/>
    <s v="6440501"/>
    <n v="700074"/>
    <s v="Salaries-Tech/Professional-NonProd-Other"/>
    <s v="Clinical Effectiveness"/>
    <x v="0"/>
    <n v="2000"/>
    <n v="0"/>
    <n v="0"/>
    <n v="0"/>
    <n v="0"/>
    <n v="294.3"/>
    <n v="0"/>
    <n v="0"/>
    <n v="-294.3"/>
    <n v="0"/>
    <n v="0"/>
    <n v="0"/>
    <n v="0"/>
    <n v="0"/>
    <n v="0"/>
  </r>
  <r>
    <x v="5"/>
    <x v="9"/>
    <x v="0"/>
    <s v="6440501"/>
    <n v="700078"/>
    <s v="Salaries-Service/Support-Non-productive"/>
    <s v="Clinical Effectiveness"/>
    <x v="0"/>
    <m/>
    <n v="999.61"/>
    <n v="2823.07"/>
    <n v="-445.51"/>
    <n v="204.49"/>
    <n v="2011.01"/>
    <n v="2111.21"/>
    <n v="847.6"/>
    <n v="583.28"/>
    <n v="352.66"/>
    <n v="984.8"/>
    <n v="714.86"/>
    <n v="1325.7"/>
    <n v="12512.78"/>
    <n v="-610.84"/>
  </r>
  <r>
    <x v="5"/>
    <x v="9"/>
    <x v="0"/>
    <s v="6440501"/>
    <n v="700084"/>
    <s v="Accrued PTO"/>
    <s v="Clinical Effectiveness"/>
    <x v="0"/>
    <m/>
    <n v="-16241.34"/>
    <n v="-8018.17"/>
    <n v="9845.7900000000009"/>
    <n v="31068.21"/>
    <n v="22016.11"/>
    <n v="-45290.54"/>
    <n v="1331.48"/>
    <n v="10126.870000000001"/>
    <n v="21242.83"/>
    <n v="5857.76"/>
    <n v="20347.400000000001"/>
    <n v="17884.04"/>
    <n v="70170.44"/>
    <n v="2463.3600000000006"/>
  </r>
  <r>
    <x v="6"/>
    <x v="9"/>
    <x v="0"/>
    <s v="6440501"/>
    <n v="713010"/>
    <s v="Benefits-FICA/Medicare"/>
    <s v="Clinical Effectiveness"/>
    <x v="0"/>
    <m/>
    <n v="25517.200000000001"/>
    <n v="26278.18"/>
    <n v="23717.82"/>
    <n v="25274.76"/>
    <n v="26203.67"/>
    <n v="26167.14"/>
    <n v="27725.09"/>
    <n v="24912.49"/>
    <n v="27084"/>
    <n v="26330.67"/>
    <n v="26187.39"/>
    <n v="27663.65"/>
    <n v="313062.06000000006"/>
    <n v="-1476.260000000002"/>
  </r>
  <r>
    <x v="6"/>
    <x v="9"/>
    <x v="0"/>
    <s v="6440501"/>
    <n v="713090"/>
    <s v="Benefits-Allocated Amounts"/>
    <s v="Clinical Effectiveness"/>
    <x v="0"/>
    <m/>
    <n v="56167.27"/>
    <n v="53094.58"/>
    <n v="54041.56"/>
    <n v="54495.93"/>
    <n v="52267.47"/>
    <n v="56595.91"/>
    <n v="62808.62"/>
    <n v="59631.82"/>
    <n v="68554.95"/>
    <n v="62270.65"/>
    <n v="66272.210000000006"/>
    <n v="64816.61"/>
    <n v="711017.58"/>
    <n v="1455.6000000000058"/>
  </r>
  <r>
    <x v="6"/>
    <x v="9"/>
    <x v="0"/>
    <s v="6440501"/>
    <n v="713096"/>
    <s v="Employee Recognition"/>
    <s v="Clinical Effectiveness"/>
    <x v="0"/>
    <n v="1017"/>
    <n v="0"/>
    <n v="0"/>
    <n v="102.27"/>
    <n v="131.57"/>
    <n v="0"/>
    <n v="317.85000000000002"/>
    <n v="0"/>
    <n v="49.99"/>
    <n v="90.65"/>
    <n v="553.69000000000005"/>
    <n v="373.92"/>
    <n v="772.1"/>
    <n v="2392.04"/>
    <n v="-398.18"/>
  </r>
  <r>
    <x v="7"/>
    <x v="9"/>
    <x v="0"/>
    <s v="6440501"/>
    <n v="718050"/>
    <s v="Contract Svcs-Other"/>
    <s v="Clinical Effectiveness"/>
    <x v="0"/>
    <m/>
    <n v="0"/>
    <n v="0"/>
    <n v="0"/>
    <n v="0"/>
    <n v="0"/>
    <n v="0"/>
    <n v="0"/>
    <n v="0"/>
    <n v="165.12"/>
    <n v="0"/>
    <n v="0"/>
    <n v="0"/>
    <n v="165.12"/>
    <n v="0"/>
  </r>
  <r>
    <x v="7"/>
    <x v="9"/>
    <x v="0"/>
    <s v="6440501"/>
    <n v="718050"/>
    <s v="Miscellaneous Purchased Svcs"/>
    <s v="Clinical Effectiveness"/>
    <x v="0"/>
    <n v="1020"/>
    <n v="0"/>
    <n v="59.18"/>
    <n v="8674.02"/>
    <n v="-528.12"/>
    <n v="0"/>
    <n v="0"/>
    <n v="0"/>
    <n v="0"/>
    <n v="0"/>
    <n v="0"/>
    <n v="0"/>
    <n v="0"/>
    <n v="8205.08"/>
    <n v="0"/>
  </r>
  <r>
    <x v="11"/>
    <x v="9"/>
    <x v="0"/>
    <s v="6440501"/>
    <n v="721410"/>
    <s v="Supplies-Medical - Nonbillable"/>
    <s v="Clinical Effectiveness"/>
    <x v="0"/>
    <m/>
    <n v="26.86"/>
    <n v="0"/>
    <n v="0"/>
    <n v="3.16"/>
    <n v="0"/>
    <n v="0"/>
    <n v="0"/>
    <n v="0"/>
    <n v="0"/>
    <n v="0"/>
    <n v="0"/>
    <n v="0"/>
    <n v="30.02"/>
    <n v="0"/>
  </r>
  <r>
    <x v="11"/>
    <x v="9"/>
    <x v="0"/>
    <s v="6440501"/>
    <n v="721810"/>
    <s v="Supplies-Dietary/Cafeteria"/>
    <s v="Clinical Effectiveness"/>
    <x v="0"/>
    <m/>
    <n v="13.16"/>
    <n v="75.7"/>
    <n v="13.16"/>
    <n v="396.42"/>
    <n v="21.03"/>
    <n v="0"/>
    <n v="91.44"/>
    <n v="233.87"/>
    <n v="0"/>
    <n v="272.08999999999997"/>
    <n v="51.38"/>
    <n v="0"/>
    <n v="1168.2500000000002"/>
    <n v="51.38"/>
  </r>
  <r>
    <x v="11"/>
    <x v="9"/>
    <x v="0"/>
    <s v="6440501"/>
    <n v="721830"/>
    <s v="Supplies-Office"/>
    <s v="Clinical Effectiveness"/>
    <x v="0"/>
    <m/>
    <n v="547.45000000000005"/>
    <n v="787.47"/>
    <n v="430.45"/>
    <n v="532.41999999999996"/>
    <n v="565.82000000000005"/>
    <n v="1184.6400000000001"/>
    <n v="382.78"/>
    <n v="696.61"/>
    <n v="824.23"/>
    <n v="311.3"/>
    <n v="0"/>
    <n v="9.6999999999999993"/>
    <n v="6272.869999999999"/>
    <n v="-9.6999999999999993"/>
  </r>
  <r>
    <x v="11"/>
    <x v="9"/>
    <x v="0"/>
    <s v="6440501"/>
    <n v="721835"/>
    <s v="Supplies-Forms"/>
    <s v="Clinical Effectiveness"/>
    <x v="0"/>
    <m/>
    <n v="0"/>
    <n v="0"/>
    <n v="0"/>
    <n v="0"/>
    <n v="1341.81"/>
    <n v="0"/>
    <n v="0"/>
    <n v="0"/>
    <n v="7691.28"/>
    <n v="17.12"/>
    <n v="12.36"/>
    <n v="29.04"/>
    <n v="9091.6100000000024"/>
    <n v="-16.68"/>
  </r>
  <r>
    <x v="11"/>
    <x v="9"/>
    <x v="0"/>
    <s v="6440501"/>
    <n v="721910"/>
    <s v="Supplies-Small Equipment"/>
    <s v="Clinical Effectiveness"/>
    <x v="0"/>
    <m/>
    <n v="0"/>
    <n v="896.84"/>
    <n v="0"/>
    <n v="41.72"/>
    <n v="362.81"/>
    <n v="520.15"/>
    <n v="399.45"/>
    <n v="992.43"/>
    <n v="76.33"/>
    <n v="20.22"/>
    <n v="0"/>
    <n v="454.71"/>
    <n v="3764.6599999999994"/>
    <n v="-454.71"/>
  </r>
  <r>
    <x v="11"/>
    <x v="9"/>
    <x v="0"/>
    <s v="6440501"/>
    <n v="722000"/>
    <s v="Supplies-Freight Expense"/>
    <s v="Clinical Effectiveness"/>
    <x v="0"/>
    <m/>
    <n v="0"/>
    <n v="0"/>
    <n v="0"/>
    <n v="0"/>
    <n v="0"/>
    <n v="0"/>
    <n v="0"/>
    <n v="0"/>
    <n v="19.809999999999999"/>
    <n v="29.38"/>
    <n v="0"/>
    <n v="32.78"/>
    <n v="81.97"/>
    <n v="-32.78"/>
  </r>
  <r>
    <x v="12"/>
    <x v="9"/>
    <x v="0"/>
    <s v="6440501"/>
    <n v="730020"/>
    <s v="Rental and Leases-Equipment (DO NOT USE)"/>
    <s v="Clinical Effectiveness"/>
    <x v="0"/>
    <m/>
    <n v="0"/>
    <n v="0"/>
    <n v="0"/>
    <n v="0"/>
    <n v="0"/>
    <n v="0"/>
    <n v="0"/>
    <n v="0"/>
    <n v="0"/>
    <n v="0"/>
    <n v="76.06"/>
    <n v="38.03"/>
    <n v="114.09"/>
    <n v="38.03"/>
  </r>
  <r>
    <x v="12"/>
    <x v="9"/>
    <x v="0"/>
    <s v="6440501"/>
    <n v="730020"/>
    <s v="Rental and Leases-Copier Usage Fees (DO NOT USE)"/>
    <s v="Clinical Effectiveness"/>
    <x v="0"/>
    <n v="5100"/>
    <n v="1916.12"/>
    <n v="2726.5"/>
    <n v="2321.31"/>
    <n v="2321.31"/>
    <n v="2321.31"/>
    <n v="2321.31"/>
    <n v="-3271.57"/>
    <n v="962.53"/>
    <n v="960.51"/>
    <n v="3275.63"/>
    <n v="962.53"/>
    <n v="1102.6600000000001"/>
    <n v="17920.149999999998"/>
    <n v="-140.13000000000011"/>
  </r>
  <r>
    <x v="15"/>
    <x v="9"/>
    <x v="0"/>
    <s v="6440501"/>
    <n v="731060"/>
    <s v="Telephone"/>
    <s v="Clinical Effectiveness"/>
    <x v="0"/>
    <m/>
    <n v="0"/>
    <n v="0"/>
    <n v="0"/>
    <n v="0"/>
    <n v="0"/>
    <n v="0"/>
    <n v="0"/>
    <n v="0"/>
    <n v="0"/>
    <n v="0"/>
    <n v="350"/>
    <n v="35.700000000000003"/>
    <n v="385.7"/>
    <n v="314.3"/>
  </r>
  <r>
    <x v="16"/>
    <x v="9"/>
    <x v="0"/>
    <s v="6440501"/>
    <n v="732030"/>
    <s v="Repairs---Other"/>
    <s v="Clinical Effectiveness"/>
    <x v="0"/>
    <m/>
    <n v="0"/>
    <n v="0"/>
    <n v="0"/>
    <n v="414.92"/>
    <n v="0"/>
    <n v="0"/>
    <n v="0"/>
    <n v="0"/>
    <n v="0"/>
    <n v="0"/>
    <n v="0"/>
    <n v="0"/>
    <n v="414.92"/>
    <n v="0"/>
  </r>
  <r>
    <x v="16"/>
    <x v="9"/>
    <x v="0"/>
    <s v="6440501"/>
    <n v="733030"/>
    <s v="Maintenance Contracts-Software"/>
    <s v="Clinical Effectiveness"/>
    <x v="0"/>
    <n v="1002"/>
    <n v="0"/>
    <n v="5130.66"/>
    <n v="0"/>
    <n v="0"/>
    <n v="0"/>
    <n v="0"/>
    <n v="-459.05"/>
    <n v="0"/>
    <n v="0"/>
    <n v="0"/>
    <n v="0"/>
    <n v="0"/>
    <n v="4671.6099999999997"/>
    <n v="0"/>
  </r>
  <r>
    <x v="13"/>
    <x v="9"/>
    <x v="0"/>
    <s v="6440501"/>
    <n v="735070"/>
    <s v="Depreciation-Movable Equipment"/>
    <s v="Clinical Effectiveness"/>
    <x v="0"/>
    <m/>
    <n v="64.14"/>
    <n v="64.06"/>
    <n v="64.14"/>
    <n v="64.06"/>
    <n v="64.14"/>
    <n v="64.06"/>
    <n v="64.150000000000006"/>
    <n v="64.05"/>
    <n v="64.27"/>
    <n v="64.010000000000005"/>
    <n v="64.27"/>
    <n v="64.010000000000005"/>
    <n v="769.3599999999999"/>
    <n v="0.25999999999999091"/>
  </r>
  <r>
    <x v="0"/>
    <x v="9"/>
    <x v="0"/>
    <s v="6440501"/>
    <n v="740010"/>
    <s v="Education-Materials"/>
    <s v="Clinical Effectiveness"/>
    <x v="0"/>
    <m/>
    <n v="0"/>
    <n v="0"/>
    <n v="0"/>
    <n v="0"/>
    <n v="89.53"/>
    <n v="0"/>
    <n v="0"/>
    <n v="0"/>
    <n v="0"/>
    <n v="0"/>
    <n v="0"/>
    <n v="1078.0899999999999"/>
    <n v="1167.6199999999999"/>
    <n v="-1078.0899999999999"/>
  </r>
  <r>
    <x v="0"/>
    <x v="9"/>
    <x v="0"/>
    <s v="6440501"/>
    <n v="740020"/>
    <s v="Education-Registration Fees"/>
    <s v="Clinical Effectiveness"/>
    <x v="0"/>
    <m/>
    <n v="0"/>
    <n v="0"/>
    <n v="0"/>
    <n v="0"/>
    <n v="1440"/>
    <n v="579"/>
    <n v="0"/>
    <n v="250"/>
    <n v="6406.99"/>
    <n v="-45"/>
    <n v="759"/>
    <n v="920"/>
    <n v="10309.99"/>
    <n v="-161"/>
  </r>
  <r>
    <x v="0"/>
    <x v="9"/>
    <x v="0"/>
    <s v="6440501"/>
    <n v="740030"/>
    <s v="Education-Travel"/>
    <s v="Clinical Effectiveness"/>
    <x v="0"/>
    <m/>
    <n v="0"/>
    <n v="0"/>
    <n v="0"/>
    <n v="0"/>
    <n v="0"/>
    <n v="0"/>
    <n v="0"/>
    <n v="0"/>
    <n v="134.74"/>
    <n v="0"/>
    <n v="0"/>
    <n v="0"/>
    <n v="134.74"/>
    <n v="0"/>
  </r>
  <r>
    <x v="0"/>
    <x v="9"/>
    <x v="0"/>
    <s v="6440501"/>
    <n v="743030"/>
    <s v="Subscriptions--Institutional"/>
    <s v="Clinical Effectiveness"/>
    <x v="0"/>
    <m/>
    <n v="0"/>
    <n v="0"/>
    <n v="0"/>
    <n v="4448"/>
    <n v="0"/>
    <n v="0"/>
    <n v="0"/>
    <n v="0"/>
    <n v="4540.4799999999996"/>
    <n v="500"/>
    <n v="0"/>
    <n v="45"/>
    <n v="9533.48"/>
    <n v="-45"/>
  </r>
  <r>
    <x v="0"/>
    <x v="9"/>
    <x v="0"/>
    <s v="6440501"/>
    <n v="749510"/>
    <s v="Miscellaneous Expenses"/>
    <s v="Clinical Effectiveness"/>
    <x v="0"/>
    <m/>
    <n v="130.46"/>
    <n v="-1721.84"/>
    <n v="742"/>
    <n v="1206.8599999999999"/>
    <n v="-1138.83"/>
    <n v="1606.29"/>
    <n v="7129.16"/>
    <n v="6084.73"/>
    <n v="-14174.91"/>
    <n v="1919.02"/>
    <n v="3682.11"/>
    <n v="-3682.45"/>
    <n v="1782.6000000000004"/>
    <n v="7364.5599999999995"/>
  </r>
  <r>
    <x v="0"/>
    <x v="9"/>
    <x v="0"/>
    <s v="6440501"/>
    <n v="749510"/>
    <s v="RICE Rewards"/>
    <s v="Clinical Effectiveness"/>
    <x v="0"/>
    <n v="5100"/>
    <n v="0"/>
    <n v="0"/>
    <n v="0"/>
    <n v="0"/>
    <n v="0"/>
    <n v="0"/>
    <n v="0"/>
    <n v="0"/>
    <n v="722.23"/>
    <n v="0"/>
    <n v="1032.5899999999999"/>
    <n v="55.58"/>
    <n v="1810.3999999999999"/>
    <n v="977.00999999999988"/>
  </r>
  <r>
    <x v="0"/>
    <x v="9"/>
    <x v="0"/>
    <s v="6440501"/>
    <n v="749530"/>
    <s v="Travel"/>
    <s v="Clinical Effectiveness"/>
    <x v="0"/>
    <m/>
    <n v="0"/>
    <n v="5807.55"/>
    <n v="407.33"/>
    <n v="1931.92"/>
    <n v="430.76"/>
    <n v="966.95"/>
    <n v="1059.8900000000001"/>
    <n v="1565.34"/>
    <n v="2043.31"/>
    <n v="3189.98"/>
    <n v="1618.47"/>
    <n v="6381.84"/>
    <n v="25403.34"/>
    <n v="-4763.37"/>
  </r>
  <r>
    <x v="0"/>
    <x v="9"/>
    <x v="0"/>
    <s v="6440501"/>
    <n v="749530"/>
    <s v="Mileage"/>
    <s v="Clinical Effectiveness"/>
    <x v="0"/>
    <n v="1001"/>
    <n v="0"/>
    <n v="29.46"/>
    <n v="224.61"/>
    <n v="280.2"/>
    <n v="300.35000000000002"/>
    <n v="583.82000000000005"/>
    <n v="409.71"/>
    <n v="1052.31"/>
    <n v="768.12"/>
    <n v="736.02"/>
    <n v="1031.82"/>
    <n v="1363"/>
    <n v="6779.42"/>
    <n v="-331.18000000000006"/>
  </r>
  <r>
    <x v="0"/>
    <x v="9"/>
    <x v="0"/>
    <s v="6440501"/>
    <n v="749532"/>
    <s v="Travel-Physician"/>
    <s v="Clinical Effectiveness"/>
    <x v="0"/>
    <m/>
    <n v="0"/>
    <n v="0"/>
    <n v="0"/>
    <n v="0"/>
    <n v="0"/>
    <n v="0"/>
    <n v="0"/>
    <n v="0"/>
    <n v="0"/>
    <n v="0"/>
    <n v="219.61"/>
    <n v="0"/>
    <n v="219.61"/>
    <n v="219.61"/>
  </r>
  <r>
    <x v="0"/>
    <x v="9"/>
    <x v="0"/>
    <s v="6440501"/>
    <n v="749535"/>
    <s v="Meetings"/>
    <s v="Clinical Effectiveness"/>
    <x v="0"/>
    <m/>
    <n v="0"/>
    <n v="0"/>
    <n v="86.19"/>
    <n v="0"/>
    <n v="57.93"/>
    <n v="0"/>
    <n v="0"/>
    <n v="0"/>
    <n v="37.32"/>
    <n v="0"/>
    <n v="48.01"/>
    <n v="1176.17"/>
    <n v="1405.6200000000001"/>
    <n v="-1128.1600000000001"/>
  </r>
  <r>
    <x v="5"/>
    <x v="1"/>
    <x v="0"/>
    <s v="6441200"/>
    <n v="700014"/>
    <s v="Salaries-Management-Productive"/>
    <s v="Clinical Support Services"/>
    <x v="0"/>
    <m/>
    <n v="9476.94"/>
    <n v="9476.94"/>
    <n v="8184.63"/>
    <n v="10066.65"/>
    <n v="9671.2000000000007"/>
    <n v="7379.04"/>
    <n v="9605.58"/>
    <n v="8178.54"/>
    <n v="8939.34"/>
    <n v="10936.43"/>
    <n v="10936.44"/>
    <n v="9034.44"/>
    <n v="111886.17000000001"/>
    <n v="1902"/>
  </r>
  <r>
    <x v="5"/>
    <x v="1"/>
    <x v="0"/>
    <s v="6441200"/>
    <n v="700026"/>
    <s v="Salaries-RN-Productive"/>
    <s v="Clinical Support Services"/>
    <x v="0"/>
    <m/>
    <n v="7920"/>
    <n v="7200"/>
    <n v="6840"/>
    <n v="6672.38"/>
    <n v="7848.58"/>
    <n v="5305.05"/>
    <n v="7642.08"/>
    <n v="5385.63"/>
    <n v="7132.33"/>
    <n v="15668.52"/>
    <n v="12682.99"/>
    <n v="15081.47"/>
    <n v="105379.03000000001"/>
    <n v="-2398.4799999999996"/>
  </r>
  <r>
    <x v="5"/>
    <x v="1"/>
    <x v="0"/>
    <s v="6441200"/>
    <n v="700034"/>
    <s v="Salaries-Tech/Professional-Productive"/>
    <s v="Clinical Support Services"/>
    <x v="0"/>
    <m/>
    <n v="5054.5"/>
    <n v="5358.35"/>
    <n v="4866.18"/>
    <n v="5444.87"/>
    <n v="5860.02"/>
    <n v="3670.76"/>
    <n v="15554.71"/>
    <n v="12080.48"/>
    <n v="13568.94"/>
    <n v="14620.21"/>
    <n v="14675.56"/>
    <n v="12985.79"/>
    <n v="113740.37"/>
    <n v="1689.7699999999986"/>
  </r>
  <r>
    <x v="5"/>
    <x v="1"/>
    <x v="0"/>
    <s v="6441200"/>
    <n v="700034"/>
    <s v="Salaries-Tech/Professional-OT"/>
    <s v="Clinical Support Services"/>
    <x v="0"/>
    <n v="1000"/>
    <n v="14.24"/>
    <n v="68.849999999999994"/>
    <n v="11.87"/>
    <n v="0"/>
    <n v="0"/>
    <n v="0"/>
    <n v="0"/>
    <n v="0"/>
    <n v="0"/>
    <n v="0"/>
    <n v="26.15"/>
    <n v="0"/>
    <n v="121.10999999999999"/>
    <n v="26.15"/>
  </r>
  <r>
    <x v="5"/>
    <x v="1"/>
    <x v="0"/>
    <s v="6441200"/>
    <n v="700038"/>
    <s v="Salaries-Service/Support-Productive"/>
    <s v="Clinical Support Services"/>
    <x v="0"/>
    <m/>
    <n v="0"/>
    <n v="0"/>
    <n v="0"/>
    <n v="0"/>
    <n v="0"/>
    <n v="0"/>
    <n v="0"/>
    <n v="0"/>
    <n v="0"/>
    <n v="2968.71"/>
    <n v="5300.77"/>
    <n v="4138.1000000000004"/>
    <n v="12407.58"/>
    <n v="1162.67"/>
  </r>
  <r>
    <x v="5"/>
    <x v="1"/>
    <x v="0"/>
    <s v="6441200"/>
    <n v="700038"/>
    <s v="Salaries-Service/Support-OT"/>
    <s v="Clinical Support Services"/>
    <x v="0"/>
    <n v="1000"/>
    <n v="0"/>
    <n v="0"/>
    <n v="0"/>
    <n v="0"/>
    <n v="0"/>
    <n v="0"/>
    <n v="0"/>
    <n v="0"/>
    <n v="0"/>
    <n v="0"/>
    <n v="112.13"/>
    <n v="30.61"/>
    <n v="142.74"/>
    <n v="81.52"/>
  </r>
  <r>
    <x v="5"/>
    <x v="1"/>
    <x v="0"/>
    <s v="6441200"/>
    <n v="700038"/>
    <s v="Salaries-Service/Support-Other"/>
    <s v="Clinical Support Services"/>
    <x v="0"/>
    <n v="2000"/>
    <n v="0"/>
    <n v="0"/>
    <n v="0"/>
    <n v="0"/>
    <n v="0"/>
    <n v="0"/>
    <n v="0"/>
    <n v="0"/>
    <n v="0"/>
    <n v="30.07"/>
    <n v="-0.02"/>
    <n v="0"/>
    <n v="30.05"/>
    <n v="-0.02"/>
  </r>
  <r>
    <x v="5"/>
    <x v="1"/>
    <x v="0"/>
    <s v="6441200"/>
    <n v="700054"/>
    <s v="Salaries-Management-Non-productive"/>
    <s v="Clinical Support Services"/>
    <x v="0"/>
    <m/>
    <n v="0"/>
    <n v="430.77"/>
    <n v="430.77"/>
    <n v="0"/>
    <n v="0"/>
    <n v="2943.76"/>
    <n v="1331.54"/>
    <n v="1331.4"/>
    <n v="1046.0999999999999"/>
    <n v="-475.5"/>
    <n v="0"/>
    <n v="475.5"/>
    <n v="7514.34"/>
    <n v="-475.5"/>
  </r>
  <r>
    <x v="5"/>
    <x v="1"/>
    <x v="0"/>
    <s v="6441200"/>
    <n v="700066"/>
    <s v="Salaries-RN-Non-productive"/>
    <s v="Clinical Support Services"/>
    <x v="0"/>
    <m/>
    <n v="0"/>
    <n v="0"/>
    <n v="360"/>
    <n v="1668.09"/>
    <n v="145.35"/>
    <n v="2325.5"/>
    <n v="728.01"/>
    <n v="1892.25"/>
    <n v="509.46"/>
    <n v="2380.69"/>
    <n v="4242.2299999999996"/>
    <n v="-363.91"/>
    <n v="13887.67"/>
    <n v="4606.1399999999994"/>
  </r>
  <r>
    <x v="5"/>
    <x v="1"/>
    <x v="0"/>
    <s v="6441200"/>
    <n v="700074"/>
    <s v="Salaries-Tech/Professional-Non-productive"/>
    <s v="Clinical Support Services"/>
    <x v="0"/>
    <m/>
    <n v="506.4"/>
    <n v="466.84"/>
    <n v="126.6"/>
    <n v="599.03"/>
    <n v="-39.67"/>
    <n v="1848.6"/>
    <n v="604.83000000000004"/>
    <n v="1603.47"/>
    <n v="774.45"/>
    <n v="781.98"/>
    <n v="1381.7"/>
    <n v="714.98"/>
    <n v="9369.2100000000009"/>
    <n v="666.72"/>
  </r>
  <r>
    <x v="5"/>
    <x v="1"/>
    <x v="0"/>
    <s v="6441200"/>
    <n v="700084"/>
    <s v="Accrued PTO"/>
    <s v="Clinical Support Services"/>
    <x v="0"/>
    <m/>
    <n v="1791.48"/>
    <n v="1375.97"/>
    <n v="1217.58"/>
    <n v="1422.99"/>
    <n v="1471.65"/>
    <n v="-3470.16"/>
    <n v="-21.67"/>
    <n v="-603.51"/>
    <n v="981.99"/>
    <n v="2215.6"/>
    <n v="1424.99"/>
    <n v="2702.12"/>
    <n v="10509.029999999999"/>
    <n v="-1277.1299999999999"/>
  </r>
  <r>
    <x v="6"/>
    <x v="1"/>
    <x v="0"/>
    <s v="6441200"/>
    <n v="713010"/>
    <s v="Benefits-FICA/Medicare"/>
    <s v="Clinical Support Services"/>
    <x v="0"/>
    <m/>
    <n v="1676.08"/>
    <n v="1674.68"/>
    <n v="1518.85"/>
    <n v="1785.39"/>
    <n v="1724.65"/>
    <n v="1723.02"/>
    <n v="2623.51"/>
    <n v="2253.27"/>
    <n v="2364.04"/>
    <n v="3503.14"/>
    <n v="3683.5"/>
    <n v="3127.91"/>
    <n v="27658.04"/>
    <n v="555.59000000000015"/>
  </r>
  <r>
    <x v="6"/>
    <x v="1"/>
    <x v="0"/>
    <s v="6441200"/>
    <n v="713090"/>
    <s v="Benefits-Allocated Amounts"/>
    <s v="Clinical Support Services"/>
    <x v="0"/>
    <m/>
    <n v="3799.6"/>
    <n v="3311.3"/>
    <n v="3542.46"/>
    <n v="3725.32"/>
    <n v="3665.62"/>
    <n v="3635.06"/>
    <n v="5684.37"/>
    <n v="5447.41"/>
    <n v="5336.61"/>
    <n v="7200"/>
    <n v="8178.12"/>
    <n v="8489.6299999999992"/>
    <n v="62015.5"/>
    <n v="-311.50999999999931"/>
  </r>
  <r>
    <x v="11"/>
    <x v="1"/>
    <x v="0"/>
    <s v="6441200"/>
    <n v="721410"/>
    <s v="Supplies-Medical - Nonbillable"/>
    <s v="Clinical Support Services"/>
    <x v="0"/>
    <m/>
    <n v="0"/>
    <n v="0"/>
    <n v="0"/>
    <n v="0"/>
    <n v="0"/>
    <n v="0"/>
    <n v="0"/>
    <n v="0"/>
    <n v="0"/>
    <n v="0"/>
    <n v="0"/>
    <n v="217.54"/>
    <n v="217.54"/>
    <n v="-217.54"/>
  </r>
  <r>
    <x v="11"/>
    <x v="1"/>
    <x v="0"/>
    <s v="6441200"/>
    <n v="721810"/>
    <s v="Supplies-Dietary/Cafeteria"/>
    <s v="Clinical Support Services"/>
    <x v="0"/>
    <m/>
    <n v="50.46"/>
    <n v="0"/>
    <n v="0"/>
    <n v="0"/>
    <n v="0"/>
    <n v="0"/>
    <n v="0"/>
    <n v="0"/>
    <n v="0"/>
    <n v="0"/>
    <n v="0"/>
    <n v="0"/>
    <n v="50.46"/>
    <n v="0"/>
  </r>
  <r>
    <x v="11"/>
    <x v="1"/>
    <x v="0"/>
    <s v="6441200"/>
    <n v="721830"/>
    <s v="Supplies-Office"/>
    <s v="Clinical Support Services"/>
    <x v="0"/>
    <m/>
    <n v="248.45"/>
    <n v="160.5"/>
    <n v="0"/>
    <n v="136.01"/>
    <n v="0"/>
    <n v="4.17"/>
    <n v="122.59"/>
    <n v="87.24"/>
    <n v="333.52"/>
    <n v="56.01"/>
    <n v="13.54"/>
    <n v="0"/>
    <n v="1162.03"/>
    <n v="13.54"/>
  </r>
  <r>
    <x v="11"/>
    <x v="1"/>
    <x v="0"/>
    <s v="6441200"/>
    <n v="721835"/>
    <s v="Supplies-Forms"/>
    <s v="Clinical Support Services"/>
    <x v="0"/>
    <m/>
    <n v="0"/>
    <n v="0"/>
    <n v="0"/>
    <n v="0"/>
    <n v="13.78"/>
    <n v="0"/>
    <n v="0"/>
    <n v="0"/>
    <n v="0"/>
    <n v="0"/>
    <n v="21.2"/>
    <n v="169.03"/>
    <n v="204.01"/>
    <n v="-147.83000000000001"/>
  </r>
  <r>
    <x v="11"/>
    <x v="1"/>
    <x v="0"/>
    <s v="6441200"/>
    <n v="721910"/>
    <s v="Supplies-Small Equipment"/>
    <s v="Clinical Support Services"/>
    <x v="0"/>
    <m/>
    <n v="0"/>
    <n v="0"/>
    <n v="0"/>
    <n v="0"/>
    <n v="0"/>
    <n v="0"/>
    <n v="0"/>
    <n v="0"/>
    <n v="0"/>
    <n v="32.07"/>
    <n v="0"/>
    <n v="0"/>
    <n v="32.07"/>
    <n v="0"/>
  </r>
  <r>
    <x v="0"/>
    <x v="1"/>
    <x v="0"/>
    <s v="6441200"/>
    <n v="740010"/>
    <s v="Education-Materials"/>
    <s v="Clinical Support Services"/>
    <x v="0"/>
    <m/>
    <n v="0"/>
    <n v="0"/>
    <n v="0"/>
    <n v="0"/>
    <n v="0"/>
    <n v="0"/>
    <n v="0"/>
    <n v="189"/>
    <n v="205.95"/>
    <n v="0"/>
    <n v="0"/>
    <n v="0"/>
    <n v="394.95"/>
    <n v="0"/>
  </r>
  <r>
    <x v="0"/>
    <x v="1"/>
    <x v="0"/>
    <s v="6441200"/>
    <n v="740020"/>
    <s v="Education-Registration Fees"/>
    <s v="Clinical Support Services"/>
    <x v="0"/>
    <m/>
    <n v="0"/>
    <n v="0"/>
    <n v="0"/>
    <n v="0"/>
    <n v="795"/>
    <n v="0"/>
    <n v="0"/>
    <n v="0"/>
    <n v="0"/>
    <n v="0"/>
    <n v="0"/>
    <n v="0"/>
    <n v="795"/>
    <n v="0"/>
  </r>
  <r>
    <x v="0"/>
    <x v="1"/>
    <x v="0"/>
    <s v="6441200"/>
    <n v="742010"/>
    <s v="Postage-Regular"/>
    <s v="Clinical Support Services"/>
    <x v="0"/>
    <m/>
    <n v="0"/>
    <n v="0"/>
    <n v="0"/>
    <n v="0"/>
    <n v="0"/>
    <n v="0"/>
    <n v="0"/>
    <n v="0"/>
    <n v="0"/>
    <n v="0"/>
    <n v="0"/>
    <n v="120.3"/>
    <n v="120.3"/>
    <n v="-120.3"/>
  </r>
  <r>
    <x v="0"/>
    <x v="1"/>
    <x v="0"/>
    <s v="6441200"/>
    <n v="749510"/>
    <s v="Miscellaneous Expenses"/>
    <s v="Clinical Support Services"/>
    <x v="0"/>
    <m/>
    <n v="53.32"/>
    <n v="-148.78"/>
    <n v="0"/>
    <n v="964.18"/>
    <n v="-761.51"/>
    <n v="768.71"/>
    <n v="609.79999999999995"/>
    <n v="-1321.43"/>
    <n v="-120.2"/>
    <n v="-59.92"/>
    <n v="27.44"/>
    <n v="-56.26"/>
    <n v="-44.650000000000261"/>
    <n v="83.7"/>
  </r>
  <r>
    <x v="0"/>
    <x v="1"/>
    <x v="0"/>
    <s v="6441200"/>
    <n v="749510"/>
    <s v="RICE Rewards"/>
    <s v="Clinical Support Services"/>
    <x v="0"/>
    <n v="5100"/>
    <n v="0"/>
    <n v="0"/>
    <n v="0"/>
    <n v="0"/>
    <n v="66"/>
    <n v="0"/>
    <n v="0"/>
    <n v="0"/>
    <n v="0"/>
    <n v="31.93"/>
    <n v="0"/>
    <n v="0"/>
    <n v="97.93"/>
    <n v="0"/>
  </r>
  <r>
    <x v="0"/>
    <x v="1"/>
    <x v="0"/>
    <s v="6441200"/>
    <n v="749530"/>
    <s v="Travel"/>
    <s v="Clinical Support Services"/>
    <x v="0"/>
    <m/>
    <n v="0"/>
    <n v="18"/>
    <n v="18"/>
    <n v="11"/>
    <n v="693.64"/>
    <n v="12"/>
    <n v="0"/>
    <n v="1231.6300000000001"/>
    <n v="12"/>
    <n v="0"/>
    <n v="12"/>
    <n v="30"/>
    <n v="2038.27"/>
    <n v="-18"/>
  </r>
  <r>
    <x v="0"/>
    <x v="1"/>
    <x v="0"/>
    <s v="6441200"/>
    <n v="749530"/>
    <s v="Mileage"/>
    <s v="Clinical Support Services"/>
    <x v="0"/>
    <n v="1001"/>
    <n v="0"/>
    <n v="230.59"/>
    <n v="233.33"/>
    <n v="52.34"/>
    <n v="164.62"/>
    <n v="216.4"/>
    <n v="49.61"/>
    <n v="101.5"/>
    <n v="162.4"/>
    <n v="0"/>
    <n v="86.42"/>
    <n v="243.02"/>
    <n v="1540.23"/>
    <n v="-156.60000000000002"/>
  </r>
  <r>
    <x v="0"/>
    <x v="1"/>
    <x v="0"/>
    <s v="6441200"/>
    <n v="749535"/>
    <s v="Meetings"/>
    <s v="Clinical Support Services"/>
    <x v="0"/>
    <m/>
    <n v="0"/>
    <n v="0"/>
    <n v="0"/>
    <n v="0"/>
    <n v="259.91000000000003"/>
    <n v="0"/>
    <n v="0"/>
    <n v="403.72"/>
    <n v="0"/>
    <n v="0"/>
    <n v="0"/>
    <n v="0"/>
    <n v="663.63000000000011"/>
    <n v="0"/>
  </r>
  <r>
    <x v="5"/>
    <x v="3"/>
    <x v="0"/>
    <s v="6442101"/>
    <n v="700026"/>
    <s v="Salaries-RN-Productive"/>
    <s v="Shared Governance"/>
    <x v="0"/>
    <m/>
    <n v="87.77"/>
    <n v="315.88"/>
    <n v="1966.3"/>
    <n v="-106.69"/>
    <n v="339.76"/>
    <n v="807.33"/>
    <n v="2595.7600000000002"/>
    <n v="2078.44"/>
    <n v="3351.28"/>
    <n v="4352.6400000000003"/>
    <n v="2822.47"/>
    <n v="3283.69"/>
    <n v="21894.63"/>
    <n v="-461.22000000000025"/>
  </r>
  <r>
    <x v="5"/>
    <x v="3"/>
    <x v="0"/>
    <s v="6442101"/>
    <n v="700026"/>
    <s v="Salaries-RN-OT"/>
    <s v="Shared Governance"/>
    <x v="0"/>
    <n v="1000"/>
    <n v="90.77"/>
    <n v="58.75"/>
    <n v="681.12"/>
    <n v="763.63"/>
    <n v="-6.91"/>
    <n v="95.53"/>
    <n v="589.02"/>
    <n v="965.5"/>
    <n v="1220.0999999999999"/>
    <n v="2250.4499999999998"/>
    <n v="136.66"/>
    <n v="506.95"/>
    <n v="7351.57"/>
    <n v="-370.28999999999996"/>
  </r>
  <r>
    <x v="5"/>
    <x v="3"/>
    <x v="0"/>
    <s v="6442101"/>
    <n v="700026"/>
    <s v="Salaries-RN-Other"/>
    <s v="Shared Governance"/>
    <x v="0"/>
    <n v="2000"/>
    <n v="11.67"/>
    <n v="11.07"/>
    <n v="133.12"/>
    <n v="41.42"/>
    <n v="34.85"/>
    <n v="5.88"/>
    <n v="181.66"/>
    <n v="95.68"/>
    <n v="162.27000000000001"/>
    <n v="404"/>
    <n v="26.11"/>
    <n v="147.41999999999999"/>
    <n v="1255.1499999999999"/>
    <n v="-121.30999999999999"/>
  </r>
  <r>
    <x v="5"/>
    <x v="3"/>
    <x v="0"/>
    <s v="6442101"/>
    <n v="700032"/>
    <s v="Salaries-Other Pat Care Providers-Productive"/>
    <s v="Shared Governance"/>
    <x v="0"/>
    <m/>
    <n v="0"/>
    <n v="25.29"/>
    <n v="29.51"/>
    <n v="16.86"/>
    <n v="41.46"/>
    <n v="-19.96"/>
    <n v="0"/>
    <n v="0"/>
    <n v="0"/>
    <n v="0"/>
    <n v="0"/>
    <n v="180.67"/>
    <n v="273.83"/>
    <n v="-180.67"/>
  </r>
  <r>
    <x v="5"/>
    <x v="3"/>
    <x v="0"/>
    <s v="6442101"/>
    <n v="700032"/>
    <s v="Salaries-Other Pat Care Providers-OT"/>
    <s v="Shared Governance"/>
    <x v="0"/>
    <n v="1000"/>
    <n v="73.42"/>
    <n v="-12.94"/>
    <n v="0"/>
    <n v="0"/>
    <n v="0"/>
    <n v="0"/>
    <n v="0"/>
    <n v="0"/>
    <n v="0"/>
    <n v="0"/>
    <n v="0"/>
    <n v="17.010000000000002"/>
    <n v="77.490000000000009"/>
    <n v="-17.010000000000002"/>
  </r>
  <r>
    <x v="5"/>
    <x v="3"/>
    <x v="0"/>
    <s v="6442101"/>
    <n v="700032"/>
    <s v="Salaries-Other Pat Care Providers-Other"/>
    <s v="Shared Governance"/>
    <x v="0"/>
    <n v="2000"/>
    <n v="5.04"/>
    <n v="-0.88"/>
    <n v="0"/>
    <n v="0"/>
    <n v="0"/>
    <n v="0"/>
    <n v="0"/>
    <n v="0"/>
    <n v="0"/>
    <n v="0"/>
    <n v="0"/>
    <n v="0"/>
    <n v="4.16"/>
    <n v="0"/>
  </r>
  <r>
    <x v="5"/>
    <x v="3"/>
    <x v="0"/>
    <s v="6442101"/>
    <n v="700034"/>
    <s v="Salaries-Tech/Professional-Productive"/>
    <s v="Shared Governance"/>
    <x v="0"/>
    <m/>
    <n v="0"/>
    <n v="0"/>
    <n v="0"/>
    <n v="0"/>
    <n v="0"/>
    <n v="0"/>
    <n v="0"/>
    <n v="0"/>
    <n v="0"/>
    <n v="0"/>
    <n v="0"/>
    <n v="370"/>
    <n v="370"/>
    <n v="-370"/>
  </r>
  <r>
    <x v="5"/>
    <x v="3"/>
    <x v="0"/>
    <s v="6442101"/>
    <n v="700066"/>
    <s v="Salaries-RN-NonProd-Other"/>
    <s v="Shared Governance"/>
    <x v="0"/>
    <n v="2000"/>
    <n v="0"/>
    <n v="0"/>
    <n v="0"/>
    <n v="0"/>
    <n v="0"/>
    <n v="0"/>
    <n v="23.93"/>
    <n v="-6.29"/>
    <n v="2.5499999999999998"/>
    <n v="115.5"/>
    <n v="-48.49"/>
    <n v="2.2400000000000002"/>
    <n v="89.439999999999984"/>
    <n v="-50.730000000000004"/>
  </r>
  <r>
    <x v="6"/>
    <x v="3"/>
    <x v="0"/>
    <s v="6442101"/>
    <n v="713010"/>
    <s v="Benefits-FICA/Medicare"/>
    <s v="Shared Governance"/>
    <x v="0"/>
    <m/>
    <n v="20.14"/>
    <n v="28.69"/>
    <n v="206.21"/>
    <n v="53.56"/>
    <n v="30.61"/>
    <n v="66.010000000000005"/>
    <n v="245.02"/>
    <n v="225.84"/>
    <n v="343.53"/>
    <n v="521.37"/>
    <n v="213.19"/>
    <n v="327.3"/>
    <n v="2281.4700000000003"/>
    <n v="-114.11000000000001"/>
  </r>
  <r>
    <x v="6"/>
    <x v="3"/>
    <x v="0"/>
    <s v="6442101"/>
    <n v="713090"/>
    <s v="Benefits-Allocated Amounts"/>
    <s v="Shared Governance"/>
    <x v="0"/>
    <m/>
    <n v="44.32"/>
    <n v="91"/>
    <n v="505.16"/>
    <n v="115.26"/>
    <n v="146.26"/>
    <n v="182.74"/>
    <n v="497.64"/>
    <n v="719.49"/>
    <n v="634.99"/>
    <n v="1469.42"/>
    <n v="486.31"/>
    <n v="889.83"/>
    <n v="5782.42"/>
    <n v="-403.52000000000004"/>
  </r>
  <r>
    <x v="11"/>
    <x v="3"/>
    <x v="0"/>
    <s v="6442101"/>
    <n v="721810"/>
    <s v="Supplies-Dietary/Cafeteria"/>
    <s v="Shared Governance"/>
    <x v="0"/>
    <m/>
    <n v="135.97999999999999"/>
    <n v="0"/>
    <n v="0"/>
    <n v="0"/>
    <n v="0"/>
    <n v="0"/>
    <n v="0"/>
    <n v="0"/>
    <n v="177.41"/>
    <n v="0"/>
    <n v="0"/>
    <n v="0"/>
    <n v="313.39"/>
    <n v="0"/>
  </r>
  <r>
    <x v="11"/>
    <x v="3"/>
    <x v="0"/>
    <s v="6442101"/>
    <n v="721830"/>
    <s v="Supplies-Office"/>
    <s v="Shared Governance"/>
    <x v="0"/>
    <m/>
    <n v="0"/>
    <n v="0"/>
    <n v="0"/>
    <n v="0"/>
    <n v="0"/>
    <n v="0"/>
    <n v="0"/>
    <n v="1308"/>
    <n v="0"/>
    <n v="0"/>
    <n v="122.55"/>
    <n v="0"/>
    <n v="1430.55"/>
    <n v="122.55"/>
  </r>
  <r>
    <x v="11"/>
    <x v="3"/>
    <x v="0"/>
    <s v="6442101"/>
    <n v="721980"/>
    <s v="Supplies-Other"/>
    <s v="Shared Governance"/>
    <x v="0"/>
    <m/>
    <n v="0"/>
    <n v="0"/>
    <n v="0"/>
    <n v="0"/>
    <n v="0"/>
    <n v="0"/>
    <n v="0"/>
    <n v="0"/>
    <n v="0"/>
    <n v="0"/>
    <n v="3862.02"/>
    <n v="-15.74"/>
    <n v="3846.28"/>
    <n v="3877.7599999999998"/>
  </r>
  <r>
    <x v="11"/>
    <x v="3"/>
    <x v="0"/>
    <s v="6442101"/>
    <n v="722000"/>
    <s v="Supplies-Freight Expense"/>
    <s v="Shared Governance"/>
    <x v="0"/>
    <m/>
    <n v="0"/>
    <n v="0"/>
    <n v="0"/>
    <n v="0"/>
    <n v="0"/>
    <n v="0"/>
    <n v="0"/>
    <n v="0"/>
    <n v="0"/>
    <n v="0"/>
    <n v="0"/>
    <n v="15.74"/>
    <n v="15.74"/>
    <n v="-15.74"/>
  </r>
  <r>
    <x v="5"/>
    <x v="0"/>
    <x v="0"/>
    <s v="6442102"/>
    <n v="700026"/>
    <s v="Salaries-RN-Productive"/>
    <s v="Shared Governance"/>
    <x v="0"/>
    <m/>
    <n v="5797.45"/>
    <n v="4206.55"/>
    <n v="1630.23"/>
    <n v="7359.65"/>
    <n v="5106.3599999999997"/>
    <n v="3249.53"/>
    <n v="11790.56"/>
    <n v="5295.77"/>
    <n v="10909.96"/>
    <n v="10153.66"/>
    <n v="14604.78"/>
    <n v="16842.27"/>
    <n v="96946.76999999999"/>
    <n v="-2237.4899999999998"/>
  </r>
  <r>
    <x v="5"/>
    <x v="0"/>
    <x v="0"/>
    <s v="6442102"/>
    <n v="700026"/>
    <s v="Salaries-RN-OT"/>
    <s v="Shared Governance"/>
    <x v="0"/>
    <n v="1000"/>
    <n v="1149.24"/>
    <n v="405.47"/>
    <n v="1922.74"/>
    <n v="436.27"/>
    <n v="326.33999999999997"/>
    <n v="-17.309999999999999"/>
    <n v="1476.64"/>
    <n v="521.30999999999995"/>
    <n v="801.55"/>
    <n v="4053.41"/>
    <n v="-612.09"/>
    <n v="1407.36"/>
    <n v="11870.93"/>
    <n v="-2019.4499999999998"/>
  </r>
  <r>
    <x v="5"/>
    <x v="0"/>
    <x v="0"/>
    <s v="6442102"/>
    <n v="700026"/>
    <s v="Salaries-RN-Other"/>
    <s v="Shared Governance"/>
    <x v="0"/>
    <n v="2000"/>
    <n v="292.5"/>
    <n v="75.02"/>
    <n v="139.1"/>
    <n v="372.91"/>
    <n v="209.47"/>
    <n v="90.98"/>
    <n v="623.41"/>
    <n v="95.89"/>
    <n v="524.47"/>
    <n v="542.36"/>
    <n v="161.03"/>
    <n v="449.24"/>
    <n v="3576.38"/>
    <n v="-288.21000000000004"/>
  </r>
  <r>
    <x v="5"/>
    <x v="0"/>
    <x v="0"/>
    <s v="6442102"/>
    <n v="700032"/>
    <s v="Salaries-Other Pat Care Providers-Productive"/>
    <s v="Shared Governance"/>
    <x v="0"/>
    <m/>
    <n v="167.06"/>
    <n v="297.52999999999997"/>
    <n v="-20.53"/>
    <n v="-15.48"/>
    <n v="248.22"/>
    <n v="173.58"/>
    <n v="10.31"/>
    <n v="101.56"/>
    <n v="100.38"/>
    <n v="1046.6300000000001"/>
    <n v="-119.73"/>
    <n v="689.86"/>
    <n v="2679.3900000000003"/>
    <n v="-809.59"/>
  </r>
  <r>
    <x v="5"/>
    <x v="0"/>
    <x v="0"/>
    <s v="6442102"/>
    <n v="700032"/>
    <s v="Salaries-Other Pat Care Providers-OT"/>
    <s v="Shared Governance"/>
    <x v="0"/>
    <n v="1000"/>
    <n v="26.82"/>
    <n v="-4.7300000000000004"/>
    <n v="0"/>
    <n v="41.1"/>
    <n v="-18.079999999999998"/>
    <n v="0"/>
    <n v="0"/>
    <n v="0"/>
    <n v="95.6"/>
    <n v="2.02"/>
    <n v="0"/>
    <n v="0"/>
    <n v="142.72999999999999"/>
    <n v="0"/>
  </r>
  <r>
    <x v="5"/>
    <x v="0"/>
    <x v="0"/>
    <s v="6442102"/>
    <n v="700032"/>
    <s v="Salaries-Other Pat Care Providers-Other"/>
    <s v="Shared Governance"/>
    <x v="0"/>
    <n v="2000"/>
    <n v="1.32"/>
    <n v="7.03"/>
    <n v="0"/>
    <n v="2.87"/>
    <n v="4.33"/>
    <n v="4.18"/>
    <n v="0"/>
    <n v="1.96"/>
    <n v="8.61"/>
    <n v="45.39"/>
    <n v="-16.95"/>
    <n v="7.27"/>
    <n v="66.009999999999991"/>
    <n v="-24.22"/>
  </r>
  <r>
    <x v="5"/>
    <x v="0"/>
    <x v="0"/>
    <s v="6442102"/>
    <n v="700034"/>
    <s v="Salaries-Tech/Professional-Productive"/>
    <s v="Shared Governance"/>
    <x v="0"/>
    <m/>
    <n v="0"/>
    <n v="0"/>
    <n v="0"/>
    <n v="0"/>
    <n v="0"/>
    <n v="0"/>
    <n v="167.01"/>
    <n v="52.52"/>
    <n v="181.99"/>
    <n v="-66.16"/>
    <n v="0"/>
    <n v="173.27"/>
    <n v="508.63"/>
    <n v="-173.27"/>
  </r>
  <r>
    <x v="5"/>
    <x v="0"/>
    <x v="0"/>
    <s v="6442102"/>
    <n v="700034"/>
    <s v="Salaries-Tech/Professional-Other"/>
    <s v="Shared Governance"/>
    <x v="0"/>
    <n v="2000"/>
    <n v="0"/>
    <n v="0"/>
    <n v="0"/>
    <n v="0"/>
    <n v="0"/>
    <n v="0"/>
    <n v="2.17"/>
    <n v="5.13"/>
    <n v="2.19"/>
    <n v="-0.79"/>
    <n v="0"/>
    <n v="4.46"/>
    <n v="13.16"/>
    <n v="-4.46"/>
  </r>
  <r>
    <x v="5"/>
    <x v="0"/>
    <x v="0"/>
    <s v="6442102"/>
    <n v="700038"/>
    <s v="Salaries-Service/Support-Productive"/>
    <s v="Shared Governance"/>
    <x v="0"/>
    <m/>
    <n v="221.28"/>
    <n v="416.59"/>
    <n v="-91.11"/>
    <n v="0"/>
    <n v="0"/>
    <n v="52.76"/>
    <n v="15.84"/>
    <n v="44.15"/>
    <n v="717.75"/>
    <n v="595.88"/>
    <n v="912.72"/>
    <n v="150.16"/>
    <n v="3036.0199999999995"/>
    <n v="762.56000000000006"/>
  </r>
  <r>
    <x v="5"/>
    <x v="0"/>
    <x v="0"/>
    <s v="6442102"/>
    <n v="700038"/>
    <s v="Salaries-Service/Support-OT"/>
    <s v="Shared Governance"/>
    <x v="0"/>
    <n v="1000"/>
    <n v="0"/>
    <n v="0"/>
    <n v="0"/>
    <n v="0"/>
    <n v="0"/>
    <n v="0"/>
    <n v="0"/>
    <n v="0"/>
    <n v="0"/>
    <n v="651.16999999999996"/>
    <n v="-271.29000000000002"/>
    <n v="0"/>
    <n v="379.87999999999994"/>
    <n v="-271.29000000000002"/>
  </r>
  <r>
    <x v="5"/>
    <x v="0"/>
    <x v="0"/>
    <s v="6442102"/>
    <n v="700038"/>
    <s v="Salaries-Service/Support-Other"/>
    <s v="Shared Governance"/>
    <x v="0"/>
    <n v="2000"/>
    <n v="1.32"/>
    <n v="3.91"/>
    <n v="-1.24"/>
    <n v="0"/>
    <n v="0"/>
    <n v="3.26"/>
    <n v="0.99"/>
    <n v="2.64"/>
    <n v="0"/>
    <n v="2.48"/>
    <n v="-1.03"/>
    <n v="1.45"/>
    <n v="13.780000000000001"/>
    <n v="-2.48"/>
  </r>
  <r>
    <x v="5"/>
    <x v="0"/>
    <x v="0"/>
    <s v="6442102"/>
    <n v="700066"/>
    <s v="Salaries-RN-NonProd-Other"/>
    <s v="Shared Governance"/>
    <x v="0"/>
    <n v="2000"/>
    <n v="0"/>
    <n v="0"/>
    <n v="0"/>
    <n v="0"/>
    <n v="1.92"/>
    <n v="-0.92"/>
    <n v="8.35"/>
    <n v="71.05"/>
    <n v="-15.72"/>
    <n v="33.43"/>
    <n v="-13.92"/>
    <n v="0"/>
    <n v="84.189999999999984"/>
    <n v="-13.92"/>
  </r>
  <r>
    <x v="6"/>
    <x v="0"/>
    <x v="0"/>
    <s v="6442102"/>
    <n v="713010"/>
    <s v="Benefits-FICA/Medicare"/>
    <s v="Shared Governance"/>
    <x v="0"/>
    <m/>
    <n v="564.85"/>
    <n v="397.27"/>
    <n v="265.55"/>
    <n v="602.73"/>
    <n v="430.08"/>
    <n v="268.83999999999997"/>
    <n v="1047.6400000000001"/>
    <n v="459.2"/>
    <n v="998.86"/>
    <n v="1256.45"/>
    <n v="1094.56"/>
    <n v="1460.41"/>
    <n v="8846.4399999999987"/>
    <n v="-365.85000000000014"/>
  </r>
  <r>
    <x v="6"/>
    <x v="0"/>
    <x v="0"/>
    <s v="6442102"/>
    <n v="713090"/>
    <s v="Benefits-Allocated Amounts"/>
    <s v="Shared Governance"/>
    <x v="0"/>
    <m/>
    <n v="1440.14"/>
    <n v="1015.54"/>
    <n v="560.45000000000005"/>
    <n v="1298.57"/>
    <n v="952.13"/>
    <n v="731.73"/>
    <n v="2267.46"/>
    <n v="1276.31"/>
    <n v="2476.27"/>
    <n v="2956.91"/>
    <n v="2926.1"/>
    <n v="3734.83"/>
    <n v="21636.440000000002"/>
    <n v="-808.73"/>
  </r>
  <r>
    <x v="5"/>
    <x v="4"/>
    <x v="0"/>
    <s v="6442103"/>
    <n v="700026"/>
    <s v="Salaries-RN-Productive"/>
    <s v="Shared Governance"/>
    <x v="0"/>
    <m/>
    <n v="3404.71"/>
    <n v="2922.67"/>
    <n v="4530.1099999999997"/>
    <n v="4948.32"/>
    <n v="6016.74"/>
    <n v="-670.05"/>
    <n v="3700.97"/>
    <n v="8816.59"/>
    <n v="11527.04"/>
    <n v="12656.83"/>
    <n v="14884.6"/>
    <n v="7016.32"/>
    <n v="79754.850000000006"/>
    <n v="7868.2800000000007"/>
  </r>
  <r>
    <x v="5"/>
    <x v="4"/>
    <x v="0"/>
    <s v="6442103"/>
    <n v="700026"/>
    <s v="Salaries-RN-OT"/>
    <s v="Shared Governance"/>
    <x v="0"/>
    <n v="1000"/>
    <n v="1610.8"/>
    <n v="811.71"/>
    <n v="1487.43"/>
    <n v="2009.91"/>
    <n v="-218.72"/>
    <n v="-217.02"/>
    <n v="698.95"/>
    <n v="-133.63"/>
    <n v="2397.39"/>
    <n v="3095.57"/>
    <n v="204.01"/>
    <n v="717.16"/>
    <n v="12463.56"/>
    <n v="-513.15"/>
  </r>
  <r>
    <x v="5"/>
    <x v="4"/>
    <x v="0"/>
    <s v="6442103"/>
    <n v="700026"/>
    <s v="Salaries-RN-Other"/>
    <s v="Shared Governance"/>
    <x v="0"/>
    <n v="2000"/>
    <n v="106.45"/>
    <n v="77.400000000000006"/>
    <n v="177.06"/>
    <n v="491.95"/>
    <n v="-19.55"/>
    <n v="2.56"/>
    <n v="87.07"/>
    <n v="128.59"/>
    <n v="970.61"/>
    <n v="505.53"/>
    <n v="416.6"/>
    <n v="324.86"/>
    <n v="3269.13"/>
    <n v="91.740000000000009"/>
  </r>
  <r>
    <x v="5"/>
    <x v="4"/>
    <x v="0"/>
    <s v="6442103"/>
    <n v="700032"/>
    <s v="Salaries-Other Pat Care Providers-Productive"/>
    <s v="Shared Governance"/>
    <x v="0"/>
    <m/>
    <n v="237.91"/>
    <n v="356.04"/>
    <n v="-64.28"/>
    <n v="668.09"/>
    <n v="1120.21"/>
    <n v="78.48"/>
    <n v="0"/>
    <n v="662.35"/>
    <n v="48.61"/>
    <n v="1640.92"/>
    <n v="-30.52"/>
    <n v="72.819999999999993"/>
    <n v="4790.6299999999992"/>
    <n v="-103.33999999999999"/>
  </r>
  <r>
    <x v="5"/>
    <x v="4"/>
    <x v="0"/>
    <s v="6442103"/>
    <n v="700032"/>
    <s v="Salaries-Other Pat Care Providers-OT"/>
    <s v="Shared Governance"/>
    <x v="0"/>
    <n v="1000"/>
    <n v="0"/>
    <n v="0"/>
    <n v="0"/>
    <n v="41.42"/>
    <n v="20.99"/>
    <n v="6.81"/>
    <n v="0"/>
    <n v="9.41"/>
    <n v="-2.4700000000000002"/>
    <n v="32.1"/>
    <n v="-13.37"/>
    <n v="0"/>
    <n v="94.889999999999986"/>
    <n v="-13.37"/>
  </r>
  <r>
    <x v="5"/>
    <x v="4"/>
    <x v="0"/>
    <s v="6442103"/>
    <n v="700032"/>
    <s v="Salaries-Other Pat Care Providers-Other"/>
    <s v="Shared Governance"/>
    <x v="0"/>
    <n v="2000"/>
    <n v="0"/>
    <n v="0"/>
    <n v="0"/>
    <n v="0"/>
    <n v="0"/>
    <n v="0"/>
    <n v="0"/>
    <n v="0"/>
    <n v="0"/>
    <n v="2.37"/>
    <n v="-0.98"/>
    <n v="0"/>
    <n v="1.3900000000000001"/>
    <n v="-0.98"/>
  </r>
  <r>
    <x v="5"/>
    <x v="4"/>
    <x v="0"/>
    <s v="6442103"/>
    <n v="700038"/>
    <s v="Salaries-Service/Support-Productive"/>
    <s v="Shared Governance"/>
    <x v="0"/>
    <m/>
    <n v="127.32"/>
    <n v="-3.32"/>
    <n v="0"/>
    <n v="124"/>
    <n v="0"/>
    <n v="0"/>
    <n v="0"/>
    <n v="0"/>
    <n v="0"/>
    <n v="0"/>
    <n v="0"/>
    <n v="0"/>
    <n v="248"/>
    <n v="0"/>
  </r>
  <r>
    <x v="5"/>
    <x v="4"/>
    <x v="0"/>
    <s v="6442103"/>
    <n v="700038"/>
    <s v="Salaries-Service/Support-OT"/>
    <s v="Shared Governance"/>
    <x v="0"/>
    <n v="1000"/>
    <n v="21.45"/>
    <n v="-3.78"/>
    <n v="0"/>
    <n v="5.99"/>
    <n v="0"/>
    <n v="0"/>
    <n v="0"/>
    <n v="0"/>
    <n v="0"/>
    <n v="0"/>
    <n v="0"/>
    <n v="0"/>
    <n v="23.659999999999997"/>
    <n v="0"/>
  </r>
  <r>
    <x v="5"/>
    <x v="4"/>
    <x v="0"/>
    <s v="6442103"/>
    <n v="700066"/>
    <s v="Salaries-RN-NonProd-Other"/>
    <s v="Shared Governance"/>
    <x v="0"/>
    <n v="2000"/>
    <n v="11.38"/>
    <n v="0"/>
    <n v="29.37"/>
    <n v="19.62"/>
    <n v="-11.48"/>
    <n v="0"/>
    <n v="0"/>
    <n v="0"/>
    <n v="12.9"/>
    <n v="11.28"/>
    <n v="0"/>
    <n v="19.54"/>
    <n v="92.609999999999985"/>
    <n v="-19.54"/>
  </r>
  <r>
    <x v="6"/>
    <x v="4"/>
    <x v="0"/>
    <s v="6442103"/>
    <n v="713010"/>
    <s v="Benefits-FICA/Medicare"/>
    <s v="Shared Governance"/>
    <x v="0"/>
    <m/>
    <n v="399.35"/>
    <n v="302.01"/>
    <n v="453.41"/>
    <n v="603.67999999999995"/>
    <n v="508.4"/>
    <n v="-63.42"/>
    <n v="326.79000000000002"/>
    <n v="702.09"/>
    <n v="1099.99"/>
    <n v="1289.68"/>
    <n v="1132.96"/>
    <n v="588.58000000000004"/>
    <n v="7343.52"/>
    <n v="544.38"/>
  </r>
  <r>
    <x v="6"/>
    <x v="4"/>
    <x v="0"/>
    <s v="6442103"/>
    <n v="713090"/>
    <s v="Benefits-Allocated Amounts"/>
    <s v="Shared Governance"/>
    <x v="0"/>
    <m/>
    <n v="1010.31"/>
    <n v="688.52"/>
    <n v="976.74"/>
    <n v="1350.26"/>
    <n v="1427.73"/>
    <n v="-101.19"/>
    <n v="810.66"/>
    <n v="1965.69"/>
    <n v="2407.92"/>
    <n v="3363.42"/>
    <n v="2946.62"/>
    <n v="1569.23"/>
    <n v="18415.91"/>
    <n v="1377.3899999999999"/>
  </r>
  <r>
    <x v="11"/>
    <x v="4"/>
    <x v="0"/>
    <s v="6442103"/>
    <n v="721810"/>
    <s v="Supplies-Dietary/Cafeteria"/>
    <s v="Shared Governance"/>
    <x v="0"/>
    <m/>
    <n v="0"/>
    <n v="349.74"/>
    <n v="70.709999999999994"/>
    <n v="0"/>
    <n v="8"/>
    <n v="8"/>
    <n v="36.94"/>
    <n v="390.92"/>
    <n v="0"/>
    <n v="384.89"/>
    <n v="130.07"/>
    <n v="108.75"/>
    <n v="1488.0199999999998"/>
    <n v="21.319999999999993"/>
  </r>
  <r>
    <x v="11"/>
    <x v="4"/>
    <x v="0"/>
    <s v="6442103"/>
    <n v="721835"/>
    <s v="Supplies-Forms"/>
    <s v="Shared Governance"/>
    <x v="0"/>
    <m/>
    <n v="0"/>
    <n v="0"/>
    <n v="0"/>
    <n v="0"/>
    <n v="0"/>
    <n v="0"/>
    <n v="0"/>
    <n v="0"/>
    <n v="0"/>
    <n v="0"/>
    <n v="0"/>
    <n v="3.11"/>
    <n v="3.11"/>
    <n v="-3.11"/>
  </r>
  <r>
    <x v="0"/>
    <x v="4"/>
    <x v="0"/>
    <s v="6442103"/>
    <n v="749510"/>
    <s v="Miscellaneous Employee Expense"/>
    <s v="Shared Governance"/>
    <x v="0"/>
    <n v="1010"/>
    <n v="0"/>
    <n v="0"/>
    <n v="0"/>
    <n v="0"/>
    <n v="0"/>
    <n v="0"/>
    <n v="0"/>
    <n v="0"/>
    <n v="719.23"/>
    <n v="0"/>
    <n v="0"/>
    <n v="0"/>
    <n v="719.23"/>
    <n v="0"/>
  </r>
  <r>
    <x v="5"/>
    <x v="8"/>
    <x v="0"/>
    <s v="6442104"/>
    <n v="700026"/>
    <s v="Salaries-RN-Productive"/>
    <s v="Shared Governance"/>
    <x v="0"/>
    <m/>
    <n v="34574.730000000003"/>
    <n v="44873.77"/>
    <n v="45870.7"/>
    <n v="49125.51"/>
    <n v="48384.94"/>
    <n v="104301.11"/>
    <n v="123056.45"/>
    <n v="97904.19"/>
    <n v="94494.95"/>
    <n v="100938.72"/>
    <n v="108660.98"/>
    <n v="109569.78"/>
    <n v="961755.83"/>
    <n v="-908.80000000000291"/>
  </r>
  <r>
    <x v="5"/>
    <x v="8"/>
    <x v="0"/>
    <s v="6442104"/>
    <n v="700026"/>
    <s v="Salaries-RN-OT"/>
    <s v="Shared Governance"/>
    <x v="0"/>
    <n v="1000"/>
    <n v="339.51"/>
    <n v="1615.87"/>
    <n v="3125.78"/>
    <n v="590"/>
    <n v="2092.8200000000002"/>
    <n v="2040.83"/>
    <n v="656.67"/>
    <n v="1841.81"/>
    <n v="731.17"/>
    <n v="258.72000000000003"/>
    <n v="1640.26"/>
    <n v="4373.21"/>
    <n v="19306.649999999998"/>
    <n v="-2732.95"/>
  </r>
  <r>
    <x v="5"/>
    <x v="8"/>
    <x v="0"/>
    <s v="6442104"/>
    <n v="700026"/>
    <s v="Salaries-RN-Other"/>
    <s v="Shared Governance"/>
    <x v="0"/>
    <n v="2000"/>
    <n v="3169.32"/>
    <n v="4526.8"/>
    <n v="4451.92"/>
    <n v="4424.45"/>
    <n v="4287.46"/>
    <n v="7298.08"/>
    <n v="7954.6"/>
    <n v="6991.87"/>
    <n v="5809.2"/>
    <n v="6527.42"/>
    <n v="7654.25"/>
    <n v="7673.69"/>
    <n v="70769.06"/>
    <n v="-19.4399999999996"/>
  </r>
  <r>
    <x v="5"/>
    <x v="8"/>
    <x v="0"/>
    <s v="6442104"/>
    <n v="700032"/>
    <s v="Salaries-Other Pat Care Providers-Productive"/>
    <s v="Shared Governance"/>
    <x v="0"/>
    <m/>
    <n v="231.41"/>
    <n v="112.84"/>
    <n v="391.8"/>
    <n v="2022.85"/>
    <n v="-55.96"/>
    <n v="-57.19"/>
    <n v="288.45999999999998"/>
    <n v="234.69"/>
    <n v="340.77"/>
    <n v="505.23"/>
    <n v="869.19"/>
    <n v="290.22000000000003"/>
    <n v="5174.3100000000004"/>
    <n v="578.97"/>
  </r>
  <r>
    <x v="5"/>
    <x v="8"/>
    <x v="0"/>
    <s v="6442104"/>
    <n v="700032"/>
    <s v="Salaries-Other Pat Care Providers-OT"/>
    <s v="Shared Governance"/>
    <x v="0"/>
    <n v="1000"/>
    <n v="0"/>
    <n v="0"/>
    <n v="95.06"/>
    <n v="0"/>
    <n v="0"/>
    <n v="0"/>
    <n v="0"/>
    <n v="0"/>
    <n v="0"/>
    <n v="0"/>
    <n v="0"/>
    <n v="0"/>
    <n v="95.06"/>
    <n v="0"/>
  </r>
  <r>
    <x v="5"/>
    <x v="8"/>
    <x v="0"/>
    <s v="6442104"/>
    <n v="700032"/>
    <s v="Salaries-Other Pat Care Providers-Other"/>
    <s v="Shared Governance"/>
    <x v="0"/>
    <n v="2000"/>
    <n v="0"/>
    <n v="0"/>
    <n v="0"/>
    <n v="1.08"/>
    <n v="2.08"/>
    <n v="-1"/>
    <n v="0"/>
    <n v="1.08"/>
    <n v="1.69"/>
    <n v="-0.61"/>
    <n v="2.15"/>
    <n v="2.15"/>
    <n v="8.6199999999999992"/>
    <n v="0"/>
  </r>
  <r>
    <x v="5"/>
    <x v="8"/>
    <x v="0"/>
    <s v="6442104"/>
    <n v="700034"/>
    <s v="Salaries-Tech/Professional-Productive"/>
    <s v="Shared Governance"/>
    <x v="0"/>
    <m/>
    <n v="0"/>
    <n v="0"/>
    <n v="0"/>
    <n v="45.84"/>
    <n v="0"/>
    <n v="0"/>
    <n v="0"/>
    <n v="0"/>
    <n v="373.48"/>
    <n v="332.55"/>
    <n v="56.15"/>
    <n v="127.4"/>
    <n v="935.42000000000007"/>
    <n v="-71.25"/>
  </r>
  <r>
    <x v="5"/>
    <x v="8"/>
    <x v="0"/>
    <s v="6442104"/>
    <n v="700034"/>
    <s v="Salaries-Tech/Professional-OT"/>
    <s v="Shared Governance"/>
    <x v="0"/>
    <n v="1000"/>
    <n v="0"/>
    <n v="0"/>
    <n v="0"/>
    <n v="0"/>
    <n v="0"/>
    <n v="0"/>
    <n v="0"/>
    <n v="0"/>
    <n v="0"/>
    <n v="162.43"/>
    <n v="-55.21"/>
    <n v="0"/>
    <n v="107.22"/>
    <n v="-55.21"/>
  </r>
  <r>
    <x v="5"/>
    <x v="8"/>
    <x v="0"/>
    <s v="6442104"/>
    <n v="700034"/>
    <s v="Salaries-Tech/Professional-Other"/>
    <s v="Shared Governance"/>
    <x v="0"/>
    <n v="2000"/>
    <n v="0"/>
    <n v="0"/>
    <n v="0"/>
    <n v="2.2999999999999998"/>
    <n v="0"/>
    <n v="0"/>
    <n v="0"/>
    <n v="0"/>
    <n v="11.13"/>
    <n v="47.62"/>
    <n v="-1.73"/>
    <n v="8"/>
    <n v="67.319999999999993"/>
    <n v="-9.73"/>
  </r>
  <r>
    <x v="5"/>
    <x v="8"/>
    <x v="0"/>
    <s v="6442104"/>
    <n v="700038"/>
    <s v="Salaries-Service/Support-Productive"/>
    <s v="Shared Governance"/>
    <x v="0"/>
    <m/>
    <n v="0"/>
    <n v="0"/>
    <n v="0"/>
    <n v="160.99"/>
    <n v="-70.83"/>
    <n v="0"/>
    <n v="0"/>
    <n v="0"/>
    <n v="0"/>
    <n v="0"/>
    <n v="0"/>
    <n v="0"/>
    <n v="90.160000000000011"/>
    <n v="0"/>
  </r>
  <r>
    <x v="5"/>
    <x v="8"/>
    <x v="0"/>
    <s v="6442104"/>
    <n v="700038"/>
    <s v="Salaries-Service/Support-OT"/>
    <s v="Shared Governance"/>
    <x v="0"/>
    <n v="1000"/>
    <n v="0"/>
    <n v="0"/>
    <n v="0"/>
    <n v="182.24"/>
    <n v="-80.180000000000007"/>
    <n v="0"/>
    <n v="0"/>
    <n v="0"/>
    <n v="0"/>
    <n v="0"/>
    <n v="0"/>
    <n v="0"/>
    <n v="102.06"/>
    <n v="0"/>
  </r>
  <r>
    <x v="5"/>
    <x v="8"/>
    <x v="0"/>
    <s v="6442104"/>
    <n v="700066"/>
    <s v="Salaries-RN-NonProd-Other"/>
    <s v="Shared Governance"/>
    <x v="0"/>
    <n v="2000"/>
    <n v="0"/>
    <n v="0"/>
    <n v="0"/>
    <n v="0"/>
    <n v="0"/>
    <n v="6"/>
    <n v="37.39"/>
    <n v="-6.44"/>
    <n v="0"/>
    <n v="29.35"/>
    <n v="2"/>
    <n v="27.5"/>
    <n v="95.800000000000011"/>
    <n v="-25.5"/>
  </r>
  <r>
    <x v="6"/>
    <x v="8"/>
    <x v="0"/>
    <s v="6442104"/>
    <n v="713010"/>
    <s v="Benefits-FICA/Medicare"/>
    <s v="Shared Governance"/>
    <x v="0"/>
    <m/>
    <n v="2850.27"/>
    <n v="3819.22"/>
    <n v="4016.81"/>
    <n v="4199.49"/>
    <n v="4038.39"/>
    <n v="8386.2999999999993"/>
    <n v="9870.89"/>
    <n v="7997.05"/>
    <n v="7596.18"/>
    <n v="8127.83"/>
    <n v="8833.23"/>
    <n v="9120.2900000000009"/>
    <n v="78855.950000000012"/>
    <n v="-287.06000000000131"/>
  </r>
  <r>
    <x v="6"/>
    <x v="8"/>
    <x v="0"/>
    <s v="6442104"/>
    <n v="713090"/>
    <s v="Benefits-Allocated Amounts"/>
    <s v="Shared Governance"/>
    <x v="0"/>
    <m/>
    <n v="6457.44"/>
    <n v="7967.92"/>
    <n v="8556.84"/>
    <n v="8863.4699999999993"/>
    <n v="8888.2800000000007"/>
    <n v="17773.2"/>
    <n v="20681.93"/>
    <n v="18222.28"/>
    <n v="16879.509999999998"/>
    <n v="18912.07"/>
    <n v="19638.12"/>
    <n v="19863.2"/>
    <n v="172704.25999999998"/>
    <n v="-225.08000000000175"/>
  </r>
  <r>
    <x v="11"/>
    <x v="8"/>
    <x v="0"/>
    <s v="6442104"/>
    <n v="721830"/>
    <s v="Supplies-Office"/>
    <s v="Shared Governance"/>
    <x v="0"/>
    <m/>
    <n v="0"/>
    <n v="0"/>
    <n v="0"/>
    <n v="0"/>
    <n v="0"/>
    <n v="0"/>
    <n v="29.59"/>
    <n v="0"/>
    <n v="0"/>
    <n v="0"/>
    <n v="0"/>
    <n v="0"/>
    <n v="29.59"/>
    <n v="0"/>
  </r>
  <r>
    <x v="0"/>
    <x v="8"/>
    <x v="0"/>
    <s v="6442104"/>
    <n v="749510"/>
    <s v="Miscellaneous Expenses"/>
    <s v="Shared Governance"/>
    <x v="0"/>
    <m/>
    <n v="-204.77"/>
    <n v="0"/>
    <n v="0"/>
    <n v="0"/>
    <n v="0"/>
    <n v="0"/>
    <n v="233.2"/>
    <n v="48.75"/>
    <n v="0"/>
    <n v="0"/>
    <n v="0"/>
    <n v="0"/>
    <n v="77.179999999999978"/>
    <n v="0"/>
  </r>
  <r>
    <x v="5"/>
    <x v="5"/>
    <x v="0"/>
    <s v="6442106"/>
    <n v="700026"/>
    <s v="Salaries-RN-Productive"/>
    <s v="Shared Governance"/>
    <x v="0"/>
    <m/>
    <n v="617.98"/>
    <n v="1477.53"/>
    <n v="695.91"/>
    <n v="530.75"/>
    <n v="3029.93"/>
    <n v="-773.82"/>
    <n v="336.16"/>
    <n v="3005.76"/>
    <n v="95.01"/>
    <n v="553.78"/>
    <n v="3582.23"/>
    <n v="824.03"/>
    <n v="13975.250000000002"/>
    <n v="2758.2"/>
  </r>
  <r>
    <x v="5"/>
    <x v="5"/>
    <x v="0"/>
    <s v="6442106"/>
    <n v="700026"/>
    <s v="Salaries-RN-OT"/>
    <s v="Shared Governance"/>
    <x v="0"/>
    <n v="1000"/>
    <n v="45.67"/>
    <n v="0"/>
    <n v="0"/>
    <n v="0"/>
    <n v="88.49"/>
    <n v="-42.6"/>
    <n v="0"/>
    <n v="0"/>
    <n v="180.12"/>
    <n v="-1.51"/>
    <n v="114.81"/>
    <n v="280.85000000000002"/>
    <n v="665.83"/>
    <n v="-166.04000000000002"/>
  </r>
  <r>
    <x v="5"/>
    <x v="5"/>
    <x v="0"/>
    <s v="6442106"/>
    <n v="700026"/>
    <s v="Salaries-RN-Other"/>
    <s v="Shared Governance"/>
    <x v="0"/>
    <n v="2000"/>
    <n v="10"/>
    <n v="35.5"/>
    <n v="7.5"/>
    <n v="0"/>
    <n v="37.71"/>
    <n v="-0.96"/>
    <n v="0"/>
    <n v="26.29"/>
    <n v="38.090000000000003"/>
    <n v="5.14"/>
    <n v="43.51"/>
    <n v="71.25"/>
    <n v="274.02999999999997"/>
    <n v="-27.740000000000002"/>
  </r>
  <r>
    <x v="5"/>
    <x v="5"/>
    <x v="0"/>
    <s v="6442106"/>
    <n v="700032"/>
    <s v="Salaries-Other Pat Care Providers-Productive"/>
    <s v="Shared Governance"/>
    <x v="0"/>
    <m/>
    <n v="0"/>
    <n v="0"/>
    <n v="0"/>
    <n v="0"/>
    <n v="0"/>
    <n v="0"/>
    <n v="0"/>
    <n v="0"/>
    <n v="0"/>
    <n v="0"/>
    <n v="49.92"/>
    <n v="1.86"/>
    <n v="51.78"/>
    <n v="48.06"/>
  </r>
  <r>
    <x v="5"/>
    <x v="5"/>
    <x v="0"/>
    <s v="6442106"/>
    <n v="700034"/>
    <s v="Salaries-Tech/Professional-Productive"/>
    <s v="Shared Governance"/>
    <x v="0"/>
    <m/>
    <n v="0"/>
    <n v="0"/>
    <n v="0"/>
    <n v="0"/>
    <n v="0"/>
    <n v="0"/>
    <n v="0"/>
    <n v="0"/>
    <n v="0"/>
    <n v="0"/>
    <n v="305.85000000000002"/>
    <n v="62.83"/>
    <n v="368.68"/>
    <n v="243.02000000000004"/>
  </r>
  <r>
    <x v="5"/>
    <x v="5"/>
    <x v="0"/>
    <s v="6442106"/>
    <n v="700034"/>
    <s v="Salaries-Tech/Professional-Other"/>
    <s v="Shared Governance"/>
    <x v="0"/>
    <n v="2000"/>
    <n v="0"/>
    <n v="0"/>
    <n v="0"/>
    <n v="0"/>
    <n v="0"/>
    <n v="0"/>
    <n v="0"/>
    <n v="0"/>
    <n v="0"/>
    <n v="0"/>
    <n v="3.84"/>
    <n v="-0.84"/>
    <n v="3"/>
    <n v="4.68"/>
  </r>
  <r>
    <x v="5"/>
    <x v="5"/>
    <x v="0"/>
    <s v="6442106"/>
    <n v="700038"/>
    <s v="Salaries-Service/Support-Productive"/>
    <s v="Shared Governance"/>
    <x v="0"/>
    <m/>
    <n v="0"/>
    <n v="0"/>
    <n v="0"/>
    <n v="0"/>
    <n v="0"/>
    <n v="0"/>
    <n v="0"/>
    <n v="0"/>
    <n v="0"/>
    <n v="0"/>
    <n v="92.74"/>
    <n v="3.46"/>
    <n v="96.199999999999989"/>
    <n v="89.28"/>
  </r>
  <r>
    <x v="6"/>
    <x v="5"/>
    <x v="0"/>
    <s v="6442106"/>
    <n v="713010"/>
    <s v="Benefits-FICA/Medicare"/>
    <s v="Shared Governance"/>
    <x v="0"/>
    <m/>
    <n v="50.61"/>
    <n v="115.52"/>
    <n v="51.61"/>
    <n v="39.619999999999997"/>
    <n v="212.13"/>
    <n v="-49.74"/>
    <n v="24.8"/>
    <n v="230.6"/>
    <n v="25.99"/>
    <n v="39.049999999999997"/>
    <n v="316.77999999999997"/>
    <n v="92.94"/>
    <n v="1149.9099999999999"/>
    <n v="223.83999999999997"/>
  </r>
  <r>
    <x v="6"/>
    <x v="5"/>
    <x v="0"/>
    <s v="6442106"/>
    <n v="713090"/>
    <s v="Benefits-Allocated Amounts"/>
    <s v="Shared Governance"/>
    <x v="0"/>
    <m/>
    <n v="149.82"/>
    <n v="307.8"/>
    <n v="148.84"/>
    <n v="102.2"/>
    <n v="660.87"/>
    <n v="-171.31"/>
    <n v="116.24"/>
    <n v="613.77"/>
    <n v="54.16"/>
    <n v="119.59"/>
    <n v="798.05"/>
    <n v="258.31"/>
    <n v="3158.3400000000006"/>
    <n v="539.74"/>
  </r>
  <r>
    <x v="11"/>
    <x v="5"/>
    <x v="0"/>
    <s v="6442106"/>
    <n v="721810"/>
    <s v="Supplies-Dietary/Cafeteria"/>
    <s v="Shared Governance"/>
    <x v="0"/>
    <m/>
    <n v="0"/>
    <n v="10.14"/>
    <n v="8.5299999999999994"/>
    <n v="7.68"/>
    <n v="0"/>
    <n v="0"/>
    <n v="0"/>
    <n v="0"/>
    <n v="0"/>
    <n v="13.33"/>
    <n v="18.2"/>
    <n v="0"/>
    <n v="57.879999999999995"/>
    <n v="18.2"/>
  </r>
  <r>
    <x v="11"/>
    <x v="5"/>
    <x v="0"/>
    <s v="6442106"/>
    <n v="722000"/>
    <s v="Supplies-Freight Expense"/>
    <s v="Shared Governance"/>
    <x v="0"/>
    <m/>
    <n v="0"/>
    <n v="0"/>
    <n v="10.84"/>
    <n v="0"/>
    <n v="0"/>
    <n v="0"/>
    <n v="11.43"/>
    <n v="0"/>
    <n v="0"/>
    <n v="0"/>
    <n v="0"/>
    <n v="12.8"/>
    <n v="35.07"/>
    <n v="-12.8"/>
  </r>
  <r>
    <x v="5"/>
    <x v="6"/>
    <x v="0"/>
    <s v="6442107"/>
    <n v="700026"/>
    <s v="Salaries-RN-Productive"/>
    <s v="Shared Governance"/>
    <x v="0"/>
    <m/>
    <n v="7173.66"/>
    <n v="5358.36"/>
    <n v="6663.33"/>
    <n v="12910.45"/>
    <n v="11271.21"/>
    <n v="5936.79"/>
    <n v="5636.4"/>
    <n v="3091.25"/>
    <n v="5334.67"/>
    <n v="8027.82"/>
    <n v="13101.36"/>
    <n v="6879.26"/>
    <n v="91384.56"/>
    <n v="6222.1"/>
  </r>
  <r>
    <x v="5"/>
    <x v="6"/>
    <x v="0"/>
    <s v="6442107"/>
    <n v="700026"/>
    <s v="Salaries-RN-OT"/>
    <s v="Shared Governance"/>
    <x v="0"/>
    <n v="1000"/>
    <n v="609.37"/>
    <n v="384.5"/>
    <n v="783.31"/>
    <n v="1104.06"/>
    <n v="660.26"/>
    <n v="597.77"/>
    <n v="861.24"/>
    <n v="477.32"/>
    <n v="1899.28"/>
    <n v="1655.49"/>
    <n v="1173.6099999999999"/>
    <n v="741.79"/>
    <n v="10948"/>
    <n v="431.81999999999994"/>
  </r>
  <r>
    <x v="5"/>
    <x v="6"/>
    <x v="0"/>
    <s v="6442107"/>
    <n v="700026"/>
    <s v="Salaries-RN-Other"/>
    <s v="Shared Governance"/>
    <x v="0"/>
    <n v="2000"/>
    <n v="196.66"/>
    <n v="253.94"/>
    <n v="341.68"/>
    <n v="313.19"/>
    <n v="534.55999999999995"/>
    <n v="173.05"/>
    <n v="250.81"/>
    <n v="227.53"/>
    <n v="294.62"/>
    <n v="303.22000000000003"/>
    <n v="713.66"/>
    <n v="402.38"/>
    <n v="4005.3"/>
    <n v="311.27999999999997"/>
  </r>
  <r>
    <x v="5"/>
    <x v="6"/>
    <x v="0"/>
    <s v="6442107"/>
    <n v="700030"/>
    <s v="Salaries-LPN-Productive"/>
    <s v="Shared Governance"/>
    <x v="0"/>
    <m/>
    <n v="144.88"/>
    <n v="0"/>
    <n v="55.13"/>
    <n v="0"/>
    <n v="0"/>
    <n v="0"/>
    <n v="16.559999999999999"/>
    <n v="0"/>
    <n v="51.1"/>
    <n v="0"/>
    <n v="0"/>
    <n v="0"/>
    <n v="267.67"/>
    <n v="0"/>
  </r>
  <r>
    <x v="5"/>
    <x v="6"/>
    <x v="0"/>
    <s v="6442107"/>
    <n v="700030"/>
    <s v="Salaries-LPN-OT"/>
    <s v="Shared Governance"/>
    <x v="0"/>
    <n v="1000"/>
    <n v="34.770000000000003"/>
    <n v="0"/>
    <n v="0"/>
    <n v="0"/>
    <n v="0"/>
    <n v="0"/>
    <n v="0"/>
    <n v="0"/>
    <n v="0"/>
    <n v="0"/>
    <n v="0"/>
    <n v="0"/>
    <n v="34.770000000000003"/>
    <n v="0"/>
  </r>
  <r>
    <x v="5"/>
    <x v="6"/>
    <x v="0"/>
    <s v="6442107"/>
    <n v="700032"/>
    <s v="Salaries-Other Pat Care Providers-Productive"/>
    <s v="Shared Governance"/>
    <x v="0"/>
    <m/>
    <n v="430.61"/>
    <n v="138.72"/>
    <n v="188.26"/>
    <n v="212.72"/>
    <n v="262.20999999999998"/>
    <n v="369.88"/>
    <n v="192.18"/>
    <n v="29.17"/>
    <n v="314.13"/>
    <n v="355.55"/>
    <n v="-8.33"/>
    <n v="19.809999999999999"/>
    <n v="2504.9100000000003"/>
    <n v="-28.14"/>
  </r>
  <r>
    <x v="5"/>
    <x v="6"/>
    <x v="0"/>
    <s v="6442107"/>
    <n v="700032"/>
    <s v="Salaries-Other Pat Care Providers-OT"/>
    <s v="Shared Governance"/>
    <x v="0"/>
    <n v="1000"/>
    <n v="0"/>
    <n v="0"/>
    <n v="136.80000000000001"/>
    <n v="78.650000000000006"/>
    <n v="-19.079999999999998"/>
    <n v="242.96"/>
    <n v="24.03"/>
    <n v="-11.04"/>
    <n v="129.47999999999999"/>
    <n v="232.04"/>
    <n v="-30.5"/>
    <n v="-37.64"/>
    <n v="745.69999999999993"/>
    <n v="7.1400000000000006"/>
  </r>
  <r>
    <x v="5"/>
    <x v="6"/>
    <x v="0"/>
    <s v="6442107"/>
    <n v="700032"/>
    <s v="Salaries-Other Pat Care Providers-Other"/>
    <s v="Shared Governance"/>
    <x v="0"/>
    <n v="2000"/>
    <n v="1.35"/>
    <n v="1.35"/>
    <n v="7.68"/>
    <n v="4.47"/>
    <n v="7.73"/>
    <n v="34.71"/>
    <n v="1.37"/>
    <n v="2.0299999999999998"/>
    <n v="17.54"/>
    <n v="5.37"/>
    <n v="7.02"/>
    <n v="-2.41"/>
    <n v="88.21"/>
    <n v="9.43"/>
  </r>
  <r>
    <x v="5"/>
    <x v="6"/>
    <x v="0"/>
    <s v="6442107"/>
    <n v="700034"/>
    <s v="Salaries-Tech/Professional-Productive"/>
    <s v="Shared Governance"/>
    <x v="0"/>
    <m/>
    <n v="258.08"/>
    <n v="0"/>
    <n v="0"/>
    <n v="521.89"/>
    <n v="-229.62"/>
    <n v="0"/>
    <n v="0"/>
    <n v="64.19"/>
    <n v="23.93"/>
    <n v="228.33"/>
    <n v="-29.4"/>
    <n v="-11.6"/>
    <n v="825.8"/>
    <n v="-17.799999999999997"/>
  </r>
  <r>
    <x v="5"/>
    <x v="6"/>
    <x v="0"/>
    <s v="6442107"/>
    <n v="700034"/>
    <s v="Salaries-Tech/Professional-OT"/>
    <s v="Shared Governance"/>
    <x v="0"/>
    <n v="1000"/>
    <n v="0"/>
    <n v="0"/>
    <n v="0"/>
    <n v="0"/>
    <n v="0"/>
    <n v="141.59"/>
    <n v="52.87"/>
    <n v="50.96"/>
    <n v="69.14"/>
    <n v="15.32"/>
    <n v="87.98"/>
    <n v="-51.74"/>
    <n v="366.12"/>
    <n v="139.72"/>
  </r>
  <r>
    <x v="5"/>
    <x v="6"/>
    <x v="0"/>
    <s v="6442107"/>
    <n v="700034"/>
    <s v="Salaries-Tech/Professional-Other"/>
    <s v="Shared Governance"/>
    <x v="0"/>
    <n v="2000"/>
    <n v="0"/>
    <n v="0"/>
    <n v="0"/>
    <n v="4.72"/>
    <n v="-2.0699999999999998"/>
    <n v="1.37"/>
    <n v="1.18"/>
    <n v="4.32"/>
    <n v="-1.22"/>
    <n v="20.77"/>
    <n v="-5.55"/>
    <n v="-1.48"/>
    <n v="22.04"/>
    <n v="-4.07"/>
  </r>
  <r>
    <x v="5"/>
    <x v="6"/>
    <x v="0"/>
    <s v="6442107"/>
    <n v="700038"/>
    <s v="Salaries-Service/Support-Productive"/>
    <s v="Shared Governance"/>
    <x v="0"/>
    <m/>
    <n v="0"/>
    <n v="0"/>
    <n v="0"/>
    <n v="0"/>
    <n v="46.11"/>
    <n v="-17.29"/>
    <n v="0"/>
    <n v="0"/>
    <n v="0"/>
    <n v="0"/>
    <n v="0"/>
    <n v="0"/>
    <n v="28.82"/>
    <n v="0"/>
  </r>
  <r>
    <x v="5"/>
    <x v="6"/>
    <x v="0"/>
    <s v="6442107"/>
    <n v="700038"/>
    <s v="Salaries-Service/Support-OT"/>
    <s v="Shared Governance"/>
    <x v="0"/>
    <n v="1000"/>
    <n v="0"/>
    <n v="0"/>
    <n v="0"/>
    <n v="0"/>
    <n v="0"/>
    <n v="93.54"/>
    <n v="42.79"/>
    <n v="-12.87"/>
    <n v="119.57"/>
    <n v="-43.47"/>
    <n v="0"/>
    <n v="0"/>
    <n v="199.56"/>
    <n v="0"/>
  </r>
  <r>
    <x v="5"/>
    <x v="6"/>
    <x v="0"/>
    <s v="6442107"/>
    <n v="700038"/>
    <s v="Salaries-Service/Support-Other"/>
    <s v="Shared Governance"/>
    <x v="0"/>
    <n v="2000"/>
    <n v="0"/>
    <n v="0"/>
    <n v="0"/>
    <n v="0"/>
    <n v="4.0999999999999996"/>
    <n v="-1.97"/>
    <n v="0"/>
    <n v="0"/>
    <n v="0"/>
    <n v="0"/>
    <n v="0"/>
    <n v="0"/>
    <n v="2.13"/>
    <n v="0"/>
  </r>
  <r>
    <x v="5"/>
    <x v="6"/>
    <x v="0"/>
    <s v="6442107"/>
    <n v="700066"/>
    <s v="Salaries-RN-NonProd-Other"/>
    <s v="Shared Governance"/>
    <x v="0"/>
    <n v="2000"/>
    <n v="0"/>
    <n v="0"/>
    <n v="9.42"/>
    <n v="-3.42"/>
    <n v="0"/>
    <n v="1.1299999999999999"/>
    <n v="0"/>
    <n v="0"/>
    <n v="0"/>
    <n v="40.58"/>
    <n v="6.57"/>
    <n v="-11.29"/>
    <n v="42.99"/>
    <n v="17.86"/>
  </r>
  <r>
    <x v="5"/>
    <x v="6"/>
    <x v="0"/>
    <s v="6442107"/>
    <n v="700072"/>
    <s v="Salaries-Other Pat Care Providers-NonProd-Other"/>
    <s v="Shared Governance"/>
    <x v="0"/>
    <n v="2000"/>
    <n v="0"/>
    <n v="0"/>
    <n v="0"/>
    <n v="0"/>
    <n v="0"/>
    <n v="0"/>
    <n v="0"/>
    <n v="0"/>
    <n v="0"/>
    <n v="8.4499999999999993"/>
    <n v="-3.52"/>
    <n v="0"/>
    <n v="4.93"/>
    <n v="-3.52"/>
  </r>
  <r>
    <x v="5"/>
    <x v="6"/>
    <x v="0"/>
    <s v="6442107"/>
    <n v="700074"/>
    <s v="Salaries-Tech/Professional-NonProd-Other"/>
    <s v="Shared Governance"/>
    <x v="0"/>
    <n v="2000"/>
    <n v="0"/>
    <n v="0"/>
    <n v="0"/>
    <n v="75.83"/>
    <n v="-33.36"/>
    <n v="0"/>
    <n v="0"/>
    <n v="0"/>
    <n v="0"/>
    <n v="0"/>
    <n v="0"/>
    <n v="0"/>
    <n v="42.47"/>
    <n v="0"/>
  </r>
  <r>
    <x v="6"/>
    <x v="6"/>
    <x v="0"/>
    <s v="6442107"/>
    <n v="713010"/>
    <s v="Benefits-FICA/Medicare"/>
    <s v="Shared Governance"/>
    <x v="0"/>
    <m/>
    <n v="653.12"/>
    <n v="455.3"/>
    <n v="609.79999999999995"/>
    <n v="1124.3399999999999"/>
    <n v="936.17"/>
    <n v="562.53"/>
    <n v="532.79"/>
    <n v="291.20999999999998"/>
    <n v="618.75"/>
    <n v="808.12"/>
    <n v="1101.58"/>
    <n v="592.77"/>
    <n v="8286.48"/>
    <n v="508.80999999999995"/>
  </r>
  <r>
    <x v="6"/>
    <x v="6"/>
    <x v="0"/>
    <s v="6442107"/>
    <n v="713090"/>
    <s v="Benefits-Allocated Amounts"/>
    <s v="Shared Governance"/>
    <x v="0"/>
    <m/>
    <n v="1404.87"/>
    <n v="769.57"/>
    <n v="1182.81"/>
    <n v="2281.58"/>
    <n v="1854.69"/>
    <n v="1187.46"/>
    <n v="1110.42"/>
    <n v="651.78"/>
    <n v="940.07"/>
    <n v="1740.78"/>
    <n v="2218.44"/>
    <n v="1453.91"/>
    <n v="16796.38"/>
    <n v="764.53"/>
  </r>
  <r>
    <x v="5"/>
    <x v="7"/>
    <x v="0"/>
    <s v="6442150"/>
    <n v="700026"/>
    <s v="Salaries-RN-Productive"/>
    <s v="Shared Governance"/>
    <x v="0"/>
    <m/>
    <n v="2520.15"/>
    <n v="1511.39"/>
    <n v="4513.5"/>
    <n v="2968.28"/>
    <n v="-1019.14"/>
    <n v="4860.1099999999997"/>
    <n v="3340.79"/>
    <n v="1281.3499999999999"/>
    <n v="2238.69"/>
    <n v="2973.24"/>
    <n v="-644.27"/>
    <n v="2715.12"/>
    <n v="27259.21"/>
    <n v="-3359.39"/>
  </r>
  <r>
    <x v="5"/>
    <x v="7"/>
    <x v="0"/>
    <s v="6442150"/>
    <n v="700026"/>
    <s v="Salaries-RN-OT"/>
    <s v="Shared Governance"/>
    <x v="0"/>
    <n v="1000"/>
    <n v="0"/>
    <n v="80.23"/>
    <n v="56.88"/>
    <n v="487.56"/>
    <n v="-217.37"/>
    <n v="0"/>
    <n v="42.25"/>
    <n v="206.12"/>
    <n v="-54.23"/>
    <n v="0"/>
    <n v="131.97999999999999"/>
    <n v="-63.54"/>
    <n v="669.88000000000011"/>
    <n v="195.51999999999998"/>
  </r>
  <r>
    <x v="5"/>
    <x v="7"/>
    <x v="0"/>
    <s v="6442150"/>
    <n v="700026"/>
    <s v="Salaries-RN-Other"/>
    <s v="Shared Governance"/>
    <x v="0"/>
    <n v="2000"/>
    <n v="102.25"/>
    <n v="9.65"/>
    <n v="161.88"/>
    <n v="134.44"/>
    <n v="-5.0599999999999996"/>
    <n v="102.81"/>
    <n v="136.08000000000001"/>
    <n v="29.3"/>
    <n v="99.83"/>
    <n v="62.12"/>
    <n v="38.520000000000003"/>
    <n v="42.1"/>
    <n v="913.92"/>
    <n v="-3.5799999999999983"/>
  </r>
  <r>
    <x v="5"/>
    <x v="7"/>
    <x v="0"/>
    <s v="6442150"/>
    <n v="700032"/>
    <s v="Salaries-Other Pat Care Providers-Productive"/>
    <s v="Shared Governance"/>
    <x v="0"/>
    <m/>
    <n v="0"/>
    <n v="0"/>
    <n v="0"/>
    <n v="0"/>
    <n v="0"/>
    <n v="0"/>
    <n v="35.64"/>
    <n v="-9.3699999999999992"/>
    <n v="0"/>
    <n v="0"/>
    <n v="0"/>
    <n v="0"/>
    <n v="26.270000000000003"/>
    <n v="0"/>
  </r>
  <r>
    <x v="5"/>
    <x v="7"/>
    <x v="0"/>
    <s v="6442150"/>
    <n v="700032"/>
    <s v="Salaries-Other Pat Care Providers-Other"/>
    <s v="Shared Governance"/>
    <x v="0"/>
    <n v="2000"/>
    <n v="0"/>
    <n v="0"/>
    <n v="0"/>
    <n v="0"/>
    <n v="0"/>
    <n v="0"/>
    <n v="2.4500000000000002"/>
    <n v="-0.64"/>
    <n v="0"/>
    <n v="0"/>
    <n v="0"/>
    <n v="0"/>
    <n v="1.81"/>
    <n v="0"/>
  </r>
  <r>
    <x v="5"/>
    <x v="7"/>
    <x v="0"/>
    <s v="6442150"/>
    <n v="700066"/>
    <s v="Salaries-RN-NonProd-Other"/>
    <s v="Shared Governance"/>
    <x v="0"/>
    <n v="2000"/>
    <n v="33.69"/>
    <n v="255.29"/>
    <n v="-52.44"/>
    <n v="32.1"/>
    <n v="-18.260000000000002"/>
    <n v="48.21"/>
    <n v="10.02"/>
    <n v="8.74"/>
    <n v="-3.21"/>
    <n v="42.91"/>
    <n v="-16.62"/>
    <n v="21.04"/>
    <n v="361.47000000000008"/>
    <n v="-37.659999999999997"/>
  </r>
  <r>
    <x v="6"/>
    <x v="7"/>
    <x v="0"/>
    <s v="6442150"/>
    <n v="713010"/>
    <s v="Benefits-FICA/Medicare"/>
    <s v="Shared Governance"/>
    <x v="0"/>
    <m/>
    <n v="199.78"/>
    <n v="136.72"/>
    <n v="354.44"/>
    <n v="270.83"/>
    <n v="-93.74"/>
    <n v="375.52"/>
    <n v="268.85000000000002"/>
    <n v="117.33"/>
    <n v="171.02"/>
    <n v="227.46"/>
    <n v="-34.94"/>
    <n v="203.14"/>
    <n v="2196.41"/>
    <n v="-238.07999999999998"/>
  </r>
  <r>
    <x v="6"/>
    <x v="7"/>
    <x v="0"/>
    <s v="6442150"/>
    <n v="713090"/>
    <s v="Benefits-Allocated Amounts"/>
    <s v="Shared Governance"/>
    <x v="0"/>
    <m/>
    <n v="491.42"/>
    <n v="261.95999999999998"/>
    <n v="836.55"/>
    <n v="643.69000000000005"/>
    <n v="-227.82"/>
    <n v="903.66"/>
    <n v="632.72"/>
    <n v="237.5"/>
    <n v="397.32"/>
    <n v="563.45000000000005"/>
    <n v="-108.39"/>
    <n v="521.58000000000004"/>
    <n v="5153.6399999999994"/>
    <n v="-629.97"/>
  </r>
  <r>
    <x v="5"/>
    <x v="3"/>
    <x v="0"/>
    <s v="6472101"/>
    <n v="700026"/>
    <s v="Salaries-RN-Productive"/>
    <s v="Safety First"/>
    <x v="0"/>
    <m/>
    <n v="0"/>
    <n v="174.24"/>
    <n v="-22.07"/>
    <n v="322.92"/>
    <n v="-89.33"/>
    <n v="328.63"/>
    <n v="-32.57"/>
    <n v="0"/>
    <n v="522.59"/>
    <n v="199"/>
    <n v="-46.7"/>
    <n v="0"/>
    <n v="1356.71"/>
    <n v="-46.7"/>
  </r>
  <r>
    <x v="5"/>
    <x v="3"/>
    <x v="0"/>
    <s v="6472101"/>
    <n v="700026"/>
    <s v="Salaries-RN-OT"/>
    <s v="Safety First"/>
    <x v="0"/>
    <n v="1000"/>
    <n v="0"/>
    <n v="0"/>
    <n v="0"/>
    <n v="105.89"/>
    <n v="-46.59"/>
    <n v="0"/>
    <n v="0"/>
    <n v="0"/>
    <n v="0"/>
    <n v="0"/>
    <n v="0"/>
    <n v="0"/>
    <n v="59.3"/>
    <n v="0"/>
  </r>
  <r>
    <x v="5"/>
    <x v="3"/>
    <x v="0"/>
    <s v="6472101"/>
    <n v="700026"/>
    <s v="Salaries-RN-Other"/>
    <s v="Safety First"/>
    <x v="0"/>
    <n v="2000"/>
    <n v="0"/>
    <n v="5.34"/>
    <n v="-1.59"/>
    <n v="1.33"/>
    <n v="-0.57999999999999996"/>
    <n v="0"/>
    <n v="0"/>
    <n v="0"/>
    <n v="0"/>
    <n v="0"/>
    <n v="0"/>
    <n v="0"/>
    <n v="4.5"/>
    <n v="0"/>
  </r>
  <r>
    <x v="5"/>
    <x v="3"/>
    <x v="0"/>
    <s v="6472101"/>
    <n v="700032"/>
    <s v="Salaries-Other Pat Care Providers-Productive"/>
    <s v="Safety First"/>
    <x v="0"/>
    <m/>
    <n v="85.95"/>
    <n v="320.35000000000002"/>
    <n v="55.04"/>
    <n v="145.29"/>
    <n v="-84.66"/>
    <n v="0"/>
    <n v="74.48"/>
    <n v="-19.59"/>
    <n v="0"/>
    <n v="0"/>
    <n v="0"/>
    <n v="0"/>
    <n v="576.86"/>
    <n v="0"/>
  </r>
  <r>
    <x v="5"/>
    <x v="3"/>
    <x v="0"/>
    <s v="6472101"/>
    <n v="700032"/>
    <s v="Salaries-Other Pat Care Providers-OT"/>
    <s v="Safety First"/>
    <x v="0"/>
    <n v="1000"/>
    <n v="0"/>
    <n v="20.81"/>
    <n v="0"/>
    <n v="0"/>
    <n v="0"/>
    <n v="61.7"/>
    <n v="-7.7"/>
    <n v="0"/>
    <n v="0"/>
    <n v="0"/>
    <n v="0"/>
    <n v="0"/>
    <n v="74.81"/>
    <n v="0"/>
  </r>
  <r>
    <x v="5"/>
    <x v="3"/>
    <x v="0"/>
    <s v="6472101"/>
    <n v="700032"/>
    <s v="Salaries-Other Pat Care Providers-Other"/>
    <s v="Safety First"/>
    <x v="0"/>
    <n v="2000"/>
    <n v="0"/>
    <n v="0"/>
    <n v="0"/>
    <n v="0"/>
    <n v="0"/>
    <n v="5.8"/>
    <n v="-0.71"/>
    <n v="0"/>
    <n v="0"/>
    <n v="0"/>
    <n v="0"/>
    <n v="0"/>
    <n v="5.09"/>
    <n v="0"/>
  </r>
  <r>
    <x v="5"/>
    <x v="3"/>
    <x v="0"/>
    <s v="6472101"/>
    <n v="700034"/>
    <s v="Salaries-Tech/Professional-Productive"/>
    <s v="Safety First"/>
    <x v="0"/>
    <m/>
    <n v="0"/>
    <n v="80.02"/>
    <n v="-24"/>
    <n v="0"/>
    <n v="0"/>
    <n v="0"/>
    <n v="0"/>
    <n v="0"/>
    <n v="0"/>
    <n v="0"/>
    <n v="0"/>
    <n v="0"/>
    <n v="56.019999999999996"/>
    <n v="0"/>
  </r>
  <r>
    <x v="6"/>
    <x v="3"/>
    <x v="0"/>
    <s v="6472101"/>
    <n v="713010"/>
    <s v="Benefits-FICA/Medicare"/>
    <s v="Safety First"/>
    <x v="0"/>
    <m/>
    <n v="6.56"/>
    <n v="44.28"/>
    <n v="0.69"/>
    <n v="43.12"/>
    <n v="-16.489999999999998"/>
    <n v="29.48"/>
    <n v="2.66"/>
    <n v="-1.49"/>
    <n v="36.99"/>
    <n v="16.25"/>
    <n v="-3.55"/>
    <n v="0"/>
    <n v="158.5"/>
    <n v="-3.55"/>
  </r>
  <r>
    <x v="6"/>
    <x v="3"/>
    <x v="0"/>
    <s v="6472101"/>
    <n v="713090"/>
    <s v="Benefits-Allocated Amounts"/>
    <s v="Safety First"/>
    <x v="0"/>
    <m/>
    <n v="35.74"/>
    <n v="150.22"/>
    <n v="-6.44"/>
    <n v="199.13"/>
    <n v="-77.19"/>
    <n v="60.34"/>
    <n v="65.099999999999994"/>
    <n v="62.72"/>
    <n v="56.21"/>
    <n v="64.010000000000005"/>
    <n v="67.13"/>
    <n v="-255.58"/>
    <n v="421.39"/>
    <n v="322.71000000000004"/>
  </r>
  <r>
    <x v="5"/>
    <x v="0"/>
    <x v="0"/>
    <s v="6472102"/>
    <n v="700026"/>
    <s v="Salaries-RN-Productive"/>
    <s v="Safety First"/>
    <x v="0"/>
    <m/>
    <n v="75.5"/>
    <n v="0"/>
    <n v="0"/>
    <n v="441.48"/>
    <n v="0"/>
    <n v="0"/>
    <n v="0"/>
    <n v="0"/>
    <n v="0"/>
    <n v="0"/>
    <n v="0"/>
    <n v="0"/>
    <n v="516.98"/>
    <n v="0"/>
  </r>
  <r>
    <x v="5"/>
    <x v="0"/>
    <x v="0"/>
    <s v="6472102"/>
    <n v="700026"/>
    <s v="Salaries-RN-Other"/>
    <s v="Safety First"/>
    <x v="0"/>
    <n v="2000"/>
    <n v="2"/>
    <n v="0"/>
    <n v="0"/>
    <n v="1.5"/>
    <n v="0"/>
    <n v="0"/>
    <n v="0"/>
    <n v="0"/>
    <n v="0"/>
    <n v="0"/>
    <n v="0"/>
    <n v="0"/>
    <n v="3.5"/>
    <n v="0"/>
  </r>
  <r>
    <x v="5"/>
    <x v="0"/>
    <x v="0"/>
    <s v="6472102"/>
    <n v="700032"/>
    <s v="Salaries-Other Pat Care Providers-Productive"/>
    <s v="Safety First"/>
    <x v="0"/>
    <m/>
    <n v="0"/>
    <n v="55.11"/>
    <n v="-16.53"/>
    <n v="0"/>
    <n v="0"/>
    <n v="37.75"/>
    <n v="-4.71"/>
    <n v="0"/>
    <n v="0"/>
    <n v="0"/>
    <n v="84.07"/>
    <n v="-40.47"/>
    <n v="115.22"/>
    <n v="124.53999999999999"/>
  </r>
  <r>
    <x v="6"/>
    <x v="0"/>
    <x v="0"/>
    <s v="6472102"/>
    <n v="713010"/>
    <s v="Benefits-FICA/Medicare"/>
    <s v="Safety First"/>
    <x v="0"/>
    <m/>
    <n v="5.9"/>
    <n v="3.92"/>
    <n v="-1.17"/>
    <n v="33.549999999999997"/>
    <n v="0"/>
    <n v="2.88"/>
    <n v="-0.35"/>
    <n v="0"/>
    <n v="0"/>
    <n v="0"/>
    <n v="6.02"/>
    <n v="-2.89"/>
    <n v="47.86"/>
    <n v="8.91"/>
  </r>
  <r>
    <x v="6"/>
    <x v="0"/>
    <x v="0"/>
    <s v="6472102"/>
    <n v="713090"/>
    <s v="Benefits-Allocated Amounts"/>
    <s v="Safety First"/>
    <x v="0"/>
    <m/>
    <n v="10.92"/>
    <n v="24.99"/>
    <n v="-4.5"/>
    <n v="83.32"/>
    <n v="-9.2899999999999991"/>
    <n v="22.41"/>
    <n v="3.49"/>
    <n v="19.43"/>
    <n v="-52.79"/>
    <n v="11.56"/>
    <n v="11.48"/>
    <n v="11.56"/>
    <n v="132.58000000000001"/>
    <n v="-8.0000000000000071E-2"/>
  </r>
  <r>
    <x v="5"/>
    <x v="4"/>
    <x v="0"/>
    <s v="6472103"/>
    <n v="700038"/>
    <s v="Salaries-Service/Support-Productive"/>
    <s v="Safety First"/>
    <x v="0"/>
    <m/>
    <n v="0"/>
    <n v="30"/>
    <n v="0"/>
    <n v="0"/>
    <n v="0"/>
    <n v="0"/>
    <n v="0"/>
    <n v="0"/>
    <n v="0"/>
    <n v="0"/>
    <n v="0"/>
    <n v="0"/>
    <n v="30"/>
    <n v="0"/>
  </r>
  <r>
    <x v="6"/>
    <x v="4"/>
    <x v="0"/>
    <s v="6472103"/>
    <n v="713010"/>
    <s v="Benefits-FICA/Medicare"/>
    <s v="Safety First"/>
    <x v="0"/>
    <m/>
    <n v="0"/>
    <n v="2.2999999999999998"/>
    <n v="0"/>
    <n v="0"/>
    <n v="0"/>
    <n v="0"/>
    <n v="0"/>
    <n v="0"/>
    <n v="0"/>
    <n v="0"/>
    <n v="0"/>
    <n v="0"/>
    <n v="2.2999999999999998"/>
    <n v="0"/>
  </r>
  <r>
    <x v="6"/>
    <x v="4"/>
    <x v="0"/>
    <s v="6472103"/>
    <n v="713090"/>
    <s v="Benefits-Allocated Amounts"/>
    <s v="Safety First"/>
    <x v="0"/>
    <m/>
    <n v="0"/>
    <n v="9.92"/>
    <n v="5.23"/>
    <n v="-15.15"/>
    <n v="0"/>
    <n v="0"/>
    <n v="0"/>
    <n v="0"/>
    <n v="0"/>
    <n v="0"/>
    <n v="0"/>
    <n v="0"/>
    <n v="0"/>
    <n v="0"/>
  </r>
  <r>
    <x v="5"/>
    <x v="8"/>
    <x v="0"/>
    <s v="6472104"/>
    <n v="700026"/>
    <s v="Salaries-RN-Productive"/>
    <s v="Safety First"/>
    <x v="0"/>
    <m/>
    <n v="79.36"/>
    <n v="268.73"/>
    <n v="-51.71"/>
    <n v="154.28"/>
    <n v="350.29"/>
    <n v="219.41"/>
    <n v="0"/>
    <n v="0"/>
    <n v="0"/>
    <n v="0"/>
    <n v="80.52"/>
    <n v="0"/>
    <n v="1100.8800000000001"/>
    <n v="80.52"/>
  </r>
  <r>
    <x v="5"/>
    <x v="8"/>
    <x v="0"/>
    <s v="6472104"/>
    <n v="700026"/>
    <s v="Salaries-RN-Other"/>
    <s v="Safety First"/>
    <x v="0"/>
    <n v="2000"/>
    <n v="0"/>
    <n v="2.25"/>
    <n v="0"/>
    <n v="0"/>
    <n v="17.350000000000001"/>
    <n v="6.28"/>
    <n v="0"/>
    <n v="0"/>
    <n v="0"/>
    <n v="0"/>
    <n v="0"/>
    <n v="0"/>
    <n v="25.880000000000003"/>
    <n v="0"/>
  </r>
  <r>
    <x v="5"/>
    <x v="8"/>
    <x v="0"/>
    <s v="6472104"/>
    <n v="700032"/>
    <s v="Salaries-Other Pat Care Providers-Productive"/>
    <s v="Safety First"/>
    <x v="0"/>
    <m/>
    <n v="0"/>
    <n v="71.69"/>
    <n v="-21.5"/>
    <n v="0"/>
    <n v="0"/>
    <n v="33.46"/>
    <n v="0"/>
    <n v="0"/>
    <n v="0"/>
    <n v="0"/>
    <n v="0"/>
    <n v="0"/>
    <n v="83.65"/>
    <n v="0"/>
  </r>
  <r>
    <x v="5"/>
    <x v="8"/>
    <x v="0"/>
    <s v="6472104"/>
    <n v="700034"/>
    <s v="Salaries-Tech/Professional-Productive"/>
    <s v="Safety First"/>
    <x v="0"/>
    <m/>
    <n v="0"/>
    <n v="66.73"/>
    <n v="-20.010000000000002"/>
    <n v="0"/>
    <n v="0"/>
    <n v="0"/>
    <n v="0"/>
    <n v="0"/>
    <n v="0"/>
    <n v="0"/>
    <n v="0"/>
    <n v="0"/>
    <n v="46.72"/>
    <n v="0"/>
  </r>
  <r>
    <x v="5"/>
    <x v="8"/>
    <x v="0"/>
    <s v="6472104"/>
    <n v="700034"/>
    <s v="Salaries-Tech/Professional-Other"/>
    <s v="Safety First"/>
    <x v="0"/>
    <n v="2000"/>
    <n v="0"/>
    <n v="2.2799999999999998"/>
    <n v="-0.68"/>
    <n v="0"/>
    <n v="0"/>
    <n v="0"/>
    <n v="0"/>
    <n v="0"/>
    <n v="0"/>
    <n v="0"/>
    <n v="0"/>
    <n v="0"/>
    <n v="1.5999999999999996"/>
    <n v="0"/>
  </r>
  <r>
    <x v="6"/>
    <x v="8"/>
    <x v="0"/>
    <s v="6472104"/>
    <n v="713010"/>
    <s v="Benefits-FICA/Medicare"/>
    <s v="Safety First"/>
    <x v="0"/>
    <m/>
    <n v="6.06"/>
    <n v="31.42"/>
    <n v="-7.14"/>
    <n v="11.8"/>
    <n v="27.09"/>
    <n v="20.32"/>
    <n v="0"/>
    <n v="0"/>
    <n v="0"/>
    <n v="0"/>
    <n v="5.9"/>
    <n v="0"/>
    <n v="95.450000000000017"/>
    <n v="5.9"/>
  </r>
  <r>
    <x v="6"/>
    <x v="8"/>
    <x v="0"/>
    <s v="6472104"/>
    <n v="713090"/>
    <s v="Benefits-Allocated Amounts"/>
    <s v="Safety First"/>
    <x v="0"/>
    <m/>
    <n v="17.920000000000002"/>
    <n v="87.26"/>
    <n v="-16.329999999999998"/>
    <n v="30.46"/>
    <n v="38.909999999999997"/>
    <n v="43.69"/>
    <n v="24.66"/>
    <n v="-17.649999999999999"/>
    <n v="27.48"/>
    <n v="-37.700000000000003"/>
    <n v="21.04"/>
    <n v="21.17"/>
    <n v="240.90999999999997"/>
    <n v="-0.13000000000000256"/>
  </r>
  <r>
    <x v="5"/>
    <x v="6"/>
    <x v="0"/>
    <s v="6472107"/>
    <n v="700026"/>
    <s v="Salaries-RN-Productive"/>
    <s v="Safety First"/>
    <x v="0"/>
    <m/>
    <n v="73.19"/>
    <n v="-12.91"/>
    <n v="0"/>
    <n v="0"/>
    <n v="315.44"/>
    <n v="0"/>
    <n v="0"/>
    <n v="0"/>
    <n v="146.83000000000001"/>
    <n v="154.55000000000001"/>
    <n v="0"/>
    <n v="0"/>
    <n v="677.10000000000014"/>
    <n v="0"/>
  </r>
  <r>
    <x v="5"/>
    <x v="6"/>
    <x v="0"/>
    <s v="6472107"/>
    <n v="700026"/>
    <s v="Salaries-RN-Other"/>
    <s v="Safety First"/>
    <x v="0"/>
    <n v="2000"/>
    <n v="10.32"/>
    <n v="-1.82"/>
    <n v="0"/>
    <n v="0"/>
    <n v="0"/>
    <n v="0"/>
    <n v="0"/>
    <n v="0"/>
    <n v="0"/>
    <n v="7.95"/>
    <n v="0"/>
    <n v="0"/>
    <n v="16.45"/>
    <n v="0"/>
  </r>
  <r>
    <x v="5"/>
    <x v="6"/>
    <x v="0"/>
    <s v="6472107"/>
    <n v="700030"/>
    <s v="Salaries-LPN-Productive"/>
    <s v="Safety First"/>
    <x v="0"/>
    <m/>
    <n v="0"/>
    <n v="0"/>
    <n v="0"/>
    <n v="0"/>
    <n v="0"/>
    <n v="0"/>
    <n v="0"/>
    <n v="0"/>
    <n v="154.86000000000001"/>
    <n v="-37.47"/>
    <n v="0"/>
    <n v="0"/>
    <n v="117.39000000000001"/>
    <n v="0"/>
  </r>
  <r>
    <x v="5"/>
    <x v="6"/>
    <x v="0"/>
    <s v="6472107"/>
    <n v="700032"/>
    <s v="Salaries-Other Pat Care Providers-Productive"/>
    <s v="Safety First"/>
    <x v="0"/>
    <m/>
    <n v="0"/>
    <n v="57.85"/>
    <n v="-17.350000000000001"/>
    <n v="0"/>
    <n v="39.14"/>
    <n v="0"/>
    <n v="0"/>
    <n v="0"/>
    <n v="0"/>
    <n v="62.91"/>
    <n v="0"/>
    <n v="0"/>
    <n v="142.55000000000001"/>
    <n v="0"/>
  </r>
  <r>
    <x v="5"/>
    <x v="6"/>
    <x v="0"/>
    <s v="6472107"/>
    <n v="700034"/>
    <s v="Salaries-Tech/Professional-Productive"/>
    <s v="Safety First"/>
    <x v="0"/>
    <m/>
    <n v="46.62"/>
    <n v="0"/>
    <n v="0"/>
    <n v="0"/>
    <n v="175.87"/>
    <n v="10.15"/>
    <n v="-11.84"/>
    <n v="0"/>
    <n v="508.95"/>
    <n v="-185.05"/>
    <n v="0"/>
    <n v="970.08"/>
    <n v="1514.7800000000002"/>
    <n v="-970.08"/>
  </r>
  <r>
    <x v="5"/>
    <x v="6"/>
    <x v="0"/>
    <s v="6472107"/>
    <n v="700034"/>
    <s v="Salaries-Tech/Professional-OT"/>
    <s v="Safety First"/>
    <x v="0"/>
    <n v="1000"/>
    <n v="0"/>
    <n v="0"/>
    <n v="0"/>
    <n v="0"/>
    <n v="0"/>
    <n v="0"/>
    <n v="0"/>
    <n v="0"/>
    <n v="233.56"/>
    <n v="-84.92"/>
    <n v="0"/>
    <n v="0"/>
    <n v="148.63999999999999"/>
    <n v="0"/>
  </r>
  <r>
    <x v="5"/>
    <x v="6"/>
    <x v="0"/>
    <s v="6472107"/>
    <n v="700034"/>
    <s v="Salaries-Tech/Professional-Other"/>
    <s v="Safety First"/>
    <x v="0"/>
    <n v="2000"/>
    <n v="1.6"/>
    <n v="0"/>
    <n v="0"/>
    <n v="0"/>
    <n v="0"/>
    <n v="0"/>
    <n v="0"/>
    <n v="0"/>
    <n v="33.799999999999997"/>
    <n v="-12.28"/>
    <n v="0"/>
    <n v="0"/>
    <n v="23.119999999999997"/>
    <n v="0"/>
  </r>
  <r>
    <x v="5"/>
    <x v="6"/>
    <x v="0"/>
    <s v="6472107"/>
    <n v="700038"/>
    <s v="Salaries-Service/Support-Productive"/>
    <s v="Safety First"/>
    <x v="0"/>
    <m/>
    <n v="162.83000000000001"/>
    <n v="-28.71"/>
    <n v="163.53"/>
    <n v="-59.46"/>
    <n v="0"/>
    <n v="0"/>
    <n v="0"/>
    <n v="0"/>
    <n v="83.6"/>
    <n v="8.75"/>
    <n v="0"/>
    <n v="103.82"/>
    <n v="434.35999999999996"/>
    <n v="-103.82"/>
  </r>
  <r>
    <x v="6"/>
    <x v="6"/>
    <x v="0"/>
    <s v="6472107"/>
    <n v="713010"/>
    <s v="Benefits-FICA/Medicare"/>
    <s v="Safety First"/>
    <x v="0"/>
    <m/>
    <n v="22.34"/>
    <n v="1.17"/>
    <n v="11.16"/>
    <n v="-4.5199999999999996"/>
    <n v="40.56"/>
    <n v="0.78"/>
    <n v="-0.9"/>
    <n v="0"/>
    <n v="88.44"/>
    <n v="-7.67"/>
    <n v="0"/>
    <n v="77.540000000000006"/>
    <n v="228.90000000000003"/>
    <n v="-77.540000000000006"/>
  </r>
  <r>
    <x v="6"/>
    <x v="6"/>
    <x v="0"/>
    <s v="6472107"/>
    <n v="713090"/>
    <s v="Benefits-Allocated Amounts"/>
    <s v="Safety First"/>
    <x v="0"/>
    <m/>
    <n v="83.01"/>
    <n v="13.22"/>
    <n v="7.67"/>
    <n v="22.46"/>
    <n v="52.92"/>
    <n v="37.090000000000003"/>
    <n v="14.93"/>
    <n v="33.39"/>
    <n v="190.73"/>
    <n v="-94.65"/>
    <n v="37.92"/>
    <n v="264.57"/>
    <n v="663.2600000000001"/>
    <n v="-226.64999999999998"/>
  </r>
  <r>
    <x v="5"/>
    <x v="7"/>
    <x v="0"/>
    <s v="6472150"/>
    <n v="700026"/>
    <s v="Salaries-RN-Productive"/>
    <s v="Safety First"/>
    <x v="0"/>
    <m/>
    <n v="0"/>
    <n v="0"/>
    <n v="0"/>
    <n v="0"/>
    <n v="0"/>
    <n v="0"/>
    <n v="0"/>
    <n v="0"/>
    <n v="0"/>
    <n v="0"/>
    <n v="0"/>
    <n v="98.19"/>
    <n v="98.19"/>
    <n v="-98.19"/>
  </r>
  <r>
    <x v="5"/>
    <x v="7"/>
    <x v="0"/>
    <s v="6472150"/>
    <n v="700034"/>
    <s v="Salaries-Tech/Professional-Productive"/>
    <s v="Safety First"/>
    <x v="0"/>
    <m/>
    <n v="0"/>
    <n v="0"/>
    <n v="0"/>
    <n v="0"/>
    <n v="0"/>
    <n v="0"/>
    <n v="0"/>
    <n v="0"/>
    <n v="0"/>
    <n v="0"/>
    <n v="170.03"/>
    <n v="-81.86"/>
    <n v="88.17"/>
    <n v="251.89"/>
  </r>
  <r>
    <x v="6"/>
    <x v="7"/>
    <x v="0"/>
    <s v="6472150"/>
    <n v="713010"/>
    <s v="Benefits-FICA/Medicare"/>
    <s v="Safety First"/>
    <x v="0"/>
    <m/>
    <n v="0"/>
    <n v="0"/>
    <n v="0"/>
    <n v="0"/>
    <n v="0"/>
    <n v="0"/>
    <n v="0"/>
    <n v="0"/>
    <n v="0"/>
    <n v="0"/>
    <n v="13"/>
    <n v="0.82"/>
    <n v="13.82"/>
    <n v="12.18"/>
  </r>
  <r>
    <x v="6"/>
    <x v="7"/>
    <x v="0"/>
    <s v="6472150"/>
    <n v="713090"/>
    <s v="Benefits-Allocated Amounts"/>
    <s v="Safety First"/>
    <x v="0"/>
    <m/>
    <n v="0"/>
    <n v="0"/>
    <n v="0"/>
    <n v="0"/>
    <n v="0"/>
    <n v="0"/>
    <n v="0"/>
    <n v="0"/>
    <n v="0"/>
    <n v="0"/>
    <n v="50.01"/>
    <n v="-18.43"/>
    <n v="31.58"/>
    <n v="68.44"/>
  </r>
  <r>
    <x v="14"/>
    <x v="3"/>
    <x v="0"/>
    <s v="6480101"/>
    <n v="600050"/>
    <s v="Education Program Income"/>
    <s v="Childbirth Education"/>
    <x v="0"/>
    <n v="1102"/>
    <n v="-9340"/>
    <n v="-11194.5"/>
    <n v="-11997.5"/>
    <n v="-10034.42"/>
    <n v="-9414.08"/>
    <n v="-7457.5"/>
    <n v="-10278"/>
    <n v="-8918"/>
    <n v="-10489.5"/>
    <n v="-10364"/>
    <n v="-11160"/>
    <n v="-10235.700000000001"/>
    <n v="-120883.2"/>
    <n v="-924.29999999999927"/>
  </r>
  <r>
    <x v="20"/>
    <x v="3"/>
    <x v="0"/>
    <s v="6480101"/>
    <n v="610010"/>
    <s v="Foundation Distributions"/>
    <s v="Childbirth Education"/>
    <x v="0"/>
    <n v="1175"/>
    <n v="0"/>
    <n v="0"/>
    <n v="0"/>
    <n v="0"/>
    <n v="0"/>
    <n v="0"/>
    <n v="0"/>
    <n v="0"/>
    <n v="0"/>
    <n v="0"/>
    <n v="-4139.1899999999996"/>
    <n v="0"/>
    <n v="-4139.1899999999996"/>
    <n v="-4139.1899999999996"/>
  </r>
  <r>
    <x v="5"/>
    <x v="3"/>
    <x v="0"/>
    <s v="6480101"/>
    <n v="700032"/>
    <s v="Salaries-Other Pat Care Providers-Productive"/>
    <s v="Childbirth Education"/>
    <x v="0"/>
    <m/>
    <n v="463.09"/>
    <n v="-81.69"/>
    <n v="0"/>
    <n v="136.21"/>
    <n v="-59.93"/>
    <n v="0"/>
    <n v="0"/>
    <n v="0"/>
    <n v="0"/>
    <n v="0"/>
    <n v="527.9"/>
    <n v="-88.65"/>
    <n v="896.93"/>
    <n v="616.54999999999995"/>
  </r>
  <r>
    <x v="5"/>
    <x v="3"/>
    <x v="0"/>
    <s v="6480101"/>
    <n v="700032"/>
    <s v="Salaries-Other Pat Care Providers-Other"/>
    <s v="Childbirth Education"/>
    <x v="0"/>
    <n v="2000"/>
    <n v="0"/>
    <n v="0"/>
    <n v="0"/>
    <n v="16.059999999999999"/>
    <n v="-7.06"/>
    <n v="0"/>
    <n v="0"/>
    <n v="0"/>
    <n v="0"/>
    <n v="0"/>
    <n v="14.47"/>
    <n v="-6.96"/>
    <n v="16.509999999999998"/>
    <n v="21.43"/>
  </r>
  <r>
    <x v="5"/>
    <x v="3"/>
    <x v="0"/>
    <s v="6480101"/>
    <n v="700034"/>
    <s v="Salaries-Tech/Professional-Productive"/>
    <s v="Childbirth Education"/>
    <x v="0"/>
    <m/>
    <n v="4490.3100000000004"/>
    <n v="3556.98"/>
    <n v="4310.7"/>
    <n v="2866.18"/>
    <n v="3720.28"/>
    <n v="3285.29"/>
    <n v="6333.9"/>
    <n v="5238.66"/>
    <n v="6369.11"/>
    <n v="4342.92"/>
    <n v="2134.2399999999998"/>
    <n v="5461.09"/>
    <n v="52109.66"/>
    <n v="-3326.8500000000004"/>
  </r>
  <r>
    <x v="5"/>
    <x v="3"/>
    <x v="0"/>
    <s v="6480101"/>
    <n v="700034"/>
    <s v="Salaries-Tech/Professional-OT"/>
    <s v="Childbirth Education"/>
    <x v="0"/>
    <n v="1000"/>
    <n v="0"/>
    <n v="307.52"/>
    <n v="0"/>
    <n v="0"/>
    <n v="0"/>
    <n v="0"/>
    <n v="0"/>
    <n v="81.75"/>
    <n v="-13.83"/>
    <n v="0"/>
    <n v="0"/>
    <n v="0"/>
    <n v="375.44"/>
    <n v="0"/>
  </r>
  <r>
    <x v="5"/>
    <x v="3"/>
    <x v="0"/>
    <s v="6480101"/>
    <n v="700034"/>
    <s v="Salaries-Tech/Professional-Other"/>
    <s v="Childbirth Education"/>
    <x v="0"/>
    <n v="2000"/>
    <n v="673.21"/>
    <n v="453.46"/>
    <n v="667.37"/>
    <n v="556.48"/>
    <n v="528.47"/>
    <n v="324.83"/>
    <n v="647.98"/>
    <n v="350.44"/>
    <n v="619.89"/>
    <n v="858.28"/>
    <n v="188.14"/>
    <n v="660.82"/>
    <n v="6529.37"/>
    <n v="-472.68000000000006"/>
  </r>
  <r>
    <x v="5"/>
    <x v="3"/>
    <x v="0"/>
    <s v="6480101"/>
    <n v="700038"/>
    <s v="Salaries-Service/Support-Productive"/>
    <s v="Childbirth Education"/>
    <x v="0"/>
    <m/>
    <n v="1027.5999999999999"/>
    <n v="1149.3399999999999"/>
    <n v="1131.02"/>
    <n v="475.81"/>
    <n v="1784.37"/>
    <n v="453.39"/>
    <n v="166.62"/>
    <n v="1393"/>
    <n v="917.44"/>
    <n v="1152.3800000000001"/>
    <n v="1017.56"/>
    <n v="765.63"/>
    <n v="11434.16"/>
    <n v="251.92999999999995"/>
  </r>
  <r>
    <x v="5"/>
    <x v="3"/>
    <x v="0"/>
    <s v="6480101"/>
    <n v="700038"/>
    <s v="Salaries-Service/Support-OT"/>
    <s v="Childbirth Education"/>
    <x v="0"/>
    <n v="1000"/>
    <n v="18.489999999999998"/>
    <n v="-1.78"/>
    <n v="0"/>
    <n v="0"/>
    <n v="124.85"/>
    <n v="28.95"/>
    <n v="0"/>
    <n v="55.08"/>
    <n v="0"/>
    <n v="0"/>
    <n v="0"/>
    <n v="0"/>
    <n v="225.58999999999997"/>
    <n v="0"/>
  </r>
  <r>
    <x v="5"/>
    <x v="3"/>
    <x v="0"/>
    <s v="6480101"/>
    <n v="700038"/>
    <s v="Salaries-Service/Support-Other"/>
    <s v="Childbirth Education"/>
    <x v="0"/>
    <n v="2000"/>
    <n v="15.24"/>
    <n v="9.68"/>
    <n v="13.01"/>
    <n v="13.97"/>
    <n v="16.89"/>
    <n v="8.0299999999999994"/>
    <n v="-0.48"/>
    <n v="0"/>
    <n v="6.01"/>
    <n v="0"/>
    <n v="11.88"/>
    <n v="-5.71"/>
    <n v="88.52"/>
    <n v="17.59"/>
  </r>
  <r>
    <x v="5"/>
    <x v="3"/>
    <x v="0"/>
    <s v="6480101"/>
    <n v="700074"/>
    <s v="Salaries-Tech/Professional-Non-productive"/>
    <s v="Childbirth Education"/>
    <x v="0"/>
    <m/>
    <n v="0"/>
    <n v="0"/>
    <n v="0"/>
    <n v="137.37"/>
    <n v="0"/>
    <n v="0"/>
    <n v="0"/>
    <n v="0"/>
    <n v="0"/>
    <n v="0"/>
    <n v="94.25"/>
    <n v="7.12"/>
    <n v="238.74"/>
    <n v="87.13"/>
  </r>
  <r>
    <x v="5"/>
    <x v="3"/>
    <x v="0"/>
    <s v="6480101"/>
    <n v="700074"/>
    <s v="Salaries-Tech/Professional-NonProd-Other"/>
    <s v="Childbirth Education"/>
    <x v="0"/>
    <n v="2000"/>
    <n v="16.84"/>
    <n v="0"/>
    <n v="0"/>
    <n v="0"/>
    <n v="0"/>
    <n v="0"/>
    <n v="0"/>
    <n v="0"/>
    <n v="0"/>
    <n v="0"/>
    <n v="0"/>
    <n v="0"/>
    <n v="16.84"/>
    <n v="0"/>
  </r>
  <r>
    <x v="5"/>
    <x v="3"/>
    <x v="0"/>
    <s v="6480101"/>
    <n v="700084"/>
    <s v="Accrued PTO"/>
    <s v="Childbirth Education"/>
    <x v="0"/>
    <m/>
    <n v="226.67"/>
    <n v="300.13"/>
    <n v="211.83"/>
    <n v="442.1"/>
    <n v="230.8"/>
    <n v="354.41"/>
    <n v="374.61"/>
    <n v="585.91999999999996"/>
    <n v="414.85"/>
    <n v="177.8"/>
    <n v="127.4"/>
    <n v="353.65"/>
    <n v="3800.1700000000005"/>
    <n v="-226.24999999999997"/>
  </r>
  <r>
    <x v="6"/>
    <x v="3"/>
    <x v="0"/>
    <s v="6480101"/>
    <n v="713010"/>
    <s v="Benefits-FICA/Medicare"/>
    <s v="Childbirth Education"/>
    <x v="0"/>
    <m/>
    <n v="504.68"/>
    <n v="402.42"/>
    <n v="461.18"/>
    <n v="326.14"/>
    <n v="449.63"/>
    <n v="308.52"/>
    <n v="543.62"/>
    <n v="538.46"/>
    <n v="601.12"/>
    <n v="484.7"/>
    <n v="308.19"/>
    <n v="511.59"/>
    <n v="5440.25"/>
    <n v="-203.39999999999998"/>
  </r>
  <r>
    <x v="6"/>
    <x v="3"/>
    <x v="0"/>
    <s v="6480101"/>
    <n v="713090"/>
    <s v="Benefits-Allocated Amounts"/>
    <s v="Childbirth Education"/>
    <x v="0"/>
    <m/>
    <n v="1572.81"/>
    <n v="1133.73"/>
    <n v="1547.49"/>
    <n v="938.84"/>
    <n v="1556.79"/>
    <n v="948.52"/>
    <n v="1682.18"/>
    <n v="1927.36"/>
    <n v="1559.65"/>
    <n v="1516.75"/>
    <n v="1109.1600000000001"/>
    <n v="1901"/>
    <n v="17394.28"/>
    <n v="-791.83999999999992"/>
  </r>
  <r>
    <x v="6"/>
    <x v="3"/>
    <x v="0"/>
    <s v="6480101"/>
    <n v="713096"/>
    <s v="Employee Recognition"/>
    <s v="Childbirth Education"/>
    <x v="0"/>
    <n v="1017"/>
    <n v="0"/>
    <n v="0"/>
    <n v="0"/>
    <n v="0"/>
    <n v="0"/>
    <n v="0"/>
    <n v="0"/>
    <n v="0"/>
    <n v="14.84"/>
    <n v="0"/>
    <n v="0"/>
    <n v="0"/>
    <n v="14.84"/>
    <n v="0"/>
  </r>
  <r>
    <x v="7"/>
    <x v="3"/>
    <x v="0"/>
    <s v="6480101"/>
    <n v="718050"/>
    <s v="Translation Services"/>
    <s v="Childbirth Education"/>
    <x v="0"/>
    <n v="1025"/>
    <n v="0"/>
    <n v="0"/>
    <n v="0"/>
    <n v="4.49"/>
    <n v="0"/>
    <n v="0"/>
    <n v="0"/>
    <n v="0"/>
    <n v="12.64"/>
    <n v="0"/>
    <n v="0"/>
    <n v="0"/>
    <n v="17.130000000000003"/>
    <n v="0"/>
  </r>
  <r>
    <x v="11"/>
    <x v="3"/>
    <x v="0"/>
    <s v="6480101"/>
    <n v="721810"/>
    <s v="Supplies-Dietary/Cafeteria"/>
    <s v="Childbirth Education"/>
    <x v="0"/>
    <m/>
    <n v="0"/>
    <n v="0"/>
    <n v="0"/>
    <n v="0"/>
    <n v="8"/>
    <n v="0"/>
    <n v="5"/>
    <n v="0"/>
    <n v="0"/>
    <n v="0"/>
    <n v="0"/>
    <n v="0"/>
    <n v="13"/>
    <n v="0"/>
  </r>
  <r>
    <x v="11"/>
    <x v="3"/>
    <x v="0"/>
    <s v="6480101"/>
    <n v="721835"/>
    <s v="Supplies-Forms"/>
    <s v="Childbirth Education"/>
    <x v="0"/>
    <m/>
    <n v="0"/>
    <n v="0"/>
    <n v="0"/>
    <n v="0"/>
    <n v="454.56"/>
    <n v="0"/>
    <n v="38.4"/>
    <n v="0"/>
    <n v="69.650000000000006"/>
    <n v="17.46"/>
    <n v="42.15"/>
    <n v="0"/>
    <n v="622.22"/>
    <n v="42.15"/>
  </r>
  <r>
    <x v="11"/>
    <x v="3"/>
    <x v="0"/>
    <s v="6480101"/>
    <n v="721980"/>
    <s v="Supplies-Other"/>
    <s v="Childbirth Education"/>
    <x v="0"/>
    <m/>
    <n v="0"/>
    <n v="0"/>
    <n v="0"/>
    <n v="0"/>
    <n v="0"/>
    <n v="843.5"/>
    <n v="0"/>
    <n v="0"/>
    <n v="0"/>
    <n v="0"/>
    <n v="0"/>
    <n v="0"/>
    <n v="843.5"/>
    <n v="0"/>
  </r>
  <r>
    <x v="12"/>
    <x v="3"/>
    <x v="0"/>
    <s v="6480101"/>
    <n v="730020"/>
    <s v="Rental and Leases-Copier Usage Fees (DO NOT USE)"/>
    <s v="Childbirth Education"/>
    <x v="0"/>
    <n v="5100"/>
    <n v="-1.78"/>
    <n v="-4.29"/>
    <n v="-3.03"/>
    <n v="-3.03"/>
    <n v="-3.03"/>
    <n v="-3.03"/>
    <n v="39.65"/>
    <n v="0"/>
    <n v="0"/>
    <n v="0"/>
    <n v="0"/>
    <n v="0"/>
    <n v="21.46"/>
    <n v="0"/>
  </r>
  <r>
    <x v="0"/>
    <x v="3"/>
    <x v="0"/>
    <s v="6480101"/>
    <n v="740010"/>
    <s v="Education-Materials"/>
    <s v="Childbirth Education"/>
    <x v="0"/>
    <m/>
    <n v="0"/>
    <n v="0"/>
    <n v="0"/>
    <n v="0"/>
    <n v="0"/>
    <n v="0"/>
    <n v="0"/>
    <n v="0"/>
    <n v="0"/>
    <n v="0"/>
    <n v="0"/>
    <n v="190"/>
    <n v="190"/>
    <n v="-190"/>
  </r>
  <r>
    <x v="0"/>
    <x v="3"/>
    <x v="0"/>
    <s v="6480101"/>
    <n v="740020"/>
    <s v="Education-Registration Fees"/>
    <s v="Childbirth Education"/>
    <x v="0"/>
    <m/>
    <n v="0"/>
    <n v="0"/>
    <n v="0"/>
    <n v="0"/>
    <n v="0"/>
    <n v="0"/>
    <n v="0"/>
    <n v="159"/>
    <n v="130"/>
    <n v="0"/>
    <n v="0"/>
    <n v="0"/>
    <n v="289"/>
    <n v="0"/>
  </r>
  <r>
    <x v="0"/>
    <x v="3"/>
    <x v="0"/>
    <s v="6480101"/>
    <n v="743030"/>
    <s v="Subscriptions--Institutional"/>
    <s v="Childbirth Education"/>
    <x v="0"/>
    <m/>
    <n v="0"/>
    <n v="0"/>
    <n v="0"/>
    <n v="0"/>
    <n v="0"/>
    <n v="0"/>
    <n v="675"/>
    <n v="1110.23"/>
    <n v="0"/>
    <n v="6534.5"/>
    <n v="4501.2"/>
    <n v="0"/>
    <n v="12820.93"/>
    <n v="4501.2"/>
  </r>
  <r>
    <x v="0"/>
    <x v="3"/>
    <x v="0"/>
    <s v="6480101"/>
    <n v="749510"/>
    <s v="Miscellaneous Expenses"/>
    <s v="Childbirth Education"/>
    <x v="0"/>
    <m/>
    <n v="-262.24"/>
    <n v="0"/>
    <n v="0"/>
    <n v="0"/>
    <n v="0"/>
    <n v="0"/>
    <n v="0"/>
    <n v="0"/>
    <n v="0"/>
    <n v="0"/>
    <n v="0"/>
    <n v="1682.99"/>
    <n v="1420.75"/>
    <n v="-1682.99"/>
  </r>
  <r>
    <x v="11"/>
    <x v="1"/>
    <x v="0"/>
    <s v="6504200"/>
    <n v="721830"/>
    <s v="Supplies-Office"/>
    <s v="Patient Accounting"/>
    <x v="0"/>
    <m/>
    <n v="294.73"/>
    <n v="-294.73"/>
    <n v="0"/>
    <n v="0"/>
    <n v="0"/>
    <n v="0"/>
    <n v="0"/>
    <n v="0"/>
    <n v="0"/>
    <n v="0"/>
    <n v="0"/>
    <n v="0"/>
    <n v="0"/>
    <n v="0"/>
  </r>
  <r>
    <x v="12"/>
    <x v="1"/>
    <x v="0"/>
    <s v="6504200"/>
    <n v="730020"/>
    <s v="Rental and Leases-Copier Usage Fees (DO NOT USE)"/>
    <s v="Patient Accounting"/>
    <x v="0"/>
    <n v="5100"/>
    <n v="846.09"/>
    <n v="-846.09"/>
    <n v="0"/>
    <n v="0"/>
    <n v="0"/>
    <n v="0"/>
    <n v="0"/>
    <n v="0"/>
    <n v="0"/>
    <n v="0"/>
    <n v="0"/>
    <n v="0"/>
    <n v="0"/>
    <n v="0"/>
  </r>
  <r>
    <x v="5"/>
    <x v="5"/>
    <x v="0"/>
    <s v="6505106"/>
    <n v="700034"/>
    <s v="Salaries-Tech/Professional-Productive"/>
    <s v="Patient Accounting"/>
    <x v="0"/>
    <m/>
    <n v="0"/>
    <n v="117.39"/>
    <n v="15.36"/>
    <n v="-5.58"/>
    <n v="0"/>
    <n v="0"/>
    <n v="0"/>
    <n v="0"/>
    <n v="0"/>
    <n v="0"/>
    <n v="0"/>
    <n v="0"/>
    <n v="127.17"/>
    <n v="0"/>
  </r>
  <r>
    <x v="5"/>
    <x v="5"/>
    <x v="0"/>
    <s v="6505106"/>
    <n v="700034"/>
    <s v="Salaries-Tech/Professional-Other"/>
    <s v="Patient Accounting"/>
    <x v="0"/>
    <n v="2000"/>
    <n v="0"/>
    <n v="24.35"/>
    <n v="2.29"/>
    <n v="-0.83"/>
    <n v="0"/>
    <n v="0"/>
    <n v="0"/>
    <n v="0"/>
    <n v="0"/>
    <n v="0"/>
    <n v="0"/>
    <n v="0"/>
    <n v="25.810000000000002"/>
    <n v="0"/>
  </r>
  <r>
    <x v="6"/>
    <x v="5"/>
    <x v="0"/>
    <s v="6505106"/>
    <n v="713010"/>
    <s v="Benefits-FICA/Medicare"/>
    <s v="Patient Accounting"/>
    <x v="0"/>
    <m/>
    <n v="0"/>
    <n v="10.85"/>
    <n v="1.34"/>
    <n v="-0.48"/>
    <n v="0"/>
    <n v="0"/>
    <n v="0"/>
    <n v="0"/>
    <n v="0"/>
    <n v="0"/>
    <n v="0"/>
    <n v="0"/>
    <n v="11.709999999999999"/>
    <n v="0"/>
  </r>
  <r>
    <x v="6"/>
    <x v="5"/>
    <x v="0"/>
    <s v="6505106"/>
    <n v="713090"/>
    <s v="Benefits-Allocated Amounts"/>
    <s v="Patient Accounting"/>
    <x v="0"/>
    <m/>
    <n v="0"/>
    <n v="26.72"/>
    <n v="4.33"/>
    <n v="10.01"/>
    <n v="10.1"/>
    <n v="-35.56"/>
    <n v="-15.6"/>
    <n v="0"/>
    <n v="0"/>
    <n v="0"/>
    <n v="0"/>
    <n v="0"/>
    <n v="-5.3290705182007514E-15"/>
    <n v="0"/>
  </r>
  <r>
    <x v="7"/>
    <x v="5"/>
    <x v="0"/>
    <s v="6505106"/>
    <n v="718060"/>
    <s v="Contract Services-CHI RRC Fees"/>
    <s v="Patient Accounting"/>
    <x v="0"/>
    <m/>
    <n v="52655"/>
    <n v="52655"/>
    <n v="52655"/>
    <n v="52655"/>
    <n v="52655"/>
    <n v="52655"/>
    <n v="52655"/>
    <n v="52655"/>
    <n v="52655"/>
    <n v="52655"/>
    <n v="52655"/>
    <n v="52655"/>
    <n v="631860"/>
    <n v="0"/>
  </r>
  <r>
    <x v="13"/>
    <x v="5"/>
    <x v="0"/>
    <s v="6505106"/>
    <n v="735040"/>
    <s v="Depreciation-Building Improvements"/>
    <s v="Patient Accounting"/>
    <x v="0"/>
    <m/>
    <n v="13.38"/>
    <n v="13.38"/>
    <n v="13.39"/>
    <n v="13.38"/>
    <n v="13.39"/>
    <n v="13.38"/>
    <n v="13.39"/>
    <n v="13.38"/>
    <n v="13.39"/>
    <n v="13.38"/>
    <n v="13.39"/>
    <n v="13.38"/>
    <n v="160.61000000000001"/>
    <n v="9.9999999999997868E-3"/>
  </r>
  <r>
    <x v="13"/>
    <x v="5"/>
    <x v="0"/>
    <s v="6505106"/>
    <n v="735070"/>
    <s v="Depreciation-Movable Equipment"/>
    <s v="Patient Accounting"/>
    <x v="0"/>
    <m/>
    <n v="48.41"/>
    <n v="48.39"/>
    <n v="48.41"/>
    <n v="48.34"/>
    <n v="48.41"/>
    <n v="48.33"/>
    <n v="48.43"/>
    <n v="48.33"/>
    <n v="48.45"/>
    <n v="48.32"/>
    <n v="48.46"/>
    <n v="48.32"/>
    <n v="580.6"/>
    <n v="0.14000000000000057"/>
  </r>
  <r>
    <x v="7"/>
    <x v="6"/>
    <x v="0"/>
    <s v="6505107"/>
    <n v="718045"/>
    <s v="Contract Svcs-Collection Fees"/>
    <s v="Patient Financial Services"/>
    <x v="0"/>
    <m/>
    <n v="5685.53"/>
    <n v="3883.16"/>
    <n v="4098.41"/>
    <n v="3361.81"/>
    <n v="3959.95"/>
    <n v="2118.36"/>
    <n v="2638.5"/>
    <n v="2811.12"/>
    <n v="1924.8"/>
    <n v="2847.98"/>
    <n v="1764.69"/>
    <n v="4077.86"/>
    <n v="39172.170000000006"/>
    <n v="-2313.17"/>
  </r>
  <r>
    <x v="7"/>
    <x v="6"/>
    <x v="0"/>
    <s v="6505107"/>
    <n v="718060"/>
    <s v="Contract Services-CHI RRC Fees"/>
    <s v="Patient Financial Services"/>
    <x v="0"/>
    <m/>
    <n v="505131"/>
    <n v="505131"/>
    <n v="505131"/>
    <n v="505131"/>
    <n v="505131"/>
    <n v="505131"/>
    <n v="505131"/>
    <n v="505131"/>
    <n v="505131"/>
    <n v="508972"/>
    <n v="500025"/>
    <n v="500028"/>
    <n v="6055204"/>
    <n v="-3"/>
  </r>
  <r>
    <x v="11"/>
    <x v="6"/>
    <x v="0"/>
    <s v="6505107"/>
    <n v="721410"/>
    <s v="Supplies-Medical - Nonbillable"/>
    <s v="Patient Financial Services"/>
    <x v="0"/>
    <m/>
    <n v="0"/>
    <n v="0"/>
    <n v="0"/>
    <n v="0"/>
    <n v="31.37"/>
    <n v="0"/>
    <n v="0"/>
    <n v="6.74"/>
    <n v="0"/>
    <n v="5.39"/>
    <n v="0"/>
    <n v="0"/>
    <n v="43.5"/>
    <n v="0"/>
  </r>
  <r>
    <x v="11"/>
    <x v="6"/>
    <x v="0"/>
    <s v="6505107"/>
    <n v="721830"/>
    <s v="Supplies-Office"/>
    <s v="Patient Financial Services"/>
    <x v="0"/>
    <m/>
    <n v="168.89"/>
    <n v="0"/>
    <n v="79.7"/>
    <n v="0"/>
    <n v="0"/>
    <n v="0"/>
    <n v="0"/>
    <n v="0"/>
    <n v="0"/>
    <n v="0"/>
    <n v="0"/>
    <n v="0"/>
    <n v="248.58999999999997"/>
    <n v="0"/>
  </r>
  <r>
    <x v="12"/>
    <x v="6"/>
    <x v="0"/>
    <s v="6505107"/>
    <n v="730020"/>
    <s v="Rental and Leases-Copier Usage Fees (DO NOT USE)"/>
    <s v="Patient Financial Services"/>
    <x v="0"/>
    <n v="5100"/>
    <n v="2500.25"/>
    <n v="2573.2399999999998"/>
    <n v="2536.7399999999998"/>
    <n v="2536.7399999999998"/>
    <n v="2536.7399999999998"/>
    <n v="2536.7399999999998"/>
    <n v="-622.46"/>
    <n v="2103.11"/>
    <n v="2098.69"/>
    <n v="2530.4699999999998"/>
    <n v="2103.11"/>
    <n v="2354.2800000000002"/>
    <n v="25787.649999999998"/>
    <n v="-251.17000000000007"/>
  </r>
  <r>
    <x v="13"/>
    <x v="6"/>
    <x v="0"/>
    <s v="6505107"/>
    <n v="735070"/>
    <s v="Depreciation-Movable Equipment"/>
    <s v="Patient Financial Services"/>
    <x v="0"/>
    <m/>
    <n v="695.42"/>
    <n v="328.75"/>
    <n v="328.77"/>
    <n v="328.75"/>
    <n v="328.77"/>
    <n v="328.75"/>
    <n v="328.77"/>
    <n v="328.75"/>
    <n v="328.77"/>
    <n v="328.75"/>
    <n v="328.77"/>
    <n v="328.75"/>
    <n v="4311.7700000000004"/>
    <n v="1.999999999998181E-2"/>
  </r>
  <r>
    <x v="14"/>
    <x v="1"/>
    <x v="0"/>
    <s v="6505200"/>
    <n v="600050"/>
    <s v="Miscellaneous Revenue"/>
    <s v="FHS Central Billing Office"/>
    <x v="0"/>
    <m/>
    <n v="0"/>
    <n v="-9076.24"/>
    <n v="-13707.01"/>
    <n v="-15663.53"/>
    <n v="-17048.62"/>
    <n v="-20694.990000000002"/>
    <n v="6066.56"/>
    <n v="-12708.19"/>
    <n v="71062.77"/>
    <n v="0"/>
    <n v="0"/>
    <n v="0"/>
    <n v="-11769.25"/>
    <n v="0"/>
  </r>
  <r>
    <x v="5"/>
    <x v="1"/>
    <x v="0"/>
    <s v="6505200"/>
    <n v="700014"/>
    <s v="Salaries-Management-Productive"/>
    <s v="FHS Central Billing Office"/>
    <x v="0"/>
    <m/>
    <n v="18566.169999999998"/>
    <n v="23218.49"/>
    <n v="17991.05"/>
    <n v="30425.74"/>
    <n v="23194.76"/>
    <n v="22029.58"/>
    <n v="29431.37"/>
    <n v="22823.55"/>
    <n v="27860.560000000001"/>
    <n v="24999.360000000001"/>
    <n v="27742.32"/>
    <n v="26473.83"/>
    <n v="294756.78000000003"/>
    <n v="1268.489999999998"/>
  </r>
  <r>
    <x v="5"/>
    <x v="1"/>
    <x v="0"/>
    <s v="6505200"/>
    <n v="700018"/>
    <s v="Salaries-Supervisory-Productive"/>
    <s v="FHS Central Billing Office"/>
    <x v="0"/>
    <m/>
    <n v="15839.46"/>
    <n v="20361.560000000001"/>
    <n v="13119.67"/>
    <n v="16637.05"/>
    <n v="10311.84"/>
    <n v="7622.98"/>
    <n v="15946.32"/>
    <n v="9141.34"/>
    <n v="14543.07"/>
    <n v="14304.22"/>
    <n v="15590.99"/>
    <n v="12967.72"/>
    <n v="166386.22"/>
    <n v="2623.2700000000004"/>
  </r>
  <r>
    <x v="5"/>
    <x v="1"/>
    <x v="0"/>
    <s v="6505200"/>
    <n v="700018"/>
    <s v="Salaries-Supervisory-Other"/>
    <s v="FHS Central Billing Office"/>
    <x v="0"/>
    <n v="2000"/>
    <n v="0"/>
    <n v="0"/>
    <n v="0"/>
    <n v="0"/>
    <n v="0"/>
    <n v="0"/>
    <n v="0"/>
    <n v="30.05"/>
    <n v="-0.01"/>
    <n v="0"/>
    <n v="0"/>
    <n v="0"/>
    <n v="30.04"/>
    <n v="0"/>
  </r>
  <r>
    <x v="5"/>
    <x v="1"/>
    <x v="0"/>
    <s v="6505200"/>
    <n v="700034"/>
    <s v="Salaries-Tech/Professional-Productive"/>
    <s v="FHS Central Billing Office"/>
    <x v="0"/>
    <m/>
    <n v="5932.08"/>
    <n v="6497.04"/>
    <n v="5367.12"/>
    <n v="5623.44"/>
    <n v="6527.84"/>
    <n v="5014.5600000000004"/>
    <n v="6567.53"/>
    <n v="5943.1"/>
    <n v="6240.25"/>
    <n v="6032.25"/>
    <n v="6745.43"/>
    <n v="4160.18"/>
    <n v="70650.819999999978"/>
    <n v="2585.25"/>
  </r>
  <r>
    <x v="5"/>
    <x v="1"/>
    <x v="0"/>
    <s v="6505200"/>
    <n v="700038"/>
    <s v="Salaries-Service/Support-Productive"/>
    <s v="FHS Central Billing Office"/>
    <x v="0"/>
    <m/>
    <n v="181513.95"/>
    <n v="188325.51"/>
    <n v="199734.86"/>
    <n v="234147.82"/>
    <n v="240688.84"/>
    <n v="179277.67"/>
    <n v="232136.27"/>
    <n v="177812.72"/>
    <n v="211595.42"/>
    <n v="200693.75"/>
    <n v="212572.7"/>
    <n v="149656.9"/>
    <n v="2408156.41"/>
    <n v="62915.800000000017"/>
  </r>
  <r>
    <x v="5"/>
    <x v="1"/>
    <x v="0"/>
    <s v="6505200"/>
    <n v="700038"/>
    <s v="Salaries-Service/Support-OT"/>
    <s v="FHS Central Billing Office"/>
    <x v="0"/>
    <n v="1000"/>
    <n v="1405.9"/>
    <n v="758"/>
    <n v="550.79"/>
    <n v="1066.29"/>
    <n v="264.42"/>
    <n v="524.64"/>
    <n v="648.19000000000005"/>
    <n v="39.090000000000003"/>
    <n v="468.23"/>
    <n v="495.4"/>
    <n v="1668.51"/>
    <n v="8913.2199999999993"/>
    <n v="16802.68"/>
    <n v="-7244.7099999999991"/>
  </r>
  <r>
    <x v="5"/>
    <x v="1"/>
    <x v="0"/>
    <s v="6505200"/>
    <n v="700038"/>
    <s v="Salaries-Service/Support-Other"/>
    <s v="FHS Central Billing Office"/>
    <x v="0"/>
    <n v="2000"/>
    <n v="538.51"/>
    <n v="581.19000000000005"/>
    <n v="759.69"/>
    <n v="602"/>
    <n v="558.30999999999995"/>
    <n v="504.01"/>
    <n v="946.95"/>
    <n v="912.44"/>
    <n v="977.15"/>
    <n v="1009.37"/>
    <n v="1093.83"/>
    <n v="1158.83"/>
    <n v="9642.2800000000007"/>
    <n v="-65"/>
  </r>
  <r>
    <x v="5"/>
    <x v="1"/>
    <x v="0"/>
    <s v="6505200"/>
    <n v="700054"/>
    <s v="Salaries-Management-Non-productive"/>
    <s v="FHS Central Billing Office"/>
    <x v="0"/>
    <m/>
    <n v="4051.71"/>
    <n v="427.5"/>
    <n v="10498.67"/>
    <n v="1317.85"/>
    <n v="7378.99"/>
    <n v="7155.26"/>
    <n v="2581.9299999999998"/>
    <n v="5012.33"/>
    <n v="1367.09"/>
    <n v="5620.07"/>
    <n v="4268.96"/>
    <n v="1362.03"/>
    <n v="51042.39"/>
    <n v="2906.9300000000003"/>
  </r>
  <r>
    <x v="5"/>
    <x v="1"/>
    <x v="0"/>
    <s v="6505200"/>
    <n v="700054"/>
    <s v="Salaries-Management-NonProd-Other"/>
    <s v="FHS Central Billing Office"/>
    <x v="0"/>
    <n v="2000"/>
    <n v="0"/>
    <n v="0"/>
    <n v="0"/>
    <n v="0"/>
    <n v="394.9"/>
    <n v="3839.78"/>
    <n v="-3839.78"/>
    <n v="-394.9"/>
    <n v="0"/>
    <n v="0"/>
    <n v="0"/>
    <n v="0"/>
    <n v="1.1368683772161603E-13"/>
    <n v="0"/>
  </r>
  <r>
    <x v="5"/>
    <x v="1"/>
    <x v="0"/>
    <s v="6505200"/>
    <n v="700058"/>
    <s v="Salaries-Supervisory-Non-productive"/>
    <s v="FHS Central Billing Office"/>
    <x v="0"/>
    <m/>
    <n v="4252.91"/>
    <n v="644.12"/>
    <n v="5146.13"/>
    <n v="2837.72"/>
    <n v="4275.84"/>
    <n v="7226.52"/>
    <n v="342.36"/>
    <n v="313.83"/>
    <n v="-89.66"/>
    <n v="1226.3699999999999"/>
    <n v="-81.73"/>
    <n v="1172.7"/>
    <n v="27267.110000000004"/>
    <n v="-1254.43"/>
  </r>
  <r>
    <x v="5"/>
    <x v="1"/>
    <x v="0"/>
    <s v="6505200"/>
    <n v="700058"/>
    <s v="Salaries-Supervisory-NonProd-Other"/>
    <s v="FHS Central Billing Office"/>
    <x v="0"/>
    <n v="2000"/>
    <n v="0"/>
    <n v="0"/>
    <n v="0"/>
    <n v="0"/>
    <n v="0"/>
    <n v="288.05"/>
    <n v="0"/>
    <n v="-288.05"/>
    <n v="0"/>
    <n v="0"/>
    <n v="0"/>
    <n v="0"/>
    <n v="0"/>
    <n v="0"/>
  </r>
  <r>
    <x v="5"/>
    <x v="1"/>
    <x v="0"/>
    <s v="6505200"/>
    <n v="700074"/>
    <s v="Salaries-Tech/Professional-Non-productive"/>
    <s v="FHS Central Billing Office"/>
    <x v="0"/>
    <m/>
    <n v="282.48"/>
    <n v="0"/>
    <n v="282.48"/>
    <n v="1129.92"/>
    <n v="0"/>
    <n v="1216.55"/>
    <n v="267.48"/>
    <n v="0"/>
    <n v="0"/>
    <n v="505.15"/>
    <n v="89.15"/>
    <n v="1782.92"/>
    <n v="5556.130000000001"/>
    <n v="-1693.77"/>
  </r>
  <r>
    <x v="5"/>
    <x v="1"/>
    <x v="0"/>
    <s v="6505200"/>
    <n v="700078"/>
    <s v="Salaries-Service/Support-Non-productive"/>
    <s v="FHS Central Billing Office"/>
    <x v="0"/>
    <m/>
    <n v="31269.33"/>
    <n v="32482.05"/>
    <n v="36075.01"/>
    <n v="30196.78"/>
    <n v="14215.2"/>
    <n v="54452.54"/>
    <n v="30496.21"/>
    <n v="33587.93"/>
    <n v="17407.759999999998"/>
    <n v="29885.360000000001"/>
    <n v="19002.63"/>
    <n v="22467.69"/>
    <n v="351538.49000000005"/>
    <n v="-3465.0599999999977"/>
  </r>
  <r>
    <x v="5"/>
    <x v="1"/>
    <x v="0"/>
    <s v="6505200"/>
    <n v="700078"/>
    <s v="Salaries-Service/Support-NonProd-Other"/>
    <s v="FHS Central Billing Office"/>
    <x v="0"/>
    <n v="2000"/>
    <n v="0"/>
    <n v="0"/>
    <n v="13.38"/>
    <n v="0"/>
    <n v="0"/>
    <n v="-202.72"/>
    <n v="0"/>
    <n v="202.72"/>
    <n v="0"/>
    <n v="-3.87"/>
    <n v="3.87"/>
    <n v="0"/>
    <n v="13.379999999999995"/>
    <n v="3.87"/>
  </r>
  <r>
    <x v="5"/>
    <x v="1"/>
    <x v="0"/>
    <s v="6505200"/>
    <n v="700084"/>
    <s v="Accrued PTO"/>
    <s v="FHS Central Billing Office"/>
    <x v="0"/>
    <m/>
    <n v="-5591.93"/>
    <n v="627.94000000000005"/>
    <n v="10984.73"/>
    <n v="14769.57"/>
    <n v="15145.8"/>
    <n v="-24316.69"/>
    <n v="1369.88"/>
    <n v="-4286.43"/>
    <n v="13006.86"/>
    <n v="4441.67"/>
    <n v="7455.87"/>
    <n v="7348.74"/>
    <n v="40956.01"/>
    <n v="107.13000000000011"/>
  </r>
  <r>
    <x v="6"/>
    <x v="1"/>
    <x v="0"/>
    <s v="6505200"/>
    <n v="713010"/>
    <s v="Benefits-FICA/Medicare"/>
    <s v="FHS Central Billing Office"/>
    <x v="0"/>
    <m/>
    <n v="19701.830000000002"/>
    <n v="25390.92"/>
    <n v="21345.63"/>
    <n v="23978.26"/>
    <n v="21941.759999999998"/>
    <n v="21035.27"/>
    <n v="23233.07"/>
    <n v="19529.12"/>
    <n v="20600.2"/>
    <n v="20944.59"/>
    <n v="21206.95"/>
    <n v="17191.189999999999"/>
    <n v="256098.79"/>
    <n v="4015.760000000002"/>
  </r>
  <r>
    <x v="6"/>
    <x v="1"/>
    <x v="0"/>
    <s v="6505200"/>
    <n v="713090"/>
    <s v="Benefits-Allocated Amounts"/>
    <s v="FHS Central Billing Office"/>
    <x v="0"/>
    <m/>
    <n v="67432.25"/>
    <n v="61163.97"/>
    <n v="76827.89"/>
    <n v="78618.81"/>
    <n v="76670.97"/>
    <n v="75520.11"/>
    <n v="87803.99"/>
    <n v="77310.850000000006"/>
    <n v="76330.880000000005"/>
    <n v="76119.13"/>
    <n v="74127.259999999995"/>
    <n v="65654.28"/>
    <n v="893580.39"/>
    <n v="8472.9799999999959"/>
  </r>
  <r>
    <x v="6"/>
    <x v="1"/>
    <x v="0"/>
    <s v="6505200"/>
    <n v="713096"/>
    <s v="Employee Recognition"/>
    <s v="FHS Central Billing Office"/>
    <x v="0"/>
    <n v="1017"/>
    <n v="0"/>
    <n v="0"/>
    <n v="0"/>
    <n v="0"/>
    <n v="0"/>
    <n v="0"/>
    <n v="0"/>
    <n v="0"/>
    <n v="0"/>
    <n v="0"/>
    <n v="607.38"/>
    <n v="0"/>
    <n v="607.38"/>
    <n v="607.38"/>
  </r>
  <r>
    <x v="7"/>
    <x v="1"/>
    <x v="0"/>
    <s v="6505200"/>
    <n v="718010"/>
    <s v="Media/Print Advertising"/>
    <s v="FHS Central Billing Office"/>
    <x v="0"/>
    <n v="1004"/>
    <n v="0"/>
    <n v="705.63"/>
    <n v="1193.3599999999999"/>
    <n v="0"/>
    <n v="1330.91"/>
    <n v="11901.16"/>
    <n v="758.48"/>
    <n v="0"/>
    <n v="0"/>
    <n v="0"/>
    <n v="0"/>
    <n v="-73.930000000000007"/>
    <n v="15815.609999999999"/>
    <n v="73.930000000000007"/>
  </r>
  <r>
    <x v="7"/>
    <x v="1"/>
    <x v="0"/>
    <s v="6505200"/>
    <n v="718050"/>
    <s v="Contract Svcs-Other"/>
    <s v="FHS Central Billing Office"/>
    <x v="0"/>
    <m/>
    <n v="6139.17"/>
    <n v="-13752.71"/>
    <n v="-160631.67999999999"/>
    <n v="46812.05"/>
    <n v="193779.22"/>
    <n v="44599.519999999997"/>
    <n v="77288.5"/>
    <n v="-7268.72"/>
    <n v="115545.96"/>
    <n v="50912.07"/>
    <n v="54377.11"/>
    <n v="70120.61"/>
    <n v="477921.1"/>
    <n v="-15743.5"/>
  </r>
  <r>
    <x v="7"/>
    <x v="1"/>
    <x v="0"/>
    <s v="6505200"/>
    <n v="718050"/>
    <s v="Document Shredding/Storage"/>
    <s v="FHS Central Billing Office"/>
    <x v="0"/>
    <n v="1012"/>
    <n v="1306.22"/>
    <n v="1438.94"/>
    <n v="1134.69"/>
    <n v="1277.58"/>
    <n v="1341.36"/>
    <n v="1320.44"/>
    <n v="1208.23"/>
    <n v="1209.55"/>
    <n v="1161.81"/>
    <n v="1516.06"/>
    <n v="1277.56"/>
    <n v="1327.52"/>
    <n v="15519.959999999997"/>
    <n v="-49.960000000000036"/>
  </r>
  <r>
    <x v="7"/>
    <x v="1"/>
    <x v="0"/>
    <s v="6505200"/>
    <n v="718050"/>
    <s v="Miscellaneous Purchased Svcs"/>
    <s v="FHS Central Billing Office"/>
    <x v="0"/>
    <n v="1020"/>
    <n v="0"/>
    <n v="0"/>
    <n v="0"/>
    <n v="0"/>
    <n v="0"/>
    <n v="0"/>
    <n v="88.08"/>
    <n v="0"/>
    <n v="0"/>
    <n v="0"/>
    <n v="0"/>
    <n v="0"/>
    <n v="88.08"/>
    <n v="0"/>
  </r>
  <r>
    <x v="7"/>
    <x v="1"/>
    <x v="0"/>
    <s v="6505200"/>
    <n v="718059"/>
    <s v="Contract Services-Physician Revenue Cycle Fees"/>
    <s v="FHS Central Billing Office"/>
    <x v="0"/>
    <m/>
    <n v="65000"/>
    <n v="135334.25"/>
    <n v="-144450"/>
    <n v="0"/>
    <n v="0"/>
    <n v="0"/>
    <n v="0"/>
    <n v="0"/>
    <n v="0"/>
    <n v="0"/>
    <n v="0"/>
    <n v="0"/>
    <n v="55884.25"/>
    <n v="0"/>
  </r>
  <r>
    <x v="11"/>
    <x v="1"/>
    <x v="0"/>
    <s v="6505200"/>
    <n v="721810"/>
    <s v="Supplies-Dietary/Cafeteria"/>
    <s v="FHS Central Billing Office"/>
    <x v="0"/>
    <m/>
    <n v="0"/>
    <n v="0"/>
    <n v="0"/>
    <n v="348.45"/>
    <n v="0"/>
    <n v="0"/>
    <n v="0"/>
    <n v="-348.45"/>
    <n v="0"/>
    <n v="0"/>
    <n v="0"/>
    <n v="0"/>
    <n v="0"/>
    <n v="0"/>
  </r>
  <r>
    <x v="11"/>
    <x v="1"/>
    <x v="0"/>
    <s v="6505200"/>
    <n v="721830"/>
    <s v="Supplies-Office"/>
    <s v="FHS Central Billing Office"/>
    <x v="0"/>
    <m/>
    <n v="250.92"/>
    <n v="937.52"/>
    <n v="239.39"/>
    <n v="533.6"/>
    <n v="290.70999999999998"/>
    <n v="688.14"/>
    <n v="1797.02"/>
    <n v="464.86"/>
    <n v="1324.91"/>
    <n v="1352.72"/>
    <n v="1794.08"/>
    <n v="13002.31"/>
    <n v="22676.18"/>
    <n v="-11208.23"/>
  </r>
  <r>
    <x v="11"/>
    <x v="1"/>
    <x v="0"/>
    <s v="6505200"/>
    <n v="721835"/>
    <s v="Supplies-Forms"/>
    <s v="FHS Central Billing Office"/>
    <x v="0"/>
    <m/>
    <n v="0"/>
    <n v="0"/>
    <n v="0"/>
    <n v="729.32"/>
    <n v="17"/>
    <n v="0"/>
    <n v="34"/>
    <n v="0"/>
    <n v="19.45"/>
    <n v="9.4"/>
    <n v="0"/>
    <n v="95"/>
    <n v="904.17000000000007"/>
    <n v="-95"/>
  </r>
  <r>
    <x v="11"/>
    <x v="1"/>
    <x v="0"/>
    <s v="6505200"/>
    <n v="721910"/>
    <s v="Supplies-Small Equipment"/>
    <s v="FHS Central Billing Office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6505200"/>
    <n v="721980"/>
    <s v="Supplies-Other"/>
    <s v="FHS Central Billing Office"/>
    <x v="0"/>
    <m/>
    <n v="0"/>
    <n v="0"/>
    <n v="0"/>
    <n v="0"/>
    <n v="0"/>
    <n v="0"/>
    <n v="0"/>
    <n v="0"/>
    <n v="0"/>
    <n v="0"/>
    <n v="0"/>
    <n v="44.06"/>
    <n v="44.06"/>
    <n v="-44.06"/>
  </r>
  <r>
    <x v="11"/>
    <x v="1"/>
    <x v="0"/>
    <s v="6505200"/>
    <n v="722000"/>
    <s v="Supplies-Freight Expense"/>
    <s v="FHS Central Billing Office"/>
    <x v="0"/>
    <m/>
    <n v="0"/>
    <n v="0"/>
    <n v="0"/>
    <n v="0"/>
    <n v="75.88"/>
    <n v="25.11"/>
    <n v="0"/>
    <n v="0"/>
    <n v="0"/>
    <n v="0"/>
    <n v="0"/>
    <n v="114.2"/>
    <n v="215.19"/>
    <n v="-114.2"/>
  </r>
  <r>
    <x v="12"/>
    <x v="1"/>
    <x v="0"/>
    <s v="6505200"/>
    <n v="730010"/>
    <s v="Rental and Leases-Building (DO NOT USE)"/>
    <s v="FHS Central Billing Office"/>
    <x v="0"/>
    <m/>
    <n v="9260.94"/>
    <n v="11113.14"/>
    <n v="9260.94"/>
    <n v="9260.94"/>
    <n v="9260.94"/>
    <n v="-10730.91"/>
    <n v="8257.4599999999991"/>
    <n v="6546.6"/>
    <n v="6714.45"/>
    <n v="6714.59"/>
    <n v="6714.59"/>
    <n v="0"/>
    <n v="72373.679999999993"/>
    <n v="6714.59"/>
  </r>
  <r>
    <x v="12"/>
    <x v="1"/>
    <x v="0"/>
    <s v="6505200"/>
    <n v="730010"/>
    <s v="Rental-Common Area Maint (DO NOT USE)"/>
    <s v="FHS Central Billing Office"/>
    <x v="0"/>
    <n v="2200"/>
    <n v="0"/>
    <n v="0"/>
    <n v="0"/>
    <n v="0"/>
    <n v="0"/>
    <n v="20029.740000000002"/>
    <n v="8400.02"/>
    <n v="3682.12"/>
    <n v="3682.12"/>
    <n v="3682.2"/>
    <n v="3682.2"/>
    <n v="0"/>
    <n v="43158.399999999994"/>
    <n v="3682.2"/>
  </r>
  <r>
    <x v="12"/>
    <x v="1"/>
    <x v="0"/>
    <s v="6505200"/>
    <n v="730020"/>
    <s v="Rental and Leases-Copier Usage Fees (DO NOT USE)"/>
    <s v="FHS Central Billing Office"/>
    <x v="0"/>
    <n v="5100"/>
    <n v="2765.82"/>
    <n v="4446.53"/>
    <n v="3606.18"/>
    <n v="3606.17"/>
    <n v="3606.17"/>
    <n v="3606.17"/>
    <n v="7434.93"/>
    <n v="2645.55"/>
    <n v="2513.79"/>
    <n v="7106.33"/>
    <n v="2667.53"/>
    <n v="3055.84"/>
    <n v="47061.009999999995"/>
    <n v="-388.30999999999995"/>
  </r>
  <r>
    <x v="12"/>
    <x v="1"/>
    <x v="0"/>
    <s v="6505200"/>
    <n v="730040"/>
    <s v="LT Lease-Real Estate"/>
    <s v="FHS Central Billing Office"/>
    <x v="0"/>
    <m/>
    <n v="0"/>
    <n v="0"/>
    <n v="0"/>
    <n v="0"/>
    <n v="0"/>
    <n v="0"/>
    <n v="0"/>
    <n v="0"/>
    <n v="0"/>
    <n v="0"/>
    <n v="0"/>
    <n v="10396.790000000001"/>
    <n v="10396.790000000001"/>
    <n v="-10396.790000000001"/>
  </r>
  <r>
    <x v="16"/>
    <x v="1"/>
    <x v="0"/>
    <s v="6505200"/>
    <n v="732030"/>
    <s v="Repairs---Other"/>
    <s v="FHS Central Billing Office"/>
    <x v="0"/>
    <m/>
    <n v="0"/>
    <n v="0"/>
    <n v="0"/>
    <n v="0"/>
    <n v="0"/>
    <n v="0"/>
    <n v="0"/>
    <n v="152.49"/>
    <n v="0"/>
    <n v="0"/>
    <n v="0"/>
    <n v="182.99"/>
    <n v="335.48"/>
    <n v="-182.99"/>
  </r>
  <r>
    <x v="16"/>
    <x v="1"/>
    <x v="0"/>
    <s v="6505200"/>
    <n v="732030"/>
    <s v="Repairs&amp;Maintenance-Bldg Routine"/>
    <s v="FHS Central Billing Office"/>
    <x v="0"/>
    <n v="2300"/>
    <n v="32.57"/>
    <n v="3.26"/>
    <n v="0"/>
    <n v="0"/>
    <n v="29.19"/>
    <n v="692.58"/>
    <n v="272.18"/>
    <n v="50"/>
    <n v="280.95"/>
    <n v="0"/>
    <n v="0"/>
    <n v="250"/>
    <n v="1610.73"/>
    <n v="-250"/>
  </r>
  <r>
    <x v="13"/>
    <x v="1"/>
    <x v="0"/>
    <s v="6505200"/>
    <n v="735050"/>
    <s v="Amortization-Leasehold Improvements"/>
    <s v="FHS Central Billing Office"/>
    <x v="0"/>
    <m/>
    <n v="49.05"/>
    <n v="49.05"/>
    <n v="49.05"/>
    <n v="49.05"/>
    <n v="49.05"/>
    <n v="49.05"/>
    <n v="49.05"/>
    <n v="49.05"/>
    <n v="49.05"/>
    <n v="49.05"/>
    <n v="49.06"/>
    <n v="49.05"/>
    <n v="588.61"/>
    <n v="1.0000000000005116E-2"/>
  </r>
  <r>
    <x v="13"/>
    <x v="1"/>
    <x v="0"/>
    <s v="6505200"/>
    <n v="735070"/>
    <s v="Depreciation-Movable Equipment"/>
    <s v="FHS Central Billing Office"/>
    <x v="0"/>
    <m/>
    <n v="1189.52"/>
    <n v="1189.52"/>
    <n v="1189.52"/>
    <n v="1189.52"/>
    <n v="1189.52"/>
    <n v="1189.52"/>
    <n v="1189.52"/>
    <n v="7896.84"/>
    <n v="2027.94"/>
    <n v="2027.92"/>
    <n v="2027.94"/>
    <n v="2027.91"/>
    <n v="24335.190000000002"/>
    <n v="2.9999999999972715E-2"/>
  </r>
  <r>
    <x v="0"/>
    <x v="1"/>
    <x v="0"/>
    <s v="6505200"/>
    <n v="740020"/>
    <s v="Education-Registration Fees"/>
    <s v="FHS Central Billing Office"/>
    <x v="0"/>
    <m/>
    <n v="0"/>
    <n v="0"/>
    <n v="0"/>
    <n v="0"/>
    <n v="0"/>
    <n v="0"/>
    <n v="0"/>
    <n v="0"/>
    <n v="0"/>
    <n v="0"/>
    <n v="1840"/>
    <n v="0"/>
    <n v="1840"/>
    <n v="1840"/>
  </r>
  <r>
    <x v="0"/>
    <x v="1"/>
    <x v="0"/>
    <s v="6505200"/>
    <n v="742040"/>
    <s v="Freight-Other"/>
    <s v="FHS Central Billing Office"/>
    <x v="0"/>
    <m/>
    <n v="0"/>
    <n v="0"/>
    <n v="0"/>
    <n v="20.83"/>
    <n v="0"/>
    <n v="0"/>
    <n v="0"/>
    <n v="0"/>
    <n v="0"/>
    <n v="0"/>
    <n v="0"/>
    <n v="73.930000000000007"/>
    <n v="94.76"/>
    <n v="-73.930000000000007"/>
  </r>
  <r>
    <x v="0"/>
    <x v="1"/>
    <x v="0"/>
    <s v="6505200"/>
    <n v="749510"/>
    <s v="Miscellaneous Expenses"/>
    <s v="FHS Central Billing Office"/>
    <x v="0"/>
    <m/>
    <n v="0"/>
    <n v="72"/>
    <n v="1367.27"/>
    <n v="0"/>
    <n v="58.31"/>
    <n v="-58.31"/>
    <n v="0"/>
    <n v="826.42"/>
    <n v="-826.42"/>
    <n v="97.84"/>
    <n v="-97.84"/>
    <n v="3130.74"/>
    <n v="4570.01"/>
    <n v="-3228.58"/>
  </r>
  <r>
    <x v="0"/>
    <x v="1"/>
    <x v="0"/>
    <s v="6505200"/>
    <n v="749510"/>
    <s v="RICE Rewards"/>
    <s v="FHS Central Billing Office"/>
    <x v="0"/>
    <n v="5100"/>
    <n v="0"/>
    <n v="0"/>
    <n v="0"/>
    <n v="0"/>
    <n v="0"/>
    <n v="0"/>
    <n v="0"/>
    <n v="482.77"/>
    <n v="0"/>
    <n v="0"/>
    <n v="0"/>
    <n v="2785.88"/>
    <n v="3268.65"/>
    <n v="-2785.88"/>
  </r>
  <r>
    <x v="0"/>
    <x v="1"/>
    <x v="0"/>
    <s v="6505200"/>
    <n v="749530"/>
    <s v="Travel"/>
    <s v="FHS Central Billing Office"/>
    <x v="0"/>
    <m/>
    <n v="0"/>
    <n v="0"/>
    <n v="0"/>
    <n v="0"/>
    <n v="0"/>
    <n v="17.98"/>
    <n v="0"/>
    <n v="13"/>
    <n v="647.82000000000005"/>
    <n v="12"/>
    <n v="851.11"/>
    <n v="2590.5700000000002"/>
    <n v="4132.4800000000005"/>
    <n v="-1739.46"/>
  </r>
  <r>
    <x v="0"/>
    <x v="1"/>
    <x v="0"/>
    <s v="6505200"/>
    <n v="749530"/>
    <s v="Mileage"/>
    <s v="FHS Central Billing Office"/>
    <x v="0"/>
    <n v="1001"/>
    <n v="0"/>
    <n v="0"/>
    <n v="0"/>
    <n v="0"/>
    <n v="0"/>
    <n v="40.33"/>
    <n v="0"/>
    <n v="64.38"/>
    <n v="472.12"/>
    <n v="85.26"/>
    <n v="303.33999999999997"/>
    <n v="85.84"/>
    <n v="1051.27"/>
    <n v="217.49999999999997"/>
  </r>
  <r>
    <x v="7"/>
    <x v="9"/>
    <x v="0"/>
    <s v="6505501"/>
    <n v="718045"/>
    <s v="Contract Svcs-Collection Fees"/>
    <s v="Patient Accounting"/>
    <x v="0"/>
    <m/>
    <n v="181689.97"/>
    <n v="221202.92"/>
    <n v="244892.86"/>
    <n v="179771.34"/>
    <n v="240846.34"/>
    <n v="211829.83"/>
    <n v="159587.29999999999"/>
    <n v="150233.91"/>
    <n v="166380.5"/>
    <n v="169710.41"/>
    <n v="149589.25"/>
    <n v="163325.34"/>
    <n v="2239059.9699999997"/>
    <n v="-13736.089999999997"/>
  </r>
  <r>
    <x v="7"/>
    <x v="9"/>
    <x v="0"/>
    <s v="6505501"/>
    <n v="718050"/>
    <s v="Contract Svcs-Other"/>
    <s v="Patient Accounting"/>
    <x v="0"/>
    <m/>
    <n v="0"/>
    <n v="0"/>
    <n v="0"/>
    <n v="0"/>
    <n v="0"/>
    <n v="0"/>
    <n v="0"/>
    <n v="792.72"/>
    <n v="1849.68"/>
    <n v="0"/>
    <n v="224.19"/>
    <n v="0"/>
    <n v="2866.59"/>
    <n v="224.19"/>
  </r>
  <r>
    <x v="7"/>
    <x v="9"/>
    <x v="0"/>
    <s v="6505501"/>
    <n v="718050"/>
    <s v="Document Shredding/Storage"/>
    <s v="Patient Accounting"/>
    <x v="0"/>
    <n v="1012"/>
    <n v="305.97000000000003"/>
    <n v="513.28"/>
    <n v="386.47"/>
    <n v="380.77"/>
    <n v="393.54"/>
    <n v="393.54"/>
    <n v="389.6"/>
    <n v="334.15"/>
    <n v="346.28"/>
    <n v="453.31"/>
    <n v="383.77"/>
    <n v="792"/>
    <n v="5072.68"/>
    <n v="-408.23"/>
  </r>
  <r>
    <x v="7"/>
    <x v="9"/>
    <x v="0"/>
    <s v="6505501"/>
    <n v="718050"/>
    <s v="Miscellaneous Purchased Svcs"/>
    <s v="Patient Accounting"/>
    <x v="0"/>
    <n v="1020"/>
    <n v="114000"/>
    <n v="110564.53"/>
    <n v="26137.64"/>
    <n v="91781.84"/>
    <n v="73330.460000000006"/>
    <n v="77256.240000000005"/>
    <n v="83873.27"/>
    <n v="44407.11"/>
    <n v="187085"/>
    <n v="82319.8"/>
    <n v="81028.84"/>
    <n v="87612.08"/>
    <n v="1059396.81"/>
    <n v="-6583.2400000000052"/>
  </r>
  <r>
    <x v="7"/>
    <x v="9"/>
    <x v="0"/>
    <s v="6505501"/>
    <n v="718060"/>
    <s v="Contract Services-CHI RRC Fees"/>
    <s v="Patient Accounting"/>
    <x v="0"/>
    <m/>
    <n v="935221"/>
    <n v="935221"/>
    <n v="935221"/>
    <n v="935221"/>
    <n v="935221"/>
    <n v="935221"/>
    <n v="935221"/>
    <n v="935221"/>
    <n v="935221"/>
    <n v="877852"/>
    <n v="935221"/>
    <n v="935221"/>
    <n v="11165283"/>
    <n v="0"/>
  </r>
  <r>
    <x v="11"/>
    <x v="9"/>
    <x v="0"/>
    <s v="6505501"/>
    <n v="721410"/>
    <s v="Supplies-Medical - Nonbillable"/>
    <s v="Patient Accounting"/>
    <x v="0"/>
    <m/>
    <n v="0"/>
    <n v="0"/>
    <n v="0"/>
    <n v="0"/>
    <n v="0"/>
    <n v="0"/>
    <n v="4.68"/>
    <n v="0"/>
    <n v="4.84"/>
    <n v="0"/>
    <n v="0"/>
    <n v="0"/>
    <n v="9.52"/>
    <n v="0"/>
  </r>
  <r>
    <x v="11"/>
    <x v="9"/>
    <x v="0"/>
    <s v="6505501"/>
    <n v="721830"/>
    <s v="Supplies-Office"/>
    <s v="Patient Accounting"/>
    <x v="0"/>
    <m/>
    <n v="1954.62"/>
    <n v="3181.22"/>
    <n v="2190.27"/>
    <n v="2917.36"/>
    <n v="1713.62"/>
    <n v="2298.5"/>
    <n v="2733.09"/>
    <n v="1695.13"/>
    <n v="1497.05"/>
    <n v="1562.35"/>
    <n v="1683.46"/>
    <n v="1488.74"/>
    <n v="24915.41"/>
    <n v="194.72000000000003"/>
  </r>
  <r>
    <x v="11"/>
    <x v="9"/>
    <x v="0"/>
    <s v="6505501"/>
    <n v="721835"/>
    <s v="Supplies-Forms"/>
    <s v="Patient Accounting"/>
    <x v="0"/>
    <m/>
    <n v="0"/>
    <n v="0"/>
    <n v="0"/>
    <n v="0"/>
    <n v="873"/>
    <n v="136"/>
    <n v="289"/>
    <n v="0"/>
    <n v="317.5"/>
    <n v="238"/>
    <n v="0"/>
    <n v="242.06"/>
    <n v="2095.56"/>
    <n v="-242.06"/>
  </r>
  <r>
    <x v="11"/>
    <x v="9"/>
    <x v="0"/>
    <s v="6505501"/>
    <n v="721870"/>
    <s v="Supplies-Environmental Services"/>
    <s v="Patient Accounting"/>
    <x v="0"/>
    <m/>
    <n v="0"/>
    <n v="28.82"/>
    <n v="0"/>
    <n v="0"/>
    <n v="0"/>
    <n v="14.54"/>
    <n v="14.41"/>
    <n v="0"/>
    <n v="28.81"/>
    <n v="0"/>
    <n v="0"/>
    <n v="0"/>
    <n v="86.58"/>
    <n v="0"/>
  </r>
  <r>
    <x v="11"/>
    <x v="9"/>
    <x v="0"/>
    <s v="6505501"/>
    <n v="721910"/>
    <s v="Supplies-Small Equipment"/>
    <s v="Patient Accounting"/>
    <x v="0"/>
    <m/>
    <n v="1474.61"/>
    <n v="172.14"/>
    <n v="691.32"/>
    <n v="1881.24"/>
    <n v="157.44999999999999"/>
    <n v="1392.48"/>
    <n v="5.62"/>
    <n v="212.8"/>
    <n v="7.41"/>
    <n v="68.37"/>
    <n v="0"/>
    <n v="0"/>
    <n v="6063.44"/>
    <n v="0"/>
  </r>
  <r>
    <x v="11"/>
    <x v="9"/>
    <x v="0"/>
    <s v="6505501"/>
    <n v="721980"/>
    <s v="Supplies-Other"/>
    <s v="Patient Accounting"/>
    <x v="0"/>
    <m/>
    <n v="73.66"/>
    <n v="7.44"/>
    <n v="66.98"/>
    <n v="187.24"/>
    <n v="0"/>
    <n v="0"/>
    <n v="0"/>
    <n v="0"/>
    <n v="0"/>
    <n v="0"/>
    <n v="0"/>
    <n v="0"/>
    <n v="335.32"/>
    <n v="0"/>
  </r>
  <r>
    <x v="11"/>
    <x v="9"/>
    <x v="0"/>
    <s v="6505501"/>
    <n v="722000"/>
    <s v="Supplies-Freight Expense"/>
    <s v="Patient Accounting"/>
    <x v="0"/>
    <m/>
    <n v="0"/>
    <n v="8.74"/>
    <n v="96.21"/>
    <n v="0"/>
    <n v="0"/>
    <n v="45.31"/>
    <n v="98.48"/>
    <n v="0"/>
    <n v="0"/>
    <n v="0"/>
    <n v="0"/>
    <n v="29.99"/>
    <n v="278.73"/>
    <n v="-29.99"/>
  </r>
  <r>
    <x v="12"/>
    <x v="9"/>
    <x v="0"/>
    <s v="6505501"/>
    <n v="730010"/>
    <s v="Rental and Leases-Building (DO NOT USE)"/>
    <s v="Patient Accounting"/>
    <x v="0"/>
    <m/>
    <n v="20558.59"/>
    <n v="20558.59"/>
    <n v="20558.59"/>
    <n v="20558.59"/>
    <n v="20558.59"/>
    <n v="17663.330000000002"/>
    <n v="20095.09"/>
    <n v="20095.09"/>
    <n v="20095.09"/>
    <n v="20098.45"/>
    <n v="20115.2"/>
    <n v="0"/>
    <n v="220955.2"/>
    <n v="20115.2"/>
  </r>
  <r>
    <x v="12"/>
    <x v="9"/>
    <x v="0"/>
    <s v="6505501"/>
    <n v="730010"/>
    <s v="Rental-Common Area Maint (DO NOT USE)"/>
    <s v="Patient Accounting"/>
    <x v="0"/>
    <n v="2200"/>
    <n v="0"/>
    <n v="0"/>
    <n v="0"/>
    <n v="0"/>
    <n v="0"/>
    <n v="2902.16"/>
    <n v="470.4"/>
    <n v="470.4"/>
    <n v="678.78"/>
    <n v="470.48"/>
    <n v="470.48"/>
    <n v="0"/>
    <n v="5462.6999999999989"/>
    <n v="470.48"/>
  </r>
  <r>
    <x v="12"/>
    <x v="9"/>
    <x v="0"/>
    <s v="6505501"/>
    <n v="730020"/>
    <s v="Rental and Leases-Copier Usage Fees (DO NOT USE)"/>
    <s v="Patient Accounting"/>
    <x v="0"/>
    <n v="5100"/>
    <n v="2569.54"/>
    <n v="2525.91"/>
    <n v="2547.73"/>
    <n v="2547.73"/>
    <n v="2547.73"/>
    <n v="2547.73"/>
    <n v="11089.37"/>
    <n v="2601.88"/>
    <n v="3376.23"/>
    <n v="4352.12"/>
    <n v="3219.83"/>
    <n v="3651.62"/>
    <n v="43577.420000000006"/>
    <n v="-431.78999999999996"/>
  </r>
  <r>
    <x v="12"/>
    <x v="9"/>
    <x v="0"/>
    <s v="6505501"/>
    <n v="730040"/>
    <s v="LT Lease-Real Estate"/>
    <s v="Patient Accounting"/>
    <x v="0"/>
    <m/>
    <n v="0"/>
    <n v="0"/>
    <n v="0"/>
    <n v="0"/>
    <n v="0"/>
    <n v="0"/>
    <n v="0"/>
    <n v="0"/>
    <n v="0"/>
    <n v="0"/>
    <n v="0"/>
    <n v="21071.39"/>
    <n v="21071.39"/>
    <n v="-21071.39"/>
  </r>
  <r>
    <x v="16"/>
    <x v="9"/>
    <x v="0"/>
    <s v="6505501"/>
    <n v="732030"/>
    <s v="Repairs&amp;Maintenance-Bldg Routine"/>
    <s v="Patient Accounting"/>
    <x v="0"/>
    <n v="2300"/>
    <n v="35"/>
    <n v="35"/>
    <n v="35"/>
    <n v="35"/>
    <n v="35"/>
    <n v="35"/>
    <n v="35"/>
    <n v="35"/>
    <n v="35"/>
    <n v="35"/>
    <n v="35"/>
    <n v="35"/>
    <n v="420"/>
    <n v="0"/>
  </r>
  <r>
    <x v="13"/>
    <x v="9"/>
    <x v="0"/>
    <s v="6505501"/>
    <n v="735070"/>
    <s v="Depreciation-Movable Equipment"/>
    <s v="Patient Accounting"/>
    <x v="0"/>
    <m/>
    <n v="1.98"/>
    <n v="1.97"/>
    <n v="1.98"/>
    <n v="1.97"/>
    <n v="1.98"/>
    <n v="1.97"/>
    <n v="1.99"/>
    <n v="1.97"/>
    <n v="1.99"/>
    <n v="1.97"/>
    <n v="1.99"/>
    <n v="1.97"/>
    <n v="23.729999999999997"/>
    <n v="2.0000000000000018E-2"/>
  </r>
  <r>
    <x v="0"/>
    <x v="9"/>
    <x v="0"/>
    <s v="6505501"/>
    <n v="749510"/>
    <s v="Miscellaneous Expenses"/>
    <s v="Patient Accounting"/>
    <x v="0"/>
    <m/>
    <n v="33796.43"/>
    <n v="31542.57"/>
    <n v="31870.67"/>
    <n v="24486.37"/>
    <n v="11719.42"/>
    <n v="66283.47"/>
    <n v="20431.86"/>
    <n v="22958.85"/>
    <n v="40120.19"/>
    <n v="24700.92"/>
    <n v="12026.91"/>
    <n v="143522.07999999999"/>
    <n v="463459.73999999987"/>
    <n v="-131495.16999999998"/>
  </r>
  <r>
    <x v="5"/>
    <x v="1"/>
    <x v="0"/>
    <s v="6506200"/>
    <n v="700018"/>
    <s v="Salaries-Supervisory-Productive"/>
    <s v="FMG PSO-FHS Processes"/>
    <x v="0"/>
    <m/>
    <n v="4121.28"/>
    <n v="4121.28"/>
    <n v="3548.88"/>
    <n v="5723.28"/>
    <n v="5176.16"/>
    <n v="3482.14"/>
    <n v="4901.26"/>
    <n v="4571.13"/>
    <n v="4948.12"/>
    <n v="4382.6000000000004"/>
    <n v="5749.27"/>
    <n v="4476.87"/>
    <n v="55202.27"/>
    <n v="1272.4000000000005"/>
  </r>
  <r>
    <x v="5"/>
    <x v="1"/>
    <x v="0"/>
    <s v="6506200"/>
    <n v="700038"/>
    <s v="Salaries-Service/Support-Productive"/>
    <s v="FMG PSO-FHS Processes"/>
    <x v="0"/>
    <m/>
    <n v="17866.900000000001"/>
    <n v="20798.73"/>
    <n v="15889.93"/>
    <n v="20901.080000000002"/>
    <n v="17498.62"/>
    <n v="21199.64"/>
    <n v="24209.38"/>
    <n v="19501.41"/>
    <n v="24581.1"/>
    <n v="20885.509999999998"/>
    <n v="27264.49"/>
    <n v="16958.75"/>
    <n v="247555.54"/>
    <n v="10305.740000000002"/>
  </r>
  <r>
    <x v="5"/>
    <x v="1"/>
    <x v="0"/>
    <s v="6506200"/>
    <n v="700038"/>
    <s v="Salaries-Service/Support-OT"/>
    <s v="FMG PSO-FHS Processes"/>
    <x v="0"/>
    <n v="1000"/>
    <n v="1553.45"/>
    <n v="1229.71"/>
    <n v="635.64"/>
    <n v="1459.71"/>
    <n v="835.31"/>
    <n v="1116.3900000000001"/>
    <n v="872.56"/>
    <n v="1130.0899999999999"/>
    <n v="1439.03"/>
    <n v="1791.66"/>
    <n v="536.51"/>
    <n v="919.55"/>
    <n v="13519.61"/>
    <n v="-383.03999999999996"/>
  </r>
  <r>
    <x v="5"/>
    <x v="1"/>
    <x v="0"/>
    <s v="6506200"/>
    <n v="700038"/>
    <s v="Salaries-Service/Support-Other"/>
    <s v="FMG PSO-FHS Processes"/>
    <x v="0"/>
    <n v="2000"/>
    <n v="18.3"/>
    <n v="-3.05"/>
    <n v="0"/>
    <n v="0"/>
    <n v="0"/>
    <n v="30"/>
    <n v="0"/>
    <n v="0"/>
    <n v="0"/>
    <n v="30.06"/>
    <n v="-0.02"/>
    <n v="0"/>
    <n v="75.290000000000006"/>
    <n v="-0.02"/>
  </r>
  <r>
    <x v="5"/>
    <x v="1"/>
    <x v="0"/>
    <s v="6506200"/>
    <n v="700054"/>
    <s v="Salaries-Management-NonProd-Other"/>
    <s v="FMG PSO-FHS Processes"/>
    <x v="0"/>
    <n v="2000"/>
    <n v="0"/>
    <n v="0"/>
    <n v="0"/>
    <n v="0"/>
    <n v="0"/>
    <n v="1075.5"/>
    <n v="-1075.5"/>
    <n v="0"/>
    <n v="0"/>
    <n v="0"/>
    <n v="0"/>
    <n v="0"/>
    <n v="0"/>
    <n v="0"/>
  </r>
  <r>
    <x v="5"/>
    <x v="1"/>
    <x v="0"/>
    <s v="6506200"/>
    <n v="700058"/>
    <s v="Salaries-Supervisory-Non-productive"/>
    <s v="FMG PSO-FHS Processes"/>
    <x v="0"/>
    <m/>
    <n v="978.8"/>
    <n v="1167.7"/>
    <n v="1030.32"/>
    <n v="-343.44"/>
    <n v="0"/>
    <n v="1458.73"/>
    <n v="518.46"/>
    <n v="141.38"/>
    <n v="0"/>
    <n v="801.14"/>
    <n v="-329.88"/>
    <n v="235.63"/>
    <n v="5658.84"/>
    <n v="-565.51"/>
  </r>
  <r>
    <x v="5"/>
    <x v="1"/>
    <x v="0"/>
    <s v="6506200"/>
    <n v="700078"/>
    <s v="Salaries-Service/Support-Non-productive"/>
    <s v="FMG PSO-FHS Processes"/>
    <x v="0"/>
    <m/>
    <n v="4468.3100000000004"/>
    <n v="2460.67"/>
    <n v="4231.7700000000004"/>
    <n v="3000.97"/>
    <n v="5850.5"/>
    <n v="3184.38"/>
    <n v="3045.59"/>
    <n v="2853.3"/>
    <n v="714.62"/>
    <n v="3788.71"/>
    <n v="1528.61"/>
    <n v="4834.57"/>
    <n v="39962"/>
    <n v="-3305.96"/>
  </r>
  <r>
    <x v="5"/>
    <x v="1"/>
    <x v="0"/>
    <s v="6506200"/>
    <n v="700078"/>
    <s v="Salaries-Service/Support-NonProd-Other"/>
    <s v="FMG PSO-FHS Processes"/>
    <x v="0"/>
    <n v="2000"/>
    <n v="0"/>
    <n v="0"/>
    <n v="0"/>
    <n v="0"/>
    <n v="1149.3499999999999"/>
    <n v="432.65"/>
    <n v="0"/>
    <n v="-1582"/>
    <n v="0"/>
    <n v="0"/>
    <n v="0"/>
    <n v="0"/>
    <n v="0"/>
    <n v="0"/>
  </r>
  <r>
    <x v="5"/>
    <x v="1"/>
    <x v="0"/>
    <s v="6506200"/>
    <n v="700084"/>
    <s v="Accrued PTO"/>
    <s v="FMG PSO-FHS Processes"/>
    <x v="0"/>
    <m/>
    <n v="-534.15"/>
    <n v="1095.05"/>
    <n v="-1392.84"/>
    <n v="1756.15"/>
    <n v="1056.58"/>
    <n v="-1062.24"/>
    <n v="-163.97"/>
    <n v="-312.83"/>
    <n v="1658.08"/>
    <n v="531.91"/>
    <n v="1595.16"/>
    <n v="-1409.93"/>
    <n v="2816.9699999999993"/>
    <n v="3005.09"/>
  </r>
  <r>
    <x v="6"/>
    <x v="1"/>
    <x v="0"/>
    <s v="6506200"/>
    <n v="713010"/>
    <s v="Benefits-FICA/Medicare"/>
    <s v="FMG PSO-FHS Processes"/>
    <x v="0"/>
    <m/>
    <n v="2093.2600000000002"/>
    <n v="2146.41"/>
    <n v="1823.94"/>
    <n v="2220.27"/>
    <n v="2384.16"/>
    <n v="2238.5"/>
    <n v="2509.08"/>
    <n v="2035.03"/>
    <n v="2295.37"/>
    <n v="2330.9"/>
    <n v="2524.9"/>
    <n v="1975.88"/>
    <n v="26577.700000000004"/>
    <n v="549.02"/>
  </r>
  <r>
    <x v="6"/>
    <x v="1"/>
    <x v="0"/>
    <s v="6506200"/>
    <n v="713090"/>
    <s v="Benefits-Allocated Amounts"/>
    <s v="FMG PSO-FHS Processes"/>
    <x v="0"/>
    <m/>
    <n v="7993.34"/>
    <n v="7271.98"/>
    <n v="7512.83"/>
    <n v="8004.95"/>
    <n v="7973.45"/>
    <n v="8653.7099999999991"/>
    <n v="9880.0400000000009"/>
    <n v="9056.32"/>
    <n v="9238.14"/>
    <n v="8921.7199999999993"/>
    <n v="9527.31"/>
    <n v="8801.39"/>
    <n v="102835.18"/>
    <n v="725.92000000000007"/>
  </r>
  <r>
    <x v="7"/>
    <x v="1"/>
    <x v="0"/>
    <s v="6506200"/>
    <n v="718050"/>
    <s v="Contract Svcs-Other"/>
    <s v="FMG PSO-FHS Processes"/>
    <x v="0"/>
    <m/>
    <n v="0"/>
    <n v="715.65"/>
    <n v="0"/>
    <n v="0"/>
    <n v="0"/>
    <n v="0"/>
    <n v="0"/>
    <n v="0"/>
    <n v="0"/>
    <n v="0"/>
    <n v="0"/>
    <n v="0"/>
    <n v="715.65"/>
    <n v="0"/>
  </r>
  <r>
    <x v="7"/>
    <x v="1"/>
    <x v="0"/>
    <s v="6506200"/>
    <n v="718050"/>
    <s v="Document Shredding/Storage"/>
    <s v="FMG PSO-FHS Processes"/>
    <x v="0"/>
    <n v="1012"/>
    <n v="163.30000000000001"/>
    <n v="-184.94"/>
    <n v="136.12"/>
    <n v="91.67"/>
    <n v="-43.71"/>
    <n v="99.03"/>
    <n v="98.03"/>
    <n v="107.78"/>
    <n v="98.81"/>
    <n v="36.81"/>
    <n v="94.05"/>
    <n v="-40.840000000000003"/>
    <n v="656.10999999999979"/>
    <n v="134.88999999999999"/>
  </r>
  <r>
    <x v="11"/>
    <x v="1"/>
    <x v="0"/>
    <s v="6506200"/>
    <n v="721830"/>
    <s v="Supplies-Office"/>
    <s v="FMG PSO-FHS Processes"/>
    <x v="0"/>
    <m/>
    <n v="29.82"/>
    <n v="39.840000000000003"/>
    <n v="-19.920000000000002"/>
    <n v="169.65"/>
    <n v="0"/>
    <n v="0"/>
    <n v="90.96"/>
    <n v="0"/>
    <n v="0"/>
    <n v="72.47"/>
    <n v="0"/>
    <n v="0"/>
    <n v="382.81999999999994"/>
    <n v="0"/>
  </r>
  <r>
    <x v="11"/>
    <x v="1"/>
    <x v="0"/>
    <s v="6506200"/>
    <n v="721835"/>
    <s v="Supplies-Forms"/>
    <s v="FMG PSO-FHS Processes"/>
    <x v="0"/>
    <m/>
    <n v="0"/>
    <n v="0"/>
    <n v="0"/>
    <n v="0"/>
    <n v="294.5"/>
    <n v="0"/>
    <n v="135"/>
    <n v="0"/>
    <n v="145"/>
    <n v="207.5"/>
    <n v="0"/>
    <n v="270"/>
    <n v="1052"/>
    <n v="-270"/>
  </r>
  <r>
    <x v="11"/>
    <x v="1"/>
    <x v="0"/>
    <s v="6506200"/>
    <n v="721910"/>
    <s v="Supplies-Small Equipment"/>
    <s v="FMG PSO-FHS Processes"/>
    <x v="0"/>
    <m/>
    <n v="0"/>
    <n v="0"/>
    <n v="0"/>
    <n v="0"/>
    <n v="0"/>
    <n v="0"/>
    <n v="0"/>
    <n v="0"/>
    <n v="194.61"/>
    <n v="0"/>
    <n v="17.510000000000002"/>
    <n v="0"/>
    <n v="212.12"/>
    <n v="17.510000000000002"/>
  </r>
  <r>
    <x v="11"/>
    <x v="1"/>
    <x v="0"/>
    <s v="6506200"/>
    <n v="722000"/>
    <s v="Supplies-Freight Expense"/>
    <s v="FMG PSO-FHS Processes"/>
    <x v="0"/>
    <m/>
    <n v="0"/>
    <n v="0"/>
    <n v="83.75"/>
    <n v="0"/>
    <n v="0"/>
    <n v="0"/>
    <n v="0"/>
    <n v="0"/>
    <n v="0"/>
    <n v="22.66"/>
    <n v="0"/>
    <n v="0"/>
    <n v="106.41"/>
    <n v="0"/>
  </r>
  <r>
    <x v="12"/>
    <x v="1"/>
    <x v="0"/>
    <s v="6506200"/>
    <n v="730020"/>
    <s v="Rental and Leases-Copier Usage Fees (DO NOT USE)"/>
    <s v="FMG PSO-FHS Processes"/>
    <x v="0"/>
    <n v="5100"/>
    <n v="347.72"/>
    <n v="359.55"/>
    <n v="353.63"/>
    <n v="353.63"/>
    <n v="353.63"/>
    <n v="353.63"/>
    <n v="186.12"/>
    <n v="331.41"/>
    <n v="330.71"/>
    <n v="346.86"/>
    <n v="331.41"/>
    <n v="435.43"/>
    <n v="4083.73"/>
    <n v="-104.01999999999998"/>
  </r>
  <r>
    <x v="16"/>
    <x v="1"/>
    <x v="0"/>
    <s v="6506200"/>
    <n v="732030"/>
    <s v="Repairs---Other"/>
    <s v="FMG PSO-FHS Processes"/>
    <x v="0"/>
    <m/>
    <n v="0"/>
    <n v="0"/>
    <n v="228.73"/>
    <n v="0"/>
    <n v="0"/>
    <n v="0"/>
    <n v="0"/>
    <n v="0"/>
    <n v="45.75"/>
    <n v="0"/>
    <n v="0"/>
    <n v="0"/>
    <n v="274.48"/>
    <n v="0"/>
  </r>
  <r>
    <x v="13"/>
    <x v="1"/>
    <x v="0"/>
    <s v="6506200"/>
    <n v="735070"/>
    <s v="Depreciation-Movable Equipment"/>
    <s v="FMG PSO-FHS Processes"/>
    <x v="0"/>
    <m/>
    <n v="1110.73"/>
    <n v="1110.73"/>
    <n v="1110.73"/>
    <n v="1110.73"/>
    <n v="1110.73"/>
    <n v="1110.73"/>
    <n v="1110.73"/>
    <n v="1110.73"/>
    <n v="1110.73"/>
    <n v="1110.72"/>
    <n v="1110.73"/>
    <n v="1110.72"/>
    <n v="13328.739999999996"/>
    <n v="9.9999999999909051E-3"/>
  </r>
  <r>
    <x v="0"/>
    <x v="1"/>
    <x v="0"/>
    <s v="6506200"/>
    <n v="749510"/>
    <s v="Miscellaneous Expenses"/>
    <s v="FMG PSO-FHS Processes"/>
    <x v="0"/>
    <m/>
    <n v="0"/>
    <n v="0"/>
    <n v="0"/>
    <n v="0"/>
    <n v="0"/>
    <n v="0"/>
    <n v="0"/>
    <n v="0"/>
    <n v="0"/>
    <n v="0"/>
    <n v="220.94"/>
    <n v="-220.94"/>
    <n v="0"/>
    <n v="441.88"/>
  </r>
  <r>
    <x v="0"/>
    <x v="1"/>
    <x v="0"/>
    <s v="6506200"/>
    <n v="749510"/>
    <s v="RICE Rewards"/>
    <s v="FMG PSO-FHS Processes"/>
    <x v="0"/>
    <n v="5100"/>
    <n v="0"/>
    <n v="0"/>
    <n v="0"/>
    <n v="0"/>
    <n v="0"/>
    <n v="0"/>
    <n v="0"/>
    <n v="58.07"/>
    <n v="0"/>
    <n v="0"/>
    <n v="0"/>
    <n v="331.89"/>
    <n v="389.96"/>
    <n v="-331.89"/>
  </r>
  <r>
    <x v="7"/>
    <x v="9"/>
    <x v="0"/>
    <s v="6506501"/>
    <n v="718091"/>
    <s v="Contract Services-Intracompany Allocation"/>
    <s v="PSO"/>
    <x v="0"/>
    <m/>
    <n v="-0.01"/>
    <n v="0"/>
    <n v="0"/>
    <n v="0.01"/>
    <n v="0.01"/>
    <n v="-0.02"/>
    <n v="0"/>
    <n v="0"/>
    <n v="0.02"/>
    <n v="0"/>
    <n v="0"/>
    <n v="-0.02"/>
    <n v="-0.01"/>
    <n v="0.02"/>
  </r>
  <r>
    <x v="5"/>
    <x v="1"/>
    <x v="0"/>
    <s v="6507200"/>
    <n v="700032"/>
    <s v="Salaries-Other Pat Care Providers-Productive"/>
    <s v="HMG BO &amp; Admin"/>
    <x v="0"/>
    <m/>
    <n v="3254"/>
    <n v="3573.25"/>
    <n v="2344.54"/>
    <n v="3862.5"/>
    <n v="3217.19"/>
    <n v="1740.9"/>
    <n v="3491.16"/>
    <n v="2808.47"/>
    <n v="3280.17"/>
    <n v="3417.79"/>
    <n v="2863.67"/>
    <n v="2819.8"/>
    <n v="36673.440000000002"/>
    <n v="43.869999999999891"/>
  </r>
  <r>
    <x v="5"/>
    <x v="1"/>
    <x v="0"/>
    <s v="6507200"/>
    <n v="700032"/>
    <s v="Salaries-Other Pat Care Providers-OT"/>
    <s v="HMG BO &amp; Admin"/>
    <x v="0"/>
    <n v="1000"/>
    <n v="17.899999999999999"/>
    <n v="142.47"/>
    <n v="41.02"/>
    <n v="126.11"/>
    <n v="-49.41"/>
    <n v="0"/>
    <n v="0"/>
    <n v="61.86"/>
    <n v="0"/>
    <n v="0"/>
    <n v="38.659999999999997"/>
    <n v="0"/>
    <n v="378.61"/>
    <n v="38.659999999999997"/>
  </r>
  <r>
    <x v="5"/>
    <x v="1"/>
    <x v="0"/>
    <s v="6507200"/>
    <n v="700038"/>
    <s v="Salaries-Service/Support-Productive"/>
    <s v="HMG BO &amp; Admin"/>
    <x v="0"/>
    <m/>
    <n v="0"/>
    <n v="3553.64"/>
    <n v="2616.71"/>
    <n v="-639.79999999999995"/>
    <n v="0"/>
    <n v="0"/>
    <n v="0"/>
    <n v="2647.66"/>
    <n v="136.55000000000001"/>
    <n v="0"/>
    <n v="0"/>
    <n v="0"/>
    <n v="8314.76"/>
    <n v="0"/>
  </r>
  <r>
    <x v="5"/>
    <x v="1"/>
    <x v="0"/>
    <s v="6507200"/>
    <n v="700038"/>
    <s v="Salaries-Service/Support-OT"/>
    <s v="HMG BO &amp; Admin"/>
    <x v="0"/>
    <n v="1000"/>
    <n v="0"/>
    <n v="36.57"/>
    <n v="62.16"/>
    <n v="-18.28"/>
    <n v="0"/>
    <n v="0"/>
    <n v="0"/>
    <n v="59.1"/>
    <n v="-14.77"/>
    <n v="0"/>
    <n v="0"/>
    <n v="0"/>
    <n v="124.77999999999999"/>
    <n v="0"/>
  </r>
  <r>
    <x v="5"/>
    <x v="1"/>
    <x v="0"/>
    <s v="6507200"/>
    <n v="700038"/>
    <s v="Salaries-Service/Support-Other"/>
    <s v="HMG BO &amp; Admin"/>
    <x v="0"/>
    <n v="2000"/>
    <n v="16.55"/>
    <n v="186.32"/>
    <n v="193.88"/>
    <n v="-34"/>
    <n v="0"/>
    <n v="75.3"/>
    <n v="11.97"/>
    <n v="143.91"/>
    <n v="6.58"/>
    <n v="68.11"/>
    <n v="-23.04"/>
    <n v="6.01"/>
    <n v="651.59000000000015"/>
    <n v="-29.049999999999997"/>
  </r>
  <r>
    <x v="5"/>
    <x v="1"/>
    <x v="0"/>
    <s v="6507200"/>
    <n v="700054"/>
    <s v="Salaries-Management-NonProd-Other"/>
    <s v="HMG BO &amp; Admin"/>
    <x v="0"/>
    <n v="2000"/>
    <n v="0"/>
    <n v="0"/>
    <n v="0"/>
    <n v="0"/>
    <n v="0"/>
    <n v="77.5"/>
    <n v="-77.5"/>
    <n v="0"/>
    <n v="0"/>
    <n v="0"/>
    <n v="0"/>
    <n v="0"/>
    <n v="0"/>
    <n v="0"/>
  </r>
  <r>
    <x v="5"/>
    <x v="1"/>
    <x v="0"/>
    <s v="6507200"/>
    <n v="700072"/>
    <s v="Salaries-Other Pat Care Providers-Non-productive"/>
    <s v="HMG BO &amp; Admin"/>
    <x v="0"/>
    <m/>
    <n v="264.54000000000002"/>
    <n v="13.93"/>
    <n v="507.2"/>
    <n v="0"/>
    <n v="241.93"/>
    <n v="1150.99"/>
    <n v="239.25"/>
    <n v="238.16"/>
    <n v="1.55"/>
    <n v="210.87"/>
    <n v="858.82"/>
    <n v="494.89"/>
    <n v="4222.13"/>
    <n v="363.93000000000006"/>
  </r>
  <r>
    <x v="5"/>
    <x v="1"/>
    <x v="0"/>
    <s v="6507200"/>
    <n v="700078"/>
    <s v="Salaries-Service/Support-Non-productive"/>
    <s v="HMG BO &amp; Admin"/>
    <x v="0"/>
    <m/>
    <n v="338.45"/>
    <n v="-6.22"/>
    <n v="0"/>
    <n v="0"/>
    <n v="0"/>
    <n v="1456.3"/>
    <n v="231.6"/>
    <n v="96.84"/>
    <n v="0"/>
    <n v="1317.04"/>
    <n v="-445.47"/>
    <n v="116.22"/>
    <n v="3104.7599999999998"/>
    <n v="-561.69000000000005"/>
  </r>
  <r>
    <x v="5"/>
    <x v="1"/>
    <x v="0"/>
    <s v="6507200"/>
    <n v="700078"/>
    <s v="Salaries-Service/Support-NonProd-Other"/>
    <s v="HMG BO &amp; Admi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6507200"/>
    <n v="700084"/>
    <s v="Accrued PTO"/>
    <s v="HMG BO &amp; Admin"/>
    <x v="0"/>
    <m/>
    <n v="353.82"/>
    <n v="537.13"/>
    <n v="38.61"/>
    <n v="616.89"/>
    <n v="368.12"/>
    <n v="-1176.43"/>
    <n v="7.06"/>
    <n v="320.56"/>
    <n v="548.27"/>
    <n v="-400.84"/>
    <n v="106.66"/>
    <n v="-333.99"/>
    <n v="985.86000000000013"/>
    <n v="440.65"/>
  </r>
  <r>
    <x v="6"/>
    <x v="1"/>
    <x v="0"/>
    <s v="6507200"/>
    <n v="713010"/>
    <s v="Benefits-FICA/Medicare"/>
    <s v="HMG BO &amp; Admin"/>
    <x v="0"/>
    <m/>
    <n v="286.64999999999998"/>
    <n v="572.23"/>
    <n v="418.59"/>
    <n v="253.92"/>
    <n v="259.12"/>
    <n v="335.43"/>
    <n v="305.11"/>
    <n v="446.17"/>
    <n v="256.92"/>
    <n v="373.73"/>
    <n v="250.36"/>
    <n v="317.33999999999997"/>
    <n v="4075.5700000000006"/>
    <n v="-66.979999999999961"/>
  </r>
  <r>
    <x v="6"/>
    <x v="1"/>
    <x v="0"/>
    <s v="6507200"/>
    <n v="713090"/>
    <s v="Benefits-Allocated Amounts"/>
    <s v="HMG BO &amp; Admin"/>
    <x v="0"/>
    <m/>
    <n v="1222.5899999999999"/>
    <n v="1959.97"/>
    <n v="1886.98"/>
    <n v="1182.1099999999999"/>
    <n v="1000.83"/>
    <n v="1189.3900000000001"/>
    <n v="1445.54"/>
    <n v="1968.27"/>
    <n v="1272.1400000000001"/>
    <n v="1338.94"/>
    <n v="1150.24"/>
    <n v="1209.6199999999999"/>
    <n v="16826.62"/>
    <n v="-59.379999999999882"/>
  </r>
  <r>
    <x v="7"/>
    <x v="1"/>
    <x v="0"/>
    <s v="6507200"/>
    <n v="718050"/>
    <s v="Contract Svcs-Other"/>
    <s v="HMG BO &amp; Admin"/>
    <x v="0"/>
    <m/>
    <n v="0"/>
    <n v="101.97"/>
    <n v="33.99"/>
    <n v="33.99"/>
    <n v="33.99"/>
    <n v="33.99"/>
    <n v="33.99"/>
    <n v="33.99"/>
    <n v="33.99"/>
    <n v="33.99"/>
    <n v="0"/>
    <n v="0"/>
    <n v="373.89000000000004"/>
    <n v="0"/>
  </r>
  <r>
    <x v="7"/>
    <x v="1"/>
    <x v="0"/>
    <s v="6507200"/>
    <n v="718050"/>
    <s v="Document Shredding/Storage"/>
    <s v="HMG BO &amp; Admin"/>
    <x v="0"/>
    <n v="1012"/>
    <n v="1195.3499999999999"/>
    <n v="1129.22"/>
    <n v="1083.97"/>
    <n v="1118.3699999999999"/>
    <n v="1185.53"/>
    <n v="1119.4000000000001"/>
    <n v="1108.2"/>
    <n v="1067.05"/>
    <n v="1044.8599999999999"/>
    <n v="1239.8699999999999"/>
    <n v="1128.8"/>
    <n v="980.9"/>
    <n v="13401.519999999999"/>
    <n v="147.89999999999998"/>
  </r>
  <r>
    <x v="11"/>
    <x v="1"/>
    <x v="0"/>
    <s v="6507200"/>
    <n v="721830"/>
    <s v="Supplies-Office"/>
    <s v="HMG BO &amp; Admin"/>
    <x v="0"/>
    <m/>
    <n v="0"/>
    <n v="0"/>
    <n v="0"/>
    <n v="0"/>
    <n v="0"/>
    <n v="184.58"/>
    <n v="0"/>
    <n v="0"/>
    <n v="0"/>
    <n v="0"/>
    <n v="0"/>
    <n v="0"/>
    <n v="184.58"/>
    <n v="0"/>
  </r>
  <r>
    <x v="12"/>
    <x v="1"/>
    <x v="0"/>
    <s v="6507200"/>
    <n v="730010"/>
    <s v="Rental and Leases-Building (DO NOT USE)"/>
    <s v="HMG BO &amp; Admin"/>
    <x v="0"/>
    <m/>
    <n v="0"/>
    <n v="0"/>
    <n v="0"/>
    <n v="0"/>
    <n v="0"/>
    <n v="0"/>
    <n v="0"/>
    <n v="21764.98"/>
    <n v="-14295.25"/>
    <n v="3060.13"/>
    <n v="3013.41"/>
    <n v="0"/>
    <n v="13543.27"/>
    <n v="3013.41"/>
  </r>
  <r>
    <x v="12"/>
    <x v="1"/>
    <x v="0"/>
    <s v="6507200"/>
    <n v="730010"/>
    <s v="Rental-Common Area Maint (DO NOT USE)"/>
    <s v="HMG BO &amp; Admin"/>
    <x v="0"/>
    <n v="2200"/>
    <n v="0"/>
    <n v="0"/>
    <n v="0"/>
    <n v="0"/>
    <n v="0"/>
    <n v="0"/>
    <n v="0"/>
    <n v="0"/>
    <n v="1352.97"/>
    <n v="1353.74"/>
    <n v="1353.74"/>
    <n v="0"/>
    <n v="4060.45"/>
    <n v="1353.74"/>
  </r>
  <r>
    <x v="12"/>
    <x v="1"/>
    <x v="0"/>
    <s v="6507200"/>
    <n v="730040"/>
    <s v="LT Lease-Real Estate"/>
    <s v="HMG BO &amp; Admin"/>
    <x v="0"/>
    <m/>
    <n v="0"/>
    <n v="0"/>
    <n v="0"/>
    <n v="0"/>
    <n v="0"/>
    <n v="0"/>
    <n v="0"/>
    <n v="0"/>
    <n v="0"/>
    <n v="0"/>
    <n v="0"/>
    <n v="3980.95"/>
    <n v="3980.95"/>
    <n v="-3980.95"/>
  </r>
  <r>
    <x v="15"/>
    <x v="1"/>
    <x v="0"/>
    <s v="6507200"/>
    <n v="731060"/>
    <s v="Telephone"/>
    <s v="HMG BO &amp; Admin"/>
    <x v="0"/>
    <m/>
    <n v="145.04"/>
    <n v="72.52"/>
    <n v="0"/>
    <n v="72.52"/>
    <n v="72.7"/>
    <n v="85.81"/>
    <n v="163.84"/>
    <n v="72.680000000000007"/>
    <n v="118.25"/>
    <n v="118.25"/>
    <n v="118.17"/>
    <n v="119.26"/>
    <n v="1159.04"/>
    <n v="-1.0900000000000034"/>
  </r>
  <r>
    <x v="15"/>
    <x v="1"/>
    <x v="0"/>
    <s v="6507200"/>
    <n v="731060"/>
    <s v="Pagers"/>
    <s v="HMG BO &amp; Admin"/>
    <x v="0"/>
    <n v="1002"/>
    <n v="10.99"/>
    <n v="24.32"/>
    <n v="10.99"/>
    <n v="11.02"/>
    <n v="11.02"/>
    <n v="0"/>
    <n v="44.21"/>
    <n v="0"/>
    <n v="0"/>
    <n v="-0.01"/>
    <n v="0"/>
    <n v="0"/>
    <n v="112.54"/>
    <n v="0"/>
  </r>
  <r>
    <x v="16"/>
    <x v="1"/>
    <x v="0"/>
    <s v="6507200"/>
    <n v="732030"/>
    <s v="Repairs&amp;Maintenance-Bldg Routine"/>
    <s v="HMG BO &amp; Admin"/>
    <x v="0"/>
    <n v="2300"/>
    <n v="0"/>
    <n v="0"/>
    <n v="0"/>
    <n v="0"/>
    <n v="0"/>
    <n v="0"/>
    <n v="0"/>
    <n v="0"/>
    <n v="130.16999999999999"/>
    <n v="2.5299999999999998"/>
    <n v="0"/>
    <n v="0"/>
    <n v="132.69999999999999"/>
    <n v="0"/>
  </r>
  <r>
    <x v="13"/>
    <x v="1"/>
    <x v="0"/>
    <s v="6507200"/>
    <n v="735050"/>
    <s v="Amortization-Leasehold Improvements"/>
    <s v="HMG BO &amp; Admin"/>
    <x v="0"/>
    <m/>
    <n v="703.05"/>
    <n v="703.04"/>
    <n v="703.06"/>
    <n v="703.03"/>
    <n v="703.06"/>
    <n v="703"/>
    <n v="703.06"/>
    <n v="703"/>
    <n v="703.06"/>
    <n v="703"/>
    <n v="703.06"/>
    <n v="702.99"/>
    <n v="8436.409999999998"/>
    <n v="6.9999999999936335E-2"/>
  </r>
  <r>
    <x v="13"/>
    <x v="1"/>
    <x v="0"/>
    <s v="6507200"/>
    <n v="735070"/>
    <s v="Depreciation-Movable Equipment"/>
    <s v="HMG BO &amp; Admin"/>
    <x v="0"/>
    <m/>
    <n v="484.95"/>
    <n v="484.92"/>
    <n v="484.96"/>
    <n v="484.82"/>
    <n v="484.98"/>
    <n v="484.82"/>
    <n v="485"/>
    <n v="484.79"/>
    <n v="485.15"/>
    <n v="484.65"/>
    <n v="485.21"/>
    <n v="484.62"/>
    <n v="5818.87"/>
    <n v="0.58999999999997499"/>
  </r>
  <r>
    <x v="0"/>
    <x v="1"/>
    <x v="0"/>
    <s v="6507200"/>
    <n v="749510"/>
    <s v="Miscellaneous Expenses"/>
    <s v="HMG BO &amp; Admin"/>
    <x v="0"/>
    <m/>
    <n v="0"/>
    <n v="0"/>
    <n v="0"/>
    <n v="0"/>
    <n v="0"/>
    <n v="0"/>
    <n v="0"/>
    <n v="0"/>
    <n v="0"/>
    <n v="-411"/>
    <n v="0"/>
    <n v="0"/>
    <n v="-411"/>
    <n v="0"/>
  </r>
  <r>
    <x v="0"/>
    <x v="1"/>
    <x v="0"/>
    <s v="6507200"/>
    <n v="749530"/>
    <s v="Mileage"/>
    <s v="HMG BO &amp; Admin"/>
    <x v="0"/>
    <n v="1001"/>
    <n v="0"/>
    <n v="0"/>
    <n v="0"/>
    <n v="25.07"/>
    <n v="0"/>
    <n v="0"/>
    <n v="0"/>
    <n v="0"/>
    <n v="0"/>
    <n v="0"/>
    <n v="0"/>
    <n v="0"/>
    <n v="25.07"/>
    <n v="0"/>
  </r>
  <r>
    <x v="14"/>
    <x v="1"/>
    <x v="0"/>
    <s v="6520200"/>
    <n v="600050"/>
    <s v="Miscellaneous Revenue"/>
    <s v="Revenue Integrity"/>
    <x v="0"/>
    <m/>
    <n v="-4525.62"/>
    <n v="4525.62"/>
    <n v="0"/>
    <n v="0"/>
    <n v="0"/>
    <n v="0"/>
    <n v="0"/>
    <n v="0"/>
    <n v="0"/>
    <n v="0"/>
    <n v="0"/>
    <n v="0"/>
    <n v="0"/>
    <n v="0"/>
  </r>
  <r>
    <x v="5"/>
    <x v="1"/>
    <x v="0"/>
    <s v="6520200"/>
    <n v="700014"/>
    <s v="Salaries-Management-Productive"/>
    <s v="Revenue Integrity"/>
    <x v="0"/>
    <m/>
    <n v="5327.61"/>
    <n v="7040.07"/>
    <n v="-1585.6"/>
    <n v="0"/>
    <n v="0"/>
    <n v="0"/>
    <n v="0"/>
    <n v="0"/>
    <n v="0"/>
    <n v="0"/>
    <n v="0"/>
    <n v="0"/>
    <n v="10782.08"/>
    <n v="0"/>
  </r>
  <r>
    <x v="5"/>
    <x v="1"/>
    <x v="0"/>
    <s v="6520200"/>
    <n v="700038"/>
    <s v="Salaries-Service/Support-Productive"/>
    <s v="Revenue Integrity"/>
    <x v="0"/>
    <m/>
    <n v="24280.61"/>
    <n v="25674.01"/>
    <n v="-5972.76"/>
    <n v="0"/>
    <n v="0"/>
    <n v="1075.2"/>
    <n v="-1075.2"/>
    <n v="0"/>
    <n v="0"/>
    <n v="0"/>
    <n v="0"/>
    <n v="0"/>
    <n v="43981.859999999993"/>
    <n v="0"/>
  </r>
  <r>
    <x v="5"/>
    <x v="1"/>
    <x v="0"/>
    <s v="6520200"/>
    <n v="700038"/>
    <s v="Salaries-Service/Support-OT"/>
    <s v="Revenue Integrity"/>
    <x v="0"/>
    <n v="1000"/>
    <n v="0"/>
    <n v="0"/>
    <n v="0"/>
    <n v="0"/>
    <n v="0"/>
    <n v="0"/>
    <n v="0"/>
    <n v="0"/>
    <n v="0"/>
    <n v="0"/>
    <n v="0"/>
    <n v="919.45"/>
    <n v="919.45"/>
    <n v="-919.45"/>
  </r>
  <r>
    <x v="5"/>
    <x v="1"/>
    <x v="0"/>
    <s v="6520200"/>
    <n v="700038"/>
    <s v="Salaries-Service/Support-Other"/>
    <s v="Revenue Integrity"/>
    <x v="0"/>
    <n v="2000"/>
    <n v="220"/>
    <n v="230"/>
    <n v="-50"/>
    <n v="0"/>
    <n v="0"/>
    <n v="0"/>
    <n v="0"/>
    <n v="0"/>
    <n v="0"/>
    <n v="0"/>
    <n v="0"/>
    <n v="29.29"/>
    <n v="429.29"/>
    <n v="-29.29"/>
  </r>
  <r>
    <x v="5"/>
    <x v="1"/>
    <x v="0"/>
    <s v="6520200"/>
    <n v="700054"/>
    <s v="Salaries-Management-Non-productive"/>
    <s v="Revenue Integrity"/>
    <x v="0"/>
    <m/>
    <n v="1649.02"/>
    <n v="253.7"/>
    <n v="0"/>
    <n v="0"/>
    <n v="0"/>
    <n v="0"/>
    <n v="0"/>
    <n v="0"/>
    <n v="0"/>
    <n v="0"/>
    <n v="0"/>
    <n v="0"/>
    <n v="1902.72"/>
    <n v="0"/>
  </r>
  <r>
    <x v="5"/>
    <x v="1"/>
    <x v="0"/>
    <s v="6520200"/>
    <n v="700078"/>
    <s v="Salaries-Service/Support-Non-productive"/>
    <s v="Revenue Integrity"/>
    <x v="0"/>
    <m/>
    <n v="3533.27"/>
    <n v="3398.77"/>
    <n v="-345.31"/>
    <n v="0"/>
    <n v="0"/>
    <n v="268.8"/>
    <n v="-268.8"/>
    <n v="0"/>
    <n v="0"/>
    <n v="0"/>
    <n v="0"/>
    <n v="0"/>
    <n v="6586.73"/>
    <n v="0"/>
  </r>
  <r>
    <x v="5"/>
    <x v="1"/>
    <x v="0"/>
    <s v="6520200"/>
    <n v="700084"/>
    <s v="Accrued PTO"/>
    <s v="Revenue Integrity"/>
    <x v="0"/>
    <m/>
    <n v="-663.27"/>
    <n v="319.91000000000003"/>
    <n v="-23767.18"/>
    <n v="0"/>
    <n v="0"/>
    <n v="0"/>
    <n v="0"/>
    <n v="0"/>
    <n v="0"/>
    <n v="0"/>
    <n v="0"/>
    <n v="0"/>
    <n v="-24110.54"/>
    <n v="0"/>
  </r>
  <r>
    <x v="6"/>
    <x v="1"/>
    <x v="0"/>
    <s v="6520200"/>
    <n v="713010"/>
    <s v="Benefits-FICA/Medicare"/>
    <s v="Revenue Integrity"/>
    <x v="0"/>
    <m/>
    <n v="2540.7199999999998"/>
    <n v="-2540.7199999999998"/>
    <n v="-576.91"/>
    <n v="0"/>
    <n v="0"/>
    <n v="102.57"/>
    <n v="474.34"/>
    <n v="0"/>
    <n v="0"/>
    <n v="0"/>
    <n v="0"/>
    <n v="70.400000000000006"/>
    <n v="70.400000000000006"/>
    <n v="-70.400000000000006"/>
  </r>
  <r>
    <x v="6"/>
    <x v="1"/>
    <x v="0"/>
    <s v="6520200"/>
    <n v="713090"/>
    <s v="Benefits-Allocated Amounts"/>
    <s v="Revenue Integrity"/>
    <x v="0"/>
    <m/>
    <n v="8712.91"/>
    <n v="8009.67"/>
    <n v="-989.85"/>
    <n v="102.5"/>
    <n v="122.49"/>
    <n v="-664.83"/>
    <n v="-9.86"/>
    <n v="374.07"/>
    <n v="15.7"/>
    <n v="281.7"/>
    <n v="-73.03"/>
    <n v="-137.85"/>
    <n v="15743.62"/>
    <n v="64.819999999999993"/>
  </r>
  <r>
    <x v="7"/>
    <x v="1"/>
    <x v="0"/>
    <s v="6520200"/>
    <n v="718050"/>
    <s v="Contract Svcs-Other"/>
    <s v="Revenue Integrity"/>
    <x v="0"/>
    <m/>
    <n v="0"/>
    <n v="0"/>
    <n v="31.13"/>
    <n v="0"/>
    <n v="0"/>
    <n v="0"/>
    <n v="-31.13"/>
    <n v="0"/>
    <n v="0"/>
    <n v="0"/>
    <n v="0"/>
    <n v="0"/>
    <n v="0"/>
    <n v="0"/>
  </r>
  <r>
    <x v="11"/>
    <x v="1"/>
    <x v="0"/>
    <s v="6520200"/>
    <n v="721830"/>
    <s v="Supplies-Office"/>
    <s v="Revenue Integrity"/>
    <x v="0"/>
    <m/>
    <n v="10.95"/>
    <n v="-10.95"/>
    <n v="324.01"/>
    <n v="0"/>
    <n v="26.31"/>
    <n v="26.31"/>
    <n v="-376.63"/>
    <n v="0"/>
    <n v="0"/>
    <n v="0"/>
    <n v="0"/>
    <n v="0"/>
    <n v="0"/>
    <n v="0"/>
  </r>
  <r>
    <x v="12"/>
    <x v="1"/>
    <x v="0"/>
    <s v="6520200"/>
    <n v="730010"/>
    <s v="Rental and Leases-Building (DO NOT USE)"/>
    <s v="Revenue Integrity"/>
    <x v="0"/>
    <m/>
    <n v="926.1"/>
    <n v="-926.1"/>
    <n v="926.1"/>
    <n v="926.1"/>
    <n v="926.1"/>
    <n v="-1067.44"/>
    <n v="-1710.86"/>
    <n v="0"/>
    <n v="0"/>
    <n v="0"/>
    <n v="0"/>
    <n v="0"/>
    <n v="2.2737367544323206E-13"/>
    <n v="0"/>
  </r>
  <r>
    <x v="12"/>
    <x v="1"/>
    <x v="0"/>
    <s v="6520200"/>
    <n v="730010"/>
    <s v="Rental-Common Area Maint (DO NOT USE)"/>
    <s v="Revenue Integrity"/>
    <x v="0"/>
    <n v="2200"/>
    <n v="0"/>
    <n v="0"/>
    <n v="0"/>
    <n v="0"/>
    <n v="0"/>
    <n v="1997.33"/>
    <n v="-1997.33"/>
    <n v="0"/>
    <n v="0"/>
    <n v="0"/>
    <n v="0"/>
    <n v="0"/>
    <n v="0"/>
    <n v="0"/>
  </r>
  <r>
    <x v="12"/>
    <x v="1"/>
    <x v="0"/>
    <s v="6520200"/>
    <n v="730020"/>
    <s v="Rental and Leases-Copier Usage Fees (DO NOT USE)"/>
    <s v="Revenue Integrity"/>
    <x v="0"/>
    <n v="5100"/>
    <n v="85.59"/>
    <n v="141.80000000000001"/>
    <n v="113.69"/>
    <n v="113.69"/>
    <n v="113.69"/>
    <n v="113.69"/>
    <n v="-682.15"/>
    <n v="0"/>
    <n v="0"/>
    <n v="0"/>
    <n v="0"/>
    <n v="0"/>
    <n v="1.1368683772161603E-13"/>
    <n v="0"/>
  </r>
  <r>
    <x v="16"/>
    <x v="1"/>
    <x v="0"/>
    <s v="6520200"/>
    <n v="732030"/>
    <s v="Repairs&amp;Maintenance-Bldg Routine"/>
    <s v="Revenue Integrity"/>
    <x v="0"/>
    <n v="2300"/>
    <n v="3.26"/>
    <n v="-3.26"/>
    <n v="0"/>
    <n v="0"/>
    <n v="2.92"/>
    <n v="269.26"/>
    <n v="-272.18"/>
    <n v="0"/>
    <n v="0"/>
    <n v="0"/>
    <n v="0"/>
    <n v="0"/>
    <n v="0"/>
    <n v="0"/>
  </r>
  <r>
    <x v="7"/>
    <x v="9"/>
    <x v="0"/>
    <s v="6520501"/>
    <n v="718060"/>
    <s v="Contract Services-CHI RRC Fees"/>
    <s v="Chargemaster"/>
    <x v="0"/>
    <m/>
    <n v="66899"/>
    <n v="66899"/>
    <n v="66899"/>
    <n v="66899"/>
    <n v="66899"/>
    <n v="66899"/>
    <n v="66899"/>
    <n v="66899"/>
    <n v="66899"/>
    <n v="66899"/>
    <n v="66899"/>
    <n v="66899"/>
    <n v="802788"/>
    <n v="0"/>
  </r>
  <r>
    <x v="11"/>
    <x v="9"/>
    <x v="0"/>
    <s v="6520501"/>
    <n v="721830"/>
    <s v="Supplies-Office"/>
    <s v="Chargemaster"/>
    <x v="0"/>
    <m/>
    <n v="0"/>
    <n v="0"/>
    <n v="134.49"/>
    <n v="0"/>
    <n v="0"/>
    <n v="55.29"/>
    <n v="0"/>
    <n v="136.34"/>
    <n v="30.3"/>
    <n v="2.93"/>
    <n v="0"/>
    <n v="0"/>
    <n v="359.35"/>
    <n v="0"/>
  </r>
  <r>
    <x v="11"/>
    <x v="9"/>
    <x v="0"/>
    <s v="6520501"/>
    <n v="721910"/>
    <s v="Supplies-Small Equipment"/>
    <s v="Chargemaster"/>
    <x v="0"/>
    <m/>
    <n v="0"/>
    <n v="0"/>
    <n v="0"/>
    <n v="79.62"/>
    <n v="0"/>
    <n v="0"/>
    <n v="0"/>
    <n v="0"/>
    <n v="0"/>
    <n v="0"/>
    <n v="0"/>
    <n v="0"/>
    <n v="79.62"/>
    <n v="0"/>
  </r>
  <r>
    <x v="11"/>
    <x v="9"/>
    <x v="0"/>
    <s v="6520501"/>
    <n v="722000"/>
    <s v="Supplies-Freight Expense"/>
    <s v="Chargemaster"/>
    <x v="0"/>
    <m/>
    <n v="0"/>
    <n v="0"/>
    <n v="0"/>
    <n v="0"/>
    <n v="0"/>
    <n v="0"/>
    <n v="0"/>
    <n v="134.81"/>
    <n v="9.19"/>
    <n v="0"/>
    <n v="0"/>
    <n v="0"/>
    <n v="144"/>
    <n v="0"/>
  </r>
  <r>
    <x v="12"/>
    <x v="9"/>
    <x v="0"/>
    <s v="6520501"/>
    <n v="730020"/>
    <s v="Rental and Leases-Copier Usage Fees (DO NOT USE)"/>
    <s v="Chargemaster"/>
    <x v="0"/>
    <n v="5100"/>
    <n v="93.32"/>
    <n v="96.36"/>
    <n v="94.84"/>
    <n v="94.84"/>
    <n v="94.84"/>
    <n v="94.84"/>
    <n v="127.61"/>
    <n v="97.63"/>
    <n v="97.42"/>
    <n v="146.66"/>
    <n v="97.63"/>
    <n v="118.29"/>
    <n v="1254.2800000000002"/>
    <n v="-20.660000000000011"/>
  </r>
  <r>
    <x v="16"/>
    <x v="9"/>
    <x v="0"/>
    <s v="6520501"/>
    <n v="732030"/>
    <s v="Repairs---Other"/>
    <s v="Chargemaster"/>
    <x v="0"/>
    <m/>
    <n v="0"/>
    <n v="0"/>
    <n v="0"/>
    <n v="0"/>
    <n v="0"/>
    <n v="0"/>
    <n v="27.42"/>
    <n v="0"/>
    <n v="0"/>
    <n v="0"/>
    <n v="0"/>
    <n v="0"/>
    <n v="27.42"/>
    <n v="0"/>
  </r>
  <r>
    <x v="13"/>
    <x v="9"/>
    <x v="0"/>
    <s v="6520501"/>
    <n v="735070"/>
    <s v="Depreciation-Movable Equipment"/>
    <s v="Chargemaster"/>
    <x v="0"/>
    <m/>
    <n v="332.19"/>
    <n v="332.18"/>
    <n v="332.2"/>
    <n v="332.16"/>
    <n v="332.21"/>
    <n v="332.14"/>
    <n v="332.22"/>
    <n v="332.13"/>
    <n v="332.22"/>
    <n v="332.12"/>
    <n v="332.22"/>
    <n v="332.1"/>
    <n v="3986.0900000000006"/>
    <n v="0.12000000000000455"/>
  </r>
  <r>
    <x v="11"/>
    <x v="1"/>
    <x v="0"/>
    <s v="6521200"/>
    <n v="721830"/>
    <s v="Supplies-Office"/>
    <s v="Chargemaster"/>
    <x v="0"/>
    <m/>
    <n v="49.64"/>
    <n v="0"/>
    <n v="0"/>
    <n v="137.26"/>
    <n v="0"/>
    <n v="0"/>
    <n v="17.510000000000002"/>
    <n v="-204.41"/>
    <n v="0"/>
    <n v="0"/>
    <n v="0"/>
    <n v="0"/>
    <n v="-2.8421709430404007E-14"/>
    <n v="0"/>
  </r>
  <r>
    <x v="5"/>
    <x v="1"/>
    <x v="0"/>
    <s v="6620200"/>
    <n v="700014"/>
    <s v="Salaries-Management-Productive"/>
    <s v="Finance &amp; BI"/>
    <x v="0"/>
    <m/>
    <n v="15884.16"/>
    <n v="16430.400000000001"/>
    <n v="2485.92"/>
    <n v="15536.25"/>
    <n v="18412.71"/>
    <n v="12727.81"/>
    <n v="17379.63"/>
    <n v="43523.89"/>
    <n v="36526.730000000003"/>
    <n v="36475.440000000002"/>
    <n v="40024.76"/>
    <n v="29598.03"/>
    <n v="285005.73000000004"/>
    <n v="10426.730000000003"/>
  </r>
  <r>
    <x v="5"/>
    <x v="1"/>
    <x v="0"/>
    <s v="6620200"/>
    <n v="700014"/>
    <s v="Salaries-Management-Other"/>
    <s v="Finance &amp; BI"/>
    <x v="0"/>
    <n v="2000"/>
    <n v="0"/>
    <n v="0"/>
    <n v="0"/>
    <n v="0"/>
    <n v="0"/>
    <n v="0"/>
    <n v="0"/>
    <n v="30.04"/>
    <n v="0"/>
    <n v="0"/>
    <n v="0"/>
    <n v="30.04"/>
    <n v="60.08"/>
    <n v="-30.04"/>
  </r>
  <r>
    <x v="5"/>
    <x v="1"/>
    <x v="0"/>
    <s v="6620200"/>
    <n v="700034"/>
    <s v="Salaries-Tech/Professional-Productive"/>
    <s v="Finance &amp; BI"/>
    <x v="0"/>
    <m/>
    <n v="34061.300000000003"/>
    <n v="33980.660000000003"/>
    <n v="33114.36"/>
    <n v="42413.2"/>
    <n v="30901.759999999998"/>
    <n v="24248.84"/>
    <n v="29565.96"/>
    <n v="26793.56"/>
    <n v="29304.86"/>
    <n v="28880.79"/>
    <n v="30732.15"/>
    <n v="23451.38"/>
    <n v="367448.82"/>
    <n v="7280.77"/>
  </r>
  <r>
    <x v="5"/>
    <x v="1"/>
    <x v="0"/>
    <s v="6620200"/>
    <n v="700054"/>
    <s v="Salaries-Management-Non-productive"/>
    <s v="Finance &amp; BI"/>
    <x v="0"/>
    <m/>
    <n v="2325.9"/>
    <n v="2735.04"/>
    <n v="13862.22"/>
    <n v="-804.89"/>
    <n v="1694.6"/>
    <n v="5172.97"/>
    <n v="2502.52"/>
    <n v="2074.5"/>
    <n v="1847.31"/>
    <n v="3725.88"/>
    <n v="1528.82"/>
    <n v="6113.42"/>
    <n v="42778.29"/>
    <n v="-4584.6000000000004"/>
  </r>
  <r>
    <x v="5"/>
    <x v="1"/>
    <x v="0"/>
    <s v="6620200"/>
    <n v="700054"/>
    <s v="Salaries-Management-NonProd-Other"/>
    <s v="Finance &amp; BI"/>
    <x v="0"/>
    <n v="2000"/>
    <n v="0"/>
    <n v="0"/>
    <n v="0"/>
    <n v="0"/>
    <n v="0"/>
    <n v="1610.01"/>
    <n v="-1610.01"/>
    <n v="0"/>
    <n v="0"/>
    <n v="0"/>
    <n v="0"/>
    <n v="0"/>
    <n v="0"/>
    <n v="0"/>
  </r>
  <r>
    <x v="5"/>
    <x v="1"/>
    <x v="0"/>
    <s v="6620200"/>
    <n v="700074"/>
    <s v="Salaries-Tech/Professional-Non-productive"/>
    <s v="Finance &amp; BI"/>
    <x v="0"/>
    <m/>
    <n v="3363.4"/>
    <n v="8492.9599999999991"/>
    <n v="4292.04"/>
    <n v="1291.04"/>
    <n v="2562.4"/>
    <n v="14816.13"/>
    <n v="7616.6"/>
    <n v="1932.98"/>
    <n v="-137.59"/>
    <n v="1863.9"/>
    <n v="1410.09"/>
    <n v="3390.58"/>
    <n v="50894.530000000006"/>
    <n v="-1980.49"/>
  </r>
  <r>
    <x v="5"/>
    <x v="1"/>
    <x v="0"/>
    <s v="6620200"/>
    <n v="700084"/>
    <s v="Accrued PTO"/>
    <s v="Finance &amp; BI"/>
    <x v="0"/>
    <m/>
    <n v="3159.67"/>
    <n v="-1221"/>
    <n v="-4322.84"/>
    <n v="4748.92"/>
    <n v="5687.83"/>
    <n v="-6586.79"/>
    <n v="584.76"/>
    <n v="467.3"/>
    <n v="2982.13"/>
    <n v="3617.4"/>
    <n v="875.55"/>
    <n v="-1787.45"/>
    <n v="8205.48"/>
    <n v="2663"/>
  </r>
  <r>
    <x v="10"/>
    <x v="1"/>
    <x v="0"/>
    <s v="6620200"/>
    <n v="710060"/>
    <s v="Contract Labor-Other"/>
    <s v="Finance &amp; BI"/>
    <x v="0"/>
    <m/>
    <n v="0"/>
    <n v="0"/>
    <n v="0"/>
    <n v="202293.75"/>
    <n v="36281.25"/>
    <n v="36900"/>
    <n v="38068"/>
    <n v="40171.5"/>
    <n v="18725"/>
    <n v="18832"/>
    <n v="18832"/>
    <n v="17120"/>
    <n v="427223.5"/>
    <n v="1712"/>
  </r>
  <r>
    <x v="6"/>
    <x v="1"/>
    <x v="0"/>
    <s v="6620200"/>
    <n v="713010"/>
    <s v="Benefits-FICA/Medicare"/>
    <s v="Finance &amp; BI"/>
    <x v="0"/>
    <m/>
    <n v="4809.6000000000004"/>
    <n v="4527.3999999999996"/>
    <n v="3948.7"/>
    <n v="4282.3100000000004"/>
    <n v="4112.97"/>
    <n v="4342.6400000000003"/>
    <n v="4606.8599999999997"/>
    <n v="5579.68"/>
    <n v="5090.93"/>
    <n v="5265.21"/>
    <n v="5482.4"/>
    <n v="4652.5"/>
    <n v="56701.200000000004"/>
    <n v="829.89999999999964"/>
  </r>
  <r>
    <x v="6"/>
    <x v="1"/>
    <x v="0"/>
    <s v="6620200"/>
    <n v="713090"/>
    <s v="Benefits-Allocated Amounts"/>
    <s v="Finance &amp; BI"/>
    <x v="0"/>
    <m/>
    <n v="9226.01"/>
    <n v="8910.32"/>
    <n v="9216.61"/>
    <n v="9251.3700000000008"/>
    <n v="8710.26"/>
    <n v="9313.2999999999993"/>
    <n v="10380.35"/>
    <n v="10744.69"/>
    <n v="10275.91"/>
    <n v="10283.48"/>
    <n v="9973.35"/>
    <n v="9386.92"/>
    <n v="115672.57"/>
    <n v="586.43000000000029"/>
  </r>
  <r>
    <x v="6"/>
    <x v="1"/>
    <x v="0"/>
    <s v="6620200"/>
    <n v="713096"/>
    <s v="Benefits-Other"/>
    <s v="Finance &amp; BI"/>
    <x v="0"/>
    <m/>
    <n v="0"/>
    <n v="0"/>
    <n v="0"/>
    <n v="0"/>
    <n v="0"/>
    <n v="0"/>
    <n v="0"/>
    <n v="0"/>
    <n v="0"/>
    <n v="231.04"/>
    <n v="0"/>
    <n v="0"/>
    <n v="231.04"/>
    <n v="0"/>
  </r>
  <r>
    <x v="21"/>
    <x v="1"/>
    <x v="0"/>
    <s v="6620200"/>
    <n v="716046"/>
    <s v="Consulting-Other"/>
    <s v="Finance &amp; BI"/>
    <x v="0"/>
    <m/>
    <n v="0"/>
    <n v="0"/>
    <n v="0"/>
    <n v="0"/>
    <n v="0"/>
    <n v="51999.17"/>
    <n v="50330.559999999998"/>
    <n v="26826.95"/>
    <n v="0"/>
    <n v="0"/>
    <n v="2192.85"/>
    <n v="9878.4"/>
    <n v="141227.93"/>
    <n v="-7685.5499999999993"/>
  </r>
  <r>
    <x v="7"/>
    <x v="1"/>
    <x v="0"/>
    <s v="6620200"/>
    <n v="718050"/>
    <s v="Contract Svcs-Other"/>
    <s v="Finance &amp; BI"/>
    <x v="0"/>
    <m/>
    <n v="0"/>
    <n v="275"/>
    <n v="206.44"/>
    <n v="0"/>
    <n v="0"/>
    <n v="0"/>
    <n v="35"/>
    <n v="0"/>
    <n v="0"/>
    <n v="0"/>
    <n v="0"/>
    <n v="0"/>
    <n v="516.44000000000005"/>
    <n v="0"/>
  </r>
  <r>
    <x v="7"/>
    <x v="1"/>
    <x v="0"/>
    <s v="6620200"/>
    <n v="718050"/>
    <s v="Document Shredding/Storage"/>
    <s v="Finance &amp; BI"/>
    <x v="0"/>
    <n v="1012"/>
    <n v="15.57"/>
    <n v="27.31"/>
    <n v="18.5"/>
    <n v="18.989999999999998"/>
    <n v="19.62"/>
    <n v="19.62"/>
    <n v="19.420000000000002"/>
    <n v="16.670000000000002"/>
    <n v="17.27"/>
    <n v="22.6"/>
    <n v="18.989999999999998"/>
    <n v="19.62"/>
    <n v="234.18"/>
    <n v="-0.63000000000000256"/>
  </r>
  <r>
    <x v="7"/>
    <x v="1"/>
    <x v="0"/>
    <s v="6620200"/>
    <n v="718050"/>
    <s v="Miscellaneous Purchased Svcs"/>
    <s v="Finance &amp; BI"/>
    <x v="0"/>
    <n v="1020"/>
    <n v="69743.59"/>
    <n v="67874.61"/>
    <n v="58689.73"/>
    <n v="-196307.93"/>
    <n v="0"/>
    <n v="0"/>
    <n v="0"/>
    <n v="0"/>
    <n v="0"/>
    <n v="0"/>
    <n v="0"/>
    <n v="0"/>
    <n v="2.9103830456733704E-11"/>
    <n v="0"/>
  </r>
  <r>
    <x v="11"/>
    <x v="1"/>
    <x v="0"/>
    <s v="6620200"/>
    <n v="721830"/>
    <s v="Supplies-Office"/>
    <s v="Finance &amp; BI"/>
    <x v="0"/>
    <m/>
    <n v="29.72"/>
    <n v="59.92"/>
    <n v="0"/>
    <n v="0"/>
    <n v="105.83"/>
    <n v="35.479999999999997"/>
    <n v="0"/>
    <n v="49.74"/>
    <n v="0"/>
    <n v="0"/>
    <n v="100.38"/>
    <n v="11.8"/>
    <n v="392.87"/>
    <n v="88.58"/>
  </r>
  <r>
    <x v="11"/>
    <x v="1"/>
    <x v="0"/>
    <s v="6620200"/>
    <n v="721835"/>
    <s v="Supplies-Forms"/>
    <s v="Finance &amp; BI"/>
    <x v="0"/>
    <m/>
    <n v="0"/>
    <n v="115.16"/>
    <n v="0"/>
    <n v="0"/>
    <n v="0"/>
    <n v="0"/>
    <n v="0"/>
    <n v="0"/>
    <n v="0"/>
    <n v="0"/>
    <n v="0"/>
    <n v="0"/>
    <n v="115.16"/>
    <n v="0"/>
  </r>
  <r>
    <x v="11"/>
    <x v="1"/>
    <x v="0"/>
    <s v="6620200"/>
    <n v="721910"/>
    <s v="Supplies-Small Equipment"/>
    <s v="Finance &amp; BI"/>
    <x v="0"/>
    <m/>
    <n v="330.21"/>
    <n v="33.35"/>
    <n v="0"/>
    <n v="0"/>
    <n v="0"/>
    <n v="2789.45"/>
    <n v="754.17"/>
    <n v="47.72"/>
    <n v="0"/>
    <n v="0"/>
    <n v="0"/>
    <n v="0"/>
    <n v="3954.8999999999996"/>
    <n v="0"/>
  </r>
  <r>
    <x v="0"/>
    <x v="1"/>
    <x v="0"/>
    <s v="6620200"/>
    <n v="740020"/>
    <s v="Education-Registration Fees"/>
    <s v="Finance &amp; BI"/>
    <x v="0"/>
    <m/>
    <n v="0"/>
    <n v="0"/>
    <n v="0"/>
    <n v="0"/>
    <n v="0"/>
    <n v="2645"/>
    <n v="0"/>
    <n v="1800"/>
    <n v="1400"/>
    <n v="0"/>
    <n v="879"/>
    <n v="0"/>
    <n v="6724"/>
    <n v="879"/>
  </r>
  <r>
    <x v="0"/>
    <x v="1"/>
    <x v="0"/>
    <s v="6620200"/>
    <n v="749510"/>
    <s v="Miscellaneous Expenses"/>
    <s v="Finance &amp; BI"/>
    <x v="0"/>
    <m/>
    <n v="-5102.92"/>
    <n v="1188.3900000000001"/>
    <n v="-844.24"/>
    <n v="0"/>
    <n v="2645"/>
    <n v="-2645"/>
    <n v="0"/>
    <n v="621.28"/>
    <n v="-621.28"/>
    <n v="0"/>
    <n v="150.1"/>
    <n v="2854.39"/>
    <n v="-1754.2799999999993"/>
    <n v="-2704.29"/>
  </r>
  <r>
    <x v="0"/>
    <x v="1"/>
    <x v="0"/>
    <s v="6620200"/>
    <n v="749510"/>
    <s v="RICE Rewards"/>
    <s v="Finance &amp; BI"/>
    <x v="0"/>
    <n v="5100"/>
    <n v="0"/>
    <n v="0"/>
    <n v="0"/>
    <n v="0"/>
    <n v="0"/>
    <n v="140.27000000000001"/>
    <n v="0"/>
    <n v="0"/>
    <n v="188.26"/>
    <n v="0"/>
    <n v="0"/>
    <n v="150.1"/>
    <n v="478.63"/>
    <n v="-150.1"/>
  </r>
  <r>
    <x v="0"/>
    <x v="1"/>
    <x v="0"/>
    <s v="6620200"/>
    <n v="749530"/>
    <s v="Travel"/>
    <s v="Finance &amp; BI"/>
    <x v="0"/>
    <m/>
    <n v="4250.16"/>
    <n v="0"/>
    <n v="966.06"/>
    <n v="48632.95"/>
    <n v="10509.12"/>
    <n v="11269.73"/>
    <n v="15471.89"/>
    <n v="17911.669999999998"/>
    <n v="11075.37"/>
    <n v="-6995.45"/>
    <n v="-10096.58"/>
    <n v="-258.76"/>
    <n v="102736.16"/>
    <n v="-9837.82"/>
  </r>
  <r>
    <x v="0"/>
    <x v="1"/>
    <x v="0"/>
    <s v="6620200"/>
    <n v="749530"/>
    <s v="Mileage"/>
    <s v="Finance &amp; BI"/>
    <x v="0"/>
    <n v="1001"/>
    <n v="0"/>
    <n v="0"/>
    <n v="29.44"/>
    <n v="0"/>
    <n v="0"/>
    <n v="0"/>
    <n v="0"/>
    <n v="0"/>
    <n v="69.02"/>
    <n v="0"/>
    <n v="0"/>
    <n v="0"/>
    <n v="98.46"/>
    <n v="0"/>
  </r>
  <r>
    <x v="0"/>
    <x v="1"/>
    <x v="0"/>
    <s v="6620200"/>
    <n v="749535"/>
    <s v="Meetings"/>
    <s v="Finance &amp; BI"/>
    <x v="0"/>
    <m/>
    <n v="341.55"/>
    <n v="0"/>
    <n v="0"/>
    <n v="0"/>
    <n v="0"/>
    <n v="0"/>
    <n v="66"/>
    <n v="101.73"/>
    <n v="7133.77"/>
    <n v="6271"/>
    <n v="17228.810000000001"/>
    <n v="3235.72"/>
    <n v="34378.58"/>
    <n v="13993.090000000002"/>
  </r>
  <r>
    <x v="0"/>
    <x v="1"/>
    <x v="0"/>
    <s v="6620200"/>
    <n v="749535"/>
    <s v="Medicare Non-Allowable Beverages"/>
    <s v="Finance &amp; BI"/>
    <x v="0"/>
    <n v="1005"/>
    <n v="20.22"/>
    <n v="0"/>
    <n v="0"/>
    <n v="0"/>
    <n v="0"/>
    <n v="0"/>
    <n v="0"/>
    <n v="0"/>
    <n v="0"/>
    <n v="0"/>
    <n v="0"/>
    <n v="0"/>
    <n v="20.22"/>
    <n v="0"/>
  </r>
  <r>
    <x v="14"/>
    <x v="9"/>
    <x v="0"/>
    <s v="6620501"/>
    <n v="600050"/>
    <s v="Miscellaneous Revenue"/>
    <s v="Financial Services"/>
    <x v="0"/>
    <m/>
    <n v="-100"/>
    <n v="-100"/>
    <n v="-100"/>
    <n v="-100"/>
    <n v="-100"/>
    <n v="-100"/>
    <n v="-100"/>
    <n v="-100"/>
    <n v="-100"/>
    <n v="-100"/>
    <n v="-100"/>
    <n v="-100"/>
    <n v="-1200"/>
    <n v="0"/>
  </r>
  <r>
    <x v="14"/>
    <x v="9"/>
    <x v="0"/>
    <s v="6620501"/>
    <n v="608010"/>
    <s v="Management Fees Interzone-Mercy Health Care,Inc."/>
    <s v="Financial Services"/>
    <x v="0"/>
    <n v="4400"/>
    <n v="-24000"/>
    <n v="-23200"/>
    <n v="-23200"/>
    <n v="-23200"/>
    <n v="-23200"/>
    <n v="-23200"/>
    <n v="-23200"/>
    <n v="-23200"/>
    <n v="-23200"/>
    <n v="-23200"/>
    <n v="-23200"/>
    <n v="-24000"/>
    <n v="-280000"/>
    <n v="800"/>
  </r>
  <r>
    <x v="14"/>
    <x v="9"/>
    <x v="0"/>
    <s v="6620501"/>
    <n v="608010"/>
    <s v="Management Fees Interzone-St Anthony Hosp"/>
    <s v="Financial Services"/>
    <x v="0"/>
    <n v="4600"/>
    <n v="-8200"/>
    <n v="-8200"/>
    <n v="-8200"/>
    <n v="-8200"/>
    <n v="-8200"/>
    <n v="-8200"/>
    <n v="-8200"/>
    <n v="-8200"/>
    <n v="-8200"/>
    <n v="-8200"/>
    <n v="-8200"/>
    <n v="-8200"/>
    <n v="-98400"/>
    <n v="0"/>
  </r>
  <r>
    <x v="5"/>
    <x v="9"/>
    <x v="0"/>
    <s v="6620501"/>
    <n v="700014"/>
    <s v="Salaries-Management-Productive"/>
    <s v="Financial Services"/>
    <x v="0"/>
    <m/>
    <n v="59292.99"/>
    <n v="56608.54"/>
    <n v="48973.14"/>
    <n v="55544.11"/>
    <n v="62954.31"/>
    <n v="40245.410000000003"/>
    <n v="64294.720000000001"/>
    <n v="53537.120000000003"/>
    <n v="66353.399999999994"/>
    <n v="56670.5"/>
    <n v="61484.73"/>
    <n v="56467.03"/>
    <n v="682426"/>
    <n v="5017.7000000000044"/>
  </r>
  <r>
    <x v="5"/>
    <x v="9"/>
    <x v="0"/>
    <s v="6620501"/>
    <n v="700034"/>
    <s v="Salaries-Tech/Professional-Productive"/>
    <s v="Financial Services"/>
    <x v="0"/>
    <m/>
    <n v="155594.01999999999"/>
    <n v="153520.9"/>
    <n v="127876.32"/>
    <n v="165539.43"/>
    <n v="157905.79999999999"/>
    <n v="114091.74"/>
    <n v="157391.94"/>
    <n v="137861.6"/>
    <n v="157119.88"/>
    <n v="154031.31"/>
    <n v="157990.48000000001"/>
    <n v="129671.29"/>
    <n v="1768594.71"/>
    <n v="28319.190000000017"/>
  </r>
  <r>
    <x v="5"/>
    <x v="9"/>
    <x v="0"/>
    <s v="6620501"/>
    <n v="700034"/>
    <s v="Salaries-Tech/Professional-OT"/>
    <s v="Financial Services"/>
    <x v="0"/>
    <n v="1000"/>
    <n v="10.34"/>
    <n v="-1.82"/>
    <n v="26.77"/>
    <n v="-1.21"/>
    <n v="8.7799999999999994"/>
    <n v="19.25"/>
    <n v="0"/>
    <n v="0"/>
    <n v="27.63"/>
    <n v="5.0199999999999996"/>
    <n v="-6.27"/>
    <n v="247.77"/>
    <n v="336.26"/>
    <n v="-254.04000000000002"/>
  </r>
  <r>
    <x v="5"/>
    <x v="9"/>
    <x v="0"/>
    <s v="6620501"/>
    <n v="700034"/>
    <s v="Salaries-Tech/Professional-Other"/>
    <s v="Financial Services"/>
    <x v="0"/>
    <n v="2000"/>
    <n v="68.150000000000006"/>
    <n v="54.95"/>
    <n v="42.32"/>
    <n v="-15.38"/>
    <n v="0"/>
    <n v="0"/>
    <n v="0"/>
    <n v="0"/>
    <n v="0"/>
    <n v="0"/>
    <n v="0"/>
    <n v="0"/>
    <n v="150.04000000000002"/>
    <n v="0"/>
  </r>
  <r>
    <x v="5"/>
    <x v="9"/>
    <x v="0"/>
    <s v="6620501"/>
    <n v="700038"/>
    <s v="Salaries-Service/Support-Productive"/>
    <s v="Financial Services"/>
    <x v="0"/>
    <m/>
    <n v="17768.400000000001"/>
    <n v="19780.28"/>
    <n v="17305.93"/>
    <n v="18167.740000000002"/>
    <n v="18872"/>
    <n v="16516.150000000001"/>
    <n v="21378.21"/>
    <n v="16921.060000000001"/>
    <n v="19414.13"/>
    <n v="17549.580000000002"/>
    <n v="20180.04"/>
    <n v="17769.189999999999"/>
    <n v="221622.71"/>
    <n v="2410.8500000000022"/>
  </r>
  <r>
    <x v="5"/>
    <x v="9"/>
    <x v="0"/>
    <s v="6620501"/>
    <n v="700038"/>
    <s v="Salaries-Service/Support-OT"/>
    <s v="Financial Services"/>
    <x v="0"/>
    <n v="1000"/>
    <n v="0"/>
    <n v="10.24"/>
    <n v="0"/>
    <n v="0"/>
    <n v="31.22"/>
    <n v="0"/>
    <n v="120.39"/>
    <n v="-31.67"/>
    <n v="0"/>
    <n v="0"/>
    <n v="0"/>
    <n v="11.26"/>
    <n v="141.44"/>
    <n v="-11.26"/>
  </r>
  <r>
    <x v="5"/>
    <x v="9"/>
    <x v="0"/>
    <s v="6620501"/>
    <n v="700054"/>
    <s v="Salaries-Management-Non-productive"/>
    <s v="Financial Services"/>
    <x v="0"/>
    <m/>
    <n v="4356.24"/>
    <n v="7043.58"/>
    <n v="12626.54"/>
    <n v="9044.98"/>
    <n v="1535.9"/>
    <n v="25906.18"/>
    <n v="1960.19"/>
    <n v="6299.94"/>
    <n v="-104.75"/>
    <n v="7438.99"/>
    <n v="4763.8900000000003"/>
    <n v="7616.11"/>
    <n v="88487.790000000008"/>
    <n v="-2852.2199999999993"/>
  </r>
  <r>
    <x v="5"/>
    <x v="9"/>
    <x v="0"/>
    <s v="6620501"/>
    <n v="700054"/>
    <s v="Salaries-Management-NonProd-Other"/>
    <s v="Financial Services"/>
    <x v="0"/>
    <n v="2000"/>
    <n v="0"/>
    <n v="0"/>
    <n v="0"/>
    <n v="0"/>
    <n v="499.51"/>
    <n v="2649.72"/>
    <n v="-1151.19"/>
    <n v="-1998.04"/>
    <n v="0"/>
    <n v="0"/>
    <n v="0"/>
    <n v="0"/>
    <n v="-4.5474735088646412E-13"/>
    <n v="0"/>
  </r>
  <r>
    <x v="5"/>
    <x v="9"/>
    <x v="0"/>
    <s v="6620501"/>
    <n v="700074"/>
    <s v="Salaries-Tech/Professional-Non-productive"/>
    <s v="Financial Services"/>
    <x v="0"/>
    <m/>
    <n v="15848.36"/>
    <n v="17841.46"/>
    <n v="37359.660000000003"/>
    <n v="9551.23"/>
    <n v="12374.85"/>
    <n v="61870.62"/>
    <n v="18835.2"/>
    <n v="21293.4"/>
    <n v="19088.740000000002"/>
    <n v="16487.400000000001"/>
    <n v="14424.93"/>
    <n v="30599.52"/>
    <n v="275575.37"/>
    <n v="-16174.59"/>
  </r>
  <r>
    <x v="5"/>
    <x v="9"/>
    <x v="0"/>
    <s v="6620501"/>
    <n v="700074"/>
    <s v="Salaries-Tech/Professional-NonProd-Other"/>
    <s v="Financial Service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20501"/>
    <n v="700078"/>
    <s v="Salaries-Service/Support-Non-productive"/>
    <s v="Financial Services"/>
    <x v="0"/>
    <m/>
    <n v="2923.07"/>
    <n v="1267.07"/>
    <n v="2942.59"/>
    <n v="3333.19"/>
    <n v="1771.56"/>
    <n v="5653.89"/>
    <n v="1816.64"/>
    <n v="3347.85"/>
    <n v="1485.21"/>
    <n v="2433.52"/>
    <n v="2441.88"/>
    <n v="1983.21"/>
    <n v="31399.679999999997"/>
    <n v="458.67000000000007"/>
  </r>
  <r>
    <x v="5"/>
    <x v="9"/>
    <x v="0"/>
    <s v="6620501"/>
    <n v="700084"/>
    <s v="Accrued PTO"/>
    <s v="Financial Services"/>
    <x v="0"/>
    <m/>
    <n v="10467.780000000001"/>
    <n v="3054.36"/>
    <n v="-11873.15"/>
    <n v="23297.56"/>
    <n v="11716.8"/>
    <n v="-38481.160000000003"/>
    <n v="4407.04"/>
    <n v="5061.6099999999997"/>
    <n v="11828.29"/>
    <n v="6466.31"/>
    <n v="6872.48"/>
    <n v="-105.96"/>
    <n v="32711.960000000006"/>
    <n v="6978.44"/>
  </r>
  <r>
    <x v="6"/>
    <x v="9"/>
    <x v="0"/>
    <s v="6620501"/>
    <n v="713010"/>
    <s v="Benefits-FICA/Medicare"/>
    <s v="Financial Services"/>
    <x v="0"/>
    <m/>
    <n v="17492.7"/>
    <n v="17511.53"/>
    <n v="16892.45"/>
    <n v="17897.150000000001"/>
    <n v="17430.53"/>
    <n v="18058.2"/>
    <n v="19696.580000000002"/>
    <n v="17646.25"/>
    <n v="19424.310000000001"/>
    <n v="18780.169999999998"/>
    <n v="19480.91"/>
    <n v="16979.86"/>
    <n v="217290.64"/>
    <n v="2501.0499999999993"/>
  </r>
  <r>
    <x v="6"/>
    <x v="9"/>
    <x v="0"/>
    <s v="6620501"/>
    <n v="713090"/>
    <s v="Benefits-Allocated Amounts"/>
    <s v="Financial Services"/>
    <x v="0"/>
    <m/>
    <n v="46883.09"/>
    <n v="42738.720000000001"/>
    <n v="44087.75"/>
    <n v="44513.73"/>
    <n v="41480.660000000003"/>
    <n v="46239.09"/>
    <n v="50049.99"/>
    <n v="47076.38"/>
    <n v="53150.47"/>
    <n v="48942.16"/>
    <n v="49345.81"/>
    <n v="46651.15"/>
    <n v="561159"/>
    <n v="2694.6599999999962"/>
  </r>
  <r>
    <x v="6"/>
    <x v="9"/>
    <x v="0"/>
    <s v="6620501"/>
    <n v="713096"/>
    <s v="Employee Recognition"/>
    <s v="Financial Services"/>
    <x v="0"/>
    <n v="1017"/>
    <n v="0"/>
    <n v="0"/>
    <n v="0"/>
    <n v="0"/>
    <n v="0"/>
    <n v="0"/>
    <n v="0"/>
    <n v="0"/>
    <n v="0"/>
    <n v="56.12"/>
    <n v="0"/>
    <n v="0"/>
    <n v="56.12"/>
    <n v="0"/>
  </r>
  <r>
    <x v="7"/>
    <x v="9"/>
    <x v="0"/>
    <s v="6620501"/>
    <n v="718050"/>
    <s v="Contract Svcs-Other"/>
    <s v="Financial Services"/>
    <x v="0"/>
    <m/>
    <n v="0"/>
    <n v="0"/>
    <n v="0"/>
    <n v="0"/>
    <n v="0"/>
    <n v="0"/>
    <n v="0"/>
    <n v="152.46"/>
    <n v="383.86"/>
    <n v="0"/>
    <n v="0"/>
    <n v="0"/>
    <n v="536.32000000000005"/>
    <n v="0"/>
  </r>
  <r>
    <x v="7"/>
    <x v="9"/>
    <x v="0"/>
    <s v="6620501"/>
    <n v="718050"/>
    <s v="Document Shredding/Storage"/>
    <s v="Financial Services"/>
    <x v="0"/>
    <n v="1012"/>
    <n v="879.8"/>
    <n v="1206.8900000000001"/>
    <n v="775.06"/>
    <n v="903.94"/>
    <n v="894.01"/>
    <n v="920.55"/>
    <n v="911.34"/>
    <n v="781.5"/>
    <n v="809.95"/>
    <n v="1187.1099999999999"/>
    <n v="895.67"/>
    <n v="1409.3"/>
    <n v="11575.119999999999"/>
    <n v="-513.63"/>
  </r>
  <r>
    <x v="7"/>
    <x v="9"/>
    <x v="0"/>
    <s v="6620501"/>
    <n v="718050"/>
    <s v="Miscellaneous Purchased Svcs"/>
    <s v="Financial Services"/>
    <x v="0"/>
    <n v="1020"/>
    <n v="-3175.08"/>
    <n v="-3175.08"/>
    <n v="-3139.22"/>
    <n v="-3165.08"/>
    <n v="-3175.08"/>
    <n v="-3175.08"/>
    <n v="-3175.08"/>
    <n v="-3175.08"/>
    <n v="-3175.08"/>
    <n v="-3175.08"/>
    <n v="-3037.33"/>
    <n v="-3175.08"/>
    <n v="-37917.350000000006"/>
    <n v="137.75"/>
  </r>
  <r>
    <x v="11"/>
    <x v="9"/>
    <x v="0"/>
    <s v="6620501"/>
    <n v="721830"/>
    <s v="Supplies-Office"/>
    <s v="Financial Services"/>
    <x v="0"/>
    <m/>
    <n v="41.95"/>
    <n v="112.52"/>
    <n v="193.71"/>
    <n v="166"/>
    <n v="195.01"/>
    <n v="306.57"/>
    <n v="202.12"/>
    <n v="229.04"/>
    <n v="39.58"/>
    <n v="260.04000000000002"/>
    <n v="316.19"/>
    <n v="125.1"/>
    <n v="2187.83"/>
    <n v="191.09"/>
  </r>
  <r>
    <x v="11"/>
    <x v="9"/>
    <x v="0"/>
    <s v="6620501"/>
    <n v="721835"/>
    <s v="Supplies-Forms"/>
    <s v="Financial Services"/>
    <x v="0"/>
    <m/>
    <n v="0"/>
    <n v="0"/>
    <n v="0"/>
    <n v="0"/>
    <n v="0"/>
    <n v="0"/>
    <n v="0"/>
    <n v="0"/>
    <n v="0"/>
    <n v="0"/>
    <n v="126.37"/>
    <n v="0"/>
    <n v="126.37"/>
    <n v="126.37"/>
  </r>
  <r>
    <x v="11"/>
    <x v="9"/>
    <x v="0"/>
    <s v="6620501"/>
    <n v="721910"/>
    <s v="Supplies-Small Equipment"/>
    <s v="Financial Services"/>
    <x v="0"/>
    <m/>
    <n v="33.049999999999997"/>
    <n v="3.34"/>
    <n v="0"/>
    <n v="0"/>
    <n v="2627.42"/>
    <n v="941.53"/>
    <n v="0"/>
    <n v="0"/>
    <n v="0"/>
    <n v="59.04"/>
    <n v="37.28"/>
    <n v="-0.57999999999999996"/>
    <n v="3701.0800000000004"/>
    <n v="37.86"/>
  </r>
  <r>
    <x v="11"/>
    <x v="9"/>
    <x v="0"/>
    <s v="6620501"/>
    <n v="722000"/>
    <s v="Supplies-Freight Expense"/>
    <s v="Financial Services"/>
    <x v="0"/>
    <m/>
    <n v="16.87"/>
    <n v="16.88"/>
    <n v="16.88"/>
    <n v="25.57"/>
    <n v="49.43"/>
    <n v="25.95"/>
    <n v="37.5"/>
    <n v="36.770000000000003"/>
    <n v="18.02"/>
    <n v="53.05"/>
    <n v="67.27"/>
    <n v="75.459999999999994"/>
    <n v="439.65"/>
    <n v="-8.1899999999999977"/>
  </r>
  <r>
    <x v="12"/>
    <x v="9"/>
    <x v="0"/>
    <s v="6620501"/>
    <n v="730010"/>
    <s v="Rental and Leases-Building (DO NOT USE)"/>
    <s v="Financial Services"/>
    <x v="0"/>
    <m/>
    <n v="0"/>
    <n v="0"/>
    <n v="0"/>
    <n v="0"/>
    <n v="0"/>
    <n v="0"/>
    <n v="0"/>
    <n v="0"/>
    <n v="0"/>
    <n v="0"/>
    <n v="0"/>
    <n v="0"/>
    <n v="0"/>
    <n v="0"/>
  </r>
  <r>
    <x v="12"/>
    <x v="9"/>
    <x v="0"/>
    <s v="6620501"/>
    <n v="730020"/>
    <s v="Rental and Leases-Copier Usage Fees (DO NOT USE)"/>
    <s v="Financial Services"/>
    <x v="0"/>
    <n v="5100"/>
    <n v="1183.56"/>
    <n v="1211.6600000000001"/>
    <n v="1197.6099999999999"/>
    <n v="1197.6099999999999"/>
    <n v="1197.6099999999999"/>
    <n v="1197.6099999999999"/>
    <n v="34.32"/>
    <n v="891.46"/>
    <n v="1162.43"/>
    <n v="2381.0100000000002"/>
    <n v="865.27"/>
    <n v="1165.9000000000001"/>
    <n v="13686.05"/>
    <n v="-300.63000000000011"/>
  </r>
  <r>
    <x v="15"/>
    <x v="9"/>
    <x v="0"/>
    <s v="6620501"/>
    <n v="731065"/>
    <s v="Data Communications"/>
    <s v="Financial Services"/>
    <x v="0"/>
    <m/>
    <n v="0"/>
    <n v="0"/>
    <n v="0"/>
    <n v="0"/>
    <n v="0"/>
    <n v="0"/>
    <n v="14.99"/>
    <n v="0"/>
    <n v="0"/>
    <n v="0"/>
    <n v="0"/>
    <n v="0"/>
    <n v="14.99"/>
    <n v="0"/>
  </r>
  <r>
    <x v="16"/>
    <x v="9"/>
    <x v="0"/>
    <s v="6620501"/>
    <n v="733030"/>
    <s v="Maintenance Contracts-Software"/>
    <s v="Financial Services"/>
    <x v="0"/>
    <n v="1002"/>
    <n v="0"/>
    <n v="0"/>
    <n v="0"/>
    <n v="0"/>
    <n v="0"/>
    <n v="0"/>
    <n v="0"/>
    <n v="6800"/>
    <n v="0"/>
    <n v="0"/>
    <n v="0"/>
    <n v="0"/>
    <n v="6800"/>
    <n v="0"/>
  </r>
  <r>
    <x v="13"/>
    <x v="9"/>
    <x v="0"/>
    <s v="6620501"/>
    <n v="735070"/>
    <s v="Depreciation-Movable Equipment"/>
    <s v="Financial Services"/>
    <x v="0"/>
    <m/>
    <n v="1140.52"/>
    <n v="1140.48"/>
    <n v="1140.53"/>
    <n v="1140.46"/>
    <n v="1140.54"/>
    <n v="1140.46"/>
    <n v="1140.56"/>
    <n v="1140.45"/>
    <n v="1140.56"/>
    <n v="1140.45"/>
    <n v="1140.58"/>
    <n v="1140.42"/>
    <n v="13686.01"/>
    <n v="0.15999999999985448"/>
  </r>
  <r>
    <x v="0"/>
    <x v="9"/>
    <x v="0"/>
    <s v="6620501"/>
    <n v="740020"/>
    <s v="Education-Registration Fees"/>
    <s v="Financial Services"/>
    <x v="0"/>
    <m/>
    <n v="0"/>
    <n v="0"/>
    <n v="0"/>
    <n v="0"/>
    <n v="0"/>
    <n v="0"/>
    <n v="0"/>
    <n v="0"/>
    <n v="0"/>
    <n v="150"/>
    <n v="0"/>
    <n v="0"/>
    <n v="150"/>
    <n v="0"/>
  </r>
  <r>
    <x v="0"/>
    <x v="9"/>
    <x v="0"/>
    <s v="6620501"/>
    <n v="743020"/>
    <s v="Dues--Individual"/>
    <s v="Financial Services"/>
    <x v="0"/>
    <m/>
    <n v="0"/>
    <n v="0"/>
    <n v="0"/>
    <n v="0"/>
    <n v="0"/>
    <n v="0"/>
    <n v="0"/>
    <n v="0"/>
    <n v="0"/>
    <n v="275"/>
    <n v="0"/>
    <n v="1505"/>
    <n v="1780"/>
    <n v="-1505"/>
  </r>
  <r>
    <x v="0"/>
    <x v="9"/>
    <x v="0"/>
    <s v="6620501"/>
    <n v="743030"/>
    <s v="Subscriptions--Institutional"/>
    <s v="Financial Services"/>
    <x v="0"/>
    <m/>
    <n v="0"/>
    <n v="0"/>
    <n v="0"/>
    <n v="0"/>
    <n v="0"/>
    <n v="0"/>
    <n v="0"/>
    <n v="0"/>
    <n v="0"/>
    <n v="295"/>
    <n v="0"/>
    <n v="0"/>
    <n v="295"/>
    <n v="0"/>
  </r>
  <r>
    <x v="0"/>
    <x v="9"/>
    <x v="0"/>
    <s v="6620501"/>
    <n v="749510"/>
    <s v="Miscellaneous Expenses"/>
    <s v="Financial Services"/>
    <x v="0"/>
    <m/>
    <n v="-38592.54"/>
    <n v="-150"/>
    <n v="580"/>
    <n v="320.08999999999997"/>
    <n v="2226.94"/>
    <n v="1433.2"/>
    <n v="-1661.78"/>
    <n v="701.46"/>
    <n v="1902.47"/>
    <n v="-3143.3"/>
    <n v="1804.94"/>
    <n v="-760.61"/>
    <n v="-35339.130000000005"/>
    <n v="2565.5500000000002"/>
  </r>
  <r>
    <x v="0"/>
    <x v="9"/>
    <x v="0"/>
    <s v="6620501"/>
    <n v="749510"/>
    <s v="Licenses"/>
    <s v="Financial Services"/>
    <x v="0"/>
    <n v="1002"/>
    <n v="0"/>
    <n v="0"/>
    <n v="0"/>
    <n v="0"/>
    <n v="0"/>
    <n v="0"/>
    <n v="0"/>
    <n v="0"/>
    <n v="0"/>
    <n v="0"/>
    <n v="0"/>
    <n v="30"/>
    <n v="30"/>
    <n v="-30"/>
  </r>
  <r>
    <x v="0"/>
    <x v="9"/>
    <x v="0"/>
    <s v="6620501"/>
    <n v="749510"/>
    <s v="RICE Rewards"/>
    <s v="Financial Services"/>
    <x v="0"/>
    <n v="5100"/>
    <n v="0"/>
    <n v="0"/>
    <n v="0"/>
    <n v="664.32"/>
    <n v="0"/>
    <n v="0"/>
    <n v="0"/>
    <n v="0"/>
    <n v="56.16"/>
    <n v="875.36"/>
    <n v="0"/>
    <n v="314.16000000000003"/>
    <n v="1910.0000000000002"/>
    <n v="-314.16000000000003"/>
  </r>
  <r>
    <x v="0"/>
    <x v="9"/>
    <x v="0"/>
    <s v="6620501"/>
    <n v="749530"/>
    <s v="Travel"/>
    <s v="Financial Services"/>
    <x v="0"/>
    <m/>
    <n v="0"/>
    <n v="0"/>
    <n v="12"/>
    <n v="0"/>
    <n v="0"/>
    <n v="0"/>
    <n v="2793.36"/>
    <n v="0"/>
    <n v="981.56"/>
    <n v="715.53"/>
    <n v="0"/>
    <n v="1591.62"/>
    <n v="6094.07"/>
    <n v="-1591.62"/>
  </r>
  <r>
    <x v="0"/>
    <x v="9"/>
    <x v="0"/>
    <s v="6620501"/>
    <n v="749530"/>
    <s v="Mileage"/>
    <s v="Financial Services"/>
    <x v="0"/>
    <n v="1001"/>
    <n v="0"/>
    <n v="0"/>
    <n v="137.88999999999999"/>
    <n v="0"/>
    <n v="0"/>
    <n v="0"/>
    <n v="59.49"/>
    <n v="0"/>
    <n v="28.42"/>
    <n v="28.42"/>
    <n v="0"/>
    <n v="28.42"/>
    <n v="282.64000000000004"/>
    <n v="-28.42"/>
  </r>
  <r>
    <x v="0"/>
    <x v="9"/>
    <x v="0"/>
    <s v="6620501"/>
    <n v="749550"/>
    <s v="Cash Over/Short"/>
    <s v="Financial Services"/>
    <x v="0"/>
    <m/>
    <n v="0"/>
    <n v="0"/>
    <n v="0"/>
    <n v="180"/>
    <n v="0"/>
    <n v="0"/>
    <n v="0"/>
    <n v="0"/>
    <n v="0"/>
    <n v="0"/>
    <n v="0"/>
    <n v="0"/>
    <n v="180"/>
    <n v="0"/>
  </r>
  <r>
    <x v="5"/>
    <x v="1"/>
    <x v="0"/>
    <s v="6621200"/>
    <n v="700034"/>
    <s v="Salaries-Tech/Professional-Productive"/>
    <s v="Provider Compensation"/>
    <x v="0"/>
    <m/>
    <n v="13801.72"/>
    <n v="9212.76"/>
    <n v="11243.76"/>
    <n v="13178.56"/>
    <n v="11736.48"/>
    <n v="7837.72"/>
    <n v="19002.63"/>
    <n v="17273.62"/>
    <n v="18484.89"/>
    <n v="17584.240000000002"/>
    <n v="16335.95"/>
    <n v="14540.58"/>
    <n v="170232.91"/>
    <n v="1795.3700000000008"/>
  </r>
  <r>
    <x v="5"/>
    <x v="1"/>
    <x v="0"/>
    <s v="6621200"/>
    <n v="700034"/>
    <s v="Salaries-Tech/Professional-Other"/>
    <s v="Provider Compensation"/>
    <x v="0"/>
    <n v="2000"/>
    <n v="0"/>
    <n v="0"/>
    <n v="0"/>
    <n v="0"/>
    <n v="0"/>
    <n v="0"/>
    <n v="11.26"/>
    <n v="0"/>
    <n v="6.01"/>
    <n v="4785.1899999999996"/>
    <n v="428.43"/>
    <n v="372.54"/>
    <n v="5603.43"/>
    <n v="55.889999999999986"/>
  </r>
  <r>
    <x v="5"/>
    <x v="1"/>
    <x v="0"/>
    <s v="6621200"/>
    <n v="700038"/>
    <s v="Salaries-Service/Support-Productive"/>
    <s v="Provider Compensation"/>
    <x v="0"/>
    <m/>
    <n v="10484.379999999999"/>
    <n v="10677.11"/>
    <n v="7046.12"/>
    <n v="9800.52"/>
    <n v="12305.64"/>
    <n v="7027.98"/>
    <n v="11541.22"/>
    <n v="7622.56"/>
    <n v="10921.32"/>
    <n v="8260.2800000000007"/>
    <n v="12894.34"/>
    <n v="7833.47"/>
    <n v="116414.94"/>
    <n v="5060.87"/>
  </r>
  <r>
    <x v="5"/>
    <x v="1"/>
    <x v="0"/>
    <s v="6621200"/>
    <n v="700038"/>
    <s v="Salaries-Service/Support-OT"/>
    <s v="Provider Compensation"/>
    <x v="0"/>
    <n v="1000"/>
    <n v="725.79"/>
    <n v="701.03"/>
    <n v="77.64"/>
    <n v="151.16999999999999"/>
    <n v="1417.3"/>
    <n v="141.74"/>
    <n v="811.52"/>
    <n v="581.53"/>
    <n v="504.56"/>
    <n v="355.61"/>
    <n v="255.18"/>
    <n v="121.69"/>
    <n v="5844.76"/>
    <n v="133.49"/>
  </r>
  <r>
    <x v="5"/>
    <x v="1"/>
    <x v="0"/>
    <s v="6621200"/>
    <n v="700038"/>
    <s v="Salaries-Service/Support-Other"/>
    <s v="Provider Compensation"/>
    <x v="0"/>
    <n v="2000"/>
    <n v="189.85"/>
    <n v="42.02"/>
    <n v="38.25"/>
    <n v="35.93"/>
    <n v="43.7"/>
    <n v="21.97"/>
    <n v="131.63"/>
    <n v="33.44"/>
    <n v="31.56"/>
    <n v="51.75"/>
    <n v="34.86"/>
    <n v="20.78"/>
    <n v="675.7399999999999"/>
    <n v="14.079999999999998"/>
  </r>
  <r>
    <x v="5"/>
    <x v="1"/>
    <x v="0"/>
    <s v="6621200"/>
    <n v="700074"/>
    <s v="Salaries-Tech/Professional-Non-productive"/>
    <s v="Provider Compensation"/>
    <x v="0"/>
    <m/>
    <n v="2298.88"/>
    <n v="4735.92"/>
    <n v="885.52"/>
    <n v="1124.6400000000001"/>
    <n v="2039.04"/>
    <n v="5311.64"/>
    <n v="2129.69"/>
    <n v="286.83999999999997"/>
    <n v="-118.09"/>
    <n v="1478.68"/>
    <n v="3590.26"/>
    <n v="2760.28"/>
    <n v="26523.299999999996"/>
    <n v="829.98"/>
  </r>
  <r>
    <x v="5"/>
    <x v="1"/>
    <x v="0"/>
    <s v="6621200"/>
    <n v="700078"/>
    <s v="Salaries-Service/Support-Non-productive"/>
    <s v="Provider Compensation"/>
    <x v="0"/>
    <m/>
    <n v="485.7"/>
    <n v="933.52"/>
    <n v="3317.97"/>
    <n v="1825.73"/>
    <n v="-995.85"/>
    <n v="3630.89"/>
    <n v="89.39"/>
    <n v="2858.95"/>
    <n v="76.89"/>
    <n v="3066.03"/>
    <n v="-698.3"/>
    <n v="2474.35"/>
    <n v="17065.27"/>
    <n v="-3172.6499999999996"/>
  </r>
  <r>
    <x v="5"/>
    <x v="1"/>
    <x v="0"/>
    <s v="6621200"/>
    <n v="700084"/>
    <s v="Accrued PTO"/>
    <s v="Provider Compensation"/>
    <x v="0"/>
    <m/>
    <n v="1849.2"/>
    <n v="-111.7"/>
    <n v="-2172.17"/>
    <n v="1043.33"/>
    <n v="1824.79"/>
    <n v="-5199.9799999999996"/>
    <n v="1545.24"/>
    <n v="1071.79"/>
    <n v="3133.56"/>
    <n v="624.11"/>
    <n v="1004.93"/>
    <n v="1118.33"/>
    <n v="5731.43"/>
    <n v="-113.39999999999998"/>
  </r>
  <r>
    <x v="6"/>
    <x v="1"/>
    <x v="0"/>
    <s v="6621200"/>
    <n v="713010"/>
    <s v="Benefits-FICA/Medicare"/>
    <s v="Provider Compensation"/>
    <x v="0"/>
    <m/>
    <n v="2025.59"/>
    <n v="1909.83"/>
    <n v="1640.61"/>
    <n v="1895.55"/>
    <n v="1926.63"/>
    <n v="1741.32"/>
    <n v="2431.8000000000002"/>
    <n v="2065.1999999999998"/>
    <n v="2154.58"/>
    <n v="2547.4"/>
    <n v="2369.36"/>
    <n v="2022.96"/>
    <n v="24730.83"/>
    <n v="346.40000000000009"/>
  </r>
  <r>
    <x v="6"/>
    <x v="1"/>
    <x v="0"/>
    <s v="6621200"/>
    <n v="713090"/>
    <s v="Benefits-Allocated Amounts"/>
    <s v="Provider Compensation"/>
    <x v="0"/>
    <m/>
    <n v="5325.37"/>
    <n v="4226.55"/>
    <n v="4376.8"/>
    <n v="4497.51"/>
    <n v="4685.7700000000004"/>
    <n v="4439.6499999999996"/>
    <n v="6760.57"/>
    <n v="6244.42"/>
    <n v="6515.06"/>
    <n v="6115.43"/>
    <n v="6256.52"/>
    <n v="6464.92"/>
    <n v="65908.569999999992"/>
    <n v="-208.39999999999964"/>
  </r>
  <r>
    <x v="0"/>
    <x v="1"/>
    <x v="0"/>
    <s v="6621200"/>
    <n v="749510"/>
    <s v="RICE Rewards"/>
    <s v="Provider Compensation"/>
    <x v="0"/>
    <n v="5100"/>
    <n v="0"/>
    <n v="0"/>
    <n v="0"/>
    <n v="0"/>
    <n v="0"/>
    <n v="0"/>
    <n v="0"/>
    <n v="0"/>
    <n v="0"/>
    <n v="301.29000000000002"/>
    <n v="0"/>
    <n v="0"/>
    <n v="301.29000000000002"/>
    <n v="0"/>
  </r>
  <r>
    <x v="0"/>
    <x v="1"/>
    <x v="0"/>
    <s v="6621200"/>
    <n v="749530"/>
    <s v="Travel"/>
    <s v="Provider Compensation"/>
    <x v="0"/>
    <m/>
    <n v="0"/>
    <n v="0"/>
    <n v="0"/>
    <n v="0"/>
    <n v="0"/>
    <n v="0"/>
    <n v="28.61"/>
    <n v="0"/>
    <n v="0"/>
    <n v="0"/>
    <n v="0"/>
    <n v="0"/>
    <n v="28.61"/>
    <n v="0"/>
  </r>
  <r>
    <x v="14"/>
    <x v="9"/>
    <x v="0"/>
    <s v="6622501"/>
    <n v="600050"/>
    <s v="Miscellaneous Revenue"/>
    <s v="Payer Strategy &amp; Contracting"/>
    <x v="0"/>
    <m/>
    <n v="-520"/>
    <n v="-100"/>
    <n v="-12780"/>
    <n v="-400"/>
    <n v="-320"/>
    <n v="-12960"/>
    <n v="-260"/>
    <n v="-280"/>
    <n v="-160"/>
    <n v="-220"/>
    <n v="-260"/>
    <n v="-240"/>
    <n v="-28500"/>
    <n v="-20"/>
  </r>
  <r>
    <x v="14"/>
    <x v="9"/>
    <x v="0"/>
    <s v="6622501"/>
    <n v="608010"/>
    <s v="Management Fees Interzone-Mercy Health Care,Inc."/>
    <s v="Payer Strategy &amp; Contracting"/>
    <x v="0"/>
    <n v="4400"/>
    <n v="-10000"/>
    <n v="-13800"/>
    <n v="-13800"/>
    <n v="-13800"/>
    <n v="-13800"/>
    <n v="-13800"/>
    <n v="-13800"/>
    <n v="-13800"/>
    <n v="-13800"/>
    <n v="-13800"/>
    <n v="-13800"/>
    <n v="-10000"/>
    <n v="-158000"/>
    <n v="-3800"/>
  </r>
  <r>
    <x v="14"/>
    <x v="9"/>
    <x v="0"/>
    <s v="6622501"/>
    <n v="608010"/>
    <s v="Management Fees Interzone-St Anthony Hosp"/>
    <s v="Payer Strategy &amp; Contracting"/>
    <x v="0"/>
    <n v="4600"/>
    <n v="-800"/>
    <n v="-800"/>
    <n v="-800"/>
    <n v="-800"/>
    <n v="-800"/>
    <n v="-800"/>
    <n v="-800"/>
    <n v="-800"/>
    <n v="-800"/>
    <n v="-800"/>
    <n v="-800"/>
    <n v="-800"/>
    <n v="-9600"/>
    <n v="0"/>
  </r>
  <r>
    <x v="5"/>
    <x v="9"/>
    <x v="0"/>
    <s v="6622501"/>
    <n v="700014"/>
    <s v="Salaries-Management-Productive"/>
    <s v="Payer Strategy &amp; Contracting"/>
    <x v="0"/>
    <m/>
    <n v="42975.53"/>
    <n v="24209.54"/>
    <n v="60771.8"/>
    <n v="55388.92"/>
    <n v="52789.32"/>
    <n v="36813.67"/>
    <n v="53123.46"/>
    <n v="45075.73"/>
    <n v="51957.59"/>
    <n v="52736.63"/>
    <n v="49302.41"/>
    <n v="56067.33"/>
    <n v="581211.93000000005"/>
    <n v="-6764.9199999999983"/>
  </r>
  <r>
    <x v="5"/>
    <x v="9"/>
    <x v="0"/>
    <s v="6622501"/>
    <n v="700034"/>
    <s v="Salaries-Tech/Professional-Productive"/>
    <s v="Payer Strategy &amp; Contracting"/>
    <x v="0"/>
    <m/>
    <n v="11053.65"/>
    <n v="13031.04"/>
    <n v="11372.25"/>
    <n v="7645.26"/>
    <n v="6714.07"/>
    <n v="5287.89"/>
    <n v="15089.87"/>
    <n v="10512.09"/>
    <n v="15420.44"/>
    <n v="14568.4"/>
    <n v="14719.45"/>
    <n v="5608.77"/>
    <n v="131023.18"/>
    <n v="9110.68"/>
  </r>
  <r>
    <x v="5"/>
    <x v="9"/>
    <x v="0"/>
    <s v="6622501"/>
    <n v="700038"/>
    <s v="Salaries-Service/Support-Productive"/>
    <s v="Payer Strategy &amp; Contracting"/>
    <x v="0"/>
    <m/>
    <n v="4941.3"/>
    <n v="2498.52"/>
    <n v="5373.31"/>
    <n v="4784.7"/>
    <n v="4593.6099999999997"/>
    <n v="3598.62"/>
    <n v="5079.54"/>
    <n v="4546.82"/>
    <n v="5310.83"/>
    <n v="4809.1499999999996"/>
    <n v="3456.62"/>
    <n v="4947.09"/>
    <n v="53940.11"/>
    <n v="-1490.4700000000003"/>
  </r>
  <r>
    <x v="5"/>
    <x v="9"/>
    <x v="0"/>
    <s v="6622501"/>
    <n v="700038"/>
    <s v="Salaries-Service/Support-OT"/>
    <s v="Payer Strategy &amp; Contracting"/>
    <x v="0"/>
    <n v="1000"/>
    <n v="0"/>
    <n v="0"/>
    <n v="10.63"/>
    <n v="19.690000000000001"/>
    <n v="13.4"/>
    <n v="0"/>
    <n v="0"/>
    <n v="33.14"/>
    <n v="187.77"/>
    <n v="287.14999999999998"/>
    <n v="-99.38"/>
    <n v="22.88"/>
    <n v="475.28"/>
    <n v="-122.25999999999999"/>
  </r>
  <r>
    <x v="5"/>
    <x v="9"/>
    <x v="0"/>
    <s v="6622501"/>
    <n v="700054"/>
    <s v="Salaries-Management-Non-productive"/>
    <s v="Payer Strategy &amp; Contracting"/>
    <x v="0"/>
    <m/>
    <n v="11780.92"/>
    <n v="30549.38"/>
    <n v="-7778.57"/>
    <n v="0"/>
    <n v="2002.08"/>
    <n v="19516.330000000002"/>
    <n v="3294.49"/>
    <n v="5877.24"/>
    <n v="4455.04"/>
    <n v="1854.45"/>
    <n v="7100.52"/>
    <n v="-1524.29"/>
    <n v="77127.590000000011"/>
    <n v="8624.8100000000013"/>
  </r>
  <r>
    <x v="5"/>
    <x v="9"/>
    <x v="0"/>
    <s v="6622501"/>
    <n v="700054"/>
    <s v="Salaries-Management-NonProd-Other"/>
    <s v="Payer Strategy &amp; Contracting"/>
    <x v="0"/>
    <n v="2000"/>
    <n v="0"/>
    <n v="0"/>
    <n v="0"/>
    <n v="0"/>
    <n v="287.33999999999997"/>
    <n v="0"/>
    <n v="0"/>
    <n v="-287.33999999999997"/>
    <n v="0"/>
    <n v="0"/>
    <n v="0"/>
    <n v="0"/>
    <n v="0"/>
    <n v="0"/>
  </r>
  <r>
    <x v="5"/>
    <x v="9"/>
    <x v="0"/>
    <s v="6622501"/>
    <n v="700074"/>
    <s v="Salaries-Tech/Professional-Non-productive"/>
    <s v="Payer Strategy &amp; Contracting"/>
    <x v="0"/>
    <m/>
    <n v="2369.61"/>
    <n v="392.85"/>
    <n v="1618.78"/>
    <n v="7559.83"/>
    <n v="7832.97"/>
    <n v="9744.5499999999993"/>
    <n v="-33.94"/>
    <n v="3085.44"/>
    <n v="-365.91"/>
    <n v="0"/>
    <n v="335.06"/>
    <n v="2690.19"/>
    <n v="35229.43"/>
    <n v="-2355.13"/>
  </r>
  <r>
    <x v="5"/>
    <x v="9"/>
    <x v="0"/>
    <s v="6622501"/>
    <n v="700074"/>
    <s v="Salaries-Tech/Professional-NonProd-Other"/>
    <s v="Payer Strategy &amp; Contract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22501"/>
    <n v="700078"/>
    <s v="Salaries-Service/Support-Non-productive"/>
    <s v="Payer Strategy &amp; Contracting"/>
    <x v="0"/>
    <m/>
    <n v="226.8"/>
    <n v="2875.35"/>
    <n v="-635.70000000000005"/>
    <n v="453.6"/>
    <n v="453.73"/>
    <n v="1831.77"/>
    <n v="303.27"/>
    <n v="319.75"/>
    <n v="151.47999999999999"/>
    <n v="0"/>
    <n v="1834.44"/>
    <n v="50.55"/>
    <n v="7865.04"/>
    <n v="1783.89"/>
  </r>
  <r>
    <x v="5"/>
    <x v="9"/>
    <x v="0"/>
    <s v="6622501"/>
    <n v="700084"/>
    <s v="Accrued PTO"/>
    <s v="Payer Strategy &amp; Contracting"/>
    <x v="0"/>
    <m/>
    <n v="-2676.14"/>
    <n v="-6882.11"/>
    <n v="3469.05"/>
    <n v="7869.94"/>
    <n v="2639.93"/>
    <n v="-13798.07"/>
    <n v="1822.05"/>
    <n v="-600.64"/>
    <n v="3429.1"/>
    <n v="2367.71"/>
    <n v="4107.03"/>
    <n v="3664.82"/>
    <n v="5412.67"/>
    <n v="442.20999999999958"/>
  </r>
  <r>
    <x v="6"/>
    <x v="9"/>
    <x v="0"/>
    <s v="6622501"/>
    <n v="713010"/>
    <s v="Benefits-FICA/Medicare"/>
    <s v="Payer Strategy &amp; Contracting"/>
    <x v="0"/>
    <m/>
    <n v="3860.6"/>
    <n v="3876.09"/>
    <n v="3641.88"/>
    <n v="2246.2800000000002"/>
    <n v="2236.7600000000002"/>
    <n v="4062.79"/>
    <n v="5714.21"/>
    <n v="5163.47"/>
    <n v="5733.98"/>
    <n v="5521.51"/>
    <n v="5642.99"/>
    <n v="3500.61"/>
    <n v="51201.17"/>
    <n v="2142.3799999999997"/>
  </r>
  <r>
    <x v="6"/>
    <x v="9"/>
    <x v="0"/>
    <s v="6622501"/>
    <n v="713090"/>
    <s v="Benefits-Allocated Amounts"/>
    <s v="Payer Strategy &amp; Contracting"/>
    <x v="0"/>
    <m/>
    <n v="9378.7999999999993"/>
    <n v="8558.3700000000008"/>
    <n v="9238.93"/>
    <n v="9168.08"/>
    <n v="8191.15"/>
    <n v="9192.35"/>
    <n v="10261.370000000001"/>
    <n v="9515.27"/>
    <n v="11826.64"/>
    <n v="10165.44"/>
    <n v="10422.02"/>
    <n v="9167.1"/>
    <n v="115085.52000000002"/>
    <n v="1254.92"/>
  </r>
  <r>
    <x v="6"/>
    <x v="9"/>
    <x v="0"/>
    <s v="6622501"/>
    <n v="713096"/>
    <s v="Employee Recognition"/>
    <s v="Payer Strategy &amp; Contracting"/>
    <x v="0"/>
    <n v="1017"/>
    <n v="0"/>
    <n v="0"/>
    <n v="0"/>
    <n v="0"/>
    <n v="0"/>
    <n v="0"/>
    <n v="0"/>
    <n v="0"/>
    <n v="0"/>
    <n v="0"/>
    <n v="0"/>
    <n v="18"/>
    <n v="18"/>
    <n v="-18"/>
  </r>
  <r>
    <x v="11"/>
    <x v="9"/>
    <x v="0"/>
    <s v="6622501"/>
    <n v="721810"/>
    <s v="Supplies-Dietary/Cafeteria"/>
    <s v="Payer Strategy &amp; Contracting"/>
    <x v="0"/>
    <m/>
    <n v="28.68"/>
    <n v="0"/>
    <n v="42.01"/>
    <n v="54.9"/>
    <n v="55.18"/>
    <n v="0"/>
    <n v="0"/>
    <n v="0"/>
    <n v="0"/>
    <n v="0"/>
    <n v="0"/>
    <n v="0"/>
    <n v="180.77"/>
    <n v="0"/>
  </r>
  <r>
    <x v="11"/>
    <x v="9"/>
    <x v="0"/>
    <s v="6622501"/>
    <n v="721830"/>
    <s v="Supplies-Office"/>
    <s v="Payer Strategy &amp; Contracting"/>
    <x v="0"/>
    <m/>
    <n v="0"/>
    <n v="0"/>
    <n v="0"/>
    <n v="192.89"/>
    <n v="0"/>
    <n v="0"/>
    <n v="76.790000000000006"/>
    <n v="28.79"/>
    <n v="39.49"/>
    <n v="0"/>
    <n v="0"/>
    <n v="0"/>
    <n v="337.96000000000004"/>
    <n v="0"/>
  </r>
  <r>
    <x v="11"/>
    <x v="9"/>
    <x v="0"/>
    <s v="6622501"/>
    <n v="721910"/>
    <s v="Supplies-Small Equipment"/>
    <s v="Payer Strategy &amp; Contracting"/>
    <x v="0"/>
    <m/>
    <n v="0"/>
    <n v="0"/>
    <n v="0"/>
    <n v="0"/>
    <n v="0"/>
    <n v="0"/>
    <n v="0"/>
    <n v="0"/>
    <n v="0"/>
    <n v="97.71"/>
    <n v="0"/>
    <n v="0"/>
    <n v="97.71"/>
    <n v="0"/>
  </r>
  <r>
    <x v="12"/>
    <x v="9"/>
    <x v="0"/>
    <s v="6622501"/>
    <n v="730020"/>
    <s v="Rental and Leases-Copier Usage Fees (DO NOT USE)"/>
    <s v="Payer Strategy &amp; Contracting"/>
    <x v="0"/>
    <n v="5100"/>
    <n v="652.35"/>
    <n v="677.7"/>
    <n v="665.02"/>
    <n v="665.02"/>
    <n v="665.02"/>
    <n v="665.02"/>
    <n v="-6966.72"/>
    <n v="0"/>
    <n v="0"/>
    <n v="0"/>
    <n v="0"/>
    <n v="0"/>
    <n v="-2976.59"/>
    <n v="0"/>
  </r>
  <r>
    <x v="0"/>
    <x v="9"/>
    <x v="0"/>
    <s v="6622501"/>
    <n v="740020"/>
    <s v="Education-Registration Fees"/>
    <s v="Payer Strategy &amp; Contracting"/>
    <x v="0"/>
    <m/>
    <n v="0"/>
    <n v="0"/>
    <n v="50"/>
    <n v="0"/>
    <n v="0"/>
    <n v="0"/>
    <n v="0"/>
    <n v="0"/>
    <n v="0"/>
    <n v="0"/>
    <n v="0"/>
    <n v="0"/>
    <n v="50"/>
    <n v="0"/>
  </r>
  <r>
    <x v="0"/>
    <x v="9"/>
    <x v="0"/>
    <s v="6622501"/>
    <n v="743030"/>
    <s v="Subscriptions--Institutional"/>
    <s v="Payer Strategy &amp; Contracting"/>
    <x v="0"/>
    <m/>
    <n v="0"/>
    <n v="0"/>
    <n v="208.33"/>
    <n v="-90.87"/>
    <n v="92.7"/>
    <n v="74.819999999999993"/>
    <n v="0"/>
    <n v="0"/>
    <n v="0"/>
    <n v="0"/>
    <n v="0"/>
    <n v="0"/>
    <n v="284.98"/>
    <n v="0"/>
  </r>
  <r>
    <x v="0"/>
    <x v="9"/>
    <x v="0"/>
    <s v="6622501"/>
    <n v="749510"/>
    <s v="Miscellaneous Expenses"/>
    <s v="Payer Strategy &amp; Contracting"/>
    <x v="0"/>
    <m/>
    <n v="827.14"/>
    <n v="-597.22"/>
    <n v="2525.38"/>
    <n v="313.18"/>
    <n v="535.66"/>
    <n v="539.09"/>
    <n v="-905.46"/>
    <n v="392.25"/>
    <n v="1464.46"/>
    <n v="-107.87"/>
    <n v="-269.19"/>
    <n v="405.02"/>
    <n v="5122.4400000000005"/>
    <n v="-674.21"/>
  </r>
  <r>
    <x v="0"/>
    <x v="9"/>
    <x v="0"/>
    <s v="6622501"/>
    <n v="749530"/>
    <s v="Travel"/>
    <s v="Payer Strategy &amp; Contracting"/>
    <x v="0"/>
    <m/>
    <n v="624.49"/>
    <n v="1494.08"/>
    <n v="53.94"/>
    <n v="1337.45"/>
    <n v="1627.86"/>
    <n v="1575.74"/>
    <n v="1708.23"/>
    <n v="1029.03"/>
    <n v="419.54"/>
    <n v="1514.53"/>
    <n v="960.5"/>
    <n v="833.35"/>
    <n v="13178.740000000002"/>
    <n v="127.14999999999998"/>
  </r>
  <r>
    <x v="0"/>
    <x v="9"/>
    <x v="0"/>
    <s v="6622501"/>
    <n v="749530"/>
    <s v="Mileage"/>
    <s v="Payer Strategy &amp; Contracting"/>
    <x v="0"/>
    <n v="1001"/>
    <n v="0"/>
    <n v="0"/>
    <n v="0"/>
    <n v="104.11"/>
    <n v="0"/>
    <n v="0"/>
    <n v="0"/>
    <n v="0"/>
    <n v="0"/>
    <n v="0"/>
    <n v="0"/>
    <n v="0"/>
    <n v="104.11"/>
    <n v="0"/>
  </r>
  <r>
    <x v="0"/>
    <x v="9"/>
    <x v="0"/>
    <s v="6622501"/>
    <n v="749535"/>
    <s v="Meetings"/>
    <s v="Payer Strategy &amp; Contracting"/>
    <x v="0"/>
    <m/>
    <n v="0"/>
    <n v="99.42"/>
    <n v="0"/>
    <n v="36.25"/>
    <n v="29.07"/>
    <n v="254.34"/>
    <n v="630.62"/>
    <n v="49.34"/>
    <n v="0"/>
    <n v="35.630000000000003"/>
    <n v="214.85"/>
    <n v="212.46"/>
    <n v="1561.98"/>
    <n v="2.3899999999999864"/>
  </r>
  <r>
    <x v="0"/>
    <x v="9"/>
    <x v="0"/>
    <s v="6622501"/>
    <n v="749535"/>
    <s v="Medicare Non-Allowable Beverages"/>
    <s v="Payer Strategy &amp; Contracting"/>
    <x v="0"/>
    <n v="1005"/>
    <n v="0"/>
    <n v="13"/>
    <n v="0"/>
    <n v="0"/>
    <n v="0"/>
    <n v="0"/>
    <n v="0"/>
    <n v="0"/>
    <n v="0"/>
    <n v="0"/>
    <n v="0"/>
    <n v="0"/>
    <n v="13"/>
    <n v="0"/>
  </r>
  <r>
    <x v="5"/>
    <x v="9"/>
    <x v="0"/>
    <s v="6632501"/>
    <n v="700034"/>
    <s v="Salaries-Tech/Professional-Productive"/>
    <s v="Timekeepers/Payroll"/>
    <x v="0"/>
    <m/>
    <n v="17230.47"/>
    <n v="15592.41"/>
    <n v="16847.53"/>
    <n v="18581.16"/>
    <n v="17696.150000000001"/>
    <n v="10333.68"/>
    <n v="12678.87"/>
    <n v="11080.16"/>
    <n v="12882.22"/>
    <n v="13012.56"/>
    <n v="16721.400000000001"/>
    <n v="15611.28"/>
    <n v="178267.88999999998"/>
    <n v="1110.1200000000008"/>
  </r>
  <r>
    <x v="5"/>
    <x v="9"/>
    <x v="0"/>
    <s v="6632501"/>
    <n v="700034"/>
    <s v="Salaries-Tech/Professional-OT"/>
    <s v="Timekeepers/Payroll"/>
    <x v="0"/>
    <n v="1000"/>
    <n v="24.87"/>
    <n v="-4.38"/>
    <n v="0"/>
    <n v="0"/>
    <n v="10.5"/>
    <n v="0"/>
    <n v="0"/>
    <n v="0"/>
    <n v="0"/>
    <n v="0"/>
    <n v="17.84"/>
    <n v="0"/>
    <n v="48.83"/>
    <n v="17.84"/>
  </r>
  <r>
    <x v="5"/>
    <x v="9"/>
    <x v="0"/>
    <s v="6632501"/>
    <n v="700034"/>
    <s v="Salaries-Tech/Professional-Other"/>
    <s v="Timekeepers/Payroll"/>
    <x v="0"/>
    <n v="2000"/>
    <n v="631.22"/>
    <n v="104.67"/>
    <n v="126.81"/>
    <n v="134.16999999999999"/>
    <n v="128.66999999999999"/>
    <n v="81.99"/>
    <n v="80.38"/>
    <n v="66.62"/>
    <n v="91.84"/>
    <n v="91.08"/>
    <n v="144.61000000000001"/>
    <n v="145.83000000000001"/>
    <n v="1827.8899999999994"/>
    <n v="-1.2199999999999989"/>
  </r>
  <r>
    <x v="5"/>
    <x v="9"/>
    <x v="0"/>
    <s v="6632501"/>
    <n v="700054"/>
    <s v="Salaries-Management-NonProd-Other"/>
    <s v="Timekeepers/Payroll"/>
    <x v="0"/>
    <n v="2000"/>
    <n v="0"/>
    <n v="0"/>
    <n v="0"/>
    <n v="0"/>
    <n v="0"/>
    <n v="624.22"/>
    <n v="-624.22"/>
    <n v="0"/>
    <n v="0"/>
    <n v="0"/>
    <n v="0"/>
    <n v="0"/>
    <n v="0"/>
    <n v="0"/>
  </r>
  <r>
    <x v="5"/>
    <x v="9"/>
    <x v="0"/>
    <s v="6632501"/>
    <n v="700074"/>
    <s v="Salaries-Tech/Professional-Non-productive"/>
    <s v="Timekeepers/Payroll"/>
    <x v="0"/>
    <m/>
    <n v="1609.19"/>
    <n v="3034.29"/>
    <n v="1485.94"/>
    <n v="464.12"/>
    <n v="831.34"/>
    <n v="1846.41"/>
    <n v="641.72"/>
    <n v="1109.69"/>
    <n v="327.27999999999997"/>
    <n v="-176.38"/>
    <n v="1115.3900000000001"/>
    <n v="859.41"/>
    <n v="13148.400000000001"/>
    <n v="255.98000000000013"/>
  </r>
  <r>
    <x v="5"/>
    <x v="9"/>
    <x v="0"/>
    <s v="6632501"/>
    <n v="700074"/>
    <s v="Salaries-Tech/Professional-NonProd-Other"/>
    <s v="Timekeepers/Payroll"/>
    <x v="0"/>
    <n v="2000"/>
    <n v="0"/>
    <n v="0"/>
    <n v="0"/>
    <n v="0"/>
    <n v="422.65"/>
    <n v="422.65"/>
    <n v="0"/>
    <n v="-845.3"/>
    <n v="0"/>
    <n v="0"/>
    <n v="0"/>
    <n v="0"/>
    <n v="0"/>
    <n v="0"/>
  </r>
  <r>
    <x v="5"/>
    <x v="9"/>
    <x v="0"/>
    <s v="6632501"/>
    <n v="700084"/>
    <s v="Accrued PTO"/>
    <s v="Timekeepers/Payroll"/>
    <x v="0"/>
    <m/>
    <n v="628.42999999999995"/>
    <n v="-576.92999999999995"/>
    <n v="669.91"/>
    <n v="1849.09"/>
    <n v="943.4"/>
    <n v="584.92999999999995"/>
    <n v="153.93"/>
    <n v="533.62"/>
    <n v="1006.36"/>
    <n v="1397.8"/>
    <n v="801.18"/>
    <n v="1886.76"/>
    <n v="9878.48"/>
    <n v="-1085.58"/>
  </r>
  <r>
    <x v="6"/>
    <x v="9"/>
    <x v="0"/>
    <s v="6632501"/>
    <n v="713010"/>
    <s v="Benefits-FICA/Medicare"/>
    <s v="Timekeepers/Payroll"/>
    <x v="0"/>
    <m/>
    <n v="1446.22"/>
    <n v="1370.82"/>
    <n v="1360.42"/>
    <n v="1413.85"/>
    <n v="1480.65"/>
    <n v="1411.88"/>
    <n v="1045.47"/>
    <n v="903.8"/>
    <n v="980.13"/>
    <n v="954.21"/>
    <n v="1339.02"/>
    <n v="1208.43"/>
    <n v="14914.899999999998"/>
    <n v="130.58999999999992"/>
  </r>
  <r>
    <x v="6"/>
    <x v="9"/>
    <x v="0"/>
    <s v="6632501"/>
    <n v="713090"/>
    <s v="Benefits-Allocated Amounts"/>
    <s v="Timekeepers/Payroll"/>
    <x v="0"/>
    <m/>
    <n v="4956.3900000000003"/>
    <n v="4360.7"/>
    <n v="4801.1000000000004"/>
    <n v="4682.3999999999996"/>
    <n v="4503.3"/>
    <n v="3432.38"/>
    <n v="3933.31"/>
    <n v="3673.96"/>
    <n v="3970.03"/>
    <n v="3910.37"/>
    <n v="5147.4799999999996"/>
    <n v="4907.58"/>
    <n v="52279"/>
    <n v="239.89999999999964"/>
  </r>
  <r>
    <x v="7"/>
    <x v="9"/>
    <x v="0"/>
    <s v="6632501"/>
    <n v="718050"/>
    <s v="Miscellaneous Purchased Svcs"/>
    <s v="Timekeepers/Payroll"/>
    <x v="0"/>
    <n v="1020"/>
    <n v="0"/>
    <n v="0"/>
    <n v="0"/>
    <n v="0"/>
    <n v="0"/>
    <n v="0"/>
    <n v="0"/>
    <n v="0"/>
    <n v="275.25"/>
    <n v="0"/>
    <n v="0"/>
    <n v="0"/>
    <n v="275.25"/>
    <n v="0"/>
  </r>
  <r>
    <x v="12"/>
    <x v="9"/>
    <x v="0"/>
    <s v="6632501"/>
    <n v="730020"/>
    <s v="Rental and Leases-Copier Usage Fees (DO NOT USE)"/>
    <s v="Timekeepers/Payroll"/>
    <x v="0"/>
    <n v="5100"/>
    <n v="46.8"/>
    <n v="46.78"/>
    <n v="46.79"/>
    <n v="46.79"/>
    <n v="46.79"/>
    <n v="46.79"/>
    <n v="73.55"/>
    <n v="36.42"/>
    <n v="52.72"/>
    <n v="69.260000000000005"/>
    <n v="52.8"/>
    <n v="65.95"/>
    <n v="631.44000000000005"/>
    <n v="-13.150000000000006"/>
  </r>
  <r>
    <x v="5"/>
    <x v="9"/>
    <x v="0"/>
    <s v="6680501"/>
    <n v="700014"/>
    <s v="Salaries-Management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18"/>
    <s v="Salaries-Supervisory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26"/>
    <s v="Salaries-RN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26"/>
    <s v="Salaries-RN-OT"/>
    <s v="Rainier Health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26"/>
    <s v="Salaries-RN-Other"/>
    <s v="Rainier Healt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32"/>
    <s v="Salaries-Other Pat Care Providers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32"/>
    <s v="Salaries-Other Pat Care Providers-OT"/>
    <s v="Rainier Health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32"/>
    <s v="Salaries-Other Pat Care Providers-Other"/>
    <s v="Rainier Healt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38"/>
    <s v="Salaries-Service/Support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54"/>
    <s v="Salaries-Management-Non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54"/>
    <s v="Salaries-Management-NonProd-Other"/>
    <s v="Rainier Health"/>
    <x v="0"/>
    <n v="2000"/>
    <n v="0"/>
    <n v="0"/>
    <n v="0"/>
    <n v="0"/>
    <n v="0"/>
    <n v="0"/>
    <n v="-838.38"/>
    <n v="838.38"/>
    <n v="0"/>
    <n v="0"/>
    <n v="0"/>
    <n v="0"/>
    <n v="0"/>
    <n v="0"/>
  </r>
  <r>
    <x v="5"/>
    <x v="9"/>
    <x v="0"/>
    <s v="6680501"/>
    <n v="700066"/>
    <s v="Salaries-RN-Non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66"/>
    <s v="Salaries-RN-NonProd-Other"/>
    <s v="Rainier Healt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72"/>
    <s v="Salaries-Other Pat Care Providers-Non-productiv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72"/>
    <s v="Salaries-Other Pat Care Providers-NonProd-Other"/>
    <s v="Rainier Health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680501"/>
    <n v="700084"/>
    <s v="Accrued PTO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6680501"/>
    <n v="713010"/>
    <s v="Benefits-FICA/Medicare"/>
    <s v="Rainier Health"/>
    <x v="0"/>
    <m/>
    <n v="0"/>
    <n v="0"/>
    <n v="0"/>
    <n v="0"/>
    <n v="0"/>
    <n v="0"/>
    <n v="64.14"/>
    <n v="-64.14"/>
    <n v="0"/>
    <n v="0"/>
    <n v="0"/>
    <n v="0"/>
    <n v="0"/>
    <n v="0"/>
  </r>
  <r>
    <x v="6"/>
    <x v="9"/>
    <x v="0"/>
    <s v="6680501"/>
    <n v="713090"/>
    <s v="Benefits-Allocated Amounts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6680501"/>
    <n v="713096"/>
    <s v="Employee Recognition"/>
    <s v="Rainier Health"/>
    <x v="0"/>
    <n v="1017"/>
    <n v="0"/>
    <n v="0"/>
    <n v="0"/>
    <n v="0"/>
    <n v="0"/>
    <n v="0"/>
    <n v="0"/>
    <n v="0"/>
    <n v="0"/>
    <n v="0"/>
    <n v="0"/>
    <n v="0"/>
    <n v="0"/>
    <n v="0"/>
  </r>
  <r>
    <x v="7"/>
    <x v="9"/>
    <x v="0"/>
    <s v="6680501"/>
    <n v="718050"/>
    <s v="Contract Svcs-Other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7"/>
    <x v="9"/>
    <x v="0"/>
    <s v="6680501"/>
    <n v="718050"/>
    <s v="Miscellaneous Purchased Svcs"/>
    <s v="Rainier Health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6680501"/>
    <n v="721810"/>
    <s v="Supplies-Dietary/Cafeteria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6680501"/>
    <n v="721830"/>
    <s v="Supplies-Offic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6680501"/>
    <n v="721835"/>
    <s v="Supplies-Forms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6680501"/>
    <n v="721980"/>
    <s v="Supplies-Other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6680501"/>
    <n v="722000"/>
    <s v="Supplies-Freight Expense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12"/>
    <x v="9"/>
    <x v="0"/>
    <s v="6680501"/>
    <n v="730020"/>
    <s v="Rental and Leases-Copier Usage Fees (DO NOT USE)"/>
    <s v="Rainier Health"/>
    <x v="0"/>
    <n v="5100"/>
    <n v="0"/>
    <n v="0"/>
    <n v="0"/>
    <n v="0"/>
    <n v="0"/>
    <n v="0"/>
    <n v="0"/>
    <n v="0"/>
    <n v="0"/>
    <n v="0"/>
    <n v="0"/>
    <n v="0"/>
    <n v="0"/>
    <n v="0"/>
  </r>
  <r>
    <x v="15"/>
    <x v="9"/>
    <x v="0"/>
    <s v="6680501"/>
    <n v="731060"/>
    <s v="Cell Phones"/>
    <s v="Rainier Health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680501"/>
    <n v="740020"/>
    <s v="Education-Registration Fees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680501"/>
    <n v="749510"/>
    <s v="Miscellaneous Expenses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680501"/>
    <n v="749530"/>
    <s v="Travel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680501"/>
    <n v="749530"/>
    <s v="Mileage"/>
    <s v="Rainier Health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680501"/>
    <n v="749535"/>
    <s v="Meetings"/>
    <s v="Rainier Health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680501"/>
    <n v="749535"/>
    <s v="Employee Functions"/>
    <s v="Rainier Health"/>
    <x v="0"/>
    <n v="1004"/>
    <n v="0"/>
    <n v="0"/>
    <n v="0"/>
    <n v="0"/>
    <n v="0"/>
    <n v="0"/>
    <n v="0"/>
    <n v="0"/>
    <n v="0"/>
    <n v="0"/>
    <n v="0"/>
    <n v="0"/>
    <n v="0"/>
    <n v="0"/>
  </r>
  <r>
    <x v="7"/>
    <x v="7"/>
    <x v="0"/>
    <s v="6700150"/>
    <n v="718050"/>
    <s v="Contract Svcs-Other"/>
    <s v="IT"/>
    <x v="0"/>
    <m/>
    <n v="-18957.28"/>
    <n v="54401.03"/>
    <n v="19566.009999999998"/>
    <n v="9472.68"/>
    <n v="35752.85"/>
    <n v="-33286.78"/>
    <n v="50978.34"/>
    <n v="25746.68"/>
    <n v="15753.2"/>
    <n v="15753.19"/>
    <n v="16555.689999999999"/>
    <n v="42828.77"/>
    <n v="234564.38"/>
    <n v="-26273.079999999998"/>
  </r>
  <r>
    <x v="7"/>
    <x v="7"/>
    <x v="0"/>
    <s v="6700150"/>
    <n v="718050"/>
    <s v="Miscellaneous Purchased Svcs"/>
    <s v="IT"/>
    <x v="0"/>
    <n v="1020"/>
    <n v="-12061"/>
    <n v="0"/>
    <n v="18198.150000000001"/>
    <n v="0"/>
    <n v="-18198.150000000001"/>
    <n v="0"/>
    <n v="0"/>
    <n v="0"/>
    <n v="0"/>
    <n v="0"/>
    <n v="0"/>
    <n v="0"/>
    <n v="-12061"/>
    <n v="0"/>
  </r>
  <r>
    <x v="11"/>
    <x v="7"/>
    <x v="0"/>
    <s v="6700150"/>
    <n v="721830"/>
    <s v="Supplies-Office"/>
    <s v="IT"/>
    <x v="0"/>
    <m/>
    <n v="0"/>
    <n v="93.32"/>
    <n v="0"/>
    <n v="30.03"/>
    <n v="0"/>
    <n v="0"/>
    <n v="0"/>
    <n v="0"/>
    <n v="0"/>
    <n v="0"/>
    <n v="0"/>
    <n v="0"/>
    <n v="123.35"/>
    <n v="0"/>
  </r>
  <r>
    <x v="12"/>
    <x v="7"/>
    <x v="0"/>
    <s v="6700150"/>
    <n v="730020"/>
    <s v="Rental and Leases-Copier Usage Fees (DO NOT USE)"/>
    <s v="IT"/>
    <x v="0"/>
    <n v="5100"/>
    <n v="46.49"/>
    <n v="48.14"/>
    <n v="47.32"/>
    <n v="47.32"/>
    <n v="47.32"/>
    <n v="47.32"/>
    <n v="2126"/>
    <n v="46.25"/>
    <n v="46.15"/>
    <n v="222.32"/>
    <n v="46.25"/>
    <n v="53.29"/>
    <n v="2824.17"/>
    <n v="-7.0399999999999991"/>
  </r>
  <r>
    <x v="16"/>
    <x v="7"/>
    <x v="0"/>
    <s v="6700150"/>
    <n v="732030"/>
    <s v="Repairs&amp;Maintenance-Bldg Routine"/>
    <s v="IT"/>
    <x v="0"/>
    <n v="2300"/>
    <n v="2109"/>
    <n v="2109.0100000000002"/>
    <n v="2109.0100000000002"/>
    <n v="2109.0100000000002"/>
    <n v="2109.0100000000002"/>
    <n v="2109.0100000000002"/>
    <n v="2214.44"/>
    <n v="0"/>
    <n v="4466.0200000000004"/>
    <n v="2252.16"/>
    <n v="2214.9899999999998"/>
    <n v="2214.9899999999998"/>
    <n v="26016.65"/>
    <n v="0"/>
  </r>
  <r>
    <x v="13"/>
    <x v="7"/>
    <x v="0"/>
    <s v="6700150"/>
    <n v="735070"/>
    <s v="Depreciation-Movable Equipment"/>
    <s v="IT"/>
    <x v="0"/>
    <m/>
    <n v="7009.51"/>
    <n v="7009.51"/>
    <n v="7009.52"/>
    <n v="7009.51"/>
    <n v="7009.52"/>
    <n v="7009.51"/>
    <n v="7009.53"/>
    <n v="7009.51"/>
    <n v="7009.53"/>
    <n v="7009.51"/>
    <n v="7009.53"/>
    <n v="7009.51"/>
    <n v="84114.2"/>
    <n v="1.9999999999527063E-2"/>
  </r>
  <r>
    <x v="11"/>
    <x v="1"/>
    <x v="0"/>
    <s v="6700200"/>
    <n v="721830"/>
    <s v="Supplies-Office"/>
    <s v="FMG Information Technology"/>
    <x v="0"/>
    <m/>
    <n v="0"/>
    <n v="477.33"/>
    <n v="75.36"/>
    <n v="65.08"/>
    <n v="97.62"/>
    <n v="73.14"/>
    <n v="195.25"/>
    <n v="466.64"/>
    <n v="56.47"/>
    <n v="-141.04"/>
    <n v="0"/>
    <n v="0"/>
    <n v="1365.8500000000001"/>
    <n v="0"/>
  </r>
  <r>
    <x v="14"/>
    <x v="9"/>
    <x v="0"/>
    <s v="6700501"/>
    <n v="600050"/>
    <s v="Miscellaneous Revenue"/>
    <s v="Information Systems"/>
    <x v="0"/>
    <m/>
    <n v="-4329.78"/>
    <n v="-3994.89"/>
    <n v="-3929.01"/>
    <n v="-3929.01"/>
    <n v="-3541.05"/>
    <n v="-2382.66"/>
    <n v="-3178.71"/>
    <n v="-3215.31"/>
    <n v="-3947.31"/>
    <n v="0"/>
    <n v="0"/>
    <n v="0"/>
    <n v="-32447.730000000003"/>
    <n v="0"/>
  </r>
  <r>
    <x v="7"/>
    <x v="9"/>
    <x v="0"/>
    <s v="6700501"/>
    <n v="718050"/>
    <s v="Contract Svcs-Other"/>
    <s v="Information Systems"/>
    <x v="0"/>
    <m/>
    <n v="96054.87"/>
    <n v="52967.91"/>
    <n v="60490.6"/>
    <n v="80087.990000000005"/>
    <n v="42826.49"/>
    <n v="132061.53"/>
    <n v="-3026.9"/>
    <n v="49340.01"/>
    <n v="111607.82"/>
    <n v="107891.29"/>
    <n v="78165.009999999995"/>
    <n v="112612.16"/>
    <n v="921078.78000000014"/>
    <n v="-34447.150000000009"/>
  </r>
  <r>
    <x v="7"/>
    <x v="9"/>
    <x v="0"/>
    <s v="6700501"/>
    <n v="718050"/>
    <s v="Document Shredding/Storage"/>
    <s v="Information Systems"/>
    <x v="0"/>
    <n v="1012"/>
    <n v="2.2400000000000002"/>
    <n v="2"/>
    <n v="2.2000000000000002"/>
    <n v="2.1800000000000002"/>
    <n v="2.2599999999999998"/>
    <n v="2.2599999999999998"/>
    <n v="2.23"/>
    <n v="1.93"/>
    <n v="1.98"/>
    <n v="2.6"/>
    <n v="2.1800000000000002"/>
    <n v="2.2599999999999998"/>
    <n v="26.32"/>
    <n v="-7.9999999999999627E-2"/>
  </r>
  <r>
    <x v="7"/>
    <x v="9"/>
    <x v="0"/>
    <s v="6700501"/>
    <n v="718050"/>
    <s v="Miscellaneous Purchased Svcs"/>
    <s v="Information Systems"/>
    <x v="0"/>
    <n v="1020"/>
    <n v="142830.32999999999"/>
    <n v="223744.94"/>
    <n v="285932.81"/>
    <n v="64436.46"/>
    <n v="-251970.55"/>
    <n v="109865.06"/>
    <n v="65355.65"/>
    <n v="150742.99"/>
    <n v="79079.56"/>
    <n v="110892.32"/>
    <n v="187495.09"/>
    <n v="-2840.8"/>
    <n v="1165563.8600000001"/>
    <n v="190335.88999999998"/>
  </r>
  <r>
    <x v="11"/>
    <x v="9"/>
    <x v="0"/>
    <s v="6700501"/>
    <n v="721410"/>
    <s v="Supplies-Medical - Nonbillable"/>
    <s v="Information Systems"/>
    <x v="0"/>
    <m/>
    <n v="0"/>
    <n v="0"/>
    <n v="0"/>
    <n v="14.42"/>
    <n v="0"/>
    <n v="0"/>
    <n v="0"/>
    <n v="0"/>
    <n v="0.42"/>
    <n v="0"/>
    <n v="0"/>
    <n v="0"/>
    <n v="14.84"/>
    <n v="0"/>
  </r>
  <r>
    <x v="11"/>
    <x v="9"/>
    <x v="0"/>
    <s v="6700501"/>
    <n v="721810"/>
    <s v="Supplies-Dietary/Cafeteria"/>
    <s v="Information Systems"/>
    <x v="0"/>
    <m/>
    <n v="107.1"/>
    <n v="117.3"/>
    <n v="0"/>
    <n v="117.3"/>
    <n v="107.1"/>
    <n v="4344.04"/>
    <n v="105.78"/>
    <n v="102"/>
    <n v="107.1"/>
    <n v="112.2"/>
    <n v="117.3"/>
    <n v="102"/>
    <n v="5439.22"/>
    <n v="15.299999999999997"/>
  </r>
  <r>
    <x v="11"/>
    <x v="9"/>
    <x v="0"/>
    <s v="6700501"/>
    <n v="721830"/>
    <s v="Supplies-Office"/>
    <s v="Information Systems"/>
    <x v="0"/>
    <m/>
    <n v="48.26"/>
    <n v="0"/>
    <n v="54.99"/>
    <n v="0"/>
    <n v="0"/>
    <n v="0"/>
    <n v="49.17"/>
    <n v="1624.59"/>
    <n v="438.51"/>
    <n v="2002.48"/>
    <n v="488.64"/>
    <n v="0"/>
    <n v="4706.6400000000003"/>
    <n v="488.64"/>
  </r>
  <r>
    <x v="11"/>
    <x v="9"/>
    <x v="0"/>
    <s v="6700501"/>
    <n v="721870"/>
    <s v="Supplies-Environmental Services"/>
    <s v="Information Systems"/>
    <x v="0"/>
    <m/>
    <n v="49.3"/>
    <n v="0"/>
    <n v="0"/>
    <n v="52.3"/>
    <n v="16.02"/>
    <n v="0"/>
    <n v="26.55"/>
    <n v="0"/>
    <n v="0"/>
    <n v="15.74"/>
    <n v="0"/>
    <n v="0"/>
    <n v="159.91"/>
    <n v="0"/>
  </r>
  <r>
    <x v="11"/>
    <x v="9"/>
    <x v="0"/>
    <s v="6700501"/>
    <n v="721910"/>
    <s v="Supplies-Small Equipment"/>
    <s v="Information Systems"/>
    <x v="0"/>
    <m/>
    <n v="873.76"/>
    <n v="3431.32"/>
    <n v="6102.34"/>
    <n v="37470.06"/>
    <n v="-1483.8"/>
    <n v="8871.8799999999992"/>
    <n v="3230.7"/>
    <n v="56381.67"/>
    <n v="-84830.93"/>
    <n v="3087.9"/>
    <n v="4692.1000000000004"/>
    <n v="-11474.27"/>
    <n v="26352.73"/>
    <n v="16166.37"/>
  </r>
  <r>
    <x v="11"/>
    <x v="9"/>
    <x v="0"/>
    <s v="6700501"/>
    <n v="721980"/>
    <s v="Supplies-Other"/>
    <s v="Information Systems"/>
    <x v="0"/>
    <m/>
    <n v="0"/>
    <n v="0"/>
    <n v="21.36"/>
    <n v="0"/>
    <n v="0"/>
    <n v="0"/>
    <n v="120.45"/>
    <n v="0"/>
    <n v="0"/>
    <n v="0"/>
    <n v="0"/>
    <n v="0"/>
    <n v="141.81"/>
    <n v="0"/>
  </r>
  <r>
    <x v="11"/>
    <x v="9"/>
    <x v="0"/>
    <s v="6700501"/>
    <n v="722000"/>
    <s v="Supplies-Freight Expense"/>
    <s v="Information Systems"/>
    <x v="0"/>
    <m/>
    <n v="151"/>
    <n v="1081.5899999999999"/>
    <n v="132.44999999999999"/>
    <n v="89.19"/>
    <n v="62.14"/>
    <n v="2810.86"/>
    <n v="235.31"/>
    <n v="129.94999999999999"/>
    <n v="212.9"/>
    <n v="29.92"/>
    <n v="462.93"/>
    <n v="225.98"/>
    <n v="5624.22"/>
    <n v="236.95000000000002"/>
  </r>
  <r>
    <x v="12"/>
    <x v="9"/>
    <x v="0"/>
    <s v="6700501"/>
    <n v="730010"/>
    <s v="Rental and Leases-Building (DO NOT USE)"/>
    <s v="Information Systems"/>
    <x v="0"/>
    <m/>
    <n v="45206.3"/>
    <n v="45206.3"/>
    <n v="45206.3"/>
    <n v="45206.3"/>
    <n v="45206.3"/>
    <n v="-43845.52"/>
    <n v="30859.69"/>
    <n v="30859.69"/>
    <n v="31506.94"/>
    <n v="30444.32"/>
    <n v="31514.46"/>
    <n v="1438.75"/>
    <n v="338809.83"/>
    <n v="30075.71"/>
  </r>
  <r>
    <x v="12"/>
    <x v="9"/>
    <x v="0"/>
    <s v="6700501"/>
    <n v="730010"/>
    <s v="Rental-Common Area Maint (DO NOT USE)"/>
    <s v="Information Systems"/>
    <x v="0"/>
    <n v="2200"/>
    <n v="0"/>
    <n v="0"/>
    <n v="0"/>
    <n v="0"/>
    <n v="0"/>
    <n v="89213.93"/>
    <n v="24986.87"/>
    <n v="14508.72"/>
    <n v="14552.05"/>
    <n v="15575.89"/>
    <n v="14509.24"/>
    <n v="213.33"/>
    <n v="173560.02999999994"/>
    <n v="14295.91"/>
  </r>
  <r>
    <x v="12"/>
    <x v="9"/>
    <x v="0"/>
    <s v="6700501"/>
    <n v="730020"/>
    <s v="Rental and Leases-Equipment (DO NOT USE)"/>
    <s v="Information Systems"/>
    <x v="0"/>
    <m/>
    <n v="0"/>
    <n v="168.7"/>
    <n v="84.03"/>
    <n v="84.67"/>
    <n v="0"/>
    <n v="127.58"/>
    <n v="146.06"/>
    <n v="0"/>
    <n v="73.03"/>
    <n v="0"/>
    <n v="146.06"/>
    <n v="73.03"/>
    <n v="903.15999999999985"/>
    <n v="73.03"/>
  </r>
  <r>
    <x v="12"/>
    <x v="9"/>
    <x v="0"/>
    <s v="6700501"/>
    <n v="730020"/>
    <s v="Rental and Leases-Copier Usage Fees (DO NOT USE)"/>
    <s v="Information Systems"/>
    <x v="0"/>
    <n v="5100"/>
    <n v="3089.45"/>
    <n v="3210.28"/>
    <n v="3149.86"/>
    <n v="3149.86"/>
    <n v="3149.86"/>
    <n v="3149.86"/>
    <n v="-15346.18"/>
    <n v="1794.63"/>
    <n v="1790.85"/>
    <n v="2124.9899999999998"/>
    <n v="2023.86"/>
    <n v="2105.5700000000002"/>
    <n v="13392.890000000001"/>
    <n v="-81.710000000000264"/>
  </r>
  <r>
    <x v="12"/>
    <x v="9"/>
    <x v="0"/>
    <s v="6700501"/>
    <n v="730040"/>
    <s v="LT Lease-Real Estate"/>
    <s v="Information Systems"/>
    <x v="0"/>
    <m/>
    <n v="0"/>
    <n v="0"/>
    <n v="0"/>
    <n v="0"/>
    <n v="0"/>
    <n v="0"/>
    <n v="0"/>
    <n v="0"/>
    <n v="0"/>
    <n v="0"/>
    <n v="0"/>
    <n v="44472.67"/>
    <n v="44472.67"/>
    <n v="-44472.67"/>
  </r>
  <r>
    <x v="15"/>
    <x v="9"/>
    <x v="0"/>
    <s v="6700501"/>
    <n v="731050"/>
    <s v="Refuse Disposal"/>
    <s v="Information Systems"/>
    <x v="0"/>
    <m/>
    <n v="0"/>
    <n v="0"/>
    <n v="0"/>
    <n v="0"/>
    <n v="0"/>
    <n v="0"/>
    <n v="0"/>
    <n v="0"/>
    <n v="225.72"/>
    <n v="111.2"/>
    <n v="0"/>
    <n v="0"/>
    <n v="336.92"/>
    <n v="0"/>
  </r>
  <r>
    <x v="15"/>
    <x v="9"/>
    <x v="0"/>
    <s v="6700501"/>
    <n v="731060"/>
    <s v="Telephone"/>
    <s v="Information Systems"/>
    <x v="0"/>
    <m/>
    <n v="22304.53"/>
    <n v="23861.78"/>
    <n v="19849.439999999999"/>
    <n v="22378.74"/>
    <n v="22118.02"/>
    <n v="21668.85"/>
    <n v="23728.12"/>
    <n v="14943.25"/>
    <n v="13892.34"/>
    <n v="22444.12"/>
    <n v="22871.22"/>
    <n v="20963.900000000001"/>
    <n v="251024.31"/>
    <n v="1907.3199999999997"/>
  </r>
  <r>
    <x v="15"/>
    <x v="9"/>
    <x v="0"/>
    <s v="6700501"/>
    <n v="731060"/>
    <s v="Cell Phones"/>
    <s v="Information Systems"/>
    <x v="0"/>
    <n v="1001"/>
    <n v="0"/>
    <n v="183.11"/>
    <n v="58.87"/>
    <n v="0"/>
    <n v="58.93"/>
    <n v="60.54"/>
    <n v="148.38999999999999"/>
    <n v="0"/>
    <n v="63.71"/>
    <n v="121.47"/>
    <n v="59.35"/>
    <n v="60.28"/>
    <n v="814.65000000000009"/>
    <n v="-0.92999999999999972"/>
  </r>
  <r>
    <x v="15"/>
    <x v="9"/>
    <x v="0"/>
    <s v="6700501"/>
    <n v="731060"/>
    <s v="Pagers"/>
    <s v="Information Systems"/>
    <x v="0"/>
    <n v="1002"/>
    <n v="105.85"/>
    <n v="287.22000000000003"/>
    <n v="93.19"/>
    <n v="104.39"/>
    <n v="115.5"/>
    <n v="46.77"/>
    <n v="297.95999999999998"/>
    <n v="50.14"/>
    <n v="75.41"/>
    <n v="49.85"/>
    <n v="10.99"/>
    <n v="73.83"/>
    <n v="1311.1000000000001"/>
    <n v="-62.839999999999996"/>
  </r>
  <r>
    <x v="15"/>
    <x v="9"/>
    <x v="0"/>
    <s v="6700501"/>
    <n v="731065"/>
    <s v="Data Communications"/>
    <s v="Information Systems"/>
    <x v="0"/>
    <m/>
    <n v="222159.89"/>
    <n v="212998.17"/>
    <n v="208696.82"/>
    <n v="228121.09"/>
    <n v="218506.47"/>
    <n v="232016.63"/>
    <n v="119787.16"/>
    <n v="245932.65"/>
    <n v="541994.66"/>
    <n v="90533.8"/>
    <n v="556270.77"/>
    <n v="85036.23"/>
    <n v="2962054.34"/>
    <n v="471234.54000000004"/>
  </r>
  <r>
    <x v="15"/>
    <x v="9"/>
    <x v="0"/>
    <s v="6700501"/>
    <n v="731070"/>
    <s v="Cable TV"/>
    <s v="Information Systems"/>
    <x v="0"/>
    <m/>
    <n v="112.3"/>
    <n v="224.6"/>
    <n v="0"/>
    <n v="112.3"/>
    <n v="114.86"/>
    <n v="114.86"/>
    <n v="118.47"/>
    <n v="118.47"/>
    <n v="118.47"/>
    <n v="118.47"/>
    <n v="237.26"/>
    <n v="0"/>
    <n v="1390.06"/>
    <n v="237.26"/>
  </r>
  <r>
    <x v="15"/>
    <x v="9"/>
    <x v="0"/>
    <s v="6700501"/>
    <n v="731080"/>
    <s v="Teleconferencing"/>
    <s v="Information Systems"/>
    <x v="0"/>
    <m/>
    <n v="1675.9"/>
    <n v="1547.77"/>
    <n v="1907.37"/>
    <n v="2173.9299999999998"/>
    <n v="2313.63"/>
    <n v="2089.04"/>
    <n v="1639.91"/>
    <n v="2265.6999999999998"/>
    <n v="3115.53"/>
    <n v="2507.41"/>
    <n v="2533.15"/>
    <n v="3275.09"/>
    <n v="27044.43"/>
    <n v="-741.94"/>
  </r>
  <r>
    <x v="16"/>
    <x v="9"/>
    <x v="0"/>
    <s v="6700501"/>
    <n v="732030"/>
    <s v="Repairs---Other"/>
    <s v="Information Systems"/>
    <x v="0"/>
    <m/>
    <n v="0"/>
    <n v="0"/>
    <n v="0"/>
    <n v="0"/>
    <n v="336.96"/>
    <n v="0"/>
    <n v="624.95000000000005"/>
    <n v="0"/>
    <n v="0"/>
    <n v="0"/>
    <n v="0"/>
    <n v="0"/>
    <n v="961.91000000000008"/>
    <n v="0"/>
  </r>
  <r>
    <x v="16"/>
    <x v="9"/>
    <x v="0"/>
    <s v="6700501"/>
    <n v="732030"/>
    <s v="Repairs&amp;Maintenance-Bldg Routine"/>
    <s v="Information Systems"/>
    <x v="0"/>
    <n v="2300"/>
    <n v="23.96"/>
    <n v="11.38"/>
    <n v="11.38"/>
    <n v="2252.46"/>
    <n v="148.1"/>
    <n v="1144.32"/>
    <n v="11.38"/>
    <n v="11.38"/>
    <n v="11.38"/>
    <n v="7.28"/>
    <n v="7.28"/>
    <n v="157.28"/>
    <n v="3797.5800000000004"/>
    <n v="-150"/>
  </r>
  <r>
    <x v="16"/>
    <x v="9"/>
    <x v="0"/>
    <s v="6700501"/>
    <n v="733030"/>
    <s v="Maintenance Contracts-Other"/>
    <s v="Information Systems"/>
    <x v="0"/>
    <m/>
    <n v="200388.51"/>
    <n v="178491.01"/>
    <n v="344778.49"/>
    <n v="276750.23"/>
    <n v="58154.16"/>
    <n v="216321.9"/>
    <n v="188621.97"/>
    <n v="178630.83"/>
    <n v="255813.67"/>
    <n v="100725.35"/>
    <n v="172713.17"/>
    <n v="27286.27"/>
    <n v="2198675.56"/>
    <n v="145426.90000000002"/>
  </r>
  <r>
    <x v="16"/>
    <x v="9"/>
    <x v="0"/>
    <s v="6700501"/>
    <n v="733030"/>
    <s v="Maintenance Contracts-Software"/>
    <s v="Information Systems"/>
    <x v="0"/>
    <n v="1002"/>
    <n v="-23305.34"/>
    <n v="-24776.080000000002"/>
    <n v="-22711.91"/>
    <n v="-13860.86"/>
    <n v="-18689.939999999999"/>
    <n v="-17629.919999999998"/>
    <n v="-21447.200000000001"/>
    <n v="4023.93"/>
    <n v="-19745.71"/>
    <n v="16555.830000000002"/>
    <n v="-6732"/>
    <n v="-10719.11"/>
    <n v="-159038.31"/>
    <n v="3987.1100000000006"/>
  </r>
  <r>
    <x v="13"/>
    <x v="9"/>
    <x v="0"/>
    <s v="6700501"/>
    <n v="735060"/>
    <s v="Depreciation-Fixed Equipment"/>
    <s v="Information Systems"/>
    <x v="0"/>
    <m/>
    <n v="339.11"/>
    <n v="63.46"/>
    <n v="63.48"/>
    <n v="63.46"/>
    <n v="63.48"/>
    <n v="63.46"/>
    <n v="63.48"/>
    <n v="63.43"/>
    <n v="63.49"/>
    <n v="63.41"/>
    <n v="63.49"/>
    <n v="63.4"/>
    <n v="1037.1500000000001"/>
    <n v="9.0000000000003411E-2"/>
  </r>
  <r>
    <x v="13"/>
    <x v="9"/>
    <x v="0"/>
    <s v="6700501"/>
    <n v="735070"/>
    <s v="Depreciation-Movable Equipment"/>
    <s v="Information Systems"/>
    <x v="0"/>
    <m/>
    <n v="152864.66"/>
    <n v="113411.36"/>
    <n v="113262.93"/>
    <n v="111611.16"/>
    <n v="111568.44"/>
    <n v="107087.31"/>
    <n v="105138.41"/>
    <n v="98661.93"/>
    <n v="97102.82"/>
    <n v="91439.41"/>
    <n v="91294.21"/>
    <n v="91144.92"/>
    <n v="1284587.56"/>
    <n v="149.29000000000815"/>
  </r>
  <r>
    <x v="0"/>
    <x v="9"/>
    <x v="0"/>
    <s v="6700501"/>
    <n v="749510"/>
    <s v="Miscellaneous Expenses"/>
    <s v="Information Systems"/>
    <x v="0"/>
    <m/>
    <n v="242.4"/>
    <n v="0"/>
    <n v="102"/>
    <n v="348.62"/>
    <n v="3535.21"/>
    <n v="5045"/>
    <n v="6177.31"/>
    <n v="41.49"/>
    <n v="0"/>
    <n v="41.67"/>
    <n v="6641.54"/>
    <n v="11555.5"/>
    <n v="33730.740000000005"/>
    <n v="-4913.96"/>
  </r>
  <r>
    <x v="13"/>
    <x v="1"/>
    <x v="0"/>
    <s v="6701200"/>
    <n v="735070"/>
    <s v="Depreciation-Movable Equipment"/>
    <s v="HMG IT"/>
    <x v="0"/>
    <m/>
    <n v="503.46"/>
    <n v="503.44"/>
    <n v="503.46"/>
    <n v="503.4"/>
    <n v="503.46"/>
    <n v="503.4"/>
    <n v="503.47"/>
    <n v="503.4"/>
    <n v="503.57"/>
    <n v="503.4"/>
    <n v="503.69"/>
    <n v="503.24"/>
    <n v="6041.3899999999994"/>
    <n v="0.44999999999998863"/>
  </r>
  <r>
    <x v="12"/>
    <x v="6"/>
    <x v="0"/>
    <s v="6706107"/>
    <n v="730020"/>
    <s v="Rental and Leases-Equipment (DO NOT USE)"/>
    <s v="EMR Operating Cost Center"/>
    <x v="0"/>
    <m/>
    <n v="0"/>
    <n v="84.34"/>
    <n v="42.01"/>
    <n v="42.33"/>
    <n v="0"/>
    <n v="0"/>
    <n v="76.06"/>
    <n v="0"/>
    <n v="38.03"/>
    <n v="0"/>
    <n v="76.06"/>
    <n v="38.03"/>
    <n v="396.86"/>
    <n v="38.03"/>
  </r>
  <r>
    <x v="13"/>
    <x v="6"/>
    <x v="0"/>
    <s v="6706107"/>
    <n v="735070"/>
    <s v="Depreciation-Movable Equipment"/>
    <s v="EMR Operating Cost Center"/>
    <x v="0"/>
    <m/>
    <n v="39736.559999999998"/>
    <n v="2366.5100000000002"/>
    <n v="3066.66"/>
    <n v="3066.66"/>
    <n v="3066.67"/>
    <n v="3066.66"/>
    <n v="3066.67"/>
    <n v="3066.66"/>
    <n v="3066.67"/>
    <n v="3066.66"/>
    <n v="3066.69"/>
    <n v="3066.66"/>
    <n v="72769.73000000001"/>
    <n v="3.0000000000200089E-2"/>
  </r>
  <r>
    <x v="5"/>
    <x v="3"/>
    <x v="0"/>
    <s v="6720101"/>
    <n v="700026"/>
    <s v="Salaries-RN-Productive"/>
    <s v="Glytec Implementation"/>
    <x v="0"/>
    <m/>
    <n v="0"/>
    <n v="0"/>
    <n v="0"/>
    <n v="-429.97"/>
    <n v="189.18"/>
    <n v="0"/>
    <n v="0"/>
    <n v="0"/>
    <n v="0"/>
    <n v="0"/>
    <n v="0"/>
    <n v="0"/>
    <n v="-240.79000000000002"/>
    <n v="0"/>
  </r>
  <r>
    <x v="6"/>
    <x v="3"/>
    <x v="0"/>
    <s v="6720101"/>
    <n v="713010"/>
    <s v="Benefits-FICA/Medicare"/>
    <s v="Glytec Implementation"/>
    <x v="0"/>
    <m/>
    <n v="0"/>
    <n v="0"/>
    <n v="0"/>
    <n v="-32.89"/>
    <n v="14.47"/>
    <n v="0"/>
    <n v="0"/>
    <n v="0"/>
    <n v="0"/>
    <n v="0"/>
    <n v="0"/>
    <n v="0"/>
    <n v="-18.420000000000002"/>
    <n v="0"/>
  </r>
  <r>
    <x v="6"/>
    <x v="3"/>
    <x v="0"/>
    <s v="6720101"/>
    <n v="713090"/>
    <s v="Benefits-Allocated Amounts"/>
    <s v="Glytec Implementation"/>
    <x v="0"/>
    <m/>
    <n v="0"/>
    <n v="0"/>
    <n v="0"/>
    <n v="-137.54"/>
    <n v="137.54"/>
    <n v="0"/>
    <n v="0"/>
    <n v="0"/>
    <n v="0"/>
    <n v="0"/>
    <n v="0"/>
    <n v="0"/>
    <n v="0"/>
    <n v="0"/>
  </r>
  <r>
    <x v="5"/>
    <x v="4"/>
    <x v="0"/>
    <s v="6720103"/>
    <n v="700026"/>
    <s v="Salaries-RN-Productive"/>
    <s v="Glytec Implementation"/>
    <x v="0"/>
    <m/>
    <n v="0"/>
    <n v="0"/>
    <n v="0"/>
    <n v="0"/>
    <n v="0"/>
    <n v="187.5"/>
    <n v="0"/>
    <n v="0"/>
    <n v="0"/>
    <n v="0"/>
    <n v="0"/>
    <n v="0"/>
    <n v="187.5"/>
    <n v="0"/>
  </r>
  <r>
    <x v="5"/>
    <x v="4"/>
    <x v="0"/>
    <s v="6720103"/>
    <n v="700026"/>
    <s v="Salaries-RN-Other"/>
    <s v="Glytec Implementation"/>
    <x v="0"/>
    <n v="2000"/>
    <n v="0"/>
    <n v="0"/>
    <n v="0"/>
    <n v="0"/>
    <n v="0"/>
    <n v="12.75"/>
    <n v="0"/>
    <n v="0"/>
    <n v="0"/>
    <n v="0"/>
    <n v="0"/>
    <n v="0"/>
    <n v="12.75"/>
    <n v="0"/>
  </r>
  <r>
    <x v="6"/>
    <x v="4"/>
    <x v="0"/>
    <s v="6720103"/>
    <n v="713010"/>
    <s v="Benefits-FICA/Medicare"/>
    <s v="Glytec Implementation"/>
    <x v="0"/>
    <m/>
    <n v="0"/>
    <n v="0"/>
    <n v="0"/>
    <n v="0"/>
    <n v="0"/>
    <n v="15.03"/>
    <n v="0"/>
    <n v="0"/>
    <n v="0"/>
    <n v="0"/>
    <n v="0"/>
    <n v="0"/>
    <n v="15.03"/>
    <n v="0"/>
  </r>
  <r>
    <x v="6"/>
    <x v="4"/>
    <x v="0"/>
    <s v="6720103"/>
    <n v="713090"/>
    <s v="Benefits-Allocated Amounts"/>
    <s v="Glytec Implementation"/>
    <x v="0"/>
    <m/>
    <n v="0"/>
    <n v="0"/>
    <n v="0"/>
    <n v="0"/>
    <n v="0"/>
    <n v="42.03"/>
    <n v="7.73"/>
    <n v="7.46"/>
    <n v="-40.07"/>
    <n v="2"/>
    <n v="-19.149999999999999"/>
    <n v="0"/>
    <n v="7.1054273576010019E-15"/>
    <n v="-19.149999999999999"/>
  </r>
  <r>
    <x v="5"/>
    <x v="7"/>
    <x v="0"/>
    <s v="6720150"/>
    <n v="700026"/>
    <s v="Salaries-RN-Productive"/>
    <s v="Glytec Implementation"/>
    <x v="0"/>
    <m/>
    <n v="0"/>
    <n v="240.79"/>
    <n v="0"/>
    <n v="0"/>
    <n v="0"/>
    <n v="0"/>
    <n v="0"/>
    <n v="0"/>
    <n v="0"/>
    <n v="0"/>
    <n v="0"/>
    <n v="0"/>
    <n v="240.79"/>
    <n v="0"/>
  </r>
  <r>
    <x v="5"/>
    <x v="7"/>
    <x v="0"/>
    <s v="6720150"/>
    <n v="700032"/>
    <s v="Salaries-Other Pat Care Providers-Productive"/>
    <s v="Glytec Implementation"/>
    <x v="0"/>
    <m/>
    <n v="0"/>
    <n v="0"/>
    <n v="-55.59"/>
    <n v="20.21"/>
    <n v="0"/>
    <n v="0"/>
    <n v="0"/>
    <n v="0"/>
    <n v="0"/>
    <n v="0"/>
    <n v="0"/>
    <n v="0"/>
    <n v="-35.380000000000003"/>
    <n v="0"/>
  </r>
  <r>
    <x v="5"/>
    <x v="7"/>
    <x v="0"/>
    <s v="6720150"/>
    <n v="700032"/>
    <s v="Salaries-Other Pat Care Providers-Other"/>
    <s v="Glytec Implementation"/>
    <x v="0"/>
    <n v="2000"/>
    <n v="0"/>
    <n v="0"/>
    <n v="-3.37"/>
    <n v="1.22"/>
    <n v="0"/>
    <n v="0"/>
    <n v="0"/>
    <n v="0"/>
    <n v="0"/>
    <n v="0"/>
    <n v="0"/>
    <n v="0"/>
    <n v="-2.1500000000000004"/>
    <n v="0"/>
  </r>
  <r>
    <x v="5"/>
    <x v="7"/>
    <x v="0"/>
    <s v="6720150"/>
    <n v="700038"/>
    <s v="Salaries-Service/Support-Productive"/>
    <s v="Glytec Implementation"/>
    <x v="0"/>
    <m/>
    <n v="0"/>
    <n v="0"/>
    <n v="61.79"/>
    <n v="-22.46"/>
    <n v="0"/>
    <n v="33.03"/>
    <n v="-2.6"/>
    <n v="0"/>
    <n v="0"/>
    <n v="0"/>
    <n v="0"/>
    <n v="0"/>
    <n v="69.760000000000005"/>
    <n v="0"/>
  </r>
  <r>
    <x v="5"/>
    <x v="7"/>
    <x v="0"/>
    <s v="6720150"/>
    <n v="700038"/>
    <s v="Salaries-Service/Support-OT"/>
    <s v="Glytec Implementation"/>
    <x v="0"/>
    <n v="1000"/>
    <n v="0"/>
    <n v="0"/>
    <n v="18.8"/>
    <n v="-6.83"/>
    <n v="0"/>
    <n v="0"/>
    <n v="0"/>
    <n v="0"/>
    <n v="19.350000000000001"/>
    <n v="-7.03"/>
    <n v="0"/>
    <n v="0"/>
    <n v="24.29"/>
    <n v="0"/>
  </r>
  <r>
    <x v="5"/>
    <x v="7"/>
    <x v="0"/>
    <s v="6720150"/>
    <n v="700038"/>
    <s v="Salaries-Service/Support-Other"/>
    <s v="Glytec Implementation"/>
    <x v="0"/>
    <n v="2000"/>
    <n v="0"/>
    <n v="0"/>
    <n v="2.84"/>
    <n v="-1.03"/>
    <n v="0"/>
    <n v="1.71"/>
    <n v="-0.21"/>
    <n v="0"/>
    <n v="0"/>
    <n v="0"/>
    <n v="0"/>
    <n v="0"/>
    <n v="3.3099999999999996"/>
    <n v="0"/>
  </r>
  <r>
    <x v="6"/>
    <x v="7"/>
    <x v="0"/>
    <s v="6720150"/>
    <n v="713010"/>
    <s v="Benefits-FICA/Medicare"/>
    <s v="Glytec Implementation"/>
    <x v="0"/>
    <m/>
    <n v="0"/>
    <n v="18.420000000000002"/>
    <n v="1.95"/>
    <n v="-0.7"/>
    <n v="0"/>
    <n v="2.63"/>
    <n v="-0.2"/>
    <n v="0"/>
    <n v="1.34"/>
    <n v="-0.48"/>
    <n v="0"/>
    <n v="0"/>
    <n v="22.96"/>
    <n v="0"/>
  </r>
  <r>
    <x v="6"/>
    <x v="7"/>
    <x v="0"/>
    <s v="6720150"/>
    <n v="713090"/>
    <s v="Benefits-Allocated Amounts"/>
    <s v="Glytec Implementation"/>
    <x v="0"/>
    <m/>
    <n v="0"/>
    <n v="41.35"/>
    <n v="11.9"/>
    <n v="-2.13"/>
    <n v="0.26"/>
    <n v="6.61"/>
    <n v="-3.17"/>
    <n v="7.08"/>
    <n v="1.54"/>
    <n v="7.69"/>
    <n v="-13.54"/>
    <n v="5.59"/>
    <n v="63.179999999999993"/>
    <n v="-19.13"/>
  </r>
  <r>
    <x v="6"/>
    <x v="7"/>
    <x v="0"/>
    <s v="6720150"/>
    <n v="713096"/>
    <s v="Employee Recognition"/>
    <s v="Glytec Implementation"/>
    <x v="0"/>
    <n v="1017"/>
    <n v="0"/>
    <n v="0"/>
    <n v="0"/>
    <n v="0"/>
    <n v="0"/>
    <n v="0"/>
    <n v="0"/>
    <n v="0"/>
    <n v="0"/>
    <n v="0"/>
    <n v="0"/>
    <n v="0"/>
    <n v="0"/>
    <n v="0"/>
  </r>
  <r>
    <x v="7"/>
    <x v="9"/>
    <x v="0"/>
    <s v="6720501"/>
    <n v="718050"/>
    <s v="Miscellaneous Purchased Svcs"/>
    <s v="Glytec Implementation"/>
    <x v="0"/>
    <n v="1020"/>
    <n v="0"/>
    <n v="0"/>
    <n v="0"/>
    <n v="0"/>
    <n v="0"/>
    <n v="0"/>
    <n v="0"/>
    <n v="0"/>
    <n v="2122.63"/>
    <n v="0"/>
    <n v="5431.44"/>
    <n v="0"/>
    <n v="7554.07"/>
    <n v="5431.44"/>
  </r>
  <r>
    <x v="12"/>
    <x v="9"/>
    <x v="0"/>
    <s v="6720501"/>
    <n v="730020"/>
    <s v="Rental and Leases-Copier Usage Fees (DO NOT USE)"/>
    <s v="Glytec Implementation"/>
    <x v="0"/>
    <n v="5100"/>
    <n v="81.650000000000006"/>
    <n v="52.55"/>
    <n v="67.099999999999994"/>
    <n v="67.099999999999994"/>
    <n v="67.099999999999994"/>
    <n v="67.099999999999994"/>
    <n v="-1358.77"/>
    <n v="0"/>
    <n v="0"/>
    <n v="0"/>
    <n v="0"/>
    <n v="0"/>
    <n v="-956.17"/>
    <n v="0"/>
  </r>
  <r>
    <x v="5"/>
    <x v="3"/>
    <x v="0"/>
    <s v="6727101"/>
    <n v="700026"/>
    <s v="Salaries-RN-Productive"/>
    <s v="EPIC Upgrade"/>
    <x v="0"/>
    <m/>
    <n v="0"/>
    <n v="0"/>
    <n v="459.87"/>
    <n v="-167.21"/>
    <n v="1091.82"/>
    <n v="-525.66"/>
    <n v="0"/>
    <n v="0"/>
    <n v="0"/>
    <n v="0"/>
    <n v="0"/>
    <n v="0"/>
    <n v="858.82"/>
    <n v="0"/>
  </r>
  <r>
    <x v="5"/>
    <x v="3"/>
    <x v="0"/>
    <s v="6727101"/>
    <n v="700026"/>
    <s v="Salaries-RN-OT"/>
    <s v="EPIC Upgrade"/>
    <x v="0"/>
    <n v="1000"/>
    <n v="0"/>
    <n v="0"/>
    <n v="480.83"/>
    <n v="-174.83"/>
    <n v="133.87"/>
    <n v="-32.97"/>
    <n v="0"/>
    <n v="0"/>
    <n v="0"/>
    <n v="0"/>
    <n v="0"/>
    <n v="0"/>
    <n v="406.9"/>
    <n v="0"/>
  </r>
  <r>
    <x v="5"/>
    <x v="3"/>
    <x v="0"/>
    <s v="6727101"/>
    <n v="700026"/>
    <s v="Salaries-RN-Other"/>
    <s v="EPIC Upgrade"/>
    <x v="0"/>
    <n v="2000"/>
    <n v="0"/>
    <n v="0"/>
    <n v="98.49"/>
    <n v="-35.78"/>
    <n v="114.51"/>
    <n v="-53.07"/>
    <n v="0"/>
    <n v="0"/>
    <n v="0"/>
    <n v="0"/>
    <n v="0"/>
    <n v="0"/>
    <n v="124.15"/>
    <n v="0"/>
  </r>
  <r>
    <x v="6"/>
    <x v="3"/>
    <x v="0"/>
    <s v="6727101"/>
    <n v="713010"/>
    <s v="Benefits-FICA/Medicare"/>
    <s v="EPIC Upgrade"/>
    <x v="0"/>
    <m/>
    <n v="0"/>
    <n v="0"/>
    <n v="77.97"/>
    <n v="-28.31"/>
    <n v="100.71"/>
    <n v="-45.98"/>
    <n v="0"/>
    <n v="0"/>
    <n v="0"/>
    <n v="0"/>
    <n v="0"/>
    <n v="0"/>
    <n v="104.39000000000001"/>
    <n v="0"/>
  </r>
  <r>
    <x v="6"/>
    <x v="3"/>
    <x v="0"/>
    <s v="6727101"/>
    <n v="713090"/>
    <s v="Benefits-Allocated Amounts"/>
    <s v="EPIC Upgrade"/>
    <x v="0"/>
    <m/>
    <n v="0"/>
    <n v="0"/>
    <n v="205"/>
    <n v="-67.459999999999994"/>
    <n v="206.3"/>
    <n v="-137.19"/>
    <n v="36.97"/>
    <n v="35.54"/>
    <n v="30.73"/>
    <n v="36.54"/>
    <n v="38.21"/>
    <n v="36.75"/>
    <n v="421.39000000000004"/>
    <n v="1.4600000000000009"/>
  </r>
  <r>
    <x v="5"/>
    <x v="8"/>
    <x v="0"/>
    <s v="6727104"/>
    <n v="700026"/>
    <s v="Salaries-RN-Productive"/>
    <s v="EPIC Upgrade"/>
    <x v="0"/>
    <m/>
    <n v="0"/>
    <n v="0"/>
    <n v="0"/>
    <n v="0"/>
    <n v="1500.69"/>
    <n v="-722.52"/>
    <n v="0"/>
    <n v="0"/>
    <n v="0"/>
    <n v="0"/>
    <n v="0"/>
    <n v="0"/>
    <n v="778.17000000000007"/>
    <n v="0"/>
  </r>
  <r>
    <x v="5"/>
    <x v="8"/>
    <x v="0"/>
    <s v="6727104"/>
    <n v="700026"/>
    <s v="Salaries-RN-OT"/>
    <s v="EPIC Upgrade"/>
    <x v="0"/>
    <n v="1000"/>
    <n v="0"/>
    <n v="0"/>
    <n v="0"/>
    <n v="0"/>
    <n v="227.85"/>
    <n v="-109.7"/>
    <n v="0"/>
    <n v="0"/>
    <n v="0"/>
    <n v="0"/>
    <n v="0"/>
    <n v="0"/>
    <n v="118.14999999999999"/>
    <n v="0"/>
  </r>
  <r>
    <x v="5"/>
    <x v="8"/>
    <x v="0"/>
    <s v="6727104"/>
    <n v="700026"/>
    <s v="Salaries-RN-Other"/>
    <s v="EPIC Upgrade"/>
    <x v="0"/>
    <n v="2000"/>
    <n v="0"/>
    <n v="0"/>
    <n v="0"/>
    <n v="0"/>
    <n v="172.58"/>
    <n v="-83.08"/>
    <n v="0"/>
    <n v="0"/>
    <n v="0"/>
    <n v="0"/>
    <n v="0"/>
    <n v="0"/>
    <n v="89.500000000000014"/>
    <n v="0"/>
  </r>
  <r>
    <x v="6"/>
    <x v="8"/>
    <x v="0"/>
    <s v="6727104"/>
    <n v="713010"/>
    <s v="Benefits-FICA/Medicare"/>
    <s v="EPIC Upgrade"/>
    <x v="0"/>
    <m/>
    <n v="0"/>
    <n v="0"/>
    <n v="0"/>
    <n v="0"/>
    <n v="143.91999999999999"/>
    <n v="-69.28"/>
    <n v="0"/>
    <n v="0"/>
    <n v="0"/>
    <n v="0"/>
    <n v="0"/>
    <n v="0"/>
    <n v="74.639999999999986"/>
    <n v="0"/>
  </r>
  <r>
    <x v="6"/>
    <x v="8"/>
    <x v="0"/>
    <s v="6727104"/>
    <n v="713090"/>
    <s v="Benefits-Allocated Amounts"/>
    <s v="EPIC Upgrade"/>
    <x v="0"/>
    <m/>
    <n v="0"/>
    <n v="0"/>
    <n v="0"/>
    <n v="0"/>
    <n v="301.39999999999998"/>
    <n v="-137.85"/>
    <n v="-15.74"/>
    <n v="8.8800000000000008"/>
    <n v="20.61"/>
    <n v="-27.25"/>
    <n v="15.91"/>
    <n v="-5.35"/>
    <n v="160.60999999999996"/>
    <n v="21.259999999999998"/>
  </r>
  <r>
    <x v="12"/>
    <x v="6"/>
    <x v="0"/>
    <s v="6730107"/>
    <n v="730020"/>
    <s v="Rental and Leases-Equipment (DO NOT USE)"/>
    <s v="Switchboard Operations"/>
    <x v="0"/>
    <m/>
    <n v="0"/>
    <n v="84.35"/>
    <n v="42.02"/>
    <n v="42.33"/>
    <n v="0"/>
    <n v="0"/>
    <n v="76.06"/>
    <n v="0"/>
    <n v="38.03"/>
    <n v="0"/>
    <n v="76.06"/>
    <n v="38.03"/>
    <n v="396.88"/>
    <n v="38.03"/>
  </r>
  <r>
    <x v="12"/>
    <x v="6"/>
    <x v="0"/>
    <s v="6730107"/>
    <n v="730020"/>
    <s v="Rental and Leases-Copier Usage Fees (DO NOT USE)"/>
    <s v="Switchboard Operations"/>
    <x v="0"/>
    <n v="5100"/>
    <n v="112.84"/>
    <n v="115.29"/>
    <n v="114.06"/>
    <n v="114.06"/>
    <n v="114.06"/>
    <n v="114.06"/>
    <n v="139.38999999999999"/>
    <n v="14.24"/>
    <n v="14.21"/>
    <n v="441.55"/>
    <n v="14.24"/>
    <n v="17.760000000000002"/>
    <n v="1325.76"/>
    <n v="-3.5200000000000014"/>
  </r>
  <r>
    <x v="15"/>
    <x v="6"/>
    <x v="0"/>
    <s v="6730107"/>
    <n v="731060"/>
    <s v="Telephone"/>
    <s v="Switchboard Operations"/>
    <x v="0"/>
    <m/>
    <n v="20796.54"/>
    <n v="59297.23"/>
    <n v="12957.26"/>
    <n v="26605.65"/>
    <n v="21855.919999999998"/>
    <n v="18925.45"/>
    <n v="26845.45"/>
    <n v="18645.36"/>
    <n v="20749.8"/>
    <n v="21852.62"/>
    <n v="20064.12"/>
    <n v="18623.580000000002"/>
    <n v="287218.98"/>
    <n v="1440.5399999999972"/>
  </r>
  <r>
    <x v="15"/>
    <x v="6"/>
    <x v="0"/>
    <s v="6730107"/>
    <n v="731065"/>
    <s v="Data Communications"/>
    <s v="Switchboard Operations"/>
    <x v="0"/>
    <m/>
    <n v="218.97"/>
    <n v="218.97"/>
    <n v="218.97"/>
    <n v="218.97"/>
    <n v="218.97"/>
    <n v="218.97"/>
    <n v="218.97"/>
    <n v="200.88"/>
    <n v="200.88"/>
    <n v="200.88"/>
    <n v="200.88"/>
    <n v="200.88"/>
    <n v="2537.1900000000005"/>
    <n v="0"/>
  </r>
  <r>
    <x v="13"/>
    <x v="6"/>
    <x v="0"/>
    <s v="6730107"/>
    <n v="735070"/>
    <s v="Depreciation-Movable Equipment"/>
    <s v="Switchboard Operations"/>
    <x v="0"/>
    <m/>
    <n v="12174.04"/>
    <n v="6844.24"/>
    <n v="6844.26"/>
    <n v="6844.24"/>
    <n v="6844.32"/>
    <n v="6844.17"/>
    <n v="6844.32"/>
    <n v="6844.16"/>
    <n v="6844.33"/>
    <n v="6844.15"/>
    <n v="6844.34"/>
    <n v="6844.14"/>
    <n v="87460.709999999992"/>
    <n v="0.1999999999998181"/>
  </r>
  <r>
    <x v="5"/>
    <x v="7"/>
    <x v="0"/>
    <s v="6730150"/>
    <n v="700034"/>
    <s v="Salaries-Tech/Professional-Productive"/>
    <s v="Telecom-Switchboard Ops"/>
    <x v="0"/>
    <m/>
    <n v="0"/>
    <n v="0"/>
    <n v="0"/>
    <n v="0"/>
    <n v="0"/>
    <n v="0"/>
    <n v="0"/>
    <n v="0"/>
    <n v="0"/>
    <n v="0"/>
    <n v="0"/>
    <n v="-1561.38"/>
    <n v="-1561.38"/>
    <n v="1561.38"/>
  </r>
  <r>
    <x v="6"/>
    <x v="7"/>
    <x v="0"/>
    <s v="6730150"/>
    <n v="713010"/>
    <s v="Benefits-FICA/Medicare"/>
    <s v="Telecom-Switchboard Ops"/>
    <x v="0"/>
    <m/>
    <n v="0"/>
    <n v="0"/>
    <n v="0"/>
    <n v="0"/>
    <n v="0"/>
    <n v="0"/>
    <n v="0"/>
    <n v="0"/>
    <n v="0"/>
    <n v="0"/>
    <n v="0"/>
    <n v="-118.81"/>
    <n v="-118.81"/>
    <n v="118.81"/>
  </r>
  <r>
    <x v="6"/>
    <x v="7"/>
    <x v="0"/>
    <s v="6730150"/>
    <n v="713090"/>
    <s v="Benefits-Allocated Amounts"/>
    <s v="Telecom-Switchboard Ops"/>
    <x v="0"/>
    <m/>
    <n v="0"/>
    <n v="0"/>
    <n v="0"/>
    <n v="0"/>
    <n v="0"/>
    <n v="0"/>
    <n v="0"/>
    <n v="0"/>
    <n v="0"/>
    <n v="0"/>
    <n v="0"/>
    <n v="-307.57"/>
    <n v="-307.57"/>
    <n v="307.57"/>
  </r>
  <r>
    <x v="15"/>
    <x v="7"/>
    <x v="0"/>
    <s v="6730150"/>
    <n v="731060"/>
    <s v="Telephone"/>
    <s v="Telecom-Switchboard Ops"/>
    <x v="0"/>
    <m/>
    <n v="1680.59"/>
    <n v="2945.21"/>
    <n v="1302.3499999999999"/>
    <n v="1370.84"/>
    <n v="1656.49"/>
    <n v="1519.56"/>
    <n v="1901.14"/>
    <n v="1382.35"/>
    <n v="1556.51"/>
    <n v="1564.98"/>
    <n v="1578.82"/>
    <n v="1610.37"/>
    <n v="20069.21"/>
    <n v="-31.549999999999955"/>
  </r>
  <r>
    <x v="15"/>
    <x v="7"/>
    <x v="0"/>
    <s v="6730150"/>
    <n v="731070"/>
    <s v="Cable TV"/>
    <s v="Telecom-Switchboard Ops"/>
    <x v="0"/>
    <m/>
    <n v="1073.75"/>
    <n v="1073.75"/>
    <n v="1073.75"/>
    <n v="1073.75"/>
    <n v="1073.19"/>
    <n v="1073.19"/>
    <n v="1105.29"/>
    <n v="1105.29"/>
    <n v="1105.29"/>
    <n v="1105.29"/>
    <n v="1105.29"/>
    <n v="1116.08"/>
    <n v="13083.910000000002"/>
    <n v="-10.789999999999964"/>
  </r>
  <r>
    <x v="5"/>
    <x v="9"/>
    <x v="0"/>
    <s v="6730501"/>
    <n v="700014"/>
    <s v="Salaries-Management-Productive"/>
    <s v="Telecommunications"/>
    <x v="0"/>
    <m/>
    <n v="5768.66"/>
    <n v="3600.62"/>
    <n v="6300.8"/>
    <n v="6533.19"/>
    <n v="4053.46"/>
    <n v="4860.08"/>
    <n v="6461.55"/>
    <n v="4335.8599999999997"/>
    <n v="6121.15"/>
    <n v="5865.94"/>
    <n v="6206.19"/>
    <n v="4782.33"/>
    <n v="64889.830000000009"/>
    <n v="1423.8599999999997"/>
  </r>
  <r>
    <x v="5"/>
    <x v="9"/>
    <x v="0"/>
    <s v="6730501"/>
    <n v="700034"/>
    <s v="Salaries-Tech/Professional-Productive"/>
    <s v="Telecommunications"/>
    <x v="0"/>
    <m/>
    <n v="10203.57"/>
    <n v="9891.7199999999993"/>
    <n v="6351.38"/>
    <n v="13874.59"/>
    <n v="7671.39"/>
    <n v="6030.54"/>
    <n v="11631.09"/>
    <n v="8899.5"/>
    <n v="12110.25"/>
    <n v="10764.03"/>
    <n v="10940.95"/>
    <n v="6627.27"/>
    <n v="114996.28"/>
    <n v="4313.68"/>
  </r>
  <r>
    <x v="5"/>
    <x v="9"/>
    <x v="0"/>
    <s v="6730501"/>
    <n v="700034"/>
    <s v="Salaries-Tech/Professional-OT"/>
    <s v="Telecommunications"/>
    <x v="0"/>
    <n v="1000"/>
    <n v="13.31"/>
    <n v="129.33000000000001"/>
    <n v="-38.79"/>
    <n v="680.31"/>
    <n v="-277.63"/>
    <n v="105.42"/>
    <n v="-7.02"/>
    <n v="27.35"/>
    <n v="36.94"/>
    <n v="535.16"/>
    <n v="-63.48"/>
    <n v="12.32"/>
    <n v="1153.22"/>
    <n v="-75.8"/>
  </r>
  <r>
    <x v="5"/>
    <x v="9"/>
    <x v="0"/>
    <s v="6730501"/>
    <n v="700034"/>
    <s v="Salaries-Tech/Professional-Other"/>
    <s v="Telecommunications"/>
    <x v="0"/>
    <n v="2000"/>
    <n v="0"/>
    <n v="0"/>
    <n v="0"/>
    <n v="0"/>
    <n v="0"/>
    <n v="0"/>
    <n v="0"/>
    <n v="5.35"/>
    <n v="-0.26"/>
    <n v="0"/>
    <n v="0"/>
    <n v="0"/>
    <n v="5.09"/>
    <n v="0"/>
  </r>
  <r>
    <x v="5"/>
    <x v="9"/>
    <x v="0"/>
    <s v="6730501"/>
    <n v="700038"/>
    <s v="Salaries-Service/Support-Productive"/>
    <s v="Telecommunications"/>
    <x v="0"/>
    <m/>
    <n v="48408.37"/>
    <n v="42802.22"/>
    <n v="45314.85"/>
    <n v="43482.05"/>
    <n v="45440.9"/>
    <n v="47373.83"/>
    <n v="48024.6"/>
    <n v="44422.21"/>
    <n v="45022"/>
    <n v="45158.06"/>
    <n v="48370.46"/>
    <n v="49119.82"/>
    <n v="552939.37"/>
    <n v="-749.36000000000058"/>
  </r>
  <r>
    <x v="5"/>
    <x v="9"/>
    <x v="0"/>
    <s v="6730501"/>
    <n v="700038"/>
    <s v="Salaries-Service/Support-OT"/>
    <s v="Telecommunications"/>
    <x v="0"/>
    <n v="1000"/>
    <n v="806.61"/>
    <n v="3740.4"/>
    <n v="-66.28"/>
    <n v="2040.68"/>
    <n v="3520.01"/>
    <n v="1877.18"/>
    <n v="1757.67"/>
    <n v="2560.08"/>
    <n v="1820.26"/>
    <n v="1452.88"/>
    <n v="5055.22"/>
    <n v="259.8"/>
    <n v="24824.510000000002"/>
    <n v="4795.42"/>
  </r>
  <r>
    <x v="5"/>
    <x v="9"/>
    <x v="0"/>
    <s v="6730501"/>
    <n v="700038"/>
    <s v="Salaries-Service/Support-Other"/>
    <s v="Telecommunications"/>
    <x v="0"/>
    <n v="2000"/>
    <n v="4512.1099999999997"/>
    <n v="4013.81"/>
    <n v="3948.34"/>
    <n v="3416.94"/>
    <n v="3885.89"/>
    <n v="3705.87"/>
    <n v="3691.42"/>
    <n v="3420.11"/>
    <n v="3726.41"/>
    <n v="3460.91"/>
    <n v="4257.09"/>
    <n v="3875.1"/>
    <n v="45913.999999999993"/>
    <n v="381.99000000000024"/>
  </r>
  <r>
    <x v="5"/>
    <x v="9"/>
    <x v="0"/>
    <s v="6730501"/>
    <n v="700054"/>
    <s v="Salaries-Management-Non-productive"/>
    <s v="Telecommunications"/>
    <x v="0"/>
    <m/>
    <n v="572.79999999999995"/>
    <n v="2741.13"/>
    <n v="-163.53"/>
    <n v="0"/>
    <n v="2313.2199999999998"/>
    <n v="1719.05"/>
    <n v="127.85"/>
    <n v="1615.25"/>
    <n v="467.65"/>
    <n v="510.07"/>
    <n v="382.6"/>
    <n v="0"/>
    <n v="10286.09"/>
    <n v="382.6"/>
  </r>
  <r>
    <x v="5"/>
    <x v="9"/>
    <x v="0"/>
    <s v="6730501"/>
    <n v="700054"/>
    <s v="Salaries-Management-NonProd-Other"/>
    <s v="Telecommunications"/>
    <x v="0"/>
    <n v="2000"/>
    <n v="0"/>
    <n v="0"/>
    <n v="0"/>
    <n v="0"/>
    <n v="0"/>
    <n v="1034.81"/>
    <n v="-1034.81"/>
    <n v="0"/>
    <n v="0"/>
    <n v="0"/>
    <n v="0"/>
    <n v="0"/>
    <n v="0"/>
    <n v="0"/>
  </r>
  <r>
    <x v="5"/>
    <x v="9"/>
    <x v="0"/>
    <s v="6730501"/>
    <n v="700074"/>
    <s v="Salaries-Tech/Professional-Non-productive"/>
    <s v="Telecommunications"/>
    <x v="0"/>
    <m/>
    <n v="1799.48"/>
    <n v="2037.07"/>
    <n v="1250.6199999999999"/>
    <n v="-231.56"/>
    <n v="4205.93"/>
    <n v="6315.23"/>
    <n v="420.14"/>
    <n v="2424.86"/>
    <n v="-159.51"/>
    <n v="1337.6"/>
    <n v="1415.72"/>
    <n v="785.93"/>
    <n v="21601.510000000002"/>
    <n v="629.79000000000008"/>
  </r>
  <r>
    <x v="5"/>
    <x v="9"/>
    <x v="0"/>
    <s v="6730501"/>
    <n v="700074"/>
    <s v="Salaries-Tech/Professional-NonProd-Other"/>
    <s v="Telecommunications"/>
    <x v="0"/>
    <n v="2000"/>
    <n v="0"/>
    <n v="0"/>
    <n v="0"/>
    <n v="0"/>
    <n v="0"/>
    <n v="0"/>
    <n v="148.32"/>
    <n v="153.01"/>
    <n v="-50.52"/>
    <n v="0"/>
    <n v="0"/>
    <n v="0"/>
    <n v="250.80999999999997"/>
    <n v="0"/>
  </r>
  <r>
    <x v="5"/>
    <x v="9"/>
    <x v="0"/>
    <s v="6730501"/>
    <n v="700078"/>
    <s v="Salaries-Service/Support-Non-productive"/>
    <s v="Telecommunications"/>
    <x v="0"/>
    <m/>
    <n v="5355.05"/>
    <n v="10178.040000000001"/>
    <n v="2232.75"/>
    <n v="5020.28"/>
    <n v="2793.27"/>
    <n v="6843.89"/>
    <n v="5357.13"/>
    <n v="4552.68"/>
    <n v="8044.46"/>
    <n v="6996.98"/>
    <n v="8852.98"/>
    <n v="4600.07"/>
    <n v="70827.579999999987"/>
    <n v="4252.91"/>
  </r>
  <r>
    <x v="5"/>
    <x v="9"/>
    <x v="0"/>
    <s v="6730501"/>
    <n v="700078"/>
    <s v="Salaries-Service/Support-NonProd-Other"/>
    <s v="Telecommunications"/>
    <x v="0"/>
    <n v="2000"/>
    <n v="248.6"/>
    <n v="294.69"/>
    <n v="122.34"/>
    <n v="194.96"/>
    <n v="685.01"/>
    <n v="659.63"/>
    <n v="260.56"/>
    <n v="-192.08"/>
    <n v="104.46"/>
    <n v="316.24"/>
    <n v="432.12"/>
    <n v="441.77"/>
    <n v="3568.2999999999997"/>
    <n v="-9.6499999999999773"/>
  </r>
  <r>
    <x v="5"/>
    <x v="9"/>
    <x v="0"/>
    <s v="6730501"/>
    <n v="700084"/>
    <s v="Accrued PTO"/>
    <s v="Telecommunications"/>
    <x v="0"/>
    <m/>
    <n v="2598.16"/>
    <n v="-811.92"/>
    <n v="1074.21"/>
    <n v="5664.87"/>
    <n v="329.16"/>
    <n v="-2587.75"/>
    <n v="3661.7"/>
    <n v="423.96"/>
    <n v="4985.04"/>
    <n v="2265.0100000000002"/>
    <n v="545.25"/>
    <n v="793.5"/>
    <n v="18941.190000000002"/>
    <n v="-248.25"/>
  </r>
  <r>
    <x v="6"/>
    <x v="9"/>
    <x v="0"/>
    <s v="6730501"/>
    <n v="713010"/>
    <s v="Benefits-FICA/Medicare"/>
    <s v="Telecommunications"/>
    <x v="0"/>
    <m/>
    <n v="5742.63"/>
    <n v="5867.87"/>
    <n v="4901.32"/>
    <n v="5557.78"/>
    <n v="5675.69"/>
    <n v="6234.85"/>
    <n v="5820.58"/>
    <n v="5385.05"/>
    <n v="5707.11"/>
    <n v="5650.92"/>
    <n v="6363.81"/>
    <n v="5273.39"/>
    <n v="68181"/>
    <n v="1090.42"/>
  </r>
  <r>
    <x v="6"/>
    <x v="9"/>
    <x v="0"/>
    <s v="6730501"/>
    <n v="713090"/>
    <s v="Benefits-Allocated Amounts"/>
    <s v="Telecommunications"/>
    <x v="0"/>
    <m/>
    <n v="22183.18"/>
    <n v="20402.88"/>
    <n v="18786.650000000001"/>
    <n v="20070.79"/>
    <n v="19442.54"/>
    <n v="22247.119999999999"/>
    <n v="23058.86"/>
    <n v="22102.98"/>
    <n v="23969.31"/>
    <n v="23220.34"/>
    <n v="25303.47"/>
    <n v="21741.42"/>
    <n v="262529.54000000004"/>
    <n v="3562.0500000000029"/>
  </r>
  <r>
    <x v="6"/>
    <x v="9"/>
    <x v="0"/>
    <s v="6730501"/>
    <n v="713096"/>
    <s v="Employee Recognition"/>
    <s v="Telecommunications"/>
    <x v="0"/>
    <n v="1017"/>
    <n v="0"/>
    <n v="0"/>
    <n v="0"/>
    <n v="0"/>
    <n v="0"/>
    <n v="0"/>
    <n v="0"/>
    <n v="77.05"/>
    <n v="20.69"/>
    <n v="0"/>
    <n v="0"/>
    <n v="0"/>
    <n v="97.74"/>
    <n v="0"/>
  </r>
  <r>
    <x v="7"/>
    <x v="9"/>
    <x v="0"/>
    <s v="6730501"/>
    <n v="718050"/>
    <s v="Contract Svcs-Other"/>
    <s v="Telecommunications"/>
    <x v="0"/>
    <m/>
    <n v="0"/>
    <n v="0"/>
    <n v="1985"/>
    <n v="0"/>
    <n v="76.58"/>
    <n v="2500"/>
    <n v="990"/>
    <n v="0"/>
    <n v="1193.48"/>
    <n v="3779.86"/>
    <n v="86.86"/>
    <n v="3898.1"/>
    <n v="14509.880000000001"/>
    <n v="-3811.24"/>
  </r>
  <r>
    <x v="7"/>
    <x v="9"/>
    <x v="0"/>
    <s v="6730501"/>
    <n v="718050"/>
    <s v="Miscellaneous Purchased Svcs"/>
    <s v="Telecommunications"/>
    <x v="0"/>
    <n v="1020"/>
    <n v="0"/>
    <n v="152.4"/>
    <n v="354.87"/>
    <n v="0"/>
    <n v="0"/>
    <n v="76.58"/>
    <n v="153.16"/>
    <n v="0"/>
    <n v="134.4"/>
    <n v="77.400000000000006"/>
    <n v="247.3"/>
    <n v="4884.34"/>
    <n v="6080.45"/>
    <n v="-4637.04"/>
  </r>
  <r>
    <x v="7"/>
    <x v="9"/>
    <x v="0"/>
    <s v="6730501"/>
    <n v="718050"/>
    <s v="Translation Services"/>
    <s v="Telecommunications"/>
    <x v="0"/>
    <n v="1025"/>
    <n v="0"/>
    <n v="0"/>
    <n v="682.47"/>
    <n v="120.19"/>
    <n v="165.11"/>
    <n v="0"/>
    <n v="121.28"/>
    <n v="0"/>
    <n v="122.81"/>
    <n v="122.39"/>
    <n v="0"/>
    <n v="89.42"/>
    <n v="1423.6700000000003"/>
    <n v="-89.42"/>
  </r>
  <r>
    <x v="11"/>
    <x v="9"/>
    <x v="0"/>
    <s v="6730501"/>
    <n v="721410"/>
    <s v="Supplies-Medical - Nonbillable"/>
    <s v="Telecommunications"/>
    <x v="0"/>
    <m/>
    <n v="0"/>
    <n v="15.64"/>
    <n v="0"/>
    <n v="0"/>
    <n v="0"/>
    <n v="0"/>
    <n v="0"/>
    <n v="0"/>
    <n v="0"/>
    <n v="0"/>
    <n v="0"/>
    <n v="0"/>
    <n v="15.64"/>
    <n v="0"/>
  </r>
  <r>
    <x v="11"/>
    <x v="9"/>
    <x v="0"/>
    <s v="6730501"/>
    <n v="721810"/>
    <s v="Supplies-Dietary/Cafeteria"/>
    <s v="Telecommunications"/>
    <x v="0"/>
    <m/>
    <n v="30.32"/>
    <n v="129.75"/>
    <n v="26.72"/>
    <n v="0"/>
    <n v="133.32"/>
    <n v="0"/>
    <n v="56.47"/>
    <n v="93.38"/>
    <n v="33.880000000000003"/>
    <n v="37.130000000000003"/>
    <n v="32.81"/>
    <n v="24.82"/>
    <n v="598.6"/>
    <n v="7.990000000000002"/>
  </r>
  <r>
    <x v="11"/>
    <x v="9"/>
    <x v="0"/>
    <s v="6730501"/>
    <n v="721830"/>
    <s v="Supplies-Office"/>
    <s v="Telecommunications"/>
    <x v="0"/>
    <m/>
    <n v="2511.21"/>
    <n v="1285.24"/>
    <n v="831.96"/>
    <n v="1867.02"/>
    <n v="874.75"/>
    <n v="325.25"/>
    <n v="840.31"/>
    <n v="1384.77"/>
    <n v="98.44"/>
    <n v="1201.3599999999999"/>
    <n v="570.72"/>
    <n v="0"/>
    <n v="11791.03"/>
    <n v="570.72"/>
  </r>
  <r>
    <x v="11"/>
    <x v="9"/>
    <x v="0"/>
    <s v="6730501"/>
    <n v="721870"/>
    <s v="Supplies-Environmental Services"/>
    <s v="Telecommunications"/>
    <x v="0"/>
    <m/>
    <n v="0"/>
    <n v="0"/>
    <n v="0"/>
    <n v="0"/>
    <n v="0"/>
    <n v="0"/>
    <n v="28.32"/>
    <n v="0"/>
    <n v="0"/>
    <n v="0"/>
    <n v="0"/>
    <n v="0"/>
    <n v="28.32"/>
    <n v="0"/>
  </r>
  <r>
    <x v="11"/>
    <x v="9"/>
    <x v="0"/>
    <s v="6730501"/>
    <n v="721910"/>
    <s v="Supplies-Small Equipment"/>
    <s v="Telecommunications"/>
    <x v="0"/>
    <m/>
    <n v="1849.93"/>
    <n v="3547.65"/>
    <n v="-3449.98"/>
    <n v="0"/>
    <n v="1707.48"/>
    <n v="32.159999999999997"/>
    <n v="2708.56"/>
    <n v="0"/>
    <n v="51.5"/>
    <n v="9338.94"/>
    <n v="7881.93"/>
    <n v="0"/>
    <n v="23668.17"/>
    <n v="7881.93"/>
  </r>
  <r>
    <x v="11"/>
    <x v="9"/>
    <x v="0"/>
    <s v="6730501"/>
    <n v="721980"/>
    <s v="Supplies-Other"/>
    <s v="Telecommunications"/>
    <x v="0"/>
    <m/>
    <n v="0"/>
    <n v="129.41"/>
    <n v="0"/>
    <n v="84.72"/>
    <n v="0"/>
    <n v="0"/>
    <n v="0"/>
    <n v="0"/>
    <n v="0"/>
    <n v="0"/>
    <n v="0"/>
    <n v="0"/>
    <n v="214.13"/>
    <n v="0"/>
  </r>
  <r>
    <x v="12"/>
    <x v="9"/>
    <x v="0"/>
    <s v="6730501"/>
    <n v="730010"/>
    <s v="Rental and Leases-Building (DO NOT USE)"/>
    <s v="Telecommunications"/>
    <x v="0"/>
    <m/>
    <n v="1111.75"/>
    <n v="1111.75"/>
    <n v="1111.75"/>
    <n v="1111.75"/>
    <n v="1111.75"/>
    <n v="971.44"/>
    <n v="1086.69"/>
    <n v="1086.69"/>
    <n v="1086.69"/>
    <n v="1084.1500000000001"/>
    <n v="1085.05"/>
    <n v="0"/>
    <n v="11959.460000000001"/>
    <n v="1085.05"/>
  </r>
  <r>
    <x v="12"/>
    <x v="9"/>
    <x v="0"/>
    <s v="6730501"/>
    <n v="730010"/>
    <s v="Rental-Common Area Maint (DO NOT USE)"/>
    <s v="Telecommunications"/>
    <x v="0"/>
    <n v="2200"/>
    <n v="0"/>
    <n v="0"/>
    <n v="0"/>
    <n v="0"/>
    <n v="0"/>
    <n v="140.68"/>
    <n v="25.43"/>
    <n v="25.43"/>
    <n v="36.71"/>
    <n v="25.38"/>
    <n v="25.38"/>
    <n v="0"/>
    <n v="279.01000000000005"/>
    <n v="25.38"/>
  </r>
  <r>
    <x v="12"/>
    <x v="9"/>
    <x v="0"/>
    <s v="6730501"/>
    <n v="730020"/>
    <s v="Rental and Leases-Copier Usage Fees (DO NOT USE)"/>
    <s v="Telecommunications"/>
    <x v="0"/>
    <n v="5100"/>
    <n v="43.01"/>
    <n v="42.48"/>
    <n v="42.75"/>
    <n v="42.75"/>
    <n v="42.75"/>
    <n v="42.75"/>
    <n v="93.3"/>
    <n v="39.25"/>
    <n v="39.159999999999997"/>
    <n v="39.340000000000003"/>
    <n v="39.25"/>
    <n v="47.68"/>
    <n v="554.47"/>
    <n v="-8.43"/>
  </r>
  <r>
    <x v="12"/>
    <x v="9"/>
    <x v="0"/>
    <s v="6730501"/>
    <n v="730040"/>
    <s v="LT Lease-Real Estate"/>
    <s v="Telecommunications"/>
    <x v="0"/>
    <m/>
    <n v="0"/>
    <n v="0"/>
    <n v="0"/>
    <n v="0"/>
    <n v="0"/>
    <n v="0"/>
    <n v="0"/>
    <n v="0"/>
    <n v="0"/>
    <n v="0"/>
    <n v="0"/>
    <n v="1136.6300000000001"/>
    <n v="1136.6300000000001"/>
    <n v="-1136.6300000000001"/>
  </r>
  <r>
    <x v="15"/>
    <x v="9"/>
    <x v="0"/>
    <s v="6730501"/>
    <n v="731060"/>
    <s v="Telephone"/>
    <s v="Telecommunications"/>
    <x v="0"/>
    <m/>
    <n v="97.66"/>
    <n v="95.54"/>
    <n v="90.34"/>
    <n v="101.34"/>
    <n v="90.83"/>
    <n v="95.55"/>
    <n v="4.33"/>
    <n v="90.67"/>
    <n v="7.31"/>
    <n v="0.63"/>
    <n v="2.74"/>
    <n v="9014.42"/>
    <n v="9691.36"/>
    <n v="-9011.68"/>
  </r>
  <r>
    <x v="15"/>
    <x v="9"/>
    <x v="0"/>
    <s v="6730501"/>
    <n v="731060"/>
    <s v="Cell Phones"/>
    <s v="Telecommunications"/>
    <x v="0"/>
    <n v="1001"/>
    <n v="0"/>
    <n v="0"/>
    <n v="130.9"/>
    <n v="0"/>
    <n v="322.66000000000003"/>
    <n v="174.85"/>
    <n v="506.09"/>
    <n v="0"/>
    <n v="346.41"/>
    <n v="675.14"/>
    <n v="340.9"/>
    <n v="519.02"/>
    <n v="3015.9700000000003"/>
    <n v="-178.12"/>
  </r>
  <r>
    <x v="15"/>
    <x v="9"/>
    <x v="0"/>
    <s v="6730501"/>
    <n v="731060"/>
    <s v="Pagers"/>
    <s v="Telecommunications"/>
    <x v="0"/>
    <n v="1002"/>
    <n v="229.46"/>
    <n v="217.39"/>
    <n v="223.14"/>
    <n v="239.65"/>
    <n v="234.4"/>
    <n v="0"/>
    <n v="467.83"/>
    <n v="233.98"/>
    <n v="187.69"/>
    <n v="185.26"/>
    <n v="185.26"/>
    <n v="185.26"/>
    <n v="2589.3200000000006"/>
    <n v="0"/>
  </r>
  <r>
    <x v="15"/>
    <x v="9"/>
    <x v="0"/>
    <s v="6730501"/>
    <n v="731065"/>
    <s v="Data Communications"/>
    <s v="Telecommunications"/>
    <x v="0"/>
    <m/>
    <n v="0"/>
    <n v="22.2"/>
    <n v="44.4"/>
    <n v="0"/>
    <n v="17.88"/>
    <n v="19.079999999999998"/>
    <n v="38.15"/>
    <n v="0"/>
    <n v="0"/>
    <n v="0"/>
    <n v="0"/>
    <n v="0"/>
    <n v="141.70999999999998"/>
    <n v="0"/>
  </r>
  <r>
    <x v="16"/>
    <x v="9"/>
    <x v="0"/>
    <s v="6730501"/>
    <n v="732030"/>
    <s v="Repairs&amp;Maintenance-Bldg Routine"/>
    <s v="Telecommunications"/>
    <x v="0"/>
    <n v="2300"/>
    <n v="1.9"/>
    <n v="1.9"/>
    <n v="1.9"/>
    <n v="1.9"/>
    <n v="1.9"/>
    <n v="1.9"/>
    <n v="1.9"/>
    <n v="1.9"/>
    <n v="1.9"/>
    <n v="1.89"/>
    <n v="1.89"/>
    <n v="890.69"/>
    <n v="911.57"/>
    <n v="-888.80000000000007"/>
  </r>
  <r>
    <x v="13"/>
    <x v="9"/>
    <x v="0"/>
    <s v="6730501"/>
    <n v="735070"/>
    <s v="Depreciation-Movable Equipment"/>
    <s v="Telecommunications"/>
    <x v="0"/>
    <m/>
    <n v="2824.8"/>
    <n v="7323.34"/>
    <n v="7323.34"/>
    <n v="7323.33"/>
    <n v="7323.34"/>
    <n v="7323.33"/>
    <n v="7323.35"/>
    <n v="7323.33"/>
    <n v="7323.35"/>
    <n v="7323.33"/>
    <n v="7323.35"/>
    <n v="7323.32"/>
    <n v="83381.510000000009"/>
    <n v="3.0000000000654836E-2"/>
  </r>
  <r>
    <x v="0"/>
    <x v="9"/>
    <x v="0"/>
    <s v="6730501"/>
    <n v="749510"/>
    <s v="Miscellaneous Expenses"/>
    <s v="Telecommunications"/>
    <x v="0"/>
    <m/>
    <n v="0"/>
    <n v="15.71"/>
    <n v="0"/>
    <n v="0"/>
    <n v="0"/>
    <n v="357.83"/>
    <n v="1697.48"/>
    <n v="0"/>
    <n v="0"/>
    <n v="0"/>
    <n v="0"/>
    <n v="4187.4799999999996"/>
    <n v="6258.5"/>
    <n v="-4187.4799999999996"/>
  </r>
  <r>
    <x v="0"/>
    <x v="9"/>
    <x v="0"/>
    <s v="6730501"/>
    <n v="749510"/>
    <s v="RICE Rewards"/>
    <s v="Telecommunications"/>
    <x v="0"/>
    <n v="5100"/>
    <n v="0"/>
    <n v="0"/>
    <n v="0"/>
    <n v="0"/>
    <n v="0"/>
    <n v="0"/>
    <n v="505.21"/>
    <n v="0"/>
    <n v="0"/>
    <n v="0"/>
    <n v="0"/>
    <n v="0"/>
    <n v="505.21"/>
    <n v="0"/>
  </r>
  <r>
    <x v="0"/>
    <x v="9"/>
    <x v="0"/>
    <s v="6730501"/>
    <n v="749530"/>
    <s v="Travel"/>
    <s v="Telecommunications"/>
    <x v="0"/>
    <m/>
    <n v="0"/>
    <n v="0"/>
    <n v="0"/>
    <n v="0"/>
    <n v="0"/>
    <n v="0"/>
    <n v="0"/>
    <n v="0"/>
    <n v="0"/>
    <n v="1968.71"/>
    <n v="0"/>
    <n v="358.6"/>
    <n v="2327.31"/>
    <n v="-358.6"/>
  </r>
  <r>
    <x v="0"/>
    <x v="9"/>
    <x v="0"/>
    <s v="6730501"/>
    <n v="749535"/>
    <s v="Meetings"/>
    <s v="Telecommunications"/>
    <x v="0"/>
    <m/>
    <n v="0"/>
    <n v="0"/>
    <n v="0"/>
    <n v="0"/>
    <n v="0"/>
    <n v="0"/>
    <n v="0"/>
    <n v="0"/>
    <n v="0"/>
    <n v="69.25"/>
    <n v="0"/>
    <n v="0"/>
    <n v="69.25"/>
    <n v="0"/>
  </r>
  <r>
    <x v="14"/>
    <x v="9"/>
    <x v="0"/>
    <s v="6760501"/>
    <n v="600050"/>
    <s v="Miscellaneous Revenue"/>
    <s v="Health Informatics"/>
    <x v="0"/>
    <m/>
    <n v="-9800"/>
    <n v="-9800"/>
    <n v="-9800"/>
    <n v="-8050"/>
    <n v="-8050"/>
    <n v="-22750"/>
    <n v="-22750"/>
    <n v="-16450"/>
    <n v="-9450"/>
    <n v="-9450"/>
    <n v="-9800"/>
    <n v="-9800"/>
    <n v="-145950"/>
    <n v="0"/>
  </r>
  <r>
    <x v="5"/>
    <x v="9"/>
    <x v="0"/>
    <s v="6760501"/>
    <n v="700014"/>
    <s v="Salaries-Management-Productive"/>
    <s v="Health Informatics"/>
    <x v="0"/>
    <m/>
    <n v="51271.28"/>
    <n v="49320.86"/>
    <n v="45642.7"/>
    <n v="50617.86"/>
    <n v="61656.08"/>
    <n v="35569.449999999997"/>
    <n v="57780.86"/>
    <n v="49226.44"/>
    <n v="58764.21"/>
    <n v="53839.96"/>
    <n v="56671.34"/>
    <n v="52825.08"/>
    <n v="623186.12"/>
    <n v="3846.2599999999948"/>
  </r>
  <r>
    <x v="5"/>
    <x v="9"/>
    <x v="0"/>
    <s v="6760501"/>
    <n v="700026"/>
    <s v="Salaries-RN-Productive"/>
    <s v="Health Informatics"/>
    <x v="0"/>
    <m/>
    <n v="54014.28"/>
    <n v="52539.360000000001"/>
    <n v="52914.33"/>
    <n v="71401.919999999998"/>
    <n v="65128.18"/>
    <n v="50276.02"/>
    <n v="64012.76"/>
    <n v="55395.01"/>
    <n v="70232.84"/>
    <n v="64132.04"/>
    <n v="68115.570000000007"/>
    <n v="41495.11"/>
    <n v="709657.42"/>
    <n v="26620.460000000006"/>
  </r>
  <r>
    <x v="5"/>
    <x v="9"/>
    <x v="0"/>
    <s v="6760501"/>
    <n v="700026"/>
    <s v="Salaries-RN-Other"/>
    <s v="Health Informatics"/>
    <x v="0"/>
    <n v="2000"/>
    <n v="0"/>
    <n v="0"/>
    <n v="0"/>
    <n v="60"/>
    <n v="0"/>
    <n v="0"/>
    <n v="0"/>
    <n v="0"/>
    <n v="0"/>
    <n v="0"/>
    <n v="0"/>
    <n v="0"/>
    <n v="60"/>
    <n v="0"/>
  </r>
  <r>
    <x v="5"/>
    <x v="9"/>
    <x v="0"/>
    <s v="6760501"/>
    <n v="700032"/>
    <s v="Salaries-Other Pat Care Providers-Productive"/>
    <s v="Health Informatics"/>
    <x v="0"/>
    <m/>
    <n v="11763.4"/>
    <n v="10730.73"/>
    <n v="11525.61"/>
    <n v="7856.9"/>
    <n v="14637.8"/>
    <n v="7752.29"/>
    <n v="11480.47"/>
    <n v="9993.3799999999992"/>
    <n v="12305.9"/>
    <n v="11149.29"/>
    <n v="13214.36"/>
    <n v="8135.41"/>
    <n v="130545.54"/>
    <n v="5078.9500000000007"/>
  </r>
  <r>
    <x v="5"/>
    <x v="9"/>
    <x v="0"/>
    <s v="6760501"/>
    <n v="700034"/>
    <s v="Salaries-Tech/Professional-Productive"/>
    <s v="Health Informatics"/>
    <x v="0"/>
    <m/>
    <n v="108654.72"/>
    <n v="106447.12"/>
    <n v="108865.09"/>
    <n v="125915.07"/>
    <n v="123334.75"/>
    <n v="96023.8"/>
    <n v="113013.92"/>
    <n v="102922.55"/>
    <n v="119916.27"/>
    <n v="101070.37"/>
    <n v="116384.95"/>
    <n v="100617.09"/>
    <n v="1323165.7000000002"/>
    <n v="15767.86"/>
  </r>
  <r>
    <x v="5"/>
    <x v="9"/>
    <x v="0"/>
    <s v="6760501"/>
    <n v="700034"/>
    <s v="Salaries-Tech/Professional-Other"/>
    <s v="Health Informatics"/>
    <x v="0"/>
    <n v="2000"/>
    <n v="0"/>
    <n v="0"/>
    <n v="0"/>
    <n v="0"/>
    <n v="0"/>
    <n v="30"/>
    <n v="0"/>
    <n v="0"/>
    <n v="30.04"/>
    <n v="0"/>
    <n v="0"/>
    <n v="0"/>
    <n v="60.04"/>
    <n v="0"/>
  </r>
  <r>
    <x v="5"/>
    <x v="9"/>
    <x v="0"/>
    <s v="6760501"/>
    <n v="700038"/>
    <s v="Salaries-Service/Support-Productive"/>
    <s v="Health Informatics"/>
    <x v="0"/>
    <m/>
    <n v="64585.54"/>
    <n v="71712.5"/>
    <n v="65248.51"/>
    <n v="70368.13"/>
    <n v="77456.460000000006"/>
    <n v="53814.21"/>
    <n v="68195.22"/>
    <n v="57930.82"/>
    <n v="77228.78"/>
    <n v="70995.02"/>
    <n v="72092.2"/>
    <n v="69315.09"/>
    <n v="818942.48"/>
    <n v="2777.1100000000006"/>
  </r>
  <r>
    <x v="5"/>
    <x v="9"/>
    <x v="0"/>
    <s v="6760501"/>
    <n v="700038"/>
    <s v="Salaries-Service/Support-OT"/>
    <s v="Health Informatics"/>
    <x v="0"/>
    <n v="1000"/>
    <n v="76.94"/>
    <n v="192.88"/>
    <n v="169.48"/>
    <n v="-9.76"/>
    <n v="127.21"/>
    <n v="16.059999999999999"/>
    <n v="161.55000000000001"/>
    <n v="49.47"/>
    <n v="94.58"/>
    <n v="109.57"/>
    <n v="175.46"/>
    <n v="3.25"/>
    <n v="1166.69"/>
    <n v="172.21"/>
  </r>
  <r>
    <x v="5"/>
    <x v="9"/>
    <x v="0"/>
    <s v="6760501"/>
    <n v="700038"/>
    <s v="Salaries-Service/Support-Other"/>
    <s v="Health Informatics"/>
    <x v="0"/>
    <n v="2000"/>
    <n v="0"/>
    <n v="0"/>
    <n v="0"/>
    <n v="0"/>
    <n v="30"/>
    <n v="0"/>
    <n v="60.1"/>
    <n v="-0.02"/>
    <n v="30.07"/>
    <n v="-0.02"/>
    <n v="0"/>
    <n v="0"/>
    <n v="120.13000000000001"/>
    <n v="0"/>
  </r>
  <r>
    <x v="5"/>
    <x v="9"/>
    <x v="0"/>
    <s v="6760501"/>
    <n v="700054"/>
    <s v="Salaries-Management-Non-productive"/>
    <s v="Health Informatics"/>
    <x v="0"/>
    <m/>
    <n v="4462.8599999999997"/>
    <n v="6415.8"/>
    <n v="7695.01"/>
    <n v="6116.88"/>
    <n v="-3155.34"/>
    <n v="23877.24"/>
    <n v="1758.63"/>
    <n v="4545.74"/>
    <n v="769.71"/>
    <n v="3771.57"/>
    <n v="2815.58"/>
    <n v="4746.2700000000004"/>
    <n v="63819.95"/>
    <n v="-1930.6900000000005"/>
  </r>
  <r>
    <x v="5"/>
    <x v="9"/>
    <x v="0"/>
    <s v="6760501"/>
    <n v="700054"/>
    <s v="Salaries-Management-NonProd-Other"/>
    <s v="Health Informatics"/>
    <x v="0"/>
    <n v="2000"/>
    <n v="0"/>
    <n v="0"/>
    <n v="0"/>
    <n v="0"/>
    <n v="0"/>
    <n v="8637.5400000000009"/>
    <n v="-8637.5400000000009"/>
    <n v="0"/>
    <n v="0"/>
    <n v="0"/>
    <n v="0"/>
    <n v="0"/>
    <n v="0"/>
    <n v="0"/>
  </r>
  <r>
    <x v="5"/>
    <x v="9"/>
    <x v="0"/>
    <s v="6760501"/>
    <n v="700066"/>
    <s v="Salaries-RN-Non-productive"/>
    <s v="Health Informatics"/>
    <x v="0"/>
    <m/>
    <n v="8860.1"/>
    <n v="10337.89"/>
    <n v="13512.01"/>
    <n v="9437.25"/>
    <n v="15447.44"/>
    <n v="19719.93"/>
    <n v="9421.6299999999992"/>
    <n v="10926.08"/>
    <n v="3194.69"/>
    <n v="6924.43"/>
    <n v="5311.91"/>
    <n v="29564.74"/>
    <n v="142658.1"/>
    <n v="-24252.83"/>
  </r>
  <r>
    <x v="5"/>
    <x v="9"/>
    <x v="0"/>
    <s v="6760501"/>
    <n v="700072"/>
    <s v="Salaries-Other Pat Care Providers-Non-productive"/>
    <s v="Health Informatics"/>
    <x v="0"/>
    <m/>
    <n v="556.4"/>
    <n v="1589.63"/>
    <n v="397.49"/>
    <n v="4836.3100000000004"/>
    <n v="-2267.83"/>
    <n v="5030.41"/>
    <n v="1322.21"/>
    <n v="1569.15"/>
    <n v="495.57"/>
    <n v="1238.82"/>
    <n v="-412.89"/>
    <n v="4253.26"/>
    <n v="18608.53"/>
    <n v="-4666.1500000000005"/>
  </r>
  <r>
    <x v="5"/>
    <x v="9"/>
    <x v="0"/>
    <s v="6760501"/>
    <n v="700074"/>
    <s v="Salaries-Tech/Professional-Non-productive"/>
    <s v="Health Informatics"/>
    <x v="0"/>
    <m/>
    <n v="22354.39"/>
    <n v="23704.97"/>
    <n v="18805.189999999999"/>
    <n v="7525.37"/>
    <n v="7077.97"/>
    <n v="34334.14"/>
    <n v="14860.72"/>
    <n v="13242.36"/>
    <n v="14886.92"/>
    <n v="19781.23"/>
    <n v="10680.13"/>
    <n v="24114.65"/>
    <n v="211368.04"/>
    <n v="-13434.520000000002"/>
  </r>
  <r>
    <x v="5"/>
    <x v="9"/>
    <x v="0"/>
    <s v="6760501"/>
    <n v="700074"/>
    <s v="Salaries-Tech/Professional-NonProd-Other"/>
    <s v="Health Informatics"/>
    <x v="0"/>
    <n v="2000"/>
    <n v="0"/>
    <n v="0"/>
    <n v="0"/>
    <n v="0"/>
    <n v="360.43"/>
    <n v="360.43"/>
    <n v="0"/>
    <n v="-720.86"/>
    <n v="0"/>
    <n v="0"/>
    <n v="0"/>
    <n v="0"/>
    <n v="0"/>
    <n v="0"/>
  </r>
  <r>
    <x v="5"/>
    <x v="9"/>
    <x v="0"/>
    <s v="6760501"/>
    <n v="700078"/>
    <s v="Salaries-Service/Support-Non-productive"/>
    <s v="Health Informatics"/>
    <x v="0"/>
    <m/>
    <n v="14720.6"/>
    <n v="8914.65"/>
    <n v="9116.06"/>
    <n v="7435.36"/>
    <n v="2125.4699999999998"/>
    <n v="28106.26"/>
    <n v="8087.3"/>
    <n v="12569.08"/>
    <n v="2841.02"/>
    <n v="7353.35"/>
    <n v="9069.2199999999993"/>
    <n v="6637.94"/>
    <n v="116976.31000000001"/>
    <n v="2431.2799999999997"/>
  </r>
  <r>
    <x v="5"/>
    <x v="9"/>
    <x v="0"/>
    <s v="6760501"/>
    <n v="700078"/>
    <s v="Salaries-Service/Support-NonProd-Other"/>
    <s v="Health Informatics"/>
    <x v="0"/>
    <n v="2000"/>
    <n v="0"/>
    <n v="0"/>
    <n v="0"/>
    <n v="0"/>
    <n v="907.65"/>
    <n v="1815.3"/>
    <n v="0"/>
    <n v="-2722.95"/>
    <n v="0"/>
    <n v="0"/>
    <n v="0"/>
    <n v="0"/>
    <n v="0"/>
    <n v="0"/>
  </r>
  <r>
    <x v="5"/>
    <x v="9"/>
    <x v="0"/>
    <s v="6760501"/>
    <n v="700084"/>
    <s v="Accrued PTO"/>
    <s v="Health Informatics"/>
    <x v="0"/>
    <m/>
    <n v="-6515.33"/>
    <n v="-8963.4500000000007"/>
    <n v="-7747.13"/>
    <n v="8178.71"/>
    <n v="32254.13"/>
    <n v="-36762.449999999997"/>
    <n v="-504.83"/>
    <n v="4519.18"/>
    <n v="14077.36"/>
    <n v="9870.9599999999991"/>
    <n v="18293.990000000002"/>
    <n v="-17290.62"/>
    <n v="9410.5200000000041"/>
    <n v="35584.61"/>
  </r>
  <r>
    <x v="6"/>
    <x v="9"/>
    <x v="0"/>
    <s v="6760501"/>
    <n v="713010"/>
    <s v="Benefits-FICA/Medicare"/>
    <s v="Health Informatics"/>
    <x v="0"/>
    <m/>
    <n v="23602.26"/>
    <n v="23647.47"/>
    <n v="23162.11"/>
    <n v="25113.27"/>
    <n v="24796.13"/>
    <n v="25364.240000000002"/>
    <n v="26501.94"/>
    <n v="23449.45"/>
    <n v="26597.78"/>
    <n v="25042.71"/>
    <n v="24274.92"/>
    <n v="23494.73"/>
    <n v="295047.01"/>
    <n v="780.18999999999869"/>
  </r>
  <r>
    <x v="6"/>
    <x v="9"/>
    <x v="0"/>
    <s v="6760501"/>
    <n v="713090"/>
    <s v="Benefits-Allocated Amounts"/>
    <s v="Health Informatics"/>
    <x v="0"/>
    <m/>
    <n v="61237.62"/>
    <n v="56175.63"/>
    <n v="59371.47"/>
    <n v="59551.64"/>
    <n v="59064.57"/>
    <n v="61845.3"/>
    <n v="63981.26"/>
    <n v="61212.06"/>
    <n v="71287.360000000001"/>
    <n v="64655.09"/>
    <n v="66124.73"/>
    <n v="63484.53"/>
    <n v="747991.26"/>
    <n v="2640.1999999999971"/>
  </r>
  <r>
    <x v="6"/>
    <x v="9"/>
    <x v="0"/>
    <s v="6760501"/>
    <n v="713096"/>
    <s v="Employee Recognition"/>
    <s v="Health Informatics"/>
    <x v="0"/>
    <n v="1017"/>
    <n v="0"/>
    <n v="142.4"/>
    <n v="30"/>
    <n v="0"/>
    <n v="0"/>
    <n v="1042.32"/>
    <n v="0"/>
    <n v="0"/>
    <n v="0"/>
    <n v="0"/>
    <n v="0"/>
    <n v="0"/>
    <n v="1214.72"/>
    <n v="0"/>
  </r>
  <r>
    <x v="17"/>
    <x v="9"/>
    <x v="0"/>
    <s v="6760501"/>
    <n v="714520"/>
    <s v="Other Contracted Professionals"/>
    <s v="Health Informatics"/>
    <x v="0"/>
    <m/>
    <n v="0"/>
    <n v="0"/>
    <n v="0"/>
    <n v="0"/>
    <n v="0"/>
    <n v="225"/>
    <n v="0"/>
    <n v="0"/>
    <n v="225"/>
    <n v="0"/>
    <n v="0"/>
    <n v="150"/>
    <n v="600"/>
    <n v="-150"/>
  </r>
  <r>
    <x v="7"/>
    <x v="9"/>
    <x v="0"/>
    <s v="6760501"/>
    <n v="718050"/>
    <s v="Contract Svcs-Other"/>
    <s v="Health Informatics"/>
    <x v="0"/>
    <m/>
    <n v="0"/>
    <n v="0"/>
    <n v="0"/>
    <n v="0"/>
    <n v="0"/>
    <n v="783.75"/>
    <n v="0"/>
    <n v="0"/>
    <n v="0"/>
    <n v="1148.33"/>
    <n v="0"/>
    <n v="0"/>
    <n v="1932.08"/>
    <n v="0"/>
  </r>
  <r>
    <x v="7"/>
    <x v="9"/>
    <x v="0"/>
    <s v="6760501"/>
    <n v="718050"/>
    <s v="Miscellaneous Purchased Svcs"/>
    <s v="Health Informatics"/>
    <x v="0"/>
    <n v="1020"/>
    <n v="0"/>
    <n v="0"/>
    <n v="0"/>
    <n v="0"/>
    <n v="0"/>
    <n v="0"/>
    <n v="0"/>
    <n v="0"/>
    <n v="0"/>
    <n v="3595.57"/>
    <n v="0"/>
    <n v="0"/>
    <n v="3595.57"/>
    <n v="0"/>
  </r>
  <r>
    <x v="11"/>
    <x v="9"/>
    <x v="0"/>
    <s v="6760501"/>
    <n v="721810"/>
    <s v="Supplies-Dietary/Cafeteria"/>
    <s v="Health Informatics"/>
    <x v="0"/>
    <m/>
    <n v="0"/>
    <n v="0"/>
    <n v="43.32"/>
    <n v="0"/>
    <n v="0"/>
    <n v="0"/>
    <n v="0"/>
    <n v="0"/>
    <n v="0"/>
    <n v="0"/>
    <n v="0"/>
    <n v="0"/>
    <n v="43.32"/>
    <n v="0"/>
  </r>
  <r>
    <x v="11"/>
    <x v="9"/>
    <x v="0"/>
    <s v="6760501"/>
    <n v="721830"/>
    <s v="Supplies-Office"/>
    <s v="Health Informatics"/>
    <x v="0"/>
    <m/>
    <n v="0"/>
    <n v="360.56"/>
    <n v="29.22"/>
    <n v="533.20000000000005"/>
    <n v="398.34"/>
    <n v="-48.58"/>
    <n v="71.42"/>
    <n v="87.59"/>
    <n v="0"/>
    <n v="-703.63"/>
    <n v="0"/>
    <n v="87.6"/>
    <n v="815.72"/>
    <n v="-87.6"/>
  </r>
  <r>
    <x v="11"/>
    <x v="9"/>
    <x v="0"/>
    <s v="6760501"/>
    <n v="721835"/>
    <s v="Supplies-Forms"/>
    <s v="Health Informatics"/>
    <x v="0"/>
    <m/>
    <n v="0"/>
    <n v="0"/>
    <n v="0"/>
    <n v="0"/>
    <n v="2770.03"/>
    <n v="1087.57"/>
    <n v="399.89"/>
    <n v="0"/>
    <n v="568.20000000000005"/>
    <n v="828.17"/>
    <n v="368.87"/>
    <n v="382.98"/>
    <n v="6405.7100000000009"/>
    <n v="-14.110000000000014"/>
  </r>
  <r>
    <x v="11"/>
    <x v="9"/>
    <x v="0"/>
    <s v="6760501"/>
    <n v="721910"/>
    <s v="Supplies-Small Equipment"/>
    <s v="Health Informatics"/>
    <x v="0"/>
    <m/>
    <n v="1561.81"/>
    <n v="456.64"/>
    <n v="1563.42"/>
    <n v="822.75"/>
    <n v="0"/>
    <n v="146.97"/>
    <n v="11.51"/>
    <n v="566.80999999999995"/>
    <n v="-1448.85"/>
    <n v="1554.59"/>
    <n v="1281.49"/>
    <n v="81.62"/>
    <n v="6598.7599999999993"/>
    <n v="1199.8699999999999"/>
  </r>
  <r>
    <x v="12"/>
    <x v="9"/>
    <x v="0"/>
    <s v="6760501"/>
    <n v="730010"/>
    <s v="Rental and Leases-Building (DO NOT USE)"/>
    <s v="Health Informatics"/>
    <x v="0"/>
    <m/>
    <n v="16404.259999999998"/>
    <n v="16404.259999999998"/>
    <n v="16404.259999999998"/>
    <n v="16404.259999999998"/>
    <n v="16404.259999999998"/>
    <n v="-19254"/>
    <n v="10542.04"/>
    <n v="10542.04"/>
    <n v="10812.33"/>
    <n v="10811.47"/>
    <n v="10811.47"/>
    <n v="0"/>
    <n v="116286.65000000001"/>
    <n v="10811.47"/>
  </r>
  <r>
    <x v="12"/>
    <x v="9"/>
    <x v="0"/>
    <s v="6760501"/>
    <n v="730010"/>
    <s v="Rental-Common Area Maint (DO NOT USE)"/>
    <s v="Health Informatics"/>
    <x v="0"/>
    <n v="2200"/>
    <n v="0"/>
    <n v="0"/>
    <n v="0"/>
    <n v="0"/>
    <n v="0"/>
    <n v="35725.4"/>
    <n v="10306.01"/>
    <n v="5929.36"/>
    <n v="5929.36"/>
    <n v="5928.88"/>
    <n v="5928.88"/>
    <n v="0"/>
    <n v="69747.89"/>
    <n v="5928.88"/>
  </r>
  <r>
    <x v="12"/>
    <x v="9"/>
    <x v="0"/>
    <s v="6760501"/>
    <n v="730020"/>
    <s v="Rental and Leases-Copier Usage Fees (DO NOT USE)"/>
    <s v="Health Informatics"/>
    <x v="0"/>
    <n v="5100"/>
    <n v="23.49"/>
    <n v="24.3"/>
    <n v="23.89"/>
    <n v="23.89"/>
    <n v="23.89"/>
    <n v="23.89"/>
    <n v="21.41"/>
    <n v="24.32"/>
    <n v="24.27"/>
    <n v="24.37"/>
    <n v="24.32"/>
    <n v="26.45"/>
    <n v="288.49"/>
    <n v="-2.129999999999999"/>
  </r>
  <r>
    <x v="12"/>
    <x v="9"/>
    <x v="0"/>
    <s v="6760501"/>
    <n v="730040"/>
    <s v="LT Lease-Real Estate"/>
    <s v="Health Informatics"/>
    <x v="0"/>
    <m/>
    <n v="0"/>
    <n v="0"/>
    <n v="0"/>
    <n v="0"/>
    <n v="0"/>
    <n v="0"/>
    <n v="0"/>
    <n v="0"/>
    <n v="0"/>
    <n v="0"/>
    <n v="0"/>
    <n v="16740.349999999999"/>
    <n v="16740.349999999999"/>
    <n v="-16740.349999999999"/>
  </r>
  <r>
    <x v="15"/>
    <x v="9"/>
    <x v="0"/>
    <s v="6760501"/>
    <n v="731065"/>
    <s v="Data Communications"/>
    <s v="Health Informatics"/>
    <x v="0"/>
    <m/>
    <n v="0"/>
    <n v="0"/>
    <n v="0"/>
    <n v="0"/>
    <n v="0"/>
    <n v="0"/>
    <n v="0"/>
    <n v="0"/>
    <n v="12.99"/>
    <n v="0"/>
    <n v="0"/>
    <n v="0"/>
    <n v="12.99"/>
    <n v="0"/>
  </r>
  <r>
    <x v="16"/>
    <x v="9"/>
    <x v="0"/>
    <s v="6760501"/>
    <n v="732030"/>
    <s v="Repairs&amp;Maintenance-Bldg Routine"/>
    <s v="Health Informatics"/>
    <x v="0"/>
    <n v="2300"/>
    <n v="5.25"/>
    <n v="0"/>
    <n v="0"/>
    <n v="0"/>
    <n v="4.71"/>
    <n v="111.74"/>
    <n v="0"/>
    <n v="0"/>
    <n v="0"/>
    <n v="0"/>
    <n v="0"/>
    <n v="0"/>
    <n v="121.69999999999999"/>
    <n v="0"/>
  </r>
  <r>
    <x v="0"/>
    <x v="9"/>
    <x v="0"/>
    <s v="6760501"/>
    <n v="740020"/>
    <s v="Education-Registration Fees"/>
    <s v="Health Informatics"/>
    <x v="0"/>
    <m/>
    <n v="0"/>
    <n v="0"/>
    <n v="1300"/>
    <n v="0"/>
    <n v="0"/>
    <n v="0"/>
    <n v="0"/>
    <n v="0"/>
    <n v="400"/>
    <n v="200"/>
    <n v="495"/>
    <n v="1944"/>
    <n v="4339"/>
    <n v="-1449"/>
  </r>
  <r>
    <x v="0"/>
    <x v="9"/>
    <x v="0"/>
    <s v="6760501"/>
    <n v="740030"/>
    <s v="Education-Travel"/>
    <s v="Health Informatics"/>
    <x v="0"/>
    <m/>
    <n v="0"/>
    <n v="0"/>
    <n v="0"/>
    <n v="132.06"/>
    <n v="0"/>
    <n v="0"/>
    <n v="0"/>
    <n v="0"/>
    <n v="0"/>
    <n v="0"/>
    <n v="0"/>
    <n v="0"/>
    <n v="132.06"/>
    <n v="0"/>
  </r>
  <r>
    <x v="0"/>
    <x v="9"/>
    <x v="0"/>
    <s v="6760501"/>
    <n v="743020"/>
    <s v="Dues--Individual"/>
    <s v="Health Informatics"/>
    <x v="0"/>
    <m/>
    <n v="0"/>
    <n v="0"/>
    <n v="0"/>
    <n v="126"/>
    <n v="0"/>
    <n v="1346"/>
    <n v="0"/>
    <n v="0"/>
    <n v="820"/>
    <n v="0"/>
    <n v="0"/>
    <n v="0"/>
    <n v="2292"/>
    <n v="0"/>
  </r>
  <r>
    <x v="0"/>
    <x v="9"/>
    <x v="0"/>
    <s v="6760501"/>
    <n v="743030"/>
    <s v="Subscriptions--Institutional"/>
    <s v="Health Informatics"/>
    <x v="0"/>
    <m/>
    <n v="0"/>
    <n v="0"/>
    <n v="0"/>
    <n v="0"/>
    <n v="0"/>
    <n v="0"/>
    <n v="0"/>
    <n v="0"/>
    <n v="362.54"/>
    <n v="0"/>
    <n v="0"/>
    <n v="0"/>
    <n v="362.54"/>
    <n v="0"/>
  </r>
  <r>
    <x v="0"/>
    <x v="9"/>
    <x v="0"/>
    <s v="6760501"/>
    <n v="749510"/>
    <s v="Miscellaneous Expenses"/>
    <s v="Health Informatics"/>
    <x v="0"/>
    <m/>
    <n v="1589.75"/>
    <n v="2963.12"/>
    <n v="-4236.78"/>
    <n v="1253.1400000000001"/>
    <n v="5951.89"/>
    <n v="-687.42"/>
    <n v="-1295.55"/>
    <n v="2078.86"/>
    <n v="-3160.06"/>
    <n v="-624.97"/>
    <n v="4899.59"/>
    <n v="-7361.01"/>
    <n v="1370.5599999999995"/>
    <n v="12260.6"/>
  </r>
  <r>
    <x v="0"/>
    <x v="9"/>
    <x v="0"/>
    <s v="6760501"/>
    <n v="749510"/>
    <s v="RICE Rewards"/>
    <s v="Health Informatics"/>
    <x v="0"/>
    <n v="5100"/>
    <n v="0"/>
    <n v="0"/>
    <n v="0"/>
    <n v="0"/>
    <n v="0"/>
    <n v="699.4"/>
    <n v="0"/>
    <n v="0"/>
    <n v="0"/>
    <n v="0"/>
    <n v="0"/>
    <n v="0"/>
    <n v="699.4"/>
    <n v="0"/>
  </r>
  <r>
    <x v="0"/>
    <x v="9"/>
    <x v="0"/>
    <s v="6760501"/>
    <n v="749530"/>
    <s v="Travel"/>
    <s v="Health Informatics"/>
    <x v="0"/>
    <m/>
    <n v="45"/>
    <n v="636.57000000000005"/>
    <n v="2785.71"/>
    <n v="2876.05"/>
    <n v="68"/>
    <n v="2244.7800000000002"/>
    <n v="1889.54"/>
    <n v="164"/>
    <n v="3913.87"/>
    <n v="1910.01"/>
    <n v="2114.1799999999998"/>
    <n v="8540.32"/>
    <n v="27188.03"/>
    <n v="-6426.1399999999994"/>
  </r>
  <r>
    <x v="0"/>
    <x v="9"/>
    <x v="0"/>
    <s v="6760501"/>
    <n v="749530"/>
    <s v="Mileage"/>
    <s v="Health Informatics"/>
    <x v="0"/>
    <n v="1001"/>
    <n v="612.1"/>
    <n v="1087.4100000000001"/>
    <n v="2229.85"/>
    <n v="640.96"/>
    <n v="512.9"/>
    <n v="1718.1"/>
    <n v="920.3"/>
    <n v="1460.74"/>
    <n v="1020.22"/>
    <n v="1176.82"/>
    <n v="1090.98"/>
    <n v="1938.36"/>
    <n v="14408.74"/>
    <n v="-847.37999999999988"/>
  </r>
  <r>
    <x v="0"/>
    <x v="9"/>
    <x v="0"/>
    <s v="6760501"/>
    <n v="749535"/>
    <s v="Meetings"/>
    <s v="Health Informatics"/>
    <x v="0"/>
    <m/>
    <n v="0"/>
    <n v="0"/>
    <n v="0"/>
    <n v="140.13"/>
    <n v="0"/>
    <n v="0"/>
    <n v="0"/>
    <n v="0"/>
    <n v="159.58000000000001"/>
    <n v="0"/>
    <n v="0"/>
    <n v="1827.19"/>
    <n v="2126.9"/>
    <n v="-1827.19"/>
  </r>
  <r>
    <x v="7"/>
    <x v="9"/>
    <x v="0"/>
    <s v="6780501"/>
    <n v="718050"/>
    <s v="Contract Svcs-Other"/>
    <s v="Epic Operating Costs"/>
    <x v="0"/>
    <m/>
    <n v="0"/>
    <n v="0"/>
    <n v="0"/>
    <n v="0"/>
    <n v="0"/>
    <n v="0"/>
    <n v="0"/>
    <n v="0"/>
    <n v="0"/>
    <n v="0"/>
    <n v="275"/>
    <n v="0"/>
    <n v="275"/>
    <n v="275"/>
  </r>
  <r>
    <x v="12"/>
    <x v="9"/>
    <x v="0"/>
    <s v="6780501"/>
    <n v="730020"/>
    <s v="Rental and Leases-Copier Usage Fees (DO NOT USE)"/>
    <s v="Epic Operating Costs"/>
    <x v="0"/>
    <n v="5100"/>
    <n v="1726.23"/>
    <n v="1756.82"/>
    <n v="1741.52"/>
    <n v="1741.52"/>
    <n v="1741.52"/>
    <n v="1741.52"/>
    <n v="20.89"/>
    <n v="1258.56"/>
    <n v="1272.68"/>
    <n v="2183.3200000000002"/>
    <n v="1555.35"/>
    <n v="1471.14"/>
    <n v="18211.07"/>
    <n v="84.209999999999809"/>
  </r>
  <r>
    <x v="7"/>
    <x v="5"/>
    <x v="0"/>
    <s v="6800106"/>
    <n v="718050"/>
    <s v="Document Shredding/Storage"/>
    <s v="Human Resources Administration"/>
    <x v="0"/>
    <n v="1012"/>
    <n v="171.25"/>
    <n v="-44.84"/>
    <n v="93.64"/>
    <n v="92.65"/>
    <n v="95.76"/>
    <n v="95.76"/>
    <n v="-504.22"/>
    <n v="0"/>
    <n v="0"/>
    <n v="0"/>
    <n v="0"/>
    <n v="0"/>
    <n v="0"/>
    <n v="0"/>
  </r>
  <r>
    <x v="11"/>
    <x v="5"/>
    <x v="0"/>
    <s v="6800106"/>
    <n v="721835"/>
    <s v="Supplies-Forms"/>
    <s v="Human Resources Administration"/>
    <x v="0"/>
    <m/>
    <n v="0"/>
    <n v="0"/>
    <n v="0"/>
    <n v="0"/>
    <n v="100.5"/>
    <n v="0"/>
    <n v="-100.5"/>
    <n v="0"/>
    <n v="0"/>
    <n v="0"/>
    <n v="0"/>
    <n v="0"/>
    <n v="0"/>
    <n v="0"/>
  </r>
  <r>
    <x v="11"/>
    <x v="5"/>
    <x v="0"/>
    <s v="6800106"/>
    <n v="722000"/>
    <s v="Supplies-Freight Expense"/>
    <s v="Human Resources Administration"/>
    <x v="0"/>
    <m/>
    <n v="0"/>
    <n v="12.32"/>
    <n v="17.059999999999999"/>
    <n v="23.81"/>
    <n v="0"/>
    <n v="0"/>
    <n v="-53.19"/>
    <n v="0"/>
    <n v="0"/>
    <n v="0"/>
    <n v="0"/>
    <n v="0"/>
    <n v="0"/>
    <n v="0"/>
  </r>
  <r>
    <x v="12"/>
    <x v="5"/>
    <x v="0"/>
    <s v="6800106"/>
    <n v="730020"/>
    <s v="Rental and Leases-Copier Usage Fees (DO NOT USE)"/>
    <s v="Human Resources Administration"/>
    <x v="0"/>
    <n v="5100"/>
    <n v="316.27999999999997"/>
    <n v="320.08999999999997"/>
    <n v="318.19"/>
    <n v="318.18"/>
    <n v="318.19"/>
    <n v="318.19"/>
    <n v="-1909.12"/>
    <n v="0"/>
    <n v="0"/>
    <n v="0"/>
    <n v="0"/>
    <n v="0"/>
    <n v="2.2737367544323206E-13"/>
    <n v="0"/>
  </r>
  <r>
    <x v="13"/>
    <x v="5"/>
    <x v="0"/>
    <s v="6800106"/>
    <n v="735060"/>
    <s v="Depreciation-Fixed Equipment"/>
    <s v="Human Resources Administration"/>
    <x v="0"/>
    <m/>
    <n v="7.69"/>
    <n v="7.68"/>
    <n v="7.69"/>
    <n v="7.68"/>
    <n v="7.69"/>
    <n v="7.68"/>
    <n v="-46.11"/>
    <n v="0"/>
    <n v="0"/>
    <n v="0"/>
    <n v="0"/>
    <n v="0"/>
    <n v="0"/>
    <n v="0"/>
  </r>
  <r>
    <x v="13"/>
    <x v="5"/>
    <x v="0"/>
    <s v="6800106"/>
    <n v="735070"/>
    <s v="Depreciation-Movable Equipment"/>
    <s v="Human Resources Administration"/>
    <x v="0"/>
    <m/>
    <n v="226.83"/>
    <n v="226.74"/>
    <n v="226.89"/>
    <n v="226.73"/>
    <n v="226.89"/>
    <n v="226.73"/>
    <n v="-1360.81"/>
    <n v="0"/>
    <n v="0"/>
    <n v="0"/>
    <n v="0"/>
    <n v="0"/>
    <n v="0"/>
    <n v="0"/>
  </r>
  <r>
    <x v="0"/>
    <x v="5"/>
    <x v="0"/>
    <s v="6800106"/>
    <n v="743020"/>
    <s v="Dues--Individual"/>
    <s v="Human Resources Administration"/>
    <x v="0"/>
    <m/>
    <n v="0"/>
    <n v="0"/>
    <n v="209"/>
    <n v="0"/>
    <n v="160"/>
    <n v="0"/>
    <n v="-369"/>
    <n v="0"/>
    <n v="0"/>
    <n v="0"/>
    <n v="0"/>
    <n v="0"/>
    <n v="0"/>
    <n v="0"/>
  </r>
  <r>
    <x v="0"/>
    <x v="5"/>
    <x v="0"/>
    <s v="6800106"/>
    <n v="749510"/>
    <s v="Special Events"/>
    <s v="Human Resources Administration"/>
    <x v="0"/>
    <n v="4300"/>
    <n v="0"/>
    <n v="0"/>
    <n v="143"/>
    <n v="0"/>
    <n v="0"/>
    <n v="0"/>
    <n v="-143"/>
    <n v="0"/>
    <n v="0"/>
    <n v="0"/>
    <n v="0"/>
    <n v="0"/>
    <n v="0"/>
    <n v="0"/>
  </r>
  <r>
    <x v="5"/>
    <x v="6"/>
    <x v="0"/>
    <s v="6800107"/>
    <n v="700054"/>
    <s v="Salaries-Management-NonProd-Other"/>
    <s v="Human Resources"/>
    <x v="0"/>
    <n v="2000"/>
    <n v="0"/>
    <n v="0"/>
    <n v="0"/>
    <n v="0"/>
    <n v="0"/>
    <n v="2181.13"/>
    <n v="-4362.26"/>
    <n v="0"/>
    <n v="0"/>
    <n v="0"/>
    <n v="0"/>
    <n v="0"/>
    <n v="-2181.13"/>
    <n v="0"/>
  </r>
  <r>
    <x v="6"/>
    <x v="6"/>
    <x v="0"/>
    <s v="6800107"/>
    <n v="713010"/>
    <s v="Benefits-FICA/Medicare"/>
    <s v="Human Resources"/>
    <x v="0"/>
    <m/>
    <n v="0"/>
    <n v="0"/>
    <n v="0"/>
    <n v="0"/>
    <n v="0"/>
    <n v="166.86"/>
    <n v="0"/>
    <n v="0"/>
    <n v="0"/>
    <n v="0"/>
    <n v="0"/>
    <n v="0"/>
    <n v="166.86"/>
    <n v="0"/>
  </r>
  <r>
    <x v="11"/>
    <x v="6"/>
    <x v="0"/>
    <s v="6800107"/>
    <n v="721250"/>
    <s v="Supplies-Pharmacy Drugs - Billable"/>
    <s v="Human Resources"/>
    <x v="0"/>
    <m/>
    <n v="482.42"/>
    <n v="2121.4699999999998"/>
    <n v="1366.04"/>
    <n v="1310.85"/>
    <n v="683.02"/>
    <n v="827.2"/>
    <n v="-6791"/>
    <n v="0"/>
    <n v="0"/>
    <n v="0"/>
    <n v="0"/>
    <n v="0"/>
    <n v="-9.0949470177292824E-13"/>
    <n v="0"/>
  </r>
  <r>
    <x v="11"/>
    <x v="6"/>
    <x v="0"/>
    <s v="6800107"/>
    <n v="721810"/>
    <s v="Supplies-Dietary/Cafeteria"/>
    <s v="Human Resources"/>
    <x v="0"/>
    <m/>
    <n v="0"/>
    <n v="48.94"/>
    <n v="70.459999999999994"/>
    <n v="0"/>
    <n v="70.459999999999994"/>
    <n v="0"/>
    <n v="-189.86"/>
    <n v="0"/>
    <n v="0"/>
    <n v="0"/>
    <n v="0"/>
    <n v="0"/>
    <n v="-2.8421709430404007E-14"/>
    <n v="0"/>
  </r>
  <r>
    <x v="11"/>
    <x v="6"/>
    <x v="0"/>
    <s v="6800107"/>
    <n v="721835"/>
    <s v="Supplies-Forms"/>
    <s v="Human Resources"/>
    <x v="0"/>
    <m/>
    <n v="0"/>
    <n v="0"/>
    <n v="0"/>
    <n v="0"/>
    <n v="0"/>
    <n v="100"/>
    <n v="-100"/>
    <n v="0"/>
    <n v="0"/>
    <n v="0"/>
    <n v="0"/>
    <n v="0"/>
    <n v="0"/>
    <n v="0"/>
  </r>
  <r>
    <x v="12"/>
    <x v="6"/>
    <x v="0"/>
    <s v="6800107"/>
    <n v="730020"/>
    <s v="Rental and Leases-Equipment (DO NOT USE)"/>
    <s v="Human Resources"/>
    <x v="0"/>
    <m/>
    <n v="0"/>
    <n v="84.35"/>
    <n v="42.02"/>
    <n v="42.33"/>
    <n v="0"/>
    <n v="0"/>
    <n v="-168.7"/>
    <n v="0"/>
    <n v="0"/>
    <n v="0"/>
    <n v="0"/>
    <n v="0"/>
    <n v="0"/>
    <n v="0"/>
  </r>
  <r>
    <x v="12"/>
    <x v="6"/>
    <x v="0"/>
    <s v="6800107"/>
    <n v="730020"/>
    <s v="Rental and Leases-Copier Usage Fees (DO NOT USE)"/>
    <s v="Human Resources"/>
    <x v="0"/>
    <n v="5100"/>
    <n v="898.39"/>
    <n v="924.49"/>
    <n v="911.44"/>
    <n v="911.44"/>
    <n v="911.44"/>
    <n v="911.44"/>
    <n v="-5468.64"/>
    <n v="0"/>
    <n v="0"/>
    <n v="0"/>
    <n v="0"/>
    <n v="0"/>
    <n v="9.0949470177292824E-13"/>
    <n v="0"/>
  </r>
  <r>
    <x v="13"/>
    <x v="6"/>
    <x v="0"/>
    <s v="6800107"/>
    <n v="735070"/>
    <s v="Depreciation-Movable Equipment"/>
    <s v="Human Resources"/>
    <x v="0"/>
    <m/>
    <n v="794.88"/>
    <n v="537.61"/>
    <n v="537.61"/>
    <n v="347.74"/>
    <n v="347.76"/>
    <n v="347.74"/>
    <n v="-2913.34"/>
    <n v="0"/>
    <n v="0"/>
    <n v="0"/>
    <n v="0"/>
    <n v="0"/>
    <n v="0"/>
    <n v="0"/>
  </r>
  <r>
    <x v="12"/>
    <x v="10"/>
    <x v="0"/>
    <s v="6800306"/>
    <n v="730020"/>
    <s v="Rental and Leases-Copier Usage Fees (DO NOT USE)"/>
    <s v="Human Resources Administration"/>
    <x v="0"/>
    <n v="5100"/>
    <n v="10.7"/>
    <n v="9.2899999999999991"/>
    <n v="10"/>
    <n v="10"/>
    <n v="10"/>
    <n v="10"/>
    <n v="-59.99"/>
    <n v="0"/>
    <n v="0"/>
    <n v="0"/>
    <n v="0"/>
    <n v="0"/>
    <n v="-7.1054273576010019E-15"/>
    <n v="0"/>
  </r>
  <r>
    <x v="13"/>
    <x v="10"/>
    <x v="0"/>
    <s v="6800306"/>
    <n v="735070"/>
    <s v="Depreciation-Movable Equipment"/>
    <s v="Human Resources Administration"/>
    <x v="0"/>
    <m/>
    <n v="25.37"/>
    <n v="25.37"/>
    <n v="25.37"/>
    <n v="25.36"/>
    <n v="25.4"/>
    <n v="25.36"/>
    <n v="-152.22999999999999"/>
    <n v="0"/>
    <n v="0"/>
    <n v="0"/>
    <n v="0"/>
    <n v="0"/>
    <n v="2.8421709430404007E-14"/>
    <n v="0"/>
  </r>
  <r>
    <x v="5"/>
    <x v="9"/>
    <x v="0"/>
    <s v="6800501"/>
    <n v="700014"/>
    <s v="Salaries-Management-Productive"/>
    <s v="Human Resources Administration"/>
    <x v="0"/>
    <m/>
    <n v="29575.05"/>
    <n v="25381.51"/>
    <n v="32723.16"/>
    <n v="32513.19"/>
    <n v="34515.760000000002"/>
    <n v="21117.91"/>
    <n v="34423.49"/>
    <n v="31497.32"/>
    <n v="34872.25"/>
    <n v="33703.089999999997"/>
    <n v="33248.629999999997"/>
    <n v="32125.83"/>
    <n v="375697.19"/>
    <n v="1122.7999999999956"/>
  </r>
  <r>
    <x v="5"/>
    <x v="9"/>
    <x v="0"/>
    <s v="6800501"/>
    <n v="700014"/>
    <s v="Salaries-Management-Other"/>
    <s v="Human Resources Administration"/>
    <x v="0"/>
    <n v="2000"/>
    <n v="1625.57"/>
    <n v="1625.65"/>
    <n v="1573.23"/>
    <n v="1625.65"/>
    <n v="1573.16"/>
    <n v="1625.65"/>
    <n v="1628.19"/>
    <n v="1470.48"/>
    <n v="1628.04"/>
    <n v="1573.46"/>
    <n v="1625.65"/>
    <n v="1573.23"/>
    <n v="19147.96"/>
    <n v="52.420000000000073"/>
  </r>
  <r>
    <x v="5"/>
    <x v="9"/>
    <x v="0"/>
    <s v="6800501"/>
    <n v="700038"/>
    <s v="Salaries-Service/Support-Productive"/>
    <s v="Human Resources Administration"/>
    <x v="0"/>
    <m/>
    <n v="6037.94"/>
    <n v="5958.45"/>
    <n v="6193.93"/>
    <n v="6175.11"/>
    <n v="6783.17"/>
    <n v="4978.6000000000004"/>
    <n v="3147.16"/>
    <n v="5959.13"/>
    <n v="6882.05"/>
    <n v="5568.54"/>
    <n v="6771.48"/>
    <n v="6256.9"/>
    <n v="70712.459999999992"/>
    <n v="514.57999999999993"/>
  </r>
  <r>
    <x v="5"/>
    <x v="9"/>
    <x v="0"/>
    <s v="6800501"/>
    <n v="700038"/>
    <s v="Salaries-Service/Support-OT"/>
    <s v="Human Resources Administration"/>
    <x v="0"/>
    <n v="1000"/>
    <n v="0"/>
    <n v="0"/>
    <n v="0"/>
    <n v="0"/>
    <n v="286.27999999999997"/>
    <n v="0"/>
    <n v="0"/>
    <n v="0"/>
    <n v="0"/>
    <n v="0"/>
    <n v="0"/>
    <n v="0"/>
    <n v="286.27999999999997"/>
    <n v="0"/>
  </r>
  <r>
    <x v="5"/>
    <x v="9"/>
    <x v="0"/>
    <s v="6800501"/>
    <n v="700054"/>
    <s v="Salaries-Management-Non-productive"/>
    <s v="Human Resources Administration"/>
    <x v="0"/>
    <m/>
    <n v="2936.65"/>
    <n v="7131.65"/>
    <n v="-1258.3499999999999"/>
    <n v="0"/>
    <n v="0"/>
    <n v="13703.28"/>
    <n v="452.07"/>
    <n v="0"/>
    <n v="0"/>
    <n v="0"/>
    <n v="1572.56"/>
    <n v="1572.56"/>
    <n v="26110.420000000002"/>
    <n v="0"/>
  </r>
  <r>
    <x v="5"/>
    <x v="9"/>
    <x v="0"/>
    <s v="6800501"/>
    <n v="700054"/>
    <s v="Salaries-Management-NonProd-Other"/>
    <s v="Human Resources Administration"/>
    <x v="0"/>
    <n v="2000"/>
    <n v="0"/>
    <n v="0"/>
    <n v="0"/>
    <n v="0"/>
    <n v="0"/>
    <n v="0"/>
    <n v="2181.13"/>
    <n v="0"/>
    <n v="0"/>
    <n v="0"/>
    <n v="0"/>
    <n v="0"/>
    <n v="2181.13"/>
    <n v="0"/>
  </r>
  <r>
    <x v="5"/>
    <x v="9"/>
    <x v="0"/>
    <s v="6800501"/>
    <n v="700078"/>
    <s v="Salaries-Service/Support-Non-productive"/>
    <s v="Human Resources Administration"/>
    <x v="0"/>
    <m/>
    <n v="558.6"/>
    <n v="638.39"/>
    <n v="190.2"/>
    <n v="554.59"/>
    <n v="-239.92"/>
    <n v="2116.98"/>
    <n v="3644.08"/>
    <n v="157.04"/>
    <n v="-110.56"/>
    <n v="984.31"/>
    <n v="0"/>
    <n v="296.23"/>
    <n v="8789.9399999999987"/>
    <n v="-296.23"/>
  </r>
  <r>
    <x v="5"/>
    <x v="9"/>
    <x v="0"/>
    <s v="6800501"/>
    <n v="700084"/>
    <s v="Accrued PTO"/>
    <s v="Human Resources Administration"/>
    <x v="0"/>
    <m/>
    <n v="512.03"/>
    <n v="323.98"/>
    <n v="4928.63"/>
    <n v="946.24"/>
    <n v="1047.48"/>
    <n v="-14.87"/>
    <n v="-1529.24"/>
    <n v="443.16"/>
    <n v="996.62"/>
    <n v="214.13"/>
    <n v="1015.32"/>
    <n v="1229.05"/>
    <n v="10112.530000000001"/>
    <n v="-213.7299999999999"/>
  </r>
  <r>
    <x v="10"/>
    <x v="9"/>
    <x v="0"/>
    <s v="6800501"/>
    <n v="710060"/>
    <s v="Contract Labor-Other"/>
    <s v="Human Resources Administration"/>
    <x v="0"/>
    <m/>
    <n v="0"/>
    <n v="0"/>
    <n v="0"/>
    <n v="0"/>
    <n v="0"/>
    <n v="0"/>
    <n v="0"/>
    <n v="3946.26"/>
    <n v="-941.88"/>
    <n v="2724.63"/>
    <n v="6759.36"/>
    <n v="-1066.83"/>
    <n v="11421.539999999999"/>
    <n v="7826.19"/>
  </r>
  <r>
    <x v="6"/>
    <x v="9"/>
    <x v="0"/>
    <s v="6800501"/>
    <n v="713010"/>
    <s v="Benefits-FICA/Medicare"/>
    <s v="Human Resources Administration"/>
    <x v="0"/>
    <m/>
    <n v="994.05"/>
    <n v="994.14"/>
    <n v="962.06"/>
    <n v="1004.27"/>
    <n v="1042.45"/>
    <n v="2386.35"/>
    <n v="3444"/>
    <n v="2958.68"/>
    <n v="3275.68"/>
    <n v="1366.27"/>
    <n v="1040.0999999999999"/>
    <n v="1064.95"/>
    <n v="20533"/>
    <n v="-24.850000000000136"/>
  </r>
  <r>
    <x v="6"/>
    <x v="9"/>
    <x v="0"/>
    <s v="6800501"/>
    <n v="713090"/>
    <s v="Benefits-Allocated Amounts"/>
    <s v="Human Resources Administration"/>
    <x v="0"/>
    <m/>
    <n v="4003.39"/>
    <n v="3748.73"/>
    <n v="4039.84"/>
    <n v="3511.14"/>
    <n v="3370.73"/>
    <n v="4182.8500000000004"/>
    <n v="4277.24"/>
    <n v="4062.48"/>
    <n v="5280.78"/>
    <n v="4283.6099999999997"/>
    <n v="4415.3999999999996"/>
    <n v="4381.3100000000004"/>
    <n v="49557.5"/>
    <n v="34.089999999999236"/>
  </r>
  <r>
    <x v="6"/>
    <x v="9"/>
    <x v="0"/>
    <s v="6800501"/>
    <n v="713096"/>
    <s v="Employee Relations/Picnic"/>
    <s v="Human Resources Administration"/>
    <x v="0"/>
    <n v="1004"/>
    <n v="14788.72"/>
    <n v="38994.92"/>
    <n v="25662.36"/>
    <n v="28645.03"/>
    <n v="-107.93"/>
    <n v="17730.63"/>
    <n v="31677.17"/>
    <n v="-393.11"/>
    <n v="16339.05"/>
    <n v="14249.33"/>
    <n v="12687.84"/>
    <n v="16313.99"/>
    <n v="216588"/>
    <n v="-3626.1499999999996"/>
  </r>
  <r>
    <x v="6"/>
    <x v="9"/>
    <x v="0"/>
    <s v="6800501"/>
    <n v="713096"/>
    <s v="Employee Recognition"/>
    <s v="Human Resources Administration"/>
    <x v="0"/>
    <n v="1017"/>
    <n v="558.35"/>
    <n v="3003.7"/>
    <n v="428.7"/>
    <n v="911.02"/>
    <n v="751.51"/>
    <n v="800.96"/>
    <n v="2125.75"/>
    <n v="3007.07"/>
    <n v="1861"/>
    <n v="1485.45"/>
    <n v="4046.34"/>
    <n v="1826.81"/>
    <n v="20806.66"/>
    <n v="2219.5300000000002"/>
  </r>
  <r>
    <x v="21"/>
    <x v="9"/>
    <x v="0"/>
    <s v="6800501"/>
    <n v="716046"/>
    <s v="Consulting-Other"/>
    <s v="Human Resources Administration"/>
    <x v="0"/>
    <m/>
    <n v="0"/>
    <n v="26220"/>
    <n v="0"/>
    <n v="0"/>
    <n v="0"/>
    <n v="0"/>
    <n v="0"/>
    <n v="0"/>
    <n v="0"/>
    <n v="0"/>
    <n v="0"/>
    <n v="0"/>
    <n v="26220"/>
    <n v="0"/>
  </r>
  <r>
    <x v="7"/>
    <x v="9"/>
    <x v="0"/>
    <s v="6800501"/>
    <n v="718050"/>
    <s v="Contract Svcs-Other"/>
    <s v="Human Resources Administration"/>
    <x v="0"/>
    <m/>
    <n v="0"/>
    <n v="0"/>
    <n v="0"/>
    <n v="0"/>
    <n v="0"/>
    <n v="0"/>
    <n v="0"/>
    <n v="-836.48"/>
    <n v="6389.81"/>
    <n v="10506.06"/>
    <n v="-22217.32"/>
    <n v="-3050.72"/>
    <n v="-9208.65"/>
    <n v="-19166.599999999999"/>
  </r>
  <r>
    <x v="7"/>
    <x v="9"/>
    <x v="0"/>
    <s v="6800501"/>
    <n v="718050"/>
    <s v="Document Shredding/Storage"/>
    <s v="Human Resources Administration"/>
    <x v="0"/>
    <n v="1012"/>
    <n v="415.89"/>
    <n v="1201.29"/>
    <n v="514.03"/>
    <n v="693.22"/>
    <n v="501.26"/>
    <n v="522.22"/>
    <n v="1116.01"/>
    <n v="1008.02"/>
    <n v="828.09"/>
    <n v="283.47000000000003"/>
    <n v="658.29"/>
    <n v="650.15"/>
    <n v="8391.94"/>
    <n v="8.1399999999999864"/>
  </r>
  <r>
    <x v="7"/>
    <x v="9"/>
    <x v="0"/>
    <s v="6800501"/>
    <n v="718050"/>
    <s v="Miscellaneous Purchased Svcs"/>
    <s v="Human Resources Administration"/>
    <x v="0"/>
    <n v="1020"/>
    <n v="0"/>
    <n v="0"/>
    <n v="0"/>
    <n v="0"/>
    <n v="0"/>
    <n v="0"/>
    <n v="0"/>
    <n v="72856.149999999994"/>
    <n v="0"/>
    <n v="0"/>
    <n v="0"/>
    <n v="0"/>
    <n v="72856.149999999994"/>
    <n v="0"/>
  </r>
  <r>
    <x v="11"/>
    <x v="9"/>
    <x v="0"/>
    <s v="6800501"/>
    <n v="721250"/>
    <s v="Supplies-Pharmacy Drugs - Billable"/>
    <s v="Human Resources Administration"/>
    <x v="0"/>
    <m/>
    <n v="0"/>
    <n v="0"/>
    <n v="0"/>
    <n v="0"/>
    <n v="0"/>
    <n v="0"/>
    <n v="6791"/>
    <n v="0"/>
    <n v="0"/>
    <n v="0"/>
    <n v="0"/>
    <n v="0"/>
    <n v="6791"/>
    <n v="0"/>
  </r>
  <r>
    <x v="11"/>
    <x v="9"/>
    <x v="0"/>
    <s v="6800501"/>
    <n v="721410"/>
    <s v="Supplies-Medical - Nonbillable"/>
    <s v="Human Resources Administration"/>
    <x v="0"/>
    <m/>
    <n v="0"/>
    <n v="0"/>
    <n v="0"/>
    <n v="0"/>
    <n v="0"/>
    <n v="6.95"/>
    <n v="0"/>
    <n v="0"/>
    <n v="0"/>
    <n v="0"/>
    <n v="0"/>
    <n v="0"/>
    <n v="6.95"/>
    <n v="0"/>
  </r>
  <r>
    <x v="11"/>
    <x v="9"/>
    <x v="0"/>
    <s v="6800501"/>
    <n v="721810"/>
    <s v="Supplies-Dietary/Cafeteria"/>
    <s v="Human Resources Administration"/>
    <x v="0"/>
    <m/>
    <n v="1038.6600000000001"/>
    <n v="668.82"/>
    <n v="155.62"/>
    <n v="339.14"/>
    <n v="450.75"/>
    <n v="12537.34"/>
    <n v="552.28"/>
    <n v="505.46"/>
    <n v="529.20000000000005"/>
    <n v="261.08"/>
    <n v="258.81"/>
    <n v="257.93"/>
    <n v="17555.090000000004"/>
    <n v="0.87999999999999545"/>
  </r>
  <r>
    <x v="11"/>
    <x v="9"/>
    <x v="0"/>
    <s v="6800501"/>
    <n v="721830"/>
    <s v="Supplies-Office"/>
    <s v="Human Resources Administration"/>
    <x v="0"/>
    <m/>
    <n v="898.67"/>
    <n v="2215.96"/>
    <n v="965.35"/>
    <n v="1435.13"/>
    <n v="1786.02"/>
    <n v="946.32"/>
    <n v="1101.42"/>
    <n v="736.26"/>
    <n v="1867.27"/>
    <n v="613.26"/>
    <n v="295.95"/>
    <n v="137.88999999999999"/>
    <n v="12999.500000000002"/>
    <n v="158.06"/>
  </r>
  <r>
    <x v="11"/>
    <x v="9"/>
    <x v="0"/>
    <s v="6800501"/>
    <n v="721835"/>
    <s v="Supplies-Forms"/>
    <s v="Human Resources Administration"/>
    <x v="0"/>
    <m/>
    <n v="0"/>
    <n v="0"/>
    <n v="0"/>
    <n v="0"/>
    <n v="2767.97"/>
    <n v="50"/>
    <n v="373.5"/>
    <n v="0"/>
    <n v="301.47000000000003"/>
    <n v="400.22"/>
    <n v="308.73"/>
    <n v="112.5"/>
    <n v="4314.3899999999994"/>
    <n v="196.23000000000002"/>
  </r>
  <r>
    <x v="11"/>
    <x v="9"/>
    <x v="0"/>
    <s v="6800501"/>
    <n v="721910"/>
    <s v="Supplies-Small Equipment"/>
    <s v="Human Resources Administration"/>
    <x v="0"/>
    <m/>
    <n v="0"/>
    <n v="0"/>
    <n v="750.99"/>
    <n v="1660.08"/>
    <n v="316.62"/>
    <n v="0"/>
    <n v="0"/>
    <n v="0"/>
    <n v="0"/>
    <n v="858.35"/>
    <n v="13.92"/>
    <n v="0"/>
    <n v="3599.9599999999996"/>
    <n v="13.92"/>
  </r>
  <r>
    <x v="11"/>
    <x v="9"/>
    <x v="0"/>
    <s v="6800501"/>
    <n v="721980"/>
    <s v="Supplies-Other"/>
    <s v="Human Resources Administration"/>
    <x v="0"/>
    <m/>
    <n v="0"/>
    <n v="0"/>
    <n v="0"/>
    <n v="0"/>
    <n v="0"/>
    <n v="0"/>
    <n v="0"/>
    <n v="0"/>
    <n v="0"/>
    <n v="566.28"/>
    <n v="0"/>
    <n v="0"/>
    <n v="566.28"/>
    <n v="0"/>
  </r>
  <r>
    <x v="11"/>
    <x v="9"/>
    <x v="0"/>
    <s v="6800501"/>
    <n v="722000"/>
    <s v="Supplies-Freight Expense"/>
    <s v="Human Resources Administration"/>
    <x v="0"/>
    <m/>
    <n v="93.12"/>
    <n v="75.260000000000005"/>
    <n v="325.49"/>
    <n v="51.44"/>
    <n v="63.83"/>
    <n v="68.7"/>
    <n v="185.98"/>
    <n v="142.6"/>
    <n v="110.93"/>
    <n v="144.29"/>
    <n v="121.79"/>
    <n v="63.2"/>
    <n v="1446.63"/>
    <n v="58.59"/>
  </r>
  <r>
    <x v="12"/>
    <x v="9"/>
    <x v="0"/>
    <s v="6800501"/>
    <n v="730020"/>
    <s v="Rental and Leases-Equipment (DO NOT USE)"/>
    <s v="Human Resources Administration"/>
    <x v="0"/>
    <m/>
    <n v="0"/>
    <n v="0"/>
    <n v="0"/>
    <n v="0"/>
    <n v="0"/>
    <n v="0"/>
    <n v="244.76"/>
    <n v="0"/>
    <n v="38.03"/>
    <n v="0"/>
    <n v="76.06"/>
    <n v="38.03"/>
    <n v="396.88"/>
    <n v="38.03"/>
  </r>
  <r>
    <x v="12"/>
    <x v="9"/>
    <x v="0"/>
    <s v="6800501"/>
    <n v="730020"/>
    <s v="Rental and Leases-Copier Usage Fees (DO NOT USE)"/>
    <s v="Human Resources Administration"/>
    <x v="0"/>
    <n v="5100"/>
    <n v="2620.04"/>
    <n v="2664.61"/>
    <n v="2642.32"/>
    <n v="2642.32"/>
    <n v="2642.32"/>
    <n v="2642.32"/>
    <n v="6183.28"/>
    <n v="2616.21"/>
    <n v="2270.54"/>
    <n v="6294.67"/>
    <n v="2216.62"/>
    <n v="2591.69"/>
    <n v="38026.94"/>
    <n v="-375.07000000000016"/>
  </r>
  <r>
    <x v="15"/>
    <x v="9"/>
    <x v="0"/>
    <s v="6800501"/>
    <n v="731060"/>
    <s v="Cell Phones"/>
    <s v="Human Resources Administration"/>
    <x v="0"/>
    <n v="1001"/>
    <n v="0"/>
    <n v="0"/>
    <n v="0"/>
    <n v="0"/>
    <n v="0"/>
    <n v="0"/>
    <n v="0"/>
    <n v="0"/>
    <n v="0"/>
    <n v="25.45"/>
    <n v="162.28"/>
    <n v="14.82"/>
    <n v="202.54999999999998"/>
    <n v="147.46"/>
  </r>
  <r>
    <x v="16"/>
    <x v="9"/>
    <x v="0"/>
    <s v="6800501"/>
    <n v="732030"/>
    <s v="Repairs&amp;Maintenance-Bldg Routine"/>
    <s v="Human Resources Administration"/>
    <x v="0"/>
    <n v="2300"/>
    <n v="0"/>
    <n v="0"/>
    <n v="0"/>
    <n v="0"/>
    <n v="0"/>
    <n v="0"/>
    <n v="0"/>
    <n v="0"/>
    <n v="0"/>
    <n v="0"/>
    <n v="0"/>
    <n v="373.75"/>
    <n v="373.75"/>
    <n v="-373.75"/>
  </r>
  <r>
    <x v="13"/>
    <x v="9"/>
    <x v="0"/>
    <s v="6800501"/>
    <n v="735030"/>
    <s v="Depreciation-Buildings"/>
    <s v="Human Resources Administration"/>
    <x v="0"/>
    <m/>
    <n v="115.61"/>
    <n v="115.58"/>
    <n v="115.61"/>
    <n v="115.57"/>
    <n v="115.64"/>
    <n v="115.55"/>
    <n v="115.65"/>
    <n v="115.55"/>
    <n v="115.66"/>
    <n v="115.51"/>
    <n v="115.68"/>
    <n v="115.49"/>
    <n v="1387.1"/>
    <n v="0.19000000000001194"/>
  </r>
  <r>
    <x v="13"/>
    <x v="9"/>
    <x v="0"/>
    <s v="6800501"/>
    <n v="735060"/>
    <s v="Depreciation-Fixed Equipment"/>
    <s v="Human Resources Administration"/>
    <x v="0"/>
    <m/>
    <n v="0"/>
    <n v="0"/>
    <n v="0"/>
    <n v="0"/>
    <n v="0"/>
    <n v="0"/>
    <n v="53.8"/>
    <n v="7.68"/>
    <n v="7.69"/>
    <n v="7.68"/>
    <n v="7.69"/>
    <n v="7.68"/>
    <n v="92.22"/>
    <n v="1.0000000000000675E-2"/>
  </r>
  <r>
    <x v="13"/>
    <x v="9"/>
    <x v="0"/>
    <s v="6800501"/>
    <n v="735070"/>
    <s v="Depreciation-Movable Equipment"/>
    <s v="Human Resources Administration"/>
    <x v="0"/>
    <m/>
    <n v="621.91"/>
    <n v="621.9"/>
    <n v="64.400000000000006"/>
    <n v="64.39"/>
    <n v="64.400000000000006"/>
    <n v="64.39"/>
    <n v="5090.8500000000004"/>
    <n v="664.22"/>
    <n v="664.54"/>
    <n v="664.14"/>
    <n v="664.62"/>
    <n v="664.07"/>
    <n v="9913.8300000000017"/>
    <n v="0.54999999999995453"/>
  </r>
  <r>
    <x v="0"/>
    <x v="9"/>
    <x v="0"/>
    <s v="6800501"/>
    <n v="740010"/>
    <s v="Education-Materials"/>
    <s v="Human Resources Administration"/>
    <x v="0"/>
    <m/>
    <n v="0"/>
    <n v="0"/>
    <n v="0"/>
    <n v="0"/>
    <n v="0"/>
    <n v="0"/>
    <n v="0"/>
    <n v="0"/>
    <n v="0"/>
    <n v="399"/>
    <n v="0"/>
    <n v="0"/>
    <n v="399"/>
    <n v="0"/>
  </r>
  <r>
    <x v="0"/>
    <x v="9"/>
    <x v="0"/>
    <s v="6800501"/>
    <n v="740020"/>
    <s v="Education-Registration Fees"/>
    <s v="Human Resources Administration"/>
    <x v="0"/>
    <m/>
    <n v="219"/>
    <n v="0"/>
    <n v="0"/>
    <n v="0"/>
    <n v="0"/>
    <n v="0"/>
    <n v="0"/>
    <n v="0"/>
    <n v="0"/>
    <n v="149"/>
    <n v="0"/>
    <n v="375"/>
    <n v="743"/>
    <n v="-375"/>
  </r>
  <r>
    <x v="0"/>
    <x v="9"/>
    <x v="0"/>
    <s v="6800501"/>
    <n v="743020"/>
    <s v="Dues--Individual"/>
    <s v="Human Resources Administration"/>
    <x v="0"/>
    <m/>
    <n v="0"/>
    <n v="0"/>
    <n v="0"/>
    <n v="0"/>
    <n v="0"/>
    <n v="0"/>
    <n v="369"/>
    <n v="330"/>
    <n v="0"/>
    <n v="398"/>
    <n v="0"/>
    <n v="0"/>
    <n v="1097"/>
    <n v="0"/>
  </r>
  <r>
    <x v="0"/>
    <x v="9"/>
    <x v="0"/>
    <s v="6800501"/>
    <n v="743030"/>
    <s v="Subscriptions--Institutional"/>
    <s v="Human Resources Administration"/>
    <x v="0"/>
    <m/>
    <n v="0"/>
    <n v="0"/>
    <n v="0"/>
    <n v="0"/>
    <n v="0"/>
    <n v="0"/>
    <n v="46.35"/>
    <n v="0"/>
    <n v="0"/>
    <n v="0"/>
    <n v="0"/>
    <n v="0"/>
    <n v="46.35"/>
    <n v="0"/>
  </r>
  <r>
    <x v="0"/>
    <x v="9"/>
    <x v="0"/>
    <s v="6800501"/>
    <n v="749510"/>
    <s v="Miscellaneous Expenses"/>
    <s v="Human Resources Administration"/>
    <x v="0"/>
    <m/>
    <n v="-4238.05"/>
    <n v="19449.43"/>
    <n v="1817.12"/>
    <n v="2527.16"/>
    <n v="7520"/>
    <n v="977.19"/>
    <n v="3378.26"/>
    <n v="-773.38"/>
    <n v="-18168.689999999999"/>
    <n v="-6205.03"/>
    <n v="-4411.76"/>
    <n v="-1004.07"/>
    <n v="868.18000000000086"/>
    <n v="-3407.69"/>
  </r>
  <r>
    <x v="0"/>
    <x v="9"/>
    <x v="0"/>
    <s v="6800501"/>
    <n v="749510"/>
    <s v="RICE Rewards"/>
    <s v="Human Resources Administration"/>
    <x v="0"/>
    <n v="5100"/>
    <n v="0"/>
    <n v="0"/>
    <n v="0"/>
    <n v="0"/>
    <n v="0"/>
    <n v="0"/>
    <n v="0"/>
    <n v="0"/>
    <n v="0"/>
    <n v="0"/>
    <n v="0"/>
    <n v="100"/>
    <n v="100"/>
    <n v="-100"/>
  </r>
  <r>
    <x v="0"/>
    <x v="9"/>
    <x v="0"/>
    <s v="6800501"/>
    <n v="749530"/>
    <s v="Travel"/>
    <s v="Human Resources Administration"/>
    <x v="0"/>
    <m/>
    <n v="0"/>
    <n v="0"/>
    <n v="0"/>
    <n v="0"/>
    <n v="0"/>
    <n v="0"/>
    <n v="0"/>
    <n v="1745.94"/>
    <n v="0"/>
    <n v="2640.3"/>
    <n v="5376.27"/>
    <n v="4335.3599999999997"/>
    <n v="14097.869999999999"/>
    <n v="1040.9100000000008"/>
  </r>
  <r>
    <x v="0"/>
    <x v="9"/>
    <x v="0"/>
    <s v="6800501"/>
    <n v="749535"/>
    <s v="Meetings"/>
    <s v="Human Resources Administration"/>
    <x v="0"/>
    <m/>
    <n v="0"/>
    <n v="55.34"/>
    <n v="0"/>
    <n v="0"/>
    <n v="0"/>
    <n v="0"/>
    <n v="1867.66"/>
    <n v="0"/>
    <n v="0"/>
    <n v="454.06"/>
    <n v="202.14"/>
    <n v="48.49"/>
    <n v="2627.6899999999996"/>
    <n v="153.64999999999998"/>
  </r>
  <r>
    <x v="11"/>
    <x v="1"/>
    <x v="0"/>
    <s v="6810200"/>
    <n v="721830"/>
    <s v="Supplies-Office"/>
    <s v="Employment/Recruitment"/>
    <x v="0"/>
    <m/>
    <n v="0"/>
    <n v="0"/>
    <n v="0"/>
    <n v="50.08"/>
    <n v="0"/>
    <n v="0"/>
    <n v="0"/>
    <n v="0"/>
    <n v="0"/>
    <n v="0"/>
    <n v="0"/>
    <n v="0"/>
    <n v="50.08"/>
    <n v="0"/>
  </r>
  <r>
    <x v="0"/>
    <x v="1"/>
    <x v="0"/>
    <s v="6810200"/>
    <n v="744012"/>
    <s v="Recruitment-Physician"/>
    <s v="Employment/Recruitment"/>
    <x v="0"/>
    <m/>
    <n v="0"/>
    <n v="69.69"/>
    <n v="0"/>
    <n v="0"/>
    <n v="0"/>
    <n v="0"/>
    <n v="0"/>
    <n v="0"/>
    <n v="0"/>
    <n v="0"/>
    <n v="0"/>
    <n v="0"/>
    <n v="69.69"/>
    <n v="0"/>
  </r>
  <r>
    <x v="0"/>
    <x v="1"/>
    <x v="0"/>
    <s v="6810200"/>
    <n v="749535"/>
    <s v="Meetings"/>
    <s v="Employment/Recruitment"/>
    <x v="0"/>
    <m/>
    <n v="0"/>
    <n v="0"/>
    <n v="0"/>
    <n v="0"/>
    <n v="0"/>
    <n v="0"/>
    <n v="0"/>
    <n v="0"/>
    <n v="0"/>
    <n v="0"/>
    <n v="353.47"/>
    <n v="0"/>
    <n v="353.47"/>
    <n v="353.47"/>
  </r>
  <r>
    <x v="0"/>
    <x v="1"/>
    <x v="0"/>
    <s v="6810200"/>
    <n v="749535"/>
    <s v="Medicare Non-Allowable Beverages"/>
    <s v="Employment/Recruitment"/>
    <x v="0"/>
    <n v="1005"/>
    <n v="0"/>
    <n v="0"/>
    <n v="0"/>
    <n v="0"/>
    <n v="0"/>
    <n v="0"/>
    <n v="0"/>
    <n v="0"/>
    <n v="0"/>
    <n v="0"/>
    <n v="9"/>
    <n v="0"/>
    <n v="9"/>
    <n v="9"/>
  </r>
  <r>
    <x v="5"/>
    <x v="9"/>
    <x v="0"/>
    <s v="6810501"/>
    <n v="700014"/>
    <s v="Salaries-Management-Productive"/>
    <s v="Employment/Recruitment"/>
    <x v="0"/>
    <m/>
    <n v="9608.61"/>
    <n v="5518.98"/>
    <n v="9479.1299999999992"/>
    <n v="10627.53"/>
    <n v="9632.2099999999991"/>
    <n v="7342.41"/>
    <n v="9782.06"/>
    <n v="8162.56"/>
    <n v="10793.43"/>
    <n v="8836.89"/>
    <n v="10793.44"/>
    <n v="6712.39"/>
    <n v="107289.63999999998"/>
    <n v="4081.05"/>
  </r>
  <r>
    <x v="5"/>
    <x v="9"/>
    <x v="0"/>
    <s v="6810501"/>
    <n v="700034"/>
    <s v="Salaries-Tech/Professional-Productive"/>
    <s v="Employment/Recruitment"/>
    <x v="0"/>
    <m/>
    <n v="78679.61"/>
    <n v="68854.880000000005"/>
    <n v="71181.59"/>
    <n v="74309.289999999994"/>
    <n v="83013.649999999994"/>
    <n v="53056.4"/>
    <n v="73455.740000000005"/>
    <n v="72673.509999999995"/>
    <n v="84658.98"/>
    <n v="78592.53"/>
    <n v="76955.41"/>
    <n v="65411.14"/>
    <n v="880842.7300000001"/>
    <n v="11544.270000000004"/>
  </r>
  <r>
    <x v="5"/>
    <x v="9"/>
    <x v="0"/>
    <s v="6810501"/>
    <n v="700034"/>
    <s v="Salaries-Tech/Professional-Other"/>
    <s v="Employment/Recruitment"/>
    <x v="0"/>
    <n v="2000"/>
    <n v="0"/>
    <n v="30"/>
    <n v="30"/>
    <n v="0"/>
    <n v="0"/>
    <n v="0"/>
    <n v="215.33"/>
    <n v="741.96"/>
    <n v="684.79"/>
    <n v="543.99"/>
    <n v="697.07"/>
    <n v="202.32"/>
    <n v="3145.46"/>
    <n v="494.75000000000006"/>
  </r>
  <r>
    <x v="5"/>
    <x v="9"/>
    <x v="0"/>
    <s v="6810501"/>
    <n v="700038"/>
    <s v="Salaries-Service/Support-Productive"/>
    <s v="Employment/Recruitment"/>
    <x v="0"/>
    <m/>
    <n v="3715.13"/>
    <n v="4954.8100000000004"/>
    <n v="4801.8100000000004"/>
    <n v="3006.1"/>
    <n v="5809.68"/>
    <n v="3633.29"/>
    <n v="4666.68"/>
    <n v="3767.1"/>
    <n v="5285.7"/>
    <n v="4687.32"/>
    <n v="5080.84"/>
    <n v="3769.74"/>
    <n v="53178.19999999999"/>
    <n v="1311.1000000000004"/>
  </r>
  <r>
    <x v="5"/>
    <x v="9"/>
    <x v="0"/>
    <s v="6810501"/>
    <n v="700038"/>
    <s v="Salaries-Service/Support-OT"/>
    <s v="Employment/Recruitment"/>
    <x v="0"/>
    <n v="1000"/>
    <n v="0"/>
    <n v="10.5"/>
    <n v="0"/>
    <n v="0"/>
    <n v="0"/>
    <n v="0"/>
    <n v="0"/>
    <n v="0"/>
    <n v="0"/>
    <n v="21.51"/>
    <n v="0"/>
    <n v="0"/>
    <n v="32.010000000000005"/>
    <n v="0"/>
  </r>
  <r>
    <x v="5"/>
    <x v="9"/>
    <x v="0"/>
    <s v="6810501"/>
    <n v="700054"/>
    <s v="Salaries-Management-Non-productive"/>
    <s v="Employment/Recruitment"/>
    <x v="0"/>
    <m/>
    <n v="454.48"/>
    <n v="4544.57"/>
    <n v="259.91000000000003"/>
    <n v="-259.68"/>
    <n v="471.52"/>
    <n v="3098.45"/>
    <n v="675.09"/>
    <n v="1281.6400000000001"/>
    <n v="-337.23"/>
    <n v="1281.6500000000001"/>
    <n v="-337.24"/>
    <n v="3406.6"/>
    <n v="14539.76"/>
    <n v="-3743.84"/>
  </r>
  <r>
    <x v="5"/>
    <x v="9"/>
    <x v="0"/>
    <s v="6810501"/>
    <n v="700054"/>
    <s v="Salaries-Management-NonProd-Other"/>
    <s v="Employment/Recruitment"/>
    <x v="0"/>
    <n v="2000"/>
    <n v="0"/>
    <n v="0"/>
    <n v="0"/>
    <n v="0"/>
    <n v="0"/>
    <n v="202.01"/>
    <n v="-202.01"/>
    <n v="0"/>
    <n v="0"/>
    <n v="0"/>
    <n v="0"/>
    <n v="0"/>
    <n v="0"/>
    <n v="0"/>
  </r>
  <r>
    <x v="5"/>
    <x v="9"/>
    <x v="0"/>
    <s v="6810501"/>
    <n v="700074"/>
    <s v="Salaries-Tech/Professional-Non-productive"/>
    <s v="Employment/Recruitment"/>
    <x v="0"/>
    <m/>
    <n v="12263.81"/>
    <n v="20380.72"/>
    <n v="12603.99"/>
    <n v="15544.49"/>
    <n v="-1388.92"/>
    <n v="27866.42"/>
    <n v="11875.55"/>
    <n v="13455.81"/>
    <n v="9564.02"/>
    <n v="11378.72"/>
    <n v="8126.4"/>
    <n v="13900.85"/>
    <n v="155571.85999999999"/>
    <n v="-5774.4500000000007"/>
  </r>
  <r>
    <x v="5"/>
    <x v="9"/>
    <x v="0"/>
    <s v="6810501"/>
    <n v="700074"/>
    <s v="Salaries-Tech/Professional-NonProd-Other"/>
    <s v="Employment/Recruitment"/>
    <x v="0"/>
    <n v="2000"/>
    <n v="0"/>
    <n v="0"/>
    <n v="0"/>
    <n v="0"/>
    <n v="478.32"/>
    <n v="0"/>
    <n v="0"/>
    <n v="-478.32"/>
    <n v="0"/>
    <n v="0"/>
    <n v="0"/>
    <n v="0"/>
    <n v="0"/>
    <n v="0"/>
  </r>
  <r>
    <x v="5"/>
    <x v="9"/>
    <x v="0"/>
    <s v="6810501"/>
    <n v="700078"/>
    <s v="Salaries-Service/Support-Non-productive"/>
    <s v="Employment/Recruitment"/>
    <x v="0"/>
    <m/>
    <n v="1246.45"/>
    <n v="0"/>
    <n v="0"/>
    <n v="2045.69"/>
    <n v="-900.09"/>
    <n v="1538.31"/>
    <n v="402.36"/>
    <n v="822"/>
    <n v="-204.82"/>
    <n v="229.46"/>
    <n v="0"/>
    <n v="1147.28"/>
    <n v="6326.64"/>
    <n v="-1147.28"/>
  </r>
  <r>
    <x v="5"/>
    <x v="9"/>
    <x v="0"/>
    <s v="6810501"/>
    <n v="700084"/>
    <s v="Accrued PTO"/>
    <s v="Employment/Recruitment"/>
    <x v="0"/>
    <m/>
    <n v="1664.41"/>
    <n v="712.13"/>
    <n v="204.21"/>
    <n v="2544.7800000000002"/>
    <n v="8424.3700000000008"/>
    <n v="-13123.37"/>
    <n v="-1181.02"/>
    <n v="3716.44"/>
    <n v="8207.5"/>
    <n v="10843.98"/>
    <n v="-552.65"/>
    <n v="-1051.1500000000001"/>
    <n v="20409.629999999997"/>
    <n v="498.50000000000011"/>
  </r>
  <r>
    <x v="6"/>
    <x v="9"/>
    <x v="0"/>
    <s v="6810501"/>
    <n v="713010"/>
    <s v="Benefits-FICA/Medicare"/>
    <s v="Employment/Recruitment"/>
    <x v="0"/>
    <m/>
    <n v="7862.32"/>
    <n v="8133.16"/>
    <n v="7716.59"/>
    <n v="7854.57"/>
    <n v="7415.91"/>
    <n v="7315.61"/>
    <n v="8822.58"/>
    <n v="7224.05"/>
    <n v="8266.2999999999993"/>
    <n v="7856.93"/>
    <n v="8849.5300000000007"/>
    <n v="7182.21"/>
    <n v="94499.760000000024"/>
    <n v="1667.3200000000006"/>
  </r>
  <r>
    <x v="6"/>
    <x v="9"/>
    <x v="0"/>
    <s v="6810501"/>
    <n v="713090"/>
    <s v="Benefits-Allocated Amounts"/>
    <s v="Employment/Recruitment"/>
    <x v="0"/>
    <m/>
    <n v="20928.77"/>
    <n v="18797.73"/>
    <n v="19537.27"/>
    <n v="19464.28"/>
    <n v="17551.96"/>
    <n v="18324.669999999998"/>
    <n v="20612.3"/>
    <n v="21773.3"/>
    <n v="24476.81"/>
    <n v="22773.86"/>
    <n v="21120.78"/>
    <n v="20388.73"/>
    <n v="245750.46000000002"/>
    <n v="732.04999999999927"/>
  </r>
  <r>
    <x v="6"/>
    <x v="9"/>
    <x v="0"/>
    <s v="6810501"/>
    <n v="713096"/>
    <s v="Employee Recognition"/>
    <s v="Employment/Recruitment"/>
    <x v="0"/>
    <n v="1017"/>
    <n v="0"/>
    <n v="0"/>
    <n v="0"/>
    <n v="0"/>
    <n v="0"/>
    <n v="0"/>
    <n v="0"/>
    <n v="0"/>
    <n v="0"/>
    <n v="0"/>
    <n v="0"/>
    <n v="103.36"/>
    <n v="103.36"/>
    <n v="-103.36"/>
  </r>
  <r>
    <x v="7"/>
    <x v="9"/>
    <x v="0"/>
    <s v="6810501"/>
    <n v="718010"/>
    <s v="Employee Advertising"/>
    <s v="Employment/Recruitment"/>
    <x v="0"/>
    <n v="1002"/>
    <n v="12200"/>
    <n v="10500"/>
    <n v="12100"/>
    <n v="10500"/>
    <n v="12350"/>
    <n v="21000"/>
    <n v="1000"/>
    <n v="14000"/>
    <n v="10500"/>
    <n v="0"/>
    <n v="26000"/>
    <n v="21000"/>
    <n v="151150"/>
    <n v="5000"/>
  </r>
  <r>
    <x v="11"/>
    <x v="9"/>
    <x v="0"/>
    <s v="6810501"/>
    <n v="721835"/>
    <s v="Supplies-Forms"/>
    <s v="Employment/Recruitment"/>
    <x v="0"/>
    <m/>
    <n v="0"/>
    <n v="0"/>
    <n v="0"/>
    <n v="0"/>
    <n v="97.6"/>
    <n v="0"/>
    <n v="0"/>
    <n v="0"/>
    <n v="0"/>
    <n v="0"/>
    <n v="0"/>
    <n v="0"/>
    <n v="97.6"/>
    <n v="0"/>
  </r>
  <r>
    <x v="11"/>
    <x v="9"/>
    <x v="0"/>
    <s v="6810501"/>
    <n v="721980"/>
    <s v="Supplies-Other"/>
    <s v="Employment/Recruitment"/>
    <x v="0"/>
    <m/>
    <n v="0"/>
    <n v="0"/>
    <n v="0"/>
    <n v="0"/>
    <n v="9.94"/>
    <n v="0"/>
    <n v="0"/>
    <n v="0"/>
    <n v="0"/>
    <n v="0"/>
    <n v="0"/>
    <n v="0"/>
    <n v="9.94"/>
    <n v="0"/>
  </r>
  <r>
    <x v="0"/>
    <x v="9"/>
    <x v="0"/>
    <s v="6810501"/>
    <n v="744010"/>
    <s v="Recruitment"/>
    <s v="Employment/Recruitment"/>
    <x v="0"/>
    <m/>
    <n v="680"/>
    <n v="31410.58"/>
    <n v="4665"/>
    <n v="0"/>
    <n v="53186.99"/>
    <n v="118854.41"/>
    <n v="3665.18"/>
    <n v="1895"/>
    <n v="5129.54"/>
    <n v="6492.52"/>
    <n v="1099.71"/>
    <n v="873.53"/>
    <n v="227952.46"/>
    <n v="226.18000000000006"/>
  </r>
  <r>
    <x v="0"/>
    <x v="9"/>
    <x v="0"/>
    <s v="6810501"/>
    <n v="744010"/>
    <s v="Physician Recruitment Firm Fees"/>
    <s v="Employment/Recruitment"/>
    <x v="0"/>
    <n v="1000"/>
    <n v="0"/>
    <n v="0"/>
    <n v="1870"/>
    <n v="0"/>
    <n v="0"/>
    <n v="0"/>
    <n v="0"/>
    <n v="1870"/>
    <n v="0"/>
    <n v="0"/>
    <n v="0"/>
    <n v="0"/>
    <n v="3740"/>
    <n v="0"/>
  </r>
  <r>
    <x v="0"/>
    <x v="9"/>
    <x v="0"/>
    <s v="6810501"/>
    <n v="744012"/>
    <s v="Recruitment-Physician"/>
    <s v="Employment/Recruitment"/>
    <x v="0"/>
    <m/>
    <n v="0"/>
    <n v="0"/>
    <n v="0"/>
    <n v="0"/>
    <n v="0"/>
    <n v="0"/>
    <n v="0"/>
    <n v="0"/>
    <n v="0"/>
    <n v="0"/>
    <n v="0"/>
    <n v="172.02"/>
    <n v="172.02"/>
    <n v="-172.02"/>
  </r>
  <r>
    <x v="0"/>
    <x v="9"/>
    <x v="0"/>
    <s v="6810501"/>
    <n v="749510"/>
    <s v="Miscellaneous Expenses"/>
    <s v="Employment/Recruitment"/>
    <x v="0"/>
    <m/>
    <n v="849.5"/>
    <n v="2186.96"/>
    <n v="13715.87"/>
    <n v="4920.6000000000004"/>
    <n v="-5011.37"/>
    <n v="999.09"/>
    <n v="8519.24"/>
    <n v="2269.98"/>
    <n v="5842.67"/>
    <n v="2566.2800000000002"/>
    <n v="-19.239999999999998"/>
    <n v="4716"/>
    <n v="41555.58"/>
    <n v="-4735.24"/>
  </r>
  <r>
    <x v="0"/>
    <x v="9"/>
    <x v="0"/>
    <s v="6810501"/>
    <n v="749510"/>
    <s v="RICE Rewards"/>
    <s v="Employment/Recruitment"/>
    <x v="0"/>
    <n v="5100"/>
    <n v="0"/>
    <n v="0"/>
    <n v="0"/>
    <n v="0"/>
    <n v="0"/>
    <n v="0"/>
    <n v="0"/>
    <n v="0"/>
    <n v="0"/>
    <n v="0"/>
    <n v="0"/>
    <n v="208.62"/>
    <n v="208.62"/>
    <n v="-208.62"/>
  </r>
  <r>
    <x v="0"/>
    <x v="9"/>
    <x v="0"/>
    <s v="6810501"/>
    <n v="749530"/>
    <s v="Travel"/>
    <s v="Employment/Recruitment"/>
    <x v="0"/>
    <m/>
    <n v="1271.8699999999999"/>
    <n v="1212.95"/>
    <n v="5443.26"/>
    <n v="1612.34"/>
    <n v="7527.98"/>
    <n v="1749.24"/>
    <n v="1011.87"/>
    <n v="3100.73"/>
    <n v="1669.7"/>
    <n v="518.11"/>
    <n v="1743.01"/>
    <n v="3153.88"/>
    <n v="30014.940000000002"/>
    <n v="-1410.8700000000001"/>
  </r>
  <r>
    <x v="0"/>
    <x v="9"/>
    <x v="0"/>
    <s v="6810501"/>
    <n v="749530"/>
    <s v="Mileage"/>
    <s v="Employment/Recruitment"/>
    <x v="0"/>
    <n v="1001"/>
    <n v="0"/>
    <n v="38.700000000000003"/>
    <n v="235.47"/>
    <n v="38.700000000000003"/>
    <n v="186.94"/>
    <n v="243.09"/>
    <n v="0"/>
    <n v="156.05000000000001"/>
    <n v="258.68"/>
    <n v="0"/>
    <n v="107.88"/>
    <n v="123.54"/>
    <n v="1389.0500000000002"/>
    <n v="-15.660000000000011"/>
  </r>
  <r>
    <x v="0"/>
    <x v="9"/>
    <x v="0"/>
    <s v="6810501"/>
    <n v="749535"/>
    <s v="Meetings"/>
    <s v="Employment/Recruitment"/>
    <x v="0"/>
    <m/>
    <n v="0"/>
    <n v="0"/>
    <n v="0"/>
    <n v="0"/>
    <n v="0"/>
    <n v="0"/>
    <n v="0"/>
    <n v="0"/>
    <n v="0"/>
    <n v="0"/>
    <n v="0"/>
    <n v="388.29"/>
    <n v="388.29"/>
    <n v="-388.29"/>
  </r>
  <r>
    <x v="0"/>
    <x v="5"/>
    <x v="0"/>
    <s v="6812106"/>
    <n v="749535"/>
    <s v="Meetings"/>
    <s v="Physician Recruitment"/>
    <x v="0"/>
    <m/>
    <n v="0"/>
    <n v="0"/>
    <n v="0"/>
    <n v="0"/>
    <n v="0"/>
    <n v="0"/>
    <n v="52.89"/>
    <n v="183.64"/>
    <n v="0"/>
    <n v="0"/>
    <n v="0"/>
    <n v="0"/>
    <n v="236.52999999999997"/>
    <n v="0"/>
  </r>
  <r>
    <x v="11"/>
    <x v="6"/>
    <x v="0"/>
    <s v="6812107"/>
    <n v="721810"/>
    <s v="Supplies-Dietary/Cafeteria"/>
    <s v="Physician Employmnt/Recruitmnt"/>
    <x v="0"/>
    <m/>
    <n v="1434.24"/>
    <n v="1474.93"/>
    <n v="1229.46"/>
    <n v="1439.97"/>
    <n v="1395.14"/>
    <n v="1445.39"/>
    <n v="1338.88"/>
    <n v="1193.44"/>
    <n v="1818.99"/>
    <n v="1275.72"/>
    <n v="1308.92"/>
    <n v="1126.8699999999999"/>
    <n v="16481.95"/>
    <n v="182.05000000000018"/>
  </r>
  <r>
    <x v="0"/>
    <x v="6"/>
    <x v="0"/>
    <s v="6812107"/>
    <n v="744012"/>
    <s v="Recruitment-Physician"/>
    <s v="Physician Employmnt/Recruitmnt"/>
    <x v="0"/>
    <m/>
    <n v="0"/>
    <n v="0"/>
    <n v="0"/>
    <n v="0"/>
    <n v="0"/>
    <n v="0"/>
    <n v="0"/>
    <n v="0"/>
    <n v="0"/>
    <n v="0"/>
    <n v="0"/>
    <n v="3672.67"/>
    <n v="3672.67"/>
    <n v="-3672.67"/>
  </r>
  <r>
    <x v="6"/>
    <x v="9"/>
    <x v="0"/>
    <s v="6812501"/>
    <n v="713096"/>
    <s v="Employee Recognition"/>
    <s v="Physician Employmnt/Recruitmnt"/>
    <x v="0"/>
    <n v="1017"/>
    <n v="53.48"/>
    <n v="115.39"/>
    <n v="287.58"/>
    <n v="50.59"/>
    <n v="162.77000000000001"/>
    <n v="0"/>
    <n v="0"/>
    <n v="2.89"/>
    <n v="66"/>
    <n v="0"/>
    <n v="0"/>
    <n v="21.99"/>
    <n v="760.68999999999994"/>
    <n v="-21.99"/>
  </r>
  <r>
    <x v="7"/>
    <x v="9"/>
    <x v="0"/>
    <s v="6812501"/>
    <n v="718040"/>
    <s v="Contract Svcs-Laboratory"/>
    <s v="Physician Employmnt/Recruitmnt"/>
    <x v="0"/>
    <m/>
    <n v="153.6"/>
    <n v="0"/>
    <n v="0"/>
    <n v="0"/>
    <n v="0"/>
    <n v="0"/>
    <n v="0"/>
    <n v="0"/>
    <n v="0"/>
    <n v="0"/>
    <n v="0"/>
    <n v="0"/>
    <n v="153.6"/>
    <n v="0"/>
  </r>
  <r>
    <x v="7"/>
    <x v="9"/>
    <x v="0"/>
    <s v="6812501"/>
    <n v="718050"/>
    <s v="Contract Svcs-Other"/>
    <s v="Physician Employmnt/Recruitmnt"/>
    <x v="0"/>
    <m/>
    <n v="20396.689999999999"/>
    <n v="24032.89"/>
    <n v="19643.97"/>
    <n v="24982.19"/>
    <n v="23774.07"/>
    <n v="20212"/>
    <n v="18990.990000000002"/>
    <n v="29140.41"/>
    <n v="15498.64"/>
    <n v="53246.79"/>
    <n v="30997.72"/>
    <n v="27081.95"/>
    <n v="307998.31"/>
    <n v="3915.7700000000004"/>
  </r>
  <r>
    <x v="11"/>
    <x v="9"/>
    <x v="0"/>
    <s v="6812501"/>
    <n v="721810"/>
    <s v="Supplies-Dietary/Cafeteria"/>
    <s v="Physician Employmnt/Recruitmnt"/>
    <x v="0"/>
    <m/>
    <n v="379.36"/>
    <n v="455.24"/>
    <n v="645.58000000000004"/>
    <n v="640.25"/>
    <n v="542.59"/>
    <n v="16.239999999999998"/>
    <n v="290.37"/>
    <n v="199.18"/>
    <n v="111.56"/>
    <n v="81.3"/>
    <n v="129.6"/>
    <n v="207.06"/>
    <n v="3698.33"/>
    <n v="-77.460000000000008"/>
  </r>
  <r>
    <x v="11"/>
    <x v="9"/>
    <x v="0"/>
    <s v="6812501"/>
    <n v="721835"/>
    <s v="Supplies-Forms"/>
    <s v="Physician Employmnt/Recruitmnt"/>
    <x v="0"/>
    <m/>
    <n v="0"/>
    <n v="0"/>
    <n v="0"/>
    <n v="0"/>
    <n v="144"/>
    <n v="226.19"/>
    <n v="0"/>
    <n v="0"/>
    <n v="0"/>
    <n v="0"/>
    <n v="103.2"/>
    <n v="5.94"/>
    <n v="479.33"/>
    <n v="97.26"/>
  </r>
  <r>
    <x v="11"/>
    <x v="9"/>
    <x v="0"/>
    <s v="6812501"/>
    <n v="722000"/>
    <s v="Supplies-Freight Expense"/>
    <s v="Physician Employmnt/Recruitmnt"/>
    <x v="0"/>
    <m/>
    <n v="191.76"/>
    <n v="330.74"/>
    <n v="473.71"/>
    <n v="530.54"/>
    <n v="354.13"/>
    <n v="552.64"/>
    <n v="357.89"/>
    <n v="241.9"/>
    <n v="743.81"/>
    <n v="670.44"/>
    <n v="704.96"/>
    <n v="564.21"/>
    <n v="5716.73"/>
    <n v="140.75"/>
  </r>
  <r>
    <x v="12"/>
    <x v="9"/>
    <x v="0"/>
    <s v="6812501"/>
    <n v="730020"/>
    <s v="Rental and Leases-Copier Usage Fees (DO NOT USE)"/>
    <s v="Physician Employmnt/Recruitmnt"/>
    <x v="0"/>
    <n v="5100"/>
    <n v="35.53"/>
    <n v="36.200000000000003"/>
    <n v="35.869999999999997"/>
    <n v="35.869999999999997"/>
    <n v="35.86"/>
    <n v="35.869999999999997"/>
    <n v="50.63"/>
    <n v="35.67"/>
    <n v="35.590000000000003"/>
    <n v="35.75"/>
    <n v="35.67"/>
    <n v="46.28"/>
    <n v="454.79000000000008"/>
    <n v="-10.61"/>
  </r>
  <r>
    <x v="15"/>
    <x v="9"/>
    <x v="0"/>
    <s v="6812501"/>
    <n v="731060"/>
    <s v="Cell Phones"/>
    <s v="Physician Employmnt/Recruitmnt"/>
    <x v="0"/>
    <n v="1001"/>
    <n v="106.24"/>
    <n v="212.48"/>
    <n v="0"/>
    <n v="0"/>
    <n v="212.48"/>
    <n v="212.48"/>
    <n v="106.24"/>
    <n v="0"/>
    <n v="106.24"/>
    <n v="212.48"/>
    <n v="75"/>
    <n v="75"/>
    <n v="1318.6399999999999"/>
    <n v="0"/>
  </r>
  <r>
    <x v="0"/>
    <x v="9"/>
    <x v="0"/>
    <s v="6812501"/>
    <n v="740020"/>
    <s v="Education-Registration Fees"/>
    <s v="Physician Employmnt/Recruitmnt"/>
    <x v="0"/>
    <m/>
    <n v="0"/>
    <n v="0"/>
    <n v="0"/>
    <n v="0"/>
    <n v="0"/>
    <n v="2300"/>
    <n v="3587.46"/>
    <n v="0"/>
    <n v="0"/>
    <n v="0"/>
    <n v="0"/>
    <n v="1655"/>
    <n v="7542.46"/>
    <n v="-1655"/>
  </r>
  <r>
    <x v="0"/>
    <x v="9"/>
    <x v="0"/>
    <s v="6812501"/>
    <n v="742010"/>
    <s v="Postage-Regular"/>
    <s v="Physician Employmnt/Recruitmnt"/>
    <x v="0"/>
    <m/>
    <n v="0"/>
    <n v="0"/>
    <n v="0"/>
    <n v="0"/>
    <n v="0"/>
    <n v="0"/>
    <n v="0"/>
    <n v="0"/>
    <n v="0"/>
    <n v="45.51"/>
    <n v="0"/>
    <n v="0"/>
    <n v="45.51"/>
    <n v="0"/>
  </r>
  <r>
    <x v="0"/>
    <x v="9"/>
    <x v="0"/>
    <s v="6812501"/>
    <n v="742040"/>
    <s v="Freight-Other"/>
    <s v="Physician Employmnt/Recruitmnt"/>
    <x v="0"/>
    <m/>
    <n v="0"/>
    <n v="0"/>
    <n v="0"/>
    <n v="75.77"/>
    <n v="0"/>
    <n v="0"/>
    <n v="0"/>
    <n v="0"/>
    <n v="0"/>
    <n v="0"/>
    <n v="0"/>
    <n v="0"/>
    <n v="75.77"/>
    <n v="0"/>
  </r>
  <r>
    <x v="0"/>
    <x v="9"/>
    <x v="0"/>
    <s v="6812501"/>
    <n v="743020"/>
    <s v="Dues--Individual"/>
    <s v="Physician Employmnt/Recruitmnt"/>
    <x v="0"/>
    <m/>
    <n v="275"/>
    <n v="0"/>
    <n v="0"/>
    <n v="0"/>
    <n v="0"/>
    <n v="189"/>
    <n v="0"/>
    <n v="320"/>
    <n v="0"/>
    <n v="275"/>
    <n v="1445"/>
    <n v="0"/>
    <n v="2504"/>
    <n v="1445"/>
  </r>
  <r>
    <x v="0"/>
    <x v="9"/>
    <x v="0"/>
    <s v="6812501"/>
    <n v="743030"/>
    <s v="Subscriptions--Institutional"/>
    <s v="Physician Employmnt/Recruitmnt"/>
    <x v="0"/>
    <m/>
    <n v="0"/>
    <n v="0"/>
    <n v="0"/>
    <n v="0"/>
    <n v="0"/>
    <n v="0"/>
    <n v="31"/>
    <n v="0"/>
    <n v="31"/>
    <n v="334.09"/>
    <n v="40.78"/>
    <n v="81.56"/>
    <n v="518.43000000000006"/>
    <n v="-40.78"/>
  </r>
  <r>
    <x v="0"/>
    <x v="9"/>
    <x v="0"/>
    <s v="6812501"/>
    <n v="744010"/>
    <s v="Recruitment"/>
    <s v="Physician Employmnt/Recruitmnt"/>
    <x v="0"/>
    <m/>
    <n v="0"/>
    <n v="0"/>
    <n v="0"/>
    <n v="0"/>
    <n v="0"/>
    <n v="0"/>
    <n v="0"/>
    <n v="164.93"/>
    <n v="0"/>
    <n v="0"/>
    <n v="0"/>
    <n v="0"/>
    <n v="164.93"/>
    <n v="0"/>
  </r>
  <r>
    <x v="0"/>
    <x v="9"/>
    <x v="0"/>
    <s v="6812501"/>
    <n v="744012"/>
    <s v="Recruitment-Physician"/>
    <s v="Physician Employmnt/Recruitmnt"/>
    <x v="0"/>
    <m/>
    <n v="0"/>
    <n v="79220.44"/>
    <n v="1191.52"/>
    <n v="40252"/>
    <n v="41916.39"/>
    <n v="2236.5500000000002"/>
    <n v="77269.3"/>
    <n v="165"/>
    <n v="3146.35"/>
    <n v="650.98"/>
    <n v="1447.1"/>
    <n v="0"/>
    <n v="247495.63000000003"/>
    <n v="1447.1"/>
  </r>
  <r>
    <x v="0"/>
    <x v="9"/>
    <x v="0"/>
    <s v="6812501"/>
    <n v="744012"/>
    <s v="Recruitment Firm Fees-Physician"/>
    <s v="Physician Employmnt/Recruitmnt"/>
    <x v="0"/>
    <n v="2000"/>
    <n v="0"/>
    <n v="0"/>
    <n v="0"/>
    <n v="12500"/>
    <n v="0"/>
    <n v="0"/>
    <n v="0"/>
    <n v="0"/>
    <n v="0"/>
    <n v="0"/>
    <n v="0"/>
    <n v="0"/>
    <n v="12500"/>
    <n v="0"/>
  </r>
  <r>
    <x v="0"/>
    <x v="9"/>
    <x v="0"/>
    <s v="6812501"/>
    <n v="744012"/>
    <s v="Recruitment Travel-Physician"/>
    <s v="Physician Employmnt/Recruitmnt"/>
    <x v="0"/>
    <n v="2002"/>
    <n v="9623.27"/>
    <n v="15815.95"/>
    <n v="9466.5"/>
    <n v="7464.57"/>
    <n v="6924.3"/>
    <n v="13985.05"/>
    <n v="9179.57"/>
    <n v="4383.83"/>
    <n v="8676.11"/>
    <n v="1941.32"/>
    <n v="7495.86"/>
    <n v="4463.6499999999996"/>
    <n v="99419.98"/>
    <n v="3032.21"/>
  </r>
  <r>
    <x v="0"/>
    <x v="9"/>
    <x v="0"/>
    <s v="6812501"/>
    <n v="744013"/>
    <s v="Recruitment Travel-Advanced Practice Clinician"/>
    <s v="Physician Employmnt/Recruitmnt"/>
    <x v="0"/>
    <n v="2002"/>
    <n v="5090.5600000000004"/>
    <n v="3412.98"/>
    <n v="2145.8000000000002"/>
    <n v="1202.24"/>
    <n v="2150.11"/>
    <n v="435.46"/>
    <n v="1489.2"/>
    <n v="0"/>
    <n v="229.39"/>
    <n v="190.56"/>
    <n v="9531.26"/>
    <n v="2018.95"/>
    <n v="27896.51"/>
    <n v="7512.31"/>
  </r>
  <r>
    <x v="0"/>
    <x v="9"/>
    <x v="0"/>
    <s v="6812501"/>
    <n v="749510"/>
    <s v="Miscellaneous Expenses"/>
    <s v="Physician Employmnt/Recruitmnt"/>
    <x v="0"/>
    <m/>
    <n v="7253.84"/>
    <n v="-9503.39"/>
    <n v="-1746.81"/>
    <n v="3314.38"/>
    <n v="-6601.88"/>
    <n v="-5503.05"/>
    <n v="3702.95"/>
    <n v="21035.89"/>
    <n v="-964.22"/>
    <n v="-6697.65"/>
    <n v="915.09"/>
    <n v="-1195.04"/>
    <n v="4010.1100000000015"/>
    <n v="2110.13"/>
  </r>
  <r>
    <x v="0"/>
    <x v="9"/>
    <x v="0"/>
    <s v="6812501"/>
    <n v="749530"/>
    <s v="Travel"/>
    <s v="Physician Employmnt/Recruitmnt"/>
    <x v="0"/>
    <m/>
    <n v="3373.49"/>
    <n v="14941.43"/>
    <n v="6638.09"/>
    <n v="9870.07"/>
    <n v="12004.59"/>
    <n v="4555.3500000000004"/>
    <n v="4291.62"/>
    <n v="2119.86"/>
    <n v="15060.38"/>
    <n v="25310.19"/>
    <n v="3170.14"/>
    <n v="14109.09"/>
    <n v="115444.3"/>
    <n v="-10938.95"/>
  </r>
  <r>
    <x v="0"/>
    <x v="9"/>
    <x v="0"/>
    <s v="6812501"/>
    <n v="749530"/>
    <s v="Mileage"/>
    <s v="Physician Employmnt/Recruitmnt"/>
    <x v="0"/>
    <n v="1001"/>
    <n v="80.680000000000007"/>
    <n v="11.99"/>
    <n v="86.67"/>
    <n v="0"/>
    <n v="387"/>
    <n v="159.71"/>
    <n v="0"/>
    <n v="0"/>
    <n v="43.5"/>
    <n v="218.66"/>
    <n v="0"/>
    <n v="168.78"/>
    <n v="1156.99"/>
    <n v="-168.78"/>
  </r>
  <r>
    <x v="0"/>
    <x v="9"/>
    <x v="0"/>
    <s v="6812501"/>
    <n v="749532"/>
    <s v="Business Meals-Physician"/>
    <s v="Physician Employmnt/Recruitmnt"/>
    <x v="0"/>
    <n v="2000"/>
    <n v="0"/>
    <n v="0"/>
    <n v="0"/>
    <n v="0"/>
    <n v="0"/>
    <n v="0"/>
    <n v="0"/>
    <n v="0"/>
    <n v="0"/>
    <n v="0"/>
    <n v="409.84"/>
    <n v="0"/>
    <n v="409.84"/>
    <n v="409.84"/>
  </r>
  <r>
    <x v="0"/>
    <x v="9"/>
    <x v="0"/>
    <s v="6812501"/>
    <n v="749535"/>
    <s v="Meetings"/>
    <s v="Physician Employmnt/Recruitmnt"/>
    <x v="0"/>
    <m/>
    <n v="170.1"/>
    <n v="3364.79"/>
    <n v="0"/>
    <n v="3811.36"/>
    <n v="3711.45"/>
    <n v="3330.44"/>
    <n v="566.32000000000005"/>
    <n v="1713.09"/>
    <n v="5274.49"/>
    <n v="4021.82"/>
    <n v="1650.63"/>
    <n v="4858.91"/>
    <n v="32473.4"/>
    <n v="-3208.2799999999997"/>
  </r>
  <r>
    <x v="0"/>
    <x v="9"/>
    <x v="0"/>
    <s v="6812501"/>
    <n v="749535"/>
    <s v="Medicare Non-Allowable Beverages"/>
    <s v="Physician Employmnt/Recruitmnt"/>
    <x v="0"/>
    <n v="1005"/>
    <n v="0"/>
    <n v="546.20000000000005"/>
    <n v="0"/>
    <n v="185.5"/>
    <n v="318.11"/>
    <n v="222.5"/>
    <n v="29"/>
    <n v="19.5"/>
    <n v="426.7"/>
    <n v="393.6"/>
    <n v="0"/>
    <n v="33"/>
    <n v="2174.11"/>
    <n v="-33"/>
  </r>
  <r>
    <x v="7"/>
    <x v="9"/>
    <x v="0"/>
    <s v="6820501"/>
    <n v="718050"/>
    <s v="Document Shredding/Storage"/>
    <s v="Compensation/Total Rewards"/>
    <x v="0"/>
    <n v="1012"/>
    <n v="278.06"/>
    <n v="-278.06"/>
    <n v="0"/>
    <n v="0"/>
    <n v="0"/>
    <n v="0"/>
    <n v="0"/>
    <n v="0"/>
    <n v="0"/>
    <n v="0"/>
    <n v="0"/>
    <n v="0"/>
    <n v="0"/>
    <n v="0"/>
  </r>
  <r>
    <x v="12"/>
    <x v="9"/>
    <x v="0"/>
    <s v="6820501"/>
    <n v="730020"/>
    <s v="Rental and Leases-Copier Usage Fees (DO NOT USE)"/>
    <s v="Compensation/Total Rewards"/>
    <x v="0"/>
    <n v="5100"/>
    <n v="209.82"/>
    <n v="-209.82"/>
    <n v="0"/>
    <n v="0"/>
    <n v="0"/>
    <n v="0"/>
    <n v="0"/>
    <n v="0"/>
    <n v="0"/>
    <n v="0"/>
    <n v="0"/>
    <n v="0"/>
    <n v="0"/>
    <n v="0"/>
  </r>
  <r>
    <x v="5"/>
    <x v="9"/>
    <x v="0"/>
    <s v="6825501"/>
    <n v="700014"/>
    <s v="Salaries-Management-Productive"/>
    <s v="Worker's Compensation"/>
    <x v="0"/>
    <m/>
    <n v="7832.68"/>
    <n v="7833.06"/>
    <n v="6404.19"/>
    <n v="6662.15"/>
    <n v="6623.32"/>
    <n v="5778.64"/>
    <n v="8025.6"/>
    <n v="6360.25"/>
    <n v="7998.11"/>
    <n v="5404.74"/>
    <n v="8079.93"/>
    <n v="7315.76"/>
    <n v="84318.430000000008"/>
    <n v="764.17000000000007"/>
  </r>
  <r>
    <x v="5"/>
    <x v="9"/>
    <x v="0"/>
    <s v="6825501"/>
    <n v="700034"/>
    <s v="Salaries-Tech/Professional-Productive"/>
    <s v="Worker's Compensation"/>
    <x v="0"/>
    <m/>
    <n v="2130.38"/>
    <n v="1947.48"/>
    <n v="1588.21"/>
    <n v="1814.11"/>
    <n v="1784.94"/>
    <n v="1296.0999999999999"/>
    <n v="1603.7"/>
    <n v="1234.3800000000001"/>
    <n v="1550.99"/>
    <n v="2065.1999999999998"/>
    <n v="1244.67"/>
    <n v="1922.33"/>
    <n v="20182.489999999998"/>
    <n v="-677.65999999999985"/>
  </r>
  <r>
    <x v="5"/>
    <x v="9"/>
    <x v="0"/>
    <s v="6825501"/>
    <n v="700034"/>
    <s v="Salaries-Tech/Professional-Other"/>
    <s v="Worker's Compensation"/>
    <x v="0"/>
    <n v="2000"/>
    <n v="319.55"/>
    <n v="292.10000000000002"/>
    <n v="238.23"/>
    <n v="272.11"/>
    <n v="267.74"/>
    <n v="194.4"/>
    <n v="240.55"/>
    <n v="185.14"/>
    <n v="232.65"/>
    <n v="309.76"/>
    <n v="186.67"/>
    <n v="288.36"/>
    <n v="3027.2600000000007"/>
    <n v="-101.69000000000003"/>
  </r>
  <r>
    <x v="5"/>
    <x v="9"/>
    <x v="0"/>
    <s v="6825501"/>
    <n v="700038"/>
    <s v="Salaries-Service/Support-Productive"/>
    <s v="Worker's Compensation"/>
    <x v="0"/>
    <m/>
    <n v="10299.07"/>
    <n v="11995.03"/>
    <n v="7576.51"/>
    <n v="12392.6"/>
    <n v="12857.19"/>
    <n v="9680.7099999999991"/>
    <n v="12093.85"/>
    <n v="10819.92"/>
    <n v="13630.78"/>
    <n v="10869.05"/>
    <n v="10874.46"/>
    <n v="10531.21"/>
    <n v="133620.38"/>
    <n v="343.25"/>
  </r>
  <r>
    <x v="5"/>
    <x v="9"/>
    <x v="0"/>
    <s v="6825501"/>
    <n v="700038"/>
    <s v="Salaries-Service/Support-OT"/>
    <s v="Worker's Compensation"/>
    <x v="0"/>
    <n v="1000"/>
    <n v="10.26"/>
    <n v="0"/>
    <n v="0"/>
    <n v="17.87"/>
    <n v="-7.86"/>
    <n v="118.45"/>
    <n v="-4.28"/>
    <n v="20.04"/>
    <n v="16.54"/>
    <n v="-6.01"/>
    <n v="0"/>
    <n v="0"/>
    <n v="165.01"/>
    <n v="0"/>
  </r>
  <r>
    <x v="5"/>
    <x v="9"/>
    <x v="0"/>
    <s v="6825501"/>
    <n v="700054"/>
    <s v="Salaries-Management-Non-productive"/>
    <s v="Worker's Compensation"/>
    <x v="0"/>
    <m/>
    <n v="370.48"/>
    <n v="370.48"/>
    <n v="1534.82"/>
    <n v="1739.96"/>
    <n v="1553.61"/>
    <n v="2671.12"/>
    <n v="437.37"/>
    <n v="1282.93"/>
    <n v="464.06"/>
    <n v="2784.19"/>
    <n v="382.24"/>
    <n v="873.54"/>
    <n v="14464.8"/>
    <n v="-491.29999999999995"/>
  </r>
  <r>
    <x v="5"/>
    <x v="9"/>
    <x v="0"/>
    <s v="6825501"/>
    <n v="700078"/>
    <s v="Salaries-Service/Support-Non-productive"/>
    <s v="Worker's Compensation"/>
    <x v="0"/>
    <m/>
    <n v="3073.85"/>
    <n v="1380.95"/>
    <n v="5369.65"/>
    <n v="1764.79"/>
    <n v="73.03"/>
    <n v="4050.28"/>
    <n v="1682.25"/>
    <n v="1588.46"/>
    <n v="184.94"/>
    <n v="2452.1799999999998"/>
    <n v="2883.91"/>
    <n v="493.38"/>
    <n v="24997.670000000002"/>
    <n v="2390.5299999999997"/>
  </r>
  <r>
    <x v="5"/>
    <x v="9"/>
    <x v="0"/>
    <s v="6825501"/>
    <n v="700078"/>
    <s v="Salaries-Service/Support-NonProd-Other"/>
    <s v="Worker's Compensation"/>
    <x v="0"/>
    <n v="2000"/>
    <n v="0"/>
    <n v="0"/>
    <n v="0"/>
    <n v="0"/>
    <n v="357"/>
    <n v="357"/>
    <n v="0"/>
    <n v="-714"/>
    <n v="0"/>
    <n v="0"/>
    <n v="0"/>
    <n v="0"/>
    <n v="0"/>
    <n v="0"/>
  </r>
  <r>
    <x v="5"/>
    <x v="9"/>
    <x v="0"/>
    <s v="6825501"/>
    <n v="700084"/>
    <s v="Accrued PTO"/>
    <s v="Worker's Compensation"/>
    <x v="0"/>
    <m/>
    <n v="112.51"/>
    <n v="1728.68"/>
    <n v="-2211.42"/>
    <n v="-102.53"/>
    <n v="674.48"/>
    <n v="-2661.56"/>
    <n v="-122.97"/>
    <n v="314.10000000000002"/>
    <n v="1915.08"/>
    <n v="-1162.18"/>
    <n v="83.65"/>
    <n v="-246.79"/>
    <n v="-1678.95"/>
    <n v="330.44"/>
  </r>
  <r>
    <x v="6"/>
    <x v="9"/>
    <x v="0"/>
    <s v="6825501"/>
    <n v="713010"/>
    <s v="Benefits-FICA/Medicare"/>
    <s v="Worker's Compensation"/>
    <x v="0"/>
    <m/>
    <n v="1773.91"/>
    <n v="1756.77"/>
    <n v="1674.19"/>
    <n v="1821.33"/>
    <n v="1796.29"/>
    <n v="1758.52"/>
    <n v="1771.91"/>
    <n v="1580.66"/>
    <n v="1771.67"/>
    <n v="1759.41"/>
    <n v="1743.41"/>
    <n v="1519.19"/>
    <n v="20727.260000000002"/>
    <n v="224.22000000000003"/>
  </r>
  <r>
    <x v="6"/>
    <x v="9"/>
    <x v="0"/>
    <s v="6825501"/>
    <n v="713090"/>
    <s v="Benefits-Allocated Amounts"/>
    <s v="Worker's Compensation"/>
    <x v="0"/>
    <m/>
    <n v="5232.1400000000003"/>
    <n v="4811.1499999999996"/>
    <n v="4859.83"/>
    <n v="4978.75"/>
    <n v="4565.0600000000004"/>
    <n v="5127.8100000000004"/>
    <n v="5416.5"/>
    <n v="5085.4799999999996"/>
    <n v="5748.9"/>
    <n v="5466.46"/>
    <n v="5222.41"/>
    <n v="4887.7"/>
    <n v="61402.19"/>
    <n v="334.71000000000004"/>
  </r>
  <r>
    <x v="11"/>
    <x v="9"/>
    <x v="0"/>
    <s v="6825501"/>
    <n v="721810"/>
    <s v="Supplies-Dietary/Cafeteria"/>
    <s v="Worker's Compensation"/>
    <x v="0"/>
    <m/>
    <n v="0"/>
    <n v="0"/>
    <n v="0"/>
    <n v="0"/>
    <n v="0"/>
    <n v="0"/>
    <n v="0"/>
    <n v="0"/>
    <n v="0"/>
    <n v="0"/>
    <n v="8"/>
    <n v="0"/>
    <n v="8"/>
    <n v="8"/>
  </r>
  <r>
    <x v="11"/>
    <x v="9"/>
    <x v="0"/>
    <s v="6825501"/>
    <n v="721910"/>
    <s v="Supplies-Small Equipment"/>
    <s v="Worker's Compensation"/>
    <x v="0"/>
    <m/>
    <n v="0"/>
    <n v="0"/>
    <n v="0"/>
    <n v="0"/>
    <n v="0"/>
    <n v="0"/>
    <n v="0"/>
    <n v="0"/>
    <n v="0"/>
    <n v="94.38"/>
    <n v="0"/>
    <n v="0"/>
    <n v="94.38"/>
    <n v="0"/>
  </r>
  <r>
    <x v="12"/>
    <x v="9"/>
    <x v="0"/>
    <s v="6825501"/>
    <n v="730020"/>
    <s v="Rental and Leases-Copier Usage Fees (DO NOT USE)"/>
    <s v="Worker's Compensation"/>
    <x v="0"/>
    <n v="5100"/>
    <n v="86.79"/>
    <n v="89.58"/>
    <n v="88.18"/>
    <n v="88.18"/>
    <n v="88.18"/>
    <n v="88.18"/>
    <n v="49.1"/>
    <n v="82.47"/>
    <n v="82.3"/>
    <n v="179.67"/>
    <n v="82.47"/>
    <n v="98.1"/>
    <n v="1103.2"/>
    <n v="-15.629999999999995"/>
  </r>
  <r>
    <x v="0"/>
    <x v="9"/>
    <x v="0"/>
    <s v="6825501"/>
    <n v="749510"/>
    <s v="Miscellaneous Expenses"/>
    <s v="Worker's Compensation"/>
    <x v="0"/>
    <m/>
    <n v="0"/>
    <n v="0"/>
    <n v="0"/>
    <n v="0"/>
    <n v="0"/>
    <n v="0"/>
    <n v="0"/>
    <n v="665.54"/>
    <n v="0"/>
    <n v="67.22"/>
    <n v="0"/>
    <n v="0"/>
    <n v="732.76"/>
    <n v="0"/>
  </r>
  <r>
    <x v="5"/>
    <x v="9"/>
    <x v="0"/>
    <s v="6839501"/>
    <n v="700014"/>
    <s v="Salaries-Management-Productive"/>
    <s v="HR Operations"/>
    <x v="0"/>
    <m/>
    <n v="8281.18"/>
    <n v="9024.35"/>
    <n v="9061.69"/>
    <n v="10981.45"/>
    <n v="12098.47"/>
    <n v="7858.61"/>
    <n v="11376.76"/>
    <n v="9428.33"/>
    <n v="12467.19"/>
    <n v="8882.69"/>
    <n v="13246.28"/>
    <n v="9428.5499999999993"/>
    <n v="122135.55"/>
    <n v="3817.7300000000014"/>
  </r>
  <r>
    <x v="5"/>
    <x v="9"/>
    <x v="0"/>
    <s v="6839501"/>
    <n v="700034"/>
    <s v="Salaries-Tech/Professional-Productive"/>
    <s v="HR Operations"/>
    <x v="0"/>
    <m/>
    <n v="30932.54"/>
    <n v="29280.73"/>
    <n v="27616.14"/>
    <n v="28506.07"/>
    <n v="29410.95"/>
    <n v="32007.8"/>
    <n v="34205.75"/>
    <n v="24148.07"/>
    <n v="36973.4"/>
    <n v="29104.21"/>
    <n v="34229.14"/>
    <n v="24512.74"/>
    <n v="360927.54000000004"/>
    <n v="9716.3999999999978"/>
  </r>
  <r>
    <x v="5"/>
    <x v="9"/>
    <x v="0"/>
    <s v="6839501"/>
    <n v="700034"/>
    <s v="Salaries-Tech/Professional-OT"/>
    <s v="HR Operations"/>
    <x v="0"/>
    <n v="1000"/>
    <n v="0"/>
    <n v="0"/>
    <n v="0"/>
    <n v="0"/>
    <n v="0"/>
    <n v="0"/>
    <n v="0"/>
    <n v="0"/>
    <n v="0"/>
    <n v="0"/>
    <n v="8.08"/>
    <n v="0"/>
    <n v="8.08"/>
    <n v="8.08"/>
  </r>
  <r>
    <x v="5"/>
    <x v="9"/>
    <x v="0"/>
    <s v="6839501"/>
    <n v="700034"/>
    <s v="Salaries-Tech/Professional-Other"/>
    <s v="HR Operations"/>
    <x v="0"/>
    <n v="2000"/>
    <n v="0"/>
    <n v="0"/>
    <n v="0"/>
    <n v="0"/>
    <n v="0"/>
    <n v="0"/>
    <n v="38.729999999999997"/>
    <n v="48.41"/>
    <n v="46.09"/>
    <n v="32.520000000000003"/>
    <n v="3.67"/>
    <n v="0"/>
    <n v="169.42"/>
    <n v="3.67"/>
  </r>
  <r>
    <x v="5"/>
    <x v="9"/>
    <x v="0"/>
    <s v="6839501"/>
    <n v="700054"/>
    <s v="Salaries-Management-Non-productive"/>
    <s v="HR Operations"/>
    <x v="0"/>
    <m/>
    <n v="3230.88"/>
    <n v="2488.2399999999998"/>
    <n v="2079.6799999999998"/>
    <n v="972.56"/>
    <n v="-427.92"/>
    <n v="4201.3500000000004"/>
    <n v="702"/>
    <n v="1480.43"/>
    <n v="-389.55"/>
    <n v="2804.95"/>
    <n v="-1168.6400000000001"/>
    <n v="2259.63"/>
    <n v="18233.61"/>
    <n v="-3428.2700000000004"/>
  </r>
  <r>
    <x v="5"/>
    <x v="9"/>
    <x v="0"/>
    <s v="6839501"/>
    <n v="700054"/>
    <s v="Salaries-Management-NonProd-Other"/>
    <s v="HR Operations"/>
    <x v="0"/>
    <n v="2000"/>
    <n v="0"/>
    <n v="0"/>
    <n v="0"/>
    <n v="0"/>
    <n v="-44.88"/>
    <n v="0"/>
    <n v="0"/>
    <n v="0"/>
    <n v="0"/>
    <n v="0"/>
    <n v="0"/>
    <n v="0"/>
    <n v="-44.88"/>
    <n v="0"/>
  </r>
  <r>
    <x v="5"/>
    <x v="9"/>
    <x v="0"/>
    <s v="6839501"/>
    <n v="700074"/>
    <s v="Salaries-Tech/Professional-Non-productive"/>
    <s v="HR Operations"/>
    <x v="0"/>
    <m/>
    <n v="7446.25"/>
    <n v="599.73"/>
    <n v="3098.36"/>
    <n v="3725.74"/>
    <n v="1937.36"/>
    <n v="10187.09"/>
    <n v="1876.27"/>
    <n v="8365.83"/>
    <n v="-875.51"/>
    <n v="5809.4"/>
    <n v="1849.53"/>
    <n v="8556.98"/>
    <n v="52577.03"/>
    <n v="-6707.45"/>
  </r>
  <r>
    <x v="5"/>
    <x v="9"/>
    <x v="0"/>
    <s v="6839501"/>
    <n v="700074"/>
    <s v="Salaries-Tech/Professional-NonProd-Other"/>
    <s v="HR Operation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39501"/>
    <n v="700084"/>
    <s v="Accrued PTO"/>
    <s v="HR Operations"/>
    <x v="0"/>
    <m/>
    <n v="-19525.07"/>
    <n v="20269.53"/>
    <n v="612.66"/>
    <n v="4883.04"/>
    <n v="3741.61"/>
    <n v="-4172.2"/>
    <n v="2631.36"/>
    <n v="-2123.48"/>
    <n v="5452.51"/>
    <n v="225.72"/>
    <n v="4034.45"/>
    <n v="-2795.96"/>
    <n v="13234.169999999998"/>
    <n v="6830.41"/>
  </r>
  <r>
    <x v="6"/>
    <x v="9"/>
    <x v="0"/>
    <s v="6839501"/>
    <n v="713010"/>
    <s v="Benefits-FICA/Medicare"/>
    <s v="HR Operations"/>
    <x v="0"/>
    <m/>
    <n v="3796.73"/>
    <n v="6016.03"/>
    <n v="3119.1"/>
    <n v="3294.74"/>
    <n v="2585.4299999999998"/>
    <n v="4190.43"/>
    <n v="3579.79"/>
    <n v="3228.78"/>
    <n v="3581.84"/>
    <n v="3463.95"/>
    <n v="3577.72"/>
    <n v="3511.17"/>
    <n v="43945.709999999992"/>
    <n v="66.549999999999727"/>
  </r>
  <r>
    <x v="6"/>
    <x v="9"/>
    <x v="0"/>
    <s v="6839501"/>
    <n v="713090"/>
    <s v="Benefits-Allocated Amounts"/>
    <s v="HR Operations"/>
    <x v="0"/>
    <m/>
    <n v="8374.2900000000009"/>
    <n v="8098.28"/>
    <n v="7782.96"/>
    <n v="7728.04"/>
    <n v="7232.72"/>
    <n v="10723.63"/>
    <n v="9829.9"/>
    <n v="9125.99"/>
    <n v="10587.14"/>
    <n v="9603.7800000000007"/>
    <n v="9894.1200000000008"/>
    <n v="8868.43"/>
    <n v="107849.28"/>
    <n v="1025.6900000000005"/>
  </r>
  <r>
    <x v="11"/>
    <x v="9"/>
    <x v="0"/>
    <s v="6839501"/>
    <n v="721810"/>
    <s v="Supplies-Dietary/Cafeteria"/>
    <s v="HR Operations"/>
    <x v="0"/>
    <m/>
    <n v="0"/>
    <n v="0"/>
    <n v="0"/>
    <n v="0"/>
    <n v="99.18"/>
    <n v="0"/>
    <n v="0"/>
    <n v="0"/>
    <n v="0"/>
    <n v="0"/>
    <n v="0"/>
    <n v="0"/>
    <n v="99.18"/>
    <n v="0"/>
  </r>
  <r>
    <x v="11"/>
    <x v="9"/>
    <x v="0"/>
    <s v="6839501"/>
    <n v="721830"/>
    <s v="Supplies-Office"/>
    <s v="HR Operations"/>
    <x v="0"/>
    <m/>
    <n v="0"/>
    <n v="0"/>
    <n v="0"/>
    <n v="0"/>
    <n v="0"/>
    <n v="0"/>
    <n v="0"/>
    <n v="0"/>
    <n v="216.42"/>
    <n v="0"/>
    <n v="124.8"/>
    <n v="0"/>
    <n v="341.21999999999997"/>
    <n v="124.8"/>
  </r>
  <r>
    <x v="12"/>
    <x v="9"/>
    <x v="0"/>
    <s v="6839501"/>
    <n v="730020"/>
    <s v="Rental and Leases-Copier Usage Fees (DO NOT USE)"/>
    <s v="HR Operations"/>
    <x v="0"/>
    <n v="5100"/>
    <n v="78.239999999999995"/>
    <n v="77.37"/>
    <n v="77.81"/>
    <n v="77.81"/>
    <n v="77.81"/>
    <n v="77.81"/>
    <n v="176.29"/>
    <n v="81.19"/>
    <n v="81.010000000000005"/>
    <n v="221.34"/>
    <n v="81.19"/>
    <n v="107.47"/>
    <n v="1215.3399999999999"/>
    <n v="-26.28"/>
  </r>
  <r>
    <x v="0"/>
    <x v="9"/>
    <x v="0"/>
    <s v="6839501"/>
    <n v="740020"/>
    <s v="Education-Registration Fees"/>
    <s v="HR Operations"/>
    <x v="0"/>
    <m/>
    <n v="0"/>
    <n v="0"/>
    <n v="0"/>
    <n v="0"/>
    <n v="0"/>
    <n v="363"/>
    <n v="0"/>
    <n v="0"/>
    <n v="419.94"/>
    <n v="0"/>
    <n v="0"/>
    <n v="0"/>
    <n v="782.94"/>
    <n v="0"/>
  </r>
  <r>
    <x v="0"/>
    <x v="9"/>
    <x v="0"/>
    <s v="6839501"/>
    <n v="743020"/>
    <s v="Dues--Individual"/>
    <s v="HR Operations"/>
    <x v="0"/>
    <m/>
    <n v="0"/>
    <n v="0"/>
    <n v="0"/>
    <n v="0"/>
    <n v="0"/>
    <n v="184"/>
    <n v="0"/>
    <n v="0"/>
    <n v="0"/>
    <n v="0"/>
    <n v="0"/>
    <n v="0"/>
    <n v="184"/>
    <n v="0"/>
  </r>
  <r>
    <x v="0"/>
    <x v="9"/>
    <x v="0"/>
    <s v="6839501"/>
    <n v="749510"/>
    <s v="Miscellaneous Expenses"/>
    <s v="HR Operations"/>
    <x v="0"/>
    <m/>
    <n v="0"/>
    <n v="0"/>
    <n v="0"/>
    <n v="199"/>
    <n v="722.18"/>
    <n v="-921.18"/>
    <n v="419.94"/>
    <n v="0"/>
    <n v="-419.94"/>
    <n v="111.04"/>
    <n v="0"/>
    <n v="-111.04"/>
    <n v="0"/>
    <n v="111.04"/>
  </r>
  <r>
    <x v="0"/>
    <x v="9"/>
    <x v="0"/>
    <s v="6839501"/>
    <n v="749510"/>
    <s v="RICE Rewards"/>
    <s v="HR Operations"/>
    <x v="0"/>
    <n v="5100"/>
    <n v="0"/>
    <n v="0"/>
    <n v="0"/>
    <n v="0"/>
    <n v="0"/>
    <n v="0"/>
    <n v="0"/>
    <n v="0"/>
    <n v="0"/>
    <n v="0"/>
    <n v="0"/>
    <n v="439.73"/>
    <n v="439.73"/>
    <n v="-439.73"/>
  </r>
  <r>
    <x v="0"/>
    <x v="9"/>
    <x v="0"/>
    <s v="6839501"/>
    <n v="749530"/>
    <s v="Travel"/>
    <s v="HR Operations"/>
    <x v="0"/>
    <m/>
    <n v="0"/>
    <n v="0"/>
    <n v="0"/>
    <n v="0"/>
    <n v="0"/>
    <n v="558.17999999999995"/>
    <n v="0"/>
    <n v="0"/>
    <n v="0"/>
    <n v="0"/>
    <n v="0"/>
    <n v="0"/>
    <n v="558.17999999999995"/>
    <n v="0"/>
  </r>
  <r>
    <x v="5"/>
    <x v="9"/>
    <x v="0"/>
    <s v="6840501"/>
    <n v="700014"/>
    <s v="Salaries-Management-Productive"/>
    <s v="Employee Relations"/>
    <x v="0"/>
    <m/>
    <n v="55971.49"/>
    <n v="67135.97"/>
    <n v="66350.039999999994"/>
    <n v="58462.19"/>
    <n v="97426.67"/>
    <n v="61367.46"/>
    <n v="80980.13"/>
    <n v="69360.850000000006"/>
    <n v="86968.91"/>
    <n v="75402.86"/>
    <n v="93219.58"/>
    <n v="79827.53"/>
    <n v="892473.68"/>
    <n v="13392.050000000003"/>
  </r>
  <r>
    <x v="5"/>
    <x v="9"/>
    <x v="0"/>
    <s v="6840501"/>
    <n v="700014"/>
    <s v="Salaries-Management-Other"/>
    <s v="Employee Relations"/>
    <x v="0"/>
    <n v="2000"/>
    <n v="30"/>
    <n v="0"/>
    <n v="0"/>
    <n v="0"/>
    <n v="1617.21"/>
    <n v="4451.76"/>
    <n v="1706.46"/>
    <n v="1346.02"/>
    <n v="1644.72"/>
    <n v="966.05"/>
    <n v="2227.04"/>
    <n v="769.82"/>
    <n v="14759.079999999998"/>
    <n v="1457.2199999999998"/>
  </r>
  <r>
    <x v="5"/>
    <x v="9"/>
    <x v="0"/>
    <s v="6840501"/>
    <n v="700034"/>
    <s v="Salaries-Tech/Professional-Productive"/>
    <s v="Employee Relations"/>
    <x v="0"/>
    <m/>
    <n v="56628.68"/>
    <n v="49669.72"/>
    <n v="48810.22"/>
    <n v="61842.71"/>
    <n v="60361.7"/>
    <n v="48289.08"/>
    <n v="59331.88"/>
    <n v="50542.87"/>
    <n v="64284.4"/>
    <n v="46066.09"/>
    <n v="62490.98"/>
    <n v="55600.32"/>
    <n v="663918.64999999991"/>
    <n v="6890.6600000000035"/>
  </r>
  <r>
    <x v="5"/>
    <x v="9"/>
    <x v="0"/>
    <s v="6840501"/>
    <n v="700034"/>
    <s v="Salaries-Tech/Professional-Other"/>
    <s v="Employee Relations"/>
    <x v="0"/>
    <n v="2000"/>
    <n v="0"/>
    <n v="0"/>
    <n v="0"/>
    <n v="30"/>
    <n v="0"/>
    <n v="0"/>
    <n v="0"/>
    <n v="0"/>
    <n v="0"/>
    <n v="0"/>
    <n v="0"/>
    <n v="0"/>
    <n v="30"/>
    <n v="0"/>
  </r>
  <r>
    <x v="5"/>
    <x v="9"/>
    <x v="0"/>
    <s v="6840501"/>
    <n v="700038"/>
    <s v="Salaries-Service/Support-Productive"/>
    <s v="Employee Relations"/>
    <x v="0"/>
    <m/>
    <n v="44187.79"/>
    <n v="43489.23"/>
    <n v="42040.28"/>
    <n v="48517.09"/>
    <n v="46151.97"/>
    <n v="31904.91"/>
    <n v="45947.17"/>
    <n v="35361.300000000003"/>
    <n v="46038.31"/>
    <n v="43429.62"/>
    <n v="46062.99"/>
    <n v="43319.01"/>
    <n v="516449.67"/>
    <n v="2743.9799999999959"/>
  </r>
  <r>
    <x v="5"/>
    <x v="9"/>
    <x v="0"/>
    <s v="6840501"/>
    <n v="700038"/>
    <s v="Salaries-Service/Support-OT"/>
    <s v="Employee Relations"/>
    <x v="0"/>
    <n v="1000"/>
    <n v="140.72"/>
    <n v="152.41"/>
    <n v="186.74"/>
    <n v="84.57"/>
    <n v="42.58"/>
    <n v="390.24"/>
    <n v="61.58"/>
    <n v="107.61"/>
    <n v="177.61"/>
    <n v="152.78"/>
    <n v="78.88"/>
    <n v="83.22"/>
    <n v="1658.9399999999998"/>
    <n v="-4.3400000000000034"/>
  </r>
  <r>
    <x v="5"/>
    <x v="9"/>
    <x v="0"/>
    <s v="6840501"/>
    <n v="700038"/>
    <s v="Salaries-Service/Support-Other"/>
    <s v="Employee Relations"/>
    <x v="0"/>
    <n v="2000"/>
    <n v="423.3"/>
    <n v="414.35"/>
    <n v="466.6"/>
    <n v="592.07000000000005"/>
    <n v="498.88"/>
    <n v="348.55"/>
    <n v="459.82"/>
    <n v="458.2"/>
    <n v="476.19"/>
    <n v="559.33000000000004"/>
    <n v="529.55999999999995"/>
    <n v="344.78"/>
    <n v="5571.63"/>
    <n v="184.77999999999997"/>
  </r>
  <r>
    <x v="5"/>
    <x v="9"/>
    <x v="0"/>
    <s v="6840501"/>
    <n v="700054"/>
    <s v="Salaries-Management-Non-productive"/>
    <s v="Employee Relations"/>
    <x v="0"/>
    <m/>
    <n v="12380.3"/>
    <n v="7430.53"/>
    <n v="5729.56"/>
    <n v="19483.41"/>
    <n v="-2189.25"/>
    <n v="26837.99"/>
    <n v="7636.24"/>
    <n v="8933.14"/>
    <n v="744.18"/>
    <n v="5869.31"/>
    <n v="2947.53"/>
    <n v="21359.25"/>
    <n v="117162.19"/>
    <n v="-18411.72"/>
  </r>
  <r>
    <x v="5"/>
    <x v="9"/>
    <x v="0"/>
    <s v="6840501"/>
    <n v="700054"/>
    <s v="Salaries-Management-NonProd-Other"/>
    <s v="Employee Relations"/>
    <x v="0"/>
    <n v="2000"/>
    <n v="0"/>
    <n v="0"/>
    <n v="0"/>
    <n v="0"/>
    <n v="0"/>
    <n v="2882.65"/>
    <n v="-2882.65"/>
    <n v="0"/>
    <n v="0"/>
    <n v="0"/>
    <n v="0"/>
    <n v="0"/>
    <n v="0"/>
    <n v="0"/>
  </r>
  <r>
    <x v="5"/>
    <x v="9"/>
    <x v="0"/>
    <s v="6840501"/>
    <n v="700074"/>
    <s v="Salaries-Tech/Professional-Non-productive"/>
    <s v="Employee Relations"/>
    <x v="0"/>
    <m/>
    <n v="7172.1"/>
    <n v="5937.33"/>
    <n v="5703.44"/>
    <n v="3196.4"/>
    <n v="2665.78"/>
    <n v="17276.14"/>
    <n v="5992.4"/>
    <n v="7893.92"/>
    <n v="1067.1300000000001"/>
    <n v="17053.8"/>
    <n v="2735.13"/>
    <n v="7522.54"/>
    <n v="84216.11"/>
    <n v="-4787.41"/>
  </r>
  <r>
    <x v="5"/>
    <x v="9"/>
    <x v="0"/>
    <s v="6840501"/>
    <n v="700074"/>
    <s v="Salaries-Tech/Professional-NonProd-Other"/>
    <s v="Employee Relation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40501"/>
    <n v="700078"/>
    <s v="Salaries-Service/Support-Non-productive"/>
    <s v="Employee Relations"/>
    <x v="0"/>
    <m/>
    <n v="4842.55"/>
    <n v="5652.31"/>
    <n v="5705.44"/>
    <n v="2777.35"/>
    <n v="3189.56"/>
    <n v="17409.759999999998"/>
    <n v="5758.86"/>
    <n v="6485.03"/>
    <n v="630.38"/>
    <n v="7868.49"/>
    <n v="5703.76"/>
    <n v="2648.31"/>
    <n v="68671.799999999988"/>
    <n v="3055.4500000000003"/>
  </r>
  <r>
    <x v="5"/>
    <x v="9"/>
    <x v="0"/>
    <s v="6840501"/>
    <n v="700078"/>
    <s v="Salaries-Service/Support-NonProd-Other"/>
    <s v="Employee Relation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40501"/>
    <n v="700084"/>
    <s v="Accrued PTO"/>
    <s v="Employee Relations"/>
    <x v="0"/>
    <m/>
    <n v="-678.85"/>
    <n v="1964.18"/>
    <n v="1907.02"/>
    <n v="17276.189999999999"/>
    <n v="13897.38"/>
    <n v="-25139.96"/>
    <n v="3603.23"/>
    <n v="1964.25"/>
    <n v="15462.01"/>
    <n v="4990.8900000000003"/>
    <n v="6764.17"/>
    <n v="5756.37"/>
    <n v="47766.879999999997"/>
    <n v="1007.8000000000002"/>
  </r>
  <r>
    <x v="10"/>
    <x v="9"/>
    <x v="0"/>
    <s v="6840501"/>
    <n v="710060"/>
    <s v="Contract Labor-Other"/>
    <s v="Employee Relations"/>
    <x v="0"/>
    <m/>
    <n v="0"/>
    <n v="0"/>
    <n v="0"/>
    <n v="0"/>
    <n v="0"/>
    <n v="0"/>
    <n v="0"/>
    <n v="342.6"/>
    <n v="1964.24"/>
    <n v="4639.82"/>
    <n v="2332.15"/>
    <n v="-5401.72"/>
    <n v="3877.0899999999992"/>
    <n v="7733.8700000000008"/>
  </r>
  <r>
    <x v="6"/>
    <x v="9"/>
    <x v="0"/>
    <s v="6840501"/>
    <n v="713010"/>
    <s v="Benefits-FICA/Medicare"/>
    <s v="Employee Relations"/>
    <x v="0"/>
    <m/>
    <n v="16406.78"/>
    <n v="13287.7"/>
    <n v="12921.48"/>
    <n v="13353.94"/>
    <n v="14688.24"/>
    <n v="14258.84"/>
    <n v="15603.63"/>
    <n v="13366.86"/>
    <n v="14963.31"/>
    <n v="14610.47"/>
    <n v="16025.52"/>
    <n v="16046.56"/>
    <n v="175533.33"/>
    <n v="-21.039999999999054"/>
  </r>
  <r>
    <x v="6"/>
    <x v="9"/>
    <x v="0"/>
    <s v="6840501"/>
    <n v="713090"/>
    <s v="Benefits-Allocated Amounts"/>
    <s v="Employee Relations"/>
    <x v="0"/>
    <m/>
    <n v="34165.480000000003"/>
    <n v="31204.07"/>
    <n v="33044.93"/>
    <n v="34710.94"/>
    <n v="35027.51"/>
    <n v="36435.339999999997"/>
    <n v="39606.400000000001"/>
    <n v="35853.379999999997"/>
    <n v="41512.26"/>
    <n v="39165.379999999997"/>
    <n v="40950.53"/>
    <n v="40599.11"/>
    <n v="442275.32999999996"/>
    <n v="351.41999999999825"/>
  </r>
  <r>
    <x v="6"/>
    <x v="9"/>
    <x v="0"/>
    <s v="6840501"/>
    <n v="713096"/>
    <s v="Employee Recognition"/>
    <s v="Employee Relations"/>
    <x v="0"/>
    <n v="1017"/>
    <n v="0"/>
    <n v="0"/>
    <n v="0"/>
    <n v="16.5"/>
    <n v="0"/>
    <n v="55.99"/>
    <n v="31.99"/>
    <n v="514.57000000000005"/>
    <n v="436.9"/>
    <n v="1563.17"/>
    <n v="131.84"/>
    <n v="106.26"/>
    <n v="2857.2200000000003"/>
    <n v="25.58"/>
  </r>
  <r>
    <x v="7"/>
    <x v="9"/>
    <x v="0"/>
    <s v="6840501"/>
    <n v="718050"/>
    <s v="Contract Svcs-Other"/>
    <s v="Employee Relations"/>
    <x v="0"/>
    <m/>
    <n v="20794.560000000001"/>
    <n v="-4250"/>
    <n v="0"/>
    <n v="499.2"/>
    <n v="0"/>
    <n v="16476"/>
    <n v="442"/>
    <n v="688"/>
    <n v="22266.25"/>
    <n v="16880.45"/>
    <n v="29892.99"/>
    <n v="60778.74"/>
    <n v="164468.19"/>
    <n v="-30885.749999999996"/>
  </r>
  <r>
    <x v="7"/>
    <x v="9"/>
    <x v="0"/>
    <s v="6840501"/>
    <n v="718050"/>
    <s v="Document Shredding/Storage"/>
    <s v="Employee Relations"/>
    <x v="0"/>
    <n v="1012"/>
    <n v="84.15"/>
    <n v="189.54"/>
    <n v="35.21"/>
    <n v="93.03"/>
    <n v="-19.190000000000001"/>
    <n v="76.599999999999994"/>
    <n v="75.83"/>
    <n v="106.8"/>
    <n v="88.04"/>
    <n v="118.79"/>
    <n v="98.08"/>
    <n v="301.64999999999998"/>
    <n v="1248.5299999999997"/>
    <n v="-203.57"/>
  </r>
  <r>
    <x v="11"/>
    <x v="9"/>
    <x v="0"/>
    <s v="6840501"/>
    <n v="721810"/>
    <s v="Supplies-Dietary/Cafeteria"/>
    <s v="Employee Relations"/>
    <x v="0"/>
    <m/>
    <n v="73.31"/>
    <n v="150.47999999999999"/>
    <n v="277.12"/>
    <n v="316.79000000000002"/>
    <n v="127.61"/>
    <n v="361.11"/>
    <n v="242.49"/>
    <n v="22.47"/>
    <n v="172.83"/>
    <n v="147.69999999999999"/>
    <n v="7.6"/>
    <n v="0"/>
    <n v="1899.51"/>
    <n v="7.6"/>
  </r>
  <r>
    <x v="11"/>
    <x v="9"/>
    <x v="0"/>
    <s v="6840501"/>
    <n v="721830"/>
    <s v="Supplies-Office"/>
    <s v="Employee Relations"/>
    <x v="0"/>
    <m/>
    <n v="0"/>
    <n v="0"/>
    <n v="429.97"/>
    <n v="74.02"/>
    <n v="0"/>
    <n v="0"/>
    <n v="0"/>
    <n v="0"/>
    <n v="0"/>
    <n v="0"/>
    <n v="58.7"/>
    <n v="0"/>
    <n v="562.69000000000005"/>
    <n v="58.7"/>
  </r>
  <r>
    <x v="11"/>
    <x v="9"/>
    <x v="0"/>
    <s v="6840501"/>
    <n v="721835"/>
    <s v="Supplies-Forms"/>
    <s v="Employee Relations"/>
    <x v="0"/>
    <m/>
    <n v="0"/>
    <n v="0"/>
    <n v="0"/>
    <n v="0"/>
    <n v="746.57"/>
    <n v="0"/>
    <n v="0"/>
    <n v="0"/>
    <n v="0"/>
    <n v="6.6"/>
    <n v="0"/>
    <n v="0"/>
    <n v="753.17000000000007"/>
    <n v="0"/>
  </r>
  <r>
    <x v="11"/>
    <x v="9"/>
    <x v="0"/>
    <s v="6840501"/>
    <n v="721910"/>
    <s v="Supplies-Small Equipment"/>
    <s v="Employee Relations"/>
    <x v="0"/>
    <m/>
    <n v="0"/>
    <n v="0"/>
    <n v="243.25"/>
    <n v="24.33"/>
    <n v="0"/>
    <n v="0"/>
    <n v="0"/>
    <n v="0"/>
    <n v="0"/>
    <n v="0"/>
    <n v="0"/>
    <n v="0"/>
    <n v="267.58"/>
    <n v="0"/>
  </r>
  <r>
    <x v="12"/>
    <x v="9"/>
    <x v="0"/>
    <s v="6840501"/>
    <n v="730020"/>
    <s v="Rental and Leases-Copier Usage Fees (DO NOT USE)"/>
    <s v="Employee Relations"/>
    <x v="0"/>
    <n v="5100"/>
    <n v="126.61"/>
    <n v="126.97"/>
    <n v="126.79"/>
    <n v="126.79"/>
    <n v="126.79"/>
    <n v="126.79"/>
    <n v="-58.39"/>
    <n v="106.9"/>
    <n v="106.66"/>
    <n v="247.09"/>
    <n v="106.89"/>
    <n v="133.18"/>
    <n v="1403.0700000000002"/>
    <n v="-26.290000000000006"/>
  </r>
  <r>
    <x v="15"/>
    <x v="9"/>
    <x v="0"/>
    <s v="6840501"/>
    <n v="731060"/>
    <s v="Cell Phones"/>
    <s v="Employee Relations"/>
    <x v="0"/>
    <n v="1001"/>
    <n v="0"/>
    <n v="49.65"/>
    <n v="16.489999999999998"/>
    <n v="0"/>
    <n v="16.489999999999998"/>
    <n v="17.010000000000002"/>
    <n v="34.06"/>
    <n v="0"/>
    <n v="17.010000000000002"/>
    <n v="34.020000000000003"/>
    <n v="0"/>
    <n v="0"/>
    <n v="184.73"/>
    <n v="0"/>
  </r>
  <r>
    <x v="0"/>
    <x v="9"/>
    <x v="0"/>
    <s v="6840501"/>
    <n v="740020"/>
    <s v="Education-Registration Fees"/>
    <s v="Employee Relations"/>
    <x v="0"/>
    <m/>
    <n v="0"/>
    <n v="350"/>
    <n v="0"/>
    <n v="50"/>
    <n v="140"/>
    <n v="0"/>
    <n v="149"/>
    <n v="-149"/>
    <n v="0"/>
    <n v="30"/>
    <n v="0"/>
    <n v="29.99"/>
    <n v="599.99"/>
    <n v="-29.99"/>
  </r>
  <r>
    <x v="0"/>
    <x v="9"/>
    <x v="0"/>
    <s v="6840501"/>
    <n v="742010"/>
    <s v="Postage-Regular"/>
    <s v="Employee Relations"/>
    <x v="0"/>
    <m/>
    <n v="0"/>
    <n v="0"/>
    <n v="0"/>
    <n v="0"/>
    <n v="0"/>
    <n v="0"/>
    <n v="0"/>
    <n v="0"/>
    <n v="0"/>
    <n v="6.85"/>
    <n v="0"/>
    <n v="660"/>
    <n v="666.85"/>
    <n v="-660"/>
  </r>
  <r>
    <x v="0"/>
    <x v="9"/>
    <x v="0"/>
    <s v="6840501"/>
    <n v="743020"/>
    <s v="Dues--Individual"/>
    <s v="Employee Relations"/>
    <x v="0"/>
    <m/>
    <n v="0"/>
    <n v="0"/>
    <n v="0"/>
    <n v="189"/>
    <n v="0"/>
    <n v="0"/>
    <n v="0"/>
    <n v="0"/>
    <n v="349"/>
    <n v="0"/>
    <n v="0"/>
    <n v="0"/>
    <n v="538"/>
    <n v="0"/>
  </r>
  <r>
    <x v="0"/>
    <x v="9"/>
    <x v="0"/>
    <s v="6840501"/>
    <n v="743030"/>
    <s v="Subscriptions--Institutional"/>
    <s v="Employee Relations"/>
    <x v="0"/>
    <m/>
    <n v="0"/>
    <n v="0"/>
    <n v="20"/>
    <n v="0"/>
    <n v="0"/>
    <n v="0"/>
    <n v="0"/>
    <n v="0"/>
    <n v="0"/>
    <n v="0"/>
    <n v="0"/>
    <n v="0"/>
    <n v="20"/>
    <n v="0"/>
  </r>
  <r>
    <x v="0"/>
    <x v="9"/>
    <x v="0"/>
    <s v="6840501"/>
    <n v="749510"/>
    <s v="Miscellaneous Expenses"/>
    <s v="Employee Relations"/>
    <x v="0"/>
    <m/>
    <n v="383.43"/>
    <n v="1227.23"/>
    <n v="-676.61"/>
    <n v="2564.3200000000002"/>
    <n v="4203.3999999999996"/>
    <n v="-2577.5500000000002"/>
    <n v="-530.41"/>
    <n v="463.32"/>
    <n v="-2120.64"/>
    <n v="937.61"/>
    <n v="24.19"/>
    <n v="822.92"/>
    <n v="4721.21"/>
    <n v="-798.7299999999999"/>
  </r>
  <r>
    <x v="0"/>
    <x v="9"/>
    <x v="0"/>
    <s v="6840501"/>
    <n v="749510"/>
    <s v="Miscellaneous Fees"/>
    <s v="Employee Relations"/>
    <x v="0"/>
    <n v="1001"/>
    <n v="0"/>
    <n v="0"/>
    <n v="0"/>
    <n v="0"/>
    <n v="0"/>
    <n v="0"/>
    <n v="0"/>
    <n v="0"/>
    <n v="223.5"/>
    <n v="0"/>
    <n v="219.75"/>
    <n v="0"/>
    <n v="443.25"/>
    <n v="219.75"/>
  </r>
  <r>
    <x v="0"/>
    <x v="9"/>
    <x v="0"/>
    <s v="6840501"/>
    <n v="749510"/>
    <s v="RICE Rewards"/>
    <s v="Employee Relations"/>
    <x v="0"/>
    <n v="5100"/>
    <n v="0"/>
    <n v="0"/>
    <n v="0"/>
    <n v="0"/>
    <n v="0"/>
    <n v="0"/>
    <n v="0"/>
    <n v="0"/>
    <n v="0"/>
    <n v="0"/>
    <n v="337"/>
    <n v="530.32000000000005"/>
    <n v="867.32"/>
    <n v="-193.32000000000005"/>
  </r>
  <r>
    <x v="0"/>
    <x v="9"/>
    <x v="0"/>
    <s v="6840501"/>
    <n v="749530"/>
    <s v="Travel"/>
    <s v="Employee Relations"/>
    <x v="0"/>
    <m/>
    <n v="0"/>
    <n v="25.75"/>
    <n v="44.5"/>
    <n v="66.7"/>
    <n v="52"/>
    <n v="1798.16"/>
    <n v="529.62"/>
    <n v="821.56"/>
    <n v="242.75"/>
    <n v="1346.55"/>
    <n v="40"/>
    <n v="216.85"/>
    <n v="5184.4400000000005"/>
    <n v="-176.85"/>
  </r>
  <r>
    <x v="0"/>
    <x v="9"/>
    <x v="0"/>
    <s v="6840501"/>
    <n v="749530"/>
    <s v="Mileage"/>
    <s v="Employee Relations"/>
    <x v="0"/>
    <n v="1001"/>
    <n v="0"/>
    <n v="247.49"/>
    <n v="715.71"/>
    <n v="492.79"/>
    <n v="575.64"/>
    <n v="573.44000000000005"/>
    <n v="257.86"/>
    <n v="242.61"/>
    <n v="664.1"/>
    <n v="667.58"/>
    <n v="696.58"/>
    <n v="821.86"/>
    <n v="5955.66"/>
    <n v="-125.27999999999997"/>
  </r>
  <r>
    <x v="0"/>
    <x v="9"/>
    <x v="0"/>
    <s v="6840501"/>
    <n v="749535"/>
    <s v="Meetings"/>
    <s v="Employee Relations"/>
    <x v="0"/>
    <m/>
    <n v="0"/>
    <n v="0"/>
    <n v="2151.64"/>
    <n v="1160.98"/>
    <n v="0"/>
    <n v="3053.84"/>
    <n v="0"/>
    <n v="1444.89"/>
    <n v="3344.91"/>
    <n v="220.98"/>
    <n v="0"/>
    <n v="4358.67"/>
    <n v="15735.91"/>
    <n v="-4358.67"/>
  </r>
  <r>
    <x v="5"/>
    <x v="3"/>
    <x v="0"/>
    <s v="6841101"/>
    <n v="700026"/>
    <s v="Salaries-RN-Productiv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41101"/>
    <n v="700058"/>
    <s v="Salaries-Supervisory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41101"/>
    <n v="700066"/>
    <s v="Salaries-RN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41101"/>
    <n v="700072"/>
    <s v="Salaries-Other Pat Care Providers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41101"/>
    <n v="700078"/>
    <s v="Salaries-Service/Support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6841101"/>
    <n v="713010"/>
    <s v="Benefits-FICA/Medicar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25"/>
    <x v="3"/>
    <x v="0"/>
    <s v="6841101"/>
    <n v="770020"/>
    <s v="Severance Costs"/>
    <s v="Transition/Severance"/>
    <x v="0"/>
    <m/>
    <n v="314202.32"/>
    <n v="0"/>
    <n v="0"/>
    <n v="0"/>
    <n v="0"/>
    <n v="0"/>
    <n v="0"/>
    <n v="0"/>
    <n v="13191.86"/>
    <n v="0"/>
    <n v="0"/>
    <n v="1410517.66"/>
    <n v="1737911.8399999999"/>
    <n v="-1410517.66"/>
  </r>
  <r>
    <x v="25"/>
    <x v="0"/>
    <x v="0"/>
    <s v="6841102"/>
    <n v="770020"/>
    <s v="Severance Costs"/>
    <s v="Transition/Severance"/>
    <x v="0"/>
    <m/>
    <n v="1204.23"/>
    <n v="0"/>
    <n v="0"/>
    <n v="0"/>
    <n v="0"/>
    <n v="0"/>
    <n v="0"/>
    <n v="0"/>
    <n v="0"/>
    <n v="0"/>
    <n v="0"/>
    <n v="0"/>
    <n v="1204.23"/>
    <n v="0"/>
  </r>
  <r>
    <x v="5"/>
    <x v="4"/>
    <x v="0"/>
    <s v="6841103"/>
    <n v="700078"/>
    <s v="Salaries-Service/Support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6841103"/>
    <n v="713010"/>
    <s v="Benefits-FICA/Medicar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25"/>
    <x v="4"/>
    <x v="0"/>
    <s v="6841103"/>
    <n v="770020"/>
    <s v="Severance Costs"/>
    <s v="Transition/Severance"/>
    <x v="0"/>
    <m/>
    <n v="14266.63"/>
    <n v="0"/>
    <n v="0"/>
    <n v="0"/>
    <n v="0"/>
    <n v="0"/>
    <n v="0"/>
    <n v="0"/>
    <n v="0"/>
    <n v="0"/>
    <n v="0"/>
    <n v="0"/>
    <n v="14266.63"/>
    <n v="0"/>
  </r>
  <r>
    <x v="25"/>
    <x v="8"/>
    <x v="0"/>
    <s v="6841104"/>
    <n v="770020"/>
    <s v="Severance Costs"/>
    <s v="Transition/Severance"/>
    <x v="0"/>
    <m/>
    <n v="766.32"/>
    <n v="0"/>
    <n v="0"/>
    <n v="0"/>
    <n v="0"/>
    <n v="0"/>
    <n v="0"/>
    <n v="0"/>
    <n v="0"/>
    <n v="0"/>
    <n v="0"/>
    <n v="0"/>
    <n v="766.32"/>
    <n v="0"/>
  </r>
  <r>
    <x v="5"/>
    <x v="5"/>
    <x v="0"/>
    <s v="6841106"/>
    <n v="700054"/>
    <s v="Salaries-Management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5"/>
    <x v="0"/>
    <s v="6841106"/>
    <n v="713010"/>
    <s v="Benefits-FICA/Medicar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25"/>
    <x v="5"/>
    <x v="0"/>
    <s v="6841106"/>
    <n v="770020"/>
    <s v="Severance Costs"/>
    <s v="Transition/Severance"/>
    <x v="0"/>
    <m/>
    <n v="1204.22"/>
    <n v="0"/>
    <n v="0"/>
    <n v="0"/>
    <n v="0"/>
    <n v="0"/>
    <n v="0"/>
    <n v="0"/>
    <n v="39201.82"/>
    <n v="0"/>
    <n v="0"/>
    <n v="0"/>
    <n v="40406.04"/>
    <n v="0"/>
  </r>
  <r>
    <x v="5"/>
    <x v="6"/>
    <x v="0"/>
    <s v="6841107"/>
    <n v="700034"/>
    <s v="Salaries-Tech/Professional-Productiv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841107"/>
    <n v="700072"/>
    <s v="Salaries-Other Pat Care Providers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841107"/>
    <n v="700078"/>
    <s v="Salaries-Service/Support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6841107"/>
    <n v="713010"/>
    <s v="Benefits-FICA/Medicar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25"/>
    <x v="6"/>
    <x v="0"/>
    <s v="6841107"/>
    <n v="770020"/>
    <s v="Severance Costs"/>
    <s v="Transition/Severance"/>
    <x v="0"/>
    <m/>
    <n v="25625.61"/>
    <n v="0"/>
    <n v="0"/>
    <n v="0"/>
    <n v="0"/>
    <n v="0"/>
    <n v="0"/>
    <n v="0"/>
    <n v="0"/>
    <n v="0"/>
    <n v="0"/>
    <n v="0"/>
    <n v="25625.61"/>
    <n v="0"/>
  </r>
  <r>
    <x v="25"/>
    <x v="7"/>
    <x v="0"/>
    <s v="6841150"/>
    <n v="770020"/>
    <s v="Severance Costs"/>
    <s v="Transition/Severance"/>
    <x v="0"/>
    <m/>
    <n v="218.95"/>
    <n v="0"/>
    <n v="0"/>
    <n v="0"/>
    <n v="0"/>
    <n v="0"/>
    <n v="0"/>
    <n v="0"/>
    <n v="0"/>
    <n v="0"/>
    <n v="0"/>
    <n v="0"/>
    <n v="218.95"/>
    <n v="0"/>
  </r>
  <r>
    <x v="5"/>
    <x v="1"/>
    <x v="0"/>
    <s v="6841200"/>
    <n v="700054"/>
    <s v="Salaries-Management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6841200"/>
    <n v="700072"/>
    <s v="Salaries-Other Pat Care Providers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6841200"/>
    <n v="713010"/>
    <s v="Benefits-FICA/Medicar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25"/>
    <x v="1"/>
    <x v="0"/>
    <s v="6841200"/>
    <n v="770020"/>
    <s v="Severance Costs"/>
    <s v="Transition/Severance"/>
    <x v="0"/>
    <m/>
    <n v="11923.07"/>
    <n v="0"/>
    <n v="201553.14"/>
    <n v="0"/>
    <n v="0"/>
    <n v="0"/>
    <n v="0"/>
    <n v="0"/>
    <n v="0"/>
    <n v="0"/>
    <n v="0"/>
    <n v="800000"/>
    <n v="1013476.21"/>
    <n v="-800000"/>
  </r>
  <r>
    <x v="5"/>
    <x v="9"/>
    <x v="0"/>
    <s v="6841501"/>
    <n v="700032"/>
    <s v="Salaries-Other Pat Care Providers-Productive"/>
    <s v="Transition/Severance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41501"/>
    <n v="700054"/>
    <s v="Salaries-Management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41501"/>
    <n v="700078"/>
    <s v="Salaries-Service/Support-NonProd-Other"/>
    <s v="Transition/Severance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6841501"/>
    <n v="713010"/>
    <s v="Benefits-FICA/Medicare"/>
    <s v="Transition/Severance"/>
    <x v="0"/>
    <m/>
    <n v="0"/>
    <n v="0"/>
    <n v="0"/>
    <n v="-0.02"/>
    <n v="0.02"/>
    <n v="0"/>
    <n v="0"/>
    <n v="-81"/>
    <n v="0"/>
    <n v="81"/>
    <n v="0"/>
    <n v="0"/>
    <n v="0"/>
    <n v="0"/>
  </r>
  <r>
    <x v="25"/>
    <x v="9"/>
    <x v="0"/>
    <s v="6841501"/>
    <n v="770020"/>
    <s v="Severance Costs"/>
    <s v="Transition/Severance"/>
    <x v="0"/>
    <m/>
    <n v="0"/>
    <n v="0"/>
    <n v="0"/>
    <n v="0"/>
    <n v="0"/>
    <n v="0"/>
    <n v="0"/>
    <n v="0"/>
    <n v="135323.24"/>
    <n v="0"/>
    <n v="0"/>
    <n v="0"/>
    <n v="135323.24"/>
    <n v="0"/>
  </r>
  <r>
    <x v="14"/>
    <x v="9"/>
    <x v="0"/>
    <s v="6850501"/>
    <n v="600050"/>
    <s v="Miscellaneous Revenue"/>
    <s v="Employee Health Services"/>
    <x v="0"/>
    <m/>
    <n v="-20"/>
    <n v="0"/>
    <n v="0"/>
    <n v="0"/>
    <n v="0"/>
    <n v="0"/>
    <n v="0"/>
    <n v="-5000"/>
    <n v="-175991.59"/>
    <n v="-7735.27"/>
    <n v="0"/>
    <n v="0"/>
    <n v="-188746.86"/>
    <n v="0"/>
  </r>
  <r>
    <x v="5"/>
    <x v="9"/>
    <x v="0"/>
    <s v="6850501"/>
    <n v="700014"/>
    <s v="Salaries-Management-Productive"/>
    <s v="Employee Health Services"/>
    <x v="0"/>
    <m/>
    <n v="9168.25"/>
    <n v="10126.65"/>
    <n v="10263.629999999999"/>
    <n v="9923.9"/>
    <n v="10879.39"/>
    <n v="7136.68"/>
    <n v="10160.469999999999"/>
    <n v="4239.1400000000003"/>
    <n v="11035.81"/>
    <n v="10509.96"/>
    <n v="10370.18"/>
    <n v="8513.51"/>
    <n v="112327.56999999999"/>
    <n v="1856.67"/>
  </r>
  <r>
    <x v="5"/>
    <x v="9"/>
    <x v="0"/>
    <s v="6850501"/>
    <n v="700026"/>
    <s v="Salaries-RN-Productive"/>
    <s v="Employee Health Services"/>
    <x v="0"/>
    <m/>
    <n v="12122.99"/>
    <n v="15587.22"/>
    <n v="16160.49"/>
    <n v="19180.45"/>
    <n v="21281.17"/>
    <n v="14675.37"/>
    <n v="21976.09"/>
    <n v="17183.36"/>
    <n v="11821.03"/>
    <n v="9166.77"/>
    <n v="11566.25"/>
    <n v="9324.39"/>
    <n v="180045.57999999996"/>
    <n v="2241.8600000000006"/>
  </r>
  <r>
    <x v="5"/>
    <x v="9"/>
    <x v="0"/>
    <s v="6850501"/>
    <n v="700026"/>
    <s v="Salaries-RN-OT"/>
    <s v="Employee Health Services"/>
    <x v="0"/>
    <n v="1000"/>
    <n v="63.29"/>
    <n v="125.09"/>
    <n v="49.36"/>
    <n v="3334.96"/>
    <n v="-912.88"/>
    <n v="-70.569999999999993"/>
    <n v="151.19999999999999"/>
    <n v="-10.050000000000001"/>
    <n v="40.11"/>
    <n v="236.28"/>
    <n v="851.54"/>
    <n v="502.7"/>
    <n v="4361.03"/>
    <n v="348.84"/>
  </r>
  <r>
    <x v="5"/>
    <x v="9"/>
    <x v="0"/>
    <s v="6850501"/>
    <n v="700026"/>
    <s v="Salaries-RN-Other"/>
    <s v="Employee Health Services"/>
    <x v="0"/>
    <n v="2000"/>
    <n v="0"/>
    <n v="316.3"/>
    <n v="305.87"/>
    <n v="554.13"/>
    <n v="216.4"/>
    <n v="230.86"/>
    <n v="330.17"/>
    <n v="253.23"/>
    <n v="330.72"/>
    <n v="423.63"/>
    <n v="624.79999999999995"/>
    <n v="234.73"/>
    <n v="3820.8400000000006"/>
    <n v="390.06999999999994"/>
  </r>
  <r>
    <x v="5"/>
    <x v="9"/>
    <x v="0"/>
    <s v="6850501"/>
    <n v="700030"/>
    <s v="Salaries-LPN-Productive"/>
    <s v="Employee Health Services"/>
    <x v="0"/>
    <m/>
    <n v="11486.15"/>
    <n v="16420.89"/>
    <n v="16062.09"/>
    <n v="19752.22"/>
    <n v="16271.29"/>
    <n v="11562.71"/>
    <n v="16384.349999999999"/>
    <n v="12274.26"/>
    <n v="13919.83"/>
    <n v="8581.3700000000008"/>
    <n v="11792.81"/>
    <n v="17392.91"/>
    <n v="171900.88"/>
    <n v="-5600.1"/>
  </r>
  <r>
    <x v="5"/>
    <x v="9"/>
    <x v="0"/>
    <s v="6850501"/>
    <n v="700030"/>
    <s v="Salaries-LPN-OT"/>
    <s v="Employee Health Services"/>
    <x v="0"/>
    <n v="1000"/>
    <n v="0"/>
    <n v="68.31"/>
    <n v="-12.43"/>
    <n v="1018.57"/>
    <n v="-169.66"/>
    <n v="22.96"/>
    <n v="34.950000000000003"/>
    <n v="-6.91"/>
    <n v="170.71"/>
    <n v="182.26"/>
    <n v="408.18"/>
    <n v="-71.17"/>
    <n v="1645.7700000000002"/>
    <n v="479.35"/>
  </r>
  <r>
    <x v="5"/>
    <x v="9"/>
    <x v="0"/>
    <s v="6850501"/>
    <n v="700030"/>
    <s v="Salaries-LPN-Other"/>
    <s v="Employee Health Services"/>
    <x v="0"/>
    <n v="2000"/>
    <n v="0"/>
    <n v="30"/>
    <n v="0"/>
    <n v="0"/>
    <n v="0"/>
    <n v="0"/>
    <n v="0"/>
    <n v="0"/>
    <n v="0"/>
    <n v="0"/>
    <n v="0"/>
    <n v="30.04"/>
    <n v="60.04"/>
    <n v="-30.04"/>
  </r>
  <r>
    <x v="5"/>
    <x v="9"/>
    <x v="0"/>
    <s v="6850501"/>
    <n v="700054"/>
    <s v="Salaries-Management-Non-productive"/>
    <s v="Employee Health Services"/>
    <x v="0"/>
    <m/>
    <n v="1436.88"/>
    <n v="478.96"/>
    <n v="0"/>
    <n v="874.56"/>
    <n v="-384.8"/>
    <n v="3708.07"/>
    <n v="701.21"/>
    <n v="5570.4"/>
    <n v="-175.14"/>
    <n v="0"/>
    <n v="490.48"/>
    <n v="1996.93"/>
    <n v="14697.55"/>
    <n v="-1506.45"/>
  </r>
  <r>
    <x v="5"/>
    <x v="9"/>
    <x v="0"/>
    <s v="6850501"/>
    <n v="700054"/>
    <s v="Salaries-Management-NonProd-Other"/>
    <s v="Employee Health Services"/>
    <x v="0"/>
    <n v="2000"/>
    <n v="0"/>
    <n v="0"/>
    <n v="0"/>
    <n v="0"/>
    <n v="0"/>
    <n v="370.6"/>
    <n v="-370.6"/>
    <n v="0"/>
    <n v="0"/>
    <n v="0"/>
    <n v="0"/>
    <n v="0"/>
    <n v="0"/>
    <n v="0"/>
  </r>
  <r>
    <x v="5"/>
    <x v="9"/>
    <x v="0"/>
    <s v="6850501"/>
    <n v="700066"/>
    <s v="Salaries-RN-Non-productive"/>
    <s v="Employee Health Services"/>
    <x v="0"/>
    <m/>
    <n v="2965.68"/>
    <n v="2135.62"/>
    <n v="551.02"/>
    <n v="-368.82"/>
    <n v="990.56"/>
    <n v="9271.74"/>
    <n v="2716.89"/>
    <n v="4033.32"/>
    <n v="-91.05"/>
    <n v="760.9"/>
    <n v="0"/>
    <n v="812.13"/>
    <n v="23777.99"/>
    <n v="-812.13"/>
  </r>
  <r>
    <x v="5"/>
    <x v="9"/>
    <x v="0"/>
    <s v="6850501"/>
    <n v="700066"/>
    <s v="Salaries-RN-NonProd-Other"/>
    <s v="Employee Health Services"/>
    <x v="0"/>
    <n v="2000"/>
    <n v="0"/>
    <n v="0"/>
    <n v="0"/>
    <n v="0"/>
    <n v="257.89"/>
    <n v="0"/>
    <n v="0"/>
    <n v="-257.89"/>
    <n v="0"/>
    <n v="0"/>
    <n v="0"/>
    <n v="0"/>
    <n v="0"/>
    <n v="0"/>
  </r>
  <r>
    <x v="5"/>
    <x v="9"/>
    <x v="0"/>
    <s v="6850501"/>
    <n v="700070"/>
    <s v="Salaries-LPN-Non-productive"/>
    <s v="Employee Health Services"/>
    <x v="0"/>
    <m/>
    <n v="1673.25"/>
    <n v="1244.5999999999999"/>
    <n v="758"/>
    <n v="268.62"/>
    <n v="443.26"/>
    <n v="6801.96"/>
    <n v="1645.3"/>
    <n v="4111.67"/>
    <n v="-117.56"/>
    <n v="3544.88"/>
    <n v="1199.99"/>
    <n v="820.6"/>
    <n v="22394.569999999996"/>
    <n v="379.39"/>
  </r>
  <r>
    <x v="5"/>
    <x v="9"/>
    <x v="0"/>
    <s v="6850501"/>
    <n v="700084"/>
    <s v="Accrued PTO"/>
    <s v="Employee Health Services"/>
    <x v="0"/>
    <m/>
    <n v="-1343.46"/>
    <n v="1165.02"/>
    <n v="2400.92"/>
    <n v="5438.2"/>
    <n v="4000.7"/>
    <n v="-12164.47"/>
    <n v="1159.1199999999999"/>
    <n v="-5886.94"/>
    <n v="3110.26"/>
    <n v="1045.53"/>
    <n v="162.68"/>
    <n v="1735.05"/>
    <n v="822.61000000000217"/>
    <n v="-1572.37"/>
  </r>
  <r>
    <x v="10"/>
    <x v="9"/>
    <x v="0"/>
    <s v="6850501"/>
    <n v="710060"/>
    <s v="Contract Labor-Other"/>
    <s v="Employee Health Services"/>
    <x v="0"/>
    <m/>
    <n v="0"/>
    <n v="0"/>
    <n v="0"/>
    <n v="0"/>
    <n v="0"/>
    <n v="0"/>
    <n v="0"/>
    <n v="0"/>
    <n v="0"/>
    <n v="0"/>
    <n v="4896"/>
    <n v="4930"/>
    <n v="9826"/>
    <n v="-34"/>
  </r>
  <r>
    <x v="10"/>
    <x v="9"/>
    <x v="0"/>
    <s v="6850501"/>
    <n v="710060"/>
    <s v="Contract Labor-Overtime"/>
    <s v="Employee Health Services"/>
    <x v="0"/>
    <n v="5100"/>
    <n v="0"/>
    <n v="0"/>
    <n v="0"/>
    <n v="0"/>
    <n v="0"/>
    <n v="0"/>
    <n v="0"/>
    <n v="0"/>
    <n v="0"/>
    <n v="0"/>
    <n v="619.65"/>
    <n v="0"/>
    <n v="619.65"/>
    <n v="619.65"/>
  </r>
  <r>
    <x v="6"/>
    <x v="9"/>
    <x v="0"/>
    <s v="6850501"/>
    <n v="713010"/>
    <s v="Benefits-FICA/Medicare"/>
    <s v="Employee Health Services"/>
    <x v="0"/>
    <m/>
    <n v="2846.5"/>
    <n v="3429.23"/>
    <n v="3239.22"/>
    <n v="4016.78"/>
    <n v="3646.92"/>
    <n v="3938.47"/>
    <n v="4014.98"/>
    <n v="3508.25"/>
    <n v="3314.23"/>
    <n v="2483.59"/>
    <n v="2793.63"/>
    <n v="2956.24"/>
    <n v="40188.039999999994"/>
    <n v="-162.60999999999967"/>
  </r>
  <r>
    <x v="6"/>
    <x v="9"/>
    <x v="0"/>
    <s v="6850501"/>
    <n v="713090"/>
    <s v="Benefits-Allocated Amounts"/>
    <s v="Employee Health Services"/>
    <x v="0"/>
    <m/>
    <n v="7733.24"/>
    <n v="8757.39"/>
    <n v="9021.98"/>
    <n v="10137.969999999999"/>
    <n v="9171.39"/>
    <n v="10285.530000000001"/>
    <n v="11260.33"/>
    <n v="10045.07"/>
    <n v="8565.1200000000008"/>
    <n v="7207.85"/>
    <n v="7218.08"/>
    <n v="8226.18"/>
    <n v="107630.13"/>
    <n v="-1008.1000000000004"/>
  </r>
  <r>
    <x v="6"/>
    <x v="9"/>
    <x v="0"/>
    <s v="6850501"/>
    <n v="713096"/>
    <s v="Employee Recognition"/>
    <s v="Employee Health Services"/>
    <x v="0"/>
    <n v="1017"/>
    <n v="0"/>
    <n v="18.989999999999998"/>
    <n v="0"/>
    <n v="0"/>
    <n v="0"/>
    <n v="0"/>
    <n v="0"/>
    <n v="0"/>
    <n v="0"/>
    <n v="0"/>
    <n v="0"/>
    <n v="0"/>
    <n v="18.989999999999998"/>
    <n v="0"/>
  </r>
  <r>
    <x v="17"/>
    <x v="9"/>
    <x v="0"/>
    <s v="6850501"/>
    <n v="714510"/>
    <s v="Medical Director Fees"/>
    <s v="Employee Health Services"/>
    <x v="0"/>
    <m/>
    <n v="0"/>
    <n v="0"/>
    <n v="0"/>
    <n v="1120"/>
    <n v="1120"/>
    <n v="0"/>
    <n v="0"/>
    <n v="0"/>
    <n v="2240"/>
    <n v="3360"/>
    <n v="2240"/>
    <n v="0"/>
    <n v="10080"/>
    <n v="2240"/>
  </r>
  <r>
    <x v="7"/>
    <x v="9"/>
    <x v="0"/>
    <s v="6850501"/>
    <n v="718050"/>
    <s v="Contract Svcs-Other"/>
    <s v="Employee Health Services"/>
    <x v="0"/>
    <m/>
    <n v="0"/>
    <n v="0"/>
    <n v="0"/>
    <n v="0"/>
    <n v="226.34"/>
    <n v="105.64"/>
    <n v="194.66"/>
    <n v="0"/>
    <n v="120.83"/>
    <n v="146"/>
    <n v="0"/>
    <n v="0"/>
    <n v="793.47"/>
    <n v="0"/>
  </r>
  <r>
    <x v="7"/>
    <x v="9"/>
    <x v="0"/>
    <s v="6850501"/>
    <n v="718050"/>
    <s v="Document Shredding/Storage"/>
    <s v="Employee Health Services"/>
    <x v="0"/>
    <n v="1012"/>
    <n v="78.94"/>
    <n v="323.27"/>
    <n v="63.49"/>
    <n v="65.69"/>
    <n v="67.89"/>
    <n v="67.89"/>
    <n v="67.209999999999994"/>
    <n v="157.16"/>
    <n v="78.47"/>
    <n v="40.270000000000003"/>
    <n v="70.790000000000006"/>
    <n v="384.4"/>
    <n v="1465.4699999999998"/>
    <n v="-313.60999999999996"/>
  </r>
  <r>
    <x v="7"/>
    <x v="9"/>
    <x v="0"/>
    <s v="6850501"/>
    <n v="718050"/>
    <s v="Miscellaneous Purchased Svcs"/>
    <s v="Employee Health Services"/>
    <x v="0"/>
    <n v="1020"/>
    <n v="791.66"/>
    <n v="218.35"/>
    <n v="215.01"/>
    <n v="201.17"/>
    <n v="36.5"/>
    <n v="84.2"/>
    <n v="36.5"/>
    <n v="997.53"/>
    <n v="212.01"/>
    <n v="1428.79"/>
    <n v="1063.22"/>
    <n v="153.56"/>
    <n v="5438.5000000000009"/>
    <n v="909.66000000000008"/>
  </r>
  <r>
    <x v="11"/>
    <x v="9"/>
    <x v="0"/>
    <s v="6850501"/>
    <n v="721250"/>
    <s v="Supplies-Pharmacy Drugs - Billable"/>
    <s v="Employee Health Services"/>
    <x v="0"/>
    <m/>
    <n v="9735.1200000000008"/>
    <n v="5356.39"/>
    <n v="1108.45"/>
    <n v="91652.69"/>
    <n v="41035.129999999997"/>
    <n v="37395.96"/>
    <n v="6516.82"/>
    <n v="8877.11"/>
    <n v="5798.88"/>
    <n v="8844.3799999999992"/>
    <n v="5796.9"/>
    <n v="5703.85"/>
    <n v="227821.68"/>
    <n v="93.049999999999272"/>
  </r>
  <r>
    <x v="11"/>
    <x v="9"/>
    <x v="0"/>
    <s v="6850501"/>
    <n v="721410"/>
    <s v="Supplies-Medical - Nonbillable"/>
    <s v="Employee Health Services"/>
    <x v="0"/>
    <m/>
    <n v="370.4"/>
    <n v="3332.35"/>
    <n v="151.25"/>
    <n v="585.82000000000005"/>
    <n v="264"/>
    <n v="502.33"/>
    <n v="0"/>
    <n v="565.94000000000005"/>
    <n v="310.25"/>
    <n v="446.63"/>
    <n v="0"/>
    <n v="0"/>
    <n v="6528.97"/>
    <n v="0"/>
  </r>
  <r>
    <x v="11"/>
    <x v="9"/>
    <x v="0"/>
    <s v="6850501"/>
    <n v="721610"/>
    <s v="Supplies-Anesthesia - Nonbillable"/>
    <s v="Employee Health Services"/>
    <x v="0"/>
    <m/>
    <n v="0"/>
    <n v="0"/>
    <n v="0"/>
    <n v="0"/>
    <n v="0"/>
    <n v="158.38"/>
    <n v="0"/>
    <n v="0"/>
    <n v="0"/>
    <n v="0"/>
    <n v="0"/>
    <n v="0"/>
    <n v="158.38"/>
    <n v="0"/>
  </r>
  <r>
    <x v="11"/>
    <x v="9"/>
    <x v="0"/>
    <s v="6850501"/>
    <n v="721810"/>
    <s v="Supplies-Dietary/Cafeteria"/>
    <s v="Employee Health Services"/>
    <x v="0"/>
    <m/>
    <n v="0"/>
    <n v="63.11"/>
    <n v="43.49"/>
    <n v="1000.72"/>
    <n v="55.96"/>
    <n v="0"/>
    <n v="0"/>
    <n v="0"/>
    <n v="0"/>
    <n v="0"/>
    <n v="0"/>
    <n v="5"/>
    <n v="1168.28"/>
    <n v="-5"/>
  </r>
  <r>
    <x v="11"/>
    <x v="9"/>
    <x v="0"/>
    <s v="6850501"/>
    <n v="721830"/>
    <s v="Supplies-Office"/>
    <s v="Employee Health Services"/>
    <x v="0"/>
    <m/>
    <n v="110.99"/>
    <n v="123.75"/>
    <n v="132.84"/>
    <n v="0"/>
    <n v="560.83000000000004"/>
    <n v="227.45"/>
    <n v="163.69999999999999"/>
    <n v="0"/>
    <n v="201.52"/>
    <n v="105.73"/>
    <n v="0"/>
    <n v="0"/>
    <n v="1626.8100000000002"/>
    <n v="0"/>
  </r>
  <r>
    <x v="11"/>
    <x v="9"/>
    <x v="0"/>
    <s v="6850501"/>
    <n v="721835"/>
    <s v="Supplies-Forms"/>
    <s v="Employee Health Services"/>
    <x v="0"/>
    <m/>
    <n v="0"/>
    <n v="0"/>
    <n v="0"/>
    <n v="0"/>
    <n v="1218"/>
    <n v="80"/>
    <n v="24"/>
    <n v="0"/>
    <n v="175.59"/>
    <n v="0"/>
    <n v="80"/>
    <n v="0"/>
    <n v="1577.59"/>
    <n v="80"/>
  </r>
  <r>
    <x v="11"/>
    <x v="9"/>
    <x v="0"/>
    <s v="6850501"/>
    <n v="721870"/>
    <s v="Supplies-Environmental Services"/>
    <s v="Employee Health Services"/>
    <x v="0"/>
    <m/>
    <n v="9.6"/>
    <n v="103.98"/>
    <n v="9.6"/>
    <n v="108.78"/>
    <n v="28.81"/>
    <n v="0"/>
    <n v="0"/>
    <n v="0"/>
    <n v="0"/>
    <n v="9.6"/>
    <n v="0"/>
    <n v="0"/>
    <n v="270.37"/>
    <n v="0"/>
  </r>
  <r>
    <x v="11"/>
    <x v="9"/>
    <x v="0"/>
    <s v="6850501"/>
    <n v="721980"/>
    <s v="Supplies-Other"/>
    <s v="Employee Health Services"/>
    <x v="0"/>
    <m/>
    <n v="0"/>
    <n v="0"/>
    <n v="0"/>
    <n v="0"/>
    <n v="0"/>
    <n v="0"/>
    <n v="0"/>
    <n v="0"/>
    <n v="0"/>
    <n v="0"/>
    <n v="-11404.9"/>
    <n v="0"/>
    <n v="-11404.9"/>
    <n v="-11404.9"/>
  </r>
  <r>
    <x v="11"/>
    <x v="9"/>
    <x v="0"/>
    <s v="6850501"/>
    <n v="722000"/>
    <s v="Supplies-Freight Expense"/>
    <s v="Employee Health Services"/>
    <x v="0"/>
    <m/>
    <n v="0"/>
    <n v="0"/>
    <n v="0"/>
    <n v="0"/>
    <n v="0"/>
    <n v="0"/>
    <n v="0"/>
    <n v="0"/>
    <n v="0"/>
    <n v="0"/>
    <n v="0"/>
    <n v="355.61"/>
    <n v="355.61"/>
    <n v="-355.61"/>
  </r>
  <r>
    <x v="12"/>
    <x v="9"/>
    <x v="0"/>
    <s v="6850501"/>
    <n v="730020"/>
    <s v="Rental and Leases-Copier Usage Fees (DO NOT USE)"/>
    <s v="Employee Health Services"/>
    <x v="0"/>
    <n v="5100"/>
    <n v="343.77"/>
    <n v="356.49"/>
    <n v="350.13"/>
    <n v="350.13"/>
    <n v="350.13"/>
    <n v="350.13"/>
    <n v="30.42"/>
    <n v="323.75"/>
    <n v="323.07"/>
    <n v="333.46"/>
    <n v="323.75"/>
    <n v="358.7"/>
    <n v="3793.9300000000003"/>
    <n v="-34.949999999999989"/>
  </r>
  <r>
    <x v="15"/>
    <x v="9"/>
    <x v="0"/>
    <s v="6850501"/>
    <n v="731060"/>
    <s v="Pagers"/>
    <s v="Employee Health Services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0"/>
  </r>
  <r>
    <x v="16"/>
    <x v="9"/>
    <x v="0"/>
    <s v="6850501"/>
    <n v="732020"/>
    <s v="Repairs--Clin Equip-Parts-Internal to CHI Programs"/>
    <s v="Employee Health Services"/>
    <x v="0"/>
    <m/>
    <n v="0"/>
    <n v="0"/>
    <n v="0"/>
    <n v="0"/>
    <n v="0"/>
    <n v="0"/>
    <n v="0"/>
    <n v="116.62"/>
    <n v="0"/>
    <n v="0"/>
    <n v="0"/>
    <n v="0"/>
    <n v="116.62"/>
    <n v="0"/>
  </r>
  <r>
    <x v="13"/>
    <x v="9"/>
    <x v="0"/>
    <s v="6850501"/>
    <n v="735070"/>
    <s v="Depreciation-Movable Equipment"/>
    <s v="Employee Health Services"/>
    <x v="0"/>
    <m/>
    <n v="118.45"/>
    <n v="118.42"/>
    <n v="118.45"/>
    <n v="118.38"/>
    <n v="118.48"/>
    <n v="118.38"/>
    <n v="118.49"/>
    <n v="118.37"/>
    <n v="118.5"/>
    <n v="118.36"/>
    <n v="118.5"/>
    <n v="118.36"/>
    <n v="1421.1399999999999"/>
    <n v="0.14000000000000057"/>
  </r>
  <r>
    <x v="0"/>
    <x v="9"/>
    <x v="0"/>
    <s v="6850501"/>
    <n v="740020"/>
    <s v="Education-Registration Fees"/>
    <s v="Employee Health Services"/>
    <x v="0"/>
    <m/>
    <n v="0"/>
    <n v="800"/>
    <n v="0"/>
    <n v="0"/>
    <n v="0"/>
    <n v="0"/>
    <n v="0"/>
    <n v="0"/>
    <n v="0"/>
    <n v="0"/>
    <n v="0"/>
    <n v="0"/>
    <n v="800"/>
    <n v="0"/>
  </r>
  <r>
    <x v="0"/>
    <x v="9"/>
    <x v="0"/>
    <s v="6850501"/>
    <n v="743010"/>
    <s v="Dues--Institutional"/>
    <s v="Employee Health Services"/>
    <x v="0"/>
    <m/>
    <n v="0"/>
    <n v="0"/>
    <n v="0"/>
    <n v="0"/>
    <n v="0"/>
    <n v="0"/>
    <n v="0"/>
    <n v="0"/>
    <n v="160"/>
    <n v="0"/>
    <n v="0"/>
    <n v="0"/>
    <n v="160"/>
    <n v="0"/>
  </r>
  <r>
    <x v="0"/>
    <x v="9"/>
    <x v="0"/>
    <s v="6850501"/>
    <n v="743020"/>
    <s v="Dues--Individual"/>
    <s v="Employee Health Services"/>
    <x v="0"/>
    <m/>
    <n v="0"/>
    <n v="0"/>
    <n v="0"/>
    <n v="0"/>
    <n v="0"/>
    <n v="450"/>
    <n v="0"/>
    <n v="0"/>
    <n v="0"/>
    <n v="0"/>
    <n v="0"/>
    <n v="0"/>
    <n v="450"/>
    <n v="0"/>
  </r>
  <r>
    <x v="0"/>
    <x v="9"/>
    <x v="0"/>
    <s v="6850501"/>
    <n v="743030"/>
    <s v="Subscriptions--Institutional"/>
    <s v="Employee Health Services"/>
    <x v="0"/>
    <m/>
    <n v="1148.6199999999999"/>
    <n v="0"/>
    <n v="0"/>
    <n v="0"/>
    <n v="0"/>
    <n v="0"/>
    <n v="586.98"/>
    <n v="0"/>
    <n v="0"/>
    <n v="0"/>
    <n v="35.26"/>
    <n v="127.84"/>
    <n v="1898.6999999999998"/>
    <n v="-92.580000000000013"/>
  </r>
  <r>
    <x v="0"/>
    <x v="9"/>
    <x v="0"/>
    <s v="6850501"/>
    <n v="749510"/>
    <s v="Miscellaneous Expenses"/>
    <s v="Employee Health Services"/>
    <x v="0"/>
    <m/>
    <n v="-387.68"/>
    <n v="215.57"/>
    <n v="-352.39"/>
    <n v="215.89"/>
    <n v="723.95"/>
    <n v="-632.35"/>
    <n v="171.05"/>
    <n v="-470.42"/>
    <n v="-8.1199999999999992"/>
    <n v="428.5"/>
    <n v="-280.60000000000002"/>
    <n v="103.44"/>
    <n v="-273.16000000000003"/>
    <n v="-384.04"/>
  </r>
  <r>
    <x v="0"/>
    <x v="9"/>
    <x v="0"/>
    <s v="6850501"/>
    <n v="749530"/>
    <s v="Travel"/>
    <s v="Employee Health Services"/>
    <x v="0"/>
    <m/>
    <n v="6"/>
    <n v="31"/>
    <n v="1130.19"/>
    <n v="63"/>
    <n v="24"/>
    <n v="110"/>
    <n v="36"/>
    <n v="6"/>
    <n v="506.39"/>
    <n v="0"/>
    <n v="57"/>
    <n v="8"/>
    <n v="1977.58"/>
    <n v="49"/>
  </r>
  <r>
    <x v="0"/>
    <x v="9"/>
    <x v="0"/>
    <s v="6850501"/>
    <n v="749530"/>
    <s v="Mileage"/>
    <s v="Employee Health Services"/>
    <x v="0"/>
    <n v="1001"/>
    <n v="130.28"/>
    <n v="581.58000000000004"/>
    <n v="794.7"/>
    <n v="875.36"/>
    <n v="724.99"/>
    <n v="1198.56"/>
    <n v="315.77"/>
    <n v="472.54"/>
    <n v="648.96"/>
    <n v="182.7"/>
    <n v="1001.66"/>
    <n v="504.02"/>
    <n v="7431.119999999999"/>
    <n v="497.64"/>
  </r>
  <r>
    <x v="0"/>
    <x v="9"/>
    <x v="0"/>
    <s v="6850501"/>
    <n v="749535"/>
    <s v="Meetings"/>
    <s v="Employee Health Services"/>
    <x v="0"/>
    <m/>
    <n v="0"/>
    <n v="0"/>
    <n v="0"/>
    <n v="0"/>
    <n v="0"/>
    <n v="0"/>
    <n v="0"/>
    <n v="0"/>
    <n v="114.81"/>
    <n v="0"/>
    <n v="67.13"/>
    <n v="0"/>
    <n v="181.94"/>
    <n v="67.13"/>
  </r>
  <r>
    <x v="5"/>
    <x v="9"/>
    <x v="0"/>
    <s v="6855501"/>
    <n v="700014"/>
    <s v="Salaries-Management-Productive"/>
    <s v="Employee Wellness Services"/>
    <x v="0"/>
    <m/>
    <n v="8187.87"/>
    <n v="6528.57"/>
    <n v="7247.75"/>
    <n v="8361.1200000000008"/>
    <n v="8506.06"/>
    <n v="5727.73"/>
    <n v="8291.9699999999993"/>
    <n v="7411.34"/>
    <n v="6559.49"/>
    <n v="7155.6"/>
    <n v="9370.65"/>
    <n v="5707.74"/>
    <n v="89055.89"/>
    <n v="3662.91"/>
  </r>
  <r>
    <x v="5"/>
    <x v="9"/>
    <x v="0"/>
    <s v="6855501"/>
    <n v="700054"/>
    <s v="Salaries-Management-Non-productive"/>
    <s v="Employee Wellness Services"/>
    <x v="0"/>
    <m/>
    <n v="387.28"/>
    <n v="2046.96"/>
    <n v="1051.28"/>
    <n v="387.28"/>
    <n v="0"/>
    <n v="3062.14"/>
    <n v="511.67"/>
    <n v="539.51"/>
    <n v="2243.31"/>
    <n v="1362.93"/>
    <n v="-567.84"/>
    <n v="2811.2"/>
    <n v="13835.719999999998"/>
    <n v="-3379.04"/>
  </r>
  <r>
    <x v="5"/>
    <x v="9"/>
    <x v="0"/>
    <s v="6855501"/>
    <n v="700054"/>
    <s v="Salaries-Management-NonProd-Other"/>
    <s v="Employee Wellness Services"/>
    <x v="0"/>
    <n v="2000"/>
    <n v="0"/>
    <n v="0"/>
    <n v="0"/>
    <n v="0"/>
    <n v="0"/>
    <n v="365.36"/>
    <n v="-365.36"/>
    <n v="0"/>
    <n v="0"/>
    <n v="0"/>
    <n v="0"/>
    <n v="0"/>
    <n v="0"/>
    <n v="0"/>
  </r>
  <r>
    <x v="5"/>
    <x v="9"/>
    <x v="0"/>
    <s v="6855501"/>
    <n v="700084"/>
    <s v="Accrued PTO"/>
    <s v="Employee Wellness Services"/>
    <x v="0"/>
    <m/>
    <n v="1343.98"/>
    <n v="880.52"/>
    <n v="-260.93"/>
    <n v="1365.1"/>
    <n v="1320.38"/>
    <n v="-798.38"/>
    <n v="526.47"/>
    <n v="923.42"/>
    <n v="-1061.3699999999999"/>
    <n v="526.47"/>
    <n v="1319.89"/>
    <n v="-797.89"/>
    <n v="5287.6600000000008"/>
    <n v="2117.7800000000002"/>
  </r>
  <r>
    <x v="6"/>
    <x v="9"/>
    <x v="0"/>
    <s v="6855501"/>
    <n v="713010"/>
    <s v="Benefits-FICA/Medicare"/>
    <s v="Employee Wellness Services"/>
    <x v="0"/>
    <m/>
    <n v="644.52"/>
    <n v="644.57000000000005"/>
    <n v="623.74"/>
    <n v="657.79"/>
    <n v="641.73"/>
    <n v="688.81"/>
    <n v="688.81"/>
    <n v="596.89"/>
    <n v="660.84"/>
    <n v="639.58000000000004"/>
    <n v="660.84"/>
    <n v="639.52"/>
    <n v="7787.6399999999994"/>
    <n v="21.32000000000005"/>
  </r>
  <r>
    <x v="6"/>
    <x v="9"/>
    <x v="0"/>
    <s v="6855501"/>
    <n v="713090"/>
    <s v="Benefits-Allocated Amounts"/>
    <s v="Employee Wellness Services"/>
    <x v="0"/>
    <m/>
    <n v="1474.5"/>
    <n v="1328.74"/>
    <n v="1351.26"/>
    <n v="1338.54"/>
    <n v="1293.9100000000001"/>
    <n v="1401.7"/>
    <n v="1537.75"/>
    <n v="1389.64"/>
    <n v="1595.74"/>
    <n v="1520.84"/>
    <n v="1592.32"/>
    <n v="1379.67"/>
    <n v="17204.61"/>
    <n v="212.64999999999986"/>
  </r>
  <r>
    <x v="6"/>
    <x v="9"/>
    <x v="0"/>
    <s v="6855501"/>
    <n v="713096"/>
    <s v="Employee Recognition"/>
    <s v="Employee Wellness Services"/>
    <x v="0"/>
    <n v="1017"/>
    <n v="0"/>
    <n v="0"/>
    <n v="0"/>
    <n v="32.99"/>
    <n v="0"/>
    <n v="0"/>
    <n v="0"/>
    <n v="0"/>
    <n v="0"/>
    <n v="0"/>
    <n v="0"/>
    <n v="11302.5"/>
    <n v="11335.49"/>
    <n v="-11302.5"/>
  </r>
  <r>
    <x v="7"/>
    <x v="9"/>
    <x v="0"/>
    <s v="6855501"/>
    <n v="718050"/>
    <s v="Miscellaneous Purchased Svcs"/>
    <s v="Employee Wellness Services"/>
    <x v="0"/>
    <n v="1020"/>
    <n v="3769.9"/>
    <n v="170.61"/>
    <n v="7149.32"/>
    <n v="0"/>
    <n v="9115.51"/>
    <n v="2964.55"/>
    <n v="401.87"/>
    <n v="700.41"/>
    <n v="10022.76"/>
    <n v="4057.43"/>
    <n v="0"/>
    <n v="511.68"/>
    <n v="38864.04"/>
    <n v="-511.68"/>
  </r>
  <r>
    <x v="11"/>
    <x v="9"/>
    <x v="0"/>
    <s v="6855501"/>
    <n v="721830"/>
    <s v="Supplies-Office"/>
    <s v="Employee Wellness Services"/>
    <x v="0"/>
    <m/>
    <n v="0"/>
    <n v="0"/>
    <n v="0"/>
    <n v="0"/>
    <n v="0"/>
    <n v="0"/>
    <n v="0"/>
    <n v="0"/>
    <n v="540"/>
    <n v="-540"/>
    <n v="0"/>
    <n v="0"/>
    <n v="0"/>
    <n v="0"/>
  </r>
  <r>
    <x v="11"/>
    <x v="9"/>
    <x v="0"/>
    <s v="6855501"/>
    <n v="721835"/>
    <s v="Supplies-Forms"/>
    <s v="Employee Wellness Services"/>
    <x v="0"/>
    <m/>
    <n v="0"/>
    <n v="0"/>
    <n v="0"/>
    <n v="0"/>
    <n v="28"/>
    <n v="0"/>
    <n v="0"/>
    <n v="0"/>
    <n v="0"/>
    <n v="0"/>
    <n v="0"/>
    <n v="0"/>
    <n v="28"/>
    <n v="0"/>
  </r>
  <r>
    <x v="11"/>
    <x v="9"/>
    <x v="0"/>
    <s v="6855501"/>
    <n v="721910"/>
    <s v="Supplies-Small Equipment"/>
    <s v="Employee Wellness Services"/>
    <x v="0"/>
    <m/>
    <n v="0"/>
    <n v="0"/>
    <n v="0"/>
    <n v="-454.71"/>
    <n v="0"/>
    <n v="0"/>
    <n v="0"/>
    <n v="0"/>
    <n v="0"/>
    <n v="0"/>
    <n v="0"/>
    <n v="0"/>
    <n v="-454.71"/>
    <n v="0"/>
  </r>
  <r>
    <x v="0"/>
    <x v="9"/>
    <x v="0"/>
    <s v="6855501"/>
    <n v="740020"/>
    <s v="Education-Registration Fees"/>
    <s v="Employee Wellness Services"/>
    <x v="0"/>
    <m/>
    <n v="0"/>
    <n v="0"/>
    <n v="0"/>
    <n v="0"/>
    <n v="0"/>
    <n v="0"/>
    <n v="0"/>
    <n v="0"/>
    <n v="522.30999999999995"/>
    <n v="-522.30999999999995"/>
    <n v="0"/>
    <n v="0"/>
    <n v="0"/>
    <n v="0"/>
  </r>
  <r>
    <x v="0"/>
    <x v="9"/>
    <x v="0"/>
    <s v="6855501"/>
    <n v="749510"/>
    <s v="Miscellaneous Expenses"/>
    <s v="Employee Wellness Services"/>
    <x v="0"/>
    <m/>
    <n v="0"/>
    <n v="0"/>
    <n v="0"/>
    <n v="0"/>
    <n v="168.94"/>
    <n v="326.7"/>
    <n v="-495.64"/>
    <n v="201.55"/>
    <n v="-201.55"/>
    <n v="0"/>
    <n v="0"/>
    <n v="1103.92"/>
    <n v="1103.92"/>
    <n v="-1103.92"/>
  </r>
  <r>
    <x v="0"/>
    <x v="9"/>
    <x v="0"/>
    <s v="6855501"/>
    <n v="749510"/>
    <s v="Licenses"/>
    <s v="Employee Wellness Services"/>
    <x v="0"/>
    <n v="1002"/>
    <n v="0"/>
    <n v="0"/>
    <n v="0"/>
    <n v="454.71"/>
    <n v="0"/>
    <n v="0"/>
    <n v="0"/>
    <n v="0"/>
    <n v="0"/>
    <n v="0"/>
    <n v="0"/>
    <n v="0"/>
    <n v="454.71"/>
    <n v="0"/>
  </r>
  <r>
    <x v="0"/>
    <x v="9"/>
    <x v="0"/>
    <s v="6855501"/>
    <n v="749510"/>
    <s v="RICE Rewards"/>
    <s v="Employee Wellness Services"/>
    <x v="0"/>
    <n v="5100"/>
    <n v="0"/>
    <n v="0"/>
    <n v="0"/>
    <n v="0"/>
    <n v="0"/>
    <n v="0"/>
    <n v="0"/>
    <n v="0"/>
    <n v="0"/>
    <n v="0"/>
    <n v="0"/>
    <n v="100"/>
    <n v="100"/>
    <n v="-100"/>
  </r>
  <r>
    <x v="0"/>
    <x v="9"/>
    <x v="0"/>
    <s v="6855501"/>
    <n v="749530"/>
    <s v="Travel"/>
    <s v="Employee Wellness Services"/>
    <x v="0"/>
    <m/>
    <n v="0"/>
    <n v="0"/>
    <n v="0"/>
    <n v="78.19"/>
    <n v="0"/>
    <n v="0"/>
    <n v="0"/>
    <n v="0"/>
    <n v="0"/>
    <n v="0"/>
    <n v="0"/>
    <n v="0"/>
    <n v="78.19"/>
    <n v="0"/>
  </r>
  <r>
    <x v="14"/>
    <x v="9"/>
    <x v="0"/>
    <s v="6860501"/>
    <n v="600050"/>
    <s v="Miscellaneous Revenue"/>
    <s v="Volunteer Services"/>
    <x v="0"/>
    <m/>
    <n v="-300"/>
    <n v="-820"/>
    <n v="-645"/>
    <n v="-340"/>
    <n v="-220"/>
    <n v="-440"/>
    <n v="-340"/>
    <n v="-480"/>
    <n v="-480"/>
    <n v="-780"/>
    <n v="-280"/>
    <n v="-420"/>
    <n v="-5545"/>
    <n v="140"/>
  </r>
  <r>
    <x v="20"/>
    <x v="9"/>
    <x v="0"/>
    <s v="6860501"/>
    <n v="610010"/>
    <s v="Foundation Distributions"/>
    <s v="Volunteer Services"/>
    <x v="0"/>
    <n v="1175"/>
    <n v="-22170.93"/>
    <n v="-2431.4499999999998"/>
    <n v="-22363.69"/>
    <n v="-935.23"/>
    <n v="-38.619999999999997"/>
    <n v="0"/>
    <n v="-1284.92"/>
    <n v="0"/>
    <n v="0"/>
    <n v="-800.04"/>
    <n v="-1355"/>
    <n v="-925"/>
    <n v="-52304.880000000005"/>
    <n v="-430"/>
  </r>
  <r>
    <x v="5"/>
    <x v="9"/>
    <x v="0"/>
    <s v="6860501"/>
    <n v="700014"/>
    <s v="Salaries-Management-Productive"/>
    <s v="Volunteer Services"/>
    <x v="0"/>
    <m/>
    <n v="6527.66"/>
    <n v="5635.35"/>
    <n v="8815.52"/>
    <n v="8912.4599999999991"/>
    <n v="7904.32"/>
    <n v="5414.59"/>
    <n v="8061.47"/>
    <n v="7568.16"/>
    <n v="9134.01"/>
    <n v="8002.91"/>
    <n v="9278.98"/>
    <n v="7481.33"/>
    <n v="92736.76"/>
    <n v="1797.6499999999996"/>
  </r>
  <r>
    <x v="5"/>
    <x v="9"/>
    <x v="0"/>
    <s v="6860501"/>
    <n v="700034"/>
    <s v="Salaries-Tech/Professional-Productive"/>
    <s v="Volunteer Services"/>
    <x v="0"/>
    <m/>
    <n v="8841.5"/>
    <n v="10010.76"/>
    <n v="7007.86"/>
    <n v="-1170.68"/>
    <n v="0"/>
    <n v="0"/>
    <n v="0"/>
    <n v="0"/>
    <n v="0"/>
    <n v="0"/>
    <n v="0"/>
    <n v="0"/>
    <n v="24689.440000000002"/>
    <n v="0"/>
  </r>
  <r>
    <x v="5"/>
    <x v="9"/>
    <x v="0"/>
    <s v="6860501"/>
    <n v="700034"/>
    <s v="Salaries-Tech/Professional-Other"/>
    <s v="Volunteer Services"/>
    <x v="0"/>
    <n v="2000"/>
    <n v="0"/>
    <n v="0"/>
    <n v="30"/>
    <n v="0"/>
    <n v="0"/>
    <n v="0"/>
    <n v="0"/>
    <n v="0"/>
    <n v="0"/>
    <n v="0"/>
    <n v="0"/>
    <n v="0"/>
    <n v="30"/>
    <n v="0"/>
  </r>
  <r>
    <x v="5"/>
    <x v="9"/>
    <x v="0"/>
    <s v="6860501"/>
    <n v="700038"/>
    <s v="Salaries-Service/Support-Productive"/>
    <s v="Volunteer Services"/>
    <x v="0"/>
    <m/>
    <n v="24708.99"/>
    <n v="28683.39"/>
    <n v="28315.23"/>
    <n v="24364.21"/>
    <n v="35049.57"/>
    <n v="22177.23"/>
    <n v="27794.26"/>
    <n v="25868.28"/>
    <n v="32664.66"/>
    <n v="29980.55"/>
    <n v="29376.75"/>
    <n v="27687.1"/>
    <n v="336670.22000000003"/>
    <n v="1689.6500000000015"/>
  </r>
  <r>
    <x v="5"/>
    <x v="9"/>
    <x v="0"/>
    <s v="6860501"/>
    <n v="700054"/>
    <s v="Salaries-Management-Non-productive"/>
    <s v="Volunteer Services"/>
    <x v="0"/>
    <m/>
    <n v="2120.11"/>
    <n v="3012.82"/>
    <n v="-446.21"/>
    <n v="0"/>
    <n v="781.73"/>
    <n v="3561.29"/>
    <n v="928.44"/>
    <n v="550.91"/>
    <n v="-144.96"/>
    <n v="695.88"/>
    <n v="-289.92"/>
    <n v="1217.8599999999999"/>
    <n v="11987.950000000003"/>
    <n v="-1507.78"/>
  </r>
  <r>
    <x v="5"/>
    <x v="9"/>
    <x v="0"/>
    <s v="6860501"/>
    <n v="700054"/>
    <s v="Salaries-Management-NonProd-Other"/>
    <s v="Volunteer Services"/>
    <x v="0"/>
    <n v="2000"/>
    <n v="0"/>
    <n v="0"/>
    <n v="0"/>
    <n v="0"/>
    <n v="276.14"/>
    <n v="40.57"/>
    <n v="-23"/>
    <n v="-293.70999999999998"/>
    <n v="0"/>
    <n v="0"/>
    <n v="0"/>
    <n v="0"/>
    <n v="0"/>
    <n v="0"/>
  </r>
  <r>
    <x v="5"/>
    <x v="9"/>
    <x v="0"/>
    <s v="6860501"/>
    <n v="700074"/>
    <s v="Salaries-Tech/Professional-Non-productive"/>
    <s v="Volunteer Services"/>
    <x v="0"/>
    <m/>
    <n v="1761.85"/>
    <n v="593.07000000000005"/>
    <n v="997.24"/>
    <n v="0"/>
    <n v="0"/>
    <n v="0"/>
    <n v="0"/>
    <n v="0"/>
    <n v="0"/>
    <n v="0"/>
    <n v="0"/>
    <n v="0"/>
    <n v="3352.16"/>
    <n v="0"/>
  </r>
  <r>
    <x v="5"/>
    <x v="9"/>
    <x v="0"/>
    <s v="6860501"/>
    <n v="700078"/>
    <s v="Salaries-Service/Support-Non-productive"/>
    <s v="Volunteer Services"/>
    <x v="0"/>
    <m/>
    <n v="7836.7"/>
    <n v="3848.49"/>
    <n v="3197.84"/>
    <n v="8849.09"/>
    <n v="-2770.32"/>
    <n v="11186.85"/>
    <n v="5619.46"/>
    <n v="4302.2"/>
    <n v="747.21"/>
    <n v="2344.19"/>
    <n v="4042.99"/>
    <n v="4639.76"/>
    <n v="53844.46"/>
    <n v="-596.77000000000044"/>
  </r>
  <r>
    <x v="5"/>
    <x v="9"/>
    <x v="0"/>
    <s v="6860501"/>
    <n v="700078"/>
    <s v="Salaries-Service/Support-NonProd-Other"/>
    <s v="Volunteer Services"/>
    <x v="0"/>
    <n v="2000"/>
    <n v="0"/>
    <n v="0"/>
    <n v="0"/>
    <n v="0"/>
    <n v="299.42"/>
    <n v="0"/>
    <n v="0"/>
    <n v="-299.42"/>
    <n v="0"/>
    <n v="0"/>
    <n v="0"/>
    <n v="0"/>
    <n v="0"/>
    <n v="0"/>
  </r>
  <r>
    <x v="5"/>
    <x v="9"/>
    <x v="0"/>
    <s v="6860501"/>
    <n v="700084"/>
    <s v="Accrued PTO"/>
    <s v="Volunteer Services"/>
    <x v="0"/>
    <m/>
    <n v="-3690.66"/>
    <n v="-29.72"/>
    <n v="-2018.86"/>
    <n v="792.91"/>
    <n v="4330.7299999999996"/>
    <n v="-6109.21"/>
    <n v="-1873.68"/>
    <n v="1942.42"/>
    <n v="4062.97"/>
    <n v="3150.06"/>
    <n v="1645.09"/>
    <n v="-371.78"/>
    <n v="1830.2700000000002"/>
    <n v="2016.87"/>
  </r>
  <r>
    <x v="6"/>
    <x v="9"/>
    <x v="0"/>
    <s v="6860501"/>
    <n v="713010"/>
    <s v="Benefits-FICA/Medicare"/>
    <s v="Volunteer Services"/>
    <x v="0"/>
    <m/>
    <n v="3777.64"/>
    <n v="3776.78"/>
    <n v="3489.02"/>
    <n v="2934.22"/>
    <n v="3085.12"/>
    <n v="3022.53"/>
    <n v="3072.03"/>
    <n v="2772.38"/>
    <n v="3070.26"/>
    <n v="2970.54"/>
    <n v="3070.77"/>
    <n v="2970.54"/>
    <n v="38011.829999999994"/>
    <n v="100.23000000000002"/>
  </r>
  <r>
    <x v="6"/>
    <x v="9"/>
    <x v="0"/>
    <s v="6860501"/>
    <n v="713090"/>
    <s v="Benefits-Allocated Amounts"/>
    <s v="Volunteer Services"/>
    <x v="0"/>
    <m/>
    <n v="10994.29"/>
    <n v="10196.23"/>
    <n v="10354.51"/>
    <n v="7936.83"/>
    <n v="7969.24"/>
    <n v="8722.6200000000008"/>
    <n v="9220.2800000000007"/>
    <n v="8987.31"/>
    <n v="9865.84"/>
    <n v="9277.84"/>
    <n v="9405.02"/>
    <n v="9112.76"/>
    <n v="112042.76999999999"/>
    <n v="292.26000000000022"/>
  </r>
  <r>
    <x v="6"/>
    <x v="9"/>
    <x v="0"/>
    <s v="6860501"/>
    <n v="713096"/>
    <s v="Employee Recognition"/>
    <s v="Volunteer Services"/>
    <x v="0"/>
    <n v="1017"/>
    <n v="0"/>
    <n v="0"/>
    <n v="0"/>
    <n v="0"/>
    <n v="39"/>
    <n v="195.02"/>
    <n v="0"/>
    <n v="0"/>
    <n v="0"/>
    <n v="0"/>
    <n v="32.94"/>
    <n v="184.42"/>
    <n v="451.38"/>
    <n v="-151.47999999999999"/>
  </r>
  <r>
    <x v="7"/>
    <x v="9"/>
    <x v="0"/>
    <s v="6860501"/>
    <n v="718050"/>
    <s v="Contract Svcs-Other"/>
    <s v="Volunteer Services"/>
    <x v="0"/>
    <m/>
    <n v="0"/>
    <n v="0"/>
    <n v="0"/>
    <n v="0"/>
    <n v="0"/>
    <n v="901.6"/>
    <n v="0"/>
    <n v="0"/>
    <n v="0"/>
    <n v="0"/>
    <n v="0"/>
    <n v="0"/>
    <n v="901.6"/>
    <n v="0"/>
  </r>
  <r>
    <x v="11"/>
    <x v="9"/>
    <x v="0"/>
    <s v="6860501"/>
    <n v="721810"/>
    <s v="Supplies-Dietary/Cafeteria"/>
    <s v="Volunteer Services"/>
    <x v="0"/>
    <m/>
    <n v="2655.99"/>
    <n v="1665.5"/>
    <n v="2306.52"/>
    <n v="2660.82"/>
    <n v="1546.5"/>
    <n v="1864.71"/>
    <n v="2507.6799999999998"/>
    <n v="1873.22"/>
    <n v="2394.9699999999998"/>
    <n v="2399.52"/>
    <n v="3085.42"/>
    <n v="2855.17"/>
    <n v="27816.020000000004"/>
    <n v="230.25"/>
  </r>
  <r>
    <x v="11"/>
    <x v="9"/>
    <x v="0"/>
    <s v="6860501"/>
    <n v="721830"/>
    <s v="Supplies-Office"/>
    <s v="Volunteer Services"/>
    <x v="0"/>
    <m/>
    <n v="451.83"/>
    <n v="135.06"/>
    <n v="106.06"/>
    <n v="606.79"/>
    <n v="34.82"/>
    <n v="1189.26"/>
    <n v="49.95"/>
    <n v="14.59"/>
    <n v="0"/>
    <n v="319.33999999999997"/>
    <n v="33.82"/>
    <n v="36.770000000000003"/>
    <n v="2978.29"/>
    <n v="-2.9500000000000028"/>
  </r>
  <r>
    <x v="11"/>
    <x v="9"/>
    <x v="0"/>
    <s v="6860501"/>
    <n v="721835"/>
    <s v="Supplies-Forms"/>
    <s v="Volunteer Services"/>
    <x v="0"/>
    <m/>
    <n v="0"/>
    <n v="0"/>
    <n v="0"/>
    <n v="0"/>
    <n v="368.58"/>
    <n v="17.54"/>
    <n v="0"/>
    <n v="0"/>
    <n v="128.21"/>
    <n v="0.91"/>
    <n v="266.16000000000003"/>
    <n v="2.4"/>
    <n v="783.80000000000007"/>
    <n v="263.76000000000005"/>
  </r>
  <r>
    <x v="11"/>
    <x v="9"/>
    <x v="0"/>
    <s v="6860501"/>
    <n v="721910"/>
    <s v="Supplies-Small Equipment"/>
    <s v="Volunteer Services"/>
    <x v="0"/>
    <m/>
    <n v="0"/>
    <n v="0"/>
    <n v="0"/>
    <n v="0"/>
    <n v="0"/>
    <n v="0"/>
    <n v="0"/>
    <n v="0"/>
    <n v="0"/>
    <n v="450.14"/>
    <n v="0"/>
    <n v="0"/>
    <n v="450.14"/>
    <n v="0"/>
  </r>
  <r>
    <x v="11"/>
    <x v="9"/>
    <x v="0"/>
    <s v="6860501"/>
    <n v="721980"/>
    <s v="Supplies-Other"/>
    <s v="Volunteer Services"/>
    <x v="0"/>
    <m/>
    <n v="0"/>
    <n v="0"/>
    <n v="0"/>
    <n v="0"/>
    <n v="0"/>
    <n v="0"/>
    <n v="0"/>
    <n v="124.28"/>
    <n v="0"/>
    <n v="0"/>
    <n v="0"/>
    <n v="0"/>
    <n v="124.28"/>
    <n v="0"/>
  </r>
  <r>
    <x v="11"/>
    <x v="9"/>
    <x v="0"/>
    <s v="6860501"/>
    <n v="722000"/>
    <s v="Supplies-Freight Expense"/>
    <s v="Volunteer Services"/>
    <x v="0"/>
    <m/>
    <n v="0"/>
    <n v="0"/>
    <n v="0"/>
    <n v="0"/>
    <n v="0"/>
    <n v="8.5399999999999991"/>
    <n v="8.01"/>
    <n v="0"/>
    <n v="0"/>
    <n v="0"/>
    <n v="0"/>
    <n v="0"/>
    <n v="16.549999999999997"/>
    <n v="0"/>
  </r>
  <r>
    <x v="12"/>
    <x v="9"/>
    <x v="0"/>
    <s v="6860501"/>
    <n v="730020"/>
    <s v="Rental and Leases-Copier Usage Fees (DO NOT USE)"/>
    <s v="Volunteer Services"/>
    <x v="0"/>
    <n v="5100"/>
    <n v="1580.56"/>
    <n v="1832.49"/>
    <n v="1706.52"/>
    <n v="1706.52"/>
    <n v="1706.52"/>
    <n v="1706.52"/>
    <n v="543.97"/>
    <n v="1921.3"/>
    <n v="1385.33"/>
    <n v="1387.53"/>
    <n v="1389.36"/>
    <n v="1603.4"/>
    <n v="18470.02"/>
    <n v="-214.04000000000019"/>
  </r>
  <r>
    <x v="13"/>
    <x v="9"/>
    <x v="0"/>
    <s v="6860501"/>
    <n v="735060"/>
    <s v="Depreciation-Fixed Equipment"/>
    <s v="Volunteer Services"/>
    <x v="0"/>
    <m/>
    <n v="8.73"/>
    <n v="8.73"/>
    <n v="8.73"/>
    <n v="8.73"/>
    <n v="8.73"/>
    <n v="8.73"/>
    <n v="8.73"/>
    <n v="8.73"/>
    <n v="8.74"/>
    <n v="8.73"/>
    <n v="8.74"/>
    <n v="8.73"/>
    <n v="104.78000000000002"/>
    <n v="9.9999999999997868E-3"/>
  </r>
  <r>
    <x v="13"/>
    <x v="9"/>
    <x v="0"/>
    <s v="6860501"/>
    <n v="735070"/>
    <s v="Depreciation-Movable Equipment"/>
    <s v="Volunteer Services"/>
    <x v="0"/>
    <m/>
    <n v="59.32"/>
    <n v="59.24"/>
    <n v="59.33"/>
    <n v="59.24"/>
    <n v="59.33"/>
    <n v="59.24"/>
    <n v="59.33"/>
    <n v="59.22"/>
    <n v="59.33"/>
    <n v="59.22"/>
    <n v="59.33"/>
    <n v="59.21"/>
    <n v="711.34000000000015"/>
    <n v="0.11999999999999744"/>
  </r>
  <r>
    <x v="0"/>
    <x v="9"/>
    <x v="0"/>
    <s v="6860501"/>
    <n v="749510"/>
    <s v="Miscellaneous Expenses"/>
    <s v="Volunteer Services"/>
    <x v="0"/>
    <m/>
    <n v="12157.9"/>
    <n v="1181.93"/>
    <n v="1331.66"/>
    <n v="2012.28"/>
    <n v="401.21"/>
    <n v="-166.11"/>
    <n v="2030.21"/>
    <n v="110.11"/>
    <n v="677.7"/>
    <n v="1124.8800000000001"/>
    <n v="1934"/>
    <n v="4953.32"/>
    <n v="27749.09"/>
    <n v="-3019.3199999999997"/>
  </r>
  <r>
    <x v="0"/>
    <x v="9"/>
    <x v="0"/>
    <s v="6860501"/>
    <n v="749510"/>
    <s v="Miscellaneous Expense"/>
    <s v="Volunteer Services"/>
    <x v="0"/>
    <n v="1009"/>
    <n v="771.75"/>
    <n v="0"/>
    <n v="0"/>
    <n v="0"/>
    <n v="0"/>
    <n v="0"/>
    <n v="0"/>
    <n v="0"/>
    <n v="0"/>
    <n v="0"/>
    <n v="0"/>
    <n v="0"/>
    <n v="771.75"/>
    <n v="0"/>
  </r>
  <r>
    <x v="0"/>
    <x v="9"/>
    <x v="0"/>
    <s v="6860501"/>
    <n v="749510"/>
    <s v="RICE Rewards"/>
    <s v="Volunteer Services"/>
    <x v="0"/>
    <n v="5100"/>
    <n v="0"/>
    <n v="0"/>
    <n v="0"/>
    <n v="0"/>
    <n v="0"/>
    <n v="0"/>
    <n v="0"/>
    <n v="0"/>
    <n v="0"/>
    <n v="0"/>
    <n v="0"/>
    <n v="287.82"/>
    <n v="287.82"/>
    <n v="-287.82"/>
  </r>
  <r>
    <x v="0"/>
    <x v="9"/>
    <x v="0"/>
    <s v="6860501"/>
    <n v="749530"/>
    <s v="Travel"/>
    <s v="Volunteer Services"/>
    <x v="0"/>
    <m/>
    <n v="0"/>
    <n v="179.06"/>
    <n v="192.4"/>
    <n v="148.22999999999999"/>
    <n v="0"/>
    <n v="333.74"/>
    <n v="0"/>
    <n v="72.61"/>
    <n v="13"/>
    <n v="77.55"/>
    <n v="8"/>
    <n v="26"/>
    <n v="1050.5900000000001"/>
    <n v="-18"/>
  </r>
  <r>
    <x v="0"/>
    <x v="9"/>
    <x v="0"/>
    <s v="6860501"/>
    <n v="749530"/>
    <s v="Mileage"/>
    <s v="Volunteer Services"/>
    <x v="0"/>
    <n v="1001"/>
    <n v="0"/>
    <n v="160.80000000000001"/>
    <n v="306.33"/>
    <n v="316.14"/>
    <n v="264.35000000000002"/>
    <n v="341.73"/>
    <n v="34.340000000000003"/>
    <n v="265.7"/>
    <n v="201.84"/>
    <n v="314.36"/>
    <n v="210.54"/>
    <n v="584.64"/>
    <n v="3000.7699999999995"/>
    <n v="-374.1"/>
  </r>
  <r>
    <x v="0"/>
    <x v="9"/>
    <x v="0"/>
    <s v="6860501"/>
    <n v="749535"/>
    <s v="Meetings"/>
    <s v="Volunteer Services"/>
    <x v="0"/>
    <m/>
    <n v="0"/>
    <n v="0"/>
    <n v="0"/>
    <n v="0"/>
    <n v="0"/>
    <n v="0"/>
    <n v="0"/>
    <n v="0"/>
    <n v="0"/>
    <n v="0"/>
    <n v="0"/>
    <n v="10.99"/>
    <n v="10.99"/>
    <n v="-10.99"/>
  </r>
  <r>
    <x v="5"/>
    <x v="3"/>
    <x v="0"/>
    <s v="6870101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70101"/>
    <n v="700018"/>
    <s v="Salaries-Supervisory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70101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70101"/>
    <n v="700034"/>
    <s v="Salaries-Tech/Professional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6870101"/>
    <n v="700054"/>
    <s v="Salaries-Management-NonProd-Other"/>
    <s v="Employee Benefits"/>
    <x v="0"/>
    <n v="2000"/>
    <n v="0"/>
    <n v="0"/>
    <n v="0"/>
    <n v="0"/>
    <n v="0"/>
    <n v="0"/>
    <n v="-13245.06"/>
    <n v="13245.06"/>
    <n v="0"/>
    <n v="0"/>
    <n v="0"/>
    <n v="0"/>
    <n v="0"/>
    <n v="0"/>
  </r>
  <r>
    <x v="5"/>
    <x v="3"/>
    <x v="0"/>
    <s v="6870101"/>
    <n v="700066"/>
    <s v="Salaries-RN-NonProd-Other"/>
    <s v="Employee Benefits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6870101"/>
    <n v="713010"/>
    <s v="Benefits-FICA/Medicare"/>
    <s v="Employee Benefits"/>
    <x v="0"/>
    <m/>
    <n v="6471.86"/>
    <n v="6548.74"/>
    <n v="6005.37"/>
    <n v="6471.09"/>
    <n v="6400"/>
    <n v="5999.91"/>
    <n v="8085.81"/>
    <n v="5726.87"/>
    <n v="6889.78"/>
    <n v="8688.98"/>
    <n v="6110.59"/>
    <n v="5964.61"/>
    <n v="79363.61"/>
    <n v="145.98000000000047"/>
  </r>
  <r>
    <x v="6"/>
    <x v="3"/>
    <x v="0"/>
    <s v="6870101"/>
    <n v="713022"/>
    <s v="Benefits-State Unemployment"/>
    <s v="Employee Benefits"/>
    <x v="0"/>
    <m/>
    <n v="52446.35"/>
    <n v="-8338.2900000000009"/>
    <n v="41546.58"/>
    <n v="80371.58"/>
    <n v="41426.29"/>
    <n v="41426.300000000003"/>
    <n v="42161.38"/>
    <n v="44825.919999999998"/>
    <n v="44825.919999999998"/>
    <n v="-2784.62"/>
    <n v="41689.25"/>
    <n v="41689.25"/>
    <n v="461285.91"/>
    <n v="0"/>
  </r>
  <r>
    <x v="6"/>
    <x v="3"/>
    <x v="0"/>
    <s v="6870101"/>
    <n v="713030"/>
    <s v="Benefits-Workers Comp-CHI Programs"/>
    <s v="Employee Benefits"/>
    <x v="0"/>
    <m/>
    <n v="245580.39"/>
    <n v="245579.55"/>
    <n v="245579.97"/>
    <n v="245579.97"/>
    <n v="245579.97"/>
    <n v="245579.97"/>
    <n v="245579.97"/>
    <n v="245579.97"/>
    <n v="245579.97"/>
    <n v="245579.97"/>
    <n v="245579.97"/>
    <n v="245579.97"/>
    <n v="2946959.6400000006"/>
    <n v="0"/>
  </r>
  <r>
    <x v="6"/>
    <x v="3"/>
    <x v="0"/>
    <s v="6870101"/>
    <n v="713031"/>
    <s v="Benefits-Workers Comp-Ext to CHI Programs"/>
    <s v="Employee Benefits"/>
    <x v="0"/>
    <m/>
    <n v="-7399.69"/>
    <n v="-11118.64"/>
    <n v="-7701.97"/>
    <n v="-7919.68"/>
    <n v="-7826.06"/>
    <n v="-7712.21"/>
    <n v="-7690.75"/>
    <n v="-8557.35"/>
    <n v="-13026.38"/>
    <n v="-8781.4500000000007"/>
    <n v="-8650.58"/>
    <n v="-8524.43"/>
    <n v="-104909.19"/>
    <n v="-126.14999999999964"/>
  </r>
  <r>
    <x v="6"/>
    <x v="3"/>
    <x v="0"/>
    <s v="6870101"/>
    <n v="713034"/>
    <s v="Benefits-Flex Credits"/>
    <s v="Employee Benefits"/>
    <x v="0"/>
    <m/>
    <n v="37374.39"/>
    <n v="37780.43"/>
    <n v="37698.050000000003"/>
    <n v="39532.410000000003"/>
    <n v="45551.53"/>
    <n v="35243.5"/>
    <n v="41209.61"/>
    <n v="37534.129999999997"/>
    <n v="44949.91"/>
    <n v="42990.82"/>
    <n v="38474.46"/>
    <n v="36085.550000000003"/>
    <n v="474424.7900000001"/>
    <n v="2388.9099999999962"/>
  </r>
  <r>
    <x v="6"/>
    <x v="3"/>
    <x v="0"/>
    <s v="6870101"/>
    <n v="713039"/>
    <s v="401K ER Match"/>
    <s v="Employee Benefits"/>
    <x v="0"/>
    <n v="1000"/>
    <n v="471435"/>
    <n v="467263.27"/>
    <n v="463796.59"/>
    <n v="473029.19"/>
    <n v="459908.04"/>
    <n v="481462.58"/>
    <n v="489389.5"/>
    <n v="452650.58"/>
    <n v="507253.95"/>
    <n v="480707.14"/>
    <n v="490095.23"/>
    <n v="500207.65"/>
    <n v="5737198.7200000007"/>
    <n v="-10112.420000000042"/>
  </r>
  <r>
    <x v="6"/>
    <x v="3"/>
    <x v="0"/>
    <s v="6870101"/>
    <n v="713039"/>
    <s v="401K ER Annual Contribution"/>
    <s v="Employee Benefits"/>
    <x v="0"/>
    <n v="1001"/>
    <n v="357371"/>
    <n v="356662"/>
    <n v="360128"/>
    <n v="357602"/>
    <n v="358100"/>
    <n v="360053"/>
    <n v="360174"/>
    <n v="360716"/>
    <n v="-2994.76"/>
    <n v="405000"/>
    <n v="398780"/>
    <n v="396613.86"/>
    <n v="4068205.1"/>
    <n v="2166.140000000014"/>
  </r>
  <r>
    <x v="6"/>
    <x v="3"/>
    <x v="0"/>
    <s v="6870101"/>
    <n v="713042"/>
    <s v="Benefits-Group Medical"/>
    <s v="Employee Benefits"/>
    <x v="0"/>
    <m/>
    <n v="2258777.2200000002"/>
    <n v="2227365.3199999998"/>
    <n v="2225745.9300000002"/>
    <n v="2234778.0299999998"/>
    <n v="2236797.4"/>
    <n v="2244268.12"/>
    <n v="2401562.38"/>
    <n v="2389677.42"/>
    <n v="2417045.2000000002"/>
    <n v="2403464.8199999998"/>
    <n v="2408882.8199999998"/>
    <n v="2402353.8199999998"/>
    <n v="27850718.48"/>
    <n v="6529"/>
  </r>
  <r>
    <x v="6"/>
    <x v="3"/>
    <x v="0"/>
    <s v="6870101"/>
    <n v="713042"/>
    <s v="Group Medical--Employee Deductions"/>
    <s v="Employee Benefits"/>
    <x v="0"/>
    <n v="1000"/>
    <n v="-295618.46000000002"/>
    <n v="-459990.39"/>
    <n v="-306760.96999999997"/>
    <n v="-299690.19"/>
    <n v="-303595.77"/>
    <n v="-298249.65000000002"/>
    <n v="-302401.65000000002"/>
    <n v="-306859.12"/>
    <n v="-461300.49"/>
    <n v="-304173.92"/>
    <n v="-308043.03999999998"/>
    <n v="-303987.46000000002"/>
    <n v="-3950671.1100000003"/>
    <n v="-4055.5799999999581"/>
  </r>
  <r>
    <x v="6"/>
    <x v="3"/>
    <x v="0"/>
    <s v="6870101"/>
    <n v="713042"/>
    <s v="Medical Imputed Income"/>
    <s v="Employee Benefits"/>
    <x v="0"/>
    <n v="1005"/>
    <n v="0"/>
    <n v="0"/>
    <n v="0"/>
    <n v="0"/>
    <n v="0"/>
    <n v="0"/>
    <n v="13.07"/>
    <n v="11.16"/>
    <n v="12.41"/>
    <n v="11.93"/>
    <n v="12"/>
    <n v="11.68"/>
    <n v="72.25"/>
    <n v="0.32000000000000028"/>
  </r>
  <r>
    <x v="6"/>
    <x v="3"/>
    <x v="0"/>
    <s v="6870101"/>
    <n v="713042"/>
    <s v="Options Health Plan--Group Medical"/>
    <s v="Employee Benefits"/>
    <x v="0"/>
    <n v="1020"/>
    <n v="104924.02"/>
    <n v="69583.31"/>
    <n v="72076.899999999994"/>
    <n v="71523.12"/>
    <n v="67600.009999999995"/>
    <n v="70536.539999999994"/>
    <n v="107722.76"/>
    <n v="72994.570000000007"/>
    <n v="71905.02"/>
    <n v="73129.7"/>
    <n v="72946"/>
    <n v="72876.570000000007"/>
    <n v="927818.52"/>
    <n v="69.429999999993015"/>
  </r>
  <r>
    <x v="6"/>
    <x v="3"/>
    <x v="0"/>
    <s v="6870101"/>
    <n v="713043"/>
    <s v="Subsidy COBRA Expense"/>
    <s v="Employee Benefits"/>
    <x v="0"/>
    <m/>
    <n v="0"/>
    <n v="0"/>
    <n v="0"/>
    <n v="0"/>
    <n v="0"/>
    <n v="0"/>
    <n v="0"/>
    <n v="0"/>
    <n v="0"/>
    <n v="0"/>
    <n v="81011.8"/>
    <n v="0"/>
    <n v="81011.8"/>
    <n v="81011.8"/>
  </r>
  <r>
    <x v="6"/>
    <x v="3"/>
    <x v="0"/>
    <s v="6870101"/>
    <n v="713046"/>
    <s v="Benefits-Group Dental"/>
    <s v="Employee Benefits"/>
    <x v="0"/>
    <m/>
    <n v="140443.04999999999"/>
    <n v="139217.79999999999"/>
    <n v="138112.6"/>
    <n v="138621.13"/>
    <n v="138956.34"/>
    <n v="139426.47"/>
    <n v="143830.92000000001"/>
    <n v="142941.14000000001"/>
    <n v="144164.69"/>
    <n v="143015.10999999999"/>
    <n v="142550.99"/>
    <n v="141650.39000000001"/>
    <n v="1692930.63"/>
    <n v="900.59999999997672"/>
  </r>
  <r>
    <x v="6"/>
    <x v="3"/>
    <x v="0"/>
    <s v="6870101"/>
    <n v="713046"/>
    <s v="Group Dental-Employee Deductions"/>
    <s v="Employee Benefits"/>
    <x v="0"/>
    <n v="1000"/>
    <n v="-47236.1"/>
    <n v="-71783.28"/>
    <n v="-47749.63"/>
    <n v="-47735.3"/>
    <n v="-47593.42"/>
    <n v="-47661.23"/>
    <n v="-49126.12"/>
    <n v="-49143.45"/>
    <n v="-73524.92"/>
    <n v="-48928.02"/>
    <n v="-48056.56"/>
    <n v="-48338.82"/>
    <n v="-626876.85"/>
    <n v="282.26000000000204"/>
  </r>
  <r>
    <x v="6"/>
    <x v="3"/>
    <x v="0"/>
    <s v="6870101"/>
    <n v="713046"/>
    <s v="Dental Imputed Income"/>
    <s v="Employee Benefits"/>
    <x v="0"/>
    <n v="1005"/>
    <n v="0"/>
    <n v="0"/>
    <n v="0"/>
    <n v="0"/>
    <n v="0"/>
    <n v="0"/>
    <n v="0.54"/>
    <n v="0.56000000000000005"/>
    <n v="0.66"/>
    <n v="0.56000000000000005"/>
    <n v="0.5"/>
    <n v="0.61"/>
    <n v="3.43"/>
    <n v="-0.10999999999999999"/>
  </r>
  <r>
    <x v="6"/>
    <x v="3"/>
    <x v="0"/>
    <s v="6870101"/>
    <n v="713048"/>
    <s v="Benefits-Group Vision"/>
    <s v="Employee Benefits"/>
    <x v="0"/>
    <m/>
    <n v="19951.12"/>
    <n v="19769.5"/>
    <n v="19604.21"/>
    <n v="19697.55"/>
    <n v="19730.46"/>
    <n v="19788.93"/>
    <n v="25087.42"/>
    <n v="24939.38"/>
    <n v="25180.6"/>
    <n v="24941.68"/>
    <n v="24910.28"/>
    <n v="24752.46"/>
    <n v="268353.59000000003"/>
    <n v="157.81999999999971"/>
  </r>
  <r>
    <x v="6"/>
    <x v="3"/>
    <x v="0"/>
    <s v="6870101"/>
    <n v="713048"/>
    <s v="Group Vision-Employee Deductions"/>
    <s v="Employee Benefits"/>
    <x v="0"/>
    <n v="1000"/>
    <n v="-17940.97"/>
    <n v="-27415.21"/>
    <n v="-18313.25"/>
    <n v="-18238"/>
    <n v="-18181.18"/>
    <n v="-18284.72"/>
    <n v="-23137.06"/>
    <n v="-23041.74"/>
    <n v="-34515.81"/>
    <n v="-22912.84"/>
    <n v="-22701.19"/>
    <n v="-22782.28"/>
    <n v="-267464.25"/>
    <n v="81.090000000000146"/>
  </r>
  <r>
    <x v="6"/>
    <x v="3"/>
    <x v="0"/>
    <s v="6870101"/>
    <n v="713050"/>
    <s v="Benefits-Group Disability"/>
    <s v="Employee Benefits"/>
    <x v="0"/>
    <m/>
    <n v="53988.74"/>
    <n v="53951.85"/>
    <n v="53781.77"/>
    <n v="54189.69"/>
    <n v="54909.19"/>
    <n v="55447.14"/>
    <n v="55107.02"/>
    <n v="55425.48"/>
    <n v="55555.42"/>
    <n v="55285.89"/>
    <n v="55455.65"/>
    <n v="55224.53"/>
    <n v="658322.37"/>
    <n v="231.12000000000262"/>
  </r>
  <r>
    <x v="6"/>
    <x v="3"/>
    <x v="0"/>
    <s v="6870101"/>
    <n v="713054"/>
    <s v="Benefits-Group Life"/>
    <s v="Employee Benefits"/>
    <x v="0"/>
    <m/>
    <n v="44527.87"/>
    <n v="44043.360000000001"/>
    <n v="44036.32"/>
    <n v="43869.18"/>
    <n v="43913.86"/>
    <n v="43881.24"/>
    <n v="45923.43"/>
    <n v="46197"/>
    <n v="45626.9"/>
    <n v="45163.72"/>
    <n v="44952.43"/>
    <n v="44507.42"/>
    <n v="536642.73"/>
    <n v="445.01000000000204"/>
  </r>
  <r>
    <x v="6"/>
    <x v="3"/>
    <x v="0"/>
    <s v="6870101"/>
    <n v="713054"/>
    <s v="Group Life--Employee Deductions"/>
    <s v="Employee Benefits"/>
    <x v="0"/>
    <n v="1000"/>
    <n v="-28176.29"/>
    <n v="-45424.73"/>
    <n v="-30121.45"/>
    <n v="-29445.39"/>
    <n v="-29394.43"/>
    <n v="-29229.08"/>
    <n v="-31236.35"/>
    <n v="-31728.880000000001"/>
    <n v="-46002.63"/>
    <n v="-30420.15"/>
    <n v="-29872.22"/>
    <n v="-29418.55"/>
    <n v="-390470.14999999997"/>
    <n v="-453.67000000000189"/>
  </r>
  <r>
    <x v="6"/>
    <x v="3"/>
    <x v="0"/>
    <s v="6870101"/>
    <n v="713058"/>
    <s v="Benefits-Supplemental EE Retirement Plan"/>
    <s v="Employee Benefits"/>
    <x v="0"/>
    <m/>
    <n v="22175.66"/>
    <n v="14737.79"/>
    <n v="14914.45"/>
    <n v="14621.34"/>
    <n v="14865.35"/>
    <n v="14836.09"/>
    <n v="22027.33"/>
    <n v="14212.41"/>
    <n v="14202.67"/>
    <n v="14235.46"/>
    <n v="14123.56"/>
    <n v="13941.88"/>
    <n v="188893.99"/>
    <n v="181.68000000000029"/>
  </r>
  <r>
    <x v="6"/>
    <x v="3"/>
    <x v="0"/>
    <s v="6870101"/>
    <n v="713070"/>
    <s v="Benefits-Tuition Reimbursement"/>
    <s v="Employee Benefits"/>
    <x v="0"/>
    <m/>
    <n v="17176.009999999998"/>
    <n v="17610.849999999999"/>
    <n v="39339.54"/>
    <n v="13027.63"/>
    <n v="8654.6"/>
    <n v="10654.09"/>
    <n v="37232.86"/>
    <n v="10534.49"/>
    <n v="13479.7"/>
    <n v="62286.3"/>
    <n v="23186.09"/>
    <n v="24748"/>
    <n v="277930.16000000003"/>
    <n v="-1561.9099999999999"/>
  </r>
  <r>
    <x v="6"/>
    <x v="3"/>
    <x v="0"/>
    <s v="6870101"/>
    <n v="713090"/>
    <s v="Benefits-Allocated Amounts"/>
    <s v="Employee Benefits"/>
    <x v="0"/>
    <m/>
    <n v="-3574229.93"/>
    <n v="-3190526.9"/>
    <n v="-3482275.85"/>
    <n v="-3504396.84"/>
    <n v="-3435694.18"/>
    <n v="-3422655.51"/>
    <n v="-3691069.11"/>
    <n v="-3551640.15"/>
    <n v="-3071834.54"/>
    <n v="-3651139.87"/>
    <n v="-3801284.99"/>
    <n v="-3677897.25"/>
    <n v="-42054645.119999997"/>
    <n v="-123387.74000000022"/>
  </r>
  <r>
    <x v="6"/>
    <x v="3"/>
    <x v="0"/>
    <s v="6870101"/>
    <n v="713096"/>
    <s v="Benefits-Other"/>
    <s v="Employee Benefits"/>
    <x v="0"/>
    <m/>
    <n v="16269.2"/>
    <n v="8005.2"/>
    <n v="8005.2"/>
    <n v="8100.96"/>
    <n v="17097.96"/>
    <n v="8100.96"/>
    <n v="16777.66"/>
    <n v="8169.39"/>
    <n v="8170.56"/>
    <n v="17375.95"/>
    <n v="8170.29"/>
    <n v="8177.97"/>
    <n v="132421.29999999999"/>
    <n v="-7.680000000000291"/>
  </r>
  <r>
    <x v="6"/>
    <x v="3"/>
    <x v="0"/>
    <s v="6870101"/>
    <n v="713096"/>
    <s v="Club Dues"/>
    <s v="Employee Benefits"/>
    <x v="0"/>
    <n v="1006"/>
    <n v="0"/>
    <n v="0"/>
    <n v="0"/>
    <n v="0"/>
    <n v="0"/>
    <n v="0"/>
    <n v="-5"/>
    <n v="0"/>
    <n v="0"/>
    <n v="0"/>
    <n v="0"/>
    <n v="-10"/>
    <n v="-15"/>
    <n v="10"/>
  </r>
  <r>
    <x v="6"/>
    <x v="3"/>
    <x v="0"/>
    <s v="6870101"/>
    <n v="713096"/>
    <s v="Relocation"/>
    <s v="Employee Benefits"/>
    <x v="0"/>
    <n v="1011"/>
    <n v="121599.47"/>
    <n v="106668.76"/>
    <n v="122630.26"/>
    <n v="105888.71"/>
    <n v="83221.740000000005"/>
    <n v="32621.59"/>
    <n v="62635.17"/>
    <n v="58497"/>
    <n v="59635.02"/>
    <n v="47624.1"/>
    <n v="121160.77"/>
    <n v="77770.02"/>
    <n v="999952.6100000001"/>
    <n v="43390.75"/>
  </r>
  <r>
    <x v="6"/>
    <x v="3"/>
    <x v="0"/>
    <s v="6870101"/>
    <n v="713096"/>
    <s v="Taxable Fringe Benefits"/>
    <s v="Employee Benefits"/>
    <x v="0"/>
    <n v="1012"/>
    <n v="0"/>
    <n v="0"/>
    <n v="0"/>
    <n v="0"/>
    <n v="0"/>
    <n v="15000"/>
    <n v="0"/>
    <n v="0"/>
    <n v="0"/>
    <n v="0"/>
    <n v="0"/>
    <n v="0"/>
    <n v="15000"/>
    <n v="0"/>
  </r>
  <r>
    <x v="0"/>
    <x v="3"/>
    <x v="0"/>
    <s v="6870101"/>
    <n v="749510"/>
    <s v="Miscellaneous Expenses"/>
    <s v="Employee Benefits"/>
    <x v="0"/>
    <m/>
    <n v="0"/>
    <n v="0"/>
    <n v="0"/>
    <n v="0"/>
    <n v="0"/>
    <n v="475.99"/>
    <n v="0"/>
    <n v="0"/>
    <n v="0"/>
    <n v="0"/>
    <n v="0"/>
    <n v="0"/>
    <n v="475.99"/>
    <n v="0"/>
  </r>
  <r>
    <x v="5"/>
    <x v="0"/>
    <x v="0"/>
    <s v="6870102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6870102"/>
    <n v="700018"/>
    <s v="Salaries-Supervisory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6870102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6870102"/>
    <n v="700054"/>
    <s v="Salaries-Management-NonProd-Other"/>
    <s v="Employee Benefits"/>
    <x v="0"/>
    <n v="2000"/>
    <n v="0"/>
    <n v="0"/>
    <n v="0"/>
    <n v="0"/>
    <n v="0"/>
    <n v="0"/>
    <n v="-486.3"/>
    <n v="486.3"/>
    <n v="0"/>
    <n v="0"/>
    <n v="0"/>
    <n v="0"/>
    <n v="0"/>
    <n v="0"/>
  </r>
  <r>
    <x v="6"/>
    <x v="0"/>
    <x v="0"/>
    <s v="6870102"/>
    <n v="713010"/>
    <s v="Benefits-FICA/Medicare"/>
    <s v="Employee Benefits"/>
    <x v="0"/>
    <m/>
    <n v="1885.06"/>
    <n v="1880.89"/>
    <n v="1889.02"/>
    <n v="1844.13"/>
    <n v="1840"/>
    <n v="1895.11"/>
    <n v="2154.69"/>
    <n v="1858.19"/>
    <n v="2252.25"/>
    <n v="2790.15"/>
    <n v="1676.55"/>
    <n v="2398.3000000000002"/>
    <n v="24364.34"/>
    <n v="-721.75000000000023"/>
  </r>
  <r>
    <x v="6"/>
    <x v="0"/>
    <x v="0"/>
    <s v="6870102"/>
    <n v="713022"/>
    <s v="Benefits-State Unemployment"/>
    <s v="Employee Benefits"/>
    <x v="0"/>
    <m/>
    <n v="7082.45"/>
    <n v="-4003.09"/>
    <n v="6100.78"/>
    <n v="-10581.36"/>
    <n v="3969.8"/>
    <n v="3969.8"/>
    <n v="5958.9"/>
    <n v="3374.46"/>
    <n v="3374.47"/>
    <n v="-2742.53"/>
    <n v="2562.59"/>
    <n v="2562.59"/>
    <n v="21628.86"/>
    <n v="0"/>
  </r>
  <r>
    <x v="6"/>
    <x v="0"/>
    <x v="0"/>
    <s v="6870102"/>
    <n v="713030"/>
    <s v="Benefits-Workers Comp-CHI Programs"/>
    <s v="Employee Benefits"/>
    <x v="0"/>
    <m/>
    <n v="48193.19"/>
    <n v="48193.19"/>
    <n v="48193.19"/>
    <n v="48193.19"/>
    <n v="48193.19"/>
    <n v="48193.19"/>
    <n v="48193.19"/>
    <n v="48193.19"/>
    <n v="48193.19"/>
    <n v="48193.19"/>
    <n v="48193.19"/>
    <n v="48193.19"/>
    <n v="578318.28"/>
    <n v="0"/>
  </r>
  <r>
    <x v="6"/>
    <x v="0"/>
    <x v="0"/>
    <s v="6870102"/>
    <n v="713031"/>
    <s v="Benefits-Workers Comp-Ext to CHI Programs"/>
    <s v="Employee Benefits"/>
    <x v="0"/>
    <m/>
    <n v="-192.89"/>
    <n v="-292.42"/>
    <n v="-190.65"/>
    <n v="-205.94"/>
    <n v="-198.27"/>
    <n v="-178.22"/>
    <n v="-174.09"/>
    <n v="-233.39"/>
    <n v="-336.34"/>
    <n v="-222.46"/>
    <n v="-223.5"/>
    <n v="-225.41"/>
    <n v="-2673.5799999999995"/>
    <n v="1.9099999999999966"/>
  </r>
  <r>
    <x v="6"/>
    <x v="0"/>
    <x v="0"/>
    <s v="6870102"/>
    <n v="713034"/>
    <s v="Benefits-Flex Credits"/>
    <s v="Employee Benefits"/>
    <x v="0"/>
    <m/>
    <n v="13564.61"/>
    <n v="15063.52"/>
    <n v="13497.87"/>
    <n v="14594.59"/>
    <n v="12996.16"/>
    <n v="11649.9"/>
    <n v="14226.8"/>
    <n v="12537.71"/>
    <n v="13664.54"/>
    <n v="13119.21"/>
    <n v="14185.8"/>
    <n v="13176.59"/>
    <n v="162277.29999999999"/>
    <n v="1009.2099999999991"/>
  </r>
  <r>
    <x v="6"/>
    <x v="0"/>
    <x v="0"/>
    <s v="6870102"/>
    <n v="713039"/>
    <s v="401K ER Match"/>
    <s v="Employee Benefits"/>
    <x v="0"/>
    <n v="1000"/>
    <n v="160542.84"/>
    <n v="159673.67000000001"/>
    <n v="154378.9"/>
    <n v="158732.14000000001"/>
    <n v="158142.85"/>
    <n v="166123.44"/>
    <n v="170056.88"/>
    <n v="155097.22"/>
    <n v="171774"/>
    <n v="163313.04999999999"/>
    <n v="164059.32999999999"/>
    <n v="163394.62"/>
    <n v="1945288.9400000004"/>
    <n v="664.70999999999185"/>
  </r>
  <r>
    <x v="6"/>
    <x v="0"/>
    <x v="0"/>
    <s v="6870102"/>
    <n v="713039"/>
    <s v="401K ER Annual Contribution"/>
    <s v="Employee Benefits"/>
    <x v="0"/>
    <n v="1001"/>
    <n v="116095"/>
    <n v="115525"/>
    <n v="116816"/>
    <n v="117125"/>
    <n v="118244"/>
    <n v="119181"/>
    <n v="119544"/>
    <n v="118206"/>
    <n v="184617.88"/>
    <n v="135184"/>
    <n v="132595"/>
    <n v="144303.06"/>
    <n v="1537435.94"/>
    <n v="-11708.059999999998"/>
  </r>
  <r>
    <x v="6"/>
    <x v="0"/>
    <x v="0"/>
    <s v="6870102"/>
    <n v="713042"/>
    <s v="Benefits-Group Medical"/>
    <s v="Employee Benefits"/>
    <x v="0"/>
    <m/>
    <n v="769766"/>
    <n v="764991.79"/>
    <n v="763308"/>
    <n v="771053"/>
    <n v="781197"/>
    <n v="784074"/>
    <n v="827863"/>
    <n v="812900"/>
    <n v="812214"/>
    <n v="815499"/>
    <n v="813922.78"/>
    <n v="813333"/>
    <n v="9530121.5700000003"/>
    <n v="589.78000000002794"/>
  </r>
  <r>
    <x v="6"/>
    <x v="0"/>
    <x v="0"/>
    <s v="6870102"/>
    <n v="713042"/>
    <s v="Group Medical--Employee Deductions"/>
    <s v="Employee Benefits"/>
    <x v="0"/>
    <n v="1000"/>
    <n v="-97760.4"/>
    <n v="-159691.19"/>
    <n v="-103358.85"/>
    <n v="-103020.41"/>
    <n v="-103351.73"/>
    <n v="-105937.74"/>
    <n v="-102420.66"/>
    <n v="-100397.29"/>
    <n v="-152459.63"/>
    <n v="-99085.29"/>
    <n v="-100742.18"/>
    <n v="-97214.8"/>
    <n v="-1325440.17"/>
    <n v="-3527.3799999999901"/>
  </r>
  <r>
    <x v="6"/>
    <x v="0"/>
    <x v="0"/>
    <s v="6870102"/>
    <n v="713042"/>
    <s v="Medical Imputed Income"/>
    <s v="Employee Benefits"/>
    <x v="0"/>
    <n v="1005"/>
    <n v="0"/>
    <n v="0"/>
    <n v="0"/>
    <n v="0"/>
    <n v="0"/>
    <n v="0"/>
    <n v="6.19"/>
    <n v="5.27"/>
    <n v="5.84"/>
    <n v="5.66"/>
    <n v="5.19"/>
    <n v="4.9800000000000004"/>
    <n v="33.130000000000003"/>
    <n v="0.20999999999999996"/>
  </r>
  <r>
    <x v="6"/>
    <x v="0"/>
    <x v="0"/>
    <s v="6870102"/>
    <n v="713046"/>
    <s v="Benefits-Group Dental"/>
    <s v="Employee Benefits"/>
    <x v="0"/>
    <m/>
    <n v="49080.72"/>
    <n v="48931.51"/>
    <n v="48371.86"/>
    <n v="48769.65"/>
    <n v="49362.91"/>
    <n v="49571.76"/>
    <n v="50429.48"/>
    <n v="49369.64"/>
    <n v="49280.37"/>
    <n v="49229.93"/>
    <n v="48917.67"/>
    <n v="48707.57"/>
    <n v="590023.06999999995"/>
    <n v="210.09999999999854"/>
  </r>
  <r>
    <x v="6"/>
    <x v="0"/>
    <x v="0"/>
    <s v="6870102"/>
    <n v="713046"/>
    <s v="Group Dental-Employee Deductions"/>
    <s v="Employee Benefits"/>
    <x v="0"/>
    <n v="1000"/>
    <n v="-16248.36"/>
    <n v="-26174.85"/>
    <n v="-17043.400000000001"/>
    <n v="-17207.150000000001"/>
    <n v="-17396.45"/>
    <n v="-17429.63"/>
    <n v="-17612.63"/>
    <n v="-17141.5"/>
    <n v="-25571.41"/>
    <n v="-16837.66"/>
    <n v="-16884.060000000001"/>
    <n v="-16788.849999999999"/>
    <n v="-222335.95000000004"/>
    <n v="-95.210000000002765"/>
  </r>
  <r>
    <x v="6"/>
    <x v="0"/>
    <x v="0"/>
    <s v="6870102"/>
    <n v="713046"/>
    <s v="Dental Imputed Income"/>
    <s v="Employee Benefits"/>
    <x v="0"/>
    <n v="1005"/>
    <n v="0"/>
    <n v="0"/>
    <n v="0"/>
    <n v="0"/>
    <n v="0"/>
    <n v="0"/>
    <n v="0.18"/>
    <n v="0.18"/>
    <n v="0.2"/>
    <n v="0.18"/>
    <n v="0.17"/>
    <n v="0.22"/>
    <n v="1.1300000000000001"/>
    <n v="-4.9999999999999989E-2"/>
  </r>
  <r>
    <x v="6"/>
    <x v="0"/>
    <x v="0"/>
    <s v="6870102"/>
    <n v="713048"/>
    <s v="Benefits-Group Vision"/>
    <s v="Employee Benefits"/>
    <x v="0"/>
    <m/>
    <n v="6539.01"/>
    <n v="6541.86"/>
    <n v="6460.83"/>
    <n v="6531.51"/>
    <n v="6607.88"/>
    <n v="6661.95"/>
    <n v="8248.8799999999992"/>
    <n v="8096.54"/>
    <n v="8119.5"/>
    <n v="8119"/>
    <n v="8084.2"/>
    <n v="8069.34"/>
    <n v="88080.499999999985"/>
    <n v="14.859999999999673"/>
  </r>
  <r>
    <x v="6"/>
    <x v="0"/>
    <x v="0"/>
    <s v="6870102"/>
    <n v="713048"/>
    <s v="Group Vision-Employee Deductions"/>
    <s v="Employee Benefits"/>
    <x v="0"/>
    <n v="1000"/>
    <n v="-5637.15"/>
    <n v="-9499.9699999999993"/>
    <n v="-5993.6"/>
    <n v="-6046.67"/>
    <n v="-6182.51"/>
    <n v="-6195.29"/>
    <n v="-7612.13"/>
    <n v="-7420.24"/>
    <n v="-11165.97"/>
    <n v="-7401.61"/>
    <n v="-7456.34"/>
    <n v="-7417.68"/>
    <n v="-88029.16"/>
    <n v="-38.659999999999854"/>
  </r>
  <r>
    <x v="6"/>
    <x v="0"/>
    <x v="0"/>
    <s v="6870102"/>
    <n v="713050"/>
    <s v="Benefits-Group Disability"/>
    <s v="Employee Benefits"/>
    <x v="0"/>
    <m/>
    <n v="16685.32"/>
    <n v="16719.18"/>
    <n v="16655.14"/>
    <n v="16848.650000000001"/>
    <n v="17222.25"/>
    <n v="17708.05"/>
    <n v="17450.32"/>
    <n v="17422.5"/>
    <n v="17346.63"/>
    <n v="17349.96"/>
    <n v="17295.14"/>
    <n v="17326.39"/>
    <n v="206029.53000000003"/>
    <n v="-31.25"/>
  </r>
  <r>
    <x v="6"/>
    <x v="0"/>
    <x v="0"/>
    <s v="6870102"/>
    <n v="713054"/>
    <s v="Benefits-Group Life"/>
    <s v="Employee Benefits"/>
    <x v="0"/>
    <m/>
    <n v="14630.23"/>
    <n v="14380.65"/>
    <n v="14249.1"/>
    <n v="14174.89"/>
    <n v="14287.85"/>
    <n v="14469.49"/>
    <n v="14826.28"/>
    <n v="14999.41"/>
    <n v="15011.59"/>
    <n v="15002.72"/>
    <n v="14995.85"/>
    <n v="15083.27"/>
    <n v="176111.33"/>
    <n v="-87.420000000000073"/>
  </r>
  <r>
    <x v="6"/>
    <x v="0"/>
    <x v="0"/>
    <s v="6870102"/>
    <n v="713054"/>
    <s v="Group Life--Employee Deductions"/>
    <s v="Employee Benefits"/>
    <x v="0"/>
    <n v="1000"/>
    <n v="-9448.67"/>
    <n v="-14664.38"/>
    <n v="-9523.73"/>
    <n v="-9517.7099999999991"/>
    <n v="-9635.76"/>
    <n v="-9545.32"/>
    <n v="-10100.61"/>
    <n v="-10222.98"/>
    <n v="-15278.33"/>
    <n v="-10055.469999999999"/>
    <n v="-10050.799999999999"/>
    <n v="-10185.39"/>
    <n v="-128229.15"/>
    <n v="134.59000000000015"/>
  </r>
  <r>
    <x v="6"/>
    <x v="0"/>
    <x v="0"/>
    <s v="6870102"/>
    <n v="713070"/>
    <s v="Benefits-Tuition Reimbursement"/>
    <s v="Employee Benefits"/>
    <x v="0"/>
    <m/>
    <n v="14956.51"/>
    <n v="3816"/>
    <n v="11974.01"/>
    <n v="1001.5"/>
    <n v="2700"/>
    <n v="8184"/>
    <n v="20459.28"/>
    <n v="747"/>
    <n v="10704.4"/>
    <n v="16044.66"/>
    <n v="7836.38"/>
    <n v="11276.71"/>
    <n v="109700.45000000001"/>
    <n v="-3440.329999999999"/>
  </r>
  <r>
    <x v="6"/>
    <x v="0"/>
    <x v="0"/>
    <s v="6870102"/>
    <n v="713090"/>
    <s v="Benefits-Allocated Amounts"/>
    <s v="Employee Benefits"/>
    <x v="0"/>
    <m/>
    <n v="-1090057.71"/>
    <n v="-981454.33"/>
    <n v="-1065839.8999999999"/>
    <n v="-1052169.3999999999"/>
    <n v="-1078745.29"/>
    <n v="-1104367.75"/>
    <n v="-1162214.55"/>
    <n v="-1107495.6599999999"/>
    <n v="-1131768.5900000001"/>
    <n v="-1152166.52"/>
    <n v="-1138801.7"/>
    <n v="-1157162.24"/>
    <n v="-13222243.639999999"/>
    <n v="18360.540000000037"/>
  </r>
  <r>
    <x v="6"/>
    <x v="0"/>
    <x v="0"/>
    <s v="6870102"/>
    <n v="713096"/>
    <s v="Benefits-Other"/>
    <s v="Employee Benefits"/>
    <x v="0"/>
    <m/>
    <n v="365"/>
    <n v="0"/>
    <n v="0"/>
    <n v="0"/>
    <n v="718"/>
    <n v="0"/>
    <n v="606.89"/>
    <n v="0.02"/>
    <n v="0.32"/>
    <n v="671.87"/>
    <n v="-0.51"/>
    <n v="0.19"/>
    <n v="2361.7799999999997"/>
    <n v="-0.7"/>
  </r>
  <r>
    <x v="6"/>
    <x v="0"/>
    <x v="0"/>
    <s v="6870102"/>
    <n v="713096"/>
    <s v="Relocation"/>
    <s v="Employee Benefits"/>
    <x v="0"/>
    <n v="1011"/>
    <n v="0"/>
    <n v="0"/>
    <n v="0"/>
    <n v="0"/>
    <n v="0"/>
    <n v="-430.77"/>
    <n v="0"/>
    <n v="0"/>
    <n v="0"/>
    <n v="0"/>
    <n v="0"/>
    <n v="1586.22"/>
    <n v="1155.45"/>
    <n v="-1586.22"/>
  </r>
  <r>
    <x v="6"/>
    <x v="0"/>
    <x v="0"/>
    <s v="6870102"/>
    <n v="713096"/>
    <s v="Taxable Fringe Benefits"/>
    <s v="Employee Benefits"/>
    <x v="0"/>
    <n v="1012"/>
    <n v="0"/>
    <n v="0"/>
    <n v="0"/>
    <n v="0"/>
    <n v="0"/>
    <n v="12500"/>
    <n v="0"/>
    <n v="0"/>
    <n v="0"/>
    <n v="0"/>
    <n v="0"/>
    <n v="0"/>
    <n v="12500"/>
    <n v="0"/>
  </r>
  <r>
    <x v="6"/>
    <x v="0"/>
    <x v="0"/>
    <s v="6870102"/>
    <n v="713096"/>
    <s v="Adoption Assistance Program"/>
    <s v="Employee Benefits"/>
    <x v="0"/>
    <n v="1014"/>
    <n v="0"/>
    <n v="0"/>
    <n v="0"/>
    <n v="0"/>
    <n v="0"/>
    <n v="0"/>
    <n v="0"/>
    <n v="0"/>
    <n v="0"/>
    <n v="4010.06"/>
    <n v="-4.1900000000000004"/>
    <n v="0"/>
    <n v="4005.87"/>
    <n v="-4.1900000000000004"/>
  </r>
  <r>
    <x v="5"/>
    <x v="4"/>
    <x v="0"/>
    <s v="6870103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6870103"/>
    <n v="700018"/>
    <s v="Salaries-Supervisory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6870103"/>
    <n v="700054"/>
    <s v="Salaries-Management-NonProd-Other"/>
    <s v="Employee Benefits"/>
    <x v="0"/>
    <n v="2000"/>
    <n v="0"/>
    <n v="0"/>
    <n v="0"/>
    <n v="0"/>
    <n v="0"/>
    <n v="0"/>
    <n v="-214.3"/>
    <n v="214.3"/>
    <n v="0"/>
    <n v="0"/>
    <n v="0"/>
    <n v="0"/>
    <n v="0"/>
    <n v="0"/>
  </r>
  <r>
    <x v="6"/>
    <x v="4"/>
    <x v="0"/>
    <s v="6870103"/>
    <n v="713010"/>
    <s v="Benefits-FICA/Medicare"/>
    <s v="Employee Benefits"/>
    <x v="0"/>
    <m/>
    <n v="1943.55"/>
    <n v="1423.13"/>
    <n v="1717.95"/>
    <n v="2025.16"/>
    <n v="1500"/>
    <n v="1494.27"/>
    <n v="1779.57"/>
    <n v="1418.05"/>
    <n v="1547.97"/>
    <n v="2787.91"/>
    <n v="1120.44"/>
    <n v="1923.03"/>
    <n v="20681.029999999995"/>
    <n v="-802.58999999999992"/>
  </r>
  <r>
    <x v="6"/>
    <x v="4"/>
    <x v="0"/>
    <s v="6870103"/>
    <n v="713022"/>
    <s v="Benefits-State Unemployment"/>
    <s v="Employee Benefits"/>
    <x v="0"/>
    <m/>
    <n v="5836.65"/>
    <n v="-12604.96"/>
    <n v="3107.14"/>
    <n v="-6622.33"/>
    <n v="982.48"/>
    <n v="982.48"/>
    <n v="13992.27"/>
    <n v="2318.37"/>
    <n v="2318.37"/>
    <n v="15789.99"/>
    <n v="3908.31"/>
    <n v="3908.3"/>
    <n v="33917.07"/>
    <n v="9.9999999997635314E-3"/>
  </r>
  <r>
    <x v="6"/>
    <x v="4"/>
    <x v="0"/>
    <s v="6870103"/>
    <n v="713030"/>
    <s v="Benefits-Workers Comp-CHI Programs"/>
    <s v="Employee Benefits"/>
    <x v="0"/>
    <m/>
    <n v="41515.629999999997"/>
    <n v="41515.629999999997"/>
    <n v="41515.629999999997"/>
    <n v="41515.629999999997"/>
    <n v="41515.629999999997"/>
    <n v="41515.629999999997"/>
    <n v="41515.629999999997"/>
    <n v="41515.629999999997"/>
    <n v="41515.629999999997"/>
    <n v="41515.629999999997"/>
    <n v="41515.629999999997"/>
    <n v="41515.629999999997"/>
    <n v="498187.56"/>
    <n v="0"/>
  </r>
  <r>
    <x v="6"/>
    <x v="4"/>
    <x v="0"/>
    <s v="6870103"/>
    <n v="713031"/>
    <s v="Benefits-Workers Comp-Ext to CHI Programs"/>
    <s v="Employee Benefits"/>
    <x v="0"/>
    <m/>
    <n v="-1741.5"/>
    <n v="-2670.23"/>
    <n v="-1885.98"/>
    <n v="-1924.16"/>
    <n v="-1877.62"/>
    <n v="-1868.54"/>
    <n v="-1859.9"/>
    <n v="-2110.64"/>
    <n v="-3140.05"/>
    <n v="-2044.21"/>
    <n v="-1914.17"/>
    <n v="-1910.63"/>
    <n v="-24947.63"/>
    <n v="-3.5399999999999636"/>
  </r>
  <r>
    <x v="6"/>
    <x v="4"/>
    <x v="0"/>
    <s v="6870103"/>
    <n v="713034"/>
    <s v="Benefits-Flex Credits"/>
    <s v="Employee Benefits"/>
    <x v="0"/>
    <m/>
    <n v="14460.78"/>
    <n v="12250.79"/>
    <n v="15760.33"/>
    <n v="15826.95"/>
    <n v="14805.83"/>
    <n v="11821.81"/>
    <n v="14871.99"/>
    <n v="11663.65"/>
    <n v="11975.66"/>
    <n v="13240.84"/>
    <n v="14298.79"/>
    <n v="11877.77"/>
    <n v="162855.19"/>
    <n v="2421.0200000000004"/>
  </r>
  <r>
    <x v="6"/>
    <x v="4"/>
    <x v="0"/>
    <s v="6870103"/>
    <n v="713039"/>
    <s v="401K ER Match"/>
    <s v="Employee Benefits"/>
    <x v="0"/>
    <n v="1000"/>
    <n v="109395.4"/>
    <n v="106342.43"/>
    <n v="107916.1"/>
    <n v="109856.89"/>
    <n v="104577.24"/>
    <n v="109209.58"/>
    <n v="112654.86"/>
    <n v="103568.14"/>
    <n v="110124.02"/>
    <n v="109861.37"/>
    <n v="106439.93"/>
    <n v="106738.29"/>
    <n v="1296684.25"/>
    <n v="-298.36000000000058"/>
  </r>
  <r>
    <x v="6"/>
    <x v="4"/>
    <x v="0"/>
    <s v="6870103"/>
    <n v="713039"/>
    <s v="401K ER Annual Contribution"/>
    <s v="Employee Benefits"/>
    <x v="0"/>
    <n v="1001"/>
    <n v="75753"/>
    <n v="76292"/>
    <n v="77972"/>
    <n v="77331"/>
    <n v="78765"/>
    <n v="79083"/>
    <n v="79609"/>
    <n v="79307"/>
    <n v="91075"/>
    <n v="87712"/>
    <n v="86082"/>
    <n v="94002.83"/>
    <n v="982983.83"/>
    <n v="-7920.8300000000017"/>
  </r>
  <r>
    <x v="6"/>
    <x v="4"/>
    <x v="0"/>
    <s v="6870103"/>
    <n v="713042"/>
    <s v="Benefits-Group Medical"/>
    <s v="Employee Benefits"/>
    <x v="0"/>
    <m/>
    <n v="493456"/>
    <n v="492901.57"/>
    <n v="494440"/>
    <n v="492698"/>
    <n v="493688"/>
    <n v="492100"/>
    <n v="538125"/>
    <n v="538809"/>
    <n v="535109"/>
    <n v="530474"/>
    <n v="536162"/>
    <n v="536657"/>
    <n v="6174619.5700000003"/>
    <n v="-495"/>
  </r>
  <r>
    <x v="6"/>
    <x v="4"/>
    <x v="0"/>
    <s v="6870103"/>
    <n v="713042"/>
    <s v="Group Medical--Employee Deductions"/>
    <s v="Employee Benefits"/>
    <x v="0"/>
    <n v="1000"/>
    <n v="-64319.46"/>
    <n v="-101841.1"/>
    <n v="-67363.16"/>
    <n v="-65460.5"/>
    <n v="-65201.83"/>
    <n v="-65123.75"/>
    <n v="-67935.490000000005"/>
    <n v="-68374.67"/>
    <n v="-103767.77"/>
    <n v="-67440.86"/>
    <n v="-68728.05"/>
    <n v="-67264.12"/>
    <n v="-872820.76"/>
    <n v="-1463.9300000000076"/>
  </r>
  <r>
    <x v="6"/>
    <x v="4"/>
    <x v="0"/>
    <s v="6870103"/>
    <n v="713042"/>
    <s v="Medical Imputed Income"/>
    <s v="Employee Benefits"/>
    <x v="0"/>
    <n v="1005"/>
    <n v="0"/>
    <n v="0"/>
    <n v="0"/>
    <n v="0"/>
    <n v="0"/>
    <n v="0"/>
    <n v="0.8"/>
    <n v="0.68"/>
    <n v="1.62"/>
    <n v="1.46"/>
    <n v="0.51"/>
    <n v="0.73"/>
    <n v="5.8000000000000007"/>
    <n v="-0.21999999999999997"/>
  </r>
  <r>
    <x v="6"/>
    <x v="4"/>
    <x v="0"/>
    <s v="6870103"/>
    <n v="713046"/>
    <s v="Benefits-Group Dental"/>
    <s v="Employee Benefits"/>
    <x v="0"/>
    <m/>
    <n v="32209.27"/>
    <n v="32241.73"/>
    <n v="32058.32"/>
    <n v="31887.39"/>
    <n v="31935.59"/>
    <n v="31834.57"/>
    <n v="33353.15"/>
    <n v="33350.29"/>
    <n v="33004.800000000003"/>
    <n v="32941.58"/>
    <n v="33232.01"/>
    <n v="33155.760000000002"/>
    <n v="391204.46000000008"/>
    <n v="76.25"/>
  </r>
  <r>
    <x v="6"/>
    <x v="4"/>
    <x v="0"/>
    <s v="6870103"/>
    <n v="713046"/>
    <s v="Group Dental-Employee Deductions"/>
    <s v="Employee Benefits"/>
    <x v="0"/>
    <n v="1000"/>
    <n v="-10611.81"/>
    <n v="-17211.05"/>
    <n v="-11387.52"/>
    <n v="-11271.27"/>
    <n v="-11356.52"/>
    <n v="-11110.38"/>
    <n v="-11556.89"/>
    <n v="-11547.79"/>
    <n v="-17209.93"/>
    <n v="-11435.26"/>
    <n v="-11393.63"/>
    <n v="-11512.1"/>
    <n v="-147604.15"/>
    <n v="118.47000000000116"/>
  </r>
  <r>
    <x v="6"/>
    <x v="4"/>
    <x v="0"/>
    <s v="6870103"/>
    <n v="713046"/>
    <s v="Dental Imputed Income"/>
    <s v="Employee Benefits"/>
    <x v="0"/>
    <n v="1005"/>
    <n v="0"/>
    <n v="0"/>
    <n v="0"/>
    <n v="0"/>
    <n v="0"/>
    <n v="0"/>
    <n v="0.03"/>
    <n v="0.04"/>
    <n v="0.06"/>
    <n v="0.06"/>
    <n v="0.02"/>
    <n v="0.03"/>
    <n v="0.24"/>
    <n v="-9.9999999999999985E-3"/>
  </r>
  <r>
    <x v="6"/>
    <x v="4"/>
    <x v="0"/>
    <s v="6870103"/>
    <n v="713048"/>
    <s v="Benefits-Group Vision"/>
    <s v="Employee Benefits"/>
    <x v="0"/>
    <m/>
    <n v="4364.5200000000004"/>
    <n v="4362.26"/>
    <n v="4343.6000000000004"/>
    <n v="4316.59"/>
    <n v="4299.22"/>
    <n v="4285.3900000000003"/>
    <n v="5529.3"/>
    <n v="5514.44"/>
    <n v="5492.32"/>
    <n v="5469.86"/>
    <n v="5549.02"/>
    <n v="5509.58"/>
    <n v="59036.100000000006"/>
    <n v="39.440000000000509"/>
  </r>
  <r>
    <x v="6"/>
    <x v="4"/>
    <x v="0"/>
    <s v="6870103"/>
    <n v="713048"/>
    <s v="Group Vision-Employee Deductions"/>
    <s v="Employee Benefits"/>
    <x v="0"/>
    <n v="1000"/>
    <n v="-3830.44"/>
    <n v="-6168.42"/>
    <n v="-4060.31"/>
    <n v="-4015.06"/>
    <n v="-3972.05"/>
    <n v="-3962.91"/>
    <n v="-5070.7"/>
    <n v="-5069.66"/>
    <n v="-7610.25"/>
    <n v="-5049.96"/>
    <n v="-5068.6400000000003"/>
    <n v="-5097.7299999999996"/>
    <n v="-58976.130000000005"/>
    <n v="29.089999999999236"/>
  </r>
  <r>
    <x v="6"/>
    <x v="4"/>
    <x v="0"/>
    <s v="6870103"/>
    <n v="713050"/>
    <s v="Benefits-Group Disability"/>
    <s v="Employee Benefits"/>
    <x v="0"/>
    <m/>
    <n v="10703.63"/>
    <n v="10879.84"/>
    <n v="10921.4"/>
    <n v="10916.16"/>
    <n v="11019"/>
    <n v="11118.8"/>
    <n v="11093.42"/>
    <n v="11100.82"/>
    <n v="11180.48"/>
    <n v="10908.48"/>
    <n v="10967.7"/>
    <n v="10984.02"/>
    <n v="131793.75"/>
    <n v="-16.319999999999709"/>
  </r>
  <r>
    <x v="6"/>
    <x v="4"/>
    <x v="0"/>
    <s v="6870103"/>
    <n v="713054"/>
    <s v="Benefits-Group Life"/>
    <s v="Employee Benefits"/>
    <x v="0"/>
    <m/>
    <n v="9901.82"/>
    <n v="9901.42"/>
    <n v="9824.5499999999993"/>
    <n v="9716.2099999999991"/>
    <n v="9660.44"/>
    <n v="9646.35"/>
    <n v="9907.0400000000009"/>
    <n v="9971.6200000000008"/>
    <n v="10000.700000000001"/>
    <n v="9866.61"/>
    <n v="9963.24"/>
    <n v="9909.41"/>
    <n v="118269.41"/>
    <n v="53.829999999999927"/>
  </r>
  <r>
    <x v="6"/>
    <x v="4"/>
    <x v="0"/>
    <s v="6870103"/>
    <n v="713054"/>
    <s v="Group Life--Employee Deductions"/>
    <s v="Employee Benefits"/>
    <x v="0"/>
    <n v="1000"/>
    <n v="-7002.99"/>
    <n v="-10126.06"/>
    <n v="-6759.93"/>
    <n v="-6614.04"/>
    <n v="-6549.05"/>
    <n v="-6524.72"/>
    <n v="-6770.27"/>
    <n v="-7008.44"/>
    <n v="-10485.27"/>
    <n v="-6898.55"/>
    <n v="-6918.63"/>
    <n v="-7047.22"/>
    <n v="-88705.170000000013"/>
    <n v="128.59000000000015"/>
  </r>
  <r>
    <x v="6"/>
    <x v="4"/>
    <x v="0"/>
    <s v="6870103"/>
    <n v="713070"/>
    <s v="Benefits-Tuition Reimbursement"/>
    <s v="Employee Benefits"/>
    <x v="0"/>
    <m/>
    <n v="7196.7"/>
    <n v="5391"/>
    <n v="1660.7"/>
    <n v="4771"/>
    <n v="3000"/>
    <n v="0"/>
    <n v="2322.5"/>
    <n v="0"/>
    <n v="3000"/>
    <n v="15994.3"/>
    <n v="4405.22"/>
    <n v="9000"/>
    <n v="56741.42"/>
    <n v="-4594.78"/>
  </r>
  <r>
    <x v="6"/>
    <x v="4"/>
    <x v="0"/>
    <s v="6870103"/>
    <n v="713090"/>
    <s v="Benefits-Allocated Amounts"/>
    <s v="Employee Benefits"/>
    <x v="0"/>
    <m/>
    <n v="-719643.88"/>
    <n v="-642885.69999999995"/>
    <n v="-709776.08"/>
    <n v="-706002.63"/>
    <n v="-707309.26"/>
    <n v="-707033.4"/>
    <n v="-771970.91"/>
    <n v="-744659.88"/>
    <n v="-713940.79"/>
    <n v="-784227.87"/>
    <n v="-759537.68"/>
    <n v="-774759.07"/>
    <n v="-8741747.1499999985"/>
    <n v="15221.389999999898"/>
  </r>
  <r>
    <x v="6"/>
    <x v="4"/>
    <x v="0"/>
    <s v="6870103"/>
    <n v="713096"/>
    <s v="Benefits-Other"/>
    <s v="Employee Benefits"/>
    <x v="0"/>
    <m/>
    <n v="399"/>
    <n v="0"/>
    <n v="0"/>
    <n v="0"/>
    <n v="540"/>
    <n v="0"/>
    <n v="555.66"/>
    <n v="0"/>
    <n v="0.12"/>
    <n v="421.02"/>
    <n v="-0.23"/>
    <n v="0.1"/>
    <n v="1915.6699999999996"/>
    <n v="-0.33"/>
  </r>
  <r>
    <x v="6"/>
    <x v="4"/>
    <x v="0"/>
    <s v="6870103"/>
    <n v="713096"/>
    <s v="Relocation"/>
    <s v="Employee Benefits"/>
    <x v="0"/>
    <n v="1011"/>
    <n v="0"/>
    <n v="0"/>
    <n v="0"/>
    <n v="1076.92"/>
    <n v="0"/>
    <n v="0"/>
    <n v="0"/>
    <n v="0"/>
    <n v="0"/>
    <n v="0"/>
    <n v="0"/>
    <n v="2153.85"/>
    <n v="3230.77"/>
    <n v="-2153.85"/>
  </r>
  <r>
    <x v="6"/>
    <x v="4"/>
    <x v="0"/>
    <s v="6870103"/>
    <n v="713096"/>
    <s v="Taxable Fringe Benefits"/>
    <s v="Employee Benefits"/>
    <x v="0"/>
    <n v="1012"/>
    <n v="0"/>
    <n v="0"/>
    <n v="0"/>
    <n v="0"/>
    <n v="0"/>
    <n v="2500"/>
    <n v="0"/>
    <n v="0"/>
    <n v="0"/>
    <n v="0"/>
    <n v="0"/>
    <n v="0"/>
    <n v="2500"/>
    <n v="0"/>
  </r>
  <r>
    <x v="5"/>
    <x v="8"/>
    <x v="0"/>
    <s v="6870104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6870104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6870104"/>
    <n v="713010"/>
    <s v="Benefits-FICA/Medicare"/>
    <s v="Employee Benefits"/>
    <x v="0"/>
    <m/>
    <n v="1954.03"/>
    <n v="1355.32"/>
    <n v="1403.99"/>
    <n v="1392.78"/>
    <n v="1350"/>
    <n v="630.16"/>
    <n v="1625.4"/>
    <n v="1568.47"/>
    <n v="1765.87"/>
    <n v="1589.84"/>
    <n v="1905.79"/>
    <n v="1591.55"/>
    <n v="18133.2"/>
    <n v="314.24"/>
  </r>
  <r>
    <x v="6"/>
    <x v="8"/>
    <x v="0"/>
    <s v="6870104"/>
    <n v="713022"/>
    <s v="Benefits-State Unemployment"/>
    <s v="Employee Benefits"/>
    <x v="0"/>
    <m/>
    <n v="1861.01"/>
    <n v="-4965.4399999999996"/>
    <n v="1097.32"/>
    <n v="547.82000000000005"/>
    <n v="766.44"/>
    <n v="766.44"/>
    <n v="-754.37"/>
    <n v="490.22"/>
    <n v="490.23"/>
    <n v="17413.82"/>
    <n v="2301.25"/>
    <n v="2301.2600000000002"/>
    <n v="22316"/>
    <n v="-1.0000000000218279E-2"/>
  </r>
  <r>
    <x v="6"/>
    <x v="8"/>
    <x v="0"/>
    <s v="6870104"/>
    <n v="713030"/>
    <s v="Benefits-Workers Comp-CHI Programs"/>
    <s v="Employee Benefits"/>
    <x v="0"/>
    <m/>
    <n v="57053.919999999998"/>
    <n v="57053.919999999998"/>
    <n v="57053.919999999998"/>
    <n v="57053.919999999998"/>
    <n v="57053.919999999998"/>
    <n v="57053.919999999998"/>
    <n v="57053.919999999998"/>
    <n v="57053.919999999998"/>
    <n v="57053.919999999998"/>
    <n v="57053.919999999998"/>
    <n v="57053.919999999998"/>
    <n v="57053.919999999998"/>
    <n v="684647.04"/>
    <n v="0"/>
  </r>
  <r>
    <x v="6"/>
    <x v="8"/>
    <x v="0"/>
    <s v="6870104"/>
    <n v="713031"/>
    <s v="Benefits-Workers Comp-Ext to CHI Programs"/>
    <s v="Employee Benefits"/>
    <x v="0"/>
    <m/>
    <n v="-123.06"/>
    <n v="-207.72"/>
    <n v="-122.67"/>
    <n v="-127.2"/>
    <n v="-126.79"/>
    <n v="-111.47"/>
    <n v="-100.54"/>
    <n v="-133.94"/>
    <n v="-196.18"/>
    <n v="-134.54"/>
    <n v="-130.91999999999999"/>
    <n v="-127.72"/>
    <n v="-1642.75"/>
    <n v="-3.1999999999999886"/>
  </r>
  <r>
    <x v="6"/>
    <x v="8"/>
    <x v="0"/>
    <s v="6870104"/>
    <n v="713034"/>
    <s v="Benefits-Flex Credits"/>
    <s v="Employee Benefits"/>
    <x v="0"/>
    <m/>
    <n v="10142.23"/>
    <n v="10409.629999999999"/>
    <n v="11218.99"/>
    <n v="10628.79"/>
    <n v="10375.48"/>
    <n v="11313.14"/>
    <n v="12425.21"/>
    <n v="12969.93"/>
    <n v="14058.42"/>
    <n v="10707.81"/>
    <n v="13784.56"/>
    <n v="13114.67"/>
    <n v="141148.85999999999"/>
    <n v="669.88999999999942"/>
  </r>
  <r>
    <x v="6"/>
    <x v="8"/>
    <x v="0"/>
    <s v="6870104"/>
    <n v="713039"/>
    <s v="401K ER Match"/>
    <s v="Employee Benefits"/>
    <x v="0"/>
    <n v="1000"/>
    <n v="95956.85"/>
    <n v="96424.21"/>
    <n v="95351.96"/>
    <n v="95909.6"/>
    <n v="90955.09"/>
    <n v="100847.19"/>
    <n v="102944.48"/>
    <n v="97128.4"/>
    <n v="105298.92"/>
    <n v="103128.92"/>
    <n v="102837.51"/>
    <n v="102435.1"/>
    <n v="1189218.23"/>
    <n v="402.40999999998894"/>
  </r>
  <r>
    <x v="6"/>
    <x v="8"/>
    <x v="0"/>
    <s v="6870104"/>
    <n v="713039"/>
    <s v="401K ER Annual Contribution"/>
    <s v="Employee Benefits"/>
    <x v="0"/>
    <n v="1001"/>
    <n v="68242"/>
    <n v="68613"/>
    <n v="70585"/>
    <n v="69717"/>
    <n v="70263"/>
    <n v="71103"/>
    <n v="71507"/>
    <n v="72031"/>
    <n v="107437.45"/>
    <n v="82224"/>
    <n v="80030"/>
    <n v="89724.95"/>
    <n v="921477.39999999991"/>
    <n v="-9694.9499999999971"/>
  </r>
  <r>
    <x v="6"/>
    <x v="8"/>
    <x v="0"/>
    <s v="6870104"/>
    <n v="713042"/>
    <s v="Benefits-Group Medical"/>
    <s v="Employee Benefits"/>
    <x v="0"/>
    <m/>
    <n v="433292"/>
    <n v="427433.88"/>
    <n v="422554.45"/>
    <n v="429018"/>
    <n v="433966"/>
    <n v="439974"/>
    <n v="467219"/>
    <n v="472875"/>
    <n v="467483.15"/>
    <n v="458131"/>
    <n v="457209"/>
    <n v="451156"/>
    <n v="5360311.4800000004"/>
    <n v="6053"/>
  </r>
  <r>
    <x v="6"/>
    <x v="8"/>
    <x v="0"/>
    <s v="6870104"/>
    <n v="713042"/>
    <s v="Group Medical--Employee Deductions"/>
    <s v="Employee Benefits"/>
    <x v="0"/>
    <n v="1000"/>
    <n v="-53906.29"/>
    <n v="-90112.92"/>
    <n v="-56049.99"/>
    <n v="-56288.49"/>
    <n v="-56220.22"/>
    <n v="-56723.03"/>
    <n v="-60376.29"/>
    <n v="-61177.21"/>
    <n v="-92111.05"/>
    <n v="-58145.35"/>
    <n v="-59104.95"/>
    <n v="-54889.77"/>
    <n v="-755105.55999999994"/>
    <n v="-4215.18"/>
  </r>
  <r>
    <x v="6"/>
    <x v="8"/>
    <x v="0"/>
    <s v="6870104"/>
    <n v="713042"/>
    <s v="Medical Imputed Income"/>
    <s v="Employee Benefits"/>
    <x v="0"/>
    <n v="1005"/>
    <n v="0"/>
    <n v="0"/>
    <n v="0"/>
    <n v="0"/>
    <n v="0"/>
    <n v="0"/>
    <n v="1.43"/>
    <n v="1.22"/>
    <n v="1.35"/>
    <n v="1.31"/>
    <n v="0.47"/>
    <n v="0.67"/>
    <n v="6.45"/>
    <n v="-0.20000000000000007"/>
  </r>
  <r>
    <x v="6"/>
    <x v="8"/>
    <x v="0"/>
    <s v="6870104"/>
    <n v="713046"/>
    <s v="Benefits-Group Dental"/>
    <s v="Employee Benefits"/>
    <x v="0"/>
    <m/>
    <n v="27935.42"/>
    <n v="27494.91"/>
    <n v="27059.89"/>
    <n v="27334.93"/>
    <n v="27637.74"/>
    <n v="27960.25"/>
    <n v="28238.11"/>
    <n v="28508.639999999999"/>
    <n v="28042.16"/>
    <n v="27645.03"/>
    <n v="27774.07"/>
    <n v="27404.2"/>
    <n v="333035.35000000003"/>
    <n v="369.86999999999898"/>
  </r>
  <r>
    <x v="6"/>
    <x v="8"/>
    <x v="0"/>
    <s v="6870104"/>
    <n v="713046"/>
    <s v="Group Dental-Employee Deductions"/>
    <s v="Employee Benefits"/>
    <x v="0"/>
    <n v="1000"/>
    <n v="-9199.4"/>
    <n v="-14282.4"/>
    <n v="-9210.92"/>
    <n v="-9351.91"/>
    <n v="-9344.7000000000007"/>
    <n v="-9476.0300000000007"/>
    <n v="-9540.1299999999992"/>
    <n v="-9539.32"/>
    <n v="-14082.02"/>
    <n v="-9434.3700000000008"/>
    <n v="-9346.7199999999993"/>
    <n v="-9146.36"/>
    <n v="-121954.28"/>
    <n v="-200.35999999999876"/>
  </r>
  <r>
    <x v="6"/>
    <x v="8"/>
    <x v="0"/>
    <s v="6870104"/>
    <n v="713046"/>
    <s v="Dental Imputed Income"/>
    <s v="Employee Benefits"/>
    <x v="0"/>
    <n v="1005"/>
    <n v="0"/>
    <n v="0"/>
    <n v="0"/>
    <n v="0"/>
    <n v="0"/>
    <n v="0"/>
    <n v="0.04"/>
    <n v="0.04"/>
    <n v="0.04"/>
    <n v="0.04"/>
    <n v="0.02"/>
    <n v="0.03"/>
    <n v="0.21"/>
    <n v="-9.9999999999999985E-3"/>
  </r>
  <r>
    <x v="6"/>
    <x v="8"/>
    <x v="0"/>
    <s v="6870104"/>
    <n v="713048"/>
    <s v="Benefits-Group Vision"/>
    <s v="Employee Benefits"/>
    <x v="0"/>
    <m/>
    <n v="3933.44"/>
    <n v="3891.34"/>
    <n v="3818.61"/>
    <n v="3822.33"/>
    <n v="3865.79"/>
    <n v="3909.92"/>
    <n v="4928.22"/>
    <n v="4944.42"/>
    <n v="4882.3599999999997"/>
    <n v="4780.58"/>
    <n v="4774.32"/>
    <n v="4675.5"/>
    <n v="52226.83"/>
    <n v="98.819999999999709"/>
  </r>
  <r>
    <x v="6"/>
    <x v="8"/>
    <x v="0"/>
    <s v="6870104"/>
    <n v="713048"/>
    <s v="Group Vision-Employee Deductions"/>
    <s v="Employee Benefits"/>
    <x v="0"/>
    <n v="1000"/>
    <n v="-3500.04"/>
    <n v="-5451.49"/>
    <n v="-3550.16"/>
    <n v="-3555.96"/>
    <n v="-3557.7"/>
    <n v="-3600.22"/>
    <n v="-4536.8900000000003"/>
    <n v="-4569.24"/>
    <n v="-6684.59"/>
    <n v="-4429.76"/>
    <n v="-4411.18"/>
    <n v="-4269.83"/>
    <n v="-52117.06"/>
    <n v="-141.35000000000036"/>
  </r>
  <r>
    <x v="6"/>
    <x v="8"/>
    <x v="0"/>
    <s v="6870104"/>
    <n v="713050"/>
    <s v="Benefits-Group Disability"/>
    <s v="Employee Benefits"/>
    <x v="0"/>
    <m/>
    <n v="10185.17"/>
    <n v="10284.200000000001"/>
    <n v="10249.049999999999"/>
    <n v="10135.09"/>
    <n v="10435.379999999999"/>
    <n v="10915.71"/>
    <n v="10788.03"/>
    <n v="10905.88"/>
    <n v="10817.9"/>
    <n v="10802.64"/>
    <n v="10741.69"/>
    <n v="10627.01"/>
    <n v="126887.75"/>
    <n v="114.68000000000029"/>
  </r>
  <r>
    <x v="6"/>
    <x v="8"/>
    <x v="0"/>
    <s v="6870104"/>
    <n v="713054"/>
    <s v="Benefits-Group Life"/>
    <s v="Employee Benefits"/>
    <x v="0"/>
    <m/>
    <n v="9674.9500000000007"/>
    <n v="9533.31"/>
    <n v="9492.1"/>
    <n v="9522.49"/>
    <n v="9508.17"/>
    <n v="9593.49"/>
    <n v="9955.08"/>
    <n v="10082.379999999999"/>
    <n v="10035.219999999999"/>
    <n v="10086.75"/>
    <n v="9946.08"/>
    <n v="9539.2999999999993"/>
    <n v="116969.32"/>
    <n v="406.78000000000065"/>
  </r>
  <r>
    <x v="6"/>
    <x v="8"/>
    <x v="0"/>
    <s v="6870104"/>
    <n v="713054"/>
    <s v="Group Life--Employee Deductions"/>
    <s v="Employee Benefits"/>
    <x v="0"/>
    <n v="1000"/>
    <n v="-6416.4"/>
    <n v="-10142.58"/>
    <n v="-6785.88"/>
    <n v="-6643.69"/>
    <n v="-6578.48"/>
    <n v="-6549.89"/>
    <n v="-6904.28"/>
    <n v="-7051.34"/>
    <n v="-10680.48"/>
    <n v="-6962.08"/>
    <n v="-6966.89"/>
    <n v="-6494.7"/>
    <n v="-88176.689999999988"/>
    <n v="-472.19000000000051"/>
  </r>
  <r>
    <x v="6"/>
    <x v="8"/>
    <x v="0"/>
    <s v="6870104"/>
    <n v="713070"/>
    <s v="Benefits-Tuition Reimbursement"/>
    <s v="Employee Benefits"/>
    <x v="0"/>
    <m/>
    <n v="2099.6999999999998"/>
    <n v="2210"/>
    <n v="0"/>
    <n v="3000"/>
    <n v="3867.16"/>
    <n v="7545.76"/>
    <n v="9488.17"/>
    <n v="4874.1000000000004"/>
    <n v="3563.65"/>
    <n v="5821.51"/>
    <n v="7103.95"/>
    <n v="11478.23"/>
    <n v="61052.229999999996"/>
    <n v="-4374.28"/>
  </r>
  <r>
    <x v="6"/>
    <x v="8"/>
    <x v="0"/>
    <s v="6870104"/>
    <n v="713090"/>
    <s v="Benefits-Allocated Amounts"/>
    <s v="Employee Benefits"/>
    <x v="0"/>
    <m/>
    <n v="-652243.42000000004"/>
    <n v="-589537.12"/>
    <n v="-634170.98"/>
    <n v="-642156.34"/>
    <n v="-644937.03"/>
    <n v="-663713.02"/>
    <n v="-694620.51"/>
    <n v="-690947.81"/>
    <n v="-687085.07"/>
    <n v="-710882.62"/>
    <n v="-699648.45"/>
    <n v="-706241.13"/>
    <n v="-8016183.5000000009"/>
    <n v="6592.6800000000512"/>
  </r>
  <r>
    <x v="6"/>
    <x v="8"/>
    <x v="0"/>
    <s v="6870104"/>
    <n v="713096"/>
    <s v="Benefits-Other"/>
    <s v="Employee Benefits"/>
    <x v="0"/>
    <m/>
    <n v="477"/>
    <n v="0"/>
    <n v="0"/>
    <n v="0"/>
    <n v="678"/>
    <n v="0"/>
    <n v="543.79"/>
    <n v="0.15"/>
    <n v="0.26"/>
    <n v="803.23"/>
    <n v="-0.59"/>
    <n v="0.22"/>
    <n v="2502.06"/>
    <n v="-0.80999999999999994"/>
  </r>
  <r>
    <x v="6"/>
    <x v="8"/>
    <x v="0"/>
    <s v="6870104"/>
    <n v="713096"/>
    <s v="Relocation"/>
    <s v="Employee Benefits"/>
    <x v="0"/>
    <n v="1011"/>
    <n v="2585.94"/>
    <n v="0"/>
    <n v="0"/>
    <n v="0"/>
    <n v="0"/>
    <n v="-3823.07"/>
    <n v="0"/>
    <n v="0"/>
    <n v="0"/>
    <n v="0"/>
    <n v="0"/>
    <n v="0"/>
    <n v="-1237.1300000000001"/>
    <n v="0"/>
  </r>
  <r>
    <x v="6"/>
    <x v="8"/>
    <x v="0"/>
    <s v="6870104"/>
    <n v="713096"/>
    <s v="Taxable Fringe Benefits"/>
    <s v="Employee Benefits"/>
    <x v="0"/>
    <n v="1012"/>
    <n v="0"/>
    <n v="0"/>
    <n v="0"/>
    <n v="0"/>
    <n v="0"/>
    <n v="2500"/>
    <n v="0"/>
    <n v="0"/>
    <n v="0"/>
    <n v="0"/>
    <n v="0"/>
    <n v="0"/>
    <n v="2500"/>
    <n v="0"/>
  </r>
  <r>
    <x v="6"/>
    <x v="8"/>
    <x v="0"/>
    <s v="6870104"/>
    <n v="713096"/>
    <s v="Adoption Assistance Program"/>
    <s v="Employee Benefits"/>
    <x v="0"/>
    <n v="1014"/>
    <n v="0"/>
    <n v="0"/>
    <n v="0"/>
    <n v="0"/>
    <n v="0"/>
    <n v="0"/>
    <n v="0"/>
    <n v="0"/>
    <n v="0"/>
    <n v="0"/>
    <n v="4005.86"/>
    <n v="0"/>
    <n v="4005.86"/>
    <n v="4005.86"/>
  </r>
  <r>
    <x v="5"/>
    <x v="5"/>
    <x v="0"/>
    <s v="6870106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6870106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6870106"/>
    <n v="700034"/>
    <s v="Salaries-Tech/Professional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6870106"/>
    <n v="700054"/>
    <s v="Salaries-Management-NonProd-Other"/>
    <s v="Employee Benefits"/>
    <x v="0"/>
    <n v="2000"/>
    <n v="0"/>
    <n v="0"/>
    <n v="0"/>
    <n v="0"/>
    <n v="0"/>
    <n v="0"/>
    <n v="-3705.19"/>
    <n v="3705.19"/>
    <n v="0"/>
    <n v="0"/>
    <n v="0"/>
    <n v="0"/>
    <n v="0"/>
    <n v="0"/>
  </r>
  <r>
    <x v="6"/>
    <x v="5"/>
    <x v="0"/>
    <s v="6870106"/>
    <n v="713010"/>
    <s v="Benefits-FICA/Medicare"/>
    <s v="Employee Benefits"/>
    <x v="0"/>
    <m/>
    <n v="687.37"/>
    <n v="1030.53"/>
    <n v="543.77"/>
    <n v="1098.32"/>
    <n v="500"/>
    <n v="1148.22"/>
    <n v="1095.44"/>
    <n v="628.95000000000005"/>
    <n v="627.33000000000004"/>
    <n v="1622.78"/>
    <n v="1214.4000000000001"/>
    <n v="686.77"/>
    <n v="10883.88"/>
    <n v="527.63000000000011"/>
  </r>
  <r>
    <x v="6"/>
    <x v="5"/>
    <x v="0"/>
    <s v="6870106"/>
    <n v="713022"/>
    <s v="Benefits-State Unemployment"/>
    <s v="Employee Benefits"/>
    <x v="0"/>
    <m/>
    <n v="11620.21"/>
    <n v="18459.59"/>
    <n v="11728.28"/>
    <n v="4057.58"/>
    <n v="11253.76"/>
    <n v="11253.76"/>
    <n v="11253.76"/>
    <n v="-2246.4499999999998"/>
    <n v="10203.74"/>
    <n v="7132.44"/>
    <n v="8809.34"/>
    <n v="8809.35"/>
    <n v="112335.36000000002"/>
    <n v="-1.0000000000218279E-2"/>
  </r>
  <r>
    <x v="6"/>
    <x v="5"/>
    <x v="0"/>
    <s v="6870106"/>
    <n v="713030"/>
    <s v="Benefits-Workers Comp-CHI Programs"/>
    <s v="Employee Benefits"/>
    <x v="0"/>
    <m/>
    <n v="84390.81"/>
    <n v="84390.81"/>
    <n v="84390.81"/>
    <n v="84390.81"/>
    <n v="84390.81"/>
    <n v="84390.81"/>
    <n v="84390.81"/>
    <n v="84390.81"/>
    <n v="84390.81"/>
    <n v="84390.81"/>
    <n v="84390.81"/>
    <n v="84390.81"/>
    <n v="1012689.7200000002"/>
    <n v="0"/>
  </r>
  <r>
    <x v="6"/>
    <x v="5"/>
    <x v="0"/>
    <s v="6870106"/>
    <n v="713031"/>
    <s v="Benefits-Workers Comp-Ext to CHI Programs"/>
    <s v="Employee Benefits"/>
    <x v="0"/>
    <m/>
    <n v="-4571.41"/>
    <n v="-7049.62"/>
    <n v="-4719.05"/>
    <n v="-4897.6400000000003"/>
    <n v="-4789.1499999999996"/>
    <n v="-4761.7700000000004"/>
    <n v="-4787.96"/>
    <n v="-5210.45"/>
    <n v="-7933.96"/>
    <n v="-5285.67"/>
    <n v="-5138.16"/>
    <n v="-5150.1099999999997"/>
    <n v="-64294.95"/>
    <n v="11.949999999999818"/>
  </r>
  <r>
    <x v="6"/>
    <x v="5"/>
    <x v="0"/>
    <s v="6870106"/>
    <n v="713034"/>
    <s v="Benefits-Flex Credits"/>
    <s v="Employee Benefits"/>
    <x v="0"/>
    <m/>
    <n v="0"/>
    <n v="0"/>
    <n v="0"/>
    <n v="0"/>
    <n v="0"/>
    <n v="0"/>
    <n v="961.91"/>
    <n v="-0.5"/>
    <n v="-659.16"/>
    <n v="0.72"/>
    <n v="0"/>
    <n v="0"/>
    <n v="302.97000000000003"/>
    <n v="0"/>
  </r>
  <r>
    <x v="6"/>
    <x v="5"/>
    <x v="0"/>
    <s v="6870106"/>
    <n v="713039"/>
    <s v="401K ER Match"/>
    <s v="Employee Benefits"/>
    <x v="0"/>
    <n v="1000"/>
    <n v="50168.160000000003"/>
    <n v="50916.11"/>
    <n v="49320.84"/>
    <n v="46215.64"/>
    <n v="46112.62"/>
    <n v="46121.64"/>
    <n v="49709.16"/>
    <n v="45487.75"/>
    <n v="51569.22"/>
    <n v="50679.85"/>
    <n v="51001.22"/>
    <n v="49481.43"/>
    <n v="586783.64"/>
    <n v="1519.7900000000009"/>
  </r>
  <r>
    <x v="6"/>
    <x v="5"/>
    <x v="0"/>
    <s v="6870106"/>
    <n v="713039"/>
    <s v="401K ER Annual Contribution"/>
    <s v="Employee Benefits"/>
    <x v="0"/>
    <n v="1001"/>
    <n v="38414"/>
    <n v="38384"/>
    <n v="38711"/>
    <n v="38371"/>
    <n v="38432"/>
    <n v="38446"/>
    <n v="38181"/>
    <n v="38439"/>
    <n v="-7705.51"/>
    <n v="42803"/>
    <n v="41942"/>
    <n v="43005.72"/>
    <n v="427423.20999999996"/>
    <n v="-1063.7200000000012"/>
  </r>
  <r>
    <x v="6"/>
    <x v="5"/>
    <x v="0"/>
    <s v="6870106"/>
    <n v="713042"/>
    <s v="Benefits-Group Medical"/>
    <s v="Employee Benefits"/>
    <x v="0"/>
    <m/>
    <n v="697767.71"/>
    <n v="694644.34"/>
    <n v="691573.58"/>
    <n v="690219.53"/>
    <n v="698626.22"/>
    <n v="698072.14"/>
    <n v="704204"/>
    <n v="692772"/>
    <n v="688061.1"/>
    <n v="685063"/>
    <n v="677058"/>
    <n v="671767.25"/>
    <n v="8289828.8699999992"/>
    <n v="5290.75"/>
  </r>
  <r>
    <x v="6"/>
    <x v="5"/>
    <x v="0"/>
    <s v="6870106"/>
    <n v="713042"/>
    <s v="Group Medical--Employee Deductions"/>
    <s v="Employee Benefits"/>
    <x v="0"/>
    <n v="1000"/>
    <n v="-39577.29"/>
    <n v="-122287.6"/>
    <n v="-79338.06"/>
    <n v="-70639.89"/>
    <n v="-70083.570000000007"/>
    <n v="-70411.69"/>
    <n v="-63455.37"/>
    <n v="-62252.17"/>
    <n v="-90795.97"/>
    <n v="-61374.04"/>
    <n v="-61424.56"/>
    <n v="-57996.67"/>
    <n v="-849636.88"/>
    <n v="-3427.8899999999994"/>
  </r>
  <r>
    <x v="6"/>
    <x v="5"/>
    <x v="0"/>
    <s v="6870106"/>
    <n v="713042"/>
    <s v="Medical Imputed Income"/>
    <s v="Employee Benefits"/>
    <x v="0"/>
    <n v="1005"/>
    <n v="0"/>
    <n v="0"/>
    <n v="0"/>
    <n v="0"/>
    <n v="0"/>
    <n v="0"/>
    <n v="1.03"/>
    <n v="0"/>
    <n v="0"/>
    <n v="0"/>
    <n v="0"/>
    <n v="0"/>
    <n v="1.03"/>
    <n v="0"/>
  </r>
  <r>
    <x v="6"/>
    <x v="5"/>
    <x v="0"/>
    <s v="6870106"/>
    <n v="713046"/>
    <s v="Benefits-Group Dental"/>
    <s v="Employee Benefits"/>
    <x v="0"/>
    <m/>
    <n v="37666.800000000003"/>
    <n v="37762.239999999998"/>
    <n v="37411.370000000003"/>
    <n v="37783.370000000003"/>
    <n v="37703.129999999997"/>
    <n v="37631.11"/>
    <n v="38007.269999999997"/>
    <n v="37454.33"/>
    <n v="37507.14"/>
    <n v="37017.040000000001"/>
    <n v="36519.14"/>
    <n v="36468.69"/>
    <n v="448931.63000000006"/>
    <n v="50.44999999999709"/>
  </r>
  <r>
    <x v="6"/>
    <x v="5"/>
    <x v="0"/>
    <s v="6870106"/>
    <n v="713046"/>
    <s v="Group Dental-Employee Deductions"/>
    <s v="Employee Benefits"/>
    <x v="0"/>
    <n v="1000"/>
    <n v="-14190.72"/>
    <n v="-29811.53"/>
    <n v="-19381.34"/>
    <n v="-18746.61"/>
    <n v="-18632.310000000001"/>
    <n v="-18641.560000000001"/>
    <n v="-18655.95"/>
    <n v="-18446.66"/>
    <n v="-27678.42"/>
    <n v="-18225.169999999998"/>
    <n v="-18021.919999999998"/>
    <n v="-17785.46"/>
    <n v="-238217.64999999994"/>
    <n v="-236.45999999999913"/>
  </r>
  <r>
    <x v="6"/>
    <x v="5"/>
    <x v="0"/>
    <s v="6870106"/>
    <n v="713046"/>
    <s v="Dental Imputed Income"/>
    <s v="Employee Benefits"/>
    <x v="0"/>
    <n v="1005"/>
    <n v="0"/>
    <n v="0"/>
    <n v="0"/>
    <n v="0"/>
    <n v="0"/>
    <n v="0"/>
    <n v="0.02"/>
    <n v="0.02"/>
    <n v="0.02"/>
    <n v="0.02"/>
    <n v="0.02"/>
    <n v="0.03"/>
    <n v="0.13"/>
    <n v="-9.9999999999999985E-3"/>
  </r>
  <r>
    <x v="6"/>
    <x v="5"/>
    <x v="0"/>
    <s v="6870106"/>
    <n v="713048"/>
    <s v="Benefits-Group Vision"/>
    <s v="Employee Benefits"/>
    <x v="0"/>
    <m/>
    <n v="4859.21"/>
    <n v="4877.87"/>
    <n v="4845.43"/>
    <n v="4869.74"/>
    <n v="4923.99"/>
    <n v="4915.4799999999996"/>
    <n v="6358.46"/>
    <n v="6264.28"/>
    <n v="6230.26"/>
    <n v="6154.62"/>
    <n v="6023.12"/>
    <n v="6009.38"/>
    <n v="66331.840000000011"/>
    <n v="13.739999999999782"/>
  </r>
  <r>
    <x v="6"/>
    <x v="5"/>
    <x v="0"/>
    <s v="6870106"/>
    <n v="713048"/>
    <s v="Group Vision-Employee Deductions"/>
    <s v="Employee Benefits"/>
    <x v="0"/>
    <n v="1000"/>
    <n v="-3023.61"/>
    <n v="-7412.28"/>
    <n v="-4836.16"/>
    <n v="-4547.43"/>
    <n v="-4558.42"/>
    <n v="-4533.32"/>
    <n v="-5834.41"/>
    <n v="-5746.4"/>
    <n v="-8595.66"/>
    <n v="-5642.71"/>
    <n v="-5572.96"/>
    <n v="-5464.12"/>
    <n v="-65767.48"/>
    <n v="-108.84000000000015"/>
  </r>
  <r>
    <x v="6"/>
    <x v="5"/>
    <x v="0"/>
    <s v="6870106"/>
    <n v="713050"/>
    <s v="Benefits-Group Disability"/>
    <s v="Employee Benefits"/>
    <x v="0"/>
    <m/>
    <n v="14173.56"/>
    <n v="14245.5"/>
    <n v="14037.05"/>
    <n v="14087.39"/>
    <n v="14112.72"/>
    <n v="14139.58"/>
    <n v="13963.16"/>
    <n v="14135.19"/>
    <n v="14070.97"/>
    <n v="14031.02"/>
    <n v="13894.85"/>
    <n v="13933.18"/>
    <n v="168824.17"/>
    <n v="-38.329999999999927"/>
  </r>
  <r>
    <x v="6"/>
    <x v="5"/>
    <x v="0"/>
    <s v="6870106"/>
    <n v="713054"/>
    <s v="Benefits-Group Life"/>
    <s v="Employee Benefits"/>
    <x v="0"/>
    <m/>
    <n v="9477.9"/>
    <n v="9522.0300000000007"/>
    <n v="9460.18"/>
    <n v="9441.9699999999993"/>
    <n v="9478.86"/>
    <n v="9477.52"/>
    <n v="9812.02"/>
    <n v="9883.67"/>
    <n v="9947.74"/>
    <n v="9869.8700000000008"/>
    <n v="9692.81"/>
    <n v="9598.7099999999991"/>
    <n v="115663.28"/>
    <n v="94.100000000000364"/>
  </r>
  <r>
    <x v="6"/>
    <x v="5"/>
    <x v="0"/>
    <s v="6870106"/>
    <n v="713054"/>
    <s v="Group Life--Employee Deductions"/>
    <s v="Employee Benefits"/>
    <x v="0"/>
    <n v="1000"/>
    <n v="-4205.5200000000004"/>
    <n v="-9404.9"/>
    <n v="-6361.06"/>
    <n v="-5906.46"/>
    <n v="-5687.05"/>
    <n v="-5724.17"/>
    <n v="-6113.27"/>
    <n v="-6185.73"/>
    <n v="-9290.2199999999993"/>
    <n v="-6147.72"/>
    <n v="-6041.98"/>
    <n v="-5869.29"/>
    <n v="-76937.369999999981"/>
    <n v="-172.6899999999996"/>
  </r>
  <r>
    <x v="6"/>
    <x v="5"/>
    <x v="0"/>
    <s v="6870106"/>
    <n v="713058"/>
    <s v="Benefits-Supplemental EE Retirement Plan"/>
    <s v="Employee Benefits"/>
    <x v="0"/>
    <m/>
    <n v="10190.25"/>
    <n v="10190.25"/>
    <n v="10190.25"/>
    <n v="10190.25"/>
    <n v="10190.25"/>
    <n v="10190.25"/>
    <n v="10190.25"/>
    <n v="10190.25"/>
    <n v="10190.25"/>
    <n v="10190.25"/>
    <n v="10190.25"/>
    <n v="10190.25"/>
    <n v="122283"/>
    <n v="0"/>
  </r>
  <r>
    <x v="6"/>
    <x v="5"/>
    <x v="0"/>
    <s v="6870106"/>
    <n v="713070"/>
    <s v="Benefits-Tuition Reimbursement"/>
    <s v="Employee Benefits"/>
    <x v="0"/>
    <m/>
    <n v="4051.7"/>
    <n v="3000"/>
    <n v="2103.4"/>
    <n v="0"/>
    <n v="0"/>
    <n v="888.07"/>
    <n v="1921.61"/>
    <n v="1750"/>
    <n v="0"/>
    <n v="3227.7"/>
    <n v="1075.9000000000001"/>
    <n v="1484.75"/>
    <n v="19503.13"/>
    <n v="-408.84999999999991"/>
  </r>
  <r>
    <x v="6"/>
    <x v="5"/>
    <x v="0"/>
    <s v="6870106"/>
    <n v="713090"/>
    <s v="Benefits-Allocated Amounts"/>
    <s v="Employee Benefits"/>
    <x v="0"/>
    <m/>
    <n v="-897861.17"/>
    <n v="-793722.18"/>
    <n v="-839605.21"/>
    <n v="-838238.29"/>
    <n v="-852045.7"/>
    <n v="-858286.02"/>
    <n v="-872357.77"/>
    <n v="-835416.23"/>
    <n v="-760532.13"/>
    <n v="-858914.76"/>
    <n v="-848641.83"/>
    <n v="-843640.85"/>
    <n v="-10099262.140000001"/>
    <n v="-5000.9799999999814"/>
  </r>
  <r>
    <x v="6"/>
    <x v="5"/>
    <x v="0"/>
    <s v="6870106"/>
    <n v="713096"/>
    <s v="Benefits-Other"/>
    <s v="Employee Benefits"/>
    <x v="0"/>
    <m/>
    <n v="0"/>
    <n v="0"/>
    <n v="0"/>
    <n v="0"/>
    <n v="0"/>
    <n v="0"/>
    <n v="1459.95"/>
    <n v="-4.96"/>
    <n v="-14.88"/>
    <n v="-9.8699999999999992"/>
    <n v="-9.9600000000000009"/>
    <n v="0.05"/>
    <n v="1420.33"/>
    <n v="-10.010000000000002"/>
  </r>
  <r>
    <x v="6"/>
    <x v="5"/>
    <x v="0"/>
    <s v="6870106"/>
    <n v="713096"/>
    <s v="Relocation"/>
    <s v="Employee Benefits"/>
    <x v="0"/>
    <n v="1011"/>
    <n v="0"/>
    <n v="2165.17"/>
    <n v="0"/>
    <n v="2159.92"/>
    <n v="0"/>
    <n v="889.5"/>
    <n v="0"/>
    <n v="-6000"/>
    <n v="0"/>
    <n v="4024.1"/>
    <n v="2570.61"/>
    <n v="0"/>
    <n v="5809.3"/>
    <n v="2570.61"/>
  </r>
  <r>
    <x v="6"/>
    <x v="5"/>
    <x v="0"/>
    <s v="6870106"/>
    <n v="713096"/>
    <s v="Taxable Fringe Benefits"/>
    <s v="Employee Benefits"/>
    <x v="0"/>
    <n v="1012"/>
    <n v="0"/>
    <n v="0"/>
    <n v="0"/>
    <n v="0"/>
    <n v="0"/>
    <n v="5000"/>
    <n v="0"/>
    <n v="0"/>
    <n v="0"/>
    <n v="0"/>
    <n v="0"/>
    <n v="0"/>
    <n v="5000"/>
    <n v="0"/>
  </r>
  <r>
    <x v="5"/>
    <x v="6"/>
    <x v="0"/>
    <s v="6870107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870107"/>
    <n v="700018"/>
    <s v="Salaries-Supervisory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870107"/>
    <n v="700026"/>
    <s v="Salaries-RN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870107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870107"/>
    <n v="700054"/>
    <s v="Salaries-Management-NonProd-Other"/>
    <s v="Employee Benefits"/>
    <x v="0"/>
    <n v="2000"/>
    <n v="0"/>
    <n v="0"/>
    <n v="0"/>
    <n v="0"/>
    <n v="0"/>
    <n v="0"/>
    <n v="-6048.48"/>
    <n v="6048.18"/>
    <n v="0.3"/>
    <n v="0"/>
    <n v="0"/>
    <n v="0"/>
    <n v="7.2758465918809634E-13"/>
    <n v="0"/>
  </r>
  <r>
    <x v="5"/>
    <x v="6"/>
    <x v="0"/>
    <s v="6870107"/>
    <n v="700064"/>
    <s v="Salaries-Advanced Practice Clinician-Non-Prod-Other"/>
    <s v="Employee Benefits"/>
    <x v="0"/>
    <n v="2000"/>
    <n v="0"/>
    <n v="0"/>
    <n v="24166.67"/>
    <n v="-24166.67"/>
    <n v="0"/>
    <n v="0"/>
    <n v="0"/>
    <n v="0"/>
    <n v="0"/>
    <n v="0"/>
    <n v="0"/>
    <n v="0"/>
    <n v="0"/>
    <n v="0"/>
  </r>
  <r>
    <x v="5"/>
    <x v="6"/>
    <x v="0"/>
    <s v="6870107"/>
    <n v="700066"/>
    <s v="Salaries-RN-NonProd-Other"/>
    <s v="Employee Benefits"/>
    <x v="0"/>
    <n v="2000"/>
    <n v="0"/>
    <n v="-42.67"/>
    <n v="-44.2"/>
    <n v="86.87"/>
    <n v="0"/>
    <n v="0"/>
    <n v="0"/>
    <n v="0"/>
    <n v="0"/>
    <n v="0"/>
    <n v="0"/>
    <n v="0"/>
    <n v="0"/>
    <n v="0"/>
  </r>
  <r>
    <x v="6"/>
    <x v="6"/>
    <x v="0"/>
    <s v="6870107"/>
    <n v="713010"/>
    <s v="Benefits-FICA/Medicare"/>
    <s v="Employee Benefits"/>
    <x v="0"/>
    <m/>
    <n v="2227.7399999999998"/>
    <n v="4238.66"/>
    <n v="4162.8100000000004"/>
    <n v="1764.22"/>
    <n v="1700"/>
    <n v="6092.52"/>
    <n v="2871.67"/>
    <n v="1621.22"/>
    <n v="2723.2"/>
    <n v="5897.06"/>
    <n v="2027.59"/>
    <n v="2487.2600000000002"/>
    <n v="37813.949999999997"/>
    <n v="-459.6700000000003"/>
  </r>
  <r>
    <x v="6"/>
    <x v="6"/>
    <x v="0"/>
    <s v="6870107"/>
    <n v="713022"/>
    <s v="Benefits-State Unemployment"/>
    <s v="Employee Benefits"/>
    <x v="0"/>
    <m/>
    <n v="17747.57"/>
    <n v="-12622.13"/>
    <n v="15853.77"/>
    <n v="-6490.56"/>
    <n v="12016.41"/>
    <n v="12016.4"/>
    <n v="7549.7"/>
    <n v="9914.2800000000007"/>
    <n v="9914.2800000000007"/>
    <n v="34581.46"/>
    <n v="12706.33"/>
    <n v="12706.33"/>
    <n v="125893.84"/>
    <n v="0"/>
  </r>
  <r>
    <x v="6"/>
    <x v="6"/>
    <x v="0"/>
    <s v="6870107"/>
    <n v="713030"/>
    <s v="Benefits-Workers Comp-CHI Programs"/>
    <s v="Employee Benefits"/>
    <x v="0"/>
    <m/>
    <n v="126788.37"/>
    <n v="126788.37"/>
    <n v="126788.37"/>
    <n v="126788.37"/>
    <n v="126788.37"/>
    <n v="126788.37"/>
    <n v="126788.37"/>
    <n v="126788.37"/>
    <n v="126788.37"/>
    <n v="126788.37"/>
    <n v="126788.37"/>
    <n v="126788.37"/>
    <n v="1521460.4400000004"/>
    <n v="0"/>
  </r>
  <r>
    <x v="6"/>
    <x v="6"/>
    <x v="0"/>
    <s v="6870107"/>
    <n v="713031"/>
    <s v="Benefits-Workers Comp-Ext to CHI Programs"/>
    <s v="Employee Benefits"/>
    <x v="0"/>
    <m/>
    <n v="-11111.02"/>
    <n v="-17015.64"/>
    <n v="-11606.12"/>
    <n v="-11608.95"/>
    <n v="-11590.71"/>
    <n v="-11453.44"/>
    <n v="-11214.57"/>
    <n v="-12991.27"/>
    <n v="-19381.77"/>
    <n v="-12884.66"/>
    <n v="-12908.45"/>
    <n v="-12818.55"/>
    <n v="-156585.15"/>
    <n v="-89.900000000001455"/>
  </r>
  <r>
    <x v="6"/>
    <x v="6"/>
    <x v="0"/>
    <s v="6870107"/>
    <n v="713034"/>
    <s v="Benefits-Flex Credits"/>
    <s v="Employee Benefits"/>
    <x v="0"/>
    <m/>
    <n v="0"/>
    <n v="0"/>
    <n v="0"/>
    <n v="0"/>
    <n v="0"/>
    <n v="343.51"/>
    <n v="0"/>
    <n v="0"/>
    <n v="630.79"/>
    <n v="-0.34"/>
    <n v="0"/>
    <n v="0"/>
    <n v="973.95999999999992"/>
    <n v="0"/>
  </r>
  <r>
    <x v="6"/>
    <x v="6"/>
    <x v="0"/>
    <s v="6870107"/>
    <n v="713039"/>
    <s v="401K ER Match"/>
    <s v="Employee Benefits"/>
    <x v="0"/>
    <n v="1000"/>
    <n v="312751.71000000002"/>
    <n v="317710.34999999998"/>
    <n v="308426.49"/>
    <n v="304373.44"/>
    <n v="305720.64"/>
    <n v="310860.56"/>
    <n v="322237.09000000003"/>
    <n v="301586.96000000002"/>
    <n v="336088.86"/>
    <n v="318050.19"/>
    <n v="332278.53999999998"/>
    <n v="325694.71999999997"/>
    <n v="3795779.55"/>
    <n v="6583.820000000007"/>
  </r>
  <r>
    <x v="6"/>
    <x v="6"/>
    <x v="0"/>
    <s v="6870107"/>
    <n v="713039"/>
    <s v="401K ER Annual Contribution"/>
    <s v="Employee Benefits"/>
    <x v="0"/>
    <n v="1001"/>
    <n v="217867"/>
    <n v="216685"/>
    <n v="221254"/>
    <n v="220097"/>
    <n v="221238"/>
    <n v="222672"/>
    <n v="219233"/>
    <n v="219134"/>
    <n v="376219.56"/>
    <n v="250058"/>
    <n v="242561"/>
    <n v="271525.40999999997"/>
    <n v="2898543.97"/>
    <n v="-28964.409999999974"/>
  </r>
  <r>
    <x v="6"/>
    <x v="6"/>
    <x v="0"/>
    <s v="6870107"/>
    <n v="713042"/>
    <s v="Benefits-Group Medical"/>
    <s v="Employee Benefits"/>
    <x v="0"/>
    <m/>
    <n v="922551"/>
    <n v="924071.13"/>
    <n v="925528"/>
    <n v="944282"/>
    <n v="934447"/>
    <n v="942042"/>
    <n v="1014457"/>
    <n v="996886"/>
    <n v="997712"/>
    <n v="1003476"/>
    <n v="988284"/>
    <n v="993751"/>
    <n v="11587487.129999999"/>
    <n v="-5467"/>
  </r>
  <r>
    <x v="6"/>
    <x v="6"/>
    <x v="0"/>
    <s v="6870107"/>
    <n v="713042"/>
    <s v="Group Medical--Employee Deductions"/>
    <s v="Employee Benefits"/>
    <x v="0"/>
    <n v="1000"/>
    <n v="-137839.03"/>
    <n v="-232326.34"/>
    <n v="-152083.9"/>
    <n v="-147143.20000000001"/>
    <n v="-148931.4"/>
    <n v="-149423.81"/>
    <n v="-150326.26999999999"/>
    <n v="-151368.82999999999"/>
    <n v="-227054.71"/>
    <n v="-148157.10999999999"/>
    <n v="-151205.22"/>
    <n v="-143649.60000000001"/>
    <n v="-1939509.4200000002"/>
    <n v="-7555.6199999999953"/>
  </r>
  <r>
    <x v="6"/>
    <x v="6"/>
    <x v="0"/>
    <s v="6870107"/>
    <n v="713042"/>
    <s v="Medical Imputed Income"/>
    <s v="Employee Benefits"/>
    <x v="0"/>
    <n v="1005"/>
    <n v="0"/>
    <n v="0"/>
    <n v="0"/>
    <n v="0"/>
    <n v="0"/>
    <n v="0"/>
    <n v="10.34"/>
    <n v="8.3699999999999992"/>
    <n v="7.96"/>
    <n v="9.0399999999999991"/>
    <n v="9.5399999999999991"/>
    <n v="9"/>
    <n v="54.25"/>
    <n v="0.53999999999999915"/>
  </r>
  <r>
    <x v="6"/>
    <x v="6"/>
    <x v="0"/>
    <s v="6870107"/>
    <n v="713046"/>
    <s v="Benefits-Group Dental"/>
    <s v="Employee Benefits"/>
    <x v="0"/>
    <m/>
    <n v="59459.29"/>
    <n v="59303.83"/>
    <n v="59673"/>
    <n v="60361.07"/>
    <n v="60372.6"/>
    <n v="60594.19"/>
    <n v="61722.33"/>
    <n v="61147.17"/>
    <n v="61115.85"/>
    <n v="61128.92"/>
    <n v="61041.16"/>
    <n v="61403.31"/>
    <n v="727322.72"/>
    <n v="-362.14999999999418"/>
  </r>
  <r>
    <x v="6"/>
    <x v="6"/>
    <x v="0"/>
    <s v="6870107"/>
    <n v="713046"/>
    <s v="Group Dental-Employee Deductions"/>
    <s v="Employee Benefits"/>
    <x v="0"/>
    <n v="1000"/>
    <n v="-19893.009999999998"/>
    <n v="-31884.52"/>
    <n v="-21234.82"/>
    <n v="-21271.040000000001"/>
    <n v="-21044.79"/>
    <n v="-21260.94"/>
    <n v="-21545.68"/>
    <n v="-21448.799999999999"/>
    <n v="-31764.880000000001"/>
    <n v="-21254.54"/>
    <n v="-21198.25"/>
    <n v="-21245.759999999998"/>
    <n v="-275047.03000000003"/>
    <n v="47.509999999998399"/>
  </r>
  <r>
    <x v="6"/>
    <x v="6"/>
    <x v="0"/>
    <s v="6870107"/>
    <n v="713046"/>
    <s v="Dental Imputed Income"/>
    <s v="Employee Benefits"/>
    <x v="0"/>
    <n v="1005"/>
    <n v="0"/>
    <n v="0"/>
    <n v="0"/>
    <n v="0"/>
    <n v="0"/>
    <n v="0"/>
    <n v="0.31"/>
    <n v="0.28999999999999998"/>
    <n v="0.27"/>
    <n v="0.28000000000000003"/>
    <n v="0.27"/>
    <n v="0.37"/>
    <n v="1.79"/>
    <n v="-9.9999999999999978E-2"/>
  </r>
  <r>
    <x v="6"/>
    <x v="6"/>
    <x v="0"/>
    <s v="6870107"/>
    <n v="713048"/>
    <s v="Benefits-Group Vision"/>
    <s v="Employee Benefits"/>
    <x v="0"/>
    <m/>
    <n v="8781.24"/>
    <n v="8779.11"/>
    <n v="8805.6299999999992"/>
    <n v="8878.52"/>
    <n v="8867.34"/>
    <n v="8911.83"/>
    <n v="11133.2"/>
    <n v="11050.36"/>
    <n v="11005.78"/>
    <n v="10957.86"/>
    <n v="10980.32"/>
    <n v="11000.04"/>
    <n v="119151.23000000001"/>
    <n v="-19.720000000001164"/>
  </r>
  <r>
    <x v="6"/>
    <x v="6"/>
    <x v="0"/>
    <s v="6870107"/>
    <n v="713048"/>
    <s v="Group Vision-Employee Deductions"/>
    <s v="Employee Benefits"/>
    <x v="0"/>
    <n v="1000"/>
    <n v="-7575.97"/>
    <n v="-12659.8"/>
    <n v="-8207.67"/>
    <n v="-8193.16"/>
    <n v="-8089.6"/>
    <n v="-8208.2900000000009"/>
    <n v="-10213.51"/>
    <n v="-10214.219999999999"/>
    <n v="-15067.97"/>
    <n v="-10094.549999999999"/>
    <n v="-10108.91"/>
    <n v="-10087.69"/>
    <n v="-118721.34000000001"/>
    <n v="-21.219999999999345"/>
  </r>
  <r>
    <x v="6"/>
    <x v="6"/>
    <x v="0"/>
    <s v="6870107"/>
    <n v="713050"/>
    <s v="Benefits-Group Disability"/>
    <s v="Employee Benefits"/>
    <x v="0"/>
    <m/>
    <n v="22825.03"/>
    <n v="22981.73"/>
    <n v="23285.77"/>
    <n v="23305.56"/>
    <n v="24137.87"/>
    <n v="24554.85"/>
    <n v="25718.02"/>
    <n v="24276.29"/>
    <n v="24287.24"/>
    <n v="23993.95"/>
    <n v="23989.49"/>
    <n v="24131.96"/>
    <n v="287487.76"/>
    <n v="-142.46999999999753"/>
  </r>
  <r>
    <x v="6"/>
    <x v="6"/>
    <x v="0"/>
    <s v="6870107"/>
    <n v="713054"/>
    <s v="Benefits-Group Life"/>
    <s v="Employee Benefits"/>
    <x v="0"/>
    <m/>
    <n v="17380.22"/>
    <n v="17388.12"/>
    <n v="17578.53"/>
    <n v="17648.43"/>
    <n v="17727.8"/>
    <n v="17736.27"/>
    <n v="18516.169999999998"/>
    <n v="18625.849999999999"/>
    <n v="19279.53"/>
    <n v="19473.169999999998"/>
    <n v="19594.150000000001"/>
    <n v="19467.39"/>
    <n v="220415.62999999995"/>
    <n v="126.76000000000204"/>
  </r>
  <r>
    <x v="6"/>
    <x v="6"/>
    <x v="0"/>
    <s v="6870107"/>
    <n v="713054"/>
    <s v="Group Life--Employee Deductions"/>
    <s v="Employee Benefits"/>
    <x v="0"/>
    <n v="1000"/>
    <n v="-10566.97"/>
    <n v="-17375"/>
    <n v="-11032.75"/>
    <n v="-11320.56"/>
    <n v="-11252.85"/>
    <n v="-11256.22"/>
    <n v="-12041.61"/>
    <n v="-12196.66"/>
    <n v="-19106.87"/>
    <n v="-12952.92"/>
    <n v="-12921.95"/>
    <n v="-12694.33"/>
    <n v="-154718.68999999997"/>
    <n v="-227.6200000000008"/>
  </r>
  <r>
    <x v="6"/>
    <x v="6"/>
    <x v="0"/>
    <s v="6870107"/>
    <n v="713070"/>
    <s v="Benefits-Tuition Reimbursement"/>
    <s v="Employee Benefits"/>
    <x v="0"/>
    <m/>
    <n v="9838.52"/>
    <n v="2200"/>
    <n v="10443.6"/>
    <n v="0"/>
    <n v="240.5"/>
    <n v="11203.44"/>
    <n v="13678.74"/>
    <n v="4855"/>
    <n v="5561.19"/>
    <n v="14902.54"/>
    <n v="7547.52"/>
    <n v="25886.45"/>
    <n v="106357.5"/>
    <n v="-18338.93"/>
  </r>
  <r>
    <x v="6"/>
    <x v="6"/>
    <x v="0"/>
    <s v="6870107"/>
    <n v="713090"/>
    <s v="Benefits-Allocated Amounts"/>
    <s v="Employee Benefits"/>
    <x v="0"/>
    <m/>
    <n v="-1532851.02"/>
    <n v="-1386984.71"/>
    <n v="-1520968.71"/>
    <n v="-1508632.79"/>
    <n v="-1512379.96"/>
    <n v="-1579844.03"/>
    <n v="-1620029.43"/>
    <n v="-1568211.08"/>
    <n v="-1662911.59"/>
    <n v="-1685153.01"/>
    <n v="-1621781.51"/>
    <n v="-1677904.52"/>
    <n v="-18877652.359999999"/>
    <n v="56123.010000000009"/>
  </r>
  <r>
    <x v="6"/>
    <x v="6"/>
    <x v="0"/>
    <s v="6870107"/>
    <n v="713096"/>
    <s v="Benefits-Other"/>
    <s v="Employee Benefits"/>
    <x v="0"/>
    <m/>
    <n v="0"/>
    <n v="0"/>
    <n v="0"/>
    <n v="0"/>
    <n v="0"/>
    <n v="0"/>
    <n v="0"/>
    <n v="7.0000000000000007E-2"/>
    <n v="0.65"/>
    <n v="0.66"/>
    <n v="0.25"/>
    <n v="0.28000000000000003"/>
    <n v="1.91"/>
    <n v="-3.0000000000000027E-2"/>
  </r>
  <r>
    <x v="6"/>
    <x v="6"/>
    <x v="0"/>
    <s v="6870107"/>
    <n v="713096"/>
    <s v="Relocation"/>
    <s v="Employee Benefits"/>
    <x v="0"/>
    <n v="1011"/>
    <n v="1615.39"/>
    <n v="10762.76"/>
    <n v="3269.71"/>
    <n v="7269.76"/>
    <n v="0"/>
    <n v="17577.2"/>
    <n v="0"/>
    <n v="0"/>
    <n v="4046.26"/>
    <n v="13126.36"/>
    <n v="2589.71"/>
    <n v="3014.58"/>
    <n v="63271.73000000001"/>
    <n v="-424.86999999999989"/>
  </r>
  <r>
    <x v="6"/>
    <x v="6"/>
    <x v="0"/>
    <s v="6870107"/>
    <n v="713096"/>
    <s v="Taxable Fringe Benefits"/>
    <s v="Employee Benefits"/>
    <x v="0"/>
    <n v="1012"/>
    <n v="0"/>
    <n v="0"/>
    <n v="0"/>
    <n v="0"/>
    <n v="0"/>
    <n v="20000"/>
    <n v="0"/>
    <n v="0"/>
    <n v="0"/>
    <n v="0"/>
    <n v="0"/>
    <n v="0"/>
    <n v="20000"/>
    <n v="0"/>
  </r>
  <r>
    <x v="6"/>
    <x v="6"/>
    <x v="0"/>
    <s v="6870107"/>
    <n v="713096"/>
    <s v="Adoption Assistance Program"/>
    <s v="Employee Benefits"/>
    <x v="0"/>
    <n v="1014"/>
    <n v="0"/>
    <n v="0"/>
    <n v="0"/>
    <n v="0"/>
    <n v="0"/>
    <n v="0"/>
    <n v="2003.97"/>
    <n v="-1.04"/>
    <n v="0"/>
    <n v="8020.12"/>
    <n v="-8.3800000000000008"/>
    <n v="0"/>
    <n v="10014.67"/>
    <n v="-8.3800000000000008"/>
  </r>
  <r>
    <x v="5"/>
    <x v="7"/>
    <x v="0"/>
    <s v="6870150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7"/>
    <x v="0"/>
    <s v="6870150"/>
    <n v="700018"/>
    <s v="Salaries-Supervisory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7"/>
    <x v="0"/>
    <s v="6870150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7"/>
    <x v="0"/>
    <s v="6870150"/>
    <n v="700034"/>
    <s v="Salaries-Tech/Professional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6"/>
    <x v="7"/>
    <x v="0"/>
    <s v="6870150"/>
    <n v="713010"/>
    <s v="Benefits-FICA/Medicare"/>
    <s v="Employee Benefits"/>
    <x v="0"/>
    <m/>
    <n v="894.21"/>
    <n v="747.06"/>
    <n v="970.61"/>
    <n v="827.58"/>
    <n v="800"/>
    <n v="683.74"/>
    <n v="955.37"/>
    <n v="829.76"/>
    <n v="995.76"/>
    <n v="941.08"/>
    <n v="899.48"/>
    <n v="907.71"/>
    <n v="10452.36"/>
    <n v="-8.2300000000000182"/>
  </r>
  <r>
    <x v="6"/>
    <x v="7"/>
    <x v="0"/>
    <s v="6870150"/>
    <n v="713022"/>
    <s v="Benefits-State Unemployment"/>
    <s v="Employee Benefits"/>
    <x v="0"/>
    <m/>
    <n v="3284.12"/>
    <n v="3284.13"/>
    <n v="3284.13"/>
    <n v="3284.12"/>
    <n v="3284.13"/>
    <n v="3284.13"/>
    <n v="0"/>
    <n v="-29557.14"/>
    <n v="0"/>
    <n v="0"/>
    <n v="0"/>
    <n v="0"/>
    <n v="-9852.3799999999974"/>
    <n v="0"/>
  </r>
  <r>
    <x v="6"/>
    <x v="7"/>
    <x v="0"/>
    <s v="6870150"/>
    <n v="713030"/>
    <s v="Benefits-Workers Comp-CHI Programs"/>
    <s v="Employee Benefits"/>
    <x v="0"/>
    <m/>
    <n v="18214.740000000002"/>
    <n v="18214.740000000002"/>
    <n v="18214.740000000002"/>
    <n v="18214.740000000002"/>
    <n v="18214.740000000002"/>
    <n v="18214.740000000002"/>
    <n v="18214.740000000002"/>
    <n v="18214.740000000002"/>
    <n v="18214.740000000002"/>
    <n v="18214.740000000002"/>
    <n v="18214.740000000002"/>
    <n v="18214.740000000002"/>
    <n v="218576.87999999998"/>
    <n v="0"/>
  </r>
  <r>
    <x v="6"/>
    <x v="7"/>
    <x v="0"/>
    <s v="6870150"/>
    <n v="713031"/>
    <s v="Benefits-Workers Comp-Ext to CHI Programs"/>
    <s v="Employee Benefits"/>
    <x v="0"/>
    <m/>
    <n v="-57.39"/>
    <n v="-95.39"/>
    <n v="-73.930000000000007"/>
    <n v="-67.33"/>
    <n v="-75.989999999999995"/>
    <n v="-62.76"/>
    <n v="-60.61"/>
    <n v="-87.8"/>
    <n v="-133.04"/>
    <n v="-85.55"/>
    <n v="-91.37"/>
    <n v="-76.150000000000006"/>
    <n v="-967.31"/>
    <n v="-15.219999999999999"/>
  </r>
  <r>
    <x v="6"/>
    <x v="7"/>
    <x v="0"/>
    <s v="6870150"/>
    <n v="713034"/>
    <s v="Benefits-Flex Credits"/>
    <s v="Employee Benefits"/>
    <x v="0"/>
    <m/>
    <n v="8415.81"/>
    <n v="6604.35"/>
    <n v="9635.99"/>
    <n v="7555.94"/>
    <n v="7009.07"/>
    <n v="7233.71"/>
    <n v="8261.5499999999993"/>
    <n v="7109.32"/>
    <n v="8630.08"/>
    <n v="8085.34"/>
    <n v="7439.87"/>
    <n v="7988.57"/>
    <n v="93969.599999999977"/>
    <n v="-548.69999999999982"/>
  </r>
  <r>
    <x v="6"/>
    <x v="7"/>
    <x v="0"/>
    <s v="6870150"/>
    <n v="713039"/>
    <s v="401K ER Match"/>
    <s v="Employee Benefits"/>
    <x v="0"/>
    <n v="1000"/>
    <n v="38467.71"/>
    <n v="38340.269999999997"/>
    <n v="36469.24"/>
    <n v="38062.9"/>
    <n v="39050.730000000003"/>
    <n v="39489.919999999998"/>
    <n v="39824.44"/>
    <n v="36550.01"/>
    <n v="41804.980000000003"/>
    <n v="40632.449999999997"/>
    <n v="41337.85"/>
    <n v="38883.01"/>
    <n v="468913.51"/>
    <n v="2454.8399999999965"/>
  </r>
  <r>
    <x v="6"/>
    <x v="7"/>
    <x v="0"/>
    <s v="6870150"/>
    <n v="713039"/>
    <s v="401K ER Annual Contribution"/>
    <s v="Employee Benefits"/>
    <x v="0"/>
    <n v="1001"/>
    <n v="27237"/>
    <n v="27565"/>
    <n v="28289"/>
    <n v="28137"/>
    <n v="27812"/>
    <n v="27882"/>
    <n v="28008"/>
    <n v="28466"/>
    <n v="29544.17"/>
    <n v="31787"/>
    <n v="31279"/>
    <n v="32869.760000000002"/>
    <n v="348875.93"/>
    <n v="-1590.760000000002"/>
  </r>
  <r>
    <x v="6"/>
    <x v="7"/>
    <x v="0"/>
    <s v="6870150"/>
    <n v="713042"/>
    <s v="Benefits-Group Medical"/>
    <s v="Employee Benefits"/>
    <x v="0"/>
    <m/>
    <n v="174736"/>
    <n v="175681.18"/>
    <n v="178075"/>
    <n v="179040"/>
    <n v="178111"/>
    <n v="176935"/>
    <n v="184111"/>
    <n v="186639"/>
    <n v="184778"/>
    <n v="187668"/>
    <n v="192072"/>
    <n v="189592"/>
    <n v="2187438.1799999997"/>
    <n v="2480"/>
  </r>
  <r>
    <x v="6"/>
    <x v="7"/>
    <x v="0"/>
    <s v="6870150"/>
    <n v="713042"/>
    <s v="Group Medical--Employee Deductions"/>
    <s v="Employee Benefits"/>
    <x v="0"/>
    <n v="1000"/>
    <n v="-23027.759999999998"/>
    <n v="-39822.26"/>
    <n v="-27255.97"/>
    <n v="-26152.28"/>
    <n v="-24906.82"/>
    <n v="-24458"/>
    <n v="-24329.23"/>
    <n v="-25255.82"/>
    <n v="-37391.75"/>
    <n v="-25664.1"/>
    <n v="-27574.37"/>
    <n v="-24562.13"/>
    <n v="-330400.49"/>
    <n v="-3012.239999999998"/>
  </r>
  <r>
    <x v="6"/>
    <x v="7"/>
    <x v="0"/>
    <s v="6870150"/>
    <n v="713042"/>
    <s v="Medical Imputed Income"/>
    <s v="Employee Benefits"/>
    <x v="0"/>
    <n v="1005"/>
    <n v="0"/>
    <n v="0"/>
    <n v="0"/>
    <n v="0"/>
    <n v="0"/>
    <n v="0"/>
    <n v="0.8"/>
    <n v="0.68"/>
    <n v="0.75"/>
    <n v="0.73"/>
    <n v="0.75"/>
    <n v="0.73"/>
    <n v="4.4399999999999995"/>
    <n v="2.0000000000000018E-2"/>
  </r>
  <r>
    <x v="6"/>
    <x v="7"/>
    <x v="0"/>
    <s v="6870150"/>
    <n v="713046"/>
    <s v="Benefits-Group Dental"/>
    <s v="Employee Benefits"/>
    <x v="0"/>
    <m/>
    <n v="11326.96"/>
    <n v="11437.23"/>
    <n v="11475.69"/>
    <n v="11555.19"/>
    <n v="11478.42"/>
    <n v="11397.35"/>
    <n v="11412.06"/>
    <n v="11478.74"/>
    <n v="11470.74"/>
    <n v="11464.03"/>
    <n v="11685.11"/>
    <n v="11557.65"/>
    <n v="137739.17000000001"/>
    <n v="127.46000000000095"/>
  </r>
  <r>
    <x v="6"/>
    <x v="7"/>
    <x v="0"/>
    <s v="6870150"/>
    <n v="713046"/>
    <s v="Group Dental-Employee Deductions"/>
    <s v="Employee Benefits"/>
    <x v="0"/>
    <n v="1000"/>
    <n v="-3765.88"/>
    <n v="-6239.43"/>
    <n v="-4281.29"/>
    <n v="-4118.38"/>
    <n v="-4003.28"/>
    <n v="-4060.57"/>
    <n v="-4005.98"/>
    <n v="-4044.8"/>
    <n v="-6012.72"/>
    <n v="-4076.76"/>
    <n v="-4178.42"/>
    <n v="-4072.16"/>
    <n v="-52859.67"/>
    <n v="-106.26000000000022"/>
  </r>
  <r>
    <x v="6"/>
    <x v="7"/>
    <x v="0"/>
    <s v="6870150"/>
    <n v="713046"/>
    <s v="Dental Imputed Income"/>
    <s v="Employee Benefits"/>
    <x v="0"/>
    <n v="1005"/>
    <n v="0"/>
    <n v="0"/>
    <n v="0"/>
    <n v="0"/>
    <n v="0"/>
    <n v="0"/>
    <n v="0"/>
    <n v="0"/>
    <n v="0"/>
    <n v="0"/>
    <n v="0"/>
    <n v="0"/>
    <n v="0"/>
    <n v="0"/>
  </r>
  <r>
    <x v="6"/>
    <x v="7"/>
    <x v="0"/>
    <s v="6870150"/>
    <n v="713048"/>
    <s v="Benefits-Group Vision"/>
    <s v="Employee Benefits"/>
    <x v="0"/>
    <m/>
    <n v="1519.63"/>
    <n v="1538.29"/>
    <n v="1544.02"/>
    <n v="1550.6"/>
    <n v="1526.44"/>
    <n v="1515.21"/>
    <n v="1959.78"/>
    <n v="1966.04"/>
    <n v="1950.9"/>
    <n v="1936.82"/>
    <n v="2011.4"/>
    <n v="1981.9"/>
    <n v="21001.030000000006"/>
    <n v="29.5"/>
  </r>
  <r>
    <x v="6"/>
    <x v="7"/>
    <x v="0"/>
    <s v="6870150"/>
    <n v="713048"/>
    <s v="Group Vision-Employee Deductions"/>
    <s v="Employee Benefits"/>
    <x v="0"/>
    <n v="1000"/>
    <n v="-1293.8800000000001"/>
    <n v="-2175.9"/>
    <n v="-1490.1"/>
    <n v="-1428.98"/>
    <n v="-1370.36"/>
    <n v="-1416.16"/>
    <n v="-1785.08"/>
    <n v="-1783.87"/>
    <n v="-2658.64"/>
    <n v="-1806.02"/>
    <n v="-1870.85"/>
    <n v="-1829.92"/>
    <n v="-20909.760000000002"/>
    <n v="-40.929999999999836"/>
  </r>
  <r>
    <x v="6"/>
    <x v="7"/>
    <x v="0"/>
    <s v="6870150"/>
    <n v="713050"/>
    <s v="Benefits-Group Disability"/>
    <s v="Employee Benefits"/>
    <x v="0"/>
    <m/>
    <n v="3938.13"/>
    <n v="3998.89"/>
    <n v="4028.77"/>
    <n v="4103.57"/>
    <n v="4126.8100000000004"/>
    <n v="4154.05"/>
    <n v="4169.8999999999996"/>
    <n v="4217.8500000000004"/>
    <n v="4175.25"/>
    <n v="4231.0600000000004"/>
    <n v="4276.67"/>
    <n v="4126.62"/>
    <n v="49547.57"/>
    <n v="150.05000000000018"/>
  </r>
  <r>
    <x v="6"/>
    <x v="7"/>
    <x v="0"/>
    <s v="6870150"/>
    <n v="713054"/>
    <s v="Benefits-Group Life"/>
    <s v="Employee Benefits"/>
    <x v="0"/>
    <m/>
    <n v="3966.69"/>
    <n v="3985.33"/>
    <n v="3985.09"/>
    <n v="3997.27"/>
    <n v="4038.93"/>
    <n v="4038"/>
    <n v="4240.49"/>
    <n v="4278.1400000000003"/>
    <n v="4287.88"/>
    <n v="4299.58"/>
    <n v="4420.3900000000003"/>
    <n v="4342.7"/>
    <n v="49880.49"/>
    <n v="77.690000000000509"/>
  </r>
  <r>
    <x v="6"/>
    <x v="7"/>
    <x v="0"/>
    <s v="6870150"/>
    <n v="713054"/>
    <s v="Group Life--Employee Deductions"/>
    <s v="Employee Benefits"/>
    <x v="0"/>
    <n v="1000"/>
    <n v="-2522.94"/>
    <n v="-4942.59"/>
    <n v="-3003.19"/>
    <n v="-2815.9"/>
    <n v="-3046.94"/>
    <n v="-2869.6"/>
    <n v="-3073.49"/>
    <n v="-3062.61"/>
    <n v="-4613.03"/>
    <n v="-3131.52"/>
    <n v="-3196.64"/>
    <n v="-3166.61"/>
    <n v="-39445.06"/>
    <n v="-30.029999999999745"/>
  </r>
  <r>
    <x v="6"/>
    <x v="7"/>
    <x v="0"/>
    <s v="6870150"/>
    <n v="713070"/>
    <s v="Benefits-Tuition Reimbursement"/>
    <s v="Employee Benefits"/>
    <x v="0"/>
    <m/>
    <n v="0"/>
    <n v="525.85"/>
    <n v="525.85"/>
    <n v="0"/>
    <n v="0"/>
    <n v="0"/>
    <n v="8586.4699999999993"/>
    <n v="0"/>
    <n v="0"/>
    <n v="4015.62"/>
    <n v="3000"/>
    <n v="3000"/>
    <n v="19653.79"/>
    <n v="0"/>
  </r>
  <r>
    <x v="6"/>
    <x v="7"/>
    <x v="0"/>
    <s v="6870150"/>
    <n v="713090"/>
    <s v="Benefits-Allocated Amounts"/>
    <s v="Employee Benefits"/>
    <x v="0"/>
    <m/>
    <n v="-261331.91"/>
    <n v="-238644.3"/>
    <n v="-260404.97"/>
    <n v="-261735.75"/>
    <n v="-262035.34"/>
    <n v="-264465.5"/>
    <n v="-276542.34999999998"/>
    <n v="-235978.67"/>
    <n v="-255017.4"/>
    <n v="-278478.68"/>
    <n v="-279697"/>
    <n v="-279740.81"/>
    <n v="-3154072.68"/>
    <n v="43.809999999997672"/>
  </r>
  <r>
    <x v="6"/>
    <x v="7"/>
    <x v="0"/>
    <s v="6870150"/>
    <n v="713096"/>
    <s v="Benefits-Other"/>
    <s v="Employee Benefits"/>
    <x v="0"/>
    <m/>
    <n v="0"/>
    <n v="0"/>
    <n v="0"/>
    <n v="0"/>
    <n v="0"/>
    <n v="0"/>
    <n v="0"/>
    <n v="0.11"/>
    <n v="0.22"/>
    <n v="0.28999999999999998"/>
    <n v="0.16"/>
    <n v="0.13"/>
    <n v="0.91"/>
    <n v="0.03"/>
  </r>
  <r>
    <x v="6"/>
    <x v="7"/>
    <x v="0"/>
    <s v="6870150"/>
    <n v="713096"/>
    <s v="Taxable Fringe Benefits"/>
    <s v="Employee Benefits"/>
    <x v="0"/>
    <n v="1012"/>
    <n v="0"/>
    <n v="0"/>
    <n v="0"/>
    <n v="0"/>
    <n v="0"/>
    <n v="2500"/>
    <n v="0"/>
    <n v="0"/>
    <n v="0"/>
    <n v="0"/>
    <n v="0"/>
    <n v="0"/>
    <n v="2500"/>
    <n v="0"/>
  </r>
  <r>
    <x v="5"/>
    <x v="1"/>
    <x v="0"/>
    <s v="6870200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6870200"/>
    <n v="700054"/>
    <s v="Salaries-Management-NonProd-Other"/>
    <s v="Employee Benefits"/>
    <x v="0"/>
    <n v="2000"/>
    <n v="0"/>
    <n v="0"/>
    <n v="0"/>
    <n v="0"/>
    <n v="0"/>
    <n v="0"/>
    <n v="-500"/>
    <n v="500"/>
    <n v="0"/>
    <n v="0"/>
    <n v="0"/>
    <n v="0"/>
    <n v="0"/>
    <n v="0"/>
  </r>
  <r>
    <x v="6"/>
    <x v="1"/>
    <x v="0"/>
    <s v="6870200"/>
    <n v="713010"/>
    <s v="Benefits-FICA/Medicare"/>
    <s v="Employee Benefits"/>
    <x v="0"/>
    <m/>
    <n v="6821.52"/>
    <n v="11292.94"/>
    <n v="6152.28"/>
    <n v="16580.560000000001"/>
    <n v="5769.07"/>
    <n v="9040.66"/>
    <n v="10119.51"/>
    <n v="8998.2800000000007"/>
    <n v="15986.65"/>
    <n v="14135.89"/>
    <n v="8931.0300000000007"/>
    <n v="588.41999999999996"/>
    <n v="114416.80999999998"/>
    <n v="8342.61"/>
  </r>
  <r>
    <x v="6"/>
    <x v="1"/>
    <x v="0"/>
    <s v="6870200"/>
    <n v="713022"/>
    <s v="Benefits-State Unemployment"/>
    <s v="Employee Benefits"/>
    <x v="0"/>
    <m/>
    <n v="18057.02"/>
    <n v="57021.56"/>
    <n v="21993.93"/>
    <n v="41113.94"/>
    <n v="26332.77"/>
    <n v="26545.22"/>
    <n v="-7558.85"/>
    <n v="23883.34"/>
    <n v="23636.83"/>
    <n v="5835.83"/>
    <n v="20503.740000000002"/>
    <n v="20493.43"/>
    <n v="277858.76"/>
    <n v="10.31000000000131"/>
  </r>
  <r>
    <x v="6"/>
    <x v="1"/>
    <x v="0"/>
    <s v="6870200"/>
    <n v="713030"/>
    <s v="Benefits-Workers Comp-CHI Programs"/>
    <s v="Employee Benefits"/>
    <x v="0"/>
    <m/>
    <n v="67059.649999999994"/>
    <n v="67059.649999999994"/>
    <n v="67059.649999999994"/>
    <n v="67059.649999999994"/>
    <n v="67059.649999999994"/>
    <n v="67059.649999999994"/>
    <n v="67059.649999999994"/>
    <n v="67059.649999999994"/>
    <n v="67059.649999999994"/>
    <n v="67059.649999999994"/>
    <n v="67059.649999999994"/>
    <n v="67059.649999999994"/>
    <n v="804715.80000000016"/>
    <n v="0"/>
  </r>
  <r>
    <x v="6"/>
    <x v="1"/>
    <x v="0"/>
    <s v="6870200"/>
    <n v="713031"/>
    <s v="Benefits-Workers Comp-Ext to CHI Programs"/>
    <s v="Employee Benefits"/>
    <x v="0"/>
    <m/>
    <n v="-16346.37"/>
    <n v="-25577.08"/>
    <n v="-16889.12"/>
    <n v="-18000.05"/>
    <n v="-17994.259999999998"/>
    <n v="-16995.41"/>
    <n v="-16025"/>
    <n v="-19411.650000000001"/>
    <n v="-29032.57"/>
    <n v="-19446.919999999998"/>
    <n v="-19577.8"/>
    <n v="-18549.21"/>
    <n v="-233845.43999999997"/>
    <n v="-1028.5900000000001"/>
  </r>
  <r>
    <x v="6"/>
    <x v="1"/>
    <x v="0"/>
    <s v="6870200"/>
    <n v="713034"/>
    <s v="Benefits-Flex Credits"/>
    <s v="Employee Benefits"/>
    <x v="0"/>
    <m/>
    <n v="3737.62"/>
    <n v="-540.72"/>
    <n v="5791.96"/>
    <n v="6266.47"/>
    <n v="9194.31"/>
    <n v="7586.1"/>
    <n v="10883.27"/>
    <n v="9410.2999999999993"/>
    <n v="10016.26"/>
    <n v="11497.66"/>
    <n v="11856.58"/>
    <n v="8433.7900000000009"/>
    <n v="94133.6"/>
    <n v="3422.7899999999991"/>
  </r>
  <r>
    <x v="6"/>
    <x v="1"/>
    <x v="0"/>
    <s v="6870200"/>
    <n v="713039"/>
    <s v="401K ER Match"/>
    <s v="Employee Benefits"/>
    <x v="0"/>
    <n v="1000"/>
    <n v="525038.61"/>
    <n v="508137.77"/>
    <n v="386479.61"/>
    <n v="417039"/>
    <n v="388575.41"/>
    <n v="548719.13"/>
    <n v="843973.83"/>
    <n v="734432.42"/>
    <n v="745528.58"/>
    <n v="725577.69"/>
    <n v="683938.49"/>
    <n v="533597.46"/>
    <n v="7041038.0000000009"/>
    <n v="150341.03000000003"/>
  </r>
  <r>
    <x v="6"/>
    <x v="1"/>
    <x v="0"/>
    <s v="6870200"/>
    <n v="713039"/>
    <s v="401K ER Annual Contribution"/>
    <s v="Employee Benefits"/>
    <x v="0"/>
    <n v="1001"/>
    <n v="450262"/>
    <n v="442800"/>
    <n v="454180"/>
    <n v="451467"/>
    <n v="456132"/>
    <n v="458061"/>
    <n v="460418"/>
    <n v="462538"/>
    <n v="850164.25"/>
    <n v="529364"/>
    <n v="518287"/>
    <n v="611920.01"/>
    <n v="6145593.2599999998"/>
    <n v="-93633.010000000009"/>
  </r>
  <r>
    <x v="6"/>
    <x v="1"/>
    <x v="0"/>
    <s v="6870200"/>
    <n v="713042"/>
    <s v="Benefits-Group Medical"/>
    <s v="Employee Benefits"/>
    <x v="0"/>
    <m/>
    <n v="2194976"/>
    <n v="2174984.04"/>
    <n v="2198269"/>
    <n v="2219202"/>
    <n v="2229621"/>
    <n v="2221078"/>
    <n v="2366954"/>
    <n v="2362196"/>
    <n v="2368457.2200000002"/>
    <n v="2358749"/>
    <n v="2350635"/>
    <n v="2347876"/>
    <n v="27392997.259999998"/>
    <n v="2759"/>
  </r>
  <r>
    <x v="6"/>
    <x v="1"/>
    <x v="0"/>
    <s v="6870200"/>
    <n v="713042"/>
    <s v="Group Medical--Employee Deductions"/>
    <s v="Employee Benefits"/>
    <x v="0"/>
    <n v="1000"/>
    <n v="-318670.38"/>
    <n v="-486206.23"/>
    <n v="-324525.64"/>
    <n v="-326246.40000000002"/>
    <n v="-325026.7"/>
    <n v="-324341.3"/>
    <n v="-325306.63"/>
    <n v="-327414.94"/>
    <n v="-496986.15"/>
    <n v="-325167.35999999999"/>
    <n v="-331291.46999999997"/>
    <n v="-318471.05"/>
    <n v="-4229654.2499999991"/>
    <n v="-12820.419999999984"/>
  </r>
  <r>
    <x v="6"/>
    <x v="1"/>
    <x v="0"/>
    <s v="6870200"/>
    <n v="713042"/>
    <s v="Medical Imputed Income"/>
    <s v="Employee Benefits"/>
    <x v="0"/>
    <n v="1005"/>
    <n v="0"/>
    <n v="0"/>
    <n v="0"/>
    <n v="0"/>
    <n v="0"/>
    <n v="0"/>
    <n v="17.399999999999999"/>
    <n v="13.05"/>
    <n v="13.35"/>
    <n v="13.51"/>
    <n v="10.87"/>
    <n v="10.61"/>
    <n v="78.789999999999992"/>
    <n v="0.25999999999999979"/>
  </r>
  <r>
    <x v="6"/>
    <x v="1"/>
    <x v="0"/>
    <s v="6870200"/>
    <n v="713046"/>
    <s v="Benefits-Group Dental"/>
    <s v="Employee Benefits"/>
    <x v="0"/>
    <m/>
    <n v="143252.66"/>
    <n v="142018.01999999999"/>
    <n v="142473.54"/>
    <n v="143422.51"/>
    <n v="144251.98000000001"/>
    <n v="144148.85999999999"/>
    <n v="148768.94"/>
    <n v="148866.01"/>
    <n v="149437.72"/>
    <n v="148722.48000000001"/>
    <n v="147351.42000000001"/>
    <n v="146896.10999999999"/>
    <n v="1749610.25"/>
    <n v="455.31000000002678"/>
  </r>
  <r>
    <x v="6"/>
    <x v="1"/>
    <x v="0"/>
    <s v="6870200"/>
    <n v="713046"/>
    <s v="Group Dental-Employee Deductions"/>
    <s v="Employee Benefits"/>
    <x v="0"/>
    <n v="1000"/>
    <n v="-50105.59"/>
    <n v="-75199.37"/>
    <n v="-50361.760000000002"/>
    <n v="-50926.37"/>
    <n v="-50979.360000000001"/>
    <n v="-50697.27"/>
    <n v="-52479.19"/>
    <n v="-52516.29"/>
    <n v="-78754.45"/>
    <n v="-52596.92"/>
    <n v="-52003.88"/>
    <n v="-51968.07"/>
    <n v="-668588.52"/>
    <n v="-35.809999999997672"/>
  </r>
  <r>
    <x v="6"/>
    <x v="1"/>
    <x v="0"/>
    <s v="6870200"/>
    <n v="713046"/>
    <s v="Dental Imputed Income"/>
    <s v="Employee Benefits"/>
    <x v="0"/>
    <n v="1005"/>
    <n v="0"/>
    <n v="0"/>
    <n v="0"/>
    <n v="0"/>
    <n v="0"/>
    <n v="0"/>
    <n v="0.52"/>
    <n v="0.52"/>
    <n v="0.55000000000000004"/>
    <n v="0.42"/>
    <n v="0.48"/>
    <n v="0.37"/>
    <n v="2.8600000000000003"/>
    <n v="0.10999999999999999"/>
  </r>
  <r>
    <x v="6"/>
    <x v="1"/>
    <x v="0"/>
    <s v="6870200"/>
    <n v="713048"/>
    <s v="Benefits-Group Vision"/>
    <s v="Employee Benefits"/>
    <x v="0"/>
    <m/>
    <n v="20329.02"/>
    <n v="20219.080000000002"/>
    <n v="20316.04"/>
    <n v="20383.419999999998"/>
    <n v="20441.330000000002"/>
    <n v="20358.54"/>
    <n v="25845.32"/>
    <n v="25804.32"/>
    <n v="25921.24"/>
    <n v="25855.759999999998"/>
    <n v="25672.48"/>
    <n v="25542.48"/>
    <n v="276689.03000000003"/>
    <n v="130"/>
  </r>
  <r>
    <x v="6"/>
    <x v="1"/>
    <x v="0"/>
    <s v="6870200"/>
    <n v="713048"/>
    <s v="Group Vision-Employee Deductions"/>
    <s v="Employee Benefits"/>
    <x v="0"/>
    <n v="1000"/>
    <n v="-18662.38"/>
    <n v="-27990.52"/>
    <n v="-18767.72"/>
    <n v="-18882.29"/>
    <n v="-18840.59"/>
    <n v="-18727.689999999999"/>
    <n v="-23765.15"/>
    <n v="-23777.51"/>
    <n v="-35732.74"/>
    <n v="-23903.13"/>
    <n v="-23706.1"/>
    <n v="-23635.09"/>
    <n v="-276390.91000000003"/>
    <n v="-71.009999999998399"/>
  </r>
  <r>
    <x v="6"/>
    <x v="1"/>
    <x v="0"/>
    <s v="6870200"/>
    <n v="713050"/>
    <s v="Benefits-Group Disability"/>
    <s v="Employee Benefits"/>
    <x v="0"/>
    <m/>
    <n v="101820.83"/>
    <n v="101289.78"/>
    <n v="102298.7"/>
    <n v="103033.79"/>
    <n v="104171.05"/>
    <n v="112524.35"/>
    <n v="280101.64"/>
    <n v="114362.1"/>
    <n v="114758.99"/>
    <n v="113936.77"/>
    <n v="113808.21"/>
    <n v="114001.83"/>
    <n v="1476108.04"/>
    <n v="-193.61999999999534"/>
  </r>
  <r>
    <x v="6"/>
    <x v="1"/>
    <x v="0"/>
    <s v="6870200"/>
    <n v="713054"/>
    <s v="Benefits-Group Life"/>
    <s v="Employee Benefits"/>
    <x v="0"/>
    <m/>
    <n v="53937.58"/>
    <n v="53278.41"/>
    <n v="53025.29"/>
    <n v="53186.66"/>
    <n v="53637.59"/>
    <n v="53743.22"/>
    <n v="54651.38"/>
    <n v="54954.41"/>
    <n v="54940.82"/>
    <n v="54471.48"/>
    <n v="54370.36"/>
    <n v="54311.75"/>
    <n v="648508.95000000007"/>
    <n v="58.610000000000582"/>
  </r>
  <r>
    <x v="6"/>
    <x v="1"/>
    <x v="0"/>
    <s v="6870200"/>
    <n v="713054"/>
    <s v="Group Life--Employee Deductions"/>
    <s v="Employee Benefits"/>
    <x v="0"/>
    <n v="1000"/>
    <n v="-25550.48"/>
    <n v="-38115.660000000003"/>
    <n v="-24835.05"/>
    <n v="-25057.61"/>
    <n v="-24759.23"/>
    <n v="-24699.07"/>
    <n v="-25446.05"/>
    <n v="-25504.400000000001"/>
    <n v="-37895.78"/>
    <n v="-24887.74"/>
    <n v="-24953.97"/>
    <n v="-25052.37"/>
    <n v="-326757.41000000003"/>
    <n v="98.399999999997817"/>
  </r>
  <r>
    <x v="6"/>
    <x v="1"/>
    <x v="0"/>
    <s v="6870200"/>
    <n v="713070"/>
    <s v="Benefits-Tuition Reimbursement"/>
    <s v="Employee Benefits"/>
    <x v="0"/>
    <m/>
    <n v="18064.34"/>
    <n v="7440.26"/>
    <n v="9186.9"/>
    <n v="5108.38"/>
    <n v="3162.75"/>
    <n v="15532.97"/>
    <n v="28859.14"/>
    <n v="15929.47"/>
    <n v="9821.61"/>
    <n v="18426.060000000001"/>
    <n v="5761.39"/>
    <n v="24291.599999999999"/>
    <n v="161584.87000000002"/>
    <n v="-18530.21"/>
  </r>
  <r>
    <x v="6"/>
    <x v="1"/>
    <x v="0"/>
    <s v="6870200"/>
    <n v="713090"/>
    <s v="Benefits-Allocated Amounts"/>
    <s v="Employee Benefits"/>
    <x v="0"/>
    <m/>
    <n v="-3177109.41"/>
    <n v="-2967108"/>
    <n v="-3051771.39"/>
    <n v="-3162014.91"/>
    <n v="-3092363.22"/>
    <n v="-3252196.9"/>
    <n v="-3848868.16"/>
    <n v="-3580028.4"/>
    <n v="-3779289.95"/>
    <n v="-3651900.83"/>
    <n v="-3574035.78"/>
    <n v="-3529226.72"/>
    <n v="-40665913.670000002"/>
    <n v="-44809.05999999959"/>
  </r>
  <r>
    <x v="6"/>
    <x v="1"/>
    <x v="0"/>
    <s v="6870200"/>
    <n v="713096"/>
    <s v="Benefits-Other"/>
    <s v="Employee Benefits"/>
    <x v="0"/>
    <m/>
    <n v="1444"/>
    <n v="0"/>
    <n v="0"/>
    <n v="0"/>
    <n v="1752"/>
    <n v="0"/>
    <n v="1895.16"/>
    <n v="0.32"/>
    <n v="1.62"/>
    <n v="1838.71"/>
    <n v="0.11"/>
    <n v="-0.04"/>
    <n v="6931.8799999999992"/>
    <n v="0.15"/>
  </r>
  <r>
    <x v="6"/>
    <x v="1"/>
    <x v="0"/>
    <s v="6870200"/>
    <n v="713096"/>
    <s v="Relocation"/>
    <s v="Employee Benefits"/>
    <x v="0"/>
    <n v="1011"/>
    <n v="1695.11"/>
    <n v="35177.339999999997"/>
    <n v="19626.740000000002"/>
    <n v="57244.639999999999"/>
    <n v="19280.47"/>
    <n v="-17764.490000000002"/>
    <n v="0"/>
    <n v="0"/>
    <n v="23748.28"/>
    <n v="21776.35"/>
    <n v="18433.150000000001"/>
    <n v="11612.07"/>
    <n v="190829.65999999997"/>
    <n v="6821.0800000000017"/>
  </r>
  <r>
    <x v="6"/>
    <x v="1"/>
    <x v="0"/>
    <s v="6870200"/>
    <n v="713096"/>
    <s v="Taxable Fringe Benefits"/>
    <s v="Employee Benefits"/>
    <x v="0"/>
    <n v="1012"/>
    <n v="0"/>
    <n v="0"/>
    <n v="0"/>
    <n v="0"/>
    <n v="0"/>
    <n v="22500"/>
    <n v="0"/>
    <n v="0"/>
    <n v="0"/>
    <n v="0"/>
    <n v="0"/>
    <n v="0"/>
    <n v="22500"/>
    <n v="0"/>
  </r>
  <r>
    <x v="5"/>
    <x v="10"/>
    <x v="0"/>
    <s v="6870306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6"/>
    <x v="10"/>
    <x v="0"/>
    <s v="6870306"/>
    <n v="713010"/>
    <s v="Benefits-FICA/Medicare"/>
    <s v="Employee Benefits"/>
    <x v="0"/>
    <m/>
    <n v="184.57"/>
    <n v="175.68"/>
    <n v="151.34"/>
    <n v="175"/>
    <n v="150"/>
    <n v="286.55"/>
    <n v="232.6"/>
    <n v="207.9"/>
    <n v="294.82"/>
    <n v="281.57"/>
    <n v="281.8"/>
    <n v="251.23"/>
    <n v="2673.0600000000004"/>
    <n v="30.570000000000022"/>
  </r>
  <r>
    <x v="6"/>
    <x v="10"/>
    <x v="0"/>
    <s v="6870306"/>
    <n v="713022"/>
    <s v="Benefits-State Unemployment"/>
    <s v="Employee Benefits"/>
    <x v="0"/>
    <m/>
    <n v="-12272.58"/>
    <n v="0"/>
    <n v="0"/>
    <n v="0"/>
    <n v="0"/>
    <n v="0"/>
    <n v="0"/>
    <n v="0"/>
    <n v="0"/>
    <n v="0"/>
    <n v="0"/>
    <n v="0"/>
    <n v="-12272.58"/>
    <n v="0"/>
  </r>
  <r>
    <x v="6"/>
    <x v="10"/>
    <x v="0"/>
    <s v="6870306"/>
    <n v="713030"/>
    <s v="Benefits-Workers Comp-CHI Programs"/>
    <s v="Employee Benefits"/>
    <x v="0"/>
    <m/>
    <n v="4650.24"/>
    <n v="4650.24"/>
    <n v="4650.24"/>
    <n v="4650.24"/>
    <n v="4650.24"/>
    <n v="4650.24"/>
    <n v="4650.24"/>
    <n v="4650.24"/>
    <n v="4650.24"/>
    <n v="4650.24"/>
    <n v="4650.24"/>
    <n v="4650.24"/>
    <n v="55802.879999999983"/>
    <n v="0"/>
  </r>
  <r>
    <x v="6"/>
    <x v="10"/>
    <x v="0"/>
    <s v="6870306"/>
    <n v="713031"/>
    <s v="Benefits-Workers Comp-Ext to CHI Programs"/>
    <s v="Employee Benefits"/>
    <x v="0"/>
    <m/>
    <n v="-457.97"/>
    <n v="-694.3"/>
    <n v="-441.19"/>
    <n v="-507.39"/>
    <n v="-532.5"/>
    <n v="-442.43"/>
    <n v="-401.86"/>
    <n v="-591.54"/>
    <n v="-901.72"/>
    <n v="-563.05999999999995"/>
    <n v="-552.80999999999995"/>
    <n v="-467.57"/>
    <n v="-6554.3399999999983"/>
    <n v="-85.239999999999952"/>
  </r>
  <r>
    <x v="6"/>
    <x v="10"/>
    <x v="0"/>
    <s v="6870306"/>
    <n v="713034"/>
    <s v="Benefits-Flex Credits"/>
    <s v="Employee Benefits"/>
    <x v="0"/>
    <m/>
    <n v="0"/>
    <n v="0"/>
    <n v="0"/>
    <n v="0"/>
    <n v="0"/>
    <n v="0"/>
    <n v="0"/>
    <n v="0"/>
    <n v="0"/>
    <n v="0"/>
    <n v="0"/>
    <n v="234.26"/>
    <n v="234.26"/>
    <n v="-234.26"/>
  </r>
  <r>
    <x v="6"/>
    <x v="10"/>
    <x v="0"/>
    <s v="6870306"/>
    <n v="713039"/>
    <s v="401K ER Annual Contribution"/>
    <s v="Employee Benefits"/>
    <x v="0"/>
    <n v="1001"/>
    <n v="0"/>
    <n v="0"/>
    <n v="0"/>
    <n v="0"/>
    <n v="0"/>
    <n v="0"/>
    <n v="0"/>
    <n v="0"/>
    <n v="1791.36"/>
    <n v="0"/>
    <n v="0"/>
    <n v="0"/>
    <n v="1791.36"/>
    <n v="0"/>
  </r>
  <r>
    <x v="6"/>
    <x v="10"/>
    <x v="0"/>
    <s v="6870306"/>
    <n v="713042"/>
    <s v="Benefits-Group Medical"/>
    <s v="Employee Benefits"/>
    <x v="0"/>
    <m/>
    <n v="67684"/>
    <n v="65313.26"/>
    <n v="66982"/>
    <n v="64619"/>
    <n v="62004"/>
    <n v="60697"/>
    <n v="67448"/>
    <n v="67448"/>
    <n v="69501"/>
    <n v="70185"/>
    <n v="67447"/>
    <n v="66763"/>
    <n v="796091.26"/>
    <n v="684"/>
  </r>
  <r>
    <x v="6"/>
    <x v="10"/>
    <x v="0"/>
    <s v="6870306"/>
    <n v="713042"/>
    <s v="Group Medical--Employee Deductions"/>
    <s v="Employee Benefits"/>
    <x v="0"/>
    <n v="1000"/>
    <n v="-5670.52"/>
    <n v="-8069.18"/>
    <n v="-5171.67"/>
    <n v="-5145.71"/>
    <n v="-5104.2"/>
    <n v="-4947.55"/>
    <n v="-5852.23"/>
    <n v="-5870.52"/>
    <n v="-9164.9500000000007"/>
    <n v="-6077.46"/>
    <n v="-5596.3"/>
    <n v="-5715.55"/>
    <n v="-72385.84"/>
    <n v="119.25"/>
  </r>
  <r>
    <x v="6"/>
    <x v="10"/>
    <x v="0"/>
    <s v="6870306"/>
    <n v="713042"/>
    <s v="Medical Imputed Income"/>
    <s v="Employee Benefits"/>
    <x v="0"/>
    <n v="1005"/>
    <n v="0"/>
    <n v="0"/>
    <n v="0"/>
    <n v="0"/>
    <n v="0"/>
    <n v="0"/>
    <n v="1.29"/>
    <n v="0.68"/>
    <n v="0.75"/>
    <n v="0.73"/>
    <n v="0.75"/>
    <n v="0.73"/>
    <n v="4.93"/>
    <n v="2.0000000000000018E-2"/>
  </r>
  <r>
    <x v="6"/>
    <x v="10"/>
    <x v="0"/>
    <s v="6870306"/>
    <n v="713046"/>
    <s v="Benefits-Group Dental"/>
    <s v="Employee Benefits"/>
    <x v="0"/>
    <m/>
    <n v="4102.96"/>
    <n v="3992.69"/>
    <n v="4039.99"/>
    <n v="3926.32"/>
    <n v="3846.82"/>
    <n v="3764.77"/>
    <n v="4037.85"/>
    <n v="4037.85"/>
    <n v="4159.6499999999996"/>
    <n v="4199.3999999999996"/>
    <n v="4077.6"/>
    <n v="4037.85"/>
    <n v="48223.749999999993"/>
    <n v="39.75"/>
  </r>
  <r>
    <x v="6"/>
    <x v="10"/>
    <x v="0"/>
    <s v="6870306"/>
    <n v="713046"/>
    <s v="Group Dental-Employee Deductions"/>
    <s v="Employee Benefits"/>
    <x v="0"/>
    <n v="1000"/>
    <n v="-1511.94"/>
    <n v="-2170.17"/>
    <n v="-1380.63"/>
    <n v="-1465.3"/>
    <n v="-1407.3"/>
    <n v="-1369.66"/>
    <n v="-1470.5"/>
    <n v="-1470.5"/>
    <n v="-2251.1999999999998"/>
    <n v="-1530.16"/>
    <n v="-1462.69"/>
    <n v="-1500.8"/>
    <n v="-18990.849999999999"/>
    <n v="38.1099999999999"/>
  </r>
  <r>
    <x v="6"/>
    <x v="10"/>
    <x v="0"/>
    <s v="6870306"/>
    <n v="713046"/>
    <s v="Dental Imputed Income"/>
    <s v="Employee Benefits"/>
    <x v="0"/>
    <n v="1005"/>
    <n v="0"/>
    <n v="0"/>
    <n v="0"/>
    <n v="0"/>
    <n v="0"/>
    <n v="0"/>
    <n v="0.04"/>
    <n v="0.02"/>
    <n v="0.02"/>
    <n v="0.02"/>
    <n v="0.02"/>
    <n v="0.03"/>
    <n v="0.15000000000000002"/>
    <n v="-9.9999999999999985E-3"/>
  </r>
  <r>
    <x v="6"/>
    <x v="10"/>
    <x v="0"/>
    <s v="6870306"/>
    <n v="713048"/>
    <s v="Benefits-Group Vision"/>
    <s v="Employee Benefits"/>
    <x v="0"/>
    <m/>
    <n v="599.16"/>
    <n v="580.5"/>
    <n v="580.5"/>
    <n v="574.77"/>
    <n v="543.39"/>
    <n v="531.75"/>
    <n v="727.62"/>
    <n v="727.62"/>
    <n v="750.02"/>
    <n v="758.12"/>
    <n v="750.02"/>
    <n v="741.92"/>
    <n v="7865.3899999999994"/>
    <n v="8.1000000000000227"/>
  </r>
  <r>
    <x v="6"/>
    <x v="10"/>
    <x v="0"/>
    <s v="6870306"/>
    <n v="713048"/>
    <s v="Group Vision-Employee Deductions"/>
    <s v="Employee Benefits"/>
    <x v="0"/>
    <n v="1000"/>
    <n v="-564.96"/>
    <n v="-796.17"/>
    <n v="-520.86"/>
    <n v="-524.91"/>
    <n v="-504.84"/>
    <n v="-491.06"/>
    <n v="-671.84"/>
    <n v="-671.84"/>
    <n v="-1027.56"/>
    <n v="-700"/>
    <n v="-688.78"/>
    <n v="-685.04"/>
    <n v="-7847.8600000000006"/>
    <n v="-3.7400000000000091"/>
  </r>
  <r>
    <x v="6"/>
    <x v="10"/>
    <x v="0"/>
    <s v="6870306"/>
    <n v="713050"/>
    <s v="Benefits-Group Disability"/>
    <s v="Employee Benefits"/>
    <x v="0"/>
    <m/>
    <n v="1723.15"/>
    <n v="1680.36"/>
    <n v="1693.65"/>
    <n v="1701.13"/>
    <n v="1683.69"/>
    <n v="1679.03"/>
    <n v="1676.53"/>
    <n v="1717.99"/>
    <n v="1718.29"/>
    <n v="1719.99"/>
    <n v="1724.65"/>
    <n v="1726.32"/>
    <n v="20444.780000000002"/>
    <n v="-1.6699999999998454"/>
  </r>
  <r>
    <x v="6"/>
    <x v="10"/>
    <x v="0"/>
    <s v="6870306"/>
    <n v="713054"/>
    <s v="Benefits-Group Life"/>
    <s v="Employee Benefits"/>
    <x v="0"/>
    <m/>
    <n v="1651.92"/>
    <n v="1646.6"/>
    <n v="1646.02"/>
    <n v="1651.33"/>
    <n v="1599.19"/>
    <n v="1584.49"/>
    <n v="1710.65"/>
    <n v="1710.26"/>
    <n v="1714.72"/>
    <n v="1754.74"/>
    <n v="1751.59"/>
    <n v="1746.21"/>
    <n v="20167.719999999998"/>
    <n v="5.3799999999998818"/>
  </r>
  <r>
    <x v="6"/>
    <x v="10"/>
    <x v="0"/>
    <s v="6870306"/>
    <n v="713054"/>
    <s v="Group Life--Employee Deductions"/>
    <s v="Employee Benefits"/>
    <x v="0"/>
    <n v="1000"/>
    <n v="-1137.74"/>
    <n v="-1695.49"/>
    <n v="-1130.94"/>
    <n v="-1130.02"/>
    <n v="-1060.6199999999999"/>
    <n v="-1078.02"/>
    <n v="-1188.32"/>
    <n v="-1173.42"/>
    <n v="-1782.48"/>
    <n v="-1220.5999999999999"/>
    <n v="-1220.5999999999999"/>
    <n v="-1220.5999999999999"/>
    <n v="-15038.85"/>
    <n v="0"/>
  </r>
  <r>
    <x v="6"/>
    <x v="10"/>
    <x v="0"/>
    <s v="6870306"/>
    <n v="713070"/>
    <s v="Benefits-Tuition Reimbursement"/>
    <s v="Employee Benefits"/>
    <x v="0"/>
    <m/>
    <n v="0"/>
    <n v="884"/>
    <n v="0"/>
    <n v="0"/>
    <n v="0"/>
    <n v="0"/>
    <n v="0"/>
    <n v="0"/>
    <n v="0"/>
    <n v="0"/>
    <n v="0"/>
    <n v="0"/>
    <n v="884"/>
    <n v="0"/>
  </r>
  <r>
    <x v="6"/>
    <x v="10"/>
    <x v="0"/>
    <s v="6870306"/>
    <n v="713090"/>
    <s v="Benefits-Allocated Amounts"/>
    <s v="Employee Benefits"/>
    <x v="0"/>
    <m/>
    <n v="-58980.3"/>
    <n v="-65496.76"/>
    <n v="-71099.69"/>
    <n v="-68527.12"/>
    <n v="-65861.929999999993"/>
    <n v="-74864.36"/>
    <n v="-70904.160000000003"/>
    <n v="-70717.289999999994"/>
    <n v="-69458.42"/>
    <n v="-73451.759999999995"/>
    <n v="-71169.39"/>
    <n v="-70562.19"/>
    <n v="-831093.37000000011"/>
    <n v="-607.19999999999709"/>
  </r>
  <r>
    <x v="6"/>
    <x v="10"/>
    <x v="0"/>
    <s v="6870306"/>
    <n v="713096"/>
    <s v="Benefits-Other"/>
    <s v="Employee Benefits"/>
    <x v="0"/>
    <m/>
    <n v="0"/>
    <n v="0"/>
    <n v="0"/>
    <n v="0"/>
    <n v="0"/>
    <n v="0"/>
    <n v="0"/>
    <n v="0.03"/>
    <n v="0.06"/>
    <n v="0.1"/>
    <n v="0.01"/>
    <n v="0.01"/>
    <n v="0.21000000000000002"/>
    <n v="0"/>
  </r>
  <r>
    <x v="6"/>
    <x v="10"/>
    <x v="0"/>
    <s v="6870306"/>
    <n v="713096"/>
    <s v="Taxable Fringe Benefits"/>
    <s v="Employee Benefits"/>
    <x v="0"/>
    <n v="1012"/>
    <n v="0"/>
    <n v="0"/>
    <n v="0"/>
    <n v="0"/>
    <n v="0"/>
    <n v="10000"/>
    <n v="0"/>
    <n v="0"/>
    <n v="0"/>
    <n v="0"/>
    <n v="0"/>
    <n v="0"/>
    <n v="10000"/>
    <n v="0"/>
  </r>
  <r>
    <x v="5"/>
    <x v="9"/>
    <x v="0"/>
    <s v="6870501"/>
    <n v="700014"/>
    <s v="Salaries-Managemen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70501"/>
    <n v="700018"/>
    <s v="Salaries-Supervisory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70501"/>
    <n v="700026"/>
    <s v="Salaries-RN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70501"/>
    <n v="700032"/>
    <s v="Salaries-Other Pat Care Providers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70501"/>
    <n v="700034"/>
    <s v="Salaries-Tech/Professional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70501"/>
    <n v="700038"/>
    <s v="Salaries-Service/Support-Productive"/>
    <s v="Employee Benefits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6870501"/>
    <n v="713010"/>
    <s v="Benefits-FICA/Medicare"/>
    <s v="Employee Benefits"/>
    <x v="0"/>
    <m/>
    <n v="2288.65"/>
    <n v="3288.36"/>
    <n v="2898.58"/>
    <n v="5295.24"/>
    <n v="2800"/>
    <n v="4372.26"/>
    <n v="3260.2"/>
    <n v="2794.04"/>
    <n v="7257.22"/>
    <n v="5260.92"/>
    <n v="4313.1499999999996"/>
    <n v="5398.76"/>
    <n v="49227.380000000005"/>
    <n v="-1085.6100000000006"/>
  </r>
  <r>
    <x v="6"/>
    <x v="9"/>
    <x v="0"/>
    <s v="6870501"/>
    <n v="713022"/>
    <s v="Benefits-State Unemployment"/>
    <s v="Employee Benefits"/>
    <x v="0"/>
    <m/>
    <n v="0"/>
    <n v="0"/>
    <n v="0"/>
    <n v="0"/>
    <n v="0"/>
    <n v="0"/>
    <n v="320.27"/>
    <n v="48.63"/>
    <n v="0"/>
    <n v="0"/>
    <n v="0"/>
    <n v="-342.81"/>
    <n v="26.089999999999975"/>
    <n v="342.81"/>
  </r>
  <r>
    <x v="6"/>
    <x v="9"/>
    <x v="0"/>
    <s v="6870501"/>
    <n v="713030"/>
    <s v="Benefits-Workers Comp-CHI Programs"/>
    <s v="Employee Benefits"/>
    <x v="0"/>
    <m/>
    <n v="34183.370000000003"/>
    <n v="34183.370000000003"/>
    <n v="34183.370000000003"/>
    <n v="34183.370000000003"/>
    <n v="34183.370000000003"/>
    <n v="34183.370000000003"/>
    <n v="34183.370000000003"/>
    <n v="34183.370000000003"/>
    <n v="34183.370000000003"/>
    <n v="34183.370000000003"/>
    <n v="34183.370000000003"/>
    <n v="34183.370000000003"/>
    <n v="410200.44"/>
    <n v="0"/>
  </r>
  <r>
    <x v="6"/>
    <x v="9"/>
    <x v="0"/>
    <s v="6870501"/>
    <n v="713031"/>
    <s v="Benefits-Workers Comp-Ext to CHI Programs"/>
    <s v="Employee Benefits"/>
    <x v="0"/>
    <m/>
    <n v="-931.77"/>
    <n v="-1497.93"/>
    <n v="-1024.8499999999999"/>
    <n v="-1085.23"/>
    <n v="-1105.42"/>
    <n v="-1017.69"/>
    <n v="-904.41"/>
    <n v="-1263.72"/>
    <n v="-1868.99"/>
    <n v="-1242.1500000000001"/>
    <n v="-1246.1600000000001"/>
    <n v="-1197.49"/>
    <n v="-14385.809999999998"/>
    <n v="-48.670000000000073"/>
  </r>
  <r>
    <x v="6"/>
    <x v="9"/>
    <x v="0"/>
    <s v="6870501"/>
    <n v="713034"/>
    <s v="Benefits-Flex Credits"/>
    <s v="Employee Benefits"/>
    <x v="0"/>
    <m/>
    <n v="6863.1"/>
    <n v="7033.14"/>
    <n v="6455.28"/>
    <n v="6475.33"/>
    <n v="7627.03"/>
    <n v="6693.45"/>
    <n v="9652.99"/>
    <n v="8573.4599999999991"/>
    <n v="12153.54"/>
    <n v="11240.14"/>
    <n v="11722.64"/>
    <n v="10796.6"/>
    <n v="105286.7"/>
    <n v="926.03999999999905"/>
  </r>
  <r>
    <x v="6"/>
    <x v="9"/>
    <x v="0"/>
    <s v="6870501"/>
    <n v="713039"/>
    <s v="401K ER Match"/>
    <s v="Employee Benefits"/>
    <x v="0"/>
    <n v="1000"/>
    <n v="257867.23"/>
    <n v="249773.13"/>
    <n v="230423.79"/>
    <n v="278055.49"/>
    <n v="231473.67"/>
    <n v="249938.94"/>
    <n v="309628.28000000003"/>
    <n v="289400.28999999998"/>
    <n v="314408.42"/>
    <n v="309539.64"/>
    <n v="310216.78999999998"/>
    <n v="283759.81"/>
    <n v="3314485.4800000004"/>
    <n v="26456.979999999981"/>
  </r>
  <r>
    <x v="6"/>
    <x v="9"/>
    <x v="0"/>
    <s v="6870501"/>
    <n v="713039"/>
    <s v="401K ER Annual Contribution"/>
    <s v="Employee Benefits"/>
    <x v="0"/>
    <n v="1001"/>
    <n v="196348"/>
    <n v="198329"/>
    <n v="198206"/>
    <n v="196274"/>
    <n v="200223"/>
    <n v="206196"/>
    <n v="209829"/>
    <n v="211549"/>
    <n v="480619.4"/>
    <n v="242566"/>
    <n v="237560"/>
    <n v="284283.3"/>
    <n v="2861982.6999999997"/>
    <n v="-46723.299999999988"/>
  </r>
  <r>
    <x v="6"/>
    <x v="9"/>
    <x v="0"/>
    <s v="6870501"/>
    <n v="713042"/>
    <s v="Benefits-Group Medical"/>
    <s v="Employee Benefits"/>
    <x v="0"/>
    <m/>
    <n v="1058645"/>
    <n v="1043834.89"/>
    <n v="1051834"/>
    <n v="1057786"/>
    <n v="1063046"/>
    <n v="1066049"/>
    <n v="1146251"/>
    <n v="1146193"/>
    <n v="1151020"/>
    <n v="1140112"/>
    <n v="1153756"/>
    <n v="1167526"/>
    <n v="13246052.890000001"/>
    <n v="-13770"/>
  </r>
  <r>
    <x v="6"/>
    <x v="9"/>
    <x v="0"/>
    <s v="6870501"/>
    <n v="713042"/>
    <s v="Group Medical--Employee Deductions"/>
    <s v="Employee Benefits"/>
    <x v="0"/>
    <n v="1000"/>
    <n v="-153271.60999999999"/>
    <n v="-228518.58"/>
    <n v="-151391.66"/>
    <n v="-152201.76999999999"/>
    <n v="-153016.19"/>
    <n v="-153143.79999999999"/>
    <n v="-154494.29"/>
    <n v="-157262.39000000001"/>
    <n v="-238512.97"/>
    <n v="-155601.66"/>
    <n v="-157937.57"/>
    <n v="-154985.24"/>
    <n v="-2010337.73"/>
    <n v="-2952.3300000000163"/>
  </r>
  <r>
    <x v="6"/>
    <x v="9"/>
    <x v="0"/>
    <s v="6870501"/>
    <n v="713042"/>
    <s v="Medical Imputed Income"/>
    <s v="Employee Benefits"/>
    <x v="0"/>
    <n v="1005"/>
    <n v="0"/>
    <n v="0"/>
    <n v="0"/>
    <n v="0"/>
    <n v="0"/>
    <n v="0"/>
    <n v="5.0199999999999996"/>
    <n v="4.28"/>
    <n v="4.74"/>
    <n v="4.59"/>
    <n v="4.72"/>
    <n v="3.97"/>
    <n v="27.32"/>
    <n v="0.74999999999999956"/>
  </r>
  <r>
    <x v="6"/>
    <x v="9"/>
    <x v="0"/>
    <s v="6870501"/>
    <n v="713046"/>
    <s v="Benefits-Group Dental"/>
    <s v="Employee Benefits"/>
    <x v="0"/>
    <m/>
    <n v="67035.61"/>
    <n v="66796.899999999994"/>
    <n v="66883.7"/>
    <n v="67339.66"/>
    <n v="67469.62"/>
    <n v="67850.22"/>
    <n v="70138.179999999993"/>
    <n v="69892.36"/>
    <n v="70199.929999999993"/>
    <n v="69768.070000000007"/>
    <n v="69968.570000000007"/>
    <n v="70779.360000000001"/>
    <n v="824122.18"/>
    <n v="-810.7899999999936"/>
  </r>
  <r>
    <x v="6"/>
    <x v="9"/>
    <x v="0"/>
    <s v="6870501"/>
    <n v="713046"/>
    <s v="Group Dental-Employee Deductions"/>
    <s v="Employee Benefits"/>
    <x v="0"/>
    <n v="1000"/>
    <n v="-23684.57"/>
    <n v="-35143.47"/>
    <n v="-23794.240000000002"/>
    <n v="-23865.89"/>
    <n v="-23921.94"/>
    <n v="-23867.11"/>
    <n v="-24760.39"/>
    <n v="-24783.27"/>
    <n v="-37214.769999999997"/>
    <n v="-24862.82"/>
    <n v="-24701.17"/>
    <n v="-24997.49"/>
    <n v="-315597.12999999995"/>
    <n v="296.32000000000335"/>
  </r>
  <r>
    <x v="6"/>
    <x v="9"/>
    <x v="0"/>
    <s v="6870501"/>
    <n v="713046"/>
    <s v="Dental Imputed Income"/>
    <s v="Employee Benefits"/>
    <x v="0"/>
    <n v="1005"/>
    <n v="0"/>
    <n v="0"/>
    <n v="0"/>
    <n v="0"/>
    <n v="0"/>
    <n v="0"/>
    <n v="0.21"/>
    <n v="0.2"/>
    <n v="0.25"/>
    <n v="0.21"/>
    <n v="0.15"/>
    <n v="0.19"/>
    <n v="1.21"/>
    <n v="-4.0000000000000008E-2"/>
  </r>
  <r>
    <x v="6"/>
    <x v="9"/>
    <x v="0"/>
    <s v="6870501"/>
    <n v="713048"/>
    <s v="Benefits-Group Vision"/>
    <s v="Employee Benefits"/>
    <x v="0"/>
    <m/>
    <n v="9602.23"/>
    <n v="9573.68"/>
    <n v="9611.02"/>
    <n v="9696.06"/>
    <n v="9749.59"/>
    <n v="9813.64"/>
    <n v="12513.68"/>
    <n v="12552.06"/>
    <n v="12620.32"/>
    <n v="12537.36"/>
    <n v="12573.06"/>
    <n v="12741.54"/>
    <n v="133584.24"/>
    <n v="-168.48000000000138"/>
  </r>
  <r>
    <x v="6"/>
    <x v="9"/>
    <x v="0"/>
    <s v="6870501"/>
    <n v="713048"/>
    <s v="Group Vision-Employee Deductions"/>
    <s v="Employee Benefits"/>
    <x v="0"/>
    <n v="1000"/>
    <n v="-8866.76"/>
    <n v="-13140.37"/>
    <n v="-8908.8799999999992"/>
    <n v="-8976.34"/>
    <n v="-9041.4500000000007"/>
    <n v="-9031.89"/>
    <n v="-11541.61"/>
    <n v="-11641.93"/>
    <n v="-17487.490000000002"/>
    <n v="-11653.31"/>
    <n v="-11634.82"/>
    <n v="-11779.45"/>
    <n v="-133704.30000000002"/>
    <n v="144.63000000000102"/>
  </r>
  <r>
    <x v="6"/>
    <x v="9"/>
    <x v="0"/>
    <s v="6870501"/>
    <n v="713050"/>
    <s v="Benefits-Group Disability"/>
    <s v="Employee Benefits"/>
    <x v="0"/>
    <m/>
    <n v="39173.379999999997"/>
    <n v="40177.660000000003"/>
    <n v="40213.040000000001"/>
    <n v="40132.31"/>
    <n v="41174.410000000003"/>
    <n v="43190.33"/>
    <n v="68378.81"/>
    <n v="42090.31"/>
    <n v="42301.05"/>
    <n v="42070.05"/>
    <n v="42595.37"/>
    <n v="42847.89"/>
    <n v="524344.61"/>
    <n v="-252.5199999999968"/>
  </r>
  <r>
    <x v="6"/>
    <x v="9"/>
    <x v="0"/>
    <s v="6870501"/>
    <n v="713054"/>
    <s v="Benefits-Group Life"/>
    <s v="Employee Benefits"/>
    <x v="0"/>
    <m/>
    <n v="28531.98"/>
    <n v="28231.31"/>
    <n v="28350.21"/>
    <n v="28520"/>
    <n v="28808.09"/>
    <n v="29022.19"/>
    <n v="30348.65"/>
    <n v="30381.82"/>
    <n v="30627.07"/>
    <n v="30513.68"/>
    <n v="30560.76"/>
    <n v="30775.96"/>
    <n v="354671.72000000003"/>
    <n v="-215.20000000000073"/>
  </r>
  <r>
    <x v="6"/>
    <x v="9"/>
    <x v="0"/>
    <s v="6870501"/>
    <n v="713054"/>
    <s v="Group Life--Employee Deductions"/>
    <s v="Employee Benefits"/>
    <x v="0"/>
    <n v="1000"/>
    <n v="-17361.25"/>
    <n v="-25808.25"/>
    <n v="-17225.560000000001"/>
    <n v="-17253.39"/>
    <n v="-17455.41"/>
    <n v="-17513.8"/>
    <n v="-19040.04"/>
    <n v="-19135.96"/>
    <n v="-28633.45"/>
    <n v="-19017.68"/>
    <n v="-19061.38"/>
    <n v="-18978.29"/>
    <n v="-236484.46000000002"/>
    <n v="-83.090000000000146"/>
  </r>
  <r>
    <x v="6"/>
    <x v="9"/>
    <x v="0"/>
    <s v="6870501"/>
    <n v="713070"/>
    <s v="Benefits-Tuition Reimbursement"/>
    <s v="Employee Benefits"/>
    <x v="0"/>
    <m/>
    <n v="10253.19"/>
    <n v="4027.83"/>
    <n v="7790.01"/>
    <n v="7416.85"/>
    <n v="4631.8100000000004"/>
    <n v="3000"/>
    <n v="17606.97"/>
    <n v="4075.9"/>
    <n v="18040.2"/>
    <n v="13223.88"/>
    <n v="19388.419999999998"/>
    <n v="11927.57"/>
    <n v="121382.63"/>
    <n v="7460.8499999999985"/>
  </r>
  <r>
    <x v="6"/>
    <x v="9"/>
    <x v="0"/>
    <s v="6870501"/>
    <n v="713090"/>
    <s v="Benefits-Allocated Amounts"/>
    <s v="Employee Benefits"/>
    <x v="0"/>
    <m/>
    <n v="-1509320.91"/>
    <n v="-1402211.69"/>
    <n v="-1477785.47"/>
    <n v="-1552574.07"/>
    <n v="-1498035.27"/>
    <n v="-1620770.09"/>
    <n v="-1705509.23"/>
    <n v="-1637526.97"/>
    <n v="-1884278.48"/>
    <n v="-1709801.06"/>
    <n v="-1717640.1"/>
    <n v="-1754228.72"/>
    <n v="-19469682.060000002"/>
    <n v="36588.619999999879"/>
  </r>
  <r>
    <x v="6"/>
    <x v="9"/>
    <x v="0"/>
    <s v="6870501"/>
    <n v="713096"/>
    <s v="Benefits-Other"/>
    <s v="Employee Benefits"/>
    <x v="0"/>
    <m/>
    <n v="2609"/>
    <n v="0"/>
    <n v="0"/>
    <n v="0"/>
    <n v="2848"/>
    <n v="0"/>
    <n v="4273.47"/>
    <n v="0.32"/>
    <n v="1.32"/>
    <n v="2691.7"/>
    <n v="-1.2"/>
    <n v="0.56000000000000005"/>
    <n v="12423.17"/>
    <n v="-1.76"/>
  </r>
  <r>
    <x v="6"/>
    <x v="9"/>
    <x v="0"/>
    <s v="6870501"/>
    <n v="713096"/>
    <s v="Relocation"/>
    <s v="Employee Benefits"/>
    <x v="0"/>
    <n v="1011"/>
    <n v="0"/>
    <n v="4510.63"/>
    <n v="3315.45"/>
    <n v="24950.38"/>
    <n v="8434.5300000000007"/>
    <n v="-7645.52"/>
    <n v="0"/>
    <n v="0"/>
    <n v="17550.32"/>
    <n v="8588"/>
    <n v="5761.36"/>
    <n v="11753.05"/>
    <n v="77218.2"/>
    <n v="-5991.69"/>
  </r>
  <r>
    <x v="6"/>
    <x v="9"/>
    <x v="0"/>
    <s v="6870501"/>
    <n v="713096"/>
    <s v="Taxable Fringe Benefits"/>
    <s v="Employee Benefits"/>
    <x v="0"/>
    <n v="1012"/>
    <n v="0"/>
    <n v="0"/>
    <n v="0"/>
    <n v="0"/>
    <n v="0"/>
    <n v="112500"/>
    <n v="0"/>
    <n v="0"/>
    <n v="0"/>
    <n v="0"/>
    <n v="0"/>
    <n v="0"/>
    <n v="112500"/>
    <n v="0"/>
  </r>
  <r>
    <x v="14"/>
    <x v="9"/>
    <x v="0"/>
    <s v="6870501"/>
    <n v="713096"/>
    <s v="Travel Accident Insurance"/>
    <s v="Employee Benefits"/>
    <x v="0"/>
    <n v="1019"/>
    <n v="0"/>
    <n v="16627.5"/>
    <n v="0"/>
    <n v="0"/>
    <n v="0"/>
    <n v="0"/>
    <n v="0"/>
    <n v="0"/>
    <n v="16408.5"/>
    <n v="0"/>
    <n v="0"/>
    <n v="0"/>
    <n v="33036"/>
    <n v="0"/>
  </r>
  <r>
    <x v="6"/>
    <x v="3"/>
    <x v="0"/>
    <s v="6872101"/>
    <n v="713010"/>
    <s v="Benefits-FICA/Medicare"/>
    <s v="MBO-Specific Employee Benefits"/>
    <x v="0"/>
    <m/>
    <n v="80.94"/>
    <n v="118.06"/>
    <n v="96.86"/>
    <n v="99.72"/>
    <n v="116.07"/>
    <n v="47829.7"/>
    <n v="6322.36"/>
    <n v="34.799999999999997"/>
    <n v="17.61"/>
    <n v="208.27"/>
    <n v="18794.79"/>
    <n v="-4589.0200000000004"/>
    <n v="69130.159999999989"/>
    <n v="23383.81"/>
  </r>
  <r>
    <x v="6"/>
    <x v="3"/>
    <x v="0"/>
    <s v="6872101"/>
    <n v="713090"/>
    <s v="Benefits-Allocated Amounts"/>
    <s v="MBO-Specific Employee Benefits"/>
    <x v="0"/>
    <m/>
    <n v="-415.75"/>
    <n v="-1060.3399999999999"/>
    <n v="-1289.1600000000001"/>
    <n v="-1042.1500000000001"/>
    <n v="-1058.32"/>
    <n v="-49619.18"/>
    <n v="-7018.1"/>
    <n v="-725"/>
    <n v="-710.51"/>
    <n v="-3117.13"/>
    <n v="-19854.75"/>
    <n v="3583.96"/>
    <n v="-82326.429999999993"/>
    <n v="-23438.71"/>
  </r>
  <r>
    <x v="6"/>
    <x v="3"/>
    <x v="0"/>
    <s v="6872101"/>
    <n v="713096"/>
    <s v="Benefits-Other"/>
    <s v="MBO-Specific Employee Benefits"/>
    <x v="0"/>
    <m/>
    <n v="-357.52"/>
    <n v="0"/>
    <n v="0"/>
    <n v="0"/>
    <n v="0"/>
    <n v="0"/>
    <n v="0"/>
    <n v="0"/>
    <n v="0"/>
    <n v="0"/>
    <n v="0"/>
    <n v="55.48"/>
    <n v="-302.03999999999996"/>
    <n v="-55.48"/>
  </r>
  <r>
    <x v="6"/>
    <x v="3"/>
    <x v="0"/>
    <s v="6872101"/>
    <n v="713096"/>
    <s v="Auto Allowance"/>
    <s v="MBO-Specific Employee Benefits"/>
    <x v="0"/>
    <n v="1005"/>
    <n v="692.32"/>
    <n v="692.32"/>
    <n v="692.32"/>
    <n v="692.32"/>
    <n v="692.32"/>
    <n v="1038.48"/>
    <n v="693.52"/>
    <n v="693.34"/>
    <n v="692.47"/>
    <n v="692.32"/>
    <n v="692.32"/>
    <n v="1038.48"/>
    <n v="9002.5300000000007"/>
    <n v="-346.15999999999997"/>
  </r>
  <r>
    <x v="6"/>
    <x v="3"/>
    <x v="0"/>
    <s v="6872101"/>
    <n v="713096"/>
    <s v="Employee Recognition"/>
    <s v="MBO-Specific Employee Benefits"/>
    <x v="0"/>
    <n v="1017"/>
    <n v="0"/>
    <n v="250"/>
    <n v="500"/>
    <n v="250"/>
    <n v="250"/>
    <n v="750"/>
    <n v="1.34"/>
    <n v="-0.28999999999999998"/>
    <n v="0"/>
    <n v="2214.71"/>
    <n v="370.13"/>
    <n v="-89.7"/>
    <n v="4496.1900000000005"/>
    <n v="459.83"/>
  </r>
  <r>
    <x v="6"/>
    <x v="0"/>
    <x v="0"/>
    <s v="6872102"/>
    <n v="713010"/>
    <s v="Benefits-FICA/Medicare"/>
    <s v="MBO-Specific Employee Benefits"/>
    <x v="0"/>
    <m/>
    <n v="42.31"/>
    <n v="21.08"/>
    <n v="59.72"/>
    <n v="23.09"/>
    <n v="37.94"/>
    <n v="13257.98"/>
    <n v="645.62"/>
    <n v="1522.88"/>
    <n v="58.53"/>
    <n v="169.82"/>
    <n v="8711.49"/>
    <n v="-2068.59"/>
    <n v="22481.87"/>
    <n v="10780.08"/>
  </r>
  <r>
    <x v="6"/>
    <x v="0"/>
    <x v="0"/>
    <s v="6872102"/>
    <n v="713090"/>
    <s v="Benefits-Allocated Amounts"/>
    <s v="MBO-Specific Employee Benefits"/>
    <x v="0"/>
    <m/>
    <n v="-734.64"/>
    <n v="-713.39"/>
    <n v="-1252.0999999999999"/>
    <n v="-715.34"/>
    <n v="-980.3"/>
    <n v="-14796.36"/>
    <n v="-1589.94"/>
    <n v="-2215.83"/>
    <n v="-752.76"/>
    <n v="-3075.43"/>
    <n v="-9575.4699999999993"/>
    <n v="1070.99"/>
    <n v="-35330.57"/>
    <n v="-10646.46"/>
  </r>
  <r>
    <x v="6"/>
    <x v="0"/>
    <x v="0"/>
    <s v="6872102"/>
    <n v="713096"/>
    <s v="Auto Allowance"/>
    <s v="MBO-Specific Employee Benefits"/>
    <x v="0"/>
    <n v="1005"/>
    <n v="692.32"/>
    <n v="692.32"/>
    <n v="692.32"/>
    <n v="692.32"/>
    <n v="692.32"/>
    <n v="1038.48"/>
    <n v="693.52"/>
    <n v="693.34"/>
    <n v="693.45"/>
    <n v="692.08"/>
    <n v="692.32"/>
    <n v="1038.48"/>
    <n v="9003.27"/>
    <n v="-346.15999999999997"/>
  </r>
  <r>
    <x v="6"/>
    <x v="0"/>
    <x v="0"/>
    <s v="6872102"/>
    <n v="713096"/>
    <s v="Employee Recognition"/>
    <s v="MBO-Specific Employee Benefits"/>
    <x v="0"/>
    <n v="1017"/>
    <n v="0"/>
    <n v="0"/>
    <n v="500"/>
    <n v="0"/>
    <n v="250"/>
    <n v="500"/>
    <n v="250.8"/>
    <n v="-0.09"/>
    <n v="0"/>
    <n v="2213.96"/>
    <n v="172.13"/>
    <n v="-40.74"/>
    <n v="3846.0600000000004"/>
    <n v="212.87"/>
  </r>
  <r>
    <x v="6"/>
    <x v="4"/>
    <x v="0"/>
    <s v="6872103"/>
    <n v="713010"/>
    <s v="Benefits-FICA/Medicare"/>
    <s v="MBO-Specific Employee Benefits"/>
    <x v="0"/>
    <m/>
    <n v="22.27"/>
    <n v="25.09"/>
    <n v="51.53"/>
    <n v="-4.95"/>
    <n v="6.4"/>
    <n v="9246.24"/>
    <n v="450.88"/>
    <n v="1410.68"/>
    <n v="178.73"/>
    <n v="-13.97"/>
    <n v="5053.29"/>
    <n v="-465.22"/>
    <n v="15960.97"/>
    <n v="5518.51"/>
  </r>
  <r>
    <x v="6"/>
    <x v="4"/>
    <x v="0"/>
    <s v="6872103"/>
    <n v="713090"/>
    <s v="Benefits-Allocated Amounts"/>
    <s v="MBO-Specific Employee Benefits"/>
    <x v="0"/>
    <m/>
    <n v="-272.3"/>
    <n v="-275.2"/>
    <n v="-551.41999999999996"/>
    <n v="5"/>
    <n v="-6.43"/>
    <n v="-9246.0300000000007"/>
    <n v="-451.15"/>
    <n v="-2161.77"/>
    <n v="-1682.3"/>
    <n v="-696.7"/>
    <n v="-5153.0200000000004"/>
    <n v="-237.44"/>
    <n v="-20728.759999999998"/>
    <n v="-4915.5800000000008"/>
  </r>
  <r>
    <x v="6"/>
    <x v="4"/>
    <x v="0"/>
    <s v="6872103"/>
    <n v="713096"/>
    <s v="Employee Recognition"/>
    <s v="MBO-Specific Employee Benefits"/>
    <x v="0"/>
    <n v="1017"/>
    <n v="250"/>
    <n v="250"/>
    <n v="500"/>
    <n v="0"/>
    <n v="0"/>
    <n v="0"/>
    <n v="0.02"/>
    <n v="751.11"/>
    <n v="1503.45"/>
    <n v="710.53"/>
    <n v="100.24"/>
    <n v="702.03"/>
    <n v="4767.3799999999992"/>
    <n v="-601.79"/>
  </r>
  <r>
    <x v="6"/>
    <x v="8"/>
    <x v="0"/>
    <s v="6872104"/>
    <n v="713010"/>
    <s v="Benefits-FICA/Medicare"/>
    <s v="MBO-Specific Employee Benefits"/>
    <x v="0"/>
    <m/>
    <n v="51.71"/>
    <n v="21.68"/>
    <n v="32.299999999999997"/>
    <n v="29.96"/>
    <n v="30.18"/>
    <n v="7558.24"/>
    <n v="485.43"/>
    <n v="903.09"/>
    <n v="0"/>
    <n v="184.59"/>
    <n v="2202.3200000000002"/>
    <n v="-586.12"/>
    <n v="10913.38"/>
    <n v="2788.44"/>
  </r>
  <r>
    <x v="6"/>
    <x v="8"/>
    <x v="0"/>
    <s v="6872104"/>
    <n v="713042"/>
    <s v="Group Medical--Employee Deductions"/>
    <s v="MBO-Specific Employee Benefits"/>
    <x v="0"/>
    <n v="1000"/>
    <n v="0"/>
    <n v="-46"/>
    <n v="0"/>
    <n v="0"/>
    <n v="0"/>
    <n v="0"/>
    <n v="0"/>
    <n v="0"/>
    <n v="0"/>
    <n v="0"/>
    <n v="0"/>
    <n v="0"/>
    <n v="-46"/>
    <n v="0"/>
  </r>
  <r>
    <x v="6"/>
    <x v="8"/>
    <x v="0"/>
    <s v="6872104"/>
    <n v="713090"/>
    <s v="Benefits-Allocated Amounts"/>
    <s v="MBO-Specific Employee Benefits"/>
    <x v="0"/>
    <m/>
    <n v="-551.89"/>
    <n v="-225.52"/>
    <n v="-282.29000000000002"/>
    <n v="-279.95"/>
    <n v="-280.2"/>
    <n v="-7808.32"/>
    <n v="-485.6"/>
    <n v="-902.83"/>
    <n v="-0.15"/>
    <n v="-1688.03"/>
    <n v="-2246.02"/>
    <n v="597.66999999999996"/>
    <n v="-14153.130000000001"/>
    <n v="-2843.69"/>
  </r>
  <r>
    <x v="6"/>
    <x v="8"/>
    <x v="0"/>
    <s v="6872104"/>
    <n v="713096"/>
    <s v="Employee Recognition"/>
    <s v="MBO-Specific Employee Benefits"/>
    <x v="0"/>
    <n v="1017"/>
    <n v="500"/>
    <n v="250"/>
    <n v="250"/>
    <n v="250"/>
    <n v="250"/>
    <n v="250"/>
    <n v="0.11"/>
    <n v="-0.01"/>
    <n v="0"/>
    <n v="1503.77"/>
    <n v="43.36"/>
    <n v="-11.35"/>
    <n v="3285.88"/>
    <n v="54.71"/>
  </r>
  <r>
    <x v="6"/>
    <x v="5"/>
    <x v="0"/>
    <s v="6872106"/>
    <n v="713010"/>
    <s v="Benefits-FICA/Medicare"/>
    <s v="MBO-Specific Employee Benefits"/>
    <x v="0"/>
    <m/>
    <n v="17.22"/>
    <n v="52.71"/>
    <n v="52.97"/>
    <n v="8.6999999999999993"/>
    <n v="96.06"/>
    <n v="4646.76"/>
    <n v="440.7"/>
    <n v="695.87"/>
    <n v="19.12"/>
    <n v="168.89"/>
    <n v="2489.89"/>
    <n v="-258.20999999999998"/>
    <n v="8430.68"/>
    <n v="2748.1"/>
  </r>
  <r>
    <x v="6"/>
    <x v="5"/>
    <x v="0"/>
    <s v="6872106"/>
    <n v="713042"/>
    <s v="Benefits-Group Medical"/>
    <s v="MBO-Specific Employee Benefits"/>
    <x v="0"/>
    <m/>
    <n v="705.6"/>
    <n v="705.6"/>
    <n v="705.6"/>
    <n v="707.28"/>
    <n v="707.28"/>
    <n v="707.28"/>
    <n v="692.16"/>
    <n v="692.16"/>
    <n v="692.16"/>
    <n v="678.72"/>
    <n v="678.72"/>
    <n v="678.72"/>
    <n v="8351.2799999999988"/>
    <n v="0"/>
  </r>
  <r>
    <x v="6"/>
    <x v="5"/>
    <x v="0"/>
    <s v="6872106"/>
    <n v="713058"/>
    <s v="Benefits-Supplemental EE Retirement Plan"/>
    <s v="MBO-Specific Employee Benefits"/>
    <x v="0"/>
    <m/>
    <n v="146615.87"/>
    <n v="227116.65"/>
    <n v="151793.85"/>
    <n v="139791.21"/>
    <n v="149764.73000000001"/>
    <n v="154236.69"/>
    <n v="155834.13"/>
    <n v="150732.63"/>
    <n v="227777.27"/>
    <n v="155048.42000000001"/>
    <n v="148850.89000000001"/>
    <n v="144573.54"/>
    <n v="1952135.88"/>
    <n v="4277.3500000000058"/>
  </r>
  <r>
    <x v="6"/>
    <x v="5"/>
    <x v="0"/>
    <s v="6872106"/>
    <n v="713070"/>
    <s v="Benefits-Tuition Reimbursement"/>
    <s v="MBO-Specific Employee Benefits"/>
    <x v="0"/>
    <m/>
    <n v="7346.19"/>
    <n v="22841.24"/>
    <n v="15144.83"/>
    <n v="22570.59"/>
    <n v="7352.22"/>
    <n v="7445.28"/>
    <n v="30164.91"/>
    <n v="14943.84"/>
    <n v="23030.080000000002"/>
    <n v="15034.5"/>
    <n v="7250.52"/>
    <n v="14696.23"/>
    <n v="187820.43"/>
    <n v="-7445.7099999999991"/>
  </r>
  <r>
    <x v="6"/>
    <x v="5"/>
    <x v="0"/>
    <s v="6872106"/>
    <n v="713090"/>
    <s v="Benefits-Allocated Amounts"/>
    <s v="MBO-Specific Employee Benefits"/>
    <x v="0"/>
    <m/>
    <n v="-154687.4"/>
    <n v="-250968.68"/>
    <n v="-168207.53"/>
    <n v="-163044.62"/>
    <n v="-158577.89000000001"/>
    <n v="-166918.35999999999"/>
    <n v="-187152.77"/>
    <n v="-167003.45000000001"/>
    <n v="-252335.29"/>
    <n v="-173082.18"/>
    <n v="-159352.42000000001"/>
    <n v="-159918.75"/>
    <n v="-2161249.34"/>
    <n v="566.32999999998719"/>
  </r>
  <r>
    <x v="6"/>
    <x v="5"/>
    <x v="0"/>
    <s v="6872106"/>
    <n v="713096"/>
    <s v="Benefits-Other"/>
    <s v="MBO-Specific Employee Benefits"/>
    <x v="0"/>
    <m/>
    <n v="0"/>
    <n v="0"/>
    <n v="0"/>
    <n v="0"/>
    <n v="0"/>
    <n v="0"/>
    <n v="0"/>
    <n v="0"/>
    <n v="500"/>
    <n v="0"/>
    <n v="0"/>
    <n v="250"/>
    <n v="750"/>
    <n v="-250"/>
  </r>
  <r>
    <x v="6"/>
    <x v="5"/>
    <x v="0"/>
    <s v="6872106"/>
    <n v="713096"/>
    <s v="Employee Recognition"/>
    <s v="MBO-Specific Employee Benefits"/>
    <x v="0"/>
    <n v="1017"/>
    <n v="0"/>
    <n v="250"/>
    <n v="500"/>
    <n v="0"/>
    <n v="500"/>
    <n v="0"/>
    <n v="0.13"/>
    <n v="-0.03"/>
    <n v="250"/>
    <n v="2210.73"/>
    <n v="35.39"/>
    <n v="-6.73"/>
    <n v="3739.49"/>
    <n v="42.120000000000005"/>
  </r>
  <r>
    <x v="5"/>
    <x v="6"/>
    <x v="0"/>
    <s v="6872107"/>
    <n v="700066"/>
    <s v="Salaries-RN-NonProd-Other"/>
    <s v="MBO-Specific Employee Benefits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6872107"/>
    <n v="713010"/>
    <s v="Benefits-FICA/Medicare"/>
    <s v="MBO-Specific Employee Benefits"/>
    <x v="0"/>
    <m/>
    <n v="127.28"/>
    <n v="2093.85"/>
    <n v="107.69"/>
    <n v="106.87"/>
    <n v="112.03"/>
    <n v="9462.7999999999993"/>
    <n v="601.46"/>
    <n v="1197.45"/>
    <n v="222.58"/>
    <n v="106.69"/>
    <n v="4264.96"/>
    <n v="-921.18"/>
    <n v="17482.48"/>
    <n v="5186.1400000000003"/>
  </r>
  <r>
    <x v="6"/>
    <x v="6"/>
    <x v="0"/>
    <s v="6872107"/>
    <n v="713038"/>
    <s v="Benefits-Pension Plan"/>
    <s v="MBO-Specific Employee Benefits"/>
    <x v="0"/>
    <m/>
    <n v="-210384.67"/>
    <n v="-210384.67"/>
    <n v="-210384.67"/>
    <n v="-210384.67"/>
    <n v="-210384.67"/>
    <n v="-210384.67"/>
    <n v="-210384.67"/>
    <n v="-210384.67"/>
    <n v="-210384.67"/>
    <n v="-210384.67"/>
    <n v="-210384.67"/>
    <n v="-210384.67"/>
    <n v="-2524616.0399999996"/>
    <n v="0"/>
  </r>
  <r>
    <x v="6"/>
    <x v="6"/>
    <x v="0"/>
    <s v="6872107"/>
    <n v="713042"/>
    <s v="Benefits-Group Medical"/>
    <s v="MBO-Specific Employee Benefits"/>
    <x v="0"/>
    <m/>
    <n v="461280.66"/>
    <n v="454748.36"/>
    <n v="456112.94"/>
    <n v="458804.92"/>
    <n v="696455.31"/>
    <n v="471780.66"/>
    <n v="476412.45"/>
    <n v="462934.61"/>
    <n v="465535.3"/>
    <n v="467103.12"/>
    <n v="470622.73"/>
    <n v="704765.83"/>
    <n v="6046556.8900000006"/>
    <n v="-234143.09999999998"/>
  </r>
  <r>
    <x v="6"/>
    <x v="6"/>
    <x v="0"/>
    <s v="6872107"/>
    <n v="713058"/>
    <s v="Benefits-Supplemental EE Retirement Plan"/>
    <s v="MBO-Specific Employee Benefits"/>
    <x v="0"/>
    <m/>
    <n v="0"/>
    <n v="133.94999999999999"/>
    <n v="0"/>
    <n v="0"/>
    <n v="0"/>
    <n v="0"/>
    <n v="0"/>
    <n v="-360000"/>
    <n v="0"/>
    <n v="0"/>
    <n v="0"/>
    <n v="0"/>
    <n v="-359866.05"/>
    <n v="0"/>
  </r>
  <r>
    <x v="6"/>
    <x v="6"/>
    <x v="0"/>
    <s v="6872107"/>
    <n v="713070"/>
    <s v="Benefits-Tuition Reimbursement"/>
    <s v="MBO-Specific Employee Benefits"/>
    <x v="0"/>
    <m/>
    <n v="0"/>
    <n v="0"/>
    <n v="0"/>
    <n v="250"/>
    <n v="0"/>
    <n v="0"/>
    <n v="0"/>
    <n v="0"/>
    <n v="0"/>
    <n v="0"/>
    <n v="0"/>
    <n v="0"/>
    <n v="250"/>
    <n v="0"/>
  </r>
  <r>
    <x v="6"/>
    <x v="6"/>
    <x v="0"/>
    <s v="6872107"/>
    <n v="713090"/>
    <s v="Benefits-Allocated Amounts"/>
    <s v="MBO-Specific Employee Benefits"/>
    <x v="0"/>
    <m/>
    <n v="-256259.07"/>
    <n v="-249328.97"/>
    <n v="-247937.56"/>
    <n v="-261082.21"/>
    <n v="-487653.74"/>
    <n v="-274259.5"/>
    <n v="-268764.21999999997"/>
    <n v="-257621.15"/>
    <n v="100936.81"/>
    <n v="-258800.18"/>
    <n v="-273351.21000000002"/>
    <n v="-496981.2"/>
    <n v="-3231102.2"/>
    <n v="223629.99"/>
  </r>
  <r>
    <x v="6"/>
    <x v="6"/>
    <x v="0"/>
    <s v="6872107"/>
    <n v="713096"/>
    <s v="Benefits-Other"/>
    <s v="MBO-Specific Employee Benefits"/>
    <x v="0"/>
    <m/>
    <n v="2156.6"/>
    <n v="1460.94"/>
    <n v="976.26"/>
    <n v="11336.97"/>
    <n v="1010.88"/>
    <n v="1516.32"/>
    <n v="1012.47"/>
    <n v="2757.92"/>
    <n v="1012.47"/>
    <n v="1012.44"/>
    <n v="7410.66"/>
    <n v="1427.74"/>
    <n v="33091.67"/>
    <n v="5982.92"/>
  </r>
  <r>
    <x v="6"/>
    <x v="6"/>
    <x v="0"/>
    <s v="6872107"/>
    <n v="713096"/>
    <s v="Auto Allowance"/>
    <s v="MBO-Specific Employee Benefits"/>
    <x v="0"/>
    <n v="1005"/>
    <n v="884.62"/>
    <n v="884.62"/>
    <n v="884.62"/>
    <n v="884.62"/>
    <n v="884.62"/>
    <n v="1326.93"/>
    <n v="886.14"/>
    <n v="885.9"/>
    <n v="884.76"/>
    <n v="884.92"/>
    <n v="884.63"/>
    <n v="1326.93"/>
    <n v="11503.31"/>
    <n v="-442.30000000000007"/>
  </r>
  <r>
    <x v="6"/>
    <x v="6"/>
    <x v="0"/>
    <s v="6872107"/>
    <n v="713096"/>
    <s v="Employee Recognition"/>
    <s v="MBO-Specific Employee Benefits"/>
    <x v="0"/>
    <n v="1017"/>
    <n v="250"/>
    <n v="426.04"/>
    <n v="293.60000000000002"/>
    <n v="0"/>
    <n v="0"/>
    <n v="587.20000000000005"/>
    <n v="87.73"/>
    <n v="250.27"/>
    <n v="1821.03"/>
    <n v="0"/>
    <n v="837.07"/>
    <n v="690.91"/>
    <n v="5243.8499999999995"/>
    <n v="146.16000000000008"/>
  </r>
  <r>
    <x v="6"/>
    <x v="6"/>
    <x v="0"/>
    <s v="6872107"/>
    <n v="713096"/>
    <s v="Employee Health Screening"/>
    <s v="MBO-Specific Employee Benefits"/>
    <x v="0"/>
    <n v="1029"/>
    <n v="1928.94"/>
    <n v="0"/>
    <n v="14"/>
    <n v="0"/>
    <n v="-400.79"/>
    <n v="0"/>
    <n v="0"/>
    <n v="0"/>
    <n v="0"/>
    <n v="0"/>
    <n v="0"/>
    <n v="0"/>
    <n v="1542.15"/>
    <n v="0"/>
  </r>
  <r>
    <x v="6"/>
    <x v="7"/>
    <x v="0"/>
    <s v="6872150"/>
    <n v="713010"/>
    <s v="Benefits-FICA/Medicare"/>
    <s v="MBO-Specific Employee Benefits"/>
    <x v="0"/>
    <m/>
    <n v="6.4"/>
    <n v="27.3"/>
    <n v="6.2"/>
    <n v="6.3"/>
    <n v="6.14"/>
    <n v="1371.27"/>
    <n v="7.2"/>
    <n v="205"/>
    <n v="0"/>
    <n v="114.39"/>
    <n v="549.19000000000005"/>
    <n v="47.59"/>
    <n v="2346.9800000000005"/>
    <n v="501.6"/>
  </r>
  <r>
    <x v="6"/>
    <x v="7"/>
    <x v="0"/>
    <s v="6872150"/>
    <n v="713090"/>
    <s v="Benefits-Allocated Amounts"/>
    <s v="MBO-Specific Employee Benefits"/>
    <x v="0"/>
    <m/>
    <n v="-6.4"/>
    <n v="-277.33"/>
    <n v="-6.19"/>
    <n v="-6.33"/>
    <n v="-6.13"/>
    <n v="-1621.29"/>
    <n v="-7.3"/>
    <n v="-455.34"/>
    <n v="0.08"/>
    <n v="-1616.6"/>
    <n v="-558.69000000000005"/>
    <n v="-49.29"/>
    <n v="-4610.8100000000004"/>
    <n v="-509.40000000000003"/>
  </r>
  <r>
    <x v="6"/>
    <x v="7"/>
    <x v="0"/>
    <s v="6872150"/>
    <n v="713096"/>
    <s v="Employee Recognition"/>
    <s v="MBO-Specific Employee Benefits"/>
    <x v="0"/>
    <n v="1017"/>
    <n v="0"/>
    <n v="250"/>
    <n v="0"/>
    <n v="0"/>
    <n v="0"/>
    <n v="250"/>
    <n v="0.09"/>
    <n v="250.35"/>
    <n v="0"/>
    <n v="1502.19"/>
    <n v="9.5399999999999991"/>
    <n v="1.7"/>
    <n v="2263.87"/>
    <n v="7.839999999999999"/>
  </r>
  <r>
    <x v="6"/>
    <x v="1"/>
    <x v="0"/>
    <s v="6872200"/>
    <n v="713010"/>
    <s v="Benefits-FICA/Medicare"/>
    <s v="MBO-Specific Employee Benefits"/>
    <x v="0"/>
    <m/>
    <n v="270.04000000000002"/>
    <n v="273.47000000000003"/>
    <n v="163.66999999999999"/>
    <n v="251.72"/>
    <n v="243.72"/>
    <n v="21284.39"/>
    <n v="2983.71"/>
    <n v="3842.45"/>
    <n v="271.39999999999998"/>
    <n v="399.79"/>
    <n v="13330.99"/>
    <n v="-4187.57"/>
    <n v="39127.78"/>
    <n v="17518.559999999998"/>
  </r>
  <r>
    <x v="6"/>
    <x v="1"/>
    <x v="0"/>
    <s v="6872200"/>
    <n v="713070"/>
    <s v="Benefits-Tuition Reimbursement"/>
    <s v="MBO-Specific Employee Benefits"/>
    <x v="0"/>
    <m/>
    <n v="0"/>
    <n v="0"/>
    <n v="0"/>
    <n v="0"/>
    <n v="0"/>
    <n v="0"/>
    <n v="0"/>
    <n v="0"/>
    <n v="48000"/>
    <n v="0"/>
    <n v="0"/>
    <n v="0"/>
    <n v="48000"/>
    <n v="0"/>
  </r>
  <r>
    <x v="6"/>
    <x v="1"/>
    <x v="0"/>
    <s v="6872200"/>
    <n v="713090"/>
    <s v="Benefits-Allocated Amounts"/>
    <s v="MBO-Specific Employee Benefits"/>
    <x v="0"/>
    <m/>
    <n v="-4346.03"/>
    <n v="-4349.7299999999996"/>
    <n v="-3990.27"/>
    <n v="-4327.43"/>
    <n v="-4321.3999999999996"/>
    <n v="-27174.959999999999"/>
    <n v="-6550.64"/>
    <n v="-7304.25"/>
    <n v="-52152.49"/>
    <n v="-6724.47"/>
    <n v="-17789.77"/>
    <n v="-2173.14"/>
    <n v="-141204.58000000002"/>
    <n v="-15616.630000000001"/>
  </r>
  <r>
    <x v="6"/>
    <x v="1"/>
    <x v="0"/>
    <s v="6872200"/>
    <n v="713096"/>
    <s v="Benefits-Other"/>
    <s v="MBO-Specific Employee Benefits"/>
    <x v="0"/>
    <m/>
    <n v="2941.46"/>
    <n v="2941.46"/>
    <n v="2941.46"/>
    <n v="2941.46"/>
    <n v="2941.46"/>
    <n v="4066.05"/>
    <n v="2680.64"/>
    <n v="2575.77"/>
    <n v="2713.87"/>
    <n v="2644.37"/>
    <n v="2644.69"/>
    <n v="3964.77"/>
    <n v="35997.459999999992"/>
    <n v="-1320.08"/>
  </r>
  <r>
    <x v="6"/>
    <x v="1"/>
    <x v="0"/>
    <s v="6872200"/>
    <n v="713096"/>
    <s v="Auto Allowance"/>
    <s v="MBO-Specific Employee Benefits"/>
    <x v="0"/>
    <n v="1005"/>
    <n v="884.6"/>
    <n v="884.6"/>
    <n v="884.6"/>
    <n v="884.6"/>
    <n v="884.6"/>
    <n v="1326.9"/>
    <n v="886.15"/>
    <n v="885.9"/>
    <n v="1174.77"/>
    <n v="1462.54"/>
    <n v="1559.25"/>
    <n v="2482.0100000000002"/>
    <n v="14200.519999999999"/>
    <n v="-922.76000000000022"/>
  </r>
  <r>
    <x v="6"/>
    <x v="1"/>
    <x v="0"/>
    <s v="6872200"/>
    <n v="713096"/>
    <s v="Employee Recognition"/>
    <s v="MBO-Specific Employee Benefits"/>
    <x v="0"/>
    <n v="1017"/>
    <n v="250"/>
    <n v="250"/>
    <n v="0"/>
    <n v="250"/>
    <n v="250"/>
    <n v="500"/>
    <n v="1.86"/>
    <n v="-0.4"/>
    <n v="0"/>
    <n v="2213.9699999999998"/>
    <n v="259.61"/>
    <n v="-87.69"/>
    <n v="3887.3499999999995"/>
    <n v="347.3"/>
  </r>
  <r>
    <x v="6"/>
    <x v="15"/>
    <x v="0"/>
    <s v="6872206"/>
    <n v="713058"/>
    <s v="Benefits-Supplemental EE Retirement Plan"/>
    <s v="MBO-Specific Employee Benefits"/>
    <x v="0"/>
    <m/>
    <n v="27063.5"/>
    <n v="27063.5"/>
    <n v="27063.5"/>
    <n v="27063.5"/>
    <n v="27063.5"/>
    <n v="27063.5"/>
    <n v="27063.5"/>
    <n v="27063.5"/>
    <n v="27063.5"/>
    <n v="27063.5"/>
    <n v="27063.5"/>
    <n v="27063.5"/>
    <n v="324762"/>
    <n v="0"/>
  </r>
  <r>
    <x v="6"/>
    <x v="10"/>
    <x v="0"/>
    <s v="6872306"/>
    <n v="713010"/>
    <s v="Benefits-FICA/Medicare"/>
    <s v="MBO-Specific Employee Benefits"/>
    <x v="0"/>
    <m/>
    <n v="0"/>
    <n v="0"/>
    <n v="0"/>
    <n v="11.3"/>
    <n v="5.52"/>
    <n v="1692.85"/>
    <n v="113.25"/>
    <n v="180.63"/>
    <n v="9.98"/>
    <n v="63.31"/>
    <n v="227.84"/>
    <n v="23.7"/>
    <n v="2328.3799999999997"/>
    <n v="204.14000000000001"/>
  </r>
  <r>
    <x v="6"/>
    <x v="10"/>
    <x v="0"/>
    <s v="6872306"/>
    <n v="713058"/>
    <s v="Benefits-Supplemental EE Retirement Plan"/>
    <s v="MBO-Specific Employee Benefits"/>
    <x v="0"/>
    <m/>
    <n v="28006.26"/>
    <n v="40870.839999999997"/>
    <n v="27261.98"/>
    <n v="29231.41"/>
    <n v="31663.09"/>
    <n v="23403.56"/>
    <n v="24135.49"/>
    <n v="30187.94"/>
    <n v="47277.02"/>
    <n v="28693.83"/>
    <n v="28722.84"/>
    <n v="32767.24"/>
    <n v="372221.5"/>
    <n v="-4044.4000000000015"/>
  </r>
  <r>
    <x v="6"/>
    <x v="10"/>
    <x v="0"/>
    <s v="6872306"/>
    <n v="713090"/>
    <s v="Benefits-Allocated Amounts"/>
    <s v="MBO-Specific Employee Benefits"/>
    <x v="0"/>
    <m/>
    <n v="-28006.26"/>
    <n v="-40871.519999999997"/>
    <n v="-27262.25"/>
    <n v="-29300.5"/>
    <n v="-31728.29"/>
    <n v="-25188"/>
    <n v="-24343.03"/>
    <n v="-30565.95"/>
    <n v="-47401.99"/>
    <n v="-29587.72"/>
    <n v="-29075.26"/>
    <n v="-32966.769999999997"/>
    <n v="-376297.54000000004"/>
    <n v="3891.5099999999984"/>
  </r>
  <r>
    <x v="6"/>
    <x v="10"/>
    <x v="0"/>
    <s v="6872306"/>
    <n v="713096"/>
    <s v="Benefits-Other"/>
    <s v="MBO-Specific Employee Benefits"/>
    <x v="0"/>
    <m/>
    <n v="0"/>
    <n v="0"/>
    <n v="0"/>
    <n v="60"/>
    <n v="60"/>
    <n v="90"/>
    <n v="90.14"/>
    <n v="199.15"/>
    <n v="120.18"/>
    <n v="120.16"/>
    <n v="120.18"/>
    <n v="180.18"/>
    <n v="1039.99"/>
    <n v="-60"/>
  </r>
  <r>
    <x v="6"/>
    <x v="10"/>
    <x v="0"/>
    <s v="6872306"/>
    <n v="713096"/>
    <s v="Employee Recognition"/>
    <s v="MBO-Specific Employee Benefits"/>
    <x v="0"/>
    <n v="1017"/>
    <n v="0"/>
    <n v="0"/>
    <n v="0"/>
    <n v="0"/>
    <n v="0"/>
    <n v="0"/>
    <n v="0.04"/>
    <n v="-0.01"/>
    <n v="0"/>
    <n v="710.73"/>
    <n v="1.27"/>
    <n v="-0.61"/>
    <n v="711.42"/>
    <n v="1.88"/>
  </r>
  <r>
    <x v="6"/>
    <x v="9"/>
    <x v="0"/>
    <s v="6872501"/>
    <n v="713010"/>
    <s v="Benefits-FICA/Medicare"/>
    <s v="MBO-Specific Employee Benefits"/>
    <x v="0"/>
    <m/>
    <n v="596.54999999999995"/>
    <n v="673.46"/>
    <n v="480.72"/>
    <n v="731.69"/>
    <n v="584.76"/>
    <n v="12673.72"/>
    <n v="2204.84"/>
    <n v="2755.08"/>
    <n v="1007.11"/>
    <n v="1263.05"/>
    <n v="8098.4"/>
    <n v="-1012.75"/>
    <n v="30056.629999999997"/>
    <n v="9111.15"/>
  </r>
  <r>
    <x v="6"/>
    <x v="9"/>
    <x v="0"/>
    <s v="6872501"/>
    <n v="713090"/>
    <s v="Benefits-Allocated Amounts"/>
    <s v="MBO-Specific Employee Benefits"/>
    <x v="0"/>
    <m/>
    <n v="-13943.35"/>
    <n v="-15110.14"/>
    <n v="-14306.15"/>
    <n v="-16690.919999999998"/>
    <n v="-15869.05"/>
    <n v="-33481.22"/>
    <n v="-16274.13"/>
    <n v="-16764.21"/>
    <n v="-15149.26"/>
    <n v="-18316.759999999998"/>
    <n v="-26826.77"/>
    <n v="-30711.91"/>
    <n v="-233443.87000000002"/>
    <n v="3885.1399999999994"/>
  </r>
  <r>
    <x v="6"/>
    <x v="9"/>
    <x v="0"/>
    <s v="6872501"/>
    <n v="713096"/>
    <s v="Benefits-Other"/>
    <s v="MBO-Specific Employee Benefits"/>
    <x v="0"/>
    <m/>
    <n v="6961.76"/>
    <n v="7803"/>
    <n v="7191.48"/>
    <n v="7325.34"/>
    <n v="7399.2"/>
    <n v="10978.8"/>
    <n v="7424.26"/>
    <n v="7617.26"/>
    <n v="7742.99"/>
    <n v="7737.86"/>
    <n v="7784.88"/>
    <n v="11808.06"/>
    <n v="97774.890000000014"/>
    <n v="-4023.1799999999994"/>
  </r>
  <r>
    <x v="6"/>
    <x v="9"/>
    <x v="0"/>
    <s v="6872501"/>
    <n v="713096"/>
    <s v="Auto Allowance"/>
    <s v="MBO-Specific Employee Benefits"/>
    <x v="0"/>
    <n v="1005"/>
    <n v="6384.62"/>
    <n v="6384.62"/>
    <n v="6384.62"/>
    <n v="6384.62"/>
    <n v="6384.62"/>
    <n v="9576.93"/>
    <n v="6395.58"/>
    <n v="6393.05"/>
    <n v="6391"/>
    <n v="6388.92"/>
    <n v="6675.97"/>
    <n v="9867.4599999999991"/>
    <n v="83612.010000000009"/>
    <n v="-3191.4899999999989"/>
  </r>
  <r>
    <x v="6"/>
    <x v="9"/>
    <x v="0"/>
    <s v="6872501"/>
    <n v="713096"/>
    <s v="Relocation"/>
    <s v="MBO-Specific Employee Benefits"/>
    <x v="0"/>
    <n v="1011"/>
    <n v="0"/>
    <n v="0"/>
    <n v="0"/>
    <n v="2000"/>
    <n v="1000"/>
    <n v="0"/>
    <n v="0"/>
    <n v="0"/>
    <n v="0"/>
    <n v="0"/>
    <n v="3421"/>
    <n v="10097.61"/>
    <n v="16518.61"/>
    <n v="-6676.6100000000006"/>
  </r>
  <r>
    <x v="6"/>
    <x v="9"/>
    <x v="0"/>
    <s v="6872501"/>
    <n v="713096"/>
    <s v="Employee Recognition"/>
    <s v="MBO-Specific Employee Benefits"/>
    <x v="0"/>
    <n v="1017"/>
    <n v="0"/>
    <n v="250"/>
    <n v="250"/>
    <n v="250"/>
    <n v="500"/>
    <n v="250"/>
    <n v="251.58"/>
    <n v="-0.33"/>
    <n v="0.04"/>
    <n v="2929.04"/>
    <n v="850.5"/>
    <n v="-45.86"/>
    <n v="5484.97"/>
    <n v="896.36"/>
  </r>
  <r>
    <x v="5"/>
    <x v="9"/>
    <x v="0"/>
    <s v="6880501"/>
    <n v="700014"/>
    <s v="Salaries-Management-Productive"/>
    <s v="Leadership Develop&amp;Org Effect"/>
    <x v="0"/>
    <m/>
    <n v="8349.16"/>
    <n v="10070.31"/>
    <n v="7266.18"/>
    <n v="9034.59"/>
    <n v="9257.33"/>
    <n v="7937.89"/>
    <n v="9668.93"/>
    <n v="8642.09"/>
    <n v="10430.11"/>
    <n v="6291.05"/>
    <n v="11588.89"/>
    <n v="7615.8"/>
    <n v="106152.33000000002"/>
    <n v="3973.0899999999992"/>
  </r>
  <r>
    <x v="5"/>
    <x v="9"/>
    <x v="0"/>
    <s v="6880501"/>
    <n v="700034"/>
    <s v="Salaries-Tech/Professional-Productive"/>
    <s v="Leadership Develop&amp;Org Effect"/>
    <x v="0"/>
    <m/>
    <n v="21275.95"/>
    <n v="16597.41"/>
    <n v="20334.84"/>
    <n v="25014.54"/>
    <n v="21329.18"/>
    <n v="14871.37"/>
    <n v="22743.78"/>
    <n v="20281.32"/>
    <n v="32529.68"/>
    <n v="28983.85"/>
    <n v="28846.33"/>
    <n v="25500.63"/>
    <n v="278308.88"/>
    <n v="3345.7000000000007"/>
  </r>
  <r>
    <x v="5"/>
    <x v="9"/>
    <x v="0"/>
    <s v="6880501"/>
    <n v="700034"/>
    <s v="Salaries-Tech/Professional-OT"/>
    <s v="Leadership Develop&amp;Org Effect"/>
    <x v="0"/>
    <n v="1000"/>
    <n v="0"/>
    <n v="0"/>
    <n v="0"/>
    <n v="9.57"/>
    <n v="0"/>
    <n v="0"/>
    <n v="0"/>
    <n v="0"/>
    <n v="0"/>
    <n v="0"/>
    <n v="59.33"/>
    <n v="-9.2799999999999994"/>
    <n v="59.620000000000005"/>
    <n v="68.61"/>
  </r>
  <r>
    <x v="5"/>
    <x v="9"/>
    <x v="0"/>
    <s v="6880501"/>
    <n v="700034"/>
    <s v="Salaries-Tech/Professional-Other"/>
    <s v="Leadership Develop&amp;Org Effect"/>
    <x v="0"/>
    <n v="2000"/>
    <n v="0"/>
    <n v="0"/>
    <n v="0"/>
    <n v="0"/>
    <n v="0"/>
    <n v="0"/>
    <n v="0"/>
    <n v="0"/>
    <n v="30.04"/>
    <n v="0"/>
    <n v="0"/>
    <n v="0"/>
    <n v="30.04"/>
    <n v="0"/>
  </r>
  <r>
    <x v="5"/>
    <x v="9"/>
    <x v="0"/>
    <s v="6880501"/>
    <n v="700038"/>
    <s v="Salaries-Service/Support-Productive"/>
    <s v="Leadership Develop&amp;Org Effect"/>
    <x v="0"/>
    <m/>
    <n v="0"/>
    <n v="0"/>
    <n v="0"/>
    <n v="0"/>
    <n v="0"/>
    <n v="0"/>
    <n v="0"/>
    <n v="0"/>
    <n v="0"/>
    <n v="121.78"/>
    <n v="0"/>
    <n v="0"/>
    <n v="121.78"/>
    <n v="0"/>
  </r>
  <r>
    <x v="5"/>
    <x v="9"/>
    <x v="0"/>
    <s v="6880501"/>
    <n v="700054"/>
    <s v="Salaries-Management-Non-productive"/>
    <s v="Leadership Develop&amp;Org Effect"/>
    <x v="0"/>
    <m/>
    <n v="1529.58"/>
    <n v="-191.13"/>
    <n v="2294.46"/>
    <n v="1143.26"/>
    <n v="661.28"/>
    <n v="3570.65"/>
    <n v="596.63"/>
    <n v="629.09"/>
    <n v="-165.53"/>
    <n v="3642.08"/>
    <n v="-1324.28"/>
    <n v="2317.8000000000002"/>
    <n v="14703.89"/>
    <n v="-3642.08"/>
  </r>
  <r>
    <x v="5"/>
    <x v="9"/>
    <x v="0"/>
    <s v="6880501"/>
    <n v="700054"/>
    <s v="Salaries-Management-NonProd-Other"/>
    <s v="Leadership Develop&amp;Org Effect"/>
    <x v="0"/>
    <n v="2000"/>
    <n v="0"/>
    <n v="0"/>
    <n v="0"/>
    <n v="0"/>
    <n v="0"/>
    <n v="100.94"/>
    <n v="-100.94"/>
    <n v="0"/>
    <n v="0"/>
    <n v="0"/>
    <n v="0"/>
    <n v="0"/>
    <n v="0"/>
    <n v="0"/>
  </r>
  <r>
    <x v="5"/>
    <x v="9"/>
    <x v="0"/>
    <s v="6880501"/>
    <n v="700074"/>
    <s v="Salaries-Tech/Professional-Non-productive"/>
    <s v="Leadership Develop&amp;Org Effect"/>
    <x v="0"/>
    <m/>
    <n v="2338.3000000000002"/>
    <n v="7017.95"/>
    <n v="2563.6999999999998"/>
    <n v="-104.35"/>
    <n v="2847.58"/>
    <n v="10115.709999999999"/>
    <n v="2282.29"/>
    <n v="2320.6"/>
    <n v="225.9"/>
    <n v="1801.76"/>
    <n v="2942.65"/>
    <n v="5432.85"/>
    <n v="39784.939999999995"/>
    <n v="-2490.2000000000003"/>
  </r>
  <r>
    <x v="5"/>
    <x v="9"/>
    <x v="0"/>
    <s v="6880501"/>
    <n v="700084"/>
    <s v="Accrued PTO"/>
    <s v="Leadership Develop&amp;Org Effect"/>
    <x v="0"/>
    <m/>
    <n v="1088.31"/>
    <n v="-1298.23"/>
    <n v="-1506.65"/>
    <n v="5285.15"/>
    <n v="705.36"/>
    <n v="-6178.78"/>
    <n v="230.26"/>
    <n v="3820.61"/>
    <n v="2254.88"/>
    <n v="1959.48"/>
    <n v="2444.8000000000002"/>
    <n v="1948.12"/>
    <n v="10753.309999999998"/>
    <n v="496.68000000000029"/>
  </r>
  <r>
    <x v="6"/>
    <x v="9"/>
    <x v="0"/>
    <s v="6880501"/>
    <n v="713010"/>
    <s v="Benefits-FICA/Medicare"/>
    <s v="Leadership Develop&amp;Org Effect"/>
    <x v="0"/>
    <m/>
    <n v="2472.1"/>
    <n v="2472.25"/>
    <n v="2395.91"/>
    <n v="2594.91"/>
    <n v="2539.12"/>
    <n v="2708.7"/>
    <n v="2611.54"/>
    <n v="2351.86"/>
    <n v="3181.81"/>
    <n v="2982.5"/>
    <n v="3110.51"/>
    <n v="3074.37"/>
    <n v="32495.580000000005"/>
    <n v="36.140000000000327"/>
  </r>
  <r>
    <x v="6"/>
    <x v="9"/>
    <x v="0"/>
    <s v="6880501"/>
    <n v="713090"/>
    <s v="Benefits-Allocated Amounts"/>
    <s v="Leadership Develop&amp;Org Effect"/>
    <x v="0"/>
    <m/>
    <n v="6612.21"/>
    <n v="5942.4"/>
    <n v="6255.69"/>
    <n v="6461.59"/>
    <n v="5939.79"/>
    <n v="6557.27"/>
    <n v="6989.93"/>
    <n v="6797.1"/>
    <n v="9832.8799999999992"/>
    <n v="8904.51"/>
    <n v="9139.18"/>
    <n v="8891.5300000000007"/>
    <n v="88324.079999999987"/>
    <n v="247.64999999999964"/>
  </r>
  <r>
    <x v="7"/>
    <x v="9"/>
    <x v="0"/>
    <s v="6880501"/>
    <n v="718050"/>
    <s v="Contract Svcs-Other"/>
    <s v="Leadership Develop&amp;Org Effect"/>
    <x v="0"/>
    <m/>
    <n v="0"/>
    <n v="0"/>
    <n v="0"/>
    <n v="0"/>
    <n v="0"/>
    <n v="0"/>
    <n v="0"/>
    <n v="0"/>
    <n v="0"/>
    <n v="20000"/>
    <n v="20000"/>
    <n v="20000"/>
    <n v="60000"/>
    <n v="0"/>
  </r>
  <r>
    <x v="7"/>
    <x v="9"/>
    <x v="0"/>
    <s v="6880501"/>
    <n v="718050"/>
    <s v="Document Shredding/Storage"/>
    <s v="Leadership Develop&amp;Org Effect"/>
    <x v="0"/>
    <n v="1012"/>
    <n v="4.66"/>
    <n v="4.76"/>
    <n v="4.3899999999999997"/>
    <n v="4.54"/>
    <n v="4.6900000000000004"/>
    <n v="4.6900000000000004"/>
    <n v="4.6399999999999997"/>
    <n v="3.99"/>
    <n v="4.13"/>
    <n v="5.4"/>
    <n v="4.54"/>
    <n v="4.6900000000000004"/>
    <n v="55.12"/>
    <n v="-0.15000000000000036"/>
  </r>
  <r>
    <x v="11"/>
    <x v="9"/>
    <x v="0"/>
    <s v="6880501"/>
    <n v="721410"/>
    <s v="Supplies-Medical - Nonbillable"/>
    <s v="Leadership Develop&amp;Org Effect"/>
    <x v="0"/>
    <m/>
    <n v="0"/>
    <n v="0"/>
    <n v="0"/>
    <n v="0"/>
    <n v="0"/>
    <n v="5.28"/>
    <n v="0"/>
    <n v="0"/>
    <n v="0"/>
    <n v="0"/>
    <n v="0"/>
    <n v="0"/>
    <n v="5.28"/>
    <n v="0"/>
  </r>
  <r>
    <x v="11"/>
    <x v="9"/>
    <x v="0"/>
    <s v="6880501"/>
    <n v="721710"/>
    <s v="Supplies-Laboratory - Nonbillable"/>
    <s v="Leadership Develop&amp;Org Effect"/>
    <x v="0"/>
    <m/>
    <n v="0"/>
    <n v="0"/>
    <n v="0"/>
    <n v="0"/>
    <n v="0"/>
    <n v="1.5"/>
    <n v="0"/>
    <n v="0"/>
    <n v="0"/>
    <n v="0"/>
    <n v="0"/>
    <n v="0"/>
    <n v="1.5"/>
    <n v="0"/>
  </r>
  <r>
    <x v="11"/>
    <x v="9"/>
    <x v="0"/>
    <s v="6880501"/>
    <n v="721810"/>
    <s v="Supplies-Dietary/Cafeteria"/>
    <s v="Leadership Develop&amp;Org Effect"/>
    <x v="0"/>
    <m/>
    <n v="1183.3699999999999"/>
    <n v="560.87"/>
    <n v="1061.5"/>
    <n v="1466.56"/>
    <n v="747.74"/>
    <n v="224.82"/>
    <n v="402.25"/>
    <n v="173.33"/>
    <n v="439.24"/>
    <n v="236.26"/>
    <n v="289.55"/>
    <n v="351.48"/>
    <n v="7136.9699999999993"/>
    <n v="-61.930000000000007"/>
  </r>
  <r>
    <x v="11"/>
    <x v="9"/>
    <x v="0"/>
    <s v="6880501"/>
    <n v="721830"/>
    <s v="Supplies-Office"/>
    <s v="Leadership Develop&amp;Org Effect"/>
    <x v="0"/>
    <m/>
    <n v="88.62"/>
    <n v="0"/>
    <n v="0"/>
    <n v="0"/>
    <n v="0"/>
    <n v="188.98"/>
    <n v="74.400000000000006"/>
    <n v="136.22"/>
    <n v="0"/>
    <n v="0"/>
    <n v="0"/>
    <n v="0"/>
    <n v="488.22"/>
    <n v="0"/>
  </r>
  <r>
    <x v="11"/>
    <x v="9"/>
    <x v="0"/>
    <s v="6880501"/>
    <n v="721835"/>
    <s v="Supplies-Forms"/>
    <s v="Leadership Develop&amp;Org Effect"/>
    <x v="0"/>
    <m/>
    <n v="0"/>
    <n v="0"/>
    <n v="0"/>
    <n v="0"/>
    <n v="1789.96"/>
    <n v="1468.43"/>
    <n v="149.65"/>
    <n v="0"/>
    <n v="2351.3000000000002"/>
    <n v="757.49"/>
    <n v="1036.71"/>
    <n v="1305.23"/>
    <n v="8858.77"/>
    <n v="-268.52"/>
  </r>
  <r>
    <x v="12"/>
    <x v="9"/>
    <x v="0"/>
    <s v="6880501"/>
    <n v="730020"/>
    <s v="Rental and Leases-Copier Usage Fees (DO NOT USE)"/>
    <s v="Leadership Develop&amp;Org Effect"/>
    <x v="0"/>
    <n v="5100"/>
    <n v="174.83"/>
    <n v="177.7"/>
    <n v="176.27"/>
    <n v="176.27"/>
    <n v="176.27"/>
    <n v="176.27"/>
    <n v="1846.68"/>
    <n v="205.18"/>
    <n v="204.75"/>
    <n v="1061.94"/>
    <n v="205.18"/>
    <n v="245.42"/>
    <n v="4826.76"/>
    <n v="-40.239999999999981"/>
  </r>
  <r>
    <x v="13"/>
    <x v="9"/>
    <x v="0"/>
    <s v="6880501"/>
    <n v="735070"/>
    <s v="Depreciation-Movable Equipment"/>
    <s v="Leadership Develop&amp;Org Effect"/>
    <x v="0"/>
    <m/>
    <n v="36.82"/>
    <n v="36.82"/>
    <n v="36.82"/>
    <n v="36.82"/>
    <n v="36.82"/>
    <n v="36.82"/>
    <n v="36.82"/>
    <n v="36.82"/>
    <n v="36.82"/>
    <n v="36.82"/>
    <n v="36.82"/>
    <n v="36.81"/>
    <n v="441.83"/>
    <n v="9.9999999999980105E-3"/>
  </r>
  <r>
    <x v="0"/>
    <x v="9"/>
    <x v="0"/>
    <s v="6880501"/>
    <n v="740010"/>
    <s v="Education-Materials"/>
    <s v="Leadership Develop&amp;Org Effect"/>
    <x v="0"/>
    <m/>
    <n v="0"/>
    <n v="14.99"/>
    <n v="0"/>
    <n v="0"/>
    <n v="0"/>
    <n v="50.76"/>
    <n v="0"/>
    <n v="0"/>
    <n v="0"/>
    <n v="0"/>
    <n v="0"/>
    <n v="10.33"/>
    <n v="76.08"/>
    <n v="-10.33"/>
  </r>
  <r>
    <x v="0"/>
    <x v="9"/>
    <x v="0"/>
    <s v="6880501"/>
    <n v="743030"/>
    <s v="Subscriptions--Institutional"/>
    <s v="Leadership Develop&amp;Org Effect"/>
    <x v="0"/>
    <m/>
    <n v="0"/>
    <n v="1920.89"/>
    <n v="0"/>
    <n v="336.24"/>
    <n v="0"/>
    <n v="0"/>
    <n v="0"/>
    <n v="0"/>
    <n v="2027.89"/>
    <n v="0"/>
    <n v="0"/>
    <n v="0"/>
    <n v="4285.0200000000004"/>
    <n v="0"/>
  </r>
  <r>
    <x v="0"/>
    <x v="9"/>
    <x v="0"/>
    <s v="6880501"/>
    <n v="749510"/>
    <s v="Miscellaneous Expenses"/>
    <s v="Leadership Develop&amp;Org Effect"/>
    <x v="0"/>
    <m/>
    <n v="-5161.29"/>
    <n v="49.05"/>
    <n v="-130.82"/>
    <n v="89.39"/>
    <n v="342.16"/>
    <n v="-431.55"/>
    <n v="0"/>
    <n v="81.98"/>
    <n v="-81.98"/>
    <n v="178.84"/>
    <n v="-163.18"/>
    <n v="-15.66"/>
    <n v="-5243.0599999999995"/>
    <n v="-147.52000000000001"/>
  </r>
  <r>
    <x v="0"/>
    <x v="9"/>
    <x v="0"/>
    <s v="6880501"/>
    <n v="749510"/>
    <s v="RICE Rewards"/>
    <s v="Leadership Develop&amp;Org Effect"/>
    <x v="0"/>
    <n v="5100"/>
    <n v="0"/>
    <n v="0"/>
    <n v="0"/>
    <n v="0"/>
    <n v="0"/>
    <n v="226.6"/>
    <n v="0"/>
    <n v="0"/>
    <n v="0"/>
    <n v="0"/>
    <n v="0"/>
    <n v="0"/>
    <n v="226.6"/>
    <n v="0"/>
  </r>
  <r>
    <x v="0"/>
    <x v="9"/>
    <x v="0"/>
    <s v="6880501"/>
    <n v="749530"/>
    <s v="Travel"/>
    <s v="Leadership Develop&amp;Org Effect"/>
    <x v="0"/>
    <m/>
    <n v="2621.57"/>
    <n v="24"/>
    <n v="12"/>
    <n v="18"/>
    <n v="18"/>
    <n v="18"/>
    <n v="0"/>
    <n v="0"/>
    <n v="12"/>
    <n v="24"/>
    <n v="18"/>
    <n v="12"/>
    <n v="2777.57"/>
    <n v="6"/>
  </r>
  <r>
    <x v="0"/>
    <x v="9"/>
    <x v="0"/>
    <s v="6880501"/>
    <n v="749530"/>
    <s v="Mileage"/>
    <s v="Leadership Develop&amp;Org Effect"/>
    <x v="0"/>
    <n v="1001"/>
    <n v="0"/>
    <n v="220.75"/>
    <n v="160.24"/>
    <n v="75.22"/>
    <n v="464.4"/>
    <n v="292.70999999999998"/>
    <n v="12.76"/>
    <n v="0"/>
    <n v="149.06"/>
    <n v="578.26"/>
    <n v="313.2"/>
    <n v="425.72"/>
    <n v="2692.3199999999997"/>
    <n v="-112.52000000000004"/>
  </r>
  <r>
    <x v="11"/>
    <x v="9"/>
    <x v="0"/>
    <s v="6881501"/>
    <n v="721810"/>
    <s v="Supplies-Dietary/Cafeteria"/>
    <s v="Phy Leadership Dev&amp;Org Effect"/>
    <x v="0"/>
    <m/>
    <n v="16.36"/>
    <n v="0"/>
    <n v="0"/>
    <n v="0"/>
    <n v="0"/>
    <n v="0"/>
    <n v="0"/>
    <n v="0"/>
    <n v="0"/>
    <n v="0"/>
    <n v="0"/>
    <n v="0"/>
    <n v="16.36"/>
    <n v="0"/>
  </r>
  <r>
    <x v="5"/>
    <x v="8"/>
    <x v="0"/>
    <s v="6895104"/>
    <n v="700038"/>
    <s v="Salaries-Service/Support-Productive"/>
    <s v="Disaster Recovery"/>
    <x v="0"/>
    <m/>
    <n v="64.89"/>
    <n v="0"/>
    <n v="0"/>
    <n v="0"/>
    <n v="0"/>
    <n v="0"/>
    <n v="0"/>
    <n v="210.6"/>
    <n v="81.760000000000005"/>
    <n v="108.08"/>
    <n v="-65.8"/>
    <n v="0"/>
    <n v="399.53"/>
    <n v="-65.8"/>
  </r>
  <r>
    <x v="5"/>
    <x v="8"/>
    <x v="0"/>
    <s v="6895104"/>
    <n v="700038"/>
    <s v="Salaries-Service/Support-OT"/>
    <s v="Disaster Recovery"/>
    <x v="0"/>
    <n v="1000"/>
    <n v="50.59"/>
    <n v="0"/>
    <n v="0"/>
    <n v="0"/>
    <n v="0"/>
    <n v="0"/>
    <n v="0"/>
    <n v="69.5"/>
    <n v="-18.28"/>
    <n v="0"/>
    <n v="0"/>
    <n v="0"/>
    <n v="101.81"/>
    <n v="0"/>
  </r>
  <r>
    <x v="5"/>
    <x v="8"/>
    <x v="0"/>
    <s v="6895104"/>
    <n v="700038"/>
    <s v="Salaries-Service/Support-Other"/>
    <s v="Disaster Recovery"/>
    <x v="0"/>
    <n v="2000"/>
    <n v="1.81"/>
    <n v="0"/>
    <n v="0"/>
    <n v="0"/>
    <n v="0"/>
    <n v="0"/>
    <n v="0"/>
    <n v="5.36"/>
    <n v="-1.4"/>
    <n v="3.68"/>
    <n v="-1.53"/>
    <n v="0"/>
    <n v="7.919999999999999"/>
    <n v="-1.53"/>
  </r>
  <r>
    <x v="6"/>
    <x v="8"/>
    <x v="0"/>
    <s v="6895104"/>
    <n v="713010"/>
    <s v="Benefits-FICA/Medicare"/>
    <s v="Disaster Recovery"/>
    <x v="0"/>
    <m/>
    <n v="8.9700000000000006"/>
    <n v="0"/>
    <n v="0"/>
    <n v="0"/>
    <n v="0"/>
    <n v="0"/>
    <n v="0"/>
    <n v="21.79"/>
    <n v="4.7300000000000004"/>
    <n v="8.5299999999999994"/>
    <n v="-5.13"/>
    <n v="0"/>
    <n v="38.889999999999993"/>
    <n v="-5.13"/>
  </r>
  <r>
    <x v="6"/>
    <x v="8"/>
    <x v="0"/>
    <s v="6895104"/>
    <n v="713090"/>
    <s v="Benefits-Allocated Amounts"/>
    <s v="Disaster Recovery"/>
    <x v="0"/>
    <m/>
    <n v="34.18"/>
    <n v="-0.23"/>
    <n v="-1.41"/>
    <n v="-7.35"/>
    <n v="6.44"/>
    <n v="6.74"/>
    <n v="-4.92"/>
    <n v="96.08"/>
    <n v="16.32"/>
    <n v="35.26"/>
    <n v="-54.07"/>
    <n v="12.17"/>
    <n v="139.20999999999998"/>
    <n v="-66.239999999999995"/>
  </r>
  <r>
    <x v="5"/>
    <x v="9"/>
    <x v="0"/>
    <s v="6895501"/>
    <n v="700014"/>
    <s v="Salaries-Management-Productive"/>
    <s v="Disaster Planning and PI/Compl"/>
    <x v="0"/>
    <m/>
    <n v="8739.25"/>
    <n v="6200.61"/>
    <n v="9330.15"/>
    <n v="9355.89"/>
    <n v="9100.9"/>
    <n v="6128.29"/>
    <n v="8871.7999999999993"/>
    <n v="7929.6"/>
    <n v="9570.25"/>
    <n v="9114.23"/>
    <n v="9418.34"/>
    <n v="6562.61"/>
    <n v="100321.92"/>
    <n v="2855.7300000000005"/>
  </r>
  <r>
    <x v="5"/>
    <x v="9"/>
    <x v="0"/>
    <s v="6895501"/>
    <n v="700034"/>
    <s v="Salaries-Tech/Professional-Productive"/>
    <s v="Disaster Planning and PI/Compl"/>
    <x v="0"/>
    <m/>
    <n v="11023.39"/>
    <n v="5624.18"/>
    <n v="5986.83"/>
    <n v="4757.04"/>
    <n v="-1100.32"/>
    <n v="0"/>
    <n v="4756.88"/>
    <n v="5122.92"/>
    <n v="7527.51"/>
    <n v="10312.99"/>
    <n v="10828.46"/>
    <n v="10057.780000000001"/>
    <n v="74897.66"/>
    <n v="770.67999999999847"/>
  </r>
  <r>
    <x v="5"/>
    <x v="9"/>
    <x v="0"/>
    <s v="6895501"/>
    <n v="700034"/>
    <s v="Salaries-Tech/Professional-Other"/>
    <s v="Disaster Planning and PI/Compl"/>
    <x v="0"/>
    <n v="2000"/>
    <n v="0"/>
    <n v="0"/>
    <n v="0"/>
    <n v="30"/>
    <n v="0"/>
    <n v="0"/>
    <n v="30.04"/>
    <n v="0"/>
    <n v="30.06"/>
    <n v="-0.02"/>
    <n v="0"/>
    <n v="0"/>
    <n v="90.08"/>
    <n v="0"/>
  </r>
  <r>
    <x v="5"/>
    <x v="9"/>
    <x v="0"/>
    <s v="6895501"/>
    <n v="700038"/>
    <s v="Salaries-Service/Support-Productive"/>
    <s v="Disaster Planning and PI/Compl"/>
    <x v="0"/>
    <m/>
    <n v="3688"/>
    <n v="4199.32"/>
    <n v="3847.6"/>
    <n v="3550.28"/>
    <n v="365.34"/>
    <n v="5411.08"/>
    <n v="4214.76"/>
    <n v="3399.3"/>
    <n v="1819.03"/>
    <n v="3725.39"/>
    <n v="4055.97"/>
    <n v="3592.32"/>
    <n v="41868.390000000007"/>
    <n v="463.64999999999964"/>
  </r>
  <r>
    <x v="5"/>
    <x v="9"/>
    <x v="0"/>
    <s v="6895501"/>
    <n v="700038"/>
    <s v="Salaries-Service/Support-OT"/>
    <s v="Disaster Planning and PI/Compl"/>
    <x v="0"/>
    <n v="1000"/>
    <n v="0"/>
    <n v="0"/>
    <n v="0"/>
    <n v="190.66"/>
    <n v="0"/>
    <n v="48.87"/>
    <n v="92.96"/>
    <n v="-24.45"/>
    <n v="0"/>
    <n v="0"/>
    <n v="0"/>
    <n v="0"/>
    <n v="308.04000000000002"/>
    <n v="0"/>
  </r>
  <r>
    <x v="5"/>
    <x v="9"/>
    <x v="0"/>
    <s v="6895501"/>
    <n v="700054"/>
    <s v="Salaries-Management-Non-productive"/>
    <s v="Disaster Planning and PI/Compl"/>
    <x v="0"/>
    <m/>
    <n v="413.36"/>
    <n v="2952.42"/>
    <n v="-472.26"/>
    <n v="0"/>
    <n v="0"/>
    <n v="3276.29"/>
    <n v="547.42999999999995"/>
    <n v="577.22"/>
    <n v="-151.88"/>
    <n v="0"/>
    <n v="0"/>
    <n v="2552.0500000000002"/>
    <n v="9694.630000000001"/>
    <n v="-2552.0500000000002"/>
  </r>
  <r>
    <x v="5"/>
    <x v="9"/>
    <x v="0"/>
    <s v="6895501"/>
    <n v="700074"/>
    <s v="Salaries-Tech/Professional-Non-productive"/>
    <s v="Disaster Planning and PI/Compl"/>
    <x v="0"/>
    <m/>
    <n v="1873.86"/>
    <n v="3168.75"/>
    <n v="337.3"/>
    <n v="126.49"/>
    <n v="0"/>
    <n v="0"/>
    <n v="0"/>
    <n v="0"/>
    <n v="0"/>
    <n v="256.14"/>
    <n v="256.14999999999998"/>
    <n v="492.34"/>
    <n v="6511.03"/>
    <n v="-236.19"/>
  </r>
  <r>
    <x v="5"/>
    <x v="9"/>
    <x v="0"/>
    <s v="6895501"/>
    <n v="700074"/>
    <s v="Salaries-Tech/Professional-NonProd-Other"/>
    <s v="Disaster Planning and PI/Compl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895501"/>
    <n v="700078"/>
    <s v="Salaries-Service/Support-Non-productive"/>
    <s v="Disaster Planning and PI/Compl"/>
    <x v="0"/>
    <m/>
    <n v="821.15"/>
    <n v="303.7"/>
    <n v="510.22"/>
    <n v="1113.96"/>
    <n v="4077.79"/>
    <n v="-801.21"/>
    <n v="346.83"/>
    <n v="792.76"/>
    <n v="2814.38"/>
    <n v="767.13"/>
    <n v="544.84"/>
    <n v="881.73"/>
    <n v="12173.279999999999"/>
    <n v="-336.89"/>
  </r>
  <r>
    <x v="5"/>
    <x v="9"/>
    <x v="0"/>
    <s v="6895501"/>
    <n v="700084"/>
    <s v="Accrued PTO"/>
    <s v="Disaster Planning and PI/Compl"/>
    <x v="0"/>
    <m/>
    <n v="686.02"/>
    <n v="-2804.64"/>
    <n v="1219.51"/>
    <n v="2248.54"/>
    <n v="-362.66"/>
    <n v="-1850.5"/>
    <n v="1004.02"/>
    <n v="1276.76"/>
    <n v="1691.48"/>
    <n v="1554.06"/>
    <n v="2022.03"/>
    <n v="339.88"/>
    <n v="7024.5"/>
    <n v="1682.15"/>
  </r>
  <r>
    <x v="6"/>
    <x v="9"/>
    <x v="0"/>
    <s v="6895501"/>
    <n v="713010"/>
    <s v="Benefits-FICA/Medicare"/>
    <s v="Disaster Planning and PI/Compl"/>
    <x v="0"/>
    <m/>
    <n v="1980.47"/>
    <n v="1963.18"/>
    <n v="1446.52"/>
    <n v="1884.12"/>
    <n v="934.2"/>
    <n v="1057.6400000000001"/>
    <n v="1421.32"/>
    <n v="1318.86"/>
    <n v="1594.76"/>
    <n v="1790.23"/>
    <n v="1844.52"/>
    <n v="1776.96"/>
    <n v="19012.78"/>
    <n v="67.559999999999945"/>
  </r>
  <r>
    <x v="6"/>
    <x v="9"/>
    <x v="0"/>
    <s v="6895501"/>
    <n v="713090"/>
    <s v="Benefits-Allocated Amounts"/>
    <s v="Disaster Planning and PI/Compl"/>
    <x v="0"/>
    <m/>
    <n v="5265.71"/>
    <n v="3848.94"/>
    <n v="3874.66"/>
    <n v="3543.87"/>
    <n v="2044.94"/>
    <n v="2738.53"/>
    <n v="3950.45"/>
    <n v="3992.85"/>
    <n v="4806.01"/>
    <n v="5420.44"/>
    <n v="5517.75"/>
    <n v="5339.4"/>
    <n v="50343.55"/>
    <n v="178.35000000000036"/>
  </r>
  <r>
    <x v="7"/>
    <x v="9"/>
    <x v="0"/>
    <s v="6895501"/>
    <n v="718050"/>
    <s v="Contract Svcs-Other"/>
    <s v="Disaster Planning and PI/Compl"/>
    <x v="0"/>
    <m/>
    <n v="0"/>
    <n v="0"/>
    <n v="0"/>
    <n v="0"/>
    <n v="0"/>
    <n v="0"/>
    <n v="14040"/>
    <n v="-13028.49"/>
    <n v="0"/>
    <n v="120.57"/>
    <n v="0"/>
    <n v="0"/>
    <n v="1132.0800000000002"/>
    <n v="0"/>
  </r>
  <r>
    <x v="7"/>
    <x v="9"/>
    <x v="0"/>
    <s v="6895501"/>
    <n v="718050"/>
    <s v="Miscellaneous Purchased Svcs"/>
    <s v="Disaster Planning and PI/Compl"/>
    <x v="0"/>
    <n v="1020"/>
    <n v="1207"/>
    <n v="172.87"/>
    <n v="605.16999999999996"/>
    <n v="458.02"/>
    <n v="0"/>
    <n v="0"/>
    <n v="2397.41"/>
    <n v="972.27"/>
    <n v="0"/>
    <n v="0"/>
    <n v="100"/>
    <n v="0"/>
    <n v="5912.74"/>
    <n v="100"/>
  </r>
  <r>
    <x v="11"/>
    <x v="9"/>
    <x v="0"/>
    <s v="6895501"/>
    <n v="721410"/>
    <s v="Supplies-Medical - Nonbillable"/>
    <s v="Disaster Planning and PI/Compl"/>
    <x v="0"/>
    <m/>
    <n v="0"/>
    <n v="0"/>
    <n v="0"/>
    <n v="0"/>
    <n v="0"/>
    <n v="0"/>
    <n v="0"/>
    <n v="15.54"/>
    <n v="0"/>
    <n v="0"/>
    <n v="0"/>
    <n v="0"/>
    <n v="15.54"/>
    <n v="0"/>
  </r>
  <r>
    <x v="11"/>
    <x v="9"/>
    <x v="0"/>
    <s v="6895501"/>
    <n v="721810"/>
    <s v="Supplies-Dietary/Cafeteria"/>
    <s v="Disaster Planning and PI/Compl"/>
    <x v="0"/>
    <m/>
    <n v="388.65"/>
    <n v="81.38"/>
    <n v="184.9"/>
    <n v="659.12"/>
    <n v="631.88"/>
    <n v="1254.1600000000001"/>
    <n v="75.97"/>
    <n v="3442.16"/>
    <n v="338.97"/>
    <n v="294.05"/>
    <n v="1377.22"/>
    <n v="546.26"/>
    <n v="9274.7199999999993"/>
    <n v="830.96"/>
  </r>
  <r>
    <x v="11"/>
    <x v="9"/>
    <x v="0"/>
    <s v="6895501"/>
    <n v="721830"/>
    <s v="Supplies-Office"/>
    <s v="Disaster Planning and PI/Compl"/>
    <x v="0"/>
    <m/>
    <n v="287.12"/>
    <n v="582.73"/>
    <n v="395.4"/>
    <n v="495.74"/>
    <n v="248.53"/>
    <n v="440.67"/>
    <n v="505.63"/>
    <n v="512.35"/>
    <n v="480.07"/>
    <n v="2188.09"/>
    <n v="398.36"/>
    <n v="0"/>
    <n v="6534.69"/>
    <n v="398.36"/>
  </r>
  <r>
    <x v="11"/>
    <x v="9"/>
    <x v="0"/>
    <s v="6895501"/>
    <n v="721835"/>
    <s v="Supplies-Forms"/>
    <s v="Disaster Planning and PI/Compl"/>
    <x v="0"/>
    <m/>
    <n v="0"/>
    <n v="0"/>
    <n v="0"/>
    <n v="0"/>
    <n v="573.76"/>
    <n v="28.92"/>
    <n v="100.78"/>
    <n v="0"/>
    <n v="563.71"/>
    <n v="72"/>
    <n v="387.49"/>
    <n v="1356.46"/>
    <n v="3083.12"/>
    <n v="-968.97"/>
  </r>
  <r>
    <x v="11"/>
    <x v="9"/>
    <x v="0"/>
    <s v="6895501"/>
    <n v="721910"/>
    <s v="Supplies-Small Equipment"/>
    <s v="Disaster Planning and PI/Compl"/>
    <x v="0"/>
    <m/>
    <n v="0"/>
    <n v="539.49"/>
    <n v="85.44"/>
    <n v="0"/>
    <n v="0"/>
    <n v="0"/>
    <n v="0"/>
    <n v="2472.19"/>
    <n v="0"/>
    <n v="-192.52"/>
    <n v="127797.65"/>
    <n v="0"/>
    <n v="130702.25"/>
    <n v="127797.65"/>
  </r>
  <r>
    <x v="11"/>
    <x v="9"/>
    <x v="0"/>
    <s v="6895501"/>
    <n v="721980"/>
    <s v="Supplies-Other"/>
    <s v="Disaster Planning and PI/Compl"/>
    <x v="0"/>
    <m/>
    <n v="2682.27"/>
    <n v="1306.42"/>
    <n v="1154.1300000000001"/>
    <n v="34.78"/>
    <n v="0"/>
    <n v="0"/>
    <n v="3108.67"/>
    <n v="3323.27"/>
    <n v="0"/>
    <n v="-281.94"/>
    <n v="-89.99"/>
    <n v="426.12"/>
    <n v="11663.730000000001"/>
    <n v="-516.11"/>
  </r>
  <r>
    <x v="11"/>
    <x v="9"/>
    <x v="0"/>
    <s v="6895501"/>
    <n v="722000"/>
    <s v="Supplies-Freight Expense"/>
    <s v="Disaster Planning and PI/Compl"/>
    <x v="0"/>
    <m/>
    <n v="0"/>
    <n v="0"/>
    <n v="0"/>
    <n v="0"/>
    <n v="0"/>
    <n v="0"/>
    <n v="0"/>
    <n v="0"/>
    <n v="59.15"/>
    <n v="0"/>
    <n v="0"/>
    <n v="0"/>
    <n v="59.15"/>
    <n v="0"/>
  </r>
  <r>
    <x v="15"/>
    <x v="9"/>
    <x v="0"/>
    <s v="6895501"/>
    <n v="731060"/>
    <s v="Telephone"/>
    <s v="Disaster Planning and PI/Compl"/>
    <x v="0"/>
    <m/>
    <n v="1568.76"/>
    <n v="1607.88"/>
    <n v="1607.88"/>
    <n v="2961.7"/>
    <n v="2183.17"/>
    <n v="1676.42"/>
    <n v="823.6"/>
    <n v="3165.18"/>
    <n v="380.93"/>
    <n v="1734.25"/>
    <n v="2851.52"/>
    <n v="537.35"/>
    <n v="21098.639999999999"/>
    <n v="2314.17"/>
  </r>
  <r>
    <x v="13"/>
    <x v="9"/>
    <x v="0"/>
    <s v="6895501"/>
    <n v="735070"/>
    <s v="Depreciation-Movable Equipment"/>
    <s v="Disaster Planning and PI/Compl"/>
    <x v="0"/>
    <m/>
    <n v="1051.5999999999999"/>
    <n v="1051.55"/>
    <n v="1051.5999999999999"/>
    <n v="1051.54"/>
    <n v="1051.5999999999999"/>
    <n v="1051.53"/>
    <n v="1051.6099999999999"/>
    <n v="1051.53"/>
    <n v="1051.6099999999999"/>
    <n v="1051.53"/>
    <n v="1051.6199999999999"/>
    <n v="1051.53"/>
    <n v="12618.85"/>
    <n v="8.9999999999918145E-2"/>
  </r>
  <r>
    <x v="0"/>
    <x v="9"/>
    <x v="0"/>
    <s v="6895501"/>
    <n v="743010"/>
    <s v="Dues--Institutional"/>
    <s v="Disaster Planning and PI/Compl"/>
    <x v="0"/>
    <m/>
    <n v="0"/>
    <n v="0"/>
    <n v="0"/>
    <n v="0"/>
    <n v="0"/>
    <n v="0"/>
    <n v="0"/>
    <n v="0"/>
    <n v="0"/>
    <n v="26666.67"/>
    <n v="-26666.67"/>
    <n v="0"/>
    <n v="0"/>
    <n v="-26666.67"/>
  </r>
  <r>
    <x v="0"/>
    <x v="9"/>
    <x v="0"/>
    <s v="6895501"/>
    <n v="743030"/>
    <s v="Subscriptions--Institutional"/>
    <s v="Disaster Planning and PI/Compl"/>
    <x v="0"/>
    <m/>
    <n v="0"/>
    <n v="0"/>
    <n v="0"/>
    <n v="102.08"/>
    <n v="0"/>
    <n v="0"/>
    <n v="469.37"/>
    <n v="0"/>
    <n v="0"/>
    <n v="0"/>
    <n v="0"/>
    <n v="0"/>
    <n v="571.45000000000005"/>
    <n v="0"/>
  </r>
  <r>
    <x v="0"/>
    <x v="9"/>
    <x v="0"/>
    <s v="6895501"/>
    <n v="749510"/>
    <s v="Miscellaneous Expenses"/>
    <s v="Disaster Planning and PI/Compl"/>
    <x v="0"/>
    <m/>
    <n v="-315.14999999999998"/>
    <n v="4108.38"/>
    <n v="5440.69"/>
    <n v="2814.58"/>
    <n v="4821.9399999999996"/>
    <n v="784.43"/>
    <n v="2171.5100000000002"/>
    <n v="3274.07"/>
    <n v="2400.4"/>
    <n v="1831.8"/>
    <n v="80521.070000000007"/>
    <n v="223.7"/>
    <n v="108077.42"/>
    <n v="80297.37000000001"/>
  </r>
  <r>
    <x v="0"/>
    <x v="9"/>
    <x v="0"/>
    <s v="6895501"/>
    <n v="749510"/>
    <s v="RICE Rewards"/>
    <s v="Disaster Planning and PI/Compl"/>
    <x v="0"/>
    <n v="5100"/>
    <n v="0"/>
    <n v="0"/>
    <n v="0"/>
    <n v="0"/>
    <n v="0"/>
    <n v="0"/>
    <n v="0"/>
    <n v="0"/>
    <n v="0"/>
    <n v="0"/>
    <n v="0"/>
    <n v="249.35"/>
    <n v="249.35"/>
    <n v="-249.35"/>
  </r>
  <r>
    <x v="0"/>
    <x v="9"/>
    <x v="0"/>
    <s v="6895501"/>
    <n v="749530"/>
    <s v="Travel"/>
    <s v="Disaster Planning and PI/Compl"/>
    <x v="0"/>
    <m/>
    <n v="45"/>
    <n v="0"/>
    <n v="73.45"/>
    <n v="30"/>
    <n v="0"/>
    <n v="30"/>
    <n v="0"/>
    <n v="48"/>
    <n v="33.67"/>
    <n v="78"/>
    <n v="24"/>
    <n v="42"/>
    <n v="404.12"/>
    <n v="-18"/>
  </r>
  <r>
    <x v="0"/>
    <x v="9"/>
    <x v="0"/>
    <s v="6895501"/>
    <n v="749530"/>
    <s v="Mileage"/>
    <s v="Disaster Planning and PI/Compl"/>
    <x v="0"/>
    <n v="1001"/>
    <n v="375.01"/>
    <n v="0"/>
    <n v="951.68"/>
    <n v="237.11"/>
    <n v="0"/>
    <n v="215.86"/>
    <n v="0"/>
    <n v="556.24"/>
    <n v="238.96"/>
    <n v="481.4"/>
    <n v="310.88"/>
    <n v="574.78"/>
    <n v="3941.920000000001"/>
    <n v="-263.89999999999998"/>
  </r>
  <r>
    <x v="5"/>
    <x v="9"/>
    <x v="0"/>
    <s v="6898501"/>
    <n v="700014"/>
    <s v="Salaries-Management-Productive"/>
    <s v="Patient Experience"/>
    <x v="0"/>
    <m/>
    <n v="30691.82"/>
    <n v="28713.11"/>
    <n v="25723.89"/>
    <n v="48415.5"/>
    <n v="42301.38"/>
    <n v="31981.87"/>
    <n v="40068.120000000003"/>
    <n v="31752.1"/>
    <n v="42346.53"/>
    <n v="38993.870000000003"/>
    <n v="41796.69"/>
    <n v="31639.1"/>
    <n v="434423.97999999992"/>
    <n v="10157.590000000004"/>
  </r>
  <r>
    <x v="5"/>
    <x v="9"/>
    <x v="0"/>
    <s v="6898501"/>
    <n v="700014"/>
    <s v="Salaries-Management-Other"/>
    <s v="Patient Experience"/>
    <x v="0"/>
    <n v="2000"/>
    <n v="0"/>
    <n v="0"/>
    <n v="30"/>
    <n v="0"/>
    <n v="7208"/>
    <n v="0"/>
    <n v="0"/>
    <n v="0"/>
    <n v="0"/>
    <n v="0"/>
    <n v="0"/>
    <n v="0"/>
    <n v="7238"/>
    <n v="0"/>
  </r>
  <r>
    <x v="5"/>
    <x v="9"/>
    <x v="0"/>
    <s v="6898501"/>
    <n v="700034"/>
    <s v="Salaries-Tech/Professional-Productive"/>
    <s v="Patient Experience"/>
    <x v="0"/>
    <m/>
    <n v="5414.09"/>
    <n v="5444.78"/>
    <n v="4101.49"/>
    <n v="4124.49"/>
    <n v="5056.28"/>
    <n v="4700.3900000000003"/>
    <n v="5792.92"/>
    <n v="5301.36"/>
    <n v="5305.19"/>
    <n v="5236.47"/>
    <n v="5065.26"/>
    <n v="5160.5200000000004"/>
    <n v="60703.240000000005"/>
    <n v="-95.260000000000218"/>
  </r>
  <r>
    <x v="5"/>
    <x v="9"/>
    <x v="0"/>
    <s v="6898501"/>
    <n v="700038"/>
    <s v="Salaries-Service/Support-Productive"/>
    <s v="Patient Experience"/>
    <x v="0"/>
    <m/>
    <n v="38717.31"/>
    <n v="39707.980000000003"/>
    <n v="31451.73"/>
    <n v="39079.18"/>
    <n v="39363.31"/>
    <n v="32049.14"/>
    <n v="36393.339999999997"/>
    <n v="33406.480000000003"/>
    <n v="41234.69"/>
    <n v="38955.24"/>
    <n v="34326.199999999997"/>
    <n v="35156.22"/>
    <n v="439840.82000000007"/>
    <n v="-830.02000000000407"/>
  </r>
  <r>
    <x v="5"/>
    <x v="9"/>
    <x v="0"/>
    <s v="6898501"/>
    <n v="700038"/>
    <s v="Salaries-Service/Support-OT"/>
    <s v="Patient Experience"/>
    <x v="0"/>
    <n v="1000"/>
    <n v="246.94"/>
    <n v="95.49"/>
    <n v="122.73"/>
    <n v="247.95"/>
    <n v="78.69"/>
    <n v="119.63"/>
    <n v="47.86"/>
    <n v="92.26"/>
    <n v="568.58000000000004"/>
    <n v="-29.97"/>
    <n v="-22.7"/>
    <n v="38.119999999999997"/>
    <n v="1605.58"/>
    <n v="-60.819999999999993"/>
  </r>
  <r>
    <x v="5"/>
    <x v="9"/>
    <x v="0"/>
    <s v="6898501"/>
    <n v="700054"/>
    <s v="Salaries-Management-Non-productive"/>
    <s v="Patient Experience"/>
    <x v="0"/>
    <m/>
    <n v="0"/>
    <n v="1980.1"/>
    <n v="6336.72"/>
    <n v="0"/>
    <n v="0"/>
    <n v="9807.64"/>
    <n v="1786.63"/>
    <n v="6048.38"/>
    <n v="-495.71"/>
    <n v="1505.57"/>
    <n v="0"/>
    <n v="8818.68"/>
    <n v="35788.01"/>
    <n v="-8818.68"/>
  </r>
  <r>
    <x v="5"/>
    <x v="9"/>
    <x v="0"/>
    <s v="6898501"/>
    <n v="700054"/>
    <s v="Salaries-Management-NonProd-Other"/>
    <s v="Patient Experience"/>
    <x v="0"/>
    <n v="2000"/>
    <n v="0"/>
    <n v="0"/>
    <n v="0"/>
    <n v="0"/>
    <n v="0"/>
    <n v="733.06"/>
    <n v="-733.06"/>
    <n v="0"/>
    <n v="0"/>
    <n v="0"/>
    <n v="0"/>
    <n v="0"/>
    <n v="0"/>
    <n v="0"/>
  </r>
  <r>
    <x v="5"/>
    <x v="9"/>
    <x v="0"/>
    <s v="6898501"/>
    <n v="700078"/>
    <s v="Salaries-Service/Support-Non-productive"/>
    <s v="Patient Experience"/>
    <x v="0"/>
    <m/>
    <n v="11092.65"/>
    <n v="1714"/>
    <n v="8305.1200000000008"/>
    <n v="4140.58"/>
    <n v="2100.04"/>
    <n v="10851.1"/>
    <n v="6271.68"/>
    <n v="5082.38"/>
    <n v="1016.93"/>
    <n v="2344.13"/>
    <n v="8090.8"/>
    <n v="5828.54"/>
    <n v="66837.95"/>
    <n v="2262.2600000000002"/>
  </r>
  <r>
    <x v="5"/>
    <x v="9"/>
    <x v="0"/>
    <s v="6898501"/>
    <n v="700078"/>
    <s v="Salaries-Service/Support-NonProd-Other"/>
    <s v="Patient Experience"/>
    <x v="0"/>
    <n v="2000"/>
    <n v="0"/>
    <n v="0"/>
    <n v="0"/>
    <n v="0"/>
    <n v="333.93"/>
    <n v="333.93"/>
    <n v="0"/>
    <n v="-667.86"/>
    <n v="0"/>
    <n v="0"/>
    <n v="0"/>
    <n v="0"/>
    <n v="0"/>
    <n v="0"/>
  </r>
  <r>
    <x v="5"/>
    <x v="9"/>
    <x v="0"/>
    <s v="6898501"/>
    <n v="700084"/>
    <s v="Accrued PTO"/>
    <s v="Patient Experience"/>
    <x v="0"/>
    <m/>
    <n v="-3772.3"/>
    <n v="318.2"/>
    <n v="-3326.02"/>
    <n v="2193.25"/>
    <n v="4650.3"/>
    <n v="-2419.89"/>
    <n v="-72.87"/>
    <n v="1529.29"/>
    <n v="3936.63"/>
    <n v="2359.9499999999998"/>
    <n v="2474.62"/>
    <n v="1061.26"/>
    <n v="8932.4199999999983"/>
    <n v="1413.36"/>
  </r>
  <r>
    <x v="6"/>
    <x v="9"/>
    <x v="0"/>
    <s v="6898501"/>
    <n v="713010"/>
    <s v="Benefits-FICA/Medicare"/>
    <s v="Patient Experience"/>
    <x v="0"/>
    <m/>
    <n v="4567.43"/>
    <n v="3847.14"/>
    <n v="3793.28"/>
    <n v="5248.31"/>
    <n v="4992.4799999999996"/>
    <n v="5826.84"/>
    <n v="6748.74"/>
    <n v="6029.47"/>
    <n v="6657.39"/>
    <n v="6419.53"/>
    <n v="4395.45"/>
    <n v="4578.87"/>
    <n v="63104.93"/>
    <n v="-183.42000000000007"/>
  </r>
  <r>
    <x v="6"/>
    <x v="9"/>
    <x v="0"/>
    <s v="6898501"/>
    <n v="713090"/>
    <s v="Benefits-Allocated Amounts"/>
    <s v="Patient Experience"/>
    <x v="0"/>
    <m/>
    <n v="14884.83"/>
    <n v="12009.9"/>
    <n v="12576.7"/>
    <n v="13789.7"/>
    <n v="13621.95"/>
    <n v="14928.56"/>
    <n v="15636.67"/>
    <n v="14868.72"/>
    <n v="17026.61"/>
    <n v="15620.74"/>
    <n v="15569.37"/>
    <n v="15390.08"/>
    <n v="175923.83"/>
    <n v="179.29000000000087"/>
  </r>
  <r>
    <x v="6"/>
    <x v="9"/>
    <x v="0"/>
    <s v="6898501"/>
    <n v="713096"/>
    <s v="Employee Recognition"/>
    <s v="Patient Experience"/>
    <x v="0"/>
    <n v="1017"/>
    <n v="0"/>
    <n v="2276.83"/>
    <n v="0"/>
    <n v="0"/>
    <n v="106.26"/>
    <n v="0"/>
    <n v="0"/>
    <n v="4.4000000000000004"/>
    <n v="0"/>
    <n v="30.84"/>
    <n v="0"/>
    <n v="423.91"/>
    <n v="2842.2400000000002"/>
    <n v="-423.91"/>
  </r>
  <r>
    <x v="21"/>
    <x v="9"/>
    <x v="0"/>
    <s v="6898501"/>
    <n v="716046"/>
    <s v="Consulting-Other"/>
    <s v="Patient Experience"/>
    <x v="0"/>
    <m/>
    <n v="1997.5"/>
    <n v="4002.09"/>
    <n v="0"/>
    <n v="0"/>
    <n v="0"/>
    <n v="0"/>
    <n v="1620"/>
    <n v="765"/>
    <n v="405"/>
    <n v="0"/>
    <n v="0"/>
    <n v="0"/>
    <n v="8789.59"/>
    <n v="0"/>
  </r>
  <r>
    <x v="7"/>
    <x v="9"/>
    <x v="0"/>
    <s v="6898501"/>
    <n v="718050"/>
    <s v="Contract Svcs-Other"/>
    <s v="Patient Experience"/>
    <x v="0"/>
    <m/>
    <n v="-40000"/>
    <n v="106040"/>
    <n v="0"/>
    <n v="0"/>
    <n v="28080"/>
    <n v="14040"/>
    <n v="0"/>
    <n v="40785"/>
    <n v="23490"/>
    <n v="47562.35"/>
    <n v="2374.31"/>
    <n v="720.07"/>
    <n v="223091.73"/>
    <n v="1654.2399999999998"/>
  </r>
  <r>
    <x v="7"/>
    <x v="9"/>
    <x v="0"/>
    <s v="6898501"/>
    <n v="718050"/>
    <s v="Miscellaneous Purchased Svcs"/>
    <s v="Patient Experience"/>
    <x v="0"/>
    <n v="1020"/>
    <n v="42432.18"/>
    <n v="1140"/>
    <n v="0"/>
    <n v="0"/>
    <n v="106666.67"/>
    <n v="213333.33"/>
    <n v="53300"/>
    <n v="53000"/>
    <n v="53700"/>
    <n v="53523.41"/>
    <n v="53504.14"/>
    <n v="53333.34"/>
    <n v="683933.07"/>
    <n v="170.80000000000291"/>
  </r>
  <r>
    <x v="7"/>
    <x v="9"/>
    <x v="0"/>
    <s v="6898501"/>
    <n v="718050"/>
    <s v="Contract Services-Food&amp;Catering"/>
    <s v="Patient Experience"/>
    <x v="0"/>
    <n v="1030"/>
    <n v="0"/>
    <n v="0"/>
    <n v="0"/>
    <n v="0"/>
    <n v="0"/>
    <n v="0"/>
    <n v="0"/>
    <n v="1216.6099999999999"/>
    <n v="1170.5899999999999"/>
    <n v="0"/>
    <n v="0"/>
    <n v="0"/>
    <n v="2387.1999999999998"/>
    <n v="0"/>
  </r>
  <r>
    <x v="11"/>
    <x v="9"/>
    <x v="0"/>
    <s v="6898501"/>
    <n v="721810"/>
    <s v="Supplies-Dietary/Cafeteria"/>
    <s v="Patient Experience"/>
    <x v="0"/>
    <m/>
    <n v="1549.12"/>
    <n v="250.33"/>
    <n v="201.52"/>
    <n v="939.75"/>
    <n v="287.75"/>
    <n v="621.91999999999996"/>
    <n v="192.78"/>
    <n v="156.16"/>
    <n v="259.74"/>
    <n v="6"/>
    <n v="152.22"/>
    <n v="579.96"/>
    <n v="5197.25"/>
    <n v="-427.74"/>
  </r>
  <r>
    <x v="11"/>
    <x v="9"/>
    <x v="0"/>
    <s v="6898501"/>
    <n v="721830"/>
    <s v="Supplies-Office"/>
    <s v="Patient Experience"/>
    <x v="0"/>
    <m/>
    <n v="100.11"/>
    <n v="0"/>
    <n v="0"/>
    <n v="199.52"/>
    <n v="109.13"/>
    <n v="0"/>
    <n v="969.79"/>
    <n v="-460.09"/>
    <n v="73.3"/>
    <n v="310.67"/>
    <n v="0"/>
    <n v="0"/>
    <n v="1302.43"/>
    <n v="0"/>
  </r>
  <r>
    <x v="11"/>
    <x v="9"/>
    <x v="0"/>
    <s v="6898501"/>
    <n v="721835"/>
    <s v="Supplies-Forms"/>
    <s v="Patient Experience"/>
    <x v="0"/>
    <m/>
    <n v="0"/>
    <n v="0"/>
    <n v="0"/>
    <n v="0"/>
    <n v="233.99"/>
    <n v="0.5"/>
    <n v="0"/>
    <n v="0"/>
    <n v="0"/>
    <n v="143.12"/>
    <n v="0"/>
    <n v="0"/>
    <n v="377.61"/>
    <n v="0"/>
  </r>
  <r>
    <x v="11"/>
    <x v="9"/>
    <x v="0"/>
    <s v="6898501"/>
    <n v="721910"/>
    <s v="Supplies-Small Equipment"/>
    <s v="Patient Experience"/>
    <x v="0"/>
    <m/>
    <n v="0"/>
    <n v="0"/>
    <n v="0"/>
    <n v="58.11"/>
    <n v="0"/>
    <n v="0"/>
    <n v="0"/>
    <n v="0"/>
    <n v="0"/>
    <n v="0"/>
    <n v="0"/>
    <n v="0"/>
    <n v="58.11"/>
    <n v="0"/>
  </r>
  <r>
    <x v="11"/>
    <x v="9"/>
    <x v="0"/>
    <s v="6898501"/>
    <n v="721980"/>
    <s v="Supplies-Other"/>
    <s v="Patient Experience"/>
    <x v="0"/>
    <m/>
    <n v="-14024.49"/>
    <n v="-200.64"/>
    <n v="0"/>
    <n v="0"/>
    <n v="0"/>
    <n v="45"/>
    <n v="0"/>
    <n v="0"/>
    <n v="0"/>
    <n v="-20"/>
    <n v="0"/>
    <n v="40"/>
    <n v="-14160.13"/>
    <n v="-40"/>
  </r>
  <r>
    <x v="11"/>
    <x v="9"/>
    <x v="0"/>
    <s v="6898501"/>
    <n v="722000"/>
    <s v="Supplies-Freight Expense"/>
    <s v="Patient Experience"/>
    <x v="0"/>
    <m/>
    <n v="0"/>
    <n v="0"/>
    <n v="0"/>
    <n v="0"/>
    <n v="0"/>
    <n v="0"/>
    <n v="0"/>
    <n v="0"/>
    <n v="0"/>
    <n v="0"/>
    <n v="0"/>
    <n v="12.18"/>
    <n v="12.18"/>
    <n v="-12.18"/>
  </r>
  <r>
    <x v="12"/>
    <x v="9"/>
    <x v="0"/>
    <s v="6898501"/>
    <n v="730020"/>
    <s v="Rental and Leases-Copier Usage Fees (DO NOT USE)"/>
    <s v="Patient Experience"/>
    <x v="0"/>
    <n v="5100"/>
    <n v="136.66999999999999"/>
    <n v="137.79"/>
    <n v="137.22999999999999"/>
    <n v="137.22999999999999"/>
    <n v="137.22999999999999"/>
    <n v="137.22999999999999"/>
    <n v="951.76"/>
    <n v="177.69"/>
    <n v="177.31"/>
    <n v="277.31"/>
    <n v="177.69"/>
    <n v="211.39"/>
    <n v="2796.5299999999997"/>
    <n v="-33.699999999999989"/>
  </r>
  <r>
    <x v="15"/>
    <x v="9"/>
    <x v="0"/>
    <s v="6898501"/>
    <n v="731060"/>
    <s v="Telephone"/>
    <s v="Patient Experience"/>
    <x v="0"/>
    <m/>
    <n v="0"/>
    <n v="0"/>
    <n v="0"/>
    <n v="0"/>
    <n v="0"/>
    <n v="0"/>
    <n v="1534.62"/>
    <n v="0"/>
    <n v="1568.89"/>
    <n v="0"/>
    <n v="0"/>
    <n v="1541.36"/>
    <n v="4644.87"/>
    <n v="-1541.36"/>
  </r>
  <r>
    <x v="16"/>
    <x v="9"/>
    <x v="0"/>
    <s v="6898501"/>
    <n v="732030"/>
    <s v="Repairs---Other"/>
    <s v="Patient Experience"/>
    <x v="0"/>
    <m/>
    <n v="0"/>
    <n v="0"/>
    <n v="0"/>
    <n v="29.63"/>
    <n v="0"/>
    <n v="0"/>
    <n v="25.26"/>
    <n v="0"/>
    <n v="242.84"/>
    <n v="0"/>
    <n v="0"/>
    <n v="0"/>
    <n v="297.73"/>
    <n v="0"/>
  </r>
  <r>
    <x v="0"/>
    <x v="9"/>
    <x v="0"/>
    <s v="6898501"/>
    <n v="740010"/>
    <s v="Education-Materials"/>
    <s v="Patient Experience"/>
    <x v="0"/>
    <m/>
    <n v="0"/>
    <n v="0"/>
    <n v="0"/>
    <n v="0"/>
    <n v="310.92"/>
    <n v="0"/>
    <n v="0"/>
    <n v="0"/>
    <n v="0"/>
    <n v="0"/>
    <n v="0"/>
    <n v="0"/>
    <n v="310.92"/>
    <n v="0"/>
  </r>
  <r>
    <x v="0"/>
    <x v="9"/>
    <x v="0"/>
    <s v="6898501"/>
    <n v="740020"/>
    <s v="Education-Registration Fees"/>
    <s v="Patient Experience"/>
    <x v="0"/>
    <m/>
    <n v="0"/>
    <n v="0"/>
    <n v="0"/>
    <n v="1150"/>
    <n v="0"/>
    <n v="0"/>
    <n v="0"/>
    <n v="525"/>
    <n v="0"/>
    <n v="1395"/>
    <n v="0"/>
    <n v="0"/>
    <n v="3070"/>
    <n v="0"/>
  </r>
  <r>
    <x v="0"/>
    <x v="9"/>
    <x v="0"/>
    <s v="6898501"/>
    <n v="742040"/>
    <s v="Freight-Other"/>
    <s v="Patient Experience"/>
    <x v="0"/>
    <m/>
    <n v="0"/>
    <n v="0"/>
    <n v="0"/>
    <n v="0"/>
    <n v="0"/>
    <n v="0"/>
    <n v="0"/>
    <n v="0"/>
    <n v="0"/>
    <n v="0"/>
    <n v="0"/>
    <n v="635.92999999999995"/>
    <n v="635.92999999999995"/>
    <n v="-635.92999999999995"/>
  </r>
  <r>
    <x v="0"/>
    <x v="9"/>
    <x v="0"/>
    <s v="6898501"/>
    <n v="743010"/>
    <s v="Dues--Institutional"/>
    <s v="Patient Experience"/>
    <x v="0"/>
    <m/>
    <n v="0"/>
    <n v="5500"/>
    <n v="0"/>
    <n v="0"/>
    <n v="0"/>
    <n v="0"/>
    <n v="0"/>
    <n v="0"/>
    <n v="0"/>
    <n v="0"/>
    <n v="0"/>
    <n v="0"/>
    <n v="5500"/>
    <n v="0"/>
  </r>
  <r>
    <x v="0"/>
    <x v="9"/>
    <x v="0"/>
    <s v="6898501"/>
    <n v="743020"/>
    <s v="Dues--Individual"/>
    <s v="Patient Experience"/>
    <x v="0"/>
    <m/>
    <n v="0"/>
    <n v="0"/>
    <n v="220"/>
    <n v="0"/>
    <n v="345"/>
    <n v="250"/>
    <n v="0"/>
    <n v="0"/>
    <n v="0"/>
    <n v="0"/>
    <n v="3600"/>
    <n v="400"/>
    <n v="4815"/>
    <n v="3200"/>
  </r>
  <r>
    <x v="0"/>
    <x v="9"/>
    <x v="0"/>
    <s v="6898501"/>
    <n v="743030"/>
    <s v="Subscriptions--Institutional"/>
    <s v="Patient Experience"/>
    <x v="0"/>
    <m/>
    <n v="0"/>
    <n v="0"/>
    <n v="0"/>
    <n v="0"/>
    <n v="0"/>
    <n v="0"/>
    <n v="515.75"/>
    <n v="0"/>
    <n v="0"/>
    <n v="0"/>
    <n v="0"/>
    <n v="21.52"/>
    <n v="537.27"/>
    <n v="-21.52"/>
  </r>
  <r>
    <x v="0"/>
    <x v="9"/>
    <x v="0"/>
    <s v="6898501"/>
    <n v="745010"/>
    <s v="Donations and Contributions"/>
    <s v="Patient Experience"/>
    <x v="0"/>
    <m/>
    <n v="0"/>
    <n v="0"/>
    <n v="0"/>
    <n v="0"/>
    <n v="0"/>
    <n v="0"/>
    <n v="34.07"/>
    <n v="0"/>
    <n v="0"/>
    <n v="0"/>
    <n v="0"/>
    <n v="0"/>
    <n v="34.07"/>
    <n v="0"/>
  </r>
  <r>
    <x v="0"/>
    <x v="9"/>
    <x v="0"/>
    <s v="6898501"/>
    <n v="749510"/>
    <s v="Miscellaneous Expenses"/>
    <s v="Patient Experience"/>
    <x v="0"/>
    <m/>
    <n v="67437.600000000006"/>
    <n v="8312.11"/>
    <n v="16588.939999999999"/>
    <n v="12716.96"/>
    <n v="4438.7"/>
    <n v="3245.59"/>
    <n v="31019.95"/>
    <n v="19779.36"/>
    <n v="48504.21"/>
    <n v="-31076.11"/>
    <n v="2902.99"/>
    <n v="21823.57"/>
    <n v="205693.87"/>
    <n v="-18920.580000000002"/>
  </r>
  <r>
    <x v="0"/>
    <x v="9"/>
    <x v="0"/>
    <s v="6898501"/>
    <n v="749510"/>
    <s v="Miscellaneous Expense"/>
    <s v="Patient Experience"/>
    <x v="0"/>
    <n v="1009"/>
    <n v="0"/>
    <n v="0"/>
    <n v="0"/>
    <n v="0"/>
    <n v="0"/>
    <n v="0"/>
    <n v="86.94"/>
    <n v="0"/>
    <n v="0"/>
    <n v="117.96"/>
    <n v="0"/>
    <n v="0"/>
    <n v="204.89999999999998"/>
    <n v="0"/>
  </r>
  <r>
    <x v="0"/>
    <x v="9"/>
    <x v="0"/>
    <s v="6898501"/>
    <n v="749510"/>
    <s v="Community Benefit"/>
    <s v="Patient Experience"/>
    <x v="0"/>
    <n v="1027"/>
    <n v="0"/>
    <n v="0"/>
    <n v="0"/>
    <n v="0"/>
    <n v="0"/>
    <n v="0"/>
    <n v="154.94"/>
    <n v="0"/>
    <n v="0"/>
    <n v="0"/>
    <n v="0"/>
    <n v="0"/>
    <n v="154.94"/>
    <n v="0"/>
  </r>
  <r>
    <x v="0"/>
    <x v="9"/>
    <x v="0"/>
    <s v="6898501"/>
    <n v="749510"/>
    <s v="RICE Rewards"/>
    <s v="Patient Experience"/>
    <x v="0"/>
    <n v="5100"/>
    <n v="0"/>
    <n v="0"/>
    <n v="0"/>
    <n v="0"/>
    <n v="0"/>
    <n v="0"/>
    <n v="0"/>
    <n v="0"/>
    <n v="0"/>
    <n v="0"/>
    <n v="0"/>
    <n v="295.27"/>
    <n v="295.27"/>
    <n v="-295.27"/>
  </r>
  <r>
    <x v="0"/>
    <x v="9"/>
    <x v="0"/>
    <s v="6898501"/>
    <n v="749530"/>
    <s v="Travel"/>
    <s v="Patient Experience"/>
    <x v="0"/>
    <m/>
    <n v="120.34"/>
    <n v="2124.85"/>
    <n v="760.9"/>
    <n v="1806.07"/>
    <n v="43"/>
    <n v="5492.9"/>
    <n v="379.47"/>
    <n v="461.97"/>
    <n v="863.56"/>
    <n v="46.99"/>
    <n v="26"/>
    <n v="1492.23"/>
    <n v="13618.279999999997"/>
    <n v="-1466.23"/>
  </r>
  <r>
    <x v="0"/>
    <x v="9"/>
    <x v="0"/>
    <s v="6898501"/>
    <n v="749530"/>
    <s v="Mileage"/>
    <s v="Patient Experience"/>
    <x v="0"/>
    <n v="1001"/>
    <n v="93.21"/>
    <n v="106.29"/>
    <n v="0"/>
    <n v="31.07"/>
    <n v="65.95"/>
    <n v="144.97999999999999"/>
    <n v="108.79"/>
    <n v="196.62"/>
    <n v="59.55"/>
    <n v="287.68"/>
    <n v="257.52"/>
    <n v="359.02"/>
    <n v="1710.6799999999998"/>
    <n v="-101.5"/>
  </r>
  <r>
    <x v="0"/>
    <x v="9"/>
    <x v="0"/>
    <s v="6898501"/>
    <n v="749535"/>
    <s v="Meetings"/>
    <s v="Patient Experience"/>
    <x v="0"/>
    <m/>
    <n v="0"/>
    <n v="230.69"/>
    <n v="372.3"/>
    <n v="184.14"/>
    <n v="590.71"/>
    <n v="3526.34"/>
    <n v="633.52"/>
    <n v="763.04"/>
    <n v="0"/>
    <n v="2702.34"/>
    <n v="3547.77"/>
    <n v="1440.13"/>
    <n v="13990.980000000003"/>
    <n v="2107.64"/>
  </r>
  <r>
    <x v="0"/>
    <x v="9"/>
    <x v="0"/>
    <s v="6898501"/>
    <n v="749535"/>
    <s v="Medicare Non-Allowable Beverages"/>
    <s v="Patient Experience"/>
    <x v="0"/>
    <n v="1005"/>
    <n v="0"/>
    <n v="18"/>
    <n v="0"/>
    <n v="0"/>
    <n v="55"/>
    <n v="130.75"/>
    <n v="0"/>
    <n v="21"/>
    <n v="20.260000000000002"/>
    <n v="0"/>
    <n v="0"/>
    <n v="0"/>
    <n v="245.01"/>
    <n v="0"/>
  </r>
  <r>
    <x v="14"/>
    <x v="3"/>
    <x v="0"/>
    <s v="6900101"/>
    <n v="600050"/>
    <s v="Miscellaneous Revenue"/>
    <s v="Administration"/>
    <x v="0"/>
    <m/>
    <n v="-563.70000000000005"/>
    <n v="-1510.64"/>
    <n v="0"/>
    <n v="-4959.9399999999996"/>
    <n v="-1949.28"/>
    <n v="-162"/>
    <n v="0"/>
    <n v="0"/>
    <n v="-900"/>
    <n v="0"/>
    <n v="0"/>
    <n v="0"/>
    <n v="-10045.56"/>
    <n v="0"/>
  </r>
  <r>
    <x v="5"/>
    <x v="3"/>
    <x v="0"/>
    <s v="6900101"/>
    <n v="700014"/>
    <s v="Salaries-Management-Productive"/>
    <s v="Administration"/>
    <x v="0"/>
    <m/>
    <n v="83642.320000000007"/>
    <n v="76753.23"/>
    <n v="60296.68"/>
    <n v="87356.15"/>
    <n v="93269.47"/>
    <n v="54328.04"/>
    <n v="66512.39"/>
    <n v="81217.490000000005"/>
    <n v="90354.65"/>
    <n v="72319.05"/>
    <n v="82739.48"/>
    <n v="77897.72"/>
    <n v="926686.67"/>
    <n v="4841.7599999999948"/>
  </r>
  <r>
    <x v="5"/>
    <x v="3"/>
    <x v="0"/>
    <s v="6900101"/>
    <n v="700014"/>
    <s v="Salaries-Management-Other"/>
    <s v="Administration"/>
    <x v="0"/>
    <n v="2000"/>
    <n v="0"/>
    <n v="0"/>
    <n v="0"/>
    <n v="0"/>
    <n v="5598"/>
    <n v="0"/>
    <n v="0"/>
    <n v="0"/>
    <n v="0"/>
    <n v="0"/>
    <n v="0"/>
    <n v="0"/>
    <n v="5598"/>
    <n v="0"/>
  </r>
  <r>
    <x v="5"/>
    <x v="3"/>
    <x v="0"/>
    <s v="6900101"/>
    <n v="700034"/>
    <s v="Salaries-Tech/Professional-Productive"/>
    <s v="Administration"/>
    <x v="0"/>
    <m/>
    <n v="5441.14"/>
    <n v="11032.34"/>
    <n v="12949.13"/>
    <n v="14330.19"/>
    <n v="12984.72"/>
    <n v="7848.97"/>
    <n v="13600.99"/>
    <n v="10930.41"/>
    <n v="11430.9"/>
    <n v="14216.37"/>
    <n v="22739.15"/>
    <n v="16827.32"/>
    <n v="154331.63"/>
    <n v="5911.8300000000017"/>
  </r>
  <r>
    <x v="5"/>
    <x v="3"/>
    <x v="0"/>
    <s v="6900101"/>
    <n v="700034"/>
    <s v="Salaries-Tech/Professional-Other"/>
    <s v="Administration"/>
    <x v="0"/>
    <n v="2000"/>
    <n v="0"/>
    <n v="0"/>
    <n v="0"/>
    <n v="0"/>
    <n v="0"/>
    <n v="0"/>
    <n v="0"/>
    <n v="0"/>
    <n v="0"/>
    <n v="0"/>
    <n v="30.07"/>
    <n v="-0.03"/>
    <n v="30.04"/>
    <n v="30.1"/>
  </r>
  <r>
    <x v="5"/>
    <x v="3"/>
    <x v="0"/>
    <s v="6900101"/>
    <n v="700038"/>
    <s v="Salaries-Service/Support-Productive"/>
    <s v="Administration"/>
    <x v="0"/>
    <m/>
    <n v="6624.54"/>
    <n v="11536.52"/>
    <n v="10376.879999999999"/>
    <n v="11139.16"/>
    <n v="11511.98"/>
    <n v="7274.61"/>
    <n v="11167.76"/>
    <n v="8535.6200000000008"/>
    <n v="11455.44"/>
    <n v="8640.35"/>
    <n v="12740.32"/>
    <n v="10508.15"/>
    <n v="121511.32999999999"/>
    <n v="2232.17"/>
  </r>
  <r>
    <x v="5"/>
    <x v="3"/>
    <x v="0"/>
    <s v="6900101"/>
    <n v="700038"/>
    <s v="Salaries-Service/Support-OT"/>
    <s v="Administration"/>
    <x v="0"/>
    <n v="1000"/>
    <n v="29.68"/>
    <n v="246.25"/>
    <n v="82.09"/>
    <n v="109.63"/>
    <n v="292.13"/>
    <n v="-7.17"/>
    <n v="61.27"/>
    <n v="7.22"/>
    <n v="95.49"/>
    <n v="81.08"/>
    <n v="145.94"/>
    <n v="36.020000000000003"/>
    <n v="1179.6300000000001"/>
    <n v="109.91999999999999"/>
  </r>
  <r>
    <x v="5"/>
    <x v="3"/>
    <x v="0"/>
    <s v="6900101"/>
    <n v="700054"/>
    <s v="Salaries-Management-Non-productive"/>
    <s v="Administration"/>
    <x v="0"/>
    <m/>
    <n v="10526.52"/>
    <n v="17419.89"/>
    <n v="30839.82"/>
    <n v="6816.97"/>
    <n v="0"/>
    <n v="41461.08"/>
    <n v="22111.040000000001"/>
    <n v="7352.95"/>
    <n v="5510.79"/>
    <n v="20441.46"/>
    <n v="13116.19"/>
    <n v="14830.82"/>
    <n v="190427.53000000003"/>
    <n v="-1714.6299999999992"/>
  </r>
  <r>
    <x v="5"/>
    <x v="3"/>
    <x v="0"/>
    <s v="6900101"/>
    <n v="700054"/>
    <s v="Salaries-Management-NonProd-Other"/>
    <s v="Administration"/>
    <x v="0"/>
    <n v="2000"/>
    <n v="0"/>
    <n v="0"/>
    <n v="0"/>
    <n v="0"/>
    <n v="0"/>
    <n v="500"/>
    <n v="4893.16"/>
    <n v="-2.81"/>
    <n v="0"/>
    <n v="0"/>
    <n v="0"/>
    <n v="0"/>
    <n v="5390.3499999999995"/>
    <n v="0"/>
  </r>
  <r>
    <x v="5"/>
    <x v="3"/>
    <x v="0"/>
    <s v="6900101"/>
    <n v="700074"/>
    <s v="Salaries-Tech/Professional-Non-productive"/>
    <s v="Administration"/>
    <x v="0"/>
    <m/>
    <n v="1199.68"/>
    <n v="3641.52"/>
    <n v="565.94000000000005"/>
    <n v="0"/>
    <n v="967.47"/>
    <n v="6568.78"/>
    <n v="839.27"/>
    <n v="2111.06"/>
    <n v="3008.01"/>
    <n v="-243.69"/>
    <n v="2583.9"/>
    <n v="5110.38"/>
    <n v="26352.320000000003"/>
    <n v="-2526.48"/>
  </r>
  <r>
    <x v="5"/>
    <x v="3"/>
    <x v="0"/>
    <s v="6900101"/>
    <n v="700078"/>
    <s v="Salaries-Service/Support-Non-productive"/>
    <s v="Administration"/>
    <x v="0"/>
    <m/>
    <n v="4981.3900000000003"/>
    <n v="93.24"/>
    <n v="826.25"/>
    <n v="687.47"/>
    <n v="333.39"/>
    <n v="4563.92"/>
    <n v="772.75"/>
    <n v="2238.9699999999998"/>
    <n v="443.08"/>
    <n v="2949.63"/>
    <n v="-791.33"/>
    <n v="1070.3800000000001"/>
    <n v="18169.14"/>
    <n v="-1861.71"/>
  </r>
  <r>
    <x v="5"/>
    <x v="3"/>
    <x v="0"/>
    <s v="6900101"/>
    <n v="700078"/>
    <s v="Salaries-Service/Support-NonProd-Other"/>
    <s v="Administration"/>
    <x v="0"/>
    <n v="2000"/>
    <n v="0"/>
    <n v="0"/>
    <n v="0"/>
    <n v="0"/>
    <n v="0"/>
    <n v="0"/>
    <n v="33.619999999999997"/>
    <n v="22.8"/>
    <n v="10.82"/>
    <n v="28.81"/>
    <n v="-12"/>
    <n v="0"/>
    <n v="84.050000000000011"/>
    <n v="-12"/>
  </r>
  <r>
    <x v="5"/>
    <x v="3"/>
    <x v="0"/>
    <s v="6900101"/>
    <n v="700084"/>
    <s v="Accrued PTO"/>
    <s v="Administration"/>
    <x v="0"/>
    <m/>
    <n v="511.29"/>
    <n v="4112.33"/>
    <n v="766.01"/>
    <n v="2945.49"/>
    <n v="1799.07"/>
    <n v="-6486.31"/>
    <n v="430.52"/>
    <n v="-594.79999999999995"/>
    <n v="-801.9"/>
    <n v="1552.78"/>
    <n v="20453.939999999999"/>
    <n v="-423.79"/>
    <n v="24264.629999999997"/>
    <n v="20877.73"/>
  </r>
  <r>
    <x v="10"/>
    <x v="3"/>
    <x v="0"/>
    <s v="6900101"/>
    <n v="710060"/>
    <s v="Contract Labor-Other"/>
    <s v="Administration"/>
    <x v="0"/>
    <m/>
    <n v="3443.02"/>
    <n v="3300.47"/>
    <n v="4425.92"/>
    <n v="4868.47"/>
    <n v="2971.52"/>
    <n v="5553.5"/>
    <n v="2401.34"/>
    <n v="8974.5300000000007"/>
    <n v="2790.91"/>
    <n v="1882.75"/>
    <n v="2652.4"/>
    <n v="3953.78"/>
    <n v="47218.610000000008"/>
    <n v="-1301.3800000000001"/>
  </r>
  <r>
    <x v="6"/>
    <x v="3"/>
    <x v="0"/>
    <s v="6900101"/>
    <n v="713010"/>
    <s v="Benefits-FICA/Medicare"/>
    <s v="Administration"/>
    <x v="0"/>
    <m/>
    <n v="2739.99"/>
    <n v="3355.78"/>
    <n v="3180.68"/>
    <n v="3335.62"/>
    <n v="3409.03"/>
    <n v="7209.14"/>
    <n v="9327.15"/>
    <n v="8384.94"/>
    <n v="6595.1"/>
    <n v="5974.36"/>
    <n v="6997.96"/>
    <n v="5130.78"/>
    <n v="65640.53"/>
    <n v="1867.1800000000003"/>
  </r>
  <r>
    <x v="6"/>
    <x v="3"/>
    <x v="0"/>
    <s v="6900101"/>
    <n v="713090"/>
    <s v="Benefits-Allocated Amounts"/>
    <s v="Administration"/>
    <x v="0"/>
    <m/>
    <n v="12570.71"/>
    <n v="13568.33"/>
    <n v="13663.45"/>
    <n v="13726.62"/>
    <n v="14056.36"/>
    <n v="13703.7"/>
    <n v="14129.92"/>
    <n v="14333.38"/>
    <n v="10334.1"/>
    <n v="14345.73"/>
    <n v="18189.3"/>
    <n v="15888.25"/>
    <n v="168509.85"/>
    <n v="2301.0499999999993"/>
  </r>
  <r>
    <x v="6"/>
    <x v="3"/>
    <x v="0"/>
    <s v="6900101"/>
    <n v="713096"/>
    <s v="Employee Recognition"/>
    <s v="Administration"/>
    <x v="0"/>
    <n v="1017"/>
    <n v="0"/>
    <n v="138.44999999999999"/>
    <n v="0"/>
    <n v="1625"/>
    <n v="0"/>
    <n v="119.9"/>
    <n v="0"/>
    <n v="0"/>
    <n v="48"/>
    <n v="2278.41"/>
    <n v="1105.82"/>
    <n v="50"/>
    <n v="5365.58"/>
    <n v="1055.82"/>
  </r>
  <r>
    <x v="21"/>
    <x v="3"/>
    <x v="0"/>
    <s v="6900101"/>
    <n v="716046"/>
    <s v="Consulting-Other"/>
    <s v="Administration"/>
    <x v="0"/>
    <m/>
    <n v="211297.26"/>
    <n v="5725"/>
    <n v="83521.25"/>
    <n v="0"/>
    <n v="0"/>
    <n v="0"/>
    <n v="5000"/>
    <n v="2786.19"/>
    <n v="5725"/>
    <n v="2500"/>
    <n v="0"/>
    <n v="5000"/>
    <n v="321554.7"/>
    <n v="-5000"/>
  </r>
  <r>
    <x v="7"/>
    <x v="3"/>
    <x v="0"/>
    <s v="6900101"/>
    <n v="718050"/>
    <s v="Contract Svcs-Other"/>
    <s v="Administration"/>
    <x v="0"/>
    <m/>
    <n v="7020.38"/>
    <n v="42681.82"/>
    <n v="43395.58"/>
    <n v="13663.77"/>
    <n v="0"/>
    <n v="17340.259999999998"/>
    <n v="20618.93"/>
    <n v="1685.04"/>
    <n v="24448.39"/>
    <n v="3364.79"/>
    <n v="18664.11"/>
    <n v="33411.050000000003"/>
    <n v="226294.12"/>
    <n v="-14746.940000000002"/>
  </r>
  <r>
    <x v="7"/>
    <x v="3"/>
    <x v="0"/>
    <s v="6900101"/>
    <n v="718050"/>
    <s v="Document Shredding/Storage"/>
    <s v="Administration"/>
    <x v="0"/>
    <n v="1012"/>
    <n v="17.5"/>
    <n v="80.989999999999995"/>
    <n v="63.13"/>
    <n v="40.39"/>
    <n v="-26.48"/>
    <n v="18.5"/>
    <n v="18.309999999999999"/>
    <n v="15.71"/>
    <n v="16.27"/>
    <n v="21.32"/>
    <n v="17.899999999999999"/>
    <n v="18.5"/>
    <n v="302.04000000000002"/>
    <n v="-0.60000000000000142"/>
  </r>
  <r>
    <x v="7"/>
    <x v="3"/>
    <x v="0"/>
    <s v="6900101"/>
    <n v="718050"/>
    <s v="Physician Answering"/>
    <s v="Administration"/>
    <x v="0"/>
    <n v="1015"/>
    <n v="292.60000000000002"/>
    <n v="251.7"/>
    <n v="179.5"/>
    <n v="107.4"/>
    <n v="357.3"/>
    <n v="278"/>
    <n v="323.5"/>
    <n v="386.4"/>
    <n v="228.3"/>
    <n v="234"/>
    <n v="215.8"/>
    <n v="106.5"/>
    <n v="2961.0000000000005"/>
    <n v="109.30000000000001"/>
  </r>
  <r>
    <x v="7"/>
    <x v="3"/>
    <x v="0"/>
    <s v="6900101"/>
    <n v="718050"/>
    <s v="Miscellaneous Purchased Svcs"/>
    <s v="Administration"/>
    <x v="0"/>
    <n v="1020"/>
    <n v="0"/>
    <n v="0"/>
    <n v="0"/>
    <n v="102919.93"/>
    <n v="54000"/>
    <n v="18859"/>
    <n v="25091.52"/>
    <n v="24768.65"/>
    <n v="25036.55"/>
    <n v="24535.95"/>
    <n v="24561.17"/>
    <n v="24285.67"/>
    <n v="324058.43999999994"/>
    <n v="275.5"/>
  </r>
  <r>
    <x v="7"/>
    <x v="3"/>
    <x v="0"/>
    <s v="6900101"/>
    <n v="718050"/>
    <s v="Contract Svcs--Medical/Dental"/>
    <s v="Administration"/>
    <x v="0"/>
    <n v="1024"/>
    <n v="0"/>
    <n v="0"/>
    <n v="492"/>
    <n v="0"/>
    <n v="0"/>
    <n v="0"/>
    <n v="0"/>
    <n v="0"/>
    <n v="0"/>
    <n v="0"/>
    <n v="0"/>
    <n v="0"/>
    <n v="492"/>
    <n v="0"/>
  </r>
  <r>
    <x v="7"/>
    <x v="3"/>
    <x v="0"/>
    <s v="6900101"/>
    <n v="718050"/>
    <s v="Translation Services"/>
    <s v="Administration"/>
    <x v="0"/>
    <n v="1025"/>
    <n v="5880.45"/>
    <n v="8329.5499999999993"/>
    <n v="21841.65"/>
    <n v="43.27"/>
    <n v="23439.599999999999"/>
    <n v="12957.37"/>
    <n v="13470.5"/>
    <n v="15282.7"/>
    <n v="0"/>
    <n v="14931.85"/>
    <n v="13924.7"/>
    <n v="12614.5"/>
    <n v="142716.14000000001"/>
    <n v="1310.2000000000007"/>
  </r>
  <r>
    <x v="7"/>
    <x v="3"/>
    <x v="0"/>
    <s v="6900101"/>
    <n v="718091"/>
    <s v="Contract Services-Intracompany Allocation"/>
    <s v="Administration"/>
    <x v="0"/>
    <m/>
    <n v="-16000"/>
    <n v="-16000"/>
    <n v="-16000"/>
    <n v="-16000"/>
    <n v="-16000"/>
    <n v="-16000"/>
    <n v="-16000"/>
    <n v="-16000"/>
    <n v="-16000"/>
    <n v="-16000"/>
    <n v="-16000"/>
    <n v="-16000"/>
    <n v="-192000"/>
    <n v="0"/>
  </r>
  <r>
    <x v="11"/>
    <x v="3"/>
    <x v="0"/>
    <s v="6900101"/>
    <n v="721410"/>
    <s v="Supplies-Medical - Nonbillable"/>
    <s v="Administration"/>
    <x v="0"/>
    <m/>
    <n v="0"/>
    <n v="0"/>
    <n v="0"/>
    <n v="0"/>
    <n v="1539.2"/>
    <n v="-141.19999999999999"/>
    <n v="0"/>
    <n v="3078.4"/>
    <n v="0"/>
    <n v="-282.39999999999998"/>
    <n v="0"/>
    <n v="0"/>
    <n v="4194"/>
    <n v="0"/>
  </r>
  <r>
    <x v="11"/>
    <x v="3"/>
    <x v="0"/>
    <s v="6900101"/>
    <n v="721810"/>
    <s v="Supplies-Dietary/Cafeteria"/>
    <s v="Administration"/>
    <x v="0"/>
    <m/>
    <n v="2644.74"/>
    <n v="2022.59"/>
    <n v="1452.71"/>
    <n v="2881.5"/>
    <n v="4869.3100000000004"/>
    <n v="25366.34"/>
    <n v="132.26"/>
    <n v="501.02"/>
    <n v="232.56"/>
    <n v="2238.79"/>
    <n v="2393.59"/>
    <n v="1079.48"/>
    <n v="45814.890000000007"/>
    <n v="1314.1100000000001"/>
  </r>
  <r>
    <x v="11"/>
    <x v="3"/>
    <x v="0"/>
    <s v="6900101"/>
    <n v="721830"/>
    <s v="Supplies-Office"/>
    <s v="Administration"/>
    <x v="0"/>
    <m/>
    <n v="84.18"/>
    <n v="110.96"/>
    <n v="132.25"/>
    <n v="74.38"/>
    <n v="3489.02"/>
    <n v="128.27000000000001"/>
    <n v="186.15"/>
    <n v="3829.15"/>
    <n v="79.239999999999995"/>
    <n v="386.75"/>
    <n v="57.64"/>
    <n v="0"/>
    <n v="8557.99"/>
    <n v="57.64"/>
  </r>
  <r>
    <x v="11"/>
    <x v="3"/>
    <x v="0"/>
    <s v="6900101"/>
    <n v="721835"/>
    <s v="Supplies-Forms"/>
    <s v="Administration"/>
    <x v="0"/>
    <m/>
    <n v="0"/>
    <n v="0"/>
    <n v="0"/>
    <n v="0"/>
    <n v="152.47999999999999"/>
    <n v="37.119999999999997"/>
    <n v="0"/>
    <n v="0"/>
    <n v="57.25"/>
    <n v="1.5"/>
    <n v="52.15"/>
    <n v="574.54"/>
    <n v="875.04"/>
    <n v="-522.39"/>
  </r>
  <r>
    <x v="11"/>
    <x v="3"/>
    <x v="0"/>
    <s v="6900101"/>
    <n v="721910"/>
    <s v="Supplies-Small Equipment"/>
    <s v="Administration"/>
    <x v="0"/>
    <m/>
    <n v="0"/>
    <n v="170.9"/>
    <n v="17.260000000000002"/>
    <n v="0"/>
    <n v="0"/>
    <n v="500.27"/>
    <n v="0"/>
    <n v="0"/>
    <n v="1262.4100000000001"/>
    <n v="61.96"/>
    <n v="4404.33"/>
    <n v="68.45"/>
    <n v="6485.58"/>
    <n v="4335.88"/>
  </r>
  <r>
    <x v="11"/>
    <x v="3"/>
    <x v="0"/>
    <s v="6900101"/>
    <n v="721980"/>
    <s v="Supplies-Other"/>
    <s v="Administration"/>
    <x v="0"/>
    <m/>
    <n v="373.58"/>
    <n v="1197.72"/>
    <n v="0"/>
    <n v="828.12"/>
    <n v="0"/>
    <n v="0"/>
    <n v="0"/>
    <n v="0"/>
    <n v="1784.98"/>
    <n v="-56.23"/>
    <n v="183.44"/>
    <n v="-184.24"/>
    <n v="4127.37"/>
    <n v="367.68"/>
  </r>
  <r>
    <x v="11"/>
    <x v="3"/>
    <x v="0"/>
    <s v="6900101"/>
    <n v="722000"/>
    <s v="Supplies-Freight Expense"/>
    <s v="Administration"/>
    <x v="0"/>
    <m/>
    <n v="0"/>
    <n v="0"/>
    <n v="36.619999999999997"/>
    <n v="37.78"/>
    <n v="0"/>
    <n v="0"/>
    <n v="0"/>
    <n v="0"/>
    <n v="0"/>
    <n v="56.23"/>
    <n v="15.17"/>
    <n v="184.24"/>
    <n v="330.03999999999996"/>
    <n v="-169.07000000000002"/>
  </r>
  <r>
    <x v="11"/>
    <x v="3"/>
    <x v="0"/>
    <s v="6900101"/>
    <n v="723000"/>
    <s v="Supply Rebates/Patronage Dividend"/>
    <s v="Administration"/>
    <x v="0"/>
    <m/>
    <n v="0"/>
    <n v="0"/>
    <n v="0"/>
    <n v="0"/>
    <n v="0"/>
    <n v="0"/>
    <n v="0"/>
    <n v="0"/>
    <n v="0"/>
    <n v="0"/>
    <n v="0"/>
    <n v="-71350.41"/>
    <n v="-71350.41"/>
    <n v="71350.41"/>
  </r>
  <r>
    <x v="12"/>
    <x v="3"/>
    <x v="0"/>
    <s v="6900101"/>
    <n v="730020"/>
    <s v="Rental and Leases-Equipment (DO NOT USE)"/>
    <s v="Administration"/>
    <x v="0"/>
    <m/>
    <n v="0"/>
    <n v="0"/>
    <n v="0"/>
    <n v="32.97"/>
    <n v="0"/>
    <n v="0"/>
    <n v="0"/>
    <n v="0"/>
    <n v="0"/>
    <n v="0"/>
    <n v="0"/>
    <n v="0"/>
    <n v="32.97"/>
    <n v="0"/>
  </r>
  <r>
    <x v="12"/>
    <x v="3"/>
    <x v="0"/>
    <s v="6900101"/>
    <n v="730020"/>
    <s v="Rental and Leases-Copier Usage Fees (DO NOT USE)"/>
    <s v="Administration"/>
    <x v="0"/>
    <n v="5100"/>
    <n v="923.61"/>
    <n v="1013.51"/>
    <n v="968.56"/>
    <n v="968.56"/>
    <n v="968.56"/>
    <n v="968.56"/>
    <n v="-593.71"/>
    <n v="496.87"/>
    <n v="495.82"/>
    <n v="1737.38"/>
    <n v="496.87"/>
    <n v="594.73"/>
    <n v="9039.3199999999979"/>
    <n v="-97.860000000000014"/>
  </r>
  <r>
    <x v="15"/>
    <x v="3"/>
    <x v="0"/>
    <s v="6900101"/>
    <n v="731060"/>
    <s v="Telephone"/>
    <s v="Administration"/>
    <x v="0"/>
    <m/>
    <n v="0"/>
    <n v="0"/>
    <n v="0"/>
    <n v="0"/>
    <n v="0"/>
    <n v="0"/>
    <n v="0"/>
    <n v="0"/>
    <n v="0"/>
    <n v="0"/>
    <n v="246.97"/>
    <n v="963.38"/>
    <n v="1210.3499999999999"/>
    <n v="-716.41"/>
  </r>
  <r>
    <x v="15"/>
    <x v="3"/>
    <x v="0"/>
    <s v="6900101"/>
    <n v="731060"/>
    <s v="Cell Phones"/>
    <s v="Administration"/>
    <x v="0"/>
    <n v="1001"/>
    <n v="0"/>
    <n v="47.07"/>
    <n v="15.54"/>
    <n v="0"/>
    <n v="15.54"/>
    <n v="16.059999999999999"/>
    <n v="32.15"/>
    <n v="0"/>
    <n v="16.059999999999999"/>
    <n v="32.1"/>
    <n v="15.54"/>
    <n v="437.37"/>
    <n v="627.43000000000006"/>
    <n v="-421.83"/>
  </r>
  <r>
    <x v="13"/>
    <x v="3"/>
    <x v="0"/>
    <s v="6900101"/>
    <n v="735070"/>
    <s v="Depreciation-Movable Equipment"/>
    <s v="Administration"/>
    <x v="0"/>
    <m/>
    <n v="9583.64"/>
    <n v="9583.64"/>
    <n v="9583.65"/>
    <n v="9583.6200000000008"/>
    <n v="9583.65"/>
    <n v="9583.6"/>
    <n v="9583.66"/>
    <n v="9583.58"/>
    <n v="9541.43"/>
    <n v="9541.3799999999992"/>
    <n v="9541.44"/>
    <n v="9541.3799999999992"/>
    <n v="114834.67000000001"/>
    <n v="6.0000000001309672E-2"/>
  </r>
  <r>
    <x v="0"/>
    <x v="3"/>
    <x v="0"/>
    <s v="6900101"/>
    <n v="740020"/>
    <s v="Education-Registration Fees"/>
    <s v="Administration"/>
    <x v="0"/>
    <m/>
    <n v="4725"/>
    <n v="0"/>
    <n v="150"/>
    <n v="449"/>
    <n v="0"/>
    <n v="0"/>
    <n v="0"/>
    <n v="0"/>
    <n v="0"/>
    <n v="0"/>
    <n v="0"/>
    <n v="0"/>
    <n v="5324"/>
    <n v="0"/>
  </r>
  <r>
    <x v="0"/>
    <x v="3"/>
    <x v="0"/>
    <s v="6900101"/>
    <n v="742020"/>
    <s v="Postage-Express Services"/>
    <s v="Administration"/>
    <x v="0"/>
    <m/>
    <n v="0"/>
    <n v="0"/>
    <n v="20"/>
    <n v="0"/>
    <n v="0"/>
    <n v="0"/>
    <n v="0"/>
    <n v="0"/>
    <n v="0"/>
    <n v="0"/>
    <n v="0"/>
    <n v="56.6"/>
    <n v="76.599999999999994"/>
    <n v="-56.6"/>
  </r>
  <r>
    <x v="0"/>
    <x v="3"/>
    <x v="0"/>
    <s v="6900101"/>
    <n v="742040"/>
    <s v="Freight-Other"/>
    <s v="Administration"/>
    <x v="0"/>
    <m/>
    <n v="0"/>
    <n v="0"/>
    <n v="0"/>
    <n v="22.02"/>
    <n v="0"/>
    <n v="0"/>
    <n v="0"/>
    <n v="0"/>
    <n v="0"/>
    <n v="0"/>
    <n v="0"/>
    <n v="0"/>
    <n v="22.02"/>
    <n v="0"/>
  </r>
  <r>
    <x v="0"/>
    <x v="3"/>
    <x v="0"/>
    <s v="6900101"/>
    <n v="743010"/>
    <s v="Dues--Institutional"/>
    <s v="Administration"/>
    <x v="0"/>
    <m/>
    <n v="18378.419999999998"/>
    <n v="18378.419999999998"/>
    <n v="18666.419999999998"/>
    <n v="18378.43"/>
    <n v="18378.419999999998"/>
    <n v="18378.38"/>
    <n v="0"/>
    <n v="44419.7"/>
    <n v="19297.330000000002"/>
    <n v="19297.330000000002"/>
    <n v="19297.330000000002"/>
    <n v="19297.330000000002"/>
    <n v="232167.51000000007"/>
    <n v="0"/>
  </r>
  <r>
    <x v="0"/>
    <x v="3"/>
    <x v="0"/>
    <s v="6900101"/>
    <n v="743020"/>
    <s v="Dues--Individual"/>
    <s v="Administration"/>
    <x v="0"/>
    <m/>
    <n v="0"/>
    <n v="0"/>
    <n v="0"/>
    <n v="0"/>
    <n v="0"/>
    <n v="0"/>
    <n v="345"/>
    <n v="345"/>
    <n v="0"/>
    <n v="200"/>
    <n v="0"/>
    <n v="0"/>
    <n v="890"/>
    <n v="0"/>
  </r>
  <r>
    <x v="0"/>
    <x v="3"/>
    <x v="0"/>
    <s v="6900101"/>
    <n v="743030"/>
    <s v="Subscriptions--Institutional"/>
    <s v="Administration"/>
    <x v="0"/>
    <m/>
    <n v="0"/>
    <n v="0"/>
    <n v="457.6"/>
    <n v="0"/>
    <n v="0"/>
    <n v="0"/>
    <n v="171.91"/>
    <n v="0"/>
    <n v="0"/>
    <n v="0"/>
    <n v="0"/>
    <n v="0"/>
    <n v="629.51"/>
    <n v="0"/>
  </r>
  <r>
    <x v="0"/>
    <x v="3"/>
    <x v="0"/>
    <s v="6900101"/>
    <n v="743040"/>
    <s v="Subscriptions--Individual"/>
    <s v="Administration"/>
    <x v="0"/>
    <m/>
    <n v="0"/>
    <n v="0"/>
    <n v="11000"/>
    <n v="1111"/>
    <n v="0"/>
    <n v="804.98"/>
    <n v="0"/>
    <n v="0"/>
    <n v="0"/>
    <n v="0"/>
    <n v="0"/>
    <n v="0"/>
    <n v="12915.98"/>
    <n v="0"/>
  </r>
  <r>
    <x v="0"/>
    <x v="3"/>
    <x v="0"/>
    <s v="6900101"/>
    <n v="749510"/>
    <s v="Miscellaneous Expenses"/>
    <s v="Administration"/>
    <x v="0"/>
    <m/>
    <n v="8781.56"/>
    <n v="14609.02"/>
    <n v="5821.83"/>
    <n v="-1119.07"/>
    <n v="5229.05"/>
    <n v="-5417.76"/>
    <n v="12366.06"/>
    <n v="-1078.17"/>
    <n v="7288.29"/>
    <n v="10137.969999999999"/>
    <n v="3309.57"/>
    <n v="3097.48"/>
    <n v="63025.830000000009"/>
    <n v="212.09000000000015"/>
  </r>
  <r>
    <x v="0"/>
    <x v="3"/>
    <x v="0"/>
    <s v="6900101"/>
    <n v="749510"/>
    <s v="Licenses"/>
    <s v="Administration"/>
    <x v="0"/>
    <n v="1002"/>
    <n v="0"/>
    <n v="0"/>
    <n v="50508"/>
    <n v="0"/>
    <n v="0"/>
    <n v="0"/>
    <n v="0"/>
    <n v="0"/>
    <n v="0"/>
    <n v="0"/>
    <n v="0"/>
    <n v="0"/>
    <n v="50508"/>
    <n v="0"/>
  </r>
  <r>
    <x v="0"/>
    <x v="3"/>
    <x v="0"/>
    <s v="6900101"/>
    <n v="749510"/>
    <s v="Community Benefit"/>
    <s v="Administration"/>
    <x v="0"/>
    <n v="1027"/>
    <n v="0"/>
    <n v="10000"/>
    <n v="0"/>
    <n v="0"/>
    <n v="0"/>
    <n v="0"/>
    <n v="10000"/>
    <n v="0"/>
    <n v="0"/>
    <n v="0"/>
    <n v="0"/>
    <n v="0"/>
    <n v="20000"/>
    <n v="0"/>
  </r>
  <r>
    <x v="0"/>
    <x v="3"/>
    <x v="0"/>
    <s v="6900101"/>
    <n v="749530"/>
    <s v="Travel"/>
    <s v="Administration"/>
    <x v="0"/>
    <m/>
    <n v="2278.9299999999998"/>
    <n v="16"/>
    <n v="4540.6899999999996"/>
    <n v="478.57"/>
    <n v="2042.01"/>
    <n v="5164.2299999999996"/>
    <n v="1484.25"/>
    <n v="1614.35"/>
    <n v="0"/>
    <n v="327.07"/>
    <n v="0"/>
    <n v="1109.3900000000001"/>
    <n v="19055.489999999998"/>
    <n v="-1109.3900000000001"/>
  </r>
  <r>
    <x v="0"/>
    <x v="3"/>
    <x v="0"/>
    <s v="6900101"/>
    <n v="749530"/>
    <s v="Mileage"/>
    <s v="Administration"/>
    <x v="0"/>
    <n v="1001"/>
    <n v="0"/>
    <n v="0"/>
    <n v="0"/>
    <n v="0"/>
    <n v="39.79"/>
    <n v="0"/>
    <n v="0"/>
    <n v="0"/>
    <n v="0"/>
    <n v="0"/>
    <n v="0"/>
    <n v="0"/>
    <n v="39.79"/>
    <n v="0"/>
  </r>
  <r>
    <x v="0"/>
    <x v="3"/>
    <x v="0"/>
    <s v="6900101"/>
    <n v="749532"/>
    <s v="Travel-Physician"/>
    <s v="Administration"/>
    <x v="0"/>
    <m/>
    <n v="0"/>
    <n v="0"/>
    <n v="0"/>
    <n v="0"/>
    <n v="0"/>
    <n v="0"/>
    <n v="2243.06"/>
    <n v="0"/>
    <n v="0"/>
    <n v="0"/>
    <n v="0"/>
    <n v="0"/>
    <n v="2243.06"/>
    <n v="0"/>
  </r>
  <r>
    <x v="0"/>
    <x v="3"/>
    <x v="0"/>
    <s v="6900101"/>
    <n v="749535"/>
    <s v="Meetings"/>
    <s v="Administration"/>
    <x v="0"/>
    <m/>
    <n v="0"/>
    <n v="0"/>
    <n v="0"/>
    <n v="0"/>
    <n v="95.03"/>
    <n v="3500.05"/>
    <n v="-399.22"/>
    <n v="1559.35"/>
    <n v="4252.12"/>
    <n v="2759.53"/>
    <n v="2780.41"/>
    <n v="660.26"/>
    <n v="15207.530000000002"/>
    <n v="2120.1499999999996"/>
  </r>
  <r>
    <x v="0"/>
    <x v="3"/>
    <x v="0"/>
    <s v="6900101"/>
    <n v="749535"/>
    <s v="Employee Functions"/>
    <s v="Administration"/>
    <x v="0"/>
    <n v="1004"/>
    <n v="0"/>
    <n v="0"/>
    <n v="0"/>
    <n v="0"/>
    <n v="0"/>
    <n v="0"/>
    <n v="0"/>
    <n v="0"/>
    <n v="0"/>
    <n v="0"/>
    <n v="0"/>
    <n v="190.78"/>
    <n v="190.78"/>
    <n v="-190.78"/>
  </r>
  <r>
    <x v="5"/>
    <x v="0"/>
    <x v="0"/>
    <s v="6900102"/>
    <n v="700014"/>
    <s v="Salaries-Management-Productive"/>
    <s v="Administration"/>
    <x v="0"/>
    <m/>
    <n v="48455.26"/>
    <n v="40384.879999999997"/>
    <n v="56433.84"/>
    <n v="53892.2"/>
    <n v="51816.98"/>
    <n v="26672.11"/>
    <n v="52415.11"/>
    <n v="50701.71"/>
    <n v="55779.75"/>
    <n v="55648.71"/>
    <n v="51673.63"/>
    <n v="52011.63"/>
    <n v="595885.81000000006"/>
    <n v="-338"/>
  </r>
  <r>
    <x v="5"/>
    <x v="0"/>
    <x v="0"/>
    <s v="6900102"/>
    <n v="700026"/>
    <s v="Salaries-RN-Productive"/>
    <s v="Administration"/>
    <x v="0"/>
    <m/>
    <n v="7842.9"/>
    <n v="10591.67"/>
    <n v="3083.93"/>
    <n v="11044.72"/>
    <n v="10357.44"/>
    <n v="5386.28"/>
    <n v="9750.7000000000007"/>
    <n v="9681.3799999999992"/>
    <n v="10718.74"/>
    <n v="9542.82"/>
    <n v="8644.1200000000008"/>
    <n v="8920.9"/>
    <n v="105565.6"/>
    <n v="-276.77999999999884"/>
  </r>
  <r>
    <x v="5"/>
    <x v="0"/>
    <x v="0"/>
    <s v="6900102"/>
    <n v="700038"/>
    <s v="Salaries-Service/Support-Productive"/>
    <s v="Administration"/>
    <x v="0"/>
    <m/>
    <n v="3722.03"/>
    <n v="5625.68"/>
    <n v="3598.03"/>
    <n v="6113.74"/>
    <n v="5042.78"/>
    <n v="4671.58"/>
    <n v="5867.48"/>
    <n v="4694.8999999999996"/>
    <n v="5230.84"/>
    <n v="5262.46"/>
    <n v="5993.88"/>
    <n v="4681.3"/>
    <n v="60504.700000000012"/>
    <n v="1312.58"/>
  </r>
  <r>
    <x v="5"/>
    <x v="0"/>
    <x v="0"/>
    <s v="6900102"/>
    <n v="700038"/>
    <s v="Salaries-Service/Support-OT"/>
    <s v="Administration"/>
    <x v="0"/>
    <n v="1000"/>
    <n v="0"/>
    <n v="0"/>
    <n v="57.89"/>
    <n v="-21.05"/>
    <n v="0"/>
    <n v="0"/>
    <n v="0"/>
    <n v="89.93"/>
    <n v="269.79000000000002"/>
    <n v="249.61"/>
    <n v="463.4"/>
    <n v="-250.49"/>
    <n v="859.08000000000015"/>
    <n v="713.89"/>
  </r>
  <r>
    <x v="5"/>
    <x v="0"/>
    <x v="0"/>
    <s v="6900102"/>
    <n v="700054"/>
    <s v="Salaries-Management-Non-productive"/>
    <s v="Administration"/>
    <x v="0"/>
    <m/>
    <n v="9823.49"/>
    <n v="17896.52"/>
    <n v="-31.72"/>
    <n v="4389.21"/>
    <n v="7411.26"/>
    <n v="33748.160000000003"/>
    <n v="8099.48"/>
    <n v="3951.12"/>
    <n v="4729.1499999999996"/>
    <n v="2836.15"/>
    <n v="8775.76"/>
    <n v="6488.58"/>
    <n v="108117.15999999999"/>
    <n v="2287.1800000000003"/>
  </r>
  <r>
    <x v="5"/>
    <x v="0"/>
    <x v="0"/>
    <s v="6900102"/>
    <n v="700054"/>
    <s v="Salaries-Management-NonProd-Other"/>
    <s v="Administration"/>
    <x v="0"/>
    <n v="2000"/>
    <n v="0"/>
    <n v="0"/>
    <n v="0"/>
    <n v="0"/>
    <n v="464"/>
    <n v="0"/>
    <n v="0"/>
    <n v="-464"/>
    <n v="0"/>
    <n v="0"/>
    <n v="0"/>
    <n v="0"/>
    <n v="0"/>
    <n v="0"/>
  </r>
  <r>
    <x v="5"/>
    <x v="0"/>
    <x v="0"/>
    <s v="6900102"/>
    <n v="700066"/>
    <s v="Salaries-RN-Non-productive"/>
    <s v="Administration"/>
    <x v="0"/>
    <m/>
    <n v="2547.2800000000002"/>
    <n v="-201.02"/>
    <n v="6971.68"/>
    <n v="-402.14"/>
    <n v="0"/>
    <n v="5316.76"/>
    <n v="969.05"/>
    <n v="0"/>
    <n v="0"/>
    <n v="829.8"/>
    <n v="2074.63"/>
    <n v="1452.21"/>
    <n v="19558.25"/>
    <n v="622.42000000000007"/>
  </r>
  <r>
    <x v="5"/>
    <x v="0"/>
    <x v="0"/>
    <s v="6900102"/>
    <n v="700074"/>
    <s v="Salaries-Tech/Professional-NonProd-Other"/>
    <s v="Administration"/>
    <x v="0"/>
    <n v="2000"/>
    <n v="0"/>
    <n v="0"/>
    <n v="0"/>
    <n v="0"/>
    <n v="0"/>
    <n v="0"/>
    <n v="0"/>
    <n v="0"/>
    <n v="0"/>
    <n v="0"/>
    <n v="0"/>
    <n v="320.83999999999997"/>
    <n v="320.83999999999997"/>
    <n v="-320.83999999999997"/>
  </r>
  <r>
    <x v="5"/>
    <x v="0"/>
    <x v="0"/>
    <s v="6900102"/>
    <n v="700078"/>
    <s v="Salaries-Service/Support-Non-productive"/>
    <s v="Administration"/>
    <x v="0"/>
    <m/>
    <n v="2059.59"/>
    <n v="171.41"/>
    <n v="2104.6999999999998"/>
    <n v="-153.13999999999999"/>
    <n v="821.64"/>
    <n v="1388.54"/>
    <n v="202.09"/>
    <n v="726.78"/>
    <n v="838.15"/>
    <n v="576.32000000000005"/>
    <n v="102.78"/>
    <n v="1827.4"/>
    <n v="10666.26"/>
    <n v="-1724.6200000000001"/>
  </r>
  <r>
    <x v="5"/>
    <x v="0"/>
    <x v="0"/>
    <s v="6900102"/>
    <n v="700078"/>
    <s v="Salaries-Service/Support-NonProd-Other"/>
    <s v="Administration"/>
    <x v="0"/>
    <n v="2000"/>
    <n v="32.74"/>
    <n v="0"/>
    <n v="0"/>
    <n v="0"/>
    <n v="0"/>
    <n v="0"/>
    <n v="0"/>
    <n v="0"/>
    <n v="0"/>
    <n v="0"/>
    <n v="0"/>
    <n v="0"/>
    <n v="32.74"/>
    <n v="0"/>
  </r>
  <r>
    <x v="5"/>
    <x v="0"/>
    <x v="0"/>
    <s v="6900102"/>
    <n v="700084"/>
    <s v="Accrued PTO"/>
    <s v="Administration"/>
    <x v="0"/>
    <m/>
    <n v="-886.12"/>
    <n v="1788.73"/>
    <n v="-4928.6099999999997"/>
    <n v="1631.95"/>
    <n v="1632.42"/>
    <n v="-2971.68"/>
    <n v="481.34"/>
    <n v="1666.31"/>
    <n v="1353.55"/>
    <n v="1217.48"/>
    <n v="-263.95999999999998"/>
    <n v="363.37"/>
    <n v="1084.7800000000011"/>
    <n v="-627.32999999999993"/>
  </r>
  <r>
    <x v="6"/>
    <x v="0"/>
    <x v="0"/>
    <s v="6900102"/>
    <n v="713010"/>
    <s v="Benefits-FICA/Medicare"/>
    <s v="Administration"/>
    <x v="0"/>
    <m/>
    <n v="2671.37"/>
    <n v="2005.85"/>
    <n v="1973.16"/>
    <n v="2057.19"/>
    <n v="2068.52"/>
    <n v="4610.2700000000004"/>
    <n v="5801.17"/>
    <n v="5242.07"/>
    <n v="5821.76"/>
    <n v="2682.93"/>
    <n v="3328.07"/>
    <n v="3581.7"/>
    <n v="41844.06"/>
    <n v="-253.62999999999965"/>
  </r>
  <r>
    <x v="6"/>
    <x v="0"/>
    <x v="0"/>
    <s v="6900102"/>
    <n v="713090"/>
    <s v="Benefits-Allocated Amounts"/>
    <s v="Administration"/>
    <x v="0"/>
    <m/>
    <n v="7739.55"/>
    <n v="7247.21"/>
    <n v="7110.72"/>
    <n v="7448.89"/>
    <n v="7423.01"/>
    <n v="7503.69"/>
    <n v="7868.29"/>
    <n v="7669.76"/>
    <n v="8216.36"/>
    <n v="8055.93"/>
    <n v="8067.44"/>
    <n v="8300.91"/>
    <n v="92651.760000000009"/>
    <n v="-233.47000000000025"/>
  </r>
  <r>
    <x v="6"/>
    <x v="0"/>
    <x v="0"/>
    <s v="6900102"/>
    <n v="713096"/>
    <s v="Employee Recognition"/>
    <s v="Administration"/>
    <x v="0"/>
    <n v="1017"/>
    <n v="374.62"/>
    <n v="225.7"/>
    <n v="0"/>
    <n v="463.35"/>
    <n v="178.84"/>
    <n v="334.5"/>
    <n v="0"/>
    <n v="0"/>
    <n v="25.29"/>
    <n v="65.45"/>
    <n v="1768.75"/>
    <n v="233.69"/>
    <n v="3670.19"/>
    <n v="1535.06"/>
  </r>
  <r>
    <x v="7"/>
    <x v="0"/>
    <x v="0"/>
    <s v="6900102"/>
    <n v="718050"/>
    <s v="Contract Svcs-Other"/>
    <s v="Administration"/>
    <x v="0"/>
    <m/>
    <n v="21244.63"/>
    <n v="57666.94"/>
    <n v="5938.41"/>
    <n v="14333.21"/>
    <n v="0"/>
    <n v="9462.8799999999992"/>
    <n v="2764.88"/>
    <n v="0"/>
    <n v="5529.76"/>
    <n v="0"/>
    <n v="5557.4"/>
    <n v="8105.04"/>
    <n v="130603.15"/>
    <n v="-2547.6400000000003"/>
  </r>
  <r>
    <x v="7"/>
    <x v="0"/>
    <x v="0"/>
    <s v="6900102"/>
    <n v="718050"/>
    <s v="Document Shredding/Storage"/>
    <s v="Administration"/>
    <x v="0"/>
    <n v="1012"/>
    <n v="0.86"/>
    <n v="0.9"/>
    <n v="0.81"/>
    <n v="0.84"/>
    <n v="0.87"/>
    <n v="0.87"/>
    <n v="0.86"/>
    <n v="0.73"/>
    <n v="0.75"/>
    <n v="1.02"/>
    <n v="0.84"/>
    <n v="0.87"/>
    <n v="10.219999999999999"/>
    <n v="-3.0000000000000027E-2"/>
  </r>
  <r>
    <x v="7"/>
    <x v="0"/>
    <x v="0"/>
    <s v="6900102"/>
    <n v="718050"/>
    <s v="Miscellaneous Purchased Svcs"/>
    <s v="Administration"/>
    <x v="0"/>
    <n v="1020"/>
    <n v="279.39999999999998"/>
    <n v="12776.5"/>
    <n v="0"/>
    <n v="52754.15"/>
    <n v="32000"/>
    <n v="10500"/>
    <n v="14166.66"/>
    <n v="14166.67"/>
    <n v="14166.67"/>
    <n v="14166.66"/>
    <n v="14166.67"/>
    <n v="14166.67"/>
    <n v="193310.05000000005"/>
    <n v="0"/>
  </r>
  <r>
    <x v="7"/>
    <x v="0"/>
    <x v="0"/>
    <s v="6900102"/>
    <n v="718091"/>
    <s v="Contract Services-Intracompany Allocation"/>
    <s v="Administration"/>
    <x v="0"/>
    <m/>
    <n v="-22500"/>
    <n v="-22500"/>
    <n v="-22500"/>
    <n v="-22500"/>
    <n v="-22500"/>
    <n v="-22500"/>
    <n v="-22500"/>
    <n v="-22500"/>
    <n v="-22500"/>
    <n v="-22500"/>
    <n v="-22500"/>
    <n v="-22500"/>
    <n v="-270000"/>
    <n v="0"/>
  </r>
  <r>
    <x v="11"/>
    <x v="0"/>
    <x v="0"/>
    <s v="6900102"/>
    <n v="721410"/>
    <s v="Supplies-Medical - Nonbillable"/>
    <s v="Administration"/>
    <x v="0"/>
    <m/>
    <n v="0"/>
    <n v="62.55"/>
    <n v="0"/>
    <n v="45.9"/>
    <n v="41.7"/>
    <n v="61.53"/>
    <n v="48.65"/>
    <n v="48.65"/>
    <n v="7.62"/>
    <n v="14.42"/>
    <n v="76.45"/>
    <n v="20.85"/>
    <n v="428.32"/>
    <n v="55.6"/>
  </r>
  <r>
    <x v="11"/>
    <x v="0"/>
    <x v="0"/>
    <s v="6900102"/>
    <n v="721810"/>
    <s v="Supplies-Dietary/Cafeteria"/>
    <s v="Administration"/>
    <x v="0"/>
    <m/>
    <n v="7467.65"/>
    <n v="11413.67"/>
    <n v="11473.52"/>
    <n v="5039.21"/>
    <n v="6488.89"/>
    <n v="10042.969999999999"/>
    <n v="6440.18"/>
    <n v="5019.92"/>
    <n v="7217.39"/>
    <n v="5271.97"/>
    <n v="13894.32"/>
    <n v="6507.46"/>
    <n v="96277.150000000009"/>
    <n v="7386.86"/>
  </r>
  <r>
    <x v="11"/>
    <x v="0"/>
    <x v="0"/>
    <s v="6900102"/>
    <n v="721830"/>
    <s v="Supplies-Office"/>
    <s v="Administration"/>
    <x v="0"/>
    <m/>
    <n v="727.46"/>
    <n v="266.58999999999997"/>
    <n v="338.3"/>
    <n v="176.41"/>
    <n v="663.37"/>
    <n v="287.64999999999998"/>
    <n v="239.81"/>
    <n v="612.46"/>
    <n v="333.61"/>
    <n v="242.04"/>
    <n v="213.5"/>
    <n v="97.24"/>
    <n v="4198.4400000000005"/>
    <n v="116.26"/>
  </r>
  <r>
    <x v="11"/>
    <x v="0"/>
    <x v="0"/>
    <s v="6900102"/>
    <n v="721835"/>
    <s v="Supplies-Forms"/>
    <s v="Administration"/>
    <x v="0"/>
    <m/>
    <n v="0"/>
    <n v="0"/>
    <n v="0"/>
    <n v="0"/>
    <n v="56.13"/>
    <n v="0.5"/>
    <n v="0"/>
    <n v="0"/>
    <n v="79"/>
    <n v="0"/>
    <n v="0.5"/>
    <n v="0"/>
    <n v="136.13"/>
    <n v="0.5"/>
  </r>
  <r>
    <x v="11"/>
    <x v="0"/>
    <x v="0"/>
    <s v="6900102"/>
    <n v="721870"/>
    <s v="Supplies-Environmental Services"/>
    <s v="Administration"/>
    <x v="0"/>
    <m/>
    <n v="0"/>
    <n v="0"/>
    <n v="0"/>
    <n v="0"/>
    <n v="0"/>
    <n v="5.67"/>
    <n v="0"/>
    <n v="0"/>
    <n v="0"/>
    <n v="0"/>
    <n v="10.35"/>
    <n v="0"/>
    <n v="16.02"/>
    <n v="10.35"/>
  </r>
  <r>
    <x v="11"/>
    <x v="0"/>
    <x v="0"/>
    <s v="6900102"/>
    <n v="721910"/>
    <s v="Supplies-Small Equipment"/>
    <s v="Administration"/>
    <x v="0"/>
    <m/>
    <n v="0"/>
    <n v="2.08"/>
    <n v="267.58"/>
    <n v="0"/>
    <n v="621.5"/>
    <n v="0"/>
    <n v="0"/>
    <n v="0"/>
    <n v="0"/>
    <n v="94.5"/>
    <n v="34.18"/>
    <n v="1256.6400000000001"/>
    <n v="2276.48"/>
    <n v="-1222.46"/>
  </r>
  <r>
    <x v="11"/>
    <x v="0"/>
    <x v="0"/>
    <s v="6900102"/>
    <n v="721980"/>
    <s v="Supplies-Other"/>
    <s v="Administration"/>
    <x v="0"/>
    <m/>
    <n v="0"/>
    <n v="0"/>
    <n v="0"/>
    <n v="510.12"/>
    <n v="31.02"/>
    <n v="711.48"/>
    <n v="84.03"/>
    <n v="0"/>
    <n v="28.47"/>
    <n v="76.88"/>
    <n v="966.8"/>
    <n v="300.77"/>
    <n v="2709.57"/>
    <n v="666.03"/>
  </r>
  <r>
    <x v="11"/>
    <x v="0"/>
    <x v="0"/>
    <s v="6900102"/>
    <n v="722000"/>
    <s v="Supplies-Freight Expense"/>
    <s v="Administration"/>
    <x v="0"/>
    <m/>
    <n v="0"/>
    <n v="0"/>
    <n v="8.49"/>
    <n v="29.15"/>
    <n v="8.61"/>
    <n v="8"/>
    <n v="104.03"/>
    <n v="0"/>
    <n v="0"/>
    <n v="18.18"/>
    <n v="0"/>
    <n v="0"/>
    <n v="176.46"/>
    <n v="0"/>
  </r>
  <r>
    <x v="12"/>
    <x v="0"/>
    <x v="0"/>
    <s v="6900102"/>
    <n v="730010"/>
    <s v="Rental and Leases-Building (DO NOT USE)"/>
    <s v="Administration"/>
    <x v="0"/>
    <m/>
    <n v="13797.66"/>
    <n v="14949.57"/>
    <n v="14304.76"/>
    <n v="15642.3"/>
    <n v="14973.53"/>
    <n v="-18003.240000000002"/>
    <n v="8878.68"/>
    <n v="8920.31"/>
    <n v="8920.31"/>
    <n v="10699.53"/>
    <n v="10771.32"/>
    <n v="0"/>
    <n v="103854.72999999998"/>
    <n v="10771.32"/>
  </r>
  <r>
    <x v="12"/>
    <x v="0"/>
    <x v="0"/>
    <s v="6900102"/>
    <n v="730010"/>
    <s v="Rental-Common Area Maint (DO NOT USE)"/>
    <s v="Administration"/>
    <x v="0"/>
    <n v="2200"/>
    <n v="0"/>
    <n v="0"/>
    <n v="0"/>
    <n v="0"/>
    <n v="0"/>
    <n v="32256.799999999999"/>
    <n v="5374.88"/>
    <n v="5374.88"/>
    <n v="3829.21"/>
    <n v="6828.44"/>
    <n v="6828.44"/>
    <n v="0"/>
    <n v="60492.65"/>
    <n v="6828.44"/>
  </r>
  <r>
    <x v="12"/>
    <x v="0"/>
    <x v="0"/>
    <s v="6900102"/>
    <n v="730020"/>
    <s v="Rental and Leases-Copier Usage Fees (DO NOT USE)"/>
    <s v="Administration"/>
    <x v="0"/>
    <n v="5100"/>
    <n v="651.70000000000005"/>
    <n v="655.32000000000005"/>
    <n v="653.51"/>
    <n v="653.51"/>
    <n v="653.51"/>
    <n v="653.51"/>
    <n v="-15.82"/>
    <n v="437.56"/>
    <n v="448.02"/>
    <n v="1466.91"/>
    <n v="448.93"/>
    <n v="502.19"/>
    <n v="7208.8499999999995"/>
    <n v="-53.259999999999991"/>
  </r>
  <r>
    <x v="12"/>
    <x v="0"/>
    <x v="0"/>
    <s v="6900102"/>
    <n v="730040"/>
    <s v="LT Lease-Real Estate"/>
    <s v="Administration"/>
    <x v="0"/>
    <m/>
    <n v="0"/>
    <n v="0"/>
    <n v="0"/>
    <n v="0"/>
    <n v="0"/>
    <n v="0"/>
    <n v="0"/>
    <n v="0"/>
    <n v="0"/>
    <n v="0"/>
    <n v="0"/>
    <n v="17602.23"/>
    <n v="17602.23"/>
    <n v="-17602.23"/>
  </r>
  <r>
    <x v="15"/>
    <x v="0"/>
    <x v="0"/>
    <s v="6900102"/>
    <n v="731060"/>
    <s v="Telephone"/>
    <s v="Administration"/>
    <x v="0"/>
    <m/>
    <n v="0"/>
    <n v="0"/>
    <n v="0"/>
    <n v="0"/>
    <n v="0"/>
    <n v="43"/>
    <n v="0"/>
    <n v="4.3"/>
    <n v="0"/>
    <n v="0"/>
    <n v="0"/>
    <n v="0"/>
    <n v="47.3"/>
    <n v="0"/>
  </r>
  <r>
    <x v="15"/>
    <x v="0"/>
    <x v="0"/>
    <s v="6900102"/>
    <n v="731060"/>
    <s v="Pagers"/>
    <s v="Administration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6"/>
    <x v="0"/>
    <x v="0"/>
    <s v="6900102"/>
    <n v="732030"/>
    <s v="Repairs---Other"/>
    <s v="Administration"/>
    <x v="0"/>
    <m/>
    <n v="0"/>
    <n v="0"/>
    <n v="0"/>
    <n v="0"/>
    <n v="0"/>
    <n v="0"/>
    <n v="0"/>
    <n v="1846.38"/>
    <n v="5007.1000000000004"/>
    <n v="13376"/>
    <n v="971.03"/>
    <n v="13376"/>
    <n v="34576.509999999995"/>
    <n v="-12404.97"/>
  </r>
  <r>
    <x v="16"/>
    <x v="0"/>
    <x v="0"/>
    <s v="6900102"/>
    <n v="732030"/>
    <s v="Repairs&amp;Maintenance-Bldg Routine"/>
    <s v="Administration"/>
    <x v="0"/>
    <n v="2300"/>
    <n v="2738.91"/>
    <n v="3249.28"/>
    <n v="3249.28"/>
    <n v="3249.28"/>
    <n v="6214.03"/>
    <n v="2926.9"/>
    <n v="2926.9"/>
    <n v="2978.72"/>
    <n v="2946.77"/>
    <n v="0"/>
    <n v="0"/>
    <n v="0"/>
    <n v="30480.070000000007"/>
    <n v="0"/>
  </r>
  <r>
    <x v="13"/>
    <x v="0"/>
    <x v="0"/>
    <s v="6900102"/>
    <n v="735070"/>
    <s v="Depreciation-Movable Equipment"/>
    <s v="Administration"/>
    <x v="0"/>
    <m/>
    <n v="5.48"/>
    <n v="5.48"/>
    <n v="5.48"/>
    <n v="5.48"/>
    <n v="5.48"/>
    <n v="5.48"/>
    <n v="5.48"/>
    <n v="5.48"/>
    <n v="5.48"/>
    <n v="5.48"/>
    <n v="0"/>
    <n v="0"/>
    <n v="54.800000000000011"/>
    <n v="0"/>
  </r>
  <r>
    <x v="0"/>
    <x v="0"/>
    <x v="0"/>
    <s v="6900102"/>
    <n v="740010"/>
    <s v="Education-Materials"/>
    <s v="Administration"/>
    <x v="0"/>
    <m/>
    <n v="0"/>
    <n v="0"/>
    <n v="0"/>
    <n v="0"/>
    <n v="0"/>
    <n v="0"/>
    <n v="0"/>
    <n v="0"/>
    <n v="0"/>
    <n v="0"/>
    <n v="0"/>
    <n v="155"/>
    <n v="155"/>
    <n v="-155"/>
  </r>
  <r>
    <x v="0"/>
    <x v="0"/>
    <x v="0"/>
    <s v="6900102"/>
    <n v="740020"/>
    <s v="Education-Registration Fees"/>
    <s v="Administration"/>
    <x v="0"/>
    <m/>
    <n v="0"/>
    <n v="0"/>
    <n v="0"/>
    <n v="915"/>
    <n v="0"/>
    <n v="0"/>
    <n v="837.5"/>
    <n v="0"/>
    <n v="0"/>
    <n v="0"/>
    <n v="0"/>
    <n v="0"/>
    <n v="1752.5"/>
    <n v="0"/>
  </r>
  <r>
    <x v="0"/>
    <x v="0"/>
    <x v="0"/>
    <s v="6900102"/>
    <n v="743010"/>
    <s v="Dues--Institutional"/>
    <s v="Administration"/>
    <x v="0"/>
    <m/>
    <n v="5881.58"/>
    <n v="5881.58"/>
    <n v="5881.58"/>
    <n v="7089.38"/>
    <n v="5881.58"/>
    <n v="5881.58"/>
    <n v="0"/>
    <n v="12351.3"/>
    <n v="6175.67"/>
    <n v="6175.67"/>
    <n v="6175.67"/>
    <n v="6175.67"/>
    <n v="73551.259999999995"/>
    <n v="0"/>
  </r>
  <r>
    <x v="0"/>
    <x v="0"/>
    <x v="0"/>
    <s v="6900102"/>
    <n v="743020"/>
    <s v="Dues--Individual"/>
    <s v="Administration"/>
    <x v="0"/>
    <m/>
    <n v="0"/>
    <n v="0"/>
    <n v="0"/>
    <n v="0"/>
    <n v="0"/>
    <n v="0"/>
    <n v="345"/>
    <n v="0"/>
    <n v="225"/>
    <n v="0"/>
    <n v="0"/>
    <n v="0"/>
    <n v="570"/>
    <n v="0"/>
  </r>
  <r>
    <x v="0"/>
    <x v="0"/>
    <x v="0"/>
    <s v="6900102"/>
    <n v="743030"/>
    <s v="Subscriptions--Institutional"/>
    <s v="Administration"/>
    <x v="0"/>
    <m/>
    <n v="0"/>
    <n v="0"/>
    <n v="1149.07"/>
    <n v="0"/>
    <n v="0"/>
    <n v="0"/>
    <n v="224.88"/>
    <n v="0"/>
    <n v="0"/>
    <n v="0"/>
    <n v="0"/>
    <n v="0"/>
    <n v="1373.9499999999998"/>
    <n v="0"/>
  </r>
  <r>
    <x v="0"/>
    <x v="0"/>
    <x v="0"/>
    <s v="6900102"/>
    <n v="743040"/>
    <s v="Subscriptions--Individual"/>
    <s v="Administration"/>
    <x v="0"/>
    <m/>
    <n v="0"/>
    <n v="0"/>
    <n v="0"/>
    <n v="269"/>
    <n v="0"/>
    <n v="0"/>
    <n v="120"/>
    <n v="0"/>
    <n v="0"/>
    <n v="0"/>
    <n v="0"/>
    <n v="0"/>
    <n v="389"/>
    <n v="0"/>
  </r>
  <r>
    <x v="0"/>
    <x v="0"/>
    <x v="0"/>
    <s v="6900102"/>
    <n v="749510"/>
    <s v="Miscellaneous Expenses"/>
    <s v="Administration"/>
    <x v="0"/>
    <m/>
    <n v="10769.42"/>
    <n v="30018.14"/>
    <n v="87646.23"/>
    <n v="4841.88"/>
    <n v="49658.38"/>
    <n v="-9981.18"/>
    <n v="714.05"/>
    <n v="15144.38"/>
    <n v="46253.22"/>
    <n v="32176.11"/>
    <n v="48236.47"/>
    <n v="29986.37"/>
    <n v="345463.47"/>
    <n v="18250.100000000002"/>
  </r>
  <r>
    <x v="0"/>
    <x v="0"/>
    <x v="0"/>
    <s v="6900102"/>
    <n v="749510"/>
    <s v="Licenses"/>
    <s v="Administration"/>
    <x v="0"/>
    <n v="1002"/>
    <n v="0"/>
    <n v="0"/>
    <n v="0"/>
    <n v="17112"/>
    <n v="0"/>
    <n v="0"/>
    <n v="0"/>
    <n v="0"/>
    <n v="700"/>
    <n v="0"/>
    <n v="0"/>
    <n v="0"/>
    <n v="17812"/>
    <n v="0"/>
  </r>
  <r>
    <x v="0"/>
    <x v="0"/>
    <x v="0"/>
    <s v="6900102"/>
    <n v="749510"/>
    <s v="Community Benefit"/>
    <s v="Administration"/>
    <x v="0"/>
    <n v="1027"/>
    <n v="0"/>
    <n v="0"/>
    <n v="0"/>
    <n v="0"/>
    <n v="0"/>
    <n v="0"/>
    <n v="10000"/>
    <n v="0"/>
    <n v="0"/>
    <n v="0"/>
    <n v="0"/>
    <n v="0"/>
    <n v="10000"/>
    <n v="0"/>
  </r>
  <r>
    <x v="0"/>
    <x v="0"/>
    <x v="0"/>
    <s v="6900102"/>
    <n v="749510"/>
    <s v="Special Events"/>
    <s v="Administration"/>
    <x v="0"/>
    <n v="4300"/>
    <n v="0"/>
    <n v="48.75"/>
    <n v="1984.05"/>
    <n v="0"/>
    <n v="0"/>
    <n v="0"/>
    <n v="0"/>
    <n v="0"/>
    <n v="0"/>
    <n v="0"/>
    <n v="0"/>
    <n v="0"/>
    <n v="2032.8"/>
    <n v="0"/>
  </r>
  <r>
    <x v="0"/>
    <x v="0"/>
    <x v="0"/>
    <s v="6900102"/>
    <n v="749530"/>
    <s v="Travel"/>
    <s v="Administration"/>
    <x v="0"/>
    <m/>
    <n v="96.1"/>
    <n v="46.9"/>
    <n v="49.2"/>
    <n v="2490"/>
    <n v="552.13"/>
    <n v="287.83"/>
    <n v="4471.26"/>
    <n v="0"/>
    <n v="3406.2"/>
    <n v="484.72"/>
    <n v="141.03"/>
    <n v="2802.9"/>
    <n v="14828.269999999999"/>
    <n v="-2661.87"/>
  </r>
  <r>
    <x v="0"/>
    <x v="0"/>
    <x v="0"/>
    <s v="6900102"/>
    <n v="749530"/>
    <s v="Mileage"/>
    <s v="Administration"/>
    <x v="0"/>
    <n v="1001"/>
    <n v="0"/>
    <n v="-207.65"/>
    <n v="207.65"/>
    <n v="182.03"/>
    <n v="26.76"/>
    <n v="0"/>
    <n v="0"/>
    <n v="0"/>
    <n v="114.45"/>
    <n v="0"/>
    <n v="0"/>
    <n v="0"/>
    <n v="323.24"/>
    <n v="0"/>
  </r>
  <r>
    <x v="0"/>
    <x v="0"/>
    <x v="0"/>
    <s v="6900102"/>
    <n v="749535"/>
    <s v="Meetings"/>
    <s v="Administration"/>
    <x v="0"/>
    <m/>
    <n v="0"/>
    <n v="8448.94"/>
    <n v="0"/>
    <n v="1645.59"/>
    <n v="0"/>
    <n v="0"/>
    <n v="5359.55"/>
    <n v="0"/>
    <n v="1862.52"/>
    <n v="0"/>
    <n v="0"/>
    <n v="4103.04"/>
    <n v="21419.640000000003"/>
    <n v="-4103.04"/>
  </r>
  <r>
    <x v="20"/>
    <x v="4"/>
    <x v="0"/>
    <s v="6900103"/>
    <n v="610010"/>
    <s v="Foundation Distributions"/>
    <s v="Administration"/>
    <x v="0"/>
    <n v="1175"/>
    <n v="0"/>
    <n v="0"/>
    <n v="-1997.99"/>
    <n v="0"/>
    <n v="0"/>
    <n v="0"/>
    <n v="0"/>
    <n v="0"/>
    <n v="0"/>
    <n v="0"/>
    <n v="0"/>
    <n v="0"/>
    <n v="-1997.99"/>
    <n v="0"/>
  </r>
  <r>
    <x v="5"/>
    <x v="4"/>
    <x v="0"/>
    <s v="6900103"/>
    <n v="700014"/>
    <s v="Salaries-Management-Productive"/>
    <s v="Administration"/>
    <x v="0"/>
    <m/>
    <n v="16642.32"/>
    <n v="5902.32"/>
    <n v="19357.8"/>
    <n v="18295.650000000001"/>
    <n v="17579.82"/>
    <n v="9483.48"/>
    <n v="18020.11"/>
    <n v="17045.759999999998"/>
    <n v="18872.22"/>
    <n v="-608.52"/>
    <n v="0"/>
    <n v="16227.44"/>
    <n v="156818.4"/>
    <n v="-16227.44"/>
  </r>
  <r>
    <x v="5"/>
    <x v="4"/>
    <x v="0"/>
    <s v="6900103"/>
    <n v="700014"/>
    <s v="Salaries-Management-Other"/>
    <s v="Administration"/>
    <x v="0"/>
    <n v="2000"/>
    <n v="0"/>
    <n v="0"/>
    <n v="0"/>
    <n v="0"/>
    <n v="0"/>
    <n v="0"/>
    <n v="0"/>
    <n v="0"/>
    <n v="0"/>
    <n v="0"/>
    <n v="0"/>
    <n v="902.37"/>
    <n v="902.37"/>
    <n v="-902.37"/>
  </r>
  <r>
    <x v="5"/>
    <x v="4"/>
    <x v="0"/>
    <s v="6900103"/>
    <n v="700038"/>
    <s v="Salaries-Service/Support-Productive"/>
    <s v="Administration"/>
    <x v="0"/>
    <m/>
    <n v="5516.13"/>
    <n v="6010.71"/>
    <n v="4691.92"/>
    <n v="6113.08"/>
    <n v="6085.15"/>
    <n v="4516.3100000000004"/>
    <n v="5857.18"/>
    <n v="5086.6499999999996"/>
    <n v="5983.96"/>
    <n v="6266.03"/>
    <n v="6331.11"/>
    <n v="5732.33"/>
    <n v="68190.559999999998"/>
    <n v="598.77999999999975"/>
  </r>
  <r>
    <x v="5"/>
    <x v="4"/>
    <x v="0"/>
    <s v="6900103"/>
    <n v="700038"/>
    <s v="Salaries-Service/Support-OT"/>
    <s v="Administration"/>
    <x v="0"/>
    <n v="1000"/>
    <n v="0"/>
    <n v="0"/>
    <n v="41.51"/>
    <n v="-15.09"/>
    <n v="26.24"/>
    <n v="-12.63"/>
    <n v="81.75"/>
    <n v="27.25"/>
    <n v="0"/>
    <n v="23.34"/>
    <n v="270.55"/>
    <n v="-75.900000000000006"/>
    <n v="367.02"/>
    <n v="346.45000000000005"/>
  </r>
  <r>
    <x v="5"/>
    <x v="4"/>
    <x v="0"/>
    <s v="6900103"/>
    <n v="700054"/>
    <s v="Salaries-Management-Non-productive"/>
    <s v="Administration"/>
    <x v="0"/>
    <m/>
    <n v="1652.5"/>
    <n v="12393.33"/>
    <n v="-1652.08"/>
    <n v="0"/>
    <n v="851.04"/>
    <n v="9361.09"/>
    <n v="853.89"/>
    <n v="0"/>
    <n v="0"/>
    <n v="0"/>
    <n v="0"/>
    <n v="2980.51"/>
    <n v="26440.28"/>
    <n v="-2980.51"/>
  </r>
  <r>
    <x v="5"/>
    <x v="4"/>
    <x v="0"/>
    <s v="6900103"/>
    <n v="700078"/>
    <s v="Salaries-Service/Support-Non-productive"/>
    <s v="Administration"/>
    <x v="0"/>
    <m/>
    <n v="773.56"/>
    <n v="228.32"/>
    <n v="1318.26"/>
    <n v="287.43"/>
    <n v="116.62"/>
    <n v="1918.89"/>
    <n v="525.12"/>
    <n v="585.23"/>
    <n v="484.66"/>
    <n v="-37.619999999999997"/>
    <n v="0"/>
    <n v="546.91999999999996"/>
    <n v="6747.39"/>
    <n v="-546.91999999999996"/>
  </r>
  <r>
    <x v="5"/>
    <x v="4"/>
    <x v="0"/>
    <s v="6900103"/>
    <n v="700084"/>
    <s v="Accrued PTO"/>
    <s v="Administration"/>
    <x v="0"/>
    <m/>
    <n v="704.75"/>
    <n v="725.88"/>
    <n v="-736.1"/>
    <n v="1048.5999999999999"/>
    <n v="820.29"/>
    <n v="11.51"/>
    <n v="394"/>
    <n v="378.72"/>
    <n v="602.61"/>
    <n v="921.63"/>
    <n v="978.76"/>
    <n v="907.29"/>
    <n v="6757.9400000000005"/>
    <n v="71.470000000000027"/>
  </r>
  <r>
    <x v="6"/>
    <x v="4"/>
    <x v="0"/>
    <s v="6900103"/>
    <n v="713010"/>
    <s v="Benefits-FICA/Medicare"/>
    <s v="Administration"/>
    <x v="0"/>
    <m/>
    <n v="1789.27"/>
    <n v="592.47"/>
    <n v="675.63"/>
    <n v="708.21"/>
    <n v="702.49"/>
    <n v="1460.56"/>
    <n v="1852.2"/>
    <n v="1662.35"/>
    <n v="1852.6"/>
    <n v="406.9"/>
    <n v="467.07"/>
    <n v="2105.21"/>
    <n v="14274.96"/>
    <n v="-1638.14"/>
  </r>
  <r>
    <x v="6"/>
    <x v="4"/>
    <x v="0"/>
    <s v="6900103"/>
    <n v="713090"/>
    <s v="Benefits-Allocated Amounts"/>
    <s v="Administration"/>
    <x v="0"/>
    <m/>
    <n v="3196.76"/>
    <n v="2806.38"/>
    <n v="2911.17"/>
    <n v="2956.27"/>
    <n v="3015.88"/>
    <n v="3027.54"/>
    <n v="3201.03"/>
    <n v="3070.04"/>
    <n v="3067.97"/>
    <n v="1478.03"/>
    <n v="1442.49"/>
    <n v="3349.36"/>
    <n v="33522.920000000006"/>
    <n v="-1906.8700000000001"/>
  </r>
  <r>
    <x v="6"/>
    <x v="4"/>
    <x v="0"/>
    <s v="6900103"/>
    <n v="713096"/>
    <s v="Employee Recognition"/>
    <s v="Administration"/>
    <x v="0"/>
    <n v="1017"/>
    <n v="0"/>
    <n v="792.22"/>
    <n v="0"/>
    <n v="0"/>
    <n v="0"/>
    <n v="0"/>
    <n v="0"/>
    <n v="0"/>
    <n v="0"/>
    <n v="0"/>
    <n v="0"/>
    <n v="104.95"/>
    <n v="897.17000000000007"/>
    <n v="-104.95"/>
  </r>
  <r>
    <x v="7"/>
    <x v="4"/>
    <x v="0"/>
    <s v="6900103"/>
    <n v="718050"/>
    <s v="Contract Svcs-Other"/>
    <s v="Administration"/>
    <x v="0"/>
    <m/>
    <n v="3266.23"/>
    <n v="3350.76"/>
    <n v="2764.88"/>
    <n v="3044.13"/>
    <n v="2765"/>
    <n v="2764.88"/>
    <n v="2764.88"/>
    <n v="0"/>
    <n v="5529.76"/>
    <n v="2765"/>
    <n v="2821.92"/>
    <n v="5310.52"/>
    <n v="37147.960000000006"/>
    <n v="-2488.6000000000004"/>
  </r>
  <r>
    <x v="7"/>
    <x v="4"/>
    <x v="0"/>
    <s v="6900103"/>
    <n v="718050"/>
    <s v="Document Shredding/Storage"/>
    <s v="Administration"/>
    <x v="0"/>
    <n v="1012"/>
    <n v="12.18"/>
    <n v="12.36"/>
    <n v="11.96"/>
    <n v="12.1"/>
    <n v="12.5"/>
    <n v="12.5"/>
    <n v="12.37"/>
    <n v="10.63"/>
    <n v="11"/>
    <n v="14.4"/>
    <n v="12.1"/>
    <n v="12.5"/>
    <n v="146.6"/>
    <n v="-0.40000000000000036"/>
  </r>
  <r>
    <x v="7"/>
    <x v="4"/>
    <x v="0"/>
    <s v="6900103"/>
    <n v="718050"/>
    <s v="Miscellaneous Purchased Svcs"/>
    <s v="Administration"/>
    <x v="0"/>
    <n v="1020"/>
    <n v="0"/>
    <n v="0"/>
    <n v="0"/>
    <n v="35694.94"/>
    <n v="20000"/>
    <n v="6714"/>
    <n v="8904.66"/>
    <n v="8904.67"/>
    <n v="8904.67"/>
    <n v="8905.66"/>
    <n v="8904.67"/>
    <n v="8904.67"/>
    <n v="115837.94"/>
    <n v="0"/>
  </r>
  <r>
    <x v="7"/>
    <x v="4"/>
    <x v="0"/>
    <s v="6900103"/>
    <n v="718091"/>
    <s v="Contract Services-Intracompany Allocation"/>
    <s v="Administration"/>
    <x v="0"/>
    <m/>
    <n v="11000"/>
    <n v="11000"/>
    <n v="11000"/>
    <n v="11000"/>
    <n v="11000"/>
    <n v="11000"/>
    <n v="11000"/>
    <n v="11000"/>
    <n v="11000"/>
    <n v="11000"/>
    <n v="11000"/>
    <n v="11000"/>
    <n v="132000"/>
    <n v="0"/>
  </r>
  <r>
    <x v="11"/>
    <x v="4"/>
    <x v="0"/>
    <s v="6900103"/>
    <n v="721010"/>
    <s v="Supplies-Medical - Billable"/>
    <s v="Administration"/>
    <x v="0"/>
    <m/>
    <n v="0"/>
    <n v="0"/>
    <n v="26.8"/>
    <n v="83.75"/>
    <n v="0"/>
    <n v="0"/>
    <n v="0"/>
    <n v="0"/>
    <n v="0"/>
    <n v="0"/>
    <n v="0"/>
    <n v="0"/>
    <n v="110.55"/>
    <n v="0"/>
  </r>
  <r>
    <x v="11"/>
    <x v="4"/>
    <x v="0"/>
    <s v="6900103"/>
    <n v="721410"/>
    <s v="Supplies-Medical - Nonbillable"/>
    <s v="Administration"/>
    <x v="0"/>
    <m/>
    <n v="469.09"/>
    <n v="0"/>
    <n v="866.29"/>
    <n v="33.659999999999997"/>
    <n v="0"/>
    <n v="4.04"/>
    <n v="0"/>
    <n v="0"/>
    <n v="0"/>
    <n v="0"/>
    <n v="31.56"/>
    <n v="237.29"/>
    <n v="1641.9299999999998"/>
    <n v="-205.73"/>
  </r>
  <r>
    <x v="11"/>
    <x v="4"/>
    <x v="0"/>
    <s v="6900103"/>
    <n v="721810"/>
    <s v="Supplies-Dietary/Cafeteria"/>
    <s v="Administration"/>
    <x v="0"/>
    <m/>
    <n v="6110.16"/>
    <n v="7015.93"/>
    <n v="6505.2"/>
    <n v="6649.22"/>
    <n v="8120.23"/>
    <n v="6094.71"/>
    <n v="7056.96"/>
    <n v="5300.88"/>
    <n v="0"/>
    <n v="12955.09"/>
    <n v="8096.32"/>
    <n v="22176.400000000001"/>
    <n v="96081.1"/>
    <n v="-14080.080000000002"/>
  </r>
  <r>
    <x v="11"/>
    <x v="4"/>
    <x v="0"/>
    <s v="6900103"/>
    <n v="721830"/>
    <s v="Supplies-Office"/>
    <s v="Administration"/>
    <x v="0"/>
    <m/>
    <n v="84.68"/>
    <n v="150.07"/>
    <n v="447.03"/>
    <n v="344.4"/>
    <n v="154.53"/>
    <n v="162.77000000000001"/>
    <n v="319.72000000000003"/>
    <n v="215.2"/>
    <n v="319.02"/>
    <n v="925.34"/>
    <n v="0"/>
    <n v="236.03"/>
    <n v="3358.7900000000004"/>
    <n v="-236.03"/>
  </r>
  <r>
    <x v="11"/>
    <x v="4"/>
    <x v="0"/>
    <s v="6900103"/>
    <n v="721835"/>
    <s v="Supplies-Forms"/>
    <s v="Administration"/>
    <x v="0"/>
    <m/>
    <n v="0"/>
    <n v="0"/>
    <n v="0"/>
    <n v="0"/>
    <n v="60"/>
    <n v="0"/>
    <n v="0"/>
    <n v="0"/>
    <n v="0"/>
    <n v="12"/>
    <n v="22.09"/>
    <n v="5.99"/>
    <n v="100.08"/>
    <n v="16.100000000000001"/>
  </r>
  <r>
    <x v="11"/>
    <x v="4"/>
    <x v="0"/>
    <s v="6900103"/>
    <n v="721870"/>
    <s v="Supplies-Environmental Services"/>
    <s v="Administration"/>
    <x v="0"/>
    <m/>
    <n v="51"/>
    <n v="0"/>
    <n v="3.44"/>
    <n v="0"/>
    <n v="0"/>
    <n v="0"/>
    <n v="0"/>
    <n v="0"/>
    <n v="0"/>
    <n v="0"/>
    <n v="0"/>
    <n v="14.41"/>
    <n v="68.849999999999994"/>
    <n v="-14.41"/>
  </r>
  <r>
    <x v="11"/>
    <x v="4"/>
    <x v="0"/>
    <s v="6900103"/>
    <n v="721980"/>
    <s v="Supplies-Other"/>
    <s v="Administration"/>
    <x v="0"/>
    <m/>
    <n v="0"/>
    <n v="0"/>
    <n v="0"/>
    <n v="1362.76"/>
    <n v="51.41"/>
    <n v="0"/>
    <n v="0"/>
    <n v="0"/>
    <n v="0"/>
    <n v="0"/>
    <n v="94.32"/>
    <n v="0"/>
    <n v="1508.49"/>
    <n v="94.32"/>
  </r>
  <r>
    <x v="11"/>
    <x v="4"/>
    <x v="0"/>
    <s v="6900103"/>
    <n v="722000"/>
    <s v="Supplies-Freight Expense"/>
    <s v="Administration"/>
    <x v="0"/>
    <m/>
    <n v="0"/>
    <n v="0"/>
    <n v="0"/>
    <n v="0"/>
    <n v="0"/>
    <n v="0"/>
    <n v="0"/>
    <n v="0"/>
    <n v="0"/>
    <n v="0"/>
    <n v="2.37"/>
    <n v="0"/>
    <n v="2.37"/>
    <n v="2.37"/>
  </r>
  <r>
    <x v="12"/>
    <x v="4"/>
    <x v="0"/>
    <s v="6900103"/>
    <n v="730010"/>
    <s v="Rental and Leases-Building (DO NOT USE)"/>
    <s v="Administration"/>
    <x v="0"/>
    <m/>
    <n v="14283.17"/>
    <n v="14283.17"/>
    <n v="14283.17"/>
    <n v="14283.17"/>
    <n v="14283.17"/>
    <n v="-23962.95"/>
    <n v="7910.68"/>
    <n v="7910.68"/>
    <n v="7910.68"/>
    <n v="8044.65"/>
    <n v="8108.45"/>
    <n v="0"/>
    <n v="87338.04"/>
    <n v="8108.45"/>
  </r>
  <r>
    <x v="12"/>
    <x v="4"/>
    <x v="0"/>
    <s v="6900103"/>
    <n v="730010"/>
    <s v="Rental-Common Area Maint (DO NOT USE)"/>
    <s v="Administration"/>
    <x v="0"/>
    <n v="2200"/>
    <n v="0"/>
    <n v="0"/>
    <n v="0"/>
    <n v="0"/>
    <n v="0"/>
    <n v="38394.769999999997"/>
    <n v="6521.14"/>
    <n v="6521.14"/>
    <n v="-150.09"/>
    <n v="6521.14"/>
    <n v="6521.14"/>
    <n v="0"/>
    <n v="64329.24"/>
    <n v="6521.14"/>
  </r>
  <r>
    <x v="12"/>
    <x v="4"/>
    <x v="0"/>
    <s v="6900103"/>
    <n v="730020"/>
    <s v="Rental and Leases-Copier Usage Fees (DO NOT USE)"/>
    <s v="Administration"/>
    <x v="0"/>
    <n v="5100"/>
    <n v="550.87"/>
    <n v="549.42999999999995"/>
    <n v="550.15"/>
    <n v="550.15"/>
    <n v="550.14"/>
    <n v="550.14"/>
    <n v="1.1599999999999999"/>
    <n v="203.07"/>
    <n v="202.64"/>
    <n v="683.48"/>
    <n v="203.07"/>
    <n v="284.01"/>
    <n v="4878.3099999999995"/>
    <n v="-80.94"/>
  </r>
  <r>
    <x v="12"/>
    <x v="4"/>
    <x v="0"/>
    <s v="6900103"/>
    <n v="730040"/>
    <s v="LT Lease-Real Estate"/>
    <s v="Administration"/>
    <x v="0"/>
    <m/>
    <n v="0"/>
    <n v="0"/>
    <n v="0"/>
    <n v="0"/>
    <n v="0"/>
    <n v="0"/>
    <n v="0"/>
    <n v="0"/>
    <n v="0"/>
    <n v="0"/>
    <n v="0"/>
    <n v="14629.59"/>
    <n v="14629.59"/>
    <n v="-14629.59"/>
  </r>
  <r>
    <x v="15"/>
    <x v="4"/>
    <x v="0"/>
    <s v="6900103"/>
    <n v="731060"/>
    <s v="Telephone"/>
    <s v="Administration"/>
    <x v="0"/>
    <m/>
    <n v="0"/>
    <n v="0"/>
    <n v="0"/>
    <n v="0"/>
    <n v="0"/>
    <n v="0"/>
    <n v="0"/>
    <n v="0"/>
    <n v="0"/>
    <n v="0"/>
    <n v="0"/>
    <n v="336.21"/>
    <n v="336.21"/>
    <n v="-336.21"/>
  </r>
  <r>
    <x v="16"/>
    <x v="4"/>
    <x v="0"/>
    <s v="6900103"/>
    <n v="732030"/>
    <s v="Repairs&amp;Maintenance-Bldg Routine"/>
    <s v="Administration"/>
    <x v="0"/>
    <n v="2300"/>
    <n v="11.18"/>
    <n v="0"/>
    <n v="0"/>
    <n v="0"/>
    <n v="0"/>
    <n v="0"/>
    <n v="0"/>
    <n v="0"/>
    <n v="0"/>
    <n v="0"/>
    <n v="0"/>
    <n v="0"/>
    <n v="11.18"/>
    <n v="0"/>
  </r>
  <r>
    <x v="13"/>
    <x v="4"/>
    <x v="0"/>
    <s v="6900103"/>
    <n v="735070"/>
    <s v="Depreciation-Movable Equipment"/>
    <s v="Administration"/>
    <x v="0"/>
    <m/>
    <n v="1284.3900000000001"/>
    <n v="1284.3900000000001"/>
    <n v="1284.4100000000001"/>
    <n v="1284.3900000000001"/>
    <n v="1284.43"/>
    <n v="1284.3900000000001"/>
    <n v="1284.43"/>
    <n v="1284.3599999999999"/>
    <n v="1284.44"/>
    <n v="1284.3599999999999"/>
    <n v="1284.44"/>
    <n v="1284.3599999999999"/>
    <n v="15412.790000000005"/>
    <n v="8.0000000000154614E-2"/>
  </r>
  <r>
    <x v="0"/>
    <x v="4"/>
    <x v="0"/>
    <s v="6900103"/>
    <n v="740020"/>
    <s v="Education-Registration Fees"/>
    <s v="Administration"/>
    <x v="0"/>
    <m/>
    <n v="0"/>
    <n v="0"/>
    <n v="0"/>
    <n v="449"/>
    <n v="0"/>
    <n v="0"/>
    <n v="0"/>
    <n v="0"/>
    <n v="0"/>
    <n v="0"/>
    <n v="0"/>
    <n v="-375"/>
    <n v="74"/>
    <n v="375"/>
  </r>
  <r>
    <x v="0"/>
    <x v="4"/>
    <x v="0"/>
    <s v="6900103"/>
    <n v="743010"/>
    <s v="Dues--Institutional"/>
    <s v="Administration"/>
    <x v="0"/>
    <m/>
    <n v="4194.67"/>
    <n v="4194.67"/>
    <n v="4194.67"/>
    <n v="4194.67"/>
    <n v="4194.67"/>
    <n v="4194.67"/>
    <n v="0"/>
    <n v="8808.7999999999993"/>
    <n v="4404.42"/>
    <n v="4404.42"/>
    <n v="4404.42"/>
    <n v="4404.42"/>
    <n v="51594.499999999985"/>
    <n v="0"/>
  </r>
  <r>
    <x v="0"/>
    <x v="4"/>
    <x v="0"/>
    <s v="6900103"/>
    <n v="743020"/>
    <s v="Dues--Individual"/>
    <s v="Administration"/>
    <x v="0"/>
    <m/>
    <n v="0"/>
    <n v="122.5"/>
    <n v="0"/>
    <n v="0"/>
    <n v="0"/>
    <n v="345"/>
    <n v="0"/>
    <n v="0"/>
    <n v="0"/>
    <n v="0"/>
    <n v="0"/>
    <n v="0"/>
    <n v="467.5"/>
    <n v="0"/>
  </r>
  <r>
    <x v="0"/>
    <x v="4"/>
    <x v="0"/>
    <s v="6900103"/>
    <n v="743030"/>
    <s v="Subscriptions--Institutional"/>
    <s v="Administration"/>
    <x v="0"/>
    <m/>
    <n v="0"/>
    <n v="0"/>
    <n v="0"/>
    <n v="0"/>
    <n v="0"/>
    <n v="601.62"/>
    <n v="0"/>
    <n v="0"/>
    <n v="0"/>
    <n v="0"/>
    <n v="0"/>
    <n v="0"/>
    <n v="601.62"/>
    <n v="0"/>
  </r>
  <r>
    <x v="0"/>
    <x v="4"/>
    <x v="0"/>
    <s v="6900103"/>
    <n v="749510"/>
    <s v="Miscellaneous Expenses"/>
    <s v="Administration"/>
    <x v="0"/>
    <m/>
    <n v="1179.46"/>
    <n v="1199.81"/>
    <n v="3907.09"/>
    <n v="1040.21"/>
    <n v="939.6"/>
    <n v="2234.56"/>
    <n v="4945.1899999999996"/>
    <n v="-1418.41"/>
    <n v="417.65"/>
    <n v="4967.62"/>
    <n v="1224.5899999999999"/>
    <n v="884.61"/>
    <n v="21521.98"/>
    <n v="339.9799999999999"/>
  </r>
  <r>
    <x v="0"/>
    <x v="4"/>
    <x v="0"/>
    <s v="6900103"/>
    <n v="749510"/>
    <s v="Licenses"/>
    <s v="Administration"/>
    <x v="0"/>
    <n v="1002"/>
    <n v="0"/>
    <n v="0"/>
    <n v="0"/>
    <n v="14628"/>
    <n v="0"/>
    <n v="0"/>
    <n v="0"/>
    <n v="0"/>
    <n v="0"/>
    <n v="0"/>
    <n v="0"/>
    <n v="0"/>
    <n v="14628"/>
    <n v="0"/>
  </r>
  <r>
    <x v="0"/>
    <x v="4"/>
    <x v="0"/>
    <s v="6900103"/>
    <n v="749510"/>
    <s v="Miscellaneous Expense"/>
    <s v="Administration"/>
    <x v="0"/>
    <n v="1009"/>
    <n v="0"/>
    <n v="0"/>
    <n v="50"/>
    <n v="0"/>
    <n v="0"/>
    <n v="0"/>
    <n v="0"/>
    <n v="0"/>
    <n v="120.18"/>
    <n v="0"/>
    <n v="0"/>
    <n v="0"/>
    <n v="170.18"/>
    <n v="0"/>
  </r>
  <r>
    <x v="0"/>
    <x v="4"/>
    <x v="0"/>
    <s v="6900103"/>
    <n v="749510"/>
    <s v="Miscellaneous Employee Expense"/>
    <s v="Administration"/>
    <x v="0"/>
    <n v="1010"/>
    <n v="0"/>
    <n v="0"/>
    <n v="0"/>
    <n v="0"/>
    <n v="109.88"/>
    <n v="350"/>
    <n v="0"/>
    <n v="0"/>
    <n v="0"/>
    <n v="0"/>
    <n v="0"/>
    <n v="152.66999999999999"/>
    <n v="612.54999999999995"/>
    <n v="-152.66999999999999"/>
  </r>
  <r>
    <x v="0"/>
    <x v="4"/>
    <x v="0"/>
    <s v="6900103"/>
    <n v="749510"/>
    <s v="Fundraising"/>
    <s v="Administration"/>
    <x v="0"/>
    <n v="1020"/>
    <n v="0"/>
    <n v="0"/>
    <n v="0"/>
    <n v="0"/>
    <n v="0"/>
    <n v="0"/>
    <n v="0"/>
    <n v="0"/>
    <n v="52.5"/>
    <n v="0"/>
    <n v="0"/>
    <n v="0"/>
    <n v="52.5"/>
    <n v="0"/>
  </r>
  <r>
    <x v="0"/>
    <x v="4"/>
    <x v="0"/>
    <s v="6900103"/>
    <n v="749510"/>
    <s v="Community Benefit"/>
    <s v="Administration"/>
    <x v="0"/>
    <n v="1027"/>
    <n v="0"/>
    <n v="0"/>
    <n v="0"/>
    <n v="0"/>
    <n v="0"/>
    <n v="0"/>
    <n v="10000"/>
    <n v="0"/>
    <n v="0"/>
    <n v="0"/>
    <n v="0"/>
    <n v="0"/>
    <n v="10000"/>
    <n v="0"/>
  </r>
  <r>
    <x v="0"/>
    <x v="4"/>
    <x v="0"/>
    <s v="6900103"/>
    <n v="749510"/>
    <s v="Marketing-General"/>
    <s v="Administration"/>
    <x v="0"/>
    <n v="5110"/>
    <n v="0"/>
    <n v="0"/>
    <n v="0"/>
    <n v="0"/>
    <n v="0"/>
    <n v="5100.74"/>
    <n v="61.25"/>
    <n v="0"/>
    <n v="0"/>
    <n v="0"/>
    <n v="0"/>
    <n v="0"/>
    <n v="5161.99"/>
    <n v="0"/>
  </r>
  <r>
    <x v="0"/>
    <x v="4"/>
    <x v="0"/>
    <s v="6900103"/>
    <n v="749530"/>
    <s v="Travel"/>
    <s v="Administration"/>
    <x v="0"/>
    <m/>
    <n v="0"/>
    <n v="0"/>
    <n v="250"/>
    <n v="481.99"/>
    <n v="0"/>
    <n v="0"/>
    <n v="1008.22"/>
    <n v="0"/>
    <n v="111.65"/>
    <n v="0"/>
    <n v="0"/>
    <n v="16"/>
    <n v="1867.8600000000001"/>
    <n v="-16"/>
  </r>
  <r>
    <x v="0"/>
    <x v="4"/>
    <x v="0"/>
    <s v="6900103"/>
    <n v="749530"/>
    <s v="Mileage"/>
    <s v="Administration"/>
    <x v="0"/>
    <n v="1001"/>
    <n v="0"/>
    <n v="0"/>
    <n v="0"/>
    <n v="0"/>
    <n v="0"/>
    <n v="0"/>
    <n v="0"/>
    <n v="0"/>
    <n v="0"/>
    <n v="0"/>
    <n v="0"/>
    <n v="69.599999999999994"/>
    <n v="69.599999999999994"/>
    <n v="-69.599999999999994"/>
  </r>
  <r>
    <x v="0"/>
    <x v="4"/>
    <x v="0"/>
    <s v="6900103"/>
    <n v="749535"/>
    <s v="Meetings"/>
    <s v="Administration"/>
    <x v="0"/>
    <m/>
    <n v="0"/>
    <n v="281"/>
    <n v="0"/>
    <n v="0"/>
    <n v="0"/>
    <n v="0"/>
    <n v="390"/>
    <n v="0"/>
    <n v="0"/>
    <n v="0"/>
    <n v="0"/>
    <n v="0"/>
    <n v="671"/>
    <n v="0"/>
  </r>
  <r>
    <x v="0"/>
    <x v="4"/>
    <x v="0"/>
    <s v="6900103"/>
    <n v="749535"/>
    <s v="Employee Functions"/>
    <s v="Administration"/>
    <x v="0"/>
    <n v="1004"/>
    <n v="0"/>
    <n v="0"/>
    <n v="0"/>
    <n v="0"/>
    <n v="0"/>
    <n v="136.19999999999999"/>
    <n v="0"/>
    <n v="0"/>
    <n v="0"/>
    <n v="0"/>
    <n v="0"/>
    <n v="0"/>
    <n v="136.19999999999999"/>
    <n v="0"/>
  </r>
  <r>
    <x v="20"/>
    <x v="8"/>
    <x v="0"/>
    <s v="6900104"/>
    <n v="610010"/>
    <s v="Foundation Distributions"/>
    <s v="Administration"/>
    <x v="0"/>
    <n v="1175"/>
    <n v="0"/>
    <n v="-61.83"/>
    <n v="0"/>
    <n v="0"/>
    <n v="0"/>
    <n v="0"/>
    <n v="0"/>
    <n v="0"/>
    <n v="0"/>
    <n v="0"/>
    <n v="0"/>
    <n v="0"/>
    <n v="-61.83"/>
    <n v="0"/>
  </r>
  <r>
    <x v="5"/>
    <x v="8"/>
    <x v="0"/>
    <s v="6900104"/>
    <n v="700014"/>
    <s v="Salaries-Management-Productive"/>
    <s v="Administration"/>
    <x v="0"/>
    <m/>
    <n v="28749.95"/>
    <n v="23122.880000000001"/>
    <n v="24702.66"/>
    <n v="31976.11"/>
    <n v="32558.07"/>
    <n v="19225.75"/>
    <n v="28991.01"/>
    <n v="27525.89"/>
    <n v="28580.720000000001"/>
    <n v="21234.52"/>
    <n v="37731.25"/>
    <n v="25323.1"/>
    <n v="329721.90999999997"/>
    <n v="12408.150000000001"/>
  </r>
  <r>
    <x v="5"/>
    <x v="8"/>
    <x v="0"/>
    <s v="6900104"/>
    <n v="700014"/>
    <s v="Salaries-Management-Other"/>
    <s v="Administration"/>
    <x v="0"/>
    <n v="2000"/>
    <n v="0"/>
    <n v="0"/>
    <n v="0"/>
    <n v="0"/>
    <n v="0"/>
    <n v="2124.5300000000002"/>
    <n v="1499.19"/>
    <n v="1353.98"/>
    <n v="1499.06"/>
    <n v="1450.65"/>
    <n v="1499.06"/>
    <n v="3484.94"/>
    <n v="12911.41"/>
    <n v="-1985.88"/>
  </r>
  <r>
    <x v="5"/>
    <x v="8"/>
    <x v="0"/>
    <s v="6900104"/>
    <n v="700026"/>
    <s v="Salaries-RN-Productive"/>
    <s v="Administration"/>
    <x v="0"/>
    <m/>
    <n v="0"/>
    <n v="0"/>
    <n v="0"/>
    <n v="50.94"/>
    <n v="0"/>
    <n v="0"/>
    <n v="0"/>
    <n v="35.03"/>
    <n v="0"/>
    <n v="0"/>
    <n v="0"/>
    <n v="0"/>
    <n v="85.97"/>
    <n v="0"/>
  </r>
  <r>
    <x v="5"/>
    <x v="8"/>
    <x v="0"/>
    <s v="6900104"/>
    <n v="700026"/>
    <s v="Salaries-RN-Other"/>
    <s v="Administration"/>
    <x v="0"/>
    <n v="2000"/>
    <n v="0"/>
    <n v="0"/>
    <n v="0"/>
    <n v="1.5"/>
    <n v="0"/>
    <n v="0"/>
    <n v="0"/>
    <n v="1"/>
    <n v="0"/>
    <n v="0"/>
    <n v="0"/>
    <n v="0"/>
    <n v="2.5"/>
    <n v="0"/>
  </r>
  <r>
    <x v="5"/>
    <x v="8"/>
    <x v="0"/>
    <s v="6900104"/>
    <n v="700038"/>
    <s v="Salaries-Service/Support-Productive"/>
    <s v="Administration"/>
    <x v="0"/>
    <m/>
    <n v="4992.16"/>
    <n v="2445.5100000000002"/>
    <n v="4002.51"/>
    <n v="5978.95"/>
    <n v="4777.91"/>
    <n v="3301.96"/>
    <n v="5412.58"/>
    <n v="4706.04"/>
    <n v="6200.14"/>
    <n v="5572.69"/>
    <n v="5548.56"/>
    <n v="5303.04"/>
    <n v="58242.05"/>
    <n v="245.52000000000044"/>
  </r>
  <r>
    <x v="5"/>
    <x v="8"/>
    <x v="0"/>
    <s v="6900104"/>
    <n v="700038"/>
    <s v="Salaries-Service/Support-OT"/>
    <s v="Administration"/>
    <x v="0"/>
    <n v="1000"/>
    <n v="0"/>
    <n v="24.57"/>
    <n v="38.6"/>
    <n v="31.5"/>
    <n v="-7.28"/>
    <n v="0"/>
    <n v="0"/>
    <n v="0"/>
    <n v="0"/>
    <n v="0"/>
    <n v="395.7"/>
    <n v="0"/>
    <n v="483.09"/>
    <n v="395.7"/>
  </r>
  <r>
    <x v="5"/>
    <x v="8"/>
    <x v="0"/>
    <s v="6900104"/>
    <n v="700054"/>
    <s v="Salaries-Management-Non-productive"/>
    <s v="Administration"/>
    <x v="0"/>
    <m/>
    <n v="2854.73"/>
    <n v="8483.24"/>
    <n v="5884.33"/>
    <n v="0"/>
    <n v="0"/>
    <n v="13420.09"/>
    <n v="3705.83"/>
    <n v="2003.71"/>
    <n v="4113.0200000000004"/>
    <n v="10403.56"/>
    <n v="-5037.49"/>
    <n v="6308.73"/>
    <n v="52139.75"/>
    <n v="-11346.22"/>
  </r>
  <r>
    <x v="5"/>
    <x v="8"/>
    <x v="0"/>
    <s v="6900104"/>
    <n v="700078"/>
    <s v="Salaries-Service/Support-Non-productive"/>
    <s v="Administration"/>
    <x v="0"/>
    <m/>
    <n v="810.81"/>
    <n v="3357.73"/>
    <n v="1613.6"/>
    <n v="0"/>
    <n v="1048.79"/>
    <n v="2719.16"/>
    <n v="651.99"/>
    <n v="740.32"/>
    <n v="-170.16"/>
    <n v="262.57"/>
    <n v="481.39"/>
    <n v="532.51"/>
    <n v="12048.71"/>
    <n v="-51.120000000000005"/>
  </r>
  <r>
    <x v="5"/>
    <x v="8"/>
    <x v="0"/>
    <s v="6900104"/>
    <n v="700084"/>
    <s v="Accrued PTO"/>
    <s v="Administration"/>
    <x v="0"/>
    <m/>
    <n v="568.97"/>
    <n v="-1234.71"/>
    <n v="1526.04"/>
    <n v="2868.79"/>
    <n v="1611.36"/>
    <n v="-4995.63"/>
    <n v="163.44"/>
    <n v="1011.98"/>
    <n v="1008.44"/>
    <n v="-1435.33"/>
    <n v="1878.85"/>
    <n v="1842.62"/>
    <n v="4814.82"/>
    <n v="36.230000000000018"/>
  </r>
  <r>
    <x v="10"/>
    <x v="8"/>
    <x v="0"/>
    <s v="6900104"/>
    <n v="710060"/>
    <s v="Contract Labor-Other"/>
    <s v="Administration"/>
    <x v="0"/>
    <m/>
    <n v="0"/>
    <n v="0"/>
    <n v="3545.6"/>
    <n v="981.13"/>
    <n v="0"/>
    <n v="0"/>
    <n v="0"/>
    <n v="0"/>
    <n v="0"/>
    <n v="0"/>
    <n v="0"/>
    <n v="0"/>
    <n v="4526.7299999999996"/>
    <n v="0"/>
  </r>
  <r>
    <x v="6"/>
    <x v="8"/>
    <x v="0"/>
    <s v="6900104"/>
    <n v="713010"/>
    <s v="Benefits-FICA/Medicare"/>
    <s v="Administration"/>
    <x v="0"/>
    <m/>
    <n v="1977.63"/>
    <n v="1627.89"/>
    <n v="1576.51"/>
    <n v="1674.08"/>
    <n v="880.86"/>
    <n v="2013.25"/>
    <n v="3025.03"/>
    <n v="2732.61"/>
    <n v="3022.41"/>
    <n v="2924.85"/>
    <n v="3052.63"/>
    <n v="2753.44"/>
    <n v="27261.190000000002"/>
    <n v="299.19000000000005"/>
  </r>
  <r>
    <x v="6"/>
    <x v="8"/>
    <x v="0"/>
    <s v="6900104"/>
    <n v="713090"/>
    <s v="Benefits-Allocated Amounts"/>
    <s v="Administration"/>
    <x v="0"/>
    <m/>
    <n v="4724.79"/>
    <n v="4221.32"/>
    <n v="4441.76"/>
    <n v="4693.32"/>
    <n v="4670.49"/>
    <n v="4416.09"/>
    <n v="4765.51"/>
    <n v="4766.0200000000004"/>
    <n v="4969.1899999999996"/>
    <n v="4981.21"/>
    <n v="5096.72"/>
    <n v="5126.34"/>
    <n v="56872.760000000009"/>
    <n v="-29.619999999999891"/>
  </r>
  <r>
    <x v="6"/>
    <x v="8"/>
    <x v="0"/>
    <s v="6900104"/>
    <n v="713096"/>
    <s v="Employee Recognition"/>
    <s v="Administration"/>
    <x v="0"/>
    <n v="1017"/>
    <n v="189.1"/>
    <n v="123.15"/>
    <n v="0"/>
    <n v="2000.22"/>
    <n v="0"/>
    <n v="0"/>
    <n v="0"/>
    <n v="300"/>
    <n v="0"/>
    <n v="177.1"/>
    <n v="0"/>
    <n v="240"/>
    <n v="3029.57"/>
    <n v="-240"/>
  </r>
  <r>
    <x v="7"/>
    <x v="8"/>
    <x v="0"/>
    <s v="6900104"/>
    <n v="718050"/>
    <s v="Contract Svcs-Other"/>
    <s v="Administration"/>
    <x v="0"/>
    <m/>
    <n v="466.68"/>
    <n v="4735.32"/>
    <n v="2150.46"/>
    <n v="2367.66"/>
    <n v="0"/>
    <n v="2150.46"/>
    <n v="8784.01"/>
    <n v="0"/>
    <n v="4300.92"/>
    <n v="0"/>
    <n v="4322.42"/>
    <n v="6863.92"/>
    <n v="36141.849999999991"/>
    <n v="-2541.5"/>
  </r>
  <r>
    <x v="7"/>
    <x v="8"/>
    <x v="0"/>
    <s v="6900104"/>
    <n v="718050"/>
    <s v="Miscellaneous Purchased Svcs"/>
    <s v="Administration"/>
    <x v="0"/>
    <n v="1020"/>
    <n v="383.4"/>
    <n v="2018.9"/>
    <n v="0"/>
    <n v="39700.629999999997"/>
    <n v="16850.400000000001"/>
    <n v="5902.7"/>
    <n v="8449.1"/>
    <n v="8955.66"/>
    <n v="7690.34"/>
    <n v="7691.33"/>
    <n v="15914.68"/>
    <n v="9731.34"/>
    <n v="123288.48000000001"/>
    <n v="6183.34"/>
  </r>
  <r>
    <x v="7"/>
    <x v="8"/>
    <x v="0"/>
    <s v="6900104"/>
    <n v="718091"/>
    <s v="Contract Services-Intracompany Allocation"/>
    <s v="Administration"/>
    <x v="0"/>
    <m/>
    <n v="14000"/>
    <n v="14000"/>
    <n v="14000"/>
    <n v="14000"/>
    <n v="14000"/>
    <n v="14000"/>
    <n v="14000"/>
    <n v="14000"/>
    <n v="14000"/>
    <n v="14000"/>
    <n v="14000"/>
    <n v="14000"/>
    <n v="168000"/>
    <n v="0"/>
  </r>
  <r>
    <x v="11"/>
    <x v="8"/>
    <x v="0"/>
    <s v="6900104"/>
    <n v="721250"/>
    <s v="Supplies-Pharmacy Drugs - Billable"/>
    <s v="Administration"/>
    <x v="0"/>
    <m/>
    <n v="0"/>
    <n v="0"/>
    <n v="0"/>
    <n v="0"/>
    <n v="0"/>
    <n v="0"/>
    <n v="0"/>
    <n v="0"/>
    <n v="0"/>
    <n v="6.45"/>
    <n v="0"/>
    <n v="0"/>
    <n v="6.45"/>
    <n v="0"/>
  </r>
  <r>
    <x v="11"/>
    <x v="8"/>
    <x v="0"/>
    <s v="6900104"/>
    <n v="721410"/>
    <s v="Supplies-Medical - Nonbillable"/>
    <s v="Administration"/>
    <x v="0"/>
    <m/>
    <n v="0"/>
    <n v="0"/>
    <n v="7.03"/>
    <n v="0"/>
    <n v="0"/>
    <n v="0"/>
    <n v="0"/>
    <n v="0"/>
    <n v="0"/>
    <n v="72.91"/>
    <n v="0"/>
    <n v="0"/>
    <n v="79.94"/>
    <n v="0"/>
  </r>
  <r>
    <x v="11"/>
    <x v="8"/>
    <x v="0"/>
    <s v="6900104"/>
    <n v="721810"/>
    <s v="Supplies-Dietary/Cafeteria"/>
    <s v="Administration"/>
    <x v="0"/>
    <m/>
    <n v="4909.7700000000004"/>
    <n v="5850.75"/>
    <n v="6946.2"/>
    <n v="5791.69"/>
    <n v="5662.97"/>
    <n v="13034.15"/>
    <n v="5418.99"/>
    <n v="5900.98"/>
    <n v="13833.05"/>
    <n v="8050.64"/>
    <n v="7835.95"/>
    <n v="5894.11"/>
    <n v="89129.25"/>
    <n v="1941.8400000000001"/>
  </r>
  <r>
    <x v="11"/>
    <x v="8"/>
    <x v="0"/>
    <s v="6900104"/>
    <n v="721830"/>
    <s v="Supplies-Office"/>
    <s v="Administration"/>
    <x v="0"/>
    <m/>
    <n v="112.71"/>
    <n v="192.29"/>
    <n v="0"/>
    <n v="262.20999999999998"/>
    <n v="211.79"/>
    <n v="655.83"/>
    <n v="390.69"/>
    <n v="199.92"/>
    <n v="143.99"/>
    <n v="128.53"/>
    <n v="0"/>
    <n v="94.36"/>
    <n v="2392.3200000000006"/>
    <n v="-94.36"/>
  </r>
  <r>
    <x v="11"/>
    <x v="8"/>
    <x v="0"/>
    <s v="6900104"/>
    <n v="721835"/>
    <s v="Supplies-Forms"/>
    <s v="Administration"/>
    <x v="0"/>
    <m/>
    <n v="0"/>
    <n v="0"/>
    <n v="0"/>
    <n v="0"/>
    <n v="763.23"/>
    <n v="0"/>
    <n v="0"/>
    <n v="0"/>
    <n v="66.75"/>
    <n v="0"/>
    <n v="0"/>
    <n v="0"/>
    <n v="829.98"/>
    <n v="0"/>
  </r>
  <r>
    <x v="11"/>
    <x v="8"/>
    <x v="0"/>
    <s v="6900104"/>
    <n v="721870"/>
    <s v="Supplies-Environmental Services"/>
    <s v="Administration"/>
    <x v="0"/>
    <m/>
    <n v="21"/>
    <n v="2.93"/>
    <n v="0"/>
    <n v="0"/>
    <n v="0"/>
    <n v="0"/>
    <n v="0"/>
    <n v="7.08"/>
    <n v="0"/>
    <n v="0"/>
    <n v="0"/>
    <n v="0"/>
    <n v="31.009999999999998"/>
    <n v="0"/>
  </r>
  <r>
    <x v="11"/>
    <x v="8"/>
    <x v="0"/>
    <s v="6900104"/>
    <n v="721910"/>
    <s v="Supplies-Small Equipment"/>
    <s v="Administration"/>
    <x v="0"/>
    <m/>
    <n v="0"/>
    <n v="726.74"/>
    <n v="0"/>
    <n v="378.12"/>
    <n v="0"/>
    <n v="672.08"/>
    <n v="6.47"/>
    <n v="2817.29"/>
    <n v="107.86"/>
    <n v="10.89"/>
    <n v="0"/>
    <n v="0"/>
    <n v="4719.45"/>
    <n v="0"/>
  </r>
  <r>
    <x v="11"/>
    <x v="8"/>
    <x v="0"/>
    <s v="6900104"/>
    <n v="721980"/>
    <s v="Supplies-Other"/>
    <s v="Administration"/>
    <x v="0"/>
    <m/>
    <n v="0"/>
    <n v="0"/>
    <n v="0"/>
    <n v="0"/>
    <n v="819.48"/>
    <n v="0"/>
    <n v="264.88"/>
    <n v="0"/>
    <n v="0"/>
    <n v="0"/>
    <n v="0"/>
    <n v="88.92"/>
    <n v="1173.2800000000002"/>
    <n v="-88.92"/>
  </r>
  <r>
    <x v="11"/>
    <x v="8"/>
    <x v="0"/>
    <s v="6900104"/>
    <n v="722000"/>
    <s v="Supplies-Freight Expense"/>
    <s v="Administration"/>
    <x v="0"/>
    <m/>
    <n v="0"/>
    <n v="0"/>
    <n v="5.54"/>
    <n v="0"/>
    <n v="7.99"/>
    <n v="0"/>
    <n v="0"/>
    <n v="0"/>
    <n v="0"/>
    <n v="0"/>
    <n v="0"/>
    <n v="0"/>
    <n v="13.530000000000001"/>
    <n v="0"/>
  </r>
  <r>
    <x v="12"/>
    <x v="8"/>
    <x v="0"/>
    <s v="6900104"/>
    <n v="730010"/>
    <s v="Rental and Leases-Building (DO NOT USE)"/>
    <s v="Administration"/>
    <x v="0"/>
    <m/>
    <n v="5585.7"/>
    <n v="5585.7"/>
    <n v="5585.7"/>
    <n v="5585.7"/>
    <n v="5585.7"/>
    <n v="-1141.94"/>
    <n v="4366.96"/>
    <n v="4473.04"/>
    <n v="4420"/>
    <n v="4420"/>
    <n v="4420"/>
    <n v="0"/>
    <n v="48886.559999999998"/>
    <n v="4420"/>
  </r>
  <r>
    <x v="12"/>
    <x v="8"/>
    <x v="0"/>
    <s v="6900104"/>
    <n v="730010"/>
    <s v="Rental-Common Area Maint (DO NOT USE)"/>
    <s v="Administration"/>
    <x v="0"/>
    <n v="2200"/>
    <n v="0"/>
    <n v="0"/>
    <n v="0"/>
    <n v="0"/>
    <n v="0"/>
    <n v="6727.64"/>
    <n v="1418.04"/>
    <n v="1318.39"/>
    <n v="1222.3"/>
    <n v="1318.39"/>
    <n v="1318.39"/>
    <n v="0"/>
    <n v="13323.149999999998"/>
    <n v="1318.39"/>
  </r>
  <r>
    <x v="12"/>
    <x v="8"/>
    <x v="0"/>
    <s v="6900104"/>
    <n v="730020"/>
    <s v="Rental and Leases-Copier Usage Fees (DO NOT USE)"/>
    <s v="Administration"/>
    <x v="0"/>
    <n v="5100"/>
    <n v="1020.09"/>
    <n v="1047.8399999999999"/>
    <n v="1033.96"/>
    <n v="1033.96"/>
    <n v="1033.96"/>
    <n v="1033.96"/>
    <n v="-2215.63"/>
    <n v="620.4"/>
    <n v="619.1"/>
    <n v="1296.9000000000001"/>
    <n v="654.80999999999995"/>
    <n v="762.18"/>
    <n v="7941.5300000000007"/>
    <n v="-107.37"/>
  </r>
  <r>
    <x v="12"/>
    <x v="8"/>
    <x v="0"/>
    <s v="6900104"/>
    <n v="730040"/>
    <s v="LT Lease-Real Estate"/>
    <s v="Administration"/>
    <x v="0"/>
    <m/>
    <n v="0"/>
    <n v="0"/>
    <n v="0"/>
    <n v="0"/>
    <n v="0"/>
    <n v="0"/>
    <n v="0"/>
    <n v="0"/>
    <n v="0"/>
    <n v="0"/>
    <n v="0"/>
    <n v="5738.39"/>
    <n v="5738.39"/>
    <n v="-5738.39"/>
  </r>
  <r>
    <x v="16"/>
    <x v="8"/>
    <x v="0"/>
    <s v="6900104"/>
    <n v="732030"/>
    <s v="Repairs---Other"/>
    <s v="Administration"/>
    <x v="0"/>
    <m/>
    <n v="729.21"/>
    <n v="0"/>
    <n v="0"/>
    <n v="0"/>
    <n v="0"/>
    <n v="0"/>
    <n v="0"/>
    <n v="0"/>
    <n v="0"/>
    <n v="4532.03"/>
    <n v="0"/>
    <n v="0"/>
    <n v="5261.24"/>
    <n v="0"/>
  </r>
  <r>
    <x v="13"/>
    <x v="8"/>
    <x v="0"/>
    <s v="6900104"/>
    <n v="735030"/>
    <s v="Depreciation-Buildings"/>
    <s v="Administration"/>
    <x v="0"/>
    <m/>
    <n v="71005.86"/>
    <n v="71005.820000000007"/>
    <n v="71005.87"/>
    <n v="71005.820000000007"/>
    <n v="71005.88"/>
    <n v="71005.789999999994"/>
    <n v="71005.91"/>
    <n v="71005.77"/>
    <n v="71005.97"/>
    <n v="69245.429999999993"/>
    <n v="69245.710000000006"/>
    <n v="69245.42"/>
    <n v="846789.24999999988"/>
    <n v="0.29000000000814907"/>
  </r>
  <r>
    <x v="13"/>
    <x v="8"/>
    <x v="0"/>
    <s v="6900104"/>
    <n v="735070"/>
    <s v="Depreciation-Movable Equipment"/>
    <s v="Administration"/>
    <x v="0"/>
    <m/>
    <n v="1148.6400000000001"/>
    <n v="1188.06"/>
    <n v="1188.05"/>
    <n v="1188.1199999999999"/>
    <n v="1188.04"/>
    <n v="1188.1199999999999"/>
    <n v="1188.06"/>
    <n v="1188.1199999999999"/>
    <n v="1188.06"/>
    <n v="667.27"/>
    <n v="667.31"/>
    <n v="667.27"/>
    <n v="12655.119999999999"/>
    <n v="3.999999999996362E-2"/>
  </r>
  <r>
    <x v="0"/>
    <x v="8"/>
    <x v="0"/>
    <s v="6900104"/>
    <n v="740020"/>
    <s v="Education-Registration Fees"/>
    <s v="Administration"/>
    <x v="0"/>
    <m/>
    <n v="0"/>
    <n v="0"/>
    <n v="0"/>
    <n v="0"/>
    <n v="0"/>
    <n v="1095"/>
    <n v="0"/>
    <n v="1940"/>
    <n v="0"/>
    <n v="285"/>
    <n v="0"/>
    <n v="-83.72"/>
    <n v="3236.28"/>
    <n v="83.72"/>
  </r>
  <r>
    <x v="0"/>
    <x v="8"/>
    <x v="0"/>
    <s v="6900104"/>
    <n v="742010"/>
    <s v="Postage-Regular"/>
    <s v="Administration"/>
    <x v="0"/>
    <m/>
    <n v="0"/>
    <n v="0"/>
    <n v="0"/>
    <n v="0"/>
    <n v="0"/>
    <n v="0"/>
    <n v="0"/>
    <n v="0"/>
    <n v="0"/>
    <n v="188.8"/>
    <n v="0"/>
    <n v="0"/>
    <n v="188.8"/>
    <n v="0"/>
  </r>
  <r>
    <x v="0"/>
    <x v="8"/>
    <x v="0"/>
    <s v="6900104"/>
    <n v="742040"/>
    <s v="Freight-Other"/>
    <s v="Administration"/>
    <x v="0"/>
    <m/>
    <n v="0"/>
    <n v="0"/>
    <n v="0"/>
    <n v="29.89"/>
    <n v="0"/>
    <n v="0"/>
    <n v="0"/>
    <n v="0"/>
    <n v="0"/>
    <n v="0"/>
    <n v="0"/>
    <n v="0"/>
    <n v="29.89"/>
    <n v="0"/>
  </r>
  <r>
    <x v="0"/>
    <x v="8"/>
    <x v="0"/>
    <s v="6900104"/>
    <n v="743010"/>
    <s v="Dues--Institutional"/>
    <s v="Administration"/>
    <x v="0"/>
    <m/>
    <n v="3487.58"/>
    <n v="3487.58"/>
    <n v="3487.58"/>
    <n v="3487.58"/>
    <n v="3487.58"/>
    <n v="3487.58"/>
    <n v="0"/>
    <n v="7324"/>
    <n v="3662"/>
    <n v="3662"/>
    <n v="3662"/>
    <n v="3662"/>
    <n v="42897.48"/>
    <n v="0"/>
  </r>
  <r>
    <x v="0"/>
    <x v="8"/>
    <x v="0"/>
    <s v="6900104"/>
    <n v="749510"/>
    <s v="Miscellaneous Expenses"/>
    <s v="Administration"/>
    <x v="0"/>
    <m/>
    <n v="3765.98"/>
    <n v="2753.69"/>
    <n v="3150.02"/>
    <n v="1074.98"/>
    <n v="3529.14"/>
    <n v="-1505.5"/>
    <n v="11133.71"/>
    <n v="-7847"/>
    <n v="4236.2"/>
    <n v="4520.05"/>
    <n v="-1582.36"/>
    <n v="10994.32"/>
    <n v="34223.229999999996"/>
    <n v="-12576.68"/>
  </r>
  <r>
    <x v="0"/>
    <x v="8"/>
    <x v="0"/>
    <s v="6900104"/>
    <n v="749510"/>
    <s v="Licenses"/>
    <s v="Administration"/>
    <x v="0"/>
    <n v="1002"/>
    <n v="0"/>
    <n v="0"/>
    <n v="0"/>
    <n v="0"/>
    <n v="15456"/>
    <n v="0"/>
    <n v="0"/>
    <n v="0"/>
    <n v="0"/>
    <n v="0"/>
    <n v="30"/>
    <n v="0"/>
    <n v="15486"/>
    <n v="30"/>
  </r>
  <r>
    <x v="0"/>
    <x v="8"/>
    <x v="0"/>
    <s v="6900104"/>
    <n v="749510"/>
    <s v="Community Benefit"/>
    <s v="Administration"/>
    <x v="0"/>
    <n v="1027"/>
    <n v="0"/>
    <n v="0"/>
    <n v="2774.52"/>
    <n v="0"/>
    <n v="0"/>
    <n v="0"/>
    <n v="5000"/>
    <n v="0"/>
    <n v="0"/>
    <n v="0"/>
    <n v="0"/>
    <n v="0"/>
    <n v="7774.52"/>
    <n v="0"/>
  </r>
  <r>
    <x v="0"/>
    <x v="8"/>
    <x v="0"/>
    <s v="6900104"/>
    <n v="749510"/>
    <s v="RICE Rewards"/>
    <s v="Administration"/>
    <x v="0"/>
    <n v="5100"/>
    <n v="0"/>
    <n v="0"/>
    <n v="0"/>
    <n v="0"/>
    <n v="0"/>
    <n v="0"/>
    <n v="0"/>
    <n v="0"/>
    <n v="0"/>
    <n v="0"/>
    <n v="63.97"/>
    <n v="0"/>
    <n v="63.97"/>
    <n v="63.97"/>
  </r>
  <r>
    <x v="0"/>
    <x v="8"/>
    <x v="0"/>
    <s v="6900104"/>
    <n v="749530"/>
    <s v="Travel"/>
    <s v="Administration"/>
    <x v="0"/>
    <m/>
    <n v="16"/>
    <n v="521.92999999999995"/>
    <n v="0"/>
    <n v="485.64"/>
    <n v="0"/>
    <n v="3038.15"/>
    <n v="1995.33"/>
    <n v="3540.92"/>
    <n v="0"/>
    <n v="0"/>
    <n v="4621.6899999999996"/>
    <n v="100.13"/>
    <n v="14319.789999999999"/>
    <n v="4521.5599999999995"/>
  </r>
  <r>
    <x v="0"/>
    <x v="8"/>
    <x v="0"/>
    <s v="6900104"/>
    <n v="749530"/>
    <s v="Mileage"/>
    <s v="Administration"/>
    <x v="0"/>
    <n v="1001"/>
    <n v="17.440000000000001"/>
    <n v="0"/>
    <n v="0"/>
    <n v="0"/>
    <n v="0"/>
    <n v="0"/>
    <n v="0"/>
    <n v="0"/>
    <n v="0"/>
    <n v="0"/>
    <n v="17.98"/>
    <n v="0"/>
    <n v="35.42"/>
    <n v="17.98"/>
  </r>
  <r>
    <x v="0"/>
    <x v="8"/>
    <x v="0"/>
    <s v="6900104"/>
    <n v="749535"/>
    <s v="Meetings"/>
    <s v="Administration"/>
    <x v="0"/>
    <m/>
    <n v="0"/>
    <n v="0"/>
    <n v="0"/>
    <n v="0"/>
    <n v="0"/>
    <n v="0"/>
    <n v="334.46"/>
    <n v="0"/>
    <n v="0"/>
    <n v="0"/>
    <n v="0"/>
    <n v="83.32"/>
    <n v="417.78"/>
    <n v="-83.32"/>
  </r>
  <r>
    <x v="0"/>
    <x v="8"/>
    <x v="0"/>
    <s v="6900104"/>
    <n v="749535"/>
    <s v="Employee Functions"/>
    <s v="Administration"/>
    <x v="0"/>
    <n v="1004"/>
    <n v="0"/>
    <n v="184.85"/>
    <n v="0"/>
    <n v="84.98"/>
    <n v="0"/>
    <n v="119.88"/>
    <n v="113.49"/>
    <n v="0"/>
    <n v="0"/>
    <n v="0"/>
    <n v="0"/>
    <n v="0"/>
    <n v="503.2"/>
    <n v="0"/>
  </r>
  <r>
    <x v="14"/>
    <x v="5"/>
    <x v="0"/>
    <s v="6900106"/>
    <n v="600026"/>
    <s v="Rental Revenue-Non-Taxable"/>
    <s v="Administration"/>
    <x v="0"/>
    <m/>
    <n v="-46667"/>
    <n v="-46667"/>
    <n v="-46667"/>
    <n v="-46667"/>
    <n v="-46667"/>
    <n v="-46667"/>
    <n v="-46667"/>
    <n v="-46667"/>
    <n v="-46667"/>
    <n v="-46667"/>
    <n v="-46667"/>
    <n v="-46667"/>
    <n v="-560004"/>
    <n v="0"/>
  </r>
  <r>
    <x v="14"/>
    <x v="5"/>
    <x v="0"/>
    <s v="6900106"/>
    <n v="600050"/>
    <s v="Miscellaneous Revenue"/>
    <s v="Administration"/>
    <x v="0"/>
    <m/>
    <n v="-218.7"/>
    <n v="-218.7"/>
    <n v="-218.7"/>
    <n v="-218.7"/>
    <n v="-418.7"/>
    <n v="-232.24"/>
    <n v="-2218.6999999999998"/>
    <n v="-306.18"/>
    <n v="-229.63"/>
    <n v="-229.63"/>
    <n v="-229.63"/>
    <n v="-229.63"/>
    <n v="-4969.1399999999994"/>
    <n v="0"/>
  </r>
  <r>
    <x v="5"/>
    <x v="5"/>
    <x v="0"/>
    <s v="6900106"/>
    <n v="700014"/>
    <s v="Salaries-Management-Productive"/>
    <s v="Administration"/>
    <x v="0"/>
    <m/>
    <n v="34103.61"/>
    <n v="28822.52"/>
    <n v="28258.74"/>
    <n v="38778.92"/>
    <n v="38441.199999999997"/>
    <n v="24589.01"/>
    <n v="31354.63"/>
    <n v="31029.279999999999"/>
    <n v="34786.42"/>
    <n v="24747.88"/>
    <n v="35819.370000000003"/>
    <n v="33602.68"/>
    <n v="384334.26"/>
    <n v="2216.6900000000023"/>
  </r>
  <r>
    <x v="5"/>
    <x v="5"/>
    <x v="0"/>
    <s v="6900106"/>
    <n v="700034"/>
    <s v="Salaries-Tech/Professional-Productive"/>
    <s v="Administration"/>
    <x v="0"/>
    <m/>
    <n v="5302.46"/>
    <n v="7488.73"/>
    <n v="6000.48"/>
    <n v="7261.19"/>
    <n v="6076.72"/>
    <n v="5842.31"/>
    <n v="18158.72"/>
    <n v="16117.02"/>
    <n v="18455.7"/>
    <n v="12639.21"/>
    <n v="10493.63"/>
    <n v="5686.5"/>
    <n v="119522.67000000001"/>
    <n v="4807.1299999999992"/>
  </r>
  <r>
    <x v="5"/>
    <x v="5"/>
    <x v="0"/>
    <s v="6900106"/>
    <n v="700038"/>
    <s v="Salaries-Service/Support-Productive"/>
    <s v="Administration"/>
    <x v="0"/>
    <m/>
    <n v="7945.48"/>
    <n v="11214.78"/>
    <n v="2510.3000000000002"/>
    <n v="11119.4"/>
    <n v="10491.46"/>
    <n v="7780.83"/>
    <n v="8561.4"/>
    <n v="9839.5400000000009"/>
    <n v="10233.950000000001"/>
    <n v="9309.02"/>
    <n v="10101.06"/>
    <n v="9690.85"/>
    <n v="108798.07"/>
    <n v="410.20999999999913"/>
  </r>
  <r>
    <x v="5"/>
    <x v="5"/>
    <x v="0"/>
    <s v="6900106"/>
    <n v="700038"/>
    <s v="Salaries-Service/Support-OT"/>
    <s v="Administration"/>
    <x v="0"/>
    <n v="1000"/>
    <n v="215.64"/>
    <n v="24.24"/>
    <n v="35.69"/>
    <n v="277.12"/>
    <n v="148.13"/>
    <n v="189.79"/>
    <n v="219.46"/>
    <n v="6.8"/>
    <n v="294.74"/>
    <n v="143.66"/>
    <n v="-28.37"/>
    <n v="-11.32"/>
    <n v="1515.5800000000002"/>
    <n v="-17.05"/>
  </r>
  <r>
    <x v="5"/>
    <x v="5"/>
    <x v="0"/>
    <s v="6900106"/>
    <n v="700038"/>
    <s v="Salaries-Service/Support-Other"/>
    <s v="Administration"/>
    <x v="0"/>
    <n v="2000"/>
    <n v="12.14"/>
    <n v="-2.14"/>
    <n v="0"/>
    <n v="30"/>
    <n v="11.57"/>
    <n v="1.18"/>
    <n v="12.23"/>
    <n v="8.33"/>
    <n v="7.97"/>
    <n v="6.03"/>
    <n v="0"/>
    <n v="11.02"/>
    <n v="98.33"/>
    <n v="-11.02"/>
  </r>
  <r>
    <x v="5"/>
    <x v="5"/>
    <x v="0"/>
    <s v="6900106"/>
    <n v="700054"/>
    <s v="Salaries-Management-Non-productive"/>
    <s v="Administration"/>
    <x v="0"/>
    <m/>
    <n v="3831.69"/>
    <n v="9114.5"/>
    <n v="8455"/>
    <n v="-841.88"/>
    <n v="0"/>
    <n v="14655.46"/>
    <n v="7951.14"/>
    <n v="4469.1000000000004"/>
    <n v="4515.6499999999996"/>
    <n v="13285.07"/>
    <n v="3482.71"/>
    <n v="4426.21"/>
    <n v="73344.650000000009"/>
    <n v="-943.5"/>
  </r>
  <r>
    <x v="5"/>
    <x v="5"/>
    <x v="0"/>
    <s v="6900106"/>
    <n v="700054"/>
    <s v="Salaries-Management-NonProd-Other"/>
    <s v="Administration"/>
    <x v="0"/>
    <n v="2000"/>
    <n v="0"/>
    <n v="0"/>
    <n v="0"/>
    <n v="0"/>
    <n v="0"/>
    <n v="112.97"/>
    <n v="-112.97"/>
    <n v="0"/>
    <n v="0"/>
    <n v="0"/>
    <n v="0"/>
    <n v="0"/>
    <n v="0"/>
    <n v="0"/>
  </r>
  <r>
    <x v="5"/>
    <x v="5"/>
    <x v="0"/>
    <s v="6900106"/>
    <n v="700074"/>
    <s v="Salaries-Tech/Professional-Non-productive"/>
    <s v="Administration"/>
    <x v="0"/>
    <m/>
    <n v="325.60000000000002"/>
    <n v="0"/>
    <n v="0"/>
    <n v="0"/>
    <n v="961.95"/>
    <n v="1431.22"/>
    <n v="893.08"/>
    <n v="446.43"/>
    <n v="-117.47"/>
    <n v="5106.88"/>
    <n v="-1782.67"/>
    <n v="1362.81"/>
    <n v="8627.83"/>
    <n v="-3145.48"/>
  </r>
  <r>
    <x v="5"/>
    <x v="5"/>
    <x v="0"/>
    <s v="6900106"/>
    <n v="700074"/>
    <s v="Salaries-Tech/Professional-NonProd-Other"/>
    <s v="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6900106"/>
    <n v="700078"/>
    <s v="Salaries-Service/Support-Non-productive"/>
    <s v="Administration"/>
    <x v="0"/>
    <m/>
    <n v="3416.45"/>
    <n v="-31.26"/>
    <n v="2548.89"/>
    <n v="-851.86"/>
    <n v="501.56"/>
    <n v="1100.68"/>
    <n v="2660.45"/>
    <n v="458.68"/>
    <n v="1130.78"/>
    <n v="1177.49"/>
    <n v="1306.8399999999999"/>
    <n v="1315.95"/>
    <n v="14734.650000000001"/>
    <n v="-9.1100000000001273"/>
  </r>
  <r>
    <x v="5"/>
    <x v="5"/>
    <x v="0"/>
    <s v="6900106"/>
    <n v="700084"/>
    <s v="Accrued PTO"/>
    <s v="Administration"/>
    <x v="0"/>
    <m/>
    <n v="-1633.01"/>
    <n v="1635.35"/>
    <n v="-452.8"/>
    <n v="1640.26"/>
    <n v="938.37"/>
    <n v="-7863.72"/>
    <n v="1923.19"/>
    <n v="1981.24"/>
    <n v="1877.72"/>
    <n v="-1208.04"/>
    <n v="-3760.41"/>
    <n v="-280.08"/>
    <n v="-5201.93"/>
    <n v="-3480.33"/>
  </r>
  <r>
    <x v="6"/>
    <x v="5"/>
    <x v="0"/>
    <s v="6900106"/>
    <n v="713010"/>
    <s v="Benefits-FICA/Medicare"/>
    <s v="Administration"/>
    <x v="0"/>
    <m/>
    <n v="2884.58"/>
    <n v="2138.5100000000002"/>
    <n v="1465.61"/>
    <n v="1866.98"/>
    <n v="1903.34"/>
    <n v="2993.1"/>
    <n v="5207.74"/>
    <n v="4645.7"/>
    <n v="5162.51"/>
    <n v="4947.78"/>
    <n v="4477.0600000000004"/>
    <n v="4139.13"/>
    <n v="41832.039999999994"/>
    <n v="337.93000000000029"/>
  </r>
  <r>
    <x v="6"/>
    <x v="5"/>
    <x v="0"/>
    <s v="6900106"/>
    <n v="713090"/>
    <s v="Benefits-Allocated Amounts"/>
    <s v="Administration"/>
    <x v="0"/>
    <m/>
    <n v="8593.34"/>
    <n v="9344.35"/>
    <n v="6825.18"/>
    <n v="8322.35"/>
    <n v="8886.67"/>
    <n v="7847.33"/>
    <n v="11016.18"/>
    <n v="10307.200000000001"/>
    <n v="10742.22"/>
    <n v="10445.84"/>
    <n v="9041.7999999999993"/>
    <n v="8724.2000000000007"/>
    <n v="110096.66"/>
    <n v="317.59999999999854"/>
  </r>
  <r>
    <x v="6"/>
    <x v="5"/>
    <x v="0"/>
    <s v="6900106"/>
    <n v="713096"/>
    <s v="Employee Recognition"/>
    <s v="Administration"/>
    <x v="0"/>
    <n v="1017"/>
    <n v="0"/>
    <n v="151.22999999999999"/>
    <n v="0"/>
    <n v="294.45"/>
    <n v="442.26"/>
    <n v="2550"/>
    <n v="496.38"/>
    <n v="671.29"/>
    <n v="3053.86"/>
    <n v="1653.58"/>
    <n v="553.17999999999995"/>
    <n v="926.66"/>
    <n v="10792.890000000001"/>
    <n v="-373.48"/>
  </r>
  <r>
    <x v="17"/>
    <x v="5"/>
    <x v="0"/>
    <s v="6900106"/>
    <n v="714520"/>
    <s v="Other Contracted Professionals"/>
    <s v="Administration"/>
    <x v="0"/>
    <m/>
    <n v="0"/>
    <n v="0"/>
    <n v="0"/>
    <n v="0"/>
    <n v="0"/>
    <n v="0"/>
    <n v="0"/>
    <n v="112703.25"/>
    <n v="-112703.25"/>
    <n v="0"/>
    <n v="0"/>
    <n v="0"/>
    <n v="0"/>
    <n v="0"/>
  </r>
  <r>
    <x v="7"/>
    <x v="5"/>
    <x v="0"/>
    <s v="6900106"/>
    <n v="716038"/>
    <s v="Contract Services-Legal"/>
    <s v="Administration"/>
    <x v="0"/>
    <m/>
    <n v="2477.83"/>
    <n v="22899"/>
    <n v="20832.75"/>
    <n v="11347.57"/>
    <n v="0"/>
    <n v="0"/>
    <n v="0"/>
    <n v="0"/>
    <n v="0"/>
    <n v="0"/>
    <n v="0"/>
    <n v="0"/>
    <n v="57557.15"/>
    <n v="0"/>
  </r>
  <r>
    <x v="7"/>
    <x v="5"/>
    <x v="0"/>
    <s v="6900106"/>
    <n v="718050"/>
    <s v="Contract Svcs-Other"/>
    <s v="Administration"/>
    <x v="0"/>
    <m/>
    <n v="468.43"/>
    <n v="8831.1"/>
    <n v="23032.5"/>
    <n v="20802.66"/>
    <n v="44.24"/>
    <n v="10726.01"/>
    <n v="4050.78"/>
    <n v="1419.63"/>
    <n v="8000.76"/>
    <n v="0"/>
    <n v="8048.64"/>
    <n v="8067.31"/>
    <n v="93492.06"/>
    <n v="-18.670000000000073"/>
  </r>
  <r>
    <x v="7"/>
    <x v="5"/>
    <x v="0"/>
    <s v="6900106"/>
    <n v="718050"/>
    <s v="Document Shredding/Storage"/>
    <s v="Administration"/>
    <x v="0"/>
    <n v="1012"/>
    <n v="44.34"/>
    <n v="-82.7"/>
    <n v="2.0499999999999998"/>
    <n v="2.02"/>
    <n v="63.71"/>
    <n v="19.190000000000001"/>
    <n v="18.989999999999998"/>
    <n v="-14.18"/>
    <n v="2.14"/>
    <n v="2.79"/>
    <n v="2.35"/>
    <n v="27.83"/>
    <n v="88.53"/>
    <n v="-25.479999999999997"/>
  </r>
  <r>
    <x v="7"/>
    <x v="5"/>
    <x v="0"/>
    <s v="6900106"/>
    <n v="718050"/>
    <s v="Security"/>
    <s v="Administration"/>
    <x v="0"/>
    <n v="1019"/>
    <n v="0"/>
    <n v="0"/>
    <n v="0"/>
    <n v="0"/>
    <n v="0"/>
    <n v="0"/>
    <n v="0"/>
    <n v="0"/>
    <n v="0"/>
    <n v="0"/>
    <n v="0"/>
    <n v="92917.440000000002"/>
    <n v="92917.440000000002"/>
    <n v="-92917.440000000002"/>
  </r>
  <r>
    <x v="7"/>
    <x v="5"/>
    <x v="0"/>
    <s v="6900106"/>
    <n v="718050"/>
    <s v="Miscellaneous Purchased Svcs"/>
    <s v="Administration"/>
    <x v="0"/>
    <n v="1020"/>
    <n v="57.57"/>
    <n v="2423.1999999999998"/>
    <n v="1370.63"/>
    <n v="45346.78"/>
    <n v="25533.200000000001"/>
    <n v="9441.6299999999992"/>
    <n v="10523.66"/>
    <n v="10523.67"/>
    <n v="10523.67"/>
    <n v="11238.66"/>
    <n v="10523.67"/>
    <n v="10773.67"/>
    <n v="148280.01000000004"/>
    <n v="-250"/>
  </r>
  <r>
    <x v="7"/>
    <x v="5"/>
    <x v="0"/>
    <s v="6900106"/>
    <n v="718091"/>
    <s v="Contract Services-Intracompany Allocation"/>
    <s v="Administration"/>
    <x v="0"/>
    <m/>
    <n v="22500"/>
    <n v="22500"/>
    <n v="22500"/>
    <n v="22500"/>
    <n v="22500"/>
    <n v="22500"/>
    <n v="22500"/>
    <n v="22500"/>
    <n v="22500"/>
    <n v="22500"/>
    <n v="22500"/>
    <n v="22500"/>
    <n v="270000"/>
    <n v="0"/>
  </r>
  <r>
    <x v="11"/>
    <x v="5"/>
    <x v="0"/>
    <s v="6900106"/>
    <n v="721010"/>
    <s v="Supplies-Medical - Billable"/>
    <s v="Administration"/>
    <x v="0"/>
    <m/>
    <n v="0"/>
    <n v="0"/>
    <n v="0"/>
    <n v="0"/>
    <n v="0"/>
    <n v="0"/>
    <n v="0"/>
    <n v="88.03"/>
    <n v="0"/>
    <n v="0"/>
    <n v="0"/>
    <n v="30.44"/>
    <n v="118.47"/>
    <n v="-30.44"/>
  </r>
  <r>
    <x v="11"/>
    <x v="5"/>
    <x v="0"/>
    <s v="6900106"/>
    <n v="721020"/>
    <s v="Custom Packs"/>
    <s v="Administration"/>
    <x v="0"/>
    <n v="1000"/>
    <n v="0"/>
    <n v="0"/>
    <n v="0"/>
    <n v="0"/>
    <n v="0"/>
    <n v="0"/>
    <n v="0"/>
    <n v="0"/>
    <n v="0"/>
    <n v="0"/>
    <n v="0"/>
    <n v="26.48"/>
    <n v="26.48"/>
    <n v="-26.48"/>
  </r>
  <r>
    <x v="11"/>
    <x v="5"/>
    <x v="0"/>
    <s v="6900106"/>
    <n v="721020"/>
    <s v="Urological Supplies"/>
    <s v="Administration"/>
    <x v="0"/>
    <n v="1006"/>
    <n v="0"/>
    <n v="0"/>
    <n v="0"/>
    <n v="0"/>
    <n v="0"/>
    <n v="0"/>
    <n v="0"/>
    <n v="4.8"/>
    <n v="0"/>
    <n v="0"/>
    <n v="0"/>
    <n v="0"/>
    <n v="4.8"/>
    <n v="0"/>
  </r>
  <r>
    <x v="11"/>
    <x v="5"/>
    <x v="0"/>
    <s v="6900106"/>
    <n v="721240"/>
    <s v="Supplies-IV Solutions/Supplies - Billable"/>
    <s v="Administration"/>
    <x v="0"/>
    <m/>
    <n v="0"/>
    <n v="0"/>
    <n v="0"/>
    <n v="0"/>
    <n v="0"/>
    <n v="0"/>
    <n v="0"/>
    <n v="12.75"/>
    <n v="0"/>
    <n v="0"/>
    <n v="0"/>
    <n v="0"/>
    <n v="12.75"/>
    <n v="0"/>
  </r>
  <r>
    <x v="11"/>
    <x v="5"/>
    <x v="0"/>
    <s v="6900106"/>
    <n v="721410"/>
    <s v="Supplies-Medical - Nonbillable"/>
    <s v="Administration"/>
    <x v="0"/>
    <m/>
    <n v="28.84"/>
    <n v="0"/>
    <n v="0"/>
    <n v="0"/>
    <n v="0"/>
    <n v="0"/>
    <n v="0"/>
    <n v="1.68"/>
    <n v="0"/>
    <n v="62.55"/>
    <n v="0"/>
    <n v="0"/>
    <n v="93.07"/>
    <n v="0"/>
  </r>
  <r>
    <x v="11"/>
    <x v="5"/>
    <x v="0"/>
    <s v="6900106"/>
    <n v="721640"/>
    <s v="Supplies-IV Solutions/Supplies - Nonbillable"/>
    <s v="Administration"/>
    <x v="0"/>
    <m/>
    <n v="0"/>
    <n v="0"/>
    <n v="0"/>
    <n v="0"/>
    <n v="0"/>
    <n v="0"/>
    <n v="0"/>
    <n v="20.7"/>
    <n v="0"/>
    <n v="0"/>
    <n v="0"/>
    <n v="0"/>
    <n v="20.7"/>
    <n v="0"/>
  </r>
  <r>
    <x v="11"/>
    <x v="5"/>
    <x v="0"/>
    <s v="6900106"/>
    <n v="721710"/>
    <s v="Supplies-Laboratory - Nonbillable"/>
    <s v="Administration"/>
    <x v="0"/>
    <m/>
    <n v="0"/>
    <n v="0"/>
    <n v="0"/>
    <n v="0"/>
    <n v="0"/>
    <n v="0"/>
    <n v="0"/>
    <n v="3.85"/>
    <n v="0"/>
    <n v="0"/>
    <n v="0"/>
    <n v="0"/>
    <n v="3.85"/>
    <n v="0"/>
  </r>
  <r>
    <x v="11"/>
    <x v="5"/>
    <x v="0"/>
    <s v="6900106"/>
    <n v="721810"/>
    <s v="Supplies-Dietary/Cafeteria"/>
    <s v="Administration"/>
    <x v="0"/>
    <m/>
    <n v="1786.04"/>
    <n v="1240.25"/>
    <n v="1767.59"/>
    <n v="1573.36"/>
    <n v="2139.61"/>
    <n v="1431.08"/>
    <n v="2685.8"/>
    <n v="3089.61"/>
    <n v="2203.3200000000002"/>
    <n v="1461.04"/>
    <n v="11240.02"/>
    <n v="1219.3599999999999"/>
    <n v="31837.08"/>
    <n v="10020.66"/>
  </r>
  <r>
    <x v="11"/>
    <x v="5"/>
    <x v="0"/>
    <s v="6900106"/>
    <n v="721830"/>
    <s v="Supplies-Office"/>
    <s v="Administration"/>
    <x v="0"/>
    <m/>
    <n v="2852.2"/>
    <n v="8633.16"/>
    <n v="270.68"/>
    <n v="257.7"/>
    <n v="0"/>
    <n v="239.99"/>
    <n v="823.12"/>
    <n v="349.81"/>
    <n v="33.39"/>
    <n v="972.35"/>
    <n v="59.5"/>
    <n v="0"/>
    <n v="14491.900000000001"/>
    <n v="59.5"/>
  </r>
  <r>
    <x v="11"/>
    <x v="5"/>
    <x v="0"/>
    <s v="6900106"/>
    <n v="721835"/>
    <s v="Supplies-Forms"/>
    <s v="Administration"/>
    <x v="0"/>
    <m/>
    <n v="0"/>
    <n v="0"/>
    <n v="0"/>
    <n v="0"/>
    <n v="89.97"/>
    <n v="53.15"/>
    <n v="0.5"/>
    <n v="0"/>
    <n v="13.5"/>
    <n v="0"/>
    <n v="141.31"/>
    <n v="5.3"/>
    <n v="303.73"/>
    <n v="136.01"/>
  </r>
  <r>
    <x v="11"/>
    <x v="5"/>
    <x v="0"/>
    <s v="6900106"/>
    <n v="721910"/>
    <s v="Supplies-Small Equipment"/>
    <s v="Administration"/>
    <x v="0"/>
    <m/>
    <n v="0"/>
    <n v="0"/>
    <n v="0"/>
    <n v="0"/>
    <n v="61.5"/>
    <n v="2666.91"/>
    <n v="6.15"/>
    <n v="454.3"/>
    <n v="0"/>
    <n v="-0.45"/>
    <n v="0"/>
    <n v="66.59"/>
    <n v="3255.0000000000005"/>
    <n v="-66.59"/>
  </r>
  <r>
    <x v="11"/>
    <x v="5"/>
    <x v="0"/>
    <s v="6900106"/>
    <n v="721980"/>
    <s v="Supplies-Other"/>
    <s v="Administration"/>
    <x v="0"/>
    <m/>
    <n v="0"/>
    <n v="0"/>
    <n v="0"/>
    <n v="3197.7"/>
    <n v="0"/>
    <n v="0"/>
    <n v="2371.94"/>
    <n v="0"/>
    <n v="0"/>
    <n v="0"/>
    <n v="773.3"/>
    <n v="0"/>
    <n v="6342.94"/>
    <n v="773.3"/>
  </r>
  <r>
    <x v="11"/>
    <x v="5"/>
    <x v="0"/>
    <s v="6900106"/>
    <n v="722000"/>
    <s v="Supplies-Freight Expense"/>
    <s v="Administration"/>
    <x v="0"/>
    <m/>
    <n v="18.329999999999998"/>
    <n v="110.38"/>
    <n v="0"/>
    <n v="0"/>
    <n v="28.79"/>
    <n v="8"/>
    <n v="7.99"/>
    <n v="0"/>
    <n v="0"/>
    <n v="0"/>
    <n v="8.77"/>
    <n v="0"/>
    <n v="182.26"/>
    <n v="8.77"/>
  </r>
  <r>
    <x v="11"/>
    <x v="5"/>
    <x v="0"/>
    <s v="6900106"/>
    <n v="723000"/>
    <s v="Supply Rebates/Patronage Dividend"/>
    <s v="Administration"/>
    <x v="0"/>
    <m/>
    <n v="0"/>
    <n v="0"/>
    <n v="0"/>
    <n v="0"/>
    <n v="0"/>
    <n v="0"/>
    <n v="0"/>
    <n v="0"/>
    <n v="0"/>
    <n v="0"/>
    <n v="0"/>
    <n v="-7695.75"/>
    <n v="-7695.75"/>
    <n v="7695.75"/>
  </r>
  <r>
    <x v="12"/>
    <x v="5"/>
    <x v="0"/>
    <s v="6900106"/>
    <n v="730010"/>
    <s v="Rental and Leases-Building (DO NOT USE)"/>
    <s v="Administration"/>
    <x v="0"/>
    <m/>
    <n v="3271.95"/>
    <n v="3271.95"/>
    <n v="3271.95"/>
    <n v="3271.95"/>
    <n v="3271.95"/>
    <n v="-2420.0100000000002"/>
    <n v="2558.29"/>
    <n v="2323.29"/>
    <n v="2323.29"/>
    <n v="2323.29"/>
    <n v="1725.38"/>
    <n v="175"/>
    <n v="25368.280000000002"/>
    <n v="1550.38"/>
  </r>
  <r>
    <x v="12"/>
    <x v="5"/>
    <x v="0"/>
    <s v="6900106"/>
    <n v="730010"/>
    <s v="Rental-Common Area Maint (DO NOT USE)"/>
    <s v="Administration"/>
    <x v="0"/>
    <n v="2200"/>
    <n v="0"/>
    <n v="0"/>
    <n v="0"/>
    <n v="0"/>
    <n v="0"/>
    <n v="5691.96"/>
    <n v="890"/>
    <n v="919.33"/>
    <n v="919.33"/>
    <n v="919.33"/>
    <n v="919.33"/>
    <n v="0"/>
    <n v="10259.280000000001"/>
    <n v="919.33"/>
  </r>
  <r>
    <x v="12"/>
    <x v="5"/>
    <x v="0"/>
    <s v="6900106"/>
    <n v="730020"/>
    <s v="Rental and Leases-Copier Usage Fees (DO NOT USE)"/>
    <s v="Administration"/>
    <x v="0"/>
    <n v="5100"/>
    <n v="726.63"/>
    <n v="751.74"/>
    <n v="735.29"/>
    <n v="735.29"/>
    <n v="735.29"/>
    <n v="735.29"/>
    <n v="374.53"/>
    <n v="780.29"/>
    <n v="778.65"/>
    <n v="1502.42"/>
    <n v="780.29"/>
    <n v="918.42"/>
    <n v="9554.1299999999992"/>
    <n v="-138.13"/>
  </r>
  <r>
    <x v="12"/>
    <x v="5"/>
    <x v="0"/>
    <s v="6900106"/>
    <n v="730040"/>
    <s v="LT Lease-Real Estate"/>
    <s v="Administration"/>
    <x v="0"/>
    <m/>
    <n v="0"/>
    <n v="0"/>
    <n v="0"/>
    <n v="0"/>
    <n v="0"/>
    <n v="0"/>
    <n v="0"/>
    <n v="0"/>
    <n v="0"/>
    <n v="0"/>
    <n v="0"/>
    <n v="3131.82"/>
    <n v="3131.82"/>
    <n v="-3131.82"/>
  </r>
  <r>
    <x v="15"/>
    <x v="5"/>
    <x v="0"/>
    <s v="6900106"/>
    <n v="731060"/>
    <s v="Telephone"/>
    <s v="Administration"/>
    <x v="0"/>
    <m/>
    <n v="2"/>
    <n v="84.65"/>
    <n v="119.02"/>
    <n v="200.78"/>
    <n v="0"/>
    <n v="0"/>
    <n v="0"/>
    <n v="0"/>
    <n v="0"/>
    <n v="0"/>
    <n v="27.38"/>
    <n v="0"/>
    <n v="433.83000000000004"/>
    <n v="27.38"/>
  </r>
  <r>
    <x v="15"/>
    <x v="5"/>
    <x v="0"/>
    <s v="6900106"/>
    <n v="731060"/>
    <s v="Cell Phones"/>
    <s v="Administration"/>
    <x v="0"/>
    <n v="1001"/>
    <n v="0"/>
    <n v="224.19"/>
    <n v="153.69999999999999"/>
    <n v="0"/>
    <n v="120.23"/>
    <n v="128.47999999999999"/>
    <n v="258.12"/>
    <n v="0"/>
    <n v="131.25"/>
    <n v="257.11"/>
    <n v="92.83"/>
    <n v="128.26"/>
    <n v="1494.1699999999998"/>
    <n v="-35.429999999999993"/>
  </r>
  <r>
    <x v="15"/>
    <x v="5"/>
    <x v="0"/>
    <s v="6900106"/>
    <n v="731065"/>
    <s v="Data Communications"/>
    <s v="Administration"/>
    <x v="0"/>
    <m/>
    <n v="0"/>
    <n v="0"/>
    <n v="682"/>
    <n v="0"/>
    <n v="0"/>
    <n v="0"/>
    <n v="0"/>
    <n v="0"/>
    <n v="0"/>
    <n v="0"/>
    <n v="0"/>
    <n v="0"/>
    <n v="682"/>
    <n v="0"/>
  </r>
  <r>
    <x v="16"/>
    <x v="5"/>
    <x v="0"/>
    <s v="6900106"/>
    <n v="732030"/>
    <s v="Repairs---Other"/>
    <s v="Administration"/>
    <x v="0"/>
    <m/>
    <n v="726"/>
    <n v="1278.1500000000001"/>
    <n v="1038.4000000000001"/>
    <n v="0"/>
    <n v="0"/>
    <n v="95.7"/>
    <n v="0"/>
    <n v="0"/>
    <n v="0"/>
    <n v="0"/>
    <n v="1133.99"/>
    <n v="349.8"/>
    <n v="4622.04"/>
    <n v="784.19"/>
  </r>
  <r>
    <x v="13"/>
    <x v="5"/>
    <x v="0"/>
    <s v="6900106"/>
    <n v="735040"/>
    <s v="Depreciation-Building Improvements"/>
    <s v="Administration"/>
    <x v="0"/>
    <m/>
    <n v="1080.5899999999999"/>
    <n v="1080.5899999999999"/>
    <n v="1080.5899999999999"/>
    <n v="1080.5899999999999"/>
    <n v="1080.5899999999999"/>
    <n v="1080.5899999999999"/>
    <n v="1080.5899999999999"/>
    <n v="1080.58"/>
    <n v="1080.5999999999999"/>
    <n v="1080.58"/>
    <n v="1080.5999999999999"/>
    <n v="1080.58"/>
    <n v="12967.07"/>
    <n v="1.999999999998181E-2"/>
  </r>
  <r>
    <x v="13"/>
    <x v="5"/>
    <x v="0"/>
    <s v="6900106"/>
    <n v="735050"/>
    <s v="Amortization-Leasehold Improvements"/>
    <s v="Administration"/>
    <x v="0"/>
    <m/>
    <n v="0.43"/>
    <n v="0.43"/>
    <n v="0.43"/>
    <n v="0.43"/>
    <n v="0.43"/>
    <n v="0.43"/>
    <n v="0.43"/>
    <n v="0.43"/>
    <n v="0.43"/>
    <n v="0.42"/>
    <n v="0.43"/>
    <n v="0.42"/>
    <n v="5.1400000000000006"/>
    <n v="1.0000000000000009E-2"/>
  </r>
  <r>
    <x v="13"/>
    <x v="5"/>
    <x v="0"/>
    <s v="6900106"/>
    <n v="735060"/>
    <s v="Depreciation-Fixed Equipment"/>
    <s v="Administration"/>
    <x v="0"/>
    <m/>
    <n v="1783.33"/>
    <n v="1783.33"/>
    <n v="1783.33"/>
    <n v="1783.33"/>
    <n v="1783.33"/>
    <n v="1783.32"/>
    <n v="1783.34"/>
    <n v="1783.31"/>
    <n v="1783.35"/>
    <n v="1783.31"/>
    <n v="1783.35"/>
    <n v="1783.31"/>
    <n v="21399.94"/>
    <n v="3.999999999996362E-2"/>
  </r>
  <r>
    <x v="13"/>
    <x v="5"/>
    <x v="0"/>
    <s v="6900106"/>
    <n v="735070"/>
    <s v="Depreciation-Movable Equipment"/>
    <s v="Administration"/>
    <x v="0"/>
    <m/>
    <n v="4296.16"/>
    <n v="4322.83"/>
    <n v="4401.21"/>
    <n v="4400.7700000000004"/>
    <n v="4401.9399999999996"/>
    <n v="4400.72"/>
    <n v="4402.82"/>
    <n v="4400.49"/>
    <n v="4403.16"/>
    <n v="4400.37"/>
    <n v="4404.41"/>
    <n v="4400.16"/>
    <n v="52635.040000000008"/>
    <n v="4.25"/>
  </r>
  <r>
    <x v="0"/>
    <x v="5"/>
    <x v="0"/>
    <s v="6900106"/>
    <n v="740020"/>
    <s v="Education-Registration Fees"/>
    <s v="Administration"/>
    <x v="0"/>
    <m/>
    <n v="0"/>
    <n v="0"/>
    <n v="0"/>
    <n v="0"/>
    <n v="0"/>
    <n v="449"/>
    <n v="837.5"/>
    <n v="0"/>
    <n v="1595"/>
    <n v="0"/>
    <n v="0"/>
    <n v="4092"/>
    <n v="6973.5"/>
    <n v="-4092"/>
  </r>
  <r>
    <x v="0"/>
    <x v="5"/>
    <x v="0"/>
    <s v="6900106"/>
    <n v="742040"/>
    <s v="Freight-Other"/>
    <s v="Administration"/>
    <x v="0"/>
    <m/>
    <n v="0"/>
    <n v="0"/>
    <n v="0"/>
    <n v="0"/>
    <n v="0"/>
    <n v="0"/>
    <n v="0"/>
    <n v="0"/>
    <n v="0"/>
    <n v="0"/>
    <n v="0"/>
    <n v="102.77"/>
    <n v="102.77"/>
    <n v="-102.77"/>
  </r>
  <r>
    <x v="0"/>
    <x v="5"/>
    <x v="0"/>
    <s v="6900106"/>
    <n v="743010"/>
    <s v="Dues--Institutional"/>
    <s v="Administration"/>
    <x v="0"/>
    <m/>
    <n v="7188.42"/>
    <n v="7188.42"/>
    <n v="7188.42"/>
    <n v="7188.42"/>
    <n v="7188.42"/>
    <n v="8538.42"/>
    <n v="845.5"/>
    <n v="15095.7"/>
    <n v="7547.83"/>
    <n v="7547.83"/>
    <n v="7547.83"/>
    <n v="7547.83"/>
    <n v="90613.040000000008"/>
    <n v="0"/>
  </r>
  <r>
    <x v="0"/>
    <x v="5"/>
    <x v="0"/>
    <s v="6900106"/>
    <n v="743020"/>
    <s v="Dues--Individual"/>
    <s v="Administration"/>
    <x v="0"/>
    <m/>
    <n v="0"/>
    <n v="0"/>
    <n v="0"/>
    <n v="0"/>
    <n v="0"/>
    <n v="0"/>
    <n v="345"/>
    <n v="0"/>
    <n v="0"/>
    <n v="0"/>
    <n v="0"/>
    <n v="0"/>
    <n v="345"/>
    <n v="0"/>
  </r>
  <r>
    <x v="0"/>
    <x v="5"/>
    <x v="0"/>
    <s v="6900106"/>
    <n v="743030"/>
    <s v="Subscriptions--Institutional"/>
    <s v="Administration"/>
    <x v="0"/>
    <m/>
    <n v="0"/>
    <n v="42.28"/>
    <n v="1149.08"/>
    <n v="72.44"/>
    <n v="24.18"/>
    <n v="0"/>
    <n v="0"/>
    <n v="0"/>
    <n v="0"/>
    <n v="0"/>
    <n v="0"/>
    <n v="0"/>
    <n v="1287.98"/>
    <n v="0"/>
  </r>
  <r>
    <x v="0"/>
    <x v="5"/>
    <x v="0"/>
    <s v="6900106"/>
    <n v="749510"/>
    <s v="Miscellaneous Expenses"/>
    <s v="Administration"/>
    <x v="0"/>
    <m/>
    <n v="1879.58"/>
    <n v="-38331.93"/>
    <n v="53896.34"/>
    <n v="15730.57"/>
    <n v="53082.18"/>
    <n v="42724.97"/>
    <n v="31185.4"/>
    <n v="9641.27"/>
    <n v="66868.98"/>
    <n v="24938.36"/>
    <n v="41186.46"/>
    <n v="53927.91"/>
    <n v="356730.08999999997"/>
    <n v="-12741.450000000004"/>
  </r>
  <r>
    <x v="0"/>
    <x v="5"/>
    <x v="0"/>
    <s v="6900106"/>
    <n v="749510"/>
    <s v="Licenses"/>
    <s v="Administration"/>
    <x v="0"/>
    <n v="1002"/>
    <n v="0"/>
    <n v="0"/>
    <n v="0"/>
    <n v="18354"/>
    <n v="0"/>
    <n v="0"/>
    <n v="0"/>
    <n v="0"/>
    <n v="0"/>
    <n v="40"/>
    <n v="0"/>
    <n v="0"/>
    <n v="18394"/>
    <n v="0"/>
  </r>
  <r>
    <x v="0"/>
    <x v="5"/>
    <x v="0"/>
    <s v="6900106"/>
    <n v="749510"/>
    <s v="Community Benefit"/>
    <s v="Administration"/>
    <x v="0"/>
    <n v="1027"/>
    <n v="0"/>
    <n v="0"/>
    <n v="0"/>
    <n v="0"/>
    <n v="0"/>
    <n v="0"/>
    <n v="10000"/>
    <n v="0"/>
    <n v="0"/>
    <n v="0"/>
    <n v="0"/>
    <n v="0"/>
    <n v="10000"/>
    <n v="0"/>
  </r>
  <r>
    <x v="0"/>
    <x v="5"/>
    <x v="0"/>
    <s v="6900106"/>
    <n v="749510"/>
    <s v="RICE Rewards"/>
    <s v="Administration"/>
    <x v="0"/>
    <n v="5100"/>
    <n v="0"/>
    <n v="0"/>
    <n v="0"/>
    <n v="0"/>
    <n v="0"/>
    <n v="0"/>
    <n v="0"/>
    <n v="0"/>
    <n v="0"/>
    <n v="0"/>
    <n v="633.6"/>
    <n v="0"/>
    <n v="633.6"/>
    <n v="633.6"/>
  </r>
  <r>
    <x v="0"/>
    <x v="5"/>
    <x v="0"/>
    <s v="6900106"/>
    <n v="749530"/>
    <s v="Travel"/>
    <s v="Administration"/>
    <x v="0"/>
    <m/>
    <n v="0"/>
    <n v="2822.72"/>
    <n v="0"/>
    <n v="0"/>
    <n v="0"/>
    <n v="6665.96"/>
    <n v="909.01"/>
    <n v="15.98"/>
    <n v="2366.52"/>
    <n v="642.26"/>
    <n v="-156.94"/>
    <n v="3258.46"/>
    <n v="16523.97"/>
    <n v="-3415.4"/>
  </r>
  <r>
    <x v="0"/>
    <x v="5"/>
    <x v="0"/>
    <s v="6900106"/>
    <n v="749530"/>
    <s v="Mileage"/>
    <s v="Administration"/>
    <x v="0"/>
    <n v="1001"/>
    <n v="0"/>
    <n v="28.34"/>
    <n v="233.84"/>
    <n v="82.31"/>
    <n v="0"/>
    <n v="0"/>
    <n v="106.28"/>
    <n v="0"/>
    <n v="62.64"/>
    <n v="0"/>
    <n v="89.9"/>
    <n v="19.72"/>
    <n v="623.03"/>
    <n v="70.180000000000007"/>
  </r>
  <r>
    <x v="0"/>
    <x v="5"/>
    <x v="0"/>
    <s v="6900106"/>
    <n v="749535"/>
    <s v="Meetings"/>
    <s v="Administration"/>
    <x v="0"/>
    <m/>
    <n v="0"/>
    <n v="1164.1199999999999"/>
    <n v="0"/>
    <n v="0"/>
    <n v="0"/>
    <n v="0"/>
    <n v="2010.24"/>
    <n v="0"/>
    <n v="0"/>
    <n v="0"/>
    <n v="0"/>
    <n v="0"/>
    <n v="3174.3599999999997"/>
    <n v="0"/>
  </r>
  <r>
    <x v="14"/>
    <x v="6"/>
    <x v="0"/>
    <s v="6900107"/>
    <n v="600050"/>
    <s v="Miscellaneous Revenue"/>
    <s v="Administration"/>
    <x v="0"/>
    <m/>
    <n v="0"/>
    <n v="0"/>
    <n v="0"/>
    <n v="-624.12"/>
    <n v="-204"/>
    <n v="0"/>
    <n v="-51.24"/>
    <n v="0"/>
    <n v="-1442.67"/>
    <n v="0"/>
    <n v="0"/>
    <n v="-86.5"/>
    <n v="-2408.5300000000002"/>
    <n v="86.5"/>
  </r>
  <r>
    <x v="14"/>
    <x v="6"/>
    <x v="0"/>
    <s v="6900107"/>
    <n v="600055"/>
    <s v="Grants"/>
    <s v="Administration"/>
    <x v="0"/>
    <m/>
    <n v="0"/>
    <n v="0"/>
    <n v="-72370"/>
    <n v="0"/>
    <n v="0"/>
    <n v="0"/>
    <n v="0"/>
    <n v="0"/>
    <n v="0"/>
    <n v="0"/>
    <n v="72370"/>
    <n v="0"/>
    <n v="0"/>
    <n v="72370"/>
  </r>
  <r>
    <x v="5"/>
    <x v="6"/>
    <x v="0"/>
    <s v="6900107"/>
    <n v="700014"/>
    <s v="Salaries-Management-Productive"/>
    <s v="Administration"/>
    <x v="0"/>
    <m/>
    <n v="83026.61"/>
    <n v="111858.01"/>
    <n v="97183.97"/>
    <n v="112311.08"/>
    <n v="120849.21"/>
    <n v="61550.99"/>
    <n v="113447.7"/>
    <n v="94209.33"/>
    <n v="94825.51"/>
    <n v="109875.07"/>
    <n v="110866.53"/>
    <n v="111492.98"/>
    <n v="1221496.99"/>
    <n v="-626.44999999999709"/>
  </r>
  <r>
    <x v="5"/>
    <x v="6"/>
    <x v="0"/>
    <s v="6900107"/>
    <n v="700034"/>
    <s v="Salaries-Tech/Professional-Productive"/>
    <s v="Administration"/>
    <x v="0"/>
    <m/>
    <n v="0"/>
    <n v="0"/>
    <n v="7382.56"/>
    <n v="6801.7"/>
    <n v="6316.34"/>
    <n v="4461.4399999999996"/>
    <n v="13526.1"/>
    <n v="13494.56"/>
    <n v="15283.35"/>
    <n v="13330.09"/>
    <n v="15504.53"/>
    <n v="13196.82"/>
    <n v="109297.48999999999"/>
    <n v="2307.7100000000009"/>
  </r>
  <r>
    <x v="5"/>
    <x v="6"/>
    <x v="0"/>
    <s v="6900107"/>
    <n v="700034"/>
    <s v="Salaries-Tech/Professional-Other"/>
    <s v="Administration"/>
    <x v="0"/>
    <n v="2000"/>
    <n v="0"/>
    <n v="0"/>
    <n v="0"/>
    <n v="0"/>
    <n v="0"/>
    <n v="0"/>
    <n v="30.04"/>
    <n v="0"/>
    <n v="0"/>
    <n v="0"/>
    <n v="0"/>
    <n v="0"/>
    <n v="30.04"/>
    <n v="0"/>
  </r>
  <r>
    <x v="5"/>
    <x v="6"/>
    <x v="0"/>
    <s v="6900107"/>
    <n v="700038"/>
    <s v="Salaries-Service/Support-Productive"/>
    <s v="Administration"/>
    <x v="0"/>
    <m/>
    <n v="14038.77"/>
    <n v="15806.32"/>
    <n v="14982.5"/>
    <n v="14806.28"/>
    <n v="11982.51"/>
    <n v="11741.78"/>
    <n v="12321.68"/>
    <n v="16483.34"/>
    <n v="15903.77"/>
    <n v="17958.080000000002"/>
    <n v="16535.72"/>
    <n v="15489.15"/>
    <n v="178049.9"/>
    <n v="1046.5700000000015"/>
  </r>
  <r>
    <x v="5"/>
    <x v="6"/>
    <x v="0"/>
    <s v="6900107"/>
    <n v="700038"/>
    <s v="Salaries-Service/Support-OT"/>
    <s v="Administration"/>
    <x v="0"/>
    <n v="1000"/>
    <n v="0"/>
    <n v="670.61"/>
    <n v="0"/>
    <n v="0"/>
    <n v="559.39"/>
    <n v="346.6"/>
    <n v="708.37"/>
    <n v="164.14"/>
    <n v="796.96"/>
    <n v="104.27"/>
    <n v="578.52"/>
    <n v="391.65"/>
    <n v="4320.5099999999993"/>
    <n v="186.87"/>
  </r>
  <r>
    <x v="5"/>
    <x v="6"/>
    <x v="0"/>
    <s v="6900107"/>
    <n v="700038"/>
    <s v="Salaries-Service/Support-Other"/>
    <s v="Administration"/>
    <x v="0"/>
    <n v="2000"/>
    <n v="19.420000000000002"/>
    <n v="28.92"/>
    <n v="25.65"/>
    <n v="-3.58"/>
    <n v="-4"/>
    <n v="0"/>
    <n v="0"/>
    <n v="30.04"/>
    <n v="0"/>
    <n v="0"/>
    <n v="25.84"/>
    <n v="0"/>
    <n v="122.29000000000002"/>
    <n v="25.84"/>
  </r>
  <r>
    <x v="5"/>
    <x v="6"/>
    <x v="0"/>
    <s v="6900107"/>
    <n v="700054"/>
    <s v="Salaries-Management-Non-productive"/>
    <s v="Administration"/>
    <x v="0"/>
    <m/>
    <n v="32877.57"/>
    <n v="4051.42"/>
    <n v="14987.98"/>
    <n v="3598.35"/>
    <n v="-1921.94"/>
    <n v="59470.25"/>
    <n v="7762.49"/>
    <n v="15259.18"/>
    <n v="26294.77"/>
    <n v="7344.59"/>
    <n v="10221.11"/>
    <n v="5657.54"/>
    <n v="185603.31000000003"/>
    <n v="4563.5700000000006"/>
  </r>
  <r>
    <x v="5"/>
    <x v="6"/>
    <x v="0"/>
    <s v="6900107"/>
    <n v="700054"/>
    <s v="Salaries-Management-NonProd-Other"/>
    <s v="Administration"/>
    <x v="0"/>
    <n v="2000"/>
    <n v="0"/>
    <n v="0"/>
    <n v="0"/>
    <n v="0"/>
    <n v="0"/>
    <n v="64.599999999999994"/>
    <n v="-64.599999999999994"/>
    <n v="0"/>
    <n v="0"/>
    <n v="0"/>
    <n v="0"/>
    <n v="0"/>
    <n v="0"/>
    <n v="0"/>
  </r>
  <r>
    <x v="5"/>
    <x v="6"/>
    <x v="0"/>
    <s v="6900107"/>
    <n v="700074"/>
    <s v="Salaries-Tech/Professional-Non-productive"/>
    <s v="Administration"/>
    <x v="0"/>
    <m/>
    <n v="0"/>
    <n v="0"/>
    <n v="298.72000000000003"/>
    <n v="0"/>
    <n v="309.2"/>
    <n v="2385.16"/>
    <n v="398.55"/>
    <n v="309.66000000000003"/>
    <n v="0"/>
    <n v="1459.77"/>
    <n v="-221.15"/>
    <n v="1593.72"/>
    <n v="6533.63"/>
    <n v="-1814.8700000000001"/>
  </r>
  <r>
    <x v="5"/>
    <x v="6"/>
    <x v="0"/>
    <s v="6900107"/>
    <n v="700074"/>
    <s v="Salaries-Tech/Professional-NonProd-Other"/>
    <s v="Administration"/>
    <x v="0"/>
    <n v="2000"/>
    <n v="0"/>
    <n v="0"/>
    <n v="0"/>
    <n v="0"/>
    <n v="710.13"/>
    <n v="1420.26"/>
    <n v="0"/>
    <n v="-2130.39"/>
    <n v="0"/>
    <n v="0"/>
    <n v="0"/>
    <n v="0"/>
    <n v="0"/>
    <n v="0"/>
  </r>
  <r>
    <x v="5"/>
    <x v="6"/>
    <x v="0"/>
    <s v="6900107"/>
    <n v="700078"/>
    <s v="Salaries-Service/Support-Non-productive"/>
    <s v="Administration"/>
    <x v="0"/>
    <m/>
    <n v="4115.88"/>
    <n v="2349.17"/>
    <n v="2591.11"/>
    <n v="3732.06"/>
    <n v="-844.02"/>
    <n v="1738.93"/>
    <n v="1112.1500000000001"/>
    <n v="620.61"/>
    <n v="2771.78"/>
    <n v="-623.72"/>
    <n v="1895.44"/>
    <n v="2485.5100000000002"/>
    <n v="21944.899999999994"/>
    <n v="-590.07000000000016"/>
  </r>
  <r>
    <x v="5"/>
    <x v="6"/>
    <x v="0"/>
    <s v="6900107"/>
    <n v="700078"/>
    <s v="Salaries-Service/Support-NonProd-Other"/>
    <s v="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900107"/>
    <n v="700084"/>
    <s v="Accrued PTO"/>
    <s v="Administration"/>
    <x v="0"/>
    <m/>
    <n v="-1881.56"/>
    <n v="660.19"/>
    <n v="11932.35"/>
    <n v="1410.3"/>
    <n v="2013.42"/>
    <n v="305.26"/>
    <n v="1407.26"/>
    <n v="2669.54"/>
    <n v="838.43"/>
    <n v="1041.96"/>
    <n v="1059.94"/>
    <n v="1646.71"/>
    <n v="23103.799999999996"/>
    <n v="-586.77"/>
  </r>
  <r>
    <x v="6"/>
    <x v="6"/>
    <x v="0"/>
    <s v="6900107"/>
    <n v="713010"/>
    <s v="Benefits-FICA/Medicare"/>
    <s v="Administration"/>
    <x v="0"/>
    <m/>
    <n v="2259.73"/>
    <n v="3067.74"/>
    <n v="3464.99"/>
    <n v="3527.46"/>
    <n v="3207.47"/>
    <n v="7489.25"/>
    <n v="14866.92"/>
    <n v="8925.8700000000008"/>
    <n v="8833.43"/>
    <n v="8468.1200000000008"/>
    <n v="7012.89"/>
    <n v="5808.01"/>
    <n v="76931.88"/>
    <n v="1204.8800000000001"/>
  </r>
  <r>
    <x v="6"/>
    <x v="6"/>
    <x v="0"/>
    <s v="6900107"/>
    <n v="713090"/>
    <s v="Benefits-Allocated Amounts"/>
    <s v="Administration"/>
    <x v="0"/>
    <m/>
    <n v="11044.52"/>
    <n v="10262.52"/>
    <n v="12352.19"/>
    <n v="11823.43"/>
    <n v="11651.98"/>
    <n v="11681.38"/>
    <n v="12658.19"/>
    <n v="13285.31"/>
    <n v="10588.26"/>
    <n v="14507.82"/>
    <n v="14145.57"/>
    <n v="15770.09"/>
    <n v="149771.26"/>
    <n v="-1624.5200000000004"/>
  </r>
  <r>
    <x v="6"/>
    <x v="6"/>
    <x v="0"/>
    <s v="6900107"/>
    <n v="713096"/>
    <s v="Benefits-Other"/>
    <s v="Administration"/>
    <x v="0"/>
    <m/>
    <n v="5246.93"/>
    <n v="-6313"/>
    <n v="-4905.5"/>
    <n v="5000"/>
    <n v="18911"/>
    <n v="-3230"/>
    <n v="25058.38"/>
    <n v="-33601.660000000003"/>
    <n v="-160.38"/>
    <n v="8114.54"/>
    <n v="0"/>
    <n v="0"/>
    <n v="14120.309999999994"/>
    <n v="0"/>
  </r>
  <r>
    <x v="6"/>
    <x v="6"/>
    <x v="0"/>
    <s v="6900107"/>
    <n v="713096"/>
    <s v="Employee Recognition"/>
    <s v="Administration"/>
    <x v="0"/>
    <n v="1017"/>
    <n v="0"/>
    <n v="82.84"/>
    <n v="0"/>
    <n v="0"/>
    <n v="25.06"/>
    <n v="155.62"/>
    <n v="470.48"/>
    <n v="0"/>
    <n v="147.15"/>
    <n v="0"/>
    <n v="190.82"/>
    <n v="0"/>
    <n v="1071.97"/>
    <n v="190.82"/>
  </r>
  <r>
    <x v="17"/>
    <x v="6"/>
    <x v="0"/>
    <s v="6900107"/>
    <n v="714520"/>
    <s v="Other Contracted Professionals"/>
    <s v="Administration"/>
    <x v="0"/>
    <m/>
    <n v="0"/>
    <n v="0"/>
    <n v="0"/>
    <n v="0"/>
    <n v="0"/>
    <n v="0"/>
    <n v="0"/>
    <n v="0"/>
    <n v="1977.5"/>
    <n v="0"/>
    <n v="0"/>
    <n v="0"/>
    <n v="1977.5"/>
    <n v="0"/>
  </r>
  <r>
    <x v="7"/>
    <x v="6"/>
    <x v="0"/>
    <s v="6900107"/>
    <n v="718050"/>
    <s v="Contract Svcs-Other"/>
    <s v="Administration"/>
    <x v="0"/>
    <m/>
    <n v="0"/>
    <n v="7935"/>
    <n v="0"/>
    <n v="0"/>
    <n v="0"/>
    <n v="0"/>
    <n v="0"/>
    <n v="0"/>
    <n v="0"/>
    <n v="0"/>
    <n v="0"/>
    <n v="0"/>
    <n v="7935"/>
    <n v="0"/>
  </r>
  <r>
    <x v="7"/>
    <x v="6"/>
    <x v="0"/>
    <s v="6900107"/>
    <n v="718050"/>
    <s v="Miscellaneous Purchased Svcs"/>
    <s v="Administration"/>
    <x v="0"/>
    <n v="1020"/>
    <n v="15600"/>
    <n v="49832.44"/>
    <n v="1819"/>
    <n v="57533.93"/>
    <n v="30057.53"/>
    <n v="15026.15"/>
    <n v="16173.25"/>
    <n v="40021.18"/>
    <n v="14607"/>
    <n v="14261.7"/>
    <n v="13357"/>
    <n v="18754.61"/>
    <n v="287043.78999999998"/>
    <n v="-5397.6100000000006"/>
  </r>
  <r>
    <x v="7"/>
    <x v="6"/>
    <x v="0"/>
    <s v="6900107"/>
    <n v="718070"/>
    <s v="Contract Srvcs-CHI Clinical Engineering"/>
    <s v="Administration"/>
    <x v="0"/>
    <m/>
    <n v="49.84"/>
    <n v="49.84"/>
    <n v="49.84"/>
    <n v="49.84"/>
    <n v="49.84"/>
    <n v="49.84"/>
    <n v="49.84"/>
    <n v="49.84"/>
    <n v="49.84"/>
    <n v="49.84"/>
    <n v="49.84"/>
    <n v="49.84"/>
    <n v="598.08000000000015"/>
    <n v="0"/>
  </r>
  <r>
    <x v="7"/>
    <x v="6"/>
    <x v="0"/>
    <s v="6900107"/>
    <n v="718091"/>
    <s v="Contract Services-Intracompany Allocation"/>
    <s v="Administration"/>
    <x v="0"/>
    <m/>
    <n v="-14000"/>
    <n v="-14000"/>
    <n v="-14000"/>
    <n v="-14000"/>
    <n v="-14000"/>
    <n v="-14000"/>
    <n v="-14000"/>
    <n v="-14000"/>
    <n v="-14000"/>
    <n v="-14000"/>
    <n v="-14000"/>
    <n v="-14000"/>
    <n v="-168000"/>
    <n v="0"/>
  </r>
  <r>
    <x v="11"/>
    <x v="6"/>
    <x v="0"/>
    <s v="6900107"/>
    <n v="721410"/>
    <s v="Supplies-Medical - Nonbillable"/>
    <s v="Administration"/>
    <x v="0"/>
    <m/>
    <n v="0"/>
    <n v="54.16"/>
    <n v="0"/>
    <n v="0"/>
    <n v="0"/>
    <n v="0"/>
    <n v="0"/>
    <n v="0"/>
    <n v="0"/>
    <n v="0"/>
    <n v="0"/>
    <n v="0"/>
    <n v="54.16"/>
    <n v="0"/>
  </r>
  <r>
    <x v="11"/>
    <x v="6"/>
    <x v="0"/>
    <s v="6900107"/>
    <n v="721810"/>
    <s v="Supplies-Dietary/Cafeteria"/>
    <s v="Administration"/>
    <x v="0"/>
    <m/>
    <n v="3389.15"/>
    <n v="3596.49"/>
    <n v="3821.51"/>
    <n v="29990.36"/>
    <n v="2825.82"/>
    <n v="45523.72"/>
    <n v="4250.2700000000004"/>
    <n v="4231.9799999999996"/>
    <n v="1339.33"/>
    <n v="5104.4399999999996"/>
    <n v="8689.7000000000007"/>
    <n v="8478.58"/>
    <n v="121241.35"/>
    <n v="211.1200000000008"/>
  </r>
  <r>
    <x v="11"/>
    <x v="6"/>
    <x v="0"/>
    <s v="6900107"/>
    <n v="721830"/>
    <s v="Supplies-Office"/>
    <s v="Administration"/>
    <x v="0"/>
    <m/>
    <n v="86.35"/>
    <n v="567.15"/>
    <n v="237.01"/>
    <n v="796.19"/>
    <n v="639.52"/>
    <n v="273.18"/>
    <n v="611.79"/>
    <n v="453.64"/>
    <n v="807.13"/>
    <n v="220.89"/>
    <n v="190.02"/>
    <n v="0"/>
    <n v="4882.8700000000008"/>
    <n v="190.02"/>
  </r>
  <r>
    <x v="11"/>
    <x v="6"/>
    <x v="0"/>
    <s v="6900107"/>
    <n v="721835"/>
    <s v="Supplies-Forms"/>
    <s v="Administration"/>
    <x v="0"/>
    <m/>
    <n v="0"/>
    <n v="0"/>
    <n v="0"/>
    <n v="0"/>
    <n v="24"/>
    <n v="0"/>
    <n v="2.5"/>
    <n v="0"/>
    <n v="0"/>
    <n v="0"/>
    <n v="0"/>
    <n v="168"/>
    <n v="194.5"/>
    <n v="-168"/>
  </r>
  <r>
    <x v="11"/>
    <x v="6"/>
    <x v="0"/>
    <s v="6900107"/>
    <n v="721910"/>
    <s v="Supplies-Small Equipment"/>
    <s v="Administration"/>
    <x v="0"/>
    <m/>
    <n v="0"/>
    <n v="7.68"/>
    <n v="0"/>
    <n v="194.61"/>
    <n v="147.34"/>
    <n v="962.06"/>
    <n v="1851.56"/>
    <n v="2970.67"/>
    <n v="2303.54"/>
    <n v="4017.69"/>
    <n v="0"/>
    <n v="3435.72"/>
    <n v="15890.869999999999"/>
    <n v="-3435.72"/>
  </r>
  <r>
    <x v="11"/>
    <x v="6"/>
    <x v="0"/>
    <s v="6900107"/>
    <n v="721980"/>
    <s v="Supplies-Other"/>
    <s v="Administration"/>
    <x v="0"/>
    <m/>
    <n v="0"/>
    <n v="74.12"/>
    <n v="0"/>
    <n v="-288"/>
    <n v="353.61"/>
    <n v="87.8"/>
    <n v="0"/>
    <n v="0"/>
    <n v="0"/>
    <n v="86.11"/>
    <n v="357.52"/>
    <n v="0"/>
    <n v="671.16000000000008"/>
    <n v="357.52"/>
  </r>
  <r>
    <x v="11"/>
    <x v="6"/>
    <x v="0"/>
    <s v="6900107"/>
    <n v="722000"/>
    <s v="Supplies-Freight Expense"/>
    <s v="Administration"/>
    <x v="0"/>
    <m/>
    <n v="0"/>
    <n v="0"/>
    <n v="35.83"/>
    <n v="0"/>
    <n v="0"/>
    <n v="137.88"/>
    <n v="39.65"/>
    <n v="0"/>
    <n v="0"/>
    <n v="0"/>
    <n v="21.67"/>
    <n v="0"/>
    <n v="235.02999999999997"/>
    <n v="21.67"/>
  </r>
  <r>
    <x v="11"/>
    <x v="6"/>
    <x v="0"/>
    <s v="6900107"/>
    <n v="723000"/>
    <s v="Supply Rebates/Patronage Dividend"/>
    <s v="Administration"/>
    <x v="0"/>
    <m/>
    <n v="0"/>
    <n v="0"/>
    <n v="0"/>
    <n v="0"/>
    <n v="0"/>
    <n v="0"/>
    <n v="0"/>
    <n v="0"/>
    <n v="0"/>
    <n v="0"/>
    <n v="0"/>
    <n v="-19936.189999999999"/>
    <n v="-19936.189999999999"/>
    <n v="19936.189999999999"/>
  </r>
  <r>
    <x v="12"/>
    <x v="6"/>
    <x v="0"/>
    <s v="6900107"/>
    <n v="730010"/>
    <s v="Rental and Leases-Building (DO NOT USE)"/>
    <s v="Administration"/>
    <x v="0"/>
    <m/>
    <n v="11162.43"/>
    <n v="11162.43"/>
    <n v="11162.43"/>
    <n v="11162.43"/>
    <n v="11162.43"/>
    <n v="-5461.68"/>
    <n v="8829.17"/>
    <n v="8829.17"/>
    <n v="8829.17"/>
    <n v="8828.74"/>
    <n v="8828.74"/>
    <n v="0"/>
    <n v="94495.46"/>
    <n v="8828.74"/>
  </r>
  <r>
    <x v="12"/>
    <x v="6"/>
    <x v="0"/>
    <s v="6900107"/>
    <n v="730010"/>
    <s v="Rental-Common Area Maint (DO NOT USE)"/>
    <s v="Administration"/>
    <x v="0"/>
    <n v="2200"/>
    <n v="0"/>
    <n v="0"/>
    <n v="0"/>
    <n v="0"/>
    <n v="0"/>
    <n v="16914.72"/>
    <n v="2623.87"/>
    <n v="2623.87"/>
    <n v="2623.87"/>
    <n v="2942.6"/>
    <n v="2942.6"/>
    <n v="0"/>
    <n v="30671.529999999995"/>
    <n v="2942.6"/>
  </r>
  <r>
    <x v="12"/>
    <x v="6"/>
    <x v="0"/>
    <s v="6900107"/>
    <n v="730020"/>
    <s v="Rental and Leases-Equipment (DO NOT USE)"/>
    <s v="Administration"/>
    <x v="0"/>
    <m/>
    <n v="0"/>
    <n v="84.35"/>
    <n v="42.02"/>
    <n v="42.33"/>
    <n v="0"/>
    <n v="-1.37"/>
    <n v="76.06"/>
    <n v="0"/>
    <n v="38.03"/>
    <n v="0"/>
    <n v="76.06"/>
    <n v="335.32"/>
    <n v="692.8"/>
    <n v="-259.26"/>
  </r>
  <r>
    <x v="12"/>
    <x v="6"/>
    <x v="0"/>
    <s v="6900107"/>
    <n v="730020"/>
    <s v="Rental and Leases-Copier Usage Fees (DO NOT USE)"/>
    <s v="Administration"/>
    <x v="0"/>
    <n v="5100"/>
    <n v="1869.54"/>
    <n v="1898.47"/>
    <n v="1884"/>
    <n v="1884"/>
    <n v="1884"/>
    <n v="1884"/>
    <n v="-2494.88"/>
    <n v="952.46"/>
    <n v="950.46"/>
    <n v="2521.23"/>
    <n v="952.46"/>
    <n v="1075.1300000000001"/>
    <n v="15260.869999999999"/>
    <n v="-122.67000000000007"/>
  </r>
  <r>
    <x v="12"/>
    <x v="6"/>
    <x v="0"/>
    <s v="6900107"/>
    <n v="730040"/>
    <s v="LT Lease-Real Estate"/>
    <s v="Administration"/>
    <x v="0"/>
    <m/>
    <n v="0"/>
    <n v="0"/>
    <n v="0"/>
    <n v="0"/>
    <n v="0"/>
    <n v="0"/>
    <n v="0"/>
    <n v="0"/>
    <n v="0"/>
    <n v="0"/>
    <n v="0"/>
    <n v="11474.05"/>
    <n v="11474.05"/>
    <n v="-11474.05"/>
  </r>
  <r>
    <x v="15"/>
    <x v="6"/>
    <x v="0"/>
    <s v="6900107"/>
    <n v="731060"/>
    <s v="Telephone"/>
    <s v="Administration"/>
    <x v="0"/>
    <m/>
    <n v="0"/>
    <n v="39"/>
    <n v="3.51"/>
    <n v="0"/>
    <n v="0"/>
    <n v="0"/>
    <n v="0"/>
    <n v="0"/>
    <n v="0"/>
    <n v="39"/>
    <n v="34.18"/>
    <n v="0"/>
    <n v="115.69"/>
    <n v="34.18"/>
  </r>
  <r>
    <x v="15"/>
    <x v="6"/>
    <x v="0"/>
    <s v="6900107"/>
    <n v="731060"/>
    <s v="Cell Phones"/>
    <s v="Administration"/>
    <x v="0"/>
    <n v="1001"/>
    <n v="0"/>
    <n v="338.26"/>
    <n v="67.27"/>
    <n v="0"/>
    <n v="67.400000000000006"/>
    <n v="68.510000000000005"/>
    <n v="137.08000000000001"/>
    <n v="0"/>
    <n v="69.540000000000006"/>
    <n v="319.14999999999998"/>
    <n v="67.819999999999993"/>
    <n v="68.87"/>
    <n v="1203.9000000000001"/>
    <n v="-1.0500000000000114"/>
  </r>
  <r>
    <x v="16"/>
    <x v="6"/>
    <x v="0"/>
    <s v="6900107"/>
    <n v="732030"/>
    <s v="Repairs---Other"/>
    <s v="Administration"/>
    <x v="0"/>
    <m/>
    <n v="0"/>
    <n v="0"/>
    <n v="0"/>
    <n v="0"/>
    <n v="0"/>
    <n v="0"/>
    <n v="0"/>
    <n v="535.23"/>
    <n v="851.36"/>
    <n v="0"/>
    <n v="993.8"/>
    <n v="0"/>
    <n v="2380.3900000000003"/>
    <n v="993.8"/>
  </r>
  <r>
    <x v="16"/>
    <x v="6"/>
    <x v="0"/>
    <s v="6900107"/>
    <n v="732030"/>
    <s v="Repairs&amp;Maintenance-Bldg Routine"/>
    <s v="Administration"/>
    <x v="0"/>
    <n v="2300"/>
    <n v="0"/>
    <n v="0"/>
    <n v="0"/>
    <n v="0"/>
    <n v="0"/>
    <n v="0"/>
    <n v="0"/>
    <n v="0"/>
    <n v="490"/>
    <n v="0"/>
    <n v="0"/>
    <n v="0"/>
    <n v="490"/>
    <n v="0"/>
  </r>
  <r>
    <x v="13"/>
    <x v="6"/>
    <x v="0"/>
    <s v="6900107"/>
    <n v="735070"/>
    <s v="Depreciation-Movable Equipment"/>
    <s v="Administration"/>
    <x v="0"/>
    <m/>
    <n v="255.95"/>
    <n v="255.95"/>
    <n v="255.95"/>
    <n v="255.95"/>
    <n v="255.95"/>
    <n v="255.95"/>
    <n v="255.96"/>
    <n v="687.65"/>
    <n v="687.68"/>
    <n v="687.64"/>
    <n v="687.68"/>
    <n v="3290.89"/>
    <n v="7833.1999999999989"/>
    <n v="-2603.21"/>
  </r>
  <r>
    <x v="0"/>
    <x v="6"/>
    <x v="0"/>
    <s v="6900107"/>
    <n v="740020"/>
    <s v="Education-Registration Fees"/>
    <s v="Administration"/>
    <x v="0"/>
    <m/>
    <n v="0"/>
    <n v="2250"/>
    <n v="0"/>
    <n v="0"/>
    <n v="1197"/>
    <n v="0"/>
    <n v="835"/>
    <n v="0"/>
    <n v="0"/>
    <n v="0"/>
    <n v="0"/>
    <n v="3130"/>
    <n v="7412"/>
    <n v="-3130"/>
  </r>
  <r>
    <x v="0"/>
    <x v="6"/>
    <x v="0"/>
    <s v="6900107"/>
    <n v="742010"/>
    <s v="Postage-Regular"/>
    <s v="Administration"/>
    <x v="0"/>
    <m/>
    <n v="0"/>
    <n v="0"/>
    <n v="9.56"/>
    <n v="0"/>
    <n v="0"/>
    <n v="0"/>
    <n v="0"/>
    <n v="0"/>
    <n v="0"/>
    <n v="0"/>
    <n v="0"/>
    <n v="9.9499999999999993"/>
    <n v="19.509999999999998"/>
    <n v="-9.9499999999999993"/>
  </r>
  <r>
    <x v="0"/>
    <x v="6"/>
    <x v="0"/>
    <s v="6900107"/>
    <n v="743010"/>
    <s v="Dues--Institutional"/>
    <s v="Administration"/>
    <x v="0"/>
    <m/>
    <n v="11640"/>
    <n v="11640"/>
    <n v="11640"/>
    <n v="11640"/>
    <n v="11640"/>
    <n v="11640"/>
    <n v="0"/>
    <n v="24444"/>
    <n v="12222"/>
    <n v="12222"/>
    <n v="12222"/>
    <n v="12222"/>
    <n v="143172"/>
    <n v="0"/>
  </r>
  <r>
    <x v="0"/>
    <x v="6"/>
    <x v="0"/>
    <s v="6900107"/>
    <n v="743020"/>
    <s v="Dues--Individual"/>
    <s v="Administration"/>
    <x v="0"/>
    <m/>
    <n v="0"/>
    <n v="0"/>
    <n v="0"/>
    <n v="0"/>
    <n v="845"/>
    <n v="0"/>
    <n v="0"/>
    <n v="0"/>
    <n v="570"/>
    <n v="345"/>
    <n v="25"/>
    <n v="0"/>
    <n v="1785"/>
    <n v="25"/>
  </r>
  <r>
    <x v="0"/>
    <x v="6"/>
    <x v="0"/>
    <s v="6900107"/>
    <n v="743030"/>
    <s v="Subscriptions--Institutional"/>
    <s v="Administration"/>
    <x v="0"/>
    <m/>
    <n v="358"/>
    <n v="0"/>
    <n v="0"/>
    <n v="-1791.27"/>
    <n v="0"/>
    <n v="0"/>
    <n v="0"/>
    <n v="0"/>
    <n v="0"/>
    <n v="0"/>
    <n v="0"/>
    <n v="0"/>
    <n v="-1433.27"/>
    <n v="0"/>
  </r>
  <r>
    <x v="0"/>
    <x v="6"/>
    <x v="0"/>
    <s v="6900107"/>
    <n v="744010"/>
    <s v="Recruitment"/>
    <s v="Administration"/>
    <x v="0"/>
    <m/>
    <n v="0"/>
    <n v="216100.53"/>
    <n v="0"/>
    <n v="0"/>
    <n v="0"/>
    <n v="0"/>
    <n v="0"/>
    <n v="0"/>
    <n v="0"/>
    <n v="0"/>
    <n v="0"/>
    <n v="0"/>
    <n v="216100.53"/>
    <n v="0"/>
  </r>
  <r>
    <x v="0"/>
    <x v="6"/>
    <x v="0"/>
    <s v="6900107"/>
    <n v="745010"/>
    <s v="Donations and Contributions"/>
    <s v="Administration"/>
    <x v="0"/>
    <m/>
    <n v="0"/>
    <n v="0"/>
    <n v="0"/>
    <n v="322"/>
    <n v="120720"/>
    <n v="0"/>
    <n v="10230"/>
    <n v="0"/>
    <n v="10000"/>
    <n v="266"/>
    <n v="0"/>
    <n v="0"/>
    <n v="141538"/>
    <n v="0"/>
  </r>
  <r>
    <x v="0"/>
    <x v="6"/>
    <x v="0"/>
    <s v="6900107"/>
    <n v="749510"/>
    <s v="Miscellaneous Expenses"/>
    <s v="Administration"/>
    <x v="0"/>
    <m/>
    <n v="4420.6400000000003"/>
    <n v="2633.29"/>
    <n v="5135.17"/>
    <n v="6837.58"/>
    <n v="-3379.28"/>
    <n v="7059.76"/>
    <n v="368.31"/>
    <n v="-2901.76"/>
    <n v="3692.64"/>
    <n v="7140.63"/>
    <n v="3532.62"/>
    <n v="7652.85"/>
    <n v="42192.45"/>
    <n v="-4120.2300000000005"/>
  </r>
  <r>
    <x v="0"/>
    <x v="6"/>
    <x v="0"/>
    <s v="6900107"/>
    <n v="749510"/>
    <s v="Licenses"/>
    <s v="Administration"/>
    <x v="0"/>
    <n v="1002"/>
    <n v="0"/>
    <n v="0"/>
    <n v="0"/>
    <n v="0"/>
    <n v="46368"/>
    <n v="5051"/>
    <n v="0"/>
    <n v="0"/>
    <n v="0"/>
    <n v="583.74"/>
    <n v="0"/>
    <n v="400"/>
    <n v="52402.74"/>
    <n v="-400"/>
  </r>
  <r>
    <x v="0"/>
    <x v="6"/>
    <x v="0"/>
    <s v="6900107"/>
    <n v="749510"/>
    <s v="Miscellaneous Employee Expense"/>
    <s v="Administration"/>
    <x v="0"/>
    <n v="1010"/>
    <n v="0"/>
    <n v="0"/>
    <n v="0"/>
    <n v="0"/>
    <n v="0"/>
    <n v="0"/>
    <n v="0"/>
    <n v="0"/>
    <n v="0"/>
    <n v="877.25"/>
    <n v="0"/>
    <n v="0"/>
    <n v="877.25"/>
    <n v="0"/>
  </r>
  <r>
    <x v="0"/>
    <x v="6"/>
    <x v="0"/>
    <s v="6900107"/>
    <n v="749510"/>
    <s v="Community Benefit"/>
    <s v="Administration"/>
    <x v="0"/>
    <n v="1027"/>
    <n v="0"/>
    <n v="0"/>
    <n v="0"/>
    <n v="0"/>
    <n v="5000"/>
    <n v="15000"/>
    <n v="20000"/>
    <n v="0"/>
    <n v="0"/>
    <n v="850"/>
    <n v="0"/>
    <n v="0"/>
    <n v="40850"/>
    <n v="0"/>
  </r>
  <r>
    <x v="0"/>
    <x v="6"/>
    <x v="0"/>
    <s v="6900107"/>
    <n v="749510"/>
    <s v="RICE Rewards"/>
    <s v="Administration"/>
    <x v="0"/>
    <n v="5100"/>
    <n v="0"/>
    <n v="0"/>
    <n v="0"/>
    <n v="0"/>
    <n v="0"/>
    <n v="0"/>
    <n v="0"/>
    <n v="0"/>
    <n v="0"/>
    <n v="387.03"/>
    <n v="609.57000000000005"/>
    <n v="2199.6"/>
    <n v="3196.2"/>
    <n v="-1590.0299999999997"/>
  </r>
  <r>
    <x v="0"/>
    <x v="6"/>
    <x v="0"/>
    <s v="6900107"/>
    <n v="749530"/>
    <s v="Travel"/>
    <s v="Administration"/>
    <x v="0"/>
    <m/>
    <n v="0"/>
    <n v="5"/>
    <n v="115.16"/>
    <n v="0"/>
    <n v="3200.66"/>
    <n v="68.31"/>
    <n v="2966.17"/>
    <n v="23.9"/>
    <n v="326.85000000000002"/>
    <n v="1221.1500000000001"/>
    <n v="2029.09"/>
    <n v="357.06"/>
    <n v="10313.349999999999"/>
    <n v="1672.03"/>
  </r>
  <r>
    <x v="0"/>
    <x v="6"/>
    <x v="0"/>
    <s v="6900107"/>
    <n v="749530"/>
    <s v="Mileage"/>
    <s v="Administration"/>
    <x v="0"/>
    <n v="1001"/>
    <n v="0"/>
    <n v="35.43"/>
    <n v="458.4"/>
    <n v="141.71"/>
    <n v="1133.67"/>
    <n v="117.72"/>
    <n v="67.63"/>
    <n v="245.34"/>
    <n v="176.9"/>
    <n v="84.1"/>
    <n v="454.14"/>
    <n v="639.54"/>
    <n v="3554.58"/>
    <n v="-185.39999999999998"/>
  </r>
  <r>
    <x v="0"/>
    <x v="6"/>
    <x v="0"/>
    <s v="6900107"/>
    <n v="749535"/>
    <s v="Meetings"/>
    <s v="Administration"/>
    <x v="0"/>
    <m/>
    <n v="0"/>
    <n v="0"/>
    <n v="159.25"/>
    <n v="0"/>
    <n v="1674.98"/>
    <n v="173.26"/>
    <n v="0"/>
    <n v="0"/>
    <n v="228.58"/>
    <n v="0"/>
    <n v="47.19"/>
    <n v="0"/>
    <n v="2283.2600000000002"/>
    <n v="47.19"/>
  </r>
  <r>
    <x v="0"/>
    <x v="6"/>
    <x v="0"/>
    <s v="6900107"/>
    <n v="749535"/>
    <s v="Medicare Non-Allowable Beverages"/>
    <s v="Administration"/>
    <x v="0"/>
    <n v="1005"/>
    <n v="0"/>
    <n v="0"/>
    <n v="0"/>
    <n v="0"/>
    <n v="696.54"/>
    <n v="0"/>
    <n v="0"/>
    <n v="0"/>
    <n v="37"/>
    <n v="0"/>
    <n v="0"/>
    <n v="0"/>
    <n v="733.54"/>
    <n v="0"/>
  </r>
  <r>
    <x v="14"/>
    <x v="7"/>
    <x v="0"/>
    <s v="6900150"/>
    <n v="600050"/>
    <s v="Miscellaneous Revenue"/>
    <s v="Administration"/>
    <x v="0"/>
    <m/>
    <n v="0"/>
    <n v="0"/>
    <n v="0"/>
    <n v="0"/>
    <n v="0"/>
    <n v="0"/>
    <n v="-54.92"/>
    <n v="-54.92"/>
    <n v="-68.650000000000006"/>
    <n v="0"/>
    <n v="-137.30000000000001"/>
    <n v="-50.32"/>
    <n v="-366.11"/>
    <n v="-86.980000000000018"/>
  </r>
  <r>
    <x v="14"/>
    <x v="7"/>
    <x v="0"/>
    <s v="6900150"/>
    <n v="600055"/>
    <s v="Grants"/>
    <s v="Administration"/>
    <x v="0"/>
    <m/>
    <n v="0"/>
    <n v="0"/>
    <n v="0"/>
    <n v="0"/>
    <n v="0"/>
    <n v="0"/>
    <n v="0"/>
    <n v="0"/>
    <n v="3380.52"/>
    <n v="0"/>
    <n v="-9730"/>
    <n v="0"/>
    <n v="-6349.48"/>
    <n v="-9730"/>
  </r>
  <r>
    <x v="5"/>
    <x v="7"/>
    <x v="0"/>
    <s v="6900150"/>
    <n v="700014"/>
    <s v="Salaries-Management-Productive"/>
    <s v="Administration"/>
    <x v="0"/>
    <m/>
    <n v="11302.59"/>
    <n v="12598.49"/>
    <n v="17072.66"/>
    <n v="6299.36"/>
    <n v="22427.57"/>
    <n v="11620.92"/>
    <n v="17209.57"/>
    <n v="17332.580000000002"/>
    <n v="19189.759999999998"/>
    <n v="18570.13"/>
    <n v="14980.57"/>
    <n v="495.72"/>
    <n v="169099.92"/>
    <n v="14484.85"/>
  </r>
  <r>
    <x v="5"/>
    <x v="7"/>
    <x v="0"/>
    <s v="6900150"/>
    <n v="700014"/>
    <s v="Salaries-Management-Other"/>
    <s v="Administration"/>
    <x v="0"/>
    <n v="2000"/>
    <n v="0"/>
    <n v="0"/>
    <n v="0"/>
    <n v="0"/>
    <n v="0"/>
    <n v="0"/>
    <n v="0"/>
    <n v="0"/>
    <n v="0"/>
    <n v="1182.4000000000001"/>
    <n v="964.64"/>
    <n v="31.16"/>
    <n v="2178.1999999999998"/>
    <n v="933.48"/>
  </r>
  <r>
    <x v="5"/>
    <x v="7"/>
    <x v="0"/>
    <s v="6900150"/>
    <n v="700038"/>
    <s v="Salaries-Service/Support-Productive"/>
    <s v="Administration"/>
    <x v="0"/>
    <m/>
    <n v="4895.93"/>
    <n v="5251"/>
    <n v="4962.79"/>
    <n v="4600.13"/>
    <n v="5619.18"/>
    <n v="3863.47"/>
    <n v="5352.47"/>
    <n v="5190.47"/>
    <n v="6334.44"/>
    <n v="4747.5200000000004"/>
    <n v="5240.67"/>
    <n v="4909.6099999999997"/>
    <n v="60967.680000000008"/>
    <n v="331.0600000000004"/>
  </r>
  <r>
    <x v="5"/>
    <x v="7"/>
    <x v="0"/>
    <s v="6900150"/>
    <n v="700054"/>
    <s v="Salaries-Management-Non-productive"/>
    <s v="Administration"/>
    <x v="0"/>
    <m/>
    <n v="6946.6"/>
    <n v="5651.55"/>
    <n v="588.89"/>
    <n v="11950.65"/>
    <n v="-1936.87"/>
    <n v="7540.74"/>
    <n v="1982.02"/>
    <n v="0"/>
    <n v="0"/>
    <n v="0"/>
    <n v="4209.18"/>
    <n v="123.94"/>
    <n v="37056.700000000012"/>
    <n v="4085.2400000000002"/>
  </r>
  <r>
    <x v="5"/>
    <x v="7"/>
    <x v="0"/>
    <s v="6900150"/>
    <n v="700054"/>
    <s v="Salaries-Management-NonProd-Other"/>
    <s v="Administration"/>
    <x v="0"/>
    <n v="2000"/>
    <n v="0"/>
    <n v="0"/>
    <n v="0"/>
    <n v="0"/>
    <n v="0"/>
    <n v="140.02000000000001"/>
    <n v="-140.02000000000001"/>
    <n v="0"/>
    <n v="0"/>
    <n v="0"/>
    <n v="0"/>
    <n v="0"/>
    <n v="0"/>
    <n v="0"/>
  </r>
  <r>
    <x v="5"/>
    <x v="7"/>
    <x v="0"/>
    <s v="6900150"/>
    <n v="700078"/>
    <s v="Salaries-Service/Support-Non-productive"/>
    <s v="Administration"/>
    <x v="0"/>
    <m/>
    <n v="1048.75"/>
    <n v="693.95"/>
    <n v="811.45"/>
    <n v="1560.53"/>
    <n v="392.67"/>
    <n v="2348.9699999999998"/>
    <n v="869.68"/>
    <n v="428.96"/>
    <n v="-112.87"/>
    <n v="1273.1600000000001"/>
    <n v="980.88"/>
    <n v="1111.3399999999999"/>
    <n v="11407.47"/>
    <n v="-130.45999999999992"/>
  </r>
  <r>
    <x v="5"/>
    <x v="7"/>
    <x v="0"/>
    <s v="6900150"/>
    <n v="700084"/>
    <s v="Accrued PTO"/>
    <s v="Administration"/>
    <x v="0"/>
    <m/>
    <n v="-257.45"/>
    <n v="40.61"/>
    <n v="-278.20999999999998"/>
    <n v="-368.12"/>
    <n v="-80.31"/>
    <n v="-1264.28"/>
    <n v="-439.77"/>
    <n v="325.8"/>
    <n v="647.39"/>
    <n v="95.04"/>
    <n v="-299.5"/>
    <n v="-151.15"/>
    <n v="-2029.9500000000003"/>
    <n v="-148.35"/>
  </r>
  <r>
    <x v="6"/>
    <x v="7"/>
    <x v="0"/>
    <s v="6900150"/>
    <n v="713010"/>
    <s v="Benefits-FICA/Medicare"/>
    <s v="Administration"/>
    <x v="0"/>
    <m/>
    <n v="1737.94"/>
    <n v="609.46"/>
    <n v="683.17"/>
    <n v="720.72"/>
    <n v="779.21"/>
    <n v="1324.69"/>
    <n v="1906.43"/>
    <n v="1712.21"/>
    <n v="1895.69"/>
    <n v="1924.79"/>
    <n v="1969.32"/>
    <n v="500.99"/>
    <n v="15764.62"/>
    <n v="1468.33"/>
  </r>
  <r>
    <x v="6"/>
    <x v="7"/>
    <x v="0"/>
    <s v="6900150"/>
    <n v="713090"/>
    <s v="Benefits-Allocated Amounts"/>
    <s v="Administration"/>
    <x v="0"/>
    <m/>
    <n v="3282.97"/>
    <n v="2930.46"/>
    <n v="3129.71"/>
    <n v="3205.73"/>
    <n v="3245.8"/>
    <n v="3077.46"/>
    <n v="3287.86"/>
    <n v="2910.73"/>
    <n v="2978.61"/>
    <n v="3373.39"/>
    <n v="3200.56"/>
    <n v="1579.71"/>
    <n v="36202.99"/>
    <n v="1620.85"/>
  </r>
  <r>
    <x v="6"/>
    <x v="7"/>
    <x v="0"/>
    <s v="6900150"/>
    <n v="713096"/>
    <s v="Employee Recognition"/>
    <s v="Administration"/>
    <x v="0"/>
    <n v="1017"/>
    <n v="0"/>
    <n v="0"/>
    <n v="0"/>
    <n v="122.29"/>
    <n v="0"/>
    <n v="117.35"/>
    <n v="58.18"/>
    <n v="14.12"/>
    <n v="265.27999999999997"/>
    <n v="94.71"/>
    <n v="130.35"/>
    <n v="204"/>
    <n v="1006.2800000000001"/>
    <n v="-73.650000000000006"/>
  </r>
  <r>
    <x v="7"/>
    <x v="7"/>
    <x v="0"/>
    <s v="6900150"/>
    <n v="718050"/>
    <s v="Contract Svcs-Other"/>
    <s v="Administration"/>
    <x v="0"/>
    <m/>
    <n v="342.56"/>
    <n v="2029.4"/>
    <n v="921.62"/>
    <n v="1014.7"/>
    <n v="0"/>
    <n v="921.62"/>
    <n v="921.62"/>
    <n v="40"/>
    <n v="1843.24"/>
    <n v="0"/>
    <n v="1852.46"/>
    <n v="4381.6899999999996"/>
    <n v="14268.91"/>
    <n v="-2529.2299999999996"/>
  </r>
  <r>
    <x v="7"/>
    <x v="7"/>
    <x v="0"/>
    <s v="6900150"/>
    <n v="718050"/>
    <s v="Miscellaneous Purchased Svcs"/>
    <s v="Administration"/>
    <x v="0"/>
    <n v="1020"/>
    <n v="932.1"/>
    <n v="1203.3499999999999"/>
    <n v="1275.3699999999999"/>
    <n v="24226.9"/>
    <n v="13500"/>
    <n v="5767.65"/>
    <n v="9354.2099999999991"/>
    <n v="7231.03"/>
    <n v="6071.34"/>
    <n v="7498.48"/>
    <n v="7132.63"/>
    <n v="7106.29"/>
    <n v="91299.349999999991"/>
    <n v="26.340000000000146"/>
  </r>
  <r>
    <x v="7"/>
    <x v="7"/>
    <x v="0"/>
    <s v="6900150"/>
    <n v="718091"/>
    <s v="Contract Services-Intracompany Allocation"/>
    <s v="Administration"/>
    <x v="0"/>
    <m/>
    <n v="5000"/>
    <n v="5000"/>
    <n v="5000"/>
    <n v="5000"/>
    <n v="5000"/>
    <n v="5000"/>
    <n v="5000"/>
    <n v="5000"/>
    <n v="5000"/>
    <n v="5000"/>
    <n v="5000"/>
    <n v="5000"/>
    <n v="60000"/>
    <n v="0"/>
  </r>
  <r>
    <x v="11"/>
    <x v="7"/>
    <x v="0"/>
    <s v="6900150"/>
    <n v="721010"/>
    <s v="Supplies-Medical - Billable"/>
    <s v="Administration"/>
    <x v="0"/>
    <m/>
    <n v="0"/>
    <n v="0"/>
    <n v="0"/>
    <n v="0"/>
    <n v="0"/>
    <n v="0"/>
    <n v="0"/>
    <n v="0"/>
    <n v="0"/>
    <n v="3.34"/>
    <n v="0"/>
    <n v="0"/>
    <n v="3.34"/>
    <n v="0"/>
  </r>
  <r>
    <x v="11"/>
    <x v="7"/>
    <x v="0"/>
    <s v="6900150"/>
    <n v="721410"/>
    <s v="Supplies-Medical - Nonbillable"/>
    <s v="Administration"/>
    <x v="0"/>
    <m/>
    <n v="0.54"/>
    <n v="6.44"/>
    <n v="0"/>
    <n v="0"/>
    <n v="0"/>
    <n v="0"/>
    <n v="0"/>
    <n v="0"/>
    <n v="0"/>
    <n v="5.9"/>
    <n v="7.62"/>
    <n v="0"/>
    <n v="20.5"/>
    <n v="7.62"/>
  </r>
  <r>
    <x v="11"/>
    <x v="7"/>
    <x v="0"/>
    <s v="6900150"/>
    <n v="721810"/>
    <s v="Supplies-Dietary/Cafeteria"/>
    <s v="Administration"/>
    <x v="0"/>
    <m/>
    <n v="990.03"/>
    <n v="1292.49"/>
    <n v="1575.04"/>
    <n v="1090.03"/>
    <n v="3239.22"/>
    <n v="2878.31"/>
    <n v="1264.26"/>
    <n v="1176.3800000000001"/>
    <n v="1348.59"/>
    <n v="1174.29"/>
    <n v="1944.94"/>
    <n v="1391.97"/>
    <n v="19365.55"/>
    <n v="552.97"/>
  </r>
  <r>
    <x v="11"/>
    <x v="7"/>
    <x v="0"/>
    <s v="6900150"/>
    <n v="721830"/>
    <s v="Supplies-Office"/>
    <s v="Administration"/>
    <x v="0"/>
    <m/>
    <n v="66.64"/>
    <n v="256.06"/>
    <n v="154.76"/>
    <n v="562.57000000000005"/>
    <n v="231.83"/>
    <n v="129.93"/>
    <n v="167.97"/>
    <n v="203.59"/>
    <n v="269.86"/>
    <n v="468.95"/>
    <n v="392.49"/>
    <n v="12.48"/>
    <n v="2917.1299999999997"/>
    <n v="380.01"/>
  </r>
  <r>
    <x v="11"/>
    <x v="7"/>
    <x v="0"/>
    <s v="6900150"/>
    <n v="721835"/>
    <s v="Supplies-Forms"/>
    <s v="Administration"/>
    <x v="0"/>
    <m/>
    <n v="0"/>
    <n v="0"/>
    <n v="0"/>
    <n v="0"/>
    <n v="0"/>
    <n v="20"/>
    <n v="27.6"/>
    <n v="0"/>
    <n v="0"/>
    <n v="0"/>
    <n v="0"/>
    <n v="17.829999999999998"/>
    <n v="65.430000000000007"/>
    <n v="-17.829999999999998"/>
  </r>
  <r>
    <x v="11"/>
    <x v="7"/>
    <x v="0"/>
    <s v="6900150"/>
    <n v="721870"/>
    <s v="Supplies-Environmental Services"/>
    <s v="Administration"/>
    <x v="0"/>
    <m/>
    <n v="2.73"/>
    <n v="4.6399999999999997"/>
    <n v="0"/>
    <n v="0"/>
    <n v="6.29"/>
    <n v="2.73"/>
    <n v="1.37"/>
    <n v="0"/>
    <n v="0.91"/>
    <n v="23.4"/>
    <n v="2.35"/>
    <n v="2.7"/>
    <n v="47.120000000000005"/>
    <n v="-0.35000000000000009"/>
  </r>
  <r>
    <x v="11"/>
    <x v="7"/>
    <x v="0"/>
    <s v="6900150"/>
    <n v="721910"/>
    <s v="Supplies-Small Equipment"/>
    <s v="Administration"/>
    <x v="0"/>
    <m/>
    <n v="0"/>
    <n v="3.84"/>
    <n v="16.98"/>
    <n v="2.56"/>
    <n v="0"/>
    <n v="4.08"/>
    <n v="0"/>
    <n v="0"/>
    <n v="0"/>
    <n v="0"/>
    <n v="1.36"/>
    <n v="0"/>
    <n v="28.82"/>
    <n v="1.36"/>
  </r>
  <r>
    <x v="11"/>
    <x v="7"/>
    <x v="0"/>
    <s v="6900150"/>
    <n v="721980"/>
    <s v="Supplies-Other"/>
    <s v="Administration"/>
    <x v="0"/>
    <m/>
    <n v="42.39"/>
    <n v="0"/>
    <n v="0"/>
    <n v="0"/>
    <n v="0"/>
    <n v="0"/>
    <n v="0"/>
    <n v="0"/>
    <n v="0"/>
    <n v="0"/>
    <n v="0"/>
    <n v="0"/>
    <n v="42.39"/>
    <n v="0"/>
  </r>
  <r>
    <x v="11"/>
    <x v="7"/>
    <x v="0"/>
    <s v="6900150"/>
    <n v="722000"/>
    <s v="Supplies-Freight Expense"/>
    <s v="Administration"/>
    <x v="0"/>
    <m/>
    <n v="0"/>
    <n v="10.48"/>
    <n v="0"/>
    <n v="9.68"/>
    <n v="0"/>
    <n v="0"/>
    <n v="0"/>
    <n v="0"/>
    <n v="0"/>
    <n v="0"/>
    <n v="0"/>
    <n v="0"/>
    <n v="20.16"/>
    <n v="0"/>
  </r>
  <r>
    <x v="12"/>
    <x v="7"/>
    <x v="0"/>
    <s v="6900150"/>
    <n v="730010"/>
    <s v="Rental and Leases-Building (DO NOT USE)"/>
    <s v="Administration"/>
    <x v="0"/>
    <m/>
    <n v="625"/>
    <n v="625"/>
    <n v="625"/>
    <n v="625"/>
    <n v="625"/>
    <n v="625"/>
    <n v="625"/>
    <n v="625"/>
    <n v="625"/>
    <n v="625"/>
    <n v="625"/>
    <n v="0"/>
    <n v="6875"/>
    <n v="625"/>
  </r>
  <r>
    <x v="12"/>
    <x v="7"/>
    <x v="0"/>
    <s v="6900150"/>
    <n v="730020"/>
    <s v="Rental and Leases-Copier Usage Fees (DO NOT USE)"/>
    <s v="Administration"/>
    <x v="0"/>
    <n v="5100"/>
    <n v="745.85"/>
    <n v="758.04"/>
    <n v="751.94"/>
    <n v="751.94"/>
    <n v="751.94"/>
    <n v="751.94"/>
    <n v="-2310.4899999999998"/>
    <n v="259.18"/>
    <n v="258.63"/>
    <n v="1319.18"/>
    <n v="259.18"/>
    <n v="301.51"/>
    <n v="4598.84"/>
    <n v="-42.329999999999984"/>
  </r>
  <r>
    <x v="12"/>
    <x v="7"/>
    <x v="0"/>
    <s v="6900150"/>
    <n v="730040"/>
    <s v="LT Lease-Real Estate"/>
    <s v="Administration"/>
    <x v="0"/>
    <m/>
    <n v="0"/>
    <n v="0"/>
    <n v="0"/>
    <n v="0"/>
    <n v="0"/>
    <n v="0"/>
    <n v="0"/>
    <n v="0"/>
    <n v="0"/>
    <n v="0"/>
    <n v="0"/>
    <n v="625"/>
    <n v="625"/>
    <n v="-625"/>
  </r>
  <r>
    <x v="15"/>
    <x v="7"/>
    <x v="0"/>
    <s v="6900150"/>
    <n v="731060"/>
    <s v="Cell Phones"/>
    <s v="Administration"/>
    <x v="0"/>
    <n v="1001"/>
    <n v="0"/>
    <n v="54.83"/>
    <n v="26.6"/>
    <n v="0"/>
    <n v="26.93"/>
    <n v="27.61"/>
    <n v="55.34"/>
    <n v="0"/>
    <n v="27.58"/>
    <n v="55.37"/>
    <n v="26.91"/>
    <n v="27.68"/>
    <n v="328.85000000000008"/>
    <n v="-0.76999999999999957"/>
  </r>
  <r>
    <x v="15"/>
    <x v="7"/>
    <x v="0"/>
    <s v="6900150"/>
    <n v="731060"/>
    <s v="Pagers"/>
    <s v="Administration"/>
    <x v="0"/>
    <n v="1002"/>
    <n v="11.1"/>
    <n v="11.1"/>
    <n v="19.989999999999998"/>
    <n v="38.65"/>
    <n v="11.12"/>
    <n v="0"/>
    <n v="6"/>
    <n v="3"/>
    <n v="3"/>
    <n v="3"/>
    <n v="3"/>
    <n v="3"/>
    <n v="112.96000000000001"/>
    <n v="0"/>
  </r>
  <r>
    <x v="13"/>
    <x v="7"/>
    <x v="0"/>
    <s v="6900150"/>
    <n v="735070"/>
    <s v="Depreciation-Movable Equipment"/>
    <s v="Administration"/>
    <x v="0"/>
    <m/>
    <n v="567.45000000000005"/>
    <n v="567.45000000000005"/>
    <n v="567.45000000000005"/>
    <n v="567.44000000000005"/>
    <n v="567.45000000000005"/>
    <n v="567.42999999999995"/>
    <n v="567.46"/>
    <n v="567.42999999999995"/>
    <n v="567.48"/>
    <n v="567.41999999999996"/>
    <n v="567.48"/>
    <n v="567.41999999999996"/>
    <n v="6809.3599999999988"/>
    <n v="6.0000000000059117E-2"/>
  </r>
  <r>
    <x v="0"/>
    <x v="7"/>
    <x v="0"/>
    <s v="6900150"/>
    <n v="740020"/>
    <s v="Education-Registration Fees"/>
    <s v="Administration"/>
    <x v="0"/>
    <m/>
    <n v="0"/>
    <n v="0"/>
    <n v="0"/>
    <n v="0"/>
    <n v="0"/>
    <n v="0"/>
    <n v="0"/>
    <n v="0"/>
    <n v="0"/>
    <n v="750"/>
    <n v="0"/>
    <n v="0"/>
    <n v="750"/>
    <n v="0"/>
  </r>
  <r>
    <x v="0"/>
    <x v="7"/>
    <x v="0"/>
    <s v="6900150"/>
    <n v="742020"/>
    <s v="Postage-Express Services"/>
    <s v="Administration"/>
    <x v="0"/>
    <m/>
    <n v="0"/>
    <n v="0"/>
    <n v="0"/>
    <n v="0"/>
    <n v="0"/>
    <n v="0"/>
    <n v="0"/>
    <n v="24.7"/>
    <n v="0"/>
    <n v="51"/>
    <n v="0"/>
    <n v="0"/>
    <n v="75.7"/>
    <n v="0"/>
  </r>
  <r>
    <x v="0"/>
    <x v="7"/>
    <x v="0"/>
    <s v="6900150"/>
    <n v="743010"/>
    <s v="Dues--Institutional"/>
    <s v="Administration"/>
    <x v="0"/>
    <m/>
    <n v="1671.08"/>
    <n v="1671.08"/>
    <n v="1671.08"/>
    <n v="1671.08"/>
    <n v="1671.08"/>
    <n v="2070.12"/>
    <n v="0"/>
    <n v="3159.3"/>
    <n v="1579.67"/>
    <n v="1579.67"/>
    <n v="1579.67"/>
    <n v="1579.67"/>
    <n v="19903.5"/>
    <n v="0"/>
  </r>
  <r>
    <x v="0"/>
    <x v="7"/>
    <x v="0"/>
    <s v="6900150"/>
    <n v="743020"/>
    <s v="Dues--Individual"/>
    <s v="Administration"/>
    <x v="0"/>
    <m/>
    <n v="0"/>
    <n v="0"/>
    <n v="0"/>
    <n v="0"/>
    <n v="0"/>
    <n v="450"/>
    <n v="440"/>
    <n v="0"/>
    <n v="0"/>
    <n v="0"/>
    <n v="0"/>
    <n v="0"/>
    <n v="890"/>
    <n v="0"/>
  </r>
  <r>
    <x v="0"/>
    <x v="7"/>
    <x v="0"/>
    <s v="6900150"/>
    <n v="749510"/>
    <s v="Miscellaneous Expenses"/>
    <s v="Administration"/>
    <x v="0"/>
    <m/>
    <n v="37.479999999999997"/>
    <n v="1137.8499999999999"/>
    <n v="142.09"/>
    <n v="44.09"/>
    <n v="509.91"/>
    <n v="-150.99"/>
    <n v="25.9"/>
    <n v="219.6"/>
    <n v="-244.3"/>
    <n v="169"/>
    <n v="105.12"/>
    <n v="2261.25"/>
    <n v="4257"/>
    <n v="-2156.13"/>
  </r>
  <r>
    <x v="0"/>
    <x v="7"/>
    <x v="0"/>
    <s v="6900150"/>
    <n v="749510"/>
    <s v="Licenses"/>
    <s v="Administration"/>
    <x v="0"/>
    <n v="1002"/>
    <n v="0"/>
    <n v="0"/>
    <n v="0"/>
    <n v="5244"/>
    <n v="0"/>
    <n v="0"/>
    <n v="0"/>
    <n v="0"/>
    <n v="0"/>
    <n v="0"/>
    <n v="0"/>
    <n v="0"/>
    <n v="5244"/>
    <n v="0"/>
  </r>
  <r>
    <x v="0"/>
    <x v="7"/>
    <x v="0"/>
    <s v="6900150"/>
    <n v="749510"/>
    <s v="Scholarships"/>
    <s v="Administration"/>
    <x v="0"/>
    <n v="1025"/>
    <n v="0"/>
    <n v="0"/>
    <n v="4000"/>
    <n v="0"/>
    <n v="0"/>
    <n v="0"/>
    <n v="0"/>
    <n v="0"/>
    <n v="0"/>
    <n v="0"/>
    <n v="0"/>
    <n v="0"/>
    <n v="4000"/>
    <n v="0"/>
  </r>
  <r>
    <x v="0"/>
    <x v="7"/>
    <x v="0"/>
    <s v="6900150"/>
    <n v="749510"/>
    <s v="Community Benefit"/>
    <s v="Administration"/>
    <x v="0"/>
    <n v="1027"/>
    <n v="0"/>
    <n v="0"/>
    <n v="0"/>
    <n v="0"/>
    <n v="0"/>
    <n v="0"/>
    <n v="1000"/>
    <n v="0"/>
    <n v="0"/>
    <n v="0"/>
    <n v="0"/>
    <n v="0"/>
    <n v="1000"/>
    <n v="0"/>
  </r>
  <r>
    <x v="0"/>
    <x v="7"/>
    <x v="0"/>
    <s v="6900150"/>
    <n v="749510"/>
    <s v="RICE Rewards"/>
    <s v="Administration"/>
    <x v="0"/>
    <n v="5100"/>
    <n v="0"/>
    <n v="0"/>
    <n v="0"/>
    <n v="0"/>
    <n v="0"/>
    <n v="0"/>
    <n v="0"/>
    <n v="0"/>
    <n v="0"/>
    <n v="0"/>
    <n v="80.150000000000006"/>
    <n v="0"/>
    <n v="80.150000000000006"/>
    <n v="80.150000000000006"/>
  </r>
  <r>
    <x v="0"/>
    <x v="7"/>
    <x v="0"/>
    <s v="6900150"/>
    <n v="749530"/>
    <s v="Travel"/>
    <s v="Administration"/>
    <x v="0"/>
    <m/>
    <n v="502.43"/>
    <n v="0"/>
    <n v="0"/>
    <n v="0"/>
    <n v="0"/>
    <n v="453.18"/>
    <n v="180"/>
    <n v="663.37"/>
    <n v="108"/>
    <n v="0"/>
    <n v="0"/>
    <n v="0"/>
    <n v="1906.98"/>
    <n v="0"/>
  </r>
  <r>
    <x v="0"/>
    <x v="7"/>
    <x v="0"/>
    <s v="6900150"/>
    <n v="749530"/>
    <s v="Mileage"/>
    <s v="Administration"/>
    <x v="0"/>
    <n v="1001"/>
    <n v="293.23"/>
    <n v="0"/>
    <n v="15.26"/>
    <n v="0"/>
    <n v="110.64"/>
    <n v="116.64"/>
    <n v="37.119999999999997"/>
    <n v="0"/>
    <n v="169.94"/>
    <n v="0"/>
    <n v="0"/>
    <n v="33.64"/>
    <n v="776.46999999999991"/>
    <n v="-33.64"/>
  </r>
  <r>
    <x v="0"/>
    <x v="7"/>
    <x v="0"/>
    <s v="6900150"/>
    <n v="749535"/>
    <s v="Meetings"/>
    <s v="Administration"/>
    <x v="0"/>
    <m/>
    <n v="0"/>
    <n v="0"/>
    <n v="0"/>
    <n v="0"/>
    <n v="310.66000000000003"/>
    <n v="11.51"/>
    <n v="40.729999999999997"/>
    <n v="108.38"/>
    <n v="-54.19"/>
    <n v="0"/>
    <n v="0"/>
    <n v="0"/>
    <n v="417.09000000000003"/>
    <n v="0"/>
  </r>
  <r>
    <x v="14"/>
    <x v="1"/>
    <x v="0"/>
    <s v="6900200"/>
    <n v="600034"/>
    <s v="Vending Commission"/>
    <s v="Administration"/>
    <x v="0"/>
    <n v="1002"/>
    <n v="-165.26"/>
    <n v="-382.38"/>
    <n v="-154.15"/>
    <n v="-311.82"/>
    <n v="0"/>
    <n v="-137.22999999999999"/>
    <n v="-142.72999999999999"/>
    <n v="-8424.85"/>
    <n v="-112.48"/>
    <n v="0"/>
    <n v="-55.19"/>
    <n v="0"/>
    <n v="-9886.09"/>
    <n v="-55.19"/>
  </r>
  <r>
    <x v="14"/>
    <x v="1"/>
    <x v="0"/>
    <s v="6900200"/>
    <n v="600050"/>
    <s v="Miscellaneous Revenue"/>
    <s v="Administration"/>
    <x v="0"/>
    <m/>
    <n v="0"/>
    <n v="0"/>
    <n v="0"/>
    <n v="-73.709999999999994"/>
    <n v="0"/>
    <n v="0"/>
    <n v="0"/>
    <n v="-518.26"/>
    <n v="0"/>
    <n v="0"/>
    <n v="-2886.1"/>
    <n v="0"/>
    <n v="-3478.0699999999997"/>
    <n v="-2886.1"/>
  </r>
  <r>
    <x v="14"/>
    <x v="1"/>
    <x v="0"/>
    <s v="6900200"/>
    <n v="600054"/>
    <s v="Special Order Sales-Do Not Use (Billing)*"/>
    <s v="Administration"/>
    <x v="0"/>
    <m/>
    <n v="0"/>
    <n v="0"/>
    <n v="0"/>
    <n v="0"/>
    <n v="0"/>
    <n v="0"/>
    <n v="0"/>
    <n v="0"/>
    <n v="0"/>
    <n v="0"/>
    <n v="0"/>
    <n v="0"/>
    <n v="0"/>
    <n v="0"/>
  </r>
  <r>
    <x v="14"/>
    <x v="1"/>
    <x v="0"/>
    <s v="6900200"/>
    <n v="600055"/>
    <s v="Grants"/>
    <s v="Administration"/>
    <x v="0"/>
    <m/>
    <n v="0"/>
    <n v="0"/>
    <n v="0"/>
    <n v="0"/>
    <n v="0"/>
    <n v="0"/>
    <n v="0"/>
    <n v="0"/>
    <n v="0"/>
    <n v="0"/>
    <n v="-189221.03"/>
    <n v="0"/>
    <n v="-189221.03"/>
    <n v="-189221.03"/>
  </r>
  <r>
    <x v="5"/>
    <x v="1"/>
    <x v="0"/>
    <s v="6900200"/>
    <n v="700014"/>
    <s v="Salaries-Management-Productive"/>
    <s v="Administration"/>
    <x v="0"/>
    <m/>
    <n v="161492.59"/>
    <n v="171257.36"/>
    <n v="136930.78"/>
    <n v="190307.87"/>
    <n v="193779.46"/>
    <n v="127463.43"/>
    <n v="187857.5"/>
    <n v="149346.60999999999"/>
    <n v="104889.2"/>
    <n v="144726.72"/>
    <n v="152736.24"/>
    <n v="148048.59"/>
    <n v="1868836.35"/>
    <n v="4687.6499999999942"/>
  </r>
  <r>
    <x v="5"/>
    <x v="1"/>
    <x v="0"/>
    <s v="6900200"/>
    <n v="700014"/>
    <s v="Salaries-Management-Other"/>
    <s v="Administration"/>
    <x v="0"/>
    <n v="2000"/>
    <n v="0"/>
    <n v="30"/>
    <n v="0"/>
    <n v="0"/>
    <n v="0"/>
    <n v="0"/>
    <n v="0"/>
    <n v="0"/>
    <n v="0"/>
    <n v="1702.49"/>
    <n v="2303.39"/>
    <n v="2001.95"/>
    <n v="6037.83"/>
    <n v="301.43999999999983"/>
  </r>
  <r>
    <x v="5"/>
    <x v="1"/>
    <x v="0"/>
    <s v="6900200"/>
    <n v="700020"/>
    <s v="Salaries-Physician Admin-Productive"/>
    <s v="Administration"/>
    <x v="0"/>
    <m/>
    <n v="0"/>
    <n v="0"/>
    <n v="0"/>
    <n v="0"/>
    <n v="0"/>
    <n v="0"/>
    <n v="0"/>
    <n v="0"/>
    <n v="0"/>
    <n v="1530"/>
    <n v="-630"/>
    <n v="450"/>
    <n v="1350"/>
    <n v="-1080"/>
  </r>
  <r>
    <x v="5"/>
    <x v="1"/>
    <x v="0"/>
    <s v="6900200"/>
    <n v="700022"/>
    <s v="Salaries-Physician-Productive"/>
    <s v="Administration"/>
    <x v="0"/>
    <m/>
    <n v="111998.08"/>
    <n v="111510.85"/>
    <n v="116054.19"/>
    <n v="130648.53"/>
    <n v="130093.33"/>
    <n v="275666.88"/>
    <n v="149683.57999999999"/>
    <n v="116293.73"/>
    <n v="147294.07"/>
    <n v="135396.89000000001"/>
    <n v="132563.68"/>
    <n v="138713.56"/>
    <n v="1695917.3699999999"/>
    <n v="-6149.8800000000047"/>
  </r>
  <r>
    <x v="5"/>
    <x v="1"/>
    <x v="0"/>
    <s v="6900200"/>
    <n v="700022"/>
    <s v="Salaries-Physician-Other"/>
    <s v="Administration"/>
    <x v="0"/>
    <n v="2000"/>
    <n v="0"/>
    <n v="0"/>
    <n v="0"/>
    <n v="0"/>
    <n v="0"/>
    <n v="0"/>
    <n v="0"/>
    <n v="0"/>
    <n v="30.01"/>
    <n v="0"/>
    <n v="0"/>
    <n v="0"/>
    <n v="30.01"/>
    <n v="0"/>
  </r>
  <r>
    <x v="5"/>
    <x v="1"/>
    <x v="0"/>
    <s v="6900200"/>
    <n v="700022"/>
    <s v="Salaries-Physician-Provider Incentive"/>
    <s v="Administration"/>
    <x v="0"/>
    <n v="4003"/>
    <n v="0"/>
    <n v="500"/>
    <n v="0"/>
    <n v="0"/>
    <n v="0"/>
    <n v="0"/>
    <n v="0"/>
    <n v="0"/>
    <n v="0"/>
    <n v="0"/>
    <n v="0"/>
    <n v="0"/>
    <n v="500"/>
    <n v="0"/>
  </r>
  <r>
    <x v="5"/>
    <x v="1"/>
    <x v="0"/>
    <s v="6900200"/>
    <n v="700024"/>
    <s v="Salaries-Advanced Practice Clinician-Productive"/>
    <s v="Administration"/>
    <x v="0"/>
    <m/>
    <n v="0"/>
    <n v="0"/>
    <n v="0"/>
    <n v="0"/>
    <n v="0"/>
    <n v="0"/>
    <n v="0"/>
    <n v="0"/>
    <n v="0"/>
    <n v="0"/>
    <n v="0"/>
    <n v="225.33"/>
    <n v="225.33"/>
    <n v="-225.33"/>
  </r>
  <r>
    <x v="5"/>
    <x v="1"/>
    <x v="0"/>
    <s v="6900200"/>
    <n v="700026"/>
    <s v="Salaries-RN-Productive"/>
    <s v="Administration"/>
    <x v="0"/>
    <m/>
    <n v="7890.08"/>
    <n v="8248.7199999999993"/>
    <n v="7172.8"/>
    <n v="8441.68"/>
    <n v="7756.56"/>
    <n v="4986.3599999999997"/>
    <n v="7953.16"/>
    <n v="6880.18"/>
    <n v="7915.91"/>
    <n v="6288.33"/>
    <n v="7873.36"/>
    <n v="-3434.53"/>
    <n v="77972.61"/>
    <n v="11307.89"/>
  </r>
  <r>
    <x v="5"/>
    <x v="1"/>
    <x v="0"/>
    <s v="6900200"/>
    <n v="700034"/>
    <s v="Salaries-Tech/Professional-Productive"/>
    <s v="Administration"/>
    <x v="0"/>
    <m/>
    <n v="7615.38"/>
    <n v="7961.55"/>
    <n v="6576.93"/>
    <n v="14839.09"/>
    <n v="16834.580000000002"/>
    <n v="10588.71"/>
    <n v="16143.85"/>
    <n v="12142.13"/>
    <n v="15329.34"/>
    <n v="23883.7"/>
    <n v="25606.78"/>
    <n v="17851.47"/>
    <n v="175373.51"/>
    <n v="7755.3099999999977"/>
  </r>
  <r>
    <x v="5"/>
    <x v="1"/>
    <x v="0"/>
    <s v="6900200"/>
    <n v="700034"/>
    <s v="Salaries-Tech/Professional-Other"/>
    <s v="Administration"/>
    <x v="0"/>
    <n v="2000"/>
    <n v="0"/>
    <n v="0"/>
    <n v="0"/>
    <n v="0"/>
    <n v="0"/>
    <n v="4"/>
    <n v="0"/>
    <n v="0"/>
    <n v="0"/>
    <n v="0"/>
    <n v="0"/>
    <n v="0"/>
    <n v="4"/>
    <n v="0"/>
  </r>
  <r>
    <x v="5"/>
    <x v="1"/>
    <x v="0"/>
    <s v="6900200"/>
    <n v="700038"/>
    <s v="Salaries-Service/Support-Productive"/>
    <s v="Administration"/>
    <x v="0"/>
    <m/>
    <n v="21784.27"/>
    <n v="24430.19"/>
    <n v="17162.28"/>
    <n v="27468.29"/>
    <n v="38377.83"/>
    <n v="27342.59"/>
    <n v="36304.639999999999"/>
    <n v="31433.41"/>
    <n v="30127.53"/>
    <n v="33270.629999999997"/>
    <n v="37284.300000000003"/>
    <n v="20992.52"/>
    <n v="345978.48000000004"/>
    <n v="16291.780000000002"/>
  </r>
  <r>
    <x v="5"/>
    <x v="1"/>
    <x v="0"/>
    <s v="6900200"/>
    <n v="700038"/>
    <s v="Salaries-Service/Support-OT"/>
    <s v="Administration"/>
    <x v="0"/>
    <n v="1000"/>
    <n v="46.42"/>
    <n v="948.92"/>
    <n v="1158.92"/>
    <n v="2021.09"/>
    <n v="4877.84"/>
    <n v="-32.72"/>
    <n v="4200.32"/>
    <n v="1410.89"/>
    <n v="2134.16"/>
    <n v="3563.52"/>
    <n v="154.08000000000001"/>
    <n v="246.7"/>
    <n v="20730.140000000003"/>
    <n v="-92.619999999999976"/>
  </r>
  <r>
    <x v="5"/>
    <x v="1"/>
    <x v="0"/>
    <s v="6900200"/>
    <n v="700038"/>
    <s v="Salaries-Service/Support-Other"/>
    <s v="Administration"/>
    <x v="0"/>
    <n v="2000"/>
    <n v="30"/>
    <n v="0"/>
    <n v="67.430000000000007"/>
    <n v="0"/>
    <n v="0"/>
    <n v="0"/>
    <n v="0"/>
    <n v="0"/>
    <n v="0"/>
    <n v="1"/>
    <n v="0"/>
    <n v="0"/>
    <n v="98.43"/>
    <n v="0"/>
  </r>
  <r>
    <x v="5"/>
    <x v="1"/>
    <x v="0"/>
    <s v="6900200"/>
    <n v="700054"/>
    <s v="Salaries-Management-Non-productive"/>
    <s v="Administration"/>
    <x v="0"/>
    <m/>
    <n v="16655.95"/>
    <n v="22258.13"/>
    <n v="23024.81"/>
    <n v="-2536.8000000000002"/>
    <n v="13626.56"/>
    <n v="63515.54"/>
    <n v="21630.19"/>
    <n v="32804.959999999999"/>
    <n v="4531.8500000000004"/>
    <n v="14712.91"/>
    <n v="11476.39"/>
    <n v="10913.23"/>
    <n v="232613.72"/>
    <n v="563.15999999999985"/>
  </r>
  <r>
    <x v="5"/>
    <x v="1"/>
    <x v="0"/>
    <s v="6900200"/>
    <n v="700054"/>
    <s v="Salaries-Management-NonProd-Other"/>
    <s v="Administration"/>
    <x v="0"/>
    <n v="2000"/>
    <n v="0"/>
    <n v="0"/>
    <n v="0"/>
    <n v="0"/>
    <n v="1359.94"/>
    <n v="2418.64"/>
    <n v="-502.4"/>
    <n v="-3276.18"/>
    <n v="-401.82"/>
    <n v="0"/>
    <n v="0"/>
    <n v="0"/>
    <n v="-401.82"/>
    <n v="0"/>
  </r>
  <r>
    <x v="5"/>
    <x v="1"/>
    <x v="0"/>
    <s v="6900200"/>
    <n v="700062"/>
    <s v="Salaries-Physician-Non-productive"/>
    <s v="Administration"/>
    <x v="0"/>
    <m/>
    <n v="19871.310000000001"/>
    <n v="25788.29"/>
    <n v="4955.8599999999997"/>
    <n v="6650.59"/>
    <n v="1776.14"/>
    <n v="36129.440000000002"/>
    <n v="11084.95"/>
    <n v="18420.95"/>
    <n v="-671.78"/>
    <n v="28814.27"/>
    <n v="45475.58"/>
    <n v="12972.72"/>
    <n v="211268.31999999998"/>
    <n v="32502.86"/>
  </r>
  <r>
    <x v="5"/>
    <x v="1"/>
    <x v="0"/>
    <s v="6900200"/>
    <n v="700064"/>
    <s v="Salaries-Advanced Practice Clinician-Non-Productive"/>
    <s v="Administration"/>
    <x v="0"/>
    <m/>
    <n v="918.79"/>
    <n v="914.72"/>
    <n v="908.16"/>
    <n v="906.58"/>
    <n v="900.28"/>
    <n v="898.44"/>
    <n v="894.37"/>
    <n v="884.79"/>
    <n v="886.23"/>
    <n v="880.59"/>
    <n v="878.09"/>
    <n v="872.71"/>
    <n v="10743.75"/>
    <n v="5.3799999999999955"/>
  </r>
  <r>
    <x v="5"/>
    <x v="1"/>
    <x v="0"/>
    <s v="6900200"/>
    <n v="700066"/>
    <s v="Salaries-RN-Non-productive"/>
    <s v="Administration"/>
    <x v="0"/>
    <m/>
    <n v="0"/>
    <n v="0"/>
    <n v="0"/>
    <n v="0"/>
    <n v="369.36"/>
    <n v="2770.2"/>
    <n v="555.12"/>
    <n v="517.85"/>
    <n v="-147.94999999999999"/>
    <n v="1849.51"/>
    <n v="369.9"/>
    <n v="0"/>
    <n v="6283.99"/>
    <n v="369.9"/>
  </r>
  <r>
    <x v="5"/>
    <x v="1"/>
    <x v="0"/>
    <s v="6900200"/>
    <n v="700074"/>
    <s v="Salaries-Tech/Professional-Non-productive"/>
    <s v="Administration"/>
    <x v="0"/>
    <m/>
    <n v="0"/>
    <n v="0"/>
    <n v="0"/>
    <n v="0"/>
    <n v="1139.76"/>
    <n v="4606.6499999999996"/>
    <n v="617.95000000000005"/>
    <n v="2432.86"/>
    <n v="-25.54"/>
    <n v="-189.96"/>
    <n v="1519.68"/>
    <n v="5736.75"/>
    <n v="15838.15"/>
    <n v="-4217.07"/>
  </r>
  <r>
    <x v="5"/>
    <x v="1"/>
    <x v="0"/>
    <s v="6900200"/>
    <n v="700074"/>
    <s v="Salaries-Tech/Professional-NonProd-Other"/>
    <s v="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6900200"/>
    <n v="700078"/>
    <s v="Salaries-Service/Support-Non-productive"/>
    <s v="Administration"/>
    <x v="0"/>
    <m/>
    <n v="2707.55"/>
    <n v="1281.4100000000001"/>
    <n v="1624.09"/>
    <n v="4592.54"/>
    <n v="2386.4499999999998"/>
    <n v="10015.49"/>
    <n v="4176.8900000000003"/>
    <n v="3775.19"/>
    <n v="6930.71"/>
    <n v="5430.48"/>
    <n v="858.84"/>
    <n v="8266.64"/>
    <n v="52046.28"/>
    <n v="-7407.7999999999993"/>
  </r>
  <r>
    <x v="5"/>
    <x v="1"/>
    <x v="0"/>
    <s v="6900200"/>
    <n v="700078"/>
    <s v="Salaries-Service/Support-NonProd-Other"/>
    <s v="Administration"/>
    <x v="0"/>
    <n v="2000"/>
    <n v="0"/>
    <n v="0"/>
    <n v="0"/>
    <n v="0"/>
    <n v="336.98"/>
    <n v="0"/>
    <n v="0"/>
    <n v="-336.98"/>
    <n v="0"/>
    <n v="0"/>
    <n v="0"/>
    <n v="0"/>
    <n v="0"/>
    <n v="0"/>
  </r>
  <r>
    <x v="5"/>
    <x v="1"/>
    <x v="0"/>
    <s v="6900200"/>
    <n v="700084"/>
    <s v="Accrued PTO"/>
    <s v="Administration"/>
    <x v="0"/>
    <m/>
    <n v="86.44"/>
    <n v="9693.58"/>
    <n v="3915.54"/>
    <n v="15327.6"/>
    <n v="9312.36"/>
    <n v="-11090.92"/>
    <n v="323.23"/>
    <n v="7072.72"/>
    <n v="8051.12"/>
    <n v="-6015.23"/>
    <n v="6091.3"/>
    <n v="-3843.79"/>
    <n v="38923.950000000004"/>
    <n v="9935.09"/>
  </r>
  <r>
    <x v="10"/>
    <x v="1"/>
    <x v="0"/>
    <s v="6900200"/>
    <n v="710060"/>
    <s v="Contract Labor-Other"/>
    <s v="Administration"/>
    <x v="0"/>
    <m/>
    <n v="0"/>
    <n v="0"/>
    <n v="1280"/>
    <n v="0"/>
    <n v="0"/>
    <n v="0"/>
    <n v="0"/>
    <n v="0"/>
    <n v="0"/>
    <n v="0"/>
    <n v="0"/>
    <n v="0"/>
    <n v="1280"/>
    <n v="0"/>
  </r>
  <r>
    <x v="6"/>
    <x v="1"/>
    <x v="0"/>
    <s v="6900200"/>
    <n v="713010"/>
    <s v="Benefits-FICA/Medicare"/>
    <s v="Administration"/>
    <x v="0"/>
    <m/>
    <n v="14767.87"/>
    <n v="14364.7"/>
    <n v="9837.6299999999992"/>
    <n v="12466.9"/>
    <n v="15395.54"/>
    <n v="22665.71"/>
    <n v="31979.77"/>
    <n v="27683.5"/>
    <n v="27716.77"/>
    <n v="25774.16"/>
    <n v="20868.96"/>
    <n v="17354.2"/>
    <n v="240875.71"/>
    <n v="3514.7599999999984"/>
  </r>
  <r>
    <x v="6"/>
    <x v="1"/>
    <x v="0"/>
    <s v="6900200"/>
    <n v="713090"/>
    <s v="Benefits-Allocated Amounts"/>
    <s v="Administration"/>
    <x v="0"/>
    <m/>
    <n v="0"/>
    <n v="0"/>
    <n v="0"/>
    <n v="0"/>
    <n v="0"/>
    <n v="0"/>
    <n v="0"/>
    <n v="0"/>
    <n v="295282.33"/>
    <n v="36478.39"/>
    <n v="36346.47"/>
    <n v="34835.31"/>
    <n v="402942.50000000006"/>
    <n v="1511.1600000000035"/>
  </r>
  <r>
    <x v="6"/>
    <x v="1"/>
    <x v="0"/>
    <s v="6900200"/>
    <n v="713092"/>
    <s v="Allocated Benefits-Physician"/>
    <s v="Administration"/>
    <x v="0"/>
    <m/>
    <n v="34429.85"/>
    <n v="32684.29"/>
    <n v="31009.13"/>
    <n v="34806.78"/>
    <n v="40712.519999999997"/>
    <n v="48856.55"/>
    <n v="49416.14"/>
    <n v="46044.5"/>
    <n v="-258942.79"/>
    <n v="7290.8"/>
    <n v="7264.43"/>
    <n v="6962.4"/>
    <n v="80534.600000000006"/>
    <n v="302.03000000000065"/>
  </r>
  <r>
    <x v="6"/>
    <x v="1"/>
    <x v="0"/>
    <s v="6900200"/>
    <n v="713096"/>
    <s v="Benefits-Other"/>
    <s v="Administration"/>
    <x v="0"/>
    <m/>
    <n v="0"/>
    <n v="0"/>
    <n v="0"/>
    <n v="0"/>
    <n v="0"/>
    <n v="0"/>
    <n v="0"/>
    <n v="113.34"/>
    <n v="0"/>
    <n v="1882.25"/>
    <n v="132.66999999999999"/>
    <n v="267.08999999999997"/>
    <n v="2395.35"/>
    <n v="-134.41999999999999"/>
  </r>
  <r>
    <x v="6"/>
    <x v="1"/>
    <x v="0"/>
    <s v="6900200"/>
    <n v="713096"/>
    <s v="Employee Recognition"/>
    <s v="Administration"/>
    <x v="0"/>
    <n v="1017"/>
    <n v="0"/>
    <n v="197.96"/>
    <n v="284.82"/>
    <n v="249.95"/>
    <n v="511.54"/>
    <n v="621.46"/>
    <n v="1717.99"/>
    <n v="371.89"/>
    <n v="180.62"/>
    <n v="582.21"/>
    <n v="154.08000000000001"/>
    <n v="1873.54"/>
    <n v="6746.06"/>
    <n v="-1719.46"/>
  </r>
  <r>
    <x v="21"/>
    <x v="1"/>
    <x v="0"/>
    <s v="6900200"/>
    <n v="716026"/>
    <s v="Consulting-Clinical"/>
    <s v="Administration"/>
    <x v="0"/>
    <m/>
    <n v="0"/>
    <n v="0"/>
    <n v="0"/>
    <n v="2250"/>
    <n v="0"/>
    <n v="0"/>
    <n v="0"/>
    <n v="0"/>
    <n v="0"/>
    <n v="0"/>
    <n v="0"/>
    <n v="0"/>
    <n v="2250"/>
    <n v="0"/>
  </r>
  <r>
    <x v="7"/>
    <x v="1"/>
    <x v="0"/>
    <s v="6900200"/>
    <n v="716038"/>
    <s v="Contract Services-Legal"/>
    <s v="Administration"/>
    <x v="0"/>
    <m/>
    <n v="0"/>
    <n v="6227.4"/>
    <n v="0"/>
    <n v="0"/>
    <n v="0"/>
    <n v="16670.75"/>
    <n v="0"/>
    <n v="0"/>
    <n v="0"/>
    <n v="472.5"/>
    <n v="0"/>
    <n v="0"/>
    <n v="23370.65"/>
    <n v="0"/>
  </r>
  <r>
    <x v="21"/>
    <x v="1"/>
    <x v="0"/>
    <s v="6900200"/>
    <n v="716046"/>
    <s v="Consulting-Other"/>
    <s v="Administration"/>
    <x v="0"/>
    <m/>
    <n v="4912.6400000000003"/>
    <n v="0"/>
    <n v="0"/>
    <n v="0"/>
    <n v="0"/>
    <n v="0"/>
    <n v="0"/>
    <n v="22844.21"/>
    <n v="0"/>
    <n v="32047.42"/>
    <n v="39038.6"/>
    <n v="94904.53"/>
    <n v="193747.4"/>
    <n v="-55865.93"/>
  </r>
  <r>
    <x v="7"/>
    <x v="1"/>
    <x v="0"/>
    <s v="6900200"/>
    <n v="718010"/>
    <s v="Contract Services-Advertising &amp; Public Relations"/>
    <s v="Administration"/>
    <x v="0"/>
    <m/>
    <n v="0"/>
    <n v="0"/>
    <n v="17347.2"/>
    <n v="6363"/>
    <n v="0"/>
    <n v="0"/>
    <n v="0"/>
    <n v="17700.52"/>
    <n v="0"/>
    <n v="0"/>
    <n v="0"/>
    <n v="0"/>
    <n v="41410.720000000001"/>
    <n v="0"/>
  </r>
  <r>
    <x v="7"/>
    <x v="1"/>
    <x v="0"/>
    <s v="6900200"/>
    <n v="718010"/>
    <s v="Media/Print Advertising"/>
    <s v="Administration"/>
    <x v="0"/>
    <n v="1004"/>
    <n v="0"/>
    <n v="0"/>
    <n v="0"/>
    <n v="183.59"/>
    <n v="0"/>
    <n v="1263.83"/>
    <n v="404.56"/>
    <n v="0"/>
    <n v="0"/>
    <n v="0"/>
    <n v="0"/>
    <n v="0"/>
    <n v="1851.9799999999998"/>
    <n v="0"/>
  </r>
  <r>
    <x v="7"/>
    <x v="1"/>
    <x v="0"/>
    <s v="6900200"/>
    <n v="718040"/>
    <s v="Contract Svcs-Laboratory"/>
    <s v="Administration"/>
    <x v="0"/>
    <m/>
    <n v="0"/>
    <n v="0"/>
    <n v="0"/>
    <n v="0"/>
    <n v="0"/>
    <n v="0"/>
    <n v="0"/>
    <n v="0"/>
    <n v="0"/>
    <n v="43"/>
    <n v="0"/>
    <n v="0"/>
    <n v="43"/>
    <n v="0"/>
  </r>
  <r>
    <x v="7"/>
    <x v="1"/>
    <x v="0"/>
    <s v="6900200"/>
    <n v="718050"/>
    <s v="Contract Svcs-Other"/>
    <s v="Administration"/>
    <x v="0"/>
    <m/>
    <n v="112728.56"/>
    <n v="106939.18"/>
    <n v="115469.5"/>
    <n v="26031.23"/>
    <n v="13735.22"/>
    <n v="13197.37"/>
    <n v="33025.14"/>
    <n v="27757.79"/>
    <n v="3884.45"/>
    <n v="27839.52"/>
    <n v="31000.66"/>
    <n v="82215.17"/>
    <n v="593823.78999999992"/>
    <n v="-51214.509999999995"/>
  </r>
  <r>
    <x v="7"/>
    <x v="1"/>
    <x v="0"/>
    <s v="6900200"/>
    <n v="718050"/>
    <s v="Document Shredding/Storage"/>
    <s v="Administration"/>
    <x v="0"/>
    <n v="1012"/>
    <n v="369.23"/>
    <n v="1610.58"/>
    <n v="1172.06"/>
    <n v="1686.99"/>
    <n v="376.33"/>
    <n v="1897.17"/>
    <n v="345.43"/>
    <n v="1101.78"/>
    <n v="1219.83"/>
    <n v="359.1"/>
    <n v="1059.43"/>
    <n v="456.61"/>
    <n v="11654.54"/>
    <n v="602.82000000000005"/>
  </r>
  <r>
    <x v="7"/>
    <x v="1"/>
    <x v="0"/>
    <s v="6900200"/>
    <n v="718050"/>
    <s v="Physician Answering"/>
    <s v="Administration"/>
    <x v="0"/>
    <n v="1015"/>
    <n v="704.8"/>
    <n v="166.2"/>
    <n v="140.80000000000001"/>
    <n v="65.400000000000006"/>
    <n v="241.2"/>
    <n v="180.2"/>
    <n v="191.2"/>
    <n v="115.8"/>
    <n v="115.8"/>
    <n v="130.80000000000001"/>
    <n v="715.6"/>
    <n v="115.8"/>
    <n v="2883.6000000000004"/>
    <n v="599.80000000000007"/>
  </r>
  <r>
    <x v="7"/>
    <x v="1"/>
    <x v="0"/>
    <s v="6900200"/>
    <n v="718050"/>
    <s v="Miscellaneous Purchased Svcs"/>
    <s v="Administration"/>
    <x v="0"/>
    <n v="1020"/>
    <n v="35020.97"/>
    <n v="74209.960000000006"/>
    <n v="25332.18"/>
    <n v="28051.360000000001"/>
    <n v="37431.54"/>
    <n v="81635.839999999997"/>
    <n v="-79022.87"/>
    <n v="55583.82"/>
    <n v="14962.62"/>
    <n v="-58901.75"/>
    <n v="29846.639999999999"/>
    <n v="56992.38"/>
    <n v="301142.69000000006"/>
    <n v="-27145.739999999998"/>
  </r>
  <r>
    <x v="7"/>
    <x v="1"/>
    <x v="0"/>
    <s v="6900200"/>
    <n v="718050"/>
    <s v="Translation Services"/>
    <s v="Administration"/>
    <x v="0"/>
    <n v="1025"/>
    <n v="6012.97"/>
    <n v="6777.47"/>
    <n v="20261.86"/>
    <n v="6108.25"/>
    <n v="18308.7"/>
    <n v="19763.13"/>
    <n v="34680.33"/>
    <n v="63827.32"/>
    <n v="22582.7"/>
    <n v="21944.48"/>
    <n v="66107.38"/>
    <n v="68436.95"/>
    <n v="354811.54000000004"/>
    <n v="-2329.5699999999924"/>
  </r>
  <r>
    <x v="7"/>
    <x v="1"/>
    <x v="0"/>
    <s v="6900200"/>
    <n v="718050"/>
    <s v="Purchased Srvcs--Medical Waste"/>
    <s v="Administration"/>
    <x v="0"/>
    <n v="1027"/>
    <n v="653.25"/>
    <n v="0"/>
    <n v="0"/>
    <n v="-653.25"/>
    <n v="0"/>
    <n v="0"/>
    <n v="0"/>
    <n v="0"/>
    <n v="0"/>
    <n v="0"/>
    <n v="640.75"/>
    <n v="0"/>
    <n v="640.75"/>
    <n v="640.75"/>
  </r>
  <r>
    <x v="7"/>
    <x v="1"/>
    <x v="0"/>
    <s v="6900200"/>
    <n v="718050"/>
    <s v="Contract Services-Food&amp;Catering"/>
    <s v="Administration"/>
    <x v="0"/>
    <n v="1030"/>
    <n v="0"/>
    <n v="0"/>
    <n v="0"/>
    <n v="0"/>
    <n v="20267.63"/>
    <n v="1207.94"/>
    <n v="0"/>
    <n v="1434.14"/>
    <n v="0"/>
    <n v="1436.75"/>
    <n v="0"/>
    <n v="15916.75"/>
    <n v="40263.21"/>
    <n v="-15916.75"/>
  </r>
  <r>
    <x v="11"/>
    <x v="1"/>
    <x v="0"/>
    <s v="6900200"/>
    <n v="721810"/>
    <s v="Supplies-Dietary/Cafeteria"/>
    <s v="Administration"/>
    <x v="0"/>
    <m/>
    <n v="817.19"/>
    <n v="1125.3399999999999"/>
    <n v="1839.24"/>
    <n v="2512.38"/>
    <n v="1332.66"/>
    <n v="1101.81"/>
    <n v="4981.2"/>
    <n v="2490.0300000000002"/>
    <n v="1816.6"/>
    <n v="872.36"/>
    <n v="1900.7"/>
    <n v="1029.8800000000001"/>
    <n v="21819.390000000003"/>
    <n v="870.81999999999994"/>
  </r>
  <r>
    <x v="11"/>
    <x v="1"/>
    <x v="0"/>
    <s v="6900200"/>
    <n v="721830"/>
    <s v="Supplies-Office"/>
    <s v="Administration"/>
    <x v="0"/>
    <m/>
    <n v="336.82"/>
    <n v="362.8"/>
    <n v="508.7"/>
    <n v="2923.04"/>
    <n v="416.33"/>
    <n v="830.31"/>
    <n v="1850.17"/>
    <n v="1016.72"/>
    <n v="2891.58"/>
    <n v="29114.81"/>
    <n v="-26172.639999999999"/>
    <n v="970.12"/>
    <n v="15048.76"/>
    <n v="-27142.76"/>
  </r>
  <r>
    <x v="11"/>
    <x v="1"/>
    <x v="0"/>
    <s v="6900200"/>
    <n v="721835"/>
    <s v="Supplies-Forms"/>
    <s v="Administration"/>
    <x v="0"/>
    <m/>
    <n v="-12629.1"/>
    <n v="0"/>
    <n v="0"/>
    <n v="0"/>
    <n v="0"/>
    <n v="0"/>
    <n v="0"/>
    <n v="0"/>
    <n v="0"/>
    <n v="0"/>
    <n v="0"/>
    <n v="0"/>
    <n v="-12629.1"/>
    <n v="0"/>
  </r>
  <r>
    <x v="11"/>
    <x v="1"/>
    <x v="0"/>
    <s v="6900200"/>
    <n v="721910"/>
    <s v="Supplies-Small Equipment"/>
    <s v="Administration"/>
    <x v="0"/>
    <m/>
    <n v="1153.01"/>
    <n v="3707.23"/>
    <n v="0"/>
    <n v="1532.37"/>
    <n v="1029.5"/>
    <n v="2413.02"/>
    <n v="784.44"/>
    <n v="0"/>
    <n v="0"/>
    <n v="0"/>
    <n v="106.89"/>
    <n v="0"/>
    <n v="10726.46"/>
    <n v="106.89"/>
  </r>
  <r>
    <x v="11"/>
    <x v="1"/>
    <x v="0"/>
    <s v="6900200"/>
    <n v="721980"/>
    <s v="Supplies-Other"/>
    <s v="Administration"/>
    <x v="0"/>
    <m/>
    <n v="0"/>
    <n v="0"/>
    <n v="3021.62"/>
    <n v="106.29"/>
    <n v="0"/>
    <n v="135.04"/>
    <n v="256.64999999999998"/>
    <n v="0"/>
    <n v="0"/>
    <n v="130.80000000000001"/>
    <n v="0"/>
    <n v="271.70999999999998"/>
    <n v="3922.11"/>
    <n v="-271.70999999999998"/>
  </r>
  <r>
    <x v="11"/>
    <x v="1"/>
    <x v="0"/>
    <s v="6900200"/>
    <n v="722000"/>
    <s v="Supplies-Freight Expense"/>
    <s v="Administration"/>
    <x v="0"/>
    <m/>
    <n v="0"/>
    <n v="29.61"/>
    <n v="8.51"/>
    <n v="0"/>
    <n v="0"/>
    <n v="0"/>
    <n v="8.4"/>
    <n v="0"/>
    <n v="0"/>
    <n v="0"/>
    <n v="0"/>
    <n v="8.76"/>
    <n v="55.279999999999994"/>
    <n v="-8.76"/>
  </r>
  <r>
    <x v="11"/>
    <x v="1"/>
    <x v="0"/>
    <s v="6900200"/>
    <n v="724000"/>
    <s v="Item Cost Variance Suspense *"/>
    <s v="Administration"/>
    <x v="0"/>
    <m/>
    <n v="-1579.55"/>
    <n v="0"/>
    <n v="-120.9"/>
    <n v="0"/>
    <n v="0"/>
    <n v="0"/>
    <n v="0"/>
    <n v="1.0900000000000001"/>
    <n v="0"/>
    <n v="0"/>
    <n v="0"/>
    <n v="0"/>
    <n v="-1699.3600000000001"/>
    <n v="0"/>
  </r>
  <r>
    <x v="11"/>
    <x v="1"/>
    <x v="0"/>
    <s v="6900200"/>
    <n v="724001"/>
    <s v="Tolerance Offset *"/>
    <s v="Administration"/>
    <x v="0"/>
    <m/>
    <n v="0"/>
    <n v="0"/>
    <n v="0.01"/>
    <n v="0"/>
    <n v="-0.01"/>
    <n v="0.01"/>
    <n v="0.01"/>
    <n v="0"/>
    <n v="0"/>
    <n v="0"/>
    <n v="0.01"/>
    <n v="0.01"/>
    <n v="0.04"/>
    <n v="0"/>
  </r>
  <r>
    <x v="12"/>
    <x v="1"/>
    <x v="0"/>
    <s v="6900200"/>
    <n v="730010"/>
    <s v="Rental and Leases-Building (DO NOT USE)"/>
    <s v="Administration"/>
    <x v="0"/>
    <m/>
    <n v="25612.18"/>
    <n v="25612.18"/>
    <n v="25612.18"/>
    <n v="25612.18"/>
    <n v="25612.18"/>
    <n v="21813.39"/>
    <n v="25034.74"/>
    <n v="25034.74"/>
    <n v="25184.74"/>
    <n v="25030.73"/>
    <n v="25051.59"/>
    <n v="0"/>
    <n v="275210.82999999996"/>
    <n v="25051.59"/>
  </r>
  <r>
    <x v="12"/>
    <x v="1"/>
    <x v="0"/>
    <s v="6900200"/>
    <n v="730010"/>
    <s v="Rental-Common Area Maint (DO NOT USE)"/>
    <s v="Administration"/>
    <x v="0"/>
    <n v="2200"/>
    <n v="0"/>
    <n v="0"/>
    <n v="0"/>
    <n v="0"/>
    <n v="0"/>
    <n v="3807.39"/>
    <n v="586.04"/>
    <n v="586.04"/>
    <n v="845.64"/>
    <n v="585.94000000000005"/>
    <n v="585.94000000000005"/>
    <n v="0"/>
    <n v="6996.9900000000016"/>
    <n v="585.94000000000005"/>
  </r>
  <r>
    <x v="12"/>
    <x v="1"/>
    <x v="0"/>
    <s v="6900200"/>
    <n v="730020"/>
    <s v="Rental and Leases-Equipment (DO NOT USE)"/>
    <s v="Administration"/>
    <x v="0"/>
    <m/>
    <n v="0"/>
    <n v="0"/>
    <n v="0"/>
    <n v="0"/>
    <n v="0"/>
    <n v="0"/>
    <n v="0"/>
    <n v="0"/>
    <n v="0"/>
    <n v="0"/>
    <n v="32.979999999999997"/>
    <n v="33.01"/>
    <n v="65.989999999999995"/>
    <n v="-3.0000000000001137E-2"/>
  </r>
  <r>
    <x v="12"/>
    <x v="1"/>
    <x v="0"/>
    <s v="6900200"/>
    <n v="730020"/>
    <s v="Rental and Leases-Copier Usage Fees (DO NOT USE)"/>
    <s v="Administration"/>
    <x v="0"/>
    <n v="5100"/>
    <n v="389.24"/>
    <n v="299.56"/>
    <n v="344.4"/>
    <n v="344.4"/>
    <n v="405.71"/>
    <n v="356.67"/>
    <n v="2830.21"/>
    <n v="3447.75"/>
    <n v="1748.29"/>
    <n v="2065.36"/>
    <n v="1665.59"/>
    <n v="1817.7"/>
    <n v="15714.880000000001"/>
    <n v="-152.11000000000013"/>
  </r>
  <r>
    <x v="12"/>
    <x v="1"/>
    <x v="0"/>
    <s v="6900200"/>
    <n v="730040"/>
    <s v="LT Lease-Real Estate"/>
    <s v="Administration"/>
    <x v="0"/>
    <m/>
    <n v="0"/>
    <n v="0"/>
    <n v="0"/>
    <n v="0"/>
    <n v="0"/>
    <n v="0"/>
    <n v="0"/>
    <n v="0"/>
    <n v="0"/>
    <n v="0"/>
    <n v="0"/>
    <n v="26242.43"/>
    <n v="26242.43"/>
    <n v="-26242.43"/>
  </r>
  <r>
    <x v="15"/>
    <x v="1"/>
    <x v="0"/>
    <s v="6900200"/>
    <n v="731060"/>
    <s v="Telephone"/>
    <s v="Administration"/>
    <x v="0"/>
    <m/>
    <n v="2049.63"/>
    <n v="1881.72"/>
    <n v="2908.99"/>
    <n v="2396.15"/>
    <n v="3567.41"/>
    <n v="2387.13"/>
    <n v="1826.35"/>
    <n v="2209.7800000000002"/>
    <n v="1784.04"/>
    <n v="3510.07"/>
    <n v="2412.0100000000002"/>
    <n v="2508.9499999999998"/>
    <n v="29442.23"/>
    <n v="-96.9399999999996"/>
  </r>
  <r>
    <x v="15"/>
    <x v="1"/>
    <x v="0"/>
    <s v="6900200"/>
    <n v="731060"/>
    <s v="Cell Phones"/>
    <s v="Administration"/>
    <x v="0"/>
    <n v="1001"/>
    <n v="0"/>
    <n v="53.88"/>
    <n v="26.42"/>
    <n v="0"/>
    <n v="26.47"/>
    <n v="27.06"/>
    <n v="54.13"/>
    <n v="0"/>
    <n v="28.08"/>
    <n v="54.15"/>
    <n v="-5.12"/>
    <n v="0"/>
    <n v="265.07"/>
    <n v="-5.12"/>
  </r>
  <r>
    <x v="15"/>
    <x v="1"/>
    <x v="0"/>
    <s v="6900200"/>
    <n v="731065"/>
    <s v="Data Communications"/>
    <s v="Administration"/>
    <x v="0"/>
    <m/>
    <n v="0"/>
    <n v="0"/>
    <n v="0"/>
    <n v="31.9"/>
    <n v="0"/>
    <n v="0"/>
    <n v="8873"/>
    <n v="0"/>
    <n v="0"/>
    <n v="0"/>
    <n v="0"/>
    <n v="0"/>
    <n v="8904.9"/>
    <n v="0"/>
  </r>
  <r>
    <x v="16"/>
    <x v="1"/>
    <x v="0"/>
    <s v="6900200"/>
    <n v="732030"/>
    <s v="Repairs---Other"/>
    <s v="Administration"/>
    <x v="0"/>
    <m/>
    <n v="21.69"/>
    <n v="3297"/>
    <n v="0"/>
    <n v="0"/>
    <n v="0"/>
    <n v="281.3"/>
    <n v="0"/>
    <n v="-2"/>
    <n v="202.82"/>
    <n v="0"/>
    <n v="0"/>
    <n v="426.5"/>
    <n v="4227.3100000000004"/>
    <n v="-426.5"/>
  </r>
  <r>
    <x v="16"/>
    <x v="1"/>
    <x v="0"/>
    <s v="6900200"/>
    <n v="732030"/>
    <s v="Repairs&amp;Maintenance-Bldg Routine"/>
    <s v="Administration"/>
    <x v="0"/>
    <n v="2300"/>
    <n v="43.59"/>
    <n v="43.59"/>
    <n v="43.59"/>
    <n v="43.59"/>
    <n v="43.59"/>
    <n v="43.59"/>
    <n v="43.59"/>
    <n v="43.59"/>
    <n v="43.59"/>
    <n v="43.59"/>
    <n v="43.59"/>
    <n v="43.59"/>
    <n v="523.08000000000015"/>
    <n v="0"/>
  </r>
  <r>
    <x v="13"/>
    <x v="1"/>
    <x v="0"/>
    <s v="6900200"/>
    <n v="735050"/>
    <s v="Amortization-Leasehold Improvements"/>
    <s v="Administration"/>
    <x v="0"/>
    <m/>
    <n v="6735.03"/>
    <n v="6735.03"/>
    <n v="6735.03"/>
    <n v="6735.03"/>
    <n v="6735.06"/>
    <n v="6735.03"/>
    <n v="6735.06"/>
    <n v="6735.04"/>
    <n v="6735.06"/>
    <n v="6735.04"/>
    <n v="6735.06"/>
    <n v="1400"/>
    <n v="75485.469999999987"/>
    <n v="5335.06"/>
  </r>
  <r>
    <x v="13"/>
    <x v="1"/>
    <x v="0"/>
    <s v="6900200"/>
    <n v="735060"/>
    <s v="Depreciation-Fixed Equipment"/>
    <s v="Administration"/>
    <x v="0"/>
    <m/>
    <n v="459.13"/>
    <n v="459.13"/>
    <n v="459.13"/>
    <n v="459.13"/>
    <n v="459.13"/>
    <n v="459.13"/>
    <n v="459.13"/>
    <n v="459.13"/>
    <n v="459.13"/>
    <n v="459.12"/>
    <n v="459.13"/>
    <n v="459.11"/>
    <n v="5509.53"/>
    <n v="1.999999999998181E-2"/>
  </r>
  <r>
    <x v="13"/>
    <x v="1"/>
    <x v="0"/>
    <s v="6900200"/>
    <n v="735070"/>
    <s v="Depreciation-Movable Equipment"/>
    <s v="Administration"/>
    <x v="0"/>
    <m/>
    <n v="7299.95"/>
    <n v="7269.79"/>
    <n v="7269.92"/>
    <n v="7269.79"/>
    <n v="7269.97"/>
    <n v="7269.78"/>
    <n v="7269.99"/>
    <n v="7354.72"/>
    <n v="7270.02"/>
    <n v="7238.11"/>
    <n v="6139.97"/>
    <n v="5324.64"/>
    <n v="84246.65"/>
    <n v="815.32999999999993"/>
  </r>
  <r>
    <x v="0"/>
    <x v="1"/>
    <x v="0"/>
    <s v="6900200"/>
    <n v="740010"/>
    <s v="Education-Materials"/>
    <s v="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6900200"/>
    <n v="740020"/>
    <s v="Education-Registration Fees"/>
    <s v="Administration"/>
    <x v="0"/>
    <m/>
    <n v="1820"/>
    <n v="2443.17"/>
    <n v="665"/>
    <n v="255"/>
    <n v="0"/>
    <n v="1199"/>
    <n v="785"/>
    <n v="0"/>
    <n v="2600"/>
    <n v="395"/>
    <n v="550"/>
    <n v="0"/>
    <n v="10712.17"/>
    <n v="550"/>
  </r>
  <r>
    <x v="0"/>
    <x v="1"/>
    <x v="0"/>
    <s v="6900200"/>
    <n v="740022"/>
    <s v="Education-Physician"/>
    <s v="Administration"/>
    <x v="0"/>
    <m/>
    <n v="0"/>
    <n v="3196"/>
    <n v="0"/>
    <n v="152.21"/>
    <n v="0"/>
    <n v="700"/>
    <n v="725"/>
    <n v="0"/>
    <n v="0"/>
    <n v="0"/>
    <n v="0"/>
    <n v="0"/>
    <n v="4773.21"/>
    <n v="0"/>
  </r>
  <r>
    <x v="0"/>
    <x v="1"/>
    <x v="0"/>
    <s v="6900200"/>
    <n v="740022"/>
    <s v="Books-Physician"/>
    <s v="Administration"/>
    <x v="0"/>
    <n v="2000"/>
    <n v="0"/>
    <n v="256.2"/>
    <n v="0"/>
    <n v="0"/>
    <n v="0"/>
    <n v="0"/>
    <n v="0"/>
    <n v="0"/>
    <n v="0"/>
    <n v="0"/>
    <n v="0"/>
    <n v="0"/>
    <n v="256.2"/>
    <n v="0"/>
  </r>
  <r>
    <x v="8"/>
    <x v="1"/>
    <x v="0"/>
    <s v="6900200"/>
    <n v="741010"/>
    <s v="Liability Insurance-CHI Programs"/>
    <s v="Administration"/>
    <x v="0"/>
    <m/>
    <n v="135143.96"/>
    <n v="135143.96"/>
    <n v="135171.29"/>
    <n v="135153.07"/>
    <n v="135153.07"/>
    <n v="135153.07"/>
    <n v="135153.07"/>
    <n v="135153.07"/>
    <n v="135153.07"/>
    <n v="135153.07"/>
    <n v="135153.07"/>
    <n v="135153.07"/>
    <n v="1621836.8400000005"/>
    <n v="0"/>
  </r>
  <r>
    <x v="8"/>
    <x v="1"/>
    <x v="0"/>
    <s v="6900200"/>
    <n v="741012"/>
    <s v="Physician Liab Insurance-CHI Program"/>
    <s v="Administration"/>
    <x v="0"/>
    <m/>
    <n v="921.29"/>
    <n v="921.29"/>
    <n v="921.29"/>
    <n v="548.02"/>
    <n v="537.51"/>
    <n v="537.49"/>
    <n v="537.5"/>
    <n v="537.48"/>
    <n v="537.49"/>
    <n v="537.48"/>
    <n v="537.49"/>
    <n v="537.48"/>
    <n v="7611.8099999999977"/>
    <n v="9.9999999999909051E-3"/>
  </r>
  <r>
    <x v="8"/>
    <x v="1"/>
    <x v="0"/>
    <s v="6900200"/>
    <n v="741030"/>
    <s v="Property Insurance-CHI Programs"/>
    <s v="Administration"/>
    <x v="0"/>
    <m/>
    <n v="13204.43"/>
    <n v="13204.43"/>
    <n v="13140.14"/>
    <n v="13183"/>
    <n v="13183"/>
    <n v="13183"/>
    <n v="13183"/>
    <n v="13183"/>
    <n v="13183"/>
    <n v="13183"/>
    <n v="13183"/>
    <n v="13183"/>
    <n v="158196"/>
    <n v="0"/>
  </r>
  <r>
    <x v="0"/>
    <x v="1"/>
    <x v="0"/>
    <s v="6900200"/>
    <n v="742010"/>
    <s v="Postage-Regular"/>
    <s v="Administration"/>
    <x v="0"/>
    <m/>
    <n v="0"/>
    <n v="0"/>
    <n v="0"/>
    <n v="54.4"/>
    <n v="708.75"/>
    <n v="0"/>
    <n v="3.95"/>
    <n v="0"/>
    <n v="55"/>
    <n v="0"/>
    <n v="0"/>
    <n v="0"/>
    <n v="822.1"/>
    <n v="0"/>
  </r>
  <r>
    <x v="0"/>
    <x v="1"/>
    <x v="0"/>
    <s v="6900200"/>
    <n v="743010"/>
    <s v="Dues--Institutional"/>
    <s v="Administration"/>
    <x v="0"/>
    <m/>
    <n v="0"/>
    <n v="0"/>
    <n v="0"/>
    <n v="0"/>
    <n v="0"/>
    <n v="0"/>
    <n v="0"/>
    <n v="0"/>
    <n v="0"/>
    <n v="0"/>
    <n v="0"/>
    <n v="11495"/>
    <n v="11495"/>
    <n v="-11495"/>
  </r>
  <r>
    <x v="0"/>
    <x v="1"/>
    <x v="0"/>
    <s v="6900200"/>
    <n v="743020"/>
    <s v="Dues--Individual"/>
    <s v="Administration"/>
    <x v="0"/>
    <m/>
    <n v="75"/>
    <n v="0"/>
    <n v="399"/>
    <n v="798"/>
    <n v="265"/>
    <n v="0"/>
    <n v="0"/>
    <n v="0"/>
    <n v="10860"/>
    <n v="345"/>
    <n v="0"/>
    <n v="0"/>
    <n v="12742"/>
    <n v="0"/>
  </r>
  <r>
    <x v="0"/>
    <x v="1"/>
    <x v="0"/>
    <s v="6900200"/>
    <n v="743022"/>
    <s v="Dues-Physician"/>
    <s v="Administration"/>
    <x v="0"/>
    <m/>
    <n v="0"/>
    <n v="0"/>
    <n v="0"/>
    <n v="0"/>
    <n v="0"/>
    <n v="0"/>
    <n v="190"/>
    <n v="640"/>
    <n v="0"/>
    <n v="0"/>
    <n v="0"/>
    <n v="14458"/>
    <n v="15288"/>
    <n v="-14458"/>
  </r>
  <r>
    <x v="0"/>
    <x v="1"/>
    <x v="0"/>
    <s v="6900200"/>
    <n v="743030"/>
    <s v="Subscriptions--Institutional"/>
    <s v="Administration"/>
    <x v="0"/>
    <m/>
    <n v="0"/>
    <n v="16.98"/>
    <n v="384"/>
    <n v="0"/>
    <n v="0"/>
    <n v="384"/>
    <n v="0"/>
    <n v="0"/>
    <n v="406.36"/>
    <n v="0"/>
    <n v="133.08000000000001"/>
    <n v="0"/>
    <n v="1324.42"/>
    <n v="133.08000000000001"/>
  </r>
  <r>
    <x v="0"/>
    <x v="1"/>
    <x v="0"/>
    <s v="6900200"/>
    <n v="743040"/>
    <s v="Subscriptions--Individual"/>
    <s v="Administration"/>
    <x v="0"/>
    <m/>
    <n v="0"/>
    <n v="0"/>
    <n v="0"/>
    <n v="0"/>
    <n v="0"/>
    <n v="0"/>
    <n v="0"/>
    <n v="0"/>
    <n v="409"/>
    <n v="0"/>
    <n v="0"/>
    <n v="0"/>
    <n v="409"/>
    <n v="0"/>
  </r>
  <r>
    <x v="0"/>
    <x v="1"/>
    <x v="0"/>
    <s v="6900200"/>
    <n v="744012"/>
    <s v="Recruitment-Physician"/>
    <s v="Administration"/>
    <x v="0"/>
    <m/>
    <n v="0"/>
    <n v="0"/>
    <n v="0"/>
    <n v="0"/>
    <n v="0"/>
    <n v="0"/>
    <n v="146.11000000000001"/>
    <n v="0"/>
    <n v="42.28"/>
    <n v="37"/>
    <n v="0"/>
    <n v="0"/>
    <n v="225.39000000000001"/>
    <n v="0"/>
  </r>
  <r>
    <x v="0"/>
    <x v="1"/>
    <x v="0"/>
    <s v="6900200"/>
    <n v="749510"/>
    <s v="Miscellaneous Expenses"/>
    <s v="Administration"/>
    <x v="0"/>
    <m/>
    <n v="3388.63"/>
    <n v="458.64"/>
    <n v="-3058.82"/>
    <n v="17889.060000000001"/>
    <n v="937.12"/>
    <n v="6979.3"/>
    <n v="-3116.18"/>
    <n v="20816.59"/>
    <n v="-3355.56"/>
    <n v="3489.07"/>
    <n v="14923.62"/>
    <n v="-1518.49"/>
    <n v="57832.98"/>
    <n v="16442.11"/>
  </r>
  <r>
    <x v="0"/>
    <x v="1"/>
    <x v="0"/>
    <s v="6900200"/>
    <n v="749510"/>
    <s v="Licenses"/>
    <s v="Administration"/>
    <x v="0"/>
    <n v="1002"/>
    <n v="-488.97"/>
    <n v="0"/>
    <n v="90.21"/>
    <n v="0"/>
    <n v="0"/>
    <n v="0"/>
    <n v="-150"/>
    <n v="0"/>
    <n v="0"/>
    <n v="0"/>
    <n v="0"/>
    <n v="0"/>
    <n v="-548.76"/>
    <n v="0"/>
  </r>
  <r>
    <x v="0"/>
    <x v="1"/>
    <x v="0"/>
    <s v="6900200"/>
    <n v="749510"/>
    <s v="RICE Rewards"/>
    <s v="Administration"/>
    <x v="0"/>
    <n v="5100"/>
    <n v="0"/>
    <n v="0"/>
    <n v="0"/>
    <n v="66"/>
    <n v="0"/>
    <n v="3170.53"/>
    <n v="330.95"/>
    <n v="0"/>
    <n v="0"/>
    <n v="391.81"/>
    <n v="283.93"/>
    <n v="709.32"/>
    <n v="4952.54"/>
    <n v="-425.39000000000004"/>
  </r>
  <r>
    <x v="0"/>
    <x v="1"/>
    <x v="0"/>
    <s v="6900200"/>
    <n v="749510"/>
    <s v="Other Clinic IT Costs"/>
    <s v="Administration"/>
    <x v="0"/>
    <n v="5105"/>
    <n v="0"/>
    <n v="0"/>
    <n v="0"/>
    <n v="0"/>
    <n v="0"/>
    <n v="0"/>
    <n v="0"/>
    <n v="0"/>
    <n v="0"/>
    <n v="0"/>
    <n v="98.26"/>
    <n v="0"/>
    <n v="98.26"/>
    <n v="98.26"/>
  </r>
  <r>
    <x v="0"/>
    <x v="1"/>
    <x v="0"/>
    <s v="6900200"/>
    <n v="749512"/>
    <s v="Licenses-Physician"/>
    <s v="Administration"/>
    <x v="0"/>
    <n v="2000"/>
    <n v="0"/>
    <n v="2800"/>
    <n v="0"/>
    <n v="0"/>
    <n v="0"/>
    <n v="657"/>
    <n v="0"/>
    <n v="657"/>
    <n v="0"/>
    <n v="731"/>
    <n v="0"/>
    <n v="657"/>
    <n v="5502"/>
    <n v="-657"/>
  </r>
  <r>
    <x v="0"/>
    <x v="1"/>
    <x v="0"/>
    <s v="6900200"/>
    <n v="749530"/>
    <s v="Travel"/>
    <s v="Administration"/>
    <x v="0"/>
    <m/>
    <n v="1156.3499999999999"/>
    <n v="37"/>
    <n v="3119.7"/>
    <n v="4606.55"/>
    <n v="2060.9"/>
    <n v="6702.8"/>
    <n v="11876.13"/>
    <n v="4596.5600000000004"/>
    <n v="2365.04"/>
    <n v="9228.82"/>
    <n v="3780.72"/>
    <n v="9983.98"/>
    <n v="59514.55"/>
    <n v="-6203.26"/>
  </r>
  <r>
    <x v="0"/>
    <x v="1"/>
    <x v="0"/>
    <s v="6900200"/>
    <n v="749530"/>
    <s v="Mileage"/>
    <s v="Administration"/>
    <x v="0"/>
    <n v="1001"/>
    <n v="160.84"/>
    <n v="1251.54"/>
    <n v="2019.58"/>
    <n v="2241.31"/>
    <n v="2331.2800000000002"/>
    <n v="2713.92"/>
    <n v="2256.71"/>
    <n v="1124.3599999999999"/>
    <n v="3402.88"/>
    <n v="2093.2199999999998"/>
    <n v="1729.56"/>
    <n v="2392.5"/>
    <n v="23717.700000000004"/>
    <n v="-662.94"/>
  </r>
  <r>
    <x v="0"/>
    <x v="1"/>
    <x v="0"/>
    <s v="6900200"/>
    <n v="749532"/>
    <s v="Travel-Physician"/>
    <s v="Administration"/>
    <x v="0"/>
    <m/>
    <n v="0"/>
    <n v="3559.04"/>
    <n v="0"/>
    <n v="0"/>
    <n v="1789.1"/>
    <n v="2113.84"/>
    <n v="2493.16"/>
    <n v="168.94"/>
    <n v="376.47"/>
    <n v="25.5"/>
    <n v="0"/>
    <n v="6"/>
    <n v="10532.05"/>
    <n v="-6"/>
  </r>
  <r>
    <x v="0"/>
    <x v="1"/>
    <x v="0"/>
    <s v="6900200"/>
    <n v="749532"/>
    <s v="Business Meals-Physician"/>
    <s v="Administration"/>
    <x v="0"/>
    <n v="2000"/>
    <n v="0"/>
    <n v="159.75"/>
    <n v="0"/>
    <n v="65.84"/>
    <n v="170.89"/>
    <n v="516.94000000000005"/>
    <n v="224.86"/>
    <n v="0"/>
    <n v="622"/>
    <n v="564.08000000000004"/>
    <n v="289.41000000000003"/>
    <n v="497.56"/>
    <n v="3111.33"/>
    <n v="-208.14999999999998"/>
  </r>
  <r>
    <x v="0"/>
    <x v="1"/>
    <x v="0"/>
    <s v="6900200"/>
    <n v="749532"/>
    <s v="Vehicle Expense-Physician"/>
    <s v="Administration"/>
    <x v="0"/>
    <n v="2001"/>
    <n v="130.83000000000001"/>
    <n v="522.24"/>
    <n v="1357.83"/>
    <n v="854.82"/>
    <n v="1177.93"/>
    <n v="1072.75"/>
    <n v="637.77"/>
    <n v="378.16"/>
    <n v="382.22"/>
    <n v="1001.66"/>
    <n v="1036.46"/>
    <n v="847.96"/>
    <n v="9400.630000000001"/>
    <n v="188.5"/>
  </r>
  <r>
    <x v="0"/>
    <x v="1"/>
    <x v="0"/>
    <s v="6900200"/>
    <n v="749535"/>
    <s v="Meetings"/>
    <s v="Administration"/>
    <x v="0"/>
    <m/>
    <n v="135.65"/>
    <n v="203.16"/>
    <n v="2038.42"/>
    <n v="1386.57"/>
    <n v="11522.68"/>
    <n v="1894.35"/>
    <n v="4365.58"/>
    <n v="1349.44"/>
    <n v="3007.93"/>
    <n v="3590.81"/>
    <n v="1169.06"/>
    <n v="2444.75"/>
    <n v="33108.399999999994"/>
    <n v="-1275.69"/>
  </r>
  <r>
    <x v="0"/>
    <x v="1"/>
    <x v="0"/>
    <s v="6900200"/>
    <n v="749535"/>
    <s v="Medicare Non-Allowable Beverages"/>
    <s v="Administration"/>
    <x v="0"/>
    <n v="1005"/>
    <n v="0"/>
    <n v="0"/>
    <n v="54.72"/>
    <n v="130.22"/>
    <n v="103.88"/>
    <n v="136.08000000000001"/>
    <n v="608.47"/>
    <n v="73.5"/>
    <n v="193"/>
    <n v="349.48"/>
    <n v="109.75"/>
    <n v="0"/>
    <n v="1759.1"/>
    <n v="109.75"/>
  </r>
  <r>
    <x v="0"/>
    <x v="1"/>
    <x v="0"/>
    <s v="6900200"/>
    <n v="766010"/>
    <s v="Property Tax"/>
    <s v="Administration"/>
    <x v="0"/>
    <m/>
    <n v="631.29"/>
    <n v="631.29"/>
    <n v="631.29"/>
    <n v="631.29"/>
    <n v="631.29"/>
    <n v="631.29"/>
    <n v="631.29"/>
    <n v="631.29"/>
    <n v="631.29"/>
    <n v="184.16"/>
    <n v="-135.47"/>
    <n v="519.53"/>
    <n v="6249.829999999999"/>
    <n v="-655"/>
  </r>
  <r>
    <x v="9"/>
    <x v="1"/>
    <x v="0"/>
    <s v="6900200"/>
    <n v="800015"/>
    <s v="Interest Income-Ext to CHI"/>
    <s v="Administration"/>
    <x v="0"/>
    <m/>
    <n v="-876.35"/>
    <n v="-802.77"/>
    <n v="-810.3"/>
    <n v="-718.15"/>
    <n v="-1219.06"/>
    <n v="-536.39"/>
    <n v="-879.67"/>
    <n v="-486.74"/>
    <n v="-621.59"/>
    <n v="-636.99"/>
    <n v="-580.26"/>
    <n v="-756.85"/>
    <n v="-8925.1200000000008"/>
    <n v="176.59000000000003"/>
  </r>
  <r>
    <x v="5"/>
    <x v="10"/>
    <x v="0"/>
    <s v="6900306"/>
    <n v="700014"/>
    <s v="Salaries-Management-Productive"/>
    <s v="Administration"/>
    <x v="0"/>
    <m/>
    <n v="32025.56"/>
    <n v="30261.23"/>
    <n v="35156.400000000001"/>
    <n v="31791.66"/>
    <n v="40942.769999999997"/>
    <n v="28428.73"/>
    <n v="34795.86"/>
    <n v="33676.589999999997"/>
    <n v="30774.57"/>
    <n v="38614.93"/>
    <n v="39206.25"/>
    <n v="26880.91"/>
    <n v="402555.46"/>
    <n v="12325.34"/>
  </r>
  <r>
    <x v="5"/>
    <x v="10"/>
    <x v="0"/>
    <s v="6900306"/>
    <n v="700038"/>
    <s v="Salaries-Service/Support-Productive"/>
    <s v="Administration"/>
    <x v="0"/>
    <m/>
    <n v="8116.49"/>
    <n v="8915.6200000000008"/>
    <n v="11084.46"/>
    <n v="10335.66"/>
    <n v="10074.879999999999"/>
    <n v="6547.48"/>
    <n v="10857.2"/>
    <n v="9630.69"/>
    <n v="11349.51"/>
    <n v="10239.200000000001"/>
    <n v="10805.92"/>
    <n v="8857.82"/>
    <n v="116814.93"/>
    <n v="1948.1000000000004"/>
  </r>
  <r>
    <x v="5"/>
    <x v="10"/>
    <x v="0"/>
    <s v="6900306"/>
    <n v="700038"/>
    <s v="Salaries-Service/Support-OT"/>
    <s v="Administration"/>
    <x v="0"/>
    <n v="1000"/>
    <n v="46.75"/>
    <n v="-695.25"/>
    <n v="232.79"/>
    <n v="56.99"/>
    <n v="154.80000000000001"/>
    <n v="13.27"/>
    <n v="33.22"/>
    <n v="59.06"/>
    <n v="8.1300000000000008"/>
    <n v="47.24"/>
    <n v="-11.79"/>
    <n v="116.64"/>
    <n v="61.849999999999994"/>
    <n v="-128.43"/>
  </r>
  <r>
    <x v="5"/>
    <x v="10"/>
    <x v="0"/>
    <s v="6900306"/>
    <n v="700038"/>
    <s v="Salaries-Service/Support-Other"/>
    <s v="Administration"/>
    <x v="0"/>
    <n v="2000"/>
    <n v="0"/>
    <n v="-9.99"/>
    <n v="2.99"/>
    <n v="0"/>
    <n v="0"/>
    <n v="0"/>
    <n v="0"/>
    <n v="0"/>
    <n v="2"/>
    <n v="0"/>
    <n v="0"/>
    <n v="1001.56"/>
    <n v="996.56"/>
    <n v="-1001.56"/>
  </r>
  <r>
    <x v="5"/>
    <x v="10"/>
    <x v="0"/>
    <s v="6900306"/>
    <n v="700054"/>
    <s v="Salaries-Management-Non-productive"/>
    <s v="Administration"/>
    <x v="0"/>
    <m/>
    <n v="5019.16"/>
    <n v="6785.16"/>
    <n v="695.44"/>
    <n v="5666.16"/>
    <n v="-2493.08"/>
    <n v="10720.09"/>
    <n v="4414.1000000000004"/>
    <n v="1735.27"/>
    <n v="8431.68"/>
    <n v="-674.64"/>
    <n v="0"/>
    <n v="11017.62"/>
    <n v="51316.959999999999"/>
    <n v="-11017.62"/>
  </r>
  <r>
    <x v="5"/>
    <x v="10"/>
    <x v="0"/>
    <s v="6900306"/>
    <n v="700078"/>
    <s v="Salaries-Service/Support-Non-productive"/>
    <s v="Administration"/>
    <x v="0"/>
    <m/>
    <n v="3414.32"/>
    <n v="2595.56"/>
    <n v="62.07"/>
    <n v="1443.8"/>
    <n v="1458.41"/>
    <n v="4643.1400000000003"/>
    <n v="1034.8900000000001"/>
    <n v="1037.97"/>
    <n v="453.53"/>
    <n v="1195.3599999999999"/>
    <n v="1057.0899999999999"/>
    <n v="2583.67"/>
    <n v="20979.809999999998"/>
    <n v="-1526.5800000000002"/>
  </r>
  <r>
    <x v="5"/>
    <x v="10"/>
    <x v="0"/>
    <s v="6900306"/>
    <n v="700084"/>
    <s v="Accrued PTO"/>
    <s v="Administration"/>
    <x v="0"/>
    <m/>
    <n v="-374.78"/>
    <n v="-2926.46"/>
    <n v="1659.04"/>
    <n v="3247.16"/>
    <n v="2858.44"/>
    <n v="-354.78"/>
    <n v="-12.29"/>
    <n v="1034.5999999999999"/>
    <n v="1432.94"/>
    <n v="-370.12"/>
    <n v="2155.13"/>
    <n v="-2227.54"/>
    <n v="6121.3400000000011"/>
    <n v="4382.67"/>
  </r>
  <r>
    <x v="6"/>
    <x v="10"/>
    <x v="0"/>
    <s v="6900306"/>
    <n v="713010"/>
    <s v="Benefits-FICA/Medicare"/>
    <s v="Administration"/>
    <x v="0"/>
    <m/>
    <n v="2213.4699999999998"/>
    <n v="2154.54"/>
    <n v="2155.83"/>
    <n v="1907.01"/>
    <n v="1277.8699999999999"/>
    <n v="2604.46"/>
    <n v="3792.01"/>
    <n v="3421.84"/>
    <n v="3783.55"/>
    <n v="3665.25"/>
    <n v="3789.03"/>
    <n v="2230.58"/>
    <n v="32995.439999999995"/>
    <n v="1558.4500000000003"/>
  </r>
  <r>
    <x v="6"/>
    <x v="10"/>
    <x v="0"/>
    <s v="6900306"/>
    <n v="713090"/>
    <s v="Benefits-Allocated Amounts"/>
    <s v="Administration"/>
    <x v="0"/>
    <m/>
    <n v="4681.96"/>
    <n v="5443.2"/>
    <n v="5235.01"/>
    <n v="4746.29"/>
    <n v="5218.29"/>
    <n v="5465.18"/>
    <n v="4676.6400000000003"/>
    <n v="4249.3900000000003"/>
    <n v="6253.83"/>
    <n v="4800.3"/>
    <n v="4976.8900000000003"/>
    <n v="5506.34"/>
    <n v="61253.320000000007"/>
    <n v="-529.44999999999982"/>
  </r>
  <r>
    <x v="21"/>
    <x v="10"/>
    <x v="0"/>
    <s v="6900306"/>
    <n v="716046"/>
    <s v="Consulting-Other"/>
    <s v="Administration"/>
    <x v="0"/>
    <m/>
    <n v="0"/>
    <n v="0"/>
    <n v="0"/>
    <n v="0"/>
    <n v="1719.31"/>
    <n v="0"/>
    <n v="0"/>
    <n v="80.25"/>
    <n v="0"/>
    <n v="0"/>
    <n v="0"/>
    <n v="0"/>
    <n v="1799.56"/>
    <n v="0"/>
  </r>
  <r>
    <x v="7"/>
    <x v="10"/>
    <x v="0"/>
    <s v="6900306"/>
    <n v="718050"/>
    <s v="Document Shredding/Storage"/>
    <s v="Administration"/>
    <x v="0"/>
    <n v="1012"/>
    <n v="61.16"/>
    <n v="54.68"/>
    <n v="60.28"/>
    <n v="59.64"/>
    <n v="0"/>
    <n v="61.63"/>
    <n v="61.01"/>
    <n v="-10.87"/>
    <n v="53.46"/>
    <n v="71.7"/>
    <n v="59.64"/>
    <n v="61.63"/>
    <n v="593.95999999999992"/>
    <n v="-1.990000000000002"/>
  </r>
  <r>
    <x v="7"/>
    <x v="10"/>
    <x v="0"/>
    <s v="6900306"/>
    <n v="718050"/>
    <s v="Miscellaneous Purchased Svcs"/>
    <s v="Administration"/>
    <x v="0"/>
    <n v="1020"/>
    <n v="584.70000000000005"/>
    <n v="950.7"/>
    <n v="584.70000000000005"/>
    <n v="768.76"/>
    <n v="584.70000000000005"/>
    <n v="218.7"/>
    <n v="950.7"/>
    <n v="672.18"/>
    <n v="229.63"/>
    <n v="595.63"/>
    <n v="1327.63"/>
    <n v="1327.63"/>
    <n v="8795.66"/>
    <n v="0"/>
  </r>
  <r>
    <x v="11"/>
    <x v="10"/>
    <x v="0"/>
    <s v="6900306"/>
    <n v="721810"/>
    <s v="Supplies-Dietary/Cafeteria"/>
    <s v="Administration"/>
    <x v="0"/>
    <m/>
    <n v="70.040000000000006"/>
    <n v="27.12"/>
    <n v="59.32"/>
    <n v="16.940000000000001"/>
    <n v="100.51"/>
    <n v="24.26"/>
    <n v="16.940000000000001"/>
    <n v="51.79"/>
    <n v="22.58"/>
    <n v="22.58"/>
    <n v="78.739999999999995"/>
    <n v="16.940000000000001"/>
    <n v="507.76"/>
    <n v="61.8"/>
  </r>
  <r>
    <x v="11"/>
    <x v="10"/>
    <x v="0"/>
    <s v="6900306"/>
    <n v="721830"/>
    <s v="Supplies-Office"/>
    <s v="Administration"/>
    <x v="0"/>
    <m/>
    <n v="45.54"/>
    <n v="184.36"/>
    <n v="0"/>
    <n v="836.86"/>
    <n v="-105.58"/>
    <n v="2238.31"/>
    <n v="163.96"/>
    <n v="24.11"/>
    <n v="257.76"/>
    <n v="167.07"/>
    <n v="445.46"/>
    <n v="96.78"/>
    <n v="4354.6299999999992"/>
    <n v="348.67999999999995"/>
  </r>
  <r>
    <x v="11"/>
    <x v="10"/>
    <x v="0"/>
    <s v="6900306"/>
    <n v="721870"/>
    <s v="Supplies-Environmental Services"/>
    <s v="Administration"/>
    <x v="0"/>
    <m/>
    <n v="0"/>
    <n v="0"/>
    <n v="43.07"/>
    <n v="0"/>
    <n v="0"/>
    <n v="0"/>
    <n v="43.07"/>
    <n v="0"/>
    <n v="88.9"/>
    <n v="-0.51"/>
    <n v="0"/>
    <n v="42.64"/>
    <n v="217.17000000000002"/>
    <n v="-42.64"/>
  </r>
  <r>
    <x v="11"/>
    <x v="10"/>
    <x v="0"/>
    <s v="6900306"/>
    <n v="721910"/>
    <s v="Supplies-Small Equipment"/>
    <s v="Administration"/>
    <x v="0"/>
    <m/>
    <n v="0"/>
    <n v="0"/>
    <n v="0"/>
    <n v="0"/>
    <n v="0"/>
    <n v="0"/>
    <n v="0"/>
    <n v="0"/>
    <n v="0"/>
    <n v="0"/>
    <n v="97.65"/>
    <n v="0"/>
    <n v="97.65"/>
    <n v="97.65"/>
  </r>
  <r>
    <x v="11"/>
    <x v="10"/>
    <x v="0"/>
    <s v="6900306"/>
    <n v="721980"/>
    <s v="Supplies-Other"/>
    <s v="Administration"/>
    <x v="0"/>
    <m/>
    <n v="233.94"/>
    <n v="0"/>
    <n v="0"/>
    <n v="697.31"/>
    <n v="124.75"/>
    <n v="0"/>
    <n v="395.78"/>
    <n v="550.21"/>
    <n v="0"/>
    <n v="0"/>
    <n v="102.82"/>
    <n v="300.70999999999998"/>
    <n v="2405.52"/>
    <n v="-197.89"/>
  </r>
  <r>
    <x v="11"/>
    <x v="10"/>
    <x v="0"/>
    <s v="6900306"/>
    <n v="722000"/>
    <s v="Supplies-Freight Expense"/>
    <s v="Administration"/>
    <x v="0"/>
    <m/>
    <n v="0"/>
    <n v="0"/>
    <n v="8.43"/>
    <n v="5.59"/>
    <n v="0"/>
    <n v="0"/>
    <n v="0"/>
    <n v="0"/>
    <n v="0"/>
    <n v="0"/>
    <n v="0"/>
    <n v="0"/>
    <n v="14.02"/>
    <n v="0"/>
  </r>
  <r>
    <x v="11"/>
    <x v="10"/>
    <x v="0"/>
    <s v="6900306"/>
    <n v="724001"/>
    <s v="Tolerance Offset *"/>
    <s v="Administration"/>
    <x v="0"/>
    <m/>
    <n v="0"/>
    <n v="0"/>
    <n v="0"/>
    <n v="0"/>
    <n v="0.01"/>
    <n v="0"/>
    <n v="0"/>
    <n v="0"/>
    <n v="0"/>
    <n v="0"/>
    <n v="0"/>
    <n v="0"/>
    <n v="0.01"/>
    <n v="0"/>
  </r>
  <r>
    <x v="12"/>
    <x v="10"/>
    <x v="0"/>
    <s v="6900306"/>
    <n v="730010"/>
    <s v="Rental and Leases-Building (DO NOT USE)"/>
    <s v="Administration"/>
    <x v="0"/>
    <m/>
    <n v="46667"/>
    <n v="46667"/>
    <n v="46667"/>
    <n v="46667"/>
    <n v="46667"/>
    <n v="46667"/>
    <n v="46667"/>
    <n v="46667"/>
    <n v="46667"/>
    <n v="46667"/>
    <n v="46667"/>
    <n v="46667"/>
    <n v="560004"/>
    <n v="0"/>
  </r>
  <r>
    <x v="12"/>
    <x v="10"/>
    <x v="0"/>
    <s v="6900306"/>
    <n v="730020"/>
    <s v="Rental and Leases-Equipment (DO NOT USE)"/>
    <s v="Administration"/>
    <x v="0"/>
    <m/>
    <n v="170.51"/>
    <n v="1552.56"/>
    <n v="1008.27"/>
    <n v="2955.79"/>
    <n v="812.68"/>
    <n v="170.51"/>
    <n v="856.55"/>
    <n v="1967.67"/>
    <n v="1162.74"/>
    <n v="693.18"/>
    <n v="846.51"/>
    <n v="1477.83"/>
    <n v="13674.800000000001"/>
    <n v="-631.31999999999994"/>
  </r>
  <r>
    <x v="12"/>
    <x v="10"/>
    <x v="0"/>
    <s v="6900306"/>
    <n v="730020"/>
    <s v="Rental and Leases-Copier Usage Fees (DO NOT USE)"/>
    <s v="Administration"/>
    <x v="0"/>
    <n v="5100"/>
    <n v="286.88"/>
    <n v="294.06"/>
    <n v="290.47000000000003"/>
    <n v="290.47000000000003"/>
    <n v="290.47000000000003"/>
    <n v="290.47000000000003"/>
    <n v="582.92999999999995"/>
    <n v="214.73"/>
    <n v="214.28"/>
    <n v="519.19000000000005"/>
    <n v="214.73"/>
    <n v="216.09"/>
    <n v="3704.7700000000004"/>
    <n v="-1.3600000000000136"/>
  </r>
  <r>
    <x v="15"/>
    <x v="10"/>
    <x v="0"/>
    <s v="6900306"/>
    <n v="731060"/>
    <s v="Telephone"/>
    <s v="Administration"/>
    <x v="0"/>
    <m/>
    <n v="0"/>
    <n v="784.2"/>
    <n v="412.72"/>
    <n v="0"/>
    <n v="382.9"/>
    <n v="401.3"/>
    <n v="435"/>
    <n v="394.2"/>
    <n v="942.8"/>
    <n v="0"/>
    <n v="424.4"/>
    <n v="420.3"/>
    <n v="4597.82"/>
    <n v="4.0999999999999659"/>
  </r>
  <r>
    <x v="16"/>
    <x v="10"/>
    <x v="0"/>
    <s v="6900306"/>
    <n v="732030"/>
    <s v="Repairs---Other"/>
    <s v="Administration"/>
    <x v="0"/>
    <m/>
    <n v="0"/>
    <n v="0"/>
    <n v="0"/>
    <n v="309.33"/>
    <n v="307.95"/>
    <n v="25.04"/>
    <n v="0"/>
    <n v="0"/>
    <n v="0"/>
    <n v="0"/>
    <n v="0"/>
    <n v="0"/>
    <n v="642.31999999999994"/>
    <n v="0"/>
  </r>
  <r>
    <x v="13"/>
    <x v="10"/>
    <x v="0"/>
    <s v="6900306"/>
    <n v="735070"/>
    <s v="Depreciation-Movable Equipment"/>
    <s v="Administration"/>
    <x v="0"/>
    <m/>
    <n v="479.96"/>
    <n v="479.95"/>
    <n v="479.99"/>
    <n v="479.93"/>
    <n v="480.01"/>
    <n v="479.84"/>
    <n v="315.02"/>
    <n v="314.8"/>
    <n v="315.02999999999997"/>
    <n v="314.8"/>
    <n v="315.05"/>
    <n v="314.77999999999997"/>
    <n v="4769.1600000000008"/>
    <n v="0.27000000000003865"/>
  </r>
  <r>
    <x v="0"/>
    <x v="10"/>
    <x v="0"/>
    <s v="6900306"/>
    <n v="742010"/>
    <s v="Postage-Regular"/>
    <s v="Administration"/>
    <x v="0"/>
    <m/>
    <n v="155.19999999999999"/>
    <n v="0"/>
    <n v="0"/>
    <n v="160.19999999999999"/>
    <n v="0"/>
    <n v="6.91"/>
    <n v="208.51"/>
    <n v="268.49"/>
    <n v="0"/>
    <n v="142.9"/>
    <n v="148.5"/>
    <n v="0"/>
    <n v="1090.71"/>
    <n v="148.5"/>
  </r>
  <r>
    <x v="0"/>
    <x v="10"/>
    <x v="0"/>
    <s v="6900306"/>
    <n v="743010"/>
    <s v="Dues--Institutional"/>
    <s v="Administration"/>
    <x v="0"/>
    <m/>
    <n v="1294.83"/>
    <n v="12961.83"/>
    <n v="1294.83"/>
    <n v="1294.83"/>
    <n v="1294.83"/>
    <n v="2794.83"/>
    <n v="0"/>
    <n v="4219.2"/>
    <n v="1359.58"/>
    <n v="1359.58"/>
    <n v="2859.58"/>
    <n v="1359.58"/>
    <n v="32093.500000000007"/>
    <n v="1500"/>
  </r>
  <r>
    <x v="0"/>
    <x v="10"/>
    <x v="0"/>
    <s v="6900306"/>
    <n v="743020"/>
    <s v="Dues--Individual"/>
    <s v="Administration"/>
    <x v="0"/>
    <m/>
    <n v="0"/>
    <n v="0"/>
    <n v="0"/>
    <n v="0"/>
    <n v="0"/>
    <n v="100"/>
    <n v="0"/>
    <n v="0"/>
    <n v="0"/>
    <n v="0"/>
    <n v="0"/>
    <n v="0"/>
    <n v="100"/>
    <n v="0"/>
  </r>
  <r>
    <x v="0"/>
    <x v="10"/>
    <x v="0"/>
    <s v="6900306"/>
    <n v="744010"/>
    <s v="Recruitment"/>
    <s v="Administration"/>
    <x v="0"/>
    <m/>
    <n v="730.7"/>
    <n v="0"/>
    <n v="0"/>
    <n v="0"/>
    <n v="0"/>
    <n v="0"/>
    <n v="0"/>
    <n v="0"/>
    <n v="0"/>
    <n v="0"/>
    <n v="0"/>
    <n v="0"/>
    <n v="730.7"/>
    <n v="0"/>
  </r>
  <r>
    <x v="0"/>
    <x v="10"/>
    <x v="0"/>
    <s v="6900306"/>
    <n v="749510"/>
    <s v="Miscellaneous Expenses"/>
    <s v="Administration"/>
    <x v="0"/>
    <m/>
    <n v="541.27"/>
    <n v="3400.63"/>
    <n v="-682.87"/>
    <n v="-1085.05"/>
    <n v="1642.15"/>
    <n v="13.1"/>
    <n v="-20.96"/>
    <n v="957.07"/>
    <n v="979.49"/>
    <n v="5182.58"/>
    <n v="618.59"/>
    <n v="673.94"/>
    <n v="12219.94"/>
    <n v="-55.350000000000023"/>
  </r>
  <r>
    <x v="0"/>
    <x v="10"/>
    <x v="0"/>
    <s v="6900306"/>
    <n v="749510"/>
    <s v="Licenses"/>
    <s v="Administration"/>
    <x v="0"/>
    <n v="1002"/>
    <n v="0"/>
    <n v="0"/>
    <n v="75"/>
    <n v="3588"/>
    <n v="0"/>
    <n v="0"/>
    <n v="0"/>
    <n v="0"/>
    <n v="0"/>
    <n v="0"/>
    <n v="0"/>
    <n v="175"/>
    <n v="3838"/>
    <n v="-175"/>
  </r>
  <r>
    <x v="0"/>
    <x v="10"/>
    <x v="0"/>
    <s v="6900306"/>
    <n v="749530"/>
    <s v="Travel"/>
    <s v="Administration"/>
    <x v="0"/>
    <m/>
    <n v="355.98"/>
    <n v="0"/>
    <n v="603.55999999999995"/>
    <n v="951.27"/>
    <n v="586"/>
    <n v="499.84"/>
    <n v="1067.3399999999999"/>
    <n v="89.83"/>
    <n v="0"/>
    <n v="181.41"/>
    <n v="10"/>
    <n v="1.25"/>
    <n v="4346.4799999999996"/>
    <n v="8.75"/>
  </r>
  <r>
    <x v="0"/>
    <x v="10"/>
    <x v="0"/>
    <s v="6900306"/>
    <n v="749530"/>
    <s v="Mileage"/>
    <s v="Administration"/>
    <x v="0"/>
    <n v="1001"/>
    <n v="0"/>
    <n v="0"/>
    <n v="0"/>
    <n v="30.53"/>
    <n v="0"/>
    <n v="0"/>
    <n v="0"/>
    <n v="0"/>
    <n v="0"/>
    <n v="0"/>
    <n v="0"/>
    <n v="0"/>
    <n v="30.53"/>
    <n v="0"/>
  </r>
  <r>
    <x v="0"/>
    <x v="10"/>
    <x v="0"/>
    <s v="6900306"/>
    <n v="749535"/>
    <s v="Meetings"/>
    <s v="Administration"/>
    <x v="0"/>
    <m/>
    <n v="0"/>
    <n v="0"/>
    <n v="79.48"/>
    <n v="15.91"/>
    <n v="0"/>
    <n v="239.64"/>
    <n v="153.62"/>
    <n v="0"/>
    <n v="105"/>
    <n v="194.94"/>
    <n v="130.46"/>
    <n v="434.47"/>
    <n v="1353.52"/>
    <n v="-304.01"/>
  </r>
  <r>
    <x v="7"/>
    <x v="13"/>
    <x v="0"/>
    <s v="6900500"/>
    <n v="718050"/>
    <s v="Cleaning Services"/>
    <s v="Adminstration"/>
    <x v="0"/>
    <n v="1011"/>
    <n v="0"/>
    <n v="0"/>
    <n v="6428.11"/>
    <n v="0"/>
    <n v="0"/>
    <n v="-5701.45"/>
    <n v="0"/>
    <n v="0"/>
    <n v="0"/>
    <n v="0"/>
    <n v="0"/>
    <n v="0"/>
    <n v="726.65999999999985"/>
    <n v="0"/>
  </r>
  <r>
    <x v="7"/>
    <x v="13"/>
    <x v="0"/>
    <s v="6900500"/>
    <n v="718050"/>
    <s v="Security"/>
    <s v="Adminstration"/>
    <x v="0"/>
    <n v="1019"/>
    <n v="13600.65"/>
    <n v="0"/>
    <n v="0"/>
    <n v="6611.6"/>
    <n v="6560.59"/>
    <n v="18965.2"/>
    <n v="0"/>
    <n v="19026"/>
    <n v="0"/>
    <n v="5036.1000000000004"/>
    <n v="0"/>
    <n v="13670.86"/>
    <n v="83471"/>
    <n v="-13670.86"/>
  </r>
  <r>
    <x v="7"/>
    <x v="13"/>
    <x v="0"/>
    <s v="6900500"/>
    <n v="718050"/>
    <s v="Miscellaneous Purchased Svcs"/>
    <s v="Adminstration"/>
    <x v="0"/>
    <n v="1020"/>
    <n v="3175.08"/>
    <n v="3175.08"/>
    <n v="3175.08"/>
    <n v="3175.08"/>
    <n v="3175.08"/>
    <n v="3175.08"/>
    <n v="3175.08"/>
    <n v="3175.08"/>
    <n v="3175.08"/>
    <n v="3175.08"/>
    <n v="3175.08"/>
    <n v="3175.08"/>
    <n v="38100.960000000006"/>
    <n v="0"/>
  </r>
  <r>
    <x v="7"/>
    <x v="13"/>
    <x v="0"/>
    <s v="6900500"/>
    <n v="718050"/>
    <s v="Purchased Service-Fire Equipment"/>
    <s v="Adminstration"/>
    <x v="0"/>
    <n v="5100"/>
    <n v="187.17"/>
    <n v="0"/>
    <n v="0"/>
    <n v="0"/>
    <n v="0"/>
    <n v="0"/>
    <n v="0"/>
    <n v="0"/>
    <n v="0"/>
    <n v="0"/>
    <n v="0"/>
    <n v="0"/>
    <n v="187.17"/>
    <n v="0"/>
  </r>
  <r>
    <x v="7"/>
    <x v="13"/>
    <x v="0"/>
    <s v="6900500"/>
    <n v="718050"/>
    <s v="Purchased Service-Fire/Life Safety Test"/>
    <s v="Adminstration"/>
    <x v="0"/>
    <n v="5101"/>
    <n v="0"/>
    <n v="0"/>
    <n v="0"/>
    <n v="0"/>
    <n v="0"/>
    <n v="0"/>
    <n v="2066.11"/>
    <n v="0"/>
    <n v="0"/>
    <n v="0"/>
    <n v="0"/>
    <n v="0"/>
    <n v="2066.11"/>
    <n v="0"/>
  </r>
  <r>
    <x v="7"/>
    <x v="13"/>
    <x v="0"/>
    <s v="6900500"/>
    <n v="718071"/>
    <s v="Contract Srvcs-CHI Facilities Mgmt"/>
    <s v="Adminstration"/>
    <x v="0"/>
    <m/>
    <n v="135.09"/>
    <n v="151.68"/>
    <n v="146.94"/>
    <n v="142.19999999999999"/>
    <n v="151.68"/>
    <n v="197.75"/>
    <n v="144.57"/>
    <n v="154.05000000000001"/>
    <n v="133.69999999999999"/>
    <n v="187.32"/>
    <n v="144.57"/>
    <n v="146.94"/>
    <n v="1836.4899999999998"/>
    <n v="-2.3700000000000045"/>
  </r>
  <r>
    <x v="11"/>
    <x v="13"/>
    <x v="0"/>
    <s v="6900500"/>
    <n v="721980"/>
    <s v="Supplies-Other"/>
    <s v="Adminstration"/>
    <x v="0"/>
    <m/>
    <n v="0"/>
    <n v="0"/>
    <n v="0"/>
    <n v="0"/>
    <n v="0"/>
    <n v="0"/>
    <n v="0"/>
    <n v="0"/>
    <n v="0"/>
    <n v="0"/>
    <n v="0"/>
    <n v="13.1"/>
    <n v="13.1"/>
    <n v="-13.1"/>
  </r>
  <r>
    <x v="15"/>
    <x v="13"/>
    <x v="0"/>
    <s v="6900500"/>
    <n v="731020"/>
    <s v="Electricity"/>
    <s v="Adminstration"/>
    <x v="0"/>
    <m/>
    <n v="2430.73"/>
    <n v="2990.89"/>
    <n v="2378.11"/>
    <n v="2788.89"/>
    <n v="2805.87"/>
    <n v="3612.15"/>
    <n v="3612.15"/>
    <n v="-1262.8900000000001"/>
    <n v="1104.8499999999999"/>
    <n v="-686.79"/>
    <n v="120.48"/>
    <n v="-409.68"/>
    <n v="19484.759999999998"/>
    <n v="530.16"/>
  </r>
  <r>
    <x v="16"/>
    <x v="13"/>
    <x v="0"/>
    <s v="6900500"/>
    <n v="732030"/>
    <s v="Repairs---Other"/>
    <s v="Adminstration"/>
    <x v="0"/>
    <m/>
    <n v="0"/>
    <n v="0"/>
    <n v="41.57"/>
    <n v="0"/>
    <n v="0"/>
    <n v="0"/>
    <n v="407.37"/>
    <n v="54.68"/>
    <n v="0"/>
    <n v="2724.98"/>
    <n v="70.459999999999994"/>
    <n v="13.1"/>
    <n v="3312.16"/>
    <n v="57.359999999999992"/>
  </r>
  <r>
    <x v="16"/>
    <x v="13"/>
    <x v="0"/>
    <s v="6900500"/>
    <n v="733030"/>
    <s v="Maintenance Contract-Landscape General"/>
    <s v="Adminstration"/>
    <x v="0"/>
    <n v="5105"/>
    <n v="1280.24"/>
    <n v="1770.35"/>
    <n v="697.93"/>
    <n v="640.12"/>
    <n v="0"/>
    <n v="1280.24"/>
    <n v="1427.28"/>
    <n v="652.92999999999995"/>
    <n v="0"/>
    <n v="0"/>
    <n v="1306.45"/>
    <n v="653.52"/>
    <n v="9709.0600000000013"/>
    <n v="652.93000000000006"/>
  </r>
  <r>
    <x v="16"/>
    <x v="13"/>
    <x v="0"/>
    <s v="6900500"/>
    <n v="733030"/>
    <s v="Maintenance Contract-Parking"/>
    <s v="Adminstration"/>
    <x v="0"/>
    <n v="5106"/>
    <n v="0"/>
    <n v="0"/>
    <n v="1003.45"/>
    <n v="0"/>
    <n v="0"/>
    <n v="-363.33"/>
    <n v="0"/>
    <n v="1116.8599999999999"/>
    <n v="1039.07"/>
    <n v="8073.89"/>
    <n v="2884.62"/>
    <n v="0"/>
    <n v="13754.560000000001"/>
    <n v="2884.62"/>
  </r>
  <r>
    <x v="8"/>
    <x v="13"/>
    <x v="0"/>
    <s v="6900500"/>
    <n v="741010"/>
    <s v="Liability Insurance-CHI Programs"/>
    <s v="Adminstration"/>
    <x v="0"/>
    <m/>
    <n v="-690.01"/>
    <n v="-690.01"/>
    <n v="1974.7"/>
    <n v="198.23"/>
    <n v="198.23"/>
    <n v="198.23"/>
    <n v="198.23"/>
    <n v="198.23"/>
    <n v="198.23"/>
    <n v="198.23"/>
    <n v="198.23"/>
    <n v="198.23"/>
    <n v="2378.75"/>
    <n v="0"/>
  </r>
  <r>
    <x v="8"/>
    <x v="13"/>
    <x v="0"/>
    <s v="6900500"/>
    <n v="741030"/>
    <s v="Property Insurance-CHI Programs"/>
    <s v="Adminstration"/>
    <x v="0"/>
    <m/>
    <n v="-529.63"/>
    <n v="-529.63"/>
    <n v="1483.59"/>
    <n v="141.44999999999999"/>
    <n v="141.44999999999999"/>
    <n v="141.44999999999999"/>
    <n v="141.44999999999999"/>
    <n v="141.44999999999999"/>
    <n v="141.44999999999999"/>
    <n v="141.44999999999999"/>
    <n v="141.44999999999999"/>
    <n v="141.44999999999999"/>
    <n v="1697.3800000000003"/>
    <n v="0"/>
  </r>
  <r>
    <x v="0"/>
    <x v="13"/>
    <x v="0"/>
    <s v="6900500"/>
    <n v="749510"/>
    <s v="Licenses"/>
    <s v="Adminstration"/>
    <x v="0"/>
    <n v="1002"/>
    <n v="0"/>
    <n v="0"/>
    <n v="0"/>
    <n v="0"/>
    <n v="0"/>
    <n v="0"/>
    <n v="0"/>
    <n v="0"/>
    <n v="0"/>
    <n v="0"/>
    <n v="250"/>
    <n v="0"/>
    <n v="250"/>
    <n v="250"/>
  </r>
  <r>
    <x v="0"/>
    <x v="13"/>
    <x v="0"/>
    <s v="6900500"/>
    <n v="749510"/>
    <s v="Miscellaneous Expense"/>
    <s v="Adminstration"/>
    <x v="0"/>
    <n v="1009"/>
    <n v="105.9"/>
    <n v="223.32"/>
    <n v="1464.33"/>
    <n v="233.94"/>
    <n v="0"/>
    <n v="0"/>
    <n v="0"/>
    <n v="87.85"/>
    <n v="40.6"/>
    <n v="4047.22"/>
    <n v="461.32"/>
    <n v="0"/>
    <n v="6664.48"/>
    <n v="461.32"/>
  </r>
  <r>
    <x v="0"/>
    <x v="13"/>
    <x v="0"/>
    <s v="6900500"/>
    <n v="766010"/>
    <s v="Property Tax"/>
    <s v="Adminstration"/>
    <x v="0"/>
    <m/>
    <n v="2908.34"/>
    <n v="2908.34"/>
    <n v="2908.34"/>
    <n v="2908.34"/>
    <n v="2908.34"/>
    <n v="2908.34"/>
    <n v="2908.33"/>
    <n v="2908.34"/>
    <n v="2908.35"/>
    <n v="441.59"/>
    <n v="2291.66"/>
    <n v="2291.66"/>
    <n v="31199.97"/>
    <n v="0"/>
  </r>
  <r>
    <x v="5"/>
    <x v="14"/>
    <x v="0"/>
    <s v="6900730"/>
    <n v="700014"/>
    <s v="Salaries-Management-Productive"/>
    <s v="Administration"/>
    <x v="0"/>
    <m/>
    <n v="15379.43"/>
    <n v="16959.25"/>
    <n v="15407.52"/>
    <n v="16928.61"/>
    <n v="17012.59"/>
    <n v="13051.35"/>
    <n v="16095.03"/>
    <n v="14126.16"/>
    <n v="18942.25"/>
    <n v="14639.67"/>
    <n v="17481.28"/>
    <n v="12717.2"/>
    <n v="188740.34000000003"/>
    <n v="4764.0799999999981"/>
  </r>
  <r>
    <x v="5"/>
    <x v="14"/>
    <x v="0"/>
    <s v="6900730"/>
    <n v="700018"/>
    <s v="Salaries-Supervisory-Productive"/>
    <s v="Administration"/>
    <x v="0"/>
    <m/>
    <n v="0"/>
    <n v="0"/>
    <n v="0"/>
    <n v="0"/>
    <n v="524.87"/>
    <n v="6598.2"/>
    <n v="2854.02"/>
    <n v="8147.19"/>
    <n v="-1313.92"/>
    <n v="1426.68"/>
    <n v="1651.96"/>
    <n v="4355.32"/>
    <n v="24244.32"/>
    <n v="-2703.3599999999997"/>
  </r>
  <r>
    <x v="5"/>
    <x v="14"/>
    <x v="0"/>
    <s v="6900730"/>
    <n v="700026"/>
    <s v="Salaries-RN-Productive"/>
    <s v="Administration"/>
    <x v="0"/>
    <m/>
    <n v="27997.01"/>
    <n v="25716.91"/>
    <n v="30631.94"/>
    <n v="42649.06"/>
    <n v="44196.41"/>
    <n v="37996.239999999998"/>
    <n v="51707.09"/>
    <n v="40058.07"/>
    <n v="55987.839999999997"/>
    <n v="51713"/>
    <n v="48621.86"/>
    <n v="51937.13"/>
    <n v="509212.55999999994"/>
    <n v="-3315.2699999999968"/>
  </r>
  <r>
    <x v="5"/>
    <x v="14"/>
    <x v="0"/>
    <s v="6900730"/>
    <n v="700026"/>
    <s v="Salaries-RN-OT"/>
    <s v="Administration"/>
    <x v="0"/>
    <n v="1000"/>
    <n v="156.41"/>
    <n v="588.24"/>
    <n v="722.6"/>
    <n v="331.81"/>
    <n v="277.2"/>
    <n v="-15.13"/>
    <n v="373.39"/>
    <n v="225.54"/>
    <n v="1654.86"/>
    <n v="1359.61"/>
    <n v="663.42"/>
    <n v="1225.82"/>
    <n v="7563.7699999999986"/>
    <n v="-562.4"/>
  </r>
  <r>
    <x v="5"/>
    <x v="14"/>
    <x v="0"/>
    <s v="6900730"/>
    <n v="700026"/>
    <s v="Salaries-RN-Other"/>
    <s v="Administration"/>
    <x v="0"/>
    <n v="2000"/>
    <n v="0"/>
    <n v="0"/>
    <n v="0"/>
    <n v="30"/>
    <n v="0"/>
    <n v="0"/>
    <n v="0"/>
    <n v="0"/>
    <n v="0"/>
    <n v="10.32"/>
    <n v="0"/>
    <n v="0"/>
    <n v="40.32"/>
    <n v="0"/>
  </r>
  <r>
    <x v="5"/>
    <x v="14"/>
    <x v="0"/>
    <s v="6900730"/>
    <n v="700032"/>
    <s v="Salaries-Other Pat Care Providers-Productive"/>
    <s v="Administration"/>
    <x v="0"/>
    <m/>
    <n v="57081.39"/>
    <n v="59851.15"/>
    <n v="58733.94"/>
    <n v="68714.11"/>
    <n v="61335.94"/>
    <n v="47866.57"/>
    <n v="61000.65"/>
    <n v="44939.95"/>
    <n v="60478.85"/>
    <n v="60991.18"/>
    <n v="61324.7"/>
    <n v="53212.22"/>
    <n v="695530.65"/>
    <n v="8112.4799999999959"/>
  </r>
  <r>
    <x v="5"/>
    <x v="14"/>
    <x v="0"/>
    <s v="6900730"/>
    <n v="700032"/>
    <s v="Salaries-Other Pat Care Providers-OT"/>
    <s v="Administration"/>
    <x v="0"/>
    <n v="1000"/>
    <n v="1321.9"/>
    <n v="127.55"/>
    <n v="148.66"/>
    <n v="1463.46"/>
    <n v="1071.52"/>
    <n v="382.74"/>
    <n v="931.36"/>
    <n v="499.89"/>
    <n v="1648.87"/>
    <n v="1036.4000000000001"/>
    <n v="654.9"/>
    <n v="888.79"/>
    <n v="10176.040000000001"/>
    <n v="-233.89"/>
  </r>
  <r>
    <x v="5"/>
    <x v="14"/>
    <x v="0"/>
    <s v="6900730"/>
    <n v="700032"/>
    <s v="Salaries-Other Pat Care Providers-Other"/>
    <s v="Administration"/>
    <x v="0"/>
    <n v="2000"/>
    <n v="584.82000000000005"/>
    <n v="611.91999999999996"/>
    <n v="637.19000000000005"/>
    <n v="624.32000000000005"/>
    <n v="609.66999999999996"/>
    <n v="329.87"/>
    <n v="443.11"/>
    <n v="399.18"/>
    <n v="518.54999999999995"/>
    <n v="433.44"/>
    <n v="447.81"/>
    <n v="399.01"/>
    <n v="6038.89"/>
    <n v="48.800000000000011"/>
  </r>
  <r>
    <x v="5"/>
    <x v="14"/>
    <x v="0"/>
    <s v="6900730"/>
    <n v="700038"/>
    <s v="Salaries-Service/Support-Productive"/>
    <s v="Administration"/>
    <x v="0"/>
    <m/>
    <n v="0"/>
    <n v="0"/>
    <n v="0"/>
    <n v="0"/>
    <n v="0"/>
    <n v="564.45000000000005"/>
    <n v="-70.53"/>
    <n v="0"/>
    <n v="0"/>
    <n v="0"/>
    <n v="0"/>
    <n v="0"/>
    <n v="493.92000000000007"/>
    <n v="0"/>
  </r>
  <r>
    <x v="5"/>
    <x v="14"/>
    <x v="0"/>
    <s v="6900730"/>
    <n v="700054"/>
    <s v="Salaries-Management-Non-productive"/>
    <s v="Administration"/>
    <x v="0"/>
    <m/>
    <n v="2410.3200000000002"/>
    <n v="831.32"/>
    <n v="1809.4"/>
    <n v="1257.68"/>
    <n v="678.36"/>
    <n v="5229.91"/>
    <n v="2214.7800000000002"/>
    <n v="2410.0300000000002"/>
    <n v="-634.15"/>
    <n v="3077.23"/>
    <n v="826.81"/>
    <n v="5000.5200000000004"/>
    <n v="25112.210000000006"/>
    <n v="-4173.7100000000009"/>
  </r>
  <r>
    <x v="5"/>
    <x v="14"/>
    <x v="0"/>
    <s v="6900730"/>
    <n v="700054"/>
    <s v="Salaries-Management-NonProd-Other"/>
    <s v="Administration"/>
    <x v="0"/>
    <n v="2000"/>
    <n v="0"/>
    <n v="0"/>
    <n v="0"/>
    <n v="0"/>
    <n v="0"/>
    <n v="838.38"/>
    <n v="0"/>
    <n v="-838.38"/>
    <n v="0"/>
    <n v="0"/>
    <n v="0"/>
    <n v="0"/>
    <n v="0"/>
    <n v="0"/>
  </r>
  <r>
    <x v="5"/>
    <x v="14"/>
    <x v="0"/>
    <s v="6900730"/>
    <n v="700066"/>
    <s v="Salaries-RN-Non-productive"/>
    <s v="Administration"/>
    <x v="0"/>
    <m/>
    <n v="10327.450000000001"/>
    <n v="12600.64"/>
    <n v="6207.31"/>
    <n v="1551.35"/>
    <n v="2948.39"/>
    <n v="14459.49"/>
    <n v="6289.46"/>
    <n v="12646.81"/>
    <n v="3069.16"/>
    <n v="4720.97"/>
    <n v="9895.92"/>
    <n v="5062.6499999999996"/>
    <n v="89779.599999999991"/>
    <n v="4833.2700000000004"/>
  </r>
  <r>
    <x v="5"/>
    <x v="14"/>
    <x v="0"/>
    <s v="6900730"/>
    <n v="700066"/>
    <s v="Salaries-RN-NonProd-Other"/>
    <s v="Administration"/>
    <x v="0"/>
    <n v="2000"/>
    <n v="0"/>
    <n v="0"/>
    <n v="0"/>
    <n v="0"/>
    <n v="376.06"/>
    <n v="752.12"/>
    <n v="0"/>
    <n v="-1128.18"/>
    <n v="0"/>
    <n v="0"/>
    <n v="0"/>
    <n v="0"/>
    <n v="0"/>
    <n v="0"/>
  </r>
  <r>
    <x v="5"/>
    <x v="14"/>
    <x v="0"/>
    <s v="6900730"/>
    <n v="700072"/>
    <s v="Salaries-Other Pat Care Providers-Non-productive"/>
    <s v="Administration"/>
    <x v="0"/>
    <m/>
    <n v="2473.73"/>
    <n v="2241.98"/>
    <n v="5192.76"/>
    <n v="1445.19"/>
    <n v="800.78"/>
    <n v="5406"/>
    <n v="1653.02"/>
    <n v="1881.98"/>
    <n v="4049.53"/>
    <n v="-23.55"/>
    <n v="247.63"/>
    <n v="3269.5"/>
    <n v="28638.550000000003"/>
    <n v="-3021.87"/>
  </r>
  <r>
    <x v="5"/>
    <x v="14"/>
    <x v="0"/>
    <s v="6900730"/>
    <n v="700072"/>
    <s v="Salaries-Other Pat Care Providers-NonProd-Other"/>
    <s v="Administration"/>
    <x v="0"/>
    <n v="2000"/>
    <n v="0"/>
    <n v="0"/>
    <n v="0"/>
    <n v="120.77"/>
    <n v="19.600000000000001"/>
    <n v="9.14"/>
    <n v="-1.1399999999999999"/>
    <n v="0"/>
    <n v="0"/>
    <n v="0"/>
    <n v="0"/>
    <n v="0"/>
    <n v="148.37"/>
    <n v="0"/>
  </r>
  <r>
    <x v="5"/>
    <x v="14"/>
    <x v="0"/>
    <s v="6900730"/>
    <n v="700084"/>
    <s v="Accrued PTO"/>
    <s v="Administration"/>
    <x v="0"/>
    <m/>
    <n v="-2664.83"/>
    <n v="3573.24"/>
    <n v="-3697.83"/>
    <n v="5146.29"/>
    <n v="6226.1"/>
    <n v="-7877.51"/>
    <n v="-296.07"/>
    <n v="-3112.49"/>
    <n v="7045.55"/>
    <n v="3079.51"/>
    <n v="3736.45"/>
    <n v="-215.43"/>
    <n v="10942.98"/>
    <n v="3951.8799999999997"/>
  </r>
  <r>
    <x v="6"/>
    <x v="14"/>
    <x v="0"/>
    <s v="6900730"/>
    <n v="713010"/>
    <s v="Benefits-FICA/Medicare"/>
    <s v="Administration"/>
    <x v="0"/>
    <m/>
    <n v="8837.57"/>
    <n v="8965.8700000000008"/>
    <n v="8957.26"/>
    <n v="10158.31"/>
    <n v="9357.31"/>
    <n v="9730.81"/>
    <n v="10687.28"/>
    <n v="9418.19"/>
    <n v="10828.61"/>
    <n v="10366"/>
    <n v="10580.15"/>
    <n v="10295.99"/>
    <n v="118183.35"/>
    <n v="284.15999999999985"/>
  </r>
  <r>
    <x v="6"/>
    <x v="14"/>
    <x v="0"/>
    <s v="6900730"/>
    <n v="713090"/>
    <s v="Benefits-Allocated Amounts"/>
    <s v="Administration"/>
    <x v="0"/>
    <m/>
    <n v="18733.61"/>
    <n v="17451.189999999999"/>
    <n v="18400.88"/>
    <n v="19610.16"/>
    <n v="17872.02"/>
    <n v="20562.97"/>
    <n v="23038.84"/>
    <n v="20957.560000000001"/>
    <n v="25579.07"/>
    <n v="23359.61"/>
    <n v="22860.17"/>
    <n v="22753.37"/>
    <n v="251179.45"/>
    <n v="106.79999999999927"/>
  </r>
  <r>
    <x v="6"/>
    <x v="14"/>
    <x v="0"/>
    <s v="6900730"/>
    <n v="713096"/>
    <s v="Employee Recognition"/>
    <s v="Administration"/>
    <x v="0"/>
    <n v="1017"/>
    <n v="0"/>
    <n v="0"/>
    <n v="0"/>
    <n v="0"/>
    <n v="0"/>
    <n v="0"/>
    <n v="0"/>
    <n v="0"/>
    <n v="0"/>
    <n v="0"/>
    <n v="88.24"/>
    <n v="0"/>
    <n v="88.24"/>
    <n v="88.24"/>
  </r>
  <r>
    <x v="7"/>
    <x v="14"/>
    <x v="0"/>
    <s v="6900730"/>
    <n v="718050"/>
    <s v="Contract Svcs-Other"/>
    <s v="Administration"/>
    <x v="0"/>
    <m/>
    <n v="0"/>
    <n v="0"/>
    <n v="0"/>
    <n v="0"/>
    <n v="0"/>
    <n v="0"/>
    <n v="0"/>
    <n v="0"/>
    <n v="1552.36"/>
    <n v="0"/>
    <n v="0"/>
    <n v="0"/>
    <n v="1552.36"/>
    <n v="0"/>
  </r>
  <r>
    <x v="7"/>
    <x v="14"/>
    <x v="0"/>
    <s v="6900730"/>
    <n v="718050"/>
    <s v="Miscellaneous Purchased Svcs"/>
    <s v="Administration"/>
    <x v="0"/>
    <n v="1020"/>
    <n v="76705.100000000006"/>
    <n v="76655.100000000006"/>
    <n v="76655.100000000006"/>
    <n v="76655.100000000006"/>
    <n v="76655.100000000006"/>
    <n v="76655.100000000006"/>
    <n v="81367.67"/>
    <n v="76655.100000000006"/>
    <n v="77578.5"/>
    <n v="73410.86"/>
    <n v="73410.87"/>
    <n v="73410.87"/>
    <n v="915814.47"/>
    <n v="0"/>
  </r>
  <r>
    <x v="11"/>
    <x v="14"/>
    <x v="0"/>
    <s v="6900730"/>
    <n v="721810"/>
    <s v="Supplies-Dietary/Cafeteria"/>
    <s v="Administration"/>
    <x v="0"/>
    <m/>
    <n v="0"/>
    <n v="176.03"/>
    <n v="138.91"/>
    <n v="45.2"/>
    <n v="112.12"/>
    <n v="0"/>
    <n v="0"/>
    <n v="0"/>
    <n v="0"/>
    <n v="0"/>
    <n v="0"/>
    <n v="0"/>
    <n v="472.26"/>
    <n v="0"/>
  </r>
  <r>
    <x v="11"/>
    <x v="14"/>
    <x v="0"/>
    <s v="6900730"/>
    <n v="721830"/>
    <s v="Supplies-Office"/>
    <s v="Administration"/>
    <x v="0"/>
    <m/>
    <n v="39.78"/>
    <n v="0"/>
    <n v="0"/>
    <n v="0"/>
    <n v="0"/>
    <n v="192.46"/>
    <n v="1236.77"/>
    <n v="287.91000000000003"/>
    <n v="14.3"/>
    <n v="0"/>
    <n v="-14.3"/>
    <n v="0"/>
    <n v="1756.92"/>
    <n v="-14.3"/>
  </r>
  <r>
    <x v="11"/>
    <x v="14"/>
    <x v="0"/>
    <s v="6900730"/>
    <n v="721835"/>
    <s v="Supplies-Forms"/>
    <s v="Administration"/>
    <x v="0"/>
    <m/>
    <n v="0"/>
    <n v="0"/>
    <n v="0"/>
    <n v="0"/>
    <n v="10.73"/>
    <n v="0"/>
    <n v="0"/>
    <n v="0"/>
    <n v="55.86"/>
    <n v="0"/>
    <n v="0"/>
    <n v="10.97"/>
    <n v="77.56"/>
    <n v="-10.97"/>
  </r>
  <r>
    <x v="11"/>
    <x v="14"/>
    <x v="0"/>
    <s v="6900730"/>
    <n v="721980"/>
    <s v="Supplies-Other"/>
    <s v="Administration"/>
    <x v="0"/>
    <m/>
    <n v="0"/>
    <n v="0"/>
    <n v="0"/>
    <n v="0"/>
    <n v="0"/>
    <n v="0"/>
    <n v="0"/>
    <n v="0"/>
    <n v="0"/>
    <n v="0"/>
    <n v="14.29"/>
    <n v="0"/>
    <n v="14.29"/>
    <n v="14.29"/>
  </r>
  <r>
    <x v="11"/>
    <x v="14"/>
    <x v="0"/>
    <s v="6900730"/>
    <n v="722000"/>
    <s v="Supplies-Freight Expense"/>
    <s v="Administration"/>
    <x v="0"/>
    <m/>
    <n v="0"/>
    <n v="0"/>
    <n v="0"/>
    <n v="0"/>
    <n v="0"/>
    <n v="0"/>
    <n v="0"/>
    <n v="0"/>
    <n v="0"/>
    <n v="0"/>
    <n v="0"/>
    <n v="9.48"/>
    <n v="9.48"/>
    <n v="-9.48"/>
  </r>
  <r>
    <x v="12"/>
    <x v="14"/>
    <x v="0"/>
    <s v="6900730"/>
    <n v="730020"/>
    <s v="Rental and Leases-Copier Usage Fees (DO NOT USE)"/>
    <s v="Administration"/>
    <x v="0"/>
    <n v="5100"/>
    <n v="0"/>
    <n v="0"/>
    <n v="0"/>
    <n v="0"/>
    <n v="0"/>
    <n v="0"/>
    <n v="2819.95"/>
    <n v="60.24"/>
    <n v="60.12"/>
    <n v="60.36"/>
    <n v="60.24"/>
    <n v="67.73"/>
    <n v="3128.6399999999994"/>
    <n v="-7.490000000000002"/>
  </r>
  <r>
    <x v="15"/>
    <x v="14"/>
    <x v="0"/>
    <s v="6900730"/>
    <n v="731060"/>
    <s v="Cell Phones"/>
    <s v="Administration"/>
    <x v="0"/>
    <n v="1001"/>
    <n v="0"/>
    <n v="0"/>
    <n v="0.78"/>
    <n v="0"/>
    <n v="17.04"/>
    <n v="17.68"/>
    <n v="35.409999999999997"/>
    <n v="0"/>
    <n v="128.38"/>
    <n v="35.32"/>
    <n v="17.100000000000001"/>
    <n v="17.68"/>
    <n v="269.39"/>
    <n v="-0.57999999999999829"/>
  </r>
  <r>
    <x v="0"/>
    <x v="14"/>
    <x v="0"/>
    <s v="6900730"/>
    <n v="740020"/>
    <s v="Education-Registration Fees"/>
    <s v="Administration"/>
    <x v="0"/>
    <m/>
    <n v="0"/>
    <n v="0"/>
    <n v="0"/>
    <n v="0"/>
    <n v="0"/>
    <n v="0"/>
    <n v="0"/>
    <n v="0"/>
    <n v="0"/>
    <n v="1117.8"/>
    <n v="0"/>
    <n v="0"/>
    <n v="1117.8"/>
    <n v="0"/>
  </r>
  <r>
    <x v="0"/>
    <x v="14"/>
    <x v="0"/>
    <s v="6900730"/>
    <n v="749510"/>
    <s v="Miscellaneous Expenses"/>
    <s v="Administration"/>
    <x v="0"/>
    <m/>
    <n v="-459.93"/>
    <n v="7210.1"/>
    <n v="130.74"/>
    <n v="8287.1200000000008"/>
    <n v="625.91999999999996"/>
    <n v="61218.15"/>
    <n v="-1663.84"/>
    <n v="6537.18"/>
    <n v="-102.51"/>
    <n v="-9732.59"/>
    <n v="-174.05"/>
    <n v="5766.34"/>
    <n v="77642.63"/>
    <n v="-5940.39"/>
  </r>
  <r>
    <x v="0"/>
    <x v="14"/>
    <x v="0"/>
    <s v="6900730"/>
    <n v="749530"/>
    <s v="Travel"/>
    <s v="Administration"/>
    <x v="0"/>
    <m/>
    <n v="445.76"/>
    <n v="0"/>
    <n v="0"/>
    <n v="0"/>
    <n v="0"/>
    <n v="438.84"/>
    <n v="1030.74"/>
    <n v="18"/>
    <n v="24"/>
    <n v="1532.14"/>
    <n v="24"/>
    <n v="30"/>
    <n v="3543.48"/>
    <n v="-6"/>
  </r>
  <r>
    <x v="0"/>
    <x v="14"/>
    <x v="0"/>
    <s v="6900730"/>
    <n v="749530"/>
    <s v="Mileage"/>
    <s v="Administration"/>
    <x v="0"/>
    <n v="1001"/>
    <n v="14.17"/>
    <n v="0"/>
    <n v="0"/>
    <n v="0"/>
    <n v="0"/>
    <n v="268.19"/>
    <n v="0"/>
    <n v="205.11"/>
    <n v="357.28"/>
    <n v="310.88"/>
    <n v="208.8"/>
    <n v="320.16000000000003"/>
    <n v="1684.5900000000001"/>
    <n v="-111.36000000000001"/>
  </r>
  <r>
    <x v="0"/>
    <x v="14"/>
    <x v="0"/>
    <s v="6900730"/>
    <n v="749535"/>
    <s v="Meetings"/>
    <s v="Administration"/>
    <x v="0"/>
    <m/>
    <n v="0"/>
    <n v="0"/>
    <n v="0"/>
    <n v="0"/>
    <n v="0"/>
    <n v="69.510000000000005"/>
    <n v="82.53"/>
    <n v="0"/>
    <n v="200.3"/>
    <n v="0"/>
    <n v="85.8"/>
    <n v="44.19"/>
    <n v="482.33000000000004"/>
    <n v="41.61"/>
  </r>
  <r>
    <x v="0"/>
    <x v="14"/>
    <x v="0"/>
    <s v="6900730"/>
    <n v="749535"/>
    <s v="Employee Functions"/>
    <s v="Administration"/>
    <x v="0"/>
    <n v="1004"/>
    <n v="0"/>
    <n v="0"/>
    <n v="0"/>
    <n v="141.93"/>
    <n v="0"/>
    <n v="0"/>
    <n v="0"/>
    <n v="0"/>
    <n v="21.99"/>
    <n v="0"/>
    <n v="0"/>
    <n v="130.32"/>
    <n v="294.24"/>
    <n v="-130.32"/>
  </r>
  <r>
    <x v="0"/>
    <x v="14"/>
    <x v="0"/>
    <s v="6900730"/>
    <n v="766090"/>
    <s v="Franchise and Excise Tax"/>
    <s v="Administration"/>
    <x v="0"/>
    <n v="1001"/>
    <n v="1487.56"/>
    <n v="7438.1"/>
    <n v="3132.73"/>
    <n v="655.32000000000005"/>
    <n v="7189.17"/>
    <n v="1658.72"/>
    <n v="1684.85"/>
    <n v="2936.59"/>
    <n v="2161.6"/>
    <n v="991.95"/>
    <n v="4476.08"/>
    <n v="0"/>
    <n v="33812.67"/>
    <n v="4476.08"/>
  </r>
  <r>
    <x v="12"/>
    <x v="6"/>
    <x v="0"/>
    <s v="6901107"/>
    <n v="730020"/>
    <s v="Rental and Leases-Copier Usage Fees (DO NOT USE)"/>
    <s v="YMCA Administration"/>
    <x v="0"/>
    <n v="5100"/>
    <n v="0"/>
    <n v="0"/>
    <n v="0"/>
    <n v="0"/>
    <n v="0"/>
    <n v="0"/>
    <n v="136.09"/>
    <n v="0"/>
    <n v="-0.28000000000000003"/>
    <n v="0.28000000000000003"/>
    <n v="-136.09"/>
    <n v="0"/>
    <n v="0"/>
    <n v="-136.09"/>
  </r>
  <r>
    <x v="15"/>
    <x v="6"/>
    <x v="0"/>
    <s v="6901107"/>
    <n v="731060"/>
    <s v="Telephone"/>
    <s v="YMCA Administration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6901200"/>
    <n v="730020"/>
    <s v="Rental and Leases-Copier Usage Fees (DO NOT USE)"/>
    <s v="Acquisitions &amp; Bus Development"/>
    <x v="0"/>
    <n v="5100"/>
    <n v="12.73"/>
    <n v="11.8"/>
    <n v="12.26"/>
    <n v="12.26"/>
    <n v="-49.05"/>
    <n v="0"/>
    <n v="0"/>
    <n v="0"/>
    <n v="0"/>
    <n v="0"/>
    <n v="0"/>
    <n v="0"/>
    <n v="0"/>
    <n v="0"/>
  </r>
  <r>
    <x v="14"/>
    <x v="9"/>
    <x v="0"/>
    <s v="6901501"/>
    <n v="600026"/>
    <s v="POB Rental"/>
    <s v="Franciscan Health System"/>
    <x v="0"/>
    <n v="1001"/>
    <n v="-426.25"/>
    <n v="-426.25"/>
    <n v="-426.25"/>
    <n v="-426.25"/>
    <n v="-426.25"/>
    <n v="-426.25"/>
    <n v="-426.25"/>
    <n v="-426.25"/>
    <n v="-426.25"/>
    <n v="-426.25"/>
    <n v="-426.25"/>
    <n v="-426.25"/>
    <n v="-5115"/>
    <n v="0"/>
  </r>
  <r>
    <x v="14"/>
    <x v="9"/>
    <x v="0"/>
    <s v="6901501"/>
    <n v="600034"/>
    <s v="Vending Commission"/>
    <s v="Franciscan Health System"/>
    <x v="0"/>
    <n v="1002"/>
    <n v="0"/>
    <n v="0"/>
    <n v="0"/>
    <n v="0"/>
    <n v="0"/>
    <n v="0"/>
    <n v="0"/>
    <n v="-6426.14"/>
    <n v="0"/>
    <n v="0"/>
    <n v="0"/>
    <n v="0"/>
    <n v="-6426.14"/>
    <n v="0"/>
  </r>
  <r>
    <x v="14"/>
    <x v="9"/>
    <x v="0"/>
    <s v="6901501"/>
    <n v="600050"/>
    <s v="Miscellaneous Revenue"/>
    <s v="Franciscan Health System"/>
    <x v="0"/>
    <m/>
    <n v="0"/>
    <n v="-3108.57"/>
    <n v="0"/>
    <n v="-30000"/>
    <n v="-11645.26"/>
    <n v="0"/>
    <n v="0"/>
    <n v="0"/>
    <n v="-5176.1099999999997"/>
    <n v="0"/>
    <n v="0"/>
    <n v="0"/>
    <n v="-49929.94"/>
    <n v="0"/>
  </r>
  <r>
    <x v="14"/>
    <x v="9"/>
    <x v="0"/>
    <s v="6901501"/>
    <n v="608010"/>
    <s v="Management Fees Interzone-Mercy Health Care,Inc."/>
    <s v="Franciscan Health System"/>
    <x v="0"/>
    <n v="4400"/>
    <n v="-19000"/>
    <n v="-16000"/>
    <n v="-16000"/>
    <n v="-16000"/>
    <n v="-16000"/>
    <n v="-16000"/>
    <n v="-16000"/>
    <n v="-16000"/>
    <n v="-16000"/>
    <n v="-16000"/>
    <n v="-16000"/>
    <n v="-19000"/>
    <n v="-198000"/>
    <n v="3000"/>
  </r>
  <r>
    <x v="14"/>
    <x v="9"/>
    <x v="0"/>
    <s v="6901501"/>
    <n v="608010"/>
    <s v="Management Fees Interzone-St Anthony Hosp"/>
    <s v="Franciscan Health System"/>
    <x v="0"/>
    <n v="4600"/>
    <n v="-3200"/>
    <n v="-26800"/>
    <n v="-15000"/>
    <n v="-15000"/>
    <n v="60000"/>
    <n v="0"/>
    <n v="0"/>
    <n v="0"/>
    <n v="0"/>
    <n v="0"/>
    <n v="0"/>
    <n v="0"/>
    <n v="0"/>
    <n v="0"/>
  </r>
  <r>
    <x v="20"/>
    <x v="9"/>
    <x v="0"/>
    <s v="6901501"/>
    <n v="610010"/>
    <s v="Foundation Distributions"/>
    <s v="Franciscan Health System"/>
    <x v="0"/>
    <n v="1175"/>
    <n v="0"/>
    <n v="0"/>
    <n v="0"/>
    <n v="0"/>
    <n v="0"/>
    <n v="0"/>
    <n v="0"/>
    <n v="0"/>
    <n v="0"/>
    <n v="-200"/>
    <n v="0"/>
    <n v="-6891.26"/>
    <n v="-7091.26"/>
    <n v="6891.26"/>
  </r>
  <r>
    <x v="5"/>
    <x v="9"/>
    <x v="0"/>
    <s v="6901501"/>
    <n v="700014"/>
    <s v="Salaries-Management-Productive"/>
    <s v="Franciscan Health System"/>
    <x v="0"/>
    <m/>
    <n v="96082.12"/>
    <n v="142367.66"/>
    <n v="113494.07"/>
    <n v="126404.39"/>
    <n v="106913.35"/>
    <n v="88135.66"/>
    <n v="130974.16"/>
    <n v="128786.49"/>
    <n v="124941.65"/>
    <n v="100480.61"/>
    <n v="158217.97"/>
    <n v="106511.46"/>
    <n v="1423309.59"/>
    <n v="51706.509999999995"/>
  </r>
  <r>
    <x v="5"/>
    <x v="9"/>
    <x v="0"/>
    <s v="6901501"/>
    <n v="700014"/>
    <s v="Salaries-Management-Other"/>
    <s v="Franciscan Health System"/>
    <x v="0"/>
    <n v="2000"/>
    <n v="0"/>
    <n v="0"/>
    <n v="0"/>
    <n v="0"/>
    <n v="3750"/>
    <n v="0"/>
    <n v="0"/>
    <n v="0"/>
    <n v="0"/>
    <n v="0"/>
    <n v="0"/>
    <n v="0"/>
    <n v="3750"/>
    <n v="0"/>
  </r>
  <r>
    <x v="5"/>
    <x v="9"/>
    <x v="0"/>
    <s v="6901501"/>
    <n v="700038"/>
    <s v="Salaries-Service/Support-Productive"/>
    <s v="Franciscan Health System"/>
    <x v="0"/>
    <m/>
    <n v="33534.31"/>
    <n v="23329.62"/>
    <n v="30897.51"/>
    <n v="30548.959999999999"/>
    <n v="40831.1"/>
    <n v="27541.32"/>
    <n v="36466.949999999997"/>
    <n v="31613.88"/>
    <n v="35579.17"/>
    <n v="36583.019999999997"/>
    <n v="42205.33"/>
    <n v="26574.61"/>
    <n v="395705.78"/>
    <n v="15630.720000000001"/>
  </r>
  <r>
    <x v="5"/>
    <x v="9"/>
    <x v="0"/>
    <s v="6901501"/>
    <n v="700038"/>
    <s v="Salaries-Service/Support-OT"/>
    <s v="Franciscan Health System"/>
    <x v="0"/>
    <n v="1000"/>
    <n v="87.33"/>
    <n v="175.44"/>
    <n v="270.64"/>
    <n v="-9.83"/>
    <n v="799.94"/>
    <n v="-339.83"/>
    <n v="8.68"/>
    <n v="24.47"/>
    <n v="14.79"/>
    <n v="771.67"/>
    <n v="124.6"/>
    <n v="-136.88999999999999"/>
    <n v="1791.0100000000002"/>
    <n v="261.49"/>
  </r>
  <r>
    <x v="5"/>
    <x v="9"/>
    <x v="0"/>
    <s v="6901501"/>
    <n v="700038"/>
    <s v="Salaries-Service/Support-Other"/>
    <s v="Franciscan Health System"/>
    <x v="0"/>
    <n v="2000"/>
    <n v="0"/>
    <n v="0"/>
    <n v="30"/>
    <n v="0"/>
    <n v="30"/>
    <n v="0"/>
    <n v="0"/>
    <n v="0"/>
    <n v="0"/>
    <n v="0"/>
    <n v="0"/>
    <n v="0"/>
    <n v="60"/>
    <n v="0"/>
  </r>
  <r>
    <x v="5"/>
    <x v="9"/>
    <x v="0"/>
    <s v="6901501"/>
    <n v="700054"/>
    <s v="Salaries-Management-Non-productive"/>
    <s v="Franciscan Health System"/>
    <x v="0"/>
    <m/>
    <n v="42591.76"/>
    <n v="-3687.51"/>
    <n v="20714.36"/>
    <n v="12472.47"/>
    <n v="33440.54"/>
    <n v="55261.37"/>
    <n v="12621.87"/>
    <n v="825.43"/>
    <n v="18467.099999999999"/>
    <n v="38301.9"/>
    <n v="-14804.62"/>
    <n v="50983.31"/>
    <n v="267187.98"/>
    <n v="-65787.929999999993"/>
  </r>
  <r>
    <x v="5"/>
    <x v="9"/>
    <x v="0"/>
    <s v="6901501"/>
    <n v="700054"/>
    <s v="Salaries-Management-NonProd-Other"/>
    <s v="Franciscan Health System"/>
    <x v="0"/>
    <n v="2000"/>
    <n v="0"/>
    <n v="0"/>
    <n v="0"/>
    <n v="0"/>
    <n v="0"/>
    <n v="1485.11"/>
    <n v="-1440.23"/>
    <n v="0"/>
    <n v="0"/>
    <n v="0"/>
    <n v="0"/>
    <n v="0"/>
    <n v="44.879999999999882"/>
    <n v="0"/>
  </r>
  <r>
    <x v="5"/>
    <x v="9"/>
    <x v="0"/>
    <s v="6901501"/>
    <n v="700078"/>
    <s v="Salaries-Service/Support-Non-productive"/>
    <s v="Franciscan Health System"/>
    <x v="0"/>
    <m/>
    <n v="8011.84"/>
    <n v="14992.65"/>
    <n v="7973.73"/>
    <n v="8976.31"/>
    <n v="601.48"/>
    <n v="11471.94"/>
    <n v="4081.7"/>
    <n v="4392.41"/>
    <n v="4407.54"/>
    <n v="2137.16"/>
    <n v="190.42"/>
    <n v="8918.67"/>
    <n v="76155.849999999991"/>
    <n v="-8728.25"/>
  </r>
  <r>
    <x v="5"/>
    <x v="9"/>
    <x v="0"/>
    <s v="6901501"/>
    <n v="700078"/>
    <s v="Salaries-Service/Support-NonProd-Other"/>
    <s v="Franciscan Health Syste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901501"/>
    <n v="700084"/>
    <s v="Accrued PTO"/>
    <s v="Franciscan Health System"/>
    <x v="0"/>
    <m/>
    <n v="-502.51"/>
    <n v="-7028.03"/>
    <n v="-9473.49"/>
    <n v="-355.06"/>
    <n v="2715.17"/>
    <n v="-7381.59"/>
    <n v="-59.59"/>
    <n v="869.69"/>
    <n v="2003.13"/>
    <n v="3247.6"/>
    <n v="4814.74"/>
    <n v="123.98"/>
    <n v="-11025.960000000003"/>
    <n v="4690.76"/>
  </r>
  <r>
    <x v="10"/>
    <x v="9"/>
    <x v="0"/>
    <s v="6901501"/>
    <n v="710060"/>
    <s v="Contract Labor-Other"/>
    <s v="Franciscan Health System"/>
    <x v="0"/>
    <m/>
    <n v="0"/>
    <n v="0"/>
    <n v="0"/>
    <n v="0"/>
    <n v="0"/>
    <n v="0"/>
    <n v="0"/>
    <n v="0"/>
    <n v="0"/>
    <n v="0"/>
    <n v="0"/>
    <n v="18480"/>
    <n v="18480"/>
    <n v="-18480"/>
  </r>
  <r>
    <x v="6"/>
    <x v="9"/>
    <x v="0"/>
    <s v="6901501"/>
    <n v="713010"/>
    <s v="Benefits-FICA/Medicare"/>
    <s v="Franciscan Health System"/>
    <x v="0"/>
    <m/>
    <n v="5700.36"/>
    <n v="5458.07"/>
    <n v="5748.95"/>
    <n v="5561.6"/>
    <n v="7400.01"/>
    <n v="11565.5"/>
    <n v="17478.22"/>
    <n v="8630"/>
    <n v="6449.26"/>
    <n v="6404.09"/>
    <n v="6756.34"/>
    <n v="7435.75"/>
    <n v="94588.15"/>
    <n v="-679.40999999999985"/>
  </r>
  <r>
    <x v="6"/>
    <x v="9"/>
    <x v="0"/>
    <s v="6901501"/>
    <n v="713090"/>
    <s v="Benefits-Allocated Amounts"/>
    <s v="Franciscan Health System"/>
    <x v="0"/>
    <m/>
    <n v="20145.89"/>
    <n v="17580.14"/>
    <n v="18340.77"/>
    <n v="17205.849999999999"/>
    <n v="17247.34"/>
    <n v="19457.32"/>
    <n v="20957.8"/>
    <n v="19613.88"/>
    <n v="24518.04"/>
    <n v="21074.7"/>
    <n v="21859.93"/>
    <n v="22320.69"/>
    <n v="240322.35"/>
    <n v="-460.7599999999984"/>
  </r>
  <r>
    <x v="6"/>
    <x v="9"/>
    <x v="0"/>
    <s v="6901501"/>
    <n v="713096"/>
    <s v="Employee Recognition"/>
    <s v="Franciscan Health System"/>
    <x v="0"/>
    <n v="1017"/>
    <n v="0"/>
    <n v="69.900000000000006"/>
    <n v="0"/>
    <n v="0"/>
    <n v="0"/>
    <n v="401.84"/>
    <n v="0"/>
    <n v="0"/>
    <n v="0"/>
    <n v="0"/>
    <n v="0"/>
    <n v="488.67"/>
    <n v="960.41000000000008"/>
    <n v="-488.67"/>
  </r>
  <r>
    <x v="7"/>
    <x v="9"/>
    <x v="0"/>
    <s v="6901501"/>
    <n v="716038"/>
    <s v="Contract Services-Legal"/>
    <s v="Franciscan Health System"/>
    <x v="0"/>
    <m/>
    <n v="0"/>
    <n v="1382.5"/>
    <n v="0"/>
    <n v="0"/>
    <n v="0"/>
    <n v="0"/>
    <n v="1715"/>
    <n v="0"/>
    <n v="0"/>
    <n v="0"/>
    <n v="0"/>
    <n v="825"/>
    <n v="3922.5"/>
    <n v="-825"/>
  </r>
  <r>
    <x v="21"/>
    <x v="9"/>
    <x v="0"/>
    <s v="6901501"/>
    <n v="716046"/>
    <s v="Consulting-Other"/>
    <s v="Franciscan Health System"/>
    <x v="0"/>
    <m/>
    <n v="42847.94"/>
    <n v="34356.44"/>
    <n v="44083.13"/>
    <n v="47223.12"/>
    <n v="11573.93"/>
    <n v="3300"/>
    <n v="35337.160000000003"/>
    <n v="3724.42"/>
    <n v="20510.05"/>
    <n v="29632.720000000001"/>
    <n v="3681.58"/>
    <n v="55589.72"/>
    <n v="331860.21000000008"/>
    <n v="-51908.14"/>
  </r>
  <r>
    <x v="7"/>
    <x v="9"/>
    <x v="0"/>
    <s v="6901501"/>
    <n v="718050"/>
    <s v="Contract Svcs-Other"/>
    <s v="Franciscan Health System"/>
    <x v="0"/>
    <m/>
    <n v="250"/>
    <n v="250"/>
    <n v="58292.7"/>
    <n v="250"/>
    <n v="250"/>
    <n v="249"/>
    <n v="98.94"/>
    <n v="1364"/>
    <n v="282.98"/>
    <n v="0"/>
    <n v="250"/>
    <n v="709.72"/>
    <n v="62247.340000000004"/>
    <n v="-459.72"/>
  </r>
  <r>
    <x v="7"/>
    <x v="9"/>
    <x v="0"/>
    <s v="6901501"/>
    <n v="718050"/>
    <s v="Document Shredding/Storage"/>
    <s v="Franciscan Health System"/>
    <x v="0"/>
    <n v="1012"/>
    <n v="2.0699999999999998"/>
    <n v="291.23"/>
    <n v="370.26"/>
    <n v="258.45"/>
    <n v="-510.8"/>
    <n v="2.08"/>
    <n v="2.0499999999999998"/>
    <n v="1.78"/>
    <n v="1.83"/>
    <n v="2.39"/>
    <n v="2.91"/>
    <n v="1.18"/>
    <n v="425.42999999999995"/>
    <n v="1.7300000000000002"/>
  </r>
  <r>
    <x v="7"/>
    <x v="9"/>
    <x v="0"/>
    <s v="6901501"/>
    <n v="718050"/>
    <s v="Miscellaneous Purchased Svcs"/>
    <s v="Franciscan Health System"/>
    <x v="0"/>
    <n v="1020"/>
    <n v="25741.25"/>
    <n v="22883"/>
    <n v="0.25"/>
    <n v="52519.45"/>
    <n v="25741.5"/>
    <n v="25741.5"/>
    <n v="25741.5"/>
    <n v="25741.5"/>
    <n v="25741.5"/>
    <n v="25741.5"/>
    <n v="25741.5"/>
    <n v="25741.5"/>
    <n v="307075.95"/>
    <n v="0"/>
  </r>
  <r>
    <x v="11"/>
    <x v="9"/>
    <x v="0"/>
    <s v="6901501"/>
    <n v="721810"/>
    <s v="Supplies-Dietary/Cafeteria"/>
    <s v="Franciscan Health System"/>
    <x v="0"/>
    <m/>
    <n v="2287.15"/>
    <n v="191.49"/>
    <n v="588.38"/>
    <n v="831.36"/>
    <n v="542.98"/>
    <n v="23.94"/>
    <n v="15.06"/>
    <n v="0"/>
    <n v="15.06"/>
    <n v="954.89"/>
    <n v="5534.27"/>
    <n v="3390.48"/>
    <n v="14375.060000000001"/>
    <n v="2143.7900000000004"/>
  </r>
  <r>
    <x v="11"/>
    <x v="9"/>
    <x v="0"/>
    <s v="6901501"/>
    <n v="721830"/>
    <s v="Supplies-Office"/>
    <s v="Franciscan Health System"/>
    <x v="0"/>
    <m/>
    <n v="3419.99"/>
    <n v="1606.56"/>
    <n v="1820.39"/>
    <n v="1927.4"/>
    <n v="2958.41"/>
    <n v="1939.13"/>
    <n v="2226.1799999999998"/>
    <n v="2391.19"/>
    <n v="2988.15"/>
    <n v="1962.79"/>
    <n v="2082.87"/>
    <n v="1256.6400000000001"/>
    <n v="26579.7"/>
    <n v="826.22999999999979"/>
  </r>
  <r>
    <x v="11"/>
    <x v="9"/>
    <x v="0"/>
    <s v="6901501"/>
    <n v="721835"/>
    <s v="Supplies-Forms"/>
    <s v="Franciscan Health System"/>
    <x v="0"/>
    <m/>
    <n v="0"/>
    <n v="0"/>
    <n v="0"/>
    <n v="0"/>
    <n v="363.76"/>
    <n v="5.17"/>
    <n v="0.22"/>
    <n v="0"/>
    <n v="21.56"/>
    <n v="1.33"/>
    <n v="0"/>
    <n v="2.83"/>
    <n v="394.87"/>
    <n v="-2.83"/>
  </r>
  <r>
    <x v="11"/>
    <x v="9"/>
    <x v="0"/>
    <s v="6901501"/>
    <n v="721910"/>
    <s v="Supplies-Small Equipment"/>
    <s v="Franciscan Health System"/>
    <x v="0"/>
    <m/>
    <n v="12822.1"/>
    <n v="1601.42"/>
    <n v="0"/>
    <n v="0"/>
    <n v="0"/>
    <n v="454.71"/>
    <n v="2028.02"/>
    <n v="0"/>
    <n v="0"/>
    <n v="4526.51"/>
    <n v="192"/>
    <n v="0"/>
    <n v="21624.760000000002"/>
    <n v="192"/>
  </r>
  <r>
    <x v="11"/>
    <x v="9"/>
    <x v="0"/>
    <s v="6901501"/>
    <n v="721980"/>
    <s v="Supplies-Other"/>
    <s v="Franciscan Health System"/>
    <x v="0"/>
    <m/>
    <n v="0"/>
    <n v="266.72000000000003"/>
    <n v="15.55"/>
    <n v="0"/>
    <n v="29.33"/>
    <n v="112.7"/>
    <n v="405.11"/>
    <n v="0"/>
    <n v="129.47999999999999"/>
    <n v="0"/>
    <n v="19.98"/>
    <n v="0"/>
    <n v="978.87000000000012"/>
    <n v="19.98"/>
  </r>
  <r>
    <x v="11"/>
    <x v="9"/>
    <x v="0"/>
    <s v="6901501"/>
    <n v="722000"/>
    <s v="Supplies-Freight Expense"/>
    <s v="Franciscan Health System"/>
    <x v="0"/>
    <m/>
    <n v="318.58"/>
    <n v="143.56"/>
    <n v="253.55"/>
    <n v="414.9"/>
    <n v="77.81"/>
    <n v="19.91"/>
    <n v="93.45"/>
    <n v="80.180000000000007"/>
    <n v="17.829999999999998"/>
    <n v="72.680000000000007"/>
    <n v="150.07"/>
    <n v="418.49"/>
    <n v="2061.0100000000002"/>
    <n v="-268.42"/>
  </r>
  <r>
    <x v="11"/>
    <x v="9"/>
    <x v="0"/>
    <s v="6901501"/>
    <n v="723000"/>
    <s v="Supply Rebates/Patronage Dividend"/>
    <s v="Franciscan Health System"/>
    <x v="0"/>
    <m/>
    <n v="0"/>
    <n v="0"/>
    <n v="0"/>
    <n v="0"/>
    <n v="0"/>
    <n v="0"/>
    <n v="0"/>
    <n v="0"/>
    <n v="0"/>
    <n v="-129.47999999999999"/>
    <n v="0"/>
    <n v="0"/>
    <n v="-129.47999999999999"/>
    <n v="0"/>
  </r>
  <r>
    <x v="12"/>
    <x v="9"/>
    <x v="0"/>
    <s v="6901501"/>
    <n v="730010"/>
    <s v="Rental and Leases-Building (DO NOT USE)"/>
    <s v="Franciscan Health System"/>
    <x v="0"/>
    <m/>
    <n v="36958.480000000003"/>
    <n v="36954.120000000003"/>
    <n v="39544.199999999997"/>
    <n v="37595.160000000003"/>
    <n v="40527.49"/>
    <n v="30188.39"/>
    <n v="39047"/>
    <n v="39047"/>
    <n v="39047"/>
    <n v="40748.959999999999"/>
    <n v="40748.959999999999"/>
    <n v="0"/>
    <n v="420406.76000000007"/>
    <n v="40748.959999999999"/>
  </r>
  <r>
    <x v="12"/>
    <x v="9"/>
    <x v="0"/>
    <s v="6901501"/>
    <n v="730010"/>
    <s v="Rental-Common Area Maint (DO NOT USE)"/>
    <s v="Franciscan Health System"/>
    <x v="0"/>
    <n v="2200"/>
    <n v="0"/>
    <n v="0"/>
    <n v="0"/>
    <n v="0"/>
    <n v="0"/>
    <n v="9115.61"/>
    <n v="257"/>
    <n v="1721.3"/>
    <n v="185.09"/>
    <n v="186.17"/>
    <n v="186.17"/>
    <n v="0"/>
    <n v="11651.34"/>
    <n v="186.17"/>
  </r>
  <r>
    <x v="12"/>
    <x v="9"/>
    <x v="0"/>
    <s v="6901501"/>
    <n v="730020"/>
    <s v="Rental and Leases-Equipment (DO NOT USE)"/>
    <s v="Franciscan Health System"/>
    <x v="0"/>
    <m/>
    <n v="0"/>
    <n v="0"/>
    <n v="65.94"/>
    <n v="32.97"/>
    <n v="0"/>
    <n v="0"/>
    <n v="0"/>
    <n v="0"/>
    <n v="0"/>
    <n v="0"/>
    <n v="0"/>
    <n v="0"/>
    <n v="98.91"/>
    <n v="0"/>
  </r>
  <r>
    <x v="12"/>
    <x v="9"/>
    <x v="0"/>
    <s v="6901501"/>
    <n v="730020"/>
    <s v="Rental and Leases-Copier Usage Fees (DO NOT USE)"/>
    <s v="Franciscan Health System"/>
    <x v="0"/>
    <n v="5100"/>
    <n v="2242.39"/>
    <n v="2213.0700000000002"/>
    <n v="2227.73"/>
    <n v="2227.73"/>
    <n v="2227.73"/>
    <n v="2227.73"/>
    <n v="5388.26"/>
    <n v="1300.1500000000001"/>
    <n v="1275.18"/>
    <n v="4231.34"/>
    <n v="1277.9100000000001"/>
    <n v="1452.56"/>
    <n v="28291.780000000002"/>
    <n v="-174.64999999999986"/>
  </r>
  <r>
    <x v="12"/>
    <x v="9"/>
    <x v="0"/>
    <s v="6901501"/>
    <n v="730040"/>
    <s v="LT Lease-Real Estate"/>
    <s v="Franciscan Health System"/>
    <x v="0"/>
    <m/>
    <n v="0"/>
    <n v="0"/>
    <n v="0"/>
    <n v="0"/>
    <n v="0"/>
    <n v="0"/>
    <n v="0"/>
    <n v="0"/>
    <n v="0"/>
    <n v="0"/>
    <n v="0"/>
    <n v="40935.129999999997"/>
    <n v="40935.129999999997"/>
    <n v="-40935.129999999997"/>
  </r>
  <r>
    <x v="15"/>
    <x v="9"/>
    <x v="0"/>
    <s v="6901501"/>
    <n v="731060"/>
    <s v="Telephone"/>
    <s v="Franciscan Health System"/>
    <x v="0"/>
    <m/>
    <n v="116.09"/>
    <n v="177.06"/>
    <n v="59.21"/>
    <n v="112.92"/>
    <n v="118.46"/>
    <n v="123.91"/>
    <n v="124.08"/>
    <n v="113.15"/>
    <n v="118.58"/>
    <n v="123.74"/>
    <n v="118.23"/>
    <n v="120.05"/>
    <n v="1425.48"/>
    <n v="-1.8199999999999932"/>
  </r>
  <r>
    <x v="15"/>
    <x v="9"/>
    <x v="0"/>
    <s v="6901501"/>
    <n v="731060"/>
    <s v="Cell Phones"/>
    <s v="Franciscan Health System"/>
    <x v="0"/>
    <n v="1001"/>
    <n v="0"/>
    <n v="49.65"/>
    <n v="134.87"/>
    <n v="0"/>
    <n v="109.73"/>
    <n v="113.37"/>
    <n v="226.62"/>
    <n v="0"/>
    <n v="113.37"/>
    <n v="345.22"/>
    <n v="196.23"/>
    <n v="528.32000000000005"/>
    <n v="1817.38"/>
    <n v="-332.09000000000003"/>
  </r>
  <r>
    <x v="15"/>
    <x v="9"/>
    <x v="0"/>
    <s v="6901501"/>
    <n v="731065"/>
    <s v="Data Communications"/>
    <s v="Franciscan Health System"/>
    <x v="0"/>
    <m/>
    <n v="0"/>
    <n v="0"/>
    <n v="0"/>
    <n v="0"/>
    <n v="0"/>
    <n v="0"/>
    <n v="0"/>
    <n v="0"/>
    <n v="0"/>
    <n v="0"/>
    <n v="0"/>
    <n v="689"/>
    <n v="689"/>
    <n v="-689"/>
  </r>
  <r>
    <x v="15"/>
    <x v="9"/>
    <x v="0"/>
    <s v="6901501"/>
    <n v="731070"/>
    <s v="Cable TV"/>
    <s v="Franciscan Health System"/>
    <x v="0"/>
    <m/>
    <n v="86.05"/>
    <n v="86.05"/>
    <n v="123.11"/>
    <n v="94.89"/>
    <n v="94.89"/>
    <n v="94.89"/>
    <n v="105.3"/>
    <n v="105.3"/>
    <n v="105.3"/>
    <n v="105.3"/>
    <n v="105.3"/>
    <n v="105.3"/>
    <n v="1211.6799999999998"/>
    <n v="0"/>
  </r>
  <r>
    <x v="16"/>
    <x v="9"/>
    <x v="0"/>
    <s v="6901501"/>
    <n v="732030"/>
    <s v="Repairs---Other"/>
    <s v="Franciscan Health System"/>
    <x v="0"/>
    <m/>
    <n v="0"/>
    <n v="0"/>
    <n v="0"/>
    <n v="0"/>
    <n v="185.96"/>
    <n v="0"/>
    <n v="61.44"/>
    <n v="0"/>
    <n v="44.02"/>
    <n v="0"/>
    <n v="1486.35"/>
    <n v="0"/>
    <n v="1777.77"/>
    <n v="1486.35"/>
  </r>
  <r>
    <x v="16"/>
    <x v="9"/>
    <x v="0"/>
    <s v="6901501"/>
    <n v="732030"/>
    <s v="Repairs&amp;Maintenance-Bldg Routine"/>
    <s v="Franciscan Health System"/>
    <x v="0"/>
    <n v="2300"/>
    <n v="1700"/>
    <n v="3070.86"/>
    <n v="1700"/>
    <n v="1700"/>
    <n v="1700"/>
    <n v="1700"/>
    <n v="1700"/>
    <n v="1700"/>
    <n v="1917.93"/>
    <n v="0"/>
    <n v="0"/>
    <n v="0"/>
    <n v="16888.79"/>
    <n v="0"/>
  </r>
  <r>
    <x v="16"/>
    <x v="9"/>
    <x v="0"/>
    <s v="6901501"/>
    <n v="732030"/>
    <s v="Repairs&amp;Maintenance-Plumbing"/>
    <s v="Franciscan Health System"/>
    <x v="0"/>
    <n v="5103"/>
    <n v="0"/>
    <n v="0"/>
    <n v="0"/>
    <n v="0"/>
    <n v="0"/>
    <n v="0"/>
    <n v="24.42"/>
    <n v="0"/>
    <n v="0"/>
    <n v="0"/>
    <n v="0"/>
    <n v="0"/>
    <n v="24.42"/>
    <n v="0"/>
  </r>
  <r>
    <x v="13"/>
    <x v="9"/>
    <x v="0"/>
    <s v="6901501"/>
    <n v="735070"/>
    <s v="Depreciation-Movable Equipment"/>
    <s v="Franciscan Health System"/>
    <x v="0"/>
    <m/>
    <n v="3798.69"/>
    <n v="3798.67"/>
    <n v="3798.7"/>
    <n v="3798.65"/>
    <n v="3798.72"/>
    <n v="3798.61"/>
    <n v="3798.73"/>
    <n v="3798.6"/>
    <n v="3120.36"/>
    <n v="3120.29"/>
    <n v="3120.39"/>
    <n v="3120.25"/>
    <n v="42870.659999999996"/>
    <n v="0.13999999999987267"/>
  </r>
  <r>
    <x v="0"/>
    <x v="9"/>
    <x v="0"/>
    <s v="6901501"/>
    <n v="740010"/>
    <s v="Education-Materials"/>
    <s v="Franciscan Health System"/>
    <x v="0"/>
    <m/>
    <n v="0"/>
    <n v="0"/>
    <n v="0"/>
    <n v="0"/>
    <n v="0"/>
    <n v="0"/>
    <n v="0"/>
    <n v="0"/>
    <n v="0"/>
    <n v="0"/>
    <n v="0"/>
    <n v="61"/>
    <n v="61"/>
    <n v="-61"/>
  </r>
  <r>
    <x v="0"/>
    <x v="9"/>
    <x v="0"/>
    <s v="6901501"/>
    <n v="740020"/>
    <s v="Education-Registration Fees"/>
    <s v="Franciscan Health System"/>
    <x v="0"/>
    <m/>
    <n v="0"/>
    <n v="0"/>
    <n v="0"/>
    <n v="0"/>
    <n v="0"/>
    <n v="0"/>
    <n v="22251.439999999999"/>
    <n v="0"/>
    <n v="0"/>
    <n v="1625"/>
    <n v="-175"/>
    <n v="0"/>
    <n v="23701.439999999999"/>
    <n v="-175"/>
  </r>
  <r>
    <x v="0"/>
    <x v="9"/>
    <x v="0"/>
    <s v="6901501"/>
    <n v="740030"/>
    <s v="Education-Travel"/>
    <s v="Franciscan Health System"/>
    <x v="0"/>
    <m/>
    <n v="0"/>
    <n v="0"/>
    <n v="0"/>
    <n v="0"/>
    <n v="0"/>
    <n v="0"/>
    <n v="0"/>
    <n v="0"/>
    <n v="0"/>
    <n v="0"/>
    <n v="411.17"/>
    <n v="411.17"/>
    <n v="822.34"/>
    <n v="0"/>
  </r>
  <r>
    <x v="0"/>
    <x v="9"/>
    <x v="0"/>
    <s v="6901501"/>
    <n v="742010"/>
    <s v="Postage-Regular"/>
    <s v="Franciscan Health System"/>
    <x v="0"/>
    <m/>
    <n v="0"/>
    <n v="0"/>
    <n v="0"/>
    <n v="0"/>
    <n v="0"/>
    <n v="0"/>
    <n v="24.7"/>
    <n v="0"/>
    <n v="0"/>
    <n v="0"/>
    <n v="0"/>
    <n v="134.91999999999999"/>
    <n v="159.61999999999998"/>
    <n v="-134.91999999999999"/>
  </r>
  <r>
    <x v="0"/>
    <x v="9"/>
    <x v="0"/>
    <s v="6901501"/>
    <n v="742020"/>
    <s v="Postage-Express Services"/>
    <s v="Franciscan Health System"/>
    <x v="0"/>
    <m/>
    <n v="0"/>
    <n v="0"/>
    <n v="0"/>
    <n v="0"/>
    <n v="0"/>
    <n v="0"/>
    <n v="0"/>
    <n v="0"/>
    <n v="0"/>
    <n v="0"/>
    <n v="0"/>
    <n v="34.659999999999997"/>
    <n v="34.659999999999997"/>
    <n v="-34.659999999999997"/>
  </r>
  <r>
    <x v="0"/>
    <x v="9"/>
    <x v="0"/>
    <s v="6901501"/>
    <n v="743010"/>
    <s v="Dues--Institutional"/>
    <s v="Franciscan Health System"/>
    <x v="0"/>
    <m/>
    <n v="14908.34"/>
    <n v="15203.34"/>
    <n v="14908.34"/>
    <n v="14908.34"/>
    <n v="14908.34"/>
    <n v="15212.11"/>
    <n v="34300"/>
    <n v="-2950"/>
    <n v="8878.85"/>
    <n v="8575"/>
    <n v="8575"/>
    <n v="8635"/>
    <n v="156062.66"/>
    <n v="-60"/>
  </r>
  <r>
    <x v="0"/>
    <x v="9"/>
    <x v="0"/>
    <s v="6901501"/>
    <n v="743020"/>
    <s v="Dues--Individual"/>
    <s v="Franciscan Health System"/>
    <x v="0"/>
    <m/>
    <n v="0"/>
    <n v="0"/>
    <n v="0"/>
    <n v="0"/>
    <n v="0"/>
    <n v="0"/>
    <n v="0"/>
    <n v="0"/>
    <n v="0"/>
    <n v="0"/>
    <n v="195"/>
    <n v="1275"/>
    <n v="1470"/>
    <n v="-1080"/>
  </r>
  <r>
    <x v="0"/>
    <x v="9"/>
    <x v="0"/>
    <s v="6901501"/>
    <n v="743030"/>
    <s v="Subscriptions--Institutional"/>
    <s v="Franciscan Health System"/>
    <x v="0"/>
    <m/>
    <n v="0"/>
    <n v="555.6"/>
    <n v="-125.72"/>
    <n v="-54.25"/>
    <n v="677.97"/>
    <n v="416"/>
    <n v="4075.95"/>
    <n v="0"/>
    <n v="0"/>
    <n v="0"/>
    <n v="387.19"/>
    <n v="0"/>
    <n v="5932.7399999999989"/>
    <n v="387.19"/>
  </r>
  <r>
    <x v="0"/>
    <x v="9"/>
    <x v="0"/>
    <s v="6901501"/>
    <n v="743040"/>
    <s v="Subscriptions--Individual"/>
    <s v="Franciscan Health System"/>
    <x v="0"/>
    <m/>
    <n v="0"/>
    <n v="0"/>
    <n v="0"/>
    <n v="0"/>
    <n v="0"/>
    <n v="0"/>
    <n v="0"/>
    <n v="80"/>
    <n v="0"/>
    <n v="0"/>
    <n v="0"/>
    <n v="0"/>
    <n v="80"/>
    <n v="0"/>
  </r>
  <r>
    <x v="0"/>
    <x v="9"/>
    <x v="0"/>
    <s v="6901501"/>
    <n v="744010"/>
    <s v="Recruitment"/>
    <s v="Franciscan Health System"/>
    <x v="0"/>
    <m/>
    <n v="0"/>
    <n v="0"/>
    <n v="0"/>
    <n v="0"/>
    <n v="0"/>
    <n v="0"/>
    <n v="0"/>
    <n v="0"/>
    <n v="1738.98"/>
    <n v="18403.400000000001"/>
    <n v="0"/>
    <n v="0"/>
    <n v="20142.38"/>
    <n v="0"/>
  </r>
  <r>
    <x v="0"/>
    <x v="9"/>
    <x v="0"/>
    <s v="6901501"/>
    <n v="745010"/>
    <s v="Donations and Contributions"/>
    <s v="Franciscan Health System"/>
    <x v="0"/>
    <m/>
    <n v="217872.5"/>
    <n v="1000"/>
    <n v="61250"/>
    <n v="0"/>
    <n v="56250"/>
    <n v="0"/>
    <n v="235745"/>
    <n v="31250"/>
    <n v="0"/>
    <n v="0"/>
    <n v="31250"/>
    <n v="0"/>
    <n v="634617.5"/>
    <n v="31250"/>
  </r>
  <r>
    <x v="0"/>
    <x v="9"/>
    <x v="0"/>
    <s v="6901501"/>
    <n v="749510"/>
    <s v="Miscellaneous Expenses"/>
    <s v="Franciscan Health System"/>
    <x v="0"/>
    <m/>
    <n v="44382.44"/>
    <n v="68247.44"/>
    <n v="31874.99"/>
    <n v="41471.18"/>
    <n v="4304.46"/>
    <n v="-236001.9"/>
    <n v="2482.5300000000002"/>
    <n v="1186.3699999999999"/>
    <n v="22587.18"/>
    <n v="-9920.86"/>
    <n v="5768.15"/>
    <n v="-2660.42"/>
    <n v="-26278.44000000001"/>
    <n v="8428.57"/>
  </r>
  <r>
    <x v="0"/>
    <x v="9"/>
    <x v="0"/>
    <s v="6901501"/>
    <n v="749510"/>
    <s v="Licenses"/>
    <s v="Franciscan Health System"/>
    <x v="0"/>
    <n v="1002"/>
    <n v="0"/>
    <n v="0"/>
    <n v="11"/>
    <n v="0"/>
    <n v="0"/>
    <n v="24"/>
    <n v="0"/>
    <n v="0"/>
    <n v="202.75"/>
    <n v="190"/>
    <n v="0"/>
    <n v="0"/>
    <n v="427.75"/>
    <n v="0"/>
  </r>
  <r>
    <x v="0"/>
    <x v="9"/>
    <x v="0"/>
    <s v="6901501"/>
    <n v="749510"/>
    <s v="Miscellaneous Expense"/>
    <s v="Franciscan Health System"/>
    <x v="0"/>
    <n v="1009"/>
    <n v="0"/>
    <n v="0"/>
    <n v="0"/>
    <n v="0"/>
    <n v="0"/>
    <n v="0"/>
    <n v="460.34"/>
    <n v="0"/>
    <n v="0"/>
    <n v="0"/>
    <n v="159.62"/>
    <n v="5188.95"/>
    <n v="5808.91"/>
    <n v="-5029.33"/>
  </r>
  <r>
    <x v="0"/>
    <x v="9"/>
    <x v="0"/>
    <s v="6901501"/>
    <n v="749510"/>
    <s v="Sponsorships"/>
    <s v="Franciscan Health System"/>
    <x v="0"/>
    <n v="1031"/>
    <n v="0"/>
    <n v="0"/>
    <n v="0"/>
    <n v="0"/>
    <n v="0"/>
    <n v="105.43"/>
    <n v="0"/>
    <n v="0"/>
    <n v="0"/>
    <n v="0"/>
    <n v="0"/>
    <n v="0"/>
    <n v="105.43"/>
    <n v="0"/>
  </r>
  <r>
    <x v="0"/>
    <x v="9"/>
    <x v="0"/>
    <s v="6901501"/>
    <n v="749510"/>
    <s v="Program Expense"/>
    <s v="Franciscan Health System"/>
    <x v="0"/>
    <n v="3300"/>
    <n v="0"/>
    <n v="161.41"/>
    <n v="256.95"/>
    <n v="479.61"/>
    <n v="524"/>
    <n v="712.48"/>
    <n v="827"/>
    <n v="1040.58"/>
    <n v="716.89"/>
    <n v="1132.82"/>
    <n v="1913.19"/>
    <n v="1523.91"/>
    <n v="9288.84"/>
    <n v="389.28"/>
  </r>
  <r>
    <x v="0"/>
    <x v="9"/>
    <x v="0"/>
    <s v="6901501"/>
    <n v="749510"/>
    <s v="Special Events"/>
    <s v="Franciscan Health System"/>
    <x v="0"/>
    <n v="4300"/>
    <n v="0"/>
    <n v="0"/>
    <n v="0"/>
    <n v="0"/>
    <n v="404.61"/>
    <n v="-404.61"/>
    <n v="0"/>
    <n v="0"/>
    <n v="0"/>
    <n v="0"/>
    <n v="0"/>
    <n v="1943.8"/>
    <n v="1943.8"/>
    <n v="-1943.8"/>
  </r>
  <r>
    <x v="0"/>
    <x v="9"/>
    <x v="0"/>
    <s v="6901501"/>
    <n v="749525"/>
    <s v="Contingent Liability Expense"/>
    <s v="Franciscan Health System"/>
    <x v="0"/>
    <m/>
    <n v="0"/>
    <n v="0"/>
    <n v="0"/>
    <n v="15000"/>
    <n v="0"/>
    <n v="-15000"/>
    <n v="0"/>
    <n v="0"/>
    <n v="0"/>
    <n v="0"/>
    <n v="0"/>
    <n v="0"/>
    <n v="0"/>
    <n v="0"/>
  </r>
  <r>
    <x v="0"/>
    <x v="9"/>
    <x v="0"/>
    <s v="6901501"/>
    <n v="749530"/>
    <s v="Travel"/>
    <s v="Franciscan Health System"/>
    <x v="0"/>
    <m/>
    <n v="324.67"/>
    <n v="5"/>
    <n v="132.78"/>
    <n v="1213.9000000000001"/>
    <n v="2993.5"/>
    <n v="1018.03"/>
    <n v="6057.94"/>
    <n v="6844.3"/>
    <n v="3249.51"/>
    <n v="1426.77"/>
    <n v="5159.0200000000004"/>
    <n v="12071.4"/>
    <n v="40496.82"/>
    <n v="-6912.3799999999992"/>
  </r>
  <r>
    <x v="0"/>
    <x v="9"/>
    <x v="0"/>
    <s v="6901501"/>
    <n v="749530"/>
    <s v="Mileage"/>
    <s v="Franciscan Health System"/>
    <x v="0"/>
    <n v="1001"/>
    <n v="132.99"/>
    <n v="184.22"/>
    <n v="417.25"/>
    <n v="0"/>
    <n v="480.15"/>
    <n v="487.79"/>
    <n v="113.36"/>
    <n v="156.28"/>
    <n v="-113.36"/>
    <n v="746.46"/>
    <n v="563.17999999999995"/>
    <n v="123.54"/>
    <n v="3291.86"/>
    <n v="439.63999999999993"/>
  </r>
  <r>
    <x v="0"/>
    <x v="9"/>
    <x v="0"/>
    <s v="6901501"/>
    <n v="749535"/>
    <s v="Meetings"/>
    <s v="Franciscan Health System"/>
    <x v="0"/>
    <m/>
    <n v="87.25"/>
    <n v="1432.46"/>
    <n v="22202.26"/>
    <n v="845.51"/>
    <n v="362.15"/>
    <n v="20638.580000000002"/>
    <n v="3755.21"/>
    <n v="221"/>
    <n v="2493.5300000000002"/>
    <n v="38490.15"/>
    <n v="4443.26"/>
    <n v="4961.53"/>
    <n v="99932.89"/>
    <n v="-518.26999999999953"/>
  </r>
  <r>
    <x v="0"/>
    <x v="9"/>
    <x v="0"/>
    <s v="6901501"/>
    <n v="749535"/>
    <s v="Employee Functions"/>
    <s v="Franciscan Health System"/>
    <x v="0"/>
    <n v="1004"/>
    <n v="0"/>
    <n v="0"/>
    <n v="0"/>
    <n v="0"/>
    <n v="0"/>
    <n v="0"/>
    <n v="0"/>
    <n v="0"/>
    <n v="0"/>
    <n v="0"/>
    <n v="0"/>
    <n v="651.25"/>
    <n v="651.25"/>
    <n v="-651.25"/>
  </r>
  <r>
    <x v="0"/>
    <x v="9"/>
    <x v="0"/>
    <s v="6901501"/>
    <n v="749535"/>
    <s v="Medicare Non-Allowable Beverages"/>
    <s v="Franciscan Health System"/>
    <x v="0"/>
    <n v="1005"/>
    <n v="0"/>
    <n v="0"/>
    <n v="0"/>
    <n v="0"/>
    <n v="13"/>
    <n v="0"/>
    <n v="252.95"/>
    <n v="0"/>
    <n v="0"/>
    <n v="0"/>
    <n v="99"/>
    <n v="148.51"/>
    <n v="513.46"/>
    <n v="-49.509999999999991"/>
  </r>
  <r>
    <x v="5"/>
    <x v="1"/>
    <x v="0"/>
    <s v="6902200"/>
    <n v="700014"/>
    <s v="Salaries-Management-Productive"/>
    <s v="Administration"/>
    <x v="0"/>
    <m/>
    <n v="37868.870000000003"/>
    <n v="33917.339999999997"/>
    <n v="22283.3"/>
    <n v="11412.5"/>
    <n v="-4626.24"/>
    <n v="0"/>
    <n v="0"/>
    <n v="0"/>
    <n v="-57270.9"/>
    <n v="0"/>
    <n v="42221.15"/>
    <n v="3191.52"/>
    <n v="88997.54"/>
    <n v="39029.630000000005"/>
  </r>
  <r>
    <x v="5"/>
    <x v="1"/>
    <x v="0"/>
    <s v="6902200"/>
    <n v="700014"/>
    <s v="Salaries-Management-Other"/>
    <s v="Administration"/>
    <x v="0"/>
    <n v="2000"/>
    <n v="0"/>
    <n v="0"/>
    <n v="0"/>
    <n v="0"/>
    <n v="0"/>
    <n v="0"/>
    <n v="0"/>
    <n v="0"/>
    <n v="0"/>
    <n v="0"/>
    <n v="30.04"/>
    <n v="0"/>
    <n v="30.04"/>
    <n v="30.04"/>
  </r>
  <r>
    <x v="5"/>
    <x v="1"/>
    <x v="0"/>
    <s v="6902200"/>
    <n v="700018"/>
    <s v="Salaries-Supervisory-Productive"/>
    <s v="Administration"/>
    <x v="0"/>
    <m/>
    <n v="5592.72"/>
    <n v="4926.92"/>
    <n v="4793.76"/>
    <n v="1464.76"/>
    <n v="0"/>
    <n v="0"/>
    <n v="0"/>
    <n v="0"/>
    <n v="0"/>
    <n v="0"/>
    <n v="0"/>
    <n v="0"/>
    <n v="16778.16"/>
    <n v="0"/>
  </r>
  <r>
    <x v="5"/>
    <x v="1"/>
    <x v="0"/>
    <s v="6902200"/>
    <n v="700034"/>
    <s v="Salaries-Tech/Professional-Productive"/>
    <s v="Administration"/>
    <x v="0"/>
    <m/>
    <n v="5138.5600000000004"/>
    <n v="8808.9599999999991"/>
    <n v="6973.76"/>
    <n v="1835.2"/>
    <n v="0"/>
    <n v="0"/>
    <n v="0"/>
    <n v="0"/>
    <n v="0"/>
    <n v="0"/>
    <n v="0"/>
    <n v="0"/>
    <n v="22756.48"/>
    <n v="0"/>
  </r>
  <r>
    <x v="5"/>
    <x v="1"/>
    <x v="0"/>
    <s v="6902200"/>
    <n v="700038"/>
    <s v="Salaries-Service/Support-Productive"/>
    <s v="Administration"/>
    <x v="0"/>
    <m/>
    <n v="9382.8799999999992"/>
    <n v="11516.95"/>
    <n v="10505.19"/>
    <n v="2191.31"/>
    <n v="0"/>
    <n v="0"/>
    <n v="0"/>
    <n v="0"/>
    <n v="0"/>
    <n v="0"/>
    <n v="0"/>
    <n v="0"/>
    <n v="33596.33"/>
    <n v="0"/>
  </r>
  <r>
    <x v="5"/>
    <x v="1"/>
    <x v="0"/>
    <s v="6902200"/>
    <n v="700038"/>
    <s v="Salaries-Service/Support-OT"/>
    <s v="Administration"/>
    <x v="0"/>
    <n v="1000"/>
    <n v="825.37"/>
    <n v="1612.12"/>
    <n v="733.4"/>
    <n v="271.14"/>
    <n v="0"/>
    <n v="0"/>
    <n v="0"/>
    <n v="0"/>
    <n v="0"/>
    <n v="0"/>
    <n v="0"/>
    <n v="0"/>
    <n v="3442.0299999999997"/>
    <n v="0"/>
  </r>
  <r>
    <x v="5"/>
    <x v="1"/>
    <x v="0"/>
    <s v="6902200"/>
    <n v="700038"/>
    <s v="Salaries-Service/Support-Other"/>
    <s v="Administration"/>
    <x v="0"/>
    <n v="2000"/>
    <n v="315.08999999999997"/>
    <n v="623.62"/>
    <n v="266.22000000000003"/>
    <n v="229.03"/>
    <n v="0"/>
    <n v="0"/>
    <n v="0"/>
    <n v="0"/>
    <n v="0"/>
    <n v="0"/>
    <n v="0"/>
    <n v="0"/>
    <n v="1433.96"/>
    <n v="0"/>
  </r>
  <r>
    <x v="5"/>
    <x v="1"/>
    <x v="0"/>
    <s v="6902200"/>
    <n v="700054"/>
    <s v="Salaries-Management-Non-productive"/>
    <s v="Administration"/>
    <x v="0"/>
    <m/>
    <n v="9579.56"/>
    <n v="782.52"/>
    <n v="5229.22"/>
    <n v="2824.31"/>
    <n v="-1324.47"/>
    <n v="0"/>
    <n v="0"/>
    <n v="0"/>
    <n v="-7538.7"/>
    <n v="0"/>
    <n v="8088.8"/>
    <n v="-3235.53"/>
    <n v="14405.709999999997"/>
    <n v="11324.33"/>
  </r>
  <r>
    <x v="5"/>
    <x v="1"/>
    <x v="0"/>
    <s v="6902200"/>
    <n v="700058"/>
    <s v="Salaries-Supervisory-Non-productive"/>
    <s v="Administration"/>
    <x v="0"/>
    <m/>
    <n v="266.32"/>
    <n v="1198.44"/>
    <n v="532.64"/>
    <n v="-133.16"/>
    <n v="0"/>
    <n v="0"/>
    <n v="0"/>
    <n v="0"/>
    <n v="0"/>
    <n v="0"/>
    <n v="0"/>
    <n v="0"/>
    <n v="1864.24"/>
    <n v="0"/>
  </r>
  <r>
    <x v="5"/>
    <x v="1"/>
    <x v="0"/>
    <s v="6902200"/>
    <n v="700074"/>
    <s v="Salaries-Tech/Professional-Non-productive"/>
    <s v="Administration"/>
    <x v="0"/>
    <m/>
    <n v="2936.32"/>
    <n v="-367.04"/>
    <n v="367.04"/>
    <n v="0"/>
    <n v="0"/>
    <n v="0"/>
    <n v="0"/>
    <n v="0"/>
    <n v="0"/>
    <n v="0"/>
    <n v="0"/>
    <n v="0"/>
    <n v="2936.32"/>
    <n v="0"/>
  </r>
  <r>
    <x v="5"/>
    <x v="1"/>
    <x v="0"/>
    <s v="6902200"/>
    <n v="700078"/>
    <s v="Salaries-Service/Support-Non-productive"/>
    <s v="Administration"/>
    <x v="0"/>
    <m/>
    <n v="1705.36"/>
    <n v="0"/>
    <n v="642"/>
    <n v="0"/>
    <n v="0"/>
    <n v="0"/>
    <n v="0"/>
    <n v="0"/>
    <n v="0"/>
    <n v="0"/>
    <n v="0"/>
    <n v="0"/>
    <n v="2347.3599999999997"/>
    <n v="0"/>
  </r>
  <r>
    <x v="5"/>
    <x v="1"/>
    <x v="0"/>
    <s v="6902200"/>
    <n v="700084"/>
    <s v="Accrued PTO"/>
    <s v="Administration"/>
    <x v="0"/>
    <m/>
    <n v="-3595.85"/>
    <n v="5157.07"/>
    <n v="953.12"/>
    <n v="0"/>
    <n v="0"/>
    <n v="0"/>
    <n v="0"/>
    <n v="0"/>
    <n v="0"/>
    <n v="0"/>
    <n v="0"/>
    <n v="0"/>
    <n v="2514.3399999999997"/>
    <n v="0"/>
  </r>
  <r>
    <x v="6"/>
    <x v="1"/>
    <x v="0"/>
    <s v="6902200"/>
    <n v="713010"/>
    <s v="Benefits-FICA/Medicare"/>
    <s v="Administration"/>
    <x v="0"/>
    <m/>
    <n v="5463.52"/>
    <n v="3585.49"/>
    <n v="3286.6"/>
    <n v="1578.09"/>
    <n v="-436.37"/>
    <n v="0"/>
    <n v="0"/>
    <n v="0"/>
    <n v="0"/>
    <n v="0"/>
    <n v="6137.02"/>
    <n v="-2309.9899999999998"/>
    <n v="17304.36"/>
    <n v="8447.01"/>
  </r>
  <r>
    <x v="6"/>
    <x v="1"/>
    <x v="0"/>
    <s v="6902200"/>
    <n v="713090"/>
    <s v="Benefits-Allocated Amounts"/>
    <s v="Administration"/>
    <x v="0"/>
    <m/>
    <n v="10933.74"/>
    <n v="8618.1299999999992"/>
    <n v="8867.3700000000008"/>
    <n v="4529.24"/>
    <n v="-142.68"/>
    <n v="-1724"/>
    <n v="1157.05"/>
    <n v="672.39"/>
    <n v="-10423.58"/>
    <n v="135.16"/>
    <n v="3112.98"/>
    <n v="-151.28"/>
    <n v="25584.519999999997"/>
    <n v="3264.26"/>
  </r>
  <r>
    <x v="6"/>
    <x v="1"/>
    <x v="0"/>
    <s v="6902200"/>
    <n v="713096"/>
    <s v="Employee Recognition"/>
    <s v="Administration"/>
    <x v="0"/>
    <n v="1017"/>
    <n v="-11.01"/>
    <n v="273.95999999999998"/>
    <n v="0"/>
    <n v="0"/>
    <n v="0"/>
    <n v="0"/>
    <n v="0"/>
    <n v="0"/>
    <n v="0"/>
    <n v="0"/>
    <n v="0"/>
    <n v="241.86"/>
    <n v="504.81"/>
    <n v="-241.86"/>
  </r>
  <r>
    <x v="7"/>
    <x v="1"/>
    <x v="0"/>
    <s v="6902200"/>
    <n v="718010"/>
    <s v="Media/Print Advertising"/>
    <s v="Administration"/>
    <x v="0"/>
    <n v="1004"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6902200"/>
    <n v="718050"/>
    <s v="Contract Svcs-Other"/>
    <s v="Administration"/>
    <x v="0"/>
    <m/>
    <n v="2267.15"/>
    <n v="13370.8"/>
    <n v="1344"/>
    <n v="1139.47"/>
    <n v="0"/>
    <n v="875"/>
    <n v="-18996.419999999998"/>
    <n v="0"/>
    <n v="0"/>
    <n v="0"/>
    <n v="0"/>
    <n v="0"/>
    <n v="0"/>
    <n v="0"/>
  </r>
  <r>
    <x v="11"/>
    <x v="1"/>
    <x v="0"/>
    <s v="6902200"/>
    <n v="721810"/>
    <s v="Supplies-Dietary/Cafeteria"/>
    <s v="Administration"/>
    <x v="0"/>
    <m/>
    <n v="1224.3"/>
    <n v="2129.98"/>
    <n v="517.37"/>
    <n v="130.04"/>
    <n v="0"/>
    <n v="86.52"/>
    <n v="-4088.21"/>
    <n v="0"/>
    <n v="0"/>
    <n v="0"/>
    <n v="0"/>
    <n v="0"/>
    <n v="-4.5474735088646412E-13"/>
    <n v="0"/>
  </r>
  <r>
    <x v="11"/>
    <x v="1"/>
    <x v="0"/>
    <s v="6902200"/>
    <n v="721830"/>
    <s v="Supplies-Office"/>
    <s v="Administration"/>
    <x v="0"/>
    <m/>
    <n v="166.12"/>
    <n v="-187.71"/>
    <n v="458.53"/>
    <n v="326.41000000000003"/>
    <n v="0"/>
    <n v="0"/>
    <n v="-763.35"/>
    <n v="0"/>
    <n v="0"/>
    <n v="0"/>
    <n v="0"/>
    <n v="0"/>
    <n v="-1.1368683772161603E-13"/>
    <n v="0"/>
  </r>
  <r>
    <x v="11"/>
    <x v="1"/>
    <x v="0"/>
    <s v="6902200"/>
    <n v="721910"/>
    <s v="Supplies-Small Equipment"/>
    <s v="Administration"/>
    <x v="0"/>
    <m/>
    <n v="0"/>
    <n v="566.04999999999995"/>
    <n v="0"/>
    <n v="0"/>
    <n v="0"/>
    <n v="0"/>
    <n v="-566.04999999999995"/>
    <n v="0"/>
    <n v="0"/>
    <n v="0"/>
    <n v="0"/>
    <n v="0"/>
    <n v="0"/>
    <n v="0"/>
  </r>
  <r>
    <x v="11"/>
    <x v="1"/>
    <x v="0"/>
    <s v="6902200"/>
    <n v="721980"/>
    <s v="Supplies-Other"/>
    <s v="Administration"/>
    <x v="0"/>
    <m/>
    <n v="41.4"/>
    <n v="14.7"/>
    <n v="4.7300000000000004"/>
    <n v="0"/>
    <n v="30.08"/>
    <n v="0"/>
    <n v="-90.91"/>
    <n v="0"/>
    <n v="0"/>
    <n v="0"/>
    <n v="0"/>
    <n v="0"/>
    <n v="0"/>
    <n v="0"/>
  </r>
  <r>
    <x v="12"/>
    <x v="1"/>
    <x v="0"/>
    <s v="6902200"/>
    <n v="730020"/>
    <s v="Rental and Leases-Copier Usage Fees (DO NOT USE)"/>
    <s v="Administration"/>
    <x v="0"/>
    <n v="5100"/>
    <n v="505.29"/>
    <n v="630.1"/>
    <n v="567.69000000000005"/>
    <n v="567.69000000000005"/>
    <n v="567.69000000000005"/>
    <n v="567.69000000000005"/>
    <n v="-1428.03"/>
    <n v="-1978.12"/>
    <n v="0"/>
    <n v="0"/>
    <n v="0"/>
    <n v="0"/>
    <n v="6.8212102632969618E-13"/>
    <n v="0"/>
  </r>
  <r>
    <x v="13"/>
    <x v="1"/>
    <x v="0"/>
    <s v="6902200"/>
    <n v="735070"/>
    <s v="Depreciation-Movable Equipment"/>
    <s v="Administration"/>
    <x v="0"/>
    <m/>
    <n v="1074.28"/>
    <n v="838.42"/>
    <n v="838.42"/>
    <n v="838.41"/>
    <n v="838.42"/>
    <n v="838.41"/>
    <n v="838.42"/>
    <n v="-6104.78"/>
    <n v="0"/>
    <n v="0"/>
    <n v="0"/>
    <n v="0"/>
    <n v="0"/>
    <n v="0"/>
  </r>
  <r>
    <x v="0"/>
    <x v="1"/>
    <x v="0"/>
    <s v="6902200"/>
    <n v="740020"/>
    <s v="Education-Registration Fees"/>
    <s v="Administration"/>
    <x v="0"/>
    <m/>
    <n v="-225"/>
    <n v="0"/>
    <n v="0"/>
    <n v="0"/>
    <n v="0"/>
    <n v="0"/>
    <n v="225"/>
    <n v="0"/>
    <n v="0"/>
    <n v="0"/>
    <n v="0"/>
    <n v="0"/>
    <n v="0"/>
    <n v="0"/>
  </r>
  <r>
    <x v="0"/>
    <x v="1"/>
    <x v="0"/>
    <s v="6902200"/>
    <n v="740030"/>
    <s v="Education-Travel"/>
    <s v="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6902200"/>
    <n v="742010"/>
    <s v="Postage-Regular"/>
    <s v="Administration"/>
    <x v="0"/>
    <m/>
    <n v="0"/>
    <n v="3.95"/>
    <n v="0"/>
    <n v="0"/>
    <n v="0"/>
    <n v="0"/>
    <n v="-3.95"/>
    <n v="0"/>
    <n v="0"/>
    <n v="0"/>
    <n v="0"/>
    <n v="0"/>
    <n v="0"/>
    <n v="0"/>
  </r>
  <r>
    <x v="0"/>
    <x v="1"/>
    <x v="0"/>
    <s v="6902200"/>
    <n v="744012"/>
    <s v="Recruitment-Physician"/>
    <s v="Administration"/>
    <x v="0"/>
    <m/>
    <n v="0"/>
    <n v="146.11000000000001"/>
    <n v="0"/>
    <n v="0"/>
    <n v="0"/>
    <n v="0"/>
    <n v="-146.11000000000001"/>
    <n v="0"/>
    <n v="0"/>
    <n v="0"/>
    <n v="0"/>
    <n v="0"/>
    <n v="0"/>
    <n v="0"/>
  </r>
  <r>
    <x v="0"/>
    <x v="1"/>
    <x v="0"/>
    <s v="6902200"/>
    <n v="749510"/>
    <s v="Miscellaneous Expenses"/>
    <s v="Administration"/>
    <x v="0"/>
    <m/>
    <n v="-965.14"/>
    <n v="-1286.29"/>
    <n v="54.51"/>
    <n v="176.1"/>
    <n v="-230.61"/>
    <n v="0"/>
    <n v="2251.4299999999998"/>
    <n v="0"/>
    <n v="0"/>
    <n v="0"/>
    <n v="0"/>
    <n v="0"/>
    <n v="0"/>
    <n v="0"/>
  </r>
  <r>
    <x v="0"/>
    <x v="1"/>
    <x v="0"/>
    <s v="6902200"/>
    <n v="749510"/>
    <s v="Licenses"/>
    <s v="Administration"/>
    <x v="0"/>
    <n v="1002"/>
    <n v="-150"/>
    <n v="0"/>
    <n v="0"/>
    <n v="0"/>
    <n v="0"/>
    <n v="0"/>
    <n v="150"/>
    <n v="0"/>
    <n v="0"/>
    <n v="0"/>
    <n v="0"/>
    <n v="0"/>
    <n v="0"/>
    <n v="0"/>
  </r>
  <r>
    <x v="0"/>
    <x v="1"/>
    <x v="0"/>
    <s v="6902200"/>
    <n v="749530"/>
    <s v="Travel"/>
    <s v="Administration"/>
    <x v="0"/>
    <m/>
    <n v="660.76"/>
    <n v="1849.94"/>
    <n v="0"/>
    <n v="0"/>
    <n v="0"/>
    <n v="0"/>
    <n v="-2510.6999999999998"/>
    <n v="0"/>
    <n v="0"/>
    <n v="0"/>
    <n v="0"/>
    <n v="0"/>
    <n v="0"/>
    <n v="0"/>
  </r>
  <r>
    <x v="0"/>
    <x v="1"/>
    <x v="0"/>
    <s v="6902200"/>
    <n v="749530"/>
    <s v="Mileage"/>
    <s v="Administration"/>
    <x v="0"/>
    <n v="1001"/>
    <n v="391.38"/>
    <n v="618.66999999999996"/>
    <n v="63.77"/>
    <n v="162.43"/>
    <n v="32.159999999999997"/>
    <n v="0"/>
    <n v="-1268.4100000000001"/>
    <n v="0"/>
    <n v="0"/>
    <n v="0"/>
    <n v="0"/>
    <n v="0"/>
    <n v="0"/>
    <n v="0"/>
  </r>
  <r>
    <x v="0"/>
    <x v="1"/>
    <x v="0"/>
    <s v="6902200"/>
    <n v="749535"/>
    <s v="Meetings"/>
    <s v="Administration"/>
    <x v="0"/>
    <m/>
    <n v="0"/>
    <n v="674.72"/>
    <n v="180.19"/>
    <n v="0"/>
    <n v="168.37"/>
    <n v="0"/>
    <n v="-1023.28"/>
    <n v="0"/>
    <n v="0"/>
    <n v="0"/>
    <n v="0"/>
    <n v="0"/>
    <n v="1.1368683772161603E-13"/>
    <n v="0"/>
  </r>
  <r>
    <x v="0"/>
    <x v="1"/>
    <x v="0"/>
    <s v="6902200"/>
    <n v="749535"/>
    <s v="Medicare Non-Allowable Beverages"/>
    <s v="Administration"/>
    <x v="0"/>
    <n v="1005"/>
    <n v="0"/>
    <n v="6"/>
    <n v="0"/>
    <n v="0"/>
    <n v="0"/>
    <n v="0"/>
    <n v="-6"/>
    <n v="0"/>
    <n v="0"/>
    <n v="0"/>
    <n v="0"/>
    <n v="0"/>
    <n v="0"/>
    <n v="0"/>
  </r>
  <r>
    <x v="0"/>
    <x v="1"/>
    <x v="0"/>
    <s v="6902200"/>
    <n v="766010"/>
    <s v="Property Tax"/>
    <s v="Administration"/>
    <x v="0"/>
    <m/>
    <n v="109.17"/>
    <n v="109.17"/>
    <n v="109.17"/>
    <n v="-327.51"/>
    <n v="0"/>
    <n v="0"/>
    <n v="0"/>
    <n v="0"/>
    <n v="0"/>
    <n v="0"/>
    <n v="0"/>
    <n v="0"/>
    <n v="0"/>
    <n v="0"/>
  </r>
  <r>
    <x v="9"/>
    <x v="1"/>
    <x v="0"/>
    <s v="6902200"/>
    <n v="800015"/>
    <s v="Interest Income-Ext to CHI"/>
    <s v="Administration"/>
    <x v="0"/>
    <m/>
    <n v="-2"/>
    <n v="0"/>
    <n v="0"/>
    <n v="0"/>
    <n v="0"/>
    <n v="0"/>
    <n v="2"/>
    <n v="0"/>
    <n v="0"/>
    <n v="0"/>
    <n v="0"/>
    <n v="0"/>
    <n v="0"/>
    <n v="0"/>
  </r>
  <r>
    <x v="5"/>
    <x v="9"/>
    <x v="0"/>
    <s v="6902501"/>
    <n v="700014"/>
    <s v="Salaries-Management-Productive"/>
    <s v="Regulatory Compliance"/>
    <x v="0"/>
    <m/>
    <n v="28006.799999999999"/>
    <n v="23765.98"/>
    <n v="28846.82"/>
    <n v="31275.67"/>
    <n v="31031.33"/>
    <n v="23558.54"/>
    <n v="23903.64"/>
    <n v="23658.51"/>
    <n v="34112.410000000003"/>
    <n v="30509.27"/>
    <n v="32903.58"/>
    <n v="24379.13"/>
    <n v="335951.68000000005"/>
    <n v="8524.4500000000007"/>
  </r>
  <r>
    <x v="5"/>
    <x v="9"/>
    <x v="0"/>
    <s v="6902501"/>
    <n v="700038"/>
    <s v="Salaries-Service/Support-Productive"/>
    <s v="Regulatory Compliance"/>
    <x v="0"/>
    <m/>
    <n v="0"/>
    <n v="0"/>
    <n v="0"/>
    <n v="0"/>
    <n v="0"/>
    <n v="0"/>
    <n v="0"/>
    <n v="0"/>
    <n v="0"/>
    <n v="1041.98"/>
    <n v="3126.05"/>
    <n v="2577.98"/>
    <n v="6746.01"/>
    <n v="548.07000000000016"/>
  </r>
  <r>
    <x v="5"/>
    <x v="9"/>
    <x v="0"/>
    <s v="6902501"/>
    <n v="700038"/>
    <s v="Salaries-Service/Support-Other"/>
    <s v="Regulatory Compliance"/>
    <x v="0"/>
    <n v="2000"/>
    <n v="0"/>
    <n v="0"/>
    <n v="0"/>
    <n v="0"/>
    <n v="0"/>
    <n v="0"/>
    <n v="0"/>
    <n v="0"/>
    <n v="0"/>
    <n v="30.06"/>
    <n v="-0.02"/>
    <n v="0"/>
    <n v="30.04"/>
    <n v="-0.02"/>
  </r>
  <r>
    <x v="5"/>
    <x v="9"/>
    <x v="0"/>
    <s v="6902501"/>
    <n v="700054"/>
    <s v="Salaries-Management-Non-productive"/>
    <s v="Regulatory Compliance"/>
    <x v="0"/>
    <m/>
    <n v="4607.45"/>
    <n v="8849.7900000000009"/>
    <n v="2717.24"/>
    <n v="2024.36"/>
    <n v="1352.37"/>
    <n v="9905.73"/>
    <n v="9612.84"/>
    <n v="6611.39"/>
    <n v="-599.04"/>
    <n v="1921.94"/>
    <n v="609.78"/>
    <n v="8053.54"/>
    <n v="55667.39"/>
    <n v="-7443.76"/>
  </r>
  <r>
    <x v="5"/>
    <x v="9"/>
    <x v="0"/>
    <s v="6902501"/>
    <n v="700084"/>
    <s v="Accrued PTO"/>
    <s v="Regulatory Compliance"/>
    <x v="0"/>
    <m/>
    <n v="-306.7"/>
    <n v="-4474.08"/>
    <n v="-470.71"/>
    <n v="5919.84"/>
    <n v="2968.25"/>
    <n v="-5231.8500000000004"/>
    <n v="-4400.8"/>
    <n v="-2543.63"/>
    <n v="3002.04"/>
    <n v="6299.74"/>
    <n v="4105.6499999999996"/>
    <n v="398.99"/>
    <n v="5266.7399999999989"/>
    <n v="3706.66"/>
  </r>
  <r>
    <x v="6"/>
    <x v="9"/>
    <x v="0"/>
    <s v="6902501"/>
    <n v="713010"/>
    <s v="Benefits-FICA/Medicare"/>
    <s v="Regulatory Compliance"/>
    <x v="0"/>
    <m/>
    <n v="2465.3000000000002"/>
    <n v="2465.41"/>
    <n v="2385.94"/>
    <n v="2146.88"/>
    <n v="1518.25"/>
    <n v="2124.83"/>
    <n v="2526.5700000000002"/>
    <n v="2282.0300000000002"/>
    <n v="2526.58"/>
    <n v="2528.5100000000002"/>
    <n v="2735.97"/>
    <n v="2621.96"/>
    <n v="28328.230000000003"/>
    <n v="114.00999999999976"/>
  </r>
  <r>
    <x v="6"/>
    <x v="9"/>
    <x v="0"/>
    <s v="6902501"/>
    <n v="713090"/>
    <s v="Benefits-Allocated Amounts"/>
    <s v="Regulatory Compliance"/>
    <x v="0"/>
    <m/>
    <n v="4540.84"/>
    <n v="3977.99"/>
    <n v="4369.76"/>
    <n v="4488.4399999999996"/>
    <n v="4021.85"/>
    <n v="4395.43"/>
    <n v="4610.3900000000003"/>
    <n v="4460.55"/>
    <n v="5559.87"/>
    <n v="5362.74"/>
    <n v="5896.57"/>
    <n v="5546.82"/>
    <n v="57231.25"/>
    <n v="349.75"/>
  </r>
  <r>
    <x v="6"/>
    <x v="9"/>
    <x v="0"/>
    <s v="6902501"/>
    <n v="713096"/>
    <s v="Employee Recognition"/>
    <s v="Regulatory Compliance"/>
    <x v="0"/>
    <n v="1017"/>
    <n v="0"/>
    <n v="0"/>
    <n v="0"/>
    <n v="0"/>
    <n v="0"/>
    <n v="317.85000000000002"/>
    <n v="0"/>
    <n v="0"/>
    <n v="0"/>
    <n v="0"/>
    <n v="0"/>
    <n v="0"/>
    <n v="317.85000000000002"/>
    <n v="0"/>
  </r>
  <r>
    <x v="11"/>
    <x v="9"/>
    <x v="0"/>
    <s v="6902501"/>
    <n v="721810"/>
    <s v="Supplies-Dietary/Cafeteria"/>
    <s v="Regulatory Compliance"/>
    <x v="0"/>
    <m/>
    <n v="65.459999999999994"/>
    <n v="0"/>
    <n v="8"/>
    <n v="39.32"/>
    <n v="13.97"/>
    <n v="24"/>
    <n v="0"/>
    <n v="0"/>
    <n v="0"/>
    <n v="7.48"/>
    <n v="0"/>
    <n v="663.09"/>
    <n v="821.32"/>
    <n v="-663.09"/>
  </r>
  <r>
    <x v="11"/>
    <x v="9"/>
    <x v="0"/>
    <s v="6902501"/>
    <n v="722000"/>
    <s v="Supplies-Freight Expense"/>
    <s v="Regulatory Compliance"/>
    <x v="0"/>
    <m/>
    <n v="0"/>
    <n v="0"/>
    <n v="0"/>
    <n v="0"/>
    <n v="0"/>
    <n v="0"/>
    <n v="0"/>
    <n v="15.18"/>
    <n v="7.97"/>
    <n v="0"/>
    <n v="0"/>
    <n v="0"/>
    <n v="23.15"/>
    <n v="0"/>
  </r>
  <r>
    <x v="15"/>
    <x v="9"/>
    <x v="0"/>
    <s v="6902501"/>
    <n v="731060"/>
    <s v="Pagers"/>
    <s v="Regulatory Compliance"/>
    <x v="0"/>
    <n v="1002"/>
    <n v="0"/>
    <n v="27.53"/>
    <n v="0"/>
    <n v="0"/>
    <n v="0"/>
    <n v="0"/>
    <n v="0"/>
    <n v="0"/>
    <n v="0"/>
    <n v="0"/>
    <n v="0"/>
    <n v="0"/>
    <n v="27.53"/>
    <n v="0"/>
  </r>
  <r>
    <x v="0"/>
    <x v="9"/>
    <x v="0"/>
    <s v="6902501"/>
    <n v="740010"/>
    <s v="Education-Materials"/>
    <s v="Regulatory Compliance"/>
    <x v="0"/>
    <m/>
    <n v="0"/>
    <n v="0"/>
    <n v="0"/>
    <n v="0"/>
    <n v="0"/>
    <n v="428.03"/>
    <n v="0"/>
    <n v="-0.01"/>
    <n v="0"/>
    <n v="157.82"/>
    <n v="0"/>
    <n v="0"/>
    <n v="585.83999999999992"/>
    <n v="0"/>
  </r>
  <r>
    <x v="0"/>
    <x v="9"/>
    <x v="0"/>
    <s v="6902501"/>
    <n v="749510"/>
    <s v="Miscellaneous Expenses"/>
    <s v="Regulatory Compliance"/>
    <x v="0"/>
    <m/>
    <n v="0"/>
    <n v="6436.29"/>
    <n v="14521.34"/>
    <n v="1.1599999999999999"/>
    <n v="5614.06"/>
    <n v="-317.85000000000002"/>
    <n v="91963.34"/>
    <n v="23.78"/>
    <n v="-10.7"/>
    <n v="-3.22"/>
    <n v="-9.86"/>
    <n v="35880"/>
    <n v="154098.34"/>
    <n v="-35889.86"/>
  </r>
  <r>
    <x v="0"/>
    <x v="9"/>
    <x v="0"/>
    <s v="6902501"/>
    <n v="749510"/>
    <s v="RICE Rewards"/>
    <s v="Regulatory Compliance"/>
    <x v="0"/>
    <n v="5100"/>
    <n v="0"/>
    <n v="0"/>
    <n v="0"/>
    <n v="0"/>
    <n v="0"/>
    <n v="0"/>
    <n v="0"/>
    <n v="0"/>
    <n v="0"/>
    <n v="0"/>
    <n v="0"/>
    <n v="142.41999999999999"/>
    <n v="142.41999999999999"/>
    <n v="-142.41999999999999"/>
  </r>
  <r>
    <x v="0"/>
    <x v="9"/>
    <x v="0"/>
    <s v="6902501"/>
    <n v="749530"/>
    <s v="Travel"/>
    <s v="Regulatory Compliance"/>
    <x v="0"/>
    <m/>
    <n v="0"/>
    <n v="0"/>
    <n v="0"/>
    <n v="31"/>
    <n v="0"/>
    <n v="0"/>
    <n v="601.72"/>
    <n v="0"/>
    <n v="0"/>
    <n v="0"/>
    <n v="0"/>
    <n v="46"/>
    <n v="678.72"/>
    <n v="-46"/>
  </r>
  <r>
    <x v="0"/>
    <x v="9"/>
    <x v="0"/>
    <s v="6902501"/>
    <n v="749530"/>
    <s v="Mileage"/>
    <s v="Regulatory Compliance"/>
    <x v="0"/>
    <n v="1001"/>
    <n v="0"/>
    <n v="0"/>
    <n v="136.29"/>
    <n v="52.33"/>
    <n v="33.79"/>
    <n v="0"/>
    <n v="0"/>
    <n v="0"/>
    <n v="143.26"/>
    <n v="75.72"/>
    <n v="9.86"/>
    <n v="328.28"/>
    <n v="779.53"/>
    <n v="-318.41999999999996"/>
  </r>
  <r>
    <x v="5"/>
    <x v="1"/>
    <x v="0"/>
    <s v="6904200"/>
    <n v="700014"/>
    <s v="Salaries-Management-Productive"/>
    <s v="FMG-Pt Access Admin"/>
    <x v="0"/>
    <m/>
    <n v="9978.7999999999993"/>
    <n v="10504"/>
    <n v="8140.6"/>
    <n v="11631.41"/>
    <n v="9606.31"/>
    <n v="8365.0400000000009"/>
    <n v="10863.85"/>
    <n v="11025.62"/>
    <n v="8917.7800000000007"/>
    <n v="9944.65"/>
    <n v="12484.89"/>
    <n v="8107.06"/>
    <n v="119570.00999999998"/>
    <n v="4377.829999999999"/>
  </r>
  <r>
    <x v="5"/>
    <x v="1"/>
    <x v="0"/>
    <s v="6904200"/>
    <n v="700018"/>
    <s v="Salaries-Supervisory-Productive"/>
    <s v="FMG-Pt Access Admin"/>
    <x v="0"/>
    <m/>
    <n v="12534.3"/>
    <n v="12509.46"/>
    <n v="11879.6"/>
    <n v="14152.25"/>
    <n v="14580.63"/>
    <n v="10652.12"/>
    <n v="12496.15"/>
    <n v="13499.74"/>
    <n v="11667.43"/>
    <n v="8347.9599999999991"/>
    <n v="8358.27"/>
    <n v="8982.67"/>
    <n v="139660.57999999999"/>
    <n v="-624.39999999999964"/>
  </r>
  <r>
    <x v="5"/>
    <x v="1"/>
    <x v="0"/>
    <s v="6904200"/>
    <n v="700034"/>
    <s v="Salaries-Tech/Professional-Productive"/>
    <s v="FMG-Pt Access Admin"/>
    <x v="0"/>
    <m/>
    <n v="4271.42"/>
    <n v="5057.3900000000003"/>
    <n v="4056.31"/>
    <n v="4093.15"/>
    <n v="5726.65"/>
    <n v="3888.05"/>
    <n v="5581.71"/>
    <n v="5023.3599999999997"/>
    <n v="5274.53"/>
    <n v="4671.71"/>
    <n v="5626.17"/>
    <n v="5023.3599999999997"/>
    <n v="58293.80999999999"/>
    <n v="602.8100000000004"/>
  </r>
  <r>
    <x v="5"/>
    <x v="1"/>
    <x v="0"/>
    <s v="6904200"/>
    <n v="700034"/>
    <s v="Salaries-Tech/Professional-OT"/>
    <s v="FMG-Pt Access Admin"/>
    <x v="0"/>
    <n v="1000"/>
    <n v="52.73"/>
    <n v="205.63"/>
    <n v="179.28"/>
    <n v="26.36"/>
    <n v="363.71"/>
    <n v="-121.23"/>
    <n v="98.89"/>
    <n v="237.82"/>
    <n v="16.5"/>
    <n v="-468.58"/>
    <n v="115.37"/>
    <n v="0"/>
    <n v="706.48000000000013"/>
    <n v="115.37"/>
  </r>
  <r>
    <x v="5"/>
    <x v="1"/>
    <x v="0"/>
    <s v="6904200"/>
    <n v="700034"/>
    <s v="Salaries-Tech/Professional-Other"/>
    <s v="FMG-Pt Access Admin"/>
    <x v="0"/>
    <n v="2000"/>
    <n v="0"/>
    <n v="0"/>
    <n v="0"/>
    <n v="0"/>
    <n v="0"/>
    <n v="156.80000000000001"/>
    <n v="0"/>
    <n v="5.26"/>
    <n v="0"/>
    <n v="-5.26"/>
    <n v="0"/>
    <n v="0"/>
    <n v="156.80000000000001"/>
    <n v="0"/>
  </r>
  <r>
    <x v="5"/>
    <x v="1"/>
    <x v="0"/>
    <s v="6904200"/>
    <n v="700038"/>
    <s v="Salaries-Service/Support-Productive"/>
    <s v="FMG-Pt Access Admin"/>
    <x v="0"/>
    <m/>
    <n v="167101.26"/>
    <n v="174129.84"/>
    <n v="128437.65"/>
    <n v="152285.53"/>
    <n v="145564.17000000001"/>
    <n v="122842.91"/>
    <n v="154681.45000000001"/>
    <n v="129667.86"/>
    <n v="133547.5"/>
    <n v="140056.44"/>
    <n v="147585.29"/>
    <n v="127688.48"/>
    <n v="1723588.3800000001"/>
    <n v="19896.810000000012"/>
  </r>
  <r>
    <x v="5"/>
    <x v="1"/>
    <x v="0"/>
    <s v="6904200"/>
    <n v="700038"/>
    <s v="Salaries-Service/Support-OT"/>
    <s v="FMG-Pt Access Admin"/>
    <x v="0"/>
    <n v="1000"/>
    <n v="82.27"/>
    <n v="361.67"/>
    <n v="695.92"/>
    <n v="96.97"/>
    <n v="4217.87"/>
    <n v="-909.47"/>
    <n v="2361.35"/>
    <n v="524.19000000000005"/>
    <n v="1177.92"/>
    <n v="2685.94"/>
    <n v="4793.2700000000004"/>
    <n v="472.63"/>
    <n v="16560.530000000002"/>
    <n v="4320.6400000000003"/>
  </r>
  <r>
    <x v="5"/>
    <x v="1"/>
    <x v="0"/>
    <s v="6904200"/>
    <n v="700038"/>
    <s v="Salaries-Service/Support-Other"/>
    <s v="FMG-Pt Access Admin"/>
    <x v="0"/>
    <n v="2000"/>
    <n v="4302.5200000000004"/>
    <n v="4134.3900000000003"/>
    <n v="3559.5"/>
    <n v="4048.73"/>
    <n v="3506.53"/>
    <n v="3696.51"/>
    <n v="4108.08"/>
    <n v="3337.91"/>
    <n v="3464.8"/>
    <n v="3577.96"/>
    <n v="3749.93"/>
    <n v="3420.19"/>
    <n v="44907.05"/>
    <n v="329.73999999999978"/>
  </r>
  <r>
    <x v="5"/>
    <x v="1"/>
    <x v="0"/>
    <s v="6904200"/>
    <n v="700054"/>
    <s v="Salaries-Management-Non-productive"/>
    <s v="FMG-Pt Access Admin"/>
    <x v="0"/>
    <m/>
    <n v="1575.6"/>
    <n v="1575.6"/>
    <n v="2363.4"/>
    <n v="708.82"/>
    <n v="2266.66"/>
    <n v="2968.24"/>
    <n v="1567.75"/>
    <n v="-216.18"/>
    <n v="2432.11"/>
    <n v="1945.7"/>
    <n v="-54.04"/>
    <n v="2702.36"/>
    <n v="19836.02"/>
    <n v="-2756.4"/>
  </r>
  <r>
    <x v="5"/>
    <x v="1"/>
    <x v="0"/>
    <s v="6904200"/>
    <n v="700054"/>
    <s v="Salaries-Management-NonProd-Other"/>
    <s v="FMG-Pt Access Admin"/>
    <x v="0"/>
    <n v="2000"/>
    <n v="0"/>
    <n v="0"/>
    <n v="0"/>
    <n v="0"/>
    <n v="0"/>
    <n v="5727.84"/>
    <n v="-5727.84"/>
    <n v="0"/>
    <n v="0"/>
    <n v="0"/>
    <n v="0"/>
    <n v="0"/>
    <n v="0"/>
    <n v="0"/>
  </r>
  <r>
    <x v="5"/>
    <x v="1"/>
    <x v="0"/>
    <s v="6904200"/>
    <n v="700058"/>
    <s v="Salaries-Supervisory-Non-productive"/>
    <s v="FMG-Pt Access Admin"/>
    <x v="0"/>
    <m/>
    <n v="1851.93"/>
    <n v="2530.71"/>
    <n v="1198.8"/>
    <n v="1268.06"/>
    <n v="270.26"/>
    <n v="3523.69"/>
    <n v="1528.68"/>
    <n v="456.53"/>
    <n v="241.88"/>
    <n v="1405.48"/>
    <n v="2180.15"/>
    <n v="181.15"/>
    <n v="16637.320000000003"/>
    <n v="1999"/>
  </r>
  <r>
    <x v="5"/>
    <x v="1"/>
    <x v="0"/>
    <s v="6904200"/>
    <n v="700074"/>
    <s v="Salaries-Tech/Professional-Non-productive"/>
    <s v="FMG-Pt Access Admin"/>
    <x v="0"/>
    <m/>
    <n v="764.86"/>
    <n v="134.97999999999999"/>
    <n v="562.4"/>
    <n v="1249.76"/>
    <n v="-554.01"/>
    <n v="1221.95"/>
    <n v="195.53"/>
    <n v="0"/>
    <n v="0"/>
    <n v="853.97"/>
    <n v="150.71"/>
    <n v="0"/>
    <n v="4580.1499999999996"/>
    <n v="150.71"/>
  </r>
  <r>
    <x v="5"/>
    <x v="1"/>
    <x v="0"/>
    <s v="6904200"/>
    <n v="700078"/>
    <s v="Salaries-Service/Support-Non-productive"/>
    <s v="FMG-Pt Access Admin"/>
    <x v="0"/>
    <m/>
    <n v="30568.32"/>
    <n v="24850.560000000001"/>
    <n v="22582.53"/>
    <n v="19109.03"/>
    <n v="11070.68"/>
    <n v="32103.47"/>
    <n v="14969.74"/>
    <n v="16637.580000000002"/>
    <n v="20805.54"/>
    <n v="17327.939999999999"/>
    <n v="22278.03"/>
    <n v="19552.150000000001"/>
    <n v="251855.56999999998"/>
    <n v="2725.8799999999974"/>
  </r>
  <r>
    <x v="5"/>
    <x v="1"/>
    <x v="0"/>
    <s v="6904200"/>
    <n v="700078"/>
    <s v="Salaries-Service/Support-NonProd-Other"/>
    <s v="FMG-Pt Access Admin"/>
    <x v="0"/>
    <n v="2000"/>
    <n v="0"/>
    <n v="0"/>
    <n v="0"/>
    <n v="0"/>
    <n v="266.63"/>
    <n v="0"/>
    <n v="0"/>
    <n v="-266.63"/>
    <n v="0"/>
    <n v="0"/>
    <n v="0"/>
    <n v="0"/>
    <n v="0"/>
    <n v="0"/>
  </r>
  <r>
    <x v="5"/>
    <x v="1"/>
    <x v="0"/>
    <s v="6904200"/>
    <n v="700084"/>
    <s v="Accrued PTO"/>
    <s v="FMG-Pt Access Admin"/>
    <x v="0"/>
    <m/>
    <n v="-4601.3900000000003"/>
    <n v="-3175.81"/>
    <n v="-2073.11"/>
    <n v="7437.58"/>
    <n v="5700.02"/>
    <n v="-10080.030000000001"/>
    <n v="2944.81"/>
    <n v="4338.8900000000003"/>
    <n v="4523.76"/>
    <n v="2945.15"/>
    <n v="2467.34"/>
    <n v="-1588.88"/>
    <n v="8838.3299999999981"/>
    <n v="4056.2200000000003"/>
  </r>
  <r>
    <x v="6"/>
    <x v="1"/>
    <x v="0"/>
    <s v="6904200"/>
    <n v="713010"/>
    <s v="Benefits-FICA/Medicare"/>
    <s v="FMG-Pt Access Admin"/>
    <x v="0"/>
    <m/>
    <n v="17291.71"/>
    <n v="17537.91"/>
    <n v="13674.82"/>
    <n v="15506.68"/>
    <n v="14267.11"/>
    <n v="14617.45"/>
    <n v="15905.66"/>
    <n v="13296.38"/>
    <n v="13851.63"/>
    <n v="13991.89"/>
    <n v="15315.1"/>
    <n v="13060.28"/>
    <n v="178316.62"/>
    <n v="2254.8199999999997"/>
  </r>
  <r>
    <x v="6"/>
    <x v="1"/>
    <x v="0"/>
    <s v="6904200"/>
    <n v="713090"/>
    <s v="Benefits-Allocated Amounts"/>
    <s v="FMG-Pt Access Admin"/>
    <x v="0"/>
    <m/>
    <n v="65161.3"/>
    <n v="57588.56"/>
    <n v="56171.64"/>
    <n v="55248.639999999999"/>
    <n v="52174.07"/>
    <n v="51690.3"/>
    <n v="63046.35"/>
    <n v="58896.73"/>
    <n v="55433.13"/>
    <n v="55142.58"/>
    <n v="56863.01"/>
    <n v="54970.47"/>
    <n v="682386.77999999991"/>
    <n v="1892.5400000000009"/>
  </r>
  <r>
    <x v="6"/>
    <x v="1"/>
    <x v="0"/>
    <s v="6904200"/>
    <n v="713096"/>
    <s v="Employee Recognition"/>
    <s v="FMG-Pt Access Admin"/>
    <x v="0"/>
    <n v="1017"/>
    <n v="0"/>
    <n v="18.600000000000001"/>
    <n v="0"/>
    <n v="246.61"/>
    <n v="0"/>
    <n v="101.04"/>
    <n v="222.56"/>
    <n v="0"/>
    <n v="165.63"/>
    <n v="0"/>
    <n v="173.35"/>
    <n v="0"/>
    <n v="927.79000000000008"/>
    <n v="173.35"/>
  </r>
  <r>
    <x v="7"/>
    <x v="1"/>
    <x v="0"/>
    <s v="6904200"/>
    <n v="718010"/>
    <s v="Media/Print Advertising"/>
    <s v="FMG-Pt Access Admin"/>
    <x v="0"/>
    <n v="1004"/>
    <n v="97.68"/>
    <n v="0"/>
    <n v="2181"/>
    <n v="-12.41"/>
    <n v="3933.82"/>
    <n v="1776.48"/>
    <n v="0"/>
    <n v="3760.92"/>
    <n v="0"/>
    <n v="2252.9699999999998"/>
    <n v="2242.5700000000002"/>
    <n v="0"/>
    <n v="16233.029999999999"/>
    <n v="2242.5700000000002"/>
  </r>
  <r>
    <x v="7"/>
    <x v="1"/>
    <x v="0"/>
    <s v="6904200"/>
    <n v="718050"/>
    <s v="Contract Svcs-Other"/>
    <s v="FMG-Pt Access Admin"/>
    <x v="0"/>
    <m/>
    <n v="20423.11"/>
    <n v="76507.33"/>
    <n v="-19920"/>
    <n v="44599.519999999997"/>
    <n v="44599.519999999997"/>
    <n v="167344.07999999999"/>
    <n v="-59023.040000000001"/>
    <n v="-7878.46"/>
    <n v="32016.18"/>
    <n v="13302.28"/>
    <n v="89160.17"/>
    <n v="-3070.59"/>
    <n v="398060.09999999992"/>
    <n v="92230.76"/>
  </r>
  <r>
    <x v="7"/>
    <x v="1"/>
    <x v="0"/>
    <s v="6904200"/>
    <n v="718050"/>
    <s v="Translation Services"/>
    <s v="FMG-Pt Access Admin"/>
    <x v="0"/>
    <n v="1025"/>
    <n v="0"/>
    <n v="0"/>
    <n v="6.48"/>
    <n v="0"/>
    <n v="0"/>
    <n v="7.11"/>
    <n v="0"/>
    <n v="0"/>
    <n v="0"/>
    <n v="0"/>
    <n v="0"/>
    <n v="3.16"/>
    <n v="16.75"/>
    <n v="-3.16"/>
  </r>
  <r>
    <x v="11"/>
    <x v="1"/>
    <x v="0"/>
    <s v="6904200"/>
    <n v="721810"/>
    <s v="Supplies-Dietary/Cafeteria"/>
    <s v="FMG-Pt Access Admin"/>
    <x v="0"/>
    <m/>
    <n v="45.77"/>
    <n v="41.7"/>
    <n v="156.21"/>
    <n v="76.47"/>
    <n v="0"/>
    <n v="0"/>
    <n v="0"/>
    <n v="0"/>
    <n v="0"/>
    <n v="0"/>
    <n v="0"/>
    <n v="0"/>
    <n v="320.14999999999998"/>
    <n v="0"/>
  </r>
  <r>
    <x v="11"/>
    <x v="1"/>
    <x v="0"/>
    <s v="6904200"/>
    <n v="721830"/>
    <s v="Supplies-Office"/>
    <s v="FMG-Pt Access Admin"/>
    <x v="0"/>
    <m/>
    <n v="79.13"/>
    <n v="755.04"/>
    <n v="290.8"/>
    <n v="157.9"/>
    <n v="298"/>
    <n v="129.56"/>
    <n v="223.71"/>
    <n v="615.79999999999995"/>
    <n v="226.64"/>
    <n v="81.08"/>
    <n v="186.57"/>
    <n v="160.4"/>
    <n v="3204.63"/>
    <n v="26.169999999999987"/>
  </r>
  <r>
    <x v="11"/>
    <x v="1"/>
    <x v="0"/>
    <s v="6904200"/>
    <n v="721835"/>
    <s v="Supplies-Forms"/>
    <s v="FMG-Pt Access Admin"/>
    <x v="0"/>
    <m/>
    <n v="0"/>
    <n v="0"/>
    <n v="0"/>
    <n v="0"/>
    <n v="393.48"/>
    <n v="75"/>
    <n v="75"/>
    <n v="170"/>
    <n v="100"/>
    <n v="140"/>
    <n v="100"/>
    <n v="134"/>
    <n v="1187.48"/>
    <n v="-34"/>
  </r>
  <r>
    <x v="11"/>
    <x v="1"/>
    <x v="0"/>
    <s v="6904200"/>
    <n v="721910"/>
    <s v="Supplies-Small Equipment"/>
    <s v="FMG-Pt Access Admin"/>
    <x v="0"/>
    <m/>
    <n v="0"/>
    <n v="170.9"/>
    <n v="534.26"/>
    <n v="0"/>
    <n v="0"/>
    <n v="0"/>
    <n v="0"/>
    <n v="46.66"/>
    <n v="59.04"/>
    <n v="5.96"/>
    <n v="0"/>
    <n v="0"/>
    <n v="816.81999999999994"/>
    <n v="0"/>
  </r>
  <r>
    <x v="12"/>
    <x v="1"/>
    <x v="0"/>
    <s v="6904200"/>
    <n v="730010"/>
    <s v="Rental and Leases-Building (DO NOT USE)"/>
    <s v="FMG-Pt Access Admin"/>
    <x v="0"/>
    <m/>
    <n v="10316.709999999999"/>
    <n v="10316.709999999999"/>
    <n v="10316.709999999999"/>
    <n v="10316.709999999999"/>
    <n v="10316.709999999999"/>
    <n v="-12019.48"/>
    <n v="6629.92"/>
    <n v="6629.92"/>
    <n v="6799.93"/>
    <n v="6800.03"/>
    <n v="6800.03"/>
    <n v="0"/>
    <n v="73223.899999999994"/>
    <n v="6800.03"/>
  </r>
  <r>
    <x v="12"/>
    <x v="1"/>
    <x v="0"/>
    <s v="6904200"/>
    <n v="730010"/>
    <s v="Rental-Common Area Maint (DO NOT USE)"/>
    <s v="FMG-Pt Access Admin"/>
    <x v="0"/>
    <n v="2200"/>
    <n v="0"/>
    <n v="0"/>
    <n v="0"/>
    <n v="0"/>
    <n v="0"/>
    <n v="22378.39"/>
    <n v="6481.48"/>
    <n v="3728.99"/>
    <n v="3728.99"/>
    <n v="3729.05"/>
    <n v="3729.05"/>
    <n v="0"/>
    <n v="43775.950000000004"/>
    <n v="3729.05"/>
  </r>
  <r>
    <x v="12"/>
    <x v="1"/>
    <x v="0"/>
    <s v="6904200"/>
    <n v="730020"/>
    <s v="Rental and Leases-Copier Usage Fees (DO NOT USE)"/>
    <s v="FMG-Pt Access Admin"/>
    <x v="0"/>
    <n v="5100"/>
    <n v="601.42999999999995"/>
    <n v="602.61"/>
    <n v="602.02"/>
    <n v="602.02"/>
    <n v="602.02"/>
    <n v="602.02"/>
    <n v="2427.7399999999998"/>
    <n v="418.34"/>
    <n v="417.46"/>
    <n v="1484.35"/>
    <n v="418.34"/>
    <n v="464.94"/>
    <n v="9243.2900000000009"/>
    <n v="-46.600000000000023"/>
  </r>
  <r>
    <x v="12"/>
    <x v="1"/>
    <x v="0"/>
    <s v="6904200"/>
    <n v="730040"/>
    <s v="LT Lease-Real Estate"/>
    <s v="FMG-Pt Access Admin"/>
    <x v="0"/>
    <m/>
    <n v="0"/>
    <n v="0"/>
    <n v="0"/>
    <n v="0"/>
    <n v="0"/>
    <n v="0"/>
    <n v="0"/>
    <n v="0"/>
    <n v="0"/>
    <n v="0"/>
    <n v="0"/>
    <n v="10529.08"/>
    <n v="10529.08"/>
    <n v="-10529.08"/>
  </r>
  <r>
    <x v="16"/>
    <x v="1"/>
    <x v="0"/>
    <s v="6904200"/>
    <n v="732030"/>
    <s v="Repairs&amp;Maintenance-Bldg Routine"/>
    <s v="FMG-Pt Access Admin"/>
    <x v="0"/>
    <n v="2300"/>
    <n v="3.3"/>
    <n v="0"/>
    <n v="0"/>
    <n v="0"/>
    <n v="2.96"/>
    <n v="70.260000000000005"/>
    <n v="0"/>
    <n v="0"/>
    <n v="0"/>
    <n v="0"/>
    <n v="0"/>
    <n v="0"/>
    <n v="76.52000000000001"/>
    <n v="0"/>
  </r>
  <r>
    <x v="13"/>
    <x v="1"/>
    <x v="0"/>
    <s v="6904200"/>
    <n v="735070"/>
    <s v="Depreciation-Movable Equipment"/>
    <s v="FMG-Pt Access Admin"/>
    <x v="0"/>
    <m/>
    <n v="0"/>
    <n v="108.31"/>
    <n v="124.43"/>
    <n v="124.43"/>
    <n v="124.43"/>
    <n v="124.43"/>
    <n v="124.43"/>
    <n v="124.43"/>
    <n v="124.43"/>
    <n v="124.43"/>
    <n v="124.44"/>
    <n v="124.43"/>
    <n v="1352.6200000000003"/>
    <n v="9.9999999999909051E-3"/>
  </r>
  <r>
    <x v="0"/>
    <x v="1"/>
    <x v="0"/>
    <s v="6904200"/>
    <n v="740020"/>
    <s v="Education-Registration Fees"/>
    <s v="FMG-Pt Access Admin"/>
    <x v="0"/>
    <m/>
    <n v="0"/>
    <n v="0"/>
    <n v="0"/>
    <n v="0"/>
    <n v="0"/>
    <n v="0"/>
    <n v="0"/>
    <n v="0"/>
    <n v="395"/>
    <n v="0"/>
    <n v="0"/>
    <n v="0"/>
    <n v="395"/>
    <n v="0"/>
  </r>
  <r>
    <x v="0"/>
    <x v="1"/>
    <x v="0"/>
    <s v="6904200"/>
    <n v="742010"/>
    <s v="Postage-Regular"/>
    <s v="FMG-Pt Access Admin"/>
    <x v="0"/>
    <m/>
    <n v="0"/>
    <n v="0"/>
    <n v="2606.2199999999998"/>
    <n v="0"/>
    <n v="5116.1000000000004"/>
    <n v="2309.9"/>
    <n v="0"/>
    <n v="4745.3500000000004"/>
    <n v="0"/>
    <n v="2883.67"/>
    <n v="2902.07"/>
    <n v="0"/>
    <n v="20563.309999999998"/>
    <n v="2902.07"/>
  </r>
  <r>
    <x v="0"/>
    <x v="1"/>
    <x v="0"/>
    <s v="6904200"/>
    <n v="742040"/>
    <s v="Freight-Other"/>
    <s v="FMG-Pt Access Admin"/>
    <x v="0"/>
    <m/>
    <n v="0"/>
    <n v="0"/>
    <n v="0"/>
    <n v="12.41"/>
    <n v="0"/>
    <n v="0"/>
    <n v="0"/>
    <n v="0"/>
    <n v="0"/>
    <n v="0"/>
    <n v="0"/>
    <n v="0"/>
    <n v="12.41"/>
    <n v="0"/>
  </r>
  <r>
    <x v="0"/>
    <x v="1"/>
    <x v="0"/>
    <s v="6904200"/>
    <n v="743030"/>
    <s v="Subscriptions--Institutional"/>
    <s v="FMG-Pt Access Admin"/>
    <x v="0"/>
    <m/>
    <n v="0"/>
    <n v="0"/>
    <n v="0"/>
    <n v="374.34"/>
    <n v="0"/>
    <n v="130"/>
    <n v="1893"/>
    <n v="0"/>
    <n v="0"/>
    <n v="0"/>
    <n v="0"/>
    <n v="0"/>
    <n v="2397.34"/>
    <n v="0"/>
  </r>
  <r>
    <x v="0"/>
    <x v="1"/>
    <x v="0"/>
    <s v="6904200"/>
    <n v="749510"/>
    <s v="Miscellaneous Expenses"/>
    <s v="FMG-Pt Access Admin"/>
    <x v="0"/>
    <m/>
    <n v="-37.6"/>
    <n v="657.33"/>
    <n v="-744.37"/>
    <n v="-104.11"/>
    <n v="367.64"/>
    <n v="-117.3"/>
    <n v="18.71"/>
    <n v="76.42"/>
    <n v="-147.41"/>
    <n v="-36"/>
    <n v="132.61000000000001"/>
    <n v="-26.91"/>
    <n v="39.010000000000019"/>
    <n v="159.52000000000001"/>
  </r>
  <r>
    <x v="0"/>
    <x v="1"/>
    <x v="0"/>
    <s v="6904200"/>
    <n v="749510"/>
    <s v="RICE Rewards"/>
    <s v="FMG-Pt Access Admin"/>
    <x v="0"/>
    <n v="5100"/>
    <n v="0"/>
    <n v="0"/>
    <n v="0"/>
    <n v="0"/>
    <n v="0"/>
    <n v="0"/>
    <n v="0"/>
    <n v="0"/>
    <n v="0"/>
    <n v="117.4"/>
    <n v="0"/>
    <n v="0"/>
    <n v="117.4"/>
    <n v="0"/>
  </r>
  <r>
    <x v="0"/>
    <x v="1"/>
    <x v="0"/>
    <s v="6904200"/>
    <n v="749530"/>
    <s v="Travel"/>
    <s v="FMG-Pt Access Admin"/>
    <x v="0"/>
    <m/>
    <n v="21"/>
    <n v="0"/>
    <n v="24"/>
    <n v="261.60000000000002"/>
    <n v="18"/>
    <n v="18"/>
    <n v="128.47"/>
    <n v="6"/>
    <n v="30"/>
    <n v="252.6"/>
    <n v="12"/>
    <n v="312.60000000000002"/>
    <n v="1084.27"/>
    <n v="-300.60000000000002"/>
  </r>
  <r>
    <x v="0"/>
    <x v="1"/>
    <x v="0"/>
    <s v="6904200"/>
    <n v="749530"/>
    <s v="Mileage"/>
    <s v="FMG-Pt Access Admin"/>
    <x v="0"/>
    <n v="1001"/>
    <n v="578.80999999999995"/>
    <n v="74.680000000000007"/>
    <n v="997.45"/>
    <n v="232.74"/>
    <n v="419.7"/>
    <n v="1047.02"/>
    <n v="710.76"/>
    <n v="56.84"/>
    <n v="95.12"/>
    <n v="496.35"/>
    <n v="157.18"/>
    <n v="1777.12"/>
    <n v="6643.77"/>
    <n v="-1619.9399999999998"/>
  </r>
  <r>
    <x v="0"/>
    <x v="1"/>
    <x v="0"/>
    <s v="6904200"/>
    <n v="749535"/>
    <s v="Meetings"/>
    <s v="FMG-Pt Access Admin"/>
    <x v="0"/>
    <m/>
    <n v="0"/>
    <n v="0"/>
    <n v="0"/>
    <n v="0"/>
    <n v="0"/>
    <n v="0"/>
    <n v="0"/>
    <n v="156.53"/>
    <n v="57.08"/>
    <n v="60"/>
    <n v="0"/>
    <n v="0"/>
    <n v="273.61"/>
    <n v="0"/>
  </r>
  <r>
    <x v="21"/>
    <x v="9"/>
    <x v="0"/>
    <s v="6904501"/>
    <n v="716046"/>
    <s v="Consulting-Other"/>
    <s v="Consumer Access"/>
    <x v="0"/>
    <m/>
    <n v="0"/>
    <n v="2775"/>
    <n v="12075"/>
    <n v="0"/>
    <n v="0"/>
    <n v="150000"/>
    <n v="0"/>
    <n v="0"/>
    <n v="0"/>
    <n v="0"/>
    <n v="0"/>
    <n v="0"/>
    <n v="164850"/>
    <n v="0"/>
  </r>
  <r>
    <x v="0"/>
    <x v="9"/>
    <x v="0"/>
    <s v="6904501"/>
    <n v="749530"/>
    <s v="Travel"/>
    <s v="Consumer Access"/>
    <x v="0"/>
    <m/>
    <n v="0"/>
    <n v="0"/>
    <n v="0"/>
    <n v="0"/>
    <n v="10"/>
    <n v="0"/>
    <n v="0"/>
    <n v="0"/>
    <n v="0"/>
    <n v="0"/>
    <n v="0"/>
    <n v="0"/>
    <n v="10"/>
    <n v="0"/>
  </r>
  <r>
    <x v="5"/>
    <x v="9"/>
    <x v="0"/>
    <s v="6908501"/>
    <n v="700054"/>
    <s v="Salaries-Management-NonProd-Other"/>
    <s v="MHA Interns &amp; Fellows"/>
    <x v="0"/>
    <n v="2000"/>
    <n v="0"/>
    <n v="0"/>
    <n v="0"/>
    <n v="0"/>
    <n v="0"/>
    <n v="634.9"/>
    <n v="-634.9"/>
    <n v="0"/>
    <n v="0"/>
    <n v="0"/>
    <n v="0"/>
    <n v="0"/>
    <n v="0"/>
    <n v="0"/>
  </r>
  <r>
    <x v="6"/>
    <x v="9"/>
    <x v="0"/>
    <s v="6908501"/>
    <n v="713010"/>
    <s v="Benefits-FICA/Medicare"/>
    <s v="MHA Interns &amp; Fellows"/>
    <x v="0"/>
    <m/>
    <n v="0"/>
    <n v="0"/>
    <n v="0"/>
    <n v="0"/>
    <n v="0"/>
    <n v="48.57"/>
    <n v="48.57"/>
    <n v="0"/>
    <n v="0"/>
    <n v="0"/>
    <n v="0"/>
    <n v="0"/>
    <n v="97.14"/>
    <n v="0"/>
  </r>
  <r>
    <x v="6"/>
    <x v="9"/>
    <x v="0"/>
    <s v="6908501"/>
    <n v="713090"/>
    <s v="Benefits-Allocated Amounts"/>
    <s v="MHA Interns &amp; Fellows"/>
    <x v="0"/>
    <m/>
    <n v="0"/>
    <n v="0"/>
    <n v="0"/>
    <n v="0"/>
    <n v="0"/>
    <n v="27.3"/>
    <n v="5.25"/>
    <n v="-32.549999999999997"/>
    <n v="0"/>
    <n v="0"/>
    <n v="0"/>
    <n v="0"/>
    <n v="0"/>
    <n v="0"/>
  </r>
  <r>
    <x v="11"/>
    <x v="6"/>
    <x v="0"/>
    <s v="6910107"/>
    <n v="721810"/>
    <s v="Supplies-Dietary/Cafeteria"/>
    <s v="Governing Board"/>
    <x v="0"/>
    <m/>
    <n v="724.29"/>
    <n v="66.069999999999993"/>
    <n v="66.069999999999993"/>
    <n v="784.84"/>
    <n v="66.069999999999993"/>
    <n v="0"/>
    <n v="711.75"/>
    <n v="0"/>
    <n v="0"/>
    <n v="25.05"/>
    <n v="4849.04"/>
    <n v="0"/>
    <n v="7293.18"/>
    <n v="4849.04"/>
  </r>
  <r>
    <x v="12"/>
    <x v="6"/>
    <x v="0"/>
    <s v="6910107"/>
    <n v="730020"/>
    <s v="Rental and Leases-Copier Usage Fees (DO NOT USE)"/>
    <s v="Governing Board"/>
    <x v="0"/>
    <n v="5100"/>
    <n v="44.65"/>
    <n v="44.76"/>
    <n v="44.71"/>
    <n v="44.71"/>
    <n v="44.71"/>
    <n v="44.7"/>
    <n v="38.75"/>
    <n v="38.85"/>
    <n v="38.770000000000003"/>
    <n v="38.93"/>
    <n v="38.85"/>
    <n v="43.8"/>
    <n v="506.19000000000005"/>
    <n v="-4.9499999999999957"/>
  </r>
  <r>
    <x v="13"/>
    <x v="6"/>
    <x v="0"/>
    <s v="6910107"/>
    <n v="735070"/>
    <s v="Depreciation-Movable Equipment"/>
    <s v="Governing Board"/>
    <x v="0"/>
    <m/>
    <n v="460.91"/>
    <n v="460.91"/>
    <n v="282.07"/>
    <n v="0"/>
    <n v="0"/>
    <n v="0"/>
    <n v="0"/>
    <n v="0"/>
    <n v="0"/>
    <n v="0"/>
    <n v="0"/>
    <n v="0"/>
    <n v="1203.8900000000001"/>
    <n v="0"/>
  </r>
  <r>
    <x v="0"/>
    <x v="6"/>
    <x v="0"/>
    <s v="6910107"/>
    <n v="740020"/>
    <s v="Education-Registration Fees"/>
    <s v="Governing Board"/>
    <x v="0"/>
    <m/>
    <n v="0"/>
    <n v="0"/>
    <n v="0"/>
    <n v="0"/>
    <n v="1797"/>
    <n v="0"/>
    <n v="0"/>
    <n v="0"/>
    <n v="0"/>
    <n v="0"/>
    <n v="0"/>
    <n v="0"/>
    <n v="1797"/>
    <n v="0"/>
  </r>
  <r>
    <x v="0"/>
    <x v="6"/>
    <x v="0"/>
    <s v="6910107"/>
    <n v="740020"/>
    <s v="Prof Development--Board Members"/>
    <s v="Governing Board"/>
    <x v="0"/>
    <n v="9010"/>
    <n v="0"/>
    <n v="0"/>
    <n v="0"/>
    <n v="0"/>
    <n v="266.72000000000003"/>
    <n v="0"/>
    <n v="0"/>
    <n v="0"/>
    <n v="0"/>
    <n v="0"/>
    <n v="0"/>
    <n v="0"/>
    <n v="266.72000000000003"/>
    <n v="0"/>
  </r>
  <r>
    <x v="0"/>
    <x v="6"/>
    <x v="0"/>
    <s v="6910107"/>
    <n v="749510"/>
    <s v="Miscellaneous Expenses"/>
    <s v="Governing Board"/>
    <x v="0"/>
    <m/>
    <n v="0"/>
    <n v="0"/>
    <n v="0"/>
    <n v="0"/>
    <n v="0"/>
    <n v="0"/>
    <n v="0"/>
    <n v="0"/>
    <n v="0"/>
    <n v="675"/>
    <n v="0"/>
    <n v="1537.68"/>
    <n v="2212.6800000000003"/>
    <n v="-1537.68"/>
  </r>
  <r>
    <x v="0"/>
    <x v="6"/>
    <x v="0"/>
    <s v="6910107"/>
    <n v="749530"/>
    <s v="Travel"/>
    <s v="Governing Board"/>
    <x v="0"/>
    <m/>
    <n v="0"/>
    <n v="0"/>
    <n v="0"/>
    <n v="0"/>
    <n v="38.5"/>
    <n v="310.72000000000003"/>
    <n v="0"/>
    <n v="0"/>
    <n v="0"/>
    <n v="90"/>
    <n v="57"/>
    <n v="40"/>
    <n v="536.22"/>
    <n v="17"/>
  </r>
  <r>
    <x v="0"/>
    <x v="6"/>
    <x v="0"/>
    <s v="6910107"/>
    <n v="749530"/>
    <s v="Mileage"/>
    <s v="Governing Board"/>
    <x v="0"/>
    <n v="1001"/>
    <n v="0"/>
    <n v="0"/>
    <n v="0"/>
    <n v="0"/>
    <n v="289.94"/>
    <n v="125.35"/>
    <n v="0"/>
    <n v="0"/>
    <n v="0"/>
    <n v="683.57"/>
    <n v="238.96"/>
    <n v="187.92"/>
    <n v="1525.7400000000002"/>
    <n v="51.04000000000002"/>
  </r>
  <r>
    <x v="14"/>
    <x v="5"/>
    <x v="0"/>
    <s v="6915106"/>
    <n v="600050"/>
    <s v="Miscellaneous Revenue"/>
    <s v="Medical Staff Administration"/>
    <x v="0"/>
    <m/>
    <n v="-3850"/>
    <n v="-3300"/>
    <n v="-3000"/>
    <n v="-1800"/>
    <n v="-1000"/>
    <n v="-5800"/>
    <n v="-1000"/>
    <n v="-1050"/>
    <n v="-1000"/>
    <n v="-2550"/>
    <n v="-2550"/>
    <n v="-1050"/>
    <n v="-27950"/>
    <n v="-1500"/>
  </r>
  <r>
    <x v="5"/>
    <x v="5"/>
    <x v="0"/>
    <s v="6915106"/>
    <n v="700034"/>
    <s v="Salaries-Tech/Professional-Productive"/>
    <s v="Medical Staff Administration"/>
    <x v="0"/>
    <m/>
    <n v="3574.19"/>
    <n v="5162.79"/>
    <n v="4060.88"/>
    <n v="5114.8"/>
    <n v="4478.74"/>
    <n v="3630.26"/>
    <n v="4612.2299999999996"/>
    <n v="4474.12"/>
    <n v="5082.3"/>
    <n v="4917.4799999999996"/>
    <n v="-493.72"/>
    <n v="0"/>
    <n v="44614.070000000007"/>
    <n v="-493.72"/>
  </r>
  <r>
    <x v="5"/>
    <x v="5"/>
    <x v="0"/>
    <s v="6915106"/>
    <n v="700034"/>
    <s v="Salaries-Tech/Professional-OT"/>
    <s v="Medical Staff Administration"/>
    <x v="0"/>
    <n v="1000"/>
    <n v="463.15"/>
    <n v="230.86"/>
    <n v="317.22000000000003"/>
    <n v="475.06"/>
    <n v="608.77"/>
    <n v="-166.42"/>
    <n v="257"/>
    <n v="98.79"/>
    <n v="382.03"/>
    <n v="492.36"/>
    <n v="481.62"/>
    <n v="0"/>
    <n v="3640.44"/>
    <n v="481.62"/>
  </r>
  <r>
    <x v="5"/>
    <x v="5"/>
    <x v="0"/>
    <s v="6915106"/>
    <n v="700074"/>
    <s v="Salaries-Tech/Professional-Non-productive"/>
    <s v="Medical Staff Administration"/>
    <x v="0"/>
    <m/>
    <n v="1350.19"/>
    <n v="-238.19"/>
    <n v="704.92"/>
    <n v="-51.62"/>
    <n v="453.13"/>
    <n v="1466.17"/>
    <n v="492.16"/>
    <n v="135.86000000000001"/>
    <n v="0"/>
    <n v="0"/>
    <n v="0"/>
    <n v="0"/>
    <n v="4312.62"/>
    <n v="0"/>
  </r>
  <r>
    <x v="5"/>
    <x v="5"/>
    <x v="0"/>
    <s v="6915106"/>
    <n v="700074"/>
    <s v="Salaries-Tech/Professional-NonProd-Other"/>
    <s v="Medical Staff Administration"/>
    <x v="0"/>
    <n v="2000"/>
    <n v="0"/>
    <n v="0"/>
    <n v="0"/>
    <n v="0"/>
    <n v="421.25"/>
    <n v="0"/>
    <n v="0"/>
    <n v="-421.25"/>
    <n v="0"/>
    <n v="0"/>
    <n v="0"/>
    <n v="0"/>
    <n v="0"/>
    <n v="0"/>
  </r>
  <r>
    <x v="5"/>
    <x v="5"/>
    <x v="0"/>
    <s v="6915106"/>
    <n v="700084"/>
    <s v="Accrued PTO"/>
    <s v="Medical Staff Administration"/>
    <x v="0"/>
    <m/>
    <n v="-600.14"/>
    <n v="442.85"/>
    <n v="156.79"/>
    <n v="571.39"/>
    <n v="18.989999999999998"/>
    <n v="-630.91999999999996"/>
    <n v="-348.12"/>
    <n v="269.57"/>
    <n v="550.95000000000005"/>
    <n v="557.85"/>
    <n v="193.44"/>
    <n v="0"/>
    <n v="1182.6500000000001"/>
    <n v="193.44"/>
  </r>
  <r>
    <x v="6"/>
    <x v="5"/>
    <x v="0"/>
    <s v="6915106"/>
    <n v="713010"/>
    <s v="Benefits-FICA/Medicare"/>
    <s v="Medical Staff Administration"/>
    <x v="0"/>
    <m/>
    <n v="383.22"/>
    <n v="365.48"/>
    <n v="360.86"/>
    <n v="394.77"/>
    <n v="490.2"/>
    <n v="317.55"/>
    <n v="379.07"/>
    <n v="332.21"/>
    <n v="386.96"/>
    <n v="383.8"/>
    <n v="314.10000000000002"/>
    <n v="0"/>
    <n v="4108.22"/>
    <n v="314.10000000000002"/>
  </r>
  <r>
    <x v="6"/>
    <x v="5"/>
    <x v="0"/>
    <s v="6915106"/>
    <n v="713090"/>
    <s v="Benefits-Allocated Amounts"/>
    <s v="Medical Staff Administration"/>
    <x v="0"/>
    <m/>
    <n v="1527.72"/>
    <n v="1476.18"/>
    <n v="1439.87"/>
    <n v="1518.14"/>
    <n v="1550.41"/>
    <n v="1384.1"/>
    <n v="1503.88"/>
    <n v="1368.55"/>
    <n v="1487.33"/>
    <n v="1588.59"/>
    <n v="-86.21"/>
    <n v="62.8"/>
    <n v="14821.359999999999"/>
    <n v="-149.01"/>
  </r>
  <r>
    <x v="17"/>
    <x v="5"/>
    <x v="0"/>
    <s v="6915106"/>
    <n v="714510"/>
    <s v="Medical Director Fees"/>
    <s v="Medical Staff Administration"/>
    <x v="0"/>
    <m/>
    <n v="700"/>
    <n v="700"/>
    <n v="700"/>
    <n v="700"/>
    <n v="1000"/>
    <n v="850"/>
    <n v="700"/>
    <n v="700"/>
    <n v="0"/>
    <n v="-8500"/>
    <n v="0"/>
    <n v="150"/>
    <n v="-2300"/>
    <n v="-150"/>
  </r>
  <r>
    <x v="7"/>
    <x v="5"/>
    <x v="0"/>
    <s v="6915106"/>
    <n v="718050"/>
    <s v="Miscellaneous Purchased Svcs"/>
    <s v="Medical Staff Administration"/>
    <x v="0"/>
    <n v="1020"/>
    <n v="1493"/>
    <n v="1563.81"/>
    <n v="1031.7"/>
    <n v="658.8"/>
    <n v="577"/>
    <n v="0"/>
    <n v="687.02"/>
    <n v="320"/>
    <n v="0"/>
    <n v="1933.95"/>
    <n v="0"/>
    <n v="0"/>
    <n v="8265.2800000000007"/>
    <n v="0"/>
  </r>
  <r>
    <x v="11"/>
    <x v="5"/>
    <x v="0"/>
    <s v="6915106"/>
    <n v="721810"/>
    <s v="Supplies-Dietary/Cafeteria"/>
    <s v="Medical Staff Administration"/>
    <x v="0"/>
    <m/>
    <n v="3023.17"/>
    <n v="2849.01"/>
    <n v="3726.1"/>
    <n v="3531.79"/>
    <n v="3282.14"/>
    <n v="4643.6899999999996"/>
    <n v="3137.57"/>
    <n v="3154.12"/>
    <n v="2556.63"/>
    <n v="3388.15"/>
    <n v="3794.2"/>
    <n v="2850.7"/>
    <n v="39937.26999999999"/>
    <n v="943.5"/>
  </r>
  <r>
    <x v="11"/>
    <x v="5"/>
    <x v="0"/>
    <s v="6915106"/>
    <n v="721830"/>
    <s v="Supplies-Office"/>
    <s v="Medical Staff Administration"/>
    <x v="0"/>
    <m/>
    <n v="246.2"/>
    <n v="131.62"/>
    <n v="91.55"/>
    <n v="0"/>
    <n v="123.92"/>
    <n v="0"/>
    <n v="0"/>
    <n v="0"/>
    <n v="91.37"/>
    <n v="0"/>
    <n v="0"/>
    <n v="0"/>
    <n v="684.66"/>
    <n v="0"/>
  </r>
  <r>
    <x v="12"/>
    <x v="5"/>
    <x v="0"/>
    <s v="6915106"/>
    <n v="730020"/>
    <s v="Rental and Leases-Copier Usage Fees (DO NOT USE)"/>
    <s v="Medical Staff Administration"/>
    <x v="0"/>
    <n v="5100"/>
    <n v="541.28"/>
    <n v="554.21"/>
    <n v="547.74"/>
    <n v="547.74"/>
    <n v="547.74"/>
    <n v="547.74"/>
    <n v="-442.74"/>
    <n v="250.5"/>
    <n v="249.97"/>
    <n v="907.77"/>
    <n v="250.5"/>
    <n v="306.94"/>
    <n v="4809.3899999999994"/>
    <n v="-56.44"/>
  </r>
  <r>
    <x v="16"/>
    <x v="5"/>
    <x v="0"/>
    <s v="6915106"/>
    <n v="732030"/>
    <s v="Repairs---Other"/>
    <s v="Medical Staff Administration"/>
    <x v="0"/>
    <m/>
    <n v="0"/>
    <n v="0"/>
    <n v="0"/>
    <n v="0"/>
    <n v="0"/>
    <n v="0"/>
    <n v="0"/>
    <n v="0"/>
    <n v="0"/>
    <n v="0"/>
    <n v="0"/>
    <n v="107"/>
    <n v="107"/>
    <n v="-107"/>
  </r>
  <r>
    <x v="13"/>
    <x v="5"/>
    <x v="0"/>
    <s v="6915106"/>
    <n v="735070"/>
    <s v="Depreciation-Movable Equipment"/>
    <s v="Medical Staff Administration"/>
    <x v="0"/>
    <m/>
    <n v="19.36"/>
    <n v="19.329999999999998"/>
    <n v="19.37"/>
    <n v="19.329999999999998"/>
    <n v="19.37"/>
    <n v="19.329999999999998"/>
    <n v="19.38"/>
    <n v="19.309999999999999"/>
    <n v="19.39"/>
    <n v="19.3"/>
    <n v="19.39"/>
    <n v="19.3"/>
    <n v="232.16000000000003"/>
    <n v="8.9999999999999858E-2"/>
  </r>
  <r>
    <x v="0"/>
    <x v="5"/>
    <x v="0"/>
    <s v="6915106"/>
    <n v="749510"/>
    <s v="Miscellaneous Expenses"/>
    <s v="Medical Staff Administration"/>
    <x v="0"/>
    <m/>
    <n v="-135"/>
    <n v="-154.05000000000001"/>
    <n v="289.95"/>
    <n v="-115.9"/>
    <n v="-262.05"/>
    <n v="304.07"/>
    <n v="-155.02000000000001"/>
    <n v="137"/>
    <n v="-77"/>
    <n v="-236"/>
    <n v="0"/>
    <n v="0"/>
    <n v="-404.00000000000011"/>
    <n v="0"/>
  </r>
  <r>
    <x v="0"/>
    <x v="5"/>
    <x v="0"/>
    <s v="6915106"/>
    <n v="749510"/>
    <s v="Miscellaneous Employee Expense"/>
    <s v="Medical Staff Administration"/>
    <x v="0"/>
    <n v="1010"/>
    <n v="0"/>
    <n v="0"/>
    <n v="0"/>
    <n v="0"/>
    <n v="0"/>
    <n v="0"/>
    <n v="0"/>
    <n v="0"/>
    <n v="0"/>
    <n v="0"/>
    <n v="114"/>
    <n v="0"/>
    <n v="114"/>
    <n v="114"/>
  </r>
  <r>
    <x v="5"/>
    <x v="6"/>
    <x v="0"/>
    <s v="6915107"/>
    <n v="700014"/>
    <s v="Salaries-Management-Productive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915107"/>
    <n v="700014"/>
    <s v="Salaries-Management-Other"/>
    <s v="Medical Affairs 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915107"/>
    <n v="700018"/>
    <s v="Salaries-Supervisory-Productive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915107"/>
    <n v="700054"/>
    <s v="Salaries-Management-Non-productive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915107"/>
    <n v="700058"/>
    <s v="Salaries-Supervisory-Non-productive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6915107"/>
    <n v="700084"/>
    <s v="Accrued PTO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6915107"/>
    <n v="713010"/>
    <s v="Benefits-FICA/Medicare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17"/>
    <x v="6"/>
    <x v="0"/>
    <s v="6915107"/>
    <n v="714520"/>
    <s v="Other Contracted Professionals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7"/>
    <x v="6"/>
    <x v="0"/>
    <s v="6915107"/>
    <n v="718050"/>
    <s v="Miscellaneous Purchased Svcs"/>
    <s v="Medical Affairs Administration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6915107"/>
    <n v="721810"/>
    <s v="Supplies-Dietary/Cafeteria"/>
    <s v="Medical Affairs Administration"/>
    <x v="0"/>
    <m/>
    <n v="10744.11"/>
    <n v="-300.29000000000002"/>
    <n v="-10443.82"/>
    <n v="0"/>
    <n v="0"/>
    <n v="0"/>
    <n v="0"/>
    <n v="0"/>
    <n v="0"/>
    <n v="0"/>
    <n v="0"/>
    <n v="0"/>
    <n v="0"/>
    <n v="0"/>
  </r>
  <r>
    <x v="11"/>
    <x v="6"/>
    <x v="0"/>
    <s v="6915107"/>
    <n v="721830"/>
    <s v="Supplies-Office"/>
    <s v="Medical Affairs Administration"/>
    <x v="0"/>
    <m/>
    <n v="0"/>
    <n v="0"/>
    <n v="0"/>
    <n v="0"/>
    <n v="147"/>
    <n v="0"/>
    <n v="0"/>
    <n v="0"/>
    <n v="0"/>
    <n v="0"/>
    <n v="0"/>
    <n v="0"/>
    <n v="147"/>
    <n v="0"/>
  </r>
  <r>
    <x v="12"/>
    <x v="6"/>
    <x v="0"/>
    <s v="6915107"/>
    <n v="730020"/>
    <s v="Rental and Leases-Copier Usage Fees (DO NOT USE)"/>
    <s v="Medical Affairs Administration"/>
    <x v="0"/>
    <n v="5100"/>
    <n v="0"/>
    <n v="0"/>
    <n v="0"/>
    <n v="0"/>
    <n v="0"/>
    <n v="0"/>
    <n v="0"/>
    <n v="0"/>
    <n v="0"/>
    <n v="0"/>
    <n v="0"/>
    <n v="0"/>
    <n v="0"/>
    <n v="0"/>
  </r>
  <r>
    <x v="13"/>
    <x v="6"/>
    <x v="0"/>
    <s v="6915107"/>
    <n v="735070"/>
    <s v="Depreciation-Movable Equipment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6915107"/>
    <n v="740020"/>
    <s v="Education-Registration Fees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6915107"/>
    <n v="749510"/>
    <s v="Miscellaneous Expenses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6915107"/>
    <n v="749530"/>
    <s v="Travel"/>
    <s v="Medical Affairs 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6915107"/>
    <n v="749530"/>
    <s v="Mileage"/>
    <s v="Medical Affairs Administration"/>
    <x v="0"/>
    <n v="1001"/>
    <n v="0"/>
    <n v="0"/>
    <n v="0"/>
    <n v="0"/>
    <n v="0"/>
    <n v="0"/>
    <n v="0"/>
    <n v="0"/>
    <n v="0"/>
    <n v="0"/>
    <n v="0"/>
    <n v="0"/>
    <n v="0"/>
    <n v="0"/>
  </r>
  <r>
    <x v="17"/>
    <x v="10"/>
    <x v="0"/>
    <s v="6915306"/>
    <n v="714520"/>
    <s v="Other Contracted Professionals"/>
    <s v="Medical Staff Administration"/>
    <x v="0"/>
    <m/>
    <n v="57500"/>
    <n v="57500"/>
    <n v="57500"/>
    <n v="57500"/>
    <n v="57500"/>
    <n v="57500"/>
    <n v="57500"/>
    <n v="57500"/>
    <n v="57500"/>
    <n v="57500"/>
    <n v="57500"/>
    <n v="57500"/>
    <n v="690000"/>
    <n v="0"/>
  </r>
  <r>
    <x v="21"/>
    <x v="10"/>
    <x v="0"/>
    <s v="6915306"/>
    <n v="716046"/>
    <s v="Consulting-Other"/>
    <s v="Medical Staff Administration"/>
    <x v="0"/>
    <m/>
    <n v="0"/>
    <n v="0"/>
    <n v="0"/>
    <n v="0"/>
    <n v="0"/>
    <n v="0"/>
    <n v="0"/>
    <n v="0"/>
    <n v="588.5"/>
    <n v="0"/>
    <n v="0"/>
    <n v="0"/>
    <n v="588.5"/>
    <n v="0"/>
  </r>
  <r>
    <x v="7"/>
    <x v="10"/>
    <x v="0"/>
    <s v="6915306"/>
    <n v="718050"/>
    <s v="Miscellaneous Purchased Svcs"/>
    <s v="Medical Staff Administration"/>
    <x v="0"/>
    <n v="1020"/>
    <n v="1000"/>
    <n v="1000"/>
    <n v="1000"/>
    <n v="1000"/>
    <n v="1000"/>
    <n v="1000"/>
    <n v="1000"/>
    <n v="1050"/>
    <n v="1000"/>
    <n v="1050"/>
    <n v="1050"/>
    <n v="1050"/>
    <n v="12200"/>
    <n v="0"/>
  </r>
  <r>
    <x v="14"/>
    <x v="9"/>
    <x v="0"/>
    <s v="6915501"/>
    <n v="600050"/>
    <s v="Miscellaneous Revenue"/>
    <s v="Medical Staff Administration"/>
    <x v="0"/>
    <m/>
    <n v="-650"/>
    <n v="-9350"/>
    <n v="-2250"/>
    <n v="-5150"/>
    <n v="-11250"/>
    <n v="-8100"/>
    <n v="-3250"/>
    <n v="-5350"/>
    <n v="-4335.3500000000004"/>
    <n v="-7614.65"/>
    <n v="-5600"/>
    <n v="-10300"/>
    <n v="-73200"/>
    <n v="4700"/>
  </r>
  <r>
    <x v="5"/>
    <x v="9"/>
    <x v="0"/>
    <s v="6915501"/>
    <n v="700014"/>
    <s v="Salaries-Management-Productive"/>
    <s v="Medical Staff Administration"/>
    <x v="0"/>
    <m/>
    <n v="14832.75"/>
    <n v="5981.34"/>
    <n v="9050.27"/>
    <n v="9810.4599999999991"/>
    <n v="18229.240000000002"/>
    <n v="4508.07"/>
    <n v="7504.55"/>
    <n v="6485.3"/>
    <n v="7827.11"/>
    <n v="6410.55"/>
    <n v="7032.02"/>
    <n v="7429.63"/>
    <n v="105101.29000000001"/>
    <n v="-397.60999999999967"/>
  </r>
  <r>
    <x v="5"/>
    <x v="9"/>
    <x v="0"/>
    <s v="6915501"/>
    <n v="700014"/>
    <s v="Salaries-Management-Other"/>
    <s v="Medical Staff Administration"/>
    <x v="0"/>
    <n v="2000"/>
    <n v="442.84"/>
    <n v="157.16"/>
    <n v="0"/>
    <n v="30"/>
    <n v="0"/>
    <n v="0"/>
    <n v="0"/>
    <n v="0"/>
    <n v="0"/>
    <n v="0"/>
    <n v="0"/>
    <n v="0"/>
    <n v="630"/>
    <n v="0"/>
  </r>
  <r>
    <x v="5"/>
    <x v="9"/>
    <x v="0"/>
    <s v="6915501"/>
    <n v="700018"/>
    <s v="Salaries-Supervisory-Productive"/>
    <s v="Medical Staff Administration"/>
    <x v="0"/>
    <m/>
    <n v="7377.79"/>
    <n v="12641.56"/>
    <n v="11003.14"/>
    <n v="1622.64"/>
    <n v="6798.73"/>
    <n v="4124.38"/>
    <n v="5582.34"/>
    <n v="9560.32"/>
    <n v="10180.32"/>
    <n v="4604.7700000000004"/>
    <n v="6287.27"/>
    <n v="5619.34"/>
    <n v="85402.6"/>
    <n v="667.93000000000029"/>
  </r>
  <r>
    <x v="5"/>
    <x v="9"/>
    <x v="0"/>
    <s v="6915501"/>
    <n v="700026"/>
    <s v="Salaries-RN-Productive"/>
    <s v="Medical Staff Administration"/>
    <x v="0"/>
    <m/>
    <n v="12685.73"/>
    <n v="22826.959999999999"/>
    <n v="23677.38"/>
    <n v="19819.48"/>
    <n v="27659.3"/>
    <n v="-3208.71"/>
    <n v="0"/>
    <n v="0"/>
    <n v="0"/>
    <n v="0"/>
    <n v="0"/>
    <n v="0"/>
    <n v="103460.14"/>
    <n v="0"/>
  </r>
  <r>
    <x v="5"/>
    <x v="9"/>
    <x v="0"/>
    <s v="6915501"/>
    <n v="700034"/>
    <s v="Salaries-Tech/Professional-Productive"/>
    <s v="Medical Staff Administration"/>
    <x v="0"/>
    <m/>
    <n v="28938.94"/>
    <n v="31975.919999999998"/>
    <n v="29370.53"/>
    <n v="31165.21"/>
    <n v="29513.14"/>
    <n v="24892.65"/>
    <n v="24185.1"/>
    <n v="20241.41"/>
    <n v="29907.58"/>
    <n v="29693.65"/>
    <n v="29278.36"/>
    <n v="32726.36"/>
    <n v="341888.85"/>
    <n v="-3448"/>
  </r>
  <r>
    <x v="5"/>
    <x v="9"/>
    <x v="0"/>
    <s v="6915501"/>
    <n v="700034"/>
    <s v="Salaries-Tech/Professional-OT"/>
    <s v="Medical Staff Administration"/>
    <x v="0"/>
    <n v="1000"/>
    <n v="29.12"/>
    <n v="26.93"/>
    <n v="82.5"/>
    <n v="19.829999999999998"/>
    <n v="224.99"/>
    <n v="-107.44"/>
    <n v="11.47"/>
    <n v="10.63"/>
    <n v="152.26"/>
    <n v="108.99"/>
    <n v="-21.72"/>
    <n v="633.19000000000005"/>
    <n v="1170.75"/>
    <n v="-654.91000000000008"/>
  </r>
  <r>
    <x v="5"/>
    <x v="9"/>
    <x v="0"/>
    <s v="6915501"/>
    <n v="700034"/>
    <s v="Salaries-Tech/Professional-Other"/>
    <s v="Medical Staff Administration"/>
    <x v="0"/>
    <n v="2000"/>
    <n v="145.38"/>
    <n v="195.47"/>
    <n v="134.19999999999999"/>
    <n v="167.82"/>
    <n v="215.4"/>
    <n v="207.44"/>
    <n v="506.18"/>
    <n v="437.44"/>
    <n v="625.45000000000005"/>
    <n v="27.28"/>
    <n v="220.57"/>
    <n v="242.06"/>
    <n v="3124.6900000000005"/>
    <n v="-21.490000000000009"/>
  </r>
  <r>
    <x v="5"/>
    <x v="9"/>
    <x v="0"/>
    <s v="6915501"/>
    <n v="700038"/>
    <s v="Salaries-Service/Support-Productive"/>
    <s v="Medical Staff Administration"/>
    <x v="0"/>
    <m/>
    <n v="29422.05"/>
    <n v="27455.8"/>
    <n v="27914.93"/>
    <n v="35271.599999999999"/>
    <n v="31748.91"/>
    <n v="23204.63"/>
    <n v="30295.26"/>
    <n v="21055.07"/>
    <n v="32860.25"/>
    <n v="28380.95"/>
    <n v="28324.17"/>
    <n v="27240"/>
    <n v="343173.62"/>
    <n v="1084.1699999999983"/>
  </r>
  <r>
    <x v="5"/>
    <x v="9"/>
    <x v="0"/>
    <s v="6915501"/>
    <n v="700038"/>
    <s v="Salaries-Service/Support-OT"/>
    <s v="Medical Staff Administration"/>
    <x v="0"/>
    <n v="1000"/>
    <n v="48.83"/>
    <n v="91.37"/>
    <n v="120.23"/>
    <n v="172.21"/>
    <n v="30.9"/>
    <n v="56.72"/>
    <n v="280"/>
    <n v="-55.8"/>
    <n v="131.46"/>
    <n v="143.16999999999999"/>
    <n v="44.64"/>
    <n v="110.9"/>
    <n v="1174.6300000000001"/>
    <n v="-66.260000000000005"/>
  </r>
  <r>
    <x v="5"/>
    <x v="9"/>
    <x v="0"/>
    <s v="6915501"/>
    <n v="700038"/>
    <s v="Salaries-Service/Support-Other"/>
    <s v="Medical Staff Administration"/>
    <x v="0"/>
    <n v="2000"/>
    <n v="0"/>
    <n v="0"/>
    <n v="30"/>
    <n v="0"/>
    <n v="0"/>
    <n v="226.81"/>
    <n v="381.95"/>
    <n v="257.97000000000003"/>
    <n v="415.4"/>
    <n v="402.11"/>
    <n v="49.11"/>
    <n v="30.04"/>
    <n v="1793.39"/>
    <n v="19.07"/>
  </r>
  <r>
    <x v="5"/>
    <x v="9"/>
    <x v="0"/>
    <s v="6915501"/>
    <n v="700054"/>
    <s v="Salaries-Management-Non-productive"/>
    <s v="Medical Staff Administration"/>
    <x v="0"/>
    <m/>
    <n v="3670.86"/>
    <n v="2835.39"/>
    <n v="-458.09"/>
    <n v="8808.59"/>
    <n v="-1871.95"/>
    <n v="3480.96"/>
    <n v="199.07"/>
    <n v="472.09"/>
    <n v="-124.22"/>
    <n v="1043.6099999999999"/>
    <n v="670.86"/>
    <n v="24.88"/>
    <n v="18752.05"/>
    <n v="645.98"/>
  </r>
  <r>
    <x v="5"/>
    <x v="9"/>
    <x v="0"/>
    <s v="6915501"/>
    <n v="700054"/>
    <s v="Salaries-Management-NonProd-Other"/>
    <s v="Medical Staff Administration"/>
    <x v="0"/>
    <n v="2000"/>
    <n v="0"/>
    <n v="0"/>
    <n v="0"/>
    <n v="0"/>
    <n v="0"/>
    <n v="3278.51"/>
    <n v="-3278.51"/>
    <n v="0"/>
    <n v="0"/>
    <n v="0"/>
    <n v="0"/>
    <n v="0"/>
    <n v="0"/>
    <n v="0"/>
  </r>
  <r>
    <x v="5"/>
    <x v="9"/>
    <x v="0"/>
    <s v="6915501"/>
    <n v="700058"/>
    <s v="Salaries-Supervisory-Non-productive"/>
    <s v="Medical Staff Administration"/>
    <x v="0"/>
    <m/>
    <n v="5021.72"/>
    <n v="-241.48"/>
    <n v="997.1"/>
    <n v="3063.37"/>
    <n v="-673.75"/>
    <n v="2204.96"/>
    <n v="756.89"/>
    <n v="-102.21"/>
    <n v="0"/>
    <n v="471.52"/>
    <n v="-196.45"/>
    <n v="275.07"/>
    <n v="11576.740000000002"/>
    <n v="-471.52"/>
  </r>
  <r>
    <x v="5"/>
    <x v="9"/>
    <x v="0"/>
    <s v="6915501"/>
    <n v="700066"/>
    <s v="Salaries-RN-Non-productive"/>
    <s v="Medical Staff Administration"/>
    <x v="0"/>
    <m/>
    <n v="14003.39"/>
    <n v="3863.38"/>
    <n v="2152.31"/>
    <n v="7472.21"/>
    <n v="-1109.1400000000001"/>
    <n v="4094.64"/>
    <n v="0"/>
    <n v="0"/>
    <n v="0"/>
    <n v="0"/>
    <n v="0"/>
    <n v="0"/>
    <n v="30476.79"/>
    <n v="0"/>
  </r>
  <r>
    <x v="5"/>
    <x v="9"/>
    <x v="0"/>
    <s v="6915501"/>
    <n v="700074"/>
    <s v="Salaries-Tech/Professional-Non-productive"/>
    <s v="Medical Staff Administration"/>
    <x v="0"/>
    <m/>
    <n v="4271.33"/>
    <n v="5490.68"/>
    <n v="6856.57"/>
    <n v="3508.78"/>
    <n v="2950"/>
    <n v="8819.19"/>
    <n v="2706.26"/>
    <n v="2495.62"/>
    <n v="2013.37"/>
    <n v="1898.03"/>
    <n v="3898.38"/>
    <n v="346.97"/>
    <n v="45255.180000000008"/>
    <n v="3551.41"/>
  </r>
  <r>
    <x v="5"/>
    <x v="9"/>
    <x v="0"/>
    <s v="6915501"/>
    <n v="700074"/>
    <s v="Salaries-Tech/Professional-NonProd-Other"/>
    <s v="Medical Staff Administr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915501"/>
    <n v="700078"/>
    <s v="Salaries-Service/Support-Non-productive"/>
    <s v="Medical Staff Administration"/>
    <x v="0"/>
    <m/>
    <n v="6518.94"/>
    <n v="4276.01"/>
    <n v="6251.78"/>
    <n v="1786.32"/>
    <n v="4837.99"/>
    <n v="8577.23"/>
    <n v="3630.43"/>
    <n v="5629.98"/>
    <n v="928.07"/>
    <n v="3425.17"/>
    <n v="2431.96"/>
    <n v="5263.16"/>
    <n v="53557.039999999994"/>
    <n v="-2831.2"/>
  </r>
  <r>
    <x v="5"/>
    <x v="9"/>
    <x v="0"/>
    <s v="6915501"/>
    <n v="700078"/>
    <s v="Salaries-Service/Support-NonProd-Other"/>
    <s v="Medical Staff Administration"/>
    <x v="0"/>
    <n v="2000"/>
    <n v="0"/>
    <n v="0"/>
    <n v="0"/>
    <n v="0"/>
    <n v="688.36"/>
    <n v="0"/>
    <n v="0"/>
    <n v="-688.36"/>
    <n v="0"/>
    <n v="0"/>
    <n v="0"/>
    <n v="0"/>
    <n v="0"/>
    <n v="0"/>
  </r>
  <r>
    <x v="5"/>
    <x v="9"/>
    <x v="0"/>
    <s v="6915501"/>
    <n v="700084"/>
    <s v="Accrued PTO"/>
    <s v="Medical Staff Administration"/>
    <x v="0"/>
    <m/>
    <n v="-6717.69"/>
    <n v="-113.33"/>
    <n v="267.54000000000002"/>
    <n v="782.41"/>
    <n v="9066.2900000000009"/>
    <n v="-8581.67"/>
    <n v="1240.6300000000001"/>
    <n v="107.91"/>
    <n v="5108.8599999999997"/>
    <n v="11830.53"/>
    <n v="-4528.68"/>
    <n v="6984.59"/>
    <n v="15447.390000000001"/>
    <n v="-11513.27"/>
  </r>
  <r>
    <x v="6"/>
    <x v="9"/>
    <x v="0"/>
    <s v="6915501"/>
    <n v="713010"/>
    <s v="Benefits-FICA/Medicare"/>
    <s v="Medical Staff Administration"/>
    <x v="0"/>
    <m/>
    <n v="9502.1299999999992"/>
    <n v="11958.56"/>
    <n v="8755.51"/>
    <n v="9334.42"/>
    <n v="9066.8799999999992"/>
    <n v="9401.49"/>
    <n v="5548.1"/>
    <n v="4944.2299999999996"/>
    <n v="6338.53"/>
    <n v="6063.12"/>
    <n v="5785.24"/>
    <n v="6183.31"/>
    <n v="92881.51999999999"/>
    <n v="-398.07000000000062"/>
  </r>
  <r>
    <x v="6"/>
    <x v="9"/>
    <x v="0"/>
    <s v="6915501"/>
    <n v="713090"/>
    <s v="Benefits-Allocated Amounts"/>
    <s v="Medical Staff Administration"/>
    <x v="0"/>
    <m/>
    <n v="26609.97"/>
    <n v="23248.63"/>
    <n v="25582.7"/>
    <n v="24533.94"/>
    <n v="23402.13"/>
    <n v="20189.86"/>
    <n v="19381.38"/>
    <n v="17761.09"/>
    <n v="22516.94"/>
    <n v="20699.02"/>
    <n v="19699.349999999999"/>
    <n v="21251.91"/>
    <n v="264876.92"/>
    <n v="-1552.5600000000013"/>
  </r>
  <r>
    <x v="6"/>
    <x v="9"/>
    <x v="0"/>
    <s v="6915501"/>
    <n v="713096"/>
    <s v="Benefits-Other"/>
    <s v="Medical Staff Administration"/>
    <x v="0"/>
    <m/>
    <n v="0"/>
    <n v="0"/>
    <n v="0"/>
    <n v="0"/>
    <n v="0"/>
    <n v="0"/>
    <n v="0"/>
    <n v="0"/>
    <n v="5896.88"/>
    <n v="0"/>
    <n v="0"/>
    <n v="0"/>
    <n v="5896.88"/>
    <n v="0"/>
  </r>
  <r>
    <x v="6"/>
    <x v="9"/>
    <x v="0"/>
    <s v="6915501"/>
    <n v="713096"/>
    <s v="Employee Recognition"/>
    <s v="Medical Staff Administration"/>
    <x v="0"/>
    <n v="1017"/>
    <n v="0"/>
    <n v="0"/>
    <n v="0"/>
    <n v="0"/>
    <n v="0"/>
    <n v="0"/>
    <n v="0"/>
    <n v="59.72"/>
    <n v="0"/>
    <n v="0"/>
    <n v="40"/>
    <n v="0"/>
    <n v="99.72"/>
    <n v="40"/>
  </r>
  <r>
    <x v="17"/>
    <x v="9"/>
    <x v="0"/>
    <s v="6915501"/>
    <n v="714520"/>
    <s v="Other Contracted Professionals"/>
    <s v="Medical Staff Administration"/>
    <x v="0"/>
    <m/>
    <n v="0"/>
    <n v="10163.17"/>
    <n v="0"/>
    <n v="5292"/>
    <n v="550"/>
    <n v="550"/>
    <n v="8350"/>
    <n v="550"/>
    <n v="2750"/>
    <n v="9900"/>
    <n v="6050"/>
    <n v="9342"/>
    <n v="53497.17"/>
    <n v="-3292"/>
  </r>
  <r>
    <x v="7"/>
    <x v="9"/>
    <x v="0"/>
    <s v="6915501"/>
    <n v="718050"/>
    <s v="Contract Svcs-Other"/>
    <s v="Medical Staff Administration"/>
    <x v="0"/>
    <m/>
    <n v="0"/>
    <n v="0"/>
    <n v="6875"/>
    <n v="0"/>
    <n v="0"/>
    <n v="0"/>
    <n v="154.51"/>
    <n v="0"/>
    <n v="0"/>
    <n v="275.25"/>
    <n v="9097.32"/>
    <n v="0"/>
    <n v="16402.080000000002"/>
    <n v="9097.32"/>
  </r>
  <r>
    <x v="7"/>
    <x v="9"/>
    <x v="0"/>
    <s v="6915501"/>
    <n v="718050"/>
    <s v="Document Shredding/Storage"/>
    <s v="Medical Staff Administration"/>
    <x v="0"/>
    <n v="1012"/>
    <n v="315.79000000000002"/>
    <n v="140.96"/>
    <n v="216.97"/>
    <n v="231.12"/>
    <n v="354.18"/>
    <n v="314.5"/>
    <n v="311.35000000000002"/>
    <n v="-166.23"/>
    <n v="152.29"/>
    <n v="625.14"/>
    <n v="386.61"/>
    <n v="78.959999999999994"/>
    <n v="2961.64"/>
    <n v="307.65000000000003"/>
  </r>
  <r>
    <x v="7"/>
    <x v="9"/>
    <x v="0"/>
    <s v="6915501"/>
    <n v="718050"/>
    <s v="Miscellaneous Purchased Svcs"/>
    <s v="Medical Staff Administration"/>
    <x v="0"/>
    <n v="1020"/>
    <n v="3438.44"/>
    <n v="0"/>
    <n v="580"/>
    <n v="68.75"/>
    <n v="0"/>
    <n v="4636"/>
    <n v="0"/>
    <n v="0"/>
    <n v="0"/>
    <n v="0"/>
    <n v="16"/>
    <n v="1267"/>
    <n v="10006.19"/>
    <n v="-1251"/>
  </r>
  <r>
    <x v="11"/>
    <x v="9"/>
    <x v="0"/>
    <s v="6915501"/>
    <n v="721410"/>
    <s v="Supplies-Medical - Nonbillable"/>
    <s v="Medical Staff Administration"/>
    <x v="0"/>
    <m/>
    <n v="26.7"/>
    <n v="0"/>
    <n v="0"/>
    <n v="0"/>
    <n v="0"/>
    <n v="0"/>
    <n v="0"/>
    <n v="0"/>
    <n v="0"/>
    <n v="0"/>
    <n v="0"/>
    <n v="0"/>
    <n v="26.7"/>
    <n v="0"/>
  </r>
  <r>
    <x v="11"/>
    <x v="9"/>
    <x v="0"/>
    <s v="6915501"/>
    <n v="721810"/>
    <s v="Supplies-Dietary/Cafeteria"/>
    <s v="Medical Staff Administration"/>
    <x v="0"/>
    <m/>
    <n v="2317.23"/>
    <n v="11485.7"/>
    <n v="21218.49"/>
    <n v="14188.52"/>
    <n v="13206.19"/>
    <n v="10632.15"/>
    <n v="11559.15"/>
    <n v="9828.2000000000007"/>
    <n v="13422.44"/>
    <n v="11482.91"/>
    <n v="10961.97"/>
    <n v="9156.3700000000008"/>
    <n v="139459.32"/>
    <n v="1805.5999999999985"/>
  </r>
  <r>
    <x v="11"/>
    <x v="9"/>
    <x v="0"/>
    <s v="6915501"/>
    <n v="721830"/>
    <s v="Supplies-Office"/>
    <s v="Medical Staff Administration"/>
    <x v="0"/>
    <m/>
    <n v="599.07000000000005"/>
    <n v="203.46"/>
    <n v="347.69"/>
    <n v="1328.65"/>
    <n v="810.98"/>
    <n v="328.22"/>
    <n v="604.26"/>
    <n v="98.35"/>
    <n v="572.16"/>
    <n v="640.16999999999996"/>
    <n v="663.07"/>
    <n v="-53.57"/>
    <n v="6142.51"/>
    <n v="716.6400000000001"/>
  </r>
  <r>
    <x v="11"/>
    <x v="9"/>
    <x v="0"/>
    <s v="6915501"/>
    <n v="721910"/>
    <s v="Supplies-Small Equipment"/>
    <s v="Medical Staff Administration"/>
    <x v="0"/>
    <m/>
    <n v="0"/>
    <n v="0"/>
    <n v="0"/>
    <n v="0"/>
    <n v="0"/>
    <n v="0"/>
    <n v="0"/>
    <n v="1186.78"/>
    <n v="119.87"/>
    <n v="0"/>
    <n v="0"/>
    <n v="0"/>
    <n v="1306.6500000000001"/>
    <n v="0"/>
  </r>
  <r>
    <x v="11"/>
    <x v="9"/>
    <x v="0"/>
    <s v="6915501"/>
    <n v="722000"/>
    <s v="Supplies-Freight Expense"/>
    <s v="Medical Staff Administration"/>
    <x v="0"/>
    <m/>
    <n v="0"/>
    <n v="0"/>
    <n v="0"/>
    <n v="0"/>
    <n v="20.63"/>
    <n v="0"/>
    <n v="0"/>
    <n v="21.44"/>
    <n v="0"/>
    <n v="0"/>
    <n v="0"/>
    <n v="0"/>
    <n v="42.07"/>
    <n v="0"/>
  </r>
  <r>
    <x v="12"/>
    <x v="9"/>
    <x v="0"/>
    <s v="6915501"/>
    <n v="730010"/>
    <s v="Rental and Leases-Building (DO NOT USE)"/>
    <s v="Medical Staff Administration"/>
    <x v="0"/>
    <m/>
    <n v="4040.58"/>
    <n v="4040.58"/>
    <n v="4040.58"/>
    <n v="4040.58"/>
    <n v="4040.58"/>
    <n v="-7048.02"/>
    <n v="2192.48"/>
    <n v="2192.48"/>
    <n v="2192.48"/>
    <n v="2192.48"/>
    <n v="2194.31"/>
    <n v="0"/>
    <n v="24119.11"/>
    <n v="2194.31"/>
  </r>
  <r>
    <x v="12"/>
    <x v="9"/>
    <x v="0"/>
    <s v="6915501"/>
    <n v="730010"/>
    <s v="Rental-Common Area Maint (DO NOT USE)"/>
    <s v="Medical Staff Administration"/>
    <x v="0"/>
    <n v="2200"/>
    <n v="0"/>
    <n v="0"/>
    <n v="0"/>
    <n v="0"/>
    <n v="0"/>
    <n v="11050.86"/>
    <n v="1810.36"/>
    <n v="1810.36"/>
    <n v="1201.02"/>
    <n v="1810.36"/>
    <n v="1810.36"/>
    <n v="0"/>
    <n v="19493.320000000003"/>
    <n v="1810.36"/>
  </r>
  <r>
    <x v="12"/>
    <x v="9"/>
    <x v="0"/>
    <s v="6915501"/>
    <n v="730020"/>
    <s v="Rental and Leases-Equipment (DO NOT USE)"/>
    <s v="Medical Staff Administration"/>
    <x v="0"/>
    <m/>
    <n v="0"/>
    <n v="0"/>
    <n v="0"/>
    <n v="32.950000000000003"/>
    <n v="32.950000000000003"/>
    <n v="0"/>
    <n v="0"/>
    <n v="0"/>
    <n v="677.12"/>
    <n v="0"/>
    <n v="0"/>
    <n v="0"/>
    <n v="743.02"/>
    <n v="0"/>
  </r>
  <r>
    <x v="12"/>
    <x v="9"/>
    <x v="0"/>
    <s v="6915501"/>
    <n v="730020"/>
    <s v="Rental and Leases-Copier Usage Fees (DO NOT USE)"/>
    <s v="Medical Staff Administration"/>
    <x v="0"/>
    <n v="5100"/>
    <n v="1479.73"/>
    <n v="1493.57"/>
    <n v="1486.65"/>
    <n v="1486.65"/>
    <n v="1486.65"/>
    <n v="1486.65"/>
    <n v="4994.47"/>
    <n v="1312.19"/>
    <n v="1016.53"/>
    <n v="3395.79"/>
    <n v="960.98"/>
    <n v="1411.59"/>
    <n v="22011.45"/>
    <n v="-450.6099999999999"/>
  </r>
  <r>
    <x v="12"/>
    <x v="9"/>
    <x v="0"/>
    <s v="6915501"/>
    <n v="730040"/>
    <s v="LT Lease-Real Estate"/>
    <s v="Medical Staff Administration"/>
    <x v="0"/>
    <m/>
    <n v="0"/>
    <n v="0"/>
    <n v="0"/>
    <n v="0"/>
    <n v="0"/>
    <n v="0"/>
    <n v="0"/>
    <n v="0"/>
    <n v="0"/>
    <n v="0"/>
    <n v="0"/>
    <n v="4057.65"/>
    <n v="4057.65"/>
    <n v="-4057.65"/>
  </r>
  <r>
    <x v="15"/>
    <x v="9"/>
    <x v="0"/>
    <s v="6915501"/>
    <n v="731060"/>
    <s v="Telephone"/>
    <s v="Medical Staff Administration"/>
    <x v="0"/>
    <m/>
    <n v="0"/>
    <n v="0"/>
    <n v="0"/>
    <n v="0"/>
    <n v="192.5"/>
    <n v="0"/>
    <n v="39"/>
    <n v="0"/>
    <n v="0"/>
    <n v="0"/>
    <n v="0"/>
    <n v="0"/>
    <n v="231.5"/>
    <n v="0"/>
  </r>
  <r>
    <x v="16"/>
    <x v="9"/>
    <x v="0"/>
    <s v="6915501"/>
    <n v="732030"/>
    <s v="Repairs---Other"/>
    <s v="Medical Staff Administration"/>
    <x v="0"/>
    <m/>
    <n v="0"/>
    <n v="0"/>
    <n v="0"/>
    <n v="0"/>
    <n v="0"/>
    <n v="0"/>
    <n v="0"/>
    <n v="0"/>
    <n v="13.05"/>
    <n v="0"/>
    <n v="0"/>
    <n v="0"/>
    <n v="13.05"/>
    <n v="0"/>
  </r>
  <r>
    <x v="13"/>
    <x v="9"/>
    <x v="0"/>
    <s v="6915501"/>
    <n v="735070"/>
    <s v="Depreciation-Movable Equipment"/>
    <s v="Medical Staff Administration"/>
    <x v="0"/>
    <m/>
    <n v="78.58"/>
    <n v="78.58"/>
    <n v="78.58"/>
    <n v="78.56"/>
    <n v="78.58"/>
    <n v="78.56"/>
    <n v="78.58"/>
    <n v="78.56"/>
    <n v="78.58"/>
    <n v="78.56"/>
    <n v="78.58"/>
    <n v="78.56"/>
    <n v="942.86000000000013"/>
    <n v="1.9999999999996021E-2"/>
  </r>
  <r>
    <x v="0"/>
    <x v="9"/>
    <x v="0"/>
    <s v="6915501"/>
    <n v="740020"/>
    <s v="Education-Registration Fees"/>
    <s v="Medical Staff Administration"/>
    <x v="0"/>
    <m/>
    <n v="954"/>
    <n v="0"/>
    <n v="0"/>
    <n v="0"/>
    <n v="0"/>
    <n v="0"/>
    <n v="0"/>
    <n v="0"/>
    <n v="0"/>
    <n v="0"/>
    <n v="0"/>
    <n v="0"/>
    <n v="954"/>
    <n v="0"/>
  </r>
  <r>
    <x v="0"/>
    <x v="9"/>
    <x v="0"/>
    <s v="6915501"/>
    <n v="740030"/>
    <s v="Education-Travel"/>
    <s v="Medical Staff Administration"/>
    <x v="0"/>
    <m/>
    <n v="0"/>
    <n v="0"/>
    <n v="0"/>
    <n v="0"/>
    <n v="0"/>
    <n v="0"/>
    <n v="0"/>
    <n v="0"/>
    <n v="36"/>
    <n v="0"/>
    <n v="0"/>
    <n v="0"/>
    <n v="36"/>
    <n v="0"/>
  </r>
  <r>
    <x v="0"/>
    <x v="9"/>
    <x v="0"/>
    <s v="6915501"/>
    <n v="742010"/>
    <s v="Postage-Regular"/>
    <s v="Medical Staff Administration"/>
    <x v="0"/>
    <m/>
    <n v="549.4"/>
    <n v="274.7"/>
    <n v="214.4"/>
    <n v="154.1"/>
    <n v="603"/>
    <n v="127.3"/>
    <n v="348.4"/>
    <n v="317.95"/>
    <n v="-666.35"/>
    <n v="666.35"/>
    <n v="0"/>
    <n v="0"/>
    <n v="2589.2499999999995"/>
    <n v="0"/>
  </r>
  <r>
    <x v="0"/>
    <x v="9"/>
    <x v="0"/>
    <s v="6915501"/>
    <n v="742020"/>
    <s v="Postage-Express Services"/>
    <s v="Medical Staff Administration"/>
    <x v="0"/>
    <m/>
    <n v="0"/>
    <n v="0"/>
    <n v="0"/>
    <n v="0"/>
    <n v="0"/>
    <n v="0"/>
    <n v="0"/>
    <n v="34.35"/>
    <n v="779.2"/>
    <n v="271.95"/>
    <n v="411.35"/>
    <n v="2792.35"/>
    <n v="4289.2"/>
    <n v="-2381"/>
  </r>
  <r>
    <x v="0"/>
    <x v="9"/>
    <x v="0"/>
    <s v="6915501"/>
    <n v="743020"/>
    <s v="Dues--Individual"/>
    <s v="Medical Staff Administration"/>
    <x v="0"/>
    <m/>
    <n v="16082"/>
    <n v="19011"/>
    <n v="629.5"/>
    <n v="13889"/>
    <n v="175"/>
    <n v="1110"/>
    <n v="0"/>
    <n v="50"/>
    <n v="0"/>
    <n v="0"/>
    <n v="0"/>
    <n v="0"/>
    <n v="50946.5"/>
    <n v="0"/>
  </r>
  <r>
    <x v="0"/>
    <x v="9"/>
    <x v="0"/>
    <s v="6915501"/>
    <n v="743030"/>
    <s v="Subscriptions--Institutional"/>
    <s v="Medical Staff Administration"/>
    <x v="0"/>
    <m/>
    <n v="1308"/>
    <n v="0"/>
    <n v="873.6"/>
    <n v="1308"/>
    <n v="0"/>
    <n v="0"/>
    <n v="3799.49"/>
    <n v="1682"/>
    <n v="1494.95"/>
    <n v="50"/>
    <n v="0"/>
    <n v="0"/>
    <n v="10516.04"/>
    <n v="0"/>
  </r>
  <r>
    <x v="0"/>
    <x v="9"/>
    <x v="0"/>
    <s v="6915501"/>
    <n v="744010"/>
    <s v="Recruitment"/>
    <s v="Medical Staff Administration"/>
    <x v="0"/>
    <m/>
    <n v="0"/>
    <n v="0"/>
    <n v="0"/>
    <n v="0"/>
    <n v="0"/>
    <n v="0"/>
    <n v="0"/>
    <n v="6724.52"/>
    <n v="0"/>
    <n v="0"/>
    <n v="0"/>
    <n v="0"/>
    <n v="6724.52"/>
    <n v="0"/>
  </r>
  <r>
    <x v="0"/>
    <x v="9"/>
    <x v="0"/>
    <s v="6915501"/>
    <n v="749510"/>
    <s v="Miscellaneous Expenses"/>
    <s v="Medical Staff Administration"/>
    <x v="0"/>
    <m/>
    <n v="15496.82"/>
    <n v="-18295.28"/>
    <n v="14055.77"/>
    <n v="-12838.62"/>
    <n v="-2082.48"/>
    <n v="1549.3"/>
    <n v="11188.66"/>
    <n v="6536.93"/>
    <n v="2209.33"/>
    <n v="-8162.07"/>
    <n v="588.55999999999995"/>
    <n v="1478.1"/>
    <n v="11725.02"/>
    <n v="-889.54"/>
  </r>
  <r>
    <x v="0"/>
    <x v="9"/>
    <x v="0"/>
    <s v="6915501"/>
    <n v="749510"/>
    <s v="Miscellaneous Fees"/>
    <s v="Medical Staff Administration"/>
    <x v="0"/>
    <n v="1001"/>
    <n v="4497.18"/>
    <n v="3758.85"/>
    <n v="2090.6"/>
    <n v="2703.75"/>
    <n v="4197.6499999999996"/>
    <n v="1112.1500000000001"/>
    <n v="2306.6999999999998"/>
    <n v="2874.82"/>
    <n v="-4711.05"/>
    <n v="10642.57"/>
    <n v="1846.38"/>
    <n v="2452.64"/>
    <n v="33772.240000000005"/>
    <n v="-606.25999999999976"/>
  </r>
  <r>
    <x v="0"/>
    <x v="9"/>
    <x v="0"/>
    <s v="6915501"/>
    <n v="749510"/>
    <s v="Licenses"/>
    <s v="Medical Staff Administration"/>
    <x v="0"/>
    <n v="1002"/>
    <n v="0"/>
    <n v="0"/>
    <n v="0"/>
    <n v="0"/>
    <n v="0"/>
    <n v="0"/>
    <n v="175"/>
    <n v="0"/>
    <n v="0"/>
    <n v="0"/>
    <n v="0"/>
    <n v="0"/>
    <n v="175"/>
    <n v="0"/>
  </r>
  <r>
    <x v="0"/>
    <x v="9"/>
    <x v="0"/>
    <s v="6915501"/>
    <n v="749510"/>
    <s v="Physician Relations"/>
    <s v="Medical Staff Administration"/>
    <x v="0"/>
    <n v="1006"/>
    <n v="0"/>
    <n v="0"/>
    <n v="0"/>
    <n v="0"/>
    <n v="22.65"/>
    <n v="0"/>
    <n v="0"/>
    <n v="0"/>
    <n v="0"/>
    <n v="270.95"/>
    <n v="0"/>
    <n v="595.58000000000004"/>
    <n v="889.18000000000006"/>
    <n v="-595.58000000000004"/>
  </r>
  <r>
    <x v="0"/>
    <x v="9"/>
    <x v="0"/>
    <s v="6915501"/>
    <n v="749510"/>
    <s v="Miscellaneous Expense"/>
    <s v="Medical Staff Administration"/>
    <x v="0"/>
    <n v="1009"/>
    <n v="0"/>
    <n v="0"/>
    <n v="0"/>
    <n v="0"/>
    <n v="0"/>
    <n v="0"/>
    <n v="230.04"/>
    <n v="2948.26"/>
    <n v="0"/>
    <n v="9453.3700000000008"/>
    <n v="81.819999999999993"/>
    <n v="0"/>
    <n v="12713.490000000002"/>
    <n v="81.819999999999993"/>
  </r>
  <r>
    <x v="0"/>
    <x v="9"/>
    <x v="0"/>
    <s v="6915501"/>
    <n v="749510"/>
    <s v="Miscellaneous Employee Expense"/>
    <s v="Medical Staff Administration"/>
    <x v="0"/>
    <n v="1010"/>
    <n v="0"/>
    <n v="0"/>
    <n v="0"/>
    <n v="0"/>
    <n v="0"/>
    <n v="0"/>
    <n v="0"/>
    <n v="169.36"/>
    <n v="0"/>
    <n v="0"/>
    <n v="0"/>
    <n v="0"/>
    <n v="169.36"/>
    <n v="0"/>
  </r>
  <r>
    <x v="0"/>
    <x v="9"/>
    <x v="0"/>
    <s v="6915501"/>
    <n v="749512"/>
    <s v="Licenses-Physician"/>
    <s v="Medical Staff Administration"/>
    <x v="0"/>
    <n v="2000"/>
    <n v="0"/>
    <n v="0"/>
    <n v="0"/>
    <n v="0"/>
    <n v="0"/>
    <n v="0"/>
    <n v="0"/>
    <n v="0"/>
    <n v="0"/>
    <n v="100"/>
    <n v="0"/>
    <n v="0"/>
    <n v="100"/>
    <n v="0"/>
  </r>
  <r>
    <x v="0"/>
    <x v="9"/>
    <x v="0"/>
    <s v="6915501"/>
    <n v="749530"/>
    <s v="Travel"/>
    <s v="Medical Staff Administration"/>
    <x v="0"/>
    <m/>
    <n v="15"/>
    <n v="25"/>
    <n v="50"/>
    <n v="334.1"/>
    <n v="1484.95"/>
    <n v="16"/>
    <n v="51.35"/>
    <n v="40.35"/>
    <n v="11"/>
    <n v="5"/>
    <n v="81"/>
    <n v="288.22000000000003"/>
    <n v="2401.9700000000003"/>
    <n v="-207.22000000000003"/>
  </r>
  <r>
    <x v="0"/>
    <x v="9"/>
    <x v="0"/>
    <s v="6915501"/>
    <n v="749530"/>
    <s v="Mileage"/>
    <s v="Medical Staff Administration"/>
    <x v="0"/>
    <n v="1001"/>
    <n v="162.43"/>
    <n v="217.48"/>
    <n v="376.08"/>
    <n v="352.67"/>
    <n v="558.69000000000005"/>
    <n v="100.3"/>
    <n v="529.79999999999995"/>
    <n v="347.98"/>
    <n v="203"/>
    <n v="40.020000000000003"/>
    <n v="803.88"/>
    <n v="335.82"/>
    <n v="4028.15"/>
    <n v="468.06"/>
  </r>
  <r>
    <x v="0"/>
    <x v="9"/>
    <x v="0"/>
    <s v="6915501"/>
    <n v="749535"/>
    <s v="Meetings"/>
    <s v="Medical Staff Administration"/>
    <x v="0"/>
    <m/>
    <n v="0"/>
    <n v="0"/>
    <n v="0"/>
    <n v="0"/>
    <n v="0"/>
    <n v="0"/>
    <n v="0"/>
    <n v="0"/>
    <n v="40.61"/>
    <n v="263.92"/>
    <n v="0"/>
    <n v="0"/>
    <n v="304.53000000000003"/>
    <n v="0"/>
  </r>
  <r>
    <x v="5"/>
    <x v="9"/>
    <x v="0"/>
    <s v="6916501"/>
    <n v="700014"/>
    <s v="Salaries-Management-Productive"/>
    <s v="Medical Staff Development"/>
    <x v="0"/>
    <m/>
    <n v="82898.77"/>
    <n v="120755.79"/>
    <n v="121865.35"/>
    <n v="136829.57"/>
    <n v="148714.95000000001"/>
    <n v="92972.77"/>
    <n v="131362.79999999999"/>
    <n v="156197.91"/>
    <n v="143208.29"/>
    <n v="148164.57999999999"/>
    <n v="149512.34"/>
    <n v="116827.01"/>
    <n v="1549310.1300000001"/>
    <n v="32685.33"/>
  </r>
  <r>
    <x v="5"/>
    <x v="9"/>
    <x v="0"/>
    <s v="6916501"/>
    <n v="700038"/>
    <s v="Salaries-Service/Support-Productive"/>
    <s v="Medical Staff Development"/>
    <x v="0"/>
    <m/>
    <n v="12744.04"/>
    <n v="13614.01"/>
    <n v="16399.46"/>
    <n v="17601.400000000001"/>
    <n v="17178.79"/>
    <n v="11327.32"/>
    <n v="16637"/>
    <n v="20056.57"/>
    <n v="22459.74"/>
    <n v="19358.86"/>
    <n v="20762.47"/>
    <n v="19352.400000000001"/>
    <n v="207492.06"/>
    <n v="1410.0699999999997"/>
  </r>
  <r>
    <x v="5"/>
    <x v="9"/>
    <x v="0"/>
    <s v="6916501"/>
    <n v="700038"/>
    <s v="Salaries-Service/Support-OT"/>
    <s v="Medical Staff Development"/>
    <x v="0"/>
    <n v="1000"/>
    <n v="526.80999999999995"/>
    <n v="254.27"/>
    <n v="392.47"/>
    <n v="-3.87"/>
    <n v="739.09"/>
    <n v="-74.989999999999995"/>
    <n v="684.59"/>
    <n v="91.4"/>
    <n v="137.61000000000001"/>
    <n v="348.45"/>
    <n v="-39.619999999999997"/>
    <n v="113.58"/>
    <n v="3169.79"/>
    <n v="-153.19999999999999"/>
  </r>
  <r>
    <x v="5"/>
    <x v="9"/>
    <x v="0"/>
    <s v="6916501"/>
    <n v="700038"/>
    <s v="Salaries-Service/Support-Other"/>
    <s v="Medical Staff Development"/>
    <x v="0"/>
    <n v="2000"/>
    <n v="0"/>
    <n v="0"/>
    <n v="0"/>
    <n v="0"/>
    <n v="0"/>
    <n v="0"/>
    <n v="0"/>
    <n v="30"/>
    <n v="0"/>
    <n v="0"/>
    <n v="0"/>
    <n v="0"/>
    <n v="30"/>
    <n v="0"/>
  </r>
  <r>
    <x v="5"/>
    <x v="9"/>
    <x v="0"/>
    <s v="6916501"/>
    <n v="700054"/>
    <s v="Salaries-Management-Non-productive"/>
    <s v="Medical Staff Development"/>
    <x v="0"/>
    <m/>
    <n v="32206.41"/>
    <n v="9079.17"/>
    <n v="18247.98"/>
    <n v="6811.25"/>
    <n v="-3263.67"/>
    <n v="58299.37"/>
    <n v="18385.48"/>
    <n v="9088.92"/>
    <n v="6471.52"/>
    <n v="-3444"/>
    <n v="0"/>
    <n v="27866.73"/>
    <n v="179749.16000000003"/>
    <n v="-27866.73"/>
  </r>
  <r>
    <x v="5"/>
    <x v="9"/>
    <x v="0"/>
    <s v="6916501"/>
    <n v="700054"/>
    <s v="Salaries-Management-NonProd-Other"/>
    <s v="Medical Staff Development"/>
    <x v="0"/>
    <n v="2000"/>
    <n v="0"/>
    <n v="0"/>
    <n v="0"/>
    <n v="0"/>
    <n v="0"/>
    <n v="646.45000000000005"/>
    <n v="-646.45000000000005"/>
    <n v="0"/>
    <n v="0"/>
    <n v="0"/>
    <n v="0"/>
    <n v="0"/>
    <n v="0"/>
    <n v="0"/>
  </r>
  <r>
    <x v="5"/>
    <x v="9"/>
    <x v="0"/>
    <s v="6916501"/>
    <n v="700078"/>
    <s v="Salaries-Service/Support-Non-productive"/>
    <s v="Medical Staff Development"/>
    <x v="0"/>
    <m/>
    <n v="4684.3500000000004"/>
    <n v="3815.2"/>
    <n v="478.83"/>
    <n v="256.62"/>
    <n v="215.18"/>
    <n v="6638.61"/>
    <n v="1371.76"/>
    <n v="1486.15"/>
    <n v="478.68"/>
    <n v="2679.44"/>
    <n v="2044.55"/>
    <n v="2719.16"/>
    <n v="26868.53"/>
    <n v="-674.6099999999999"/>
  </r>
  <r>
    <x v="5"/>
    <x v="9"/>
    <x v="0"/>
    <s v="6916501"/>
    <n v="700078"/>
    <s v="Salaries-Service/Support-NonProd-Other"/>
    <s v="Medical Staff Development"/>
    <x v="0"/>
    <n v="2000"/>
    <n v="0"/>
    <n v="0"/>
    <n v="0"/>
    <n v="0"/>
    <n v="0"/>
    <n v="0"/>
    <n v="0"/>
    <n v="5121.3500000000004"/>
    <n v="-775.77"/>
    <n v="0"/>
    <n v="0"/>
    <n v="0"/>
    <n v="4345.58"/>
    <n v="0"/>
  </r>
  <r>
    <x v="5"/>
    <x v="9"/>
    <x v="0"/>
    <s v="6916501"/>
    <n v="700084"/>
    <s v="Accrued PTO"/>
    <s v="Medical Staff Development"/>
    <x v="0"/>
    <m/>
    <n v="-384.01"/>
    <n v="-829.62"/>
    <n v="747.29"/>
    <n v="2938.8"/>
    <n v="2110.58"/>
    <n v="1160.07"/>
    <n v="317.69"/>
    <n v="1467.53"/>
    <n v="2560.6999999999998"/>
    <n v="291.39999999999998"/>
    <n v="1512.36"/>
    <n v="443.99"/>
    <n v="12336.779999999999"/>
    <n v="1068.3699999999999"/>
  </r>
  <r>
    <x v="6"/>
    <x v="9"/>
    <x v="0"/>
    <s v="6916501"/>
    <n v="713010"/>
    <s v="Benefits-FICA/Medicare"/>
    <s v="Medical Staff Development"/>
    <x v="0"/>
    <m/>
    <n v="3010.12"/>
    <n v="4109.1400000000003"/>
    <n v="5091.7"/>
    <n v="5170.29"/>
    <n v="5603.18"/>
    <n v="9199.93"/>
    <n v="12797.42"/>
    <n v="14625.33"/>
    <n v="10748.34"/>
    <n v="5529.55"/>
    <n v="3617.81"/>
    <n v="3756.84"/>
    <n v="83259.649999999994"/>
    <n v="-139.0300000000002"/>
  </r>
  <r>
    <x v="6"/>
    <x v="9"/>
    <x v="0"/>
    <s v="6916501"/>
    <n v="713090"/>
    <s v="Benefits-Allocated Amounts"/>
    <s v="Medical Staff Development"/>
    <x v="0"/>
    <m/>
    <n v="12517.53"/>
    <n v="12898.67"/>
    <n v="14326.03"/>
    <n v="13198.23"/>
    <n v="12096.01"/>
    <n v="15355.48"/>
    <n v="15882.23"/>
    <n v="17495.05"/>
    <n v="20819.62"/>
    <n v="17203.189999999999"/>
    <n v="17287.900000000001"/>
    <n v="17299.89"/>
    <n v="186379.83000000002"/>
    <n v="-11.989999999997963"/>
  </r>
  <r>
    <x v="6"/>
    <x v="9"/>
    <x v="0"/>
    <s v="6916501"/>
    <n v="713096"/>
    <s v="Employee Recognition"/>
    <s v="Medical Staff Development"/>
    <x v="0"/>
    <n v="1017"/>
    <n v="0"/>
    <n v="0"/>
    <n v="0"/>
    <n v="0"/>
    <n v="93.64"/>
    <n v="0"/>
    <n v="285.01"/>
    <n v="0"/>
    <n v="98.21"/>
    <n v="47.67"/>
    <n v="0"/>
    <n v="0"/>
    <n v="524.53"/>
    <n v="0"/>
  </r>
  <r>
    <x v="7"/>
    <x v="9"/>
    <x v="0"/>
    <s v="6916501"/>
    <n v="718050"/>
    <s v="Contract Svcs-Other"/>
    <s v="Medical Staff Development"/>
    <x v="0"/>
    <m/>
    <n v="0"/>
    <n v="0"/>
    <n v="0"/>
    <n v="0"/>
    <n v="0"/>
    <n v="0"/>
    <n v="3750"/>
    <n v="0"/>
    <n v="0"/>
    <n v="0"/>
    <n v="0"/>
    <n v="0"/>
    <n v="3750"/>
    <n v="0"/>
  </r>
  <r>
    <x v="7"/>
    <x v="9"/>
    <x v="0"/>
    <s v="6916501"/>
    <n v="718050"/>
    <s v="Document Shredding/Storage"/>
    <s v="Medical Staff Development"/>
    <x v="0"/>
    <n v="1012"/>
    <n v="1.21"/>
    <n v="1.22"/>
    <n v="1.1499999999999999"/>
    <n v="1.18"/>
    <n v="1.21"/>
    <n v="1.21"/>
    <n v="1.19"/>
    <n v="1.04"/>
    <n v="1.07"/>
    <n v="1.4"/>
    <n v="4.18"/>
    <n v="-1.79"/>
    <n v="14.270000000000003"/>
    <n v="5.97"/>
  </r>
  <r>
    <x v="7"/>
    <x v="9"/>
    <x v="0"/>
    <s v="6916501"/>
    <n v="718050"/>
    <s v="Miscellaneous Purchased Svcs"/>
    <s v="Medical Staff Development"/>
    <x v="0"/>
    <n v="1020"/>
    <n v="4637.05"/>
    <n v="5487.92"/>
    <n v="6662.92"/>
    <n v="194111.02"/>
    <n v="50312.02"/>
    <n v="56679.74"/>
    <n v="-25982.59"/>
    <n v="50472.75"/>
    <n v="46562.02"/>
    <n v="46562.02"/>
    <n v="50312.02"/>
    <n v="46562.05"/>
    <n v="532378.94000000006"/>
    <n v="3749.9699999999939"/>
  </r>
  <r>
    <x v="11"/>
    <x v="9"/>
    <x v="0"/>
    <s v="6916501"/>
    <n v="721810"/>
    <s v="Supplies-Dietary/Cafeteria"/>
    <s v="Medical Staff Development"/>
    <x v="0"/>
    <m/>
    <n v="101.66"/>
    <n v="0"/>
    <n v="116.06"/>
    <n v="88.23"/>
    <n v="79.89"/>
    <n v="0"/>
    <n v="0"/>
    <n v="0"/>
    <n v="11.14"/>
    <n v="0"/>
    <n v="648.33000000000004"/>
    <n v="56.95"/>
    <n v="1102.26"/>
    <n v="591.38"/>
  </r>
  <r>
    <x v="11"/>
    <x v="9"/>
    <x v="0"/>
    <s v="6916501"/>
    <n v="721830"/>
    <s v="Supplies-Office"/>
    <s v="Medical Staff Development"/>
    <x v="0"/>
    <m/>
    <n v="0"/>
    <n v="0"/>
    <n v="98.06"/>
    <n v="0"/>
    <n v="7.76"/>
    <n v="28.79"/>
    <n v="0"/>
    <n v="0"/>
    <n v="0"/>
    <n v="0"/>
    <n v="0"/>
    <n v="0"/>
    <n v="134.61000000000001"/>
    <n v="0"/>
  </r>
  <r>
    <x v="11"/>
    <x v="9"/>
    <x v="0"/>
    <s v="6916501"/>
    <n v="721835"/>
    <s v="Supplies-Forms"/>
    <s v="Medical Staff Development"/>
    <x v="0"/>
    <m/>
    <n v="0"/>
    <n v="0"/>
    <n v="0"/>
    <n v="0"/>
    <n v="354.2"/>
    <n v="0"/>
    <n v="1.28"/>
    <n v="0"/>
    <n v="0"/>
    <n v="0"/>
    <n v="48.72"/>
    <n v="108.2"/>
    <n v="512.4"/>
    <n v="-59.480000000000004"/>
  </r>
  <r>
    <x v="11"/>
    <x v="9"/>
    <x v="0"/>
    <s v="6916501"/>
    <n v="721910"/>
    <s v="Supplies-Small Equipment"/>
    <s v="Medical Staff Development"/>
    <x v="0"/>
    <m/>
    <n v="0"/>
    <n v="0"/>
    <n v="0"/>
    <n v="-454.71"/>
    <n v="0"/>
    <n v="0"/>
    <n v="0"/>
    <n v="0"/>
    <n v="336.22"/>
    <n v="0"/>
    <n v="33.96"/>
    <n v="0"/>
    <n v="-84.529999999999944"/>
    <n v="33.96"/>
  </r>
  <r>
    <x v="11"/>
    <x v="9"/>
    <x v="0"/>
    <s v="6916501"/>
    <n v="722000"/>
    <s v="Supplies-Freight Expense"/>
    <s v="Medical Staff Development"/>
    <x v="0"/>
    <m/>
    <n v="0"/>
    <n v="0"/>
    <n v="0"/>
    <n v="0"/>
    <n v="0"/>
    <n v="0"/>
    <n v="0"/>
    <n v="0"/>
    <n v="21.44"/>
    <n v="22.66"/>
    <n v="0"/>
    <n v="0"/>
    <n v="44.1"/>
    <n v="0"/>
  </r>
  <r>
    <x v="12"/>
    <x v="9"/>
    <x v="0"/>
    <s v="6916501"/>
    <n v="730020"/>
    <s v="Rental and Leases-Copier Usage Fees (DO NOT USE)"/>
    <s v="Medical Staff Development"/>
    <x v="0"/>
    <n v="5100"/>
    <n v="57.63"/>
    <n v="57"/>
    <n v="57.31"/>
    <n v="57.32"/>
    <n v="57.31"/>
    <n v="57.32"/>
    <n v="85.03"/>
    <n v="60.86"/>
    <n v="60.73"/>
    <n v="60.99"/>
    <n v="60.86"/>
    <n v="66.209999999999994"/>
    <n v="738.57"/>
    <n v="-5.3499999999999943"/>
  </r>
  <r>
    <x v="15"/>
    <x v="9"/>
    <x v="0"/>
    <s v="6916501"/>
    <n v="731060"/>
    <s v="Telephone"/>
    <s v="Medical Staff Development"/>
    <x v="0"/>
    <m/>
    <n v="0"/>
    <n v="0"/>
    <n v="0"/>
    <n v="0"/>
    <n v="0"/>
    <n v="0"/>
    <n v="0"/>
    <n v="0"/>
    <n v="0"/>
    <n v="0"/>
    <n v="192.68"/>
    <n v="0"/>
    <n v="192.68"/>
    <n v="192.68"/>
  </r>
  <r>
    <x v="15"/>
    <x v="9"/>
    <x v="0"/>
    <s v="6916501"/>
    <n v="731060"/>
    <s v="Cell Phones"/>
    <s v="Medical Staff Development"/>
    <x v="0"/>
    <n v="1001"/>
    <n v="0"/>
    <n v="33.020000000000003"/>
    <n v="66.03"/>
    <n v="0"/>
    <n v="32.5"/>
    <n v="33.119999999999997"/>
    <n v="67.17"/>
    <n v="0"/>
    <n v="33.75"/>
    <n v="71.53"/>
    <n v="32.5"/>
    <n v="33.159999999999997"/>
    <n v="402.78"/>
    <n v="-0.65999999999999659"/>
  </r>
  <r>
    <x v="0"/>
    <x v="9"/>
    <x v="0"/>
    <s v="6916501"/>
    <n v="740010"/>
    <s v="Education-Materials"/>
    <s v="Medical Staff Development"/>
    <x v="0"/>
    <m/>
    <n v="0"/>
    <n v="0"/>
    <n v="0"/>
    <n v="0"/>
    <n v="0"/>
    <n v="0"/>
    <n v="0"/>
    <n v="0"/>
    <n v="0"/>
    <n v="2190.91"/>
    <n v="0"/>
    <n v="0"/>
    <n v="2190.91"/>
    <n v="0"/>
  </r>
  <r>
    <x v="0"/>
    <x v="9"/>
    <x v="0"/>
    <s v="6916501"/>
    <n v="740020"/>
    <s v="Education-Registration Fees"/>
    <s v="Medical Staff Development"/>
    <x v="0"/>
    <m/>
    <n v="0"/>
    <n v="0"/>
    <n v="0"/>
    <n v="695"/>
    <n v="0"/>
    <n v="0"/>
    <n v="0"/>
    <n v="0"/>
    <n v="-404"/>
    <n v="120"/>
    <n v="250"/>
    <n v="375"/>
    <n v="1036"/>
    <n v="-125"/>
  </r>
  <r>
    <x v="0"/>
    <x v="9"/>
    <x v="0"/>
    <s v="6916501"/>
    <n v="743020"/>
    <s v="Dues--Individual"/>
    <s v="Medical Staff Development"/>
    <x v="0"/>
    <m/>
    <n v="0"/>
    <n v="0"/>
    <n v="0"/>
    <n v="0"/>
    <n v="0"/>
    <n v="175"/>
    <n v="52"/>
    <n v="0"/>
    <n v="0"/>
    <n v="0"/>
    <n v="0"/>
    <n v="0"/>
    <n v="227"/>
    <n v="0"/>
  </r>
  <r>
    <x v="0"/>
    <x v="9"/>
    <x v="0"/>
    <s v="6916501"/>
    <n v="743030"/>
    <s v="Subscriptions--Institutional"/>
    <s v="Medical Staff Development"/>
    <x v="0"/>
    <m/>
    <n v="0"/>
    <n v="0"/>
    <n v="0"/>
    <n v="0"/>
    <n v="0"/>
    <n v="0"/>
    <n v="0"/>
    <n v="0"/>
    <n v="0"/>
    <n v="0"/>
    <n v="0"/>
    <n v="131.04"/>
    <n v="131.04"/>
    <n v="-131.04"/>
  </r>
  <r>
    <x v="0"/>
    <x v="9"/>
    <x v="0"/>
    <s v="6916501"/>
    <n v="749510"/>
    <s v="Miscellaneous Expenses"/>
    <s v="Medical Staff Development"/>
    <x v="0"/>
    <m/>
    <n v="4239.3500000000004"/>
    <n v="-26030.6"/>
    <n v="-5469.74"/>
    <n v="-1346.06"/>
    <n v="10301.43"/>
    <n v="8770.23"/>
    <n v="-188.81"/>
    <n v="925.4"/>
    <n v="4347.8900000000003"/>
    <n v="-3611.04"/>
    <n v="-1067.6300000000001"/>
    <n v="1854.89"/>
    <n v="-7274.6899999999978"/>
    <n v="-2922.5200000000004"/>
  </r>
  <r>
    <x v="0"/>
    <x v="9"/>
    <x v="0"/>
    <s v="6916501"/>
    <n v="749510"/>
    <s v="Licenses"/>
    <s v="Medical Staff Development"/>
    <x v="0"/>
    <n v="1002"/>
    <n v="0"/>
    <n v="0"/>
    <n v="0"/>
    <n v="454.71"/>
    <n v="0"/>
    <n v="0"/>
    <n v="0"/>
    <n v="0"/>
    <n v="0"/>
    <n v="0"/>
    <n v="0"/>
    <n v="0"/>
    <n v="454.71"/>
    <n v="0"/>
  </r>
  <r>
    <x v="0"/>
    <x v="9"/>
    <x v="0"/>
    <s v="6916501"/>
    <n v="749510"/>
    <s v="Miscellaneous Expense"/>
    <s v="Medical Staff Development"/>
    <x v="0"/>
    <n v="1009"/>
    <n v="0"/>
    <n v="0"/>
    <n v="0"/>
    <n v="0"/>
    <n v="0"/>
    <n v="0"/>
    <n v="0"/>
    <n v="92.17"/>
    <n v="0"/>
    <n v="0"/>
    <n v="0"/>
    <n v="0"/>
    <n v="92.17"/>
    <n v="0"/>
  </r>
  <r>
    <x v="0"/>
    <x v="9"/>
    <x v="0"/>
    <s v="6916501"/>
    <n v="749510"/>
    <s v="Miscellaneous Employee Expense"/>
    <s v="Medical Staff Development"/>
    <x v="0"/>
    <n v="1010"/>
    <n v="0"/>
    <n v="0"/>
    <n v="0"/>
    <n v="0"/>
    <n v="0"/>
    <n v="0"/>
    <n v="0"/>
    <n v="242"/>
    <n v="0"/>
    <n v="0"/>
    <n v="0"/>
    <n v="0"/>
    <n v="242"/>
    <n v="0"/>
  </r>
  <r>
    <x v="0"/>
    <x v="9"/>
    <x v="0"/>
    <s v="6916501"/>
    <n v="749510"/>
    <s v="RICE Rewards"/>
    <s v="Medical Staff Development"/>
    <x v="0"/>
    <n v="5100"/>
    <n v="0"/>
    <n v="0"/>
    <n v="0"/>
    <n v="0"/>
    <n v="0"/>
    <n v="70.650000000000006"/>
    <n v="0"/>
    <n v="0"/>
    <n v="0"/>
    <n v="7.4"/>
    <n v="0"/>
    <n v="0"/>
    <n v="78.050000000000011"/>
    <n v="0"/>
  </r>
  <r>
    <x v="0"/>
    <x v="9"/>
    <x v="0"/>
    <s v="6916501"/>
    <n v="749530"/>
    <s v="Travel"/>
    <s v="Medical Staff Development"/>
    <x v="0"/>
    <m/>
    <n v="0"/>
    <n v="209.79"/>
    <n v="2887.62"/>
    <n v="4336.76"/>
    <n v="1449.95"/>
    <n v="0"/>
    <n v="760.54"/>
    <n v="1067.31"/>
    <n v="1288.21"/>
    <n v="5676.61"/>
    <n v="419.49"/>
    <n v="279.39"/>
    <n v="18375.670000000002"/>
    <n v="140.10000000000002"/>
  </r>
  <r>
    <x v="0"/>
    <x v="9"/>
    <x v="0"/>
    <s v="6916501"/>
    <n v="749530"/>
    <s v="Mileage"/>
    <s v="Medical Staff Development"/>
    <x v="0"/>
    <n v="1001"/>
    <n v="0"/>
    <n v="10.36"/>
    <n v="0"/>
    <n v="0"/>
    <n v="0"/>
    <n v="10.96"/>
    <n v="0"/>
    <n v="0"/>
    <n v="0"/>
    <n v="17.399999999999999"/>
    <n v="0"/>
    <n v="6.38"/>
    <n v="45.1"/>
    <n v="-6.38"/>
  </r>
  <r>
    <x v="0"/>
    <x v="9"/>
    <x v="0"/>
    <s v="6916501"/>
    <n v="749535"/>
    <s v="Meetings"/>
    <s v="Medical Staff Development"/>
    <x v="0"/>
    <m/>
    <n v="0"/>
    <n v="185.83"/>
    <n v="95.27"/>
    <n v="0"/>
    <n v="0"/>
    <n v="1724.99"/>
    <n v="706.96"/>
    <n v="1832.54"/>
    <n v="1395.28"/>
    <n v="1254.97"/>
    <n v="915.64"/>
    <n v="1078.99"/>
    <n v="9190.4700000000012"/>
    <n v="-163.35000000000002"/>
  </r>
  <r>
    <x v="0"/>
    <x v="9"/>
    <x v="0"/>
    <s v="6916501"/>
    <n v="749535"/>
    <s v="Medicare Non-Allowable Beverages"/>
    <s v="Medical Staff Development"/>
    <x v="0"/>
    <n v="1005"/>
    <n v="0"/>
    <n v="0"/>
    <n v="0"/>
    <n v="6.5"/>
    <n v="0"/>
    <n v="0"/>
    <n v="0"/>
    <n v="0"/>
    <n v="0"/>
    <n v="17.71"/>
    <n v="0"/>
    <n v="0"/>
    <n v="24.21"/>
    <n v="0"/>
  </r>
  <r>
    <x v="20"/>
    <x v="9"/>
    <x v="0"/>
    <s v="6917501"/>
    <n v="610010"/>
    <s v="Foundation Distributions"/>
    <s v="Academic Affairs"/>
    <x v="0"/>
    <n v="1175"/>
    <n v="0"/>
    <n v="0"/>
    <n v="0"/>
    <n v="0"/>
    <n v="0"/>
    <n v="-200"/>
    <n v="0"/>
    <n v="0"/>
    <n v="0"/>
    <n v="0"/>
    <n v="0"/>
    <n v="0"/>
    <n v="-200"/>
    <n v="0"/>
  </r>
  <r>
    <x v="5"/>
    <x v="9"/>
    <x v="0"/>
    <s v="6917501"/>
    <n v="700014"/>
    <s v="Salaries-Management-Productive"/>
    <s v="Academic Affairs"/>
    <x v="0"/>
    <m/>
    <n v="9258.5"/>
    <n v="6631.42"/>
    <n v="8508.35"/>
    <n v="7303.33"/>
    <n v="9921.5300000000007"/>
    <n v="5997.93"/>
    <n v="9329.7000000000007"/>
    <n v="8338.8799999999992"/>
    <n v="9361.32"/>
    <n v="9840.2099999999991"/>
    <n v="8115.29"/>
    <n v="9137.7900000000009"/>
    <n v="101744.24999999997"/>
    <n v="-1022.5000000000009"/>
  </r>
  <r>
    <x v="5"/>
    <x v="9"/>
    <x v="0"/>
    <s v="6917501"/>
    <n v="700038"/>
    <s v="Salaries-Service/Support-Productive"/>
    <s v="Academic Affairs"/>
    <x v="0"/>
    <m/>
    <n v="0"/>
    <n v="162.32"/>
    <n v="-48.69"/>
    <n v="0"/>
    <n v="0"/>
    <n v="25.88"/>
    <n v="0"/>
    <n v="0"/>
    <n v="0"/>
    <n v="0"/>
    <n v="24.98"/>
    <n v="-12.02"/>
    <n v="152.46999999999997"/>
    <n v="37"/>
  </r>
  <r>
    <x v="5"/>
    <x v="9"/>
    <x v="0"/>
    <s v="6917501"/>
    <n v="700038"/>
    <s v="Salaries-Service/Support-Other"/>
    <s v="Academic Affairs"/>
    <x v="0"/>
    <n v="2000"/>
    <n v="0"/>
    <n v="24.34"/>
    <n v="-7.3"/>
    <n v="0"/>
    <n v="0"/>
    <n v="72.760000000000005"/>
    <n v="126.62"/>
    <n v="56.88"/>
    <n v="164.4"/>
    <n v="143.55000000000001"/>
    <n v="46.3"/>
    <n v="99.81"/>
    <n v="727.3599999999999"/>
    <n v="-53.510000000000005"/>
  </r>
  <r>
    <x v="5"/>
    <x v="9"/>
    <x v="0"/>
    <s v="6917501"/>
    <n v="700054"/>
    <s v="Salaries-Management-Non-productive"/>
    <s v="Academic Affairs"/>
    <x v="0"/>
    <m/>
    <n v="437.92"/>
    <n v="3065.44"/>
    <n v="875.84"/>
    <n v="2549.2399999999998"/>
    <n v="-350.92"/>
    <n v="3892.02"/>
    <n v="575.67999999999995"/>
    <n v="607.01"/>
    <n v="543.15"/>
    <n v="-255.58"/>
    <n v="1789.17"/>
    <n v="447.29"/>
    <n v="14176.26"/>
    <n v="1341.88"/>
  </r>
  <r>
    <x v="5"/>
    <x v="9"/>
    <x v="0"/>
    <s v="6917501"/>
    <n v="700078"/>
    <s v="Salaries-Service/Support-Non-productive"/>
    <s v="Academic Affairs"/>
    <x v="0"/>
    <m/>
    <n v="0"/>
    <n v="0"/>
    <n v="0"/>
    <n v="0"/>
    <n v="0"/>
    <n v="0"/>
    <n v="0"/>
    <n v="45.36"/>
    <n v="0"/>
    <n v="0"/>
    <n v="0"/>
    <n v="0"/>
    <n v="45.36"/>
    <n v="0"/>
  </r>
  <r>
    <x v="5"/>
    <x v="9"/>
    <x v="0"/>
    <s v="6917501"/>
    <n v="700078"/>
    <s v="Salaries-Service/Support-NonProd-Other"/>
    <s v="Academic Affairs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917501"/>
    <n v="700084"/>
    <s v="Accrued PTO"/>
    <s v="Academic Affairs"/>
    <x v="0"/>
    <m/>
    <n v="884.59"/>
    <n v="-1743.46"/>
    <n v="446.67"/>
    <n v="-155.83000000000001"/>
    <n v="1348.3"/>
    <n v="-1550.4"/>
    <n v="455.57"/>
    <n v="901.66"/>
    <n v="902.21"/>
    <n v="1348.29"/>
    <n v="-438.26"/>
    <n v="1576.08"/>
    <n v="3975.42"/>
    <n v="-2014.34"/>
  </r>
  <r>
    <x v="6"/>
    <x v="9"/>
    <x v="0"/>
    <s v="6917501"/>
    <n v="713010"/>
    <s v="Benefits-FICA/Medicare"/>
    <s v="Academic Affairs"/>
    <x v="0"/>
    <m/>
    <n v="740"/>
    <n v="754.33"/>
    <n v="711.92"/>
    <n v="751.97"/>
    <n v="730.86"/>
    <n v="762.31"/>
    <n v="764.38"/>
    <n v="689.46"/>
    <n v="767.28"/>
    <n v="741.29"/>
    <n v="760.15"/>
    <n v="737.07"/>
    <n v="8911.02"/>
    <n v="23.079999999999927"/>
  </r>
  <r>
    <x v="6"/>
    <x v="9"/>
    <x v="0"/>
    <s v="6917501"/>
    <n v="713090"/>
    <s v="Benefits-Allocated Amounts"/>
    <s v="Academic Affairs"/>
    <x v="0"/>
    <m/>
    <n v="1506.51"/>
    <n v="1300.99"/>
    <n v="1400.65"/>
    <n v="1363.13"/>
    <n v="1283.3599999999999"/>
    <n v="1480.29"/>
    <n v="1521.66"/>
    <n v="1572.97"/>
    <n v="1791.83"/>
    <n v="1523.55"/>
    <n v="1534.67"/>
    <n v="1685.05"/>
    <n v="17964.66"/>
    <n v="-150.37999999999988"/>
  </r>
  <r>
    <x v="7"/>
    <x v="9"/>
    <x v="0"/>
    <s v="6917501"/>
    <n v="718050"/>
    <s v="Miscellaneous Purchased Svcs"/>
    <s v="Academic Affairs"/>
    <x v="0"/>
    <n v="1020"/>
    <n v="0"/>
    <n v="0"/>
    <n v="0"/>
    <n v="0"/>
    <n v="0"/>
    <n v="0"/>
    <n v="0"/>
    <n v="0"/>
    <n v="0"/>
    <n v="0"/>
    <n v="4.51"/>
    <n v="0"/>
    <n v="4.51"/>
    <n v="4.51"/>
  </r>
  <r>
    <x v="11"/>
    <x v="9"/>
    <x v="0"/>
    <s v="6917501"/>
    <n v="721810"/>
    <s v="Supplies-Dietary/Cafeteria"/>
    <s v="Academic Affairs"/>
    <x v="0"/>
    <m/>
    <n v="0"/>
    <n v="0"/>
    <n v="0"/>
    <n v="0"/>
    <n v="0"/>
    <n v="0"/>
    <n v="0"/>
    <n v="0"/>
    <n v="0"/>
    <n v="4.51"/>
    <n v="-4.51"/>
    <n v="0"/>
    <n v="0"/>
    <n v="-4.51"/>
  </r>
  <r>
    <x v="11"/>
    <x v="9"/>
    <x v="0"/>
    <s v="6917501"/>
    <n v="721830"/>
    <s v="Supplies-Office"/>
    <s v="Academic Affairs"/>
    <x v="0"/>
    <m/>
    <n v="0"/>
    <n v="0"/>
    <n v="44.12"/>
    <n v="0"/>
    <n v="0"/>
    <n v="0"/>
    <n v="0"/>
    <n v="0"/>
    <n v="224.49"/>
    <n v="0"/>
    <n v="0"/>
    <n v="0"/>
    <n v="268.61"/>
    <n v="0"/>
  </r>
  <r>
    <x v="12"/>
    <x v="9"/>
    <x v="0"/>
    <s v="6917501"/>
    <n v="730020"/>
    <s v="Rental and Leases-Copier Usage Fees (DO NOT USE)"/>
    <s v="Academic Affairs"/>
    <x v="0"/>
    <n v="5100"/>
    <n v="103.14"/>
    <n v="114.34"/>
    <n v="108.74"/>
    <n v="108.74"/>
    <n v="108.74"/>
    <n v="108.74"/>
    <n v="-65.05"/>
    <n v="46.84"/>
    <n v="46.74"/>
    <n v="198.67"/>
    <n v="46.84"/>
    <n v="56.01"/>
    <n v="982.49000000000012"/>
    <n v="-9.1699999999999946"/>
  </r>
  <r>
    <x v="0"/>
    <x v="9"/>
    <x v="0"/>
    <s v="6917501"/>
    <n v="743010"/>
    <s v="Dues--Institutional"/>
    <s v="Academic Affairs"/>
    <x v="0"/>
    <m/>
    <n v="0"/>
    <n v="0"/>
    <n v="0"/>
    <n v="4165"/>
    <n v="0"/>
    <n v="2339"/>
    <n v="0"/>
    <n v="0"/>
    <n v="0"/>
    <n v="0"/>
    <n v="0"/>
    <n v="0"/>
    <n v="6504"/>
    <n v="0"/>
  </r>
  <r>
    <x v="0"/>
    <x v="9"/>
    <x v="0"/>
    <s v="6917501"/>
    <n v="743030"/>
    <s v="Subscriptions--Institutional"/>
    <s v="Academic Affairs"/>
    <x v="0"/>
    <m/>
    <n v="0"/>
    <n v="0"/>
    <n v="0"/>
    <n v="199"/>
    <n v="200"/>
    <n v="0"/>
    <n v="0"/>
    <n v="0"/>
    <n v="0"/>
    <n v="0"/>
    <n v="0"/>
    <n v="0"/>
    <n v="399"/>
    <n v="0"/>
  </r>
  <r>
    <x v="0"/>
    <x v="9"/>
    <x v="0"/>
    <s v="6917501"/>
    <n v="749510"/>
    <s v="Miscellaneous Expenses"/>
    <s v="Academic Affairs"/>
    <x v="0"/>
    <m/>
    <n v="0"/>
    <n v="0"/>
    <n v="0"/>
    <n v="0"/>
    <n v="0"/>
    <n v="0"/>
    <n v="0"/>
    <n v="0"/>
    <n v="0"/>
    <n v="63.84"/>
    <n v="0"/>
    <n v="0"/>
    <n v="63.84"/>
    <n v="0"/>
  </r>
  <r>
    <x v="0"/>
    <x v="9"/>
    <x v="0"/>
    <s v="6917501"/>
    <n v="749510"/>
    <s v="RICE Rewards"/>
    <s v="Academic Affairs"/>
    <x v="0"/>
    <n v="5100"/>
    <n v="0"/>
    <n v="0"/>
    <n v="0"/>
    <n v="0"/>
    <n v="0"/>
    <n v="0"/>
    <n v="0"/>
    <n v="0"/>
    <n v="0"/>
    <n v="50"/>
    <n v="0"/>
    <n v="0"/>
    <n v="50"/>
    <n v="0"/>
  </r>
  <r>
    <x v="5"/>
    <x v="9"/>
    <x v="0"/>
    <s v="6918501"/>
    <n v="700014"/>
    <s v="Salaries-Management-Productive"/>
    <s v="Medical Staff Peer Review"/>
    <x v="0"/>
    <m/>
    <n v="0"/>
    <n v="0"/>
    <n v="0"/>
    <n v="0"/>
    <n v="0"/>
    <n v="6537.02"/>
    <n v="8540.9"/>
    <n v="7498.98"/>
    <n v="9373.76"/>
    <n v="6784.66"/>
    <n v="8064.36"/>
    <n v="6279.11"/>
    <n v="53078.790000000008"/>
    <n v="1785.25"/>
  </r>
  <r>
    <x v="5"/>
    <x v="9"/>
    <x v="0"/>
    <s v="6918501"/>
    <n v="700026"/>
    <s v="Salaries-RN-Productive"/>
    <s v="Medical Staff Peer Review"/>
    <x v="0"/>
    <m/>
    <n v="0"/>
    <n v="0"/>
    <n v="0"/>
    <n v="0"/>
    <n v="0"/>
    <n v="19105.29"/>
    <n v="25227.01"/>
    <n v="15219.35"/>
    <n v="28707.1"/>
    <n v="23669.48"/>
    <n v="28110.95"/>
    <n v="21117.84"/>
    <n v="161157.01999999999"/>
    <n v="6993.1100000000006"/>
  </r>
  <r>
    <x v="5"/>
    <x v="9"/>
    <x v="0"/>
    <s v="6918501"/>
    <n v="700038"/>
    <s v="Salaries-Service/Support-Productive"/>
    <s v="Medical Staff Peer Review"/>
    <x v="0"/>
    <m/>
    <n v="0"/>
    <n v="0"/>
    <n v="0"/>
    <n v="0"/>
    <n v="0"/>
    <n v="4826.5"/>
    <n v="5162.5"/>
    <n v="5161.79"/>
    <n v="5744.64"/>
    <n v="5104.21"/>
    <n v="5531.41"/>
    <n v="5330.82"/>
    <n v="36861.869999999995"/>
    <n v="200.59000000000015"/>
  </r>
  <r>
    <x v="5"/>
    <x v="9"/>
    <x v="0"/>
    <s v="6918501"/>
    <n v="700038"/>
    <s v="Salaries-Service/Support-OT"/>
    <s v="Medical Staff Peer Review"/>
    <x v="0"/>
    <n v="1000"/>
    <n v="0"/>
    <n v="0"/>
    <n v="0"/>
    <n v="0"/>
    <n v="0"/>
    <n v="36.700000000000003"/>
    <n v="16.63"/>
    <n v="36.770000000000003"/>
    <n v="-4.37"/>
    <n v="119.01"/>
    <n v="-8.75"/>
    <n v="12.26"/>
    <n v="208.25"/>
    <n v="-21.009999999999998"/>
  </r>
  <r>
    <x v="5"/>
    <x v="9"/>
    <x v="0"/>
    <s v="6918501"/>
    <n v="700054"/>
    <s v="Salaries-Management-Non-productive"/>
    <s v="Medical Staff Peer Review"/>
    <x v="0"/>
    <m/>
    <n v="0"/>
    <n v="0"/>
    <n v="0"/>
    <n v="0"/>
    <n v="0"/>
    <n v="2377.02"/>
    <n v="684.96"/>
    <n v="833.22"/>
    <n v="-148.76"/>
    <n v="2142.4499999999998"/>
    <n v="1160.6300000000001"/>
    <n v="2648.43"/>
    <n v="9697.9499999999989"/>
    <n v="-1487.7999999999997"/>
  </r>
  <r>
    <x v="5"/>
    <x v="9"/>
    <x v="0"/>
    <s v="6918501"/>
    <n v="700066"/>
    <s v="Salaries-RN-Non-productive"/>
    <s v="Medical Staff Peer Review"/>
    <x v="0"/>
    <m/>
    <n v="0"/>
    <n v="0"/>
    <n v="0"/>
    <n v="0"/>
    <n v="0"/>
    <n v="7444.83"/>
    <n v="2251.84"/>
    <n v="9597.76"/>
    <n v="-1230.81"/>
    <n v="2919.59"/>
    <n v="-634.66999999999996"/>
    <n v="5472.42"/>
    <n v="25820.959999999999"/>
    <n v="-6107.09"/>
  </r>
  <r>
    <x v="5"/>
    <x v="9"/>
    <x v="0"/>
    <s v="6918501"/>
    <n v="700078"/>
    <s v="Salaries-Service/Support-Non-productive"/>
    <s v="Medical Staff Peer Review"/>
    <x v="0"/>
    <m/>
    <n v="0"/>
    <n v="0"/>
    <n v="0"/>
    <n v="0"/>
    <n v="0"/>
    <n v="1192.9000000000001"/>
    <n v="177.62"/>
    <n v="261.33999999999997"/>
    <n v="0"/>
    <n v="522.69000000000005"/>
    <n v="261.33999999999997"/>
    <n v="401.32"/>
    <n v="2817.2100000000005"/>
    <n v="-139.98000000000002"/>
  </r>
  <r>
    <x v="5"/>
    <x v="9"/>
    <x v="0"/>
    <s v="6918501"/>
    <n v="700084"/>
    <s v="Accrued PTO"/>
    <s v="Medical Staff Peer Review"/>
    <x v="0"/>
    <m/>
    <n v="0"/>
    <n v="0"/>
    <n v="0"/>
    <n v="0"/>
    <n v="0"/>
    <n v="-8051.6"/>
    <n v="1777.13"/>
    <n v="-3833.76"/>
    <n v="5151.12"/>
    <n v="888.57"/>
    <n v="3227.18"/>
    <n v="-1256.96"/>
    <n v="-2098.3199999999997"/>
    <n v="4484.1399999999994"/>
  </r>
  <r>
    <x v="6"/>
    <x v="9"/>
    <x v="0"/>
    <s v="6918501"/>
    <n v="713010"/>
    <s v="Benefits-FICA/Medicare"/>
    <s v="Medical Staff Peer Review"/>
    <x v="0"/>
    <m/>
    <n v="0"/>
    <n v="0"/>
    <n v="0"/>
    <n v="0"/>
    <n v="0"/>
    <n v="3127.14"/>
    <n v="3363.49"/>
    <n v="2905.15"/>
    <n v="3193.18"/>
    <n v="3104.71"/>
    <n v="3196.47"/>
    <n v="3104.6"/>
    <n v="21994.739999999998"/>
    <n v="91.869999999999891"/>
  </r>
  <r>
    <x v="6"/>
    <x v="9"/>
    <x v="0"/>
    <s v="6918501"/>
    <n v="713090"/>
    <s v="Benefits-Allocated Amounts"/>
    <s v="Medical Staff Peer Review"/>
    <x v="0"/>
    <m/>
    <n v="0"/>
    <n v="0"/>
    <n v="0"/>
    <n v="0"/>
    <n v="0"/>
    <n v="6175.47"/>
    <n v="6930.01"/>
    <n v="6279.36"/>
    <n v="7581.5"/>
    <n v="7105.41"/>
    <n v="7493.97"/>
    <n v="7033.01"/>
    <n v="48598.73"/>
    <n v="460.96000000000004"/>
  </r>
  <r>
    <x v="17"/>
    <x v="9"/>
    <x v="0"/>
    <s v="6918501"/>
    <n v="714520"/>
    <s v="Other Contracted Professionals"/>
    <s v="Medical Staff Peer Review"/>
    <x v="0"/>
    <m/>
    <n v="0"/>
    <n v="0"/>
    <n v="0"/>
    <n v="0"/>
    <n v="0"/>
    <n v="0"/>
    <n v="0"/>
    <n v="0"/>
    <n v="0"/>
    <n v="0"/>
    <n v="7160"/>
    <n v="0"/>
    <n v="7160"/>
    <n v="7160"/>
  </r>
  <r>
    <x v="7"/>
    <x v="9"/>
    <x v="0"/>
    <s v="6918501"/>
    <n v="718050"/>
    <s v="Miscellaneous Purchased Svcs"/>
    <s v="Medical Staff Peer Review"/>
    <x v="0"/>
    <n v="1020"/>
    <n v="0"/>
    <n v="125"/>
    <n v="1500"/>
    <n v="0"/>
    <n v="0"/>
    <n v="0"/>
    <n v="0"/>
    <n v="0"/>
    <n v="143"/>
    <n v="0"/>
    <n v="0"/>
    <n v="0"/>
    <n v="1768"/>
    <n v="0"/>
  </r>
  <r>
    <x v="11"/>
    <x v="9"/>
    <x v="0"/>
    <s v="6918501"/>
    <n v="721810"/>
    <s v="Supplies-Dietary/Cafeteria"/>
    <s v="Medical Staff Peer Review"/>
    <x v="0"/>
    <m/>
    <n v="91.54"/>
    <n v="121.71"/>
    <n v="134.12"/>
    <n v="125.92"/>
    <n v="217.7"/>
    <n v="62.33"/>
    <n v="41.99"/>
    <n v="0"/>
    <n v="163.68"/>
    <n v="138.86000000000001"/>
    <n v="168.25"/>
    <n v="134.97999999999999"/>
    <n v="1401.08"/>
    <n v="33.27000000000001"/>
  </r>
  <r>
    <x v="11"/>
    <x v="9"/>
    <x v="0"/>
    <s v="6918501"/>
    <n v="721910"/>
    <s v="Supplies-Small Equipment"/>
    <s v="Medical Staff Peer Review"/>
    <x v="0"/>
    <m/>
    <n v="0"/>
    <n v="0"/>
    <n v="0"/>
    <n v="0"/>
    <n v="0"/>
    <n v="0"/>
    <n v="0"/>
    <n v="0"/>
    <n v="125"/>
    <n v="12.5"/>
    <n v="0"/>
    <n v="0"/>
    <n v="137.5"/>
    <n v="0"/>
  </r>
  <r>
    <x v="11"/>
    <x v="9"/>
    <x v="0"/>
    <s v="6918501"/>
    <n v="722000"/>
    <s v="Supplies-Freight Expense"/>
    <s v="Medical Staff Peer Review"/>
    <x v="0"/>
    <m/>
    <n v="0"/>
    <n v="0"/>
    <n v="0"/>
    <n v="0"/>
    <n v="0"/>
    <n v="0"/>
    <n v="0"/>
    <n v="0"/>
    <n v="0"/>
    <n v="21.6"/>
    <n v="22.54"/>
    <n v="0"/>
    <n v="44.14"/>
    <n v="22.54"/>
  </r>
  <r>
    <x v="12"/>
    <x v="9"/>
    <x v="0"/>
    <s v="6918501"/>
    <n v="730010"/>
    <s v="Rental and Leases-Building (DO NOT USE)"/>
    <s v="Medical Staff Peer Review"/>
    <x v="0"/>
    <m/>
    <n v="0"/>
    <n v="0"/>
    <n v="0"/>
    <n v="0"/>
    <n v="0"/>
    <n v="0"/>
    <n v="0"/>
    <n v="0"/>
    <n v="19737.939999999999"/>
    <n v="1082.22"/>
    <n v="1090.8"/>
    <n v="0"/>
    <n v="21910.959999999999"/>
    <n v="1090.8"/>
  </r>
  <r>
    <x v="12"/>
    <x v="9"/>
    <x v="0"/>
    <s v="6918501"/>
    <n v="730010"/>
    <s v="Rental-Common Area Maint (DO NOT USE)"/>
    <s v="Medical Staff Peer Review"/>
    <x v="0"/>
    <n v="2200"/>
    <n v="0"/>
    <n v="0"/>
    <n v="0"/>
    <n v="0"/>
    <n v="0"/>
    <n v="0"/>
    <n v="0"/>
    <n v="0"/>
    <n v="337.61"/>
    <n v="1010.66"/>
    <n v="1010.66"/>
    <n v="0"/>
    <n v="2358.9299999999998"/>
    <n v="1010.66"/>
  </r>
  <r>
    <x v="12"/>
    <x v="9"/>
    <x v="0"/>
    <s v="6918501"/>
    <n v="730020"/>
    <s v="Rental and Leases-Copier Usage Fees (DO NOT USE)"/>
    <s v="Medical Staff Peer Review"/>
    <x v="0"/>
    <n v="5100"/>
    <n v="0"/>
    <n v="0"/>
    <n v="0"/>
    <n v="0"/>
    <n v="0"/>
    <n v="0"/>
    <n v="0"/>
    <n v="0"/>
    <n v="0"/>
    <n v="0"/>
    <n v="58.3"/>
    <n v="0"/>
    <n v="58.3"/>
    <n v="58.3"/>
  </r>
  <r>
    <x v="12"/>
    <x v="9"/>
    <x v="0"/>
    <s v="6918501"/>
    <n v="730040"/>
    <s v="LT Lease-Real Estate"/>
    <s v="Medical Staff Peer Review"/>
    <x v="0"/>
    <m/>
    <n v="0"/>
    <n v="0"/>
    <n v="0"/>
    <n v="0"/>
    <n v="0"/>
    <n v="0"/>
    <n v="0"/>
    <n v="0"/>
    <n v="0"/>
    <n v="0"/>
    <n v="0"/>
    <n v="2101.46"/>
    <n v="2101.46"/>
    <n v="-2101.46"/>
  </r>
  <r>
    <x v="0"/>
    <x v="9"/>
    <x v="0"/>
    <s v="6918501"/>
    <n v="749510"/>
    <s v="Miscellaneous Expenses"/>
    <s v="Medical Staff Peer Review"/>
    <x v="0"/>
    <m/>
    <n v="0"/>
    <n v="0"/>
    <n v="0"/>
    <n v="0"/>
    <n v="0"/>
    <n v="151.13999999999999"/>
    <n v="-11.12"/>
    <n v="-35.42"/>
    <n v="59.74"/>
    <n v="15.86"/>
    <n v="-75.599999999999994"/>
    <n v="45.02"/>
    <n v="149.62"/>
    <n v="-120.62"/>
  </r>
  <r>
    <x v="0"/>
    <x v="9"/>
    <x v="0"/>
    <s v="6918501"/>
    <n v="749510"/>
    <s v="RICE Rewards"/>
    <s v="Medical Staff Peer Review"/>
    <x v="0"/>
    <n v="5100"/>
    <n v="0"/>
    <n v="0"/>
    <n v="0"/>
    <n v="0"/>
    <n v="0"/>
    <n v="0"/>
    <n v="0"/>
    <n v="0"/>
    <n v="0"/>
    <n v="129"/>
    <n v="68.63"/>
    <n v="50"/>
    <n v="247.63"/>
    <n v="18.629999999999995"/>
  </r>
  <r>
    <x v="0"/>
    <x v="9"/>
    <x v="0"/>
    <s v="6918501"/>
    <n v="749530"/>
    <s v="Travel"/>
    <s v="Medical Staff Peer Review"/>
    <x v="0"/>
    <m/>
    <n v="0"/>
    <n v="0"/>
    <n v="0"/>
    <n v="0"/>
    <n v="0"/>
    <n v="20"/>
    <n v="5"/>
    <n v="10"/>
    <n v="20"/>
    <n v="10"/>
    <n v="21"/>
    <n v="5"/>
    <n v="91"/>
    <n v="16"/>
  </r>
  <r>
    <x v="0"/>
    <x v="9"/>
    <x v="0"/>
    <s v="6918501"/>
    <n v="749530"/>
    <s v="Mileage"/>
    <s v="Medical Staff Peer Review"/>
    <x v="0"/>
    <n v="1001"/>
    <n v="0"/>
    <n v="0"/>
    <n v="0"/>
    <n v="0"/>
    <n v="0"/>
    <n v="206.58"/>
    <n v="122.09"/>
    <n v="107.88"/>
    <n v="244.76"/>
    <n v="169.94"/>
    <n v="217.5"/>
    <n v="90.48"/>
    <n v="1159.23"/>
    <n v="127.02"/>
  </r>
  <r>
    <x v="11"/>
    <x v="6"/>
    <x v="0"/>
    <s v="6920107"/>
    <n v="721830"/>
    <s v="Supplies-Office"/>
    <s v="Risk Management"/>
    <x v="0"/>
    <m/>
    <n v="0"/>
    <n v="0"/>
    <n v="64.63"/>
    <n v="0"/>
    <n v="0"/>
    <n v="0"/>
    <n v="0"/>
    <n v="0"/>
    <n v="0"/>
    <n v="0"/>
    <n v="0"/>
    <n v="0"/>
    <n v="64.63"/>
    <n v="0"/>
  </r>
  <r>
    <x v="12"/>
    <x v="6"/>
    <x v="0"/>
    <s v="6920107"/>
    <n v="730020"/>
    <s v="Rental and Leases-Copier Usage Fees (DO NOT USE)"/>
    <s v="Risk Management"/>
    <x v="0"/>
    <n v="5100"/>
    <n v="-21.56"/>
    <n v="-28.58"/>
    <n v="217.88"/>
    <n v="0"/>
    <n v="0"/>
    <n v="0"/>
    <n v="0"/>
    <n v="0"/>
    <n v="0"/>
    <n v="0"/>
    <n v="0"/>
    <n v="0"/>
    <n v="167.74"/>
    <n v="0"/>
  </r>
  <r>
    <x v="5"/>
    <x v="9"/>
    <x v="0"/>
    <s v="6920501"/>
    <n v="700014"/>
    <s v="Salaries-Management-Productive"/>
    <s v="Risk Management"/>
    <x v="0"/>
    <m/>
    <n v="73262.429999999993"/>
    <n v="69498.02"/>
    <n v="57429.279999999999"/>
    <n v="68451.350000000006"/>
    <n v="59792.4"/>
    <n v="56459.49"/>
    <n v="74618.94"/>
    <n v="65018.01"/>
    <n v="79012.33"/>
    <n v="66295.240000000005"/>
    <n v="66071.710000000006"/>
    <n v="53511.57"/>
    <n v="789420.7699999999"/>
    <n v="12560.140000000007"/>
  </r>
  <r>
    <x v="5"/>
    <x v="9"/>
    <x v="0"/>
    <s v="6920501"/>
    <n v="700014"/>
    <s v="Salaries-Management-Other"/>
    <s v="Risk Management"/>
    <x v="0"/>
    <n v="2000"/>
    <n v="0"/>
    <n v="0"/>
    <n v="0"/>
    <n v="0"/>
    <n v="0"/>
    <n v="30"/>
    <n v="0"/>
    <n v="0"/>
    <n v="0"/>
    <n v="30.04"/>
    <n v="0"/>
    <n v="0"/>
    <n v="60.04"/>
    <n v="0"/>
  </r>
  <r>
    <x v="5"/>
    <x v="9"/>
    <x v="0"/>
    <s v="6920501"/>
    <n v="700034"/>
    <s v="Salaries-Tech/Professional-Productive"/>
    <s v="Risk Management"/>
    <x v="0"/>
    <m/>
    <n v="13651.54"/>
    <n v="14290.42"/>
    <n v="17265.759999999998"/>
    <n v="18611.13"/>
    <n v="19156.41"/>
    <n v="12058.18"/>
    <n v="18502.36"/>
    <n v="17729.34"/>
    <n v="19098.12"/>
    <n v="16959.52"/>
    <n v="19282.330000000002"/>
    <n v="15450.8"/>
    <n v="202055.90999999997"/>
    <n v="3831.5300000000025"/>
  </r>
  <r>
    <x v="5"/>
    <x v="9"/>
    <x v="0"/>
    <s v="6920501"/>
    <n v="700038"/>
    <s v="Salaries-Service/Support-Productive"/>
    <s v="Risk Management"/>
    <x v="0"/>
    <m/>
    <n v="3834.31"/>
    <n v="3756.78"/>
    <n v="3782.72"/>
    <n v="3097.7"/>
    <n v="4209.9399999999996"/>
    <n v="3438.49"/>
    <n v="4084.33"/>
    <n v="840.62"/>
    <n v="4880.45"/>
    <n v="4067"/>
    <n v="4012.9"/>
    <n v="3674.02"/>
    <n v="43679.259999999995"/>
    <n v="338.88000000000011"/>
  </r>
  <r>
    <x v="5"/>
    <x v="9"/>
    <x v="0"/>
    <s v="6920501"/>
    <n v="700038"/>
    <s v="Salaries-Service/Support-OT"/>
    <s v="Risk Management"/>
    <x v="0"/>
    <n v="1000"/>
    <n v="0"/>
    <n v="0"/>
    <n v="0"/>
    <n v="0"/>
    <n v="0"/>
    <n v="0"/>
    <n v="0"/>
    <n v="0"/>
    <n v="0"/>
    <n v="8.89"/>
    <n v="0"/>
    <n v="0"/>
    <n v="8.89"/>
    <n v="0"/>
  </r>
  <r>
    <x v="5"/>
    <x v="9"/>
    <x v="0"/>
    <s v="6920501"/>
    <n v="700054"/>
    <s v="Salaries-Management-Non-productive"/>
    <s v="Risk Management"/>
    <x v="0"/>
    <m/>
    <n v="13835.55"/>
    <n v="9900.11"/>
    <n v="11442.56"/>
    <n v="3959.51"/>
    <n v="10640.23"/>
    <n v="20519.669999999998"/>
    <n v="6975.52"/>
    <n v="8989.19"/>
    <n v="2516.16"/>
    <n v="3639.77"/>
    <n v="-66.56"/>
    <n v="10912.58"/>
    <n v="103264.29000000002"/>
    <n v="-10979.14"/>
  </r>
  <r>
    <x v="5"/>
    <x v="9"/>
    <x v="0"/>
    <s v="6920501"/>
    <n v="700054"/>
    <s v="Salaries-Management-NonProd-Other"/>
    <s v="Risk Management"/>
    <x v="0"/>
    <n v="2000"/>
    <n v="0"/>
    <n v="0"/>
    <n v="0"/>
    <n v="0"/>
    <n v="0"/>
    <n v="191.7"/>
    <n v="-191.7"/>
    <n v="0"/>
    <n v="0"/>
    <n v="0"/>
    <n v="0"/>
    <n v="0"/>
    <n v="0"/>
    <n v="0"/>
  </r>
  <r>
    <x v="5"/>
    <x v="9"/>
    <x v="0"/>
    <s v="6920501"/>
    <n v="700074"/>
    <s v="Salaries-Tech/Professional-Non-productive"/>
    <s v="Risk Management"/>
    <x v="0"/>
    <m/>
    <n v="5573"/>
    <n v="4935.0200000000004"/>
    <n v="1339.76"/>
    <n v="1198.57"/>
    <n v="149.38"/>
    <n v="7891.75"/>
    <n v="1478.75"/>
    <n v="316.3"/>
    <n v="881.12"/>
    <n v="2374.59"/>
    <n v="696.89"/>
    <n v="3884.2"/>
    <n v="30719.329999999998"/>
    <n v="-3187.31"/>
  </r>
  <r>
    <x v="5"/>
    <x v="9"/>
    <x v="0"/>
    <s v="6920501"/>
    <n v="700074"/>
    <s v="Salaries-Tech/Professional-NonProd-Other"/>
    <s v="Risk Management"/>
    <x v="0"/>
    <n v="2000"/>
    <n v="0"/>
    <n v="0"/>
    <n v="0"/>
    <n v="0"/>
    <n v="424.75"/>
    <n v="849.5"/>
    <n v="0"/>
    <n v="-1274.25"/>
    <n v="0"/>
    <n v="0"/>
    <n v="0"/>
    <n v="0"/>
    <n v="0"/>
    <n v="0"/>
  </r>
  <r>
    <x v="5"/>
    <x v="9"/>
    <x v="0"/>
    <s v="6920501"/>
    <n v="700078"/>
    <s v="Salaries-Service/Support-Non-productive"/>
    <s v="Risk Management"/>
    <x v="0"/>
    <m/>
    <n v="181.36"/>
    <n v="259.07"/>
    <n v="103.65"/>
    <n v="1063.8599999999999"/>
    <n v="-148.9"/>
    <n v="758.05"/>
    <n v="118.76"/>
    <n v="2955.34"/>
    <n v="-677.76"/>
    <n v="0"/>
    <n v="189.8"/>
    <n v="393.14"/>
    <n v="5196.3700000000008"/>
    <n v="-203.33999999999997"/>
  </r>
  <r>
    <x v="5"/>
    <x v="9"/>
    <x v="0"/>
    <s v="6920501"/>
    <n v="700084"/>
    <s v="Accrued PTO"/>
    <s v="Risk Management"/>
    <x v="0"/>
    <m/>
    <n v="-2069.23"/>
    <n v="-1074.8900000000001"/>
    <n v="-1319.74"/>
    <n v="7384.9"/>
    <n v="4726.63"/>
    <n v="-10620.05"/>
    <n v="2728.73"/>
    <n v="1136.53"/>
    <n v="9562.26"/>
    <n v="6442.84"/>
    <n v="8746.32"/>
    <n v="645.91999999999996"/>
    <n v="26290.22"/>
    <n v="8100.4"/>
  </r>
  <r>
    <x v="6"/>
    <x v="9"/>
    <x v="0"/>
    <s v="6920501"/>
    <n v="713010"/>
    <s v="Benefits-FICA/Medicare"/>
    <s v="Risk Management"/>
    <x v="0"/>
    <m/>
    <n v="8156.1"/>
    <n v="7802.7"/>
    <n v="6899.76"/>
    <n v="7132.55"/>
    <n v="7102.89"/>
    <n v="7541.45"/>
    <n v="7837.96"/>
    <n v="7090.6"/>
    <n v="7819.14"/>
    <n v="8386.86"/>
    <n v="7166.92"/>
    <n v="6521.54"/>
    <n v="89458.469999999987"/>
    <n v="645.38000000000011"/>
  </r>
  <r>
    <x v="6"/>
    <x v="9"/>
    <x v="0"/>
    <s v="6920501"/>
    <n v="713090"/>
    <s v="Benefits-Allocated Amounts"/>
    <s v="Risk Management"/>
    <x v="0"/>
    <m/>
    <n v="18370.080000000002"/>
    <n v="15653.86"/>
    <n v="15260.67"/>
    <n v="15062.34"/>
    <n v="14050.14"/>
    <n v="16452.18"/>
    <n v="18373.71"/>
    <n v="17299.48"/>
    <n v="20138.86"/>
    <n v="17301.52"/>
    <n v="16485.13"/>
    <n v="15936.31"/>
    <n v="200384.27999999997"/>
    <n v="548.82000000000153"/>
  </r>
  <r>
    <x v="6"/>
    <x v="9"/>
    <x v="0"/>
    <s v="6920501"/>
    <n v="713096"/>
    <s v="Employee Recognition"/>
    <s v="Risk Management"/>
    <x v="0"/>
    <n v="1017"/>
    <n v="0"/>
    <n v="0"/>
    <n v="96.23"/>
    <n v="106.69"/>
    <n v="0"/>
    <n v="152.41"/>
    <n v="0"/>
    <n v="0"/>
    <n v="0"/>
    <n v="30.37"/>
    <n v="65.400000000000006"/>
    <n v="0"/>
    <n v="451.1"/>
    <n v="65.400000000000006"/>
  </r>
  <r>
    <x v="7"/>
    <x v="9"/>
    <x v="0"/>
    <s v="6920501"/>
    <n v="718050"/>
    <s v="Contract Svcs-Other"/>
    <s v="Risk Management"/>
    <x v="0"/>
    <m/>
    <n v="0"/>
    <n v="122.26"/>
    <n v="8.7899999999999991"/>
    <n v="25.58"/>
    <n v="8.7899999999999991"/>
    <n v="9.64"/>
    <n v="0"/>
    <n v="0"/>
    <n v="0"/>
    <n v="0"/>
    <n v="0"/>
    <n v="0"/>
    <n v="175.06"/>
    <n v="0"/>
  </r>
  <r>
    <x v="7"/>
    <x v="9"/>
    <x v="0"/>
    <s v="6920501"/>
    <n v="718050"/>
    <s v="Document Shredding/Storage"/>
    <s v="Risk Management"/>
    <x v="0"/>
    <n v="1012"/>
    <n v="142.21"/>
    <n v="-57.38"/>
    <n v="49.02"/>
    <n v="68.81"/>
    <n v="11.25"/>
    <n v="50.71"/>
    <n v="50.2"/>
    <n v="81.510000000000005"/>
    <n v="63.35"/>
    <n v="20.46"/>
    <n v="49.07"/>
    <n v="50.71"/>
    <n v="579.92000000000007"/>
    <n v="-1.6400000000000006"/>
  </r>
  <r>
    <x v="7"/>
    <x v="9"/>
    <x v="0"/>
    <s v="6920501"/>
    <n v="718050"/>
    <s v="Miscellaneous Purchased Svcs"/>
    <s v="Risk Management"/>
    <x v="0"/>
    <n v="1020"/>
    <n v="0"/>
    <n v="0"/>
    <n v="9.64"/>
    <n v="0"/>
    <n v="0"/>
    <n v="0"/>
    <n v="0"/>
    <n v="0"/>
    <n v="0"/>
    <n v="0"/>
    <n v="0"/>
    <n v="0"/>
    <n v="9.64"/>
    <n v="0"/>
  </r>
  <r>
    <x v="11"/>
    <x v="9"/>
    <x v="0"/>
    <s v="6920501"/>
    <n v="721810"/>
    <s v="Supplies-Dietary/Cafeteria"/>
    <s v="Risk Management"/>
    <x v="0"/>
    <m/>
    <n v="0"/>
    <n v="50.7"/>
    <n v="0"/>
    <n v="0"/>
    <n v="0"/>
    <n v="0"/>
    <n v="0"/>
    <n v="0"/>
    <n v="0"/>
    <n v="0"/>
    <n v="0"/>
    <n v="1641.98"/>
    <n v="1692.68"/>
    <n v="-1641.98"/>
  </r>
  <r>
    <x v="11"/>
    <x v="9"/>
    <x v="0"/>
    <s v="6920501"/>
    <n v="721830"/>
    <s v="Supplies-Office"/>
    <s v="Risk Management"/>
    <x v="0"/>
    <m/>
    <n v="0"/>
    <n v="425.72"/>
    <n v="145.72"/>
    <n v="343.78"/>
    <n v="99.1"/>
    <n v="0"/>
    <n v="589.64"/>
    <n v="0"/>
    <n v="907.17"/>
    <n v="235.73"/>
    <n v="-637.58000000000004"/>
    <n v="73.28"/>
    <n v="2182.5600000000004"/>
    <n v="-710.86"/>
  </r>
  <r>
    <x v="11"/>
    <x v="9"/>
    <x v="0"/>
    <s v="6920501"/>
    <n v="721835"/>
    <s v="Supplies-Forms"/>
    <s v="Risk Management"/>
    <x v="0"/>
    <m/>
    <n v="0"/>
    <n v="0"/>
    <n v="0"/>
    <n v="0"/>
    <n v="1.64"/>
    <n v="0"/>
    <n v="100"/>
    <n v="0"/>
    <n v="56.93"/>
    <n v="0"/>
    <n v="55.75"/>
    <n v="0"/>
    <n v="214.32"/>
    <n v="55.75"/>
  </r>
  <r>
    <x v="11"/>
    <x v="9"/>
    <x v="0"/>
    <s v="6920501"/>
    <n v="721980"/>
    <s v="Supplies-Other"/>
    <s v="Risk Management"/>
    <x v="0"/>
    <m/>
    <n v="0"/>
    <n v="0"/>
    <n v="0"/>
    <n v="0"/>
    <n v="0"/>
    <n v="138.66"/>
    <n v="0"/>
    <n v="0"/>
    <n v="0"/>
    <n v="0"/>
    <n v="0"/>
    <n v="0"/>
    <n v="138.66"/>
    <n v="0"/>
  </r>
  <r>
    <x v="11"/>
    <x v="9"/>
    <x v="0"/>
    <s v="6920501"/>
    <n v="722000"/>
    <s v="Supplies-Freight Expense"/>
    <s v="Risk Management"/>
    <x v="0"/>
    <m/>
    <n v="0"/>
    <n v="0"/>
    <n v="0"/>
    <n v="20.64"/>
    <n v="0"/>
    <n v="0"/>
    <n v="0"/>
    <n v="0"/>
    <n v="62.13"/>
    <n v="0"/>
    <n v="9.3000000000000007"/>
    <n v="0"/>
    <n v="92.070000000000007"/>
    <n v="9.3000000000000007"/>
  </r>
  <r>
    <x v="12"/>
    <x v="9"/>
    <x v="0"/>
    <s v="6920501"/>
    <n v="730020"/>
    <s v="Rental and Leases-Copier Usage Fees (DO NOT USE)"/>
    <s v="Risk Management"/>
    <x v="0"/>
    <n v="5100"/>
    <n v="728.04"/>
    <n v="740.22"/>
    <n v="491.18"/>
    <n v="709.05"/>
    <n v="709.05"/>
    <n v="709.04"/>
    <n v="604.30999999999995"/>
    <n v="571.23"/>
    <n v="570.03"/>
    <n v="843.08"/>
    <n v="571.23"/>
    <n v="758.5"/>
    <n v="8004.9599999999991"/>
    <n v="-187.26999999999998"/>
  </r>
  <r>
    <x v="15"/>
    <x v="9"/>
    <x v="0"/>
    <s v="6920501"/>
    <n v="731060"/>
    <s v="Pagers"/>
    <s v="Risk Management"/>
    <x v="0"/>
    <n v="1002"/>
    <n v="82.21"/>
    <n v="82.21"/>
    <n v="82.21"/>
    <n v="82.41"/>
    <n v="82.41"/>
    <n v="0"/>
    <n v="184.23"/>
    <n v="74.290000000000006"/>
    <n v="74.290000000000006"/>
    <n v="93.69"/>
    <n v="38.44"/>
    <n v="32.479999999999997"/>
    <n v="908.86999999999989"/>
    <n v="5.9600000000000009"/>
  </r>
  <r>
    <x v="16"/>
    <x v="9"/>
    <x v="0"/>
    <s v="6920501"/>
    <n v="732030"/>
    <s v="Repairs---Other"/>
    <s v="Risk Management"/>
    <x v="0"/>
    <m/>
    <n v="0"/>
    <n v="84.06"/>
    <n v="0"/>
    <n v="0"/>
    <n v="0"/>
    <n v="0"/>
    <n v="0"/>
    <n v="0"/>
    <n v="0"/>
    <n v="0"/>
    <n v="0"/>
    <n v="0"/>
    <n v="84.06"/>
    <n v="0"/>
  </r>
  <r>
    <x v="0"/>
    <x v="9"/>
    <x v="0"/>
    <s v="6920501"/>
    <n v="740020"/>
    <s v="Education-Registration Fees"/>
    <s v="Risk Management"/>
    <x v="0"/>
    <m/>
    <n v="0"/>
    <n v="39"/>
    <n v="825"/>
    <n v="75"/>
    <n v="0"/>
    <n v="0"/>
    <n v="0"/>
    <n v="0"/>
    <n v="0"/>
    <n v="0"/>
    <n v="1398"/>
    <n v="150"/>
    <n v="2487"/>
    <n v="1248"/>
  </r>
  <r>
    <x v="0"/>
    <x v="9"/>
    <x v="0"/>
    <s v="6920501"/>
    <n v="743020"/>
    <s v="Dues--Individual"/>
    <s v="Risk Management"/>
    <x v="0"/>
    <m/>
    <n v="159"/>
    <n v="159"/>
    <n v="159"/>
    <n v="0"/>
    <n v="0"/>
    <n v="0"/>
    <n v="0"/>
    <n v="0"/>
    <n v="0"/>
    <n v="0"/>
    <n v="660"/>
    <n v="0"/>
    <n v="1137"/>
    <n v="660"/>
  </r>
  <r>
    <x v="0"/>
    <x v="9"/>
    <x v="0"/>
    <s v="6920501"/>
    <n v="743030"/>
    <s v="Subscriptions--Institutional"/>
    <s v="Risk Management"/>
    <x v="0"/>
    <m/>
    <n v="0"/>
    <n v="0"/>
    <n v="0"/>
    <n v="0"/>
    <n v="0"/>
    <n v="0"/>
    <n v="0"/>
    <n v="0"/>
    <n v="0"/>
    <n v="381"/>
    <n v="0"/>
    <n v="0"/>
    <n v="381"/>
    <n v="0"/>
  </r>
  <r>
    <x v="0"/>
    <x v="9"/>
    <x v="0"/>
    <s v="6920501"/>
    <n v="749510"/>
    <s v="Miscellaneous Expenses"/>
    <s v="Risk Management"/>
    <x v="0"/>
    <m/>
    <n v="-31.57"/>
    <n v="997.57"/>
    <n v="-890.24"/>
    <n v="955.52"/>
    <n v="-772.26"/>
    <n v="191.22"/>
    <n v="122.78"/>
    <n v="-357.18"/>
    <n v="0"/>
    <n v="567.67999999999995"/>
    <n v="182.15"/>
    <n v="-80.239999999999995"/>
    <n v="885.43"/>
    <n v="262.39"/>
  </r>
  <r>
    <x v="0"/>
    <x v="9"/>
    <x v="0"/>
    <s v="6920501"/>
    <n v="749510"/>
    <s v="RICE Rewards"/>
    <s v="Risk Management"/>
    <x v="0"/>
    <n v="5100"/>
    <n v="0"/>
    <n v="0"/>
    <n v="0"/>
    <n v="0"/>
    <n v="0"/>
    <n v="0"/>
    <n v="0"/>
    <n v="147.19999999999999"/>
    <n v="0"/>
    <n v="0"/>
    <n v="0"/>
    <n v="465.74"/>
    <n v="612.94000000000005"/>
    <n v="-465.74"/>
  </r>
  <r>
    <x v="0"/>
    <x v="9"/>
    <x v="0"/>
    <s v="6920501"/>
    <n v="749530"/>
    <s v="Travel"/>
    <s v="Risk Management"/>
    <x v="0"/>
    <m/>
    <n v="12"/>
    <n v="0"/>
    <n v="455.4"/>
    <n v="6"/>
    <n v="1298.9100000000001"/>
    <n v="12"/>
    <n v="712.53"/>
    <n v="36"/>
    <n v="0"/>
    <n v="0"/>
    <n v="250"/>
    <n v="64.02"/>
    <n v="2846.86"/>
    <n v="185.98000000000002"/>
  </r>
  <r>
    <x v="0"/>
    <x v="9"/>
    <x v="0"/>
    <s v="6920501"/>
    <n v="749530"/>
    <s v="Mileage"/>
    <s v="Risk Management"/>
    <x v="0"/>
    <n v="1001"/>
    <n v="111.73"/>
    <n v="83.4"/>
    <n v="166.25"/>
    <n v="98.67"/>
    <n v="112.83"/>
    <n v="169.03"/>
    <n v="264.37"/>
    <n v="406"/>
    <n v="33.64"/>
    <n v="71.92"/>
    <n v="38.28"/>
    <n v="283.62"/>
    <n v="1839.7400000000002"/>
    <n v="-245.34"/>
  </r>
  <r>
    <x v="0"/>
    <x v="9"/>
    <x v="0"/>
    <s v="6920501"/>
    <n v="749535"/>
    <s v="Meetings"/>
    <s v="Risk Management"/>
    <x v="0"/>
    <m/>
    <n v="0"/>
    <n v="0"/>
    <n v="0"/>
    <n v="0"/>
    <n v="0"/>
    <n v="0"/>
    <n v="2487.83"/>
    <n v="0"/>
    <n v="0"/>
    <n v="0"/>
    <n v="0"/>
    <n v="0"/>
    <n v="2487.83"/>
    <n v="0"/>
  </r>
  <r>
    <x v="5"/>
    <x v="6"/>
    <x v="0"/>
    <s v="6921107"/>
    <n v="700034"/>
    <s v="Salaries-Tech/Professional-Productive"/>
    <s v="Patient Advocacy"/>
    <x v="0"/>
    <m/>
    <n v="0"/>
    <n v="4267.21"/>
    <n v="-1280.01"/>
    <n v="0"/>
    <n v="0"/>
    <n v="0"/>
    <n v="0"/>
    <n v="0"/>
    <n v="0"/>
    <n v="0"/>
    <n v="0"/>
    <n v="0"/>
    <n v="2987.2"/>
    <n v="0"/>
  </r>
  <r>
    <x v="5"/>
    <x v="6"/>
    <x v="0"/>
    <s v="6921107"/>
    <n v="700038"/>
    <s v="Salaries-Service/Support-Productive"/>
    <s v="Patient Advocacy"/>
    <x v="0"/>
    <m/>
    <n v="14463.19"/>
    <n v="16575.72"/>
    <n v="15194.78"/>
    <n v="16016.34"/>
    <n v="15291.02"/>
    <n v="11745.17"/>
    <n v="13390.12"/>
    <n v="12881.6"/>
    <n v="14831.96"/>
    <n v="13619.65"/>
    <n v="14934.12"/>
    <n v="13319.72"/>
    <n v="172263.38999999998"/>
    <n v="1614.4000000000015"/>
  </r>
  <r>
    <x v="5"/>
    <x v="6"/>
    <x v="0"/>
    <s v="6921107"/>
    <n v="700038"/>
    <s v="Salaries-Service/Support-OT"/>
    <s v="Patient Advocacy"/>
    <x v="0"/>
    <n v="1000"/>
    <n v="338.57"/>
    <n v="66.36"/>
    <n v="788.46"/>
    <n v="547.91999999999996"/>
    <n v="312.42"/>
    <n v="-65.17"/>
    <n v="297.05"/>
    <n v="288.77"/>
    <n v="0"/>
    <n v="249.61"/>
    <n v="37.270000000000003"/>
    <n v="-18.98"/>
    <n v="2842.28"/>
    <n v="56.25"/>
  </r>
  <r>
    <x v="5"/>
    <x v="6"/>
    <x v="0"/>
    <s v="6921107"/>
    <n v="700038"/>
    <s v="Salaries-Service/Support-Other"/>
    <s v="Patient Advocacy"/>
    <x v="0"/>
    <n v="2000"/>
    <n v="620.91999999999996"/>
    <n v="793.57"/>
    <n v="644.11"/>
    <n v="657.76"/>
    <n v="609.20000000000005"/>
    <n v="432.88"/>
    <n v="427.6"/>
    <n v="394.96"/>
    <n v="620.5"/>
    <n v="387.42"/>
    <n v="575.65"/>
    <n v="343.74"/>
    <n v="6508.3099999999995"/>
    <n v="231.90999999999997"/>
  </r>
  <r>
    <x v="5"/>
    <x v="6"/>
    <x v="0"/>
    <s v="6921107"/>
    <n v="700078"/>
    <s v="Salaries-Service/Support-Non-productive"/>
    <s v="Patient Advocacy"/>
    <x v="0"/>
    <m/>
    <n v="2838.32"/>
    <n v="2638.68"/>
    <n v="1315.33"/>
    <n v="326.91000000000003"/>
    <n v="1696.38"/>
    <n v="4426.29"/>
    <n v="2341"/>
    <n v="2471.65"/>
    <n v="-28.28"/>
    <n v="1548.69"/>
    <n v="2256.79"/>
    <n v="744.37"/>
    <n v="22576.13"/>
    <n v="1512.42"/>
  </r>
  <r>
    <x v="5"/>
    <x v="6"/>
    <x v="0"/>
    <s v="6921107"/>
    <n v="700078"/>
    <s v="Salaries-Service/Support-NonProd-Other"/>
    <s v="Patient Advocacy"/>
    <x v="0"/>
    <n v="2000"/>
    <n v="26.83"/>
    <n v="-4.7300000000000004"/>
    <n v="28.41"/>
    <n v="19.489999999999998"/>
    <n v="106.24"/>
    <n v="97.09"/>
    <n v="80.63"/>
    <n v="-7.9"/>
    <n v="0"/>
    <n v="0"/>
    <n v="86.92"/>
    <n v="-5.95"/>
    <n v="427.03000000000009"/>
    <n v="92.87"/>
  </r>
  <r>
    <x v="5"/>
    <x v="6"/>
    <x v="0"/>
    <s v="6921107"/>
    <n v="700084"/>
    <s v="Accrued PTO"/>
    <s v="Patient Advocacy"/>
    <x v="0"/>
    <m/>
    <n v="-213.17"/>
    <n v="627.57000000000005"/>
    <n v="-11941.21"/>
    <n v="1437.45"/>
    <n v="211.04"/>
    <n v="-2489.81"/>
    <n v="-772.14"/>
    <n v="-609.45000000000005"/>
    <n v="1303.6400000000001"/>
    <n v="458.16"/>
    <n v="516.51"/>
    <n v="864.67"/>
    <n v="-10606.739999999998"/>
    <n v="-348.15999999999997"/>
  </r>
  <r>
    <x v="6"/>
    <x v="6"/>
    <x v="0"/>
    <s v="6921107"/>
    <n v="713010"/>
    <s v="Benefits-FICA/Medicare"/>
    <s v="Patient Advocacy"/>
    <x v="0"/>
    <m/>
    <n v="1351.39"/>
    <n v="1788.19"/>
    <n v="1237.8"/>
    <n v="1296.98"/>
    <n v="1355.28"/>
    <n v="1219.8499999999999"/>
    <n v="1204.56"/>
    <n v="1172.57"/>
    <n v="1122.1500000000001"/>
    <n v="1150.55"/>
    <n v="1309.19"/>
    <n v="1042.55"/>
    <n v="15251.059999999998"/>
    <n v="266.6400000000001"/>
  </r>
  <r>
    <x v="6"/>
    <x v="6"/>
    <x v="0"/>
    <s v="6921107"/>
    <n v="713090"/>
    <s v="Benefits-Allocated Amounts"/>
    <s v="Patient Advocacy"/>
    <x v="0"/>
    <m/>
    <n v="5675.87"/>
    <n v="6410.14"/>
    <n v="4874.53"/>
    <n v="5267.41"/>
    <n v="6386.88"/>
    <n v="5298.04"/>
    <n v="5365.63"/>
    <n v="5431.55"/>
    <n v="4353.8500000000004"/>
    <n v="5600.49"/>
    <n v="5702.28"/>
    <n v="5617.59"/>
    <n v="65984.259999999995"/>
    <n v="84.6899999999996"/>
  </r>
  <r>
    <x v="6"/>
    <x v="6"/>
    <x v="0"/>
    <s v="6921107"/>
    <n v="713096"/>
    <s v="Employee Recognition"/>
    <s v="Patient Advocacy"/>
    <x v="0"/>
    <n v="1017"/>
    <n v="0"/>
    <n v="0"/>
    <n v="0"/>
    <n v="0"/>
    <n v="0"/>
    <n v="0"/>
    <n v="0"/>
    <n v="0"/>
    <n v="0"/>
    <n v="0"/>
    <n v="636.51"/>
    <n v="0"/>
    <n v="636.51"/>
    <n v="636.51"/>
  </r>
  <r>
    <x v="7"/>
    <x v="6"/>
    <x v="0"/>
    <s v="6921107"/>
    <n v="718050"/>
    <s v="Contract Svcs-Other"/>
    <s v="Patient Advocacy"/>
    <x v="0"/>
    <m/>
    <n v="899.81"/>
    <n v="19617.7"/>
    <n v="8909.0400000000009"/>
    <n v="9808.85"/>
    <n v="0"/>
    <n v="8909.0400000000009"/>
    <n v="8909.0400000000009"/>
    <n v="0"/>
    <n v="17818.080000000002"/>
    <n v="0"/>
    <n v="17907.169999999998"/>
    <n v="17996.259999999998"/>
    <n v="110774.98999999999"/>
    <n v="-89.090000000000146"/>
  </r>
  <r>
    <x v="11"/>
    <x v="6"/>
    <x v="0"/>
    <s v="6921107"/>
    <n v="721410"/>
    <s v="Supplies-Medical - Nonbillable"/>
    <s v="Patient Advocacy"/>
    <x v="0"/>
    <m/>
    <n v="29.1"/>
    <n v="33.950000000000003"/>
    <n v="0"/>
    <n v="72.75"/>
    <n v="0"/>
    <n v="0"/>
    <n v="38.799999999999997"/>
    <n v="0"/>
    <n v="0"/>
    <n v="0"/>
    <n v="38.799999999999997"/>
    <n v="0"/>
    <n v="213.40000000000003"/>
    <n v="38.799999999999997"/>
  </r>
  <r>
    <x v="11"/>
    <x v="6"/>
    <x v="0"/>
    <s v="6921107"/>
    <n v="721810"/>
    <s v="Supplies-Dietary/Cafeteria"/>
    <s v="Patient Advocacy"/>
    <x v="0"/>
    <m/>
    <n v="0"/>
    <n v="0"/>
    <n v="0"/>
    <n v="7.23"/>
    <n v="0"/>
    <n v="0"/>
    <n v="0"/>
    <n v="14.62"/>
    <n v="0"/>
    <n v="0"/>
    <n v="0"/>
    <n v="0"/>
    <n v="21.85"/>
    <n v="0"/>
  </r>
  <r>
    <x v="11"/>
    <x v="6"/>
    <x v="0"/>
    <s v="6921107"/>
    <n v="721830"/>
    <s v="Supplies-Office"/>
    <s v="Patient Advocacy"/>
    <x v="0"/>
    <m/>
    <n v="97.03"/>
    <n v="74.05"/>
    <n v="0"/>
    <n v="0"/>
    <n v="219.16"/>
    <n v="0"/>
    <n v="100.5"/>
    <n v="0"/>
    <n v="76.010000000000005"/>
    <n v="186"/>
    <n v="0"/>
    <n v="49.88"/>
    <n v="802.63"/>
    <n v="-49.88"/>
  </r>
  <r>
    <x v="11"/>
    <x v="6"/>
    <x v="0"/>
    <s v="6921107"/>
    <n v="721870"/>
    <s v="Supplies-Environmental Services"/>
    <s v="Patient Advocacy"/>
    <x v="0"/>
    <m/>
    <n v="23.64"/>
    <n v="35.46"/>
    <n v="0"/>
    <n v="35.46"/>
    <n v="47.28"/>
    <n v="0"/>
    <n v="31.52"/>
    <n v="0"/>
    <n v="0"/>
    <n v="31.52"/>
    <n v="47.28"/>
    <n v="0"/>
    <n v="252.16000000000003"/>
    <n v="47.28"/>
  </r>
  <r>
    <x v="11"/>
    <x v="6"/>
    <x v="0"/>
    <s v="6921107"/>
    <n v="721910"/>
    <s v="Supplies-Small Equipment"/>
    <s v="Patient Advocacy"/>
    <x v="0"/>
    <m/>
    <n v="0"/>
    <n v="0"/>
    <n v="0"/>
    <n v="0"/>
    <n v="0"/>
    <n v="0"/>
    <n v="0"/>
    <n v="0"/>
    <n v="1910"/>
    <n v="0"/>
    <n v="245.31"/>
    <n v="0"/>
    <n v="2155.31"/>
    <n v="245.31"/>
  </r>
  <r>
    <x v="11"/>
    <x v="6"/>
    <x v="0"/>
    <s v="6921107"/>
    <n v="721980"/>
    <s v="Supplies-Other"/>
    <s v="Patient Advocacy"/>
    <x v="0"/>
    <m/>
    <n v="0"/>
    <n v="0"/>
    <n v="0"/>
    <n v="0"/>
    <n v="0"/>
    <n v="24.33"/>
    <n v="28.5"/>
    <n v="0"/>
    <n v="0"/>
    <n v="0"/>
    <n v="0"/>
    <n v="0"/>
    <n v="52.83"/>
    <n v="0"/>
  </r>
  <r>
    <x v="12"/>
    <x v="6"/>
    <x v="0"/>
    <s v="6921107"/>
    <n v="730020"/>
    <s v="Rental and Leases-Copier Usage Fees (DO NOT USE)"/>
    <s v="Patient Advocacy"/>
    <x v="0"/>
    <n v="5100"/>
    <n v="42.74"/>
    <n v="42.92"/>
    <n v="42.83"/>
    <n v="42.83"/>
    <n v="42.83"/>
    <n v="42.83"/>
    <n v="2.04"/>
    <n v="30.89"/>
    <n v="30.82"/>
    <n v="76.209999999999994"/>
    <n v="30.89"/>
    <n v="34.4"/>
    <n v="462.2299999999999"/>
    <n v="-3.509999999999998"/>
  </r>
  <r>
    <x v="15"/>
    <x v="6"/>
    <x v="0"/>
    <s v="6921107"/>
    <n v="731060"/>
    <s v="Pagers"/>
    <s v="Patient Advocacy"/>
    <x v="0"/>
    <n v="1002"/>
    <n v="624.4"/>
    <n v="624.4"/>
    <n v="624.4"/>
    <n v="796.47"/>
    <n v="0"/>
    <n v="706.63"/>
    <n v="1434.85"/>
    <n v="684.18"/>
    <n v="706.2"/>
    <n v="706.2"/>
    <n v="143.21"/>
    <n v="0"/>
    <n v="7050.94"/>
    <n v="143.21"/>
  </r>
  <r>
    <x v="0"/>
    <x v="6"/>
    <x v="0"/>
    <s v="6921107"/>
    <n v="749510"/>
    <s v="Miscellaneous Expenses"/>
    <s v="Patient Advocacy"/>
    <x v="0"/>
    <m/>
    <n v="50.25"/>
    <n v="0"/>
    <n v="0"/>
    <n v="41.39"/>
    <n v="0"/>
    <n v="0"/>
    <n v="0"/>
    <n v="0"/>
    <n v="0"/>
    <n v="0"/>
    <n v="0"/>
    <n v="54.45"/>
    <n v="146.09"/>
    <n v="-54.45"/>
  </r>
  <r>
    <x v="2"/>
    <x v="3"/>
    <x v="0"/>
    <s v="6922101"/>
    <n v="450010"/>
    <s v="Contr Allow--Acute IP-Medicare"/>
    <s v="Risk Bundles"/>
    <x v="0"/>
    <n v="1100"/>
    <n v="0"/>
    <n v="0"/>
    <n v="0"/>
    <n v="0"/>
    <n v="0"/>
    <n v="0"/>
    <n v="0"/>
    <n v="0"/>
    <n v="-33890.199999999997"/>
    <n v="0"/>
    <n v="0"/>
    <n v="0"/>
    <n v="-33890.199999999997"/>
    <n v="0"/>
  </r>
  <r>
    <x v="5"/>
    <x v="3"/>
    <x v="0"/>
    <s v="6922101"/>
    <n v="700024"/>
    <s v="Salaries-Advanced Practice Clinician-Productive"/>
    <s v="Risk Bundles"/>
    <x v="0"/>
    <m/>
    <n v="0"/>
    <n v="0"/>
    <n v="0"/>
    <n v="0"/>
    <n v="0"/>
    <n v="80.650000000000006"/>
    <n v="-10.07"/>
    <n v="0"/>
    <n v="0"/>
    <n v="0"/>
    <n v="0"/>
    <n v="0"/>
    <n v="70.580000000000013"/>
    <n v="0"/>
  </r>
  <r>
    <x v="5"/>
    <x v="3"/>
    <x v="0"/>
    <s v="6922101"/>
    <n v="700026"/>
    <s v="Salaries-RN-Productive"/>
    <s v="Risk Bundles"/>
    <x v="0"/>
    <m/>
    <n v="0"/>
    <n v="0"/>
    <n v="203.85"/>
    <n v="0"/>
    <n v="0"/>
    <n v="0"/>
    <n v="0"/>
    <n v="0"/>
    <n v="0"/>
    <n v="0"/>
    <n v="0"/>
    <n v="0"/>
    <n v="203.85"/>
    <n v="0"/>
  </r>
  <r>
    <x v="5"/>
    <x v="3"/>
    <x v="0"/>
    <s v="6922101"/>
    <n v="700026"/>
    <s v="Salaries-RN-OT"/>
    <s v="Risk Bundles"/>
    <x v="0"/>
    <n v="1000"/>
    <n v="0"/>
    <n v="0.57999999999999996"/>
    <n v="0"/>
    <n v="1.65"/>
    <n v="0"/>
    <n v="0"/>
    <n v="0"/>
    <n v="0"/>
    <n v="0"/>
    <n v="0"/>
    <n v="0"/>
    <n v="0"/>
    <n v="2.23"/>
    <n v="0"/>
  </r>
  <r>
    <x v="5"/>
    <x v="3"/>
    <x v="0"/>
    <s v="6922101"/>
    <n v="700030"/>
    <s v="Salaries-LPN-Productive"/>
    <s v="Risk Bundles"/>
    <x v="0"/>
    <m/>
    <n v="2472.27"/>
    <n v="4118.5600000000004"/>
    <n v="9263.42"/>
    <n v="8213.6"/>
    <n v="13297.11"/>
    <n v="4407.37"/>
    <n v="5251.75"/>
    <n v="3638.88"/>
    <n v="4533.32"/>
    <n v="2848.89"/>
    <n v="4965.78"/>
    <n v="5079.68"/>
    <n v="68090.63"/>
    <n v="-113.90000000000055"/>
  </r>
  <r>
    <x v="5"/>
    <x v="3"/>
    <x v="0"/>
    <s v="6922101"/>
    <n v="700030"/>
    <s v="Salaries-LPN-OT"/>
    <s v="Risk Bundles"/>
    <x v="0"/>
    <n v="1000"/>
    <n v="0"/>
    <n v="0"/>
    <n v="0"/>
    <n v="0"/>
    <n v="183.53"/>
    <n v="-64.8"/>
    <n v="0"/>
    <n v="0"/>
    <n v="0"/>
    <n v="153.79"/>
    <n v="87.72"/>
    <n v="78.58"/>
    <n v="438.82"/>
    <n v="9.14"/>
  </r>
  <r>
    <x v="5"/>
    <x v="3"/>
    <x v="0"/>
    <s v="6922101"/>
    <n v="700030"/>
    <s v="Salaries-LPN-Other"/>
    <s v="Risk Bundles"/>
    <x v="0"/>
    <n v="2000"/>
    <n v="8.84"/>
    <n v="4.0999999999999996"/>
    <n v="35.56"/>
    <n v="16.29"/>
    <n v="25.22"/>
    <n v="14.35"/>
    <n v="10.87"/>
    <n v="10.23"/>
    <n v="18.68"/>
    <n v="24.73"/>
    <n v="20.86"/>
    <n v="5.2"/>
    <n v="194.92999999999995"/>
    <n v="15.66"/>
  </r>
  <r>
    <x v="5"/>
    <x v="3"/>
    <x v="0"/>
    <s v="6922101"/>
    <n v="700032"/>
    <s v="Salaries-Other Pat Care Providers-Productive"/>
    <s v="Risk Bundles"/>
    <x v="0"/>
    <m/>
    <n v="0"/>
    <n v="243.01"/>
    <n v="0"/>
    <n v="210.17"/>
    <n v="-92.47"/>
    <n v="0"/>
    <n v="0"/>
    <n v="0"/>
    <n v="0"/>
    <n v="0"/>
    <n v="0"/>
    <n v="39.29"/>
    <n v="399.99999999999994"/>
    <n v="-39.29"/>
  </r>
  <r>
    <x v="5"/>
    <x v="3"/>
    <x v="0"/>
    <s v="6922101"/>
    <n v="700034"/>
    <s v="Salaries-Tech/Professional-Productive"/>
    <s v="Risk Bundles"/>
    <x v="0"/>
    <m/>
    <n v="633.21"/>
    <n v="442.6"/>
    <n v="247.87"/>
    <n v="465.76"/>
    <n v="224.7"/>
    <n v="292.81"/>
    <n v="450.05"/>
    <n v="336.86"/>
    <n v="579.62"/>
    <n v="528.01"/>
    <n v="264.31"/>
    <n v="417.31"/>
    <n v="4883.1100000000006"/>
    <n v="-153"/>
  </r>
  <r>
    <x v="5"/>
    <x v="3"/>
    <x v="0"/>
    <s v="6922101"/>
    <n v="700070"/>
    <s v="Salaries-LPN-Non-productive"/>
    <s v="Risk Bundles"/>
    <x v="0"/>
    <m/>
    <n v="2614.0500000000002"/>
    <n v="1796.66"/>
    <n v="1371.3"/>
    <n v="108.99"/>
    <n v="94.53"/>
    <n v="-45.51"/>
    <n v="1280.5999999999999"/>
    <n v="1110.1199999999999"/>
    <n v="287.39999999999998"/>
    <n v="0"/>
    <n v="1051.8499999999999"/>
    <n v="1064.0899999999999"/>
    <n v="10734.079999999998"/>
    <n v="-12.240000000000009"/>
  </r>
  <r>
    <x v="6"/>
    <x v="3"/>
    <x v="0"/>
    <s v="6922101"/>
    <n v="713010"/>
    <s v="Benefits-FICA/Medicare"/>
    <s v="Risk Bundles"/>
    <x v="0"/>
    <m/>
    <n v="426.1"/>
    <n v="468.57"/>
    <n v="799.52"/>
    <n v="656.55"/>
    <n v="981.37"/>
    <n v="337.05"/>
    <n v="508.89"/>
    <n v="368.44"/>
    <n v="391.55"/>
    <n v="257.93"/>
    <n v="455.61"/>
    <n v="480.51"/>
    <n v="6132.09"/>
    <n v="-24.899999999999977"/>
  </r>
  <r>
    <x v="6"/>
    <x v="3"/>
    <x v="0"/>
    <s v="6922101"/>
    <n v="713090"/>
    <s v="Benefits-Allocated Amounts"/>
    <s v="Risk Bundles"/>
    <x v="0"/>
    <m/>
    <n v="1341.18"/>
    <n v="1449.6"/>
    <n v="2693.84"/>
    <n v="2117.6999999999998"/>
    <n v="3362.93"/>
    <n v="1176.9100000000001"/>
    <n v="1748.47"/>
    <n v="1260.8900000000001"/>
    <n v="1064.79"/>
    <n v="870.58"/>
    <n v="1883.57"/>
    <n v="1810.66"/>
    <n v="20781.12"/>
    <n v="72.909999999999854"/>
  </r>
  <r>
    <x v="7"/>
    <x v="3"/>
    <x v="0"/>
    <s v="6922101"/>
    <n v="718050"/>
    <s v="Miscellaneous Purchased Svcs"/>
    <s v="Risk Bundles"/>
    <x v="0"/>
    <n v="1020"/>
    <n v="0"/>
    <n v="0"/>
    <n v="0"/>
    <n v="0"/>
    <n v="0"/>
    <n v="0"/>
    <n v="0"/>
    <n v="0"/>
    <n v="0"/>
    <n v="0"/>
    <n v="0"/>
    <n v="2351"/>
    <n v="2351"/>
    <n v="-2351"/>
  </r>
  <r>
    <x v="7"/>
    <x v="3"/>
    <x v="0"/>
    <s v="6922101"/>
    <n v="718060"/>
    <s v="Contract Services-CHI RRC Fees"/>
    <s v="Risk Bundles"/>
    <x v="0"/>
    <m/>
    <n v="1165"/>
    <n v="1165"/>
    <n v="1165"/>
    <n v="1165"/>
    <n v="1165"/>
    <n v="1165"/>
    <n v="1165"/>
    <n v="1165"/>
    <n v="1165"/>
    <n v="3786.25"/>
    <n v="1747.5"/>
    <n v="1457"/>
    <n v="17475.75"/>
    <n v="290.5"/>
  </r>
  <r>
    <x v="7"/>
    <x v="3"/>
    <x v="0"/>
    <s v="6922101"/>
    <n v="718091"/>
    <s v="Contract Services-Intracompany Allocation"/>
    <s v="Risk Bundles"/>
    <x v="0"/>
    <m/>
    <n v="1858.97"/>
    <n v="1942.92"/>
    <n v="1709.02"/>
    <n v="2567.7199999999998"/>
    <n v="1293.81"/>
    <n v="1925.77"/>
    <n v="2176.41"/>
    <n v="1817.61"/>
    <n v="1893.93"/>
    <n v="6740.88"/>
    <n v="2468.48"/>
    <n v="-3753.03"/>
    <n v="22642.49"/>
    <n v="6221.51"/>
  </r>
  <r>
    <x v="11"/>
    <x v="3"/>
    <x v="0"/>
    <s v="6922101"/>
    <n v="721410"/>
    <s v="Supplies-Medical - Nonbillable"/>
    <s v="Risk Bundles"/>
    <x v="0"/>
    <m/>
    <n v="0"/>
    <n v="0"/>
    <n v="0"/>
    <n v="0"/>
    <n v="0"/>
    <n v="642.11"/>
    <n v="187.17"/>
    <n v="-58.91"/>
    <n v="0"/>
    <n v="0"/>
    <n v="0"/>
    <n v="0"/>
    <n v="770.37"/>
    <n v="0"/>
  </r>
  <r>
    <x v="11"/>
    <x v="3"/>
    <x v="0"/>
    <s v="6922101"/>
    <n v="721835"/>
    <s v="Supplies-Forms"/>
    <s v="Risk Bundles"/>
    <x v="0"/>
    <m/>
    <n v="0"/>
    <n v="0"/>
    <n v="0"/>
    <n v="0"/>
    <n v="88.03"/>
    <n v="0"/>
    <n v="0"/>
    <n v="0"/>
    <n v="0"/>
    <n v="154.4"/>
    <n v="0"/>
    <n v="0"/>
    <n v="242.43"/>
    <n v="0"/>
  </r>
  <r>
    <x v="11"/>
    <x v="3"/>
    <x v="0"/>
    <s v="6922101"/>
    <n v="721980"/>
    <s v="Supplies-Other"/>
    <s v="Risk Bundles"/>
    <x v="0"/>
    <m/>
    <n v="0"/>
    <n v="0"/>
    <n v="0"/>
    <n v="0"/>
    <n v="0"/>
    <n v="0"/>
    <n v="208.58"/>
    <n v="0"/>
    <n v="0"/>
    <n v="0"/>
    <n v="0"/>
    <n v="0"/>
    <n v="208.58"/>
    <n v="0"/>
  </r>
  <r>
    <x v="0"/>
    <x v="3"/>
    <x v="0"/>
    <s v="6922101"/>
    <n v="749510"/>
    <s v="Miscellaneous Expenses"/>
    <s v="Risk Bundles"/>
    <x v="0"/>
    <m/>
    <n v="0"/>
    <n v="0"/>
    <n v="0"/>
    <n v="0"/>
    <n v="0"/>
    <n v="173.52"/>
    <n v="-173.52"/>
    <n v="0"/>
    <n v="0"/>
    <n v="0"/>
    <n v="0"/>
    <n v="0"/>
    <n v="0"/>
    <n v="0"/>
  </r>
  <r>
    <x v="2"/>
    <x v="0"/>
    <x v="0"/>
    <s v="6922102"/>
    <n v="450010"/>
    <s v="Contr Allow--Acute IP-Medicare"/>
    <s v="Risk Bundles"/>
    <x v="0"/>
    <n v="1100"/>
    <n v="0"/>
    <n v="0"/>
    <n v="0"/>
    <n v="0"/>
    <n v="0"/>
    <n v="-34302.720000000001"/>
    <n v="0"/>
    <n v="0"/>
    <n v="0"/>
    <n v="0"/>
    <n v="0"/>
    <n v="0"/>
    <n v="-34302.720000000001"/>
    <n v="0"/>
  </r>
  <r>
    <x v="5"/>
    <x v="0"/>
    <x v="0"/>
    <s v="6922102"/>
    <n v="700024"/>
    <s v="Salaries-Advanced Practice Clinician-Other"/>
    <s v="Risk Bundles"/>
    <x v="0"/>
    <n v="2000"/>
    <n v="0"/>
    <n v="0"/>
    <n v="0"/>
    <n v="0"/>
    <n v="520"/>
    <n v="668.53"/>
    <n v="-83.53"/>
    <n v="0"/>
    <n v="0"/>
    <n v="0"/>
    <n v="0"/>
    <n v="0"/>
    <n v="1105"/>
    <n v="0"/>
  </r>
  <r>
    <x v="5"/>
    <x v="0"/>
    <x v="0"/>
    <s v="6922102"/>
    <n v="700026"/>
    <s v="Salaries-RN-Productive"/>
    <s v="Risk Bundles"/>
    <x v="0"/>
    <m/>
    <n v="482.35"/>
    <n v="717.72"/>
    <n v="626.85"/>
    <n v="650.77"/>
    <n v="-421.07"/>
    <n v="7942.51"/>
    <n v="2207.2800000000002"/>
    <n v="718.95"/>
    <n v="973.99"/>
    <n v="469.4"/>
    <n v="697.8"/>
    <n v="16.5"/>
    <n v="15083.050000000001"/>
    <n v="681.3"/>
  </r>
  <r>
    <x v="5"/>
    <x v="0"/>
    <x v="0"/>
    <s v="6922102"/>
    <n v="700026"/>
    <s v="Salaries-RN-OT"/>
    <s v="Risk Bundles"/>
    <x v="0"/>
    <n v="1000"/>
    <n v="0"/>
    <n v="0"/>
    <n v="0"/>
    <n v="0"/>
    <n v="0"/>
    <n v="295.2"/>
    <n v="236.51"/>
    <n v="0"/>
    <n v="0"/>
    <n v="0"/>
    <n v="33.89"/>
    <n v="-16.309999999999999"/>
    <n v="549.29000000000008"/>
    <n v="50.2"/>
  </r>
  <r>
    <x v="5"/>
    <x v="0"/>
    <x v="0"/>
    <s v="6922102"/>
    <n v="700026"/>
    <s v="Salaries-RN-Other"/>
    <s v="Risk Bundles"/>
    <x v="0"/>
    <n v="2000"/>
    <n v="11"/>
    <n v="16.07"/>
    <n v="14.03"/>
    <n v="14.57"/>
    <n v="-9.42"/>
    <n v="11.5"/>
    <n v="11.02"/>
    <n v="15.62"/>
    <n v="39.56"/>
    <n v="4.92"/>
    <n v="15.07"/>
    <n v="0.14000000000000001"/>
    <n v="144.07999999999998"/>
    <n v="14.93"/>
  </r>
  <r>
    <x v="5"/>
    <x v="0"/>
    <x v="0"/>
    <s v="6922102"/>
    <n v="700030"/>
    <s v="Salaries-LPN-Productive"/>
    <s v="Risk Bundles"/>
    <x v="0"/>
    <m/>
    <n v="2764.13"/>
    <n v="4244.03"/>
    <n v="-727.17"/>
    <n v="4360.22"/>
    <n v="-1208.51"/>
    <n v="4279.59"/>
    <n v="4425.6000000000004"/>
    <n v="4283.5"/>
    <n v="4799.84"/>
    <n v="1862.05"/>
    <n v="3930.1"/>
    <n v="1472.51"/>
    <n v="34485.89"/>
    <n v="2457.59"/>
  </r>
  <r>
    <x v="5"/>
    <x v="0"/>
    <x v="0"/>
    <s v="6922102"/>
    <n v="700030"/>
    <s v="Salaries-LPN-OT"/>
    <s v="Risk Bundles"/>
    <x v="0"/>
    <n v="1000"/>
    <n v="0"/>
    <n v="0"/>
    <n v="0"/>
    <n v="157.12"/>
    <n v="-69.13"/>
    <n v="11.49"/>
    <n v="-1.43"/>
    <n v="0"/>
    <n v="0"/>
    <n v="0"/>
    <n v="0"/>
    <n v="0"/>
    <n v="98.05"/>
    <n v="0"/>
  </r>
  <r>
    <x v="5"/>
    <x v="0"/>
    <x v="0"/>
    <s v="6922102"/>
    <n v="700030"/>
    <s v="Salaries-LPN-Other"/>
    <s v="Risk Bundles"/>
    <x v="0"/>
    <n v="2000"/>
    <n v="0"/>
    <n v="0"/>
    <n v="0"/>
    <n v="0"/>
    <n v="0"/>
    <n v="19.55"/>
    <n v="-2.44"/>
    <n v="0"/>
    <n v="0"/>
    <n v="0"/>
    <n v="0"/>
    <n v="0"/>
    <n v="17.11"/>
    <n v="0"/>
  </r>
  <r>
    <x v="5"/>
    <x v="0"/>
    <x v="0"/>
    <s v="6922102"/>
    <n v="700032"/>
    <s v="Salaries-Other Pat Care Providers-Productive"/>
    <s v="Risk Bundles"/>
    <x v="0"/>
    <m/>
    <n v="139.68"/>
    <n v="119.72"/>
    <n v="258.02"/>
    <n v="96.54"/>
    <n v="130.19"/>
    <n v="36.630000000000003"/>
    <n v="142.61000000000001"/>
    <n v="251.58"/>
    <n v="133.30000000000001"/>
    <n v="123.04"/>
    <n v="138.53"/>
    <n v="8.17"/>
    <n v="1578.0099999999998"/>
    <n v="130.36000000000001"/>
  </r>
  <r>
    <x v="5"/>
    <x v="0"/>
    <x v="0"/>
    <s v="6922102"/>
    <n v="700032"/>
    <s v="Salaries-Other Pat Care Providers-OT"/>
    <s v="Risk Bundles"/>
    <x v="0"/>
    <n v="1000"/>
    <n v="0"/>
    <n v="0"/>
    <n v="0"/>
    <n v="0"/>
    <n v="0"/>
    <n v="0"/>
    <n v="0"/>
    <n v="0"/>
    <n v="90.98"/>
    <n v="-33.08"/>
    <n v="0"/>
    <n v="0"/>
    <n v="57.900000000000006"/>
    <n v="0"/>
  </r>
  <r>
    <x v="5"/>
    <x v="0"/>
    <x v="0"/>
    <s v="6922102"/>
    <n v="700034"/>
    <s v="Salaries-Tech/Professional-Productive"/>
    <s v="Risk Bundles"/>
    <x v="0"/>
    <m/>
    <n v="0"/>
    <n v="0"/>
    <n v="0"/>
    <n v="0"/>
    <n v="0"/>
    <n v="0"/>
    <n v="0"/>
    <n v="0"/>
    <n v="5985.61"/>
    <n v="3106.43"/>
    <n v="4546.05"/>
    <n v="1742.84"/>
    <n v="15380.93"/>
    <n v="2803.21"/>
  </r>
  <r>
    <x v="5"/>
    <x v="0"/>
    <x v="0"/>
    <s v="6922102"/>
    <n v="700038"/>
    <s v="Salaries-Service/Support-Productive"/>
    <s v="Risk Bundles"/>
    <x v="0"/>
    <m/>
    <n v="2065.1"/>
    <n v="-185.46"/>
    <n v="0"/>
    <n v="1924.58"/>
    <n v="2061.92"/>
    <n v="755.74"/>
    <n v="1464.78"/>
    <n v="108.8"/>
    <n v="0"/>
    <n v="0"/>
    <n v="0"/>
    <n v="0"/>
    <n v="8195.4599999999991"/>
    <n v="0"/>
  </r>
  <r>
    <x v="5"/>
    <x v="0"/>
    <x v="0"/>
    <s v="6922102"/>
    <n v="700038"/>
    <s v="Salaries-Service/Support-OT"/>
    <s v="Risk Bundles"/>
    <x v="0"/>
    <n v="1000"/>
    <n v="29.94"/>
    <n v="-5.28"/>
    <n v="0"/>
    <n v="212.73"/>
    <n v="433.95"/>
    <n v="-25.52"/>
    <n v="11.56"/>
    <n v="-3.03"/>
    <n v="0"/>
    <n v="0"/>
    <n v="0"/>
    <n v="0"/>
    <n v="654.34999999999991"/>
    <n v="0"/>
  </r>
  <r>
    <x v="5"/>
    <x v="0"/>
    <x v="0"/>
    <s v="6922102"/>
    <n v="700066"/>
    <s v="Salaries-RN-Non-productive"/>
    <s v="Risk Bundles"/>
    <x v="0"/>
    <m/>
    <n v="0"/>
    <n v="0"/>
    <n v="0"/>
    <n v="0"/>
    <n v="0"/>
    <n v="937.07"/>
    <n v="-117.09"/>
    <n v="0"/>
    <n v="0"/>
    <n v="0"/>
    <n v="0"/>
    <n v="0"/>
    <n v="819.98"/>
    <n v="0"/>
  </r>
  <r>
    <x v="5"/>
    <x v="0"/>
    <x v="0"/>
    <s v="6922102"/>
    <n v="700070"/>
    <s v="Salaries-LPN-Non-productive"/>
    <s v="Risk Bundles"/>
    <x v="0"/>
    <m/>
    <n v="526.02"/>
    <n v="0"/>
    <n v="0"/>
    <n v="0"/>
    <n v="0"/>
    <n v="0"/>
    <n v="0"/>
    <n v="523.65"/>
    <n v="0"/>
    <n v="0"/>
    <n v="0"/>
    <n v="0"/>
    <n v="1049.67"/>
    <n v="0"/>
  </r>
  <r>
    <x v="5"/>
    <x v="0"/>
    <x v="0"/>
    <s v="6922102"/>
    <n v="700074"/>
    <s v="Salaries-Tech/Professional-Non-productive"/>
    <s v="Risk Bundles"/>
    <x v="0"/>
    <m/>
    <n v="0"/>
    <n v="0"/>
    <n v="0"/>
    <n v="0"/>
    <n v="0"/>
    <n v="0"/>
    <n v="0"/>
    <n v="0"/>
    <n v="0"/>
    <n v="909.17"/>
    <n v="-378.79"/>
    <n v="265.19"/>
    <n v="795.56999999999994"/>
    <n v="-643.98"/>
  </r>
  <r>
    <x v="5"/>
    <x v="0"/>
    <x v="0"/>
    <s v="6922102"/>
    <n v="700078"/>
    <s v="Salaries-Service/Support-Non-productive"/>
    <s v="Risk Bundles"/>
    <x v="0"/>
    <m/>
    <n v="175.36"/>
    <n v="0"/>
    <n v="1102.24"/>
    <n v="-400.8"/>
    <n v="0"/>
    <n v="0"/>
    <n v="0"/>
    <n v="79.540000000000006"/>
    <n v="0"/>
    <n v="0"/>
    <n v="0"/>
    <n v="0"/>
    <n v="956.33999999999992"/>
    <n v="0"/>
  </r>
  <r>
    <x v="6"/>
    <x v="0"/>
    <x v="0"/>
    <s v="6922102"/>
    <n v="713010"/>
    <s v="Benefits-FICA/Medicare"/>
    <s v="Risk Bundles"/>
    <x v="0"/>
    <m/>
    <n v="448.2"/>
    <n v="355.31"/>
    <n v="90.57"/>
    <n v="527.54"/>
    <n v="73.290000000000006"/>
    <n v="1122.77"/>
    <n v="597.34"/>
    <n v="440.88"/>
    <n v="875.04"/>
    <n v="479.6"/>
    <n v="673.49"/>
    <n v="262.14999999999998"/>
    <n v="5946.18"/>
    <n v="411.34000000000003"/>
  </r>
  <r>
    <x v="6"/>
    <x v="0"/>
    <x v="0"/>
    <s v="6922102"/>
    <n v="713090"/>
    <s v="Benefits-Allocated Amounts"/>
    <s v="Risk Bundles"/>
    <x v="0"/>
    <m/>
    <n v="1638.02"/>
    <n v="981.58"/>
    <n v="266.41000000000003"/>
    <n v="1817.21"/>
    <n v="208.65"/>
    <n v="2750.86"/>
    <n v="1865.11"/>
    <n v="1546.58"/>
    <n v="2462.6999999999998"/>
    <n v="1363.65"/>
    <n v="2249.71"/>
    <n v="821.67"/>
    <n v="17972.149999999998"/>
    <n v="1428.04"/>
  </r>
  <r>
    <x v="7"/>
    <x v="0"/>
    <x v="0"/>
    <s v="6922102"/>
    <n v="718060"/>
    <s v="Contract Services-CHI RRC Fees"/>
    <s v="Risk Bundles"/>
    <x v="0"/>
    <m/>
    <n v="1165"/>
    <n v="1165"/>
    <n v="1165"/>
    <n v="1165"/>
    <n v="1165"/>
    <n v="1165"/>
    <n v="1165"/>
    <n v="1165"/>
    <n v="1165"/>
    <n v="3786.25"/>
    <n v="1747.5"/>
    <n v="1456"/>
    <n v="17474.75"/>
    <n v="291.5"/>
  </r>
  <r>
    <x v="7"/>
    <x v="0"/>
    <x v="0"/>
    <s v="6922102"/>
    <n v="718091"/>
    <s v="Contract Services-Intracompany Allocation"/>
    <s v="Risk Bundles"/>
    <x v="0"/>
    <m/>
    <n v="1858.97"/>
    <n v="1942.92"/>
    <n v="1709.02"/>
    <n v="2567.7199999999998"/>
    <n v="1293.81"/>
    <n v="1925.77"/>
    <n v="2176.41"/>
    <n v="1817.61"/>
    <n v="1893.93"/>
    <n v="6740.88"/>
    <n v="2468.48"/>
    <n v="-37167.57"/>
    <n v="-10772.05"/>
    <n v="39636.050000000003"/>
  </r>
  <r>
    <x v="11"/>
    <x v="0"/>
    <x v="0"/>
    <s v="6922102"/>
    <n v="721835"/>
    <s v="Supplies-Forms"/>
    <s v="Risk Bundles"/>
    <x v="0"/>
    <m/>
    <n v="0"/>
    <n v="0"/>
    <n v="0"/>
    <n v="0"/>
    <n v="16.989999999999998"/>
    <n v="0"/>
    <n v="0"/>
    <n v="0"/>
    <n v="0"/>
    <n v="0"/>
    <n v="0"/>
    <n v="0"/>
    <n v="16.989999999999998"/>
    <n v="0"/>
  </r>
  <r>
    <x v="12"/>
    <x v="0"/>
    <x v="0"/>
    <s v="6922102"/>
    <n v="730010"/>
    <s v="Rental and Leases-Building (DO NOT USE)"/>
    <s v="Risk Bundles"/>
    <x v="0"/>
    <m/>
    <n v="1619.32"/>
    <n v="1886.4"/>
    <n v="1653.17"/>
    <n v="2119.63"/>
    <n v="1886.4"/>
    <n v="-2099.27"/>
    <n v="517.91999999999996"/>
    <n v="517.91999999999996"/>
    <n v="517.91999999999996"/>
    <n v="517.91999999999996"/>
    <n v="530.44000000000005"/>
    <n v="0"/>
    <n v="9667.77"/>
    <n v="530.44000000000005"/>
  </r>
  <r>
    <x v="12"/>
    <x v="0"/>
    <x v="0"/>
    <s v="6922102"/>
    <n v="730010"/>
    <s v="Rental-Common Area Maint (DO NOT USE)"/>
    <s v="Risk Bundles"/>
    <x v="0"/>
    <n v="2200"/>
    <n v="0"/>
    <n v="0"/>
    <n v="0"/>
    <n v="0"/>
    <n v="0"/>
    <n v="3824.92"/>
    <n v="344.9"/>
    <n v="344.9"/>
    <n v="321.11"/>
    <n v="344.9"/>
    <n v="344.9"/>
    <n v="0"/>
    <n v="5525.6299999999983"/>
    <n v="344.9"/>
  </r>
  <r>
    <x v="12"/>
    <x v="0"/>
    <x v="0"/>
    <s v="6922102"/>
    <n v="730040"/>
    <s v="LT Lease-Real Estate"/>
    <s v="Risk Bundles"/>
    <x v="0"/>
    <m/>
    <n v="0"/>
    <n v="0"/>
    <n v="0"/>
    <n v="0"/>
    <n v="0"/>
    <n v="0"/>
    <n v="0"/>
    <n v="0"/>
    <n v="0"/>
    <n v="0"/>
    <n v="0"/>
    <n v="875.77"/>
    <n v="875.77"/>
    <n v="-875.77"/>
  </r>
  <r>
    <x v="2"/>
    <x v="4"/>
    <x v="0"/>
    <s v="6922103"/>
    <n v="450010"/>
    <s v="Contr Allow--Acute IP-Medicare"/>
    <s v="Risk Bundles"/>
    <x v="0"/>
    <n v="1100"/>
    <n v="0"/>
    <n v="0"/>
    <n v="0"/>
    <n v="0"/>
    <n v="0"/>
    <n v="-222047.53"/>
    <n v="0"/>
    <n v="0"/>
    <n v="0"/>
    <n v="0"/>
    <n v="0"/>
    <n v="0"/>
    <n v="-222047.53"/>
    <n v="0"/>
  </r>
  <r>
    <x v="5"/>
    <x v="4"/>
    <x v="0"/>
    <s v="6922103"/>
    <n v="700026"/>
    <s v="Salaries-RN-Productive"/>
    <s v="Risk Bundles"/>
    <x v="0"/>
    <m/>
    <n v="498.3"/>
    <n v="343.4"/>
    <n v="802.45"/>
    <n v="747.45"/>
    <n v="1457.85"/>
    <n v="8086.51"/>
    <n v="7482.59"/>
    <n v="-321.92"/>
    <n v="885.07"/>
    <n v="355.96"/>
    <n v="401.17"/>
    <n v="359.36"/>
    <n v="21098.190000000002"/>
    <n v="41.81"/>
  </r>
  <r>
    <x v="5"/>
    <x v="4"/>
    <x v="0"/>
    <s v="6922103"/>
    <n v="700026"/>
    <s v="Salaries-RN-OT"/>
    <s v="Risk Bundles"/>
    <x v="0"/>
    <n v="1000"/>
    <n v="102.88"/>
    <n v="102.51"/>
    <n v="245.05"/>
    <n v="407.18"/>
    <n v="277.18"/>
    <n v="311.79000000000002"/>
    <n v="695.48"/>
    <n v="137.19999999999999"/>
    <n v="87.92"/>
    <n v="0"/>
    <n v="111.59"/>
    <n v="-53.72"/>
    <n v="2425.06"/>
    <n v="165.31"/>
  </r>
  <r>
    <x v="5"/>
    <x v="4"/>
    <x v="0"/>
    <s v="6922103"/>
    <n v="700026"/>
    <s v="Salaries-RN-Other"/>
    <s v="Risk Bundles"/>
    <x v="0"/>
    <n v="2000"/>
    <n v="0"/>
    <n v="6.88"/>
    <n v="0"/>
    <n v="67.87"/>
    <n v="-3.61"/>
    <n v="0"/>
    <n v="0"/>
    <n v="14.94"/>
    <n v="4.3600000000000003"/>
    <n v="0"/>
    <n v="0"/>
    <n v="0"/>
    <n v="90.44"/>
    <n v="0"/>
  </r>
  <r>
    <x v="5"/>
    <x v="4"/>
    <x v="0"/>
    <s v="6922103"/>
    <n v="700030"/>
    <s v="Salaries-LPN-Productive"/>
    <s v="Risk Bundles"/>
    <x v="0"/>
    <m/>
    <n v="6800.29"/>
    <n v="5910.09"/>
    <n v="5593.62"/>
    <n v="4425.41"/>
    <n v="3692.86"/>
    <n v="2824.25"/>
    <n v="5254.5"/>
    <n v="2761.99"/>
    <n v="4976.91"/>
    <n v="3152.02"/>
    <n v="3758"/>
    <n v="1275.67"/>
    <n v="50425.609999999993"/>
    <n v="2482.33"/>
  </r>
  <r>
    <x v="5"/>
    <x v="4"/>
    <x v="0"/>
    <s v="6922103"/>
    <n v="700030"/>
    <s v="Salaries-LPN-OT"/>
    <s v="Risk Bundles"/>
    <x v="0"/>
    <n v="1000"/>
    <n v="31.43"/>
    <n v="267.44"/>
    <n v="36.770000000000003"/>
    <n v="52.58"/>
    <n v="0"/>
    <n v="80.599999999999994"/>
    <n v="47.32"/>
    <n v="2.94"/>
    <n v="286.52"/>
    <n v="172.5"/>
    <n v="107.27"/>
    <n v="95.28"/>
    <n v="1180.6500000000001"/>
    <n v="11.989999999999995"/>
  </r>
  <r>
    <x v="5"/>
    <x v="4"/>
    <x v="0"/>
    <s v="6922103"/>
    <n v="700030"/>
    <s v="Salaries-LPN-Other"/>
    <s v="Risk Bundles"/>
    <x v="0"/>
    <n v="2000"/>
    <n v="0"/>
    <n v="0"/>
    <n v="54.51"/>
    <n v="-19.82"/>
    <n v="0"/>
    <n v="54.11"/>
    <n v="107.95"/>
    <n v="27.77"/>
    <n v="0"/>
    <n v="0"/>
    <n v="0"/>
    <n v="0"/>
    <n v="224.52"/>
    <n v="0"/>
  </r>
  <r>
    <x v="5"/>
    <x v="4"/>
    <x v="0"/>
    <s v="6922103"/>
    <n v="700032"/>
    <s v="Salaries-Other Pat Care Providers-Productive"/>
    <s v="Risk Bundles"/>
    <x v="0"/>
    <m/>
    <n v="647.67999999999995"/>
    <n v="857.85"/>
    <n v="831.37"/>
    <n v="785.45"/>
    <n v="689.34"/>
    <n v="450.26"/>
    <n v="675.46"/>
    <n v="484.59"/>
    <n v="1015.94"/>
    <n v="946.69"/>
    <n v="373.29"/>
    <n v="1059.3"/>
    <n v="8817.2200000000012"/>
    <n v="-686.01"/>
  </r>
  <r>
    <x v="5"/>
    <x v="4"/>
    <x v="0"/>
    <s v="6922103"/>
    <n v="700032"/>
    <s v="Salaries-Other Pat Care Providers-Other"/>
    <s v="Risk Bundles"/>
    <x v="0"/>
    <n v="2000"/>
    <n v="17.88"/>
    <n v="31.86"/>
    <n v="30.41"/>
    <n v="28.63"/>
    <n v="25.07"/>
    <n v="16.350000000000001"/>
    <n v="24.53"/>
    <n v="5.24"/>
    <n v="36.9"/>
    <n v="34.39"/>
    <n v="13.57"/>
    <n v="37.21"/>
    <n v="302.03999999999996"/>
    <n v="-23.64"/>
  </r>
  <r>
    <x v="5"/>
    <x v="4"/>
    <x v="0"/>
    <s v="6922103"/>
    <n v="700034"/>
    <s v="Salaries-Tech/Professional-Productive"/>
    <s v="Risk Bundles"/>
    <x v="0"/>
    <m/>
    <n v="0"/>
    <n v="0"/>
    <n v="0"/>
    <n v="0"/>
    <n v="73.08"/>
    <n v="0"/>
    <n v="48.79"/>
    <n v="99.31"/>
    <n v="-26.12"/>
    <n v="0"/>
    <n v="156.82"/>
    <n v="-75.5"/>
    <n v="276.38"/>
    <n v="232.32"/>
  </r>
  <r>
    <x v="5"/>
    <x v="4"/>
    <x v="0"/>
    <s v="6922103"/>
    <n v="700034"/>
    <s v="Salaries-Tech/Professional-OT"/>
    <s v="Risk Bundles"/>
    <x v="0"/>
    <n v="1000"/>
    <n v="0"/>
    <n v="0"/>
    <n v="0"/>
    <n v="0"/>
    <n v="0"/>
    <n v="0"/>
    <n v="12.2"/>
    <n v="0"/>
    <n v="0"/>
    <n v="0"/>
    <n v="47.04"/>
    <n v="-22.64"/>
    <n v="36.599999999999994"/>
    <n v="69.680000000000007"/>
  </r>
  <r>
    <x v="5"/>
    <x v="4"/>
    <x v="0"/>
    <s v="6922103"/>
    <n v="700066"/>
    <s v="Salaries-RN-Non-productive"/>
    <s v="Risk Bundles"/>
    <x v="0"/>
    <m/>
    <n v="0"/>
    <n v="0"/>
    <n v="0"/>
    <n v="0"/>
    <n v="0"/>
    <n v="599.74"/>
    <n v="-74.94"/>
    <n v="0"/>
    <n v="0"/>
    <n v="0"/>
    <n v="0"/>
    <n v="0"/>
    <n v="524.79999999999995"/>
    <n v="0"/>
  </r>
  <r>
    <x v="5"/>
    <x v="4"/>
    <x v="0"/>
    <s v="6922103"/>
    <n v="700070"/>
    <s v="Salaries-LPN-Non-productive"/>
    <s v="Risk Bundles"/>
    <x v="0"/>
    <m/>
    <n v="0"/>
    <n v="375.7"/>
    <n v="-112.69"/>
    <n v="0"/>
    <n v="0"/>
    <n v="1456.53"/>
    <n v="112.5"/>
    <n v="0"/>
    <n v="0"/>
    <n v="0"/>
    <n v="0"/>
    <n v="0"/>
    <n v="1832.04"/>
    <n v="0"/>
  </r>
  <r>
    <x v="6"/>
    <x v="4"/>
    <x v="0"/>
    <s v="6922103"/>
    <n v="713010"/>
    <s v="Benefits-FICA/Medicare"/>
    <s v="Risk Bundles"/>
    <x v="0"/>
    <m/>
    <n v="598.85"/>
    <n v="582.78"/>
    <n v="563.91"/>
    <n v="466.06"/>
    <n v="484.92"/>
    <n v="1010.76"/>
    <n v="1078.27"/>
    <n v="244.78"/>
    <n v="537.24"/>
    <n v="353.6"/>
    <n v="375.51"/>
    <n v="202.18"/>
    <n v="6498.86"/>
    <n v="173.32999999999998"/>
  </r>
  <r>
    <x v="6"/>
    <x v="4"/>
    <x v="0"/>
    <s v="6922103"/>
    <n v="713090"/>
    <s v="Benefits-Allocated Amounts"/>
    <s v="Risk Bundles"/>
    <x v="0"/>
    <m/>
    <n v="2008.02"/>
    <n v="1537.33"/>
    <n v="1574.29"/>
    <n v="1136.1199999999999"/>
    <n v="1273.94"/>
    <n v="2316.1999999999998"/>
    <n v="2621.69"/>
    <n v="802.46"/>
    <n v="1596.72"/>
    <n v="1046.6500000000001"/>
    <n v="1173.6300000000001"/>
    <n v="590.34"/>
    <n v="17677.39"/>
    <n v="583.29000000000008"/>
  </r>
  <r>
    <x v="7"/>
    <x v="4"/>
    <x v="0"/>
    <s v="6922103"/>
    <n v="718060"/>
    <s v="Contract Services-CHI RRC Fees"/>
    <s v="Risk Bundles"/>
    <x v="0"/>
    <m/>
    <n v="1165"/>
    <n v="1165"/>
    <n v="1165"/>
    <n v="1165"/>
    <n v="1165"/>
    <n v="1165"/>
    <n v="1165"/>
    <n v="1165"/>
    <n v="1165"/>
    <n v="3786.25"/>
    <n v="1747.5"/>
    <n v="1456"/>
    <n v="17474.75"/>
    <n v="291.5"/>
  </r>
  <r>
    <x v="7"/>
    <x v="4"/>
    <x v="0"/>
    <s v="6922103"/>
    <n v="718091"/>
    <s v="Contract Services-Intracompany Allocation"/>
    <s v="Risk Bundles"/>
    <x v="0"/>
    <m/>
    <n v="1858.97"/>
    <n v="1942.92"/>
    <n v="1709.02"/>
    <n v="2567.7199999999998"/>
    <n v="1293.81"/>
    <n v="1925.77"/>
    <n v="2176.41"/>
    <n v="1817.61"/>
    <n v="1893.93"/>
    <n v="6740.88"/>
    <n v="2468.48"/>
    <n v="38446.69"/>
    <n v="64842.210000000006"/>
    <n v="-35978.21"/>
  </r>
  <r>
    <x v="11"/>
    <x v="4"/>
    <x v="0"/>
    <s v="6922103"/>
    <n v="721835"/>
    <s v="Supplies-Forms"/>
    <s v="Risk Bundles"/>
    <x v="0"/>
    <m/>
    <n v="0"/>
    <n v="0"/>
    <n v="0"/>
    <n v="0"/>
    <n v="16.989999999999998"/>
    <n v="0"/>
    <n v="0"/>
    <n v="0"/>
    <n v="0"/>
    <n v="0"/>
    <n v="0"/>
    <n v="0"/>
    <n v="16.989999999999998"/>
    <n v="0"/>
  </r>
  <r>
    <x v="2"/>
    <x v="8"/>
    <x v="0"/>
    <s v="6922104"/>
    <n v="450010"/>
    <s v="Contr Allow--Acute IP-Medicare"/>
    <s v="Risk Bundles"/>
    <x v="0"/>
    <n v="1100"/>
    <n v="0"/>
    <n v="0"/>
    <n v="0"/>
    <n v="0"/>
    <n v="0"/>
    <n v="-372031.82"/>
    <n v="0"/>
    <n v="0"/>
    <n v="0"/>
    <n v="0"/>
    <n v="0"/>
    <n v="0"/>
    <n v="-372031.82"/>
    <n v="0"/>
  </r>
  <r>
    <x v="5"/>
    <x v="8"/>
    <x v="0"/>
    <s v="6922104"/>
    <n v="700026"/>
    <s v="Salaries-RN-Productive"/>
    <s v="Risk Bundles"/>
    <x v="0"/>
    <m/>
    <n v="0"/>
    <n v="0"/>
    <n v="0"/>
    <n v="0"/>
    <n v="0"/>
    <n v="7932.46"/>
    <n v="2968.32"/>
    <n v="0"/>
    <n v="0"/>
    <n v="0"/>
    <n v="0"/>
    <n v="0"/>
    <n v="10900.78"/>
    <n v="0"/>
  </r>
  <r>
    <x v="5"/>
    <x v="8"/>
    <x v="0"/>
    <s v="6922104"/>
    <n v="700034"/>
    <s v="Salaries-Tech/Professional-Productive"/>
    <s v="Risk Bundles"/>
    <x v="0"/>
    <m/>
    <n v="90.16"/>
    <n v="90.18"/>
    <n v="114.05"/>
    <n v="82.56"/>
    <n v="86.79"/>
    <n v="16.27"/>
    <n v="143.97"/>
    <n v="114.08"/>
    <n v="78.77"/>
    <n v="86.9"/>
    <n v="92.36"/>
    <n v="-29.87"/>
    <n v="966.22"/>
    <n v="122.23"/>
  </r>
  <r>
    <x v="5"/>
    <x v="8"/>
    <x v="0"/>
    <s v="6922104"/>
    <n v="700066"/>
    <s v="Salaries-RN-Non-productive"/>
    <s v="Risk Bundles"/>
    <x v="0"/>
    <m/>
    <n v="0"/>
    <n v="0"/>
    <n v="0"/>
    <n v="0"/>
    <n v="0"/>
    <n v="2319.4899999999998"/>
    <n v="1213.07"/>
    <n v="0"/>
    <n v="0"/>
    <n v="0"/>
    <n v="0"/>
    <n v="0"/>
    <n v="3532.5599999999995"/>
    <n v="0"/>
  </r>
  <r>
    <x v="6"/>
    <x v="8"/>
    <x v="0"/>
    <s v="6922104"/>
    <n v="713010"/>
    <s v="Benefits-FICA/Medicare"/>
    <s v="Risk Bundles"/>
    <x v="0"/>
    <m/>
    <n v="6.63"/>
    <n v="6.64"/>
    <n v="8.43"/>
    <n v="6.1"/>
    <n v="6.35"/>
    <n v="777.66"/>
    <n v="326.76"/>
    <n v="8.4499999999999993"/>
    <n v="5.83"/>
    <n v="6.45"/>
    <n v="6.85"/>
    <n v="-2.2200000000000002"/>
    <n v="1163.9299999999998"/>
    <n v="9.07"/>
  </r>
  <r>
    <x v="6"/>
    <x v="8"/>
    <x v="0"/>
    <s v="6922104"/>
    <n v="713090"/>
    <s v="Benefits-Allocated Amounts"/>
    <s v="Risk Bundles"/>
    <x v="0"/>
    <m/>
    <n v="19.579999999999998"/>
    <n v="17.7"/>
    <n v="19.03"/>
    <n v="19.27"/>
    <n v="19.34"/>
    <n v="1378.22"/>
    <n v="590.54999999999995"/>
    <n v="22.4"/>
    <n v="13.4"/>
    <n v="18.899999999999999"/>
    <n v="39.11"/>
    <n v="26.56"/>
    <n v="2184.0600000000004"/>
    <n v="12.55"/>
  </r>
  <r>
    <x v="7"/>
    <x v="8"/>
    <x v="0"/>
    <s v="6922104"/>
    <n v="718060"/>
    <s v="Contract Services-CHI RRC Fees"/>
    <s v="Risk Bundles"/>
    <x v="0"/>
    <m/>
    <n v="1165"/>
    <n v="1165"/>
    <n v="1165"/>
    <n v="1165"/>
    <n v="1165"/>
    <n v="1165"/>
    <n v="1165"/>
    <n v="1165"/>
    <n v="1165"/>
    <n v="3786.25"/>
    <n v="1747.5"/>
    <n v="1456"/>
    <n v="17474.75"/>
    <n v="291.5"/>
  </r>
  <r>
    <x v="7"/>
    <x v="8"/>
    <x v="0"/>
    <s v="6922104"/>
    <n v="718091"/>
    <s v="Contract Services-Intracompany Allocation"/>
    <s v="Risk Bundles"/>
    <x v="0"/>
    <m/>
    <n v="1858.97"/>
    <n v="1942.92"/>
    <n v="1709.02"/>
    <n v="2567.7199999999998"/>
    <n v="1293.81"/>
    <n v="1925.77"/>
    <n v="2176.41"/>
    <n v="1817.61"/>
    <n v="1893.93"/>
    <n v="6740.88"/>
    <n v="2468.48"/>
    <n v="39795.01"/>
    <n v="66190.53"/>
    <n v="-37326.53"/>
  </r>
  <r>
    <x v="11"/>
    <x v="8"/>
    <x v="0"/>
    <s v="6922104"/>
    <n v="721835"/>
    <s v="Supplies-Forms"/>
    <s v="Risk Bundles"/>
    <x v="0"/>
    <m/>
    <n v="0"/>
    <n v="0"/>
    <n v="0"/>
    <n v="0"/>
    <n v="16.989999999999998"/>
    <n v="0"/>
    <n v="0"/>
    <n v="0"/>
    <n v="0"/>
    <n v="0"/>
    <n v="0"/>
    <n v="0"/>
    <n v="16.989999999999998"/>
    <n v="0"/>
  </r>
  <r>
    <x v="5"/>
    <x v="5"/>
    <x v="0"/>
    <s v="6922106"/>
    <n v="700030"/>
    <s v="Salaries-LPN-Productive"/>
    <s v="Risk Bundles"/>
    <x v="0"/>
    <m/>
    <n v="4037.57"/>
    <n v="3510.54"/>
    <n v="3642.38"/>
    <n v="3544.74"/>
    <n v="2576.58"/>
    <n v="577.95000000000005"/>
    <n v="1794.89"/>
    <n v="719.98"/>
    <n v="493.55"/>
    <n v="-207.35"/>
    <n v="0"/>
    <n v="0"/>
    <n v="20690.830000000002"/>
    <n v="0"/>
  </r>
  <r>
    <x v="6"/>
    <x v="5"/>
    <x v="0"/>
    <s v="6922106"/>
    <n v="713010"/>
    <s v="Benefits-FICA/Medicare"/>
    <s v="Risk Bundles"/>
    <x v="0"/>
    <m/>
    <n v="308.86"/>
    <n v="268.55"/>
    <n v="278.63"/>
    <n v="271.18"/>
    <n v="197.1"/>
    <n v="44.22"/>
    <n v="137.1"/>
    <n v="55"/>
    <n v="37.69"/>
    <n v="-15.82"/>
    <n v="0"/>
    <n v="0"/>
    <n v="1582.51"/>
    <n v="0"/>
  </r>
  <r>
    <x v="6"/>
    <x v="5"/>
    <x v="0"/>
    <s v="6922106"/>
    <n v="713090"/>
    <s v="Benefits-Allocated Amounts"/>
    <s v="Risk Bundles"/>
    <x v="0"/>
    <m/>
    <n v="1056.3699999999999"/>
    <n v="1016.08"/>
    <n v="1053.22"/>
    <n v="934.54"/>
    <n v="714.77"/>
    <n v="227.63"/>
    <n v="439.09"/>
    <n v="325.44"/>
    <n v="-59.13"/>
    <n v="127.41"/>
    <n v="-73.180000000000007"/>
    <n v="55.45"/>
    <n v="5817.6899999999987"/>
    <n v="-128.63"/>
  </r>
  <r>
    <x v="7"/>
    <x v="5"/>
    <x v="0"/>
    <s v="6922106"/>
    <n v="718060"/>
    <s v="Contract Services-CHI RRC Fees"/>
    <s v="Risk Bundles"/>
    <x v="0"/>
    <m/>
    <n v="1165"/>
    <n v="1165"/>
    <n v="1165"/>
    <n v="1165"/>
    <n v="1165"/>
    <n v="1165"/>
    <n v="1165"/>
    <n v="1165"/>
    <n v="1165"/>
    <n v="-9320"/>
    <n v="-1165"/>
    <n v="0"/>
    <n v="0"/>
    <n v="-1165"/>
  </r>
  <r>
    <x v="7"/>
    <x v="5"/>
    <x v="0"/>
    <s v="6922106"/>
    <n v="718091"/>
    <s v="Contract Services-Intracompany Allocation"/>
    <s v="Risk Bundles"/>
    <x v="0"/>
    <m/>
    <n v="1858.97"/>
    <n v="1942.92"/>
    <n v="1709.02"/>
    <n v="2567.7199999999998"/>
    <n v="1293.81"/>
    <n v="1925.77"/>
    <n v="2176.41"/>
    <n v="1817.61"/>
    <n v="1893.93"/>
    <n v="-17186.16"/>
    <n v="0"/>
    <n v="-28108.02"/>
    <n v="-28108.02"/>
    <n v="28108.02"/>
  </r>
  <r>
    <x v="11"/>
    <x v="5"/>
    <x v="0"/>
    <s v="6922106"/>
    <n v="721835"/>
    <s v="Supplies-Forms"/>
    <s v="Risk Bundles"/>
    <x v="0"/>
    <m/>
    <n v="0"/>
    <n v="0"/>
    <n v="0"/>
    <n v="0"/>
    <n v="16.989999999999998"/>
    <n v="0"/>
    <n v="0"/>
    <n v="0"/>
    <n v="0"/>
    <n v="0"/>
    <n v="0"/>
    <n v="0"/>
    <n v="16.989999999999998"/>
    <n v="0"/>
  </r>
  <r>
    <x v="5"/>
    <x v="9"/>
    <x v="0"/>
    <s v="6930501"/>
    <n v="700014"/>
    <s v="Salaries-Management-Productive"/>
    <s v="Operational Excellence"/>
    <x v="0"/>
    <m/>
    <n v="9095.94"/>
    <n v="10743.97"/>
    <n v="7071.35"/>
    <n v="11700.53"/>
    <n v="5290.14"/>
    <n v="10651.1"/>
    <n v="10102.43"/>
    <n v="9889.68"/>
    <n v="10172.34"/>
    <n v="10878.35"/>
    <n v="-71.72"/>
    <n v="0"/>
    <n v="95524.11"/>
    <n v="-71.72"/>
  </r>
  <r>
    <x v="5"/>
    <x v="9"/>
    <x v="0"/>
    <s v="6930501"/>
    <n v="700034"/>
    <s v="Salaries-Tech/Professional-Productive"/>
    <s v="Operational Excellence"/>
    <x v="0"/>
    <m/>
    <n v="16809.349999999999"/>
    <n v="17763.240000000002"/>
    <n v="13232.85"/>
    <n v="18524.71"/>
    <n v="28594.71"/>
    <n v="19528.509999999998"/>
    <n v="25101.599999999999"/>
    <n v="21534.080000000002"/>
    <n v="18191.66"/>
    <n v="24402"/>
    <n v="-7447"/>
    <n v="0"/>
    <n v="196235.71"/>
    <n v="-7447"/>
  </r>
  <r>
    <x v="5"/>
    <x v="9"/>
    <x v="0"/>
    <s v="6930501"/>
    <n v="700034"/>
    <s v="Salaries-Tech/Professional-Other"/>
    <s v="Operational Excellence"/>
    <x v="0"/>
    <n v="2000"/>
    <n v="0"/>
    <n v="0"/>
    <n v="0"/>
    <n v="0"/>
    <n v="30"/>
    <n v="0"/>
    <n v="0"/>
    <n v="0"/>
    <n v="0"/>
    <n v="0"/>
    <n v="0"/>
    <n v="0"/>
    <n v="30"/>
    <n v="0"/>
  </r>
  <r>
    <x v="5"/>
    <x v="9"/>
    <x v="0"/>
    <s v="6930501"/>
    <n v="700054"/>
    <s v="Salaries-Management-Non-productive"/>
    <s v="Operational Excellence"/>
    <x v="0"/>
    <m/>
    <n v="1544.61"/>
    <n v="-102.93"/>
    <n v="3226.57"/>
    <n v="-823.77"/>
    <n v="5290.14"/>
    <n v="282.23"/>
    <n v="847.96"/>
    <n v="0"/>
    <n v="777.02"/>
    <n v="-282.54000000000002"/>
    <n v="0"/>
    <n v="0"/>
    <n v="10759.29"/>
    <n v="0"/>
  </r>
  <r>
    <x v="5"/>
    <x v="9"/>
    <x v="0"/>
    <s v="6930501"/>
    <n v="700054"/>
    <s v="Salaries-Management-NonProd-Other"/>
    <s v="Operational Excellence"/>
    <x v="0"/>
    <n v="2000"/>
    <n v="0"/>
    <n v="0"/>
    <n v="0"/>
    <n v="0"/>
    <n v="0"/>
    <n v="816.33"/>
    <n v="-816.33"/>
    <n v="0"/>
    <n v="0"/>
    <n v="0"/>
    <n v="4586.09"/>
    <n v="-4232.0200000000004"/>
    <n v="354.06999999999971"/>
    <n v="8818.11"/>
  </r>
  <r>
    <x v="5"/>
    <x v="9"/>
    <x v="0"/>
    <s v="6930501"/>
    <n v="700074"/>
    <s v="Salaries-Tech/Professional-Non-productive"/>
    <s v="Operational Excellence"/>
    <x v="0"/>
    <m/>
    <n v="875.9"/>
    <n v="-77.180000000000007"/>
    <n v="3882.9"/>
    <n v="-450.08"/>
    <n v="362.64"/>
    <n v="7241.1"/>
    <n v="1709.76"/>
    <n v="2680.18"/>
    <n v="8617.19"/>
    <n v="-1338.75"/>
    <n v="0"/>
    <n v="0"/>
    <n v="23503.660000000003"/>
    <n v="0"/>
  </r>
  <r>
    <x v="5"/>
    <x v="9"/>
    <x v="0"/>
    <s v="6930501"/>
    <n v="700074"/>
    <s v="Salaries-Tech/Professional-NonProd-Other"/>
    <s v="Operational Excellence"/>
    <x v="0"/>
    <n v="2000"/>
    <n v="0"/>
    <n v="0"/>
    <n v="0"/>
    <n v="0"/>
    <n v="0"/>
    <n v="0"/>
    <n v="0"/>
    <n v="0"/>
    <n v="0"/>
    <n v="1200.0899999999999"/>
    <n v="5859.67"/>
    <n v="-7057.79"/>
    <n v="1.9700000000002547"/>
    <n v="12917.46"/>
  </r>
  <r>
    <x v="5"/>
    <x v="9"/>
    <x v="0"/>
    <s v="6930501"/>
    <n v="700084"/>
    <s v="Accrued PTO"/>
    <s v="Operational Excellence"/>
    <x v="0"/>
    <m/>
    <n v="2022.56"/>
    <n v="3407.22"/>
    <n v="-1626.98"/>
    <n v="5340.82"/>
    <n v="587.79999999999995"/>
    <n v="-2243.56"/>
    <n v="1027.8"/>
    <n v="2324.94"/>
    <n v="-3562.17"/>
    <n v="3543.67"/>
    <n v="-18538.36"/>
    <n v="443.24"/>
    <n v="-7273.0200000000023"/>
    <n v="-18981.600000000002"/>
  </r>
  <r>
    <x v="6"/>
    <x v="9"/>
    <x v="0"/>
    <s v="6930501"/>
    <n v="713010"/>
    <s v="Benefits-FICA/Medicare"/>
    <s v="Operational Excellence"/>
    <x v="0"/>
    <m/>
    <n v="2121.16"/>
    <n v="2121.3000000000002"/>
    <n v="2052.89"/>
    <n v="2169.06"/>
    <n v="2991.47"/>
    <n v="2898.91"/>
    <n v="2905.98"/>
    <n v="2568.33"/>
    <n v="2843.48"/>
    <n v="3996.8"/>
    <n v="3551"/>
    <n v="957.05"/>
    <n v="31177.429999999997"/>
    <n v="2593.9499999999998"/>
  </r>
  <r>
    <x v="6"/>
    <x v="9"/>
    <x v="0"/>
    <s v="6930501"/>
    <n v="713090"/>
    <s v="Benefits-Allocated Amounts"/>
    <s v="Operational Excellence"/>
    <x v="0"/>
    <m/>
    <n v="4440.28"/>
    <n v="4160.3900000000003"/>
    <n v="4100.1499999999996"/>
    <n v="4275.4799999999996"/>
    <n v="5504.29"/>
    <n v="5758.91"/>
    <n v="6067.63"/>
    <n v="5790.53"/>
    <n v="6423.96"/>
    <n v="5824.06"/>
    <n v="-1492.44"/>
    <n v="-224.58"/>
    <n v="50628.659999999989"/>
    <n v="-1267.8600000000001"/>
  </r>
  <r>
    <x v="11"/>
    <x v="9"/>
    <x v="0"/>
    <s v="6930501"/>
    <n v="721830"/>
    <s v="Supplies-Office"/>
    <s v="Operational Excellence"/>
    <x v="0"/>
    <m/>
    <n v="0"/>
    <n v="0"/>
    <n v="52.16"/>
    <n v="150.55000000000001"/>
    <n v="0"/>
    <n v="234.34"/>
    <n v="28.79"/>
    <n v="149.19999999999999"/>
    <n v="9.69"/>
    <n v="178.41"/>
    <n v="0"/>
    <n v="0"/>
    <n v="803.14"/>
    <n v="0"/>
  </r>
  <r>
    <x v="11"/>
    <x v="9"/>
    <x v="0"/>
    <s v="6930501"/>
    <n v="721835"/>
    <s v="Supplies-Forms"/>
    <s v="Operational Excellence"/>
    <x v="0"/>
    <m/>
    <n v="0"/>
    <n v="0"/>
    <n v="0"/>
    <n v="0"/>
    <n v="96.23"/>
    <n v="0"/>
    <n v="0"/>
    <n v="0"/>
    <n v="0"/>
    <n v="0"/>
    <n v="0"/>
    <n v="0"/>
    <n v="96.23"/>
    <n v="0"/>
  </r>
  <r>
    <x v="11"/>
    <x v="9"/>
    <x v="0"/>
    <s v="6930501"/>
    <n v="721910"/>
    <s v="Supplies-Small Equipment"/>
    <s v="Operational Excellence"/>
    <x v="0"/>
    <m/>
    <n v="0"/>
    <n v="0"/>
    <n v="0"/>
    <n v="0"/>
    <n v="0"/>
    <n v="0"/>
    <n v="0"/>
    <n v="0"/>
    <n v="0"/>
    <n v="365.52"/>
    <n v="0"/>
    <n v="0"/>
    <n v="365.52"/>
    <n v="0"/>
  </r>
  <r>
    <x v="12"/>
    <x v="9"/>
    <x v="0"/>
    <s v="6930501"/>
    <n v="730010"/>
    <s v="Rental and Leases-Building (DO NOT USE)"/>
    <s v="Operational Excellence"/>
    <x v="0"/>
    <m/>
    <n v="1015.53"/>
    <n v="1015.53"/>
    <n v="1015.53"/>
    <n v="1015.53"/>
    <n v="1015.53"/>
    <n v="-1172.1099999999999"/>
    <n v="652.62"/>
    <n v="652.62"/>
    <n v="669.35"/>
    <n v="669.02"/>
    <n v="669.02"/>
    <n v="0"/>
    <n v="7218.17"/>
    <n v="669.02"/>
  </r>
  <r>
    <x v="12"/>
    <x v="9"/>
    <x v="0"/>
    <s v="6930501"/>
    <n v="730010"/>
    <s v="Rental-Common Area Maint (DO NOT USE)"/>
    <s v="Operational Excellence"/>
    <x v="0"/>
    <n v="2200"/>
    <n v="0"/>
    <n v="0"/>
    <n v="0"/>
    <n v="0"/>
    <n v="0"/>
    <n v="2191.8000000000002"/>
    <n v="638.27"/>
    <n v="367.07"/>
    <n v="367.07"/>
    <n v="366.88"/>
    <n v="366.88"/>
    <n v="0"/>
    <n v="4297.97"/>
    <n v="366.88"/>
  </r>
  <r>
    <x v="12"/>
    <x v="9"/>
    <x v="0"/>
    <s v="6930501"/>
    <n v="730020"/>
    <s v="Rental and Leases-Copier Usage Fees (DO NOT USE)"/>
    <s v="Operational Excellence"/>
    <x v="0"/>
    <n v="5100"/>
    <n v="408.82"/>
    <n v="418.19"/>
    <n v="413.5"/>
    <n v="413.5"/>
    <n v="413.5"/>
    <n v="413.5"/>
    <n v="-418.1"/>
    <n v="299.72000000000003"/>
    <n v="299.08"/>
    <n v="821.9"/>
    <n v="299.72000000000003"/>
    <n v="326.01"/>
    <n v="4109.34"/>
    <n v="-26.289999999999964"/>
  </r>
  <r>
    <x v="12"/>
    <x v="9"/>
    <x v="0"/>
    <s v="6930501"/>
    <n v="730040"/>
    <s v="LT Lease-Real Estate"/>
    <s v="Operational Excellence"/>
    <x v="0"/>
    <m/>
    <n v="0"/>
    <n v="0"/>
    <n v="0"/>
    <n v="0"/>
    <n v="0"/>
    <n v="0"/>
    <n v="0"/>
    <n v="0"/>
    <n v="0"/>
    <n v="0"/>
    <n v="0"/>
    <n v="1035.9000000000001"/>
    <n v="1035.9000000000001"/>
    <n v="-1035.9000000000001"/>
  </r>
  <r>
    <x v="16"/>
    <x v="9"/>
    <x v="0"/>
    <s v="6930501"/>
    <n v="732030"/>
    <s v="Repairs&amp;Maintenance-Bldg Routine"/>
    <s v="Operational Excellence"/>
    <x v="0"/>
    <n v="2300"/>
    <n v="3.57"/>
    <n v="172.58"/>
    <n v="0"/>
    <n v="0"/>
    <n v="3.2"/>
    <n v="75.95"/>
    <n v="0"/>
    <n v="0"/>
    <n v="0"/>
    <n v="0"/>
    <n v="0"/>
    <n v="0"/>
    <n v="255.3"/>
    <n v="0"/>
  </r>
  <r>
    <x v="13"/>
    <x v="9"/>
    <x v="0"/>
    <s v="6930501"/>
    <n v="735050"/>
    <s v="Amortization-Leasehold Improvements"/>
    <s v="Operational Excellence"/>
    <x v="0"/>
    <m/>
    <n v="51.85"/>
    <n v="51.85"/>
    <n v="51.85"/>
    <n v="51.85"/>
    <n v="51.86"/>
    <n v="51.85"/>
    <n v="51.86"/>
    <n v="51.85"/>
    <n v="51.86"/>
    <n v="51.85"/>
    <n v="51.86"/>
    <n v="51.85"/>
    <n v="622.24000000000012"/>
    <n v="9.9999999999980105E-3"/>
  </r>
  <r>
    <x v="0"/>
    <x v="9"/>
    <x v="0"/>
    <s v="6930501"/>
    <n v="740010"/>
    <s v="Education-Materials"/>
    <s v="Operational Excellence"/>
    <x v="0"/>
    <m/>
    <n v="0"/>
    <n v="0"/>
    <n v="0"/>
    <n v="0"/>
    <n v="0"/>
    <n v="0"/>
    <n v="424.92"/>
    <n v="0"/>
    <n v="0"/>
    <n v="0"/>
    <n v="0"/>
    <n v="0"/>
    <n v="424.92"/>
    <n v="0"/>
  </r>
  <r>
    <x v="0"/>
    <x v="9"/>
    <x v="0"/>
    <s v="6930501"/>
    <n v="743030"/>
    <s v="Subscriptions--Institutional"/>
    <s v="Operational Excellence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6930501"/>
    <n v="749510"/>
    <s v="Miscellaneous Expenses"/>
    <s v="Operational Excellence"/>
    <x v="0"/>
    <m/>
    <n v="-261.98"/>
    <n v="0"/>
    <n v="0"/>
    <n v="0"/>
    <n v="0"/>
    <n v="1266.5999999999999"/>
    <n v="-1147.68"/>
    <n v="234.63"/>
    <n v="-55.1"/>
    <n v="67.28"/>
    <n v="-67.28"/>
    <n v="0"/>
    <n v="36.469999999999828"/>
    <n v="-67.28"/>
  </r>
  <r>
    <x v="0"/>
    <x v="9"/>
    <x v="0"/>
    <s v="6930501"/>
    <n v="749530"/>
    <s v="Travel"/>
    <s v="Operational Excellence"/>
    <x v="0"/>
    <m/>
    <n v="0"/>
    <n v="0"/>
    <n v="0"/>
    <n v="0"/>
    <n v="18"/>
    <n v="20"/>
    <n v="1646.35"/>
    <n v="12"/>
    <n v="0"/>
    <n v="18"/>
    <n v="0"/>
    <n v="0"/>
    <n v="1714.35"/>
    <n v="0"/>
  </r>
  <r>
    <x v="0"/>
    <x v="9"/>
    <x v="0"/>
    <s v="6930501"/>
    <n v="749530"/>
    <s v="Mileage"/>
    <s v="Operational Excellence"/>
    <x v="0"/>
    <n v="1001"/>
    <n v="0"/>
    <n v="38.74"/>
    <n v="262.92"/>
    <n v="0"/>
    <n v="400.66"/>
    <n v="224.6"/>
    <n v="331.09"/>
    <n v="252.88"/>
    <n v="136.88"/>
    <n v="328.86"/>
    <n v="67.28"/>
    <n v="0"/>
    <n v="2043.91"/>
    <n v="67.28"/>
  </r>
  <r>
    <x v="5"/>
    <x v="10"/>
    <x v="0"/>
    <s v="6940306"/>
    <n v="700032"/>
    <s v="Salaries-Other Pat Care Providers-Productive"/>
    <s v="Marketing"/>
    <x v="0"/>
    <m/>
    <n v="15277.31"/>
    <n v="14688.78"/>
    <n v="13717.87"/>
    <n v="20185.96"/>
    <n v="14700.86"/>
    <n v="13858.87"/>
    <n v="13290.22"/>
    <n v="16916.14"/>
    <n v="18340.740000000002"/>
    <n v="14782.2"/>
    <n v="18996.400000000001"/>
    <n v="18205.54"/>
    <n v="192960.89"/>
    <n v="790.86000000000058"/>
  </r>
  <r>
    <x v="5"/>
    <x v="10"/>
    <x v="0"/>
    <s v="6940306"/>
    <n v="700032"/>
    <s v="Salaries-Other Pat Care Providers-Other"/>
    <s v="Marketing"/>
    <x v="0"/>
    <n v="2000"/>
    <n v="0"/>
    <n v="0"/>
    <n v="0"/>
    <n v="0"/>
    <n v="0"/>
    <n v="0"/>
    <n v="0"/>
    <n v="0"/>
    <n v="0"/>
    <n v="0"/>
    <n v="0"/>
    <n v="500.78"/>
    <n v="500.78"/>
    <n v="-500.78"/>
  </r>
  <r>
    <x v="5"/>
    <x v="10"/>
    <x v="0"/>
    <s v="6940306"/>
    <n v="700054"/>
    <s v="Salaries-Management-NonProd-Other"/>
    <s v="Marketing"/>
    <x v="0"/>
    <n v="2000"/>
    <n v="0"/>
    <n v="0"/>
    <n v="0"/>
    <n v="0"/>
    <n v="0"/>
    <n v="638.39"/>
    <n v="-638.39"/>
    <n v="0"/>
    <n v="0"/>
    <n v="0"/>
    <n v="0"/>
    <n v="0"/>
    <n v="0"/>
    <n v="0"/>
  </r>
  <r>
    <x v="5"/>
    <x v="10"/>
    <x v="0"/>
    <s v="6940306"/>
    <n v="700072"/>
    <s v="Salaries-Other Pat Care Providers-Non-productive"/>
    <s v="Marketing"/>
    <x v="0"/>
    <m/>
    <n v="1676.8"/>
    <n v="0"/>
    <n v="3497.26"/>
    <n v="-558.61"/>
    <n v="-260.08999999999997"/>
    <n v="966.51"/>
    <n v="284.26"/>
    <n v="293.24"/>
    <n v="0"/>
    <n v="2861.43"/>
    <n v="-655.61"/>
    <n v="2693.99"/>
    <n v="10799.18"/>
    <n v="-3349.6"/>
  </r>
  <r>
    <x v="5"/>
    <x v="10"/>
    <x v="0"/>
    <s v="6940306"/>
    <n v="700084"/>
    <s v="Accrued PTO"/>
    <s v="Marketing"/>
    <x v="0"/>
    <m/>
    <n v="15.33"/>
    <n v="1805.28"/>
    <n v="1150.3399999999999"/>
    <n v="1987.67"/>
    <n v="1844.36"/>
    <n v="766.66"/>
    <n v="1012.81"/>
    <n v="1220.3"/>
    <n v="1552.25"/>
    <n v="-650.32000000000005"/>
    <n v="1552.26"/>
    <n v="-243.41"/>
    <n v="12013.529999999999"/>
    <n v="1795.67"/>
  </r>
  <r>
    <x v="6"/>
    <x v="10"/>
    <x v="0"/>
    <s v="6940306"/>
    <n v="713010"/>
    <s v="Benefits-FICA/Medicare"/>
    <s v="Marketing"/>
    <x v="0"/>
    <m/>
    <n v="1289.97"/>
    <n v="1010.18"/>
    <n v="1258.6500000000001"/>
    <n v="1441.52"/>
    <n v="1046.27"/>
    <n v="2936.61"/>
    <n v="1068.8499999999999"/>
    <n v="1293.3900000000001"/>
    <n v="1377.5"/>
    <n v="1326.5"/>
    <n v="1377.48"/>
    <n v="1639.21"/>
    <n v="17066.13"/>
    <n v="-261.73"/>
  </r>
  <r>
    <x v="6"/>
    <x v="10"/>
    <x v="0"/>
    <s v="6940306"/>
    <n v="713090"/>
    <s v="Benefits-Allocated Amounts"/>
    <s v="Marketing"/>
    <x v="0"/>
    <m/>
    <n v="1944.95"/>
    <n v="2297.31"/>
    <n v="2270.9499999999998"/>
    <n v="2165.35"/>
    <n v="2002.67"/>
    <n v="1717.26"/>
    <n v="1573.6"/>
    <n v="1834.6"/>
    <n v="2586.44"/>
    <n v="2002.58"/>
    <n v="2150.66"/>
    <n v="2526.39"/>
    <n v="25072.76"/>
    <n v="-375.73"/>
  </r>
  <r>
    <x v="7"/>
    <x v="10"/>
    <x v="0"/>
    <s v="6940306"/>
    <n v="718010"/>
    <s v="Contract Services-Advertising &amp; Public Relations"/>
    <s v="Marketing"/>
    <x v="0"/>
    <m/>
    <n v="900"/>
    <n v="0"/>
    <n v="0"/>
    <n v="5661.65"/>
    <n v="0"/>
    <n v="0"/>
    <n v="0"/>
    <n v="1014.6"/>
    <n v="0"/>
    <n v="0"/>
    <n v="0"/>
    <n v="0"/>
    <n v="7576.25"/>
    <n v="0"/>
  </r>
  <r>
    <x v="7"/>
    <x v="10"/>
    <x v="0"/>
    <s v="6940306"/>
    <n v="718050"/>
    <s v="Contract Svcs-Other"/>
    <s v="Marketing"/>
    <x v="0"/>
    <m/>
    <n v="0"/>
    <n v="0"/>
    <n v="0"/>
    <n v="0"/>
    <n v="0"/>
    <n v="0"/>
    <n v="10987"/>
    <n v="0"/>
    <n v="0"/>
    <n v="0"/>
    <n v="0"/>
    <n v="0"/>
    <n v="10987"/>
    <n v="0"/>
  </r>
  <r>
    <x v="7"/>
    <x v="10"/>
    <x v="0"/>
    <s v="6940306"/>
    <n v="718050"/>
    <s v="Miscellaneous Purchased Svcs"/>
    <s v="Marketing"/>
    <x v="0"/>
    <n v="1020"/>
    <n v="0"/>
    <n v="0"/>
    <n v="0"/>
    <n v="0"/>
    <n v="0"/>
    <n v="0"/>
    <n v="0"/>
    <n v="0"/>
    <n v="0"/>
    <n v="0"/>
    <n v="0"/>
    <n v="2147.21"/>
    <n v="2147.21"/>
    <n v="-2147.21"/>
  </r>
  <r>
    <x v="11"/>
    <x v="10"/>
    <x v="0"/>
    <s v="6940306"/>
    <n v="721010"/>
    <s v="Supplies-Medical - Billable"/>
    <s v="Marketing"/>
    <x v="0"/>
    <m/>
    <n v="0"/>
    <n v="0"/>
    <n v="0"/>
    <n v="750"/>
    <n v="0"/>
    <n v="0"/>
    <n v="0"/>
    <n v="0"/>
    <n v="0"/>
    <n v="0"/>
    <n v="0"/>
    <n v="0"/>
    <n v="750"/>
    <n v="0"/>
  </r>
  <r>
    <x v="11"/>
    <x v="10"/>
    <x v="0"/>
    <s v="6940306"/>
    <n v="721830"/>
    <s v="Supplies-Office"/>
    <s v="Marketing"/>
    <x v="0"/>
    <m/>
    <n v="0"/>
    <n v="0"/>
    <n v="0"/>
    <n v="0"/>
    <n v="0"/>
    <n v="0"/>
    <n v="92.56"/>
    <n v="0"/>
    <n v="0"/>
    <n v="0"/>
    <n v="68.86"/>
    <n v="0"/>
    <n v="161.42000000000002"/>
    <n v="68.86"/>
  </r>
  <r>
    <x v="11"/>
    <x v="10"/>
    <x v="0"/>
    <s v="6940306"/>
    <n v="721910"/>
    <s v="Supplies-Small Equipment"/>
    <s v="Marketing"/>
    <x v="0"/>
    <m/>
    <n v="0"/>
    <n v="0"/>
    <n v="0"/>
    <n v="0"/>
    <n v="0"/>
    <n v="395.62"/>
    <n v="0"/>
    <n v="0"/>
    <n v="0"/>
    <n v="0"/>
    <n v="0"/>
    <n v="0"/>
    <n v="395.62"/>
    <n v="0"/>
  </r>
  <r>
    <x v="11"/>
    <x v="10"/>
    <x v="0"/>
    <s v="6940306"/>
    <n v="721980"/>
    <s v="Supplies-Other"/>
    <s v="Marketing"/>
    <x v="0"/>
    <m/>
    <n v="28.77"/>
    <n v="0"/>
    <n v="0"/>
    <n v="0"/>
    <n v="0"/>
    <n v="0"/>
    <n v="0"/>
    <n v="0"/>
    <n v="0"/>
    <n v="0"/>
    <n v="0"/>
    <n v="0"/>
    <n v="28.77"/>
    <n v="0"/>
  </r>
  <r>
    <x v="12"/>
    <x v="10"/>
    <x v="0"/>
    <s v="6940306"/>
    <n v="730020"/>
    <s v="Rental and Leases-Copier Usage Fees (DO NOT USE)"/>
    <s v="Marketing"/>
    <x v="0"/>
    <n v="5100"/>
    <n v="9.36"/>
    <n v="9.67"/>
    <n v="9.51"/>
    <n v="9.51"/>
    <n v="9.51"/>
    <n v="9.51"/>
    <n v="-30.96"/>
    <n v="0"/>
    <n v="0"/>
    <n v="0"/>
    <n v="0"/>
    <n v="0"/>
    <n v="26.109999999999992"/>
    <n v="0"/>
  </r>
  <r>
    <x v="15"/>
    <x v="10"/>
    <x v="0"/>
    <s v="6940306"/>
    <n v="731060"/>
    <s v="Cell Phones"/>
    <s v="Marketing"/>
    <x v="0"/>
    <n v="1001"/>
    <n v="0"/>
    <n v="0"/>
    <n v="1.73"/>
    <n v="0"/>
    <n v="13.06"/>
    <n v="4.68"/>
    <n v="36.270000000000003"/>
    <n v="0"/>
    <n v="22.13"/>
    <n v="-0.06"/>
    <n v="0"/>
    <n v="0"/>
    <n v="77.81"/>
    <n v="0"/>
  </r>
  <r>
    <x v="13"/>
    <x v="10"/>
    <x v="0"/>
    <s v="6940306"/>
    <n v="735070"/>
    <s v="Depreciation-Movable Equipment"/>
    <s v="Marketing"/>
    <x v="0"/>
    <m/>
    <n v="117.76"/>
    <n v="117.76"/>
    <n v="117.78"/>
    <n v="117.76"/>
    <n v="117.78"/>
    <n v="117.76"/>
    <n v="33.46"/>
    <n v="33.43"/>
    <n v="33.46"/>
    <n v="33.43"/>
    <n v="33.479999999999997"/>
    <n v="33.39"/>
    <n v="907.25"/>
    <n v="8.9999999999996305E-2"/>
  </r>
  <r>
    <x v="0"/>
    <x v="10"/>
    <x v="0"/>
    <s v="6940306"/>
    <n v="740020"/>
    <s v="Education-Registration Fees"/>
    <s v="Marketing"/>
    <x v="0"/>
    <m/>
    <n v="0"/>
    <n v="0"/>
    <n v="0"/>
    <n v="0"/>
    <n v="3000"/>
    <n v="500"/>
    <n v="0"/>
    <n v="0"/>
    <n v="0"/>
    <n v="0"/>
    <n v="0"/>
    <n v="0"/>
    <n v="3500"/>
    <n v="0"/>
  </r>
  <r>
    <x v="0"/>
    <x v="10"/>
    <x v="0"/>
    <s v="6940306"/>
    <n v="749510"/>
    <s v="Miscellaneous Expenses"/>
    <s v="Marketing"/>
    <x v="0"/>
    <m/>
    <n v="976.07"/>
    <n v="-502.44"/>
    <n v="-473.63"/>
    <n v="0"/>
    <n v="427.31"/>
    <n v="7.95"/>
    <n v="222.8"/>
    <n v="1365.6"/>
    <n v="-523.66"/>
    <n v="0"/>
    <n v="69.97"/>
    <n v="12.82"/>
    <n v="1582.79"/>
    <n v="57.15"/>
  </r>
  <r>
    <x v="0"/>
    <x v="10"/>
    <x v="0"/>
    <s v="6940306"/>
    <n v="749530"/>
    <s v="Travel"/>
    <s v="Marketing"/>
    <x v="0"/>
    <m/>
    <n v="73"/>
    <n v="361"/>
    <n v="312"/>
    <n v="196"/>
    <n v="261"/>
    <n v="194"/>
    <n v="744.4"/>
    <n v="140"/>
    <n v="123"/>
    <n v="193.89"/>
    <n v="124"/>
    <n v="136"/>
    <n v="2858.29"/>
    <n v="-12"/>
  </r>
  <r>
    <x v="0"/>
    <x v="10"/>
    <x v="0"/>
    <s v="6940306"/>
    <n v="749530"/>
    <s v="Mileage"/>
    <s v="Marketing"/>
    <x v="0"/>
    <n v="1001"/>
    <n v="747.25"/>
    <n v="2077.66"/>
    <n v="1751.2"/>
    <n v="1674.33"/>
    <n v="1556.62"/>
    <n v="1112.43"/>
    <n v="788.7"/>
    <n v="1110.1199999999999"/>
    <n v="1144.92"/>
    <n v="1700.56"/>
    <n v="1178.56"/>
    <n v="1045.74"/>
    <n v="15888.09"/>
    <n v="132.81999999999994"/>
  </r>
  <r>
    <x v="14"/>
    <x v="9"/>
    <x v="0"/>
    <s v="6940501"/>
    <n v="600010"/>
    <s v="Product Sales Income-Taxable"/>
    <s v="Marketing"/>
    <x v="0"/>
    <m/>
    <n v="-79"/>
    <n v="0"/>
    <n v="-1376.75"/>
    <n v="-2528.92"/>
    <n v="0"/>
    <n v="0"/>
    <n v="0"/>
    <n v="0"/>
    <n v="0"/>
    <n v="0"/>
    <n v="0"/>
    <n v="-2116"/>
    <n v="-6100.67"/>
    <n v="2116"/>
  </r>
  <r>
    <x v="14"/>
    <x v="9"/>
    <x v="0"/>
    <s v="6940501"/>
    <n v="600050"/>
    <s v="Miscellaneous Revenue"/>
    <s v="Marketing"/>
    <x v="0"/>
    <m/>
    <n v="-373.67"/>
    <n v="-566.09"/>
    <n v="382.09"/>
    <n v="-2545.8000000000002"/>
    <n v="305"/>
    <n v="-455"/>
    <n v="-585"/>
    <n v="461.5"/>
    <n v="695"/>
    <n v="-1334"/>
    <n v="2055.8000000000002"/>
    <n v="2728.7"/>
    <n v="768.52999999999975"/>
    <n v="-672.89999999999964"/>
  </r>
  <r>
    <x v="5"/>
    <x v="9"/>
    <x v="0"/>
    <s v="6940501"/>
    <n v="700014"/>
    <s v="Salaries-Management-Productive"/>
    <s v="Marketing"/>
    <x v="0"/>
    <m/>
    <n v="11013.54"/>
    <n v="12740.19"/>
    <n v="24119.74"/>
    <n v="25730.52"/>
    <n v="23705.86"/>
    <n v="19258.45"/>
    <n v="25656.42"/>
    <n v="22979.24"/>
    <n v="24737.85"/>
    <n v="23877.47"/>
    <n v="12345.72"/>
    <n v="25482.59"/>
    <n v="251647.59"/>
    <n v="-13136.87"/>
  </r>
  <r>
    <x v="5"/>
    <x v="9"/>
    <x v="0"/>
    <s v="6940501"/>
    <n v="700014"/>
    <s v="Salaries-Management-Other"/>
    <s v="Marketing"/>
    <x v="0"/>
    <n v="2000"/>
    <n v="0"/>
    <n v="0"/>
    <n v="30"/>
    <n v="0"/>
    <n v="0"/>
    <n v="0"/>
    <n v="0"/>
    <n v="0"/>
    <n v="0"/>
    <n v="0"/>
    <n v="0"/>
    <n v="0"/>
    <n v="30"/>
    <n v="0"/>
  </r>
  <r>
    <x v="5"/>
    <x v="9"/>
    <x v="0"/>
    <s v="6940501"/>
    <n v="700034"/>
    <s v="Salaries-Tech/Professional-Productive"/>
    <s v="Marketing"/>
    <x v="0"/>
    <m/>
    <n v="37540.58"/>
    <n v="41879.33"/>
    <n v="32203.279999999999"/>
    <n v="39175.269999999997"/>
    <n v="40321.25"/>
    <n v="32441.62"/>
    <n v="42867.96"/>
    <n v="40290.21"/>
    <n v="37608.019999999997"/>
    <n v="43461.07"/>
    <n v="45035.33"/>
    <n v="41190.639999999999"/>
    <n v="474014.56000000006"/>
    <n v="3844.6900000000023"/>
  </r>
  <r>
    <x v="5"/>
    <x v="9"/>
    <x v="0"/>
    <s v="6940501"/>
    <n v="700034"/>
    <s v="Salaries-Tech/Professional-Other"/>
    <s v="Marketing"/>
    <x v="0"/>
    <n v="2000"/>
    <n v="0"/>
    <n v="0"/>
    <n v="0"/>
    <n v="0"/>
    <n v="30"/>
    <n v="0"/>
    <n v="0"/>
    <n v="0"/>
    <n v="0"/>
    <n v="0"/>
    <n v="0"/>
    <n v="0"/>
    <n v="30"/>
    <n v="0"/>
  </r>
  <r>
    <x v="5"/>
    <x v="9"/>
    <x v="0"/>
    <s v="6940501"/>
    <n v="700038"/>
    <s v="Salaries-Service/Support-Productive"/>
    <s v="Marketing"/>
    <x v="0"/>
    <m/>
    <n v="3858.84"/>
    <n v="3568.78"/>
    <n v="3386.81"/>
    <n v="3377.5"/>
    <n v="3566.99"/>
    <n v="3442.87"/>
    <n v="3625.48"/>
    <n v="3453.25"/>
    <n v="3524.36"/>
    <n v="3770.69"/>
    <n v="3688.93"/>
    <n v="3365.65"/>
    <n v="42630.15"/>
    <n v="323.27999999999975"/>
  </r>
  <r>
    <x v="5"/>
    <x v="9"/>
    <x v="0"/>
    <s v="6940501"/>
    <n v="700038"/>
    <s v="Salaries-Service/Support-OT"/>
    <s v="Marketing"/>
    <x v="0"/>
    <n v="1000"/>
    <n v="18.64"/>
    <n v="-1.8"/>
    <n v="0"/>
    <n v="0"/>
    <n v="0"/>
    <n v="0"/>
    <n v="11.78"/>
    <n v="-3.09"/>
    <n v="0"/>
    <n v="0"/>
    <n v="0"/>
    <n v="73.790000000000006"/>
    <n v="99.320000000000007"/>
    <n v="-73.790000000000006"/>
  </r>
  <r>
    <x v="5"/>
    <x v="9"/>
    <x v="0"/>
    <s v="6940501"/>
    <n v="700054"/>
    <s v="Salaries-Management-Non-productive"/>
    <s v="Marketing"/>
    <x v="0"/>
    <m/>
    <n v="1726.08"/>
    <n v="0"/>
    <n v="3555.76"/>
    <n v="493.2"/>
    <n v="1134.57"/>
    <n v="7029.73"/>
    <n v="672.78"/>
    <n v="799.56"/>
    <n v="1588.89"/>
    <n v="1599.14"/>
    <n v="13980.99"/>
    <n v="-4.75"/>
    <n v="32575.949999999997"/>
    <n v="13985.74"/>
  </r>
  <r>
    <x v="5"/>
    <x v="9"/>
    <x v="0"/>
    <s v="6940501"/>
    <n v="700054"/>
    <s v="Salaries-Management-NonProd-Other"/>
    <s v="Marketing"/>
    <x v="0"/>
    <n v="2000"/>
    <n v="0"/>
    <n v="0"/>
    <n v="0"/>
    <n v="0"/>
    <n v="0"/>
    <n v="3172.66"/>
    <n v="-3172.66"/>
    <n v="0"/>
    <n v="0"/>
    <n v="0"/>
    <n v="0"/>
    <n v="0"/>
    <n v="0"/>
    <n v="0"/>
  </r>
  <r>
    <x v="5"/>
    <x v="9"/>
    <x v="0"/>
    <s v="6940501"/>
    <n v="700074"/>
    <s v="Salaries-Tech/Professional-Non-productive"/>
    <s v="Marketing"/>
    <x v="0"/>
    <m/>
    <n v="8054.58"/>
    <n v="3930.1"/>
    <n v="6759.14"/>
    <n v="1569.62"/>
    <n v="1423.98"/>
    <n v="13174.78"/>
    <n v="2994.93"/>
    <n v="1188.1199999999999"/>
    <n v="8314.69"/>
    <n v="978.84"/>
    <n v="887.4"/>
    <n v="3251.3"/>
    <n v="52527.48"/>
    <n v="-2363.9"/>
  </r>
  <r>
    <x v="5"/>
    <x v="9"/>
    <x v="0"/>
    <s v="6940501"/>
    <n v="700074"/>
    <s v="Salaries-Tech/Professional-NonProd-Other"/>
    <s v="Market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940501"/>
    <n v="700078"/>
    <s v="Salaries-Service/Support-Non-productive"/>
    <s v="Marketing"/>
    <x v="0"/>
    <m/>
    <n v="179.6"/>
    <n v="413.7"/>
    <n v="461.85"/>
    <n v="509.88"/>
    <n v="396.33"/>
    <n v="832.3"/>
    <n v="476.47"/>
    <n v="0"/>
    <n v="934.41"/>
    <n v="112.45"/>
    <n v="410.16"/>
    <n v="383.72"/>
    <n v="5110.87"/>
    <n v="26.439999999999998"/>
  </r>
  <r>
    <x v="5"/>
    <x v="9"/>
    <x v="0"/>
    <s v="6940501"/>
    <n v="700084"/>
    <s v="Accrued PTO"/>
    <s v="Marketing"/>
    <x v="0"/>
    <m/>
    <n v="-1138.0899999999999"/>
    <n v="1711.67"/>
    <n v="-1138.29"/>
    <n v="5045.6400000000003"/>
    <n v="5633.52"/>
    <n v="-8172.88"/>
    <n v="3341.54"/>
    <n v="6845.28"/>
    <n v="429.33"/>
    <n v="4004.55"/>
    <n v="2121.52"/>
    <n v="8758.6299999999992"/>
    <n v="27442.42"/>
    <n v="-6637.1099999999988"/>
  </r>
  <r>
    <x v="6"/>
    <x v="9"/>
    <x v="0"/>
    <s v="6940501"/>
    <n v="713010"/>
    <s v="Benefits-FICA/Medicare"/>
    <s v="Marketing"/>
    <x v="0"/>
    <m/>
    <n v="4676.82"/>
    <n v="4687.45"/>
    <n v="5461.92"/>
    <n v="5234.91"/>
    <n v="4273.28"/>
    <n v="5545.8"/>
    <n v="5953.86"/>
    <n v="5142.46"/>
    <n v="5742.34"/>
    <n v="5523.98"/>
    <n v="5714.9"/>
    <n v="5519.51"/>
    <n v="63477.229999999996"/>
    <n v="195.38999999999942"/>
  </r>
  <r>
    <x v="6"/>
    <x v="9"/>
    <x v="0"/>
    <s v="6940501"/>
    <n v="713090"/>
    <s v="Benefits-Allocated Amounts"/>
    <s v="Marketing"/>
    <x v="0"/>
    <m/>
    <n v="10837.68"/>
    <n v="10113.31"/>
    <n v="11139.8"/>
    <n v="10691.01"/>
    <n v="10535.4"/>
    <n v="12499.35"/>
    <n v="13309.41"/>
    <n v="12614.46"/>
    <n v="14407.66"/>
    <n v="13222.05"/>
    <n v="13469.2"/>
    <n v="13401.15"/>
    <n v="146240.48000000001"/>
    <n v="68.050000000001091"/>
  </r>
  <r>
    <x v="6"/>
    <x v="9"/>
    <x v="0"/>
    <s v="6940501"/>
    <n v="713096"/>
    <s v="Employee Recognition"/>
    <s v="Marketing"/>
    <x v="0"/>
    <n v="1017"/>
    <n v="0"/>
    <n v="0"/>
    <n v="14.3"/>
    <n v="0"/>
    <n v="35.54"/>
    <n v="0"/>
    <n v="0"/>
    <n v="0"/>
    <n v="0"/>
    <n v="603.33000000000004"/>
    <n v="0"/>
    <n v="10.95"/>
    <n v="664.12000000000012"/>
    <n v="-10.95"/>
  </r>
  <r>
    <x v="21"/>
    <x v="9"/>
    <x v="0"/>
    <s v="6940501"/>
    <n v="716046"/>
    <s v="Consulting-Other"/>
    <s v="Marketing"/>
    <x v="0"/>
    <m/>
    <n v="37500"/>
    <n v="270.11"/>
    <n v="0"/>
    <n v="37500"/>
    <n v="0"/>
    <n v="0"/>
    <n v="39485.019999999997"/>
    <n v="0"/>
    <n v="0"/>
    <n v="37500"/>
    <n v="0"/>
    <n v="439.92"/>
    <n v="152695.05000000002"/>
    <n v="-439.92"/>
  </r>
  <r>
    <x v="7"/>
    <x v="9"/>
    <x v="0"/>
    <s v="6940501"/>
    <n v="718010"/>
    <s v="Media/Print Advertising"/>
    <s v="Marketing"/>
    <x v="0"/>
    <n v="1004"/>
    <n v="0"/>
    <n v="0"/>
    <n v="0"/>
    <n v="-63180.93"/>
    <n v="266451.95"/>
    <n v="-11366.15"/>
    <n v="43273.7"/>
    <n v="41114.06"/>
    <n v="-5361.41"/>
    <n v="-18720.650000000001"/>
    <n v="18595.38"/>
    <n v="33749.72"/>
    <n v="304555.67000000004"/>
    <n v="-15154.34"/>
  </r>
  <r>
    <x v="7"/>
    <x v="9"/>
    <x v="0"/>
    <s v="6940501"/>
    <n v="718050"/>
    <s v="Contract Svcs-Other"/>
    <s v="Marketing"/>
    <x v="0"/>
    <m/>
    <n v="0"/>
    <n v="178.03"/>
    <n v="1902.67"/>
    <n v="90.54"/>
    <n v="829.43"/>
    <n v="154.75"/>
    <n v="1103.06"/>
    <n v="0"/>
    <n v="0"/>
    <n v="638.54999999999995"/>
    <n v="728"/>
    <n v="271.58"/>
    <n v="5896.61"/>
    <n v="456.42"/>
  </r>
  <r>
    <x v="7"/>
    <x v="9"/>
    <x v="0"/>
    <s v="6940501"/>
    <n v="718050"/>
    <s v="Document Shredding/Storage"/>
    <s v="Marketing"/>
    <x v="0"/>
    <n v="1012"/>
    <n v="7.41"/>
    <n v="7.59"/>
    <n v="6.97"/>
    <n v="7.22"/>
    <n v="7.47"/>
    <n v="7.47"/>
    <n v="7.39"/>
    <n v="6.36"/>
    <n v="6.57"/>
    <n v="8.59"/>
    <n v="8.2200000000000006"/>
    <n v="6.47"/>
    <n v="87.72999999999999"/>
    <n v="1.7500000000000009"/>
  </r>
  <r>
    <x v="7"/>
    <x v="9"/>
    <x v="0"/>
    <s v="6940501"/>
    <n v="718050"/>
    <s v="Miscellaneous Purchased Svcs"/>
    <s v="Marketing"/>
    <x v="0"/>
    <n v="1020"/>
    <n v="-1890"/>
    <n v="3706.5"/>
    <n v="2880"/>
    <n v="0"/>
    <n v="630"/>
    <n v="0"/>
    <n v="0"/>
    <n v="6988.8"/>
    <n v="0"/>
    <n v="0"/>
    <n v="0"/>
    <n v="0"/>
    <n v="12315.3"/>
    <n v="0"/>
  </r>
  <r>
    <x v="11"/>
    <x v="9"/>
    <x v="0"/>
    <s v="6940501"/>
    <n v="721410"/>
    <s v="Supplies-Medical - Nonbillable"/>
    <s v="Marketing"/>
    <x v="0"/>
    <m/>
    <n v="0"/>
    <n v="0"/>
    <n v="0"/>
    <n v="0"/>
    <n v="9.4499999999999993"/>
    <n v="0"/>
    <n v="0"/>
    <n v="0"/>
    <n v="0"/>
    <n v="0"/>
    <n v="0"/>
    <n v="0"/>
    <n v="9.4499999999999993"/>
    <n v="0"/>
  </r>
  <r>
    <x v="11"/>
    <x v="9"/>
    <x v="0"/>
    <s v="6940501"/>
    <n v="721810"/>
    <s v="Supplies-Dietary/Cafeteria"/>
    <s v="Marketing"/>
    <x v="0"/>
    <m/>
    <n v="179.01"/>
    <n v="232.23"/>
    <n v="186.91"/>
    <n v="1034.8399999999999"/>
    <n v="1691.16"/>
    <n v="15.06"/>
    <n v="0"/>
    <n v="132.37"/>
    <n v="128.74"/>
    <n v="15.06"/>
    <n v="0"/>
    <n v="0"/>
    <n v="3615.3799999999997"/>
    <n v="0"/>
  </r>
  <r>
    <x v="11"/>
    <x v="9"/>
    <x v="0"/>
    <s v="6940501"/>
    <n v="721830"/>
    <s v="Supplies-Office"/>
    <s v="Marketing"/>
    <x v="0"/>
    <m/>
    <n v="241.4"/>
    <n v="166.8"/>
    <n v="271.7"/>
    <n v="337.99"/>
    <n v="865.89"/>
    <n v="313.37"/>
    <n v="205.45"/>
    <n v="473.68"/>
    <n v="435.63"/>
    <n v="591.24"/>
    <n v="245.94"/>
    <n v="323.3"/>
    <n v="4472.3899999999994"/>
    <n v="-77.360000000000014"/>
  </r>
  <r>
    <x v="11"/>
    <x v="9"/>
    <x v="0"/>
    <s v="6940501"/>
    <n v="721835"/>
    <s v="Supplies-Forms"/>
    <s v="Marketing"/>
    <x v="0"/>
    <m/>
    <n v="0"/>
    <n v="0"/>
    <n v="0"/>
    <n v="-212.31"/>
    <n v="18244.45"/>
    <n v="7074.79"/>
    <n v="330.79"/>
    <n v="-879.81"/>
    <n v="3365.98"/>
    <n v="7411.11"/>
    <n v="12172.8"/>
    <n v="6211.03"/>
    <n v="53718.83"/>
    <n v="5961.7699999999995"/>
  </r>
  <r>
    <x v="11"/>
    <x v="9"/>
    <x v="0"/>
    <s v="6940501"/>
    <n v="721910"/>
    <s v="Supplies-Small Equipment"/>
    <s v="Marketing"/>
    <x v="0"/>
    <m/>
    <n v="75.900000000000006"/>
    <n v="454.71"/>
    <n v="0"/>
    <n v="0"/>
    <n v="1078.5999999999999"/>
    <n v="532.9"/>
    <n v="5.0199999999999996"/>
    <n v="156.97"/>
    <n v="0"/>
    <n v="3595.65"/>
    <n v="0"/>
    <n v="232.95"/>
    <n v="6132.7"/>
    <n v="-232.95"/>
  </r>
  <r>
    <x v="11"/>
    <x v="9"/>
    <x v="0"/>
    <s v="6940501"/>
    <n v="721980"/>
    <s v="Supplies-Other"/>
    <s v="Marketing"/>
    <x v="0"/>
    <m/>
    <n v="2432.9699999999998"/>
    <n v="0"/>
    <n v="0"/>
    <n v="0"/>
    <n v="0"/>
    <n v="0"/>
    <n v="0"/>
    <n v="0"/>
    <n v="0"/>
    <n v="0"/>
    <n v="0"/>
    <n v="0"/>
    <n v="2432.9699999999998"/>
    <n v="0"/>
  </r>
  <r>
    <x v="11"/>
    <x v="9"/>
    <x v="0"/>
    <s v="6940501"/>
    <n v="722000"/>
    <s v="Supplies-Freight Expense"/>
    <s v="Marketing"/>
    <x v="0"/>
    <m/>
    <n v="0"/>
    <n v="6.41"/>
    <n v="103.01"/>
    <n v="364.75"/>
    <n v="132.49"/>
    <n v="64.38"/>
    <n v="9.14"/>
    <n v="17.100000000000001"/>
    <n v="0"/>
    <n v="368.05"/>
    <n v="755.07"/>
    <n v="63.24"/>
    <n v="1883.64"/>
    <n v="691.83"/>
  </r>
  <r>
    <x v="12"/>
    <x v="9"/>
    <x v="0"/>
    <s v="6940501"/>
    <n v="730010"/>
    <s v="Rental and Leases-Building (DO NOT USE)"/>
    <s v="Marketing"/>
    <x v="0"/>
    <m/>
    <n v="6096.33"/>
    <n v="6096.33"/>
    <n v="6096.33"/>
    <n v="6096.33"/>
    <n v="6096.33"/>
    <n v="-7118.25"/>
    <n v="3917.75"/>
    <n v="3917.75"/>
    <n v="4018.2"/>
    <n v="4017.2"/>
    <n v="4017.2"/>
    <n v="0"/>
    <n v="43251.499999999993"/>
    <n v="4017.2"/>
  </r>
  <r>
    <x v="12"/>
    <x v="9"/>
    <x v="0"/>
    <s v="6940501"/>
    <n v="730010"/>
    <s v="Rental-Common Area Maint (DO NOT USE)"/>
    <s v="Marketing"/>
    <x v="0"/>
    <n v="2200"/>
    <n v="0"/>
    <n v="0"/>
    <n v="0"/>
    <n v="0"/>
    <n v="0"/>
    <n v="13239.54"/>
    <n v="3831.63"/>
    <n v="2203.54"/>
    <n v="2203.54"/>
    <n v="2202.9899999999998"/>
    <n v="2202.9899999999998"/>
    <n v="0"/>
    <n v="25884.230000000003"/>
    <n v="2202.9899999999998"/>
  </r>
  <r>
    <x v="12"/>
    <x v="9"/>
    <x v="0"/>
    <s v="6940501"/>
    <n v="730020"/>
    <s v="Rental and Leases-Copier Usage Fees (DO NOT USE)"/>
    <s v="Marketing"/>
    <x v="0"/>
    <n v="5100"/>
    <n v="375.08"/>
    <n v="356.36"/>
    <n v="365.72"/>
    <n v="365.72"/>
    <n v="365.72"/>
    <n v="365.72"/>
    <n v="939.92"/>
    <n v="248.18"/>
    <n v="247.66"/>
    <n v="859.59"/>
    <n v="248.18"/>
    <n v="284.02"/>
    <n v="5021.8700000000008"/>
    <n v="-35.839999999999975"/>
  </r>
  <r>
    <x v="12"/>
    <x v="9"/>
    <x v="0"/>
    <s v="6940501"/>
    <n v="730040"/>
    <s v="LT Lease-Real Estate"/>
    <s v="Marketing"/>
    <x v="0"/>
    <m/>
    <n v="0"/>
    <n v="0"/>
    <n v="0"/>
    <n v="0"/>
    <n v="0"/>
    <n v="0"/>
    <n v="0"/>
    <n v="0"/>
    <n v="0"/>
    <n v="0"/>
    <n v="0"/>
    <n v="6220.19"/>
    <n v="6220.19"/>
    <n v="-6220.19"/>
  </r>
  <r>
    <x v="15"/>
    <x v="9"/>
    <x v="0"/>
    <s v="6940501"/>
    <n v="731060"/>
    <s v="Telephone"/>
    <s v="Marketing"/>
    <x v="0"/>
    <m/>
    <n v="5.46"/>
    <n v="5.46"/>
    <n v="5.46"/>
    <n v="5.46"/>
    <n v="5.46"/>
    <n v="5.46"/>
    <n v="5.46"/>
    <n v="57.8"/>
    <n v="5"/>
    <n v="5"/>
    <n v="5"/>
    <n v="5"/>
    <n v="116.02"/>
    <n v="0"/>
  </r>
  <r>
    <x v="15"/>
    <x v="9"/>
    <x v="0"/>
    <s v="6940501"/>
    <n v="731060"/>
    <s v="Pagers"/>
    <s v="Marketing"/>
    <x v="0"/>
    <n v="1002"/>
    <n v="16.2"/>
    <n v="16.2"/>
    <n v="16.2"/>
    <n v="16.239999999999998"/>
    <n v="16.239999999999998"/>
    <n v="0"/>
    <n v="32.479999999999997"/>
    <n v="16.239999999999998"/>
    <n v="16.239999999999998"/>
    <n v="16.239999999999998"/>
    <n v="16.239999999999998"/>
    <n v="16.239999999999998"/>
    <n v="194.76000000000002"/>
    <n v="0"/>
  </r>
  <r>
    <x v="15"/>
    <x v="9"/>
    <x v="0"/>
    <s v="6940501"/>
    <n v="731065"/>
    <s v="Data Communications"/>
    <s v="Marketing"/>
    <x v="0"/>
    <m/>
    <n v="0"/>
    <n v="0"/>
    <n v="228"/>
    <n v="0"/>
    <n v="0"/>
    <n v="0"/>
    <n v="0"/>
    <n v="0"/>
    <n v="0"/>
    <n v="0"/>
    <n v="29.99"/>
    <n v="0"/>
    <n v="257.99"/>
    <n v="29.99"/>
  </r>
  <r>
    <x v="15"/>
    <x v="9"/>
    <x v="0"/>
    <s v="6940501"/>
    <n v="731070"/>
    <s v="Cable TV"/>
    <s v="Marketing"/>
    <x v="0"/>
    <m/>
    <n v="22.45"/>
    <n v="22.45"/>
    <n v="22.45"/>
    <n v="22.45"/>
    <n v="22.45"/>
    <n v="22.45"/>
    <n v="24.65"/>
    <n v="24.65"/>
    <n v="24.65"/>
    <n v="24.65"/>
    <n v="24.65"/>
    <n v="24.65"/>
    <n v="282.59999999999997"/>
    <n v="0"/>
  </r>
  <r>
    <x v="16"/>
    <x v="9"/>
    <x v="0"/>
    <s v="6940501"/>
    <n v="732030"/>
    <s v="Repairs---Other"/>
    <s v="Marketing"/>
    <x v="0"/>
    <m/>
    <n v="0"/>
    <n v="0"/>
    <n v="0"/>
    <n v="0"/>
    <n v="-1672"/>
    <n v="0"/>
    <n v="0"/>
    <n v="0"/>
    <n v="0"/>
    <n v="0"/>
    <n v="0"/>
    <n v="0"/>
    <n v="-1672"/>
    <n v="0"/>
  </r>
  <r>
    <x v="16"/>
    <x v="9"/>
    <x v="0"/>
    <s v="6940501"/>
    <n v="732030"/>
    <s v="Repairs&amp;Maintenance-Bldg Routine"/>
    <s v="Marketing"/>
    <x v="0"/>
    <n v="2300"/>
    <n v="21.44"/>
    <n v="0"/>
    <n v="0"/>
    <n v="0"/>
    <n v="19.21"/>
    <n v="520.66"/>
    <n v="0"/>
    <n v="0"/>
    <n v="0"/>
    <n v="0"/>
    <n v="0"/>
    <n v="0"/>
    <n v="561.30999999999995"/>
    <n v="0"/>
  </r>
  <r>
    <x v="13"/>
    <x v="9"/>
    <x v="0"/>
    <s v="6940501"/>
    <n v="735070"/>
    <s v="Depreciation-Movable Equipment"/>
    <s v="Marketing"/>
    <x v="0"/>
    <m/>
    <n v="43.33"/>
    <n v="0"/>
    <n v="0"/>
    <n v="0"/>
    <n v="0"/>
    <n v="0"/>
    <n v="0"/>
    <n v="0"/>
    <n v="0"/>
    <n v="0"/>
    <n v="0"/>
    <n v="0"/>
    <n v="43.33"/>
    <n v="0"/>
  </r>
  <r>
    <x v="0"/>
    <x v="9"/>
    <x v="0"/>
    <s v="6940501"/>
    <n v="740020"/>
    <s v="Education-Registration Fees"/>
    <s v="Marketing"/>
    <x v="0"/>
    <m/>
    <n v="0"/>
    <n v="0"/>
    <n v="4380"/>
    <n v="0"/>
    <n v="50"/>
    <n v="0"/>
    <n v="0"/>
    <n v="0"/>
    <n v="0"/>
    <n v="0"/>
    <n v="0"/>
    <n v="1496"/>
    <n v="5926"/>
    <n v="-1496"/>
  </r>
  <r>
    <x v="0"/>
    <x v="9"/>
    <x v="0"/>
    <s v="6940501"/>
    <n v="740030"/>
    <s v="Education-Travel"/>
    <s v="Marketing"/>
    <x v="0"/>
    <m/>
    <n v="0"/>
    <n v="0"/>
    <n v="0"/>
    <n v="0"/>
    <n v="0"/>
    <n v="15.35"/>
    <n v="0"/>
    <n v="0"/>
    <n v="0"/>
    <n v="0"/>
    <n v="0"/>
    <n v="0"/>
    <n v="15.35"/>
    <n v="0"/>
  </r>
  <r>
    <x v="0"/>
    <x v="9"/>
    <x v="0"/>
    <s v="6940501"/>
    <n v="742010"/>
    <s v="Postage-Regular"/>
    <s v="Marketing"/>
    <x v="0"/>
    <m/>
    <n v="0"/>
    <n v="0"/>
    <n v="0"/>
    <n v="0"/>
    <n v="0"/>
    <n v="0"/>
    <n v="0"/>
    <n v="0"/>
    <n v="0"/>
    <n v="0"/>
    <n v="0"/>
    <n v="14.99"/>
    <n v="14.99"/>
    <n v="-14.99"/>
  </r>
  <r>
    <x v="0"/>
    <x v="9"/>
    <x v="0"/>
    <s v="6940501"/>
    <n v="743020"/>
    <s v="Dues--Individual"/>
    <s v="Marketing"/>
    <x v="0"/>
    <m/>
    <n v="0"/>
    <n v="0"/>
    <n v="0"/>
    <n v="0"/>
    <n v="0"/>
    <n v="0"/>
    <n v="0"/>
    <n v="500"/>
    <n v="0"/>
    <n v="0"/>
    <n v="0"/>
    <n v="0"/>
    <n v="500"/>
    <n v="0"/>
  </r>
  <r>
    <x v="0"/>
    <x v="9"/>
    <x v="0"/>
    <s v="6940501"/>
    <n v="743030"/>
    <s v="Subscriptions--Institutional"/>
    <s v="Marketing"/>
    <x v="0"/>
    <m/>
    <n v="0"/>
    <n v="35"/>
    <n v="30"/>
    <n v="0"/>
    <n v="30"/>
    <n v="0"/>
    <n v="1153.4100000000001"/>
    <n v="0"/>
    <n v="0"/>
    <n v="30"/>
    <n v="15"/>
    <n v="30"/>
    <n v="1323.41"/>
    <n v="-15"/>
  </r>
  <r>
    <x v="0"/>
    <x v="9"/>
    <x v="0"/>
    <s v="6940501"/>
    <n v="743040"/>
    <s v="Subscriptions--Individual"/>
    <s v="Marketing"/>
    <x v="0"/>
    <m/>
    <n v="0"/>
    <n v="0"/>
    <n v="20"/>
    <n v="0"/>
    <n v="20"/>
    <n v="0"/>
    <n v="30"/>
    <n v="0"/>
    <n v="0"/>
    <n v="20"/>
    <n v="10"/>
    <n v="20"/>
    <n v="120"/>
    <n v="-10"/>
  </r>
  <r>
    <x v="0"/>
    <x v="9"/>
    <x v="0"/>
    <s v="6940501"/>
    <n v="749510"/>
    <s v="Miscellaneous Expenses"/>
    <s v="Marketing"/>
    <x v="0"/>
    <m/>
    <n v="88106.39"/>
    <n v="38859.99"/>
    <n v="46639.01"/>
    <n v="70365.279999999999"/>
    <n v="-233657.1"/>
    <n v="31033.94"/>
    <n v="-10533.95"/>
    <n v="-15484.78"/>
    <n v="-22452.240000000002"/>
    <n v="2702.13"/>
    <n v="13968.53"/>
    <n v="-6992.02"/>
    <n v="2555.1800000000076"/>
    <n v="20960.550000000003"/>
  </r>
  <r>
    <x v="0"/>
    <x v="9"/>
    <x v="0"/>
    <s v="6940501"/>
    <n v="749510"/>
    <s v="RICE Rewards"/>
    <s v="Marketing"/>
    <x v="0"/>
    <n v="5100"/>
    <n v="-66248.05"/>
    <n v="5875.3"/>
    <n v="-5875.3"/>
    <n v="0"/>
    <n v="0"/>
    <n v="0"/>
    <n v="0"/>
    <n v="355"/>
    <n v="0"/>
    <n v="0"/>
    <n v="0"/>
    <n v="0"/>
    <n v="-65893.05"/>
    <n v="0"/>
  </r>
  <r>
    <x v="0"/>
    <x v="9"/>
    <x v="0"/>
    <s v="6940501"/>
    <n v="749510"/>
    <s v="Marketing-General"/>
    <s v="Marketing"/>
    <x v="0"/>
    <n v="5110"/>
    <n v="1047018.16"/>
    <n v="125124.84"/>
    <n v="682928.26"/>
    <n v="406957.52"/>
    <n v="466518.09"/>
    <n v="401031.23"/>
    <n v="329088.96999999997"/>
    <n v="301080.34999999998"/>
    <n v="325850.57"/>
    <n v="453391.18"/>
    <n v="2223095.85"/>
    <n v="1855948.46"/>
    <n v="8618033.4800000004"/>
    <n v="367147.39000000013"/>
  </r>
  <r>
    <x v="0"/>
    <x v="9"/>
    <x v="0"/>
    <s v="6940501"/>
    <n v="749530"/>
    <s v="Travel"/>
    <s v="Marketing"/>
    <x v="0"/>
    <m/>
    <n v="6"/>
    <n v="12"/>
    <n v="18"/>
    <n v="45"/>
    <n v="0"/>
    <n v="763.22"/>
    <n v="306.39999999999998"/>
    <n v="686.06"/>
    <n v="0"/>
    <n v="0"/>
    <n v="592.74"/>
    <n v="973.67"/>
    <n v="3403.09"/>
    <n v="-380.92999999999995"/>
  </r>
  <r>
    <x v="0"/>
    <x v="9"/>
    <x v="0"/>
    <s v="6940501"/>
    <n v="749530"/>
    <s v="Mileage"/>
    <s v="Marketing"/>
    <x v="0"/>
    <n v="1001"/>
    <n v="15.26"/>
    <n v="120.46"/>
    <n v="130.27000000000001"/>
    <n v="22.89"/>
    <n v="308.49"/>
    <n v="58.86"/>
    <n v="145"/>
    <n v="0"/>
    <n v="67.86"/>
    <n v="77.72"/>
    <n v="62.06"/>
    <n v="147.9"/>
    <n v="1156.7700000000002"/>
    <n v="-85.84"/>
  </r>
  <r>
    <x v="0"/>
    <x v="9"/>
    <x v="0"/>
    <s v="6940501"/>
    <n v="749535"/>
    <s v="Meetings"/>
    <s v="Marketing"/>
    <x v="0"/>
    <m/>
    <n v="0"/>
    <n v="0"/>
    <n v="0"/>
    <n v="0"/>
    <n v="0"/>
    <n v="92"/>
    <n v="123.97"/>
    <n v="67.44"/>
    <n v="0"/>
    <n v="-59"/>
    <n v="38"/>
    <n v="126.84"/>
    <n v="389.25"/>
    <n v="-88.84"/>
  </r>
  <r>
    <x v="5"/>
    <x v="9"/>
    <x v="0"/>
    <s v="6941501"/>
    <n v="700034"/>
    <s v="Salaries-Tech/Professional-Productive"/>
    <s v="Medical Photography"/>
    <x v="0"/>
    <m/>
    <n v="0"/>
    <n v="0"/>
    <n v="61.88"/>
    <n v="0"/>
    <n v="61.15"/>
    <n v="-29.44"/>
    <n v="0"/>
    <n v="0"/>
    <n v="66.52"/>
    <n v="-24.18"/>
    <n v="122.49"/>
    <n v="-58.97"/>
    <n v="199.45000000000002"/>
    <n v="181.45999999999998"/>
  </r>
  <r>
    <x v="5"/>
    <x v="9"/>
    <x v="0"/>
    <s v="6941501"/>
    <n v="700034"/>
    <s v="Salaries-Tech/Professional-Other"/>
    <s v="Medical Photography"/>
    <x v="0"/>
    <n v="2000"/>
    <n v="0"/>
    <n v="0"/>
    <n v="9.2799999999999994"/>
    <n v="0"/>
    <n v="58.06"/>
    <n v="-27.95"/>
    <n v="0"/>
    <n v="0"/>
    <n v="9.9700000000000006"/>
    <n v="-3.62"/>
    <n v="18.34"/>
    <n v="-8.83"/>
    <n v="55.25"/>
    <n v="27.17"/>
  </r>
  <r>
    <x v="5"/>
    <x v="9"/>
    <x v="0"/>
    <s v="6941501"/>
    <n v="700084"/>
    <s v="Accrued PTO"/>
    <s v="Medical Photography"/>
    <x v="0"/>
    <m/>
    <n v="0"/>
    <n v="0"/>
    <n v="0"/>
    <n v="-6.32"/>
    <n v="0"/>
    <n v="0"/>
    <n v="0"/>
    <n v="0"/>
    <n v="0"/>
    <n v="8690.15"/>
    <n v="-8690.15"/>
    <n v="0"/>
    <n v="-6.319999999999709"/>
    <n v="-8690.15"/>
  </r>
  <r>
    <x v="6"/>
    <x v="9"/>
    <x v="0"/>
    <s v="6941501"/>
    <n v="713010"/>
    <s v="Benefits-FICA/Medicare"/>
    <s v="Medical Photography"/>
    <x v="0"/>
    <m/>
    <n v="0"/>
    <n v="0"/>
    <n v="5.44"/>
    <n v="0"/>
    <n v="9.1199999999999992"/>
    <n v="-4.38"/>
    <n v="0"/>
    <n v="0"/>
    <n v="5.83"/>
    <n v="-2.11"/>
    <n v="10.75"/>
    <n v="-5.17"/>
    <n v="19.479999999999997"/>
    <n v="15.92"/>
  </r>
  <r>
    <x v="6"/>
    <x v="9"/>
    <x v="0"/>
    <s v="6941501"/>
    <n v="713090"/>
    <s v="Benefits-Allocated Amounts"/>
    <s v="Medical Photography"/>
    <x v="0"/>
    <m/>
    <n v="0"/>
    <n v="0"/>
    <n v="0"/>
    <n v="0"/>
    <n v="0"/>
    <n v="0"/>
    <n v="0"/>
    <n v="0"/>
    <n v="0"/>
    <n v="461.08"/>
    <n v="-461.08"/>
    <n v="0"/>
    <n v="0"/>
    <n v="-461.08"/>
  </r>
  <r>
    <x v="11"/>
    <x v="5"/>
    <x v="0"/>
    <s v="6942106"/>
    <n v="721410"/>
    <s v="Supplies-Medical - Nonbillable"/>
    <s v="Comm Relations/Mkt"/>
    <x v="0"/>
    <m/>
    <n v="9.4499999999999993"/>
    <n v="0"/>
    <n v="0"/>
    <n v="0"/>
    <n v="-9.4499999999999993"/>
    <n v="0"/>
    <n v="0"/>
    <n v="0"/>
    <n v="0"/>
    <n v="0"/>
    <n v="0"/>
    <n v="0"/>
    <n v="0"/>
    <n v="0"/>
  </r>
  <r>
    <x v="21"/>
    <x v="9"/>
    <x v="0"/>
    <s v="6942501"/>
    <n v="716046"/>
    <s v="Consulting-Other"/>
    <s v="Government Relations"/>
    <x v="0"/>
    <m/>
    <n v="7000"/>
    <n v="22000"/>
    <n v="0"/>
    <n v="11180.25"/>
    <n v="18500"/>
    <n v="7000"/>
    <n v="7649.05"/>
    <n v="18500"/>
    <n v="14815.17"/>
    <n v="0"/>
    <n v="15519.79"/>
    <n v="29288.36"/>
    <n v="151452.62"/>
    <n v="-13768.57"/>
  </r>
  <r>
    <x v="7"/>
    <x v="9"/>
    <x v="0"/>
    <s v="6942501"/>
    <n v="718050"/>
    <s v="Miscellaneous Purchased Svcs"/>
    <s v="Government Relations"/>
    <x v="0"/>
    <n v="1020"/>
    <n v="0"/>
    <n v="7500"/>
    <n v="0"/>
    <n v="0"/>
    <n v="0"/>
    <n v="0"/>
    <n v="0"/>
    <n v="0"/>
    <n v="0"/>
    <n v="0"/>
    <n v="0"/>
    <n v="0"/>
    <n v="7500"/>
    <n v="0"/>
  </r>
  <r>
    <x v="0"/>
    <x v="9"/>
    <x v="0"/>
    <s v="6942501"/>
    <n v="749510"/>
    <s v="Miscellaneous Expenses"/>
    <s v="Government Relations"/>
    <x v="0"/>
    <m/>
    <n v="-14500"/>
    <n v="-3500"/>
    <n v="0"/>
    <n v="1310.43"/>
    <n v="125.79"/>
    <n v="0"/>
    <n v="0"/>
    <n v="233.76"/>
    <n v="233.76"/>
    <n v="0"/>
    <n v="233.76"/>
    <n v="233.76"/>
    <n v="-15628.739999999998"/>
    <n v="0"/>
  </r>
  <r>
    <x v="0"/>
    <x v="9"/>
    <x v="0"/>
    <s v="6942501"/>
    <n v="749510"/>
    <s v="RICE Rewards"/>
    <s v="Government Relations"/>
    <x v="0"/>
    <n v="5100"/>
    <n v="0"/>
    <n v="0"/>
    <n v="0"/>
    <n v="0"/>
    <n v="0"/>
    <n v="0"/>
    <n v="0"/>
    <n v="66.56"/>
    <n v="0"/>
    <n v="0"/>
    <n v="0"/>
    <n v="0"/>
    <n v="66.56"/>
    <n v="0"/>
  </r>
  <r>
    <x v="5"/>
    <x v="9"/>
    <x v="0"/>
    <s v="6943501"/>
    <n v="700014"/>
    <s v="Salaries-Management-Productive"/>
    <s v="Communications"/>
    <x v="0"/>
    <m/>
    <n v="26197.47"/>
    <n v="25390.54"/>
    <n v="29376.58"/>
    <n v="31394.41"/>
    <n v="30060.18"/>
    <n v="17630.740000000002"/>
    <n v="30189.94"/>
    <n v="26426.6"/>
    <n v="32042.05"/>
    <n v="31205.67"/>
    <n v="32049.8"/>
    <n v="25989.88"/>
    <n v="337953.86"/>
    <n v="6059.9199999999983"/>
  </r>
  <r>
    <x v="5"/>
    <x v="9"/>
    <x v="0"/>
    <s v="6943501"/>
    <n v="700034"/>
    <s v="Salaries-Tech/Professional-Productive"/>
    <s v="Communications"/>
    <x v="0"/>
    <m/>
    <n v="18727.68"/>
    <n v="19851.47"/>
    <n v="17851.95"/>
    <n v="20032.23"/>
    <n v="20213.009999999998"/>
    <n v="16312.13"/>
    <n v="19405.34"/>
    <n v="13454.59"/>
    <n v="19515.34"/>
    <n v="20669.810000000001"/>
    <n v="22154.29"/>
    <n v="18020.48"/>
    <n v="226208.32"/>
    <n v="4133.8100000000013"/>
  </r>
  <r>
    <x v="5"/>
    <x v="9"/>
    <x v="0"/>
    <s v="6943501"/>
    <n v="700054"/>
    <s v="Salaries-Management-Non-productive"/>
    <s v="Communications"/>
    <x v="0"/>
    <m/>
    <n v="5048.34"/>
    <n v="5856.68"/>
    <n v="863.08"/>
    <n v="0"/>
    <n v="1112.6400000000001"/>
    <n v="14372.08"/>
    <n v="1862.89"/>
    <n v="2521.4"/>
    <n v="7.77"/>
    <n v="-190.76"/>
    <n v="0"/>
    <n v="5026.47"/>
    <n v="36480.590000000004"/>
    <n v="-5026.47"/>
  </r>
  <r>
    <x v="5"/>
    <x v="9"/>
    <x v="0"/>
    <s v="6943501"/>
    <n v="700074"/>
    <s v="Salaries-Tech/Professional-Non-productive"/>
    <s v="Communications"/>
    <x v="0"/>
    <m/>
    <n v="2465.67"/>
    <n v="1342.86"/>
    <n v="2658.96"/>
    <n v="1803.67"/>
    <n v="1063.98"/>
    <n v="5675.59"/>
    <n v="2616.7199999999998"/>
    <n v="6434.28"/>
    <n v="2504.67"/>
    <n v="639.16"/>
    <n v="-134.29"/>
    <n v="3289.46"/>
    <n v="30360.73"/>
    <n v="-3423.75"/>
  </r>
  <r>
    <x v="5"/>
    <x v="9"/>
    <x v="0"/>
    <s v="6943501"/>
    <n v="700084"/>
    <s v="Accrued PTO"/>
    <s v="Communications"/>
    <x v="0"/>
    <m/>
    <n v="1421.88"/>
    <n v="2184.8200000000002"/>
    <n v="1468.82"/>
    <n v="2552.89"/>
    <n v="1756.38"/>
    <n v="-4320.08"/>
    <n v="-225.03"/>
    <n v="-2408.2399999999998"/>
    <n v="1191.69"/>
    <n v="2423.31"/>
    <n v="3531.22"/>
    <n v="484.97"/>
    <n v="10062.630000000001"/>
    <n v="3046.25"/>
  </r>
  <r>
    <x v="6"/>
    <x v="9"/>
    <x v="0"/>
    <s v="6943501"/>
    <n v="713010"/>
    <s v="Benefits-FICA/Medicare"/>
    <s v="Communications"/>
    <x v="0"/>
    <m/>
    <n v="3294.17"/>
    <n v="2799.23"/>
    <n v="2710.33"/>
    <n v="2825.52"/>
    <n v="2792.24"/>
    <n v="3477.66"/>
    <n v="4058.55"/>
    <n v="3665.75"/>
    <n v="4058.56"/>
    <n v="3927.52"/>
    <n v="4058.57"/>
    <n v="3927.74"/>
    <n v="41595.839999999997"/>
    <n v="130.83000000000038"/>
  </r>
  <r>
    <x v="6"/>
    <x v="9"/>
    <x v="0"/>
    <s v="6943501"/>
    <n v="713090"/>
    <s v="Benefits-Allocated Amounts"/>
    <s v="Communications"/>
    <x v="0"/>
    <m/>
    <n v="7572.13"/>
    <n v="7037.19"/>
    <n v="7285.69"/>
    <n v="7001.72"/>
    <n v="6482.21"/>
    <n v="7512.21"/>
    <n v="7986.6"/>
    <n v="7410.81"/>
    <n v="8936.98"/>
    <n v="8044.18"/>
    <n v="8174.29"/>
    <n v="7987.08"/>
    <n v="91431.09"/>
    <n v="187.21000000000004"/>
  </r>
  <r>
    <x v="21"/>
    <x v="9"/>
    <x v="0"/>
    <s v="6943501"/>
    <n v="716046"/>
    <s v="Consulting-Other"/>
    <s v="Communications"/>
    <x v="0"/>
    <m/>
    <n v="0"/>
    <n v="57000"/>
    <n v="7500"/>
    <n v="42125.04"/>
    <n v="28374.959999999999"/>
    <n v="0"/>
    <n v="31500"/>
    <n v="28500"/>
    <n v="28500"/>
    <n v="28500"/>
    <n v="28500"/>
    <n v="64500"/>
    <n v="345000"/>
    <n v="-36000"/>
  </r>
  <r>
    <x v="7"/>
    <x v="9"/>
    <x v="0"/>
    <s v="6943501"/>
    <n v="718050"/>
    <s v="Contract Svcs-Other"/>
    <s v="Communications"/>
    <x v="0"/>
    <m/>
    <n v="0"/>
    <n v="52.3"/>
    <n v="64.5"/>
    <n v="0"/>
    <n v="0"/>
    <n v="8925"/>
    <n v="0"/>
    <n v="4974"/>
    <n v="0"/>
    <n v="0"/>
    <n v="0"/>
    <n v="3216.59"/>
    <n v="17232.39"/>
    <n v="-3216.59"/>
  </r>
  <r>
    <x v="11"/>
    <x v="9"/>
    <x v="0"/>
    <s v="6943501"/>
    <n v="721810"/>
    <s v="Supplies-Dietary/Cafeteria"/>
    <s v="Communications"/>
    <x v="0"/>
    <m/>
    <n v="13176.32"/>
    <n v="0"/>
    <n v="330.42"/>
    <n v="34117.82"/>
    <n v="0"/>
    <n v="0"/>
    <n v="0"/>
    <n v="638.67999999999995"/>
    <n v="0"/>
    <n v="617.04999999999995"/>
    <n v="0"/>
    <n v="0"/>
    <n v="48880.29"/>
    <n v="0"/>
  </r>
  <r>
    <x v="11"/>
    <x v="9"/>
    <x v="0"/>
    <s v="6943501"/>
    <n v="721830"/>
    <s v="Supplies-Office"/>
    <s v="Communications"/>
    <x v="0"/>
    <m/>
    <n v="0"/>
    <n v="0"/>
    <n v="0"/>
    <n v="0"/>
    <n v="0"/>
    <n v="0"/>
    <n v="65.959999999999994"/>
    <n v="165.5"/>
    <n v="32.979999999999997"/>
    <n v="0"/>
    <n v="32.979999999999997"/>
    <n v="107.87"/>
    <n v="405.29"/>
    <n v="-74.890000000000015"/>
  </r>
  <r>
    <x v="11"/>
    <x v="9"/>
    <x v="0"/>
    <s v="6943501"/>
    <n v="721835"/>
    <s v="Supplies-Forms"/>
    <s v="Communications"/>
    <x v="0"/>
    <m/>
    <n v="0"/>
    <n v="0"/>
    <n v="0"/>
    <n v="0"/>
    <n v="3425.87"/>
    <n v="654.29999999999995"/>
    <n v="672.29"/>
    <n v="0"/>
    <n v="863.07"/>
    <n v="1997.76"/>
    <n v="618.33000000000004"/>
    <n v="4321.62"/>
    <n v="12553.240000000002"/>
    <n v="-3703.29"/>
  </r>
  <r>
    <x v="11"/>
    <x v="9"/>
    <x v="0"/>
    <s v="6943501"/>
    <n v="721910"/>
    <s v="Supplies-Small Equipment"/>
    <s v="Communications"/>
    <x v="0"/>
    <m/>
    <n v="0"/>
    <n v="79.069999999999993"/>
    <n v="0"/>
    <n v="-454.71"/>
    <n v="0"/>
    <n v="0"/>
    <n v="0"/>
    <n v="0"/>
    <n v="725.62"/>
    <n v="73.28"/>
    <n v="0"/>
    <n v="0"/>
    <n v="423.26"/>
    <n v="0"/>
  </r>
  <r>
    <x v="11"/>
    <x v="9"/>
    <x v="0"/>
    <s v="6943501"/>
    <n v="722000"/>
    <s v="Supplies-Freight Expense"/>
    <s v="Communications"/>
    <x v="0"/>
    <m/>
    <n v="0"/>
    <n v="0"/>
    <n v="0"/>
    <n v="0"/>
    <n v="0"/>
    <n v="0"/>
    <n v="0"/>
    <n v="0"/>
    <n v="0"/>
    <n v="0"/>
    <n v="0"/>
    <n v="8.69"/>
    <n v="8.69"/>
    <n v="-8.69"/>
  </r>
  <r>
    <x v="0"/>
    <x v="9"/>
    <x v="0"/>
    <s v="6943501"/>
    <n v="740020"/>
    <s v="Education-Registration Fees"/>
    <s v="Communications"/>
    <x v="0"/>
    <m/>
    <n v="0"/>
    <n v="69.150000000000006"/>
    <n v="2190"/>
    <n v="0"/>
    <n v="0"/>
    <n v="1395"/>
    <n v="0"/>
    <n v="3829"/>
    <n v="1140"/>
    <n v="0"/>
    <n v="0"/>
    <n v="0"/>
    <n v="8623.15"/>
    <n v="0"/>
  </r>
  <r>
    <x v="0"/>
    <x v="9"/>
    <x v="0"/>
    <s v="6943501"/>
    <n v="743010"/>
    <s v="Dues--Institutional"/>
    <s v="Communications"/>
    <x v="0"/>
    <m/>
    <n v="0"/>
    <n v="0"/>
    <n v="0"/>
    <n v="0"/>
    <n v="0"/>
    <n v="0"/>
    <n v="0"/>
    <n v="0"/>
    <n v="0"/>
    <n v="63"/>
    <n v="0"/>
    <n v="0"/>
    <n v="63"/>
    <n v="0"/>
  </r>
  <r>
    <x v="0"/>
    <x v="9"/>
    <x v="0"/>
    <s v="6943501"/>
    <n v="743020"/>
    <s v="Dues--Individual"/>
    <s v="Communications"/>
    <x v="0"/>
    <m/>
    <n v="59"/>
    <n v="0"/>
    <n v="63"/>
    <n v="0"/>
    <n v="0"/>
    <n v="0"/>
    <n v="0"/>
    <n v="0"/>
    <n v="0"/>
    <n v="0"/>
    <n v="0"/>
    <n v="0"/>
    <n v="122"/>
    <n v="0"/>
  </r>
  <r>
    <x v="0"/>
    <x v="9"/>
    <x v="0"/>
    <s v="6943501"/>
    <n v="743030"/>
    <s v="Subscriptions--Institutional"/>
    <s v="Communications"/>
    <x v="0"/>
    <m/>
    <n v="0"/>
    <n v="0"/>
    <n v="0"/>
    <n v="0"/>
    <n v="0"/>
    <n v="0"/>
    <n v="12.99"/>
    <n v="523.4"/>
    <n v="479.49"/>
    <n v="408.19"/>
    <n v="64.22"/>
    <n v="325.92"/>
    <n v="1814.21"/>
    <n v="-261.70000000000005"/>
  </r>
  <r>
    <x v="0"/>
    <x v="9"/>
    <x v="0"/>
    <s v="6943501"/>
    <n v="743040"/>
    <s v="Subscriptions--Individual"/>
    <s v="Communications"/>
    <x v="0"/>
    <m/>
    <n v="0"/>
    <n v="0"/>
    <n v="0"/>
    <n v="0"/>
    <n v="34.700000000000003"/>
    <n v="0"/>
    <n v="200.99"/>
    <n v="0"/>
    <n v="77.27"/>
    <n v="0"/>
    <n v="0"/>
    <n v="15.6"/>
    <n v="328.56"/>
    <n v="-15.6"/>
  </r>
  <r>
    <x v="0"/>
    <x v="9"/>
    <x v="0"/>
    <s v="6943501"/>
    <n v="749510"/>
    <s v="Miscellaneous Expenses"/>
    <s v="Communications"/>
    <x v="0"/>
    <m/>
    <n v="-19143.62"/>
    <n v="159.88999999999999"/>
    <n v="6414.5"/>
    <n v="5153.54"/>
    <n v="14810.64"/>
    <n v="-9440.2800000000007"/>
    <n v="288.26"/>
    <n v="-11692.36"/>
    <n v="-870.6"/>
    <n v="1808.45"/>
    <n v="2092.85"/>
    <n v="3403.68"/>
    <n v="-7015.0500000000011"/>
    <n v="-1310.83"/>
  </r>
  <r>
    <x v="0"/>
    <x v="9"/>
    <x v="0"/>
    <s v="6943501"/>
    <n v="749510"/>
    <s v="Licenses"/>
    <s v="Communications"/>
    <x v="0"/>
    <n v="1002"/>
    <n v="0"/>
    <n v="0"/>
    <n v="0"/>
    <n v="454.71"/>
    <n v="0"/>
    <n v="0"/>
    <n v="0"/>
    <n v="0"/>
    <n v="0"/>
    <n v="0"/>
    <n v="0"/>
    <n v="0"/>
    <n v="454.71"/>
    <n v="0"/>
  </r>
  <r>
    <x v="0"/>
    <x v="9"/>
    <x v="0"/>
    <s v="6943501"/>
    <n v="749510"/>
    <s v="Special Events"/>
    <s v="Communications"/>
    <x v="0"/>
    <n v="4300"/>
    <n v="0"/>
    <n v="0"/>
    <n v="0"/>
    <n v="0"/>
    <n v="0"/>
    <n v="0"/>
    <n v="0"/>
    <n v="0"/>
    <n v="0"/>
    <n v="0"/>
    <n v="0"/>
    <n v="14746"/>
    <n v="14746"/>
    <n v="-14746"/>
  </r>
  <r>
    <x v="0"/>
    <x v="9"/>
    <x v="0"/>
    <s v="6943501"/>
    <n v="749510"/>
    <s v="RICE Rewards"/>
    <s v="Communications"/>
    <x v="0"/>
    <n v="5100"/>
    <n v="0"/>
    <n v="0"/>
    <n v="0"/>
    <n v="0"/>
    <n v="0"/>
    <n v="0"/>
    <n v="0"/>
    <n v="199.69"/>
    <n v="0"/>
    <n v="0"/>
    <n v="59.39"/>
    <n v="0"/>
    <n v="259.08"/>
    <n v="59.39"/>
  </r>
  <r>
    <x v="0"/>
    <x v="9"/>
    <x v="0"/>
    <s v="6943501"/>
    <n v="749510"/>
    <s v="Marketing-General"/>
    <s v="Communications"/>
    <x v="0"/>
    <n v="5110"/>
    <n v="-6853.71"/>
    <n v="76994.89"/>
    <n v="66139.16"/>
    <n v="30973.8"/>
    <n v="37597.4"/>
    <n v="50681.8"/>
    <n v="55704.52"/>
    <n v="27091.360000000001"/>
    <n v="68886.039999999994"/>
    <n v="56838.79"/>
    <n v="49354.65"/>
    <n v="167922.65"/>
    <n v="681331.35"/>
    <n v="-118568"/>
  </r>
  <r>
    <x v="0"/>
    <x v="9"/>
    <x v="0"/>
    <s v="6943501"/>
    <n v="749530"/>
    <s v="Travel"/>
    <s v="Communications"/>
    <x v="0"/>
    <m/>
    <n v="0"/>
    <n v="303.94"/>
    <n v="14"/>
    <n v="67.89"/>
    <n v="2498.36"/>
    <n v="2200.94"/>
    <n v="45"/>
    <n v="4795.3"/>
    <n v="58.78"/>
    <n v="514.1"/>
    <n v="1414.81"/>
    <n v="110.25"/>
    <n v="12023.37"/>
    <n v="1304.56"/>
  </r>
  <r>
    <x v="0"/>
    <x v="9"/>
    <x v="0"/>
    <s v="6943501"/>
    <n v="749530"/>
    <s v="Mileage"/>
    <s v="Communications"/>
    <x v="0"/>
    <n v="1001"/>
    <n v="29.43"/>
    <n v="0"/>
    <n v="136.80000000000001"/>
    <n v="221.83"/>
    <n v="57.77"/>
    <n v="0"/>
    <n v="12.76"/>
    <n v="75.400000000000006"/>
    <n v="0"/>
    <n v="118.32"/>
    <n v="20.88"/>
    <n v="0"/>
    <n v="673.18999999999994"/>
    <n v="20.88"/>
  </r>
  <r>
    <x v="0"/>
    <x v="9"/>
    <x v="0"/>
    <s v="6943501"/>
    <n v="749535"/>
    <s v="Meetings"/>
    <s v="Communications"/>
    <x v="0"/>
    <m/>
    <n v="0"/>
    <n v="164.79"/>
    <n v="0"/>
    <n v="0"/>
    <n v="224.44"/>
    <n v="0"/>
    <n v="57.25"/>
    <n v="195.98"/>
    <n v="99.88"/>
    <n v="0"/>
    <n v="0"/>
    <n v="300.56"/>
    <n v="1042.9000000000001"/>
    <n v="-300.56"/>
  </r>
  <r>
    <x v="0"/>
    <x v="9"/>
    <x v="0"/>
    <s v="6943501"/>
    <n v="749535"/>
    <s v="Employee Functions"/>
    <s v="Communications"/>
    <x v="0"/>
    <n v="1004"/>
    <n v="0"/>
    <n v="138.43"/>
    <n v="0"/>
    <n v="0"/>
    <n v="0"/>
    <n v="0"/>
    <n v="0"/>
    <n v="352.75"/>
    <n v="0"/>
    <n v="0"/>
    <n v="0"/>
    <n v="120.83"/>
    <n v="612.01"/>
    <n v="-120.83"/>
  </r>
  <r>
    <x v="14"/>
    <x v="9"/>
    <x v="0"/>
    <s v="6944501"/>
    <n v="600050"/>
    <s v="Miscellaneous Revenue"/>
    <s v="Community Relations"/>
    <x v="0"/>
    <m/>
    <n v="-100000"/>
    <n v="0"/>
    <n v="0"/>
    <n v="50000"/>
    <n v="0"/>
    <n v="0"/>
    <n v="0"/>
    <n v="0"/>
    <n v="0"/>
    <n v="-50000"/>
    <n v="-29"/>
    <n v="0"/>
    <n v="-100029"/>
    <n v="-29"/>
  </r>
  <r>
    <x v="5"/>
    <x v="9"/>
    <x v="0"/>
    <s v="6944501"/>
    <n v="700034"/>
    <s v="Salaries-Tech/Professional-Productive"/>
    <s v="Community Relations"/>
    <x v="0"/>
    <m/>
    <n v="10536.04"/>
    <n v="10536.53"/>
    <n v="8973.2000000000007"/>
    <n v="3908.53"/>
    <n v="12811.77"/>
    <n v="4620.96"/>
    <n v="9395.77"/>
    <n v="9009.61"/>
    <n v="10271.780000000001"/>
    <n v="6941.18"/>
    <n v="12269.87"/>
    <n v="9044.93"/>
    <n v="108320.16999999998"/>
    <n v="3224.9400000000005"/>
  </r>
  <r>
    <x v="5"/>
    <x v="9"/>
    <x v="0"/>
    <s v="6944501"/>
    <n v="700038"/>
    <s v="Salaries-Service/Support-Productive"/>
    <s v="Community Relations"/>
    <x v="0"/>
    <m/>
    <n v="3571.68"/>
    <n v="3139.05"/>
    <n v="4844.0600000000004"/>
    <n v="5066.9399999999996"/>
    <n v="4012.3"/>
    <n v="3103.42"/>
    <n v="5004.79"/>
    <n v="4101.1099999999997"/>
    <n v="5375.23"/>
    <n v="4199.25"/>
    <n v="4976.8500000000004"/>
    <n v="4502.76"/>
    <n v="51897.440000000002"/>
    <n v="474.09000000000015"/>
  </r>
  <r>
    <x v="5"/>
    <x v="9"/>
    <x v="0"/>
    <s v="6944501"/>
    <n v="700038"/>
    <s v="Salaries-Service/Support-OT"/>
    <s v="Community Relations"/>
    <x v="0"/>
    <n v="1000"/>
    <n v="53.18"/>
    <n v="275.32"/>
    <n v="533.41"/>
    <n v="-73.510000000000005"/>
    <n v="151.16999999999999"/>
    <n v="-39.18"/>
    <n v="241.9"/>
    <n v="5.61"/>
    <n v="122.58"/>
    <n v="-25.63"/>
    <n v="13.62"/>
    <n v="13.62"/>
    <n v="1272.0899999999995"/>
    <n v="0"/>
  </r>
  <r>
    <x v="5"/>
    <x v="9"/>
    <x v="0"/>
    <s v="6944501"/>
    <n v="700074"/>
    <s v="Salaries-Tech/Professional-Non-productive"/>
    <s v="Community Relations"/>
    <x v="0"/>
    <m/>
    <n v="0"/>
    <n v="0"/>
    <n v="1223.57"/>
    <n v="6882.28"/>
    <n v="-2310.33"/>
    <n v="6230.87"/>
    <n v="1473.02"/>
    <n v="806.36"/>
    <n v="595.99"/>
    <n v="3575.66"/>
    <n v="-1402.1"/>
    <n v="1472.4"/>
    <n v="18547.72"/>
    <n v="-2874.5"/>
  </r>
  <r>
    <x v="5"/>
    <x v="9"/>
    <x v="0"/>
    <s v="6944501"/>
    <n v="700078"/>
    <s v="Salaries-Service/Support-Non-productive"/>
    <s v="Community Relations"/>
    <x v="0"/>
    <m/>
    <n v="1651.78"/>
    <n v="2033.56"/>
    <n v="249.36"/>
    <n v="426.56"/>
    <n v="1006.72"/>
    <n v="2218.09"/>
    <n v="290.85000000000002"/>
    <n v="683.49"/>
    <n v="-85.42"/>
    <n v="954.73"/>
    <n v="474.23"/>
    <n v="576.74"/>
    <n v="10480.69"/>
    <n v="-102.50999999999999"/>
  </r>
  <r>
    <x v="5"/>
    <x v="9"/>
    <x v="0"/>
    <s v="6944501"/>
    <n v="700084"/>
    <s v="Accrued PTO"/>
    <s v="Community Relations"/>
    <x v="0"/>
    <m/>
    <n v="1282.3699999999999"/>
    <n v="673.1"/>
    <n v="406.83"/>
    <n v="-1825.53"/>
    <n v="1116.5"/>
    <n v="-4449.91"/>
    <n v="376.46"/>
    <n v="728.39"/>
    <n v="1820.21"/>
    <n v="-755.49"/>
    <n v="1576"/>
    <n v="1152.6400000000001"/>
    <n v="2101.5699999999997"/>
    <n v="423.3599999999999"/>
  </r>
  <r>
    <x v="6"/>
    <x v="9"/>
    <x v="0"/>
    <s v="6944501"/>
    <n v="713010"/>
    <s v="Benefits-FICA/Medicare"/>
    <s v="Community Relations"/>
    <x v="0"/>
    <m/>
    <n v="1181.1500000000001"/>
    <n v="1194.29"/>
    <n v="1182.8800000000001"/>
    <n v="1211.6199999999999"/>
    <n v="1180.3800000000001"/>
    <n v="1202.8800000000001"/>
    <n v="1218.98"/>
    <n v="1084.94"/>
    <n v="1209.48"/>
    <n v="1162.0899999999999"/>
    <n v="1213.5"/>
    <n v="1159.45"/>
    <n v="14201.640000000001"/>
    <n v="54.049999999999955"/>
  </r>
  <r>
    <x v="6"/>
    <x v="9"/>
    <x v="0"/>
    <s v="6944501"/>
    <n v="713090"/>
    <s v="Benefits-Allocated Amounts"/>
    <s v="Community Relations"/>
    <x v="0"/>
    <m/>
    <n v="2822.54"/>
    <n v="2579.1"/>
    <n v="2758.71"/>
    <n v="2501.14"/>
    <n v="2483.4499999999998"/>
    <n v="2606.6"/>
    <n v="2942.69"/>
    <n v="2785.88"/>
    <n v="3281.34"/>
    <n v="2797.74"/>
    <n v="3085.06"/>
    <n v="2917.26"/>
    <n v="33561.51"/>
    <n v="167.79999999999973"/>
  </r>
  <r>
    <x v="6"/>
    <x v="9"/>
    <x v="0"/>
    <s v="6944501"/>
    <n v="713096"/>
    <s v="Employee Recognition"/>
    <s v="Community Relations"/>
    <x v="0"/>
    <n v="1017"/>
    <n v="0"/>
    <n v="0"/>
    <n v="0"/>
    <n v="0"/>
    <n v="50.3"/>
    <n v="0"/>
    <n v="0"/>
    <n v="0"/>
    <n v="0"/>
    <n v="0"/>
    <n v="0"/>
    <n v="155.34"/>
    <n v="205.64"/>
    <n v="-155.34"/>
  </r>
  <r>
    <x v="21"/>
    <x v="9"/>
    <x v="0"/>
    <s v="6944501"/>
    <n v="716046"/>
    <s v="Consulting-Other"/>
    <s v="Community Relations"/>
    <x v="0"/>
    <m/>
    <n v="0"/>
    <n v="27500"/>
    <n v="45774.11"/>
    <n v="28359.55"/>
    <n v="29472.06"/>
    <n v="55000"/>
    <n v="29085.9"/>
    <n v="33750"/>
    <n v="0"/>
    <n v="28933.16"/>
    <n v="55131.519999999997"/>
    <n v="30549.86"/>
    <n v="363556.16"/>
    <n v="24581.659999999996"/>
  </r>
  <r>
    <x v="7"/>
    <x v="9"/>
    <x v="0"/>
    <s v="6944501"/>
    <n v="718050"/>
    <s v="Contract Svcs-Other"/>
    <s v="Community Relations"/>
    <x v="0"/>
    <m/>
    <n v="0"/>
    <n v="28190"/>
    <n v="627.57000000000005"/>
    <n v="0"/>
    <n v="20449.939999999999"/>
    <n v="0"/>
    <n v="6782.5"/>
    <n v="0"/>
    <n v="0"/>
    <n v="0"/>
    <n v="0"/>
    <n v="0"/>
    <n v="56050.009999999995"/>
    <n v="0"/>
  </r>
  <r>
    <x v="7"/>
    <x v="9"/>
    <x v="0"/>
    <s v="6944501"/>
    <n v="718050"/>
    <s v="Miscellaneous Purchased Svcs"/>
    <s v="Community Relations"/>
    <x v="0"/>
    <n v="1020"/>
    <n v="96697.47"/>
    <n v="167117.07"/>
    <n v="236770.45"/>
    <n v="102251.13"/>
    <n v="128579.73"/>
    <n v="162850.97"/>
    <n v="36572.61"/>
    <n v="90776.2"/>
    <n v="29457.02"/>
    <n v="26238.13"/>
    <n v="556563.13"/>
    <n v="-369611.87"/>
    <n v="1264262.0399999996"/>
    <n v="926175"/>
  </r>
  <r>
    <x v="11"/>
    <x v="9"/>
    <x v="0"/>
    <s v="6944501"/>
    <n v="721810"/>
    <s v="Supplies-Dietary/Cafeteria"/>
    <s v="Community Relations"/>
    <x v="0"/>
    <m/>
    <n v="4318.9399999999996"/>
    <n v="7625.16"/>
    <n v="4328.1899999999996"/>
    <n v="4988.33"/>
    <n v="3905.21"/>
    <n v="3855.19"/>
    <n v="4124.0200000000004"/>
    <n v="4074.85"/>
    <n v="4068.83"/>
    <n v="6613.86"/>
    <n v="4665.87"/>
    <n v="6502.44"/>
    <n v="59070.89"/>
    <n v="-1836.5699999999997"/>
  </r>
  <r>
    <x v="11"/>
    <x v="9"/>
    <x v="0"/>
    <s v="6944501"/>
    <n v="721830"/>
    <s v="Supplies-Office"/>
    <s v="Community Relations"/>
    <x v="0"/>
    <m/>
    <n v="252.99"/>
    <n v="0"/>
    <n v="0"/>
    <n v="43.27"/>
    <n v="0"/>
    <n v="0"/>
    <n v="0"/>
    <n v="0"/>
    <n v="0"/>
    <n v="0"/>
    <n v="0"/>
    <n v="0"/>
    <n v="296.26"/>
    <n v="0"/>
  </r>
  <r>
    <x v="11"/>
    <x v="9"/>
    <x v="0"/>
    <s v="6944501"/>
    <n v="721835"/>
    <s v="Supplies-Forms"/>
    <s v="Community Relations"/>
    <x v="0"/>
    <m/>
    <n v="0"/>
    <n v="0"/>
    <n v="0"/>
    <n v="0"/>
    <n v="445.11"/>
    <n v="0"/>
    <n v="0"/>
    <n v="0"/>
    <n v="90.69"/>
    <n v="92.1"/>
    <n v="0"/>
    <n v="8.68"/>
    <n v="636.57999999999993"/>
    <n v="-8.68"/>
  </r>
  <r>
    <x v="11"/>
    <x v="9"/>
    <x v="0"/>
    <s v="6944501"/>
    <n v="722000"/>
    <s v="Supplies-Freight Expense"/>
    <s v="Community Relations"/>
    <x v="0"/>
    <m/>
    <n v="0"/>
    <n v="0"/>
    <n v="0"/>
    <n v="0"/>
    <n v="543.42999999999995"/>
    <n v="0"/>
    <n v="0"/>
    <n v="0"/>
    <n v="0"/>
    <n v="0"/>
    <n v="0"/>
    <n v="0"/>
    <n v="543.42999999999995"/>
    <n v="0"/>
  </r>
  <r>
    <x v="0"/>
    <x v="9"/>
    <x v="0"/>
    <s v="6944501"/>
    <n v="740020"/>
    <s v="Education-Registration Fees"/>
    <s v="Community Relations"/>
    <x v="0"/>
    <m/>
    <n v="0"/>
    <n v="0"/>
    <n v="0"/>
    <n v="395"/>
    <n v="0"/>
    <n v="0"/>
    <n v="0"/>
    <n v="0"/>
    <n v="0"/>
    <n v="0"/>
    <n v="0"/>
    <n v="0"/>
    <n v="395"/>
    <n v="0"/>
  </r>
  <r>
    <x v="0"/>
    <x v="9"/>
    <x v="0"/>
    <s v="6944501"/>
    <n v="742040"/>
    <s v="Freight-Other"/>
    <s v="Community Relations"/>
    <x v="0"/>
    <m/>
    <n v="0"/>
    <n v="0"/>
    <n v="0"/>
    <n v="29.89"/>
    <n v="0"/>
    <n v="0"/>
    <n v="0"/>
    <n v="0"/>
    <n v="0"/>
    <n v="0"/>
    <n v="0"/>
    <n v="0"/>
    <n v="29.89"/>
    <n v="0"/>
  </r>
  <r>
    <x v="0"/>
    <x v="9"/>
    <x v="0"/>
    <s v="6944501"/>
    <n v="743010"/>
    <s v="Dues--Institutional"/>
    <s v="Community Relations"/>
    <x v="0"/>
    <m/>
    <n v="0"/>
    <n v="0"/>
    <n v="0"/>
    <n v="0"/>
    <n v="0"/>
    <n v="5000"/>
    <n v="0"/>
    <n v="0"/>
    <n v="0"/>
    <n v="0"/>
    <n v="0"/>
    <n v="0"/>
    <n v="5000"/>
    <n v="0"/>
  </r>
  <r>
    <x v="0"/>
    <x v="9"/>
    <x v="0"/>
    <s v="6944501"/>
    <n v="745010"/>
    <s v="Donations and Contributions"/>
    <s v="Community Relations"/>
    <x v="0"/>
    <m/>
    <n v="0"/>
    <n v="0"/>
    <n v="0"/>
    <n v="0"/>
    <n v="0"/>
    <n v="0"/>
    <n v="0"/>
    <n v="0"/>
    <n v="0"/>
    <n v="0"/>
    <n v="0"/>
    <n v="680566.23"/>
    <n v="680566.23"/>
    <n v="-680566.23"/>
  </r>
  <r>
    <x v="0"/>
    <x v="9"/>
    <x v="0"/>
    <s v="6944501"/>
    <n v="749510"/>
    <s v="Miscellaneous Expenses"/>
    <s v="Community Relations"/>
    <x v="0"/>
    <m/>
    <n v="29794.74"/>
    <n v="38099.480000000003"/>
    <n v="534172.77"/>
    <n v="42156.54"/>
    <n v="166660.32"/>
    <n v="35851.01"/>
    <n v="132146.97"/>
    <n v="-57860.97"/>
    <n v="139663.98000000001"/>
    <n v="67719.839999999997"/>
    <n v="29828.66"/>
    <n v="-666411.02"/>
    <n v="491822.32000000007"/>
    <n v="696239.68"/>
  </r>
  <r>
    <x v="0"/>
    <x v="9"/>
    <x v="0"/>
    <s v="6944501"/>
    <n v="749510"/>
    <s v="Miscellaneous Expense"/>
    <s v="Community Relations"/>
    <x v="0"/>
    <n v="1009"/>
    <n v="76.3"/>
    <n v="915.55"/>
    <n v="87.2"/>
    <n v="276.83999999999997"/>
    <n v="239.8"/>
    <n v="0"/>
    <n v="32.700000000000003"/>
    <n v="0"/>
    <n v="89.22"/>
    <n v="0"/>
    <n v="3966.42"/>
    <n v="152.6"/>
    <n v="5836.63"/>
    <n v="3813.82"/>
  </r>
  <r>
    <x v="0"/>
    <x v="9"/>
    <x v="0"/>
    <s v="6944501"/>
    <n v="749510"/>
    <s v="Sponsorships"/>
    <s v="Community Relations"/>
    <x v="0"/>
    <n v="1031"/>
    <n v="3215.8"/>
    <n v="5282.88"/>
    <n v="8588.44"/>
    <n v="9062.25"/>
    <n v="0"/>
    <n v="2815.58"/>
    <n v="5458.76"/>
    <n v="7046.27"/>
    <n v="-740.63"/>
    <n v="2775"/>
    <n v="3315.5"/>
    <n v="2650.13"/>
    <n v="49469.98000000001"/>
    <n v="665.36999999999989"/>
  </r>
  <r>
    <x v="0"/>
    <x v="9"/>
    <x v="0"/>
    <s v="6944501"/>
    <n v="749510"/>
    <s v="RICE Rewards"/>
    <s v="Community Relations"/>
    <x v="0"/>
    <n v="5100"/>
    <n v="0"/>
    <n v="933.26"/>
    <n v="-933.26"/>
    <n v="0"/>
    <n v="0"/>
    <n v="0"/>
    <n v="0"/>
    <n v="88.75"/>
    <n v="96.37"/>
    <n v="0"/>
    <n v="0"/>
    <n v="8"/>
    <n v="193.12"/>
    <n v="-8"/>
  </r>
  <r>
    <x v="0"/>
    <x v="9"/>
    <x v="0"/>
    <s v="6944501"/>
    <n v="749530"/>
    <s v="Travel"/>
    <s v="Community Relations"/>
    <x v="0"/>
    <m/>
    <n v="0"/>
    <n v="14.35"/>
    <n v="0"/>
    <n v="0"/>
    <n v="361.85"/>
    <n v="27.25"/>
    <n v="0"/>
    <n v="0"/>
    <n v="43.9"/>
    <n v="2"/>
    <n v="30.7"/>
    <n v="0"/>
    <n v="480.05"/>
    <n v="30.7"/>
  </r>
  <r>
    <x v="0"/>
    <x v="9"/>
    <x v="0"/>
    <s v="6944501"/>
    <n v="749530"/>
    <s v="Mileage"/>
    <s v="Community Relations"/>
    <x v="0"/>
    <n v="1001"/>
    <n v="0"/>
    <n v="201.12"/>
    <n v="217.49"/>
    <n v="100.84"/>
    <n v="388.64"/>
    <n v="113.38"/>
    <n v="91.57"/>
    <n v="0"/>
    <n v="284.77999999999997"/>
    <n v="110.78"/>
    <n v="295.8"/>
    <n v="269.7"/>
    <n v="2074.1"/>
    <n v="26.100000000000023"/>
  </r>
  <r>
    <x v="0"/>
    <x v="9"/>
    <x v="0"/>
    <s v="6944501"/>
    <n v="749535"/>
    <s v="Meetings"/>
    <s v="Community Relations"/>
    <x v="0"/>
    <m/>
    <n v="0"/>
    <n v="0"/>
    <n v="0"/>
    <n v="0"/>
    <n v="0"/>
    <n v="810"/>
    <n v="0"/>
    <n v="0"/>
    <n v="0"/>
    <n v="0"/>
    <n v="0"/>
    <n v="0"/>
    <n v="810"/>
    <n v="0"/>
  </r>
  <r>
    <x v="0"/>
    <x v="1"/>
    <x v="0"/>
    <s v="6952200"/>
    <n v="766010"/>
    <s v="Property Tax"/>
    <s v="Kitsap Region Closed Clinics"/>
    <x v="0"/>
    <m/>
    <n v="0"/>
    <n v="0"/>
    <n v="0"/>
    <n v="0"/>
    <n v="0"/>
    <n v="0"/>
    <n v="0"/>
    <n v="0"/>
    <n v="0"/>
    <n v="60.43"/>
    <n v="38.979999999999997"/>
    <n v="38.979999999999997"/>
    <n v="138.38999999999999"/>
    <n v="0"/>
  </r>
  <r>
    <x v="17"/>
    <x v="5"/>
    <x v="0"/>
    <s v="6960106"/>
    <n v="714520"/>
    <s v="Other Contracted Professionals"/>
    <s v="Physician Support"/>
    <x v="0"/>
    <m/>
    <n v="81960"/>
    <n v="88929.47"/>
    <n v="81960"/>
    <n v="109205.66"/>
    <n v="78033.5"/>
    <n v="86600"/>
    <n v="63497.89"/>
    <n v="83000"/>
    <n v="35703.25"/>
    <n v="72353.37"/>
    <n v="77000"/>
    <n v="-858243.14"/>
    <n v="0"/>
    <n v="935243.14"/>
  </r>
  <r>
    <x v="5"/>
    <x v="1"/>
    <x v="0"/>
    <s v="6960200"/>
    <n v="700014"/>
    <s v="Salaries-Management-Productive"/>
    <s v="Physician Referral Service"/>
    <x v="0"/>
    <m/>
    <n v="5895.79"/>
    <n v="11417.25"/>
    <n v="1169.8"/>
    <n v="12227.16"/>
    <n v="9686.4"/>
    <n v="7071.07"/>
    <n v="10865.1"/>
    <n v="9700.6"/>
    <n v="10185.629999999999"/>
    <n v="9700.6"/>
    <n v="10670.66"/>
    <n v="7760.48"/>
    <n v="106350.54000000001"/>
    <n v="2910.1800000000003"/>
  </r>
  <r>
    <x v="5"/>
    <x v="1"/>
    <x v="0"/>
    <s v="6960200"/>
    <n v="700034"/>
    <s v="Salaries-Tech/Professional-Productive"/>
    <s v="Physician Referral Service"/>
    <x v="0"/>
    <m/>
    <n v="25379.919999999998"/>
    <n v="21456.240000000002"/>
    <n v="16348"/>
    <n v="27184.32"/>
    <n v="29824.959999999999"/>
    <n v="13891.82"/>
    <n v="29845.88"/>
    <n v="29016.17"/>
    <n v="29473.279999999999"/>
    <n v="31975.279999999999"/>
    <n v="28397.89"/>
    <n v="23767.69"/>
    <n v="306561.45"/>
    <n v="4630.2000000000007"/>
  </r>
  <r>
    <x v="5"/>
    <x v="1"/>
    <x v="0"/>
    <s v="6960200"/>
    <n v="700038"/>
    <s v="Salaries-Service/Support-Productive"/>
    <s v="Physician Referral Service"/>
    <x v="0"/>
    <m/>
    <n v="15097.43"/>
    <n v="16146.29"/>
    <n v="15249.89"/>
    <n v="17557.560000000001"/>
    <n v="11171.46"/>
    <n v="8279.5300000000007"/>
    <n v="7673.17"/>
    <n v="8666.66"/>
    <n v="13624.17"/>
    <n v="16686.25"/>
    <n v="17548.830000000002"/>
    <n v="15063.4"/>
    <n v="162764.63999999998"/>
    <n v="2485.4300000000021"/>
  </r>
  <r>
    <x v="5"/>
    <x v="1"/>
    <x v="0"/>
    <s v="6960200"/>
    <n v="700038"/>
    <s v="Salaries-Service/Support-OT"/>
    <s v="Physician Referral Service"/>
    <x v="0"/>
    <n v="1000"/>
    <n v="385.85"/>
    <n v="1037.8599999999999"/>
    <n v="70.42"/>
    <n v="1109.8"/>
    <n v="940.06"/>
    <n v="624.09"/>
    <n v="117.34"/>
    <n v="415.33"/>
    <n v="161.72999999999999"/>
    <n v="627.6"/>
    <n v="818.13"/>
    <n v="529.41"/>
    <n v="6837.62"/>
    <n v="288.72000000000003"/>
  </r>
  <r>
    <x v="5"/>
    <x v="1"/>
    <x v="0"/>
    <s v="6960200"/>
    <n v="700038"/>
    <s v="Salaries-Service/Support-Other"/>
    <s v="Physician Referral Service"/>
    <x v="0"/>
    <n v="2000"/>
    <n v="0"/>
    <n v="0"/>
    <n v="0"/>
    <n v="0"/>
    <n v="0"/>
    <n v="0"/>
    <n v="145.43"/>
    <n v="30.05"/>
    <n v="30.05"/>
    <n v="-0.02"/>
    <n v="0"/>
    <n v="0"/>
    <n v="205.51000000000002"/>
    <n v="0"/>
  </r>
  <r>
    <x v="5"/>
    <x v="1"/>
    <x v="0"/>
    <s v="6960200"/>
    <n v="700054"/>
    <s v="Salaries-Management-Non-productive"/>
    <s v="Physician Referral Service"/>
    <x v="0"/>
    <m/>
    <n v="4398.4399999999996"/>
    <n v="-655.08000000000004"/>
    <n v="8188.6"/>
    <n v="-1169.8"/>
    <n v="968.64"/>
    <n v="3099.64"/>
    <n v="291.31"/>
    <n v="0"/>
    <n v="0"/>
    <n v="970.06"/>
    <n v="485.03"/>
    <n v="1940.12"/>
    <n v="18516.959999999995"/>
    <n v="-1455.09"/>
  </r>
  <r>
    <x v="5"/>
    <x v="1"/>
    <x v="0"/>
    <s v="6960200"/>
    <n v="700054"/>
    <s v="Salaries-Management-NonProd-Other"/>
    <s v="Physician Referral Service"/>
    <x v="0"/>
    <n v="2000"/>
    <n v="0"/>
    <n v="0"/>
    <n v="0"/>
    <n v="0"/>
    <n v="306.39999999999998"/>
    <n v="646.99"/>
    <n v="-340.59"/>
    <n v="-612.79999999999995"/>
    <n v="0"/>
    <n v="0"/>
    <n v="0"/>
    <n v="0"/>
    <n v="0"/>
    <n v="0"/>
  </r>
  <r>
    <x v="5"/>
    <x v="1"/>
    <x v="0"/>
    <s v="6960200"/>
    <n v="700074"/>
    <s v="Salaries-Tech/Professional-Non-productive"/>
    <s v="Physician Referral Service"/>
    <x v="0"/>
    <m/>
    <n v="3563.76"/>
    <n v="8652.83"/>
    <n v="3195.27"/>
    <n v="-264.58"/>
    <n v="1120.32"/>
    <n v="8760.69"/>
    <n v="2024.91"/>
    <n v="0"/>
    <n v="0"/>
    <n v="0"/>
    <n v="4014.6"/>
    <n v="5360.92"/>
    <n v="36428.720000000001"/>
    <n v="-1346.3200000000002"/>
  </r>
  <r>
    <x v="5"/>
    <x v="1"/>
    <x v="0"/>
    <s v="6960200"/>
    <n v="700074"/>
    <s v="Salaries-Tech/Professional-NonProd-Other"/>
    <s v="Physician Referral Service"/>
    <x v="0"/>
    <n v="2000"/>
    <n v="0"/>
    <n v="0"/>
    <n v="0"/>
    <n v="0"/>
    <n v="341.85"/>
    <n v="341.85"/>
    <n v="0"/>
    <n v="-683.7"/>
    <n v="0"/>
    <n v="0"/>
    <n v="0"/>
    <n v="0"/>
    <n v="0"/>
    <n v="0"/>
  </r>
  <r>
    <x v="5"/>
    <x v="1"/>
    <x v="0"/>
    <s v="6960200"/>
    <n v="700078"/>
    <s v="Salaries-Service/Support-Non-productive"/>
    <s v="Physician Referral Service"/>
    <x v="0"/>
    <m/>
    <n v="2511.38"/>
    <n v="2262.91"/>
    <n v="758.11"/>
    <n v="1200.1199999999999"/>
    <n v="287.27"/>
    <n v="4011.37"/>
    <n v="1346.01"/>
    <n v="582.75"/>
    <n v="1242.93"/>
    <n v="257.48"/>
    <n v="-289.82"/>
    <n v="968.61"/>
    <n v="15139.12"/>
    <n v="-1258.43"/>
  </r>
  <r>
    <x v="5"/>
    <x v="1"/>
    <x v="0"/>
    <s v="6960200"/>
    <n v="700078"/>
    <s v="Salaries-Service/Support-NonProd-Other"/>
    <s v="Physician Referral Service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6960200"/>
    <n v="700084"/>
    <s v="Accrued PTO"/>
    <s v="Physician Referral Service"/>
    <x v="0"/>
    <m/>
    <n v="1923.58"/>
    <n v="-519.01"/>
    <n v="-7165.73"/>
    <n v="5338.19"/>
    <n v="1005.76"/>
    <n v="-8603.1"/>
    <n v="844.14"/>
    <n v="4643.7"/>
    <n v="5184.66"/>
    <n v="4519.79"/>
    <n v="4336.1000000000004"/>
    <n v="-141.04"/>
    <n v="11367.039999999999"/>
    <n v="4477.1400000000003"/>
  </r>
  <r>
    <x v="10"/>
    <x v="1"/>
    <x v="0"/>
    <s v="6960200"/>
    <n v="710060"/>
    <s v="Contract Labor-Other"/>
    <s v="Physician Referral Service"/>
    <x v="0"/>
    <m/>
    <n v="0"/>
    <n v="0"/>
    <n v="8304"/>
    <n v="5120"/>
    <n v="2560"/>
    <n v="1280"/>
    <n v="8960"/>
    <n v="4480"/>
    <n v="0"/>
    <n v="2368"/>
    <n v="8272"/>
    <n v="1280"/>
    <n v="42624"/>
    <n v="6992"/>
  </r>
  <r>
    <x v="6"/>
    <x v="1"/>
    <x v="0"/>
    <s v="6960200"/>
    <n v="713010"/>
    <s v="Benefits-FICA/Medicare"/>
    <s v="Physician Referral Service"/>
    <x v="0"/>
    <m/>
    <n v="4225.5200000000004"/>
    <n v="4452.92"/>
    <n v="3324.51"/>
    <n v="4255.87"/>
    <n v="4178.51"/>
    <n v="3392.57"/>
    <n v="3942.06"/>
    <n v="3629.8"/>
    <n v="4107.32"/>
    <n v="4520.3"/>
    <n v="4609.53"/>
    <n v="4134.4799999999996"/>
    <n v="48773.39"/>
    <n v="475.05000000000018"/>
  </r>
  <r>
    <x v="6"/>
    <x v="1"/>
    <x v="0"/>
    <s v="6960200"/>
    <n v="713090"/>
    <s v="Benefits-Allocated Amounts"/>
    <s v="Physician Referral Service"/>
    <x v="0"/>
    <m/>
    <n v="10863.18"/>
    <n v="9924.2199999999993"/>
    <n v="8942.1200000000008"/>
    <n v="10123.25"/>
    <n v="9623.8799999999992"/>
    <n v="8313.59"/>
    <n v="10470.469999999999"/>
    <n v="10375.84"/>
    <n v="11381.75"/>
    <n v="11969.2"/>
    <n v="12046.75"/>
    <n v="12328.46"/>
    <n v="126362.70999999999"/>
    <n v="-281.70999999999913"/>
  </r>
  <r>
    <x v="6"/>
    <x v="1"/>
    <x v="0"/>
    <s v="6960200"/>
    <n v="713096"/>
    <s v="Benefits-Other"/>
    <s v="Physician Referral Service"/>
    <x v="0"/>
    <m/>
    <n v="0"/>
    <n v="0"/>
    <n v="0"/>
    <n v="0"/>
    <n v="0"/>
    <n v="0"/>
    <n v="0"/>
    <n v="0"/>
    <n v="0"/>
    <n v="46.79"/>
    <n v="104.59"/>
    <n v="0"/>
    <n v="151.38"/>
    <n v="104.59"/>
  </r>
  <r>
    <x v="6"/>
    <x v="1"/>
    <x v="0"/>
    <s v="6960200"/>
    <n v="713096"/>
    <s v="Employee Recognition"/>
    <s v="Physician Referral Service"/>
    <x v="0"/>
    <n v="1017"/>
    <n v="300.12"/>
    <n v="320.12"/>
    <n v="0"/>
    <n v="620.03"/>
    <n v="0"/>
    <n v="749.39"/>
    <n v="0"/>
    <n v="0"/>
    <n v="440.16"/>
    <n v="465.53"/>
    <n v="66"/>
    <n v="420.42"/>
    <n v="3381.7699999999995"/>
    <n v="-354.42"/>
  </r>
  <r>
    <x v="7"/>
    <x v="1"/>
    <x v="0"/>
    <s v="6960200"/>
    <n v="718050"/>
    <s v="Contract Svcs-Other"/>
    <s v="Physician Referral Service"/>
    <x v="0"/>
    <m/>
    <n v="31"/>
    <n v="2848.58"/>
    <n v="1773.42"/>
    <n v="974.02"/>
    <n v="74.63"/>
    <n v="399.16"/>
    <n v="0"/>
    <n v="425"/>
    <n v="0"/>
    <n v="0"/>
    <n v="0"/>
    <n v="-11.76"/>
    <n v="6514.05"/>
    <n v="11.76"/>
  </r>
  <r>
    <x v="11"/>
    <x v="1"/>
    <x v="0"/>
    <s v="6960200"/>
    <n v="721830"/>
    <s v="Supplies-Office"/>
    <s v="Physician Referral Service"/>
    <x v="0"/>
    <m/>
    <n v="111.23"/>
    <n v="377.19"/>
    <n v="98.27"/>
    <n v="64.56"/>
    <n v="66.36"/>
    <n v="286.57"/>
    <n v="212.18"/>
    <n v="58.9"/>
    <n v="85.1"/>
    <n v="40.24"/>
    <n v="149.38"/>
    <n v="15.18"/>
    <n v="1565.16"/>
    <n v="134.19999999999999"/>
  </r>
  <r>
    <x v="11"/>
    <x v="1"/>
    <x v="0"/>
    <s v="6960200"/>
    <n v="721835"/>
    <s v="Supplies-Forms"/>
    <s v="Physician Referral Service"/>
    <x v="0"/>
    <m/>
    <n v="0"/>
    <n v="0"/>
    <n v="0"/>
    <n v="0"/>
    <n v="484.84"/>
    <n v="685.18"/>
    <n v="0"/>
    <n v="0"/>
    <n v="0"/>
    <n v="439.86"/>
    <n v="0"/>
    <n v="477.67"/>
    <n v="2087.5500000000002"/>
    <n v="-477.67"/>
  </r>
  <r>
    <x v="11"/>
    <x v="1"/>
    <x v="0"/>
    <s v="6960200"/>
    <n v="722000"/>
    <s v="Supplies-Freight Expense"/>
    <s v="Physician Referral Service"/>
    <x v="0"/>
    <m/>
    <n v="0"/>
    <n v="0"/>
    <n v="0"/>
    <n v="0"/>
    <n v="0"/>
    <n v="0"/>
    <n v="20.52"/>
    <n v="0"/>
    <n v="0"/>
    <n v="0"/>
    <n v="0"/>
    <n v="0"/>
    <n v="20.52"/>
    <n v="0"/>
  </r>
  <r>
    <x v="12"/>
    <x v="1"/>
    <x v="0"/>
    <s v="6960200"/>
    <n v="730020"/>
    <s v="Rental and Leases-Copier Usage Fees (DO NOT USE)"/>
    <s v="Physician Referral Service"/>
    <x v="0"/>
    <n v="5100"/>
    <n v="78.23"/>
    <n v="77.37"/>
    <n v="77.8"/>
    <n v="77.8"/>
    <n v="77.8"/>
    <n v="77.8"/>
    <n v="88.13"/>
    <n v="81.19"/>
    <n v="81.010000000000005"/>
    <n v="221.34"/>
    <n v="81.19"/>
    <n v="107.47"/>
    <n v="1127.1300000000001"/>
    <n v="-26.28"/>
  </r>
  <r>
    <x v="15"/>
    <x v="1"/>
    <x v="0"/>
    <s v="6960200"/>
    <n v="731060"/>
    <s v="Telephone"/>
    <s v="Physician Referral Service"/>
    <x v="0"/>
    <m/>
    <n v="0"/>
    <n v="0"/>
    <n v="0"/>
    <n v="0"/>
    <n v="175"/>
    <n v="0"/>
    <n v="0"/>
    <n v="0"/>
    <n v="0"/>
    <n v="0"/>
    <n v="0"/>
    <n v="0"/>
    <n v="175"/>
    <n v="0"/>
  </r>
  <r>
    <x v="15"/>
    <x v="1"/>
    <x v="0"/>
    <s v="6960200"/>
    <n v="731060"/>
    <s v="Cell Phones"/>
    <s v="Physician Referral Service"/>
    <x v="0"/>
    <n v="1001"/>
    <n v="70"/>
    <n v="220"/>
    <n v="145"/>
    <n v="145"/>
    <n v="515"/>
    <n v="220"/>
    <n v="0"/>
    <n v="145"/>
    <n v="370"/>
    <n v="370"/>
    <n v="70"/>
    <n v="370"/>
    <n v="2640"/>
    <n v="-300"/>
  </r>
  <r>
    <x v="0"/>
    <x v="1"/>
    <x v="0"/>
    <s v="6960200"/>
    <n v="742040"/>
    <s v="Freight-Other"/>
    <s v="Physician Referral Service"/>
    <x v="0"/>
    <m/>
    <n v="0"/>
    <n v="0"/>
    <n v="0"/>
    <n v="0"/>
    <n v="0"/>
    <n v="0"/>
    <n v="0"/>
    <n v="0"/>
    <n v="0"/>
    <n v="0"/>
    <n v="0"/>
    <n v="11.76"/>
    <n v="11.76"/>
    <n v="-11.76"/>
  </r>
  <r>
    <x v="0"/>
    <x v="1"/>
    <x v="0"/>
    <s v="6960200"/>
    <n v="743020"/>
    <s v="Dues--Individual"/>
    <s v="Physician Referral Service"/>
    <x v="0"/>
    <m/>
    <n v="0"/>
    <n v="275"/>
    <n v="0"/>
    <n v="0"/>
    <n v="0"/>
    <n v="0"/>
    <n v="0"/>
    <n v="0"/>
    <n v="0"/>
    <n v="0"/>
    <n v="0"/>
    <n v="275"/>
    <n v="550"/>
    <n v="-275"/>
  </r>
  <r>
    <x v="0"/>
    <x v="1"/>
    <x v="0"/>
    <s v="6960200"/>
    <n v="743030"/>
    <s v="Subscriptions--Institutional"/>
    <s v="Physician Referral Service"/>
    <x v="0"/>
    <m/>
    <n v="0"/>
    <n v="992.45"/>
    <n v="0"/>
    <n v="992.45"/>
    <n v="0"/>
    <n v="0"/>
    <n v="0"/>
    <n v="0"/>
    <n v="848.99"/>
    <n v="1030.42"/>
    <n v="0"/>
    <n v="0"/>
    <n v="3864.3100000000004"/>
    <n v="0"/>
  </r>
  <r>
    <x v="0"/>
    <x v="1"/>
    <x v="0"/>
    <s v="6960200"/>
    <n v="744010"/>
    <s v="Physician Recruitment Firm Fees"/>
    <s v="Physician Referral Service"/>
    <x v="0"/>
    <n v="1000"/>
    <n v="5558.93"/>
    <n v="1490.3"/>
    <n v="2218.0300000000002"/>
    <n v="-5597.19"/>
    <n v="1895.02"/>
    <n v="2737.77"/>
    <n v="17197.59"/>
    <n v="-25500.45"/>
    <n v="13137.64"/>
    <n v="-2995.82"/>
    <n v="2895.38"/>
    <n v="-13037.2"/>
    <n v="0"/>
    <n v="15932.580000000002"/>
  </r>
  <r>
    <x v="0"/>
    <x v="1"/>
    <x v="0"/>
    <s v="6960200"/>
    <n v="749510"/>
    <s v="Miscellaneous Expenses"/>
    <s v="Physician Referral Service"/>
    <x v="0"/>
    <m/>
    <n v="-4428.24"/>
    <n v="-370.97"/>
    <n v="222.07"/>
    <n v="839.43"/>
    <n v="-927.55"/>
    <n v="0"/>
    <n v="351.39"/>
    <n v="17745.48"/>
    <n v="-18096.87"/>
    <n v="0"/>
    <n v="1000"/>
    <n v="2037.33"/>
    <n v="-1627.9299999999985"/>
    <n v="-1037.33"/>
  </r>
  <r>
    <x v="0"/>
    <x v="1"/>
    <x v="0"/>
    <s v="6960200"/>
    <n v="749530"/>
    <s v="Travel"/>
    <s v="Physician Referral Service"/>
    <x v="0"/>
    <m/>
    <n v="0"/>
    <n v="323.61"/>
    <n v="6"/>
    <n v="0"/>
    <n v="40.18"/>
    <n v="1500.12"/>
    <n v="0"/>
    <n v="0"/>
    <n v="0"/>
    <n v="598.39"/>
    <n v="2016.98"/>
    <n v="65.98"/>
    <n v="4551.2599999999993"/>
    <n v="1951"/>
  </r>
  <r>
    <x v="0"/>
    <x v="1"/>
    <x v="0"/>
    <s v="6960200"/>
    <n v="749530"/>
    <s v="Mileage"/>
    <s v="Physician Referral Service"/>
    <x v="0"/>
    <n v="1001"/>
    <n v="61.07"/>
    <n v="548.32000000000005"/>
    <n v="130.26"/>
    <n v="377.72"/>
    <n v="848.09"/>
    <n v="541.78"/>
    <n v="0"/>
    <n v="199.37"/>
    <n v="694.81"/>
    <n v="642.64"/>
    <n v="414.7"/>
    <n v="658.3"/>
    <n v="5117.0599999999995"/>
    <n v="-243.59999999999997"/>
  </r>
  <r>
    <x v="0"/>
    <x v="1"/>
    <x v="0"/>
    <s v="6960200"/>
    <n v="749535"/>
    <s v="Meetings"/>
    <s v="Physician Referral Service"/>
    <x v="0"/>
    <m/>
    <n v="866.81"/>
    <n v="861.63"/>
    <n v="0"/>
    <n v="1350.94"/>
    <n v="190.36"/>
    <n v="2130.09"/>
    <n v="0"/>
    <n v="7.02"/>
    <n v="1211.58"/>
    <n v="1185.1099999999999"/>
    <n v="3.5"/>
    <n v="1204.29"/>
    <n v="9011.33"/>
    <n v="-1200.79"/>
  </r>
  <r>
    <x v="0"/>
    <x v="1"/>
    <x v="0"/>
    <s v="6960200"/>
    <n v="749535"/>
    <s v="Medicare Non-Allowable Beverages"/>
    <s v="Physician Referral Service"/>
    <x v="0"/>
    <n v="1005"/>
    <n v="0"/>
    <n v="0"/>
    <n v="0"/>
    <n v="0"/>
    <n v="0"/>
    <n v="13.5"/>
    <n v="0"/>
    <n v="0"/>
    <n v="0"/>
    <n v="0"/>
    <n v="0"/>
    <n v="0"/>
    <n v="13.5"/>
    <n v="0"/>
  </r>
  <r>
    <x v="5"/>
    <x v="9"/>
    <x v="0"/>
    <s v="6960501"/>
    <n v="700014"/>
    <s v="Salaries-Management-Productive"/>
    <s v="Physician Relations&amp;Develpm"/>
    <x v="0"/>
    <m/>
    <n v="12172.78"/>
    <n v="6675.74"/>
    <n v="11231.04"/>
    <n v="12443.34"/>
    <n v="12104.25"/>
    <n v="6214.01"/>
    <n v="12041.59"/>
    <n v="10546.46"/>
    <n v="12728.51"/>
    <n v="10424.9"/>
    <n v="12526.49"/>
    <n v="11556.88"/>
    <n v="130665.98999999999"/>
    <n v="969.61000000000058"/>
  </r>
  <r>
    <x v="5"/>
    <x v="9"/>
    <x v="0"/>
    <s v="6960501"/>
    <n v="700034"/>
    <s v="Salaries-Tech/Professional-Productive"/>
    <s v="Physician Relations&amp;Develpm"/>
    <x v="0"/>
    <m/>
    <n v="24106.240000000002"/>
    <n v="23097.22"/>
    <n v="22374.31"/>
    <n v="27768.2"/>
    <n v="25791.48"/>
    <n v="23484.48"/>
    <n v="27649.88"/>
    <n v="25114.21"/>
    <n v="30646.26"/>
    <n v="22996.85"/>
    <n v="31566.51"/>
    <n v="26226.89"/>
    <n v="310822.53000000003"/>
    <n v="5339.619999999999"/>
  </r>
  <r>
    <x v="5"/>
    <x v="9"/>
    <x v="0"/>
    <s v="6960501"/>
    <n v="700054"/>
    <s v="Salaries-Management-Non-productive"/>
    <s v="Physician Relations&amp;Develpm"/>
    <x v="0"/>
    <m/>
    <n v="0"/>
    <n v="5497.6"/>
    <n v="549.76"/>
    <n v="0"/>
    <n v="0"/>
    <n v="6294.11"/>
    <n v="486.1"/>
    <n v="767.7"/>
    <n v="-202"/>
    <n v="1697.12"/>
    <n v="0"/>
    <n v="565.70000000000005"/>
    <n v="15656.090000000004"/>
    <n v="-565.70000000000005"/>
  </r>
  <r>
    <x v="5"/>
    <x v="9"/>
    <x v="0"/>
    <s v="6960501"/>
    <n v="700074"/>
    <s v="Salaries-Tech/Professional-Non-productive"/>
    <s v="Physician Relations&amp;Develpm"/>
    <x v="0"/>
    <m/>
    <n v="5932.1"/>
    <n v="6942.5"/>
    <n v="6696.79"/>
    <n v="2846.11"/>
    <n v="3301.84"/>
    <n v="7243.02"/>
    <n v="3150.33"/>
    <n v="2702.52"/>
    <n v="151.1"/>
    <n v="6657.84"/>
    <n v="-707.43"/>
    <n v="3577.38"/>
    <n v="48494.099999999991"/>
    <n v="-4284.8100000000004"/>
  </r>
  <r>
    <x v="5"/>
    <x v="9"/>
    <x v="0"/>
    <s v="6960501"/>
    <n v="700074"/>
    <s v="Salaries-Tech/Professional-NonProd-Other"/>
    <s v="Physician Relations&amp;Develpm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960501"/>
    <n v="700084"/>
    <s v="Accrued PTO"/>
    <s v="Physician Relations&amp;Develpm"/>
    <x v="0"/>
    <m/>
    <n v="144.71"/>
    <n v="-7781.84"/>
    <n v="-2837.85"/>
    <n v="3571.2"/>
    <n v="1688.04"/>
    <n v="-6756.82"/>
    <n v="138.63999999999999"/>
    <n v="2440.04"/>
    <n v="4389.0600000000004"/>
    <n v="-1051.48"/>
    <n v="3696.69"/>
    <n v="3239.28"/>
    <n v="879.66999999999916"/>
    <n v="457.40999999999985"/>
  </r>
  <r>
    <x v="6"/>
    <x v="9"/>
    <x v="0"/>
    <s v="6960501"/>
    <n v="713010"/>
    <s v="Benefits-FICA/Medicare"/>
    <s v="Physician Relations&amp;Develpm"/>
    <x v="0"/>
    <m/>
    <n v="3124.88"/>
    <n v="3125.08"/>
    <n v="3018.35"/>
    <n v="3181.29"/>
    <n v="2244.34"/>
    <n v="2830.69"/>
    <n v="3201.83"/>
    <n v="2891.97"/>
    <n v="3201.83"/>
    <n v="3087.13"/>
    <n v="3206.53"/>
    <n v="3098.59"/>
    <n v="36212.510000000009"/>
    <n v="107.94000000000005"/>
  </r>
  <r>
    <x v="6"/>
    <x v="9"/>
    <x v="0"/>
    <s v="6960501"/>
    <n v="713090"/>
    <s v="Benefits-Allocated Amounts"/>
    <s v="Physician Relations&amp;Develpm"/>
    <x v="0"/>
    <m/>
    <n v="6990.1"/>
    <n v="6035.13"/>
    <n v="6585.69"/>
    <n v="6693.85"/>
    <n v="6103.09"/>
    <n v="6833.05"/>
    <n v="7415.71"/>
    <n v="7093.24"/>
    <n v="8211.4699999999993"/>
    <n v="7298.23"/>
    <n v="7639.94"/>
    <n v="7443.86"/>
    <n v="84343.360000000001"/>
    <n v="196.07999999999993"/>
  </r>
  <r>
    <x v="7"/>
    <x v="9"/>
    <x v="0"/>
    <s v="6960501"/>
    <n v="718050"/>
    <s v="Contract Svcs-Other"/>
    <s v="Physician Relations&amp;Develpm"/>
    <x v="0"/>
    <m/>
    <n v="0"/>
    <n v="0"/>
    <n v="0"/>
    <n v="0"/>
    <n v="0"/>
    <n v="0"/>
    <n v="0"/>
    <n v="0"/>
    <n v="42.41"/>
    <n v="0"/>
    <n v="15984.7"/>
    <n v="-15970.09"/>
    <n v="57.020000000000437"/>
    <n v="31954.79"/>
  </r>
  <r>
    <x v="7"/>
    <x v="9"/>
    <x v="0"/>
    <s v="6960501"/>
    <n v="718050"/>
    <s v="Miscellaneous Purchased Svcs"/>
    <s v="Physician Relations&amp;Develpm"/>
    <x v="0"/>
    <n v="1020"/>
    <n v="0"/>
    <n v="0"/>
    <n v="0"/>
    <n v="0"/>
    <n v="0"/>
    <n v="0"/>
    <n v="0"/>
    <n v="0"/>
    <n v="0"/>
    <n v="19917.09"/>
    <n v="0"/>
    <n v="0"/>
    <n v="19917.09"/>
    <n v="0"/>
  </r>
  <r>
    <x v="11"/>
    <x v="9"/>
    <x v="0"/>
    <s v="6960501"/>
    <n v="721830"/>
    <s v="Supplies-Office"/>
    <s v="Physician Relations&amp;Develpm"/>
    <x v="0"/>
    <m/>
    <n v="40.17"/>
    <n v="0"/>
    <n v="0"/>
    <n v="0"/>
    <n v="0"/>
    <n v="0"/>
    <n v="0"/>
    <n v="0"/>
    <n v="0"/>
    <n v="0"/>
    <n v="0"/>
    <n v="0"/>
    <n v="40.17"/>
    <n v="0"/>
  </r>
  <r>
    <x v="11"/>
    <x v="9"/>
    <x v="0"/>
    <s v="6960501"/>
    <n v="721835"/>
    <s v="Supplies-Forms"/>
    <s v="Physician Relations&amp;Develpm"/>
    <x v="0"/>
    <m/>
    <n v="0"/>
    <n v="0"/>
    <n v="0"/>
    <n v="0"/>
    <n v="240.4"/>
    <n v="0"/>
    <n v="0"/>
    <n v="0"/>
    <n v="0"/>
    <n v="0"/>
    <n v="196.12"/>
    <n v="268.92"/>
    <n v="705.44"/>
    <n v="-72.800000000000011"/>
  </r>
  <r>
    <x v="12"/>
    <x v="9"/>
    <x v="0"/>
    <s v="6960501"/>
    <n v="730020"/>
    <s v="Rental and Leases-Copier Usage Fees (DO NOT USE)"/>
    <s v="Physician Relations&amp;Develpm"/>
    <x v="0"/>
    <n v="5100"/>
    <n v="93.32"/>
    <n v="96.36"/>
    <n v="94.84"/>
    <n v="94.84"/>
    <n v="94.84"/>
    <n v="94.84"/>
    <n v="127.6"/>
    <n v="97.63"/>
    <n v="97.42"/>
    <n v="146.66"/>
    <n v="97.63"/>
    <n v="118.29"/>
    <n v="1254.27"/>
    <n v="-20.660000000000011"/>
  </r>
  <r>
    <x v="15"/>
    <x v="9"/>
    <x v="0"/>
    <s v="6960501"/>
    <n v="731060"/>
    <s v="Cell Phones"/>
    <s v="Physician Relations&amp;Develpm"/>
    <x v="0"/>
    <n v="1001"/>
    <n v="0"/>
    <n v="195.89"/>
    <n v="86.61"/>
    <n v="0"/>
    <n v="86.61"/>
    <n v="89.41"/>
    <n v="179.03"/>
    <n v="0"/>
    <n v="91.91"/>
    <n v="181.14"/>
    <n v="86.7"/>
    <n v="89.65"/>
    <n v="1086.95"/>
    <n v="-2.9500000000000028"/>
  </r>
  <r>
    <x v="13"/>
    <x v="9"/>
    <x v="0"/>
    <s v="6960501"/>
    <n v="735070"/>
    <s v="Depreciation-Movable Equipment"/>
    <s v="Physician Relations&amp;Develpm"/>
    <x v="0"/>
    <m/>
    <n v="290.66000000000003"/>
    <n v="290.64999999999998"/>
    <n v="290.68"/>
    <n v="290.64"/>
    <n v="290.7"/>
    <n v="290.61"/>
    <n v="290.7"/>
    <n v="290.58999999999997"/>
    <n v="290.70999999999998"/>
    <n v="290.58999999999997"/>
    <n v="290.70999999999998"/>
    <n v="290.58"/>
    <n v="3487.82"/>
    <n v="0.12999999999999545"/>
  </r>
  <r>
    <x v="0"/>
    <x v="9"/>
    <x v="0"/>
    <s v="6960501"/>
    <n v="740020"/>
    <s v="Education-Registration Fees"/>
    <s v="Physician Relations&amp;Develpm"/>
    <x v="0"/>
    <m/>
    <n v="0"/>
    <n v="0"/>
    <n v="0"/>
    <n v="0"/>
    <n v="450"/>
    <n v="0"/>
    <n v="0"/>
    <n v="0"/>
    <n v="0"/>
    <n v="0"/>
    <n v="0"/>
    <n v="0"/>
    <n v="450"/>
    <n v="0"/>
  </r>
  <r>
    <x v="0"/>
    <x v="9"/>
    <x v="0"/>
    <s v="6960501"/>
    <n v="743010"/>
    <s v="Dues--Institutional"/>
    <s v="Physician Relations&amp;Develpm"/>
    <x v="0"/>
    <m/>
    <n v="0"/>
    <n v="0"/>
    <n v="0"/>
    <n v="0"/>
    <n v="0"/>
    <n v="0"/>
    <n v="925"/>
    <n v="0"/>
    <n v="0"/>
    <n v="0"/>
    <n v="0"/>
    <n v="0"/>
    <n v="925"/>
    <n v="0"/>
  </r>
  <r>
    <x v="0"/>
    <x v="9"/>
    <x v="0"/>
    <s v="6960501"/>
    <n v="743030"/>
    <s v="Subscriptions--Institutional"/>
    <s v="Physician Relations&amp;Develpm"/>
    <x v="0"/>
    <m/>
    <n v="0"/>
    <n v="0"/>
    <n v="0"/>
    <n v="0"/>
    <n v="0"/>
    <n v="0"/>
    <n v="0"/>
    <n v="0"/>
    <n v="0"/>
    <n v="0"/>
    <n v="26.6"/>
    <n v="0"/>
    <n v="26.6"/>
    <n v="26.6"/>
  </r>
  <r>
    <x v="0"/>
    <x v="9"/>
    <x v="0"/>
    <s v="6960501"/>
    <n v="749510"/>
    <s v="Miscellaneous Expenses"/>
    <s v="Physician Relations&amp;Develpm"/>
    <x v="0"/>
    <m/>
    <n v="-188.08"/>
    <n v="194.56"/>
    <n v="40.32"/>
    <n v="2024.54"/>
    <n v="-1790.19"/>
    <n v="-20.3"/>
    <n v="-109.34"/>
    <n v="163.98"/>
    <n v="505.35"/>
    <n v="1180"/>
    <n v="794.78"/>
    <n v="-2398.6799999999998"/>
    <n v="396.94000000000005"/>
    <n v="3193.46"/>
  </r>
  <r>
    <x v="0"/>
    <x v="9"/>
    <x v="0"/>
    <s v="6960501"/>
    <n v="749530"/>
    <s v="Travel"/>
    <s v="Physician Relations&amp;Develpm"/>
    <x v="0"/>
    <m/>
    <n v="30.5"/>
    <n v="0"/>
    <n v="37"/>
    <n v="0.35"/>
    <n v="38.6"/>
    <n v="0"/>
    <n v="67"/>
    <n v="0"/>
    <n v="107.5"/>
    <n v="992.33"/>
    <n v="2118.4899999999998"/>
    <n v="1287.99"/>
    <n v="4679.7599999999993"/>
    <n v="830.49999999999977"/>
  </r>
  <r>
    <x v="0"/>
    <x v="9"/>
    <x v="0"/>
    <s v="6960501"/>
    <n v="749530"/>
    <s v="Mileage"/>
    <s v="Physician Relations&amp;Develpm"/>
    <x v="0"/>
    <n v="1001"/>
    <n v="617.03"/>
    <n v="482.41"/>
    <n v="947.33"/>
    <n v="688.45"/>
    <n v="1149.56"/>
    <n v="504.75"/>
    <n v="1080.46"/>
    <n v="659.51"/>
    <n v="1110.43"/>
    <n v="854.34"/>
    <n v="436.74"/>
    <n v="1288.18"/>
    <n v="9819.1900000000023"/>
    <n v="-851.44"/>
  </r>
  <r>
    <x v="0"/>
    <x v="9"/>
    <x v="0"/>
    <s v="6960501"/>
    <n v="749535"/>
    <s v="Meetings"/>
    <s v="Physician Relations&amp;Develpm"/>
    <x v="0"/>
    <m/>
    <n v="513.33000000000004"/>
    <n v="86.29"/>
    <n v="591.17999999999995"/>
    <n v="535.08000000000004"/>
    <n v="1030.78"/>
    <n v="357.12"/>
    <n v="345.63"/>
    <n v="205.4"/>
    <n v="941.09"/>
    <n v="417.37"/>
    <n v="231.03"/>
    <n v="2594.19"/>
    <n v="7848.49"/>
    <n v="-2363.16"/>
  </r>
  <r>
    <x v="12"/>
    <x v="6"/>
    <x v="0"/>
    <s v="6980107"/>
    <n v="730020"/>
    <s v="Rental and Leases-Copier Usage Fees (DO NOT USE)"/>
    <s v="Strategic Development"/>
    <x v="0"/>
    <n v="5100"/>
    <n v="60.65"/>
    <n v="62.36"/>
    <n v="61.5"/>
    <n v="61.5"/>
    <n v="-246.01"/>
    <n v="0"/>
    <n v="0"/>
    <n v="0"/>
    <n v="0"/>
    <n v="0"/>
    <n v="0"/>
    <n v="0"/>
    <n v="0"/>
    <n v="0"/>
  </r>
  <r>
    <x v="15"/>
    <x v="6"/>
    <x v="0"/>
    <s v="6980107"/>
    <n v="731060"/>
    <s v="Cell Phones"/>
    <s v="Strategic Development"/>
    <x v="0"/>
    <n v="1001"/>
    <n v="0"/>
    <n v="100.37"/>
    <n v="49.44"/>
    <n v="0"/>
    <n v="-125.56"/>
    <n v="0"/>
    <n v="0"/>
    <n v="0"/>
    <n v="0"/>
    <n v="0"/>
    <n v="0"/>
    <n v="0"/>
    <n v="24.25"/>
    <n v="0"/>
  </r>
  <r>
    <x v="5"/>
    <x v="9"/>
    <x v="0"/>
    <s v="6980501"/>
    <n v="700014"/>
    <s v="Salaries-Management-Productive"/>
    <s v="Strategic Planning"/>
    <x v="0"/>
    <m/>
    <n v="90481.83"/>
    <n v="100721.87"/>
    <n v="99813.62"/>
    <n v="102320.62"/>
    <n v="101214.13"/>
    <n v="72930.66"/>
    <n v="109547.32"/>
    <n v="83821.73"/>
    <n v="117511.24"/>
    <n v="105896.92"/>
    <n v="89172.479999999996"/>
    <n v="113439.34"/>
    <n v="1186871.7600000002"/>
    <n v="-24266.86"/>
  </r>
  <r>
    <x v="5"/>
    <x v="9"/>
    <x v="0"/>
    <s v="6980501"/>
    <n v="700014"/>
    <s v="Salaries-Management-Other"/>
    <s v="Strategic Planning"/>
    <x v="0"/>
    <n v="2000"/>
    <n v="0"/>
    <n v="0"/>
    <n v="0"/>
    <n v="0"/>
    <n v="22872"/>
    <n v="0"/>
    <n v="0"/>
    <n v="0"/>
    <n v="0"/>
    <n v="0"/>
    <n v="0"/>
    <n v="0"/>
    <n v="22872"/>
    <n v="0"/>
  </r>
  <r>
    <x v="5"/>
    <x v="9"/>
    <x v="0"/>
    <s v="6980501"/>
    <n v="700034"/>
    <s v="Salaries-Tech/Professional-Productive"/>
    <s v="Strategic Planning"/>
    <x v="0"/>
    <m/>
    <n v="14363.03"/>
    <n v="14991.12"/>
    <n v="14310.3"/>
    <n v="17180.87"/>
    <n v="14826.6"/>
    <n v="10928.92"/>
    <n v="16314.71"/>
    <n v="12659.04"/>
    <n v="18540.060000000001"/>
    <n v="17100.59"/>
    <n v="16141.85"/>
    <n v="13036.03"/>
    <n v="180393.12"/>
    <n v="3105.8199999999997"/>
  </r>
  <r>
    <x v="5"/>
    <x v="9"/>
    <x v="0"/>
    <s v="6980501"/>
    <n v="700038"/>
    <s v="Salaries-Service/Support-Productive"/>
    <s v="Strategic Planning"/>
    <x v="0"/>
    <m/>
    <n v="6409.66"/>
    <n v="10759.69"/>
    <n v="10558.44"/>
    <n v="10984.53"/>
    <n v="8677.3799999999992"/>
    <n v="9663.58"/>
    <n v="11717.5"/>
    <n v="9620.7199999999993"/>
    <n v="10184.68"/>
    <n v="9976.7900000000009"/>
    <n v="9675.82"/>
    <n v="11160.48"/>
    <n v="119389.27"/>
    <n v="-1484.6599999999999"/>
  </r>
  <r>
    <x v="5"/>
    <x v="9"/>
    <x v="0"/>
    <s v="6980501"/>
    <n v="700038"/>
    <s v="Salaries-Service/Support-OT"/>
    <s v="Strategic Planning"/>
    <x v="0"/>
    <n v="1000"/>
    <n v="60.6"/>
    <n v="1338.12"/>
    <n v="-314.27"/>
    <n v="442.41"/>
    <n v="-177.16"/>
    <n v="191.06"/>
    <n v="90.49"/>
    <n v="19.96"/>
    <n v="36.25"/>
    <n v="155.65"/>
    <n v="-0.99"/>
    <n v="552.6"/>
    <n v="2394.7199999999998"/>
    <n v="-553.59"/>
  </r>
  <r>
    <x v="5"/>
    <x v="9"/>
    <x v="0"/>
    <s v="6980501"/>
    <n v="700038"/>
    <s v="Salaries-Service/Support-Other"/>
    <s v="Strategic Planning"/>
    <x v="0"/>
    <n v="2000"/>
    <n v="0"/>
    <n v="30"/>
    <n v="0"/>
    <n v="0"/>
    <n v="0"/>
    <n v="563.35"/>
    <n v="0"/>
    <n v="0"/>
    <n v="0"/>
    <n v="0"/>
    <n v="0"/>
    <n v="0"/>
    <n v="593.35"/>
    <n v="0"/>
  </r>
  <r>
    <x v="5"/>
    <x v="9"/>
    <x v="0"/>
    <s v="6980501"/>
    <n v="700054"/>
    <s v="Salaries-Management-Non-productive"/>
    <s v="Strategic Planning"/>
    <x v="0"/>
    <m/>
    <n v="20450.59"/>
    <n v="10215.61"/>
    <n v="7546.69"/>
    <n v="9136.86"/>
    <n v="8169.24"/>
    <n v="39713.269999999997"/>
    <n v="3272.58"/>
    <n v="18069.75"/>
    <n v="-4754.74"/>
    <n v="3200.54"/>
    <n v="23565.31"/>
    <n v="-4356.33"/>
    <n v="134229.37"/>
    <n v="27921.64"/>
  </r>
  <r>
    <x v="5"/>
    <x v="9"/>
    <x v="0"/>
    <s v="6980501"/>
    <n v="700054"/>
    <s v="Salaries-Management-NonProd-Other"/>
    <s v="Strategic Planning"/>
    <x v="0"/>
    <n v="2000"/>
    <n v="0"/>
    <n v="0"/>
    <n v="0"/>
    <n v="0"/>
    <n v="0"/>
    <n v="332.04"/>
    <n v="-332.04"/>
    <n v="0"/>
    <n v="0"/>
    <n v="0"/>
    <n v="0"/>
    <n v="0"/>
    <n v="0"/>
    <n v="0"/>
  </r>
  <r>
    <x v="5"/>
    <x v="9"/>
    <x v="0"/>
    <s v="6980501"/>
    <n v="700074"/>
    <s v="Salaries-Tech/Professional-Non-productive"/>
    <s v="Strategic Planning"/>
    <x v="0"/>
    <m/>
    <n v="2831.55"/>
    <n v="2204.23"/>
    <n v="2330.62"/>
    <n v="377.36"/>
    <n v="2248.9299999999998"/>
    <n v="6716.4"/>
    <n v="1358.14"/>
    <n v="3301.92"/>
    <n v="-868.83"/>
    <n v="0"/>
    <n v="1529.34"/>
    <n v="4065.37"/>
    <n v="26095.03"/>
    <n v="-2536.0299999999997"/>
  </r>
  <r>
    <x v="5"/>
    <x v="9"/>
    <x v="0"/>
    <s v="6980501"/>
    <n v="700078"/>
    <s v="Salaries-Service/Support-Non-productive"/>
    <s v="Strategic Planning"/>
    <x v="0"/>
    <m/>
    <n v="383.5"/>
    <n v="1205.26"/>
    <n v="1466.47"/>
    <n v="1451.83"/>
    <n v="3536.65"/>
    <n v="2957.92"/>
    <n v="883.06"/>
    <n v="1498.04"/>
    <n v="2395.21"/>
    <n v="2588.86"/>
    <n v="3291.92"/>
    <n v="716.42"/>
    <n v="22375.14"/>
    <n v="2575.5"/>
  </r>
  <r>
    <x v="5"/>
    <x v="9"/>
    <x v="0"/>
    <s v="6980501"/>
    <n v="700078"/>
    <s v="Salaries-Service/Support-NonProd-Other"/>
    <s v="Strategic Plann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6980501"/>
    <n v="700084"/>
    <s v="Accrued PTO"/>
    <s v="Strategic Planning"/>
    <x v="0"/>
    <m/>
    <n v="1052.95"/>
    <n v="-77.53"/>
    <n v="713.79"/>
    <n v="4292.17"/>
    <n v="1583"/>
    <n v="-8489.36"/>
    <n v="918.13"/>
    <n v="549.67999999999995"/>
    <n v="3674.58"/>
    <n v="812.22"/>
    <n v="912.22"/>
    <n v="826.49"/>
    <n v="6768.34"/>
    <n v="85.730000000000018"/>
  </r>
  <r>
    <x v="6"/>
    <x v="9"/>
    <x v="0"/>
    <s v="6980501"/>
    <n v="713010"/>
    <s v="Benefits-FICA/Medicare"/>
    <s v="Strategic Planning"/>
    <x v="0"/>
    <m/>
    <n v="4550.3599999999997"/>
    <n v="5042.54"/>
    <n v="4788.99"/>
    <n v="5075.68"/>
    <n v="5302.12"/>
    <n v="8049.38"/>
    <n v="10686.35"/>
    <n v="9606.86"/>
    <n v="8624.36"/>
    <n v="7451.11"/>
    <n v="7713.98"/>
    <n v="7104.95"/>
    <n v="83996.68"/>
    <n v="609.02999999999975"/>
  </r>
  <r>
    <x v="6"/>
    <x v="9"/>
    <x v="0"/>
    <s v="6980501"/>
    <n v="713090"/>
    <s v="Benefits-Allocated Amounts"/>
    <s v="Strategic Planning"/>
    <x v="0"/>
    <m/>
    <n v="14590.46"/>
    <n v="14899.3"/>
    <n v="15065.79"/>
    <n v="14397.31"/>
    <n v="14053.09"/>
    <n v="15687.34"/>
    <n v="16728.82"/>
    <n v="15709.52"/>
    <n v="19741.560000000001"/>
    <n v="16767.900000000001"/>
    <n v="16881.48"/>
    <n v="16761.89"/>
    <n v="191284.46000000002"/>
    <n v="119.59000000000015"/>
  </r>
  <r>
    <x v="6"/>
    <x v="9"/>
    <x v="0"/>
    <s v="6980501"/>
    <n v="713096"/>
    <s v="Employee Recognition"/>
    <s v="Strategic Planning"/>
    <x v="0"/>
    <n v="1017"/>
    <n v="0"/>
    <n v="0"/>
    <n v="0"/>
    <n v="0"/>
    <n v="0"/>
    <n v="35.06"/>
    <n v="297.12"/>
    <n v="0"/>
    <n v="0"/>
    <n v="-100"/>
    <n v="0"/>
    <n v="181.98"/>
    <n v="414.15999999999997"/>
    <n v="-181.98"/>
  </r>
  <r>
    <x v="21"/>
    <x v="9"/>
    <x v="0"/>
    <s v="6980501"/>
    <n v="716034"/>
    <s v="Consulting-Strategic Planning and Acquisitions"/>
    <s v="Strategic Planning"/>
    <x v="0"/>
    <m/>
    <n v="0"/>
    <n v="0"/>
    <n v="0"/>
    <n v="6500"/>
    <n v="0"/>
    <n v="0"/>
    <n v="0"/>
    <n v="0"/>
    <n v="0"/>
    <n v="0"/>
    <n v="0"/>
    <n v="1650"/>
    <n v="8150"/>
    <n v="-1650"/>
  </r>
  <r>
    <x v="21"/>
    <x v="9"/>
    <x v="0"/>
    <s v="6980501"/>
    <n v="716046"/>
    <s v="Consulting-Other"/>
    <s v="Strategic Planning"/>
    <x v="0"/>
    <m/>
    <n v="64319.07"/>
    <n v="54166.63"/>
    <n v="99562.6"/>
    <n v="40861.730000000003"/>
    <n v="262406.40999999997"/>
    <n v="194855.05"/>
    <n v="37676.35"/>
    <n v="71151.149999999994"/>
    <n v="118525.9"/>
    <n v="7420.8"/>
    <n v="29543.08"/>
    <n v="124469.86"/>
    <n v="1104958.6300000001"/>
    <n v="-94926.78"/>
  </r>
  <r>
    <x v="7"/>
    <x v="9"/>
    <x v="0"/>
    <s v="6980501"/>
    <n v="718050"/>
    <s v="Contract Svcs-Other"/>
    <s v="Strategic Planning"/>
    <x v="0"/>
    <m/>
    <n v="12500"/>
    <n v="12500"/>
    <n v="0"/>
    <n v="0"/>
    <n v="0"/>
    <n v="0"/>
    <n v="0"/>
    <n v="3850"/>
    <n v="0"/>
    <n v="0"/>
    <n v="0"/>
    <n v="3850"/>
    <n v="32700"/>
    <n v="-3850"/>
  </r>
  <r>
    <x v="7"/>
    <x v="9"/>
    <x v="0"/>
    <s v="6980501"/>
    <n v="718050"/>
    <s v="Miscellaneous Purchased Svcs"/>
    <s v="Strategic Planning"/>
    <x v="0"/>
    <n v="1020"/>
    <n v="0"/>
    <n v="0"/>
    <n v="0"/>
    <n v="0"/>
    <n v="0"/>
    <n v="0"/>
    <n v="0"/>
    <n v="0"/>
    <n v="0"/>
    <n v="102.07"/>
    <n v="0"/>
    <n v="0"/>
    <n v="102.07"/>
    <n v="0"/>
  </r>
  <r>
    <x v="11"/>
    <x v="9"/>
    <x v="0"/>
    <s v="6980501"/>
    <n v="721810"/>
    <s v="Supplies-Dietary/Cafeteria"/>
    <s v="Strategic Planning"/>
    <x v="0"/>
    <m/>
    <n v="411.98"/>
    <n v="69.75"/>
    <n v="184.93"/>
    <n v="514.29999999999995"/>
    <n v="119.52"/>
    <n v="112.95"/>
    <n v="68.45"/>
    <n v="83.51"/>
    <n v="0"/>
    <n v="0"/>
    <n v="0"/>
    <n v="56.13"/>
    <n v="1621.5200000000002"/>
    <n v="-56.13"/>
  </r>
  <r>
    <x v="11"/>
    <x v="9"/>
    <x v="0"/>
    <s v="6980501"/>
    <n v="721830"/>
    <s v="Supplies-Office"/>
    <s v="Strategic Planning"/>
    <x v="0"/>
    <m/>
    <n v="359.04"/>
    <n v="59.52"/>
    <n v="245.74"/>
    <n v="0"/>
    <n v="0"/>
    <n v="0"/>
    <n v="0"/>
    <n v="9.6199999999999992"/>
    <n v="0"/>
    <n v="321.36"/>
    <n v="44.19"/>
    <n v="36.93"/>
    <n v="1076.4000000000001"/>
    <n v="7.259999999999998"/>
  </r>
  <r>
    <x v="11"/>
    <x v="9"/>
    <x v="0"/>
    <s v="6980501"/>
    <n v="721835"/>
    <s v="Supplies-Forms"/>
    <s v="Strategic Planning"/>
    <x v="0"/>
    <m/>
    <n v="0"/>
    <n v="0"/>
    <n v="0"/>
    <n v="0"/>
    <n v="339.75"/>
    <n v="0"/>
    <n v="0"/>
    <n v="0"/>
    <n v="0"/>
    <n v="66"/>
    <n v="0"/>
    <n v="0"/>
    <n v="405.75"/>
    <n v="0"/>
  </r>
  <r>
    <x v="11"/>
    <x v="9"/>
    <x v="0"/>
    <s v="6980501"/>
    <n v="721910"/>
    <s v="Supplies-Small Equipment"/>
    <s v="Strategic Planning"/>
    <x v="0"/>
    <m/>
    <n v="95.16"/>
    <n v="0"/>
    <n v="1782.2"/>
    <n v="583.66999999999996"/>
    <n v="701.57"/>
    <n v="525"/>
    <n v="7.1"/>
    <n v="0"/>
    <n v="0"/>
    <n v="0"/>
    <n v="0"/>
    <n v="0"/>
    <n v="3694.7000000000003"/>
    <n v="0"/>
  </r>
  <r>
    <x v="11"/>
    <x v="9"/>
    <x v="0"/>
    <s v="6980501"/>
    <n v="721980"/>
    <s v="Supplies-Other"/>
    <s v="Strategic Planning"/>
    <x v="0"/>
    <m/>
    <n v="0"/>
    <n v="0"/>
    <n v="0"/>
    <n v="189.58"/>
    <n v="0"/>
    <n v="853.35"/>
    <n v="0"/>
    <n v="50.63"/>
    <n v="0"/>
    <n v="0"/>
    <n v="0"/>
    <n v="82.46"/>
    <n v="1176.0200000000002"/>
    <n v="-82.46"/>
  </r>
  <r>
    <x v="11"/>
    <x v="9"/>
    <x v="0"/>
    <s v="6980501"/>
    <n v="722000"/>
    <s v="Supplies-Freight Expense"/>
    <s v="Strategic Planning"/>
    <x v="0"/>
    <m/>
    <n v="0"/>
    <n v="0"/>
    <n v="7.65"/>
    <n v="0"/>
    <n v="0"/>
    <n v="64.34"/>
    <n v="0"/>
    <n v="8.5299999999999994"/>
    <n v="24.58"/>
    <n v="0"/>
    <n v="0"/>
    <n v="126.72"/>
    <n v="231.82"/>
    <n v="-126.72"/>
  </r>
  <r>
    <x v="12"/>
    <x v="9"/>
    <x v="0"/>
    <s v="6980501"/>
    <n v="730010"/>
    <s v="Rental and Leases-Building (DO NOT USE)"/>
    <s v="Strategic Planning"/>
    <x v="0"/>
    <m/>
    <n v="7989.65"/>
    <n v="7988.7"/>
    <n v="8246.67"/>
    <n v="28623.47"/>
    <n v="7765.31"/>
    <n v="6646.91"/>
    <n v="7765.31"/>
    <n v="7765.31"/>
    <n v="7765.31"/>
    <n v="7767.75"/>
    <n v="7767.75"/>
    <n v="0"/>
    <n v="106092.13999999998"/>
    <n v="7767.75"/>
  </r>
  <r>
    <x v="12"/>
    <x v="9"/>
    <x v="0"/>
    <s v="6980501"/>
    <n v="730010"/>
    <s v="Rental-Common Area Maint (DO NOT USE)"/>
    <s v="Strategic Planning"/>
    <x v="0"/>
    <n v="2200"/>
    <n v="0"/>
    <n v="0"/>
    <n v="0"/>
    <n v="0"/>
    <n v="0"/>
    <n v="1118.4000000000001"/>
    <n v="0"/>
    <n v="349.48"/>
    <n v="37.58"/>
    <n v="37.03"/>
    <n v="37.03"/>
    <n v="0"/>
    <n v="1579.52"/>
    <n v="37.03"/>
  </r>
  <r>
    <x v="12"/>
    <x v="9"/>
    <x v="0"/>
    <s v="6980501"/>
    <n v="730020"/>
    <s v="Rental and Leases-Copier Usage Fees (DO NOT USE)"/>
    <s v="Strategic Planning"/>
    <x v="0"/>
    <n v="5100"/>
    <n v="340.62"/>
    <n v="309.97000000000003"/>
    <n v="325.3"/>
    <n v="325.29000000000002"/>
    <n v="632.80999999999995"/>
    <n v="386.79"/>
    <n v="907.49"/>
    <n v="201.36"/>
    <n v="200.94"/>
    <n v="664.49"/>
    <n v="201.36"/>
    <n v="265.26"/>
    <n v="4761.68"/>
    <n v="-63.899999999999977"/>
  </r>
  <r>
    <x v="12"/>
    <x v="9"/>
    <x v="0"/>
    <s v="6980501"/>
    <n v="730040"/>
    <s v="LT Lease-Real Estate"/>
    <s v="Strategic Planning"/>
    <x v="0"/>
    <m/>
    <n v="0"/>
    <n v="0"/>
    <n v="0"/>
    <n v="0"/>
    <n v="0"/>
    <n v="0"/>
    <n v="0"/>
    <n v="0"/>
    <n v="0"/>
    <n v="0"/>
    <n v="0"/>
    <n v="7804.78"/>
    <n v="7804.78"/>
    <n v="-7804.78"/>
  </r>
  <r>
    <x v="15"/>
    <x v="9"/>
    <x v="0"/>
    <s v="6980501"/>
    <n v="731060"/>
    <s v="Cell Phones"/>
    <s v="Strategic Planning"/>
    <x v="0"/>
    <n v="1001"/>
    <n v="0"/>
    <n v="0"/>
    <n v="0"/>
    <n v="0"/>
    <n v="147.16999999999999"/>
    <n v="14.65"/>
    <n v="56.25"/>
    <n v="0"/>
    <n v="27.69"/>
    <n v="53.74"/>
    <n v="26.9"/>
    <n v="27.6"/>
    <n v="354"/>
    <n v="-0.70000000000000284"/>
  </r>
  <r>
    <x v="16"/>
    <x v="9"/>
    <x v="0"/>
    <s v="6980501"/>
    <n v="732030"/>
    <s v="Repairs&amp;Maintenance-Bldg Routine"/>
    <s v="Strategic Planning"/>
    <x v="0"/>
    <n v="2300"/>
    <n v="0"/>
    <n v="297.16000000000003"/>
    <n v="0"/>
    <n v="0"/>
    <n v="0"/>
    <n v="0"/>
    <n v="0"/>
    <n v="0"/>
    <n v="44.25"/>
    <n v="0"/>
    <n v="0"/>
    <n v="1061.54"/>
    <n v="1402.95"/>
    <n v="-1061.54"/>
  </r>
  <r>
    <x v="16"/>
    <x v="9"/>
    <x v="0"/>
    <s v="6980501"/>
    <n v="733030"/>
    <s v="Maintenance Contracts-Software"/>
    <s v="Strategic Planning"/>
    <x v="0"/>
    <n v="1002"/>
    <n v="0"/>
    <n v="0"/>
    <n v="0"/>
    <n v="0"/>
    <n v="34791.67"/>
    <n v="17395.830000000002"/>
    <n v="17395.830000000002"/>
    <n v="17395.830000000002"/>
    <n v="17395.830000000002"/>
    <n v="17395.830000000002"/>
    <n v="17395.830000000002"/>
    <n v="17395.830000000002"/>
    <n v="156562.48000000004"/>
    <n v="0"/>
  </r>
  <r>
    <x v="0"/>
    <x v="9"/>
    <x v="0"/>
    <s v="6980501"/>
    <n v="740020"/>
    <s v="Education-Registration Fees"/>
    <s v="Strategic Planning"/>
    <x v="0"/>
    <m/>
    <n v="0"/>
    <n v="0"/>
    <n v="0"/>
    <n v="950"/>
    <n v="1195"/>
    <n v="550"/>
    <n v="0"/>
    <n v="0"/>
    <n v="0"/>
    <n v="-950"/>
    <n v="0"/>
    <n v="0"/>
    <n v="1745"/>
    <n v="0"/>
  </r>
  <r>
    <x v="0"/>
    <x v="9"/>
    <x v="0"/>
    <s v="6980501"/>
    <n v="742010"/>
    <s v="Postage-Regular"/>
    <s v="Strategic Planning"/>
    <x v="0"/>
    <m/>
    <n v="0"/>
    <n v="0"/>
    <n v="0"/>
    <n v="39.39"/>
    <n v="0"/>
    <n v="37.840000000000003"/>
    <n v="1.87"/>
    <n v="0"/>
    <n v="0"/>
    <n v="0"/>
    <n v="0"/>
    <n v="0"/>
    <n v="79.100000000000009"/>
    <n v="0"/>
  </r>
  <r>
    <x v="0"/>
    <x v="9"/>
    <x v="0"/>
    <s v="6980501"/>
    <n v="743020"/>
    <s v="Dues--Individual"/>
    <s v="Strategic Planning"/>
    <x v="0"/>
    <m/>
    <n v="0"/>
    <n v="0"/>
    <n v="0"/>
    <n v="0"/>
    <n v="0"/>
    <n v="0"/>
    <n v="0"/>
    <n v="0"/>
    <n v="0"/>
    <n v="235"/>
    <n v="0"/>
    <n v="235"/>
    <n v="470"/>
    <n v="-235"/>
  </r>
  <r>
    <x v="0"/>
    <x v="9"/>
    <x v="0"/>
    <s v="6980501"/>
    <n v="743030"/>
    <s v="Subscriptions--Institutional"/>
    <s v="Strategic Planning"/>
    <x v="0"/>
    <m/>
    <n v="0"/>
    <n v="0"/>
    <n v="0"/>
    <n v="0"/>
    <n v="0"/>
    <n v="0"/>
    <n v="0"/>
    <n v="0"/>
    <n v="0"/>
    <n v="179.89"/>
    <n v="31.96"/>
    <n v="31.96"/>
    <n v="243.81"/>
    <n v="0"/>
  </r>
  <r>
    <x v="0"/>
    <x v="9"/>
    <x v="0"/>
    <s v="6980501"/>
    <n v="743040"/>
    <s v="Subscriptions--Individual"/>
    <s v="Strategic Planning"/>
    <x v="0"/>
    <m/>
    <n v="0"/>
    <n v="0"/>
    <n v="225"/>
    <n v="110.97"/>
    <n v="0"/>
    <n v="110.97"/>
    <n v="0"/>
    <n v="0"/>
    <n v="219.97"/>
    <n v="0"/>
    <n v="0"/>
    <n v="364.95"/>
    <n v="1031.8600000000001"/>
    <n v="-364.95"/>
  </r>
  <r>
    <x v="0"/>
    <x v="9"/>
    <x v="0"/>
    <s v="6980501"/>
    <n v="749510"/>
    <s v="Miscellaneous Expenses"/>
    <s v="Strategic Planning"/>
    <x v="0"/>
    <m/>
    <n v="5137.12"/>
    <n v="4416.37"/>
    <n v="6542.44"/>
    <n v="-289.47000000000003"/>
    <n v="13510.09"/>
    <n v="-12946.59"/>
    <n v="4522.47"/>
    <n v="104420.41"/>
    <n v="-1639.22"/>
    <n v="-4278.08"/>
    <n v="10444.81"/>
    <n v="-9165.34"/>
    <n v="120675.01000000001"/>
    <n v="19610.150000000001"/>
  </r>
  <r>
    <x v="0"/>
    <x v="9"/>
    <x v="0"/>
    <s v="6980501"/>
    <n v="749510"/>
    <s v="RICE Rewards"/>
    <s v="Strategic Planning"/>
    <x v="0"/>
    <n v="5100"/>
    <n v="0"/>
    <n v="0"/>
    <n v="0"/>
    <n v="0"/>
    <n v="0"/>
    <n v="0"/>
    <n v="0"/>
    <n v="710"/>
    <n v="0"/>
    <n v="0"/>
    <n v="50.36"/>
    <n v="0"/>
    <n v="760.36"/>
    <n v="50.36"/>
  </r>
  <r>
    <x v="0"/>
    <x v="9"/>
    <x v="0"/>
    <s v="6980501"/>
    <n v="749530"/>
    <s v="Travel"/>
    <s v="Strategic Planning"/>
    <x v="0"/>
    <m/>
    <n v="1465.39"/>
    <n v="397.32"/>
    <n v="731.36"/>
    <n v="5686.02"/>
    <n v="333.02"/>
    <n v="9856.76"/>
    <n v="5762.98"/>
    <n v="3081.3"/>
    <n v="12924.15"/>
    <n v="10256.700000000001"/>
    <n v="0"/>
    <n v="13232.43"/>
    <n v="63727.43"/>
    <n v="-13232.43"/>
  </r>
  <r>
    <x v="0"/>
    <x v="9"/>
    <x v="0"/>
    <s v="6980501"/>
    <n v="749530"/>
    <s v="Mileage"/>
    <s v="Strategic Planning"/>
    <x v="0"/>
    <n v="1001"/>
    <n v="0"/>
    <n v="41.98"/>
    <n v="128.63"/>
    <n v="68.14"/>
    <n v="134.63"/>
    <n v="0"/>
    <n v="135.72"/>
    <n v="0"/>
    <n v="0"/>
    <n v="75.98"/>
    <n v="0"/>
    <n v="0"/>
    <n v="585.08000000000004"/>
    <n v="0"/>
  </r>
  <r>
    <x v="0"/>
    <x v="9"/>
    <x v="0"/>
    <s v="6980501"/>
    <n v="749535"/>
    <s v="Meetings"/>
    <s v="Strategic Planning"/>
    <x v="0"/>
    <m/>
    <n v="0"/>
    <n v="192.52"/>
    <n v="0"/>
    <n v="125.49"/>
    <n v="55.59"/>
    <n v="411.09"/>
    <n v="400.11"/>
    <n v="166.96"/>
    <n v="32.369999999999997"/>
    <n v="625.63"/>
    <n v="0"/>
    <n v="2210.0700000000002"/>
    <n v="4219.83"/>
    <n v="-2210.0700000000002"/>
  </r>
  <r>
    <x v="0"/>
    <x v="9"/>
    <x v="0"/>
    <s v="6980501"/>
    <n v="749535"/>
    <s v="Medicare Non-Allowable Beverages"/>
    <s v="Strategic Planning"/>
    <x v="0"/>
    <n v="1005"/>
    <n v="0"/>
    <n v="0"/>
    <n v="0"/>
    <n v="0"/>
    <n v="0"/>
    <n v="323.60000000000002"/>
    <n v="150.09"/>
    <n v="28"/>
    <n v="75"/>
    <n v="23.26"/>
    <n v="0"/>
    <n v="392.9"/>
    <n v="992.85"/>
    <n v="-392.9"/>
  </r>
  <r>
    <x v="5"/>
    <x v="9"/>
    <x v="0"/>
    <s v="6982501"/>
    <n v="700026"/>
    <s v="Salaries-RN-Productive"/>
    <s v="Highline Regional Hospital"/>
    <x v="0"/>
    <m/>
    <n v="503.76"/>
    <n v="0"/>
    <n v="0"/>
    <n v="0"/>
    <n v="0"/>
    <n v="0"/>
    <n v="0"/>
    <n v="0"/>
    <n v="0"/>
    <n v="0"/>
    <n v="0"/>
    <n v="0"/>
    <n v="503.76"/>
    <n v="0"/>
  </r>
  <r>
    <x v="5"/>
    <x v="9"/>
    <x v="0"/>
    <s v="6982501"/>
    <n v="700026"/>
    <s v="Salaries-RN-Other"/>
    <s v="Highline Regional Hospital"/>
    <x v="0"/>
    <n v="2000"/>
    <n v="42"/>
    <n v="0"/>
    <n v="0"/>
    <n v="0"/>
    <n v="0"/>
    <n v="0"/>
    <n v="0"/>
    <n v="0"/>
    <n v="0"/>
    <n v="0"/>
    <n v="0"/>
    <n v="0"/>
    <n v="42"/>
    <n v="0"/>
  </r>
  <r>
    <x v="6"/>
    <x v="9"/>
    <x v="0"/>
    <s v="6982501"/>
    <n v="713010"/>
    <s v="Benefits-FICA/Medicare"/>
    <s v="Highline Regional Hospital"/>
    <x v="0"/>
    <m/>
    <n v="41.75"/>
    <n v="0"/>
    <n v="0"/>
    <n v="0"/>
    <n v="0"/>
    <n v="0"/>
    <n v="0"/>
    <n v="0"/>
    <n v="0"/>
    <n v="0"/>
    <n v="0"/>
    <n v="0"/>
    <n v="41.75"/>
    <n v="0"/>
  </r>
  <r>
    <x v="6"/>
    <x v="9"/>
    <x v="0"/>
    <s v="6982501"/>
    <n v="713090"/>
    <s v="Benefits-Allocated Amounts"/>
    <s v="Highline Regional Hospital"/>
    <x v="0"/>
    <m/>
    <n v="91.4"/>
    <n v="-3.18"/>
    <n v="0.44"/>
    <n v="13.16"/>
    <n v="-26.65"/>
    <n v="16.54"/>
    <n v="17.22"/>
    <n v="16.54"/>
    <n v="18.989999999999998"/>
    <n v="17.27"/>
    <n v="-39.380000000000003"/>
    <n v="12.12"/>
    <n v="134.47"/>
    <n v="-51.5"/>
  </r>
  <r>
    <x v="7"/>
    <x v="9"/>
    <x v="0"/>
    <s v="6982501"/>
    <n v="718050"/>
    <s v="Document Shredding/Storage"/>
    <s v="Highline Regional Hospital"/>
    <x v="0"/>
    <n v="1012"/>
    <n v="0"/>
    <n v="0"/>
    <n v="611.94000000000005"/>
    <n v="305.97000000000003"/>
    <n v="-611.94000000000005"/>
    <n v="0"/>
    <n v="0"/>
    <n v="63.21"/>
    <n v="0.76"/>
    <n v="-0.69"/>
    <n v="0"/>
    <n v="0"/>
    <n v="369.25"/>
    <n v="0"/>
  </r>
  <r>
    <x v="5"/>
    <x v="9"/>
    <x v="0"/>
    <s v="6983501"/>
    <n v="700014"/>
    <s v="Salaries-Management-Productive"/>
    <s v="Project Management Office"/>
    <x v="0"/>
    <m/>
    <n v="16815"/>
    <n v="18670.14"/>
    <n v="11960.88"/>
    <n v="18480.34"/>
    <n v="18632.349999999999"/>
    <n v="13983.66"/>
    <n v="19244.55"/>
    <n v="17889.099999999999"/>
    <n v="19964.11"/>
    <n v="13905.66"/>
    <n v="21824.01"/>
    <n v="12839.79"/>
    <n v="204209.59000000003"/>
    <n v="8984.2199999999975"/>
  </r>
  <r>
    <x v="5"/>
    <x v="9"/>
    <x v="0"/>
    <s v="6983501"/>
    <n v="700054"/>
    <s v="Salaries-Management-Non-productive"/>
    <s v="Project Management Office"/>
    <x v="0"/>
    <m/>
    <n v="3712.7"/>
    <n v="1858.52"/>
    <n v="7905.83"/>
    <n v="2440.19"/>
    <n v="1703.68"/>
    <n v="7030.92"/>
    <n v="1802.87"/>
    <n v="1119.54"/>
    <n v="1081.3599999999999"/>
    <n v="6460.2"/>
    <n v="-778.55"/>
    <n v="7527.01"/>
    <n v="41864.269999999997"/>
    <n v="-8305.56"/>
  </r>
  <r>
    <x v="5"/>
    <x v="9"/>
    <x v="0"/>
    <s v="6983501"/>
    <n v="700084"/>
    <s v="Accrued PTO"/>
    <s v="Project Management Office"/>
    <x v="0"/>
    <m/>
    <n v="-921.36"/>
    <n v="932.25"/>
    <n v="-3254.22"/>
    <n v="421.07"/>
    <n v="961.67"/>
    <n v="-3306.44"/>
    <n v="481.63"/>
    <n v="1908.01"/>
    <n v="1438.42"/>
    <n v="-1897.98"/>
    <n v="2380.89"/>
    <n v="-3300.46"/>
    <n v="-4156.5199999999995"/>
    <n v="5681.35"/>
  </r>
  <r>
    <x v="6"/>
    <x v="9"/>
    <x v="0"/>
    <s v="6983501"/>
    <n v="713010"/>
    <s v="Benefits-FICA/Medicare"/>
    <s v="Project Management Office"/>
    <x v="0"/>
    <m/>
    <n v="1567.36"/>
    <n v="1567.43"/>
    <n v="1516.93"/>
    <n v="1597.44"/>
    <n v="1553.33"/>
    <n v="1604.89"/>
    <n v="1605.1"/>
    <n v="1449.8"/>
    <n v="1605.1"/>
    <n v="1553.3"/>
    <n v="1605.09"/>
    <n v="1553.39"/>
    <n v="18779.159999999996"/>
    <n v="51.699999999999818"/>
  </r>
  <r>
    <x v="6"/>
    <x v="9"/>
    <x v="0"/>
    <s v="6983501"/>
    <n v="713090"/>
    <s v="Benefits-Allocated Amounts"/>
    <s v="Project Management Office"/>
    <x v="0"/>
    <m/>
    <n v="2924.63"/>
    <n v="2790.97"/>
    <n v="2696.61"/>
    <n v="2756.01"/>
    <n v="2631.33"/>
    <n v="2878"/>
    <n v="3230.9"/>
    <n v="3050.89"/>
    <n v="3468.41"/>
    <n v="3113.37"/>
    <n v="3302.25"/>
    <n v="2951.47"/>
    <n v="35794.840000000004"/>
    <n v="350.7800000000002"/>
  </r>
  <r>
    <x v="11"/>
    <x v="9"/>
    <x v="0"/>
    <s v="6983501"/>
    <n v="721980"/>
    <s v="Supplies-Other"/>
    <s v="Project Management Office"/>
    <x v="0"/>
    <m/>
    <n v="0"/>
    <n v="0"/>
    <n v="0"/>
    <n v="0"/>
    <n v="37.26"/>
    <n v="0"/>
    <n v="0"/>
    <n v="0"/>
    <n v="0"/>
    <n v="0"/>
    <n v="39.96"/>
    <n v="0"/>
    <n v="77.22"/>
    <n v="39.96"/>
  </r>
  <r>
    <x v="0"/>
    <x v="9"/>
    <x v="0"/>
    <s v="6983501"/>
    <n v="749510"/>
    <s v="Miscellaneous Expenses"/>
    <s v="Project Management Office"/>
    <x v="0"/>
    <m/>
    <n v="0"/>
    <n v="0"/>
    <n v="0"/>
    <n v="80.959999999999994"/>
    <n v="-80.959999999999994"/>
    <n v="0"/>
    <n v="0"/>
    <n v="0"/>
    <n v="0"/>
    <n v="0"/>
    <n v="0"/>
    <n v="0"/>
    <n v="0"/>
    <n v="0"/>
  </r>
  <r>
    <x v="0"/>
    <x v="9"/>
    <x v="0"/>
    <s v="6983501"/>
    <n v="749530"/>
    <s v="Travel"/>
    <s v="Project Management Office"/>
    <x v="0"/>
    <m/>
    <n v="0"/>
    <n v="0"/>
    <n v="0"/>
    <n v="0"/>
    <n v="5"/>
    <n v="0"/>
    <n v="0"/>
    <n v="0"/>
    <n v="0"/>
    <n v="0"/>
    <n v="4"/>
    <n v="0"/>
    <n v="9"/>
    <n v="4"/>
  </r>
  <r>
    <x v="0"/>
    <x v="9"/>
    <x v="0"/>
    <s v="6983501"/>
    <n v="749530"/>
    <s v="Mileage"/>
    <s v="Project Management Office"/>
    <x v="0"/>
    <n v="1001"/>
    <n v="0"/>
    <n v="0"/>
    <n v="11.99"/>
    <n v="0"/>
    <n v="38.700000000000003"/>
    <n v="0"/>
    <n v="0"/>
    <n v="0"/>
    <n v="0"/>
    <n v="0"/>
    <n v="13.92"/>
    <n v="12.76"/>
    <n v="77.37"/>
    <n v="1.1600000000000001"/>
  </r>
  <r>
    <x v="11"/>
    <x v="9"/>
    <x v="0"/>
    <s v="6984501"/>
    <n v="721835"/>
    <s v="Supplies-Forms"/>
    <s v="Float Entity Development"/>
    <x v="0"/>
    <m/>
    <n v="0"/>
    <n v="0"/>
    <n v="0"/>
    <n v="0"/>
    <n v="909.65"/>
    <n v="0"/>
    <n v="0"/>
    <n v="0"/>
    <n v="0"/>
    <n v="0"/>
    <n v="0"/>
    <n v="0"/>
    <n v="909.65"/>
    <n v="0"/>
  </r>
  <r>
    <x v="14"/>
    <x v="1"/>
    <x v="0"/>
    <s v="6985200"/>
    <n v="600050"/>
    <s v="Miscellaneous Revenue"/>
    <s v="COHE-Admin Services"/>
    <x v="0"/>
    <m/>
    <n v="-62175.59"/>
    <n v="-317590.69"/>
    <n v="-138211.28"/>
    <n v="-166823.53"/>
    <n v="-73408.800000000003"/>
    <n v="-132722.34"/>
    <n v="-131580.31"/>
    <n v="-165019.32"/>
    <n v="-131278.32"/>
    <n v="-112683.25"/>
    <n v="-139274.01"/>
    <n v="-120736.72"/>
    <n v="-1691504.1600000001"/>
    <n v="-18537.290000000008"/>
  </r>
  <r>
    <x v="14"/>
    <x v="1"/>
    <x v="0"/>
    <s v="6985200"/>
    <n v="600055"/>
    <s v="Grants"/>
    <s v="COHE-Admin Services"/>
    <x v="0"/>
    <m/>
    <n v="-64807.88"/>
    <n v="64807.88"/>
    <n v="0"/>
    <n v="0"/>
    <n v="0"/>
    <n v="0"/>
    <n v="0"/>
    <n v="0"/>
    <n v="0"/>
    <n v="0"/>
    <n v="0"/>
    <n v="0"/>
    <n v="0"/>
    <n v="0"/>
  </r>
  <r>
    <x v="5"/>
    <x v="1"/>
    <x v="0"/>
    <s v="6985200"/>
    <n v="700014"/>
    <s v="Salaries-Management-Productive"/>
    <s v="COHE-Admin Services"/>
    <x v="0"/>
    <m/>
    <n v="6766.56"/>
    <n v="6202.68"/>
    <n v="5074.92"/>
    <n v="8831.92"/>
    <n v="8960.48"/>
    <n v="3494.61"/>
    <n v="6798.77"/>
    <n v="8206.2900000000009"/>
    <n v="8447.65"/>
    <n v="8849.92"/>
    <n v="1206.82"/>
    <n v="9654.4599999999991"/>
    <n v="82495.080000000016"/>
    <n v="-8447.64"/>
  </r>
  <r>
    <x v="5"/>
    <x v="1"/>
    <x v="0"/>
    <s v="6985200"/>
    <n v="700014"/>
    <s v="Salaries-Management-Other"/>
    <s v="COHE-Admin Services"/>
    <x v="0"/>
    <n v="2000"/>
    <n v="0"/>
    <n v="0"/>
    <n v="0"/>
    <n v="0"/>
    <n v="1546.18"/>
    <n v="0"/>
    <n v="0"/>
    <n v="0"/>
    <n v="0"/>
    <n v="0"/>
    <n v="0"/>
    <n v="0"/>
    <n v="1546.18"/>
    <n v="0"/>
  </r>
  <r>
    <x v="5"/>
    <x v="1"/>
    <x v="0"/>
    <s v="6985200"/>
    <n v="700020"/>
    <s v="Salaries-Physician Admin-Other"/>
    <s v="COHE-Admin Services"/>
    <x v="0"/>
    <n v="2000"/>
    <n v="0"/>
    <n v="0"/>
    <n v="0"/>
    <n v="1120"/>
    <n v="1120"/>
    <n v="0"/>
    <n v="0"/>
    <n v="0"/>
    <n v="2240"/>
    <n v="3360"/>
    <n v="2240"/>
    <n v="0"/>
    <n v="10080"/>
    <n v="2240"/>
  </r>
  <r>
    <x v="5"/>
    <x v="1"/>
    <x v="0"/>
    <s v="6985200"/>
    <n v="700022"/>
    <s v="Salaries-Physician-Productive"/>
    <s v="COHE-Admin Services"/>
    <x v="0"/>
    <m/>
    <n v="3015.39"/>
    <n v="3764.8"/>
    <n v="2235.2800000000002"/>
    <n v="3245.56"/>
    <n v="2803.25"/>
    <n v="2911.54"/>
    <n v="2609.7399999999998"/>
    <n v="3499.84"/>
    <n v="3469.12"/>
    <n v="1682.42"/>
    <n v="3876.78"/>
    <n v="2651.7"/>
    <n v="35765.419999999991"/>
    <n v="1225.0800000000004"/>
  </r>
  <r>
    <x v="5"/>
    <x v="1"/>
    <x v="0"/>
    <s v="6985200"/>
    <n v="700032"/>
    <s v="Salaries-Other Pat Care Providers-Productive"/>
    <s v="COHE-Admin Services"/>
    <x v="0"/>
    <m/>
    <n v="49806.76"/>
    <n v="60073.760000000002"/>
    <n v="51709.2"/>
    <n v="72175.72"/>
    <n v="65092.85"/>
    <n v="48023.64"/>
    <n v="69774.09"/>
    <n v="63491.61"/>
    <n v="73388.58"/>
    <n v="74112.83"/>
    <n v="82544.75"/>
    <n v="64750.67"/>
    <n v="774944.46"/>
    <n v="17794.080000000002"/>
  </r>
  <r>
    <x v="5"/>
    <x v="1"/>
    <x v="0"/>
    <s v="6985200"/>
    <n v="700032"/>
    <s v="Salaries-Other Pat Care Providers-Other"/>
    <s v="COHE-Admin Services"/>
    <x v="0"/>
    <n v="2000"/>
    <n v="0"/>
    <n v="0"/>
    <n v="30"/>
    <n v="0"/>
    <n v="0"/>
    <n v="0"/>
    <n v="30.04"/>
    <n v="60.09"/>
    <n v="-0.01"/>
    <n v="0"/>
    <n v="0"/>
    <n v="0"/>
    <n v="120.11999999999999"/>
    <n v="0"/>
  </r>
  <r>
    <x v="5"/>
    <x v="1"/>
    <x v="0"/>
    <s v="6985200"/>
    <n v="700038"/>
    <s v="Salaries-Service/Support-Productive"/>
    <s v="COHE-Admin Services"/>
    <x v="0"/>
    <m/>
    <n v="2632.21"/>
    <n v="3839.83"/>
    <n v="2958.89"/>
    <n v="3971.78"/>
    <n v="3927.37"/>
    <n v="1064.21"/>
    <n v="0"/>
    <n v="0"/>
    <n v="0"/>
    <n v="3078.12"/>
    <n v="4017.37"/>
    <n v="3361.03"/>
    <n v="28850.809999999998"/>
    <n v="656.33999999999969"/>
  </r>
  <r>
    <x v="5"/>
    <x v="1"/>
    <x v="0"/>
    <s v="6985200"/>
    <n v="700038"/>
    <s v="Salaries-Service/Support-OT"/>
    <s v="COHE-Admin Services"/>
    <x v="0"/>
    <n v="1000"/>
    <n v="0"/>
    <n v="0"/>
    <n v="26.4"/>
    <n v="-8.8000000000000007"/>
    <n v="0"/>
    <n v="0"/>
    <n v="0"/>
    <n v="0"/>
    <n v="0"/>
    <n v="43.28"/>
    <n v="-17.82"/>
    <n v="0"/>
    <n v="43.059999999999995"/>
    <n v="-17.82"/>
  </r>
  <r>
    <x v="5"/>
    <x v="1"/>
    <x v="0"/>
    <s v="6985200"/>
    <n v="700054"/>
    <s v="Salaries-Management-Non-productive"/>
    <s v="COHE-Admin Services"/>
    <x v="0"/>
    <m/>
    <n v="1503.68"/>
    <n v="2443.48"/>
    <n v="2443.48"/>
    <n v="0"/>
    <n v="0"/>
    <n v="4940.66"/>
    <n v="2454"/>
    <n v="-160.9"/>
    <n v="0"/>
    <n v="0"/>
    <n v="8045.37"/>
    <n v="-1609.08"/>
    <n v="20060.690000000002"/>
    <n v="9654.4500000000007"/>
  </r>
  <r>
    <x v="5"/>
    <x v="1"/>
    <x v="0"/>
    <s v="6985200"/>
    <n v="700054"/>
    <s v="Salaries-Management-NonProd-Other"/>
    <s v="COHE-Admin Services"/>
    <x v="0"/>
    <n v="2000"/>
    <n v="0"/>
    <n v="0"/>
    <n v="0"/>
    <n v="0"/>
    <n v="0"/>
    <n v="140.11000000000001"/>
    <n v="-140.11000000000001"/>
    <n v="0"/>
    <n v="0"/>
    <n v="0"/>
    <n v="0"/>
    <n v="0"/>
    <n v="0"/>
    <n v="0"/>
  </r>
  <r>
    <x v="5"/>
    <x v="1"/>
    <x v="0"/>
    <s v="6985200"/>
    <n v="700072"/>
    <s v="Salaries-Other Pat Care Providers-Non-productive"/>
    <s v="COHE-Admin Services"/>
    <x v="0"/>
    <m/>
    <n v="11840.7"/>
    <n v="5855.82"/>
    <n v="7120.31"/>
    <n v="1263.8800000000001"/>
    <n v="4775.84"/>
    <n v="17778.11"/>
    <n v="9619.84"/>
    <n v="5778.06"/>
    <n v="6192.38"/>
    <n v="7945.91"/>
    <n v="3796.58"/>
    <n v="9819.6200000000008"/>
    <n v="91787.05"/>
    <n v="-6023.0400000000009"/>
  </r>
  <r>
    <x v="5"/>
    <x v="1"/>
    <x v="0"/>
    <s v="6985200"/>
    <n v="700072"/>
    <s v="Salaries-Other Pat Care Providers-NonProd-Other"/>
    <s v="COHE-Admin Services"/>
    <x v="0"/>
    <n v="2000"/>
    <n v="0"/>
    <n v="0"/>
    <n v="0"/>
    <n v="0"/>
    <n v="390.02"/>
    <n v="780.04"/>
    <n v="0"/>
    <n v="-1170.06"/>
    <n v="0"/>
    <n v="0"/>
    <n v="0"/>
    <n v="0"/>
    <n v="0"/>
    <n v="0"/>
  </r>
  <r>
    <x v="5"/>
    <x v="1"/>
    <x v="0"/>
    <s v="6985200"/>
    <n v="700078"/>
    <s v="Salaries-Service/Support-Non-productive"/>
    <s v="COHE-Admin Services"/>
    <x v="0"/>
    <m/>
    <n v="1004.08"/>
    <n v="459.24"/>
    <n v="671.54"/>
    <n v="391.51"/>
    <n v="271.76"/>
    <n v="799.68"/>
    <n v="0"/>
    <n v="0"/>
    <n v="0"/>
    <n v="0"/>
    <n v="0"/>
    <n v="333.83"/>
    <n v="3931.64"/>
    <n v="-333.83"/>
  </r>
  <r>
    <x v="5"/>
    <x v="1"/>
    <x v="0"/>
    <s v="6985200"/>
    <n v="700084"/>
    <s v="Accrued PTO"/>
    <s v="COHE-Admin Services"/>
    <x v="0"/>
    <m/>
    <n v="-3955.09"/>
    <n v="484.16"/>
    <n v="-3880.42"/>
    <n v="8550.0499999999993"/>
    <n v="6789.45"/>
    <n v="-10033.370000000001"/>
    <n v="-2031.36"/>
    <n v="6545.62"/>
    <n v="4831.62"/>
    <n v="4487.2"/>
    <n v="406.52"/>
    <n v="2224.2800000000002"/>
    <n v="14418.659999999998"/>
    <n v="-1817.7600000000002"/>
  </r>
  <r>
    <x v="6"/>
    <x v="1"/>
    <x v="0"/>
    <s v="6985200"/>
    <n v="713010"/>
    <s v="Benefits-FICA/Medicare"/>
    <s v="COHE-Admin Services"/>
    <x v="0"/>
    <m/>
    <n v="5291.69"/>
    <n v="5685.03"/>
    <n v="5058.78"/>
    <n v="6319.48"/>
    <n v="6311.6"/>
    <n v="5739.82"/>
    <n v="6641.63"/>
    <n v="6067.88"/>
    <n v="6853.84"/>
    <n v="7209.45"/>
    <n v="7604.8"/>
    <n v="6529.12"/>
    <n v="75313.119999999995"/>
    <n v="1075.6800000000003"/>
  </r>
  <r>
    <x v="6"/>
    <x v="1"/>
    <x v="0"/>
    <s v="6985200"/>
    <n v="713090"/>
    <s v="Benefits-Allocated Amounts"/>
    <s v="COHE-Admin Services"/>
    <x v="0"/>
    <m/>
    <n v="13152.96"/>
    <n v="12595.35"/>
    <n v="13083.34"/>
    <n v="14924.63"/>
    <n v="14753.3"/>
    <n v="14030.45"/>
    <n v="16750.77"/>
    <n v="16409.73"/>
    <n v="15941.5"/>
    <n v="17439.509999999998"/>
    <n v="17901.71"/>
    <n v="18950.419999999998"/>
    <n v="185933.66999999998"/>
    <n v="-1048.7099999999991"/>
  </r>
  <r>
    <x v="6"/>
    <x v="1"/>
    <x v="0"/>
    <s v="6985200"/>
    <n v="713092"/>
    <s v="Allocated Benefits-Physician"/>
    <s v="COHE-Admin Services"/>
    <x v="0"/>
    <m/>
    <n v="0"/>
    <n v="0"/>
    <n v="0"/>
    <n v="0"/>
    <n v="0"/>
    <n v="0"/>
    <n v="0"/>
    <n v="0"/>
    <n v="1619.55"/>
    <n v="214.55"/>
    <n v="220.24"/>
    <n v="233.14"/>
    <n v="2287.48"/>
    <n v="-12.899999999999977"/>
  </r>
  <r>
    <x v="6"/>
    <x v="1"/>
    <x v="0"/>
    <s v="6985200"/>
    <n v="713096"/>
    <s v="Employee Recognition"/>
    <s v="COHE-Admin Services"/>
    <x v="0"/>
    <n v="1017"/>
    <n v="0"/>
    <n v="46.97"/>
    <n v="0"/>
    <n v="0"/>
    <n v="19.71"/>
    <n v="0"/>
    <n v="6.11"/>
    <n v="8.15"/>
    <n v="0"/>
    <n v="0"/>
    <n v="0"/>
    <n v="6.61"/>
    <n v="87.550000000000011"/>
    <n v="-6.61"/>
  </r>
  <r>
    <x v="7"/>
    <x v="1"/>
    <x v="0"/>
    <s v="6985200"/>
    <n v="718010"/>
    <s v="Media/Print Advertising"/>
    <s v="COHE-Admin Services"/>
    <x v="0"/>
    <n v="1004"/>
    <n v="83.02"/>
    <n v="0"/>
    <n v="0"/>
    <n v="74.27"/>
    <n v="0"/>
    <n v="0"/>
    <n v="0"/>
    <n v="0"/>
    <n v="0"/>
    <n v="0"/>
    <n v="0"/>
    <n v="0"/>
    <n v="157.29"/>
    <n v="0"/>
  </r>
  <r>
    <x v="7"/>
    <x v="1"/>
    <x v="0"/>
    <s v="6985200"/>
    <n v="718050"/>
    <s v="Contract Svcs-Other"/>
    <s v="COHE-Admin Services"/>
    <x v="0"/>
    <m/>
    <n v="0"/>
    <n v="0"/>
    <n v="0"/>
    <n v="0"/>
    <n v="0"/>
    <n v="0"/>
    <n v="0"/>
    <n v="0"/>
    <n v="0"/>
    <n v="0"/>
    <n v="275.5"/>
    <n v="0"/>
    <n v="275.5"/>
    <n v="275.5"/>
  </r>
  <r>
    <x v="7"/>
    <x v="1"/>
    <x v="0"/>
    <s v="6985200"/>
    <n v="718050"/>
    <s v="Management Fees"/>
    <s v="COHE-Admin Services"/>
    <x v="0"/>
    <n v="1004"/>
    <n v="0"/>
    <n v="0"/>
    <n v="0"/>
    <n v="0"/>
    <n v="0"/>
    <n v="0"/>
    <n v="0"/>
    <n v="0"/>
    <n v="0"/>
    <n v="9.69"/>
    <n v="0"/>
    <n v="0"/>
    <n v="9.69"/>
    <n v="0"/>
  </r>
  <r>
    <x v="7"/>
    <x v="1"/>
    <x v="0"/>
    <s v="6985200"/>
    <n v="718050"/>
    <s v="Translation Services"/>
    <s v="COHE-Admin Services"/>
    <x v="0"/>
    <n v="1025"/>
    <n v="0"/>
    <n v="0"/>
    <n v="0"/>
    <n v="0"/>
    <n v="34.270000000000003"/>
    <n v="73.84"/>
    <n v="48.6"/>
    <n v="38.15"/>
    <n v="0"/>
    <n v="13.29"/>
    <n v="44.9"/>
    <n v="72.72"/>
    <n v="325.77"/>
    <n v="-27.82"/>
  </r>
  <r>
    <x v="11"/>
    <x v="1"/>
    <x v="0"/>
    <s v="6985200"/>
    <n v="721810"/>
    <s v="Supplies-Dietary/Cafeteria"/>
    <s v="COHE-Admin Services"/>
    <x v="0"/>
    <m/>
    <n v="0"/>
    <n v="0"/>
    <n v="0"/>
    <n v="68.5"/>
    <n v="0"/>
    <n v="0"/>
    <n v="0"/>
    <n v="0"/>
    <n v="0"/>
    <n v="0"/>
    <n v="0"/>
    <n v="0"/>
    <n v="68.5"/>
    <n v="0"/>
  </r>
  <r>
    <x v="11"/>
    <x v="1"/>
    <x v="0"/>
    <s v="6985200"/>
    <n v="721830"/>
    <s v="Supplies-Office"/>
    <s v="COHE-Admin Services"/>
    <x v="0"/>
    <m/>
    <n v="52.39"/>
    <n v="513.11"/>
    <n v="353.71"/>
    <n v="710.52"/>
    <n v="605.14"/>
    <n v="138.96"/>
    <n v="155.91"/>
    <n v="251.46"/>
    <n v="68.16"/>
    <n v="191.41"/>
    <n v="160.80000000000001"/>
    <n v="79.98"/>
    <n v="3281.5499999999997"/>
    <n v="80.820000000000007"/>
  </r>
  <r>
    <x v="11"/>
    <x v="1"/>
    <x v="0"/>
    <s v="6985200"/>
    <n v="721835"/>
    <s v="Supplies-Forms"/>
    <s v="COHE-Admin Services"/>
    <x v="0"/>
    <m/>
    <n v="0"/>
    <n v="0"/>
    <n v="0"/>
    <n v="0"/>
    <n v="16.73"/>
    <n v="0"/>
    <n v="0"/>
    <n v="0"/>
    <n v="0"/>
    <n v="0"/>
    <n v="0"/>
    <n v="289.52"/>
    <n v="306.25"/>
    <n v="-289.52"/>
  </r>
  <r>
    <x v="11"/>
    <x v="1"/>
    <x v="0"/>
    <s v="6985200"/>
    <n v="721910"/>
    <s v="Supplies-Small Equipment"/>
    <s v="COHE-Admin Services"/>
    <x v="0"/>
    <m/>
    <n v="25"/>
    <n v="0"/>
    <n v="0"/>
    <n v="0"/>
    <n v="0"/>
    <n v="1067.6099999999999"/>
    <n v="0"/>
    <n v="463.71"/>
    <n v="1696.76"/>
    <n v="43.61"/>
    <n v="46.95"/>
    <n v="0"/>
    <n v="3343.64"/>
    <n v="46.95"/>
  </r>
  <r>
    <x v="11"/>
    <x v="1"/>
    <x v="0"/>
    <s v="6985200"/>
    <n v="721980"/>
    <s v="Supplies-Other"/>
    <s v="COHE-Admin Services"/>
    <x v="0"/>
    <m/>
    <n v="0"/>
    <n v="0"/>
    <n v="0"/>
    <n v="0"/>
    <n v="0"/>
    <n v="0"/>
    <n v="13.18"/>
    <n v="0"/>
    <n v="-13"/>
    <n v="17.690000000000001"/>
    <n v="0"/>
    <n v="163.49"/>
    <n v="181.36"/>
    <n v="-163.49"/>
  </r>
  <r>
    <x v="11"/>
    <x v="1"/>
    <x v="0"/>
    <s v="6985200"/>
    <n v="722000"/>
    <s v="Supplies-Freight Expense"/>
    <s v="COHE-Admin Services"/>
    <x v="0"/>
    <m/>
    <n v="0"/>
    <n v="0"/>
    <n v="0"/>
    <n v="0"/>
    <n v="0"/>
    <n v="0"/>
    <n v="41.23"/>
    <n v="0"/>
    <n v="-18.54"/>
    <n v="0"/>
    <n v="0"/>
    <n v="0"/>
    <n v="22.689999999999998"/>
    <n v="0"/>
  </r>
  <r>
    <x v="12"/>
    <x v="1"/>
    <x v="0"/>
    <s v="6985200"/>
    <n v="730010"/>
    <s v="Rental and Leases-Building (DO NOT USE)"/>
    <s v="COHE-Admin Services"/>
    <x v="0"/>
    <m/>
    <n v="264.37"/>
    <n v="264.37"/>
    <n v="264.37"/>
    <n v="264.37"/>
    <n v="264.37"/>
    <n v="180.67"/>
    <n v="187"/>
    <n v="187"/>
    <n v="187"/>
    <n v="-231.5"/>
    <n v="187"/>
    <n v="187"/>
    <n v="2206.02"/>
    <n v="0"/>
  </r>
  <r>
    <x v="12"/>
    <x v="1"/>
    <x v="0"/>
    <s v="6985200"/>
    <n v="730010"/>
    <s v="Rental-Common Area Maint (DO NOT USE)"/>
    <s v="COHE-Admin Services"/>
    <x v="0"/>
    <n v="2200"/>
    <n v="0"/>
    <n v="0"/>
    <n v="0"/>
    <n v="0"/>
    <n v="0"/>
    <n v="83.7"/>
    <n v="83.7"/>
    <n v="83.7"/>
    <n v="83.7"/>
    <n v="561.15"/>
    <n v="83.7"/>
    <n v="83.7"/>
    <n v="1063.3500000000001"/>
    <n v="0"/>
  </r>
  <r>
    <x v="12"/>
    <x v="1"/>
    <x v="0"/>
    <s v="6985200"/>
    <n v="730020"/>
    <s v="Rental and Leases-Copier Usage Fees (DO NOT USE)"/>
    <s v="COHE-Admin Services"/>
    <x v="0"/>
    <n v="5100"/>
    <n v="425.45"/>
    <n v="415.15"/>
    <n v="420.3"/>
    <n v="420.3"/>
    <n v="420.3"/>
    <n v="420.3"/>
    <n v="-893.27"/>
    <n v="255.2"/>
    <n v="254.66"/>
    <n v="580.63"/>
    <n v="65.95"/>
    <n v="265.64999999999998"/>
    <n v="3050.6200000000003"/>
    <n v="-199.7"/>
  </r>
  <r>
    <x v="16"/>
    <x v="1"/>
    <x v="0"/>
    <s v="6985200"/>
    <n v="732030"/>
    <s v="Repairs---Other"/>
    <s v="COHE-Admin Services"/>
    <x v="0"/>
    <m/>
    <n v="0"/>
    <n v="0"/>
    <n v="0"/>
    <n v="0"/>
    <n v="0"/>
    <n v="0"/>
    <n v="0"/>
    <n v="0"/>
    <n v="0"/>
    <n v="0"/>
    <n v="15.77"/>
    <n v="0"/>
    <n v="15.77"/>
    <n v="15.77"/>
  </r>
  <r>
    <x v="0"/>
    <x v="1"/>
    <x v="0"/>
    <s v="6985200"/>
    <n v="740010"/>
    <s v="Education-Materials"/>
    <s v="COHE-Admin Services"/>
    <x v="0"/>
    <m/>
    <n v="0"/>
    <n v="0"/>
    <n v="0"/>
    <n v="0"/>
    <n v="0"/>
    <n v="0"/>
    <n v="0"/>
    <n v="25"/>
    <n v="396"/>
    <n v="0"/>
    <n v="0"/>
    <n v="0"/>
    <n v="421"/>
    <n v="0"/>
  </r>
  <r>
    <x v="0"/>
    <x v="1"/>
    <x v="0"/>
    <s v="6985200"/>
    <n v="740020"/>
    <s v="Education-Registration Fees"/>
    <s v="COHE-Admin Services"/>
    <x v="0"/>
    <m/>
    <n v="0"/>
    <n v="0"/>
    <n v="0"/>
    <n v="0"/>
    <n v="0"/>
    <n v="0"/>
    <n v="0"/>
    <n v="0"/>
    <n v="0"/>
    <n v="0"/>
    <n v="0"/>
    <n v="22"/>
    <n v="22"/>
    <n v="-22"/>
  </r>
  <r>
    <x v="0"/>
    <x v="1"/>
    <x v="0"/>
    <s v="6985200"/>
    <n v="742040"/>
    <s v="Freight-Other"/>
    <s v="COHE-Admin Services"/>
    <x v="0"/>
    <m/>
    <n v="0"/>
    <n v="0"/>
    <n v="0"/>
    <n v="8.75"/>
    <n v="0"/>
    <n v="0"/>
    <n v="0"/>
    <n v="0"/>
    <n v="41"/>
    <n v="0"/>
    <n v="0"/>
    <n v="0"/>
    <n v="49.75"/>
    <n v="0"/>
  </r>
  <r>
    <x v="0"/>
    <x v="1"/>
    <x v="0"/>
    <s v="6985200"/>
    <n v="743010"/>
    <s v="Dues--Institutional"/>
    <s v="COHE-Admin Services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6985200"/>
    <n v="749510"/>
    <s v="Miscellaneous Expenses"/>
    <s v="COHE-Admin Services"/>
    <x v="0"/>
    <m/>
    <n v="-219.09"/>
    <n v="-254.12"/>
    <n v="483.62"/>
    <n v="255.51"/>
    <n v="1323.44"/>
    <n v="58.03"/>
    <n v="317.33999999999997"/>
    <n v="-280.38"/>
    <n v="-1666.25"/>
    <n v="-32.51"/>
    <n v="-347.16"/>
    <n v="342.87"/>
    <n v="-18.700000000000102"/>
    <n v="-690.03"/>
  </r>
  <r>
    <x v="0"/>
    <x v="1"/>
    <x v="0"/>
    <s v="6985200"/>
    <n v="749510"/>
    <s v="RICE Rewards"/>
    <s v="COHE-Admin Services"/>
    <x v="0"/>
    <n v="5100"/>
    <n v="0"/>
    <n v="0"/>
    <n v="0"/>
    <n v="0"/>
    <n v="0"/>
    <n v="742.16"/>
    <n v="0"/>
    <n v="0"/>
    <n v="0"/>
    <n v="0"/>
    <n v="0"/>
    <n v="709.5"/>
    <n v="1451.6599999999999"/>
    <n v="-709.5"/>
  </r>
  <r>
    <x v="0"/>
    <x v="1"/>
    <x v="0"/>
    <s v="6985200"/>
    <n v="749530"/>
    <s v="Travel"/>
    <s v="COHE-Admin Services"/>
    <x v="0"/>
    <m/>
    <n v="0"/>
    <n v="66.430000000000007"/>
    <n v="18.2"/>
    <n v="1124.9000000000001"/>
    <n v="102.15"/>
    <n v="18"/>
    <n v="607.80999999999995"/>
    <n v="468.06"/>
    <n v="9.1"/>
    <n v="516.55999999999995"/>
    <n v="170.25"/>
    <n v="0"/>
    <n v="3101.46"/>
    <n v="170.25"/>
  </r>
  <r>
    <x v="0"/>
    <x v="1"/>
    <x v="0"/>
    <s v="6985200"/>
    <n v="749530"/>
    <s v="Mileage"/>
    <s v="COHE-Admin Services"/>
    <x v="0"/>
    <n v="1001"/>
    <n v="161.35"/>
    <n v="339.56"/>
    <n v="196.21"/>
    <n v="329.75"/>
    <n v="554.84"/>
    <n v="217.47"/>
    <n v="196.58"/>
    <n v="489.52"/>
    <n v="256.36"/>
    <n v="139.78"/>
    <n v="215.76"/>
    <n v="3.48"/>
    <n v="3100.6600000000003"/>
    <n v="212.28"/>
  </r>
  <r>
    <x v="0"/>
    <x v="1"/>
    <x v="0"/>
    <s v="6985200"/>
    <n v="749535"/>
    <s v="Meetings"/>
    <s v="COHE-Admin Services"/>
    <x v="0"/>
    <m/>
    <n v="0"/>
    <n v="508.2"/>
    <n v="69.95"/>
    <n v="724.39"/>
    <n v="471.05"/>
    <n v="0"/>
    <n v="463"/>
    <n v="68.2"/>
    <n v="371.97"/>
    <n v="339.69"/>
    <n v="202.7"/>
    <n v="137.04"/>
    <n v="3356.19"/>
    <n v="65.66"/>
  </r>
  <r>
    <x v="0"/>
    <x v="1"/>
    <x v="0"/>
    <s v="6985200"/>
    <n v="749535"/>
    <s v="Medicare Non-Allowable Beverages"/>
    <s v="COHE-Admin Services"/>
    <x v="0"/>
    <n v="1005"/>
    <n v="0"/>
    <n v="0"/>
    <n v="0"/>
    <n v="22.5"/>
    <n v="0"/>
    <n v="0"/>
    <n v="0"/>
    <n v="0"/>
    <n v="0"/>
    <n v="0"/>
    <n v="0"/>
    <n v="0"/>
    <n v="22.5"/>
    <n v="0"/>
  </r>
  <r>
    <x v="5"/>
    <x v="5"/>
    <x v="0"/>
    <s v="6986106"/>
    <n v="700014"/>
    <s v="Salaries-Management-Productive"/>
    <s v="Kaizen Promotion Office"/>
    <x v="0"/>
    <m/>
    <n v="7908.09"/>
    <n v="10683.1"/>
    <n v="9920.32"/>
    <n v="11078.36"/>
    <n v="10796.28"/>
    <n v="7269.91"/>
    <n v="10524.53"/>
    <n v="10091.58"/>
    <n v="8650.01"/>
    <n v="6487.38"/>
    <n v="12974.74"/>
    <n v="10308.049999999999"/>
    <n v="116692.35"/>
    <n v="2666.6900000000005"/>
  </r>
  <r>
    <x v="5"/>
    <x v="5"/>
    <x v="0"/>
    <s v="6986106"/>
    <n v="700026"/>
    <s v="Salaries-RN-Productive"/>
    <s v="Kaizen Promotion Office"/>
    <x v="0"/>
    <m/>
    <n v="0"/>
    <n v="0"/>
    <n v="0"/>
    <n v="0"/>
    <n v="0"/>
    <n v="0"/>
    <n v="0"/>
    <n v="0"/>
    <n v="0"/>
    <n v="0"/>
    <n v="0"/>
    <n v="2856.35"/>
    <n v="2856.35"/>
    <n v="-2856.35"/>
  </r>
  <r>
    <x v="5"/>
    <x v="5"/>
    <x v="0"/>
    <s v="6986106"/>
    <n v="700026"/>
    <s v="Salaries-RN-Other"/>
    <s v="Kaizen Promotion Office"/>
    <x v="0"/>
    <n v="2000"/>
    <n v="0"/>
    <n v="0"/>
    <n v="0"/>
    <n v="0"/>
    <n v="0"/>
    <n v="0"/>
    <n v="0"/>
    <n v="0"/>
    <n v="0"/>
    <n v="0"/>
    <n v="0"/>
    <n v="104.43"/>
    <n v="104.43"/>
    <n v="-104.43"/>
  </r>
  <r>
    <x v="5"/>
    <x v="5"/>
    <x v="0"/>
    <s v="6986106"/>
    <n v="700032"/>
    <s v="Salaries-Other Pat Care Providers-Productive"/>
    <s v="Kaizen Promotion Office"/>
    <x v="0"/>
    <m/>
    <n v="0"/>
    <n v="0"/>
    <n v="0"/>
    <n v="0"/>
    <n v="0"/>
    <n v="0"/>
    <n v="0"/>
    <n v="0"/>
    <n v="0"/>
    <n v="0"/>
    <n v="0"/>
    <n v="916.07"/>
    <n v="916.07"/>
    <n v="-916.07"/>
  </r>
  <r>
    <x v="5"/>
    <x v="5"/>
    <x v="0"/>
    <s v="6986106"/>
    <n v="700032"/>
    <s v="Salaries-Other Pat Care Providers-OT"/>
    <s v="Kaizen Promotion Office"/>
    <x v="0"/>
    <n v="1000"/>
    <n v="0"/>
    <n v="0"/>
    <n v="0"/>
    <n v="0"/>
    <n v="0"/>
    <n v="0"/>
    <n v="0"/>
    <n v="0"/>
    <n v="0"/>
    <n v="0"/>
    <n v="0"/>
    <n v="56.11"/>
    <n v="56.11"/>
    <n v="-56.11"/>
  </r>
  <r>
    <x v="5"/>
    <x v="5"/>
    <x v="0"/>
    <s v="6986106"/>
    <n v="700032"/>
    <s v="Salaries-Other Pat Care Providers-Other"/>
    <s v="Kaizen Promotion Office"/>
    <x v="0"/>
    <n v="2000"/>
    <n v="0"/>
    <n v="0"/>
    <n v="0"/>
    <n v="0"/>
    <n v="0"/>
    <n v="0"/>
    <n v="0"/>
    <n v="0"/>
    <n v="0"/>
    <n v="0"/>
    <n v="0"/>
    <n v="26.78"/>
    <n v="26.78"/>
    <n v="-26.78"/>
  </r>
  <r>
    <x v="5"/>
    <x v="5"/>
    <x v="0"/>
    <s v="6986106"/>
    <n v="700034"/>
    <s v="Salaries-Tech/Professional-Productive"/>
    <s v="Kaizen Promotion Office"/>
    <x v="0"/>
    <m/>
    <n v="9912.5300000000007"/>
    <n v="9912.9699999999993"/>
    <n v="9593.34"/>
    <n v="10112.98"/>
    <n v="9832.8799999999992"/>
    <n v="7145.58"/>
    <n v="9519.86"/>
    <n v="9191.06"/>
    <n v="10175.879999999999"/>
    <n v="5908.48"/>
    <n v="21444.21"/>
    <n v="20085.82"/>
    <n v="132835.59"/>
    <n v="1358.3899999999994"/>
  </r>
  <r>
    <x v="5"/>
    <x v="5"/>
    <x v="0"/>
    <s v="6986106"/>
    <n v="700054"/>
    <s v="Salaries-Management-Non-productive"/>
    <s v="Kaizen Promotion Office"/>
    <x v="0"/>
    <m/>
    <n v="2844.06"/>
    <n v="69.540000000000006"/>
    <n v="485.6"/>
    <n v="0"/>
    <n v="0"/>
    <n v="3886.62"/>
    <n v="649.41"/>
    <n v="0"/>
    <n v="2522.89"/>
    <n v="4324.7299999999996"/>
    <n v="-1801.84"/>
    <n v="504.57"/>
    <n v="13485.579999999998"/>
    <n v="-2306.41"/>
  </r>
  <r>
    <x v="5"/>
    <x v="5"/>
    <x v="0"/>
    <s v="6986106"/>
    <n v="700054"/>
    <s v="Salaries-Management-NonProd-Other"/>
    <s v="Kaizen Promotion Office"/>
    <x v="0"/>
    <n v="2000"/>
    <n v="0"/>
    <n v="0"/>
    <n v="0"/>
    <n v="0"/>
    <n v="334.41"/>
    <n v="0"/>
    <n v="0"/>
    <n v="-334.41"/>
    <n v="0"/>
    <n v="0"/>
    <n v="0"/>
    <n v="0"/>
    <n v="0"/>
    <n v="0"/>
  </r>
  <r>
    <x v="5"/>
    <x v="5"/>
    <x v="0"/>
    <s v="6986106"/>
    <n v="700074"/>
    <s v="Salaries-Tech/Professional-Non-productive"/>
    <s v="Kaizen Promotion Office"/>
    <x v="0"/>
    <m/>
    <n v="0"/>
    <n v="0"/>
    <n v="0"/>
    <n v="0"/>
    <n v="0"/>
    <n v="3015.39"/>
    <n v="656.99"/>
    <n v="0"/>
    <n v="0"/>
    <n v="3938.81"/>
    <n v="-1641.05"/>
    <n v="459.55"/>
    <n v="6429.6900000000005"/>
    <n v="-2100.6"/>
  </r>
  <r>
    <x v="5"/>
    <x v="5"/>
    <x v="0"/>
    <s v="6986106"/>
    <n v="700084"/>
    <s v="Accrued PTO"/>
    <s v="Kaizen Promotion Office"/>
    <x v="0"/>
    <m/>
    <n v="335.78"/>
    <n v="1904.06"/>
    <n v="1989.62"/>
    <n v="3448.05"/>
    <n v="2553.71"/>
    <n v="-2451.13"/>
    <n v="627.65"/>
    <n v="2553.6999999999998"/>
    <n v="33.880000000000003"/>
    <n v="-2260.5300000000002"/>
    <n v="9030.2000000000007"/>
    <n v="4878.95"/>
    <n v="22643.940000000002"/>
    <n v="4151.2500000000009"/>
  </r>
  <r>
    <x v="6"/>
    <x v="5"/>
    <x v="0"/>
    <s v="6986106"/>
    <n v="713010"/>
    <s v="Benefits-FICA/Medicare"/>
    <s v="Kaizen Promotion Office"/>
    <x v="0"/>
    <m/>
    <n v="1535.3"/>
    <n v="1535.44"/>
    <n v="1485.91"/>
    <n v="1575.61"/>
    <n v="1620.72"/>
    <n v="1382.52"/>
    <n v="1546.31"/>
    <n v="1396.65"/>
    <n v="1546.33"/>
    <n v="1496.39"/>
    <n v="2262.75"/>
    <n v="2588"/>
    <n v="19971.93"/>
    <n v="-325.25"/>
  </r>
  <r>
    <x v="6"/>
    <x v="5"/>
    <x v="0"/>
    <s v="6986106"/>
    <n v="713090"/>
    <s v="Benefits-Allocated Amounts"/>
    <s v="Kaizen Promotion Office"/>
    <x v="0"/>
    <m/>
    <n v="3515.68"/>
    <n v="3684.59"/>
    <n v="3443.54"/>
    <n v="3494.44"/>
    <n v="3578.94"/>
    <n v="3287.23"/>
    <n v="3579.27"/>
    <n v="3473.5"/>
    <n v="3418.67"/>
    <n v="3314.53"/>
    <n v="5569.08"/>
    <n v="6194.8"/>
    <n v="46554.270000000004"/>
    <n v="-625.72000000000025"/>
  </r>
  <r>
    <x v="17"/>
    <x v="5"/>
    <x v="0"/>
    <s v="6986106"/>
    <n v="714510"/>
    <s v="Medical Director Fees"/>
    <s v="Kaizen Promotion Office"/>
    <x v="0"/>
    <m/>
    <n v="0"/>
    <n v="0"/>
    <n v="0"/>
    <n v="0"/>
    <n v="0"/>
    <n v="0"/>
    <n v="0"/>
    <n v="0"/>
    <n v="0"/>
    <n v="0"/>
    <n v="900"/>
    <n v="0"/>
    <n v="900"/>
    <n v="900"/>
  </r>
  <r>
    <x v="7"/>
    <x v="5"/>
    <x v="0"/>
    <s v="6986106"/>
    <n v="718050"/>
    <s v="Miscellaneous Purchased Svcs"/>
    <s v="Kaizen Promotion Office"/>
    <x v="0"/>
    <n v="1020"/>
    <n v="43839.46"/>
    <n v="209417.64"/>
    <n v="0"/>
    <n v="0"/>
    <n v="20618.18"/>
    <n v="20618.18"/>
    <n v="-65978.179999999993"/>
    <n v="-20618.18"/>
    <n v="0"/>
    <n v="45000"/>
    <n v="0"/>
    <n v="0"/>
    <n v="252897.10000000003"/>
    <n v="0"/>
  </r>
  <r>
    <x v="11"/>
    <x v="5"/>
    <x v="0"/>
    <s v="6986106"/>
    <n v="721810"/>
    <s v="Supplies-Dietary/Cafeteria"/>
    <s v="Kaizen Promotion Office"/>
    <x v="0"/>
    <m/>
    <n v="440.14"/>
    <n v="232.48"/>
    <n v="193.6"/>
    <n v="391.23"/>
    <n v="485.24"/>
    <n v="383.67"/>
    <n v="341.65"/>
    <n v="47.74"/>
    <n v="1275.95"/>
    <n v="304.01"/>
    <n v="635.64"/>
    <n v="454.14"/>
    <n v="5185.4900000000007"/>
    <n v="181.5"/>
  </r>
  <r>
    <x v="11"/>
    <x v="5"/>
    <x v="0"/>
    <s v="6986106"/>
    <n v="721830"/>
    <s v="Supplies-Office"/>
    <s v="Kaizen Promotion Office"/>
    <x v="0"/>
    <m/>
    <n v="0"/>
    <n v="7202.47"/>
    <n v="0"/>
    <n v="49.1"/>
    <n v="0"/>
    <n v="0"/>
    <n v="0"/>
    <n v="208.73"/>
    <n v="0"/>
    <n v="219.18"/>
    <n v="125.99"/>
    <n v="0"/>
    <n v="7805.47"/>
    <n v="125.99"/>
  </r>
  <r>
    <x v="11"/>
    <x v="5"/>
    <x v="0"/>
    <s v="6986106"/>
    <n v="721835"/>
    <s v="Supplies-Forms"/>
    <s v="Kaizen Promotion Office"/>
    <x v="0"/>
    <m/>
    <n v="0"/>
    <n v="0"/>
    <n v="0"/>
    <n v="0"/>
    <n v="685.18"/>
    <n v="132.58000000000001"/>
    <n v="50.75"/>
    <n v="0"/>
    <n v="492.48"/>
    <n v="94.7"/>
    <n v="9.15"/>
    <n v="0"/>
    <n v="1464.8400000000001"/>
    <n v="9.15"/>
  </r>
  <r>
    <x v="11"/>
    <x v="5"/>
    <x v="0"/>
    <s v="6986106"/>
    <n v="721910"/>
    <s v="Supplies-Small Equipment"/>
    <s v="Kaizen Promotion Office"/>
    <x v="0"/>
    <m/>
    <n v="0"/>
    <n v="659.7"/>
    <n v="0"/>
    <n v="0"/>
    <n v="0"/>
    <n v="72.62"/>
    <n v="7.33"/>
    <n v="0"/>
    <n v="0"/>
    <n v="0"/>
    <n v="0"/>
    <n v="0"/>
    <n v="739.65000000000009"/>
    <n v="0"/>
  </r>
  <r>
    <x v="11"/>
    <x v="5"/>
    <x v="0"/>
    <s v="6986106"/>
    <n v="721980"/>
    <s v="Supplies-Other"/>
    <s v="Kaizen Promotion Office"/>
    <x v="0"/>
    <m/>
    <n v="0"/>
    <n v="0"/>
    <n v="0"/>
    <n v="0"/>
    <n v="0"/>
    <n v="0"/>
    <n v="0"/>
    <n v="0"/>
    <n v="0"/>
    <n v="0"/>
    <n v="15.99"/>
    <n v="0"/>
    <n v="15.99"/>
    <n v="15.99"/>
  </r>
  <r>
    <x v="16"/>
    <x v="5"/>
    <x v="0"/>
    <s v="6986106"/>
    <n v="732030"/>
    <s v="Repairs---Other"/>
    <s v="Kaizen Promotion Office"/>
    <x v="0"/>
    <m/>
    <n v="0"/>
    <n v="0"/>
    <n v="453.75"/>
    <n v="0"/>
    <n v="0"/>
    <n v="0"/>
    <n v="0"/>
    <n v="0"/>
    <n v="0"/>
    <n v="0"/>
    <n v="0"/>
    <n v="0"/>
    <n v="453.75"/>
    <n v="0"/>
  </r>
  <r>
    <x v="0"/>
    <x v="5"/>
    <x v="0"/>
    <s v="6986106"/>
    <n v="749510"/>
    <s v="Miscellaneous Expenses"/>
    <s v="Kaizen Promotion Office"/>
    <x v="0"/>
    <m/>
    <n v="0"/>
    <n v="1683.97"/>
    <n v="0"/>
    <n v="236.03"/>
    <n v="-236.03"/>
    <n v="0"/>
    <n v="0"/>
    <n v="3297.31"/>
    <n v="1042.67"/>
    <n v="0"/>
    <n v="0"/>
    <n v="0"/>
    <n v="6023.95"/>
    <n v="0"/>
  </r>
  <r>
    <x v="0"/>
    <x v="5"/>
    <x v="0"/>
    <s v="6986106"/>
    <n v="749530"/>
    <s v="Travel"/>
    <s v="Kaizen Promotion Office"/>
    <x v="0"/>
    <m/>
    <n v="0"/>
    <n v="0"/>
    <n v="0"/>
    <n v="0"/>
    <n v="0"/>
    <n v="0"/>
    <n v="154"/>
    <n v="0"/>
    <n v="0"/>
    <n v="0"/>
    <n v="35"/>
    <n v="0"/>
    <n v="189"/>
    <n v="35"/>
  </r>
  <r>
    <x v="0"/>
    <x v="5"/>
    <x v="0"/>
    <s v="6986106"/>
    <n v="749530"/>
    <s v="Mileage"/>
    <s v="Kaizen Promotion Office"/>
    <x v="0"/>
    <n v="1001"/>
    <n v="0"/>
    <n v="0"/>
    <n v="0"/>
    <n v="0"/>
    <n v="236.03"/>
    <n v="0"/>
    <n v="0"/>
    <n v="0"/>
    <n v="0"/>
    <n v="0"/>
    <n v="141.91999999999999"/>
    <n v="0"/>
    <n v="377.95"/>
    <n v="141.91999999999999"/>
  </r>
  <r>
    <x v="5"/>
    <x v="1"/>
    <x v="0"/>
    <s v="6987200"/>
    <n v="700034"/>
    <s v="Salaries-Tech/Professional-Productive"/>
    <s v="COHE-Retain Grant"/>
    <x v="0"/>
    <m/>
    <n v="0"/>
    <n v="0"/>
    <n v="0"/>
    <n v="0"/>
    <n v="0"/>
    <n v="0"/>
    <n v="0"/>
    <n v="0"/>
    <n v="0"/>
    <n v="0"/>
    <n v="0"/>
    <n v="3044.46"/>
    <n v="3044.46"/>
    <n v="-3044.46"/>
  </r>
  <r>
    <x v="5"/>
    <x v="1"/>
    <x v="0"/>
    <s v="6987200"/>
    <n v="700084"/>
    <s v="Accrued PTO"/>
    <s v="COHE-Retain Grant"/>
    <x v="0"/>
    <m/>
    <n v="0"/>
    <n v="0"/>
    <n v="0"/>
    <n v="0"/>
    <n v="0"/>
    <n v="0"/>
    <n v="0"/>
    <n v="0"/>
    <n v="0"/>
    <n v="0"/>
    <n v="0"/>
    <n v="894.74"/>
    <n v="894.74"/>
    <n v="-894.74"/>
  </r>
  <r>
    <x v="6"/>
    <x v="1"/>
    <x v="0"/>
    <s v="6987200"/>
    <n v="713010"/>
    <s v="Benefits-FICA/Medicare"/>
    <s v="COHE-Retain Grant"/>
    <x v="0"/>
    <m/>
    <n v="0"/>
    <n v="0"/>
    <n v="0"/>
    <n v="0"/>
    <n v="0"/>
    <n v="0"/>
    <n v="0"/>
    <n v="0"/>
    <n v="0"/>
    <n v="0"/>
    <n v="0"/>
    <n v="214.99"/>
    <n v="214.99"/>
    <n v="-214.99"/>
  </r>
  <r>
    <x v="6"/>
    <x v="1"/>
    <x v="0"/>
    <s v="6987200"/>
    <n v="713090"/>
    <s v="Benefits-Allocated Amounts"/>
    <s v="COHE-Retain Grant"/>
    <x v="0"/>
    <m/>
    <n v="0"/>
    <n v="0"/>
    <n v="0"/>
    <n v="0"/>
    <n v="0"/>
    <n v="0"/>
    <n v="0"/>
    <n v="0"/>
    <n v="0"/>
    <n v="0"/>
    <n v="0"/>
    <n v="682.79"/>
    <n v="682.79"/>
    <n v="-682.79"/>
  </r>
  <r>
    <x v="0"/>
    <x v="1"/>
    <x v="0"/>
    <s v="6987200"/>
    <n v="749530"/>
    <s v="Travel"/>
    <s v="COHE-Retain Grant"/>
    <x v="0"/>
    <m/>
    <n v="0"/>
    <n v="0"/>
    <n v="0"/>
    <n v="0"/>
    <n v="0"/>
    <n v="0"/>
    <n v="0"/>
    <n v="0"/>
    <n v="0"/>
    <n v="0"/>
    <n v="0"/>
    <n v="35.65"/>
    <n v="35.65"/>
    <n v="-35.65"/>
  </r>
  <r>
    <x v="0"/>
    <x v="1"/>
    <x v="0"/>
    <s v="6987200"/>
    <n v="749530"/>
    <s v="Mileage"/>
    <s v="COHE-Retain Grant"/>
    <x v="0"/>
    <n v="1001"/>
    <n v="0"/>
    <n v="0"/>
    <n v="0"/>
    <n v="0"/>
    <n v="0"/>
    <n v="0"/>
    <n v="0"/>
    <n v="0"/>
    <n v="0"/>
    <n v="0"/>
    <n v="0"/>
    <n v="63.8"/>
    <n v="63.8"/>
    <n v="-63.8"/>
  </r>
  <r>
    <x v="0"/>
    <x v="1"/>
    <x v="0"/>
    <s v="6987200"/>
    <n v="749535"/>
    <s v="Meetings"/>
    <s v="COHE-Retain Grant"/>
    <x v="0"/>
    <m/>
    <n v="0"/>
    <n v="0"/>
    <n v="0"/>
    <n v="0"/>
    <n v="0"/>
    <n v="0"/>
    <n v="0"/>
    <n v="0"/>
    <n v="0"/>
    <n v="0"/>
    <n v="135.44999999999999"/>
    <n v="100.96"/>
    <n v="236.40999999999997"/>
    <n v="34.489999999999995"/>
  </r>
  <r>
    <x v="5"/>
    <x v="6"/>
    <x v="0"/>
    <s v="6990107"/>
    <n v="700026"/>
    <s v="Salaries-RN-Productive"/>
    <s v="Emergency Preparedness"/>
    <x v="0"/>
    <m/>
    <n v="0"/>
    <n v="0"/>
    <n v="0"/>
    <n v="0"/>
    <n v="351.28"/>
    <n v="41.02"/>
    <n v="-5.12"/>
    <n v="0"/>
    <n v="0"/>
    <n v="0"/>
    <n v="0"/>
    <n v="0"/>
    <n v="387.17999999999995"/>
    <n v="0"/>
  </r>
  <r>
    <x v="5"/>
    <x v="6"/>
    <x v="0"/>
    <s v="6990107"/>
    <n v="700026"/>
    <s v="Salaries-RN-Other"/>
    <s v="Emergency Preparedness"/>
    <x v="0"/>
    <n v="2000"/>
    <n v="0"/>
    <n v="0"/>
    <n v="0"/>
    <n v="0"/>
    <n v="22"/>
    <n v="0"/>
    <n v="0"/>
    <n v="0"/>
    <n v="0"/>
    <n v="0"/>
    <n v="0"/>
    <n v="0"/>
    <n v="22"/>
    <n v="0"/>
  </r>
  <r>
    <x v="5"/>
    <x v="6"/>
    <x v="0"/>
    <s v="6990107"/>
    <n v="700032"/>
    <s v="Salaries-Other Pat Care Providers-Productive"/>
    <s v="Emergency Preparedness"/>
    <x v="0"/>
    <m/>
    <n v="0"/>
    <n v="0"/>
    <n v="313.23"/>
    <n v="1856.97"/>
    <n v="-67.83"/>
    <n v="0"/>
    <n v="0"/>
    <n v="0"/>
    <n v="0"/>
    <n v="0"/>
    <n v="358.15"/>
    <n v="43.12"/>
    <n v="2503.64"/>
    <n v="315.02999999999997"/>
  </r>
  <r>
    <x v="5"/>
    <x v="6"/>
    <x v="0"/>
    <s v="6990107"/>
    <n v="700032"/>
    <s v="Salaries-Other Pat Care Providers-OT"/>
    <s v="Emergency Preparedness"/>
    <x v="0"/>
    <n v="1000"/>
    <n v="0"/>
    <n v="0"/>
    <n v="0"/>
    <n v="0"/>
    <n v="0"/>
    <n v="0"/>
    <n v="0"/>
    <n v="0"/>
    <n v="0"/>
    <n v="0"/>
    <n v="0"/>
    <n v="47.87"/>
    <n v="47.87"/>
    <n v="-47.87"/>
  </r>
  <r>
    <x v="5"/>
    <x v="6"/>
    <x v="0"/>
    <s v="6990107"/>
    <n v="700032"/>
    <s v="Salaries-Other Pat Care Providers-Other"/>
    <s v="Emergency Preparedness"/>
    <x v="0"/>
    <n v="2000"/>
    <n v="0"/>
    <n v="0"/>
    <n v="5.4"/>
    <n v="0"/>
    <n v="0"/>
    <n v="0"/>
    <n v="0"/>
    <n v="0"/>
    <n v="0"/>
    <n v="0"/>
    <n v="0"/>
    <n v="2.4700000000000002"/>
    <n v="7.870000000000001"/>
    <n v="-2.4700000000000002"/>
  </r>
  <r>
    <x v="5"/>
    <x v="6"/>
    <x v="0"/>
    <s v="6990107"/>
    <n v="700034"/>
    <s v="Salaries-Tech/Professional-Productive"/>
    <s v="Emergency Preparedness"/>
    <x v="0"/>
    <m/>
    <n v="0"/>
    <n v="0"/>
    <n v="214.35"/>
    <n v="0"/>
    <n v="0"/>
    <n v="42.87"/>
    <n v="0"/>
    <n v="0"/>
    <n v="0"/>
    <n v="0"/>
    <n v="928.11"/>
    <n v="-446.84"/>
    <n v="738.49"/>
    <n v="1374.95"/>
  </r>
  <r>
    <x v="5"/>
    <x v="6"/>
    <x v="0"/>
    <s v="6990107"/>
    <n v="700034"/>
    <s v="Salaries-Tech/Professional-Other"/>
    <s v="Emergency Preparedness"/>
    <x v="0"/>
    <n v="2000"/>
    <n v="0"/>
    <n v="0"/>
    <n v="0"/>
    <n v="0"/>
    <n v="0"/>
    <n v="0"/>
    <n v="0"/>
    <n v="0"/>
    <n v="0"/>
    <n v="0"/>
    <n v="12.35"/>
    <n v="-5.94"/>
    <n v="6.4099999999999993"/>
    <n v="18.29"/>
  </r>
  <r>
    <x v="6"/>
    <x v="6"/>
    <x v="0"/>
    <s v="6990107"/>
    <n v="713010"/>
    <s v="Benefits-FICA/Medicare"/>
    <s v="Emergency Preparedness"/>
    <x v="0"/>
    <m/>
    <n v="0"/>
    <n v="0"/>
    <n v="40.770000000000003"/>
    <n v="142.04"/>
    <n v="19.059999999999999"/>
    <n v="6.41"/>
    <n v="-0.38"/>
    <n v="0"/>
    <n v="0"/>
    <n v="0"/>
    <n v="98.73"/>
    <n v="-27.21"/>
    <n v="279.42"/>
    <n v="125.94"/>
  </r>
  <r>
    <x v="6"/>
    <x v="6"/>
    <x v="0"/>
    <s v="6990107"/>
    <n v="713090"/>
    <s v="Benefits-Allocated Amounts"/>
    <s v="Emergency Preparedness"/>
    <x v="0"/>
    <m/>
    <n v="0"/>
    <n v="0"/>
    <n v="103.9"/>
    <n v="484.09"/>
    <n v="80.81"/>
    <n v="-39.21"/>
    <n v="-17.079999999999998"/>
    <n v="62.19"/>
    <n v="-58.33"/>
    <n v="74.12"/>
    <n v="271.45999999999998"/>
    <n v="-116.26"/>
    <n v="845.68999999999983"/>
    <n v="387.71999999999997"/>
  </r>
  <r>
    <x v="11"/>
    <x v="6"/>
    <x v="0"/>
    <s v="6990107"/>
    <n v="721810"/>
    <s v="Supplies-Dietary/Cafeteria"/>
    <s v="Emergency Preparedness"/>
    <x v="0"/>
    <m/>
    <n v="0"/>
    <n v="0"/>
    <n v="0"/>
    <n v="0"/>
    <n v="0"/>
    <n v="0"/>
    <n v="0"/>
    <n v="0"/>
    <n v="0"/>
    <n v="0"/>
    <n v="2.2000000000000002"/>
    <n v="0"/>
    <n v="2.2000000000000002"/>
    <n v="2.2000000000000002"/>
  </r>
  <r>
    <x v="11"/>
    <x v="6"/>
    <x v="0"/>
    <s v="6990107"/>
    <n v="721830"/>
    <s v="Supplies-Office"/>
    <s v="Emergency Preparedness"/>
    <x v="0"/>
    <m/>
    <n v="0"/>
    <n v="0"/>
    <n v="0"/>
    <n v="0"/>
    <n v="0"/>
    <n v="0"/>
    <n v="0"/>
    <n v="0"/>
    <n v="0"/>
    <n v="0"/>
    <n v="0"/>
    <n v="0"/>
    <n v="0"/>
    <n v="0"/>
  </r>
  <r>
    <x v="12"/>
    <x v="6"/>
    <x v="0"/>
    <s v="6990107"/>
    <n v="730020"/>
    <s v="Rental and Leases-Copier Usage Fees (DO NOT USE)"/>
    <s v="Emergency Preparedness"/>
    <x v="0"/>
    <n v="5100"/>
    <n v="23.4"/>
    <n v="23.47"/>
    <n v="23.44"/>
    <n v="23.44"/>
    <n v="23.44"/>
    <n v="23.44"/>
    <n v="396.45"/>
    <n v="10.37"/>
    <n v="10.35"/>
    <n v="10.39"/>
    <n v="10.37"/>
    <n v="12.79"/>
    <n v="591.34999999999991"/>
    <n v="-2.42"/>
  </r>
  <r>
    <x v="15"/>
    <x v="6"/>
    <x v="0"/>
    <s v="6990107"/>
    <n v="731060"/>
    <s v="Cell Phones"/>
    <s v="Emergency Preparedness"/>
    <x v="0"/>
    <n v="1001"/>
    <n v="0"/>
    <n v="1594.08"/>
    <n v="784.49"/>
    <n v="0"/>
    <n v="780.48"/>
    <n v="794.4"/>
    <n v="1768.42"/>
    <n v="0"/>
    <n v="811.43"/>
    <n v="1588.07"/>
    <n v="782.43"/>
    <n v="795.2"/>
    <n v="9699"/>
    <n v="-12.770000000000095"/>
  </r>
  <r>
    <x v="14"/>
    <x v="6"/>
    <x v="0"/>
    <s v="6991107"/>
    <n v="600055"/>
    <s v="Grants"/>
    <s v="Ebola Training"/>
    <x v="0"/>
    <m/>
    <n v="0"/>
    <n v="-2710.99"/>
    <n v="-243.99"/>
    <n v="0"/>
    <n v="0"/>
    <n v="-751.58"/>
    <n v="0"/>
    <n v="0"/>
    <n v="0"/>
    <n v="0"/>
    <n v="0"/>
    <n v="0"/>
    <n v="-3706.5599999999995"/>
    <n v="0"/>
  </r>
  <r>
    <x v="5"/>
    <x v="6"/>
    <x v="0"/>
    <s v="6991107"/>
    <n v="700026"/>
    <s v="Salaries-RN-Productive"/>
    <s v="Ebola Training"/>
    <x v="0"/>
    <m/>
    <n v="0"/>
    <n v="0"/>
    <n v="0"/>
    <n v="0"/>
    <n v="0"/>
    <n v="582.67999999999995"/>
    <n v="0"/>
    <n v="0"/>
    <n v="0"/>
    <n v="0"/>
    <n v="0"/>
    <n v="0"/>
    <n v="582.67999999999995"/>
    <n v="0"/>
  </r>
  <r>
    <x v="5"/>
    <x v="6"/>
    <x v="0"/>
    <s v="6991107"/>
    <n v="700026"/>
    <s v="Salaries-RN-Other"/>
    <s v="Ebola Training"/>
    <x v="0"/>
    <n v="2000"/>
    <n v="0"/>
    <n v="0"/>
    <n v="0"/>
    <n v="0"/>
    <n v="0"/>
    <n v="16.75"/>
    <n v="0"/>
    <n v="0"/>
    <n v="0"/>
    <n v="0"/>
    <n v="0"/>
    <n v="0"/>
    <n v="16.75"/>
    <n v="0"/>
  </r>
  <r>
    <x v="6"/>
    <x v="6"/>
    <x v="0"/>
    <s v="6991107"/>
    <n v="713010"/>
    <s v="Benefits-FICA/Medicare"/>
    <s v="Ebola Training"/>
    <x v="0"/>
    <m/>
    <n v="0"/>
    <n v="0"/>
    <n v="0"/>
    <n v="0"/>
    <n v="0"/>
    <n v="43.96"/>
    <n v="0"/>
    <n v="0"/>
    <n v="0"/>
    <n v="0"/>
    <n v="0"/>
    <n v="0"/>
    <n v="43.96"/>
    <n v="0"/>
  </r>
  <r>
    <x v="6"/>
    <x v="6"/>
    <x v="0"/>
    <s v="6991107"/>
    <n v="713090"/>
    <s v="Benefits-Allocated Amounts"/>
    <s v="Ebola Training"/>
    <x v="0"/>
    <m/>
    <n v="0"/>
    <n v="0"/>
    <n v="0"/>
    <n v="0"/>
    <n v="0"/>
    <n v="108.19"/>
    <n v="18.88"/>
    <n v="18.260000000000002"/>
    <n v="15.62"/>
    <n v="-129.88999999999999"/>
    <n v="3.7"/>
    <n v="-34.76"/>
    <n v="0"/>
    <n v="38.46"/>
  </r>
  <r>
    <x v="11"/>
    <x v="6"/>
    <x v="0"/>
    <s v="6991107"/>
    <n v="721910"/>
    <s v="Supplies-Small Equipment"/>
    <s v="Ebola Training"/>
    <x v="0"/>
    <m/>
    <n v="0"/>
    <n v="2710.99"/>
    <n v="243.99"/>
    <n v="0"/>
    <n v="0"/>
    <n v="0"/>
    <n v="0"/>
    <n v="0"/>
    <n v="0"/>
    <n v="0"/>
    <n v="0"/>
    <n v="0"/>
    <n v="2954.9799999999996"/>
    <n v="0"/>
  </r>
  <r>
    <x v="11"/>
    <x v="6"/>
    <x v="0"/>
    <s v="6991107"/>
    <n v="721980"/>
    <s v="Supplies-Other"/>
    <s v="Ebola Training"/>
    <x v="0"/>
    <m/>
    <n v="0"/>
    <n v="0"/>
    <n v="0"/>
    <n v="0"/>
    <n v="0"/>
    <n v="0"/>
    <n v="0"/>
    <n v="0"/>
    <n v="0"/>
    <n v="-69"/>
    <n v="0"/>
    <n v="0"/>
    <n v="-69"/>
    <n v="0"/>
  </r>
  <r>
    <x v="14"/>
    <x v="9"/>
    <x v="0"/>
    <s v="7000501"/>
    <n v="600050"/>
    <s v="Miscellaneous Revenue"/>
    <s v="Pastoral Services"/>
    <x v="0"/>
    <m/>
    <n v="-272.5"/>
    <n v="0"/>
    <n v="-366.41"/>
    <n v="0"/>
    <n v="-132"/>
    <n v="-274.5"/>
    <n v="-199"/>
    <n v="-91.25"/>
    <n v="0"/>
    <n v="-255.25"/>
    <n v="0"/>
    <n v="-395"/>
    <n v="-1985.91"/>
    <n v="395"/>
  </r>
  <r>
    <x v="20"/>
    <x v="9"/>
    <x v="0"/>
    <s v="7000501"/>
    <n v="610010"/>
    <s v="Foundation Distributions"/>
    <s v="Pastoral Services"/>
    <x v="0"/>
    <n v="1175"/>
    <n v="0"/>
    <n v="0"/>
    <n v="-820.5"/>
    <n v="-140"/>
    <n v="-16202.41"/>
    <n v="0"/>
    <n v="0"/>
    <n v="0"/>
    <n v="0"/>
    <n v="-17956.07"/>
    <n v="0"/>
    <n v="-56.65"/>
    <n v="-35175.629999999997"/>
    <n v="56.65"/>
  </r>
  <r>
    <x v="5"/>
    <x v="9"/>
    <x v="0"/>
    <s v="7000501"/>
    <n v="700014"/>
    <s v="Salaries-Management-Productive"/>
    <s v="Pastoral Services"/>
    <x v="0"/>
    <m/>
    <n v="0"/>
    <n v="0"/>
    <n v="0"/>
    <n v="0"/>
    <n v="0"/>
    <n v="0"/>
    <n v="0"/>
    <n v="0"/>
    <n v="0"/>
    <n v="6693.94"/>
    <n v="8256.33"/>
    <n v="8367.99"/>
    <n v="23318.260000000002"/>
    <n v="-111.65999999999985"/>
  </r>
  <r>
    <x v="5"/>
    <x v="9"/>
    <x v="0"/>
    <s v="7000501"/>
    <n v="700014"/>
    <s v="Salaries-Management-Other"/>
    <s v="Pastoral Services"/>
    <x v="0"/>
    <n v="2000"/>
    <n v="0"/>
    <n v="0"/>
    <n v="0"/>
    <n v="0"/>
    <n v="0"/>
    <n v="0"/>
    <n v="0"/>
    <n v="0"/>
    <n v="0"/>
    <n v="30.06"/>
    <n v="-0.02"/>
    <n v="0"/>
    <n v="30.04"/>
    <n v="-0.02"/>
  </r>
  <r>
    <x v="5"/>
    <x v="9"/>
    <x v="0"/>
    <s v="7000501"/>
    <n v="700026"/>
    <s v="Salaries-RN-Productive"/>
    <s v="Pastoral Services"/>
    <x v="0"/>
    <m/>
    <n v="5890.7"/>
    <n v="5752.79"/>
    <n v="6969.67"/>
    <n v="6969.88"/>
    <n v="6770.56"/>
    <n v="5191.04"/>
    <n v="7233.01"/>
    <n v="5862.48"/>
    <n v="7077.38"/>
    <n v="3051.31"/>
    <n v="7373.85"/>
    <n v="6187.52"/>
    <n v="74330.19"/>
    <n v="1186.33"/>
  </r>
  <r>
    <x v="5"/>
    <x v="9"/>
    <x v="0"/>
    <s v="7000501"/>
    <n v="700034"/>
    <s v="Salaries-Tech/Professional-Productive"/>
    <s v="Pastoral Services"/>
    <x v="0"/>
    <m/>
    <n v="51669.17"/>
    <n v="53618.55"/>
    <n v="59150.76"/>
    <n v="61364.99"/>
    <n v="50599.38"/>
    <n v="55295.27"/>
    <n v="68296.27"/>
    <n v="50404.41"/>
    <n v="60299.02"/>
    <n v="49859.18"/>
    <n v="55986.59"/>
    <n v="48564.39"/>
    <n v="665107.9800000001"/>
    <n v="7422.1999999999971"/>
  </r>
  <r>
    <x v="5"/>
    <x v="9"/>
    <x v="0"/>
    <s v="7000501"/>
    <n v="700034"/>
    <s v="Salaries-Tech/Professional-Other"/>
    <s v="Pastoral Services"/>
    <x v="0"/>
    <n v="2000"/>
    <n v="0"/>
    <n v="0"/>
    <n v="0"/>
    <n v="0"/>
    <n v="0"/>
    <n v="0"/>
    <n v="30.04"/>
    <n v="0"/>
    <n v="0"/>
    <n v="0"/>
    <n v="0"/>
    <n v="0"/>
    <n v="30.04"/>
    <n v="0"/>
  </r>
  <r>
    <x v="5"/>
    <x v="9"/>
    <x v="0"/>
    <s v="7000501"/>
    <n v="700038"/>
    <s v="Salaries-Service/Support-Productive"/>
    <s v="Pastoral Services"/>
    <x v="0"/>
    <m/>
    <n v="3383.13"/>
    <n v="2966.28"/>
    <n v="4148.9799999999996"/>
    <n v="5178.92"/>
    <n v="4464.6099999999997"/>
    <n v="3301.6"/>
    <n v="4689.51"/>
    <n v="4160.09"/>
    <n v="4700.59"/>
    <n v="3668.67"/>
    <n v="2701.99"/>
    <n v="3909.85"/>
    <n v="47274.219999999994"/>
    <n v="-1207.8600000000001"/>
  </r>
  <r>
    <x v="5"/>
    <x v="9"/>
    <x v="0"/>
    <s v="7000501"/>
    <n v="700054"/>
    <s v="Salaries-Management-Non-productive"/>
    <s v="Pastoral Services"/>
    <x v="0"/>
    <m/>
    <n v="0"/>
    <n v="0"/>
    <n v="0"/>
    <n v="0"/>
    <n v="0"/>
    <n v="0"/>
    <n v="0"/>
    <n v="0"/>
    <n v="0"/>
    <n v="0"/>
    <n v="390.49"/>
    <n v="0"/>
    <n v="390.49"/>
    <n v="390.49"/>
  </r>
  <r>
    <x v="5"/>
    <x v="9"/>
    <x v="0"/>
    <s v="7000501"/>
    <n v="700054"/>
    <s v="Salaries-Management-NonProd-Other"/>
    <s v="Pastoral Services"/>
    <x v="0"/>
    <n v="2000"/>
    <n v="0"/>
    <n v="0"/>
    <n v="0"/>
    <n v="0"/>
    <n v="0"/>
    <n v="93"/>
    <n v="-93"/>
    <n v="0"/>
    <n v="0"/>
    <n v="0"/>
    <n v="0"/>
    <n v="0"/>
    <n v="0"/>
    <n v="0"/>
  </r>
  <r>
    <x v="5"/>
    <x v="9"/>
    <x v="0"/>
    <s v="7000501"/>
    <n v="700066"/>
    <s v="Salaries-RN-Non-productive"/>
    <s v="Pastoral Services"/>
    <x v="0"/>
    <m/>
    <n v="1021.58"/>
    <n v="1159.82"/>
    <n v="-279.98"/>
    <n v="54.46"/>
    <n v="51.45"/>
    <n v="1859"/>
    <n v="-171.95"/>
    <n v="514.62"/>
    <n v="-16.96"/>
    <n v="3781.1"/>
    <n v="-313.44"/>
    <n v="645.23"/>
    <n v="8304.93"/>
    <n v="-958.67000000000007"/>
  </r>
  <r>
    <x v="5"/>
    <x v="9"/>
    <x v="0"/>
    <s v="7000501"/>
    <n v="700074"/>
    <s v="Salaries-Tech/Professional-Non-productive"/>
    <s v="Pastoral Services"/>
    <x v="0"/>
    <m/>
    <n v="15544.12"/>
    <n v="13768.11"/>
    <n v="6135.26"/>
    <n v="7392.67"/>
    <n v="16154.52"/>
    <n v="13191.84"/>
    <n v="5397.36"/>
    <n v="11349.57"/>
    <n v="9130.68"/>
    <n v="10637.38"/>
    <n v="7463.52"/>
    <n v="9955.73"/>
    <n v="126120.76000000001"/>
    <n v="-2492.2099999999991"/>
  </r>
  <r>
    <x v="5"/>
    <x v="9"/>
    <x v="0"/>
    <s v="7000501"/>
    <n v="700074"/>
    <s v="Salaries-Tech/Professional-NonProd-Other"/>
    <s v="Pastoral Services"/>
    <x v="0"/>
    <n v="2000"/>
    <n v="0"/>
    <n v="0"/>
    <n v="0"/>
    <n v="0"/>
    <n v="364.21"/>
    <n v="0"/>
    <n v="0"/>
    <n v="-364.21"/>
    <n v="0"/>
    <n v="0"/>
    <n v="0"/>
    <n v="0"/>
    <n v="0"/>
    <n v="0"/>
  </r>
  <r>
    <x v="5"/>
    <x v="9"/>
    <x v="0"/>
    <s v="7000501"/>
    <n v="700078"/>
    <s v="Salaries-Service/Support-Non-productive"/>
    <s v="Pastoral Services"/>
    <x v="0"/>
    <m/>
    <n v="1587.29"/>
    <n v="2004.39"/>
    <n v="661.4"/>
    <n v="-128.26"/>
    <n v="441.54"/>
    <n v="1768.26"/>
    <n v="388.28"/>
    <n v="425.83"/>
    <n v="376.7"/>
    <n v="1244.68"/>
    <n v="2375.3200000000002"/>
    <n v="1003.73"/>
    <n v="12149.159999999998"/>
    <n v="1371.5900000000001"/>
  </r>
  <r>
    <x v="5"/>
    <x v="9"/>
    <x v="0"/>
    <s v="7000501"/>
    <n v="700084"/>
    <s v="Accrued PTO"/>
    <s v="Pastoral Services"/>
    <x v="0"/>
    <m/>
    <n v="-3988.22"/>
    <n v="-6694.47"/>
    <n v="3074.59"/>
    <n v="8254.92"/>
    <n v="-399.24"/>
    <n v="-1994.15"/>
    <n v="3887.12"/>
    <n v="-30.13"/>
    <n v="2983.32"/>
    <n v="-2971.12"/>
    <n v="452.19"/>
    <n v="1443.3"/>
    <n v="4018.1099999999997"/>
    <n v="-991.1099999999999"/>
  </r>
  <r>
    <x v="6"/>
    <x v="9"/>
    <x v="0"/>
    <s v="7000501"/>
    <n v="713010"/>
    <s v="Benefits-FICA/Medicare"/>
    <s v="Pastoral Services"/>
    <x v="0"/>
    <m/>
    <n v="5516.61"/>
    <n v="5546.12"/>
    <n v="5363.88"/>
    <n v="5620.93"/>
    <n v="5588.58"/>
    <n v="5835.92"/>
    <n v="5972.65"/>
    <n v="5048.84"/>
    <n v="5660.18"/>
    <n v="5576.41"/>
    <n v="5837.77"/>
    <n v="5651.09"/>
    <n v="67218.98"/>
    <n v="186.68000000000029"/>
  </r>
  <r>
    <x v="6"/>
    <x v="9"/>
    <x v="0"/>
    <s v="7000501"/>
    <n v="713090"/>
    <s v="Benefits-Allocated Amounts"/>
    <s v="Pastoral Services"/>
    <x v="0"/>
    <m/>
    <n v="16144.23"/>
    <n v="14632.99"/>
    <n v="15986.9"/>
    <n v="15814.79"/>
    <n v="14640.72"/>
    <n v="16557.11"/>
    <n v="18739.830000000002"/>
    <n v="16319.3"/>
    <n v="18366.03"/>
    <n v="16751.07"/>
    <n v="17531.03"/>
    <n v="16715.47"/>
    <n v="198199.47000000003"/>
    <n v="815.55999999999767"/>
  </r>
  <r>
    <x v="6"/>
    <x v="9"/>
    <x v="0"/>
    <s v="7000501"/>
    <n v="713096"/>
    <s v="Employee Recognition"/>
    <s v="Pastoral Services"/>
    <x v="0"/>
    <n v="1017"/>
    <n v="0"/>
    <n v="0"/>
    <n v="0"/>
    <n v="0"/>
    <n v="0"/>
    <n v="0"/>
    <n v="0"/>
    <n v="0"/>
    <n v="0"/>
    <n v="435"/>
    <n v="0"/>
    <n v="0"/>
    <n v="435"/>
    <n v="0"/>
  </r>
  <r>
    <x v="7"/>
    <x v="9"/>
    <x v="0"/>
    <s v="7000501"/>
    <n v="718050"/>
    <s v="Miscellaneous Purchased Svcs"/>
    <s v="Pastoral Services"/>
    <x v="0"/>
    <n v="1020"/>
    <n v="550.5"/>
    <n v="0"/>
    <n v="0"/>
    <n v="0"/>
    <n v="0"/>
    <n v="0"/>
    <n v="0"/>
    <n v="0"/>
    <n v="0"/>
    <n v="0"/>
    <n v="0"/>
    <n v="0"/>
    <n v="550.5"/>
    <n v="0"/>
  </r>
  <r>
    <x v="11"/>
    <x v="9"/>
    <x v="0"/>
    <s v="7000501"/>
    <n v="721410"/>
    <s v="Supplies-Medical - Nonbillable"/>
    <s v="Pastoral Services"/>
    <x v="0"/>
    <m/>
    <n v="0"/>
    <n v="2.69"/>
    <n v="0"/>
    <n v="0"/>
    <n v="0"/>
    <n v="2.02"/>
    <n v="0"/>
    <n v="0"/>
    <n v="2.69"/>
    <n v="0"/>
    <n v="0"/>
    <n v="0"/>
    <n v="7.4"/>
    <n v="0"/>
  </r>
  <r>
    <x v="11"/>
    <x v="9"/>
    <x v="0"/>
    <s v="7000501"/>
    <n v="721810"/>
    <s v="Supplies-Dietary/Cafeteria"/>
    <s v="Pastoral Services"/>
    <x v="0"/>
    <m/>
    <n v="148.78"/>
    <n v="6.2"/>
    <n v="13.33"/>
    <n v="26.66"/>
    <n v="21.02"/>
    <n v="7.69"/>
    <n v="0"/>
    <n v="7.98"/>
    <n v="0"/>
    <n v="0"/>
    <n v="0"/>
    <n v="0"/>
    <n v="231.66"/>
    <n v="0"/>
  </r>
  <r>
    <x v="11"/>
    <x v="9"/>
    <x v="0"/>
    <s v="7000501"/>
    <n v="721830"/>
    <s v="Supplies-Office"/>
    <s v="Pastoral Services"/>
    <x v="0"/>
    <m/>
    <n v="101.73"/>
    <n v="79.819999999999993"/>
    <n v="0"/>
    <n v="127.43"/>
    <n v="0"/>
    <n v="73.23"/>
    <n v="449.08"/>
    <n v="34.99"/>
    <n v="28.79"/>
    <n v="0"/>
    <n v="28.82"/>
    <n v="0"/>
    <n v="923.89"/>
    <n v="28.82"/>
  </r>
  <r>
    <x v="11"/>
    <x v="9"/>
    <x v="0"/>
    <s v="7000501"/>
    <n v="721835"/>
    <s v="Supplies-Forms"/>
    <s v="Pastoral Services"/>
    <x v="0"/>
    <m/>
    <n v="0"/>
    <n v="0"/>
    <n v="0"/>
    <n v="0"/>
    <n v="126.5"/>
    <n v="0"/>
    <n v="0"/>
    <n v="0"/>
    <n v="170.57"/>
    <n v="0"/>
    <n v="0"/>
    <n v="0"/>
    <n v="297.07"/>
    <n v="0"/>
  </r>
  <r>
    <x v="11"/>
    <x v="9"/>
    <x v="0"/>
    <s v="7000501"/>
    <n v="721870"/>
    <s v="Supplies-Environmental Services"/>
    <s v="Pastoral Services"/>
    <x v="0"/>
    <m/>
    <n v="0"/>
    <n v="0"/>
    <n v="0"/>
    <n v="0"/>
    <n v="0"/>
    <n v="3.7"/>
    <n v="0"/>
    <n v="0"/>
    <n v="0"/>
    <n v="0"/>
    <n v="0"/>
    <n v="0"/>
    <n v="3.7"/>
    <n v="0"/>
  </r>
  <r>
    <x v="11"/>
    <x v="9"/>
    <x v="0"/>
    <s v="7000501"/>
    <n v="721910"/>
    <s v="Supplies-Small Equipment"/>
    <s v="Pastoral Services"/>
    <x v="0"/>
    <m/>
    <n v="2378.16"/>
    <n v="0"/>
    <n v="0"/>
    <n v="0"/>
    <n v="0"/>
    <n v="2.72"/>
    <n v="0"/>
    <n v="0"/>
    <n v="0"/>
    <n v="0"/>
    <n v="0"/>
    <n v="0"/>
    <n v="2380.8799999999997"/>
    <n v="0"/>
  </r>
  <r>
    <x v="11"/>
    <x v="9"/>
    <x v="0"/>
    <s v="7000501"/>
    <n v="721980"/>
    <s v="Supplies-Other"/>
    <s v="Pastoral Services"/>
    <x v="0"/>
    <m/>
    <n v="0"/>
    <n v="0"/>
    <n v="0"/>
    <n v="0"/>
    <n v="0"/>
    <n v="10.55"/>
    <n v="0"/>
    <n v="1834.4"/>
    <n v="0"/>
    <n v="94.38"/>
    <n v="0"/>
    <n v="56.65"/>
    <n v="1995.98"/>
    <n v="-56.65"/>
  </r>
  <r>
    <x v="11"/>
    <x v="9"/>
    <x v="0"/>
    <s v="7000501"/>
    <n v="722000"/>
    <s v="Supplies-Freight Expense"/>
    <s v="Pastoral Services"/>
    <x v="0"/>
    <m/>
    <n v="0"/>
    <n v="0"/>
    <n v="0"/>
    <n v="0"/>
    <n v="0"/>
    <n v="0"/>
    <n v="0"/>
    <n v="0"/>
    <n v="0"/>
    <n v="8.61"/>
    <n v="0"/>
    <n v="0"/>
    <n v="8.61"/>
    <n v="0"/>
  </r>
  <r>
    <x v="12"/>
    <x v="9"/>
    <x v="0"/>
    <s v="7000501"/>
    <n v="730020"/>
    <s v="Rental and Leases-Copier Usage Fees (DO NOT USE)"/>
    <s v="Pastoral Services"/>
    <x v="0"/>
    <n v="5100"/>
    <n v="287.79000000000002"/>
    <n v="297.14999999999998"/>
    <n v="292.47000000000003"/>
    <n v="292.47000000000003"/>
    <n v="292.47000000000003"/>
    <n v="292.47000000000003"/>
    <n v="185.81"/>
    <n v="284.08999999999997"/>
    <n v="289.64999999999998"/>
    <n v="302.76"/>
    <n v="284.08999999999997"/>
    <n v="328.72"/>
    <n v="3429.9400000000005"/>
    <n v="-44.630000000000052"/>
  </r>
  <r>
    <x v="15"/>
    <x v="9"/>
    <x v="0"/>
    <s v="7000501"/>
    <n v="731060"/>
    <s v="Pagers"/>
    <s v="Pastoral Services"/>
    <x v="0"/>
    <n v="1002"/>
    <n v="207.93"/>
    <n v="207.93"/>
    <n v="207.93"/>
    <n v="208.41"/>
    <n v="208.41"/>
    <n v="0"/>
    <n v="416.82"/>
    <n v="208.41"/>
    <n v="208.41"/>
    <n v="208.41"/>
    <n v="208.41"/>
    <n v="208.41"/>
    <n v="2499.4799999999996"/>
    <n v="0"/>
  </r>
  <r>
    <x v="0"/>
    <x v="9"/>
    <x v="0"/>
    <s v="7000501"/>
    <n v="740010"/>
    <s v="Education-Materials"/>
    <s v="Pastoral Services"/>
    <x v="0"/>
    <m/>
    <n v="0"/>
    <n v="0"/>
    <n v="0"/>
    <n v="0"/>
    <n v="0"/>
    <n v="189.09"/>
    <n v="0"/>
    <n v="0"/>
    <n v="0"/>
    <n v="0"/>
    <n v="0"/>
    <n v="0"/>
    <n v="189.09"/>
    <n v="0"/>
  </r>
  <r>
    <x v="0"/>
    <x v="9"/>
    <x v="0"/>
    <s v="7000501"/>
    <n v="740020"/>
    <s v="Education-Registration Fees"/>
    <s v="Pastoral Services"/>
    <x v="0"/>
    <m/>
    <n v="0"/>
    <n v="0"/>
    <n v="0"/>
    <n v="545"/>
    <n v="400"/>
    <n v="0"/>
    <n v="0"/>
    <n v="1740"/>
    <n v="0"/>
    <n v="0"/>
    <n v="0"/>
    <n v="0"/>
    <n v="2685"/>
    <n v="0"/>
  </r>
  <r>
    <x v="0"/>
    <x v="9"/>
    <x v="0"/>
    <s v="7000501"/>
    <n v="743030"/>
    <s v="Subscriptions--Institutional"/>
    <s v="Pastoral Services"/>
    <x v="0"/>
    <m/>
    <n v="0"/>
    <n v="0"/>
    <n v="0"/>
    <n v="443.29"/>
    <n v="132.43"/>
    <n v="0"/>
    <n v="149.24"/>
    <n v="0"/>
    <n v="231.69"/>
    <n v="0"/>
    <n v="0"/>
    <n v="15.7"/>
    <n v="972.35000000000014"/>
    <n v="-15.7"/>
  </r>
  <r>
    <x v="0"/>
    <x v="9"/>
    <x v="0"/>
    <s v="7000501"/>
    <n v="749510"/>
    <s v="Miscellaneous Expenses"/>
    <s v="Pastoral Services"/>
    <x v="0"/>
    <m/>
    <n v="462.87"/>
    <n v="56.14"/>
    <n v="270"/>
    <n v="-441.5"/>
    <n v="31.16"/>
    <n v="-75.97"/>
    <n v="1513.7"/>
    <n v="122.38"/>
    <n v="-64.959999999999994"/>
    <n v="-86.17"/>
    <n v="29.91"/>
    <n v="371.71"/>
    <n v="2189.27"/>
    <n v="-341.79999999999995"/>
  </r>
  <r>
    <x v="0"/>
    <x v="9"/>
    <x v="0"/>
    <s v="7000501"/>
    <n v="749510"/>
    <s v="RICE Rewards"/>
    <s v="Pastoral Services"/>
    <x v="0"/>
    <n v="5100"/>
    <n v="0"/>
    <n v="0"/>
    <n v="0"/>
    <n v="0"/>
    <n v="0"/>
    <n v="0"/>
    <n v="0"/>
    <n v="0"/>
    <n v="0"/>
    <n v="0"/>
    <n v="0"/>
    <n v="149.87"/>
    <n v="149.87"/>
    <n v="-149.87"/>
  </r>
  <r>
    <x v="0"/>
    <x v="9"/>
    <x v="0"/>
    <s v="7000501"/>
    <n v="749530"/>
    <s v="Travel"/>
    <s v="Pastoral Services"/>
    <x v="0"/>
    <m/>
    <n v="0"/>
    <n v="0"/>
    <n v="0"/>
    <n v="22"/>
    <n v="0"/>
    <n v="22"/>
    <n v="15"/>
    <n v="0"/>
    <n v="0"/>
    <n v="63.93"/>
    <n v="32.65"/>
    <n v="0"/>
    <n v="155.58000000000001"/>
    <n v="32.65"/>
  </r>
  <r>
    <x v="0"/>
    <x v="9"/>
    <x v="0"/>
    <s v="7000501"/>
    <n v="749530"/>
    <s v="Mileage"/>
    <s v="Pastoral Services"/>
    <x v="0"/>
    <n v="1001"/>
    <n v="0"/>
    <n v="0"/>
    <n v="0"/>
    <n v="197.3"/>
    <n v="0"/>
    <n v="123.19"/>
    <n v="120.98"/>
    <n v="46.4"/>
    <n v="191.98"/>
    <n v="127.02"/>
    <n v="76.56"/>
    <n v="47.56"/>
    <n v="930.99"/>
    <n v="29"/>
  </r>
  <r>
    <x v="14"/>
    <x v="3"/>
    <x v="0"/>
    <s v="7005101"/>
    <n v="600050"/>
    <s v="Miscellaneous Revenue"/>
    <s v="Clinical Pastoral Ed"/>
    <x v="0"/>
    <m/>
    <n v="0"/>
    <n v="0"/>
    <n v="0"/>
    <n v="0"/>
    <n v="0"/>
    <n v="0"/>
    <n v="-650"/>
    <n v="0"/>
    <n v="0"/>
    <n v="0"/>
    <n v="0"/>
    <n v="0"/>
    <n v="-650"/>
    <n v="0"/>
  </r>
  <r>
    <x v="14"/>
    <x v="3"/>
    <x v="0"/>
    <s v="7005101"/>
    <n v="600050"/>
    <s v="Education Program Income"/>
    <s v="Clinical Pastoral Ed"/>
    <x v="0"/>
    <n v="1102"/>
    <n v="-1925"/>
    <n v="0"/>
    <n v="-5875"/>
    <n v="0"/>
    <n v="-1975"/>
    <n v="-1250"/>
    <n v="-1625"/>
    <n v="-1775"/>
    <n v="0"/>
    <n v="-2200"/>
    <n v="0"/>
    <n v="-3100"/>
    <n v="-19725"/>
    <n v="3100"/>
  </r>
  <r>
    <x v="5"/>
    <x v="3"/>
    <x v="0"/>
    <s v="7005101"/>
    <n v="700032"/>
    <s v="Salaries-Other Pat Care Providers-Productive"/>
    <s v="Clinical Pastoral Ed"/>
    <x v="0"/>
    <m/>
    <n v="6833.09"/>
    <n v="3924.78"/>
    <n v="6048.46"/>
    <n v="5453.83"/>
    <n v="7584.71"/>
    <n v="5944.37"/>
    <n v="6810.79"/>
    <n v="6667.36"/>
    <n v="6857.9"/>
    <n v="6762.44"/>
    <n v="7286.5"/>
    <n v="6429.39"/>
    <n v="76603.62000000001"/>
    <n v="857.10999999999967"/>
  </r>
  <r>
    <x v="5"/>
    <x v="3"/>
    <x v="0"/>
    <s v="7005101"/>
    <n v="700034"/>
    <s v="Salaries-Tech/Professional-Productive"/>
    <s v="Clinical Pastoral Ed"/>
    <x v="0"/>
    <m/>
    <n v="11414.51"/>
    <n v="12645.11"/>
    <n v="9306.6"/>
    <n v="11663.11"/>
    <n v="13991.37"/>
    <n v="10951.98"/>
    <n v="11255.75"/>
    <n v="12452.39"/>
    <n v="12515.69"/>
    <n v="6607.5"/>
    <n v="4710.75"/>
    <n v="5687.82"/>
    <n v="123202.58000000002"/>
    <n v="-977.06999999999971"/>
  </r>
  <r>
    <x v="5"/>
    <x v="3"/>
    <x v="0"/>
    <s v="7005101"/>
    <n v="700034"/>
    <s v="Salaries-Tech/Professional-OT"/>
    <s v="Clinical Pastoral Ed"/>
    <x v="0"/>
    <n v="1000"/>
    <n v="6.02"/>
    <n v="142.72999999999999"/>
    <n v="302.64999999999998"/>
    <n v="-85.54"/>
    <n v="12.9"/>
    <n v="-5.58"/>
    <n v="0"/>
    <n v="0"/>
    <n v="81.78"/>
    <n v="-0.84"/>
    <n v="-8.6"/>
    <n v="6.03"/>
    <n v="451.5499999999999"/>
    <n v="-14.629999999999999"/>
  </r>
  <r>
    <x v="5"/>
    <x v="3"/>
    <x v="0"/>
    <s v="7005101"/>
    <n v="700034"/>
    <s v="Salaries-Tech/Professional-Other"/>
    <s v="Clinical Pastoral Ed"/>
    <x v="0"/>
    <n v="2000"/>
    <n v="0"/>
    <n v="0"/>
    <n v="60"/>
    <n v="0"/>
    <n v="0"/>
    <n v="0"/>
    <n v="0"/>
    <n v="0"/>
    <n v="0"/>
    <n v="0"/>
    <n v="0"/>
    <n v="0"/>
    <n v="60"/>
    <n v="0"/>
  </r>
  <r>
    <x v="5"/>
    <x v="3"/>
    <x v="0"/>
    <s v="7005101"/>
    <n v="700054"/>
    <s v="Salaries-Management-NonProd-Other"/>
    <s v="Clinical Pastoral Ed"/>
    <x v="0"/>
    <n v="2000"/>
    <n v="0"/>
    <n v="0"/>
    <n v="0"/>
    <n v="0"/>
    <n v="0"/>
    <n v="2773.14"/>
    <n v="-2773.14"/>
    <n v="0"/>
    <n v="0"/>
    <n v="0"/>
    <n v="0"/>
    <n v="0"/>
    <n v="0"/>
    <n v="0"/>
  </r>
  <r>
    <x v="5"/>
    <x v="3"/>
    <x v="0"/>
    <s v="7005101"/>
    <n v="700072"/>
    <s v="Salaries-Other Pat Care Providers-Non-productive"/>
    <s v="Clinical Pastoral Ed"/>
    <x v="0"/>
    <m/>
    <n v="323.2"/>
    <n v="3231.83"/>
    <n v="877.39"/>
    <n v="1875.64"/>
    <n v="-451.74"/>
    <n v="1426.59"/>
    <n v="571.66999999999996"/>
    <n v="0"/>
    <n v="523.84"/>
    <n v="380.98"/>
    <n v="95.29"/>
    <n v="714.33"/>
    <n v="9569.02"/>
    <n v="-619.04000000000008"/>
  </r>
  <r>
    <x v="5"/>
    <x v="3"/>
    <x v="0"/>
    <s v="7005101"/>
    <n v="700074"/>
    <s v="Salaries-Tech/Professional-Non-productive"/>
    <s v="Clinical Pastoral Ed"/>
    <x v="0"/>
    <m/>
    <n v="1194.18"/>
    <n v="547.41999999999996"/>
    <n v="2571.42"/>
    <n v="2247.3000000000002"/>
    <n v="-835.54"/>
    <n v="1519.15"/>
    <n v="1825.84"/>
    <n v="-507.07"/>
    <n v="1065"/>
    <n v="176.99"/>
    <n v="430.12"/>
    <n v="128.28"/>
    <n v="10363.090000000002"/>
    <n v="301.84000000000003"/>
  </r>
  <r>
    <x v="5"/>
    <x v="3"/>
    <x v="0"/>
    <s v="7005101"/>
    <n v="700084"/>
    <s v="Accrued PTO"/>
    <s v="Clinical Pastoral Ed"/>
    <x v="0"/>
    <m/>
    <n v="580.65"/>
    <n v="-1165.31"/>
    <n v="-1778.55"/>
    <n v="-157.78"/>
    <n v="1253.21"/>
    <n v="-665.31"/>
    <n v="-497.15"/>
    <n v="1586.5"/>
    <n v="189.76"/>
    <n v="435.24"/>
    <n v="435.24"/>
    <n v="486.42"/>
    <n v="702.91999999999985"/>
    <n v="-51.180000000000007"/>
  </r>
  <r>
    <x v="6"/>
    <x v="3"/>
    <x v="0"/>
    <s v="7005101"/>
    <n v="713010"/>
    <s v="Benefits-FICA/Medicare"/>
    <s v="Clinical Pastoral Ed"/>
    <x v="0"/>
    <m/>
    <n v="1460.65"/>
    <n v="1515.81"/>
    <n v="1417.37"/>
    <n v="1565.21"/>
    <n v="1502.91"/>
    <n v="1678.85"/>
    <n v="1722.83"/>
    <n v="1374.49"/>
    <n v="1555.18"/>
    <n v="1044.47"/>
    <n v="938.72"/>
    <n v="950.67"/>
    <n v="16727.159999999996"/>
    <n v="-11.949999999999932"/>
  </r>
  <r>
    <x v="6"/>
    <x v="3"/>
    <x v="0"/>
    <s v="7005101"/>
    <n v="713090"/>
    <s v="Benefits-Allocated Amounts"/>
    <s v="Clinical Pastoral Ed"/>
    <x v="0"/>
    <m/>
    <n v="5100.24"/>
    <n v="4826.09"/>
    <n v="4915.3599999999997"/>
    <n v="5426.07"/>
    <n v="5454.45"/>
    <n v="4918.75"/>
    <n v="5432.29"/>
    <n v="5275.99"/>
    <n v="4627.05"/>
    <n v="4288.05"/>
    <n v="4293.1099999999997"/>
    <n v="4258.93"/>
    <n v="58816.380000000005"/>
    <n v="34.179999999999382"/>
  </r>
  <r>
    <x v="6"/>
    <x v="3"/>
    <x v="0"/>
    <s v="7005101"/>
    <n v="713096"/>
    <s v="Employee Recognition"/>
    <s v="Clinical Pastoral Ed"/>
    <x v="0"/>
    <n v="1017"/>
    <n v="0"/>
    <n v="0"/>
    <n v="0"/>
    <n v="69.2"/>
    <n v="0"/>
    <n v="0"/>
    <n v="0"/>
    <n v="0"/>
    <n v="0"/>
    <n v="0"/>
    <n v="0"/>
    <n v="0"/>
    <n v="69.2"/>
    <n v="0"/>
  </r>
  <r>
    <x v="7"/>
    <x v="3"/>
    <x v="0"/>
    <s v="7005101"/>
    <n v="718050"/>
    <s v="Miscellaneous Purchased Svcs"/>
    <s v="Clinical Pastoral Ed"/>
    <x v="0"/>
    <n v="1020"/>
    <n v="0"/>
    <n v="0"/>
    <n v="0"/>
    <n v="495.45"/>
    <n v="0"/>
    <n v="0"/>
    <n v="0"/>
    <n v="0"/>
    <n v="0"/>
    <n v="0"/>
    <n v="0"/>
    <n v="0"/>
    <n v="495.45"/>
    <n v="0"/>
  </r>
  <r>
    <x v="11"/>
    <x v="3"/>
    <x v="0"/>
    <s v="7005101"/>
    <n v="721810"/>
    <s v="Supplies-Dietary/Cafeteria"/>
    <s v="Clinical Pastoral Ed"/>
    <x v="0"/>
    <m/>
    <n v="174.51"/>
    <n v="31.06"/>
    <n v="0"/>
    <n v="0"/>
    <n v="0"/>
    <n v="0"/>
    <n v="0"/>
    <n v="0"/>
    <n v="0"/>
    <n v="0"/>
    <n v="0"/>
    <n v="0"/>
    <n v="205.57"/>
    <n v="0"/>
  </r>
  <r>
    <x v="11"/>
    <x v="3"/>
    <x v="0"/>
    <s v="7005101"/>
    <n v="721980"/>
    <s v="Supplies-Other"/>
    <s v="Clinical Pastoral Ed"/>
    <x v="0"/>
    <m/>
    <n v="0"/>
    <n v="0"/>
    <n v="0"/>
    <n v="0"/>
    <n v="0"/>
    <n v="36.25"/>
    <n v="0"/>
    <n v="0"/>
    <n v="0"/>
    <n v="60.53"/>
    <n v="0"/>
    <n v="0"/>
    <n v="96.78"/>
    <n v="0"/>
  </r>
  <r>
    <x v="0"/>
    <x v="3"/>
    <x v="0"/>
    <s v="7005101"/>
    <n v="740020"/>
    <s v="Education-Registration Fees"/>
    <s v="Clinical Pastoral Ed"/>
    <x v="0"/>
    <m/>
    <n v="0"/>
    <n v="0"/>
    <n v="0"/>
    <n v="3260"/>
    <n v="0"/>
    <n v="492"/>
    <n v="750"/>
    <n v="100"/>
    <n v="0"/>
    <n v="0"/>
    <n v="0"/>
    <n v="0"/>
    <n v="4602"/>
    <n v="0"/>
  </r>
  <r>
    <x v="0"/>
    <x v="3"/>
    <x v="0"/>
    <s v="7005101"/>
    <n v="740030"/>
    <s v="Education-Travel"/>
    <s v="Clinical Pastoral Ed"/>
    <x v="0"/>
    <m/>
    <n v="0"/>
    <n v="0"/>
    <n v="0"/>
    <n v="247.24"/>
    <n v="0"/>
    <n v="0"/>
    <n v="0"/>
    <n v="0"/>
    <n v="0"/>
    <n v="0"/>
    <n v="0"/>
    <n v="0"/>
    <n v="247.24"/>
    <n v="0"/>
  </r>
  <r>
    <x v="0"/>
    <x v="3"/>
    <x v="0"/>
    <s v="7005101"/>
    <n v="743010"/>
    <s v="Dues--Institutional"/>
    <s v="Clinical Pastoral Ed"/>
    <x v="0"/>
    <m/>
    <n v="0"/>
    <n v="0"/>
    <n v="0"/>
    <n v="0"/>
    <n v="0"/>
    <n v="0"/>
    <n v="0"/>
    <n v="0"/>
    <n v="0"/>
    <n v="1000"/>
    <n v="0"/>
    <n v="0"/>
    <n v="1000"/>
    <n v="0"/>
  </r>
  <r>
    <x v="0"/>
    <x v="3"/>
    <x v="0"/>
    <s v="7005101"/>
    <n v="743030"/>
    <s v="Subscriptions--Institutional"/>
    <s v="Clinical Pastoral Ed"/>
    <x v="0"/>
    <m/>
    <n v="0"/>
    <n v="0"/>
    <n v="0"/>
    <n v="0"/>
    <n v="0"/>
    <n v="0"/>
    <n v="0"/>
    <n v="15250"/>
    <n v="0"/>
    <n v="0"/>
    <n v="0"/>
    <n v="0"/>
    <n v="15250"/>
    <n v="0"/>
  </r>
  <r>
    <x v="0"/>
    <x v="3"/>
    <x v="0"/>
    <s v="7005101"/>
    <n v="749510"/>
    <s v="Miscellaneous Expenses"/>
    <s v="Clinical Pastoral Ed"/>
    <x v="0"/>
    <m/>
    <n v="43.54"/>
    <n v="0"/>
    <n v="316.44"/>
    <n v="-359.98"/>
    <n v="0"/>
    <n v="0"/>
    <n v="100"/>
    <n v="-100"/>
    <n v="0"/>
    <n v="0"/>
    <n v="0"/>
    <n v="0"/>
    <n v="0"/>
    <n v="0"/>
  </r>
  <r>
    <x v="0"/>
    <x v="3"/>
    <x v="0"/>
    <s v="7005101"/>
    <n v="749530"/>
    <s v="Travel"/>
    <s v="Clinical Pastoral Ed"/>
    <x v="0"/>
    <m/>
    <n v="0"/>
    <n v="0"/>
    <n v="0"/>
    <n v="43.54"/>
    <n v="0"/>
    <n v="0"/>
    <n v="0"/>
    <n v="0"/>
    <n v="0"/>
    <n v="6"/>
    <n v="0"/>
    <n v="0"/>
    <n v="49.54"/>
    <n v="0"/>
  </r>
  <r>
    <x v="11"/>
    <x v="5"/>
    <x v="0"/>
    <s v="7005106"/>
    <n v="721810"/>
    <s v="Supplies-Dietary/Cafeteria"/>
    <s v="Chaplain"/>
    <x v="0"/>
    <m/>
    <n v="39.78"/>
    <n v="16"/>
    <n v="0"/>
    <n v="0"/>
    <n v="0"/>
    <n v="0"/>
    <n v="0"/>
    <n v="0"/>
    <n v="0"/>
    <n v="0"/>
    <n v="40"/>
    <n v="0"/>
    <n v="95.78"/>
    <n v="40"/>
  </r>
  <r>
    <x v="12"/>
    <x v="5"/>
    <x v="0"/>
    <s v="7005106"/>
    <n v="730020"/>
    <s v="Rental and Leases-Copier Usage Fees (DO NOT USE)"/>
    <s v="Chaplain"/>
    <x v="0"/>
    <n v="5100"/>
    <n v="188.93"/>
    <n v="196.05"/>
    <n v="192.49"/>
    <n v="192.49"/>
    <n v="192.49"/>
    <n v="192.49"/>
    <n v="-937.17"/>
    <n v="49.22"/>
    <n v="49.12"/>
    <n v="294.86"/>
    <n v="49.22"/>
    <n v="54.95"/>
    <n v="715.14000000000021"/>
    <n v="-5.730000000000004"/>
  </r>
  <r>
    <x v="13"/>
    <x v="5"/>
    <x v="0"/>
    <s v="7005106"/>
    <n v="735070"/>
    <s v="Depreciation-Movable Equipment"/>
    <s v="Chaplain"/>
    <x v="0"/>
    <m/>
    <n v="73.25"/>
    <n v="73.25"/>
    <n v="73.25"/>
    <n v="73.25"/>
    <n v="73.27"/>
    <n v="73.25"/>
    <n v="73.27"/>
    <n v="73.23"/>
    <n v="73.28"/>
    <n v="73.22"/>
    <n v="73.3"/>
    <n v="73.22"/>
    <n v="879.04"/>
    <n v="7.9999999999998295E-2"/>
  </r>
  <r>
    <x v="11"/>
    <x v="6"/>
    <x v="0"/>
    <s v="7005107"/>
    <n v="721835"/>
    <s v="Supplies-Forms"/>
    <s v="Pastoral Care"/>
    <x v="0"/>
    <m/>
    <n v="0"/>
    <n v="0"/>
    <n v="0"/>
    <n v="0"/>
    <n v="0"/>
    <n v="0"/>
    <n v="0"/>
    <n v="0"/>
    <n v="0"/>
    <n v="0"/>
    <n v="18.98"/>
    <n v="0"/>
    <n v="18.98"/>
    <n v="18.98"/>
  </r>
  <r>
    <x v="15"/>
    <x v="6"/>
    <x v="0"/>
    <s v="7005107"/>
    <n v="731060"/>
    <s v="Pagers"/>
    <s v="Pastoral Care"/>
    <x v="0"/>
    <n v="1002"/>
    <n v="8.1"/>
    <n v="8.1"/>
    <n v="8.1"/>
    <n v="8.1199999999999992"/>
    <n v="0"/>
    <n v="8.1199999999999992"/>
    <n v="16.239999999999998"/>
    <n v="8.1199999999999992"/>
    <n v="8.1199999999999992"/>
    <n v="8.1199999999999992"/>
    <n v="8.1199999999999992"/>
    <n v="8.1199999999999992"/>
    <n v="97.38000000000001"/>
    <n v="0"/>
  </r>
  <r>
    <x v="0"/>
    <x v="9"/>
    <x v="0"/>
    <s v="7005501"/>
    <n v="743030"/>
    <s v="Subscriptions--Institutional"/>
    <s v="Clinical Pastoral Ed"/>
    <x v="0"/>
    <m/>
    <n v="0"/>
    <n v="0"/>
    <n v="0"/>
    <n v="0"/>
    <n v="0"/>
    <n v="0"/>
    <n v="0"/>
    <n v="33.799999999999997"/>
    <n v="0"/>
    <n v="0"/>
    <n v="0"/>
    <n v="0"/>
    <n v="33.799999999999997"/>
    <n v="0"/>
  </r>
  <r>
    <x v="2"/>
    <x v="9"/>
    <x v="0"/>
    <s v="7105501"/>
    <n v="450040"/>
    <s v="Contr Allow--Phys Svcs--Mcaid"/>
    <s v="Care Transformation"/>
    <x v="0"/>
    <n v="1200"/>
    <n v="0"/>
    <n v="0"/>
    <n v="0"/>
    <n v="0"/>
    <n v="0"/>
    <n v="0"/>
    <n v="0"/>
    <n v="0"/>
    <n v="0"/>
    <n v="0"/>
    <n v="-35"/>
    <n v="0"/>
    <n v="-35"/>
    <n v="-35"/>
  </r>
  <r>
    <x v="2"/>
    <x v="9"/>
    <x v="0"/>
    <s v="7105501"/>
    <n v="450040"/>
    <s v="Contr Allow--Phys Svcs--BCBS Mgnd Care"/>
    <s v="Care Transformation"/>
    <x v="0"/>
    <n v="1401"/>
    <n v="-0.08"/>
    <n v="0.01"/>
    <n v="0.17"/>
    <n v="-0.17"/>
    <n v="0"/>
    <n v="0.3"/>
    <n v="-20.89"/>
    <n v="21.62"/>
    <n v="0.01"/>
    <n v="-0.12"/>
    <n v="0.38"/>
    <n v="-0.13"/>
    <n v="1.100000000000001"/>
    <n v="0.51"/>
  </r>
  <r>
    <x v="3"/>
    <x v="9"/>
    <x v="0"/>
    <s v="7105501"/>
    <n v="470040"/>
    <s v="Charity Care-Physician Svcs"/>
    <s v="Care Transformation"/>
    <x v="0"/>
    <m/>
    <n v="-0.06"/>
    <n v="0.14000000000000001"/>
    <n v="-0.05"/>
    <n v="-0.01"/>
    <n v="0.03"/>
    <n v="-0.08"/>
    <n v="-0.66"/>
    <n v="0.61"/>
    <n v="0.1"/>
    <n v="-0.04"/>
    <n v="-0.08"/>
    <n v="0.13"/>
    <n v="2.9999999999999943E-2"/>
    <n v="-0.21000000000000002"/>
  </r>
  <r>
    <x v="4"/>
    <x v="9"/>
    <x v="0"/>
    <s v="7105501"/>
    <n v="490010"/>
    <s v="Provision for Bad Debts"/>
    <s v="Care Transformation"/>
    <x v="0"/>
    <m/>
    <n v="-2.2200000000000002"/>
    <n v="-0.04"/>
    <n v="-0.1"/>
    <n v="-0.26"/>
    <n v="0.14000000000000001"/>
    <n v="-0.16"/>
    <n v="-2.52"/>
    <n v="2.11"/>
    <n v="0.14000000000000001"/>
    <n v="-0.06"/>
    <n v="-0.02"/>
    <n v="0.09"/>
    <n v="-2.9000000000000004"/>
    <n v="-0.11"/>
  </r>
  <r>
    <x v="14"/>
    <x v="9"/>
    <x v="0"/>
    <s v="7105501"/>
    <n v="600050"/>
    <s v="Miscellaneous Revenue"/>
    <s v="Care Transformation"/>
    <x v="0"/>
    <m/>
    <n v="-750"/>
    <n v="-1200"/>
    <n v="0"/>
    <n v="0"/>
    <n v="-4704.3900000000003"/>
    <n v="-3417.51"/>
    <n v="-14085.01"/>
    <n v="-6227.23"/>
    <n v="-9481.0300000000007"/>
    <n v="-750"/>
    <n v="-4500"/>
    <n v="-500"/>
    <n v="-45615.170000000006"/>
    <n v="-4000"/>
  </r>
  <r>
    <x v="5"/>
    <x v="9"/>
    <x v="0"/>
    <s v="7105501"/>
    <n v="700014"/>
    <s v="Salaries-Management-Productive"/>
    <s v="Care Transformation"/>
    <x v="0"/>
    <m/>
    <n v="0"/>
    <n v="0"/>
    <n v="0"/>
    <n v="0"/>
    <n v="0"/>
    <n v="0"/>
    <n v="0"/>
    <n v="0"/>
    <n v="0"/>
    <n v="0"/>
    <n v="0"/>
    <n v="14166.99"/>
    <n v="14166.99"/>
    <n v="-14166.99"/>
  </r>
  <r>
    <x v="5"/>
    <x v="9"/>
    <x v="0"/>
    <s v="7105501"/>
    <n v="700022"/>
    <s v="Salaries-Physician-Productive"/>
    <s v="Care Transformation"/>
    <x v="0"/>
    <m/>
    <n v="10492.32"/>
    <n v="11546.4"/>
    <n v="10308"/>
    <n v="11854.2"/>
    <n v="11338.8"/>
    <n v="10308"/>
    <n v="11872.35"/>
    <n v="10323.129999999999"/>
    <n v="10839.3"/>
    <n v="11355.45"/>
    <n v="11871.62"/>
    <n v="10304.76"/>
    <n v="132414.33000000002"/>
    <n v="1566.8600000000006"/>
  </r>
  <r>
    <x v="5"/>
    <x v="9"/>
    <x v="0"/>
    <s v="7105501"/>
    <n v="700026"/>
    <s v="Salaries-RN-Productive"/>
    <s v="Care Transformation"/>
    <x v="0"/>
    <m/>
    <n v="6767.23"/>
    <n v="7666.05"/>
    <n v="9343.01"/>
    <n v="9031.81"/>
    <n v="9184.9"/>
    <n v="5756.2"/>
    <n v="8524.44"/>
    <n v="8002.8"/>
    <n v="9229.32"/>
    <n v="-2452.83"/>
    <n v="0"/>
    <n v="0"/>
    <n v="71052.930000000008"/>
    <n v="0"/>
  </r>
  <r>
    <x v="5"/>
    <x v="9"/>
    <x v="0"/>
    <s v="7105501"/>
    <n v="700026"/>
    <s v="Salaries-RN-Other"/>
    <s v="Care Transformation"/>
    <x v="0"/>
    <n v="2000"/>
    <n v="122.87"/>
    <n v="0"/>
    <n v="0"/>
    <n v="0"/>
    <n v="0"/>
    <n v="0"/>
    <n v="0"/>
    <n v="0"/>
    <n v="0"/>
    <n v="0"/>
    <n v="0"/>
    <n v="0"/>
    <n v="122.87"/>
    <n v="0"/>
  </r>
  <r>
    <x v="5"/>
    <x v="9"/>
    <x v="0"/>
    <s v="7105501"/>
    <n v="700034"/>
    <s v="Salaries-Tech/Professional-Productive"/>
    <s v="Care Transformation"/>
    <x v="0"/>
    <m/>
    <n v="0"/>
    <n v="0"/>
    <n v="0"/>
    <n v="0"/>
    <n v="0"/>
    <n v="0"/>
    <n v="0"/>
    <n v="0"/>
    <n v="0"/>
    <n v="0"/>
    <n v="0"/>
    <n v="8120.59"/>
    <n v="8120.59"/>
    <n v="-8120.59"/>
  </r>
  <r>
    <x v="5"/>
    <x v="9"/>
    <x v="0"/>
    <s v="7105501"/>
    <n v="700054"/>
    <s v="Salaries-Management-Non-productive"/>
    <s v="Care Transformation"/>
    <x v="0"/>
    <m/>
    <n v="0"/>
    <n v="0"/>
    <n v="0"/>
    <n v="0"/>
    <n v="0"/>
    <n v="0"/>
    <n v="0"/>
    <n v="0"/>
    <n v="0"/>
    <n v="0"/>
    <n v="0"/>
    <n v="476.79"/>
    <n v="476.79"/>
    <n v="-476.79"/>
  </r>
  <r>
    <x v="5"/>
    <x v="9"/>
    <x v="0"/>
    <s v="7105501"/>
    <n v="700066"/>
    <s v="Salaries-RN-Non-productive"/>
    <s v="Care Transformation"/>
    <x v="0"/>
    <m/>
    <n v="2515.39"/>
    <n v="1616.97"/>
    <n v="-359.28"/>
    <n v="419.23"/>
    <n v="0"/>
    <n v="3735.16"/>
    <n v="981.77"/>
    <n v="582.55999999999995"/>
    <n v="276"/>
    <n v="0"/>
    <n v="0"/>
    <n v="0"/>
    <n v="9767.7999999999993"/>
    <n v="0"/>
  </r>
  <r>
    <x v="5"/>
    <x v="9"/>
    <x v="0"/>
    <s v="7105501"/>
    <n v="700084"/>
    <s v="Accrued PTO"/>
    <s v="Care Transformation"/>
    <x v="0"/>
    <m/>
    <n v="-1386.61"/>
    <n v="-128.91"/>
    <n v="1128.78"/>
    <n v="1126.71"/>
    <n v="1154.1099999999999"/>
    <n v="872"/>
    <n v="-110.38"/>
    <n v="746.9"/>
    <n v="0"/>
    <n v="-3402.6"/>
    <n v="0"/>
    <n v="0"/>
    <n v="0"/>
    <n v="0"/>
  </r>
  <r>
    <x v="6"/>
    <x v="9"/>
    <x v="0"/>
    <s v="7105501"/>
    <n v="713010"/>
    <s v="Benefits-FICA/Medicare"/>
    <s v="Care Transformation"/>
    <x v="0"/>
    <m/>
    <n v="865.37"/>
    <n v="871.38"/>
    <n v="830.86"/>
    <n v="888.32"/>
    <n v="860.87"/>
    <n v="1208.25"/>
    <n v="1599.31"/>
    <n v="1415.05"/>
    <n v="1523.21"/>
    <n v="649.82000000000005"/>
    <n v="874.79"/>
    <n v="1860.01"/>
    <n v="13447.24"/>
    <n v="-985.22"/>
  </r>
  <r>
    <x v="6"/>
    <x v="9"/>
    <x v="0"/>
    <s v="7105501"/>
    <n v="713090"/>
    <s v="Benefits-Allocated Amounts"/>
    <s v="Care Transformation"/>
    <x v="0"/>
    <m/>
    <n v="2361.4299999999998"/>
    <n v="2304.12"/>
    <n v="2342.0100000000002"/>
    <n v="2274.67"/>
    <n v="2115.16"/>
    <n v="2697.63"/>
    <n v="2574.1799999999998"/>
    <n v="2397.41"/>
    <n v="2964.19"/>
    <n v="586.97"/>
    <n v="1327.59"/>
    <n v="4483.43"/>
    <n v="28428.79"/>
    <n v="-3155.84"/>
  </r>
  <r>
    <x v="7"/>
    <x v="9"/>
    <x v="0"/>
    <s v="7105501"/>
    <n v="718050"/>
    <s v="Contract Svcs-Other"/>
    <s v="Care Transformation"/>
    <x v="0"/>
    <m/>
    <n v="9530"/>
    <n v="9518.92"/>
    <n v="35241"/>
    <n v="7583.73"/>
    <n v="10388.52"/>
    <n v="27038.55"/>
    <n v="30771.54"/>
    <n v="34543.599999999999"/>
    <n v="10989.38"/>
    <n v="7869.25"/>
    <n v="11208.28"/>
    <n v="14490"/>
    <n v="209172.77000000002"/>
    <n v="-3281.7199999999993"/>
  </r>
  <r>
    <x v="11"/>
    <x v="9"/>
    <x v="0"/>
    <s v="7105501"/>
    <n v="721810"/>
    <s v="Supplies-Dietary/Cafeteria"/>
    <s v="Care Transformation"/>
    <x v="0"/>
    <m/>
    <n v="45.18"/>
    <n v="97.5"/>
    <n v="45.18"/>
    <n v="0"/>
    <n v="45.18"/>
    <n v="0"/>
    <n v="0"/>
    <n v="0"/>
    <n v="0"/>
    <n v="0"/>
    <n v="0"/>
    <n v="0"/>
    <n v="233.04000000000002"/>
    <n v="0"/>
  </r>
  <r>
    <x v="11"/>
    <x v="9"/>
    <x v="0"/>
    <s v="7105501"/>
    <n v="721830"/>
    <s v="Supplies-Office"/>
    <s v="Care Transformation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7105501"/>
    <n v="721835"/>
    <s v="Supplies-Forms"/>
    <s v="Care Transformation"/>
    <x v="0"/>
    <m/>
    <n v="0"/>
    <n v="0"/>
    <n v="0"/>
    <n v="0"/>
    <n v="50"/>
    <n v="57.38"/>
    <n v="0"/>
    <n v="0"/>
    <n v="0"/>
    <n v="217.12"/>
    <n v="0"/>
    <n v="0"/>
    <n v="324.5"/>
    <n v="0"/>
  </r>
  <r>
    <x v="11"/>
    <x v="9"/>
    <x v="0"/>
    <s v="7105501"/>
    <n v="721910"/>
    <s v="Supplies-Small Equipment"/>
    <s v="Care Transformation"/>
    <x v="0"/>
    <m/>
    <n v="0"/>
    <n v="0"/>
    <n v="2345.13"/>
    <n v="5259.35"/>
    <n v="2634.9"/>
    <n v="0"/>
    <n v="0"/>
    <n v="0"/>
    <n v="0"/>
    <n v="0"/>
    <n v="0"/>
    <n v="0"/>
    <n v="10239.380000000001"/>
    <n v="0"/>
  </r>
  <r>
    <x v="11"/>
    <x v="9"/>
    <x v="0"/>
    <s v="7105501"/>
    <n v="721980"/>
    <s v="Supplies-Other"/>
    <s v="Care Transformation"/>
    <x v="0"/>
    <m/>
    <n v="0"/>
    <n v="0"/>
    <n v="0"/>
    <n v="0"/>
    <n v="0"/>
    <n v="0"/>
    <n v="0"/>
    <n v="0"/>
    <n v="1813.29"/>
    <n v="2605.42"/>
    <n v="0"/>
    <n v="0"/>
    <n v="4418.71"/>
    <n v="0"/>
  </r>
  <r>
    <x v="11"/>
    <x v="9"/>
    <x v="0"/>
    <s v="7105501"/>
    <n v="722000"/>
    <s v="Supplies-Freight Expense"/>
    <s v="Care Transformation"/>
    <x v="0"/>
    <m/>
    <n v="0"/>
    <n v="0"/>
    <n v="179.5"/>
    <n v="0"/>
    <n v="0"/>
    <n v="74.14"/>
    <n v="0"/>
    <n v="0"/>
    <n v="112.59"/>
    <n v="0"/>
    <n v="530.22"/>
    <n v="25.29"/>
    <n v="921.74"/>
    <n v="504.93"/>
  </r>
  <r>
    <x v="15"/>
    <x v="9"/>
    <x v="0"/>
    <s v="7105501"/>
    <n v="731060"/>
    <s v="Pagers"/>
    <s v="Care Transformation"/>
    <x v="0"/>
    <n v="1002"/>
    <n v="40.5"/>
    <n v="40.5"/>
    <n v="40.5"/>
    <n v="40.6"/>
    <n v="40.6"/>
    <n v="0"/>
    <n v="81.2"/>
    <n v="60.01"/>
    <n v="32.479999999999997"/>
    <n v="32.479999999999997"/>
    <n v="32.479999999999997"/>
    <n v="32.479999999999997"/>
    <n v="473.83000000000004"/>
    <n v="0"/>
  </r>
  <r>
    <x v="0"/>
    <x v="9"/>
    <x v="0"/>
    <s v="7105501"/>
    <n v="740020"/>
    <s v="Education-Registration Fees"/>
    <s v="Care Transformation"/>
    <x v="0"/>
    <m/>
    <n v="0"/>
    <n v="0"/>
    <n v="0"/>
    <n v="0"/>
    <n v="0"/>
    <n v="895"/>
    <n v="0"/>
    <n v="0"/>
    <n v="500"/>
    <n v="0"/>
    <n v="259"/>
    <n v="1765.65"/>
    <n v="3419.65"/>
    <n v="-1506.65"/>
  </r>
  <r>
    <x v="0"/>
    <x v="9"/>
    <x v="0"/>
    <s v="7105501"/>
    <n v="742010"/>
    <s v="Postage-Regular"/>
    <s v="Care Transformation"/>
    <x v="0"/>
    <m/>
    <n v="0"/>
    <n v="0"/>
    <n v="0"/>
    <n v="0"/>
    <n v="0"/>
    <n v="0"/>
    <n v="0"/>
    <n v="0"/>
    <n v="0"/>
    <n v="0"/>
    <n v="0"/>
    <n v="21.29"/>
    <n v="21.29"/>
    <n v="-21.29"/>
  </r>
  <r>
    <x v="0"/>
    <x v="9"/>
    <x v="0"/>
    <s v="7105501"/>
    <n v="742020"/>
    <s v="Postage-Express Services"/>
    <s v="Care Transformation"/>
    <x v="0"/>
    <m/>
    <n v="0"/>
    <n v="0"/>
    <n v="0"/>
    <n v="0"/>
    <n v="0"/>
    <n v="0"/>
    <n v="0"/>
    <n v="0"/>
    <n v="0"/>
    <n v="0"/>
    <n v="0"/>
    <n v="7.35"/>
    <n v="7.35"/>
    <n v="-7.35"/>
  </r>
  <r>
    <x v="0"/>
    <x v="9"/>
    <x v="0"/>
    <s v="7105501"/>
    <n v="743010"/>
    <s v="Dues--Institutional"/>
    <s v="Care Transformation"/>
    <x v="0"/>
    <m/>
    <n v="0"/>
    <n v="0"/>
    <n v="0"/>
    <n v="0"/>
    <n v="0"/>
    <n v="0"/>
    <n v="0"/>
    <n v="0"/>
    <n v="0"/>
    <n v="400"/>
    <n v="0"/>
    <n v="0"/>
    <n v="400"/>
    <n v="0"/>
  </r>
  <r>
    <x v="0"/>
    <x v="9"/>
    <x v="0"/>
    <s v="7105501"/>
    <n v="743020"/>
    <s v="Dues--Individual"/>
    <s v="Care Transformation"/>
    <x v="0"/>
    <m/>
    <n v="0"/>
    <n v="0"/>
    <n v="0"/>
    <n v="0"/>
    <n v="0"/>
    <n v="0"/>
    <n v="225"/>
    <n v="0"/>
    <n v="0"/>
    <n v="0"/>
    <n v="0"/>
    <n v="0"/>
    <n v="225"/>
    <n v="0"/>
  </r>
  <r>
    <x v="0"/>
    <x v="9"/>
    <x v="0"/>
    <s v="7105501"/>
    <n v="749510"/>
    <s v="Miscellaneous Expenses"/>
    <s v="Care Transformation"/>
    <x v="0"/>
    <m/>
    <n v="-99.39"/>
    <n v="208.75"/>
    <n v="1811.19"/>
    <n v="0"/>
    <n v="0"/>
    <n v="0"/>
    <n v="1160.06"/>
    <n v="5136.68"/>
    <n v="2649.4"/>
    <n v="1443.53"/>
    <n v="37582.97"/>
    <n v="-1741.91"/>
    <n v="48151.28"/>
    <n v="39324.880000000005"/>
  </r>
  <r>
    <x v="0"/>
    <x v="9"/>
    <x v="0"/>
    <s v="7105501"/>
    <n v="749510"/>
    <s v="Licenses"/>
    <s v="Care Transformation"/>
    <x v="0"/>
    <n v="1002"/>
    <n v="0"/>
    <n v="0"/>
    <n v="0"/>
    <n v="0"/>
    <n v="0"/>
    <n v="0"/>
    <n v="0"/>
    <n v="0"/>
    <n v="0"/>
    <n v="0"/>
    <n v="190"/>
    <n v="0"/>
    <n v="190"/>
    <n v="190"/>
  </r>
  <r>
    <x v="0"/>
    <x v="9"/>
    <x v="0"/>
    <s v="7105501"/>
    <n v="749530"/>
    <s v="Travel"/>
    <s v="Care Transformation"/>
    <x v="0"/>
    <m/>
    <n v="2118.91"/>
    <n v="23"/>
    <n v="0"/>
    <n v="0"/>
    <n v="1248.26"/>
    <n v="0"/>
    <n v="0"/>
    <n v="927.06"/>
    <n v="0"/>
    <n v="2207.0500000000002"/>
    <n v="0"/>
    <n v="25"/>
    <n v="6549.28"/>
    <n v="-25"/>
  </r>
  <r>
    <x v="0"/>
    <x v="9"/>
    <x v="0"/>
    <s v="7105501"/>
    <n v="749530"/>
    <s v="Mileage"/>
    <s v="Care Transformation"/>
    <x v="0"/>
    <n v="1001"/>
    <n v="0"/>
    <n v="150.43"/>
    <n v="0"/>
    <n v="0"/>
    <n v="0"/>
    <n v="0"/>
    <n v="0"/>
    <n v="0"/>
    <n v="0"/>
    <n v="12.76"/>
    <n v="0"/>
    <n v="143.26"/>
    <n v="306.45"/>
    <n v="-143.26"/>
  </r>
  <r>
    <x v="0"/>
    <x v="9"/>
    <x v="0"/>
    <s v="7105501"/>
    <n v="749532"/>
    <s v="Travel-Physician"/>
    <s v="Care Transformation"/>
    <x v="0"/>
    <m/>
    <n v="0"/>
    <n v="0"/>
    <n v="0"/>
    <n v="0"/>
    <n v="0"/>
    <n v="0"/>
    <n v="0"/>
    <n v="0"/>
    <n v="0"/>
    <n v="286.60000000000002"/>
    <n v="0"/>
    <n v="0"/>
    <n v="286.60000000000002"/>
    <n v="0"/>
  </r>
  <r>
    <x v="0"/>
    <x v="9"/>
    <x v="0"/>
    <s v="7105501"/>
    <n v="749532"/>
    <s v="Business Meals-Physician"/>
    <s v="Care Transformation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105501"/>
    <n v="749535"/>
    <s v="Meetings"/>
    <s v="Care Transformation"/>
    <x v="0"/>
    <m/>
    <n v="0"/>
    <n v="0"/>
    <n v="0"/>
    <n v="0"/>
    <n v="0"/>
    <n v="0"/>
    <n v="0"/>
    <n v="0"/>
    <n v="0"/>
    <n v="3885"/>
    <n v="0"/>
    <n v="942.71"/>
    <n v="4827.71"/>
    <n v="-942.71"/>
  </r>
  <r>
    <x v="1"/>
    <x v="5"/>
    <x v="0"/>
    <s v="7201106"/>
    <n v="400040"/>
    <s v="Physician Svcs Rev--Medicare"/>
    <s v="Health Connections"/>
    <x v="0"/>
    <n v="1100"/>
    <n v="0"/>
    <n v="0"/>
    <n v="0"/>
    <n v="-262.33999999999997"/>
    <n v="0"/>
    <n v="-358"/>
    <n v="0"/>
    <n v="0"/>
    <n v="0"/>
    <n v="0"/>
    <n v="0"/>
    <n v="0"/>
    <n v="-620.33999999999992"/>
    <n v="0"/>
  </r>
  <r>
    <x v="1"/>
    <x v="5"/>
    <x v="0"/>
    <s v="7201106"/>
    <n v="400040"/>
    <s v="Physician Svcs Rev--Medicaid"/>
    <s v="Health Connections"/>
    <x v="0"/>
    <n v="1200"/>
    <n v="-5935"/>
    <n v="-6552.66"/>
    <n v="-624.84"/>
    <n v="-9035.4"/>
    <n v="-11363.32"/>
    <n v="-7145.8"/>
    <n v="-4916.8"/>
    <n v="-8248.98"/>
    <n v="-4655.8599999999997"/>
    <n v="-8488.52"/>
    <n v="-3656.06"/>
    <n v="-11769.76"/>
    <n v="-82393"/>
    <n v="8113.7000000000007"/>
  </r>
  <r>
    <x v="1"/>
    <x v="5"/>
    <x v="0"/>
    <s v="7201106"/>
    <n v="400040"/>
    <s v="Physician Svcs Rev--Comm Insurance"/>
    <s v="Health Connections"/>
    <x v="0"/>
    <n v="1300"/>
    <n v="0"/>
    <n v="0"/>
    <n v="0"/>
    <n v="0"/>
    <n v="0"/>
    <n v="-83.34"/>
    <n v="0"/>
    <n v="83.34"/>
    <n v="0"/>
    <n v="0"/>
    <n v="0"/>
    <n v="0"/>
    <n v="0"/>
    <n v="0"/>
  </r>
  <r>
    <x v="1"/>
    <x v="5"/>
    <x v="0"/>
    <s v="7201106"/>
    <n v="400040"/>
    <s v="Physician Svcs Rev--Managed Care"/>
    <s v="Health Connections"/>
    <x v="0"/>
    <n v="1400"/>
    <n v="0"/>
    <n v="0"/>
    <n v="0"/>
    <n v="-444.96"/>
    <n v="0"/>
    <n v="0"/>
    <n v="0"/>
    <n v="0"/>
    <n v="0"/>
    <n v="0"/>
    <n v="0"/>
    <n v="0"/>
    <n v="-444.96"/>
    <n v="0"/>
  </r>
  <r>
    <x v="1"/>
    <x v="5"/>
    <x v="0"/>
    <s v="7201106"/>
    <n v="400040"/>
    <s v="Physician Svcs Rev--Self Pay"/>
    <s v="Health Connections"/>
    <x v="0"/>
    <n v="1500"/>
    <n v="-262"/>
    <n v="0"/>
    <n v="262"/>
    <n v="0"/>
    <n v="0"/>
    <n v="0"/>
    <n v="0"/>
    <n v="0"/>
    <n v="0"/>
    <n v="-281.27999999999997"/>
    <n v="281.27999999999997"/>
    <n v="0"/>
    <n v="0"/>
    <n v="281.27999999999997"/>
  </r>
  <r>
    <x v="1"/>
    <x v="5"/>
    <x v="0"/>
    <s v="7201106"/>
    <n v="400040"/>
    <s v="Physician Svcs Rev--Other"/>
    <s v="Health Connections"/>
    <x v="0"/>
    <n v="1700"/>
    <n v="-179"/>
    <n v="-208.28"/>
    <n v="0"/>
    <n v="-416.56"/>
    <n v="0"/>
    <n v="-83.34"/>
    <n v="-208.28"/>
    <n v="-83.34"/>
    <n v="-208.28"/>
    <n v="-83.34"/>
    <n v="-83.34"/>
    <n v="-208.28"/>
    <n v="-1762.0399999999997"/>
    <n v="124.94"/>
  </r>
  <r>
    <x v="2"/>
    <x v="5"/>
    <x v="0"/>
    <s v="7201106"/>
    <n v="450040"/>
    <s v="Contr Allow--Phys Svcs--Mcare"/>
    <s v="Health Connections"/>
    <x v="0"/>
    <n v="1100"/>
    <n v="0"/>
    <n v="0"/>
    <n v="0"/>
    <n v="0"/>
    <n v="0"/>
    <n v="0"/>
    <n v="47.3"/>
    <n v="0"/>
    <n v="-47.3"/>
    <n v="0"/>
    <n v="0"/>
    <n v="179"/>
    <n v="179"/>
    <n v="-179"/>
  </r>
  <r>
    <x v="2"/>
    <x v="5"/>
    <x v="0"/>
    <s v="7201106"/>
    <n v="450040"/>
    <s v="Contr Allow--Phys Svcs--Mcaid"/>
    <s v="Health Connections"/>
    <x v="0"/>
    <n v="1200"/>
    <n v="0"/>
    <n v="0"/>
    <n v="0"/>
    <n v="416.99"/>
    <n v="-44.82"/>
    <n v="-2.23"/>
    <n v="50.87"/>
    <n v="-56.41"/>
    <n v="-119.37"/>
    <n v="2436.9299999999998"/>
    <n v="-154.30000000000001"/>
    <n v="507"/>
    <n v="3034.66"/>
    <n v="-661.3"/>
  </r>
  <r>
    <x v="2"/>
    <x v="5"/>
    <x v="0"/>
    <s v="7201106"/>
    <n v="450040"/>
    <s v="Contr Allow--Phys Svcs--Managed Care"/>
    <s v="Health Connections"/>
    <x v="0"/>
    <n v="1400"/>
    <n v="0"/>
    <n v="0"/>
    <n v="0"/>
    <n v="0"/>
    <n v="0"/>
    <n v="0"/>
    <n v="5.09"/>
    <n v="0"/>
    <n v="0"/>
    <n v="0"/>
    <n v="0"/>
    <n v="0"/>
    <n v="5.09"/>
    <n v="0"/>
  </r>
  <r>
    <x v="2"/>
    <x v="5"/>
    <x v="0"/>
    <s v="7201106"/>
    <n v="450040"/>
    <s v="Contr Allow--Phys Svcs--BCBS Mgnd Care"/>
    <s v="Health Connections"/>
    <x v="0"/>
    <n v="1401"/>
    <n v="4756.5"/>
    <n v="5421.92"/>
    <n v="603.04"/>
    <n v="-8802.56"/>
    <n v="-6537.45"/>
    <n v="654.63"/>
    <n v="-1735.91"/>
    <n v="3416.39"/>
    <n v="1624.57"/>
    <n v="2141.88"/>
    <n v="601.22"/>
    <n v="1980.45"/>
    <n v="4124.68"/>
    <n v="-1379.23"/>
  </r>
  <r>
    <x v="2"/>
    <x v="5"/>
    <x v="0"/>
    <s v="7201106"/>
    <n v="450040"/>
    <s v="Admin Adjust-Phys Svcs-Self Pay"/>
    <s v="Health Connections"/>
    <x v="0"/>
    <n v="1600"/>
    <n v="96.94"/>
    <n v="0"/>
    <n v="-96.94"/>
    <n v="0"/>
    <n v="0"/>
    <n v="0"/>
    <n v="0"/>
    <n v="0"/>
    <n v="179"/>
    <n v="104.07"/>
    <n v="-104.07"/>
    <n v="0"/>
    <n v="179"/>
    <n v="-104.07"/>
  </r>
  <r>
    <x v="3"/>
    <x v="5"/>
    <x v="0"/>
    <s v="7201106"/>
    <n v="470040"/>
    <s v="Charity Care-Physician Svcs"/>
    <s v="Health Connections"/>
    <x v="0"/>
    <m/>
    <n v="1624.2"/>
    <n v="-143.18"/>
    <n v="66.819999999999993"/>
    <n v="-730.05"/>
    <n v="252.37"/>
    <n v="240.98"/>
    <n v="-792.59"/>
    <n v="-569.57000000000005"/>
    <n v="-506.64"/>
    <n v="1298.44"/>
    <n v="-689.1"/>
    <n v="827.17"/>
    <n v="878.8499999999998"/>
    <n v="-1516.27"/>
  </r>
  <r>
    <x v="4"/>
    <x v="5"/>
    <x v="0"/>
    <s v="7201106"/>
    <n v="490010"/>
    <s v="Provision for Bad Debts"/>
    <s v="Health Connections"/>
    <x v="0"/>
    <m/>
    <n v="581.78"/>
    <n v="-141.54"/>
    <n v="284.26"/>
    <n v="81.61"/>
    <n v="108.01"/>
    <n v="-130.33000000000001"/>
    <n v="717.65"/>
    <n v="418.45"/>
    <n v="71.66"/>
    <n v="2137.0500000000002"/>
    <n v="-1762.08"/>
    <n v="-1253.8599999999999"/>
    <n v="1112.6600000000005"/>
    <n v="-508.22"/>
  </r>
  <r>
    <x v="14"/>
    <x v="5"/>
    <x v="0"/>
    <s v="7201106"/>
    <n v="600050"/>
    <s v="Miscellaneous Revenue"/>
    <s v="Health Connections"/>
    <x v="0"/>
    <m/>
    <n v="0"/>
    <n v="0"/>
    <n v="0"/>
    <n v="-20600"/>
    <n v="-20600"/>
    <n v="-20600"/>
    <n v="0"/>
    <n v="0"/>
    <n v="0"/>
    <n v="0"/>
    <n v="0"/>
    <n v="0"/>
    <n v="-61800"/>
    <n v="0"/>
  </r>
  <r>
    <x v="14"/>
    <x v="5"/>
    <x v="0"/>
    <s v="7201106"/>
    <n v="600055"/>
    <s v="Grants"/>
    <s v="Health Connections"/>
    <x v="0"/>
    <m/>
    <n v="0"/>
    <n v="0"/>
    <n v="-200000"/>
    <n v="0"/>
    <n v="0"/>
    <n v="0"/>
    <n v="0"/>
    <n v="0"/>
    <n v="0"/>
    <n v="120000"/>
    <n v="0"/>
    <n v="0"/>
    <n v="-80000"/>
    <n v="0"/>
  </r>
  <r>
    <x v="20"/>
    <x v="5"/>
    <x v="0"/>
    <s v="7201106"/>
    <n v="610010"/>
    <s v="Foundation Contributions"/>
    <s v="Health Connections"/>
    <x v="0"/>
    <n v="1172"/>
    <n v="0"/>
    <n v="0"/>
    <n v="-20600"/>
    <n v="0"/>
    <n v="0"/>
    <n v="0"/>
    <n v="-20600"/>
    <n v="-20600"/>
    <n v="-20600"/>
    <n v="0"/>
    <n v="-41200"/>
    <n v="-12295.63"/>
    <n v="-135895.63"/>
    <n v="-28904.370000000003"/>
  </r>
  <r>
    <x v="5"/>
    <x v="5"/>
    <x v="0"/>
    <s v="7201106"/>
    <n v="700014"/>
    <s v="Salaries-Management-Productive"/>
    <s v="Health Connections"/>
    <x v="0"/>
    <m/>
    <n v="0"/>
    <n v="0"/>
    <n v="0"/>
    <n v="0"/>
    <n v="0"/>
    <n v="0"/>
    <n v="6118.28"/>
    <n v="7124.86"/>
    <n v="-1408.69"/>
    <n v="0"/>
    <n v="0"/>
    <n v="0"/>
    <n v="11834.449999999999"/>
    <n v="0"/>
  </r>
  <r>
    <x v="5"/>
    <x v="5"/>
    <x v="0"/>
    <s v="7201106"/>
    <n v="700032"/>
    <s v="Salaries-Other Pat Care Providers-Productive"/>
    <s v="Health Connections"/>
    <x v="0"/>
    <m/>
    <n v="11925.75"/>
    <n v="15483.89"/>
    <n v="15466.77"/>
    <n v="13435.16"/>
    <n v="8458.64"/>
    <n v="8151.37"/>
    <n v="9161.2099999999991"/>
    <n v="10176.969999999999"/>
    <n v="23897.23"/>
    <n v="22195.51"/>
    <n v="23538.17"/>
    <n v="31201.26"/>
    <n v="193091.93"/>
    <n v="-7663.09"/>
  </r>
  <r>
    <x v="5"/>
    <x v="5"/>
    <x v="0"/>
    <s v="7201106"/>
    <n v="700032"/>
    <s v="Salaries-Other Pat Care Providers-OT"/>
    <s v="Health Connections"/>
    <x v="0"/>
    <n v="1000"/>
    <n v="30.3"/>
    <n v="30.3"/>
    <n v="47.61"/>
    <n v="198.79"/>
    <n v="-95.08"/>
    <n v="0"/>
    <n v="0"/>
    <n v="0"/>
    <n v="0"/>
    <n v="0"/>
    <n v="0"/>
    <n v="0"/>
    <n v="211.92000000000002"/>
    <n v="0"/>
  </r>
  <r>
    <x v="5"/>
    <x v="5"/>
    <x v="0"/>
    <s v="7201106"/>
    <n v="700032"/>
    <s v="Salaries-Other Pat Care Providers-Other"/>
    <s v="Health Connections"/>
    <x v="0"/>
    <n v="2000"/>
    <n v="3"/>
    <n v="33"/>
    <n v="4.71"/>
    <n v="-1.71"/>
    <n v="0"/>
    <n v="0"/>
    <n v="0"/>
    <n v="30.05"/>
    <n v="-0.01"/>
    <n v="0"/>
    <n v="60.14"/>
    <n v="-0.06"/>
    <n v="129.12"/>
    <n v="60.2"/>
  </r>
  <r>
    <x v="5"/>
    <x v="5"/>
    <x v="0"/>
    <s v="7201106"/>
    <n v="700034"/>
    <s v="Salaries-Tech/Professional-Productive"/>
    <s v="Health Connections"/>
    <x v="0"/>
    <m/>
    <n v="8463.31"/>
    <n v="6959.14"/>
    <n v="8041.17"/>
    <n v="10654.75"/>
    <n v="16752.45"/>
    <n v="14634.28"/>
    <n v="14753.09"/>
    <n v="4698.34"/>
    <n v="9139.9500000000007"/>
    <n v="5907.04"/>
    <n v="4044.34"/>
    <n v="7048.15"/>
    <n v="111096.00999999998"/>
    <n v="-3003.8099999999995"/>
  </r>
  <r>
    <x v="5"/>
    <x v="5"/>
    <x v="0"/>
    <s v="7201106"/>
    <n v="700034"/>
    <s v="Salaries-Tech/Professional-OT"/>
    <s v="Health Connections"/>
    <x v="0"/>
    <n v="1000"/>
    <n v="0"/>
    <n v="0"/>
    <n v="0"/>
    <n v="0"/>
    <n v="0"/>
    <n v="0"/>
    <n v="0"/>
    <n v="0"/>
    <n v="0"/>
    <n v="105.66"/>
    <n v="0"/>
    <n v="0"/>
    <n v="105.66"/>
    <n v="0"/>
  </r>
  <r>
    <x v="5"/>
    <x v="5"/>
    <x v="0"/>
    <s v="7201106"/>
    <n v="700034"/>
    <s v="Salaries-Tech/Professional-Other"/>
    <s v="Health Connections"/>
    <x v="0"/>
    <n v="2000"/>
    <n v="0"/>
    <n v="0"/>
    <n v="30"/>
    <n v="0"/>
    <n v="30"/>
    <n v="0"/>
    <n v="0"/>
    <n v="0"/>
    <n v="1528.33"/>
    <n v="901.89"/>
    <n v="10.62"/>
    <n v="0"/>
    <n v="2500.8399999999997"/>
    <n v="10.62"/>
  </r>
  <r>
    <x v="5"/>
    <x v="5"/>
    <x v="0"/>
    <s v="7201106"/>
    <n v="700054"/>
    <s v="Salaries-Management-NonProd-Other"/>
    <s v="Health Connections"/>
    <x v="0"/>
    <n v="2000"/>
    <n v="0"/>
    <n v="0"/>
    <n v="0"/>
    <n v="0"/>
    <n v="0"/>
    <n v="1309.06"/>
    <n v="-1309.06"/>
    <n v="0"/>
    <n v="0"/>
    <n v="0"/>
    <n v="0"/>
    <n v="0"/>
    <n v="0"/>
    <n v="0"/>
  </r>
  <r>
    <x v="5"/>
    <x v="5"/>
    <x v="0"/>
    <s v="7201106"/>
    <n v="700072"/>
    <s v="Salaries-Other Pat Care Providers-Non-productive"/>
    <s v="Health Connections"/>
    <x v="0"/>
    <m/>
    <n v="563.6"/>
    <n v="722.64"/>
    <n v="756.32"/>
    <n v="0"/>
    <n v="0"/>
    <n v="1637.6"/>
    <n v="643.03"/>
    <n v="-69.31"/>
    <n v="1297.6099999999999"/>
    <n v="386.51"/>
    <n v="4075.08"/>
    <n v="980.74"/>
    <n v="10993.819999999998"/>
    <n v="3094.34"/>
  </r>
  <r>
    <x v="5"/>
    <x v="5"/>
    <x v="0"/>
    <s v="7201106"/>
    <n v="700074"/>
    <s v="Salaries-Tech/Professional-Non-productive"/>
    <s v="Health Connections"/>
    <x v="0"/>
    <m/>
    <n v="175.28"/>
    <n v="0"/>
    <n v="333.12"/>
    <n v="876.4"/>
    <n v="160"/>
    <n v="2677.86"/>
    <n v="456.11"/>
    <n v="298.99"/>
    <n v="-78.67"/>
    <n v="0"/>
    <n v="0"/>
    <n v="0"/>
    <n v="4899.0899999999992"/>
    <n v="0"/>
  </r>
  <r>
    <x v="5"/>
    <x v="5"/>
    <x v="0"/>
    <s v="7201106"/>
    <n v="700084"/>
    <s v="Accrued PTO"/>
    <s v="Health Connections"/>
    <x v="0"/>
    <m/>
    <n v="1353.24"/>
    <n v="1230.67"/>
    <n v="1073.06"/>
    <n v="1652.62"/>
    <n v="2180.9299999999998"/>
    <n v="-55.81"/>
    <n v="1204.23"/>
    <n v="1666.29"/>
    <n v="-4101.1099999999997"/>
    <n v="1646.35"/>
    <n v="-644.07000000000005"/>
    <n v="2793.26"/>
    <n v="9999.66"/>
    <n v="-3437.3300000000004"/>
  </r>
  <r>
    <x v="6"/>
    <x v="5"/>
    <x v="0"/>
    <s v="7201106"/>
    <n v="713010"/>
    <s v="Benefits-FICA/Medicare"/>
    <s v="Health Connections"/>
    <x v="0"/>
    <m/>
    <n v="2470.9499999999998"/>
    <n v="1724.29"/>
    <n v="1838.41"/>
    <n v="2112.21"/>
    <n v="1867.83"/>
    <n v="2111.86"/>
    <n v="2437.25"/>
    <n v="1688.53"/>
    <n v="2613.64"/>
    <n v="2230.27"/>
    <n v="2406.86"/>
    <n v="2962.67"/>
    <n v="26464.770000000004"/>
    <n v="-555.80999999999995"/>
  </r>
  <r>
    <x v="6"/>
    <x v="5"/>
    <x v="0"/>
    <s v="7201106"/>
    <n v="713090"/>
    <s v="Benefits-Allocated Amounts"/>
    <s v="Health Connections"/>
    <x v="0"/>
    <m/>
    <n v="6064.75"/>
    <n v="6755.85"/>
    <n v="7442.93"/>
    <n v="7716.67"/>
    <n v="8065.1"/>
    <n v="8278.8700000000008"/>
    <n v="8666.81"/>
    <n v="6632.47"/>
    <n v="8080.45"/>
    <n v="8003.57"/>
    <n v="8930.75"/>
    <n v="11053.96"/>
    <n v="95692.18"/>
    <n v="-2123.2099999999991"/>
  </r>
  <r>
    <x v="7"/>
    <x v="5"/>
    <x v="0"/>
    <s v="7201106"/>
    <n v="718050"/>
    <s v="Miscellaneous Purchased Svcs"/>
    <s v="Health Connections"/>
    <x v="0"/>
    <n v="1020"/>
    <n v="0"/>
    <n v="0"/>
    <n v="0"/>
    <n v="53.6"/>
    <n v="0"/>
    <n v="0"/>
    <n v="578.45000000000005"/>
    <n v="0"/>
    <n v="0"/>
    <n v="0"/>
    <n v="0"/>
    <n v="837.39"/>
    <n v="1469.44"/>
    <n v="-837.39"/>
  </r>
  <r>
    <x v="11"/>
    <x v="5"/>
    <x v="0"/>
    <s v="7201106"/>
    <n v="721410"/>
    <s v="Supplies-Medical - Nonbillable"/>
    <s v="Health Connections"/>
    <x v="0"/>
    <m/>
    <n v="0"/>
    <n v="0"/>
    <n v="0"/>
    <n v="0"/>
    <n v="74.77"/>
    <n v="0"/>
    <n v="193.78"/>
    <n v="27.01"/>
    <n v="129.05000000000001"/>
    <n v="1199.3699999999999"/>
    <n v="2593.5300000000002"/>
    <n v="354.01"/>
    <n v="4571.5200000000004"/>
    <n v="2239.5200000000004"/>
  </r>
  <r>
    <x v="11"/>
    <x v="5"/>
    <x v="0"/>
    <s v="7201106"/>
    <n v="721810"/>
    <s v="Supplies-Dietary/Cafeteria"/>
    <s v="Health Connections"/>
    <x v="0"/>
    <m/>
    <n v="0"/>
    <n v="27.08"/>
    <n v="0"/>
    <n v="0"/>
    <n v="0"/>
    <n v="0"/>
    <n v="0"/>
    <n v="0"/>
    <n v="0"/>
    <n v="0"/>
    <n v="0"/>
    <n v="0"/>
    <n v="27.08"/>
    <n v="0"/>
  </r>
  <r>
    <x v="11"/>
    <x v="5"/>
    <x v="0"/>
    <s v="7201106"/>
    <n v="721830"/>
    <s v="Supplies-Office"/>
    <s v="Health Connections"/>
    <x v="0"/>
    <m/>
    <n v="184.05"/>
    <n v="0"/>
    <n v="0"/>
    <n v="214.33"/>
    <n v="0"/>
    <n v="0"/>
    <n v="0"/>
    <n v="54.64"/>
    <n v="0"/>
    <n v="685.05"/>
    <n v="134.4"/>
    <n v="38.799999999999997"/>
    <n v="1311.27"/>
    <n v="95.600000000000009"/>
  </r>
  <r>
    <x v="11"/>
    <x v="5"/>
    <x v="0"/>
    <s v="7201106"/>
    <n v="721910"/>
    <s v="Supplies-Small Equipment"/>
    <s v="Health Connections"/>
    <x v="0"/>
    <m/>
    <n v="0"/>
    <n v="0"/>
    <n v="0"/>
    <n v="0"/>
    <n v="0"/>
    <n v="0"/>
    <n v="0"/>
    <n v="25.81"/>
    <n v="19.55"/>
    <n v="56.64"/>
    <n v="0"/>
    <n v="0"/>
    <n v="102"/>
    <n v="0"/>
  </r>
  <r>
    <x v="11"/>
    <x v="5"/>
    <x v="0"/>
    <s v="7201106"/>
    <n v="721980"/>
    <s v="Supplies-Other"/>
    <s v="Health Connections"/>
    <x v="0"/>
    <m/>
    <n v="0"/>
    <n v="0"/>
    <n v="0"/>
    <n v="371.95"/>
    <n v="79.81"/>
    <n v="584.85"/>
    <n v="6.7"/>
    <n v="-73.53"/>
    <n v="0"/>
    <n v="0"/>
    <n v="0"/>
    <n v="0"/>
    <n v="969.7800000000002"/>
    <n v="0"/>
  </r>
  <r>
    <x v="15"/>
    <x v="5"/>
    <x v="0"/>
    <s v="7201106"/>
    <n v="731060"/>
    <s v="Cell Phones"/>
    <s v="Health Connections"/>
    <x v="0"/>
    <n v="1001"/>
    <n v="0"/>
    <n v="554.58000000000004"/>
    <n v="372.03"/>
    <n v="0"/>
    <n v="305.47000000000003"/>
    <n v="310.98"/>
    <n v="546.23"/>
    <n v="0"/>
    <n v="318.88"/>
    <n v="709.31"/>
    <n v="239.63"/>
    <n v="388.4"/>
    <n v="3745.51"/>
    <n v="-148.76999999999998"/>
  </r>
  <r>
    <x v="0"/>
    <x v="5"/>
    <x v="0"/>
    <s v="7201106"/>
    <n v="740020"/>
    <s v="Education-Registration Fees"/>
    <s v="Health Connections"/>
    <x v="0"/>
    <m/>
    <n v="0"/>
    <n v="0"/>
    <n v="0"/>
    <n v="0"/>
    <n v="0"/>
    <n v="0"/>
    <n v="0"/>
    <n v="0"/>
    <n v="0"/>
    <n v="0"/>
    <n v="0"/>
    <n v="40"/>
    <n v="40"/>
    <n v="-40"/>
  </r>
  <r>
    <x v="0"/>
    <x v="5"/>
    <x v="0"/>
    <s v="7201106"/>
    <n v="749510"/>
    <s v="Miscellaneous Expenses"/>
    <s v="Health Connections"/>
    <x v="0"/>
    <m/>
    <n v="-47.68"/>
    <n v="-521.29999999999995"/>
    <n v="236.9"/>
    <n v="1691.33"/>
    <n v="444.8"/>
    <n v="-114.01"/>
    <n v="-221.33"/>
    <n v="425.14"/>
    <n v="5.25"/>
    <n v="643.88"/>
    <n v="554.92999999999995"/>
    <n v="-189.59"/>
    <n v="2908.3199999999997"/>
    <n v="744.52"/>
  </r>
  <r>
    <x v="0"/>
    <x v="5"/>
    <x v="0"/>
    <s v="7201106"/>
    <n v="749510"/>
    <s v="Licenses"/>
    <s v="Health Connections"/>
    <x v="0"/>
    <n v="1002"/>
    <n v="0"/>
    <n v="44.96"/>
    <n v="0"/>
    <n v="0"/>
    <n v="0"/>
    <n v="0"/>
    <n v="0"/>
    <n v="0"/>
    <n v="0"/>
    <n v="0"/>
    <n v="0"/>
    <n v="0"/>
    <n v="44.96"/>
    <n v="0"/>
  </r>
  <r>
    <x v="0"/>
    <x v="5"/>
    <x v="0"/>
    <s v="7201106"/>
    <n v="749510"/>
    <s v="Miscellaneous Employee Expense"/>
    <s v="Health Connections"/>
    <x v="0"/>
    <n v="1010"/>
    <n v="0"/>
    <n v="0"/>
    <n v="0"/>
    <n v="-1891.6"/>
    <n v="0"/>
    <n v="0"/>
    <n v="172.59"/>
    <n v="0"/>
    <n v="0"/>
    <n v="0"/>
    <n v="0"/>
    <n v="0"/>
    <n v="-1719.01"/>
    <n v="0"/>
  </r>
  <r>
    <x v="0"/>
    <x v="5"/>
    <x v="0"/>
    <s v="7201106"/>
    <n v="749530"/>
    <s v="Travel"/>
    <s v="Health Connections"/>
    <x v="0"/>
    <m/>
    <n v="0"/>
    <n v="0"/>
    <n v="0"/>
    <n v="5894.9"/>
    <n v="0"/>
    <n v="0"/>
    <n v="24"/>
    <n v="0"/>
    <n v="0"/>
    <n v="0"/>
    <n v="0"/>
    <n v="0"/>
    <n v="5918.9"/>
    <n v="0"/>
  </r>
  <r>
    <x v="0"/>
    <x v="5"/>
    <x v="0"/>
    <s v="7201106"/>
    <n v="749530"/>
    <s v="Mileage"/>
    <s v="Health Connections"/>
    <x v="0"/>
    <n v="1001"/>
    <n v="1446.6"/>
    <n v="1718.06"/>
    <n v="3007.62"/>
    <n v="2064.5100000000002"/>
    <n v="2112.67"/>
    <n v="2274.4899999999998"/>
    <n v="2040.47"/>
    <n v="530.70000000000005"/>
    <n v="1644.3"/>
    <n v="1555.56"/>
    <n v="1655.9"/>
    <n v="6664.56"/>
    <n v="26715.440000000006"/>
    <n v="-5008.66"/>
  </r>
  <r>
    <x v="5"/>
    <x v="9"/>
    <x v="0"/>
    <s v="7201501"/>
    <n v="700014"/>
    <s v="Salaries-Management-Productive"/>
    <s v="Community Health Integratio"/>
    <x v="0"/>
    <m/>
    <n v="16328.38"/>
    <n v="17101.490000000002"/>
    <n v="14564.1"/>
    <n v="9267.99"/>
    <n v="15654.79"/>
    <n v="11408.2"/>
    <n v="11972.44"/>
    <n v="16225.21"/>
    <n v="18109.22"/>
    <n v="18716.330000000002"/>
    <n v="18838.48"/>
    <n v="16408.04"/>
    <n v="184594.67000000004"/>
    <n v="2430.4399999999987"/>
  </r>
  <r>
    <x v="5"/>
    <x v="9"/>
    <x v="0"/>
    <s v="7201501"/>
    <n v="700054"/>
    <s v="Salaries-Management-Non-productive"/>
    <s v="Community Health Integratio"/>
    <x v="0"/>
    <m/>
    <n v="772.32"/>
    <n v="0"/>
    <n v="1985.94"/>
    <n v="7833.49"/>
    <n v="3155.29"/>
    <n v="7402.71"/>
    <n v="6867.82"/>
    <n v="790.09"/>
    <n v="729.27"/>
    <n v="-486.11"/>
    <n v="0"/>
    <n v="1823"/>
    <n v="30873.82"/>
    <n v="-1823"/>
  </r>
  <r>
    <x v="5"/>
    <x v="9"/>
    <x v="0"/>
    <s v="7201501"/>
    <n v="700054"/>
    <s v="Salaries-Management-NonProd-Other"/>
    <s v="Community Health Integratio"/>
    <x v="0"/>
    <n v="2000"/>
    <n v="0"/>
    <n v="0"/>
    <n v="0"/>
    <n v="0"/>
    <n v="0"/>
    <n v="118"/>
    <n v="-118"/>
    <n v="0"/>
    <n v="0"/>
    <n v="0"/>
    <n v="0"/>
    <n v="0"/>
    <n v="0"/>
    <n v="0"/>
  </r>
  <r>
    <x v="6"/>
    <x v="9"/>
    <x v="0"/>
    <s v="7201501"/>
    <n v="713010"/>
    <s v="Benefits-FICA/Medicare"/>
    <s v="Community Health Integratio"/>
    <x v="0"/>
    <m/>
    <n v="1293.52"/>
    <n v="860.84"/>
    <n v="164.79"/>
    <n v="245.52"/>
    <n v="273.01"/>
    <n v="876.43"/>
    <n v="1435.16"/>
    <n v="1288.0999999999999"/>
    <n v="1426.14"/>
    <n v="1380.31"/>
    <n v="1426.06"/>
    <n v="1380.11"/>
    <n v="12049.990000000002"/>
    <n v="45.950000000000045"/>
  </r>
  <r>
    <x v="6"/>
    <x v="9"/>
    <x v="0"/>
    <s v="7201501"/>
    <n v="713090"/>
    <s v="Benefits-Allocated Amounts"/>
    <s v="Community Health Integratio"/>
    <x v="0"/>
    <m/>
    <n v="1831.05"/>
    <n v="1699.52"/>
    <n v="1763.93"/>
    <n v="1601.11"/>
    <n v="1583.79"/>
    <n v="1920.38"/>
    <n v="2028.04"/>
    <n v="1810.03"/>
    <n v="2399.41"/>
    <n v="2001.26"/>
    <n v="2074.0700000000002"/>
    <n v="1934.53"/>
    <n v="22647.119999999999"/>
    <n v="139.54000000000019"/>
  </r>
  <r>
    <x v="0"/>
    <x v="9"/>
    <x v="0"/>
    <s v="7201501"/>
    <n v="740020"/>
    <s v="Education-Registration Fees"/>
    <s v="Community Health Integratio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201501"/>
    <n v="743030"/>
    <s v="Subscriptions--Institutional"/>
    <s v="Community Health Integratio"/>
    <x v="0"/>
    <m/>
    <n v="0"/>
    <n v="0"/>
    <n v="0"/>
    <n v="0"/>
    <n v="0"/>
    <n v="0"/>
    <n v="609.6"/>
    <n v="77.2"/>
    <n v="0"/>
    <n v="0"/>
    <n v="0"/>
    <n v="0"/>
    <n v="686.80000000000007"/>
    <n v="0"/>
  </r>
  <r>
    <x v="0"/>
    <x v="9"/>
    <x v="0"/>
    <s v="7201501"/>
    <n v="749510"/>
    <s v="Miscellaneous Expenses"/>
    <s v="Community Health Integratio"/>
    <x v="0"/>
    <m/>
    <n v="63.95"/>
    <n v="626.03"/>
    <n v="612.70000000000005"/>
    <n v="0"/>
    <n v="403.4"/>
    <n v="0"/>
    <n v="-1706.08"/>
    <n v="0"/>
    <n v="7241.96"/>
    <n v="-7119.21"/>
    <n v="2018.05"/>
    <n v="234.67"/>
    <n v="2375.4700000000003"/>
    <n v="1783.3799999999999"/>
  </r>
  <r>
    <x v="0"/>
    <x v="9"/>
    <x v="0"/>
    <s v="7201501"/>
    <n v="749530"/>
    <s v="Travel"/>
    <s v="Community Health Integratio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201501"/>
    <n v="749535"/>
    <s v="Meetings"/>
    <s v="Community Health Integratio"/>
    <x v="0"/>
    <m/>
    <n v="0"/>
    <n v="0"/>
    <n v="0"/>
    <n v="0"/>
    <n v="0"/>
    <n v="0"/>
    <n v="0"/>
    <n v="0"/>
    <n v="0"/>
    <n v="6806.96"/>
    <n v="0"/>
    <n v="50.94"/>
    <n v="6857.9"/>
    <n v="-50.94"/>
  </r>
  <r>
    <x v="14"/>
    <x v="1"/>
    <x v="0"/>
    <s v="7202200"/>
    <n v="600061"/>
    <s v="Federal Grant Revenue"/>
    <s v="Women Infant Children"/>
    <x v="0"/>
    <m/>
    <n v="0"/>
    <n v="0"/>
    <n v="0"/>
    <n v="0"/>
    <n v="0"/>
    <n v="-1646.58"/>
    <n v="0"/>
    <n v="0"/>
    <n v="0"/>
    <n v="0"/>
    <n v="0"/>
    <n v="0"/>
    <n v="-1646.58"/>
    <n v="0"/>
  </r>
  <r>
    <x v="7"/>
    <x v="1"/>
    <x v="0"/>
    <s v="7202200"/>
    <n v="718040"/>
    <s v="Contract Svcs-Laboratory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202200"/>
    <n v="718050"/>
    <s v="Contract Svcs-Other"/>
    <s v="Women Infant Children"/>
    <x v="0"/>
    <m/>
    <n v="0"/>
    <n v="0"/>
    <n v="0"/>
    <n v="0"/>
    <n v="0"/>
    <n v="1646.58"/>
    <n v="0"/>
    <n v="0"/>
    <n v="0"/>
    <n v="0"/>
    <n v="0"/>
    <n v="0"/>
    <n v="1646.58"/>
    <n v="0"/>
  </r>
  <r>
    <x v="7"/>
    <x v="1"/>
    <x v="0"/>
    <s v="7202200"/>
    <n v="718050"/>
    <s v="Cleaning Services"/>
    <s v="Women Infant Children"/>
    <x v="0"/>
    <n v="1011"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202200"/>
    <n v="718050"/>
    <s v="Document Shredding/Storage"/>
    <s v="Women Infant Children"/>
    <x v="0"/>
    <n v="1012"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202200"/>
    <n v="718050"/>
    <s v="Security"/>
    <s v="Women Infant Children"/>
    <x v="0"/>
    <n v="1019"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202200"/>
    <n v="718050"/>
    <s v="Miscellaneous Purchased Svcs"/>
    <s v="Women Infant Children"/>
    <x v="0"/>
    <n v="1020"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202200"/>
    <n v="718050"/>
    <s v="Translation Services"/>
    <s v="Women Infant Children"/>
    <x v="0"/>
    <n v="1025"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2200"/>
    <n v="721410"/>
    <s v="Supplies-Medical - Nonbillable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2200"/>
    <n v="721810"/>
    <s v="Supplies-Dietary/Cafeteria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2200"/>
    <n v="721830"/>
    <s v="Supplies-Office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2200"/>
    <n v="721870"/>
    <s v="Supplies-Environmental Services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2200"/>
    <n v="721880"/>
    <s v="Supplies-Linen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2200"/>
    <n v="721910"/>
    <s v="Supplies-Small Equipment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2200"/>
    <n v="721980"/>
    <s v="Supplies-Other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7202200"/>
    <n v="730010"/>
    <s v="Rental and Leases-Building (DO NOT USE)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7202200"/>
    <n v="730020"/>
    <s v="Rental and Leases-Copier Usage Fees (DO NOT USE)"/>
    <s v="Women Infant Children"/>
    <x v="0"/>
    <n v="5100"/>
    <n v="0"/>
    <n v="0"/>
    <n v="0"/>
    <n v="0"/>
    <n v="0"/>
    <n v="0"/>
    <n v="0"/>
    <n v="0"/>
    <n v="0"/>
    <n v="0"/>
    <n v="0"/>
    <n v="0"/>
    <n v="0"/>
    <n v="0"/>
  </r>
  <r>
    <x v="15"/>
    <x v="1"/>
    <x v="0"/>
    <s v="7202200"/>
    <n v="731020"/>
    <s v="Electricity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5"/>
    <x v="1"/>
    <x v="0"/>
    <s v="7202200"/>
    <n v="731060"/>
    <s v="Telephone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6"/>
    <x v="1"/>
    <x v="0"/>
    <s v="7202200"/>
    <n v="732030"/>
    <s v="Repairs---Other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16"/>
    <x v="1"/>
    <x v="0"/>
    <s v="7202200"/>
    <n v="733030"/>
    <s v="Maintenance Contracts-Other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202200"/>
    <n v="740020"/>
    <s v="Education-Registration Fees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202200"/>
    <n v="743010"/>
    <s v="Dues--Institutional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202200"/>
    <n v="749510"/>
    <s v="Miscellaneous Expenses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202200"/>
    <n v="749510"/>
    <s v="Licenses"/>
    <s v="Women Infant Children"/>
    <x v="0"/>
    <n v="1002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202200"/>
    <n v="749530"/>
    <s v="Travel"/>
    <s v="Women Infant Children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202200"/>
    <n v="749530"/>
    <s v="Mileage"/>
    <s v="Women Infant Children"/>
    <x v="0"/>
    <n v="1001"/>
    <n v="0"/>
    <n v="0"/>
    <n v="0"/>
    <n v="0"/>
    <n v="0"/>
    <n v="0"/>
    <n v="0"/>
    <n v="0"/>
    <n v="0"/>
    <n v="0"/>
    <n v="0"/>
    <n v="0"/>
    <n v="0"/>
    <n v="0"/>
  </r>
  <r>
    <x v="14"/>
    <x v="9"/>
    <x v="0"/>
    <s v="7202501"/>
    <n v="600061"/>
    <s v="Federal Grant Revenue"/>
    <s v="SBIRT"/>
    <x v="0"/>
    <m/>
    <n v="-19017"/>
    <n v="0"/>
    <n v="-19017"/>
    <n v="-19017"/>
    <n v="-19017"/>
    <n v="-19017"/>
    <n v="-19004"/>
    <n v="-21421"/>
    <n v="-21421.03"/>
    <n v="-21421"/>
    <n v="-21421"/>
    <n v="-42842"/>
    <n v="-242615.03"/>
    <n v="21421"/>
  </r>
  <r>
    <x v="5"/>
    <x v="9"/>
    <x v="0"/>
    <s v="7202501"/>
    <n v="700032"/>
    <s v="Salaries-Other Pat Care Providers-Productive"/>
    <s v="SBIRT"/>
    <x v="0"/>
    <m/>
    <n v="19017"/>
    <n v="0"/>
    <n v="19017"/>
    <n v="19017"/>
    <n v="19017"/>
    <n v="19017"/>
    <n v="19004"/>
    <n v="21421"/>
    <n v="21421"/>
    <n v="21421"/>
    <n v="21421"/>
    <n v="42842"/>
    <n v="242615"/>
    <n v="-21421"/>
  </r>
  <r>
    <x v="0"/>
    <x v="9"/>
    <x v="0"/>
    <s v="7202501"/>
    <n v="749510"/>
    <s v="Miscellaneous Expenses"/>
    <s v="SBIRT"/>
    <x v="0"/>
    <m/>
    <n v="0"/>
    <n v="0"/>
    <n v="0"/>
    <n v="0"/>
    <n v="0"/>
    <n v="0"/>
    <n v="0"/>
    <n v="0"/>
    <n v="0"/>
    <n v="0"/>
    <n v="0"/>
    <n v="0"/>
    <n v="0"/>
    <n v="0"/>
  </r>
  <r>
    <x v="7"/>
    <x v="4"/>
    <x v="0"/>
    <s v="7203103"/>
    <n v="718050"/>
    <s v="Contract Svcs-Other"/>
    <s v="WIC"/>
    <x v="0"/>
    <m/>
    <n v="0"/>
    <n v="0"/>
    <n v="0"/>
    <n v="0"/>
    <n v="0"/>
    <n v="0"/>
    <n v="0"/>
    <n v="0"/>
    <n v="0"/>
    <n v="0"/>
    <n v="0"/>
    <n v="0"/>
    <n v="0"/>
    <n v="0"/>
  </r>
  <r>
    <x v="7"/>
    <x v="4"/>
    <x v="0"/>
    <s v="7203103"/>
    <n v="718050"/>
    <s v="Document Shredding/Storage"/>
    <s v="WIC"/>
    <x v="0"/>
    <n v="1012"/>
    <n v="0"/>
    <n v="0"/>
    <n v="0"/>
    <n v="0"/>
    <n v="0"/>
    <n v="0"/>
    <n v="0"/>
    <n v="0"/>
    <n v="0"/>
    <n v="0"/>
    <n v="0"/>
    <n v="0"/>
    <n v="0"/>
    <n v="0"/>
  </r>
  <r>
    <x v="7"/>
    <x v="4"/>
    <x v="0"/>
    <s v="7203103"/>
    <n v="718050"/>
    <s v="Miscellaneous Purchased Svcs"/>
    <s v="WIC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7203103"/>
    <n v="721830"/>
    <s v="Supplies-Office"/>
    <s v="WIC"/>
    <x v="0"/>
    <m/>
    <n v="0"/>
    <n v="0"/>
    <n v="0"/>
    <n v="0"/>
    <n v="0"/>
    <n v="0"/>
    <n v="0"/>
    <n v="0"/>
    <n v="0"/>
    <n v="0"/>
    <n v="0"/>
    <n v="0"/>
    <n v="0"/>
    <n v="0"/>
  </r>
  <r>
    <x v="12"/>
    <x v="4"/>
    <x v="0"/>
    <s v="7203103"/>
    <n v="730010"/>
    <s v="Rental and Leases-Building (DO NOT USE)"/>
    <s v="WIC"/>
    <x v="0"/>
    <m/>
    <n v="0"/>
    <n v="0"/>
    <n v="0"/>
    <n v="-129.68"/>
    <n v="129.68"/>
    <n v="0"/>
    <n v="0"/>
    <n v="0"/>
    <n v="0"/>
    <n v="0"/>
    <n v="0"/>
    <n v="0"/>
    <n v="0"/>
    <n v="0"/>
  </r>
  <r>
    <x v="15"/>
    <x v="4"/>
    <x v="0"/>
    <s v="7203103"/>
    <n v="731020"/>
    <s v="Electricity"/>
    <s v="WIC"/>
    <x v="0"/>
    <m/>
    <n v="0"/>
    <n v="0"/>
    <n v="0"/>
    <n v="0"/>
    <n v="0"/>
    <n v="0"/>
    <n v="0"/>
    <n v="0"/>
    <n v="0"/>
    <n v="0"/>
    <n v="0"/>
    <n v="0"/>
    <n v="0"/>
    <n v="0"/>
  </r>
  <r>
    <x v="7"/>
    <x v="5"/>
    <x v="0"/>
    <s v="7203106"/>
    <n v="718050"/>
    <s v="Miscellaneous Purchased Svcs"/>
    <s v="WIC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203106"/>
    <n v="721410"/>
    <s v="Supplies-Medical - Nonbillable"/>
    <s v="WIC"/>
    <x v="0"/>
    <m/>
    <n v="0"/>
    <n v="0"/>
    <n v="0"/>
    <n v="7.65"/>
    <n v="-7.65"/>
    <n v="0"/>
    <n v="0"/>
    <n v="0"/>
    <n v="0"/>
    <n v="0"/>
    <n v="0"/>
    <n v="0"/>
    <n v="0"/>
    <n v="0"/>
  </r>
  <r>
    <x v="11"/>
    <x v="5"/>
    <x v="0"/>
    <s v="7203106"/>
    <n v="721830"/>
    <s v="Supplies-Office"/>
    <s v="WIC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203106"/>
    <n v="721870"/>
    <s v="Supplies-Environmental Services"/>
    <s v="WIC"/>
    <x v="0"/>
    <m/>
    <n v="0"/>
    <n v="0"/>
    <n v="0"/>
    <n v="14.19"/>
    <n v="-14.19"/>
    <n v="0"/>
    <n v="0"/>
    <n v="0"/>
    <n v="0"/>
    <n v="0"/>
    <n v="0"/>
    <n v="0"/>
    <n v="0"/>
    <n v="0"/>
  </r>
  <r>
    <x v="11"/>
    <x v="5"/>
    <x v="0"/>
    <s v="7203106"/>
    <n v="721910"/>
    <s v="Supplies-Small Equipment"/>
    <s v="WIC"/>
    <x v="0"/>
    <m/>
    <n v="0"/>
    <n v="0"/>
    <n v="0"/>
    <n v="25.34"/>
    <n v="-25.34"/>
    <n v="0"/>
    <n v="0"/>
    <n v="0"/>
    <n v="0"/>
    <n v="0"/>
    <n v="0"/>
    <n v="0"/>
    <n v="0"/>
    <n v="0"/>
  </r>
  <r>
    <x v="11"/>
    <x v="5"/>
    <x v="0"/>
    <s v="7203106"/>
    <n v="721980"/>
    <s v="Supplies-Other"/>
    <s v="WIC"/>
    <x v="0"/>
    <m/>
    <n v="0"/>
    <n v="0"/>
    <n v="0"/>
    <n v="0"/>
    <n v="0"/>
    <n v="0"/>
    <n v="0"/>
    <n v="0"/>
    <n v="0"/>
    <n v="0"/>
    <n v="0"/>
    <n v="0"/>
    <n v="0"/>
    <n v="0"/>
  </r>
  <r>
    <x v="12"/>
    <x v="5"/>
    <x v="0"/>
    <s v="7203106"/>
    <n v="730010"/>
    <s v="Rental and Leases-Building (DO NOT USE)"/>
    <s v="WIC"/>
    <x v="0"/>
    <m/>
    <n v="0"/>
    <n v="0"/>
    <n v="0"/>
    <n v="0"/>
    <n v="0"/>
    <n v="0"/>
    <n v="0"/>
    <n v="0"/>
    <n v="0"/>
    <n v="0"/>
    <n v="0"/>
    <n v="0"/>
    <n v="0"/>
    <n v="0"/>
  </r>
  <r>
    <x v="12"/>
    <x v="5"/>
    <x v="0"/>
    <s v="7203106"/>
    <n v="730010"/>
    <s v="Rental-Common Area Maint (DO NOT USE)"/>
    <s v="WIC"/>
    <x v="0"/>
    <n v="2200"/>
    <n v="0"/>
    <n v="0"/>
    <n v="0"/>
    <n v="0"/>
    <n v="0"/>
    <n v="0"/>
    <n v="0"/>
    <n v="0"/>
    <n v="0"/>
    <n v="0"/>
    <n v="0"/>
    <n v="0"/>
    <n v="0"/>
    <n v="0"/>
  </r>
  <r>
    <x v="15"/>
    <x v="5"/>
    <x v="0"/>
    <s v="7203106"/>
    <n v="731020"/>
    <s v="Electricity"/>
    <s v="WIC"/>
    <x v="0"/>
    <m/>
    <n v="0"/>
    <n v="0"/>
    <n v="0"/>
    <n v="0"/>
    <n v="0"/>
    <n v="0"/>
    <n v="0"/>
    <n v="0"/>
    <n v="0"/>
    <n v="0"/>
    <n v="0"/>
    <n v="0"/>
    <n v="0"/>
    <n v="0"/>
  </r>
  <r>
    <x v="15"/>
    <x v="5"/>
    <x v="0"/>
    <s v="7203106"/>
    <n v="731060"/>
    <s v="Telephone"/>
    <s v="WIC"/>
    <x v="0"/>
    <m/>
    <n v="0"/>
    <n v="0"/>
    <n v="0"/>
    <n v="0"/>
    <n v="0"/>
    <n v="0"/>
    <n v="0"/>
    <n v="0"/>
    <n v="0"/>
    <n v="0"/>
    <n v="0"/>
    <n v="0"/>
    <n v="0"/>
    <n v="0"/>
  </r>
  <r>
    <x v="0"/>
    <x v="5"/>
    <x v="0"/>
    <s v="7203106"/>
    <n v="766010"/>
    <s v="Property Tax"/>
    <s v="WIC"/>
    <x v="0"/>
    <m/>
    <n v="0"/>
    <n v="0"/>
    <n v="0"/>
    <n v="0"/>
    <n v="0"/>
    <n v="0"/>
    <n v="0"/>
    <n v="0"/>
    <n v="0"/>
    <n v="0"/>
    <n v="0"/>
    <n v="0"/>
    <n v="0"/>
    <n v="0"/>
  </r>
  <r>
    <x v="14"/>
    <x v="6"/>
    <x v="0"/>
    <s v="7203107"/>
    <n v="600061"/>
    <s v="Federal Grant Revenue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203107"/>
    <n v="700026"/>
    <s v="Salaries-RN-Productive"/>
    <s v="WIC Program-Belfair"/>
    <x v="0"/>
    <m/>
    <n v="0"/>
    <n v="0"/>
    <n v="0"/>
    <n v="-84.01"/>
    <n v="84.01"/>
    <n v="0"/>
    <n v="0"/>
    <n v="0"/>
    <n v="0"/>
    <n v="0"/>
    <n v="0"/>
    <n v="0"/>
    <n v="0"/>
    <n v="0"/>
  </r>
  <r>
    <x v="5"/>
    <x v="6"/>
    <x v="0"/>
    <s v="7203107"/>
    <n v="700034"/>
    <s v="Salaries-Tech/Professional-Productive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203107"/>
    <n v="700074"/>
    <s v="Salaries-Tech/Professional-Non-productive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203107"/>
    <n v="713010"/>
    <s v="Benefits-FICA/Medicare"/>
    <s v="WIC Program-Belfair"/>
    <x v="0"/>
    <m/>
    <n v="0"/>
    <n v="0"/>
    <n v="0"/>
    <n v="-6.42"/>
    <n v="6.42"/>
    <n v="0"/>
    <n v="0"/>
    <n v="0"/>
    <n v="0"/>
    <n v="0"/>
    <n v="0"/>
    <n v="0"/>
    <n v="0"/>
    <n v="0"/>
  </r>
  <r>
    <x v="6"/>
    <x v="6"/>
    <x v="0"/>
    <s v="7203107"/>
    <n v="713090"/>
    <s v="Benefits-Allocated Amounts"/>
    <s v="WIC Program-Belfair"/>
    <x v="0"/>
    <m/>
    <n v="0"/>
    <n v="0"/>
    <n v="0"/>
    <n v="-15.15"/>
    <n v="15.15"/>
    <n v="0"/>
    <n v="0"/>
    <n v="0"/>
    <n v="0"/>
    <n v="0"/>
    <n v="0"/>
    <n v="0"/>
    <n v="0"/>
    <n v="0"/>
  </r>
  <r>
    <x v="7"/>
    <x v="6"/>
    <x v="0"/>
    <s v="7203107"/>
    <n v="718050"/>
    <s v="Contract Svcs-Other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7203107"/>
    <n v="721910"/>
    <s v="Supplies-Small Equipment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7203107"/>
    <n v="721980"/>
    <s v="Supplies-Other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12"/>
    <x v="6"/>
    <x v="0"/>
    <s v="7203107"/>
    <n v="730010"/>
    <s v="Rental and Leases-Building (DO NOT USE)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15"/>
    <x v="6"/>
    <x v="0"/>
    <s v="7203107"/>
    <n v="731060"/>
    <s v="Telephone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7203107"/>
    <n v="740020"/>
    <s v="Education-Registration Fees"/>
    <s v="WIC Program-Belfair"/>
    <x v="0"/>
    <m/>
    <n v="0"/>
    <n v="0"/>
    <n v="0"/>
    <n v="0"/>
    <n v="0"/>
    <n v="0"/>
    <n v="0"/>
    <n v="0"/>
    <n v="0"/>
    <n v="0"/>
    <n v="0"/>
    <n v="0"/>
    <n v="0"/>
    <n v="0"/>
  </r>
  <r>
    <x v="14"/>
    <x v="1"/>
    <x v="0"/>
    <s v="7203200"/>
    <n v="600061"/>
    <s v="Federal Grant Revenue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203200"/>
    <n v="718050"/>
    <s v="Contract Svcs-Other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203200"/>
    <n v="718050"/>
    <s v="Miscellaneous Purchased Svcs"/>
    <s v="Women Infant Children-Highline"/>
    <x v="0"/>
    <n v="1020"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3200"/>
    <n v="721830"/>
    <s v="Supplies-Office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3200"/>
    <n v="721880"/>
    <s v="Supplies-Linen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203200"/>
    <n v="721980"/>
    <s v="Supplies-Other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7203200"/>
    <n v="730010"/>
    <s v="Rental and Leases-Building (DO NOT USE)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7203200"/>
    <n v="730010"/>
    <s v="Rental-Common Area Maint (DO NOT USE)"/>
    <s v="Women Infant Children-Highline"/>
    <x v="0"/>
    <n v="2200"/>
    <n v="0"/>
    <n v="0"/>
    <n v="0"/>
    <n v="0"/>
    <n v="0"/>
    <n v="0"/>
    <n v="0"/>
    <n v="0"/>
    <n v="0"/>
    <n v="0"/>
    <n v="0"/>
    <n v="0"/>
    <n v="0"/>
    <n v="0"/>
  </r>
  <r>
    <x v="15"/>
    <x v="1"/>
    <x v="0"/>
    <s v="7203200"/>
    <n v="731020"/>
    <s v="Electricity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15"/>
    <x v="1"/>
    <x v="0"/>
    <s v="7203200"/>
    <n v="731060"/>
    <s v="Telephone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203200"/>
    <n v="743010"/>
    <s v="Dues--Institutional"/>
    <s v="Women Infant Children-Highline"/>
    <x v="0"/>
    <m/>
    <n v="0"/>
    <n v="0"/>
    <n v="0"/>
    <n v="0"/>
    <n v="0"/>
    <n v="0"/>
    <n v="0"/>
    <n v="0"/>
    <n v="0"/>
    <n v="0"/>
    <n v="0"/>
    <n v="0"/>
    <n v="0"/>
    <n v="0"/>
  </r>
  <r>
    <x v="20"/>
    <x v="9"/>
    <x v="0"/>
    <s v="7203501"/>
    <n v="610010"/>
    <s v="Foundation Distributions"/>
    <s v="Faith Health in Action"/>
    <x v="0"/>
    <n v="1175"/>
    <n v="0"/>
    <n v="0"/>
    <n v="0"/>
    <n v="0"/>
    <n v="0"/>
    <n v="-3846.93"/>
    <n v="-2183.42"/>
    <n v="-6172.2"/>
    <n v="-5901.76"/>
    <n v="-2781.56"/>
    <n v="-12100"/>
    <n v="-24381.14"/>
    <n v="-57367.009999999995"/>
    <n v="12281.14"/>
  </r>
  <r>
    <x v="5"/>
    <x v="9"/>
    <x v="0"/>
    <s v="7203501"/>
    <n v="700034"/>
    <s v="Salaries-Tech/Professional-Productive"/>
    <s v="Faith Health in Action"/>
    <x v="0"/>
    <m/>
    <n v="0"/>
    <n v="0"/>
    <n v="0"/>
    <n v="0"/>
    <n v="0"/>
    <n v="0"/>
    <n v="0"/>
    <n v="4300.47"/>
    <n v="4039.97"/>
    <n v="3909.51"/>
    <n v="4039.97"/>
    <n v="3909.7"/>
    <n v="20199.62"/>
    <n v="130.26999999999998"/>
  </r>
  <r>
    <x v="5"/>
    <x v="9"/>
    <x v="0"/>
    <s v="7203501"/>
    <n v="700084"/>
    <s v="Accrued PTO"/>
    <s v="Faith Health in Action"/>
    <x v="0"/>
    <m/>
    <n v="0"/>
    <n v="0"/>
    <n v="0"/>
    <n v="0"/>
    <n v="0"/>
    <n v="0"/>
    <n v="397"/>
    <n v="420.28"/>
    <n v="443.81"/>
    <n v="420.54"/>
    <n v="420.28"/>
    <n v="630.79999999999995"/>
    <n v="2732.71"/>
    <n v="-210.51999999999998"/>
  </r>
  <r>
    <x v="6"/>
    <x v="9"/>
    <x v="0"/>
    <s v="7203501"/>
    <n v="713010"/>
    <s v="Benefits-FICA/Medicare"/>
    <s v="Faith Health in Action"/>
    <x v="0"/>
    <m/>
    <n v="0"/>
    <n v="0"/>
    <n v="0"/>
    <n v="0"/>
    <n v="0"/>
    <n v="0"/>
    <n v="0"/>
    <n v="291.95999999999998"/>
    <n v="276.23"/>
    <n v="265.94"/>
    <n v="274.8"/>
    <n v="292.77999999999997"/>
    <n v="1401.71"/>
    <n v="-17.979999999999961"/>
  </r>
  <r>
    <x v="6"/>
    <x v="9"/>
    <x v="0"/>
    <s v="7203501"/>
    <n v="713090"/>
    <s v="Benefits-Allocated Amounts"/>
    <s v="Faith Health in Action"/>
    <x v="0"/>
    <m/>
    <n v="0"/>
    <n v="0"/>
    <n v="0"/>
    <n v="0"/>
    <n v="0"/>
    <n v="0"/>
    <n v="32.549999999999997"/>
    <n v="1159.49"/>
    <n v="1141.75"/>
    <n v="1146.03"/>
    <n v="1100"/>
    <n v="1046.53"/>
    <n v="5626.3499999999995"/>
    <n v="53.470000000000027"/>
  </r>
  <r>
    <x v="7"/>
    <x v="9"/>
    <x v="0"/>
    <s v="7203501"/>
    <n v="718050"/>
    <s v="Contract Svcs-Other"/>
    <s v="Faith Health in Action"/>
    <x v="0"/>
    <m/>
    <n v="0"/>
    <n v="0"/>
    <n v="0"/>
    <n v="0"/>
    <n v="0"/>
    <n v="0"/>
    <n v="4959.6099999999997"/>
    <n v="0"/>
    <n v="0"/>
    <n v="0"/>
    <n v="1657.32"/>
    <n v="12200"/>
    <n v="18816.93"/>
    <n v="-10542.68"/>
  </r>
  <r>
    <x v="11"/>
    <x v="9"/>
    <x v="0"/>
    <s v="7203501"/>
    <n v="721980"/>
    <s v="Supplies-Other"/>
    <s v="Faith Health in Action"/>
    <x v="0"/>
    <m/>
    <n v="0"/>
    <n v="0"/>
    <n v="0"/>
    <n v="0"/>
    <n v="0"/>
    <n v="0"/>
    <n v="603.87"/>
    <n v="0"/>
    <n v="0"/>
    <n v="0"/>
    <n v="0"/>
    <n v="0"/>
    <n v="603.87"/>
    <n v="0"/>
  </r>
  <r>
    <x v="0"/>
    <x v="9"/>
    <x v="0"/>
    <s v="7203501"/>
    <n v="749510"/>
    <s v="Miscellaneous Expenses"/>
    <s v="Faith Health in Action"/>
    <x v="0"/>
    <m/>
    <n v="0"/>
    <n v="0"/>
    <n v="0"/>
    <n v="0"/>
    <n v="0"/>
    <n v="0"/>
    <n v="37.32"/>
    <n v="0"/>
    <n v="0"/>
    <n v="131.41"/>
    <n v="1070.3900000000001"/>
    <n v="396.93"/>
    <n v="1636.0500000000002"/>
    <n v="673.46"/>
  </r>
  <r>
    <x v="0"/>
    <x v="9"/>
    <x v="0"/>
    <s v="7203501"/>
    <n v="749530"/>
    <s v="Travel"/>
    <s v="Faith Health in Action"/>
    <x v="0"/>
    <m/>
    <n v="0"/>
    <n v="0"/>
    <n v="0"/>
    <n v="0"/>
    <n v="0"/>
    <n v="0"/>
    <n v="0"/>
    <n v="0"/>
    <n v="0"/>
    <n v="57.35"/>
    <n v="0"/>
    <n v="73.599999999999994"/>
    <n v="130.94999999999999"/>
    <n v="-73.599999999999994"/>
  </r>
  <r>
    <x v="0"/>
    <x v="9"/>
    <x v="0"/>
    <s v="7203501"/>
    <n v="749530"/>
    <s v="Mileage"/>
    <s v="Faith Health in Action"/>
    <x v="0"/>
    <n v="1001"/>
    <n v="0"/>
    <n v="0"/>
    <n v="0"/>
    <n v="0"/>
    <n v="0"/>
    <n v="0"/>
    <n v="0"/>
    <n v="0"/>
    <n v="0"/>
    <n v="330.6"/>
    <n v="57.42"/>
    <n v="94.54"/>
    <n v="482.56000000000006"/>
    <n v="-37.120000000000005"/>
  </r>
  <r>
    <x v="14"/>
    <x v="1"/>
    <x v="0"/>
    <s v="7204200"/>
    <n v="600026"/>
    <s v="POB Rental"/>
    <s v="WIC-Consolidated"/>
    <x v="0"/>
    <n v="1001"/>
    <n v="0"/>
    <n v="0"/>
    <n v="0"/>
    <n v="0"/>
    <n v="0"/>
    <n v="-95.48"/>
    <n v="-95.48"/>
    <n v="-95.48"/>
    <n v="-101.2"/>
    <n v="-575.74"/>
    <n v="-98.34"/>
    <n v="-98.34"/>
    <n v="-1160.06"/>
    <n v="0"/>
  </r>
  <r>
    <x v="14"/>
    <x v="1"/>
    <x v="0"/>
    <s v="7204200"/>
    <n v="600026"/>
    <s v="Other Rental"/>
    <s v="WIC-Consolidated"/>
    <x v="0"/>
    <n v="1002"/>
    <n v="0"/>
    <n v="0"/>
    <n v="0"/>
    <n v="0"/>
    <n v="0"/>
    <n v="-34.200000000000003"/>
    <n v="-34.200000000000003"/>
    <n v="-34.200000000000003"/>
    <n v="-34.200000000000003"/>
    <n v="-205.2"/>
    <n v="-34.200000000000003"/>
    <n v="-34.200000000000003"/>
    <n v="-410.4"/>
    <n v="0"/>
  </r>
  <r>
    <x v="14"/>
    <x v="1"/>
    <x v="0"/>
    <s v="7204200"/>
    <n v="600061"/>
    <s v="Federal Grant Revenue"/>
    <s v="WIC-Consolidated"/>
    <x v="0"/>
    <m/>
    <n v="-142650.96"/>
    <n v="-173233.7"/>
    <n v="-80706.3"/>
    <n v="-142179.71"/>
    <n v="-194426.74"/>
    <n v="-79307.839999999997"/>
    <n v="-104723.22"/>
    <n v="-259780.16"/>
    <n v="-147441.60000000001"/>
    <n v="-161731.47"/>
    <n v="-186489.31"/>
    <n v="-106258.14"/>
    <n v="-1778929.15"/>
    <n v="-80231.17"/>
  </r>
  <r>
    <x v="20"/>
    <x v="1"/>
    <x v="0"/>
    <s v="7204200"/>
    <n v="610010"/>
    <s v="Foundation Distributions"/>
    <s v="WIC-Consolidated"/>
    <x v="0"/>
    <n v="1175"/>
    <n v="0"/>
    <n v="0"/>
    <n v="0"/>
    <n v="0"/>
    <n v="0"/>
    <n v="-287.81"/>
    <n v="0"/>
    <n v="0"/>
    <n v="-35"/>
    <n v="0"/>
    <n v="0"/>
    <n v="0"/>
    <n v="-322.81"/>
    <n v="0"/>
  </r>
  <r>
    <x v="5"/>
    <x v="1"/>
    <x v="0"/>
    <s v="7204200"/>
    <n v="700014"/>
    <s v="Salaries-Management-Productive"/>
    <s v="WIC-Consolidated"/>
    <x v="0"/>
    <m/>
    <n v="7197.12"/>
    <n v="7882.56"/>
    <n v="6854.4"/>
    <n v="6338.88"/>
    <n v="7395.36"/>
    <n v="5916.28"/>
    <n v="7477.17"/>
    <n v="4725.8900000000003"/>
    <n v="7617.83"/>
    <n v="7758.89"/>
    <n v="8111.58"/>
    <n v="2821.42"/>
    <n v="80097.38"/>
    <n v="5290.16"/>
  </r>
  <r>
    <x v="5"/>
    <x v="1"/>
    <x v="0"/>
    <s v="7204200"/>
    <n v="700018"/>
    <s v="Salaries-Supervisory-Productive"/>
    <s v="WIC-Consolidated"/>
    <x v="0"/>
    <m/>
    <n v="5243.04"/>
    <n v="5004.72"/>
    <n v="5481.36"/>
    <n v="4868.78"/>
    <n v="5330.26"/>
    <n v="4083.4"/>
    <n v="6134.39"/>
    <n v="6036.73"/>
    <n v="6134.11"/>
    <n v="6426.19"/>
    <n v="5257.82"/>
    <n v="5355.17"/>
    <n v="65355.969999999994"/>
    <n v="-97.350000000000364"/>
  </r>
  <r>
    <x v="5"/>
    <x v="1"/>
    <x v="0"/>
    <s v="7204200"/>
    <n v="700026"/>
    <s v="Salaries-RN-Productive"/>
    <s v="WIC-Consolidated"/>
    <x v="0"/>
    <m/>
    <n v="0"/>
    <n v="0"/>
    <n v="0"/>
    <n v="231.05"/>
    <n v="-84.01"/>
    <n v="0"/>
    <n v="0"/>
    <n v="0"/>
    <n v="0"/>
    <n v="0"/>
    <n v="0"/>
    <n v="0"/>
    <n v="147.04000000000002"/>
    <n v="0"/>
  </r>
  <r>
    <x v="5"/>
    <x v="1"/>
    <x v="0"/>
    <s v="7204200"/>
    <n v="700032"/>
    <s v="Salaries-Other Pat Care Providers-Productive"/>
    <s v="WIC-Consolidated"/>
    <x v="0"/>
    <m/>
    <n v="5318.24"/>
    <n v="3580.39"/>
    <n v="3471.1"/>
    <n v="3678.6"/>
    <n v="3368.13"/>
    <n v="2485.58"/>
    <n v="3439.41"/>
    <n v="2634.89"/>
    <n v="4315.8599999999997"/>
    <n v="3896.26"/>
    <n v="3806.33"/>
    <n v="2403.15"/>
    <n v="42397.94"/>
    <n v="1403.1799999999998"/>
  </r>
  <r>
    <x v="5"/>
    <x v="1"/>
    <x v="0"/>
    <s v="7204200"/>
    <n v="700032"/>
    <s v="Salaries-Other Pat Care Providers-Other"/>
    <s v="WIC-Consolidated"/>
    <x v="0"/>
    <n v="2000"/>
    <n v="0"/>
    <n v="0"/>
    <n v="0"/>
    <n v="4.75"/>
    <n v="-1"/>
    <n v="0"/>
    <n v="10.57"/>
    <n v="-0.3"/>
    <n v="31.55"/>
    <n v="2.2799999999999998"/>
    <n v="-0.52"/>
    <n v="3.52"/>
    <n v="50.85"/>
    <n v="-4.04"/>
  </r>
  <r>
    <x v="5"/>
    <x v="1"/>
    <x v="0"/>
    <s v="7204200"/>
    <n v="700034"/>
    <s v="Salaries-Tech/Professional-Productive"/>
    <s v="WIC-Consolidated"/>
    <x v="0"/>
    <m/>
    <n v="53176.52"/>
    <n v="56022.11"/>
    <n v="33816.82"/>
    <n v="95752.15"/>
    <n v="121742.58"/>
    <n v="713.81"/>
    <n v="120641"/>
    <n v="49497.25"/>
    <n v="69293.48"/>
    <n v="63435.040000000001"/>
    <n v="66689.38"/>
    <n v="59157.56"/>
    <n v="789937.7"/>
    <n v="7531.820000000007"/>
  </r>
  <r>
    <x v="5"/>
    <x v="1"/>
    <x v="0"/>
    <s v="7204200"/>
    <n v="700034"/>
    <s v="Salaries-Tech/Professional-OT"/>
    <s v="WIC-Consolidated"/>
    <x v="0"/>
    <n v="1000"/>
    <n v="0"/>
    <n v="0"/>
    <n v="30.37"/>
    <n v="129.01"/>
    <n v="-45.79"/>
    <n v="47.7"/>
    <n v="0"/>
    <n v="0"/>
    <n v="0"/>
    <n v="32.5"/>
    <n v="5.93"/>
    <n v="0"/>
    <n v="199.72000000000003"/>
    <n v="5.93"/>
  </r>
  <r>
    <x v="5"/>
    <x v="1"/>
    <x v="0"/>
    <s v="7204200"/>
    <n v="700034"/>
    <s v="Salaries-Tech/Professional-Other"/>
    <s v="WIC-Consolidated"/>
    <x v="0"/>
    <n v="2000"/>
    <n v="51"/>
    <n v="15.62"/>
    <n v="54.75"/>
    <n v="3.23"/>
    <n v="2.4"/>
    <n v="47.25"/>
    <n v="0"/>
    <n v="3"/>
    <n v="33.549999999999997"/>
    <n v="17.43"/>
    <n v="4.3499999999999996"/>
    <n v="11.51"/>
    <n v="244.09"/>
    <n v="-7.16"/>
  </r>
  <r>
    <x v="5"/>
    <x v="1"/>
    <x v="0"/>
    <s v="7204200"/>
    <n v="700038"/>
    <s v="Salaries-Service/Support-Productive"/>
    <s v="WIC-Consolidated"/>
    <x v="0"/>
    <m/>
    <n v="3163.29"/>
    <n v="1249.19"/>
    <n v="0"/>
    <n v="0"/>
    <n v="0"/>
    <n v="0"/>
    <n v="0"/>
    <n v="0"/>
    <n v="0"/>
    <n v="0"/>
    <n v="0"/>
    <n v="0"/>
    <n v="4412.4799999999996"/>
    <n v="0"/>
  </r>
  <r>
    <x v="5"/>
    <x v="1"/>
    <x v="0"/>
    <s v="7204200"/>
    <n v="700054"/>
    <s v="Salaries-Management-Non-productive"/>
    <s v="WIC-Consolidated"/>
    <x v="0"/>
    <m/>
    <n v="342.72"/>
    <n v="0"/>
    <n v="0"/>
    <n v="1713.6"/>
    <n v="352.16"/>
    <n v="1479.07"/>
    <n v="634.91999999999996"/>
    <n v="2327.64"/>
    <n v="-211.6"/>
    <n v="0"/>
    <n v="0"/>
    <n v="4232.12"/>
    <n v="10870.629999999997"/>
    <n v="-4232.12"/>
  </r>
  <r>
    <x v="5"/>
    <x v="1"/>
    <x v="0"/>
    <s v="7204200"/>
    <n v="700058"/>
    <s v="Salaries-Supervisory-Non-productive"/>
    <s v="WIC-Consolidated"/>
    <x v="0"/>
    <m/>
    <n v="1048.5999999999999"/>
    <n v="1572.92"/>
    <n v="238.32"/>
    <n v="1811.23"/>
    <n v="1086.53"/>
    <n v="2041.7"/>
    <n v="584.33000000000004"/>
    <n v="-194.72"/>
    <n v="0"/>
    <n v="0"/>
    <n v="1460.49"/>
    <n v="486.83"/>
    <n v="10136.23"/>
    <n v="973.66000000000008"/>
  </r>
  <r>
    <x v="5"/>
    <x v="1"/>
    <x v="0"/>
    <s v="7204200"/>
    <n v="700072"/>
    <s v="Salaries-Other Pat Care Providers-Non-productive"/>
    <s v="WIC-Consolidated"/>
    <x v="0"/>
    <m/>
    <n v="0"/>
    <n v="0"/>
    <n v="0"/>
    <n v="0"/>
    <n v="0"/>
    <n v="0"/>
    <n v="0"/>
    <n v="0"/>
    <n v="248.12"/>
    <n v="358.48"/>
    <n v="-0.1"/>
    <n v="86.38"/>
    <n v="692.88"/>
    <n v="-86.47999999999999"/>
  </r>
  <r>
    <x v="5"/>
    <x v="1"/>
    <x v="0"/>
    <s v="7204200"/>
    <n v="700074"/>
    <s v="Salaries-Tech/Professional-Non-productive"/>
    <s v="WIC-Consolidated"/>
    <x v="0"/>
    <m/>
    <n v="10967.2"/>
    <n v="18279.98"/>
    <n v="7814.65"/>
    <n v="9965.48"/>
    <n v="11039.96"/>
    <n v="13450.92"/>
    <n v="10237.81"/>
    <n v="15112.75"/>
    <n v="3247.87"/>
    <n v="10008.540000000001"/>
    <n v="5906.76"/>
    <n v="6821.48"/>
    <n v="122853.4"/>
    <n v="-914.71999999999935"/>
  </r>
  <r>
    <x v="5"/>
    <x v="1"/>
    <x v="0"/>
    <s v="7204200"/>
    <n v="700074"/>
    <s v="Salaries-Tech/Professional-NonProd-Other"/>
    <s v="WIC-Consolidated"/>
    <x v="0"/>
    <n v="2000"/>
    <n v="0"/>
    <n v="0"/>
    <n v="0"/>
    <n v="-23.05"/>
    <n v="1407.46"/>
    <n v="565.84"/>
    <n v="0"/>
    <n v="-1963.06"/>
    <n v="0"/>
    <n v="0"/>
    <n v="0"/>
    <n v="0"/>
    <n v="-12.809999999999945"/>
    <n v="0"/>
  </r>
  <r>
    <x v="5"/>
    <x v="1"/>
    <x v="0"/>
    <s v="7204200"/>
    <n v="700078"/>
    <s v="Salaries-Service/Support-Non-productive"/>
    <s v="WIC-Consolidated"/>
    <x v="0"/>
    <m/>
    <n v="717.93"/>
    <n v="165.68"/>
    <n v="0"/>
    <n v="0"/>
    <n v="0"/>
    <n v="0"/>
    <n v="0"/>
    <n v="0"/>
    <n v="0"/>
    <n v="0"/>
    <n v="0"/>
    <n v="0"/>
    <n v="883.6099999999999"/>
    <n v="0"/>
  </r>
  <r>
    <x v="5"/>
    <x v="1"/>
    <x v="0"/>
    <s v="7204200"/>
    <n v="700084"/>
    <s v="Accrued PTO"/>
    <s v="WIC-Consolidated"/>
    <x v="0"/>
    <m/>
    <n v="909.07"/>
    <n v="-1036.07"/>
    <n v="1572.76"/>
    <n v="85.5"/>
    <n v="2013.73"/>
    <n v="-7157.27"/>
    <n v="-152.5"/>
    <n v="-3578.49"/>
    <n v="5991.77"/>
    <n v="7236.64"/>
    <n v="3702.71"/>
    <n v="382.98"/>
    <n v="9970.83"/>
    <n v="3319.73"/>
  </r>
  <r>
    <x v="6"/>
    <x v="1"/>
    <x v="0"/>
    <s v="7204200"/>
    <n v="713010"/>
    <s v="Benefits-FICA/Medicare"/>
    <s v="WIC-Consolidated"/>
    <x v="0"/>
    <m/>
    <n v="6280.61"/>
    <n v="6763.61"/>
    <n v="-368.29"/>
    <n v="13510.32"/>
    <n v="6866.45"/>
    <n v="6894.72"/>
    <n v="6914.05"/>
    <n v="5770.09"/>
    <n v="6559.76"/>
    <n v="6642.25"/>
    <n v="6615.07"/>
    <n v="5896.37"/>
    <n v="78345.010000000009"/>
    <n v="718.69999999999982"/>
  </r>
  <r>
    <x v="6"/>
    <x v="1"/>
    <x v="0"/>
    <s v="7204200"/>
    <n v="713090"/>
    <s v="Benefits-Allocated Amounts"/>
    <s v="WIC-Consolidated"/>
    <x v="0"/>
    <m/>
    <n v="20931.16"/>
    <n v="19426.87"/>
    <n v="20876.13"/>
    <n v="23057.9"/>
    <n v="25558.83"/>
    <n v="16889.84"/>
    <n v="26595.59"/>
    <n v="22626.639999999999"/>
    <n v="23563.69"/>
    <n v="23474.91"/>
    <n v="22306.06"/>
    <n v="22072"/>
    <n v="267379.62"/>
    <n v="234.06000000000131"/>
  </r>
  <r>
    <x v="6"/>
    <x v="1"/>
    <x v="0"/>
    <s v="7204200"/>
    <n v="713096"/>
    <s v="Employee Recognition"/>
    <s v="WIC-Consolidated"/>
    <x v="0"/>
    <n v="1017"/>
    <n v="0"/>
    <n v="0"/>
    <n v="0"/>
    <n v="0"/>
    <n v="0"/>
    <n v="129.57"/>
    <n v="0"/>
    <n v="0"/>
    <n v="0"/>
    <n v="0"/>
    <n v="0"/>
    <n v="0"/>
    <n v="129.57"/>
    <n v="0"/>
  </r>
  <r>
    <x v="7"/>
    <x v="1"/>
    <x v="0"/>
    <s v="7204200"/>
    <n v="718040"/>
    <s v="Contract Svcs-Laboratory"/>
    <s v="WIC-Consolidated"/>
    <x v="0"/>
    <m/>
    <n v="10.36"/>
    <n v="0"/>
    <n v="0"/>
    <n v="115.8"/>
    <n v="10.36"/>
    <n v="0"/>
    <n v="125.63"/>
    <n v="31.08"/>
    <n v="32.39"/>
    <n v="73.83"/>
    <n v="0"/>
    <n v="1454.07"/>
    <n v="1853.52"/>
    <n v="-1454.07"/>
  </r>
  <r>
    <x v="7"/>
    <x v="1"/>
    <x v="0"/>
    <s v="7204200"/>
    <n v="718050"/>
    <s v="Contract Svcs-Other"/>
    <s v="WIC-Consolidated"/>
    <x v="0"/>
    <m/>
    <n v="0"/>
    <n v="0"/>
    <n v="0"/>
    <n v="496.8"/>
    <n v="0"/>
    <n v="-1646.58"/>
    <n v="0"/>
    <n v="0"/>
    <n v="0"/>
    <n v="0"/>
    <n v="0"/>
    <n v="0"/>
    <n v="-1149.78"/>
    <n v="0"/>
  </r>
  <r>
    <x v="7"/>
    <x v="1"/>
    <x v="0"/>
    <s v="7204200"/>
    <n v="718050"/>
    <s v="Cleaning Services"/>
    <s v="WIC-Consolidated"/>
    <x v="0"/>
    <n v="1011"/>
    <n v="1386"/>
    <n v="2897"/>
    <n v="0"/>
    <n v="1511"/>
    <n v="1511"/>
    <n v="0"/>
    <n v="4408"/>
    <n v="125"/>
    <n v="250"/>
    <n v="1386"/>
    <n v="1836"/>
    <n v="3672"/>
    <n v="18982"/>
    <n v="-1836"/>
  </r>
  <r>
    <x v="7"/>
    <x v="1"/>
    <x v="0"/>
    <s v="7204200"/>
    <n v="718050"/>
    <s v="Document Shredding/Storage"/>
    <s v="WIC-Consolidated"/>
    <x v="0"/>
    <n v="1012"/>
    <n v="3.26"/>
    <n v="3.38"/>
    <n v="0"/>
    <n v="570.24"/>
    <n v="-372.66"/>
    <n v="-184.68"/>
    <n v="3.26"/>
    <n v="2.78"/>
    <n v="2.89"/>
    <n v="3.84"/>
    <n v="3.2"/>
    <n v="3.3"/>
    <n v="38.80999999999996"/>
    <n v="-9.9999999999999645E-2"/>
  </r>
  <r>
    <x v="7"/>
    <x v="1"/>
    <x v="0"/>
    <s v="7204200"/>
    <n v="718050"/>
    <s v="Security"/>
    <s v="WIC-Consolidated"/>
    <x v="0"/>
    <n v="1019"/>
    <n v="0"/>
    <n v="163.6"/>
    <n v="0"/>
    <n v="0"/>
    <n v="0"/>
    <n v="0"/>
    <n v="407.51"/>
    <n v="24"/>
    <n v="52.68"/>
    <n v="0"/>
    <n v="24"/>
    <n v="0"/>
    <n v="671.79"/>
    <n v="24"/>
  </r>
  <r>
    <x v="7"/>
    <x v="1"/>
    <x v="0"/>
    <s v="7204200"/>
    <n v="718050"/>
    <s v="Miscellaneous Purchased Svcs"/>
    <s v="WIC-Consolidated"/>
    <x v="0"/>
    <n v="1020"/>
    <n v="565.96"/>
    <n v="125"/>
    <n v="0"/>
    <n v="-370.83"/>
    <n v="0"/>
    <n v="125.97"/>
    <n v="65.84"/>
    <n v="0"/>
    <n v="0"/>
    <n v="0"/>
    <n v="141.83000000000001"/>
    <n v="0"/>
    <n v="653.7700000000001"/>
    <n v="141.83000000000001"/>
  </r>
  <r>
    <x v="7"/>
    <x v="1"/>
    <x v="0"/>
    <s v="7204200"/>
    <n v="718050"/>
    <s v="Translation Services"/>
    <s v="WIC-Consolidated"/>
    <x v="0"/>
    <n v="1025"/>
    <n v="302.5"/>
    <n v="0"/>
    <n v="0"/>
    <n v="270"/>
    <n v="0"/>
    <n v="0"/>
    <n v="0"/>
    <n v="96"/>
    <n v="0"/>
    <n v="0"/>
    <n v="0"/>
    <n v="0"/>
    <n v="668.5"/>
    <n v="0"/>
  </r>
  <r>
    <x v="11"/>
    <x v="1"/>
    <x v="0"/>
    <s v="7204200"/>
    <n v="721410"/>
    <s v="Supplies-Medical - Nonbillable"/>
    <s v="WIC-Consolidated"/>
    <x v="0"/>
    <m/>
    <n v="2.69"/>
    <n v="0"/>
    <n v="0"/>
    <n v="118.71"/>
    <n v="135.44"/>
    <n v="58.38"/>
    <n v="52.55"/>
    <n v="77.06"/>
    <n v="0"/>
    <n v="202.68"/>
    <n v="-122.84"/>
    <n v="158.33000000000001"/>
    <n v="683"/>
    <n v="-281.17"/>
  </r>
  <r>
    <x v="11"/>
    <x v="1"/>
    <x v="0"/>
    <s v="7204200"/>
    <n v="721810"/>
    <s v="Supplies-Dietary/Cafeteria"/>
    <s v="WIC-Consolidated"/>
    <x v="0"/>
    <m/>
    <n v="13.5"/>
    <n v="0"/>
    <n v="0"/>
    <n v="20.25"/>
    <n v="0"/>
    <n v="22.5"/>
    <n v="0"/>
    <n v="51.75"/>
    <n v="0"/>
    <n v="0"/>
    <n v="0"/>
    <n v="11.25"/>
    <n v="119.25"/>
    <n v="-11.25"/>
  </r>
  <r>
    <x v="11"/>
    <x v="1"/>
    <x v="0"/>
    <s v="7204200"/>
    <n v="721830"/>
    <s v="Supplies-Office"/>
    <s v="WIC-Consolidated"/>
    <x v="0"/>
    <m/>
    <n v="138.5"/>
    <n v="20.63"/>
    <n v="0"/>
    <n v="5076.24"/>
    <n v="921.92"/>
    <n v="115.07"/>
    <n v="0"/>
    <n v="76.05"/>
    <n v="0"/>
    <n v="-76.05"/>
    <n v="0"/>
    <n v="0"/>
    <n v="6272.36"/>
    <n v="0"/>
  </r>
  <r>
    <x v="11"/>
    <x v="1"/>
    <x v="0"/>
    <s v="7204200"/>
    <n v="721835"/>
    <s v="Supplies-Forms"/>
    <s v="WIC-Consolidated"/>
    <x v="0"/>
    <m/>
    <n v="0"/>
    <n v="0"/>
    <n v="0"/>
    <n v="0"/>
    <n v="70.150000000000006"/>
    <n v="0"/>
    <n v="28.74"/>
    <n v="0"/>
    <n v="0"/>
    <n v="103.27"/>
    <n v="0"/>
    <n v="67.22"/>
    <n v="269.38"/>
    <n v="-67.22"/>
  </r>
  <r>
    <x v="11"/>
    <x v="1"/>
    <x v="0"/>
    <s v="7204200"/>
    <n v="721870"/>
    <s v="Supplies-Environmental Services"/>
    <s v="WIC-Consolidated"/>
    <x v="0"/>
    <m/>
    <n v="58.19"/>
    <n v="84.75"/>
    <n v="0"/>
    <n v="322.68"/>
    <n v="48.37"/>
    <n v="420.75"/>
    <n v="-207.3"/>
    <n v="28.89"/>
    <n v="109.13"/>
    <n v="107.4"/>
    <n v="-1.71"/>
    <n v="209.69"/>
    <n v="1180.8399999999999"/>
    <n v="-211.4"/>
  </r>
  <r>
    <x v="11"/>
    <x v="1"/>
    <x v="0"/>
    <s v="7204200"/>
    <n v="721880"/>
    <s v="Supplies-Linen"/>
    <s v="WIC-Consolidated"/>
    <x v="0"/>
    <m/>
    <n v="21.1"/>
    <n v="0"/>
    <n v="0"/>
    <n v="21.1"/>
    <n v="0"/>
    <n v="0"/>
    <n v="20.190000000000001"/>
    <n v="42.2"/>
    <n v="0"/>
    <n v="29.96"/>
    <n v="-8.86"/>
    <n v="0"/>
    <n v="125.69000000000001"/>
    <n v="-8.86"/>
  </r>
  <r>
    <x v="11"/>
    <x v="1"/>
    <x v="0"/>
    <s v="7204200"/>
    <n v="721910"/>
    <s v="Supplies-Small Equipment"/>
    <s v="WIC-Consolidated"/>
    <x v="0"/>
    <m/>
    <n v="0"/>
    <n v="140.25"/>
    <n v="0"/>
    <n v="6.6"/>
    <n v="278.11"/>
    <n v="1.7"/>
    <n v="839.81"/>
    <n v="0"/>
    <n v="0"/>
    <n v="10.199999999999999"/>
    <n v="-6.8"/>
    <n v="15.64"/>
    <n v="1285.5100000000002"/>
    <n v="-22.44"/>
  </r>
  <r>
    <x v="11"/>
    <x v="1"/>
    <x v="0"/>
    <s v="7204200"/>
    <n v="721980"/>
    <s v="Supplies-Other"/>
    <s v="WIC-Consolidated"/>
    <x v="0"/>
    <m/>
    <n v="12.16"/>
    <n v="192.99"/>
    <n v="0"/>
    <n v="0"/>
    <n v="35.159999999999997"/>
    <n v="36.880000000000003"/>
    <n v="950.07"/>
    <n v="42.89"/>
    <n v="0"/>
    <n v="0"/>
    <n v="0"/>
    <n v="13.18"/>
    <n v="1283.3300000000002"/>
    <n v="-13.18"/>
  </r>
  <r>
    <x v="12"/>
    <x v="1"/>
    <x v="0"/>
    <s v="7204200"/>
    <n v="730010"/>
    <s v="Rental and Leases-Building (DO NOT USE)"/>
    <s v="WIC-Consolidated"/>
    <x v="0"/>
    <m/>
    <n v="14987.77"/>
    <n v="14987.77"/>
    <n v="0"/>
    <n v="34512.39"/>
    <n v="15345.45"/>
    <n v="12853.86"/>
    <n v="12853.86"/>
    <n v="12853.86"/>
    <n v="12853.86"/>
    <n v="12046.89"/>
    <n v="12724.89"/>
    <n v="0"/>
    <n v="156020.60000000003"/>
    <n v="12724.89"/>
  </r>
  <r>
    <x v="12"/>
    <x v="1"/>
    <x v="0"/>
    <s v="7204200"/>
    <n v="730010"/>
    <s v="Rental-Common Area Maint (DO NOT USE)"/>
    <s v="WIC-Consolidated"/>
    <x v="0"/>
    <n v="2200"/>
    <n v="3498.85"/>
    <n v="1148.21"/>
    <n v="0"/>
    <n v="-2110.7399999999998"/>
    <n v="1148.21"/>
    <n v="3586.2"/>
    <n v="3586.2"/>
    <n v="3586.2"/>
    <n v="3586.2"/>
    <n v="4737.45"/>
    <n v="3816.45"/>
    <n v="0"/>
    <n v="26583.230000000003"/>
    <n v="3816.45"/>
  </r>
  <r>
    <x v="12"/>
    <x v="1"/>
    <x v="0"/>
    <s v="7204200"/>
    <n v="730020"/>
    <s v="Rental and Leases-Copier Usage Fees (DO NOT USE)"/>
    <s v="WIC-Consolidated"/>
    <x v="0"/>
    <n v="5100"/>
    <n v="458.33"/>
    <n v="452.63"/>
    <n v="0"/>
    <n v="303.64999999999998"/>
    <n v="303.64999999999998"/>
    <n v="303.64999999999998"/>
    <n v="-170.2"/>
    <n v="649.36"/>
    <n v="569.27"/>
    <n v="647.53"/>
    <n v="570.64"/>
    <n v="633.15"/>
    <n v="4721.66"/>
    <n v="-62.509999999999991"/>
  </r>
  <r>
    <x v="12"/>
    <x v="1"/>
    <x v="0"/>
    <s v="7204200"/>
    <n v="730040"/>
    <s v="LT Lease-Real Estate"/>
    <s v="WIC-Consolidated"/>
    <x v="0"/>
    <m/>
    <n v="0"/>
    <n v="0"/>
    <n v="0"/>
    <n v="0"/>
    <n v="0"/>
    <n v="0"/>
    <n v="0"/>
    <n v="0"/>
    <n v="0"/>
    <n v="0"/>
    <n v="0"/>
    <n v="16541.34"/>
    <n v="16541.34"/>
    <n v="-16541.34"/>
  </r>
  <r>
    <x v="15"/>
    <x v="1"/>
    <x v="0"/>
    <s v="7204200"/>
    <n v="731020"/>
    <s v="Electricity"/>
    <s v="WIC-Consolidated"/>
    <x v="0"/>
    <m/>
    <n v="845.82"/>
    <n v="1158.82"/>
    <n v="0"/>
    <n v="2022"/>
    <n v="877.34"/>
    <n v="983.25"/>
    <n v="1222.25"/>
    <n v="1566.46"/>
    <n v="217.53"/>
    <n v="1386.37"/>
    <n v="1568.1"/>
    <n v="324.83"/>
    <n v="12172.77"/>
    <n v="1243.27"/>
  </r>
  <r>
    <x v="15"/>
    <x v="1"/>
    <x v="0"/>
    <s v="7204200"/>
    <n v="731060"/>
    <s v="Telephone"/>
    <s v="WIC-Consolidated"/>
    <x v="0"/>
    <m/>
    <n v="443.67"/>
    <n v="8531.75"/>
    <n v="0"/>
    <n v="-7427.4"/>
    <n v="921.15"/>
    <n v="677.99"/>
    <n v="1250.73"/>
    <n v="932.29"/>
    <n v="936.79"/>
    <n v="945.32"/>
    <n v="940.62"/>
    <n v="956.98"/>
    <n v="9109.8900000000012"/>
    <n v="-16.360000000000014"/>
  </r>
  <r>
    <x v="15"/>
    <x v="1"/>
    <x v="0"/>
    <s v="7204200"/>
    <n v="731060"/>
    <s v="Cell Phones"/>
    <s v="WIC-Consolidated"/>
    <x v="0"/>
    <n v="1001"/>
    <n v="0"/>
    <n v="0"/>
    <n v="0"/>
    <n v="6323.01"/>
    <n v="390.75"/>
    <n v="73.290000000000006"/>
    <n v="176.1"/>
    <n v="0"/>
    <n v="335.95"/>
    <n v="179.69"/>
    <n v="445.02"/>
    <n v="0"/>
    <n v="7923.8099999999995"/>
    <n v="445.02"/>
  </r>
  <r>
    <x v="15"/>
    <x v="1"/>
    <x v="0"/>
    <s v="7204200"/>
    <n v="731065"/>
    <s v="Data Communications"/>
    <s v="WIC-Consolidated"/>
    <x v="0"/>
    <m/>
    <n v="0"/>
    <n v="0"/>
    <n v="0"/>
    <n v="0"/>
    <n v="0"/>
    <n v="0"/>
    <n v="0"/>
    <n v="0"/>
    <n v="336.22"/>
    <n v="0"/>
    <n v="0"/>
    <n v="0"/>
    <n v="336.22"/>
    <n v="0"/>
  </r>
  <r>
    <x v="16"/>
    <x v="1"/>
    <x v="0"/>
    <s v="7204200"/>
    <n v="732030"/>
    <s v="Repairs---Other"/>
    <s v="WIC-Consolidated"/>
    <x v="0"/>
    <m/>
    <n v="45.78"/>
    <n v="0"/>
    <n v="0"/>
    <n v="172.49"/>
    <n v="0"/>
    <n v="715"/>
    <n v="0"/>
    <n v="289.08999999999997"/>
    <n v="338.47"/>
    <n v="0"/>
    <n v="186.95"/>
    <n v="13.18"/>
    <n v="1760.96"/>
    <n v="173.76999999999998"/>
  </r>
  <r>
    <x v="16"/>
    <x v="1"/>
    <x v="0"/>
    <s v="7204200"/>
    <n v="733030"/>
    <s v="Maintenance Contracts-Other"/>
    <s v="WIC-Consolidated"/>
    <x v="0"/>
    <m/>
    <n v="150.16999999999999"/>
    <n v="353.65"/>
    <n v="0"/>
    <n v="311.14999999999998"/>
    <n v="0"/>
    <n v="0"/>
    <n v="328.92"/>
    <n v="1431.27"/>
    <n v="0"/>
    <n v="0"/>
    <n v="140.53"/>
    <n v="48.99"/>
    <n v="2764.68"/>
    <n v="91.539999999999992"/>
  </r>
  <r>
    <x v="13"/>
    <x v="1"/>
    <x v="0"/>
    <s v="7204200"/>
    <n v="735050"/>
    <s v="Amortization-Leasehold Improvements"/>
    <s v="WIC-Consolidated"/>
    <x v="0"/>
    <m/>
    <n v="60"/>
    <n v="60"/>
    <n v="60"/>
    <n v="60"/>
    <n v="60"/>
    <n v="60"/>
    <n v="60"/>
    <n v="60"/>
    <n v="60"/>
    <n v="60"/>
    <n v="60"/>
    <n v="60"/>
    <n v="720"/>
    <n v="0"/>
  </r>
  <r>
    <x v="13"/>
    <x v="1"/>
    <x v="0"/>
    <s v="7204200"/>
    <n v="735060"/>
    <s v="Depreciation-Fixed Equipment"/>
    <s v="WIC-Consolidated"/>
    <x v="0"/>
    <m/>
    <n v="370.03"/>
    <n v="370.02"/>
    <n v="370.03"/>
    <n v="370.02"/>
    <n v="370.03"/>
    <n v="370.02"/>
    <n v="370.03"/>
    <n v="370.01"/>
    <n v="370.05"/>
    <n v="370.01"/>
    <n v="370.05"/>
    <n v="370"/>
    <n v="4440.3"/>
    <n v="5.0000000000011369E-2"/>
  </r>
  <r>
    <x v="13"/>
    <x v="1"/>
    <x v="0"/>
    <s v="7204200"/>
    <n v="735070"/>
    <s v="Depreciation-Movable Equipment"/>
    <s v="WIC-Consolidated"/>
    <x v="0"/>
    <m/>
    <n v="486.64"/>
    <n v="486.64"/>
    <n v="486.64"/>
    <n v="486.62"/>
    <n v="486.64"/>
    <n v="486.61"/>
    <n v="486.64"/>
    <n v="486.6"/>
    <n v="486.64"/>
    <n v="486.59"/>
    <n v="486.64"/>
    <n v="486.59"/>
    <n v="5839.4900000000007"/>
    <n v="5.0000000000011369E-2"/>
  </r>
  <r>
    <x v="0"/>
    <x v="1"/>
    <x v="0"/>
    <s v="7204200"/>
    <n v="740010"/>
    <s v="Education-Materials"/>
    <s v="WIC-Consolidated"/>
    <x v="0"/>
    <m/>
    <n v="33.49"/>
    <n v="0"/>
    <n v="195.74"/>
    <n v="0"/>
    <n v="0"/>
    <n v="83"/>
    <n v="0"/>
    <n v="0"/>
    <n v="0"/>
    <n v="0"/>
    <n v="0"/>
    <n v="0"/>
    <n v="312.23"/>
    <n v="0"/>
  </r>
  <r>
    <x v="0"/>
    <x v="1"/>
    <x v="0"/>
    <s v="7204200"/>
    <n v="740020"/>
    <s v="Education-Registration Fees"/>
    <s v="WIC-Consolidated"/>
    <x v="0"/>
    <m/>
    <n v="0"/>
    <n v="375.06"/>
    <n v="0"/>
    <n v="1664"/>
    <n v="0"/>
    <n v="0"/>
    <n v="2151.4499999999998"/>
    <n v="6765"/>
    <n v="145"/>
    <n v="249"/>
    <n v="-249"/>
    <n v="0"/>
    <n v="11100.51"/>
    <n v="-249"/>
  </r>
  <r>
    <x v="0"/>
    <x v="1"/>
    <x v="0"/>
    <s v="7204200"/>
    <n v="740030"/>
    <s v="Education-Travel"/>
    <s v="WIC-Consolidated"/>
    <x v="0"/>
    <m/>
    <n v="0"/>
    <n v="0"/>
    <n v="0"/>
    <n v="0"/>
    <n v="0"/>
    <n v="6"/>
    <n v="0"/>
    <n v="0"/>
    <n v="0"/>
    <n v="0"/>
    <n v="0"/>
    <n v="0"/>
    <n v="6"/>
    <n v="0"/>
  </r>
  <r>
    <x v="0"/>
    <x v="1"/>
    <x v="0"/>
    <s v="7204200"/>
    <n v="743020"/>
    <s v="Dues--Individual"/>
    <s v="WIC-Consolidated"/>
    <x v="0"/>
    <m/>
    <n v="0"/>
    <n v="0"/>
    <n v="0"/>
    <n v="1376.25"/>
    <n v="0"/>
    <n v="0"/>
    <n v="0"/>
    <n v="0"/>
    <n v="0"/>
    <n v="0"/>
    <n v="0"/>
    <n v="0"/>
    <n v="1376.25"/>
    <n v="0"/>
  </r>
  <r>
    <x v="0"/>
    <x v="1"/>
    <x v="0"/>
    <s v="7204200"/>
    <n v="749510"/>
    <s v="Miscellaneous Expenses"/>
    <s v="WIC-Consolidated"/>
    <x v="0"/>
    <m/>
    <n v="-898.24"/>
    <n v="5297.41"/>
    <n v="0"/>
    <n v="142.99"/>
    <n v="1629.49"/>
    <n v="-86.89"/>
    <n v="-54709.66"/>
    <n v="1190.93"/>
    <n v="-962.93"/>
    <n v="-297.68"/>
    <n v="23077.29"/>
    <n v="-511.29"/>
    <n v="-26128.58"/>
    <n v="23588.58"/>
  </r>
  <r>
    <x v="0"/>
    <x v="1"/>
    <x v="0"/>
    <s v="7204200"/>
    <n v="749510"/>
    <s v="Licenses"/>
    <s v="WIC-Consolidated"/>
    <x v="0"/>
    <n v="1002"/>
    <n v="0"/>
    <n v="0"/>
    <n v="0"/>
    <n v="0"/>
    <n v="2222.5"/>
    <n v="840"/>
    <n v="193.75"/>
    <n v="0"/>
    <n v="61"/>
    <n v="110"/>
    <n v="292.5"/>
    <n v="0"/>
    <n v="3719.75"/>
    <n v="292.5"/>
  </r>
  <r>
    <x v="0"/>
    <x v="1"/>
    <x v="0"/>
    <s v="7204200"/>
    <n v="749530"/>
    <s v="Travel"/>
    <s v="WIC-Consolidated"/>
    <x v="0"/>
    <m/>
    <n v="10"/>
    <n v="0"/>
    <n v="0"/>
    <n v="239.4"/>
    <n v="0"/>
    <n v="12"/>
    <n v="903.6"/>
    <n v="903.6"/>
    <n v="1866.69"/>
    <n v="2353.27"/>
    <n v="0"/>
    <n v="0"/>
    <n v="6288.5599999999995"/>
    <n v="0"/>
  </r>
  <r>
    <x v="0"/>
    <x v="1"/>
    <x v="0"/>
    <s v="7204200"/>
    <n v="749530"/>
    <s v="Mileage"/>
    <s v="WIC-Consolidated"/>
    <x v="0"/>
    <n v="1001"/>
    <n v="310.66000000000003"/>
    <n v="9.81"/>
    <n v="662.99"/>
    <n v="136.56"/>
    <n v="0"/>
    <n v="155.88"/>
    <n v="85.77"/>
    <n v="0"/>
    <n v="104.98"/>
    <n v="385.7"/>
    <n v="197.78"/>
    <n v="0"/>
    <n v="2050.13"/>
    <n v="197.78"/>
  </r>
  <r>
    <x v="0"/>
    <x v="1"/>
    <x v="0"/>
    <s v="7204200"/>
    <n v="749535"/>
    <s v="Meetings"/>
    <s v="WIC-Consolidated"/>
    <x v="0"/>
    <m/>
    <n v="0"/>
    <n v="0"/>
    <n v="0"/>
    <n v="0"/>
    <n v="0"/>
    <n v="0"/>
    <n v="0"/>
    <n v="0"/>
    <n v="0"/>
    <n v="0"/>
    <n v="0"/>
    <n v="607.4"/>
    <n v="607.4"/>
    <n v="-607.4"/>
  </r>
  <r>
    <x v="0"/>
    <x v="1"/>
    <x v="0"/>
    <s v="7204200"/>
    <n v="749535"/>
    <s v="Medicare Non-Allowable Other"/>
    <s v="WIC-Consolidated"/>
    <x v="0"/>
    <n v="1012"/>
    <n v="0"/>
    <n v="98.76"/>
    <n v="61.44"/>
    <n v="63.64"/>
    <n v="0"/>
    <n v="0"/>
    <n v="46.73"/>
    <n v="65.84"/>
    <n v="65.84"/>
    <n v="104.59"/>
    <n v="0"/>
    <n v="65.84"/>
    <n v="572.68000000000006"/>
    <n v="-65.84"/>
  </r>
  <r>
    <x v="0"/>
    <x v="1"/>
    <x v="0"/>
    <s v="7204200"/>
    <n v="766010"/>
    <s v="Property Tax"/>
    <s v="WIC-Consolidated"/>
    <x v="0"/>
    <m/>
    <n v="5.2"/>
    <n v="5.2"/>
    <n v="5.2"/>
    <n v="-15.9"/>
    <n v="0"/>
    <n v="0"/>
    <n v="5.2"/>
    <n v="5.2"/>
    <n v="5.2"/>
    <n v="44.51"/>
    <n v="0"/>
    <n v="0"/>
    <n v="59.81"/>
    <n v="0"/>
  </r>
  <r>
    <x v="2"/>
    <x v="3"/>
    <x v="0"/>
    <s v="7500101"/>
    <n v="450010"/>
    <s v="Contr Allow--Acute IP-Medicare"/>
    <s v="Deductions from Revenue"/>
    <x v="0"/>
    <n v="1100"/>
    <n v="54978975.159999996"/>
    <n v="62207094.469999999"/>
    <n v="54932115.079999998"/>
    <n v="74031300.920000002"/>
    <n v="62361499.950000003"/>
    <n v="63246683.030000001"/>
    <n v="64380749.280000001"/>
    <n v="61017463.75"/>
    <n v="70711444.349999994"/>
    <n v="67757332.090000004"/>
    <n v="66732023.659999996"/>
    <n v="66297166.200000003"/>
    <n v="768653847.94000006"/>
    <n v="434857.45999999344"/>
  </r>
  <r>
    <x v="2"/>
    <x v="3"/>
    <x v="0"/>
    <s v="7500101"/>
    <n v="450010"/>
    <s v="Contr Allow--Acute IP-Medicaid"/>
    <s v="Deductions from Revenue"/>
    <x v="0"/>
    <n v="1200"/>
    <n v="28096972.030000001"/>
    <n v="27030326.690000001"/>
    <n v="24313005.260000002"/>
    <n v="22453952.68"/>
    <n v="25520089.710000001"/>
    <n v="24428495.93"/>
    <n v="27028329.68"/>
    <n v="27024862.57"/>
    <n v="31933054.420000002"/>
    <n v="29119983.530000001"/>
    <n v="30027222.719999999"/>
    <n v="29445799.75"/>
    <n v="326422094.97000003"/>
    <n v="581422.96999999881"/>
  </r>
  <r>
    <x v="2"/>
    <x v="3"/>
    <x v="0"/>
    <s v="7500101"/>
    <n v="450010"/>
    <s v="Contr Allow--Acute IP-Comm Insurance"/>
    <s v="Deductions from Revenue"/>
    <x v="0"/>
    <n v="1300"/>
    <n v="1528255.24"/>
    <n v="1414452.77"/>
    <n v="970617.01"/>
    <n v="946263.09"/>
    <n v="1784776.42"/>
    <n v="1531008.32"/>
    <n v="3003986.45"/>
    <n v="1923886.4"/>
    <n v="1473596.12"/>
    <n v="1842823.52"/>
    <n v="1419330.6"/>
    <n v="718726.33"/>
    <n v="18557722.27"/>
    <n v="700604.27000000014"/>
  </r>
  <r>
    <x v="2"/>
    <x v="3"/>
    <x v="0"/>
    <s v="7500101"/>
    <n v="450010"/>
    <s v="Contr Allow--Acute IP-BCBS Comm"/>
    <s v="Deductions from Revenue"/>
    <x v="0"/>
    <n v="1301"/>
    <n v="2730581.14"/>
    <n v="3394827.8"/>
    <n v="3441561.97"/>
    <n v="2991010.09"/>
    <n v="3504965.37"/>
    <n v="3606349.11"/>
    <n v="2711852.97"/>
    <n v="3868821.31"/>
    <n v="3397181.72"/>
    <n v="3110858.34"/>
    <n v="2172466.7799999998"/>
    <n v="3898432.47"/>
    <n v="38828909.069999993"/>
    <n v="-1725965.6900000004"/>
  </r>
  <r>
    <x v="2"/>
    <x v="3"/>
    <x v="0"/>
    <s v="7500101"/>
    <n v="450010"/>
    <s v="Contr Allow--Acute IP-Managed Care"/>
    <s v="Deductions from Revenue"/>
    <x v="0"/>
    <n v="1400"/>
    <n v="20675216.66"/>
    <n v="18031866.34"/>
    <n v="18110241.010000002"/>
    <n v="19595627.859999999"/>
    <n v="11458051.369999999"/>
    <n v="14334889.140000001"/>
    <n v="19177015.760000002"/>
    <n v="17165372.289999999"/>
    <n v="21055948.02"/>
    <n v="14197877.869999999"/>
    <n v="20344835.73"/>
    <n v="18307879.23"/>
    <n v="212454821.28"/>
    <n v="2036956.5"/>
  </r>
  <r>
    <x v="2"/>
    <x v="3"/>
    <x v="0"/>
    <s v="7500101"/>
    <n v="450010"/>
    <s v="Admin Adjust-Acute IP-Self Pay"/>
    <s v="Deductions from Revenue"/>
    <x v="0"/>
    <n v="1600"/>
    <n v="724875.32"/>
    <n v="1461436.89"/>
    <n v="2839979.66"/>
    <n v="-499959.02"/>
    <n v="823891.05"/>
    <n v="292540.61"/>
    <n v="1526173.48"/>
    <n v="286842.69"/>
    <n v="736037.86"/>
    <n v="-298708.74"/>
    <n v="-92280.08"/>
    <n v="526885.55000000005"/>
    <n v="8327715.2700000005"/>
    <n v="-619165.63"/>
  </r>
  <r>
    <x v="2"/>
    <x v="3"/>
    <x v="0"/>
    <s v="7500101"/>
    <n v="450010"/>
    <s v="Contr Allow--Acute IP-Other"/>
    <s v="Deductions from Revenue"/>
    <x v="0"/>
    <n v="1700"/>
    <n v="3126828.66"/>
    <n v="4582190.5599999996"/>
    <n v="5191019.95"/>
    <n v="3595186.46"/>
    <n v="5517220.5499999998"/>
    <n v="6785492.3899999997"/>
    <n v="5090296.74"/>
    <n v="6123775.6699999999"/>
    <n v="5188978.1900000004"/>
    <n v="6656927.7400000002"/>
    <n v="3413089.66"/>
    <n v="3683205.6"/>
    <n v="58954212.170000009"/>
    <n v="-270115.93999999994"/>
  </r>
  <r>
    <x v="2"/>
    <x v="3"/>
    <x v="0"/>
    <s v="7500101"/>
    <n v="450011"/>
    <s v="Contr Allow-Current Year Settlements-Medicare"/>
    <s v="Deductions from Revenue"/>
    <x v="0"/>
    <n v="1100"/>
    <n v="0"/>
    <n v="0"/>
    <n v="0"/>
    <n v="0"/>
    <n v="0"/>
    <n v="0"/>
    <n v="0"/>
    <n v="0"/>
    <n v="0"/>
    <n v="400000"/>
    <n v="350000"/>
    <n v="347564"/>
    <n v="1097564"/>
    <n v="2436"/>
  </r>
  <r>
    <x v="2"/>
    <x v="3"/>
    <x v="0"/>
    <s v="7500101"/>
    <n v="450012"/>
    <s v="Contr Allow-Prior Year Settlements-Medicare"/>
    <s v="Deductions from Revenue"/>
    <x v="0"/>
    <n v="1100"/>
    <n v="0"/>
    <n v="0"/>
    <n v="0"/>
    <n v="0"/>
    <n v="-594793"/>
    <n v="-54171"/>
    <n v="0"/>
    <n v="0"/>
    <n v="-62373"/>
    <n v="0"/>
    <n v="0"/>
    <n v="0"/>
    <n v="-711337"/>
    <n v="0"/>
  </r>
  <r>
    <x v="2"/>
    <x v="3"/>
    <x v="0"/>
    <s v="7500101"/>
    <n v="450012"/>
    <s v="Contr Allow-Prior Year Settlements-Medicaid"/>
    <s v="Deductions from Revenue"/>
    <x v="0"/>
    <n v="1200"/>
    <n v="-117959.97"/>
    <n v="0"/>
    <n v="0"/>
    <n v="0"/>
    <n v="0"/>
    <n v="41677.99"/>
    <n v="0"/>
    <n v="0"/>
    <n v="0"/>
    <n v="0"/>
    <n v="0"/>
    <n v="0"/>
    <n v="-76281.98000000001"/>
    <n v="0"/>
  </r>
  <r>
    <x v="2"/>
    <x v="3"/>
    <x v="0"/>
    <s v="7500101"/>
    <n v="450012"/>
    <s v="Contr Allow-Prior Year Settlements-Other"/>
    <s v="Deductions from Revenue"/>
    <x v="0"/>
    <n v="1700"/>
    <n v="0"/>
    <n v="0"/>
    <n v="0"/>
    <n v="0"/>
    <n v="0"/>
    <n v="0"/>
    <n v="0"/>
    <n v="-443570.08"/>
    <n v="238619.35"/>
    <n v="0"/>
    <n v="0"/>
    <n v="6115.72"/>
    <n v="-198835.01"/>
    <n v="-6115.72"/>
  </r>
  <r>
    <x v="2"/>
    <x v="3"/>
    <x v="0"/>
    <s v="7500101"/>
    <n v="450015"/>
    <s v="Contr Allow-IP State-based Programs"/>
    <s v="Deductions from Revenue"/>
    <x v="0"/>
    <m/>
    <n v="-1164802.44"/>
    <n v="-1164802.44"/>
    <n v="-1060080.4099999999"/>
    <n v="-1162511.69"/>
    <n v="-1162511.69"/>
    <n v="-1109670.72"/>
    <n v="-1144898.04"/>
    <n v="-1144898.04"/>
    <n v="-1902199.36"/>
    <n v="-1902199.36"/>
    <n v="-1902199.36"/>
    <n v="-672491.49"/>
    <n v="-15493265.039999997"/>
    <n v="-1229707.8700000001"/>
  </r>
  <r>
    <x v="2"/>
    <x v="3"/>
    <x v="0"/>
    <s v="7500101"/>
    <n v="450017"/>
    <s v="Contr Allow-OP State-based Programs"/>
    <s v="Deductions from Revenue"/>
    <x v="0"/>
    <m/>
    <n v="-780848.24"/>
    <n v="-780848.24"/>
    <n v="-639268.54"/>
    <n v="-701038.49"/>
    <n v="-701038.49"/>
    <n v="-669173.38"/>
    <n v="-690416.78"/>
    <n v="-690416.78"/>
    <n v="-1147098.1000000001"/>
    <n v="-1147098.1000000001"/>
    <n v="-1147098.1000000001"/>
    <n v="-405537.79"/>
    <n v="-9499881.0299999993"/>
    <n v="-741560.31"/>
  </r>
  <r>
    <x v="2"/>
    <x v="3"/>
    <x v="0"/>
    <s v="7500101"/>
    <n v="450019"/>
    <s v="Contr Allow-OP-Prior Year Settlements-Medicare"/>
    <s v="Deductions from Revenue"/>
    <x v="0"/>
    <n v="1100"/>
    <n v="0"/>
    <n v="0"/>
    <n v="0"/>
    <n v="0"/>
    <n v="17048.98"/>
    <n v="0"/>
    <n v="42728"/>
    <n v="0"/>
    <n v="0"/>
    <n v="0"/>
    <n v="0"/>
    <n v="0"/>
    <n v="59776.979999999996"/>
    <n v="0"/>
  </r>
  <r>
    <x v="2"/>
    <x v="3"/>
    <x v="0"/>
    <s v="7500101"/>
    <n v="450019"/>
    <s v="Contr Allow-OP-Prior Year Settlements-Medicaid"/>
    <s v="Deductions from Revenue"/>
    <x v="0"/>
    <n v="1200"/>
    <n v="-596.95000000000005"/>
    <n v="0"/>
    <n v="0"/>
    <n v="0"/>
    <n v="0"/>
    <n v="0"/>
    <n v="0"/>
    <n v="0"/>
    <n v="0"/>
    <n v="0"/>
    <n v="0"/>
    <n v="0"/>
    <n v="-596.95000000000005"/>
    <n v="0"/>
  </r>
  <r>
    <x v="2"/>
    <x v="3"/>
    <x v="0"/>
    <s v="7500101"/>
    <n v="450020"/>
    <s v="Contr Allow--OP Care-Medicare"/>
    <s v="Deductions from Revenue"/>
    <x v="0"/>
    <n v="1100"/>
    <n v="28102710.670000002"/>
    <n v="30231279.199999999"/>
    <n v="28729885.649999999"/>
    <n v="36193518.200000003"/>
    <n v="32441506.699999999"/>
    <n v="29031055.100000001"/>
    <n v="32099863.789999999"/>
    <n v="25518828.199999999"/>
    <n v="35171046.799999997"/>
    <n v="34087368.920000002"/>
    <n v="33898540.600000001"/>
    <n v="33031761.920000002"/>
    <n v="378537365.75000006"/>
    <n v="866778.6799999997"/>
  </r>
  <r>
    <x v="2"/>
    <x v="3"/>
    <x v="0"/>
    <s v="7500101"/>
    <n v="450020"/>
    <s v="Contr Allow--OP Care-Medicaid"/>
    <s v="Deductions from Revenue"/>
    <x v="0"/>
    <n v="1200"/>
    <n v="16401654.9"/>
    <n v="17489355.02"/>
    <n v="15519813.869999999"/>
    <n v="17765092.559999999"/>
    <n v="16112867.949999999"/>
    <n v="16134199.039999999"/>
    <n v="18555436.989999998"/>
    <n v="14221746.220000001"/>
    <n v="17278389"/>
    <n v="16571281.65"/>
    <n v="16898732.739999998"/>
    <n v="15961342.470000001"/>
    <n v="198909912.41000003"/>
    <n v="937390.26999999769"/>
  </r>
  <r>
    <x v="2"/>
    <x v="3"/>
    <x v="0"/>
    <s v="7500101"/>
    <n v="450020"/>
    <s v="Contr Allow--OP Care-Comm Insurance"/>
    <s v="Deductions from Revenue"/>
    <x v="0"/>
    <n v="1300"/>
    <n v="2059509.11"/>
    <n v="1520762.04"/>
    <n v="1565930.38"/>
    <n v="1376064.02"/>
    <n v="1931048.97"/>
    <n v="2299555.23"/>
    <n v="1707341.21"/>
    <n v="3323982.67"/>
    <n v="1686474.09"/>
    <n v="2065673.67"/>
    <n v="3012635.92"/>
    <n v="2006035.94"/>
    <n v="24555013.250000004"/>
    <n v="1006599.98"/>
  </r>
  <r>
    <x v="2"/>
    <x v="3"/>
    <x v="0"/>
    <s v="7500101"/>
    <n v="450020"/>
    <s v="Contr Allow--OP Care BCBS Comm"/>
    <s v="Deductions from Revenue"/>
    <x v="0"/>
    <n v="1301"/>
    <n v="3746066.05"/>
    <n v="3651867.33"/>
    <n v="2620909.06"/>
    <n v="3778055.82"/>
    <n v="3895676.07"/>
    <n v="3229110.89"/>
    <n v="3729668.81"/>
    <n v="3084287.42"/>
    <n v="3068002.76"/>
    <n v="3678056.73"/>
    <n v="4362958.68"/>
    <n v="3781513.59"/>
    <n v="42626173.209999993"/>
    <n v="581445.08999999985"/>
  </r>
  <r>
    <x v="2"/>
    <x v="3"/>
    <x v="0"/>
    <s v="7500101"/>
    <n v="450020"/>
    <s v="Contr Allow--OP Care-Managed Care"/>
    <s v="Deductions from Revenue"/>
    <x v="0"/>
    <n v="1400"/>
    <n v="11634113.140000001"/>
    <n v="13849423.699999999"/>
    <n v="15459652.43"/>
    <n v="13631010.800000001"/>
    <n v="14333678.85"/>
    <n v="14327948.130000001"/>
    <n v="15581754.949999999"/>
    <n v="8130025.0999999996"/>
    <n v="19074356.27"/>
    <n v="16756880.15"/>
    <n v="14286382.800000001"/>
    <n v="13855910.109999999"/>
    <n v="170921136.43000001"/>
    <n v="430472.69000000134"/>
  </r>
  <r>
    <x v="2"/>
    <x v="3"/>
    <x v="0"/>
    <s v="7500101"/>
    <n v="450020"/>
    <s v="Admin Adjust-OP Care-Self Pay"/>
    <s v="Deductions from Revenue"/>
    <x v="0"/>
    <n v="1600"/>
    <n v="905824.84"/>
    <n v="1117517.42"/>
    <n v="1112473.1499999999"/>
    <n v="842407.39"/>
    <n v="830595.86"/>
    <n v="904908.46"/>
    <n v="619054.28"/>
    <n v="1129116.83"/>
    <n v="847002.17"/>
    <n v="730636.19"/>
    <n v="1031567.42"/>
    <n v="1743097.34"/>
    <n v="11814201.35"/>
    <n v="-711529.92"/>
  </r>
  <r>
    <x v="2"/>
    <x v="3"/>
    <x v="0"/>
    <s v="7500101"/>
    <n v="450020"/>
    <s v="Contr Allow--OP Care-Other"/>
    <s v="Deductions from Revenue"/>
    <x v="0"/>
    <n v="1700"/>
    <n v="3664328.41"/>
    <n v="3869719.15"/>
    <n v="3245021.5"/>
    <n v="4158903.04"/>
    <n v="3771564.62"/>
    <n v="4109580.72"/>
    <n v="3757858.31"/>
    <n v="3706504.12"/>
    <n v="3177803.16"/>
    <n v="2777059.42"/>
    <n v="3411025.06"/>
    <n v="5748343.5099999998"/>
    <n v="45397711.020000003"/>
    <n v="-2337318.4499999997"/>
  </r>
  <r>
    <x v="3"/>
    <x v="3"/>
    <x v="0"/>
    <s v="7500101"/>
    <n v="470010"/>
    <s v="Charity Care-Acute I/P Svcs"/>
    <s v="Deductions from Revenue"/>
    <x v="0"/>
    <m/>
    <n v="846377.75"/>
    <n v="1404874.8"/>
    <n v="303066.14"/>
    <n v="1247332.83"/>
    <n v="642329.66"/>
    <n v="-152624.54"/>
    <n v="428303.77"/>
    <n v="723172.29"/>
    <n v="-597764.24"/>
    <n v="957976.55"/>
    <n v="812678.4"/>
    <n v="836106.46"/>
    <n v="7451829.8700000001"/>
    <n v="-23428.059999999939"/>
  </r>
  <r>
    <x v="3"/>
    <x v="3"/>
    <x v="0"/>
    <s v="7500101"/>
    <n v="470020"/>
    <s v="Charity Care-O/P Care Svcs"/>
    <s v="Deductions from Revenue"/>
    <x v="0"/>
    <m/>
    <n v="1424094.85"/>
    <n v="1525298.15"/>
    <n v="1349452.44"/>
    <n v="1605371.34"/>
    <n v="1052582.6499999999"/>
    <n v="1012899.85"/>
    <n v="1182892.3700000001"/>
    <n v="1262762.26"/>
    <n v="1264777.03"/>
    <n v="1053118.77"/>
    <n v="1332203.31"/>
    <n v="1733774.86"/>
    <n v="15799227.879999997"/>
    <n v="-401571.55000000005"/>
  </r>
  <r>
    <x v="2"/>
    <x v="0"/>
    <x v="0"/>
    <s v="7500102"/>
    <n v="450010"/>
    <s v="Contr Allow--Acute IP-Medicare"/>
    <s v="Deductions from Revenue"/>
    <x v="0"/>
    <n v="1100"/>
    <n v="17195517.370000001"/>
    <n v="16416986.49"/>
    <n v="17380787.260000002"/>
    <n v="21360204.75"/>
    <n v="19441148.039999999"/>
    <n v="18800589.120000001"/>
    <n v="17654676.620000001"/>
    <n v="17858910.73"/>
    <n v="23739622.399999999"/>
    <n v="20891266.210000001"/>
    <n v="17079548.27"/>
    <n v="17897283.48"/>
    <n v="225716540.74000001"/>
    <n v="-817735.21000000089"/>
  </r>
  <r>
    <x v="2"/>
    <x v="0"/>
    <x v="0"/>
    <s v="7500102"/>
    <n v="450010"/>
    <s v="Contr Allow--Acute IP-Medicaid"/>
    <s v="Deductions from Revenue"/>
    <x v="0"/>
    <n v="1200"/>
    <n v="8361549.0800000001"/>
    <n v="10069610.32"/>
    <n v="8612829.7599999998"/>
    <n v="7367400.5800000001"/>
    <n v="8074383.7599999998"/>
    <n v="9899905.0700000003"/>
    <n v="8878685.4499999993"/>
    <n v="7516383.1299999999"/>
    <n v="8703178.9700000007"/>
    <n v="8812793.2300000004"/>
    <n v="10197803.43"/>
    <n v="9922977.8499999996"/>
    <n v="106417500.63"/>
    <n v="274825.58000000007"/>
  </r>
  <r>
    <x v="2"/>
    <x v="0"/>
    <x v="0"/>
    <s v="7500102"/>
    <n v="450010"/>
    <s v="Contr Allow--Acute IP-Comm Insurance"/>
    <s v="Deductions from Revenue"/>
    <x v="0"/>
    <n v="1300"/>
    <n v="182050.93"/>
    <n v="262417.62"/>
    <n v="351454.62"/>
    <n v="251536.45"/>
    <n v="159434.04999999999"/>
    <n v="97308.56"/>
    <n v="237540.56"/>
    <n v="353496.18"/>
    <n v="429110.86"/>
    <n v="338739.21"/>
    <n v="813964.76"/>
    <n v="130774.87"/>
    <n v="3607828.67"/>
    <n v="683189.89"/>
  </r>
  <r>
    <x v="2"/>
    <x v="0"/>
    <x v="0"/>
    <s v="7500102"/>
    <n v="450010"/>
    <s v="Contr Allow--Acute IP-BCBS Comm"/>
    <s v="Deductions from Revenue"/>
    <x v="0"/>
    <n v="1301"/>
    <n v="2161929.91"/>
    <n v="2487553.98"/>
    <n v="1809807.82"/>
    <n v="1586253.41"/>
    <n v="1579193.9"/>
    <n v="1843674.1"/>
    <n v="2263448.0499999998"/>
    <n v="1805067.68"/>
    <n v="2098299.0299999998"/>
    <n v="2057580.98"/>
    <n v="1285187"/>
    <n v="1021598.48"/>
    <n v="21999594.340000004"/>
    <n v="263588.52"/>
  </r>
  <r>
    <x v="2"/>
    <x v="0"/>
    <x v="0"/>
    <s v="7500102"/>
    <n v="450010"/>
    <s v="Contr Allow--Acute IP-Managed Care"/>
    <s v="Deductions from Revenue"/>
    <x v="0"/>
    <n v="1400"/>
    <n v="7884611.7999999998"/>
    <n v="3368623.57"/>
    <n v="5216787.5199999996"/>
    <n v="6173575.8399999999"/>
    <n v="6126852.46"/>
    <n v="6257052.4699999997"/>
    <n v="6019985.71"/>
    <n v="6815285.5099999998"/>
    <n v="4755765.88"/>
    <n v="5183997.12"/>
    <n v="7039555.6399999997"/>
    <n v="5754121.1900000004"/>
    <n v="70596214.709999993"/>
    <n v="1285434.4499999993"/>
  </r>
  <r>
    <x v="2"/>
    <x v="0"/>
    <x v="0"/>
    <s v="7500102"/>
    <n v="450010"/>
    <s v="Admin Adjust-Acute IP-Self Pay"/>
    <s v="Deductions from Revenue"/>
    <x v="0"/>
    <n v="1600"/>
    <n v="977977.71"/>
    <n v="996694.24"/>
    <n v="553758.04"/>
    <n v="342202.51"/>
    <n v="15238.32"/>
    <n v="816013.61"/>
    <n v="862995.54"/>
    <n v="765589.05"/>
    <n v="394150.65"/>
    <n v="280270.43"/>
    <n v="326718.11"/>
    <n v="4840.37"/>
    <n v="6336448.5800000001"/>
    <n v="321877.74"/>
  </r>
  <r>
    <x v="2"/>
    <x v="0"/>
    <x v="0"/>
    <s v="7500102"/>
    <n v="450010"/>
    <s v="Contr Allow--Acute IP-Other"/>
    <s v="Deductions from Revenue"/>
    <x v="0"/>
    <n v="1700"/>
    <n v="553790.14"/>
    <n v="2482965.2200000002"/>
    <n v="964199.93"/>
    <n v="1296380.6399999999"/>
    <n v="383470.55"/>
    <n v="843727.33"/>
    <n v="857482.46"/>
    <n v="363528.3"/>
    <n v="1346107.57"/>
    <n v="1093006.1599999999"/>
    <n v="1437180.97"/>
    <n v="800021.69"/>
    <n v="12421860.960000001"/>
    <n v="637159.28"/>
  </r>
  <r>
    <x v="2"/>
    <x v="0"/>
    <x v="0"/>
    <s v="7500102"/>
    <n v="450011"/>
    <s v="Contr Allow-Current Year Settlements-Medicare"/>
    <s v="Deductions from Revenue"/>
    <x v="0"/>
    <n v="1100"/>
    <n v="0"/>
    <n v="0"/>
    <n v="0"/>
    <n v="0"/>
    <n v="0"/>
    <n v="0"/>
    <n v="0"/>
    <n v="0"/>
    <n v="0"/>
    <n v="0"/>
    <n v="0"/>
    <n v="-191052"/>
    <n v="-191052"/>
    <n v="191052"/>
  </r>
  <r>
    <x v="2"/>
    <x v="0"/>
    <x v="0"/>
    <s v="7500102"/>
    <n v="450012"/>
    <s v="Contr Allow-Prior Year Settlements-Medicare"/>
    <s v="Deductions from Revenue"/>
    <x v="0"/>
    <n v="1100"/>
    <n v="-44741.58"/>
    <n v="0"/>
    <n v="0"/>
    <n v="0"/>
    <n v="107445"/>
    <n v="0"/>
    <n v="0"/>
    <n v="0"/>
    <n v="0"/>
    <n v="0"/>
    <n v="0"/>
    <n v="-20611"/>
    <n v="42092.42"/>
    <n v="20611"/>
  </r>
  <r>
    <x v="2"/>
    <x v="0"/>
    <x v="0"/>
    <s v="7500102"/>
    <n v="450012"/>
    <s v="Contr Allow-Prior Year Settlements-Medicaid"/>
    <s v="Deductions from Revenue"/>
    <x v="0"/>
    <n v="1200"/>
    <n v="0"/>
    <n v="0"/>
    <n v="0"/>
    <n v="0"/>
    <n v="0"/>
    <n v="0"/>
    <n v="0"/>
    <n v="0"/>
    <n v="28553.37"/>
    <n v="0"/>
    <n v="0"/>
    <n v="0"/>
    <n v="28553.37"/>
    <n v="0"/>
  </r>
  <r>
    <x v="2"/>
    <x v="0"/>
    <x v="0"/>
    <s v="7500102"/>
    <n v="450012"/>
    <s v="Contr Allow-Prior Year Settlements-Other"/>
    <s v="Deductions from Revenue"/>
    <x v="0"/>
    <n v="1700"/>
    <n v="0"/>
    <n v="0"/>
    <n v="0"/>
    <n v="0"/>
    <n v="0"/>
    <n v="0"/>
    <n v="0"/>
    <n v="-45366.400000000001"/>
    <n v="2343.21"/>
    <n v="0"/>
    <n v="0"/>
    <n v="0"/>
    <n v="-43023.19"/>
    <n v="0"/>
  </r>
  <r>
    <x v="2"/>
    <x v="0"/>
    <x v="0"/>
    <s v="7500102"/>
    <n v="450015"/>
    <s v="Contr Allow-IP State-based Programs"/>
    <s v="Deductions from Revenue"/>
    <x v="0"/>
    <m/>
    <n v="-292051.11"/>
    <n v="-292051.11"/>
    <n v="-192919.26"/>
    <n v="-255024.32"/>
    <n v="-255024.32"/>
    <n v="-245513.44"/>
    <n v="-251854.03"/>
    <n v="-251854.03"/>
    <n v="-472261.28"/>
    <n v="-472261.28"/>
    <n v="-472261.28"/>
    <n v="-115368.31"/>
    <n v="-3568443.7700000009"/>
    <n v="-356892.97000000003"/>
  </r>
  <r>
    <x v="2"/>
    <x v="0"/>
    <x v="0"/>
    <s v="7500102"/>
    <n v="450017"/>
    <s v="Contr Allow-OP State-based Programs"/>
    <s v="Deductions from Revenue"/>
    <x v="0"/>
    <m/>
    <n v="-330938.71999999997"/>
    <n v="-330938.71999999997"/>
    <n v="-227201.23"/>
    <n v="-300342.42"/>
    <n v="-300342.42"/>
    <n v="-289141.45"/>
    <n v="-296608.76"/>
    <n v="-296608.76"/>
    <n v="-556182.62"/>
    <n v="-556182.62"/>
    <n v="-556182.62"/>
    <n v="-135869.38"/>
    <n v="-4176539.7199999997"/>
    <n v="-420313.24"/>
  </r>
  <r>
    <x v="2"/>
    <x v="0"/>
    <x v="0"/>
    <s v="7500102"/>
    <n v="450019"/>
    <s v="Contr Allow-OP-Prior Year Settlements-Medicare"/>
    <s v="Deductions from Revenue"/>
    <x v="0"/>
    <n v="1100"/>
    <n v="-12244.42"/>
    <n v="0"/>
    <n v="0"/>
    <n v="0"/>
    <n v="-126498.72"/>
    <n v="0"/>
    <n v="0"/>
    <n v="0"/>
    <n v="0"/>
    <n v="0"/>
    <n v="0"/>
    <n v="0"/>
    <n v="-138743.14000000001"/>
    <n v="0"/>
  </r>
  <r>
    <x v="2"/>
    <x v="0"/>
    <x v="0"/>
    <s v="7500102"/>
    <n v="450020"/>
    <s v="Contr Allow--OP Care-Medicare"/>
    <s v="Deductions from Revenue"/>
    <x v="0"/>
    <n v="1100"/>
    <n v="17790328.66"/>
    <n v="18003226.739999998"/>
    <n v="16579517.810000001"/>
    <n v="20852058.100000001"/>
    <n v="19343334.920000002"/>
    <n v="17406262.18"/>
    <n v="21035700.359999999"/>
    <n v="17572818.690000001"/>
    <n v="21605268.02"/>
    <n v="20079794.52"/>
    <n v="21395455.370000001"/>
    <n v="21145622.850000001"/>
    <n v="232809388.22000003"/>
    <n v="249832.51999999955"/>
  </r>
  <r>
    <x v="2"/>
    <x v="0"/>
    <x v="0"/>
    <s v="7500102"/>
    <n v="450020"/>
    <s v="Contr Allow--OP Care-Medicaid"/>
    <s v="Deductions from Revenue"/>
    <x v="0"/>
    <n v="1200"/>
    <n v="13457025.91"/>
    <n v="12851059.75"/>
    <n v="11767449.779999999"/>
    <n v="14061067.699999999"/>
    <n v="12550324.84"/>
    <n v="12606394.41"/>
    <n v="15106726.789999999"/>
    <n v="12581497.34"/>
    <n v="14788605.52"/>
    <n v="13892502.529999999"/>
    <n v="14987940.029999999"/>
    <n v="12635859.98"/>
    <n v="161286454.57999998"/>
    <n v="2352080.0499999989"/>
  </r>
  <r>
    <x v="2"/>
    <x v="0"/>
    <x v="0"/>
    <s v="7500102"/>
    <n v="450020"/>
    <s v="Contr Allow--OP Care-Comm Insurance"/>
    <s v="Deductions from Revenue"/>
    <x v="0"/>
    <n v="1300"/>
    <n v="1027887.51"/>
    <n v="904618.36"/>
    <n v="709427.14"/>
    <n v="817127.84"/>
    <n v="733038.91"/>
    <n v="863249.09"/>
    <n v="769549.21"/>
    <n v="626209.42000000004"/>
    <n v="818743.51"/>
    <n v="1216128.47"/>
    <n v="1235144.81"/>
    <n v="988218.4"/>
    <n v="10709342.670000002"/>
    <n v="246926.41000000003"/>
  </r>
  <r>
    <x v="2"/>
    <x v="0"/>
    <x v="0"/>
    <s v="7500102"/>
    <n v="450020"/>
    <s v="Contr Allow--OP Care BCBS Comm"/>
    <s v="Deductions from Revenue"/>
    <x v="0"/>
    <n v="1301"/>
    <n v="2418401.9900000002"/>
    <n v="2819592.52"/>
    <n v="3245281.91"/>
    <n v="2334988.35"/>
    <n v="3338012.38"/>
    <n v="3658850.44"/>
    <n v="3450524.31"/>
    <n v="3274399.14"/>
    <n v="3051867.47"/>
    <n v="4308707.53"/>
    <n v="3943609.34"/>
    <n v="3045278.21"/>
    <n v="38889513.589999996"/>
    <n v="898331.12999999989"/>
  </r>
  <r>
    <x v="2"/>
    <x v="0"/>
    <x v="0"/>
    <s v="7500102"/>
    <n v="450020"/>
    <s v="Contr Allow--OP Care-Managed Care"/>
    <s v="Deductions from Revenue"/>
    <x v="0"/>
    <n v="1400"/>
    <n v="11121695.98"/>
    <n v="8214942.1399999997"/>
    <n v="6274507.79"/>
    <n v="9040765.0899999999"/>
    <n v="9094663.9900000002"/>
    <n v="10153910.220000001"/>
    <n v="11164971.27"/>
    <n v="8385598.29"/>
    <n v="12101532.93"/>
    <n v="9399890.4100000001"/>
    <n v="9240940.8200000003"/>
    <n v="8499200.6300000008"/>
    <n v="112692619.56"/>
    <n v="741740.18999999948"/>
  </r>
  <r>
    <x v="2"/>
    <x v="0"/>
    <x v="0"/>
    <s v="7500102"/>
    <n v="450020"/>
    <s v="Admin Adjust-OP Care-Self Pay"/>
    <s v="Deductions from Revenue"/>
    <x v="0"/>
    <n v="1600"/>
    <n v="873660.82"/>
    <n v="1307251.78"/>
    <n v="965594.87"/>
    <n v="1029833.44"/>
    <n v="1238688"/>
    <n v="833877.33"/>
    <n v="745520.57"/>
    <n v="658010.31999999995"/>
    <n v="1441587.47"/>
    <n v="641813.38"/>
    <n v="885770.45"/>
    <n v="842146.16"/>
    <n v="11463754.590000002"/>
    <n v="43624.289999999921"/>
  </r>
  <r>
    <x v="2"/>
    <x v="0"/>
    <x v="0"/>
    <s v="7500102"/>
    <n v="450020"/>
    <s v="Contr Allow--OP Care-Other"/>
    <s v="Deductions from Revenue"/>
    <x v="0"/>
    <n v="1700"/>
    <n v="1404086.4"/>
    <n v="2158050.2000000002"/>
    <n v="2036088.76"/>
    <n v="1858562.96"/>
    <n v="1979966.11"/>
    <n v="1534749.57"/>
    <n v="1549142.12"/>
    <n v="1969466.55"/>
    <n v="2280924.5099999998"/>
    <n v="2016115.03"/>
    <n v="2583173.77"/>
    <n v="2144404.62"/>
    <n v="23514730.600000001"/>
    <n v="438769.14999999991"/>
  </r>
  <r>
    <x v="3"/>
    <x v="0"/>
    <x v="0"/>
    <s v="7500102"/>
    <n v="470010"/>
    <s v="Charity Care-Acute I/P Svcs"/>
    <s v="Deductions from Revenue"/>
    <x v="0"/>
    <m/>
    <n v="339164.26"/>
    <n v="776693.27"/>
    <n v="-161163.04999999999"/>
    <n v="-56159.88"/>
    <n v="328974.87"/>
    <n v="-331204.02"/>
    <n v="422262.7"/>
    <n v="230752.94"/>
    <n v="-761008.01"/>
    <n v="308987.71999999997"/>
    <n v="999362.09"/>
    <n v="1713824.32"/>
    <n v="3810487.21"/>
    <n v="-714462.2300000001"/>
  </r>
  <r>
    <x v="3"/>
    <x v="0"/>
    <x v="0"/>
    <s v="7500102"/>
    <n v="470020"/>
    <s v="Charity Care-O/P Care Svcs"/>
    <s v="Deductions from Revenue"/>
    <x v="0"/>
    <m/>
    <n v="946826.17"/>
    <n v="1026960.44"/>
    <n v="948238.74"/>
    <n v="1339593.1499999999"/>
    <n v="910604.43"/>
    <n v="1155061.3500000001"/>
    <n v="1350968.54"/>
    <n v="1220534.33"/>
    <n v="1139316.29"/>
    <n v="1494275.19"/>
    <n v="1643303.36"/>
    <n v="1450216.8"/>
    <n v="14625898.789999997"/>
    <n v="193086.56000000006"/>
  </r>
  <r>
    <x v="2"/>
    <x v="4"/>
    <x v="0"/>
    <s v="7500103"/>
    <n v="450010"/>
    <s v="Contr Allow--Acute IP-Medicare"/>
    <s v="Deductions from Revenue"/>
    <x v="0"/>
    <n v="1100"/>
    <n v="13864671.220000001"/>
    <n v="15591334.09"/>
    <n v="15750606.470000001"/>
    <n v="16075197.82"/>
    <n v="17220152.800000001"/>
    <n v="16720924.23"/>
    <n v="16876921.43"/>
    <n v="15888852.060000001"/>
    <n v="19320434.34"/>
    <n v="16419284.99"/>
    <n v="17132495.059999999"/>
    <n v="14018902.4"/>
    <n v="194879776.91000003"/>
    <n v="3113592.6599999983"/>
  </r>
  <r>
    <x v="2"/>
    <x v="4"/>
    <x v="0"/>
    <s v="7500103"/>
    <n v="450010"/>
    <s v="Contr Allow--Acute IP-Medicaid"/>
    <s v="Deductions from Revenue"/>
    <x v="0"/>
    <n v="1200"/>
    <n v="7738547.9299999997"/>
    <n v="5494762.0300000003"/>
    <n v="6731695.2300000004"/>
    <n v="6638791.96"/>
    <n v="5037706.96"/>
    <n v="8149776.3600000003"/>
    <n v="7039750.6699999999"/>
    <n v="8862910.1199999992"/>
    <n v="8082137.1699999999"/>
    <n v="8689562.3100000005"/>
    <n v="5985625.6200000001"/>
    <n v="6340015.9699999997"/>
    <n v="84791282.330000013"/>
    <n v="-354390.34999999963"/>
  </r>
  <r>
    <x v="2"/>
    <x v="4"/>
    <x v="0"/>
    <s v="7500103"/>
    <n v="450010"/>
    <s v="Contr Allow--Acute IP-Comm Insurance"/>
    <s v="Deductions from Revenue"/>
    <x v="0"/>
    <n v="1300"/>
    <n v="283167.96000000002"/>
    <n v="240943.4"/>
    <n v="378707.77"/>
    <n v="219461.76000000001"/>
    <n v="297591.81"/>
    <n v="227978.61"/>
    <n v="241801.43"/>
    <n v="169993.37"/>
    <n v="128647.13"/>
    <n v="144325.6"/>
    <n v="343364.02"/>
    <n v="395238.11"/>
    <n v="3071220.9699999997"/>
    <n v="-51874.089999999967"/>
  </r>
  <r>
    <x v="2"/>
    <x v="4"/>
    <x v="0"/>
    <s v="7500103"/>
    <n v="450010"/>
    <s v="Contr Allow--Acute IP-BCBS Comm"/>
    <s v="Deductions from Revenue"/>
    <x v="0"/>
    <n v="1301"/>
    <n v="270915.43"/>
    <n v="349098.95"/>
    <n v="440045.94"/>
    <n v="404082.97"/>
    <n v="450595.91"/>
    <n v="499997.89"/>
    <n v="303270.42"/>
    <n v="517191.46"/>
    <n v="419803.33"/>
    <n v="273175.49"/>
    <n v="860579.6"/>
    <n v="385237.88"/>
    <n v="5173995.2699999996"/>
    <n v="475341.72"/>
  </r>
  <r>
    <x v="2"/>
    <x v="4"/>
    <x v="0"/>
    <s v="7500103"/>
    <n v="450010"/>
    <s v="Contr Allow--Acute IP-Managed Care"/>
    <s v="Deductions from Revenue"/>
    <x v="0"/>
    <n v="1400"/>
    <n v="1884399.62"/>
    <n v="1427860.77"/>
    <n v="495828.85"/>
    <n v="2307865.7999999998"/>
    <n v="530908.86"/>
    <n v="1366658.47"/>
    <n v="2858973.88"/>
    <n v="3130516.95"/>
    <n v="1488849.46"/>
    <n v="883214.13"/>
    <n v="2024093.17"/>
    <n v="2453577.02"/>
    <n v="20852746.98"/>
    <n v="-429483.85000000009"/>
  </r>
  <r>
    <x v="2"/>
    <x v="4"/>
    <x v="0"/>
    <s v="7500103"/>
    <n v="450010"/>
    <s v="Admin Adjust-Acute IP-Self Pay"/>
    <s v="Deductions from Revenue"/>
    <x v="0"/>
    <n v="1600"/>
    <n v="229987.32"/>
    <n v="374454.31"/>
    <n v="-237450.06"/>
    <n v="-166141.92000000001"/>
    <n v="161944.95000000001"/>
    <n v="172327.66"/>
    <n v="288170.82"/>
    <n v="-20690.05"/>
    <n v="329030.71000000002"/>
    <n v="479458.27"/>
    <n v="-234584.38"/>
    <n v="2665.73"/>
    <n v="1379173.3599999999"/>
    <n v="-237250.11000000002"/>
  </r>
  <r>
    <x v="2"/>
    <x v="4"/>
    <x v="0"/>
    <s v="7500103"/>
    <n v="450010"/>
    <s v="Contr Allow--Acute IP-Other"/>
    <s v="Deductions from Revenue"/>
    <x v="0"/>
    <n v="1700"/>
    <n v="930046.97"/>
    <n v="1350098.3"/>
    <n v="848097.64"/>
    <n v="1013796.54"/>
    <n v="1172924.1499999999"/>
    <n v="1469932.54"/>
    <n v="989895.17"/>
    <n v="699963.09"/>
    <n v="1263395.81"/>
    <n v="1291084.75"/>
    <n v="919163.93"/>
    <n v="1170044.68"/>
    <n v="13118443.57"/>
    <n v="-250880.74999999988"/>
  </r>
  <r>
    <x v="2"/>
    <x v="4"/>
    <x v="0"/>
    <s v="7500103"/>
    <n v="450011"/>
    <s v="Contr Allow-Current Year Settlements-Medicare"/>
    <s v="Deductions from Revenue"/>
    <x v="0"/>
    <n v="1100"/>
    <n v="0"/>
    <n v="0"/>
    <n v="0"/>
    <n v="0"/>
    <n v="0"/>
    <n v="0"/>
    <n v="0"/>
    <n v="0"/>
    <n v="0"/>
    <n v="0"/>
    <n v="0"/>
    <n v="-292759"/>
    <n v="-292759"/>
    <n v="292759"/>
  </r>
  <r>
    <x v="2"/>
    <x v="4"/>
    <x v="0"/>
    <s v="7500103"/>
    <n v="450012"/>
    <s v="Contr Allow-Prior Year Settlements-Medicare"/>
    <s v="Deductions from Revenue"/>
    <x v="0"/>
    <n v="1100"/>
    <n v="0"/>
    <n v="0"/>
    <n v="-46651"/>
    <n v="0"/>
    <n v="101086"/>
    <n v="0"/>
    <n v="0"/>
    <n v="0"/>
    <n v="0"/>
    <n v="0"/>
    <n v="0"/>
    <n v="0"/>
    <n v="54435"/>
    <n v="0"/>
  </r>
  <r>
    <x v="2"/>
    <x v="4"/>
    <x v="0"/>
    <s v="7500103"/>
    <n v="450012"/>
    <s v="Contr Allow-Prior Year Settlements-Medicaid"/>
    <s v="Deductions from Revenue"/>
    <x v="0"/>
    <n v="1200"/>
    <n v="0"/>
    <n v="0"/>
    <n v="0"/>
    <n v="0"/>
    <n v="0"/>
    <n v="0"/>
    <n v="0"/>
    <n v="0"/>
    <n v="0"/>
    <n v="30900.03"/>
    <n v="0"/>
    <n v="0"/>
    <n v="30900.03"/>
    <n v="0"/>
  </r>
  <r>
    <x v="2"/>
    <x v="4"/>
    <x v="0"/>
    <s v="7500103"/>
    <n v="450012"/>
    <s v="Contr Allow-Prior Year Settlements-Other"/>
    <s v="Deductions from Revenue"/>
    <x v="0"/>
    <n v="1700"/>
    <n v="0"/>
    <n v="0"/>
    <n v="0"/>
    <n v="0"/>
    <n v="0"/>
    <n v="0"/>
    <n v="0"/>
    <n v="-35649.18"/>
    <n v="-20226.36"/>
    <n v="0"/>
    <n v="-592.96"/>
    <n v="0"/>
    <n v="-56468.5"/>
    <n v="-592.96"/>
  </r>
  <r>
    <x v="2"/>
    <x v="4"/>
    <x v="0"/>
    <s v="7500103"/>
    <n v="450015"/>
    <s v="Contr Allow-IP State-based Programs"/>
    <s v="Deductions from Revenue"/>
    <x v="0"/>
    <m/>
    <n v="-226718.38"/>
    <n v="-226718.38"/>
    <n v="-194756.74"/>
    <n v="-214097.01"/>
    <n v="-214097.01"/>
    <n v="-206055.89"/>
    <n v="-211416.63"/>
    <n v="-211416.63"/>
    <n v="-404266.68"/>
    <n v="-404266.68"/>
    <n v="-404266.68"/>
    <n v="-92035.49"/>
    <n v="-3010112.2000000007"/>
    <n v="-312231.19"/>
  </r>
  <r>
    <x v="2"/>
    <x v="4"/>
    <x v="0"/>
    <s v="7500103"/>
    <n v="450017"/>
    <s v="Contr Allow-OP State-based Programs"/>
    <s v="Deductions from Revenue"/>
    <x v="0"/>
    <m/>
    <n v="-269853.46999999997"/>
    <n v="-269853.46999999997"/>
    <n v="-237436.84"/>
    <n v="-261015.44"/>
    <n v="-261015.44"/>
    <n v="-251212.14"/>
    <n v="-257747.68"/>
    <n v="-257747.68"/>
    <n v="-492859.99"/>
    <n v="-492859.99"/>
    <n v="-492859.99"/>
    <n v="-112204.66"/>
    <n v="-3656666.79"/>
    <n v="-380655.32999999996"/>
  </r>
  <r>
    <x v="2"/>
    <x v="4"/>
    <x v="0"/>
    <s v="7500103"/>
    <n v="450019"/>
    <s v="Contr Allow-OP-Prior Year Settlements-Medicare"/>
    <s v="Deductions from Revenue"/>
    <x v="0"/>
    <n v="1100"/>
    <n v="0"/>
    <n v="0"/>
    <n v="42124"/>
    <n v="0"/>
    <n v="-86902.92"/>
    <n v="0"/>
    <n v="0"/>
    <n v="0"/>
    <n v="0"/>
    <n v="0"/>
    <n v="0"/>
    <n v="0"/>
    <n v="-44778.92"/>
    <n v="0"/>
  </r>
  <r>
    <x v="2"/>
    <x v="4"/>
    <x v="0"/>
    <s v="7500103"/>
    <n v="450020"/>
    <s v="Contr Allow--OP Care-Medicare"/>
    <s v="Deductions from Revenue"/>
    <x v="0"/>
    <n v="1100"/>
    <n v="11802691.699999999"/>
    <n v="13567249.119999999"/>
    <n v="11619794.08"/>
    <n v="14426252.880000001"/>
    <n v="14177794.710000001"/>
    <n v="12425849.800000001"/>
    <n v="14222998.17"/>
    <n v="13350171.279999999"/>
    <n v="12946263.939999999"/>
    <n v="15440280.02"/>
    <n v="14650774.029999999"/>
    <n v="13884015.25"/>
    <n v="162514134.97999999"/>
    <n v="766758.77999999933"/>
  </r>
  <r>
    <x v="2"/>
    <x v="4"/>
    <x v="0"/>
    <s v="7500103"/>
    <n v="450020"/>
    <s v="Contr Allow--OP Care-Medicaid"/>
    <s v="Deductions from Revenue"/>
    <x v="0"/>
    <n v="1200"/>
    <n v="12399548.25"/>
    <n v="12977154.710000001"/>
    <n v="11007744.01"/>
    <n v="12918511.789999999"/>
    <n v="11671221.34"/>
    <n v="11579290.970000001"/>
    <n v="12415808.460000001"/>
    <n v="10258999.109999999"/>
    <n v="11854258.18"/>
    <n v="12517973.5"/>
    <n v="11643433.560000001"/>
    <n v="11349158.99"/>
    <n v="142593102.87"/>
    <n v="294274.5700000003"/>
  </r>
  <r>
    <x v="2"/>
    <x v="4"/>
    <x v="0"/>
    <s v="7500103"/>
    <n v="450020"/>
    <s v="Contr Allow--OP Care-Comm Insurance"/>
    <s v="Deductions from Revenue"/>
    <x v="0"/>
    <n v="1300"/>
    <n v="725427.84"/>
    <n v="702009.35"/>
    <n v="385421.83"/>
    <n v="754698.1"/>
    <n v="896839.49"/>
    <n v="831081.41"/>
    <n v="449977.49"/>
    <n v="658118.77"/>
    <n v="716854.52"/>
    <n v="711979.02"/>
    <n v="560587.46"/>
    <n v="774777.93"/>
    <n v="8167773.21"/>
    <n v="-214190.47000000009"/>
  </r>
  <r>
    <x v="2"/>
    <x v="4"/>
    <x v="0"/>
    <s v="7500103"/>
    <n v="450020"/>
    <s v="Contr Allow--OP Care BCBS Comm"/>
    <s v="Deductions from Revenue"/>
    <x v="0"/>
    <n v="1301"/>
    <n v="1554719.99"/>
    <n v="1639317.31"/>
    <n v="1619056.59"/>
    <n v="1620348.12"/>
    <n v="1813288.48"/>
    <n v="1777258.39"/>
    <n v="2015616.53"/>
    <n v="1358793.52"/>
    <n v="1274845.1200000001"/>
    <n v="1939644.18"/>
    <n v="1782890.76"/>
    <n v="1349756.57"/>
    <n v="19745535.560000002"/>
    <n v="433134.18999999994"/>
  </r>
  <r>
    <x v="2"/>
    <x v="4"/>
    <x v="0"/>
    <s v="7500103"/>
    <n v="450020"/>
    <s v="Contr Allow--OP Care-Managed Care"/>
    <s v="Deductions from Revenue"/>
    <x v="0"/>
    <n v="1400"/>
    <n v="5571875.7599999998"/>
    <n v="4309059.17"/>
    <n v="3951524.82"/>
    <n v="5675003.2199999997"/>
    <n v="4925787.4400000004"/>
    <n v="5593019.5499999998"/>
    <n v="5401692.8300000001"/>
    <n v="3898405.49"/>
    <n v="6003623.9299999997"/>
    <n v="3389660.95"/>
    <n v="5200777.3099999996"/>
    <n v="4795670.34"/>
    <n v="58716100.810000002"/>
    <n v="405106.96999999974"/>
  </r>
  <r>
    <x v="2"/>
    <x v="4"/>
    <x v="0"/>
    <s v="7500103"/>
    <n v="450020"/>
    <s v="Admin Adjust-OP Care-Self Pay"/>
    <s v="Deductions from Revenue"/>
    <x v="0"/>
    <n v="1600"/>
    <n v="515191.77"/>
    <n v="908724.53"/>
    <n v="732418.9"/>
    <n v="463060.97"/>
    <n v="393647.49"/>
    <n v="552523.88"/>
    <n v="627181.85"/>
    <n v="350244.21"/>
    <n v="515766.12"/>
    <n v="423582.93"/>
    <n v="304317.27"/>
    <n v="486116.64"/>
    <n v="6272776.5599999996"/>
    <n v="-181799.37"/>
  </r>
  <r>
    <x v="2"/>
    <x v="4"/>
    <x v="0"/>
    <s v="7500103"/>
    <n v="450020"/>
    <s v="Contr Allow--OP Care-Other"/>
    <s v="Deductions from Revenue"/>
    <x v="0"/>
    <n v="1700"/>
    <n v="2651745.7000000002"/>
    <n v="3214691.34"/>
    <n v="2275192.62"/>
    <n v="2754108.01"/>
    <n v="2985245.91"/>
    <n v="2296005.0299999998"/>
    <n v="2147094.9900000002"/>
    <n v="2546533.89"/>
    <n v="2896541.25"/>
    <n v="3509873.68"/>
    <n v="3465902.25"/>
    <n v="2951618"/>
    <n v="33694552.670000002"/>
    <n v="514284.25"/>
  </r>
  <r>
    <x v="3"/>
    <x v="4"/>
    <x v="0"/>
    <s v="7500103"/>
    <n v="470010"/>
    <s v="Charity Care-Acute I/P Svcs"/>
    <s v="Deductions from Revenue"/>
    <x v="0"/>
    <m/>
    <n v="379657.26"/>
    <n v="675915.72"/>
    <n v="-332424.21999999997"/>
    <n v="-14551.66"/>
    <n v="72847.490000000005"/>
    <n v="260383.45"/>
    <n v="107719.34"/>
    <n v="105305.25"/>
    <n v="-1161087.93"/>
    <n v="201212.87"/>
    <n v="227984.66"/>
    <n v="1097827.06"/>
    <n v="1620789.2900000003"/>
    <n v="-869842.4"/>
  </r>
  <r>
    <x v="3"/>
    <x v="4"/>
    <x v="0"/>
    <s v="7500103"/>
    <n v="470020"/>
    <s v="Charity Care-O/P Care Svcs"/>
    <s v="Deductions from Revenue"/>
    <x v="0"/>
    <m/>
    <n v="553820.51"/>
    <n v="681086.52"/>
    <n v="655230.06000000006"/>
    <n v="1033431.66"/>
    <n v="474948.86"/>
    <n v="869344.56"/>
    <n v="643360.97"/>
    <n v="744138"/>
    <n v="845168.51"/>
    <n v="911393.44"/>
    <n v="833286.92"/>
    <n v="618638.54"/>
    <n v="8863848.5500000007"/>
    <n v="214648.38"/>
  </r>
  <r>
    <x v="2"/>
    <x v="8"/>
    <x v="0"/>
    <s v="7500104"/>
    <n v="450010"/>
    <s v="Contr Allow--Acute IP-Medicare"/>
    <s v="Deductions from Revenue"/>
    <x v="0"/>
    <n v="1100"/>
    <n v="14631547.210000001"/>
    <n v="15984387.529999999"/>
    <n v="16107258.890000001"/>
    <n v="14263386.630000001"/>
    <n v="14018166.460000001"/>
    <n v="17565024.550000001"/>
    <n v="18829566.620000001"/>
    <n v="16248567.82"/>
    <n v="18585795.57"/>
    <n v="15854192.16"/>
    <n v="15189893.539999999"/>
    <n v="12865416.18"/>
    <n v="190143203.16"/>
    <n v="2324477.3599999994"/>
  </r>
  <r>
    <x v="2"/>
    <x v="8"/>
    <x v="0"/>
    <s v="7500104"/>
    <n v="450010"/>
    <s v="Contr Allow--Acute IP-Medicaid"/>
    <s v="Deductions from Revenue"/>
    <x v="0"/>
    <n v="1200"/>
    <n v="3580903.17"/>
    <n v="3310554.76"/>
    <n v="4063483.46"/>
    <n v="4184964.67"/>
    <n v="2969809.3"/>
    <n v="3676021.32"/>
    <n v="3212781.74"/>
    <n v="3557303.54"/>
    <n v="3472398.58"/>
    <n v="3540669.66"/>
    <n v="3788821.97"/>
    <n v="3922924.76"/>
    <n v="43280636.93"/>
    <n v="-134102.78999999957"/>
  </r>
  <r>
    <x v="2"/>
    <x v="8"/>
    <x v="0"/>
    <s v="7500104"/>
    <n v="450010"/>
    <s v="Contr Allow--Acute IP-Comm Insurance"/>
    <s v="Deductions from Revenue"/>
    <x v="0"/>
    <n v="1300"/>
    <n v="679619.56"/>
    <n v="126619.31"/>
    <n v="210205.29"/>
    <n v="161011.99"/>
    <n v="138670.67000000001"/>
    <n v="358926.95"/>
    <n v="916458.3"/>
    <n v="223749.85"/>
    <n v="119184.87"/>
    <n v="102083.25"/>
    <n v="133410.21"/>
    <n v="291125.07"/>
    <n v="3461065.3200000003"/>
    <n v="-157714.86000000002"/>
  </r>
  <r>
    <x v="2"/>
    <x v="8"/>
    <x v="0"/>
    <s v="7500104"/>
    <n v="450010"/>
    <s v="Contr Allow--Acute IP-BCBS Comm"/>
    <s v="Deductions from Revenue"/>
    <x v="0"/>
    <n v="1301"/>
    <n v="1011331.63"/>
    <n v="455707.84"/>
    <n v="915697.89"/>
    <n v="1062293.46"/>
    <n v="924720.4"/>
    <n v="1185734.8899999999"/>
    <n v="572699.05000000005"/>
    <n v="825180.89"/>
    <n v="1498031.13"/>
    <n v="906876.86"/>
    <n v="801834.08"/>
    <n v="659487.52"/>
    <n v="10819595.639999999"/>
    <n v="142346.55999999994"/>
  </r>
  <r>
    <x v="2"/>
    <x v="8"/>
    <x v="0"/>
    <s v="7500104"/>
    <n v="450010"/>
    <s v="Contr Allow--Acute IP-Managed Care"/>
    <s v="Deductions from Revenue"/>
    <x v="0"/>
    <n v="1400"/>
    <n v="1697900.91"/>
    <n v="3054908.36"/>
    <n v="2408212.91"/>
    <n v="3210613.62"/>
    <n v="1266387.3700000001"/>
    <n v="2104768.65"/>
    <n v="2437133.39"/>
    <n v="2430294.7999999998"/>
    <n v="2577034.52"/>
    <n v="2322370.29"/>
    <n v="1581321.94"/>
    <n v="3974917.35"/>
    <n v="29065864.110000003"/>
    <n v="-2393595.41"/>
  </r>
  <r>
    <x v="2"/>
    <x v="8"/>
    <x v="0"/>
    <s v="7500104"/>
    <n v="450010"/>
    <s v="Admin Adjust-Acute IP-Self Pay"/>
    <s v="Deductions from Revenue"/>
    <x v="0"/>
    <n v="1600"/>
    <n v="269027.40000000002"/>
    <n v="40068"/>
    <n v="264797.59000000003"/>
    <n v="92424.57"/>
    <n v="165929.85"/>
    <n v="232263.67"/>
    <n v="111336.24"/>
    <n v="60835.34"/>
    <n v="68463.039999999994"/>
    <n v="80603.63"/>
    <n v="470594.7"/>
    <n v="195728.46"/>
    <n v="2052072.49"/>
    <n v="274866.24"/>
  </r>
  <r>
    <x v="2"/>
    <x v="8"/>
    <x v="0"/>
    <s v="7500104"/>
    <n v="450010"/>
    <s v="Contr Allow--Acute IP-Other"/>
    <s v="Deductions from Revenue"/>
    <x v="0"/>
    <n v="1700"/>
    <n v="1029222.09"/>
    <n v="880102.33"/>
    <n v="863833.28"/>
    <n v="733591.07"/>
    <n v="1588132.28"/>
    <n v="745139.46"/>
    <n v="1212770.07"/>
    <n v="1859968.85"/>
    <n v="890799.06"/>
    <n v="923764.43"/>
    <n v="1388662.65"/>
    <n v="979137.12"/>
    <n v="13095122.689999999"/>
    <n v="409525.52999999991"/>
  </r>
  <r>
    <x v="2"/>
    <x v="8"/>
    <x v="0"/>
    <s v="7500104"/>
    <n v="450011"/>
    <s v="Contr Allow-Current Year Settlements-Medicare"/>
    <s v="Deductions from Revenue"/>
    <x v="0"/>
    <n v="1100"/>
    <n v="0"/>
    <n v="0"/>
    <n v="0"/>
    <n v="0"/>
    <n v="0"/>
    <n v="0"/>
    <n v="0"/>
    <n v="0"/>
    <n v="0"/>
    <n v="0"/>
    <n v="0"/>
    <n v="-21736"/>
    <n v="-21736"/>
    <n v="21736"/>
  </r>
  <r>
    <x v="2"/>
    <x v="8"/>
    <x v="0"/>
    <s v="7500104"/>
    <n v="450012"/>
    <s v="Contr Allow-Prior Year Settlements-Medicare"/>
    <s v="Deductions from Revenue"/>
    <x v="0"/>
    <n v="1100"/>
    <n v="0"/>
    <n v="0"/>
    <n v="-41858"/>
    <n v="0"/>
    <n v="66207"/>
    <n v="0"/>
    <n v="0"/>
    <n v="0"/>
    <n v="-56690"/>
    <n v="0"/>
    <n v="1000000"/>
    <n v="62431"/>
    <n v="1030090"/>
    <n v="937569"/>
  </r>
  <r>
    <x v="2"/>
    <x v="8"/>
    <x v="0"/>
    <s v="7500104"/>
    <n v="450012"/>
    <s v="Contr Allow-Prior Year Settlements-Medicaid"/>
    <s v="Deductions from Revenue"/>
    <x v="0"/>
    <n v="1200"/>
    <n v="0"/>
    <n v="0"/>
    <n v="0"/>
    <n v="0"/>
    <n v="0"/>
    <n v="40708.129999999997"/>
    <n v="0"/>
    <n v="0"/>
    <n v="0"/>
    <n v="0"/>
    <n v="0"/>
    <n v="0"/>
    <n v="40708.129999999997"/>
    <n v="0"/>
  </r>
  <r>
    <x v="2"/>
    <x v="8"/>
    <x v="0"/>
    <s v="7500104"/>
    <n v="450012"/>
    <s v="Contr Allow-Prior Year Settlements-Other"/>
    <s v="Deductions from Revenue"/>
    <x v="0"/>
    <n v="1700"/>
    <n v="0"/>
    <n v="0"/>
    <n v="0"/>
    <n v="0"/>
    <n v="0"/>
    <n v="0"/>
    <n v="0"/>
    <n v="-144078.46"/>
    <n v="-7975.51"/>
    <n v="0"/>
    <n v="-376.48"/>
    <n v="0"/>
    <n v="-152430.45000000001"/>
    <n v="-376.48"/>
  </r>
  <r>
    <x v="2"/>
    <x v="8"/>
    <x v="0"/>
    <s v="7500104"/>
    <n v="450015"/>
    <s v="Contr Allow-IP State-based Programs"/>
    <s v="Deductions from Revenue"/>
    <x v="0"/>
    <m/>
    <n v="-134687.92000000001"/>
    <n v="-134687.92000000001"/>
    <n v="-157504.06"/>
    <n v="-142712.41"/>
    <n v="-142712.41"/>
    <n v="-137189.29999999999"/>
    <n v="-140871.37"/>
    <n v="-140871.37"/>
    <n v="-240188.98"/>
    <n v="-240188.98"/>
    <n v="-240188.98"/>
    <n v="-79174.09"/>
    <n v="-1930977.79"/>
    <n v="-161014.89000000001"/>
  </r>
  <r>
    <x v="2"/>
    <x v="8"/>
    <x v="0"/>
    <s v="7500104"/>
    <n v="450017"/>
    <s v="Contr Allow-OP State-based Programs"/>
    <s v="Deductions from Revenue"/>
    <x v="0"/>
    <m/>
    <n v="-144250.82999999999"/>
    <n v="-144250.82999999999"/>
    <n v="-167171.62"/>
    <n v="-151472.06"/>
    <n v="-151472.06"/>
    <n v="-145609.95000000001"/>
    <n v="-149518.01999999999"/>
    <n v="-149518.01999999999"/>
    <n v="-254931.73"/>
    <n v="-254931.73"/>
    <n v="-254931.73"/>
    <n v="-84033.77"/>
    <n v="-2052092.3499999999"/>
    <n v="-170897.96000000002"/>
  </r>
  <r>
    <x v="2"/>
    <x v="8"/>
    <x v="0"/>
    <s v="7500104"/>
    <n v="450019"/>
    <s v="Contr Allow-OP-Prior Year Settlements-Medicare"/>
    <s v="Deductions from Revenue"/>
    <x v="0"/>
    <n v="1100"/>
    <n v="0"/>
    <n v="0"/>
    <n v="-2860"/>
    <n v="0"/>
    <n v="-94792.2"/>
    <n v="0"/>
    <n v="0"/>
    <n v="0"/>
    <n v="0"/>
    <n v="0"/>
    <n v="0"/>
    <n v="0"/>
    <n v="-97652.2"/>
    <n v="0"/>
  </r>
  <r>
    <x v="2"/>
    <x v="8"/>
    <x v="0"/>
    <s v="7500104"/>
    <n v="450020"/>
    <s v="Contr Allow--OP Care-Medicare"/>
    <s v="Deductions from Revenue"/>
    <x v="0"/>
    <n v="1100"/>
    <n v="12524407.279999999"/>
    <n v="12939023.09"/>
    <n v="12464309.880000001"/>
    <n v="13211999.41"/>
    <n v="12611573.130000001"/>
    <n v="11135341.32"/>
    <n v="13161016.640000001"/>
    <n v="11799718.74"/>
    <n v="15232333.970000001"/>
    <n v="14251793.58"/>
    <n v="15100496.74"/>
    <n v="13673320.92"/>
    <n v="158105334.69999999"/>
    <n v="1427175.8200000003"/>
  </r>
  <r>
    <x v="2"/>
    <x v="8"/>
    <x v="0"/>
    <s v="7500104"/>
    <n v="450020"/>
    <s v="Contr Allow--OP Care-Medicaid"/>
    <s v="Deductions from Revenue"/>
    <x v="0"/>
    <n v="1200"/>
    <n v="5333273.58"/>
    <n v="5241907.93"/>
    <n v="5028343.41"/>
    <n v="5012656.5599999996"/>
    <n v="5349281.2300000004"/>
    <n v="5072178.58"/>
    <n v="6475655.3700000001"/>
    <n v="5300332.51"/>
    <n v="6074402.7599999998"/>
    <n v="6925443.0599999996"/>
    <n v="6156980.9400000004"/>
    <n v="5256982.07"/>
    <n v="67227438"/>
    <n v="899998.87000000011"/>
  </r>
  <r>
    <x v="2"/>
    <x v="8"/>
    <x v="0"/>
    <s v="7500104"/>
    <n v="450020"/>
    <s v="Contr Allow--OP Care-Comm Insurance"/>
    <s v="Deductions from Revenue"/>
    <x v="0"/>
    <n v="1300"/>
    <n v="800459.64"/>
    <n v="1275359.1399999999"/>
    <n v="365223.88"/>
    <n v="621376.51"/>
    <n v="1129856.72"/>
    <n v="749034.64"/>
    <n v="813808.02"/>
    <n v="997363.03"/>
    <n v="526581.78"/>
    <n v="936312.26"/>
    <n v="633458.84"/>
    <n v="804695.29"/>
    <n v="9653529.75"/>
    <n v="-171236.45000000007"/>
  </r>
  <r>
    <x v="2"/>
    <x v="8"/>
    <x v="0"/>
    <s v="7500104"/>
    <n v="450020"/>
    <s v="Contr Allow--OP Care BCBS Comm"/>
    <s v="Deductions from Revenue"/>
    <x v="0"/>
    <n v="1301"/>
    <n v="2708389.3"/>
    <n v="2882917.88"/>
    <n v="2539779.4500000002"/>
    <n v="2503407.88"/>
    <n v="2928351.81"/>
    <n v="3114384.45"/>
    <n v="3348367.86"/>
    <n v="2413749.21"/>
    <n v="2102632.44"/>
    <n v="3280253.62"/>
    <n v="2362066.67"/>
    <n v="3058151.69"/>
    <n v="33242452.260000002"/>
    <n v="-696085.02"/>
  </r>
  <r>
    <x v="2"/>
    <x v="8"/>
    <x v="0"/>
    <s v="7500104"/>
    <n v="450020"/>
    <s v="Contr Allow--OP Care-Managed Care"/>
    <s v="Deductions from Revenue"/>
    <x v="0"/>
    <n v="1400"/>
    <n v="5786889.1600000001"/>
    <n v="4393096.4400000004"/>
    <n v="4947056.3600000003"/>
    <n v="7921405.5800000001"/>
    <n v="6016083.3700000001"/>
    <n v="6989048.8200000003"/>
    <n v="5362544.47"/>
    <n v="5638539.8899999997"/>
    <n v="7670741.8799999999"/>
    <n v="4814311.95"/>
    <n v="7288826.5499999998"/>
    <n v="6321576.3399999999"/>
    <n v="73150120.810000002"/>
    <n v="967250.21"/>
  </r>
  <r>
    <x v="2"/>
    <x v="8"/>
    <x v="0"/>
    <s v="7500104"/>
    <n v="450020"/>
    <s v="Admin Adjust-OP Care-Self Pay"/>
    <s v="Deductions from Revenue"/>
    <x v="0"/>
    <n v="1600"/>
    <n v="321996.65999999997"/>
    <n v="715293.18"/>
    <n v="515666.95"/>
    <n v="495316.11"/>
    <n v="434623.69"/>
    <n v="371050.25"/>
    <n v="320958.88"/>
    <n v="561484.89"/>
    <n v="282507.71999999997"/>
    <n v="534379.39"/>
    <n v="495850.17"/>
    <n v="351674.02"/>
    <n v="5400801.9100000001"/>
    <n v="144176.14999999997"/>
  </r>
  <r>
    <x v="2"/>
    <x v="8"/>
    <x v="0"/>
    <s v="7500104"/>
    <n v="450020"/>
    <s v="Contr Allow--OP Care-Other"/>
    <s v="Deductions from Revenue"/>
    <x v="0"/>
    <n v="1700"/>
    <n v="1270873.18"/>
    <n v="1774327.83"/>
    <n v="1125639.7"/>
    <n v="1256575.82"/>
    <n v="1940743.23"/>
    <n v="2041722.27"/>
    <n v="1601973.28"/>
    <n v="1670209.37"/>
    <n v="2228194.02"/>
    <n v="2665656.6800000002"/>
    <n v="2637787.21"/>
    <n v="1561984.86"/>
    <n v="21775687.449999999"/>
    <n v="1075802.3499999999"/>
  </r>
  <r>
    <x v="3"/>
    <x v="8"/>
    <x v="0"/>
    <s v="7500104"/>
    <n v="470010"/>
    <s v="Charity Care-Acute I/P Svcs"/>
    <s v="Deductions from Revenue"/>
    <x v="0"/>
    <m/>
    <n v="355162"/>
    <n v="206066.56"/>
    <n v="309247.84000000003"/>
    <n v="283569.95"/>
    <n v="137407.72"/>
    <n v="330815.40000000002"/>
    <n v="143177.44"/>
    <n v="55833.38"/>
    <n v="203780.49"/>
    <n v="41946.29"/>
    <n v="717791.03"/>
    <n v="-388624.27"/>
    <n v="2396173.83"/>
    <n v="1106415.3"/>
  </r>
  <r>
    <x v="3"/>
    <x v="8"/>
    <x v="0"/>
    <s v="7500104"/>
    <n v="470020"/>
    <s v="Charity Care-O/P Care Svcs"/>
    <s v="Deductions from Revenue"/>
    <x v="0"/>
    <m/>
    <n v="206939.18"/>
    <n v="275494.65000000002"/>
    <n v="295671.67999999999"/>
    <n v="321490.17"/>
    <n v="122423.91"/>
    <n v="141766.44"/>
    <n v="289258.59000000003"/>
    <n v="279757.38"/>
    <n v="404442.16"/>
    <n v="386395.08"/>
    <n v="412807.17"/>
    <n v="570874.23"/>
    <n v="3707320.64"/>
    <n v="-158067.06"/>
  </r>
  <r>
    <x v="2"/>
    <x v="5"/>
    <x v="0"/>
    <s v="7500106"/>
    <n v="450010"/>
    <s v="Contr Allow--Acute IP-Medicare"/>
    <s v="Deductions from Revenue"/>
    <x v="0"/>
    <n v="1100"/>
    <n v="13175328.84"/>
    <n v="13575968.189999999"/>
    <n v="14288603.07"/>
    <n v="13974030.34"/>
    <n v="12226088.630000001"/>
    <n v="14272426.529999999"/>
    <n v="18579318.620000001"/>
    <n v="15688017.27"/>
    <n v="16190990.49"/>
    <n v="16240763.960000001"/>
    <n v="15629004.75"/>
    <n v="15114281.34"/>
    <n v="178954822.03"/>
    <n v="514723.41000000015"/>
  </r>
  <r>
    <x v="2"/>
    <x v="5"/>
    <x v="0"/>
    <s v="7500106"/>
    <n v="450010"/>
    <s v="Contr Allow--Acute IP-Medicaid"/>
    <s v="Deductions from Revenue"/>
    <x v="0"/>
    <n v="1200"/>
    <n v="7567622.4699999997"/>
    <n v="6152485.5800000001"/>
    <n v="5584059.2199999997"/>
    <n v="6292002.8700000001"/>
    <n v="6654243.7699999996"/>
    <n v="6292579.25"/>
    <n v="6826262.21"/>
    <n v="7761411.4900000002"/>
    <n v="8343058.3700000001"/>
    <n v="5860741.3300000001"/>
    <n v="5973166.4900000002"/>
    <n v="7108107.1900000004"/>
    <n v="80415740.239999995"/>
    <n v="-1134940.7000000002"/>
  </r>
  <r>
    <x v="2"/>
    <x v="5"/>
    <x v="0"/>
    <s v="7500106"/>
    <n v="450010"/>
    <s v="Contr Allow--Acute IP-Comm Insurance"/>
    <s v="Deductions from Revenue"/>
    <x v="0"/>
    <n v="1300"/>
    <n v="304953.34000000003"/>
    <n v="189731.62"/>
    <n v="34203.79"/>
    <n v="381825.82"/>
    <n v="244084.79"/>
    <n v="192426.11"/>
    <n v="191575.25"/>
    <n v="323649.15999999997"/>
    <n v="291871.09999999998"/>
    <n v="136395.14000000001"/>
    <n v="755700.69"/>
    <n v="346944.48"/>
    <n v="3393361.29"/>
    <n v="408756.20999999996"/>
  </r>
  <r>
    <x v="2"/>
    <x v="5"/>
    <x v="0"/>
    <s v="7500106"/>
    <n v="450010"/>
    <s v="Contr Allow--Acute IP-BCBS Comm"/>
    <s v="Deductions from Revenue"/>
    <x v="0"/>
    <n v="1301"/>
    <n v="1018724.6"/>
    <n v="1815415.7"/>
    <n v="485634.11"/>
    <n v="761626.38"/>
    <n v="855996.47"/>
    <n v="1178325.22"/>
    <n v="1423341.93"/>
    <n v="1228096.93"/>
    <n v="1031998.67"/>
    <n v="973883.43"/>
    <n v="857950.87"/>
    <n v="834870.71"/>
    <n v="12465865.02"/>
    <n v="23080.160000000033"/>
  </r>
  <r>
    <x v="2"/>
    <x v="5"/>
    <x v="0"/>
    <s v="7500106"/>
    <n v="450010"/>
    <s v="Contr Allow--Acute IP-Managed Care"/>
    <s v="Deductions from Revenue"/>
    <x v="0"/>
    <n v="1400"/>
    <n v="2497373.85"/>
    <n v="1569495.16"/>
    <n v="1756330.35"/>
    <n v="1310539.52"/>
    <n v="3081854.74"/>
    <n v="3422978.55"/>
    <n v="1773979.6"/>
    <n v="3195819.06"/>
    <n v="2361215.5099999998"/>
    <n v="2703198.72"/>
    <n v="2035722.7"/>
    <n v="1325647.02"/>
    <n v="27034154.779999994"/>
    <n v="710075.67999999993"/>
  </r>
  <r>
    <x v="2"/>
    <x v="5"/>
    <x v="0"/>
    <s v="7500106"/>
    <n v="450010"/>
    <s v="Admin Adjust-Acute IP-Self Pay"/>
    <s v="Deductions from Revenue"/>
    <x v="0"/>
    <n v="1600"/>
    <n v="370927.55"/>
    <n v="968650.04"/>
    <n v="264046.43"/>
    <n v="-23459.67"/>
    <n v="654400.84"/>
    <n v="360107.86"/>
    <n v="294351.23"/>
    <n v="-353248.56"/>
    <n v="238041.49"/>
    <n v="206702.15"/>
    <n v="-65117.08"/>
    <n v="16573.72"/>
    <n v="2931976"/>
    <n v="-81690.8"/>
  </r>
  <r>
    <x v="2"/>
    <x v="5"/>
    <x v="0"/>
    <s v="7500106"/>
    <n v="450010"/>
    <s v="Contr Allow--Acute IP-Other"/>
    <s v="Deductions from Revenue"/>
    <x v="0"/>
    <n v="1700"/>
    <n v="460098.88"/>
    <n v="740018.97"/>
    <n v="521517.71"/>
    <n v="420947.34"/>
    <n v="391064.2"/>
    <n v="301382.40000000002"/>
    <n v="423603.86"/>
    <n v="988526.22"/>
    <n v="375070.87"/>
    <n v="503084.16"/>
    <n v="566304.28"/>
    <n v="279719.65999999997"/>
    <n v="5971338.5500000007"/>
    <n v="286584.62000000005"/>
  </r>
  <r>
    <x v="2"/>
    <x v="5"/>
    <x v="0"/>
    <s v="7500106"/>
    <n v="450011"/>
    <s v="Contr Allow-Current Year Settlements-Medicare"/>
    <s v="Deductions from Revenue"/>
    <x v="0"/>
    <n v="1100"/>
    <n v="0"/>
    <n v="0"/>
    <n v="0"/>
    <n v="0"/>
    <n v="0"/>
    <n v="0"/>
    <n v="0"/>
    <n v="0"/>
    <n v="0"/>
    <n v="0"/>
    <n v="0"/>
    <n v="-306194"/>
    <n v="-306194"/>
    <n v="306194"/>
  </r>
  <r>
    <x v="2"/>
    <x v="5"/>
    <x v="0"/>
    <s v="7500106"/>
    <n v="450012"/>
    <s v="Contr Allow-Prior Year Settlements-Medicare"/>
    <s v="Deductions from Revenue"/>
    <x v="0"/>
    <n v="1100"/>
    <n v="0"/>
    <n v="0"/>
    <n v="0"/>
    <n v="0"/>
    <n v="-10927"/>
    <n v="-252010"/>
    <n v="0"/>
    <n v="-39903"/>
    <n v="0"/>
    <n v="-158091"/>
    <n v="0"/>
    <n v="-1"/>
    <n v="-460932"/>
    <n v="1"/>
  </r>
  <r>
    <x v="2"/>
    <x v="5"/>
    <x v="0"/>
    <s v="7500106"/>
    <n v="450012"/>
    <s v="Contr Allow-Prior Year Settlements-Medicaid"/>
    <s v="Deductions from Revenue"/>
    <x v="0"/>
    <n v="1200"/>
    <n v="0"/>
    <n v="0"/>
    <n v="0"/>
    <n v="0"/>
    <n v="0"/>
    <n v="0"/>
    <n v="0"/>
    <n v="0"/>
    <n v="0"/>
    <n v="287473.89"/>
    <n v="0"/>
    <n v="-150"/>
    <n v="287323.89"/>
    <n v="150"/>
  </r>
  <r>
    <x v="2"/>
    <x v="5"/>
    <x v="0"/>
    <s v="7500106"/>
    <n v="450012"/>
    <s v="Contr Allow-Prior Year Settlements-Other"/>
    <s v="Deductions from Revenue"/>
    <x v="0"/>
    <n v="1700"/>
    <n v="0"/>
    <n v="0"/>
    <n v="0"/>
    <n v="0"/>
    <n v="0"/>
    <n v="0"/>
    <n v="0"/>
    <n v="-27232.38"/>
    <n v="-37781.769999999997"/>
    <n v="0"/>
    <n v="0"/>
    <n v="0"/>
    <n v="-65014.149999999994"/>
    <n v="0"/>
  </r>
  <r>
    <x v="2"/>
    <x v="5"/>
    <x v="0"/>
    <s v="7500106"/>
    <n v="450015"/>
    <s v="Contr Allow-IP State-based Programs"/>
    <s v="Deductions from Revenue"/>
    <x v="0"/>
    <m/>
    <n v="-248501.33"/>
    <n v="-248501.33"/>
    <n v="-212621.08"/>
    <n v="-239192.01"/>
    <n v="-239192.01"/>
    <n v="-227834.81"/>
    <n v="-235406.28"/>
    <n v="-235406.28"/>
    <n v="-395407.73"/>
    <n v="-395407.73"/>
    <n v="-395407.73"/>
    <n v="-135549.4"/>
    <n v="-3208427.72"/>
    <n v="-259858.33"/>
  </r>
  <r>
    <x v="2"/>
    <x v="5"/>
    <x v="0"/>
    <s v="7500106"/>
    <n v="450017"/>
    <s v="Contr Allow-OP State-based Programs"/>
    <s v="Deductions from Revenue"/>
    <x v="0"/>
    <m/>
    <n v="-297775.40000000002"/>
    <n v="-297775.40000000002"/>
    <n v="-247419.82"/>
    <n v="-278339.5"/>
    <n v="-278339.5"/>
    <n v="-265123.5"/>
    <n v="-273934.15999999997"/>
    <n v="-273934.15999999997"/>
    <n v="-460122.32"/>
    <n v="-460122.32"/>
    <n v="-460122.32"/>
    <n v="-157734.16"/>
    <n v="-3750742.5599999996"/>
    <n v="-302388.16000000003"/>
  </r>
  <r>
    <x v="2"/>
    <x v="5"/>
    <x v="0"/>
    <s v="7500106"/>
    <n v="450019"/>
    <s v="Contr Allow-OP-Prior Year Settlements-Medicare"/>
    <s v="Deductions from Revenue"/>
    <x v="0"/>
    <n v="1100"/>
    <n v="0"/>
    <n v="0"/>
    <n v="0"/>
    <n v="0"/>
    <n v="-239659.09"/>
    <n v="0"/>
    <n v="0"/>
    <n v="0"/>
    <n v="0"/>
    <n v="0"/>
    <n v="0"/>
    <n v="0"/>
    <n v="-239659.09"/>
    <n v="0"/>
  </r>
  <r>
    <x v="2"/>
    <x v="5"/>
    <x v="0"/>
    <s v="7500106"/>
    <n v="450020"/>
    <s v="Contr Allow--OP Care-Medicare"/>
    <s v="Deductions from Revenue"/>
    <x v="0"/>
    <n v="1100"/>
    <n v="13534432.18"/>
    <n v="14675288.960000001"/>
    <n v="14077410.369999999"/>
    <n v="14897237.43"/>
    <n v="12937858.83"/>
    <n v="13335332.189999999"/>
    <n v="16136764.210000001"/>
    <n v="13315231.529999999"/>
    <n v="15053966.6"/>
    <n v="15962138.77"/>
    <n v="15674029.91"/>
    <n v="16517217.609999999"/>
    <n v="176116908.58999997"/>
    <n v="-843187.69999999925"/>
  </r>
  <r>
    <x v="2"/>
    <x v="5"/>
    <x v="0"/>
    <s v="7500106"/>
    <n v="450020"/>
    <s v="Contr Allow--OP Care-Medicaid"/>
    <s v="Deductions from Revenue"/>
    <x v="0"/>
    <n v="1200"/>
    <n v="10581783.93"/>
    <n v="11349078.960000001"/>
    <n v="10819510.82"/>
    <n v="10751119"/>
    <n v="9386641.3200000003"/>
    <n v="10473395.619999999"/>
    <n v="10503259.390000001"/>
    <n v="9458987.0600000005"/>
    <n v="11051635.689999999"/>
    <n v="10699977.75"/>
    <n v="9855873.7200000007"/>
    <n v="10045401.359999999"/>
    <n v="124976664.61999999"/>
    <n v="-189527.63999999873"/>
  </r>
  <r>
    <x v="2"/>
    <x v="5"/>
    <x v="0"/>
    <s v="7500106"/>
    <n v="450020"/>
    <s v="Contr Allow--OP Care-Comm Insurance"/>
    <s v="Deductions from Revenue"/>
    <x v="0"/>
    <n v="1300"/>
    <n v="897951.79"/>
    <n v="707840.23"/>
    <n v="904404.98"/>
    <n v="966709.36"/>
    <n v="883000.99"/>
    <n v="770509.86"/>
    <n v="463452.71"/>
    <n v="790081.23"/>
    <n v="848086.59"/>
    <n v="830145.66"/>
    <n v="684849.94"/>
    <n v="1103092.07"/>
    <n v="9850125.4100000001"/>
    <n v="-418242.13000000012"/>
  </r>
  <r>
    <x v="2"/>
    <x v="5"/>
    <x v="0"/>
    <s v="7500106"/>
    <n v="450020"/>
    <s v="Contr Allow--OP Care BCBS Comm"/>
    <s v="Deductions from Revenue"/>
    <x v="0"/>
    <n v="1301"/>
    <n v="2054385.77"/>
    <n v="3270329.25"/>
    <n v="2104810.0699999998"/>
    <n v="2533431.94"/>
    <n v="3073352.41"/>
    <n v="2292730.7400000002"/>
    <n v="2915424.11"/>
    <n v="2370623.12"/>
    <n v="2476838.42"/>
    <n v="3008167.66"/>
    <n v="2901661.82"/>
    <n v="2700731.32"/>
    <n v="31702486.629999999"/>
    <n v="200930.5"/>
  </r>
  <r>
    <x v="2"/>
    <x v="5"/>
    <x v="0"/>
    <s v="7500106"/>
    <n v="450020"/>
    <s v="Contr Allow--OP Care-Managed Care"/>
    <s v="Deductions from Revenue"/>
    <x v="0"/>
    <n v="1400"/>
    <n v="6795158.9400000004"/>
    <n v="6168141.3099999996"/>
    <n v="4275858.0599999996"/>
    <n v="6710436.5099999998"/>
    <n v="5873103.1900000004"/>
    <n v="6877054.0499999998"/>
    <n v="5882958.9800000004"/>
    <n v="6232787.2199999997"/>
    <n v="7433865.7199999997"/>
    <n v="5789294.0499999998"/>
    <n v="7443604"/>
    <n v="5990812.5700000003"/>
    <n v="75473074.599999994"/>
    <n v="1452791.4299999997"/>
  </r>
  <r>
    <x v="2"/>
    <x v="5"/>
    <x v="0"/>
    <s v="7500106"/>
    <n v="450020"/>
    <s v="Admin Adjust-OP Care-Self Pay"/>
    <s v="Deductions from Revenue"/>
    <x v="0"/>
    <n v="1600"/>
    <n v="1119218.75"/>
    <n v="1192342.28"/>
    <n v="840282.74"/>
    <n v="1096862.6399999999"/>
    <n v="1034341.54"/>
    <n v="1442284.59"/>
    <n v="968698.52"/>
    <n v="290571.36"/>
    <n v="558220.6"/>
    <n v="681962.73"/>
    <n v="770685.72"/>
    <n v="824458.25"/>
    <n v="10819929.720000003"/>
    <n v="-53772.530000000028"/>
  </r>
  <r>
    <x v="2"/>
    <x v="5"/>
    <x v="0"/>
    <s v="7500106"/>
    <n v="450020"/>
    <s v="Contr Allow--OP Care-Other"/>
    <s v="Deductions from Revenue"/>
    <x v="0"/>
    <n v="1700"/>
    <n v="652670.96"/>
    <n v="1208587.08"/>
    <n v="772366.52"/>
    <n v="794168.44"/>
    <n v="812596.1"/>
    <n v="593019.25"/>
    <n v="705291.16"/>
    <n v="956528.38"/>
    <n v="1097535.8600000001"/>
    <n v="980256.27"/>
    <n v="1134904.94"/>
    <n v="1012220.35"/>
    <n v="10720145.309999999"/>
    <n v="122684.58999999997"/>
  </r>
  <r>
    <x v="2"/>
    <x v="5"/>
    <x v="0"/>
    <s v="7500106"/>
    <n v="450040"/>
    <s v="Contr Allow--Phys Svcs--Mcare"/>
    <s v="Deductions from Revenue"/>
    <x v="0"/>
    <n v="1100"/>
    <n v="-68168.649999999994"/>
    <n v="532.38"/>
    <n v="-1087.55"/>
    <n v="517.53"/>
    <n v="-72.44"/>
    <n v="164.7"/>
    <n v="-119.28"/>
    <n v="902.96"/>
    <n v="2193.9"/>
    <n v="105.99"/>
    <n v="1069.25"/>
    <n v="447.35"/>
    <n v="-63513.859999999993"/>
    <n v="621.9"/>
  </r>
  <r>
    <x v="2"/>
    <x v="5"/>
    <x v="0"/>
    <s v="7500106"/>
    <n v="450040"/>
    <s v="Contr Allow--Phys Svcs--Mcaid"/>
    <s v="Deductions from Revenue"/>
    <x v="0"/>
    <n v="1200"/>
    <n v="-5804.89"/>
    <n v="5817.97"/>
    <n v="17.100000000000001"/>
    <n v="-9948.25"/>
    <n v="-12258.93"/>
    <n v="133.71"/>
    <n v="-1885.24"/>
    <n v="3510.26"/>
    <n v="1189.06"/>
    <n v="2746.77"/>
    <n v="427.2"/>
    <n v="1102.8499999999999"/>
    <n v="-14952.390000000001"/>
    <n v="-675.64999999999986"/>
  </r>
  <r>
    <x v="2"/>
    <x v="5"/>
    <x v="0"/>
    <s v="7500106"/>
    <n v="450040"/>
    <s v="Contr Allow--Phys Svcs--Comm Insurance"/>
    <s v="Deductions from Revenue"/>
    <x v="0"/>
    <n v="1300"/>
    <n v="-17376.87"/>
    <n v="370.42"/>
    <n v="-90.18"/>
    <n v="230.52"/>
    <n v="99.19"/>
    <n v="55.21"/>
    <n v="148.93"/>
    <n v="758.37"/>
    <n v="215.34"/>
    <n v="-451.47"/>
    <n v="838.84"/>
    <n v="-163.38999999999999"/>
    <n v="-15365.09"/>
    <n v="1002.23"/>
  </r>
  <r>
    <x v="2"/>
    <x v="5"/>
    <x v="0"/>
    <s v="7500106"/>
    <n v="450040"/>
    <s v="Contr Allow--Phys Svcs--BCBS Mgnd Care"/>
    <s v="Deductions from Revenue"/>
    <x v="0"/>
    <n v="1401"/>
    <n v="91350.41"/>
    <n v="-6720.77"/>
    <n v="1160.6300000000001"/>
    <n v="9200.2000000000007"/>
    <n v="12232.18"/>
    <n v="-353.62"/>
    <n v="1855.59"/>
    <n v="-5171.59"/>
    <n v="-3598.3"/>
    <n v="-2401.29"/>
    <n v="-2335.29"/>
    <n v="-1386.81"/>
    <n v="93831.340000000011"/>
    <n v="-948.48"/>
  </r>
  <r>
    <x v="2"/>
    <x v="5"/>
    <x v="0"/>
    <s v="7500106"/>
    <n v="450060"/>
    <s v="Contr Allow--Home-Based-Managed Care"/>
    <s v="Deductions from Revenue"/>
    <x v="0"/>
    <n v="1400"/>
    <n v="0"/>
    <n v="0"/>
    <n v="0"/>
    <n v="-2050.67"/>
    <n v="0"/>
    <n v="0"/>
    <n v="0"/>
    <n v="0"/>
    <n v="0"/>
    <n v="0"/>
    <n v="0"/>
    <n v="0"/>
    <n v="-2050.67"/>
    <n v="0"/>
  </r>
  <r>
    <x v="3"/>
    <x v="5"/>
    <x v="0"/>
    <s v="7500106"/>
    <n v="470010"/>
    <s v="Charity Care-Acute I/P Svcs"/>
    <s v="Deductions from Revenue"/>
    <x v="0"/>
    <m/>
    <n v="-110782.71"/>
    <n v="574234.13"/>
    <n v="-38288.559999999998"/>
    <n v="-200206.55"/>
    <n v="576836.54"/>
    <n v="550732.09"/>
    <n v="770221.3"/>
    <n v="373875.08"/>
    <n v="-1650039.83"/>
    <n v="300933.53999999998"/>
    <n v="914365.58"/>
    <n v="1584851.4"/>
    <n v="3646732.0100000002"/>
    <n v="-670485.81999999995"/>
  </r>
  <r>
    <x v="3"/>
    <x v="5"/>
    <x v="0"/>
    <s v="7500106"/>
    <n v="470020"/>
    <s v="Charity Care-O/P Care Svcs"/>
    <s v="Deductions from Revenue"/>
    <x v="0"/>
    <m/>
    <n v="695429.16"/>
    <n v="839467.29"/>
    <n v="876522.73"/>
    <n v="898862.68"/>
    <n v="628515.26"/>
    <n v="900153.27"/>
    <n v="1242950.3799999999"/>
    <n v="1089475.5"/>
    <n v="1136699.96"/>
    <n v="1083055.8600000001"/>
    <n v="1244238.21"/>
    <n v="849321.19"/>
    <n v="11484691.49"/>
    <n v="394917.02"/>
  </r>
  <r>
    <x v="3"/>
    <x v="5"/>
    <x v="0"/>
    <s v="7500106"/>
    <n v="470040"/>
    <s v="Charity Care-Physician Svcs"/>
    <s v="Deductions from Revenue"/>
    <x v="0"/>
    <m/>
    <n v="-10017.76"/>
    <n v="-500.21"/>
    <n v="-179.31"/>
    <n v="-476.94"/>
    <n v="-61.12"/>
    <n v="134.69"/>
    <n v="-917.97"/>
    <n v="-840.81"/>
    <n v="-663.13"/>
    <n v="1910.09"/>
    <n v="-894.54"/>
    <n v="757.09"/>
    <n v="-11749.919999999998"/>
    <n v="-1651.63"/>
  </r>
  <r>
    <x v="2"/>
    <x v="6"/>
    <x v="0"/>
    <s v="7500107"/>
    <n v="450010"/>
    <s v="Contr Allow--Acute IP-Medicare"/>
    <s v="Deductions from Revenue"/>
    <x v="0"/>
    <n v="1100"/>
    <n v="40407480.240000002"/>
    <n v="44655486.979999997"/>
    <n v="44135107.310000002"/>
    <n v="44832590.770000003"/>
    <n v="44148878.630000003"/>
    <n v="42478720.619999997"/>
    <n v="49137666.649999999"/>
    <n v="43763108.609999999"/>
    <n v="48692839.240000002"/>
    <n v="46510771.439999998"/>
    <n v="47578120.039999999"/>
    <n v="47808391.689999998"/>
    <n v="544149162.22000003"/>
    <n v="-230271.64999999851"/>
  </r>
  <r>
    <x v="2"/>
    <x v="6"/>
    <x v="0"/>
    <s v="7500107"/>
    <n v="450010"/>
    <s v="Contr Allow--Acute IP-Medicaid"/>
    <s v="Deductions from Revenue"/>
    <x v="0"/>
    <n v="1200"/>
    <n v="10248000.67"/>
    <n v="12323902.189999999"/>
    <n v="9688500.9499999993"/>
    <n v="10631688.859999999"/>
    <n v="9608733.8599999994"/>
    <n v="10562458.65"/>
    <n v="11290737.35"/>
    <n v="11952492.41"/>
    <n v="12411569.779999999"/>
    <n v="10996154.52"/>
    <n v="12004904.560000001"/>
    <n v="15327447.779999999"/>
    <n v="137046591.57999998"/>
    <n v="-3322543.2199999988"/>
  </r>
  <r>
    <x v="2"/>
    <x v="6"/>
    <x v="0"/>
    <s v="7500107"/>
    <n v="450010"/>
    <s v="Contr Allow--Acute IP-Comm Insurance"/>
    <s v="Deductions from Revenue"/>
    <x v="0"/>
    <n v="1300"/>
    <n v="155635"/>
    <n v="-111686.65"/>
    <n v="441434.45"/>
    <n v="63669.96"/>
    <n v="284323.78000000003"/>
    <n v="262840.89"/>
    <n v="358003.96"/>
    <n v="129599.75"/>
    <n v="277974.71000000002"/>
    <n v="234662.84"/>
    <n v="288813.53999999998"/>
    <n v="307383.59000000003"/>
    <n v="2692655.82"/>
    <n v="-18570.050000000047"/>
  </r>
  <r>
    <x v="2"/>
    <x v="6"/>
    <x v="0"/>
    <s v="7500107"/>
    <n v="450010"/>
    <s v="Contr Allow--Acute IP-BCBS Comm"/>
    <s v="Deductions from Revenue"/>
    <x v="0"/>
    <n v="1301"/>
    <n v="1867819.66"/>
    <n v="3022762.81"/>
    <n v="2529744.31"/>
    <n v="2306843.23"/>
    <n v="2404226.73"/>
    <n v="2541619.59"/>
    <n v="2877400.52"/>
    <n v="2154657.09"/>
    <n v="2443784.98"/>
    <n v="2461664.44"/>
    <n v="2187906.27"/>
    <n v="4006700.62"/>
    <n v="30805130.250000004"/>
    <n v="-1818794.35"/>
  </r>
  <r>
    <x v="2"/>
    <x v="6"/>
    <x v="0"/>
    <s v="7500107"/>
    <n v="450010"/>
    <s v="Contr Allow--Acute IP-Managed Care"/>
    <s v="Deductions from Revenue"/>
    <x v="0"/>
    <n v="1400"/>
    <n v="4456863.0199999996"/>
    <n v="4176277.47"/>
    <n v="6999250.5199999996"/>
    <n v="2510730.09"/>
    <n v="4179494.29"/>
    <n v="2372162.42"/>
    <n v="2691621.25"/>
    <n v="3401816.34"/>
    <n v="9152804.3699999992"/>
    <n v="3142184.46"/>
    <n v="5402720.54"/>
    <n v="2329552.69"/>
    <n v="50815477.460000001"/>
    <n v="3073167.85"/>
  </r>
  <r>
    <x v="2"/>
    <x v="6"/>
    <x v="0"/>
    <s v="7500107"/>
    <n v="450010"/>
    <s v="Admin Adjust-Acute IP-Self Pay"/>
    <s v="Deductions from Revenue"/>
    <x v="0"/>
    <n v="1600"/>
    <n v="-81073.570000000007"/>
    <n v="142883.35"/>
    <n v="947191.24"/>
    <n v="-475051.98"/>
    <n v="196793.1"/>
    <n v="249319.98"/>
    <n v="444862.8"/>
    <n v="600287.4"/>
    <n v="-166685.25"/>
    <n v="377200.83"/>
    <n v="78615.490000000005"/>
    <n v="300998.73"/>
    <n v="2615342.12"/>
    <n v="-222383.24"/>
  </r>
  <r>
    <x v="2"/>
    <x v="6"/>
    <x v="0"/>
    <s v="7500107"/>
    <n v="450010"/>
    <s v="Contr Allow--Acute IP-Other"/>
    <s v="Deductions from Revenue"/>
    <x v="0"/>
    <n v="1700"/>
    <n v="3112960.8"/>
    <n v="3742566.74"/>
    <n v="3032476.59"/>
    <n v="3418035.59"/>
    <n v="3972678.95"/>
    <n v="3665988.26"/>
    <n v="3741758.25"/>
    <n v="3282562.15"/>
    <n v="3162596.37"/>
    <n v="4058654.99"/>
    <n v="4946469.9400000004"/>
    <n v="2704764.79"/>
    <n v="42841513.419999994"/>
    <n v="2241705.1500000004"/>
  </r>
  <r>
    <x v="2"/>
    <x v="6"/>
    <x v="0"/>
    <s v="7500107"/>
    <n v="450011"/>
    <s v="Contr Allow-Current Year Settlements-Medicare"/>
    <s v="Deductions from Revenue"/>
    <x v="0"/>
    <n v="1100"/>
    <n v="0"/>
    <n v="0"/>
    <n v="0"/>
    <n v="0"/>
    <n v="0"/>
    <n v="0"/>
    <n v="0"/>
    <n v="0"/>
    <n v="0"/>
    <n v="0"/>
    <n v="-531000"/>
    <n v="-489606"/>
    <n v="-1020606"/>
    <n v="-41394"/>
  </r>
  <r>
    <x v="2"/>
    <x v="6"/>
    <x v="0"/>
    <s v="7500107"/>
    <n v="450012"/>
    <s v="Contr Allow-Prior Year Settlements-Medicare"/>
    <s v="Deductions from Revenue"/>
    <x v="0"/>
    <n v="1100"/>
    <n v="-108256"/>
    <n v="0"/>
    <n v="0"/>
    <n v="0"/>
    <n v="-76392"/>
    <n v="0"/>
    <n v="0"/>
    <n v="0"/>
    <n v="-250119"/>
    <n v="0"/>
    <n v="-117474"/>
    <n v="23230"/>
    <n v="-529011"/>
    <n v="-140704"/>
  </r>
  <r>
    <x v="2"/>
    <x v="6"/>
    <x v="0"/>
    <s v="7500107"/>
    <n v="450012"/>
    <s v="Contr Allow-Prior Year Settlements-Medicaid"/>
    <s v="Deductions from Revenue"/>
    <x v="0"/>
    <n v="1200"/>
    <n v="0"/>
    <n v="24537.9"/>
    <n v="0"/>
    <n v="0"/>
    <n v="0"/>
    <n v="0"/>
    <n v="0"/>
    <n v="0"/>
    <n v="69441.62"/>
    <n v="0"/>
    <n v="0"/>
    <n v="0"/>
    <n v="93979.51999999999"/>
    <n v="0"/>
  </r>
  <r>
    <x v="2"/>
    <x v="6"/>
    <x v="0"/>
    <s v="7500107"/>
    <n v="450012"/>
    <s v="Contr Allow-Prior Year Settlements-Other"/>
    <s v="Deductions from Revenue"/>
    <x v="0"/>
    <n v="1700"/>
    <n v="0"/>
    <n v="0"/>
    <n v="0"/>
    <n v="0"/>
    <n v="0"/>
    <n v="0"/>
    <n v="0"/>
    <n v="-859592.78"/>
    <n v="-67440.17"/>
    <n v="0"/>
    <n v="-6617.51"/>
    <n v="0"/>
    <n v="-933650.46000000008"/>
    <n v="-6617.51"/>
  </r>
  <r>
    <x v="2"/>
    <x v="6"/>
    <x v="0"/>
    <s v="7500107"/>
    <n v="450015"/>
    <s v="Contr Allow-IP State-based Programs"/>
    <s v="Deductions from Revenue"/>
    <x v="0"/>
    <m/>
    <n v="-389469.89"/>
    <n v="-389469.89"/>
    <n v="-334132.28000000003"/>
    <n v="-366294.34"/>
    <n v="-366294.34"/>
    <n v="-351963.91"/>
    <n v="-361517.53"/>
    <n v="-361517.53"/>
    <n v="-631148.07999999996"/>
    <n v="-631148.07999999996"/>
    <n v="-631148.07999999996"/>
    <n v="-194114.75"/>
    <n v="-5008218.7000000011"/>
    <n v="-437033.32999999996"/>
  </r>
  <r>
    <x v="2"/>
    <x v="6"/>
    <x v="0"/>
    <s v="7500107"/>
    <n v="450017"/>
    <s v="Contr Allow-OP State-based Programs"/>
    <s v="Deductions from Revenue"/>
    <x v="0"/>
    <m/>
    <n v="-471772.34"/>
    <n v="-471772.34"/>
    <n v="-418449.77"/>
    <n v="-458727.86"/>
    <n v="-458727.86"/>
    <n v="-440781.18"/>
    <n v="-452745.64"/>
    <n v="-452745.64"/>
    <n v="-790416.81"/>
    <n v="-790416.81"/>
    <n v="-790416.81"/>
    <n v="-243099.15"/>
    <n v="-6240072.2100000009"/>
    <n v="-547317.66"/>
  </r>
  <r>
    <x v="2"/>
    <x v="6"/>
    <x v="0"/>
    <s v="7500107"/>
    <n v="450019"/>
    <s v="Contr Allow-OP-Prior Year Settlements-Medicare"/>
    <s v="Deductions from Revenue"/>
    <x v="0"/>
    <n v="1100"/>
    <n v="-48586"/>
    <n v="0"/>
    <n v="0"/>
    <n v="0"/>
    <n v="-627949.28"/>
    <n v="0"/>
    <n v="0"/>
    <n v="0"/>
    <n v="-112024"/>
    <n v="0"/>
    <n v="0"/>
    <n v="209"/>
    <n v="-788350.28"/>
    <n v="-209"/>
  </r>
  <r>
    <x v="2"/>
    <x v="6"/>
    <x v="0"/>
    <s v="7500107"/>
    <n v="450020"/>
    <s v="Contr Allow--OP Care-Medicare"/>
    <s v="Deductions from Revenue"/>
    <x v="0"/>
    <n v="1100"/>
    <n v="41559240.850000001"/>
    <n v="42487927.909999996"/>
    <n v="37917382.299999997"/>
    <n v="44942783.119999997"/>
    <n v="44360789.670000002"/>
    <n v="43349731.140000001"/>
    <n v="45567432.280000001"/>
    <n v="39481934.170000002"/>
    <n v="46649425.380000003"/>
    <n v="45988635.399999999"/>
    <n v="50749289.729999997"/>
    <n v="46445624.450000003"/>
    <n v="529500196.39999998"/>
    <n v="4303665.2799999937"/>
  </r>
  <r>
    <x v="2"/>
    <x v="6"/>
    <x v="0"/>
    <s v="7500107"/>
    <n v="450020"/>
    <s v="Contr Allow--OP Care-Medicaid"/>
    <s v="Deductions from Revenue"/>
    <x v="0"/>
    <n v="1200"/>
    <n v="18044122.52"/>
    <n v="18076958.239999998"/>
    <n v="17658128.399999999"/>
    <n v="17530725.02"/>
    <n v="18434250.940000001"/>
    <n v="17128806.359999999"/>
    <n v="19524085.920000002"/>
    <n v="16551853.119999999"/>
    <n v="19467697.960000001"/>
    <n v="18289578.870000001"/>
    <n v="19069822.670000002"/>
    <n v="18356364.27"/>
    <n v="218132394.28999999"/>
    <n v="713458.40000000224"/>
  </r>
  <r>
    <x v="2"/>
    <x v="6"/>
    <x v="0"/>
    <s v="7500107"/>
    <n v="450020"/>
    <s v="Contr Allow--OP Care-Comm Insurance"/>
    <s v="Deductions from Revenue"/>
    <x v="0"/>
    <n v="1300"/>
    <n v="510987.13"/>
    <n v="593271.1"/>
    <n v="356179.73"/>
    <n v="521591.91"/>
    <n v="515401.77"/>
    <n v="490789.12"/>
    <n v="568168.67000000004"/>
    <n v="502384.3"/>
    <n v="792535.82"/>
    <n v="781806.2"/>
    <n v="812573.55"/>
    <n v="950494.25"/>
    <n v="7396183.5499999998"/>
    <n v="-137920.69999999995"/>
  </r>
  <r>
    <x v="2"/>
    <x v="6"/>
    <x v="0"/>
    <s v="7500107"/>
    <n v="450020"/>
    <s v="Contr Allow--OP Care BCBS Comm"/>
    <s v="Deductions from Revenue"/>
    <x v="0"/>
    <n v="1301"/>
    <n v="4927441.1100000003"/>
    <n v="4650579.29"/>
    <n v="4750812.3899999997"/>
    <n v="5733829.2999999998"/>
    <n v="5712802.8200000003"/>
    <n v="5021955.18"/>
    <n v="5758380.4800000004"/>
    <n v="4609665.25"/>
    <n v="4131763.72"/>
    <n v="6229500.2699999996"/>
    <n v="6343129.7800000003"/>
    <n v="4791846.07"/>
    <n v="62661705.660000004"/>
    <n v="1551283.71"/>
  </r>
  <r>
    <x v="2"/>
    <x v="6"/>
    <x v="0"/>
    <s v="7500107"/>
    <n v="450020"/>
    <s v="Contr Allow--OP Care-Managed Care"/>
    <s v="Deductions from Revenue"/>
    <x v="0"/>
    <n v="1400"/>
    <n v="10674295.140000001"/>
    <n v="6842355.7599999998"/>
    <n v="6418935.8799999999"/>
    <n v="11777700.720000001"/>
    <n v="5736762.21"/>
    <n v="9475958.2400000002"/>
    <n v="10094909.109999999"/>
    <n v="8396879.7100000009"/>
    <n v="12610400.960000001"/>
    <n v="8975878.6500000004"/>
    <n v="8370189.6399999997"/>
    <n v="10625682.58"/>
    <n v="109999948.60000002"/>
    <n v="-2255492.9400000004"/>
  </r>
  <r>
    <x v="2"/>
    <x v="6"/>
    <x v="0"/>
    <s v="7500107"/>
    <n v="450020"/>
    <s v="Admin Adjust-OP Care-Self Pay"/>
    <s v="Deductions from Revenue"/>
    <x v="0"/>
    <n v="1600"/>
    <n v="771180.99"/>
    <n v="939952.27"/>
    <n v="781997.35"/>
    <n v="745896.43"/>
    <n v="813804.32"/>
    <n v="1347081.99"/>
    <n v="1027763.34"/>
    <n v="602095.34"/>
    <n v="602407.26"/>
    <n v="765679.38"/>
    <n v="707621.72"/>
    <n v="1062628.92"/>
    <n v="10168109.310000001"/>
    <n v="-355007.19999999995"/>
  </r>
  <r>
    <x v="2"/>
    <x v="6"/>
    <x v="0"/>
    <s v="7500107"/>
    <n v="450020"/>
    <s v="Contr Allow--OP Care-Other"/>
    <s v="Deductions from Revenue"/>
    <x v="0"/>
    <n v="1700"/>
    <n v="6299924.4500000002"/>
    <n v="10170421.09"/>
    <n v="7109341.2699999996"/>
    <n v="6294519.4500000002"/>
    <n v="9787546.9499999993"/>
    <n v="6994541.4900000002"/>
    <n v="6491794.8700000001"/>
    <n v="8755189.9700000007"/>
    <n v="7472456.3799999999"/>
    <n v="7817918.2199999997"/>
    <n v="11889461.68"/>
    <n v="7989118.6100000003"/>
    <n v="97072234.429999992"/>
    <n v="3900343.0699999994"/>
  </r>
  <r>
    <x v="2"/>
    <x v="6"/>
    <x v="0"/>
    <s v="7500107"/>
    <n v="450040"/>
    <s v="Contr Allow--Phys Svcs--Mcaid"/>
    <s v="Deductions from Revenue"/>
    <x v="0"/>
    <n v="1200"/>
    <n v="0"/>
    <n v="0"/>
    <n v="0"/>
    <n v="0"/>
    <n v="0"/>
    <n v="0"/>
    <n v="0"/>
    <n v="0"/>
    <n v="0"/>
    <n v="0"/>
    <n v="-918.19"/>
    <n v="0"/>
    <n v="-918.19"/>
    <n v="-918.19"/>
  </r>
  <r>
    <x v="3"/>
    <x v="6"/>
    <x v="0"/>
    <s v="7500107"/>
    <n v="470010"/>
    <s v="Charity Care-Acute I/P Svcs"/>
    <s v="Deductions from Revenue"/>
    <x v="0"/>
    <m/>
    <n v="199485.75"/>
    <n v="125661.17"/>
    <n v="354522.28"/>
    <n v="293518.98"/>
    <n v="329614.09999999998"/>
    <n v="212146.39"/>
    <n v="444120.71"/>
    <n v="764392.51"/>
    <n v="-2524.5100000000002"/>
    <n v="176026.74"/>
    <n v="557929.44999999995"/>
    <n v="1303195.76"/>
    <n v="4758089.33"/>
    <n v="-745266.31"/>
  </r>
  <r>
    <x v="3"/>
    <x v="6"/>
    <x v="0"/>
    <s v="7500107"/>
    <n v="470020"/>
    <s v="Charity Care-O/P Care Svcs"/>
    <s v="Deductions from Revenue"/>
    <x v="0"/>
    <m/>
    <n v="541195.61"/>
    <n v="662860.98"/>
    <n v="653998.91"/>
    <n v="853107.84"/>
    <n v="503692.25"/>
    <n v="639899.41"/>
    <n v="796802.14"/>
    <n v="717842.88"/>
    <n v="1209463.97"/>
    <n v="1026819.2"/>
    <n v="996998.11"/>
    <n v="1001898.28"/>
    <n v="9604579.5799999982"/>
    <n v="-4900.1700000000419"/>
  </r>
  <r>
    <x v="2"/>
    <x v="7"/>
    <x v="0"/>
    <s v="7500150"/>
    <n v="450010"/>
    <s v="Contr Allow--Acute IP-Medicare"/>
    <s v="Deductions from Revenue"/>
    <x v="0"/>
    <n v="1100"/>
    <n v="1253711.1200000001"/>
    <n v="1971018.94"/>
    <n v="1057244.8899999999"/>
    <n v="1418847.13"/>
    <n v="1631694.34"/>
    <n v="2001037.77"/>
    <n v="2204061.52"/>
    <n v="1098583.06"/>
    <n v="2204643.52"/>
    <n v="1656215.42"/>
    <n v="1936686.99"/>
    <n v="1534760.03"/>
    <n v="19968504.73"/>
    <n v="401926.95999999996"/>
  </r>
  <r>
    <x v="2"/>
    <x v="7"/>
    <x v="0"/>
    <s v="7500150"/>
    <n v="450010"/>
    <s v="Contr Allow--Acute IP-Medicaid"/>
    <s v="Deductions from Revenue"/>
    <x v="0"/>
    <n v="1200"/>
    <n v="923451.89"/>
    <n v="497389.58"/>
    <n v="806010.88"/>
    <n v="676957.63"/>
    <n v="720109.98"/>
    <n v="583475.68000000005"/>
    <n v="571282.13"/>
    <n v="469393.66"/>
    <n v="854847.77"/>
    <n v="737697.03"/>
    <n v="757054.81"/>
    <n v="592135.23"/>
    <n v="8189806.2699999996"/>
    <n v="164919.58000000007"/>
  </r>
  <r>
    <x v="2"/>
    <x v="7"/>
    <x v="0"/>
    <s v="7500150"/>
    <n v="450010"/>
    <s v="Contr Allow--Acute IP-Comm Insurance"/>
    <s v="Deductions from Revenue"/>
    <x v="0"/>
    <n v="1300"/>
    <n v="68800.2"/>
    <n v="54812.89"/>
    <n v="95849.89"/>
    <n v="42629.59"/>
    <n v="173215.14"/>
    <n v="105625.15"/>
    <n v="131576.18"/>
    <n v="595.62"/>
    <n v="38729.08"/>
    <n v="44942.38"/>
    <n v="84787.91"/>
    <n v="75808.59"/>
    <n v="917372.62"/>
    <n v="8979.320000000007"/>
  </r>
  <r>
    <x v="2"/>
    <x v="7"/>
    <x v="0"/>
    <s v="7500150"/>
    <n v="450010"/>
    <s v="Contr Allow--Acute IP-BCBS Comm"/>
    <s v="Deductions from Revenue"/>
    <x v="0"/>
    <n v="1301"/>
    <n v="368005.11"/>
    <n v="219786.28"/>
    <n v="247724.28"/>
    <n v="43225.47"/>
    <n v="188624.95"/>
    <n v="253579.07"/>
    <n v="273808.78000000003"/>
    <n v="159567.46"/>
    <n v="278011.42"/>
    <n v="332552.98"/>
    <n v="167422.74"/>
    <n v="122808.75"/>
    <n v="2655117.29"/>
    <n v="44613.989999999991"/>
  </r>
  <r>
    <x v="2"/>
    <x v="7"/>
    <x v="0"/>
    <s v="7500150"/>
    <n v="450010"/>
    <s v="Contr Allow--Acute IP-Managed Care"/>
    <s v="Deductions from Revenue"/>
    <x v="0"/>
    <n v="1400"/>
    <n v="772661.21"/>
    <n v="1011755.6"/>
    <n v="229948.76"/>
    <n v="419776.22"/>
    <n v="199982.75"/>
    <n v="667440.89"/>
    <n v="529575.4"/>
    <n v="1193190.55"/>
    <n v="688342.82"/>
    <n v="334958.89"/>
    <n v="233162.2"/>
    <n v="426285.2"/>
    <n v="6707080.4900000002"/>
    <n v="-193123"/>
  </r>
  <r>
    <x v="2"/>
    <x v="7"/>
    <x v="0"/>
    <s v="7500150"/>
    <n v="450010"/>
    <s v="Admin Adjust-Acute IP-Self Pay"/>
    <s v="Deductions from Revenue"/>
    <x v="0"/>
    <n v="1600"/>
    <n v="242188.75"/>
    <n v="-117599.12"/>
    <n v="-202394.82"/>
    <n v="-623726.66"/>
    <n v="-653.89"/>
    <n v="225934.61"/>
    <n v="40827.089999999997"/>
    <n v="88667.64"/>
    <n v="-70985.61"/>
    <n v="183067.66"/>
    <n v="35222.5"/>
    <n v="9477.17"/>
    <n v="-189974.68000000011"/>
    <n v="25745.33"/>
  </r>
  <r>
    <x v="2"/>
    <x v="7"/>
    <x v="0"/>
    <s v="7500150"/>
    <n v="450010"/>
    <s v="Contr Allow--Acute IP-Other"/>
    <s v="Deductions from Revenue"/>
    <x v="0"/>
    <n v="1700"/>
    <n v="0"/>
    <n v="34998.19"/>
    <n v="14324"/>
    <n v="47278.55"/>
    <n v="0"/>
    <n v="58993.32"/>
    <n v="57371.02"/>
    <n v="984.7"/>
    <n v="91632.29"/>
    <n v="45707.28"/>
    <n v="158264.72"/>
    <n v="171227.3"/>
    <n v="680781.36999999988"/>
    <n v="-12962.579999999987"/>
  </r>
  <r>
    <x v="2"/>
    <x v="7"/>
    <x v="0"/>
    <s v="7500150"/>
    <n v="450011"/>
    <s v="Contr Allow-Current Year Settlements-Medicare"/>
    <s v="Deductions from Revenue"/>
    <x v="0"/>
    <n v="1100"/>
    <n v="0"/>
    <n v="0"/>
    <n v="0"/>
    <n v="0"/>
    <n v="0"/>
    <n v="0"/>
    <n v="-5227"/>
    <n v="-3037"/>
    <n v="0"/>
    <n v="-200000"/>
    <n v="-387066"/>
    <n v="-245154"/>
    <n v="-840484"/>
    <n v="-141912"/>
  </r>
  <r>
    <x v="2"/>
    <x v="7"/>
    <x v="0"/>
    <s v="7500150"/>
    <n v="450011"/>
    <s v="Contr Allow-Current Year Settlements-Medicaid"/>
    <s v="Deductions from Revenue"/>
    <x v="0"/>
    <n v="1200"/>
    <n v="0"/>
    <n v="0"/>
    <n v="0"/>
    <n v="0"/>
    <n v="0"/>
    <n v="0"/>
    <n v="0"/>
    <n v="0"/>
    <n v="0"/>
    <n v="0"/>
    <n v="0"/>
    <n v="0"/>
    <n v="0"/>
    <n v="0"/>
  </r>
  <r>
    <x v="2"/>
    <x v="7"/>
    <x v="0"/>
    <s v="7500150"/>
    <n v="450012"/>
    <s v="Contr Allow-Prior Year Settlements-Medicare"/>
    <s v="Deductions from Revenue"/>
    <x v="0"/>
    <n v="1100"/>
    <n v="0"/>
    <n v="0"/>
    <n v="0"/>
    <n v="0"/>
    <n v="-403914"/>
    <n v="-162500.54"/>
    <n v="2365"/>
    <n v="-301594"/>
    <n v="0"/>
    <n v="0"/>
    <n v="0"/>
    <n v="0"/>
    <n v="-865643.54"/>
    <n v="0"/>
  </r>
  <r>
    <x v="2"/>
    <x v="7"/>
    <x v="0"/>
    <s v="7500150"/>
    <n v="450012"/>
    <s v="Contr Allow-Prior Year Settlements-Medicaid"/>
    <s v="Deductions from Revenue"/>
    <x v="0"/>
    <n v="1200"/>
    <n v="0"/>
    <n v="0"/>
    <n v="0"/>
    <n v="0"/>
    <n v="0"/>
    <n v="0"/>
    <n v="0"/>
    <n v="-75600"/>
    <n v="2024.12"/>
    <n v="0"/>
    <n v="0"/>
    <n v="0"/>
    <n v="-73575.88"/>
    <n v="0"/>
  </r>
  <r>
    <x v="2"/>
    <x v="7"/>
    <x v="0"/>
    <s v="7500150"/>
    <n v="450018"/>
    <s v="Contr Allow-OP-Current Year Settlements-Medicare"/>
    <s v="Deductions from Revenue"/>
    <x v="0"/>
    <n v="1100"/>
    <n v="0"/>
    <n v="0"/>
    <n v="0"/>
    <n v="0"/>
    <n v="0"/>
    <n v="0"/>
    <n v="295106"/>
    <n v="74345"/>
    <n v="0"/>
    <n v="0"/>
    <n v="0"/>
    <n v="0"/>
    <n v="369451"/>
    <n v="0"/>
  </r>
  <r>
    <x v="2"/>
    <x v="7"/>
    <x v="0"/>
    <s v="7500150"/>
    <n v="450019"/>
    <s v="Contr Allow-OP-Prior Year Settlements-Medicare"/>
    <s v="Deductions from Revenue"/>
    <x v="0"/>
    <n v="1100"/>
    <n v="0"/>
    <n v="0"/>
    <n v="0"/>
    <n v="0"/>
    <n v="735927"/>
    <n v="0"/>
    <n v="69417"/>
    <n v="0"/>
    <n v="0"/>
    <n v="0"/>
    <n v="0"/>
    <n v="0"/>
    <n v="805344"/>
    <n v="0"/>
  </r>
  <r>
    <x v="2"/>
    <x v="7"/>
    <x v="0"/>
    <s v="7500150"/>
    <n v="450019"/>
    <s v="Contr Allow-OP-Prior Year Settlements-Medicaid"/>
    <s v="Deductions from Revenue"/>
    <x v="0"/>
    <n v="1200"/>
    <n v="0"/>
    <n v="0"/>
    <n v="0"/>
    <n v="0"/>
    <n v="0"/>
    <n v="0"/>
    <n v="0"/>
    <n v="-76372"/>
    <n v="0"/>
    <n v="0"/>
    <n v="136.30000000000001"/>
    <n v="0"/>
    <n v="-76235.7"/>
    <n v="136.30000000000001"/>
  </r>
  <r>
    <x v="2"/>
    <x v="7"/>
    <x v="0"/>
    <s v="7500150"/>
    <n v="450020"/>
    <s v="Contr Allow--OP Care-Medicare"/>
    <s v="Deductions from Revenue"/>
    <x v="0"/>
    <n v="1100"/>
    <n v="3248517.5"/>
    <n v="3661211.84"/>
    <n v="2910448.45"/>
    <n v="4233329.63"/>
    <n v="3459939.73"/>
    <n v="3595963.32"/>
    <n v="4119446.46"/>
    <n v="3956772.05"/>
    <n v="4164077.93"/>
    <n v="4118844.02"/>
    <n v="4125206.37"/>
    <n v="3240367.58"/>
    <n v="44834124.879999995"/>
    <n v="884838.79"/>
  </r>
  <r>
    <x v="2"/>
    <x v="7"/>
    <x v="0"/>
    <s v="7500150"/>
    <n v="450020"/>
    <s v="Contr Allow--OP Care-Medicaid"/>
    <s v="Deductions from Revenue"/>
    <x v="0"/>
    <n v="1200"/>
    <n v="1673816.19"/>
    <n v="2104831.11"/>
    <n v="1596325.68"/>
    <n v="1970815.22"/>
    <n v="1321809.49"/>
    <n v="2019900.14"/>
    <n v="2227281.15"/>
    <n v="1893861.57"/>
    <n v="2750694.11"/>
    <n v="1843241.97"/>
    <n v="1967009.57"/>
    <n v="1949525.93"/>
    <n v="23319112.129999999"/>
    <n v="17483.64000000013"/>
  </r>
  <r>
    <x v="2"/>
    <x v="7"/>
    <x v="0"/>
    <s v="7500150"/>
    <n v="450020"/>
    <s v="Contr Allow--OP Care-Comm Insurance"/>
    <s v="Deductions from Revenue"/>
    <x v="0"/>
    <n v="1300"/>
    <n v="244092.6"/>
    <n v="95369.74"/>
    <n v="125236.14"/>
    <n v="175019.23"/>
    <n v="131063.86"/>
    <n v="94202.87"/>
    <n v="198001.36"/>
    <n v="216370.09"/>
    <n v="161170.99"/>
    <n v="219597.95"/>
    <n v="161306.44"/>
    <n v="150621.35999999999"/>
    <n v="1972052.63"/>
    <n v="10685.080000000016"/>
  </r>
  <r>
    <x v="2"/>
    <x v="7"/>
    <x v="0"/>
    <s v="7500150"/>
    <n v="450020"/>
    <s v="Contr Allow--OP Care BCBS Comm"/>
    <s v="Deductions from Revenue"/>
    <x v="0"/>
    <n v="1301"/>
    <n v="629946.99"/>
    <n v="627640.81999999995"/>
    <n v="717049.15"/>
    <n v="629212.18000000005"/>
    <n v="896389.33"/>
    <n v="704079.82"/>
    <n v="814274.9"/>
    <n v="661934.59"/>
    <n v="624558.03"/>
    <n v="882716.38"/>
    <n v="869952.76"/>
    <n v="661246.76"/>
    <n v="8719001.7100000009"/>
    <n v="208706"/>
  </r>
  <r>
    <x v="2"/>
    <x v="7"/>
    <x v="0"/>
    <s v="7500150"/>
    <n v="450020"/>
    <s v="Contr Allow--OP Care-Managed Care"/>
    <s v="Deductions from Revenue"/>
    <x v="0"/>
    <n v="1400"/>
    <n v="1810844.97"/>
    <n v="1886435.88"/>
    <n v="1639958.79"/>
    <n v="1366676.99"/>
    <n v="2238042.48"/>
    <n v="2211056.21"/>
    <n v="2493530.5299999998"/>
    <n v="1831820.16"/>
    <n v="3348677.86"/>
    <n v="1613736.56"/>
    <n v="2239805.96"/>
    <n v="2415859.7400000002"/>
    <n v="25096446.130000003"/>
    <n v="-176053.78000000026"/>
  </r>
  <r>
    <x v="2"/>
    <x v="7"/>
    <x v="0"/>
    <s v="7500150"/>
    <n v="450020"/>
    <s v="Admin Adjust-OP Care-Self Pay"/>
    <s v="Deductions from Revenue"/>
    <x v="0"/>
    <n v="1600"/>
    <n v="105454.9"/>
    <n v="132082.18"/>
    <n v="104705.52"/>
    <n v="104328.17"/>
    <n v="202433.8"/>
    <n v="128501.83"/>
    <n v="153240.16"/>
    <n v="112563.28"/>
    <n v="143819.03"/>
    <n v="192388.49"/>
    <n v="94478.45"/>
    <n v="212625.21"/>
    <n v="1686621.0199999998"/>
    <n v="-118146.76"/>
  </r>
  <r>
    <x v="2"/>
    <x v="7"/>
    <x v="0"/>
    <s v="7500150"/>
    <n v="450020"/>
    <s v="Contr Allow--OP Care-Other"/>
    <s v="Deductions from Revenue"/>
    <x v="0"/>
    <n v="1700"/>
    <n v="252648.09"/>
    <n v="403804.14"/>
    <n v="374207.46"/>
    <n v="306183.15000000002"/>
    <n v="316856.90999999997"/>
    <n v="442937.35"/>
    <n v="432828.75"/>
    <n v="369955.59"/>
    <n v="449143.44"/>
    <n v="595496.43999999994"/>
    <n v="374981"/>
    <n v="609765.65"/>
    <n v="4928807.97"/>
    <n v="-234784.65000000002"/>
  </r>
  <r>
    <x v="3"/>
    <x v="7"/>
    <x v="0"/>
    <s v="7500150"/>
    <n v="470010"/>
    <s v="Charity Care-Acute I/P Svcs"/>
    <s v="Deductions from Revenue"/>
    <x v="0"/>
    <m/>
    <n v="17827.55"/>
    <n v="224063.78"/>
    <n v="288213.07"/>
    <n v="80378.36"/>
    <n v="54473.94"/>
    <n v="204166.23"/>
    <n v="76236.28"/>
    <n v="84195.17"/>
    <n v="-49020.15"/>
    <n v="77238.17"/>
    <n v="57521.599999999999"/>
    <n v="31898.75"/>
    <n v="1147192.75"/>
    <n v="25622.85"/>
  </r>
  <r>
    <x v="3"/>
    <x v="7"/>
    <x v="0"/>
    <s v="7500150"/>
    <n v="470020"/>
    <s v="Charity Care-O/P Care Svcs"/>
    <s v="Deductions from Revenue"/>
    <x v="0"/>
    <m/>
    <n v="134410.51"/>
    <n v="137894.60999999999"/>
    <n v="150543.85999999999"/>
    <n v="214263.53"/>
    <n v="112570.76"/>
    <n v="107541.51"/>
    <n v="169312.42"/>
    <n v="165506.68"/>
    <n v="175327.35"/>
    <n v="177628.44"/>
    <n v="288999.59999999998"/>
    <n v="128413.23"/>
    <n v="1962412.5"/>
    <n v="160586.37"/>
  </r>
  <r>
    <x v="2"/>
    <x v="1"/>
    <x v="0"/>
    <s v="7500200"/>
    <n v="450040"/>
    <s v="Contr Allow--Phys Svcs--Mcare"/>
    <s v="Deductions from Revenue"/>
    <x v="0"/>
    <n v="1100"/>
    <n v="615609.80000000005"/>
    <n v="740637.52"/>
    <n v="941903.77"/>
    <n v="132303.14000000001"/>
    <n v="-497566.11"/>
    <n v="1159304.06"/>
    <n v="1771979.59"/>
    <n v="777775.54"/>
    <n v="439269.61"/>
    <n v="189479.08"/>
    <n v="2168015.87"/>
    <n v="-406088.45"/>
    <n v="8032623.4200000009"/>
    <n v="2574104.3200000003"/>
  </r>
  <r>
    <x v="2"/>
    <x v="1"/>
    <x v="0"/>
    <s v="7500200"/>
    <n v="450040"/>
    <s v="Contr Allow--Phys Svcs--Mcaid"/>
    <s v="Deductions from Revenue"/>
    <x v="0"/>
    <n v="1200"/>
    <n v="-151700.47"/>
    <n v="-824049.36"/>
    <n v="-217580.94"/>
    <n v="-136126.25"/>
    <n v="129544.69"/>
    <n v="348680.12"/>
    <n v="652827.63"/>
    <n v="684654.33"/>
    <n v="-199674.37"/>
    <n v="77253.89"/>
    <n v="1038589.64"/>
    <n v="-759192.89"/>
    <n v="643226.0199999999"/>
    <n v="1797782.53"/>
  </r>
  <r>
    <x v="2"/>
    <x v="1"/>
    <x v="0"/>
    <s v="7500200"/>
    <n v="450040"/>
    <s v="Contr Allow--Phys Svcs--Comm Insurance"/>
    <s v="Deductions from Revenue"/>
    <x v="0"/>
    <n v="1300"/>
    <n v="-1565933.97"/>
    <n v="-1537880.92"/>
    <n v="907470.9"/>
    <n v="696697.15"/>
    <n v="-1069004.2"/>
    <n v="1825128.07"/>
    <n v="1969722.32"/>
    <n v="1034397.25"/>
    <n v="-1778878.93"/>
    <n v="-337400.67"/>
    <n v="737881.4"/>
    <n v="-814556.48"/>
    <n v="67641.920000000158"/>
    <n v="1552437.88"/>
  </r>
  <r>
    <x v="2"/>
    <x v="1"/>
    <x v="0"/>
    <s v="7500200"/>
    <n v="450040"/>
    <s v="Contr Allow--Phys Svcs--Managed Care"/>
    <s v="Deductions from Revenue"/>
    <x v="0"/>
    <n v="1400"/>
    <n v="0"/>
    <n v="0"/>
    <n v="0"/>
    <n v="0"/>
    <n v="0"/>
    <n v="0"/>
    <n v="0"/>
    <n v="0"/>
    <n v="0"/>
    <n v="-261044"/>
    <n v="0"/>
    <n v="0"/>
    <n v="-261044"/>
    <n v="0"/>
  </r>
  <r>
    <x v="2"/>
    <x v="1"/>
    <x v="0"/>
    <s v="7500200"/>
    <n v="450040"/>
    <s v="Contr Allow--Phys Svcs--BCBS Mgnd Care"/>
    <s v="Deductions from Revenue"/>
    <x v="0"/>
    <n v="1401"/>
    <n v="1102024.6399999999"/>
    <n v="1621292.73"/>
    <n v="-1641486.34"/>
    <n v="-683181.4"/>
    <n v="1437025.63"/>
    <n v="-3333112.25"/>
    <n v="-4394529.54"/>
    <n v="-2496827.12"/>
    <n v="1539283.69"/>
    <n v="70667.7"/>
    <n v="-3944486.91"/>
    <n v="1979837.82"/>
    <n v="-8743491.3500000015"/>
    <n v="-5924324.7300000004"/>
  </r>
  <r>
    <x v="3"/>
    <x v="1"/>
    <x v="0"/>
    <s v="7500200"/>
    <n v="470040"/>
    <s v="Charity Care-Physician Svcs"/>
    <s v="Deductions from Revenue"/>
    <x v="0"/>
    <m/>
    <n v="0"/>
    <n v="0.01"/>
    <n v="-0.01"/>
    <n v="0"/>
    <n v="0.01"/>
    <n v="-0.01"/>
    <n v="0"/>
    <n v="0"/>
    <n v="0"/>
    <n v="0"/>
    <n v="0"/>
    <n v="0"/>
    <n v="0"/>
    <n v="0"/>
  </r>
  <r>
    <x v="4"/>
    <x v="1"/>
    <x v="0"/>
    <s v="7500200"/>
    <n v="490010"/>
    <s v="Provision for Bad Debts"/>
    <s v="Deductions from Revenue"/>
    <x v="0"/>
    <m/>
    <n v="0"/>
    <n v="0"/>
    <n v="0"/>
    <n v="0"/>
    <n v="0"/>
    <n v="4276.3500000000004"/>
    <n v="210.47"/>
    <n v="-4486.82"/>
    <n v="0.01"/>
    <n v="0"/>
    <n v="-0.01"/>
    <n v="0.01"/>
    <n v="1.0000000000909495E-2"/>
    <n v="-0.02"/>
  </r>
  <r>
    <x v="2"/>
    <x v="10"/>
    <x v="0"/>
    <s v="7500306"/>
    <n v="450010"/>
    <s v="Contr Allow--Acute IP-Medicare"/>
    <s v="Deductions from Revenue"/>
    <x v="0"/>
    <n v="1100"/>
    <n v="3434770.55"/>
    <n v="2395527.36"/>
    <n v="1491268.48"/>
    <n v="1788212.73"/>
    <n v="1869010.55"/>
    <n v="1771925.3"/>
    <n v="1171802.3899999999"/>
    <n v="1773950.72"/>
    <n v="1890800.22"/>
    <n v="1137402.04"/>
    <n v="1718260.68"/>
    <n v="1491860.8"/>
    <n v="21934791.820000004"/>
    <n v="226399.87999999989"/>
  </r>
  <r>
    <x v="2"/>
    <x v="10"/>
    <x v="0"/>
    <s v="7500306"/>
    <n v="450010"/>
    <s v="Contr Allow--Acute IP-Medicaid"/>
    <s v="Deductions from Revenue"/>
    <x v="0"/>
    <n v="1200"/>
    <n v="246218.76"/>
    <n v="-173915.35"/>
    <n v="-8848.81"/>
    <n v="158665.37"/>
    <n v="81465.570000000007"/>
    <n v="245362.93"/>
    <n v="678898.72"/>
    <n v="296230.36"/>
    <n v="316204.14"/>
    <n v="470594.36"/>
    <n v="385174.87"/>
    <n v="-4300.59"/>
    <n v="2691750.33"/>
    <n v="389475.46"/>
  </r>
  <r>
    <x v="2"/>
    <x v="10"/>
    <x v="0"/>
    <s v="7500306"/>
    <n v="450010"/>
    <s v="Contr Allow--Acute IP-Comm Insurance"/>
    <s v="Deductions from Revenue"/>
    <x v="0"/>
    <n v="1300"/>
    <n v="0"/>
    <n v="0"/>
    <n v="0"/>
    <n v="0"/>
    <n v="0"/>
    <n v="0"/>
    <n v="0"/>
    <n v="0"/>
    <n v="192234.92"/>
    <n v="109414.54"/>
    <n v="0"/>
    <n v="-93739.31"/>
    <n v="207910.15000000002"/>
    <n v="93739.31"/>
  </r>
  <r>
    <x v="2"/>
    <x v="10"/>
    <x v="0"/>
    <s v="7500306"/>
    <n v="450010"/>
    <s v="Contr Allow--Acute IP-BCBS Comm"/>
    <s v="Deductions from Revenue"/>
    <x v="0"/>
    <n v="1301"/>
    <n v="0.06"/>
    <n v="78730.539999999994"/>
    <n v="59882.52"/>
    <n v="23.03"/>
    <n v="0"/>
    <n v="36212.06"/>
    <n v="18576.11"/>
    <n v="0"/>
    <n v="109204.3"/>
    <n v="138772.46"/>
    <n v="151843.16"/>
    <n v="278913.83"/>
    <n v="872158.07000000007"/>
    <n v="-127070.67000000001"/>
  </r>
  <r>
    <x v="2"/>
    <x v="10"/>
    <x v="0"/>
    <s v="7500306"/>
    <n v="450010"/>
    <s v="Contr Allow--Acute IP-Managed Care"/>
    <s v="Deductions from Revenue"/>
    <x v="0"/>
    <n v="1400"/>
    <n v="-1241573.8999999999"/>
    <n v="-141145.32999999999"/>
    <n v="416477.92"/>
    <n v="538906.22"/>
    <n v="361693.17"/>
    <n v="591472.87"/>
    <n v="567412.75"/>
    <n v="654187.21"/>
    <n v="354017.45"/>
    <n v="257589.84"/>
    <n v="425778.29"/>
    <n v="125555.87"/>
    <n v="2910372.36"/>
    <n v="300222.42"/>
  </r>
  <r>
    <x v="2"/>
    <x v="10"/>
    <x v="0"/>
    <s v="7500306"/>
    <n v="450010"/>
    <s v="Admin Adjust-Acute IP-Self Pay"/>
    <s v="Deductions from Revenue"/>
    <x v="0"/>
    <n v="1600"/>
    <n v="3378.91"/>
    <n v="3993.64"/>
    <n v="0"/>
    <n v="0"/>
    <n v="0"/>
    <n v="0"/>
    <n v="0"/>
    <n v="0"/>
    <n v="0"/>
    <n v="0"/>
    <n v="0"/>
    <n v="0"/>
    <n v="7372.5499999999993"/>
    <n v="0"/>
  </r>
  <r>
    <x v="2"/>
    <x v="10"/>
    <x v="0"/>
    <s v="7500306"/>
    <n v="450010"/>
    <s v="Contr Allow--Acute IP-Other"/>
    <s v="Deductions from Revenue"/>
    <x v="0"/>
    <n v="1700"/>
    <n v="0"/>
    <n v="231856.94"/>
    <n v="0"/>
    <n v="0"/>
    <n v="0"/>
    <n v="0"/>
    <n v="-90985.1"/>
    <n v="0"/>
    <n v="-1025.9000000000001"/>
    <n v="25739.34"/>
    <n v="-6606.58"/>
    <n v="-19132.759999999998"/>
    <n v="139845.94"/>
    <n v="12526.179999999998"/>
  </r>
  <r>
    <x v="2"/>
    <x v="10"/>
    <x v="0"/>
    <s v="7500306"/>
    <n v="450012"/>
    <s v="Contr Allow-Prior Year Settlements-Medicare"/>
    <s v="Deductions from Revenue"/>
    <x v="0"/>
    <n v="1100"/>
    <n v="0"/>
    <n v="0"/>
    <n v="0"/>
    <n v="0"/>
    <n v="-1839"/>
    <n v="0"/>
    <n v="6272"/>
    <n v="0"/>
    <n v="0"/>
    <n v="0"/>
    <n v="19081"/>
    <n v="0"/>
    <n v="23514"/>
    <n v="19081"/>
  </r>
  <r>
    <x v="3"/>
    <x v="10"/>
    <x v="0"/>
    <s v="7500306"/>
    <n v="470010"/>
    <s v="Charity Care-Acute I/P Svcs"/>
    <s v="Deductions from Revenue"/>
    <x v="0"/>
    <m/>
    <n v="0"/>
    <n v="1725"/>
    <n v="-89184"/>
    <n v="0"/>
    <n v="89184"/>
    <n v="47098.98"/>
    <n v="3345"/>
    <n v="34688"/>
    <n v="1364"/>
    <n v="3069"/>
    <n v="2278.27"/>
    <n v="0"/>
    <n v="93568.250000000015"/>
    <n v="2278.27"/>
  </r>
  <r>
    <x v="21"/>
    <x v="3"/>
    <x v="0"/>
    <s v="7601101"/>
    <n v="716026"/>
    <s v="Consulting-Clinical"/>
    <s v="Other Development Initiatives"/>
    <x v="0"/>
    <m/>
    <n v="26820.28"/>
    <n v="19352.36"/>
    <n v="16114.56"/>
    <n v="11077.41"/>
    <n v="22903.4"/>
    <n v="15795.8"/>
    <n v="21116.959999999999"/>
    <n v="13261.78"/>
    <n v="31709.06"/>
    <n v="0"/>
    <n v="1063.96"/>
    <n v="28723.52"/>
    <n v="207939.09"/>
    <n v="-27659.56"/>
  </r>
  <r>
    <x v="7"/>
    <x v="3"/>
    <x v="0"/>
    <s v="7601101"/>
    <n v="718050"/>
    <s v="Contract Svcs-Other"/>
    <s v="Other Development Initiatives"/>
    <x v="0"/>
    <m/>
    <n v="4189.08"/>
    <n v="10918.17"/>
    <n v="0"/>
    <n v="20585.46"/>
    <n v="8693.5499999999993"/>
    <n v="9438.0400000000009"/>
    <n v="6115.83"/>
    <n v="11603.88"/>
    <n v="10940.9"/>
    <n v="10210.620000000001"/>
    <n v="23945.88"/>
    <n v="5100.01"/>
    <n v="121741.41999999998"/>
    <n v="18845.870000000003"/>
  </r>
  <r>
    <x v="7"/>
    <x v="3"/>
    <x v="0"/>
    <s v="7601101"/>
    <n v="718050"/>
    <s v="Miscellaneous Purchased Svcs"/>
    <s v="Other Development Initiatives"/>
    <x v="0"/>
    <n v="1020"/>
    <n v="-12815.67"/>
    <n v="0"/>
    <n v="0"/>
    <n v="89"/>
    <n v="0"/>
    <n v="0"/>
    <n v="0"/>
    <n v="409"/>
    <n v="700.48"/>
    <n v="0"/>
    <n v="0"/>
    <n v="1385.37"/>
    <n v="-10231.82"/>
    <n v="-1385.37"/>
  </r>
  <r>
    <x v="7"/>
    <x v="1"/>
    <x v="0"/>
    <s v="7601200"/>
    <n v="718059"/>
    <s v="Contract Services-Physician Revenue Cycle Fees"/>
    <s v="Other Development Initiatives"/>
    <x v="0"/>
    <m/>
    <n v="0"/>
    <n v="0"/>
    <n v="0"/>
    <n v="0"/>
    <n v="0"/>
    <n v="0"/>
    <n v="0"/>
    <n v="0"/>
    <n v="0"/>
    <n v="0"/>
    <n v="0"/>
    <n v="0"/>
    <n v="0"/>
    <n v="0"/>
  </r>
  <r>
    <x v="13"/>
    <x v="1"/>
    <x v="0"/>
    <s v="7601200"/>
    <n v="735070"/>
    <s v="Depreciation-Movable Equipment"/>
    <s v="Other Development Initiatives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601200"/>
    <n v="749510"/>
    <s v="Miscellaneous Expenses"/>
    <s v="Other Development Initiatives"/>
    <x v="0"/>
    <m/>
    <n v="0"/>
    <n v="0"/>
    <n v="0"/>
    <n v="0"/>
    <n v="0"/>
    <n v="0"/>
    <n v="0"/>
    <n v="0"/>
    <n v="0"/>
    <n v="-90"/>
    <n v="0"/>
    <n v="0"/>
    <n v="-90"/>
    <n v="0"/>
  </r>
  <r>
    <x v="0"/>
    <x v="1"/>
    <x v="0"/>
    <s v="7601200"/>
    <n v="749530"/>
    <s v="Travel"/>
    <s v="Other Development Initiatives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602200"/>
    <n v="718050"/>
    <s v="Contract Svcs-Other"/>
    <s v="Strategic Initiatives"/>
    <x v="0"/>
    <m/>
    <n v="0"/>
    <n v="0"/>
    <n v="0"/>
    <n v="0"/>
    <n v="0"/>
    <n v="0"/>
    <n v="0"/>
    <n v="0"/>
    <n v="0"/>
    <n v="0"/>
    <n v="0"/>
    <n v="0"/>
    <n v="0"/>
    <n v="0"/>
  </r>
  <r>
    <x v="12"/>
    <x v="3"/>
    <x v="0"/>
    <s v="7603101"/>
    <n v="730020"/>
    <s v="Rental and Leases-Equipment (DO NOT USE)"/>
    <s v="Inpatient Purchased Services"/>
    <x v="0"/>
    <m/>
    <n v="118697.13"/>
    <n v="60717.25"/>
    <n v="54366.59"/>
    <n v="124660.42"/>
    <n v="67920.039999999994"/>
    <n v="56968.68"/>
    <n v="21042.11"/>
    <n v="59414.58"/>
    <n v="60717.23"/>
    <n v="75594.09"/>
    <n v="102581.7"/>
    <n v="148015.16"/>
    <n v="950694.97999999986"/>
    <n v="-45433.460000000006"/>
  </r>
  <r>
    <x v="13"/>
    <x v="3"/>
    <x v="0"/>
    <s v="7603101"/>
    <n v="735070"/>
    <s v="Depreciation-Movable Equipment"/>
    <s v="Inpatient Purchased Services"/>
    <x v="0"/>
    <m/>
    <n v="0"/>
    <n v="0"/>
    <n v="0"/>
    <n v="0"/>
    <n v="0"/>
    <n v="0"/>
    <n v="3211.27"/>
    <n v="3211.26"/>
    <n v="3211.27"/>
    <n v="3211.26"/>
    <n v="3211.27"/>
    <n v="3211.26"/>
    <n v="19267.590000000004"/>
    <n v="9.9999999997635314E-3"/>
  </r>
  <r>
    <x v="11"/>
    <x v="0"/>
    <x v="0"/>
    <s v="7603102"/>
    <n v="721910"/>
    <s v="Supplies-Small Equipment"/>
    <s v="Inpatient Purchased Services"/>
    <x v="0"/>
    <m/>
    <n v="0"/>
    <n v="0"/>
    <n v="0"/>
    <n v="1501.5"/>
    <n v="115.5"/>
    <n v="214.5"/>
    <n v="561"/>
    <n v="0"/>
    <n v="-66"/>
    <n v="511.5"/>
    <n v="330"/>
    <n v="115.5"/>
    <n v="3283.5"/>
    <n v="214.5"/>
  </r>
  <r>
    <x v="12"/>
    <x v="0"/>
    <x v="0"/>
    <s v="7603102"/>
    <n v="730020"/>
    <s v="Rental and Leases-Equipment (DO NOT USE)"/>
    <s v="Inpatient Purchased Services"/>
    <x v="0"/>
    <m/>
    <n v="12090.32"/>
    <n v="18836.7"/>
    <n v="3481.99"/>
    <n v="13595.19"/>
    <n v="19573.990000000002"/>
    <n v="19016.86"/>
    <n v="21821.86"/>
    <n v="0"/>
    <n v="13126.27"/>
    <n v="32182.75"/>
    <n v="19657.18"/>
    <n v="37196.269999999997"/>
    <n v="210579.37999999998"/>
    <n v="-17539.089999999997"/>
  </r>
  <r>
    <x v="12"/>
    <x v="4"/>
    <x v="0"/>
    <s v="7603103"/>
    <n v="730020"/>
    <s v="Rental and Leases-Equipment (DO NOT USE)"/>
    <s v="Inpatient Purchased Services"/>
    <x v="0"/>
    <m/>
    <n v="45564.74"/>
    <n v="21577.82"/>
    <n v="28168.93"/>
    <n v="20813.88"/>
    <n v="33840.36"/>
    <n v="17900.09"/>
    <n v="11104.22"/>
    <n v="14114.07"/>
    <n v="39906.22"/>
    <n v="38044.239999999998"/>
    <n v="76685.289999999994"/>
    <n v="56529.31"/>
    <n v="404249.17"/>
    <n v="20155.979999999996"/>
  </r>
  <r>
    <x v="12"/>
    <x v="8"/>
    <x v="0"/>
    <s v="7603104"/>
    <n v="730020"/>
    <s v="Rental and Leases-Equipment (DO NOT USE)"/>
    <s v="Inpatient Purchased Services"/>
    <x v="0"/>
    <m/>
    <n v="863.86"/>
    <n v="12003.36"/>
    <n v="503.01"/>
    <n v="12608.81"/>
    <n v="5347.87"/>
    <n v="0"/>
    <n v="5235.95"/>
    <n v="5400.57"/>
    <n v="1063.1400000000001"/>
    <n v="15801.72"/>
    <n v="9080.6"/>
    <n v="10222.77"/>
    <n v="78131.66"/>
    <n v="-1142.17"/>
  </r>
  <r>
    <x v="11"/>
    <x v="5"/>
    <x v="0"/>
    <s v="7603106"/>
    <n v="721910"/>
    <s v="Supplies-Small Equipment"/>
    <s v="Inpatient Purchased Services"/>
    <x v="0"/>
    <m/>
    <n v="0"/>
    <n v="0"/>
    <n v="0"/>
    <n v="0"/>
    <n v="0"/>
    <n v="0"/>
    <n v="0"/>
    <n v="0"/>
    <n v="0"/>
    <n v="-6114.76"/>
    <n v="0"/>
    <n v="0"/>
    <n v="-6114.76"/>
    <n v="0"/>
  </r>
  <r>
    <x v="11"/>
    <x v="5"/>
    <x v="0"/>
    <s v="7603106"/>
    <n v="721980"/>
    <s v="Supplies-Other"/>
    <s v="Inpatient Purchased Services"/>
    <x v="0"/>
    <m/>
    <n v="0"/>
    <n v="0"/>
    <n v="0"/>
    <n v="0"/>
    <n v="438.03"/>
    <n v="1881.81"/>
    <n v="0"/>
    <n v="0"/>
    <n v="1848.53"/>
    <n v="1411.93"/>
    <n v="0"/>
    <n v="2102.33"/>
    <n v="7682.63"/>
    <n v="-2102.33"/>
  </r>
  <r>
    <x v="12"/>
    <x v="5"/>
    <x v="0"/>
    <s v="7603106"/>
    <n v="730020"/>
    <s v="Rental and Leases-Equipment (DO NOT USE)"/>
    <s v="Inpatient Purchased Services"/>
    <x v="0"/>
    <m/>
    <n v="8457.35"/>
    <n v="34090.31"/>
    <n v="2141.84"/>
    <n v="16368.28"/>
    <n v="18983.29"/>
    <n v="19817.09"/>
    <n v="1376.89"/>
    <n v="9291.5"/>
    <n v="12891.16"/>
    <n v="18226.29"/>
    <n v="17511.21"/>
    <n v="14555.55"/>
    <n v="173710.75999999998"/>
    <n v="2955.66"/>
  </r>
  <r>
    <x v="12"/>
    <x v="6"/>
    <x v="0"/>
    <s v="7603107"/>
    <n v="730020"/>
    <s v="Rental and Leases-Equipment (DO NOT USE)"/>
    <s v="Inpatient Purchased Services"/>
    <x v="0"/>
    <m/>
    <n v="8991.42"/>
    <n v="22672.400000000001"/>
    <n v="22577.8"/>
    <n v="25211.22"/>
    <n v="80495.31"/>
    <n v="6188.15"/>
    <n v="22765.7"/>
    <n v="12447.29"/>
    <n v="3860.4"/>
    <n v="45381.09"/>
    <n v="47121.97"/>
    <n v="67935.63"/>
    <n v="365648.38"/>
    <n v="-20813.660000000003"/>
  </r>
  <r>
    <x v="12"/>
    <x v="7"/>
    <x v="0"/>
    <s v="7603150"/>
    <n v="730020"/>
    <s v="Rental and Leases-Equipment (DO NOT USE)"/>
    <s v="Inpatient Purchased Services"/>
    <x v="0"/>
    <m/>
    <n v="4309.9799999999996"/>
    <n v="1826.96"/>
    <n v="1360.62"/>
    <n v="3831.51"/>
    <n v="8122.13"/>
    <n v="152.16999999999999"/>
    <n v="1511.8"/>
    <n v="7410.1"/>
    <n v="3176.52"/>
    <n v="4506.38"/>
    <n v="782.18"/>
    <n v="883.71"/>
    <n v="37874.06"/>
    <n v="-101.53000000000009"/>
  </r>
  <r>
    <x v="12"/>
    <x v="10"/>
    <x v="0"/>
    <s v="7603306"/>
    <n v="730020"/>
    <s v="Rental and Leases-Equipment (DO NOT USE)"/>
    <s v="Inpatient Purchased Services"/>
    <x v="0"/>
    <m/>
    <n v="12670.08"/>
    <n v="-12670.08"/>
    <n v="0"/>
    <n v="0"/>
    <n v="0"/>
    <n v="0"/>
    <n v="0"/>
    <n v="0"/>
    <n v="0"/>
    <n v="0"/>
    <n v="0"/>
    <n v="0"/>
    <n v="0"/>
    <n v="0"/>
  </r>
  <r>
    <x v="5"/>
    <x v="9"/>
    <x v="0"/>
    <s v="7603501"/>
    <n v="700032"/>
    <s v="Salaries-Other Pat Care Providers-Productive"/>
    <s v="Inpatient Purchased Services"/>
    <x v="0"/>
    <m/>
    <n v="48162.48"/>
    <n v="49120.54"/>
    <n v="50697.71"/>
    <n v="44837.06"/>
    <n v="54947.41"/>
    <n v="54205.56"/>
    <n v="54131.71"/>
    <n v="41831.279999999999"/>
    <n v="54991.83"/>
    <n v="50945.04"/>
    <n v="47018.14"/>
    <n v="47504.2"/>
    <n v="598392.96"/>
    <n v="-486.05999999999767"/>
  </r>
  <r>
    <x v="5"/>
    <x v="9"/>
    <x v="0"/>
    <s v="7603501"/>
    <n v="700032"/>
    <s v="Salaries-Other Pat Care Providers-OT"/>
    <s v="Inpatient Purchased Services"/>
    <x v="0"/>
    <n v="1000"/>
    <n v="318.85000000000002"/>
    <n v="18.61"/>
    <n v="220.5"/>
    <n v="484.51"/>
    <n v="40.6"/>
    <n v="-30.09"/>
    <n v="84.37"/>
    <n v="51.41"/>
    <n v="57.51"/>
    <n v="100.65"/>
    <n v="993.93"/>
    <n v="462.2"/>
    <n v="2803.0499999999997"/>
    <n v="531.73"/>
  </r>
  <r>
    <x v="5"/>
    <x v="9"/>
    <x v="0"/>
    <s v="7603501"/>
    <n v="700032"/>
    <s v="Salaries-Other Pat Care Providers-Other"/>
    <s v="Inpatient Purchased Services"/>
    <x v="0"/>
    <n v="2000"/>
    <n v="4427.28"/>
    <n v="4582.43"/>
    <n v="4835.97"/>
    <n v="3753.74"/>
    <n v="4603.42"/>
    <n v="5008.7"/>
    <n v="4821.62"/>
    <n v="3818.97"/>
    <n v="5222.8500000000004"/>
    <n v="4494.59"/>
    <n v="4907.2700000000004"/>
    <n v="4395.49"/>
    <n v="54872.329999999994"/>
    <n v="511.78000000000065"/>
  </r>
  <r>
    <x v="5"/>
    <x v="9"/>
    <x v="0"/>
    <s v="7603501"/>
    <n v="700034"/>
    <s v="Salaries-Tech/Professional-Productive"/>
    <s v="Inpatient Purchased Services"/>
    <x v="0"/>
    <m/>
    <n v="0"/>
    <n v="0"/>
    <n v="0"/>
    <n v="0"/>
    <n v="0"/>
    <n v="0"/>
    <n v="0"/>
    <n v="0"/>
    <n v="0"/>
    <n v="0"/>
    <n v="988.3"/>
    <n v="0"/>
    <n v="988.3"/>
    <n v="988.3"/>
  </r>
  <r>
    <x v="5"/>
    <x v="9"/>
    <x v="0"/>
    <s v="7603501"/>
    <n v="700072"/>
    <s v="Salaries-Other Pat Care Providers-Non-productive"/>
    <s v="Inpatient Purchased Services"/>
    <x v="0"/>
    <m/>
    <n v="6734.97"/>
    <n v="5034.83"/>
    <n v="5390.96"/>
    <n v="8168.22"/>
    <n v="3573.48"/>
    <n v="6105.86"/>
    <n v="3191.88"/>
    <n v="11136.61"/>
    <n v="2613.06"/>
    <n v="4268.55"/>
    <n v="4311.1400000000003"/>
    <n v="6681.39"/>
    <n v="67210.95"/>
    <n v="-2370.25"/>
  </r>
  <r>
    <x v="5"/>
    <x v="9"/>
    <x v="0"/>
    <s v="7603501"/>
    <n v="700072"/>
    <s v="Salaries-Other Pat Care Providers-NonProd-Other"/>
    <s v="Inpatient Purchased Services"/>
    <x v="0"/>
    <n v="2000"/>
    <n v="294.12"/>
    <n v="352.97"/>
    <n v="392.21"/>
    <n v="687.74"/>
    <n v="1112.99"/>
    <n v="2295.17"/>
    <n v="201.62"/>
    <n v="-1817.69"/>
    <n v="47.55"/>
    <n v="370.85"/>
    <n v="222.09"/>
    <n v="635.26"/>
    <n v="4794.88"/>
    <n v="-413.16999999999996"/>
  </r>
  <r>
    <x v="5"/>
    <x v="9"/>
    <x v="0"/>
    <s v="7603501"/>
    <n v="700084"/>
    <s v="Accrued PTO"/>
    <s v="Inpatient Purchased Services"/>
    <x v="0"/>
    <m/>
    <n v="-215.31"/>
    <n v="207.04"/>
    <n v="446.99"/>
    <n v="-773.48"/>
    <n v="2174.02"/>
    <n v="2510.92"/>
    <n v="2689.77"/>
    <n v="-5072.12"/>
    <n v="2212.16"/>
    <n v="1200.8599999999999"/>
    <n v="-28.76"/>
    <n v="45.95"/>
    <n v="5398.04"/>
    <n v="-74.710000000000008"/>
  </r>
  <r>
    <x v="10"/>
    <x v="9"/>
    <x v="0"/>
    <s v="7603501"/>
    <n v="710060"/>
    <s v="Contract Labor-Other"/>
    <s v="Inpatient Purchased Services"/>
    <x v="0"/>
    <m/>
    <n v="0"/>
    <n v="979.69"/>
    <n v="765.94"/>
    <n v="0"/>
    <n v="0"/>
    <n v="0"/>
    <n v="0"/>
    <n v="0"/>
    <n v="0"/>
    <n v="0"/>
    <n v="0"/>
    <n v="0"/>
    <n v="1745.63"/>
    <n v="0"/>
  </r>
  <r>
    <x v="6"/>
    <x v="9"/>
    <x v="0"/>
    <s v="7603501"/>
    <n v="713010"/>
    <s v="Benefits-FICA/Medicare"/>
    <s v="Inpatient Purchased Services"/>
    <x v="0"/>
    <m/>
    <n v="4407.51"/>
    <n v="4344.28"/>
    <n v="4535.7700000000004"/>
    <n v="4464.16"/>
    <n v="4924.0200000000004"/>
    <n v="5177.26"/>
    <n v="4542.55"/>
    <n v="4240.58"/>
    <n v="4587.38"/>
    <n v="4336.13"/>
    <n v="4261.75"/>
    <n v="4462.8500000000004"/>
    <n v="54284.239999999991"/>
    <n v="-201.10000000000036"/>
  </r>
  <r>
    <x v="6"/>
    <x v="9"/>
    <x v="0"/>
    <s v="7603501"/>
    <n v="713090"/>
    <s v="Benefits-Allocated Amounts"/>
    <s v="Inpatient Purchased Services"/>
    <x v="0"/>
    <m/>
    <n v="15476.83"/>
    <n v="14094.34"/>
    <n v="15915.68"/>
    <n v="14136.12"/>
    <n v="15563.54"/>
    <n v="16927.48"/>
    <n v="17095.650000000001"/>
    <n v="15704.9"/>
    <n v="17772.740000000002"/>
    <n v="16779.63"/>
    <n v="15898.84"/>
    <n v="16567.759999999998"/>
    <n v="191933.51"/>
    <n v="-668.91999999999825"/>
  </r>
  <r>
    <x v="7"/>
    <x v="9"/>
    <x v="0"/>
    <s v="7603501"/>
    <n v="718050"/>
    <s v="Contract Svcs-Other"/>
    <s v="Inpatient Purchased Services"/>
    <x v="0"/>
    <m/>
    <n v="-35000"/>
    <n v="0"/>
    <n v="0"/>
    <n v="0"/>
    <n v="0"/>
    <n v="0"/>
    <n v="0"/>
    <n v="0"/>
    <n v="0"/>
    <n v="0"/>
    <n v="19892.64"/>
    <n v="107172.46"/>
    <n v="92065.1"/>
    <n v="-87279.82"/>
  </r>
  <r>
    <x v="7"/>
    <x v="9"/>
    <x v="0"/>
    <s v="7603501"/>
    <n v="718050"/>
    <s v="Miscellaneous Purchased Svcs"/>
    <s v="Inpatient Purchased Services"/>
    <x v="0"/>
    <n v="1020"/>
    <n v="80599.75"/>
    <n v="45599.75"/>
    <n v="45599.75"/>
    <n v="45599.75"/>
    <n v="45599.75"/>
    <n v="99015.87"/>
    <n v="11713.57"/>
    <n v="45599.75"/>
    <n v="67465.75"/>
    <n v="23733.75"/>
    <n v="45599.75"/>
    <n v="159017.75"/>
    <n v="715144.94"/>
    <n v="-113418"/>
  </r>
  <r>
    <x v="24"/>
    <x v="9"/>
    <x v="0"/>
    <s v="7604501"/>
    <n v="760020"/>
    <s v="Interest Exp--CHI Debt Prog-MBOs Only"/>
    <s v="FHSW"/>
    <x v="0"/>
    <m/>
    <n v="69099.149999999994"/>
    <n v="67583.66"/>
    <n v="66062.16"/>
    <n v="0"/>
    <n v="0"/>
    <n v="0"/>
    <n v="0"/>
    <n v="0"/>
    <n v="0"/>
    <n v="0"/>
    <n v="0"/>
    <n v="0"/>
    <n v="202744.97"/>
    <n v="0"/>
  </r>
  <r>
    <x v="9"/>
    <x v="3"/>
    <x v="0"/>
    <s v="7670101"/>
    <n v="800010"/>
    <s v="Interest Income-CHI Program"/>
    <s v="Investment Income"/>
    <x v="0"/>
    <m/>
    <n v="-67302.600000000006"/>
    <n v="-19959.12"/>
    <n v="-20916.86"/>
    <n v="-25372.77"/>
    <n v="-21021.74"/>
    <n v="-36989.129999999997"/>
    <n v="-14918.07"/>
    <n v="-16356.8"/>
    <n v="-18649.04"/>
    <n v="-19081.240000000002"/>
    <n v="-13344.23"/>
    <n v="-11621.47"/>
    <n v="-285533.06999999995"/>
    <n v="-1722.7600000000002"/>
  </r>
  <r>
    <x v="9"/>
    <x v="3"/>
    <x v="0"/>
    <s v="7670101"/>
    <n v="800010"/>
    <s v="Interest Income-CHI Cash Mgmt Program"/>
    <s v="Investment Income"/>
    <x v="0"/>
    <n v="1000"/>
    <n v="-129814.26"/>
    <n v="-101873.88"/>
    <n v="0"/>
    <n v="0"/>
    <n v="0"/>
    <n v="0"/>
    <n v="0"/>
    <n v="0"/>
    <n v="0"/>
    <n v="0"/>
    <n v="0"/>
    <n v="0"/>
    <n v="-231688.14"/>
    <n v="0"/>
  </r>
  <r>
    <x v="9"/>
    <x v="3"/>
    <x v="0"/>
    <s v="7670101"/>
    <n v="800015"/>
    <s v="Interest Income-Ext to CHI"/>
    <s v="Investment Income"/>
    <x v="0"/>
    <m/>
    <n v="-24007.23"/>
    <n v="-21699.01"/>
    <n v="-21364.28"/>
    <n v="-16615.21"/>
    <n v="-16561.64"/>
    <n v="-31560.18"/>
    <n v="-10981.75"/>
    <n v="-17825.560000000001"/>
    <n v="-15500.53"/>
    <n v="-26608.68"/>
    <n v="-17844.439999999999"/>
    <n v="-14122.68"/>
    <n v="-234691.18999999997"/>
    <n v="-3721.7599999999984"/>
  </r>
  <r>
    <x v="9"/>
    <x v="3"/>
    <x v="0"/>
    <s v="7670101"/>
    <n v="800025"/>
    <s v="Dividend Inc-CHI Programs"/>
    <s v="Investment Income"/>
    <x v="0"/>
    <m/>
    <n v="-41633.43"/>
    <n v="-56486.34"/>
    <n v="-41732.82"/>
    <n v="-9255.51"/>
    <n v="-16794.97"/>
    <n v="-89370.94"/>
    <n v="-7656.96"/>
    <n v="-16966.13"/>
    <n v="-33898.910000000003"/>
    <n v="-19757.32"/>
    <n v="-32834.230000000003"/>
    <n v="-45015.24"/>
    <n v="-411402.8"/>
    <n v="12181.009999999995"/>
  </r>
  <r>
    <x v="9"/>
    <x v="3"/>
    <x v="0"/>
    <s v="7670101"/>
    <n v="800040"/>
    <s v="Realized Gains&amp;Losses-CHI"/>
    <s v="Investment Income"/>
    <x v="0"/>
    <m/>
    <n v="-285141.82"/>
    <n v="-660939.99"/>
    <n v="-1082877.53"/>
    <n v="133097.94"/>
    <n v="-8498.14"/>
    <n v="72859.87"/>
    <n v="204420.73"/>
    <n v="-64563.85"/>
    <n v="28951.02"/>
    <n v="-39930.42"/>
    <n v="-34564.550000000003"/>
    <n v="26836.14"/>
    <n v="-1710350.6"/>
    <n v="-61400.69"/>
  </r>
  <r>
    <x v="9"/>
    <x v="3"/>
    <x v="0"/>
    <s v="7670101"/>
    <n v="800060"/>
    <s v="Unrealized G/L--net CHI Program"/>
    <s v="Investment Income"/>
    <x v="0"/>
    <m/>
    <n v="-836719.89"/>
    <n v="248180.97"/>
    <n v="1095902.08"/>
    <n v="1116894.21"/>
    <n v="-164027.87"/>
    <n v="921392.78"/>
    <n v="-1178358.3400000001"/>
    <n v="-348491.66"/>
    <n v="-137005.71"/>
    <n v="-405498.47"/>
    <n v="693493.59"/>
    <n v="-891783.22"/>
    <n v="113978.47000000032"/>
    <n v="1585276.81"/>
  </r>
  <r>
    <x v="9"/>
    <x v="0"/>
    <x v="0"/>
    <s v="7670102"/>
    <n v="800010"/>
    <s v="Interest Income-CHI Program"/>
    <s v="Investment Income"/>
    <x v="0"/>
    <m/>
    <n v="-47113.73"/>
    <n v="-23111.22"/>
    <n v="-40118.9"/>
    <n v="-46858.14"/>
    <n v="-40573.29"/>
    <n v="-65353.8"/>
    <n v="-28406.09"/>
    <n v="-30326.92"/>
    <n v="-33928.19"/>
    <n v="-33669.910000000003"/>
    <n v="-25521.9"/>
    <n v="-22907.15"/>
    <n v="-437889.24000000011"/>
    <n v="-2614.75"/>
  </r>
  <r>
    <x v="9"/>
    <x v="0"/>
    <x v="0"/>
    <s v="7670102"/>
    <n v="800025"/>
    <s v="Dividend Inc-CHI Programs"/>
    <s v="Investment Income"/>
    <x v="0"/>
    <m/>
    <n v="-26719.84"/>
    <n v="-37341.51"/>
    <n v="-63943.53"/>
    <n v="-14181.41"/>
    <n v="-25733.46"/>
    <n v="-136935.24"/>
    <n v="-11296.67"/>
    <n v="-25030.94"/>
    <n v="-50012.65"/>
    <n v="-29148.91"/>
    <n v="-48441.89"/>
    <n v="-66413.100000000006"/>
    <n v="-535199.15"/>
    <n v="17971.210000000006"/>
  </r>
  <r>
    <x v="9"/>
    <x v="0"/>
    <x v="0"/>
    <s v="7670102"/>
    <n v="800040"/>
    <s v="Realized Gains&amp;Losses-CHI"/>
    <s v="Investment Income"/>
    <x v="0"/>
    <m/>
    <n v="-110657.19"/>
    <n v="-303739.39"/>
    <n v="-234359.27"/>
    <n v="202003.45"/>
    <n v="-12298.54"/>
    <n v="114886.21"/>
    <n v="337204.99"/>
    <n v="-94393.61"/>
    <n v="41300.959999999999"/>
    <n v="-56681.58"/>
    <n v="-49862.39"/>
    <n v="38123.910000000003"/>
    <n v="-128472.44999999992"/>
    <n v="-87986.3"/>
  </r>
  <r>
    <x v="9"/>
    <x v="0"/>
    <x v="0"/>
    <s v="7670102"/>
    <n v="800060"/>
    <s v="Unrealized G/L--net CHI Program"/>
    <s v="Investment Income"/>
    <x v="0"/>
    <m/>
    <n v="-542819.18000000005"/>
    <n v="21672.54"/>
    <n v="270608.61"/>
    <n v="1734584.98"/>
    <n v="-258259.14"/>
    <n v="1377629.01"/>
    <n v="-1786394.27"/>
    <n v="-511254.75"/>
    <n v="-225644.33"/>
    <n v="-597331.59"/>
    <n v="1002930.97"/>
    <n v="-1325797.95"/>
    <n v="-840075.09999999963"/>
    <n v="2328728.92"/>
  </r>
  <r>
    <x v="9"/>
    <x v="4"/>
    <x v="0"/>
    <s v="7670103"/>
    <n v="800010"/>
    <s v="Interest Income-CHI Program"/>
    <s v="Investment Income"/>
    <x v="0"/>
    <m/>
    <n v="-36480.19"/>
    <n v="-17875.37"/>
    <n v="-31213"/>
    <n v="-36434.29"/>
    <n v="-31569.58"/>
    <n v="-50778.34"/>
    <n v="-24327.63"/>
    <n v="-25943.88"/>
    <n v="-29001.24"/>
    <n v="-28742"/>
    <n v="-21861.51"/>
    <n v="-19645.61"/>
    <n v="-353872.64000000001"/>
    <n v="-2215.8999999999978"/>
  </r>
  <r>
    <x v="9"/>
    <x v="4"/>
    <x v="0"/>
    <s v="7670103"/>
    <n v="800025"/>
    <s v="Dividend Inc-CHI Programs"/>
    <s v="Investment Income"/>
    <x v="0"/>
    <m/>
    <n v="-20697.400000000001"/>
    <n v="-28938.25"/>
    <n v="-49553.81"/>
    <n v="-10990.05"/>
    <n v="-19942.46"/>
    <n v="-106119.6"/>
    <n v="-9559.23"/>
    <n v="-21181.16"/>
    <n v="-42320.67"/>
    <n v="-24665.78"/>
    <n v="-40991.480000000003"/>
    <n v="-56198.71"/>
    <n v="-431158.60000000003"/>
    <n v="15207.229999999996"/>
  </r>
  <r>
    <x v="9"/>
    <x v="4"/>
    <x v="0"/>
    <s v="7670103"/>
    <n v="800040"/>
    <s v="Realized Gains&amp;Losses-CHI"/>
    <s v="Investment Income"/>
    <x v="0"/>
    <m/>
    <n v="-85983.21"/>
    <n v="-235373.53"/>
    <n v="-180535.22"/>
    <n v="156515.73000000001"/>
    <n v="-9519.9599999999991"/>
    <n v="89081.73"/>
    <n v="159646.59"/>
    <n v="-79836.710000000006"/>
    <n v="34884.730000000003"/>
    <n v="-47862.67"/>
    <n v="-42142.1"/>
    <n v="32193.74"/>
    <n v="-208930.88000000003"/>
    <n v="-74335.839999999997"/>
  </r>
  <r>
    <x v="9"/>
    <x v="4"/>
    <x v="0"/>
    <s v="7670103"/>
    <n v="800060"/>
    <s v="Unrealized G/L--net CHI Program"/>
    <s v="Investment Income"/>
    <x v="0"/>
    <m/>
    <n v="-420450.57"/>
    <n v="16814.87"/>
    <n v="208874.17"/>
    <n v="1344590.21"/>
    <n v="-200246.15"/>
    <n v="1067092.43"/>
    <n v="-1386507.47"/>
    <n v="-432492.06"/>
    <n v="-192007.53"/>
    <n v="-505419.76"/>
    <n v="847761.68"/>
    <n v="-1122347.99"/>
    <n v="-774338.16999999993"/>
    <n v="1970109.67"/>
  </r>
  <r>
    <x v="9"/>
    <x v="8"/>
    <x v="0"/>
    <s v="7670104"/>
    <n v="800010"/>
    <s v="Interest Income-CHI Program"/>
    <s v="Investment Income"/>
    <x v="0"/>
    <m/>
    <n v="-36687.17"/>
    <n v="-17991.05"/>
    <n v="-609.28"/>
    <n v="-717.54"/>
    <n v="-615.37"/>
    <n v="-1010.8"/>
    <n v="-545.79999999999995"/>
    <n v="-585.37"/>
    <n v="-657.03"/>
    <n v="-655.57"/>
    <n v="-490.03"/>
    <n v="-437.62"/>
    <n v="-61002.630000000012"/>
    <n v="-52.409999999999968"/>
  </r>
  <r>
    <x v="9"/>
    <x v="8"/>
    <x v="0"/>
    <s v="7670104"/>
    <n v="800025"/>
    <s v="Dividend Inc-CHI Programs"/>
    <s v="Investment Income"/>
    <x v="0"/>
    <m/>
    <n v="-20808.87"/>
    <n v="-29084.52"/>
    <n v="-1023.68"/>
    <n v="-227.03"/>
    <n v="-411.97"/>
    <n v="-2192.2199999999998"/>
    <n v="-227.71"/>
    <n v="-504.54"/>
    <n v="-1008.1"/>
    <n v="-587.54999999999995"/>
    <n v="-976.43"/>
    <n v="-1338.68"/>
    <n v="-58391.3"/>
    <n v="362.25000000000011"/>
  </r>
  <r>
    <x v="9"/>
    <x v="8"/>
    <x v="0"/>
    <s v="7670104"/>
    <n v="800040"/>
    <s v="Realized Gains&amp;Losses-CHI"/>
    <s v="Investment Income"/>
    <x v="0"/>
    <m/>
    <n v="-86252.44"/>
    <n v="-236572.61"/>
    <n v="-956601.2"/>
    <n v="3241.8"/>
    <n v="-199.84"/>
    <n v="1825.96"/>
    <n v="-890.27"/>
    <n v="-1906.29"/>
    <n v="838.42"/>
    <n v="-1151.8499999999999"/>
    <n v="-1009.8"/>
    <n v="774.59"/>
    <n v="-1277903.5300000003"/>
    <n v="-1784.3899999999999"/>
  </r>
  <r>
    <x v="9"/>
    <x v="8"/>
    <x v="0"/>
    <s v="7670104"/>
    <n v="800060"/>
    <s v="Unrealized G/L--net CHI Program"/>
    <s v="Investment Income"/>
    <x v="0"/>
    <m/>
    <n v="-422730.65"/>
    <n v="16885.72"/>
    <n v="957114.92"/>
    <n v="27674.17"/>
    <n v="-4106.16"/>
    <n v="22194.240000000002"/>
    <n v="-28269.33"/>
    <n v="-10317.36"/>
    <n v="-4449.8900000000003"/>
    <n v="-12044.17"/>
    <n v="20300.5"/>
    <n v="-26681.56"/>
    <n v="535570.42999999993"/>
    <n v="46982.06"/>
  </r>
  <r>
    <x v="9"/>
    <x v="5"/>
    <x v="0"/>
    <s v="7670106"/>
    <n v="800010"/>
    <s v="Interest Income-CHI Program"/>
    <s v="Investment Income"/>
    <x v="0"/>
    <m/>
    <n v="-20057.97"/>
    <n v="-10278.86"/>
    <n v="-17865.740000000002"/>
    <n v="-20620.13"/>
    <n v="-18102.62"/>
    <n v="-28340.09"/>
    <n v="-16434.32"/>
    <n v="-17373.41"/>
    <n v="-19296.36"/>
    <n v="-18919.54"/>
    <n v="-16126.99"/>
    <n v="-14628.23"/>
    <n v="-218044.26"/>
    <n v="-1498.7600000000002"/>
  </r>
  <r>
    <x v="9"/>
    <x v="5"/>
    <x v="0"/>
    <s v="7670106"/>
    <n v="800010"/>
    <s v="Interest Income-CHI Cash Mgmt Program"/>
    <s v="Investment Income"/>
    <x v="0"/>
    <n v="1000"/>
    <n v="-21897.5"/>
    <n v="-23581.47"/>
    <n v="0"/>
    <n v="0"/>
    <n v="0"/>
    <n v="0"/>
    <n v="0"/>
    <n v="0"/>
    <n v="0"/>
    <n v="0"/>
    <n v="0"/>
    <n v="0"/>
    <n v="-45478.97"/>
    <n v="0"/>
  </r>
  <r>
    <x v="9"/>
    <x v="5"/>
    <x v="0"/>
    <s v="7670106"/>
    <n v="800015"/>
    <s v="Interest Income-Ext to CHI"/>
    <s v="Investment Income"/>
    <x v="0"/>
    <m/>
    <n v="-9856.76"/>
    <n v="0"/>
    <n v="0"/>
    <n v="0"/>
    <n v="0"/>
    <n v="-182755.04"/>
    <n v="0"/>
    <n v="0"/>
    <n v="0"/>
    <n v="0"/>
    <n v="0"/>
    <n v="-380359.84"/>
    <n v="-572971.64"/>
    <n v="380359.84"/>
  </r>
  <r>
    <x v="9"/>
    <x v="5"/>
    <x v="0"/>
    <s v="7670106"/>
    <n v="800025"/>
    <s v="Dividend Inc-CHI Programs"/>
    <s v="Investment Income"/>
    <x v="0"/>
    <m/>
    <n v="-11191.99"/>
    <n v="-15345.55"/>
    <n v="-26277.69"/>
    <n v="-5827.87"/>
    <n v="-10575.2"/>
    <n v="-56273.73"/>
    <n v="-5845.13"/>
    <n v="-12951.52"/>
    <n v="-25877.58"/>
    <n v="-15082.25"/>
    <n v="-27370.85"/>
    <n v="-37525.03"/>
    <n v="-250144.39"/>
    <n v="10154.18"/>
  </r>
  <r>
    <x v="9"/>
    <x v="5"/>
    <x v="0"/>
    <s v="7670106"/>
    <n v="800040"/>
    <s v="Realized Gains&amp;Losses-CHI"/>
    <s v="Investment Income"/>
    <x v="0"/>
    <m/>
    <n v="-40376.04"/>
    <n v="-125111.32"/>
    <n v="-96718.28"/>
    <n v="82683.72"/>
    <n v="-4930.67"/>
    <n v="47767.85"/>
    <n v="-22623.919999999998"/>
    <n v="-48607.63"/>
    <n v="20986.73"/>
    <n v="-28722.98"/>
    <n v="-27842.3"/>
    <n v="21111.360000000001"/>
    <n v="-222383.48000000004"/>
    <n v="-48953.66"/>
  </r>
  <r>
    <x v="9"/>
    <x v="5"/>
    <x v="0"/>
    <s v="7670106"/>
    <n v="800060"/>
    <s v="Unrealized G/L--net CHI Program"/>
    <s v="Investment Income"/>
    <x v="0"/>
    <m/>
    <n v="-227848.58"/>
    <n v="8470.4500000000007"/>
    <n v="114398.82"/>
    <n v="716805.35"/>
    <n v="-107316.67"/>
    <n v="560305.42000000004"/>
    <n v="-730553.74"/>
    <n v="-263748.94"/>
    <n v="-123135.83"/>
    <n v="-308822.15999999997"/>
    <n v="560768.66"/>
    <n v="-752064.74"/>
    <n v="-552741.96"/>
    <n v="1312833.3999999999"/>
  </r>
  <r>
    <x v="9"/>
    <x v="6"/>
    <x v="0"/>
    <s v="7670107"/>
    <n v="800010"/>
    <s v="Interest Income-CHI Program"/>
    <s v="Investment Income"/>
    <x v="0"/>
    <m/>
    <n v="-283774.57"/>
    <n v="-137409.5"/>
    <n v="-249712.29"/>
    <n v="-290648.99"/>
    <n v="-253085.6"/>
    <n v="-403655.94"/>
    <n v="-227062.83"/>
    <n v="-241766.13"/>
    <n v="-269533.93"/>
    <n v="-266207.40000000002"/>
    <n v="-207616.79"/>
    <n v="-187163.51"/>
    <n v="-3017637.4800000004"/>
    <n v="-20453.28"/>
  </r>
  <r>
    <x v="9"/>
    <x v="6"/>
    <x v="0"/>
    <s v="7670107"/>
    <n v="800010"/>
    <s v="Interest Income-CHI Cash Mgmt Program"/>
    <s v="Investment Income"/>
    <x v="0"/>
    <n v="1000"/>
    <n v="-129307.49"/>
    <n v="-129207.16"/>
    <n v="0"/>
    <n v="0"/>
    <n v="0"/>
    <n v="0"/>
    <n v="0"/>
    <n v="0"/>
    <n v="0"/>
    <n v="0"/>
    <n v="0"/>
    <n v="0"/>
    <n v="-258514.65000000002"/>
    <n v="0"/>
  </r>
  <r>
    <x v="9"/>
    <x v="6"/>
    <x v="0"/>
    <s v="7670107"/>
    <n v="800015"/>
    <s v="Interest Income-Ext to CHI"/>
    <s v="Investment Income"/>
    <x v="0"/>
    <m/>
    <n v="0"/>
    <n v="0"/>
    <n v="0"/>
    <n v="-25"/>
    <n v="0"/>
    <n v="0"/>
    <n v="0"/>
    <n v="0"/>
    <n v="0"/>
    <n v="0"/>
    <n v="0"/>
    <n v="0"/>
    <n v="-25"/>
    <n v="0"/>
  </r>
  <r>
    <x v="9"/>
    <x v="6"/>
    <x v="0"/>
    <s v="7670107"/>
    <n v="800025"/>
    <s v="Dividend Inc-CHI Programs"/>
    <s v="Investment Income"/>
    <x v="0"/>
    <m/>
    <n v="-161685.59"/>
    <n v="-227166.23"/>
    <n v="-388999.05"/>
    <n v="-86272.27"/>
    <n v="-156548.94"/>
    <n v="-833042.42"/>
    <n v="-86527.82"/>
    <n v="-191726.58"/>
    <n v="-383076.17"/>
    <n v="-223268.53"/>
    <n v="-376809.78"/>
    <n v="-516600.59"/>
    <n v="-3631723.9699999997"/>
    <n v="139790.81"/>
  </r>
  <r>
    <x v="9"/>
    <x v="6"/>
    <x v="0"/>
    <s v="7670107"/>
    <n v="800040"/>
    <s v="Realized Gains&amp;Losses-CHI"/>
    <s v="Investment Income"/>
    <x v="0"/>
    <m/>
    <n v="-694013.94"/>
    <n v="-1846610.06"/>
    <n v="-1436176.03"/>
    <n v="1227532.96"/>
    <n v="-74312.639999999999"/>
    <n v="701180.64"/>
    <n v="-336432.87"/>
    <n v="-721721.23"/>
    <n v="314224.03999999998"/>
    <n v="-430802.87"/>
    <n v="-386096.22"/>
    <n v="294263.55"/>
    <n v="-3388964.6700000009"/>
    <n v="-680359.77"/>
  </r>
  <r>
    <x v="9"/>
    <x v="6"/>
    <x v="0"/>
    <s v="7670107"/>
    <n v="800060"/>
    <s v="Unrealized G/L--net CHI Program"/>
    <s v="Investment Income"/>
    <x v="0"/>
    <m/>
    <n v="-3282712.18"/>
    <n v="133625.4"/>
    <n v="1668094.6"/>
    <n v="10568582.24"/>
    <n v="-1575963.6"/>
    <n v="8356895.1399999997"/>
    <n v="-10782251.039999999"/>
    <n v="-3911649.2"/>
    <n v="-1763717.61"/>
    <n v="-4573928.8899999997"/>
    <n v="7769920.4100000001"/>
    <n v="-10328583.699999999"/>
    <n v="-7721688.4299999969"/>
    <n v="18098504.109999999"/>
  </r>
  <r>
    <x v="9"/>
    <x v="7"/>
    <x v="0"/>
    <s v="7670150"/>
    <n v="800010"/>
    <s v="Interest Income-CHI Program"/>
    <s v="Investment Income"/>
    <x v="0"/>
    <m/>
    <n v="-61890.239999999998"/>
    <n v="-29898.52"/>
    <n v="-45468.55"/>
    <n v="-52458.63"/>
    <n v="-46074.26"/>
    <n v="-72064.2"/>
    <n v="-41846.03"/>
    <n v="-44225.53"/>
    <n v="-49111"/>
    <n v="-48136.03"/>
    <n v="-38996.78"/>
    <n v="-35384.83"/>
    <n v="-565554.60000000009"/>
    <n v="-3611.9499999999971"/>
  </r>
  <r>
    <x v="9"/>
    <x v="7"/>
    <x v="0"/>
    <s v="7670150"/>
    <n v="800010"/>
    <s v="Interest Income-CHI Cash Mgmt Program"/>
    <s v="Investment Income"/>
    <x v="0"/>
    <n v="1000"/>
    <n v="-100176.84"/>
    <n v="-101059.07"/>
    <n v="0"/>
    <n v="0"/>
    <n v="0"/>
    <n v="0"/>
    <n v="0"/>
    <n v="0"/>
    <n v="0"/>
    <n v="0"/>
    <n v="0"/>
    <n v="0"/>
    <n v="-201235.91"/>
    <n v="0"/>
  </r>
  <r>
    <x v="9"/>
    <x v="7"/>
    <x v="0"/>
    <s v="7670150"/>
    <n v="800015"/>
    <s v="Interest Income-Ext to CHI"/>
    <s v="Investment Income"/>
    <x v="0"/>
    <m/>
    <n v="0"/>
    <n v="0"/>
    <n v="0"/>
    <n v="0"/>
    <n v="0"/>
    <n v="0"/>
    <n v="0"/>
    <n v="0"/>
    <n v="0"/>
    <n v="0"/>
    <n v="0"/>
    <n v="0"/>
    <n v="0"/>
    <n v="0"/>
  </r>
  <r>
    <x v="9"/>
    <x v="7"/>
    <x v="0"/>
    <s v="7670150"/>
    <n v="800025"/>
    <s v="Dividend Inc-CHI Programs"/>
    <s v="Investment Income"/>
    <x v="0"/>
    <m/>
    <n v="-35292.68"/>
    <n v="-49632.2"/>
    <n v="-66699.44"/>
    <n v="-14792.61"/>
    <n v="-26842.55"/>
    <n v="-142837.01"/>
    <n v="-14836.43"/>
    <n v="-32874.26"/>
    <n v="-65683.88"/>
    <n v="-38282.58"/>
    <n v="-65926.929999999993"/>
    <n v="-90384.84"/>
    <n v="-644085.41"/>
    <n v="24457.910000000003"/>
  </r>
  <r>
    <x v="9"/>
    <x v="7"/>
    <x v="0"/>
    <s v="7670150"/>
    <n v="800040"/>
    <s v="Realized Gains&amp;Losses-CHI"/>
    <s v="Investment Income"/>
    <x v="0"/>
    <m/>
    <n v="-152427.82"/>
    <n v="-403409.7"/>
    <n v="-1093958.46"/>
    <n v="209843.35"/>
    <n v="-12504.5"/>
    <n v="121295.58"/>
    <n v="-57412.78"/>
    <n v="-123360.8"/>
    <n v="53240.59"/>
    <n v="-72860.37"/>
    <n v="-67032.89"/>
    <n v="50811.63"/>
    <n v="-1547776.1699999997"/>
    <n v="-117844.51999999999"/>
  </r>
  <r>
    <x v="9"/>
    <x v="7"/>
    <x v="0"/>
    <s v="7670150"/>
    <n v="800060"/>
    <s v="Unrealized G/L--net CHI Program"/>
    <s v="Investment Income"/>
    <x v="0"/>
    <m/>
    <n v="-716473.93"/>
    <n v="29263.11"/>
    <n v="1139080.04"/>
    <n v="1819782.26"/>
    <n v="-272500.69"/>
    <n v="1421686.34"/>
    <n v="-1854596.11"/>
    <n v="-669402.30000000005"/>
    <n v="-313033.48"/>
    <n v="-783850.17"/>
    <n v="1350170.16"/>
    <n v="-1811728.45"/>
    <n v="-661603.22000000044"/>
    <n v="3161898.61"/>
  </r>
  <r>
    <x v="9"/>
    <x v="1"/>
    <x v="0"/>
    <s v="7670200"/>
    <n v="800010"/>
    <s v="Interest Income-CHI Cash Mgmt Program"/>
    <s v="Investment Income"/>
    <x v="0"/>
    <n v="1000"/>
    <n v="-154.52000000000001"/>
    <n v="-155.97"/>
    <n v="0"/>
    <n v="0"/>
    <n v="0"/>
    <n v="0"/>
    <n v="0"/>
    <n v="0"/>
    <n v="0"/>
    <n v="0"/>
    <n v="0"/>
    <n v="0"/>
    <n v="-310.49"/>
    <n v="0"/>
  </r>
  <r>
    <x v="9"/>
    <x v="10"/>
    <x v="0"/>
    <s v="7670306"/>
    <n v="800010"/>
    <s v="Interest Income-CHI Program"/>
    <s v="Investment Income"/>
    <x v="0"/>
    <m/>
    <n v="1.38"/>
    <n v="0.62"/>
    <n v="0.56000000000000005"/>
    <n v="-165.01"/>
    <n v="0"/>
    <n v="0"/>
    <n v="-0.74"/>
    <n v="0"/>
    <n v="0"/>
    <n v="0"/>
    <n v="0"/>
    <n v="0"/>
    <n v="-163.19"/>
    <n v="0"/>
  </r>
  <r>
    <x v="9"/>
    <x v="10"/>
    <x v="0"/>
    <s v="7670306"/>
    <n v="800010"/>
    <s v="Interest Income-CHI Cash Mgmt Program"/>
    <s v="Investment Income"/>
    <x v="0"/>
    <n v="1000"/>
    <n v="-3395.3"/>
    <n v="-3521.5"/>
    <n v="0"/>
    <n v="0"/>
    <n v="0"/>
    <n v="0"/>
    <n v="0"/>
    <n v="0"/>
    <n v="0"/>
    <n v="0"/>
    <n v="0"/>
    <n v="0"/>
    <n v="-6916.8"/>
    <n v="0"/>
  </r>
  <r>
    <x v="9"/>
    <x v="10"/>
    <x v="0"/>
    <s v="7670306"/>
    <n v="800040"/>
    <s v="Realized Gains&amp;Losses-CHI"/>
    <s v="Investment Income"/>
    <x v="0"/>
    <m/>
    <n v="-35.68"/>
    <n v="0"/>
    <n v="0"/>
    <n v="0"/>
    <n v="0"/>
    <n v="0"/>
    <n v="0"/>
    <n v="0"/>
    <n v="0"/>
    <n v="0"/>
    <n v="0"/>
    <n v="0"/>
    <n v="-35.68"/>
    <n v="0"/>
  </r>
  <r>
    <x v="9"/>
    <x v="10"/>
    <x v="0"/>
    <s v="7670306"/>
    <n v="800060"/>
    <s v="Unrealized G/L--net CHI Program"/>
    <s v="Investment Income"/>
    <x v="0"/>
    <m/>
    <n v="23.23"/>
    <n v="0"/>
    <n v="0"/>
    <n v="0"/>
    <n v="0"/>
    <n v="0"/>
    <n v="0"/>
    <n v="0"/>
    <n v="0"/>
    <n v="0"/>
    <n v="0"/>
    <n v="0"/>
    <n v="23.23"/>
    <n v="0"/>
  </r>
  <r>
    <x v="9"/>
    <x v="16"/>
    <x v="0"/>
    <s v="7670460"/>
    <n v="800010"/>
    <s v="Interest Income-CHI Program"/>
    <s v="Investment Income"/>
    <x v="0"/>
    <m/>
    <n v="-9689.1"/>
    <n v="-4916.84"/>
    <n v="-8765.57"/>
    <n v="-10131.450000000001"/>
    <n v="-8813.09"/>
    <n v="-13822.79"/>
    <n v="-7921.14"/>
    <n v="-8396.5499999999993"/>
    <n v="-9392.48"/>
    <n v="-9397.89"/>
    <n v="-7351.22"/>
    <n v="-6437.88"/>
    <n v="-105036"/>
    <n v="-913.34000000000015"/>
  </r>
  <r>
    <x v="9"/>
    <x v="16"/>
    <x v="0"/>
    <s v="7670460"/>
    <n v="800010"/>
    <s v="Interest Income-CHI Cash Mgmt Program"/>
    <s v="Investment Income"/>
    <x v="0"/>
    <n v="1000"/>
    <n v="-4600.96"/>
    <n v="-2404.6"/>
    <n v="0"/>
    <n v="0"/>
    <n v="0"/>
    <n v="0"/>
    <n v="0"/>
    <n v="0"/>
    <n v="0"/>
    <n v="0"/>
    <n v="0"/>
    <n v="0"/>
    <n v="-7005.5599999999995"/>
    <n v="0"/>
  </r>
  <r>
    <x v="9"/>
    <x v="16"/>
    <x v="0"/>
    <s v="7670460"/>
    <n v="800015"/>
    <s v="Interest Income-Ext to CHI"/>
    <s v="Investment Income"/>
    <x v="0"/>
    <m/>
    <n v="-0.75"/>
    <n v="-0.82"/>
    <n v="-130.68"/>
    <n v="0"/>
    <n v="-928.65"/>
    <n v="0"/>
    <n v="0"/>
    <n v="0"/>
    <n v="0"/>
    <n v="0"/>
    <n v="0"/>
    <n v="0"/>
    <n v="-1060.9000000000001"/>
    <n v="0"/>
  </r>
  <r>
    <x v="9"/>
    <x v="16"/>
    <x v="0"/>
    <s v="7670460"/>
    <n v="800025"/>
    <s v="Dividend Inc-CHI Programs"/>
    <s v="Investment Income"/>
    <x v="0"/>
    <m/>
    <n v="-5493.74"/>
    <n v="-7935.43"/>
    <n v="-13474.24"/>
    <n v="-2973.46"/>
    <n v="-5386.21"/>
    <n v="-28274.62"/>
    <n v="-2968.93"/>
    <n v="-6566.84"/>
    <n v="-13172.22"/>
    <n v="-7790.87"/>
    <n v="-13141.13"/>
    <n v="-17476.97"/>
    <n v="-124654.65999999999"/>
    <n v="4335.840000000002"/>
  </r>
  <r>
    <x v="9"/>
    <x v="16"/>
    <x v="0"/>
    <s v="7670460"/>
    <n v="800040"/>
    <s v="Realized Gains&amp;Losses-CHI"/>
    <s v="Investment Income"/>
    <x v="0"/>
    <m/>
    <n v="-22710.21"/>
    <n v="-64549.37"/>
    <n v="-49711.76"/>
    <n v="42284.02"/>
    <n v="-2545.66"/>
    <n v="23848.17"/>
    <n v="-11525.63"/>
    <n v="-24701.19"/>
    <n v="10777.79"/>
    <n v="-14981.18"/>
    <n v="-13439.04"/>
    <n v="9928.6200000000008"/>
    <n v="-117325.44000000003"/>
    <n v="-23367.660000000003"/>
  </r>
  <r>
    <x v="9"/>
    <x v="16"/>
    <x v="0"/>
    <s v="7670460"/>
    <n v="800060"/>
    <s v="Unrealized G/L--net CHI Program"/>
    <s v="Investment Income"/>
    <x v="0"/>
    <m/>
    <n v="-50392.73"/>
    <n v="-30840.1"/>
    <n v="67048.44"/>
    <n v="369634.7"/>
    <n v="-53217.89"/>
    <n v="292538.90000000002"/>
    <n v="-374607.22"/>
    <n v="-132535.57999999999"/>
    <n v="-64208.85"/>
    <n v="-174008.39"/>
    <n v="253431.15"/>
    <n v="-322852.59999999998"/>
    <n v="-220010.1699999999"/>
    <n v="576283.75"/>
  </r>
  <r>
    <x v="9"/>
    <x v="16"/>
    <x v="0"/>
    <s v="7670460"/>
    <n v="800065"/>
    <s v="Unrealized G/L--net Ext to CHI"/>
    <s v="Investment Income"/>
    <x v="0"/>
    <m/>
    <n v="-3956.58"/>
    <n v="-2911.4"/>
    <n v="2080.27"/>
    <n v="-1834.86"/>
    <n v="1987.5"/>
    <n v="0"/>
    <n v="3248.9"/>
    <n v="-6509.46"/>
    <n v="0"/>
    <n v="227.37"/>
    <n v="613.21"/>
    <n v="0"/>
    <n v="-7055.0499999999993"/>
    <n v="613.21"/>
  </r>
  <r>
    <x v="9"/>
    <x v="17"/>
    <x v="0"/>
    <s v="7670467"/>
    <n v="800010"/>
    <s v="Interest Income-CHI Program"/>
    <s v="Investment Income"/>
    <x v="0"/>
    <m/>
    <n v="-1153.5899999999999"/>
    <n v="-459.61"/>
    <n v="-983.89"/>
    <n v="-1199.33"/>
    <n v="-1020.13"/>
    <n v="-518.49"/>
    <n v="-567.95000000000005"/>
    <n v="-647.25"/>
    <n v="-738.97"/>
    <n v="-749.51"/>
    <n v="-231.79"/>
    <n v="-42655.31"/>
    <n v="-50925.82"/>
    <n v="42423.519999999997"/>
  </r>
  <r>
    <x v="9"/>
    <x v="17"/>
    <x v="0"/>
    <s v="7670467"/>
    <n v="800010"/>
    <s v="Interest Income-CHI Cash Mgmt Program"/>
    <s v="Investment Income"/>
    <x v="0"/>
    <n v="1000"/>
    <n v="91.96"/>
    <n v="1008.05"/>
    <n v="-3933.33"/>
    <n v="-1825.27"/>
    <n v="0"/>
    <n v="0"/>
    <n v="0"/>
    <n v="0"/>
    <n v="0"/>
    <n v="0"/>
    <n v="0"/>
    <n v="0"/>
    <n v="-4658.59"/>
    <n v="0"/>
  </r>
  <r>
    <x v="9"/>
    <x v="17"/>
    <x v="0"/>
    <s v="7670467"/>
    <n v="800025"/>
    <s v="Dividend Inc-CHI Programs"/>
    <s v="Investment Income"/>
    <x v="0"/>
    <m/>
    <n v="-727.14"/>
    <n v="-1215.77"/>
    <n v="-2012.08"/>
    <n v="-440.44"/>
    <n v="-841.3"/>
    <n v="-2238.54"/>
    <n v="-285.01"/>
    <n v="-692.07"/>
    <n v="-1380.35"/>
    <n v="-791.38"/>
    <n v="-927.05"/>
    <n v="-42957.61"/>
    <n v="-54508.74"/>
    <n v="42030.559999999998"/>
  </r>
  <r>
    <x v="9"/>
    <x v="17"/>
    <x v="0"/>
    <s v="7670467"/>
    <n v="800040"/>
    <s v="Realized Gains&amp;Losses-CHI"/>
    <s v="Investment Income"/>
    <x v="0"/>
    <m/>
    <n v="-5383.65"/>
    <n v="-9745.82"/>
    <n v="-7490.6"/>
    <n v="6472.63"/>
    <n v="-507.96"/>
    <n v="6239.29"/>
    <n v="-1196.78"/>
    <n v="-2624.05"/>
    <n v="1173.8699999999999"/>
    <n v="-1614.9"/>
    <n v="-860.09"/>
    <n v="-43717.86"/>
    <n v="-59255.92"/>
    <n v="42857.770000000004"/>
  </r>
  <r>
    <x v="9"/>
    <x v="17"/>
    <x v="0"/>
    <s v="7670467"/>
    <n v="800060"/>
    <s v="Unrealized G/L--net CHI Program"/>
    <s v="Investment Income"/>
    <x v="0"/>
    <m/>
    <n v="-14580.94"/>
    <n v="223.12"/>
    <n v="8185.63"/>
    <n v="53898.2"/>
    <n v="-7674.74"/>
    <n v="23873.63"/>
    <n v="-38608.720000000001"/>
    <n v="-14205.65"/>
    <n v="-5494.59"/>
    <n v="-16501.55"/>
    <n v="27675.21"/>
    <n v="-117099.61"/>
    <n v="-100310.01000000001"/>
    <n v="144774.82"/>
  </r>
  <r>
    <x v="13"/>
    <x v="1"/>
    <x v="0"/>
    <s v="7699200"/>
    <n v="735070"/>
    <s v="Depreciation-Movable Equipment"/>
    <s v="FMG Equipment Storage"/>
    <x v="0"/>
    <m/>
    <n v="2521.1"/>
    <n v="2388.1"/>
    <n v="2340.33"/>
    <n v="2340.21"/>
    <n v="2340.35"/>
    <n v="2311.59"/>
    <n v="2096.4"/>
    <n v="2096.17"/>
    <n v="1944.03"/>
    <n v="1943.76"/>
    <n v="1944.07"/>
    <n v="1943.74"/>
    <n v="26209.85"/>
    <n v="0.32999999999992724"/>
  </r>
  <r>
    <x v="13"/>
    <x v="6"/>
    <x v="0"/>
    <s v="7700107"/>
    <n v="736000"/>
    <s v="General Amortization Expense"/>
    <s v="Depreciation-Bremerton"/>
    <x v="0"/>
    <n v="5000"/>
    <n v="-14177.37"/>
    <n v="-14177.37"/>
    <n v="-14177.37"/>
    <n v="-14177.37"/>
    <n v="-14177.37"/>
    <n v="-14177.37"/>
    <n v="-14177.37"/>
    <n v="-14177.37"/>
    <n v="-14177.37"/>
    <n v="-14177.37"/>
    <n v="-10374.08"/>
    <n v="-10374.08"/>
    <n v="-162521.85999999996"/>
    <n v="0"/>
  </r>
  <r>
    <x v="4"/>
    <x v="3"/>
    <x v="0"/>
    <s v="7750101"/>
    <n v="490010"/>
    <s v="Provision for Bad Debts"/>
    <s v="Bad Debt"/>
    <x v="0"/>
    <m/>
    <n v="1455480.33"/>
    <n v="1208172.75"/>
    <n v="156706.28"/>
    <n v="774938.04"/>
    <n v="1137811.3"/>
    <n v="1197677.57"/>
    <n v="677325.31"/>
    <n v="208251.62"/>
    <n v="1722290.66"/>
    <n v="662568.04"/>
    <n v="1514267.73"/>
    <n v="274107.49"/>
    <n v="10989597.119999999"/>
    <n v="1240160.24"/>
  </r>
  <r>
    <x v="4"/>
    <x v="0"/>
    <x v="0"/>
    <s v="7750102"/>
    <n v="490010"/>
    <s v="Provision for Bad Debts"/>
    <s v="Bad Debt"/>
    <x v="0"/>
    <m/>
    <n v="989161.34"/>
    <n v="1894940.85"/>
    <n v="663728.36"/>
    <n v="234639.11"/>
    <n v="909143.76"/>
    <n v="835433.43"/>
    <n v="756450.93"/>
    <n v="741344.27"/>
    <n v="2614598.36"/>
    <n v="1016713.6"/>
    <n v="1231878.02"/>
    <n v="541831.43000000005"/>
    <n v="12429863.459999997"/>
    <n v="690046.59"/>
  </r>
  <r>
    <x v="4"/>
    <x v="4"/>
    <x v="0"/>
    <s v="7750103"/>
    <n v="490010"/>
    <s v="Provision for Bad Debts"/>
    <s v="Bad Debt"/>
    <x v="0"/>
    <m/>
    <n v="1055708.07"/>
    <n v="796286.45"/>
    <n v="1381897.29"/>
    <n v="471613.27"/>
    <n v="793887.9"/>
    <n v="435868.59"/>
    <n v="660773.44999999995"/>
    <n v="421684.28"/>
    <n v="1627677.41"/>
    <n v="493130.76"/>
    <n v="719286.45"/>
    <n v="227813.21"/>
    <n v="9085627.1300000008"/>
    <n v="491473.24"/>
  </r>
  <r>
    <x v="4"/>
    <x v="8"/>
    <x v="0"/>
    <s v="7750104"/>
    <n v="490010"/>
    <s v="Provision for Bad Debts"/>
    <s v="Bad Debt"/>
    <x v="0"/>
    <m/>
    <n v="323547.86"/>
    <n v="355041.17"/>
    <n v="233390.47"/>
    <n v="235716.7"/>
    <n v="329392.02"/>
    <n v="363780.8"/>
    <n v="561671.77"/>
    <n v="489255.03"/>
    <n v="1074592.31"/>
    <n v="-104340.39"/>
    <n v="640125.99"/>
    <n v="226040.04"/>
    <n v="4728213.7700000005"/>
    <n v="414085.94999999995"/>
  </r>
  <r>
    <x v="3"/>
    <x v="5"/>
    <x v="0"/>
    <s v="7750106"/>
    <n v="470040"/>
    <s v="Charity Care-Physician Svcs"/>
    <s v="Bad Debt"/>
    <x v="0"/>
    <m/>
    <n v="10017.76"/>
    <n v="500.21"/>
    <n v="179.31"/>
    <n v="476.94"/>
    <n v="61.12"/>
    <n v="-134.69"/>
    <n v="917.97"/>
    <n v="840.81"/>
    <n v="663.12"/>
    <n v="-1910.08"/>
    <n v="894.55"/>
    <n v="-757.09"/>
    <n v="11749.929999999998"/>
    <n v="1651.6399999999999"/>
  </r>
  <r>
    <x v="4"/>
    <x v="5"/>
    <x v="0"/>
    <s v="7750106"/>
    <n v="490010"/>
    <s v="Provision for Bad Debts"/>
    <s v="Bad Debt"/>
    <x v="0"/>
    <m/>
    <n v="790067.64"/>
    <n v="1151104.7"/>
    <n v="750293.67"/>
    <n v="866195.58"/>
    <n v="991959.35"/>
    <n v="1397069.32"/>
    <n v="449187.67"/>
    <n v="678609"/>
    <n v="2279936.7999999998"/>
    <n v="1333260.7"/>
    <n v="947678.64"/>
    <n v="1602342.03"/>
    <n v="13237705.1"/>
    <n v="125477.60999999999"/>
  </r>
  <r>
    <x v="4"/>
    <x v="6"/>
    <x v="0"/>
    <s v="7750107"/>
    <n v="490010"/>
    <s v="Provision for Bad Debts"/>
    <s v="Bad Debt"/>
    <x v="0"/>
    <m/>
    <n v="867708.06"/>
    <n v="2394460.77"/>
    <n v="-100701.64"/>
    <n v="474408.77"/>
    <n v="832260.28"/>
    <n v="610059.46"/>
    <n v="1282116.6100000001"/>
    <n v="1315253.27"/>
    <n v="1394749.29"/>
    <n v="805451.4"/>
    <n v="1522861.71"/>
    <n v="-399152.44"/>
    <n v="10999475.540000001"/>
    <n v="1922014.15"/>
  </r>
  <r>
    <x v="4"/>
    <x v="7"/>
    <x v="0"/>
    <s v="7750150"/>
    <n v="490010"/>
    <s v="Provision for Bad Debts"/>
    <s v="Bad Debt"/>
    <x v="0"/>
    <m/>
    <n v="273917.32"/>
    <n v="118105.21"/>
    <n v="615096.77"/>
    <n v="1452596.75"/>
    <n v="323188.44"/>
    <n v="325058.45"/>
    <n v="504394.26"/>
    <n v="293867.37"/>
    <n v="65010.29"/>
    <n v="539772.03"/>
    <n v="29806.07"/>
    <n v="156776.76999999999"/>
    <n v="4697589.7300000004"/>
    <n v="-126970.69999999998"/>
  </r>
  <r>
    <x v="4"/>
    <x v="10"/>
    <x v="0"/>
    <s v="7750306"/>
    <n v="490010"/>
    <s v="Provision for Bad Debts"/>
    <s v="Bad Debt"/>
    <x v="0"/>
    <m/>
    <n v="40652.080000000002"/>
    <n v="-44794.9"/>
    <n v="-35267.25"/>
    <n v="42142.22"/>
    <n v="136429.63"/>
    <n v="-38321.980000000003"/>
    <n v="122417.84"/>
    <n v="-41143.51"/>
    <n v="-394430.74"/>
    <n v="-3333.15"/>
    <n v="-2315.16"/>
    <n v="-3262.65"/>
    <n v="-221227.57"/>
    <n v="947.49000000000024"/>
  </r>
  <r>
    <x v="5"/>
    <x v="6"/>
    <x v="0"/>
    <s v="7756107"/>
    <n v="700026"/>
    <s v="Salaries-RN-Productive"/>
    <s v="HHP Cardiology Consultants Clr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56107"/>
    <n v="713010"/>
    <s v="Benefits-FICA/Medicare"/>
    <s v="HHP Cardiology Consultants Clr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14"/>
    <s v="Salaries-Management-Productive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32"/>
    <s v="Salaries-Other Pat Care Providers-Productive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32"/>
    <s v="Salaries-Other Pat Care Providers-OT"/>
    <s v="SA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32"/>
    <s v="Salaries-Other Pat Care Providers-Other"/>
    <s v="SA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34"/>
    <s v="Salaries-Tech/Professional-Productive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34"/>
    <s v="Salaries-Tech/Professional-OT"/>
    <s v="SA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34"/>
    <s v="Salaries-Tech/Professional-Other"/>
    <s v="SA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54"/>
    <s v="Salaries-Management-Non-productive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54"/>
    <s v="Salaries-Management-NonProd-Other"/>
    <s v="SAH Lab Clearing"/>
    <x v="0"/>
    <n v="2000"/>
    <n v="0"/>
    <n v="0"/>
    <n v="0"/>
    <n v="0"/>
    <n v="0"/>
    <n v="0"/>
    <n v="-643.62"/>
    <n v="643.62"/>
    <n v="0"/>
    <n v="0"/>
    <n v="0"/>
    <n v="0"/>
    <n v="0"/>
    <n v="0"/>
  </r>
  <r>
    <x v="5"/>
    <x v="3"/>
    <x v="0"/>
    <s v="7758101"/>
    <n v="700072"/>
    <s v="Salaries-Other Pat Care Providers-Non-productive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72"/>
    <s v="Salaries-Other Pat Care Providers-NonProd-Other"/>
    <s v="SA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74"/>
    <s v="Salaries-Tech/Professional-Non-productive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74"/>
    <s v="Salaries-Tech/Professional-NonProd-Other"/>
    <s v="SA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58101"/>
    <n v="700084"/>
    <s v="Accrued PTO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58101"/>
    <n v="713010"/>
    <s v="Benefits-FICA/Medicare"/>
    <s v="SAH Lab Clearing"/>
    <x v="0"/>
    <m/>
    <n v="0"/>
    <n v="0"/>
    <n v="0"/>
    <n v="0"/>
    <n v="0"/>
    <n v="0"/>
    <n v="49.23"/>
    <n v="-49.23"/>
    <n v="0"/>
    <n v="0"/>
    <n v="0"/>
    <n v="0"/>
    <n v="0"/>
    <n v="0"/>
  </r>
  <r>
    <x v="6"/>
    <x v="3"/>
    <x v="0"/>
    <s v="7758101"/>
    <n v="713090"/>
    <s v="Benefits-Allocated Amounts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58101"/>
    <n v="749510"/>
    <s v="Miscellaneous Expenses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58101"/>
    <n v="749510"/>
    <s v="RICE Rewards"/>
    <s v="SAH Lab Clearing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58101"/>
    <n v="749530"/>
    <s v="Travel"/>
    <s v="SA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58101"/>
    <n v="749530"/>
    <s v="Mileage"/>
    <s v="SAH Lab Clearing"/>
    <x v="0"/>
    <n v="1001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58102"/>
    <n v="700032"/>
    <s v="Salaries-Other Pat Care Providers-Productive"/>
    <s v="SJMC DM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58102"/>
    <n v="713010"/>
    <s v="Benefits-FICA/Medicare"/>
    <s v="SJMC DM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58102"/>
    <n v="713090"/>
    <s v="Benefits-Allocated Amounts"/>
    <s v="SJMC D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58104"/>
    <n v="700032"/>
    <s v="Salaries-Other Pat Care Providers-Productive"/>
    <s v="SJMC DM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58104"/>
    <n v="713010"/>
    <s v="Benefits-FICA/Medicare"/>
    <s v="SJMC DM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58104"/>
    <n v="713090"/>
    <s v="Benefits-Allocated Amounts"/>
    <s v="SJMC DME Clearing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758200"/>
    <n v="721810"/>
    <s v="Supplies-Dietary/Cafeteria"/>
    <s v="West Sound Ortho Clearing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758200"/>
    <n v="721835"/>
    <s v="Supplies-Forms"/>
    <s v="West Sound Orth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59102"/>
    <n v="700018"/>
    <s v="Salaries-Supervisory-Productive"/>
    <s v="SCH Retail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59102"/>
    <n v="700026"/>
    <s v="Salaries-RN-Productive"/>
    <s v="SCH Retail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59102"/>
    <n v="713010"/>
    <s v="Benefits-FICA/Medicare"/>
    <s v="SCH Retail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59102"/>
    <n v="713090"/>
    <s v="Benefits-Allocated Amounts"/>
    <s v="SCH Retail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59107"/>
    <n v="700014"/>
    <s v="Salaries-Management-Productive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59107"/>
    <n v="700038"/>
    <s v="Salaries-Service/Support-Productive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59107"/>
    <n v="700054"/>
    <s v="Salaries-Management-Non-productive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59107"/>
    <n v="700084"/>
    <s v="Accrued PTO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59107"/>
    <n v="713010"/>
    <s v="Benefits-FICA/Medicare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59107"/>
    <n v="713090"/>
    <s v="Benefits-Allocated Amounts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7759107"/>
    <n v="749510"/>
    <s v="Miscellaneous Expenses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7759107"/>
    <n v="749530"/>
    <s v="Travel"/>
    <s v="HHP Brem Endo Sh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14"/>
    <s v="Salaries-Management-Productive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32"/>
    <s v="Salaries-Other Pat Care Providers-Productive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32"/>
    <s v="Salaries-Other Pat Care Providers-OT"/>
    <s v="SF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32"/>
    <s v="Salaries-Other Pat Care Providers-Other"/>
    <s v="SF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34"/>
    <s v="Salaries-Tech/Professional-Productive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34"/>
    <s v="Salaries-Tech/Professional-OT"/>
    <s v="SF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34"/>
    <s v="Salaries-Tech/Professional-Other"/>
    <s v="SF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54"/>
    <s v="Salaries-Management-Non-productive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54"/>
    <s v="Salaries-Management-NonProd-Other"/>
    <s v="SFH Lab Clearing"/>
    <x v="0"/>
    <n v="2000"/>
    <n v="0"/>
    <n v="0"/>
    <n v="0"/>
    <n v="0"/>
    <n v="0"/>
    <n v="0"/>
    <n v="-6151.47"/>
    <n v="6151.47"/>
    <n v="0"/>
    <n v="0"/>
    <n v="0"/>
    <n v="0"/>
    <n v="0"/>
    <n v="0"/>
  </r>
  <r>
    <x v="5"/>
    <x v="3"/>
    <x v="0"/>
    <s v="7760101"/>
    <n v="700072"/>
    <s v="Salaries-Other Pat Care Providers-Non-productive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72"/>
    <s v="Salaries-Other Pat Care Providers-NonProd-Other"/>
    <s v="SF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74"/>
    <s v="Salaries-Tech/Professional-Non-productive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74"/>
    <s v="Salaries-Tech/Professional-NonProd-Other"/>
    <s v="SF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0101"/>
    <n v="700084"/>
    <s v="Accrued PTO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0101"/>
    <n v="713010"/>
    <s v="Benefits-FICA/Medicare"/>
    <s v="SFH Lab Clearing"/>
    <x v="0"/>
    <m/>
    <n v="0"/>
    <n v="0"/>
    <n v="0"/>
    <n v="0"/>
    <n v="0"/>
    <n v="0"/>
    <n v="505.02"/>
    <n v="-505.02"/>
    <n v="0"/>
    <n v="0"/>
    <n v="0"/>
    <n v="0"/>
    <n v="0"/>
    <n v="0"/>
  </r>
  <r>
    <x v="6"/>
    <x v="3"/>
    <x v="0"/>
    <s v="7760101"/>
    <n v="713090"/>
    <s v="Benefits-Allocated Amounts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0101"/>
    <n v="713096"/>
    <s v="Employee Recognition"/>
    <s v="SFH Lab Clearing"/>
    <x v="0"/>
    <n v="1017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60101"/>
    <n v="749510"/>
    <s v="Miscellaneous Expenses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60101"/>
    <n v="749510"/>
    <s v="RICE Rewards"/>
    <s v="SFH Lab Clearing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60101"/>
    <n v="749530"/>
    <s v="Travel"/>
    <s v="SF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60101"/>
    <n v="749530"/>
    <s v="Mileage"/>
    <s v="SFH Lab Clearing"/>
    <x v="0"/>
    <n v="1001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7760106"/>
    <n v="700032"/>
    <s v="Salaries-Other Pat Care Providers-Productive"/>
    <s v="Reg Hosp Dietitia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7760106"/>
    <n v="700032"/>
    <s v="Salaries-Other Pat Care Providers-OT"/>
    <s v="Reg Hosp Dietitian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5"/>
    <x v="0"/>
    <s v="7760106"/>
    <n v="700032"/>
    <s v="Salaries-Other Pat Care Providers-Other"/>
    <s v="Reg Hosp Dietitia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5"/>
    <x v="0"/>
    <s v="7760106"/>
    <n v="713010"/>
    <s v="Benefits-FICA/Medicare"/>
    <s v="Reg Hosp Dietitia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5"/>
    <x v="0"/>
    <s v="7760106"/>
    <n v="713090"/>
    <s v="Benefits-Allocated Amounts"/>
    <s v="Reg Hosp Dietitia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0107"/>
    <n v="700014"/>
    <s v="Salaries-Management-Productive"/>
    <s v="HHP Brem PC Shared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0107"/>
    <n v="700054"/>
    <s v="Salaries-Management-Non-productive"/>
    <s v="HHP Brem PC Shared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0107"/>
    <n v="713010"/>
    <s v="Benefits-FICA/Medicare"/>
    <s v="HHP Brem PC Shared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0107"/>
    <n v="713090"/>
    <s v="Benefits-Allocated Amounts"/>
    <s v="HHP Brem PC Shared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0200"/>
    <n v="700022"/>
    <s v="Salaries-Physician-Productive"/>
    <s v="SJMC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0200"/>
    <n v="700022"/>
    <s v="Salaries-Physician-Other"/>
    <s v="SJMC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0200"/>
    <n v="700024"/>
    <s v="Salaries-Advanced Practice Clinician-Other"/>
    <s v="SJMC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60200"/>
    <n v="713010"/>
    <s v="Benefits-FICA/Medicare"/>
    <s v="SJMC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14"/>
    <s v="Salaries-Management-Productive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32"/>
    <s v="Salaries-Other Pat Care Providers-Productive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32"/>
    <s v="Salaries-Other Pat Care Providers-OT"/>
    <s v="SC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32"/>
    <s v="Salaries-Other Pat Care Providers-Other"/>
    <s v="SC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34"/>
    <s v="Salaries-Tech/Professional-Productive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34"/>
    <s v="Salaries-Tech/Professional-OT"/>
    <s v="SC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34"/>
    <s v="Salaries-Tech/Professional-Other"/>
    <s v="SC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54"/>
    <s v="Salaries-Management-Non-productive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54"/>
    <s v="Salaries-Management-NonProd-Other"/>
    <s v="SCH Lab Clearing"/>
    <x v="0"/>
    <n v="2000"/>
    <n v="0"/>
    <n v="0"/>
    <n v="0"/>
    <n v="0"/>
    <n v="0"/>
    <n v="0"/>
    <n v="-3749.58"/>
    <n v="3749.58"/>
    <n v="0"/>
    <n v="0"/>
    <n v="0"/>
    <n v="0"/>
    <n v="0"/>
    <n v="0"/>
  </r>
  <r>
    <x v="5"/>
    <x v="3"/>
    <x v="0"/>
    <s v="7761101"/>
    <n v="700072"/>
    <s v="Salaries-Other Pat Care Providers-Non-productive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72"/>
    <s v="Salaries-Other Pat Care Providers-NonProd-Other"/>
    <s v="SC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74"/>
    <s v="Salaries-Tech/Professional-Non-productive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74"/>
    <s v="Salaries-Tech/Professional-NonProd-Other"/>
    <s v="SC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1101"/>
    <n v="700084"/>
    <s v="Accrued PTO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1101"/>
    <n v="713010"/>
    <s v="Benefits-FICA/Medicare"/>
    <s v="SCH Lab Clearing"/>
    <x v="0"/>
    <m/>
    <n v="0"/>
    <n v="0"/>
    <n v="0"/>
    <n v="0"/>
    <n v="0"/>
    <n v="0"/>
    <n v="390.13"/>
    <n v="-390.13"/>
    <n v="0"/>
    <n v="0"/>
    <n v="0"/>
    <n v="0"/>
    <n v="0"/>
    <n v="0"/>
  </r>
  <r>
    <x v="6"/>
    <x v="3"/>
    <x v="0"/>
    <s v="7761101"/>
    <n v="713090"/>
    <s v="Benefits-Allocated Amounts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1101"/>
    <n v="713096"/>
    <s v="Employee Recognition"/>
    <s v="SCH Lab Clearing"/>
    <x v="0"/>
    <n v="1017"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7761101"/>
    <n v="721980"/>
    <s v="Supplies-Other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61101"/>
    <n v="749510"/>
    <s v="Miscellaneous Expenses"/>
    <s v="SC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61101"/>
    <n v="749510"/>
    <s v="RICE Rewards"/>
    <s v="SCH Lab Clearing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61101"/>
    <n v="749530"/>
    <s v="Mileage"/>
    <s v="SCH Lab Clearing"/>
    <x v="0"/>
    <n v="1001"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7761107"/>
    <n v="721835"/>
    <s v="Supplies-Forms"/>
    <s v="HHP PO Primary Care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1200"/>
    <n v="700022"/>
    <s v="Salaries-Physician-Productive"/>
    <s v="SF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1200"/>
    <n v="700022"/>
    <s v="Salaries-Physician-Other"/>
    <s v="SF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1200"/>
    <n v="700024"/>
    <s v="Salaries-Advanced Practice Clinician-Other"/>
    <s v="SF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61200"/>
    <n v="713010"/>
    <s v="Benefits-FICA/Medicare"/>
    <s v="SF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2101"/>
    <n v="700026"/>
    <s v="Salaries-RN-Productive"/>
    <s v="SFH Mobile MRI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2101"/>
    <n v="700026"/>
    <s v="Salaries-RN-Other"/>
    <s v="SFH Mobile MRI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2101"/>
    <n v="700032"/>
    <s v="Salaries-Other Pat Care Providers-Productive"/>
    <s v="SFH Mobile MRI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2101"/>
    <n v="713010"/>
    <s v="Benefits-FICA/Medicare"/>
    <s v="SFH Mobile MRI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18"/>
    <s v="Salaries-Supervisory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22"/>
    <s v="Salaries-Physician-Other"/>
    <s v="HOD Urgent Care PO Clearing"/>
    <x v="0"/>
    <n v="2000"/>
    <n v="0"/>
    <n v="0"/>
    <n v="0"/>
    <n v="5065.67"/>
    <n v="-2228.87"/>
    <n v="0"/>
    <n v="0"/>
    <n v="-2836.8"/>
    <n v="0"/>
    <n v="0"/>
    <n v="0"/>
    <n v="0"/>
    <n v="0"/>
    <n v="0"/>
  </r>
  <r>
    <x v="5"/>
    <x v="6"/>
    <x v="0"/>
    <s v="7762107"/>
    <n v="700026"/>
    <s v="Salaries-RN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26"/>
    <s v="Salaries-RN-OT"/>
    <s v="HOD Urgent Care PO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26"/>
    <s v="Salaries-RN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0"/>
    <s v="Salaries-LPN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0"/>
    <s v="Salaries-LPN-OT"/>
    <s v="HOD Urgent Care PO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0"/>
    <s v="Salaries-LPN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2"/>
    <s v="Salaries-Other Pat Care Providers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2"/>
    <s v="Salaries-Other Pat Care Providers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4"/>
    <s v="Salaries-Tech/Professional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4"/>
    <s v="Salaries-Tech/Professional-OT"/>
    <s v="HOD Urgent Care PO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4"/>
    <s v="Salaries-Tech/Professional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8"/>
    <s v="Salaries-Service/Support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8"/>
    <s v="Salaries-Service/Support-OT"/>
    <s v="HOD Urgent Care PO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38"/>
    <s v="Salaries-Service/Support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58"/>
    <s v="Salaries-Supervisory-Non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66"/>
    <s v="Salaries-RN-Non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66"/>
    <s v="Salaries-RN-NonProd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70"/>
    <s v="Salaries-LPN-Non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70"/>
    <s v="Salaries-LPN-NonProd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74"/>
    <s v="Salaries-Tech/Professional-Non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74"/>
    <s v="Salaries-Tech/Professional-NonProd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78"/>
    <s v="Salaries-Service/Support-Non-productive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78"/>
    <s v="Salaries-Service/Support-NonProd-Other"/>
    <s v="HOD Urgent Care P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2107"/>
    <n v="700084"/>
    <s v="Accrued PTO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2107"/>
    <n v="713010"/>
    <s v="Benefits-FICA/Medicare"/>
    <s v="HOD Urgent Care PO Clearing"/>
    <x v="0"/>
    <m/>
    <n v="0"/>
    <n v="0"/>
    <n v="0"/>
    <n v="71.78"/>
    <n v="-31.58"/>
    <n v="0"/>
    <n v="0"/>
    <n v="-40.200000000000003"/>
    <n v="0"/>
    <n v="0"/>
    <n v="0"/>
    <n v="0"/>
    <n v="0"/>
    <n v="0"/>
  </r>
  <r>
    <x v="6"/>
    <x v="6"/>
    <x v="0"/>
    <s v="7762107"/>
    <n v="713090"/>
    <s v="Benefits-Allocated Amounts"/>
    <s v="HOD Urgent Care P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2200"/>
    <n v="700022"/>
    <s v="Salaries-Physician-Productive"/>
    <s v="SC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2200"/>
    <n v="700022"/>
    <s v="Salaries-Physician-Other"/>
    <s v="SC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2200"/>
    <n v="700038"/>
    <s v="Salaries-Service/Support-Productive"/>
    <s v="SC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62200"/>
    <n v="713010"/>
    <s v="Benefits-FICA/Medicare"/>
    <s v="SC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3101"/>
    <n v="700026"/>
    <s v="Salaries-RN-Productive"/>
    <s v="SFH Women/Child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3101"/>
    <n v="700026"/>
    <s v="Salaries-RN-Other"/>
    <s v="SFH Women/Child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3101"/>
    <n v="700032"/>
    <s v="Salaries-Other Pat Care Providers-Productive"/>
    <s v="SFH Women/Child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3101"/>
    <n v="700032"/>
    <s v="Salaries-Other Pat Care Providers-Other"/>
    <s v="SFH Women/Child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3101"/>
    <n v="700034"/>
    <s v="Salaries-Tech/Professional-Productive"/>
    <s v="SFH Women/Child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3101"/>
    <n v="713010"/>
    <s v="Benefits-FICA/Medicare"/>
    <s v="SFH Women/Child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3101"/>
    <n v="713090"/>
    <s v="Benefits-Allocated Amounts"/>
    <s v="SFH Women/Child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63102"/>
    <n v="700026"/>
    <s v="Salaries-RN-Productive"/>
    <s v="SJMC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63102"/>
    <n v="713010"/>
    <s v="Benefits-FICA/Medicare"/>
    <s v="SJMC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63102"/>
    <n v="713090"/>
    <s v="Benefits-Allocated Amounts"/>
    <s v="SJMC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3107"/>
    <n v="700026"/>
    <s v="Salaries-RN-Productive"/>
    <s v="FMG Med Onc Brem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3107"/>
    <n v="700026"/>
    <s v="Salaries-RN-Other"/>
    <s v="FMG Med Onc Brem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3107"/>
    <n v="713010"/>
    <s v="Benefits-FICA/Medicare"/>
    <s v="FMG Med Onc Brem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3107"/>
    <n v="713090"/>
    <s v="Benefits-Allocated Amounts"/>
    <s v="FMG Med Onc Brem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3200"/>
    <n v="700022"/>
    <s v="Salaries-Physician-Other"/>
    <s v="SA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3200"/>
    <n v="700024"/>
    <s v="Salaries-Advanced Practice Clinician-Other"/>
    <s v="SA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10"/>
    <x v="1"/>
    <x v="0"/>
    <s v="7763200"/>
    <n v="710060"/>
    <s v="Contract Labor-Other"/>
    <s v="SA Call Time Clearing"/>
    <x v="0"/>
    <m/>
    <n v="0"/>
    <n v="0"/>
    <n v="0"/>
    <n v="0"/>
    <n v="0"/>
    <n v="0"/>
    <n v="0"/>
    <n v="0"/>
    <n v="0"/>
    <n v="22560"/>
    <n v="0"/>
    <n v="-22560"/>
    <n v="0"/>
    <n v="22560"/>
  </r>
  <r>
    <x v="6"/>
    <x v="1"/>
    <x v="0"/>
    <s v="7763200"/>
    <n v="713010"/>
    <s v="Benefits-FICA/Medicare"/>
    <s v="SA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63200"/>
    <n v="749510"/>
    <s v="Miscellaneous Expenses"/>
    <s v="SA Call Time Clearing"/>
    <x v="0"/>
    <m/>
    <n v="0"/>
    <n v="0"/>
    <n v="0"/>
    <n v="0"/>
    <n v="0"/>
    <n v="0"/>
    <n v="0"/>
    <n v="0"/>
    <n v="0"/>
    <n v="2029.44"/>
    <n v="-1772.74"/>
    <n v="-256.7"/>
    <n v="0"/>
    <n v="-1516.04"/>
  </r>
  <r>
    <x v="5"/>
    <x v="4"/>
    <x v="0"/>
    <s v="7764103"/>
    <n v="700032"/>
    <s v="Salaries-Other Pat Care Providers-Productive"/>
    <s v="SF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7764103"/>
    <n v="700032"/>
    <s v="Salaries-Other Pat Care Providers-Other"/>
    <s v="SFH P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64103"/>
    <n v="713010"/>
    <s v="Benefits-FICA/Medicare"/>
    <s v="SFH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64103"/>
    <n v="713090"/>
    <s v="Benefits-Allocated Amounts"/>
    <s v="SF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4107"/>
    <n v="700026"/>
    <s v="Salaries-RN-Productive"/>
    <s v="FMG Med Onc Poulsb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4107"/>
    <n v="700026"/>
    <s v="Salaries-RN-Other"/>
    <s v="FMG Med Onc Poulsbo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4107"/>
    <n v="713010"/>
    <s v="Benefits-FICA/Medicare"/>
    <s v="FMG Med Onc Poulsbo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4107"/>
    <n v="713090"/>
    <s v="Benefits-Allocated Amounts"/>
    <s v="FMG Med Onc Poulsbo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4200"/>
    <n v="700022"/>
    <s v="Salaries-Physician-Productive"/>
    <s v="SE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4200"/>
    <n v="700022"/>
    <s v="Salaries-Physician-Other"/>
    <s v="SE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4200"/>
    <n v="700024"/>
    <s v="Salaries-Advanced Practice Clinician-Other"/>
    <s v="SE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64200"/>
    <n v="713010"/>
    <s v="Benefits-FICA/Medicare"/>
    <s v="SE Call Time Clearing"/>
    <x v="0"/>
    <m/>
    <n v="0"/>
    <n v="0"/>
    <n v="0"/>
    <n v="0"/>
    <n v="0"/>
    <n v="0"/>
    <n v="4537.37"/>
    <n v="-4537.37"/>
    <n v="0"/>
    <n v="0"/>
    <n v="0"/>
    <n v="0"/>
    <n v="0"/>
    <n v="0"/>
  </r>
  <r>
    <x v="6"/>
    <x v="1"/>
    <x v="0"/>
    <s v="7764200"/>
    <n v="713090"/>
    <s v="Benefits-Allocated Amounts"/>
    <s v="SE Call Time Clearing"/>
    <x v="0"/>
    <m/>
    <n v="0"/>
    <n v="0"/>
    <n v="0"/>
    <n v="0"/>
    <n v="0"/>
    <n v="0"/>
    <n v="0"/>
    <n v="0"/>
    <n v="0"/>
    <n v="908.47"/>
    <n v="-156.07"/>
    <n v="71.680000000000007"/>
    <n v="824.08000000000015"/>
    <n v="-227.75"/>
  </r>
  <r>
    <x v="5"/>
    <x v="3"/>
    <x v="0"/>
    <s v="7765101"/>
    <n v="700032"/>
    <s v="Salaries-Other Pat Care Providers-Productive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5101"/>
    <n v="700032"/>
    <s v="Salaries-Other Pat Care Providers-Other"/>
    <s v="SCH P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5101"/>
    <n v="713010"/>
    <s v="Benefits-FICA/Medicare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5101"/>
    <n v="713090"/>
    <s v="Benefits-Allocated Amounts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65102"/>
    <n v="700032"/>
    <s v="Salaries-Other Pat Care Providers-Productive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65102"/>
    <n v="700032"/>
    <s v="Salaries-Other Pat Care Providers-OT"/>
    <s v="SCH PT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65102"/>
    <n v="700032"/>
    <s v="Salaries-Other Pat Care Providers-Other"/>
    <s v="SCH P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65102"/>
    <n v="713010"/>
    <s v="Benefits-FICA/Medicare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65102"/>
    <n v="713090"/>
    <s v="Benefits-Allocated Amounts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65104"/>
    <n v="700032"/>
    <s v="Salaries-Other Pat Care Providers-Productive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65104"/>
    <n v="700032"/>
    <s v="Salaries-Other Pat Care Providers-Other"/>
    <s v="SCH P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65104"/>
    <n v="713010"/>
    <s v="Benefits-FICA/Medicare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65104"/>
    <n v="713090"/>
    <s v="Benefits-Allocated Amounts"/>
    <s v="SCH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5107"/>
    <n v="700030"/>
    <s v="Salaries-LPN-Productive"/>
    <s v="Internal Med Bainbridge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5107"/>
    <n v="713010"/>
    <s v="Benefits-FICA/Medicare"/>
    <s v="Internal Med Bainbridge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5107"/>
    <n v="713090"/>
    <s v="Benefits-Allocated Amounts"/>
    <s v="Internal Med Bainbridge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5200"/>
    <n v="700022"/>
    <s v="Salaries-Physician-Productive"/>
    <s v="HL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5200"/>
    <n v="700022"/>
    <s v="Salaries-Physician-Other"/>
    <s v="HL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5200"/>
    <n v="700024"/>
    <s v="Salaries-Advanced Practice Clinician-Productive"/>
    <s v="HL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5200"/>
    <n v="700024"/>
    <s v="Salaries-Advanced Practice Clinician-Other"/>
    <s v="HL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65200"/>
    <n v="713010"/>
    <s v="Benefits-FICA/Medicare"/>
    <s v="HL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26"/>
    <s v="Salaries-RN-Productive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26"/>
    <s v="Salaries-RN-OT"/>
    <s v="Belfair Primary Care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32"/>
    <s v="Salaries-Other Pat Care Providers-Productive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32"/>
    <s v="Salaries-Other Pat Care Providers-OT"/>
    <s v="Belfair Primary Care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32"/>
    <s v="Salaries-Other Pat Care Providers-Other"/>
    <s v="Belfair Primary Car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38"/>
    <s v="Salaries-Service/Support-Productive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38"/>
    <s v="Salaries-Service/Support-OT"/>
    <s v="Belfair Primary Care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38"/>
    <s v="Salaries-Service/Support-Other"/>
    <s v="Belfair Primary Car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66"/>
    <s v="Salaries-RN-Non-productive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66"/>
    <s v="Salaries-RN-NonProd-Other"/>
    <s v="Belfair Primary Car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72"/>
    <s v="Salaries-Other Pat Care Providers-Non-productive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72"/>
    <s v="Salaries-Other Pat Care Providers-NonProd-Other"/>
    <s v="Belfair Primary Car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78"/>
    <s v="Salaries-Service/Support-Non-productive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78"/>
    <s v="Salaries-Service/Support-NonProd-Other"/>
    <s v="Belfair Primary Car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6107"/>
    <n v="700084"/>
    <s v="Accrued PTO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6107"/>
    <n v="713010"/>
    <s v="Benefits-FICA/Medicare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6107"/>
    <n v="713090"/>
    <s v="Benefits-Allocated Amounts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7766107"/>
    <n v="749510"/>
    <s v="Miscellaneous Expenses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7766107"/>
    <n v="749530"/>
    <s v="Travel"/>
    <s v="Belfair Primary Care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7766107"/>
    <n v="749530"/>
    <s v="Mileage"/>
    <s v="Belfair Primary Care Clearing"/>
    <x v="0"/>
    <n v="1001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66200"/>
    <n v="700022"/>
    <s v="Salaries-Physician-Other"/>
    <s v="HA Call Time Clearing"/>
    <x v="0"/>
    <n v="2000"/>
    <n v="0"/>
    <n v="0"/>
    <n v="0"/>
    <n v="0"/>
    <n v="0"/>
    <n v="-0.36"/>
    <n v="0.36"/>
    <n v="0"/>
    <n v="0"/>
    <n v="0"/>
    <n v="0"/>
    <n v="0"/>
    <n v="0"/>
    <n v="0"/>
  </r>
  <r>
    <x v="5"/>
    <x v="1"/>
    <x v="0"/>
    <s v="7766200"/>
    <n v="700024"/>
    <s v="Salaries-Advanced Practice Clinician-Other"/>
    <s v="HA Call Time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66200"/>
    <n v="713010"/>
    <s v="Benefits-FICA/Medicare"/>
    <s v="HA Call Tim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7101"/>
    <n v="700032"/>
    <s v="Salaries-Other Pat Care Providers-Productive"/>
    <s v="SCH Mobile MRI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7101"/>
    <n v="713010"/>
    <s v="Benefits-FICA/Medicare"/>
    <s v="SCH Mobile MRI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26"/>
    <s v="Salaries-RN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26"/>
    <s v="Salaries-RN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0"/>
    <s v="Salaries-LPN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0"/>
    <s v="Salaries-LPN-OT"/>
    <s v="HOD UC Belfair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0"/>
    <s v="Salaries-LPN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2"/>
    <s v="Salaries-Other Pat Care Providers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2"/>
    <s v="Salaries-Other Pat Care Providers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4"/>
    <s v="Salaries-Tech/Professional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4"/>
    <s v="Salaries-Tech/Professional-OT"/>
    <s v="HOD UC Belfair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4"/>
    <s v="Salaries-Tech/Professional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8"/>
    <s v="Salaries-Service/Support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8"/>
    <s v="Salaries-Service/Support-OT"/>
    <s v="HOD UC Belfair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38"/>
    <s v="Salaries-Service/Support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70"/>
    <s v="Salaries-LPN-Non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70"/>
    <s v="Salaries-LPN-NonProd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74"/>
    <s v="Salaries-Tech/Professional-Non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74"/>
    <s v="Salaries-Tech/Professional-NonProd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78"/>
    <s v="Salaries-Service/Support-Non-productiv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78"/>
    <s v="Salaries-Service/Support-NonProd-Other"/>
    <s v="HOD UC Belfai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7107"/>
    <n v="700084"/>
    <s v="Accrued PTO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7107"/>
    <n v="713010"/>
    <s v="Benefits-FICA/Medicare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7107"/>
    <n v="713090"/>
    <s v="Benefits-Allocated Amounts"/>
    <s v="HOD UC Belfai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8101"/>
    <n v="700032"/>
    <s v="Salaries-Other Pat Care Providers-Productive"/>
    <s v="SFH O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8101"/>
    <n v="700032"/>
    <s v="Salaries-Other Pat Care Providers-Other"/>
    <s v="SFH O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8101"/>
    <n v="713010"/>
    <s v="Benefits-FICA/Medicare"/>
    <s v="SFH O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8101"/>
    <n v="713090"/>
    <s v="Benefits-Allocated Amounts"/>
    <s v="SFH O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26"/>
    <s v="Salaries-RN-Productive"/>
    <s v="SAH GI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26"/>
    <s v="Salaries-RN-OT"/>
    <s v="SAH GI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26"/>
    <s v="Salaries-RN-Other"/>
    <s v="SAH GI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30"/>
    <s v="Salaries-LPN-Productive"/>
    <s v="SAH GI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30"/>
    <s v="Salaries-LPN-OT"/>
    <s v="SAH GI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30"/>
    <s v="Salaries-LPN-Other"/>
    <s v="SAH GI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32"/>
    <s v="Salaries-Other Pat Care Providers-Productive"/>
    <s v="SAH GI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32"/>
    <s v="Salaries-Other Pat Care Providers-OT"/>
    <s v="SAH GI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32"/>
    <s v="Salaries-Other Pat Care Providers-Other"/>
    <s v="SAH GI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66"/>
    <s v="Salaries-RN-NonProd-Other"/>
    <s v="SAH GI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69101"/>
    <n v="700072"/>
    <s v="Salaries-Other Pat Care Providers-NonProd-Other"/>
    <s v="SAH GI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9101"/>
    <n v="713010"/>
    <s v="Benefits-FICA/Medicare"/>
    <s v="SAH GI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69101"/>
    <n v="713090"/>
    <s v="Benefits-Allocated Amounts"/>
    <s v="SAH GI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69102"/>
    <n v="700032"/>
    <s v="Salaries-Other Pat Care Providers-Productive"/>
    <s v="SF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69102"/>
    <n v="713010"/>
    <s v="Benefits-FICA/Medicare"/>
    <s v="SF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69104"/>
    <n v="700032"/>
    <s v="Salaries-Other Pat Care Providers-Productive"/>
    <s v="SA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69104"/>
    <n v="713010"/>
    <s v="Benefits-FICA/Medicare"/>
    <s v="SA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69104"/>
    <n v="713090"/>
    <s v="Benefits-Allocated Amounts"/>
    <s v="SA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9107"/>
    <n v="700032"/>
    <s v="Salaries-Other Pat Care Providers-Productive"/>
    <s v="HA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69107"/>
    <n v="700032"/>
    <s v="Salaries-Other Pat Care Providers-Other"/>
    <s v="HA FSS Ergonomic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9107"/>
    <n v="713010"/>
    <s v="Benefits-FICA/Medicare"/>
    <s v="HA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6"/>
    <x v="0"/>
    <s v="7769107"/>
    <n v="713090"/>
    <s v="Benefits-Allocated Amounts"/>
    <s v="HA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6"/>
    <x v="0"/>
    <s v="7769107"/>
    <n v="749530"/>
    <s v="Mileage"/>
    <s v="HA FSS Ergonomic Clearing"/>
    <x v="0"/>
    <n v="1001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0101"/>
    <n v="700032"/>
    <s v="Salaries-Other Pat Care Providers-Productive"/>
    <s v="SFH Speech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0101"/>
    <n v="700032"/>
    <s v="Salaries-Other Pat Care Providers-OT"/>
    <s v="SFH Speech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0101"/>
    <n v="700032"/>
    <s v="Salaries-Other Pat Care Providers-Other"/>
    <s v="SFH Speech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0101"/>
    <n v="713010"/>
    <s v="Benefits-FICA/Medicare"/>
    <s v="SFH Speech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0101"/>
    <n v="713090"/>
    <s v="Benefits-Allocated Amounts"/>
    <s v="SFH Speech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7770103"/>
    <n v="700032"/>
    <s v="Salaries-Other Pat Care Providers-Productive"/>
    <s v="SC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70103"/>
    <n v="713010"/>
    <s v="Benefits-FICA/Medicare"/>
    <s v="SC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70103"/>
    <n v="713090"/>
    <s v="Benefits-Allocated Amounts"/>
    <s v="SC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4"/>
    <x v="0"/>
    <s v="7770103"/>
    <n v="749530"/>
    <s v="Mileage"/>
    <s v="SC FSS Ergonomic Clearing"/>
    <x v="0"/>
    <n v="1001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1101"/>
    <n v="700032"/>
    <s v="Salaries-Other Pat Care Providers-Productive"/>
    <s v="SCH Speech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1101"/>
    <n v="700032"/>
    <s v="Salaries-Other Pat Care Providers-OT"/>
    <s v="SCH Speech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1101"/>
    <n v="700032"/>
    <s v="Salaries-Other Pat Care Providers-Other"/>
    <s v="SCH Speech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1101"/>
    <n v="713010"/>
    <s v="Benefits-FICA/Medicare"/>
    <s v="SCH Speech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1101"/>
    <n v="713090"/>
    <s v="Benefits-Allocated Amounts"/>
    <s v="SCH Speech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2101"/>
    <n v="700026"/>
    <s v="Salaries-RN-Productive"/>
    <s v="SF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2101"/>
    <n v="713010"/>
    <s v="Benefits-FICA/Medicare"/>
    <s v="SF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2101"/>
    <n v="713090"/>
    <s v="Benefits-Allocated Amounts"/>
    <s v="SF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3101"/>
    <n v="700026"/>
    <s v="Salaries-RN-Productive"/>
    <s v="SC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3101"/>
    <n v="713010"/>
    <s v="Benefits-FICA/Medicare"/>
    <s v="SC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3101"/>
    <n v="713090"/>
    <s v="Benefits-Allocated Amounts"/>
    <s v="SC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5101"/>
    <n v="700032"/>
    <s v="Salaries-Other Pat Care Providers-Productive"/>
    <s v="SCH O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5101"/>
    <n v="700032"/>
    <s v="Salaries-Other Pat Care Providers-OT"/>
    <s v="SCH OT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5101"/>
    <n v="700032"/>
    <s v="Salaries-Other Pat Care Providers-Other"/>
    <s v="SCH O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5101"/>
    <n v="700072"/>
    <s v="Salaries-Other Pat Care Providers-NonProd-Other"/>
    <s v="SCH O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5101"/>
    <n v="713010"/>
    <s v="Benefits-FICA/Medicare"/>
    <s v="SCH O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5101"/>
    <n v="713090"/>
    <s v="Benefits-Allocated Amounts"/>
    <s v="SCH O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6101"/>
    <n v="700018"/>
    <s v="Salaries-Supervisory-Productive"/>
    <s v="SCH Retail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6101"/>
    <n v="713010"/>
    <s v="Benefits-FICA/Medicare"/>
    <s v="SCH Retail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6101"/>
    <n v="713090"/>
    <s v="Benefits-Allocated Amounts"/>
    <s v="SCH Retail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76104"/>
    <n v="700032"/>
    <s v="Salaries-Other Pat Care Providers-Productive"/>
    <s v="SJ O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76104"/>
    <n v="713010"/>
    <s v="Benefits-FICA/Medicare"/>
    <s v="SJ O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76104"/>
    <n v="713090"/>
    <s v="Benefits-Allocated Amounts"/>
    <s v="SJ O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77102"/>
    <n v="700032"/>
    <s v="Salaries-Other Pat Care Providers-Productive"/>
    <s v="SJMC Port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77102"/>
    <n v="713010"/>
    <s v="Benefits-FICA/Medicare"/>
    <s v="SJMC Port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77102"/>
    <n v="713090"/>
    <s v="Benefits-Allocated Amounts"/>
    <s v="SJMC Port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14"/>
    <s v="Salaries-Management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18"/>
    <s v="Salaries-Supervisory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32"/>
    <s v="Salaries-Other Pat Care Providers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32"/>
    <s v="Salaries-Other Pat Care Providers-OT"/>
    <s v="ER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32"/>
    <s v="Salaries-Other Pat Care Providers-Other"/>
    <s v="ER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34"/>
    <s v="Salaries-Tech/Professional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34"/>
    <s v="Salaries-Tech/Professional-OT"/>
    <s v="ERH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34"/>
    <s v="Salaries-Tech/Professional-Other"/>
    <s v="ER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54"/>
    <s v="Salaries-Management-Non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54"/>
    <s v="Salaries-Management-NonProd-Other"/>
    <s v="ERH Lab Clearing"/>
    <x v="0"/>
    <n v="2000"/>
    <n v="0"/>
    <n v="0"/>
    <n v="0"/>
    <n v="0"/>
    <n v="0"/>
    <n v="0"/>
    <n v="-352.6"/>
    <n v="352.6"/>
    <n v="0"/>
    <n v="0"/>
    <n v="0"/>
    <n v="0"/>
    <n v="0"/>
    <n v="0"/>
  </r>
  <r>
    <x v="5"/>
    <x v="3"/>
    <x v="0"/>
    <s v="7778101"/>
    <n v="700058"/>
    <s v="Salaries-Supervisory-Non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72"/>
    <s v="Salaries-Other Pat Care Providers-Non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72"/>
    <s v="Salaries-Other Pat Care Providers-NonProd-Other"/>
    <s v="ER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74"/>
    <s v="Salaries-Tech/Professional-Non-productive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74"/>
    <s v="Salaries-Tech/Professional-NonProd-Other"/>
    <s v="ERH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78101"/>
    <n v="700084"/>
    <s v="Accrued PTO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8101"/>
    <n v="713010"/>
    <s v="Benefits-FICA/Medicare"/>
    <s v="ERH Lab Clearing"/>
    <x v="0"/>
    <m/>
    <n v="0"/>
    <n v="0"/>
    <n v="0"/>
    <n v="0"/>
    <n v="0"/>
    <n v="0"/>
    <n v="26.97"/>
    <n v="-26.97"/>
    <n v="0"/>
    <n v="0"/>
    <n v="0"/>
    <n v="0"/>
    <n v="0"/>
    <n v="0"/>
  </r>
  <r>
    <x v="6"/>
    <x v="3"/>
    <x v="0"/>
    <s v="7778101"/>
    <n v="713090"/>
    <s v="Benefits-Allocated Amounts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78101"/>
    <n v="713096"/>
    <s v="Employee Recognition"/>
    <s v="ERH Lab Clearing"/>
    <x v="0"/>
    <n v="1017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78101"/>
    <n v="749510"/>
    <s v="Miscellaneous Expenses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78101"/>
    <n v="749510"/>
    <s v="RICE Rewards"/>
    <s v="ERH Lab Clearing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78101"/>
    <n v="749530"/>
    <s v="Travel"/>
    <s v="ERH Lab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78101"/>
    <n v="749530"/>
    <s v="Mileage"/>
    <s v="ERH Lab Clearing"/>
    <x v="0"/>
    <n v="1001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78200"/>
    <n v="700020"/>
    <s v="Salaries-Physician Admin-Productive"/>
    <s v="Medical Directo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78200"/>
    <n v="700020"/>
    <s v="Salaries-Physician Admin-Other"/>
    <s v="Medical Director Clearing"/>
    <x v="0"/>
    <n v="2000"/>
    <n v="0"/>
    <n v="-0.02"/>
    <n v="0.02"/>
    <n v="0"/>
    <n v="0"/>
    <n v="0"/>
    <n v="0"/>
    <n v="0"/>
    <n v="0"/>
    <n v="0"/>
    <n v="0"/>
    <n v="0"/>
    <n v="0"/>
    <n v="0"/>
  </r>
  <r>
    <x v="5"/>
    <x v="1"/>
    <x v="0"/>
    <s v="7778200"/>
    <n v="700022"/>
    <s v="Salaries-Physician-Productive"/>
    <s v="Medical Directo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78200"/>
    <n v="700024"/>
    <s v="Salaries-Advanced Practice Clinician-Productive"/>
    <s v="Medical Director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78200"/>
    <n v="713010"/>
    <s v="Benefits-FICA/Medicare"/>
    <s v="Medical Director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78200"/>
    <n v="713090"/>
    <s v="Benefits-Allocated Amounts"/>
    <s v="Medical Director Clearing"/>
    <x v="0"/>
    <m/>
    <n v="-131.94"/>
    <n v="5.7"/>
    <n v="-2.09"/>
    <n v="-45.62"/>
    <n v="-44.91"/>
    <n v="-440.47"/>
    <n v="344.84"/>
    <n v="314.49"/>
    <n v="-203.23"/>
    <n v="203.23"/>
    <n v="0"/>
    <n v="0"/>
    <n v="-5.6843418860808015E-14"/>
    <n v="0"/>
  </r>
  <r>
    <x v="5"/>
    <x v="0"/>
    <x v="0"/>
    <s v="7779102"/>
    <n v="700018"/>
    <s v="Salaries-Supervisory-Productive"/>
    <s v="SJMC MOB RX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79102"/>
    <n v="713010"/>
    <s v="Benefits-FICA/Medicare"/>
    <s v="SJMC MOB RX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79102"/>
    <n v="713090"/>
    <s v="Benefits-Allocated Amounts"/>
    <s v="SJMC MOB RX Clearing"/>
    <x v="0"/>
    <m/>
    <n v="0"/>
    <n v="0"/>
    <n v="0"/>
    <n v="0"/>
    <n v="0"/>
    <n v="0"/>
    <n v="0"/>
    <n v="0"/>
    <n v="0"/>
    <n v="0"/>
    <n v="0"/>
    <n v="0"/>
    <n v="0"/>
    <n v="0"/>
  </r>
  <r>
    <x v="14"/>
    <x v="1"/>
    <x v="0"/>
    <s v="7779200"/>
    <n v="600050"/>
    <s v="Miscellaneous Revenue"/>
    <s v="PB Coding Clearing"/>
    <x v="0"/>
    <m/>
    <n v="-911.68"/>
    <n v="-9120.6299999999992"/>
    <n v="-1890.77"/>
    <n v="-1241.26"/>
    <n v="-1482.47"/>
    <n v="-1177.6300000000001"/>
    <n v="4882.57"/>
    <n v="5104.1099999999997"/>
    <n v="-76512.740000000005"/>
    <n v="-4820.54"/>
    <n v="-1481.7"/>
    <n v="-0.01"/>
    <n v="-88652.749999999985"/>
    <n v="-1481.69"/>
  </r>
  <r>
    <x v="5"/>
    <x v="1"/>
    <x v="0"/>
    <s v="7779200"/>
    <n v="700034"/>
    <s v="Salaries-Tech/Professional-Productive"/>
    <s v="PB Coding Clearing"/>
    <x v="0"/>
    <m/>
    <n v="706.86"/>
    <n v="9185.75"/>
    <n v="6361.8"/>
    <n v="11255.3"/>
    <n v="11189.86"/>
    <n v="7564.41"/>
    <n v="8296.5"/>
    <n v="2806.88"/>
    <n v="4068.42"/>
    <n v="3922.8"/>
    <n v="-211.47"/>
    <n v="224.08"/>
    <n v="65371.189999999995"/>
    <n v="-435.55"/>
  </r>
  <r>
    <x v="5"/>
    <x v="1"/>
    <x v="0"/>
    <s v="7779200"/>
    <n v="700034"/>
    <s v="Salaries-Tech/Professional-Other"/>
    <s v="PB Coding Clearing"/>
    <x v="0"/>
    <n v="2000"/>
    <n v="0"/>
    <n v="0"/>
    <n v="0"/>
    <n v="25.25"/>
    <n v="0.5"/>
    <n v="10.95"/>
    <n v="23.7"/>
    <n v="-4.9000000000000004"/>
    <n v="0"/>
    <n v="0"/>
    <n v="0"/>
    <n v="0"/>
    <n v="55.500000000000007"/>
    <n v="0"/>
  </r>
  <r>
    <x v="5"/>
    <x v="1"/>
    <x v="0"/>
    <s v="7779200"/>
    <n v="700074"/>
    <s v="Salaries-Tech/Professional-Non-productive"/>
    <s v="PB Coding Clearing"/>
    <x v="0"/>
    <m/>
    <n v="0"/>
    <n v="0"/>
    <n v="2012.5"/>
    <n v="-481.73"/>
    <n v="-41.45"/>
    <n v="0"/>
    <n v="0"/>
    <n v="0"/>
    <n v="0"/>
    <n v="0"/>
    <n v="0"/>
    <n v="0"/>
    <n v="1489.32"/>
    <n v="0"/>
  </r>
  <r>
    <x v="6"/>
    <x v="1"/>
    <x v="0"/>
    <s v="7779200"/>
    <n v="713010"/>
    <s v="Benefits-FICA/Medicare"/>
    <s v="PB Coding Clearing"/>
    <x v="0"/>
    <m/>
    <n v="51.93"/>
    <n v="660.94"/>
    <n v="607.24"/>
    <n v="791.46"/>
    <n v="827.37"/>
    <n v="578.1"/>
    <n v="636.49"/>
    <n v="214.14"/>
    <n v="311.24"/>
    <n v="300.11"/>
    <n v="-16.18"/>
    <n v="17.14"/>
    <n v="4979.9799999999996"/>
    <n v="-33.32"/>
  </r>
  <r>
    <x v="6"/>
    <x v="1"/>
    <x v="0"/>
    <s v="7779200"/>
    <n v="713090"/>
    <s v="Benefits-Allocated Amounts"/>
    <s v="PB Coding Clearing"/>
    <x v="0"/>
    <m/>
    <n v="139.41999999999999"/>
    <n v="1787.09"/>
    <n v="2015.98"/>
    <n v="2218.67"/>
    <n v="2464.8200000000002"/>
    <n v="2066.1"/>
    <n v="2065.4299999999998"/>
    <n v="1093.6199999999999"/>
    <n v="1166.23"/>
    <n v="898.93"/>
    <n v="432.61"/>
    <n v="-362.15"/>
    <n v="15986.750000000002"/>
    <n v="794.76"/>
  </r>
  <r>
    <x v="5"/>
    <x v="4"/>
    <x v="0"/>
    <s v="7780103"/>
    <n v="700014"/>
    <s v="Salaries-Management-Productive"/>
    <s v="PT Services Hospice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7780103"/>
    <n v="700032"/>
    <s v="Salaries-Other Pat Care Providers-Productive"/>
    <s v="PT Services Hospice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80103"/>
    <n v="713010"/>
    <s v="Benefits-FICA/Medicare"/>
    <s v="PT Services Hospice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80103"/>
    <n v="713090"/>
    <s v="Benefits-Allocated Amounts"/>
    <s v="PT Services Hospice"/>
    <x v="0"/>
    <m/>
    <n v="0"/>
    <n v="0"/>
    <n v="0"/>
    <n v="0"/>
    <n v="0"/>
    <n v="0"/>
    <n v="0"/>
    <n v="0"/>
    <n v="0"/>
    <n v="0"/>
    <n v="0"/>
    <n v="0"/>
    <n v="0"/>
    <n v="0"/>
  </r>
  <r>
    <x v="0"/>
    <x v="4"/>
    <x v="0"/>
    <s v="7780103"/>
    <n v="749530"/>
    <s v="Mileage"/>
    <s v="PT Services Hospice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8"/>
    <x v="0"/>
    <s v="7780104"/>
    <n v="749530"/>
    <s v="Mileage"/>
    <s v="PT Services-Hospice"/>
    <x v="0"/>
    <n v="1001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1200"/>
    <n v="700020"/>
    <s v="Salaries-Physician Admin-Productive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1200"/>
    <n v="700022"/>
    <s v="Salaries-Physician-Productive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1200"/>
    <n v="700022"/>
    <s v="Salaries-Physician-Other"/>
    <s v="OP Hospice Provide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1200"/>
    <n v="700022"/>
    <s v="Salaries-Physician-Provider Incentive"/>
    <s v="OP Hospice Provider Clearing"/>
    <x v="0"/>
    <n v="4003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1200"/>
    <n v="700024"/>
    <s v="Salaries-Advanced Practice Clinician-Productive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1200"/>
    <n v="700054"/>
    <s v="Salaries-Management-NonProd-Other"/>
    <s v="OP Hospice Provider Clearing"/>
    <x v="0"/>
    <n v="2000"/>
    <n v="0"/>
    <n v="0"/>
    <n v="0"/>
    <n v="0"/>
    <n v="0"/>
    <n v="0"/>
    <n v="-216.97"/>
    <n v="216.97"/>
    <n v="0"/>
    <n v="0"/>
    <n v="0"/>
    <n v="0"/>
    <n v="0"/>
    <n v="0"/>
  </r>
  <r>
    <x v="5"/>
    <x v="1"/>
    <x v="0"/>
    <s v="7781200"/>
    <n v="700062"/>
    <s v="Salaries-Physician-Non-productive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1200"/>
    <n v="700064"/>
    <s v="Salaries-Advanced Practice Clinician-Non-Productive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81200"/>
    <n v="713010"/>
    <s v="Benefits-FICA/Medicare"/>
    <s v="OP Hospice Provider Clearing"/>
    <x v="0"/>
    <m/>
    <n v="0"/>
    <n v="0"/>
    <n v="0"/>
    <n v="0"/>
    <n v="0"/>
    <n v="0"/>
    <n v="16.600000000000001"/>
    <n v="-16.600000000000001"/>
    <n v="0"/>
    <n v="0"/>
    <n v="0"/>
    <n v="0"/>
    <n v="0"/>
    <n v="0"/>
  </r>
  <r>
    <x v="6"/>
    <x v="1"/>
    <x v="0"/>
    <s v="7781200"/>
    <n v="713090"/>
    <s v="Benefits-Allocated Amounts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781200"/>
    <n v="718040"/>
    <s v="Contract Svcs-Laboratory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781200"/>
    <n v="721980"/>
    <s v="Supplies-Other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0022"/>
    <s v="Education-Physician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0023"/>
    <s v="Education-Advanced Practice Clinician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8"/>
    <x v="1"/>
    <x v="0"/>
    <s v="7781200"/>
    <n v="741012"/>
    <s v="Physician Liab Insurance-CHI Program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3022"/>
    <s v="Dues-Physician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3042"/>
    <s v="Subscriptions-Physician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10"/>
    <s v="Miscellaneous Expenses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12"/>
    <s v="Licenses-Physician"/>
    <s v="OP Hospice Provide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13"/>
    <s v="Licenses-Advanced Practice Clinician"/>
    <s v="OP Hospice Provide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30"/>
    <s v="Travel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30"/>
    <s v="Mileage"/>
    <s v="OP Hospice Provider Clearing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32"/>
    <s v="Travel-Physician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32"/>
    <s v="Business Meals-Physician"/>
    <s v="OP Hospice Provider Clearing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1200"/>
    <n v="749532"/>
    <s v="Vehicle Expense-Physician"/>
    <s v="OP Hospice Provider Clearing"/>
    <x v="0"/>
    <n v="2001"/>
    <n v="0"/>
    <n v="0"/>
    <n v="0"/>
    <n v="0"/>
    <n v="0"/>
    <n v="0"/>
    <n v="0"/>
    <n v="0"/>
    <n v="0"/>
    <n v="0"/>
    <n v="0"/>
    <n v="0"/>
    <n v="0"/>
    <n v="0"/>
  </r>
  <r>
    <x v="9"/>
    <x v="1"/>
    <x v="0"/>
    <s v="7781200"/>
    <n v="800015"/>
    <s v="Interest Income-Ext to CHI"/>
    <s v="OP Hospice Provider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2101"/>
    <n v="700026"/>
    <s v="Salaries-RN-Productive"/>
    <s v="SA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2101"/>
    <n v="713010"/>
    <s v="Benefits-FICA/Medicare"/>
    <s v="SA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2101"/>
    <n v="713090"/>
    <s v="Benefits-Allocated Amounts"/>
    <s v="SA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26"/>
    <s v="Salaries-RN-Productive"/>
    <s v="SF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26"/>
    <s v="Salaries-RN-OT"/>
    <s v="SFH GI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26"/>
    <s v="Salaries-RN-Other"/>
    <s v="SF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30"/>
    <s v="Salaries-LPN-Productive"/>
    <s v="SF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30"/>
    <s v="Salaries-LPN-OT"/>
    <s v="SFH GI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32"/>
    <s v="Salaries-Other Pat Care Providers-Productive"/>
    <s v="SF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32"/>
    <s v="Salaries-Other Pat Care Providers-OT"/>
    <s v="SFH GI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32"/>
    <s v="Salaries-Other Pat Care Providers-Other"/>
    <s v="SF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66"/>
    <s v="Salaries-RN-NonProd-Other"/>
    <s v="SF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4101"/>
    <n v="700072"/>
    <s v="Salaries-Other Pat Care Providers-NonProd-Other"/>
    <s v="SF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4101"/>
    <n v="713010"/>
    <s v="Benefits-FICA/Medicare"/>
    <s v="SFH GI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4101"/>
    <n v="713090"/>
    <s v="Benefits-Allocated Amounts"/>
    <s v="SF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4200"/>
    <n v="700022"/>
    <s v="Salaries-Physician-Productive"/>
    <s v="Virtual Urgent Car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84200"/>
    <n v="713010"/>
    <s v="Benefits-FICA/Medicare"/>
    <s v="Virtual Urgent Care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84200"/>
    <n v="713090"/>
    <s v="Benefits-Allocated Amounts"/>
    <s v="Virtual Urgent Care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5101"/>
    <n v="700018"/>
    <s v="Salaries-Supervisory-Productive"/>
    <s v="SF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5101"/>
    <n v="700032"/>
    <s v="Salaries-Other Pat Care Providers-Productive"/>
    <s v="SF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5101"/>
    <n v="700032"/>
    <s v="Salaries-Other Pat Care Providers-OT"/>
    <s v="SFH Coumadin Clinic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5101"/>
    <n v="700032"/>
    <s v="Salaries-Other Pat Care Providers-Other"/>
    <s v="SFH Coumadin Clinic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5101"/>
    <n v="700038"/>
    <s v="Salaries-Service/Support-Productive"/>
    <s v="SF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5101"/>
    <n v="713010"/>
    <s v="Benefits-FICA/Medicare"/>
    <s v="SF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5101"/>
    <n v="713090"/>
    <s v="Benefits-Allocated Amounts"/>
    <s v="SF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6101"/>
    <n v="700018"/>
    <s v="Salaries-Supervisory-Productive"/>
    <s v="SC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6101"/>
    <n v="700032"/>
    <s v="Salaries-Other Pat Care Providers-Productive"/>
    <s v="SC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6101"/>
    <n v="700032"/>
    <s v="Salaries-Other Pat Care Providers-OT"/>
    <s v="SCH Coumadin Clinic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6101"/>
    <n v="700032"/>
    <s v="Salaries-Other Pat Care Providers-Other"/>
    <s v="SCH Coumadin Clinic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6101"/>
    <n v="700038"/>
    <s v="Salaries-Service/Support-Productive"/>
    <s v="SC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6101"/>
    <n v="713010"/>
    <s v="Benefits-FICA/Medicare"/>
    <s v="SC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6101"/>
    <n v="713090"/>
    <s v="Benefits-Allocated Amounts"/>
    <s v="SCH Coumadin Clin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6200"/>
    <n v="700024"/>
    <s v="Salaries-Advanced Practice Clinician-Productive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6200"/>
    <n v="700024"/>
    <s v="Salaries-Advanced Practice Clinician-Other"/>
    <s v="Palliative Care Outreach Clea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86200"/>
    <n v="700054"/>
    <s v="Salaries-Management-NonProd-Other"/>
    <s v="Palliative Care Outreach Clear"/>
    <x v="0"/>
    <n v="2000"/>
    <n v="0"/>
    <n v="0"/>
    <n v="0"/>
    <n v="0"/>
    <n v="0"/>
    <n v="0"/>
    <n v="-400"/>
    <n v="400"/>
    <n v="0"/>
    <n v="0"/>
    <n v="0"/>
    <n v="0"/>
    <n v="0"/>
    <n v="0"/>
  </r>
  <r>
    <x v="5"/>
    <x v="1"/>
    <x v="0"/>
    <s v="7786200"/>
    <n v="700064"/>
    <s v="Salaries-Advanced Practice Clinician-Non-Productive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7786200"/>
    <n v="713010"/>
    <s v="Benefits-FICA/Medicare"/>
    <s v="Palliative Care Outreach Clear"/>
    <x v="0"/>
    <m/>
    <n v="0"/>
    <n v="0"/>
    <n v="0"/>
    <n v="0"/>
    <n v="0"/>
    <n v="0"/>
    <n v="30.6"/>
    <n v="-30.6"/>
    <n v="0"/>
    <n v="0"/>
    <n v="0"/>
    <n v="0"/>
    <n v="0"/>
    <n v="0"/>
  </r>
  <r>
    <x v="6"/>
    <x v="1"/>
    <x v="0"/>
    <s v="7786200"/>
    <n v="713090"/>
    <s v="Benefits-Allocated Amounts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0023"/>
    <s v="Education-Advanced Practice Clinician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3023"/>
    <s v="Dues-Advanced Practice Clinician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9510"/>
    <s v="Miscellaneous Expenses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9513"/>
    <s v="Licenses-Advanced Practice Clinician"/>
    <s v="Palliative Care Outreach Clear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9530"/>
    <s v="Travel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9530"/>
    <s v="Mileage"/>
    <s v="Palliative Care Outreach Clear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9533"/>
    <s v="Travel-Advanced Practice Clinician"/>
    <s v="Palliative Care Outreach Clear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7786200"/>
    <n v="749533"/>
    <s v="Vehicle Expense-Advanced Practice Clinician"/>
    <s v="Palliative Care Outreach Clear"/>
    <x v="0"/>
    <n v="2001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26"/>
    <s v="Salaries-RN-Productive"/>
    <s v="SC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26"/>
    <s v="Salaries-RN-OT"/>
    <s v="SCH GI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26"/>
    <s v="Salaries-RN-Other"/>
    <s v="SC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30"/>
    <s v="Salaries-LPN-Productive"/>
    <s v="SC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30"/>
    <s v="Salaries-LPN-OT"/>
    <s v="SCH GI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30"/>
    <s v="Salaries-LPN-Other"/>
    <s v="SC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32"/>
    <s v="Salaries-Other Pat Care Providers-Productive"/>
    <s v="SC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32"/>
    <s v="Salaries-Other Pat Care Providers-OT"/>
    <s v="SCH GI Lab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32"/>
    <s v="Salaries-Other Pat Care Providers-Other"/>
    <s v="SC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66"/>
    <s v="Salaries-RN-NonProd-Other"/>
    <s v="SC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70"/>
    <s v="Salaries-LPN-NonProd-Other"/>
    <s v="SC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87101"/>
    <n v="700072"/>
    <s v="Salaries-Other Pat Care Providers-NonProd-Other"/>
    <s v="SCH GI Lab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7101"/>
    <n v="713010"/>
    <s v="Benefits-FICA/Medicare"/>
    <s v="SCH GI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87101"/>
    <n v="713090"/>
    <s v="Benefits-Allocated Amounts"/>
    <s v="SCH GI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7787103"/>
    <n v="700026"/>
    <s v="Salaries-RN-Productive"/>
    <s v="Harrison W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87103"/>
    <n v="713010"/>
    <s v="Benefits-FICA/Medicare"/>
    <s v="Harrison W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87103"/>
    <n v="713090"/>
    <s v="Benefits-Allocated Amounts"/>
    <s v="Harrison WI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7788103"/>
    <n v="700032"/>
    <s v="Salaries-Other Pat Care Providers-Productive"/>
    <s v="SJMC UP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88103"/>
    <n v="713010"/>
    <s v="Benefits-FICA/Medicare"/>
    <s v="SJMC UP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88103"/>
    <n v="713090"/>
    <s v="Benefits-Allocated Amounts"/>
    <s v="SJMC UP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88104"/>
    <n v="700014"/>
    <s v="Salaries-Management-Productive"/>
    <s v="PT Service-University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88104"/>
    <n v="700032"/>
    <s v="Salaries-Other Pat Care Providers-Productive"/>
    <s v="PT Service-University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7788104"/>
    <n v="700032"/>
    <s v="Salaries-Other Pat Care Providers-OT"/>
    <s v="PT Service-University"/>
    <x v="0"/>
    <n v="1000"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88104"/>
    <n v="713010"/>
    <s v="Benefits-FICA/Medicare"/>
    <s v="PT Service-University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7788104"/>
    <n v="713090"/>
    <s v="Benefits-Allocated Amounts"/>
    <s v="PT Service-University"/>
    <x v="0"/>
    <m/>
    <n v="0"/>
    <n v="0"/>
    <n v="0"/>
    <n v="0"/>
    <n v="0"/>
    <n v="0"/>
    <n v="0"/>
    <n v="0"/>
    <n v="0"/>
    <n v="0"/>
    <n v="0"/>
    <n v="0"/>
    <n v="0"/>
    <n v="0"/>
  </r>
  <r>
    <x v="18"/>
    <x v="3"/>
    <x v="0"/>
    <s v="7790101"/>
    <n v="400010"/>
    <s v="Acute I/P Svcs Rev--Managed Care"/>
    <s v="Unassigned"/>
    <x v="0"/>
    <n v="1400"/>
    <n v="-229994.21"/>
    <n v="665534.77"/>
    <n v="447882.21"/>
    <n v="-531894.87"/>
    <n v="-388942.95"/>
    <n v="1640124.1"/>
    <n v="-1403746.15"/>
    <n v="-1578848.87"/>
    <n v="1534316.05"/>
    <n v="-91429.09"/>
    <n v="766666.67"/>
    <n v="94114.240000000005"/>
    <n v="923781.90000000014"/>
    <n v="672552.43"/>
  </r>
  <r>
    <x v="19"/>
    <x v="3"/>
    <x v="0"/>
    <s v="7790101"/>
    <n v="400020"/>
    <s v="O/P Care Svcs Rev--Medicare"/>
    <s v="Unassigned"/>
    <x v="0"/>
    <n v="1100"/>
    <n v="0"/>
    <n v="0"/>
    <n v="0"/>
    <n v="0"/>
    <n v="0"/>
    <n v="0"/>
    <n v="0"/>
    <n v="0"/>
    <n v="0"/>
    <n v="-1570.75"/>
    <n v="1570.75"/>
    <n v="0"/>
    <n v="0"/>
    <n v="1570.75"/>
  </r>
  <r>
    <x v="19"/>
    <x v="3"/>
    <x v="0"/>
    <s v="7790101"/>
    <n v="400020"/>
    <s v="O/P Care Svcs Rev--Medicaid"/>
    <s v="Unassigned"/>
    <x v="0"/>
    <n v="1200"/>
    <n v="0"/>
    <n v="0"/>
    <n v="0"/>
    <n v="0"/>
    <n v="0"/>
    <n v="-10082.84"/>
    <n v="10082.84"/>
    <n v="0"/>
    <n v="0"/>
    <n v="0"/>
    <n v="0"/>
    <n v="0"/>
    <n v="0"/>
    <n v="0"/>
  </r>
  <r>
    <x v="19"/>
    <x v="3"/>
    <x v="0"/>
    <s v="7790101"/>
    <n v="400020"/>
    <s v="O/P Care Svcs Rev--Comm Insurance"/>
    <s v="Unassigned"/>
    <x v="0"/>
    <n v="1300"/>
    <n v="0"/>
    <n v="0"/>
    <n v="0"/>
    <n v="0"/>
    <n v="0"/>
    <n v="0"/>
    <n v="0"/>
    <n v="0"/>
    <n v="0"/>
    <n v="-13221.3"/>
    <n v="13221.3"/>
    <n v="0"/>
    <n v="0"/>
    <n v="13221.3"/>
  </r>
  <r>
    <x v="19"/>
    <x v="3"/>
    <x v="0"/>
    <s v="7790101"/>
    <n v="400020"/>
    <s v="O/P Care Svcs Rev--Managed Care"/>
    <s v="Unassigned"/>
    <x v="0"/>
    <n v="1400"/>
    <n v="205065.71"/>
    <n v="-200714.66"/>
    <n v="-1122509.71"/>
    <n v="1309291.01"/>
    <n v="-228435.09"/>
    <n v="512618.07"/>
    <n v="-1157083.98"/>
    <n v="156986.57"/>
    <n v="7447.08"/>
    <n v="248624.7"/>
    <n v="-79207.990000000005"/>
    <n v="1542599.64"/>
    <n v="1194681.3500000001"/>
    <n v="-1621807.63"/>
  </r>
  <r>
    <x v="19"/>
    <x v="3"/>
    <x v="0"/>
    <s v="7790101"/>
    <n v="400020"/>
    <s v="O/P Care Svcs Rev--Other"/>
    <s v="Unassigned"/>
    <x v="0"/>
    <n v="1700"/>
    <n v="0"/>
    <n v="0"/>
    <n v="0"/>
    <n v="0"/>
    <n v="0"/>
    <n v="0"/>
    <n v="0"/>
    <n v="0"/>
    <n v="0"/>
    <n v="-8902.81"/>
    <n v="8902.81"/>
    <n v="0"/>
    <n v="0"/>
    <n v="8902.81"/>
  </r>
  <r>
    <x v="2"/>
    <x v="3"/>
    <x v="0"/>
    <s v="7790101"/>
    <n v="450020"/>
    <s v="Contr Allow--OP Care-Medicare"/>
    <s v="Unassigned"/>
    <x v="0"/>
    <n v="1100"/>
    <n v="0"/>
    <n v="0"/>
    <n v="0"/>
    <n v="0"/>
    <n v="-674.4"/>
    <n v="0"/>
    <n v="0"/>
    <n v="0"/>
    <n v="0"/>
    <n v="0"/>
    <n v="0"/>
    <n v="0"/>
    <n v="-674.4"/>
    <n v="0"/>
  </r>
  <r>
    <x v="14"/>
    <x v="3"/>
    <x v="0"/>
    <s v="7790101"/>
    <n v="600026"/>
    <s v="POB Rental"/>
    <s v="Unassigned"/>
    <x v="0"/>
    <n v="1001"/>
    <n v="-42262.77"/>
    <n v="-42262.77"/>
    <n v="-42262.77"/>
    <n v="-42262.77"/>
    <n v="-42143.48"/>
    <n v="-42262.77"/>
    <n v="-42262.77"/>
    <n v="-41904.9"/>
    <n v="-42262.77"/>
    <n v="45076.75"/>
    <n v="-43650"/>
    <n v="-38583.58"/>
    <n v="-417044.60000000003"/>
    <n v="-5066.4199999999983"/>
  </r>
  <r>
    <x v="14"/>
    <x v="3"/>
    <x v="0"/>
    <s v="7790101"/>
    <n v="600050"/>
    <s v="Miscellaneous Revenue"/>
    <s v="Unassigned"/>
    <x v="0"/>
    <m/>
    <n v="0"/>
    <n v="-2.48"/>
    <n v="0"/>
    <n v="0"/>
    <n v="0"/>
    <n v="0"/>
    <n v="0"/>
    <n v="0"/>
    <n v="0"/>
    <n v="0"/>
    <n v="0"/>
    <n v="0"/>
    <n v="-2.48"/>
    <n v="0"/>
  </r>
  <r>
    <x v="14"/>
    <x v="3"/>
    <x v="0"/>
    <s v="7790101"/>
    <n v="600058"/>
    <s v="Meaningful Use Revenue-Medicare"/>
    <s v="Unassigned"/>
    <x v="0"/>
    <m/>
    <n v="0"/>
    <n v="-15675.35"/>
    <n v="0"/>
    <n v="0"/>
    <n v="0"/>
    <n v="0"/>
    <n v="0"/>
    <n v="0"/>
    <n v="-106982.76"/>
    <n v="0"/>
    <n v="0"/>
    <n v="0"/>
    <n v="-122658.11"/>
    <n v="0"/>
  </r>
  <r>
    <x v="22"/>
    <x v="3"/>
    <x v="0"/>
    <s v="7790101"/>
    <n v="620001"/>
    <s v="Changes in Equity of Unconsolidated Orgs-Controlling Interes"/>
    <s v="Unassigned"/>
    <x v="0"/>
    <m/>
    <n v="-84282.11"/>
    <n v="-119361.64"/>
    <n v="-86140.51"/>
    <n v="-68474.41"/>
    <n v="-26960.38"/>
    <n v="-31704.47"/>
    <n v="-2747.59"/>
    <n v="-115983.48"/>
    <n v="2547.1"/>
    <n v="-63783.91"/>
    <n v="-158666.17000000001"/>
    <n v="-68962.509999999995"/>
    <n v="-824520.08000000019"/>
    <n v="-89703.660000000018"/>
  </r>
  <r>
    <x v="22"/>
    <x v="3"/>
    <x v="0"/>
    <s v="7790101"/>
    <n v="620501"/>
    <s v="Changes in Equity of Unconsolidated Orgs-Noncontrolling Inte"/>
    <s v="Unassigned"/>
    <x v="0"/>
    <m/>
    <n v="-48312.52"/>
    <n v="-55696.74"/>
    <n v="-34971.46"/>
    <n v="-27160.69"/>
    <n v="-4506.29"/>
    <n v="-11024.88"/>
    <n v="-23339.25"/>
    <n v="-53958.32"/>
    <n v="-31696.75"/>
    <n v="-50182.68"/>
    <n v="-88915.18"/>
    <n v="-36716.449999999997"/>
    <n v="-466481.21"/>
    <n v="-52198.729999999996"/>
  </r>
  <r>
    <x v="5"/>
    <x v="3"/>
    <x v="0"/>
    <s v="7790101"/>
    <n v="700054"/>
    <s v="Salaries-Management-NonProd-Other"/>
    <s v="Unassigned"/>
    <x v="0"/>
    <n v="2000"/>
    <n v="0"/>
    <n v="0"/>
    <n v="0"/>
    <n v="0"/>
    <n v="0"/>
    <n v="0"/>
    <n v="13245.06"/>
    <n v="-13245.06"/>
    <n v="0"/>
    <n v="0"/>
    <n v="0"/>
    <n v="0"/>
    <n v="0"/>
    <n v="0"/>
  </r>
  <r>
    <x v="5"/>
    <x v="3"/>
    <x v="0"/>
    <s v="7790101"/>
    <n v="700066"/>
    <s v="Salaries-RN-NonProd-Other"/>
    <s v="Unassigned"/>
    <x v="0"/>
    <n v="2000"/>
    <n v="0"/>
    <n v="0"/>
    <n v="0"/>
    <n v="0"/>
    <n v="0"/>
    <n v="0"/>
    <n v="0"/>
    <n v="-244.88"/>
    <n v="0"/>
    <n v="0"/>
    <n v="0"/>
    <n v="0"/>
    <n v="-244.88"/>
    <n v="0"/>
  </r>
  <r>
    <x v="5"/>
    <x v="3"/>
    <x v="0"/>
    <s v="7790101"/>
    <n v="700082"/>
    <s v="Salaries-Other-Non-productive"/>
    <s v="Unassigned"/>
    <x v="0"/>
    <m/>
    <n v="90000"/>
    <n v="90000"/>
    <n v="36000"/>
    <n v="-295000"/>
    <n v="36000"/>
    <n v="41000"/>
    <n v="491000"/>
    <n v="41000"/>
    <n v="241000"/>
    <n v="41000"/>
    <n v="386928"/>
    <n v="676000"/>
    <n v="1874928"/>
    <n v="-289072"/>
  </r>
  <r>
    <x v="5"/>
    <x v="3"/>
    <x v="0"/>
    <s v="7790101"/>
    <n v="700084"/>
    <s v="Accrued PTO"/>
    <s v="Unassigned"/>
    <x v="0"/>
    <m/>
    <n v="0"/>
    <n v="0"/>
    <n v="0"/>
    <n v="0"/>
    <n v="-148000"/>
    <n v="148000"/>
    <n v="0"/>
    <n v="0"/>
    <n v="0"/>
    <n v="0"/>
    <n v="0"/>
    <n v="0"/>
    <n v="0"/>
    <n v="0"/>
  </r>
  <r>
    <x v="6"/>
    <x v="3"/>
    <x v="0"/>
    <s v="7790101"/>
    <n v="713010"/>
    <s v="Benefits-FICA/Medicare"/>
    <s v="Unassigned"/>
    <x v="0"/>
    <m/>
    <n v="0"/>
    <n v="0"/>
    <n v="0"/>
    <n v="0"/>
    <n v="0"/>
    <n v="0"/>
    <n v="0"/>
    <n v="0"/>
    <n v="50000"/>
    <n v="0"/>
    <n v="26188.49"/>
    <n v="18000"/>
    <n v="94188.49"/>
    <n v="8188.4900000000016"/>
  </r>
  <r>
    <x v="17"/>
    <x v="3"/>
    <x v="0"/>
    <s v="7790101"/>
    <n v="714530"/>
    <s v="Medical Prof Fees-Intracompany"/>
    <s v="Unassigned"/>
    <x v="0"/>
    <m/>
    <n v="638491.55000000005"/>
    <n v="614774.62"/>
    <n v="597780.93000000005"/>
    <n v="632412.03"/>
    <n v="635277.04"/>
    <n v="721196.09"/>
    <n v="775699.82"/>
    <n v="811034.25"/>
    <n v="760342.09"/>
    <n v="636965.14"/>
    <n v="750860.22"/>
    <n v="449793.67"/>
    <n v="8024627.4499999993"/>
    <n v="301066.55"/>
  </r>
  <r>
    <x v="7"/>
    <x v="3"/>
    <x v="0"/>
    <s v="7790101"/>
    <n v="718050"/>
    <s v="Contract Svcs-Other"/>
    <s v="Unassigned"/>
    <x v="0"/>
    <m/>
    <n v="0"/>
    <n v="0"/>
    <n v="0"/>
    <n v="0"/>
    <n v="0"/>
    <n v="0"/>
    <n v="0"/>
    <n v="0"/>
    <n v="86.98"/>
    <n v="0"/>
    <n v="0"/>
    <n v="0"/>
    <n v="86.98"/>
    <n v="0"/>
  </r>
  <r>
    <x v="7"/>
    <x v="3"/>
    <x v="0"/>
    <s v="7790101"/>
    <n v="718050"/>
    <s v="Document Shredding/Storage"/>
    <s v="Unassigned"/>
    <x v="0"/>
    <n v="1012"/>
    <n v="18.93"/>
    <n v="19.329999999999998"/>
    <n v="26.46"/>
    <n v="22.76"/>
    <n v="23.53"/>
    <n v="23.53"/>
    <n v="23.29"/>
    <n v="20"/>
    <n v="20.7"/>
    <n v="27.09"/>
    <n v="22.76"/>
    <n v="23.53"/>
    <n v="271.90999999999997"/>
    <n v="-0.76999999999999957"/>
  </r>
  <r>
    <x v="7"/>
    <x v="3"/>
    <x v="0"/>
    <s v="7790101"/>
    <n v="718050"/>
    <s v="Miscellaneous Purchased Svcs"/>
    <s v="Unassigned"/>
    <x v="0"/>
    <n v="1020"/>
    <n v="405727.17"/>
    <n v="-143680.24"/>
    <n v="123296.94"/>
    <n v="-272085.82"/>
    <n v="-182017.04"/>
    <n v="-55529.85"/>
    <n v="307574.62"/>
    <n v="-268563.26"/>
    <n v="-19684.37"/>
    <n v="76779.320000000007"/>
    <n v="25931.17"/>
    <n v="163269.15"/>
    <n v="161017.78999999998"/>
    <n v="-137337.97999999998"/>
  </r>
  <r>
    <x v="7"/>
    <x v="3"/>
    <x v="0"/>
    <s v="7790101"/>
    <n v="718050"/>
    <s v="Translation Services"/>
    <s v="Unassigned"/>
    <x v="0"/>
    <n v="1025"/>
    <n v="0"/>
    <n v="0"/>
    <n v="0"/>
    <n v="56"/>
    <n v="212"/>
    <n v="0"/>
    <n v="0"/>
    <n v="0"/>
    <n v="198"/>
    <n v="189"/>
    <n v="82.1"/>
    <n v="0"/>
    <n v="737.1"/>
    <n v="82.1"/>
  </r>
  <r>
    <x v="7"/>
    <x v="3"/>
    <x v="0"/>
    <s v="7790101"/>
    <n v="718050"/>
    <s v="Purchased Srvcs-Medical/Clinical Review"/>
    <s v="Unassigned"/>
    <x v="0"/>
    <n v="1032"/>
    <n v="0"/>
    <n v="0"/>
    <n v="0"/>
    <n v="0"/>
    <n v="0"/>
    <n v="61180"/>
    <n v="0"/>
    <n v="0"/>
    <n v="0"/>
    <n v="0"/>
    <n v="0"/>
    <n v="0"/>
    <n v="61180"/>
    <n v="0"/>
  </r>
  <r>
    <x v="7"/>
    <x v="3"/>
    <x v="0"/>
    <s v="7790101"/>
    <n v="718061"/>
    <s v="Contract Services-CRO Allocation"/>
    <s v="Unassigned"/>
    <x v="0"/>
    <m/>
    <n v="64636"/>
    <n v="64636"/>
    <n v="64636"/>
    <n v="64636"/>
    <n v="64636"/>
    <n v="64636"/>
    <n v="64636"/>
    <n v="64636"/>
    <n v="64636"/>
    <n v="64636"/>
    <n v="64636"/>
    <n v="64636"/>
    <n v="775632"/>
    <n v="0"/>
  </r>
  <r>
    <x v="7"/>
    <x v="3"/>
    <x v="0"/>
    <s v="7790101"/>
    <n v="718065"/>
    <s v="Contract Services-CHI Legal Fees"/>
    <s v="Unassigned"/>
    <x v="0"/>
    <m/>
    <n v="85291.83"/>
    <n v="85291.83"/>
    <n v="85291.83"/>
    <n v="85291.83"/>
    <n v="85291.83"/>
    <n v="85291.83"/>
    <n v="85291.83"/>
    <n v="85291.83"/>
    <n v="85291.83"/>
    <n v="85291.83"/>
    <n v="85291.83"/>
    <n v="85291.83"/>
    <n v="1023501.9599999998"/>
    <n v="0"/>
  </r>
  <r>
    <x v="7"/>
    <x v="3"/>
    <x v="0"/>
    <s v="7790101"/>
    <n v="718066"/>
    <s v="Contract Services-CHI Tax Services"/>
    <s v="Unassigned"/>
    <x v="0"/>
    <m/>
    <n v="1195"/>
    <n v="1195"/>
    <n v="1195"/>
    <n v="1195"/>
    <n v="1195"/>
    <n v="1195"/>
    <n v="1195"/>
    <n v="1195"/>
    <n v="1195"/>
    <n v="1195"/>
    <n v="1195"/>
    <n v="1195"/>
    <n v="14340"/>
    <n v="0"/>
  </r>
  <r>
    <x v="7"/>
    <x v="3"/>
    <x v="0"/>
    <s v="7790101"/>
    <n v="718070"/>
    <s v="Contract Srvcs-CHI Clinical Engineering"/>
    <s v="Unassigned"/>
    <x v="0"/>
    <m/>
    <n v="-256722.99"/>
    <n v="-238741.29"/>
    <n v="-238741.29"/>
    <n v="-222030.6"/>
    <n v="-239559.25"/>
    <n v="-229055.13"/>
    <n v="-235690.61"/>
    <n v="-234554.28"/>
    <n v="-238559.79"/>
    <n v="-231062.11"/>
    <n v="-222871.44"/>
    <n v="-235654.32"/>
    <n v="-2823243.0999999992"/>
    <n v="12782.880000000005"/>
  </r>
  <r>
    <x v="7"/>
    <x v="3"/>
    <x v="0"/>
    <s v="7790101"/>
    <n v="718075"/>
    <s v="Contract Srvcs-CHI ITS Steady State"/>
    <s v="Unassigned"/>
    <x v="0"/>
    <m/>
    <n v="2962990"/>
    <n v="2962990"/>
    <n v="2962990"/>
    <n v="2962990"/>
    <n v="2962990"/>
    <n v="2962990"/>
    <n v="2962990"/>
    <n v="2962990"/>
    <n v="2962990"/>
    <n v="2962990"/>
    <n v="2962990"/>
    <n v="2962990"/>
    <n v="35555880"/>
    <n v="0"/>
  </r>
  <r>
    <x v="11"/>
    <x v="3"/>
    <x v="0"/>
    <s v="7790101"/>
    <n v="721010"/>
    <s v="Supplies-Medical - Billable"/>
    <s v="Unassigned"/>
    <x v="0"/>
    <m/>
    <n v="0"/>
    <n v="0"/>
    <n v="-8544.94"/>
    <n v="8544.94"/>
    <n v="0"/>
    <n v="120120"/>
    <n v="60060"/>
    <n v="60060"/>
    <n v="60060"/>
    <n v="56280"/>
    <n v="65108.82"/>
    <n v="70847.09"/>
    <n v="492535.91000000003"/>
    <n v="-5738.2699999999968"/>
  </r>
  <r>
    <x v="11"/>
    <x v="3"/>
    <x v="0"/>
    <s v="7790101"/>
    <n v="721020"/>
    <s v="Supplies-Surgical - Billable"/>
    <s v="Unassigned"/>
    <x v="0"/>
    <m/>
    <n v="0"/>
    <n v="0"/>
    <n v="-18803.27"/>
    <n v="18803.27"/>
    <n v="0"/>
    <n v="0"/>
    <n v="0"/>
    <n v="0"/>
    <n v="0"/>
    <n v="0"/>
    <n v="0"/>
    <n v="0"/>
    <n v="0"/>
    <n v="0"/>
  </r>
  <r>
    <x v="11"/>
    <x v="3"/>
    <x v="0"/>
    <s v="7790101"/>
    <n v="721050"/>
    <s v="Supplies-Cardiac Rhythm - Billable"/>
    <s v="Unassigned"/>
    <x v="0"/>
    <m/>
    <n v="0"/>
    <n v="0"/>
    <n v="-19270.349999999999"/>
    <n v="19270.349999999999"/>
    <n v="0"/>
    <n v="0"/>
    <n v="0"/>
    <n v="0"/>
    <n v="0"/>
    <n v="0"/>
    <n v="0"/>
    <n v="0"/>
    <n v="0"/>
    <n v="0"/>
  </r>
  <r>
    <x v="11"/>
    <x v="3"/>
    <x v="0"/>
    <s v="7790101"/>
    <n v="721150"/>
    <s v="Supplies-Other Implants - Billable"/>
    <s v="Unassigned"/>
    <x v="0"/>
    <m/>
    <n v="0"/>
    <n v="0"/>
    <n v="-6746.6"/>
    <n v="6746.6"/>
    <n v="0"/>
    <n v="0"/>
    <n v="0"/>
    <n v="0"/>
    <n v="0"/>
    <n v="0"/>
    <n v="0"/>
    <n v="0"/>
    <n v="0"/>
    <n v="0"/>
  </r>
  <r>
    <x v="11"/>
    <x v="3"/>
    <x v="0"/>
    <s v="7790101"/>
    <n v="721410"/>
    <s v="Supplies-Medical - Nonbillable"/>
    <s v="Unassigned"/>
    <x v="0"/>
    <m/>
    <n v="33400.449999999997"/>
    <n v="-17761.349999999999"/>
    <n v="962.05"/>
    <n v="-13038.38"/>
    <n v="-4291.0200000000004"/>
    <n v="-10549.5"/>
    <n v="24039"/>
    <n v="-7003.68"/>
    <n v="-20754.02"/>
    <n v="11714.28"/>
    <n v="-11990.39"/>
    <n v="28645.49"/>
    <n v="13372.93"/>
    <n v="-40635.880000000005"/>
  </r>
  <r>
    <x v="11"/>
    <x v="3"/>
    <x v="0"/>
    <s v="7790101"/>
    <n v="721710"/>
    <s v="Reagents"/>
    <s v="Unassigned"/>
    <x v="0"/>
    <n v="1000"/>
    <n v="0"/>
    <n v="0"/>
    <n v="-32320.04"/>
    <n v="32320.04"/>
    <n v="0"/>
    <n v="0"/>
    <n v="0"/>
    <n v="0"/>
    <n v="0"/>
    <n v="0"/>
    <n v="0"/>
    <n v="0"/>
    <n v="0"/>
    <n v="0"/>
  </r>
  <r>
    <x v="11"/>
    <x v="3"/>
    <x v="0"/>
    <s v="7790101"/>
    <n v="721810"/>
    <s v="Supplies-Dietary/Cafeteria"/>
    <s v="Unassigned"/>
    <x v="0"/>
    <m/>
    <n v="0"/>
    <n v="0"/>
    <n v="-134.30000000000001"/>
    <n v="134.30000000000001"/>
    <n v="0"/>
    <n v="0"/>
    <n v="0"/>
    <n v="0"/>
    <n v="0"/>
    <n v="0"/>
    <n v="0"/>
    <n v="0"/>
    <n v="0"/>
    <n v="0"/>
  </r>
  <r>
    <x v="11"/>
    <x v="3"/>
    <x v="0"/>
    <s v="7790101"/>
    <n v="721830"/>
    <s v="Supplies-Office"/>
    <s v="Unassigned"/>
    <x v="0"/>
    <m/>
    <n v="0"/>
    <n v="0"/>
    <n v="0"/>
    <n v="0"/>
    <n v="0"/>
    <n v="0"/>
    <n v="0"/>
    <n v="0"/>
    <n v="0"/>
    <n v="0"/>
    <n v="-1378.14"/>
    <n v="0"/>
    <n v="-1378.14"/>
    <n v="-1378.14"/>
  </r>
  <r>
    <x v="11"/>
    <x v="3"/>
    <x v="0"/>
    <s v="7790101"/>
    <n v="721910"/>
    <s v="Supplies-Small Equipment"/>
    <s v="Unassigned"/>
    <x v="0"/>
    <m/>
    <n v="0"/>
    <n v="0"/>
    <n v="-9122.2999999999993"/>
    <n v="9122.2999999999993"/>
    <n v="0"/>
    <n v="0"/>
    <n v="0"/>
    <n v="0"/>
    <n v="0"/>
    <n v="0"/>
    <n v="0"/>
    <n v="0"/>
    <n v="0"/>
    <n v="0"/>
  </r>
  <r>
    <x v="11"/>
    <x v="3"/>
    <x v="0"/>
    <s v="7790101"/>
    <n v="721980"/>
    <s v="Supplies-Other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7790101"/>
    <n v="722000"/>
    <s v="Supplies-Freight Expense"/>
    <s v="Unassigned"/>
    <x v="0"/>
    <m/>
    <n v="1419.5"/>
    <n v="3160.56"/>
    <n v="3156.81"/>
    <n v="2038.26"/>
    <n v="1924.2"/>
    <n v="3165.68"/>
    <n v="2949.2"/>
    <n v="2314.39"/>
    <n v="3853.74"/>
    <n v="4234.2"/>
    <n v="3234.34"/>
    <n v="4209.0200000000004"/>
    <n v="35659.899999999994"/>
    <n v="-974.68000000000029"/>
  </r>
  <r>
    <x v="11"/>
    <x v="3"/>
    <x v="0"/>
    <s v="7790101"/>
    <n v="723000"/>
    <s v="Supply Rebates/Patronage Dividend"/>
    <s v="Unassigned"/>
    <x v="0"/>
    <m/>
    <n v="-300000"/>
    <n v="-300000"/>
    <n v="600000"/>
    <n v="-300000"/>
    <n v="-300000"/>
    <n v="598858.01"/>
    <n v="-350000"/>
    <n v="-350563.97"/>
    <n v="699666.22"/>
    <n v="-400000"/>
    <n v="-400000"/>
    <n v="800000"/>
    <n v="-2039.7399999999907"/>
    <n v="-1200000"/>
  </r>
  <r>
    <x v="11"/>
    <x v="3"/>
    <x v="0"/>
    <s v="7790101"/>
    <n v="723500"/>
    <s v="Discounts Taken *"/>
    <s v="Unassigned"/>
    <x v="0"/>
    <m/>
    <n v="0"/>
    <n v="-21660.7"/>
    <n v="-14.8"/>
    <n v="-10.09"/>
    <n v="-4427.4799999999996"/>
    <n v="0"/>
    <n v="-1.08"/>
    <n v="-10594.15"/>
    <n v="-69.73"/>
    <n v="-301.02999999999997"/>
    <n v="-28.6"/>
    <n v="-4602.1000000000004"/>
    <n v="-41709.760000000002"/>
    <n v="4573.5"/>
  </r>
  <r>
    <x v="12"/>
    <x v="3"/>
    <x v="0"/>
    <s v="7790101"/>
    <n v="730010"/>
    <s v="Rental and Leases-Building (DO NOT USE)"/>
    <s v="Unassigned"/>
    <x v="0"/>
    <m/>
    <n v="0"/>
    <n v="0"/>
    <n v="0"/>
    <n v="0"/>
    <n v="0"/>
    <n v="0"/>
    <n v="0"/>
    <n v="-405182.75"/>
    <n v="0"/>
    <n v="0"/>
    <n v="0"/>
    <n v="0"/>
    <n v="-405182.75"/>
    <n v="0"/>
  </r>
  <r>
    <x v="12"/>
    <x v="3"/>
    <x v="0"/>
    <s v="7790101"/>
    <n v="730010"/>
    <s v="Rental-Common Area Maint (DO NOT USE)"/>
    <s v="Unassigned"/>
    <x v="0"/>
    <n v="2200"/>
    <n v="0"/>
    <n v="0"/>
    <n v="0"/>
    <n v="0"/>
    <n v="0"/>
    <n v="0"/>
    <n v="0"/>
    <n v="-73270.41"/>
    <n v="0"/>
    <n v="0"/>
    <n v="0"/>
    <n v="0"/>
    <n v="-73270.41"/>
    <n v="0"/>
  </r>
  <r>
    <x v="12"/>
    <x v="3"/>
    <x v="0"/>
    <s v="7790101"/>
    <n v="730020"/>
    <s v="Rental and Leases-Equipment (DO NOT USE)"/>
    <s v="Unassigned"/>
    <x v="0"/>
    <m/>
    <n v="73482.16"/>
    <n v="-39076.54"/>
    <n v="-10815.48"/>
    <n v="-15751.92"/>
    <n v="-9440"/>
    <n v="-23209.1"/>
    <n v="52886.17"/>
    <n v="-15409.74"/>
    <n v="-45656.57"/>
    <n v="7617.51"/>
    <n v="-26379.91"/>
    <n v="63020.56"/>
    <n v="11267.14"/>
    <n v="-89400.47"/>
  </r>
  <r>
    <x v="12"/>
    <x v="3"/>
    <x v="0"/>
    <s v="7790101"/>
    <n v="730020"/>
    <s v="Rental and Leases-Copier Usage Fees (DO NOT USE)"/>
    <s v="Unassigned"/>
    <x v="0"/>
    <n v="5100"/>
    <n v="0"/>
    <n v="-221.45"/>
    <n v="-110.72"/>
    <n v="-110.72"/>
    <n v="-110.72"/>
    <n v="-110.72"/>
    <n v="28274.29"/>
    <n v="-15925.75"/>
    <n v="10514.09"/>
    <n v="-12988"/>
    <n v="2164.67"/>
    <n v="0"/>
    <n v="11374.97"/>
    <n v="2164.67"/>
  </r>
  <r>
    <x v="15"/>
    <x v="3"/>
    <x v="0"/>
    <s v="7790101"/>
    <n v="731060"/>
    <s v="Telephone"/>
    <s v="Unassigned"/>
    <x v="0"/>
    <m/>
    <n v="0"/>
    <n v="0"/>
    <n v="16.2"/>
    <n v="0"/>
    <n v="0"/>
    <n v="0"/>
    <n v="0"/>
    <n v="0"/>
    <n v="0"/>
    <n v="0"/>
    <n v="0"/>
    <n v="0"/>
    <n v="16.2"/>
    <n v="0"/>
  </r>
  <r>
    <x v="15"/>
    <x v="3"/>
    <x v="0"/>
    <s v="7790101"/>
    <n v="731060"/>
    <s v="Pagers"/>
    <s v="Unassigned"/>
    <x v="0"/>
    <n v="1002"/>
    <n v="0"/>
    <n v="0"/>
    <n v="8.1"/>
    <n v="0"/>
    <n v="0"/>
    <n v="0"/>
    <n v="0"/>
    <n v="0"/>
    <n v="0"/>
    <n v="0"/>
    <n v="0"/>
    <n v="0"/>
    <n v="8.1"/>
    <n v="0"/>
  </r>
  <r>
    <x v="16"/>
    <x v="3"/>
    <x v="0"/>
    <s v="7790101"/>
    <n v="732030"/>
    <s v="Repairs---Other"/>
    <s v="Unassigned"/>
    <x v="0"/>
    <m/>
    <n v="0"/>
    <n v="0"/>
    <n v="-2866.66"/>
    <n v="2866.66"/>
    <n v="825.32"/>
    <n v="0"/>
    <n v="0"/>
    <n v="-243312.98"/>
    <n v="0"/>
    <n v="0"/>
    <n v="0"/>
    <n v="0"/>
    <n v="-242487.66"/>
    <n v="0"/>
  </r>
  <r>
    <x v="16"/>
    <x v="3"/>
    <x v="0"/>
    <s v="7790101"/>
    <n v="733030"/>
    <s v="Maintenance Contracts-Other"/>
    <s v="Unassigned"/>
    <x v="0"/>
    <m/>
    <n v="0"/>
    <n v="0"/>
    <n v="0"/>
    <n v="0"/>
    <n v="0"/>
    <n v="28600"/>
    <n v="14300"/>
    <n v="14300"/>
    <n v="14300"/>
    <n v="13400"/>
    <n v="15502.1"/>
    <n v="16868.349999999999"/>
    <n v="117270.45000000001"/>
    <n v="-1366.2499999999982"/>
  </r>
  <r>
    <x v="13"/>
    <x v="3"/>
    <x v="0"/>
    <s v="7790101"/>
    <n v="735020"/>
    <s v="Depreciation-Land Improvements"/>
    <s v="Unassigned"/>
    <x v="0"/>
    <m/>
    <n v="13994.48"/>
    <n v="13994.45"/>
    <n v="13985.11"/>
    <n v="13985.05"/>
    <n v="13985.13"/>
    <n v="13985.04"/>
    <n v="13985.15"/>
    <n v="13985.03"/>
    <n v="13425.44"/>
    <n v="13401.14"/>
    <n v="13401.32"/>
    <n v="13401.14"/>
    <n v="165528.48000000004"/>
    <n v="0.18000000000029104"/>
  </r>
  <r>
    <x v="13"/>
    <x v="3"/>
    <x v="0"/>
    <s v="7790101"/>
    <n v="735030"/>
    <s v="Depreciation-Buildings"/>
    <s v="Unassigned"/>
    <x v="0"/>
    <m/>
    <n v="198604.4"/>
    <n v="198603.91"/>
    <n v="198604.9"/>
    <n v="198603.44"/>
    <n v="198605.39"/>
    <n v="198602.99"/>
    <n v="198605.87"/>
    <n v="198602.38"/>
    <n v="198606.42"/>
    <n v="198601.95"/>
    <n v="198607"/>
    <n v="198601.56"/>
    <n v="2383250.2099999995"/>
    <n v="5.4400000000023283"/>
  </r>
  <r>
    <x v="13"/>
    <x v="3"/>
    <x v="0"/>
    <s v="7790101"/>
    <n v="735040"/>
    <s v="Depreciation-Building Improvements"/>
    <s v="Unassigned"/>
    <x v="0"/>
    <m/>
    <n v="191636.23"/>
    <n v="192842.35"/>
    <n v="191673.86"/>
    <n v="191430.19"/>
    <n v="191430.51"/>
    <n v="191236.62"/>
    <n v="199584.11"/>
    <n v="199583.4"/>
    <n v="199584.24"/>
    <n v="220023.43"/>
    <n v="202815.84"/>
    <n v="205571.51"/>
    <n v="2377412.2899999991"/>
    <n v="-2755.6700000000128"/>
  </r>
  <r>
    <x v="13"/>
    <x v="3"/>
    <x v="0"/>
    <s v="7790101"/>
    <n v="735050"/>
    <s v="Amortization-Leasehold Improvements"/>
    <s v="Unassigned"/>
    <x v="0"/>
    <m/>
    <n v="25028.62"/>
    <n v="25028.62"/>
    <n v="24370.26"/>
    <n v="24370.25"/>
    <n v="24370.28"/>
    <n v="24370.240000000002"/>
    <n v="24370.28"/>
    <n v="24338.639999999999"/>
    <n v="22962.98"/>
    <n v="22962.91"/>
    <n v="22962.99"/>
    <n v="21142.14"/>
    <n v="286278.21000000002"/>
    <n v="1820.8500000000022"/>
  </r>
  <r>
    <x v="13"/>
    <x v="3"/>
    <x v="0"/>
    <s v="7790101"/>
    <n v="735060"/>
    <s v="Depreciation-Fixed Equipment"/>
    <s v="Unassigned"/>
    <x v="0"/>
    <m/>
    <n v="99630.04"/>
    <n v="103129.26"/>
    <n v="110338.45"/>
    <n v="109743.26"/>
    <n v="109743.94"/>
    <n v="109743.03999999999"/>
    <n v="109744.22"/>
    <n v="109446.07"/>
    <n v="109447.66"/>
    <n v="109221.08"/>
    <n v="109049.33"/>
    <n v="108977.12"/>
    <n v="1298213.4700000002"/>
    <n v="72.210000000006403"/>
  </r>
  <r>
    <x v="13"/>
    <x v="3"/>
    <x v="0"/>
    <s v="7790101"/>
    <n v="735070"/>
    <s v="Depreciation-Movable Equipment"/>
    <s v="Unassigned"/>
    <x v="0"/>
    <m/>
    <n v="497427.91"/>
    <n v="498531.15"/>
    <n v="498977.69"/>
    <n v="496960.51"/>
    <n v="492885.45"/>
    <n v="477388.78"/>
    <n v="477389.29"/>
    <n v="478055.36"/>
    <n v="478042.94"/>
    <n v="478042.31"/>
    <n v="478040.54"/>
    <n v="478039.75"/>
    <n v="5829781.6799999997"/>
    <n v="0.78999999997904524"/>
  </r>
  <r>
    <x v="24"/>
    <x v="3"/>
    <x v="0"/>
    <s v="7790101"/>
    <n v="736100"/>
    <s v="Environmental Remediation Reserve Adjustment"/>
    <s v="Unassigned"/>
    <x v="0"/>
    <m/>
    <n v="0"/>
    <n v="0"/>
    <n v="12726.41"/>
    <n v="0"/>
    <n v="0"/>
    <n v="12293.54"/>
    <n v="0"/>
    <n v="0"/>
    <n v="0"/>
    <n v="0"/>
    <n v="0"/>
    <n v="109643"/>
    <n v="134662.95000000001"/>
    <n v="-109643"/>
  </r>
  <r>
    <x v="8"/>
    <x v="3"/>
    <x v="0"/>
    <s v="7790101"/>
    <n v="741010"/>
    <s v="Liability Insurance-CHI Programs"/>
    <s v="Unassigned"/>
    <x v="0"/>
    <m/>
    <n v="367832.83"/>
    <n v="367832.83"/>
    <n v="367832.83"/>
    <n v="367832.83"/>
    <n v="367832.83"/>
    <n v="367832.83"/>
    <n v="367832.83"/>
    <n v="367832.83"/>
    <n v="367832.83"/>
    <n v="367832.83"/>
    <n v="367832.83"/>
    <n v="367832.83"/>
    <n v="4413993.96"/>
    <n v="0"/>
  </r>
  <r>
    <x v="8"/>
    <x v="3"/>
    <x v="0"/>
    <s v="7790101"/>
    <n v="741030"/>
    <s v="Property Insurance-CHI Programs"/>
    <s v="Unassigned"/>
    <x v="0"/>
    <m/>
    <n v="59923.65"/>
    <n v="59923.65"/>
    <n v="59923.65"/>
    <n v="59923.65"/>
    <n v="59923.65"/>
    <n v="59923.65"/>
    <n v="59923.65"/>
    <n v="59923.65"/>
    <n v="59923.65"/>
    <n v="59923.65"/>
    <n v="59923.65"/>
    <n v="59923.65"/>
    <n v="719083.80000000016"/>
    <n v="0"/>
  </r>
  <r>
    <x v="8"/>
    <x v="3"/>
    <x v="0"/>
    <s v="7790101"/>
    <n v="741070"/>
    <s v="Insurance-Risk Mgmt Incentive Program"/>
    <s v="Unassigned"/>
    <x v="0"/>
    <m/>
    <n v="0"/>
    <n v="0"/>
    <n v="0"/>
    <n v="-176747"/>
    <n v="0"/>
    <n v="0"/>
    <n v="0"/>
    <n v="0"/>
    <n v="0"/>
    <n v="0"/>
    <n v="0"/>
    <n v="0"/>
    <n v="-176747"/>
    <n v="0"/>
  </r>
  <r>
    <x v="0"/>
    <x v="3"/>
    <x v="0"/>
    <s v="7790101"/>
    <n v="746020"/>
    <s v="Bank Fees--Ext to CHI Programs"/>
    <s v="Unassigned"/>
    <x v="0"/>
    <m/>
    <n v="8126.03"/>
    <n v="8905.64"/>
    <n v="8417.3799999999992"/>
    <n v="8934.01"/>
    <n v="8960.7000000000007"/>
    <n v="7996.44"/>
    <n v="7839.77"/>
    <n v="7920.21"/>
    <n v="9312.6"/>
    <n v="12922.41"/>
    <n v="11797.21"/>
    <n v="13154.56"/>
    <n v="114286.96000000002"/>
    <n v="-1357.3500000000004"/>
  </r>
  <r>
    <x v="26"/>
    <x v="3"/>
    <x v="0"/>
    <s v="7790101"/>
    <n v="747001"/>
    <s v="National Assessment"/>
    <s v="Unassigned"/>
    <x v="0"/>
    <m/>
    <n v="710552"/>
    <n v="710564"/>
    <n v="710558"/>
    <n v="710558"/>
    <n v="710558"/>
    <n v="710558"/>
    <n v="521558"/>
    <n v="521558"/>
    <n v="521558"/>
    <n v="521558"/>
    <n v="521558"/>
    <n v="521558"/>
    <n v="7392696"/>
    <n v="0"/>
  </r>
  <r>
    <x v="0"/>
    <x v="3"/>
    <x v="0"/>
    <s v="7790101"/>
    <n v="749510"/>
    <s v="Miscellaneous Expenses"/>
    <s v="Unassigned"/>
    <x v="0"/>
    <m/>
    <n v="220545.8"/>
    <n v="-97054.32"/>
    <n v="18409.099999999999"/>
    <n v="-72399.360000000001"/>
    <n v="-16563.04"/>
    <n v="-240378.26"/>
    <n v="175793.37"/>
    <n v="-10562.45"/>
    <n v="-92893.49"/>
    <n v="50255.63"/>
    <n v="-37589.35"/>
    <n v="-4453676.2"/>
    <n v="-4556112.57"/>
    <n v="4416086.8500000006"/>
  </r>
  <r>
    <x v="0"/>
    <x v="3"/>
    <x v="0"/>
    <s v="7790101"/>
    <n v="749510"/>
    <s v="Late Payment Penalties &amp; Interest"/>
    <s v="Unassigned"/>
    <x v="0"/>
    <n v="4600"/>
    <n v="1.1499999999999999"/>
    <n v="-1.1499999999999999"/>
    <n v="0.18"/>
    <n v="0"/>
    <n v="0"/>
    <n v="0"/>
    <n v="0"/>
    <n v="0"/>
    <n v="0"/>
    <n v="0"/>
    <n v="0"/>
    <n v="0"/>
    <n v="0.18"/>
    <n v="0"/>
  </r>
  <r>
    <x v="0"/>
    <x v="3"/>
    <x v="0"/>
    <s v="7790101"/>
    <n v="749510"/>
    <s v="Casualty Loss/Patient Property"/>
    <s v="Unassigned"/>
    <x v="0"/>
    <n v="4601"/>
    <n v="0"/>
    <n v="0"/>
    <n v="0"/>
    <n v="0"/>
    <n v="0"/>
    <n v="0"/>
    <n v="0"/>
    <n v="0"/>
    <n v="0"/>
    <n v="2500"/>
    <n v="0"/>
    <n v="0"/>
    <n v="2500"/>
    <n v="0"/>
  </r>
  <r>
    <x v="0"/>
    <x v="3"/>
    <x v="0"/>
    <s v="7790101"/>
    <n v="749510"/>
    <s v="RICE Rewards"/>
    <s v="Unassigned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7790101"/>
    <n v="749525"/>
    <s v="Contingent Liability Expense"/>
    <s v="Unassigned"/>
    <x v="0"/>
    <m/>
    <n v="0"/>
    <n v="0"/>
    <n v="0"/>
    <n v="0"/>
    <n v="0"/>
    <n v="0"/>
    <n v="0"/>
    <n v="0"/>
    <n v="0"/>
    <n v="0"/>
    <n v="0"/>
    <n v="1665300"/>
    <n v="1665300"/>
    <n v="-1665300"/>
  </r>
  <r>
    <x v="0"/>
    <x v="3"/>
    <x v="0"/>
    <s v="7790101"/>
    <n v="749550"/>
    <s v="Cash Over/Short"/>
    <s v="Unassigned"/>
    <x v="0"/>
    <m/>
    <n v="0"/>
    <n v="0"/>
    <n v="0"/>
    <n v="0"/>
    <n v="-0.45"/>
    <n v="0"/>
    <n v="0"/>
    <n v="0"/>
    <n v="0"/>
    <n v="0"/>
    <n v="0"/>
    <n v="0"/>
    <n v="-0.45"/>
    <n v="0"/>
  </r>
  <r>
    <x v="0"/>
    <x v="3"/>
    <x v="0"/>
    <s v="7790101"/>
    <n v="750015"/>
    <s v="Provision for Bad Debts--Non-Patient"/>
    <s v="Unassigned"/>
    <x v="0"/>
    <m/>
    <n v="-32876.160000000003"/>
    <n v="9795"/>
    <n v="5904.33"/>
    <n v="-3120.25"/>
    <n v="13512.78"/>
    <n v="-10089.25"/>
    <n v="13874.56"/>
    <n v="15647.79"/>
    <n v="-44214.5"/>
    <n v="4577.25"/>
    <n v="-1216.5"/>
    <n v="14329.67"/>
    <n v="-13875.280000000004"/>
    <n v="-15546.17"/>
  </r>
  <r>
    <x v="24"/>
    <x v="3"/>
    <x v="0"/>
    <s v="7790101"/>
    <n v="760020"/>
    <s v="Interest Exp--CHI Debt Prog-MBOs Only"/>
    <s v="Unassigned"/>
    <x v="0"/>
    <m/>
    <n v="14555.05"/>
    <n v="14119.03"/>
    <n v="13681.3"/>
    <n v="0"/>
    <n v="0"/>
    <n v="0"/>
    <n v="0"/>
    <n v="0"/>
    <n v="0"/>
    <n v="0"/>
    <n v="0"/>
    <n v="0"/>
    <n v="42355.380000000005"/>
    <n v="0"/>
  </r>
  <r>
    <x v="24"/>
    <x v="3"/>
    <x v="0"/>
    <s v="7790101"/>
    <n v="760030"/>
    <s v="Interest Expense-Ext to CHI Programs"/>
    <s v="Unassigned"/>
    <x v="0"/>
    <m/>
    <n v="4281.53"/>
    <n v="4160.01"/>
    <n v="4038.2"/>
    <n v="3916.07"/>
    <n v="3793.66"/>
    <n v="3670.93"/>
    <n v="3547.91"/>
    <n v="3424.57"/>
    <n v="3300.92"/>
    <n v="3176.97"/>
    <n v="3052.72"/>
    <n v="2928.16"/>
    <n v="43291.650000000009"/>
    <n v="124.55999999999995"/>
  </r>
  <r>
    <x v="0"/>
    <x v="3"/>
    <x v="0"/>
    <s v="7790101"/>
    <n v="765050"/>
    <s v="Local Income Tax"/>
    <s v="Unassigned"/>
    <x v="0"/>
    <m/>
    <n v="105935.37"/>
    <n v="109000"/>
    <n v="109000"/>
    <n v="69017.72"/>
    <n v="100000"/>
    <n v="100000"/>
    <n v="157208.92000000001"/>
    <n v="114000"/>
    <n v="114000"/>
    <n v="97508.84"/>
    <n v="110000"/>
    <n v="110000"/>
    <n v="1295670.8500000001"/>
    <n v="0"/>
  </r>
  <r>
    <x v="0"/>
    <x v="3"/>
    <x v="0"/>
    <s v="7790101"/>
    <n v="766010"/>
    <s v="Property Tax"/>
    <s v="Unassigned"/>
    <x v="0"/>
    <m/>
    <n v="8508.18"/>
    <n v="8508.18"/>
    <n v="8508.18"/>
    <n v="9027.19"/>
    <n v="8508.18"/>
    <n v="8508.18"/>
    <n v="10007.84"/>
    <n v="8508.18"/>
    <n v="8508.17"/>
    <n v="12347.23"/>
    <n v="9551.59"/>
    <n v="9551.59"/>
    <n v="110042.69"/>
    <n v="0"/>
  </r>
  <r>
    <x v="0"/>
    <x v="3"/>
    <x v="0"/>
    <s v="7790101"/>
    <n v="766030"/>
    <s v="Unrelated Business Inc--Federal"/>
    <s v="Unassigned"/>
    <x v="0"/>
    <m/>
    <n v="0"/>
    <n v="0"/>
    <n v="0"/>
    <n v="0"/>
    <n v="0"/>
    <n v="0"/>
    <n v="0"/>
    <n v="0"/>
    <n v="65000"/>
    <n v="0"/>
    <n v="0"/>
    <n v="65000"/>
    <n v="130000"/>
    <n v="-65000"/>
  </r>
  <r>
    <x v="0"/>
    <x v="3"/>
    <x v="0"/>
    <s v="7790101"/>
    <n v="766070"/>
    <s v="Sales and Use Tax"/>
    <s v="Unassigned"/>
    <x v="0"/>
    <m/>
    <n v="75505.84"/>
    <n v="130341.85"/>
    <n v="87191.05"/>
    <n v="191847.98"/>
    <n v="145642.06"/>
    <n v="121318.93"/>
    <n v="127108.37"/>
    <n v="105666.55"/>
    <n v="150743.14000000001"/>
    <n v="120133"/>
    <n v="161312.49"/>
    <n v="160943.1"/>
    <n v="1577754.36"/>
    <n v="369.38999999998487"/>
  </r>
  <r>
    <x v="0"/>
    <x v="3"/>
    <x v="0"/>
    <s v="7790101"/>
    <n v="766090"/>
    <s v="Franchise and Excise Tax"/>
    <s v="Unassigned"/>
    <x v="0"/>
    <n v="1001"/>
    <n v="357194.11"/>
    <n v="394293.89"/>
    <n v="320244.27"/>
    <n v="274987.53999999998"/>
    <n v="383722.53"/>
    <n v="384488.82"/>
    <n v="451904.45"/>
    <n v="403837.17"/>
    <n v="392513.55"/>
    <n v="362652.22"/>
    <n v="379425.33"/>
    <n v="385379.42"/>
    <n v="4490643.3"/>
    <n v="-5954.0899999999674"/>
  </r>
  <r>
    <x v="0"/>
    <x v="3"/>
    <x v="0"/>
    <s v="7790101"/>
    <n v="766092"/>
    <s v="Provider Tax-Program Expense"/>
    <s v="Unassigned"/>
    <x v="0"/>
    <m/>
    <n v="1702608.08"/>
    <n v="1702608.09"/>
    <n v="1510791.08"/>
    <n v="1638669.08"/>
    <n v="1616168.67"/>
    <n v="1634169.5"/>
    <n v="1634169.08"/>
    <n v="1634169.09"/>
    <n v="1634169.08"/>
    <n v="1634169.08"/>
    <n v="1634169.09"/>
    <n v="1634169.08"/>
    <n v="19610029"/>
    <n v="1.0000000009313226E-2"/>
  </r>
  <r>
    <x v="25"/>
    <x v="3"/>
    <x v="0"/>
    <s v="7790101"/>
    <n v="770010"/>
    <s v="Restructuring Losses"/>
    <s v="Unassigned"/>
    <x v="0"/>
    <m/>
    <n v="-99900"/>
    <n v="0"/>
    <n v="0"/>
    <n v="0"/>
    <n v="0"/>
    <n v="0"/>
    <n v="0"/>
    <n v="0"/>
    <n v="0"/>
    <n v="0"/>
    <n v="0"/>
    <n v="0"/>
    <n v="-99900"/>
    <n v="0"/>
  </r>
  <r>
    <x v="9"/>
    <x v="3"/>
    <x v="0"/>
    <s v="7790101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2286130"/>
    <n v="2286130"/>
    <n v="-2286130"/>
  </r>
  <r>
    <x v="18"/>
    <x v="0"/>
    <x v="0"/>
    <s v="7790102"/>
    <n v="400010"/>
    <s v="Acute I/P Svcs Rev--Managed Care"/>
    <s v="Unassigned"/>
    <x v="0"/>
    <n v="1400"/>
    <n v="-808957.9"/>
    <n v="999615.54"/>
    <n v="-291910.40999999997"/>
    <n v="-331583.58"/>
    <n v="465539.76"/>
    <n v="-94534.71"/>
    <n v="-125683.05"/>
    <n v="-464441.91"/>
    <n v="771509.98"/>
    <n v="-267997.09999999998"/>
    <n v="-161868.97"/>
    <n v="437489"/>
    <n v="127176.65000000002"/>
    <n v="-599357.97"/>
  </r>
  <r>
    <x v="19"/>
    <x v="0"/>
    <x v="0"/>
    <s v="7790102"/>
    <n v="400020"/>
    <s v="O/P Care Svcs Rev--Managed Care"/>
    <s v="Unassigned"/>
    <x v="0"/>
    <n v="1400"/>
    <n v="335523.84999999998"/>
    <n v="805698.99"/>
    <n v="-783325.56"/>
    <n v="144073.41"/>
    <n v="471807.06"/>
    <n v="-245108.85"/>
    <n v="-376209.21"/>
    <n v="98714.59"/>
    <n v="68353.59"/>
    <n v="92937.23"/>
    <n v="240267.19"/>
    <n v="-168131.6"/>
    <n v="684600.68999999983"/>
    <n v="408398.79000000004"/>
  </r>
  <r>
    <x v="14"/>
    <x v="0"/>
    <x v="0"/>
    <s v="7790102"/>
    <n v="600026"/>
    <s v="POB Rental"/>
    <s v="Unassigned"/>
    <x v="0"/>
    <n v="1001"/>
    <n v="-4399.28"/>
    <n v="-4399.28"/>
    <n v="-4399.28"/>
    <n v="-4399.28"/>
    <n v="-4377.71"/>
    <n v="-4399.28"/>
    <n v="-4399.28"/>
    <n v="-4334.57"/>
    <n v="-4399.28"/>
    <n v="-3808.54"/>
    <n v="-3730.57"/>
    <n v="-3738.84"/>
    <n v="-50785.189999999988"/>
    <n v="8.2699999999999818"/>
  </r>
  <r>
    <x v="14"/>
    <x v="0"/>
    <x v="0"/>
    <s v="7790102"/>
    <n v="600059"/>
    <s v="Meaningful Use Revenue-Medicaid"/>
    <s v="Unassigned"/>
    <x v="0"/>
    <m/>
    <n v="0"/>
    <n v="0"/>
    <n v="0"/>
    <n v="0"/>
    <n v="0"/>
    <n v="0"/>
    <n v="0"/>
    <n v="0"/>
    <n v="0"/>
    <n v="0"/>
    <n v="-45000.89"/>
    <n v="44683"/>
    <n v="-317.88999999999942"/>
    <n v="-89683.89"/>
  </r>
  <r>
    <x v="22"/>
    <x v="0"/>
    <x v="0"/>
    <s v="7790102"/>
    <n v="620001"/>
    <s v="Changes in Equity of Unconsolidated Orgs-Controlling Interes"/>
    <s v="Unassigned"/>
    <x v="0"/>
    <m/>
    <n v="-21418.41"/>
    <n v="-20701.43"/>
    <n v="-21997.57"/>
    <n v="-22882.33"/>
    <n v="-22176.27"/>
    <n v="-23011.58"/>
    <n v="-22293.1"/>
    <n v="-21566.37"/>
    <n v="-24759.58"/>
    <n v="-21448.959999999999"/>
    <n v="-23372.42"/>
    <n v="-22633.22"/>
    <n v="-268261.24"/>
    <n v="-739.19999999999709"/>
  </r>
  <r>
    <x v="22"/>
    <x v="0"/>
    <x v="0"/>
    <s v="7790102"/>
    <n v="620501"/>
    <s v="Changes in Equity of Unconsolidated Orgs-Noncontrolling Inte"/>
    <s v="Unassigned"/>
    <x v="0"/>
    <m/>
    <n v="-21418.41"/>
    <n v="-20701.43"/>
    <n v="-21997.57"/>
    <n v="-22882.33"/>
    <n v="-22176.27"/>
    <n v="-23011.58"/>
    <n v="-22293.1"/>
    <n v="-21566.37"/>
    <n v="-24759.58"/>
    <n v="-21448.959999999999"/>
    <n v="-23372.42"/>
    <n v="-22633.22"/>
    <n v="-268261.24"/>
    <n v="-739.19999999999709"/>
  </r>
  <r>
    <x v="5"/>
    <x v="0"/>
    <x v="0"/>
    <s v="7790102"/>
    <n v="700054"/>
    <s v="Salaries-Management-NonProd-Other"/>
    <s v="Unassigned"/>
    <x v="0"/>
    <n v="2000"/>
    <n v="0"/>
    <n v="0"/>
    <n v="0"/>
    <n v="0"/>
    <n v="0"/>
    <n v="0"/>
    <n v="486.3"/>
    <n v="-486.3"/>
    <n v="0"/>
    <n v="0"/>
    <n v="0"/>
    <n v="0"/>
    <n v="0"/>
    <n v="0"/>
  </r>
  <r>
    <x v="5"/>
    <x v="0"/>
    <x v="0"/>
    <s v="7790102"/>
    <n v="700082"/>
    <s v="Salaries-Other-Non-productive"/>
    <s v="Unassigned"/>
    <x v="0"/>
    <m/>
    <n v="63000"/>
    <n v="43000"/>
    <n v="17200"/>
    <n v="11000"/>
    <n v="5000"/>
    <n v="5000"/>
    <n v="5000"/>
    <n v="5000"/>
    <n v="5000"/>
    <n v="5000"/>
    <n v="5000"/>
    <n v="5000"/>
    <n v="174200"/>
    <n v="0"/>
  </r>
  <r>
    <x v="5"/>
    <x v="0"/>
    <x v="0"/>
    <s v="7790102"/>
    <n v="700084"/>
    <s v="Accrued PTO"/>
    <s v="Unassigned"/>
    <x v="0"/>
    <m/>
    <n v="0"/>
    <n v="0"/>
    <n v="0"/>
    <n v="0"/>
    <n v="-61000"/>
    <n v="61000"/>
    <n v="0"/>
    <n v="0"/>
    <n v="0"/>
    <n v="0"/>
    <n v="0"/>
    <n v="0"/>
    <n v="0"/>
    <n v="0"/>
  </r>
  <r>
    <x v="10"/>
    <x v="0"/>
    <x v="0"/>
    <s v="7790102"/>
    <n v="710060"/>
    <s v="Contract Labor-Other"/>
    <s v="Unassigned"/>
    <x v="0"/>
    <m/>
    <n v="0"/>
    <n v="5.94"/>
    <n v="50000"/>
    <n v="-50000"/>
    <n v="0"/>
    <n v="40000"/>
    <n v="0"/>
    <n v="-40000"/>
    <n v="0"/>
    <n v="0"/>
    <n v="0"/>
    <n v="0"/>
    <n v="5.9400000000023283"/>
    <n v="0"/>
  </r>
  <r>
    <x v="17"/>
    <x v="0"/>
    <x v="0"/>
    <s v="7790102"/>
    <n v="714530"/>
    <s v="Medical Prof Fees-Intracompany"/>
    <s v="Unassigned"/>
    <x v="0"/>
    <m/>
    <n v="309576.62"/>
    <n v="296820.34999999998"/>
    <n v="289938.57"/>
    <n v="306619.15000000002"/>
    <n v="307118.40999999997"/>
    <n v="349445.29"/>
    <n v="376744.41"/>
    <n v="394067.96"/>
    <n v="369465.31"/>
    <n v="310654.28999999998"/>
    <n v="365123.2"/>
    <n v="238878.86"/>
    <n v="3914452.42"/>
    <n v="126244.34000000003"/>
  </r>
  <r>
    <x v="7"/>
    <x v="0"/>
    <x v="0"/>
    <s v="7790102"/>
    <n v="718050"/>
    <s v="Miscellaneous Purchased Svcs"/>
    <s v="Unassigned"/>
    <x v="0"/>
    <n v="1020"/>
    <n v="22064.51"/>
    <n v="13684.18"/>
    <n v="29394.97"/>
    <n v="-41803.71"/>
    <n v="8507.8799999999992"/>
    <n v="19051.5"/>
    <n v="10570.69"/>
    <n v="50297.84"/>
    <n v="-36995.72"/>
    <n v="34972.480000000003"/>
    <n v="-34513.35"/>
    <n v="62954.65"/>
    <n v="138185.91999999998"/>
    <n v="-97468"/>
  </r>
  <r>
    <x v="7"/>
    <x v="0"/>
    <x v="0"/>
    <s v="7790102"/>
    <n v="718050"/>
    <s v="Translation Services"/>
    <s v="Unassigned"/>
    <x v="0"/>
    <n v="1025"/>
    <n v="0"/>
    <n v="0"/>
    <n v="0"/>
    <n v="0"/>
    <n v="54"/>
    <n v="0"/>
    <n v="257.25"/>
    <n v="161"/>
    <n v="0"/>
    <n v="108"/>
    <n v="56"/>
    <n v="0"/>
    <n v="636.25"/>
    <n v="56"/>
  </r>
  <r>
    <x v="7"/>
    <x v="0"/>
    <x v="0"/>
    <s v="7790102"/>
    <n v="718050"/>
    <s v="Purchased Srvcs-Medical/Clinical Review"/>
    <s v="Unassigned"/>
    <x v="0"/>
    <n v="1032"/>
    <n v="0"/>
    <n v="0"/>
    <n v="0"/>
    <n v="0"/>
    <n v="0"/>
    <n v="47840"/>
    <n v="0"/>
    <n v="0"/>
    <n v="0"/>
    <n v="0"/>
    <n v="0"/>
    <n v="0"/>
    <n v="47840"/>
    <n v="0"/>
  </r>
  <r>
    <x v="7"/>
    <x v="0"/>
    <x v="0"/>
    <s v="7790102"/>
    <n v="718061"/>
    <s v="Contract Services-CRO Allocation"/>
    <s v="Unassigned"/>
    <x v="0"/>
    <m/>
    <n v="19216"/>
    <n v="19216"/>
    <n v="19216"/>
    <n v="19216"/>
    <n v="19216"/>
    <n v="19216"/>
    <n v="19216"/>
    <n v="19216"/>
    <n v="19216"/>
    <n v="19216"/>
    <n v="19216"/>
    <n v="19216"/>
    <n v="230592"/>
    <n v="0"/>
  </r>
  <r>
    <x v="7"/>
    <x v="0"/>
    <x v="0"/>
    <s v="7790102"/>
    <n v="718065"/>
    <s v="Contract Services-CHI Legal Fees"/>
    <s v="Unassigned"/>
    <x v="0"/>
    <m/>
    <n v="25357.08"/>
    <n v="25357.08"/>
    <n v="25357.08"/>
    <n v="25357.08"/>
    <n v="25357.08"/>
    <n v="25357.08"/>
    <n v="25357.08"/>
    <n v="25357.08"/>
    <n v="25357.08"/>
    <n v="25357.08"/>
    <n v="25357.08"/>
    <n v="25357.08"/>
    <n v="304284.96000000008"/>
    <n v="0"/>
  </r>
  <r>
    <x v="7"/>
    <x v="0"/>
    <x v="0"/>
    <s v="7790102"/>
    <n v="718066"/>
    <s v="Contract Services-CHI Tax Services"/>
    <s v="Unassigned"/>
    <x v="0"/>
    <m/>
    <n v="427"/>
    <n v="427"/>
    <n v="427"/>
    <n v="427"/>
    <n v="427"/>
    <n v="427"/>
    <n v="427"/>
    <n v="427"/>
    <n v="427"/>
    <n v="427"/>
    <n v="427"/>
    <n v="427"/>
    <n v="5124"/>
    <n v="0"/>
  </r>
  <r>
    <x v="7"/>
    <x v="0"/>
    <x v="0"/>
    <s v="7790102"/>
    <n v="718070"/>
    <s v="Contract Srvcs-CHI Clinical Engineering"/>
    <s v="Unassigned"/>
    <x v="0"/>
    <m/>
    <n v="-125726.7"/>
    <n v="-116613.27"/>
    <n v="-118228.72"/>
    <n v="-117893.75"/>
    <n v="-120486.14"/>
    <n v="-120620.4"/>
    <n v="-137215.01999999999"/>
    <n v="-147579.64000000001"/>
    <n v="-168130.16"/>
    <n v="-137383.56"/>
    <n v="-139974.24"/>
    <n v="-135456.51"/>
    <n v="-1585308.11"/>
    <n v="-4517.7299999999814"/>
  </r>
  <r>
    <x v="7"/>
    <x v="0"/>
    <x v="0"/>
    <s v="7790102"/>
    <n v="718075"/>
    <s v="Contract Srvcs-CHI ITS Steady State"/>
    <s v="Unassigned"/>
    <x v="0"/>
    <m/>
    <n v="880889"/>
    <n v="880889"/>
    <n v="880889"/>
    <n v="880889"/>
    <n v="880889"/>
    <n v="880889"/>
    <n v="880889"/>
    <n v="880889"/>
    <n v="880889"/>
    <n v="880889"/>
    <n v="880889"/>
    <n v="880889"/>
    <n v="10570668"/>
    <n v="0"/>
  </r>
  <r>
    <x v="11"/>
    <x v="0"/>
    <x v="0"/>
    <s v="7790102"/>
    <n v="721010"/>
    <s v="Supplies-Medical - Billable"/>
    <s v="Unassigned"/>
    <x v="0"/>
    <m/>
    <n v="0"/>
    <n v="0"/>
    <n v="-1510.34"/>
    <n v="1510.34"/>
    <n v="0"/>
    <n v="26880"/>
    <n v="13440"/>
    <n v="13440"/>
    <n v="13440"/>
    <n v="12180"/>
    <n v="15135.54"/>
    <n v="21341.42"/>
    <n v="115856.96000000001"/>
    <n v="-6205.8799999999974"/>
  </r>
  <r>
    <x v="11"/>
    <x v="0"/>
    <x v="0"/>
    <s v="7790102"/>
    <n v="721010"/>
    <s v="Patient Monitoring"/>
    <s v="Unassigned"/>
    <x v="0"/>
    <n v="1000"/>
    <n v="0"/>
    <n v="0"/>
    <n v="-3026.61"/>
    <n v="3026.61"/>
    <n v="0"/>
    <n v="0"/>
    <n v="0"/>
    <n v="0"/>
    <n v="0"/>
    <n v="0"/>
    <n v="0"/>
    <n v="0"/>
    <n v="0"/>
    <n v="0"/>
  </r>
  <r>
    <x v="11"/>
    <x v="0"/>
    <x v="0"/>
    <s v="7790102"/>
    <n v="721150"/>
    <s v="Supplies-Other Implants - Billable"/>
    <s v="Unassigned"/>
    <x v="0"/>
    <m/>
    <n v="0"/>
    <n v="0"/>
    <n v="-15806.14"/>
    <n v="15806.14"/>
    <n v="0"/>
    <n v="0"/>
    <n v="0"/>
    <n v="0"/>
    <n v="0"/>
    <n v="0"/>
    <n v="0"/>
    <n v="0"/>
    <n v="0"/>
    <n v="0"/>
  </r>
  <r>
    <x v="11"/>
    <x v="0"/>
    <x v="0"/>
    <s v="7790102"/>
    <n v="721410"/>
    <s v="Supplies-Medical - Nonbillable"/>
    <s v="Unassigned"/>
    <x v="0"/>
    <m/>
    <n v="1302.3499999999999"/>
    <n v="234.95"/>
    <n v="317.88"/>
    <n v="-161.87"/>
    <n v="3021.94"/>
    <n v="-1968.5"/>
    <n v="-812"/>
    <n v="3777.96"/>
    <n v="-4631.0600000000004"/>
    <n v="1924.13"/>
    <n v="-4704.17"/>
    <n v="4252.47"/>
    <n v="2554.08"/>
    <n v="-8956.64"/>
  </r>
  <r>
    <x v="11"/>
    <x v="0"/>
    <x v="0"/>
    <s v="7790102"/>
    <n v="721830"/>
    <s v="Supplies-Office"/>
    <s v="Unassigned"/>
    <x v="0"/>
    <m/>
    <n v="0"/>
    <n v="0"/>
    <n v="0"/>
    <n v="0"/>
    <n v="0"/>
    <n v="0"/>
    <n v="0"/>
    <n v="0"/>
    <n v="0"/>
    <n v="0"/>
    <n v="-233.8"/>
    <n v="0"/>
    <n v="-233.8"/>
    <n v="-233.8"/>
  </r>
  <r>
    <x v="11"/>
    <x v="0"/>
    <x v="0"/>
    <s v="7790102"/>
    <n v="721910"/>
    <s v="Supplies-Small Equipment"/>
    <s v="Unassigned"/>
    <x v="0"/>
    <m/>
    <n v="0"/>
    <n v="0"/>
    <n v="-8201.4"/>
    <n v="8201.4"/>
    <n v="0"/>
    <n v="0"/>
    <n v="0"/>
    <n v="0"/>
    <n v="0"/>
    <n v="0"/>
    <n v="0"/>
    <n v="0"/>
    <n v="0"/>
    <n v="0"/>
  </r>
  <r>
    <x v="11"/>
    <x v="0"/>
    <x v="0"/>
    <s v="7790102"/>
    <n v="721910"/>
    <s v="Instruments"/>
    <s v="Unassigned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7790102"/>
    <n v="721980"/>
    <s v="Supplies-Other"/>
    <s v="Unassigned"/>
    <x v="0"/>
    <m/>
    <n v="0"/>
    <n v="0"/>
    <n v="-8343.9699999999993"/>
    <n v="8343.9699999999993"/>
    <n v="0"/>
    <n v="0"/>
    <n v="0"/>
    <n v="0"/>
    <n v="0"/>
    <n v="0"/>
    <n v="0"/>
    <n v="0"/>
    <n v="0"/>
    <n v="0"/>
  </r>
  <r>
    <x v="11"/>
    <x v="0"/>
    <x v="0"/>
    <s v="7790102"/>
    <n v="722000"/>
    <s v="Supplies-Freight Expense"/>
    <s v="Unassigned"/>
    <x v="0"/>
    <m/>
    <n v="1226.6600000000001"/>
    <n v="785.17"/>
    <n v="818.14"/>
    <n v="806.64"/>
    <n v="1108.95"/>
    <n v="1343.2"/>
    <n v="2697.4"/>
    <n v="641.91999999999996"/>
    <n v="2447.12"/>
    <n v="1942.95"/>
    <n v="1374.23"/>
    <n v="1164.43"/>
    <n v="16356.810000000001"/>
    <n v="209.79999999999995"/>
  </r>
  <r>
    <x v="11"/>
    <x v="0"/>
    <x v="0"/>
    <s v="7790102"/>
    <n v="723000"/>
    <s v="Supply Rebates/Patronage Dividend"/>
    <s v="Unassigned"/>
    <x v="0"/>
    <m/>
    <n v="-42000"/>
    <n v="-78000"/>
    <n v="120000"/>
    <n v="-60000"/>
    <n v="-60000"/>
    <n v="119800.9"/>
    <n v="-65000"/>
    <n v="-65000"/>
    <n v="130000"/>
    <n v="-67000"/>
    <n v="-67000"/>
    <n v="134000"/>
    <n v="-199.10000000000582"/>
    <n v="-201000"/>
  </r>
  <r>
    <x v="11"/>
    <x v="0"/>
    <x v="0"/>
    <s v="7790102"/>
    <n v="723500"/>
    <s v="Discounts Taken *"/>
    <s v="Unassigned"/>
    <x v="0"/>
    <m/>
    <n v="0"/>
    <n v="-7.4"/>
    <n v="0"/>
    <n v="-7.4"/>
    <n v="-1.08"/>
    <n v="0"/>
    <n v="-7.4"/>
    <n v="-7.4"/>
    <n v="0"/>
    <n v="0"/>
    <n v="0"/>
    <n v="-22.2"/>
    <n v="-52.879999999999995"/>
    <n v="22.2"/>
  </r>
  <r>
    <x v="12"/>
    <x v="0"/>
    <x v="0"/>
    <s v="7790102"/>
    <n v="730010"/>
    <s v="Rental and Leases-Building (DO NOT USE)"/>
    <s v="Unassigned"/>
    <x v="0"/>
    <m/>
    <n v="9976.1200000000008"/>
    <n v="9976.1200000000008"/>
    <n v="9976.1200000000008"/>
    <n v="9976.1200000000008"/>
    <n v="9976.1200000000008"/>
    <n v="-26132.28"/>
    <n v="-8815.9500000000007"/>
    <n v="-345.86"/>
    <n v="2318.71"/>
    <n v="2251.3200000000002"/>
    <n v="2251.3200000000002"/>
    <n v="-22629.37"/>
    <n v="-1221.5099999999948"/>
    <n v="24880.69"/>
  </r>
  <r>
    <x v="12"/>
    <x v="0"/>
    <x v="0"/>
    <s v="7790102"/>
    <n v="730010"/>
    <s v="Rental-Common Area Maint (DO NOT USE)"/>
    <s v="Unassigned"/>
    <x v="0"/>
    <n v="2200"/>
    <n v="0"/>
    <n v="0"/>
    <n v="0"/>
    <n v="0"/>
    <n v="0"/>
    <n v="47433.88"/>
    <n v="8017.21"/>
    <n v="-41609.08"/>
    <n v="7932.72"/>
    <n v="8055.22"/>
    <n v="8055.22"/>
    <n v="5374.22"/>
    <n v="43259.39"/>
    <n v="2681"/>
  </r>
  <r>
    <x v="12"/>
    <x v="0"/>
    <x v="0"/>
    <s v="7790102"/>
    <n v="730020"/>
    <s v="Rental and Leases-Equipment (DO NOT USE)"/>
    <s v="Unassigned"/>
    <x v="0"/>
    <m/>
    <n v="2865.48"/>
    <n v="516.38"/>
    <n v="3401.01"/>
    <n v="-3057.21"/>
    <n v="6647"/>
    <n v="-4330.3"/>
    <n v="-1786.49"/>
    <n v="8311.7800000000007"/>
    <n v="-10188.709999999999"/>
    <n v="4232.53"/>
    <n v="-10347.73"/>
    <n v="9354.68"/>
    <n v="5618.4200000000028"/>
    <n v="-19702.41"/>
  </r>
  <r>
    <x v="12"/>
    <x v="0"/>
    <x v="0"/>
    <s v="7790102"/>
    <n v="730020"/>
    <s v="Rental and Leases-Copier Usage Fees (DO NOT USE)"/>
    <s v="Unassigned"/>
    <x v="0"/>
    <n v="5100"/>
    <n v="0"/>
    <n v="0"/>
    <n v="0"/>
    <n v="0"/>
    <n v="0"/>
    <n v="0"/>
    <n v="10404.370000000001"/>
    <n v="-5953.61"/>
    <n v="3930.54"/>
    <n v="-4855.38"/>
    <n v="809.23"/>
    <n v="0"/>
    <n v="4335.1500000000015"/>
    <n v="809.23"/>
  </r>
  <r>
    <x v="12"/>
    <x v="0"/>
    <x v="0"/>
    <s v="7790102"/>
    <n v="730040"/>
    <s v="LT Lease-Real Estate"/>
    <s v="Unassigned"/>
    <x v="0"/>
    <m/>
    <n v="0"/>
    <n v="0"/>
    <n v="0"/>
    <n v="0"/>
    <n v="0"/>
    <n v="0"/>
    <n v="0"/>
    <n v="0"/>
    <n v="0"/>
    <n v="0"/>
    <n v="0"/>
    <n v="25190.080000000002"/>
    <n v="25190.080000000002"/>
    <n v="-25190.080000000002"/>
  </r>
  <r>
    <x v="16"/>
    <x v="0"/>
    <x v="0"/>
    <s v="7790102"/>
    <n v="732030"/>
    <s v="Repairs&amp;Maintenance-Bldg Routine"/>
    <s v="Unassigned"/>
    <x v="0"/>
    <n v="2300"/>
    <n v="0"/>
    <n v="315"/>
    <n v="381"/>
    <n v="315"/>
    <n v="315"/>
    <n v="465.15"/>
    <n v="355"/>
    <n v="355"/>
    <n v="1278.27"/>
    <n v="0"/>
    <n v="6.8"/>
    <n v="13.6"/>
    <n v="3799.82"/>
    <n v="-6.8"/>
  </r>
  <r>
    <x v="16"/>
    <x v="0"/>
    <x v="0"/>
    <s v="7790102"/>
    <n v="733030"/>
    <s v="Maintenance Contracts-Other"/>
    <s v="Unassigned"/>
    <x v="0"/>
    <m/>
    <n v="0"/>
    <n v="0"/>
    <n v="0"/>
    <n v="0"/>
    <n v="0"/>
    <n v="6400"/>
    <n v="3200"/>
    <n v="3200"/>
    <n v="3200"/>
    <n v="2900"/>
    <n v="3603.7"/>
    <n v="5081.29"/>
    <n v="27584.99"/>
    <n v="-1477.5900000000001"/>
  </r>
  <r>
    <x v="13"/>
    <x v="0"/>
    <x v="0"/>
    <s v="7790102"/>
    <n v="735020"/>
    <s v="Depreciation-Land Improvements"/>
    <s v="Unassigned"/>
    <x v="0"/>
    <m/>
    <n v="9569.06"/>
    <n v="9569.0499999999993"/>
    <n v="9212.7000000000007"/>
    <n v="9212.68"/>
    <n v="9212.7000000000007"/>
    <n v="9212.66"/>
    <n v="9212.7000000000007"/>
    <n v="9212.66"/>
    <n v="9212.7000000000007"/>
    <n v="9212.66"/>
    <n v="9212.7000000000007"/>
    <n v="9212.65"/>
    <n v="111264.92"/>
    <n v="5.0000000001091394E-2"/>
  </r>
  <r>
    <x v="13"/>
    <x v="0"/>
    <x v="0"/>
    <s v="7790102"/>
    <n v="735030"/>
    <s v="Depreciation-Buildings"/>
    <s v="Unassigned"/>
    <x v="0"/>
    <m/>
    <n v="121067.38"/>
    <n v="121067.28"/>
    <n v="121067.44"/>
    <n v="121067.21"/>
    <n v="121067.65"/>
    <n v="121067.13"/>
    <n v="121067.73"/>
    <n v="121067.03"/>
    <n v="121067.8"/>
    <n v="121066.97"/>
    <n v="121067.91"/>
    <n v="121066.92"/>
    <n v="1452808.4499999997"/>
    <n v="0.99000000000523869"/>
  </r>
  <r>
    <x v="13"/>
    <x v="0"/>
    <x v="0"/>
    <s v="7790102"/>
    <n v="735040"/>
    <s v="Depreciation-Building Improvements"/>
    <s v="Unassigned"/>
    <x v="0"/>
    <m/>
    <n v="33325.760000000002"/>
    <n v="37955.47"/>
    <n v="37955.519999999997"/>
    <n v="24066.240000000002"/>
    <n v="33325.78"/>
    <n v="33325.68"/>
    <n v="33912.53"/>
    <n v="33912.410000000003"/>
    <n v="33912.54"/>
    <n v="33912.39"/>
    <n v="33912.57"/>
    <n v="33912.35"/>
    <n v="403429.24"/>
    <n v="0.22000000000116415"/>
  </r>
  <r>
    <x v="13"/>
    <x v="0"/>
    <x v="0"/>
    <s v="7790102"/>
    <n v="735050"/>
    <s v="Amortization-Leasehold Improvements"/>
    <s v="Unassigned"/>
    <x v="0"/>
    <m/>
    <n v="9242.94"/>
    <n v="9242.93"/>
    <n v="9242.94"/>
    <n v="9242.92"/>
    <n v="9242.9699999999993"/>
    <n v="9242.91"/>
    <n v="9242.99"/>
    <n v="9242.8799999999992"/>
    <n v="9243"/>
    <n v="9242.8799999999992"/>
    <n v="9243.0400000000009"/>
    <n v="9242.8799999999992"/>
    <n v="110915.28"/>
    <n v="0.16000000000167347"/>
  </r>
  <r>
    <x v="13"/>
    <x v="0"/>
    <x v="0"/>
    <s v="7790102"/>
    <n v="735060"/>
    <s v="Depreciation-Fixed Equipment"/>
    <s v="Unassigned"/>
    <x v="0"/>
    <m/>
    <n v="20321.12"/>
    <n v="20321.05"/>
    <n v="20321.189999999999"/>
    <n v="20320.96"/>
    <n v="20321.25"/>
    <n v="20320.87"/>
    <n v="20321.330000000002"/>
    <n v="20320.78"/>
    <n v="20321.38"/>
    <n v="20320.73"/>
    <n v="19117.63"/>
    <n v="18850.89"/>
    <n v="241179.18000000005"/>
    <n v="266.7400000000016"/>
  </r>
  <r>
    <x v="13"/>
    <x v="0"/>
    <x v="0"/>
    <s v="7790102"/>
    <n v="735070"/>
    <s v="Depreciation-Movable Equipment"/>
    <s v="Unassigned"/>
    <x v="0"/>
    <m/>
    <n v="156642.92000000001"/>
    <n v="156642.88"/>
    <n v="156642.93"/>
    <n v="156642.85999999999"/>
    <n v="156642.95000000001"/>
    <n v="150717.81"/>
    <n v="152031.04999999999"/>
    <n v="152030.91"/>
    <n v="152031.09"/>
    <n v="152030.88"/>
    <n v="152031.1"/>
    <n v="152030.85999999999"/>
    <n v="1846118.2400000002"/>
    <n v="0.2400000000197906"/>
  </r>
  <r>
    <x v="8"/>
    <x v="0"/>
    <x v="0"/>
    <s v="7790102"/>
    <n v="741010"/>
    <s v="Liability Insurance-CHI Programs"/>
    <s v="Unassigned"/>
    <x v="0"/>
    <m/>
    <n v="171684.23"/>
    <n v="171684.23"/>
    <n v="172045.71"/>
    <n v="171804.73"/>
    <n v="171804.73"/>
    <n v="171804.73"/>
    <n v="171804.73"/>
    <n v="171804.73"/>
    <n v="171804.73"/>
    <n v="171804.73"/>
    <n v="171804.73"/>
    <n v="171804.73"/>
    <n v="2061656.74"/>
    <n v="0"/>
  </r>
  <r>
    <x v="8"/>
    <x v="0"/>
    <x v="0"/>
    <s v="7790102"/>
    <n v="741030"/>
    <s v="Property Insurance-CHI Programs"/>
    <s v="Unassigned"/>
    <x v="0"/>
    <m/>
    <n v="14967.44"/>
    <n v="14967.44"/>
    <n v="15013.67"/>
    <n v="14982.85"/>
    <n v="14982.85"/>
    <n v="14982.85"/>
    <n v="14982.85"/>
    <n v="14982.85"/>
    <n v="14982.85"/>
    <n v="14982.85"/>
    <n v="14982.85"/>
    <n v="14982.85"/>
    <n v="179794.20000000004"/>
    <n v="0"/>
  </r>
  <r>
    <x v="8"/>
    <x v="0"/>
    <x v="0"/>
    <s v="7790102"/>
    <n v="741070"/>
    <s v="Insurance-Risk Mgmt Incentive Program"/>
    <s v="Unassigned"/>
    <x v="0"/>
    <m/>
    <n v="0"/>
    <n v="0"/>
    <n v="0"/>
    <n v="-75256"/>
    <n v="0"/>
    <n v="0"/>
    <n v="0"/>
    <n v="0"/>
    <n v="0"/>
    <n v="0"/>
    <n v="0"/>
    <n v="0"/>
    <n v="-75256"/>
    <n v="0"/>
  </r>
  <r>
    <x v="0"/>
    <x v="0"/>
    <x v="0"/>
    <s v="7790102"/>
    <n v="746020"/>
    <s v="Bank Fees--Ext to CHI Programs"/>
    <s v="Unassigned"/>
    <x v="0"/>
    <m/>
    <n v="1817.13"/>
    <n v="1463.95"/>
    <n v="1560.46"/>
    <n v="1396.79"/>
    <n v="1489.02"/>
    <n v="1438.78"/>
    <n v="1499.17"/>
    <n v="1365.73"/>
    <n v="1426.76"/>
    <n v="1714.12"/>
    <n v="1716.02"/>
    <n v="1671.57"/>
    <n v="18559.5"/>
    <n v="44.450000000000045"/>
  </r>
  <r>
    <x v="26"/>
    <x v="0"/>
    <x v="0"/>
    <s v="7790102"/>
    <n v="747001"/>
    <s v="National Assessment"/>
    <s v="Unassigned"/>
    <x v="0"/>
    <m/>
    <n v="211245"/>
    <n v="211245"/>
    <n v="211245"/>
    <n v="211245"/>
    <n v="211245"/>
    <n v="211245"/>
    <n v="155245"/>
    <n v="155245"/>
    <n v="155245"/>
    <n v="155245"/>
    <n v="155245"/>
    <n v="155245"/>
    <n v="2198940"/>
    <n v="0"/>
  </r>
  <r>
    <x v="0"/>
    <x v="0"/>
    <x v="0"/>
    <s v="7790102"/>
    <n v="749510"/>
    <s v="Miscellaneous Expenses"/>
    <s v="Unassigned"/>
    <x v="0"/>
    <m/>
    <n v="7813.3"/>
    <n v="1409.35"/>
    <n v="18562.23"/>
    <n v="-17624.22"/>
    <n v="18126.84"/>
    <n v="2271.1999999999998"/>
    <n v="2166.09"/>
    <n v="29708.63"/>
    <n v="-20745.490000000002"/>
    <n v="17922.86"/>
    <n v="-3423.25"/>
    <n v="34495.449999999997"/>
    <n v="90682.989999999991"/>
    <n v="-37918.699999999997"/>
  </r>
  <r>
    <x v="0"/>
    <x v="0"/>
    <x v="0"/>
    <s v="7790102"/>
    <n v="749510"/>
    <s v="Late Payment Penalties &amp; Interest"/>
    <s v="Unassigned"/>
    <x v="0"/>
    <n v="4600"/>
    <n v="41.64"/>
    <n v="-0.63"/>
    <n v="0"/>
    <n v="0"/>
    <n v="0"/>
    <n v="0"/>
    <n v="0"/>
    <n v="0"/>
    <n v="0"/>
    <n v="0"/>
    <n v="0"/>
    <n v="0"/>
    <n v="41.01"/>
    <n v="0"/>
  </r>
  <r>
    <x v="0"/>
    <x v="0"/>
    <x v="0"/>
    <s v="7790102"/>
    <n v="749510"/>
    <s v="Casualty Loss/Patient Property"/>
    <s v="Unassigned"/>
    <x v="0"/>
    <n v="4601"/>
    <n v="0"/>
    <n v="0"/>
    <n v="2500"/>
    <n v="0"/>
    <n v="0"/>
    <n v="0"/>
    <n v="0"/>
    <n v="0"/>
    <n v="0"/>
    <n v="0"/>
    <n v="0"/>
    <n v="0"/>
    <n v="2500"/>
    <n v="0"/>
  </r>
  <r>
    <x v="0"/>
    <x v="0"/>
    <x v="0"/>
    <s v="7790102"/>
    <n v="749510"/>
    <s v="RICE Rewards"/>
    <s v="Unassigned"/>
    <x v="0"/>
    <n v="5100"/>
    <n v="45000"/>
    <n v="0"/>
    <n v="0"/>
    <n v="0"/>
    <n v="0"/>
    <n v="-45000"/>
    <n v="0"/>
    <n v="0"/>
    <n v="0"/>
    <n v="0"/>
    <n v="0"/>
    <n v="0"/>
    <n v="0"/>
    <n v="0"/>
  </r>
  <r>
    <x v="0"/>
    <x v="0"/>
    <x v="0"/>
    <s v="7790102"/>
    <n v="749525"/>
    <s v="Contingent Liability Expense"/>
    <s v="Unassigned"/>
    <x v="0"/>
    <m/>
    <n v="0"/>
    <n v="0"/>
    <n v="0"/>
    <n v="0"/>
    <n v="0"/>
    <n v="0"/>
    <n v="0"/>
    <n v="0"/>
    <n v="0"/>
    <n v="0"/>
    <n v="0"/>
    <n v="1213900"/>
    <n v="1213900"/>
    <n v="-1213900"/>
  </r>
  <r>
    <x v="24"/>
    <x v="0"/>
    <x v="0"/>
    <s v="7790102"/>
    <n v="760020"/>
    <s v="Interest Exp--CHI Debt Prog-MBOs Only"/>
    <s v="Unassigned"/>
    <x v="0"/>
    <m/>
    <n v="2710.09"/>
    <n v="2564.5300000000002"/>
    <n v="2418.33"/>
    <n v="0"/>
    <n v="0"/>
    <n v="0"/>
    <n v="0"/>
    <n v="0"/>
    <n v="0"/>
    <n v="0"/>
    <n v="0"/>
    <n v="0"/>
    <n v="7692.9500000000007"/>
    <n v="0"/>
  </r>
  <r>
    <x v="24"/>
    <x v="0"/>
    <x v="0"/>
    <s v="7790102"/>
    <n v="760030"/>
    <s v="Interest Expense-Ext to CHI Programs"/>
    <s v="Unassigned"/>
    <x v="0"/>
    <m/>
    <n v="9054.7000000000007"/>
    <n v="8822.15"/>
    <n v="8588.9500000000007"/>
    <n v="8355.1299999999992"/>
    <n v="8120.66"/>
    <n v="7885.55"/>
    <n v="7649.8"/>
    <n v="-36021.660000000003"/>
    <n v="3218.48"/>
    <n v="8265.7999999999993"/>
    <n v="5528.07"/>
    <n v="5370.82"/>
    <n v="44838.45"/>
    <n v="157.25"/>
  </r>
  <r>
    <x v="0"/>
    <x v="0"/>
    <x v="0"/>
    <s v="7790102"/>
    <n v="766010"/>
    <s v="Property Tax"/>
    <s v="Unassigned"/>
    <x v="0"/>
    <m/>
    <n v="10287.25"/>
    <n v="10287.25"/>
    <n v="10287.25"/>
    <n v="10287.200000000001"/>
    <n v="10287.25"/>
    <n v="10287.25"/>
    <n v="10287.52"/>
    <n v="10287.52"/>
    <n v="10287.52"/>
    <n v="3717.8"/>
    <n v="8645.09"/>
    <n v="8645.09"/>
    <n v="113593.99"/>
    <n v="0"/>
  </r>
  <r>
    <x v="0"/>
    <x v="0"/>
    <x v="0"/>
    <s v="7790102"/>
    <n v="766070"/>
    <s v="Sales and Use Tax"/>
    <s v="Unassigned"/>
    <x v="0"/>
    <m/>
    <n v="25435.71"/>
    <n v="29309.06"/>
    <n v="21740.79"/>
    <n v="42445.88"/>
    <n v="27359.919999999998"/>
    <n v="42987.79"/>
    <n v="33758.94"/>
    <n v="32911.949999999997"/>
    <n v="34940.620000000003"/>
    <n v="35901.51"/>
    <n v="36753.199999999997"/>
    <n v="39894.44"/>
    <n v="403439.81"/>
    <n v="-3141.2400000000052"/>
  </r>
  <r>
    <x v="0"/>
    <x v="0"/>
    <x v="0"/>
    <s v="7790102"/>
    <n v="766090"/>
    <s v="Franchise and Excise Tax"/>
    <s v="Unassigned"/>
    <x v="0"/>
    <n v="1001"/>
    <n v="173125.11"/>
    <n v="43307.99"/>
    <n v="193760.3"/>
    <n v="168805.4"/>
    <n v="174182.5"/>
    <n v="196263.5"/>
    <n v="179899.75"/>
    <n v="190104.37"/>
    <n v="161854.35999999999"/>
    <n v="180325.03"/>
    <n v="185967.58"/>
    <n v="200460.55"/>
    <n v="2048056.44"/>
    <n v="-14492.970000000001"/>
  </r>
  <r>
    <x v="0"/>
    <x v="0"/>
    <x v="0"/>
    <s v="7790102"/>
    <n v="766092"/>
    <s v="Provider Tax-Program Expense"/>
    <s v="Unassigned"/>
    <x v="0"/>
    <m/>
    <n v="524030"/>
    <n v="524030"/>
    <n v="353886"/>
    <n v="467315.33"/>
    <n v="460897"/>
    <n v="466030.67"/>
    <n v="466031.5"/>
    <n v="466031.5"/>
    <n v="466031.5"/>
    <n v="466031.5"/>
    <n v="466031.5"/>
    <n v="466031.5"/>
    <n v="5592378"/>
    <n v="0"/>
  </r>
  <r>
    <x v="25"/>
    <x v="0"/>
    <x v="0"/>
    <s v="7790102"/>
    <n v="770010"/>
    <s v="Restructuring Losses"/>
    <s v="Unassigned"/>
    <x v="0"/>
    <m/>
    <n v="-29700"/>
    <n v="0"/>
    <n v="0"/>
    <n v="0"/>
    <n v="0"/>
    <n v="0"/>
    <n v="0"/>
    <n v="0"/>
    <n v="0"/>
    <n v="0"/>
    <n v="0"/>
    <n v="0"/>
    <n v="-29700"/>
    <n v="0"/>
  </r>
  <r>
    <x v="9"/>
    <x v="0"/>
    <x v="0"/>
    <s v="7790102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900853.06"/>
    <n v="900853.06"/>
    <n v="-900853.06"/>
  </r>
  <r>
    <x v="18"/>
    <x v="4"/>
    <x v="0"/>
    <s v="7790103"/>
    <n v="400010"/>
    <s v="Acute I/P Svcs Rev--Medicare"/>
    <s v="Unassigned"/>
    <x v="0"/>
    <n v="1100"/>
    <n v="0"/>
    <n v="0"/>
    <n v="0"/>
    <n v="0"/>
    <n v="0"/>
    <n v="-3445.86"/>
    <n v="3445.86"/>
    <n v="0"/>
    <n v="0"/>
    <n v="0"/>
    <n v="0"/>
    <n v="0"/>
    <n v="0"/>
    <n v="0"/>
  </r>
  <r>
    <x v="18"/>
    <x v="4"/>
    <x v="0"/>
    <s v="7790103"/>
    <n v="400010"/>
    <s v="Acute I/P Svcs Rev--Medicaid"/>
    <s v="Unassigned"/>
    <x v="0"/>
    <n v="1200"/>
    <n v="0"/>
    <n v="0"/>
    <n v="0"/>
    <n v="0"/>
    <n v="0"/>
    <n v="-21710.16"/>
    <n v="21710.16"/>
    <n v="0"/>
    <n v="0"/>
    <n v="0"/>
    <n v="0"/>
    <n v="0"/>
    <n v="0"/>
    <n v="0"/>
  </r>
  <r>
    <x v="18"/>
    <x v="4"/>
    <x v="0"/>
    <s v="7790103"/>
    <n v="400010"/>
    <s v="Acute I/P Svcs Rev--Managed Care"/>
    <s v="Unassigned"/>
    <x v="0"/>
    <n v="1400"/>
    <n v="-339182.7"/>
    <n v="311833.36"/>
    <n v="-80956.149999999994"/>
    <n v="-135618.26"/>
    <n v="84951.91"/>
    <n v="155744.56"/>
    <n v="-6132"/>
    <n v="-235458.18"/>
    <n v="338534.56"/>
    <n v="-221303.73"/>
    <n v="149209.92000000001"/>
    <n v="-8671.57"/>
    <n v="12951.719999999979"/>
    <n v="157881.49000000002"/>
  </r>
  <r>
    <x v="19"/>
    <x v="4"/>
    <x v="0"/>
    <s v="7790103"/>
    <n v="400020"/>
    <s v="O/P Care Svcs Rev--Medicaid"/>
    <s v="Unassigned"/>
    <x v="0"/>
    <n v="1200"/>
    <n v="0"/>
    <n v="0"/>
    <n v="0"/>
    <n v="0"/>
    <n v="0"/>
    <n v="0"/>
    <n v="0"/>
    <n v="0"/>
    <n v="0"/>
    <n v="-14900.28"/>
    <n v="14900.28"/>
    <n v="0"/>
    <n v="0"/>
    <n v="14900.28"/>
  </r>
  <r>
    <x v="19"/>
    <x v="4"/>
    <x v="0"/>
    <s v="7790103"/>
    <n v="400020"/>
    <s v="O/P Care Svcs Rev--Managed Care"/>
    <s v="Unassigned"/>
    <x v="0"/>
    <n v="1400"/>
    <n v="-118424.73"/>
    <n v="118021.69"/>
    <n v="-223172.96"/>
    <n v="266091.69"/>
    <n v="-384566.4"/>
    <n v="379696.5"/>
    <n v="-401512.1"/>
    <n v="177888.96"/>
    <n v="-496735.05"/>
    <n v="750127.66"/>
    <n v="-48854.22"/>
    <n v="261350.65"/>
    <n v="279911.69"/>
    <n v="-310204.87"/>
  </r>
  <r>
    <x v="19"/>
    <x v="4"/>
    <x v="0"/>
    <s v="7790103"/>
    <n v="400020"/>
    <s v="O/P Care Svcs Rev--Other"/>
    <s v="Unassigned"/>
    <x v="0"/>
    <n v="1700"/>
    <n v="0"/>
    <n v="0"/>
    <n v="0"/>
    <n v="0"/>
    <n v="0"/>
    <n v="0"/>
    <n v="0"/>
    <n v="0"/>
    <n v="0"/>
    <n v="-6616.13"/>
    <n v="6616.13"/>
    <n v="0"/>
    <n v="0"/>
    <n v="6616.13"/>
  </r>
  <r>
    <x v="2"/>
    <x v="4"/>
    <x v="0"/>
    <s v="7790103"/>
    <n v="450040"/>
    <s v="Contr Allow--Phys Svcs--BCBS Mgnd Care"/>
    <s v="Unassigned"/>
    <x v="0"/>
    <n v="1401"/>
    <n v="0"/>
    <n v="0"/>
    <n v="0"/>
    <n v="0"/>
    <n v="476.84"/>
    <n v="6.98"/>
    <n v="-110.3"/>
    <n v="5.42"/>
    <n v="0.24"/>
    <n v="33.69"/>
    <n v="7.37"/>
    <n v="-2.4300000000000002"/>
    <n v="417.81"/>
    <n v="9.8000000000000007"/>
  </r>
  <r>
    <x v="3"/>
    <x v="4"/>
    <x v="0"/>
    <s v="7790103"/>
    <n v="470040"/>
    <s v="Charity Care-Physician Svcs"/>
    <s v="Unassigned"/>
    <x v="0"/>
    <m/>
    <n v="0"/>
    <n v="0"/>
    <n v="0"/>
    <n v="0"/>
    <n v="17.05"/>
    <n v="-1.67"/>
    <n v="-3.99"/>
    <n v="-0.74"/>
    <n v="1.8"/>
    <n v="0.42"/>
    <n v="-1.46"/>
    <n v="2.37"/>
    <n v="13.780000000000001"/>
    <n v="-3.83"/>
  </r>
  <r>
    <x v="4"/>
    <x v="4"/>
    <x v="0"/>
    <s v="7790103"/>
    <n v="490010"/>
    <s v="Provision for Bad Debts"/>
    <s v="Unassigned"/>
    <x v="0"/>
    <m/>
    <n v="0"/>
    <n v="0"/>
    <n v="0"/>
    <n v="0"/>
    <n v="112.21"/>
    <n v="-3.7"/>
    <n v="-29.15"/>
    <n v="-2.78"/>
    <n v="1.56"/>
    <n v="2.67"/>
    <n v="-0.47"/>
    <n v="1.66"/>
    <n v="81.999999999999986"/>
    <n v="-2.13"/>
  </r>
  <r>
    <x v="14"/>
    <x v="4"/>
    <x v="0"/>
    <s v="7790103"/>
    <n v="600026"/>
    <s v="POB Rental"/>
    <s v="Unassigned"/>
    <x v="0"/>
    <n v="1001"/>
    <n v="-8034.68"/>
    <n v="-8034.68"/>
    <n v="-8034.68"/>
    <n v="-8034.68"/>
    <n v="-7998.11"/>
    <n v="-8034.68"/>
    <n v="-8034.68"/>
    <n v="-7924.97"/>
    <n v="-8034.68"/>
    <n v="-9672.57"/>
    <n v="-11417.17"/>
    <n v="-6909"/>
    <n v="-100164.58"/>
    <n v="-4508.17"/>
  </r>
  <r>
    <x v="14"/>
    <x v="4"/>
    <x v="0"/>
    <s v="7790103"/>
    <n v="600058"/>
    <s v="Meaningful Use Revenue-Medicare"/>
    <s v="Unassigned"/>
    <x v="0"/>
    <m/>
    <n v="0"/>
    <n v="0"/>
    <n v="0"/>
    <n v="0"/>
    <n v="-16735.54"/>
    <n v="0"/>
    <n v="0"/>
    <n v="0"/>
    <n v="0"/>
    <n v="0"/>
    <n v="0"/>
    <n v="0"/>
    <n v="-16735.54"/>
    <n v="0"/>
  </r>
  <r>
    <x v="14"/>
    <x v="4"/>
    <x v="0"/>
    <s v="7790103"/>
    <n v="600059"/>
    <s v="Meaningful Use Revenue-Medicaid"/>
    <s v="Unassigned"/>
    <x v="0"/>
    <m/>
    <n v="0"/>
    <n v="0"/>
    <n v="0"/>
    <n v="0"/>
    <n v="0"/>
    <n v="0"/>
    <n v="0"/>
    <n v="0"/>
    <n v="0"/>
    <n v="0"/>
    <n v="-323708.34000000003"/>
    <n v="323708"/>
    <n v="-0.34000000002561137"/>
    <n v="-647416.34000000008"/>
  </r>
  <r>
    <x v="5"/>
    <x v="4"/>
    <x v="0"/>
    <s v="7790103"/>
    <n v="700054"/>
    <s v="Salaries-Management-NonProd-Other"/>
    <s v="Unassigned"/>
    <x v="0"/>
    <n v="2000"/>
    <n v="0"/>
    <n v="0"/>
    <n v="0"/>
    <n v="0"/>
    <n v="0"/>
    <n v="0"/>
    <n v="214.3"/>
    <n v="-214.3"/>
    <n v="0"/>
    <n v="0"/>
    <n v="0"/>
    <n v="0"/>
    <n v="0"/>
    <n v="0"/>
  </r>
  <r>
    <x v="5"/>
    <x v="4"/>
    <x v="0"/>
    <s v="7790103"/>
    <n v="700082"/>
    <s v="Salaries-Other-Non-productive"/>
    <s v="Unassigned"/>
    <x v="0"/>
    <m/>
    <n v="13000"/>
    <n v="13000"/>
    <n v="5200"/>
    <n v="3500"/>
    <n v="2000"/>
    <n v="3200"/>
    <n v="3200"/>
    <n v="3200"/>
    <n v="3200"/>
    <n v="3200"/>
    <n v="3200"/>
    <n v="3300"/>
    <n v="59200"/>
    <n v="-100"/>
  </r>
  <r>
    <x v="5"/>
    <x v="4"/>
    <x v="0"/>
    <s v="7790103"/>
    <n v="700084"/>
    <s v="Accrued PTO"/>
    <s v="Unassigned"/>
    <x v="0"/>
    <m/>
    <n v="0"/>
    <n v="0"/>
    <n v="0"/>
    <n v="0"/>
    <n v="-47000"/>
    <n v="47000"/>
    <n v="0"/>
    <n v="0"/>
    <n v="0"/>
    <n v="0"/>
    <n v="0"/>
    <n v="0"/>
    <n v="0"/>
    <n v="0"/>
  </r>
  <r>
    <x v="17"/>
    <x v="4"/>
    <x v="0"/>
    <s v="7790103"/>
    <n v="714530"/>
    <s v="Medical Prof Fees-Intracompany"/>
    <s v="Unassigned"/>
    <x v="0"/>
    <m/>
    <n v="292553.98"/>
    <n v="279462.2"/>
    <n v="274078.90000000002"/>
    <n v="289751.07"/>
    <n v="289488.78000000003"/>
    <n v="330039.71999999997"/>
    <n v="356557.68"/>
    <n v="373086.59"/>
    <n v="349816.76"/>
    <n v="295072.03000000003"/>
    <n v="345923.98"/>
    <n v="242898.11"/>
    <n v="3718729.8"/>
    <n v="103025.87"/>
  </r>
  <r>
    <x v="7"/>
    <x v="4"/>
    <x v="0"/>
    <s v="7790103"/>
    <n v="718050"/>
    <s v="Miscellaneous Purchased Svcs"/>
    <s v="Unassigned"/>
    <x v="0"/>
    <n v="1020"/>
    <n v="24311.279999999999"/>
    <n v="-5237.34"/>
    <n v="25122.37"/>
    <n v="-22467.11"/>
    <n v="-15277.36"/>
    <n v="39990.92"/>
    <n v="24517.26"/>
    <n v="18534.82"/>
    <n v="25115.48"/>
    <n v="28760.03"/>
    <n v="1018.35"/>
    <n v="44295.89"/>
    <n v="188684.58999999997"/>
    <n v="-43277.54"/>
  </r>
  <r>
    <x v="7"/>
    <x v="4"/>
    <x v="0"/>
    <s v="7790103"/>
    <n v="718050"/>
    <s v="Translation Services"/>
    <s v="Unassigned"/>
    <x v="0"/>
    <n v="1025"/>
    <n v="0"/>
    <n v="0"/>
    <n v="0"/>
    <n v="32"/>
    <n v="0"/>
    <n v="49"/>
    <n v="0"/>
    <n v="0"/>
    <n v="0"/>
    <n v="54"/>
    <n v="0"/>
    <n v="0"/>
    <n v="135"/>
    <n v="0"/>
  </r>
  <r>
    <x v="7"/>
    <x v="4"/>
    <x v="0"/>
    <s v="7790103"/>
    <n v="718050"/>
    <s v="Purchased Srvcs-Medical/Clinical Review"/>
    <s v="Unassigned"/>
    <x v="0"/>
    <n v="1032"/>
    <n v="0"/>
    <n v="0"/>
    <n v="0"/>
    <n v="0"/>
    <n v="0"/>
    <n v="29889.85"/>
    <n v="0"/>
    <n v="0"/>
    <n v="0"/>
    <n v="0"/>
    <n v="0"/>
    <n v="0"/>
    <n v="29889.85"/>
    <n v="0"/>
  </r>
  <r>
    <x v="7"/>
    <x v="4"/>
    <x v="0"/>
    <s v="7790103"/>
    <n v="718061"/>
    <s v="Contract Services-CRO Allocation"/>
    <s v="Unassigned"/>
    <x v="0"/>
    <m/>
    <n v="13975"/>
    <n v="13975"/>
    <n v="13975"/>
    <n v="13975"/>
    <n v="13975"/>
    <n v="13975"/>
    <n v="13975"/>
    <n v="13975"/>
    <n v="13975"/>
    <n v="13975"/>
    <n v="13975"/>
    <n v="13975"/>
    <n v="167700"/>
    <n v="0"/>
  </r>
  <r>
    <x v="7"/>
    <x v="4"/>
    <x v="0"/>
    <s v="7790103"/>
    <n v="718065"/>
    <s v="Contract Services-CHI Legal Fees"/>
    <s v="Unassigned"/>
    <x v="0"/>
    <m/>
    <n v="18441.5"/>
    <n v="18441.5"/>
    <n v="18441.5"/>
    <n v="18441.5"/>
    <n v="18441.5"/>
    <n v="18441.5"/>
    <n v="18441.5"/>
    <n v="18441.5"/>
    <n v="18441.5"/>
    <n v="18441.5"/>
    <n v="18441.5"/>
    <n v="18441.5"/>
    <n v="221298"/>
    <n v="0"/>
  </r>
  <r>
    <x v="7"/>
    <x v="4"/>
    <x v="0"/>
    <s v="7790103"/>
    <n v="718066"/>
    <s v="Contract Services-CHI Tax Services"/>
    <s v="Unassigned"/>
    <x v="0"/>
    <m/>
    <n v="256"/>
    <n v="256"/>
    <n v="256"/>
    <n v="256"/>
    <n v="256"/>
    <n v="256"/>
    <n v="256"/>
    <n v="256"/>
    <n v="256"/>
    <n v="256"/>
    <n v="256"/>
    <n v="256"/>
    <n v="3072"/>
    <n v="0"/>
  </r>
  <r>
    <x v="7"/>
    <x v="4"/>
    <x v="0"/>
    <s v="7790103"/>
    <n v="718070"/>
    <s v="Contract Srvcs-CHI Clinical Engineering"/>
    <s v="Unassigned"/>
    <x v="0"/>
    <m/>
    <n v="-66675.740000000005"/>
    <n v="-67176.67"/>
    <n v="-66561.919999999998"/>
    <n v="-70042.289999999994"/>
    <n v="-69585.490000000005"/>
    <n v="-75900.94"/>
    <n v="-77776.36"/>
    <n v="-79030.48"/>
    <n v="-78275.55"/>
    <n v="-75073.600000000006"/>
    <n v="-76652.83"/>
    <n v="-74912.210000000006"/>
    <n v="-877664.08"/>
    <n v="-1740.6199999999953"/>
  </r>
  <r>
    <x v="7"/>
    <x v="4"/>
    <x v="0"/>
    <s v="7790103"/>
    <n v="718071"/>
    <s v="Contract Srvcs-CHI Facilities Mgmt"/>
    <s v="Unassigned"/>
    <x v="0"/>
    <m/>
    <n v="2.37"/>
    <n v="0"/>
    <n v="0"/>
    <n v="2.37"/>
    <n v="0"/>
    <n v="0"/>
    <n v="2.37"/>
    <n v="0"/>
    <n v="26.07"/>
    <n v="0"/>
    <n v="0"/>
    <n v="2.37"/>
    <n v="35.549999999999997"/>
    <n v="-2.37"/>
  </r>
  <r>
    <x v="7"/>
    <x v="4"/>
    <x v="0"/>
    <s v="7790103"/>
    <n v="718075"/>
    <s v="Contract Srvcs-CHI ITS Steady State"/>
    <s v="Unassigned"/>
    <x v="0"/>
    <m/>
    <n v="640647"/>
    <n v="640647"/>
    <n v="640647"/>
    <n v="640647"/>
    <n v="640647"/>
    <n v="640647"/>
    <n v="640647"/>
    <n v="640647"/>
    <n v="640647"/>
    <n v="640647"/>
    <n v="640647"/>
    <n v="640647"/>
    <n v="7687764"/>
    <n v="0"/>
  </r>
  <r>
    <x v="11"/>
    <x v="4"/>
    <x v="0"/>
    <s v="7790103"/>
    <n v="721010"/>
    <s v="Supplies-Medical - Billable"/>
    <s v="Unassigned"/>
    <x v="0"/>
    <m/>
    <n v="0"/>
    <n v="0"/>
    <n v="-2025.76"/>
    <n v="2025.76"/>
    <n v="0"/>
    <n v="13440"/>
    <n v="6720"/>
    <n v="6720"/>
    <n v="6720"/>
    <n v="5754"/>
    <n v="8000.16"/>
    <n v="10842.01"/>
    <n v="58196.170000000006"/>
    <n v="-2841.8500000000004"/>
  </r>
  <r>
    <x v="11"/>
    <x v="4"/>
    <x v="0"/>
    <s v="7790103"/>
    <n v="721020"/>
    <s v="Supplies-Surgical - Billable"/>
    <s v="Unassigned"/>
    <x v="0"/>
    <m/>
    <n v="0"/>
    <n v="0"/>
    <n v="-267.14"/>
    <n v="267.14"/>
    <n v="0"/>
    <n v="0"/>
    <n v="0"/>
    <n v="0"/>
    <n v="0"/>
    <n v="0"/>
    <n v="0"/>
    <n v="0"/>
    <n v="0"/>
    <n v="0"/>
  </r>
  <r>
    <x v="11"/>
    <x v="4"/>
    <x v="0"/>
    <s v="7790103"/>
    <n v="721150"/>
    <s v="Supplies-Other Implants - Billable"/>
    <s v="Unassigned"/>
    <x v="0"/>
    <m/>
    <n v="0"/>
    <n v="0"/>
    <n v="-4093.9"/>
    <n v="4093.9"/>
    <n v="0"/>
    <n v="0"/>
    <n v="0"/>
    <n v="0"/>
    <n v="0"/>
    <n v="0"/>
    <n v="0"/>
    <n v="0"/>
    <n v="0"/>
    <n v="0"/>
  </r>
  <r>
    <x v="11"/>
    <x v="4"/>
    <x v="0"/>
    <s v="7790103"/>
    <n v="721410"/>
    <s v="Supplies-Medical - Nonbillable"/>
    <s v="Unassigned"/>
    <x v="0"/>
    <m/>
    <n v="1787.8"/>
    <n v="-1239.4000000000001"/>
    <n v="-906.01"/>
    <n v="-672.71"/>
    <n v="-18.68"/>
    <n v="-560"/>
    <n v="1009"/>
    <n v="577.88"/>
    <n v="-824.68"/>
    <n v="1779.64"/>
    <n v="-3496.76"/>
    <n v="3073.16"/>
    <n v="509.23999999999978"/>
    <n v="-6569.92"/>
  </r>
  <r>
    <x v="11"/>
    <x v="4"/>
    <x v="0"/>
    <s v="7790103"/>
    <n v="721710"/>
    <s v="Supplies-Laboratory - Nonbillable"/>
    <s v="Unassigned"/>
    <x v="0"/>
    <m/>
    <n v="0"/>
    <n v="0"/>
    <n v="-992.25"/>
    <n v="992.25"/>
    <n v="0"/>
    <n v="0"/>
    <n v="0"/>
    <n v="0"/>
    <n v="0"/>
    <n v="0"/>
    <n v="0"/>
    <n v="0"/>
    <n v="0"/>
    <n v="0"/>
  </r>
  <r>
    <x v="11"/>
    <x v="4"/>
    <x v="0"/>
    <s v="7790103"/>
    <n v="721830"/>
    <s v="Supplies-Office"/>
    <s v="Unassigned"/>
    <x v="0"/>
    <m/>
    <n v="0"/>
    <n v="0"/>
    <n v="-1"/>
    <n v="1"/>
    <n v="0"/>
    <n v="0"/>
    <n v="0"/>
    <n v="0"/>
    <n v="0"/>
    <n v="0"/>
    <n v="359.53"/>
    <n v="0"/>
    <n v="359.53"/>
    <n v="359.53"/>
  </r>
  <r>
    <x v="11"/>
    <x v="4"/>
    <x v="0"/>
    <s v="7790103"/>
    <n v="721980"/>
    <s v="Supplies-Other"/>
    <s v="Unassigned"/>
    <x v="0"/>
    <m/>
    <n v="0"/>
    <n v="0"/>
    <n v="-225.1"/>
    <n v="225.1"/>
    <n v="0"/>
    <n v="0"/>
    <n v="0"/>
    <n v="0"/>
    <n v="0"/>
    <n v="0"/>
    <n v="0"/>
    <n v="0"/>
    <n v="0"/>
    <n v="0"/>
  </r>
  <r>
    <x v="11"/>
    <x v="4"/>
    <x v="0"/>
    <s v="7790103"/>
    <n v="722000"/>
    <s v="Supplies-Freight Expense"/>
    <s v="Unassigned"/>
    <x v="0"/>
    <m/>
    <n v="246.82"/>
    <n v="746.3"/>
    <n v="827.98"/>
    <n v="562.09"/>
    <n v="549.76"/>
    <n v="671.05"/>
    <n v="983.18"/>
    <n v="440.66"/>
    <n v="744.91"/>
    <n v="937.87"/>
    <n v="1273.81"/>
    <n v="1387.09"/>
    <n v="9371.52"/>
    <n v="-113.27999999999997"/>
  </r>
  <r>
    <x v="11"/>
    <x v="4"/>
    <x v="0"/>
    <s v="7790103"/>
    <n v="723000"/>
    <s v="Supply Rebates/Patronage Dividend"/>
    <s v="Unassigned"/>
    <x v="0"/>
    <m/>
    <n v="-33000"/>
    <n v="-33000"/>
    <n v="66000"/>
    <n v="-33000"/>
    <n v="-33000"/>
    <n v="65711.97"/>
    <n v="-40000"/>
    <n v="-40000"/>
    <n v="80000"/>
    <n v="-45000"/>
    <n v="-45000"/>
    <n v="90000"/>
    <n v="-288.02999999999884"/>
    <n v="-135000"/>
  </r>
  <r>
    <x v="11"/>
    <x v="4"/>
    <x v="0"/>
    <s v="7790103"/>
    <n v="723500"/>
    <s v="Discounts Taken *"/>
    <s v="Unassigned"/>
    <x v="0"/>
    <m/>
    <n v="0"/>
    <n v="0"/>
    <n v="0"/>
    <n v="-0.52"/>
    <n v="-1.08"/>
    <n v="-7.4"/>
    <n v="-7.4"/>
    <n v="-1.89"/>
    <n v="-7.4"/>
    <n v="0"/>
    <n v="-7.4"/>
    <n v="-14.8"/>
    <n v="-47.89"/>
    <n v="7.4"/>
  </r>
  <r>
    <x v="12"/>
    <x v="4"/>
    <x v="0"/>
    <s v="7790103"/>
    <n v="730010"/>
    <s v="Rental and Leases-Building (DO NOT USE)"/>
    <s v="Unassigned"/>
    <x v="0"/>
    <m/>
    <n v="0"/>
    <n v="0"/>
    <n v="0"/>
    <n v="0"/>
    <n v="0"/>
    <n v="0"/>
    <n v="0"/>
    <n v="24660.07"/>
    <n v="0"/>
    <n v="0"/>
    <n v="0"/>
    <n v="0"/>
    <n v="24660.07"/>
    <n v="0"/>
  </r>
  <r>
    <x v="12"/>
    <x v="4"/>
    <x v="0"/>
    <s v="7790103"/>
    <n v="730010"/>
    <s v="Rental-Common Area Maint (DO NOT USE)"/>
    <s v="Unassigned"/>
    <x v="0"/>
    <n v="2200"/>
    <n v="0"/>
    <n v="0"/>
    <n v="0"/>
    <n v="0"/>
    <n v="0"/>
    <n v="0"/>
    <n v="0"/>
    <n v="-29558.92"/>
    <n v="0"/>
    <n v="0"/>
    <n v="0"/>
    <n v="0"/>
    <n v="-29558.92"/>
    <n v="0"/>
  </r>
  <r>
    <x v="12"/>
    <x v="4"/>
    <x v="0"/>
    <s v="7790103"/>
    <n v="730020"/>
    <s v="Rental and Leases-Equipment (DO NOT USE)"/>
    <s v="Unassigned"/>
    <x v="0"/>
    <m/>
    <n v="3934.44"/>
    <n v="-2726.36"/>
    <n v="-10944.92"/>
    <n v="7471.32"/>
    <n v="-41"/>
    <n v="-1233.4000000000001"/>
    <n v="2221.2800000000002"/>
    <n v="1269.8399999999999"/>
    <n v="-1812.88"/>
    <n v="3914.84"/>
    <n v="-7691.44"/>
    <n v="6759.04"/>
    <n v="1120.7600000000002"/>
    <n v="-14450.48"/>
  </r>
  <r>
    <x v="12"/>
    <x v="4"/>
    <x v="0"/>
    <s v="7790103"/>
    <n v="730020"/>
    <s v="Rental and Leases-Copier Usage Fees (DO NOT USE)"/>
    <s v="Unassigned"/>
    <x v="0"/>
    <n v="5100"/>
    <n v="0"/>
    <n v="0"/>
    <n v="0"/>
    <n v="0"/>
    <n v="0"/>
    <n v="0"/>
    <n v="5627.31"/>
    <n v="-3220.08"/>
    <n v="2125.87"/>
    <n v="-2626.07"/>
    <n v="437.68"/>
    <n v="0"/>
    <n v="2344.71"/>
    <n v="437.68"/>
  </r>
  <r>
    <x v="15"/>
    <x v="4"/>
    <x v="0"/>
    <s v="7790103"/>
    <n v="731020"/>
    <s v="Electricity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6"/>
    <x v="4"/>
    <x v="0"/>
    <s v="7790103"/>
    <n v="733030"/>
    <s v="Maintenance Contracts-Other"/>
    <s v="Unassigned"/>
    <x v="0"/>
    <m/>
    <n v="0"/>
    <n v="0"/>
    <n v="0"/>
    <n v="0"/>
    <n v="0"/>
    <n v="3200"/>
    <n v="1600"/>
    <n v="1600"/>
    <n v="1600"/>
    <n v="1370"/>
    <n v="1904.8"/>
    <n v="2581.4299999999998"/>
    <n v="13856.23"/>
    <n v="-676.62999999999988"/>
  </r>
  <r>
    <x v="13"/>
    <x v="4"/>
    <x v="0"/>
    <s v="7790103"/>
    <n v="735020"/>
    <s v="Depreciation-Land Improvements"/>
    <s v="Unassigned"/>
    <x v="0"/>
    <m/>
    <n v="4470.1099999999997"/>
    <n v="4470.09"/>
    <n v="4470.12"/>
    <n v="4470.08"/>
    <n v="4470.12"/>
    <n v="4470.08"/>
    <n v="4470.13"/>
    <n v="4470.08"/>
    <n v="4470.1499999999996"/>
    <n v="4470.08"/>
    <n v="4470.1499999999996"/>
    <n v="4470.08"/>
    <n v="53641.270000000004"/>
    <n v="6.9999999999708962E-2"/>
  </r>
  <r>
    <x v="13"/>
    <x v="4"/>
    <x v="0"/>
    <s v="7790103"/>
    <n v="735030"/>
    <s v="Depreciation-Buildings"/>
    <s v="Unassigned"/>
    <x v="0"/>
    <m/>
    <n v="73482.880000000005"/>
    <n v="73482.710000000006"/>
    <n v="73483.02"/>
    <n v="73482.570000000007"/>
    <n v="73483.11"/>
    <n v="73482.45"/>
    <n v="73483.23"/>
    <n v="73482.3"/>
    <n v="73483.360000000001"/>
    <n v="73482.14"/>
    <n v="69246.94"/>
    <n v="69245.52"/>
    <n v="873320.23"/>
    <n v="1.4199999999982538"/>
  </r>
  <r>
    <x v="13"/>
    <x v="4"/>
    <x v="0"/>
    <s v="7790103"/>
    <n v="735040"/>
    <s v="Depreciation-Building Improvements"/>
    <s v="Unassigned"/>
    <x v="0"/>
    <m/>
    <n v="22489.84"/>
    <n v="22489.81"/>
    <n v="22489.86"/>
    <n v="22244.92"/>
    <n v="22245.119999999999"/>
    <n v="22244.87"/>
    <n v="22245.15"/>
    <n v="22244.81"/>
    <n v="22245.19"/>
    <n v="22244.720000000001"/>
    <n v="22245.22"/>
    <n v="22244.7"/>
    <n v="267674.21000000002"/>
    <n v="0.52000000000043656"/>
  </r>
  <r>
    <x v="13"/>
    <x v="4"/>
    <x v="0"/>
    <s v="7790103"/>
    <n v="735050"/>
    <s v="Amortization-Leasehold Improvements"/>
    <s v="Unassigned"/>
    <x v="0"/>
    <m/>
    <n v="36.75"/>
    <n v="36.76"/>
    <n v="36.75"/>
    <n v="0"/>
    <n v="0"/>
    <n v="0"/>
    <n v="0"/>
    <n v="0"/>
    <n v="0"/>
    <n v="0"/>
    <n v="0"/>
    <n v="0"/>
    <n v="110.25999999999999"/>
    <n v="0"/>
  </r>
  <r>
    <x v="13"/>
    <x v="4"/>
    <x v="0"/>
    <s v="7790103"/>
    <n v="735060"/>
    <s v="Depreciation-Fixed Equipment"/>
    <s v="Unassigned"/>
    <x v="0"/>
    <m/>
    <n v="22832.1"/>
    <n v="24580.16"/>
    <n v="24580.240000000002"/>
    <n v="24518.17"/>
    <n v="24496.03"/>
    <n v="24495.77"/>
    <n v="24496.07"/>
    <n v="24495.7"/>
    <n v="24496.13"/>
    <n v="24367.279999999999"/>
    <n v="24367.81"/>
    <n v="23992.91"/>
    <n v="291718.37"/>
    <n v="374.90000000000146"/>
  </r>
  <r>
    <x v="13"/>
    <x v="4"/>
    <x v="0"/>
    <s v="7790103"/>
    <n v="735070"/>
    <s v="Depreciation-Movable Equipment"/>
    <s v="Unassigned"/>
    <x v="0"/>
    <m/>
    <n v="118789.74"/>
    <n v="118726.06"/>
    <n v="118726.09"/>
    <n v="118289.74"/>
    <n v="118289.79"/>
    <n v="114187.75"/>
    <n v="114187.87"/>
    <n v="114263.56"/>
    <n v="114263.71"/>
    <n v="114263.54"/>
    <n v="114246.23"/>
    <n v="114245.97"/>
    <n v="1392480.05"/>
    <n v="0.25999999999476131"/>
  </r>
  <r>
    <x v="8"/>
    <x v="4"/>
    <x v="0"/>
    <s v="7790103"/>
    <n v="741010"/>
    <s v="Liability Insurance-CHI Programs"/>
    <s v="Unassigned"/>
    <x v="0"/>
    <m/>
    <n v="73823.98"/>
    <n v="73823.98"/>
    <n v="73850.81"/>
    <n v="73832.92"/>
    <n v="73832.92"/>
    <n v="73832.92"/>
    <n v="73832.92"/>
    <n v="73832.92"/>
    <n v="73832.92"/>
    <n v="73832.92"/>
    <n v="73832.92"/>
    <n v="73832.92"/>
    <n v="885995.05000000016"/>
    <n v="0"/>
  </r>
  <r>
    <x v="8"/>
    <x v="4"/>
    <x v="0"/>
    <s v="7790103"/>
    <n v="741030"/>
    <s v="Property Insurance-CHI Programs"/>
    <s v="Unassigned"/>
    <x v="0"/>
    <m/>
    <n v="9158.34"/>
    <n v="9158.34"/>
    <n v="9187.7800000000007"/>
    <n v="9168.15"/>
    <n v="9168.15"/>
    <n v="9168.15"/>
    <n v="9168.15"/>
    <n v="9168.15"/>
    <n v="9168.15"/>
    <n v="9168.15"/>
    <n v="9168.15"/>
    <n v="9168.15"/>
    <n v="110017.80999999998"/>
    <n v="0"/>
  </r>
  <r>
    <x v="8"/>
    <x v="4"/>
    <x v="0"/>
    <s v="7790103"/>
    <n v="741070"/>
    <s v="Insurance-Risk Mgmt Incentive Program"/>
    <s v="Unassigned"/>
    <x v="0"/>
    <m/>
    <n v="0"/>
    <n v="0"/>
    <n v="0"/>
    <n v="-25580"/>
    <n v="0"/>
    <n v="0"/>
    <n v="0"/>
    <n v="0"/>
    <n v="0"/>
    <n v="0"/>
    <n v="0"/>
    <n v="0"/>
    <n v="-25580"/>
    <n v="0"/>
  </r>
  <r>
    <x v="0"/>
    <x v="4"/>
    <x v="0"/>
    <s v="7790103"/>
    <n v="746020"/>
    <s v="Bank Fees--Ext to CHI Programs"/>
    <s v="Unassigned"/>
    <x v="0"/>
    <m/>
    <n v="831.29"/>
    <n v="844.3"/>
    <n v="878.55"/>
    <n v="862.32"/>
    <n v="784.5"/>
    <n v="640.29"/>
    <n v="904.68"/>
    <n v="941.16"/>
    <n v="574.45000000000005"/>
    <n v="840.73"/>
    <n v="1039.31"/>
    <n v="1326.49"/>
    <n v="10468.07"/>
    <n v="-287.18000000000006"/>
  </r>
  <r>
    <x v="26"/>
    <x v="4"/>
    <x v="0"/>
    <s v="7790103"/>
    <n v="747001"/>
    <s v="National Assessment"/>
    <s v="Unassigned"/>
    <x v="0"/>
    <m/>
    <n v="153633"/>
    <n v="153633"/>
    <n v="153633"/>
    <n v="153633"/>
    <n v="153633"/>
    <n v="153633"/>
    <n v="112633"/>
    <n v="112633"/>
    <n v="112633"/>
    <n v="112633"/>
    <n v="112633"/>
    <n v="112633"/>
    <n v="1597596"/>
    <n v="0"/>
  </r>
  <r>
    <x v="0"/>
    <x v="4"/>
    <x v="0"/>
    <s v="7790103"/>
    <n v="749510"/>
    <s v="Miscellaneous Expenses"/>
    <s v="Unassigned"/>
    <x v="0"/>
    <m/>
    <n v="10728.94"/>
    <n v="-7434.66"/>
    <n v="-683.75"/>
    <n v="-8790.6200000000008"/>
    <n v="-111.94"/>
    <n v="3678.14"/>
    <n v="9346.4699999999993"/>
    <n v="6984.18"/>
    <n v="-1426.18"/>
    <n v="13792.89"/>
    <n v="-16786.89"/>
    <n v="24113.93"/>
    <n v="33410.51"/>
    <n v="-40900.82"/>
  </r>
  <r>
    <x v="0"/>
    <x v="4"/>
    <x v="0"/>
    <s v="7790103"/>
    <n v="749510"/>
    <s v="Casualty Loss/Patient Property"/>
    <s v="Unassigned"/>
    <x v="0"/>
    <n v="4601"/>
    <n v="0"/>
    <n v="0"/>
    <n v="0"/>
    <n v="2500"/>
    <n v="0"/>
    <n v="0"/>
    <n v="0"/>
    <n v="0"/>
    <n v="0"/>
    <n v="0"/>
    <n v="0"/>
    <n v="0"/>
    <n v="2500"/>
    <n v="0"/>
  </r>
  <r>
    <x v="0"/>
    <x v="4"/>
    <x v="0"/>
    <s v="7790103"/>
    <n v="749510"/>
    <s v="RICE Rewards"/>
    <s v="Unassigned"/>
    <x v="0"/>
    <n v="5100"/>
    <n v="0"/>
    <n v="0"/>
    <n v="0"/>
    <n v="0"/>
    <n v="0"/>
    <n v="0"/>
    <n v="0"/>
    <n v="0"/>
    <n v="0"/>
    <n v="0"/>
    <n v="0"/>
    <n v="0"/>
    <n v="0"/>
    <n v="0"/>
  </r>
  <r>
    <x v="0"/>
    <x v="4"/>
    <x v="0"/>
    <s v="7790103"/>
    <n v="749525"/>
    <s v="Contingent Liability Expense"/>
    <s v="Unassigned"/>
    <x v="0"/>
    <m/>
    <n v="0"/>
    <n v="0"/>
    <n v="0"/>
    <n v="0"/>
    <n v="0"/>
    <n v="0"/>
    <n v="0"/>
    <n v="0"/>
    <n v="0"/>
    <n v="0"/>
    <n v="0"/>
    <n v="939400"/>
    <n v="939400"/>
    <n v="-939400"/>
  </r>
  <r>
    <x v="24"/>
    <x v="4"/>
    <x v="0"/>
    <s v="7790103"/>
    <n v="760020"/>
    <s v="Interest Exp--CHI Debt Prog-MBOs Only"/>
    <s v="Unassigned"/>
    <x v="0"/>
    <m/>
    <n v="1806.73"/>
    <n v="1709.69"/>
    <n v="1612.18"/>
    <n v="0"/>
    <n v="0"/>
    <n v="0"/>
    <n v="0"/>
    <n v="0"/>
    <n v="0"/>
    <n v="0"/>
    <n v="0"/>
    <n v="0"/>
    <n v="5128.6000000000004"/>
    <n v="0"/>
  </r>
  <r>
    <x v="24"/>
    <x v="4"/>
    <x v="0"/>
    <s v="7790103"/>
    <n v="760030"/>
    <s v="Interest Expense-Ext to CHI Programs"/>
    <s v="Unassigned"/>
    <x v="0"/>
    <m/>
    <n v="6934.16"/>
    <n v="6842.82"/>
    <n v="6460.28"/>
    <n v="6367.68"/>
    <n v="6177.59"/>
    <n v="5986.86"/>
    <n v="5894.16"/>
    <n v="2271.9899999999998"/>
    <n v="6901.46"/>
    <n v="5322.43"/>
    <n v="5118.63"/>
    <n v="6371.47"/>
    <n v="70649.53"/>
    <n v="-1252.8400000000001"/>
  </r>
  <r>
    <x v="0"/>
    <x v="4"/>
    <x v="0"/>
    <s v="7790103"/>
    <n v="766010"/>
    <s v="Property Tax"/>
    <s v="Unassigned"/>
    <x v="0"/>
    <m/>
    <n v="3367.85"/>
    <n v="3367.85"/>
    <n v="3367.85"/>
    <n v="3367.81"/>
    <n v="3367.85"/>
    <n v="3367.85"/>
    <n v="3367.85"/>
    <n v="3367.85"/>
    <n v="3367.85"/>
    <n v="6983.87"/>
    <n v="4271.87"/>
    <n v="4271.87"/>
    <n v="45838.22"/>
    <n v="0"/>
  </r>
  <r>
    <x v="0"/>
    <x v="4"/>
    <x v="0"/>
    <s v="7790103"/>
    <n v="766070"/>
    <s v="Sales and Use Tax"/>
    <s v="Unassigned"/>
    <x v="0"/>
    <m/>
    <n v="18665.43"/>
    <n v="27189.32"/>
    <n v="18560.29"/>
    <n v="43536.77"/>
    <n v="18992.48"/>
    <n v="40397.67"/>
    <n v="30531.81"/>
    <n v="23955.63"/>
    <n v="25074.51"/>
    <n v="21675.54"/>
    <n v="29465.09"/>
    <n v="30776.44"/>
    <n v="328820.98000000004"/>
    <n v="-1311.3499999999985"/>
  </r>
  <r>
    <x v="0"/>
    <x v="4"/>
    <x v="0"/>
    <s v="7790103"/>
    <n v="766090"/>
    <s v="Franchise and Excise Tax"/>
    <s v="Unassigned"/>
    <x v="0"/>
    <n v="1001"/>
    <n v="98214.27"/>
    <n v="58623.45"/>
    <n v="49179.39"/>
    <n v="69082.240000000005"/>
    <n v="51014.8"/>
    <n v="78709.649999999994"/>
    <n v="64650.87"/>
    <n v="53254.57"/>
    <n v="62084.34"/>
    <n v="54266"/>
    <n v="72362.2"/>
    <n v="33610.33"/>
    <n v="745052.10999999987"/>
    <n v="38751.869999999995"/>
  </r>
  <r>
    <x v="0"/>
    <x v="4"/>
    <x v="0"/>
    <s v="7790103"/>
    <n v="766092"/>
    <s v="Provider Tax-Program Expense"/>
    <s v="Unassigned"/>
    <x v="0"/>
    <m/>
    <n v="410867.17"/>
    <n v="410867.16"/>
    <n v="368181.67"/>
    <n v="396638.67"/>
    <n v="391190.33"/>
    <n v="395549"/>
    <n v="395549"/>
    <n v="395549"/>
    <n v="395549"/>
    <n v="395549"/>
    <n v="395549"/>
    <n v="395549"/>
    <n v="4746588"/>
    <n v="0"/>
  </r>
  <r>
    <x v="25"/>
    <x v="4"/>
    <x v="0"/>
    <s v="7790103"/>
    <n v="770010"/>
    <s v="Restructuring Losses"/>
    <s v="Unassigned"/>
    <x v="0"/>
    <m/>
    <n v="-21600"/>
    <n v="0"/>
    <n v="0"/>
    <n v="0"/>
    <n v="0"/>
    <n v="0"/>
    <n v="0"/>
    <n v="0"/>
    <n v="0"/>
    <n v="0"/>
    <n v="0"/>
    <n v="0"/>
    <n v="-21600"/>
    <n v="0"/>
  </r>
  <r>
    <x v="9"/>
    <x v="4"/>
    <x v="0"/>
    <s v="7790103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573947.19999999995"/>
    <n v="573947.19999999995"/>
    <n v="-573947.19999999995"/>
  </r>
  <r>
    <x v="18"/>
    <x v="8"/>
    <x v="0"/>
    <s v="7790104"/>
    <n v="400010"/>
    <s v="Acute I/P Svcs Rev--Managed Care"/>
    <s v="Unassigned"/>
    <x v="0"/>
    <n v="1400"/>
    <n v="-407096.03"/>
    <n v="222438.05"/>
    <n v="498917.1"/>
    <n v="-32138.62"/>
    <n v="102977.06"/>
    <n v="-306104.25"/>
    <n v="-66671.81"/>
    <n v="320657.65999999997"/>
    <n v="-192625.55"/>
    <n v="-196850.26"/>
    <n v="468764.45"/>
    <n v="-157655.29999999999"/>
    <n v="254612.49999999994"/>
    <n v="626419.75"/>
  </r>
  <r>
    <x v="19"/>
    <x v="8"/>
    <x v="0"/>
    <s v="7790104"/>
    <n v="400020"/>
    <s v="O/P Care Svcs Rev--Medicare"/>
    <s v="Unassigned"/>
    <x v="0"/>
    <n v="1100"/>
    <n v="0"/>
    <n v="-245.58"/>
    <n v="245.58"/>
    <n v="0"/>
    <n v="0"/>
    <n v="0"/>
    <n v="0"/>
    <n v="0"/>
    <n v="0"/>
    <n v="0"/>
    <n v="0"/>
    <n v="0"/>
    <n v="0"/>
    <n v="0"/>
  </r>
  <r>
    <x v="19"/>
    <x v="8"/>
    <x v="0"/>
    <s v="7790104"/>
    <n v="400020"/>
    <s v="O/P Care Svcs Rev--BCBS Comm"/>
    <s v="Unassigned"/>
    <x v="0"/>
    <n v="1301"/>
    <n v="0"/>
    <n v="-174.19"/>
    <n v="174.19"/>
    <n v="0"/>
    <n v="0"/>
    <n v="0"/>
    <n v="0"/>
    <n v="0"/>
    <n v="0"/>
    <n v="0"/>
    <n v="0"/>
    <n v="0"/>
    <n v="0"/>
    <n v="0"/>
  </r>
  <r>
    <x v="19"/>
    <x v="8"/>
    <x v="0"/>
    <s v="7790104"/>
    <n v="400020"/>
    <s v="O/P Care Svcs Rev--Managed Care"/>
    <s v="Unassigned"/>
    <x v="0"/>
    <n v="1400"/>
    <n v="-136889.85999999999"/>
    <n v="-168055.02"/>
    <n v="-277163.56"/>
    <n v="665868.87"/>
    <n v="-505801.04"/>
    <n v="443525.07"/>
    <n v="-299505.03000000003"/>
    <n v="-154260.76"/>
    <n v="-169305.74"/>
    <n v="-171510.89"/>
    <n v="188536.95999999999"/>
    <n v="391441.43"/>
    <n v="-193119.57"/>
    <n v="-202904.47"/>
  </r>
  <r>
    <x v="14"/>
    <x v="8"/>
    <x v="0"/>
    <s v="7790104"/>
    <n v="600026"/>
    <s v="POB Rental"/>
    <s v="Unassigned"/>
    <x v="0"/>
    <n v="1001"/>
    <n v="-2263.09"/>
    <n v="-2263.09"/>
    <n v="-2263.09"/>
    <n v="-2263.09"/>
    <n v="-2263.09"/>
    <n v="-2263.09"/>
    <n v="-2263.09"/>
    <n v="-2263.09"/>
    <n v="-2263.09"/>
    <n v="-2263.09"/>
    <n v="-4564.05"/>
    <n v="-2263.09"/>
    <n v="-29458.04"/>
    <n v="-2300.96"/>
  </r>
  <r>
    <x v="14"/>
    <x v="8"/>
    <x v="0"/>
    <s v="7790104"/>
    <n v="600059"/>
    <s v="Meaningful Use Revenue-Medicaid"/>
    <s v="Unassigned"/>
    <x v="0"/>
    <m/>
    <n v="0"/>
    <n v="0"/>
    <n v="0"/>
    <n v="0"/>
    <n v="0"/>
    <n v="0"/>
    <n v="0"/>
    <n v="0"/>
    <n v="0"/>
    <n v="0"/>
    <n v="-85632.78"/>
    <n v="85632.77"/>
    <n v="-9.9999999947613105E-3"/>
    <n v="-171265.55"/>
  </r>
  <r>
    <x v="22"/>
    <x v="8"/>
    <x v="0"/>
    <s v="7790104"/>
    <n v="620001"/>
    <s v="Changes in Equity of Unconsolidated Orgs-Controlling Interes"/>
    <s v="Unassigned"/>
    <x v="0"/>
    <m/>
    <n v="0"/>
    <n v="0"/>
    <n v="0"/>
    <n v="0"/>
    <n v="0"/>
    <n v="0"/>
    <n v="0"/>
    <n v="0"/>
    <n v="0"/>
    <n v="-9550"/>
    <n v="0"/>
    <n v="0"/>
    <n v="-9550"/>
    <n v="0"/>
  </r>
  <r>
    <x v="5"/>
    <x v="8"/>
    <x v="0"/>
    <s v="7790104"/>
    <n v="700082"/>
    <s v="Salaries-Other-Non-productive"/>
    <s v="Unassigned"/>
    <x v="0"/>
    <m/>
    <n v="23000"/>
    <n v="13000"/>
    <n v="5200"/>
    <n v="3500"/>
    <n v="2000"/>
    <n v="2200"/>
    <n v="2200"/>
    <n v="2200"/>
    <n v="2200"/>
    <n v="2200"/>
    <n v="2200"/>
    <n v="2000"/>
    <n v="61900"/>
    <n v="200"/>
  </r>
  <r>
    <x v="5"/>
    <x v="8"/>
    <x v="0"/>
    <s v="7790104"/>
    <n v="700084"/>
    <s v="Accrued PTO"/>
    <s v="Unassigned"/>
    <x v="0"/>
    <m/>
    <n v="0"/>
    <n v="0"/>
    <n v="0"/>
    <n v="0"/>
    <n v="-37000"/>
    <n v="37000"/>
    <n v="0"/>
    <n v="0"/>
    <n v="0"/>
    <n v="0"/>
    <n v="0"/>
    <n v="0"/>
    <n v="0"/>
    <n v="0"/>
  </r>
  <r>
    <x v="17"/>
    <x v="8"/>
    <x v="0"/>
    <s v="7790104"/>
    <n v="714530"/>
    <s v="Medical Prof Fees-Intracompany"/>
    <s v="Unassigned"/>
    <x v="0"/>
    <m/>
    <n v="229866.77"/>
    <n v="218839.55"/>
    <n v="215409.8"/>
    <n v="227658.69"/>
    <n v="226928.23"/>
    <n v="259184.01"/>
    <n v="280534.05"/>
    <n v="293634.01"/>
    <n v="275336.06"/>
    <n v="232916.4"/>
    <n v="272427.81"/>
    <n v="203103.93"/>
    <n v="2935839.31"/>
    <n v="69323.88"/>
  </r>
  <r>
    <x v="7"/>
    <x v="8"/>
    <x v="0"/>
    <s v="7790104"/>
    <n v="718050"/>
    <s v="Miscellaneous Purchased Svcs"/>
    <s v="Unassigned"/>
    <x v="0"/>
    <n v="1020"/>
    <n v="13021.29"/>
    <n v="13689.96"/>
    <n v="24305.35"/>
    <n v="-9198.17"/>
    <n v="-12227.44"/>
    <n v="38406.660000000003"/>
    <n v="13565.25"/>
    <n v="25594.02"/>
    <n v="35298.18"/>
    <n v="146.38999999999999"/>
    <n v="38740.17"/>
    <n v="44326.8"/>
    <n v="225668.46000000002"/>
    <n v="-5586.6300000000047"/>
  </r>
  <r>
    <x v="7"/>
    <x v="8"/>
    <x v="0"/>
    <s v="7790104"/>
    <n v="718050"/>
    <s v="Purchased Srvcs-Medical/Clinical Review"/>
    <s v="Unassigned"/>
    <x v="0"/>
    <n v="1032"/>
    <n v="0"/>
    <n v="0"/>
    <n v="0"/>
    <n v="0"/>
    <n v="0"/>
    <n v="25990"/>
    <n v="0"/>
    <n v="0"/>
    <n v="0"/>
    <n v="0"/>
    <n v="0"/>
    <n v="0"/>
    <n v="25990"/>
    <n v="0"/>
  </r>
  <r>
    <x v="7"/>
    <x v="8"/>
    <x v="0"/>
    <s v="7790104"/>
    <n v="718061"/>
    <s v="Contract Services-CRO Allocation"/>
    <s v="Unassigned"/>
    <x v="0"/>
    <m/>
    <n v="12229"/>
    <n v="12229"/>
    <n v="12229"/>
    <n v="12229"/>
    <n v="12229"/>
    <n v="12229"/>
    <n v="12229"/>
    <n v="12229"/>
    <n v="12229"/>
    <n v="12229"/>
    <n v="12229"/>
    <n v="12229"/>
    <n v="146748"/>
    <n v="0"/>
  </r>
  <r>
    <x v="7"/>
    <x v="8"/>
    <x v="0"/>
    <s v="7790104"/>
    <n v="718065"/>
    <s v="Contract Services-CHI Legal Fees"/>
    <s v="Unassigned"/>
    <x v="0"/>
    <m/>
    <n v="16136.33"/>
    <n v="16136.33"/>
    <n v="16136.33"/>
    <n v="16136.33"/>
    <n v="16136.33"/>
    <n v="16136.33"/>
    <n v="16136.33"/>
    <n v="16136.33"/>
    <n v="16136.33"/>
    <n v="16136.33"/>
    <n v="16136.33"/>
    <n v="16136.33"/>
    <n v="193635.95999999996"/>
    <n v="0"/>
  </r>
  <r>
    <x v="7"/>
    <x v="8"/>
    <x v="0"/>
    <s v="7790104"/>
    <n v="718066"/>
    <s v="Contract Services-CHI Tax Services"/>
    <s v="Unassigned"/>
    <x v="0"/>
    <m/>
    <n v="256"/>
    <n v="256"/>
    <n v="256"/>
    <n v="256"/>
    <n v="256"/>
    <n v="256"/>
    <n v="256"/>
    <n v="256"/>
    <n v="256"/>
    <n v="256"/>
    <n v="256"/>
    <n v="256"/>
    <n v="3072"/>
    <n v="0"/>
  </r>
  <r>
    <x v="7"/>
    <x v="8"/>
    <x v="0"/>
    <s v="7790104"/>
    <n v="718070"/>
    <s v="Contract Srvcs-CHI Clinical Engineering"/>
    <s v="Unassigned"/>
    <x v="0"/>
    <m/>
    <n v="-94740.58"/>
    <n v="-94227.58"/>
    <n v="-94227.58"/>
    <n v="-94720.84"/>
    <n v="-93910.54"/>
    <n v="-90966.720000000001"/>
    <n v="-100618.66"/>
    <n v="-90247.6"/>
    <n v="-93648.11"/>
    <n v="-94439.62"/>
    <n v="-95841.96"/>
    <n v="-97120.33"/>
    <n v="-1134710.1199999999"/>
    <n v="1278.3699999999953"/>
  </r>
  <r>
    <x v="7"/>
    <x v="8"/>
    <x v="0"/>
    <s v="7790104"/>
    <n v="718075"/>
    <s v="Contract Srvcs-CHI ITS Steady State"/>
    <s v="Unassigned"/>
    <x v="0"/>
    <m/>
    <n v="560566"/>
    <n v="560566"/>
    <n v="560566"/>
    <n v="560566"/>
    <n v="560566"/>
    <n v="560566"/>
    <n v="560566"/>
    <n v="560566"/>
    <n v="560566"/>
    <n v="560566"/>
    <n v="560566"/>
    <n v="560566"/>
    <n v="6726792"/>
    <n v="0"/>
  </r>
  <r>
    <x v="11"/>
    <x v="8"/>
    <x v="0"/>
    <s v="7790104"/>
    <n v="721010"/>
    <s v="Supplies-Medical - Billable"/>
    <s v="Unassigned"/>
    <x v="0"/>
    <m/>
    <n v="0"/>
    <n v="0"/>
    <n v="-5374.76"/>
    <n v="5374.76"/>
    <n v="0"/>
    <n v="9660"/>
    <n v="4830"/>
    <n v="4830"/>
    <n v="4830"/>
    <n v="3990"/>
    <n v="5948.04"/>
    <n v="12531.86"/>
    <n v="46619.9"/>
    <n v="-6583.8200000000006"/>
  </r>
  <r>
    <x v="11"/>
    <x v="8"/>
    <x v="0"/>
    <s v="7790104"/>
    <n v="721020"/>
    <s v="Supplies-Surgical - Billable"/>
    <s v="Unassigned"/>
    <x v="0"/>
    <m/>
    <n v="0"/>
    <n v="0"/>
    <n v="-1002.04"/>
    <n v="1002.04"/>
    <n v="0"/>
    <n v="0"/>
    <n v="0"/>
    <n v="0"/>
    <n v="0"/>
    <n v="0"/>
    <n v="0"/>
    <n v="0"/>
    <n v="0"/>
    <n v="0"/>
  </r>
  <r>
    <x v="11"/>
    <x v="8"/>
    <x v="0"/>
    <s v="7790104"/>
    <n v="721150"/>
    <s v="Supplies-Other Implants - Billabl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8"/>
    <x v="0"/>
    <s v="7790104"/>
    <n v="721410"/>
    <s v="Supplies-Medical - Nonbillable"/>
    <s v="Unassigned"/>
    <x v="0"/>
    <m/>
    <n v="-14274.81"/>
    <n v="661.15"/>
    <n v="0.79"/>
    <n v="-190.42"/>
    <n v="263.77999999999997"/>
    <n v="-918.5"/>
    <n v="125"/>
    <n v="1330.52"/>
    <n v="-1162.22"/>
    <n v="-763.19"/>
    <n v="-1169.29"/>
    <n v="3082.39"/>
    <n v="-13014.8"/>
    <n v="-4251.68"/>
  </r>
  <r>
    <x v="11"/>
    <x v="8"/>
    <x v="0"/>
    <s v="7790104"/>
    <n v="721830"/>
    <s v="Supplies-Office"/>
    <s v="Unassigned"/>
    <x v="0"/>
    <m/>
    <n v="0"/>
    <n v="0"/>
    <n v="0"/>
    <n v="0"/>
    <n v="0"/>
    <n v="0"/>
    <n v="0"/>
    <n v="0"/>
    <n v="0"/>
    <n v="0"/>
    <n v="1489.16"/>
    <n v="0"/>
    <n v="1489.16"/>
    <n v="1489.16"/>
  </r>
  <r>
    <x v="11"/>
    <x v="8"/>
    <x v="0"/>
    <s v="7790104"/>
    <n v="721910"/>
    <s v="Supplies-Small Equipment"/>
    <s v="Unassigned"/>
    <x v="0"/>
    <m/>
    <n v="0"/>
    <n v="0"/>
    <n v="-2200.31"/>
    <n v="2200.31"/>
    <n v="0"/>
    <n v="0"/>
    <n v="0"/>
    <n v="0"/>
    <n v="0"/>
    <n v="0"/>
    <n v="0"/>
    <n v="0"/>
    <n v="0"/>
    <n v="0"/>
  </r>
  <r>
    <x v="11"/>
    <x v="8"/>
    <x v="0"/>
    <s v="7790104"/>
    <n v="721980"/>
    <s v="Supplies-Other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8"/>
    <x v="0"/>
    <s v="7790104"/>
    <n v="722000"/>
    <s v="Supplies-Freight Expense"/>
    <s v="Unassigned"/>
    <x v="0"/>
    <m/>
    <n v="444.61"/>
    <n v="1808.28"/>
    <n v="356.1"/>
    <n v="664.1"/>
    <n v="506.11"/>
    <n v="1443.26"/>
    <n v="1202.75"/>
    <n v="440.04"/>
    <n v="2190.94"/>
    <n v="1279.8699999999999"/>
    <n v="1310.84"/>
    <n v="1566.33"/>
    <n v="13213.230000000001"/>
    <n v="-255.49"/>
  </r>
  <r>
    <x v="11"/>
    <x v="8"/>
    <x v="0"/>
    <s v="7790104"/>
    <n v="723000"/>
    <s v="Supply Rebates/Patronage Dividend"/>
    <s v="Unassigned"/>
    <x v="0"/>
    <m/>
    <n v="-32000"/>
    <n v="-58000"/>
    <n v="90000"/>
    <n v="-45000"/>
    <n v="-45000"/>
    <n v="88889.69"/>
    <n v="-55000"/>
    <n v="-55000"/>
    <n v="110000"/>
    <n v="-53000"/>
    <n v="-53000"/>
    <n v="106000"/>
    <n v="-1110.3099999999977"/>
    <n v="-159000"/>
  </r>
  <r>
    <x v="11"/>
    <x v="8"/>
    <x v="0"/>
    <s v="7790104"/>
    <n v="723500"/>
    <s v="Discounts Taken *"/>
    <s v="Unassigned"/>
    <x v="0"/>
    <m/>
    <n v="0"/>
    <n v="0"/>
    <n v="0"/>
    <n v="-0.31"/>
    <n v="0"/>
    <n v="0"/>
    <n v="0"/>
    <n v="0"/>
    <n v="0"/>
    <n v="0"/>
    <n v="0"/>
    <n v="0"/>
    <n v="-0.31"/>
    <n v="0"/>
  </r>
  <r>
    <x v="12"/>
    <x v="8"/>
    <x v="0"/>
    <s v="7790104"/>
    <n v="730010"/>
    <s v="Rental and Leases-Building (DO NOT USE)"/>
    <s v="Unassigned"/>
    <x v="0"/>
    <m/>
    <n v="0"/>
    <n v="0"/>
    <n v="0"/>
    <n v="0"/>
    <n v="0"/>
    <n v="0"/>
    <n v="0"/>
    <n v="-109056.04"/>
    <n v="0"/>
    <n v="0"/>
    <n v="0"/>
    <n v="0"/>
    <n v="-109056.04"/>
    <n v="0"/>
  </r>
  <r>
    <x v="12"/>
    <x v="8"/>
    <x v="0"/>
    <s v="7790104"/>
    <n v="730010"/>
    <s v="Rental-Common Area Maint (DO NOT USE)"/>
    <s v="Unassigned"/>
    <x v="0"/>
    <n v="2200"/>
    <n v="0"/>
    <n v="0"/>
    <n v="0"/>
    <n v="0"/>
    <n v="0"/>
    <n v="0"/>
    <n v="0"/>
    <n v="-15428.26"/>
    <n v="0"/>
    <n v="0"/>
    <n v="0"/>
    <n v="0"/>
    <n v="-15428.26"/>
    <n v="0"/>
  </r>
  <r>
    <x v="12"/>
    <x v="8"/>
    <x v="0"/>
    <s v="7790104"/>
    <n v="730020"/>
    <s v="Rental and Leases-Equipment (DO NOT USE)"/>
    <s v="Unassigned"/>
    <x v="0"/>
    <m/>
    <n v="1317.76"/>
    <n v="1454.06"/>
    <n v="-109.42"/>
    <n v="-306.98"/>
    <n v="580"/>
    <n v="-2022.1"/>
    <n v="275.87"/>
    <n v="2926.86"/>
    <n v="-2556.27"/>
    <n v="-1680.39"/>
    <n v="-2571.0100000000002"/>
    <n v="6780.16"/>
    <n v="4088.5399999999991"/>
    <n v="-9351.17"/>
  </r>
  <r>
    <x v="12"/>
    <x v="8"/>
    <x v="0"/>
    <s v="7790104"/>
    <n v="730020"/>
    <s v="Rental and Leases-Copier Usage Fees (DO NOT USE)"/>
    <s v="Unassigned"/>
    <x v="0"/>
    <n v="5100"/>
    <n v="0"/>
    <n v="0"/>
    <n v="0"/>
    <n v="0"/>
    <n v="0"/>
    <n v="0"/>
    <n v="10050.799999999999"/>
    <n v="-5751.29"/>
    <n v="3796.97"/>
    <n v="-4690.38"/>
    <n v="781.73"/>
    <n v="0"/>
    <n v="4187.83"/>
    <n v="781.73"/>
  </r>
  <r>
    <x v="16"/>
    <x v="8"/>
    <x v="0"/>
    <s v="7790104"/>
    <n v="732015"/>
    <s v="Repairs-Clinical Equip-T&amp;M-Ext to CHI Programs"/>
    <s v="Unassigned"/>
    <x v="0"/>
    <m/>
    <n v="0"/>
    <n v="0"/>
    <n v="-8156.17"/>
    <n v="8156.17"/>
    <n v="0"/>
    <n v="0"/>
    <n v="0"/>
    <n v="0"/>
    <n v="0"/>
    <n v="0"/>
    <n v="0"/>
    <n v="0"/>
    <n v="0"/>
    <n v="0"/>
  </r>
  <r>
    <x v="16"/>
    <x v="8"/>
    <x v="0"/>
    <s v="7790104"/>
    <n v="732030"/>
    <s v="Repairs---Other"/>
    <s v="Unassigned"/>
    <x v="0"/>
    <m/>
    <n v="0"/>
    <n v="0"/>
    <n v="-50.25"/>
    <n v="50.25"/>
    <n v="0"/>
    <n v="0"/>
    <n v="0"/>
    <n v="0"/>
    <n v="0"/>
    <n v="0"/>
    <n v="0"/>
    <n v="0"/>
    <n v="0"/>
    <n v="0"/>
  </r>
  <r>
    <x v="16"/>
    <x v="8"/>
    <x v="0"/>
    <s v="7790104"/>
    <n v="733030"/>
    <s v="Maintenance Contracts-Other"/>
    <s v="Unassigned"/>
    <x v="0"/>
    <m/>
    <n v="0"/>
    <n v="0"/>
    <n v="0"/>
    <n v="0"/>
    <n v="0"/>
    <n v="2300"/>
    <n v="1150"/>
    <n v="1150"/>
    <n v="1150"/>
    <n v="950"/>
    <n v="1416.2"/>
    <n v="2983.77"/>
    <n v="11099.97"/>
    <n v="-1567.57"/>
  </r>
  <r>
    <x v="13"/>
    <x v="8"/>
    <x v="0"/>
    <s v="7790104"/>
    <n v="735020"/>
    <s v="Depreciation-Land Improvements"/>
    <s v="Unassigned"/>
    <x v="0"/>
    <m/>
    <n v="7244.16"/>
    <n v="7244.09"/>
    <n v="7244.16"/>
    <n v="7244.05"/>
    <n v="7244.17"/>
    <n v="7244.04"/>
    <n v="7244.19"/>
    <n v="7244.01"/>
    <n v="7244.25"/>
    <n v="7243.97"/>
    <n v="7244.27"/>
    <n v="7243.97"/>
    <n v="86929.33"/>
    <n v="0.3000000000001819"/>
  </r>
  <r>
    <x v="13"/>
    <x v="8"/>
    <x v="0"/>
    <s v="7790104"/>
    <n v="735030"/>
    <s v="Depreciation-Buildings"/>
    <s v="Unassigned"/>
    <x v="0"/>
    <m/>
    <n v="113639"/>
    <n v="113638.87"/>
    <n v="113639.22"/>
    <n v="113638.78"/>
    <n v="113639.37"/>
    <n v="113638.6"/>
    <n v="113639.44"/>
    <n v="113638.49"/>
    <n v="113639.55"/>
    <n v="111480.24"/>
    <n v="111481.58"/>
    <n v="111480.15"/>
    <n v="1357193.29"/>
    <n v="1.430000000007567"/>
  </r>
  <r>
    <x v="13"/>
    <x v="8"/>
    <x v="0"/>
    <s v="7790104"/>
    <n v="735040"/>
    <s v="Depreciation-Building Improvements"/>
    <s v="Unassigned"/>
    <x v="0"/>
    <m/>
    <n v="70711.56"/>
    <n v="70915.289999999994"/>
    <n v="74109.08"/>
    <n v="74544.210000000006"/>
    <n v="74544.42"/>
    <n v="74964.240000000005"/>
    <n v="74982.539999999994"/>
    <n v="75166.5"/>
    <n v="75321.94"/>
    <n v="75321.52"/>
    <n v="75321.98"/>
    <n v="82173.279999999999"/>
    <n v="898076.56"/>
    <n v="-6851.3000000000029"/>
  </r>
  <r>
    <x v="13"/>
    <x v="8"/>
    <x v="0"/>
    <s v="7790104"/>
    <n v="735050"/>
    <s v="Amortization-Leasehold Improvements"/>
    <s v="Unassigned"/>
    <x v="0"/>
    <m/>
    <n v="282.73"/>
    <n v="282.72000000000003"/>
    <n v="282.72000000000003"/>
    <n v="282.72000000000003"/>
    <n v="282.72000000000003"/>
    <n v="282.72000000000003"/>
    <n v="282.72000000000003"/>
    <n v="282.72000000000003"/>
    <n v="282.72000000000003"/>
    <n v="269.31"/>
    <n v="269.33"/>
    <n v="269.3"/>
    <n v="3352.4300000000007"/>
    <n v="2.9999999999972715E-2"/>
  </r>
  <r>
    <x v="13"/>
    <x v="8"/>
    <x v="0"/>
    <s v="7790104"/>
    <n v="735060"/>
    <s v="Depreciation-Fixed Equipment"/>
    <s v="Unassigned"/>
    <x v="0"/>
    <m/>
    <n v="2108"/>
    <n v="2107.9899999999998"/>
    <n v="2108.0300000000002"/>
    <n v="2107.9699999999998"/>
    <n v="2108.0700000000002"/>
    <n v="2107.9499999999998"/>
    <n v="2108.13"/>
    <n v="2107.94"/>
    <n v="2108.14"/>
    <n v="1884.43"/>
    <n v="1661.16"/>
    <n v="1660.93"/>
    <n v="24178.739999999998"/>
    <n v="0.23000000000001819"/>
  </r>
  <r>
    <x v="13"/>
    <x v="8"/>
    <x v="0"/>
    <s v="7790104"/>
    <n v="735070"/>
    <s v="Depreciation-Movable Equipment"/>
    <s v="Unassigned"/>
    <x v="0"/>
    <m/>
    <n v="97879"/>
    <n v="97879.14"/>
    <n v="97878.89"/>
    <n v="97879.44"/>
    <n v="97878.64"/>
    <n v="95144.87"/>
    <n v="95143.87"/>
    <n v="95145"/>
    <n v="95143.71"/>
    <n v="78414.899999999994"/>
    <n v="78407.44"/>
    <n v="78406.880000000005"/>
    <n v="1105201.7799999998"/>
    <n v="0.55999999999767169"/>
  </r>
  <r>
    <x v="8"/>
    <x v="8"/>
    <x v="0"/>
    <s v="7790104"/>
    <n v="741010"/>
    <s v="Liability Insurance-CHI Programs"/>
    <s v="Unassigned"/>
    <x v="0"/>
    <m/>
    <n v="88839.67"/>
    <n v="88839.67"/>
    <n v="88839.67"/>
    <n v="88839.67"/>
    <n v="88839.67"/>
    <n v="88839.67"/>
    <n v="88839.67"/>
    <n v="88839.67"/>
    <n v="88839.67"/>
    <n v="88839.67"/>
    <n v="88839.67"/>
    <n v="88839.67"/>
    <n v="1066076.0400000003"/>
    <n v="0"/>
  </r>
  <r>
    <x v="8"/>
    <x v="8"/>
    <x v="0"/>
    <s v="7790104"/>
    <n v="741030"/>
    <s v="Property Insurance-CHI Programs"/>
    <s v="Unassigned"/>
    <x v="0"/>
    <m/>
    <n v="16480.89"/>
    <n v="16480.89"/>
    <n v="16480.89"/>
    <n v="16480.89"/>
    <n v="16480.89"/>
    <n v="16480.89"/>
    <n v="16480.89"/>
    <n v="16480.89"/>
    <n v="16480.89"/>
    <n v="16480.89"/>
    <n v="16480.89"/>
    <n v="16480.89"/>
    <n v="197770.68000000005"/>
    <n v="0"/>
  </r>
  <r>
    <x v="8"/>
    <x v="8"/>
    <x v="0"/>
    <s v="7790104"/>
    <n v="741070"/>
    <s v="Insurance-Risk Mgmt Incentive Program"/>
    <s v="Unassigned"/>
    <x v="0"/>
    <m/>
    <n v="0"/>
    <n v="0"/>
    <n v="0"/>
    <n v="-27075"/>
    <n v="0"/>
    <n v="0"/>
    <n v="0"/>
    <n v="0"/>
    <n v="0"/>
    <n v="0"/>
    <n v="0"/>
    <n v="0"/>
    <n v="-27075"/>
    <n v="0"/>
  </r>
  <r>
    <x v="0"/>
    <x v="8"/>
    <x v="0"/>
    <s v="7790104"/>
    <n v="743010"/>
    <s v="Dues--Institutional"/>
    <s v="Unassigned"/>
    <x v="0"/>
    <m/>
    <n v="0"/>
    <n v="0"/>
    <n v="-189.2"/>
    <n v="189.2"/>
    <n v="0"/>
    <n v="0"/>
    <n v="0"/>
    <n v="0"/>
    <n v="0"/>
    <n v="0"/>
    <n v="0"/>
    <n v="0"/>
    <n v="0"/>
    <n v="0"/>
  </r>
  <r>
    <x v="0"/>
    <x v="8"/>
    <x v="0"/>
    <s v="7790104"/>
    <n v="746020"/>
    <s v="Bank Fees--Ext to CHI Programs"/>
    <s v="Unassigned"/>
    <x v="0"/>
    <m/>
    <n v="2230.1"/>
    <n v="1969.3"/>
    <n v="2205.44"/>
    <n v="1998.53"/>
    <n v="1914.24"/>
    <n v="2072.7600000000002"/>
    <n v="2083.69"/>
    <n v="2229.81"/>
    <n v="2127.4"/>
    <n v="2357.56"/>
    <n v="2311.7600000000002"/>
    <n v="2393.9899999999998"/>
    <n v="25894.58"/>
    <n v="-82.229999999999563"/>
  </r>
  <r>
    <x v="26"/>
    <x v="8"/>
    <x v="0"/>
    <s v="7790104"/>
    <n v="747001"/>
    <s v="National Assessment"/>
    <s v="Unassigned"/>
    <x v="0"/>
    <m/>
    <n v="134429"/>
    <n v="134429"/>
    <n v="134429"/>
    <n v="134429"/>
    <n v="134429"/>
    <n v="134429"/>
    <n v="98429"/>
    <n v="98429"/>
    <n v="98429"/>
    <n v="98429"/>
    <n v="98429"/>
    <n v="98429"/>
    <n v="1397148"/>
    <n v="0"/>
  </r>
  <r>
    <x v="0"/>
    <x v="8"/>
    <x v="0"/>
    <s v="7790104"/>
    <n v="749510"/>
    <s v="Miscellaneous Expenses"/>
    <s v="Unassigned"/>
    <x v="0"/>
    <m/>
    <n v="3593.84"/>
    <n v="3965.69"/>
    <n v="-2255.88"/>
    <n v="1120.0999999999999"/>
    <n v="1601.82"/>
    <n v="-453.86"/>
    <n v="3282.07"/>
    <n v="10513.05"/>
    <n v="-4441.3900000000003"/>
    <n v="-2493.0700000000002"/>
    <n v="-3898.03"/>
    <n v="36213.67"/>
    <n v="46748.01"/>
    <n v="-40111.699999999997"/>
  </r>
  <r>
    <x v="0"/>
    <x v="8"/>
    <x v="0"/>
    <s v="7790104"/>
    <n v="749510"/>
    <s v="RICE Rewards"/>
    <s v="Unassigned"/>
    <x v="0"/>
    <n v="5100"/>
    <n v="30000"/>
    <n v="0"/>
    <n v="0"/>
    <n v="0"/>
    <n v="0"/>
    <n v="-30000"/>
    <n v="0"/>
    <n v="0"/>
    <n v="0"/>
    <n v="0"/>
    <n v="0"/>
    <n v="0"/>
    <n v="0"/>
    <n v="0"/>
  </r>
  <r>
    <x v="0"/>
    <x v="8"/>
    <x v="0"/>
    <s v="7790104"/>
    <n v="749525"/>
    <s v="Contingent Liability Expense"/>
    <s v="Unassigned"/>
    <x v="0"/>
    <m/>
    <n v="0"/>
    <n v="0"/>
    <n v="0"/>
    <n v="0"/>
    <n v="0"/>
    <n v="0"/>
    <n v="0"/>
    <n v="0"/>
    <n v="0"/>
    <n v="0"/>
    <n v="0"/>
    <n v="256200"/>
    <n v="256200"/>
    <n v="-256200"/>
  </r>
  <r>
    <x v="24"/>
    <x v="8"/>
    <x v="0"/>
    <s v="7790104"/>
    <n v="760020"/>
    <s v="Interest Exp--CHI Debt Prog-MBOs Only"/>
    <s v="Unassigned"/>
    <x v="0"/>
    <m/>
    <n v="232521.03"/>
    <n v="231094.15"/>
    <n v="229662.59"/>
    <n v="0"/>
    <n v="0"/>
    <n v="0"/>
    <n v="0"/>
    <n v="0"/>
    <n v="0"/>
    <n v="0"/>
    <n v="0"/>
    <n v="0"/>
    <n v="693277.77"/>
    <n v="0"/>
  </r>
  <r>
    <x v="24"/>
    <x v="8"/>
    <x v="0"/>
    <s v="7790104"/>
    <n v="760030"/>
    <s v="Interest Expense-Ext to CHI Programs"/>
    <s v="Unassigned"/>
    <x v="0"/>
    <m/>
    <n v="6535.27"/>
    <n v="6224.43"/>
    <n v="5912.54"/>
    <n v="5599.58"/>
    <n v="5415.9"/>
    <n v="5101.17"/>
    <n v="4654.32"/>
    <n v="4337.09"/>
    <n v="1318.88"/>
    <n v="2012.75"/>
    <n v="3433.04"/>
    <n v="1767.26"/>
    <n v="52312.23"/>
    <n v="1665.78"/>
  </r>
  <r>
    <x v="0"/>
    <x v="8"/>
    <x v="0"/>
    <s v="7790104"/>
    <n v="766010"/>
    <s v="Property Tax"/>
    <s v="Unassigned"/>
    <x v="0"/>
    <m/>
    <n v="2274.61"/>
    <n v="2274.61"/>
    <n v="2274.61"/>
    <n v="2274.62"/>
    <n v="2274.61"/>
    <n v="2274.63"/>
    <n v="2261.41"/>
    <n v="2261.41"/>
    <n v="2261.41"/>
    <n v="6813.46"/>
    <n v="2249.04"/>
    <n v="2249.04"/>
    <n v="31743.460000000003"/>
    <n v="0"/>
  </r>
  <r>
    <x v="0"/>
    <x v="8"/>
    <x v="0"/>
    <s v="7790104"/>
    <n v="766070"/>
    <s v="Sales and Use Tax"/>
    <s v="Unassigned"/>
    <x v="0"/>
    <m/>
    <n v="12465.68"/>
    <n v="16373.76"/>
    <n v="9752.25"/>
    <n v="25104.01"/>
    <n v="16073.13"/>
    <n v="21021.14"/>
    <n v="21238.02"/>
    <n v="15991.14"/>
    <n v="16930.759999999998"/>
    <n v="15838.13"/>
    <n v="20347.72"/>
    <n v="23395.55"/>
    <n v="214531.29"/>
    <n v="-3047.8299999999981"/>
  </r>
  <r>
    <x v="0"/>
    <x v="8"/>
    <x v="0"/>
    <s v="7790104"/>
    <n v="766090"/>
    <s v="Franchise and Excise Tax"/>
    <s v="Unassigned"/>
    <x v="0"/>
    <n v="1001"/>
    <n v="123643.8"/>
    <n v="89605.47"/>
    <n v="86269.14"/>
    <n v="109207.84"/>
    <n v="82928.990000000005"/>
    <n v="115516.07"/>
    <n v="110391.67"/>
    <n v="104897.81"/>
    <n v="109017.48"/>
    <n v="83745.570000000007"/>
    <n v="94761.04"/>
    <n v="97188.51"/>
    <n v="1207173.3900000001"/>
    <n v="-2427.4700000000012"/>
  </r>
  <r>
    <x v="0"/>
    <x v="8"/>
    <x v="0"/>
    <s v="7790104"/>
    <n v="766092"/>
    <s v="Provider Tax-Program Expense"/>
    <s v="Unassigned"/>
    <x v="0"/>
    <m/>
    <n v="240714.5"/>
    <n v="240714.5"/>
    <n v="287976"/>
    <n v="256468.33"/>
    <n v="252945"/>
    <n v="255764.17"/>
    <n v="255763.75"/>
    <n v="255763.75"/>
    <n v="255763.75"/>
    <n v="255763.75"/>
    <n v="255763.75"/>
    <n v="255763.75"/>
    <n v="3069165"/>
    <n v="0"/>
  </r>
  <r>
    <x v="25"/>
    <x v="8"/>
    <x v="0"/>
    <s v="7790104"/>
    <n v="770010"/>
    <s v="Restructuring Losses"/>
    <s v="Unassigned"/>
    <x v="0"/>
    <m/>
    <n v="-18900"/>
    <n v="0"/>
    <n v="0"/>
    <n v="0"/>
    <n v="0"/>
    <n v="0"/>
    <n v="0"/>
    <n v="0"/>
    <n v="0"/>
    <n v="0"/>
    <n v="0"/>
    <n v="0"/>
    <n v="-18900"/>
    <n v="0"/>
  </r>
  <r>
    <x v="9"/>
    <x v="8"/>
    <x v="0"/>
    <s v="7790104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746564.23"/>
    <n v="746564.23"/>
    <n v="-746564.23"/>
  </r>
  <r>
    <x v="18"/>
    <x v="5"/>
    <x v="0"/>
    <s v="7790106"/>
    <n v="400010"/>
    <s v="Acute I/P Svcs Rev--Managed Care"/>
    <s v="Unassigned"/>
    <x v="0"/>
    <n v="1400"/>
    <n v="82154.83"/>
    <n v="35414.75"/>
    <n v="29223.84"/>
    <n v="-132301.69"/>
    <n v="-444561.05"/>
    <n v="115148.88"/>
    <n v="284415"/>
    <n v="41408.86"/>
    <n v="57406.2"/>
    <n v="37146.720000000001"/>
    <n v="6641.79"/>
    <n v="252425.09"/>
    <n v="364523.22000000003"/>
    <n v="-245783.3"/>
  </r>
  <r>
    <x v="19"/>
    <x v="5"/>
    <x v="0"/>
    <s v="7790106"/>
    <n v="400020"/>
    <s v="O/P Care Svcs Rev--Medicare"/>
    <s v="Unassigned"/>
    <x v="0"/>
    <n v="1100"/>
    <n v="0"/>
    <n v="0"/>
    <n v="0"/>
    <n v="0"/>
    <n v="0"/>
    <n v="0"/>
    <n v="0"/>
    <n v="-4562.97"/>
    <n v="4562.97"/>
    <n v="0"/>
    <n v="0"/>
    <n v="0"/>
    <n v="0"/>
    <n v="0"/>
  </r>
  <r>
    <x v="19"/>
    <x v="5"/>
    <x v="0"/>
    <s v="7790106"/>
    <n v="400020"/>
    <s v="O/P Care Svcs Rev--Medicaid"/>
    <s v="Unassigned"/>
    <x v="0"/>
    <n v="1200"/>
    <n v="0"/>
    <n v="0"/>
    <n v="-1498"/>
    <n v="1498"/>
    <n v="0"/>
    <n v="0"/>
    <n v="0"/>
    <n v="0"/>
    <n v="0"/>
    <n v="0"/>
    <n v="0"/>
    <n v="0"/>
    <n v="0"/>
    <n v="0"/>
  </r>
  <r>
    <x v="19"/>
    <x v="5"/>
    <x v="0"/>
    <s v="7790106"/>
    <n v="400020"/>
    <s v="O/P Care Svcs Rev--Managed Care"/>
    <s v="Unassigned"/>
    <x v="0"/>
    <n v="1400"/>
    <n v="-296469.77"/>
    <n v="-74025.19"/>
    <n v="299142.39"/>
    <n v="593772.28"/>
    <n v="-725214.4"/>
    <n v="449306.72"/>
    <n v="-174348.05"/>
    <n v="-373811.72"/>
    <n v="264856.40999999997"/>
    <n v="34168.31"/>
    <n v="135089.67000000001"/>
    <n v="97007.4"/>
    <n v="229474.05"/>
    <n v="38082.270000000019"/>
  </r>
  <r>
    <x v="19"/>
    <x v="5"/>
    <x v="0"/>
    <s v="7790106"/>
    <n v="400020"/>
    <s v="O/P Care Svcs Rev--Self Pay"/>
    <s v="Unassigned"/>
    <x v="0"/>
    <n v="1500"/>
    <n v="0"/>
    <n v="0"/>
    <n v="0"/>
    <n v="0"/>
    <n v="0"/>
    <n v="0"/>
    <n v="-1155.94"/>
    <n v="0"/>
    <n v="0"/>
    <n v="-4648.1400000000003"/>
    <n v="4648.1400000000003"/>
    <n v="0"/>
    <n v="-1155.9399999999996"/>
    <n v="4648.1400000000003"/>
  </r>
  <r>
    <x v="14"/>
    <x v="5"/>
    <x v="0"/>
    <s v="7790106"/>
    <n v="600050"/>
    <s v="Miscellaneous Revenue"/>
    <s v="Unassigned"/>
    <x v="0"/>
    <m/>
    <n v="-554.79999999999995"/>
    <n v="-340.16"/>
    <n v="-275.70999999999998"/>
    <n v="-85.61"/>
    <n v="-1225.19"/>
    <n v="0"/>
    <n v="-1285.23"/>
    <n v="-22.5"/>
    <n v="-235.95"/>
    <n v="-374.89"/>
    <n v="-108.15"/>
    <n v="-377.59"/>
    <n v="-4885.78"/>
    <n v="269.43999999999994"/>
  </r>
  <r>
    <x v="14"/>
    <x v="5"/>
    <x v="0"/>
    <s v="7790106"/>
    <n v="600050"/>
    <s v="Non-Pt. Revenue Adjustment"/>
    <s v="Unassigned"/>
    <x v="0"/>
    <n v="2100"/>
    <n v="0"/>
    <n v="0"/>
    <n v="0"/>
    <n v="0"/>
    <n v="0"/>
    <n v="0"/>
    <n v="0"/>
    <n v="0"/>
    <n v="0"/>
    <n v="0"/>
    <n v="0"/>
    <n v="0"/>
    <n v="0"/>
    <n v="0"/>
  </r>
  <r>
    <x v="14"/>
    <x v="5"/>
    <x v="0"/>
    <s v="7790106"/>
    <n v="600060"/>
    <s v="Gain/Loss-Sale of Joint Venture"/>
    <s v="Unassigned"/>
    <x v="0"/>
    <n v="1000"/>
    <n v="0"/>
    <n v="-2440640.61"/>
    <n v="0"/>
    <n v="0"/>
    <n v="0"/>
    <n v="10000"/>
    <n v="0"/>
    <n v="0"/>
    <n v="0"/>
    <n v="0"/>
    <n v="0"/>
    <n v="0"/>
    <n v="-2430640.61"/>
    <n v="0"/>
  </r>
  <r>
    <x v="5"/>
    <x v="5"/>
    <x v="0"/>
    <s v="7790106"/>
    <n v="700082"/>
    <s v="Salaries-Other-Non-productive"/>
    <s v="Unassigned"/>
    <x v="0"/>
    <m/>
    <n v="29000"/>
    <n v="24000"/>
    <n v="9600"/>
    <n v="7000"/>
    <n v="9000"/>
    <n v="9500"/>
    <n v="13205.19"/>
    <n v="5794.81"/>
    <n v="9500"/>
    <n v="9100"/>
    <n v="9100"/>
    <n v="9200"/>
    <n v="144000"/>
    <n v="-100"/>
  </r>
  <r>
    <x v="5"/>
    <x v="5"/>
    <x v="0"/>
    <s v="7790106"/>
    <n v="700084"/>
    <s v="Accrued PTO"/>
    <s v="Unassigned"/>
    <x v="0"/>
    <m/>
    <n v="0"/>
    <n v="0"/>
    <n v="0"/>
    <n v="0"/>
    <n v="-51000"/>
    <n v="51000"/>
    <n v="0"/>
    <n v="0"/>
    <n v="0"/>
    <n v="0"/>
    <n v="0"/>
    <n v="0"/>
    <n v="0"/>
    <n v="0"/>
  </r>
  <r>
    <x v="10"/>
    <x v="5"/>
    <x v="0"/>
    <s v="7790106"/>
    <n v="710060"/>
    <s v="Contract Labor-Other"/>
    <s v="Unassigned"/>
    <x v="0"/>
    <m/>
    <n v="0"/>
    <n v="0"/>
    <n v="0"/>
    <n v="-50000"/>
    <n v="25000"/>
    <n v="0"/>
    <n v="25000"/>
    <n v="20000"/>
    <n v="50000"/>
    <n v="30000"/>
    <n v="-100000"/>
    <n v="0"/>
    <n v="0"/>
    <n v="-100000"/>
  </r>
  <r>
    <x v="17"/>
    <x v="5"/>
    <x v="0"/>
    <s v="7790106"/>
    <n v="714520"/>
    <s v="Other Contracted Professionals"/>
    <s v="Unassigned"/>
    <x v="0"/>
    <m/>
    <n v="0"/>
    <n v="0"/>
    <n v="0"/>
    <n v="0"/>
    <n v="45837"/>
    <n v="-45837"/>
    <n v="0"/>
    <n v="0"/>
    <n v="0"/>
    <n v="0"/>
    <n v="0"/>
    <n v="0"/>
    <n v="0"/>
    <n v="0"/>
  </r>
  <r>
    <x v="7"/>
    <x v="5"/>
    <x v="0"/>
    <s v="7790106"/>
    <n v="718050"/>
    <s v="Contract Svcs-Other"/>
    <s v="Unassigned"/>
    <x v="0"/>
    <m/>
    <n v="0"/>
    <n v="0"/>
    <n v="0"/>
    <n v="0"/>
    <n v="0"/>
    <n v="0"/>
    <n v="0"/>
    <n v="0"/>
    <n v="0"/>
    <n v="0"/>
    <n v="5.5"/>
    <n v="0"/>
    <n v="5.5"/>
    <n v="5.5"/>
  </r>
  <r>
    <x v="7"/>
    <x v="5"/>
    <x v="0"/>
    <s v="7790106"/>
    <n v="718050"/>
    <s v="Document Shredding/Storage"/>
    <s v="Unassigned"/>
    <x v="0"/>
    <n v="1012"/>
    <n v="0"/>
    <n v="23.82"/>
    <n v="12.39"/>
    <n v="12.26"/>
    <n v="12.68"/>
    <n v="12.68"/>
    <n v="12.55"/>
    <n v="10.77"/>
    <n v="11.15"/>
    <n v="14.6"/>
    <n v="12.26"/>
    <n v="12.68"/>
    <n v="147.84"/>
    <n v="-0.41999999999999993"/>
  </r>
  <r>
    <x v="7"/>
    <x v="5"/>
    <x v="0"/>
    <s v="7790106"/>
    <n v="718050"/>
    <s v="Miscellaneous Purchased Svcs"/>
    <s v="Unassigned"/>
    <x v="0"/>
    <n v="1020"/>
    <n v="34663.51"/>
    <n v="7257.18"/>
    <n v="-12930.03"/>
    <n v="-16495.27"/>
    <n v="-48085.120000000003"/>
    <n v="83961.5"/>
    <n v="56284.69"/>
    <n v="13064.41"/>
    <n v="-14750.18"/>
    <n v="35360.36"/>
    <n v="-28344.02"/>
    <n v="35923.85"/>
    <n v="145910.87999999998"/>
    <n v="-64267.869999999995"/>
  </r>
  <r>
    <x v="7"/>
    <x v="5"/>
    <x v="0"/>
    <s v="7790106"/>
    <n v="718050"/>
    <s v="Translation Services"/>
    <s v="Unassigned"/>
    <x v="0"/>
    <n v="1025"/>
    <n v="0"/>
    <n v="0"/>
    <n v="258"/>
    <n v="180.5"/>
    <n v="397.5"/>
    <n v="0"/>
    <n v="255.75"/>
    <n v="176.65"/>
    <n v="385.29"/>
    <n v="78.3"/>
    <n v="337.4"/>
    <n v="0"/>
    <n v="2069.39"/>
    <n v="337.4"/>
  </r>
  <r>
    <x v="7"/>
    <x v="5"/>
    <x v="0"/>
    <s v="7790106"/>
    <n v="718050"/>
    <s v="Purchased Srvcs-Medical/Clinical Review"/>
    <s v="Unassigned"/>
    <x v="0"/>
    <n v="1032"/>
    <n v="0"/>
    <n v="0"/>
    <n v="0"/>
    <n v="0"/>
    <n v="0"/>
    <n v="35880"/>
    <n v="0"/>
    <n v="0"/>
    <n v="0"/>
    <n v="0"/>
    <n v="0"/>
    <n v="0"/>
    <n v="35880"/>
    <n v="0"/>
  </r>
  <r>
    <x v="7"/>
    <x v="5"/>
    <x v="0"/>
    <s v="7790106"/>
    <n v="718061"/>
    <s v="Contract Services-CRO Allocation"/>
    <s v="Unassigned"/>
    <x v="0"/>
    <m/>
    <n v="19216"/>
    <n v="19216"/>
    <n v="19216"/>
    <n v="19216"/>
    <n v="19216"/>
    <n v="19216"/>
    <n v="19216"/>
    <n v="19216"/>
    <n v="19216"/>
    <n v="19216"/>
    <n v="19216"/>
    <n v="19216"/>
    <n v="230592"/>
    <n v="0"/>
  </r>
  <r>
    <x v="7"/>
    <x v="5"/>
    <x v="0"/>
    <s v="7790106"/>
    <n v="718065"/>
    <s v="Contract Services-CHI Legal Fees"/>
    <s v="Unassigned"/>
    <x v="0"/>
    <m/>
    <n v="25357.08"/>
    <n v="25357.08"/>
    <n v="25357.08"/>
    <n v="25357.08"/>
    <n v="25357.08"/>
    <n v="25357.08"/>
    <n v="25357.08"/>
    <n v="25357.08"/>
    <n v="25357.08"/>
    <n v="25357.08"/>
    <n v="25357.08"/>
    <n v="25357.08"/>
    <n v="304284.96000000008"/>
    <n v="0"/>
  </r>
  <r>
    <x v="7"/>
    <x v="5"/>
    <x v="0"/>
    <s v="7790106"/>
    <n v="718066"/>
    <s v="Contract Services-CHI Tax Services"/>
    <s v="Unassigned"/>
    <x v="0"/>
    <m/>
    <n v="1185"/>
    <n v="1185"/>
    <n v="1185"/>
    <n v="1185"/>
    <n v="1185"/>
    <n v="1185"/>
    <n v="1185"/>
    <n v="1185"/>
    <n v="1185"/>
    <n v="1185"/>
    <n v="1185"/>
    <n v="1185"/>
    <n v="14220"/>
    <n v="0"/>
  </r>
  <r>
    <x v="7"/>
    <x v="5"/>
    <x v="0"/>
    <s v="7790106"/>
    <n v="718070"/>
    <s v="Contract Srvcs-CHI Clinical Engineering"/>
    <s v="Unassigned"/>
    <x v="0"/>
    <m/>
    <n v="-110524.27"/>
    <n v="-109893.71"/>
    <n v="-113741.9"/>
    <n v="-112786.18"/>
    <n v="-114923.91"/>
    <n v="-115237.28"/>
    <n v="-139793"/>
    <n v="-95190.399999999994"/>
    <n v="-122316.6"/>
    <n v="-114711.69"/>
    <n v="-116557.65"/>
    <n v="-112333.7"/>
    <n v="-1378010.2899999998"/>
    <n v="-4223.9499999999971"/>
  </r>
  <r>
    <x v="7"/>
    <x v="5"/>
    <x v="0"/>
    <s v="7790106"/>
    <n v="718075"/>
    <s v="Contract Srvcs-CHI ITS Steady State"/>
    <s v="Unassigned"/>
    <x v="0"/>
    <m/>
    <n v="880889"/>
    <n v="880889"/>
    <n v="880889"/>
    <n v="880889"/>
    <n v="880889"/>
    <n v="880889"/>
    <n v="880889"/>
    <n v="880889"/>
    <n v="880889"/>
    <n v="880889"/>
    <n v="880889"/>
    <n v="880889"/>
    <n v="10570668"/>
    <n v="0"/>
  </r>
  <r>
    <x v="11"/>
    <x v="5"/>
    <x v="0"/>
    <s v="7790106"/>
    <n v="721010"/>
    <s v="Supplies-Medical - Billable"/>
    <s v="Unassigned"/>
    <x v="0"/>
    <m/>
    <n v="0"/>
    <n v="0"/>
    <n v="-53602.6"/>
    <n v="53599.21"/>
    <n v="51.83"/>
    <n v="34440"/>
    <n v="17220"/>
    <n v="17220"/>
    <n v="17220"/>
    <n v="15876"/>
    <n v="18858.84"/>
    <n v="14971.37"/>
    <n v="135854.65"/>
    <n v="3887.4699999999993"/>
  </r>
  <r>
    <x v="11"/>
    <x v="5"/>
    <x v="0"/>
    <s v="7790106"/>
    <n v="721020"/>
    <s v="Supplies-Surgical - Billable"/>
    <s v="Unassigned"/>
    <x v="0"/>
    <m/>
    <n v="0"/>
    <n v="0"/>
    <n v="-3623.72"/>
    <n v="3623.72"/>
    <n v="0"/>
    <n v="0"/>
    <n v="0"/>
    <n v="0"/>
    <n v="0"/>
    <n v="0"/>
    <n v="0"/>
    <n v="0"/>
    <n v="0"/>
    <n v="0"/>
  </r>
  <r>
    <x v="11"/>
    <x v="5"/>
    <x v="0"/>
    <s v="7790106"/>
    <n v="721120"/>
    <s v="Supplies-Prosthetics - Billabl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790106"/>
    <n v="721150"/>
    <s v="Supplies-Other Implants - Billabl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790106"/>
    <n v="721410"/>
    <s v="Supplies-Medical - Nonbillable"/>
    <s v="Unassigned"/>
    <x v="0"/>
    <m/>
    <n v="2469.35"/>
    <n v="-360.05"/>
    <n v="-1004.29"/>
    <n v="-608.70000000000005"/>
    <n v="-2219.06"/>
    <n v="-435.5"/>
    <n v="3575"/>
    <n v="-452.04"/>
    <n v="-2607.06"/>
    <n v="2046.13"/>
    <n v="-4351.17"/>
    <n v="2123.4699999999998"/>
    <n v="-1823.92"/>
    <n v="-6474.6399999999994"/>
  </r>
  <r>
    <x v="11"/>
    <x v="5"/>
    <x v="0"/>
    <s v="7790106"/>
    <n v="721830"/>
    <s v="Supplies-Office"/>
    <s v="Unassigned"/>
    <x v="0"/>
    <m/>
    <n v="0"/>
    <n v="0"/>
    <n v="0"/>
    <n v="0"/>
    <n v="0"/>
    <n v="0"/>
    <n v="0"/>
    <n v="0"/>
    <n v="0"/>
    <n v="0"/>
    <n v="-94.38"/>
    <n v="0"/>
    <n v="-94.38"/>
    <n v="-94.38"/>
  </r>
  <r>
    <x v="11"/>
    <x v="5"/>
    <x v="0"/>
    <s v="7790106"/>
    <n v="721910"/>
    <s v="Supplies-Small Equipment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790106"/>
    <n v="721910"/>
    <s v="Instruments"/>
    <s v="Unassigned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790106"/>
    <n v="721980"/>
    <s v="Supplies-Other"/>
    <s v="Unassigned"/>
    <x v="0"/>
    <m/>
    <n v="0"/>
    <n v="0"/>
    <n v="-175"/>
    <n v="175"/>
    <n v="0"/>
    <n v="0"/>
    <n v="0"/>
    <n v="0"/>
    <n v="0"/>
    <n v="0"/>
    <n v="0"/>
    <n v="0"/>
    <n v="0"/>
    <n v="0"/>
  </r>
  <r>
    <x v="11"/>
    <x v="5"/>
    <x v="0"/>
    <s v="7790106"/>
    <n v="722000"/>
    <s v="Supplies-Freight Expense"/>
    <s v="Unassigned"/>
    <x v="0"/>
    <m/>
    <n v="361.45"/>
    <n v="1192.44"/>
    <n v="1338.4"/>
    <n v="927.94"/>
    <n v="1065.9100000000001"/>
    <n v="939.24"/>
    <n v="1570.96"/>
    <n v="293.01"/>
    <n v="770.75"/>
    <n v="622.44000000000005"/>
    <n v="1518.94"/>
    <n v="963.99"/>
    <n v="11565.470000000001"/>
    <n v="554.95000000000005"/>
  </r>
  <r>
    <x v="11"/>
    <x v="5"/>
    <x v="0"/>
    <s v="7790106"/>
    <n v="723000"/>
    <s v="Supply Rebates/Patronage Dividend"/>
    <s v="Unassigned"/>
    <x v="0"/>
    <m/>
    <n v="-30000"/>
    <n v="-54000"/>
    <n v="84000"/>
    <n v="-42000"/>
    <n v="-42000"/>
    <n v="83820.22"/>
    <n v="-45000"/>
    <n v="-45370.2"/>
    <n v="90000"/>
    <n v="-50000"/>
    <n v="-50000"/>
    <n v="100000"/>
    <n v="-549.97999999999593"/>
    <n v="-150000"/>
  </r>
  <r>
    <x v="11"/>
    <x v="5"/>
    <x v="0"/>
    <s v="7790106"/>
    <n v="723500"/>
    <s v="Discounts Taken *"/>
    <s v="Unassigned"/>
    <x v="0"/>
    <m/>
    <n v="0"/>
    <n v="0"/>
    <n v="-11.27"/>
    <n v="-2.66"/>
    <n v="-14.8"/>
    <n v="-7.4"/>
    <n v="-14.8"/>
    <n v="-14.8"/>
    <n v="0"/>
    <n v="0"/>
    <n v="0"/>
    <n v="-81.84"/>
    <n v="-147.57"/>
    <n v="81.84"/>
  </r>
  <r>
    <x v="12"/>
    <x v="5"/>
    <x v="0"/>
    <s v="7790106"/>
    <n v="730010"/>
    <s v="Rental and Leases-Building (DO NOT USE)"/>
    <s v="Unassigned"/>
    <x v="0"/>
    <m/>
    <n v="14322.5"/>
    <n v="14322.5"/>
    <n v="14322.5"/>
    <n v="14322.5"/>
    <n v="14322.5"/>
    <n v="-16760.740000000002"/>
    <n v="9141.9599999999991"/>
    <n v="-47683.31"/>
    <n v="9141.9599999999991"/>
    <n v="9141.9599999999991"/>
    <n v="4796.5600000000004"/>
    <n v="0"/>
    <n v="39390.889999999992"/>
    <n v="4796.5600000000004"/>
  </r>
  <r>
    <x v="12"/>
    <x v="5"/>
    <x v="0"/>
    <s v="7790106"/>
    <n v="730010"/>
    <s v="Rental-Common Area Maint (DO NOT USE)"/>
    <s v="Unassigned"/>
    <x v="0"/>
    <n v="2200"/>
    <n v="0"/>
    <n v="0"/>
    <n v="0"/>
    <n v="0"/>
    <n v="0"/>
    <n v="31083.24"/>
    <n v="4909.2"/>
    <n v="-25317.15"/>
    <n v="5157.0600000000004"/>
    <n v="5157.0600000000004"/>
    <n v="5157.0600000000004"/>
    <n v="0"/>
    <n v="26146.470000000005"/>
    <n v="5157.0600000000004"/>
  </r>
  <r>
    <x v="12"/>
    <x v="5"/>
    <x v="0"/>
    <s v="7790106"/>
    <n v="730020"/>
    <s v="Rental and Leases-Equipment (DO NOT USE)"/>
    <s v="Unassigned"/>
    <x v="0"/>
    <m/>
    <n v="5431.48"/>
    <n v="-792.62"/>
    <n v="-5674.71"/>
    <n v="2126.5100000000002"/>
    <n v="-4882"/>
    <n v="-956.3"/>
    <n v="7863.51"/>
    <n v="-994.22"/>
    <n v="-5734.71"/>
    <n v="4500.53"/>
    <n v="-9572.73"/>
    <n v="4672.68"/>
    <n v="-4012.58"/>
    <n v="-14245.41"/>
  </r>
  <r>
    <x v="12"/>
    <x v="5"/>
    <x v="0"/>
    <s v="7790106"/>
    <n v="730020"/>
    <s v="Rental and Leases-Copier Usage Fees (DO NOT USE)"/>
    <s v="Unassigned"/>
    <x v="0"/>
    <n v="5100"/>
    <n v="0"/>
    <n v="-190.43"/>
    <n v="-95.22"/>
    <n v="-95.22"/>
    <n v="-95.22"/>
    <n v="-95.22"/>
    <n v="7296.98"/>
    <n v="-4809.76"/>
    <n v="3175.37"/>
    <n v="-3922.52"/>
    <n v="653.76"/>
    <n v="0"/>
    <n v="1822.5199999999988"/>
    <n v="653.76"/>
  </r>
  <r>
    <x v="12"/>
    <x v="5"/>
    <x v="0"/>
    <s v="7790106"/>
    <n v="730040"/>
    <s v="LT Lease-Real Estate"/>
    <s v="Unassigned"/>
    <x v="0"/>
    <m/>
    <n v="0"/>
    <n v="0"/>
    <n v="0"/>
    <n v="0"/>
    <n v="0"/>
    <n v="0"/>
    <n v="0"/>
    <n v="0"/>
    <n v="0"/>
    <n v="0"/>
    <n v="0"/>
    <n v="14572.22"/>
    <n v="14572.22"/>
    <n v="-14572.22"/>
  </r>
  <r>
    <x v="15"/>
    <x v="5"/>
    <x v="0"/>
    <s v="7790106"/>
    <n v="731060"/>
    <s v="Telephone"/>
    <s v="Unassigned"/>
    <x v="0"/>
    <m/>
    <n v="0"/>
    <n v="1744.37"/>
    <n v="453.9"/>
    <n v="847.15"/>
    <n v="598.49"/>
    <n v="748.02"/>
    <n v="882.12"/>
    <n v="582.35"/>
    <n v="794.37"/>
    <n v="922.95"/>
    <n v="817.48"/>
    <n v="819.71"/>
    <n v="9210.91"/>
    <n v="-2.2300000000000182"/>
  </r>
  <r>
    <x v="16"/>
    <x v="5"/>
    <x v="0"/>
    <s v="7790106"/>
    <n v="732030"/>
    <s v="Repairs&amp;Maintenance-Bldg Routine"/>
    <s v="Unassigned"/>
    <x v="0"/>
    <n v="2300"/>
    <n v="0"/>
    <n v="0"/>
    <n v="0"/>
    <n v="0"/>
    <n v="538.52"/>
    <n v="0"/>
    <n v="0"/>
    <n v="0"/>
    <n v="0"/>
    <n v="0"/>
    <n v="0"/>
    <n v="679.74"/>
    <n v="1218.26"/>
    <n v="-679.74"/>
  </r>
  <r>
    <x v="16"/>
    <x v="5"/>
    <x v="0"/>
    <s v="7790106"/>
    <n v="733030"/>
    <s v="Maintenance Contracts-Other"/>
    <s v="Unassigned"/>
    <x v="0"/>
    <m/>
    <n v="0"/>
    <n v="0"/>
    <n v="0"/>
    <n v="0"/>
    <n v="0"/>
    <n v="8200"/>
    <n v="4100"/>
    <n v="4100"/>
    <n v="4100"/>
    <n v="3780"/>
    <n v="4490.2"/>
    <n v="3564.61"/>
    <n v="32334.81"/>
    <n v="925.58999999999969"/>
  </r>
  <r>
    <x v="13"/>
    <x v="5"/>
    <x v="0"/>
    <s v="7790106"/>
    <n v="735020"/>
    <s v="Depreciation-Land Improvements"/>
    <s v="Unassigned"/>
    <x v="0"/>
    <m/>
    <n v="66.849999999999994"/>
    <n v="66.849999999999994"/>
    <n v="66.849999999999994"/>
    <n v="66.84"/>
    <n v="66.849999999999994"/>
    <n v="66.84"/>
    <n v="66.849999999999994"/>
    <n v="66.84"/>
    <n v="66.86"/>
    <n v="66.84"/>
    <n v="66.86"/>
    <n v="66.84"/>
    <n v="802.17000000000019"/>
    <n v="1.9999999999996021E-2"/>
  </r>
  <r>
    <x v="13"/>
    <x v="5"/>
    <x v="0"/>
    <s v="7790106"/>
    <n v="735030"/>
    <s v="Depreciation-Buildings"/>
    <s v="Unassigned"/>
    <x v="0"/>
    <m/>
    <n v="278379.33"/>
    <n v="278379.33"/>
    <n v="278379.34000000003"/>
    <n v="278379.33"/>
    <n v="278379.34000000003"/>
    <n v="278379.33"/>
    <n v="278379.34000000003"/>
    <n v="278379.33"/>
    <n v="278379.34999999998"/>
    <n v="278379.33"/>
    <n v="278379.34999999998"/>
    <n v="278379.32"/>
    <n v="3340552.0200000005"/>
    <n v="2.9999999969732016E-2"/>
  </r>
  <r>
    <x v="13"/>
    <x v="5"/>
    <x v="0"/>
    <s v="7790106"/>
    <n v="735040"/>
    <s v="Depreciation-Building Improvements"/>
    <s v="Unassigned"/>
    <x v="0"/>
    <m/>
    <n v="26512.67"/>
    <n v="26512.65"/>
    <n v="26512.69"/>
    <n v="26948.39"/>
    <n v="26948.46"/>
    <n v="26948.39"/>
    <n v="26948.47"/>
    <n v="26948.37"/>
    <n v="26948.47"/>
    <n v="26948.36"/>
    <n v="26948.5"/>
    <n v="26400.03"/>
    <n v="321525.44999999995"/>
    <n v="548.47000000000116"/>
  </r>
  <r>
    <x v="13"/>
    <x v="5"/>
    <x v="0"/>
    <s v="7790106"/>
    <n v="735050"/>
    <s v="Amortization-Leasehold Improvements"/>
    <s v="Unassigned"/>
    <x v="0"/>
    <m/>
    <n v="0"/>
    <n v="0"/>
    <n v="0"/>
    <n v="0"/>
    <n v="0"/>
    <n v="0"/>
    <n v="0"/>
    <n v="0"/>
    <n v="0"/>
    <n v="0"/>
    <n v="0"/>
    <n v="3969.88"/>
    <n v="3969.88"/>
    <n v="-3969.88"/>
  </r>
  <r>
    <x v="13"/>
    <x v="5"/>
    <x v="0"/>
    <s v="7790106"/>
    <n v="735060"/>
    <s v="Depreciation-Fixed Equipment"/>
    <s v="Unassigned"/>
    <x v="0"/>
    <m/>
    <n v="1003.93"/>
    <n v="1003.91"/>
    <n v="1003.94"/>
    <n v="1003.9"/>
    <n v="1003.96"/>
    <n v="1003.86"/>
    <n v="1003.96"/>
    <n v="1003.86"/>
    <n v="1003.98"/>
    <n v="1003.85"/>
    <n v="1004.01"/>
    <n v="1003.81"/>
    <n v="12046.97"/>
    <n v="0.20000000000004547"/>
  </r>
  <r>
    <x v="13"/>
    <x v="5"/>
    <x v="0"/>
    <s v="7790106"/>
    <n v="735070"/>
    <s v="Depreciation-Movable Equipment"/>
    <s v="Unassigned"/>
    <x v="0"/>
    <m/>
    <n v="177464.72"/>
    <n v="177464.67"/>
    <n v="177464.82"/>
    <n v="177748.04"/>
    <n v="177748.26"/>
    <n v="177748.02"/>
    <n v="177748.29"/>
    <n v="177747.62"/>
    <n v="177748.33"/>
    <n v="177747.55"/>
    <n v="176615.26"/>
    <n v="176614.39"/>
    <n v="2129859.9700000002"/>
    <n v="0.86999999999534339"/>
  </r>
  <r>
    <x v="24"/>
    <x v="5"/>
    <x v="0"/>
    <s v="7790106"/>
    <n v="736100"/>
    <s v="Environmental Remediation Reserve Adjustment"/>
    <s v="Unassigned"/>
    <x v="0"/>
    <m/>
    <n v="0"/>
    <n v="0"/>
    <n v="284.32"/>
    <n v="0"/>
    <n v="0"/>
    <n v="287.16000000000003"/>
    <n v="0"/>
    <n v="0"/>
    <n v="0"/>
    <n v="0"/>
    <n v="0"/>
    <n v="0"/>
    <n v="571.48"/>
    <n v="0"/>
  </r>
  <r>
    <x v="8"/>
    <x v="5"/>
    <x v="0"/>
    <s v="7790106"/>
    <n v="741010"/>
    <s v="Liability Insurance-CHI Programs"/>
    <s v="Unassigned"/>
    <x v="0"/>
    <m/>
    <n v="148299.15"/>
    <n v="148299.15"/>
    <n v="148077.28"/>
    <n v="148225.19"/>
    <n v="148225.19"/>
    <n v="148225.19"/>
    <n v="148225.19"/>
    <n v="148225.19"/>
    <n v="148225.19"/>
    <n v="148225.19"/>
    <n v="148225.19"/>
    <n v="148225.19"/>
    <n v="1778702.2899999996"/>
    <n v="0"/>
  </r>
  <r>
    <x v="8"/>
    <x v="5"/>
    <x v="0"/>
    <s v="7790106"/>
    <n v="741030"/>
    <s v="Property Insurance-CHI Programs"/>
    <s v="Unassigned"/>
    <x v="0"/>
    <m/>
    <n v="19195.189999999999"/>
    <n v="19195.189999999999"/>
    <n v="20376.830000000002"/>
    <n v="19589.07"/>
    <n v="19589.07"/>
    <n v="19589.07"/>
    <n v="19589.07"/>
    <n v="19589.07"/>
    <n v="20006.78"/>
    <n v="19589.07"/>
    <n v="19589.07"/>
    <n v="19171.36"/>
    <n v="235068.84000000003"/>
    <n v="417.70999999999913"/>
  </r>
  <r>
    <x v="8"/>
    <x v="5"/>
    <x v="0"/>
    <s v="7790106"/>
    <n v="741070"/>
    <s v="Insurance-Risk Mgmt Incentive Program"/>
    <s v="Unassigned"/>
    <x v="0"/>
    <m/>
    <n v="0"/>
    <n v="0"/>
    <n v="0"/>
    <n v="-52264"/>
    <n v="0"/>
    <n v="0"/>
    <n v="0"/>
    <n v="0"/>
    <n v="0"/>
    <n v="0"/>
    <n v="0"/>
    <n v="0"/>
    <n v="-52264"/>
    <n v="0"/>
  </r>
  <r>
    <x v="0"/>
    <x v="5"/>
    <x v="0"/>
    <s v="7790106"/>
    <n v="746020"/>
    <s v="Bank Fees--Ext to CHI Programs"/>
    <s v="Unassigned"/>
    <x v="0"/>
    <m/>
    <n v="1789.56"/>
    <n v="1676.15"/>
    <n v="1756.41"/>
    <n v="1656.47"/>
    <n v="1856.9"/>
    <n v="1635.57"/>
    <n v="2182.29"/>
    <n v="1939.27"/>
    <n v="1658.17"/>
    <n v="1898.2"/>
    <n v="1842.4"/>
    <n v="1896.87"/>
    <n v="21788.26"/>
    <n v="-54.4699999999998"/>
  </r>
  <r>
    <x v="26"/>
    <x v="5"/>
    <x v="0"/>
    <s v="7790106"/>
    <n v="747001"/>
    <s v="National Assessment"/>
    <s v="Unassigned"/>
    <x v="0"/>
    <m/>
    <n v="211245"/>
    <n v="211245"/>
    <n v="211245"/>
    <n v="211245"/>
    <n v="211245"/>
    <n v="211245"/>
    <n v="155245"/>
    <n v="155245"/>
    <n v="155245"/>
    <n v="155245"/>
    <n v="155245"/>
    <n v="155245"/>
    <n v="2198940"/>
    <n v="0"/>
  </r>
  <r>
    <x v="0"/>
    <x v="5"/>
    <x v="0"/>
    <s v="7790106"/>
    <n v="749510"/>
    <s v="Miscellaneous Expenses"/>
    <s v="Unassigned"/>
    <x v="0"/>
    <m/>
    <n v="14813.32"/>
    <n v="-2161.63"/>
    <n v="-6653.88"/>
    <n v="-2925.06"/>
    <n v="-13313.14"/>
    <n v="15485.96"/>
    <n v="30466.11"/>
    <n v="6310.65"/>
    <n v="-8209.4699999999993"/>
    <n v="20591.89"/>
    <n v="-25703.77"/>
    <n v="19880.82"/>
    <n v="48581.8"/>
    <n v="-45584.59"/>
  </r>
  <r>
    <x v="0"/>
    <x v="5"/>
    <x v="0"/>
    <s v="7790106"/>
    <n v="749510"/>
    <s v="Late Payment Penalties &amp; Interest"/>
    <s v="Unassigned"/>
    <x v="0"/>
    <n v="4600"/>
    <n v="0.57999999999999996"/>
    <n v="50"/>
    <n v="0"/>
    <n v="0"/>
    <n v="0"/>
    <n v="1.86"/>
    <n v="23.14"/>
    <n v="0"/>
    <n v="77.17"/>
    <n v="-2.17"/>
    <n v="0"/>
    <n v="0"/>
    <n v="150.58000000000001"/>
    <n v="0"/>
  </r>
  <r>
    <x v="0"/>
    <x v="5"/>
    <x v="0"/>
    <s v="7790106"/>
    <n v="749510"/>
    <s v="RICE Rewards"/>
    <s v="Unassigned"/>
    <x v="0"/>
    <n v="5100"/>
    <n v="40000"/>
    <n v="0"/>
    <n v="0"/>
    <n v="0"/>
    <n v="0"/>
    <n v="-40000"/>
    <n v="0"/>
    <n v="0"/>
    <n v="0"/>
    <n v="0"/>
    <n v="0"/>
    <n v="0"/>
    <n v="0"/>
    <n v="0"/>
  </r>
  <r>
    <x v="0"/>
    <x v="5"/>
    <x v="0"/>
    <s v="7790106"/>
    <n v="749525"/>
    <s v="Contingent Liability Expense"/>
    <s v="Unassigned"/>
    <x v="0"/>
    <m/>
    <n v="0"/>
    <n v="0"/>
    <n v="0"/>
    <n v="0"/>
    <n v="0"/>
    <n v="0"/>
    <n v="0"/>
    <n v="0"/>
    <n v="0"/>
    <n v="0"/>
    <n v="0"/>
    <n v="1073600"/>
    <n v="1073600"/>
    <n v="-1073600"/>
  </r>
  <r>
    <x v="0"/>
    <x v="5"/>
    <x v="0"/>
    <s v="7790106"/>
    <n v="750015"/>
    <s v="Provision for Bad Debts--Non-Patient"/>
    <s v="Unassigned"/>
    <x v="0"/>
    <m/>
    <n v="0"/>
    <n v="0"/>
    <n v="0"/>
    <n v="0"/>
    <n v="-1000"/>
    <n v="-1000"/>
    <n v="0"/>
    <n v="-2000"/>
    <n v="0"/>
    <n v="-500"/>
    <n v="-500"/>
    <n v="-500"/>
    <n v="-5500"/>
    <n v="0"/>
  </r>
  <r>
    <x v="24"/>
    <x v="5"/>
    <x v="0"/>
    <s v="7790106"/>
    <n v="760020"/>
    <s v="Interest Exp--CHI Debt Prog-MBOs Only"/>
    <s v="Unassigned"/>
    <x v="0"/>
    <m/>
    <n v="424334.65"/>
    <n v="423035.03"/>
    <n v="421730.27"/>
    <n v="420420.34"/>
    <n v="420420.34"/>
    <n v="416469.8"/>
    <n v="416459.36"/>
    <n v="415128.57"/>
    <n v="413792.51"/>
    <n v="412451.16"/>
    <n v="411104.5"/>
    <n v="409752.51"/>
    <n v="5005099.04"/>
    <n v="1351.9899999999907"/>
  </r>
  <r>
    <x v="0"/>
    <x v="5"/>
    <x v="0"/>
    <s v="7790106"/>
    <n v="765050"/>
    <s v="Local Income Tax"/>
    <s v="Unassigned"/>
    <x v="0"/>
    <m/>
    <n v="203.1"/>
    <n v="0"/>
    <n v="14.9"/>
    <n v="180.09"/>
    <n v="0"/>
    <n v="0"/>
    <n v="188.72"/>
    <n v="0"/>
    <n v="0"/>
    <n v="218.11"/>
    <n v="0"/>
    <n v="0"/>
    <n v="804.92000000000007"/>
    <n v="0"/>
  </r>
  <r>
    <x v="0"/>
    <x v="5"/>
    <x v="0"/>
    <s v="7790106"/>
    <n v="766010"/>
    <s v="Property Tax"/>
    <s v="Unassigned"/>
    <x v="0"/>
    <m/>
    <n v="7879.03"/>
    <n v="7879.03"/>
    <n v="7879.03"/>
    <n v="8364.1200000000008"/>
    <n v="8254.1299999999992"/>
    <n v="8254.1299999999992"/>
    <n v="8066.53"/>
    <n v="8066.53"/>
    <n v="8066.53"/>
    <n v="-6754.64"/>
    <n v="7212.53"/>
    <n v="7212.53"/>
    <n v="80379.48"/>
    <n v="0"/>
  </r>
  <r>
    <x v="0"/>
    <x v="5"/>
    <x v="0"/>
    <s v="7790106"/>
    <n v="766030"/>
    <s v="Unrelated Business Inc--Federal"/>
    <s v="Unassigned"/>
    <x v="0"/>
    <m/>
    <n v="0"/>
    <n v="0"/>
    <n v="0"/>
    <n v="0"/>
    <n v="0"/>
    <n v="0"/>
    <n v="0"/>
    <n v="0"/>
    <n v="0"/>
    <n v="0"/>
    <n v="16000"/>
    <n v="13000"/>
    <n v="29000"/>
    <n v="3000"/>
  </r>
  <r>
    <x v="0"/>
    <x v="5"/>
    <x v="0"/>
    <s v="7790106"/>
    <n v="766070"/>
    <s v="Sales and Use Tax"/>
    <s v="Unassigned"/>
    <x v="0"/>
    <m/>
    <n v="17557.37"/>
    <n v="25573.54"/>
    <n v="11575.85"/>
    <n v="36228.660000000003"/>
    <n v="19703.45"/>
    <n v="31651.34"/>
    <n v="29877.31"/>
    <n v="24888.31"/>
    <n v="23546"/>
    <n v="25653.73"/>
    <n v="30817.38"/>
    <n v="28629.79"/>
    <n v="305702.73"/>
    <n v="2187.59"/>
  </r>
  <r>
    <x v="0"/>
    <x v="5"/>
    <x v="0"/>
    <s v="7790106"/>
    <n v="766090"/>
    <s v="Franchise and Excise Tax"/>
    <s v="Unassigned"/>
    <x v="0"/>
    <n v="1001"/>
    <n v="119068.93"/>
    <n v="151068.54"/>
    <n v="120371.34"/>
    <n v="122134.74"/>
    <n v="112201.5"/>
    <n v="133845.35999999999"/>
    <n v="113672.29"/>
    <n v="121492.67"/>
    <n v="116501.75"/>
    <n v="98045.72"/>
    <n v="108545.7"/>
    <n v="98741.71"/>
    <n v="1415690.25"/>
    <n v="9803.9899999999907"/>
  </r>
  <r>
    <x v="0"/>
    <x v="5"/>
    <x v="0"/>
    <s v="7790106"/>
    <n v="766092"/>
    <s v="Provider Tax-Program Expense"/>
    <s v="Unassigned"/>
    <x v="0"/>
    <m/>
    <n v="469553.5"/>
    <n v="469553.5"/>
    <n v="420979"/>
    <n v="453362"/>
    <n v="447135.33"/>
    <n v="452115.67"/>
    <n v="452116.5"/>
    <n v="452116.5"/>
    <n v="452116.5"/>
    <n v="452116.5"/>
    <n v="452116.5"/>
    <n v="452116.5"/>
    <n v="5425398"/>
    <n v="0"/>
  </r>
  <r>
    <x v="25"/>
    <x v="5"/>
    <x v="0"/>
    <s v="7790106"/>
    <n v="770010"/>
    <s v="Restructuring Losses"/>
    <s v="Unassigned"/>
    <x v="0"/>
    <m/>
    <n v="-29700"/>
    <n v="0"/>
    <n v="0"/>
    <n v="0"/>
    <n v="0"/>
    <n v="0"/>
    <n v="0"/>
    <n v="0"/>
    <n v="0"/>
    <n v="0"/>
    <n v="10476.469999999999"/>
    <n v="0"/>
    <n v="-19223.53"/>
    <n v="10476.469999999999"/>
  </r>
  <r>
    <x v="9"/>
    <x v="5"/>
    <x v="0"/>
    <s v="7790106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787571.68"/>
    <n v="787571.68"/>
    <n v="-787293.38"/>
  </r>
  <r>
    <x v="18"/>
    <x v="6"/>
    <x v="0"/>
    <s v="7790107"/>
    <n v="400010"/>
    <s v="Acute I/P Svcs Rev--Managed Care"/>
    <s v="Unassigned"/>
    <x v="0"/>
    <n v="1400"/>
    <n v="424134.93"/>
    <n v="-84425.11"/>
    <n v="-730867.56"/>
    <n v="1211613.29"/>
    <n v="-291575.77"/>
    <n v="321289.05"/>
    <n v="-498017.13"/>
    <n v="896487.93"/>
    <n v="-1387261.74"/>
    <n v="452817.39"/>
    <n v="392733.79"/>
    <n v="-519440.48"/>
    <n v="187488.59000000008"/>
    <n v="912174.27"/>
  </r>
  <r>
    <x v="19"/>
    <x v="6"/>
    <x v="0"/>
    <s v="7790107"/>
    <n v="400020"/>
    <s v="O/P Care Svcs Rev--Medicare"/>
    <s v="Unassigned"/>
    <x v="0"/>
    <n v="1100"/>
    <n v="0"/>
    <n v="-117.85"/>
    <n v="117.85"/>
    <n v="0"/>
    <n v="0"/>
    <n v="0"/>
    <n v="0"/>
    <n v="0"/>
    <n v="0"/>
    <n v="0"/>
    <n v="0"/>
    <n v="0"/>
    <n v="0"/>
    <n v="0"/>
  </r>
  <r>
    <x v="19"/>
    <x v="6"/>
    <x v="0"/>
    <s v="7790107"/>
    <n v="400020"/>
    <s v="O/P Care Svcs Rev--Managed Care"/>
    <s v="Unassigned"/>
    <x v="0"/>
    <n v="1400"/>
    <n v="462330.58"/>
    <n v="222424.53"/>
    <n v="-306353.24"/>
    <n v="-1048844.78"/>
    <n v="451872.08"/>
    <n v="686751.23"/>
    <n v="-120217.73"/>
    <n v="684714.82"/>
    <n v="-485917.67"/>
    <n v="328586.15000000002"/>
    <n v="-1199965.22"/>
    <n v="1262907.07"/>
    <n v="938287.82000000018"/>
    <n v="-2462872.29"/>
  </r>
  <r>
    <x v="14"/>
    <x v="6"/>
    <x v="0"/>
    <s v="7790107"/>
    <n v="600026"/>
    <s v="Rental Revenue-Non-Taxable"/>
    <s v="Unassigned"/>
    <x v="0"/>
    <m/>
    <n v="-2010.22"/>
    <n v="-2010.22"/>
    <n v="-1858.22"/>
    <n v="-1706.22"/>
    <n v="-1706.22"/>
    <n v="-568.74"/>
    <n v="-568.74"/>
    <n v="0"/>
    <n v="0"/>
    <n v="5687.4"/>
    <n v="0"/>
    <n v="0"/>
    <n v="-4741.18"/>
    <n v="0"/>
  </r>
  <r>
    <x v="14"/>
    <x v="6"/>
    <x v="0"/>
    <s v="7790107"/>
    <n v="600026"/>
    <s v="POB Rental"/>
    <s v="Unassigned"/>
    <x v="0"/>
    <n v="1001"/>
    <n v="0"/>
    <n v="0"/>
    <n v="0"/>
    <n v="0"/>
    <n v="0"/>
    <n v="-1137.48"/>
    <n v="-1137.48"/>
    <n v="-3446.05"/>
    <n v="-1907.13"/>
    <n v="-7594.53"/>
    <n v="-1907.13"/>
    <n v="-1907.13"/>
    <n v="-19036.93"/>
    <n v="0"/>
  </r>
  <r>
    <x v="14"/>
    <x v="6"/>
    <x v="0"/>
    <s v="7790107"/>
    <n v="600034"/>
    <s v="Cafeteria Revenue"/>
    <s v="Unassigned"/>
    <x v="0"/>
    <m/>
    <n v="0"/>
    <n v="0"/>
    <n v="0"/>
    <n v="0"/>
    <n v="0"/>
    <n v="0"/>
    <n v="0"/>
    <n v="0"/>
    <n v="0"/>
    <n v="0"/>
    <n v="0"/>
    <n v="80000"/>
    <n v="80000"/>
    <n v="-80000"/>
  </r>
  <r>
    <x v="14"/>
    <x v="6"/>
    <x v="0"/>
    <s v="7790107"/>
    <n v="600050"/>
    <s v="Miscellaneous Revenue"/>
    <s v="Unassigned"/>
    <x v="0"/>
    <m/>
    <n v="0"/>
    <n v="-7.54"/>
    <n v="0"/>
    <n v="0"/>
    <n v="0"/>
    <n v="0"/>
    <n v="0"/>
    <n v="0"/>
    <n v="-587.79"/>
    <n v="0"/>
    <n v="0"/>
    <n v="0"/>
    <n v="-595.32999999999993"/>
    <n v="0"/>
  </r>
  <r>
    <x v="14"/>
    <x v="6"/>
    <x v="0"/>
    <s v="7790107"/>
    <n v="600058"/>
    <s v="Meaningful Use Revenue-Medicare"/>
    <s v="Unassigned"/>
    <x v="0"/>
    <m/>
    <n v="0"/>
    <n v="-67536.86"/>
    <n v="-392"/>
    <n v="0"/>
    <n v="0"/>
    <n v="0"/>
    <n v="0"/>
    <n v="0"/>
    <n v="0"/>
    <n v="0"/>
    <n v="0"/>
    <n v="0"/>
    <n v="-67928.86"/>
    <n v="0"/>
  </r>
  <r>
    <x v="5"/>
    <x v="6"/>
    <x v="0"/>
    <s v="7790107"/>
    <n v="700026"/>
    <s v="Salaries-RN-Productiv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5"/>
    <x v="6"/>
    <x v="0"/>
    <s v="7790107"/>
    <n v="700054"/>
    <s v="Salaries-Management-NonProd-Other"/>
    <s v="Unassigned"/>
    <x v="0"/>
    <n v="2000"/>
    <n v="0"/>
    <n v="0"/>
    <n v="0"/>
    <n v="0"/>
    <n v="0"/>
    <n v="0"/>
    <n v="1541.81"/>
    <n v="-6048.18"/>
    <n v="-0.3"/>
    <n v="0"/>
    <n v="0"/>
    <n v="0"/>
    <n v="-4506.670000000001"/>
    <n v="0"/>
  </r>
  <r>
    <x v="5"/>
    <x v="6"/>
    <x v="0"/>
    <s v="7790107"/>
    <n v="700066"/>
    <s v="Salaries-RN-NonProd-Other"/>
    <s v="Unassigned"/>
    <x v="0"/>
    <n v="2000"/>
    <n v="0"/>
    <n v="25000"/>
    <n v="6.07"/>
    <n v="-86.87"/>
    <n v="0"/>
    <n v="0"/>
    <n v="0"/>
    <n v="0"/>
    <n v="0"/>
    <n v="0"/>
    <n v="0"/>
    <n v="0"/>
    <n v="24919.200000000001"/>
    <n v="0"/>
  </r>
  <r>
    <x v="5"/>
    <x v="6"/>
    <x v="0"/>
    <s v="7790107"/>
    <n v="700070"/>
    <s v="Salaries-LPN-NonProd-Other"/>
    <s v="Unassigned"/>
    <x v="0"/>
    <n v="2000"/>
    <n v="0"/>
    <n v="0"/>
    <n v="643.62"/>
    <n v="0"/>
    <n v="0"/>
    <n v="0"/>
    <n v="0"/>
    <n v="0"/>
    <n v="0"/>
    <n v="0"/>
    <n v="0"/>
    <n v="0"/>
    <n v="643.62"/>
    <n v="0"/>
  </r>
  <r>
    <x v="5"/>
    <x v="6"/>
    <x v="0"/>
    <s v="7790107"/>
    <n v="700072"/>
    <s v="Salaries-Other Pat Care Providers-NonProd-Other"/>
    <s v="Unassigned"/>
    <x v="0"/>
    <n v="2000"/>
    <n v="0"/>
    <n v="0"/>
    <n v="15377.12"/>
    <n v="0"/>
    <n v="0"/>
    <n v="0"/>
    <n v="0"/>
    <n v="0"/>
    <n v="0"/>
    <n v="0"/>
    <n v="0"/>
    <n v="0"/>
    <n v="15377.12"/>
    <n v="0"/>
  </r>
  <r>
    <x v="5"/>
    <x v="6"/>
    <x v="0"/>
    <s v="7790107"/>
    <n v="700074"/>
    <s v="Salaries-Tech/Professional-NonProd-Other"/>
    <s v="Unassigned"/>
    <x v="0"/>
    <n v="2000"/>
    <n v="0"/>
    <n v="0"/>
    <n v="9402.99"/>
    <n v="0"/>
    <n v="0"/>
    <n v="0"/>
    <n v="0"/>
    <n v="0"/>
    <n v="0"/>
    <n v="0"/>
    <n v="0"/>
    <n v="0"/>
    <n v="9402.99"/>
    <n v="0"/>
  </r>
  <r>
    <x v="5"/>
    <x v="6"/>
    <x v="0"/>
    <s v="7790107"/>
    <n v="700078"/>
    <s v="Salaries-Service/Support-NonProd-Other"/>
    <s v="Unassigned"/>
    <x v="0"/>
    <n v="2000"/>
    <n v="0"/>
    <n v="0"/>
    <n v="90.02"/>
    <n v="0"/>
    <n v="0"/>
    <n v="0"/>
    <n v="0"/>
    <n v="0"/>
    <n v="0"/>
    <n v="0"/>
    <n v="0"/>
    <n v="0"/>
    <n v="90.02"/>
    <n v="0"/>
  </r>
  <r>
    <x v="5"/>
    <x v="6"/>
    <x v="0"/>
    <s v="7790107"/>
    <n v="700082"/>
    <s v="Salaries-Other-Non-productive"/>
    <s v="Unassigned"/>
    <x v="0"/>
    <m/>
    <n v="132000"/>
    <n v="72000"/>
    <n v="28800"/>
    <n v="-481000"/>
    <n v="57000"/>
    <n v="57300"/>
    <n v="57300"/>
    <n v="57300"/>
    <n v="57300"/>
    <n v="56000"/>
    <n v="56000"/>
    <n v="55000"/>
    <n v="205000"/>
    <n v="1000"/>
  </r>
  <r>
    <x v="5"/>
    <x v="6"/>
    <x v="0"/>
    <s v="7790107"/>
    <n v="700084"/>
    <s v="Accrued PTO"/>
    <s v="Unassigned"/>
    <x v="0"/>
    <m/>
    <n v="0"/>
    <n v="0"/>
    <n v="0"/>
    <n v="0"/>
    <n v="-107000"/>
    <n v="107000"/>
    <n v="0"/>
    <n v="0"/>
    <n v="0"/>
    <n v="0"/>
    <n v="0"/>
    <n v="0"/>
    <n v="0"/>
    <n v="0"/>
  </r>
  <r>
    <x v="10"/>
    <x v="6"/>
    <x v="0"/>
    <s v="7790107"/>
    <n v="710060"/>
    <s v="Contract Labor-Other"/>
    <s v="Unassigned"/>
    <x v="0"/>
    <m/>
    <n v="-44741"/>
    <n v="19782"/>
    <n v="-1653"/>
    <n v="-16473"/>
    <n v="33610"/>
    <n v="-13676"/>
    <n v="-62924"/>
    <n v="-26298"/>
    <n v="6199"/>
    <n v="43552"/>
    <n v="27248"/>
    <n v="79013"/>
    <n v="43639"/>
    <n v="-51765"/>
  </r>
  <r>
    <x v="6"/>
    <x v="6"/>
    <x v="0"/>
    <s v="7790107"/>
    <n v="713010"/>
    <s v="Benefits-FICA/Medicare"/>
    <s v="Unassigned"/>
    <x v="0"/>
    <m/>
    <n v="0"/>
    <n v="0"/>
    <n v="3056.38"/>
    <n v="-1109.08"/>
    <n v="0"/>
    <n v="0"/>
    <n v="0"/>
    <n v="0"/>
    <n v="0"/>
    <n v="0"/>
    <n v="0"/>
    <n v="0"/>
    <n v="1947.3000000000002"/>
    <n v="0"/>
  </r>
  <r>
    <x v="6"/>
    <x v="6"/>
    <x v="0"/>
    <s v="7790107"/>
    <n v="713090"/>
    <s v="Benefits-Allocated Amounts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7"/>
    <x v="6"/>
    <x v="0"/>
    <s v="7790107"/>
    <n v="714530"/>
    <s v="Medical Prof Fees-Intracompany"/>
    <s v="Unassigned"/>
    <x v="0"/>
    <m/>
    <n v="111527.15"/>
    <n v="99238.37"/>
    <n v="104708.36"/>
    <n v="123667.26"/>
    <n v="101066.47"/>
    <n v="111689.02"/>
    <n v="119625.51"/>
    <n v="105065.74"/>
    <n v="115953.11"/>
    <n v="264086.90999999997"/>
    <n v="119746.13"/>
    <n v="118159.4"/>
    <n v="1494533.4299999997"/>
    <n v="1586.7300000000105"/>
  </r>
  <r>
    <x v="7"/>
    <x v="6"/>
    <x v="0"/>
    <s v="7790107"/>
    <n v="718050"/>
    <s v="Miscellaneous Purchased Svcs"/>
    <s v="Unassigned"/>
    <x v="0"/>
    <n v="1020"/>
    <n v="-15674"/>
    <n v="78329.429999999993"/>
    <n v="-55694.65"/>
    <n v="-404.14"/>
    <n v="-19952.080000000002"/>
    <n v="5422.03"/>
    <n v="67004.399999999994"/>
    <n v="25124.3"/>
    <n v="74424.13"/>
    <n v="69106.929999999993"/>
    <n v="34408.080000000002"/>
    <n v="186737.07"/>
    <n v="448831.5"/>
    <n v="-152328.99"/>
  </r>
  <r>
    <x v="7"/>
    <x v="6"/>
    <x v="0"/>
    <s v="7790107"/>
    <n v="718050"/>
    <s v="Translation Services"/>
    <s v="Unassigned"/>
    <x v="0"/>
    <n v="1025"/>
    <n v="0"/>
    <n v="0"/>
    <n v="0"/>
    <n v="118"/>
    <n v="0"/>
    <n v="0"/>
    <n v="14"/>
    <n v="0"/>
    <n v="0"/>
    <n v="0"/>
    <n v="0"/>
    <n v="0"/>
    <n v="132"/>
    <n v="0"/>
  </r>
  <r>
    <x v="7"/>
    <x v="6"/>
    <x v="0"/>
    <s v="7790107"/>
    <n v="718061"/>
    <s v="Contract Services-CRO Allocation"/>
    <s v="Unassigned"/>
    <x v="0"/>
    <m/>
    <n v="41926"/>
    <n v="41926"/>
    <n v="41926"/>
    <n v="41926"/>
    <n v="41926"/>
    <n v="41926"/>
    <n v="41926"/>
    <n v="41926"/>
    <n v="41926"/>
    <n v="41926"/>
    <n v="41926"/>
    <n v="41926"/>
    <n v="503112"/>
    <n v="0"/>
  </r>
  <r>
    <x v="7"/>
    <x v="6"/>
    <x v="0"/>
    <s v="7790107"/>
    <n v="718065"/>
    <s v="Contract Services-CHI Legal Fees"/>
    <s v="Unassigned"/>
    <x v="0"/>
    <m/>
    <n v="55324.5"/>
    <n v="55324.5"/>
    <n v="55324.5"/>
    <n v="55324.5"/>
    <n v="55324.5"/>
    <n v="55324.5"/>
    <n v="55324.5"/>
    <n v="55324.5"/>
    <n v="55324.5"/>
    <n v="55324.5"/>
    <n v="55324.5"/>
    <n v="55324.5"/>
    <n v="663894"/>
    <n v="0"/>
  </r>
  <r>
    <x v="7"/>
    <x v="6"/>
    <x v="0"/>
    <s v="7790107"/>
    <n v="718066"/>
    <s v="Contract Services-CHI Tax Services"/>
    <s v="Unassigned"/>
    <x v="0"/>
    <m/>
    <n v="1858.5"/>
    <n v="1857.4"/>
    <n v="1857.95"/>
    <n v="1857.95"/>
    <n v="1857.95"/>
    <n v="1857.95"/>
    <n v="1857.95"/>
    <n v="1857.95"/>
    <n v="1857.95"/>
    <n v="1857.95"/>
    <n v="1857.95"/>
    <n v="1857.95"/>
    <n v="22295.400000000005"/>
    <n v="0"/>
  </r>
  <r>
    <x v="7"/>
    <x v="6"/>
    <x v="0"/>
    <s v="7790107"/>
    <n v="718070"/>
    <s v="Contract Srvcs-CHI Clinical Engineering"/>
    <s v="Unassigned"/>
    <x v="0"/>
    <m/>
    <n v="-263900.11"/>
    <n v="-273776.83"/>
    <n v="-264982.64"/>
    <n v="-280849.74"/>
    <n v="-281739.46000000002"/>
    <n v="-281786.03000000003"/>
    <n v="-289802.53000000003"/>
    <n v="-252627.37"/>
    <n v="-288635.48"/>
    <n v="-284099.68"/>
    <n v="-291287.46000000002"/>
    <n v="-296510.3"/>
    <n v="-3349997.63"/>
    <n v="5222.8399999999674"/>
  </r>
  <r>
    <x v="7"/>
    <x v="6"/>
    <x v="0"/>
    <s v="7790107"/>
    <n v="718075"/>
    <s v="Contract Srvcs-CHI ITS Steady State"/>
    <s v="Unassigned"/>
    <x v="0"/>
    <m/>
    <n v="1921940"/>
    <n v="1921940"/>
    <n v="1921940"/>
    <n v="1921940"/>
    <n v="1921940"/>
    <n v="1921940"/>
    <n v="1921940"/>
    <n v="1921940"/>
    <n v="1921940"/>
    <n v="1921940"/>
    <n v="1921940"/>
    <n v="1921940"/>
    <n v="23063280"/>
    <n v="0"/>
  </r>
  <r>
    <x v="11"/>
    <x v="6"/>
    <x v="0"/>
    <s v="7790107"/>
    <n v="721010"/>
    <s v="Supplies-Medical - Billable"/>
    <s v="Unassigned"/>
    <x v="0"/>
    <m/>
    <n v="0"/>
    <n v="0"/>
    <n v="-8986.2000000000007"/>
    <n v="8986.2000000000007"/>
    <n v="0"/>
    <n v="59851.05"/>
    <n v="31030.36"/>
    <n v="28560"/>
    <n v="28560"/>
    <n v="26628"/>
    <n v="31131.24"/>
    <n v="36682.68"/>
    <n v="242443.33"/>
    <n v="-5551.4399999999987"/>
  </r>
  <r>
    <x v="11"/>
    <x v="6"/>
    <x v="0"/>
    <s v="7790107"/>
    <n v="721020"/>
    <s v="Supplies-Surgical - Billable"/>
    <s v="Unassigned"/>
    <x v="0"/>
    <m/>
    <n v="0"/>
    <n v="0"/>
    <n v="-4054.47"/>
    <n v="4054.47"/>
    <n v="0"/>
    <n v="0"/>
    <n v="0"/>
    <n v="0"/>
    <n v="0"/>
    <n v="0"/>
    <n v="0"/>
    <n v="0"/>
    <n v="0"/>
    <n v="0"/>
  </r>
  <r>
    <x v="11"/>
    <x v="6"/>
    <x v="0"/>
    <s v="7790107"/>
    <n v="721050"/>
    <s v="Supplies-Cardiac Rhythm - Billable"/>
    <s v="Unassigned"/>
    <x v="0"/>
    <m/>
    <n v="0"/>
    <n v="0"/>
    <n v="-10761.17"/>
    <n v="10761.17"/>
    <n v="0"/>
    <n v="0"/>
    <n v="0"/>
    <n v="0"/>
    <n v="0"/>
    <n v="0"/>
    <n v="0"/>
    <n v="0"/>
    <n v="0"/>
    <n v="0"/>
  </r>
  <r>
    <x v="11"/>
    <x v="6"/>
    <x v="0"/>
    <s v="7790107"/>
    <n v="721060"/>
    <s v="Supplies-Heart Valves - Billable"/>
    <s v="Unassigned"/>
    <x v="0"/>
    <m/>
    <n v="0"/>
    <n v="0"/>
    <n v="-4700"/>
    <n v="4700"/>
    <n v="0"/>
    <n v="0"/>
    <n v="0"/>
    <n v="0"/>
    <n v="0"/>
    <n v="0"/>
    <n v="0"/>
    <n v="0"/>
    <n v="0"/>
    <n v="0"/>
  </r>
  <r>
    <x v="11"/>
    <x v="6"/>
    <x v="0"/>
    <s v="7790107"/>
    <n v="721150"/>
    <s v="Supplies-Other Implants - Billabl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6"/>
    <x v="0"/>
    <s v="7790107"/>
    <n v="721250"/>
    <s v="Supplies-Pharmacy Drugs - Billable"/>
    <s v="Unassigned"/>
    <x v="0"/>
    <m/>
    <n v="0"/>
    <n v="0"/>
    <n v="0"/>
    <n v="0"/>
    <n v="0"/>
    <n v="0"/>
    <n v="0"/>
    <n v="0"/>
    <n v="0"/>
    <n v="0"/>
    <n v="0"/>
    <n v="129584.96000000001"/>
    <n v="129584.96000000001"/>
    <n v="-129584.96000000001"/>
  </r>
  <r>
    <x v="11"/>
    <x v="6"/>
    <x v="0"/>
    <s v="7790107"/>
    <n v="721410"/>
    <s v="Supplies-Medical - Nonbillable"/>
    <s v="Unassigned"/>
    <x v="0"/>
    <m/>
    <n v="-4152.6000000000004"/>
    <n v="3550.8"/>
    <n v="-11904.41"/>
    <n v="6152.25"/>
    <n v="6247.96"/>
    <n v="-5616"/>
    <n v="2632"/>
    <n v="1843.64"/>
    <n v="-9858.2900000000009"/>
    <n v="4016.67"/>
    <n v="-8532.2800000000007"/>
    <n v="14574.23"/>
    <n v="-1046.0300000000007"/>
    <n v="-23106.510000000002"/>
  </r>
  <r>
    <x v="11"/>
    <x v="6"/>
    <x v="0"/>
    <s v="7790107"/>
    <n v="721710"/>
    <s v="Supplies-Laboratory - Nonbillable"/>
    <s v="Unassigned"/>
    <x v="0"/>
    <m/>
    <n v="0"/>
    <n v="0"/>
    <n v="-4391.8500000000004"/>
    <n v="4391.8500000000004"/>
    <n v="0"/>
    <n v="0"/>
    <n v="0"/>
    <n v="0"/>
    <n v="0"/>
    <n v="0"/>
    <n v="0"/>
    <n v="0"/>
    <n v="0"/>
    <n v="0"/>
  </r>
  <r>
    <x v="11"/>
    <x v="6"/>
    <x v="0"/>
    <s v="7790107"/>
    <n v="721810"/>
    <s v="Supplies-Dietary/Cafeteria"/>
    <s v="Unassigned"/>
    <x v="0"/>
    <m/>
    <n v="0"/>
    <n v="0"/>
    <n v="-25.74"/>
    <n v="25.74"/>
    <n v="0"/>
    <n v="0"/>
    <n v="0"/>
    <n v="0"/>
    <n v="0"/>
    <n v="0"/>
    <n v="0"/>
    <n v="0"/>
    <n v="0"/>
    <n v="0"/>
  </r>
  <r>
    <x v="11"/>
    <x v="6"/>
    <x v="0"/>
    <s v="7790107"/>
    <n v="721830"/>
    <s v="Supplies-Office"/>
    <s v="Unassigned"/>
    <x v="0"/>
    <m/>
    <n v="0"/>
    <n v="0"/>
    <n v="-385.35"/>
    <n v="373.94"/>
    <n v="0"/>
    <n v="0"/>
    <n v="0"/>
    <n v="0"/>
    <n v="0"/>
    <n v="0"/>
    <n v="1993.28"/>
    <n v="0"/>
    <n v="1981.87"/>
    <n v="1993.28"/>
  </r>
  <r>
    <x v="11"/>
    <x v="6"/>
    <x v="0"/>
    <s v="7790107"/>
    <n v="721870"/>
    <s v="Supplies-Environmental Services"/>
    <s v="Unassigned"/>
    <x v="0"/>
    <m/>
    <n v="0"/>
    <n v="0"/>
    <n v="-614.92999999999995"/>
    <n v="614.92999999999995"/>
    <n v="0"/>
    <n v="0"/>
    <n v="0"/>
    <n v="0"/>
    <n v="0"/>
    <n v="0"/>
    <n v="0"/>
    <n v="0"/>
    <n v="0"/>
    <n v="0"/>
  </r>
  <r>
    <x v="11"/>
    <x v="6"/>
    <x v="0"/>
    <s v="7790107"/>
    <n v="721910"/>
    <s v="Supplies-Small Equipment"/>
    <s v="Unassigned"/>
    <x v="0"/>
    <m/>
    <n v="0"/>
    <n v="0"/>
    <n v="-7991.29"/>
    <n v="7991.29"/>
    <n v="0"/>
    <n v="0"/>
    <n v="0"/>
    <n v="0"/>
    <n v="0"/>
    <n v="0"/>
    <n v="0"/>
    <n v="0"/>
    <n v="0"/>
    <n v="0"/>
  </r>
  <r>
    <x v="11"/>
    <x v="6"/>
    <x v="0"/>
    <s v="7790107"/>
    <n v="721980"/>
    <s v="Supplies-Other"/>
    <s v="Unassigned"/>
    <x v="0"/>
    <m/>
    <n v="0"/>
    <n v="0"/>
    <n v="-2835.8"/>
    <n v="2891.99"/>
    <n v="0"/>
    <n v="0"/>
    <n v="14.21"/>
    <n v="0"/>
    <n v="0"/>
    <n v="0"/>
    <n v="0"/>
    <n v="0"/>
    <n v="70.399999999999608"/>
    <n v="0"/>
  </r>
  <r>
    <x v="11"/>
    <x v="6"/>
    <x v="0"/>
    <s v="7790107"/>
    <n v="722000"/>
    <s v="Supplies-Freight Expense"/>
    <s v="Unassigned"/>
    <x v="0"/>
    <m/>
    <n v="1415.59"/>
    <n v="2509.54"/>
    <n v="2203.94"/>
    <n v="2209.04"/>
    <n v="927.68"/>
    <n v="2314.3200000000002"/>
    <n v="2701.63"/>
    <n v="907.86"/>
    <n v="1910.23"/>
    <n v="2899.62"/>
    <n v="1713.04"/>
    <n v="2683.87"/>
    <n v="24396.36"/>
    <n v="-970.82999999999993"/>
  </r>
  <r>
    <x v="11"/>
    <x v="6"/>
    <x v="0"/>
    <s v="7790107"/>
    <n v="723000"/>
    <s v="Supply Rebates/Patronage Dividend"/>
    <s v="Unassigned"/>
    <x v="0"/>
    <m/>
    <n v="-104000"/>
    <n v="-226000"/>
    <n v="330000"/>
    <n v="-165000"/>
    <n v="-165000"/>
    <n v="329958.08"/>
    <n v="-165000"/>
    <n v="-165000"/>
    <n v="330000"/>
    <n v="-200000"/>
    <n v="-200000"/>
    <n v="400000"/>
    <n v="-41.919999999983702"/>
    <n v="-600000"/>
  </r>
  <r>
    <x v="11"/>
    <x v="6"/>
    <x v="0"/>
    <s v="7790107"/>
    <n v="723500"/>
    <s v="Discounts Taken *"/>
    <s v="Unassigned"/>
    <x v="0"/>
    <m/>
    <n v="0"/>
    <n v="0"/>
    <n v="-131.63"/>
    <n v="-98.3"/>
    <n v="-14.45"/>
    <n v="-38.020000000000003"/>
    <n v="-30.42"/>
    <n v="-366.77"/>
    <n v="0"/>
    <n v="-41.09"/>
    <n v="-63.29"/>
    <n v="-256.43"/>
    <n v="-1040.3999999999999"/>
    <n v="193.14000000000001"/>
  </r>
  <r>
    <x v="12"/>
    <x v="6"/>
    <x v="0"/>
    <s v="7790107"/>
    <n v="730010"/>
    <s v="Rental and Leases-Building (DO NOT USE)"/>
    <s v="Unassigned"/>
    <x v="0"/>
    <m/>
    <n v="6824.08"/>
    <n v="6824.08"/>
    <n v="6824.08"/>
    <n v="6824.08"/>
    <n v="6824.08"/>
    <n v="-4839.66"/>
    <n v="4961.1899999999996"/>
    <n v="-220628.17"/>
    <n v="4961.1899999999996"/>
    <n v="4961.1899999999996"/>
    <n v="4961.1899999999996"/>
    <n v="0"/>
    <n v="-171502.67"/>
    <n v="4961.1899999999996"/>
  </r>
  <r>
    <x v="12"/>
    <x v="6"/>
    <x v="0"/>
    <s v="7790107"/>
    <n v="730010"/>
    <s v="Rental-Common Area Maint (DO NOT USE)"/>
    <s v="Unassigned"/>
    <x v="0"/>
    <n v="2200"/>
    <n v="0"/>
    <n v="0"/>
    <n v="0"/>
    <n v="0"/>
    <n v="0"/>
    <n v="11761.02"/>
    <n v="1960.17"/>
    <n v="-66845.210000000006"/>
    <n v="2185.59"/>
    <n v="2185.59"/>
    <n v="2185.59"/>
    <n v="0"/>
    <n v="-46567.250000000015"/>
    <n v="2185.59"/>
  </r>
  <r>
    <x v="12"/>
    <x v="6"/>
    <x v="0"/>
    <s v="7790107"/>
    <n v="730020"/>
    <s v="Rental and Leases-Equipment (DO NOT USE)"/>
    <s v="Unassigned"/>
    <x v="0"/>
    <m/>
    <n v="-9133.68"/>
    <n v="7810.92"/>
    <n v="-26108.81"/>
    <n v="13454.01"/>
    <n v="13747"/>
    <n v="-12357.2"/>
    <n v="5791.84"/>
    <n v="4055.52"/>
    <n v="-21819.64"/>
    <n v="8705.52"/>
    <n v="-18770.32"/>
    <n v="32037.119999999999"/>
    <n v="-2587.7199999999975"/>
    <n v="-50807.44"/>
  </r>
  <r>
    <x v="12"/>
    <x v="6"/>
    <x v="0"/>
    <s v="7790107"/>
    <n v="730020"/>
    <s v="Rental and Leases-Copier Usage Fees (DO NOT USE)"/>
    <s v="Unassigned"/>
    <x v="0"/>
    <n v="5100"/>
    <n v="495.91"/>
    <n v="1122.5899999999999"/>
    <n v="809.25"/>
    <n v="809.25"/>
    <n v="809.25"/>
    <n v="809.25"/>
    <n v="23142.09"/>
    <n v="-14414.97"/>
    <n v="9997.4699999999993"/>
    <n v="-11701.79"/>
    <n v="2288.6999999999998"/>
    <n v="324.55"/>
    <n v="14491.55"/>
    <n v="1964.1499999999999"/>
  </r>
  <r>
    <x v="12"/>
    <x v="6"/>
    <x v="0"/>
    <s v="7790107"/>
    <n v="730040"/>
    <s v="LT Lease-Real Estate"/>
    <s v="Unassigned"/>
    <x v="0"/>
    <m/>
    <n v="0"/>
    <n v="0"/>
    <n v="0"/>
    <n v="0"/>
    <n v="0"/>
    <n v="0"/>
    <n v="0"/>
    <n v="0"/>
    <n v="0"/>
    <n v="0"/>
    <n v="0"/>
    <n v="7146.78"/>
    <n v="7146.78"/>
    <n v="-7146.78"/>
  </r>
  <r>
    <x v="15"/>
    <x v="6"/>
    <x v="0"/>
    <s v="7790107"/>
    <n v="731010"/>
    <s v="Natural Gas"/>
    <s v="Unassigned"/>
    <x v="0"/>
    <m/>
    <n v="17.66"/>
    <n v="20.34"/>
    <n v="21.57"/>
    <n v="77.94"/>
    <n v="89.53"/>
    <n v="94.34"/>
    <n v="141.76"/>
    <n v="95.7"/>
    <n v="49.8"/>
    <n v="48.21"/>
    <n v="46.72"/>
    <n v="41.57"/>
    <n v="745.1400000000001"/>
    <n v="5.1499999999999986"/>
  </r>
  <r>
    <x v="15"/>
    <x v="6"/>
    <x v="0"/>
    <s v="7790107"/>
    <n v="731020"/>
    <s v="Electricity"/>
    <s v="Unassigned"/>
    <x v="0"/>
    <m/>
    <n v="201.69"/>
    <n v="334.89"/>
    <n v="256.33999999999997"/>
    <n v="203.72"/>
    <n v="235.24"/>
    <n v="306.12"/>
    <n v="335.38"/>
    <n v="323.88"/>
    <n v="311.31"/>
    <n v="286.02"/>
    <n v="246.8"/>
    <n v="223.63"/>
    <n v="3265.0200000000004"/>
    <n v="23.170000000000016"/>
  </r>
  <r>
    <x v="15"/>
    <x v="6"/>
    <x v="0"/>
    <s v="7790107"/>
    <n v="731030"/>
    <s v="Water"/>
    <s v="Unassigned"/>
    <x v="0"/>
    <m/>
    <n v="0"/>
    <n v="5.67"/>
    <n v="0"/>
    <n v="0"/>
    <n v="0"/>
    <n v="0"/>
    <n v="0"/>
    <n v="0"/>
    <n v="0"/>
    <n v="0"/>
    <n v="0"/>
    <n v="0"/>
    <n v="5.67"/>
    <n v="0"/>
  </r>
  <r>
    <x v="15"/>
    <x v="6"/>
    <x v="0"/>
    <s v="7790107"/>
    <n v="731060"/>
    <s v="Telephone"/>
    <s v="Unassigned"/>
    <x v="0"/>
    <m/>
    <n v="862.94"/>
    <n v="643.70000000000005"/>
    <n v="446.65"/>
    <n v="428.31"/>
    <n v="658.35"/>
    <n v="684.66"/>
    <n v="1079.97"/>
    <n v="428.23"/>
    <n v="648.67999999999995"/>
    <n v="668.78"/>
    <n v="674.56"/>
    <n v="628.52"/>
    <n v="7853.35"/>
    <n v="46.039999999999964"/>
  </r>
  <r>
    <x v="15"/>
    <x v="6"/>
    <x v="0"/>
    <s v="7790107"/>
    <n v="731070"/>
    <s v="Cable TV"/>
    <s v="Unassigned"/>
    <x v="0"/>
    <m/>
    <n v="11.83"/>
    <n v="11.83"/>
    <n v="11.83"/>
    <n v="11.82"/>
    <n v="11.82"/>
    <n v="11.82"/>
    <n v="11.86"/>
    <n v="11.86"/>
    <n v="11.82"/>
    <n v="11.82"/>
    <n v="11.82"/>
    <n v="11.82"/>
    <n v="141.94999999999999"/>
    <n v="0"/>
  </r>
  <r>
    <x v="16"/>
    <x v="6"/>
    <x v="0"/>
    <s v="7790107"/>
    <n v="732030"/>
    <s v="Repairs---Other"/>
    <s v="Unassigned"/>
    <x v="0"/>
    <m/>
    <n v="0"/>
    <n v="0"/>
    <n v="-5146.34"/>
    <n v="5146.34"/>
    <n v="0"/>
    <n v="0"/>
    <n v="0"/>
    <n v="0"/>
    <n v="0"/>
    <n v="0"/>
    <n v="0"/>
    <n v="61.31"/>
    <n v="61.31"/>
    <n v="-61.31"/>
  </r>
  <r>
    <x v="16"/>
    <x v="6"/>
    <x v="0"/>
    <s v="7790107"/>
    <n v="733030"/>
    <s v="Maintenance Contracts-Other"/>
    <s v="Unassigned"/>
    <x v="0"/>
    <m/>
    <n v="0"/>
    <n v="0"/>
    <n v="3018.93"/>
    <n v="1998.55"/>
    <n v="3997.1"/>
    <n v="13600"/>
    <n v="6800"/>
    <n v="6800"/>
    <n v="11817.48"/>
    <n v="6340"/>
    <n v="7412.2"/>
    <n v="8733.9699999999993"/>
    <n v="70518.23"/>
    <n v="-1321.7699999999995"/>
  </r>
  <r>
    <x v="13"/>
    <x v="6"/>
    <x v="0"/>
    <s v="7790107"/>
    <n v="735020"/>
    <s v="Depreciation-Land Improvements"/>
    <s v="Unassigned"/>
    <x v="0"/>
    <m/>
    <n v="12101.85"/>
    <n v="12101.85"/>
    <n v="12101.86"/>
    <n v="12101.85"/>
    <n v="12101.86"/>
    <n v="12101.85"/>
    <n v="12101.86"/>
    <n v="12101.85"/>
    <n v="12101.87"/>
    <n v="12101.84"/>
    <n v="12101.87"/>
    <n v="12101.84"/>
    <n v="145222.25"/>
    <n v="3.0000000000654836E-2"/>
  </r>
  <r>
    <x v="13"/>
    <x v="6"/>
    <x v="0"/>
    <s v="7790107"/>
    <n v="735030"/>
    <s v="Depreciation-Buildings"/>
    <s v="Unassigned"/>
    <x v="0"/>
    <m/>
    <n v="1710905.79"/>
    <n v="1710718.96"/>
    <n v="1710466.28"/>
    <n v="1710465.86"/>
    <n v="1710290.74"/>
    <n v="1710290.09"/>
    <n v="1710290.89"/>
    <n v="1710289.9"/>
    <n v="1709740.97"/>
    <n v="1709739.77"/>
    <n v="1709741.11"/>
    <n v="1709739.65"/>
    <n v="20522680.010000002"/>
    <n v="1.4600000001955777"/>
  </r>
  <r>
    <x v="13"/>
    <x v="6"/>
    <x v="0"/>
    <s v="7790107"/>
    <n v="735040"/>
    <s v="Depreciation-Building Improvements"/>
    <s v="Unassigned"/>
    <x v="0"/>
    <m/>
    <n v="48861.03"/>
    <n v="48860.99"/>
    <n v="48861.14"/>
    <n v="48860.93"/>
    <n v="47754.69"/>
    <n v="47754.42"/>
    <n v="47754.73"/>
    <n v="47754.39"/>
    <n v="47754.83"/>
    <n v="47754.36"/>
    <n v="47754.87"/>
    <n v="47754.3"/>
    <n v="577480.68000000005"/>
    <n v="0.56999999999970896"/>
  </r>
  <r>
    <x v="13"/>
    <x v="6"/>
    <x v="0"/>
    <s v="7790107"/>
    <n v="735050"/>
    <s v="Amortization-Leasehold Improvements"/>
    <s v="Unassigned"/>
    <x v="0"/>
    <m/>
    <n v="13424.36"/>
    <n v="13934.75"/>
    <n v="13991.04"/>
    <n v="8875.0400000000009"/>
    <n v="8875.07"/>
    <n v="8875.0300000000007"/>
    <n v="8875.08"/>
    <n v="8875.0300000000007"/>
    <n v="8875.08"/>
    <n v="8875.0300000000007"/>
    <n v="8875.08"/>
    <n v="8875.0300000000007"/>
    <n v="121225.62000000001"/>
    <n v="4.9999999999272404E-2"/>
  </r>
  <r>
    <x v="13"/>
    <x v="6"/>
    <x v="0"/>
    <s v="7790107"/>
    <n v="735060"/>
    <s v="Depreciation-Fixed Equipment"/>
    <s v="Unassigned"/>
    <x v="0"/>
    <m/>
    <n v="51187.82"/>
    <n v="51187.82"/>
    <n v="51187.85"/>
    <n v="51187.79"/>
    <n v="51187.91"/>
    <n v="51187.75"/>
    <n v="51187.93"/>
    <n v="51187.72"/>
    <n v="51187.96"/>
    <n v="51187.69"/>
    <n v="51187.98"/>
    <n v="51187.64"/>
    <n v="614253.86"/>
    <n v="0.3400000000037835"/>
  </r>
  <r>
    <x v="13"/>
    <x v="6"/>
    <x v="0"/>
    <s v="7790107"/>
    <n v="735070"/>
    <s v="Depreciation-Movable Equipment"/>
    <s v="Unassigned"/>
    <x v="0"/>
    <m/>
    <n v="565765.51"/>
    <n v="567073.85"/>
    <n v="568500.93999999994"/>
    <n v="568627.02"/>
    <n v="567654.41"/>
    <n v="567654.18999999994"/>
    <n v="569228.89"/>
    <n v="569279.5"/>
    <n v="569279.79"/>
    <n v="569279.43999999994"/>
    <n v="569279.85"/>
    <n v="569531.68999999994"/>
    <n v="6821155.0800000001"/>
    <n v="-251.8399999999674"/>
  </r>
  <r>
    <x v="13"/>
    <x v="6"/>
    <x v="0"/>
    <s v="7790107"/>
    <n v="736000"/>
    <s v="General Amortization Expense"/>
    <s v="Unassigned"/>
    <x v="0"/>
    <n v="5000"/>
    <n v="63853.58"/>
    <n v="63853.58"/>
    <n v="63853.58"/>
    <n v="63853.58"/>
    <n v="63853.58"/>
    <n v="63853.58"/>
    <n v="63853.58"/>
    <n v="63853.58"/>
    <n v="63853.58"/>
    <n v="63853.58"/>
    <n v="63853.58"/>
    <n v="63853.58"/>
    <n v="766242.96"/>
    <n v="0"/>
  </r>
  <r>
    <x v="24"/>
    <x v="6"/>
    <x v="0"/>
    <s v="7790107"/>
    <n v="736100"/>
    <s v="Environmental Remediation Reserve Adjustment"/>
    <s v="Unassigned"/>
    <x v="0"/>
    <m/>
    <n v="0"/>
    <n v="0"/>
    <n v="4989.45"/>
    <n v="0"/>
    <n v="0"/>
    <n v="5039.3500000000004"/>
    <n v="0"/>
    <n v="0"/>
    <n v="0"/>
    <n v="0"/>
    <n v="0"/>
    <n v="10759.54"/>
    <n v="20788.34"/>
    <n v="-10759.54"/>
  </r>
  <r>
    <x v="8"/>
    <x v="6"/>
    <x v="0"/>
    <s v="7790107"/>
    <n v="741010"/>
    <s v="Liability Insurance-CHI Programs"/>
    <s v="Unassigned"/>
    <x v="0"/>
    <m/>
    <n v="288555.37"/>
    <n v="288555.37"/>
    <n v="288529.03000000003"/>
    <n v="288546.59000000003"/>
    <n v="288546.59000000003"/>
    <n v="288546.59000000003"/>
    <n v="288546.59000000003"/>
    <n v="288546.59000000003"/>
    <n v="288546.59000000003"/>
    <n v="288546.59000000003"/>
    <n v="288546.59000000003"/>
    <n v="288546.59000000003"/>
    <n v="3462559.0799999996"/>
    <n v="0"/>
  </r>
  <r>
    <x v="8"/>
    <x v="6"/>
    <x v="0"/>
    <s v="7790107"/>
    <n v="741012"/>
    <s v="Physician Liab Insurance-CHI Program"/>
    <s v="Unassigned"/>
    <x v="0"/>
    <m/>
    <n v="0"/>
    <n v="0"/>
    <n v="0"/>
    <n v="0"/>
    <n v="0"/>
    <n v="-0.01"/>
    <n v="0.01"/>
    <n v="0"/>
    <n v="0"/>
    <n v="0"/>
    <n v="0.01"/>
    <n v="-0.01"/>
    <n v="0"/>
    <n v="0.02"/>
  </r>
  <r>
    <x v="8"/>
    <x v="6"/>
    <x v="0"/>
    <s v="7790107"/>
    <n v="741030"/>
    <s v="Property Insurance-CHI Programs"/>
    <s v="Unassigned"/>
    <x v="0"/>
    <m/>
    <n v="77540.72"/>
    <n v="77540.72"/>
    <n v="76562.12"/>
    <n v="77214.52"/>
    <n v="77214.52"/>
    <n v="77214.52"/>
    <n v="77214.52"/>
    <n v="77214.52"/>
    <n v="77214.52"/>
    <n v="77214.52"/>
    <n v="77214.52"/>
    <n v="77214.52"/>
    <n v="926574.24000000011"/>
    <n v="0"/>
  </r>
  <r>
    <x v="8"/>
    <x v="6"/>
    <x v="0"/>
    <s v="7790107"/>
    <n v="741070"/>
    <s v="Insurance-Risk Mgmt Incentive Program"/>
    <s v="Unassigned"/>
    <x v="0"/>
    <m/>
    <n v="0"/>
    <n v="0"/>
    <n v="0"/>
    <n v="-118978"/>
    <n v="0"/>
    <n v="0"/>
    <n v="0"/>
    <n v="0"/>
    <n v="0"/>
    <n v="0"/>
    <n v="0"/>
    <n v="0"/>
    <n v="-118978"/>
    <n v="0"/>
  </r>
  <r>
    <x v="8"/>
    <x v="6"/>
    <x v="0"/>
    <s v="7790107"/>
    <n v="741090"/>
    <s v="Other Insurance"/>
    <s v="Unassigned"/>
    <x v="0"/>
    <m/>
    <n v="0"/>
    <n v="0"/>
    <n v="0"/>
    <n v="0"/>
    <n v="8014.85"/>
    <n v="0"/>
    <n v="0"/>
    <n v="0"/>
    <n v="0"/>
    <n v="0"/>
    <n v="0"/>
    <n v="0"/>
    <n v="8014.85"/>
    <n v="0"/>
  </r>
  <r>
    <x v="0"/>
    <x v="6"/>
    <x v="0"/>
    <s v="7790107"/>
    <n v="745010"/>
    <s v="Donations and Contributions"/>
    <s v="Unassigned"/>
    <x v="0"/>
    <m/>
    <n v="7500"/>
    <n v="7500"/>
    <n v="7500"/>
    <n v="7500"/>
    <n v="7500"/>
    <n v="7500"/>
    <n v="7500"/>
    <n v="7500"/>
    <n v="7500"/>
    <n v="7500"/>
    <n v="7500"/>
    <n v="7500"/>
    <n v="90000"/>
    <n v="0"/>
  </r>
  <r>
    <x v="0"/>
    <x v="6"/>
    <x v="0"/>
    <s v="7790107"/>
    <n v="746020"/>
    <s v="Bank Fees--Ext to CHI Programs"/>
    <s v="Unassigned"/>
    <x v="0"/>
    <m/>
    <n v="3469.46"/>
    <n v="3418.03"/>
    <n v="4729.12"/>
    <n v="2977.97"/>
    <n v="1797.99"/>
    <n v="1106.3800000000001"/>
    <n v="2257.5300000000002"/>
    <n v="2202.33"/>
    <n v="2222.85"/>
    <n v="2461.0100000000002"/>
    <n v="2388.04"/>
    <n v="3555.24"/>
    <n v="32585.949999999997"/>
    <n v="-1167.1999999999998"/>
  </r>
  <r>
    <x v="26"/>
    <x v="6"/>
    <x v="0"/>
    <s v="7790107"/>
    <n v="747001"/>
    <s v="National Assessment"/>
    <s v="Unassigned"/>
    <x v="0"/>
    <m/>
    <n v="460898"/>
    <n v="460898"/>
    <n v="460898"/>
    <n v="460898"/>
    <n v="460898"/>
    <n v="460898"/>
    <n v="338898"/>
    <n v="338898"/>
    <n v="338898"/>
    <n v="338898"/>
    <n v="338898"/>
    <n v="338898"/>
    <n v="4798776"/>
    <n v="0"/>
  </r>
  <r>
    <x v="0"/>
    <x v="6"/>
    <x v="0"/>
    <s v="7790107"/>
    <n v="749510"/>
    <s v="Miscellaneous Expenses"/>
    <s v="Unassigned"/>
    <x v="0"/>
    <m/>
    <n v="-24910.14"/>
    <n v="21421.41"/>
    <n v="-56036.95"/>
    <n v="20738.400000000001"/>
    <n v="37490.239999999998"/>
    <n v="-3449.9"/>
    <n v="30757.24"/>
    <n v="26019.599999999999"/>
    <n v="-44548.480000000003"/>
    <n v="37760.33"/>
    <n v="-34884.6"/>
    <n v="121689.66"/>
    <n v="132046.81"/>
    <n v="-156574.26"/>
  </r>
  <r>
    <x v="0"/>
    <x v="6"/>
    <x v="0"/>
    <s v="7790107"/>
    <n v="749510"/>
    <s v="Late Payment Penalties &amp; Interest"/>
    <s v="Unassigned"/>
    <x v="0"/>
    <n v="4600"/>
    <n v="4.3600000000000003"/>
    <n v="-3.26"/>
    <n v="0.44"/>
    <n v="0"/>
    <n v="0"/>
    <n v="0"/>
    <n v="0"/>
    <n v="0"/>
    <n v="0"/>
    <n v="0"/>
    <n v="0"/>
    <n v="0"/>
    <n v="1.5400000000000005"/>
    <n v="0"/>
  </r>
  <r>
    <x v="0"/>
    <x v="6"/>
    <x v="0"/>
    <s v="7790107"/>
    <n v="749510"/>
    <s v="RICE Rewards"/>
    <s v="Unassigned"/>
    <x v="0"/>
    <n v="5100"/>
    <n v="100000"/>
    <n v="0"/>
    <n v="0"/>
    <n v="0"/>
    <n v="0"/>
    <n v="-100000"/>
    <n v="0"/>
    <n v="0"/>
    <n v="0"/>
    <n v="0"/>
    <n v="0"/>
    <n v="0"/>
    <n v="0"/>
    <n v="0"/>
  </r>
  <r>
    <x v="0"/>
    <x v="6"/>
    <x v="0"/>
    <s v="7790107"/>
    <n v="749525"/>
    <s v="Contingent Liability Expense"/>
    <s v="Unassigned"/>
    <x v="0"/>
    <m/>
    <n v="0"/>
    <n v="0"/>
    <n v="0"/>
    <n v="0"/>
    <n v="0"/>
    <n v="240000"/>
    <n v="0"/>
    <n v="0"/>
    <n v="-124807.22"/>
    <n v="0"/>
    <n v="0"/>
    <n v="3329600"/>
    <n v="3444792.78"/>
    <n v="-3329600"/>
  </r>
  <r>
    <x v="24"/>
    <x v="6"/>
    <x v="0"/>
    <s v="7790107"/>
    <n v="760020"/>
    <s v="Interest Exp--CHI Debt Prog-MBOs Only"/>
    <s v="Unassigned"/>
    <x v="0"/>
    <m/>
    <n v="344056.57"/>
    <n v="342678.87"/>
    <n v="341295.71"/>
    <n v="339907.07"/>
    <n v="339907.07"/>
    <n v="335719.16"/>
    <n v="335708.1"/>
    <n v="334297.34000000003"/>
    <n v="332881.01"/>
    <n v="331459.06"/>
    <n v="330031.49"/>
    <n v="328598.27"/>
    <n v="4036539.7199999993"/>
    <n v="1433.2199999999721"/>
  </r>
  <r>
    <x v="24"/>
    <x v="6"/>
    <x v="0"/>
    <s v="7790107"/>
    <n v="760030"/>
    <s v="Interest Expense-Ext to CHI Programs"/>
    <s v="Unassigned"/>
    <x v="0"/>
    <m/>
    <n v="0"/>
    <n v="0"/>
    <n v="0"/>
    <n v="4811.96"/>
    <n v="1360.9"/>
    <n v="0"/>
    <n v="2355.2199999999998"/>
    <n v="993.67"/>
    <n v="870.62"/>
    <n v="747.23"/>
    <n v="623.52"/>
    <n v="499.48"/>
    <n v="12262.6"/>
    <n v="124.03999999999996"/>
  </r>
  <r>
    <x v="24"/>
    <x v="6"/>
    <x v="0"/>
    <s v="7790107"/>
    <n v="760040"/>
    <s v="Interest Expense-Capitalized"/>
    <s v="Unassigned"/>
    <x v="0"/>
    <m/>
    <n v="-515178.83"/>
    <n v="-538437.53"/>
    <n v="-565952.61"/>
    <n v="-611899.61"/>
    <n v="-704126.42"/>
    <n v="-777776.93"/>
    <n v="-805726.07"/>
    <n v="-864234.25"/>
    <n v="-898508.07"/>
    <n v="-920470.43"/>
    <n v="-953533.7"/>
    <n v="-993987.92"/>
    <n v="-9149832.370000001"/>
    <n v="40454.220000000088"/>
  </r>
  <r>
    <x v="0"/>
    <x v="6"/>
    <x v="0"/>
    <s v="7790107"/>
    <n v="765050"/>
    <s v="Local Income Tax"/>
    <s v="Unassigned"/>
    <x v="0"/>
    <m/>
    <n v="0"/>
    <n v="0"/>
    <n v="0"/>
    <n v="200.98"/>
    <n v="0"/>
    <n v="0"/>
    <n v="0"/>
    <n v="0"/>
    <n v="0"/>
    <n v="0"/>
    <n v="0"/>
    <n v="0"/>
    <n v="200.98"/>
    <n v="0"/>
  </r>
  <r>
    <x v="0"/>
    <x v="6"/>
    <x v="0"/>
    <s v="7790107"/>
    <n v="766010"/>
    <s v="Property Tax"/>
    <s v="Unassigned"/>
    <x v="0"/>
    <m/>
    <n v="7887.97"/>
    <n v="7887.03"/>
    <n v="7887.03"/>
    <n v="7891.21"/>
    <n v="7887.03"/>
    <n v="7887.03"/>
    <n v="7887.38"/>
    <n v="7887.38"/>
    <n v="7887.38"/>
    <n v="5037.03"/>
    <n v="7367.41"/>
    <n v="7560.1"/>
    <n v="90953.98"/>
    <n v="-192.69000000000051"/>
  </r>
  <r>
    <x v="0"/>
    <x v="6"/>
    <x v="0"/>
    <s v="7790107"/>
    <n v="766030"/>
    <s v="Unrelated Business Inc--Federal"/>
    <s v="Unassigned"/>
    <x v="0"/>
    <m/>
    <n v="0"/>
    <n v="0"/>
    <n v="0"/>
    <n v="0"/>
    <n v="0"/>
    <n v="0"/>
    <n v="0"/>
    <n v="0"/>
    <n v="0"/>
    <n v="0"/>
    <n v="30000"/>
    <n v="47000"/>
    <n v="77000"/>
    <n v="-17000"/>
  </r>
  <r>
    <x v="0"/>
    <x v="6"/>
    <x v="0"/>
    <s v="7790107"/>
    <n v="766070"/>
    <s v="Sales and Use Tax"/>
    <s v="Unassigned"/>
    <x v="0"/>
    <m/>
    <n v="48152.59"/>
    <n v="73769.63"/>
    <n v="58126.68"/>
    <n v="94299.6"/>
    <n v="78434.710000000006"/>
    <n v="92023.31"/>
    <n v="70244.009999999995"/>
    <n v="66111.649999999994"/>
    <n v="77163.360000000001"/>
    <n v="81392.3"/>
    <n v="83519.429999999993"/>
    <n v="81892.490000000005"/>
    <n v="905129.76"/>
    <n v="1626.9399999999878"/>
  </r>
  <r>
    <x v="0"/>
    <x v="6"/>
    <x v="0"/>
    <s v="7790107"/>
    <n v="766090"/>
    <s v="Franchise and Excise Tax"/>
    <s v="Unassigned"/>
    <x v="0"/>
    <n v="1001"/>
    <n v="414173.89"/>
    <n v="305321.59999999998"/>
    <n v="396653.65"/>
    <n v="323167.26"/>
    <n v="331534.82"/>
    <n v="410358.21"/>
    <n v="392780.39"/>
    <n v="372947.08"/>
    <n v="356985.67"/>
    <n v="284139.42"/>
    <n v="366221.39"/>
    <n v="460836.51"/>
    <n v="4415119.8900000006"/>
    <n v="-94615.12"/>
  </r>
  <r>
    <x v="0"/>
    <x v="6"/>
    <x v="0"/>
    <s v="7790107"/>
    <n v="766092"/>
    <s v="Provider Tax-Program Expense"/>
    <s v="Unassigned"/>
    <x v="0"/>
    <m/>
    <n v="738700.08"/>
    <n v="738700.09"/>
    <n v="662282.82999999996"/>
    <n v="713227.67"/>
    <n v="703431"/>
    <n v="711267.83"/>
    <n v="711268.25"/>
    <n v="711268.25"/>
    <n v="711268.25"/>
    <n v="711268.25"/>
    <n v="711268.25"/>
    <n v="711268.25"/>
    <n v="8535219"/>
    <n v="0"/>
  </r>
  <r>
    <x v="25"/>
    <x v="6"/>
    <x v="0"/>
    <s v="7790107"/>
    <n v="770010"/>
    <s v="Restructuring Losses"/>
    <s v="Unassigned"/>
    <x v="0"/>
    <m/>
    <n v="-64800"/>
    <n v="0"/>
    <n v="0"/>
    <n v="0"/>
    <n v="0"/>
    <n v="0"/>
    <n v="0"/>
    <n v="0"/>
    <n v="0"/>
    <n v="0"/>
    <n v="0"/>
    <n v="-329044.71999999997"/>
    <n v="-393844.72"/>
    <n v="329044.71999999997"/>
  </r>
  <r>
    <x v="9"/>
    <x v="6"/>
    <x v="0"/>
    <s v="7790107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1814286.03"/>
    <n v="1814286.03"/>
    <n v="-1814043.45"/>
  </r>
  <r>
    <x v="18"/>
    <x v="7"/>
    <x v="0"/>
    <s v="7790150"/>
    <n v="400010"/>
    <s v="Acute I/P Svcs Rev--Comm Insurance"/>
    <s v="Unassigned"/>
    <x v="0"/>
    <n v="1300"/>
    <n v="0"/>
    <n v="0"/>
    <n v="0"/>
    <n v="-2838.83"/>
    <n v="2838.83"/>
    <n v="0"/>
    <n v="0"/>
    <n v="0"/>
    <n v="0"/>
    <n v="0"/>
    <n v="0"/>
    <n v="0"/>
    <n v="0"/>
    <n v="0"/>
  </r>
  <r>
    <x v="18"/>
    <x v="7"/>
    <x v="0"/>
    <s v="7790150"/>
    <n v="400010"/>
    <s v="Acute I/P Svcs Rev--Managed Care"/>
    <s v="Unassigned"/>
    <x v="0"/>
    <n v="1400"/>
    <n v="-101594.86"/>
    <n v="170898.12"/>
    <n v="-57443.12"/>
    <n v="-153503.84"/>
    <n v="240897.57"/>
    <n v="-7091.42"/>
    <n v="-20343.150000000001"/>
    <n v="-46509.38"/>
    <n v="-57118.36"/>
    <n v="135945.06"/>
    <n v="-41785.360000000001"/>
    <n v="-15746.96"/>
    <n v="46604.299999999996"/>
    <n v="-26038.400000000001"/>
  </r>
  <r>
    <x v="19"/>
    <x v="7"/>
    <x v="0"/>
    <s v="7790150"/>
    <n v="400020"/>
    <s v="O/P Care Svcs Rev--Medicare"/>
    <s v="Unassigned"/>
    <x v="0"/>
    <n v="1100"/>
    <n v="0"/>
    <n v="0"/>
    <n v="0"/>
    <n v="-1504.64"/>
    <n v="1504.64"/>
    <n v="0"/>
    <n v="0"/>
    <n v="-10825.78"/>
    <n v="10825.78"/>
    <n v="0"/>
    <n v="0"/>
    <n v="0"/>
    <n v="0"/>
    <n v="0"/>
  </r>
  <r>
    <x v="19"/>
    <x v="7"/>
    <x v="0"/>
    <s v="7790150"/>
    <n v="400020"/>
    <s v="O/P Care Svcs Rev--BCBS Comm"/>
    <s v="Unassigned"/>
    <x v="0"/>
    <n v="1301"/>
    <n v="0"/>
    <n v="0"/>
    <n v="0"/>
    <n v="-645.32000000000005"/>
    <n v="645.32000000000005"/>
    <n v="0"/>
    <n v="0"/>
    <n v="0"/>
    <n v="0"/>
    <n v="0"/>
    <n v="0"/>
    <n v="0"/>
    <n v="0"/>
    <n v="0"/>
  </r>
  <r>
    <x v="19"/>
    <x v="7"/>
    <x v="0"/>
    <s v="7790150"/>
    <n v="400020"/>
    <s v="O/P Care Svcs Rev--Managed Care"/>
    <s v="Unassigned"/>
    <x v="0"/>
    <n v="1400"/>
    <n v="254162.25"/>
    <n v="61781.46"/>
    <n v="-336782.76"/>
    <n v="222278.13"/>
    <n v="-227905.14"/>
    <n v="-23095.55"/>
    <n v="72317.69"/>
    <n v="105971.86"/>
    <n v="-119010.48"/>
    <n v="-24148.44"/>
    <n v="14878.4"/>
    <n v="148669.66"/>
    <n v="149117.08000000002"/>
    <n v="-133791.26"/>
  </r>
  <r>
    <x v="19"/>
    <x v="7"/>
    <x v="0"/>
    <s v="7790150"/>
    <n v="400020"/>
    <s v="O/P Care Svcs Rev--Other"/>
    <s v="Unassigned"/>
    <x v="0"/>
    <n v="1700"/>
    <n v="0"/>
    <n v="0"/>
    <n v="0"/>
    <n v="0"/>
    <n v="0"/>
    <n v="-5797.84"/>
    <n v="5797.84"/>
    <n v="0"/>
    <n v="0"/>
    <n v="0"/>
    <n v="0"/>
    <n v="0"/>
    <n v="0"/>
    <n v="0"/>
  </r>
  <r>
    <x v="5"/>
    <x v="7"/>
    <x v="0"/>
    <s v="7790150"/>
    <n v="700082"/>
    <s v="Salaries-Other-Non-productive"/>
    <s v="Unassigned"/>
    <x v="0"/>
    <m/>
    <n v="14500"/>
    <n v="9500"/>
    <n v="3800"/>
    <n v="29000"/>
    <n v="7000"/>
    <n v="12000"/>
    <n v="12000"/>
    <n v="12000"/>
    <n v="12000"/>
    <n v="11000"/>
    <n v="11000"/>
    <n v="11000"/>
    <n v="144800"/>
    <n v="0"/>
  </r>
  <r>
    <x v="5"/>
    <x v="7"/>
    <x v="0"/>
    <s v="7790150"/>
    <n v="700084"/>
    <s v="Accrued PTO"/>
    <s v="Unassigned"/>
    <x v="0"/>
    <m/>
    <n v="0"/>
    <n v="0"/>
    <n v="0"/>
    <n v="0"/>
    <n v="-26000"/>
    <n v="26000"/>
    <n v="0"/>
    <n v="0"/>
    <n v="0"/>
    <n v="0"/>
    <n v="0"/>
    <n v="0"/>
    <n v="0"/>
    <n v="0"/>
  </r>
  <r>
    <x v="10"/>
    <x v="7"/>
    <x v="0"/>
    <s v="7790150"/>
    <n v="710060"/>
    <s v="Contract Labor-Other"/>
    <s v="Unassigned"/>
    <x v="0"/>
    <m/>
    <n v="-17429.02"/>
    <n v="-14568.21"/>
    <n v="25374.82"/>
    <n v="-8277.75"/>
    <n v="-10099.42"/>
    <n v="1583.73"/>
    <n v="6409.22"/>
    <n v="-9088.51"/>
    <n v="4145.83"/>
    <n v="-2109.12"/>
    <n v="-4072.03"/>
    <n v="8988.23"/>
    <n v="-19142.229999999996"/>
    <n v="-13060.26"/>
  </r>
  <r>
    <x v="17"/>
    <x v="7"/>
    <x v="0"/>
    <s v="7790150"/>
    <n v="714520"/>
    <s v="Other Contracted Professionals"/>
    <s v="Unassigned"/>
    <x v="0"/>
    <m/>
    <n v="0"/>
    <n v="0"/>
    <n v="0"/>
    <n v="0"/>
    <n v="0"/>
    <n v="0"/>
    <n v="0"/>
    <n v="0"/>
    <n v="0"/>
    <n v="53183.33"/>
    <n v="0"/>
    <n v="0"/>
    <n v="53183.33"/>
    <n v="0"/>
  </r>
  <r>
    <x v="17"/>
    <x v="7"/>
    <x v="0"/>
    <s v="7790150"/>
    <n v="714530"/>
    <s v="Medical Prof Fees-Intracompany"/>
    <s v="Unassigned"/>
    <x v="0"/>
    <m/>
    <n v="99152.16"/>
    <n v="87697.09"/>
    <n v="90109.64"/>
    <n v="94279.78"/>
    <n v="94404.61"/>
    <n v="105819.64"/>
    <n v="111811.11"/>
    <n v="119558.66"/>
    <n v="112574.66"/>
    <n v="97871.9"/>
    <n v="111489.14"/>
    <n v="798423.13"/>
    <n v="1923191.52"/>
    <n v="-686933.99"/>
  </r>
  <r>
    <x v="7"/>
    <x v="7"/>
    <x v="0"/>
    <s v="7790150"/>
    <n v="718050"/>
    <s v="Contract Svcs-Other"/>
    <s v="Unassigned"/>
    <x v="0"/>
    <m/>
    <n v="0"/>
    <n v="0"/>
    <n v="0"/>
    <n v="0"/>
    <n v="0"/>
    <n v="0"/>
    <n v="0"/>
    <n v="0"/>
    <n v="0"/>
    <n v="571.5"/>
    <n v="0"/>
    <n v="0"/>
    <n v="571.5"/>
    <n v="0"/>
  </r>
  <r>
    <x v="7"/>
    <x v="7"/>
    <x v="0"/>
    <s v="7790150"/>
    <n v="718050"/>
    <s v="Miscellaneous Purchased Svcs"/>
    <s v="Unassigned"/>
    <x v="0"/>
    <n v="1020"/>
    <n v="13808.82"/>
    <n v="5460.44"/>
    <n v="-7153.02"/>
    <n v="-6534.94"/>
    <n v="3762.16"/>
    <n v="1519.64"/>
    <n v="26058.26"/>
    <n v="-19678.61"/>
    <n v="4260.49"/>
    <n v="4254.75"/>
    <n v="5130.32"/>
    <n v="5024.83"/>
    <n v="35913.14"/>
    <n v="105.48999999999978"/>
  </r>
  <r>
    <x v="7"/>
    <x v="7"/>
    <x v="0"/>
    <s v="7790150"/>
    <n v="718050"/>
    <s v="Purchased Srvcs-Medical/Clinical Review"/>
    <s v="Unassigned"/>
    <x v="0"/>
    <n v="1032"/>
    <n v="0"/>
    <n v="0"/>
    <n v="0"/>
    <n v="0"/>
    <n v="0"/>
    <n v="5520"/>
    <n v="0"/>
    <n v="0"/>
    <n v="0"/>
    <n v="0"/>
    <n v="0"/>
    <n v="0"/>
    <n v="5520"/>
    <n v="0"/>
  </r>
  <r>
    <x v="7"/>
    <x v="7"/>
    <x v="0"/>
    <s v="7790150"/>
    <n v="718061"/>
    <s v="Contract Services-CRO Allocation"/>
    <s v="Unassigned"/>
    <x v="0"/>
    <m/>
    <n v="3494"/>
    <n v="3494"/>
    <n v="3494"/>
    <n v="3494"/>
    <n v="3494"/>
    <n v="3494"/>
    <n v="3494"/>
    <n v="3494"/>
    <n v="3494"/>
    <n v="3494"/>
    <n v="3494"/>
    <n v="3494"/>
    <n v="41928"/>
    <n v="0"/>
  </r>
  <r>
    <x v="7"/>
    <x v="7"/>
    <x v="0"/>
    <s v="7790150"/>
    <n v="718065"/>
    <s v="Contract Services-CHI Legal Fees"/>
    <s v="Unassigned"/>
    <x v="0"/>
    <m/>
    <n v="4610.42"/>
    <n v="4610.42"/>
    <n v="4610.42"/>
    <n v="4610.42"/>
    <n v="4610.42"/>
    <n v="4610.42"/>
    <n v="4610.42"/>
    <n v="4610.42"/>
    <n v="4610.42"/>
    <n v="4610.42"/>
    <n v="4610.42"/>
    <n v="4610.42"/>
    <n v="55325.039999999986"/>
    <n v="0"/>
  </r>
  <r>
    <x v="7"/>
    <x v="7"/>
    <x v="0"/>
    <s v="7790150"/>
    <n v="718066"/>
    <s v="Contract Services-CHI Tax Services"/>
    <s v="Unassigned"/>
    <x v="0"/>
    <m/>
    <n v="1062"/>
    <n v="1062"/>
    <n v="1062"/>
    <n v="1062"/>
    <n v="1062"/>
    <n v="1062"/>
    <n v="1062"/>
    <n v="1062"/>
    <n v="1062"/>
    <n v="1062"/>
    <n v="1062"/>
    <n v="1062"/>
    <n v="12744"/>
    <n v="0"/>
  </r>
  <r>
    <x v="7"/>
    <x v="7"/>
    <x v="0"/>
    <s v="7790150"/>
    <n v="718070"/>
    <s v="Contract Srvcs-CHI Clinical Engineering"/>
    <s v="Unassigned"/>
    <x v="0"/>
    <m/>
    <n v="-28901.9"/>
    <n v="-35435"/>
    <n v="-29816.59"/>
    <n v="-30413.1"/>
    <n v="-31507.79"/>
    <n v="-28754.04"/>
    <n v="-32148.85"/>
    <n v="-30556.5"/>
    <n v="-30924.18"/>
    <n v="-28816.68"/>
    <n v="-29624.95"/>
    <n v="-28270.91"/>
    <n v="-365170.49"/>
    <n v="-1354.0400000000009"/>
  </r>
  <r>
    <x v="7"/>
    <x v="7"/>
    <x v="0"/>
    <s v="7790150"/>
    <n v="718075"/>
    <s v="Contract Srvcs-CHI ITS Steady State"/>
    <s v="Unassigned"/>
    <x v="0"/>
    <m/>
    <n v="160162"/>
    <n v="160162"/>
    <n v="160162"/>
    <n v="160162"/>
    <n v="160162"/>
    <n v="160162"/>
    <n v="160162"/>
    <n v="160162"/>
    <n v="160162"/>
    <n v="160162"/>
    <n v="160162"/>
    <n v="160162"/>
    <n v="1921944"/>
    <n v="0"/>
  </r>
  <r>
    <x v="7"/>
    <x v="7"/>
    <x v="0"/>
    <s v="7790150"/>
    <n v="718091"/>
    <s v="Contract Services-Intracompany Allocation"/>
    <s v="Unassigned"/>
    <x v="0"/>
    <m/>
    <n v="30674.92"/>
    <n v="-10243.32"/>
    <n v="10215.86"/>
    <n v="10215.18"/>
    <n v="10216.33"/>
    <n v="10217.23"/>
    <n v="10217.49"/>
    <n v="10217.57"/>
    <n v="10220.59"/>
    <n v="10246.15"/>
    <n v="10223.200000000001"/>
    <n v="10215.26"/>
    <n v="122636.45999999999"/>
    <n v="7.9400000000005093"/>
  </r>
  <r>
    <x v="11"/>
    <x v="7"/>
    <x v="0"/>
    <s v="7790150"/>
    <n v="721010"/>
    <s v="Supplies-Medical - Billable"/>
    <s v="Unassigned"/>
    <x v="0"/>
    <m/>
    <n v="0"/>
    <n v="0"/>
    <n v="0"/>
    <n v="0"/>
    <n v="0"/>
    <n v="4788"/>
    <n v="2394"/>
    <n v="2394"/>
    <n v="2394"/>
    <n v="2184"/>
    <n v="2723.7"/>
    <n v="3492.74"/>
    <n v="20370.440000000002"/>
    <n v="-769.04"/>
  </r>
  <r>
    <x v="11"/>
    <x v="7"/>
    <x v="0"/>
    <s v="7790150"/>
    <n v="721020"/>
    <s v="Supplies-Surgical - Billabl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7"/>
    <x v="0"/>
    <s v="7790150"/>
    <n v="721150"/>
    <s v="Supplies-Other Implants - Billabl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7"/>
    <x v="0"/>
    <s v="7790150"/>
    <n v="721410"/>
    <s v="Supplies-Medical - Nonbillable"/>
    <s v="Unassigned"/>
    <x v="0"/>
    <m/>
    <n v="1278.7"/>
    <n v="505.9"/>
    <n v="-662.78"/>
    <n v="-604.4"/>
    <n v="348.08"/>
    <n v="-1176"/>
    <n v="2147"/>
    <n v="-1625.28"/>
    <n v="187.08"/>
    <n v="187.66"/>
    <n v="252.06"/>
    <n v="221.54"/>
    <n v="1059.56"/>
    <n v="30.52000000000001"/>
  </r>
  <r>
    <x v="11"/>
    <x v="7"/>
    <x v="0"/>
    <s v="7790150"/>
    <n v="721830"/>
    <s v="Supplies-Office"/>
    <s v="Unassigned"/>
    <x v="0"/>
    <m/>
    <n v="0"/>
    <n v="0"/>
    <n v="0"/>
    <n v="0"/>
    <n v="0"/>
    <n v="0"/>
    <n v="0"/>
    <n v="0"/>
    <n v="0"/>
    <n v="0"/>
    <n v="350.01"/>
    <n v="0"/>
    <n v="350.01"/>
    <n v="350.01"/>
  </r>
  <r>
    <x v="11"/>
    <x v="7"/>
    <x v="0"/>
    <s v="7790150"/>
    <n v="721910"/>
    <s v="Supplies-Small Equipment"/>
    <s v="Unassigned"/>
    <x v="0"/>
    <m/>
    <n v="0"/>
    <n v="0"/>
    <n v="-1245.44"/>
    <n v="1245.44"/>
    <n v="0"/>
    <n v="0"/>
    <n v="0"/>
    <n v="0"/>
    <n v="0"/>
    <n v="0"/>
    <n v="0"/>
    <n v="0"/>
    <n v="0"/>
    <n v="0"/>
  </r>
  <r>
    <x v="11"/>
    <x v="7"/>
    <x v="0"/>
    <s v="7790150"/>
    <n v="721910"/>
    <s v="Instruments"/>
    <s v="Unassigned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7"/>
    <x v="0"/>
    <s v="7790150"/>
    <n v="721980"/>
    <s v="Supplies-Other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7"/>
    <x v="0"/>
    <s v="7790150"/>
    <n v="722000"/>
    <s v="Supplies-Freight Expense"/>
    <s v="Unassigned"/>
    <x v="0"/>
    <m/>
    <n v="96.79"/>
    <n v="428.18"/>
    <n v="257.43"/>
    <n v="182.43"/>
    <n v="133.94999999999999"/>
    <n v="65.31"/>
    <n v="582.42999999999995"/>
    <n v="44.05"/>
    <n v="699.79"/>
    <n v="1283.18"/>
    <n v="523.19000000000005"/>
    <n v="483.33"/>
    <n v="4780.0599999999995"/>
    <n v="39.86000000000007"/>
  </r>
  <r>
    <x v="11"/>
    <x v="7"/>
    <x v="0"/>
    <s v="7790150"/>
    <n v="723000"/>
    <s v="Supply Rebates/Patronage Dividend"/>
    <s v="Unassigned"/>
    <x v="0"/>
    <m/>
    <n v="-6000"/>
    <n v="-10000"/>
    <n v="16000"/>
    <n v="-8000"/>
    <n v="-8000"/>
    <n v="15993.86"/>
    <n v="-8000"/>
    <n v="-8000"/>
    <n v="16000"/>
    <n v="-8000"/>
    <n v="-8000"/>
    <n v="16000"/>
    <n v="-6.1399999999994179"/>
    <n v="-24000"/>
  </r>
  <r>
    <x v="11"/>
    <x v="7"/>
    <x v="0"/>
    <s v="7790150"/>
    <n v="723500"/>
    <s v="Discounts Taken *"/>
    <s v="Unassigned"/>
    <x v="0"/>
    <m/>
    <n v="0"/>
    <n v="0"/>
    <n v="-7.4"/>
    <n v="0"/>
    <n v="-7.4"/>
    <n v="0"/>
    <n v="0"/>
    <n v="0"/>
    <n v="0"/>
    <n v="0"/>
    <n v="0"/>
    <n v="-7.4"/>
    <n v="-22.200000000000003"/>
    <n v="7.4"/>
  </r>
  <r>
    <x v="12"/>
    <x v="7"/>
    <x v="0"/>
    <s v="7790150"/>
    <n v="730020"/>
    <s v="Rental and Leases-Equipment (DO NOT USE)"/>
    <s v="Unassigned"/>
    <x v="0"/>
    <m/>
    <n v="2812.36"/>
    <n v="1112.1600000000001"/>
    <n v="-1457.12"/>
    <n v="-1331.28"/>
    <n v="767"/>
    <n v="-2588.6"/>
    <n v="4724.82"/>
    <n v="-3576.04"/>
    <n v="411.78"/>
    <n v="411.46"/>
    <n v="557.14"/>
    <n v="485.76"/>
    <n v="2329.4400000000005"/>
    <n v="71.38"/>
  </r>
  <r>
    <x v="12"/>
    <x v="7"/>
    <x v="0"/>
    <s v="7790150"/>
    <n v="730020"/>
    <s v="Rental and Leases-Copier Usage Fees (DO NOT USE)"/>
    <s v="Unassigned"/>
    <x v="0"/>
    <n v="5100"/>
    <n v="0"/>
    <n v="0"/>
    <n v="0"/>
    <n v="0"/>
    <n v="0"/>
    <n v="0"/>
    <n v="3783.74"/>
    <n v="-2165.14"/>
    <n v="1429.41"/>
    <n v="-1765.75"/>
    <n v="294.3"/>
    <n v="0"/>
    <n v="1576.5600000000002"/>
    <n v="294.3"/>
  </r>
  <r>
    <x v="16"/>
    <x v="7"/>
    <x v="0"/>
    <s v="7790150"/>
    <n v="733030"/>
    <s v="Maintenance Contracts-Other"/>
    <s v="Unassigned"/>
    <x v="0"/>
    <m/>
    <n v="0"/>
    <n v="0"/>
    <n v="0"/>
    <n v="0"/>
    <n v="0"/>
    <n v="1140"/>
    <n v="570"/>
    <n v="570"/>
    <n v="570"/>
    <n v="520"/>
    <n v="648.5"/>
    <n v="831.6"/>
    <n v="4850.1000000000004"/>
    <n v="-183.10000000000002"/>
  </r>
  <r>
    <x v="13"/>
    <x v="7"/>
    <x v="0"/>
    <s v="7790150"/>
    <n v="735020"/>
    <s v="Depreciation-Land Improvements"/>
    <s v="Unassigned"/>
    <x v="0"/>
    <m/>
    <n v="4784.21"/>
    <n v="4784.22"/>
    <n v="4784.22"/>
    <n v="4784.22"/>
    <n v="4784.22"/>
    <n v="4784.22"/>
    <n v="4784.22"/>
    <n v="4070.21"/>
    <n v="4070.23"/>
    <n v="4070.22"/>
    <n v="4070.24"/>
    <n v="4070.22"/>
    <n v="53840.650000000009"/>
    <n v="1.999999999998181E-2"/>
  </r>
  <r>
    <x v="13"/>
    <x v="7"/>
    <x v="0"/>
    <s v="7790150"/>
    <n v="735030"/>
    <s v="Depreciation-Buildings"/>
    <s v="Unassigned"/>
    <x v="0"/>
    <m/>
    <n v="47874.23"/>
    <n v="47874.2"/>
    <n v="47874.27"/>
    <n v="47874.17"/>
    <n v="47874.32"/>
    <n v="47874.09"/>
    <n v="47874.35"/>
    <n v="47874.080000000002"/>
    <n v="47874.35"/>
    <n v="47874.06"/>
    <n v="47874.400000000001"/>
    <n v="47874.03"/>
    <n v="574490.55000000005"/>
    <n v="0.37000000000261934"/>
  </r>
  <r>
    <x v="13"/>
    <x v="7"/>
    <x v="0"/>
    <s v="7790150"/>
    <n v="735040"/>
    <s v="Depreciation-Building Improvements"/>
    <s v="Unassigned"/>
    <x v="0"/>
    <m/>
    <n v="75230.47"/>
    <n v="77013.83"/>
    <n v="77013.990000000005"/>
    <n v="77013.759999999995"/>
    <n v="77014.070000000007"/>
    <n v="77013.649999999994"/>
    <n v="77014.13"/>
    <n v="77013.58"/>
    <n v="77014.22"/>
    <n v="77013.47"/>
    <n v="77014.3"/>
    <n v="77385.789999999994"/>
    <n v="922755.26"/>
    <n v="-371.48999999999069"/>
  </r>
  <r>
    <x v="13"/>
    <x v="7"/>
    <x v="0"/>
    <s v="7790150"/>
    <n v="735060"/>
    <s v="Depreciation-Fixed Equipment"/>
    <s v="Unassigned"/>
    <x v="0"/>
    <m/>
    <n v="6189.94"/>
    <n v="6189.92"/>
    <n v="6189.94"/>
    <n v="6189.9"/>
    <n v="6189.95"/>
    <n v="6189.9"/>
    <n v="6189.98"/>
    <n v="6189.89"/>
    <n v="6189.99"/>
    <n v="6189.85"/>
    <n v="6189.99"/>
    <n v="6189.84"/>
    <n v="74279.09"/>
    <n v="0.1499999999996362"/>
  </r>
  <r>
    <x v="13"/>
    <x v="7"/>
    <x v="0"/>
    <s v="7790150"/>
    <n v="735070"/>
    <s v="Depreciation-Movable Equipment"/>
    <s v="Unassigned"/>
    <x v="0"/>
    <m/>
    <n v="28869.18"/>
    <n v="28869.119999999999"/>
    <n v="28869.3"/>
    <n v="28869.06"/>
    <n v="28869.33"/>
    <n v="28869.05"/>
    <n v="28869.37"/>
    <n v="28869.040000000001"/>
    <n v="28869.47"/>
    <n v="28868.98"/>
    <n v="28869.49"/>
    <n v="28868.97"/>
    <n v="346430.36"/>
    <n v="0.52000000000043656"/>
  </r>
  <r>
    <x v="8"/>
    <x v="7"/>
    <x v="0"/>
    <s v="7790150"/>
    <n v="741010"/>
    <s v="Liability Insurance-CHI Programs"/>
    <s v="Unassigned"/>
    <x v="0"/>
    <m/>
    <n v="20492.080000000002"/>
    <n v="20492.080000000002"/>
    <n v="20492.080000000002"/>
    <n v="20492.080000000002"/>
    <n v="20492.080000000002"/>
    <n v="20492.080000000002"/>
    <n v="20492.080000000002"/>
    <n v="20492.080000000002"/>
    <n v="20492.080000000002"/>
    <n v="20492.080000000002"/>
    <n v="20492.080000000002"/>
    <n v="20492.080000000002"/>
    <n v="245904.96000000008"/>
    <n v="0"/>
  </r>
  <r>
    <x v="8"/>
    <x v="7"/>
    <x v="0"/>
    <s v="7790150"/>
    <n v="741030"/>
    <s v="Property Insurance-CHI Programs"/>
    <s v="Unassigned"/>
    <x v="0"/>
    <m/>
    <n v="5751.86"/>
    <n v="5751.86"/>
    <n v="5751.86"/>
    <n v="5751.86"/>
    <n v="5751.86"/>
    <n v="5751.86"/>
    <n v="5751.86"/>
    <n v="5751.86"/>
    <n v="5751.86"/>
    <n v="5751.86"/>
    <n v="5751.86"/>
    <n v="5751.86"/>
    <n v="69022.319999999992"/>
    <n v="0"/>
  </r>
  <r>
    <x v="8"/>
    <x v="7"/>
    <x v="0"/>
    <s v="7790150"/>
    <n v="741070"/>
    <s v="Insurance-Risk Mgmt Incentive Program"/>
    <s v="Unassigned"/>
    <x v="0"/>
    <m/>
    <n v="0"/>
    <n v="0"/>
    <n v="0"/>
    <n v="-35000"/>
    <n v="0"/>
    <n v="0"/>
    <n v="0"/>
    <n v="0"/>
    <n v="0"/>
    <n v="0"/>
    <n v="0"/>
    <n v="0"/>
    <n v="-35000"/>
    <n v="0"/>
  </r>
  <r>
    <x v="0"/>
    <x v="7"/>
    <x v="0"/>
    <s v="7790150"/>
    <n v="746020"/>
    <s v="Bank Fees--Ext to CHI Programs"/>
    <s v="Unassigned"/>
    <x v="0"/>
    <m/>
    <n v="350.53"/>
    <n v="351.73"/>
    <n v="356.27"/>
    <n v="313.33"/>
    <n v="412.51"/>
    <n v="359.5"/>
    <n v="312.88"/>
    <n v="362.37"/>
    <n v="280.51"/>
    <n v="368.24"/>
    <n v="304.08999999999997"/>
    <n v="337.59"/>
    <n v="4109.55"/>
    <n v="-33.5"/>
  </r>
  <r>
    <x v="26"/>
    <x v="7"/>
    <x v="0"/>
    <s v="7790150"/>
    <n v="747001"/>
    <s v="National Assessment"/>
    <s v="Unassigned"/>
    <x v="0"/>
    <m/>
    <n v="38408"/>
    <n v="38408"/>
    <n v="38408"/>
    <n v="38408"/>
    <n v="38408"/>
    <n v="38408"/>
    <n v="538408"/>
    <n v="538408"/>
    <n v="538408"/>
    <n v="538408"/>
    <n v="538408"/>
    <n v="538408"/>
    <n v="3460896"/>
    <n v="0"/>
  </r>
  <r>
    <x v="0"/>
    <x v="7"/>
    <x v="0"/>
    <s v="7790150"/>
    <n v="749510"/>
    <s v="Miscellaneous Expenses"/>
    <s v="Unassigned"/>
    <x v="0"/>
    <m/>
    <n v="7671.24"/>
    <n v="3033.34"/>
    <n v="-3973.68"/>
    <n v="-3630.4"/>
    <n v="2089.52"/>
    <n v="-4550.96"/>
    <n v="13893.62"/>
    <n v="-8497.7000000000007"/>
    <n v="2375.46"/>
    <n v="2327.9"/>
    <n v="2945.08"/>
    <n v="3155.73"/>
    <n v="16839.149999999998"/>
    <n v="-210.65000000000009"/>
  </r>
  <r>
    <x v="0"/>
    <x v="7"/>
    <x v="0"/>
    <s v="7790150"/>
    <n v="749510"/>
    <s v="RICE Rewards"/>
    <s v="Unassigned"/>
    <x v="0"/>
    <n v="5100"/>
    <n v="10000"/>
    <n v="0"/>
    <n v="0"/>
    <n v="0"/>
    <n v="0"/>
    <n v="-10000"/>
    <n v="0"/>
    <n v="0"/>
    <n v="0"/>
    <n v="0"/>
    <n v="0"/>
    <n v="0"/>
    <n v="0"/>
    <n v="0"/>
  </r>
  <r>
    <x v="0"/>
    <x v="7"/>
    <x v="0"/>
    <s v="7790150"/>
    <n v="749525"/>
    <s v="Contingent Liability Expense"/>
    <s v="Unassigned"/>
    <x v="0"/>
    <m/>
    <n v="0"/>
    <n v="0"/>
    <n v="0"/>
    <n v="0"/>
    <n v="0"/>
    <n v="0"/>
    <n v="0"/>
    <n v="0"/>
    <n v="0"/>
    <n v="0"/>
    <n v="0"/>
    <n v="122000"/>
    <n v="122000"/>
    <n v="-122000"/>
  </r>
  <r>
    <x v="24"/>
    <x v="7"/>
    <x v="0"/>
    <s v="7790150"/>
    <n v="760020"/>
    <s v="Interest Exp--CHI Debt Prog-MBOs Only"/>
    <s v="Unassigned"/>
    <x v="0"/>
    <m/>
    <n v="52951.25"/>
    <n v="52692.05"/>
    <n v="52431.92"/>
    <n v="0"/>
    <n v="0"/>
    <n v="0"/>
    <n v="0"/>
    <n v="0"/>
    <n v="0"/>
    <n v="0"/>
    <n v="0"/>
    <n v="0"/>
    <n v="158075.22"/>
    <n v="0"/>
  </r>
  <r>
    <x v="24"/>
    <x v="7"/>
    <x v="0"/>
    <s v="7790150"/>
    <n v="760030"/>
    <s v="Interest Expense-Ext to CHI Programs"/>
    <s v="Unassigned"/>
    <x v="0"/>
    <m/>
    <n v="481.99"/>
    <n v="464.44"/>
    <n v="446.82"/>
    <n v="429.12"/>
    <n v="411.38"/>
    <n v="393.56"/>
    <n v="375.68"/>
    <n v="357.73"/>
    <n v="339.69"/>
    <n v="321.64"/>
    <n v="303.49"/>
    <n v="285.3"/>
    <n v="4610.84"/>
    <n v="18.189999999999998"/>
  </r>
  <r>
    <x v="0"/>
    <x v="7"/>
    <x v="0"/>
    <s v="7790150"/>
    <n v="765010"/>
    <s v="Federal Income Tax"/>
    <s v="Unassigned"/>
    <x v="0"/>
    <m/>
    <n v="0"/>
    <n v="0"/>
    <n v="0"/>
    <n v="0"/>
    <n v="1500"/>
    <n v="0"/>
    <n v="-1500"/>
    <n v="0"/>
    <n v="0"/>
    <n v="0"/>
    <n v="0"/>
    <n v="0"/>
    <n v="0"/>
    <n v="0"/>
  </r>
  <r>
    <x v="0"/>
    <x v="7"/>
    <x v="0"/>
    <s v="7790150"/>
    <n v="766010"/>
    <s v="Property Tax"/>
    <s v="Unassigned"/>
    <x v="0"/>
    <m/>
    <n v="85.88"/>
    <n v="85.88"/>
    <n v="85.88"/>
    <n v="85.85"/>
    <n v="85.88"/>
    <n v="85.88"/>
    <n v="85.88"/>
    <n v="85.88"/>
    <n v="85.88"/>
    <n v="62.03"/>
    <n v="79.92"/>
    <n v="79.92"/>
    <n v="994.75999999999988"/>
    <n v="0"/>
  </r>
  <r>
    <x v="0"/>
    <x v="7"/>
    <x v="0"/>
    <s v="7790150"/>
    <n v="766030"/>
    <s v="Unrelated Business Inc--Federal"/>
    <s v="Unassigned"/>
    <x v="0"/>
    <m/>
    <n v="0"/>
    <n v="0"/>
    <n v="0"/>
    <n v="0"/>
    <n v="0"/>
    <n v="0"/>
    <n v="1500"/>
    <n v="0"/>
    <n v="0"/>
    <n v="0"/>
    <n v="8000"/>
    <n v="12000"/>
    <n v="21500"/>
    <n v="-4000"/>
  </r>
  <r>
    <x v="0"/>
    <x v="7"/>
    <x v="0"/>
    <s v="7790150"/>
    <n v="766070"/>
    <s v="Sales and Use Tax"/>
    <s v="Unassigned"/>
    <x v="0"/>
    <m/>
    <n v="5044.93"/>
    <n v="2688.47"/>
    <n v="5324.36"/>
    <n v="4967.67"/>
    <n v="5692.47"/>
    <n v="7427.68"/>
    <n v="6416.34"/>
    <n v="4744.9799999999996"/>
    <n v="5890.06"/>
    <n v="3175.9"/>
    <n v="6623.2"/>
    <n v="7260.06"/>
    <n v="65256.119999999988"/>
    <n v="-636.86000000000058"/>
  </r>
  <r>
    <x v="0"/>
    <x v="7"/>
    <x v="0"/>
    <s v="7790150"/>
    <n v="766090"/>
    <s v="Franchise and Excise Tax"/>
    <s v="Unassigned"/>
    <x v="0"/>
    <n v="1001"/>
    <n v="77285"/>
    <n v="36386.54"/>
    <n v="53936.61"/>
    <n v="47515.65"/>
    <n v="55553.98"/>
    <n v="44222.7"/>
    <n v="67937.55"/>
    <n v="37705.919999999998"/>
    <n v="38153.57"/>
    <n v="44597.55"/>
    <n v="45981.51"/>
    <n v="48536.89"/>
    <n v="597813.47"/>
    <n v="-2555.3799999999974"/>
  </r>
  <r>
    <x v="25"/>
    <x v="7"/>
    <x v="0"/>
    <s v="7790150"/>
    <n v="770010"/>
    <s v="Restructuring Losses"/>
    <s v="Unassigned"/>
    <x v="0"/>
    <m/>
    <n v="-5400"/>
    <n v="0"/>
    <n v="0"/>
    <n v="0"/>
    <n v="0"/>
    <n v="0"/>
    <n v="0"/>
    <n v="0"/>
    <n v="0"/>
    <n v="0"/>
    <n v="0"/>
    <n v="0"/>
    <n v="-5400"/>
    <n v="0"/>
  </r>
  <r>
    <x v="9"/>
    <x v="7"/>
    <x v="0"/>
    <s v="7790150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219647.68"/>
    <n v="219647.68"/>
    <n v="-219647.68"/>
  </r>
  <r>
    <x v="1"/>
    <x v="1"/>
    <x v="0"/>
    <s v="7790200"/>
    <n v="400040"/>
    <s v="Physician Svcs Rev--Medicare"/>
    <s v="Unassigned"/>
    <x v="0"/>
    <n v="11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7790200"/>
    <n v="400040"/>
    <s v="Physician Svcs Rev--Medicaid"/>
    <s v="Unassigned"/>
    <x v="0"/>
    <n v="1200"/>
    <n v="0"/>
    <n v="-15"/>
    <n v="0"/>
    <n v="0"/>
    <n v="0"/>
    <n v="0"/>
    <n v="0"/>
    <n v="0"/>
    <n v="0"/>
    <n v="0"/>
    <n v="0"/>
    <n v="0"/>
    <n v="-15"/>
    <n v="0"/>
  </r>
  <r>
    <x v="1"/>
    <x v="1"/>
    <x v="0"/>
    <s v="7790200"/>
    <n v="400040"/>
    <s v="Physician Svcs Rev--Managed Care"/>
    <s v="Unassigned"/>
    <x v="0"/>
    <n v="1400"/>
    <n v="0"/>
    <n v="0"/>
    <n v="0"/>
    <n v="0"/>
    <n v="0"/>
    <n v="0"/>
    <n v="500000"/>
    <n v="-500000"/>
    <n v="0"/>
    <n v="0"/>
    <n v="0"/>
    <n v="0"/>
    <n v="0"/>
    <n v="0"/>
  </r>
  <r>
    <x v="1"/>
    <x v="1"/>
    <x v="0"/>
    <s v="7790200"/>
    <n v="400040"/>
    <s v="Physician Svcs Rev--Self Pay"/>
    <s v="Unassigned"/>
    <x v="0"/>
    <n v="1500"/>
    <n v="0"/>
    <n v="0"/>
    <n v="0"/>
    <n v="0"/>
    <n v="0"/>
    <n v="0"/>
    <n v="0"/>
    <n v="0"/>
    <n v="0"/>
    <n v="0"/>
    <n v="0"/>
    <n v="0"/>
    <n v="0"/>
    <n v="0"/>
  </r>
  <r>
    <x v="1"/>
    <x v="1"/>
    <x v="0"/>
    <s v="7790200"/>
    <n v="400040"/>
    <s v="Physician Svcs Rev--Other"/>
    <s v="Unassigned"/>
    <x v="0"/>
    <n v="17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7790200"/>
    <n v="450020"/>
    <s v="Contr Allow--OP Care-Medicare"/>
    <s v="Unassigned"/>
    <x v="0"/>
    <n v="1100"/>
    <n v="0"/>
    <n v="0"/>
    <n v="0"/>
    <n v="0"/>
    <n v="0"/>
    <n v="0"/>
    <n v="0"/>
    <n v="0"/>
    <n v="0"/>
    <n v="0"/>
    <n v="0"/>
    <n v="0"/>
    <n v="0"/>
    <n v="0"/>
  </r>
  <r>
    <x v="2"/>
    <x v="1"/>
    <x v="0"/>
    <s v="7790200"/>
    <n v="450029"/>
    <s v="Admin Adjust-MD Other-Self Pay"/>
    <s v="Unassigned"/>
    <x v="0"/>
    <n v="1600"/>
    <n v="-9.51"/>
    <n v="0"/>
    <n v="0"/>
    <n v="0"/>
    <n v="0"/>
    <n v="0"/>
    <n v="0"/>
    <n v="0"/>
    <n v="0"/>
    <n v="0"/>
    <n v="0"/>
    <n v="0"/>
    <n v="-9.51"/>
    <n v="0"/>
  </r>
  <r>
    <x v="2"/>
    <x v="1"/>
    <x v="0"/>
    <s v="7790200"/>
    <n v="450040"/>
    <s v="Contr Allow--Phys Svcs--Mcare"/>
    <s v="Unassigned"/>
    <x v="0"/>
    <n v="1100"/>
    <n v="-2188852.61"/>
    <n v="-4973.5600000000004"/>
    <n v="-342.94"/>
    <n v="-1694935.82"/>
    <n v="-9379.7999999999993"/>
    <n v="-2836.53"/>
    <n v="-527669.9"/>
    <n v="-110639.67999999999"/>
    <n v="32461.08"/>
    <n v="-207079.07"/>
    <n v="-667149.1"/>
    <n v="-836.24"/>
    <n v="-5382234.169999999"/>
    <n v="-666312.86"/>
  </r>
  <r>
    <x v="2"/>
    <x v="1"/>
    <x v="0"/>
    <s v="7790200"/>
    <n v="450040"/>
    <s v="Contr Allow--Phys Svcs--Mcaid"/>
    <s v="Unassigned"/>
    <x v="0"/>
    <n v="1200"/>
    <n v="-218330.58"/>
    <n v="-302174.53999999998"/>
    <n v="-54359.72"/>
    <n v="-528401.24"/>
    <n v="-140259.6"/>
    <n v="-37854.03"/>
    <n v="32812.730000000003"/>
    <n v="-8913.59"/>
    <n v="-53257.05"/>
    <n v="29976.76"/>
    <n v="-6944.44"/>
    <n v="-3415.64"/>
    <n v="-1291120.9400000002"/>
    <n v="-3528.7999999999997"/>
  </r>
  <r>
    <x v="2"/>
    <x v="1"/>
    <x v="0"/>
    <s v="7790200"/>
    <n v="450040"/>
    <s v="Contr Allow--Phys Svcs--Comm Insurance"/>
    <s v="Unassigned"/>
    <x v="0"/>
    <n v="1300"/>
    <n v="-7.89"/>
    <n v="-222.38"/>
    <n v="-291.16000000000003"/>
    <n v="-195.27"/>
    <n v="-1413.17"/>
    <n v="-345.28"/>
    <n v="-3"/>
    <n v="0"/>
    <n v="0"/>
    <n v="-0.33"/>
    <n v="-10.38"/>
    <n v="-200.83"/>
    <n v="-2689.6899999999996"/>
    <n v="190.45000000000002"/>
  </r>
  <r>
    <x v="2"/>
    <x v="1"/>
    <x v="0"/>
    <s v="7790200"/>
    <n v="450040"/>
    <s v="Contr Allow--Phys Svcs--BCBS Comm Ins"/>
    <s v="Unassigned"/>
    <x v="0"/>
    <n v="1301"/>
    <n v="-892.4"/>
    <n v="-3967.14"/>
    <n v="-4983.43"/>
    <n v="-1145.97"/>
    <n v="-2855.87"/>
    <n v="-12307.71"/>
    <n v="-943.39"/>
    <n v="-37.67"/>
    <n v="-269.83"/>
    <n v="-877.29"/>
    <n v="-1463.99"/>
    <n v="-306.27999999999997"/>
    <n v="-30050.97"/>
    <n v="-1157.71"/>
  </r>
  <r>
    <x v="2"/>
    <x v="1"/>
    <x v="0"/>
    <s v="7790200"/>
    <n v="450040"/>
    <s v="Contr Allow--Phys Svcs--Managed Care"/>
    <s v="Unassigned"/>
    <x v="0"/>
    <n v="1400"/>
    <n v="-1676.88"/>
    <n v="-4030.79"/>
    <n v="-4183.8"/>
    <n v="-10867.36"/>
    <n v="-22574.27"/>
    <n v="1111.2"/>
    <n v="-300952.59000000003"/>
    <n v="296853.57"/>
    <n v="10927.19"/>
    <n v="9343.4500000000007"/>
    <n v="-19705.169999999998"/>
    <n v="-3368.29"/>
    <n v="-49123.740000000042"/>
    <n v="-16336.879999999997"/>
  </r>
  <r>
    <x v="2"/>
    <x v="1"/>
    <x v="0"/>
    <s v="7790200"/>
    <n v="450040"/>
    <s v="Contr Allow--Phys Svcs--BCBS Mgnd Care"/>
    <s v="Unassigned"/>
    <x v="0"/>
    <n v="1401"/>
    <n v="51392.76"/>
    <n v="6141.81"/>
    <n v="30229.72"/>
    <n v="19112.45"/>
    <n v="18543.13"/>
    <n v="0"/>
    <n v="19174.47"/>
    <n v="-25221.439999999999"/>
    <n v="-21186.57"/>
    <n v="-3153.62"/>
    <n v="3622.02"/>
    <n v="-3710.52"/>
    <n v="94944.210000000021"/>
    <n v="7332.54"/>
  </r>
  <r>
    <x v="2"/>
    <x v="1"/>
    <x v="0"/>
    <s v="7790200"/>
    <n v="450040"/>
    <s v="Prompt Pay Disc-Phys Svcs-Self Pay"/>
    <s v="Unassigned"/>
    <x v="0"/>
    <n v="1500"/>
    <n v="-725.56"/>
    <n v="-12239.81"/>
    <n v="-17310.080000000002"/>
    <n v="-43225.5"/>
    <n v="-41359.120000000003"/>
    <n v="-29702.61"/>
    <n v="-17134.560000000001"/>
    <n v="-7585.47"/>
    <n v="-5493.44"/>
    <n v="-6720.95"/>
    <n v="-9336.6200000000008"/>
    <n v="-12935.72"/>
    <n v="-203769.44"/>
    <n v="3599.0999999999985"/>
  </r>
  <r>
    <x v="2"/>
    <x v="1"/>
    <x v="0"/>
    <s v="7790200"/>
    <n v="450040"/>
    <s v="Admin Adjust-Phys Svcs-Self Pay"/>
    <s v="Unassigned"/>
    <x v="0"/>
    <n v="1600"/>
    <n v="-3501.3"/>
    <n v="10999.31"/>
    <n v="3892.23"/>
    <n v="9632.2800000000007"/>
    <n v="-48242.35"/>
    <n v="41063.42"/>
    <n v="-17368.8"/>
    <n v="58921.52"/>
    <n v="24973.54"/>
    <n v="-118199.83"/>
    <n v="12004.53"/>
    <n v="16564.38"/>
    <n v="-9261.0699999999961"/>
    <n v="-4559.8500000000004"/>
  </r>
  <r>
    <x v="2"/>
    <x v="1"/>
    <x v="0"/>
    <s v="7790200"/>
    <n v="450040"/>
    <s v="Contr Allow--Phys Svcs--Other"/>
    <s v="Unassigned"/>
    <x v="0"/>
    <n v="1700"/>
    <n v="0"/>
    <n v="-133.31"/>
    <n v="-656.21"/>
    <n v="-7995.61"/>
    <n v="-3037.48"/>
    <n v="-134.79"/>
    <n v="-0.22"/>
    <n v="0"/>
    <n v="0"/>
    <n v="0"/>
    <n v="0"/>
    <n v="-419.59"/>
    <n v="-12377.21"/>
    <n v="419.59"/>
  </r>
  <r>
    <x v="3"/>
    <x v="1"/>
    <x v="0"/>
    <s v="7790200"/>
    <n v="470040"/>
    <s v="Charity Care-Physician Svcs"/>
    <s v="Unassigned"/>
    <x v="0"/>
    <m/>
    <n v="-15429.49"/>
    <n v="-11734.4"/>
    <n v="206.56"/>
    <n v="-1.74"/>
    <n v="-3.12"/>
    <n v="0"/>
    <n v="0"/>
    <n v="3495.85"/>
    <n v="-2907.99"/>
    <n v="0"/>
    <n v="-43.67"/>
    <n v="0"/>
    <n v="-26418"/>
    <n v="-43.67"/>
  </r>
  <r>
    <x v="4"/>
    <x v="1"/>
    <x v="0"/>
    <s v="7790200"/>
    <n v="490010"/>
    <s v="Provision for Bad Debts"/>
    <s v="Unassigned"/>
    <x v="0"/>
    <m/>
    <n v="-16588.650000000001"/>
    <n v="-20679.25"/>
    <n v="-403970.11"/>
    <n v="-373886.83"/>
    <n v="-107951.71"/>
    <n v="-5541.96"/>
    <n v="-27962.23"/>
    <n v="-11205.09"/>
    <n v="-5261.39"/>
    <n v="-10824.11"/>
    <n v="-13290.09"/>
    <n v="-10257.540000000001"/>
    <n v="-1007418.96"/>
    <n v="-3032.5499999999993"/>
  </r>
  <r>
    <x v="14"/>
    <x v="1"/>
    <x v="0"/>
    <s v="7790200"/>
    <n v="600050"/>
    <s v="Miscellaneous Revenue"/>
    <s v="Unassigned"/>
    <x v="0"/>
    <m/>
    <n v="-225"/>
    <n v="0"/>
    <n v="-25675"/>
    <n v="-8495"/>
    <n v="-3290"/>
    <n v="-9075"/>
    <n v="0"/>
    <n v="0"/>
    <n v="-116851.5"/>
    <n v="-3323.72"/>
    <n v="-39002.080000000002"/>
    <n v="-350"/>
    <n v="-206287.3"/>
    <n v="-38652.080000000002"/>
  </r>
  <r>
    <x v="14"/>
    <x v="1"/>
    <x v="0"/>
    <s v="7790200"/>
    <n v="600058"/>
    <s v="Meaningful Use Revenue-Medicar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4"/>
    <x v="1"/>
    <x v="0"/>
    <s v="7790200"/>
    <n v="600059"/>
    <s v="Meaningful Use Revenue-Medicaid"/>
    <s v="Unassigned"/>
    <x v="0"/>
    <m/>
    <n v="0"/>
    <n v="0"/>
    <n v="0"/>
    <n v="0"/>
    <n v="0"/>
    <n v="-416500"/>
    <n v="-34000"/>
    <n v="0"/>
    <n v="0"/>
    <n v="0"/>
    <n v="0"/>
    <n v="0"/>
    <n v="-450500"/>
    <n v="0"/>
  </r>
  <r>
    <x v="5"/>
    <x v="1"/>
    <x v="0"/>
    <s v="7790200"/>
    <n v="700014"/>
    <s v="Salaries-Management-Productiv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90200"/>
    <n v="700018"/>
    <s v="Salaries-Supervisory-Productive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7790200"/>
    <n v="700020"/>
    <s v="Salaries-Physician Admin-Other"/>
    <s v="Unassigned"/>
    <x v="0"/>
    <n v="2000"/>
    <n v="0"/>
    <n v="0"/>
    <n v="0"/>
    <n v="0"/>
    <n v="0"/>
    <n v="0"/>
    <n v="0"/>
    <n v="0"/>
    <n v="0"/>
    <n v="0"/>
    <n v="0"/>
    <n v="-1950.93"/>
    <n v="-1950.93"/>
    <n v="1950.93"/>
  </r>
  <r>
    <x v="5"/>
    <x v="1"/>
    <x v="0"/>
    <s v="7790200"/>
    <n v="700022"/>
    <s v="Salaries-Physician-Productive"/>
    <s v="Unassigned"/>
    <x v="0"/>
    <m/>
    <n v="0"/>
    <n v="0"/>
    <n v="0"/>
    <n v="0"/>
    <n v="1241.5999999999999"/>
    <n v="0"/>
    <n v="0"/>
    <n v="0"/>
    <n v="0"/>
    <n v="0"/>
    <n v="0"/>
    <n v="-9773.34"/>
    <n v="-8531.74"/>
    <n v="9773.34"/>
  </r>
  <r>
    <x v="5"/>
    <x v="1"/>
    <x v="0"/>
    <s v="7790200"/>
    <n v="700022"/>
    <s v="Salaries-Physician-Other"/>
    <s v="Unassigned"/>
    <x v="0"/>
    <n v="2000"/>
    <n v="0"/>
    <n v="203.86"/>
    <n v="722.3"/>
    <n v="-173.49"/>
    <n v="0"/>
    <n v="0"/>
    <n v="0"/>
    <n v="0"/>
    <n v="0"/>
    <n v="0"/>
    <n v="0"/>
    <n v="0"/>
    <n v="752.67"/>
    <n v="0"/>
  </r>
  <r>
    <x v="5"/>
    <x v="1"/>
    <x v="0"/>
    <s v="7790200"/>
    <n v="700054"/>
    <s v="Salaries-Management-Non-productive"/>
    <s v="Unassigned"/>
    <x v="0"/>
    <m/>
    <n v="146000"/>
    <n v="76000"/>
    <n v="30400"/>
    <n v="19000"/>
    <n v="13000"/>
    <n v="0"/>
    <n v="0"/>
    <n v="-41000"/>
    <n v="-41000"/>
    <n v="-41000"/>
    <n v="-41000"/>
    <n v="-41000"/>
    <n v="79400"/>
    <n v="0"/>
  </r>
  <r>
    <x v="5"/>
    <x v="1"/>
    <x v="0"/>
    <s v="7790200"/>
    <n v="700054"/>
    <s v="Salaries-Management-NonProd-Other"/>
    <s v="Unassigned"/>
    <x v="0"/>
    <n v="2000"/>
    <n v="0"/>
    <n v="0"/>
    <n v="0"/>
    <n v="0"/>
    <n v="0"/>
    <n v="707.57"/>
    <n v="500"/>
    <n v="-500"/>
    <n v="0"/>
    <n v="0"/>
    <n v="0"/>
    <n v="0"/>
    <n v="707.57000000000016"/>
    <n v="0"/>
  </r>
  <r>
    <x v="5"/>
    <x v="1"/>
    <x v="0"/>
    <s v="7790200"/>
    <n v="700062"/>
    <s v="Salaries-Physician-Non-productive"/>
    <s v="Unassigned"/>
    <x v="0"/>
    <m/>
    <n v="-191756.34"/>
    <n v="-88719.41"/>
    <n v="-41441.040000000001"/>
    <n v="0"/>
    <n v="-96666.59"/>
    <n v="5413.42"/>
    <n v="-28719"/>
    <n v="-101553.31"/>
    <n v="-32362.959999999999"/>
    <n v="-22695.56"/>
    <n v="-178973.95"/>
    <n v="-22802.69"/>
    <n v="-800277.42999999993"/>
    <n v="-156171.26"/>
  </r>
  <r>
    <x v="5"/>
    <x v="1"/>
    <x v="0"/>
    <s v="7790200"/>
    <n v="700084"/>
    <s v="Accrued PTO"/>
    <s v="Unassigned"/>
    <x v="0"/>
    <m/>
    <n v="0"/>
    <n v="0"/>
    <n v="0"/>
    <n v="0"/>
    <n v="-464000"/>
    <n v="464000"/>
    <n v="0"/>
    <n v="0"/>
    <n v="0"/>
    <n v="0"/>
    <n v="0"/>
    <n v="0"/>
    <n v="0"/>
    <n v="0"/>
  </r>
  <r>
    <x v="6"/>
    <x v="1"/>
    <x v="0"/>
    <s v="7790200"/>
    <n v="713010"/>
    <s v="Benefits-FICA/Medicare"/>
    <s v="Unassigned"/>
    <x v="0"/>
    <m/>
    <n v="0"/>
    <n v="0"/>
    <n v="0"/>
    <n v="0"/>
    <n v="0"/>
    <n v="0"/>
    <n v="0"/>
    <n v="0"/>
    <n v="0"/>
    <n v="0"/>
    <n v="-149.97"/>
    <n v="0"/>
    <n v="-149.97"/>
    <n v="-149.97"/>
  </r>
  <r>
    <x v="17"/>
    <x v="1"/>
    <x v="0"/>
    <s v="7790200"/>
    <n v="714530"/>
    <s v="Medical Prof Fees-Intracompany"/>
    <s v="Unassigned"/>
    <x v="0"/>
    <m/>
    <n v="-1736687.72"/>
    <n v="-1716693.86"/>
    <n v="-1709348.74"/>
    <n v="-1568612.87"/>
    <n v="-1944424.2"/>
    <n v="-1978528.9"/>
    <n v="-2090388.89"/>
    <n v="-2399179.86"/>
    <n v="-2103792.13"/>
    <n v="-1750490.87"/>
    <n v="-2020725.01"/>
    <n v="-2047201.21"/>
    <n v="-23066074.260000005"/>
    <n v="26476.199999999953"/>
  </r>
  <r>
    <x v="7"/>
    <x v="1"/>
    <x v="0"/>
    <s v="7790200"/>
    <n v="718040"/>
    <s v="Contract Svcs-Laboratory"/>
    <s v="Unassigned"/>
    <x v="0"/>
    <m/>
    <n v="0"/>
    <n v="0"/>
    <n v="0"/>
    <n v="0"/>
    <n v="0"/>
    <n v="0"/>
    <n v="0"/>
    <n v="102.4"/>
    <n v="0"/>
    <n v="0"/>
    <n v="0"/>
    <n v="0"/>
    <n v="102.4"/>
    <n v="0"/>
  </r>
  <r>
    <x v="7"/>
    <x v="1"/>
    <x v="0"/>
    <s v="7790200"/>
    <n v="718050"/>
    <s v="Contract Svcs-Other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7790200"/>
    <n v="718050"/>
    <s v="Physician Answering"/>
    <s v="Unassigned"/>
    <x v="0"/>
    <n v="1015"/>
    <n v="0"/>
    <n v="0"/>
    <n v="0"/>
    <n v="0"/>
    <n v="0"/>
    <n v="-60"/>
    <n v="0"/>
    <n v="0"/>
    <n v="0"/>
    <n v="0"/>
    <n v="0"/>
    <n v="0"/>
    <n v="-60"/>
    <n v="0"/>
  </r>
  <r>
    <x v="7"/>
    <x v="1"/>
    <x v="0"/>
    <s v="7790200"/>
    <n v="718050"/>
    <s v="Miscellaneous Purchased Svcs"/>
    <s v="Unassigned"/>
    <x v="0"/>
    <n v="1020"/>
    <n v="69863"/>
    <n v="-29180"/>
    <n v="29061"/>
    <n v="-28760"/>
    <n v="15276"/>
    <n v="-22407"/>
    <n v="-10052"/>
    <n v="-500"/>
    <n v="-37598"/>
    <n v="49082"/>
    <n v="-70229.16"/>
    <n v="50056.12"/>
    <n v="14611.96"/>
    <n v="-120285.28"/>
  </r>
  <r>
    <x v="7"/>
    <x v="1"/>
    <x v="0"/>
    <s v="7790200"/>
    <n v="718050"/>
    <s v="Translation Services"/>
    <s v="Unassigned"/>
    <x v="0"/>
    <n v="1025"/>
    <n v="0"/>
    <n v="24.65"/>
    <n v="0"/>
    <n v="64"/>
    <n v="0"/>
    <n v="0"/>
    <n v="0"/>
    <n v="0"/>
    <n v="50.47"/>
    <n v="270"/>
    <n v="0"/>
    <n v="0"/>
    <n v="409.12"/>
    <n v="0"/>
  </r>
  <r>
    <x v="7"/>
    <x v="1"/>
    <x v="0"/>
    <s v="7790200"/>
    <n v="718060"/>
    <s v="Contract Services-CHI RRC Fees"/>
    <s v="Unassigned"/>
    <x v="0"/>
    <m/>
    <n v="56667"/>
    <n v="52600"/>
    <n v="59313"/>
    <n v="58429"/>
    <n v="58070"/>
    <n v="58290"/>
    <n v="58294"/>
    <n v="58925"/>
    <n v="61211"/>
    <n v="59211"/>
    <n v="60602"/>
    <n v="60301"/>
    <n v="701913"/>
    <n v="301"/>
  </r>
  <r>
    <x v="7"/>
    <x v="1"/>
    <x v="0"/>
    <s v="7790200"/>
    <n v="718061"/>
    <s v="Contract Services-CRO Allocation"/>
    <s v="Unassigned"/>
    <x v="0"/>
    <m/>
    <n v="4106"/>
    <n v="2964"/>
    <n v="3535"/>
    <n v="3535"/>
    <n v="3535"/>
    <n v="3535"/>
    <n v="3535"/>
    <n v="3535"/>
    <n v="3535"/>
    <n v="3535"/>
    <n v="3535"/>
    <n v="3535"/>
    <n v="42420"/>
    <n v="0"/>
  </r>
  <r>
    <x v="7"/>
    <x v="1"/>
    <x v="0"/>
    <s v="7790200"/>
    <n v="718065"/>
    <s v="Contract Services-CHI Legal Fees"/>
    <s v="Unassigned"/>
    <x v="0"/>
    <m/>
    <n v="5035.7"/>
    <n v="4333.7"/>
    <n v="5035.7"/>
    <n v="5035.7"/>
    <n v="5035.7"/>
    <n v="5035.7"/>
    <n v="5035.7"/>
    <n v="5035.7"/>
    <n v="5035.7"/>
    <n v="5035.7"/>
    <n v="5035.7"/>
    <n v="5035.7"/>
    <n v="59726.399999999987"/>
    <n v="0"/>
  </r>
  <r>
    <x v="7"/>
    <x v="1"/>
    <x v="0"/>
    <s v="7790200"/>
    <n v="718066"/>
    <s v="Contract Services-CHI Tax Services"/>
    <s v="Unassigned"/>
    <x v="0"/>
    <m/>
    <n v="265"/>
    <n v="191.2"/>
    <n v="228.1"/>
    <n v="228.1"/>
    <n v="228.1"/>
    <n v="228.1"/>
    <n v="228.1"/>
    <n v="228.1"/>
    <n v="228.1"/>
    <n v="228.1"/>
    <n v="228.1"/>
    <n v="228.1"/>
    <n v="2737.1999999999994"/>
    <n v="0"/>
  </r>
  <r>
    <x v="7"/>
    <x v="1"/>
    <x v="0"/>
    <s v="7790200"/>
    <n v="718070"/>
    <s v="Contract Srvcs-CHI Clinical Engineering"/>
    <s v="Unassigned"/>
    <x v="0"/>
    <m/>
    <n v="9215.2199999999993"/>
    <n v="-26365.45"/>
    <n v="-37129.57"/>
    <n v="18893.34"/>
    <n v="-41065.79"/>
    <n v="-74734.350000000006"/>
    <n v="-31784.04"/>
    <n v="-72126.070000000007"/>
    <n v="-9673.9"/>
    <n v="15315.63"/>
    <n v="-14976.54"/>
    <n v="30284.95"/>
    <n v="-234146.57"/>
    <n v="-45261.490000000005"/>
  </r>
  <r>
    <x v="7"/>
    <x v="1"/>
    <x v="0"/>
    <s v="7790200"/>
    <n v="718071"/>
    <s v="Contract Srvcs-CHI Facilities Mgmt"/>
    <s v="Unassigned"/>
    <x v="0"/>
    <m/>
    <n v="182.49"/>
    <n v="168.27"/>
    <n v="170.64"/>
    <n v="158.79"/>
    <n v="173.01"/>
    <n v="146.94"/>
    <n v="165.9"/>
    <n v="196.84"/>
    <n v="161.16"/>
    <n v="183.72"/>
    <n v="168.27"/>
    <n v="168.27"/>
    <n v="2044.3"/>
    <n v="0"/>
  </r>
  <r>
    <x v="7"/>
    <x v="1"/>
    <x v="0"/>
    <s v="7790200"/>
    <n v="718075"/>
    <s v="Contract Srvcs-CHI ITS Steady State"/>
    <s v="Unassigned"/>
    <x v="0"/>
    <m/>
    <n v="255735"/>
    <n v="184525"/>
    <n v="220130"/>
    <n v="220130"/>
    <n v="220130"/>
    <n v="220130"/>
    <n v="220130"/>
    <n v="220130"/>
    <n v="220130"/>
    <n v="220130"/>
    <n v="220130"/>
    <n v="220130"/>
    <n v="2641560"/>
    <n v="0"/>
  </r>
  <r>
    <x v="7"/>
    <x v="1"/>
    <x v="0"/>
    <s v="7790200"/>
    <n v="718091"/>
    <s v="Contract Services-Intracompany Allocation"/>
    <s v="Unassigned"/>
    <x v="0"/>
    <m/>
    <n v="115043"/>
    <n v="62581.4"/>
    <n v="88812.14"/>
    <n v="88812.82"/>
    <n v="88811.67"/>
    <n v="88810.77"/>
    <n v="88810.51"/>
    <n v="88810.43"/>
    <n v="88807.41"/>
    <n v="88781.85"/>
    <n v="88804.800000000003"/>
    <n v="88812.74"/>
    <n v="1065699.54"/>
    <n v="-7.9400000000023283"/>
  </r>
  <r>
    <x v="11"/>
    <x v="1"/>
    <x v="0"/>
    <s v="7790200"/>
    <n v="721010"/>
    <s v="Supplies-Medical - Billable"/>
    <s v="Unassigned"/>
    <x v="0"/>
    <m/>
    <n v="0"/>
    <n v="0"/>
    <n v="0"/>
    <n v="0"/>
    <n v="0"/>
    <n v="10080"/>
    <n v="5040"/>
    <n v="5040"/>
    <n v="5040"/>
    <n v="4200"/>
    <n v="6202.56"/>
    <n v="6707.48"/>
    <n v="42310.039999999994"/>
    <n v="-504.91999999999916"/>
  </r>
  <r>
    <x v="11"/>
    <x v="1"/>
    <x v="0"/>
    <s v="7790200"/>
    <n v="721410"/>
    <s v="Supplies-Medical - Nonbillable"/>
    <s v="Unassigned"/>
    <x v="0"/>
    <m/>
    <n v="6468"/>
    <n v="-2702"/>
    <n v="2691"/>
    <n v="-2663"/>
    <n v="1415"/>
    <n v="-2352"/>
    <n v="-1075"/>
    <n v="-191"/>
    <n v="-3626"/>
    <n v="4425"/>
    <n v="16853.29"/>
    <n v="4443"/>
    <n v="23686.29"/>
    <n v="12410.29"/>
  </r>
  <r>
    <x v="11"/>
    <x v="1"/>
    <x v="0"/>
    <s v="7790200"/>
    <n v="721910"/>
    <s v="Supplies-Small Equipment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790200"/>
    <n v="721980"/>
    <s v="Supplies-Other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11"/>
    <x v="1"/>
    <x v="0"/>
    <s v="7790200"/>
    <n v="722000"/>
    <s v="Supplies-Freight Expense"/>
    <s v="Unassigned"/>
    <x v="0"/>
    <m/>
    <n v="0"/>
    <n v="14.3"/>
    <n v="0"/>
    <n v="0"/>
    <n v="23.91"/>
    <n v="0"/>
    <n v="16.079999999999998"/>
    <n v="0"/>
    <n v="16.11"/>
    <n v="0"/>
    <n v="0"/>
    <n v="0"/>
    <n v="70.400000000000006"/>
    <n v="0"/>
  </r>
  <r>
    <x v="11"/>
    <x v="1"/>
    <x v="0"/>
    <s v="7790200"/>
    <n v="723000"/>
    <s v="Supply Rebates/Patronage Dividend"/>
    <s v="Unassigned"/>
    <x v="0"/>
    <m/>
    <n v="-14000"/>
    <n v="-26000"/>
    <n v="37988.519999999997"/>
    <n v="-20000"/>
    <n v="-20000"/>
    <n v="12307.09"/>
    <n v="-20000"/>
    <n v="-20000"/>
    <n v="11378.44"/>
    <n v="-20000"/>
    <n v="-20000"/>
    <n v="-1523.65"/>
    <n v="-99849.599999999991"/>
    <n v="-18476.349999999999"/>
  </r>
  <r>
    <x v="11"/>
    <x v="1"/>
    <x v="0"/>
    <s v="7790200"/>
    <n v="723500"/>
    <s v="Discounts Taken *"/>
    <s v="Unassigned"/>
    <x v="0"/>
    <m/>
    <n v="0"/>
    <n v="0"/>
    <n v="-3391.6"/>
    <n v="-2.87"/>
    <n v="0"/>
    <n v="0"/>
    <n v="0"/>
    <n v="0"/>
    <n v="0"/>
    <n v="-10.88"/>
    <n v="0"/>
    <n v="-1780.6"/>
    <n v="-5185.95"/>
    <n v="1780.6"/>
  </r>
  <r>
    <x v="12"/>
    <x v="1"/>
    <x v="0"/>
    <s v="7790200"/>
    <n v="730010"/>
    <s v="Rental and Leases-Building (DO NOT USE)"/>
    <s v="Unassigned"/>
    <x v="0"/>
    <m/>
    <n v="-73634.350000000006"/>
    <n v="-73634.350000000006"/>
    <n v="-73634.350000000006"/>
    <n v="-73634.350000000006"/>
    <n v="-73634.350000000006"/>
    <n v="-62499.69"/>
    <n v="-85851.32"/>
    <n v="-722304.96"/>
    <n v="-81093.63"/>
    <n v="-81093.63"/>
    <n v="-81093.63"/>
    <n v="-82386.25"/>
    <n v="-1564494.8599999999"/>
    <n v="1292.6199999999953"/>
  </r>
  <r>
    <x v="12"/>
    <x v="1"/>
    <x v="0"/>
    <s v="7790200"/>
    <n v="730010"/>
    <s v="Rental-Common Area Maint (DO NOT USE)"/>
    <s v="Unassigned"/>
    <x v="0"/>
    <n v="2200"/>
    <n v="0"/>
    <n v="0"/>
    <n v="0"/>
    <n v="0"/>
    <n v="0"/>
    <n v="0"/>
    <n v="0"/>
    <n v="-566124.77"/>
    <n v="0"/>
    <n v="0"/>
    <n v="0"/>
    <n v="0"/>
    <n v="-566124.77"/>
    <n v="0"/>
  </r>
  <r>
    <x v="12"/>
    <x v="1"/>
    <x v="0"/>
    <s v="7790200"/>
    <n v="730020"/>
    <s v="Rental and Leases-Equipment (DO NOT USE)"/>
    <s v="Unassigned"/>
    <x v="0"/>
    <m/>
    <n v="14231"/>
    <n v="-5944"/>
    <n v="5920"/>
    <n v="-5859"/>
    <n v="3112"/>
    <n v="-5200"/>
    <n v="-2365"/>
    <n v="-420"/>
    <n v="-7977"/>
    <n v="9734"/>
    <n v="-14697"/>
    <n v="9773"/>
    <n v="308"/>
    <n v="-24470"/>
  </r>
  <r>
    <x v="12"/>
    <x v="1"/>
    <x v="0"/>
    <s v="7790200"/>
    <n v="730020"/>
    <s v="Rental and Leases-Copier Usage Fees (DO NOT USE)"/>
    <s v="Unassigned"/>
    <x v="0"/>
    <n v="5100"/>
    <n v="0"/>
    <n v="0"/>
    <n v="0"/>
    <n v="0"/>
    <n v="0"/>
    <n v="0"/>
    <n v="60782.13"/>
    <n v="-34780.89"/>
    <n v="22962.13"/>
    <n v="-28364.99"/>
    <n v="4727.5"/>
    <n v="0"/>
    <n v="25325.879999999994"/>
    <n v="4727.5"/>
  </r>
  <r>
    <x v="15"/>
    <x v="1"/>
    <x v="0"/>
    <s v="7790200"/>
    <n v="731060"/>
    <s v="Telephone"/>
    <s v="Unassigned"/>
    <x v="0"/>
    <m/>
    <n v="80201.88"/>
    <n v="74011.66"/>
    <n v="54306.79"/>
    <n v="51850.73"/>
    <n v="69458.92"/>
    <n v="90088.62"/>
    <n v="101379.42"/>
    <n v="43221.02"/>
    <n v="72451.31"/>
    <n v="91452.35"/>
    <n v="55023.9"/>
    <n v="53622.38"/>
    <n v="837068.9800000001"/>
    <n v="1401.5200000000041"/>
  </r>
  <r>
    <x v="16"/>
    <x v="1"/>
    <x v="0"/>
    <s v="7790200"/>
    <n v="733030"/>
    <s v="Maintenance Contracts-Other"/>
    <s v="Unassigned"/>
    <x v="0"/>
    <m/>
    <n v="0"/>
    <n v="0"/>
    <n v="0"/>
    <n v="0"/>
    <n v="0"/>
    <n v="2400"/>
    <n v="1200"/>
    <n v="1200"/>
    <n v="1200"/>
    <n v="1000"/>
    <n v="1476.8"/>
    <n v="1597.01"/>
    <n v="10073.81"/>
    <n v="-120.21000000000004"/>
  </r>
  <r>
    <x v="13"/>
    <x v="1"/>
    <x v="0"/>
    <s v="7790200"/>
    <n v="735040"/>
    <s v="Depreciation-Building Improvements"/>
    <s v="Unassigned"/>
    <x v="0"/>
    <m/>
    <n v="2346.42"/>
    <n v="2346.42"/>
    <n v="2346.42"/>
    <n v="29484.31"/>
    <n v="29484.33"/>
    <n v="29787.58"/>
    <n v="29787.61"/>
    <n v="29787.58"/>
    <n v="62574.78"/>
    <n v="25280.81"/>
    <n v="25280.83"/>
    <n v="25280.79"/>
    <n v="293787.87999999995"/>
    <n v="4.0000000000873115E-2"/>
  </r>
  <r>
    <x v="13"/>
    <x v="1"/>
    <x v="0"/>
    <s v="7790200"/>
    <n v="735050"/>
    <s v="Amortization-Leasehold Improvements"/>
    <s v="Unassigned"/>
    <x v="0"/>
    <m/>
    <n v="17881.240000000002"/>
    <n v="39288.050000000003"/>
    <n v="61520.94"/>
    <n v="62690.239999999998"/>
    <n v="62690.27"/>
    <n v="64609.72"/>
    <n v="71319.05"/>
    <n v="80785.72"/>
    <n v="83841.95"/>
    <n v="79246.95"/>
    <n v="79247.05"/>
    <n v="87252.91"/>
    <n v="790374.09"/>
    <n v="-8005.8600000000006"/>
  </r>
  <r>
    <x v="13"/>
    <x v="1"/>
    <x v="0"/>
    <s v="7790200"/>
    <n v="735060"/>
    <s v="Depreciation-Fixed Equipment"/>
    <s v="Unassigned"/>
    <x v="0"/>
    <m/>
    <n v="3708.23"/>
    <n v="3708.22"/>
    <n v="3708.24"/>
    <n v="3708.22"/>
    <n v="3708.25"/>
    <n v="3708.22"/>
    <n v="3708.25"/>
    <n v="3708.21"/>
    <n v="3708.25"/>
    <n v="3708.19"/>
    <n v="3171.37"/>
    <n v="3171.31"/>
    <n v="43424.959999999999"/>
    <n v="5.999999999994543E-2"/>
  </r>
  <r>
    <x v="13"/>
    <x v="1"/>
    <x v="0"/>
    <s v="7790200"/>
    <n v="735070"/>
    <s v="Depreciation-Movable Equipment"/>
    <s v="Unassigned"/>
    <x v="0"/>
    <m/>
    <n v="377107.09"/>
    <n v="376849.33"/>
    <n v="376368.02"/>
    <n v="377336.72"/>
    <n v="377336.78"/>
    <n v="360017.3"/>
    <n v="360033.04"/>
    <n v="360032.81"/>
    <n v="360033.06"/>
    <n v="360032.77"/>
    <n v="360033.07"/>
    <n v="360032.75"/>
    <n v="4405212.74"/>
    <n v="0.32000000000698492"/>
  </r>
  <r>
    <x v="8"/>
    <x v="1"/>
    <x v="0"/>
    <s v="7790200"/>
    <n v="741012"/>
    <s v="Physician Liab Insurance-CHI Program"/>
    <s v="Unassigned"/>
    <x v="0"/>
    <m/>
    <n v="0"/>
    <n v="0"/>
    <n v="0"/>
    <n v="0"/>
    <n v="0"/>
    <n v="0"/>
    <n v="0"/>
    <n v="0"/>
    <n v="0"/>
    <n v="0"/>
    <n v="0"/>
    <n v="0"/>
    <n v="0"/>
    <n v="0"/>
  </r>
  <r>
    <x v="8"/>
    <x v="1"/>
    <x v="0"/>
    <s v="7790200"/>
    <n v="741070"/>
    <s v="Insurance-Risk Mgmt Incentive Program"/>
    <s v="Unassigned"/>
    <x v="0"/>
    <m/>
    <n v="0"/>
    <n v="0"/>
    <n v="0"/>
    <n v="-69175"/>
    <n v="0"/>
    <n v="0"/>
    <n v="0"/>
    <n v="0"/>
    <n v="0"/>
    <n v="0"/>
    <n v="0"/>
    <n v="0"/>
    <n v="-69175"/>
    <n v="0"/>
  </r>
  <r>
    <x v="0"/>
    <x v="1"/>
    <x v="0"/>
    <s v="7790200"/>
    <n v="746020"/>
    <s v="Bank Fees--Ext to CHI Programs"/>
    <s v="Unassigned"/>
    <x v="0"/>
    <m/>
    <n v="10522.52"/>
    <n v="9393.32"/>
    <n v="9744.3700000000008"/>
    <n v="8858.06"/>
    <n v="9793.82"/>
    <n v="7862.4"/>
    <n v="7607.57"/>
    <n v="9727.2999999999993"/>
    <n v="17840.349999999999"/>
    <n v="10250.36"/>
    <n v="10916.13"/>
    <n v="12315.65"/>
    <n v="124831.84999999999"/>
    <n v="-1399.5200000000004"/>
  </r>
  <r>
    <x v="26"/>
    <x v="1"/>
    <x v="0"/>
    <s v="7790200"/>
    <n v="747001"/>
    <s v="National Assessment"/>
    <s v="Unassigned"/>
    <x v="0"/>
    <m/>
    <n v="103526"/>
    <n v="74700"/>
    <n v="89113"/>
    <n v="89113"/>
    <n v="89113"/>
    <n v="89113"/>
    <n v="89113"/>
    <n v="89113"/>
    <n v="89113"/>
    <n v="89113"/>
    <n v="89113"/>
    <n v="89113"/>
    <n v="1069356"/>
    <n v="0"/>
  </r>
  <r>
    <x v="0"/>
    <x v="1"/>
    <x v="0"/>
    <s v="7790200"/>
    <n v="749510"/>
    <s v="Miscellaneous Expenses"/>
    <s v="Unassigned"/>
    <x v="0"/>
    <m/>
    <n v="238813"/>
    <n v="-216212"/>
    <n v="26146"/>
    <n v="-15978"/>
    <n v="8486"/>
    <n v="-8751"/>
    <n v="-3811"/>
    <n v="1495"/>
    <n v="-19114"/>
    <n v="28746"/>
    <n v="-36834.050000000003"/>
    <n v="30168.44"/>
    <n v="33154.39"/>
    <n v="-67002.490000000005"/>
  </r>
  <r>
    <x v="0"/>
    <x v="1"/>
    <x v="0"/>
    <s v="7790200"/>
    <n v="749510"/>
    <s v="Miscellaneous Employee Expense"/>
    <s v="Unassigned"/>
    <x v="0"/>
    <n v="1010"/>
    <n v="0"/>
    <n v="0"/>
    <n v="0"/>
    <n v="0"/>
    <n v="0"/>
    <n v="14086.31"/>
    <n v="0"/>
    <n v="34.68"/>
    <n v="-0.01"/>
    <n v="0"/>
    <n v="0"/>
    <n v="0"/>
    <n v="14120.98"/>
    <n v="0"/>
  </r>
  <r>
    <x v="0"/>
    <x v="1"/>
    <x v="0"/>
    <s v="7790200"/>
    <n v="749510"/>
    <s v="RICE Rewards"/>
    <s v="Unassigned"/>
    <x v="0"/>
    <n v="5100"/>
    <n v="135000"/>
    <n v="0"/>
    <n v="0"/>
    <n v="0"/>
    <n v="0"/>
    <n v="-135000"/>
    <n v="0"/>
    <n v="0"/>
    <n v="0"/>
    <n v="0"/>
    <n v="0"/>
    <n v="0"/>
    <n v="0"/>
    <n v="0"/>
  </r>
  <r>
    <x v="0"/>
    <x v="1"/>
    <x v="0"/>
    <s v="7790200"/>
    <n v="749525"/>
    <s v="Contingent Liability Expense"/>
    <s v="Unassigned"/>
    <x v="0"/>
    <m/>
    <n v="0"/>
    <n v="0"/>
    <n v="0"/>
    <n v="0"/>
    <n v="0"/>
    <n v="0"/>
    <n v="1250000"/>
    <n v="0"/>
    <n v="0"/>
    <n v="0"/>
    <n v="0"/>
    <n v="0"/>
    <n v="1250000"/>
    <n v="0"/>
  </r>
  <r>
    <x v="0"/>
    <x v="1"/>
    <x v="0"/>
    <s v="7790200"/>
    <n v="749550"/>
    <s v="Cash Over/Short"/>
    <s v="Unassigned"/>
    <x v="0"/>
    <m/>
    <n v="0"/>
    <n v="0"/>
    <n v="0"/>
    <n v="0"/>
    <n v="0"/>
    <n v="0"/>
    <n v="0"/>
    <n v="0"/>
    <n v="0"/>
    <n v="0"/>
    <n v="0"/>
    <n v="-0.02"/>
    <n v="-0.02"/>
    <n v="0.02"/>
  </r>
  <r>
    <x v="24"/>
    <x v="1"/>
    <x v="0"/>
    <s v="7790200"/>
    <n v="760030"/>
    <s v="Interest Expense-Ext to CHI Programs"/>
    <s v="Unassigned"/>
    <x v="0"/>
    <m/>
    <n v="22491.68"/>
    <n v="22315.8"/>
    <n v="18298.64"/>
    <n v="18114.02"/>
    <n v="17929.03"/>
    <n v="18960.25"/>
    <n v="17855.68"/>
    <n v="17666.97"/>
    <n v="17477.87"/>
    <n v="17288.36"/>
    <n v="17098.47"/>
    <n v="16908.2"/>
    <n v="222404.97"/>
    <n v="190.27000000000044"/>
  </r>
  <r>
    <x v="0"/>
    <x v="1"/>
    <x v="0"/>
    <s v="7790200"/>
    <n v="765050"/>
    <s v="Local Income Tax"/>
    <s v="Unassigned"/>
    <x v="0"/>
    <m/>
    <n v="26694.38"/>
    <n v="27000"/>
    <n v="27000"/>
    <n v="25723.7"/>
    <n v="27000"/>
    <n v="27000"/>
    <n v="30622.05"/>
    <n v="28000"/>
    <n v="28000"/>
    <n v="27817.39"/>
    <n v="28000"/>
    <n v="28000"/>
    <n v="330857.52"/>
    <n v="0"/>
  </r>
  <r>
    <x v="0"/>
    <x v="1"/>
    <x v="0"/>
    <s v="7790200"/>
    <n v="766010"/>
    <s v="Property Tax"/>
    <s v="Unassigned"/>
    <x v="0"/>
    <m/>
    <n v="5.21"/>
    <n v="5.21"/>
    <n v="5.21"/>
    <n v="5.21"/>
    <n v="5.21"/>
    <n v="5.21"/>
    <n v="1728.97"/>
    <n v="5.21"/>
    <n v="5.21"/>
    <n v="4.87"/>
    <n v="5.13"/>
    <n v="5.13"/>
    <n v="1785.7800000000002"/>
    <n v="0"/>
  </r>
  <r>
    <x v="0"/>
    <x v="1"/>
    <x v="0"/>
    <s v="7790200"/>
    <n v="766070"/>
    <s v="Sales and Use Tax"/>
    <s v="Unassigned"/>
    <x v="0"/>
    <m/>
    <n v="0"/>
    <n v="0"/>
    <n v="0"/>
    <n v="1.44"/>
    <n v="0"/>
    <n v="3120"/>
    <n v="1560"/>
    <n v="1560"/>
    <n v="1560"/>
    <n v="1300"/>
    <n v="1919.84"/>
    <n v="2076.12"/>
    <n v="13097.400000000001"/>
    <n v="-156.27999999999997"/>
  </r>
  <r>
    <x v="0"/>
    <x v="1"/>
    <x v="0"/>
    <s v="7790200"/>
    <n v="766090"/>
    <s v="Franchise and Excise Tax"/>
    <s v="Unassigned"/>
    <x v="0"/>
    <n v="1001"/>
    <n v="205820.98"/>
    <n v="237382.26"/>
    <n v="254844.3"/>
    <n v="223049.99"/>
    <n v="263477.84999999998"/>
    <n v="226610.94"/>
    <n v="221046.24"/>
    <n v="237281.24"/>
    <n v="204816.27"/>
    <n v="241357.34"/>
    <n v="252520.76"/>
    <n v="247910.92"/>
    <n v="2816119.09"/>
    <n v="4609.8399999999965"/>
  </r>
  <r>
    <x v="9"/>
    <x v="1"/>
    <x v="0"/>
    <s v="7790200"/>
    <n v="800015"/>
    <s v="Interest Income-Ext to CHI"/>
    <s v="Unassigned"/>
    <x v="0"/>
    <m/>
    <n v="-551.55999999999995"/>
    <n v="-1415.51"/>
    <n v="-7269.22"/>
    <n v="-869.89"/>
    <n v="-792.1"/>
    <n v="-659.44"/>
    <n v="-369.55"/>
    <n v="-597.64"/>
    <n v="-2650.25"/>
    <n v="-2005.88"/>
    <n v="687.38"/>
    <n v="-106.82"/>
    <n v="-16600.48"/>
    <n v="794.2"/>
  </r>
  <r>
    <x v="9"/>
    <x v="1"/>
    <x v="0"/>
    <s v="7790200"/>
    <n v="804050"/>
    <s v="Business Combination Gains-Nonoperating"/>
    <s v="Unassigned"/>
    <x v="0"/>
    <m/>
    <n v="0"/>
    <n v="0"/>
    <n v="0"/>
    <n v="0"/>
    <n v="0"/>
    <n v="0"/>
    <n v="0"/>
    <n v="0"/>
    <n v="0"/>
    <n v="0"/>
    <n v="0"/>
    <n v="2737708.54"/>
    <n v="2737708.54"/>
    <n v="0"/>
  </r>
  <r>
    <x v="5"/>
    <x v="10"/>
    <x v="0"/>
    <s v="7790306"/>
    <n v="700082"/>
    <s v="Salaries-Other-Non-productive"/>
    <s v="Unassigned"/>
    <x v="0"/>
    <m/>
    <n v="4000"/>
    <n v="4000"/>
    <n v="1600"/>
    <n v="44000"/>
    <n v="8800"/>
    <n v="8800"/>
    <n v="8800"/>
    <n v="8800"/>
    <n v="8800"/>
    <n v="8800"/>
    <n v="8800"/>
    <n v="8800"/>
    <n v="124000"/>
    <n v="0"/>
  </r>
  <r>
    <x v="5"/>
    <x v="10"/>
    <x v="0"/>
    <s v="7790306"/>
    <n v="700084"/>
    <s v="Accrued PTO"/>
    <s v="Unassigned"/>
    <x v="0"/>
    <m/>
    <n v="0"/>
    <n v="0"/>
    <n v="0"/>
    <n v="0"/>
    <n v="-13000"/>
    <n v="13000"/>
    <n v="0"/>
    <n v="0"/>
    <n v="0"/>
    <n v="0"/>
    <n v="0"/>
    <n v="0"/>
    <n v="0"/>
    <n v="-606.42000000000007"/>
  </r>
  <r>
    <x v="7"/>
    <x v="10"/>
    <x v="0"/>
    <s v="7790306"/>
    <n v="718050"/>
    <s v="Miscellaneous Purchased Svcs"/>
    <s v="Unassigned"/>
    <x v="0"/>
    <n v="1020"/>
    <n v="2536"/>
    <n v="-490.92"/>
    <n v="2126.54"/>
    <n v="1754.54"/>
    <n v="2506"/>
    <n v="-360.46"/>
    <n v="12470.08"/>
    <n v="-7549"/>
    <n v="839.54"/>
    <n v="2562.7399999999998"/>
    <n v="1563.29"/>
    <n v="2169.71"/>
    <n v="20128.059999999998"/>
    <n v="0"/>
  </r>
  <r>
    <x v="7"/>
    <x v="10"/>
    <x v="0"/>
    <s v="7790306"/>
    <n v="718061"/>
    <s v="Contract Services-CRO Allocation"/>
    <s v="Unassigned"/>
    <x v="0"/>
    <m/>
    <n v="1500"/>
    <n v="1500"/>
    <n v="1500"/>
    <n v="1500"/>
    <n v="1500"/>
    <n v="1500"/>
    <n v="1500"/>
    <n v="1500"/>
    <n v="1500"/>
    <n v="1500"/>
    <n v="1500"/>
    <n v="1500"/>
    <n v="18000"/>
    <n v="0"/>
  </r>
  <r>
    <x v="7"/>
    <x v="10"/>
    <x v="0"/>
    <s v="7790306"/>
    <n v="718065"/>
    <s v="Contract Services-CHI Legal Fees"/>
    <s v="Unassigned"/>
    <x v="0"/>
    <m/>
    <n v="1000"/>
    <n v="1000"/>
    <n v="1000"/>
    <n v="1000"/>
    <n v="1000"/>
    <n v="1000"/>
    <n v="1000"/>
    <n v="1000"/>
    <n v="1000"/>
    <n v="1000"/>
    <n v="1000"/>
    <n v="1000"/>
    <n v="12000"/>
    <n v="0"/>
  </r>
  <r>
    <x v="7"/>
    <x v="10"/>
    <x v="0"/>
    <s v="7790306"/>
    <n v="718066"/>
    <s v="Contract Services-CHI Tax Services"/>
    <s v="Unassigned"/>
    <x v="0"/>
    <m/>
    <n v="939.5"/>
    <n v="939.5"/>
    <n v="939.5"/>
    <n v="939.5"/>
    <n v="939.5"/>
    <n v="939.5"/>
    <n v="939.5"/>
    <n v="939.5"/>
    <n v="939.5"/>
    <n v="939.5"/>
    <n v="939.5"/>
    <n v="939.5"/>
    <n v="11274"/>
    <n v="0"/>
  </r>
  <r>
    <x v="7"/>
    <x v="10"/>
    <x v="0"/>
    <s v="7790306"/>
    <n v="718075"/>
    <s v="Contract Srvcs-CHI ITS Steady State"/>
    <s v="Unassigned"/>
    <x v="0"/>
    <m/>
    <n v="6250"/>
    <n v="6250"/>
    <n v="6250"/>
    <n v="6250"/>
    <n v="6250"/>
    <n v="6250"/>
    <n v="6250"/>
    <n v="6250"/>
    <n v="6250"/>
    <n v="6250"/>
    <n v="6250"/>
    <n v="6250"/>
    <n v="75000"/>
    <n v="0"/>
  </r>
  <r>
    <x v="7"/>
    <x v="10"/>
    <x v="0"/>
    <s v="7790306"/>
    <n v="718091"/>
    <s v="Contract Services-Intracompany Allocation"/>
    <s v="Unassigned"/>
    <x v="0"/>
    <m/>
    <n v="5000"/>
    <n v="5000"/>
    <n v="5000"/>
    <n v="5000"/>
    <n v="55000"/>
    <n v="15000"/>
    <n v="15000"/>
    <n v="15000"/>
    <n v="15000"/>
    <n v="15000"/>
    <n v="15000"/>
    <n v="15000"/>
    <n v="180000"/>
    <n v="399.25"/>
  </r>
  <r>
    <x v="11"/>
    <x v="10"/>
    <x v="0"/>
    <s v="7790306"/>
    <n v="721010"/>
    <s v="Supplies-Medical - Billable"/>
    <s v="Unassigned"/>
    <x v="0"/>
    <m/>
    <n v="0"/>
    <n v="0"/>
    <n v="0"/>
    <n v="0"/>
    <n v="0"/>
    <n v="0"/>
    <n v="0"/>
    <n v="0"/>
    <n v="0"/>
    <n v="0"/>
    <n v="1022.7"/>
    <n v="623.45000000000005"/>
    <n v="1646.15"/>
    <n v="-68"/>
  </r>
  <r>
    <x v="11"/>
    <x v="10"/>
    <x v="0"/>
    <s v="7790306"/>
    <n v="721410"/>
    <s v="Supplies-Medical - Nonbillable"/>
    <s v="Unassigned"/>
    <x v="0"/>
    <m/>
    <n v="235"/>
    <n v="-405"/>
    <n v="17"/>
    <n v="-17"/>
    <n v="232"/>
    <n v="-213"/>
    <n v="795"/>
    <n v="-699"/>
    <n v="-102"/>
    <n v="55"/>
    <n v="-68"/>
    <n v="0"/>
    <n v="-170"/>
    <n v="0"/>
  </r>
  <r>
    <x v="11"/>
    <x v="10"/>
    <x v="0"/>
    <s v="7790306"/>
    <n v="723000"/>
    <s v="Supply Rebates/Patronage Dividend"/>
    <s v="Unassigned"/>
    <x v="0"/>
    <m/>
    <n v="0"/>
    <n v="0"/>
    <n v="0"/>
    <n v="0"/>
    <n v="0"/>
    <n v="-64.23"/>
    <n v="0"/>
    <n v="0"/>
    <n v="0"/>
    <n v="0"/>
    <n v="0"/>
    <n v="0"/>
    <n v="-64.23"/>
    <n v="-149"/>
  </r>
  <r>
    <x v="12"/>
    <x v="10"/>
    <x v="0"/>
    <s v="7790306"/>
    <n v="730020"/>
    <s v="Rental and Leases-Equipment (DO NOT USE)"/>
    <s v="Unassigned"/>
    <x v="0"/>
    <m/>
    <n v="517"/>
    <n v="-891"/>
    <n v="38"/>
    <n v="-38"/>
    <n v="510"/>
    <n v="-468"/>
    <n v="1749"/>
    <n v="-1537"/>
    <n v="-225"/>
    <n v="120"/>
    <n v="-149"/>
    <n v="0"/>
    <n v="-374"/>
    <n v="95.06"/>
  </r>
  <r>
    <x v="16"/>
    <x v="10"/>
    <x v="0"/>
    <s v="7790306"/>
    <n v="733030"/>
    <s v="Maintenance Contracts-Other"/>
    <s v="Unassigned"/>
    <x v="0"/>
    <m/>
    <n v="0"/>
    <n v="0"/>
    <n v="0"/>
    <n v="0"/>
    <n v="0"/>
    <n v="0"/>
    <n v="0"/>
    <n v="0"/>
    <n v="0"/>
    <n v="0"/>
    <n v="243.5"/>
    <n v="148.44"/>
    <n v="391.94"/>
    <n v="5.999999999994543E-2"/>
  </r>
  <r>
    <x v="13"/>
    <x v="10"/>
    <x v="0"/>
    <s v="7790306"/>
    <n v="735040"/>
    <s v="Depreciation-Building Improvements"/>
    <s v="Unassigned"/>
    <x v="0"/>
    <m/>
    <n v="3280.78"/>
    <n v="3280.78"/>
    <n v="3280.8"/>
    <n v="3280.78"/>
    <n v="3280.82"/>
    <n v="3280.78"/>
    <n v="3280.83"/>
    <n v="3280.77"/>
    <n v="3280.83"/>
    <n v="3280.77"/>
    <n v="3280.83"/>
    <n v="3280.77"/>
    <n v="39369.539999999994"/>
    <n v="1.0000000000019327E-2"/>
  </r>
  <r>
    <x v="13"/>
    <x v="10"/>
    <x v="0"/>
    <s v="7790306"/>
    <n v="735060"/>
    <s v="Depreciation-Fixed Equipment"/>
    <s v="Unassigned"/>
    <x v="0"/>
    <m/>
    <n v="138.9"/>
    <n v="138.9"/>
    <n v="138.9"/>
    <n v="138.9"/>
    <n v="138.9"/>
    <n v="138.9"/>
    <n v="138.9"/>
    <n v="138.9"/>
    <n v="138.9"/>
    <n v="138.88999999999999"/>
    <n v="138.9"/>
    <n v="138.88999999999999"/>
    <n v="1666.7800000000002"/>
    <n v="-249999.86"/>
  </r>
  <r>
    <x v="13"/>
    <x v="10"/>
    <x v="0"/>
    <s v="7790306"/>
    <n v="735070"/>
    <s v="Depreciation-Movable Equipment"/>
    <s v="Unassigned"/>
    <x v="0"/>
    <m/>
    <n v="20091.79"/>
    <n v="20091.79"/>
    <n v="20091.8"/>
    <n v="20091.77"/>
    <n v="20091.810000000001"/>
    <n v="20091.759999999998"/>
    <n v="20091.830000000002"/>
    <n v="20091.759999999998"/>
    <n v="20091.86"/>
    <n v="20091.740000000002"/>
    <n v="20091.86"/>
    <n v="270091.71999999997"/>
    <n v="491101.48999999993"/>
    <n v="0"/>
  </r>
  <r>
    <x v="8"/>
    <x v="10"/>
    <x v="0"/>
    <s v="7790306"/>
    <n v="741010"/>
    <s v="Liability Insurance-CHI Programs"/>
    <s v="Unassigned"/>
    <x v="0"/>
    <m/>
    <n v="7328.75"/>
    <n v="7328.75"/>
    <n v="7328.75"/>
    <n v="7328.75"/>
    <n v="7328.75"/>
    <n v="7328.75"/>
    <n v="7328.75"/>
    <n v="7328.75"/>
    <n v="7328.75"/>
    <n v="7328.75"/>
    <n v="7328.75"/>
    <n v="7328.75"/>
    <n v="87945"/>
    <n v="0"/>
  </r>
  <r>
    <x v="8"/>
    <x v="10"/>
    <x v="0"/>
    <s v="7790306"/>
    <n v="741030"/>
    <s v="Property Insurance-CHI Programs"/>
    <s v="Unassigned"/>
    <x v="0"/>
    <m/>
    <n v="645.46"/>
    <n v="645.46"/>
    <n v="645.46"/>
    <n v="645.46"/>
    <n v="645.46"/>
    <n v="645.46"/>
    <n v="645.46"/>
    <n v="645.46"/>
    <n v="645.46"/>
    <n v="645.46"/>
    <n v="645.46"/>
    <n v="645.46"/>
    <n v="7745.52"/>
    <n v="0"/>
  </r>
  <r>
    <x v="8"/>
    <x v="10"/>
    <x v="0"/>
    <s v="7790306"/>
    <n v="741070"/>
    <s v="Insurance-Risk Mgmt Incentive Program"/>
    <s v="Unassigned"/>
    <x v="0"/>
    <m/>
    <n v="0"/>
    <n v="0"/>
    <n v="0"/>
    <n v="-15000"/>
    <n v="0"/>
    <n v="0"/>
    <n v="0"/>
    <n v="0"/>
    <n v="0"/>
    <n v="0"/>
    <n v="0"/>
    <n v="0"/>
    <n v="-15000"/>
    <n v="0"/>
  </r>
  <r>
    <x v="0"/>
    <x v="10"/>
    <x v="0"/>
    <s v="7790306"/>
    <n v="746020"/>
    <s v="Bank Fees--Ext to CHI Programs"/>
    <s v="Unassigned"/>
    <x v="0"/>
    <m/>
    <n v="0"/>
    <n v="415.01"/>
    <n v="240"/>
    <n v="15"/>
    <n v="15"/>
    <n v="15"/>
    <n v="15"/>
    <n v="15"/>
    <n v="15"/>
    <n v="15"/>
    <n v="15"/>
    <n v="15"/>
    <n v="790.01"/>
    <n v="0"/>
  </r>
  <r>
    <x v="26"/>
    <x v="10"/>
    <x v="0"/>
    <s v="7790306"/>
    <n v="747001"/>
    <s v="National Assessment"/>
    <s v="Unassigned"/>
    <x v="0"/>
    <m/>
    <n v="14167"/>
    <n v="14167"/>
    <n v="14167"/>
    <n v="14167"/>
    <n v="14167"/>
    <n v="14167"/>
    <n v="14167"/>
    <n v="14167"/>
    <n v="14167"/>
    <n v="14167"/>
    <n v="14167"/>
    <n v="14167"/>
    <n v="170004"/>
    <n v="-196.86"/>
  </r>
  <r>
    <x v="0"/>
    <x v="10"/>
    <x v="0"/>
    <s v="7790306"/>
    <n v="749510"/>
    <s v="Miscellaneous Expenses"/>
    <s v="Unassigned"/>
    <x v="0"/>
    <m/>
    <n v="1409"/>
    <n v="-2429"/>
    <n v="104"/>
    <n v="-104"/>
    <n v="1392"/>
    <n v="-1278"/>
    <n v="4771"/>
    <n v="-4193"/>
    <n v="-612"/>
    <n v="326"/>
    <n v="129.69999999999999"/>
    <n v="326.56"/>
    <n v="-157.74"/>
    <n v="123.58000000000001"/>
  </r>
  <r>
    <x v="0"/>
    <x v="10"/>
    <x v="0"/>
    <s v="7790306"/>
    <n v="766070"/>
    <s v="Sales and Use Tax"/>
    <s v="Unassigned"/>
    <x v="0"/>
    <m/>
    <n v="0"/>
    <n v="0"/>
    <n v="0"/>
    <n v="0"/>
    <n v="0"/>
    <n v="0"/>
    <n v="0"/>
    <n v="0"/>
    <n v="0"/>
    <n v="0"/>
    <n v="316.55"/>
    <n v="192.97"/>
    <n v="509.52"/>
    <n v="6245.51"/>
  </r>
  <r>
    <x v="0"/>
    <x v="10"/>
    <x v="0"/>
    <s v="7790306"/>
    <n v="766090"/>
    <s v="Franchise and Excise Tax"/>
    <s v="Unassigned"/>
    <x v="0"/>
    <n v="1001"/>
    <n v="1480.25"/>
    <n v="6903.79"/>
    <n v="946.42"/>
    <n v="669.08"/>
    <n v="4467.37"/>
    <n v="1794.41"/>
    <n v="998.74"/>
    <n v="1398.26"/>
    <n v="7983.7"/>
    <n v="15601.61"/>
    <n v="7792.36"/>
    <n v="1546.85"/>
    <n v="51582.840000000004"/>
    <n v="-5366000"/>
  </r>
  <r>
    <x v="9"/>
    <x v="10"/>
    <x v="0"/>
    <s v="7790306"/>
    <n v="780010"/>
    <s v="Impairment Losses"/>
    <s v="Unassigned"/>
    <x v="0"/>
    <m/>
    <n v="0"/>
    <n v="0"/>
    <n v="0"/>
    <n v="0"/>
    <n v="0"/>
    <n v="0"/>
    <n v="0"/>
    <n v="0"/>
    <n v="0"/>
    <n v="0"/>
    <n v="0"/>
    <n v="5366000"/>
    <n v="5366000"/>
    <n v="0"/>
  </r>
  <r>
    <x v="7"/>
    <x v="16"/>
    <x v="0"/>
    <s v="7790460"/>
    <n v="718050"/>
    <s v="Miscellaneous Purchased Svcs"/>
    <s v="Unassigned"/>
    <x v="0"/>
    <n v="1020"/>
    <n v="0"/>
    <n v="0"/>
    <n v="0"/>
    <n v="0"/>
    <n v="0"/>
    <n v="0"/>
    <n v="0"/>
    <n v="0"/>
    <n v="0"/>
    <n v="0"/>
    <n v="0"/>
    <n v="0"/>
    <n v="0"/>
    <n v="-1951.4199999999998"/>
  </r>
  <r>
    <x v="0"/>
    <x v="16"/>
    <x v="0"/>
    <s v="7790460"/>
    <n v="746020"/>
    <s v="Bank Fees--Ext to CHI Programs"/>
    <s v="Unassigned"/>
    <x v="0"/>
    <m/>
    <n v="174.85"/>
    <n v="439.51"/>
    <n v="304"/>
    <n v="195.99"/>
    <n v="465.52"/>
    <n v="332.34"/>
    <n v="317.32"/>
    <n v="40.29"/>
    <n v="282.02999999999997"/>
    <n v="73.23"/>
    <n v="423.26"/>
    <n v="2374.6799999999998"/>
    <n v="5423.0199999999986"/>
    <n v="0"/>
  </r>
  <r>
    <x v="0"/>
    <x v="16"/>
    <x v="0"/>
    <s v="7790460"/>
    <n v="749510"/>
    <s v="Miscellaneous Expenses"/>
    <s v="Unassigned"/>
    <x v="0"/>
    <m/>
    <n v="0"/>
    <n v="0"/>
    <n v="0"/>
    <n v="0"/>
    <n v="0"/>
    <n v="0"/>
    <n v="1245"/>
    <n v="0"/>
    <n v="0"/>
    <n v="0"/>
    <n v="0"/>
    <n v="0"/>
    <n v="1245"/>
    <n v="0"/>
  </r>
  <r>
    <x v="0"/>
    <x v="16"/>
    <x v="0"/>
    <s v="7790460"/>
    <n v="765010"/>
    <s v="Federal Income Tax"/>
    <s v="Unassigned"/>
    <x v="0"/>
    <m/>
    <n v="0"/>
    <n v="0"/>
    <n v="0"/>
    <n v="0"/>
    <n v="1200"/>
    <n v="0"/>
    <n v="-1200"/>
    <n v="0"/>
    <n v="0"/>
    <n v="0"/>
    <n v="0"/>
    <n v="0"/>
    <n v="0"/>
    <n v="0"/>
  </r>
  <r>
    <x v="0"/>
    <x v="16"/>
    <x v="0"/>
    <s v="7790460"/>
    <n v="766030"/>
    <s v="Unrelated Business Inc--Federal"/>
    <s v="Unassigned"/>
    <x v="0"/>
    <m/>
    <n v="0"/>
    <n v="0"/>
    <n v="0"/>
    <n v="0"/>
    <n v="0"/>
    <n v="0"/>
    <n v="1200"/>
    <n v="0"/>
    <n v="0"/>
    <n v="0"/>
    <n v="0"/>
    <n v="0"/>
    <n v="1200"/>
    <n v="0"/>
  </r>
  <r>
    <x v="13"/>
    <x v="17"/>
    <x v="0"/>
    <s v="7790467"/>
    <n v="735070"/>
    <s v="Depreciation-Movable Equipment"/>
    <s v="Unassigned"/>
    <x v="0"/>
    <m/>
    <n v="0"/>
    <n v="0"/>
    <n v="0"/>
    <n v="0"/>
    <n v="0"/>
    <n v="0"/>
    <n v="0"/>
    <n v="0"/>
    <n v="0"/>
    <n v="0"/>
    <n v="0"/>
    <n v="0"/>
    <n v="0"/>
    <n v="-933.15000000000009"/>
  </r>
  <r>
    <x v="0"/>
    <x v="17"/>
    <x v="0"/>
    <s v="7790467"/>
    <n v="746020"/>
    <s v="Bank Fees--Ext to CHI Programs"/>
    <s v="Unassigned"/>
    <x v="0"/>
    <m/>
    <n v="69.900000000000006"/>
    <n v="61.65"/>
    <n v="61.65"/>
    <n v="132.65"/>
    <n v="256.88"/>
    <n v="348.92"/>
    <n v="108.26"/>
    <n v="3.77"/>
    <n v="-36.29"/>
    <n v="41.84"/>
    <n v="192.24"/>
    <n v="1125.3900000000001"/>
    <n v="2366.86"/>
    <n v="0"/>
  </r>
  <r>
    <x v="0"/>
    <x v="17"/>
    <x v="0"/>
    <s v="7790467"/>
    <n v="749510"/>
    <s v="Miscellaneous Expenses"/>
    <s v="Unassigned"/>
    <x v="0"/>
    <m/>
    <n v="-450"/>
    <n v="0"/>
    <n v="0"/>
    <n v="0"/>
    <n v="0"/>
    <n v="0"/>
    <n v="0"/>
    <n v="0"/>
    <n v="0"/>
    <n v="0"/>
    <n v="0"/>
    <n v="0"/>
    <n v="-450"/>
    <n v="0"/>
  </r>
  <r>
    <x v="7"/>
    <x v="13"/>
    <x v="0"/>
    <s v="7790500"/>
    <n v="718065"/>
    <s v="Contract Services-CHI Legal Fees"/>
    <s v="Unassigned"/>
    <x v="0"/>
    <m/>
    <n v="500"/>
    <n v="500"/>
    <n v="500"/>
    <n v="500"/>
    <n v="500"/>
    <n v="500"/>
    <n v="500"/>
    <n v="500"/>
    <n v="500"/>
    <n v="500"/>
    <n v="500"/>
    <n v="500"/>
    <n v="6000"/>
    <n v="0"/>
  </r>
  <r>
    <x v="7"/>
    <x v="13"/>
    <x v="0"/>
    <s v="7790500"/>
    <n v="718066"/>
    <s v="Contract Services-CHI Tax Services"/>
    <s v="Unassigned"/>
    <x v="0"/>
    <m/>
    <n v="500"/>
    <n v="500"/>
    <n v="500"/>
    <n v="500"/>
    <n v="500"/>
    <n v="500"/>
    <n v="500"/>
    <n v="500"/>
    <n v="500"/>
    <n v="500"/>
    <n v="500"/>
    <n v="500"/>
    <n v="6000"/>
    <n v="0"/>
  </r>
  <r>
    <x v="12"/>
    <x v="13"/>
    <x v="0"/>
    <s v="7790500"/>
    <n v="730010"/>
    <s v="Rental and Leases-Building (DO NOT USE)"/>
    <s v="Unassigned"/>
    <x v="0"/>
    <m/>
    <n v="-94490.12"/>
    <n v="-94490.12"/>
    <n v="-94490.12"/>
    <n v="-94490.12"/>
    <n v="-94490.12"/>
    <n v="-94490.12"/>
    <n v="-94490.12"/>
    <n v="-94490.12"/>
    <n v="-94490.12"/>
    <n v="-94490.12"/>
    <n v="-94490.12"/>
    <n v="-94490.12"/>
    <n v="-1133881.44"/>
    <n v="0"/>
  </r>
  <r>
    <x v="26"/>
    <x v="13"/>
    <x v="0"/>
    <s v="7790500"/>
    <n v="747001"/>
    <s v="National Assessment"/>
    <s v="Unassigned"/>
    <x v="0"/>
    <m/>
    <n v="1000"/>
    <n v="1000"/>
    <n v="1000"/>
    <n v="1000"/>
    <n v="1000"/>
    <n v="1000"/>
    <n v="1000"/>
    <n v="1000"/>
    <n v="1000"/>
    <n v="1000"/>
    <n v="1000"/>
    <n v="1000"/>
    <n v="12000"/>
    <n v="0"/>
  </r>
  <r>
    <x v="5"/>
    <x v="9"/>
    <x v="0"/>
    <s v="7790501"/>
    <n v="700082"/>
    <s v="Salaries-Other-Non-productive"/>
    <s v="Unassigned"/>
    <x v="0"/>
    <m/>
    <n v="555500"/>
    <n v="305500"/>
    <n v="112200"/>
    <n v="-416000"/>
    <n v="130200"/>
    <n v="131000"/>
    <n v="131000"/>
    <n v="131000"/>
    <n v="131000"/>
    <n v="131000"/>
    <n v="131000"/>
    <n v="131000"/>
    <n v="1604400"/>
    <n v="0"/>
  </r>
  <r>
    <x v="5"/>
    <x v="9"/>
    <x v="0"/>
    <s v="7790501"/>
    <n v="700084"/>
    <s v="Accrued PTO"/>
    <s v="Unassigned"/>
    <x v="0"/>
    <m/>
    <n v="0"/>
    <n v="0"/>
    <n v="0"/>
    <n v="0"/>
    <n v="-331000"/>
    <n v="331000"/>
    <n v="0"/>
    <n v="0"/>
    <n v="0"/>
    <n v="0"/>
    <n v="0"/>
    <n v="0"/>
    <n v="0"/>
    <n v="-3137.0699999999997"/>
  </r>
  <r>
    <x v="7"/>
    <x v="9"/>
    <x v="0"/>
    <s v="7790501"/>
    <n v="718050"/>
    <s v="Miscellaneous Purchased Svcs"/>
    <s v="Unassigned"/>
    <x v="0"/>
    <n v="1020"/>
    <n v="-16200.36"/>
    <n v="0"/>
    <n v="6082.42"/>
    <n v="-75627.89"/>
    <n v="3573.02"/>
    <n v="14493.02"/>
    <n v="5614"/>
    <n v="5460"/>
    <n v="12507.7"/>
    <n v="8578.02"/>
    <n v="11433.25"/>
    <n v="14570.32"/>
    <n v="-9516.4999999999927"/>
    <n v="0"/>
  </r>
  <r>
    <x v="7"/>
    <x v="9"/>
    <x v="0"/>
    <s v="7790501"/>
    <n v="718091"/>
    <s v="Contract Services-Intracompany Allocation"/>
    <s v="Unassigned"/>
    <x v="0"/>
    <m/>
    <n v="-448667"/>
    <n v="-448667"/>
    <n v="-448667"/>
    <n v="-448667"/>
    <n v="-498667"/>
    <n v="-458667"/>
    <n v="-458667"/>
    <n v="-458667"/>
    <n v="-458667"/>
    <n v="-458667"/>
    <n v="-458667"/>
    <n v="-458667"/>
    <n v="-5504004"/>
    <n v="-3747.4599999999991"/>
  </r>
  <r>
    <x v="11"/>
    <x v="9"/>
    <x v="0"/>
    <s v="7790501"/>
    <n v="721980"/>
    <s v="Supplies-Other"/>
    <s v="Unassigned"/>
    <x v="0"/>
    <m/>
    <n v="0"/>
    <n v="0"/>
    <n v="0"/>
    <n v="0"/>
    <n v="0"/>
    <n v="35280"/>
    <n v="17640"/>
    <n v="17640"/>
    <n v="17640"/>
    <n v="16170"/>
    <n v="19306.560000000001"/>
    <n v="23054.02"/>
    <n v="146730.57999999999"/>
    <n v="38.300000000000011"/>
  </r>
  <r>
    <x v="11"/>
    <x v="9"/>
    <x v="0"/>
    <s v="7790501"/>
    <n v="722000"/>
    <s v="Supplies-Freight Expense"/>
    <s v="Unassigned"/>
    <x v="0"/>
    <m/>
    <n v="149.82"/>
    <n v="165.84"/>
    <n v="235.62"/>
    <n v="159.87"/>
    <n v="170.71"/>
    <n v="110.23"/>
    <n v="154.15"/>
    <n v="156.51"/>
    <n v="132.27000000000001"/>
    <n v="139.65"/>
    <n v="211.59"/>
    <n v="173.29"/>
    <n v="1959.55"/>
    <n v="8443.7799999999988"/>
  </r>
  <r>
    <x v="12"/>
    <x v="9"/>
    <x v="0"/>
    <s v="7790501"/>
    <n v="730010"/>
    <s v="Rental and Leases-Building (DO NOT USE)"/>
    <s v="Unassigned"/>
    <x v="0"/>
    <m/>
    <n v="-156447.04000000001"/>
    <n v="-156447.04000000001"/>
    <n v="-156447.04000000001"/>
    <n v="-156447.04000000001"/>
    <n v="-156447.04000000001"/>
    <n v="-178411.16"/>
    <n v="-162014.97"/>
    <n v="-115781.07"/>
    <n v="-181541.87"/>
    <n v="-162865.21"/>
    <n v="-162865.21"/>
    <n v="-171308.99"/>
    <n v="-1917023.68"/>
    <n v="4630.4799999999996"/>
  </r>
  <r>
    <x v="12"/>
    <x v="9"/>
    <x v="0"/>
    <s v="7790501"/>
    <n v="730010"/>
    <s v="Rental-Common Area Maint (DO NOT USE)"/>
    <s v="Unassigned"/>
    <x v="0"/>
    <n v="2200"/>
    <n v="0"/>
    <n v="0"/>
    <n v="0"/>
    <n v="0"/>
    <n v="0"/>
    <n v="22035.71"/>
    <n v="9059.61"/>
    <n v="-120842.3"/>
    <n v="4628.8599999999997"/>
    <n v="4630.4799999999996"/>
    <n v="4630.4799999999996"/>
    <n v="0"/>
    <n v="-75857.160000000018"/>
    <n v="2132.42"/>
  </r>
  <r>
    <x v="12"/>
    <x v="9"/>
    <x v="0"/>
    <s v="7790501"/>
    <n v="730020"/>
    <s v="Rental and Leases-Copier Usage Fees (DO NOT USE)"/>
    <s v="Unassigned"/>
    <x v="0"/>
    <n v="5100"/>
    <n v="0"/>
    <n v="0"/>
    <n v="0"/>
    <n v="0"/>
    <n v="0"/>
    <n v="0"/>
    <n v="27416.85"/>
    <n v="-15688.54"/>
    <n v="10357.469999999999"/>
    <n v="-12794.52"/>
    <n v="2132.42"/>
    <n v="0"/>
    <n v="11423.679999999998"/>
    <n v="-13074.26"/>
  </r>
  <r>
    <x v="12"/>
    <x v="9"/>
    <x v="0"/>
    <s v="7790501"/>
    <n v="730040"/>
    <s v="LT Lease-Real Estate"/>
    <s v="Unassigned"/>
    <x v="0"/>
    <m/>
    <n v="0"/>
    <n v="0"/>
    <n v="0"/>
    <n v="0"/>
    <n v="0"/>
    <n v="0"/>
    <n v="0"/>
    <n v="0"/>
    <n v="0"/>
    <n v="0"/>
    <n v="0"/>
    <n v="13074.26"/>
    <n v="13074.26"/>
    <n v="0"/>
  </r>
  <r>
    <x v="16"/>
    <x v="9"/>
    <x v="0"/>
    <s v="7790501"/>
    <n v="732030"/>
    <s v="Repairs&amp;Maintenance-Bldg Routine"/>
    <s v="Unassigned"/>
    <x v="0"/>
    <n v="2300"/>
    <n v="45.05"/>
    <n v="0"/>
    <n v="0"/>
    <n v="0"/>
    <n v="40.369999999999997"/>
    <n v="957.72"/>
    <n v="0"/>
    <n v="0"/>
    <n v="0"/>
    <n v="0"/>
    <n v="0"/>
    <n v="0"/>
    <n v="1043.1400000000001"/>
    <n v="-892.25"/>
  </r>
  <r>
    <x v="16"/>
    <x v="9"/>
    <x v="0"/>
    <s v="7790501"/>
    <n v="733030"/>
    <s v="Maintenance Contracts-Other"/>
    <s v="Unassigned"/>
    <x v="0"/>
    <m/>
    <n v="0"/>
    <n v="0"/>
    <n v="0"/>
    <n v="0"/>
    <n v="0"/>
    <n v="8400"/>
    <n v="4200"/>
    <n v="4200"/>
    <n v="4200"/>
    <n v="3850"/>
    <n v="4596.8"/>
    <n v="5489.05"/>
    <n v="34935.85"/>
    <n v="1.9999999998617568E-2"/>
  </r>
  <r>
    <x v="13"/>
    <x v="9"/>
    <x v="0"/>
    <s v="7790501"/>
    <n v="735050"/>
    <s v="Amortization-Leasehold Improvements"/>
    <s v="Unassigned"/>
    <x v="0"/>
    <m/>
    <n v="10120.370000000001"/>
    <n v="14502.64"/>
    <n v="16912.88"/>
    <n v="45339.22"/>
    <n v="45339.23"/>
    <n v="-71492.12"/>
    <n v="10120.379999999999"/>
    <n v="10120.36"/>
    <n v="10120.379999999999"/>
    <n v="10120.36"/>
    <n v="10120.379999999999"/>
    <n v="10120.36"/>
    <n v="121444.44000000002"/>
    <n v="2.9999999999972715E-2"/>
  </r>
  <r>
    <x v="13"/>
    <x v="9"/>
    <x v="0"/>
    <s v="7790501"/>
    <n v="735060"/>
    <s v="Depreciation-Fixed Equipment"/>
    <s v="Unassigned"/>
    <x v="0"/>
    <m/>
    <n v="1079.47"/>
    <n v="1079.47"/>
    <n v="1079.47"/>
    <n v="1079.47"/>
    <n v="1079.48"/>
    <n v="1079.47"/>
    <n v="1079.48"/>
    <n v="1079.47"/>
    <n v="1079.48"/>
    <n v="1079.47"/>
    <n v="1079.48"/>
    <n v="1079.45"/>
    <n v="12953.66"/>
    <n v="0.13999999999941792"/>
  </r>
  <r>
    <x v="13"/>
    <x v="9"/>
    <x v="0"/>
    <s v="7790501"/>
    <n v="735070"/>
    <s v="Depreciation-Movable Equipment"/>
    <s v="Unassigned"/>
    <x v="0"/>
    <m/>
    <n v="32341.69"/>
    <n v="50475.93"/>
    <n v="50834.32"/>
    <n v="50859.87"/>
    <n v="50859.91"/>
    <n v="49783.31"/>
    <n v="-12074.28"/>
    <n v="41090.980000000003"/>
    <n v="41091.050000000003"/>
    <n v="41090.980000000003"/>
    <n v="41091.08"/>
    <n v="41090.94"/>
    <n v="478535.77999999997"/>
    <n v="0"/>
  </r>
  <r>
    <x v="8"/>
    <x v="9"/>
    <x v="0"/>
    <s v="7790501"/>
    <n v="741012"/>
    <s v="Physician Liab Insurance-CHI Program"/>
    <s v="Unassigned"/>
    <x v="0"/>
    <m/>
    <n v="0"/>
    <n v="0"/>
    <n v="0"/>
    <n v="0"/>
    <n v="0"/>
    <n v="0"/>
    <n v="0"/>
    <n v="0"/>
    <n v="0"/>
    <n v="0"/>
    <n v="0"/>
    <n v="0"/>
    <n v="0"/>
    <n v="8008.8199999999924"/>
  </r>
  <r>
    <x v="0"/>
    <x v="9"/>
    <x v="0"/>
    <s v="7790501"/>
    <n v="746020"/>
    <s v="Bank Fees--Ext to CHI Programs"/>
    <s v="Unassigned"/>
    <x v="0"/>
    <m/>
    <n v="107623.86"/>
    <n v="94480.54"/>
    <n v="104155.36"/>
    <n v="99481.83"/>
    <n v="96518.18"/>
    <n v="88655.57"/>
    <n v="85638.92"/>
    <n v="105317.28"/>
    <n v="95028.88"/>
    <n v="118728.31"/>
    <n v="116775.9"/>
    <n v="108767.08"/>
    <n v="1221171.7100000002"/>
    <n v="48067.41"/>
  </r>
  <r>
    <x v="0"/>
    <x v="9"/>
    <x v="0"/>
    <s v="7790501"/>
    <n v="749510"/>
    <s v="Miscellaneous Expenses"/>
    <s v="Unassigned"/>
    <x v="0"/>
    <m/>
    <n v="813.46"/>
    <n v="-0.02"/>
    <n v="-0.03"/>
    <n v="-0.02"/>
    <n v="0.59"/>
    <n v="18479.98"/>
    <n v="9239.98"/>
    <n v="9239.98"/>
    <n v="9239.98"/>
    <n v="58559.79"/>
    <n v="60147.96"/>
    <n v="12080.55"/>
    <n v="177802.19999999998"/>
    <n v="0"/>
  </r>
  <r>
    <x v="0"/>
    <x v="9"/>
    <x v="0"/>
    <s v="7790501"/>
    <n v="749510"/>
    <s v="RICE Rewards"/>
    <s v="Unassigned"/>
    <x v="0"/>
    <n v="5100"/>
    <n v="60000"/>
    <n v="0"/>
    <n v="0"/>
    <n v="0"/>
    <n v="0"/>
    <n v="-60000"/>
    <n v="0"/>
    <n v="0"/>
    <n v="0"/>
    <n v="0"/>
    <n v="0"/>
    <n v="0"/>
    <n v="0"/>
    <n v="0.01"/>
  </r>
  <r>
    <x v="0"/>
    <x v="9"/>
    <x v="0"/>
    <s v="7790501"/>
    <n v="749550"/>
    <s v="Cash Over/Short"/>
    <s v="Unassigned"/>
    <x v="0"/>
    <m/>
    <n v="0"/>
    <n v="0"/>
    <n v="11.59"/>
    <n v="0"/>
    <n v="-0.01"/>
    <n v="0"/>
    <n v="0"/>
    <n v="0"/>
    <n v="0"/>
    <n v="0"/>
    <n v="0.01"/>
    <n v="0"/>
    <n v="11.59"/>
    <n v="0"/>
  </r>
  <r>
    <x v="24"/>
    <x v="9"/>
    <x v="0"/>
    <s v="7790501"/>
    <n v="760020"/>
    <s v="Interest Exp--CHI Debt Prog-MBOs Only"/>
    <s v="Unassigned"/>
    <x v="0"/>
    <m/>
    <n v="0"/>
    <n v="0"/>
    <n v="-0.11"/>
    <n v="0"/>
    <n v="0"/>
    <n v="0"/>
    <n v="0"/>
    <n v="0"/>
    <n v="0"/>
    <n v="0"/>
    <n v="0"/>
    <n v="0"/>
    <n v="-0.11"/>
    <n v="1070.8599999999997"/>
  </r>
  <r>
    <x v="24"/>
    <x v="9"/>
    <x v="0"/>
    <s v="7790501"/>
    <n v="760030"/>
    <s v="Interest Expense-Ext to CHI Programs"/>
    <s v="Unassigned"/>
    <x v="0"/>
    <m/>
    <n v="16625.34"/>
    <n v="15576.41"/>
    <n v="13941.81"/>
    <n v="14497.61"/>
    <n v="12503.73"/>
    <n v="11435.2"/>
    <n v="10363.69"/>
    <n v="9289.19"/>
    <n v="8211.7099999999991"/>
    <n v="7146.81"/>
    <n v="6078.91"/>
    <n v="5008.05"/>
    <n v="130678.46"/>
    <n v="140000"/>
  </r>
  <r>
    <x v="0"/>
    <x v="9"/>
    <x v="0"/>
    <s v="7790501"/>
    <n v="766030"/>
    <s v="Unrelated Business Inc--Federal"/>
    <s v="Unassigned"/>
    <x v="0"/>
    <m/>
    <n v="0"/>
    <n v="0"/>
    <n v="0"/>
    <n v="0"/>
    <n v="0"/>
    <n v="0"/>
    <n v="0"/>
    <n v="0"/>
    <n v="0"/>
    <n v="0"/>
    <n v="140000"/>
    <n v="0"/>
    <n v="140000"/>
    <n v="-1159.92"/>
  </r>
  <r>
    <x v="0"/>
    <x v="9"/>
    <x v="0"/>
    <s v="7790501"/>
    <n v="766070"/>
    <s v="Sales and Use Tax"/>
    <s v="Unassigned"/>
    <x v="0"/>
    <m/>
    <n v="0"/>
    <n v="0"/>
    <n v="0"/>
    <n v="0"/>
    <n v="0"/>
    <n v="10920"/>
    <n v="5460"/>
    <n v="5460"/>
    <n v="5460"/>
    <n v="5005"/>
    <n v="5975.84"/>
    <n v="7135.76"/>
    <n v="45416.6"/>
    <n v="1827.46"/>
  </r>
  <r>
    <x v="0"/>
    <x v="9"/>
    <x v="0"/>
    <s v="7790501"/>
    <n v="766090"/>
    <s v="Franchise and Excise Tax"/>
    <s v="Unassigned"/>
    <x v="0"/>
    <n v="1001"/>
    <n v="49795.82"/>
    <n v="6881.63"/>
    <n v="20749.13"/>
    <n v="49294.67"/>
    <n v="17465.55"/>
    <n v="-1119.3"/>
    <n v="21324.74"/>
    <n v="4099.76"/>
    <n v="1771.8"/>
    <n v="9366.85"/>
    <n v="7324.17"/>
    <n v="5496.71"/>
    <n v="192451.53"/>
    <n v="0"/>
  </r>
  <r>
    <x v="14"/>
    <x v="18"/>
    <x v="0"/>
    <s v="7790504"/>
    <n v="600026"/>
    <s v="POB Rental"/>
    <s v="Unassigned"/>
    <x v="0"/>
    <n v="1001"/>
    <n v="-127227.55"/>
    <n v="-127227.55"/>
    <n v="-129775.3"/>
    <n v="-129775.3"/>
    <n v="-129775.3"/>
    <n v="-129775.3"/>
    <n v="-129775.3"/>
    <n v="-129775.3"/>
    <n v="-129775.3"/>
    <n v="-129775.3"/>
    <n v="-129775.3"/>
    <n v="-129775.3"/>
    <n v="-1552208.1000000003"/>
    <n v="0"/>
  </r>
  <r>
    <x v="13"/>
    <x v="18"/>
    <x v="0"/>
    <s v="7790504"/>
    <n v="735050"/>
    <s v="Amortization-Leasehold Improvements"/>
    <s v="Unassigned"/>
    <x v="0"/>
    <m/>
    <n v="36271.67"/>
    <n v="36271.67"/>
    <n v="36271.67"/>
    <n v="36271.67"/>
    <n v="36271.67"/>
    <n v="36271.67"/>
    <n v="36271.67"/>
    <n v="36271.67"/>
    <n v="36271.67"/>
    <n v="36271.67"/>
    <n v="36271.67"/>
    <n v="36271.67"/>
    <n v="435260.03999999986"/>
    <n v="-62.340000000000032"/>
  </r>
  <r>
    <x v="0"/>
    <x v="18"/>
    <x v="0"/>
    <s v="7790504"/>
    <n v="749510"/>
    <s v="Miscellaneous Expenses"/>
    <s v="Unassigned"/>
    <x v="0"/>
    <m/>
    <n v="471.86"/>
    <n v="444.37"/>
    <n v="521.17999999999995"/>
    <n v="449.75"/>
    <n v="413.69"/>
    <n v="434"/>
    <n v="431.79"/>
    <n v="2008.93"/>
    <n v="414.89"/>
    <n v="2509.92"/>
    <n v="335.57"/>
    <n v="397.91"/>
    <n v="8833.86"/>
    <n v="-1416.0499999999956"/>
  </r>
  <r>
    <x v="24"/>
    <x v="18"/>
    <x v="0"/>
    <s v="7790504"/>
    <n v="760030"/>
    <s v="Interest Expense-Ext to CHI Programs"/>
    <s v="Unassigned"/>
    <x v="0"/>
    <m/>
    <n v="47647.199999999997"/>
    <n v="49108.639999999999"/>
    <n v="48987.31"/>
    <n v="47289.23"/>
    <n v="48737.4"/>
    <n v="47046.47"/>
    <n v="48485.63"/>
    <n v="48361.97"/>
    <n v="43569.68"/>
    <n v="48095.78"/>
    <n v="46423.23"/>
    <n v="47839.28"/>
    <n v="571591.81999999995"/>
    <n v="38479.359999999986"/>
  </r>
  <r>
    <x v="1"/>
    <x v="19"/>
    <x v="0"/>
    <s v="7790601"/>
    <n v="400040"/>
    <s v="Physician Svcs Rev--Medicare"/>
    <s v="Unassigned"/>
    <x v="0"/>
    <n v="1100"/>
    <n v="-402699.39"/>
    <n v="-356194.27"/>
    <n v="-373414.9"/>
    <n v="-364398.93"/>
    <n v="-399966.49"/>
    <n v="-394598.68"/>
    <n v="-408150.29"/>
    <n v="-485536.32"/>
    <n v="-470836.56"/>
    <n v="-734015.72"/>
    <n v="-511955"/>
    <n v="-550434.36"/>
    <n v="-5452200.9100000001"/>
    <n v="-12751.830000000016"/>
  </r>
  <r>
    <x v="1"/>
    <x v="19"/>
    <x v="0"/>
    <s v="7790601"/>
    <n v="400040"/>
    <s v="Physician Svcs Rev--Medicaid"/>
    <s v="Unassigned"/>
    <x v="0"/>
    <n v="1200"/>
    <n v="-240910.96"/>
    <n v="-224519.85"/>
    <n v="-237139.20000000001"/>
    <n v="-220705.6"/>
    <n v="-289892.06"/>
    <n v="-280917.96999999997"/>
    <n v="-288966.15999999997"/>
    <n v="-378028.97"/>
    <n v="-286991.94"/>
    <n v="-461257.95"/>
    <n v="-362230"/>
    <n v="-349478.17"/>
    <n v="-3621038.8299999996"/>
    <n v="47346.75"/>
  </r>
  <r>
    <x v="1"/>
    <x v="19"/>
    <x v="0"/>
    <s v="7790601"/>
    <n v="400040"/>
    <s v="Physician Svcs Rev--Managed Care"/>
    <s v="Unassigned"/>
    <x v="0"/>
    <n v="1400"/>
    <n v="-951249.74"/>
    <n v="-1026667.14"/>
    <n v="-1000403.43"/>
    <n v="-913933.31"/>
    <n v="-997348.34"/>
    <n v="-1070984.0900000001"/>
    <n v="-1111961.3600000001"/>
    <n v="-1437841.87"/>
    <n v="-1215585.8899999999"/>
    <n v="-1864889.89"/>
    <n v="-1335610.56"/>
    <n v="-1382957.31"/>
    <n v="-14309432.930000003"/>
    <n v="22103.14"/>
  </r>
  <r>
    <x v="1"/>
    <x v="19"/>
    <x v="0"/>
    <s v="7790601"/>
    <n v="400040"/>
    <s v="Physician Svcs Rev--Self Pay"/>
    <s v="Unassigned"/>
    <x v="0"/>
    <n v="1500"/>
    <n v="-43622.06"/>
    <n v="-56822.15"/>
    <n v="-52360"/>
    <n v="-53531.77"/>
    <n v="-51978.54"/>
    <n v="-53809.61"/>
    <n v="-51920"/>
    <n v="-58441.77"/>
    <n v="-41790.9"/>
    <n v="-73856.77"/>
    <n v="-46850"/>
    <n v="-68953.14"/>
    <n v="-653936.71000000008"/>
    <n v="3710.4300000000076"/>
  </r>
  <r>
    <x v="1"/>
    <x v="19"/>
    <x v="0"/>
    <s v="7790601"/>
    <n v="400040"/>
    <s v="Physician Svcs Rev--Other"/>
    <s v="Unassigned"/>
    <x v="0"/>
    <n v="1700"/>
    <n v="-52042.52"/>
    <n v="-61461.34"/>
    <n v="-64494"/>
    <n v="-61600.7"/>
    <n v="-65671.44"/>
    <n v="-68766.710000000006"/>
    <n v="-87283.66"/>
    <n v="-101866.71"/>
    <n v="-76428.45"/>
    <n v="-105246.03"/>
    <n v="-115391.2"/>
    <n v="-119101.63"/>
    <n v="-979354.3899999999"/>
    <n v="-246922.90999999997"/>
  </r>
  <r>
    <x v="2"/>
    <x v="19"/>
    <x v="0"/>
    <s v="7790601"/>
    <n v="450040"/>
    <s v="Contr Allow--Phys Svcs--Mcare"/>
    <s v="Unassigned"/>
    <x v="0"/>
    <n v="1100"/>
    <n v="228545.26"/>
    <n v="198038.58"/>
    <n v="210200.46"/>
    <n v="196857.43"/>
    <n v="217788.08"/>
    <n v="207992.57"/>
    <n v="216405.81"/>
    <n v="265385.88"/>
    <n v="263317.09999999998"/>
    <n v="417395.81"/>
    <n v="278906.90999999997"/>
    <n v="525829.81999999995"/>
    <n v="3226663.7100000004"/>
    <n v="-134387.79"/>
  </r>
  <r>
    <x v="2"/>
    <x v="19"/>
    <x v="0"/>
    <s v="7790601"/>
    <n v="450040"/>
    <s v="Contr Allow--Phys Svcs--Mcaid"/>
    <s v="Unassigned"/>
    <x v="0"/>
    <n v="1200"/>
    <n v="135567.1"/>
    <n v="125485.12"/>
    <n v="132891.67000000001"/>
    <n v="117545.42"/>
    <n v="155062.01"/>
    <n v="145495.5"/>
    <n v="154689.26999999999"/>
    <n v="200147.48"/>
    <n v="150665.29999999999"/>
    <n v="253435.84"/>
    <n v="193933.53"/>
    <n v="328321.32"/>
    <n v="2093239.5600000003"/>
    <n v="-534323.62999999989"/>
  </r>
  <r>
    <x v="2"/>
    <x v="19"/>
    <x v="0"/>
    <s v="7790601"/>
    <n v="450040"/>
    <s v="Contr Allow--Phys Svcs--Managed Care"/>
    <s v="Unassigned"/>
    <x v="0"/>
    <n v="1400"/>
    <n v="482136.61"/>
    <n v="523949.41"/>
    <n v="518289.88"/>
    <n v="441562.04"/>
    <n v="467200.59"/>
    <n v="500414.21"/>
    <n v="524719.86"/>
    <n v="695406.04"/>
    <n v="584004.68000000005"/>
    <n v="960868.05"/>
    <n v="643871.55000000005"/>
    <n v="1178195.18"/>
    <n v="7520618.0999999987"/>
    <n v="-1332.29"/>
  </r>
  <r>
    <x v="2"/>
    <x v="19"/>
    <x v="0"/>
    <s v="7790601"/>
    <n v="450040"/>
    <s v="Prompt Pay Disc-Phys Svcs-Self Pay"/>
    <s v="Unassigned"/>
    <x v="0"/>
    <n v="1500"/>
    <n v="15642.22"/>
    <n v="2633.06"/>
    <n v="3266.26"/>
    <n v="557.51"/>
    <n v="2065.25"/>
    <n v="601.37"/>
    <n v="956.56"/>
    <n v="940.65"/>
    <n v="967.44"/>
    <n v="1479.28"/>
    <n v="770.65"/>
    <n v="2102.94"/>
    <n v="31983.19"/>
    <n v="-34669.25"/>
  </r>
  <r>
    <x v="2"/>
    <x v="19"/>
    <x v="0"/>
    <s v="7790601"/>
    <n v="450040"/>
    <s v="Contr Allow--Phys Svcs--Other"/>
    <s v="Unassigned"/>
    <x v="0"/>
    <n v="1700"/>
    <n v="3250.47"/>
    <n v="25186.25"/>
    <n v="29131.5"/>
    <n v="24160.15"/>
    <n v="24230.12"/>
    <n v="31948.52"/>
    <n v="44256.56"/>
    <n v="49459.43"/>
    <n v="27115.22"/>
    <n v="48035.77"/>
    <n v="61676.14"/>
    <n v="96345.39"/>
    <n v="464795.52"/>
    <n v="-320"/>
  </r>
  <r>
    <x v="3"/>
    <x v="19"/>
    <x v="0"/>
    <s v="7790601"/>
    <n v="470040"/>
    <s v="Charity Care-Physician Svcs"/>
    <s v="Unassigned"/>
    <x v="0"/>
    <m/>
    <n v="2005"/>
    <n v="1305"/>
    <n v="1015"/>
    <n v="2290"/>
    <n v="1695"/>
    <n v="2280"/>
    <n v="1400.64"/>
    <n v="1625"/>
    <n v="1698.03"/>
    <n v="1587.16"/>
    <n v="730"/>
    <n v="1050"/>
    <n v="18680.830000000002"/>
    <n v="-105772.88"/>
  </r>
  <r>
    <x v="4"/>
    <x v="19"/>
    <x v="0"/>
    <s v="7790601"/>
    <n v="490010"/>
    <s v="Provision for Bad Debts"/>
    <s v="Unassigned"/>
    <x v="0"/>
    <m/>
    <n v="96354.07"/>
    <n v="97399.71"/>
    <n v="99421.64"/>
    <n v="86996.95"/>
    <n v="96449.01"/>
    <n v="98748.02"/>
    <n v="104678.12"/>
    <n v="134773.82999999999"/>
    <n v="114196.42"/>
    <n v="186977.99"/>
    <n v="131098.75"/>
    <n v="236871.63"/>
    <n v="1483966.1400000001"/>
    <n v="-49411.57"/>
  </r>
  <r>
    <x v="14"/>
    <x v="19"/>
    <x v="0"/>
    <s v="7790601"/>
    <n v="600050"/>
    <s v="Miscellaneous Revenue"/>
    <s v="Unassigned"/>
    <x v="0"/>
    <m/>
    <n v="0"/>
    <n v="0"/>
    <n v="0"/>
    <n v="0"/>
    <n v="0"/>
    <n v="0"/>
    <n v="0"/>
    <n v="0"/>
    <n v="0"/>
    <n v="0"/>
    <n v="-49411.57"/>
    <n v="0"/>
    <n v="-49411.57"/>
    <n v="-35621.950000000012"/>
  </r>
  <r>
    <x v="17"/>
    <x v="19"/>
    <x v="0"/>
    <s v="7790601"/>
    <n v="714520"/>
    <s v="Other Contracted Professionals"/>
    <s v="Unassigned"/>
    <x v="0"/>
    <m/>
    <n v="333120.59999999998"/>
    <n v="352279.32"/>
    <n v="360631.55"/>
    <n v="170093.48"/>
    <n v="378253.4"/>
    <n v="374835.61"/>
    <n v="390008.52"/>
    <n v="188423.57"/>
    <n v="404316.09"/>
    <n v="454793.74"/>
    <n v="398137.47"/>
    <n v="433759.42"/>
    <n v="4238652.7699999996"/>
    <n v="73439.12"/>
  </r>
  <r>
    <x v="7"/>
    <x v="19"/>
    <x v="0"/>
    <s v="7790601"/>
    <n v="718010"/>
    <s v="Media/Print Advertising"/>
    <s v="Unassigned"/>
    <x v="0"/>
    <n v="1004"/>
    <n v="60007.74"/>
    <n v="71132.08"/>
    <n v="191799.62"/>
    <n v="108083.52"/>
    <n v="109715.03"/>
    <n v="167381.23000000001"/>
    <n v="97335.67"/>
    <n v="107849.44"/>
    <n v="110013.94"/>
    <n v="137505.93"/>
    <n v="129399.1"/>
    <n v="55959.98"/>
    <n v="1346183.28"/>
    <n v="1328.0300000000279"/>
  </r>
  <r>
    <x v="7"/>
    <x v="19"/>
    <x v="0"/>
    <s v="7790601"/>
    <n v="718050"/>
    <s v="Contract Svcs-Other"/>
    <s v="Unassigned"/>
    <x v="0"/>
    <m/>
    <n v="355226.66"/>
    <n v="381702.73"/>
    <n v="392099.55"/>
    <n v="322967.87"/>
    <n v="336392.45"/>
    <n v="364181.15"/>
    <n v="369564.86"/>
    <n v="395992.96"/>
    <n v="402484.24"/>
    <n v="456658.96"/>
    <n v="471759.95"/>
    <n v="470431.92"/>
    <n v="4719463.3"/>
    <n v="-1183.0100000000093"/>
  </r>
  <r>
    <x v="7"/>
    <x v="19"/>
    <x v="0"/>
    <s v="7790601"/>
    <n v="718050"/>
    <s v="Miscellaneous Purchased Svcs"/>
    <s v="Unassigned"/>
    <x v="0"/>
    <n v="1020"/>
    <n v="299241.43"/>
    <n v="231513.75"/>
    <n v="236168.75"/>
    <n v="228877"/>
    <n v="238552"/>
    <n v="131687"/>
    <n v="210566"/>
    <n v="228069"/>
    <n v="259390"/>
    <n v="242615"/>
    <n v="223088"/>
    <n v="224271.01"/>
    <n v="2754038.9399999995"/>
    <n v="20897.729999999996"/>
  </r>
  <r>
    <x v="11"/>
    <x v="19"/>
    <x v="0"/>
    <s v="7790601"/>
    <n v="721010"/>
    <s v="Supplies-Medical - Billable"/>
    <s v="Unassigned"/>
    <x v="0"/>
    <m/>
    <n v="30099.93"/>
    <n v="46874.67"/>
    <n v="35442.639999999999"/>
    <n v="53696.58"/>
    <n v="92552.75"/>
    <n v="60465.36"/>
    <n v="68605.740000000005"/>
    <n v="72529.850000000006"/>
    <n v="41728.82"/>
    <n v="18319.57"/>
    <n v="59559.13"/>
    <n v="38661.4"/>
    <n v="618536.44000000006"/>
    <n v="-777.63999999999942"/>
  </r>
  <r>
    <x v="12"/>
    <x v="19"/>
    <x v="0"/>
    <s v="7790601"/>
    <n v="730010"/>
    <s v="Rental and Leases-Building (DO NOT USE)"/>
    <s v="Unassigned"/>
    <x v="0"/>
    <m/>
    <n v="122792.06"/>
    <n v="46006.94"/>
    <n v="118404.72"/>
    <n v="122285.19"/>
    <n v="102641.09"/>
    <n v="122306.44"/>
    <n v="134969.76999999999"/>
    <n v="129116.98"/>
    <n v="129421.67"/>
    <n v="57829.51"/>
    <n v="122309.8"/>
    <n v="123087.44"/>
    <n v="1331171.6099999999"/>
    <n v="1714.62"/>
  </r>
  <r>
    <x v="15"/>
    <x v="19"/>
    <x v="0"/>
    <s v="7790601"/>
    <n v="731020"/>
    <s v="Electricity"/>
    <s v="Unassigned"/>
    <x v="0"/>
    <m/>
    <n v="4162.71"/>
    <n v="5947.95"/>
    <n v="3557.84"/>
    <n v="5314.82"/>
    <n v="3221.73"/>
    <n v="4711.41"/>
    <n v="5517.75"/>
    <n v="7428.51"/>
    <n v="7221.15"/>
    <n v="4192.54"/>
    <n v="7652.55"/>
    <n v="5937.93"/>
    <n v="64866.890000000007"/>
    <n v="23258.549999999996"/>
  </r>
  <r>
    <x v="16"/>
    <x v="19"/>
    <x v="0"/>
    <s v="7790601"/>
    <n v="733030"/>
    <s v="Maintenance Contracts-Other"/>
    <s v="Unassigned"/>
    <x v="0"/>
    <m/>
    <n v="37738.160000000003"/>
    <n v="51415.07"/>
    <n v="41803.300000000003"/>
    <n v="36740.19"/>
    <n v="71461.37"/>
    <n v="42076.33"/>
    <n v="40528.94"/>
    <n v="36426.480000000003"/>
    <n v="36025.43"/>
    <n v="54454.36"/>
    <n v="61279.63"/>
    <n v="38021.08"/>
    <n v="547970.34"/>
    <n v="-2095266.8699999999"/>
  </r>
  <r>
    <x v="13"/>
    <x v="19"/>
    <x v="0"/>
    <s v="7790601"/>
    <n v="735050"/>
    <s v="Amortization-Leasehold Improvements"/>
    <s v="Unassigned"/>
    <x v="0"/>
    <m/>
    <n v="0"/>
    <n v="0"/>
    <n v="77414.539999999994"/>
    <n v="71762.11"/>
    <n v="90259.24"/>
    <n v="58734.21"/>
    <n v="58831.07"/>
    <n v="92214.74"/>
    <n v="63566.82"/>
    <n v="105026.45"/>
    <n v="73130.14"/>
    <n v="2168397.0099999998"/>
    <n v="2859336.33"/>
    <n v="-312860.25"/>
  </r>
  <r>
    <x v="13"/>
    <x v="19"/>
    <x v="0"/>
    <s v="7790601"/>
    <n v="735070"/>
    <s v="Depreciation-Movable Equipment"/>
    <s v="Unassigned"/>
    <x v="0"/>
    <m/>
    <n v="75451.600000000006"/>
    <n v="138968.47"/>
    <n v="0"/>
    <n v="0"/>
    <n v="0"/>
    <n v="20299.46"/>
    <n v="21624.09"/>
    <n v="20589.66"/>
    <n v="20552.830000000002"/>
    <n v="23389.49"/>
    <n v="23516.560000000001"/>
    <n v="336376.81"/>
    <n v="680768.97"/>
    <n v="0"/>
  </r>
  <r>
    <x v="8"/>
    <x v="19"/>
    <x v="0"/>
    <s v="7790601"/>
    <n v="741010"/>
    <s v="Liability Insurance-CHI Programs"/>
    <s v="Unassigned"/>
    <x v="0"/>
    <m/>
    <n v="0"/>
    <n v="0"/>
    <n v="0"/>
    <n v="0"/>
    <n v="0"/>
    <n v="0"/>
    <n v="0"/>
    <n v="3856.84"/>
    <n v="3856.84"/>
    <n v="3856.84"/>
    <n v="3856.84"/>
    <n v="3856.84"/>
    <n v="19284.2"/>
    <n v="0"/>
  </r>
  <r>
    <x v="8"/>
    <x v="19"/>
    <x v="0"/>
    <s v="7790601"/>
    <n v="741020"/>
    <s v="Liability Insurance-Ext to CHI Programs"/>
    <s v="Unassigned"/>
    <x v="0"/>
    <m/>
    <n v="11985.45"/>
    <n v="1473.45"/>
    <n v="10233.450000000001"/>
    <n v="10233.450000000001"/>
    <n v="10233.450000000001"/>
    <n v="38078.449999999997"/>
    <n v="10233.450000000001"/>
    <n v="30747.3"/>
    <n v="-10233.459999999999"/>
    <n v="10233.450000000001"/>
    <n v="10830.49"/>
    <n v="10830.49"/>
    <n v="144879.41999999998"/>
    <n v="0"/>
  </r>
  <r>
    <x v="8"/>
    <x v="19"/>
    <x v="0"/>
    <s v="7790601"/>
    <n v="741030"/>
    <s v="Property Insurance-CHI Programs"/>
    <s v="Unassigned"/>
    <x v="0"/>
    <m/>
    <n v="0"/>
    <n v="0"/>
    <n v="0"/>
    <n v="0"/>
    <n v="0"/>
    <n v="0"/>
    <n v="0"/>
    <n v="424.69"/>
    <n v="424.69"/>
    <n v="424.69"/>
    <n v="424.69"/>
    <n v="424.69"/>
    <n v="2123.4499999999998"/>
    <n v="5925.23"/>
  </r>
  <r>
    <x v="0"/>
    <x v="19"/>
    <x v="0"/>
    <s v="7790601"/>
    <n v="746020"/>
    <s v="Bank Fees--Ext to CHI Programs"/>
    <s v="Unassigned"/>
    <x v="0"/>
    <m/>
    <n v="6559.43"/>
    <n v="6140.63"/>
    <n v="5285.24"/>
    <n v="9294.25"/>
    <n v="4941.83"/>
    <n v="9056.58"/>
    <n v="6014.07"/>
    <n v="7729.97"/>
    <n v="7729.97"/>
    <n v="5925.21"/>
    <n v="5925.23"/>
    <n v="0"/>
    <n v="74602.41"/>
    <n v="-5590.4900000000052"/>
  </r>
  <r>
    <x v="0"/>
    <x v="19"/>
    <x v="0"/>
    <s v="7790601"/>
    <n v="749510"/>
    <s v="Miscellaneous Expenses"/>
    <s v="Unassigned"/>
    <x v="0"/>
    <m/>
    <n v="31781.26"/>
    <n v="62083.93"/>
    <n v="22315.71"/>
    <n v="32007.49"/>
    <n v="29819.46"/>
    <n v="33132.47"/>
    <n v="35482.25"/>
    <n v="41388.69"/>
    <n v="94355.18"/>
    <n v="57881.760000000002"/>
    <n v="73957.67"/>
    <n v="79548.160000000003"/>
    <n v="593754.03"/>
    <n v="20.049999999999955"/>
  </r>
  <r>
    <x v="0"/>
    <x v="19"/>
    <x v="0"/>
    <s v="7790601"/>
    <n v="749510"/>
    <s v="Licenses"/>
    <s v="Unassigned"/>
    <x v="0"/>
    <n v="1002"/>
    <n v="1162.56"/>
    <n v="1659.28"/>
    <n v="1659.28"/>
    <n v="1659.28"/>
    <n v="1659.28"/>
    <n v="-1659.29"/>
    <n v="0"/>
    <n v="6637.05"/>
    <n v="1659.28"/>
    <n v="1659.28"/>
    <n v="1659.28"/>
    <n v="1639.23"/>
    <n v="19394.509999999998"/>
    <n v="2569.9700000000012"/>
  </r>
  <r>
    <x v="0"/>
    <x v="19"/>
    <x v="0"/>
    <s v="7790601"/>
    <n v="766090"/>
    <s v="Franchise and Excise Tax"/>
    <s v="Unassigned"/>
    <x v="0"/>
    <n v="1001"/>
    <n v="9741.18"/>
    <n v="10151.709999999999"/>
    <n v="10560.1"/>
    <n v="12170.99"/>
    <n v="10126.39"/>
    <n v="175"/>
    <n v="22630.49"/>
    <n v="11345.87"/>
    <n v="14063.31"/>
    <n v="14988.97"/>
    <n v="22006.2"/>
    <n v="19436.23"/>
    <n v="157396.44"/>
    <n v="-75817.819999999978"/>
  </r>
  <r>
    <x v="19"/>
    <x v="20"/>
    <x v="0"/>
    <s v="7790840"/>
    <n v="400020"/>
    <s v="O/P Care Svcs Rev--Medicare"/>
    <s v="Unassigned"/>
    <x v="0"/>
    <n v="1100"/>
    <n v="-252187.14"/>
    <n v="-315490.88"/>
    <n v="-238706.03"/>
    <n v="-112710.03"/>
    <n v="-73106.28"/>
    <n v="-79123.12"/>
    <n v="-129156.99"/>
    <n v="-254709.36"/>
    <n v="-213619.25"/>
    <n v="-218860.84"/>
    <n v="-239170.3"/>
    <n v="-163352.48000000001"/>
    <n v="-2290192.7000000002"/>
    <n v="0"/>
  </r>
  <r>
    <x v="19"/>
    <x v="20"/>
    <x v="0"/>
    <s v="7790840"/>
    <n v="400020"/>
    <s v="O/P Care Svcs Rev--Medicaid"/>
    <s v="Unassigned"/>
    <x v="0"/>
    <n v="1200"/>
    <n v="-26723.9"/>
    <n v="-21816.51"/>
    <n v="-28136.35"/>
    <n v="-36287.24"/>
    <n v="-42326.84"/>
    <n v="-10444.120000000001"/>
    <n v="0"/>
    <n v="0"/>
    <n v="0"/>
    <n v="0"/>
    <n v="0"/>
    <n v="0"/>
    <n v="-165734.96"/>
    <n v="-279993.37"/>
  </r>
  <r>
    <x v="19"/>
    <x v="20"/>
    <x v="0"/>
    <s v="7790840"/>
    <n v="400020"/>
    <s v="O/P Care Svcs Rev--Managed Care"/>
    <s v="Unassigned"/>
    <x v="0"/>
    <n v="1400"/>
    <n v="-582468.47"/>
    <n v="-573663.21"/>
    <n v="-631201.68999999994"/>
    <n v="-612691.85"/>
    <n v="-535030.27"/>
    <n v="-462753.03"/>
    <n v="-582520.76"/>
    <n v="-650185.18999999994"/>
    <n v="-558032.51"/>
    <n v="-748344.21"/>
    <n v="-1011789.08"/>
    <n v="-731795.71"/>
    <n v="-7680475.9799999986"/>
    <n v="-4434.82"/>
  </r>
  <r>
    <x v="19"/>
    <x v="20"/>
    <x v="0"/>
    <s v="7790840"/>
    <n v="400020"/>
    <s v="O/P Care Svcs Rev--Self Pay"/>
    <s v="Unassigned"/>
    <x v="0"/>
    <n v="1500"/>
    <n v="-53992.49"/>
    <n v="-45012.4"/>
    <n v="-47513.93"/>
    <n v="-35493.870000000003"/>
    <n v="-48616.62"/>
    <n v="-36099.730000000003"/>
    <n v="-40959.25"/>
    <n v="-44077.45"/>
    <n v="-45942.239999999998"/>
    <n v="-51590.95"/>
    <n v="-63498.62"/>
    <n v="-59063.8"/>
    <n v="-571861.35"/>
    <n v="54664.509999999995"/>
  </r>
  <r>
    <x v="2"/>
    <x v="20"/>
    <x v="0"/>
    <s v="7790840"/>
    <n v="450020"/>
    <s v="Contr Allow--OP Care-Medicare"/>
    <s v="Unassigned"/>
    <x v="0"/>
    <n v="1100"/>
    <n v="175475.92"/>
    <n v="217667.74"/>
    <n v="175494.41"/>
    <n v="79717.17"/>
    <n v="52429.18"/>
    <n v="54221.03"/>
    <n v="95575.13"/>
    <n v="176629.14"/>
    <n v="151635.03"/>
    <n v="156247"/>
    <n v="164556.24"/>
    <n v="109891.73"/>
    <n v="1609539.7200000002"/>
    <n v="0"/>
  </r>
  <r>
    <x v="2"/>
    <x v="20"/>
    <x v="0"/>
    <s v="7790840"/>
    <n v="450020"/>
    <s v="Contr Allow--OP Care-Medicaid"/>
    <s v="Unassigned"/>
    <x v="0"/>
    <n v="1200"/>
    <n v="18594.919999999998"/>
    <n v="15051.94"/>
    <n v="20685.580000000002"/>
    <n v="25665.13"/>
    <n v="30355.279999999999"/>
    <n v="7157.09"/>
    <n v="0"/>
    <n v="0"/>
    <n v="0"/>
    <n v="0"/>
    <n v="0"/>
    <n v="0"/>
    <n v="117509.94"/>
    <n v="203841.59000000008"/>
  </r>
  <r>
    <x v="2"/>
    <x v="20"/>
    <x v="0"/>
    <s v="7790840"/>
    <n v="450020"/>
    <s v="Contr Allow--OP Care-Managed Care"/>
    <s v="Unassigned"/>
    <x v="0"/>
    <n v="1400"/>
    <n v="405291.05"/>
    <n v="395789.49"/>
    <n v="464053.53"/>
    <n v="433342.76"/>
    <n v="383704.37"/>
    <n v="317112.71000000002"/>
    <n v="431060.67"/>
    <n v="450873.31"/>
    <n v="396112.61"/>
    <n v="534250.61"/>
    <n v="696140.81"/>
    <n v="492299.22"/>
    <n v="5400031.1399999997"/>
    <n v="3955.0800000000017"/>
  </r>
  <r>
    <x v="2"/>
    <x v="20"/>
    <x v="0"/>
    <s v="7790840"/>
    <n v="450020"/>
    <s v="Prompt Pay Disc-OP Care-Self Pay"/>
    <s v="Unassigned"/>
    <x v="0"/>
    <n v="1500"/>
    <n v="37568.85"/>
    <n v="31055.56"/>
    <n v="34931.79"/>
    <n v="25103.99"/>
    <n v="34866.080000000002"/>
    <n v="24738.21"/>
    <n v="30309.51"/>
    <n v="30565.67"/>
    <n v="32611.54"/>
    <n v="36831.31"/>
    <n v="43688.93"/>
    <n v="39733.85"/>
    <n v="402005.29"/>
    <n v="-2086.19"/>
  </r>
  <r>
    <x v="14"/>
    <x v="20"/>
    <x v="0"/>
    <s v="7790840"/>
    <n v="600050"/>
    <s v="Miscellaneous Revenue"/>
    <s v="Unassigned"/>
    <x v="0"/>
    <m/>
    <n v="0"/>
    <n v="0"/>
    <n v="0"/>
    <n v="0"/>
    <n v="0"/>
    <n v="0"/>
    <n v="-30.56"/>
    <n v="0"/>
    <n v="0"/>
    <n v="0"/>
    <n v="-2185"/>
    <n v="-98.81"/>
    <n v="-2314.37"/>
    <n v="-3492.1399999999994"/>
  </r>
  <r>
    <x v="7"/>
    <x v="20"/>
    <x v="0"/>
    <s v="7790840"/>
    <n v="718050"/>
    <s v="Miscellaneous Purchased Svcs"/>
    <s v="Unassigned"/>
    <x v="0"/>
    <n v="1020"/>
    <n v="88060.479999999996"/>
    <n v="81956.37"/>
    <n v="84002.51"/>
    <n v="83935.66"/>
    <n v="98191.95"/>
    <n v="70362.63"/>
    <n v="66930.31"/>
    <n v="79559.509999999995"/>
    <n v="88924.73"/>
    <n v="91035.53"/>
    <n v="113944.24"/>
    <n v="117436.38"/>
    <n v="1064340.3"/>
    <n v="-3118.63"/>
  </r>
  <r>
    <x v="11"/>
    <x v="20"/>
    <x v="0"/>
    <s v="7790840"/>
    <n v="721410"/>
    <s v="Supplies-Medical - Nonbillable"/>
    <s v="Unassigned"/>
    <x v="0"/>
    <m/>
    <n v="3642.32"/>
    <n v="1994.85"/>
    <n v="2553.25"/>
    <n v="2292.34"/>
    <n v="4612.3999999999996"/>
    <n v="6146"/>
    <n v="3024.34"/>
    <n v="2729.63"/>
    <n v="1269.56"/>
    <n v="4591.79"/>
    <n v="1610.07"/>
    <n v="4728.7"/>
    <n v="39195.25"/>
    <n v="-5109.6100000000006"/>
  </r>
  <r>
    <x v="11"/>
    <x v="20"/>
    <x v="0"/>
    <s v="7790840"/>
    <n v="721830"/>
    <s v="Supplies-Office"/>
    <s v="Unassigned"/>
    <x v="0"/>
    <m/>
    <n v="926.82"/>
    <n v="549.6"/>
    <n v="2584.84"/>
    <n v="5752.06"/>
    <n v="5199.33"/>
    <n v="1134.6199999999999"/>
    <n v="1310.28"/>
    <n v="1656.43"/>
    <n v="2519.58"/>
    <n v="2728.52"/>
    <n v="2003.41"/>
    <n v="7113.02"/>
    <n v="33478.509999999995"/>
    <n v="0"/>
  </r>
  <r>
    <x v="12"/>
    <x v="20"/>
    <x v="0"/>
    <s v="7790840"/>
    <n v="730010"/>
    <s v="Rental and Leases-Building (DO NOT USE)"/>
    <s v="Unassigned"/>
    <x v="0"/>
    <m/>
    <n v="0"/>
    <n v="370"/>
    <n v="739.49"/>
    <n v="0"/>
    <n v="0"/>
    <n v="0"/>
    <n v="0"/>
    <n v="0"/>
    <n v="0"/>
    <n v="0"/>
    <n v="0"/>
    <n v="0"/>
    <n v="1109.49"/>
    <n v="0"/>
  </r>
  <r>
    <x v="12"/>
    <x v="20"/>
    <x v="0"/>
    <s v="7790840"/>
    <n v="730020"/>
    <s v="Rental and Leases-Equipment (DO NOT USE)"/>
    <s v="Unassigned"/>
    <x v="0"/>
    <m/>
    <n v="25043.78"/>
    <n v="25043.78"/>
    <n v="25043.78"/>
    <n v="25043.78"/>
    <n v="25043.78"/>
    <n v="25043.78"/>
    <n v="25370.37"/>
    <n v="25334.38"/>
    <n v="24643.46"/>
    <n v="25951.9"/>
    <n v="25701.9"/>
    <n v="25701.9"/>
    <n v="302966.59000000003"/>
    <n v="-12.670000000000016"/>
  </r>
  <r>
    <x v="15"/>
    <x v="20"/>
    <x v="0"/>
    <s v="7790840"/>
    <n v="731060"/>
    <s v="Telephone"/>
    <s v="Unassigned"/>
    <x v="0"/>
    <m/>
    <n v="260.79000000000002"/>
    <n v="276.49"/>
    <n v="268.04000000000002"/>
    <n v="300.55"/>
    <n v="264"/>
    <n v="276.19"/>
    <n v="260.52999999999997"/>
    <n v="268.27"/>
    <n v="268.98"/>
    <n v="274.22000000000003"/>
    <n v="279.05"/>
    <n v="291.72000000000003"/>
    <n v="3288.83"/>
    <n v="-19155.28"/>
  </r>
  <r>
    <x v="16"/>
    <x v="20"/>
    <x v="0"/>
    <s v="7790840"/>
    <n v="732030"/>
    <s v="Repairs---Other"/>
    <s v="Unassigned"/>
    <x v="0"/>
    <m/>
    <n v="7107.92"/>
    <n v="16407.46"/>
    <n v="16629.47"/>
    <n v="16629.47"/>
    <n v="16703.73"/>
    <n v="23352.69"/>
    <n v="10955.5"/>
    <n v="17266.55"/>
    <n v="9329.76"/>
    <n v="12260.51"/>
    <n v="11508.5"/>
    <n v="30663.78"/>
    <n v="188815.34000000003"/>
    <n v="0"/>
  </r>
  <r>
    <x v="13"/>
    <x v="20"/>
    <x v="0"/>
    <s v="7790840"/>
    <n v="735070"/>
    <s v="Depreciation-Movable Equipment"/>
    <s v="Unassigned"/>
    <x v="0"/>
    <m/>
    <n v="16403.27"/>
    <n v="16403.27"/>
    <n v="16403.27"/>
    <n v="16403.27"/>
    <n v="16403.27"/>
    <n v="16403.27"/>
    <n v="16403.240000000002"/>
    <n v="16403.27"/>
    <n v="16403.27"/>
    <n v="16403.259999999998"/>
    <n v="16560.27"/>
    <n v="16560.27"/>
    <n v="197153.19999999998"/>
    <n v="-385.62"/>
  </r>
  <r>
    <x v="0"/>
    <x v="20"/>
    <x v="0"/>
    <s v="7790840"/>
    <n v="740030"/>
    <s v="Education-Travel"/>
    <s v="Unassigned"/>
    <x v="0"/>
    <m/>
    <n v="318.04000000000002"/>
    <n v="0"/>
    <n v="0"/>
    <n v="237.46"/>
    <n v="752.81"/>
    <n v="1247.27"/>
    <n v="585.98"/>
    <n v="55"/>
    <n v="1346.32"/>
    <n v="122"/>
    <n v="737.34"/>
    <n v="1122.96"/>
    <n v="6525.18"/>
    <n v="-1.999999999998181E-2"/>
  </r>
  <r>
    <x v="8"/>
    <x v="20"/>
    <x v="0"/>
    <s v="7790840"/>
    <n v="741090"/>
    <s v="Other Insurance"/>
    <s v="Unassigned"/>
    <x v="0"/>
    <m/>
    <n v="1663.46"/>
    <n v="1663.46"/>
    <n v="1663.46"/>
    <n v="1663.46"/>
    <n v="1663.46"/>
    <n v="1663.46"/>
    <n v="1663.42"/>
    <n v="1684.48"/>
    <n v="1229.29"/>
    <n v="1684.46"/>
    <n v="1684.47"/>
    <n v="1684.49"/>
    <n v="19611.37"/>
    <n v="0"/>
  </r>
  <r>
    <x v="0"/>
    <x v="20"/>
    <x v="0"/>
    <s v="7790840"/>
    <n v="749510"/>
    <s v="Miscellaneous Expenses"/>
    <s v="Unassigned"/>
    <x v="0"/>
    <m/>
    <n v="6500"/>
    <n v="6500"/>
    <n v="6500"/>
    <n v="6500"/>
    <n v="6500"/>
    <n v="6500"/>
    <n v="6500"/>
    <n v="6500"/>
    <n v="6500"/>
    <n v="6500"/>
    <n v="6500"/>
    <n v="6500"/>
    <n v="78000"/>
    <n v="-549.41999999999996"/>
  </r>
  <r>
    <x v="0"/>
    <x v="20"/>
    <x v="0"/>
    <s v="7790840"/>
    <n v="749510"/>
    <s v="Licenses"/>
    <s v="Unassigned"/>
    <x v="0"/>
    <n v="1002"/>
    <n v="60"/>
    <n v="741.58"/>
    <n v="316.08"/>
    <n v="862.34"/>
    <n v="1074.1600000000001"/>
    <n v="419.6"/>
    <n v="260.54000000000002"/>
    <n v="266.39999999999998"/>
    <n v="266.51"/>
    <n v="274.27999999999997"/>
    <n v="0"/>
    <n v="549.41999999999996"/>
    <n v="5090.91"/>
    <n v="168.35000000000002"/>
  </r>
  <r>
    <x v="24"/>
    <x v="20"/>
    <x v="0"/>
    <s v="7790840"/>
    <n v="760030"/>
    <s v="Interest Expense-Ext to CHI Programs"/>
    <s v="Unassigned"/>
    <x v="0"/>
    <m/>
    <n v="2454.67"/>
    <n v="2247.42"/>
    <n v="2056.0100000000002"/>
    <n v="2193.56"/>
    <n v="1873.23"/>
    <n v="1787.94"/>
    <n v="1599.96"/>
    <n v="1526.73"/>
    <n v="1386.83"/>
    <n v="1125.81"/>
    <n v="1109.5"/>
    <n v="941.15"/>
    <n v="20302.810000000001"/>
    <n v="1029.2399999999998"/>
  </r>
  <r>
    <x v="0"/>
    <x v="20"/>
    <x v="0"/>
    <s v="7790840"/>
    <n v="766070"/>
    <s v="Sales and Use Tax"/>
    <s v="Unassigned"/>
    <x v="0"/>
    <m/>
    <n v="5218.41"/>
    <n v="3022.15"/>
    <n v="4203.83"/>
    <n v="3638.26"/>
    <n v="8177.25"/>
    <n v="3291.32"/>
    <n v="2509.66"/>
    <n v="2757.42"/>
    <n v="3904.65"/>
    <n v="3058.1"/>
    <n v="8330.33"/>
    <n v="7301.09"/>
    <n v="55412.47"/>
    <n v="-4630.4100000000035"/>
  </r>
  <r>
    <x v="1"/>
    <x v="1"/>
    <x v="0"/>
    <s v="7791200"/>
    <n v="400040"/>
    <s v="Physician Svcs Rev--Medicare"/>
    <s v="Pierce Medical Unassigned"/>
    <x v="0"/>
    <n v="1100"/>
    <n v="-157646.51"/>
    <n v="41940.65"/>
    <n v="76934.039999999994"/>
    <n v="-208681.08"/>
    <n v="-293242.31"/>
    <n v="280008.98"/>
    <n v="-164089.69"/>
    <n v="-94877.34"/>
    <n v="366241.18"/>
    <n v="-131864.07"/>
    <n v="253879.12"/>
    <n v="258509.53"/>
    <n v="227112.49999999997"/>
    <n v="-2584.6499999999942"/>
  </r>
  <r>
    <x v="1"/>
    <x v="1"/>
    <x v="0"/>
    <s v="7791200"/>
    <n v="400040"/>
    <s v="Physician Svcs Rev--Medicaid"/>
    <s v="Pierce Medical Unassigned"/>
    <x v="0"/>
    <n v="1200"/>
    <n v="-87996.05"/>
    <n v="23410.7"/>
    <n v="42943.48"/>
    <n v="-116482.78"/>
    <n v="-163683.66"/>
    <n v="156297.01"/>
    <n v="-91592.52"/>
    <n v="-52959.18"/>
    <n v="204430.58"/>
    <n v="-73604.63"/>
    <n v="141711.67000000001"/>
    <n v="144296.32000000001"/>
    <n v="126770.94"/>
    <n v="-224.03999999999905"/>
  </r>
  <r>
    <x v="1"/>
    <x v="1"/>
    <x v="0"/>
    <s v="7791200"/>
    <n v="400040"/>
    <s v="Physician Svcs Rev--Self Pay"/>
    <s v="Pierce Medical Unassigned"/>
    <x v="0"/>
    <n v="1500"/>
    <n v="-7628.38"/>
    <n v="2029.48"/>
    <n v="3722.77"/>
    <n v="-10097.9"/>
    <n v="-14189.73"/>
    <n v="13549.39"/>
    <n v="-7940.16"/>
    <n v="-4591.03"/>
    <n v="17722.09"/>
    <n v="-6380.81"/>
    <n v="12285.01"/>
    <n v="12509.05"/>
    <n v="10989.78"/>
    <n v="-5545.289999999979"/>
  </r>
  <r>
    <x v="1"/>
    <x v="1"/>
    <x v="0"/>
    <s v="7791200"/>
    <n v="400040"/>
    <s v="Physician Svcs Rev--Other"/>
    <s v="Pierce Medical Unassigned"/>
    <x v="0"/>
    <n v="1700"/>
    <n v="-188792.95999999999"/>
    <n v="50226.98"/>
    <n v="92133.98"/>
    <n v="-249910.41"/>
    <n v="-351178.53"/>
    <n v="335330.69"/>
    <n v="-196509.09"/>
    <n v="-113622.37"/>
    <n v="438599.85"/>
    <n v="-157916.59"/>
    <n v="304038.27"/>
    <n v="309583.56"/>
    <n v="271983.38000000006"/>
    <n v="430.51000000000931"/>
  </r>
  <r>
    <x v="2"/>
    <x v="1"/>
    <x v="0"/>
    <s v="7791200"/>
    <n v="450040"/>
    <s v="Contr Allow--Phys Svcs--Mcare"/>
    <s v="Pierce Medical Unassigned"/>
    <x v="0"/>
    <n v="1100"/>
    <n v="109413.01"/>
    <n v="-33443.449999999997"/>
    <n v="-53023.76"/>
    <n v="143825.22"/>
    <n v="195700.6"/>
    <n v="-190263.83"/>
    <n v="112512.62"/>
    <n v="65055.27"/>
    <n v="-244857.82"/>
    <n v="91299.53"/>
    <n v="-175779.83"/>
    <n v="-176210.34"/>
    <n v="-155772.77999999994"/>
    <n v="1396.2299999999959"/>
  </r>
  <r>
    <x v="2"/>
    <x v="1"/>
    <x v="0"/>
    <s v="7791200"/>
    <n v="450040"/>
    <s v="Contr Allow--Phys Svcs--Mcaid"/>
    <s v="Pierce Medical Unassigned"/>
    <x v="0"/>
    <n v="1200"/>
    <n v="66561.66"/>
    <n v="-18545.41"/>
    <n v="-32411.4"/>
    <n v="87914.87"/>
    <n v="116483.49"/>
    <n v="-115815.41"/>
    <n v="68356.789999999994"/>
    <n v="39524.17"/>
    <n v="-152613.98000000001"/>
    <n v="54925.89"/>
    <n v="-105749.32"/>
    <n v="-107145.55"/>
    <n v="-98514.200000000012"/>
    <n v="0"/>
  </r>
  <r>
    <x v="2"/>
    <x v="1"/>
    <x v="0"/>
    <s v="7791200"/>
    <n v="450040"/>
    <s v="Contr Allow--Phys Svcs--BCBS Mgnd Care"/>
    <s v="Pierce Medical Unassigned"/>
    <x v="0"/>
    <n v="1401"/>
    <n v="0"/>
    <n v="0"/>
    <n v="48.92"/>
    <n v="8.02"/>
    <n v="142.21"/>
    <n v="-199.15"/>
    <n v="0"/>
    <n v="0"/>
    <n v="0"/>
    <n v="0"/>
    <n v="0"/>
    <n v="0"/>
    <n v="0"/>
    <n v="-1663.0900000000001"/>
  </r>
  <r>
    <x v="2"/>
    <x v="1"/>
    <x v="0"/>
    <s v="7791200"/>
    <n v="450040"/>
    <s v="Prompt Pay Disc-Phys Svcs-Self Pay"/>
    <s v="Pierce Medical Unassigned"/>
    <x v="0"/>
    <n v="1500"/>
    <n v="3836.75"/>
    <n v="-1106.1400000000001"/>
    <n v="-1865.08"/>
    <n v="5058.96"/>
    <n v="3240.9"/>
    <n v="-2450.46"/>
    <n v="4051.86"/>
    <n v="2342.8000000000002"/>
    <n v="-7257.38"/>
    <n v="3507.93"/>
    <n v="-6753.85"/>
    <n v="-5090.76"/>
    <n v="-2484.4700000000012"/>
    <n v="6669.3400000000256"/>
  </r>
  <r>
    <x v="2"/>
    <x v="1"/>
    <x v="0"/>
    <s v="7791200"/>
    <n v="450040"/>
    <s v="Contr Allow--Phys Svcs--Other"/>
    <s v="Pierce Medical Unassigned"/>
    <x v="0"/>
    <n v="1700"/>
    <n v="95389.51"/>
    <n v="-27499.61"/>
    <n v="-46369.74"/>
    <n v="125776.4"/>
    <n v="134125.75"/>
    <n v="-160442.44"/>
    <n v="93503.2"/>
    <n v="54063.94"/>
    <n v="-188087.76"/>
    <n v="78045.279999999999"/>
    <n v="-150261.29999999999"/>
    <n v="-156930.64000000001"/>
    <n v="-148687.41"/>
    <n v="0"/>
  </r>
  <r>
    <x v="3"/>
    <x v="1"/>
    <x v="0"/>
    <s v="7791200"/>
    <n v="470040"/>
    <s v="Charity Care-Physician Svcs"/>
    <s v="Pierce Medical Unassigned"/>
    <x v="0"/>
    <m/>
    <n v="0"/>
    <n v="0"/>
    <n v="1.7"/>
    <n v="0.26"/>
    <n v="-1.96"/>
    <n v="0"/>
    <n v="0"/>
    <n v="0"/>
    <n v="0"/>
    <n v="0"/>
    <n v="0"/>
    <n v="0"/>
    <n v="0"/>
    <n v="-6.8"/>
  </r>
  <r>
    <x v="4"/>
    <x v="1"/>
    <x v="0"/>
    <s v="7791200"/>
    <n v="490010"/>
    <s v="Provision for Bad Debts"/>
    <s v="Pierce Medical Unassigned"/>
    <x v="0"/>
    <m/>
    <n v="4.75"/>
    <n v="-4.75"/>
    <n v="13.4"/>
    <n v="-0.61"/>
    <n v="-4.33"/>
    <n v="-1.66"/>
    <n v="-6.8"/>
    <n v="4.75"/>
    <n v="2.0499999999999998"/>
    <n v="0"/>
    <n v="-6.8"/>
    <n v="0"/>
    <n v="8.8817841970012523E-16"/>
    <n v="-2884.1500000000005"/>
  </r>
  <r>
    <x v="5"/>
    <x v="1"/>
    <x v="0"/>
    <s v="7791200"/>
    <n v="700020"/>
    <s v="Salaries-Physician Admin-Productive"/>
    <s v="Pierce Medical Unassigned"/>
    <x v="0"/>
    <m/>
    <n v="4230.7700000000004"/>
    <n v="4423.09"/>
    <n v="3846.16"/>
    <n v="4423.08"/>
    <n v="4230.78"/>
    <n v="4038.46"/>
    <n v="4429.8500000000004"/>
    <n v="3851.8"/>
    <n v="4044.4"/>
    <n v="4236.97"/>
    <n v="4423.53"/>
    <n v="7307.68"/>
    <n v="53486.57"/>
    <n v="6261.2300000000005"/>
  </r>
  <r>
    <x v="5"/>
    <x v="1"/>
    <x v="0"/>
    <s v="7791200"/>
    <n v="700020"/>
    <s v="Salaries-Physician Admin-Other"/>
    <s v="Pierce Medical Unassigned"/>
    <x v="0"/>
    <n v="2000"/>
    <n v="16802.13"/>
    <n v="-18824.45"/>
    <n v="48.12"/>
    <n v="5821.12"/>
    <n v="-1402.59"/>
    <n v="-3214.12"/>
    <n v="-150.08000000000001"/>
    <n v="3747.42"/>
    <n v="155.5"/>
    <n v="5608.4"/>
    <n v="627.46"/>
    <n v="-5633.77"/>
    <n v="3585.1399999999994"/>
    <n v="16639.62"/>
  </r>
  <r>
    <x v="5"/>
    <x v="1"/>
    <x v="0"/>
    <s v="7791200"/>
    <n v="700022"/>
    <s v="Salaries-Physician-Other"/>
    <s v="Pierce Medical Unassigned"/>
    <x v="0"/>
    <n v="2000"/>
    <n v="2291.21"/>
    <n v="528.44000000000005"/>
    <n v="2232.5500000000002"/>
    <n v="0"/>
    <n v="-2312.56"/>
    <n v="-20900.87"/>
    <n v="2801.03"/>
    <n v="-297.83999999999997"/>
    <n v="-3965.27"/>
    <n v="1158.98"/>
    <n v="12404.21"/>
    <n v="-4235.41"/>
    <n v="-10295.529999999999"/>
    <n v="0"/>
  </r>
  <r>
    <x v="5"/>
    <x v="1"/>
    <x v="0"/>
    <s v="7791200"/>
    <n v="700024"/>
    <s v="Salaries-Advanced Practice Clinician-Productive"/>
    <s v="Pierce Medical Unassigned"/>
    <x v="0"/>
    <m/>
    <n v="285.62"/>
    <n v="-445.27"/>
    <n v="0"/>
    <n v="0"/>
    <n v="0"/>
    <n v="0"/>
    <n v="0"/>
    <n v="0"/>
    <n v="0"/>
    <n v="0"/>
    <n v="0"/>
    <n v="0"/>
    <n v="-159.64999999999998"/>
    <n v="12967.109999999999"/>
  </r>
  <r>
    <x v="5"/>
    <x v="1"/>
    <x v="0"/>
    <s v="7791200"/>
    <n v="700024"/>
    <s v="Salaries-Advanced Practice Clinician-Other"/>
    <s v="Pierce Medical Unassigned"/>
    <x v="0"/>
    <n v="2000"/>
    <n v="159.07"/>
    <n v="0"/>
    <n v="-535.69000000000005"/>
    <n v="3110.83"/>
    <n v="-9520.16"/>
    <n v="-6041.65"/>
    <n v="-101"/>
    <n v="-391.9"/>
    <n v="1482.88"/>
    <n v="2847.14"/>
    <n v="2727.73"/>
    <n v="-10239.379999999999"/>
    <n v="-16502.129999999997"/>
    <n v="2764.07"/>
  </r>
  <r>
    <x v="6"/>
    <x v="1"/>
    <x v="0"/>
    <s v="7791200"/>
    <n v="713010"/>
    <s v="Benefits-FICA/Medicare"/>
    <s v="Pierce Medical Unassigned"/>
    <x v="0"/>
    <m/>
    <n v="652.15"/>
    <n v="1053.54"/>
    <n v="807.52"/>
    <n v="399.02"/>
    <n v="817.55"/>
    <n v="4412.5"/>
    <n v="3288.32"/>
    <n v="2132.77"/>
    <n v="1965.37"/>
    <n v="1789.02"/>
    <n v="3325.51"/>
    <n v="561.44000000000005"/>
    <n v="21204.710000000003"/>
    <n v="1471.23"/>
  </r>
  <r>
    <x v="6"/>
    <x v="1"/>
    <x v="0"/>
    <s v="7791200"/>
    <n v="713090"/>
    <s v="Benefits-Allocated Amounts"/>
    <s v="Pierce Medical Unassigned"/>
    <x v="0"/>
    <m/>
    <n v="933.28"/>
    <n v="-583.20000000000005"/>
    <n v="180.37"/>
    <n v="462.4"/>
    <n v="-313.66000000000003"/>
    <n v="-901.79"/>
    <n v="222.6"/>
    <n v="242.77"/>
    <n v="145.4"/>
    <n v="599.47"/>
    <n v="842.1"/>
    <n v="-629.13"/>
    <n v="1200.6099999999997"/>
    <n v="1992330.8499999999"/>
  </r>
  <r>
    <x v="17"/>
    <x v="1"/>
    <x v="0"/>
    <s v="7791200"/>
    <n v="714530"/>
    <s v="Medical Prof Fees-Intracompany"/>
    <s v="Pierce Medical Unassigned"/>
    <x v="0"/>
    <m/>
    <n v="-157611"/>
    <n v="-60383.64"/>
    <n v="-114090.72"/>
    <n v="-129066.47"/>
    <n v="-133056.54999999999"/>
    <n v="-105365.64"/>
    <n v="-128132.54"/>
    <n v="-160626.26"/>
    <n v="-156281.28"/>
    <n v="-78720.38"/>
    <n v="-110986.22"/>
    <n v="-2103317.0699999998"/>
    <n v="-3437637.7699999996"/>
    <n v="232"/>
  </r>
  <r>
    <x v="7"/>
    <x v="1"/>
    <x v="0"/>
    <s v="7791200"/>
    <n v="718060"/>
    <s v="Contract Services-CHI RRC Fees"/>
    <s v="Pierce Medical Unassigned"/>
    <x v="0"/>
    <m/>
    <n v="43590"/>
    <n v="54784"/>
    <n v="45625"/>
    <n v="44945"/>
    <n v="44669"/>
    <n v="44838"/>
    <n v="44841"/>
    <n v="45327"/>
    <n v="47085"/>
    <n v="45548"/>
    <n v="46618"/>
    <n v="46386"/>
    <n v="554256"/>
    <n v="0"/>
  </r>
  <r>
    <x v="7"/>
    <x v="1"/>
    <x v="0"/>
    <s v="7791200"/>
    <n v="718061"/>
    <s v="Contract Services-CRO Allocation"/>
    <s v="Pierce Medical Unassigned"/>
    <x v="0"/>
    <m/>
    <n v="3141"/>
    <n v="4377"/>
    <n v="3759"/>
    <n v="3759"/>
    <n v="3759"/>
    <n v="3759"/>
    <n v="3759"/>
    <n v="3759"/>
    <n v="3759"/>
    <n v="3759"/>
    <n v="3759"/>
    <n v="3759"/>
    <n v="45108"/>
    <n v="0"/>
  </r>
  <r>
    <x v="7"/>
    <x v="1"/>
    <x v="0"/>
    <s v="7791200"/>
    <n v="718065"/>
    <s v="Contract Services-CHI Legal Fees"/>
    <s v="Pierce Medical Unassigned"/>
    <x v="0"/>
    <m/>
    <n v="3852"/>
    <n v="4610"/>
    <n v="3852"/>
    <n v="3852"/>
    <n v="3852"/>
    <n v="3852"/>
    <n v="3852"/>
    <n v="3852"/>
    <n v="3852"/>
    <n v="3852"/>
    <n v="3852"/>
    <n v="3852"/>
    <n v="46982"/>
    <n v="0"/>
  </r>
  <r>
    <x v="7"/>
    <x v="1"/>
    <x v="0"/>
    <s v="7791200"/>
    <n v="718066"/>
    <s v="Contract Services-CHI Tax Services"/>
    <s v="Pierce Medical Unassigned"/>
    <x v="0"/>
    <m/>
    <n v="203"/>
    <n v="282.2"/>
    <n v="242.6"/>
    <n v="242.6"/>
    <n v="242.6"/>
    <n v="242.6"/>
    <n v="242.6"/>
    <n v="242.6"/>
    <n v="242.6"/>
    <n v="242.6"/>
    <n v="242.6"/>
    <n v="242.6"/>
    <n v="2911.1999999999994"/>
    <n v="0"/>
  </r>
  <r>
    <x v="7"/>
    <x v="1"/>
    <x v="0"/>
    <s v="7791200"/>
    <n v="718075"/>
    <s v="Contract Srvcs-CHI ITS Steady State"/>
    <s v="Pierce Medical Unassigned"/>
    <x v="0"/>
    <m/>
    <n v="195672"/>
    <n v="272600"/>
    <n v="234136"/>
    <n v="234136"/>
    <n v="234136"/>
    <n v="234136"/>
    <n v="234136"/>
    <n v="234136"/>
    <n v="234136"/>
    <n v="234136"/>
    <n v="234136"/>
    <n v="234136"/>
    <n v="2809632"/>
    <n v="0"/>
  </r>
  <r>
    <x v="7"/>
    <x v="1"/>
    <x v="0"/>
    <s v="7791200"/>
    <n v="718091"/>
    <s v="Contract Services-Intracompany Allocation"/>
    <s v="Pierce Medical Unassigned"/>
    <x v="0"/>
    <m/>
    <n v="88023"/>
    <n v="122629"/>
    <n v="105326"/>
    <n v="105326"/>
    <n v="105326"/>
    <n v="105326"/>
    <n v="105326"/>
    <n v="105326"/>
    <n v="105326"/>
    <n v="105326"/>
    <n v="105326"/>
    <n v="105326"/>
    <n v="1263912"/>
    <n v="0"/>
  </r>
  <r>
    <x v="26"/>
    <x v="1"/>
    <x v="0"/>
    <s v="7791200"/>
    <n v="747001"/>
    <s v="National Assessment"/>
    <s v="Pierce Medical Unassigned"/>
    <x v="0"/>
    <m/>
    <n v="79211"/>
    <n v="110353"/>
    <n v="94782"/>
    <n v="94782"/>
    <n v="94782"/>
    <n v="94782"/>
    <n v="94782"/>
    <n v="94782"/>
    <n v="94782"/>
    <n v="94782"/>
    <n v="94782"/>
    <n v="94782"/>
    <n v="1137384"/>
    <n v="0"/>
  </r>
  <r>
    <x v="0"/>
    <x v="1"/>
    <x v="0"/>
    <s v="7791200"/>
    <n v="765050"/>
    <s v="Local Income Tax"/>
    <s v="Pierce Medical Unassigned"/>
    <x v="0"/>
    <m/>
    <n v="0"/>
    <n v="0"/>
    <n v="0"/>
    <n v="3182.02"/>
    <n v="0"/>
    <n v="0"/>
    <n v="3301.72"/>
    <n v="0"/>
    <n v="0"/>
    <n v="2980.43"/>
    <n v="0"/>
    <n v="0"/>
    <n v="9464.17"/>
    <n v="0"/>
  </r>
  <r>
    <x v="7"/>
    <x v="6"/>
    <x v="0"/>
    <s v="7792107"/>
    <n v="718050"/>
    <s v="Miscellaneous Purchased Svcs"/>
    <s v="Bainbridge Shared Costs"/>
    <x v="0"/>
    <n v="1020"/>
    <n v="0"/>
    <n v="0"/>
    <n v="0"/>
    <n v="0"/>
    <n v="0"/>
    <n v="0"/>
    <n v="779.35"/>
    <n v="0"/>
    <n v="0"/>
    <n v="0"/>
    <n v="0"/>
    <n v="0"/>
    <n v="779.35"/>
    <n v="0"/>
  </r>
  <r>
    <x v="15"/>
    <x v="6"/>
    <x v="0"/>
    <s v="7792107"/>
    <n v="731060"/>
    <s v="Telephone"/>
    <s v="Bainbridge Shared Costs"/>
    <x v="0"/>
    <m/>
    <n v="526.1"/>
    <n v="525.19000000000005"/>
    <n v="525.19000000000005"/>
    <n v="533.29999999999995"/>
    <n v="533.32000000000005"/>
    <n v="559.13"/>
    <n v="551.72"/>
    <n v="551.72"/>
    <n v="552.72"/>
    <n v="552.04999999999995"/>
    <n v="552.04999999999995"/>
    <n v="552.04999999999995"/>
    <n v="6514.5400000000009"/>
    <n v="0"/>
  </r>
  <r>
    <x v="16"/>
    <x v="6"/>
    <x v="0"/>
    <s v="7792107"/>
    <n v="733030"/>
    <s v="Maintenance Contract-Elevator"/>
    <s v="Bainbridge Shared Costs"/>
    <x v="0"/>
    <n v="5101"/>
    <n v="0"/>
    <n v="0"/>
    <n v="0"/>
    <n v="0"/>
    <n v="0"/>
    <n v="8846.59"/>
    <n v="0"/>
    <n v="0"/>
    <n v="0"/>
    <n v="0"/>
    <n v="0"/>
    <n v="0"/>
    <n v="8846.59"/>
    <n v="3.0000000000086402E-2"/>
  </r>
  <r>
    <x v="13"/>
    <x v="6"/>
    <x v="0"/>
    <s v="7792107"/>
    <n v="735020"/>
    <s v="Depreciation-Land Improvements"/>
    <s v="Bainbridge Shared Costs"/>
    <x v="0"/>
    <m/>
    <n v="768.05"/>
    <n v="768.05"/>
    <n v="768.06"/>
    <n v="768.05"/>
    <n v="768.06"/>
    <n v="768.05"/>
    <n v="768.06"/>
    <n v="768.04"/>
    <n v="768.06"/>
    <n v="768.04"/>
    <n v="768.07"/>
    <n v="768.04"/>
    <n v="9216.630000000001"/>
    <n v="0.18000000000029104"/>
  </r>
  <r>
    <x v="13"/>
    <x v="6"/>
    <x v="0"/>
    <s v="7792107"/>
    <n v="735040"/>
    <s v="Depreciation-Building Improvements"/>
    <s v="Bainbridge Shared Costs"/>
    <x v="0"/>
    <m/>
    <n v="24097.119999999999"/>
    <n v="24097.11"/>
    <n v="24097.14"/>
    <n v="24097.11"/>
    <n v="24097.14"/>
    <n v="24097.08"/>
    <n v="24097.14"/>
    <n v="24097.02"/>
    <n v="24097.17"/>
    <n v="24097.01"/>
    <n v="24097.18"/>
    <n v="24097"/>
    <n v="289165.22000000003"/>
    <n v="3.0000000000654836E-2"/>
  </r>
  <r>
    <x v="13"/>
    <x v="6"/>
    <x v="0"/>
    <s v="7792107"/>
    <n v="735060"/>
    <s v="Depreciation-Fixed Equipment"/>
    <s v="Bainbridge Shared Costs"/>
    <x v="0"/>
    <m/>
    <n v="7514.7"/>
    <n v="7514.7"/>
    <n v="7514.7"/>
    <n v="7514.7"/>
    <n v="7514.72"/>
    <n v="7514.7"/>
    <n v="7514.72"/>
    <n v="7514.7"/>
    <n v="7514.72"/>
    <n v="7514.7"/>
    <n v="7514.72"/>
    <n v="7514.69"/>
    <n v="90176.469999999987"/>
    <n v="3.999999999996362E-2"/>
  </r>
  <r>
    <x v="13"/>
    <x v="6"/>
    <x v="0"/>
    <s v="7792107"/>
    <n v="735070"/>
    <s v="Depreciation-Movable Equipment"/>
    <s v="Bainbridge Shared Costs"/>
    <x v="0"/>
    <m/>
    <n v="3663.78"/>
    <n v="3663.78"/>
    <n v="3663.78"/>
    <n v="3663.77"/>
    <n v="3663.78"/>
    <n v="3663.76"/>
    <n v="3663.79"/>
    <n v="3663.75"/>
    <n v="3663.79"/>
    <n v="3663.75"/>
    <n v="3663.79"/>
    <n v="3663.75"/>
    <n v="43965.270000000004"/>
    <n v="135265.66"/>
  </r>
  <r>
    <x v="1"/>
    <x v="1"/>
    <x v="0"/>
    <s v="7792200"/>
    <n v="400040"/>
    <s v="Physician Svcs Rev--Medicare"/>
    <s v="Peninsula Unassigned"/>
    <x v="0"/>
    <n v="1100"/>
    <n v="30871.78"/>
    <n v="13265.85"/>
    <n v="-9682.5"/>
    <n v="82305.259999999995"/>
    <n v="-193893.61"/>
    <n v="-51762.51"/>
    <n v="-29249.25"/>
    <n v="352845.57"/>
    <n v="-149869.95000000001"/>
    <n v="-55842.58"/>
    <n v="211259.54"/>
    <n v="75993.88"/>
    <n v="276241.48"/>
    <n v="75503.349999999991"/>
  </r>
  <r>
    <x v="1"/>
    <x v="1"/>
    <x v="0"/>
    <s v="7792200"/>
    <n v="400040"/>
    <s v="Physician Svcs Rev--Medicaid"/>
    <s v="Peninsula Unassigned"/>
    <x v="0"/>
    <n v="1200"/>
    <n v="17232.18"/>
    <n v="7404.81"/>
    <n v="-5404.63"/>
    <n v="45941.61"/>
    <n v="-108228.65"/>
    <n v="-28893.07"/>
    <n v="-16326.51"/>
    <n v="196953.33"/>
    <n v="-83655.25"/>
    <n v="-31170.53"/>
    <n v="117922.04"/>
    <n v="42418.69"/>
    <n v="154194.01999999999"/>
    <n v="6545.3799999999992"/>
  </r>
  <r>
    <x v="1"/>
    <x v="1"/>
    <x v="0"/>
    <s v="7792200"/>
    <n v="400040"/>
    <s v="Physician Svcs Rev--Self Pay"/>
    <s v="Peninsula Unassigned"/>
    <x v="0"/>
    <n v="1500"/>
    <n v="1493.86"/>
    <n v="641.91999999999996"/>
    <n v="-468.53"/>
    <n v="3982.68"/>
    <n v="-9382.34"/>
    <n v="-2504.7399999999998"/>
    <n v="-1415.35"/>
    <n v="17073.89"/>
    <n v="-7252.08"/>
    <n v="-2702.17"/>
    <n v="10222.66"/>
    <n v="3677.28"/>
    <n v="13367.08"/>
    <n v="161990.26"/>
  </r>
  <r>
    <x v="1"/>
    <x v="1"/>
    <x v="0"/>
    <s v="7792200"/>
    <n v="400040"/>
    <s v="Physician Svcs Rev--Other"/>
    <s v="Peninsula Unassigned"/>
    <x v="0"/>
    <n v="1700"/>
    <n v="36971.14"/>
    <n v="15886.8"/>
    <n v="-11595.47"/>
    <n v="98566.39"/>
    <n v="-232201.38"/>
    <n v="-61989.29"/>
    <n v="-35028.050000000003"/>
    <n v="422557.65"/>
    <n v="-179479.92"/>
    <n v="-66875.460000000006"/>
    <n v="252998.32"/>
    <n v="91008.06"/>
    <n v="330818.78999999998"/>
    <n v="-95539.81"/>
  </r>
  <r>
    <x v="2"/>
    <x v="1"/>
    <x v="0"/>
    <s v="7792200"/>
    <n v="450040"/>
    <s v="Contr Allow--Phys Svcs--Mcare"/>
    <s v="Peninsula Unassigned"/>
    <x v="0"/>
    <n v="1100"/>
    <n v="-21426.25"/>
    <n v="-11046.63"/>
    <n v="3266.08"/>
    <n v="-56431.83"/>
    <n v="131063.76"/>
    <n v="36414.67"/>
    <n v="19998.509999999998"/>
    <n v="-242646.26"/>
    <n v="106788.6"/>
    <n v="38664.07"/>
    <n v="-146271.06"/>
    <n v="-50731.25"/>
    <n v="-192357.59"/>
    <n v="-56704.44"/>
  </r>
  <r>
    <x v="2"/>
    <x v="1"/>
    <x v="0"/>
    <s v="7792200"/>
    <n v="450040"/>
    <s v="Contr Allow--Phys Svcs--Mcaid"/>
    <s v="Peninsula Unassigned"/>
    <x v="0"/>
    <n v="1200"/>
    <n v="-14997.32"/>
    <n v="-6265.92"/>
    <n v="3666.74"/>
    <n v="-34619.370000000003"/>
    <n v="78147.070000000007"/>
    <n v="22022.240000000002"/>
    <n v="12184.7"/>
    <n v="-146989.04"/>
    <n v="62404.11"/>
    <n v="23260.34"/>
    <n v="-87996.81"/>
    <n v="-31292.37"/>
    <n v="-120475.63"/>
    <n v="0"/>
  </r>
  <r>
    <x v="2"/>
    <x v="1"/>
    <x v="0"/>
    <s v="7792200"/>
    <n v="450040"/>
    <s v="Contr Allow--Phys Svcs--Managed Care"/>
    <s v="Peninsula Unassigned"/>
    <x v="0"/>
    <n v="1400"/>
    <n v="0"/>
    <n v="0"/>
    <n v="0"/>
    <n v="0"/>
    <n v="0"/>
    <n v="201.67"/>
    <n v="0"/>
    <n v="0"/>
    <n v="0"/>
    <n v="0"/>
    <n v="0"/>
    <n v="0"/>
    <n v="201.67"/>
    <n v="-239.64"/>
  </r>
  <r>
    <x v="2"/>
    <x v="1"/>
    <x v="0"/>
    <s v="7792200"/>
    <n v="450040"/>
    <s v="Contr Allow--Phys Svcs--BCBS Mgnd Care"/>
    <s v="Peninsula Unassigned"/>
    <x v="0"/>
    <n v="1401"/>
    <n v="567.29"/>
    <n v="-567.29"/>
    <n v="0"/>
    <n v="0"/>
    <n v="0"/>
    <n v="0"/>
    <n v="0"/>
    <n v="1448.49"/>
    <n v="-1448.49"/>
    <n v="0"/>
    <n v="0"/>
    <n v="239.64"/>
    <n v="239.64"/>
    <n v="-4811.6600000000008"/>
  </r>
  <r>
    <x v="2"/>
    <x v="1"/>
    <x v="0"/>
    <s v="7792200"/>
    <n v="450040"/>
    <s v="Prompt Pay Disc-Phys Svcs-Self Pay"/>
    <s v="Peninsula Unassigned"/>
    <x v="0"/>
    <n v="1500"/>
    <n v="-751.35"/>
    <n v="-393.87"/>
    <n v="-1059"/>
    <n v="-1843.69"/>
    <n v="3580.65"/>
    <n v="3608.24"/>
    <n v="722.25"/>
    <n v="-9031.84"/>
    <n v="4862.2700000000004"/>
    <n v="1461.93"/>
    <n v="-5620.06"/>
    <n v="-808.4"/>
    <n v="-5272.87"/>
    <n v="-266.76"/>
  </r>
  <r>
    <x v="2"/>
    <x v="1"/>
    <x v="0"/>
    <s v="7792200"/>
    <n v="450040"/>
    <s v="Admin Adjust-Phys Svcs-Self Pay"/>
    <s v="Peninsula Unassigned"/>
    <x v="0"/>
    <n v="1600"/>
    <n v="1283.95"/>
    <n v="560.48"/>
    <n v="-703.47"/>
    <n v="403.83"/>
    <n v="-1043.53"/>
    <n v="315.47000000000003"/>
    <n v="3819.27"/>
    <n v="-4119.2700000000004"/>
    <n v="179.34"/>
    <n v="78.83"/>
    <n v="-270.2"/>
    <n v="-3.44"/>
    <n v="501.25999999999965"/>
    <n v="-77390.179999999993"/>
  </r>
  <r>
    <x v="2"/>
    <x v="1"/>
    <x v="0"/>
    <s v="7792200"/>
    <n v="450040"/>
    <s v="Contr Allow--Phys Svcs--Other"/>
    <s v="Peninsula Unassigned"/>
    <x v="0"/>
    <n v="1700"/>
    <n v="-18680.04"/>
    <n v="-9466.42"/>
    <n v="2084.3200000000002"/>
    <n v="-49107.95"/>
    <n v="96587.58"/>
    <n v="29007.23"/>
    <n v="16667.09"/>
    <n v="-201061.9"/>
    <n v="98801.02"/>
    <n v="33051.08"/>
    <n v="-125036.42"/>
    <n v="-47646.239999999998"/>
    <n v="-174800.65"/>
    <n v="-7.91"/>
  </r>
  <r>
    <x v="3"/>
    <x v="1"/>
    <x v="0"/>
    <s v="7792200"/>
    <n v="470040"/>
    <s v="Charity Care-Physician Svcs"/>
    <s v="Peninsula Unassigned"/>
    <x v="0"/>
    <m/>
    <n v="17.86"/>
    <n v="-18.48"/>
    <n v="0"/>
    <n v="0"/>
    <n v="0"/>
    <n v="0"/>
    <n v="0"/>
    <n v="40.729999999999997"/>
    <n v="-40.729999999999997"/>
    <n v="0"/>
    <n v="0"/>
    <n v="7.91"/>
    <n v="7.2900000000000027"/>
    <n v="-26.94"/>
  </r>
  <r>
    <x v="4"/>
    <x v="1"/>
    <x v="0"/>
    <s v="7792200"/>
    <n v="490010"/>
    <s v="Provision for Bad Debts"/>
    <s v="Peninsula Unassigned"/>
    <x v="0"/>
    <m/>
    <n v="84.6"/>
    <n v="-83.2"/>
    <n v="-8584.67"/>
    <n v="4.3"/>
    <n v="0"/>
    <n v="0"/>
    <n v="2.91"/>
    <n v="141.46"/>
    <n v="-141.46"/>
    <n v="3.25"/>
    <n v="0"/>
    <n v="26.94"/>
    <n v="-8545.8700000000008"/>
    <n v="-57.78"/>
  </r>
  <r>
    <x v="14"/>
    <x v="1"/>
    <x v="0"/>
    <s v="7792200"/>
    <n v="600050"/>
    <s v="Miscellaneous Revenue"/>
    <s v="Peninsula Unassigned"/>
    <x v="0"/>
    <m/>
    <n v="0"/>
    <n v="0"/>
    <n v="-104.22"/>
    <n v="0"/>
    <n v="0"/>
    <n v="0"/>
    <n v="0"/>
    <n v="0"/>
    <n v="-144.63999999999999"/>
    <n v="227.56"/>
    <n v="-57.78"/>
    <n v="0"/>
    <n v="-79.079999999999984"/>
    <n v="25620"/>
  </r>
  <r>
    <x v="5"/>
    <x v="1"/>
    <x v="0"/>
    <s v="7792200"/>
    <n v="700020"/>
    <s v="Salaries-Physician Admin-Productive"/>
    <s v="Peninsula Unassigned"/>
    <x v="0"/>
    <m/>
    <n v="1120"/>
    <n v="1680"/>
    <n v="0"/>
    <n v="1680"/>
    <n v="1120"/>
    <n v="-3540"/>
    <n v="22920.29"/>
    <n v="36.11"/>
    <n v="2002.08"/>
    <n v="0"/>
    <n v="5600"/>
    <n v="-20020"/>
    <n v="12598.480000000003"/>
    <n v="10077.76"/>
  </r>
  <r>
    <x v="5"/>
    <x v="1"/>
    <x v="0"/>
    <s v="7792200"/>
    <n v="700020"/>
    <s v="Salaries-Physician Admin-Other"/>
    <s v="Peninsula Unassigned"/>
    <x v="0"/>
    <n v="2000"/>
    <n v="83282.009999999995"/>
    <n v="-66413.83"/>
    <n v="332.93"/>
    <n v="6358.25"/>
    <n v="-4426.79"/>
    <n v="15874.91"/>
    <n v="3658.5"/>
    <n v="9622.3799999999992"/>
    <n v="4899.54"/>
    <n v="11143.87"/>
    <n v="5754.43"/>
    <n v="-4323.33"/>
    <n v="65762.87"/>
    <n v="0"/>
  </r>
  <r>
    <x v="5"/>
    <x v="1"/>
    <x v="0"/>
    <s v="7792200"/>
    <n v="700022"/>
    <s v="Salaries-Physician-Productive"/>
    <s v="Peninsula Unassigned"/>
    <x v="0"/>
    <m/>
    <n v="0"/>
    <n v="-55.74"/>
    <n v="0"/>
    <n v="1403.87"/>
    <n v="0"/>
    <n v="-5517.2"/>
    <n v="0"/>
    <n v="0"/>
    <n v="0"/>
    <n v="0"/>
    <n v="0"/>
    <n v="0"/>
    <n v="-4169.07"/>
    <n v="-1425678.19"/>
  </r>
  <r>
    <x v="5"/>
    <x v="1"/>
    <x v="0"/>
    <s v="7792200"/>
    <n v="700022"/>
    <s v="Salaries-Physician-Other"/>
    <s v="Peninsula Unassigned"/>
    <x v="0"/>
    <n v="2000"/>
    <n v="7095.96"/>
    <n v="7791.38"/>
    <n v="6731.52"/>
    <n v="39328.199999999997"/>
    <n v="962.63"/>
    <n v="-49252.47"/>
    <n v="1682.04"/>
    <n v="357.34"/>
    <n v="-896.1"/>
    <n v="18153.59"/>
    <n v="28053.86"/>
    <n v="1453732.05"/>
    <n v="1513740"/>
    <n v="0"/>
  </r>
  <r>
    <x v="5"/>
    <x v="1"/>
    <x v="0"/>
    <s v="7792200"/>
    <n v="700024"/>
    <s v="Salaries-Advanced Practice Clinician-Productive"/>
    <s v="Peninsula Unassigned"/>
    <x v="0"/>
    <m/>
    <n v="1415.72"/>
    <n v="-1570.96"/>
    <n v="0"/>
    <n v="0"/>
    <n v="0"/>
    <n v="0"/>
    <n v="0"/>
    <n v="0"/>
    <n v="0"/>
    <n v="0"/>
    <n v="0"/>
    <n v="0"/>
    <n v="-155.24"/>
    <n v="2682.42"/>
  </r>
  <r>
    <x v="5"/>
    <x v="1"/>
    <x v="0"/>
    <s v="7792200"/>
    <n v="700024"/>
    <s v="Salaries-Advanced Practice Clinician-Other"/>
    <s v="Peninsula Unassigned"/>
    <x v="0"/>
    <n v="2000"/>
    <n v="0"/>
    <n v="824.71"/>
    <n v="6904.49"/>
    <n v="-5618.29"/>
    <n v="-409.59"/>
    <n v="-15371.45"/>
    <n v="1984.05"/>
    <n v="-175.14"/>
    <n v="1523.79"/>
    <n v="-4809.1499999999996"/>
    <n v="602.13"/>
    <n v="-2080.29"/>
    <n v="-16624.740000000002"/>
    <n v="3552.6800000000003"/>
  </r>
  <r>
    <x v="6"/>
    <x v="1"/>
    <x v="0"/>
    <s v="7792200"/>
    <n v="713010"/>
    <s v="Benefits-FICA/Medicare"/>
    <s v="Peninsula Unassigned"/>
    <x v="0"/>
    <m/>
    <n v="0"/>
    <n v="4901.8900000000003"/>
    <n v="4629.67"/>
    <n v="4222.47"/>
    <n v="2957.62"/>
    <n v="4351.1000000000004"/>
    <n v="20733.2"/>
    <n v="3061.61"/>
    <n v="5531.3"/>
    <n v="4593.3900000000003"/>
    <n v="5211.8100000000004"/>
    <n v="1659.13"/>
    <n v="61853.189999999995"/>
    <n v="5515.14"/>
  </r>
  <r>
    <x v="6"/>
    <x v="1"/>
    <x v="0"/>
    <s v="7792200"/>
    <n v="713090"/>
    <s v="Benefits-Allocated Amounts"/>
    <s v="Peninsula Unassigned"/>
    <x v="0"/>
    <m/>
    <n v="3678.83"/>
    <n v="-2353.12"/>
    <n v="461.09"/>
    <n v="1536.11"/>
    <n v="-89.21"/>
    <n v="-2386.85"/>
    <n v="2279.42"/>
    <n v="349.21"/>
    <n v="636.91"/>
    <n v="1075.8499999999999"/>
    <n v="2042.91"/>
    <n v="-3472.23"/>
    <n v="3758.9199999999996"/>
    <n v="631870.3600000001"/>
  </r>
  <r>
    <x v="17"/>
    <x v="1"/>
    <x v="0"/>
    <s v="7792200"/>
    <n v="714530"/>
    <s v="Medical Prof Fees-Intracompany"/>
    <s v="Peninsula Unassigned"/>
    <x v="0"/>
    <m/>
    <n v="-380131.77"/>
    <n v="-316185.03000000003"/>
    <n v="-337664.13"/>
    <n v="-456017.91"/>
    <n v="-247712.18"/>
    <n v="-348513.79"/>
    <n v="-463208.34"/>
    <n v="-363470.92"/>
    <n v="-1306446.3600000001"/>
    <n v="-788601.33"/>
    <n v="-508860.25"/>
    <n v="-1140730.6100000001"/>
    <n v="-6657542.6200000001"/>
    <n v="140"/>
  </r>
  <r>
    <x v="7"/>
    <x v="1"/>
    <x v="0"/>
    <s v="7792200"/>
    <n v="718060"/>
    <s v="Contract Services-CHI RRC Fees"/>
    <s v="Peninsula Unassigned"/>
    <x v="0"/>
    <m/>
    <n v="26154"/>
    <n v="29113"/>
    <n v="27375"/>
    <n v="26967"/>
    <n v="26802"/>
    <n v="26903"/>
    <n v="26905"/>
    <n v="27196"/>
    <n v="28251"/>
    <n v="27329"/>
    <n v="27971"/>
    <n v="27831"/>
    <n v="328797"/>
    <n v="0"/>
  </r>
  <r>
    <x v="7"/>
    <x v="1"/>
    <x v="0"/>
    <s v="7792200"/>
    <n v="718061"/>
    <s v="Contract Services-CRO Allocation"/>
    <s v="Peninsula Unassigned"/>
    <x v="0"/>
    <m/>
    <n v="1943"/>
    <n v="2021"/>
    <n v="1982"/>
    <n v="1982"/>
    <n v="1982"/>
    <n v="1982"/>
    <n v="1982"/>
    <n v="1982"/>
    <n v="1982"/>
    <n v="1982"/>
    <n v="1982"/>
    <n v="1982"/>
    <n v="23784"/>
    <n v="0"/>
  </r>
  <r>
    <x v="7"/>
    <x v="1"/>
    <x v="0"/>
    <s v="7792200"/>
    <n v="718065"/>
    <s v="Contract Services-CHI Legal Fees"/>
    <s v="Peninsula Unassigned"/>
    <x v="0"/>
    <m/>
    <n v="2382"/>
    <n v="2431"/>
    <n v="2382"/>
    <n v="2382"/>
    <n v="2382"/>
    <n v="2382"/>
    <n v="2382"/>
    <n v="2382"/>
    <n v="2382"/>
    <n v="2382"/>
    <n v="2382"/>
    <n v="2382"/>
    <n v="28633"/>
    <n v="0"/>
  </r>
  <r>
    <x v="7"/>
    <x v="1"/>
    <x v="0"/>
    <s v="7792200"/>
    <n v="718066"/>
    <s v="Contract Services-CHI Tax Services"/>
    <s v="Peninsula Unassigned"/>
    <x v="0"/>
    <m/>
    <n v="125"/>
    <n v="131"/>
    <n v="128"/>
    <n v="128"/>
    <n v="128"/>
    <n v="128"/>
    <n v="128"/>
    <n v="128"/>
    <n v="128"/>
    <n v="128"/>
    <n v="128"/>
    <n v="128"/>
    <n v="1536"/>
    <n v="0"/>
  </r>
  <r>
    <x v="7"/>
    <x v="1"/>
    <x v="0"/>
    <s v="7792200"/>
    <n v="718075"/>
    <s v="Contract Srvcs-CHI ITS Steady State"/>
    <s v="Peninsula Unassigned"/>
    <x v="0"/>
    <m/>
    <n v="121013"/>
    <n v="125945"/>
    <n v="123479"/>
    <n v="123479"/>
    <n v="123479"/>
    <n v="123479"/>
    <n v="123479"/>
    <n v="123479"/>
    <n v="123479"/>
    <n v="123479"/>
    <n v="123479"/>
    <n v="123479"/>
    <n v="1481748"/>
    <n v="0"/>
  </r>
  <r>
    <x v="7"/>
    <x v="1"/>
    <x v="0"/>
    <s v="7792200"/>
    <n v="718091"/>
    <s v="Contract Services-Intracompany Allocation"/>
    <s v="Peninsula Unassigned"/>
    <x v="0"/>
    <m/>
    <n v="54438"/>
    <n v="56656"/>
    <n v="55547"/>
    <n v="55547"/>
    <n v="55547"/>
    <n v="55547"/>
    <n v="55547"/>
    <n v="55547"/>
    <n v="55547"/>
    <n v="55547"/>
    <n v="55547"/>
    <n v="55547"/>
    <n v="666564"/>
    <n v="6.9999999999708962E-2"/>
  </r>
  <r>
    <x v="13"/>
    <x v="1"/>
    <x v="0"/>
    <s v="7792200"/>
    <n v="735070"/>
    <s v="Depreciation-Movable Equipment"/>
    <s v="Peninsula Unassigned"/>
    <x v="0"/>
    <m/>
    <n v="45328.83"/>
    <n v="45328.83"/>
    <n v="45328.84"/>
    <n v="45328.83"/>
    <n v="45328.85"/>
    <n v="45328.83"/>
    <n v="45328.85"/>
    <n v="45328.83"/>
    <n v="45328.85"/>
    <n v="45328.82"/>
    <n v="45328.86"/>
    <n v="45328.79"/>
    <n v="543946.01"/>
    <n v="4.95"/>
  </r>
  <r>
    <x v="0"/>
    <x v="1"/>
    <x v="0"/>
    <s v="7792200"/>
    <n v="746020"/>
    <s v="Bank Fees--Ext to CHI Programs"/>
    <s v="Peninsula Unassigned"/>
    <x v="0"/>
    <m/>
    <n v="3.6"/>
    <n v="1.65"/>
    <n v="1.2"/>
    <n v="1.2"/>
    <n v="1.65"/>
    <n v="1.2"/>
    <n v="0"/>
    <n v="0"/>
    <n v="0"/>
    <n v="0"/>
    <n v="6.2"/>
    <n v="1.25"/>
    <n v="17.95"/>
    <n v="0"/>
  </r>
  <r>
    <x v="26"/>
    <x v="1"/>
    <x v="0"/>
    <s v="7792200"/>
    <n v="747001"/>
    <s v="National Assessment"/>
    <s v="Peninsula Unassigned"/>
    <x v="0"/>
    <m/>
    <n v="48988"/>
    <n v="50984"/>
    <n v="49986"/>
    <n v="49986"/>
    <n v="49986"/>
    <n v="49986"/>
    <n v="49986"/>
    <n v="49986"/>
    <n v="49986"/>
    <n v="49986"/>
    <n v="49986"/>
    <n v="49986"/>
    <n v="599832"/>
    <n v="-1500000"/>
  </r>
  <r>
    <x v="0"/>
    <x v="1"/>
    <x v="0"/>
    <s v="7792200"/>
    <n v="749525"/>
    <s v="Contingent Liability Expense"/>
    <s v="Peninsula Unassigned"/>
    <x v="0"/>
    <m/>
    <n v="0"/>
    <n v="0"/>
    <n v="0"/>
    <n v="0"/>
    <n v="0"/>
    <n v="0"/>
    <n v="0"/>
    <n v="0"/>
    <n v="0"/>
    <n v="0"/>
    <n v="0"/>
    <n v="1500000"/>
    <n v="1500000"/>
    <n v="-18107.759999999998"/>
  </r>
  <r>
    <x v="0"/>
    <x v="1"/>
    <x v="0"/>
    <s v="7792200"/>
    <n v="766010"/>
    <s v="Property Tax"/>
    <s v="Peninsula Unassigned"/>
    <x v="0"/>
    <m/>
    <n v="3017.96"/>
    <n v="3017.96"/>
    <n v="3017.96"/>
    <n v="-9053.8799999999992"/>
    <n v="0"/>
    <n v="0"/>
    <n v="0"/>
    <n v="0"/>
    <n v="0"/>
    <n v="992.46"/>
    <n v="-17859.64"/>
    <n v="248.12"/>
    <n v="-16619.059999999998"/>
    <n v="0"/>
  </r>
  <r>
    <x v="9"/>
    <x v="1"/>
    <x v="0"/>
    <s v="7792200"/>
    <n v="800015"/>
    <s v="Interest Income-Ext to CHI"/>
    <s v="Peninsula Unassigned"/>
    <x v="0"/>
    <m/>
    <n v="0"/>
    <n v="0"/>
    <n v="-0.12"/>
    <n v="0"/>
    <n v="0"/>
    <n v="0"/>
    <n v="0"/>
    <n v="0"/>
    <n v="0"/>
    <n v="0"/>
    <n v="0"/>
    <n v="0"/>
    <n v="-0.12"/>
    <n v="7.61"/>
  </r>
  <r>
    <x v="7"/>
    <x v="9"/>
    <x v="0"/>
    <s v="7792501"/>
    <n v="718050"/>
    <s v="Document Shredding/Storage"/>
    <s v="Downtown Region-Allocation"/>
    <x v="0"/>
    <n v="1012"/>
    <n v="11.72"/>
    <n v="11.99"/>
    <n v="11.03"/>
    <n v="11.42"/>
    <n v="11.81"/>
    <n v="11.81"/>
    <n v="11.69"/>
    <n v="10.039999999999999"/>
    <n v="10.39"/>
    <n v="13.59"/>
    <n v="15.42"/>
    <n v="7.81"/>
    <n v="138.72"/>
    <n v="73778.3"/>
  </r>
  <r>
    <x v="12"/>
    <x v="9"/>
    <x v="0"/>
    <s v="7792501"/>
    <n v="730010"/>
    <s v="Rental and Leases-Building (DO NOT USE)"/>
    <s v="Downtown Region-Allocation"/>
    <x v="0"/>
    <m/>
    <n v="80641.03"/>
    <n v="80412.33"/>
    <n v="80412.33"/>
    <n v="80412.33"/>
    <n v="80412.33"/>
    <n v="18621.79"/>
    <n v="70155.55"/>
    <n v="70155.55"/>
    <n v="72254.070000000007"/>
    <n v="73287.59"/>
    <n v="73778.3"/>
    <n v="0"/>
    <n v="780543.20000000007"/>
    <n v="11695.73"/>
  </r>
  <r>
    <x v="12"/>
    <x v="9"/>
    <x v="0"/>
    <s v="7792501"/>
    <n v="730010"/>
    <s v="Rental-Common Area Maint (DO NOT USE)"/>
    <s v="Downtown Region-Allocation"/>
    <x v="0"/>
    <n v="2200"/>
    <n v="0"/>
    <n v="0"/>
    <n v="0"/>
    <n v="0"/>
    <n v="0"/>
    <n v="63229.32"/>
    <n v="11695.56"/>
    <n v="11695.56"/>
    <n v="5332.34"/>
    <n v="11695.73"/>
    <n v="11695.73"/>
    <n v="0"/>
    <n v="115344.23999999999"/>
    <n v="-85763.78"/>
  </r>
  <r>
    <x v="12"/>
    <x v="9"/>
    <x v="0"/>
    <s v="7792501"/>
    <n v="730040"/>
    <s v="LT Lease-Real Estate"/>
    <s v="Downtown Region-Allocation"/>
    <x v="0"/>
    <m/>
    <n v="0"/>
    <n v="0"/>
    <n v="0"/>
    <n v="0"/>
    <n v="0"/>
    <n v="0"/>
    <n v="0"/>
    <n v="0"/>
    <n v="0"/>
    <n v="0"/>
    <n v="0"/>
    <n v="85763.78"/>
    <n v="85763.78"/>
    <n v="100"/>
  </r>
  <r>
    <x v="16"/>
    <x v="9"/>
    <x v="0"/>
    <s v="7792501"/>
    <n v="732030"/>
    <s v="Repairs&amp;Maintenance-Bldg Routine"/>
    <s v="Downtown Region-Allocation"/>
    <x v="0"/>
    <n v="2300"/>
    <n v="0"/>
    <n v="0"/>
    <n v="0"/>
    <n v="0"/>
    <n v="0"/>
    <n v="0"/>
    <n v="0"/>
    <n v="0"/>
    <n v="0"/>
    <n v="4.13"/>
    <n v="104.13"/>
    <n v="4.13"/>
    <n v="112.38999999999999"/>
    <n v="9.9999999999909051E-3"/>
  </r>
  <r>
    <x v="13"/>
    <x v="9"/>
    <x v="0"/>
    <s v="7792501"/>
    <n v="735020"/>
    <s v="Depreciation-Land Improvements"/>
    <s v="Downtown Region-Allocation"/>
    <x v="0"/>
    <m/>
    <n v="111.88"/>
    <n v="111.88"/>
    <n v="111.88"/>
    <n v="111.88"/>
    <n v="111.88"/>
    <n v="111.88"/>
    <n v="111.88"/>
    <n v="111.88"/>
    <n v="111.88"/>
    <n v="111.88"/>
    <n v="111.88"/>
    <n v="111.87"/>
    <n v="1342.5499999999997"/>
    <n v="311.85999999999876"/>
  </r>
  <r>
    <x v="13"/>
    <x v="9"/>
    <x v="0"/>
    <s v="7792501"/>
    <n v="735070"/>
    <s v="Depreciation-Movable Equipment"/>
    <s v="Downtown Region-Allocation"/>
    <x v="0"/>
    <m/>
    <n v="14725.53"/>
    <n v="14725.53"/>
    <n v="14725.54"/>
    <n v="14725.52"/>
    <n v="14725.54"/>
    <n v="14725.52"/>
    <n v="14725.54"/>
    <n v="14725.51"/>
    <n v="14725.56"/>
    <n v="14725.46"/>
    <n v="14725.56"/>
    <n v="14413.7"/>
    <n v="176394.51"/>
    <n v="0"/>
  </r>
  <r>
    <x v="8"/>
    <x v="9"/>
    <x v="0"/>
    <s v="7792501"/>
    <n v="741010"/>
    <s v="Liability Insurance-CHI Programs"/>
    <s v="Downtown Region-Allocation"/>
    <x v="0"/>
    <m/>
    <n v="2645.33"/>
    <n v="2645.33"/>
    <n v="2645.33"/>
    <n v="2645.33"/>
    <n v="2645.33"/>
    <n v="2645.33"/>
    <n v="2645.33"/>
    <n v="2645.33"/>
    <n v="2645.33"/>
    <n v="2645.33"/>
    <n v="2645.33"/>
    <n v="2645.33"/>
    <n v="31743.960000000006"/>
    <n v="0"/>
  </r>
  <r>
    <x v="8"/>
    <x v="9"/>
    <x v="0"/>
    <s v="7792501"/>
    <n v="741030"/>
    <s v="Property Insurance-CHI Programs"/>
    <s v="Downtown Region-Allocation"/>
    <x v="0"/>
    <m/>
    <n v="6464.98"/>
    <n v="6464.98"/>
    <n v="6464.98"/>
    <n v="6464.98"/>
    <n v="6464.98"/>
    <n v="6464.98"/>
    <n v="6464.98"/>
    <n v="6464.98"/>
    <n v="6464.98"/>
    <n v="6464.98"/>
    <n v="6464.98"/>
    <n v="6464.98"/>
    <n v="77579.75999999998"/>
    <n v="401773.75"/>
  </r>
  <r>
    <x v="1"/>
    <x v="1"/>
    <x v="0"/>
    <s v="7793200"/>
    <n v="400040"/>
    <s v="Physician Svcs Rev--Medicare"/>
    <s v="Pierce Surgical Unassigned"/>
    <x v="0"/>
    <n v="1100"/>
    <n v="54409.440000000002"/>
    <n v="150373.1"/>
    <n v="-5121.2"/>
    <n v="-144242.94"/>
    <n v="-105473.79"/>
    <n v="-28671.67"/>
    <n v="-111808.83"/>
    <n v="394265.06"/>
    <n v="-141753.23000000001"/>
    <n v="-97297.26"/>
    <n v="416275.42"/>
    <n v="14501.67"/>
    <n v="395455.76999999996"/>
    <n v="224264.35"/>
  </r>
  <r>
    <x v="1"/>
    <x v="1"/>
    <x v="0"/>
    <s v="7793200"/>
    <n v="400040"/>
    <s v="Physician Svcs Rev--Medicaid"/>
    <s v="Pierce Surgical Unassigned"/>
    <x v="0"/>
    <n v="1200"/>
    <n v="30370.57"/>
    <n v="83936.11"/>
    <n v="-2858.58"/>
    <n v="-80514.34"/>
    <n v="-58873.96"/>
    <n v="-16004.11"/>
    <n v="-62410.080000000002"/>
    <n v="220073.1"/>
    <n v="-79124.62"/>
    <n v="-54309.94"/>
    <n v="232358.97"/>
    <n v="8094.62"/>
    <n v="220737.74"/>
    <n v="19441.47"/>
  </r>
  <r>
    <x v="1"/>
    <x v="1"/>
    <x v="0"/>
    <s v="7793200"/>
    <n v="400040"/>
    <s v="Physician Svcs Rev--Self Pay"/>
    <s v="Pierce Surgical Unassigned"/>
    <x v="0"/>
    <n v="1500"/>
    <n v="2632.83"/>
    <n v="7276.42"/>
    <n v="-247.81"/>
    <n v="-6979.79"/>
    <n v="-5103.79"/>
    <n v="-1387.39"/>
    <n v="-5410.33"/>
    <n v="19078.14"/>
    <n v="-6859.32"/>
    <n v="-4708.13"/>
    <n v="20143.2"/>
    <n v="701.73"/>
    <n v="19135.759999999998"/>
    <n v="481152.63"/>
  </r>
  <r>
    <x v="1"/>
    <x v="1"/>
    <x v="0"/>
    <s v="7793200"/>
    <n v="400040"/>
    <s v="Physician Svcs Rev--Other"/>
    <s v="Pierce Surgical Unassigned"/>
    <x v="0"/>
    <n v="1700"/>
    <n v="65159.18"/>
    <n v="180082.47"/>
    <n v="-6133"/>
    <n v="-172741.17"/>
    <n v="-126312.36"/>
    <n v="-34336.36"/>
    <n v="-133899.01999999999"/>
    <n v="472160.43"/>
    <n v="-169759.57"/>
    <n v="-116520.39"/>
    <n v="498519.41"/>
    <n v="17366.78"/>
    <n v="473586.39999999991"/>
    <n v="-280849.12"/>
  </r>
  <r>
    <x v="2"/>
    <x v="1"/>
    <x v="0"/>
    <s v="7793200"/>
    <n v="450040"/>
    <s v="Contr Allow--Phys Svcs--Mcare"/>
    <s v="Pierce Surgical Unassigned"/>
    <x v="0"/>
    <n v="1100"/>
    <n v="-37762.33"/>
    <n v="-107863.82"/>
    <n v="3529.59"/>
    <n v="99413.77"/>
    <n v="67950.899999999994"/>
    <n v="20942.03"/>
    <n v="76664.800000000003"/>
    <n v="-270338.68"/>
    <n v="103006.88"/>
    <n v="67366.3"/>
    <n v="-288219.15999999997"/>
    <n v="-7370.04"/>
    <n v="-272679.75999999995"/>
    <n v="-167864.88"/>
  </r>
  <r>
    <x v="2"/>
    <x v="1"/>
    <x v="0"/>
    <s v="7793200"/>
    <n v="450040"/>
    <s v="Contr Allow--Phys Svcs--Mcaid"/>
    <s v="Pierce Surgical Unassigned"/>
    <x v="0"/>
    <n v="1200"/>
    <n v="-22972.799999999999"/>
    <n v="-64166.37"/>
    <n v="2157.5100000000002"/>
    <n v="60767.839999999997"/>
    <n v="39210.129999999997"/>
    <n v="12559.61"/>
    <n v="46577.52"/>
    <n v="-164243.65"/>
    <n v="59010.49"/>
    <n v="40527.64"/>
    <n v="-173392.94"/>
    <n v="-5528.06"/>
    <n v="-169493.08000000002"/>
    <n v="-12407"/>
  </r>
  <r>
    <x v="2"/>
    <x v="1"/>
    <x v="0"/>
    <s v="7793200"/>
    <n v="450040"/>
    <s v="Prompt Pay Disc-Phys Svcs-Self Pay"/>
    <s v="Pierce Surgical Unassigned"/>
    <x v="0"/>
    <n v="1500"/>
    <n v="-1324.2"/>
    <n v="-3728.66"/>
    <n v="124.15"/>
    <n v="3496.82"/>
    <n v="-307.19"/>
    <n v="4013.26"/>
    <n v="2760.89"/>
    <n v="-9735.58"/>
    <n v="5156.6099999999997"/>
    <n v="2588.37"/>
    <n v="-11074.03"/>
    <n v="1332.97"/>
    <n v="-6696.5900000000011"/>
    <n v="-234014.24000000002"/>
  </r>
  <r>
    <x v="2"/>
    <x v="1"/>
    <x v="0"/>
    <s v="7793200"/>
    <n v="450040"/>
    <s v="Contr Allow--Phys Svcs--Other"/>
    <s v="Pierce Surgical Unassigned"/>
    <x v="0"/>
    <n v="1700"/>
    <n v="-32922.32"/>
    <n v="-92701.14"/>
    <n v="3086.66"/>
    <n v="86938.2"/>
    <n v="32014.62"/>
    <n v="15682.68"/>
    <n v="63711.99"/>
    <n v="-224663.96"/>
    <n v="99883.97"/>
    <n v="57586.52"/>
    <n v="-246377.45"/>
    <n v="-12363.21"/>
    <n v="-250123.44"/>
    <n v="1394.33"/>
  </r>
  <r>
    <x v="5"/>
    <x v="1"/>
    <x v="0"/>
    <s v="7793200"/>
    <n v="700020"/>
    <s v="Salaries-Physician Admin-Productive"/>
    <s v="Pierce Surgical Unassigned"/>
    <x v="0"/>
    <m/>
    <n v="10153.879999999999"/>
    <n v="10615.42"/>
    <n v="9230.7999999999993"/>
    <n v="10615.42"/>
    <n v="10153.879999999999"/>
    <n v="9692.34"/>
    <n v="10631.66"/>
    <n v="9289.0400000000009"/>
    <n v="10481.02"/>
    <n v="10410.450000000001"/>
    <n v="10623.2"/>
    <n v="9228.8700000000008"/>
    <n v="121125.98"/>
    <n v="17284.330000000002"/>
  </r>
  <r>
    <x v="5"/>
    <x v="1"/>
    <x v="0"/>
    <s v="7793200"/>
    <n v="700020"/>
    <s v="Salaries-Physician Admin-Other"/>
    <s v="Pierce Surgical Unassigned"/>
    <x v="0"/>
    <n v="2000"/>
    <n v="26978.7"/>
    <n v="-30225.88"/>
    <n v="122.82"/>
    <n v="13068.7"/>
    <n v="-3319.73"/>
    <n v="-12123.6"/>
    <n v="-1765.68"/>
    <n v="4499.93"/>
    <n v="292.25"/>
    <n v="5158.92"/>
    <n v="3819.01"/>
    <n v="-13465.32"/>
    <n v="-6959.8799999999992"/>
    <n v="52876.34"/>
  </r>
  <r>
    <x v="5"/>
    <x v="1"/>
    <x v="0"/>
    <s v="7793200"/>
    <n v="700022"/>
    <s v="Salaries-Physician-Productive"/>
    <s v="Pierce Surgical Unassigned"/>
    <x v="0"/>
    <m/>
    <n v="0"/>
    <n v="0"/>
    <n v="0"/>
    <n v="458.52"/>
    <n v="0"/>
    <n v="0"/>
    <n v="0"/>
    <n v="0"/>
    <n v="0"/>
    <n v="0"/>
    <n v="0"/>
    <n v="-52876.34"/>
    <n v="-52417.82"/>
    <n v="215253.91"/>
  </r>
  <r>
    <x v="5"/>
    <x v="1"/>
    <x v="0"/>
    <s v="7793200"/>
    <n v="700022"/>
    <s v="Salaries-Physician-Other"/>
    <s v="Pierce Surgical Unassigned"/>
    <x v="0"/>
    <n v="2000"/>
    <n v="14725.97"/>
    <n v="10502.9"/>
    <n v="37798.39"/>
    <n v="-8708.7199999999993"/>
    <n v="-32293.95"/>
    <n v="-51483.25"/>
    <n v="27867.05"/>
    <n v="-448.12"/>
    <n v="-27229.56"/>
    <n v="-918.91"/>
    <n v="70917.38"/>
    <n v="-144336.53"/>
    <n v="-103607.35"/>
    <n v="0"/>
  </r>
  <r>
    <x v="5"/>
    <x v="1"/>
    <x v="0"/>
    <s v="7793200"/>
    <n v="700024"/>
    <s v="Salaries-Advanced Practice Clinician-Productive"/>
    <s v="Pierce Surgical Unassigned"/>
    <x v="0"/>
    <m/>
    <n v="458.61"/>
    <n v="-714.96"/>
    <n v="0"/>
    <n v="0"/>
    <n v="0"/>
    <n v="0"/>
    <n v="0"/>
    <n v="0"/>
    <n v="0"/>
    <n v="0"/>
    <n v="0"/>
    <n v="0"/>
    <n v="-256.35000000000002"/>
    <n v="3751.3399999999997"/>
  </r>
  <r>
    <x v="5"/>
    <x v="1"/>
    <x v="0"/>
    <s v="7793200"/>
    <n v="700024"/>
    <s v="Salaries-Advanced Practice Clinician-Other"/>
    <s v="Pierce Surgical Unassigned"/>
    <x v="0"/>
    <n v="2000"/>
    <n v="1526.69"/>
    <n v="315.02999999999997"/>
    <n v="-221.82"/>
    <n v="909.09"/>
    <n v="300"/>
    <n v="-805.41"/>
    <n v="136.81"/>
    <n v="8.44"/>
    <n v="297.33"/>
    <n v="586.26"/>
    <n v="875.1"/>
    <n v="-2876.24"/>
    <n v="1051.2800000000002"/>
    <n v="11266.44"/>
  </r>
  <r>
    <x v="6"/>
    <x v="1"/>
    <x v="0"/>
    <s v="7793200"/>
    <n v="713010"/>
    <s v="Benefits-FICA/Medicare"/>
    <s v="Pierce Surgical Unassigned"/>
    <x v="0"/>
    <m/>
    <n v="4568.6099999999997"/>
    <n v="3690.66"/>
    <n v="5671.46"/>
    <n v="4025.53"/>
    <n v="4216.12"/>
    <n v="9524.15"/>
    <n v="17347.689999999999"/>
    <n v="13674.45"/>
    <n v="6473.04"/>
    <n v="9793.91"/>
    <n v="11666.51"/>
    <n v="400.07"/>
    <n v="91052.2"/>
    <n v="12214.099999999999"/>
  </r>
  <r>
    <x v="6"/>
    <x v="1"/>
    <x v="0"/>
    <s v="7793200"/>
    <n v="713090"/>
    <s v="Benefits-Allocated Amounts"/>
    <s v="Pierce Surgical Unassigned"/>
    <x v="0"/>
    <m/>
    <n v="2102.3200000000002"/>
    <n v="-468.6"/>
    <n v="1660.68"/>
    <n v="493.13"/>
    <n v="-889.65"/>
    <n v="-1896.17"/>
    <n v="1407.15"/>
    <n v="404.29"/>
    <n v="-290.04000000000002"/>
    <n v="432.17"/>
    <n v="3624.95"/>
    <n v="-8589.15"/>
    <n v="-2008.9199999999992"/>
    <n v="1850803.6400000001"/>
  </r>
  <r>
    <x v="17"/>
    <x v="1"/>
    <x v="0"/>
    <s v="7793200"/>
    <n v="714530"/>
    <s v="Medical Prof Fees-Intracompany"/>
    <s v="Pierce Surgical Unassigned"/>
    <x v="0"/>
    <m/>
    <n v="-958468.6"/>
    <n v="-850344.79"/>
    <n v="-150355.41"/>
    <n v="-484718.6"/>
    <n v="-270329.93"/>
    <n v="-411088.16"/>
    <n v="21099.24"/>
    <n v="-200138.15"/>
    <n v="-409305.88"/>
    <n v="-309332.01"/>
    <n v="-5521.21"/>
    <n v="-1856324.85"/>
    <n v="-5884828.3499999996"/>
    <n v="111.30999999999999"/>
  </r>
  <r>
    <x v="7"/>
    <x v="1"/>
    <x v="0"/>
    <s v="7793200"/>
    <n v="718050"/>
    <s v="Document Shredding/Storage"/>
    <s v="Pierce Surgical Unassigned"/>
    <x v="0"/>
    <n v="1012"/>
    <n v="0"/>
    <n v="0"/>
    <n v="0"/>
    <n v="0"/>
    <n v="0"/>
    <n v="0"/>
    <n v="0"/>
    <n v="974.68"/>
    <n v="96.25"/>
    <n v="114.03"/>
    <n v="171.89"/>
    <n v="60.58"/>
    <n v="1417.4299999999998"/>
    <n v="0"/>
  </r>
  <r>
    <x v="7"/>
    <x v="1"/>
    <x v="0"/>
    <s v="7793200"/>
    <n v="718050"/>
    <s v="Translation Services"/>
    <s v="Pierce Surgical Unassigned"/>
    <x v="0"/>
    <n v="1025"/>
    <n v="0"/>
    <n v="0"/>
    <n v="0"/>
    <n v="0"/>
    <n v="0"/>
    <n v="0"/>
    <n v="0"/>
    <n v="156.19"/>
    <n v="0"/>
    <n v="0"/>
    <n v="0"/>
    <n v="0"/>
    <n v="156.19"/>
    <n v="197"/>
  </r>
  <r>
    <x v="7"/>
    <x v="1"/>
    <x v="0"/>
    <s v="7793200"/>
    <n v="718060"/>
    <s v="Contract Services-CHI RRC Fees"/>
    <s v="Pierce Surgical Unassigned"/>
    <x v="0"/>
    <m/>
    <n v="37051"/>
    <n v="51059"/>
    <n v="38782"/>
    <n v="38203"/>
    <n v="37969"/>
    <n v="38113"/>
    <n v="38115"/>
    <n v="38528"/>
    <n v="40022"/>
    <n v="38716"/>
    <n v="39625"/>
    <n v="39428"/>
    <n v="475611"/>
    <n v="0"/>
  </r>
  <r>
    <x v="7"/>
    <x v="1"/>
    <x v="0"/>
    <s v="7793200"/>
    <n v="718061"/>
    <s v="Contract Services-CRO Allocation"/>
    <s v="Pierce Surgical Unassigned"/>
    <x v="0"/>
    <m/>
    <n v="2681"/>
    <n v="4361"/>
    <n v="3521"/>
    <n v="3521"/>
    <n v="3521"/>
    <n v="3521"/>
    <n v="3521"/>
    <n v="3521"/>
    <n v="3521"/>
    <n v="3521"/>
    <n v="3521"/>
    <n v="3521"/>
    <n v="42252"/>
    <n v="0"/>
  </r>
  <r>
    <x v="7"/>
    <x v="1"/>
    <x v="0"/>
    <s v="7793200"/>
    <n v="718065"/>
    <s v="Contract Services-CHI Legal Fees"/>
    <s v="Pierce Surgical Unassigned"/>
    <x v="0"/>
    <m/>
    <n v="3287"/>
    <n v="4318"/>
    <n v="3287"/>
    <n v="3287"/>
    <n v="3287"/>
    <n v="3287"/>
    <n v="3287"/>
    <n v="3287"/>
    <n v="3287"/>
    <n v="3287"/>
    <n v="3287"/>
    <n v="3287"/>
    <n v="40475"/>
    <n v="0"/>
  </r>
  <r>
    <x v="7"/>
    <x v="1"/>
    <x v="0"/>
    <s v="7793200"/>
    <n v="718066"/>
    <s v="Contract Services-CHI Tax Services"/>
    <s v="Pierce Surgical Unassigned"/>
    <x v="0"/>
    <m/>
    <n v="173"/>
    <n v="281.60000000000002"/>
    <n v="227.3"/>
    <n v="227.3"/>
    <n v="227.3"/>
    <n v="227.3"/>
    <n v="227.3"/>
    <n v="227.3"/>
    <n v="227.3"/>
    <n v="227.3"/>
    <n v="227.3"/>
    <n v="227.3"/>
    <n v="2727.6000000000004"/>
    <n v="0"/>
  </r>
  <r>
    <x v="7"/>
    <x v="1"/>
    <x v="0"/>
    <s v="7793200"/>
    <n v="718075"/>
    <s v="Contract Srvcs-CHI ITS Steady State"/>
    <s v="Pierce Surgical Unassigned"/>
    <x v="0"/>
    <m/>
    <n v="166972"/>
    <n v="271712"/>
    <n v="219342"/>
    <n v="219342"/>
    <n v="219342"/>
    <n v="219342"/>
    <n v="219342"/>
    <n v="219342"/>
    <n v="219342"/>
    <n v="219342"/>
    <n v="219342"/>
    <n v="219342"/>
    <n v="2632104"/>
    <n v="0"/>
  </r>
  <r>
    <x v="7"/>
    <x v="1"/>
    <x v="0"/>
    <s v="7793200"/>
    <n v="718091"/>
    <s v="Contract Services-Intracompany Allocation"/>
    <s v="Pierce Surgical Unassigned"/>
    <x v="0"/>
    <m/>
    <n v="75113"/>
    <n v="122229"/>
    <n v="98671"/>
    <n v="98671"/>
    <n v="98671"/>
    <n v="98671"/>
    <n v="98671"/>
    <n v="98671"/>
    <n v="98671"/>
    <n v="98671"/>
    <n v="98671"/>
    <n v="98671"/>
    <n v="1184052"/>
    <n v="0"/>
  </r>
  <r>
    <x v="15"/>
    <x v="1"/>
    <x v="0"/>
    <s v="7793200"/>
    <n v="731070"/>
    <s v="Cable TV"/>
    <s v="Pierce Surgical Unassigned"/>
    <x v="0"/>
    <m/>
    <n v="0"/>
    <n v="0"/>
    <n v="0"/>
    <n v="0"/>
    <n v="0"/>
    <n v="0"/>
    <n v="0"/>
    <n v="836.92"/>
    <n v="0"/>
    <n v="0"/>
    <n v="0"/>
    <n v="0"/>
    <n v="836.92"/>
    <n v="0"/>
  </r>
  <r>
    <x v="26"/>
    <x v="1"/>
    <x v="0"/>
    <s v="7793200"/>
    <n v="747001"/>
    <s v="National Assessment"/>
    <s v="Pierce Surgical Unassigned"/>
    <x v="0"/>
    <m/>
    <n v="67593"/>
    <n v="109993"/>
    <n v="88793"/>
    <n v="88793"/>
    <n v="88793"/>
    <n v="88793"/>
    <n v="88793"/>
    <n v="88793"/>
    <n v="88793"/>
    <n v="88793"/>
    <n v="88793"/>
    <n v="88793"/>
    <n v="1065516"/>
    <n v="0"/>
  </r>
  <r>
    <x v="5"/>
    <x v="3"/>
    <x v="0"/>
    <s v="7795101"/>
    <n v="700026"/>
    <s v="Salaries-RN-Productive"/>
    <s v="SEH Enterostom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95101"/>
    <n v="713010"/>
    <s v="Benefits-FICA/Medicare"/>
    <s v="SEH Enterostomy Clearing"/>
    <x v="0"/>
    <m/>
    <n v="0"/>
    <n v="0"/>
    <n v="0"/>
    <n v="0"/>
    <n v="0"/>
    <n v="0"/>
    <n v="0"/>
    <n v="0"/>
    <n v="0"/>
    <n v="0"/>
    <n v="0"/>
    <n v="0"/>
    <n v="0"/>
    <n v="-1502.5900000000001"/>
  </r>
  <r>
    <x v="5"/>
    <x v="1"/>
    <x v="0"/>
    <s v="7795200"/>
    <n v="700020"/>
    <s v="Salaries-Physician Admin-Other"/>
    <s v="Physician Risk Bundles Clear"/>
    <x v="0"/>
    <n v="2000"/>
    <n v="3846.16"/>
    <n v="3846.16"/>
    <n v="3846.16"/>
    <n v="3846.16"/>
    <n v="3846.16"/>
    <n v="5769.24"/>
    <n v="3846.16"/>
    <n v="3846.16"/>
    <n v="3846.16"/>
    <n v="3846.16"/>
    <n v="4266.6499999999996"/>
    <n v="5769.24"/>
    <n v="50420.570000000007"/>
    <n v="4267.6900000000023"/>
  </r>
  <r>
    <x v="5"/>
    <x v="1"/>
    <x v="0"/>
    <s v="7795200"/>
    <n v="700022"/>
    <s v="Salaries-Physician-Productive"/>
    <s v="Physician Risk Bundles Clear"/>
    <x v="0"/>
    <m/>
    <n v="23453.360000000001"/>
    <n v="24519.43"/>
    <n v="21321.24"/>
    <n v="35867.24"/>
    <n v="12105.55"/>
    <n v="22387.3"/>
    <n v="24556.95"/>
    <n v="21352.52"/>
    <n v="6939.61"/>
    <n v="24021.57"/>
    <n v="22390.74"/>
    <n v="18123.05"/>
    <n v="257038.55999999997"/>
    <n v="766.75"/>
  </r>
  <r>
    <x v="5"/>
    <x v="1"/>
    <x v="0"/>
    <s v="7795200"/>
    <n v="700024"/>
    <s v="Salaries-Advanced Practice Clinician-Productive"/>
    <s v="Physician Risk Bundles Clear"/>
    <x v="0"/>
    <m/>
    <n v="5614.48"/>
    <n v="5869.7"/>
    <n v="5104.08"/>
    <n v="5869.69"/>
    <n v="5614.49"/>
    <n v="5359.28"/>
    <n v="5878.69"/>
    <n v="5111.58"/>
    <n v="1320.51"/>
    <n v="5835.71"/>
    <n v="5878.33"/>
    <n v="5111.58"/>
    <n v="62568.12000000001"/>
    <n v="0"/>
  </r>
  <r>
    <x v="5"/>
    <x v="1"/>
    <x v="0"/>
    <s v="7795200"/>
    <n v="700024"/>
    <s v="Salaries-Advanced Practice Clinician-Provider Incentive"/>
    <s v="Physician Risk Bundles Clear"/>
    <x v="0"/>
    <n v="4003"/>
    <n v="0"/>
    <n v="500"/>
    <n v="0"/>
    <n v="0"/>
    <n v="0"/>
    <n v="0"/>
    <n v="0"/>
    <n v="0"/>
    <n v="0"/>
    <n v="0"/>
    <n v="0"/>
    <n v="0"/>
    <n v="500"/>
    <n v="-1066.0700000000002"/>
  </r>
  <r>
    <x v="5"/>
    <x v="1"/>
    <x v="0"/>
    <s v="7795200"/>
    <n v="700062"/>
    <s v="Salaries-Physician-Non-productive"/>
    <s v="Physician Risk Bundles Clear"/>
    <x v="0"/>
    <m/>
    <n v="0"/>
    <n v="0"/>
    <n v="0"/>
    <n v="0"/>
    <n v="0"/>
    <n v="0"/>
    <n v="0"/>
    <n v="0"/>
    <n v="15480.55"/>
    <n v="-533.80999999999995"/>
    <n v="2132.12"/>
    <n v="3198.19"/>
    <n v="20277.05"/>
    <n v="0"/>
  </r>
  <r>
    <x v="5"/>
    <x v="1"/>
    <x v="0"/>
    <s v="7795200"/>
    <n v="700064"/>
    <s v="Salaries-Advanced Practice Clinician-Non-Productive"/>
    <s v="Physician Risk Bundles Clear"/>
    <x v="0"/>
    <m/>
    <n v="0"/>
    <n v="0"/>
    <n v="0"/>
    <n v="0"/>
    <n v="0"/>
    <n v="0"/>
    <n v="0"/>
    <n v="0"/>
    <n v="4046.65"/>
    <n v="-212.98"/>
    <n v="0"/>
    <n v="0"/>
    <n v="3833.67"/>
    <n v="333.24"/>
  </r>
  <r>
    <x v="6"/>
    <x v="1"/>
    <x v="0"/>
    <s v="7795200"/>
    <n v="713010"/>
    <s v="Benefits-FICA/Medicare"/>
    <s v="Physician Risk Bundles Clear"/>
    <x v="0"/>
    <m/>
    <n v="750.64"/>
    <n v="823.94"/>
    <n v="682.41"/>
    <n v="1080.8900000000001"/>
    <n v="620.37"/>
    <n v="1435.98"/>
    <n v="2559.98"/>
    <n v="2259.2399999999998"/>
    <n v="2090.0500000000002"/>
    <n v="2193.13"/>
    <n v="1134.21"/>
    <n v="800.97"/>
    <n v="16431.810000000001"/>
    <n v="-155.51000000000022"/>
  </r>
  <r>
    <x v="6"/>
    <x v="1"/>
    <x v="0"/>
    <s v="7795200"/>
    <n v="713090"/>
    <s v="Benefits-Allocated Amounts"/>
    <s v="Physician Risk Bundles Clear"/>
    <x v="0"/>
    <m/>
    <n v="2804.32"/>
    <n v="2588.6999999999998"/>
    <n v="2515.91"/>
    <n v="3079.94"/>
    <n v="2248.06"/>
    <n v="2853.23"/>
    <n v="3343.34"/>
    <n v="3072.21"/>
    <n v="3444.5"/>
    <n v="2874.16"/>
    <n v="2983.22"/>
    <n v="3138.73"/>
    <n v="34946.32"/>
    <n v="-2643.4499999999971"/>
  </r>
  <r>
    <x v="7"/>
    <x v="1"/>
    <x v="0"/>
    <s v="7795200"/>
    <n v="718091"/>
    <s v="Contract Services-Intracompany Allocation"/>
    <s v="Physician Risk Bundles Clear"/>
    <x v="0"/>
    <m/>
    <n v="-37179.449999999997"/>
    <n v="-38858.42"/>
    <n v="-34180.32"/>
    <n v="-51354.43"/>
    <n v="-25876.13"/>
    <n v="-38515.5"/>
    <n v="-43528.13"/>
    <n v="-36352.21"/>
    <n v="-37878.54"/>
    <n v="-39109.449999999997"/>
    <n v="-39495.74"/>
    <n v="-36852.29"/>
    <n v="-459180.61"/>
    <n v="0"/>
  </r>
  <r>
    <x v="0"/>
    <x v="1"/>
    <x v="0"/>
    <s v="7795200"/>
    <n v="740022"/>
    <s v="Education-Physician"/>
    <s v="Physician Risk Bundles Clear"/>
    <x v="0"/>
    <m/>
    <n v="0"/>
    <n v="0"/>
    <n v="0"/>
    <n v="0"/>
    <n v="0"/>
    <n v="0"/>
    <n v="1098"/>
    <n v="0"/>
    <n v="0"/>
    <n v="0"/>
    <n v="0"/>
    <n v="0"/>
    <n v="1098"/>
    <n v="0"/>
  </r>
  <r>
    <x v="0"/>
    <x v="1"/>
    <x v="0"/>
    <s v="7795200"/>
    <n v="740023"/>
    <s v="Education-Advanced Practice Clinician"/>
    <s v="Physician Risk Bundles Clear"/>
    <x v="0"/>
    <m/>
    <n v="0"/>
    <n v="0"/>
    <n v="0"/>
    <n v="900"/>
    <n v="0"/>
    <n v="0"/>
    <n v="0"/>
    <n v="0"/>
    <n v="0"/>
    <n v="0"/>
    <n v="0"/>
    <n v="0"/>
    <n v="900"/>
    <n v="0"/>
  </r>
  <r>
    <x v="8"/>
    <x v="1"/>
    <x v="0"/>
    <s v="7795200"/>
    <n v="741012"/>
    <s v="Physician Liab Insurance-CHI Program"/>
    <s v="Physician Risk Bundles Clear"/>
    <x v="0"/>
    <m/>
    <n v="710.5"/>
    <n v="710.5"/>
    <n v="710.5"/>
    <n v="710.5"/>
    <n v="710.5"/>
    <n v="710.5"/>
    <n v="710.5"/>
    <n v="710.5"/>
    <n v="710.5"/>
    <n v="710.5"/>
    <n v="710.5"/>
    <n v="710.5"/>
    <n v="8526"/>
    <n v="0"/>
  </r>
  <r>
    <x v="0"/>
    <x v="1"/>
    <x v="0"/>
    <s v="7795200"/>
    <n v="749510"/>
    <s v="Miscellaneous Expenses"/>
    <s v="Physician Risk Bundles Clear"/>
    <x v="0"/>
    <m/>
    <n v="0"/>
    <n v="0"/>
    <n v="0"/>
    <n v="0"/>
    <n v="731"/>
    <n v="-731"/>
    <n v="0"/>
    <n v="0"/>
    <n v="0"/>
    <n v="0"/>
    <n v="0"/>
    <n v="0"/>
    <n v="0"/>
    <n v="0"/>
  </r>
  <r>
    <x v="0"/>
    <x v="1"/>
    <x v="0"/>
    <s v="7795200"/>
    <n v="749512"/>
    <s v="Licenses-Physician"/>
    <s v="Physician Risk Bundles Clear"/>
    <x v="0"/>
    <n v="2000"/>
    <n v="0"/>
    <n v="0"/>
    <n v="0"/>
    <n v="0"/>
    <n v="0"/>
    <n v="731"/>
    <n v="0"/>
    <n v="0"/>
    <n v="0"/>
    <n v="0"/>
    <n v="0"/>
    <n v="0"/>
    <n v="731"/>
    <n v="0"/>
  </r>
  <r>
    <x v="0"/>
    <x v="1"/>
    <x v="0"/>
    <s v="7795200"/>
    <n v="749513"/>
    <s v="Licenses-Advanced Practice Clinician"/>
    <s v="Physician Risk Bundles Clear"/>
    <x v="0"/>
    <n v="2000"/>
    <n v="0"/>
    <n v="0"/>
    <n v="0"/>
    <n v="0"/>
    <n v="0"/>
    <n v="0"/>
    <n v="0"/>
    <n v="0"/>
    <n v="0"/>
    <n v="375"/>
    <n v="0"/>
    <n v="0"/>
    <n v="375"/>
    <n v="0"/>
  </r>
  <r>
    <x v="0"/>
    <x v="1"/>
    <x v="0"/>
    <s v="7795200"/>
    <n v="749532"/>
    <s v="Travel-Physician"/>
    <s v="Physician Risk Bundles Clear"/>
    <x v="0"/>
    <m/>
    <n v="0"/>
    <n v="0"/>
    <n v="0"/>
    <n v="0"/>
    <n v="0"/>
    <n v="0"/>
    <n v="1534.49"/>
    <n v="0"/>
    <n v="0"/>
    <n v="0"/>
    <n v="0"/>
    <n v="0"/>
    <n v="1534.49"/>
    <n v="0"/>
  </r>
  <r>
    <x v="5"/>
    <x v="3"/>
    <x v="0"/>
    <s v="7796101"/>
    <n v="700026"/>
    <s v="Salaries-RN-Productive"/>
    <s v="FMG PA Clearing"/>
    <x v="0"/>
    <m/>
    <n v="0"/>
    <n v="0"/>
    <n v="0"/>
    <n v="0"/>
    <n v="0"/>
    <n v="0"/>
    <n v="156.25"/>
    <n v="0"/>
    <n v="0"/>
    <n v="0"/>
    <n v="0"/>
    <n v="0"/>
    <n v="156.25"/>
    <n v="0"/>
  </r>
  <r>
    <x v="5"/>
    <x v="3"/>
    <x v="0"/>
    <s v="7796101"/>
    <n v="700026"/>
    <s v="Salaries-RN-Other"/>
    <s v="FMG PA Clearing"/>
    <x v="0"/>
    <n v="2000"/>
    <n v="0"/>
    <n v="0"/>
    <n v="0"/>
    <n v="0"/>
    <n v="0"/>
    <n v="0"/>
    <n v="8.51"/>
    <n v="0"/>
    <n v="0"/>
    <n v="0"/>
    <n v="0"/>
    <n v="0"/>
    <n v="8.51"/>
    <n v="0"/>
  </r>
  <r>
    <x v="5"/>
    <x v="3"/>
    <x v="0"/>
    <s v="7796101"/>
    <n v="700066"/>
    <s v="Salaries-RN-NonProd-Other"/>
    <s v="FMG PA Clearing"/>
    <x v="0"/>
    <n v="2000"/>
    <n v="0"/>
    <n v="0"/>
    <n v="0"/>
    <n v="0"/>
    <n v="0"/>
    <n v="0"/>
    <n v="82.38"/>
    <n v="0"/>
    <n v="0"/>
    <n v="0"/>
    <n v="0"/>
    <n v="0"/>
    <n v="82.38"/>
    <n v="0"/>
  </r>
  <r>
    <x v="6"/>
    <x v="3"/>
    <x v="0"/>
    <s v="7796101"/>
    <n v="713010"/>
    <s v="Benefits-FICA/Medicare"/>
    <s v="FMG PA Clearing"/>
    <x v="0"/>
    <m/>
    <n v="0"/>
    <n v="0"/>
    <n v="0"/>
    <n v="0"/>
    <n v="0"/>
    <n v="0"/>
    <n v="18.87"/>
    <n v="0"/>
    <n v="0"/>
    <n v="0"/>
    <n v="0"/>
    <n v="0"/>
    <n v="18.87"/>
    <n v="0"/>
  </r>
  <r>
    <x v="5"/>
    <x v="4"/>
    <x v="0"/>
    <s v="7796103"/>
    <n v="700032"/>
    <s v="Salaries-Other Pat Care Providers-Productive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96103"/>
    <n v="713010"/>
    <s v="Benefits-FICA/Medicare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7796103"/>
    <n v="713090"/>
    <s v="Benefits-Allocated Amounts"/>
    <s v="SJ Canyon Road PT Clearing"/>
    <x v="0"/>
    <m/>
    <n v="0"/>
    <n v="0"/>
    <n v="0"/>
    <n v="0"/>
    <n v="0"/>
    <n v="0"/>
    <n v="0"/>
    <n v="0"/>
    <n v="0"/>
    <n v="0"/>
    <n v="0"/>
    <n v="0"/>
    <n v="0"/>
    <n v="192.59"/>
  </r>
  <r>
    <x v="5"/>
    <x v="9"/>
    <x v="0"/>
    <s v="7796501"/>
    <n v="700020"/>
    <s v="Salaries-Physician Admin-Productive"/>
    <s v="FMG PA Clearing"/>
    <x v="0"/>
    <m/>
    <n v="0"/>
    <n v="0"/>
    <n v="0"/>
    <n v="0"/>
    <n v="0"/>
    <n v="0"/>
    <n v="0"/>
    <n v="0"/>
    <n v="0"/>
    <n v="0"/>
    <n v="192.59"/>
    <n v="0"/>
    <n v="192.59"/>
    <n v="192.59"/>
  </r>
  <r>
    <x v="5"/>
    <x v="9"/>
    <x v="0"/>
    <s v="7796501"/>
    <n v="700022"/>
    <s v="Salaries-Physician-Other"/>
    <s v="FMG PA Clearing"/>
    <x v="0"/>
    <n v="2000"/>
    <n v="0"/>
    <n v="0"/>
    <n v="0"/>
    <n v="0"/>
    <n v="0"/>
    <n v="0"/>
    <n v="0"/>
    <n v="0"/>
    <n v="0"/>
    <n v="0"/>
    <n v="0"/>
    <n v="-192.59"/>
    <n v="-192.59"/>
    <n v="0"/>
  </r>
  <r>
    <x v="5"/>
    <x v="9"/>
    <x v="0"/>
    <s v="7796501"/>
    <n v="700024"/>
    <s v="Salaries-Advanced Practice Clinician-Other"/>
    <s v="FMG PA Clearing"/>
    <x v="0"/>
    <n v="2000"/>
    <n v="0"/>
    <n v="0"/>
    <n v="0"/>
    <n v="0"/>
    <n v="0"/>
    <n v="0"/>
    <n v="0"/>
    <n v="0"/>
    <n v="0"/>
    <n v="0"/>
    <n v="0"/>
    <n v="0"/>
    <n v="0"/>
    <n v="29.3"/>
  </r>
  <r>
    <x v="6"/>
    <x v="9"/>
    <x v="0"/>
    <s v="7796501"/>
    <n v="713010"/>
    <s v="Benefits-FICA/Medicare"/>
    <s v="FMG PA Clearing"/>
    <x v="0"/>
    <m/>
    <n v="0"/>
    <n v="0"/>
    <n v="0"/>
    <n v="0"/>
    <n v="0"/>
    <n v="0"/>
    <n v="0"/>
    <n v="0"/>
    <n v="0"/>
    <n v="0"/>
    <n v="14.65"/>
    <n v="-14.65"/>
    <n v="0"/>
    <n v="0"/>
  </r>
  <r>
    <x v="6"/>
    <x v="9"/>
    <x v="0"/>
    <s v="7796501"/>
    <n v="713090"/>
    <s v="Benefits-Allocated Amounts"/>
    <s v="FMG PA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97101"/>
    <n v="700032"/>
    <s v="Salaries-Other Pat Care Providers-Productive"/>
    <s v="FMG Neurology Clearing-EE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97101"/>
    <n v="700032"/>
    <s v="Salaries-Other Pat Care Providers-OT"/>
    <s v="FMG Neurology Clearing-EEG"/>
    <x v="0"/>
    <n v="1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97101"/>
    <n v="713010"/>
    <s v="Benefits-FICA/Medicare"/>
    <s v="FMG Neurology Clearing-EE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97101"/>
    <n v="713090"/>
    <s v="Benefits-Allocated Amounts"/>
    <s v="FMG Neurology Clearing-EE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97102"/>
    <n v="700032"/>
    <s v="Salaries-Other Pat Care Providers-Productive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7797102"/>
    <n v="700032"/>
    <s v="Salaries-Other Pat Care Providers-OT"/>
    <s v="SJ Canyon Road PT Clearing"/>
    <x v="0"/>
    <n v="1000"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97102"/>
    <n v="713010"/>
    <s v="Benefits-FICA/Medicare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7797102"/>
    <n v="713090"/>
    <s v="Benefits-Allocated Amounts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797501"/>
    <n v="700022"/>
    <s v="Salaries-Physician-Other"/>
    <s v="Highline PSH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7797501"/>
    <n v="713010"/>
    <s v="Benefits-FICA/Medicare"/>
    <s v="Highline PSH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7799101"/>
    <n v="700032"/>
    <s v="Salaries-Other Pat Care Providers-Productive"/>
    <s v="SJ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99101"/>
    <n v="713010"/>
    <s v="Benefits-FICA/Medicare"/>
    <s v="SJ FSS Ergonomi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7799101"/>
    <n v="713090"/>
    <s v="Benefits-Allocated Amounts"/>
    <s v="SJ FSS Ergonomic Clearing"/>
    <x v="0"/>
    <m/>
    <n v="0"/>
    <n v="0"/>
    <n v="0"/>
    <n v="0"/>
    <n v="0"/>
    <n v="0"/>
    <n v="0"/>
    <n v="0"/>
    <n v="0"/>
    <n v="0"/>
    <n v="0"/>
    <n v="0"/>
    <n v="0"/>
    <n v="-32645.03"/>
  </r>
  <r>
    <x v="1"/>
    <x v="1"/>
    <x v="0"/>
    <s v="7799200"/>
    <n v="400040"/>
    <s v="Physician Svcs Rev--Medicare"/>
    <s v="King Unassigned"/>
    <x v="0"/>
    <n v="1100"/>
    <n v="-182282.13"/>
    <n v="151534.53"/>
    <n v="64455.54"/>
    <n v="-94894.73"/>
    <n v="-359935.53"/>
    <n v="54303.91"/>
    <n v="-104456.52"/>
    <n v="393191.79"/>
    <n v="-214569.02"/>
    <n v="8407.98"/>
    <n v="214083.14"/>
    <n v="246728.17"/>
    <n v="176567.12999999998"/>
    <n v="-18222"/>
  </r>
  <r>
    <x v="1"/>
    <x v="1"/>
    <x v="0"/>
    <s v="7799200"/>
    <n v="400040"/>
    <s v="Physician Svcs Rev--Medicaid"/>
    <s v="King Unassigned"/>
    <x v="0"/>
    <n v="1200"/>
    <n v="-101747.27"/>
    <n v="84584.4"/>
    <n v="35978.15"/>
    <n v="-52968.87"/>
    <n v="-200910.85"/>
    <n v="30311.67"/>
    <n v="-58306.13"/>
    <n v="219474.01"/>
    <n v="-119769.35"/>
    <n v="4693.22"/>
    <n v="119498.13"/>
    <n v="137720.13"/>
    <n v="98557.239999999991"/>
    <n v="-1579.6699999999983"/>
  </r>
  <r>
    <x v="1"/>
    <x v="1"/>
    <x v="0"/>
    <s v="7799200"/>
    <n v="400040"/>
    <s v="Physician Svcs Rev--Self Pay"/>
    <s v="King Unassigned"/>
    <x v="0"/>
    <n v="1500"/>
    <n v="-8820.48"/>
    <n v="7332.63"/>
    <n v="3118.94"/>
    <n v="-4591.87"/>
    <n v="-17416.96"/>
    <n v="2627.72"/>
    <n v="-5054.5600000000004"/>
    <n v="19026.2"/>
    <n v="-10382.799999999999"/>
    <n v="406.85"/>
    <n v="10359.290000000001"/>
    <n v="11938.96"/>
    <n v="8543.9200000000037"/>
    <n v="-39094.760000000038"/>
  </r>
  <r>
    <x v="1"/>
    <x v="1"/>
    <x v="0"/>
    <s v="7799200"/>
    <n v="400040"/>
    <s v="Physician Svcs Rev--Other"/>
    <s v="King Unassigned"/>
    <x v="0"/>
    <n v="1700"/>
    <n v="-218295.8"/>
    <n v="181473.36"/>
    <n v="77190.09"/>
    <n v="-113643.17"/>
    <n v="-431048.38"/>
    <n v="65032.79"/>
    <n v="-125094.11"/>
    <n v="470875.11"/>
    <n v="-256961.65"/>
    <n v="10069.16"/>
    <n v="256379.77"/>
    <n v="295474.53000000003"/>
    <n v="211451.69999999987"/>
    <n v="19249.350000000006"/>
  </r>
  <r>
    <x v="2"/>
    <x v="1"/>
    <x v="0"/>
    <s v="7799200"/>
    <n v="450040"/>
    <s v="Contr Allow--Phys Svcs--Mcare"/>
    <s v="King Unassigned"/>
    <x v="0"/>
    <n v="1100"/>
    <n v="126511.08"/>
    <n v="-109409.34"/>
    <n v="-44423.45"/>
    <n v="65402.46"/>
    <n v="241930.77"/>
    <n v="-35574.449999999997"/>
    <n v="71623.48"/>
    <n v="-269602.75"/>
    <n v="154758.49"/>
    <n v="-5821.49"/>
    <n v="-148226.04999999999"/>
    <n v="-167475.4"/>
    <n v="-120306.65"/>
    <n v="12954.410000000003"/>
  </r>
  <r>
    <x v="2"/>
    <x v="1"/>
    <x v="0"/>
    <s v="7799200"/>
    <n v="450040"/>
    <s v="Contr Allow--Phys Svcs--Mcaid"/>
    <s v="King Unassigned"/>
    <x v="0"/>
    <n v="1200"/>
    <n v="76963.320000000007"/>
    <n v="-64799.55"/>
    <n v="-27154.36"/>
    <n v="39978.019999999997"/>
    <n v="144871.93"/>
    <n v="-21825.09"/>
    <n v="43514.68"/>
    <n v="-163796.54"/>
    <n v="89331.25"/>
    <n v="-3502.21"/>
    <n v="-89172.94"/>
    <n v="-102127.35"/>
    <n v="-77718.84000000004"/>
    <n v="0"/>
  </r>
  <r>
    <x v="2"/>
    <x v="1"/>
    <x v="0"/>
    <s v="7799200"/>
    <n v="450040"/>
    <s v="Contr Allow--Phys Svcs--BCBS Mgnd Care"/>
    <s v="King Unassigned"/>
    <x v="0"/>
    <n v="1401"/>
    <n v="0"/>
    <n v="133492.03"/>
    <n v="-132129.60999999999"/>
    <n v="-1362.42"/>
    <n v="0"/>
    <n v="0"/>
    <n v="0"/>
    <n v="-3235.73"/>
    <n v="0"/>
    <n v="0"/>
    <n v="0"/>
    <n v="0"/>
    <n v="-3235.7299999999873"/>
    <n v="-1289.71"/>
  </r>
  <r>
    <x v="2"/>
    <x v="1"/>
    <x v="0"/>
    <s v="7799200"/>
    <n v="450040"/>
    <s v="Prompt Pay Disc-Phys Svcs-Self Pay"/>
    <s v="King Unassigned"/>
    <x v="0"/>
    <n v="1500"/>
    <n v="4436.32"/>
    <n v="-3771.49"/>
    <n v="-1562.57"/>
    <n v="2300.4899999999998"/>
    <n v="5017.4399999999996"/>
    <n v="2938.53"/>
    <n v="2579.35"/>
    <n v="-9709.08"/>
    <n v="7474.49"/>
    <n v="-223.67"/>
    <n v="-5695.18"/>
    <n v="-4405.47"/>
    <n v="-620.84000000000106"/>
    <n v="24067.98000000001"/>
  </r>
  <r>
    <x v="2"/>
    <x v="1"/>
    <x v="0"/>
    <s v="7799200"/>
    <n v="450040"/>
    <s v="Contr Allow--Phys Svcs--Other"/>
    <s v="King Unassigned"/>
    <x v="0"/>
    <n v="1700"/>
    <n v="110296.11"/>
    <n v="-93765.86"/>
    <n v="-38848.68"/>
    <n v="57195.01"/>
    <n v="176083.01"/>
    <n v="-31792.41"/>
    <n v="59522.43"/>
    <n v="-224052.37"/>
    <n v="147373.97"/>
    <n v="-4976.3599999999997"/>
    <n v="-126707.59"/>
    <n v="-150775.57"/>
    <n v="-120448.30999999997"/>
    <n v="0"/>
  </r>
  <r>
    <x v="3"/>
    <x v="1"/>
    <x v="0"/>
    <s v="7799200"/>
    <n v="470040"/>
    <s v="Charity Care-Physician Svcs"/>
    <s v="King Unassigned"/>
    <x v="0"/>
    <m/>
    <n v="0"/>
    <n v="5019.1400000000003"/>
    <n v="-4971.87"/>
    <n v="-47.27"/>
    <n v="0"/>
    <n v="0"/>
    <n v="0"/>
    <n v="0"/>
    <n v="0"/>
    <n v="0"/>
    <n v="0"/>
    <n v="0"/>
    <n v="4.3343106881366111E-13"/>
    <n v="0"/>
  </r>
  <r>
    <x v="4"/>
    <x v="1"/>
    <x v="0"/>
    <s v="7799200"/>
    <n v="490010"/>
    <s v="Provision for Bad Debts"/>
    <s v="King Unassigned"/>
    <x v="0"/>
    <m/>
    <n v="0"/>
    <n v="18801.740000000002"/>
    <n v="-18617.97"/>
    <n v="-183.77"/>
    <n v="0"/>
    <n v="0"/>
    <n v="0"/>
    <n v="0"/>
    <n v="0"/>
    <n v="0"/>
    <n v="0"/>
    <n v="0"/>
    <n v="4.2632564145606011E-13"/>
    <n v="2015.4799999999996"/>
  </r>
  <r>
    <x v="5"/>
    <x v="1"/>
    <x v="0"/>
    <s v="7799200"/>
    <n v="700020"/>
    <s v="Salaries-Physician Admin-Productive"/>
    <s v="King Unassigned"/>
    <x v="0"/>
    <m/>
    <n v="19757.73"/>
    <n v="20655.82"/>
    <n v="17961.580000000002"/>
    <n v="20655.810000000001"/>
    <n v="19757.75"/>
    <n v="18859.650000000001"/>
    <n v="20687.419999999998"/>
    <n v="17987.96"/>
    <n v="15437.95"/>
    <n v="15131.59"/>
    <n v="15399.38"/>
    <n v="13383.9"/>
    <n v="215676.54"/>
    <n v="8572.0499999999993"/>
  </r>
  <r>
    <x v="5"/>
    <x v="1"/>
    <x v="0"/>
    <s v="7799200"/>
    <n v="700020"/>
    <s v="Salaries-Physician Admin-Other"/>
    <s v="King Unassigned"/>
    <x v="0"/>
    <n v="2000"/>
    <n v="51735.14"/>
    <n v="-57962.03"/>
    <n v="158.34"/>
    <n v="5667.42"/>
    <n v="-5596.39"/>
    <n v="-3754.22"/>
    <n v="-799.26"/>
    <n v="2242.25"/>
    <n v="2597.83"/>
    <n v="12449.24"/>
    <n v="6966.73"/>
    <n v="-1605.32"/>
    <n v="12099.73"/>
    <n v="9148.31"/>
  </r>
  <r>
    <x v="5"/>
    <x v="1"/>
    <x v="0"/>
    <s v="7799200"/>
    <n v="700022"/>
    <s v="Salaries-Physician-Productive"/>
    <s v="King Unassigned"/>
    <x v="0"/>
    <m/>
    <n v="3159.71"/>
    <n v="0"/>
    <n v="0"/>
    <n v="0"/>
    <n v="0"/>
    <n v="0"/>
    <n v="0"/>
    <n v="0"/>
    <n v="0"/>
    <n v="0"/>
    <n v="0"/>
    <n v="-9148.31"/>
    <n v="-5988.5999999999995"/>
    <n v="67879.81"/>
  </r>
  <r>
    <x v="5"/>
    <x v="1"/>
    <x v="0"/>
    <s v="7799200"/>
    <n v="700022"/>
    <s v="Salaries-Physician-Other"/>
    <s v="King Unassigned"/>
    <x v="0"/>
    <n v="2000"/>
    <n v="1510.07"/>
    <n v="1171.6199999999999"/>
    <n v="8281.24"/>
    <n v="9080.43"/>
    <n v="-62248.959999999999"/>
    <n v="-18516.23"/>
    <n v="53761.88"/>
    <n v="-26948.76"/>
    <n v="-4838.8"/>
    <n v="25295.78"/>
    <n v="16363.82"/>
    <n v="-51515.99"/>
    <n v="-48603.900000000009"/>
    <n v="0"/>
  </r>
  <r>
    <x v="5"/>
    <x v="1"/>
    <x v="0"/>
    <s v="7799200"/>
    <n v="700024"/>
    <s v="Salaries-Advanced Practice Clinician-Productive"/>
    <s v="King Unassigned"/>
    <x v="0"/>
    <m/>
    <n v="879.45"/>
    <n v="-1371.04"/>
    <n v="0"/>
    <n v="0"/>
    <n v="0"/>
    <n v="0"/>
    <n v="0"/>
    <n v="0"/>
    <n v="0"/>
    <n v="0"/>
    <n v="0"/>
    <n v="0"/>
    <n v="-491.58999999999992"/>
    <n v="1696.89"/>
  </r>
  <r>
    <x v="5"/>
    <x v="1"/>
    <x v="0"/>
    <s v="7799200"/>
    <n v="700024"/>
    <s v="Salaries-Advanced Practice Clinician-Other"/>
    <s v="King Unassigned"/>
    <x v="0"/>
    <n v="2000"/>
    <n v="4632"/>
    <n v="0"/>
    <n v="-36.36"/>
    <n v="0"/>
    <n v="20305"/>
    <n v="0"/>
    <n v="5922.32"/>
    <n v="0"/>
    <n v="0"/>
    <n v="1667.4"/>
    <n v="0"/>
    <n v="-1696.89"/>
    <n v="30793.47"/>
    <n v="19979.73"/>
  </r>
  <r>
    <x v="6"/>
    <x v="1"/>
    <x v="0"/>
    <s v="7799200"/>
    <n v="713010"/>
    <s v="Benefits-FICA/Medicare"/>
    <s v="King Unassigned"/>
    <x v="0"/>
    <m/>
    <n v="5012.53"/>
    <n v="560.67999999999995"/>
    <n v="1482.98"/>
    <n v="1763.82"/>
    <n v="1090.18"/>
    <n v="7743.85"/>
    <n v="7794.31"/>
    <n v="10826.74"/>
    <n v="5708.93"/>
    <n v="7264.95"/>
    <n v="17236.16"/>
    <n v="-2743.57"/>
    <n v="63741.560000000005"/>
    <n v="3798.49"/>
  </r>
  <r>
    <x v="6"/>
    <x v="1"/>
    <x v="0"/>
    <s v="7799200"/>
    <n v="713090"/>
    <s v="Benefits-Allocated Amounts"/>
    <s v="King Unassigned"/>
    <x v="0"/>
    <m/>
    <n v="3324.72"/>
    <n v="-1584.22"/>
    <n v="928.43"/>
    <n v="1168.8"/>
    <n v="-1011.54"/>
    <n v="-23.11"/>
    <n v="3135.44"/>
    <n v="-11.94"/>
    <n v="875.57"/>
    <n v="2086.61"/>
    <n v="1723.72"/>
    <n v="-2074.77"/>
    <n v="8537.7099999999991"/>
    <n v="1338096.6600000001"/>
  </r>
  <r>
    <x v="17"/>
    <x v="1"/>
    <x v="0"/>
    <s v="7799200"/>
    <n v="714530"/>
    <s v="Medical Prof Fees-Intracompany"/>
    <s v="King Unassigned"/>
    <x v="0"/>
    <m/>
    <n v="-267624.14"/>
    <n v="-228113.77"/>
    <n v="-275506.01"/>
    <n v="-303302.69"/>
    <n v="-361751.35"/>
    <n v="-313245.52"/>
    <n v="10456.15"/>
    <n v="-328793.38"/>
    <n v="-179553.23"/>
    <n v="-180783"/>
    <n v="-247077.37"/>
    <n v="-1585174.03"/>
    <n v="-4260468.34"/>
    <n v="290"/>
  </r>
  <r>
    <x v="7"/>
    <x v="1"/>
    <x v="0"/>
    <s v="7799200"/>
    <n v="718060"/>
    <s v="Contract Services-CHI RRC Fees"/>
    <s v="King Unassigned"/>
    <x v="0"/>
    <m/>
    <n v="54487"/>
    <n v="45607"/>
    <n v="57032"/>
    <n v="56182"/>
    <n v="55837"/>
    <n v="56048"/>
    <n v="56052"/>
    <n v="56659"/>
    <n v="58857"/>
    <n v="56935"/>
    <n v="58272"/>
    <n v="57982"/>
    <n v="669950"/>
    <n v="0"/>
  </r>
  <r>
    <x v="7"/>
    <x v="1"/>
    <x v="0"/>
    <s v="7799200"/>
    <n v="718061"/>
    <s v="Contract Services-CRO Allocation"/>
    <s v="King Unassigned"/>
    <x v="0"/>
    <m/>
    <n v="3963"/>
    <n v="2111"/>
    <n v="3037"/>
    <n v="3037"/>
    <n v="3037"/>
    <n v="3037"/>
    <n v="3037"/>
    <n v="3037"/>
    <n v="3037"/>
    <n v="3037"/>
    <n v="3037"/>
    <n v="3037"/>
    <n v="36444"/>
    <n v="0"/>
  </r>
  <r>
    <x v="7"/>
    <x v="1"/>
    <x v="0"/>
    <s v="7799200"/>
    <n v="718065"/>
    <s v="Contract Services-CHI Legal Fees"/>
    <s v="King Unassigned"/>
    <x v="0"/>
    <m/>
    <n v="4860"/>
    <n v="3724"/>
    <n v="4860"/>
    <n v="4860"/>
    <n v="4860"/>
    <n v="4860"/>
    <n v="4860"/>
    <n v="4860"/>
    <n v="4860"/>
    <n v="4860"/>
    <n v="4860"/>
    <n v="4860"/>
    <n v="57184"/>
    <n v="0"/>
  </r>
  <r>
    <x v="7"/>
    <x v="1"/>
    <x v="0"/>
    <s v="7799200"/>
    <n v="718066"/>
    <s v="Contract Services-CHI Tax Services"/>
    <s v="King Unassigned"/>
    <x v="0"/>
    <m/>
    <n v="256"/>
    <n v="136"/>
    <n v="196"/>
    <n v="196"/>
    <n v="196"/>
    <n v="196"/>
    <n v="196"/>
    <n v="196"/>
    <n v="196"/>
    <n v="196"/>
    <n v="196"/>
    <n v="196"/>
    <n v="2352"/>
    <n v="0"/>
  </r>
  <r>
    <x v="7"/>
    <x v="1"/>
    <x v="0"/>
    <s v="7799200"/>
    <n v="718075"/>
    <s v="Contract Srvcs-CHI ITS Steady State"/>
    <s v="King Unassigned"/>
    <x v="0"/>
    <m/>
    <n v="246858"/>
    <n v="131468"/>
    <n v="189163"/>
    <n v="189163"/>
    <n v="189163"/>
    <n v="189163"/>
    <n v="189163"/>
    <n v="189163"/>
    <n v="189163"/>
    <n v="189163"/>
    <n v="189163"/>
    <n v="189163"/>
    <n v="2269956"/>
    <n v="0"/>
  </r>
  <r>
    <x v="7"/>
    <x v="1"/>
    <x v="0"/>
    <s v="7799200"/>
    <n v="718091"/>
    <s v="Contract Services-Intracompany Allocation"/>
    <s v="King Unassigned"/>
    <x v="0"/>
    <m/>
    <n v="80375.08"/>
    <n v="89814.92"/>
    <n v="85095"/>
    <n v="85095"/>
    <n v="85095"/>
    <n v="85095"/>
    <n v="85095"/>
    <n v="85095"/>
    <n v="85095"/>
    <n v="85095"/>
    <n v="85095"/>
    <n v="85095"/>
    <n v="1021140"/>
    <n v="0"/>
  </r>
  <r>
    <x v="26"/>
    <x v="1"/>
    <x v="0"/>
    <s v="7799200"/>
    <n v="747001"/>
    <s v="National Assessment"/>
    <s v="King Unassigned"/>
    <x v="0"/>
    <m/>
    <n v="99932"/>
    <n v="53220"/>
    <n v="76576"/>
    <n v="76576"/>
    <n v="76576"/>
    <n v="76576"/>
    <n v="76576"/>
    <n v="76576"/>
    <n v="76576"/>
    <n v="76576"/>
    <n v="76576"/>
    <n v="76576"/>
    <n v="918912"/>
    <n v="0"/>
  </r>
  <r>
    <x v="0"/>
    <x v="1"/>
    <x v="0"/>
    <s v="7799200"/>
    <n v="749510"/>
    <s v="Miscellaneous Expenses"/>
    <s v="King Unassigned"/>
    <x v="0"/>
    <m/>
    <n v="0"/>
    <n v="0"/>
    <n v="0"/>
    <n v="2500"/>
    <n v="0"/>
    <n v="0"/>
    <n v="0"/>
    <n v="0"/>
    <n v="0"/>
    <n v="0"/>
    <n v="0"/>
    <n v="0"/>
    <n v="2500"/>
    <n v="0.01"/>
  </r>
  <r>
    <x v="11"/>
    <x v="9"/>
    <x v="0"/>
    <s v="7800501"/>
    <n v="724001"/>
    <s v="Tolerance Offset *"/>
    <s v="Nonoperating Rev &amp; Exp"/>
    <x v="0"/>
    <m/>
    <n v="0"/>
    <n v="0"/>
    <n v="0"/>
    <n v="0"/>
    <n v="0"/>
    <n v="0"/>
    <n v="0"/>
    <n v="0"/>
    <n v="0"/>
    <n v="0"/>
    <n v="0.01"/>
    <n v="0"/>
    <n v="0.01"/>
    <n v="716.25"/>
  </r>
  <r>
    <x v="14"/>
    <x v="9"/>
    <x v="0"/>
    <s v="7820501"/>
    <n v="600050"/>
    <s v="Miscellaneous Revenue"/>
    <s v="FHSW-Service Center"/>
    <x v="0"/>
    <m/>
    <n v="-11264.51"/>
    <n v="-11139.11"/>
    <n v="-11200"/>
    <n v="-11346.19"/>
    <n v="-10925.98"/>
    <n v="-10980.7"/>
    <n v="-11149.26"/>
    <n v="-10253.75"/>
    <n v="-12099.3"/>
    <n v="-11556.51"/>
    <n v="-9774.99"/>
    <n v="-10491.24"/>
    <n v="-132181.54"/>
    <n v="0"/>
  </r>
  <r>
    <x v="21"/>
    <x v="9"/>
    <x v="0"/>
    <s v="7820501"/>
    <n v="716046"/>
    <s v="Consulting-Other"/>
    <s v="FHSW-Service Center"/>
    <x v="0"/>
    <m/>
    <n v="0"/>
    <n v="0"/>
    <n v="0"/>
    <n v="0"/>
    <n v="0"/>
    <n v="0"/>
    <n v="331"/>
    <n v="0"/>
    <n v="0"/>
    <n v="0"/>
    <n v="0"/>
    <n v="0"/>
    <n v="331"/>
    <n v="-1190.47"/>
  </r>
  <r>
    <x v="7"/>
    <x v="9"/>
    <x v="0"/>
    <s v="7820501"/>
    <n v="718050"/>
    <s v="Contract Svcs-Other"/>
    <s v="FHSW-Service Center"/>
    <x v="0"/>
    <m/>
    <n v="0"/>
    <n v="2222.86"/>
    <n v="675"/>
    <n v="1625.07"/>
    <n v="0"/>
    <n v="0"/>
    <n v="0"/>
    <n v="1224"/>
    <n v="0"/>
    <n v="675"/>
    <n v="0"/>
    <n v="1190.47"/>
    <n v="7612.4000000000005"/>
    <n v="0"/>
  </r>
  <r>
    <x v="7"/>
    <x v="9"/>
    <x v="0"/>
    <s v="7820501"/>
    <n v="718050"/>
    <s v="Cleaning Services"/>
    <s v="FHSW-Service Center"/>
    <x v="0"/>
    <n v="1011"/>
    <n v="0"/>
    <n v="0"/>
    <n v="7258"/>
    <n v="3629"/>
    <n v="0"/>
    <n v="7333"/>
    <n v="3629"/>
    <n v="3737.87"/>
    <n v="3737.87"/>
    <n v="3737.87"/>
    <n v="3737.87"/>
    <n v="3737.87"/>
    <n v="40538.350000000006"/>
    <n v="62.45"/>
  </r>
  <r>
    <x v="7"/>
    <x v="9"/>
    <x v="0"/>
    <s v="7820501"/>
    <n v="718050"/>
    <s v="Pest Control"/>
    <s v="FHSW-Service Center"/>
    <x v="0"/>
    <n v="1014"/>
    <n v="75.569999999999993"/>
    <n v="139.46"/>
    <n v="0"/>
    <n v="124.78"/>
    <n v="0"/>
    <n v="124.78"/>
    <n v="62.39"/>
    <n v="62.39"/>
    <n v="124.78"/>
    <n v="0"/>
    <n v="62.45"/>
    <n v="0"/>
    <n v="776.6"/>
    <n v="27.660000000000082"/>
  </r>
  <r>
    <x v="7"/>
    <x v="9"/>
    <x v="0"/>
    <s v="7820501"/>
    <n v="718050"/>
    <s v="Security"/>
    <s v="FHSW-Service Center"/>
    <x v="0"/>
    <n v="1019"/>
    <n v="857.46"/>
    <n v="857.46"/>
    <n v="829.8"/>
    <n v="857.46"/>
    <n v="829.8"/>
    <n v="857.46"/>
    <n v="857.46"/>
    <n v="905.13"/>
    <n v="857.46"/>
    <n v="829.8"/>
    <n v="857.46"/>
    <n v="829.8"/>
    <n v="10226.549999999999"/>
    <n v="-1303.75"/>
  </r>
  <r>
    <x v="7"/>
    <x v="9"/>
    <x v="0"/>
    <s v="7820501"/>
    <n v="718050"/>
    <s v="Purchased Srvcs-Environmental Remediation"/>
    <s v="FHSW-Service Center"/>
    <x v="0"/>
    <n v="1028"/>
    <n v="93"/>
    <n v="93"/>
    <n v="0"/>
    <n v="1489.75"/>
    <n v="0"/>
    <n v="1499.75"/>
    <n v="98"/>
    <n v="587"/>
    <n v="1303.75"/>
    <n v="98"/>
    <n v="0"/>
    <n v="1303.75"/>
    <n v="6566"/>
    <n v="0"/>
  </r>
  <r>
    <x v="7"/>
    <x v="9"/>
    <x v="0"/>
    <s v="7820501"/>
    <n v="718050"/>
    <s v="Purchased Service-Fire Equipment"/>
    <s v="FHSW-Service Center"/>
    <x v="0"/>
    <n v="5100"/>
    <n v="0"/>
    <n v="0"/>
    <n v="0"/>
    <n v="0"/>
    <n v="0"/>
    <n v="0"/>
    <n v="435.12"/>
    <n v="0"/>
    <n v="0"/>
    <n v="0"/>
    <n v="0"/>
    <n v="0"/>
    <n v="435.12"/>
    <n v="-49.480000000000018"/>
  </r>
  <r>
    <x v="11"/>
    <x v="9"/>
    <x v="0"/>
    <s v="7820501"/>
    <n v="721830"/>
    <s v="Supplies-Office"/>
    <s v="FHSW-Service Center"/>
    <x v="0"/>
    <m/>
    <n v="86.28"/>
    <n v="0"/>
    <n v="0"/>
    <n v="0"/>
    <n v="0"/>
    <n v="0"/>
    <n v="0"/>
    <n v="0"/>
    <n v="0"/>
    <n v="910.17"/>
    <n v="1001.56"/>
    <n v="1051.04"/>
    <n v="3049.0499999999997"/>
    <n v="0"/>
  </r>
  <r>
    <x v="11"/>
    <x v="9"/>
    <x v="0"/>
    <s v="7820501"/>
    <n v="721870"/>
    <s v="Supplies-Environmental Services"/>
    <s v="FHSW-Service Center"/>
    <x v="0"/>
    <m/>
    <n v="0"/>
    <n v="1119.5"/>
    <n v="1206.27"/>
    <n v="751.22"/>
    <n v="712.44"/>
    <n v="0"/>
    <n v="78.739999999999995"/>
    <n v="2519.09"/>
    <n v="923.17"/>
    <n v="0"/>
    <n v="0"/>
    <n v="0"/>
    <n v="7310.43"/>
    <n v="637.7199999999998"/>
  </r>
  <r>
    <x v="15"/>
    <x v="9"/>
    <x v="0"/>
    <s v="7820501"/>
    <n v="731020"/>
    <s v="Electricity"/>
    <s v="FHSW-Service Center"/>
    <x v="0"/>
    <m/>
    <n v="3704.41"/>
    <n v="4169.8500000000004"/>
    <n v="3658.03"/>
    <n v="3765.25"/>
    <n v="4519.76"/>
    <n v="5599.54"/>
    <n v="6072.64"/>
    <n v="6316.64"/>
    <n v="6386.19"/>
    <n v="5133.16"/>
    <n v="4703.75"/>
    <n v="4066.03"/>
    <n v="58095.25"/>
    <n v="-13.479999999999905"/>
  </r>
  <r>
    <x v="15"/>
    <x v="9"/>
    <x v="0"/>
    <s v="7820501"/>
    <n v="731030"/>
    <s v="Water"/>
    <s v="FHSW-Service Center"/>
    <x v="0"/>
    <m/>
    <n v="767.29"/>
    <n v="780.45"/>
    <n v="767.08"/>
    <n v="779.82"/>
    <n v="809.44"/>
    <n v="786.65"/>
    <n v="819.42"/>
    <n v="824.7"/>
    <n v="814.99"/>
    <n v="837.07"/>
    <n v="820.94"/>
    <n v="834.42"/>
    <n v="9642.27"/>
    <n v="-42.819999999999993"/>
  </r>
  <r>
    <x v="15"/>
    <x v="9"/>
    <x v="0"/>
    <s v="7820501"/>
    <n v="731040"/>
    <s v="Sewer"/>
    <s v="FHSW-Service Center"/>
    <x v="0"/>
    <m/>
    <n v="383.18"/>
    <n v="425.21"/>
    <n v="382.5"/>
    <n v="423.18"/>
    <n v="505.16"/>
    <n v="445.01"/>
    <n v="539"/>
    <n v="517.1"/>
    <n v="486.21"/>
    <n v="556.41999999999996"/>
    <n v="505.17"/>
    <n v="547.99"/>
    <n v="5716.1299999999992"/>
    <n v="0"/>
  </r>
  <r>
    <x v="15"/>
    <x v="9"/>
    <x v="0"/>
    <s v="7820501"/>
    <n v="731050"/>
    <s v="Refuse Disposal"/>
    <s v="FHSW-Service Center"/>
    <x v="0"/>
    <m/>
    <n v="1868.37"/>
    <n v="1868.37"/>
    <n v="1868.37"/>
    <n v="1868.37"/>
    <n v="1878.26"/>
    <n v="1868.37"/>
    <n v="1868.37"/>
    <n v="1868.37"/>
    <n v="1868.37"/>
    <n v="1881.59"/>
    <n v="1881.59"/>
    <n v="1881.59"/>
    <n v="22469.989999999998"/>
    <n v="-17.22"/>
  </r>
  <r>
    <x v="16"/>
    <x v="9"/>
    <x v="0"/>
    <s v="7820501"/>
    <n v="732030"/>
    <s v="Repairs---Other"/>
    <s v="FHSW-Service Center"/>
    <x v="0"/>
    <m/>
    <n v="316.07"/>
    <n v="192.98"/>
    <n v="1604.65"/>
    <n v="1382.22"/>
    <n v="0"/>
    <n v="711.31"/>
    <n v="423.12"/>
    <n v="15.65"/>
    <n v="37.32"/>
    <n v="0"/>
    <n v="0"/>
    <n v="17.22"/>
    <n v="4700.5399999999991"/>
    <n v="-529.58000000000004"/>
  </r>
  <r>
    <x v="16"/>
    <x v="9"/>
    <x v="0"/>
    <s v="7820501"/>
    <n v="732030"/>
    <s v="Repairs&amp;Maintenance-Electrical"/>
    <s v="FHSW-Service Center"/>
    <x v="0"/>
    <n v="5100"/>
    <n v="0"/>
    <n v="2241.64"/>
    <n v="0"/>
    <n v="0"/>
    <n v="0"/>
    <n v="0"/>
    <n v="0"/>
    <n v="0"/>
    <n v="0"/>
    <n v="0"/>
    <n v="0"/>
    <n v="529.58000000000004"/>
    <n v="2771.22"/>
    <n v="0"/>
  </r>
  <r>
    <x v="16"/>
    <x v="9"/>
    <x v="0"/>
    <s v="7820501"/>
    <n v="732030"/>
    <s v="Repairs&amp;Maintenance-HVAC"/>
    <s v="FHSW-Service Center"/>
    <x v="0"/>
    <n v="5102"/>
    <n v="0"/>
    <n v="452.52"/>
    <n v="0"/>
    <n v="297.27"/>
    <n v="0"/>
    <n v="159.65"/>
    <n v="1511.67"/>
    <n v="0"/>
    <n v="164"/>
    <n v="16.559999999999999"/>
    <n v="0"/>
    <n v="0"/>
    <n v="2601.67"/>
    <n v="0"/>
  </r>
  <r>
    <x v="16"/>
    <x v="9"/>
    <x v="0"/>
    <s v="7820501"/>
    <n v="732030"/>
    <s v="Repairs&amp;Maintenance-Plumbing"/>
    <s v="FHSW-Service Center"/>
    <x v="0"/>
    <n v="5103"/>
    <n v="0"/>
    <n v="247.73"/>
    <n v="0"/>
    <n v="0"/>
    <n v="0"/>
    <n v="469.05"/>
    <n v="0"/>
    <n v="222.73"/>
    <n v="0"/>
    <n v="0"/>
    <n v="0"/>
    <n v="0"/>
    <n v="939.51"/>
    <n v="0"/>
  </r>
  <r>
    <x v="16"/>
    <x v="9"/>
    <x v="0"/>
    <s v="7820501"/>
    <n v="733030"/>
    <s v="Maintenance Contracts-Other"/>
    <s v="FHSW-Service Center"/>
    <x v="0"/>
    <m/>
    <n v="0"/>
    <n v="168.81"/>
    <n v="0"/>
    <n v="0"/>
    <n v="0"/>
    <n v="0"/>
    <n v="0"/>
    <n v="0"/>
    <n v="0"/>
    <n v="0"/>
    <n v="0"/>
    <n v="0"/>
    <n v="168.81"/>
    <n v="-2.7400000000002365"/>
  </r>
  <r>
    <x v="16"/>
    <x v="9"/>
    <x v="0"/>
    <s v="7820501"/>
    <n v="733030"/>
    <s v="Maintenance Contract-HVAC"/>
    <s v="FHSW-Service Center"/>
    <x v="0"/>
    <n v="5102"/>
    <n v="3480.5"/>
    <n v="0"/>
    <n v="0"/>
    <n v="2917.1"/>
    <n v="0"/>
    <n v="0"/>
    <n v="3019.22"/>
    <n v="0"/>
    <n v="0"/>
    <n v="0"/>
    <n v="3019.22"/>
    <n v="3021.96"/>
    <n v="15458"/>
    <n v="0"/>
  </r>
  <r>
    <x v="8"/>
    <x v="9"/>
    <x v="0"/>
    <s v="7820501"/>
    <n v="741010"/>
    <s v="Liability Insurance-CHI Programs"/>
    <s v="FHSW-Service Center"/>
    <x v="0"/>
    <m/>
    <n v="1146.1099999999999"/>
    <n v="1146.1099999999999"/>
    <n v="-315.19"/>
    <n v="659.01"/>
    <n v="659.01"/>
    <n v="659.01"/>
    <n v="659.01"/>
    <n v="659.01"/>
    <n v="659.01"/>
    <n v="659.01"/>
    <n v="659.01"/>
    <n v="659.01"/>
    <n v="7908.1200000000017"/>
    <n v="0"/>
  </r>
  <r>
    <x v="8"/>
    <x v="9"/>
    <x v="0"/>
    <s v="7820501"/>
    <n v="741030"/>
    <s v="Property Insurance-CHI Programs"/>
    <s v="FHSW-Service Center"/>
    <x v="0"/>
    <m/>
    <n v="838.26"/>
    <n v="838.26"/>
    <n v="-265.77"/>
    <n v="470.25"/>
    <n v="470.25"/>
    <n v="470.25"/>
    <n v="470.25"/>
    <n v="470.25"/>
    <n v="470.25"/>
    <n v="470.25"/>
    <n v="470.25"/>
    <n v="470.25"/>
    <n v="5643"/>
    <n v="0"/>
  </r>
  <r>
    <x v="0"/>
    <x v="9"/>
    <x v="0"/>
    <s v="7820501"/>
    <n v="749510"/>
    <s v="Licenses"/>
    <s v="FHSW-Service Center"/>
    <x v="0"/>
    <n v="1002"/>
    <n v="0"/>
    <n v="141.6"/>
    <n v="23.3"/>
    <n v="0"/>
    <n v="0"/>
    <n v="0"/>
    <n v="0"/>
    <n v="0"/>
    <n v="0"/>
    <n v="0"/>
    <n v="0"/>
    <n v="0"/>
    <n v="164.9"/>
    <n v="0"/>
  </r>
  <r>
    <x v="0"/>
    <x v="9"/>
    <x v="0"/>
    <s v="7820501"/>
    <n v="749510"/>
    <s v="Miscellaneous Expense"/>
    <s v="FHSW-Service Center"/>
    <x v="0"/>
    <n v="1009"/>
    <n v="2563.41"/>
    <n v="129.5"/>
    <n v="294.5"/>
    <n v="129.5"/>
    <n v="1565.24"/>
    <n v="315.60000000000002"/>
    <n v="3303.74"/>
    <n v="23932.14"/>
    <n v="1953.26"/>
    <n v="-13990"/>
    <n v="0"/>
    <n v="0"/>
    <n v="20196.89"/>
    <n v="0"/>
  </r>
  <r>
    <x v="0"/>
    <x v="9"/>
    <x v="0"/>
    <s v="7820501"/>
    <n v="749510"/>
    <s v="Monitoring - Fire"/>
    <s v="FHSW-Service Center"/>
    <x v="0"/>
    <n v="5102"/>
    <n v="0"/>
    <n v="316.35000000000002"/>
    <n v="0"/>
    <n v="0"/>
    <n v="0"/>
    <n v="0"/>
    <n v="0"/>
    <n v="0"/>
    <n v="0"/>
    <n v="0"/>
    <n v="0"/>
    <n v="0"/>
    <n v="316.35000000000002"/>
    <n v="0"/>
  </r>
  <r>
    <x v="0"/>
    <x v="9"/>
    <x v="0"/>
    <s v="7820501"/>
    <n v="749510"/>
    <s v="Signage"/>
    <s v="FHSW-Service Center"/>
    <x v="0"/>
    <n v="5104"/>
    <n v="0"/>
    <n v="0"/>
    <n v="0"/>
    <n v="0"/>
    <n v="130.65"/>
    <n v="0"/>
    <n v="0"/>
    <n v="0"/>
    <n v="0"/>
    <n v="0"/>
    <n v="0"/>
    <n v="0"/>
    <n v="130.65"/>
    <n v="-44966.180000000008"/>
  </r>
  <r>
    <x v="7"/>
    <x v="3"/>
    <x v="0"/>
    <s v="7822101"/>
    <n v="718050"/>
    <s v="Miscellaneous Purchased Svcs"/>
    <s v="Regional Service Allocation"/>
    <x v="0"/>
    <n v="1020"/>
    <n v="80153.03"/>
    <n v="90465.01"/>
    <n v="92630.41"/>
    <n v="98797.42"/>
    <n v="88896.78"/>
    <n v="86772.38"/>
    <n v="90217.35"/>
    <n v="99122.51"/>
    <n v="89935.89"/>
    <n v="87349.47"/>
    <n v="49265.59"/>
    <n v="94231.77"/>
    <n v="1047837.6099999999"/>
    <n v="307674.33999999985"/>
  </r>
  <r>
    <x v="7"/>
    <x v="3"/>
    <x v="0"/>
    <s v="7822101"/>
    <n v="718091"/>
    <s v="Contract Services-Intracompany Allocation"/>
    <s v="Regional Service Allocation"/>
    <x v="0"/>
    <m/>
    <n v="6325750.6200000001"/>
    <n v="5942575.8200000003"/>
    <n v="5991508"/>
    <n v="6163164.71"/>
    <n v="4806991.25"/>
    <n v="5888483.4299999997"/>
    <n v="6140221.29"/>
    <n v="5544565.2800000003"/>
    <n v="6247014.2300000004"/>
    <n v="5667691.9000000004"/>
    <n v="7311611.9699999997"/>
    <n v="7003937.6299999999"/>
    <n v="73033516.129999995"/>
    <n v="0"/>
  </r>
  <r>
    <x v="11"/>
    <x v="3"/>
    <x v="0"/>
    <s v="7822101"/>
    <n v="721830"/>
    <s v="Supplies-Office"/>
    <s v="Regional Service Allocation"/>
    <x v="0"/>
    <m/>
    <n v="74.66"/>
    <n v="0"/>
    <n v="14.39"/>
    <n v="31.49"/>
    <n v="0"/>
    <n v="62.77"/>
    <n v="323.89"/>
    <n v="0"/>
    <n v="204.76"/>
    <n v="0"/>
    <n v="0"/>
    <n v="0"/>
    <n v="711.96"/>
    <n v="0"/>
  </r>
  <r>
    <x v="11"/>
    <x v="3"/>
    <x v="0"/>
    <s v="7822101"/>
    <n v="721980"/>
    <s v="Supplies-Other"/>
    <s v="Regional Service Allocation"/>
    <x v="0"/>
    <m/>
    <n v="0"/>
    <n v="0"/>
    <n v="0"/>
    <n v="0"/>
    <n v="0"/>
    <n v="0"/>
    <n v="0"/>
    <n v="0"/>
    <n v="1948.77"/>
    <n v="0"/>
    <n v="0"/>
    <n v="0"/>
    <n v="1948.77"/>
    <n v="-33.75"/>
  </r>
  <r>
    <x v="16"/>
    <x v="3"/>
    <x v="0"/>
    <s v="7822101"/>
    <n v="732030"/>
    <s v="Repairs---Other"/>
    <s v="Regional Service Allocation"/>
    <x v="0"/>
    <m/>
    <n v="0"/>
    <n v="0"/>
    <n v="0"/>
    <n v="0"/>
    <n v="0"/>
    <n v="0"/>
    <n v="0"/>
    <n v="0"/>
    <n v="0"/>
    <n v="0"/>
    <n v="0"/>
    <n v="33.75"/>
    <n v="33.75"/>
    <n v="0"/>
  </r>
  <r>
    <x v="0"/>
    <x v="3"/>
    <x v="0"/>
    <s v="7822101"/>
    <n v="749510"/>
    <s v="Miscellaneous Expenses"/>
    <s v="Regional Service Allocation"/>
    <x v="0"/>
    <m/>
    <n v="165.15"/>
    <n v="0"/>
    <n v="0"/>
    <n v="0"/>
    <n v="0"/>
    <n v="0"/>
    <n v="0"/>
    <n v="-1"/>
    <n v="0"/>
    <n v="-1070"/>
    <n v="0"/>
    <n v="0"/>
    <n v="-905.85"/>
    <n v="108360.93999999994"/>
  </r>
  <r>
    <x v="7"/>
    <x v="0"/>
    <x v="0"/>
    <s v="7822102"/>
    <n v="718091"/>
    <s v="Contract Services-Intracompany Allocation"/>
    <s v="Regional Service Allocation"/>
    <x v="0"/>
    <m/>
    <n v="2065936.29"/>
    <n v="1946674.73"/>
    <n v="1964102.19"/>
    <n v="2000938.82"/>
    <n v="2104308.67"/>
    <n v="2018705.83"/>
    <n v="2090592.98"/>
    <n v="1898433.71"/>
    <n v="2127551.5099999998"/>
    <n v="2033783.52"/>
    <n v="2516180.34"/>
    <n v="2407819.4"/>
    <n v="25175027.989999995"/>
    <n v="65917.409999999916"/>
  </r>
  <r>
    <x v="7"/>
    <x v="4"/>
    <x v="0"/>
    <s v="7822103"/>
    <n v="718091"/>
    <s v="Contract Services-Intracompany Allocation"/>
    <s v="Regional Service Allocation"/>
    <x v="0"/>
    <m/>
    <n v="1469719.47"/>
    <n v="1386640.15"/>
    <n v="1396149.74"/>
    <n v="1444529.42"/>
    <n v="1256121.81"/>
    <n v="1399072.69"/>
    <n v="1460846.9"/>
    <n v="1324473.94"/>
    <n v="1479964.17"/>
    <n v="1369779.54"/>
    <n v="1719380.48"/>
    <n v="1653463.07"/>
    <n v="17360141.379999999"/>
    <n v="49290.530000000028"/>
  </r>
  <r>
    <x v="7"/>
    <x v="8"/>
    <x v="0"/>
    <s v="7822104"/>
    <n v="718091"/>
    <s v="Contract Services-Intracompany Allocation"/>
    <s v="Regional Service Allocation"/>
    <x v="0"/>
    <m/>
    <n v="1319412.99"/>
    <n v="1245676.08"/>
    <n v="1273808.8999999999"/>
    <n v="1296489.1599999999"/>
    <n v="1473593.78"/>
    <n v="1333370.1000000001"/>
    <n v="1386024.97"/>
    <n v="1266929.72"/>
    <n v="1424992.93"/>
    <n v="1344701.69"/>
    <n v="1641493.98"/>
    <n v="1592203.45"/>
    <n v="16598697.75"/>
    <n v="82412.779999999795"/>
  </r>
  <r>
    <x v="7"/>
    <x v="5"/>
    <x v="0"/>
    <s v="7822106"/>
    <n v="718091"/>
    <s v="Contract Services-Intracompany Allocation"/>
    <s v="Regional Service Allocation"/>
    <x v="0"/>
    <m/>
    <n v="2149044.9900000002"/>
    <n v="2033207.15"/>
    <n v="2047220.83"/>
    <n v="2086571.34"/>
    <n v="1372042.34"/>
    <n v="1937971.97"/>
    <n v="1999680.79"/>
    <n v="1828623.42"/>
    <n v="2041158.84"/>
    <n v="1879479.27"/>
    <n v="2355343.69"/>
    <n v="2272930.91"/>
    <n v="24003275.540000003"/>
    <n v="248818.13000000035"/>
  </r>
  <r>
    <x v="7"/>
    <x v="6"/>
    <x v="0"/>
    <s v="7822107"/>
    <n v="718091"/>
    <s v="Contract Services-Intracompany Allocation"/>
    <s v="Regional Service Allocation"/>
    <x v="0"/>
    <m/>
    <n v="2979634.01"/>
    <n v="2705677.13"/>
    <n v="2817394.42"/>
    <n v="2871162.62"/>
    <n v="2969261.97"/>
    <n v="2907566.66"/>
    <n v="2501656.77"/>
    <n v="2639688.44"/>
    <n v="3084085.9"/>
    <n v="2793226.37"/>
    <n v="3846483.68"/>
    <n v="3597665.55"/>
    <n v="35713503.520000003"/>
    <n v="22444.140000000014"/>
  </r>
  <r>
    <x v="7"/>
    <x v="7"/>
    <x v="0"/>
    <s v="7822150"/>
    <n v="718091"/>
    <s v="Contract Services-Intracompany Allocation"/>
    <s v="Regional Service Allocation"/>
    <x v="0"/>
    <m/>
    <n v="391138.93"/>
    <n v="369864.45"/>
    <n v="372904.87"/>
    <n v="379689"/>
    <n v="586680.66"/>
    <n v="420794.57"/>
    <n v="435455.99"/>
    <n v="396072.53"/>
    <n v="443511.69"/>
    <n v="440090.81"/>
    <n v="527921.64"/>
    <n v="505477.5"/>
    <n v="5269602.6399999997"/>
    <n v="962176.68"/>
  </r>
  <r>
    <x v="7"/>
    <x v="1"/>
    <x v="0"/>
    <s v="7822200"/>
    <n v="718091"/>
    <s v="Contract Services-Intracompany Allocation"/>
    <s v="Regional Service Allocation"/>
    <x v="0"/>
    <m/>
    <n v="-415216.94"/>
    <n v="-452960.89"/>
    <n v="-305977.43"/>
    <n v="-443590.9"/>
    <n v="-464561.77"/>
    <n v="-407702.14"/>
    <n v="-443132.72"/>
    <n v="-411525.91"/>
    <n v="-870435.93"/>
    <n v="-484001.07"/>
    <n v="-486877.86"/>
    <n v="-1449054.54"/>
    <n v="-6635038.1000000006"/>
    <n v="-837.97999999999956"/>
  </r>
  <r>
    <x v="7"/>
    <x v="10"/>
    <x v="0"/>
    <s v="7822306"/>
    <n v="718091"/>
    <s v="Contract Services-Intracompany Allocation"/>
    <s v="Regional Service Allocation"/>
    <x v="0"/>
    <m/>
    <n v="12366.49"/>
    <n v="12662.87"/>
    <n v="12318.84"/>
    <n v="12570.95"/>
    <n v="12525.15"/>
    <n v="12418.96"/>
    <n v="12430.54"/>
    <n v="12163.64"/>
    <n v="12788.2"/>
    <n v="12490.76"/>
    <n v="12144.16"/>
    <n v="12982.14"/>
    <n v="149862.69999999995"/>
    <n v="44966.180000000008"/>
  </r>
  <r>
    <x v="7"/>
    <x v="9"/>
    <x v="0"/>
    <s v="7822501"/>
    <n v="718050"/>
    <s v="Miscellaneous Purchased Svcs"/>
    <s v="Regional Service Allocation"/>
    <x v="0"/>
    <n v="1020"/>
    <n v="-80153.03"/>
    <n v="-90465.01"/>
    <n v="-92630.41"/>
    <n v="-98797.42"/>
    <n v="-88896.78"/>
    <n v="-86772.38"/>
    <n v="-90217.35"/>
    <n v="-99122.51"/>
    <n v="-89935.89"/>
    <n v="-87349.47"/>
    <n v="-49265.59"/>
    <n v="-94231.77"/>
    <n v="-1047837.6099999999"/>
    <n v="-1846256.9899999984"/>
  </r>
  <r>
    <x v="7"/>
    <x v="9"/>
    <x v="0"/>
    <s v="7822501"/>
    <n v="718091"/>
    <s v="Contract Services-Intracompany Allocation"/>
    <s v="Regional Service Allocation"/>
    <x v="0"/>
    <m/>
    <n v="-16297786.84"/>
    <n v="-15190017.49"/>
    <n v="-15569430.359999999"/>
    <n v="-15811525.130000001"/>
    <n v="-14116963.869999999"/>
    <n v="-15510682.050000001"/>
    <n v="-15583777.51"/>
    <n v="-14499424.77"/>
    <n v="-15990631.560000001"/>
    <n v="-15057242.789999999"/>
    <n v="-19443682.079999998"/>
    <n v="-17597425.09"/>
    <n v="-190668589.53999999"/>
    <n v="0"/>
  </r>
  <r>
    <x v="11"/>
    <x v="9"/>
    <x v="0"/>
    <s v="7822501"/>
    <n v="721830"/>
    <s v="Supplies-Office"/>
    <s v="Regional Service Allocation"/>
    <x v="0"/>
    <m/>
    <n v="-74.66"/>
    <n v="0"/>
    <n v="-14.39"/>
    <n v="-31.49"/>
    <n v="0"/>
    <n v="-62.77"/>
    <n v="-323.89"/>
    <n v="0"/>
    <n v="-204.76"/>
    <n v="0"/>
    <n v="0"/>
    <n v="0"/>
    <n v="-711.96"/>
    <n v="0"/>
  </r>
  <r>
    <x v="11"/>
    <x v="9"/>
    <x v="0"/>
    <s v="7822501"/>
    <n v="721980"/>
    <s v="Supplies-Other"/>
    <s v="Regional Service Allocation"/>
    <x v="0"/>
    <m/>
    <n v="0"/>
    <n v="0"/>
    <n v="0"/>
    <n v="0"/>
    <n v="0"/>
    <n v="0"/>
    <n v="0"/>
    <n v="0"/>
    <n v="-1948.77"/>
    <n v="0"/>
    <n v="0"/>
    <n v="0"/>
    <n v="-1948.77"/>
    <n v="33.75"/>
  </r>
  <r>
    <x v="16"/>
    <x v="9"/>
    <x v="0"/>
    <s v="7822501"/>
    <n v="732030"/>
    <s v="Repairs---Other"/>
    <s v="Regional Service Allocation"/>
    <x v="0"/>
    <m/>
    <n v="0"/>
    <n v="0"/>
    <n v="0"/>
    <n v="0"/>
    <n v="0"/>
    <n v="0"/>
    <n v="0"/>
    <n v="0"/>
    <n v="0"/>
    <n v="0"/>
    <n v="0"/>
    <n v="-33.75"/>
    <n v="-33.75"/>
    <n v="0"/>
  </r>
  <r>
    <x v="0"/>
    <x v="9"/>
    <x v="0"/>
    <s v="7822501"/>
    <n v="749510"/>
    <s v="Miscellaneous Expenses"/>
    <s v="Regional Service Allocation"/>
    <x v="0"/>
    <m/>
    <n v="-165.15"/>
    <n v="0"/>
    <n v="0"/>
    <n v="0"/>
    <n v="0"/>
    <n v="0"/>
    <n v="0"/>
    <n v="1"/>
    <n v="0"/>
    <n v="1070"/>
    <n v="0"/>
    <n v="0"/>
    <n v="905.85"/>
    <n v="-180382.30000000005"/>
  </r>
  <r>
    <x v="7"/>
    <x v="9"/>
    <x v="0"/>
    <s v="7824501"/>
    <n v="718091"/>
    <s v="Contract Services-Intracompany Allocation"/>
    <s v="Svc Line Allocation"/>
    <x v="0"/>
    <m/>
    <n v="-1364663.28"/>
    <n v="-1421022.35"/>
    <n v="-1130447.6200000001"/>
    <n v="-1529155.02"/>
    <n v="-1379249.97"/>
    <n v="-1430837.6"/>
    <n v="-1603826.92"/>
    <n v="-1469565.32"/>
    <n v="-1605804.74"/>
    <n v="-1303787.5900000001"/>
    <n v="-1671405"/>
    <n v="-1491022.7"/>
    <n v="-17400788.109999999"/>
    <n v="0"/>
  </r>
  <r>
    <x v="11"/>
    <x v="5"/>
    <x v="0"/>
    <s v="7825106"/>
    <n v="721010"/>
    <s v="Supplies-Medical - Billable"/>
    <s v="Imaging LLP-MRI"/>
    <x v="0"/>
    <m/>
    <n v="0"/>
    <n v="0"/>
    <n v="0"/>
    <n v="51.9"/>
    <n v="0"/>
    <n v="0"/>
    <n v="0"/>
    <n v="0"/>
    <n v="0"/>
    <n v="0"/>
    <n v="0"/>
    <n v="0"/>
    <n v="51.9"/>
    <n v="217.86"/>
  </r>
  <r>
    <x v="11"/>
    <x v="5"/>
    <x v="0"/>
    <s v="7825106"/>
    <n v="721410"/>
    <s v="Supplies-Medical - Nonbillable"/>
    <s v="Imaging LLP-MRI"/>
    <x v="0"/>
    <m/>
    <n v="0"/>
    <n v="0"/>
    <n v="0"/>
    <n v="72.62"/>
    <n v="0"/>
    <n v="0"/>
    <n v="72.62"/>
    <n v="0"/>
    <n v="0"/>
    <n v="0"/>
    <n v="217.86"/>
    <n v="0"/>
    <n v="363.1"/>
    <n v="6.36"/>
  </r>
  <r>
    <x v="11"/>
    <x v="5"/>
    <x v="0"/>
    <s v="7825106"/>
    <n v="721810"/>
    <s v="Supplies-Dietary/Cafeteria"/>
    <s v="Imaging LLP-MRI"/>
    <x v="0"/>
    <m/>
    <n v="0"/>
    <n v="0"/>
    <n v="0"/>
    <n v="0"/>
    <n v="0"/>
    <n v="0"/>
    <n v="0"/>
    <n v="0"/>
    <n v="0"/>
    <n v="0"/>
    <n v="6.36"/>
    <n v="0"/>
    <n v="6.36"/>
    <n v="0"/>
  </r>
  <r>
    <x v="11"/>
    <x v="5"/>
    <x v="0"/>
    <s v="7825106"/>
    <n v="721910"/>
    <s v="Supplies-Small Equipment"/>
    <s v="Imaging LLP-MRI"/>
    <x v="0"/>
    <m/>
    <n v="0"/>
    <n v="0"/>
    <n v="0"/>
    <n v="0"/>
    <n v="0"/>
    <n v="0"/>
    <n v="1.44"/>
    <n v="0"/>
    <n v="0"/>
    <n v="0"/>
    <n v="0"/>
    <n v="0"/>
    <n v="1.44"/>
    <n v="0"/>
  </r>
  <r>
    <x v="11"/>
    <x v="5"/>
    <x v="0"/>
    <s v="7825106"/>
    <n v="722000"/>
    <s v="Supplies-Freight Expense"/>
    <s v="Imaging LLP-MRI"/>
    <x v="0"/>
    <m/>
    <n v="0"/>
    <n v="0"/>
    <n v="0"/>
    <n v="0"/>
    <n v="0"/>
    <n v="8.02"/>
    <n v="0"/>
    <n v="0"/>
    <n v="0"/>
    <n v="0"/>
    <n v="0"/>
    <n v="0"/>
    <n v="8.02"/>
    <n v="0"/>
  </r>
  <r>
    <x v="7"/>
    <x v="5"/>
    <x v="0"/>
    <s v="7830106"/>
    <n v="718010"/>
    <s v="Contract Services-Advertising &amp; Public Relations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010"/>
    <s v="Supplies-Medical - 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020"/>
    <s v="Supplies-Surgical - 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240"/>
    <s v="Supplies-IV Solutions/Supplies - 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250"/>
    <s v="Supplies-Pharmacy Drugs - 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350"/>
    <s v="Supplies-Film/Radiographic - 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410"/>
    <s v="Supplies-Medical - Non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420"/>
    <s v="Supplies-Surgical Non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650"/>
    <s v="Supplies-Pharmacy Drugs - Non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710"/>
    <s v="Supplies-Laboratory - Non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750"/>
    <s v="Supplies-Film/Radiographic - Nonbillabl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830"/>
    <s v="Supplies-Office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870"/>
    <s v="Supplies-Environmental Services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880"/>
    <s v="Supplies-Linen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910"/>
    <s v="Instruments"/>
    <s v="Imaging LLP-Mammo"/>
    <x v="0"/>
    <n v="1000"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1980"/>
    <s v="Supplies-Other"/>
    <s v="Imaging LLP-Mammo"/>
    <x v="0"/>
    <m/>
    <n v="0"/>
    <n v="0"/>
    <n v="0"/>
    <n v="0"/>
    <n v="0"/>
    <n v="0"/>
    <n v="0"/>
    <n v="0"/>
    <n v="0"/>
    <n v="0"/>
    <n v="0"/>
    <n v="0"/>
    <n v="0"/>
    <n v="0"/>
  </r>
  <r>
    <x v="11"/>
    <x v="5"/>
    <x v="0"/>
    <s v="7830106"/>
    <n v="722000"/>
    <s v="Supplies-Freight Expense"/>
    <s v="Imaging LLP-Mammo"/>
    <x v="0"/>
    <m/>
    <n v="0"/>
    <n v="0"/>
    <n v="0"/>
    <n v="0"/>
    <n v="0"/>
    <n v="0"/>
    <n v="0"/>
    <n v="0"/>
    <n v="0"/>
    <n v="0"/>
    <n v="0"/>
    <n v="0"/>
    <n v="0"/>
    <n v="-990.90000000000009"/>
  </r>
  <r>
    <x v="7"/>
    <x v="9"/>
    <x v="0"/>
    <s v="7850501"/>
    <n v="718050"/>
    <s v="Cleaning Services"/>
    <s v="Service Center Garage"/>
    <x v="0"/>
    <n v="1011"/>
    <n v="4619.8999999999996"/>
    <n v="0"/>
    <n v="2986.9"/>
    <n v="1981.8"/>
    <n v="0"/>
    <n v="2268.0700000000002"/>
    <n v="0"/>
    <n v="0"/>
    <n v="1981.8"/>
    <n v="1134.03"/>
    <n v="1205.5999999999999"/>
    <n v="2196.5"/>
    <n v="18374.599999999999"/>
    <n v="76824.56"/>
  </r>
  <r>
    <x v="7"/>
    <x v="9"/>
    <x v="0"/>
    <s v="7850501"/>
    <n v="718050"/>
    <s v="Security"/>
    <s v="Service Center Garage"/>
    <x v="0"/>
    <n v="1019"/>
    <n v="857.46"/>
    <n v="857.46"/>
    <n v="829.8"/>
    <n v="857.46"/>
    <n v="829.8"/>
    <n v="6857.46"/>
    <n v="857.46"/>
    <n v="774.48"/>
    <n v="7133.16"/>
    <n v="25674"/>
    <n v="23695.96"/>
    <n v="-53128.6"/>
    <n v="16095.900000000001"/>
    <n v="0"/>
  </r>
  <r>
    <x v="7"/>
    <x v="9"/>
    <x v="0"/>
    <s v="7850501"/>
    <n v="718050"/>
    <s v="Purchased Srvcs-Environmental Remediation"/>
    <s v="Service Center Garage"/>
    <x v="0"/>
    <n v="1028"/>
    <n v="0"/>
    <n v="0"/>
    <n v="0"/>
    <n v="0"/>
    <n v="0"/>
    <n v="0"/>
    <n v="0"/>
    <n v="235"/>
    <n v="0"/>
    <n v="0"/>
    <n v="0"/>
    <n v="0"/>
    <n v="235"/>
    <n v="-5370.82"/>
  </r>
  <r>
    <x v="7"/>
    <x v="9"/>
    <x v="0"/>
    <s v="7850501"/>
    <n v="718050"/>
    <s v="Purchased Service-Fire/Life Safety Test"/>
    <s v="Service Center Garage"/>
    <x v="0"/>
    <n v="5101"/>
    <n v="0"/>
    <n v="0"/>
    <n v="248"/>
    <n v="0"/>
    <n v="0"/>
    <n v="0"/>
    <n v="0"/>
    <n v="0"/>
    <n v="0"/>
    <n v="0"/>
    <n v="0"/>
    <n v="5370.82"/>
    <n v="5618.82"/>
    <n v="262.95000000000005"/>
  </r>
  <r>
    <x v="15"/>
    <x v="9"/>
    <x v="0"/>
    <s v="7850501"/>
    <n v="731020"/>
    <s v="Electricity"/>
    <s v="Service Center Garage"/>
    <x v="0"/>
    <m/>
    <n v="381.53"/>
    <n v="536.78"/>
    <n v="491.15"/>
    <n v="519.17999999999995"/>
    <n v="554.91"/>
    <n v="1541.94"/>
    <n v="1758.89"/>
    <n v="1822.8"/>
    <n v="2175"/>
    <n v="1389.52"/>
    <n v="1069.17"/>
    <n v="806.22"/>
    <n v="13047.09"/>
    <n v="-47.99"/>
  </r>
  <r>
    <x v="16"/>
    <x v="9"/>
    <x v="0"/>
    <s v="7850501"/>
    <n v="732030"/>
    <s v="Repairs---Other"/>
    <s v="Service Center Garage"/>
    <x v="0"/>
    <m/>
    <n v="0"/>
    <n v="0"/>
    <n v="0"/>
    <n v="6774.25"/>
    <n v="0"/>
    <n v="0"/>
    <n v="0"/>
    <n v="0"/>
    <n v="82.06"/>
    <n v="0"/>
    <n v="0"/>
    <n v="47.99"/>
    <n v="6904.3"/>
    <n v="-2428.81"/>
  </r>
  <r>
    <x v="16"/>
    <x v="9"/>
    <x v="0"/>
    <s v="7850501"/>
    <n v="732030"/>
    <s v="Repairs&amp;Maintenance-Electrical"/>
    <s v="Service Center Garage"/>
    <x v="0"/>
    <n v="5100"/>
    <n v="0"/>
    <n v="0"/>
    <n v="0"/>
    <n v="0"/>
    <n v="0"/>
    <n v="0"/>
    <n v="0"/>
    <n v="0"/>
    <n v="0"/>
    <n v="0"/>
    <n v="0"/>
    <n v="2428.81"/>
    <n v="2428.81"/>
    <n v="-88123.9"/>
  </r>
  <r>
    <x v="0"/>
    <x v="9"/>
    <x v="0"/>
    <s v="7850501"/>
    <n v="749510"/>
    <s v="Miscellaneous Expense"/>
    <s v="Service Center Garage"/>
    <x v="0"/>
    <n v="1009"/>
    <n v="7990"/>
    <n v="0"/>
    <n v="15980"/>
    <n v="7990"/>
    <n v="0"/>
    <n v="129.5"/>
    <n v="2555.6"/>
    <n v="15980"/>
    <n v="12119.5"/>
    <n v="11990"/>
    <n v="15980"/>
    <n v="104103.9"/>
    <n v="194818.5"/>
    <n v="-2.5799999999999272"/>
  </r>
  <r>
    <x v="0"/>
    <x v="9"/>
    <x v="0"/>
    <s v="7850501"/>
    <n v="749510"/>
    <s v="Monitoring - Fire"/>
    <s v="Service Center Garage"/>
    <x v="0"/>
    <n v="5102"/>
    <n v="0"/>
    <n v="0"/>
    <n v="0"/>
    <n v="316.35000000000002"/>
    <n v="0"/>
    <n v="0"/>
    <n v="0"/>
    <n v="0"/>
    <n v="0"/>
    <n v="0"/>
    <n v="2842.78"/>
    <n v="2845.36"/>
    <n v="6004.49"/>
    <n v="0"/>
  </r>
  <r>
    <x v="0"/>
    <x v="9"/>
    <x v="0"/>
    <s v="7850501"/>
    <n v="766010"/>
    <s v="Property Tax"/>
    <s v="Service Center Garage"/>
    <x v="0"/>
    <m/>
    <n v="0"/>
    <n v="0"/>
    <n v="0"/>
    <n v="0"/>
    <n v="0"/>
    <n v="0"/>
    <n v="9.83"/>
    <n v="0"/>
    <n v="0"/>
    <n v="0.95"/>
    <n v="0"/>
    <n v="0"/>
    <n v="10.78"/>
    <n v="0"/>
  </r>
  <r>
    <x v="14"/>
    <x v="16"/>
    <x v="0"/>
    <s v="7900460"/>
    <n v="600057"/>
    <s v="Mission and Ministry Grants"/>
    <s v="Contributions"/>
    <x v="0"/>
    <m/>
    <n v="-563006"/>
    <n v="0"/>
    <n v="0"/>
    <n v="0"/>
    <n v="0"/>
    <n v="0"/>
    <n v="0"/>
    <n v="0"/>
    <n v="0"/>
    <n v="0"/>
    <n v="0"/>
    <n v="0"/>
    <n v="-563006"/>
    <n v="-1575.7600000000002"/>
  </r>
  <r>
    <x v="20"/>
    <x v="16"/>
    <x v="0"/>
    <s v="7900460"/>
    <n v="610010"/>
    <s v="In-Kind Donations"/>
    <s v="Contributions"/>
    <x v="0"/>
    <n v="1000"/>
    <n v="-5675"/>
    <n v="-69"/>
    <n v="-120"/>
    <n v="-714.99"/>
    <n v="-2910"/>
    <n v="0"/>
    <n v="-7445"/>
    <n v="-488.59"/>
    <n v="-832.5"/>
    <n v="-1161.82"/>
    <n v="-2075.7600000000002"/>
    <n v="-500"/>
    <n v="-21992.659999999996"/>
    <n v="-63485.98000000001"/>
  </r>
  <r>
    <x v="20"/>
    <x v="16"/>
    <x v="0"/>
    <s v="7900460"/>
    <n v="610020"/>
    <s v="Net Assets Released from Restrictions used for Operations"/>
    <s v="Contributions"/>
    <x v="0"/>
    <m/>
    <n v="-339665"/>
    <n v="-48674.41"/>
    <n v="-218103.43"/>
    <n v="-101178.38"/>
    <n v="41793.919999999998"/>
    <n v="-14477.82"/>
    <n v="-92340"/>
    <n v="-26219.919999999998"/>
    <n v="-62485.85"/>
    <n v="-81685.460000000006"/>
    <n v="-142578.42000000001"/>
    <n v="-79092.44"/>
    <n v="-1164707.21"/>
    <n v="19331.650000000001"/>
  </r>
  <r>
    <x v="20"/>
    <x v="17"/>
    <x v="0"/>
    <s v="7900467"/>
    <n v="610010"/>
    <s v="In-Kind Donations"/>
    <s v="Contributions"/>
    <x v="0"/>
    <n v="1000"/>
    <n v="-200"/>
    <n v="-2050"/>
    <n v="-1759"/>
    <n v="-125"/>
    <n v="-422.44"/>
    <n v="-4724"/>
    <n v="-5987.74"/>
    <n v="0"/>
    <n v="0"/>
    <n v="-720"/>
    <n v="0"/>
    <n v="-19331.650000000001"/>
    <n v="-35319.83"/>
    <n v="1265.3200000000002"/>
  </r>
  <r>
    <x v="20"/>
    <x v="17"/>
    <x v="0"/>
    <s v="7900467"/>
    <n v="610010"/>
    <s v="Foundation Contributions"/>
    <s v="Contributions"/>
    <x v="0"/>
    <n v="1172"/>
    <n v="-998.68"/>
    <n v="-3297.77"/>
    <n v="-931.4"/>
    <n v="-1347.28"/>
    <n v="-966.69"/>
    <n v="-1480.22"/>
    <n v="-1245.29"/>
    <n v="-694.76"/>
    <n v="-1275.97"/>
    <n v="-1030.83"/>
    <n v="563.62"/>
    <n v="-701.7"/>
    <n v="-13406.969999999998"/>
    <n v="320961.94"/>
  </r>
  <r>
    <x v="20"/>
    <x v="17"/>
    <x v="0"/>
    <s v="7900467"/>
    <n v="610020"/>
    <s v="Net Assets Released from Restrictions used for Operations"/>
    <s v="Contributions"/>
    <x v="0"/>
    <m/>
    <n v="-9194.82"/>
    <n v="-32683.69"/>
    <n v="-16520.080000000002"/>
    <n v="-3979.21"/>
    <n v="-499.72"/>
    <n v="-1501.35"/>
    <n v="-11107.51"/>
    <n v="-4697.79"/>
    <n v="-7168.25"/>
    <n v="-4991.3599999999997"/>
    <n v="-7393.87"/>
    <n v="-328355.81"/>
    <n v="-428093.45999999996"/>
    <n v="0"/>
  </r>
  <r>
    <x v="5"/>
    <x v="9"/>
    <x v="0"/>
    <s v="7900501"/>
    <n v="700014"/>
    <s v="Salaries-Management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14"/>
    <s v="Salaries-Management-Other"/>
    <s v="Found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18"/>
    <s v="Salaries-Supervisory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34"/>
    <s v="Salaries-Tech/Professional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34"/>
    <s v="Salaries-Tech/Professional-Other"/>
    <s v="Found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38"/>
    <s v="Salaries-Service/Support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38"/>
    <s v="Salaries-Service/Support-OT"/>
    <s v="Foundation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38"/>
    <s v="Salaries-Service/Support-Other"/>
    <s v="Foundation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54"/>
    <s v="Salaries-Management-Non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54"/>
    <s v="Salaries-Management-NonProd-Other"/>
    <s v="Foundation"/>
    <x v="0"/>
    <n v="2000"/>
    <n v="0"/>
    <n v="0"/>
    <n v="0"/>
    <n v="0"/>
    <n v="0"/>
    <n v="0"/>
    <n v="-1066.58"/>
    <n v="1066.58"/>
    <n v="0"/>
    <n v="0"/>
    <n v="0"/>
    <n v="0"/>
    <n v="0"/>
    <n v="0"/>
  </r>
  <r>
    <x v="5"/>
    <x v="9"/>
    <x v="0"/>
    <s v="7900501"/>
    <n v="700058"/>
    <s v="Salaries-Supervisory-Non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74"/>
    <s v="Salaries-Tech/Professional-Non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78"/>
    <s v="Salaries-Service/Support-Non-productiv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00501"/>
    <n v="700084"/>
    <s v="Accrued PTO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7900501"/>
    <n v="713010"/>
    <s v="Benefits-FICA/Medicare"/>
    <s v="Foundation"/>
    <x v="0"/>
    <m/>
    <n v="0"/>
    <n v="0"/>
    <n v="0"/>
    <n v="0"/>
    <n v="0"/>
    <n v="0"/>
    <n v="81.58"/>
    <n v="-81.58"/>
    <n v="0"/>
    <n v="0"/>
    <n v="0"/>
    <n v="0"/>
    <n v="0"/>
    <n v="0"/>
  </r>
  <r>
    <x v="6"/>
    <x v="9"/>
    <x v="0"/>
    <s v="7900501"/>
    <n v="713090"/>
    <s v="Benefits-Allocated Amounts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7900501"/>
    <n v="721830"/>
    <s v="Supplies-Office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11"/>
    <x v="9"/>
    <x v="0"/>
    <s v="7900501"/>
    <n v="721835"/>
    <s v="Supplies-Forms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900501"/>
    <n v="743030"/>
    <s v="Subscriptions--Institutional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900501"/>
    <n v="749510"/>
    <s v="Miscellaneous Expenses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900501"/>
    <n v="749530"/>
    <s v="Travel"/>
    <s v="Found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900501"/>
    <n v="749530"/>
    <s v="Mileage"/>
    <s v="Foundation"/>
    <x v="0"/>
    <n v="1001"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7900501"/>
    <n v="749535"/>
    <s v="Meetings"/>
    <s v="Foundation"/>
    <x v="0"/>
    <m/>
    <n v="0"/>
    <n v="0"/>
    <n v="0"/>
    <n v="0"/>
    <n v="0"/>
    <n v="0"/>
    <n v="0"/>
    <n v="0"/>
    <n v="0"/>
    <n v="0"/>
    <n v="0"/>
    <n v="0"/>
    <n v="0"/>
    <n v="-70000"/>
  </r>
  <r>
    <x v="7"/>
    <x v="3"/>
    <x v="0"/>
    <s v="7901101"/>
    <n v="718050"/>
    <s v="Contract Svcs-Other"/>
    <s v="Healthcare Data Exchange"/>
    <x v="0"/>
    <m/>
    <n v="7070"/>
    <n v="0"/>
    <n v="0"/>
    <n v="0"/>
    <n v="0"/>
    <n v="0"/>
    <n v="0"/>
    <n v="0"/>
    <n v="0"/>
    <n v="0"/>
    <n v="0"/>
    <n v="70000"/>
    <n v="77070"/>
    <n v="0"/>
  </r>
  <r>
    <x v="11"/>
    <x v="3"/>
    <x v="0"/>
    <s v="7901101"/>
    <n v="721910"/>
    <s v="Supplies-Small Equipment"/>
    <s v="Healthcare Data Exchange"/>
    <x v="0"/>
    <m/>
    <n v="1410.52"/>
    <n v="0"/>
    <n v="1235.1500000000001"/>
    <n v="0"/>
    <n v="0"/>
    <n v="0"/>
    <n v="0"/>
    <n v="0"/>
    <n v="0"/>
    <n v="0"/>
    <n v="0"/>
    <n v="0"/>
    <n v="2645.67"/>
    <n v="2552.46"/>
  </r>
  <r>
    <x v="5"/>
    <x v="16"/>
    <x v="0"/>
    <s v="7901460"/>
    <n v="700014"/>
    <s v="Salaries-Management-Productive"/>
    <s v="Annual Giving"/>
    <x v="0"/>
    <m/>
    <n v="408.53"/>
    <n v="408.55"/>
    <n v="1835.07"/>
    <n v="735.58"/>
    <n v="471.59"/>
    <n v="289.58999999999997"/>
    <n v="-2421.1999999999998"/>
    <n v="682.5"/>
    <n v="-142.19999999999999"/>
    <n v="1198.3499999999999"/>
    <n v="1445.79"/>
    <n v="-1106.67"/>
    <n v="3805.4799999999996"/>
    <n v="209.69"/>
  </r>
  <r>
    <x v="5"/>
    <x v="16"/>
    <x v="0"/>
    <s v="7901460"/>
    <n v="700014"/>
    <s v="Salaries-Management-Other"/>
    <s v="Annual Giving"/>
    <x v="0"/>
    <n v="2000"/>
    <n v="74.73"/>
    <n v="74.73"/>
    <n v="318.75"/>
    <n v="91.88"/>
    <n v="54.64"/>
    <n v="75.27"/>
    <n v="-401.99"/>
    <n v="102.67"/>
    <n v="-23.54"/>
    <n v="41.74"/>
    <n v="41.58"/>
    <n v="-168.11"/>
    <n v="282.34999999999997"/>
    <n v="364.86"/>
  </r>
  <r>
    <x v="5"/>
    <x v="16"/>
    <x v="0"/>
    <s v="7901460"/>
    <n v="700018"/>
    <s v="Salaries-Supervisory-Productive"/>
    <s v="Annual Giving"/>
    <x v="0"/>
    <m/>
    <n v="466.71"/>
    <n v="400.51"/>
    <n v="1915.64"/>
    <n v="664.5"/>
    <n v="-710.95"/>
    <n v="-182.43"/>
    <n v="-1641.84"/>
    <n v="182.42"/>
    <n v="-182.42"/>
    <n v="0"/>
    <n v="0"/>
    <n v="-364.86"/>
    <n v="547.2800000000002"/>
    <n v="4636.0599999999995"/>
  </r>
  <r>
    <x v="5"/>
    <x v="16"/>
    <x v="0"/>
    <s v="7901460"/>
    <n v="700034"/>
    <s v="Salaries-Tech/Professional-Productive"/>
    <s v="Annual Giving"/>
    <x v="0"/>
    <m/>
    <n v="1540.06"/>
    <n v="1821.47"/>
    <n v="8053.62"/>
    <n v="1956.48"/>
    <n v="1847.7"/>
    <n v="1383.41"/>
    <n v="-9633.2900000000009"/>
    <n v="2203.7800000000002"/>
    <n v="-444.69"/>
    <n v="1481.91"/>
    <n v="992.31"/>
    <n v="-3643.75"/>
    <n v="7559.01"/>
    <n v="1.2"/>
  </r>
  <r>
    <x v="5"/>
    <x v="16"/>
    <x v="0"/>
    <s v="7901460"/>
    <n v="700034"/>
    <s v="Salaries-Tech/Professional-Other"/>
    <s v="Annual Giving"/>
    <x v="0"/>
    <n v="2000"/>
    <n v="0"/>
    <n v="2.7"/>
    <n v="3"/>
    <n v="-0.6"/>
    <n v="-0.6"/>
    <n v="-0.3"/>
    <n v="-2.7"/>
    <n v="0.3"/>
    <n v="-0.3"/>
    <n v="1.5"/>
    <n v="0"/>
    <n v="-1.2"/>
    <n v="1.8000000000000009"/>
    <n v="2825.5499999999997"/>
  </r>
  <r>
    <x v="5"/>
    <x v="16"/>
    <x v="0"/>
    <s v="7901460"/>
    <n v="700038"/>
    <s v="Salaries-Service/Support-Productive"/>
    <s v="Annual Giving"/>
    <x v="0"/>
    <m/>
    <n v="619.48"/>
    <n v="729.02"/>
    <n v="2813.78"/>
    <n v="2164.06"/>
    <n v="854.79"/>
    <n v="1401.25"/>
    <n v="-4881.34"/>
    <n v="1425.15"/>
    <n v="-165.56"/>
    <n v="687.65"/>
    <n v="685.64"/>
    <n v="-2139.91"/>
    <n v="4194.01"/>
    <n v="154.44"/>
  </r>
  <r>
    <x v="5"/>
    <x v="16"/>
    <x v="0"/>
    <s v="7901460"/>
    <n v="700038"/>
    <s v="Salaries-Service/Support-OT"/>
    <s v="Annual Giving"/>
    <x v="0"/>
    <n v="1000"/>
    <n v="0.85"/>
    <n v="8.85"/>
    <n v="14.38"/>
    <n v="60.08"/>
    <n v="-4.75"/>
    <n v="129.97999999999999"/>
    <n v="-105.29"/>
    <n v="21.7"/>
    <n v="21.99"/>
    <n v="69.2"/>
    <n v="77.959999999999994"/>
    <n v="-76.48"/>
    <n v="218.46999999999997"/>
    <n v="94.660000000000011"/>
  </r>
  <r>
    <x v="5"/>
    <x v="16"/>
    <x v="0"/>
    <s v="7901460"/>
    <n v="700054"/>
    <s v="Salaries-Management-Non-productive"/>
    <s v="Annual Giving"/>
    <x v="0"/>
    <m/>
    <n v="119.16"/>
    <n v="119.16"/>
    <n v="415.74"/>
    <n v="-68.849999999999994"/>
    <n v="-68.849999999999994"/>
    <n v="257.94"/>
    <n v="-443.52"/>
    <n v="54.53"/>
    <n v="-23.55"/>
    <n v="0"/>
    <n v="27.12"/>
    <n v="-67.540000000000006"/>
    <n v="321.33999999999992"/>
    <n v="0"/>
  </r>
  <r>
    <x v="5"/>
    <x v="16"/>
    <x v="0"/>
    <s v="7901460"/>
    <n v="700054"/>
    <s v="Salaries-Management-NonProd-Other"/>
    <s v="Annual Giving"/>
    <x v="0"/>
    <n v="2000"/>
    <n v="0"/>
    <n v="0"/>
    <n v="0"/>
    <n v="0"/>
    <n v="0"/>
    <n v="149.32"/>
    <n v="-95.99"/>
    <n v="-53.33"/>
    <n v="0"/>
    <n v="0"/>
    <n v="0"/>
    <n v="0"/>
    <n v="0"/>
    <n v="29.43"/>
  </r>
  <r>
    <x v="5"/>
    <x v="16"/>
    <x v="0"/>
    <s v="7901460"/>
    <n v="700058"/>
    <s v="Salaries-Supervisory-Non-productive"/>
    <s v="Annual Giving"/>
    <x v="0"/>
    <m/>
    <n v="22.08"/>
    <n v="88.3"/>
    <n v="169.24"/>
    <n v="-29.43"/>
    <n v="-29.44"/>
    <n v="-14.71"/>
    <n v="-132.46"/>
    <n v="14.72"/>
    <n v="-14.72"/>
    <n v="0"/>
    <n v="0"/>
    <n v="-29.43"/>
    <n v="44.149999999999984"/>
    <n v="1119.93"/>
  </r>
  <r>
    <x v="5"/>
    <x v="16"/>
    <x v="0"/>
    <s v="7901460"/>
    <n v="700074"/>
    <s v="Salaries-Tech/Professional-Non-productive"/>
    <s v="Annual Giving"/>
    <x v="0"/>
    <m/>
    <n v="226.18"/>
    <n v="345.37"/>
    <n v="1362.7"/>
    <n v="-125.52"/>
    <n v="-212.79"/>
    <n v="807.33"/>
    <n v="-1475.36"/>
    <n v="578.12"/>
    <n v="-225.8"/>
    <n v="15.36"/>
    <n v="415.6"/>
    <n v="-704.33"/>
    <n v="1006.86"/>
    <n v="211.62"/>
  </r>
  <r>
    <x v="5"/>
    <x v="16"/>
    <x v="0"/>
    <s v="7901460"/>
    <n v="700078"/>
    <s v="Salaries-Service/Support-Non-productive"/>
    <s v="Annual Giving"/>
    <x v="0"/>
    <m/>
    <n v="127.43"/>
    <n v="16.98"/>
    <n v="375.27"/>
    <n v="-36.24"/>
    <n v="115.34"/>
    <n v="112.17"/>
    <n v="-377.57"/>
    <n v="144.72999999999999"/>
    <n v="-56.09"/>
    <n v="0"/>
    <n v="41.54"/>
    <n v="-170.08"/>
    <n v="293.4799999999999"/>
    <n v="67.940000000000012"/>
  </r>
  <r>
    <x v="5"/>
    <x v="16"/>
    <x v="0"/>
    <s v="7901460"/>
    <n v="700084"/>
    <s v="Accrued PTO"/>
    <s v="Annual Giving"/>
    <x v="0"/>
    <m/>
    <n v="23.5"/>
    <n v="-136.87"/>
    <n v="-113.86"/>
    <n v="738.26"/>
    <n v="-1104.7"/>
    <n v="-279.12"/>
    <n v="577.96"/>
    <n v="-162.9"/>
    <n v="198.24"/>
    <n v="222.34"/>
    <n v="134.30000000000001"/>
    <n v="66.36"/>
    <n v="163.51"/>
    <n v="902.77"/>
  </r>
  <r>
    <x v="6"/>
    <x v="16"/>
    <x v="0"/>
    <s v="7901460"/>
    <n v="713010"/>
    <s v="Benefits-FICA/Medicare"/>
    <s v="Annual Giving"/>
    <x v="0"/>
    <m/>
    <n v="260.66000000000003"/>
    <n v="292.16000000000003"/>
    <n v="1257.05"/>
    <n v="406.63"/>
    <n v="171.53"/>
    <n v="325.26"/>
    <n v="-1583.07"/>
    <n v="402.35"/>
    <n v="-93.42"/>
    <n v="260.79000000000002"/>
    <n v="276.02"/>
    <n v="-626.75"/>
    <n v="1349.21"/>
    <n v="2531.3000000000002"/>
  </r>
  <r>
    <x v="6"/>
    <x v="16"/>
    <x v="0"/>
    <s v="7901460"/>
    <n v="713090"/>
    <s v="Benefits-Allocated Amounts"/>
    <s v="Annual Giving"/>
    <x v="0"/>
    <m/>
    <n v="796.61"/>
    <n v="787.23"/>
    <n v="3633.4"/>
    <n v="1089.78"/>
    <n v="327.01"/>
    <n v="905.22"/>
    <n v="-4362.2"/>
    <n v="1169.9000000000001"/>
    <n v="-216.32"/>
    <n v="644.02"/>
    <n v="673.86"/>
    <n v="-1857.44"/>
    <n v="3591.0700000000011"/>
    <n v="0"/>
  </r>
  <r>
    <x v="7"/>
    <x v="16"/>
    <x v="0"/>
    <s v="7901460"/>
    <n v="718010"/>
    <s v="Contract Srvcs-Advertising/Sponsorships"/>
    <s v="Annual Giving"/>
    <x v="0"/>
    <n v="1005"/>
    <n v="991.39"/>
    <n v="0"/>
    <n v="180.7"/>
    <n v="-101.55"/>
    <n v="0"/>
    <n v="0"/>
    <n v="0"/>
    <n v="0"/>
    <n v="0"/>
    <n v="0"/>
    <n v="0"/>
    <n v="0"/>
    <n v="1070.54"/>
    <n v="-2712.81"/>
  </r>
  <r>
    <x v="7"/>
    <x v="16"/>
    <x v="0"/>
    <s v="7901460"/>
    <n v="718050"/>
    <s v="Miscellaneous Purchased Svcs"/>
    <s v="Annual Giving"/>
    <x v="0"/>
    <n v="1020"/>
    <n v="0"/>
    <n v="0"/>
    <n v="0"/>
    <n v="341.25"/>
    <n v="330.3"/>
    <n v="632.86"/>
    <n v="0"/>
    <n v="0"/>
    <n v="0"/>
    <n v="250"/>
    <n v="210"/>
    <n v="2922.81"/>
    <n v="4687.2199999999993"/>
    <n v="357.5"/>
  </r>
  <r>
    <x v="7"/>
    <x v="16"/>
    <x v="0"/>
    <s v="7901460"/>
    <n v="718050"/>
    <s v="Printing"/>
    <s v="Annual Giving"/>
    <x v="0"/>
    <n v="1021"/>
    <n v="0"/>
    <n v="0"/>
    <n v="0"/>
    <n v="0"/>
    <n v="0"/>
    <n v="0"/>
    <n v="0"/>
    <n v="0"/>
    <n v="0"/>
    <n v="0"/>
    <n v="178.75"/>
    <n v="-178.75"/>
    <n v="0"/>
    <n v="-15.72"/>
  </r>
  <r>
    <x v="11"/>
    <x v="16"/>
    <x v="0"/>
    <s v="7901460"/>
    <n v="721830"/>
    <s v="Supplies-Office"/>
    <s v="Annual Giving"/>
    <x v="0"/>
    <m/>
    <n v="0"/>
    <n v="0"/>
    <n v="0"/>
    <n v="0"/>
    <n v="0"/>
    <n v="0"/>
    <n v="0"/>
    <n v="0"/>
    <n v="0"/>
    <n v="0"/>
    <n v="0"/>
    <n v="15.72"/>
    <n v="15.72"/>
    <n v="-13.38"/>
  </r>
  <r>
    <x v="11"/>
    <x v="16"/>
    <x v="0"/>
    <s v="7901460"/>
    <n v="721835"/>
    <s v="Supplies-Forms"/>
    <s v="Annual Giving"/>
    <x v="0"/>
    <m/>
    <n v="0"/>
    <n v="0"/>
    <n v="0"/>
    <n v="0"/>
    <n v="37"/>
    <n v="0"/>
    <n v="0"/>
    <n v="0"/>
    <n v="0"/>
    <n v="0"/>
    <n v="0"/>
    <n v="13.38"/>
    <n v="50.38"/>
    <n v="-533.20000000000005"/>
  </r>
  <r>
    <x v="0"/>
    <x v="16"/>
    <x v="0"/>
    <s v="7901460"/>
    <n v="742010"/>
    <s v="Postage-Regular"/>
    <s v="Annual Giving"/>
    <x v="0"/>
    <m/>
    <n v="0"/>
    <n v="0"/>
    <n v="0"/>
    <n v="0"/>
    <n v="0"/>
    <n v="24.7"/>
    <n v="0"/>
    <n v="0"/>
    <n v="0"/>
    <n v="0"/>
    <n v="0"/>
    <n v="533.20000000000005"/>
    <n v="557.90000000000009"/>
    <n v="0"/>
  </r>
  <r>
    <x v="0"/>
    <x v="16"/>
    <x v="0"/>
    <s v="7901460"/>
    <n v="742040"/>
    <s v="Freight-Other"/>
    <s v="Annual Giving"/>
    <x v="0"/>
    <m/>
    <n v="0"/>
    <n v="0"/>
    <n v="0"/>
    <n v="101.55"/>
    <n v="0"/>
    <n v="0"/>
    <n v="0"/>
    <n v="0"/>
    <n v="0"/>
    <n v="0"/>
    <n v="0"/>
    <n v="0"/>
    <n v="101.55"/>
    <n v="6585"/>
  </r>
  <r>
    <x v="0"/>
    <x v="16"/>
    <x v="0"/>
    <s v="7901460"/>
    <n v="749510"/>
    <s v="Miscellaneous Expenses"/>
    <s v="Annual Giving"/>
    <x v="0"/>
    <m/>
    <n v="0"/>
    <n v="0"/>
    <n v="0"/>
    <n v="0"/>
    <n v="0"/>
    <n v="0"/>
    <n v="0"/>
    <n v="0"/>
    <n v="0"/>
    <n v="0"/>
    <n v="6585"/>
    <n v="0"/>
    <n v="6585"/>
    <n v="-41.18"/>
  </r>
  <r>
    <x v="0"/>
    <x v="16"/>
    <x v="0"/>
    <s v="7901460"/>
    <n v="749530"/>
    <s v="Mileage"/>
    <s v="Annual Giving"/>
    <x v="0"/>
    <n v="1001"/>
    <n v="0"/>
    <n v="0"/>
    <n v="0"/>
    <n v="0"/>
    <n v="0"/>
    <n v="7.09"/>
    <n v="0"/>
    <n v="0"/>
    <n v="0"/>
    <n v="0"/>
    <n v="0"/>
    <n v="41.18"/>
    <n v="48.269999999999996"/>
    <n v="3.1000000000000227"/>
  </r>
  <r>
    <x v="5"/>
    <x v="17"/>
    <x v="0"/>
    <s v="7901467"/>
    <n v="700014"/>
    <s v="Salaries-Management-Productive"/>
    <s v="Annual Giving"/>
    <x v="0"/>
    <m/>
    <n v="272.35000000000002"/>
    <n v="272.37"/>
    <n v="-125.96"/>
    <n v="-20.2"/>
    <n v="116.02"/>
    <n v="-218.23"/>
    <n v="49.19"/>
    <n v="56.16"/>
    <n v="51.9"/>
    <n v="239.67"/>
    <n v="289.16000000000003"/>
    <n v="286.06"/>
    <n v="1268.49"/>
    <n v="4.28"/>
  </r>
  <r>
    <x v="5"/>
    <x v="17"/>
    <x v="0"/>
    <s v="7901467"/>
    <n v="700014"/>
    <s v="Salaries-Management-Other"/>
    <s v="Annual Giving"/>
    <x v="0"/>
    <n v="2000"/>
    <n v="49.82"/>
    <n v="49.82"/>
    <n v="-25.71"/>
    <n v="-8.0399999999999991"/>
    <n v="16.07"/>
    <n v="-32.67"/>
    <n v="8.31"/>
    <n v="7.51"/>
    <n v="8.32"/>
    <n v="8.35"/>
    <n v="8.31"/>
    <n v="4.03"/>
    <n v="94.12"/>
    <n v="0"/>
  </r>
  <r>
    <x v="5"/>
    <x v="17"/>
    <x v="0"/>
    <s v="7901467"/>
    <n v="700018"/>
    <s v="Salaries-Supervisory-Productive"/>
    <s v="Annual Giving"/>
    <x v="0"/>
    <m/>
    <n v="311.14"/>
    <n v="267.01"/>
    <n v="-138.75"/>
    <n v="-33.83"/>
    <n v="-40.72"/>
    <n v="-182.42"/>
    <n v="0"/>
    <n v="0"/>
    <n v="0"/>
    <n v="0"/>
    <n v="0"/>
    <n v="0"/>
    <n v="182.43000000000004"/>
    <n v="-80.66"/>
  </r>
  <r>
    <x v="5"/>
    <x v="17"/>
    <x v="0"/>
    <s v="7901467"/>
    <n v="700034"/>
    <s v="Salaries-Tech/Professional-Productive"/>
    <s v="Annual Giving"/>
    <x v="0"/>
    <m/>
    <n v="1026.71"/>
    <n v="1214.31"/>
    <n v="-438.63"/>
    <n v="-229.26"/>
    <n v="456.11"/>
    <n v="-843.33"/>
    <n v="207.98"/>
    <n v="134.97999999999999"/>
    <n v="216.84"/>
    <n v="296.38"/>
    <n v="198.46"/>
    <n v="279.12"/>
    <n v="2519.6699999999996"/>
    <n v="0"/>
  </r>
  <r>
    <x v="5"/>
    <x v="17"/>
    <x v="0"/>
    <s v="7901467"/>
    <n v="700034"/>
    <s v="Salaries-Tech/Professional-Other"/>
    <s v="Annual Giving"/>
    <x v="0"/>
    <n v="2000"/>
    <n v="0"/>
    <n v="1.8"/>
    <n v="-0.9"/>
    <n v="-0.3"/>
    <n v="0"/>
    <n v="-0.3"/>
    <n v="0"/>
    <n v="0"/>
    <n v="0"/>
    <n v="0.3"/>
    <n v="0"/>
    <n v="0"/>
    <n v="0.60000000000000009"/>
    <n v="5.9000000000000057"/>
  </r>
  <r>
    <x v="5"/>
    <x v="17"/>
    <x v="0"/>
    <s v="7901467"/>
    <n v="700038"/>
    <s v="Salaries-Service/Support-Productive"/>
    <s v="Annual Giving"/>
    <x v="0"/>
    <m/>
    <n v="412.98"/>
    <n v="486.02"/>
    <n v="-241.8"/>
    <n v="87.08"/>
    <n v="213.2"/>
    <n v="-344.45"/>
    <n v="127.18"/>
    <n v="114.16"/>
    <n v="137.76"/>
    <n v="137.53"/>
    <n v="137.12"/>
    <n v="131.22"/>
    <n v="1398.0000000000002"/>
    <n v="1.7599999999999998"/>
  </r>
  <r>
    <x v="5"/>
    <x v="17"/>
    <x v="0"/>
    <s v="7901467"/>
    <n v="700038"/>
    <s v="Salaries-Service/Support-OT"/>
    <s v="Annual Giving"/>
    <x v="0"/>
    <n v="1000"/>
    <n v="0.56999999999999995"/>
    <n v="5.9"/>
    <n v="-2.67"/>
    <n v="6.1"/>
    <n v="0.69"/>
    <n v="4.37"/>
    <n v="5.86"/>
    <n v="0.15"/>
    <n v="8.59"/>
    <n v="13.84"/>
    <n v="15.59"/>
    <n v="13.83"/>
    <n v="72.819999999999993"/>
    <n v="-23.9"/>
  </r>
  <r>
    <x v="5"/>
    <x v="17"/>
    <x v="0"/>
    <s v="7901467"/>
    <n v="700054"/>
    <s v="Salaries-Management-Non-productive"/>
    <s v="Annual Giving"/>
    <x v="0"/>
    <m/>
    <n v="79.44"/>
    <n v="79.44"/>
    <n v="-55.61"/>
    <n v="-34.42"/>
    <n v="0"/>
    <n v="-13.54"/>
    <n v="10.85"/>
    <n v="-1.94"/>
    <n v="8.1300000000000008"/>
    <n v="0"/>
    <n v="5.43"/>
    <n v="29.33"/>
    <n v="107.11"/>
    <n v="0"/>
  </r>
  <r>
    <x v="5"/>
    <x v="17"/>
    <x v="0"/>
    <s v="7901467"/>
    <n v="700054"/>
    <s v="Salaries-Management-NonProd-Other"/>
    <s v="Annual Giving"/>
    <x v="0"/>
    <n v="2000"/>
    <n v="0"/>
    <n v="0"/>
    <n v="0"/>
    <n v="0"/>
    <n v="0"/>
    <n v="10.67"/>
    <n v="0"/>
    <n v="-10.67"/>
    <n v="0"/>
    <n v="0"/>
    <n v="0"/>
    <n v="0"/>
    <n v="0"/>
    <n v="0"/>
  </r>
  <r>
    <x v="5"/>
    <x v="17"/>
    <x v="0"/>
    <s v="7901467"/>
    <n v="700058"/>
    <s v="Salaries-Supervisory-Non-productive"/>
    <s v="Annual Giving"/>
    <x v="0"/>
    <m/>
    <n v="14.72"/>
    <n v="58.86"/>
    <n v="-29.43"/>
    <n v="-14.72"/>
    <n v="0"/>
    <n v="-14.71"/>
    <n v="0"/>
    <n v="0"/>
    <n v="0"/>
    <n v="0"/>
    <n v="0"/>
    <n v="0"/>
    <n v="14.719999999999999"/>
    <n v="89.740000000000009"/>
  </r>
  <r>
    <x v="5"/>
    <x v="17"/>
    <x v="0"/>
    <s v="7901467"/>
    <n v="700074"/>
    <s v="Salaries-Tech/Professional-Non-productive"/>
    <s v="Annual Giving"/>
    <x v="0"/>
    <m/>
    <n v="150.79"/>
    <n v="230.25"/>
    <n v="-75.63"/>
    <n v="-92.62"/>
    <n v="0"/>
    <n v="-41.13"/>
    <n v="13.92"/>
    <n v="65.42"/>
    <n v="5.05"/>
    <n v="3.07"/>
    <n v="83.12"/>
    <n v="-6.62"/>
    <n v="335.61999999999995"/>
    <n v="3.1900000000000004"/>
  </r>
  <r>
    <x v="5"/>
    <x v="17"/>
    <x v="0"/>
    <s v="7901467"/>
    <n v="700078"/>
    <s v="Salaries-Service/Support-Non-productive"/>
    <s v="Annual Giving"/>
    <x v="0"/>
    <m/>
    <n v="84.95"/>
    <n v="11.32"/>
    <n v="-14.21"/>
    <n v="-25.19"/>
    <n v="22.97"/>
    <n v="-29.06"/>
    <n v="15.9"/>
    <n v="13.01"/>
    <n v="4.71"/>
    <n v="0"/>
    <n v="8.31"/>
    <n v="5.12"/>
    <n v="97.830000000000013"/>
    <n v="-8.2100000000000009"/>
  </r>
  <r>
    <x v="5"/>
    <x v="17"/>
    <x v="0"/>
    <s v="7901467"/>
    <n v="700084"/>
    <s v="Accrued PTO"/>
    <s v="Annual Giving"/>
    <x v="0"/>
    <m/>
    <n v="15.66"/>
    <n v="-91.24"/>
    <n v="39.700000000000003"/>
    <n v="96"/>
    <n v="-139.28"/>
    <n v="16.82"/>
    <n v="3.37"/>
    <n v="-17.32"/>
    <n v="24.39"/>
    <n v="44.47"/>
    <n v="26.86"/>
    <n v="35.07"/>
    <n v="54.500000000000007"/>
    <n v="0.65000000000000568"/>
  </r>
  <r>
    <x v="6"/>
    <x v="17"/>
    <x v="0"/>
    <s v="7901467"/>
    <n v="713010"/>
    <s v="Benefits-FICA/Medicare"/>
    <s v="Annual Giving"/>
    <x v="0"/>
    <m/>
    <n v="173.77"/>
    <n v="194.78"/>
    <n v="-82.78"/>
    <n v="-25.01"/>
    <n v="57.64"/>
    <n v="-124.59"/>
    <n v="32.229999999999997"/>
    <n v="29.39"/>
    <n v="32.4"/>
    <n v="52.16"/>
    <n v="55.2"/>
    <n v="54.55"/>
    <n v="449.7399999999999"/>
    <n v="27.450000000000017"/>
  </r>
  <r>
    <x v="6"/>
    <x v="17"/>
    <x v="0"/>
    <s v="7901467"/>
    <n v="713090"/>
    <s v="Benefits-Allocated Amounts"/>
    <s v="Annual Giving"/>
    <x v="0"/>
    <m/>
    <n v="531.07000000000005"/>
    <n v="524.83000000000004"/>
    <n v="-232.12"/>
    <n v="-81.78"/>
    <n v="142.54"/>
    <n v="-346.02"/>
    <n v="96.89"/>
    <n v="89.08"/>
    <n v="101.64"/>
    <n v="128.80000000000001"/>
    <n v="134.77000000000001"/>
    <n v="107.32"/>
    <n v="1197.02"/>
    <n v="-178.75"/>
  </r>
  <r>
    <x v="7"/>
    <x v="17"/>
    <x v="0"/>
    <s v="7901467"/>
    <n v="718050"/>
    <s v="Printing"/>
    <s v="Annual Giving"/>
    <x v="0"/>
    <n v="1021"/>
    <n v="0"/>
    <n v="0"/>
    <n v="0"/>
    <n v="0"/>
    <n v="0"/>
    <n v="0"/>
    <n v="0"/>
    <n v="0"/>
    <n v="0"/>
    <n v="0"/>
    <n v="0"/>
    <n v="178.75"/>
    <n v="178.75"/>
    <n v="0"/>
  </r>
  <r>
    <x v="7"/>
    <x v="17"/>
    <x v="0"/>
    <s v="7901467"/>
    <n v="718050"/>
    <s v="Contract Services-Food&amp;Catering"/>
    <s v="Annual Giving"/>
    <x v="0"/>
    <n v="1030"/>
    <n v="0"/>
    <n v="0"/>
    <n v="0"/>
    <n v="0"/>
    <n v="0"/>
    <n v="0"/>
    <n v="0"/>
    <n v="0"/>
    <n v="0"/>
    <n v="97.94"/>
    <n v="0"/>
    <n v="0"/>
    <n v="97.94"/>
    <n v="-249.12"/>
  </r>
  <r>
    <x v="0"/>
    <x v="17"/>
    <x v="0"/>
    <s v="7901467"/>
    <n v="742010"/>
    <s v="Postage-Regular"/>
    <s v="Annual Giving"/>
    <x v="0"/>
    <m/>
    <n v="0"/>
    <n v="0"/>
    <n v="0"/>
    <n v="0"/>
    <n v="0"/>
    <n v="0"/>
    <n v="0"/>
    <n v="0"/>
    <n v="0"/>
    <n v="0"/>
    <n v="0"/>
    <n v="249.12"/>
    <n v="249.12"/>
    <n v="0"/>
  </r>
  <r>
    <x v="0"/>
    <x v="17"/>
    <x v="0"/>
    <s v="7901467"/>
    <n v="749510"/>
    <s v="Miscellaneous Expenses"/>
    <s v="Annual Giving"/>
    <x v="0"/>
    <m/>
    <n v="0"/>
    <n v="0"/>
    <n v="0"/>
    <n v="0"/>
    <n v="0"/>
    <n v="0"/>
    <n v="0"/>
    <n v="0"/>
    <n v="130.35"/>
    <n v="0"/>
    <n v="0"/>
    <n v="0"/>
    <n v="130.35"/>
    <n v="0"/>
  </r>
  <r>
    <x v="0"/>
    <x v="17"/>
    <x v="0"/>
    <s v="7901467"/>
    <n v="749530"/>
    <s v="Mileage"/>
    <s v="Annual Giving"/>
    <x v="0"/>
    <n v="1001"/>
    <n v="0"/>
    <n v="0"/>
    <n v="0"/>
    <n v="0"/>
    <n v="0"/>
    <n v="21.26"/>
    <n v="0"/>
    <n v="0"/>
    <n v="0"/>
    <n v="0"/>
    <n v="0"/>
    <n v="0"/>
    <n v="21.26"/>
    <n v="15.480000000000018"/>
  </r>
  <r>
    <x v="5"/>
    <x v="16"/>
    <x v="0"/>
    <s v="7902460"/>
    <n v="700014"/>
    <s v="Salaries-Management-Productive"/>
    <s v="Information Management"/>
    <x v="0"/>
    <m/>
    <n v="272.35000000000002"/>
    <n v="272.37"/>
    <n v="153.21"/>
    <n v="298.45999999999998"/>
    <n v="290.05"/>
    <n v="491.66"/>
    <n v="295.14999999999998"/>
    <n v="336.96"/>
    <n v="311.39999999999998"/>
    <n v="744.75"/>
    <n v="1445.79"/>
    <n v="1430.31"/>
    <n v="6342.4599999999991"/>
    <n v="21.459999999999997"/>
  </r>
  <r>
    <x v="5"/>
    <x v="16"/>
    <x v="0"/>
    <s v="7902460"/>
    <n v="700014"/>
    <s v="Salaries-Management-Other"/>
    <s v="Information Management"/>
    <x v="0"/>
    <n v="2000"/>
    <n v="49.82"/>
    <n v="49.82"/>
    <n v="23.57"/>
    <n v="41.52"/>
    <n v="40.18"/>
    <n v="90.8"/>
    <n v="49.9"/>
    <n v="45.07"/>
    <n v="49.89"/>
    <n v="-31.69"/>
    <n v="41.58"/>
    <n v="20.12"/>
    <n v="470.58"/>
    <n v="0"/>
  </r>
  <r>
    <x v="5"/>
    <x v="16"/>
    <x v="0"/>
    <s v="7902460"/>
    <n v="700018"/>
    <s v="Salaries-Supervisory-Productive"/>
    <s v="Information Management"/>
    <x v="0"/>
    <m/>
    <n v="311.14"/>
    <n v="267.01"/>
    <n v="154.18"/>
    <n v="281.60000000000002"/>
    <n v="-101.79"/>
    <n v="182.42"/>
    <n v="0"/>
    <n v="0"/>
    <n v="0"/>
    <n v="-182.42"/>
    <n v="0"/>
    <n v="0"/>
    <n v="912.14"/>
    <n v="-403.28999999999996"/>
  </r>
  <r>
    <x v="5"/>
    <x v="16"/>
    <x v="0"/>
    <s v="7902460"/>
    <n v="700034"/>
    <s v="Salaries-Tech/Professional-Productive"/>
    <s v="Information Management"/>
    <x v="0"/>
    <m/>
    <n v="1026.71"/>
    <n v="1214.31"/>
    <n v="762.97"/>
    <n v="928.84"/>
    <n v="1140.28"/>
    <n v="2042.35"/>
    <n v="1247.8800000000001"/>
    <n v="809.89"/>
    <n v="1301.02"/>
    <n v="-263.8"/>
    <n v="992.31"/>
    <n v="1395.6"/>
    <n v="12598.36"/>
    <n v="0"/>
  </r>
  <r>
    <x v="5"/>
    <x v="16"/>
    <x v="0"/>
    <s v="7902460"/>
    <n v="700034"/>
    <s v="Salaries-Tech/Professional-Other"/>
    <s v="Information Management"/>
    <x v="0"/>
    <n v="2000"/>
    <n v="0"/>
    <n v="1.8"/>
    <n v="-0.3"/>
    <n v="0"/>
    <n v="0"/>
    <n v="0.3"/>
    <n v="0"/>
    <n v="0"/>
    <n v="0"/>
    <n v="1.2"/>
    <n v="0"/>
    <n v="0"/>
    <n v="3"/>
    <n v="29.539999999999964"/>
  </r>
  <r>
    <x v="5"/>
    <x v="16"/>
    <x v="0"/>
    <s v="7902460"/>
    <n v="700038"/>
    <s v="Salaries-Service/Support-Productive"/>
    <s v="Information Management"/>
    <x v="0"/>
    <m/>
    <n v="412.98"/>
    <n v="486.02"/>
    <n v="196.34"/>
    <n v="765.35"/>
    <n v="533.02"/>
    <n v="1284.45"/>
    <n v="763.09"/>
    <n v="684.94"/>
    <n v="826.56"/>
    <n v="-304.47000000000003"/>
    <n v="685.64"/>
    <n v="656.1"/>
    <n v="6990.02"/>
    <n v="8.7999999999999972"/>
  </r>
  <r>
    <x v="5"/>
    <x v="16"/>
    <x v="0"/>
    <s v="7902460"/>
    <n v="700038"/>
    <s v="Salaries-Service/Support-OT"/>
    <s v="Information Management"/>
    <x v="0"/>
    <n v="1000"/>
    <n v="0.56999999999999995"/>
    <n v="5.9"/>
    <n v="-0.13"/>
    <n v="18.41"/>
    <n v="1.72"/>
    <n v="63.27"/>
    <n v="35.18"/>
    <n v="0.88"/>
    <n v="51.55"/>
    <n v="39.64"/>
    <n v="77.959999999999994"/>
    <n v="69.16"/>
    <n v="364.11"/>
    <n v="-119.56"/>
  </r>
  <r>
    <x v="5"/>
    <x v="16"/>
    <x v="0"/>
    <s v="7902460"/>
    <n v="700054"/>
    <s v="Salaries-Management-Non-productive"/>
    <s v="Information Management"/>
    <x v="0"/>
    <m/>
    <n v="79.44"/>
    <n v="79.44"/>
    <n v="13.24"/>
    <n v="0"/>
    <n v="0"/>
    <n v="159.72"/>
    <n v="65.09"/>
    <n v="-11.62"/>
    <n v="48.81"/>
    <n v="-72.36"/>
    <n v="27.12"/>
    <n v="146.68"/>
    <n v="535.56000000000006"/>
    <n v="0"/>
  </r>
  <r>
    <x v="5"/>
    <x v="16"/>
    <x v="0"/>
    <s v="7902460"/>
    <n v="700054"/>
    <s v="Salaries-Management-NonProd-Other"/>
    <s v="Information Management"/>
    <x v="0"/>
    <n v="2000"/>
    <n v="0"/>
    <n v="0"/>
    <n v="0"/>
    <n v="0"/>
    <n v="0"/>
    <n v="63.99"/>
    <n v="0"/>
    <n v="-63.99"/>
    <n v="0"/>
    <n v="0"/>
    <n v="0"/>
    <n v="0"/>
    <n v="0"/>
    <n v="0"/>
  </r>
  <r>
    <x v="5"/>
    <x v="16"/>
    <x v="0"/>
    <s v="7902460"/>
    <n v="700058"/>
    <s v="Salaries-Supervisory-Non-productive"/>
    <s v="Information Management"/>
    <x v="0"/>
    <m/>
    <n v="14.72"/>
    <n v="58.86"/>
    <n v="0"/>
    <n v="0"/>
    <n v="0"/>
    <n v="14.72"/>
    <n v="0"/>
    <n v="0"/>
    <n v="0"/>
    <n v="-14.72"/>
    <n v="0"/>
    <n v="0"/>
    <n v="73.58"/>
    <n v="448.68"/>
  </r>
  <r>
    <x v="5"/>
    <x v="16"/>
    <x v="0"/>
    <s v="7902460"/>
    <n v="700074"/>
    <s v="Salaries-Tech/Professional-Non-productive"/>
    <s v="Information Management"/>
    <x v="0"/>
    <m/>
    <n v="150.79"/>
    <n v="230.25"/>
    <n v="127.97"/>
    <n v="22.97"/>
    <n v="0"/>
    <n v="497.99"/>
    <n v="83.52"/>
    <n v="392.54"/>
    <n v="30.25"/>
    <n v="-240.69"/>
    <n v="415.6"/>
    <n v="-33.08"/>
    <n v="1678.1100000000001"/>
    <n v="15.969999999999999"/>
  </r>
  <r>
    <x v="5"/>
    <x v="16"/>
    <x v="0"/>
    <s v="7902460"/>
    <n v="700078"/>
    <s v="Salaries-Service/Support-Non-productive"/>
    <s v="Information Management"/>
    <x v="0"/>
    <m/>
    <n v="84.95"/>
    <n v="11.32"/>
    <n v="40.49"/>
    <n v="5.43"/>
    <n v="57.4"/>
    <n v="105.1"/>
    <n v="95.36"/>
    <n v="78.06"/>
    <n v="28.32"/>
    <n v="-84.41"/>
    <n v="41.54"/>
    <n v="25.57"/>
    <n v="489.13000000000011"/>
    <n v="-41.069999999999993"/>
  </r>
  <r>
    <x v="5"/>
    <x v="16"/>
    <x v="0"/>
    <s v="7902460"/>
    <n v="700084"/>
    <s v="Accrued PTO"/>
    <s v="Information Management"/>
    <x v="0"/>
    <m/>
    <n v="15.66"/>
    <n v="-91.24"/>
    <n v="15.78"/>
    <n v="210.1"/>
    <n v="-348.19"/>
    <n v="-176.16"/>
    <n v="20.260000000000002"/>
    <n v="-103.94"/>
    <n v="146.34"/>
    <n v="274.24"/>
    <n v="134.30000000000001"/>
    <n v="175.37"/>
    <n v="272.52000000000004"/>
    <n v="3.2999999999999545"/>
  </r>
  <r>
    <x v="6"/>
    <x v="16"/>
    <x v="0"/>
    <s v="7902460"/>
    <n v="713010"/>
    <s v="Benefits-FICA/Medicare"/>
    <s v="Information Management"/>
    <x v="0"/>
    <m/>
    <n v="173.77"/>
    <n v="194.78"/>
    <n v="107.73"/>
    <n v="175.63"/>
    <n v="144.1"/>
    <n v="366.83"/>
    <n v="193.43"/>
    <n v="176.3"/>
    <n v="194.41"/>
    <n v="-27.04"/>
    <n v="276.02"/>
    <n v="272.72000000000003"/>
    <n v="2248.6800000000003"/>
    <n v="137.25"/>
  </r>
  <r>
    <x v="6"/>
    <x v="16"/>
    <x v="0"/>
    <s v="7902460"/>
    <n v="713090"/>
    <s v="Benefits-Allocated Amounts"/>
    <s v="Information Management"/>
    <x v="0"/>
    <m/>
    <n v="531.07000000000005"/>
    <n v="524.83000000000004"/>
    <n v="317.06"/>
    <n v="482.04"/>
    <n v="356.34"/>
    <n v="1019.77"/>
    <n v="581.35"/>
    <n v="534.49"/>
    <n v="609.79999999999995"/>
    <n v="-182.1"/>
    <n v="673.86"/>
    <n v="536.61"/>
    <n v="5985.119999999999"/>
    <n v="-735"/>
  </r>
  <r>
    <x v="7"/>
    <x v="16"/>
    <x v="0"/>
    <s v="7903460"/>
    <n v="718050"/>
    <s v="Miscellaneous Purchased Svcs"/>
    <s v="Planned Giving"/>
    <x v="0"/>
    <n v="1020"/>
    <n v="0"/>
    <n v="735"/>
    <n v="1140.48"/>
    <n v="0"/>
    <n v="0"/>
    <n v="617.5"/>
    <n v="0"/>
    <n v="0"/>
    <n v="692.5"/>
    <n v="0"/>
    <n v="0"/>
    <n v="735"/>
    <n v="3920.48"/>
    <n v="-2500"/>
  </r>
  <r>
    <x v="0"/>
    <x v="16"/>
    <x v="0"/>
    <s v="7903460"/>
    <n v="740020"/>
    <s v="Education-Registration Fees"/>
    <s v="Planned Giving"/>
    <x v="0"/>
    <m/>
    <n v="0"/>
    <n v="0"/>
    <n v="0"/>
    <n v="0"/>
    <n v="0"/>
    <n v="0"/>
    <n v="0"/>
    <n v="0"/>
    <n v="0"/>
    <n v="0"/>
    <n v="0"/>
    <n v="2500"/>
    <n v="2500"/>
    <n v="-76.27"/>
  </r>
  <r>
    <x v="0"/>
    <x v="16"/>
    <x v="0"/>
    <s v="7903460"/>
    <n v="742010"/>
    <s v="Postage-Regular"/>
    <s v="Planned Giving"/>
    <x v="0"/>
    <m/>
    <n v="0"/>
    <n v="0"/>
    <n v="0"/>
    <n v="0"/>
    <n v="0"/>
    <n v="0"/>
    <n v="0"/>
    <n v="0"/>
    <n v="0"/>
    <n v="0"/>
    <n v="0"/>
    <n v="76.27"/>
    <n v="76.27"/>
    <n v="0"/>
  </r>
  <r>
    <x v="0"/>
    <x v="16"/>
    <x v="0"/>
    <s v="7903460"/>
    <n v="743010"/>
    <s v="Dues--Institutional"/>
    <s v="Planned Giving"/>
    <x v="0"/>
    <m/>
    <n v="0"/>
    <n v="0"/>
    <n v="0"/>
    <n v="250"/>
    <n v="0"/>
    <n v="0"/>
    <n v="0"/>
    <n v="0"/>
    <n v="0"/>
    <n v="0"/>
    <n v="0"/>
    <n v="0"/>
    <n v="250"/>
    <n v="0"/>
  </r>
  <r>
    <x v="0"/>
    <x v="17"/>
    <x v="0"/>
    <s v="7903467"/>
    <n v="743020"/>
    <s v="Dues--Individual"/>
    <s v="Planned Giving"/>
    <x v="0"/>
    <m/>
    <n v="0"/>
    <n v="0"/>
    <n v="0"/>
    <n v="0"/>
    <n v="0"/>
    <n v="0"/>
    <n v="52.5"/>
    <n v="0"/>
    <n v="0"/>
    <n v="0"/>
    <n v="0"/>
    <n v="0"/>
    <n v="52.5"/>
    <n v="0"/>
  </r>
  <r>
    <x v="5"/>
    <x v="3"/>
    <x v="0"/>
    <s v="7904101"/>
    <n v="700054"/>
    <s v="Salaries-Management-NonProd-Other"/>
    <s v="Immunization Fnd Fund"/>
    <x v="0"/>
    <n v="2000"/>
    <n v="0"/>
    <n v="0"/>
    <n v="0"/>
    <n v="0"/>
    <n v="0"/>
    <n v="178.98"/>
    <n v="-178.98"/>
    <n v="0"/>
    <n v="0"/>
    <n v="0"/>
    <n v="0"/>
    <n v="0"/>
    <n v="0"/>
    <n v="0"/>
  </r>
  <r>
    <x v="6"/>
    <x v="3"/>
    <x v="0"/>
    <s v="7904101"/>
    <n v="713010"/>
    <s v="Benefits-FICA/Medicare"/>
    <s v="Immunization Fnd Fund"/>
    <x v="0"/>
    <m/>
    <n v="0"/>
    <n v="0"/>
    <n v="0"/>
    <n v="0"/>
    <n v="0"/>
    <n v="13.7"/>
    <n v="13.7"/>
    <n v="0"/>
    <n v="0"/>
    <n v="0"/>
    <n v="0"/>
    <n v="0"/>
    <n v="27.4"/>
    <n v="-74.679999999999836"/>
  </r>
  <r>
    <x v="5"/>
    <x v="16"/>
    <x v="0"/>
    <s v="7904460"/>
    <n v="700014"/>
    <s v="Salaries-Management-Productive"/>
    <s v="Major Giving"/>
    <x v="0"/>
    <m/>
    <n v="953.23"/>
    <n v="953.29"/>
    <n v="187.28"/>
    <n v="1094.6500000000001"/>
    <n v="928.16"/>
    <n v="625"/>
    <n v="787.05"/>
    <n v="898.56"/>
    <n v="830.4"/>
    <n v="3834.72"/>
    <n v="2661.69"/>
    <n v="2736.37"/>
    <n v="16490.400000000001"/>
    <n v="-9.36"/>
  </r>
  <r>
    <x v="5"/>
    <x v="16"/>
    <x v="0"/>
    <s v="7904460"/>
    <n v="700014"/>
    <s v="Salaries-Management-Other"/>
    <s v="Major Giving"/>
    <x v="0"/>
    <n v="2000"/>
    <n v="174.37"/>
    <n v="174.37"/>
    <n v="20.9"/>
    <n v="157.5"/>
    <n v="128.57"/>
    <n v="132.86000000000001"/>
    <n v="133.06"/>
    <n v="120.18"/>
    <n v="133.05000000000001"/>
    <n v="133.57"/>
    <n v="-47.14"/>
    <n v="-37.78"/>
    <n v="1223.51"/>
    <n v="-182.43"/>
  </r>
  <r>
    <x v="5"/>
    <x v="16"/>
    <x v="0"/>
    <s v="7904460"/>
    <n v="700018"/>
    <s v="Salaries-Supervisory-Productive"/>
    <s v="Major Giving"/>
    <x v="0"/>
    <m/>
    <n v="1089"/>
    <n v="934.52"/>
    <n v="173.48"/>
    <n v="1047.57"/>
    <n v="-325.73"/>
    <n v="0"/>
    <n v="0"/>
    <n v="0"/>
    <n v="0"/>
    <n v="0"/>
    <n v="-364.86"/>
    <n v="-182.43"/>
    <n v="2371.5499999999997"/>
    <n v="-2693.71"/>
  </r>
  <r>
    <x v="5"/>
    <x v="16"/>
    <x v="0"/>
    <s v="7904460"/>
    <n v="700034"/>
    <s v="Salaries-Tech/Professional-Productive"/>
    <s v="Major Giving"/>
    <x v="0"/>
    <m/>
    <n v="3593.48"/>
    <n v="4250.1000000000004"/>
    <n v="1168.3800000000001"/>
    <n v="3573.1"/>
    <n v="3648.89"/>
    <n v="2740.61"/>
    <n v="3327.68"/>
    <n v="2159.7199999999998"/>
    <n v="3469.38"/>
    <n v="4742.1000000000004"/>
    <n v="-1305.71"/>
    <n v="1388"/>
    <n v="32755.730000000003"/>
    <n v="-0.6"/>
  </r>
  <r>
    <x v="5"/>
    <x v="16"/>
    <x v="0"/>
    <s v="7904460"/>
    <n v="700034"/>
    <s v="Salaries-Tech/Professional-Other"/>
    <s v="Major Giving"/>
    <x v="0"/>
    <n v="2000"/>
    <n v="0"/>
    <n v="6.3"/>
    <n v="-1.8"/>
    <n v="0.3"/>
    <n v="0"/>
    <n v="0"/>
    <n v="0"/>
    <n v="0"/>
    <n v="0"/>
    <n v="4.8099999999999996"/>
    <n v="-1.2"/>
    <n v="-0.6"/>
    <n v="7.8100000000000005"/>
    <n v="-778.59999999999991"/>
  </r>
  <r>
    <x v="5"/>
    <x v="16"/>
    <x v="0"/>
    <s v="7904460"/>
    <n v="700038"/>
    <s v="Salaries-Service/Support-Productive"/>
    <s v="Major Giving"/>
    <x v="0"/>
    <m/>
    <n v="1445.45"/>
    <n v="1701.04"/>
    <n v="139.52000000000001"/>
    <n v="2668.19"/>
    <n v="1705.67"/>
    <n v="2148.5700000000002"/>
    <n v="2034.89"/>
    <n v="1826.51"/>
    <n v="2204.17"/>
    <n v="2200.4899999999998"/>
    <n v="-339.52"/>
    <n v="439.08"/>
    <n v="18174.060000000001"/>
    <n v="10.64"/>
  </r>
  <r>
    <x v="5"/>
    <x v="16"/>
    <x v="0"/>
    <s v="7904460"/>
    <n v="700038"/>
    <s v="Salaries-Service/Support-OT"/>
    <s v="Major Giving"/>
    <x v="0"/>
    <n v="1000"/>
    <n v="1.98"/>
    <n v="20.66"/>
    <n v="-3.63"/>
    <n v="60.2"/>
    <n v="5.5"/>
    <n v="154.59"/>
    <n v="93.82"/>
    <n v="2.35"/>
    <n v="137.46"/>
    <n v="221.45"/>
    <n v="131.47"/>
    <n v="120.83"/>
    <n v="946.68000000000018"/>
    <n v="-372.40000000000003"/>
  </r>
  <r>
    <x v="5"/>
    <x v="16"/>
    <x v="0"/>
    <s v="7904460"/>
    <n v="700054"/>
    <s v="Salaries-Management-Non-productive"/>
    <s v="Major Giving"/>
    <x v="0"/>
    <m/>
    <n v="278.04000000000002"/>
    <n v="278.04000000000002"/>
    <n v="-39.72"/>
    <n v="34.42"/>
    <n v="0"/>
    <n v="334.14"/>
    <n v="173.56"/>
    <n v="-30.97"/>
    <n v="130.13"/>
    <n v="0"/>
    <n v="-68.790000000000006"/>
    <n v="303.61"/>
    <n v="1392.46"/>
    <n v="0"/>
  </r>
  <r>
    <x v="5"/>
    <x v="16"/>
    <x v="0"/>
    <s v="7904460"/>
    <n v="700054"/>
    <s v="Salaries-Management-NonProd-Other"/>
    <s v="Major Giving"/>
    <x v="0"/>
    <n v="2000"/>
    <n v="0"/>
    <n v="0"/>
    <n v="0"/>
    <n v="0"/>
    <n v="0"/>
    <n v="170.65"/>
    <n v="0"/>
    <n v="-170.65"/>
    <n v="0"/>
    <n v="0"/>
    <n v="0"/>
    <n v="0"/>
    <n v="0"/>
    <n v="-14.709999999999999"/>
  </r>
  <r>
    <x v="5"/>
    <x v="16"/>
    <x v="0"/>
    <s v="7904460"/>
    <n v="700058"/>
    <s v="Salaries-Supervisory-Non-productive"/>
    <s v="Major Giving"/>
    <x v="0"/>
    <m/>
    <n v="51.51"/>
    <n v="206.03"/>
    <n v="-36.79"/>
    <n v="14.72"/>
    <n v="0"/>
    <n v="0"/>
    <n v="0"/>
    <n v="0"/>
    <n v="0"/>
    <n v="0"/>
    <n v="-29.43"/>
    <n v="-14.72"/>
    <n v="191.32000000000002"/>
    <n v="1073.7"/>
  </r>
  <r>
    <x v="5"/>
    <x v="16"/>
    <x v="0"/>
    <s v="7904460"/>
    <n v="700074"/>
    <s v="Salaries-Tech/Professional-Non-productive"/>
    <s v="Major Giving"/>
    <x v="0"/>
    <m/>
    <n v="527.75"/>
    <n v="805.88"/>
    <n v="193.41"/>
    <n v="175.3"/>
    <n v="0"/>
    <n v="1044.25"/>
    <n v="222.71"/>
    <n v="1046.77"/>
    <n v="80.680000000000007"/>
    <n v="49.13"/>
    <n v="645.45000000000005"/>
    <n v="-428.25"/>
    <n v="4363.08"/>
    <n v="-26.32"/>
  </r>
  <r>
    <x v="5"/>
    <x v="16"/>
    <x v="0"/>
    <s v="7904460"/>
    <n v="700078"/>
    <s v="Salaries-Service/Support-Non-productive"/>
    <s v="Major Giving"/>
    <x v="0"/>
    <m/>
    <n v="297.33999999999997"/>
    <n v="39.61"/>
    <n v="73.33"/>
    <n v="44.72"/>
    <n v="183.7"/>
    <n v="173.81"/>
    <n v="254.29"/>
    <n v="208.17"/>
    <n v="75.510000000000005"/>
    <n v="0"/>
    <n v="-52.53"/>
    <n v="-26.21"/>
    <n v="1271.74"/>
    <n v="-45.620000000000005"/>
  </r>
  <r>
    <x v="5"/>
    <x v="16"/>
    <x v="0"/>
    <s v="7904460"/>
    <n v="700084"/>
    <s v="Accrued PTO"/>
    <s v="Major Giving"/>
    <x v="0"/>
    <m/>
    <n v="54.82"/>
    <n v="-319.35000000000002"/>
    <n v="85.14"/>
    <n v="660.36"/>
    <n v="-1114.22"/>
    <n v="-364.22"/>
    <n v="54.02"/>
    <n v="-277.17"/>
    <n v="390.24"/>
    <n v="711.5"/>
    <n v="390.9"/>
    <n v="436.52"/>
    <n v="708.53999999999985"/>
    <n v="-221.01"/>
  </r>
  <r>
    <x v="6"/>
    <x v="16"/>
    <x v="0"/>
    <s v="7904460"/>
    <n v="713010"/>
    <s v="Benefits-FICA/Medicare"/>
    <s v="Major Giving"/>
    <x v="0"/>
    <m/>
    <n v="608.21"/>
    <n v="681.7"/>
    <n v="138.94"/>
    <n v="657.26"/>
    <n v="461.12"/>
    <n v="553.66999999999996"/>
    <n v="515.82000000000005"/>
    <n v="470.14"/>
    <n v="518.42999999999995"/>
    <n v="834.52"/>
    <n v="92.87"/>
    <n v="313.88"/>
    <n v="5846.5599999999995"/>
    <n v="-328.55"/>
  </r>
  <r>
    <x v="6"/>
    <x v="16"/>
    <x v="0"/>
    <s v="7904460"/>
    <n v="713090"/>
    <s v="Benefits-Allocated Amounts"/>
    <s v="Major Giving"/>
    <x v="0"/>
    <m/>
    <n v="1858.75"/>
    <n v="1836.89"/>
    <n v="423.24"/>
    <n v="1817.13"/>
    <n v="1140.29"/>
    <n v="1539.99"/>
    <n v="1550.28"/>
    <n v="1425.29"/>
    <n v="1626.15"/>
    <n v="2060.86"/>
    <n v="-23.05"/>
    <n v="305.5"/>
    <n v="15561.320000000002"/>
    <n v="0"/>
  </r>
  <r>
    <x v="6"/>
    <x v="16"/>
    <x v="0"/>
    <s v="7904460"/>
    <n v="713096"/>
    <s v="Employee Recognition"/>
    <s v="Major Giving"/>
    <x v="0"/>
    <n v="1017"/>
    <n v="0"/>
    <n v="0"/>
    <n v="0"/>
    <n v="0"/>
    <n v="0"/>
    <n v="0"/>
    <n v="0"/>
    <n v="0"/>
    <n v="0"/>
    <n v="50"/>
    <n v="0"/>
    <n v="0"/>
    <n v="50"/>
    <n v="-13000"/>
  </r>
  <r>
    <x v="7"/>
    <x v="16"/>
    <x v="0"/>
    <s v="7904460"/>
    <n v="718050"/>
    <s v="Miscellaneous Purchased Svcs"/>
    <s v="Major Giving"/>
    <x v="0"/>
    <n v="1020"/>
    <n v="0"/>
    <n v="12500"/>
    <n v="3526.62"/>
    <n v="0"/>
    <n v="3000"/>
    <n v="9500"/>
    <n v="3000"/>
    <n v="0"/>
    <n v="2555.69"/>
    <n v="0"/>
    <n v="0"/>
    <n v="13000"/>
    <n v="47082.31"/>
    <n v="0"/>
  </r>
  <r>
    <x v="11"/>
    <x v="16"/>
    <x v="0"/>
    <s v="7904460"/>
    <n v="721980"/>
    <s v="Supplies-Other"/>
    <s v="Major Giv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6"/>
    <x v="0"/>
    <s v="7904460"/>
    <n v="740020"/>
    <s v="Education-Registration Fees"/>
    <s v="Major Giving"/>
    <x v="0"/>
    <m/>
    <n v="0"/>
    <n v="0"/>
    <n v="0"/>
    <n v="0"/>
    <n v="0"/>
    <n v="0"/>
    <n v="0"/>
    <n v="0"/>
    <n v="0"/>
    <n v="125"/>
    <n v="0"/>
    <n v="0"/>
    <n v="125"/>
    <n v="-40.020000000000003"/>
  </r>
  <r>
    <x v="0"/>
    <x v="16"/>
    <x v="0"/>
    <s v="7904460"/>
    <n v="740030"/>
    <s v="Education-Travel"/>
    <s v="Major Giving"/>
    <x v="0"/>
    <m/>
    <n v="0"/>
    <n v="0"/>
    <n v="0"/>
    <n v="0"/>
    <n v="0"/>
    <n v="0"/>
    <n v="0"/>
    <n v="0"/>
    <n v="0"/>
    <n v="0"/>
    <n v="0"/>
    <n v="40.020000000000003"/>
    <n v="40.020000000000003"/>
    <n v="0"/>
  </r>
  <r>
    <x v="0"/>
    <x v="16"/>
    <x v="0"/>
    <s v="7904460"/>
    <n v="742010"/>
    <s v="Postage-Regular"/>
    <s v="Major Giving"/>
    <x v="0"/>
    <m/>
    <n v="0"/>
    <n v="0"/>
    <n v="26.24"/>
    <n v="0"/>
    <n v="0"/>
    <n v="0"/>
    <n v="0"/>
    <n v="0"/>
    <n v="0"/>
    <n v="92.22"/>
    <n v="0"/>
    <n v="0"/>
    <n v="118.46"/>
    <n v="0"/>
  </r>
  <r>
    <x v="0"/>
    <x v="16"/>
    <x v="0"/>
    <s v="7904460"/>
    <n v="743020"/>
    <s v="Dues--Individual"/>
    <s v="Major Giving"/>
    <x v="0"/>
    <m/>
    <n v="0"/>
    <n v="0"/>
    <n v="0"/>
    <n v="0"/>
    <n v="0"/>
    <n v="0"/>
    <n v="0"/>
    <n v="0"/>
    <n v="0"/>
    <n v="52.5"/>
    <n v="0"/>
    <n v="0"/>
    <n v="52.5"/>
    <n v="-12.99"/>
  </r>
  <r>
    <x v="0"/>
    <x v="16"/>
    <x v="0"/>
    <s v="7904460"/>
    <n v="743030"/>
    <s v="Subscriptions--Institutional"/>
    <s v="Major Giving"/>
    <x v="0"/>
    <m/>
    <n v="0"/>
    <n v="0"/>
    <n v="0"/>
    <n v="0"/>
    <n v="0"/>
    <n v="0"/>
    <n v="0"/>
    <n v="0"/>
    <n v="0"/>
    <n v="40.96"/>
    <n v="0"/>
    <n v="12.99"/>
    <n v="53.95"/>
    <n v="0"/>
  </r>
  <r>
    <x v="0"/>
    <x v="16"/>
    <x v="0"/>
    <s v="7904460"/>
    <n v="749510"/>
    <s v="Miscellaneous Expenses"/>
    <s v="Major Giving"/>
    <x v="0"/>
    <m/>
    <n v="0"/>
    <n v="385.4"/>
    <n v="-385.4"/>
    <n v="0"/>
    <n v="0"/>
    <n v="0"/>
    <n v="0"/>
    <n v="0"/>
    <n v="0"/>
    <n v="109.79"/>
    <n v="0"/>
    <n v="0"/>
    <n v="109.79"/>
    <n v="92.46"/>
  </r>
  <r>
    <x v="0"/>
    <x v="16"/>
    <x v="0"/>
    <s v="7904460"/>
    <n v="749530"/>
    <s v="Travel"/>
    <s v="Major Giving"/>
    <x v="0"/>
    <m/>
    <n v="0"/>
    <n v="0"/>
    <n v="7"/>
    <n v="6.5"/>
    <n v="10"/>
    <n v="25"/>
    <n v="0"/>
    <n v="0"/>
    <n v="5"/>
    <n v="51.07"/>
    <n v="0"/>
    <n v="-92.46"/>
    <n v="12.11"/>
    <n v="-1038.17"/>
  </r>
  <r>
    <x v="0"/>
    <x v="16"/>
    <x v="0"/>
    <s v="7904460"/>
    <n v="749530"/>
    <s v="Mileage"/>
    <s v="Major Giving"/>
    <x v="0"/>
    <n v="1001"/>
    <n v="0"/>
    <n v="0"/>
    <n v="0"/>
    <n v="71.900000000000006"/>
    <n v="77.94"/>
    <n v="198.94"/>
    <n v="0"/>
    <n v="0"/>
    <n v="41.76"/>
    <n v="0"/>
    <n v="0"/>
    <n v="1038.17"/>
    <n v="1428.71"/>
    <n v="555.04999999999995"/>
  </r>
  <r>
    <x v="0"/>
    <x v="16"/>
    <x v="0"/>
    <s v="7904460"/>
    <n v="749535"/>
    <s v="Meetings"/>
    <s v="Major Giving"/>
    <x v="0"/>
    <m/>
    <n v="0"/>
    <n v="0"/>
    <n v="352.16"/>
    <n v="0"/>
    <n v="0"/>
    <n v="0"/>
    <n v="0"/>
    <n v="0"/>
    <n v="0"/>
    <n v="1433.86"/>
    <n v="0"/>
    <n v="-555.04999999999995"/>
    <n v="1230.97"/>
    <n v="-419.89"/>
  </r>
  <r>
    <x v="0"/>
    <x v="16"/>
    <x v="0"/>
    <s v="7904460"/>
    <n v="749535"/>
    <s v="Volunteer Recognition/Appreciation"/>
    <s v="Major Giving"/>
    <x v="0"/>
    <n v="1006"/>
    <n v="0"/>
    <n v="0"/>
    <n v="0"/>
    <n v="0"/>
    <n v="0"/>
    <n v="0"/>
    <n v="0"/>
    <n v="0"/>
    <n v="0"/>
    <n v="0"/>
    <n v="0"/>
    <n v="419.89"/>
    <n v="419.89"/>
    <n v="-9.6299999999991996"/>
  </r>
  <r>
    <x v="5"/>
    <x v="17"/>
    <x v="0"/>
    <s v="7904467"/>
    <n v="700014"/>
    <s v="Salaries-Management-Productive"/>
    <s v="Major Giving"/>
    <x v="0"/>
    <m/>
    <n v="771.66"/>
    <n v="771.71"/>
    <n v="1527.54"/>
    <n v="1512.49"/>
    <n v="1848.81"/>
    <n v="1272.9000000000001"/>
    <n v="4734.38"/>
    <n v="2423.4499999999998"/>
    <n v="1920.3"/>
    <n v="8867.81"/>
    <n v="8734.0300000000007"/>
    <n v="8743.66"/>
    <n v="43128.739999999991"/>
    <n v="80.759999999999991"/>
  </r>
  <r>
    <x v="5"/>
    <x v="17"/>
    <x v="0"/>
    <s v="7904467"/>
    <n v="700014"/>
    <s v="Salaries-Management-Other"/>
    <s v="Major Giving"/>
    <x v="0"/>
    <n v="2000"/>
    <n v="141.15"/>
    <n v="141.16999999999999"/>
    <n v="259.82"/>
    <n v="215.62"/>
    <n v="266.79000000000002"/>
    <n v="256.87"/>
    <n v="792.25"/>
    <n v="335.51"/>
    <n v="307.69"/>
    <n v="308.87"/>
    <n v="127.49"/>
    <n v="46.73"/>
    <n v="3199.96"/>
    <n v="-182.43"/>
  </r>
  <r>
    <x v="5"/>
    <x v="17"/>
    <x v="0"/>
    <s v="7904467"/>
    <n v="700018"/>
    <s v="Salaries-Supervisory-Productive"/>
    <s v="Major Giving"/>
    <x v="0"/>
    <m/>
    <n v="881.57"/>
    <n v="756.52"/>
    <n v="1584.17"/>
    <n v="1441.81"/>
    <n v="-103.39"/>
    <n v="182.43"/>
    <n v="1824.27"/>
    <n v="182.43"/>
    <n v="0"/>
    <n v="0"/>
    <n v="-364.86"/>
    <n v="-182.43"/>
    <n v="6202.5199999999995"/>
    <n v="-4387.49"/>
  </r>
  <r>
    <x v="5"/>
    <x v="17"/>
    <x v="0"/>
    <s v="7904467"/>
    <n v="700034"/>
    <s v="Salaries-Tech/Professional-Productive"/>
    <s v="Major Giving"/>
    <x v="0"/>
    <m/>
    <n v="2909"/>
    <n v="3440.56"/>
    <n v="6867.98"/>
    <n v="4873.49"/>
    <n v="7274.52"/>
    <n v="5468.11"/>
    <n v="19346.38"/>
    <n v="6388.24"/>
    <n v="8022.95"/>
    <n v="10966.1"/>
    <n v="2862"/>
    <n v="7249.49"/>
    <n v="85668.82"/>
    <n v="-0.6"/>
  </r>
  <r>
    <x v="5"/>
    <x v="17"/>
    <x v="0"/>
    <s v="7904467"/>
    <n v="700034"/>
    <s v="Salaries-Tech/Professional-Other"/>
    <s v="Major Giving"/>
    <x v="0"/>
    <n v="2000"/>
    <n v="0"/>
    <n v="5.0999999999999996"/>
    <n v="1.5"/>
    <n v="0.3"/>
    <n v="0.6"/>
    <n v="0.3"/>
    <n v="3"/>
    <n v="0.3"/>
    <n v="0"/>
    <n v="11.11"/>
    <n v="-1.2"/>
    <n v="-0.6"/>
    <n v="20.41"/>
    <n v="-654.52"/>
  </r>
  <r>
    <x v="5"/>
    <x v="17"/>
    <x v="0"/>
    <s v="7904467"/>
    <n v="700038"/>
    <s v="Salaries-Service/Support-Productive"/>
    <s v="Major Giving"/>
    <x v="0"/>
    <m/>
    <n v="1170.1199999999999"/>
    <n v="1377.04"/>
    <n v="2272.3200000000002"/>
    <n v="3739.69"/>
    <n v="3409.38"/>
    <n v="3970.16"/>
    <n v="10708.78"/>
    <n v="4964.03"/>
    <n v="5097.13"/>
    <n v="5088.62"/>
    <n v="2540.19"/>
    <n v="3194.71"/>
    <n v="47532.17"/>
    <n v="47.550000000000011"/>
  </r>
  <r>
    <x v="5"/>
    <x v="17"/>
    <x v="0"/>
    <s v="7904467"/>
    <n v="700038"/>
    <s v="Salaries-Service/Support-OT"/>
    <s v="Major Giving"/>
    <x v="0"/>
    <n v="1000"/>
    <n v="1.6"/>
    <n v="16.73"/>
    <n v="9.5500000000000007"/>
    <n v="85.99"/>
    <n v="18.489999999999998"/>
    <n v="256.5"/>
    <n v="360.66"/>
    <n v="26.24"/>
    <n v="317.88"/>
    <n v="512.11"/>
    <n v="458.87"/>
    <n v="411.32"/>
    <n v="2475.94"/>
    <n v="-874.62"/>
  </r>
  <r>
    <x v="5"/>
    <x v="17"/>
    <x v="0"/>
    <s v="7904467"/>
    <n v="700054"/>
    <s v="Salaries-Management-Non-productive"/>
    <s v="Major Giving"/>
    <x v="0"/>
    <m/>
    <n v="225.08"/>
    <n v="225.08"/>
    <n v="307.17"/>
    <n v="34.42"/>
    <n v="68.849999999999994"/>
    <n v="577.39"/>
    <n v="943.6"/>
    <n v="-5.48"/>
    <n v="300.94"/>
    <n v="0"/>
    <n v="45.08"/>
    <n v="919.7"/>
    <n v="3641.83"/>
    <n v="0"/>
  </r>
  <r>
    <x v="5"/>
    <x v="17"/>
    <x v="0"/>
    <s v="7904467"/>
    <n v="700054"/>
    <s v="Salaries-Management-NonProd-Other"/>
    <s v="Major Giving"/>
    <x v="0"/>
    <n v="2000"/>
    <n v="0"/>
    <n v="0"/>
    <n v="0"/>
    <n v="0"/>
    <n v="0"/>
    <n v="277.31"/>
    <n v="106.66"/>
    <n v="-383.97"/>
    <n v="0"/>
    <n v="0"/>
    <n v="0"/>
    <n v="0"/>
    <n v="0"/>
    <n v="-14.709999999999999"/>
  </r>
  <r>
    <x v="5"/>
    <x v="17"/>
    <x v="0"/>
    <s v="7904467"/>
    <n v="700058"/>
    <s v="Salaries-Supervisory-Non-productive"/>
    <s v="Major Giving"/>
    <x v="0"/>
    <m/>
    <n v="41.7"/>
    <n v="166.79"/>
    <n v="115.28"/>
    <n v="14.72"/>
    <n v="29.43"/>
    <n v="14.72"/>
    <n v="147.16"/>
    <n v="14.72"/>
    <n v="0"/>
    <n v="0"/>
    <n v="-29.43"/>
    <n v="-14.72"/>
    <n v="500.37000000000012"/>
    <n v="2958.15"/>
  </r>
  <r>
    <x v="5"/>
    <x v="17"/>
    <x v="0"/>
    <s v="7904467"/>
    <n v="700074"/>
    <s v="Salaries-Tech/Professional-Non-productive"/>
    <s v="Major Giving"/>
    <x v="0"/>
    <m/>
    <n v="427.23"/>
    <n v="652.37"/>
    <n v="1160.06"/>
    <n v="207.45"/>
    <n v="212.79"/>
    <n v="1803.31"/>
    <n v="2217.7199999999998"/>
    <n v="2606.2399999999998"/>
    <n v="186.57"/>
    <n v="113.61"/>
    <n v="2390.96"/>
    <n v="-567.19000000000005"/>
    <n v="11411.119999999997"/>
    <n v="40.72"/>
  </r>
  <r>
    <x v="5"/>
    <x v="17"/>
    <x v="0"/>
    <s v="7904467"/>
    <n v="700078"/>
    <s v="Salaries-Service/Support-Non-productive"/>
    <s v="Major Giving"/>
    <x v="0"/>
    <m/>
    <n v="240.7"/>
    <n v="32.07"/>
    <n v="328.97"/>
    <n v="52.32"/>
    <n v="343.91"/>
    <n v="322.36"/>
    <n v="1079.98"/>
    <n v="548.05999999999995"/>
    <n v="174.61"/>
    <n v="0"/>
    <n v="121.91"/>
    <n v="81.19"/>
    <n v="3326.08"/>
    <n v="-218.11999999999989"/>
  </r>
  <r>
    <x v="5"/>
    <x v="17"/>
    <x v="0"/>
    <s v="7904467"/>
    <n v="700084"/>
    <s v="Accrued PTO"/>
    <s v="Major Giving"/>
    <x v="0"/>
    <m/>
    <n v="44.38"/>
    <n v="-258.52999999999997"/>
    <n v="-48.95"/>
    <n v="954.5"/>
    <n v="-1680.85"/>
    <n v="-631.44000000000005"/>
    <n v="-501.88"/>
    <n v="-699.92"/>
    <n v="902.44"/>
    <n v="1645.35"/>
    <n v="954.95"/>
    <n v="1173.07"/>
    <n v="1853.12"/>
    <n v="-207.17999999999984"/>
  </r>
  <r>
    <x v="6"/>
    <x v="17"/>
    <x v="0"/>
    <s v="7904467"/>
    <n v="713010"/>
    <s v="Benefits-FICA/Medicare"/>
    <s v="Major Giving"/>
    <x v="0"/>
    <m/>
    <n v="492.36"/>
    <n v="551.85"/>
    <n v="1051.43"/>
    <n v="903.15"/>
    <n v="981.26"/>
    <n v="1058.92"/>
    <n v="3098.64"/>
    <n v="1313.26"/>
    <n v="1198.8699999999999"/>
    <n v="1929.81"/>
    <n v="1252.1400000000001"/>
    <n v="1459.32"/>
    <n v="15291.01"/>
    <n v="247.86999999999989"/>
  </r>
  <r>
    <x v="6"/>
    <x v="17"/>
    <x v="0"/>
    <s v="7904467"/>
    <n v="713090"/>
    <s v="Benefits-Allocated Amounts"/>
    <s v="Major Giving"/>
    <x v="0"/>
    <m/>
    <n v="1504.7"/>
    <n v="1487.01"/>
    <n v="3049.31"/>
    <n v="2492"/>
    <n v="2523.6999999999998"/>
    <n v="2944.75"/>
    <n v="8873.32"/>
    <n v="3931.38"/>
    <n v="3760.47"/>
    <n v="4765.74"/>
    <n v="2807.16"/>
    <n v="2559.29"/>
    <n v="40698.830000000009"/>
    <n v="-54.88"/>
  </r>
  <r>
    <x v="0"/>
    <x v="17"/>
    <x v="0"/>
    <s v="7904467"/>
    <n v="740030"/>
    <s v="Education-Travel"/>
    <s v="Major Giving"/>
    <x v="0"/>
    <m/>
    <n v="0"/>
    <n v="0"/>
    <n v="0"/>
    <n v="0"/>
    <n v="0"/>
    <n v="0"/>
    <n v="0"/>
    <n v="0"/>
    <n v="0"/>
    <n v="0"/>
    <n v="0"/>
    <n v="54.88"/>
    <n v="54.88"/>
    <n v="-197.47"/>
  </r>
  <r>
    <x v="0"/>
    <x v="17"/>
    <x v="0"/>
    <s v="7904467"/>
    <n v="749530"/>
    <s v="Travel"/>
    <s v="Major Giving"/>
    <x v="0"/>
    <m/>
    <n v="0"/>
    <n v="0"/>
    <n v="0"/>
    <n v="0"/>
    <n v="0"/>
    <n v="20"/>
    <n v="41"/>
    <n v="10"/>
    <n v="15.97"/>
    <n v="0"/>
    <n v="28.16"/>
    <n v="225.63"/>
    <n v="340.76"/>
    <n v="-1073.72"/>
  </r>
  <r>
    <x v="0"/>
    <x v="17"/>
    <x v="0"/>
    <s v="7904467"/>
    <n v="749530"/>
    <s v="Mileage"/>
    <s v="Major Giving"/>
    <x v="0"/>
    <n v="1001"/>
    <n v="0"/>
    <n v="0"/>
    <n v="0"/>
    <n v="0"/>
    <n v="10.91"/>
    <n v="119.37"/>
    <n v="8.7200000000000006"/>
    <n v="7.64"/>
    <n v="13.34"/>
    <n v="0"/>
    <n v="112.52"/>
    <n v="1186.24"/>
    <n v="1458.74"/>
    <n v="-146.44"/>
  </r>
  <r>
    <x v="0"/>
    <x v="17"/>
    <x v="0"/>
    <s v="7904467"/>
    <n v="749530"/>
    <s v="Provider-Business Meals"/>
    <s v="Major Giving"/>
    <x v="0"/>
    <n v="2202"/>
    <n v="0"/>
    <n v="0"/>
    <n v="0"/>
    <n v="0"/>
    <n v="0"/>
    <n v="0"/>
    <n v="0"/>
    <n v="0"/>
    <n v="0"/>
    <n v="0"/>
    <n v="0"/>
    <n v="146.44"/>
    <n v="146.44"/>
    <n v="-565.91"/>
  </r>
  <r>
    <x v="0"/>
    <x v="17"/>
    <x v="0"/>
    <s v="7904467"/>
    <n v="749535"/>
    <s v="Meetings"/>
    <s v="Major Giving"/>
    <x v="0"/>
    <m/>
    <n v="0"/>
    <n v="0"/>
    <n v="298.41000000000003"/>
    <n v="0"/>
    <n v="0"/>
    <n v="47.57"/>
    <n v="364.81"/>
    <n v="142.97"/>
    <n v="79.03"/>
    <n v="0"/>
    <n v="0"/>
    <n v="565.91"/>
    <n v="1498.6999999999998"/>
    <n v="8645.6900000000023"/>
  </r>
  <r>
    <x v="14"/>
    <x v="3"/>
    <x v="0"/>
    <s v="7905101"/>
    <n v="600050"/>
    <s v="Miscellaneous Revenue"/>
    <s v="Gift Shop"/>
    <x v="0"/>
    <m/>
    <n v="-32893.43"/>
    <n v="-44052.94"/>
    <n v="-37124.449999999997"/>
    <n v="-41927.230000000003"/>
    <n v="-42563.58"/>
    <n v="-55923.63"/>
    <n v="-51253.69"/>
    <n v="-33649.75"/>
    <n v="-48429.82"/>
    <n v="-41077.78"/>
    <n v="-36081.82"/>
    <n v="-44727.51"/>
    <n v="-509705.63000000006"/>
    <n v="0"/>
  </r>
  <r>
    <x v="5"/>
    <x v="3"/>
    <x v="0"/>
    <s v="7905101"/>
    <n v="700038"/>
    <s v="Salaries-Service/Support-Productive"/>
    <s v="Gift Shop"/>
    <x v="0"/>
    <m/>
    <n v="5021.68"/>
    <n v="4767.58"/>
    <n v="4298.84"/>
    <n v="4796.05"/>
    <n v="6340.93"/>
    <n v="2035.28"/>
    <n v="-20.420000000000002"/>
    <n v="0"/>
    <n v="0"/>
    <n v="0"/>
    <n v="0"/>
    <n v="0"/>
    <n v="27239.940000000002"/>
    <n v="-0.02"/>
  </r>
  <r>
    <x v="5"/>
    <x v="3"/>
    <x v="0"/>
    <s v="7905101"/>
    <n v="700038"/>
    <s v="Salaries-Service/Support-Other"/>
    <s v="Gift Shop"/>
    <x v="0"/>
    <n v="2000"/>
    <n v="340.83"/>
    <n v="185.95"/>
    <n v="149.41"/>
    <n v="366.72"/>
    <n v="696.92"/>
    <n v="168.08"/>
    <n v="0"/>
    <n v="0"/>
    <n v="0"/>
    <n v="30.06"/>
    <n v="-0.02"/>
    <n v="0"/>
    <n v="1937.9499999999998"/>
    <n v="0"/>
  </r>
  <r>
    <x v="5"/>
    <x v="3"/>
    <x v="0"/>
    <s v="7905101"/>
    <n v="700054"/>
    <s v="Salaries-Management-NonProd-Other"/>
    <s v="Gift Shop"/>
    <x v="0"/>
    <n v="2000"/>
    <n v="0"/>
    <n v="0"/>
    <n v="0"/>
    <n v="0"/>
    <n v="0"/>
    <n v="23.64"/>
    <n v="-23.64"/>
    <n v="0"/>
    <n v="0"/>
    <n v="0"/>
    <n v="0"/>
    <n v="0"/>
    <n v="0"/>
    <n v="0"/>
  </r>
  <r>
    <x v="5"/>
    <x v="3"/>
    <x v="0"/>
    <s v="7905101"/>
    <n v="700074"/>
    <s v="Salaries-Tech/Professional-Non-productive"/>
    <s v="Gift Shop"/>
    <x v="0"/>
    <m/>
    <n v="2868"/>
    <n v="0"/>
    <n v="0"/>
    <n v="0"/>
    <n v="0"/>
    <n v="0"/>
    <n v="0"/>
    <n v="0"/>
    <n v="0"/>
    <n v="0"/>
    <n v="0"/>
    <n v="0"/>
    <n v="2868"/>
    <n v="0"/>
  </r>
  <r>
    <x v="5"/>
    <x v="3"/>
    <x v="0"/>
    <s v="7905101"/>
    <n v="700078"/>
    <s v="Salaries-Service/Support-Non-productive"/>
    <s v="Gift Shop"/>
    <x v="0"/>
    <m/>
    <n v="1278.02"/>
    <n v="-195.8"/>
    <n v="324.2"/>
    <n v="285.89"/>
    <n v="625.61"/>
    <n v="396.48"/>
    <n v="0"/>
    <n v="0"/>
    <n v="0"/>
    <n v="0"/>
    <n v="0"/>
    <n v="0"/>
    <n v="2714.4"/>
    <n v="0"/>
  </r>
  <r>
    <x v="5"/>
    <x v="3"/>
    <x v="0"/>
    <s v="7905101"/>
    <n v="700078"/>
    <s v="Salaries-Service/Support-NonProd-Other"/>
    <s v="Gift Shop"/>
    <x v="0"/>
    <n v="2000"/>
    <n v="-7.02"/>
    <n v="1.94"/>
    <n v="0"/>
    <n v="0"/>
    <n v="0"/>
    <n v="0"/>
    <n v="0"/>
    <n v="0"/>
    <n v="0"/>
    <n v="0"/>
    <n v="0"/>
    <n v="0"/>
    <n v="-5.08"/>
    <n v="0"/>
  </r>
  <r>
    <x v="5"/>
    <x v="3"/>
    <x v="0"/>
    <s v="7905101"/>
    <n v="700084"/>
    <s v="Accrued PTO"/>
    <s v="Gift Shop"/>
    <x v="0"/>
    <m/>
    <n v="-3065.11"/>
    <n v="-154.03"/>
    <n v="41.53"/>
    <n v="215.82"/>
    <n v="-230.58"/>
    <n v="729.45"/>
    <n v="0"/>
    <n v="0"/>
    <n v="0"/>
    <n v="0"/>
    <n v="0"/>
    <n v="0"/>
    <n v="-2462.92"/>
    <n v="-1.63"/>
  </r>
  <r>
    <x v="6"/>
    <x v="3"/>
    <x v="0"/>
    <s v="7905101"/>
    <n v="713010"/>
    <s v="Benefits-FICA/Medicare"/>
    <s v="Gift Shop"/>
    <x v="0"/>
    <m/>
    <n v="1677.02"/>
    <n v="363.59"/>
    <n v="364.59"/>
    <n v="418.2"/>
    <n v="582.58000000000004"/>
    <n v="255.62"/>
    <n v="0.26"/>
    <n v="0"/>
    <n v="0"/>
    <n v="3.93"/>
    <n v="-1.63"/>
    <n v="0"/>
    <n v="3664.1599999999994"/>
    <n v="-102.46000000000001"/>
  </r>
  <r>
    <x v="6"/>
    <x v="3"/>
    <x v="0"/>
    <s v="7905101"/>
    <n v="713090"/>
    <s v="Benefits-Allocated Amounts"/>
    <s v="Gift Shop"/>
    <x v="0"/>
    <m/>
    <n v="3204.46"/>
    <n v="1796.76"/>
    <n v="2078.3200000000002"/>
    <n v="2223"/>
    <n v="2974.53"/>
    <n v="1058.92"/>
    <n v="83.21"/>
    <n v="294.33"/>
    <n v="-289.49"/>
    <n v="89.75"/>
    <n v="133.37"/>
    <n v="235.83"/>
    <n v="13882.990000000002"/>
    <n v="16.5"/>
  </r>
  <r>
    <x v="11"/>
    <x v="3"/>
    <x v="0"/>
    <s v="7905101"/>
    <n v="721250"/>
    <s v="Supplies-Pharmacy Drugs - Billable"/>
    <s v="Gift Shop"/>
    <x v="0"/>
    <m/>
    <n v="110.64"/>
    <n v="10.56"/>
    <n v="42.15"/>
    <n v="93.9"/>
    <n v="35.6"/>
    <n v="75.760000000000005"/>
    <n v="54.72"/>
    <n v="37.72"/>
    <n v="36.590000000000003"/>
    <n v="32.74"/>
    <n v="59.46"/>
    <n v="42.96"/>
    <n v="632.80000000000018"/>
    <n v="0"/>
  </r>
  <r>
    <x v="11"/>
    <x v="3"/>
    <x v="0"/>
    <s v="7905101"/>
    <n v="721410"/>
    <s v="Supplies-Medical - Nonbillable"/>
    <s v="Gift Shop"/>
    <x v="0"/>
    <m/>
    <n v="0"/>
    <n v="0"/>
    <n v="0"/>
    <n v="0"/>
    <n v="0"/>
    <n v="0"/>
    <n v="0"/>
    <n v="0"/>
    <n v="4.24"/>
    <n v="0"/>
    <n v="0"/>
    <n v="0"/>
    <n v="4.24"/>
    <n v="681.79000000000008"/>
  </r>
  <r>
    <x v="11"/>
    <x v="3"/>
    <x v="0"/>
    <s v="7905101"/>
    <n v="721810"/>
    <s v="Supplies-Dietary/Cafeteria"/>
    <s v="Gift Shop"/>
    <x v="0"/>
    <m/>
    <n v="154.83000000000001"/>
    <n v="-12.98"/>
    <n v="54.17"/>
    <n v="141.5"/>
    <n v="159.16999999999999"/>
    <n v="177.69"/>
    <n v="-578.4"/>
    <n v="122.97"/>
    <n v="900.79"/>
    <n v="159.68"/>
    <n v="748.33"/>
    <n v="66.540000000000006"/>
    <n v="2094.29"/>
    <n v="0"/>
  </r>
  <r>
    <x v="11"/>
    <x v="3"/>
    <x v="0"/>
    <s v="7905101"/>
    <n v="721910"/>
    <s v="Supplies-Small Equipment"/>
    <s v="Gift Shop"/>
    <x v="0"/>
    <m/>
    <n v="0"/>
    <n v="0"/>
    <n v="0"/>
    <n v="0"/>
    <n v="0"/>
    <n v="0"/>
    <n v="0"/>
    <n v="0"/>
    <n v="7.2"/>
    <n v="0"/>
    <n v="0"/>
    <n v="0"/>
    <n v="7.2"/>
    <n v="-68375.850000000006"/>
  </r>
  <r>
    <x v="11"/>
    <x v="3"/>
    <x v="0"/>
    <s v="7905101"/>
    <n v="721980"/>
    <s v="Supplies-Other"/>
    <s v="Gift Shop"/>
    <x v="0"/>
    <m/>
    <n v="11677.25"/>
    <n v="20169.97"/>
    <n v="18337.57"/>
    <n v="22935.9"/>
    <n v="17641.57"/>
    <n v="14568.81"/>
    <n v="17226.310000000001"/>
    <n v="4599"/>
    <n v="33195.870000000003"/>
    <n v="19364.689999999999"/>
    <n v="-9696.7900000000009"/>
    <n v="58679.06"/>
    <n v="228699.21"/>
    <n v="1190.19"/>
  </r>
  <r>
    <x v="11"/>
    <x v="3"/>
    <x v="0"/>
    <s v="7905101"/>
    <n v="722000"/>
    <s v="Supplies-Freight Expense"/>
    <s v="Gift Shop"/>
    <x v="0"/>
    <m/>
    <n v="656.1"/>
    <n v="1047.2"/>
    <n v="1577.18"/>
    <n v="1356.79"/>
    <n v="1019.43"/>
    <n v="884.41"/>
    <n v="1297.92"/>
    <n v="-1110.6099999999999"/>
    <n v="4582.92"/>
    <n v="1552.61"/>
    <n v="33.68"/>
    <n v="-1156.51"/>
    <n v="11741.12"/>
    <n v="0"/>
  </r>
  <r>
    <x v="16"/>
    <x v="3"/>
    <x v="0"/>
    <s v="7905101"/>
    <n v="733030"/>
    <s v="Maintenance Contracts-Other"/>
    <s v="Gift Shop"/>
    <x v="0"/>
    <m/>
    <n v="0"/>
    <n v="0"/>
    <n v="0"/>
    <n v="0"/>
    <n v="0"/>
    <n v="0"/>
    <n v="0"/>
    <n v="2122.39"/>
    <n v="0"/>
    <n v="0"/>
    <n v="0"/>
    <n v="0"/>
    <n v="2122.39"/>
    <n v="0"/>
  </r>
  <r>
    <x v="13"/>
    <x v="3"/>
    <x v="0"/>
    <s v="7905101"/>
    <n v="735070"/>
    <s v="Depreciation-Movable Equipment"/>
    <s v="Gift Shop"/>
    <x v="0"/>
    <m/>
    <n v="5.97"/>
    <n v="5.97"/>
    <n v="5.97"/>
    <n v="5.97"/>
    <n v="5.97"/>
    <n v="5.97"/>
    <n v="5.97"/>
    <n v="5.97"/>
    <n v="5.97"/>
    <n v="5.97"/>
    <n v="5.97"/>
    <n v="5.97"/>
    <n v="71.64"/>
    <n v="0"/>
  </r>
  <r>
    <x v="0"/>
    <x v="3"/>
    <x v="0"/>
    <s v="7905101"/>
    <n v="749510"/>
    <s v="Miscellaneous Expenses"/>
    <s v="Gift Shop"/>
    <x v="0"/>
    <m/>
    <n v="0"/>
    <n v="1071.33"/>
    <n v="0"/>
    <n v="30"/>
    <n v="0"/>
    <n v="0"/>
    <n v="0"/>
    <n v="0"/>
    <n v="0"/>
    <n v="0"/>
    <n v="0"/>
    <n v="0"/>
    <n v="1101.33"/>
    <n v="0"/>
  </r>
  <r>
    <x v="0"/>
    <x v="3"/>
    <x v="0"/>
    <s v="7905101"/>
    <n v="749510"/>
    <s v="Licenses"/>
    <s v="Gift Shop"/>
    <x v="0"/>
    <n v="1002"/>
    <n v="0"/>
    <n v="0"/>
    <n v="74"/>
    <n v="0"/>
    <n v="0"/>
    <n v="0"/>
    <n v="0"/>
    <n v="0"/>
    <n v="0"/>
    <n v="0"/>
    <n v="0"/>
    <n v="0"/>
    <n v="74"/>
    <n v="5.8699999999999992"/>
  </r>
  <r>
    <x v="0"/>
    <x v="3"/>
    <x v="0"/>
    <s v="7905101"/>
    <n v="749550"/>
    <s v="Cash Over/Short"/>
    <s v="Gift Shop"/>
    <x v="0"/>
    <m/>
    <n v="2.58"/>
    <n v="-21.15"/>
    <n v="89.75"/>
    <n v="1.98"/>
    <n v="-14.25"/>
    <n v="-0.56999999999999995"/>
    <n v="5.47"/>
    <n v="-15.64"/>
    <n v="32.28"/>
    <n v="-3.92"/>
    <n v="4.0999999999999996"/>
    <n v="-1.77"/>
    <n v="78.860000000000014"/>
    <n v="3839.01"/>
  </r>
  <r>
    <x v="14"/>
    <x v="0"/>
    <x v="0"/>
    <s v="7905102"/>
    <n v="600050"/>
    <s v="Miscellaneous Revenue"/>
    <s v="Gift Shop"/>
    <x v="0"/>
    <m/>
    <n v="-6386.85"/>
    <n v="-7819.15"/>
    <n v="-5423.32"/>
    <n v="-8193.27"/>
    <n v="-11021.97"/>
    <n v="-11565.54"/>
    <n v="-8337.81"/>
    <n v="-6069.17"/>
    <n v="-9294.4699999999993"/>
    <n v="-6910.5"/>
    <n v="-7289.41"/>
    <n v="-11128.42"/>
    <n v="-99439.87999999999"/>
    <n v="0"/>
  </r>
  <r>
    <x v="5"/>
    <x v="0"/>
    <x v="0"/>
    <s v="7905102"/>
    <n v="700038"/>
    <s v="Salaries-Service/Support-Productive"/>
    <s v="Gift Shop"/>
    <x v="0"/>
    <m/>
    <n v="1723.96"/>
    <n v="1341.88"/>
    <n v="1537.74"/>
    <n v="1903.33"/>
    <n v="1729.61"/>
    <n v="804.61"/>
    <n v="0"/>
    <n v="0"/>
    <n v="0"/>
    <n v="0"/>
    <n v="0"/>
    <n v="0"/>
    <n v="9041.130000000001"/>
    <n v="0"/>
  </r>
  <r>
    <x v="5"/>
    <x v="0"/>
    <x v="0"/>
    <s v="7905102"/>
    <n v="700078"/>
    <s v="Salaries-Service/Support-Non-productive"/>
    <s v="Gift Shop"/>
    <x v="0"/>
    <m/>
    <n v="90.62"/>
    <n v="472.77"/>
    <n v="218.41"/>
    <n v="-45.02"/>
    <n v="0"/>
    <n v="64.92"/>
    <n v="0"/>
    <n v="0"/>
    <n v="0"/>
    <n v="0"/>
    <n v="0"/>
    <n v="0"/>
    <n v="801.69999999999993"/>
    <n v="0"/>
  </r>
  <r>
    <x v="6"/>
    <x v="0"/>
    <x v="0"/>
    <s v="7905102"/>
    <n v="713010"/>
    <s v="Benefits-FICA/Medicare"/>
    <s v="Gift Shop"/>
    <x v="0"/>
    <m/>
    <n v="138.82"/>
    <n v="138.83000000000001"/>
    <n v="134.36000000000001"/>
    <n v="142.16999999999999"/>
    <n v="132.32"/>
    <n v="66.540000000000006"/>
    <n v="0"/>
    <n v="0"/>
    <n v="0"/>
    <n v="0"/>
    <n v="0"/>
    <n v="0"/>
    <n v="753.04"/>
    <n v="122.12"/>
  </r>
  <r>
    <x v="6"/>
    <x v="0"/>
    <x v="0"/>
    <s v="7905102"/>
    <n v="713090"/>
    <s v="Benefits-Allocated Amounts"/>
    <s v="Gift Shop"/>
    <x v="0"/>
    <m/>
    <n v="795.57"/>
    <n v="647.39"/>
    <n v="763.48"/>
    <n v="693.52"/>
    <n v="640.20000000000005"/>
    <n v="318.23"/>
    <n v="-36.97"/>
    <n v="49.77"/>
    <n v="2.1"/>
    <n v="-1.66"/>
    <n v="74.8"/>
    <n v="-47.32"/>
    <n v="3899.11"/>
    <n v="524.91999999999996"/>
  </r>
  <r>
    <x v="11"/>
    <x v="0"/>
    <x v="0"/>
    <s v="7905102"/>
    <n v="721810"/>
    <s v="Supplies-Dietary/Cafeteria"/>
    <s v="Gift Shop"/>
    <x v="0"/>
    <m/>
    <n v="0"/>
    <n v="0"/>
    <n v="0"/>
    <n v="0"/>
    <n v="0"/>
    <n v="0"/>
    <n v="0"/>
    <n v="0"/>
    <n v="148.94"/>
    <n v="0"/>
    <n v="524.91999999999996"/>
    <n v="0"/>
    <n v="673.8599999999999"/>
    <n v="-2442.5300000000002"/>
  </r>
  <r>
    <x v="11"/>
    <x v="0"/>
    <x v="0"/>
    <s v="7905102"/>
    <n v="721980"/>
    <s v="Supplies-Other"/>
    <s v="Gift Shop"/>
    <x v="0"/>
    <m/>
    <n v="2884.66"/>
    <n v="5818.25"/>
    <n v="5286.05"/>
    <n v="7871.27"/>
    <n v="3028.61"/>
    <n v="6719.05"/>
    <n v="6244.1"/>
    <n v="4088.53"/>
    <n v="-532.44000000000005"/>
    <n v="6990.67"/>
    <n v="2530.31"/>
    <n v="4972.84"/>
    <n v="55901.899999999994"/>
    <n v="-750"/>
  </r>
  <r>
    <x v="11"/>
    <x v="0"/>
    <x v="0"/>
    <s v="7905102"/>
    <n v="722000"/>
    <s v="Supplies-Freight Expense"/>
    <s v="Gift Shop"/>
    <x v="0"/>
    <m/>
    <n v="199"/>
    <n v="425.45"/>
    <n v="430.73"/>
    <n v="498.47"/>
    <n v="383.03"/>
    <n v="230.03"/>
    <n v="123"/>
    <n v="334.22"/>
    <n v="6"/>
    <n v="16"/>
    <n v="0"/>
    <n v="750"/>
    <n v="3395.9300000000003"/>
    <n v="0"/>
  </r>
  <r>
    <x v="16"/>
    <x v="0"/>
    <x v="0"/>
    <s v="7905102"/>
    <n v="732020"/>
    <s v="Repairs--Clin Equip-Parts-Internal to CHI Programs"/>
    <s v="Gift Shop"/>
    <x v="0"/>
    <m/>
    <n v="0"/>
    <n v="0"/>
    <n v="0"/>
    <n v="0"/>
    <n v="0"/>
    <n v="0"/>
    <n v="77.349999999999994"/>
    <n v="0"/>
    <n v="34.92"/>
    <n v="0"/>
    <n v="0"/>
    <n v="0"/>
    <n v="112.27"/>
    <n v="0"/>
  </r>
  <r>
    <x v="16"/>
    <x v="0"/>
    <x v="0"/>
    <s v="7905102"/>
    <n v="733030"/>
    <s v="Maintenance Contracts-Other"/>
    <s v="Gift Shop"/>
    <x v="0"/>
    <m/>
    <n v="0"/>
    <n v="0"/>
    <n v="0"/>
    <n v="0"/>
    <n v="0"/>
    <n v="0"/>
    <n v="0"/>
    <n v="428.85"/>
    <n v="0"/>
    <n v="0"/>
    <n v="0"/>
    <n v="0"/>
    <n v="428.85"/>
    <n v="0"/>
  </r>
  <r>
    <x v="0"/>
    <x v="0"/>
    <x v="0"/>
    <s v="7905102"/>
    <n v="749510"/>
    <s v="Miscellaneous Expenses"/>
    <s v="Gift Shop"/>
    <x v="0"/>
    <m/>
    <n v="0"/>
    <n v="849.99"/>
    <n v="0"/>
    <n v="30"/>
    <n v="25.65"/>
    <n v="0"/>
    <n v="0"/>
    <n v="0"/>
    <n v="0"/>
    <n v="0"/>
    <n v="0"/>
    <n v="0"/>
    <n v="905.64"/>
    <n v="2.0100000000000002"/>
  </r>
  <r>
    <x v="0"/>
    <x v="0"/>
    <x v="0"/>
    <s v="7905102"/>
    <n v="749550"/>
    <s v="Cash Over/Short"/>
    <s v="Gift Shop"/>
    <x v="0"/>
    <m/>
    <n v="9.27"/>
    <n v="-1.34"/>
    <n v="-9.8800000000000008"/>
    <n v="27.54"/>
    <n v="-30.93"/>
    <n v="11.44"/>
    <n v="2.66"/>
    <n v="-5.79"/>
    <n v="-25.28"/>
    <n v="-34.44"/>
    <n v="-2.57"/>
    <n v="-4.58"/>
    <n v="-63.9"/>
    <n v="2784.7000000000003"/>
  </r>
  <r>
    <x v="14"/>
    <x v="4"/>
    <x v="0"/>
    <s v="7905103"/>
    <n v="600050"/>
    <s v="Miscellaneous Revenue"/>
    <s v="Gift Shop"/>
    <x v="0"/>
    <m/>
    <n v="-4521.8"/>
    <n v="-5261.63"/>
    <n v="-3736.49"/>
    <n v="-4917.54"/>
    <n v="-4501.8500000000004"/>
    <n v="-9104.9699999999993"/>
    <n v="-5199.38"/>
    <n v="-4029.61"/>
    <n v="-5844.06"/>
    <n v="-4334.42"/>
    <n v="-3507.68"/>
    <n v="-6292.38"/>
    <n v="-61251.80999999999"/>
    <n v="0"/>
  </r>
  <r>
    <x v="5"/>
    <x v="4"/>
    <x v="0"/>
    <s v="7905103"/>
    <n v="700038"/>
    <s v="Salaries-Service/Support-Productive"/>
    <s v="Gift Shop"/>
    <x v="0"/>
    <m/>
    <n v="1822.8"/>
    <n v="2155.5700000000002"/>
    <n v="1978.52"/>
    <n v="1770.43"/>
    <n v="1048.79"/>
    <n v="1330.18"/>
    <n v="0"/>
    <n v="0"/>
    <n v="0"/>
    <n v="0"/>
    <n v="0"/>
    <n v="0"/>
    <n v="10106.290000000001"/>
    <n v="0"/>
  </r>
  <r>
    <x v="5"/>
    <x v="4"/>
    <x v="0"/>
    <s v="7905103"/>
    <n v="700078"/>
    <s v="Salaries-Service/Support-Non-productive"/>
    <s v="Gift Shop"/>
    <x v="0"/>
    <m/>
    <n v="294.73"/>
    <n v="-37.93"/>
    <n v="70.84"/>
    <n v="389.62"/>
    <n v="875.05"/>
    <n v="-357.77"/>
    <n v="0"/>
    <n v="0"/>
    <n v="0"/>
    <n v="0"/>
    <n v="0"/>
    <n v="0"/>
    <n v="1234.54"/>
    <n v="0"/>
  </r>
  <r>
    <x v="6"/>
    <x v="4"/>
    <x v="0"/>
    <s v="7905103"/>
    <n v="713010"/>
    <s v="Benefits-FICA/Medicare"/>
    <s v="Gift Shop"/>
    <x v="0"/>
    <m/>
    <n v="132.12"/>
    <n v="132.16"/>
    <n v="127.89"/>
    <n v="135.38999999999999"/>
    <n v="118.31"/>
    <n v="59.94"/>
    <n v="0"/>
    <n v="0"/>
    <n v="0"/>
    <n v="0"/>
    <n v="0"/>
    <n v="0"/>
    <n v="705.81"/>
    <n v="41.17"/>
  </r>
  <r>
    <x v="6"/>
    <x v="4"/>
    <x v="0"/>
    <s v="7905103"/>
    <n v="713090"/>
    <s v="Benefits-Allocated Amounts"/>
    <s v="Gift Shop"/>
    <x v="0"/>
    <m/>
    <n v="838.38"/>
    <n v="673.5"/>
    <n v="690.75"/>
    <n v="700.95"/>
    <n v="622.91999999999996"/>
    <n v="255.96"/>
    <n v="-14.14"/>
    <n v="75"/>
    <n v="-18.54"/>
    <n v="40.409999999999997"/>
    <n v="53.49"/>
    <n v="12.32"/>
    <n v="3931"/>
    <n v="0"/>
  </r>
  <r>
    <x v="7"/>
    <x v="4"/>
    <x v="0"/>
    <s v="7905103"/>
    <n v="718050"/>
    <s v="Miscellaneous Purchased Svcs"/>
    <s v="Gift Shop"/>
    <x v="0"/>
    <n v="1020"/>
    <n v="0"/>
    <n v="0"/>
    <n v="0"/>
    <n v="0"/>
    <n v="0"/>
    <n v="0"/>
    <n v="0"/>
    <n v="0"/>
    <n v="0"/>
    <n v="274.75"/>
    <n v="0"/>
    <n v="0"/>
    <n v="274.75"/>
    <n v="-16"/>
  </r>
  <r>
    <x v="11"/>
    <x v="4"/>
    <x v="0"/>
    <s v="7905103"/>
    <n v="721220"/>
    <s v="Supplies-Medical Gases - Billable"/>
    <s v="Gift Shop"/>
    <x v="0"/>
    <m/>
    <n v="8"/>
    <n v="8"/>
    <n v="0"/>
    <n v="16"/>
    <n v="8"/>
    <n v="8"/>
    <n v="8"/>
    <n v="16"/>
    <n v="8"/>
    <n v="8"/>
    <n v="0"/>
    <n v="16"/>
    <n v="104"/>
    <n v="594.91999999999996"/>
  </r>
  <r>
    <x v="11"/>
    <x v="4"/>
    <x v="0"/>
    <s v="7905103"/>
    <n v="721810"/>
    <s v="Supplies-Dietary/Cafeteria"/>
    <s v="Gift Shop"/>
    <x v="0"/>
    <m/>
    <n v="0"/>
    <n v="0"/>
    <n v="0"/>
    <n v="0"/>
    <n v="0"/>
    <n v="0"/>
    <n v="0"/>
    <n v="0"/>
    <n v="100.08"/>
    <n v="0"/>
    <n v="594.91999999999996"/>
    <n v="0"/>
    <n v="695"/>
    <n v="1672.36"/>
  </r>
  <r>
    <x v="11"/>
    <x v="4"/>
    <x v="0"/>
    <s v="7905103"/>
    <n v="721980"/>
    <s v="Supplies-Other"/>
    <s v="Gift Shop"/>
    <x v="0"/>
    <m/>
    <n v="2546.4899999999998"/>
    <n v="3695.35"/>
    <n v="4029.34"/>
    <n v="4518.91"/>
    <n v="2803.54"/>
    <n v="2551.86"/>
    <n v="4123.95"/>
    <n v="2069.67"/>
    <n v="4633.2700000000004"/>
    <n v="3315.22"/>
    <n v="1751.57"/>
    <n v="79.209999999999994"/>
    <n v="36118.379999999997"/>
    <n v="-60.5"/>
  </r>
  <r>
    <x v="11"/>
    <x v="4"/>
    <x v="0"/>
    <s v="7905103"/>
    <n v="722000"/>
    <s v="Supplies-Freight Expense"/>
    <s v="Gift Shop"/>
    <x v="0"/>
    <m/>
    <n v="124.5"/>
    <n v="208.75"/>
    <n v="192.6"/>
    <n v="339.98"/>
    <n v="166.89"/>
    <n v="134.44999999999999"/>
    <n v="87.62"/>
    <n v="279"/>
    <n v="12"/>
    <n v="3"/>
    <n v="0"/>
    <n v="60.5"/>
    <n v="1609.29"/>
    <n v="0"/>
  </r>
  <r>
    <x v="12"/>
    <x v="4"/>
    <x v="0"/>
    <s v="7905103"/>
    <n v="730020"/>
    <s v="Rental and Leases-Copier Usage Fees (DO NOT USE)"/>
    <s v="Gift Shop"/>
    <x v="0"/>
    <n v="5100"/>
    <n v="34.53"/>
    <n v="35.729999999999997"/>
    <n v="35.119999999999997"/>
    <n v="35.130000000000003"/>
    <n v="35.119999999999997"/>
    <n v="35.130000000000003"/>
    <n v="99.71"/>
    <n v="36.32"/>
    <n v="52.62"/>
    <n v="69.16"/>
    <n v="52.7"/>
    <n v="52.7"/>
    <n v="573.97"/>
    <n v="0"/>
  </r>
  <r>
    <x v="16"/>
    <x v="4"/>
    <x v="0"/>
    <s v="7905103"/>
    <n v="733030"/>
    <s v="Maintenance Contracts-Other"/>
    <s v="Gift Shop"/>
    <x v="0"/>
    <m/>
    <n v="0"/>
    <n v="0"/>
    <n v="0"/>
    <n v="0"/>
    <n v="0"/>
    <n v="0"/>
    <n v="0"/>
    <n v="288.19"/>
    <n v="0"/>
    <n v="0"/>
    <n v="0"/>
    <n v="0"/>
    <n v="288.19"/>
    <n v="9.9999999999909051E-3"/>
  </r>
  <r>
    <x v="13"/>
    <x v="4"/>
    <x v="0"/>
    <s v="7905103"/>
    <n v="735070"/>
    <s v="Depreciation-Movable Equipment"/>
    <s v="Gift Shop"/>
    <x v="0"/>
    <m/>
    <n v="223.22"/>
    <n v="223.22"/>
    <n v="223.22"/>
    <n v="223.21"/>
    <n v="223.22"/>
    <n v="223.21"/>
    <n v="223.22"/>
    <n v="223.21"/>
    <n v="223.22"/>
    <n v="223.21"/>
    <n v="223.22"/>
    <n v="223.21"/>
    <n v="2678.5899999999997"/>
    <n v="0"/>
  </r>
  <r>
    <x v="0"/>
    <x v="4"/>
    <x v="0"/>
    <s v="7905103"/>
    <n v="749510"/>
    <s v="Miscellaneous Expenses"/>
    <s v="Gift Shop"/>
    <x v="0"/>
    <m/>
    <n v="0"/>
    <n v="849.99"/>
    <n v="0"/>
    <n v="0"/>
    <n v="14.88"/>
    <n v="0"/>
    <n v="0"/>
    <n v="0"/>
    <n v="0"/>
    <n v="0"/>
    <n v="0"/>
    <n v="0"/>
    <n v="864.87"/>
    <n v="19.190000000000001"/>
  </r>
  <r>
    <x v="0"/>
    <x v="4"/>
    <x v="0"/>
    <s v="7905103"/>
    <n v="749550"/>
    <s v="Cash Over/Short"/>
    <s v="Gift Shop"/>
    <x v="0"/>
    <m/>
    <n v="0.63"/>
    <n v="-1"/>
    <n v="1.01"/>
    <n v="-2.92"/>
    <n v="-3.05"/>
    <n v="-12.13"/>
    <n v="5.04"/>
    <n v="0.04"/>
    <n v="4.5999999999999996"/>
    <n v="0.22"/>
    <n v="18.940000000000001"/>
    <n v="-0.25"/>
    <n v="11.129999999999999"/>
    <n v="5222.84"/>
  </r>
  <r>
    <x v="14"/>
    <x v="8"/>
    <x v="0"/>
    <s v="7905104"/>
    <n v="600050"/>
    <s v="Miscellaneous Revenue"/>
    <s v="Gift Shop"/>
    <x v="0"/>
    <m/>
    <n v="-6807.31"/>
    <n v="-10127.290000000001"/>
    <n v="-9466.7900000000009"/>
    <n v="-9456.1200000000008"/>
    <n v="-12309.27"/>
    <n v="-17746.55"/>
    <n v="-9553.41"/>
    <n v="-6535.12"/>
    <n v="-9765.58"/>
    <n v="-7743.09"/>
    <n v="-9122.4500000000007"/>
    <n v="-14345.29"/>
    <n v="-122978.26999999999"/>
    <n v="0"/>
  </r>
  <r>
    <x v="5"/>
    <x v="8"/>
    <x v="0"/>
    <s v="7905104"/>
    <n v="700038"/>
    <s v="Salaries-Service/Support-Productive"/>
    <s v="Gift Shop"/>
    <x v="0"/>
    <m/>
    <n v="1352.56"/>
    <n v="1404.49"/>
    <n v="1235.1099999999999"/>
    <n v="690.14"/>
    <n v="846.8"/>
    <n v="427.14"/>
    <n v="0"/>
    <n v="0"/>
    <n v="0"/>
    <n v="0"/>
    <n v="0"/>
    <n v="0"/>
    <n v="5956.2400000000007"/>
    <n v="0"/>
  </r>
  <r>
    <x v="5"/>
    <x v="8"/>
    <x v="0"/>
    <s v="7905104"/>
    <n v="700078"/>
    <s v="Salaries-Service/Support-Non-productive"/>
    <s v="Gift Shop"/>
    <x v="0"/>
    <m/>
    <n v="56.46"/>
    <n v="0"/>
    <n v="64.52"/>
    <n v="593.20000000000005"/>
    <n v="33.83"/>
    <n v="0"/>
    <n v="0"/>
    <n v="0"/>
    <n v="0"/>
    <n v="0"/>
    <n v="0"/>
    <n v="0"/>
    <n v="748.0100000000001"/>
    <n v="0"/>
  </r>
  <r>
    <x v="6"/>
    <x v="8"/>
    <x v="0"/>
    <s v="7905104"/>
    <n v="713010"/>
    <s v="Benefits-FICA/Medicare"/>
    <s v="Gift Shop"/>
    <x v="0"/>
    <m/>
    <n v="107.78"/>
    <n v="107.43"/>
    <n v="99.41"/>
    <n v="98.17"/>
    <n v="67.38"/>
    <n v="32.67"/>
    <n v="0"/>
    <n v="0"/>
    <n v="0"/>
    <n v="0"/>
    <n v="0"/>
    <n v="0"/>
    <n v="512.84"/>
    <n v="27.18"/>
  </r>
  <r>
    <x v="6"/>
    <x v="8"/>
    <x v="0"/>
    <s v="7905104"/>
    <n v="713090"/>
    <s v="Benefits-Allocated Amounts"/>
    <s v="Gift Shop"/>
    <x v="0"/>
    <m/>
    <n v="609.89"/>
    <n v="469.61"/>
    <n v="463.91"/>
    <n v="427.6"/>
    <n v="291.23"/>
    <n v="194.56"/>
    <n v="4.24"/>
    <n v="29.34"/>
    <n v="8.73"/>
    <n v="23.76"/>
    <n v="13.1"/>
    <n v="-14.08"/>
    <n v="2521.8900000000003"/>
    <n v="0"/>
  </r>
  <r>
    <x v="7"/>
    <x v="8"/>
    <x v="0"/>
    <s v="7905104"/>
    <n v="718050"/>
    <s v="Miscellaneous Purchased Svcs"/>
    <s v="Gift Shop"/>
    <x v="0"/>
    <n v="1020"/>
    <n v="399.22"/>
    <n v="0"/>
    <n v="-98.12"/>
    <n v="0"/>
    <n v="0"/>
    <n v="0"/>
    <n v="0"/>
    <n v="0"/>
    <n v="0"/>
    <n v="0"/>
    <n v="0"/>
    <n v="0"/>
    <n v="301.10000000000002"/>
    <n v="597"/>
  </r>
  <r>
    <x v="11"/>
    <x v="8"/>
    <x v="0"/>
    <s v="7905104"/>
    <n v="721810"/>
    <s v="Supplies-Dietary/Cafeteria"/>
    <s v="Gift Shop"/>
    <x v="0"/>
    <m/>
    <n v="0"/>
    <n v="0"/>
    <n v="0"/>
    <n v="0"/>
    <n v="21.83"/>
    <n v="0"/>
    <n v="0"/>
    <n v="0"/>
    <n v="179.6"/>
    <n v="0"/>
    <n v="597"/>
    <n v="0"/>
    <n v="798.43000000000006"/>
    <n v="544.68000000000029"/>
  </r>
  <r>
    <x v="11"/>
    <x v="8"/>
    <x v="0"/>
    <s v="7905104"/>
    <n v="721980"/>
    <s v="Supplies-Other"/>
    <s v="Gift Shop"/>
    <x v="0"/>
    <m/>
    <n v="4163.22"/>
    <n v="6363.81"/>
    <n v="6777.65"/>
    <n v="9179.77"/>
    <n v="3708.63"/>
    <n v="6584.33"/>
    <n v="5768.55"/>
    <n v="3623.74"/>
    <n v="11953.47"/>
    <n v="1720.01"/>
    <n v="4515.6000000000004"/>
    <n v="3970.92"/>
    <n v="68329.700000000012"/>
    <n v="-1390.5"/>
  </r>
  <r>
    <x v="11"/>
    <x v="8"/>
    <x v="0"/>
    <s v="7905104"/>
    <n v="722000"/>
    <s v="Supplies-Freight Expense"/>
    <s v="Gift Shop"/>
    <x v="0"/>
    <m/>
    <n v="300.74"/>
    <n v="460.02"/>
    <n v="420.96"/>
    <n v="445.96"/>
    <n v="341.32"/>
    <n v="333.31"/>
    <n v="145.88999999999999"/>
    <n v="498.81"/>
    <n v="78.16"/>
    <n v="20.95"/>
    <n v="0"/>
    <n v="1390.5"/>
    <n v="4436.619999999999"/>
    <n v="-4.4500000000000028"/>
  </r>
  <r>
    <x v="12"/>
    <x v="8"/>
    <x v="0"/>
    <s v="7905104"/>
    <n v="730020"/>
    <s v="Rental and Leases-Copier Usage Fees (DO NOT USE)"/>
    <s v="Gift Shop"/>
    <x v="0"/>
    <n v="5100"/>
    <n v="33.76"/>
    <n v="34.880000000000003"/>
    <n v="34.32"/>
    <n v="34.32"/>
    <n v="34.32"/>
    <n v="34.32"/>
    <n v="36.94"/>
    <n v="35.15"/>
    <n v="35.08"/>
    <n v="35.22"/>
    <n v="35.15"/>
    <n v="39.6"/>
    <n v="423.05999999999995"/>
    <n v="0"/>
  </r>
  <r>
    <x v="16"/>
    <x v="8"/>
    <x v="0"/>
    <s v="7905104"/>
    <n v="733030"/>
    <s v="Maintenance Contracts-Other"/>
    <s v="Gift Shop"/>
    <x v="0"/>
    <m/>
    <n v="0"/>
    <n v="0"/>
    <n v="0"/>
    <n v="0"/>
    <n v="0"/>
    <n v="0"/>
    <n v="0"/>
    <n v="517.15"/>
    <n v="0"/>
    <n v="0"/>
    <n v="0"/>
    <n v="0"/>
    <n v="517.15"/>
    <n v="0.25"/>
  </r>
  <r>
    <x v="13"/>
    <x v="8"/>
    <x v="0"/>
    <s v="7905104"/>
    <n v="735030"/>
    <s v="Depreciation-Buildings"/>
    <s v="Gift Shop"/>
    <x v="0"/>
    <m/>
    <n v="698.92"/>
    <n v="698.9"/>
    <n v="698.93"/>
    <n v="698.87"/>
    <n v="698.97"/>
    <n v="698.84"/>
    <n v="698.98"/>
    <n v="698.82"/>
    <n v="699"/>
    <n v="681.51"/>
    <n v="681.75"/>
    <n v="681.5"/>
    <n v="8334.99"/>
    <n v="0"/>
  </r>
  <r>
    <x v="13"/>
    <x v="8"/>
    <x v="0"/>
    <s v="7905104"/>
    <n v="735070"/>
    <s v="Depreciation-Movable Equipment"/>
    <s v="Gift Shop"/>
    <x v="0"/>
    <m/>
    <n v="67.489999999999995"/>
    <n v="67.5"/>
    <n v="67.489999999999995"/>
    <n v="67.5"/>
    <n v="67.489999999999995"/>
    <n v="67.5"/>
    <n v="67.489999999999995"/>
    <n v="67.5"/>
    <n v="67.489999999999995"/>
    <n v="0"/>
    <n v="0"/>
    <n v="0"/>
    <n v="607.45000000000005"/>
    <n v="0"/>
  </r>
  <r>
    <x v="0"/>
    <x v="8"/>
    <x v="0"/>
    <s v="7905104"/>
    <n v="749510"/>
    <s v="Miscellaneous Expenses"/>
    <s v="Gift Shop"/>
    <x v="0"/>
    <m/>
    <n v="0"/>
    <n v="849.99"/>
    <n v="0"/>
    <n v="0"/>
    <n v="0"/>
    <n v="0"/>
    <n v="0"/>
    <n v="0"/>
    <n v="0"/>
    <n v="0"/>
    <n v="0"/>
    <n v="0"/>
    <n v="849.99"/>
    <n v="0"/>
  </r>
  <r>
    <x v="0"/>
    <x v="8"/>
    <x v="0"/>
    <s v="7905104"/>
    <n v="749510"/>
    <s v="Licenses"/>
    <s v="Gift Shop"/>
    <x v="0"/>
    <n v="1002"/>
    <n v="0"/>
    <n v="0"/>
    <n v="66.67"/>
    <n v="0"/>
    <n v="0"/>
    <n v="0"/>
    <n v="0"/>
    <n v="0"/>
    <n v="0"/>
    <n v="0"/>
    <n v="0"/>
    <n v="0"/>
    <n v="66.67"/>
    <n v="-5.23"/>
  </r>
  <r>
    <x v="0"/>
    <x v="8"/>
    <x v="0"/>
    <s v="7905104"/>
    <n v="749550"/>
    <s v="Cash Over/Short"/>
    <s v="Gift Shop"/>
    <x v="0"/>
    <m/>
    <n v="42.75"/>
    <n v="-0.71"/>
    <n v="-0.85"/>
    <n v="-35.39"/>
    <n v="-2.19"/>
    <n v="-7.99"/>
    <n v="-0.6"/>
    <n v="26.64"/>
    <n v="-2.5099999999999998"/>
    <n v="-2.94"/>
    <n v="-3.85"/>
    <n v="1.38"/>
    <n v="13.739999999999998"/>
    <n v="2235.58"/>
  </r>
  <r>
    <x v="14"/>
    <x v="5"/>
    <x v="0"/>
    <s v="7905106"/>
    <n v="600050"/>
    <s v="Miscellaneous Revenue"/>
    <s v="Gift Shop"/>
    <x v="0"/>
    <m/>
    <n v="-4918.5600000000004"/>
    <n v="-6419.76"/>
    <n v="-4586.95"/>
    <n v="-5441.74"/>
    <n v="-5586.07"/>
    <n v="-11308.28"/>
    <n v="-7330.1"/>
    <n v="-6316.93"/>
    <n v="-5206.47"/>
    <n v="-5082.57"/>
    <n v="-5929"/>
    <n v="-8164.58"/>
    <n v="-76291.009999999995"/>
    <n v="0"/>
  </r>
  <r>
    <x v="5"/>
    <x v="5"/>
    <x v="0"/>
    <s v="7905106"/>
    <n v="700038"/>
    <s v="Salaries-Service/Support-Productive"/>
    <s v="Gift Shop"/>
    <x v="0"/>
    <m/>
    <n v="2035.97"/>
    <n v="1155.6500000000001"/>
    <n v="2022.31"/>
    <n v="2194.6999999999998"/>
    <n v="1723.79"/>
    <n v="389.71"/>
    <n v="0"/>
    <n v="0"/>
    <n v="0"/>
    <n v="0"/>
    <n v="0"/>
    <n v="0"/>
    <n v="9522.1299999999992"/>
    <n v="0"/>
  </r>
  <r>
    <x v="5"/>
    <x v="5"/>
    <x v="0"/>
    <s v="7905106"/>
    <n v="700078"/>
    <s v="Salaries-Service/Support-Non-productive"/>
    <s v="Gift Shop"/>
    <x v="0"/>
    <m/>
    <n v="96.3"/>
    <n v="976.72"/>
    <n v="41.3"/>
    <n v="-10.88"/>
    <n v="0"/>
    <n v="462.84"/>
    <n v="0"/>
    <n v="0"/>
    <n v="0"/>
    <n v="0"/>
    <n v="0"/>
    <n v="0"/>
    <n v="1566.2799999999997"/>
    <n v="0"/>
  </r>
  <r>
    <x v="6"/>
    <x v="5"/>
    <x v="0"/>
    <s v="7905106"/>
    <n v="713010"/>
    <s v="Benefits-FICA/Medicare"/>
    <s v="Gift Shop"/>
    <x v="0"/>
    <m/>
    <n v="153.6"/>
    <n v="153.63"/>
    <n v="148.66999999999999"/>
    <n v="157.58000000000001"/>
    <n v="122.04"/>
    <n v="60.66"/>
    <n v="0"/>
    <n v="0"/>
    <n v="0"/>
    <n v="0"/>
    <n v="0"/>
    <n v="0"/>
    <n v="796.18"/>
    <n v="-6.4499999999999993"/>
  </r>
  <r>
    <x v="6"/>
    <x v="5"/>
    <x v="0"/>
    <s v="7905106"/>
    <n v="713090"/>
    <s v="Benefits-Allocated Amounts"/>
    <s v="Gift Shop"/>
    <x v="0"/>
    <m/>
    <n v="928.31"/>
    <n v="933.02"/>
    <n v="975.8"/>
    <n v="1007.28"/>
    <n v="769.83"/>
    <n v="398.26"/>
    <n v="21.64"/>
    <n v="68.569999999999993"/>
    <n v="-2.56"/>
    <n v="-41.04"/>
    <n v="20.36"/>
    <n v="26.81"/>
    <n v="5106.28"/>
    <n v="4.24"/>
  </r>
  <r>
    <x v="11"/>
    <x v="5"/>
    <x v="0"/>
    <s v="7905106"/>
    <n v="721410"/>
    <s v="Supplies-Medical - Nonbillable"/>
    <s v="Gift Shop"/>
    <x v="0"/>
    <m/>
    <n v="69.900000000000006"/>
    <n v="11.23"/>
    <n v="76.89"/>
    <n v="92.05"/>
    <n v="0"/>
    <n v="0"/>
    <n v="76.89"/>
    <n v="0"/>
    <n v="-6.99"/>
    <n v="1806"/>
    <n v="0"/>
    <n v="-4.24"/>
    <n v="2121.73"/>
    <n v="524.91999999999996"/>
  </r>
  <r>
    <x v="11"/>
    <x v="5"/>
    <x v="0"/>
    <s v="7905106"/>
    <n v="721810"/>
    <s v="Supplies-Dietary/Cafeteria"/>
    <s v="Gift Shop"/>
    <x v="0"/>
    <m/>
    <n v="0"/>
    <n v="0"/>
    <n v="0"/>
    <n v="0"/>
    <n v="0"/>
    <n v="0"/>
    <n v="0"/>
    <n v="0"/>
    <n v="0"/>
    <n v="0"/>
    <n v="524.91999999999996"/>
    <n v="0"/>
    <n v="524.91999999999996"/>
    <n v="0"/>
  </r>
  <r>
    <x v="11"/>
    <x v="5"/>
    <x v="0"/>
    <s v="7905106"/>
    <n v="721910"/>
    <s v="Supplies-Small Equipment"/>
    <s v="Gift Shop"/>
    <x v="0"/>
    <m/>
    <n v="0"/>
    <n v="0"/>
    <n v="0"/>
    <n v="0"/>
    <n v="0"/>
    <n v="0"/>
    <n v="1.44"/>
    <n v="0"/>
    <n v="0"/>
    <n v="0"/>
    <n v="0"/>
    <n v="0"/>
    <n v="1.44"/>
    <n v="-417.98"/>
  </r>
  <r>
    <x v="11"/>
    <x v="5"/>
    <x v="0"/>
    <s v="7905106"/>
    <n v="721980"/>
    <s v="Supplies-Other"/>
    <s v="Gift Shop"/>
    <x v="0"/>
    <m/>
    <n v="1548.2"/>
    <n v="4673.22"/>
    <n v="4004.92"/>
    <n v="3465.15"/>
    <n v="2047.58"/>
    <n v="2905.12"/>
    <n v="4275.78"/>
    <n v="3271.6"/>
    <n v="8752.36"/>
    <n v="-2955.03"/>
    <n v="953.79"/>
    <n v="1371.77"/>
    <n v="34314.459999999992"/>
    <n v="-85.23"/>
  </r>
  <r>
    <x v="11"/>
    <x v="5"/>
    <x v="0"/>
    <s v="7905106"/>
    <n v="722000"/>
    <s v="Supplies-Freight Expense"/>
    <s v="Gift Shop"/>
    <x v="0"/>
    <m/>
    <n v="149.5"/>
    <n v="232.97"/>
    <n v="204.7"/>
    <n v="255.34"/>
    <n v="133"/>
    <n v="142.13"/>
    <n v="87.19"/>
    <n v="390.75"/>
    <n v="86.78"/>
    <n v="3"/>
    <n v="0"/>
    <n v="85.23"/>
    <n v="1770.5900000000001"/>
    <n v="-4.269999999999996"/>
  </r>
  <r>
    <x v="12"/>
    <x v="5"/>
    <x v="0"/>
    <s v="7905106"/>
    <n v="730020"/>
    <s v="Rental and Leases-Copier Usage Fees (DO NOT USE)"/>
    <s v="Gift Shop"/>
    <x v="0"/>
    <n v="5100"/>
    <n v="34.409999999999997"/>
    <n v="35.6"/>
    <n v="35"/>
    <n v="35"/>
    <n v="35"/>
    <n v="35"/>
    <n v="31.89"/>
    <n v="35.64"/>
    <n v="35.56"/>
    <n v="35.72"/>
    <n v="35.64"/>
    <n v="39.909999999999997"/>
    <n v="424.36999999999989"/>
    <n v="9.9999999999980105E-3"/>
  </r>
  <r>
    <x v="13"/>
    <x v="5"/>
    <x v="0"/>
    <s v="7905106"/>
    <n v="735070"/>
    <s v="Depreciation-Movable Equipment"/>
    <s v="Gift Shop"/>
    <x v="0"/>
    <m/>
    <n v="29.8"/>
    <n v="29.8"/>
    <n v="29.8"/>
    <n v="29.8"/>
    <n v="29.8"/>
    <n v="29.8"/>
    <n v="29.81"/>
    <n v="29.8"/>
    <n v="29.81"/>
    <n v="29.8"/>
    <n v="29.81"/>
    <n v="29.8"/>
    <n v="357.63000000000005"/>
    <n v="-8"/>
  </r>
  <r>
    <x v="0"/>
    <x v="5"/>
    <x v="0"/>
    <s v="7905106"/>
    <n v="749510"/>
    <s v="Miscellaneous Expenses"/>
    <s v="Gift Shop"/>
    <x v="0"/>
    <m/>
    <n v="0"/>
    <n v="849.99"/>
    <n v="0"/>
    <n v="30"/>
    <n v="0"/>
    <n v="443.4"/>
    <n v="0"/>
    <n v="0"/>
    <n v="0"/>
    <n v="-4"/>
    <n v="0"/>
    <n v="8"/>
    <n v="1327.3899999999999"/>
    <n v="-13.57"/>
  </r>
  <r>
    <x v="0"/>
    <x v="5"/>
    <x v="0"/>
    <s v="7905106"/>
    <n v="749550"/>
    <s v="Cash Over/Short"/>
    <s v="Gift Shop"/>
    <x v="0"/>
    <m/>
    <n v="-3.51"/>
    <n v="-8.39"/>
    <n v="-0.56000000000000005"/>
    <n v="-1.86"/>
    <n v="-37.67"/>
    <n v="-6.58"/>
    <n v="65.89"/>
    <n v="-9.31"/>
    <n v="-1.54"/>
    <n v="1.84"/>
    <n v="3.93"/>
    <n v="17.5"/>
    <n v="19.740000000000002"/>
    <n v="3492.0199999999968"/>
  </r>
  <r>
    <x v="14"/>
    <x v="6"/>
    <x v="0"/>
    <s v="7905107"/>
    <n v="600050"/>
    <s v="Miscellaneous Revenue"/>
    <s v="Gift Shop"/>
    <x v="0"/>
    <m/>
    <n v="-20060.91"/>
    <n v="-22026.62"/>
    <n v="-17179.48"/>
    <n v="-9509.43"/>
    <n v="-21540.36"/>
    <n v="-23999.33"/>
    <n v="-25911.56"/>
    <n v="-11444.54"/>
    <n v="-17455"/>
    <n v="-14387.98"/>
    <n v="-17638.490000000002"/>
    <n v="-21130.51"/>
    <n v="-222284.21000000002"/>
    <n v="0"/>
  </r>
  <r>
    <x v="5"/>
    <x v="6"/>
    <x v="0"/>
    <s v="7905107"/>
    <n v="700038"/>
    <s v="Salaries-Service/Support-Productive"/>
    <s v="Gift Shop"/>
    <x v="0"/>
    <m/>
    <n v="179.43"/>
    <n v="1058.23"/>
    <n v="661.13"/>
    <n v="2419.4899999999998"/>
    <n v="2716.86"/>
    <n v="1138.0999999999999"/>
    <n v="0"/>
    <n v="0"/>
    <n v="0"/>
    <n v="0"/>
    <n v="0"/>
    <n v="0"/>
    <n v="8173.24"/>
    <n v="0"/>
  </r>
  <r>
    <x v="6"/>
    <x v="6"/>
    <x v="0"/>
    <s v="7905107"/>
    <n v="713010"/>
    <s v="Benefits-FICA/Medicare"/>
    <s v="Gift Shop"/>
    <x v="0"/>
    <m/>
    <n v="13.72"/>
    <n v="80.95"/>
    <n v="50.6"/>
    <n v="184.98"/>
    <n v="207.88"/>
    <n v="87.1"/>
    <n v="0"/>
    <n v="0"/>
    <n v="0"/>
    <n v="0"/>
    <n v="0"/>
    <n v="0"/>
    <n v="625.23"/>
    <n v="-192.87"/>
  </r>
  <r>
    <x v="6"/>
    <x v="6"/>
    <x v="0"/>
    <s v="7905107"/>
    <n v="713090"/>
    <s v="Benefits-Allocated Amounts"/>
    <s v="Gift Shop"/>
    <x v="0"/>
    <m/>
    <n v="60.79"/>
    <n v="388.29"/>
    <n v="220.18"/>
    <n v="972.06"/>
    <n v="1017.57"/>
    <n v="474.05"/>
    <n v="-44.62"/>
    <n v="35.9"/>
    <n v="-73.38"/>
    <n v="34.85"/>
    <n v="-44.52"/>
    <n v="148.35"/>
    <n v="3189.52"/>
    <n v="0"/>
  </r>
  <r>
    <x v="11"/>
    <x v="6"/>
    <x v="0"/>
    <s v="7905107"/>
    <n v="721250"/>
    <s v="Supplies-Pharmacy Drugs - Billable"/>
    <s v="Gift Shop"/>
    <x v="0"/>
    <m/>
    <n v="273"/>
    <n v="0"/>
    <n v="288.72000000000003"/>
    <n v="0"/>
    <n v="63.6"/>
    <n v="0"/>
    <n v="0"/>
    <n v="162.12"/>
    <n v="140.88"/>
    <n v="0"/>
    <n v="0"/>
    <n v="0"/>
    <n v="928.32"/>
    <n v="1049.8399999999999"/>
  </r>
  <r>
    <x v="11"/>
    <x v="6"/>
    <x v="0"/>
    <s v="7905107"/>
    <n v="721810"/>
    <s v="Supplies-Dietary/Cafeteria"/>
    <s v="Gift Shop"/>
    <x v="0"/>
    <m/>
    <n v="0"/>
    <n v="0"/>
    <n v="0"/>
    <n v="0"/>
    <n v="0"/>
    <n v="0"/>
    <n v="0"/>
    <n v="0"/>
    <n v="0"/>
    <n v="0"/>
    <n v="1049.8399999999999"/>
    <n v="0"/>
    <n v="1049.8399999999999"/>
    <n v="129"/>
  </r>
  <r>
    <x v="11"/>
    <x v="6"/>
    <x v="0"/>
    <s v="7905107"/>
    <n v="721835"/>
    <s v="Supplies-Forms"/>
    <s v="Gift Shop"/>
    <x v="0"/>
    <m/>
    <n v="0"/>
    <n v="0"/>
    <n v="0"/>
    <n v="0"/>
    <n v="0"/>
    <n v="154.80000000000001"/>
    <n v="0"/>
    <n v="0"/>
    <n v="154.80000000000001"/>
    <n v="0"/>
    <n v="129"/>
    <n v="0"/>
    <n v="438.6"/>
    <n v="-7821.4400000000005"/>
  </r>
  <r>
    <x v="11"/>
    <x v="6"/>
    <x v="0"/>
    <s v="7905107"/>
    <n v="721980"/>
    <s v="Supplies-Other"/>
    <s v="Gift Shop"/>
    <x v="0"/>
    <m/>
    <n v="8452.34"/>
    <n v="14083.69"/>
    <n v="14200.74"/>
    <n v="10890.17"/>
    <n v="3710.55"/>
    <n v="8029.56"/>
    <n v="15336.47"/>
    <n v="5363.49"/>
    <n v="8832.25"/>
    <n v="8250.6299999999992"/>
    <n v="4582.5"/>
    <n v="12403.94"/>
    <n v="114136.33"/>
    <n v="-2242.9499999999998"/>
  </r>
  <r>
    <x v="11"/>
    <x v="6"/>
    <x v="0"/>
    <s v="7905107"/>
    <n v="722000"/>
    <s v="Supplies-Freight Expense"/>
    <s v="Gift Shop"/>
    <x v="0"/>
    <m/>
    <n v="233.45"/>
    <n v="924.04"/>
    <n v="847.91"/>
    <n v="707.25"/>
    <n v="71.8"/>
    <n v="601.79"/>
    <n v="1090.17"/>
    <n v="414.87"/>
    <n v="58"/>
    <n v="308.63"/>
    <n v="0"/>
    <n v="2242.9499999999998"/>
    <n v="7500.86"/>
    <n v="1333.99"/>
  </r>
  <r>
    <x v="12"/>
    <x v="6"/>
    <x v="0"/>
    <s v="7905107"/>
    <n v="730010"/>
    <s v="Rental and Leases-Building (DO NOT USE)"/>
    <s v="Gift Shop"/>
    <x v="0"/>
    <m/>
    <n v="1702.79"/>
    <n v="1702.79"/>
    <n v="1702.79"/>
    <n v="1702.79"/>
    <n v="1702.79"/>
    <n v="-1287.82"/>
    <n v="1336.23"/>
    <n v="1336.23"/>
    <n v="1336.23"/>
    <n v="1333.99"/>
    <n v="1333.99"/>
    <n v="0"/>
    <n v="13902.8"/>
    <n v="460.11"/>
  </r>
  <r>
    <x v="12"/>
    <x v="6"/>
    <x v="0"/>
    <s v="7905107"/>
    <n v="730010"/>
    <s v="Rental-Common Area Maint (DO NOT USE)"/>
    <s v="Gift Shop"/>
    <x v="0"/>
    <n v="2200"/>
    <n v="0"/>
    <n v="0"/>
    <n v="0"/>
    <n v="0"/>
    <n v="0"/>
    <n v="3034.99"/>
    <n v="410.94"/>
    <n v="410.94"/>
    <n v="410.94"/>
    <n v="460.11"/>
    <n v="460.11"/>
    <n v="0"/>
    <n v="5188.0299999999988"/>
    <n v="-1794.1"/>
  </r>
  <r>
    <x v="12"/>
    <x v="6"/>
    <x v="0"/>
    <s v="7905107"/>
    <n v="730040"/>
    <s v="LT Lease-Real Estate"/>
    <s v="Gift Shop"/>
    <x v="0"/>
    <m/>
    <n v="0"/>
    <n v="0"/>
    <n v="0"/>
    <n v="0"/>
    <n v="0"/>
    <n v="0"/>
    <n v="0"/>
    <n v="0"/>
    <n v="0"/>
    <n v="0"/>
    <n v="0"/>
    <n v="1794.1"/>
    <n v="1794.1"/>
    <n v="0"/>
  </r>
  <r>
    <x v="0"/>
    <x v="6"/>
    <x v="0"/>
    <s v="7905107"/>
    <n v="746020"/>
    <s v="Bank Fees--Ext to CHI Programs"/>
    <s v="Gift Shop"/>
    <x v="0"/>
    <m/>
    <n v="351.23"/>
    <n v="414.93"/>
    <n v="364.34"/>
    <n v="284.44"/>
    <n v="0"/>
    <n v="0"/>
    <n v="0"/>
    <n v="0"/>
    <n v="0"/>
    <n v="0"/>
    <n v="0"/>
    <n v="0"/>
    <n v="1414.94"/>
    <n v="0"/>
  </r>
  <r>
    <x v="0"/>
    <x v="6"/>
    <x v="0"/>
    <s v="7905107"/>
    <n v="749510"/>
    <s v="Miscellaneous Expenses"/>
    <s v="Gift Shop"/>
    <x v="0"/>
    <m/>
    <n v="0"/>
    <n v="0"/>
    <n v="101.27"/>
    <n v="0"/>
    <n v="0"/>
    <n v="0"/>
    <n v="0"/>
    <n v="0"/>
    <n v="0"/>
    <n v="0"/>
    <n v="0"/>
    <n v="0"/>
    <n v="101.27"/>
    <n v="0"/>
  </r>
  <r>
    <x v="0"/>
    <x v="6"/>
    <x v="0"/>
    <s v="7905107"/>
    <n v="749530"/>
    <s v="Travel"/>
    <s v="Gift Shop"/>
    <x v="0"/>
    <m/>
    <n v="0"/>
    <n v="0"/>
    <n v="0"/>
    <n v="0"/>
    <n v="0"/>
    <n v="0"/>
    <n v="0"/>
    <n v="0"/>
    <n v="0"/>
    <n v="0"/>
    <n v="0"/>
    <n v="0"/>
    <n v="0"/>
    <n v="107.08000000000001"/>
  </r>
  <r>
    <x v="0"/>
    <x v="6"/>
    <x v="0"/>
    <s v="7905107"/>
    <n v="749550"/>
    <s v="Cash Over/Short"/>
    <s v="Gift Shop"/>
    <x v="0"/>
    <m/>
    <n v="100"/>
    <n v="0"/>
    <n v="0"/>
    <n v="-6.56"/>
    <n v="95.37"/>
    <n v="81.97"/>
    <n v="-17.93"/>
    <n v="-6.7"/>
    <n v="11.1"/>
    <n v="-48.93"/>
    <n v="68.31"/>
    <n v="-38.770000000000003"/>
    <n v="237.85999999999999"/>
    <n v="-1586.72"/>
  </r>
  <r>
    <x v="14"/>
    <x v="7"/>
    <x v="0"/>
    <s v="7905150"/>
    <n v="600050"/>
    <s v="Miscellaneous Revenue"/>
    <s v="Gift Shop"/>
    <x v="0"/>
    <m/>
    <n v="-33.07"/>
    <n v="-56.6"/>
    <n v="-54.24"/>
    <n v="-165.61"/>
    <n v="-118.1"/>
    <n v="-204.25"/>
    <n v="-24.76"/>
    <n v="-203.6"/>
    <n v="-342.31"/>
    <n v="-200.91"/>
    <n v="-91.72"/>
    <n v="1495"/>
    <n v="-0.17000000000007276"/>
    <n v="-1946.2800000000002"/>
  </r>
  <r>
    <x v="5"/>
    <x v="16"/>
    <x v="0"/>
    <s v="7906460"/>
    <n v="700014"/>
    <s v="Salaries-Management-Productive"/>
    <s v="Special Events"/>
    <x v="0"/>
    <m/>
    <n v="499.31"/>
    <n v="499.34"/>
    <n v="-21.54"/>
    <n v="417.84"/>
    <n v="406.07"/>
    <n v="-22.92"/>
    <n v="295.14999999999998"/>
    <n v="336.96"/>
    <n v="-142.19999999999999"/>
    <n v="1891.62"/>
    <n v="752.52"/>
    <n v="2698.8"/>
    <n v="7610.95"/>
    <n v="-154.44"/>
  </r>
  <r>
    <x v="5"/>
    <x v="16"/>
    <x v="0"/>
    <s v="7906460"/>
    <n v="700014"/>
    <s v="Salaries-Management-Other"/>
    <s v="Special Events"/>
    <x v="0"/>
    <n v="2000"/>
    <n v="91.34"/>
    <n v="91.33"/>
    <n v="-10.17"/>
    <n v="58.12"/>
    <n v="56.25"/>
    <n v="8.84"/>
    <n v="49.9"/>
    <n v="45.07"/>
    <n v="-23.54"/>
    <n v="123.52"/>
    <n v="-40.200000000000003"/>
    <n v="114.24"/>
    <n v="564.69999999999993"/>
    <n v="-364.84"/>
  </r>
  <r>
    <x v="5"/>
    <x v="16"/>
    <x v="0"/>
    <s v="7906460"/>
    <n v="700018"/>
    <s v="Salaries-Supervisory-Productive"/>
    <s v="Special Events"/>
    <x v="0"/>
    <m/>
    <n v="570.42999999999995"/>
    <n v="489.51"/>
    <n v="-34.68"/>
    <n v="394.24"/>
    <n v="-142.51"/>
    <n v="-182.43"/>
    <n v="0"/>
    <n v="0"/>
    <n v="-182.42"/>
    <n v="182.42"/>
    <n v="-182.42"/>
    <n v="182.42"/>
    <n v="1094.56"/>
    <n v="-4965.05"/>
  </r>
  <r>
    <x v="5"/>
    <x v="16"/>
    <x v="0"/>
    <s v="7906460"/>
    <n v="700034"/>
    <s v="Salaries-Tech/Professional-Productive"/>
    <s v="Special Events"/>
    <x v="0"/>
    <m/>
    <n v="1882.3"/>
    <n v="2226.2399999999998"/>
    <n v="97.04"/>
    <n v="1300.3900000000001"/>
    <n v="1596.38"/>
    <n v="13.11"/>
    <n v="1247.8800000000001"/>
    <n v="809.89"/>
    <n v="-444.69"/>
    <n v="3524"/>
    <n v="-1049.78"/>
    <n v="3915.27"/>
    <n v="15118.029999999999"/>
    <n v="-1.2"/>
  </r>
  <r>
    <x v="5"/>
    <x v="16"/>
    <x v="0"/>
    <s v="7906460"/>
    <n v="700034"/>
    <s v="Salaries-Tech/Professional-Other"/>
    <s v="Special Events"/>
    <x v="0"/>
    <n v="2000"/>
    <n v="0"/>
    <n v="3.3"/>
    <n v="-1.2"/>
    <n v="0"/>
    <n v="0"/>
    <n v="-0.3"/>
    <n v="0"/>
    <n v="0"/>
    <n v="-0.3"/>
    <n v="2.1"/>
    <n v="-0.6"/>
    <n v="0.6"/>
    <n v="3.5999999999999996"/>
    <n v="-2498.13"/>
  </r>
  <r>
    <x v="5"/>
    <x v="16"/>
    <x v="0"/>
    <s v="7906460"/>
    <n v="700038"/>
    <s v="Salaries-Service/Support-Productive"/>
    <s v="Special Events"/>
    <x v="0"/>
    <m/>
    <n v="757.14"/>
    <n v="891.02"/>
    <n v="-114.69"/>
    <n v="1071.49"/>
    <n v="746.23"/>
    <n v="326.97000000000003"/>
    <n v="763.09"/>
    <n v="684.94"/>
    <n v="-165.56"/>
    <n v="1817.31"/>
    <n v="-444.02"/>
    <n v="2054.11"/>
    <n v="8388.0300000000007"/>
    <n v="-107.41999999999999"/>
  </r>
  <r>
    <x v="5"/>
    <x v="16"/>
    <x v="0"/>
    <s v="7906460"/>
    <n v="700038"/>
    <s v="Salaries-Service/Support-OT"/>
    <s v="Special Events"/>
    <x v="0"/>
    <n v="1000"/>
    <n v="1.04"/>
    <n v="10.82"/>
    <n v="-2.99"/>
    <n v="25.78"/>
    <n v="2.41"/>
    <n v="52.68"/>
    <n v="35.18"/>
    <n v="0.88"/>
    <n v="21.99"/>
    <n v="112.6"/>
    <n v="34.56"/>
    <n v="141.97999999999999"/>
    <n v="436.92999999999995"/>
    <n v="-299.04000000000002"/>
  </r>
  <r>
    <x v="5"/>
    <x v="16"/>
    <x v="0"/>
    <s v="7906460"/>
    <n v="700054"/>
    <s v="Salaries-Management-Non-productive"/>
    <s v="Special Events"/>
    <x v="0"/>
    <m/>
    <n v="145.63999999999999"/>
    <n v="145.63999999999999"/>
    <n v="-50.31"/>
    <n v="0"/>
    <n v="0"/>
    <n v="90.87"/>
    <n v="65.09"/>
    <n v="-11.62"/>
    <n v="-23.55"/>
    <n v="72.36"/>
    <n v="-45.24"/>
    <n v="253.8"/>
    <n v="642.67999999999995"/>
    <n v="0"/>
  </r>
  <r>
    <x v="5"/>
    <x v="16"/>
    <x v="0"/>
    <s v="7906460"/>
    <n v="700054"/>
    <s v="Salaries-Management-NonProd-Other"/>
    <s v="Special Events"/>
    <x v="0"/>
    <n v="2000"/>
    <n v="0"/>
    <n v="0"/>
    <n v="0"/>
    <n v="0"/>
    <n v="0"/>
    <n v="63.99"/>
    <n v="0"/>
    <n v="-63.99"/>
    <n v="0"/>
    <n v="0"/>
    <n v="0"/>
    <n v="0"/>
    <n v="0"/>
    <n v="-29.44"/>
  </r>
  <r>
    <x v="5"/>
    <x v="16"/>
    <x v="0"/>
    <s v="7906460"/>
    <n v="700058"/>
    <s v="Salaries-Supervisory-Non-productive"/>
    <s v="Special Events"/>
    <x v="0"/>
    <m/>
    <n v="26.98"/>
    <n v="107.92"/>
    <n v="-31.88"/>
    <n v="0"/>
    <n v="0"/>
    <n v="-14.72"/>
    <n v="0"/>
    <n v="0"/>
    <n v="-14.72"/>
    <n v="14.72"/>
    <n v="-14.72"/>
    <n v="14.72"/>
    <n v="88.300000000000011"/>
    <n v="-146.06000000000003"/>
  </r>
  <r>
    <x v="5"/>
    <x v="16"/>
    <x v="0"/>
    <s v="7906460"/>
    <n v="700074"/>
    <s v="Salaries-Tech/Professional-Non-productive"/>
    <s v="Special Events"/>
    <x v="0"/>
    <m/>
    <n v="276.44"/>
    <n v="422.13"/>
    <n v="14.05"/>
    <n v="32.15"/>
    <n v="0"/>
    <n v="285.2"/>
    <n v="83.52"/>
    <n v="392.54"/>
    <n v="-225.8"/>
    <n v="274.48"/>
    <n v="156.47999999999999"/>
    <n v="302.54000000000002"/>
    <n v="2013.7299999999998"/>
    <n v="-166.27"/>
  </r>
  <r>
    <x v="5"/>
    <x v="16"/>
    <x v="0"/>
    <s v="7906460"/>
    <n v="700078"/>
    <s v="Salaries-Service/Support-Non-productive"/>
    <s v="Special Events"/>
    <x v="0"/>
    <m/>
    <n v="155.75"/>
    <n v="20.75"/>
    <n v="14.96"/>
    <n v="7.6"/>
    <n v="80.37"/>
    <n v="25.26"/>
    <n v="95.36"/>
    <n v="78.06"/>
    <n v="-56.09"/>
    <n v="84.41"/>
    <n v="-42.87"/>
    <n v="123.4"/>
    <n v="586.95999999999992"/>
    <n v="-88.140000000000015"/>
  </r>
  <r>
    <x v="5"/>
    <x v="16"/>
    <x v="0"/>
    <s v="7906460"/>
    <n v="700084"/>
    <s v="Accrued PTO"/>
    <s v="Special Events"/>
    <x v="0"/>
    <m/>
    <n v="28.72"/>
    <n v="-167.29"/>
    <n v="54.85"/>
    <n v="294.14"/>
    <n v="-487.47"/>
    <n v="-97"/>
    <n v="20.260000000000002"/>
    <n v="-103.94"/>
    <n v="198.24"/>
    <n v="214.91"/>
    <n v="141.72999999999999"/>
    <n v="229.87"/>
    <n v="327.01999999999992"/>
    <n v="-786.42000000000007"/>
  </r>
  <r>
    <x v="6"/>
    <x v="16"/>
    <x v="0"/>
    <s v="7906460"/>
    <n v="713010"/>
    <s v="Benefits-FICA/Medicare"/>
    <s v="Special Events"/>
    <x v="0"/>
    <m/>
    <n v="318.58999999999997"/>
    <n v="357.08"/>
    <n v="-8.8800000000000008"/>
    <n v="245.88"/>
    <n v="201.74"/>
    <n v="48.43"/>
    <n v="193.43"/>
    <n v="176.3"/>
    <n v="-93.42"/>
    <n v="600.78"/>
    <n v="-63.97"/>
    <n v="722.45"/>
    <n v="2698.41"/>
    <n v="-2014.71"/>
  </r>
  <r>
    <x v="6"/>
    <x v="16"/>
    <x v="0"/>
    <s v="7906460"/>
    <n v="713090"/>
    <s v="Benefits-Allocated Amounts"/>
    <s v="Special Events"/>
    <x v="0"/>
    <m/>
    <n v="973.63"/>
    <n v="962.18"/>
    <n v="-13.67"/>
    <n v="674.87"/>
    <n v="498.87"/>
    <n v="135.22999999999999"/>
    <n v="581.35"/>
    <n v="534.49"/>
    <n v="-216.32"/>
    <n v="1598.95"/>
    <n v="-281.07"/>
    <n v="1733.64"/>
    <n v="7182.1500000000005"/>
    <n v="45103.85"/>
  </r>
  <r>
    <x v="7"/>
    <x v="16"/>
    <x v="0"/>
    <s v="7906460"/>
    <n v="718050"/>
    <s v="Miscellaneous Purchased Svcs"/>
    <s v="Special Events"/>
    <x v="0"/>
    <n v="1020"/>
    <n v="48893.02"/>
    <n v="4000"/>
    <n v="26442.42"/>
    <n v="13383.4"/>
    <n v="403.34"/>
    <n v="11669.2"/>
    <n v="31809.64"/>
    <n v="12000"/>
    <n v="2555.58"/>
    <n v="4252.25"/>
    <n v="91188.78"/>
    <n v="46084.93"/>
    <n v="292682.56"/>
    <n v="1857.85"/>
  </r>
  <r>
    <x v="7"/>
    <x v="16"/>
    <x v="0"/>
    <s v="7906460"/>
    <n v="718050"/>
    <s v="Printing"/>
    <s v="Special Events"/>
    <x v="0"/>
    <n v="1021"/>
    <n v="0"/>
    <n v="0"/>
    <n v="110.09"/>
    <n v="0"/>
    <n v="0"/>
    <n v="0"/>
    <n v="0"/>
    <n v="0"/>
    <n v="0"/>
    <n v="0"/>
    <n v="2350.5"/>
    <n v="492.65"/>
    <n v="2953.2400000000002"/>
    <n v="0"/>
  </r>
  <r>
    <x v="7"/>
    <x v="16"/>
    <x v="0"/>
    <s v="7906460"/>
    <n v="718050"/>
    <s v="Contract Services-Food&amp;Catering"/>
    <s v="Special Events"/>
    <x v="0"/>
    <n v="1030"/>
    <n v="17913.84"/>
    <n v="0"/>
    <n v="16.559999999999999"/>
    <n v="0"/>
    <n v="0"/>
    <n v="0"/>
    <n v="0"/>
    <n v="0"/>
    <n v="0"/>
    <n v="0"/>
    <n v="0"/>
    <n v="0"/>
    <n v="17930.400000000001"/>
    <n v="-10.899999999999999"/>
  </r>
  <r>
    <x v="11"/>
    <x v="16"/>
    <x v="0"/>
    <s v="7906460"/>
    <n v="721830"/>
    <s v="Supplies-Office"/>
    <s v="Special Events"/>
    <x v="0"/>
    <m/>
    <n v="0"/>
    <n v="0"/>
    <n v="0"/>
    <n v="0"/>
    <n v="0"/>
    <n v="0"/>
    <n v="0"/>
    <n v="0"/>
    <n v="0"/>
    <n v="231.05"/>
    <n v="28.82"/>
    <n v="39.72"/>
    <n v="299.59000000000003"/>
    <n v="-942.62"/>
  </r>
  <r>
    <x v="11"/>
    <x v="16"/>
    <x v="0"/>
    <s v="7906460"/>
    <n v="721835"/>
    <s v="Supplies-Forms"/>
    <s v="Special Events"/>
    <x v="0"/>
    <m/>
    <n v="0"/>
    <n v="0"/>
    <n v="0"/>
    <n v="0"/>
    <n v="234.72"/>
    <n v="0"/>
    <n v="0"/>
    <n v="0"/>
    <n v="0"/>
    <n v="0"/>
    <n v="0"/>
    <n v="942.62"/>
    <n v="1177.3399999999999"/>
    <n v="0"/>
  </r>
  <r>
    <x v="11"/>
    <x v="16"/>
    <x v="0"/>
    <s v="7906460"/>
    <n v="721980"/>
    <s v="Supplies-Other"/>
    <s v="Special Events"/>
    <x v="0"/>
    <m/>
    <n v="0"/>
    <n v="0"/>
    <n v="0"/>
    <n v="17.600000000000001"/>
    <n v="30.8"/>
    <n v="0"/>
    <n v="0"/>
    <n v="0"/>
    <n v="0"/>
    <n v="0"/>
    <n v="0"/>
    <n v="0"/>
    <n v="48.400000000000006"/>
    <n v="0"/>
  </r>
  <r>
    <x v="0"/>
    <x v="16"/>
    <x v="0"/>
    <s v="7906460"/>
    <n v="742010"/>
    <s v="Postage-Regular"/>
    <s v="Special Events"/>
    <x v="0"/>
    <m/>
    <n v="20.14"/>
    <n v="16.91"/>
    <n v="13.6"/>
    <n v="0"/>
    <n v="0"/>
    <n v="0"/>
    <n v="7500"/>
    <n v="0"/>
    <n v="105"/>
    <n v="0"/>
    <n v="0"/>
    <n v="0"/>
    <n v="7655.65"/>
    <n v="0"/>
  </r>
  <r>
    <x v="0"/>
    <x v="16"/>
    <x v="0"/>
    <s v="7906460"/>
    <n v="742040"/>
    <s v="Freight-Other"/>
    <s v="Special Events"/>
    <x v="0"/>
    <m/>
    <n v="0"/>
    <n v="0"/>
    <n v="0"/>
    <n v="101.59"/>
    <n v="0"/>
    <n v="0"/>
    <n v="0"/>
    <n v="0"/>
    <n v="0"/>
    <n v="0"/>
    <n v="0"/>
    <n v="0"/>
    <n v="101.59"/>
    <n v="2089.62"/>
  </r>
  <r>
    <x v="0"/>
    <x v="16"/>
    <x v="0"/>
    <s v="7906460"/>
    <n v="749510"/>
    <s v="Miscellaneous Expenses"/>
    <s v="Special Events"/>
    <x v="0"/>
    <m/>
    <n v="1065.42"/>
    <n v="3822.91"/>
    <n v="-4817.2700000000004"/>
    <n v="-86.04"/>
    <n v="517.4"/>
    <n v="-532.36"/>
    <n v="1736.12"/>
    <n v="3806.35"/>
    <n v="-3316.1"/>
    <n v="2215.62"/>
    <n v="-1679.18"/>
    <n v="-3768.8"/>
    <n v="-1035.9300000000012"/>
    <n v="-75"/>
  </r>
  <r>
    <x v="0"/>
    <x v="16"/>
    <x v="0"/>
    <s v="7906460"/>
    <n v="749510"/>
    <s v="Licenses"/>
    <s v="Special Events"/>
    <x v="0"/>
    <n v="1002"/>
    <n v="0"/>
    <n v="0"/>
    <n v="0"/>
    <n v="0"/>
    <n v="0"/>
    <n v="0"/>
    <n v="0"/>
    <n v="0"/>
    <n v="145"/>
    <n v="0"/>
    <n v="0"/>
    <n v="75"/>
    <n v="220"/>
    <n v="9"/>
  </r>
  <r>
    <x v="0"/>
    <x v="16"/>
    <x v="0"/>
    <s v="7906460"/>
    <n v="749530"/>
    <s v="Travel"/>
    <s v="Special Events"/>
    <x v="0"/>
    <m/>
    <n v="0"/>
    <n v="0"/>
    <n v="10"/>
    <n v="10"/>
    <n v="536.26"/>
    <n v="59.66"/>
    <n v="0"/>
    <n v="0"/>
    <n v="0"/>
    <n v="0"/>
    <n v="44"/>
    <n v="35"/>
    <n v="694.92"/>
    <n v="61.47999999999999"/>
  </r>
  <r>
    <x v="0"/>
    <x v="16"/>
    <x v="0"/>
    <s v="7906460"/>
    <n v="749530"/>
    <s v="Mileage"/>
    <s v="Special Events"/>
    <x v="0"/>
    <n v="1001"/>
    <n v="0"/>
    <n v="0"/>
    <n v="100.29"/>
    <n v="191.86"/>
    <n v="83.4"/>
    <n v="0"/>
    <n v="0"/>
    <n v="0"/>
    <n v="0"/>
    <n v="0"/>
    <n v="311.45999999999998"/>
    <n v="249.98"/>
    <n v="936.99"/>
    <n v="5549"/>
  </r>
  <r>
    <x v="0"/>
    <x v="16"/>
    <x v="0"/>
    <s v="7906460"/>
    <n v="749535"/>
    <s v="Meetings"/>
    <s v="Special Events"/>
    <x v="0"/>
    <m/>
    <n v="0"/>
    <n v="0"/>
    <n v="0"/>
    <n v="0"/>
    <n v="19558.599999999999"/>
    <n v="0"/>
    <n v="-19558.599999999999"/>
    <n v="0"/>
    <n v="0"/>
    <n v="0"/>
    <n v="5549"/>
    <n v="0"/>
    <n v="5549"/>
    <n v="0"/>
  </r>
  <r>
    <x v="0"/>
    <x v="16"/>
    <x v="0"/>
    <s v="7906460"/>
    <n v="749535"/>
    <s v="Volunteer Recognition/Appreciation"/>
    <s v="Special Events"/>
    <x v="0"/>
    <n v="1006"/>
    <n v="2473.8200000000002"/>
    <n v="0"/>
    <n v="7057.9"/>
    <n v="-101.59"/>
    <n v="10139.1"/>
    <n v="0"/>
    <n v="0"/>
    <n v="0"/>
    <n v="0"/>
    <n v="0"/>
    <n v="0"/>
    <n v="0"/>
    <n v="19569.23"/>
    <n v="0"/>
  </r>
  <r>
    <x v="5"/>
    <x v="17"/>
    <x v="0"/>
    <s v="7906467"/>
    <n v="700014"/>
    <s v="Salaries-Management-Productive"/>
    <s v="Special Events"/>
    <x v="0"/>
    <m/>
    <n v="90.78"/>
    <n v="90.79"/>
    <n v="-181.57"/>
    <n v="0"/>
    <n v="0"/>
    <n v="0"/>
    <n v="0"/>
    <n v="0"/>
    <n v="0"/>
    <n v="0"/>
    <n v="0"/>
    <n v="0"/>
    <n v="0"/>
    <n v="0"/>
  </r>
  <r>
    <x v="5"/>
    <x v="17"/>
    <x v="0"/>
    <s v="7906467"/>
    <n v="700014"/>
    <s v="Salaries-Management-Other"/>
    <s v="Special Events"/>
    <x v="0"/>
    <n v="2000"/>
    <n v="16.61"/>
    <n v="16.600000000000001"/>
    <n v="-33.21"/>
    <n v="0"/>
    <n v="0"/>
    <n v="0"/>
    <n v="0"/>
    <n v="0"/>
    <n v="0"/>
    <n v="0"/>
    <n v="0"/>
    <n v="0"/>
    <n v="0"/>
    <n v="0"/>
  </r>
  <r>
    <x v="5"/>
    <x v="17"/>
    <x v="0"/>
    <s v="7906467"/>
    <n v="700018"/>
    <s v="Salaries-Supervisory-Productive"/>
    <s v="Special Events"/>
    <x v="0"/>
    <m/>
    <n v="103.71"/>
    <n v="89.01"/>
    <n v="-192.72"/>
    <n v="0"/>
    <n v="0"/>
    <n v="0"/>
    <n v="0"/>
    <n v="0"/>
    <n v="0"/>
    <n v="0"/>
    <n v="0"/>
    <n v="0"/>
    <n v="0"/>
    <n v="0"/>
  </r>
  <r>
    <x v="5"/>
    <x v="17"/>
    <x v="0"/>
    <s v="7906467"/>
    <n v="700034"/>
    <s v="Salaries-Tech/Professional-Productive"/>
    <s v="Special Events"/>
    <x v="0"/>
    <m/>
    <n v="342.24"/>
    <n v="404.77"/>
    <n v="-747.01"/>
    <n v="0"/>
    <n v="0"/>
    <n v="0"/>
    <n v="0"/>
    <n v="0"/>
    <n v="0"/>
    <n v="0"/>
    <n v="0"/>
    <n v="0"/>
    <n v="0"/>
    <n v="0"/>
  </r>
  <r>
    <x v="5"/>
    <x v="17"/>
    <x v="0"/>
    <s v="7906467"/>
    <n v="700034"/>
    <s v="Salaries-Tech/Professional-Other"/>
    <s v="Special Events"/>
    <x v="0"/>
    <n v="2000"/>
    <n v="0"/>
    <n v="0.6"/>
    <n v="-0.6"/>
    <n v="0"/>
    <n v="0"/>
    <n v="0"/>
    <n v="0"/>
    <n v="0"/>
    <n v="0"/>
    <n v="0"/>
    <n v="0"/>
    <n v="0"/>
    <n v="0"/>
    <n v="0"/>
  </r>
  <r>
    <x v="5"/>
    <x v="17"/>
    <x v="0"/>
    <s v="7906467"/>
    <n v="700038"/>
    <s v="Salaries-Service/Support-Productive"/>
    <s v="Special Events"/>
    <x v="0"/>
    <m/>
    <n v="137.66"/>
    <n v="162.01"/>
    <n v="-299.67"/>
    <n v="0"/>
    <n v="0"/>
    <n v="0"/>
    <n v="0"/>
    <n v="0"/>
    <n v="0"/>
    <n v="0"/>
    <n v="0"/>
    <n v="0"/>
    <n v="-5.6843418860808015E-14"/>
    <n v="0"/>
  </r>
  <r>
    <x v="5"/>
    <x v="17"/>
    <x v="0"/>
    <s v="7906467"/>
    <n v="700038"/>
    <s v="Salaries-Service/Support-OT"/>
    <s v="Special Events"/>
    <x v="0"/>
    <n v="1000"/>
    <n v="0.19"/>
    <n v="1.97"/>
    <n v="-2.16"/>
    <n v="0"/>
    <n v="0"/>
    <n v="0"/>
    <n v="0"/>
    <n v="0"/>
    <n v="0"/>
    <n v="0"/>
    <n v="0"/>
    <n v="0"/>
    <n v="0"/>
    <n v="0"/>
  </r>
  <r>
    <x v="5"/>
    <x v="17"/>
    <x v="0"/>
    <s v="7906467"/>
    <n v="700054"/>
    <s v="Salaries-Management-Non-productive"/>
    <s v="Special Events"/>
    <x v="0"/>
    <m/>
    <n v="26.48"/>
    <n v="26.48"/>
    <n v="-52.96"/>
    <n v="0"/>
    <n v="0"/>
    <n v="0"/>
    <n v="0"/>
    <n v="0"/>
    <n v="0"/>
    <n v="0"/>
    <n v="0"/>
    <n v="0"/>
    <n v="0"/>
    <n v="0"/>
  </r>
  <r>
    <x v="5"/>
    <x v="17"/>
    <x v="0"/>
    <s v="7906467"/>
    <n v="700058"/>
    <s v="Salaries-Supervisory-Non-productive"/>
    <s v="Special Events"/>
    <x v="0"/>
    <m/>
    <n v="4.91"/>
    <n v="19.62"/>
    <n v="-24.53"/>
    <n v="0"/>
    <n v="0"/>
    <n v="0"/>
    <n v="0"/>
    <n v="0"/>
    <n v="0"/>
    <n v="0"/>
    <n v="0"/>
    <n v="0"/>
    <n v="0"/>
    <n v="0"/>
  </r>
  <r>
    <x v="5"/>
    <x v="17"/>
    <x v="0"/>
    <s v="7906467"/>
    <n v="700074"/>
    <s v="Salaries-Tech/Professional-Non-productive"/>
    <s v="Special Events"/>
    <x v="0"/>
    <m/>
    <n v="50.26"/>
    <n v="76.75"/>
    <n v="-127.01"/>
    <n v="0"/>
    <n v="0"/>
    <n v="0"/>
    <n v="0"/>
    <n v="0"/>
    <n v="0"/>
    <n v="0"/>
    <n v="0"/>
    <n v="0"/>
    <n v="-1.4210854715202004E-14"/>
    <n v="0"/>
  </r>
  <r>
    <x v="5"/>
    <x v="17"/>
    <x v="0"/>
    <s v="7906467"/>
    <n v="700078"/>
    <s v="Salaries-Service/Support-Non-productive"/>
    <s v="Special Events"/>
    <x v="0"/>
    <m/>
    <n v="28.32"/>
    <n v="3.77"/>
    <n v="-32.090000000000003"/>
    <n v="0"/>
    <n v="0"/>
    <n v="0"/>
    <n v="0"/>
    <n v="0"/>
    <n v="0"/>
    <n v="0"/>
    <n v="0"/>
    <n v="0"/>
    <n v="0"/>
    <n v="0"/>
  </r>
  <r>
    <x v="5"/>
    <x v="17"/>
    <x v="0"/>
    <s v="7906467"/>
    <n v="700084"/>
    <s v="Accrued PTO"/>
    <s v="Special Events"/>
    <x v="0"/>
    <m/>
    <n v="5.22"/>
    <n v="-30.41"/>
    <n v="25.19"/>
    <n v="0"/>
    <n v="0"/>
    <n v="0"/>
    <n v="0"/>
    <n v="0"/>
    <n v="0"/>
    <n v="0"/>
    <n v="0"/>
    <n v="0"/>
    <n v="0"/>
    <n v="0"/>
  </r>
  <r>
    <x v="6"/>
    <x v="17"/>
    <x v="0"/>
    <s v="7906467"/>
    <n v="713010"/>
    <s v="Benefits-FICA/Medicare"/>
    <s v="Special Events"/>
    <x v="0"/>
    <m/>
    <n v="57.92"/>
    <n v="64.930000000000007"/>
    <n v="-122.85"/>
    <n v="0"/>
    <n v="0"/>
    <n v="0"/>
    <n v="0"/>
    <n v="0"/>
    <n v="0"/>
    <n v="0"/>
    <n v="0"/>
    <n v="0"/>
    <n v="1.4210854715202004E-14"/>
    <n v="0"/>
  </r>
  <r>
    <x v="6"/>
    <x v="17"/>
    <x v="0"/>
    <s v="7906467"/>
    <n v="713090"/>
    <s v="Benefits-Allocated Amounts"/>
    <s v="Special Events"/>
    <x v="0"/>
    <m/>
    <n v="177.02"/>
    <n v="174.95"/>
    <n v="-351.97"/>
    <n v="0"/>
    <n v="0"/>
    <n v="0"/>
    <n v="0"/>
    <n v="0"/>
    <n v="0"/>
    <n v="0"/>
    <n v="0"/>
    <n v="0"/>
    <n v="0"/>
    <n v="-1608.75"/>
  </r>
  <r>
    <x v="7"/>
    <x v="17"/>
    <x v="0"/>
    <s v="7906467"/>
    <n v="718050"/>
    <s v="Contract Svcs-Other"/>
    <s v="Special Events"/>
    <x v="0"/>
    <m/>
    <n v="0"/>
    <n v="0"/>
    <n v="0"/>
    <n v="0"/>
    <n v="0"/>
    <n v="0"/>
    <n v="0"/>
    <n v="0"/>
    <n v="0"/>
    <n v="0"/>
    <n v="0"/>
    <n v="1608.75"/>
    <n v="1608.75"/>
    <n v="-1000"/>
  </r>
  <r>
    <x v="7"/>
    <x v="17"/>
    <x v="0"/>
    <s v="7906467"/>
    <n v="718050"/>
    <s v="Miscellaneous Purchased Svcs"/>
    <s v="Special Events"/>
    <x v="0"/>
    <n v="1020"/>
    <n v="5000"/>
    <n v="0"/>
    <n v="0"/>
    <n v="-370"/>
    <n v="0"/>
    <n v="0"/>
    <n v="32005.13"/>
    <n v="6000"/>
    <n v="0"/>
    <n v="0"/>
    <n v="0"/>
    <n v="1000"/>
    <n v="43635.130000000005"/>
    <n v="-328.31"/>
  </r>
  <r>
    <x v="7"/>
    <x v="17"/>
    <x v="0"/>
    <s v="7906467"/>
    <n v="718050"/>
    <s v="Printing"/>
    <s v="Special Events"/>
    <x v="0"/>
    <n v="1021"/>
    <n v="0"/>
    <n v="0"/>
    <n v="0"/>
    <n v="0"/>
    <n v="0"/>
    <n v="0"/>
    <n v="0"/>
    <n v="0"/>
    <n v="0"/>
    <n v="0"/>
    <n v="0"/>
    <n v="328.31"/>
    <n v="328.31"/>
    <n v="-165.24"/>
  </r>
  <r>
    <x v="7"/>
    <x v="17"/>
    <x v="0"/>
    <s v="7906467"/>
    <n v="718050"/>
    <s v="Contract Services-Food&amp;Catering"/>
    <s v="Special Events"/>
    <x v="0"/>
    <n v="1030"/>
    <n v="0"/>
    <n v="0"/>
    <n v="0"/>
    <n v="0"/>
    <n v="0"/>
    <n v="0"/>
    <n v="0"/>
    <n v="0"/>
    <n v="0"/>
    <n v="0"/>
    <n v="0"/>
    <n v="165.24"/>
    <n v="165.24"/>
    <n v="200"/>
  </r>
  <r>
    <x v="11"/>
    <x v="17"/>
    <x v="0"/>
    <s v="7906467"/>
    <n v="721830"/>
    <s v="Supplies-Office"/>
    <s v="Special Events"/>
    <x v="0"/>
    <m/>
    <n v="0"/>
    <n v="0"/>
    <n v="0"/>
    <n v="0"/>
    <n v="0"/>
    <n v="0"/>
    <n v="0"/>
    <n v="0"/>
    <n v="350.95"/>
    <n v="0"/>
    <n v="200"/>
    <n v="0"/>
    <n v="550.95000000000005"/>
    <n v="-226.5"/>
  </r>
  <r>
    <x v="11"/>
    <x v="17"/>
    <x v="0"/>
    <s v="7906467"/>
    <n v="721835"/>
    <s v="Supplies-Forms"/>
    <s v="Special Events"/>
    <x v="0"/>
    <m/>
    <n v="0"/>
    <n v="0"/>
    <n v="0"/>
    <n v="0"/>
    <n v="0"/>
    <n v="0"/>
    <n v="0"/>
    <n v="0"/>
    <n v="0"/>
    <n v="0"/>
    <n v="0"/>
    <n v="226.5"/>
    <n v="226.5"/>
    <n v="-4469.6000000000004"/>
  </r>
  <r>
    <x v="11"/>
    <x v="17"/>
    <x v="0"/>
    <s v="7906467"/>
    <n v="721980"/>
    <s v="Supplies-Other"/>
    <s v="Special Events"/>
    <x v="0"/>
    <m/>
    <n v="0"/>
    <n v="0"/>
    <n v="0"/>
    <n v="89.56"/>
    <n v="0"/>
    <n v="0"/>
    <n v="0"/>
    <n v="0"/>
    <n v="0"/>
    <n v="0"/>
    <n v="0"/>
    <n v="4469.6000000000004"/>
    <n v="4559.1600000000008"/>
    <n v="-7176.35"/>
  </r>
  <r>
    <x v="12"/>
    <x v="17"/>
    <x v="0"/>
    <s v="7906467"/>
    <n v="730010"/>
    <s v="Rental and Leases-Building (DO NOT USE)"/>
    <s v="Special Events"/>
    <x v="0"/>
    <m/>
    <n v="0"/>
    <n v="0"/>
    <n v="0"/>
    <n v="0"/>
    <n v="0"/>
    <n v="0"/>
    <n v="0"/>
    <n v="0"/>
    <n v="0"/>
    <n v="0"/>
    <n v="0"/>
    <n v="7176.35"/>
    <n v="7176.35"/>
    <n v="-438.92"/>
  </r>
  <r>
    <x v="0"/>
    <x v="17"/>
    <x v="0"/>
    <s v="7906467"/>
    <n v="742010"/>
    <s v="Postage-Regular"/>
    <s v="Special Events"/>
    <x v="0"/>
    <m/>
    <n v="0"/>
    <n v="0"/>
    <n v="0"/>
    <n v="0"/>
    <n v="0"/>
    <n v="2020.14"/>
    <n v="0"/>
    <n v="0"/>
    <n v="0"/>
    <n v="0"/>
    <n v="0"/>
    <n v="438.92"/>
    <n v="2459.06"/>
    <n v="0"/>
  </r>
  <r>
    <x v="0"/>
    <x v="17"/>
    <x v="0"/>
    <s v="7906467"/>
    <n v="743010"/>
    <s v="Dues--Institutional"/>
    <s v="Special Events"/>
    <x v="0"/>
    <m/>
    <n v="0"/>
    <n v="0"/>
    <n v="0"/>
    <n v="0"/>
    <n v="0"/>
    <n v="0"/>
    <n v="0"/>
    <n v="0"/>
    <n v="764.09"/>
    <n v="0"/>
    <n v="0"/>
    <n v="0"/>
    <n v="764.09"/>
    <n v="165.15"/>
  </r>
  <r>
    <x v="0"/>
    <x v="17"/>
    <x v="0"/>
    <s v="7906467"/>
    <n v="743030"/>
    <s v="Subscriptions--Institutional"/>
    <s v="Special Events"/>
    <x v="0"/>
    <m/>
    <n v="0"/>
    <n v="0"/>
    <n v="0"/>
    <n v="0"/>
    <n v="0"/>
    <n v="0"/>
    <n v="0"/>
    <n v="0"/>
    <n v="0"/>
    <n v="0"/>
    <n v="165.15"/>
    <n v="0"/>
    <n v="165.15"/>
    <n v="0"/>
  </r>
  <r>
    <x v="0"/>
    <x v="17"/>
    <x v="0"/>
    <s v="7906467"/>
    <n v="749510"/>
    <s v="Miscellaneous Expenses"/>
    <s v="Special Events"/>
    <x v="0"/>
    <m/>
    <n v="0"/>
    <n v="0"/>
    <n v="0"/>
    <n v="0"/>
    <n v="77.73"/>
    <n v="-77.73"/>
    <n v="0"/>
    <n v="0"/>
    <n v="0"/>
    <n v="0"/>
    <n v="0"/>
    <n v="0"/>
    <n v="0"/>
    <n v="-310"/>
  </r>
  <r>
    <x v="0"/>
    <x v="17"/>
    <x v="0"/>
    <s v="7906467"/>
    <n v="749510"/>
    <s v="Special Events"/>
    <s v="Special Events"/>
    <x v="0"/>
    <n v="4300"/>
    <n v="0"/>
    <n v="0"/>
    <n v="0"/>
    <n v="0"/>
    <n v="0"/>
    <n v="0"/>
    <n v="0"/>
    <n v="0"/>
    <n v="0"/>
    <n v="310"/>
    <n v="-310"/>
    <n v="0"/>
    <n v="0"/>
    <n v="0"/>
  </r>
  <r>
    <x v="0"/>
    <x v="17"/>
    <x v="0"/>
    <s v="7906467"/>
    <n v="749530"/>
    <s v="Travel"/>
    <s v="Special Events"/>
    <x v="0"/>
    <m/>
    <n v="0"/>
    <n v="0"/>
    <n v="75"/>
    <n v="5"/>
    <n v="0"/>
    <n v="0"/>
    <n v="0"/>
    <n v="0"/>
    <n v="0"/>
    <n v="0"/>
    <n v="0"/>
    <n v="0"/>
    <n v="80"/>
    <n v="17.399999999999999"/>
  </r>
  <r>
    <x v="0"/>
    <x v="17"/>
    <x v="0"/>
    <s v="7906467"/>
    <n v="749530"/>
    <s v="Mileage"/>
    <s v="Special Events"/>
    <x v="0"/>
    <n v="1001"/>
    <n v="0"/>
    <n v="0"/>
    <n v="124.81"/>
    <n v="99.74"/>
    <n v="3.82"/>
    <n v="7.09"/>
    <n v="39.81"/>
    <n v="0"/>
    <n v="4.0599999999999996"/>
    <n v="0"/>
    <n v="17.399999999999999"/>
    <n v="0"/>
    <n v="296.72999999999996"/>
    <n v="0"/>
  </r>
  <r>
    <x v="0"/>
    <x v="17"/>
    <x v="0"/>
    <s v="7906467"/>
    <n v="749535"/>
    <s v="Volunteer Recognition/Appreciation"/>
    <s v="Special Events"/>
    <x v="0"/>
    <n v="1006"/>
    <n v="0"/>
    <n v="0"/>
    <n v="0"/>
    <n v="0"/>
    <n v="0"/>
    <n v="77.73"/>
    <n v="0"/>
    <n v="0"/>
    <n v="0"/>
    <n v="0"/>
    <n v="0"/>
    <n v="0"/>
    <n v="77.73"/>
    <n v="0"/>
  </r>
  <r>
    <x v="11"/>
    <x v="16"/>
    <x v="0"/>
    <s v="7908460"/>
    <n v="721810"/>
    <s v="Supplies-Dietary/Cafeteria"/>
    <s v="Donor Relations"/>
    <x v="0"/>
    <m/>
    <n v="0"/>
    <n v="1455.04"/>
    <n v="0"/>
    <n v="0"/>
    <n v="0"/>
    <n v="0"/>
    <n v="0"/>
    <n v="0"/>
    <n v="0"/>
    <n v="0"/>
    <n v="0"/>
    <n v="0"/>
    <n v="1455.04"/>
    <n v="0"/>
  </r>
  <r>
    <x v="11"/>
    <x v="16"/>
    <x v="0"/>
    <s v="7908460"/>
    <n v="721980"/>
    <s v="Supplies-Other"/>
    <s v="Donor Relations"/>
    <x v="0"/>
    <m/>
    <n v="0"/>
    <n v="0"/>
    <n v="0"/>
    <n v="35.21"/>
    <n v="0"/>
    <n v="0"/>
    <n v="0"/>
    <n v="0"/>
    <n v="0"/>
    <n v="0"/>
    <n v="0"/>
    <n v="0"/>
    <n v="35.21"/>
    <n v="0"/>
  </r>
  <r>
    <x v="0"/>
    <x v="16"/>
    <x v="0"/>
    <s v="7908460"/>
    <n v="742040"/>
    <s v="Freight-Other"/>
    <s v="Donor Relations"/>
    <x v="0"/>
    <m/>
    <n v="0"/>
    <n v="0"/>
    <n v="0"/>
    <n v="101.56"/>
    <n v="0"/>
    <n v="0"/>
    <n v="0"/>
    <n v="0"/>
    <n v="0"/>
    <n v="0"/>
    <n v="0"/>
    <n v="0"/>
    <n v="101.56"/>
    <n v="0"/>
  </r>
  <r>
    <x v="0"/>
    <x v="16"/>
    <x v="0"/>
    <s v="7908460"/>
    <n v="749535"/>
    <s v="Volunteer Recognition/Appreciation"/>
    <s v="Donor Relations"/>
    <x v="0"/>
    <n v="1006"/>
    <n v="533.49"/>
    <n v="0"/>
    <n v="93.7"/>
    <n v="-101.56"/>
    <n v="0"/>
    <n v="0"/>
    <n v="0"/>
    <n v="0"/>
    <n v="0"/>
    <n v="0"/>
    <n v="0"/>
    <n v="0"/>
    <n v="525.63000000000011"/>
    <n v="236.22"/>
  </r>
  <r>
    <x v="6"/>
    <x v="17"/>
    <x v="0"/>
    <s v="7908467"/>
    <n v="713096"/>
    <s v="Employee Recognition"/>
    <s v="Donor Relations"/>
    <x v="0"/>
    <n v="1017"/>
    <n v="0"/>
    <n v="0"/>
    <n v="88.22"/>
    <n v="0"/>
    <n v="0"/>
    <n v="0"/>
    <n v="0"/>
    <n v="0"/>
    <n v="0"/>
    <n v="0"/>
    <n v="236.22"/>
    <n v="0"/>
    <n v="324.44"/>
    <n v="0"/>
  </r>
  <r>
    <x v="7"/>
    <x v="17"/>
    <x v="0"/>
    <s v="7908467"/>
    <n v="718050"/>
    <s v="Contract Services-Food&amp;Catering"/>
    <s v="Donor Relations"/>
    <x v="0"/>
    <n v="1030"/>
    <n v="0"/>
    <n v="0"/>
    <n v="0"/>
    <n v="0"/>
    <n v="0"/>
    <n v="0"/>
    <n v="874.18"/>
    <n v="0"/>
    <n v="0"/>
    <n v="0"/>
    <n v="0"/>
    <n v="0"/>
    <n v="874.18"/>
    <n v="0"/>
  </r>
  <r>
    <x v="11"/>
    <x v="17"/>
    <x v="0"/>
    <s v="7908467"/>
    <n v="721810"/>
    <s v="Supplies-Dietary/Cafeteria"/>
    <s v="Donor Relations"/>
    <x v="0"/>
    <m/>
    <n v="0"/>
    <n v="0"/>
    <n v="0"/>
    <n v="0"/>
    <n v="0"/>
    <n v="0"/>
    <n v="0"/>
    <n v="0"/>
    <n v="0"/>
    <n v="13.33"/>
    <n v="0"/>
    <n v="0"/>
    <n v="13.33"/>
    <n v="-145.85"/>
  </r>
  <r>
    <x v="0"/>
    <x v="17"/>
    <x v="0"/>
    <s v="7908467"/>
    <n v="742010"/>
    <s v="Postage-Regular"/>
    <s v="Donor Relations"/>
    <x v="0"/>
    <m/>
    <n v="0"/>
    <n v="0"/>
    <n v="0"/>
    <n v="0"/>
    <n v="0"/>
    <n v="0"/>
    <n v="0"/>
    <n v="0"/>
    <n v="0"/>
    <n v="0"/>
    <n v="0"/>
    <n v="145.85"/>
    <n v="145.85"/>
    <n v="0"/>
  </r>
  <r>
    <x v="0"/>
    <x v="17"/>
    <x v="0"/>
    <s v="7908467"/>
    <n v="743020"/>
    <s v="Dues--Individual"/>
    <s v="Donor Relations"/>
    <x v="0"/>
    <m/>
    <n v="0"/>
    <n v="0"/>
    <n v="0"/>
    <n v="0"/>
    <n v="0"/>
    <n v="0"/>
    <n v="35"/>
    <n v="0"/>
    <n v="0"/>
    <n v="0"/>
    <n v="0"/>
    <n v="0"/>
    <n v="35"/>
    <n v="160"/>
  </r>
  <r>
    <x v="0"/>
    <x v="17"/>
    <x v="0"/>
    <s v="7908467"/>
    <n v="749510"/>
    <s v="Miscellaneous Expenses"/>
    <s v="Donor Relations"/>
    <x v="0"/>
    <m/>
    <n v="0"/>
    <n v="0"/>
    <n v="0"/>
    <n v="320"/>
    <n v="0"/>
    <n v="206.86"/>
    <n v="0"/>
    <n v="0"/>
    <n v="0"/>
    <n v="0"/>
    <n v="160"/>
    <n v="0"/>
    <n v="686.86"/>
    <n v="16.240000000000002"/>
  </r>
  <r>
    <x v="0"/>
    <x v="17"/>
    <x v="0"/>
    <s v="7908467"/>
    <n v="749530"/>
    <s v="Mileage"/>
    <s v="Donor Relations"/>
    <x v="0"/>
    <n v="1001"/>
    <n v="0"/>
    <n v="0"/>
    <n v="0"/>
    <n v="0"/>
    <n v="0"/>
    <n v="0"/>
    <n v="0"/>
    <n v="4.37"/>
    <n v="0"/>
    <n v="0"/>
    <n v="56.84"/>
    <n v="40.6"/>
    <n v="101.81"/>
    <n v="0"/>
  </r>
  <r>
    <x v="0"/>
    <x v="17"/>
    <x v="0"/>
    <s v="7908467"/>
    <n v="749535"/>
    <s v="Volunteer Recognition/Appreciation"/>
    <s v="Donor Relations"/>
    <x v="0"/>
    <n v="1006"/>
    <n v="0"/>
    <n v="0"/>
    <n v="146.88"/>
    <n v="0"/>
    <n v="0"/>
    <n v="320"/>
    <n v="585"/>
    <n v="0"/>
    <n v="0"/>
    <n v="0"/>
    <n v="0"/>
    <n v="0"/>
    <n v="1051.8800000000001"/>
    <n v="618.59000000000015"/>
  </r>
  <r>
    <x v="5"/>
    <x v="16"/>
    <x v="0"/>
    <s v="7909460"/>
    <n v="700014"/>
    <s v="Salaries-Management-Productive"/>
    <s v="Grants Support"/>
    <x v="0"/>
    <m/>
    <n v="590.1"/>
    <n v="590.13"/>
    <n v="913.57"/>
    <n v="895.38"/>
    <n v="870.14"/>
    <n v="585.94000000000005"/>
    <n v="737.86"/>
    <n v="842.4"/>
    <n v="778.5"/>
    <n v="3595.05"/>
    <n v="3354.96"/>
    <n v="2736.37"/>
    <n v="16490.399999999998"/>
    <n v="72.42"/>
  </r>
  <r>
    <x v="5"/>
    <x v="16"/>
    <x v="0"/>
    <s v="7909460"/>
    <n v="700014"/>
    <s v="Salaries-Management-Other"/>
    <s v="Grants Support"/>
    <x v="0"/>
    <n v="2000"/>
    <n v="107.94"/>
    <n v="107.95"/>
    <n v="153.75"/>
    <n v="124.55"/>
    <n v="120.54"/>
    <n v="124.55"/>
    <n v="124.75"/>
    <n v="112.67"/>
    <n v="124.73"/>
    <n v="125.22"/>
    <n v="34.64"/>
    <n v="-37.78"/>
    <n v="1223.51"/>
    <n v="0"/>
  </r>
  <r>
    <x v="5"/>
    <x v="16"/>
    <x v="0"/>
    <s v="7909460"/>
    <n v="700018"/>
    <s v="Salaries-Supervisory-Productive"/>
    <s v="Grants Support"/>
    <x v="0"/>
    <m/>
    <n v="674.14"/>
    <n v="578.52"/>
    <n v="944.34"/>
    <n v="844.78"/>
    <n v="-305.37"/>
    <n v="0"/>
    <n v="0"/>
    <n v="0"/>
    <n v="0"/>
    <n v="0"/>
    <n v="-182.43"/>
    <n v="-182.43"/>
    <n v="2371.5500000000002"/>
    <n v="-651.62"/>
  </r>
  <r>
    <x v="5"/>
    <x v="16"/>
    <x v="0"/>
    <s v="7909460"/>
    <n v="700034"/>
    <s v="Salaries-Tech/Professional-Productive"/>
    <s v="Grants Support"/>
    <x v="0"/>
    <m/>
    <n v="2224.5300000000002"/>
    <n v="2631.02"/>
    <n v="4156.41"/>
    <n v="2786.54"/>
    <n v="3420.83"/>
    <n v="2569.3200000000002"/>
    <n v="3119.7"/>
    <n v="2024.73"/>
    <n v="3252.55"/>
    <n v="4445.72"/>
    <n v="736.38"/>
    <n v="1388"/>
    <n v="32755.730000000003"/>
    <n v="0"/>
  </r>
  <r>
    <x v="5"/>
    <x v="16"/>
    <x v="0"/>
    <s v="7909460"/>
    <n v="700034"/>
    <s v="Salaries-Tech/Professional-Other"/>
    <s v="Grants Support"/>
    <x v="0"/>
    <n v="2000"/>
    <n v="0"/>
    <n v="3.9"/>
    <n v="0.6"/>
    <n v="0"/>
    <n v="0"/>
    <n v="0"/>
    <n v="0"/>
    <n v="0"/>
    <n v="0"/>
    <n v="4.51"/>
    <n v="-0.6"/>
    <n v="-0.6"/>
    <n v="7.8100000000000005"/>
    <n v="351.06"/>
  </r>
  <r>
    <x v="5"/>
    <x v="16"/>
    <x v="0"/>
    <s v="7909460"/>
    <n v="700038"/>
    <s v="Salaries-Service/Support-Productive"/>
    <s v="Grants Support"/>
    <x v="0"/>
    <m/>
    <n v="894.8"/>
    <n v="1053.03"/>
    <n v="1338.18"/>
    <n v="2296.06"/>
    <n v="1599.06"/>
    <n v="2014.28"/>
    <n v="1907.71"/>
    <n v="1712.36"/>
    <n v="2066.41"/>
    <n v="2062.9499999999998"/>
    <n v="790.14"/>
    <n v="439.08"/>
    <n v="18174.060000000001"/>
    <n v="54.040000000000006"/>
  </r>
  <r>
    <x v="5"/>
    <x v="16"/>
    <x v="0"/>
    <s v="7909460"/>
    <n v="700038"/>
    <s v="Salaries-Service/Support-OT"/>
    <s v="Grants Support"/>
    <x v="0"/>
    <n v="1000"/>
    <n v="1.23"/>
    <n v="12.79"/>
    <n v="4.99"/>
    <n v="55.25"/>
    <n v="5.15"/>
    <n v="144.93"/>
    <n v="87.96"/>
    <n v="2.2000000000000002"/>
    <n v="128.87"/>
    <n v="207.61"/>
    <n v="174.87"/>
    <n v="120.83"/>
    <n v="946.68000000000006"/>
    <n v="-300.05"/>
  </r>
  <r>
    <x v="5"/>
    <x v="16"/>
    <x v="0"/>
    <s v="7909460"/>
    <n v="700054"/>
    <s v="Salaries-Management-Non-productive"/>
    <s v="Grants Support"/>
    <x v="0"/>
    <m/>
    <n v="172.12"/>
    <n v="172.12"/>
    <n v="172.12"/>
    <n v="0"/>
    <n v="0"/>
    <n v="313.25"/>
    <n v="162.72"/>
    <n v="-29.04"/>
    <n v="122"/>
    <n v="0"/>
    <n v="3.56"/>
    <n v="303.61"/>
    <n v="1392.46"/>
    <n v="0"/>
  </r>
  <r>
    <x v="5"/>
    <x v="16"/>
    <x v="0"/>
    <s v="7909460"/>
    <n v="700054"/>
    <s v="Salaries-Management-NonProd-Other"/>
    <s v="Grants Support"/>
    <x v="0"/>
    <n v="2000"/>
    <n v="0"/>
    <n v="0"/>
    <n v="0"/>
    <n v="0"/>
    <n v="0"/>
    <n v="159.99"/>
    <n v="0"/>
    <n v="-159.99"/>
    <n v="0"/>
    <n v="0"/>
    <n v="0"/>
    <n v="0"/>
    <n v="0"/>
    <n v="9.9999999999997868E-3"/>
  </r>
  <r>
    <x v="5"/>
    <x v="16"/>
    <x v="0"/>
    <s v="7909460"/>
    <n v="700058"/>
    <s v="Salaries-Supervisory-Non-productive"/>
    <s v="Grants Support"/>
    <x v="0"/>
    <m/>
    <n v="31.89"/>
    <n v="127.54"/>
    <n v="61.32"/>
    <n v="0"/>
    <n v="0"/>
    <n v="0"/>
    <n v="0"/>
    <n v="0"/>
    <n v="0"/>
    <n v="0"/>
    <n v="-14.71"/>
    <n v="-14.72"/>
    <n v="191.32"/>
    <n v="1332.81"/>
  </r>
  <r>
    <x v="5"/>
    <x v="16"/>
    <x v="0"/>
    <s v="7909460"/>
    <n v="700074"/>
    <s v="Salaries-Tech/Professional-Non-productive"/>
    <s v="Grants Support"/>
    <x v="0"/>
    <m/>
    <n v="326.7"/>
    <n v="498.88"/>
    <n v="701.46"/>
    <n v="68.900000000000006"/>
    <n v="0"/>
    <n v="978.99"/>
    <n v="208.79"/>
    <n v="981.35"/>
    <n v="75.63"/>
    <n v="46.07"/>
    <n v="904.56"/>
    <n v="-428.25"/>
    <n v="4363.08"/>
    <n v="58.09"/>
  </r>
  <r>
    <x v="5"/>
    <x v="16"/>
    <x v="0"/>
    <s v="7909460"/>
    <n v="700078"/>
    <s v="Salaries-Service/Support-Non-productive"/>
    <s v="Grants Support"/>
    <x v="0"/>
    <m/>
    <n v="184.07"/>
    <n v="24.52"/>
    <n v="201.69"/>
    <n v="16.28"/>
    <n v="172.22"/>
    <n v="162.94999999999999"/>
    <n v="238.4"/>
    <n v="195.16"/>
    <n v="70.78"/>
    <n v="0"/>
    <n v="31.88"/>
    <n v="-26.21"/>
    <n v="1271.74"/>
    <n v="-53.049999999999955"/>
  </r>
  <r>
    <x v="5"/>
    <x v="16"/>
    <x v="0"/>
    <s v="7909460"/>
    <n v="700084"/>
    <s v="Accrued PTO"/>
    <s v="Grants Support"/>
    <x v="0"/>
    <m/>
    <n v="33.94"/>
    <n v="-197.7"/>
    <n v="-15.63"/>
    <n v="630.29999999999995"/>
    <n v="-1044.58"/>
    <n v="-341.46"/>
    <n v="50.64"/>
    <n v="-259.85000000000002"/>
    <n v="365.86"/>
    <n v="667.03"/>
    <n v="383.47"/>
    <n v="436.52"/>
    <n v="708.54000000000008"/>
    <n v="118.98000000000002"/>
  </r>
  <r>
    <x v="6"/>
    <x v="16"/>
    <x v="0"/>
    <s v="7909460"/>
    <n v="713010"/>
    <s v="Benefits-FICA/Medicare"/>
    <s v="Grants Support"/>
    <x v="0"/>
    <m/>
    <n v="376.51"/>
    <n v="422.01"/>
    <n v="630.33000000000004"/>
    <n v="526.88"/>
    <n v="432.3"/>
    <n v="519.07000000000005"/>
    <n v="483.57"/>
    <n v="440.76"/>
    <n v="486.03"/>
    <n v="782.36"/>
    <n v="432.86"/>
    <n v="313.88"/>
    <n v="5846.5599999999995"/>
    <n v="626.38"/>
  </r>
  <r>
    <x v="6"/>
    <x v="16"/>
    <x v="0"/>
    <s v="7909460"/>
    <n v="713090"/>
    <s v="Benefits-Allocated Amounts"/>
    <s v="Grants Support"/>
    <x v="0"/>
    <m/>
    <n v="1150.6600000000001"/>
    <n v="1137.1199999999999"/>
    <n v="1831.1"/>
    <n v="1446.13"/>
    <n v="1069.02"/>
    <n v="1443.74"/>
    <n v="1453.39"/>
    <n v="1336.21"/>
    <n v="1524.51"/>
    <n v="1932.06"/>
    <n v="931.88"/>
    <n v="305.5"/>
    <n v="15561.319999999998"/>
    <n v="-70"/>
  </r>
  <r>
    <x v="0"/>
    <x v="16"/>
    <x v="0"/>
    <s v="7909460"/>
    <n v="743040"/>
    <s v="Subscriptions--Individual"/>
    <s v="Grants Support"/>
    <x v="0"/>
    <m/>
    <n v="0"/>
    <n v="0"/>
    <n v="0"/>
    <n v="0"/>
    <n v="0"/>
    <n v="0"/>
    <n v="0"/>
    <n v="0"/>
    <n v="0"/>
    <n v="0"/>
    <n v="0"/>
    <n v="70"/>
    <n v="70"/>
    <n v="-35.96"/>
  </r>
  <r>
    <x v="0"/>
    <x v="16"/>
    <x v="0"/>
    <s v="7909460"/>
    <n v="749530"/>
    <s v="Mileage"/>
    <s v="Grants Support"/>
    <x v="0"/>
    <n v="1001"/>
    <n v="0"/>
    <n v="0"/>
    <n v="0"/>
    <n v="0"/>
    <n v="0"/>
    <n v="0"/>
    <n v="0"/>
    <n v="0"/>
    <n v="25.52"/>
    <n v="-25.52"/>
    <n v="0"/>
    <n v="35.96"/>
    <n v="35.96"/>
    <n v="0"/>
  </r>
  <r>
    <x v="5"/>
    <x v="17"/>
    <x v="0"/>
    <s v="7909467"/>
    <n v="700014"/>
    <s v="Salaries-Management-Productive"/>
    <s v="Grants Support"/>
    <x v="0"/>
    <m/>
    <n v="272.35000000000002"/>
    <n v="272.37"/>
    <n v="-544.72"/>
    <n v="0"/>
    <n v="0"/>
    <n v="0"/>
    <n v="0"/>
    <n v="0"/>
    <n v="0"/>
    <n v="0"/>
    <n v="0"/>
    <n v="0"/>
    <n v="0"/>
    <n v="0"/>
  </r>
  <r>
    <x v="5"/>
    <x v="17"/>
    <x v="0"/>
    <s v="7909467"/>
    <n v="700014"/>
    <s v="Salaries-Management-Other"/>
    <s v="Grants Support"/>
    <x v="0"/>
    <n v="2000"/>
    <n v="49.82"/>
    <n v="49.82"/>
    <n v="-99.64"/>
    <n v="0"/>
    <n v="0"/>
    <n v="0"/>
    <n v="0"/>
    <n v="0"/>
    <n v="0"/>
    <n v="0"/>
    <n v="0"/>
    <n v="0"/>
    <n v="0"/>
    <n v="0"/>
  </r>
  <r>
    <x v="5"/>
    <x v="17"/>
    <x v="0"/>
    <s v="7909467"/>
    <n v="700018"/>
    <s v="Salaries-Supervisory-Productive"/>
    <s v="Grants Support"/>
    <x v="0"/>
    <m/>
    <n v="311.14"/>
    <n v="267.01"/>
    <n v="-578.15"/>
    <n v="0"/>
    <n v="0"/>
    <n v="0"/>
    <n v="0"/>
    <n v="0"/>
    <n v="0"/>
    <n v="0"/>
    <n v="0"/>
    <n v="0"/>
    <n v="0"/>
    <n v="0"/>
  </r>
  <r>
    <x v="5"/>
    <x v="17"/>
    <x v="0"/>
    <s v="7909467"/>
    <n v="700034"/>
    <s v="Salaries-Tech/Professional-Productive"/>
    <s v="Grants Support"/>
    <x v="0"/>
    <m/>
    <n v="1026.71"/>
    <n v="1214.31"/>
    <n v="-2241.02"/>
    <n v="0"/>
    <n v="0"/>
    <n v="0"/>
    <n v="0"/>
    <n v="0"/>
    <n v="0"/>
    <n v="0"/>
    <n v="0"/>
    <n v="0"/>
    <n v="0"/>
    <n v="0"/>
  </r>
  <r>
    <x v="5"/>
    <x v="17"/>
    <x v="0"/>
    <s v="7909467"/>
    <n v="700034"/>
    <s v="Salaries-Tech/Professional-Other"/>
    <s v="Grants Support"/>
    <x v="0"/>
    <n v="2000"/>
    <n v="0"/>
    <n v="1.8"/>
    <n v="-1.8"/>
    <n v="0"/>
    <n v="0"/>
    <n v="0"/>
    <n v="0"/>
    <n v="0"/>
    <n v="0"/>
    <n v="0"/>
    <n v="0"/>
    <n v="0"/>
    <n v="0"/>
    <n v="0"/>
  </r>
  <r>
    <x v="5"/>
    <x v="17"/>
    <x v="0"/>
    <s v="7909467"/>
    <n v="700038"/>
    <s v="Salaries-Service/Support-Productive"/>
    <s v="Grants Support"/>
    <x v="0"/>
    <m/>
    <n v="412.98"/>
    <n v="486.02"/>
    <n v="-899"/>
    <n v="0"/>
    <n v="0"/>
    <n v="0"/>
    <n v="0"/>
    <n v="0"/>
    <n v="0"/>
    <n v="0"/>
    <n v="0"/>
    <n v="0"/>
    <n v="0"/>
    <n v="0"/>
  </r>
  <r>
    <x v="5"/>
    <x v="17"/>
    <x v="0"/>
    <s v="7909467"/>
    <n v="700038"/>
    <s v="Salaries-Service/Support-OT"/>
    <s v="Grants Support"/>
    <x v="0"/>
    <n v="1000"/>
    <n v="0.56999999999999995"/>
    <n v="5.9"/>
    <n v="-6.47"/>
    <n v="0"/>
    <n v="0"/>
    <n v="0"/>
    <n v="0"/>
    <n v="0"/>
    <n v="0"/>
    <n v="0"/>
    <n v="0"/>
    <n v="0"/>
    <n v="8.8817841970012523E-16"/>
    <n v="0"/>
  </r>
  <r>
    <x v="5"/>
    <x v="17"/>
    <x v="0"/>
    <s v="7909467"/>
    <n v="700054"/>
    <s v="Salaries-Management-Non-productive"/>
    <s v="Grants Support"/>
    <x v="0"/>
    <m/>
    <n v="79.44"/>
    <n v="79.44"/>
    <n v="-158.88"/>
    <n v="0"/>
    <n v="0"/>
    <n v="0"/>
    <n v="0"/>
    <n v="0"/>
    <n v="0"/>
    <n v="0"/>
    <n v="0"/>
    <n v="0"/>
    <n v="0"/>
    <n v="0"/>
  </r>
  <r>
    <x v="5"/>
    <x v="17"/>
    <x v="0"/>
    <s v="7909467"/>
    <n v="700058"/>
    <s v="Salaries-Supervisory-Non-productive"/>
    <s v="Grants Support"/>
    <x v="0"/>
    <m/>
    <n v="14.72"/>
    <n v="58.86"/>
    <n v="-73.58"/>
    <n v="0"/>
    <n v="0"/>
    <n v="0"/>
    <n v="0"/>
    <n v="0"/>
    <n v="0"/>
    <n v="0"/>
    <n v="0"/>
    <n v="0"/>
    <n v="0"/>
    <n v="0"/>
  </r>
  <r>
    <x v="5"/>
    <x v="17"/>
    <x v="0"/>
    <s v="7909467"/>
    <n v="700074"/>
    <s v="Salaries-Tech/Professional-Non-productive"/>
    <s v="Grants Support"/>
    <x v="0"/>
    <m/>
    <n v="150.79"/>
    <n v="230.25"/>
    <n v="-381.04"/>
    <n v="0"/>
    <n v="0"/>
    <n v="0"/>
    <n v="0"/>
    <n v="0"/>
    <n v="0"/>
    <n v="0"/>
    <n v="0"/>
    <n v="0"/>
    <n v="-5.6843418860808015E-14"/>
    <n v="0"/>
  </r>
  <r>
    <x v="5"/>
    <x v="17"/>
    <x v="0"/>
    <s v="7909467"/>
    <n v="700078"/>
    <s v="Salaries-Service/Support-Non-productive"/>
    <s v="Grants Support"/>
    <x v="0"/>
    <m/>
    <n v="84.95"/>
    <n v="11.32"/>
    <n v="-96.27"/>
    <n v="0"/>
    <n v="0"/>
    <n v="0"/>
    <n v="0"/>
    <n v="0"/>
    <n v="0"/>
    <n v="0"/>
    <n v="0"/>
    <n v="0"/>
    <n v="1.4210854715202004E-14"/>
    <n v="0"/>
  </r>
  <r>
    <x v="5"/>
    <x v="17"/>
    <x v="0"/>
    <s v="7909467"/>
    <n v="700084"/>
    <s v="Accrued PTO"/>
    <s v="Grants Support"/>
    <x v="0"/>
    <m/>
    <n v="15.66"/>
    <n v="-91.24"/>
    <n v="75.58"/>
    <n v="0"/>
    <n v="0"/>
    <n v="0"/>
    <n v="0"/>
    <n v="0"/>
    <n v="0"/>
    <n v="0"/>
    <n v="0"/>
    <n v="0"/>
    <n v="0"/>
    <n v="0"/>
  </r>
  <r>
    <x v="6"/>
    <x v="17"/>
    <x v="0"/>
    <s v="7909467"/>
    <n v="713010"/>
    <s v="Benefits-FICA/Medicare"/>
    <s v="Grants Support"/>
    <x v="0"/>
    <m/>
    <n v="173.77"/>
    <n v="194.78"/>
    <n v="-368.55"/>
    <n v="0"/>
    <n v="0"/>
    <n v="0"/>
    <n v="0"/>
    <n v="0"/>
    <n v="0"/>
    <n v="0"/>
    <n v="0"/>
    <n v="0"/>
    <n v="0"/>
    <n v="0"/>
  </r>
  <r>
    <x v="6"/>
    <x v="17"/>
    <x v="0"/>
    <s v="7909467"/>
    <n v="713090"/>
    <s v="Benefits-Allocated Amounts"/>
    <s v="Grants Support"/>
    <x v="0"/>
    <m/>
    <n v="531.07000000000005"/>
    <n v="524.83000000000004"/>
    <n v="-1055.9000000000001"/>
    <n v="0"/>
    <n v="0"/>
    <n v="0"/>
    <n v="0"/>
    <n v="0"/>
    <n v="0"/>
    <n v="0"/>
    <n v="0"/>
    <n v="0"/>
    <n v="0"/>
    <n v="38.020000000000003"/>
  </r>
  <r>
    <x v="0"/>
    <x v="17"/>
    <x v="0"/>
    <s v="7909467"/>
    <n v="749510"/>
    <s v="Miscellaneous Expenses"/>
    <s v="Grants Support"/>
    <x v="0"/>
    <m/>
    <n v="0"/>
    <n v="0"/>
    <n v="0"/>
    <n v="0"/>
    <n v="0"/>
    <n v="0"/>
    <n v="0"/>
    <n v="0"/>
    <n v="0"/>
    <n v="0"/>
    <n v="38.020000000000003"/>
    <n v="0"/>
    <n v="38.020000000000003"/>
    <n v="0"/>
  </r>
  <r>
    <x v="0"/>
    <x v="17"/>
    <x v="0"/>
    <s v="7909467"/>
    <n v="749530"/>
    <s v="Mileage"/>
    <s v="Grants Support"/>
    <x v="0"/>
    <n v="1001"/>
    <n v="0"/>
    <n v="0"/>
    <n v="0"/>
    <n v="0"/>
    <n v="0"/>
    <n v="0"/>
    <n v="30.52"/>
    <n v="0"/>
    <n v="0"/>
    <n v="0"/>
    <n v="0"/>
    <n v="0"/>
    <n v="30.52"/>
    <n v="-506.23999999999978"/>
  </r>
  <r>
    <x v="5"/>
    <x v="5"/>
    <x v="0"/>
    <s v="7910106"/>
    <n v="700014"/>
    <s v="Salaries-Management-Productive"/>
    <s v="Foundation Mgmt"/>
    <x v="0"/>
    <m/>
    <n v="9015.06"/>
    <n v="9630.81"/>
    <n v="738.78"/>
    <n v="12204.77"/>
    <n v="9476.32"/>
    <n v="8781.74"/>
    <n v="6043.1"/>
    <n v="9648.56"/>
    <n v="9806.89"/>
    <n v="9490.23"/>
    <n v="8952.76"/>
    <n v="9459"/>
    <n v="103248.01999999999"/>
    <n v="928.54"/>
  </r>
  <r>
    <x v="5"/>
    <x v="5"/>
    <x v="0"/>
    <s v="7910106"/>
    <n v="700034"/>
    <s v="Salaries-Tech/Professional-Productive"/>
    <s v="Foundation Mgmt"/>
    <x v="0"/>
    <m/>
    <n v="4767.71"/>
    <n v="11075.18"/>
    <n v="3967.43"/>
    <n v="5410.42"/>
    <n v="5151.29"/>
    <n v="4018.19"/>
    <n v="4540.26"/>
    <n v="4987.01"/>
    <n v="4952.67"/>
    <n v="5055.66"/>
    <n v="5090.2299999999996"/>
    <n v="4161.6899999999996"/>
    <n v="63177.740000000005"/>
    <n v="1658.9600000000009"/>
  </r>
  <r>
    <x v="5"/>
    <x v="5"/>
    <x v="0"/>
    <s v="7910106"/>
    <n v="700038"/>
    <s v="Salaries-Service/Support-Productive"/>
    <s v="Foundation Mgmt"/>
    <x v="0"/>
    <m/>
    <n v="7373.31"/>
    <n v="16493.37"/>
    <n v="5146.97"/>
    <n v="4513.6499999999996"/>
    <n v="4385.03"/>
    <n v="3060.54"/>
    <n v="3780.27"/>
    <n v="8019.19"/>
    <n v="7980.62"/>
    <n v="7458.65"/>
    <n v="8218.61"/>
    <n v="6559.65"/>
    <n v="82989.86"/>
    <n v="-324.14999999999998"/>
  </r>
  <r>
    <x v="5"/>
    <x v="5"/>
    <x v="0"/>
    <s v="7910106"/>
    <n v="700038"/>
    <s v="Salaries-Service/Support-OT"/>
    <s v="Foundation Mgmt"/>
    <x v="0"/>
    <n v="1000"/>
    <n v="11.09"/>
    <n v="183.62"/>
    <n v="134.91"/>
    <n v="1157.3499999999999"/>
    <n v="-365.36"/>
    <n v="-8.91"/>
    <n v="0"/>
    <n v="21.89"/>
    <n v="144.13999999999999"/>
    <n v="681.54"/>
    <n v="-191.53"/>
    <n v="132.62"/>
    <n v="1901.3599999999997"/>
    <n v="-32.17"/>
  </r>
  <r>
    <x v="5"/>
    <x v="5"/>
    <x v="0"/>
    <s v="7910106"/>
    <n v="700038"/>
    <s v="Salaries-Service/Support-Other"/>
    <s v="Foundation Mgmt"/>
    <x v="0"/>
    <n v="2000"/>
    <n v="0"/>
    <n v="10"/>
    <n v="0"/>
    <n v="83.81"/>
    <n v="-36.869999999999997"/>
    <n v="0"/>
    <n v="0"/>
    <n v="30.04"/>
    <n v="0"/>
    <n v="77.239999999999995"/>
    <n v="-32.17"/>
    <n v="0"/>
    <n v="132.05000000000001"/>
    <n v="822.44"/>
  </r>
  <r>
    <x v="5"/>
    <x v="5"/>
    <x v="0"/>
    <s v="7910106"/>
    <n v="700054"/>
    <s v="Salaries-Management-Non-productive"/>
    <s v="Foundation Mgmt"/>
    <x v="0"/>
    <m/>
    <n v="523.04"/>
    <n v="-92.27"/>
    <n v="8492.19"/>
    <n v="-2461.41"/>
    <n v="0"/>
    <n v="1010.78"/>
    <n v="3764.7"/>
    <n v="-790.77"/>
    <n v="0"/>
    <n v="0"/>
    <n v="854.12"/>
    <n v="31.68"/>
    <n v="11332.060000000001"/>
    <n v="0"/>
  </r>
  <r>
    <x v="5"/>
    <x v="5"/>
    <x v="0"/>
    <s v="7910106"/>
    <n v="700054"/>
    <s v="Salaries-Management-NonProd-Other"/>
    <s v="Foundation Mgmt"/>
    <x v="0"/>
    <n v="2000"/>
    <n v="0"/>
    <n v="0"/>
    <n v="0"/>
    <n v="0"/>
    <n v="0"/>
    <n v="282.95999999999998"/>
    <n v="-282.95999999999998"/>
    <n v="0"/>
    <n v="0"/>
    <n v="0"/>
    <n v="0"/>
    <n v="0"/>
    <n v="0"/>
    <n v="-756.64"/>
  </r>
  <r>
    <x v="5"/>
    <x v="5"/>
    <x v="0"/>
    <s v="7910106"/>
    <n v="700074"/>
    <s v="Salaries-Tech/Professional-Non-productive"/>
    <s v="Foundation Mgmt"/>
    <x v="0"/>
    <m/>
    <n v="1051.2"/>
    <n v="0"/>
    <n v="361.54"/>
    <n v="-131.46"/>
    <n v="0"/>
    <n v="1304.98"/>
    <n v="791.23"/>
    <n v="-171.94"/>
    <n v="378.32"/>
    <n v="103.2"/>
    <n v="240.76"/>
    <n v="997.4"/>
    <n v="4925.2299999999996"/>
    <n v="-1232.48"/>
  </r>
  <r>
    <x v="5"/>
    <x v="5"/>
    <x v="0"/>
    <s v="7910106"/>
    <n v="700078"/>
    <s v="Salaries-Service/Support-Non-productive"/>
    <s v="Foundation Mgmt"/>
    <x v="0"/>
    <m/>
    <n v="1406.88"/>
    <n v="52.22"/>
    <n v="232.76"/>
    <n v="0"/>
    <n v="0"/>
    <n v="1470.83"/>
    <n v="758.14"/>
    <n v="221.88"/>
    <n v="347.67"/>
    <n v="622.1"/>
    <n v="131.79"/>
    <n v="1364.27"/>
    <n v="6608.5400000000009"/>
    <n v="-230.67000000000007"/>
  </r>
  <r>
    <x v="5"/>
    <x v="5"/>
    <x v="0"/>
    <s v="7910106"/>
    <n v="700084"/>
    <s v="Accrued PTO"/>
    <s v="Foundation Mgmt"/>
    <x v="0"/>
    <m/>
    <n v="-18.07"/>
    <n v="2018.44"/>
    <n v="-4417.3100000000004"/>
    <n v="2121.67"/>
    <n v="1607.01"/>
    <n v="-203.84"/>
    <n v="-2450.7199999999998"/>
    <n v="2247.1799999999998"/>
    <n v="1751.62"/>
    <n v="1887.1"/>
    <n v="1395.77"/>
    <n v="1626.44"/>
    <n v="7565.2900000000009"/>
    <n v="38.779999999999973"/>
  </r>
  <r>
    <x v="6"/>
    <x v="5"/>
    <x v="0"/>
    <s v="7910106"/>
    <n v="713010"/>
    <s v="Benefits-FICA/Medicare"/>
    <s v="Foundation Mgmt"/>
    <x v="0"/>
    <m/>
    <n v="1744.07"/>
    <n v="2754.22"/>
    <n v="1795.99"/>
    <n v="1502.36"/>
    <n v="1339.44"/>
    <n v="1433.85"/>
    <n v="1431.62"/>
    <n v="1577.6"/>
    <n v="1683.92"/>
    <n v="1678.54"/>
    <n v="1657.52"/>
    <n v="1618.74"/>
    <n v="20217.870000000003"/>
    <n v="-10.260000000000218"/>
  </r>
  <r>
    <x v="6"/>
    <x v="5"/>
    <x v="0"/>
    <s v="7910106"/>
    <n v="713090"/>
    <s v="Benefits-Allocated Amounts"/>
    <s v="Foundation Mgmt"/>
    <x v="0"/>
    <m/>
    <n v="6094.43"/>
    <n v="6863.95"/>
    <n v="4228.49"/>
    <n v="4694.33"/>
    <n v="4499.6000000000004"/>
    <n v="4485.21"/>
    <n v="4547.07"/>
    <n v="5996.64"/>
    <n v="5886.09"/>
    <n v="6117.87"/>
    <n v="5924.03"/>
    <n v="5934.29"/>
    <n v="65272"/>
    <n v="0"/>
  </r>
  <r>
    <x v="11"/>
    <x v="5"/>
    <x v="0"/>
    <s v="7910106"/>
    <n v="721810"/>
    <s v="Supplies-Dietary/Cafeteria"/>
    <s v="Foundation Mgmt"/>
    <x v="0"/>
    <m/>
    <n v="0"/>
    <n v="0"/>
    <n v="0"/>
    <n v="0"/>
    <n v="0"/>
    <n v="0"/>
    <n v="0"/>
    <n v="6.21"/>
    <n v="11.72"/>
    <n v="0"/>
    <n v="0"/>
    <n v="0"/>
    <n v="17.93"/>
    <n v="-555.84999999999991"/>
  </r>
  <r>
    <x v="11"/>
    <x v="5"/>
    <x v="0"/>
    <s v="7910106"/>
    <n v="721830"/>
    <s v="Supplies-Office"/>
    <s v="Foundation Mgmt"/>
    <x v="0"/>
    <m/>
    <n v="72.180000000000007"/>
    <n v="-72.180000000000007"/>
    <n v="0"/>
    <n v="272.60000000000002"/>
    <n v="-272.60000000000002"/>
    <n v="0"/>
    <n v="108.96"/>
    <n v="161.91999999999999"/>
    <n v="-270.88"/>
    <n v="646.78"/>
    <n v="-558.04999999999995"/>
    <n v="-2.2000000000000002"/>
    <n v="86.530000000000015"/>
    <n v="172.48"/>
  </r>
  <r>
    <x v="12"/>
    <x v="5"/>
    <x v="0"/>
    <s v="7910106"/>
    <n v="730020"/>
    <s v="Rental and Leases-Copier Usage Fees (DO NOT USE)"/>
    <s v="Foundation Mgmt"/>
    <x v="0"/>
    <n v="5100"/>
    <n v="-33.76"/>
    <n v="-49.93"/>
    <n v="-41.84"/>
    <n v="-41.85"/>
    <n v="-41.84"/>
    <n v="-41.84"/>
    <n v="456.78"/>
    <n v="0"/>
    <n v="-532.42999999999995"/>
    <n v="208.38"/>
    <n v="0"/>
    <n v="-172.48"/>
    <n v="-290.80999999999995"/>
    <n v="0"/>
  </r>
  <r>
    <x v="16"/>
    <x v="5"/>
    <x v="0"/>
    <s v="7910106"/>
    <n v="732030"/>
    <s v="Repairs---Other"/>
    <s v="Foundation Mgmt"/>
    <x v="0"/>
    <m/>
    <n v="0"/>
    <n v="0"/>
    <n v="190.3"/>
    <n v="0"/>
    <n v="0"/>
    <n v="0"/>
    <n v="0"/>
    <n v="0"/>
    <n v="0"/>
    <n v="0"/>
    <n v="0"/>
    <n v="0"/>
    <n v="190.3"/>
    <n v="-98.42"/>
  </r>
  <r>
    <x v="0"/>
    <x v="5"/>
    <x v="0"/>
    <s v="7910106"/>
    <n v="749510"/>
    <s v="Miscellaneous Expenses"/>
    <s v="Foundation Mgmt"/>
    <x v="0"/>
    <m/>
    <n v="0"/>
    <n v="2.75"/>
    <n v="-2.75"/>
    <n v="0"/>
    <n v="2.75"/>
    <n v="0"/>
    <n v="-2.75"/>
    <n v="-45.01"/>
    <n v="-45.01"/>
    <n v="0"/>
    <n v="0"/>
    <n v="98.42"/>
    <n v="8.4000000000000057"/>
    <n v="0"/>
  </r>
  <r>
    <x v="20"/>
    <x v="16"/>
    <x v="0"/>
    <s v="7910460"/>
    <n v="610010"/>
    <s v="Unrestricted Donations"/>
    <s v="Foundation Administration"/>
    <x v="0"/>
    <m/>
    <n v="0"/>
    <n v="0"/>
    <n v="0"/>
    <n v="0"/>
    <n v="0"/>
    <n v="0"/>
    <n v="0"/>
    <n v="0"/>
    <n v="-87716.03"/>
    <n v="0"/>
    <n v="0"/>
    <n v="0"/>
    <n v="-87716.03"/>
    <n v="-311.21000000000004"/>
  </r>
  <r>
    <x v="5"/>
    <x v="16"/>
    <x v="0"/>
    <s v="7910460"/>
    <n v="700014"/>
    <s v="Salaries-Management-Productive"/>
    <s v="Foundation Administration"/>
    <x v="0"/>
    <m/>
    <n v="317.76"/>
    <n v="317.75"/>
    <n v="-216.76"/>
    <n v="378.37"/>
    <n v="-25.25"/>
    <n v="413.53"/>
    <n v="-148.77000000000001"/>
    <n v="-233.23"/>
    <n v="557.38"/>
    <n v="1412.3"/>
    <n v="6068.81"/>
    <n v="6380.02"/>
    <n v="15221.91"/>
    <n v="165.17000000000002"/>
  </r>
  <r>
    <x v="5"/>
    <x v="16"/>
    <x v="0"/>
    <s v="7910460"/>
    <n v="700014"/>
    <s v="Salaries-Management-Other"/>
    <s v="Foundation Administration"/>
    <x v="0"/>
    <n v="2000"/>
    <n v="58.11"/>
    <n v="58.15"/>
    <n v="-42.33"/>
    <n v="57.87"/>
    <n v="-8.86"/>
    <n v="74.2"/>
    <n v="-24.32"/>
    <n v="-42.6"/>
    <n v="90.07"/>
    <n v="106.82"/>
    <n v="483.73"/>
    <n v="318.56"/>
    <n v="1129.4000000000001"/>
    <n v="364.83000000000004"/>
  </r>
  <r>
    <x v="5"/>
    <x v="16"/>
    <x v="0"/>
    <s v="7910460"/>
    <n v="700018"/>
    <s v="Salaries-Supervisory-Productive"/>
    <s v="Foundation Administration"/>
    <x v="0"/>
    <m/>
    <n v="363.01"/>
    <n v="311.49"/>
    <n v="-235.1"/>
    <n v="371.74"/>
    <n v="-263.87"/>
    <n v="182.43"/>
    <n v="-182.43"/>
    <n v="-182.42"/>
    <n v="182.41"/>
    <n v="182.43"/>
    <n v="912.14"/>
    <n v="547.30999999999995"/>
    <n v="2189.14"/>
    <n v="1925.5599999999995"/>
  </r>
  <r>
    <x v="5"/>
    <x v="16"/>
    <x v="0"/>
    <s v="7910460"/>
    <n v="700034"/>
    <s v="Salaries-Tech/Professional-Productive"/>
    <s v="Foundation Administration"/>
    <x v="0"/>
    <m/>
    <n v="1197.81"/>
    <n v="1416.73"/>
    <n v="-812.16"/>
    <n v="1343.89"/>
    <n v="-102.4"/>
    <n v="1699.76"/>
    <n v="-561.95000000000005"/>
    <n v="-1123.93"/>
    <n v="2179.38"/>
    <n v="2931.22"/>
    <n v="11996.63"/>
    <n v="10071.07"/>
    <n v="30236.05"/>
    <n v="1.21"/>
  </r>
  <r>
    <x v="5"/>
    <x v="16"/>
    <x v="0"/>
    <s v="7910460"/>
    <n v="700034"/>
    <s v="Salaries-Tech/Professional-Other"/>
    <s v="Foundation Administration"/>
    <x v="0"/>
    <n v="2000"/>
    <n v="0"/>
    <n v="2.1"/>
    <n v="-1.2"/>
    <n v="0.3"/>
    <n v="-0.3"/>
    <n v="0.3"/>
    <n v="-0.3"/>
    <n v="-0.3"/>
    <n v="0.3"/>
    <n v="1.51"/>
    <n v="3"/>
    <n v="1.79"/>
    <n v="7.2"/>
    <n v="1507.4700000000003"/>
  </r>
  <r>
    <x v="5"/>
    <x v="16"/>
    <x v="0"/>
    <s v="7910460"/>
    <n v="700038"/>
    <s v="Salaries-Service/Support-Productive"/>
    <s v="Foundation Administration"/>
    <x v="0"/>
    <m/>
    <n v="481.83"/>
    <n v="566.99"/>
    <n v="-391.63"/>
    <n v="831.36"/>
    <n v="-52.33"/>
    <n v="1015.89"/>
    <n v="-231.5"/>
    <n v="-511.88"/>
    <n v="1267.6500000000001"/>
    <n v="1542.23"/>
    <n v="6882.47"/>
    <n v="5375"/>
    <n v="16776.080000000002"/>
    <n v="14.259999999999991"/>
  </r>
  <r>
    <x v="5"/>
    <x v="16"/>
    <x v="0"/>
    <s v="7910460"/>
    <n v="700038"/>
    <s v="Salaries-Service/Support-OT"/>
    <s v="Foundation Administration"/>
    <x v="0"/>
    <n v="1000"/>
    <n v="0.65"/>
    <n v="6.9"/>
    <n v="-3.75"/>
    <n v="16.010000000000002"/>
    <n v="-3.92"/>
    <n v="43.93"/>
    <n v="2.65"/>
    <n v="-20.54"/>
    <n v="46.74"/>
    <n v="84.93"/>
    <n v="357.27"/>
    <n v="343.01"/>
    <n v="873.88"/>
    <n v="-174.84999999999997"/>
  </r>
  <r>
    <x v="5"/>
    <x v="16"/>
    <x v="0"/>
    <s v="7910460"/>
    <n v="700054"/>
    <s v="Salaries-Management-Non-productive"/>
    <s v="Foundation Administration"/>
    <x v="0"/>
    <m/>
    <n v="92.68"/>
    <n v="92.68"/>
    <n v="-82.09"/>
    <n v="34.43"/>
    <n v="-34.43"/>
    <n v="117.96"/>
    <n v="-22.76"/>
    <n v="-70.03"/>
    <n v="88.63"/>
    <n v="72.349999999999994"/>
    <n v="410.54"/>
    <n v="585.39"/>
    <n v="1285.3499999999999"/>
    <n v="0"/>
  </r>
  <r>
    <x v="5"/>
    <x v="16"/>
    <x v="0"/>
    <s v="7910460"/>
    <n v="700054"/>
    <s v="Salaries-Management-NonProd-Other"/>
    <s v="Foundation Administration"/>
    <x v="0"/>
    <n v="2000"/>
    <n v="0"/>
    <n v="0"/>
    <n v="0"/>
    <n v="0"/>
    <n v="0"/>
    <n v="42.67"/>
    <n v="-10.67"/>
    <n v="-32"/>
    <n v="0"/>
    <n v="0"/>
    <n v="0"/>
    <n v="0"/>
    <n v="0"/>
    <n v="29.419999999999995"/>
  </r>
  <r>
    <x v="5"/>
    <x v="16"/>
    <x v="0"/>
    <s v="7910460"/>
    <n v="700058"/>
    <s v="Salaries-Supervisory-Non-productive"/>
    <s v="Foundation Administration"/>
    <x v="0"/>
    <m/>
    <n v="17.14"/>
    <n v="68.72"/>
    <n v="-41.7"/>
    <n v="14.71"/>
    <n v="-14.71"/>
    <n v="14.7"/>
    <n v="-14.7"/>
    <n v="-14.72"/>
    <n v="14.72"/>
    <n v="14.72"/>
    <n v="73.569999999999993"/>
    <n v="44.15"/>
    <n v="176.6"/>
    <n v="1096.33"/>
  </r>
  <r>
    <x v="5"/>
    <x v="16"/>
    <x v="0"/>
    <s v="7910460"/>
    <n v="700074"/>
    <s v="Salaries-Tech/Professional-Non-productive"/>
    <s v="Foundation Administration"/>
    <x v="0"/>
    <m/>
    <n v="175.9"/>
    <n v="268.63"/>
    <n v="-139.12"/>
    <n v="120.17"/>
    <n v="-106.39"/>
    <n v="367.47"/>
    <n v="-129.91999999999999"/>
    <n v="-54.74"/>
    <n v="266.14999999999998"/>
    <n v="268.32"/>
    <n v="2043.65"/>
    <n v="947.32"/>
    <n v="4027.44"/>
    <n v="157.25"/>
  </r>
  <r>
    <x v="5"/>
    <x v="16"/>
    <x v="0"/>
    <s v="7910460"/>
    <n v="700078"/>
    <s v="Salaries-Service/Support-Non-productive"/>
    <s v="Foundation Administration"/>
    <x v="0"/>
    <m/>
    <n v="99.12"/>
    <n v="13.2"/>
    <n v="-30.27"/>
    <n v="31.7"/>
    <n v="6"/>
    <n v="83.37"/>
    <n v="-3.09"/>
    <n v="-40.64"/>
    <n v="93.84"/>
    <n v="84.41"/>
    <n v="496.75"/>
    <n v="339.5"/>
    <n v="1173.8899999999999"/>
    <n v="-274.58000000000004"/>
  </r>
  <r>
    <x v="5"/>
    <x v="16"/>
    <x v="0"/>
    <s v="7910460"/>
    <n v="700084"/>
    <s v="Accrued PTO"/>
    <s v="Foundation Administration"/>
    <x v="0"/>
    <m/>
    <n v="18.29"/>
    <n v="-106.48"/>
    <n v="52.32"/>
    <n v="156.12"/>
    <n v="-238.97"/>
    <n v="-130.66"/>
    <n v="72.48"/>
    <n v="24.31"/>
    <n v="-3.12"/>
    <n v="126"/>
    <n v="204.59"/>
    <n v="479.17"/>
    <n v="654.05000000000007"/>
    <n v="356.65000000000009"/>
  </r>
  <r>
    <x v="6"/>
    <x v="16"/>
    <x v="0"/>
    <s v="7910460"/>
    <n v="713010"/>
    <s v="Benefits-FICA/Medicare"/>
    <s v="Foundation Administration"/>
    <x v="0"/>
    <m/>
    <n v="202.76"/>
    <n v="227.19"/>
    <n v="-144.18"/>
    <n v="235.77"/>
    <n v="-43.92"/>
    <n v="297.60000000000002"/>
    <n v="-97.08"/>
    <n v="-167.28"/>
    <n v="352.65"/>
    <n v="496.43"/>
    <n v="2196.77"/>
    <n v="1840.12"/>
    <n v="5396.83"/>
    <n v="1430.5900000000001"/>
  </r>
  <r>
    <x v="6"/>
    <x v="16"/>
    <x v="0"/>
    <s v="7910460"/>
    <n v="713090"/>
    <s v="Benefits-Allocated Amounts"/>
    <s v="Foundation Administration"/>
    <x v="0"/>
    <m/>
    <n v="619.6"/>
    <n v="612.25"/>
    <n v="-408.08"/>
    <n v="660.24"/>
    <n v="-157.19999999999999"/>
    <n v="827.25"/>
    <n v="-247.82"/>
    <n v="-457.27"/>
    <n v="1029.4000000000001"/>
    <n v="1341.34"/>
    <n v="5987.59"/>
    <n v="4557"/>
    <n v="14364.3"/>
    <n v="0"/>
  </r>
  <r>
    <x v="6"/>
    <x v="16"/>
    <x v="0"/>
    <s v="7910460"/>
    <n v="713096"/>
    <s v="Employee Recognition"/>
    <s v="Foundation Administration"/>
    <x v="0"/>
    <n v="1017"/>
    <n v="0"/>
    <n v="0"/>
    <n v="0"/>
    <n v="0"/>
    <n v="0"/>
    <n v="0"/>
    <n v="100"/>
    <n v="0"/>
    <n v="0"/>
    <n v="0"/>
    <n v="0"/>
    <n v="0"/>
    <n v="100"/>
    <n v="0"/>
  </r>
  <r>
    <x v="7"/>
    <x v="16"/>
    <x v="0"/>
    <s v="7910460"/>
    <n v="718010"/>
    <s v="Contract Srvcs-Advertising/Sponsorships"/>
    <s v="Foundation Administration"/>
    <x v="0"/>
    <n v="1005"/>
    <n v="0"/>
    <n v="0"/>
    <n v="0"/>
    <n v="0"/>
    <n v="12000"/>
    <n v="0"/>
    <n v="0"/>
    <n v="0"/>
    <n v="0"/>
    <n v="0"/>
    <n v="0"/>
    <n v="0"/>
    <n v="12000"/>
    <n v="-1.2800000000000011"/>
  </r>
  <r>
    <x v="7"/>
    <x v="16"/>
    <x v="0"/>
    <s v="7910460"/>
    <n v="718050"/>
    <s v="Document Shredding/Storage"/>
    <s v="Foundation Administration"/>
    <x v="0"/>
    <n v="1012"/>
    <n v="53.84"/>
    <n v="6.51"/>
    <n v="127.74"/>
    <n v="82.9"/>
    <n v="20.239999999999998"/>
    <n v="38.76"/>
    <n v="38.369999999999997"/>
    <n v="-3.58"/>
    <n v="34.1"/>
    <n v="44.61"/>
    <n v="37.479999999999997"/>
    <n v="38.76"/>
    <n v="519.73000000000013"/>
    <n v="0"/>
  </r>
  <r>
    <x v="7"/>
    <x v="16"/>
    <x v="0"/>
    <s v="7910460"/>
    <n v="718050"/>
    <s v="Miscellaneous Purchased Svcs"/>
    <s v="Foundation Administration"/>
    <x v="0"/>
    <n v="1020"/>
    <n v="20089.86"/>
    <n v="46615.11"/>
    <n v="4316.95"/>
    <n v="213.74"/>
    <n v="0"/>
    <n v="412.5"/>
    <n v="407.63"/>
    <n v="1058.31"/>
    <n v="4214.38"/>
    <n v="81.25"/>
    <n v="0"/>
    <n v="0"/>
    <n v="77409.73000000001"/>
    <n v="0"/>
  </r>
  <r>
    <x v="7"/>
    <x v="16"/>
    <x v="0"/>
    <s v="7910460"/>
    <n v="718050"/>
    <s v="Printing"/>
    <s v="Foundation Administration"/>
    <x v="0"/>
    <n v="1021"/>
    <n v="0"/>
    <n v="34.46"/>
    <n v="217.72"/>
    <n v="0"/>
    <n v="1101.54"/>
    <n v="0"/>
    <n v="0"/>
    <n v="0"/>
    <n v="0"/>
    <n v="0"/>
    <n v="0"/>
    <n v="0"/>
    <n v="1353.72"/>
    <n v="0"/>
  </r>
  <r>
    <x v="7"/>
    <x v="16"/>
    <x v="0"/>
    <s v="7910460"/>
    <n v="718066"/>
    <s v="Contract Services-CHI Tax Services"/>
    <s v="Foundation Administration"/>
    <x v="0"/>
    <m/>
    <n v="1634"/>
    <n v="1634"/>
    <n v="1634"/>
    <n v="1634"/>
    <n v="1634"/>
    <n v="1634"/>
    <n v="1634"/>
    <n v="1634"/>
    <n v="1634"/>
    <n v="1634"/>
    <n v="1634"/>
    <n v="1634"/>
    <n v="19608"/>
    <n v="-65.08"/>
  </r>
  <r>
    <x v="11"/>
    <x v="16"/>
    <x v="0"/>
    <s v="7910460"/>
    <n v="721810"/>
    <s v="Supplies-Dietary/Cafeteria"/>
    <s v="Foundation Administration"/>
    <x v="0"/>
    <m/>
    <n v="18.03"/>
    <n v="195.83"/>
    <n v="0"/>
    <n v="0"/>
    <n v="0"/>
    <n v="0"/>
    <n v="0"/>
    <n v="0"/>
    <n v="0"/>
    <n v="174.52"/>
    <n v="0"/>
    <n v="65.08"/>
    <n v="453.46"/>
    <n v="1126.81"/>
  </r>
  <r>
    <x v="11"/>
    <x v="16"/>
    <x v="0"/>
    <s v="7910460"/>
    <n v="721830"/>
    <s v="Supplies-Office"/>
    <s v="Foundation Administration"/>
    <x v="0"/>
    <m/>
    <n v="58.99"/>
    <n v="52.4"/>
    <n v="106.23"/>
    <n v="455.71"/>
    <n v="104.62"/>
    <n v="182.54"/>
    <n v="71.67"/>
    <n v="270.05"/>
    <n v="470.42"/>
    <n v="-16.89"/>
    <n v="288.04000000000002"/>
    <n v="-838.77"/>
    <n v="1205.0099999999998"/>
    <n v="885.66"/>
  </r>
  <r>
    <x v="11"/>
    <x v="16"/>
    <x v="0"/>
    <s v="7910460"/>
    <n v="721835"/>
    <s v="Supplies-Forms"/>
    <s v="Foundation Administration"/>
    <x v="0"/>
    <m/>
    <n v="0"/>
    <n v="0"/>
    <n v="0"/>
    <n v="0"/>
    <n v="109.95"/>
    <n v="0"/>
    <n v="708.7"/>
    <n v="0"/>
    <n v="492.65"/>
    <n v="351.35"/>
    <n v="267.35000000000002"/>
    <n v="-618.30999999999995"/>
    <n v="1311.69"/>
    <n v="-346.63"/>
  </r>
  <r>
    <x v="11"/>
    <x v="16"/>
    <x v="0"/>
    <s v="7910460"/>
    <n v="721980"/>
    <s v="Supplies-Other"/>
    <s v="Foundation Administration"/>
    <x v="0"/>
    <m/>
    <n v="0"/>
    <n v="0"/>
    <n v="9.69"/>
    <n v="0"/>
    <n v="9.69"/>
    <n v="179.12"/>
    <n v="0"/>
    <n v="0"/>
    <n v="0"/>
    <n v="0"/>
    <n v="0"/>
    <n v="346.63"/>
    <n v="545.13"/>
    <n v="6983.34"/>
  </r>
  <r>
    <x v="12"/>
    <x v="16"/>
    <x v="0"/>
    <s v="7910460"/>
    <n v="730010"/>
    <s v="Rental and Leases-Building (DO NOT USE)"/>
    <s v="Foundation Administration"/>
    <x v="0"/>
    <m/>
    <n v="7621.41"/>
    <n v="7621.41"/>
    <n v="7784.38"/>
    <n v="7716.62"/>
    <n v="5612.45"/>
    <n v="7092.94"/>
    <n v="7092.94"/>
    <n v="7092.94"/>
    <n v="7092.94"/>
    <n v="7088.54"/>
    <n v="6983.34"/>
    <n v="0"/>
    <n v="78799.91"/>
    <n v="33.799999999999997"/>
  </r>
  <r>
    <x v="12"/>
    <x v="16"/>
    <x v="0"/>
    <s v="7910460"/>
    <n v="730010"/>
    <s v="Rental-Common Area Maint (DO NOT USE)"/>
    <s v="Foundation Administration"/>
    <x v="0"/>
    <n v="2200"/>
    <n v="0"/>
    <n v="0"/>
    <n v="0"/>
    <n v="0"/>
    <n v="0"/>
    <n v="0"/>
    <n v="0"/>
    <n v="319.22000000000003"/>
    <n v="34.33"/>
    <n v="33.799999999999997"/>
    <n v="33.799999999999997"/>
    <n v="0"/>
    <n v="421.15000000000003"/>
    <n v="105.2"/>
  </r>
  <r>
    <x v="12"/>
    <x v="16"/>
    <x v="0"/>
    <s v="7910460"/>
    <n v="730020"/>
    <s v="Rental and Leases-Equipment (DO NOT USE)"/>
    <s v="Foundation Administration"/>
    <x v="0"/>
    <m/>
    <n v="0"/>
    <n v="0"/>
    <n v="0"/>
    <n v="0"/>
    <n v="0"/>
    <n v="0"/>
    <n v="0"/>
    <n v="0"/>
    <n v="0"/>
    <n v="0"/>
    <n v="105.2"/>
    <n v="0"/>
    <n v="105.2"/>
    <n v="23.099999999999966"/>
  </r>
  <r>
    <x v="12"/>
    <x v="16"/>
    <x v="0"/>
    <s v="7910460"/>
    <n v="730020"/>
    <s v="Rental and Leases-Copier Usage Fees (DO NOT USE)"/>
    <s v="Foundation Administration"/>
    <x v="0"/>
    <n v="5100"/>
    <n v="682.38"/>
    <n v="680.88"/>
    <n v="681.63"/>
    <n v="681.63"/>
    <n v="681.63"/>
    <n v="681.63"/>
    <n v="-143.71"/>
    <n v="547.84"/>
    <n v="546.69000000000005"/>
    <n v="622.44000000000005"/>
    <n v="522.65"/>
    <n v="499.55"/>
    <n v="6685.2400000000007"/>
    <n v="-7122.34"/>
  </r>
  <r>
    <x v="12"/>
    <x v="16"/>
    <x v="0"/>
    <s v="7910460"/>
    <n v="730040"/>
    <s v="LT Lease-Real Estate"/>
    <s v="Foundation Administration"/>
    <x v="0"/>
    <m/>
    <n v="0"/>
    <n v="0"/>
    <n v="0"/>
    <n v="0"/>
    <n v="0"/>
    <n v="0"/>
    <n v="0"/>
    <n v="0"/>
    <n v="0"/>
    <n v="0"/>
    <n v="0"/>
    <n v="7122.34"/>
    <n v="7122.34"/>
    <n v="-0.23999999999999844"/>
  </r>
  <r>
    <x v="15"/>
    <x v="16"/>
    <x v="0"/>
    <s v="7910460"/>
    <n v="731060"/>
    <s v="Cell Phones"/>
    <s v="Foundation Administration"/>
    <x v="0"/>
    <n v="1001"/>
    <n v="0"/>
    <n v="0"/>
    <n v="0"/>
    <n v="0"/>
    <n v="0"/>
    <n v="0"/>
    <n v="0"/>
    <n v="0"/>
    <n v="26.57"/>
    <n v="34.19"/>
    <n v="16.5"/>
    <n v="16.739999999999998"/>
    <n v="93.999999999999986"/>
    <n v="0"/>
  </r>
  <r>
    <x v="15"/>
    <x v="16"/>
    <x v="0"/>
    <s v="7910460"/>
    <n v="731065"/>
    <s v="Data Communications"/>
    <s v="Foundation Administration"/>
    <x v="0"/>
    <m/>
    <n v="0"/>
    <n v="92.56"/>
    <n v="185.12"/>
    <n v="0"/>
    <n v="75.319999999999993"/>
    <n v="80.08"/>
    <n v="160.16999999999999"/>
    <n v="0"/>
    <n v="0"/>
    <n v="0"/>
    <n v="0"/>
    <n v="0"/>
    <n v="593.25"/>
    <n v="90"/>
  </r>
  <r>
    <x v="16"/>
    <x v="16"/>
    <x v="0"/>
    <s v="7910460"/>
    <n v="732030"/>
    <s v="Repairs---Other"/>
    <s v="Foundation Administration"/>
    <x v="0"/>
    <m/>
    <n v="0"/>
    <n v="0"/>
    <n v="0"/>
    <n v="0"/>
    <n v="0"/>
    <n v="0"/>
    <n v="0"/>
    <n v="0"/>
    <n v="0"/>
    <n v="0"/>
    <n v="0"/>
    <n v="-90"/>
    <n v="-90"/>
    <n v="0"/>
  </r>
  <r>
    <x v="16"/>
    <x v="16"/>
    <x v="0"/>
    <s v="7910460"/>
    <n v="732030"/>
    <s v="Repairs&amp;Maintenance-Bldg Routine"/>
    <s v="Foundation Administration"/>
    <x v="0"/>
    <n v="2300"/>
    <n v="0"/>
    <n v="0"/>
    <n v="0"/>
    <n v="0"/>
    <n v="0"/>
    <n v="0"/>
    <n v="0"/>
    <n v="0"/>
    <n v="40.42"/>
    <n v="0"/>
    <n v="0"/>
    <n v="0"/>
    <n v="40.42"/>
    <n v="29.47"/>
  </r>
  <r>
    <x v="0"/>
    <x v="16"/>
    <x v="0"/>
    <s v="7910460"/>
    <n v="740020"/>
    <s v="Education-Registration Fees"/>
    <s v="Foundation Administration"/>
    <x v="0"/>
    <m/>
    <n v="0"/>
    <n v="0"/>
    <n v="0"/>
    <n v="0"/>
    <n v="0"/>
    <n v="0"/>
    <n v="0"/>
    <n v="0"/>
    <n v="0"/>
    <n v="0"/>
    <n v="29.47"/>
    <n v="0"/>
    <n v="29.47"/>
    <n v="318.88"/>
  </r>
  <r>
    <x v="0"/>
    <x v="16"/>
    <x v="0"/>
    <s v="7910460"/>
    <n v="740030"/>
    <s v="Education-Travel"/>
    <s v="Foundation Administration"/>
    <x v="0"/>
    <m/>
    <n v="0"/>
    <n v="0"/>
    <n v="0"/>
    <n v="0"/>
    <n v="313.27"/>
    <n v="0"/>
    <n v="156.63999999999999"/>
    <n v="0"/>
    <n v="0"/>
    <n v="0"/>
    <n v="333.38"/>
    <n v="14.5"/>
    <n v="817.79"/>
    <n v="-40"/>
  </r>
  <r>
    <x v="8"/>
    <x v="16"/>
    <x v="0"/>
    <s v="7910460"/>
    <n v="741080"/>
    <s v="Insurance-State Filing Fees/Regulatory Fees"/>
    <s v="Foundation Administration"/>
    <x v="0"/>
    <m/>
    <n v="0"/>
    <n v="0"/>
    <n v="0"/>
    <n v="0"/>
    <n v="0"/>
    <n v="0"/>
    <n v="0"/>
    <n v="0"/>
    <n v="0"/>
    <n v="0"/>
    <n v="0"/>
    <n v="40"/>
    <n v="40"/>
    <n v="-593"/>
  </r>
  <r>
    <x v="0"/>
    <x v="16"/>
    <x v="0"/>
    <s v="7910460"/>
    <n v="742010"/>
    <s v="Postage-Regular"/>
    <s v="Foundation Administration"/>
    <x v="0"/>
    <m/>
    <n v="0"/>
    <n v="8.41"/>
    <n v="49.53"/>
    <n v="8.49"/>
    <n v="8.5299999999999994"/>
    <n v="80"/>
    <n v="532.58000000000004"/>
    <n v="28.53"/>
    <n v="735"/>
    <n v="0"/>
    <n v="0"/>
    <n v="593"/>
    <n v="2044.07"/>
    <n v="0"/>
  </r>
  <r>
    <x v="0"/>
    <x v="16"/>
    <x v="0"/>
    <s v="7910460"/>
    <n v="742040"/>
    <s v="Freight-Other"/>
    <s v="Foundation Administration"/>
    <x v="0"/>
    <m/>
    <n v="0"/>
    <n v="0"/>
    <n v="0"/>
    <n v="0"/>
    <n v="0"/>
    <n v="0"/>
    <n v="0"/>
    <n v="0"/>
    <n v="0"/>
    <n v="0"/>
    <n v="0"/>
    <n v="0"/>
    <n v="0"/>
    <n v="0"/>
  </r>
  <r>
    <x v="0"/>
    <x v="16"/>
    <x v="0"/>
    <s v="7910460"/>
    <n v="743010"/>
    <s v="Dues--Institutional"/>
    <s v="Foundation Administration"/>
    <x v="0"/>
    <m/>
    <n v="0"/>
    <n v="0"/>
    <n v="0"/>
    <n v="10"/>
    <n v="0"/>
    <n v="0"/>
    <n v="0"/>
    <n v="0"/>
    <n v="0"/>
    <n v="0"/>
    <n v="0"/>
    <n v="0"/>
    <n v="10"/>
    <n v="25.98"/>
  </r>
  <r>
    <x v="0"/>
    <x v="16"/>
    <x v="0"/>
    <s v="7910460"/>
    <n v="743030"/>
    <s v="Subscriptions--Institutional"/>
    <s v="Foundation Administration"/>
    <x v="0"/>
    <m/>
    <n v="0"/>
    <n v="0"/>
    <n v="0"/>
    <n v="0"/>
    <n v="0"/>
    <n v="0"/>
    <n v="344.96"/>
    <n v="0"/>
    <n v="70.2"/>
    <n v="0"/>
    <n v="12.99"/>
    <n v="-12.99"/>
    <n v="415.15999999999997"/>
    <n v="103500"/>
  </r>
  <r>
    <x v="0"/>
    <x v="16"/>
    <x v="0"/>
    <s v="7910460"/>
    <n v="745010"/>
    <s v="Major Grants"/>
    <s v="Foundation Administration"/>
    <x v="0"/>
    <n v="9013"/>
    <n v="0"/>
    <n v="0"/>
    <n v="0"/>
    <n v="15500"/>
    <n v="107500"/>
    <n v="65000"/>
    <n v="0"/>
    <n v="10000"/>
    <n v="41500"/>
    <n v="0"/>
    <n v="103500"/>
    <n v="0"/>
    <n v="343000"/>
    <n v="599.39"/>
  </r>
  <r>
    <x v="0"/>
    <x v="16"/>
    <x v="0"/>
    <s v="7910460"/>
    <n v="749510"/>
    <s v="Miscellaneous Expenses"/>
    <s v="Foundation Administration"/>
    <x v="0"/>
    <m/>
    <n v="120.23"/>
    <n v="170.46"/>
    <n v="937.45"/>
    <n v="28391.14"/>
    <n v="-21018.58"/>
    <n v="32.979999999999997"/>
    <n v="32.979999999999997"/>
    <n v="32.979999999999997"/>
    <n v="103.43"/>
    <n v="254.17"/>
    <n v="215.74"/>
    <n v="-383.65"/>
    <n v="8889.3299999999963"/>
    <n v="0"/>
  </r>
  <r>
    <x v="0"/>
    <x v="16"/>
    <x v="0"/>
    <s v="7910460"/>
    <n v="749510"/>
    <s v="Line of Credit Fees"/>
    <s v="Foundation Administration"/>
    <x v="0"/>
    <n v="1012"/>
    <n v="0"/>
    <n v="0"/>
    <n v="2000"/>
    <n v="-4000"/>
    <n v="2000"/>
    <n v="0"/>
    <n v="0"/>
    <n v="0"/>
    <n v="0"/>
    <n v="0"/>
    <n v="0"/>
    <n v="0"/>
    <n v="0"/>
    <n v="-284.24"/>
  </r>
  <r>
    <x v="0"/>
    <x v="16"/>
    <x v="0"/>
    <s v="7910460"/>
    <n v="749510"/>
    <s v="RICE Rewards"/>
    <s v="Foundation Administration"/>
    <x v="0"/>
    <n v="5100"/>
    <n v="0"/>
    <n v="0"/>
    <n v="0"/>
    <n v="0"/>
    <n v="0"/>
    <n v="0"/>
    <n v="0"/>
    <n v="0"/>
    <n v="0"/>
    <n v="0"/>
    <n v="0"/>
    <n v="284.24"/>
    <n v="284.24"/>
    <n v="306.18"/>
  </r>
  <r>
    <x v="0"/>
    <x v="16"/>
    <x v="0"/>
    <s v="7910460"/>
    <n v="749530"/>
    <s v="Travel"/>
    <s v="Foundation Administration"/>
    <x v="0"/>
    <m/>
    <n v="0"/>
    <n v="0"/>
    <n v="6.5"/>
    <n v="3.5"/>
    <n v="0"/>
    <n v="30"/>
    <n v="0"/>
    <n v="0"/>
    <n v="15"/>
    <n v="0"/>
    <n v="163"/>
    <n v="-143.18"/>
    <n v="74.819999999999993"/>
    <n v="4342.1000000000004"/>
  </r>
  <r>
    <x v="0"/>
    <x v="16"/>
    <x v="0"/>
    <s v="7910460"/>
    <n v="749530"/>
    <s v="Mileage"/>
    <s v="Foundation Administration"/>
    <x v="0"/>
    <n v="1001"/>
    <n v="0"/>
    <n v="0"/>
    <n v="71.900000000000006"/>
    <n v="-52.82"/>
    <n v="0"/>
    <n v="182.6"/>
    <n v="0"/>
    <n v="0"/>
    <n v="102.08"/>
    <n v="0"/>
    <n v="2240.0700000000002"/>
    <n v="-2102.0300000000002"/>
    <n v="441.79999999999973"/>
    <n v="0"/>
  </r>
  <r>
    <x v="0"/>
    <x v="16"/>
    <x v="0"/>
    <s v="7910460"/>
    <n v="749530"/>
    <s v="Provider-Business Meals"/>
    <s v="Foundation Administration"/>
    <x v="0"/>
    <n v="2202"/>
    <n v="0"/>
    <n v="136.76"/>
    <n v="0"/>
    <n v="0"/>
    <n v="0"/>
    <n v="0"/>
    <n v="0"/>
    <n v="0"/>
    <n v="0"/>
    <n v="0"/>
    <n v="0"/>
    <n v="0"/>
    <n v="136.76"/>
    <n v="454.46999999999997"/>
  </r>
  <r>
    <x v="0"/>
    <x v="16"/>
    <x v="0"/>
    <s v="7910460"/>
    <n v="749535"/>
    <s v="Meetings"/>
    <s v="Foundation Administration"/>
    <x v="0"/>
    <m/>
    <n v="0"/>
    <n v="0"/>
    <n v="123.91"/>
    <n v="76.19"/>
    <n v="198.02"/>
    <n v="221.49"/>
    <n v="0"/>
    <n v="0"/>
    <n v="30.66"/>
    <n v="62.85"/>
    <n v="610.4"/>
    <n v="155.93"/>
    <n v="1479.45"/>
    <n v="203.7"/>
  </r>
  <r>
    <x v="0"/>
    <x v="16"/>
    <x v="0"/>
    <s v="7910460"/>
    <n v="749535"/>
    <s v="Volunteer Recognition/Appreciation"/>
    <s v="Foundation Administration"/>
    <x v="0"/>
    <n v="1006"/>
    <n v="0"/>
    <n v="0"/>
    <n v="0"/>
    <n v="0"/>
    <n v="200"/>
    <n v="185.2"/>
    <n v="106.8"/>
    <n v="0"/>
    <n v="0"/>
    <n v="0"/>
    <n v="203.7"/>
    <n v="0"/>
    <n v="695.7"/>
    <n v="-1640.21"/>
  </r>
  <r>
    <x v="14"/>
    <x v="17"/>
    <x v="0"/>
    <s v="7910467"/>
    <n v="600050"/>
    <s v="Miscellaneous Revenue"/>
    <s v="Foundation Administration"/>
    <x v="0"/>
    <m/>
    <n v="-579.15"/>
    <n v="-952.36"/>
    <n v="0"/>
    <n v="-796.49"/>
    <n v="0"/>
    <n v="-408.05"/>
    <n v="0"/>
    <n v="-1114.0999999999999"/>
    <n v="-200"/>
    <n v="0"/>
    <n v="-1640.21"/>
    <n v="0"/>
    <n v="-5690.3600000000006"/>
    <n v="-538.04999999999927"/>
  </r>
  <r>
    <x v="5"/>
    <x v="17"/>
    <x v="0"/>
    <s v="7910467"/>
    <n v="700014"/>
    <s v="Salaries-Management-Productive"/>
    <s v="Foundation Administration"/>
    <x v="0"/>
    <m/>
    <n v="90.78"/>
    <n v="90.79"/>
    <n v="1353.88"/>
    <n v="656.61"/>
    <n v="895.4"/>
    <n v="468.75"/>
    <n v="590.29"/>
    <n v="272.20999999999998"/>
    <n v="1024.5"/>
    <n v="2182.7800000000002"/>
    <n v="4163.18"/>
    <n v="4701.2299999999996"/>
    <n v="16490.400000000001"/>
    <n v="39.169999999999987"/>
  </r>
  <r>
    <x v="5"/>
    <x v="17"/>
    <x v="0"/>
    <s v="7910467"/>
    <n v="700014"/>
    <s v="Salaries-Management-Other"/>
    <s v="Foundation Administration"/>
    <x v="0"/>
    <n v="2000"/>
    <n v="16.61"/>
    <n v="16.600000000000001"/>
    <n v="237.86"/>
    <n v="91.34"/>
    <n v="129.37"/>
    <n v="99.65"/>
    <n v="99.79"/>
    <n v="25.02"/>
    <n v="164.91"/>
    <n v="18.39"/>
    <n v="181.57"/>
    <n v="142.4"/>
    <n v="1223.51"/>
    <n v="1.0000000000019327E-2"/>
  </r>
  <r>
    <x v="5"/>
    <x v="17"/>
    <x v="0"/>
    <s v="7910467"/>
    <n v="700018"/>
    <s v="Salaries-Supervisory-Productive"/>
    <s v="Foundation Administration"/>
    <x v="0"/>
    <m/>
    <n v="103.71"/>
    <n v="89.01"/>
    <n v="1418.41"/>
    <n v="619.51"/>
    <n v="-41.51"/>
    <n v="0"/>
    <n v="0"/>
    <n v="-182.43"/>
    <n v="182.43"/>
    <n v="-182.43"/>
    <n v="182.43"/>
    <n v="182.42"/>
    <n v="2371.5500000000002"/>
    <n v="-1445.46"/>
  </r>
  <r>
    <x v="5"/>
    <x v="17"/>
    <x v="0"/>
    <s v="7910467"/>
    <n v="700034"/>
    <s v="Salaries-Tech/Professional-Productive"/>
    <s v="Foundation Administration"/>
    <x v="0"/>
    <m/>
    <n v="342.24"/>
    <n v="404.77"/>
    <n v="5861.76"/>
    <n v="2043.46"/>
    <n v="3523.23"/>
    <n v="2055.46"/>
    <n v="2495.7600000000002"/>
    <n v="90.92"/>
    <n v="4130.91"/>
    <n v="1514.48"/>
    <n v="4423.6400000000003"/>
    <n v="5869.1"/>
    <n v="32755.729999999996"/>
    <n v="-1.0000000000000009E-2"/>
  </r>
  <r>
    <x v="5"/>
    <x v="17"/>
    <x v="0"/>
    <s v="7910467"/>
    <n v="700034"/>
    <s v="Salaries-Tech/Professional-Other"/>
    <s v="Foundation Administration"/>
    <x v="0"/>
    <n v="2000"/>
    <n v="0"/>
    <n v="0.6"/>
    <n v="2.7"/>
    <n v="0"/>
    <n v="0.3"/>
    <n v="0"/>
    <n v="0"/>
    <n v="-0.3"/>
    <n v="0.3"/>
    <n v="3"/>
    <n v="0.6"/>
    <n v="0.61"/>
    <n v="7.81"/>
    <n v="-197.44000000000005"/>
  </r>
  <r>
    <x v="5"/>
    <x v="17"/>
    <x v="0"/>
    <s v="7910467"/>
    <n v="700038"/>
    <s v="Salaries-Service/Support-Productive"/>
    <s v="Foundation Administration"/>
    <x v="0"/>
    <m/>
    <n v="137.66"/>
    <n v="162.01"/>
    <n v="2110.0700000000002"/>
    <n v="1683.77"/>
    <n v="1651.39"/>
    <n v="1611.43"/>
    <n v="1526.17"/>
    <n v="515.52"/>
    <n v="2507.4899999999998"/>
    <n v="520.71"/>
    <n v="2775.2"/>
    <n v="2972.64"/>
    <n v="18174.060000000001"/>
    <n v="-8.3300000000000125"/>
  </r>
  <r>
    <x v="5"/>
    <x v="17"/>
    <x v="0"/>
    <s v="7910467"/>
    <n v="700038"/>
    <s v="Salaries-Service/Support-OT"/>
    <s v="Foundation Administration"/>
    <x v="0"/>
    <n v="1000"/>
    <n v="0.19"/>
    <n v="1.97"/>
    <n v="11.78"/>
    <n v="40.520000000000003"/>
    <n v="9.07"/>
    <n v="115.95"/>
    <n v="70.36"/>
    <n v="-19.21"/>
    <n v="124.06"/>
    <n v="122.7"/>
    <n v="230.48"/>
    <n v="238.81"/>
    <n v="946.68000000000006"/>
    <n v="-321.74"/>
  </r>
  <r>
    <x v="5"/>
    <x v="17"/>
    <x v="0"/>
    <s v="7910467"/>
    <n v="700054"/>
    <s v="Salaries-Management-Non-productive"/>
    <s v="Foundation Administration"/>
    <x v="0"/>
    <m/>
    <n v="26.48"/>
    <n v="26.48"/>
    <n v="325.7"/>
    <n v="0"/>
    <n v="34.43"/>
    <n v="250.6"/>
    <n v="130.16999999999999"/>
    <n v="-87.45"/>
    <n v="161.82"/>
    <n v="-72.349999999999994"/>
    <n v="137.41999999999999"/>
    <n v="459.16"/>
    <n v="1392.4599999999998"/>
    <n v="0"/>
  </r>
  <r>
    <x v="5"/>
    <x v="17"/>
    <x v="0"/>
    <s v="7910467"/>
    <n v="700054"/>
    <s v="Salaries-Management-NonProd-Other"/>
    <s v="Foundation Administration"/>
    <x v="0"/>
    <n v="2000"/>
    <n v="0"/>
    <n v="0"/>
    <n v="0"/>
    <n v="0"/>
    <n v="0"/>
    <n v="127.99"/>
    <n v="0"/>
    <n v="-127.99"/>
    <n v="0"/>
    <n v="0"/>
    <n v="0"/>
    <n v="0"/>
    <n v="0"/>
    <n v="0"/>
  </r>
  <r>
    <x v="5"/>
    <x v="17"/>
    <x v="0"/>
    <s v="7910467"/>
    <n v="700058"/>
    <s v="Salaries-Supervisory-Non-productive"/>
    <s v="Foundation Administration"/>
    <x v="0"/>
    <m/>
    <n v="4.91"/>
    <n v="19.62"/>
    <n v="137.35"/>
    <n v="0"/>
    <n v="14.72"/>
    <n v="0"/>
    <n v="0"/>
    <n v="-14.72"/>
    <n v="14.72"/>
    <n v="-14.72"/>
    <n v="14.72"/>
    <n v="14.72"/>
    <n v="191.32"/>
    <n v="1000.3299999999999"/>
  </r>
  <r>
    <x v="5"/>
    <x v="17"/>
    <x v="0"/>
    <s v="7910467"/>
    <n v="700074"/>
    <s v="Salaries-Tech/Professional-Non-productive"/>
    <s v="Foundation Administration"/>
    <x v="0"/>
    <m/>
    <n v="50.26"/>
    <n v="76.75"/>
    <n v="992.82"/>
    <n v="50.53"/>
    <n v="106.39"/>
    <n v="783.19"/>
    <n v="167.04"/>
    <n v="534.07000000000005"/>
    <n v="311.51"/>
    <n v="-222.27"/>
    <n v="1256.56"/>
    <n v="256.23"/>
    <n v="4363.08"/>
    <n v="24.870000000000005"/>
  </r>
  <r>
    <x v="5"/>
    <x v="17"/>
    <x v="0"/>
    <s v="7910467"/>
    <n v="700078"/>
    <s v="Salaries-Service/Support-Non-productive"/>
    <s v="Foundation Administration"/>
    <x v="0"/>
    <m/>
    <n v="28.32"/>
    <n v="3.77"/>
    <n v="268.77999999999997"/>
    <n v="11.94"/>
    <n v="166.21"/>
    <n v="130.36000000000001"/>
    <n v="190.72"/>
    <n v="76.44"/>
    <n v="136.32"/>
    <n v="-84.41"/>
    <n v="184.08"/>
    <n v="159.21"/>
    <n v="1271.74"/>
    <n v="-160.49"/>
  </r>
  <r>
    <x v="5"/>
    <x v="17"/>
    <x v="0"/>
    <s v="7910467"/>
    <n v="700084"/>
    <s v="Accrued PTO"/>
    <s v="Foundation Administration"/>
    <x v="0"/>
    <m/>
    <n v="5.22"/>
    <n v="-30.41"/>
    <n v="-106.36"/>
    <n v="462.22"/>
    <n v="-805.6"/>
    <n v="-273.18"/>
    <n v="40.520000000000003"/>
    <n v="-131.59"/>
    <n v="216.4"/>
    <n v="541.04999999999995"/>
    <n v="314.89"/>
    <n v="475.38"/>
    <n v="708.53999999999985"/>
    <n v="-101.85000000000002"/>
  </r>
  <r>
    <x v="6"/>
    <x v="17"/>
    <x v="0"/>
    <s v="7910467"/>
    <n v="713010"/>
    <s v="Benefits-FICA/Medicare"/>
    <s v="Foundation Administration"/>
    <x v="0"/>
    <m/>
    <n v="57.92"/>
    <n v="64.930000000000007"/>
    <n v="924.97"/>
    <n v="386.38"/>
    <n v="476.22"/>
    <n v="415.26"/>
    <n v="386.86"/>
    <n v="97.18"/>
    <n v="644.25"/>
    <n v="285.89999999999998"/>
    <n v="1002.42"/>
    <n v="1104.27"/>
    <n v="5846.5599999999995"/>
    <n v="87.2800000000002"/>
  </r>
  <r>
    <x v="6"/>
    <x v="17"/>
    <x v="0"/>
    <s v="7910467"/>
    <n v="713090"/>
    <s v="Benefits-Allocated Amounts"/>
    <s v="Foundation Administration"/>
    <x v="0"/>
    <m/>
    <n v="177.02"/>
    <n v="174.95"/>
    <n v="2668.54"/>
    <n v="1060.5"/>
    <n v="1226.22"/>
    <n v="1154.98"/>
    <n v="1162.72"/>
    <n v="344.47"/>
    <n v="1944.1"/>
    <n v="590.72"/>
    <n v="2572.19"/>
    <n v="2484.91"/>
    <n v="15561.320000000002"/>
    <n v="0"/>
  </r>
  <r>
    <x v="7"/>
    <x v="17"/>
    <x v="0"/>
    <s v="7910467"/>
    <n v="718010"/>
    <s v="Contract Srvcs-Advertising/Sponsorships"/>
    <s v="Foundation Administration"/>
    <x v="0"/>
    <n v="1005"/>
    <n v="0"/>
    <n v="0"/>
    <n v="0"/>
    <n v="0"/>
    <n v="97.5"/>
    <n v="85.99"/>
    <n v="24.37"/>
    <n v="0"/>
    <n v="0"/>
    <n v="0"/>
    <n v="0"/>
    <n v="0"/>
    <n v="207.86"/>
    <n v="0"/>
  </r>
  <r>
    <x v="7"/>
    <x v="17"/>
    <x v="0"/>
    <s v="7910467"/>
    <n v="718050"/>
    <s v="Contract Svcs-Other"/>
    <s v="Foundation Administration"/>
    <x v="0"/>
    <m/>
    <n v="0"/>
    <n v="0"/>
    <n v="0"/>
    <n v="0"/>
    <n v="0"/>
    <n v="0"/>
    <n v="0"/>
    <n v="0"/>
    <n v="1162.5"/>
    <n v="0"/>
    <n v="0"/>
    <n v="0"/>
    <n v="1162.5"/>
    <n v="0"/>
  </r>
  <r>
    <x v="7"/>
    <x v="17"/>
    <x v="0"/>
    <s v="7910467"/>
    <n v="718050"/>
    <s v="Miscellaneous Purchased Svcs"/>
    <s v="Foundation Administration"/>
    <x v="0"/>
    <n v="1020"/>
    <n v="7019.21"/>
    <n v="29036.080000000002"/>
    <n v="46561.23"/>
    <n v="6949.2"/>
    <n v="7000"/>
    <n v="10264"/>
    <n v="-23810.47"/>
    <n v="0"/>
    <n v="0"/>
    <n v="0"/>
    <n v="0"/>
    <n v="0"/>
    <n v="83019.25"/>
    <n v="0"/>
  </r>
  <r>
    <x v="7"/>
    <x v="17"/>
    <x v="0"/>
    <s v="7910467"/>
    <n v="718050"/>
    <s v="Printing"/>
    <s v="Foundation Administration"/>
    <x v="0"/>
    <n v="1021"/>
    <n v="0"/>
    <n v="0"/>
    <n v="533.97"/>
    <n v="0"/>
    <n v="0"/>
    <n v="0"/>
    <n v="0"/>
    <n v="0"/>
    <n v="0"/>
    <n v="0"/>
    <n v="0"/>
    <n v="0"/>
    <n v="533.97"/>
    <n v="-223.43"/>
  </r>
  <r>
    <x v="7"/>
    <x v="17"/>
    <x v="0"/>
    <s v="7910467"/>
    <n v="718050"/>
    <s v="Contract Services-Food&amp;Catering"/>
    <s v="Foundation Administration"/>
    <x v="0"/>
    <n v="1030"/>
    <n v="0"/>
    <n v="5087.1099999999997"/>
    <n v="874.18"/>
    <n v="70.849999999999994"/>
    <n v="0"/>
    <n v="0"/>
    <n v="-874.18"/>
    <n v="0"/>
    <n v="0"/>
    <n v="0"/>
    <n v="0"/>
    <n v="223.43"/>
    <n v="5381.39"/>
    <n v="0"/>
  </r>
  <r>
    <x v="7"/>
    <x v="17"/>
    <x v="0"/>
    <s v="7910467"/>
    <n v="718066"/>
    <s v="Contract Services-CHI Tax Services"/>
    <s v="Foundation Administration"/>
    <x v="0"/>
    <m/>
    <n v="1021"/>
    <n v="1021"/>
    <n v="1021"/>
    <n v="1021"/>
    <n v="1021"/>
    <n v="1021"/>
    <n v="1021"/>
    <n v="1021"/>
    <n v="1021"/>
    <n v="1021"/>
    <n v="1021"/>
    <n v="1021"/>
    <n v="12252"/>
    <n v="-188.47"/>
  </r>
  <r>
    <x v="11"/>
    <x v="17"/>
    <x v="0"/>
    <s v="7910467"/>
    <n v="721810"/>
    <s v="Supplies-Dietary/Cafeteria"/>
    <s v="Foundation Administration"/>
    <x v="0"/>
    <m/>
    <n v="0"/>
    <n v="0"/>
    <n v="0"/>
    <n v="0"/>
    <n v="0"/>
    <n v="49.63"/>
    <n v="67.3"/>
    <n v="0"/>
    <n v="0"/>
    <n v="0"/>
    <n v="45.63"/>
    <n v="234.1"/>
    <n v="396.65999999999997"/>
    <n v="-381.14000000000004"/>
  </r>
  <r>
    <x v="11"/>
    <x v="17"/>
    <x v="0"/>
    <s v="7910467"/>
    <n v="721830"/>
    <s v="Supplies-Office"/>
    <s v="Foundation Administration"/>
    <x v="0"/>
    <m/>
    <n v="34.119999999999997"/>
    <n v="0"/>
    <n v="34.119999999999997"/>
    <n v="238.57"/>
    <n v="77.209999999999994"/>
    <n v="14.98"/>
    <n v="46.59"/>
    <n v="42.5"/>
    <n v="220.63"/>
    <n v="470.32"/>
    <n v="44.21"/>
    <n v="425.35"/>
    <n v="1648.6"/>
    <n v="-4.5600000000000023"/>
  </r>
  <r>
    <x v="11"/>
    <x v="17"/>
    <x v="0"/>
    <s v="7910467"/>
    <n v="721835"/>
    <s v="Supplies-Forms"/>
    <s v="Foundation Administration"/>
    <x v="0"/>
    <m/>
    <n v="0"/>
    <n v="0"/>
    <n v="0"/>
    <n v="0"/>
    <n v="1006.74"/>
    <n v="0"/>
    <n v="1049.6199999999999"/>
    <n v="0"/>
    <n v="46.01"/>
    <n v="189.78"/>
    <n v="52.94"/>
    <n v="57.5"/>
    <n v="2402.59"/>
    <n v="0"/>
  </r>
  <r>
    <x v="11"/>
    <x v="17"/>
    <x v="0"/>
    <s v="7910467"/>
    <n v="721910"/>
    <s v="Supplies-Small Equipment"/>
    <s v="Foundation Administration"/>
    <x v="0"/>
    <m/>
    <n v="0"/>
    <n v="0"/>
    <n v="0"/>
    <n v="0"/>
    <n v="0"/>
    <n v="516.54"/>
    <n v="30.46"/>
    <n v="0"/>
    <n v="0"/>
    <n v="0"/>
    <n v="0"/>
    <n v="0"/>
    <n v="547"/>
    <n v="0"/>
  </r>
  <r>
    <x v="11"/>
    <x v="17"/>
    <x v="0"/>
    <s v="7910467"/>
    <n v="721980"/>
    <s v="Supplies-Other"/>
    <s v="Foundation Administration"/>
    <x v="0"/>
    <m/>
    <n v="0"/>
    <n v="0"/>
    <n v="0"/>
    <n v="300.18"/>
    <n v="0"/>
    <n v="0"/>
    <n v="0"/>
    <n v="0"/>
    <n v="0"/>
    <n v="0"/>
    <n v="0"/>
    <n v="0"/>
    <n v="300.18"/>
    <n v="0"/>
  </r>
  <r>
    <x v="11"/>
    <x v="17"/>
    <x v="0"/>
    <s v="7910467"/>
    <n v="722000"/>
    <s v="Supplies-Freight Expense"/>
    <s v="Foundation Administration"/>
    <x v="0"/>
    <m/>
    <n v="0"/>
    <n v="0"/>
    <n v="0"/>
    <n v="0"/>
    <n v="0"/>
    <n v="21.44"/>
    <n v="0"/>
    <n v="0"/>
    <n v="0"/>
    <n v="0"/>
    <n v="0"/>
    <n v="0"/>
    <n v="21.44"/>
    <n v="-28.71999999999997"/>
  </r>
  <r>
    <x v="12"/>
    <x v="17"/>
    <x v="0"/>
    <s v="7910467"/>
    <n v="730020"/>
    <s v="Rental and Leases-Copier Usage Fees (DO NOT USE)"/>
    <s v="Foundation Administration"/>
    <x v="0"/>
    <n v="5100"/>
    <n v="410.66"/>
    <n v="426.52"/>
    <n v="418.59"/>
    <n v="418.59"/>
    <n v="418.59"/>
    <n v="418.59"/>
    <n v="-1287"/>
    <n v="230.61"/>
    <n v="230.12"/>
    <n v="614.82000000000005"/>
    <n v="230.61"/>
    <n v="259.33"/>
    <n v="2790.03"/>
    <n v="-3095"/>
  </r>
  <r>
    <x v="16"/>
    <x v="17"/>
    <x v="0"/>
    <s v="7910467"/>
    <n v="732030"/>
    <s v="Repairs---Other"/>
    <s v="Foundation Administration"/>
    <x v="0"/>
    <m/>
    <n v="0"/>
    <n v="0"/>
    <n v="0"/>
    <n v="0"/>
    <n v="0"/>
    <n v="0"/>
    <n v="0"/>
    <n v="0"/>
    <n v="0"/>
    <n v="0"/>
    <n v="0"/>
    <n v="3095"/>
    <n v="3095"/>
    <n v="4.0000000000077307E-2"/>
  </r>
  <r>
    <x v="13"/>
    <x v="17"/>
    <x v="0"/>
    <s v="7910467"/>
    <n v="735070"/>
    <s v="Depreciation-Movable Equipment"/>
    <s v="Foundation Administration"/>
    <x v="0"/>
    <m/>
    <n v="1341.42"/>
    <n v="946.42"/>
    <n v="946.44"/>
    <n v="946.42"/>
    <n v="946.45"/>
    <n v="946.41"/>
    <n v="946.45"/>
    <n v="946.41"/>
    <n v="946.45"/>
    <n v="946.41"/>
    <n v="946.45"/>
    <n v="946.41"/>
    <n v="11752.14"/>
    <n v="0"/>
  </r>
  <r>
    <x v="0"/>
    <x v="17"/>
    <x v="0"/>
    <s v="7910467"/>
    <n v="740010"/>
    <s v="Education-Materials"/>
    <s v="Foundation Administration"/>
    <x v="0"/>
    <m/>
    <n v="0"/>
    <n v="0"/>
    <n v="60"/>
    <n v="0"/>
    <n v="0"/>
    <n v="0"/>
    <n v="0"/>
    <n v="0"/>
    <n v="0"/>
    <n v="0"/>
    <n v="0"/>
    <n v="0"/>
    <n v="60"/>
    <n v="498"/>
  </r>
  <r>
    <x v="0"/>
    <x v="17"/>
    <x v="0"/>
    <s v="7910467"/>
    <n v="740020"/>
    <s v="Education-Registration Fees"/>
    <s v="Foundation Administration"/>
    <x v="0"/>
    <m/>
    <n v="0"/>
    <n v="0"/>
    <n v="0"/>
    <n v="0"/>
    <n v="0"/>
    <n v="0"/>
    <n v="0"/>
    <n v="0"/>
    <n v="2195"/>
    <n v="0"/>
    <n v="498"/>
    <n v="0"/>
    <n v="2693"/>
    <n v="55"/>
  </r>
  <r>
    <x v="0"/>
    <x v="17"/>
    <x v="0"/>
    <s v="7910467"/>
    <n v="742010"/>
    <s v="Postage-Regular"/>
    <s v="Foundation Administration"/>
    <x v="0"/>
    <m/>
    <n v="225"/>
    <n v="8.44"/>
    <n v="68.64"/>
    <n v="16.98"/>
    <n v="0"/>
    <n v="6.5"/>
    <n v="1600"/>
    <n v="0"/>
    <n v="8.8000000000000007"/>
    <n v="0"/>
    <n v="55"/>
    <n v="0"/>
    <n v="1989.36"/>
    <n v="0"/>
  </r>
  <r>
    <x v="0"/>
    <x v="17"/>
    <x v="0"/>
    <s v="7910467"/>
    <n v="742040"/>
    <s v="Freight-Other"/>
    <s v="Foundation Administration"/>
    <x v="0"/>
    <m/>
    <n v="0"/>
    <n v="0"/>
    <n v="0"/>
    <n v="101.54"/>
    <n v="0"/>
    <n v="0"/>
    <n v="0"/>
    <n v="0"/>
    <n v="0"/>
    <n v="0"/>
    <n v="0"/>
    <n v="0"/>
    <n v="101.54"/>
    <n v="20"/>
  </r>
  <r>
    <x v="0"/>
    <x v="17"/>
    <x v="0"/>
    <s v="7910467"/>
    <n v="743010"/>
    <s v="Dues--Institutional"/>
    <s v="Foundation Administration"/>
    <x v="0"/>
    <m/>
    <n v="25"/>
    <n v="65"/>
    <n v="0"/>
    <n v="0"/>
    <n v="0"/>
    <n v="0"/>
    <n v="25"/>
    <n v="10"/>
    <n v="0"/>
    <n v="50"/>
    <n v="20"/>
    <n v="0"/>
    <n v="195"/>
    <n v="295"/>
  </r>
  <r>
    <x v="0"/>
    <x v="17"/>
    <x v="0"/>
    <s v="7910467"/>
    <n v="743020"/>
    <s v="Dues--Individual"/>
    <s v="Foundation Administration"/>
    <x v="0"/>
    <m/>
    <n v="0"/>
    <n v="0"/>
    <n v="0"/>
    <n v="0"/>
    <n v="0"/>
    <n v="0"/>
    <n v="0"/>
    <n v="0"/>
    <n v="1020"/>
    <n v="0"/>
    <n v="295"/>
    <n v="0"/>
    <n v="1315"/>
    <n v="-767.74999999999989"/>
  </r>
  <r>
    <x v="0"/>
    <x v="17"/>
    <x v="0"/>
    <s v="7910467"/>
    <n v="749510"/>
    <s v="Miscellaneous Expenses"/>
    <s v="Foundation Administration"/>
    <x v="0"/>
    <m/>
    <n v="2373.46"/>
    <n v="3586.55"/>
    <n v="-4351.04"/>
    <n v="237.94"/>
    <n v="637.74"/>
    <n v="5253.9"/>
    <n v="-513.41999999999996"/>
    <n v="-242.38"/>
    <n v="-5597.48"/>
    <n v="0"/>
    <n v="855.59"/>
    <n v="1623.34"/>
    <n v="3864.2000000000007"/>
    <n v="0"/>
  </r>
  <r>
    <x v="0"/>
    <x v="17"/>
    <x v="0"/>
    <s v="7910467"/>
    <n v="749510"/>
    <s v="Licenses"/>
    <s v="Foundation Administration"/>
    <x v="0"/>
    <n v="1002"/>
    <n v="0"/>
    <n v="0"/>
    <n v="10"/>
    <n v="0"/>
    <n v="0"/>
    <n v="0"/>
    <n v="0"/>
    <n v="0"/>
    <n v="0"/>
    <n v="0"/>
    <n v="0"/>
    <n v="0"/>
    <n v="10"/>
    <n v="-0.01"/>
  </r>
  <r>
    <x v="0"/>
    <x v="17"/>
    <x v="0"/>
    <s v="7910467"/>
    <n v="749510"/>
    <s v="Line of Credit Fees"/>
    <s v="Foundation Administration"/>
    <x v="0"/>
    <n v="1012"/>
    <n v="0"/>
    <n v="-0.01"/>
    <n v="0"/>
    <n v="0"/>
    <n v="0"/>
    <n v="0"/>
    <n v="0"/>
    <n v="0"/>
    <n v="0"/>
    <n v="0"/>
    <n v="0"/>
    <n v="0.01"/>
    <n v="0"/>
    <n v="0"/>
  </r>
  <r>
    <x v="0"/>
    <x v="17"/>
    <x v="0"/>
    <s v="7910467"/>
    <n v="749510"/>
    <s v="Fundraising"/>
    <s v="Foundation Administration"/>
    <x v="0"/>
    <n v="1020"/>
    <n v="0"/>
    <n v="0"/>
    <n v="81.99"/>
    <n v="438.75"/>
    <n v="0"/>
    <n v="0"/>
    <n v="0"/>
    <n v="0"/>
    <n v="0"/>
    <n v="0"/>
    <n v="0"/>
    <n v="0"/>
    <n v="520.74"/>
    <n v="0"/>
  </r>
  <r>
    <x v="0"/>
    <x v="17"/>
    <x v="0"/>
    <s v="7910467"/>
    <n v="749510"/>
    <s v="RICE Rewards"/>
    <s v="Foundation Administration"/>
    <x v="0"/>
    <n v="5100"/>
    <n v="0"/>
    <n v="0"/>
    <n v="0"/>
    <n v="0"/>
    <n v="0"/>
    <n v="0"/>
    <n v="0"/>
    <n v="123.82"/>
    <n v="0"/>
    <n v="0"/>
    <n v="0"/>
    <n v="0"/>
    <n v="123.82"/>
    <n v="509.66999999999996"/>
  </r>
  <r>
    <x v="0"/>
    <x v="17"/>
    <x v="0"/>
    <s v="7910467"/>
    <n v="749530"/>
    <s v="Travel"/>
    <s v="Foundation Administration"/>
    <x v="0"/>
    <m/>
    <n v="0"/>
    <n v="0"/>
    <n v="1162.56"/>
    <n v="28"/>
    <n v="0"/>
    <n v="17"/>
    <n v="8"/>
    <n v="5.01"/>
    <n v="498.6"/>
    <n v="0"/>
    <n v="704.54"/>
    <n v="194.87"/>
    <n v="2618.58"/>
    <n v="-29.58"/>
  </r>
  <r>
    <x v="0"/>
    <x v="17"/>
    <x v="0"/>
    <s v="7910467"/>
    <n v="749530"/>
    <s v="Mileage"/>
    <s v="Foundation Administration"/>
    <x v="0"/>
    <n v="1001"/>
    <n v="0"/>
    <n v="0"/>
    <n v="373.97"/>
    <n v="129.74"/>
    <n v="82.32"/>
    <n v="66.53"/>
    <n v="56.73"/>
    <n v="33.26"/>
    <n v="208.8"/>
    <n v="25.52"/>
    <n v="52.78"/>
    <n v="82.36"/>
    <n v="1112.0099999999998"/>
    <n v="1570.58"/>
  </r>
  <r>
    <x v="0"/>
    <x v="17"/>
    <x v="0"/>
    <s v="7910467"/>
    <n v="749535"/>
    <s v="Meetings"/>
    <s v="Foundation Administration"/>
    <x v="0"/>
    <m/>
    <n v="0"/>
    <n v="0"/>
    <n v="370.42"/>
    <n v="138.28"/>
    <n v="0"/>
    <n v="116.64"/>
    <n v="0"/>
    <n v="17.989999999999998"/>
    <n v="11.98"/>
    <n v="0"/>
    <n v="1597.79"/>
    <n v="27.21"/>
    <n v="2280.31"/>
    <n v="0"/>
  </r>
  <r>
    <x v="0"/>
    <x v="17"/>
    <x v="0"/>
    <s v="7910467"/>
    <n v="749535"/>
    <s v="Medicare Non-Allowable Beverages"/>
    <s v="Foundation Administration"/>
    <x v="0"/>
    <n v="1005"/>
    <n v="0"/>
    <n v="0"/>
    <n v="10"/>
    <n v="0"/>
    <n v="0"/>
    <n v="0"/>
    <n v="0"/>
    <n v="0"/>
    <n v="0"/>
    <n v="0"/>
    <n v="0"/>
    <n v="0"/>
    <n v="10"/>
    <n v="0"/>
  </r>
  <r>
    <x v="0"/>
    <x v="17"/>
    <x v="0"/>
    <s v="7910467"/>
    <n v="749535"/>
    <s v="Volunteer Recognition/Appreciation"/>
    <s v="Foundation Administration"/>
    <x v="0"/>
    <n v="1006"/>
    <n v="0"/>
    <n v="0"/>
    <n v="162.5"/>
    <n v="0"/>
    <n v="0"/>
    <n v="0"/>
    <n v="0"/>
    <n v="0"/>
    <n v="0"/>
    <n v="0"/>
    <n v="0"/>
    <n v="0"/>
    <n v="162.5"/>
    <n v="0"/>
  </r>
  <r>
    <x v="0"/>
    <x v="17"/>
    <x v="0"/>
    <s v="7910467"/>
    <n v="765010"/>
    <s v="Federal Income Tax"/>
    <s v="Foundation Administration"/>
    <x v="0"/>
    <m/>
    <n v="0"/>
    <n v="0"/>
    <n v="0"/>
    <n v="0"/>
    <n v="500"/>
    <n v="0"/>
    <n v="0"/>
    <n v="0"/>
    <n v="0"/>
    <n v="0"/>
    <n v="0"/>
    <n v="0"/>
    <n v="500"/>
    <n v="-147.87"/>
  </r>
  <r>
    <x v="0"/>
    <x v="17"/>
    <x v="0"/>
    <s v="7910467"/>
    <n v="766090"/>
    <s v="Other Taxes Non-Income"/>
    <s v="Foundation Administration"/>
    <x v="0"/>
    <m/>
    <n v="32.76"/>
    <n v="-91.35"/>
    <n v="85.85"/>
    <n v="0"/>
    <n v="71.8"/>
    <n v="0"/>
    <n v="36.78"/>
    <n v="0"/>
    <n v="100.43"/>
    <n v="0"/>
    <n v="0"/>
    <n v="147.87"/>
    <n v="384.14"/>
    <n v="8655.7000000000007"/>
  </r>
  <r>
    <x v="14"/>
    <x v="9"/>
    <x v="0"/>
    <s v="7915501"/>
    <n v="600050"/>
    <s v="Miscellaneous Revenue"/>
    <s v="Regional Retail Services"/>
    <x v="0"/>
    <m/>
    <n v="-451.73"/>
    <n v="0"/>
    <n v="-3182.26"/>
    <n v="-2701.85"/>
    <n v="-1306.52"/>
    <n v="-4065.48"/>
    <n v="0"/>
    <n v="0"/>
    <n v="-1743.18"/>
    <n v="-2985.98"/>
    <n v="-1843.07"/>
    <n v="-10498.77"/>
    <n v="-28778.84"/>
    <n v="0"/>
  </r>
  <r>
    <x v="5"/>
    <x v="9"/>
    <x v="0"/>
    <s v="7915501"/>
    <n v="700014"/>
    <s v="Salaries-Management-Productive"/>
    <s v="Regional Retail Services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7915501"/>
    <n v="700014"/>
    <s v="Salaries-Management-Other"/>
    <s v="Regional Retail Services"/>
    <x v="0"/>
    <n v="2000"/>
    <n v="0"/>
    <n v="0"/>
    <n v="0"/>
    <n v="0"/>
    <n v="0"/>
    <n v="0"/>
    <n v="0"/>
    <n v="0"/>
    <n v="0"/>
    <n v="0"/>
    <n v="0"/>
    <n v="0"/>
    <n v="0"/>
    <n v="202.38000000000011"/>
  </r>
  <r>
    <x v="5"/>
    <x v="9"/>
    <x v="0"/>
    <s v="7915501"/>
    <n v="700034"/>
    <s v="Salaries-Tech/Professional-Productive"/>
    <s v="Regional Retail Services"/>
    <x v="0"/>
    <m/>
    <n v="5726.94"/>
    <n v="5998.1"/>
    <n v="3598.96"/>
    <n v="3997.68"/>
    <n v="7176.9"/>
    <n v="4407.4399999999996"/>
    <n v="5871.91"/>
    <n v="3361.04"/>
    <n v="6154.99"/>
    <n v="5952.38"/>
    <n v="5993.08"/>
    <n v="5790.7"/>
    <n v="64030.119999999995"/>
    <n v="1967.130000000001"/>
  </r>
  <r>
    <x v="5"/>
    <x v="9"/>
    <x v="0"/>
    <s v="7915501"/>
    <n v="700038"/>
    <s v="Salaries-Service/Support-Productive"/>
    <s v="Regional Retail Services"/>
    <x v="0"/>
    <m/>
    <n v="3712.93"/>
    <n v="2841.32"/>
    <n v="4013.92"/>
    <n v="3980.48"/>
    <n v="3884.47"/>
    <n v="10229.030000000001"/>
    <n v="17858"/>
    <n v="14593.79"/>
    <n v="18538.57"/>
    <n v="18675.810000000001"/>
    <n v="18913.72"/>
    <n v="16946.59"/>
    <n v="134188.63"/>
    <n v="8.6999999999999993"/>
  </r>
  <r>
    <x v="5"/>
    <x v="9"/>
    <x v="0"/>
    <s v="7915501"/>
    <n v="700038"/>
    <s v="Salaries-Service/Support-OT"/>
    <s v="Regional Retail Services"/>
    <x v="0"/>
    <n v="1000"/>
    <n v="0"/>
    <n v="0"/>
    <n v="0"/>
    <n v="227.62"/>
    <n v="-100.15"/>
    <n v="0"/>
    <n v="0"/>
    <n v="0"/>
    <n v="0"/>
    <n v="20.9"/>
    <n v="3.05"/>
    <n v="-5.65"/>
    <n v="145.77000000000001"/>
    <n v="-438.64"/>
  </r>
  <r>
    <x v="5"/>
    <x v="9"/>
    <x v="0"/>
    <s v="7915501"/>
    <n v="700038"/>
    <s v="Salaries-Service/Support-Other"/>
    <s v="Regional Retail Services"/>
    <x v="0"/>
    <n v="2000"/>
    <n v="0"/>
    <n v="0"/>
    <n v="0"/>
    <n v="0"/>
    <n v="0"/>
    <n v="485.85"/>
    <n v="423.69"/>
    <n v="339.98"/>
    <n v="400.12"/>
    <n v="406.33"/>
    <n v="82"/>
    <n v="520.64"/>
    <n v="2658.6099999999997"/>
    <n v="0"/>
  </r>
  <r>
    <x v="5"/>
    <x v="9"/>
    <x v="0"/>
    <s v="7915501"/>
    <n v="700054"/>
    <s v="Salaries-Management-NonProd-Other"/>
    <s v="Regional Retail Services"/>
    <x v="0"/>
    <n v="2000"/>
    <n v="0"/>
    <n v="0"/>
    <n v="0"/>
    <n v="0"/>
    <n v="0"/>
    <n v="60.2"/>
    <n v="-60.2"/>
    <n v="0"/>
    <n v="0"/>
    <n v="0"/>
    <n v="0"/>
    <n v="0"/>
    <n v="0"/>
    <n v="0"/>
  </r>
  <r>
    <x v="5"/>
    <x v="9"/>
    <x v="0"/>
    <s v="7915501"/>
    <n v="700074"/>
    <s v="Salaries-Tech/Professional-Non-productive"/>
    <s v="Regional Retail Services"/>
    <x v="0"/>
    <m/>
    <n v="270.88"/>
    <n v="0"/>
    <n v="2205.7199999999998"/>
    <n v="2217.56"/>
    <n v="-1111.92"/>
    <n v="1859.91"/>
    <n v="405.23"/>
    <n v="2308.0500000000002"/>
    <n v="121.55"/>
    <n v="121.51"/>
    <n v="283.45999999999998"/>
    <n v="283.45999999999998"/>
    <n v="8965.409999999998"/>
    <n v="-1039.54"/>
  </r>
  <r>
    <x v="5"/>
    <x v="9"/>
    <x v="0"/>
    <s v="7915501"/>
    <n v="700078"/>
    <s v="Salaries-Service/Support-Non-productive"/>
    <s v="Regional Retail Services"/>
    <x v="0"/>
    <m/>
    <n v="173.44"/>
    <n v="991.03"/>
    <n v="-297.27"/>
    <n v="0"/>
    <n v="0"/>
    <n v="1577.01"/>
    <n v="673"/>
    <n v="1860.64"/>
    <n v="-317.19"/>
    <n v="300.60000000000002"/>
    <n v="532.33000000000004"/>
    <n v="1571.87"/>
    <n v="7065.4600000000009"/>
    <n v="388.11000000000013"/>
  </r>
  <r>
    <x v="5"/>
    <x v="9"/>
    <x v="0"/>
    <s v="7915501"/>
    <n v="700084"/>
    <s v="Accrued PTO"/>
    <s v="Regional Retail Services"/>
    <x v="0"/>
    <m/>
    <n v="922.58"/>
    <n v="435.46"/>
    <n v="-766.6"/>
    <n v="333.46"/>
    <n v="1180.4000000000001"/>
    <n v="-1428.48"/>
    <n v="695.11"/>
    <n v="-1085.57"/>
    <n v="1333.98"/>
    <n v="1812.83"/>
    <n v="1747.67"/>
    <n v="1359.56"/>
    <n v="6540.4"/>
    <n v="-64.829999999999927"/>
  </r>
  <r>
    <x v="6"/>
    <x v="9"/>
    <x v="0"/>
    <s v="7915501"/>
    <n v="713010"/>
    <s v="Benefits-FICA/Medicare"/>
    <s v="Regional Retail Services"/>
    <x v="0"/>
    <m/>
    <n v="744.89"/>
    <n v="740.79"/>
    <n v="717.52"/>
    <n v="786.12"/>
    <n v="742.59"/>
    <n v="1492.34"/>
    <n v="1863.3"/>
    <n v="1656.74"/>
    <n v="1836.38"/>
    <n v="1882.78"/>
    <n v="1905.94"/>
    <n v="1970.77"/>
    <n v="16340.160000000003"/>
    <n v="-4.5499999999992724"/>
  </r>
  <r>
    <x v="6"/>
    <x v="9"/>
    <x v="0"/>
    <s v="7915501"/>
    <n v="713090"/>
    <s v="Benefits-Allocated Amounts"/>
    <s v="Regional Retail Services"/>
    <x v="0"/>
    <m/>
    <n v="2490.38"/>
    <n v="2243.3200000000002"/>
    <n v="2323.92"/>
    <n v="2385.5300000000002"/>
    <n v="2257.7600000000002"/>
    <n v="5433.31"/>
    <n v="8208.2900000000009"/>
    <n v="7583.87"/>
    <n v="8388.99"/>
    <n v="8965.2999999999993"/>
    <n v="8557.42"/>
    <n v="8561.9699999999993"/>
    <n v="67400.06"/>
    <n v="0"/>
  </r>
  <r>
    <x v="7"/>
    <x v="9"/>
    <x v="0"/>
    <s v="7915501"/>
    <n v="718050"/>
    <s v="Contract Svcs-Other"/>
    <s v="Regional Retail Services"/>
    <x v="0"/>
    <m/>
    <n v="0"/>
    <n v="0"/>
    <n v="0"/>
    <n v="0"/>
    <n v="0"/>
    <n v="0"/>
    <n v="0"/>
    <n v="0"/>
    <n v="3069.62"/>
    <n v="0"/>
    <n v="0"/>
    <n v="0"/>
    <n v="3069.62"/>
    <n v="-31095.47"/>
  </r>
  <r>
    <x v="7"/>
    <x v="9"/>
    <x v="0"/>
    <s v="7915501"/>
    <n v="718050"/>
    <s v="Miscellaneous Purchased Svcs"/>
    <s v="Regional Retail Services"/>
    <x v="0"/>
    <n v="1020"/>
    <n v="-11921.55"/>
    <n v="2516.7800000000002"/>
    <n v="-5682.13"/>
    <n v="3335.74"/>
    <n v="4229.2299999999996"/>
    <n v="362.25"/>
    <n v="-9167.17"/>
    <n v="-785.22"/>
    <n v="-6624"/>
    <n v="5809.69"/>
    <n v="-16778.189999999999"/>
    <n v="14317.28"/>
    <n v="-20387.29"/>
    <n v="0"/>
  </r>
  <r>
    <x v="11"/>
    <x v="9"/>
    <x v="0"/>
    <s v="7915501"/>
    <n v="721810"/>
    <s v="Supplies-Dietary/Cafeteria"/>
    <s v="Regional Retail Services"/>
    <x v="0"/>
    <m/>
    <n v="0"/>
    <n v="0"/>
    <n v="0"/>
    <n v="0"/>
    <n v="54.92"/>
    <n v="0"/>
    <n v="0"/>
    <n v="0"/>
    <n v="0"/>
    <n v="55.65"/>
    <n v="0"/>
    <n v="0"/>
    <n v="110.57"/>
    <n v="0"/>
  </r>
  <r>
    <x v="11"/>
    <x v="9"/>
    <x v="0"/>
    <s v="7915501"/>
    <n v="721830"/>
    <s v="Supplies-Office"/>
    <s v="Regional Retail Services"/>
    <x v="0"/>
    <m/>
    <n v="153.91"/>
    <n v="1046.8499999999999"/>
    <n v="-271.60000000000002"/>
    <n v="667.3"/>
    <n v="127.72"/>
    <n v="142.86000000000001"/>
    <n v="210.84"/>
    <n v="0"/>
    <n v="267.08999999999997"/>
    <n v="93.93"/>
    <n v="0"/>
    <n v="0"/>
    <n v="2438.9"/>
    <n v="7.36"/>
  </r>
  <r>
    <x v="11"/>
    <x v="9"/>
    <x v="0"/>
    <s v="7915501"/>
    <n v="721835"/>
    <s v="Supplies-Forms"/>
    <s v="Regional Retail Services"/>
    <x v="0"/>
    <m/>
    <n v="0"/>
    <n v="0"/>
    <n v="0"/>
    <n v="0"/>
    <n v="134.81"/>
    <n v="12.63"/>
    <n v="0.74"/>
    <n v="0"/>
    <n v="10.44"/>
    <n v="0"/>
    <n v="7.36"/>
    <n v="0"/>
    <n v="165.98000000000002"/>
    <n v="36.94"/>
  </r>
  <r>
    <x v="11"/>
    <x v="9"/>
    <x v="0"/>
    <s v="7915501"/>
    <n v="721980"/>
    <s v="Supplies-Other"/>
    <s v="Regional Retail Services"/>
    <x v="0"/>
    <m/>
    <n v="0"/>
    <n v="114.45"/>
    <n v="0"/>
    <n v="0"/>
    <n v="0"/>
    <n v="1048.94"/>
    <n v="141.19999999999999"/>
    <n v="0"/>
    <n v="249.91"/>
    <n v="920.83"/>
    <n v="18.47"/>
    <n v="-18.47"/>
    <n v="2475.3300000000004"/>
    <n v="-44.22"/>
  </r>
  <r>
    <x v="12"/>
    <x v="9"/>
    <x v="0"/>
    <s v="7915501"/>
    <n v="730020"/>
    <s v="Rental and Leases-Copier Usage Fees (DO NOT USE)"/>
    <s v="Regional Retail Services"/>
    <x v="0"/>
    <n v="5100"/>
    <n v="59.58"/>
    <n v="54.6"/>
    <n v="57.09"/>
    <n v="57.09"/>
    <n v="57.09"/>
    <n v="57.09"/>
    <n v="655.78"/>
    <n v="76.28"/>
    <n v="76.12"/>
    <n v="168.32"/>
    <n v="76.28"/>
    <n v="120.5"/>
    <n v="1515.8200000000002"/>
    <n v="-3.0499999999999972"/>
  </r>
  <r>
    <x v="15"/>
    <x v="9"/>
    <x v="0"/>
    <s v="7915501"/>
    <n v="731090"/>
    <s v="Other Utilities"/>
    <s v="Regional Retail Services"/>
    <x v="0"/>
    <m/>
    <n v="113.19"/>
    <n v="114.32"/>
    <n v="71.760000000000005"/>
    <n v="103.74"/>
    <n v="112.88"/>
    <n v="75.150000000000006"/>
    <n v="71.12"/>
    <n v="65.8"/>
    <n v="32.82"/>
    <n v="87.03"/>
    <n v="77.680000000000007"/>
    <n v="80.73"/>
    <n v="1006.22"/>
    <n v="0"/>
  </r>
  <r>
    <x v="16"/>
    <x v="9"/>
    <x v="0"/>
    <s v="7915501"/>
    <n v="732030"/>
    <s v="Repairs---Other"/>
    <s v="Regional Retail Services"/>
    <x v="0"/>
    <m/>
    <n v="0"/>
    <n v="0"/>
    <n v="181.51"/>
    <n v="0"/>
    <n v="0"/>
    <n v="0"/>
    <n v="0"/>
    <n v="0"/>
    <n v="0"/>
    <n v="561.51"/>
    <n v="0"/>
    <n v="0"/>
    <n v="743.02"/>
    <n v="0"/>
  </r>
  <r>
    <x v="16"/>
    <x v="9"/>
    <x v="0"/>
    <s v="7915501"/>
    <n v="733030"/>
    <s v="Maintenance Contracts-Other"/>
    <s v="Regional Retail Services"/>
    <x v="0"/>
    <m/>
    <n v="0"/>
    <n v="0"/>
    <n v="0"/>
    <n v="0"/>
    <n v="0"/>
    <n v="0"/>
    <n v="0"/>
    <n v="0"/>
    <n v="0"/>
    <n v="1849.68"/>
    <n v="0"/>
    <n v="0"/>
    <n v="1849.68"/>
    <n v="9.9999999999980105E-3"/>
  </r>
  <r>
    <x v="13"/>
    <x v="9"/>
    <x v="0"/>
    <s v="7915501"/>
    <n v="735070"/>
    <s v="Depreciation-Movable Equipment"/>
    <s v="Regional Retail Services"/>
    <x v="0"/>
    <m/>
    <n v="40.71"/>
    <n v="40.71"/>
    <n v="40.71"/>
    <n v="40.71"/>
    <n v="40.71"/>
    <n v="40.71"/>
    <n v="40.71"/>
    <n v="40.700000000000003"/>
    <n v="40.71"/>
    <n v="40.700000000000003"/>
    <n v="40.71"/>
    <n v="40.700000000000003"/>
    <n v="488.48999999999995"/>
    <n v="0"/>
  </r>
  <r>
    <x v="0"/>
    <x v="9"/>
    <x v="0"/>
    <s v="7915501"/>
    <n v="742010"/>
    <s v="Postage-Regular"/>
    <s v="Regional Retail Services"/>
    <x v="0"/>
    <m/>
    <n v="0"/>
    <n v="0"/>
    <n v="0"/>
    <n v="0"/>
    <n v="0"/>
    <n v="0"/>
    <n v="0"/>
    <n v="80.02"/>
    <n v="35.869999999999997"/>
    <n v="0"/>
    <n v="0"/>
    <n v="0"/>
    <n v="115.88999999999999"/>
    <n v="412.61"/>
  </r>
  <r>
    <x v="0"/>
    <x v="9"/>
    <x v="0"/>
    <s v="7915501"/>
    <n v="749510"/>
    <s v="Miscellaneous Expenses"/>
    <s v="Regional Retail Services"/>
    <x v="0"/>
    <m/>
    <n v="345.32"/>
    <n v="549.5"/>
    <n v="-694.33"/>
    <n v="98.52"/>
    <n v="561.71"/>
    <n v="-166.32"/>
    <n v="789.83"/>
    <n v="21.77"/>
    <n v="37.799999999999997"/>
    <n v="30.47"/>
    <n v="252.35"/>
    <n v="-160.26"/>
    <n v="1666.36"/>
    <n v="-270.82"/>
  </r>
  <r>
    <x v="0"/>
    <x v="9"/>
    <x v="0"/>
    <s v="7915501"/>
    <n v="749510"/>
    <s v="RICE Rewards"/>
    <s v="Regional Retail Services"/>
    <x v="0"/>
    <n v="5100"/>
    <n v="0"/>
    <n v="0"/>
    <n v="0"/>
    <n v="0"/>
    <n v="0"/>
    <n v="0"/>
    <n v="0"/>
    <n v="0"/>
    <n v="0"/>
    <n v="0"/>
    <n v="0"/>
    <n v="270.82"/>
    <n v="270.82"/>
    <n v="0"/>
  </r>
  <r>
    <x v="0"/>
    <x v="9"/>
    <x v="0"/>
    <s v="7915501"/>
    <n v="749530"/>
    <s v="Travel"/>
    <s v="Regional Retail Services"/>
    <x v="0"/>
    <m/>
    <n v="0"/>
    <n v="192.9"/>
    <n v="821.98"/>
    <n v="0"/>
    <n v="0"/>
    <n v="0"/>
    <n v="0"/>
    <n v="3558.82"/>
    <n v="0"/>
    <n v="0"/>
    <n v="0"/>
    <n v="0"/>
    <n v="4573.7"/>
    <n v="41566.329999999987"/>
  </r>
  <r>
    <x v="0"/>
    <x v="16"/>
    <x v="0"/>
    <s v="7920460"/>
    <n v="745010"/>
    <s v="Donations and Contributions"/>
    <s v="Gifts"/>
    <x v="0"/>
    <m/>
    <n v="160850.93"/>
    <n v="82207.240000000005"/>
    <n v="293671.49"/>
    <n v="136477.09"/>
    <n v="169084.17"/>
    <n v="59968.99"/>
    <n v="127068.82"/>
    <n v="82962.47"/>
    <n v="99539.46"/>
    <n v="185162.05"/>
    <n v="168279.49"/>
    <n v="126713.16"/>
    <n v="1691985.3599999999"/>
    <n v="-340293.59"/>
  </r>
  <r>
    <x v="0"/>
    <x v="17"/>
    <x v="0"/>
    <s v="7920467"/>
    <n v="745010"/>
    <s v="Donations and Contributions"/>
    <s v="Gifts"/>
    <x v="0"/>
    <m/>
    <n v="9394.82"/>
    <n v="34733.69"/>
    <n v="18279.080000000002"/>
    <n v="4104.21"/>
    <n v="922.16"/>
    <n v="6225.35"/>
    <n v="17095.25"/>
    <n v="4697.79"/>
    <n v="7168.25"/>
    <n v="5711.36"/>
    <n v="7393.87"/>
    <n v="347687.46"/>
    <n v="463413.29000000004"/>
    <n v="11214.570000000002"/>
  </r>
  <r>
    <x v="20"/>
    <x v="9"/>
    <x v="0"/>
    <s v="7921501"/>
    <n v="610010"/>
    <s v="Foundation Distributions"/>
    <s v="Community Integration"/>
    <x v="0"/>
    <n v="1175"/>
    <n v="-4000"/>
    <n v="0"/>
    <n v="-3096.78"/>
    <n v="-18467.91"/>
    <n v="-45137.43"/>
    <n v="-3474.44"/>
    <n v="-25100.400000000001"/>
    <n v="-13439.69"/>
    <n v="-30319.35"/>
    <n v="-42509.35"/>
    <n v="-11525.01"/>
    <n v="-22739.58"/>
    <n v="-219809.94"/>
    <n v="2813.7199999999993"/>
  </r>
  <r>
    <x v="5"/>
    <x v="9"/>
    <x v="0"/>
    <s v="7921501"/>
    <n v="700034"/>
    <s v="Salaries-Tech/Professional-Productive"/>
    <s v="Community Integration"/>
    <x v="0"/>
    <m/>
    <n v="0"/>
    <n v="0"/>
    <n v="7525.11"/>
    <n v="14819.64"/>
    <n v="15584.91"/>
    <n v="11163.58"/>
    <n v="14014.77"/>
    <n v="12667.54"/>
    <n v="12861.39"/>
    <n v="14209.48"/>
    <n v="15907.84"/>
    <n v="13094.12"/>
    <n v="131848.38"/>
    <n v="-2306.92"/>
  </r>
  <r>
    <x v="5"/>
    <x v="9"/>
    <x v="0"/>
    <s v="7921501"/>
    <n v="700074"/>
    <s v="Salaries-Tech/Professional-Non-productive"/>
    <s v="Community Integration"/>
    <x v="0"/>
    <m/>
    <n v="0"/>
    <n v="0"/>
    <n v="0"/>
    <n v="1938.66"/>
    <n v="-396.74"/>
    <n v="4531.3599999999997"/>
    <n v="1704.74"/>
    <n v="1529.25"/>
    <n v="2856.62"/>
    <n v="1001.01"/>
    <n v="-189.84"/>
    <n v="2117.08"/>
    <n v="15092.14"/>
    <n v="666.79999999999984"/>
  </r>
  <r>
    <x v="5"/>
    <x v="9"/>
    <x v="0"/>
    <s v="7921501"/>
    <n v="700084"/>
    <s v="Accrued PTO"/>
    <s v="Community Integration"/>
    <x v="0"/>
    <m/>
    <n v="0"/>
    <n v="0"/>
    <n v="6122.45"/>
    <n v="598.33000000000004"/>
    <n v="1445.14"/>
    <n v="-1656.12"/>
    <n v="-414.13"/>
    <n v="391.5"/>
    <n v="-677.02"/>
    <n v="636.75"/>
    <n v="1382.87"/>
    <n v="716.07"/>
    <n v="8545.84"/>
    <n v="37.439999999999827"/>
  </r>
  <r>
    <x v="6"/>
    <x v="9"/>
    <x v="0"/>
    <s v="7921501"/>
    <n v="713010"/>
    <s v="Benefits-FICA/Medicare"/>
    <s v="Community Integration"/>
    <x v="0"/>
    <m/>
    <n v="0"/>
    <n v="0"/>
    <n v="573.6"/>
    <n v="1279.05"/>
    <n v="1160.47"/>
    <n v="1178.5"/>
    <n v="1160.3"/>
    <n v="1048.04"/>
    <n v="1160.33"/>
    <n v="1122.8399999999999"/>
    <n v="1160.33"/>
    <n v="1122.8900000000001"/>
    <n v="10966.349999999999"/>
    <n v="132.07999999999993"/>
  </r>
  <r>
    <x v="6"/>
    <x v="9"/>
    <x v="0"/>
    <s v="7921501"/>
    <n v="713090"/>
    <s v="Benefits-Allocated Amounts"/>
    <s v="Community Integration"/>
    <x v="0"/>
    <m/>
    <n v="0"/>
    <n v="0"/>
    <n v="1999.96"/>
    <n v="3870.53"/>
    <n v="3440.95"/>
    <n v="3658.35"/>
    <n v="3801.57"/>
    <n v="3605.91"/>
    <n v="3987.3"/>
    <n v="3773.32"/>
    <n v="3991.13"/>
    <n v="3859.05"/>
    <n v="35988.07"/>
    <n v="0"/>
  </r>
  <r>
    <x v="11"/>
    <x v="9"/>
    <x v="0"/>
    <s v="7921501"/>
    <n v="721830"/>
    <s v="Supplies-Office"/>
    <s v="Community Integration"/>
    <x v="0"/>
    <m/>
    <n v="0"/>
    <n v="0"/>
    <n v="0"/>
    <n v="0"/>
    <n v="28.79"/>
    <n v="0"/>
    <n v="0"/>
    <n v="0"/>
    <n v="0"/>
    <n v="0"/>
    <n v="0"/>
    <n v="0"/>
    <n v="28.79"/>
    <n v="93.699999999999989"/>
  </r>
  <r>
    <x v="11"/>
    <x v="9"/>
    <x v="0"/>
    <s v="7921501"/>
    <n v="721835"/>
    <s v="Supplies-Forms"/>
    <s v="Community Integration"/>
    <x v="0"/>
    <m/>
    <n v="0"/>
    <n v="0"/>
    <n v="0"/>
    <n v="0"/>
    <n v="87.35"/>
    <n v="0"/>
    <n v="0"/>
    <n v="0"/>
    <n v="34.799999999999997"/>
    <n v="8"/>
    <n v="112.96"/>
    <n v="19.260000000000002"/>
    <n v="262.36999999999995"/>
    <n v="0"/>
  </r>
  <r>
    <x v="0"/>
    <x v="9"/>
    <x v="0"/>
    <s v="7921501"/>
    <n v="740020"/>
    <s v="Education-Registration Fees"/>
    <s v="Community Integration"/>
    <x v="0"/>
    <m/>
    <n v="0"/>
    <n v="445"/>
    <n v="0"/>
    <n v="0"/>
    <n v="0"/>
    <n v="0"/>
    <n v="0"/>
    <n v="0"/>
    <n v="0"/>
    <n v="0"/>
    <n v="0"/>
    <n v="0"/>
    <n v="445"/>
    <n v="-2470.42"/>
  </r>
  <r>
    <x v="0"/>
    <x v="9"/>
    <x v="0"/>
    <s v="7921501"/>
    <n v="749510"/>
    <s v="Miscellaneous Expenses"/>
    <s v="Community Integration"/>
    <x v="0"/>
    <m/>
    <n v="4798.59"/>
    <n v="23980.05"/>
    <n v="3516.77"/>
    <n v="8790.9699999999993"/>
    <n v="33333.019999999997"/>
    <n v="3543.14"/>
    <n v="3043.21"/>
    <n v="197.72"/>
    <n v="22495.81"/>
    <n v="25743.37"/>
    <n v="9697.4500000000007"/>
    <n v="12167.87"/>
    <n v="151307.97"/>
    <n v="4357.21"/>
  </r>
  <r>
    <x v="0"/>
    <x v="9"/>
    <x v="0"/>
    <s v="7921501"/>
    <n v="749510"/>
    <s v="Miscellaneous Expense"/>
    <s v="Community Integration"/>
    <x v="0"/>
    <n v="1009"/>
    <n v="0"/>
    <n v="0"/>
    <n v="0"/>
    <n v="0"/>
    <n v="0"/>
    <n v="0"/>
    <n v="22899.5"/>
    <n v="22899.5"/>
    <n v="0"/>
    <n v="0"/>
    <n v="4357.21"/>
    <n v="0"/>
    <n v="50156.21"/>
    <n v="-92.38"/>
  </r>
  <r>
    <x v="0"/>
    <x v="9"/>
    <x v="0"/>
    <s v="7921501"/>
    <n v="749510"/>
    <s v="RICE Rewards"/>
    <s v="Community Integration"/>
    <x v="0"/>
    <n v="5100"/>
    <n v="0"/>
    <n v="0"/>
    <n v="0"/>
    <n v="0"/>
    <n v="0"/>
    <n v="0"/>
    <n v="0"/>
    <n v="0"/>
    <n v="0"/>
    <n v="0"/>
    <n v="0"/>
    <n v="92.38"/>
    <n v="92.38"/>
    <n v="-36.6"/>
  </r>
  <r>
    <x v="0"/>
    <x v="9"/>
    <x v="0"/>
    <s v="7921501"/>
    <n v="749530"/>
    <s v="Travel"/>
    <s v="Community Integration"/>
    <x v="0"/>
    <m/>
    <n v="0"/>
    <n v="12"/>
    <n v="343.2"/>
    <n v="62"/>
    <n v="533.94000000000005"/>
    <n v="37.6"/>
    <n v="0"/>
    <n v="26"/>
    <n v="10"/>
    <n v="16"/>
    <n v="50.4"/>
    <n v="87"/>
    <n v="1178.1400000000003"/>
    <n v="-534.17999999999995"/>
  </r>
  <r>
    <x v="0"/>
    <x v="9"/>
    <x v="0"/>
    <s v="7921501"/>
    <n v="749530"/>
    <s v="Mileage"/>
    <s v="Community Integration"/>
    <x v="0"/>
    <n v="1001"/>
    <n v="0"/>
    <n v="162.44999999999999"/>
    <n v="295.45999999999998"/>
    <n v="360.85"/>
    <n v="314.52999999999997"/>
    <n v="568.57000000000005"/>
    <n v="0"/>
    <n v="488.94"/>
    <n v="265.06"/>
    <n v="308.56"/>
    <n v="345.1"/>
    <n v="879.28"/>
    <n v="3988.8"/>
    <n v="13128.669999999998"/>
  </r>
  <r>
    <x v="5"/>
    <x v="9"/>
    <x v="0"/>
    <s v="8100501"/>
    <n v="700014"/>
    <s v="Salaries-Management-Productive"/>
    <s v="Virtual Health Services"/>
    <x v="0"/>
    <m/>
    <n v="32388.11"/>
    <n v="27713.01"/>
    <n v="33143.24"/>
    <n v="35814.199999999997"/>
    <n v="36649.46"/>
    <n v="23751.040000000001"/>
    <n v="33797.440000000002"/>
    <n v="29347.06"/>
    <n v="35084.239999999998"/>
    <n v="49003.16"/>
    <n v="42927.77"/>
    <n v="29799.1"/>
    <n v="409417.82999999996"/>
    <n v="-1735.3599999999988"/>
  </r>
  <r>
    <x v="5"/>
    <x v="9"/>
    <x v="0"/>
    <s v="8100501"/>
    <n v="700026"/>
    <s v="Salaries-RN-Productive"/>
    <s v="Virtual Health Services"/>
    <x v="0"/>
    <m/>
    <n v="8935.4500000000007"/>
    <n v="8151.03"/>
    <n v="8332.18"/>
    <n v="9365.9500000000007"/>
    <n v="9282.61"/>
    <n v="5384.24"/>
    <n v="9482.7800000000007"/>
    <n v="8087.96"/>
    <n v="6352.69"/>
    <n v="9234.18"/>
    <n v="7933.1"/>
    <n v="9668.4599999999991"/>
    <n v="100210.63"/>
    <n v="9117.4599999999991"/>
  </r>
  <r>
    <x v="5"/>
    <x v="9"/>
    <x v="0"/>
    <s v="8100501"/>
    <n v="700034"/>
    <s v="Salaries-Tech/Professional-Productive"/>
    <s v="Virtual Health Services"/>
    <x v="0"/>
    <m/>
    <n v="15104.01"/>
    <n v="13890.72"/>
    <n v="13082.85"/>
    <n v="13533.65"/>
    <n v="19131.060000000001"/>
    <n v="10261.18"/>
    <n v="14960.65"/>
    <n v="13185.29"/>
    <n v="16591.03"/>
    <n v="15058.27"/>
    <n v="15187.15"/>
    <n v="6069.69"/>
    <n v="166055.54999999999"/>
    <n v="-165.35000000000002"/>
  </r>
  <r>
    <x v="5"/>
    <x v="9"/>
    <x v="0"/>
    <s v="8100501"/>
    <n v="700034"/>
    <s v="Salaries-Tech/Professional-OT"/>
    <s v="Virtual Health Services"/>
    <x v="0"/>
    <n v="1000"/>
    <n v="61.37"/>
    <n v="194.07"/>
    <n v="122.98"/>
    <n v="114.62"/>
    <n v="-65.64"/>
    <n v="145.19999999999999"/>
    <n v="-5.96"/>
    <n v="107.56"/>
    <n v="406.38"/>
    <n v="641.41"/>
    <n v="35.86"/>
    <n v="201.21"/>
    <n v="1959.0599999999997"/>
    <n v="0"/>
  </r>
  <r>
    <x v="5"/>
    <x v="9"/>
    <x v="0"/>
    <s v="8100501"/>
    <n v="700038"/>
    <s v="Salaries-Service/Support-Productive"/>
    <s v="Virtual Health Services"/>
    <x v="0"/>
    <m/>
    <n v="346.24"/>
    <n v="0"/>
    <n v="0"/>
    <n v="0"/>
    <n v="0"/>
    <n v="0"/>
    <n v="0"/>
    <n v="0"/>
    <n v="0"/>
    <n v="0"/>
    <n v="0"/>
    <n v="0"/>
    <n v="346.24"/>
    <n v="3064.33"/>
  </r>
  <r>
    <x v="5"/>
    <x v="9"/>
    <x v="0"/>
    <s v="8100501"/>
    <n v="700054"/>
    <s v="Salaries-Management-Non-productive"/>
    <s v="Virtual Health Services"/>
    <x v="0"/>
    <m/>
    <n v="3305.12"/>
    <n v="8509.3799999999992"/>
    <n v="1911.18"/>
    <n v="1383.92"/>
    <n v="-425.84"/>
    <n v="13681.22"/>
    <n v="3693.28"/>
    <n v="4512.08"/>
    <n v="2402.9299999999998"/>
    <n v="214.3"/>
    <n v="5116.71"/>
    <n v="2052.38"/>
    <n v="46356.659999999996"/>
    <n v="0"/>
  </r>
  <r>
    <x v="5"/>
    <x v="9"/>
    <x v="0"/>
    <s v="8100501"/>
    <n v="700054"/>
    <s v="Salaries-Management-NonProd-Other"/>
    <s v="Virtual Health Services"/>
    <x v="0"/>
    <n v="2000"/>
    <n v="0"/>
    <n v="0"/>
    <n v="0"/>
    <n v="0"/>
    <n v="0"/>
    <n v="1740.4"/>
    <n v="-1740.4"/>
    <n v="0"/>
    <n v="0"/>
    <n v="0"/>
    <n v="0"/>
    <n v="0"/>
    <n v="0"/>
    <n v="2045.08"/>
  </r>
  <r>
    <x v="5"/>
    <x v="9"/>
    <x v="0"/>
    <s v="8100501"/>
    <n v="700066"/>
    <s v="Salaries-RN-Non-productive"/>
    <s v="Virtual Health Services"/>
    <x v="0"/>
    <m/>
    <n v="1465.28"/>
    <n v="1207.48"/>
    <n v="724.57"/>
    <n v="181.15"/>
    <n v="0"/>
    <n v="4208.1000000000004"/>
    <n v="124.53"/>
    <n v="588.74"/>
    <n v="3253.72"/>
    <n v="62.04"/>
    <n v="1673.29"/>
    <n v="-371.79"/>
    <n v="13117.11"/>
    <n v="-195.55999999999995"/>
  </r>
  <r>
    <x v="5"/>
    <x v="9"/>
    <x v="0"/>
    <s v="8100501"/>
    <n v="700074"/>
    <s v="Salaries-Tech/Professional-Non-productive"/>
    <s v="Virtual Health Services"/>
    <x v="0"/>
    <m/>
    <n v="3691.63"/>
    <n v="2749.74"/>
    <n v="2908.08"/>
    <n v="3342.82"/>
    <n v="-834.23"/>
    <n v="5705.86"/>
    <n v="2098.38"/>
    <n v="1951.43"/>
    <n v="323.02999999999997"/>
    <n v="1259.49"/>
    <n v="2253.09"/>
    <n v="2448.65"/>
    <n v="27897.970000000005"/>
    <n v="-4608.74"/>
  </r>
  <r>
    <x v="5"/>
    <x v="9"/>
    <x v="0"/>
    <s v="8100501"/>
    <n v="700084"/>
    <s v="Accrued PTO"/>
    <s v="Virtual Health Services"/>
    <x v="0"/>
    <m/>
    <n v="1426.31"/>
    <n v="-3844.18"/>
    <n v="4706.68"/>
    <n v="5238.75"/>
    <n v="5178.5"/>
    <n v="-9666.18"/>
    <n v="432.14"/>
    <n v="1996.01"/>
    <n v="5703"/>
    <n v="7804.09"/>
    <n v="-1151.78"/>
    <n v="3456.96"/>
    <n v="21280.300000000003"/>
    <n v="1903.06"/>
  </r>
  <r>
    <x v="6"/>
    <x v="9"/>
    <x v="0"/>
    <s v="8100501"/>
    <n v="713010"/>
    <s v="Benefits-FICA/Medicare"/>
    <s v="Virtual Health Services"/>
    <x v="0"/>
    <m/>
    <n v="4859.3500000000004"/>
    <n v="4650.63"/>
    <n v="4487.0200000000004"/>
    <n v="4751.66"/>
    <n v="2634.18"/>
    <n v="3719.6"/>
    <n v="4882.04"/>
    <n v="4277.26"/>
    <n v="4769.37"/>
    <n v="5900.45"/>
    <n v="5586.17"/>
    <n v="3683.11"/>
    <n v="54200.84"/>
    <n v="3255.09"/>
  </r>
  <r>
    <x v="6"/>
    <x v="9"/>
    <x v="0"/>
    <s v="8100501"/>
    <n v="713090"/>
    <s v="Benefits-Allocated Amounts"/>
    <s v="Virtual Health Services"/>
    <x v="0"/>
    <m/>
    <n v="9768.6200000000008"/>
    <n v="8085.46"/>
    <n v="8876.7000000000007"/>
    <n v="8541.09"/>
    <n v="8059.08"/>
    <n v="8784.83"/>
    <n v="9566.2800000000007"/>
    <n v="8989.5499999999993"/>
    <n v="11014.71"/>
    <n v="11751.86"/>
    <n v="11106.01"/>
    <n v="7850.92"/>
    <n v="112395.11"/>
    <n v="-100.91"/>
  </r>
  <r>
    <x v="6"/>
    <x v="9"/>
    <x v="0"/>
    <s v="8100501"/>
    <n v="713096"/>
    <s v="Employee Recognition"/>
    <s v="Virtual Health Services"/>
    <x v="0"/>
    <n v="1017"/>
    <n v="0"/>
    <n v="0"/>
    <n v="311.85000000000002"/>
    <n v="0"/>
    <n v="52.28"/>
    <n v="1212.82"/>
    <n v="0"/>
    <n v="12.1"/>
    <n v="104.46"/>
    <n v="76.47"/>
    <n v="0"/>
    <n v="100.91"/>
    <n v="1870.8899999999999"/>
    <n v="-12.5"/>
  </r>
  <r>
    <x v="7"/>
    <x v="9"/>
    <x v="0"/>
    <s v="8100501"/>
    <n v="718050"/>
    <s v="Contract Svcs-Other"/>
    <s v="Virtual Health Services"/>
    <x v="0"/>
    <m/>
    <n v="1644.95"/>
    <n v="6811.12"/>
    <n v="0"/>
    <n v="0"/>
    <n v="0"/>
    <n v="2513.77"/>
    <n v="0"/>
    <n v="555.37"/>
    <n v="383.86"/>
    <n v="0"/>
    <n v="0"/>
    <n v="12.5"/>
    <n v="11921.570000000002"/>
    <n v="137.75"/>
  </r>
  <r>
    <x v="7"/>
    <x v="9"/>
    <x v="0"/>
    <s v="8100501"/>
    <n v="718050"/>
    <s v="Miscellaneous Purchased Svcs"/>
    <s v="Virtual Health Services"/>
    <x v="0"/>
    <n v="1020"/>
    <n v="0"/>
    <n v="0"/>
    <n v="35.86"/>
    <n v="0"/>
    <n v="0"/>
    <n v="0"/>
    <n v="0"/>
    <n v="0"/>
    <n v="0"/>
    <n v="0"/>
    <n v="137.75"/>
    <n v="0"/>
    <n v="173.61"/>
    <n v="0"/>
  </r>
  <r>
    <x v="11"/>
    <x v="9"/>
    <x v="0"/>
    <s v="8100501"/>
    <n v="721810"/>
    <s v="Supplies-Dietary/Cafeteria"/>
    <s v="Virtual Health Services"/>
    <x v="0"/>
    <m/>
    <n v="0"/>
    <n v="0"/>
    <n v="8"/>
    <n v="0"/>
    <n v="0"/>
    <n v="0"/>
    <n v="0"/>
    <n v="0"/>
    <n v="0"/>
    <n v="0"/>
    <n v="0"/>
    <n v="0"/>
    <n v="8"/>
    <n v="668.17000000000007"/>
  </r>
  <r>
    <x v="11"/>
    <x v="9"/>
    <x v="0"/>
    <s v="8100501"/>
    <n v="721830"/>
    <s v="Supplies-Office"/>
    <s v="Virtual Health Services"/>
    <x v="0"/>
    <m/>
    <n v="392.19"/>
    <n v="-396.18"/>
    <n v="644.62"/>
    <n v="543.65"/>
    <n v="2.59"/>
    <n v="1970.99"/>
    <n v="-1554.44"/>
    <n v="1326.07"/>
    <n v="1079.9000000000001"/>
    <n v="1648.14"/>
    <n v="1521.41"/>
    <n v="853.24"/>
    <n v="8032.1799999999994"/>
    <n v="-647.5"/>
  </r>
  <r>
    <x v="11"/>
    <x v="9"/>
    <x v="0"/>
    <s v="8100501"/>
    <n v="721910"/>
    <s v="Supplies-Small Equipment"/>
    <s v="Virtual Health Services"/>
    <x v="0"/>
    <m/>
    <n v="0"/>
    <n v="1462"/>
    <n v="765.2"/>
    <n v="0"/>
    <n v="0"/>
    <n v="2712.9"/>
    <n v="15236.09"/>
    <n v="13416.93"/>
    <n v="20811.13"/>
    <n v="1795.74"/>
    <n v="0"/>
    <n v="647.5"/>
    <n v="56847.49"/>
    <n v="-0.11999999999999922"/>
  </r>
  <r>
    <x v="11"/>
    <x v="9"/>
    <x v="0"/>
    <s v="8100501"/>
    <n v="721980"/>
    <s v="Supplies-Other"/>
    <s v="Virtual Health Services"/>
    <x v="0"/>
    <m/>
    <n v="172.38"/>
    <n v="0"/>
    <n v="268.44"/>
    <n v="28.74"/>
    <n v="43.09"/>
    <n v="518.12"/>
    <n v="1082.8499999999999"/>
    <n v="70.45"/>
    <n v="0"/>
    <n v="0"/>
    <n v="8.67"/>
    <n v="8.7899999999999991"/>
    <n v="2201.5299999999997"/>
    <n v="-33.36"/>
  </r>
  <r>
    <x v="11"/>
    <x v="9"/>
    <x v="0"/>
    <s v="8100501"/>
    <n v="722000"/>
    <s v="Supplies-Freight Expense"/>
    <s v="Virtual Health Services"/>
    <x v="0"/>
    <m/>
    <n v="0"/>
    <n v="0"/>
    <n v="0"/>
    <n v="0"/>
    <n v="0"/>
    <n v="37.47"/>
    <n v="0"/>
    <n v="0"/>
    <n v="0"/>
    <n v="109.76"/>
    <n v="0"/>
    <n v="33.36"/>
    <n v="180.59000000000003"/>
    <n v="-149.51999999999998"/>
  </r>
  <r>
    <x v="12"/>
    <x v="9"/>
    <x v="0"/>
    <s v="8100501"/>
    <n v="730020"/>
    <s v="Rental and Leases-Copier Usage Fees (DO NOT USE)"/>
    <s v="Virtual Health Services"/>
    <x v="0"/>
    <n v="5100"/>
    <n v="140.18"/>
    <n v="144.34"/>
    <n v="142.26"/>
    <n v="142.26"/>
    <n v="142.26"/>
    <n v="142.26"/>
    <n v="412.73"/>
    <n v="185.39"/>
    <n v="184.99"/>
    <n v="185.77"/>
    <n v="-113.66"/>
    <n v="35.86"/>
    <n v="1744.6399999999996"/>
    <n v="2642.4"/>
  </r>
  <r>
    <x v="15"/>
    <x v="9"/>
    <x v="0"/>
    <s v="8100501"/>
    <n v="731060"/>
    <s v="Telephone"/>
    <s v="Virtual Health Services"/>
    <x v="0"/>
    <m/>
    <n v="0"/>
    <n v="0"/>
    <n v="0"/>
    <n v="0"/>
    <n v="0"/>
    <n v="0"/>
    <n v="0"/>
    <n v="0"/>
    <n v="0"/>
    <n v="0"/>
    <n v="2642.4"/>
    <n v="0"/>
    <n v="2642.4"/>
    <n v="0"/>
  </r>
  <r>
    <x v="15"/>
    <x v="9"/>
    <x v="0"/>
    <s v="8100501"/>
    <n v="731060"/>
    <s v="Cell Phones"/>
    <s v="Virtual Health Services"/>
    <x v="0"/>
    <n v="1001"/>
    <n v="0"/>
    <n v="0"/>
    <n v="0"/>
    <n v="120"/>
    <n v="0"/>
    <n v="0"/>
    <n v="0"/>
    <n v="120"/>
    <n v="0"/>
    <n v="0"/>
    <n v="0"/>
    <n v="0"/>
    <n v="240"/>
    <n v="0"/>
  </r>
  <r>
    <x v="16"/>
    <x v="9"/>
    <x v="0"/>
    <s v="8100501"/>
    <n v="732030"/>
    <s v="Repairs---Other"/>
    <s v="Virtual Health Services"/>
    <x v="0"/>
    <m/>
    <n v="0"/>
    <n v="0"/>
    <n v="0"/>
    <n v="0"/>
    <n v="0"/>
    <n v="0"/>
    <n v="3916.09"/>
    <n v="0"/>
    <n v="0"/>
    <n v="0"/>
    <n v="0"/>
    <n v="0"/>
    <n v="3916.09"/>
    <n v="0"/>
  </r>
  <r>
    <x v="16"/>
    <x v="9"/>
    <x v="0"/>
    <s v="8100501"/>
    <n v="733030"/>
    <s v="Maintenance Contracts-Other"/>
    <s v="Virtual Health Services"/>
    <x v="0"/>
    <m/>
    <n v="0"/>
    <n v="0"/>
    <n v="253.38"/>
    <n v="666.6"/>
    <n v="126.69"/>
    <n v="0"/>
    <n v="126.69"/>
    <n v="423.58"/>
    <n v="103.3"/>
    <n v="109.3"/>
    <n v="0"/>
    <n v="0"/>
    <n v="1809.54"/>
    <n v="5.9999999997671694E-2"/>
  </r>
  <r>
    <x v="13"/>
    <x v="9"/>
    <x v="0"/>
    <s v="8100501"/>
    <n v="735040"/>
    <s v="Depreciation-Building Improvements"/>
    <s v="Virtual Health Services"/>
    <x v="0"/>
    <m/>
    <n v="16546.080000000002"/>
    <n v="16546.080000000002"/>
    <n v="16546.09"/>
    <n v="16546.07"/>
    <n v="16546.09"/>
    <n v="16546.07"/>
    <n v="16546.099999999999"/>
    <n v="16546.07"/>
    <n v="16546.11"/>
    <n v="16546.07"/>
    <n v="16546.12"/>
    <n v="16546.060000000001"/>
    <n v="198553.01"/>
    <n v="1.999999999998181E-2"/>
  </r>
  <r>
    <x v="13"/>
    <x v="9"/>
    <x v="0"/>
    <s v="8100501"/>
    <n v="735060"/>
    <s v="Depreciation-Fixed Equipment"/>
    <s v="Virtual Health Services"/>
    <x v="0"/>
    <m/>
    <n v="698.73"/>
    <n v="698.73"/>
    <n v="698.73"/>
    <n v="698.72"/>
    <n v="698.73"/>
    <n v="698.72"/>
    <n v="698.73"/>
    <n v="698.71"/>
    <n v="698.73"/>
    <n v="698.71"/>
    <n v="698.73"/>
    <n v="698.71"/>
    <n v="8384.68"/>
    <n v="525.33000000000175"/>
  </r>
  <r>
    <x v="13"/>
    <x v="9"/>
    <x v="0"/>
    <s v="8100501"/>
    <n v="735070"/>
    <s v="Depreciation-Movable Equipment"/>
    <s v="Virtual Health Services"/>
    <x v="0"/>
    <m/>
    <n v="16788.009999999998"/>
    <n v="16788"/>
    <n v="16788.009999999998"/>
    <n v="19333.099999999999"/>
    <n v="19333.18"/>
    <n v="19382.900000000001"/>
    <n v="20331.310000000001"/>
    <n v="20331.25"/>
    <n v="20319.93"/>
    <n v="20319.86"/>
    <n v="20319.93"/>
    <n v="19794.599999999999"/>
    <n v="229830.08"/>
    <n v="0"/>
  </r>
  <r>
    <x v="0"/>
    <x v="9"/>
    <x v="0"/>
    <s v="8100501"/>
    <n v="740020"/>
    <s v="Education-Registration Fees"/>
    <s v="Virtual Health Services"/>
    <x v="0"/>
    <m/>
    <n v="0"/>
    <n v="0"/>
    <n v="0"/>
    <n v="0"/>
    <n v="0"/>
    <n v="0"/>
    <n v="0"/>
    <n v="0"/>
    <n v="500"/>
    <n v="2070"/>
    <n v="0"/>
    <n v="0"/>
    <n v="2570"/>
    <n v="0"/>
  </r>
  <r>
    <x v="0"/>
    <x v="9"/>
    <x v="0"/>
    <s v="8100501"/>
    <n v="742020"/>
    <s v="Postage-Express Services"/>
    <s v="Virtual Health Services"/>
    <x v="0"/>
    <m/>
    <n v="39.6"/>
    <n v="0"/>
    <n v="0"/>
    <n v="0"/>
    <n v="0"/>
    <n v="0"/>
    <n v="0"/>
    <n v="0"/>
    <n v="0"/>
    <n v="0"/>
    <n v="0"/>
    <n v="0"/>
    <n v="39.6"/>
    <n v="0"/>
  </r>
  <r>
    <x v="0"/>
    <x v="9"/>
    <x v="0"/>
    <s v="8100501"/>
    <n v="743010"/>
    <s v="Dues--Institutional"/>
    <s v="Virtual Health Services"/>
    <x v="0"/>
    <m/>
    <n v="0"/>
    <n v="0"/>
    <n v="0"/>
    <n v="0"/>
    <n v="0"/>
    <n v="0"/>
    <n v="0"/>
    <n v="0"/>
    <n v="0"/>
    <n v="1000"/>
    <n v="0"/>
    <n v="0"/>
    <n v="1000"/>
    <n v="0"/>
  </r>
  <r>
    <x v="0"/>
    <x v="9"/>
    <x v="0"/>
    <s v="8100501"/>
    <n v="743020"/>
    <s v="Dues--Individual"/>
    <s v="Virtual Health Services"/>
    <x v="0"/>
    <m/>
    <n v="0"/>
    <n v="0"/>
    <n v="325"/>
    <n v="0"/>
    <n v="0"/>
    <n v="0"/>
    <n v="0"/>
    <n v="0"/>
    <n v="0"/>
    <n v="800"/>
    <n v="0"/>
    <n v="0"/>
    <n v="1125"/>
    <n v="0"/>
  </r>
  <r>
    <x v="0"/>
    <x v="9"/>
    <x v="0"/>
    <s v="8100501"/>
    <n v="743030"/>
    <s v="Subscriptions--Institutional"/>
    <s v="Virtual Health Services"/>
    <x v="0"/>
    <m/>
    <n v="0"/>
    <n v="0"/>
    <n v="166.52"/>
    <n v="0"/>
    <n v="0"/>
    <n v="0"/>
    <n v="0"/>
    <n v="0"/>
    <n v="0"/>
    <n v="0"/>
    <n v="0"/>
    <n v="0"/>
    <n v="166.52"/>
    <n v="0"/>
  </r>
  <r>
    <x v="0"/>
    <x v="9"/>
    <x v="0"/>
    <s v="8100501"/>
    <n v="743040"/>
    <s v="Subscriptions--Individual"/>
    <s v="Virtual Health Services"/>
    <x v="0"/>
    <m/>
    <n v="0"/>
    <n v="0"/>
    <n v="0"/>
    <n v="0"/>
    <n v="0"/>
    <n v="0"/>
    <n v="0"/>
    <n v="0"/>
    <n v="53.94"/>
    <n v="0"/>
    <n v="0"/>
    <n v="0"/>
    <n v="53.94"/>
    <n v="-2609.58"/>
  </r>
  <r>
    <x v="0"/>
    <x v="9"/>
    <x v="0"/>
    <s v="8100501"/>
    <n v="749510"/>
    <s v="Miscellaneous Expenses"/>
    <s v="Virtual Health Services"/>
    <x v="0"/>
    <m/>
    <n v="-75.83"/>
    <n v="1182.04"/>
    <n v="-175.95"/>
    <n v="2591.4699999999998"/>
    <n v="-1991.69"/>
    <n v="-1418.38"/>
    <n v="851.92"/>
    <n v="-696.06"/>
    <n v="1629.58"/>
    <n v="1611.21"/>
    <n v="-1617.96"/>
    <n v="991.62"/>
    <n v="2881.9699999999993"/>
    <n v="0"/>
  </r>
  <r>
    <x v="0"/>
    <x v="9"/>
    <x v="0"/>
    <s v="8100501"/>
    <n v="749510"/>
    <s v="RICE Rewards"/>
    <s v="Virtual Health Services"/>
    <x v="0"/>
    <n v="5100"/>
    <n v="0"/>
    <n v="0"/>
    <n v="0"/>
    <n v="0"/>
    <n v="0"/>
    <n v="0"/>
    <n v="300.16000000000003"/>
    <n v="0"/>
    <n v="0"/>
    <n v="0"/>
    <n v="0"/>
    <n v="0"/>
    <n v="300.16000000000003"/>
    <n v="1397.82"/>
  </r>
  <r>
    <x v="0"/>
    <x v="9"/>
    <x v="0"/>
    <s v="8100501"/>
    <n v="749530"/>
    <s v="Travel"/>
    <s v="Virtual Health Services"/>
    <x v="0"/>
    <m/>
    <n v="24"/>
    <n v="0"/>
    <n v="332.41"/>
    <n v="284.89"/>
    <n v="2200.31"/>
    <n v="1358.67"/>
    <n v="376.77"/>
    <n v="791.93"/>
    <n v="223.25"/>
    <n v="6009.21"/>
    <n v="1433.82"/>
    <n v="36"/>
    <n v="13071.259999999998"/>
    <n v="-110.2"/>
  </r>
  <r>
    <x v="0"/>
    <x v="9"/>
    <x v="0"/>
    <s v="8100501"/>
    <n v="749530"/>
    <s v="Mileage"/>
    <s v="Virtual Health Services"/>
    <x v="0"/>
    <n v="1001"/>
    <n v="57.8"/>
    <n v="0"/>
    <n v="366.79"/>
    <n v="164.59"/>
    <n v="239.82"/>
    <n v="211.49"/>
    <n v="0"/>
    <n v="181.18"/>
    <n v="33.06"/>
    <n v="40.020000000000003"/>
    <n v="0"/>
    <n v="110.2"/>
    <n v="1404.95"/>
    <n v="-668.49"/>
  </r>
  <r>
    <x v="0"/>
    <x v="9"/>
    <x v="0"/>
    <s v="8100501"/>
    <n v="749535"/>
    <s v="Meetings"/>
    <s v="Virtual Health Services"/>
    <x v="0"/>
    <m/>
    <n v="0"/>
    <n v="0"/>
    <n v="22.8"/>
    <n v="0"/>
    <n v="133.31"/>
    <n v="0"/>
    <n v="428.77"/>
    <n v="298.76"/>
    <n v="0"/>
    <n v="304.41000000000003"/>
    <n v="0"/>
    <n v="668.49"/>
    <n v="1856.54"/>
    <n v="0"/>
  </r>
  <r>
    <x v="0"/>
    <x v="9"/>
    <x v="0"/>
    <s v="8100501"/>
    <n v="749535"/>
    <s v="Employee Functions"/>
    <s v="Virtual Health Services"/>
    <x v="0"/>
    <n v="1004"/>
    <n v="0"/>
    <n v="0"/>
    <n v="0"/>
    <n v="0"/>
    <n v="518.96"/>
    <n v="0"/>
    <n v="0"/>
    <n v="0"/>
    <n v="0"/>
    <n v="0"/>
    <n v="0"/>
    <n v="0"/>
    <n v="518.96"/>
    <n v="0"/>
  </r>
  <r>
    <x v="0"/>
    <x v="9"/>
    <x v="0"/>
    <s v="8100501"/>
    <n v="749535"/>
    <s v="Medicare Non-Allowable Beverages"/>
    <s v="Virtual Health Services"/>
    <x v="0"/>
    <n v="1005"/>
    <n v="0"/>
    <n v="0"/>
    <n v="50"/>
    <n v="0"/>
    <n v="0"/>
    <n v="144.94999999999999"/>
    <n v="0"/>
    <n v="42.16"/>
    <n v="0"/>
    <n v="25.96"/>
    <n v="0"/>
    <n v="0"/>
    <n v="263.07"/>
    <n v="0"/>
  </r>
  <r>
    <x v="14"/>
    <x v="3"/>
    <x v="0"/>
    <s v="8200101"/>
    <n v="600050"/>
    <s v="Miscellaneous Revenue"/>
    <s v="Franciscan Research Center"/>
    <x v="0"/>
    <m/>
    <n v="0"/>
    <n v="-2697.75"/>
    <n v="-2357.35"/>
    <n v="0"/>
    <n v="0"/>
    <n v="-1396.75"/>
    <n v="0"/>
    <n v="0"/>
    <n v="0"/>
    <n v="-1396.75"/>
    <n v="0"/>
    <n v="0"/>
    <n v="-7848.6"/>
    <n v="-4124.1399999999994"/>
  </r>
  <r>
    <x v="5"/>
    <x v="3"/>
    <x v="0"/>
    <s v="8200101"/>
    <n v="700026"/>
    <s v="Salaries-RN-Productive"/>
    <s v="Franciscan Research Center"/>
    <x v="0"/>
    <m/>
    <n v="23044.94"/>
    <n v="14433.2"/>
    <n v="20818.669999999998"/>
    <n v="25185.74"/>
    <n v="20314.53"/>
    <n v="19277.189999999999"/>
    <n v="21671.1"/>
    <n v="19067.490000000002"/>
    <n v="24300.959999999999"/>
    <n v="14731.82"/>
    <n v="17628.63"/>
    <n v="21752.77"/>
    <n v="242227.03999999998"/>
    <n v="0"/>
  </r>
  <r>
    <x v="5"/>
    <x v="3"/>
    <x v="0"/>
    <s v="8200101"/>
    <n v="700026"/>
    <s v="Salaries-RN-OT"/>
    <s v="Franciscan Research Center"/>
    <x v="0"/>
    <n v="1000"/>
    <n v="0"/>
    <n v="0"/>
    <n v="0"/>
    <n v="0"/>
    <n v="0"/>
    <n v="0"/>
    <n v="22.86"/>
    <n v="0"/>
    <n v="0"/>
    <n v="0"/>
    <n v="0"/>
    <n v="0"/>
    <n v="22.86"/>
    <n v="623.67000000000007"/>
  </r>
  <r>
    <x v="5"/>
    <x v="3"/>
    <x v="0"/>
    <s v="8200101"/>
    <n v="700032"/>
    <s v="Salaries-Other Pat Care Providers-Productive"/>
    <s v="Franciscan Research Center"/>
    <x v="0"/>
    <m/>
    <n v="8075.78"/>
    <n v="8667.18"/>
    <n v="10519.42"/>
    <n v="10810.91"/>
    <n v="8123.05"/>
    <n v="10074.34"/>
    <n v="10238.41"/>
    <n v="8781.74"/>
    <n v="10948.38"/>
    <n v="7085.52"/>
    <n v="8444.65"/>
    <n v="7820.98"/>
    <n v="109590.36"/>
    <n v="-79.420000000000073"/>
  </r>
  <r>
    <x v="5"/>
    <x v="3"/>
    <x v="0"/>
    <s v="8200101"/>
    <n v="700038"/>
    <s v="Salaries-Service/Support-Productive"/>
    <s v="Franciscan Research Center"/>
    <x v="0"/>
    <m/>
    <n v="3200.07"/>
    <n v="2334.91"/>
    <n v="3152.1"/>
    <n v="3419.77"/>
    <n v="3710.97"/>
    <n v="2973.12"/>
    <n v="3079.88"/>
    <n v="2356.4"/>
    <n v="3587.92"/>
    <n v="3558.31"/>
    <n v="3140.89"/>
    <n v="3220.31"/>
    <n v="37734.65"/>
    <n v="0"/>
  </r>
  <r>
    <x v="5"/>
    <x v="3"/>
    <x v="0"/>
    <s v="8200101"/>
    <n v="700054"/>
    <s v="Salaries-Management-NonProd-Other"/>
    <s v="Franciscan Research Center"/>
    <x v="0"/>
    <n v="2000"/>
    <n v="0"/>
    <n v="0"/>
    <n v="0"/>
    <n v="0"/>
    <n v="0"/>
    <n v="470.84"/>
    <n v="-470.84"/>
    <n v="0"/>
    <n v="0"/>
    <n v="0"/>
    <n v="0"/>
    <n v="0"/>
    <n v="0"/>
    <n v="-3417.5299999999997"/>
  </r>
  <r>
    <x v="5"/>
    <x v="3"/>
    <x v="0"/>
    <s v="8200101"/>
    <n v="700066"/>
    <s v="Salaries-RN-Non-productive"/>
    <s v="Franciscan Research Center"/>
    <x v="0"/>
    <m/>
    <n v="2936.07"/>
    <n v="10854.08"/>
    <n v="3653.27"/>
    <n v="677.28"/>
    <n v="4847.08"/>
    <n v="6723.99"/>
    <n v="4732.87"/>
    <n v="4451.76"/>
    <n v="1738.37"/>
    <n v="10466.700000000001"/>
    <n v="-1121.4100000000001"/>
    <n v="2296.12"/>
    <n v="52256.18"/>
    <n v="0"/>
  </r>
  <r>
    <x v="5"/>
    <x v="3"/>
    <x v="0"/>
    <s v="8200101"/>
    <n v="700066"/>
    <s v="Salaries-RN-NonProd-Other"/>
    <s v="Franciscan Research Center"/>
    <x v="0"/>
    <n v="2000"/>
    <n v="643.62"/>
    <n v="0.15"/>
    <n v="-643.77"/>
    <n v="0"/>
    <n v="0"/>
    <n v="0"/>
    <n v="0"/>
    <n v="0"/>
    <n v="0"/>
    <n v="0"/>
    <n v="0"/>
    <n v="0"/>
    <n v="0"/>
    <n v="80.599999999999909"/>
  </r>
  <r>
    <x v="5"/>
    <x v="3"/>
    <x v="0"/>
    <s v="8200101"/>
    <n v="700072"/>
    <s v="Salaries-Other Pat Care Providers-Non-productive"/>
    <s v="Franciscan Research Center"/>
    <x v="0"/>
    <m/>
    <n v="3289.25"/>
    <n v="2698.4"/>
    <n v="307.16000000000003"/>
    <n v="771.79"/>
    <n v="3136.07"/>
    <n v="1853.04"/>
    <n v="1378"/>
    <n v="1742.45"/>
    <n v="703.52"/>
    <n v="1163.6600000000001"/>
    <n v="2352.94"/>
    <n v="2272.34"/>
    <n v="21668.62"/>
    <n v="200.43000000000006"/>
  </r>
  <r>
    <x v="5"/>
    <x v="3"/>
    <x v="0"/>
    <s v="8200101"/>
    <n v="700078"/>
    <s v="Salaries-Service/Support-Non-productive"/>
    <s v="Franciscan Research Center"/>
    <x v="0"/>
    <m/>
    <n v="418.82"/>
    <n v="1284.1600000000001"/>
    <n v="191.94"/>
    <n v="302.14"/>
    <n v="-85.35"/>
    <n v="773.47"/>
    <n v="672.55"/>
    <n v="1032.5899999999999"/>
    <n v="164.17"/>
    <n v="72.63"/>
    <n v="611.21"/>
    <n v="410.78"/>
    <n v="5849.1100000000006"/>
    <n v="-1278.96"/>
  </r>
  <r>
    <x v="5"/>
    <x v="3"/>
    <x v="0"/>
    <s v="8200101"/>
    <n v="700084"/>
    <s v="Accrued PTO"/>
    <s v="Franciscan Research Center"/>
    <x v="0"/>
    <m/>
    <n v="-686.93"/>
    <n v="-4434.8900000000003"/>
    <n v="-705.7"/>
    <n v="4704.3900000000003"/>
    <n v="2963.07"/>
    <n v="-5088.3"/>
    <n v="-2220.52"/>
    <n v="677.71"/>
    <n v="3661.21"/>
    <n v="-3266.31"/>
    <n v="615.17999999999995"/>
    <n v="1894.14"/>
    <n v="-1886.9500000000005"/>
    <n v="-17.839999999999975"/>
  </r>
  <r>
    <x v="5"/>
    <x v="3"/>
    <x v="0"/>
    <s v="8200101"/>
    <n v="700091"/>
    <s v="Salary Expense-Intracompany Allocation"/>
    <s v="Franciscan Research Center"/>
    <x v="0"/>
    <m/>
    <n v="0"/>
    <n v="0"/>
    <n v="0"/>
    <n v="-455.76"/>
    <n v="-774.82"/>
    <n v="-68.37"/>
    <n v="-205.1"/>
    <n v="-501.35"/>
    <n v="-182.31"/>
    <n v="-569.71"/>
    <n v="-387.65"/>
    <n v="-369.81"/>
    <n v="-3514.8799999999997"/>
    <n v="-453.13000000000011"/>
  </r>
  <r>
    <x v="6"/>
    <x v="3"/>
    <x v="0"/>
    <s v="8200101"/>
    <n v="713010"/>
    <s v="Benefits-FICA/Medicare"/>
    <s v="Franciscan Research Center"/>
    <x v="0"/>
    <m/>
    <n v="3077.95"/>
    <n v="2973.61"/>
    <n v="2803.08"/>
    <n v="3042.07"/>
    <n v="2959.71"/>
    <n v="3117.76"/>
    <n v="3120.61"/>
    <n v="2764.17"/>
    <n v="3060.33"/>
    <n v="4763.04"/>
    <n v="2262.9"/>
    <n v="2716.03"/>
    <n v="36661.26"/>
    <n v="-1040.3399999999992"/>
  </r>
  <r>
    <x v="6"/>
    <x v="3"/>
    <x v="0"/>
    <s v="8200101"/>
    <n v="713090"/>
    <s v="Benefits-Allocated Amounts"/>
    <s v="Franciscan Research Center"/>
    <x v="0"/>
    <m/>
    <n v="8769.0300000000007"/>
    <n v="7706.77"/>
    <n v="8278.19"/>
    <n v="8736.83"/>
    <n v="8582.66"/>
    <n v="8245.17"/>
    <n v="9123.7000000000007"/>
    <n v="8807.26"/>
    <n v="7348.64"/>
    <n v="8238.51"/>
    <n v="7707.37"/>
    <n v="8747.7099999999991"/>
    <n v="100291.84"/>
    <n v="-4.2199999999999989"/>
  </r>
  <r>
    <x v="6"/>
    <x v="3"/>
    <x v="0"/>
    <s v="8200101"/>
    <n v="713091"/>
    <s v="Benefits Expense-Intracompany Allocation"/>
    <s v="Franciscan Research Center"/>
    <x v="0"/>
    <m/>
    <n v="0"/>
    <n v="0"/>
    <n v="0"/>
    <n v="-108"/>
    <n v="-183.62"/>
    <n v="-16.2"/>
    <n v="-48.6"/>
    <n v="-118.81"/>
    <n v="-43.2"/>
    <n v="-135.02000000000001"/>
    <n v="-91.86"/>
    <n v="-87.64"/>
    <n v="-832.95"/>
    <n v="28.82"/>
  </r>
  <r>
    <x v="7"/>
    <x v="3"/>
    <x v="0"/>
    <s v="8200101"/>
    <n v="718050"/>
    <s v="Contract Svcs-Other"/>
    <s v="Franciscan Research Center"/>
    <x v="0"/>
    <m/>
    <n v="0"/>
    <n v="0"/>
    <n v="68.34"/>
    <n v="0"/>
    <n v="0"/>
    <n v="0"/>
    <n v="0"/>
    <n v="0"/>
    <n v="0"/>
    <n v="0"/>
    <n v="28.82"/>
    <n v="0"/>
    <n v="97.16"/>
    <n v="-2.4200000000000017"/>
  </r>
  <r>
    <x v="7"/>
    <x v="3"/>
    <x v="0"/>
    <s v="8200101"/>
    <n v="718050"/>
    <s v="Document Shredding/Storage"/>
    <s v="Franciscan Research Center"/>
    <x v="0"/>
    <n v="1012"/>
    <n v="64.97"/>
    <n v="284.3"/>
    <n v="-32.549999999999997"/>
    <n v="70.05"/>
    <n v="75.239999999999995"/>
    <n v="128.47"/>
    <n v="120.25"/>
    <n v="11.48"/>
    <n v="63.7"/>
    <n v="146.19999999999999"/>
    <n v="71.73"/>
    <n v="74.150000000000006"/>
    <n v="1077.9900000000002"/>
    <n v="0"/>
  </r>
  <r>
    <x v="7"/>
    <x v="3"/>
    <x v="0"/>
    <s v="8200101"/>
    <n v="718050"/>
    <s v="Miscellaneous Purchased Svcs"/>
    <s v="Franciscan Research Center"/>
    <x v="0"/>
    <n v="1020"/>
    <n v="150"/>
    <n v="258.77999999999997"/>
    <n v="79.39"/>
    <n v="329.39"/>
    <n v="79.39"/>
    <n v="79.39"/>
    <n v="718.4"/>
    <n v="79.38"/>
    <n v="79.38"/>
    <n v="25"/>
    <n v="79.45"/>
    <n v="79.45"/>
    <n v="2037.4"/>
    <n v="0"/>
  </r>
  <r>
    <x v="7"/>
    <x v="3"/>
    <x v="0"/>
    <s v="8200101"/>
    <n v="718050"/>
    <s v="Purchased Srvcs-Hospital Care"/>
    <s v="Franciscan Research Center"/>
    <x v="0"/>
    <n v="5110"/>
    <n v="109.4"/>
    <n v="0"/>
    <n v="0"/>
    <n v="0"/>
    <n v="114.87"/>
    <n v="0"/>
    <n v="114.87"/>
    <n v="0"/>
    <n v="0"/>
    <n v="0"/>
    <n v="0"/>
    <n v="0"/>
    <n v="339.14"/>
    <n v="0"/>
  </r>
  <r>
    <x v="11"/>
    <x v="3"/>
    <x v="0"/>
    <s v="8200101"/>
    <n v="721010"/>
    <s v="Patient Monitoring"/>
    <s v="Franciscan Research Center"/>
    <x v="0"/>
    <n v="1000"/>
    <n v="0"/>
    <n v="0"/>
    <n v="0"/>
    <n v="-176.98"/>
    <n v="0"/>
    <n v="0"/>
    <n v="0"/>
    <n v="0"/>
    <n v="0"/>
    <n v="0"/>
    <n v="0"/>
    <n v="0"/>
    <n v="-176.98"/>
    <n v="0"/>
  </r>
  <r>
    <x v="11"/>
    <x v="3"/>
    <x v="0"/>
    <s v="8200101"/>
    <n v="721240"/>
    <s v="Supplies-IV Solutions/Supplies - Billable"/>
    <s v="Franciscan Research Center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200101"/>
    <n v="721250"/>
    <s v="Supplies-Pharmacy Drugs - Billable"/>
    <s v="Franciscan Research Center"/>
    <x v="0"/>
    <m/>
    <n v="0"/>
    <n v="0"/>
    <n v="83.52"/>
    <n v="0"/>
    <n v="0"/>
    <n v="0"/>
    <n v="0"/>
    <n v="0"/>
    <n v="12.93"/>
    <n v="0"/>
    <n v="0"/>
    <n v="0"/>
    <n v="96.449999999999989"/>
    <n v="0"/>
  </r>
  <r>
    <x v="11"/>
    <x v="3"/>
    <x v="0"/>
    <s v="8200101"/>
    <n v="721410"/>
    <s v="Supplies-Medical - Nonbillable"/>
    <s v="Franciscan Research Center"/>
    <x v="0"/>
    <m/>
    <n v="0"/>
    <n v="0"/>
    <n v="0"/>
    <n v="55.9"/>
    <n v="89.42"/>
    <n v="0"/>
    <n v="0"/>
    <n v="0"/>
    <n v="0"/>
    <n v="0"/>
    <n v="0"/>
    <n v="0"/>
    <n v="145.32"/>
    <n v="0"/>
  </r>
  <r>
    <x v="11"/>
    <x v="3"/>
    <x v="0"/>
    <s v="8200101"/>
    <n v="721420"/>
    <s v="Supplies-Surgical Nonbillable"/>
    <s v="Franciscan Research Center"/>
    <x v="0"/>
    <m/>
    <n v="0"/>
    <n v="0"/>
    <n v="0"/>
    <n v="0"/>
    <n v="0"/>
    <n v="0"/>
    <n v="0"/>
    <n v="0"/>
    <n v="0"/>
    <n v="0"/>
    <n v="0"/>
    <n v="0"/>
    <n v="0"/>
    <n v="76.42"/>
  </r>
  <r>
    <x v="11"/>
    <x v="3"/>
    <x v="0"/>
    <s v="8200101"/>
    <n v="721810"/>
    <s v="Supplies-Dietary/Cafeteria"/>
    <s v="Franciscan Research Center"/>
    <x v="0"/>
    <m/>
    <n v="149.06"/>
    <n v="45.42"/>
    <n v="151.28"/>
    <n v="168.56"/>
    <n v="139.37"/>
    <n v="55.99"/>
    <n v="4.5"/>
    <n v="107"/>
    <n v="4.5"/>
    <n v="0"/>
    <n v="76.42"/>
    <n v="0"/>
    <n v="902.09999999999991"/>
    <n v="164.49"/>
  </r>
  <r>
    <x v="11"/>
    <x v="3"/>
    <x v="0"/>
    <s v="8200101"/>
    <n v="721830"/>
    <s v="Supplies-Office"/>
    <s v="Franciscan Research Center"/>
    <x v="0"/>
    <m/>
    <n v="101.34"/>
    <n v="76.98"/>
    <n v="0"/>
    <n v="188.17"/>
    <n v="98.71"/>
    <n v="160.65"/>
    <n v="172.69"/>
    <n v="100.91"/>
    <n v="105.68"/>
    <n v="199.8"/>
    <n v="145.57"/>
    <n v="-18.920000000000002"/>
    <n v="1331.5799999999997"/>
    <n v="0"/>
  </r>
  <r>
    <x v="11"/>
    <x v="3"/>
    <x v="0"/>
    <s v="8200101"/>
    <n v="721870"/>
    <s v="Supplies-Environmental Services"/>
    <s v="Franciscan Research Center"/>
    <x v="0"/>
    <m/>
    <n v="9.6"/>
    <n v="0"/>
    <n v="0"/>
    <n v="103.8"/>
    <n v="24.41"/>
    <n v="4.72"/>
    <n v="2.36"/>
    <n v="20.7"/>
    <n v="0"/>
    <n v="0"/>
    <n v="0"/>
    <n v="0"/>
    <n v="165.59"/>
    <n v="0"/>
  </r>
  <r>
    <x v="11"/>
    <x v="3"/>
    <x v="0"/>
    <s v="8200101"/>
    <n v="721910"/>
    <s v="Supplies-Small Equipment"/>
    <s v="Franciscan Research Center"/>
    <x v="0"/>
    <m/>
    <n v="0"/>
    <n v="0"/>
    <n v="32.28"/>
    <n v="93.6"/>
    <n v="0"/>
    <n v="-21.06"/>
    <n v="5.12"/>
    <n v="0"/>
    <n v="0"/>
    <n v="0"/>
    <n v="0"/>
    <n v="0"/>
    <n v="109.94"/>
    <n v="0"/>
  </r>
  <r>
    <x v="11"/>
    <x v="3"/>
    <x v="0"/>
    <s v="8200101"/>
    <n v="721980"/>
    <s v="Supplies-Other"/>
    <s v="Franciscan Research Center"/>
    <x v="0"/>
    <m/>
    <n v="0"/>
    <n v="0"/>
    <n v="118"/>
    <n v="6.53"/>
    <n v="0"/>
    <n v="34.409999999999997"/>
    <n v="59.18"/>
    <n v="0"/>
    <n v="29.59"/>
    <n v="209.3"/>
    <n v="0"/>
    <n v="0"/>
    <n v="457.01"/>
    <n v="-155.63999999999999"/>
  </r>
  <r>
    <x v="11"/>
    <x v="3"/>
    <x v="0"/>
    <s v="8200101"/>
    <n v="722000"/>
    <s v="Supplies-Freight Expense"/>
    <s v="Franciscan Research Center"/>
    <x v="0"/>
    <m/>
    <n v="0"/>
    <n v="0"/>
    <n v="21.31"/>
    <n v="0"/>
    <n v="0"/>
    <n v="14.71"/>
    <n v="0"/>
    <n v="0"/>
    <n v="0"/>
    <n v="0"/>
    <n v="0"/>
    <n v="155.63999999999999"/>
    <n v="191.65999999999997"/>
    <n v="0"/>
  </r>
  <r>
    <x v="12"/>
    <x v="3"/>
    <x v="0"/>
    <s v="8200101"/>
    <n v="730010"/>
    <s v="Rental and Leases-Building (DO NOT USE)"/>
    <s v="Franciscan Research Center"/>
    <x v="0"/>
    <m/>
    <n v="0"/>
    <n v="0"/>
    <n v="0"/>
    <n v="0"/>
    <n v="0"/>
    <n v="0"/>
    <n v="0"/>
    <n v="0"/>
    <n v="0"/>
    <n v="0"/>
    <n v="0"/>
    <n v="0"/>
    <n v="0"/>
    <n v="-61.490000000000009"/>
  </r>
  <r>
    <x v="12"/>
    <x v="3"/>
    <x v="0"/>
    <s v="8200101"/>
    <n v="730020"/>
    <s v="Rental and Leases-Copier Usage Fees (DO NOT USE)"/>
    <s v="Franciscan Research Center"/>
    <x v="0"/>
    <n v="5100"/>
    <n v="494.81"/>
    <n v="510.77"/>
    <n v="502.79"/>
    <n v="502.79"/>
    <n v="502.79"/>
    <n v="502.79"/>
    <n v="2032.18"/>
    <n v="540.04999999999995"/>
    <n v="591.71"/>
    <n v="994.61"/>
    <n v="556.5"/>
    <n v="617.99"/>
    <n v="8349.7800000000007"/>
    <n v="0"/>
  </r>
  <r>
    <x v="15"/>
    <x v="3"/>
    <x v="0"/>
    <s v="8200101"/>
    <n v="731060"/>
    <s v="Pagers"/>
    <s v="Franciscan Research Center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8.1199999999999992"/>
    <n v="8.1199999999999992"/>
    <n v="97.38000000000001"/>
    <n v="564.22"/>
  </r>
  <r>
    <x v="16"/>
    <x v="3"/>
    <x v="0"/>
    <s v="8200101"/>
    <n v="732030"/>
    <s v="Repairs---Other"/>
    <s v="Franciscan Research Center"/>
    <x v="0"/>
    <m/>
    <n v="0"/>
    <n v="0"/>
    <n v="0"/>
    <n v="34.64"/>
    <n v="0"/>
    <n v="0"/>
    <n v="0"/>
    <n v="0"/>
    <n v="0"/>
    <n v="0"/>
    <n v="564.22"/>
    <n v="0"/>
    <n v="598.86"/>
    <n v="-75.19"/>
  </r>
  <r>
    <x v="0"/>
    <x v="3"/>
    <x v="0"/>
    <s v="8200101"/>
    <n v="742010"/>
    <s v="Postage-Regular"/>
    <s v="Franciscan Research Center"/>
    <x v="0"/>
    <m/>
    <n v="0"/>
    <n v="0"/>
    <n v="0"/>
    <n v="0"/>
    <n v="0"/>
    <n v="0"/>
    <n v="0"/>
    <n v="0"/>
    <n v="0"/>
    <n v="0"/>
    <n v="0"/>
    <n v="75.19"/>
    <n v="75.19"/>
    <n v="0"/>
  </r>
  <r>
    <x v="0"/>
    <x v="3"/>
    <x v="0"/>
    <s v="8200101"/>
    <n v="743020"/>
    <s v="Dues--Individual"/>
    <s v="Franciscan Research Center"/>
    <x v="0"/>
    <m/>
    <n v="0"/>
    <n v="0"/>
    <n v="0"/>
    <n v="150"/>
    <n v="0"/>
    <n v="0"/>
    <n v="150"/>
    <n v="0"/>
    <n v="300"/>
    <n v="0"/>
    <n v="0"/>
    <n v="0"/>
    <n v="600"/>
    <n v="-547.11"/>
  </r>
  <r>
    <x v="0"/>
    <x v="3"/>
    <x v="0"/>
    <s v="8200101"/>
    <n v="749510"/>
    <s v="Miscellaneous Expenses"/>
    <s v="Franciscan Research Center"/>
    <x v="0"/>
    <m/>
    <n v="33.81"/>
    <n v="-135.74"/>
    <n v="99.75"/>
    <n v="143.35"/>
    <n v="-243.1"/>
    <n v="33.79"/>
    <n v="-15.26"/>
    <n v="0"/>
    <n v="35.380000000000003"/>
    <n v="436.73"/>
    <n v="-472.11"/>
    <n v="75"/>
    <n v="-8.4000000000000341"/>
    <n v="0"/>
  </r>
  <r>
    <x v="0"/>
    <x v="3"/>
    <x v="0"/>
    <s v="8200101"/>
    <n v="749510"/>
    <s v="Licenses"/>
    <s v="Franciscan Research Center"/>
    <x v="0"/>
    <n v="1002"/>
    <n v="0"/>
    <n v="0"/>
    <n v="0"/>
    <n v="0"/>
    <n v="0"/>
    <n v="0"/>
    <n v="0"/>
    <n v="0"/>
    <n v="0"/>
    <n v="150"/>
    <n v="0"/>
    <n v="0"/>
    <n v="150"/>
    <n v="9045.89"/>
  </r>
  <r>
    <x v="0"/>
    <x v="3"/>
    <x v="0"/>
    <s v="8200101"/>
    <n v="749510"/>
    <s v="Expense Reimbursement"/>
    <s v="Franciscan Research Center"/>
    <x v="0"/>
    <n v="1200"/>
    <n v="-53987.81"/>
    <n v="-44885.33"/>
    <n v="-44885.33"/>
    <n v="-61350.58"/>
    <n v="-54725.67"/>
    <n v="-47933.16"/>
    <n v="-54586.09"/>
    <n v="-49974.49"/>
    <n v="-56589.74"/>
    <n v="-46917.54"/>
    <n v="-42755.360000000001"/>
    <n v="-51801.25"/>
    <n v="-610392.35"/>
    <n v="373.71"/>
  </r>
  <r>
    <x v="0"/>
    <x v="3"/>
    <x v="0"/>
    <s v="8200101"/>
    <n v="749530"/>
    <s v="Travel"/>
    <s v="Franciscan Research Center"/>
    <x v="0"/>
    <m/>
    <n v="0"/>
    <n v="0"/>
    <n v="0"/>
    <n v="12"/>
    <n v="24"/>
    <n v="0"/>
    <n v="6"/>
    <n v="6"/>
    <n v="0"/>
    <n v="0"/>
    <n v="373.71"/>
    <n v="0"/>
    <n v="421.71"/>
    <n v="99.18"/>
  </r>
  <r>
    <x v="0"/>
    <x v="3"/>
    <x v="0"/>
    <s v="8200101"/>
    <n v="749530"/>
    <s v="Mileage"/>
    <s v="Franciscan Research Center"/>
    <x v="0"/>
    <n v="1001"/>
    <n v="98.12"/>
    <n v="16.899999999999999"/>
    <n v="0"/>
    <n v="309.61"/>
    <n v="219.1"/>
    <n v="0"/>
    <n v="104.64"/>
    <n v="39.44"/>
    <n v="70.760000000000005"/>
    <n v="35.380000000000003"/>
    <n v="160.08000000000001"/>
    <n v="60.9"/>
    <n v="1114.93"/>
    <n v="0"/>
  </r>
  <r>
    <x v="12"/>
    <x v="3"/>
    <x v="0"/>
    <s v="8201101"/>
    <n v="730010"/>
    <s v="Rental and Leases-Building (DO NOT USE)"/>
    <s v="NonCIRI"/>
    <x v="0"/>
    <m/>
    <n v="5748.72"/>
    <n v="5748.72"/>
    <n v="5748.72"/>
    <n v="5748.72"/>
    <n v="5748.72"/>
    <n v="5748.72"/>
    <n v="5748.72"/>
    <n v="5748.72"/>
    <n v="5748.72"/>
    <n v="5748.72"/>
    <n v="5748.72"/>
    <n v="5748.72"/>
    <n v="68984.639999999999"/>
    <n v="0"/>
  </r>
  <r>
    <x v="0"/>
    <x v="3"/>
    <x v="0"/>
    <s v="8201101"/>
    <n v="750015"/>
    <s v="Provision for Bad Debts--Non-Patient"/>
    <s v="NonCIRI"/>
    <x v="0"/>
    <m/>
    <n v="0"/>
    <n v="42.19"/>
    <n v="13.37"/>
    <n v="-3.75"/>
    <n v="33.44"/>
    <n v="45.73"/>
    <n v="0"/>
    <n v="0"/>
    <n v="0"/>
    <n v="25.94"/>
    <n v="0"/>
    <n v="0"/>
    <n v="156.91999999999999"/>
    <n v="-22.060000000000002"/>
  </r>
  <r>
    <x v="14"/>
    <x v="3"/>
    <x v="0"/>
    <s v="8242101"/>
    <n v="600061"/>
    <s v="Federal Grant Revenue"/>
    <s v="NCORP Grant"/>
    <x v="0"/>
    <m/>
    <n v="1440"/>
    <n v="0"/>
    <n v="0"/>
    <n v="-563.76"/>
    <n v="-2828.44"/>
    <n v="-524.57000000000005"/>
    <n v="-253.7"/>
    <n v="-620.16"/>
    <n v="-225.51"/>
    <n v="-2704.73"/>
    <n v="-479.51"/>
    <n v="-457.45"/>
    <n v="-7217.829999999999"/>
    <n v="-1050"/>
  </r>
  <r>
    <x v="14"/>
    <x v="3"/>
    <x v="0"/>
    <s v="8242101"/>
    <n v="600062"/>
    <s v="Intercompany Grant Revenue"/>
    <s v="NCORP Grant"/>
    <x v="0"/>
    <m/>
    <n v="0"/>
    <n v="0"/>
    <n v="-1050"/>
    <n v="0"/>
    <n v="0"/>
    <n v="0"/>
    <n v="0"/>
    <n v="0"/>
    <n v="0"/>
    <n v="0"/>
    <n v="0"/>
    <n v="1050"/>
    <n v="0"/>
    <n v="17.839999999999975"/>
  </r>
  <r>
    <x v="5"/>
    <x v="3"/>
    <x v="0"/>
    <s v="8242101"/>
    <n v="700091"/>
    <s v="Salary Expense-Intracompany Allocation"/>
    <s v="NCORP Grant"/>
    <x v="0"/>
    <m/>
    <n v="0"/>
    <n v="0"/>
    <n v="0"/>
    <n v="455.76"/>
    <n v="774.82"/>
    <n v="68.37"/>
    <n v="205.1"/>
    <n v="501.35"/>
    <n v="182.31"/>
    <n v="569.71"/>
    <n v="387.65"/>
    <n v="369.81"/>
    <n v="3514.8799999999997"/>
    <n v="0.31000000000000227"/>
  </r>
  <r>
    <x v="6"/>
    <x v="3"/>
    <x v="0"/>
    <s v="8242101"/>
    <n v="713090"/>
    <s v="Benefits-Allocated Amounts"/>
    <s v="NCORP Grant"/>
    <x v="0"/>
    <m/>
    <n v="0"/>
    <n v="0"/>
    <n v="0"/>
    <n v="33.99"/>
    <n v="50.79"/>
    <n v="-33.29"/>
    <n v="8.85"/>
    <n v="77.03"/>
    <n v="10.5"/>
    <n v="18.190000000000001"/>
    <n v="18.55"/>
    <n v="18.239999999999998"/>
    <n v="202.85000000000002"/>
    <n v="4.2199999999999989"/>
  </r>
  <r>
    <x v="6"/>
    <x v="3"/>
    <x v="0"/>
    <s v="8242101"/>
    <n v="713091"/>
    <s v="Benefits Expense-Intracompany Allocation"/>
    <s v="NCORP Grant"/>
    <x v="0"/>
    <m/>
    <n v="0"/>
    <n v="0"/>
    <n v="0"/>
    <n v="108"/>
    <n v="183.62"/>
    <n v="16.2"/>
    <n v="48.6"/>
    <n v="118.81"/>
    <n v="43.2"/>
    <n v="135.02000000000001"/>
    <n v="91.86"/>
    <n v="87.64"/>
    <n v="832.95"/>
    <n v="0"/>
  </r>
  <r>
    <x v="0"/>
    <x v="3"/>
    <x v="0"/>
    <s v="8242101"/>
    <n v="749510"/>
    <s v="Miscellaneous Expenses"/>
    <s v="NCORP Grant"/>
    <x v="0"/>
    <m/>
    <n v="0"/>
    <n v="0"/>
    <n v="0"/>
    <n v="0"/>
    <n v="0"/>
    <n v="0"/>
    <n v="0"/>
    <n v="0"/>
    <n v="0"/>
    <n v="0"/>
    <n v="0"/>
    <n v="0"/>
    <n v="0"/>
    <n v="52847.610000000015"/>
  </r>
  <r>
    <x v="5"/>
    <x v="3"/>
    <x v="0"/>
    <s v="8303101"/>
    <n v="700026"/>
    <s v="Salaries-RN-Productive"/>
    <s v="Nursing Residency"/>
    <x v="0"/>
    <m/>
    <n v="99217.94"/>
    <n v="208940.84"/>
    <n v="292060.02"/>
    <n v="265941.7"/>
    <n v="275890.26"/>
    <n v="256015.44"/>
    <n v="221306.28"/>
    <n v="167409.99"/>
    <n v="214173.71"/>
    <n v="260503.61"/>
    <n v="218660.13"/>
    <n v="165812.51999999999"/>
    <n v="2645932.44"/>
    <n v="4112.45"/>
  </r>
  <r>
    <x v="5"/>
    <x v="3"/>
    <x v="0"/>
    <s v="8303101"/>
    <n v="700026"/>
    <s v="Salaries-RN-OT"/>
    <s v="Nursing Residency"/>
    <x v="0"/>
    <n v="1000"/>
    <n v="2182.19"/>
    <n v="8726.9500000000007"/>
    <n v="7230.85"/>
    <n v="9812.1"/>
    <n v="8013.01"/>
    <n v="13086.78"/>
    <n v="15284.92"/>
    <n v="2782.68"/>
    <n v="7886.86"/>
    <n v="5881.75"/>
    <n v="8016.57"/>
    <n v="3904.12"/>
    <n v="92808.78"/>
    <n v="3276.8199999999997"/>
  </r>
  <r>
    <x v="5"/>
    <x v="3"/>
    <x v="0"/>
    <s v="8303101"/>
    <n v="700026"/>
    <s v="Salaries-RN-Other"/>
    <s v="Nursing Residency"/>
    <x v="0"/>
    <n v="2000"/>
    <n v="5696.6"/>
    <n v="9889.5300000000007"/>
    <n v="18182.98"/>
    <n v="16297.52"/>
    <n v="21241.73"/>
    <n v="18874.38"/>
    <n v="15867.79"/>
    <n v="11289.86"/>
    <n v="15303.59"/>
    <n v="14965.01"/>
    <n v="16336.51"/>
    <n v="13059.69"/>
    <n v="177005.19000000003"/>
    <n v="0"/>
  </r>
  <r>
    <x v="5"/>
    <x v="3"/>
    <x v="0"/>
    <s v="8303101"/>
    <n v="700032"/>
    <s v="Salaries-Other Pat Care Providers-Productive"/>
    <s v="Nursing Residency"/>
    <x v="0"/>
    <m/>
    <n v="0"/>
    <n v="516.08000000000004"/>
    <n v="-77.150000000000006"/>
    <n v="219.24"/>
    <n v="648.4"/>
    <n v="0"/>
    <n v="214.45"/>
    <n v="0"/>
    <n v="0"/>
    <n v="0"/>
    <n v="0"/>
    <n v="0"/>
    <n v="1521.0200000000002"/>
    <n v="0"/>
  </r>
  <r>
    <x v="5"/>
    <x v="3"/>
    <x v="0"/>
    <s v="8303101"/>
    <n v="700032"/>
    <s v="Salaries-Other Pat Care Providers-Other"/>
    <s v="Nursing Residency"/>
    <x v="0"/>
    <n v="2000"/>
    <n v="0"/>
    <n v="47.13"/>
    <n v="-14.13"/>
    <n v="18"/>
    <n v="20"/>
    <n v="0"/>
    <n v="0"/>
    <n v="0"/>
    <n v="0"/>
    <n v="0"/>
    <n v="0"/>
    <n v="0"/>
    <n v="71"/>
    <n v="0"/>
  </r>
  <r>
    <x v="5"/>
    <x v="3"/>
    <x v="0"/>
    <s v="8303101"/>
    <n v="700034"/>
    <s v="Salaries-Tech/Professional-Productive"/>
    <s v="Nursing Residency"/>
    <x v="0"/>
    <m/>
    <n v="0"/>
    <n v="0"/>
    <n v="527.36"/>
    <n v="-191.76"/>
    <n v="0"/>
    <n v="0"/>
    <n v="0"/>
    <n v="0"/>
    <n v="0"/>
    <n v="0"/>
    <n v="0"/>
    <n v="0"/>
    <n v="335.6"/>
    <n v="0"/>
  </r>
  <r>
    <x v="5"/>
    <x v="3"/>
    <x v="0"/>
    <s v="8303101"/>
    <n v="700034"/>
    <s v="Salaries-Tech/Professional-OT"/>
    <s v="Nursing Residency"/>
    <x v="0"/>
    <n v="1000"/>
    <n v="0"/>
    <n v="0"/>
    <n v="74.150000000000006"/>
    <n v="-26.96"/>
    <n v="84.77"/>
    <n v="-40.81"/>
    <n v="0"/>
    <n v="0"/>
    <n v="0"/>
    <n v="0"/>
    <n v="0"/>
    <n v="0"/>
    <n v="91.15"/>
    <n v="0"/>
  </r>
  <r>
    <x v="5"/>
    <x v="3"/>
    <x v="0"/>
    <s v="8303101"/>
    <n v="700034"/>
    <s v="Salaries-Tech/Professional-Other"/>
    <s v="Nursing Residency"/>
    <x v="0"/>
    <n v="2000"/>
    <n v="0"/>
    <n v="0"/>
    <n v="0"/>
    <n v="0"/>
    <n v="10.6"/>
    <n v="-5.0999999999999996"/>
    <n v="0"/>
    <n v="0"/>
    <n v="0"/>
    <n v="0"/>
    <n v="0"/>
    <n v="0"/>
    <n v="5.5"/>
    <n v="215.92999999999995"/>
  </r>
  <r>
    <x v="5"/>
    <x v="3"/>
    <x v="0"/>
    <s v="8303101"/>
    <n v="700066"/>
    <s v="Salaries-RN-Non-productive"/>
    <s v="Nursing Residency"/>
    <x v="0"/>
    <m/>
    <n v="0"/>
    <n v="0"/>
    <n v="0"/>
    <n v="0"/>
    <n v="0"/>
    <n v="218.52"/>
    <n v="0"/>
    <n v="0"/>
    <n v="0"/>
    <n v="0"/>
    <n v="622.03"/>
    <n v="406.1"/>
    <n v="1246.6500000000001"/>
    <n v="-10.959999999999994"/>
  </r>
  <r>
    <x v="5"/>
    <x v="3"/>
    <x v="0"/>
    <s v="8303101"/>
    <n v="700066"/>
    <s v="Salaries-RN-NonProd-Other"/>
    <s v="Nursing Residency"/>
    <x v="0"/>
    <n v="2000"/>
    <n v="170.61"/>
    <n v="80.2"/>
    <n v="88.3"/>
    <n v="327.96"/>
    <n v="63.04"/>
    <n v="659.29"/>
    <n v="661.69"/>
    <n v="168.8"/>
    <n v="58.48"/>
    <n v="36.64"/>
    <n v="94.4"/>
    <n v="105.36"/>
    <n v="2514.7700000000004"/>
    <n v="4619.4699999999993"/>
  </r>
  <r>
    <x v="6"/>
    <x v="3"/>
    <x v="0"/>
    <s v="8303101"/>
    <n v="713010"/>
    <s v="Benefits-FICA/Medicare"/>
    <s v="Nursing Residency"/>
    <x v="0"/>
    <m/>
    <n v="8124.75"/>
    <n v="17346.41"/>
    <n v="24073.25"/>
    <n v="22078.82"/>
    <n v="23107.14"/>
    <n v="21776.46"/>
    <n v="19112.03"/>
    <n v="13711.53"/>
    <n v="17964.75"/>
    <n v="21221.77"/>
    <n v="18311.28"/>
    <n v="13691.81"/>
    <n v="220520"/>
    <n v="15292.64"/>
  </r>
  <r>
    <x v="6"/>
    <x v="3"/>
    <x v="0"/>
    <s v="8303101"/>
    <n v="713090"/>
    <s v="Benefits-Allocated Amounts"/>
    <s v="Nursing Residency"/>
    <x v="0"/>
    <m/>
    <n v="25385.21"/>
    <n v="51114.16"/>
    <n v="75169.3"/>
    <n v="67614.460000000006"/>
    <n v="71369.119999999995"/>
    <n v="65124.67"/>
    <n v="60479.18"/>
    <n v="48148.61"/>
    <n v="44772.77"/>
    <n v="67029.570000000007"/>
    <n v="61295.1"/>
    <n v="46002.46"/>
    <n v="683504.61"/>
    <n v="-20554.439999999988"/>
  </r>
  <r>
    <x v="5"/>
    <x v="0"/>
    <x v="0"/>
    <s v="8303102"/>
    <n v="700026"/>
    <s v="Salaries-RN-Productive"/>
    <s v="Nursing Residency"/>
    <x v="0"/>
    <m/>
    <n v="37505.33"/>
    <n v="53285.9"/>
    <n v="71456.27"/>
    <n v="120455.46"/>
    <n v="101331.65"/>
    <n v="44735.78"/>
    <n v="37684.46"/>
    <n v="56689.37"/>
    <n v="85402.03"/>
    <n v="114765.62"/>
    <n v="89837.74"/>
    <n v="110392.18"/>
    <n v="923541.79"/>
    <n v="1197.6799999999998"/>
  </r>
  <r>
    <x v="5"/>
    <x v="0"/>
    <x v="0"/>
    <s v="8303102"/>
    <n v="700026"/>
    <s v="Salaries-RN-OT"/>
    <s v="Nursing Residency"/>
    <x v="0"/>
    <n v="1000"/>
    <n v="388.51"/>
    <n v="821.05"/>
    <n v="3729.46"/>
    <n v="2637.78"/>
    <n v="7085.47"/>
    <n v="-892.31"/>
    <n v="305.79000000000002"/>
    <n v="968.84"/>
    <n v="2805.02"/>
    <n v="2163.9899999999998"/>
    <n v="2805.95"/>
    <n v="1608.27"/>
    <n v="24427.82"/>
    <n v="2284.0500000000002"/>
  </r>
  <r>
    <x v="5"/>
    <x v="0"/>
    <x v="0"/>
    <s v="8303102"/>
    <n v="700026"/>
    <s v="Salaries-RN-Other"/>
    <s v="Nursing Residency"/>
    <x v="0"/>
    <n v="2000"/>
    <n v="1007.45"/>
    <n v="1610.12"/>
    <n v="2798.72"/>
    <n v="5081.03"/>
    <n v="7095.78"/>
    <n v="3507.63"/>
    <n v="2692.54"/>
    <n v="1821.99"/>
    <n v="2823.46"/>
    <n v="4225.41"/>
    <n v="4332.54"/>
    <n v="2048.4899999999998"/>
    <n v="39045.159999999996"/>
    <n v="0"/>
  </r>
  <r>
    <x v="5"/>
    <x v="0"/>
    <x v="0"/>
    <s v="8303102"/>
    <n v="700032"/>
    <s v="Salaries-Other Pat Care Providers-Productive"/>
    <s v="Nursing Residency"/>
    <x v="0"/>
    <m/>
    <n v="0"/>
    <n v="0"/>
    <n v="0"/>
    <n v="66.39"/>
    <n v="-29.21"/>
    <n v="0"/>
    <n v="0"/>
    <n v="0"/>
    <n v="0"/>
    <n v="0"/>
    <n v="0"/>
    <n v="0"/>
    <n v="37.18"/>
    <n v="0"/>
  </r>
  <r>
    <x v="5"/>
    <x v="0"/>
    <x v="0"/>
    <s v="8303102"/>
    <n v="700034"/>
    <s v="Salaries-Tech/Professional-Productive"/>
    <s v="Nursing Residency"/>
    <x v="0"/>
    <m/>
    <n v="722.1"/>
    <n v="-127.38"/>
    <n v="0"/>
    <n v="0"/>
    <n v="2196.63"/>
    <n v="-1057.5899999999999"/>
    <n v="0"/>
    <n v="0"/>
    <n v="0"/>
    <n v="0"/>
    <n v="0"/>
    <n v="0"/>
    <n v="1733.7600000000004"/>
    <n v="0"/>
  </r>
  <r>
    <x v="5"/>
    <x v="0"/>
    <x v="0"/>
    <s v="8303102"/>
    <n v="700034"/>
    <s v="Salaries-Tech/Professional-Other"/>
    <s v="Nursing Residency"/>
    <x v="0"/>
    <n v="2000"/>
    <n v="0"/>
    <n v="0"/>
    <n v="0"/>
    <n v="0"/>
    <n v="203.63"/>
    <n v="-98.03"/>
    <n v="0"/>
    <n v="0"/>
    <n v="0"/>
    <n v="0"/>
    <n v="0"/>
    <n v="0"/>
    <n v="105.6"/>
    <n v="0"/>
  </r>
  <r>
    <x v="5"/>
    <x v="0"/>
    <x v="0"/>
    <s v="8303102"/>
    <n v="700066"/>
    <s v="Salaries-RN-Non-productive"/>
    <s v="Nursing Residency"/>
    <x v="0"/>
    <m/>
    <n v="0"/>
    <n v="0"/>
    <n v="439.09"/>
    <n v="0"/>
    <n v="0"/>
    <n v="0"/>
    <n v="0"/>
    <n v="0"/>
    <n v="0"/>
    <n v="0"/>
    <n v="0"/>
    <n v="0"/>
    <n v="439.09"/>
    <n v="0"/>
  </r>
  <r>
    <x v="5"/>
    <x v="0"/>
    <x v="0"/>
    <s v="8303102"/>
    <n v="700066"/>
    <s v="Salaries-RN-NonProd-Other"/>
    <s v="Nursing Residency"/>
    <x v="0"/>
    <n v="2000"/>
    <n v="0"/>
    <n v="0"/>
    <n v="0"/>
    <n v="0"/>
    <n v="91.83"/>
    <n v="-44.21"/>
    <n v="0"/>
    <n v="0"/>
    <n v="0"/>
    <n v="0"/>
    <n v="0"/>
    <n v="0"/>
    <n v="47.62"/>
    <n v="-1259.4099999999999"/>
  </r>
  <r>
    <x v="6"/>
    <x v="0"/>
    <x v="0"/>
    <s v="8303102"/>
    <n v="713010"/>
    <s v="Benefits-FICA/Medicare"/>
    <s v="Nursing Residency"/>
    <x v="0"/>
    <m/>
    <n v="2984.63"/>
    <n v="4190.55"/>
    <n v="5727.1"/>
    <n v="9527.2000000000007"/>
    <n v="8783.58"/>
    <n v="3488.98"/>
    <n v="3030.96"/>
    <n v="4514.1400000000003"/>
    <n v="6909.88"/>
    <n v="9194.58"/>
    <n v="7303.67"/>
    <n v="8563.08"/>
    <n v="74218.350000000006"/>
    <n v="-4400.41"/>
  </r>
  <r>
    <x v="6"/>
    <x v="0"/>
    <x v="0"/>
    <s v="8303102"/>
    <n v="713090"/>
    <s v="Benefits-Allocated Amounts"/>
    <s v="Nursing Residency"/>
    <x v="0"/>
    <m/>
    <n v="8902.98"/>
    <n v="11489.54"/>
    <n v="16999.36"/>
    <n v="27039.51"/>
    <n v="23737.72"/>
    <n v="9371.02"/>
    <n v="8766.1200000000008"/>
    <n v="13874.36"/>
    <n v="18796.400000000001"/>
    <n v="26171.32"/>
    <n v="21106.94"/>
    <n v="25507.35"/>
    <n v="211762.62000000002"/>
    <n v="-40046.729999999996"/>
  </r>
  <r>
    <x v="5"/>
    <x v="4"/>
    <x v="0"/>
    <s v="8303103"/>
    <n v="700026"/>
    <s v="Salaries-RN-Productive"/>
    <s v="Nursing Residency"/>
    <x v="0"/>
    <m/>
    <n v="31546.75"/>
    <n v="33168.6"/>
    <n v="52890.78"/>
    <n v="49147.11"/>
    <n v="22876.25"/>
    <n v="25494.05"/>
    <n v="29005.57"/>
    <n v="16824.12"/>
    <n v="24277.68"/>
    <n v="25119.87"/>
    <n v="18565.080000000002"/>
    <n v="58611.81"/>
    <n v="387527.67"/>
    <n v="-1481.2099999999998"/>
  </r>
  <r>
    <x v="5"/>
    <x v="4"/>
    <x v="0"/>
    <s v="8303103"/>
    <n v="700026"/>
    <s v="Salaries-RN-OT"/>
    <s v="Nursing Residency"/>
    <x v="0"/>
    <n v="1000"/>
    <n v="424.11"/>
    <n v="511.73"/>
    <n v="1293.27"/>
    <n v="622.65"/>
    <n v="1306.6199999999999"/>
    <n v="91.46"/>
    <n v="1391.86"/>
    <n v="67.7"/>
    <n v="155.30000000000001"/>
    <n v="915.75"/>
    <n v="119.16"/>
    <n v="1600.37"/>
    <n v="8499.98"/>
    <n v="-1482.17"/>
  </r>
  <r>
    <x v="5"/>
    <x v="4"/>
    <x v="0"/>
    <s v="8303103"/>
    <n v="700026"/>
    <s v="Salaries-RN-Other"/>
    <s v="Nursing Residency"/>
    <x v="0"/>
    <n v="2000"/>
    <n v="1410.23"/>
    <n v="1946.04"/>
    <n v="2253.73"/>
    <n v="2480.87"/>
    <n v="1294.6199999999999"/>
    <n v="1449.81"/>
    <n v="1715.13"/>
    <n v="1098.99"/>
    <n v="151.16"/>
    <n v="890.15"/>
    <n v="1272.73"/>
    <n v="2754.9"/>
    <n v="18718.36"/>
    <n v="-93.27"/>
  </r>
  <r>
    <x v="5"/>
    <x v="4"/>
    <x v="0"/>
    <s v="8303103"/>
    <n v="700066"/>
    <s v="Salaries-RN-NonProd-Other"/>
    <s v="Nursing Residency"/>
    <x v="0"/>
    <n v="2000"/>
    <n v="0"/>
    <n v="0"/>
    <n v="0"/>
    <n v="0"/>
    <n v="0"/>
    <n v="0"/>
    <n v="0"/>
    <n v="0"/>
    <n v="0"/>
    <n v="0"/>
    <n v="0"/>
    <n v="93.27"/>
    <n v="93.27"/>
    <n v="-3278.43"/>
  </r>
  <r>
    <x v="6"/>
    <x v="4"/>
    <x v="0"/>
    <s v="8303103"/>
    <n v="713010"/>
    <s v="Benefits-FICA/Medicare"/>
    <s v="Nursing Residency"/>
    <x v="0"/>
    <m/>
    <n v="2485.21"/>
    <n v="2710.11"/>
    <n v="4278.28"/>
    <n v="3958.71"/>
    <n v="1933.75"/>
    <n v="2026.68"/>
    <n v="2411.0300000000002"/>
    <n v="1357.85"/>
    <n v="1814.07"/>
    <n v="2059.6799999999998"/>
    <n v="1466.23"/>
    <n v="4744.66"/>
    <n v="31246.259999999995"/>
    <n v="-9097.1200000000008"/>
  </r>
  <r>
    <x v="6"/>
    <x v="4"/>
    <x v="0"/>
    <s v="8303103"/>
    <n v="713090"/>
    <s v="Benefits-Allocated Amounts"/>
    <s v="Nursing Residency"/>
    <x v="0"/>
    <m/>
    <n v="7344.56"/>
    <n v="6524.67"/>
    <n v="11534.39"/>
    <n v="10346.49"/>
    <n v="5189.04"/>
    <n v="5482.47"/>
    <n v="6780.83"/>
    <n v="4475.03"/>
    <n v="5150.74"/>
    <n v="6268.3"/>
    <n v="4429.25"/>
    <n v="13526.37"/>
    <n v="87052.14"/>
    <n v="5516.6300000000047"/>
  </r>
  <r>
    <x v="5"/>
    <x v="8"/>
    <x v="0"/>
    <s v="8303104"/>
    <n v="700026"/>
    <s v="Salaries-RN-Productive"/>
    <s v="Nursing Residency"/>
    <x v="0"/>
    <m/>
    <n v="6680.7"/>
    <n v="24102.27"/>
    <n v="62957.98"/>
    <n v="84585.67"/>
    <n v="49180.23"/>
    <n v="64502.54"/>
    <n v="45494.15"/>
    <n v="24261.99"/>
    <n v="33246.910000000003"/>
    <n v="36821.21"/>
    <n v="51033.15"/>
    <n v="45516.52"/>
    <n v="528383.32000000007"/>
    <n v="553.95000000000005"/>
  </r>
  <r>
    <x v="5"/>
    <x v="8"/>
    <x v="0"/>
    <s v="8303104"/>
    <n v="700026"/>
    <s v="Salaries-RN-OT"/>
    <s v="Nursing Residency"/>
    <x v="0"/>
    <n v="1000"/>
    <n v="35.79"/>
    <n v="506.99"/>
    <n v="1282.53"/>
    <n v="2939.59"/>
    <n v="620.27"/>
    <n v="651.92999999999995"/>
    <n v="878.33"/>
    <n v="480.25"/>
    <n v="397.37"/>
    <n v="222.23"/>
    <n v="812.96"/>
    <n v="259.01"/>
    <n v="9087.25"/>
    <n v="175.7199999999998"/>
  </r>
  <r>
    <x v="5"/>
    <x v="8"/>
    <x v="0"/>
    <s v="8303104"/>
    <n v="700026"/>
    <s v="Salaries-RN-Other"/>
    <s v="Nursing Residency"/>
    <x v="0"/>
    <n v="2000"/>
    <n v="417.3"/>
    <n v="1073.98"/>
    <n v="3508.16"/>
    <n v="4930.28"/>
    <n v="1994.28"/>
    <n v="3535.53"/>
    <n v="3140.81"/>
    <n v="1730.61"/>
    <n v="778.57"/>
    <n v="1718.78"/>
    <n v="2336.7399999999998"/>
    <n v="2161.02"/>
    <n v="27326.06"/>
    <n v="0"/>
  </r>
  <r>
    <x v="5"/>
    <x v="8"/>
    <x v="0"/>
    <s v="8303104"/>
    <n v="700066"/>
    <s v="Salaries-RN-Non-productive"/>
    <s v="Nursing Residency"/>
    <x v="0"/>
    <m/>
    <n v="0"/>
    <n v="0"/>
    <n v="0"/>
    <n v="485.13"/>
    <n v="-213.45"/>
    <n v="0"/>
    <n v="0"/>
    <n v="0"/>
    <n v="0"/>
    <n v="0"/>
    <n v="0"/>
    <n v="0"/>
    <n v="271.68"/>
    <n v="0"/>
  </r>
  <r>
    <x v="5"/>
    <x v="8"/>
    <x v="0"/>
    <s v="8303104"/>
    <n v="700084"/>
    <s v="Accrued PTO"/>
    <s v="Nursing Residency"/>
    <x v="0"/>
    <m/>
    <n v="0"/>
    <n v="0"/>
    <n v="233.98"/>
    <n v="-233.98"/>
    <n v="0"/>
    <n v="0"/>
    <n v="0"/>
    <n v="0"/>
    <n v="0"/>
    <n v="0"/>
    <n v="0"/>
    <n v="0"/>
    <n v="0"/>
    <n v="431.44999999999982"/>
  </r>
  <r>
    <x v="6"/>
    <x v="8"/>
    <x v="0"/>
    <s v="8303104"/>
    <n v="713010"/>
    <s v="Benefits-FICA/Medicare"/>
    <s v="Nursing Residency"/>
    <x v="0"/>
    <m/>
    <n v="545.47"/>
    <n v="1962.17"/>
    <n v="5102.17"/>
    <n v="6899.25"/>
    <n v="3835.56"/>
    <n v="5195.0600000000004"/>
    <n v="3713.72"/>
    <n v="1983.82"/>
    <n v="2545.37"/>
    <n v="2894.18"/>
    <n v="4042.96"/>
    <n v="3611.51"/>
    <n v="42331.240000000005"/>
    <n v="658.7400000000016"/>
  </r>
  <r>
    <x v="6"/>
    <x v="8"/>
    <x v="0"/>
    <s v="8303104"/>
    <n v="713090"/>
    <s v="Benefits-Allocated Amounts"/>
    <s v="Nursing Residency"/>
    <x v="0"/>
    <m/>
    <n v="1474.49"/>
    <n v="5229.34"/>
    <n v="13584.98"/>
    <n v="18467.61"/>
    <n v="10425.67"/>
    <n v="13654.72"/>
    <n v="9805.81"/>
    <n v="6043.12"/>
    <n v="5997.89"/>
    <n v="7742.35"/>
    <n v="10011.200000000001"/>
    <n v="9352.4599999999991"/>
    <n v="111789.63999999998"/>
    <n v="12389.75"/>
  </r>
  <r>
    <x v="5"/>
    <x v="5"/>
    <x v="0"/>
    <s v="8303106"/>
    <n v="700026"/>
    <s v="Salaries-RN-Productive"/>
    <s v="Nursing Residency"/>
    <x v="0"/>
    <m/>
    <n v="63871.83"/>
    <n v="57614.84"/>
    <n v="68963.320000000007"/>
    <n v="77605.009999999995"/>
    <n v="82813"/>
    <n v="61780.3"/>
    <n v="48728.13"/>
    <n v="41076.949999999997"/>
    <n v="38511.46"/>
    <n v="57168.87"/>
    <n v="64553.25"/>
    <n v="52163.5"/>
    <n v="714850.46"/>
    <n v="-101.5"/>
  </r>
  <r>
    <x v="5"/>
    <x v="5"/>
    <x v="0"/>
    <s v="8303106"/>
    <n v="700026"/>
    <s v="Salaries-RN-OT"/>
    <s v="Nursing Residency"/>
    <x v="0"/>
    <n v="1000"/>
    <n v="2931.22"/>
    <n v="4119.76"/>
    <n v="1436.06"/>
    <n v="1511.15"/>
    <n v="2524.23"/>
    <n v="1903.56"/>
    <n v="550.95000000000005"/>
    <n v="800.68"/>
    <n v="429.24"/>
    <n v="1297.25"/>
    <n v="1571.92"/>
    <n v="1673.42"/>
    <n v="20749.439999999995"/>
    <n v="666.95"/>
  </r>
  <r>
    <x v="5"/>
    <x v="5"/>
    <x v="0"/>
    <s v="8303106"/>
    <n v="700026"/>
    <s v="Salaries-RN-Other"/>
    <s v="Nursing Residency"/>
    <x v="0"/>
    <n v="2000"/>
    <n v="3679.55"/>
    <n v="2406.1799999999998"/>
    <n v="2971.11"/>
    <n v="2826.98"/>
    <n v="4403.5"/>
    <n v="6582.5"/>
    <n v="4579.09"/>
    <n v="2452.91"/>
    <n v="2011.93"/>
    <n v="1485.63"/>
    <n v="2695.11"/>
    <n v="2028.16"/>
    <n v="38122.65"/>
    <n v="-614.4"/>
  </r>
  <r>
    <x v="5"/>
    <x v="5"/>
    <x v="0"/>
    <s v="8303106"/>
    <n v="700032"/>
    <s v="Salaries-Other Pat Care Providers-Productive"/>
    <s v="Nursing Residency"/>
    <x v="0"/>
    <m/>
    <n v="0"/>
    <n v="0"/>
    <n v="0"/>
    <n v="0"/>
    <n v="0"/>
    <n v="0"/>
    <n v="0"/>
    <n v="0"/>
    <n v="0"/>
    <n v="0"/>
    <n v="0"/>
    <n v="614.4"/>
    <n v="614.4"/>
    <n v="-280.08999999999997"/>
  </r>
  <r>
    <x v="5"/>
    <x v="5"/>
    <x v="0"/>
    <s v="8303106"/>
    <n v="700066"/>
    <s v="Salaries-RN-Non-productive"/>
    <s v="Nursing Residency"/>
    <x v="0"/>
    <m/>
    <n v="0"/>
    <n v="0"/>
    <n v="0"/>
    <n v="0"/>
    <n v="0"/>
    <n v="0"/>
    <n v="0"/>
    <n v="0"/>
    <n v="0"/>
    <n v="672.29"/>
    <n v="-280.08999999999997"/>
    <n v="0"/>
    <n v="392.2"/>
    <n v="0"/>
  </r>
  <r>
    <x v="5"/>
    <x v="5"/>
    <x v="0"/>
    <s v="8303106"/>
    <n v="700066"/>
    <s v="Salaries-RN-NonProd-Other"/>
    <s v="Nursing Residency"/>
    <x v="0"/>
    <n v="2000"/>
    <n v="0"/>
    <n v="0"/>
    <n v="0"/>
    <n v="0"/>
    <n v="0"/>
    <n v="0"/>
    <n v="35.93"/>
    <n v="-9.4499999999999993"/>
    <n v="0"/>
    <n v="0"/>
    <n v="0"/>
    <n v="0"/>
    <n v="26.48"/>
    <n v="871.91000000000076"/>
  </r>
  <r>
    <x v="6"/>
    <x v="5"/>
    <x v="0"/>
    <s v="8303106"/>
    <n v="713010"/>
    <s v="Benefits-FICA/Medicare"/>
    <s v="Nursing Residency"/>
    <x v="0"/>
    <m/>
    <n v="5305.41"/>
    <n v="4871.26"/>
    <n v="5550.3"/>
    <n v="6143.38"/>
    <n v="6729.02"/>
    <n v="5321.09"/>
    <n v="4060.18"/>
    <n v="3331.25"/>
    <n v="3072.89"/>
    <n v="4570.58"/>
    <n v="5012.8900000000003"/>
    <n v="4140.9799999999996"/>
    <n v="58109.23000000001"/>
    <n v="2798.4100000000017"/>
  </r>
  <r>
    <x v="6"/>
    <x v="5"/>
    <x v="0"/>
    <s v="8303106"/>
    <n v="713090"/>
    <s v="Benefits-Allocated Amounts"/>
    <s v="Nursing Residency"/>
    <x v="0"/>
    <m/>
    <n v="16308.89"/>
    <n v="14856.07"/>
    <n v="17535.66"/>
    <n v="19673.63"/>
    <n v="22594.74"/>
    <n v="16492.11"/>
    <n v="13087.79"/>
    <n v="11379.78"/>
    <n v="9732.9699999999993"/>
    <n v="15385.92"/>
    <n v="16506.240000000002"/>
    <n v="13707.83"/>
    <n v="187261.63"/>
    <n v="305840.75"/>
  </r>
  <r>
    <x v="20"/>
    <x v="6"/>
    <x v="0"/>
    <s v="8303107"/>
    <n v="610010"/>
    <s v="Foundation Distributions"/>
    <s v="Nursing Residency"/>
    <x v="0"/>
    <n v="1175"/>
    <n v="0"/>
    <n v="0"/>
    <n v="0"/>
    <n v="0"/>
    <n v="0"/>
    <n v="0"/>
    <n v="0"/>
    <n v="0"/>
    <n v="0"/>
    <n v="0"/>
    <n v="0"/>
    <n v="-305840.75"/>
    <n v="-305840.75"/>
    <n v="-1821.7099999999991"/>
  </r>
  <r>
    <x v="5"/>
    <x v="6"/>
    <x v="0"/>
    <s v="8303107"/>
    <n v="700026"/>
    <s v="Salaries-RN-Productive"/>
    <s v="Nursing Residency"/>
    <x v="0"/>
    <m/>
    <n v="12142.88"/>
    <n v="110701.56"/>
    <n v="129667.57"/>
    <n v="129166.05"/>
    <n v="130824.46"/>
    <n v="102723.51"/>
    <n v="27652.78"/>
    <n v="17165.990000000002"/>
    <n v="51746.57"/>
    <n v="43497.09"/>
    <n v="46496.57"/>
    <n v="48318.28"/>
    <n v="850103.30999999994"/>
    <n v="-1108.9699999999998"/>
  </r>
  <r>
    <x v="5"/>
    <x v="6"/>
    <x v="0"/>
    <s v="8303107"/>
    <n v="700026"/>
    <s v="Salaries-RN-OT"/>
    <s v="Nursing Residency"/>
    <x v="0"/>
    <n v="1000"/>
    <n v="350.82"/>
    <n v="1789.37"/>
    <n v="3897.38"/>
    <n v="1690.13"/>
    <n v="2134.62"/>
    <n v="3118.76"/>
    <n v="300.87"/>
    <n v="74.08"/>
    <n v="1333.76"/>
    <n v="185.5"/>
    <n v="712.88"/>
    <n v="1821.85"/>
    <n v="17410.02"/>
    <n v="-656.68000000000029"/>
  </r>
  <r>
    <x v="5"/>
    <x v="6"/>
    <x v="0"/>
    <s v="8303107"/>
    <n v="700026"/>
    <s v="Salaries-RN-Other"/>
    <s v="Nursing Residency"/>
    <x v="0"/>
    <n v="2000"/>
    <n v="1500.62"/>
    <n v="1141.1300000000001"/>
    <n v="3954.13"/>
    <n v="3636.28"/>
    <n v="5700.38"/>
    <n v="8096.62"/>
    <n v="3967.48"/>
    <n v="76.12"/>
    <n v="1139.01"/>
    <n v="1147.31"/>
    <n v="2451.89"/>
    <n v="3108.57"/>
    <n v="35919.54"/>
    <n v="-176.78"/>
  </r>
  <r>
    <x v="5"/>
    <x v="6"/>
    <x v="0"/>
    <s v="8303107"/>
    <n v="700032"/>
    <s v="Salaries-Other Pat Care Providers-Productive"/>
    <s v="Nursing Residency"/>
    <x v="0"/>
    <m/>
    <n v="0"/>
    <n v="54.92"/>
    <n v="110.84"/>
    <n v="292.41000000000003"/>
    <n v="113.28"/>
    <n v="231.29"/>
    <n v="-18.8"/>
    <n v="0"/>
    <n v="48.55"/>
    <n v="345.03"/>
    <n v="-120.14"/>
    <n v="56.64"/>
    <n v="1114.02"/>
    <n v="0"/>
  </r>
  <r>
    <x v="5"/>
    <x v="6"/>
    <x v="0"/>
    <s v="8303107"/>
    <n v="700034"/>
    <s v="Salaries-Tech/Professional-Productive"/>
    <s v="Nursing Residency"/>
    <x v="0"/>
    <m/>
    <n v="0"/>
    <n v="0"/>
    <n v="0"/>
    <n v="0"/>
    <n v="0"/>
    <n v="179.84"/>
    <n v="0"/>
    <n v="0"/>
    <n v="0"/>
    <n v="0"/>
    <n v="0"/>
    <n v="0"/>
    <n v="179.84"/>
    <n v="-266.02"/>
  </r>
  <r>
    <x v="5"/>
    <x v="6"/>
    <x v="0"/>
    <s v="8303107"/>
    <n v="700034"/>
    <s v="Salaries-Tech/Professional-OT"/>
    <s v="Nursing Residency"/>
    <x v="0"/>
    <n v="1000"/>
    <n v="0"/>
    <n v="0"/>
    <n v="0"/>
    <n v="0"/>
    <n v="0"/>
    <n v="526.91999999999996"/>
    <n v="0"/>
    <n v="0"/>
    <n v="0"/>
    <n v="638.51"/>
    <n v="-266.02"/>
    <n v="0"/>
    <n v="899.40999999999985"/>
    <n v="-330.95"/>
  </r>
  <r>
    <x v="5"/>
    <x v="6"/>
    <x v="0"/>
    <s v="8303107"/>
    <n v="700066"/>
    <s v="Salaries-RN-Non-productive"/>
    <s v="Nursing Residency"/>
    <x v="0"/>
    <m/>
    <n v="0"/>
    <n v="0"/>
    <n v="0"/>
    <n v="0"/>
    <n v="0"/>
    <n v="0"/>
    <n v="0"/>
    <n v="0"/>
    <n v="0"/>
    <n v="0"/>
    <n v="0"/>
    <n v="330.95"/>
    <n v="330.95"/>
    <n v="-45.76"/>
  </r>
  <r>
    <x v="5"/>
    <x v="6"/>
    <x v="0"/>
    <s v="8303107"/>
    <n v="700066"/>
    <s v="Salaries-RN-NonProd-Other"/>
    <s v="Nursing Residency"/>
    <x v="0"/>
    <n v="2000"/>
    <n v="0"/>
    <n v="0"/>
    <n v="0"/>
    <n v="0"/>
    <n v="0"/>
    <n v="0"/>
    <n v="0"/>
    <n v="0"/>
    <n v="0"/>
    <n v="0"/>
    <n v="0"/>
    <n v="45.76"/>
    <n v="45.76"/>
    <n v="-329.33000000000038"/>
  </r>
  <r>
    <x v="6"/>
    <x v="6"/>
    <x v="0"/>
    <s v="8303107"/>
    <n v="713010"/>
    <s v="Benefits-FICA/Medicare"/>
    <s v="Nursing Residency"/>
    <x v="0"/>
    <m/>
    <n v="1053.55"/>
    <n v="8611.2099999999991"/>
    <n v="10435.77"/>
    <n v="10074.75"/>
    <n v="10399.469999999999"/>
    <n v="8579.34"/>
    <n v="2355.91"/>
    <n v="1316.94"/>
    <n v="4143.38"/>
    <n v="3458.71"/>
    <n v="3727.7"/>
    <n v="4057.03"/>
    <n v="68213.759999999995"/>
    <n v="-3179.8199999999997"/>
  </r>
  <r>
    <x v="6"/>
    <x v="6"/>
    <x v="0"/>
    <s v="8303107"/>
    <n v="713090"/>
    <s v="Benefits-Allocated Amounts"/>
    <s v="Nursing Residency"/>
    <x v="0"/>
    <m/>
    <n v="2443.14"/>
    <n v="21740.25"/>
    <n v="26312.82"/>
    <n v="25782.880000000001"/>
    <n v="29019.26"/>
    <n v="21760.68"/>
    <n v="6282.06"/>
    <n v="4878.2"/>
    <n v="8175.58"/>
    <n v="10701.74"/>
    <n v="9622.09"/>
    <n v="12801.91"/>
    <n v="179520.61"/>
    <n v="0"/>
  </r>
  <r>
    <x v="6"/>
    <x v="6"/>
    <x v="0"/>
    <s v="8303107"/>
    <n v="713096"/>
    <s v="Employee Recognition"/>
    <s v="Nursing Residency"/>
    <x v="0"/>
    <n v="1017"/>
    <n v="0"/>
    <n v="9.8000000000000007"/>
    <n v="0"/>
    <n v="0"/>
    <n v="0"/>
    <n v="0"/>
    <n v="0"/>
    <n v="0"/>
    <n v="0"/>
    <n v="0"/>
    <n v="0"/>
    <n v="0"/>
    <n v="9.8000000000000007"/>
    <n v="38900"/>
  </r>
  <r>
    <x v="7"/>
    <x v="6"/>
    <x v="0"/>
    <s v="8303107"/>
    <n v="718050"/>
    <s v="Miscellaneous Purchased Svcs"/>
    <s v="Nursing Residency"/>
    <x v="0"/>
    <n v="1020"/>
    <n v="0"/>
    <n v="129675"/>
    <n v="0"/>
    <n v="0"/>
    <n v="2000"/>
    <n v="0"/>
    <n v="0"/>
    <n v="0"/>
    <n v="0"/>
    <n v="0"/>
    <n v="39900"/>
    <n v="1000"/>
    <n v="172575"/>
    <n v="0"/>
  </r>
  <r>
    <x v="11"/>
    <x v="6"/>
    <x v="0"/>
    <s v="8303107"/>
    <n v="721410"/>
    <s v="Supplies-Medical - Nonbillable"/>
    <s v="Nursing Residency"/>
    <x v="0"/>
    <m/>
    <n v="0"/>
    <n v="0"/>
    <n v="0"/>
    <n v="0"/>
    <n v="0"/>
    <n v="0"/>
    <n v="34.36"/>
    <n v="0"/>
    <n v="0"/>
    <n v="0"/>
    <n v="0"/>
    <n v="0"/>
    <n v="34.36"/>
    <n v="-71.549999999999983"/>
  </r>
  <r>
    <x v="11"/>
    <x v="6"/>
    <x v="0"/>
    <s v="8303107"/>
    <n v="721810"/>
    <s v="Supplies-Dietary/Cafeteria"/>
    <s v="Nursing Residency"/>
    <x v="0"/>
    <m/>
    <n v="0"/>
    <n v="342.66"/>
    <n v="0"/>
    <n v="0"/>
    <n v="103.93"/>
    <n v="270.57"/>
    <n v="71.2"/>
    <n v="158.69999999999999"/>
    <n v="0"/>
    <n v="230.74"/>
    <n v="117.84"/>
    <n v="189.39"/>
    <n v="1485.0300000000002"/>
    <n v="0"/>
  </r>
  <r>
    <x v="11"/>
    <x v="6"/>
    <x v="0"/>
    <s v="8303107"/>
    <n v="721830"/>
    <s v="Supplies-Office"/>
    <s v="Nursing Residency"/>
    <x v="0"/>
    <m/>
    <n v="83.81"/>
    <n v="78.61"/>
    <n v="0"/>
    <n v="0"/>
    <n v="0"/>
    <n v="0"/>
    <n v="0"/>
    <n v="0"/>
    <n v="0"/>
    <n v="0"/>
    <n v="0"/>
    <n v="0"/>
    <n v="162.42000000000002"/>
    <n v="0"/>
  </r>
  <r>
    <x v="11"/>
    <x v="6"/>
    <x v="0"/>
    <s v="8303107"/>
    <n v="721910"/>
    <s v="Supplies-Small Equipment"/>
    <s v="Nursing Residency"/>
    <x v="0"/>
    <m/>
    <n v="0"/>
    <n v="0"/>
    <n v="0"/>
    <n v="0"/>
    <n v="0"/>
    <n v="0"/>
    <n v="0"/>
    <n v="77.77"/>
    <n v="6.56"/>
    <n v="0"/>
    <n v="0"/>
    <n v="0"/>
    <n v="84.33"/>
    <n v="0"/>
  </r>
  <r>
    <x v="0"/>
    <x v="6"/>
    <x v="0"/>
    <s v="8303107"/>
    <n v="740010"/>
    <s v="Education-Materials"/>
    <s v="Nursing Residency"/>
    <x v="0"/>
    <m/>
    <n v="0"/>
    <n v="0"/>
    <n v="8157.1"/>
    <n v="0"/>
    <n v="0"/>
    <n v="0"/>
    <n v="0"/>
    <n v="0"/>
    <n v="0"/>
    <n v="0"/>
    <n v="0"/>
    <n v="0"/>
    <n v="8157.1"/>
    <n v="0"/>
  </r>
  <r>
    <x v="0"/>
    <x v="6"/>
    <x v="0"/>
    <s v="8303107"/>
    <n v="749510"/>
    <s v="Miscellaneous Expenses"/>
    <s v="Nursing Residency"/>
    <x v="0"/>
    <m/>
    <n v="0"/>
    <n v="0"/>
    <n v="0"/>
    <n v="0"/>
    <n v="0"/>
    <n v="0"/>
    <n v="0"/>
    <n v="0"/>
    <n v="104.8"/>
    <n v="-104.8"/>
    <n v="0"/>
    <n v="0"/>
    <n v="0"/>
    <n v="0"/>
  </r>
  <r>
    <x v="0"/>
    <x v="6"/>
    <x v="0"/>
    <s v="8303107"/>
    <n v="749510"/>
    <s v="Licenses"/>
    <s v="Nursing Residency"/>
    <x v="0"/>
    <n v="1002"/>
    <n v="0"/>
    <n v="0"/>
    <n v="0"/>
    <n v="0"/>
    <n v="0"/>
    <n v="275"/>
    <n v="0"/>
    <n v="0"/>
    <n v="0"/>
    <n v="0"/>
    <n v="0"/>
    <n v="0"/>
    <n v="275"/>
    <n v="7"/>
  </r>
  <r>
    <x v="0"/>
    <x v="6"/>
    <x v="0"/>
    <s v="8303107"/>
    <n v="749530"/>
    <s v="Travel"/>
    <s v="Nursing Residency"/>
    <x v="0"/>
    <m/>
    <n v="0"/>
    <n v="0"/>
    <n v="0"/>
    <n v="0"/>
    <n v="0"/>
    <n v="359.92"/>
    <n v="0"/>
    <n v="0"/>
    <n v="24"/>
    <n v="45"/>
    <n v="7"/>
    <n v="0"/>
    <n v="435.92"/>
    <n v="52.2"/>
  </r>
  <r>
    <x v="0"/>
    <x v="6"/>
    <x v="0"/>
    <s v="8303107"/>
    <n v="749530"/>
    <s v="Mileage"/>
    <s v="Nursing Residency"/>
    <x v="0"/>
    <n v="1001"/>
    <n v="0"/>
    <n v="0"/>
    <n v="0"/>
    <n v="0"/>
    <n v="0"/>
    <n v="164.06"/>
    <n v="0"/>
    <n v="0"/>
    <n v="183.35"/>
    <n v="310.88"/>
    <n v="52.2"/>
    <n v="0"/>
    <n v="710.49"/>
    <n v="5425.05"/>
  </r>
  <r>
    <x v="5"/>
    <x v="7"/>
    <x v="0"/>
    <s v="8303150"/>
    <n v="700026"/>
    <s v="Salaries-RN-Productive"/>
    <s v="Nursing Residency"/>
    <x v="0"/>
    <m/>
    <n v="9783.2199999999993"/>
    <n v="12154.22"/>
    <n v="14078.04"/>
    <n v="18536.54"/>
    <n v="27221.09"/>
    <n v="20128.61"/>
    <n v="16553.88"/>
    <n v="20900.849999999999"/>
    <n v="17526.330000000002"/>
    <n v="13166.22"/>
    <n v="6603.27"/>
    <n v="1178.22"/>
    <n v="177830.49000000002"/>
    <n v="164.99"/>
  </r>
  <r>
    <x v="5"/>
    <x v="7"/>
    <x v="0"/>
    <s v="8303150"/>
    <n v="700026"/>
    <s v="Salaries-RN-OT"/>
    <s v="Nursing Residency"/>
    <x v="0"/>
    <n v="1000"/>
    <n v="442.19"/>
    <n v="1140.7"/>
    <n v="510.21"/>
    <n v="259.52999999999997"/>
    <n v="821.45"/>
    <n v="403.73"/>
    <n v="214.68"/>
    <n v="456.13"/>
    <n v="417.49"/>
    <n v="959.31"/>
    <n v="91.07"/>
    <n v="-73.92"/>
    <n v="5642.57"/>
    <n v="-114.36000000000001"/>
  </r>
  <r>
    <x v="5"/>
    <x v="7"/>
    <x v="0"/>
    <s v="8303150"/>
    <n v="700026"/>
    <s v="Salaries-RN-Other"/>
    <s v="Nursing Residency"/>
    <x v="0"/>
    <n v="2000"/>
    <n v="84.64"/>
    <n v="389.42"/>
    <n v="812.65"/>
    <n v="1025.1199999999999"/>
    <n v="1775.65"/>
    <n v="1788.17"/>
    <n v="1488.45"/>
    <n v="1912.54"/>
    <n v="1329.62"/>
    <n v="598.16"/>
    <n v="272.14999999999998"/>
    <n v="386.51"/>
    <n v="11863.079999999998"/>
    <n v="0"/>
  </r>
  <r>
    <x v="5"/>
    <x v="7"/>
    <x v="0"/>
    <s v="8303150"/>
    <n v="700066"/>
    <s v="Salaries-RN-NonProd-Other"/>
    <s v="Nursing Residency"/>
    <x v="0"/>
    <n v="2000"/>
    <n v="0"/>
    <n v="0"/>
    <n v="0"/>
    <n v="15.07"/>
    <n v="0"/>
    <n v="0"/>
    <n v="0"/>
    <n v="0"/>
    <n v="0"/>
    <n v="0"/>
    <n v="0"/>
    <n v="0"/>
    <n v="15.07"/>
    <n v="339.37"/>
  </r>
  <r>
    <x v="6"/>
    <x v="7"/>
    <x v="0"/>
    <s v="8303150"/>
    <n v="713010"/>
    <s v="Benefits-FICA/Medicare"/>
    <s v="Nursing Residency"/>
    <x v="0"/>
    <m/>
    <n v="783.1"/>
    <n v="1033.51"/>
    <n v="1173.8499999999999"/>
    <n v="1500.33"/>
    <n v="2245.25"/>
    <n v="1667.23"/>
    <n v="1389.15"/>
    <n v="1739.56"/>
    <n v="1411.94"/>
    <n v="1094.79"/>
    <n v="471.99"/>
    <n v="132.62"/>
    <n v="14643.32"/>
    <n v="889.17000000000007"/>
  </r>
  <r>
    <x v="6"/>
    <x v="7"/>
    <x v="0"/>
    <s v="8303150"/>
    <n v="713090"/>
    <s v="Benefits-Allocated Amounts"/>
    <s v="Nursing Residency"/>
    <x v="0"/>
    <m/>
    <n v="2267.7800000000002"/>
    <n v="2686.35"/>
    <n v="3268.41"/>
    <n v="4151.17"/>
    <n v="6063.27"/>
    <n v="4537.5600000000004"/>
    <n v="3933.44"/>
    <n v="4602.63"/>
    <n v="3716.85"/>
    <n v="3247.51"/>
    <n v="1429.38"/>
    <n v="540.21"/>
    <n v="40444.560000000005"/>
    <n v="0"/>
  </r>
  <r>
    <x v="14"/>
    <x v="0"/>
    <x v="0"/>
    <s v="8325102"/>
    <n v="600050"/>
    <s v="Miscellaneous Revenue"/>
    <s v="Podiatry Resident Program"/>
    <x v="0"/>
    <m/>
    <n v="0"/>
    <n v="0"/>
    <n v="0"/>
    <n v="-50"/>
    <n v="-1750"/>
    <n v="-25"/>
    <n v="0"/>
    <n v="0"/>
    <n v="0"/>
    <n v="0"/>
    <n v="0"/>
    <n v="0"/>
    <n v="-1825"/>
    <n v="-2830.84"/>
  </r>
  <r>
    <x v="5"/>
    <x v="0"/>
    <x v="0"/>
    <s v="8325102"/>
    <n v="700032"/>
    <s v="Salaries-Other Pat Care Providers-Productive"/>
    <s v="Podiatry Resident Program"/>
    <x v="0"/>
    <m/>
    <n v="28147.86"/>
    <n v="28453.919999999998"/>
    <n v="27536.44"/>
    <n v="28453.94"/>
    <n v="27535.14"/>
    <n v="27466.81"/>
    <n v="28621.71"/>
    <n v="25737.88"/>
    <n v="28495.68"/>
    <n v="27575.58"/>
    <n v="28495.68"/>
    <n v="31326.52"/>
    <n v="337847.16"/>
    <n v="0"/>
  </r>
  <r>
    <x v="5"/>
    <x v="0"/>
    <x v="0"/>
    <s v="8325102"/>
    <n v="700032"/>
    <s v="Salaries-Other Pat Care Providers-Other"/>
    <s v="Podiatry Resident Program"/>
    <x v="0"/>
    <n v="2000"/>
    <n v="361.08"/>
    <n v="0"/>
    <n v="0"/>
    <n v="0"/>
    <n v="0"/>
    <n v="0"/>
    <n v="0"/>
    <n v="0"/>
    <n v="0"/>
    <n v="0"/>
    <n v="0"/>
    <n v="0"/>
    <n v="361.08"/>
    <n v="-2216.14"/>
  </r>
  <r>
    <x v="5"/>
    <x v="0"/>
    <x v="0"/>
    <s v="8325102"/>
    <n v="700034"/>
    <s v="Salaries-Tech/Professional-Productive"/>
    <s v="Podiatry Resident Program"/>
    <x v="0"/>
    <m/>
    <n v="0"/>
    <n v="0"/>
    <n v="0"/>
    <n v="0"/>
    <n v="0"/>
    <n v="0"/>
    <n v="0"/>
    <n v="3238.97"/>
    <n v="-18.829999999999998"/>
    <n v="1401.68"/>
    <n v="1174.44"/>
    <n v="3390.58"/>
    <n v="9186.84"/>
    <n v="0"/>
  </r>
  <r>
    <x v="5"/>
    <x v="0"/>
    <x v="0"/>
    <s v="8325102"/>
    <n v="700038"/>
    <s v="Salaries-Service/Support-Productive"/>
    <s v="Podiatry Resident Program"/>
    <x v="0"/>
    <m/>
    <n v="1598.51"/>
    <n v="4109.5600000000004"/>
    <n v="1002.19"/>
    <n v="2952.86"/>
    <n v="1695.22"/>
    <n v="2229.31"/>
    <n v="2364.67"/>
    <n v="982.41"/>
    <n v="0"/>
    <n v="0"/>
    <n v="0"/>
    <n v="0"/>
    <n v="16934.73"/>
    <n v="0"/>
  </r>
  <r>
    <x v="5"/>
    <x v="0"/>
    <x v="0"/>
    <s v="8325102"/>
    <n v="700038"/>
    <s v="Salaries-Service/Support-OT"/>
    <s v="Podiatry Resident Program"/>
    <x v="0"/>
    <n v="1000"/>
    <n v="118.6"/>
    <n v="1209.47"/>
    <n v="233.73"/>
    <n v="24.66"/>
    <n v="0"/>
    <n v="0"/>
    <n v="0"/>
    <n v="0"/>
    <n v="0"/>
    <n v="0"/>
    <n v="0"/>
    <n v="0"/>
    <n v="1586.46"/>
    <n v="0"/>
  </r>
  <r>
    <x v="5"/>
    <x v="0"/>
    <x v="0"/>
    <s v="8325102"/>
    <n v="700054"/>
    <s v="Salaries-Management-NonProd-Other"/>
    <s v="Podiatry Resident Program"/>
    <x v="0"/>
    <n v="2000"/>
    <n v="0"/>
    <n v="0"/>
    <n v="0"/>
    <n v="0"/>
    <n v="0"/>
    <n v="49"/>
    <n v="-49"/>
    <n v="0"/>
    <n v="0"/>
    <n v="0"/>
    <n v="0"/>
    <n v="0"/>
    <n v="0"/>
    <n v="-870.1"/>
  </r>
  <r>
    <x v="5"/>
    <x v="0"/>
    <x v="0"/>
    <s v="8325102"/>
    <n v="700072"/>
    <s v="Salaries-Other Pat Care Providers-Non-productive"/>
    <s v="Podiatry Resident Program"/>
    <x v="0"/>
    <m/>
    <n v="0"/>
    <n v="0"/>
    <n v="0"/>
    <n v="0"/>
    <n v="0"/>
    <n v="987.1"/>
    <n v="-123.32"/>
    <n v="0"/>
    <n v="0"/>
    <n v="0"/>
    <n v="0"/>
    <n v="870.1"/>
    <n v="1733.88"/>
    <n v="246.26"/>
  </r>
  <r>
    <x v="5"/>
    <x v="0"/>
    <x v="0"/>
    <s v="8325102"/>
    <n v="700074"/>
    <s v="Salaries-Tech/Professional-Non-productive"/>
    <s v="Podiatry Resident Program"/>
    <x v="0"/>
    <m/>
    <n v="0"/>
    <n v="0"/>
    <n v="0"/>
    <n v="0"/>
    <n v="0"/>
    <n v="0"/>
    <n v="0"/>
    <n v="359.9"/>
    <n v="-94.7"/>
    <n v="265.18"/>
    <n v="530.38"/>
    <n v="284.12"/>
    <n v="1344.88"/>
    <n v="0"/>
  </r>
  <r>
    <x v="5"/>
    <x v="0"/>
    <x v="0"/>
    <s v="8325102"/>
    <n v="700078"/>
    <s v="Salaries-Service/Support-Non-productive"/>
    <s v="Podiatry Resident Program"/>
    <x v="0"/>
    <m/>
    <n v="175.36"/>
    <n v="0"/>
    <n v="1653.36"/>
    <n v="-453.24"/>
    <n v="0"/>
    <n v="1218.72"/>
    <n v="233.97"/>
    <n v="0"/>
    <n v="0"/>
    <n v="0"/>
    <n v="0"/>
    <n v="0"/>
    <n v="2828.1699999999996"/>
    <n v="-959.95999999999981"/>
  </r>
  <r>
    <x v="5"/>
    <x v="0"/>
    <x v="0"/>
    <s v="8325102"/>
    <n v="700084"/>
    <s v="Accrued PTO"/>
    <s v="Podiatry Resident Program"/>
    <x v="0"/>
    <m/>
    <n v="3162.82"/>
    <n v="-34730.199999999997"/>
    <n v="-1385.79"/>
    <n v="6178.4"/>
    <n v="36856.03"/>
    <n v="2299.65"/>
    <n v="1673.44"/>
    <n v="2224.59"/>
    <n v="2082.04"/>
    <n v="1287.6199999999999"/>
    <n v="1365.18"/>
    <n v="2325.14"/>
    <n v="23338.920000000002"/>
    <n v="-429.63000000000011"/>
  </r>
  <r>
    <x v="6"/>
    <x v="0"/>
    <x v="0"/>
    <s v="8325102"/>
    <n v="713010"/>
    <s v="Benefits-FICA/Medicare"/>
    <s v="Podiatry Resident Program"/>
    <x v="0"/>
    <m/>
    <n v="2309.1"/>
    <n v="3301.87"/>
    <n v="2294.98"/>
    <n v="2337.23"/>
    <n v="2206.89"/>
    <n v="2616.44"/>
    <n v="2414.13"/>
    <n v="2282.04"/>
    <n v="2142.83"/>
    <n v="2205.4299999999998"/>
    <n v="2277.75"/>
    <n v="2707.38"/>
    <n v="29096.070000000003"/>
    <n v="-1679.670000000001"/>
  </r>
  <r>
    <x v="6"/>
    <x v="0"/>
    <x v="0"/>
    <s v="8325102"/>
    <n v="713090"/>
    <s v="Benefits-Allocated Amounts"/>
    <s v="Podiatry Resident Program"/>
    <x v="0"/>
    <m/>
    <n v="8328.73"/>
    <n v="6251.32"/>
    <n v="7837.53"/>
    <n v="7976.07"/>
    <n v="9299.35"/>
    <n v="8296.25"/>
    <n v="8392.7800000000007"/>
    <n v="8553.7999999999993"/>
    <n v="7142.16"/>
    <n v="7944.35"/>
    <n v="8024.95"/>
    <n v="9704.6200000000008"/>
    <n v="97751.91"/>
    <n v="300"/>
  </r>
  <r>
    <x v="17"/>
    <x v="0"/>
    <x v="0"/>
    <s v="8325102"/>
    <n v="714510"/>
    <s v="Medical Director Fees"/>
    <s v="Podiatry Resident Program"/>
    <x v="0"/>
    <m/>
    <n v="5320"/>
    <n v="17360"/>
    <n v="6160"/>
    <n v="2800"/>
    <n v="9520"/>
    <n v="-5040"/>
    <n v="6160"/>
    <n v="0"/>
    <n v="3940"/>
    <n v="6980"/>
    <n v="3940"/>
    <n v="3640"/>
    <n v="60780"/>
    <n v="-78"/>
  </r>
  <r>
    <x v="7"/>
    <x v="0"/>
    <x v="0"/>
    <s v="8325102"/>
    <n v="718050"/>
    <s v="Contract Svcs-Other"/>
    <s v="Podiatry Resident Program"/>
    <x v="0"/>
    <m/>
    <n v="114.56"/>
    <n v="0"/>
    <n v="0"/>
    <n v="0"/>
    <n v="0"/>
    <n v="0"/>
    <n v="0"/>
    <n v="0"/>
    <n v="0"/>
    <n v="660"/>
    <n v="0"/>
    <n v="78"/>
    <n v="852.56"/>
    <n v="-6034.41"/>
  </r>
  <r>
    <x v="11"/>
    <x v="0"/>
    <x v="0"/>
    <s v="8325102"/>
    <n v="721810"/>
    <s v="Supplies-Dietary/Cafeteria"/>
    <s v="Podiatry Resident Program"/>
    <x v="0"/>
    <m/>
    <n v="1503.53"/>
    <n v="1799.06"/>
    <n v="1916.33"/>
    <n v="1481.2"/>
    <n v="1707.59"/>
    <n v="1500.98"/>
    <n v="1570.7"/>
    <n v="1485.67"/>
    <n v="1392.2"/>
    <n v="2122.4299999999998"/>
    <n v="1778.03"/>
    <n v="7812.44"/>
    <n v="26070.159999999996"/>
    <n v="0"/>
  </r>
  <r>
    <x v="11"/>
    <x v="0"/>
    <x v="0"/>
    <s v="8325102"/>
    <n v="721830"/>
    <s v="Supplies-Office"/>
    <s v="Podiatry Resident Program"/>
    <x v="0"/>
    <m/>
    <n v="35.72"/>
    <n v="58.5"/>
    <n v="116.3"/>
    <n v="77.010000000000005"/>
    <n v="141.19999999999999"/>
    <n v="32.75"/>
    <n v="0"/>
    <n v="30.76"/>
    <n v="43.08"/>
    <n v="126.9"/>
    <n v="0"/>
    <n v="0"/>
    <n v="662.21999999999991"/>
    <n v="0"/>
  </r>
  <r>
    <x v="11"/>
    <x v="0"/>
    <x v="0"/>
    <s v="8325102"/>
    <n v="722000"/>
    <s v="Supplies-Freight Expense"/>
    <s v="Podiatry Resident Program"/>
    <x v="0"/>
    <m/>
    <n v="0"/>
    <n v="0"/>
    <n v="0"/>
    <n v="0"/>
    <n v="0"/>
    <n v="0"/>
    <n v="8.4600000000000009"/>
    <n v="0"/>
    <n v="0"/>
    <n v="0"/>
    <n v="0"/>
    <n v="0"/>
    <n v="8.4600000000000009"/>
    <n v="3130.66"/>
  </r>
  <r>
    <x v="12"/>
    <x v="0"/>
    <x v="0"/>
    <s v="8325102"/>
    <n v="730010"/>
    <s v="Rental and Leases-Building (DO NOT USE)"/>
    <s v="Podiatry Resident Program"/>
    <x v="0"/>
    <m/>
    <n v="4778.6400000000003"/>
    <n v="5566.78"/>
    <n v="4878.51"/>
    <n v="6255.05"/>
    <n v="5566.78"/>
    <n v="-7916.88"/>
    <n v="3056.79"/>
    <n v="3056.79"/>
    <n v="3056.79"/>
    <n v="3056.79"/>
    <n v="3130.66"/>
    <n v="0"/>
    <n v="34486.699999999997"/>
    <n v="2035.59"/>
  </r>
  <r>
    <x v="12"/>
    <x v="0"/>
    <x v="0"/>
    <s v="8325102"/>
    <n v="730010"/>
    <s v="Rental-Common Area Maint (DO NOT USE)"/>
    <s v="Podiatry Resident Program"/>
    <x v="0"/>
    <n v="2200"/>
    <n v="0"/>
    <n v="0"/>
    <n v="0"/>
    <n v="0"/>
    <n v="0"/>
    <n v="13009.26"/>
    <n v="2035.59"/>
    <n v="2035.59"/>
    <n v="1895.18"/>
    <n v="2035.59"/>
    <n v="2035.59"/>
    <n v="0"/>
    <n v="23046.799999999999"/>
    <n v="-5168.8"/>
  </r>
  <r>
    <x v="12"/>
    <x v="0"/>
    <x v="0"/>
    <s v="8325102"/>
    <n v="730040"/>
    <s v="LT Lease-Real Estate"/>
    <s v="Podiatry Resident Program"/>
    <x v="0"/>
    <m/>
    <n v="0"/>
    <n v="0"/>
    <n v="0"/>
    <n v="0"/>
    <n v="0"/>
    <n v="0"/>
    <n v="0"/>
    <n v="0"/>
    <n v="0"/>
    <n v="0"/>
    <n v="0"/>
    <n v="5168.8"/>
    <n v="5168.8"/>
    <n v="0"/>
  </r>
  <r>
    <x v="15"/>
    <x v="0"/>
    <x v="0"/>
    <s v="8325102"/>
    <n v="731060"/>
    <s v="Pagers"/>
    <s v="Podiatry Resident Program"/>
    <x v="0"/>
    <n v="1002"/>
    <n v="98.41"/>
    <n v="98.41"/>
    <n v="98.41"/>
    <n v="98.65"/>
    <n v="98.65"/>
    <n v="0"/>
    <n v="216.71"/>
    <n v="90.53"/>
    <n v="90.53"/>
    <n v="90.53"/>
    <n v="90.53"/>
    <n v="90.53"/>
    <n v="1161.8899999999999"/>
    <n v="0"/>
  </r>
  <r>
    <x v="0"/>
    <x v="0"/>
    <x v="0"/>
    <s v="8325102"/>
    <n v="740010"/>
    <s v="Education-Materials"/>
    <s v="Podiatry Resident Program"/>
    <x v="0"/>
    <m/>
    <n v="41.27"/>
    <n v="0"/>
    <n v="0"/>
    <n v="0"/>
    <n v="0"/>
    <n v="0"/>
    <n v="350"/>
    <n v="173.1"/>
    <n v="0"/>
    <n v="0"/>
    <n v="0"/>
    <n v="0"/>
    <n v="564.37"/>
    <n v="0"/>
  </r>
  <r>
    <x v="0"/>
    <x v="0"/>
    <x v="0"/>
    <s v="8325102"/>
    <n v="740020"/>
    <s v="Education-Registration Fees"/>
    <s v="Podiatry Resident Program"/>
    <x v="0"/>
    <m/>
    <n v="2383.8000000000002"/>
    <n v="3252.02"/>
    <n v="365.7"/>
    <n v="5931.1"/>
    <n v="2287.48"/>
    <n v="3009.76"/>
    <n v="3742.43"/>
    <n v="8879.14"/>
    <n v="0"/>
    <n v="6775.61"/>
    <n v="0"/>
    <n v="0"/>
    <n v="36627.040000000001"/>
    <n v="49.540000000000006"/>
  </r>
  <r>
    <x v="0"/>
    <x v="0"/>
    <x v="0"/>
    <s v="8325102"/>
    <n v="740030"/>
    <s v="Education-Travel"/>
    <s v="Podiatry Resident Program"/>
    <x v="0"/>
    <m/>
    <n v="739.82"/>
    <n v="0"/>
    <n v="644.95000000000005"/>
    <n v="0"/>
    <n v="72.27"/>
    <n v="102"/>
    <n v="369.08"/>
    <n v="1469.06"/>
    <n v="1003.08"/>
    <n v="616.14"/>
    <n v="66.540000000000006"/>
    <n v="17"/>
    <n v="5099.9400000000005"/>
    <n v="9.9999999999909051E-3"/>
  </r>
  <r>
    <x v="8"/>
    <x v="0"/>
    <x v="0"/>
    <s v="8325102"/>
    <n v="741012"/>
    <s v="Physician Liab Insurance-CHI Program"/>
    <s v="Podiatry Resident Program"/>
    <x v="0"/>
    <m/>
    <n v="2319.67"/>
    <n v="2319.67"/>
    <n v="1135.5"/>
    <n v="1135.5"/>
    <n v="1135.5"/>
    <n v="1135.5"/>
    <n v="1135.5"/>
    <n v="1135.5"/>
    <n v="1135.51"/>
    <n v="1135.5"/>
    <n v="1135.51"/>
    <n v="1135.5"/>
    <n v="15994.36"/>
    <n v="0"/>
  </r>
  <r>
    <x v="0"/>
    <x v="0"/>
    <x v="0"/>
    <s v="8325102"/>
    <n v="742020"/>
    <s v="Postage-Express Services"/>
    <s v="Podiatry Resident Program"/>
    <x v="0"/>
    <m/>
    <n v="0"/>
    <n v="41.37"/>
    <n v="0"/>
    <n v="0"/>
    <n v="0"/>
    <n v="0"/>
    <n v="0"/>
    <n v="0"/>
    <n v="0"/>
    <n v="0"/>
    <n v="0"/>
    <n v="0"/>
    <n v="41.37"/>
    <n v="-1550"/>
  </r>
  <r>
    <x v="0"/>
    <x v="0"/>
    <x v="0"/>
    <s v="8325102"/>
    <n v="743010"/>
    <s v="Dues--Institutional"/>
    <s v="Podiatry Resident Program"/>
    <x v="0"/>
    <m/>
    <n v="3400"/>
    <n v="3400"/>
    <n v="915"/>
    <n v="0"/>
    <n v="0"/>
    <n v="0"/>
    <n v="0"/>
    <n v="0"/>
    <n v="0"/>
    <n v="0"/>
    <n v="0"/>
    <n v="1550"/>
    <n v="9265"/>
    <n v="-300"/>
  </r>
  <r>
    <x v="0"/>
    <x v="0"/>
    <x v="0"/>
    <s v="8325102"/>
    <n v="743020"/>
    <s v="Dues--Individual"/>
    <s v="Podiatry Resident Program"/>
    <x v="0"/>
    <m/>
    <n v="0"/>
    <n v="2340"/>
    <n v="0"/>
    <n v="0"/>
    <n v="0"/>
    <n v="0"/>
    <n v="0"/>
    <n v="0"/>
    <n v="0"/>
    <n v="0"/>
    <n v="0"/>
    <n v="300"/>
    <n v="2640"/>
    <n v="0"/>
  </r>
  <r>
    <x v="0"/>
    <x v="0"/>
    <x v="0"/>
    <s v="8325102"/>
    <n v="743030"/>
    <s v="Subscriptions--Institutional"/>
    <s v="Podiatry Resident Program"/>
    <x v="0"/>
    <m/>
    <n v="0"/>
    <n v="0"/>
    <n v="0"/>
    <n v="995.5"/>
    <n v="2000"/>
    <n v="0"/>
    <n v="0"/>
    <n v="0"/>
    <n v="0"/>
    <n v="0"/>
    <n v="0"/>
    <n v="0"/>
    <n v="2995.5"/>
    <n v="-2120.16"/>
  </r>
  <r>
    <x v="0"/>
    <x v="0"/>
    <x v="0"/>
    <s v="8325102"/>
    <n v="749510"/>
    <s v="Miscellaneous Expenses"/>
    <s v="Podiatry Resident Program"/>
    <x v="0"/>
    <m/>
    <n v="9538.5"/>
    <n v="-553.64"/>
    <n v="-3279.7"/>
    <n v="2122.11"/>
    <n v="1450.78"/>
    <n v="3168.36"/>
    <n v="-1648"/>
    <n v="-1095.6300000000001"/>
    <n v="-1351.21"/>
    <n v="1684.55"/>
    <n v="-1122.98"/>
    <n v="997.18"/>
    <n v="9910.3200000000033"/>
    <n v="1113"/>
  </r>
  <r>
    <x v="0"/>
    <x v="0"/>
    <x v="0"/>
    <s v="8325102"/>
    <n v="749510"/>
    <s v="Licenses"/>
    <s v="Podiatry Resident Program"/>
    <x v="0"/>
    <n v="1002"/>
    <n v="3782"/>
    <n v="1312.58"/>
    <n v="0"/>
    <n v="0"/>
    <n v="0"/>
    <n v="0"/>
    <n v="1462"/>
    <n v="0"/>
    <n v="0"/>
    <n v="3209.5"/>
    <n v="2313"/>
    <n v="1200"/>
    <n v="13279.08"/>
    <n v="1735.7"/>
  </r>
  <r>
    <x v="0"/>
    <x v="0"/>
    <x v="0"/>
    <s v="8325102"/>
    <n v="749530"/>
    <s v="Travel"/>
    <s v="Podiatry Resident Program"/>
    <x v="0"/>
    <m/>
    <n v="148.46"/>
    <n v="2353.7399999999998"/>
    <n v="2750.86"/>
    <n v="866.61"/>
    <n v="2299.1"/>
    <n v="467.6"/>
    <n v="4167.3500000000004"/>
    <n v="4190.87"/>
    <n v="589.41"/>
    <n v="820.65"/>
    <n v="1745.7"/>
    <n v="10"/>
    <n v="20410.350000000002"/>
    <n v="-164.14"/>
  </r>
  <r>
    <x v="0"/>
    <x v="0"/>
    <x v="0"/>
    <s v="8325102"/>
    <n v="749530"/>
    <s v="Mileage"/>
    <s v="Podiatry Resident Program"/>
    <x v="0"/>
    <n v="1001"/>
    <n v="533.07000000000005"/>
    <n v="117.73"/>
    <n v="92.12"/>
    <n v="57.23"/>
    <n v="216.39"/>
    <n v="74.13"/>
    <n v="0"/>
    <n v="70.760000000000005"/>
    <n v="24.94"/>
    <n v="442.54"/>
    <n v="116"/>
    <n v="280.14"/>
    <n v="2025.0500000000002"/>
    <n v="0"/>
  </r>
  <r>
    <x v="0"/>
    <x v="0"/>
    <x v="0"/>
    <s v="8325102"/>
    <n v="749532"/>
    <s v="Travel-Physician"/>
    <s v="Podiatry Resident Program"/>
    <x v="0"/>
    <m/>
    <n v="0"/>
    <n v="84.41"/>
    <n v="0"/>
    <n v="0"/>
    <n v="0"/>
    <n v="0"/>
    <n v="0"/>
    <n v="1763.06"/>
    <n v="493.88"/>
    <n v="0"/>
    <n v="0"/>
    <n v="0"/>
    <n v="2341.35"/>
    <n v="0"/>
  </r>
  <r>
    <x v="0"/>
    <x v="0"/>
    <x v="0"/>
    <s v="8325102"/>
    <n v="749532"/>
    <s v="Business Meals-Physician"/>
    <s v="Podiatry Resident Program"/>
    <x v="0"/>
    <n v="2000"/>
    <n v="0"/>
    <n v="0"/>
    <n v="0"/>
    <n v="218.43"/>
    <n v="0"/>
    <n v="273.98"/>
    <n v="341.26"/>
    <n v="597.25"/>
    <n v="0"/>
    <n v="0"/>
    <n v="0"/>
    <n v="0"/>
    <n v="1430.92"/>
    <n v="-139.32"/>
  </r>
  <r>
    <x v="0"/>
    <x v="0"/>
    <x v="0"/>
    <s v="8325102"/>
    <n v="749535"/>
    <s v="Meetings"/>
    <s v="Podiatry Resident Program"/>
    <x v="0"/>
    <m/>
    <n v="190.82"/>
    <n v="256.77"/>
    <n v="230.84"/>
    <n v="190.85"/>
    <n v="443.16"/>
    <n v="359.07"/>
    <n v="245.29"/>
    <n v="200.95"/>
    <n v="178.15"/>
    <n v="303.73"/>
    <n v="68.94"/>
    <n v="208.26"/>
    <n v="2876.83"/>
    <n v="0"/>
  </r>
  <r>
    <x v="0"/>
    <x v="0"/>
    <x v="0"/>
    <s v="8325102"/>
    <n v="749535"/>
    <s v="Medicare Non-Allowable Beverages"/>
    <s v="Podiatry Resident Program"/>
    <x v="0"/>
    <n v="1005"/>
    <n v="0"/>
    <n v="42.18"/>
    <n v="0"/>
    <n v="44.5"/>
    <n v="0"/>
    <n v="0"/>
    <n v="52"/>
    <n v="67"/>
    <n v="0"/>
    <n v="0"/>
    <n v="0"/>
    <n v="0"/>
    <n v="205.68"/>
    <n v="-9000"/>
  </r>
  <r>
    <x v="14"/>
    <x v="6"/>
    <x v="0"/>
    <s v="8326107"/>
    <n v="600055"/>
    <s v="Grants"/>
    <s v="Family Med Residency-Academic"/>
    <x v="0"/>
    <m/>
    <n v="0"/>
    <n v="0"/>
    <n v="0"/>
    <n v="0"/>
    <n v="0"/>
    <n v="-277676"/>
    <n v="0"/>
    <n v="-9000"/>
    <n v="0"/>
    <n v="0"/>
    <n v="0"/>
    <n v="9000"/>
    <n v="-277676"/>
    <n v="462.96000000000004"/>
  </r>
  <r>
    <x v="5"/>
    <x v="6"/>
    <x v="0"/>
    <s v="8326107"/>
    <n v="700014"/>
    <s v="Salaries-Management-Productive"/>
    <s v="Family Med Residency-Academic"/>
    <x v="0"/>
    <m/>
    <n v="2074.2199999999998"/>
    <n v="2280.2800000000002"/>
    <n v="1897.82"/>
    <n v="2367.79"/>
    <n v="2311.65"/>
    <n v="1556.6"/>
    <n v="2469.54"/>
    <n v="2160.77"/>
    <n v="1882.99"/>
    <n v="2500.2600000000002"/>
    <n v="3025.07"/>
    <n v="2562.11"/>
    <n v="27089.100000000006"/>
    <n v="-34992.289999999994"/>
  </r>
  <r>
    <x v="5"/>
    <x v="6"/>
    <x v="0"/>
    <s v="8326107"/>
    <n v="700022"/>
    <s v="Salaries-Physician-Productive"/>
    <s v="Family Med Residency-Academic"/>
    <x v="0"/>
    <m/>
    <n v="112868.14"/>
    <n v="146616.38"/>
    <n v="136979.23000000001"/>
    <n v="146856.14000000001"/>
    <n v="145012.23000000001"/>
    <n v="27941.53"/>
    <n v="136446.48000000001"/>
    <n v="117515.42"/>
    <n v="126747.82"/>
    <n v="120873.52"/>
    <n v="129980.83"/>
    <n v="164973.12"/>
    <n v="1512810.8400000003"/>
    <n v="-801.2"/>
  </r>
  <r>
    <x v="5"/>
    <x v="6"/>
    <x v="0"/>
    <s v="8326107"/>
    <n v="700022"/>
    <s v="Salaries-Physician-Other"/>
    <s v="Family Med Residency-Academic"/>
    <x v="0"/>
    <n v="2000"/>
    <n v="0"/>
    <n v="4052.36"/>
    <n v="-1215.56"/>
    <n v="5887.07"/>
    <n v="43388.52"/>
    <n v="57.2"/>
    <n v="1087.28"/>
    <n v="-286.08"/>
    <n v="13381.59"/>
    <n v="-457.76"/>
    <n v="0"/>
    <n v="801.2"/>
    <n v="66695.819999999992"/>
    <n v="252.76000000000022"/>
  </r>
  <r>
    <x v="5"/>
    <x v="6"/>
    <x v="0"/>
    <s v="8326107"/>
    <n v="700024"/>
    <s v="Salaries-Advanced Practice Clinician-Productive"/>
    <s v="Family Med Residency-Academic"/>
    <x v="0"/>
    <m/>
    <n v="10445.84"/>
    <n v="10446.31"/>
    <n v="6402.81"/>
    <n v="11794.15"/>
    <n v="10109"/>
    <n v="10446.32"/>
    <n v="10462.64"/>
    <n v="5062.13"/>
    <n v="5230.8"/>
    <n v="5061.91"/>
    <n v="10377.09"/>
    <n v="10124.33"/>
    <n v="105963.33000000002"/>
    <n v="231.15000000000009"/>
  </r>
  <r>
    <x v="5"/>
    <x v="6"/>
    <x v="0"/>
    <s v="8326107"/>
    <n v="700026"/>
    <s v="Salaries-RN-Productive"/>
    <s v="Family Med Residency-Academic"/>
    <x v="0"/>
    <m/>
    <n v="0"/>
    <n v="0"/>
    <n v="0"/>
    <n v="0"/>
    <n v="0"/>
    <n v="0"/>
    <n v="2418.36"/>
    <n v="2194.12"/>
    <n v="2386.8000000000002"/>
    <n v="2433.88"/>
    <n v="2470.7600000000002"/>
    <n v="2239.61"/>
    <n v="14143.53"/>
    <n v="-43.97"/>
  </r>
  <r>
    <x v="5"/>
    <x v="6"/>
    <x v="0"/>
    <s v="8326107"/>
    <n v="700026"/>
    <s v="Salaries-RN-OT"/>
    <s v="Family Med Residency-Academic"/>
    <x v="0"/>
    <n v="1000"/>
    <n v="0"/>
    <n v="0"/>
    <n v="0"/>
    <n v="0"/>
    <n v="0"/>
    <n v="0"/>
    <n v="49.15"/>
    <n v="-12.92"/>
    <n v="0"/>
    <n v="53.48"/>
    <n v="-5.16"/>
    <n v="38.81"/>
    <n v="123.36"/>
    <n v="456.11999999999989"/>
  </r>
  <r>
    <x v="5"/>
    <x v="6"/>
    <x v="0"/>
    <s v="8326107"/>
    <n v="700032"/>
    <s v="Salaries-Other Pat Care Providers-Productive"/>
    <s v="Family Med Residency-Academic"/>
    <x v="0"/>
    <m/>
    <n v="5480.75"/>
    <n v="5740.24"/>
    <n v="5295.91"/>
    <n v="5856.05"/>
    <n v="5693.84"/>
    <n v="5314.45"/>
    <n v="5664.87"/>
    <n v="5322.2"/>
    <n v="5892.47"/>
    <n v="5702.2"/>
    <n v="5892.48"/>
    <n v="5436.36"/>
    <n v="67291.819999999992"/>
    <n v="4262.3499999999995"/>
  </r>
  <r>
    <x v="5"/>
    <x v="6"/>
    <x v="0"/>
    <s v="8326107"/>
    <n v="700034"/>
    <s v="Salaries-Tech/Professional-Productive"/>
    <s v="Family Med Residency-Academic"/>
    <x v="0"/>
    <m/>
    <n v="3992.85"/>
    <n v="827.68"/>
    <n v="0"/>
    <n v="6156.93"/>
    <n v="4798.16"/>
    <n v="4222.55"/>
    <n v="4805.71"/>
    <n v="4184.6400000000003"/>
    <n v="4985.5600000000004"/>
    <n v="4805.21"/>
    <n v="4965.53"/>
    <n v="703.18"/>
    <n v="44447.999999999993"/>
    <n v="0"/>
  </r>
  <r>
    <x v="5"/>
    <x v="6"/>
    <x v="0"/>
    <s v="8326107"/>
    <n v="700034"/>
    <s v="Salaries-Tech/Professional-OT"/>
    <s v="Family Med Residency-Academic"/>
    <x v="0"/>
    <n v="1000"/>
    <n v="57.57"/>
    <n v="-10.15"/>
    <n v="0"/>
    <n v="0"/>
    <n v="0"/>
    <n v="0"/>
    <n v="0"/>
    <n v="0"/>
    <n v="0"/>
    <n v="0"/>
    <n v="0"/>
    <n v="0"/>
    <n v="47.42"/>
    <n v="-887.92999999999938"/>
  </r>
  <r>
    <x v="5"/>
    <x v="6"/>
    <x v="0"/>
    <s v="8326107"/>
    <n v="700038"/>
    <s v="Salaries-Service/Support-Productive"/>
    <s v="Family Med Residency-Academic"/>
    <x v="0"/>
    <m/>
    <n v="7753.38"/>
    <n v="7437.99"/>
    <n v="7274.28"/>
    <n v="2372.9899999999998"/>
    <n v="3620.48"/>
    <n v="3414.98"/>
    <n v="6082.84"/>
    <n v="6414.7"/>
    <n v="7830.31"/>
    <n v="7442.11"/>
    <n v="6689.27"/>
    <n v="7577.2"/>
    <n v="73910.53"/>
    <n v="0"/>
  </r>
  <r>
    <x v="5"/>
    <x v="6"/>
    <x v="0"/>
    <s v="8326107"/>
    <n v="700038"/>
    <s v="Salaries-Service/Support-OT"/>
    <s v="Family Med Residency-Academic"/>
    <x v="0"/>
    <n v="1000"/>
    <n v="189.47"/>
    <n v="0"/>
    <n v="0"/>
    <n v="30.32"/>
    <n v="0"/>
    <n v="0"/>
    <n v="177.09"/>
    <n v="98.25"/>
    <n v="310.55"/>
    <n v="-74.150000000000006"/>
    <n v="0"/>
    <n v="0"/>
    <n v="731.53000000000009"/>
    <n v="0"/>
  </r>
  <r>
    <x v="5"/>
    <x v="6"/>
    <x v="0"/>
    <s v="8326107"/>
    <n v="700038"/>
    <s v="Salaries-Service/Support-Other"/>
    <s v="Family Med Residency-Academic"/>
    <x v="0"/>
    <n v="2000"/>
    <n v="0"/>
    <n v="0"/>
    <n v="0"/>
    <n v="0"/>
    <n v="0"/>
    <n v="0"/>
    <n v="30.05"/>
    <n v="-0.01"/>
    <n v="0"/>
    <n v="0"/>
    <n v="0"/>
    <n v="0"/>
    <n v="30.04"/>
    <n v="0"/>
  </r>
  <r>
    <x v="5"/>
    <x v="6"/>
    <x v="0"/>
    <s v="8326107"/>
    <n v="700054"/>
    <s v="Salaries-Management-Non-productive"/>
    <s v="Family Med Residency-Academic"/>
    <x v="0"/>
    <m/>
    <n v="0"/>
    <n v="0"/>
    <n v="0"/>
    <n v="0"/>
    <n v="0"/>
    <n v="215.76"/>
    <n v="0"/>
    <n v="0"/>
    <n v="0"/>
    <n v="0"/>
    <n v="0"/>
    <n v="0"/>
    <n v="215.76"/>
    <n v="-1208.21"/>
  </r>
  <r>
    <x v="5"/>
    <x v="6"/>
    <x v="0"/>
    <s v="8326107"/>
    <n v="700062"/>
    <s v="Salaries-Physician-Non-productive"/>
    <s v="Family Med Residency-Academic"/>
    <x v="0"/>
    <m/>
    <n v="6121.42"/>
    <n v="-61.8"/>
    <n v="14963.68"/>
    <n v="-4106.03"/>
    <n v="5458.73"/>
    <n v="26385.74"/>
    <n v="19140.16"/>
    <n v="3602.35"/>
    <n v="13054.14"/>
    <n v="18311.95"/>
    <n v="6296.97"/>
    <n v="7505.18"/>
    <n v="116672.49000000002"/>
    <n v="6.1699999999999591"/>
  </r>
  <r>
    <x v="5"/>
    <x v="6"/>
    <x v="0"/>
    <s v="8326107"/>
    <n v="700064"/>
    <s v="Salaries-Advanced Practice Clinician-Non-Productive"/>
    <s v="Family Med Residency-Academic"/>
    <x v="0"/>
    <m/>
    <n v="0"/>
    <n v="879.36"/>
    <n v="4634.51"/>
    <n v="-421.08"/>
    <n v="919.63"/>
    <n v="918.26"/>
    <n v="914.01"/>
    <n v="5289.37"/>
    <n v="3774.05"/>
    <n v="1911.57"/>
    <n v="897.03"/>
    <n v="890.86"/>
    <n v="20607.57"/>
    <n v="0"/>
  </r>
  <r>
    <x v="5"/>
    <x v="6"/>
    <x v="0"/>
    <s v="8326107"/>
    <n v="700072"/>
    <s v="Salaries-Other Pat Care Providers-NonProd-Other"/>
    <s v="Family Med Residency-Academic"/>
    <x v="0"/>
    <n v="2000"/>
    <n v="0"/>
    <n v="0"/>
    <n v="0"/>
    <n v="0"/>
    <n v="0"/>
    <n v="0"/>
    <n v="0"/>
    <n v="0"/>
    <n v="0"/>
    <n v="0"/>
    <n v="0"/>
    <n v="0"/>
    <n v="0"/>
    <n v="-4196.58"/>
  </r>
  <r>
    <x v="5"/>
    <x v="6"/>
    <x v="0"/>
    <s v="8326107"/>
    <n v="700074"/>
    <s v="Salaries-Tech/Professional-Non-productive"/>
    <s v="Family Med Residency-Academic"/>
    <x v="0"/>
    <m/>
    <n v="1185.3499999999999"/>
    <n v="-47.39"/>
    <n v="0"/>
    <n v="0"/>
    <n v="0"/>
    <n v="735.71"/>
    <n v="160.30000000000001"/>
    <n v="452.49"/>
    <n v="-60.05"/>
    <n v="0"/>
    <n v="0"/>
    <n v="4196.58"/>
    <n v="6622.99"/>
    <n v="1135.8899999999999"/>
  </r>
  <r>
    <x v="5"/>
    <x v="6"/>
    <x v="0"/>
    <s v="8326107"/>
    <n v="700078"/>
    <s v="Salaries-Service/Support-Non-productive"/>
    <s v="Family Med Residency-Academic"/>
    <x v="0"/>
    <m/>
    <n v="418.85"/>
    <n v="541.57000000000005"/>
    <n v="514.15"/>
    <n v="165.3"/>
    <n v="0"/>
    <n v="571.69000000000005"/>
    <n v="124.56"/>
    <n v="619.53"/>
    <n v="-163.01"/>
    <n v="0"/>
    <n v="1001.17"/>
    <n v="-134.72"/>
    <n v="3659.0900000000006"/>
    <n v="3765.55"/>
  </r>
  <r>
    <x v="5"/>
    <x v="6"/>
    <x v="0"/>
    <s v="8326107"/>
    <n v="700084"/>
    <s v="Accrued PTO"/>
    <s v="Family Med Residency-Academic"/>
    <x v="0"/>
    <m/>
    <n v="-272.24"/>
    <n v="288.19"/>
    <n v="529.52"/>
    <n v="696.62"/>
    <n v="775.05"/>
    <n v="-46.04"/>
    <n v="588.39"/>
    <n v="387.96"/>
    <n v="1253.6500000000001"/>
    <n v="1230.48"/>
    <n v="1230.55"/>
    <n v="-2535"/>
    <n v="4127.13"/>
    <n v="-1520.2399999999998"/>
  </r>
  <r>
    <x v="6"/>
    <x v="6"/>
    <x v="0"/>
    <s v="8326107"/>
    <n v="713010"/>
    <s v="Benefits-FICA/Medicare"/>
    <s v="Family Med Residency-Academic"/>
    <x v="0"/>
    <m/>
    <n v="9038.84"/>
    <n v="8981.2099999999991"/>
    <n v="8885.4"/>
    <n v="9248.5499999999993"/>
    <n v="10882.85"/>
    <n v="2600.4499999999998"/>
    <n v="14519.67"/>
    <n v="11344"/>
    <n v="13890.01"/>
    <n v="12654.71"/>
    <n v="12728.39"/>
    <n v="14248.63"/>
    <n v="129022.71"/>
    <n v="-11760.359999999997"/>
  </r>
  <r>
    <x v="6"/>
    <x v="6"/>
    <x v="0"/>
    <s v="8326107"/>
    <n v="713090"/>
    <s v="Benefits-Allocated Amounts"/>
    <s v="Family Med Residency-Academic"/>
    <x v="0"/>
    <m/>
    <n v="20749.759999999998"/>
    <n v="19943.490000000002"/>
    <n v="21838.18"/>
    <n v="21064.240000000002"/>
    <n v="23909.119999999999"/>
    <n v="14291.5"/>
    <n v="23891.88"/>
    <n v="21710.74"/>
    <n v="18433.099999999999"/>
    <n v="24015.13"/>
    <n v="22904.02"/>
    <n v="34664.379999999997"/>
    <n v="267415.53999999998"/>
    <n v="204.23000000000002"/>
  </r>
  <r>
    <x v="6"/>
    <x v="6"/>
    <x v="0"/>
    <s v="8326107"/>
    <n v="713096"/>
    <s v="Employee Recognition"/>
    <s v="Family Med Residency-Academic"/>
    <x v="0"/>
    <n v="1017"/>
    <n v="0"/>
    <n v="56.82"/>
    <n v="0"/>
    <n v="125.91"/>
    <n v="130.94"/>
    <n v="540.73"/>
    <n v="25"/>
    <n v="91.59"/>
    <n v="0"/>
    <n v="1347.33"/>
    <n v="230.68"/>
    <n v="26.45"/>
    <n v="2575.4499999999994"/>
    <n v="0"/>
  </r>
  <r>
    <x v="17"/>
    <x v="6"/>
    <x v="0"/>
    <s v="8326107"/>
    <n v="714520"/>
    <s v="Other Contracted Professionals"/>
    <s v="Family Med Residency-Academic"/>
    <x v="0"/>
    <m/>
    <n v="0"/>
    <n v="0"/>
    <n v="0"/>
    <n v="0"/>
    <n v="0"/>
    <n v="0"/>
    <n v="0"/>
    <n v="0"/>
    <n v="0"/>
    <n v="387.5"/>
    <n v="0"/>
    <n v="0"/>
    <n v="387.5"/>
    <n v="301"/>
  </r>
  <r>
    <x v="7"/>
    <x v="6"/>
    <x v="0"/>
    <s v="8326107"/>
    <n v="718040"/>
    <s v="Contract Svcs-Laboratory"/>
    <s v="Family Med Residency-Academic"/>
    <x v="0"/>
    <m/>
    <n v="0"/>
    <n v="0"/>
    <n v="0"/>
    <n v="0"/>
    <n v="0"/>
    <n v="0"/>
    <n v="0"/>
    <n v="0"/>
    <n v="0"/>
    <n v="0"/>
    <n v="301"/>
    <n v="0"/>
    <n v="301"/>
    <n v="496.25"/>
  </r>
  <r>
    <x v="7"/>
    <x v="6"/>
    <x v="0"/>
    <s v="8326107"/>
    <n v="718050"/>
    <s v="Contract Svcs-Other"/>
    <s v="Family Med Residency-Academic"/>
    <x v="0"/>
    <m/>
    <n v="750"/>
    <n v="0"/>
    <n v="2956.99"/>
    <n v="6734.91"/>
    <n v="5313.88"/>
    <n v="0"/>
    <n v="0"/>
    <n v="0"/>
    <n v="0"/>
    <n v="0"/>
    <n v="1968.75"/>
    <n v="1472.5"/>
    <n v="19197.03"/>
    <n v="0"/>
  </r>
  <r>
    <x v="7"/>
    <x v="6"/>
    <x v="0"/>
    <s v="8326107"/>
    <n v="718050"/>
    <s v="Miscellaneous Purchased Svcs"/>
    <s v="Family Med Residency-Academic"/>
    <x v="0"/>
    <n v="1020"/>
    <n v="0"/>
    <n v="0"/>
    <n v="2081.25"/>
    <n v="0"/>
    <n v="0"/>
    <n v="0"/>
    <n v="0"/>
    <n v="1062.3800000000001"/>
    <n v="0"/>
    <n v="0"/>
    <n v="0"/>
    <n v="0"/>
    <n v="3143.63"/>
    <n v="0"/>
  </r>
  <r>
    <x v="7"/>
    <x v="6"/>
    <x v="0"/>
    <s v="8326107"/>
    <n v="718050"/>
    <s v="Contract Management--Linen"/>
    <s v="Family Med Residency-Academic"/>
    <x v="0"/>
    <n v="1026"/>
    <n v="0"/>
    <n v="0"/>
    <n v="0"/>
    <n v="0"/>
    <n v="0"/>
    <n v="0"/>
    <n v="118.88"/>
    <n v="0"/>
    <n v="0"/>
    <n v="0"/>
    <n v="0"/>
    <n v="0"/>
    <n v="118.88"/>
    <n v="-13.95"/>
  </r>
  <r>
    <x v="11"/>
    <x v="6"/>
    <x v="0"/>
    <s v="8326107"/>
    <n v="721010"/>
    <s v="Supplies-Medical - Billable"/>
    <s v="Family Med Residency-Academic"/>
    <x v="0"/>
    <m/>
    <n v="19.63"/>
    <n v="56.94"/>
    <n v="8.07"/>
    <n v="19.260000000000002"/>
    <n v="0"/>
    <n v="1.76"/>
    <n v="9.0399999999999991"/>
    <n v="15.46"/>
    <n v="29.3"/>
    <n v="0"/>
    <n v="0"/>
    <n v="13.95"/>
    <n v="173.41"/>
    <n v="0"/>
  </r>
  <r>
    <x v="11"/>
    <x v="6"/>
    <x v="0"/>
    <s v="8326107"/>
    <n v="721020"/>
    <s v="Supplies-Surgical - Billable"/>
    <s v="Family Med Residency-Academic"/>
    <x v="0"/>
    <m/>
    <n v="0"/>
    <n v="102.54"/>
    <n v="0"/>
    <n v="456.59"/>
    <n v="-3.91"/>
    <n v="0"/>
    <n v="0"/>
    <n v="144.72999999999999"/>
    <n v="0"/>
    <n v="0"/>
    <n v="0"/>
    <n v="0"/>
    <n v="699.95"/>
    <n v="0"/>
  </r>
  <r>
    <x v="11"/>
    <x v="6"/>
    <x v="0"/>
    <s v="8326107"/>
    <n v="721020"/>
    <s v="Suture/Wound Closure"/>
    <s v="Family Med Residency-Academic"/>
    <x v="0"/>
    <n v="1001"/>
    <n v="104.93"/>
    <n v="0"/>
    <n v="0"/>
    <n v="88.35"/>
    <n v="0"/>
    <n v="0"/>
    <n v="0"/>
    <n v="0"/>
    <n v="114.25"/>
    <n v="0"/>
    <n v="0"/>
    <n v="0"/>
    <n v="307.52999999999997"/>
    <n v="0"/>
  </r>
  <r>
    <x v="11"/>
    <x v="6"/>
    <x v="0"/>
    <s v="8326107"/>
    <n v="721150"/>
    <s v="Supplies-Other Implants - Billable"/>
    <s v="Family Med Residency-Academic"/>
    <x v="0"/>
    <m/>
    <n v="0"/>
    <n v="0"/>
    <n v="0"/>
    <n v="80"/>
    <n v="7.2"/>
    <n v="0"/>
    <n v="0"/>
    <n v="0"/>
    <n v="0"/>
    <n v="0"/>
    <n v="0"/>
    <n v="0"/>
    <n v="87.2"/>
    <n v="0"/>
  </r>
  <r>
    <x v="11"/>
    <x v="6"/>
    <x v="0"/>
    <s v="8326107"/>
    <n v="721240"/>
    <s v="Supplies-IV Solutions/Supplies - Billable"/>
    <s v="Family Med Residency-Academic"/>
    <x v="0"/>
    <m/>
    <n v="0"/>
    <n v="0"/>
    <n v="30.38"/>
    <n v="0"/>
    <n v="36"/>
    <n v="0"/>
    <n v="0"/>
    <n v="36.79"/>
    <n v="18"/>
    <n v="89"/>
    <n v="0"/>
    <n v="0"/>
    <n v="210.17"/>
    <n v="272.54999999999995"/>
  </r>
  <r>
    <x v="11"/>
    <x v="6"/>
    <x v="0"/>
    <s v="8326107"/>
    <n v="721410"/>
    <s v="Supplies-Medical - Nonbillable"/>
    <s v="Family Med Residency-Academic"/>
    <x v="0"/>
    <m/>
    <n v="696.46"/>
    <n v="1571.63"/>
    <n v="639.59"/>
    <n v="1754.1"/>
    <n v="718.78"/>
    <n v="608.08000000000004"/>
    <n v="2023.32"/>
    <n v="3398.07"/>
    <n v="1737.39"/>
    <n v="1034.07"/>
    <n v="1323.56"/>
    <n v="1051.01"/>
    <n v="16556.059999999998"/>
    <n v="0"/>
  </r>
  <r>
    <x v="11"/>
    <x v="6"/>
    <x v="0"/>
    <s v="8326107"/>
    <n v="721410"/>
    <s v="Patient Monitoring"/>
    <s v="Family Med Residency-Academic"/>
    <x v="0"/>
    <n v="1000"/>
    <n v="0"/>
    <n v="0"/>
    <n v="0"/>
    <n v="0"/>
    <n v="0"/>
    <n v="0"/>
    <n v="0"/>
    <n v="0"/>
    <n v="62.6"/>
    <n v="0"/>
    <n v="0"/>
    <n v="0"/>
    <n v="62.6"/>
    <n v="3"/>
  </r>
  <r>
    <x v="11"/>
    <x v="6"/>
    <x v="0"/>
    <s v="8326107"/>
    <n v="721420"/>
    <s v="Supplies-Surgical Nonbillable"/>
    <s v="Family Med Residency-Academic"/>
    <x v="0"/>
    <m/>
    <n v="7.09"/>
    <n v="16"/>
    <n v="20.100000000000001"/>
    <n v="27.72"/>
    <n v="8.43"/>
    <n v="0"/>
    <n v="10.36"/>
    <n v="51.55"/>
    <n v="30.86"/>
    <n v="17.940000000000001"/>
    <n v="22.02"/>
    <n v="19.02"/>
    <n v="231.09000000000003"/>
    <n v="238.57"/>
  </r>
  <r>
    <x v="11"/>
    <x v="6"/>
    <x v="0"/>
    <s v="8326107"/>
    <n v="721420"/>
    <s v="Sterilization Process Products"/>
    <s v="Family Med Residency-Academic"/>
    <x v="0"/>
    <n v="1009"/>
    <n v="3.56"/>
    <n v="51.93"/>
    <n v="27.88"/>
    <n v="177.34"/>
    <n v="0"/>
    <n v="0"/>
    <n v="0"/>
    <n v="49.79"/>
    <n v="109.29"/>
    <n v="0"/>
    <n v="238.57"/>
    <n v="0"/>
    <n v="658.36000000000013"/>
    <n v="-8.1"/>
  </r>
  <r>
    <x v="11"/>
    <x v="6"/>
    <x v="0"/>
    <s v="8326107"/>
    <n v="721610"/>
    <s v="Supplies-Anesthesia - Nonbillable"/>
    <s v="Family Med Residency-Academic"/>
    <x v="0"/>
    <m/>
    <n v="0"/>
    <n v="0"/>
    <n v="0"/>
    <n v="0"/>
    <n v="43.26"/>
    <n v="0"/>
    <n v="0"/>
    <n v="0"/>
    <n v="0"/>
    <n v="0"/>
    <n v="0"/>
    <n v="8.1"/>
    <n v="51.36"/>
    <n v="0"/>
  </r>
  <r>
    <x v="11"/>
    <x v="6"/>
    <x v="0"/>
    <s v="8326107"/>
    <n v="721640"/>
    <s v="Supplies-IV Solutions/Supplies - Nonbillable"/>
    <s v="Family Med Residency-Academic"/>
    <x v="0"/>
    <m/>
    <n v="0"/>
    <n v="0"/>
    <n v="18.95"/>
    <n v="0"/>
    <n v="10.06"/>
    <n v="0"/>
    <n v="0"/>
    <n v="26.4"/>
    <n v="0"/>
    <n v="0"/>
    <n v="0"/>
    <n v="0"/>
    <n v="55.41"/>
    <n v="7.08"/>
  </r>
  <r>
    <x v="11"/>
    <x v="6"/>
    <x v="0"/>
    <s v="8326107"/>
    <n v="721650"/>
    <s v="Supplies-Pharmacy Drugs - Nonbillable"/>
    <s v="Family Med Residency-Academic"/>
    <x v="0"/>
    <m/>
    <n v="34.42"/>
    <n v="0"/>
    <n v="0"/>
    <n v="2.4300000000000002"/>
    <n v="0"/>
    <n v="0"/>
    <n v="0"/>
    <n v="12.52"/>
    <n v="0"/>
    <n v="-0.61"/>
    <n v="7.08"/>
    <n v="0"/>
    <n v="55.84"/>
    <n v="85.359999999999985"/>
  </r>
  <r>
    <x v="11"/>
    <x v="6"/>
    <x v="0"/>
    <s v="8326107"/>
    <n v="721710"/>
    <s v="Supplies-Laboratory - Nonbillable"/>
    <s v="Family Med Residency-Academic"/>
    <x v="0"/>
    <m/>
    <n v="46.11"/>
    <n v="275.11"/>
    <n v="120.78"/>
    <n v="703.8"/>
    <n v="76.91"/>
    <n v="114.75"/>
    <n v="44.66"/>
    <n v="143.94999999999999"/>
    <n v="49.61"/>
    <n v="33.6"/>
    <n v="145.79"/>
    <n v="60.43"/>
    <n v="1815.5"/>
    <n v="384.89"/>
  </r>
  <r>
    <x v="11"/>
    <x v="6"/>
    <x v="0"/>
    <s v="8326107"/>
    <n v="721710"/>
    <s v="Reagents"/>
    <s v="Family Med Residency-Academic"/>
    <x v="0"/>
    <n v="1000"/>
    <n v="0"/>
    <n v="282.60000000000002"/>
    <n v="70.650000000000006"/>
    <n v="464.13"/>
    <n v="141.30000000000001"/>
    <n v="141.30000000000001"/>
    <n v="125.57"/>
    <n v="267.39"/>
    <n v="70.650000000000006"/>
    <n v="70.650000000000006"/>
    <n v="408.69"/>
    <n v="23.8"/>
    <n v="2066.7300000000005"/>
    <n v="-51.39"/>
  </r>
  <r>
    <x v="11"/>
    <x v="6"/>
    <x v="0"/>
    <s v="8326107"/>
    <n v="721750"/>
    <s v="Supplies-Film/Radiographic - Nonbillable"/>
    <s v="Family Med Residency-Academic"/>
    <x v="0"/>
    <m/>
    <n v="0"/>
    <n v="0"/>
    <n v="16.86"/>
    <n v="0"/>
    <n v="0"/>
    <n v="0"/>
    <n v="932.6"/>
    <n v="0"/>
    <n v="51.39"/>
    <n v="0"/>
    <n v="2.81"/>
    <n v="54.2"/>
    <n v="1057.8599999999999"/>
    <n v="-1083.46"/>
  </r>
  <r>
    <x v="11"/>
    <x v="6"/>
    <x v="0"/>
    <s v="8326107"/>
    <n v="721810"/>
    <s v="Supplies-Dietary/Cafeteria"/>
    <s v="Family Med Residency-Academic"/>
    <x v="0"/>
    <m/>
    <n v="117.22"/>
    <n v="936.33"/>
    <n v="589.88"/>
    <n v="798.27"/>
    <n v="1336.05"/>
    <n v="588.08000000000004"/>
    <n v="766.12"/>
    <n v="430.95"/>
    <n v="809.63"/>
    <n v="399.7"/>
    <n v="677.9"/>
    <n v="1761.36"/>
    <n v="9211.49"/>
    <n v="-249.89999999999998"/>
  </r>
  <r>
    <x v="11"/>
    <x v="6"/>
    <x v="0"/>
    <s v="8326107"/>
    <n v="721830"/>
    <s v="Supplies-Office"/>
    <s v="Family Med Residency-Academic"/>
    <x v="0"/>
    <m/>
    <n v="385.43"/>
    <n v="1905.39"/>
    <n v="384.29"/>
    <n v="808.15"/>
    <n v="54.01"/>
    <n v="207.56"/>
    <n v="1188"/>
    <n v="1754.52"/>
    <n v="94.19"/>
    <n v="-22.92"/>
    <n v="385.74"/>
    <n v="635.64"/>
    <n v="7780"/>
    <n v="0"/>
  </r>
  <r>
    <x v="11"/>
    <x v="6"/>
    <x v="0"/>
    <s v="8326107"/>
    <n v="721835"/>
    <s v="Supplies-Forms"/>
    <s v="Family Med Residency-Academic"/>
    <x v="0"/>
    <m/>
    <n v="0"/>
    <n v="0"/>
    <n v="2329.56"/>
    <n v="135.71"/>
    <n v="0"/>
    <n v="0"/>
    <n v="0"/>
    <n v="0"/>
    <n v="135.71"/>
    <n v="4.7300000000000004"/>
    <n v="0"/>
    <n v="0"/>
    <n v="2605.71"/>
    <n v="-120.96000000000001"/>
  </r>
  <r>
    <x v="11"/>
    <x v="6"/>
    <x v="0"/>
    <s v="8326107"/>
    <n v="721870"/>
    <s v="Supplies-Environmental Services"/>
    <s v="Family Med Residency-Academic"/>
    <x v="0"/>
    <m/>
    <n v="15.76"/>
    <n v="11.82"/>
    <n v="18.02"/>
    <n v="59.1"/>
    <n v="103.57"/>
    <n v="507.16"/>
    <n v="23.64"/>
    <n v="71.28"/>
    <n v="184.28"/>
    <n v="7.88"/>
    <n v="39.4"/>
    <n v="160.36000000000001"/>
    <n v="1202.27"/>
    <n v="-7.0799999999999983"/>
  </r>
  <r>
    <x v="11"/>
    <x v="6"/>
    <x v="0"/>
    <s v="8326107"/>
    <n v="721880"/>
    <s v="Supplies-Linen"/>
    <s v="Family Med Residency-Academic"/>
    <x v="0"/>
    <m/>
    <n v="0"/>
    <n v="0"/>
    <n v="59.4"/>
    <n v="39.6"/>
    <n v="0"/>
    <n v="0"/>
    <n v="53.76"/>
    <n v="0"/>
    <n v="73.56"/>
    <n v="26.88"/>
    <n v="39.6"/>
    <n v="46.68"/>
    <n v="339.48"/>
    <n v="-413.05"/>
  </r>
  <r>
    <x v="11"/>
    <x v="6"/>
    <x v="0"/>
    <s v="8326107"/>
    <n v="721910"/>
    <s v="Supplies-Small Equipment"/>
    <s v="Family Med Residency-Academic"/>
    <x v="0"/>
    <m/>
    <n v="62.84"/>
    <n v="1481.3"/>
    <n v="3.84"/>
    <n v="25.46"/>
    <n v="8.16"/>
    <n v="27.08"/>
    <n v="0"/>
    <n v="80"/>
    <n v="0"/>
    <n v="915.96"/>
    <n v="-413.05"/>
    <n v="0"/>
    <n v="2191.5899999999997"/>
    <n v="4.379999999999999"/>
  </r>
  <r>
    <x v="11"/>
    <x v="6"/>
    <x v="0"/>
    <s v="8326107"/>
    <n v="721910"/>
    <s v="Instruments"/>
    <s v="Family Med Residency-Academic"/>
    <x v="0"/>
    <n v="1000"/>
    <n v="0"/>
    <n v="104.27"/>
    <n v="0"/>
    <n v="460.99"/>
    <n v="109.74"/>
    <n v="9.3800000000000008"/>
    <n v="0"/>
    <n v="0"/>
    <n v="270.10000000000002"/>
    <n v="4.3600000000000003"/>
    <n v="10.199999999999999"/>
    <n v="5.82"/>
    <n v="974.86000000000013"/>
    <n v="47.95"/>
  </r>
  <r>
    <x v="11"/>
    <x v="6"/>
    <x v="0"/>
    <s v="8326107"/>
    <n v="721980"/>
    <s v="Supplies-Other"/>
    <s v="Family Med Residency-Academic"/>
    <x v="0"/>
    <m/>
    <n v="1398.17"/>
    <n v="51.84"/>
    <n v="0"/>
    <n v="6727.95"/>
    <n v="974.14"/>
    <n v="0"/>
    <n v="0"/>
    <n v="0"/>
    <n v="0"/>
    <n v="-399"/>
    <n v="47.95"/>
    <n v="0"/>
    <n v="8801.0500000000011"/>
    <n v="176.72"/>
  </r>
  <r>
    <x v="11"/>
    <x v="6"/>
    <x v="0"/>
    <s v="8326107"/>
    <n v="722000"/>
    <s v="Supplies-Freight Expense"/>
    <s v="Family Med Residency-Academic"/>
    <x v="0"/>
    <m/>
    <n v="0"/>
    <n v="27.7"/>
    <n v="40.79"/>
    <n v="67.83"/>
    <n v="35.69"/>
    <n v="45.38"/>
    <n v="7.99"/>
    <n v="0"/>
    <n v="63.92"/>
    <n v="8.24"/>
    <n v="184.99"/>
    <n v="8.27"/>
    <n v="490.8"/>
    <n v="17383.599999999999"/>
  </r>
  <r>
    <x v="12"/>
    <x v="6"/>
    <x v="0"/>
    <s v="8326107"/>
    <n v="730010"/>
    <s v="Rental and Leases-Building (DO NOT USE)"/>
    <s v="Family Med Residency-Academic"/>
    <x v="0"/>
    <m/>
    <n v="23623.19"/>
    <n v="23623.19"/>
    <n v="24048.52"/>
    <n v="24048.52"/>
    <n v="24048.52"/>
    <n v="-15941"/>
    <n v="17383.599999999999"/>
    <n v="17383.599999999999"/>
    <n v="17383.599999999999"/>
    <n v="13648.51"/>
    <n v="17383.599999999999"/>
    <n v="0"/>
    <n v="186633.85000000003"/>
    <n v="7230.43"/>
  </r>
  <r>
    <x v="12"/>
    <x v="6"/>
    <x v="0"/>
    <s v="8326107"/>
    <n v="730010"/>
    <s v="Rental-Common Area Maint (DO NOT USE)"/>
    <s v="Family Med Residency-Academic"/>
    <x v="0"/>
    <n v="2200"/>
    <n v="0"/>
    <n v="0"/>
    <n v="0"/>
    <n v="0"/>
    <n v="0"/>
    <n v="39989.519999999997"/>
    <n v="7795.92"/>
    <n v="7230.42"/>
    <n v="7230.42"/>
    <n v="7230.43"/>
    <n v="7230.43"/>
    <n v="0"/>
    <n v="76707.139999999985"/>
    <n v="-24614.03"/>
  </r>
  <r>
    <x v="12"/>
    <x v="6"/>
    <x v="0"/>
    <s v="8326107"/>
    <n v="730040"/>
    <s v="LT Lease-Real Estate"/>
    <s v="Family Med Residency-Academic"/>
    <x v="0"/>
    <m/>
    <n v="0"/>
    <n v="0"/>
    <n v="0"/>
    <n v="0"/>
    <n v="0"/>
    <n v="0"/>
    <n v="0"/>
    <n v="0"/>
    <n v="0"/>
    <n v="0"/>
    <n v="0"/>
    <n v="24614.03"/>
    <n v="24614.03"/>
    <n v="197.57999999999998"/>
  </r>
  <r>
    <x v="15"/>
    <x v="6"/>
    <x v="0"/>
    <s v="8326107"/>
    <n v="731020"/>
    <s v="Electricity"/>
    <s v="Family Med Residency-Academic"/>
    <x v="0"/>
    <m/>
    <n v="204.12"/>
    <n v="139.56"/>
    <n v="123.41"/>
    <n v="107.28"/>
    <n v="76.59"/>
    <n v="93.27"/>
    <n v="76.599999999999994"/>
    <n v="68.209999999999994"/>
    <n v="560.07000000000005"/>
    <n v="54.01"/>
    <n v="228.04"/>
    <n v="30.46"/>
    <n v="1761.6200000000001"/>
    <n v="-447.02"/>
  </r>
  <r>
    <x v="15"/>
    <x v="6"/>
    <x v="0"/>
    <s v="8326107"/>
    <n v="731030"/>
    <s v="Water"/>
    <s v="Family Med Residency-Academic"/>
    <x v="0"/>
    <m/>
    <n v="303.75"/>
    <n v="0"/>
    <n v="0"/>
    <n v="263.66000000000003"/>
    <n v="0"/>
    <n v="263.66000000000003"/>
    <n v="0"/>
    <n v="125.7"/>
    <n v="-1177.5899999999999"/>
    <n v="450.85"/>
    <n v="0"/>
    <n v="447.02"/>
    <n v="677.0500000000003"/>
    <n v="-297.20999999999998"/>
  </r>
  <r>
    <x v="15"/>
    <x v="6"/>
    <x v="0"/>
    <s v="8326107"/>
    <n v="731040"/>
    <s v="Sewer"/>
    <s v="Family Med Residency-Academic"/>
    <x v="0"/>
    <m/>
    <n v="937.71"/>
    <n v="0"/>
    <n v="0"/>
    <n v="819.72"/>
    <n v="0"/>
    <n v="819.72"/>
    <n v="0"/>
    <n v="13.65"/>
    <n v="0"/>
    <n v="299.19"/>
    <n v="0"/>
    <n v="297.20999999999998"/>
    <n v="3187.2000000000003"/>
    <n v="0"/>
  </r>
  <r>
    <x v="15"/>
    <x v="6"/>
    <x v="0"/>
    <s v="8326107"/>
    <n v="731060"/>
    <s v="Telephone"/>
    <s v="Family Med Residency-Academic"/>
    <x v="0"/>
    <m/>
    <n v="0"/>
    <n v="175"/>
    <n v="206.5"/>
    <n v="0"/>
    <n v="0"/>
    <n v="1716.75"/>
    <n v="0"/>
    <n v="0"/>
    <n v="0"/>
    <n v="0"/>
    <n v="0"/>
    <n v="0"/>
    <n v="2098.25"/>
    <n v="-0.89000000000000057"/>
  </r>
  <r>
    <x v="15"/>
    <x v="6"/>
    <x v="0"/>
    <s v="8326107"/>
    <n v="731060"/>
    <s v="Cell Phones"/>
    <s v="Family Med Residency-Academic"/>
    <x v="0"/>
    <n v="1001"/>
    <n v="0"/>
    <n v="69.03"/>
    <n v="139.08000000000001"/>
    <n v="0"/>
    <n v="77.38"/>
    <n v="78.459999999999994"/>
    <n v="160.26"/>
    <n v="0"/>
    <n v="79.62"/>
    <n v="157.08000000000001"/>
    <n v="77.36"/>
    <n v="78.25"/>
    <n v="916.5200000000001"/>
    <n v="0"/>
  </r>
  <r>
    <x v="15"/>
    <x v="6"/>
    <x v="0"/>
    <s v="8326107"/>
    <n v="731060"/>
    <s v="Pagers"/>
    <s v="Family Med Residency-Academic"/>
    <x v="0"/>
    <n v="1002"/>
    <n v="0"/>
    <n v="0"/>
    <n v="0"/>
    <n v="0"/>
    <n v="0"/>
    <n v="0"/>
    <n v="0"/>
    <n v="0"/>
    <n v="32.46"/>
    <n v="16.239999999999998"/>
    <n v="16.239999999999998"/>
    <n v="16.239999999999998"/>
    <n v="81.179999999999993"/>
    <n v="-1322.17"/>
  </r>
  <r>
    <x v="15"/>
    <x v="6"/>
    <x v="0"/>
    <s v="8326107"/>
    <n v="731062"/>
    <s v="Cell Phones-Physician"/>
    <s v="Family Med Residency-Academic"/>
    <x v="0"/>
    <n v="2000"/>
    <n v="0"/>
    <n v="0"/>
    <n v="0"/>
    <n v="0"/>
    <n v="0"/>
    <n v="0"/>
    <n v="0"/>
    <n v="0"/>
    <n v="0"/>
    <n v="0"/>
    <n v="0"/>
    <n v="1322.17"/>
    <n v="1322.17"/>
    <n v="0"/>
  </r>
  <r>
    <x v="16"/>
    <x v="6"/>
    <x v="0"/>
    <s v="8326107"/>
    <n v="732020"/>
    <s v="Repairs--Clin Equip-Parts-Internal to CHI Programs"/>
    <s v="Family Med Residency-Academic"/>
    <x v="0"/>
    <m/>
    <n v="0"/>
    <n v="0"/>
    <n v="0"/>
    <n v="0"/>
    <n v="0"/>
    <n v="0"/>
    <n v="0"/>
    <n v="0"/>
    <n v="272"/>
    <n v="0"/>
    <n v="0"/>
    <n v="0"/>
    <n v="272"/>
    <n v="9.9999999999909051E-3"/>
  </r>
  <r>
    <x v="13"/>
    <x v="6"/>
    <x v="0"/>
    <s v="8326107"/>
    <n v="735050"/>
    <s v="Amortization-Leasehold Improvements"/>
    <s v="Family Med Residency-Academic"/>
    <x v="0"/>
    <m/>
    <n v="622.79"/>
    <n v="622.79"/>
    <n v="622.79"/>
    <n v="622.79"/>
    <n v="622.79"/>
    <n v="622.79"/>
    <n v="622.79999999999995"/>
    <n v="622.79"/>
    <n v="622.79999999999995"/>
    <n v="622.79"/>
    <n v="622.79999999999995"/>
    <n v="622.79"/>
    <n v="7473.51"/>
    <n v="1.999999999998181E-2"/>
  </r>
  <r>
    <x v="13"/>
    <x v="6"/>
    <x v="0"/>
    <s v="8326107"/>
    <n v="735070"/>
    <s v="Depreciation-Movable Equipment"/>
    <s v="Family Med Residency-Academic"/>
    <x v="0"/>
    <m/>
    <n v="2229.4499999999998"/>
    <n v="2229.4499999999998"/>
    <n v="2229.46"/>
    <n v="2229.4499999999998"/>
    <n v="2229.46"/>
    <n v="2229.4499999999998"/>
    <n v="2229.46"/>
    <n v="2229.4499999999998"/>
    <n v="2229.46"/>
    <n v="2229.44"/>
    <n v="2229.46"/>
    <n v="2229.44"/>
    <n v="26753.429999999997"/>
    <n v="0"/>
  </r>
  <r>
    <x v="0"/>
    <x v="6"/>
    <x v="0"/>
    <s v="8326107"/>
    <n v="740010"/>
    <s v="Education-Materials"/>
    <s v="Family Med Residency-Academic"/>
    <x v="0"/>
    <m/>
    <n v="0"/>
    <n v="0"/>
    <n v="0"/>
    <n v="0"/>
    <n v="0"/>
    <n v="0"/>
    <n v="273.02"/>
    <n v="0"/>
    <n v="0"/>
    <n v="41.2"/>
    <n v="0"/>
    <n v="0"/>
    <n v="314.21999999999997"/>
    <n v="-783.5"/>
  </r>
  <r>
    <x v="0"/>
    <x v="6"/>
    <x v="0"/>
    <s v="8326107"/>
    <n v="740020"/>
    <s v="Education-Registration Fees"/>
    <s v="Family Med Residency-Academic"/>
    <x v="0"/>
    <m/>
    <n v="995"/>
    <n v="900"/>
    <n v="0"/>
    <n v="0"/>
    <n v="150"/>
    <n v="0"/>
    <n v="2375.96"/>
    <n v="-1530.96"/>
    <n v="3460"/>
    <n v="1850"/>
    <n v="1132"/>
    <n v="1915.5"/>
    <n v="11247.5"/>
    <n v="-450"/>
  </r>
  <r>
    <x v="0"/>
    <x v="6"/>
    <x v="0"/>
    <s v="8326107"/>
    <n v="740022"/>
    <s v="Education-Physician"/>
    <s v="Family Med Residency-Academic"/>
    <x v="0"/>
    <m/>
    <n v="1395"/>
    <n v="0"/>
    <n v="0"/>
    <n v="975"/>
    <n v="589"/>
    <n v="0"/>
    <n v="325"/>
    <n v="1739"/>
    <n v="0"/>
    <n v="0"/>
    <n v="0"/>
    <n v="450"/>
    <n v="5473"/>
    <n v="-612.25"/>
  </r>
  <r>
    <x v="0"/>
    <x v="6"/>
    <x v="0"/>
    <s v="8326107"/>
    <n v="740022"/>
    <s v="Books-Physician"/>
    <s v="Family Med Residency-Academic"/>
    <x v="0"/>
    <n v="2000"/>
    <n v="0"/>
    <n v="0"/>
    <n v="0"/>
    <n v="0"/>
    <n v="0"/>
    <n v="439.3"/>
    <n v="0"/>
    <n v="797.01"/>
    <n v="1318.36"/>
    <n v="392.57"/>
    <n v="0"/>
    <n v="612.25"/>
    <n v="3559.4900000000002"/>
    <n v="0"/>
  </r>
  <r>
    <x v="0"/>
    <x v="6"/>
    <x v="0"/>
    <s v="8326107"/>
    <n v="740023"/>
    <s v="Education-Advanced Practice Clinician"/>
    <s v="Family Med Residency-Academic"/>
    <x v="0"/>
    <m/>
    <n v="442"/>
    <n v="0"/>
    <n v="0"/>
    <n v="0"/>
    <n v="0"/>
    <n v="0"/>
    <n v="0"/>
    <n v="0"/>
    <n v="3780"/>
    <n v="0"/>
    <n v="0"/>
    <n v="0"/>
    <n v="4222"/>
    <n v="0"/>
  </r>
  <r>
    <x v="0"/>
    <x v="6"/>
    <x v="0"/>
    <s v="8326107"/>
    <n v="740023"/>
    <s v="Books-Advanced Practice Clinician"/>
    <s v="Family Med Residency-Academic"/>
    <x v="0"/>
    <n v="2000"/>
    <n v="476.47"/>
    <n v="0"/>
    <n v="0"/>
    <n v="0"/>
    <n v="0"/>
    <n v="0"/>
    <n v="0"/>
    <n v="0"/>
    <n v="0"/>
    <n v="0"/>
    <n v="0"/>
    <n v="0"/>
    <n v="476.47"/>
    <n v="-2803.0300000000007"/>
  </r>
  <r>
    <x v="8"/>
    <x v="6"/>
    <x v="0"/>
    <s v="8326107"/>
    <n v="741012"/>
    <s v="Physician Liab Insurance-CHI Program"/>
    <s v="Family Med Residency-Academic"/>
    <x v="0"/>
    <m/>
    <n v="7839.18"/>
    <n v="9053.1299999999992"/>
    <n v="9053.14"/>
    <n v="9053.1299999999992"/>
    <n v="9053.15"/>
    <n v="9053.14"/>
    <n v="9053.14"/>
    <n v="9053.1299999999992"/>
    <n v="9053.15"/>
    <n v="9053.1299999999992"/>
    <n v="9053.15"/>
    <n v="11856.18"/>
    <n v="110226.75"/>
    <n v="-106.8"/>
  </r>
  <r>
    <x v="0"/>
    <x v="6"/>
    <x v="0"/>
    <s v="8326107"/>
    <n v="742010"/>
    <s v="Postage-Regular"/>
    <s v="Family Med Residency-Academic"/>
    <x v="0"/>
    <m/>
    <n v="106.78"/>
    <n v="0"/>
    <n v="264.25"/>
    <n v="0"/>
    <n v="0"/>
    <n v="0"/>
    <n v="5700"/>
    <n v="15.4"/>
    <n v="0"/>
    <n v="59.9"/>
    <n v="0"/>
    <n v="106.8"/>
    <n v="6253.1299999999992"/>
    <n v="0"/>
  </r>
  <r>
    <x v="0"/>
    <x v="6"/>
    <x v="0"/>
    <s v="8326107"/>
    <n v="742020"/>
    <s v="Postage-Express Services"/>
    <s v="Family Med Residency-Academic"/>
    <x v="0"/>
    <m/>
    <n v="25.9"/>
    <n v="0"/>
    <n v="0"/>
    <n v="0"/>
    <n v="0"/>
    <n v="0"/>
    <n v="0"/>
    <n v="0"/>
    <n v="0"/>
    <n v="0"/>
    <n v="0"/>
    <n v="0"/>
    <n v="25.9"/>
    <n v="1000"/>
  </r>
  <r>
    <x v="0"/>
    <x v="6"/>
    <x v="0"/>
    <s v="8326107"/>
    <n v="743010"/>
    <s v="Dues--Institutional"/>
    <s v="Family Med Residency-Academic"/>
    <x v="0"/>
    <m/>
    <n v="0"/>
    <n v="0"/>
    <n v="0"/>
    <n v="0"/>
    <n v="0"/>
    <n v="0"/>
    <n v="0"/>
    <n v="0"/>
    <n v="0"/>
    <n v="730"/>
    <n v="1000"/>
    <n v="0"/>
    <n v="1730"/>
    <n v="-1083"/>
  </r>
  <r>
    <x v="0"/>
    <x v="6"/>
    <x v="0"/>
    <s v="8326107"/>
    <n v="743020"/>
    <s v="Dues--Individual"/>
    <s v="Family Med Residency-Academic"/>
    <x v="0"/>
    <m/>
    <n v="400"/>
    <n v="0"/>
    <n v="1620"/>
    <n v="2360"/>
    <n v="5160"/>
    <n v="875"/>
    <n v="1750"/>
    <n v="4621"/>
    <n v="40"/>
    <n v="340"/>
    <n v="379"/>
    <n v="1462"/>
    <n v="19007"/>
    <n v="1616"/>
  </r>
  <r>
    <x v="0"/>
    <x v="6"/>
    <x v="0"/>
    <s v="8326107"/>
    <n v="743022"/>
    <s v="Dues-Physician"/>
    <s v="Family Med Residency-Academic"/>
    <x v="0"/>
    <m/>
    <n v="65"/>
    <n v="2233"/>
    <n v="2759"/>
    <n v="0"/>
    <n v="857"/>
    <n v="1404.5"/>
    <n v="0"/>
    <n v="745"/>
    <n v="60"/>
    <n v="0"/>
    <n v="1816"/>
    <n v="200"/>
    <n v="10139.5"/>
    <n v="-245"/>
  </r>
  <r>
    <x v="0"/>
    <x v="6"/>
    <x v="0"/>
    <s v="8326107"/>
    <n v="743023"/>
    <s v="Dues-Advanced Practice Clinician"/>
    <s v="Family Med Residency-Academic"/>
    <x v="0"/>
    <m/>
    <n v="0"/>
    <n v="731"/>
    <n v="0"/>
    <n v="0"/>
    <n v="0"/>
    <n v="510"/>
    <n v="0"/>
    <n v="0"/>
    <n v="0"/>
    <n v="0"/>
    <n v="0"/>
    <n v="245"/>
    <n v="1486"/>
    <n v="497.06"/>
  </r>
  <r>
    <x v="0"/>
    <x v="6"/>
    <x v="0"/>
    <s v="8326107"/>
    <n v="743030"/>
    <s v="Subscriptions--Institutional"/>
    <s v="Family Med Residency-Academic"/>
    <x v="0"/>
    <m/>
    <n v="0"/>
    <n v="485.2"/>
    <n v="0"/>
    <n v="0"/>
    <n v="0"/>
    <n v="0"/>
    <n v="252.48"/>
    <n v="5327.74"/>
    <n v="0"/>
    <n v="0"/>
    <n v="497.06"/>
    <n v="0"/>
    <n v="6562.4800000000005"/>
    <n v="33.269999999999982"/>
  </r>
  <r>
    <x v="0"/>
    <x v="6"/>
    <x v="0"/>
    <s v="8326107"/>
    <n v="743040"/>
    <s v="Subscriptions--Individual"/>
    <s v="Family Med Residency-Academic"/>
    <x v="0"/>
    <m/>
    <n v="60.65"/>
    <n v="0"/>
    <n v="0"/>
    <n v="0"/>
    <n v="2174.85"/>
    <n v="0"/>
    <n v="0"/>
    <n v="0"/>
    <n v="0"/>
    <n v="0"/>
    <n v="377.83"/>
    <n v="344.56"/>
    <n v="2957.89"/>
    <n v="0"/>
  </r>
  <r>
    <x v="0"/>
    <x v="6"/>
    <x v="0"/>
    <s v="8326107"/>
    <n v="743042"/>
    <s v="Subscriptions-Physician"/>
    <s v="Family Med Residency-Academic"/>
    <x v="0"/>
    <m/>
    <n v="296.25"/>
    <n v="0"/>
    <n v="365.99"/>
    <n v="171.84"/>
    <n v="206.06"/>
    <n v="0"/>
    <n v="0"/>
    <n v="50"/>
    <n v="0"/>
    <n v="0"/>
    <n v="0"/>
    <n v="0"/>
    <n v="1090.1400000000001"/>
    <n v="0"/>
  </r>
  <r>
    <x v="0"/>
    <x v="6"/>
    <x v="0"/>
    <s v="8326107"/>
    <n v="744010"/>
    <s v="Recruitment"/>
    <s v="Family Med Residency-Academic"/>
    <x v="0"/>
    <m/>
    <n v="0"/>
    <n v="0"/>
    <n v="3.27"/>
    <n v="0"/>
    <n v="316"/>
    <n v="0"/>
    <n v="0"/>
    <n v="1105.47"/>
    <n v="0"/>
    <n v="16"/>
    <n v="0"/>
    <n v="0"/>
    <n v="1440.74"/>
    <n v="7349.49"/>
  </r>
  <r>
    <x v="0"/>
    <x v="6"/>
    <x v="0"/>
    <s v="8326107"/>
    <n v="744012"/>
    <s v="Recruitment-Physician"/>
    <s v="Family Med Residency-Academic"/>
    <x v="0"/>
    <m/>
    <n v="0"/>
    <n v="15.27"/>
    <n v="256.11"/>
    <n v="0"/>
    <n v="1255"/>
    <n v="5823.68"/>
    <n v="0"/>
    <n v="12397.83"/>
    <n v="1350"/>
    <n v="1555.2"/>
    <n v="7349.49"/>
    <n v="0"/>
    <n v="30002.58"/>
    <n v="697.99999999999955"/>
  </r>
  <r>
    <x v="0"/>
    <x v="6"/>
    <x v="0"/>
    <s v="8326107"/>
    <n v="749510"/>
    <s v="Miscellaneous Expenses"/>
    <s v="Family Med Residency-Academic"/>
    <x v="0"/>
    <m/>
    <n v="-2369.96"/>
    <n v="496.87"/>
    <n v="2386.87"/>
    <n v="6306.44"/>
    <n v="4017.84"/>
    <n v="2521.89"/>
    <n v="22106.53"/>
    <n v="-21427.279999999999"/>
    <n v="-5086.8100000000004"/>
    <n v="4226.99"/>
    <n v="4349.6899999999996"/>
    <n v="3651.69"/>
    <n v="21180.759999999995"/>
    <n v="-151"/>
  </r>
  <r>
    <x v="0"/>
    <x v="6"/>
    <x v="0"/>
    <s v="8326107"/>
    <n v="749510"/>
    <s v="Licenses"/>
    <s v="Family Med Residency-Academic"/>
    <x v="0"/>
    <n v="1002"/>
    <n v="5848"/>
    <n v="0"/>
    <n v="0"/>
    <n v="0"/>
    <n v="0"/>
    <n v="0"/>
    <n v="0"/>
    <n v="0"/>
    <n v="0"/>
    <n v="0"/>
    <n v="3164"/>
    <n v="3315"/>
    <n v="12327"/>
    <n v="-731"/>
  </r>
  <r>
    <x v="0"/>
    <x v="6"/>
    <x v="0"/>
    <s v="8326107"/>
    <n v="749512"/>
    <s v="Licenses-Physician"/>
    <s v="Family Med Residency-Academic"/>
    <x v="0"/>
    <n v="2000"/>
    <n v="2879.15"/>
    <n v="0"/>
    <n v="659.5"/>
    <n v="0"/>
    <n v="0"/>
    <n v="0"/>
    <n v="0"/>
    <n v="0"/>
    <n v="0"/>
    <n v="731"/>
    <n v="0"/>
    <n v="731"/>
    <n v="5000.6499999999996"/>
    <n v="0"/>
  </r>
  <r>
    <x v="0"/>
    <x v="6"/>
    <x v="0"/>
    <s v="8326107"/>
    <n v="749513"/>
    <s v="Licenses-Advanced Practice Clinician"/>
    <s v="Family Med Residency-Academic"/>
    <x v="0"/>
    <n v="2000"/>
    <n v="120"/>
    <n v="0"/>
    <n v="0"/>
    <n v="0"/>
    <n v="0"/>
    <n v="0"/>
    <n v="0"/>
    <n v="0"/>
    <n v="0"/>
    <n v="0"/>
    <n v="0"/>
    <n v="0"/>
    <n v="120"/>
    <n v="4286.38"/>
  </r>
  <r>
    <x v="0"/>
    <x v="6"/>
    <x v="0"/>
    <s v="8326107"/>
    <n v="749530"/>
    <s v="Travel"/>
    <s v="Family Med Residency-Academic"/>
    <x v="0"/>
    <m/>
    <n v="9.26"/>
    <n v="20"/>
    <n v="1940.79"/>
    <n v="77.22"/>
    <n v="5036.7700000000004"/>
    <n v="1947.48"/>
    <n v="0"/>
    <n v="6811.94"/>
    <n v="4374.1099999999997"/>
    <n v="7538.41"/>
    <n v="4305.53"/>
    <n v="19.149999999999999"/>
    <n v="32080.66"/>
    <n v="-82.359999999999985"/>
  </r>
  <r>
    <x v="0"/>
    <x v="6"/>
    <x v="0"/>
    <s v="8326107"/>
    <n v="749530"/>
    <s v="Mileage"/>
    <s v="Family Med Residency-Academic"/>
    <x v="0"/>
    <n v="1001"/>
    <n v="0"/>
    <n v="0"/>
    <n v="0"/>
    <n v="55.59"/>
    <n v="75.760000000000005"/>
    <n v="33.799999999999997"/>
    <n v="157.69"/>
    <n v="182.1"/>
    <n v="466.9"/>
    <n v="389.76"/>
    <n v="40.6"/>
    <n v="122.96"/>
    <n v="1525.1599999999999"/>
    <n v="-2614.6799999999998"/>
  </r>
  <r>
    <x v="0"/>
    <x v="6"/>
    <x v="0"/>
    <s v="8326107"/>
    <n v="749532"/>
    <s v="Travel-Physician"/>
    <s v="Family Med Residency-Academic"/>
    <x v="0"/>
    <m/>
    <n v="1751.78"/>
    <n v="3137.07"/>
    <n v="886.69"/>
    <n v="827.9"/>
    <n v="2139.83"/>
    <n v="1616.54"/>
    <n v="206.65"/>
    <n v="232.25"/>
    <n v="10"/>
    <n v="549.24"/>
    <n v="346.69"/>
    <n v="2961.37"/>
    <n v="14666.010000000002"/>
    <n v="167.7"/>
  </r>
  <r>
    <x v="0"/>
    <x v="6"/>
    <x v="0"/>
    <s v="8326107"/>
    <n v="749532"/>
    <s v="Business Meals-Physician"/>
    <s v="Family Med Residency-Academic"/>
    <x v="0"/>
    <n v="2000"/>
    <n v="0"/>
    <n v="0"/>
    <n v="0"/>
    <n v="145.79"/>
    <n v="51.97"/>
    <n v="0"/>
    <n v="0"/>
    <n v="0"/>
    <n v="0"/>
    <n v="0"/>
    <n v="167.7"/>
    <n v="0"/>
    <n v="365.46"/>
    <n v="-76.56"/>
  </r>
  <r>
    <x v="0"/>
    <x v="6"/>
    <x v="0"/>
    <s v="8326107"/>
    <n v="749532"/>
    <s v="Vehicle Expense-Physician"/>
    <s v="Family Med Residency-Academic"/>
    <x v="0"/>
    <n v="2001"/>
    <n v="838.27"/>
    <n v="257.8"/>
    <n v="35.97"/>
    <n v="0"/>
    <n v="0"/>
    <n v="0"/>
    <n v="0"/>
    <n v="0"/>
    <n v="88.16"/>
    <n v="127.6"/>
    <n v="0"/>
    <n v="76.56"/>
    <n v="1424.36"/>
    <n v="0"/>
  </r>
  <r>
    <x v="0"/>
    <x v="6"/>
    <x v="0"/>
    <s v="8326107"/>
    <n v="749533"/>
    <s v="Travel-Advanced Practice Clinician"/>
    <s v="Family Med Residency-Academic"/>
    <x v="0"/>
    <m/>
    <n v="0"/>
    <n v="0"/>
    <n v="0"/>
    <n v="0"/>
    <n v="0"/>
    <n v="0"/>
    <n v="0"/>
    <n v="0"/>
    <n v="399"/>
    <n v="0"/>
    <n v="0"/>
    <n v="0"/>
    <n v="399"/>
    <n v="-0.64999999999997726"/>
  </r>
  <r>
    <x v="0"/>
    <x v="6"/>
    <x v="0"/>
    <s v="8326107"/>
    <n v="749535"/>
    <s v="Meetings"/>
    <s v="Family Med Residency-Academic"/>
    <x v="0"/>
    <m/>
    <n v="561.07000000000005"/>
    <n v="0"/>
    <n v="322.98"/>
    <n v="55.81"/>
    <n v="208.1"/>
    <n v="198.86"/>
    <n v="583.15"/>
    <n v="156.33000000000001"/>
    <n v="87.18"/>
    <n v="830.6"/>
    <n v="324"/>
    <n v="324.64999999999998"/>
    <n v="3652.73"/>
    <n v="0"/>
  </r>
  <r>
    <x v="0"/>
    <x v="6"/>
    <x v="0"/>
    <s v="8326107"/>
    <n v="766010"/>
    <s v="Property Tax"/>
    <s v="Family Med Residency-Academic"/>
    <x v="0"/>
    <m/>
    <n v="0"/>
    <n v="0"/>
    <n v="0"/>
    <n v="0"/>
    <n v="0"/>
    <n v="0"/>
    <n v="0"/>
    <n v="0"/>
    <n v="0"/>
    <n v="15222.18"/>
    <n v="3805.56"/>
    <n v="3805.56"/>
    <n v="22833.300000000003"/>
    <n v="-12.319999999999993"/>
  </r>
  <r>
    <x v="9"/>
    <x v="6"/>
    <x v="0"/>
    <s v="8326107"/>
    <n v="800015"/>
    <s v="Interest Income-Ext to CHI"/>
    <s v="Family Med Residency-Academic"/>
    <x v="0"/>
    <m/>
    <n v="0"/>
    <n v="-46.02"/>
    <n v="-94.52"/>
    <n v="-93.42"/>
    <n v="-86.3"/>
    <n v="-536.16"/>
    <n v="-161.36000000000001"/>
    <n v="-138.08000000000001"/>
    <n v="-144.38"/>
    <n v="-131.5"/>
    <n v="-127.38"/>
    <n v="-115.06"/>
    <n v="-1674.1799999999998"/>
    <n v="0"/>
  </r>
  <r>
    <x v="5"/>
    <x v="1"/>
    <x v="0"/>
    <s v="8326200"/>
    <n v="700062"/>
    <s v="Salaries-Physician-Non-productive"/>
    <s v="Family Med Residency-Clinical.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8326200"/>
    <n v="700064"/>
    <s v="Salaries-Advanced Practice Clinician-Non-Productive"/>
    <s v="Family Med Residency-Clinical.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8326200"/>
    <n v="713090"/>
    <s v="Benefits-Allocated Amounts"/>
    <s v="Family Med Residency-Clinical."/>
    <x v="0"/>
    <m/>
    <n v="0"/>
    <n v="0"/>
    <n v="0"/>
    <n v="0"/>
    <n v="0"/>
    <n v="0"/>
    <n v="0"/>
    <n v="0"/>
    <n v="0"/>
    <n v="0"/>
    <n v="0"/>
    <n v="0"/>
    <n v="0"/>
    <n v="0"/>
  </r>
  <r>
    <x v="7"/>
    <x v="1"/>
    <x v="0"/>
    <s v="8326200"/>
    <n v="718040"/>
    <s v="Contract Svcs-Laboratory"/>
    <s v="Family Med Residency-Clinical."/>
    <x v="0"/>
    <m/>
    <n v="0"/>
    <n v="0"/>
    <n v="0"/>
    <n v="0"/>
    <n v="0"/>
    <n v="0"/>
    <n v="0"/>
    <n v="0"/>
    <n v="0"/>
    <n v="0"/>
    <n v="0"/>
    <n v="0"/>
    <n v="0"/>
    <n v="0"/>
  </r>
  <r>
    <x v="12"/>
    <x v="1"/>
    <x v="0"/>
    <s v="8326200"/>
    <n v="730020"/>
    <s v="Rental and Leases-Copier Usage Fees (DO NOT USE)"/>
    <s v="Family Med Residency-Clinical."/>
    <x v="0"/>
    <n v="5100"/>
    <n v="0"/>
    <n v="0"/>
    <n v="0"/>
    <n v="0"/>
    <n v="0"/>
    <n v="0"/>
    <n v="0"/>
    <n v="0"/>
    <n v="0"/>
    <n v="0"/>
    <n v="0"/>
    <n v="0"/>
    <n v="0"/>
    <n v="0"/>
  </r>
  <r>
    <x v="9"/>
    <x v="1"/>
    <x v="0"/>
    <s v="8326200"/>
    <n v="800015"/>
    <s v="Interest Income-Ext to CHI"/>
    <s v="Family Med Residency-Clinical."/>
    <x v="0"/>
    <m/>
    <n v="0"/>
    <n v="0"/>
    <n v="0"/>
    <n v="0"/>
    <n v="0"/>
    <n v="0"/>
    <n v="0"/>
    <n v="0"/>
    <n v="0"/>
    <n v="0"/>
    <n v="0"/>
    <n v="0"/>
    <n v="0"/>
    <n v="-20.450000000000728"/>
  </r>
  <r>
    <x v="5"/>
    <x v="3"/>
    <x v="0"/>
    <s v="8327101"/>
    <n v="700032"/>
    <s v="Salaries-Other Pat Care Providers-Productive"/>
    <s v="Pharmacy Residency Program"/>
    <x v="0"/>
    <m/>
    <n v="27285"/>
    <n v="28988.720000000001"/>
    <n v="26929.26"/>
    <n v="28952.400000000001"/>
    <n v="22943.279999999999"/>
    <n v="16157.69"/>
    <n v="23851.5"/>
    <n v="19314.27"/>
    <n v="24707.97"/>
    <n v="23382.25"/>
    <n v="24162.45"/>
    <n v="24182.9"/>
    <n v="290857.69"/>
    <n v="-1309.9000000000001"/>
  </r>
  <r>
    <x v="5"/>
    <x v="3"/>
    <x v="0"/>
    <s v="8327101"/>
    <n v="700032"/>
    <s v="Salaries-Other Pat Care Providers-Other"/>
    <s v="Pharmacy Residency Program"/>
    <x v="0"/>
    <n v="2000"/>
    <n v="0"/>
    <n v="0"/>
    <n v="385.84"/>
    <n v="0"/>
    <n v="495"/>
    <n v="594"/>
    <n v="0"/>
    <n v="0"/>
    <n v="0"/>
    <n v="0"/>
    <n v="0"/>
    <n v="1309.9000000000001"/>
    <n v="2784.74"/>
    <n v="-3928.32"/>
  </r>
  <r>
    <x v="5"/>
    <x v="3"/>
    <x v="0"/>
    <s v="8327101"/>
    <n v="700072"/>
    <s v="Salaries-Other Pat Care Providers-Non-productive"/>
    <s v="Pharmacy Residency Program"/>
    <x v="0"/>
    <m/>
    <n v="641.04"/>
    <n v="0"/>
    <n v="1089.5999999999999"/>
    <n v="0"/>
    <n v="0"/>
    <n v="7969.31"/>
    <n v="313.25"/>
    <n v="2509.63"/>
    <n v="-545.47"/>
    <n v="0"/>
    <n v="0"/>
    <n v="3928.32"/>
    <n v="15905.680000000002"/>
    <n v="2123.58"/>
  </r>
  <r>
    <x v="5"/>
    <x v="3"/>
    <x v="0"/>
    <s v="8327101"/>
    <n v="700084"/>
    <s v="Accrued PTO"/>
    <s v="Pharmacy Residency Program"/>
    <x v="0"/>
    <m/>
    <n v="2264.27"/>
    <n v="3049.17"/>
    <n v="1928.04"/>
    <n v="3017.1"/>
    <n v="2665.17"/>
    <n v="-3419.97"/>
    <n v="1425.19"/>
    <n v="553.25"/>
    <n v="2514.79"/>
    <n v="2514.25"/>
    <n v="2514.25"/>
    <n v="390.67"/>
    <n v="19416.18"/>
    <n v="-412.79000000000019"/>
  </r>
  <r>
    <x v="6"/>
    <x v="3"/>
    <x v="0"/>
    <s v="8327101"/>
    <n v="713010"/>
    <s v="Benefits-FICA/Medicare"/>
    <s v="Pharmacy Residency Program"/>
    <x v="0"/>
    <m/>
    <n v="2746.28"/>
    <n v="2140.5500000000002"/>
    <n v="2134.64"/>
    <n v="2163.1"/>
    <n v="1880.78"/>
    <n v="1853.42"/>
    <n v="1811.94"/>
    <n v="1636.61"/>
    <n v="1811.93"/>
    <n v="1753.41"/>
    <n v="1811.99"/>
    <n v="2224.7800000000002"/>
    <n v="23969.43"/>
    <n v="-883.48000000000047"/>
  </r>
  <r>
    <x v="6"/>
    <x v="3"/>
    <x v="0"/>
    <s v="8327101"/>
    <n v="713090"/>
    <s v="Benefits-Allocated Amounts"/>
    <s v="Pharmacy Residency Program"/>
    <x v="0"/>
    <m/>
    <n v="7941.38"/>
    <n v="7497.92"/>
    <n v="8014.13"/>
    <n v="7994.49"/>
    <n v="6659.67"/>
    <n v="6382.25"/>
    <n v="7063.19"/>
    <n v="6914.99"/>
    <n v="5700.24"/>
    <n v="6939.33"/>
    <n v="7451.46"/>
    <n v="8334.94"/>
    <n v="86893.99"/>
    <n v="0"/>
  </r>
  <r>
    <x v="7"/>
    <x v="3"/>
    <x v="0"/>
    <s v="8327101"/>
    <n v="718050"/>
    <s v="Miscellaneous Purchased Svcs"/>
    <s v="Pharmacy Residency Program"/>
    <x v="0"/>
    <n v="1020"/>
    <n v="0"/>
    <n v="0"/>
    <n v="0"/>
    <n v="249.23"/>
    <n v="0"/>
    <n v="0"/>
    <n v="15.89"/>
    <n v="0"/>
    <n v="0"/>
    <n v="0"/>
    <n v="0"/>
    <n v="0"/>
    <n v="265.12"/>
    <n v="0"/>
  </r>
  <r>
    <x v="11"/>
    <x v="3"/>
    <x v="0"/>
    <s v="8327101"/>
    <n v="721810"/>
    <s v="Supplies-Dietary/Cafeteria"/>
    <s v="Pharmacy Residency Program"/>
    <x v="0"/>
    <m/>
    <n v="0"/>
    <n v="0"/>
    <n v="6.17"/>
    <n v="0"/>
    <n v="0"/>
    <n v="0"/>
    <n v="0"/>
    <n v="0"/>
    <n v="0"/>
    <n v="0"/>
    <n v="0"/>
    <n v="0"/>
    <n v="6.17"/>
    <n v="0"/>
  </r>
  <r>
    <x v="11"/>
    <x v="3"/>
    <x v="0"/>
    <s v="8327101"/>
    <n v="721830"/>
    <s v="Supplies-Office"/>
    <s v="Pharmacy Residency Program"/>
    <x v="0"/>
    <m/>
    <n v="0"/>
    <n v="115.53"/>
    <n v="0"/>
    <n v="0"/>
    <n v="0"/>
    <n v="0"/>
    <n v="0"/>
    <n v="0"/>
    <n v="0"/>
    <n v="0"/>
    <n v="0"/>
    <n v="0"/>
    <n v="115.53"/>
    <n v="0"/>
  </r>
  <r>
    <x v="11"/>
    <x v="3"/>
    <x v="0"/>
    <s v="8327101"/>
    <n v="721835"/>
    <s v="Supplies-Forms"/>
    <s v="Pharmacy Residency Program"/>
    <x v="0"/>
    <m/>
    <n v="0"/>
    <n v="0"/>
    <n v="0"/>
    <n v="0"/>
    <n v="0"/>
    <n v="3.79"/>
    <n v="0"/>
    <n v="0"/>
    <n v="0"/>
    <n v="0"/>
    <n v="0"/>
    <n v="0"/>
    <n v="3.79"/>
    <n v="0"/>
  </r>
  <r>
    <x v="15"/>
    <x v="3"/>
    <x v="0"/>
    <s v="8327101"/>
    <n v="731060"/>
    <s v="Pagers"/>
    <s v="Pharmacy Residency Program"/>
    <x v="0"/>
    <n v="1002"/>
    <n v="8.1"/>
    <n v="8.1"/>
    <n v="8.1"/>
    <n v="8.1199999999999992"/>
    <n v="8.1199999999999992"/>
    <n v="0"/>
    <n v="16.239999999999998"/>
    <n v="8.1199999999999992"/>
    <n v="8.1199999999999992"/>
    <n v="8.1199999999999992"/>
    <n v="0"/>
    <n v="0"/>
    <n v="81.14"/>
    <n v="0"/>
  </r>
  <r>
    <x v="0"/>
    <x v="3"/>
    <x v="0"/>
    <s v="8327101"/>
    <n v="740020"/>
    <s v="Education-Registration Fees"/>
    <s v="Pharmacy Residency Program"/>
    <x v="0"/>
    <m/>
    <n v="0"/>
    <n v="1960"/>
    <n v="0"/>
    <n v="45"/>
    <n v="0"/>
    <n v="-415"/>
    <n v="0"/>
    <n v="3050"/>
    <n v="0"/>
    <n v="0"/>
    <n v="840"/>
    <n v="840"/>
    <n v="6320"/>
    <n v="0"/>
  </r>
  <r>
    <x v="0"/>
    <x v="3"/>
    <x v="0"/>
    <s v="8327101"/>
    <n v="742020"/>
    <s v="Postage-Express Services"/>
    <s v="Pharmacy Residency Program"/>
    <x v="0"/>
    <m/>
    <n v="0"/>
    <n v="0"/>
    <n v="0"/>
    <n v="0"/>
    <n v="0"/>
    <n v="0"/>
    <n v="250.55"/>
    <n v="0"/>
    <n v="0"/>
    <n v="0"/>
    <n v="0"/>
    <n v="0"/>
    <n v="250.55"/>
    <n v="0"/>
  </r>
  <r>
    <x v="0"/>
    <x v="3"/>
    <x v="0"/>
    <s v="8327101"/>
    <n v="743020"/>
    <s v="Dues--Individual"/>
    <s v="Pharmacy Residency Program"/>
    <x v="0"/>
    <m/>
    <n v="160"/>
    <n v="800"/>
    <n v="0"/>
    <n v="0"/>
    <n v="0"/>
    <n v="0"/>
    <n v="4200"/>
    <n v="0"/>
    <n v="0"/>
    <n v="0"/>
    <n v="0"/>
    <n v="0"/>
    <n v="5160"/>
    <n v="0"/>
  </r>
  <r>
    <x v="0"/>
    <x v="3"/>
    <x v="0"/>
    <s v="8327101"/>
    <n v="743030"/>
    <s v="Subscriptions--Institutional"/>
    <s v="Pharmacy Residency Program"/>
    <x v="0"/>
    <m/>
    <n v="0"/>
    <n v="0"/>
    <n v="0"/>
    <n v="0"/>
    <n v="0"/>
    <n v="0"/>
    <n v="0"/>
    <n v="0"/>
    <n v="0"/>
    <n v="0"/>
    <n v="0"/>
    <n v="0"/>
    <n v="0"/>
    <n v="3330.26"/>
  </r>
  <r>
    <x v="0"/>
    <x v="3"/>
    <x v="0"/>
    <s v="8327101"/>
    <n v="749510"/>
    <s v="Miscellaneous Expenses"/>
    <s v="Pharmacy Residency Program"/>
    <x v="0"/>
    <m/>
    <n v="-1215.6300000000001"/>
    <n v="5027.5"/>
    <n v="-297.5"/>
    <n v="0"/>
    <n v="0"/>
    <n v="812.7"/>
    <n v="6233.24"/>
    <n v="-6415.3"/>
    <n v="73.75"/>
    <n v="490.61"/>
    <n v="1805.23"/>
    <n v="-1525.03"/>
    <n v="4989.5699999999988"/>
    <n v="-2318.37"/>
  </r>
  <r>
    <x v="0"/>
    <x v="3"/>
    <x v="0"/>
    <s v="8327101"/>
    <n v="749530"/>
    <s v="Travel"/>
    <s v="Pharmacy Residency Program"/>
    <x v="0"/>
    <m/>
    <n v="0"/>
    <n v="1965.75"/>
    <n v="297.5"/>
    <n v="0"/>
    <n v="0"/>
    <n v="1850.8"/>
    <n v="0"/>
    <n v="2255.09"/>
    <n v="0"/>
    <n v="0"/>
    <n v="62.35"/>
    <n v="2380.7199999999998"/>
    <n v="8812.2100000000009"/>
    <n v="-242.05"/>
  </r>
  <r>
    <x v="0"/>
    <x v="3"/>
    <x v="0"/>
    <s v="8327101"/>
    <n v="749535"/>
    <s v="Meetings"/>
    <s v="Pharmacy Residency Program"/>
    <x v="0"/>
    <m/>
    <n v="0"/>
    <n v="0"/>
    <n v="0"/>
    <n v="0"/>
    <n v="0"/>
    <n v="0"/>
    <n v="0"/>
    <n v="0"/>
    <n v="0"/>
    <n v="0"/>
    <n v="0"/>
    <n v="242.05"/>
    <n v="242.05"/>
    <n v="-1013.2700000000004"/>
  </r>
  <r>
    <x v="5"/>
    <x v="5"/>
    <x v="0"/>
    <s v="8327106"/>
    <n v="700032"/>
    <s v="Salaries-Other Pat Care Providers-Productive"/>
    <s v="Pharmacy Residency Program"/>
    <x v="0"/>
    <m/>
    <n v="10304.120000000001"/>
    <n v="9650.7999999999993"/>
    <n v="9339.6200000000008"/>
    <n v="3798.13"/>
    <n v="4669.59"/>
    <n v="4389.5600000000004"/>
    <n v="4832.95"/>
    <n v="4364.8"/>
    <n v="4832.4799999999996"/>
    <n v="4676.45"/>
    <n v="4832.49"/>
    <n v="5845.76"/>
    <n v="71536.749999999985"/>
    <n v="-30.04"/>
  </r>
  <r>
    <x v="5"/>
    <x v="5"/>
    <x v="0"/>
    <s v="8327106"/>
    <n v="700032"/>
    <s v="Salaries-Other Pat Care Providers-Other"/>
    <s v="Pharmacy Residency Program"/>
    <x v="0"/>
    <n v="2000"/>
    <n v="0"/>
    <n v="0"/>
    <n v="0"/>
    <n v="0"/>
    <n v="0"/>
    <n v="0"/>
    <n v="0"/>
    <n v="0"/>
    <n v="0"/>
    <n v="0"/>
    <n v="0"/>
    <n v="30.04"/>
    <n v="30.04"/>
    <n v="0"/>
  </r>
  <r>
    <x v="5"/>
    <x v="5"/>
    <x v="0"/>
    <s v="8327106"/>
    <n v="700072"/>
    <s v="Salaries-Other Pat Care Providers-Non-productive"/>
    <s v="Pharmacy Residency Program"/>
    <x v="0"/>
    <m/>
    <n v="435.84"/>
    <n v="0"/>
    <n v="0"/>
    <n v="0"/>
    <n v="0"/>
    <n v="435.84"/>
    <n v="0"/>
    <n v="0"/>
    <n v="0"/>
    <n v="0"/>
    <n v="0"/>
    <n v="0"/>
    <n v="871.68"/>
    <n v="377.28000000000003"/>
  </r>
  <r>
    <x v="5"/>
    <x v="5"/>
    <x v="0"/>
    <s v="8327106"/>
    <n v="700084"/>
    <s v="Accrued PTO"/>
    <s v="Pharmacy Residency Program"/>
    <x v="0"/>
    <m/>
    <n v="819.11"/>
    <n v="883.07"/>
    <n v="1005.7"/>
    <n v="527.91"/>
    <n v="502.85"/>
    <n v="-854.78"/>
    <n v="503.12"/>
    <n v="502.85"/>
    <n v="502.85"/>
    <n v="502.85"/>
    <n v="502.85"/>
    <n v="125.57"/>
    <n v="5523.95"/>
    <n v="-80.46999999999997"/>
  </r>
  <r>
    <x v="6"/>
    <x v="5"/>
    <x v="0"/>
    <s v="8327106"/>
    <n v="713010"/>
    <s v="Benefits-FICA/Medicare"/>
    <s v="Pharmacy Residency Program"/>
    <x v="0"/>
    <m/>
    <n v="811.69"/>
    <n v="1222.03"/>
    <n v="711.6"/>
    <n v="289.77999999999997"/>
    <n v="356.02"/>
    <n v="367.91"/>
    <n v="367.91"/>
    <n v="332.31"/>
    <n v="367.91"/>
    <n v="356.02"/>
    <n v="367.92"/>
    <n v="448.39"/>
    <n v="5999.4900000000007"/>
    <n v="-323.19000000000005"/>
  </r>
  <r>
    <x v="6"/>
    <x v="5"/>
    <x v="0"/>
    <s v="8327106"/>
    <n v="713090"/>
    <s v="Benefits-Allocated Amounts"/>
    <s v="Pharmacy Residency Program"/>
    <x v="0"/>
    <m/>
    <n v="3282.25"/>
    <n v="2836.33"/>
    <n v="2797.55"/>
    <n v="1042.02"/>
    <n v="1450.77"/>
    <n v="1383.41"/>
    <n v="1476.98"/>
    <n v="1456.99"/>
    <n v="1396.13"/>
    <n v="1433.11"/>
    <n v="1431.02"/>
    <n v="1754.21"/>
    <n v="21740.77"/>
    <n v="840"/>
  </r>
  <r>
    <x v="0"/>
    <x v="5"/>
    <x v="0"/>
    <s v="8327106"/>
    <n v="740020"/>
    <s v="Education-Registration Fees"/>
    <s v="Pharmacy Residency Program"/>
    <x v="0"/>
    <m/>
    <n v="0"/>
    <n v="795"/>
    <n v="1405"/>
    <n v="440"/>
    <n v="0"/>
    <n v="0"/>
    <n v="0"/>
    <n v="305"/>
    <n v="0"/>
    <n v="0"/>
    <n v="840"/>
    <n v="0"/>
    <n v="3785"/>
    <n v="0"/>
  </r>
  <r>
    <x v="0"/>
    <x v="5"/>
    <x v="0"/>
    <s v="8327106"/>
    <n v="743020"/>
    <s v="Dues--Individual"/>
    <s v="Pharmacy Residency Program"/>
    <x v="0"/>
    <m/>
    <n v="80"/>
    <n v="160"/>
    <n v="0"/>
    <n v="0"/>
    <n v="0"/>
    <n v="0"/>
    <n v="4200"/>
    <n v="0"/>
    <n v="0"/>
    <n v="0"/>
    <n v="0"/>
    <n v="0"/>
    <n v="4440"/>
    <n v="-31.9"/>
  </r>
  <r>
    <x v="0"/>
    <x v="5"/>
    <x v="0"/>
    <s v="8327106"/>
    <n v="749510"/>
    <s v="Miscellaneous Expenses"/>
    <s v="Pharmacy Residency Program"/>
    <x v="0"/>
    <m/>
    <n v="0"/>
    <n v="1498.8"/>
    <n v="-1498.8"/>
    <n v="0"/>
    <n v="275"/>
    <n v="-275"/>
    <n v="0"/>
    <n v="0"/>
    <n v="0"/>
    <n v="31.9"/>
    <n v="-31.9"/>
    <n v="0"/>
    <n v="0"/>
    <n v="0"/>
  </r>
  <r>
    <x v="0"/>
    <x v="5"/>
    <x v="0"/>
    <s v="8327106"/>
    <n v="749530"/>
    <s v="Travel"/>
    <s v="Pharmacy Residency Program"/>
    <x v="0"/>
    <m/>
    <n v="0"/>
    <n v="0"/>
    <n v="1094.7"/>
    <n v="0"/>
    <n v="0"/>
    <n v="0"/>
    <n v="0"/>
    <n v="873.7"/>
    <n v="0"/>
    <n v="0"/>
    <n v="0"/>
    <n v="0"/>
    <n v="1968.4"/>
    <n v="63.8"/>
  </r>
  <r>
    <x v="0"/>
    <x v="5"/>
    <x v="0"/>
    <s v="8327106"/>
    <n v="749530"/>
    <s v="Mileage"/>
    <s v="Pharmacy Residency Program"/>
    <x v="0"/>
    <n v="1001"/>
    <n v="363"/>
    <n v="0"/>
    <n v="0"/>
    <n v="0"/>
    <n v="65.41"/>
    <n v="0"/>
    <n v="31.9"/>
    <n v="0"/>
    <n v="96.86"/>
    <n v="34.799999999999997"/>
    <n v="63.8"/>
    <n v="0"/>
    <n v="655.76999999999987"/>
    <n v="0"/>
  </r>
  <r>
    <x v="0"/>
    <x v="5"/>
    <x v="0"/>
    <s v="8327106"/>
    <n v="749535"/>
    <s v="Meetings"/>
    <s v="Pharmacy Residency Program"/>
    <x v="0"/>
    <m/>
    <n v="0"/>
    <n v="0"/>
    <n v="0"/>
    <n v="0"/>
    <n v="0"/>
    <n v="275"/>
    <n v="0"/>
    <n v="0"/>
    <n v="0"/>
    <n v="0"/>
    <n v="0"/>
    <n v="0"/>
    <n v="275"/>
    <n v="395"/>
  </r>
  <r>
    <x v="1"/>
    <x v="6"/>
    <x v="0"/>
    <s v="8328107"/>
    <n v="400029"/>
    <s v="MD Practice Other Rev--Medicare"/>
    <s v="Family Med Residency-Clinical"/>
    <x v="0"/>
    <n v="1100"/>
    <n v="-175"/>
    <n v="-299"/>
    <n v="-628"/>
    <n v="-46"/>
    <n v="-607"/>
    <n v="-966"/>
    <n v="-249"/>
    <n v="-221"/>
    <n v="-369"/>
    <n v="-431"/>
    <n v="-157"/>
    <n v="-552"/>
    <n v="-4700"/>
    <n v="-311"/>
  </r>
  <r>
    <x v="1"/>
    <x v="6"/>
    <x v="0"/>
    <s v="8328107"/>
    <n v="400029"/>
    <s v="MD Practice Other Rev--Medicaid"/>
    <s v="Family Med Residency-Clinical"/>
    <x v="0"/>
    <n v="1200"/>
    <n v="-298"/>
    <n v="-1441"/>
    <n v="-1017"/>
    <n v="-707"/>
    <n v="-1078"/>
    <n v="-1181"/>
    <n v="-2269"/>
    <n v="-4670"/>
    <n v="-1999"/>
    <n v="2590"/>
    <n v="-1419"/>
    <n v="-1108"/>
    <n v="-14597"/>
    <n v="-158"/>
  </r>
  <r>
    <x v="1"/>
    <x v="6"/>
    <x v="0"/>
    <s v="8328107"/>
    <n v="400029"/>
    <s v="MD Practice Other Rev--Comm Insurance"/>
    <s v="Family Med Residency-Clinical"/>
    <x v="0"/>
    <n v="1300"/>
    <n v="-73"/>
    <n v="-154"/>
    <n v="-34"/>
    <n v="-272"/>
    <n v="-519"/>
    <n v="-54"/>
    <n v="-296"/>
    <n v="-317"/>
    <n v="-45"/>
    <n v="-83"/>
    <n v="-209"/>
    <n v="-51"/>
    <n v="-2107"/>
    <n v="80"/>
  </r>
  <r>
    <x v="1"/>
    <x v="6"/>
    <x v="0"/>
    <s v="8328107"/>
    <n v="400029"/>
    <s v="MD Practice Other Rev--BCBS Comm"/>
    <s v="Family Med Residency-Clinical"/>
    <x v="0"/>
    <n v="1301"/>
    <n v="-165"/>
    <n v="-126"/>
    <n v="-80"/>
    <n v="-184"/>
    <n v="-493"/>
    <n v="-185"/>
    <n v="-1011"/>
    <n v="-94"/>
    <n v="-67"/>
    <n v="-126"/>
    <n v="-523"/>
    <n v="-603"/>
    <n v="-3657"/>
    <n v="275"/>
  </r>
  <r>
    <x v="1"/>
    <x v="6"/>
    <x v="0"/>
    <s v="8328107"/>
    <n v="400029"/>
    <s v="MD Practice Other Rev--Managed Care"/>
    <s v="Family Med Residency-Clinical"/>
    <x v="0"/>
    <n v="1400"/>
    <n v="-821"/>
    <n v="-1421"/>
    <n v="-1246"/>
    <n v="-874"/>
    <n v="-1441"/>
    <n v="-1226"/>
    <n v="-795"/>
    <n v="-955"/>
    <n v="-380"/>
    <n v="-2334"/>
    <n v="-1192"/>
    <n v="-1467"/>
    <n v="-14152"/>
    <n v="24"/>
  </r>
  <r>
    <x v="1"/>
    <x v="6"/>
    <x v="0"/>
    <s v="8328107"/>
    <n v="400029"/>
    <s v="MD Practice Other Rev--Self Pay"/>
    <s v="Family Med Residency-Clinical"/>
    <x v="0"/>
    <n v="1500"/>
    <n v="-44"/>
    <n v="-311"/>
    <n v="-9"/>
    <n v="-520"/>
    <n v="0"/>
    <n v="-364"/>
    <n v="-17"/>
    <n v="263"/>
    <n v="0"/>
    <n v="-24"/>
    <n v="24"/>
    <n v="0"/>
    <n v="-1002"/>
    <n v="-928"/>
  </r>
  <r>
    <x v="1"/>
    <x v="6"/>
    <x v="0"/>
    <s v="8328107"/>
    <n v="400029"/>
    <s v="MD Practice Other Rev--Other"/>
    <s v="Family Med Residency-Clinical"/>
    <x v="0"/>
    <n v="1700"/>
    <n v="-739"/>
    <n v="-2039"/>
    <n v="-1326"/>
    <n v="-1353"/>
    <n v="-1056"/>
    <n v="-1299"/>
    <n v="-2874"/>
    <n v="-866"/>
    <n v="-2714"/>
    <n v="-1289"/>
    <n v="-2496"/>
    <n v="-1568"/>
    <n v="-19619"/>
    <n v="-7169"/>
  </r>
  <r>
    <x v="1"/>
    <x v="6"/>
    <x v="0"/>
    <s v="8328107"/>
    <n v="400040"/>
    <s v="Physician Svcs Rev--Medicare"/>
    <s v="Family Med Residency-Clinical"/>
    <x v="0"/>
    <n v="1100"/>
    <n v="-52479.01"/>
    <n v="-55478"/>
    <n v="-75496"/>
    <n v="-82499"/>
    <n v="-81358"/>
    <n v="-65639"/>
    <n v="-70077"/>
    <n v="-49570"/>
    <n v="-59714"/>
    <n v="-71937"/>
    <n v="-78009"/>
    <n v="-70840"/>
    <n v="-813096.01"/>
    <n v="-14958.830000000002"/>
  </r>
  <r>
    <x v="1"/>
    <x v="6"/>
    <x v="0"/>
    <s v="8328107"/>
    <n v="400040"/>
    <s v="Physician Svcs Rev--Medicaid"/>
    <s v="Family Med Residency-Clinical"/>
    <x v="0"/>
    <n v="1200"/>
    <n v="-70821.8"/>
    <n v="-118994"/>
    <n v="-98021.05"/>
    <n v="-99187.51"/>
    <n v="-88155.49"/>
    <n v="-77616.09"/>
    <n v="-97894.91"/>
    <n v="-68116.12"/>
    <n v="-61559.45"/>
    <n v="-87857.88"/>
    <n v="-98518"/>
    <n v="-83559.17"/>
    <n v="-1050301.47"/>
    <n v="777.65999999999985"/>
  </r>
  <r>
    <x v="1"/>
    <x v="6"/>
    <x v="0"/>
    <s v="8328107"/>
    <n v="400040"/>
    <s v="Physician Svcs Rev--Comm Insurance"/>
    <s v="Family Med Residency-Clinical"/>
    <x v="0"/>
    <n v="1300"/>
    <n v="-12119.85"/>
    <n v="-11440.57"/>
    <n v="-14314.04"/>
    <n v="-16006.09"/>
    <n v="-19029.57"/>
    <n v="-16349.83"/>
    <n v="-11386.56"/>
    <n v="-13712.53"/>
    <n v="-7925.12"/>
    <n v="-12996.08"/>
    <n v="-14228.57"/>
    <n v="-15006.23"/>
    <n v="-164515.04"/>
    <n v="-10857.41"/>
  </r>
  <r>
    <x v="1"/>
    <x v="6"/>
    <x v="0"/>
    <s v="8328107"/>
    <n v="400040"/>
    <s v="Physician Svcs Rev--BCBS Comm"/>
    <s v="Family Med Residency-Clinical"/>
    <x v="0"/>
    <n v="1301"/>
    <n v="-12358"/>
    <n v="-26373"/>
    <n v="-16221.57"/>
    <n v="-24933.42"/>
    <n v="-30307.85"/>
    <n v="-14774.6"/>
    <n v="-19223.330000000002"/>
    <n v="-19664.7"/>
    <n v="-10215.91"/>
    <n v="-25040.57"/>
    <n v="-26939.41"/>
    <n v="-16082"/>
    <n v="-242134.36000000004"/>
    <n v="-8624.5800000000017"/>
  </r>
  <r>
    <x v="1"/>
    <x v="6"/>
    <x v="0"/>
    <s v="8328107"/>
    <n v="400040"/>
    <s v="Physician Svcs Rev--Managed Care"/>
    <s v="Family Med Residency-Clinical"/>
    <x v="0"/>
    <n v="1400"/>
    <n v="-58162.55"/>
    <n v="-69965.25"/>
    <n v="-53640.82"/>
    <n v="-111002.72"/>
    <n v="-100424.49"/>
    <n v="-96700.45"/>
    <n v="-84089.61"/>
    <n v="-58303.33"/>
    <n v="-80326.350000000006"/>
    <n v="-70331.600000000006"/>
    <n v="-97130.51"/>
    <n v="-88505.93"/>
    <n v="-968583.60999999987"/>
    <n v="1261.08"/>
  </r>
  <r>
    <x v="1"/>
    <x v="6"/>
    <x v="0"/>
    <s v="8328107"/>
    <n v="400040"/>
    <s v="Physician Svcs Rev--Self Pay"/>
    <s v="Family Med Residency-Clinical"/>
    <x v="0"/>
    <n v="1500"/>
    <n v="-2431.44"/>
    <n v="-3238"/>
    <n v="-1548"/>
    <n v="-3278.76"/>
    <n v="-79.8"/>
    <n v="-3185"/>
    <n v="-2649.88"/>
    <n v="-2141"/>
    <n v="-1494"/>
    <n v="-5102"/>
    <n v="-2539"/>
    <n v="-3800.08"/>
    <n v="-31486.959999999999"/>
    <n v="17192.460000000006"/>
  </r>
  <r>
    <x v="1"/>
    <x v="6"/>
    <x v="0"/>
    <s v="8328107"/>
    <n v="400040"/>
    <s v="Physician Svcs Rev--Other"/>
    <s v="Family Med Residency-Clinical"/>
    <x v="0"/>
    <n v="1700"/>
    <n v="-53130.26"/>
    <n v="-69900.2"/>
    <n v="-62557.51"/>
    <n v="-72427.5"/>
    <n v="-55101.599999999999"/>
    <n v="-67805.22"/>
    <n v="-70173.2"/>
    <n v="-42393.59"/>
    <n v="-45555.040000000001"/>
    <n v="-38500.69"/>
    <n v="-48758.64"/>
    <n v="-65951.100000000006"/>
    <n v="-692254.55"/>
    <n v="41.100000000000023"/>
  </r>
  <r>
    <x v="2"/>
    <x v="6"/>
    <x v="0"/>
    <s v="8328107"/>
    <n v="450029"/>
    <s v="Contr Allow--MD Other-Medicare"/>
    <s v="Family Med Residency-Clinical"/>
    <x v="0"/>
    <n v="1100"/>
    <n v="74.760000000000005"/>
    <n v="135.72999999999999"/>
    <n v="123.35"/>
    <n v="212.52"/>
    <n v="168.43"/>
    <n v="404.72"/>
    <n v="288.41000000000003"/>
    <n v="319.68"/>
    <n v="340.01"/>
    <n v="124.67"/>
    <n v="330.17"/>
    <n v="289.07"/>
    <n v="2811.5200000000004"/>
    <n v="-228.78999999999996"/>
  </r>
  <r>
    <x v="2"/>
    <x v="6"/>
    <x v="0"/>
    <s v="8328107"/>
    <n v="450029"/>
    <s v="Contr Allow--MD Other-Medicaid"/>
    <s v="Family Med Residency-Clinical"/>
    <x v="0"/>
    <n v="1200"/>
    <n v="530.20000000000005"/>
    <n v="298.07"/>
    <n v="1018.46"/>
    <n v="952.07"/>
    <n v="351.93"/>
    <n v="792.28"/>
    <n v="442.12"/>
    <n v="1876.99"/>
    <n v="882.5"/>
    <n v="1045.79"/>
    <n v="817.75"/>
    <n v="1046.54"/>
    <n v="10054.700000000001"/>
    <n v="-72.670000000000016"/>
  </r>
  <r>
    <x v="2"/>
    <x v="6"/>
    <x v="0"/>
    <s v="8328107"/>
    <n v="450029"/>
    <s v="Contr Allow--MD Other-Comm Insurance"/>
    <s v="Family Med Residency-Clinical"/>
    <x v="0"/>
    <n v="1300"/>
    <n v="214.42"/>
    <n v="30.41"/>
    <n v="74.62"/>
    <n v="131.79"/>
    <n v="62.27"/>
    <n v="103.71"/>
    <n v="188.47"/>
    <n v="46.06"/>
    <n v="189.62"/>
    <n v="56.82"/>
    <n v="60.19"/>
    <n v="132.86000000000001"/>
    <n v="1291.2399999999998"/>
    <n v="-228.28000000000003"/>
  </r>
  <r>
    <x v="2"/>
    <x v="6"/>
    <x v="0"/>
    <s v="8328107"/>
    <n v="450029"/>
    <s v="Contr Allow--MD Other BCBS Comm"/>
    <s v="Family Med Residency-Clinical"/>
    <x v="0"/>
    <n v="1301"/>
    <n v="515.26"/>
    <n v="114.5"/>
    <n v="113.92"/>
    <n v="0"/>
    <n v="181.99"/>
    <n v="46.27"/>
    <n v="418.98"/>
    <n v="336.09"/>
    <n v="85.45"/>
    <n v="65.540000000000006"/>
    <n v="271.51"/>
    <n v="499.79"/>
    <n v="2649.3"/>
    <n v="-94.600000000000023"/>
  </r>
  <r>
    <x v="2"/>
    <x v="6"/>
    <x v="0"/>
    <s v="8328107"/>
    <n v="450029"/>
    <s v="Contr Allow--MD Other-Managed Care"/>
    <s v="Family Med Residency-Clinical"/>
    <x v="0"/>
    <n v="1400"/>
    <n v="332.55"/>
    <n v="664.96"/>
    <n v="515.42999999999995"/>
    <n v="639.02"/>
    <n v="506.16"/>
    <n v="484.55"/>
    <n v="645.75"/>
    <n v="396.09"/>
    <n v="536.20000000000005"/>
    <n v="631.1"/>
    <n v="860.85"/>
    <n v="955.45"/>
    <n v="7168.1100000000006"/>
    <n v="-11.67"/>
  </r>
  <r>
    <x v="2"/>
    <x v="6"/>
    <x v="0"/>
    <s v="8328107"/>
    <n v="450029"/>
    <s v="Admin Adjust-MD Other-Self Pay"/>
    <s v="Family Med Residency-Clinical"/>
    <x v="0"/>
    <n v="1600"/>
    <n v="26.41"/>
    <n v="115.61"/>
    <n v="3.33"/>
    <n v="241.22"/>
    <n v="0.65"/>
    <n v="140.80000000000001"/>
    <n v="35.29"/>
    <n v="-57.25"/>
    <n v="11.8"/>
    <n v="8.8800000000000008"/>
    <n v="-3.73"/>
    <n v="7.94"/>
    <n v="530.94999999999993"/>
    <n v="685.72"/>
  </r>
  <r>
    <x v="2"/>
    <x v="6"/>
    <x v="0"/>
    <s v="8328107"/>
    <n v="450029"/>
    <s v="Contr Allow--MD Other-Other"/>
    <s v="Family Med Residency-Clinical"/>
    <x v="0"/>
    <n v="1700"/>
    <n v="793.14"/>
    <n v="1289.3800000000001"/>
    <n v="717.69"/>
    <n v="1315.08"/>
    <n v="726.66"/>
    <n v="333.02"/>
    <n v="1658.17"/>
    <n v="571.72"/>
    <n v="1028.71"/>
    <n v="1554.3"/>
    <n v="1730.79"/>
    <n v="1045.07"/>
    <n v="12763.73"/>
    <n v="-1049.0999999999985"/>
  </r>
  <r>
    <x v="2"/>
    <x v="6"/>
    <x v="0"/>
    <s v="8328107"/>
    <n v="450040"/>
    <s v="Contr Allow--Phys Svcs--Mcare"/>
    <s v="Family Med Residency-Clinical"/>
    <x v="0"/>
    <n v="1100"/>
    <n v="33058.04"/>
    <n v="36077.519999999997"/>
    <n v="49524.29"/>
    <n v="52781.120000000003"/>
    <n v="53040.72"/>
    <n v="43247.57"/>
    <n v="38184.33"/>
    <n v="25074.42"/>
    <n v="37893.360000000001"/>
    <n v="46512.17"/>
    <n v="46348.01"/>
    <n v="47397.11"/>
    <n v="509138.66"/>
    <n v="9211"/>
  </r>
  <r>
    <x v="2"/>
    <x v="6"/>
    <x v="0"/>
    <s v="8328107"/>
    <n v="450040"/>
    <s v="Contr Allow--Phys Svcs--Mcaid"/>
    <s v="Family Med Residency-Clinical"/>
    <x v="0"/>
    <n v="1200"/>
    <n v="52857.05"/>
    <n v="88791.25"/>
    <n v="70823.839999999997"/>
    <n v="74503.3"/>
    <n v="66360.38"/>
    <n v="53499.11"/>
    <n v="70174.62"/>
    <n v="49593.65"/>
    <n v="44737.03"/>
    <n v="58693.31"/>
    <n v="71122.25"/>
    <n v="61911.25"/>
    <n v="763067.04"/>
    <n v="15992.2"/>
  </r>
  <r>
    <x v="2"/>
    <x v="6"/>
    <x v="0"/>
    <s v="8328107"/>
    <n v="450040"/>
    <s v="Contr Allow--Phys Svcs--Comm Insurance"/>
    <s v="Family Med Residency-Clinical"/>
    <x v="0"/>
    <n v="1300"/>
    <n v="11012.58"/>
    <n v="4290.51"/>
    <n v="4470.2299999999996"/>
    <n v="35423.35"/>
    <n v="8303.4500000000007"/>
    <n v="14574.41"/>
    <n v="9271.57"/>
    <n v="-7775.74"/>
    <n v="-6758.32"/>
    <n v="1728.66"/>
    <n v="22706.48"/>
    <n v="6714.28"/>
    <n v="103961.46"/>
    <n v="8688.25"/>
  </r>
  <r>
    <x v="2"/>
    <x v="6"/>
    <x v="0"/>
    <s v="8328107"/>
    <n v="450040"/>
    <s v="Contr Allow--Phys Svcs--BCBS Comm Ins"/>
    <s v="Family Med Residency-Clinical"/>
    <x v="0"/>
    <n v="1301"/>
    <n v="11708.29"/>
    <n v="9893.4699999999993"/>
    <n v="10671.32"/>
    <n v="5085.29"/>
    <n v="18462.8"/>
    <n v="12757.88"/>
    <n v="11063.11"/>
    <n v="8519.59"/>
    <n v="8298.36"/>
    <n v="7587.13"/>
    <n v="16759.66"/>
    <n v="8071.41"/>
    <n v="128878.31000000001"/>
    <n v="-10674.650000000001"/>
  </r>
  <r>
    <x v="2"/>
    <x v="6"/>
    <x v="0"/>
    <s v="8328107"/>
    <n v="450040"/>
    <s v="Contr Allow--Phys Svcs--Managed Care"/>
    <s v="Family Med Residency-Clinical"/>
    <x v="0"/>
    <n v="1400"/>
    <n v="23904.12"/>
    <n v="34605.39"/>
    <n v="23993.14"/>
    <n v="39313.050000000003"/>
    <n v="52887.46"/>
    <n v="37247.01"/>
    <n v="38940.36"/>
    <n v="37282.44"/>
    <n v="35100.639999999999"/>
    <n v="37395.410000000003"/>
    <n v="35108.39"/>
    <n v="45783.040000000001"/>
    <n v="441560.45"/>
    <n v="0"/>
  </r>
  <r>
    <x v="2"/>
    <x v="6"/>
    <x v="0"/>
    <s v="8328107"/>
    <n v="450040"/>
    <s v="Prompt Pay Disc-Phys Svcs-Self Pay"/>
    <s v="Family Med Residency-Clinical"/>
    <x v="0"/>
    <n v="1500"/>
    <n v="0"/>
    <n v="0"/>
    <n v="0"/>
    <n v="196.83"/>
    <n v="0"/>
    <n v="0"/>
    <n v="0"/>
    <n v="0"/>
    <n v="0"/>
    <n v="90.72"/>
    <n v="0"/>
    <n v="0"/>
    <n v="287.55"/>
    <n v="-763.04"/>
  </r>
  <r>
    <x v="2"/>
    <x v="6"/>
    <x v="0"/>
    <s v="8328107"/>
    <n v="450040"/>
    <s v="Admin Adjust-Phys Svcs-Self Pay"/>
    <s v="Family Med Residency-Clinical"/>
    <x v="0"/>
    <n v="1600"/>
    <n v="1008.22"/>
    <n v="1852.05"/>
    <n v="960.68"/>
    <n v="1805.53"/>
    <n v="103.43"/>
    <n v="1074.6500000000001"/>
    <n v="25104.68"/>
    <n v="5653.66"/>
    <n v="3144"/>
    <n v="9865.92"/>
    <n v="839.81"/>
    <n v="1602.85"/>
    <n v="53015.479999999989"/>
    <n v="-9316.73"/>
  </r>
  <r>
    <x v="2"/>
    <x v="6"/>
    <x v="0"/>
    <s v="8328107"/>
    <n v="450040"/>
    <s v="Contr Allow--Phys Svcs--Other"/>
    <s v="Family Med Residency-Clinical"/>
    <x v="0"/>
    <n v="1700"/>
    <n v="28594.720000000001"/>
    <n v="44833.91"/>
    <n v="43924.7"/>
    <n v="44695.8"/>
    <n v="30131.31"/>
    <n v="38449.730000000003"/>
    <n v="43844.67"/>
    <n v="33343.1"/>
    <n v="42497.29"/>
    <n v="29983.79"/>
    <n v="27379.74"/>
    <n v="36696.47"/>
    <n v="444375.23"/>
    <n v="-1141.2199999999998"/>
  </r>
  <r>
    <x v="3"/>
    <x v="6"/>
    <x v="0"/>
    <s v="8328107"/>
    <n v="470040"/>
    <s v="Charity Care-Physician Svcs"/>
    <s v="Family Med Residency-Clinical"/>
    <x v="0"/>
    <m/>
    <n v="-359.21"/>
    <n v="-645.53"/>
    <n v="-575.69000000000005"/>
    <n v="-22.5"/>
    <n v="-110.14"/>
    <n v="668.38"/>
    <n v="1036.76"/>
    <n v="1961.82"/>
    <n v="341.3"/>
    <n v="2609.92"/>
    <n v="2488.84"/>
    <n v="3630.06"/>
    <n v="11024.01"/>
    <n v="-1372.3599999999997"/>
  </r>
  <r>
    <x v="4"/>
    <x v="6"/>
    <x v="0"/>
    <s v="8328107"/>
    <n v="490010"/>
    <s v="Provision for Bad Debts"/>
    <s v="Family Med Residency-Clinical"/>
    <x v="0"/>
    <m/>
    <n v="2444.0500000000002"/>
    <n v="5121.51"/>
    <n v="9879.2800000000007"/>
    <n v="979.97"/>
    <n v="2536.42"/>
    <n v="6324.58"/>
    <n v="3445.96"/>
    <n v="6462.36"/>
    <n v="-374.46"/>
    <n v="1832.16"/>
    <n v="978.32"/>
    <n v="2350.6799999999998"/>
    <n v="41980.830000000009"/>
    <n v="24000"/>
  </r>
  <r>
    <x v="14"/>
    <x v="6"/>
    <x v="0"/>
    <s v="8328107"/>
    <n v="600055"/>
    <s v="Grants"/>
    <s v="Family Med Residency-Clinical"/>
    <x v="0"/>
    <m/>
    <n v="0"/>
    <n v="0"/>
    <n v="0"/>
    <n v="0"/>
    <n v="0"/>
    <n v="0"/>
    <n v="0"/>
    <n v="0"/>
    <n v="0"/>
    <n v="0"/>
    <n v="0"/>
    <n v="-24000"/>
    <n v="-24000"/>
    <n v="1697.56"/>
  </r>
  <r>
    <x v="5"/>
    <x v="6"/>
    <x v="0"/>
    <s v="8328107"/>
    <n v="700014"/>
    <s v="Salaries-Management-Productive"/>
    <s v="Family Med Residency-Clinical"/>
    <x v="0"/>
    <m/>
    <n v="0"/>
    <n v="0"/>
    <n v="0"/>
    <n v="0"/>
    <n v="0"/>
    <n v="0"/>
    <n v="0"/>
    <n v="0"/>
    <n v="0"/>
    <n v="0"/>
    <n v="3796.67"/>
    <n v="2099.11"/>
    <n v="5895.7800000000007"/>
    <n v="1340.1400000000003"/>
  </r>
  <r>
    <x v="5"/>
    <x v="6"/>
    <x v="0"/>
    <s v="8328107"/>
    <n v="700018"/>
    <s v="Salaries-Supervisory-Productive"/>
    <s v="Family Med Residency-Clinical"/>
    <x v="0"/>
    <m/>
    <n v="5740.97"/>
    <n v="4704.12"/>
    <n v="5296.83"/>
    <n v="4075.7"/>
    <n v="5378.01"/>
    <n v="5813.74"/>
    <n v="5652.06"/>
    <n v="379.43"/>
    <n v="0"/>
    <n v="4709.0600000000004"/>
    <n v="6520.33"/>
    <n v="5180.1899999999996"/>
    <n v="53450.439999999995"/>
    <n v="0"/>
  </r>
  <r>
    <x v="5"/>
    <x v="6"/>
    <x v="0"/>
    <s v="8328107"/>
    <n v="700018"/>
    <s v="Salaries-Supervisory-Other"/>
    <s v="Family Med Residency-Clinical"/>
    <x v="0"/>
    <n v="2000"/>
    <n v="30"/>
    <n v="0"/>
    <n v="0"/>
    <n v="0"/>
    <n v="0"/>
    <n v="0"/>
    <n v="0"/>
    <n v="0"/>
    <n v="0"/>
    <n v="30.04"/>
    <n v="0"/>
    <n v="0"/>
    <n v="60.04"/>
    <n v="2898.0400000000081"/>
  </r>
  <r>
    <x v="5"/>
    <x v="6"/>
    <x v="0"/>
    <s v="8328107"/>
    <n v="700022"/>
    <s v="Salaries-Physician-Productive"/>
    <s v="Family Med Residency-Clinical"/>
    <x v="0"/>
    <m/>
    <n v="50049.78"/>
    <n v="52648.97"/>
    <n v="38828.26"/>
    <n v="54377.46"/>
    <n v="51463.23"/>
    <n v="158351.23000000001"/>
    <n v="55365.2"/>
    <n v="67984.86"/>
    <n v="71480.44"/>
    <n v="66681.399999999994"/>
    <n v="74715.210000000006"/>
    <n v="71817.17"/>
    <n v="813763.2100000002"/>
    <n v="198.94999999999982"/>
  </r>
  <r>
    <x v="5"/>
    <x v="6"/>
    <x v="0"/>
    <s v="8328107"/>
    <n v="700026"/>
    <s v="Salaries-RN-Productive"/>
    <s v="Family Med Residency-Clinical"/>
    <x v="0"/>
    <m/>
    <n v="4281.79"/>
    <n v="4781.4399999999996"/>
    <n v="5332.2"/>
    <n v="3371.67"/>
    <n v="5127.1000000000004"/>
    <n v="4102.16"/>
    <n v="2480.94"/>
    <n v="2291.31"/>
    <n v="2661.13"/>
    <n v="2631.72"/>
    <n v="2890.02"/>
    <n v="2691.07"/>
    <n v="42642.549999999996"/>
    <n v="0"/>
  </r>
  <r>
    <x v="5"/>
    <x v="6"/>
    <x v="0"/>
    <s v="8328107"/>
    <n v="700026"/>
    <s v="Salaries-RN-OT"/>
    <s v="Family Med Residency-Clinical"/>
    <x v="0"/>
    <n v="1000"/>
    <n v="56.97"/>
    <n v="83.79"/>
    <n v="338.49"/>
    <n v="-80.430000000000007"/>
    <n v="71.489999999999995"/>
    <n v="0.87"/>
    <n v="0"/>
    <n v="0"/>
    <n v="0"/>
    <n v="0"/>
    <n v="0"/>
    <n v="0"/>
    <n v="471.18"/>
    <n v="46.639999999999418"/>
  </r>
  <r>
    <x v="5"/>
    <x v="6"/>
    <x v="0"/>
    <s v="8328107"/>
    <n v="700030"/>
    <s v="Salaries-LPN-Productive"/>
    <s v="Family Med Residency-Clinical"/>
    <x v="0"/>
    <m/>
    <n v="8255.1299999999992"/>
    <n v="9473.0499999999993"/>
    <n v="7263.85"/>
    <n v="8368.39"/>
    <n v="9208.73"/>
    <n v="8718.43"/>
    <n v="8307.98"/>
    <n v="8546.36"/>
    <n v="15069.34"/>
    <n v="11310.27"/>
    <n v="11783.4"/>
    <n v="11736.76"/>
    <n v="118041.68999999999"/>
    <n v="455.25"/>
  </r>
  <r>
    <x v="5"/>
    <x v="6"/>
    <x v="0"/>
    <s v="8328107"/>
    <n v="700030"/>
    <s v="Salaries-LPN-OT"/>
    <s v="Family Med Residency-Clinical"/>
    <x v="0"/>
    <n v="1000"/>
    <n v="82.21"/>
    <n v="108.5"/>
    <n v="211.36"/>
    <n v="-43.67"/>
    <n v="112.92"/>
    <n v="181.97"/>
    <n v="242.68"/>
    <n v="171.64"/>
    <n v="400.47"/>
    <n v="279.8"/>
    <n v="343.59"/>
    <n v="-111.66"/>
    <n v="1979.8100000000002"/>
    <n v="-3.94"/>
  </r>
  <r>
    <x v="5"/>
    <x v="6"/>
    <x v="0"/>
    <s v="8328107"/>
    <n v="700030"/>
    <s v="Salaries-LPN-Other"/>
    <s v="Family Med Residency-Clinical"/>
    <x v="0"/>
    <n v="2000"/>
    <n v="0"/>
    <n v="0"/>
    <n v="0"/>
    <n v="0"/>
    <n v="0"/>
    <n v="0"/>
    <n v="30.05"/>
    <n v="-0.01"/>
    <n v="15.44"/>
    <n v="5.1100000000000003"/>
    <n v="-3.94"/>
    <n v="0"/>
    <n v="46.65"/>
    <n v="3809.9600000000028"/>
  </r>
  <r>
    <x v="5"/>
    <x v="6"/>
    <x v="0"/>
    <s v="8328107"/>
    <n v="700032"/>
    <s v="Salaries-Other Pat Care Providers-Productive"/>
    <s v="Family Med Residency-Clinical"/>
    <x v="0"/>
    <m/>
    <n v="33908.67"/>
    <n v="33719.29"/>
    <n v="32851.46"/>
    <n v="32257.759999999998"/>
    <n v="30390.25"/>
    <n v="30189.91"/>
    <n v="39046.51"/>
    <n v="29528.57"/>
    <n v="36398.78"/>
    <n v="35816.660000000003"/>
    <n v="34163.370000000003"/>
    <n v="30353.41"/>
    <n v="398624.63999999996"/>
    <n v="330.2"/>
  </r>
  <r>
    <x v="5"/>
    <x v="6"/>
    <x v="0"/>
    <s v="8328107"/>
    <n v="700032"/>
    <s v="Salaries-Other Pat Care Providers-OT"/>
    <s v="Family Med Residency-Clinical"/>
    <x v="0"/>
    <n v="1000"/>
    <n v="563.65"/>
    <n v="615.41999999999996"/>
    <n v="329.6"/>
    <n v="269.42"/>
    <n v="881.75"/>
    <n v="29.68"/>
    <n v="663.23"/>
    <n v="146.11000000000001"/>
    <n v="713.38"/>
    <n v="276.76"/>
    <n v="316"/>
    <n v="-14.2"/>
    <n v="4790.8"/>
    <n v="23.04"/>
  </r>
  <r>
    <x v="5"/>
    <x v="6"/>
    <x v="0"/>
    <s v="8328107"/>
    <n v="700032"/>
    <s v="Salaries-Other Pat Care Providers-Other"/>
    <s v="Family Med Residency-Clinical"/>
    <x v="0"/>
    <n v="2000"/>
    <n v="0"/>
    <n v="63.58"/>
    <n v="0"/>
    <n v="0"/>
    <n v="0"/>
    <n v="60"/>
    <n v="0"/>
    <n v="0"/>
    <n v="6.81"/>
    <n v="0"/>
    <n v="24.15"/>
    <n v="1.1100000000000001"/>
    <n v="155.65"/>
    <n v="476.46999999999935"/>
  </r>
  <r>
    <x v="5"/>
    <x v="6"/>
    <x v="0"/>
    <s v="8328107"/>
    <n v="700034"/>
    <s v="Salaries-Tech/Professional-Productive"/>
    <s v="Family Med Residency-Clinical"/>
    <x v="0"/>
    <m/>
    <n v="4605.53"/>
    <n v="5868.57"/>
    <n v="5311.54"/>
    <n v="3272.89"/>
    <n v="5196.2299999999996"/>
    <n v="3825.98"/>
    <n v="5833.27"/>
    <n v="3984.02"/>
    <n v="6195.22"/>
    <n v="4917.8999999999996"/>
    <n v="5375.57"/>
    <n v="4899.1000000000004"/>
    <n v="59285.819999999992"/>
    <n v="-1341.8700000000008"/>
  </r>
  <r>
    <x v="5"/>
    <x v="6"/>
    <x v="0"/>
    <s v="8328107"/>
    <n v="700038"/>
    <s v="Salaries-Service/Support-Productive"/>
    <s v="Family Med Residency-Clinical"/>
    <x v="0"/>
    <m/>
    <n v="8850.7999999999993"/>
    <n v="7980.85"/>
    <n v="12352.39"/>
    <n v="13085.21"/>
    <n v="11376.8"/>
    <n v="8960.85"/>
    <n v="12324.82"/>
    <n v="8007.11"/>
    <n v="10370.6"/>
    <n v="8046.51"/>
    <n v="9837.32"/>
    <n v="11179.19"/>
    <n v="122372.45000000001"/>
    <n v="455.69000000000005"/>
  </r>
  <r>
    <x v="5"/>
    <x v="6"/>
    <x v="0"/>
    <s v="8328107"/>
    <n v="700038"/>
    <s v="Salaries-Service/Support-OT"/>
    <s v="Family Med Residency-Clinical"/>
    <x v="0"/>
    <n v="1000"/>
    <n v="206.32"/>
    <n v="81.19"/>
    <n v="351.22"/>
    <n v="1.85"/>
    <n v="-8.57"/>
    <n v="121.21"/>
    <n v="49.46"/>
    <n v="107.85"/>
    <n v="323.86"/>
    <n v="154.38999999999999"/>
    <n v="301.11"/>
    <n v="-154.58000000000001"/>
    <n v="1535.3100000000004"/>
    <n v="-30.04"/>
  </r>
  <r>
    <x v="5"/>
    <x v="6"/>
    <x v="0"/>
    <s v="8328107"/>
    <n v="700038"/>
    <s v="Salaries-Service/Support-Other"/>
    <s v="Family Med Residency-Clinical"/>
    <x v="0"/>
    <n v="2000"/>
    <n v="-440.74"/>
    <n v="0"/>
    <n v="30"/>
    <n v="0"/>
    <n v="3.4"/>
    <n v="0"/>
    <n v="0"/>
    <n v="0"/>
    <n v="0"/>
    <n v="0"/>
    <n v="0"/>
    <n v="30.04"/>
    <n v="-377.3"/>
    <n v="-1159.07"/>
  </r>
  <r>
    <x v="5"/>
    <x v="6"/>
    <x v="0"/>
    <s v="8328107"/>
    <n v="700058"/>
    <s v="Salaries-Supervisory-Non-productive"/>
    <s v="Family Med Residency-Clinical"/>
    <x v="0"/>
    <m/>
    <n v="0"/>
    <n v="1037.1199999999999"/>
    <n v="259.27999999999997"/>
    <n v="1769.82"/>
    <n v="302.98"/>
    <n v="56.81"/>
    <n v="227.66"/>
    <n v="0"/>
    <n v="0"/>
    <n v="2173.35"/>
    <n v="-905.49"/>
    <n v="253.58"/>
    <n v="5175.1099999999997"/>
    <n v="0"/>
  </r>
  <r>
    <x v="5"/>
    <x v="6"/>
    <x v="0"/>
    <s v="8328107"/>
    <n v="700058"/>
    <s v="Salaries-Supervisory-NonProd-Other"/>
    <s v="Family Med Residency-Clinical"/>
    <x v="0"/>
    <n v="2000"/>
    <n v="0"/>
    <n v="0"/>
    <n v="0"/>
    <n v="0"/>
    <n v="443.84"/>
    <n v="0"/>
    <n v="0"/>
    <n v="-443.84"/>
    <n v="0"/>
    <n v="0"/>
    <n v="0"/>
    <n v="0"/>
    <n v="0"/>
    <n v="0"/>
  </r>
  <r>
    <x v="5"/>
    <x v="6"/>
    <x v="0"/>
    <s v="8328107"/>
    <n v="700062"/>
    <s v="Salaries-Physician-Non-productive"/>
    <s v="Family Med Residency-Clinical"/>
    <x v="0"/>
    <m/>
    <n v="4478.01"/>
    <n v="4460.99"/>
    <n v="1692.68"/>
    <n v="1686.82"/>
    <n v="1679.66"/>
    <n v="1673.54"/>
    <n v="0"/>
    <n v="0"/>
    <n v="0"/>
    <n v="0"/>
    <n v="0"/>
    <n v="0"/>
    <n v="15671.7"/>
    <n v="209.33"/>
  </r>
  <r>
    <x v="5"/>
    <x v="6"/>
    <x v="0"/>
    <s v="8328107"/>
    <n v="700064"/>
    <s v="Salaries-Advanced Practice Clinician-Non-Productive"/>
    <s v="Family Med Residency-Clinical"/>
    <x v="0"/>
    <m/>
    <n v="218.54"/>
    <n v="217.61"/>
    <n v="216.42"/>
    <n v="215.76"/>
    <n v="214.62"/>
    <n v="213.9"/>
    <n v="212.97"/>
    <n v="211.68"/>
    <n v="211.11"/>
    <n v="210.12"/>
    <n v="209.33"/>
    <n v="0"/>
    <n v="2352.06"/>
    <n v="-234.65999999999997"/>
  </r>
  <r>
    <x v="5"/>
    <x v="6"/>
    <x v="0"/>
    <s v="8328107"/>
    <n v="700066"/>
    <s v="Salaries-RN-Non-productive"/>
    <s v="Family Med Residency-Clinical"/>
    <x v="0"/>
    <m/>
    <n v="782"/>
    <n v="759.61"/>
    <n v="-47.99"/>
    <n v="500.48"/>
    <n v="128.63999999999999"/>
    <n v="1470.13"/>
    <n v="218.72"/>
    <n v="728.09"/>
    <n v="626.9"/>
    <n v="427.86"/>
    <n v="356.02"/>
    <n v="590.67999999999995"/>
    <n v="6541.1399999999994"/>
    <n v="0"/>
  </r>
  <r>
    <x v="5"/>
    <x v="6"/>
    <x v="0"/>
    <s v="8328107"/>
    <n v="700066"/>
    <s v="Salaries-RN-NonProd-Other"/>
    <s v="Family Med Residency-Clinical"/>
    <x v="0"/>
    <n v="2000"/>
    <n v="0"/>
    <n v="0"/>
    <n v="0"/>
    <n v="0"/>
    <n v="0"/>
    <n v="0"/>
    <n v="0"/>
    <n v="0"/>
    <n v="0"/>
    <n v="0"/>
    <n v="0"/>
    <n v="0"/>
    <n v="0"/>
    <n v="530.55000000000018"/>
  </r>
  <r>
    <x v="5"/>
    <x v="6"/>
    <x v="0"/>
    <s v="8328107"/>
    <n v="700070"/>
    <s v="Salaries-LPN-Non-productive"/>
    <s v="Family Med Residency-Clinical"/>
    <x v="0"/>
    <m/>
    <n v="2290.9299999999998"/>
    <n v="651.04999999999995"/>
    <n v="1188.96"/>
    <n v="2477.2199999999998"/>
    <n v="1110.76"/>
    <n v="1138.5999999999999"/>
    <n v="3740.66"/>
    <n v="3677.03"/>
    <n v="-40.51"/>
    <n v="2768.67"/>
    <n v="2153.8200000000002"/>
    <n v="1623.27"/>
    <n v="22780.460000000003"/>
    <n v="2978.3799999999997"/>
  </r>
  <r>
    <x v="5"/>
    <x v="6"/>
    <x v="0"/>
    <s v="8328107"/>
    <n v="700072"/>
    <s v="Salaries-Other Pat Care Providers-Non-productive"/>
    <s v="Family Med Residency-Clinical"/>
    <x v="0"/>
    <m/>
    <n v="2406.36"/>
    <n v="3430.07"/>
    <n v="3276.16"/>
    <n v="5880.74"/>
    <n v="6663.44"/>
    <n v="8195.69"/>
    <n v="3953.83"/>
    <n v="3799.01"/>
    <n v="2953.08"/>
    <n v="2643.49"/>
    <n v="5727.78"/>
    <n v="2749.4"/>
    <n v="51679.05"/>
    <n v="0"/>
  </r>
  <r>
    <x v="5"/>
    <x v="6"/>
    <x v="0"/>
    <s v="8328107"/>
    <n v="700072"/>
    <s v="Salaries-Other Pat Care Providers-NonProd-Other"/>
    <s v="Family Med Residency-Clinical"/>
    <x v="0"/>
    <n v="2000"/>
    <n v="0"/>
    <n v="0"/>
    <n v="0"/>
    <n v="0"/>
    <n v="341.97"/>
    <n v="0"/>
    <n v="0"/>
    <n v="-341.97"/>
    <n v="0"/>
    <n v="0"/>
    <n v="0"/>
    <n v="0"/>
    <n v="0"/>
    <n v="-285.91999999999996"/>
  </r>
  <r>
    <x v="5"/>
    <x v="6"/>
    <x v="0"/>
    <s v="8328107"/>
    <n v="700074"/>
    <s v="Salaries-Tech/Professional-Non-productive"/>
    <s v="Family Med Residency-Clinical"/>
    <x v="0"/>
    <m/>
    <n v="1151.3800000000001"/>
    <n v="-111.38"/>
    <n v="260"/>
    <n v="2600"/>
    <n v="513.9"/>
    <n v="2074.6799999999998"/>
    <n v="76.62"/>
    <n v="1353.4"/>
    <n v="-285.89999999999998"/>
    <n v="800.62"/>
    <n v="533.75"/>
    <n v="819.67"/>
    <n v="9786.7400000000016"/>
    <n v="-3222.41"/>
  </r>
  <r>
    <x v="5"/>
    <x v="6"/>
    <x v="0"/>
    <s v="8328107"/>
    <n v="700078"/>
    <s v="Salaries-Service/Support-Non-productive"/>
    <s v="Family Med Residency-Clinical"/>
    <x v="0"/>
    <m/>
    <n v="1695.04"/>
    <n v="1878.93"/>
    <n v="316.83"/>
    <n v="751.47"/>
    <n v="1630.58"/>
    <n v="3467.94"/>
    <n v="1000.33"/>
    <n v="2316.2600000000002"/>
    <n v="-157.87"/>
    <n v="1332.23"/>
    <n v="164.11"/>
    <n v="3386.52"/>
    <n v="17782.37"/>
    <n v="1698.2899999999997"/>
  </r>
  <r>
    <x v="5"/>
    <x v="6"/>
    <x v="0"/>
    <s v="8328107"/>
    <n v="700084"/>
    <s v="Accrued PTO"/>
    <s v="Family Med Residency-Clinical"/>
    <x v="0"/>
    <m/>
    <n v="245.74"/>
    <n v="264.23"/>
    <n v="1765.74"/>
    <n v="2038.09"/>
    <n v="1136.33"/>
    <n v="-6869.44"/>
    <n v="1759.49"/>
    <n v="-2079.2199999999998"/>
    <n v="4775.1499999999996"/>
    <n v="-177.09"/>
    <n v="2953.47"/>
    <n v="1255.18"/>
    <n v="7067.67"/>
    <n v="1585.42"/>
  </r>
  <r>
    <x v="6"/>
    <x v="6"/>
    <x v="0"/>
    <s v="8328107"/>
    <n v="713010"/>
    <s v="Benefits-FICA/Medicare"/>
    <s v="Family Med Residency-Clinical"/>
    <x v="0"/>
    <m/>
    <n v="7408.67"/>
    <n v="6228.11"/>
    <n v="6047.33"/>
    <n v="6507.28"/>
    <n v="6679.85"/>
    <n v="16113.92"/>
    <n v="10308.27"/>
    <n v="10484.6"/>
    <n v="10942.64"/>
    <n v="10663.6"/>
    <n v="11729.8"/>
    <n v="10144.379999999999"/>
    <n v="113258.45000000001"/>
    <n v="-3086.8299999999981"/>
  </r>
  <r>
    <x v="6"/>
    <x v="6"/>
    <x v="0"/>
    <s v="8328107"/>
    <n v="713090"/>
    <s v="Benefits-Allocated Amounts"/>
    <s v="Family Med Residency-Clinical"/>
    <x v="0"/>
    <m/>
    <n v="22933.02"/>
    <n v="20620.740000000002"/>
    <n v="21989.77"/>
    <n v="23443.55"/>
    <n v="26067.74"/>
    <n v="32556.21"/>
    <n v="26327.89"/>
    <n v="23899.25"/>
    <n v="21014.59"/>
    <n v="27641.64"/>
    <n v="27001.97"/>
    <n v="30088.799999999999"/>
    <n v="303585.17"/>
    <n v="0"/>
  </r>
  <r>
    <x v="7"/>
    <x v="6"/>
    <x v="0"/>
    <s v="8328107"/>
    <n v="718040"/>
    <s v="Contract Svcs-Laboratory"/>
    <s v="Family Med Residency-Clinical"/>
    <x v="0"/>
    <m/>
    <n v="185.4"/>
    <n v="0"/>
    <n v="0"/>
    <n v="0"/>
    <n v="0"/>
    <n v="0"/>
    <n v="0"/>
    <n v="0"/>
    <n v="0"/>
    <n v="0"/>
    <n v="0"/>
    <n v="0"/>
    <n v="185.4"/>
    <n v="-1192.6199999999999"/>
  </r>
  <r>
    <x v="7"/>
    <x v="6"/>
    <x v="0"/>
    <s v="8328107"/>
    <n v="718050"/>
    <s v="Contract Svcs-Other"/>
    <s v="Family Med Residency-Clinical"/>
    <x v="0"/>
    <m/>
    <n v="0"/>
    <n v="0"/>
    <n v="4.7699999999999996"/>
    <n v="86.22"/>
    <n v="0"/>
    <n v="0"/>
    <n v="209.17"/>
    <n v="132"/>
    <n v="1233.4000000000001"/>
    <n v="187.42"/>
    <n v="0"/>
    <n v="1192.6199999999999"/>
    <n v="3045.6"/>
    <n v="16.34"/>
  </r>
  <r>
    <x v="7"/>
    <x v="6"/>
    <x v="0"/>
    <s v="8328107"/>
    <n v="718050"/>
    <s v="Miscellaneous Purchased Svcs"/>
    <s v="Family Med Residency-Clinical"/>
    <x v="0"/>
    <n v="1020"/>
    <n v="0"/>
    <n v="172.14"/>
    <n v="0"/>
    <n v="0"/>
    <n v="713.28"/>
    <n v="0"/>
    <n v="0"/>
    <n v="1062.3800000000001"/>
    <n v="580"/>
    <n v="0"/>
    <n v="0"/>
    <n v="-16.34"/>
    <n v="2511.46"/>
    <n v="-122.00999999999999"/>
  </r>
  <r>
    <x v="7"/>
    <x v="6"/>
    <x v="0"/>
    <s v="8328107"/>
    <n v="718050"/>
    <s v="Contract Management--Linen"/>
    <s v="Family Med Residency-Clinical"/>
    <x v="0"/>
    <n v="1026"/>
    <n v="475.52"/>
    <n v="479.04"/>
    <n v="356.64"/>
    <n v="356.64"/>
    <n v="237.76"/>
    <n v="475.52"/>
    <n v="597.02"/>
    <n v="243"/>
    <n v="938.86"/>
    <n v="105.12"/>
    <n v="331.74"/>
    <n v="453.75"/>
    <n v="5050.6099999999997"/>
    <n v="8724.9"/>
  </r>
  <r>
    <x v="11"/>
    <x v="6"/>
    <x v="0"/>
    <s v="8328107"/>
    <n v="721010"/>
    <s v="Supplies-Medical - Billable"/>
    <s v="Family Med Residency-Clinical"/>
    <x v="0"/>
    <m/>
    <n v="0"/>
    <n v="8479"/>
    <n v="13561.6"/>
    <n v="4239.5"/>
    <n v="7841.9"/>
    <n v="1356.16"/>
    <n v="5424.64"/>
    <n v="0"/>
    <n v="0"/>
    <n v="0"/>
    <n v="8724.9"/>
    <n v="0"/>
    <n v="49627.700000000004"/>
    <n v="-8.269999999999996"/>
  </r>
  <r>
    <x v="11"/>
    <x v="6"/>
    <x v="0"/>
    <s v="8328107"/>
    <n v="721220"/>
    <s v="Supplies-Medical Gases - Billable"/>
    <s v="Family Med Residency-Clinical"/>
    <x v="0"/>
    <m/>
    <n v="102.86"/>
    <n v="102.86"/>
    <n v="0"/>
    <n v="218.98"/>
    <n v="61.95"/>
    <n v="0"/>
    <n v="0"/>
    <n v="40.67"/>
    <n v="173.07"/>
    <n v="56.8"/>
    <n v="116.72"/>
    <n v="124.99"/>
    <n v="998.89999999999986"/>
    <n v="3.15"/>
  </r>
  <r>
    <x v="11"/>
    <x v="6"/>
    <x v="0"/>
    <s v="8328107"/>
    <n v="721250"/>
    <s v="Supplies-Pharmacy Drugs - Billable"/>
    <s v="Family Med Residency-Clinical"/>
    <x v="0"/>
    <m/>
    <n v="0"/>
    <n v="0"/>
    <n v="0"/>
    <n v="2723.4"/>
    <n v="2723.4"/>
    <n v="2897.67"/>
    <n v="97.5"/>
    <n v="493.52"/>
    <n v="0"/>
    <n v="15.2"/>
    <n v="3.15"/>
    <n v="0"/>
    <n v="8953.840000000002"/>
    <n v="0"/>
  </r>
  <r>
    <x v="11"/>
    <x v="6"/>
    <x v="0"/>
    <s v="8328107"/>
    <n v="721410"/>
    <s v="Supplies-Medical - Nonbillable"/>
    <s v="Family Med Residency-Clinical"/>
    <x v="0"/>
    <m/>
    <n v="0"/>
    <n v="0"/>
    <n v="0"/>
    <n v="0"/>
    <n v="0"/>
    <n v="0"/>
    <n v="600"/>
    <n v="0"/>
    <n v="0"/>
    <n v="0"/>
    <n v="0"/>
    <n v="0"/>
    <n v="600"/>
    <n v="151.80000000000001"/>
  </r>
  <r>
    <x v="11"/>
    <x v="6"/>
    <x v="0"/>
    <s v="8328107"/>
    <n v="721810"/>
    <s v="Supplies-Dietary/Cafeteria"/>
    <s v="Family Med Residency-Clinical"/>
    <x v="0"/>
    <m/>
    <n v="166.95"/>
    <n v="325.98"/>
    <n v="229.1"/>
    <n v="0"/>
    <n v="0"/>
    <n v="0"/>
    <n v="0"/>
    <n v="193.66"/>
    <n v="0"/>
    <n v="47.73"/>
    <n v="287.48"/>
    <n v="135.68"/>
    <n v="1386.5800000000002"/>
    <n v="-166.66"/>
  </r>
  <r>
    <x v="11"/>
    <x v="6"/>
    <x v="0"/>
    <s v="8328107"/>
    <n v="721830"/>
    <s v="Supplies-Office"/>
    <s v="Family Med Residency-Clinical"/>
    <x v="0"/>
    <m/>
    <n v="0"/>
    <n v="0"/>
    <n v="0"/>
    <n v="200.53"/>
    <n v="0"/>
    <n v="0"/>
    <n v="30.41"/>
    <n v="219.65"/>
    <n v="56.04"/>
    <n v="234.44"/>
    <n v="129.27000000000001"/>
    <n v="295.93"/>
    <n v="1166.27"/>
    <n v="-34.15"/>
  </r>
  <r>
    <x v="11"/>
    <x v="6"/>
    <x v="0"/>
    <s v="8328107"/>
    <n v="721835"/>
    <s v="Supplies-Forms"/>
    <s v="Family Med Residency-Clinical"/>
    <x v="0"/>
    <m/>
    <n v="0"/>
    <n v="0"/>
    <n v="0"/>
    <n v="0"/>
    <n v="153.04"/>
    <n v="21.28"/>
    <n v="137.07"/>
    <n v="0"/>
    <n v="0"/>
    <n v="0"/>
    <n v="0"/>
    <n v="34.15"/>
    <n v="345.53999999999996"/>
    <n v="0"/>
  </r>
  <r>
    <x v="11"/>
    <x v="6"/>
    <x v="0"/>
    <s v="8328107"/>
    <n v="721870"/>
    <s v="Supplies-Environmental Services"/>
    <s v="Family Med Residency-Clinical"/>
    <x v="0"/>
    <m/>
    <n v="0"/>
    <n v="0"/>
    <n v="0"/>
    <n v="0"/>
    <n v="0"/>
    <n v="0"/>
    <n v="1062.5"/>
    <n v="0"/>
    <n v="0"/>
    <n v="0"/>
    <n v="0"/>
    <n v="0"/>
    <n v="1062.5"/>
    <n v="0"/>
  </r>
  <r>
    <x v="11"/>
    <x v="6"/>
    <x v="0"/>
    <s v="8328107"/>
    <n v="721880"/>
    <s v="Supplies-Linen"/>
    <s v="Family Med Residency-Clinical"/>
    <x v="0"/>
    <m/>
    <n v="0"/>
    <n v="0"/>
    <n v="613.39"/>
    <n v="0"/>
    <n v="0"/>
    <n v="0"/>
    <n v="0"/>
    <n v="0"/>
    <n v="75.75"/>
    <n v="-75.75"/>
    <n v="0"/>
    <n v="0"/>
    <n v="613.39"/>
    <n v="-210"/>
  </r>
  <r>
    <x v="11"/>
    <x v="6"/>
    <x v="0"/>
    <s v="8328107"/>
    <n v="721910"/>
    <s v="Supplies-Small Equipment"/>
    <s v="Family Med Residency-Clinical"/>
    <x v="0"/>
    <m/>
    <n v="3466.92"/>
    <n v="0"/>
    <n v="0"/>
    <n v="0"/>
    <n v="0"/>
    <n v="0"/>
    <n v="0"/>
    <n v="3630.12"/>
    <n v="910.16"/>
    <n v="81.91"/>
    <n v="527.4"/>
    <n v="737.4"/>
    <n v="9353.91"/>
    <n v="-27.41"/>
  </r>
  <r>
    <x v="11"/>
    <x v="6"/>
    <x v="0"/>
    <s v="8328107"/>
    <n v="722000"/>
    <s v="Supplies-Freight Expense"/>
    <s v="Family Med Residency-Clinical"/>
    <x v="0"/>
    <m/>
    <n v="0"/>
    <n v="0"/>
    <n v="0"/>
    <n v="27.41"/>
    <n v="0"/>
    <n v="0"/>
    <n v="0"/>
    <n v="0"/>
    <n v="0"/>
    <n v="23.95"/>
    <n v="0"/>
    <n v="27.41"/>
    <n v="78.77"/>
    <n v="4011.6"/>
  </r>
  <r>
    <x v="12"/>
    <x v="6"/>
    <x v="0"/>
    <s v="8328107"/>
    <n v="730010"/>
    <s v="Rental and Leases-Building (DO NOT USE)"/>
    <s v="Family Med Residency-Clinical"/>
    <x v="0"/>
    <m/>
    <n v="4088.63"/>
    <n v="4088.63"/>
    <n v="4162.25"/>
    <n v="4162.25"/>
    <n v="4162.25"/>
    <n v="-2759"/>
    <n v="4011.6"/>
    <n v="4011.6"/>
    <n v="4011.6"/>
    <n v="3149.66"/>
    <n v="4011.6"/>
    <n v="0"/>
    <n v="37101.07"/>
    <n v="2857.56"/>
  </r>
  <r>
    <x v="12"/>
    <x v="6"/>
    <x v="0"/>
    <s v="8328107"/>
    <n v="730010"/>
    <s v="Rental-Common Area Maint (DO NOT USE)"/>
    <s v="Family Med Residency-Clinical"/>
    <x v="0"/>
    <n v="2200"/>
    <n v="0"/>
    <n v="0"/>
    <n v="0"/>
    <n v="0"/>
    <n v="0"/>
    <n v="6921.25"/>
    <n v="4177.07"/>
    <n v="2857.57"/>
    <n v="2857.57"/>
    <n v="2857.56"/>
    <n v="2857.56"/>
    <n v="0"/>
    <n v="22528.58"/>
    <n v="-27.549999999999983"/>
  </r>
  <r>
    <x v="12"/>
    <x v="6"/>
    <x v="0"/>
    <s v="8328107"/>
    <n v="730020"/>
    <s v="Rental and Leases-Copier Usage Fees (DO NOT USE)"/>
    <s v="Family Med Residency-Clinical"/>
    <x v="0"/>
    <n v="5100"/>
    <n v="936.77"/>
    <n v="1020.74"/>
    <n v="978.75"/>
    <n v="978.75"/>
    <n v="978.75"/>
    <n v="978.75"/>
    <n v="-6049.93"/>
    <n v="165.02"/>
    <n v="164.67"/>
    <n v="1146.1099999999999"/>
    <n v="165.02"/>
    <n v="192.57"/>
    <n v="1655.9699999999998"/>
    <n v="-6869.16"/>
  </r>
  <r>
    <x v="12"/>
    <x v="6"/>
    <x v="0"/>
    <s v="8328107"/>
    <n v="730040"/>
    <s v="LT Lease-Real Estate"/>
    <s v="Family Med Residency-Clinical"/>
    <x v="0"/>
    <m/>
    <n v="0"/>
    <n v="0"/>
    <n v="0"/>
    <n v="0"/>
    <n v="0"/>
    <n v="0"/>
    <n v="0"/>
    <n v="0"/>
    <n v="0"/>
    <n v="0"/>
    <n v="0"/>
    <n v="6869.16"/>
    <n v="6869.16"/>
    <n v="0.11000000000001364"/>
  </r>
  <r>
    <x v="15"/>
    <x v="6"/>
    <x v="0"/>
    <s v="8328107"/>
    <n v="731020"/>
    <s v="Electricity"/>
    <s v="Family Med Residency-Clinical"/>
    <x v="0"/>
    <m/>
    <n v="0"/>
    <n v="0"/>
    <n v="0"/>
    <n v="0"/>
    <n v="0"/>
    <n v="0"/>
    <n v="0"/>
    <n v="144.35"/>
    <n v="18.600000000000001"/>
    <n v="126.02"/>
    <n v="71.180000000000007"/>
    <n v="71.069999999999993"/>
    <n v="431.21999999999997"/>
    <n v="-1043.04"/>
  </r>
  <r>
    <x v="15"/>
    <x v="6"/>
    <x v="0"/>
    <s v="8328107"/>
    <n v="731030"/>
    <s v="Water"/>
    <s v="Family Med Residency-Clinical"/>
    <x v="0"/>
    <m/>
    <n v="0"/>
    <n v="0"/>
    <n v="0"/>
    <n v="0"/>
    <n v="0"/>
    <n v="0"/>
    <n v="0"/>
    <n v="293.32"/>
    <n v="-2747.71"/>
    <n v="1051.97"/>
    <n v="0"/>
    <n v="1043.04"/>
    <n v="-359.37999999999988"/>
    <n v="-693.49"/>
  </r>
  <r>
    <x v="15"/>
    <x v="6"/>
    <x v="0"/>
    <s v="8328107"/>
    <n v="731040"/>
    <s v="Sewer"/>
    <s v="Family Med Residency-Clinical"/>
    <x v="0"/>
    <m/>
    <n v="0"/>
    <n v="0"/>
    <n v="0"/>
    <n v="0"/>
    <n v="0"/>
    <n v="0"/>
    <n v="0"/>
    <n v="31.85"/>
    <n v="0"/>
    <n v="698.14"/>
    <n v="0"/>
    <n v="693.49"/>
    <n v="1423.48"/>
    <n v="0"/>
  </r>
  <r>
    <x v="15"/>
    <x v="6"/>
    <x v="0"/>
    <s v="8328107"/>
    <n v="731050"/>
    <s v="Refuse Disposal"/>
    <s v="Family Med Residency-Clinical"/>
    <x v="0"/>
    <m/>
    <n v="261.91000000000003"/>
    <n v="0"/>
    <n v="132.21"/>
    <n v="265.95"/>
    <n v="85.96"/>
    <n v="0"/>
    <n v="0"/>
    <n v="0"/>
    <n v="0"/>
    <n v="0"/>
    <n v="0"/>
    <n v="0"/>
    <n v="746.03"/>
    <n v="-0.28999999999999915"/>
  </r>
  <r>
    <x v="15"/>
    <x v="6"/>
    <x v="0"/>
    <s v="8328107"/>
    <n v="731060"/>
    <s v="Cell Phones"/>
    <s v="Family Med Residency-Clinical"/>
    <x v="0"/>
    <n v="1001"/>
    <n v="0"/>
    <n v="51.32"/>
    <n v="50.78"/>
    <n v="0"/>
    <n v="50.91"/>
    <n v="51.42"/>
    <n v="104"/>
    <n v="0"/>
    <n v="52.53"/>
    <n v="103"/>
    <n v="50.89"/>
    <n v="51.18"/>
    <n v="566.03"/>
    <n v="9.9999999997635314E-3"/>
  </r>
  <r>
    <x v="13"/>
    <x v="6"/>
    <x v="0"/>
    <s v="8328107"/>
    <n v="735050"/>
    <s v="Amortization-Leasehold Improvements"/>
    <s v="Family Med Residency-Clinical"/>
    <x v="0"/>
    <m/>
    <n v="2528.64"/>
    <n v="2528.63"/>
    <n v="2528.64"/>
    <n v="2528.63"/>
    <n v="2528.64"/>
    <n v="2528.63"/>
    <n v="2528.64"/>
    <n v="2528.63"/>
    <n v="2528.64"/>
    <n v="2528.63"/>
    <n v="2528.64"/>
    <n v="2528.63"/>
    <n v="30343.620000000003"/>
    <n v="9.9999999999909051E-3"/>
  </r>
  <r>
    <x v="13"/>
    <x v="6"/>
    <x v="0"/>
    <s v="8328107"/>
    <n v="735060"/>
    <s v="Depreciation-Fixed Equipment"/>
    <s v="Family Med Residency-Clinical"/>
    <x v="0"/>
    <m/>
    <n v="249.24"/>
    <n v="249.24"/>
    <n v="249.24"/>
    <n v="249.24"/>
    <n v="249.24"/>
    <n v="249.24"/>
    <n v="249.24"/>
    <n v="249.24"/>
    <n v="249.25"/>
    <n v="249.24"/>
    <n v="249.25"/>
    <n v="249.24"/>
    <n v="2990.8999999999996"/>
    <n v="219.40000000000009"/>
  </r>
  <r>
    <x v="13"/>
    <x v="6"/>
    <x v="0"/>
    <s v="8328107"/>
    <n v="735070"/>
    <s v="Depreciation-Movable Equipment"/>
    <s v="Family Med Residency-Clinical"/>
    <x v="0"/>
    <m/>
    <n v="3244.26"/>
    <n v="3244.27"/>
    <n v="3244.29"/>
    <n v="3244.27"/>
    <n v="3244.3"/>
    <n v="3244.25"/>
    <n v="3244.32"/>
    <n v="3244.24"/>
    <n v="3244.32"/>
    <n v="3244.24"/>
    <n v="3244.32"/>
    <n v="3024.92"/>
    <n v="38711.999999999993"/>
    <n v="0"/>
  </r>
  <r>
    <x v="0"/>
    <x v="6"/>
    <x v="0"/>
    <s v="8328107"/>
    <n v="740010"/>
    <s v="Education-Materials"/>
    <s v="Family Med Residency-Clinical"/>
    <x v="0"/>
    <m/>
    <n v="0"/>
    <n v="0"/>
    <n v="0"/>
    <n v="0"/>
    <n v="0"/>
    <n v="0"/>
    <n v="0"/>
    <n v="49"/>
    <n v="0"/>
    <n v="0"/>
    <n v="0"/>
    <n v="0"/>
    <n v="49"/>
    <n v="0"/>
  </r>
  <r>
    <x v="0"/>
    <x v="6"/>
    <x v="0"/>
    <s v="8328107"/>
    <n v="740020"/>
    <s v="Education-Registration Fees"/>
    <s v="Family Med Residency-Clinical"/>
    <x v="0"/>
    <m/>
    <n v="0"/>
    <n v="0"/>
    <n v="0"/>
    <n v="0"/>
    <n v="0"/>
    <n v="49"/>
    <n v="0"/>
    <n v="249"/>
    <n v="0"/>
    <n v="0"/>
    <n v="0"/>
    <n v="0"/>
    <n v="298"/>
    <n v="-16.34"/>
  </r>
  <r>
    <x v="0"/>
    <x v="6"/>
    <x v="0"/>
    <s v="8328107"/>
    <n v="742040"/>
    <s v="Freight-Other"/>
    <s v="Family Med Residency-Clinical"/>
    <x v="0"/>
    <m/>
    <n v="0"/>
    <n v="0"/>
    <n v="0"/>
    <n v="0"/>
    <n v="0"/>
    <n v="0"/>
    <n v="0"/>
    <n v="0"/>
    <n v="0"/>
    <n v="0"/>
    <n v="0"/>
    <n v="16.34"/>
    <n v="16.34"/>
    <n v="0"/>
  </r>
  <r>
    <x v="0"/>
    <x v="6"/>
    <x v="0"/>
    <s v="8328107"/>
    <n v="743020"/>
    <s v="Dues--Individual"/>
    <s v="Family Med Residency-Clinical"/>
    <x v="0"/>
    <m/>
    <n v="0"/>
    <n v="0"/>
    <n v="0"/>
    <n v="0"/>
    <n v="0"/>
    <n v="170"/>
    <n v="0"/>
    <n v="0"/>
    <n v="0"/>
    <n v="0"/>
    <n v="0"/>
    <n v="0"/>
    <n v="170"/>
    <n v="0"/>
  </r>
  <r>
    <x v="0"/>
    <x v="6"/>
    <x v="0"/>
    <s v="8328107"/>
    <n v="743020"/>
    <s v="Provider-Dues"/>
    <s v="Family Med Residency-Clinical"/>
    <x v="0"/>
    <n v="2200"/>
    <n v="0"/>
    <n v="0"/>
    <n v="0"/>
    <n v="0"/>
    <n v="0"/>
    <n v="0"/>
    <n v="0"/>
    <n v="5070"/>
    <n v="0"/>
    <n v="0"/>
    <n v="0"/>
    <n v="0"/>
    <n v="5070"/>
    <n v="0"/>
  </r>
  <r>
    <x v="0"/>
    <x v="6"/>
    <x v="0"/>
    <s v="8328107"/>
    <n v="743030"/>
    <s v="Subscriptions--Institutional"/>
    <s v="Family Med Residency-Clinical"/>
    <x v="0"/>
    <m/>
    <n v="0"/>
    <n v="0"/>
    <n v="508.77"/>
    <n v="0"/>
    <n v="92.7"/>
    <n v="154.08000000000001"/>
    <n v="98.22"/>
    <n v="0"/>
    <n v="0"/>
    <n v="0"/>
    <n v="0"/>
    <n v="0"/>
    <n v="853.7700000000001"/>
    <n v="-240.06"/>
  </r>
  <r>
    <x v="0"/>
    <x v="6"/>
    <x v="0"/>
    <s v="8328107"/>
    <n v="749510"/>
    <s v="Miscellaneous Expenses"/>
    <s v="Family Med Residency-Clinical"/>
    <x v="0"/>
    <m/>
    <n v="-30.52"/>
    <n v="-83.62"/>
    <n v="-4.3600000000000003"/>
    <n v="153.1"/>
    <n v="-4.3600000000000003"/>
    <n v="55.88"/>
    <n v="406.72"/>
    <n v="-199.98"/>
    <n v="682.06"/>
    <n v="469.2"/>
    <n v="-95.7"/>
    <n v="144.36000000000001"/>
    <n v="1492.7799999999997"/>
    <n v="0"/>
  </r>
  <r>
    <x v="0"/>
    <x v="6"/>
    <x v="0"/>
    <s v="8328107"/>
    <n v="749510"/>
    <s v="Licenses"/>
    <s v="Family Med Residency-Clinical"/>
    <x v="0"/>
    <n v="1002"/>
    <n v="0"/>
    <n v="0"/>
    <n v="0"/>
    <n v="0"/>
    <n v="37.5"/>
    <n v="0"/>
    <n v="0"/>
    <n v="0"/>
    <n v="0"/>
    <n v="0"/>
    <n v="0"/>
    <n v="0"/>
    <n v="37.5"/>
    <n v="0"/>
  </r>
  <r>
    <x v="0"/>
    <x v="6"/>
    <x v="0"/>
    <s v="8328107"/>
    <n v="749512"/>
    <s v="Licenses-Physician"/>
    <s v="Family Med Residency-Clinical"/>
    <x v="0"/>
    <n v="2000"/>
    <n v="0"/>
    <n v="0"/>
    <n v="0"/>
    <n v="0"/>
    <n v="0"/>
    <n v="657"/>
    <n v="0"/>
    <n v="0"/>
    <n v="0"/>
    <n v="0"/>
    <n v="0"/>
    <n v="0"/>
    <n v="657"/>
    <n v="0"/>
  </r>
  <r>
    <x v="0"/>
    <x v="6"/>
    <x v="0"/>
    <s v="8328107"/>
    <n v="749530"/>
    <s v="Travel"/>
    <s v="Family Med Residency-Clinical"/>
    <x v="0"/>
    <m/>
    <n v="0"/>
    <n v="0"/>
    <n v="0"/>
    <n v="0"/>
    <n v="0"/>
    <n v="15"/>
    <n v="35"/>
    <n v="0"/>
    <n v="0"/>
    <n v="0"/>
    <n v="0"/>
    <n v="0"/>
    <n v="50"/>
    <n v="80.039999999999992"/>
  </r>
  <r>
    <x v="0"/>
    <x v="6"/>
    <x v="0"/>
    <s v="8328107"/>
    <n v="749530"/>
    <s v="Mileage"/>
    <s v="Family Med Residency-Clinical"/>
    <x v="0"/>
    <n v="1001"/>
    <n v="0"/>
    <n v="8.18"/>
    <n v="123.24"/>
    <n v="0"/>
    <n v="61.62"/>
    <n v="212.6"/>
    <n v="216.93"/>
    <n v="41.18"/>
    <n v="139.19999999999999"/>
    <n v="17.399999999999999"/>
    <n v="193.14"/>
    <n v="113.1"/>
    <n v="1126.5899999999997"/>
    <n v="87.98"/>
  </r>
  <r>
    <x v="0"/>
    <x v="6"/>
    <x v="0"/>
    <s v="8328107"/>
    <n v="749535"/>
    <s v="Meetings"/>
    <s v="Family Med Residency-Clinical"/>
    <x v="0"/>
    <m/>
    <n v="0"/>
    <n v="0"/>
    <n v="0"/>
    <n v="0"/>
    <n v="0"/>
    <n v="0"/>
    <n v="0"/>
    <n v="0"/>
    <n v="0"/>
    <n v="0"/>
    <n v="87.98"/>
    <n v="0"/>
    <n v="87.98"/>
    <n v="0"/>
  </r>
  <r>
    <x v="0"/>
    <x v="6"/>
    <x v="0"/>
    <s v="8328107"/>
    <n v="766010"/>
    <s v="Property Tax"/>
    <s v="Family Med Residency-Clinical"/>
    <x v="0"/>
    <m/>
    <n v="0"/>
    <n v="0"/>
    <n v="0"/>
    <n v="0"/>
    <n v="0"/>
    <n v="0"/>
    <n v="0"/>
    <n v="0"/>
    <n v="0"/>
    <n v="13.52"/>
    <n v="0"/>
    <n v="0"/>
    <n v="13.52"/>
    <n v="-0.92"/>
  </r>
  <r>
    <x v="9"/>
    <x v="6"/>
    <x v="0"/>
    <s v="8328107"/>
    <n v="800015"/>
    <s v="Interest Income-Ext to CHI"/>
    <s v="Family Med Residency-Clinical"/>
    <x v="0"/>
    <m/>
    <n v="-71.569999999999993"/>
    <n v="-53.38"/>
    <n v="-34.11"/>
    <n v="-27.59"/>
    <n v="-19.29"/>
    <n v="-12.29"/>
    <n v="-4.6399999999999997"/>
    <n v="-3.35"/>
    <n v="-2.78"/>
    <n v="-1.79"/>
    <n v="-0.92"/>
    <n v="0"/>
    <n v="-231.70999999999995"/>
    <n v="-4745.4399999999996"/>
  </r>
  <r>
    <x v="5"/>
    <x v="3"/>
    <x v="0"/>
    <s v="8330101"/>
    <n v="700022"/>
    <s v="Salaries-Physician-Productive"/>
    <s v="Gen Surgery Residency Program"/>
    <x v="0"/>
    <m/>
    <n v="0"/>
    <n v="0"/>
    <n v="0"/>
    <n v="0"/>
    <n v="0"/>
    <n v="0"/>
    <n v="0"/>
    <n v="0"/>
    <n v="0"/>
    <n v="0"/>
    <n v="0"/>
    <n v="4745.4399999999996"/>
    <n v="4745.4399999999996"/>
    <n v="-456.36"/>
  </r>
  <r>
    <x v="5"/>
    <x v="3"/>
    <x v="0"/>
    <s v="8330101"/>
    <n v="700022"/>
    <s v="Salaries-Physician-Other"/>
    <s v="Gen Surgery Residency Program"/>
    <x v="0"/>
    <n v="2000"/>
    <n v="0"/>
    <n v="0"/>
    <n v="0"/>
    <n v="0"/>
    <n v="0"/>
    <n v="0"/>
    <n v="0"/>
    <n v="0"/>
    <n v="0"/>
    <n v="0"/>
    <n v="0"/>
    <n v="456.36"/>
    <n v="456.36"/>
    <n v="4162.17"/>
  </r>
  <r>
    <x v="5"/>
    <x v="3"/>
    <x v="0"/>
    <s v="8330101"/>
    <n v="700026"/>
    <s v="Salaries-RN-Productive"/>
    <s v="Gen Surgery Residency Program"/>
    <x v="0"/>
    <m/>
    <n v="0"/>
    <n v="0"/>
    <n v="0"/>
    <n v="0"/>
    <n v="0"/>
    <n v="0"/>
    <n v="1638.18"/>
    <n v="7011.19"/>
    <n v="339.18"/>
    <n v="2142.9699999999998"/>
    <n v="3188.27"/>
    <n v="-973.9"/>
    <n v="13345.89"/>
    <n v="-674.93"/>
  </r>
  <r>
    <x v="5"/>
    <x v="3"/>
    <x v="0"/>
    <s v="8330101"/>
    <n v="700026"/>
    <s v="Salaries-RN-OT"/>
    <s v="Gen Surgery Residency Program"/>
    <x v="0"/>
    <n v="1000"/>
    <n v="0"/>
    <n v="0"/>
    <n v="0"/>
    <n v="0"/>
    <n v="0"/>
    <n v="0"/>
    <n v="97.37"/>
    <n v="1258.22"/>
    <n v="-233.93"/>
    <n v="1619.97"/>
    <n v="-674.93"/>
    <n v="0"/>
    <n v="2066.7000000000003"/>
    <n v="-67.33"/>
  </r>
  <r>
    <x v="5"/>
    <x v="3"/>
    <x v="0"/>
    <s v="8330101"/>
    <n v="700026"/>
    <s v="Salaries-RN-Other"/>
    <s v="Gen Surgery Residency Program"/>
    <x v="0"/>
    <n v="2000"/>
    <n v="0"/>
    <n v="0"/>
    <n v="0"/>
    <n v="0"/>
    <n v="0"/>
    <n v="0"/>
    <n v="34.58"/>
    <n v="39.840000000000003"/>
    <n v="-1.85"/>
    <n v="320.16000000000003"/>
    <n v="-77.069999999999993"/>
    <n v="-9.74"/>
    <n v="305.92"/>
    <n v="-5084.24"/>
  </r>
  <r>
    <x v="5"/>
    <x v="3"/>
    <x v="0"/>
    <s v="8330101"/>
    <n v="700032"/>
    <s v="Salaries-Other Pat Care Providers-Productive"/>
    <s v="Gen Surgery Residency Program"/>
    <x v="0"/>
    <m/>
    <n v="0"/>
    <n v="0"/>
    <n v="0"/>
    <n v="0"/>
    <n v="0"/>
    <n v="0"/>
    <n v="0"/>
    <n v="0"/>
    <n v="0"/>
    <n v="0"/>
    <n v="0"/>
    <n v="5084.24"/>
    <n v="5084.24"/>
    <n v="-133.80000000000018"/>
  </r>
  <r>
    <x v="5"/>
    <x v="3"/>
    <x v="0"/>
    <s v="8330101"/>
    <n v="700034"/>
    <s v="Salaries-Tech/Professional-Productive"/>
    <s v="Gen Surgery Residency Program"/>
    <x v="0"/>
    <m/>
    <n v="3358.18"/>
    <n v="4367.47"/>
    <n v="3846.56"/>
    <n v="4608.33"/>
    <n v="3717.88"/>
    <n v="3996.16"/>
    <n v="4362.29"/>
    <n v="4409.46"/>
    <n v="4637.26"/>
    <n v="4964.45"/>
    <n v="4527.7"/>
    <n v="4661.5"/>
    <n v="51457.239999999991"/>
    <n v="310.24"/>
  </r>
  <r>
    <x v="5"/>
    <x v="3"/>
    <x v="0"/>
    <s v="8330101"/>
    <n v="700034"/>
    <s v="Salaries-Tech/Professional-OT"/>
    <s v="Gen Surgery Residency Program"/>
    <x v="0"/>
    <n v="1000"/>
    <n v="11.64"/>
    <n v="74.66"/>
    <n v="0"/>
    <n v="0"/>
    <n v="0"/>
    <n v="69.64"/>
    <n v="13.51"/>
    <n v="-3.55"/>
    <n v="411.35"/>
    <n v="-22.77"/>
    <n v="249.77"/>
    <n v="-60.47"/>
    <n v="743.78"/>
    <n v="0"/>
  </r>
  <r>
    <x v="5"/>
    <x v="3"/>
    <x v="0"/>
    <s v="8330101"/>
    <n v="700074"/>
    <s v="Salaries-Tech/Professional-Non-productive"/>
    <s v="Gen Surgery Residency Program"/>
    <x v="0"/>
    <m/>
    <n v="1240.1199999999999"/>
    <n v="89.52"/>
    <n v="491.31"/>
    <n v="64.84"/>
    <n v="833.78"/>
    <n v="1584.17"/>
    <n v="-169.53"/>
    <n v="0"/>
    <n v="0"/>
    <n v="0"/>
    <n v="0"/>
    <n v="0"/>
    <n v="4134.21"/>
    <n v="0"/>
  </r>
  <r>
    <x v="5"/>
    <x v="3"/>
    <x v="0"/>
    <s v="8330101"/>
    <n v="700084"/>
    <s v="Accrued PTO"/>
    <s v="Gen Surgery Residency Program"/>
    <x v="0"/>
    <m/>
    <n v="-604.61"/>
    <n v="460.52"/>
    <n v="58.04"/>
    <n v="524.37"/>
    <n v="-66.33"/>
    <n v="-687.39"/>
    <n v="2.2000000000000002"/>
    <n v="0"/>
    <n v="0"/>
    <n v="0"/>
    <n v="0"/>
    <n v="0"/>
    <n v="-313.20000000000005"/>
    <n v="-494.61999999999989"/>
  </r>
  <r>
    <x v="6"/>
    <x v="3"/>
    <x v="0"/>
    <s v="8330101"/>
    <n v="713010"/>
    <s v="Benefits-FICA/Medicare"/>
    <s v="Gen Surgery Residency Program"/>
    <x v="0"/>
    <m/>
    <n v="349.67"/>
    <n v="346.61"/>
    <n v="331.87"/>
    <n v="357.51"/>
    <n v="348.19"/>
    <n v="432.27"/>
    <n v="569.86"/>
    <n v="962.19"/>
    <n v="391.54"/>
    <n v="682.65"/>
    <n v="545.98"/>
    <n v="1040.5999999999999"/>
    <n v="6358.9400000000005"/>
    <n v="-1587.15"/>
  </r>
  <r>
    <x v="6"/>
    <x v="3"/>
    <x v="0"/>
    <s v="8330101"/>
    <n v="713090"/>
    <s v="Benefits-Allocated Amounts"/>
    <s v="Gen Surgery Residency Program"/>
    <x v="0"/>
    <m/>
    <n v="1301.18"/>
    <n v="1251.6500000000001"/>
    <n v="1241.42"/>
    <n v="1333.74"/>
    <n v="1282.55"/>
    <n v="1444.16"/>
    <n v="1653.1"/>
    <n v="3277.56"/>
    <n v="1201.94"/>
    <n v="2254.98"/>
    <n v="2174.33"/>
    <n v="3761.48"/>
    <n v="22178.09"/>
    <n v="-9.15"/>
  </r>
  <r>
    <x v="6"/>
    <x v="3"/>
    <x v="0"/>
    <s v="8330101"/>
    <n v="713096"/>
    <s v="Employee Recognition"/>
    <s v="Gen Surgery Residency Program"/>
    <x v="0"/>
    <n v="1017"/>
    <n v="0"/>
    <n v="0"/>
    <n v="0"/>
    <n v="0"/>
    <n v="0"/>
    <n v="0"/>
    <n v="0"/>
    <n v="0"/>
    <n v="0"/>
    <n v="0"/>
    <n v="0"/>
    <n v="9.15"/>
    <n v="9.15"/>
    <n v="-1384.62"/>
  </r>
  <r>
    <x v="17"/>
    <x v="3"/>
    <x v="0"/>
    <s v="8330101"/>
    <n v="714510"/>
    <s v="Medical Director Fees"/>
    <s v="Gen Surgery Residency Program"/>
    <x v="0"/>
    <m/>
    <n v="0"/>
    <n v="0"/>
    <n v="0"/>
    <n v="0"/>
    <n v="0"/>
    <n v="0"/>
    <n v="15000"/>
    <n v="0"/>
    <n v="8307.7099999999991"/>
    <n v="0"/>
    <n v="1384.62"/>
    <n v="2769.24"/>
    <n v="27461.57"/>
    <n v="-4"/>
  </r>
  <r>
    <x v="7"/>
    <x v="3"/>
    <x v="0"/>
    <s v="8330101"/>
    <n v="718040"/>
    <s v="Contract Svcs-Laboratory"/>
    <s v="Gen Surgery Residency Program"/>
    <x v="0"/>
    <m/>
    <n v="0"/>
    <n v="0"/>
    <n v="0"/>
    <n v="0"/>
    <n v="0"/>
    <n v="0"/>
    <n v="0"/>
    <n v="0"/>
    <n v="0"/>
    <n v="0"/>
    <n v="43"/>
    <n v="47"/>
    <n v="90"/>
    <n v="0"/>
  </r>
  <r>
    <x v="11"/>
    <x v="3"/>
    <x v="0"/>
    <s v="8330101"/>
    <n v="721810"/>
    <s v="Supplies-Dietary/Cafeteria"/>
    <s v="Gen Surgery Residency Program"/>
    <x v="0"/>
    <m/>
    <n v="0"/>
    <n v="220.66"/>
    <n v="0"/>
    <n v="35.630000000000003"/>
    <n v="0"/>
    <n v="0"/>
    <n v="0"/>
    <n v="0"/>
    <n v="0"/>
    <n v="0"/>
    <n v="0"/>
    <n v="0"/>
    <n v="256.29000000000002"/>
    <n v="-79.649999999999991"/>
  </r>
  <r>
    <x v="11"/>
    <x v="3"/>
    <x v="0"/>
    <s v="8330101"/>
    <n v="721830"/>
    <s v="Supplies-Office"/>
    <s v="Gen Surgery Residency Program"/>
    <x v="0"/>
    <m/>
    <n v="0"/>
    <n v="45.13"/>
    <n v="0"/>
    <n v="0"/>
    <n v="0"/>
    <n v="118.17"/>
    <n v="254.22"/>
    <n v="0"/>
    <n v="0"/>
    <n v="0"/>
    <n v="106.2"/>
    <n v="185.85"/>
    <n v="709.57"/>
    <n v="-180.27"/>
  </r>
  <r>
    <x v="11"/>
    <x v="3"/>
    <x v="0"/>
    <s v="8330101"/>
    <n v="721880"/>
    <s v="Supplies-Linen"/>
    <s v="Gen Surgery Residency Program"/>
    <x v="0"/>
    <m/>
    <n v="0"/>
    <n v="0"/>
    <n v="0"/>
    <n v="0"/>
    <n v="0"/>
    <n v="0"/>
    <n v="0"/>
    <n v="0"/>
    <n v="0"/>
    <n v="0"/>
    <n v="0"/>
    <n v="180.27"/>
    <n v="180.27"/>
    <n v="0"/>
  </r>
  <r>
    <x v="11"/>
    <x v="3"/>
    <x v="0"/>
    <s v="8330101"/>
    <n v="721910"/>
    <s v="Supplies-Small Equipment"/>
    <s v="Gen Surgery Residency Program"/>
    <x v="0"/>
    <m/>
    <n v="0"/>
    <n v="0"/>
    <n v="0"/>
    <n v="0"/>
    <n v="0"/>
    <n v="0"/>
    <n v="4397.92"/>
    <n v="2115.2399999999998"/>
    <n v="0"/>
    <n v="0"/>
    <n v="0"/>
    <n v="0"/>
    <n v="6513.16"/>
    <n v="0"/>
  </r>
  <r>
    <x v="11"/>
    <x v="3"/>
    <x v="0"/>
    <s v="8330101"/>
    <n v="722000"/>
    <s v="Supplies-Freight Expense"/>
    <s v="Gen Surgery Residency Program"/>
    <x v="0"/>
    <m/>
    <n v="0"/>
    <n v="0"/>
    <n v="0"/>
    <n v="0"/>
    <n v="0"/>
    <n v="0"/>
    <n v="0"/>
    <n v="0"/>
    <n v="0"/>
    <n v="10.76"/>
    <n v="0"/>
    <n v="0"/>
    <n v="10.76"/>
    <n v="1160.4100000000001"/>
  </r>
  <r>
    <x v="12"/>
    <x v="3"/>
    <x v="0"/>
    <s v="8330101"/>
    <n v="730010"/>
    <s v="Rental and Leases-Building (DO NOT USE)"/>
    <s v="Gen Surgery Residency Program"/>
    <x v="0"/>
    <m/>
    <n v="0"/>
    <n v="0"/>
    <n v="0"/>
    <n v="0"/>
    <n v="0"/>
    <n v="0"/>
    <n v="0"/>
    <n v="0"/>
    <n v="1159.45"/>
    <n v="1159.45"/>
    <n v="1160.4100000000001"/>
    <n v="0"/>
    <n v="3479.3100000000004"/>
    <n v="957.38"/>
  </r>
  <r>
    <x v="12"/>
    <x v="3"/>
    <x v="0"/>
    <s v="8330101"/>
    <n v="730010"/>
    <s v="Rental-Common Area Maint (DO NOT USE)"/>
    <s v="Gen Surgery Residency Program"/>
    <x v="0"/>
    <n v="2200"/>
    <n v="0"/>
    <n v="0"/>
    <n v="0"/>
    <n v="0"/>
    <n v="0"/>
    <n v="0"/>
    <n v="0"/>
    <n v="0"/>
    <n v="635.14"/>
    <n v="957.38"/>
    <n v="957.38"/>
    <n v="0"/>
    <n v="2549.9"/>
    <n v="-2145.8200000000002"/>
  </r>
  <r>
    <x v="12"/>
    <x v="3"/>
    <x v="0"/>
    <s v="8330101"/>
    <n v="730040"/>
    <s v="LT Lease-Real Estate"/>
    <s v="Gen Surgery Residency Program"/>
    <x v="0"/>
    <m/>
    <n v="0"/>
    <n v="0"/>
    <n v="0"/>
    <n v="0"/>
    <n v="0"/>
    <n v="0"/>
    <n v="0"/>
    <n v="0"/>
    <n v="0"/>
    <n v="0"/>
    <n v="0"/>
    <n v="2145.8200000000002"/>
    <n v="2145.8200000000002"/>
    <n v="0"/>
  </r>
  <r>
    <x v="0"/>
    <x v="3"/>
    <x v="0"/>
    <s v="8330101"/>
    <n v="740020"/>
    <s v="Education-Registration Fees"/>
    <s v="Gen Surgery Residency Program"/>
    <x v="0"/>
    <m/>
    <n v="0"/>
    <n v="0"/>
    <n v="0"/>
    <n v="0"/>
    <n v="0"/>
    <n v="995"/>
    <n v="0"/>
    <n v="0"/>
    <n v="0"/>
    <n v="0"/>
    <n v="0"/>
    <n v="0"/>
    <n v="995"/>
    <n v="940"/>
  </r>
  <r>
    <x v="0"/>
    <x v="3"/>
    <x v="0"/>
    <s v="8330101"/>
    <n v="740022"/>
    <s v="Education-Physician"/>
    <s v="Gen Surgery Residency Program"/>
    <x v="0"/>
    <m/>
    <n v="0"/>
    <n v="0"/>
    <n v="0"/>
    <n v="0"/>
    <n v="0"/>
    <n v="0"/>
    <n v="0"/>
    <n v="0"/>
    <n v="0"/>
    <n v="1850"/>
    <n v="940"/>
    <n v="0"/>
    <n v="2790"/>
    <n v="0"/>
  </r>
  <r>
    <x v="0"/>
    <x v="3"/>
    <x v="0"/>
    <s v="8330101"/>
    <n v="740022"/>
    <s v="Books-Physician"/>
    <s v="Gen Surgery Residency Program"/>
    <x v="0"/>
    <n v="2000"/>
    <n v="0"/>
    <n v="0"/>
    <n v="0"/>
    <n v="0"/>
    <n v="0"/>
    <n v="0"/>
    <n v="0"/>
    <n v="0"/>
    <n v="0"/>
    <n v="4004.74"/>
    <n v="0"/>
    <n v="0"/>
    <n v="4004.74"/>
    <n v="-2219.09"/>
  </r>
  <r>
    <x v="8"/>
    <x v="3"/>
    <x v="0"/>
    <s v="8330101"/>
    <n v="741012"/>
    <s v="Physician Liab Insurance-CHI Program"/>
    <s v="Gen Surgery Residency Program"/>
    <x v="0"/>
    <m/>
    <n v="0"/>
    <n v="0"/>
    <n v="0"/>
    <n v="0"/>
    <n v="0"/>
    <n v="0"/>
    <n v="0"/>
    <n v="0"/>
    <n v="0"/>
    <n v="0"/>
    <n v="0"/>
    <n v="2219.09"/>
    <n v="2219.09"/>
    <n v="0"/>
  </r>
  <r>
    <x v="0"/>
    <x v="3"/>
    <x v="0"/>
    <s v="8330101"/>
    <n v="743010"/>
    <s v="Dues--Institutional"/>
    <s v="Gen Surgery Residency Program"/>
    <x v="0"/>
    <m/>
    <n v="0"/>
    <n v="0"/>
    <n v="0"/>
    <n v="0"/>
    <n v="0"/>
    <n v="0"/>
    <n v="0"/>
    <n v="0"/>
    <n v="0"/>
    <n v="630"/>
    <n v="0"/>
    <n v="0"/>
    <n v="630"/>
    <n v="-1563.53"/>
  </r>
  <r>
    <x v="0"/>
    <x v="3"/>
    <x v="0"/>
    <s v="8330101"/>
    <n v="743030"/>
    <s v="Subscriptions--Institutional"/>
    <s v="Gen Surgery Residency Program"/>
    <x v="0"/>
    <m/>
    <n v="0"/>
    <n v="0"/>
    <n v="0"/>
    <n v="0"/>
    <n v="0"/>
    <n v="0"/>
    <n v="0"/>
    <n v="7649.75"/>
    <n v="0"/>
    <n v="0"/>
    <n v="0"/>
    <n v="1563.53"/>
    <n v="9213.2800000000007"/>
    <n v="-2988.85"/>
  </r>
  <r>
    <x v="0"/>
    <x v="3"/>
    <x v="0"/>
    <s v="8330101"/>
    <n v="749510"/>
    <s v="Miscellaneous Expenses"/>
    <s v="Gen Surgery Residency Program"/>
    <x v="0"/>
    <m/>
    <n v="0"/>
    <n v="0"/>
    <n v="0"/>
    <n v="26444.68"/>
    <n v="127.26"/>
    <n v="545.24"/>
    <n v="1305.6600000000001"/>
    <n v="0"/>
    <n v="4077.32"/>
    <n v="8176.78"/>
    <n v="934.48"/>
    <n v="3923.33"/>
    <n v="45534.750000000007"/>
    <n v="0"/>
  </r>
  <r>
    <x v="0"/>
    <x v="3"/>
    <x v="0"/>
    <s v="8330101"/>
    <n v="749510"/>
    <s v="Miscellaneous Fees"/>
    <s v="Gen Surgery Residency Program"/>
    <x v="0"/>
    <n v="1001"/>
    <n v="0"/>
    <n v="0"/>
    <n v="6800"/>
    <n v="0"/>
    <n v="0"/>
    <n v="0"/>
    <n v="0"/>
    <n v="0"/>
    <n v="0"/>
    <n v="0"/>
    <n v="0"/>
    <n v="0"/>
    <n v="6800"/>
    <n v="-1988.07"/>
  </r>
  <r>
    <x v="0"/>
    <x v="3"/>
    <x v="0"/>
    <s v="8330101"/>
    <n v="749510"/>
    <s v="RICE Rewards"/>
    <s v="Gen Surgery Residency Program"/>
    <x v="0"/>
    <n v="5100"/>
    <n v="0"/>
    <n v="0"/>
    <n v="0"/>
    <n v="0"/>
    <n v="0"/>
    <n v="0"/>
    <n v="0"/>
    <n v="0"/>
    <n v="0"/>
    <n v="0"/>
    <n v="0"/>
    <n v="1988.07"/>
    <n v="1988.07"/>
    <n v="135.54"/>
  </r>
  <r>
    <x v="0"/>
    <x v="3"/>
    <x v="0"/>
    <s v="8330101"/>
    <n v="749530"/>
    <s v="Travel"/>
    <s v="Gen Surgery Residency Program"/>
    <x v="0"/>
    <m/>
    <n v="0"/>
    <n v="0"/>
    <n v="0"/>
    <n v="0"/>
    <n v="0"/>
    <n v="487.61"/>
    <n v="0"/>
    <n v="0"/>
    <n v="1230.79"/>
    <n v="1832.45"/>
    <n v="135.54"/>
    <n v="0"/>
    <n v="3686.3900000000003"/>
    <n v="1071.51"/>
  </r>
  <r>
    <x v="0"/>
    <x v="3"/>
    <x v="0"/>
    <s v="8330101"/>
    <n v="749532"/>
    <s v="Travel-Physician"/>
    <s v="Gen Surgery Residency Program"/>
    <x v="0"/>
    <m/>
    <n v="0"/>
    <n v="0"/>
    <n v="0"/>
    <n v="0"/>
    <n v="0"/>
    <n v="1968.31"/>
    <n v="545.24"/>
    <n v="0"/>
    <n v="0"/>
    <n v="598.79999999999995"/>
    <n v="1071.51"/>
    <n v="0"/>
    <n v="4183.8600000000006"/>
    <n v="0"/>
  </r>
  <r>
    <x v="0"/>
    <x v="3"/>
    <x v="0"/>
    <s v="8330101"/>
    <n v="749532"/>
    <s v="Business Meals-Physician"/>
    <s v="Gen Surgery Residency Program"/>
    <x v="0"/>
    <n v="2000"/>
    <n v="0"/>
    <n v="0"/>
    <n v="0"/>
    <n v="0"/>
    <n v="0"/>
    <n v="633.20000000000005"/>
    <n v="0"/>
    <n v="0"/>
    <n v="0"/>
    <n v="0"/>
    <n v="0"/>
    <n v="0"/>
    <n v="633.20000000000005"/>
    <n v="625.15"/>
  </r>
  <r>
    <x v="0"/>
    <x v="3"/>
    <x v="0"/>
    <s v="8330101"/>
    <n v="749535"/>
    <s v="Meetings"/>
    <s v="Gen Surgery Residency Program"/>
    <x v="0"/>
    <m/>
    <n v="0"/>
    <n v="0"/>
    <n v="0"/>
    <n v="0"/>
    <n v="0"/>
    <n v="0"/>
    <n v="0"/>
    <n v="0"/>
    <n v="0"/>
    <n v="0"/>
    <n v="828.79"/>
    <n v="203.64"/>
    <n v="1032.4299999999998"/>
    <n v="1011.3300000000008"/>
  </r>
  <r>
    <x v="5"/>
    <x v="9"/>
    <x v="0"/>
    <s v="8375501"/>
    <n v="700034"/>
    <s v="Salaries-Tech/Professional-Productive"/>
    <s v="Medical Library"/>
    <x v="0"/>
    <m/>
    <n v="6793.49"/>
    <n v="7312.37"/>
    <n v="5186.1899999999996"/>
    <n v="7743.16"/>
    <n v="7893.2"/>
    <n v="4996.66"/>
    <n v="6521.3"/>
    <n v="6707.26"/>
    <n v="7638.86"/>
    <n v="5748.88"/>
    <n v="7505.81"/>
    <n v="6494.48"/>
    <n v="80541.659999999989"/>
    <n v="-745.27"/>
  </r>
  <r>
    <x v="5"/>
    <x v="9"/>
    <x v="0"/>
    <s v="8375501"/>
    <n v="700074"/>
    <s v="Salaries-Tech/Professional-Non-productive"/>
    <s v="Medical Library"/>
    <x v="0"/>
    <m/>
    <n v="1244.57"/>
    <n v="726.08"/>
    <n v="2593.04"/>
    <n v="457"/>
    <n v="79.739999999999995"/>
    <n v="3242.3"/>
    <n v="1730.52"/>
    <n v="745.26"/>
    <n v="612.21"/>
    <n v="2235.75"/>
    <n v="745.25"/>
    <n v="1490.52"/>
    <n v="15902.240000000002"/>
    <n v="172.16000000000003"/>
  </r>
  <r>
    <x v="5"/>
    <x v="9"/>
    <x v="0"/>
    <s v="8375501"/>
    <n v="700084"/>
    <s v="Accrued PTO"/>
    <s v="Medical Library"/>
    <x v="0"/>
    <m/>
    <n v="118.47"/>
    <n v="435.65"/>
    <n v="-1424.46"/>
    <n v="1708.82"/>
    <n v="772.47"/>
    <n v="-1259.8800000000001"/>
    <n v="-715.85"/>
    <n v="400.43"/>
    <n v="400"/>
    <n v="-1087.8699999999999"/>
    <n v="400.47"/>
    <n v="228.31"/>
    <n v="-23.440000000000225"/>
    <n v="20.259999999999991"/>
  </r>
  <r>
    <x v="6"/>
    <x v="9"/>
    <x v="0"/>
    <s v="8375501"/>
    <n v="713010"/>
    <s v="Benefits-FICA/Medicare"/>
    <s v="Medical Library"/>
    <x v="0"/>
    <m/>
    <n v="613.16"/>
    <n v="613.17999999999995"/>
    <n v="593.42999999999995"/>
    <n v="625.55999999999995"/>
    <n v="608.53"/>
    <n v="628.47"/>
    <n v="628.39"/>
    <n v="567.57000000000005"/>
    <n v="628.4"/>
    <n v="608.1"/>
    <n v="628.4"/>
    <n v="608.14"/>
    <n v="7351.33"/>
    <n v="100.19000000000005"/>
  </r>
  <r>
    <x v="6"/>
    <x v="9"/>
    <x v="0"/>
    <s v="8375501"/>
    <n v="713090"/>
    <s v="Benefits-Allocated Amounts"/>
    <s v="Medical Library"/>
    <x v="0"/>
    <m/>
    <n v="1387.66"/>
    <n v="1279.2"/>
    <n v="1273.06"/>
    <n v="1334.53"/>
    <n v="1264.27"/>
    <n v="1349.65"/>
    <n v="1447.47"/>
    <n v="1328.86"/>
    <n v="1636.28"/>
    <n v="1419.34"/>
    <n v="1479.45"/>
    <n v="1379.26"/>
    <n v="16579.03"/>
    <n v="0"/>
  </r>
  <r>
    <x v="7"/>
    <x v="9"/>
    <x v="0"/>
    <s v="8375501"/>
    <n v="718050"/>
    <s v="Contract Svcs-Other"/>
    <s v="Medical Library"/>
    <x v="0"/>
    <m/>
    <n v="0"/>
    <n v="0"/>
    <n v="1321.2"/>
    <n v="0"/>
    <n v="0"/>
    <n v="0"/>
    <n v="0"/>
    <n v="0"/>
    <n v="0"/>
    <n v="0"/>
    <n v="0"/>
    <n v="0"/>
    <n v="1321.2"/>
    <n v="449"/>
  </r>
  <r>
    <x v="7"/>
    <x v="9"/>
    <x v="0"/>
    <s v="8375501"/>
    <n v="718050"/>
    <s v="Miscellaneous Purchased Svcs"/>
    <s v="Medical Library"/>
    <x v="0"/>
    <n v="1020"/>
    <n v="5665"/>
    <n v="97632.639999999999"/>
    <n v="27124.6"/>
    <n v="13383.04"/>
    <n v="3387.04"/>
    <n v="3387.08"/>
    <n v="2635"/>
    <n v="11670.6"/>
    <n v="11249.38"/>
    <n v="13484.94"/>
    <n v="4175.79"/>
    <n v="3726.79"/>
    <n v="197521.90000000002"/>
    <n v="0"/>
  </r>
  <r>
    <x v="11"/>
    <x v="9"/>
    <x v="0"/>
    <s v="8375501"/>
    <n v="721830"/>
    <s v="Supplies-Office"/>
    <s v="Medical Library"/>
    <x v="0"/>
    <m/>
    <n v="41.62"/>
    <n v="0"/>
    <n v="0"/>
    <n v="-57.19"/>
    <n v="48.71"/>
    <n v="54.84"/>
    <n v="0"/>
    <n v="0"/>
    <n v="0"/>
    <n v="26.32"/>
    <n v="0"/>
    <n v="0"/>
    <n v="114.30000000000001"/>
    <n v="-6.36"/>
  </r>
  <r>
    <x v="11"/>
    <x v="9"/>
    <x v="0"/>
    <s v="8375501"/>
    <n v="721980"/>
    <s v="Supplies-Other"/>
    <s v="Medical Library"/>
    <x v="0"/>
    <m/>
    <n v="95.52"/>
    <n v="31.21"/>
    <n v="494.77"/>
    <n v="6.03"/>
    <n v="141.83000000000001"/>
    <n v="638.13"/>
    <n v="0"/>
    <n v="0"/>
    <n v="87.14"/>
    <n v="224.49"/>
    <n v="0"/>
    <n v="6.36"/>
    <n v="1725.48"/>
    <n v="0"/>
  </r>
  <r>
    <x v="11"/>
    <x v="9"/>
    <x v="0"/>
    <s v="8375501"/>
    <n v="722000"/>
    <s v="Supplies-Freight Expense"/>
    <s v="Medical Library"/>
    <x v="0"/>
    <m/>
    <n v="19.84"/>
    <n v="-6.77"/>
    <n v="8.44"/>
    <n v="-5.53"/>
    <n v="8"/>
    <n v="39.159999999999997"/>
    <n v="7.99"/>
    <n v="1.43"/>
    <n v="8.75"/>
    <n v="-10.25"/>
    <n v="0"/>
    <n v="0"/>
    <n v="71.06"/>
    <n v="-29.630000000000024"/>
  </r>
  <r>
    <x v="12"/>
    <x v="9"/>
    <x v="0"/>
    <s v="8375501"/>
    <n v="730020"/>
    <s v="Rental and Leases-Copier Usage Fees (DO NOT USE)"/>
    <s v="Medical Library"/>
    <x v="0"/>
    <n v="5100"/>
    <n v="142.97999999999999"/>
    <n v="147.91"/>
    <n v="145.44"/>
    <n v="145.44999999999999"/>
    <n v="145.44"/>
    <n v="145.44999999999999"/>
    <n v="161.69"/>
    <n v="144.22999999999999"/>
    <n v="143.91999999999999"/>
    <n v="144.54"/>
    <n v="144.22999999999999"/>
    <n v="173.86"/>
    <n v="1785.1400000000003"/>
    <n v="0"/>
  </r>
  <r>
    <x v="0"/>
    <x v="9"/>
    <x v="0"/>
    <s v="8375501"/>
    <n v="740020"/>
    <s v="Education-Registration Fees"/>
    <s v="Medical Library"/>
    <x v="0"/>
    <m/>
    <n v="45"/>
    <n v="0"/>
    <n v="255"/>
    <n v="0"/>
    <n v="0"/>
    <n v="0"/>
    <n v="0"/>
    <n v="0"/>
    <n v="0"/>
    <n v="0"/>
    <n v="0"/>
    <n v="0"/>
    <n v="300"/>
    <n v="0"/>
  </r>
  <r>
    <x v="0"/>
    <x v="9"/>
    <x v="0"/>
    <s v="8375501"/>
    <n v="743010"/>
    <s v="Dues--Institutional"/>
    <s v="Medical Library"/>
    <x v="0"/>
    <m/>
    <n v="0"/>
    <n v="0"/>
    <n v="0"/>
    <n v="0"/>
    <n v="0"/>
    <n v="0"/>
    <n v="0"/>
    <n v="0"/>
    <n v="0"/>
    <n v="0"/>
    <n v="0"/>
    <n v="0"/>
    <n v="0"/>
    <n v="0"/>
  </r>
  <r>
    <x v="0"/>
    <x v="9"/>
    <x v="0"/>
    <s v="8375501"/>
    <n v="743020"/>
    <s v="Dues--Individual"/>
    <s v="Medical Library"/>
    <x v="0"/>
    <m/>
    <n v="20"/>
    <n v="0"/>
    <n v="0"/>
    <n v="245"/>
    <n v="0"/>
    <n v="25"/>
    <n v="0"/>
    <n v="0"/>
    <n v="0"/>
    <n v="0"/>
    <n v="0"/>
    <n v="0"/>
    <n v="290"/>
    <n v="0"/>
  </r>
  <r>
    <x v="0"/>
    <x v="9"/>
    <x v="0"/>
    <s v="8375501"/>
    <n v="743030"/>
    <s v="Subscriptions--Institutional"/>
    <s v="Medical Library"/>
    <x v="0"/>
    <m/>
    <n v="4294.7"/>
    <n v="23323.7"/>
    <n v="4311.2"/>
    <n v="4186.71"/>
    <n v="4288.67"/>
    <n v="22669.16"/>
    <n v="31340.03"/>
    <n v="3707.63"/>
    <n v="0"/>
    <n v="-379.9"/>
    <n v="0"/>
    <n v="0"/>
    <n v="97741.900000000009"/>
    <n v="-1151.97"/>
  </r>
  <r>
    <x v="0"/>
    <x v="9"/>
    <x v="0"/>
    <s v="8375501"/>
    <n v="749510"/>
    <s v="Miscellaneous Expenses"/>
    <s v="Medical Library"/>
    <x v="0"/>
    <m/>
    <n v="588.5"/>
    <n v="2305.73"/>
    <n v="-3932.75"/>
    <n v="14588.7"/>
    <n v="-13754.1"/>
    <n v="-88.9"/>
    <n v="7195.77"/>
    <n v="-731.95"/>
    <n v="-7259.3"/>
    <n v="379.55"/>
    <n v="-1456.41"/>
    <n v="-304.44"/>
    <n v="-2469.5999999999995"/>
    <n v="0"/>
  </r>
  <r>
    <x v="0"/>
    <x v="9"/>
    <x v="0"/>
    <s v="8375501"/>
    <n v="749510"/>
    <s v="RICE Rewards"/>
    <s v="Medical Library"/>
    <x v="0"/>
    <n v="5100"/>
    <n v="0"/>
    <n v="0"/>
    <n v="0"/>
    <n v="0"/>
    <n v="0"/>
    <n v="0"/>
    <n v="0"/>
    <n v="0"/>
    <n v="0"/>
    <n v="50"/>
    <n v="0"/>
    <n v="0"/>
    <n v="50"/>
    <n v="0"/>
  </r>
  <r>
    <x v="0"/>
    <x v="9"/>
    <x v="0"/>
    <s v="8375501"/>
    <n v="749530"/>
    <s v="Travel"/>
    <s v="Medical Library"/>
    <x v="0"/>
    <m/>
    <n v="0"/>
    <n v="0"/>
    <n v="0"/>
    <n v="470.3"/>
    <n v="0"/>
    <n v="0"/>
    <n v="0"/>
    <n v="0"/>
    <n v="0"/>
    <n v="0"/>
    <n v="0"/>
    <n v="0"/>
    <n v="470.3"/>
    <n v="0"/>
  </r>
  <r>
    <x v="0"/>
    <x v="9"/>
    <x v="0"/>
    <s v="8375501"/>
    <n v="749530"/>
    <s v="Mileage"/>
    <s v="Medical Library"/>
    <x v="0"/>
    <n v="1001"/>
    <n v="0"/>
    <n v="0"/>
    <n v="0"/>
    <n v="0"/>
    <n v="0"/>
    <n v="37.61"/>
    <n v="0"/>
    <n v="0"/>
    <n v="0"/>
    <n v="0"/>
    <n v="0"/>
    <n v="0"/>
    <n v="37.61"/>
    <n v="160.38999999999987"/>
  </r>
  <r>
    <x v="5"/>
    <x v="1"/>
    <x v="0"/>
    <s v="8400200"/>
    <n v="700014"/>
    <s v="Salaries-Management-Productive"/>
    <s v="PC-Canyon Rd-Shared Svc"/>
    <x v="0"/>
    <m/>
    <n v="2584.56"/>
    <n v="1820.94"/>
    <n v="1860.1"/>
    <n v="2749.56"/>
    <n v="1241.24"/>
    <n v="2902.9"/>
    <n v="2787"/>
    <n v="1403.45"/>
    <n v="2526.2199999999998"/>
    <n v="2646.51"/>
    <n v="1764.34"/>
    <n v="1603.95"/>
    <n v="25890.770000000004"/>
    <n v="95.980000000000018"/>
  </r>
  <r>
    <x v="5"/>
    <x v="1"/>
    <x v="0"/>
    <s v="8400200"/>
    <n v="700018"/>
    <s v="Salaries-Supervisory-Productive"/>
    <s v="PC-Canyon Rd-Shared Svc"/>
    <x v="0"/>
    <m/>
    <n v="1001.72"/>
    <n v="1677.32"/>
    <n v="1397.76"/>
    <n v="1410.32"/>
    <n v="1581.36"/>
    <n v="1114.1400000000001"/>
    <n v="1331.79"/>
    <n v="1439.72"/>
    <n v="1271.76"/>
    <n v="1583.69"/>
    <n v="1535.7"/>
    <n v="1439.72"/>
    <n v="16785"/>
    <n v="4283.2000000000007"/>
  </r>
  <r>
    <x v="5"/>
    <x v="1"/>
    <x v="0"/>
    <s v="8400200"/>
    <n v="700038"/>
    <s v="Salaries-Service/Support-Productive"/>
    <s v="PC-Canyon Rd-Shared Svc"/>
    <x v="0"/>
    <m/>
    <n v="24033.8"/>
    <n v="21885.57"/>
    <n v="19605.59"/>
    <n v="21716.63"/>
    <n v="22543.4"/>
    <n v="18365.61"/>
    <n v="24835.759999999998"/>
    <n v="18019.68"/>
    <n v="23878.59"/>
    <n v="25166.12"/>
    <n v="26341.83"/>
    <n v="22058.63"/>
    <n v="268451.20999999996"/>
    <n v="1805.0100000000002"/>
  </r>
  <r>
    <x v="5"/>
    <x v="1"/>
    <x v="0"/>
    <s v="8400200"/>
    <n v="700038"/>
    <s v="Salaries-Service/Support-OT"/>
    <s v="PC-Canyon Rd-Shared Svc"/>
    <x v="0"/>
    <n v="1000"/>
    <n v="678.65"/>
    <n v="2082.89"/>
    <n v="1993.89"/>
    <n v="1780.92"/>
    <n v="1264.81"/>
    <n v="1520.05"/>
    <n v="1843.27"/>
    <n v="972.99"/>
    <n v="2093.2800000000002"/>
    <n v="1233.96"/>
    <n v="2349.63"/>
    <n v="544.62"/>
    <n v="18358.96"/>
    <n v="-148.81"/>
  </r>
  <r>
    <x v="5"/>
    <x v="1"/>
    <x v="0"/>
    <s v="8400200"/>
    <n v="700038"/>
    <s v="Salaries-Service/Support-Other"/>
    <s v="PC-Canyon Rd-Shared Svc"/>
    <x v="0"/>
    <n v="2000"/>
    <n v="452.02"/>
    <n v="313.08999999999997"/>
    <n v="494.5"/>
    <n v="240.35"/>
    <n v="237.13"/>
    <n v="251.84"/>
    <n v="803.41"/>
    <n v="215.47"/>
    <n v="289.48"/>
    <n v="237.92"/>
    <n v="316.55"/>
    <n v="465.36"/>
    <n v="4317.12"/>
    <n v="0"/>
  </r>
  <r>
    <x v="5"/>
    <x v="1"/>
    <x v="0"/>
    <s v="8400200"/>
    <n v="700054"/>
    <s v="Salaries-Management-NonProd-Other"/>
    <s v="PC-Canyon Rd-Shared Svc"/>
    <x v="0"/>
    <n v="2000"/>
    <n v="0"/>
    <n v="0"/>
    <n v="0"/>
    <n v="0"/>
    <n v="0"/>
    <n v="625.59"/>
    <n v="-625.59"/>
    <n v="0"/>
    <n v="0"/>
    <n v="0"/>
    <n v="0"/>
    <n v="0"/>
    <n v="0"/>
    <n v="119.98"/>
  </r>
  <r>
    <x v="5"/>
    <x v="1"/>
    <x v="0"/>
    <s v="8400200"/>
    <n v="700058"/>
    <s v="Salaries-Supervisory-Non-productive"/>
    <s v="PC-Canyon Rd-Shared Svc"/>
    <x v="0"/>
    <m/>
    <n v="1649.88"/>
    <n v="827"/>
    <n v="-270.64"/>
    <n v="232.96"/>
    <n v="0"/>
    <n v="503.16"/>
    <n v="215.99"/>
    <n v="0"/>
    <n v="239.95"/>
    <n v="0"/>
    <n v="119.98"/>
    <n v="0"/>
    <n v="3518.28"/>
    <n v="-6149.58"/>
  </r>
  <r>
    <x v="5"/>
    <x v="1"/>
    <x v="0"/>
    <s v="8400200"/>
    <n v="700078"/>
    <s v="Salaries-Service/Support-Non-productive"/>
    <s v="PC-Canyon Rd-Shared Svc"/>
    <x v="0"/>
    <m/>
    <n v="1676.64"/>
    <n v="2045.57"/>
    <n v="3444.58"/>
    <n v="2222.3000000000002"/>
    <n v="3767.48"/>
    <n v="5558.36"/>
    <n v="1679.89"/>
    <n v="1821.3"/>
    <n v="1694.1"/>
    <n v="4578.3100000000004"/>
    <n v="149.15"/>
    <n v="6298.73"/>
    <n v="34936.410000000003"/>
    <n v="2791.48"/>
  </r>
  <r>
    <x v="5"/>
    <x v="1"/>
    <x v="0"/>
    <s v="8400200"/>
    <n v="700084"/>
    <s v="Accrued PTO"/>
    <s v="PC-Canyon Rd-Shared Svc"/>
    <x v="0"/>
    <m/>
    <n v="421.81"/>
    <n v="-753.52"/>
    <n v="-794.41"/>
    <n v="-614.27"/>
    <n v="1216.3599999999999"/>
    <n v="-3928.5"/>
    <n v="-750.85"/>
    <n v="112.69"/>
    <n v="573.79999999999995"/>
    <n v="647.11"/>
    <n v="2060.59"/>
    <n v="-730.89"/>
    <n v="-2540.08"/>
    <n v="21.239999999999782"/>
  </r>
  <r>
    <x v="6"/>
    <x v="1"/>
    <x v="0"/>
    <s v="8400200"/>
    <n v="713010"/>
    <s v="Benefits-FICA/Medicare"/>
    <s v="PC-Canyon Rd-Shared Svc"/>
    <x v="0"/>
    <m/>
    <n v="2358.39"/>
    <n v="2245.25"/>
    <n v="2104.75"/>
    <n v="2242.9299999999998"/>
    <n v="2254.41"/>
    <n v="2435.09"/>
    <n v="2492.06"/>
    <n v="1737.93"/>
    <n v="2346.38"/>
    <n v="2597.52"/>
    <n v="2392.12"/>
    <n v="2370.88"/>
    <n v="27577.71"/>
    <n v="-750.84999999999854"/>
  </r>
  <r>
    <x v="6"/>
    <x v="1"/>
    <x v="0"/>
    <s v="8400200"/>
    <n v="713090"/>
    <s v="Benefits-Allocated Amounts"/>
    <s v="PC-Canyon Rd-Shared Svc"/>
    <x v="0"/>
    <m/>
    <n v="8700.2999999999993"/>
    <n v="7355"/>
    <n v="8257.44"/>
    <n v="7922.07"/>
    <n v="8299.02"/>
    <n v="8590.7000000000007"/>
    <n v="9895.48"/>
    <n v="8150.79"/>
    <n v="9032.81"/>
    <n v="10002.42"/>
    <n v="9583.3700000000008"/>
    <n v="10334.219999999999"/>
    <n v="106123.61999999998"/>
    <n v="31.39"/>
  </r>
  <r>
    <x v="6"/>
    <x v="1"/>
    <x v="0"/>
    <s v="8400200"/>
    <n v="713096"/>
    <s v="Employee Recognition"/>
    <s v="PC-Canyon Rd-Shared Svc"/>
    <x v="0"/>
    <n v="1017"/>
    <n v="0"/>
    <n v="0"/>
    <n v="0"/>
    <n v="0"/>
    <n v="43.9"/>
    <n v="0"/>
    <n v="0"/>
    <n v="0"/>
    <n v="0"/>
    <n v="0"/>
    <n v="31.39"/>
    <n v="0"/>
    <n v="75.289999999999992"/>
    <n v="515"/>
  </r>
  <r>
    <x v="7"/>
    <x v="1"/>
    <x v="0"/>
    <s v="8400200"/>
    <n v="718050"/>
    <s v="Contract Svcs-Other"/>
    <s v="PC-Canyon Rd-Shared Svc"/>
    <x v="0"/>
    <m/>
    <n v="0"/>
    <n v="0"/>
    <n v="0"/>
    <n v="561.51"/>
    <n v="551.97"/>
    <n v="0"/>
    <n v="0"/>
    <n v="510"/>
    <n v="0"/>
    <n v="0"/>
    <n v="515"/>
    <n v="0"/>
    <n v="2138.48"/>
    <n v="1510.18"/>
  </r>
  <r>
    <x v="7"/>
    <x v="1"/>
    <x v="0"/>
    <s v="8400200"/>
    <n v="718050"/>
    <s v="Cleaning Services"/>
    <s v="PC-Canyon Rd-Shared Svc"/>
    <x v="0"/>
    <n v="1011"/>
    <n v="2928"/>
    <n v="976"/>
    <n v="876"/>
    <n v="0"/>
    <n v="926"/>
    <n v="2928"/>
    <n v="3868"/>
    <n v="976"/>
    <n v="0"/>
    <n v="0"/>
    <n v="2776.07"/>
    <n v="1265.8900000000001"/>
    <n v="17519.96"/>
    <n v="0"/>
  </r>
  <r>
    <x v="7"/>
    <x v="1"/>
    <x v="0"/>
    <s v="8400200"/>
    <n v="718050"/>
    <s v="Physician Answering"/>
    <s v="PC-Canyon Rd-Shared Svc"/>
    <x v="0"/>
    <n v="1015"/>
    <n v="0"/>
    <n v="0"/>
    <n v="0"/>
    <n v="0"/>
    <n v="0"/>
    <n v="0"/>
    <n v="0"/>
    <n v="0"/>
    <n v="336"/>
    <n v="0"/>
    <n v="0"/>
    <n v="0"/>
    <n v="336"/>
    <n v="0"/>
  </r>
  <r>
    <x v="7"/>
    <x v="1"/>
    <x v="0"/>
    <s v="8400200"/>
    <n v="718050"/>
    <s v="Security"/>
    <s v="PC-Canyon Rd-Shared Svc"/>
    <x v="0"/>
    <n v="1019"/>
    <n v="153.74"/>
    <n v="129.74"/>
    <n v="129.74"/>
    <n v="129.74"/>
    <n v="129.74"/>
    <n v="0"/>
    <n v="173"/>
    <n v="0"/>
    <n v="129.74"/>
    <n v="129.74"/>
    <n v="0"/>
    <n v="0"/>
    <n v="1105.18"/>
    <n v="-32.74"/>
  </r>
  <r>
    <x v="7"/>
    <x v="1"/>
    <x v="0"/>
    <s v="8400200"/>
    <n v="718050"/>
    <s v="Miscellaneous Purchased Svcs"/>
    <s v="PC-Canyon Rd-Shared Svc"/>
    <x v="0"/>
    <n v="1020"/>
    <n v="59.06"/>
    <n v="157.44999999999999"/>
    <n v="32.729999999999997"/>
    <n v="32.729999999999997"/>
    <n v="0"/>
    <n v="91.8"/>
    <n v="98.21"/>
    <n v="32.74"/>
    <n v="417.39"/>
    <n v="32.74"/>
    <n v="0"/>
    <n v="32.74"/>
    <n v="987.58999999999992"/>
    <n v="-48.18"/>
  </r>
  <r>
    <x v="7"/>
    <x v="1"/>
    <x v="0"/>
    <s v="8400200"/>
    <n v="718050"/>
    <s v="Translation Services"/>
    <s v="PC-Canyon Rd-Shared Svc"/>
    <x v="0"/>
    <n v="1025"/>
    <n v="16.2"/>
    <n v="0"/>
    <n v="93.15"/>
    <n v="30.02"/>
    <n v="118.14"/>
    <n v="279.83"/>
    <n v="19.5"/>
    <n v="85.36"/>
    <n v="0"/>
    <n v="0"/>
    <n v="0"/>
    <n v="48.18"/>
    <n v="690.37999999999988"/>
    <n v="-244.25"/>
  </r>
  <r>
    <x v="7"/>
    <x v="1"/>
    <x v="0"/>
    <s v="8400200"/>
    <n v="718050"/>
    <s v="Contract Management--Linen"/>
    <s v="PC-Canyon Rd-Shared Svc"/>
    <x v="0"/>
    <n v="1026"/>
    <n v="259.88"/>
    <n v="150.59"/>
    <n v="56.53"/>
    <n v="102.48"/>
    <n v="445.21"/>
    <n v="297.56"/>
    <n v="325.64"/>
    <n v="288.95"/>
    <n v="192.52"/>
    <n v="309.18"/>
    <n v="49.32"/>
    <n v="293.57"/>
    <n v="2771.4300000000003"/>
    <n v="-184.03"/>
  </r>
  <r>
    <x v="7"/>
    <x v="1"/>
    <x v="0"/>
    <s v="8400200"/>
    <n v="718050"/>
    <s v="Purchased Srvcs--Medical Waste"/>
    <s v="PC-Canyon Rd-Shared Svc"/>
    <x v="0"/>
    <n v="1027"/>
    <n v="139.80000000000001"/>
    <n v="20.190000000000001"/>
    <n v="198.06"/>
    <n v="273.3"/>
    <n v="20.190000000000001"/>
    <n v="147.46"/>
    <n v="122.28"/>
    <n v="20.190000000000001"/>
    <n v="115.07"/>
    <n v="105.52"/>
    <n v="0"/>
    <n v="184.03"/>
    <n v="1346.0900000000001"/>
    <n v="475.5"/>
  </r>
  <r>
    <x v="7"/>
    <x v="1"/>
    <x v="0"/>
    <s v="8400200"/>
    <n v="718070"/>
    <s v="Contract Srvcs-CHI Clinical Engineering"/>
    <s v="PC-Canyon Rd-Shared Svc"/>
    <x v="0"/>
    <m/>
    <n v="112.09"/>
    <n v="112.09"/>
    <n v="506.26"/>
    <n v="604.5"/>
    <n v="1336.67"/>
    <n v="1474.29"/>
    <n v="604.5"/>
    <n v="469.25"/>
    <n v="28.75"/>
    <n v="328.75"/>
    <n v="504.25"/>
    <n v="28.75"/>
    <n v="6110.15"/>
    <n v="121.5"/>
  </r>
  <r>
    <x v="7"/>
    <x v="1"/>
    <x v="0"/>
    <s v="8400200"/>
    <n v="718077"/>
    <s v="PACS"/>
    <s v="PC-Canyon Rd-Shared Svc"/>
    <x v="0"/>
    <n v="1000"/>
    <n v="1471.5"/>
    <n v="1588.5"/>
    <n v="1674"/>
    <n v="1739.25"/>
    <n v="1595.25"/>
    <n v="1563.75"/>
    <n v="1858.5"/>
    <n v="1440"/>
    <n v="1723.5"/>
    <n v="1631.25"/>
    <n v="1629"/>
    <n v="1507.5"/>
    <n v="19422"/>
    <n v="-10804.29"/>
  </r>
  <r>
    <x v="11"/>
    <x v="1"/>
    <x v="0"/>
    <s v="8400200"/>
    <n v="721250"/>
    <s v="Supplies-Pharmacy Drugs - Billable"/>
    <s v="PC-Canyon Rd-Shared Svc"/>
    <x v="0"/>
    <m/>
    <n v="1583.29"/>
    <n v="2270.41"/>
    <n v="1854.88"/>
    <n v="3329.11"/>
    <n v="1684.89"/>
    <n v="2494.33"/>
    <n v="3179.42"/>
    <n v="810.32"/>
    <n v="2399.65"/>
    <n v="265.08999999999997"/>
    <n v="-8578.01"/>
    <n v="2226.2800000000002"/>
    <n v="13519.660000000003"/>
    <n v="61.779999999999973"/>
  </r>
  <r>
    <x v="11"/>
    <x v="1"/>
    <x v="0"/>
    <s v="8400200"/>
    <n v="721830"/>
    <s v="Supplies-Office"/>
    <s v="PC-Canyon Rd-Shared Svc"/>
    <x v="0"/>
    <m/>
    <n v="180.31"/>
    <n v="432.56"/>
    <n v="398.78"/>
    <n v="444.58"/>
    <n v="170.45"/>
    <n v="274.61"/>
    <n v="488.99"/>
    <n v="292.63"/>
    <n v="286.92"/>
    <n v="459.56"/>
    <n v="312.33"/>
    <n v="250.55"/>
    <n v="3992.27"/>
    <n v="-6.97"/>
  </r>
  <r>
    <x v="11"/>
    <x v="1"/>
    <x v="0"/>
    <s v="8400200"/>
    <n v="721835"/>
    <s v="Supplies-Forms"/>
    <s v="PC-Canyon Rd-Shared Svc"/>
    <x v="0"/>
    <m/>
    <n v="0"/>
    <n v="0"/>
    <n v="0"/>
    <n v="0"/>
    <n v="0"/>
    <n v="1.87"/>
    <n v="1.9"/>
    <n v="0"/>
    <n v="0"/>
    <n v="0"/>
    <n v="0"/>
    <n v="6.97"/>
    <n v="10.74"/>
    <n v="-701.95"/>
  </r>
  <r>
    <x v="11"/>
    <x v="1"/>
    <x v="0"/>
    <s v="8400200"/>
    <n v="721870"/>
    <s v="Supplies-Environmental Services"/>
    <s v="PC-Canyon Rd-Shared Svc"/>
    <x v="0"/>
    <m/>
    <n v="409.69"/>
    <n v="817.96"/>
    <n v="701.97"/>
    <n v="191.15"/>
    <n v="439.18"/>
    <n v="697.65"/>
    <n v="391.99"/>
    <n v="383.56"/>
    <n v="341.1"/>
    <n v="479.85"/>
    <n v="112.42"/>
    <n v="814.37"/>
    <n v="5780.89"/>
    <n v="0"/>
  </r>
  <r>
    <x v="11"/>
    <x v="1"/>
    <x v="0"/>
    <s v="8400200"/>
    <n v="721910"/>
    <s v="Supplies-Small Equipment"/>
    <s v="PC-Canyon Rd-Shared Svc"/>
    <x v="0"/>
    <m/>
    <n v="0"/>
    <n v="0"/>
    <n v="0"/>
    <n v="315.99"/>
    <n v="0"/>
    <n v="0"/>
    <n v="0"/>
    <n v="0"/>
    <n v="0"/>
    <n v="0"/>
    <n v="0"/>
    <n v="0"/>
    <n v="315.99"/>
    <n v="0"/>
  </r>
  <r>
    <x v="11"/>
    <x v="1"/>
    <x v="0"/>
    <s v="8400200"/>
    <n v="721980"/>
    <s v="Supplies-Other"/>
    <s v="PC-Canyon Rd-Shared Svc"/>
    <x v="0"/>
    <m/>
    <n v="0"/>
    <n v="14.13"/>
    <n v="0"/>
    <n v="0"/>
    <n v="0"/>
    <n v="0"/>
    <n v="0"/>
    <n v="0"/>
    <n v="0"/>
    <n v="0"/>
    <n v="0"/>
    <n v="0"/>
    <n v="14.13"/>
    <n v="-20.5"/>
  </r>
  <r>
    <x v="11"/>
    <x v="1"/>
    <x v="0"/>
    <s v="8400200"/>
    <n v="722000"/>
    <s v="Supplies-Freight Expense"/>
    <s v="PC-Canyon Rd-Shared Svc"/>
    <x v="0"/>
    <m/>
    <n v="0"/>
    <n v="0"/>
    <n v="0"/>
    <n v="0"/>
    <n v="0"/>
    <n v="4.01"/>
    <n v="0"/>
    <n v="0"/>
    <n v="0"/>
    <n v="0"/>
    <n v="0"/>
    <n v="20.5"/>
    <n v="24.509999999999998"/>
    <n v="11155.65"/>
  </r>
  <r>
    <x v="12"/>
    <x v="1"/>
    <x v="0"/>
    <s v="8400200"/>
    <n v="730010"/>
    <s v="Rental and Leases-Building (DO NOT USE)"/>
    <s v="PC-Canyon Rd-Shared Svc"/>
    <x v="0"/>
    <m/>
    <n v="14719.38"/>
    <n v="14719.38"/>
    <n v="14719.38"/>
    <n v="14719.38"/>
    <n v="24655.45"/>
    <n v="-8337.7000000000007"/>
    <n v="11155.65"/>
    <n v="11155.65"/>
    <n v="11155.65"/>
    <n v="11155.65"/>
    <n v="11155.65"/>
    <n v="0"/>
    <n v="130973.51999999997"/>
    <n v="4349.72"/>
  </r>
  <r>
    <x v="12"/>
    <x v="1"/>
    <x v="0"/>
    <s v="8400200"/>
    <n v="730010"/>
    <s v="Rental-Common Area Maint (DO NOT USE)"/>
    <s v="PC-Canyon Rd-Shared Svc"/>
    <x v="0"/>
    <n v="2200"/>
    <n v="0"/>
    <n v="0"/>
    <n v="0"/>
    <n v="0"/>
    <n v="0"/>
    <n v="23869.87"/>
    <n v="4376.5200000000004"/>
    <n v="4854.37"/>
    <n v="4376.5200000000004"/>
    <n v="6918.22"/>
    <n v="4349.72"/>
    <n v="0"/>
    <n v="48745.22"/>
    <n v="-69.569999999999993"/>
  </r>
  <r>
    <x v="12"/>
    <x v="1"/>
    <x v="0"/>
    <s v="8400200"/>
    <n v="730020"/>
    <s v="Rental and Leases-Copier Usage Fees (DO NOT USE)"/>
    <s v="PC-Canyon Rd-Shared Svc"/>
    <x v="0"/>
    <n v="5100"/>
    <n v="0"/>
    <n v="0"/>
    <n v="0"/>
    <n v="0"/>
    <n v="0"/>
    <n v="0"/>
    <n v="0"/>
    <n v="0"/>
    <n v="0"/>
    <n v="496.98"/>
    <n v="377.52"/>
    <n v="447.09"/>
    <n v="1321.59"/>
    <n v="-15505.37"/>
  </r>
  <r>
    <x v="12"/>
    <x v="1"/>
    <x v="0"/>
    <s v="8400200"/>
    <n v="730040"/>
    <s v="LT Lease-Real Estate"/>
    <s v="PC-Canyon Rd-Shared Svc"/>
    <x v="0"/>
    <m/>
    <n v="0"/>
    <n v="0"/>
    <n v="0"/>
    <n v="0"/>
    <n v="0"/>
    <n v="0"/>
    <n v="0"/>
    <n v="0"/>
    <n v="0"/>
    <n v="0"/>
    <n v="0"/>
    <n v="15505.37"/>
    <n v="15505.37"/>
    <n v="-0.66999999999999815"/>
  </r>
  <r>
    <x v="15"/>
    <x v="1"/>
    <x v="0"/>
    <s v="8400200"/>
    <n v="731060"/>
    <s v="Cell Phones"/>
    <s v="PC-Canyon Rd-Shared Svc"/>
    <x v="0"/>
    <n v="1001"/>
    <n v="0"/>
    <n v="27.38"/>
    <n v="54.74"/>
    <n v="0"/>
    <n v="26.83"/>
    <n v="27.45"/>
    <n v="54.81"/>
    <n v="0"/>
    <n v="27.9"/>
    <n v="54.92"/>
    <n v="26.82"/>
    <n v="27.49"/>
    <n v="328.34000000000003"/>
    <n v="123.85"/>
  </r>
  <r>
    <x v="15"/>
    <x v="1"/>
    <x v="0"/>
    <s v="8400200"/>
    <n v="731070"/>
    <s v="Cable TV"/>
    <s v="PC-Canyon Rd-Shared Svc"/>
    <x v="0"/>
    <m/>
    <n v="61.54"/>
    <n v="61.54"/>
    <n v="0"/>
    <n v="123.48"/>
    <n v="61.94"/>
    <n v="61.93"/>
    <n v="61.93"/>
    <n v="0"/>
    <n v="123.86"/>
    <n v="0"/>
    <n v="123.85"/>
    <n v="0"/>
    <n v="680.07"/>
    <n v="-128.28"/>
  </r>
  <r>
    <x v="16"/>
    <x v="1"/>
    <x v="0"/>
    <s v="8400200"/>
    <n v="732030"/>
    <s v="Repairs---Other"/>
    <s v="PC-Canyon Rd-Shared Svc"/>
    <x v="0"/>
    <m/>
    <n v="0"/>
    <n v="211.06"/>
    <n v="1300.67"/>
    <n v="-2"/>
    <n v="0"/>
    <n v="0"/>
    <n v="34.11"/>
    <n v="0"/>
    <n v="0"/>
    <n v="0"/>
    <n v="0"/>
    <n v="128.28"/>
    <n v="1672.12"/>
    <n v="0"/>
  </r>
  <r>
    <x v="16"/>
    <x v="1"/>
    <x v="0"/>
    <s v="8400200"/>
    <n v="732030"/>
    <s v="Repairs&amp;Maintenance-Bldg Routine"/>
    <s v="PC-Canyon Rd-Shared Svc"/>
    <x v="0"/>
    <n v="2300"/>
    <n v="0"/>
    <n v="0"/>
    <n v="0"/>
    <n v="0"/>
    <n v="1469.92"/>
    <n v="145.62"/>
    <n v="52.5"/>
    <n v="180.89"/>
    <n v="0"/>
    <n v="0"/>
    <n v="0"/>
    <n v="0"/>
    <n v="1848.9299999999998"/>
    <n v="810.46999999999935"/>
  </r>
  <r>
    <x v="13"/>
    <x v="1"/>
    <x v="0"/>
    <s v="8400200"/>
    <n v="735050"/>
    <s v="Amortization-Leasehold Improvements"/>
    <s v="PC-Canyon Rd-Shared Svc"/>
    <x v="0"/>
    <m/>
    <n v="6376.43"/>
    <n v="6376.43"/>
    <n v="6376.43"/>
    <n v="6376.44"/>
    <n v="6376.43"/>
    <n v="6376.44"/>
    <n v="6376.44"/>
    <n v="6376.44"/>
    <n v="6376.44"/>
    <n v="6376.44"/>
    <n v="6376.44"/>
    <n v="5565.97"/>
    <n v="75706.77"/>
    <n v="6.9999999999993179E-2"/>
  </r>
  <r>
    <x v="13"/>
    <x v="1"/>
    <x v="0"/>
    <s v="8400200"/>
    <n v="735070"/>
    <s v="Depreciation-Movable Equipment"/>
    <s v="PC-Canyon Rd-Shared Svc"/>
    <x v="0"/>
    <m/>
    <n v="236.79"/>
    <n v="461.67"/>
    <n v="461.67"/>
    <n v="461.63"/>
    <n v="461.67"/>
    <n v="461.63"/>
    <n v="461.68"/>
    <n v="461.63"/>
    <n v="461.68"/>
    <n v="461.62"/>
    <n v="461.69"/>
    <n v="461.62"/>
    <n v="5314.98"/>
    <n v="55"/>
  </r>
  <r>
    <x v="0"/>
    <x v="1"/>
    <x v="0"/>
    <s v="8400200"/>
    <n v="742010"/>
    <s v="Postage-Regular"/>
    <s v="PC-Canyon Rd-Shared Svc"/>
    <x v="0"/>
    <m/>
    <n v="0"/>
    <n v="0"/>
    <n v="0"/>
    <n v="0"/>
    <n v="0"/>
    <n v="0"/>
    <n v="0"/>
    <n v="0"/>
    <n v="0"/>
    <n v="0"/>
    <n v="55"/>
    <n v="0"/>
    <n v="55"/>
    <n v="26.6"/>
  </r>
  <r>
    <x v="0"/>
    <x v="1"/>
    <x v="0"/>
    <s v="8400200"/>
    <n v="743030"/>
    <s v="Subscriptions--Institutional"/>
    <s v="PC-Canyon Rd-Shared Svc"/>
    <x v="0"/>
    <m/>
    <n v="0"/>
    <n v="0"/>
    <n v="0"/>
    <n v="0"/>
    <n v="0"/>
    <n v="0"/>
    <n v="0"/>
    <n v="0"/>
    <n v="0"/>
    <n v="0"/>
    <n v="26.6"/>
    <n v="0"/>
    <n v="26.6"/>
    <n v="-55"/>
  </r>
  <r>
    <x v="0"/>
    <x v="1"/>
    <x v="0"/>
    <s v="8400200"/>
    <n v="749510"/>
    <s v="Miscellaneous Expenses"/>
    <s v="PC-Canyon Rd-Shared Svc"/>
    <x v="0"/>
    <m/>
    <n v="0"/>
    <n v="0"/>
    <n v="0"/>
    <n v="0"/>
    <n v="0"/>
    <n v="0"/>
    <n v="0"/>
    <n v="0"/>
    <n v="0"/>
    <n v="55"/>
    <n v="-55"/>
    <n v="0"/>
    <n v="0"/>
    <n v="0"/>
  </r>
  <r>
    <x v="0"/>
    <x v="1"/>
    <x v="0"/>
    <s v="8400200"/>
    <n v="749510"/>
    <s v="Licenses"/>
    <s v="PC-Canyon Rd-Shared Svc"/>
    <x v="0"/>
    <n v="1002"/>
    <n v="0"/>
    <n v="0"/>
    <n v="265"/>
    <n v="0"/>
    <n v="0"/>
    <n v="512"/>
    <n v="38.75"/>
    <n v="0"/>
    <n v="0"/>
    <n v="0"/>
    <n v="0"/>
    <n v="0"/>
    <n v="815.75"/>
    <n v="-61.07"/>
  </r>
  <r>
    <x v="0"/>
    <x v="1"/>
    <x v="0"/>
    <s v="8400200"/>
    <n v="749510"/>
    <s v="RICE Rewards"/>
    <s v="PC-Canyon Rd-Shared Svc"/>
    <x v="0"/>
    <n v="5100"/>
    <n v="0"/>
    <n v="0"/>
    <n v="0"/>
    <n v="0"/>
    <n v="0"/>
    <n v="0"/>
    <n v="0"/>
    <n v="625.29999999999995"/>
    <n v="0"/>
    <n v="0"/>
    <n v="0"/>
    <n v="61.07"/>
    <n v="686.37"/>
    <n v="0"/>
  </r>
  <r>
    <x v="0"/>
    <x v="1"/>
    <x v="0"/>
    <s v="8400200"/>
    <n v="749530"/>
    <s v="Mileage"/>
    <s v="PC-Canyon Rd-Shared Svc"/>
    <x v="0"/>
    <n v="1001"/>
    <n v="0"/>
    <n v="0"/>
    <n v="0"/>
    <n v="30.54"/>
    <n v="0"/>
    <n v="18.54"/>
    <n v="0"/>
    <n v="0"/>
    <n v="0"/>
    <n v="0"/>
    <n v="0"/>
    <n v="0"/>
    <n v="49.08"/>
    <n v="0"/>
  </r>
  <r>
    <x v="0"/>
    <x v="1"/>
    <x v="0"/>
    <s v="8400200"/>
    <n v="749535"/>
    <s v="Meetings"/>
    <s v="PC-Canyon Rd-Shared Svc"/>
    <x v="0"/>
    <m/>
    <n v="0"/>
    <n v="59.65"/>
    <n v="0"/>
    <n v="0"/>
    <n v="0"/>
    <n v="0"/>
    <n v="0"/>
    <n v="0"/>
    <n v="0"/>
    <n v="0"/>
    <n v="0"/>
    <n v="0"/>
    <n v="59.65"/>
    <n v="0"/>
  </r>
  <r>
    <x v="13"/>
    <x v="19"/>
    <x v="0"/>
    <s v="8400601"/>
    <n v="735050"/>
    <s v="Amortization-Leasehold Improvements"/>
    <s v="Chambers Bay UP-CityMD"/>
    <x v="0"/>
    <m/>
    <n v="0"/>
    <n v="1989.38"/>
    <n v="1989.38"/>
    <n v="1989.38"/>
    <n v="1989.38"/>
    <n v="-7957.52"/>
    <n v="0"/>
    <n v="0"/>
    <n v="0"/>
    <n v="0"/>
    <n v="0"/>
    <n v="0"/>
    <n v="0"/>
    <n v="0"/>
  </r>
  <r>
    <x v="13"/>
    <x v="19"/>
    <x v="0"/>
    <s v="8400601"/>
    <n v="735070"/>
    <s v="Depreciation-Movable Equipment"/>
    <s v="Chambers Bay UP-CityMD"/>
    <x v="0"/>
    <m/>
    <n v="0"/>
    <n v="781.84"/>
    <n v="781.84"/>
    <n v="781.84"/>
    <n v="781.84"/>
    <n v="-3127.36"/>
    <n v="0"/>
    <n v="0"/>
    <n v="0"/>
    <n v="0"/>
    <n v="0"/>
    <n v="0"/>
    <n v="0"/>
    <n v="0"/>
  </r>
  <r>
    <x v="13"/>
    <x v="19"/>
    <x v="0"/>
    <s v="8401601"/>
    <n v="735050"/>
    <s v="Amortization-Leasehold Improvements"/>
    <s v="Puyallup-CityMD"/>
    <x v="0"/>
    <m/>
    <n v="0"/>
    <n v="1920.31"/>
    <n v="1920.31"/>
    <n v="1920.31"/>
    <n v="1920.31"/>
    <n v="-7681.24"/>
    <n v="0"/>
    <n v="0"/>
    <n v="0"/>
    <n v="0"/>
    <n v="0"/>
    <n v="0"/>
    <n v="0"/>
    <n v="0"/>
  </r>
  <r>
    <x v="13"/>
    <x v="19"/>
    <x v="0"/>
    <s v="8401601"/>
    <n v="735070"/>
    <s v="Depreciation-Movable Equipment"/>
    <s v="Puyallup-CityMD"/>
    <x v="0"/>
    <m/>
    <n v="0"/>
    <n v="790.43"/>
    <n v="790.43"/>
    <n v="790.43"/>
    <n v="790.43"/>
    <n v="-3161.72"/>
    <n v="0"/>
    <n v="0"/>
    <n v="0"/>
    <n v="0"/>
    <n v="0"/>
    <n v="0"/>
    <n v="0"/>
    <n v="51594.869999999995"/>
  </r>
  <r>
    <x v="27"/>
    <x v="3"/>
    <x v="0"/>
    <s v="8410101"/>
    <n v="400070"/>
    <s v="Residential Svcs Rev--Medicare"/>
    <s v="Inpatient Hospice"/>
    <x v="0"/>
    <n v="1100"/>
    <n v="-196714.05"/>
    <n v="-180290.81"/>
    <n v="-243900.49"/>
    <n v="-216278.41"/>
    <n v="-160567.70000000001"/>
    <n v="-215590.9"/>
    <n v="-226392.52"/>
    <n v="-195340.34"/>
    <n v="-273228.58"/>
    <n v="-212145.3"/>
    <n v="-154658.84"/>
    <n v="-206253.71"/>
    <n v="-2481361.65"/>
    <n v="-3020.6800000000003"/>
  </r>
  <r>
    <x v="27"/>
    <x v="3"/>
    <x v="0"/>
    <s v="8410101"/>
    <n v="400070"/>
    <s v="Residential Svcs Rev--Medicaid"/>
    <s v="Inpatient Hospice"/>
    <x v="0"/>
    <n v="1200"/>
    <n v="-9476.48"/>
    <n v="-27211.3"/>
    <n v="-42294.69"/>
    <n v="-38495.050000000003"/>
    <n v="-24571.9"/>
    <n v="-15903.51"/>
    <n v="-44741.98"/>
    <n v="-27933.58"/>
    <n v="-43591.87"/>
    <n v="-42953.41"/>
    <n v="-19499"/>
    <n v="-16478.32"/>
    <n v="-353151.09"/>
    <n v="6400.16"/>
  </r>
  <r>
    <x v="27"/>
    <x v="3"/>
    <x v="0"/>
    <s v="8410101"/>
    <n v="400070"/>
    <s v="Residential Svcs Rev--Comm Insurance"/>
    <s v="Inpatient Hospice"/>
    <x v="0"/>
    <n v="1300"/>
    <n v="-17982.439999999999"/>
    <n v="-33549.94"/>
    <n v="-20244.54"/>
    <n v="-8033.92"/>
    <n v="-49710.97"/>
    <n v="-2997.29"/>
    <n v="-35135.360000000001"/>
    <n v="-7701.34"/>
    <n v="-25036.71"/>
    <n v="-23961.85"/>
    <n v="-19281.060000000001"/>
    <n v="-25681.22"/>
    <n v="-269316.64"/>
    <n v="21840.17"/>
  </r>
  <r>
    <x v="27"/>
    <x v="3"/>
    <x v="0"/>
    <s v="8410101"/>
    <n v="400070"/>
    <s v="Residential Svcs Rev--BCBS Comm"/>
    <s v="Inpatient Hospice"/>
    <x v="0"/>
    <n v="1301"/>
    <n v="-22228.59"/>
    <n v="-10856.77"/>
    <n v="-18341.400000000001"/>
    <n v="-15074.68"/>
    <n v="-40909.89"/>
    <n v="-25017.62"/>
    <n v="-7913.18"/>
    <n v="-15296.26"/>
    <n v="-3564.23"/>
    <n v="-12087.03"/>
    <n v="1470.25"/>
    <n v="-20369.919999999998"/>
    <n v="-190189.32"/>
    <n v="9481.4700000000012"/>
  </r>
  <r>
    <x v="27"/>
    <x v="3"/>
    <x v="0"/>
    <s v="8410101"/>
    <n v="400070"/>
    <s v="Residential Svcs Rev--Self Pay"/>
    <s v="Inpatient Hospice"/>
    <x v="0"/>
    <n v="1500"/>
    <n v="-400"/>
    <n v="-4400"/>
    <n v="-15600"/>
    <n v="-6800"/>
    <n v="-25200"/>
    <n v="-26843.45"/>
    <n v="-8550"/>
    <n v="-1302.45"/>
    <n v="-18009.490000000002"/>
    <n v="-14101.65"/>
    <n v="-10215.98"/>
    <n v="-19697.45"/>
    <n v="-151120.47"/>
    <n v="1030.52"/>
  </r>
  <r>
    <x v="27"/>
    <x v="3"/>
    <x v="0"/>
    <s v="8410101"/>
    <n v="400070"/>
    <s v="Residential Svcs Rev--Other"/>
    <s v="Inpatient Hospice"/>
    <x v="0"/>
    <n v="1700"/>
    <n v="0"/>
    <n v="-4146.9399999999996"/>
    <n v="-9601.7999999999993"/>
    <n v="-1686.32"/>
    <n v="-1686.32"/>
    <n v="-3011.96"/>
    <n v="-548.85"/>
    <n v="0"/>
    <n v="-6457.52"/>
    <n v="-11249.17"/>
    <n v="581.34"/>
    <n v="-449.18"/>
    <n v="-38256.720000000001"/>
    <n v="7694.12"/>
  </r>
  <r>
    <x v="2"/>
    <x v="3"/>
    <x v="0"/>
    <s v="8410101"/>
    <n v="450070"/>
    <s v="Contr Allow--Residential-Mcare"/>
    <s v="Inpatient Hospice"/>
    <x v="0"/>
    <n v="1100"/>
    <n v="0"/>
    <n v="0"/>
    <n v="0"/>
    <n v="0"/>
    <n v="0"/>
    <n v="20501.330000000002"/>
    <n v="24594.77"/>
    <n v="66007.009999999995"/>
    <n v="42126.239999999998"/>
    <n v="785.08"/>
    <n v="7694.12"/>
    <n v="0"/>
    <n v="161708.54999999999"/>
    <n v="-3150"/>
  </r>
  <r>
    <x v="2"/>
    <x v="3"/>
    <x v="0"/>
    <s v="8410101"/>
    <n v="450070"/>
    <s v="Contr Allow--Residential-Mcaid"/>
    <s v="Inpatient Hospice"/>
    <x v="0"/>
    <n v="1200"/>
    <n v="0"/>
    <n v="0"/>
    <n v="0"/>
    <n v="0"/>
    <n v="0"/>
    <n v="0"/>
    <n v="0"/>
    <n v="0"/>
    <n v="0"/>
    <n v="0"/>
    <n v="0"/>
    <n v="3150"/>
    <n v="3150"/>
    <n v="0"/>
  </r>
  <r>
    <x v="2"/>
    <x v="3"/>
    <x v="0"/>
    <s v="8410101"/>
    <n v="450070"/>
    <s v="Contr Allow-Residential-BCBS-Comm Insurance"/>
    <s v="Inpatient Hospice"/>
    <x v="0"/>
    <n v="1301"/>
    <n v="14349.3"/>
    <n v="0"/>
    <n v="0"/>
    <n v="0"/>
    <n v="0"/>
    <n v="0"/>
    <n v="0"/>
    <n v="8249"/>
    <n v="0"/>
    <n v="0"/>
    <n v="0"/>
    <n v="0"/>
    <n v="22598.3"/>
    <n v="-1500.1"/>
  </r>
  <r>
    <x v="2"/>
    <x v="3"/>
    <x v="0"/>
    <s v="8410101"/>
    <n v="450070"/>
    <s v="Admin Adjust-Residential-Self Pay"/>
    <s v="Inpatient Hospice"/>
    <x v="0"/>
    <n v="1600"/>
    <n v="0"/>
    <n v="0"/>
    <n v="462.24"/>
    <n v="531.80999999999995"/>
    <n v="0"/>
    <n v="0"/>
    <n v="0"/>
    <n v="0"/>
    <n v="13523.03"/>
    <n v="1310.58"/>
    <n v="0"/>
    <n v="1500.1"/>
    <n v="17327.759999999998"/>
    <n v="0"/>
  </r>
  <r>
    <x v="2"/>
    <x v="3"/>
    <x v="0"/>
    <s v="8410101"/>
    <n v="450070"/>
    <s v="Contr Allow--Residential-Other"/>
    <s v="Inpatient Hospice"/>
    <x v="0"/>
    <n v="1700"/>
    <n v="0"/>
    <n v="0"/>
    <n v="0"/>
    <n v="0"/>
    <n v="0"/>
    <n v="0"/>
    <n v="0"/>
    <n v="9526.15"/>
    <n v="0"/>
    <n v="0"/>
    <n v="0"/>
    <n v="0"/>
    <n v="9526.15"/>
    <n v="35390.67"/>
  </r>
  <r>
    <x v="3"/>
    <x v="3"/>
    <x v="0"/>
    <s v="8410101"/>
    <n v="470070"/>
    <s v="Charity Care-Residential Svcs"/>
    <s v="Inpatient Hospice"/>
    <x v="0"/>
    <m/>
    <n v="0"/>
    <n v="0"/>
    <n v="0"/>
    <n v="1790.1"/>
    <n v="7880.85"/>
    <n v="10124.18"/>
    <n v="0"/>
    <n v="0"/>
    <n v="0"/>
    <n v="10969.27"/>
    <n v="35390.67"/>
    <n v="0"/>
    <n v="66155.070000000007"/>
    <n v="-10075.56"/>
  </r>
  <r>
    <x v="4"/>
    <x v="3"/>
    <x v="0"/>
    <s v="8410101"/>
    <n v="490010"/>
    <s v="Provision for Bad Debts"/>
    <s v="Inpatient Hospice"/>
    <x v="0"/>
    <m/>
    <n v="0"/>
    <n v="0"/>
    <n v="0"/>
    <n v="0"/>
    <n v="0"/>
    <n v="0"/>
    <n v="0"/>
    <n v="0"/>
    <n v="0"/>
    <n v="0"/>
    <n v="0"/>
    <n v="10075.56"/>
    <n v="10075.56"/>
    <n v="2805.27"/>
  </r>
  <r>
    <x v="20"/>
    <x v="3"/>
    <x v="0"/>
    <s v="8410101"/>
    <n v="610010"/>
    <s v="Foundation Distributions"/>
    <s v="Inpatient Hospice"/>
    <x v="0"/>
    <n v="1175"/>
    <n v="0"/>
    <n v="0"/>
    <n v="-2578.52"/>
    <n v="-2250.58"/>
    <n v="0"/>
    <n v="-1078.1199999999999"/>
    <n v="-721.82"/>
    <n v="0"/>
    <n v="-824.25"/>
    <n v="0"/>
    <n v="-1582.56"/>
    <n v="-4387.83"/>
    <n v="-13423.68"/>
    <n v="3977.9100000000017"/>
  </r>
  <r>
    <x v="5"/>
    <x v="3"/>
    <x v="0"/>
    <s v="8410101"/>
    <n v="700014"/>
    <s v="Salaries-Management-Productive"/>
    <s v="Inpatient Hospice"/>
    <x v="0"/>
    <m/>
    <n v="8812.69"/>
    <n v="10467.629999999999"/>
    <n v="7913.97"/>
    <n v="11297.78"/>
    <n v="11439.17"/>
    <n v="8607.35"/>
    <n v="9909.85"/>
    <n v="12125.69"/>
    <n v="11087.95"/>
    <n v="4862.49"/>
    <n v="13482.04"/>
    <n v="9504.1299999999992"/>
    <n v="119510.74000000002"/>
    <n v="-27603.599999999991"/>
  </r>
  <r>
    <x v="5"/>
    <x v="3"/>
    <x v="0"/>
    <s v="8410101"/>
    <n v="700026"/>
    <s v="Salaries-RN-Productive"/>
    <s v="Inpatient Hospice"/>
    <x v="0"/>
    <m/>
    <n v="95598.23"/>
    <n v="92021.3"/>
    <n v="119240.55"/>
    <n v="105879.25"/>
    <n v="91183.06"/>
    <n v="97492.94"/>
    <n v="121518.59"/>
    <n v="88487.79"/>
    <n v="127993.56"/>
    <n v="111189.66"/>
    <n v="90157.77"/>
    <n v="117761.37"/>
    <n v="1258524.0699999998"/>
    <n v="605.67000000000007"/>
  </r>
  <r>
    <x v="5"/>
    <x v="3"/>
    <x v="0"/>
    <s v="8410101"/>
    <n v="700026"/>
    <s v="Salaries-RN-OT"/>
    <s v="Inpatient Hospice"/>
    <x v="0"/>
    <n v="1000"/>
    <n v="5172.41"/>
    <n v="3532"/>
    <n v="6332.44"/>
    <n v="8438.82"/>
    <n v="5570.05"/>
    <n v="5323.98"/>
    <n v="12649.87"/>
    <n v="8897.9"/>
    <n v="8364.64"/>
    <n v="10902.86"/>
    <n v="6907.55"/>
    <n v="6301.88"/>
    <n v="88394.400000000009"/>
    <n v="-1547.9399999999987"/>
  </r>
  <r>
    <x v="5"/>
    <x v="3"/>
    <x v="0"/>
    <s v="8410101"/>
    <n v="700026"/>
    <s v="Salaries-RN-Other"/>
    <s v="Inpatient Hospice"/>
    <x v="0"/>
    <n v="2000"/>
    <n v="11192.57"/>
    <n v="10522.93"/>
    <n v="13484.83"/>
    <n v="11172.91"/>
    <n v="11510.19"/>
    <n v="12099.32"/>
    <n v="13897.57"/>
    <n v="10855.03"/>
    <n v="13911.86"/>
    <n v="13239.01"/>
    <n v="11534.37"/>
    <n v="13082.31"/>
    <n v="146502.9"/>
    <n v="-7561.73"/>
  </r>
  <r>
    <x v="5"/>
    <x v="3"/>
    <x v="0"/>
    <s v="8410101"/>
    <n v="700032"/>
    <s v="Salaries-Other Pat Care Providers-Productive"/>
    <s v="Inpatient Hospice"/>
    <x v="0"/>
    <m/>
    <n v="20695.349999999999"/>
    <n v="23389.4"/>
    <n v="27711.17"/>
    <n v="27665.06"/>
    <n v="25422.07"/>
    <n v="26194.86"/>
    <n v="26185.21"/>
    <n v="26251.200000000001"/>
    <n v="30199.99"/>
    <n v="31850.49"/>
    <n v="24747.65"/>
    <n v="32309.38"/>
    <n v="322621.83"/>
    <n v="-148.18000000000029"/>
  </r>
  <r>
    <x v="5"/>
    <x v="3"/>
    <x v="0"/>
    <s v="8410101"/>
    <n v="700032"/>
    <s v="Salaries-Other Pat Care Providers-OT"/>
    <s v="Inpatient Hospice"/>
    <x v="0"/>
    <n v="1000"/>
    <n v="3149.26"/>
    <n v="801.85"/>
    <n v="5351.92"/>
    <n v="3524.79"/>
    <n v="4629.2"/>
    <n v="254.23"/>
    <n v="2898.65"/>
    <n v="2549.3200000000002"/>
    <n v="2428.15"/>
    <n v="5314.36"/>
    <n v="2729.49"/>
    <n v="2877.67"/>
    <n v="36508.89"/>
    <n v="-1.3900000000003274"/>
  </r>
  <r>
    <x v="5"/>
    <x v="3"/>
    <x v="0"/>
    <s v="8410101"/>
    <n v="700032"/>
    <s v="Salaries-Other Pat Care Providers-Other"/>
    <s v="Inpatient Hospice"/>
    <x v="0"/>
    <n v="2000"/>
    <n v="1447.37"/>
    <n v="1589.18"/>
    <n v="2018.03"/>
    <n v="2028.61"/>
    <n v="2237.86"/>
    <n v="1824.52"/>
    <n v="2086.86"/>
    <n v="2288.3200000000002"/>
    <n v="2517.4"/>
    <n v="2345.2800000000002"/>
    <n v="2642.18"/>
    <n v="2643.57"/>
    <n v="25669.18"/>
    <n v="-493.28000000000065"/>
  </r>
  <r>
    <x v="5"/>
    <x v="3"/>
    <x v="0"/>
    <s v="8410101"/>
    <n v="700038"/>
    <s v="Salaries-Service/Support-Productive"/>
    <s v="Inpatient Hospice"/>
    <x v="0"/>
    <m/>
    <n v="7636.13"/>
    <n v="8165.1"/>
    <n v="7165.88"/>
    <n v="10037.379999999999"/>
    <n v="8026.37"/>
    <n v="8710.4500000000007"/>
    <n v="9363.3700000000008"/>
    <n v="7420.53"/>
    <n v="7700.4"/>
    <n v="8829.2199999999993"/>
    <n v="8954.4699999999993"/>
    <n v="9447.75"/>
    <n v="101457.05"/>
    <n v="-44.769999999999996"/>
  </r>
  <r>
    <x v="5"/>
    <x v="3"/>
    <x v="0"/>
    <s v="8410101"/>
    <n v="700038"/>
    <s v="Salaries-Service/Support-OT"/>
    <s v="Inpatient Hospice"/>
    <x v="0"/>
    <n v="1000"/>
    <n v="22.4"/>
    <n v="480.75"/>
    <n v="116.38"/>
    <n v="533.92999999999995"/>
    <n v="-162.12"/>
    <n v="34.049999999999997"/>
    <n v="83.3"/>
    <n v="-2.14"/>
    <n v="128.49"/>
    <n v="44.37"/>
    <n v="84.24"/>
    <n v="129.01"/>
    <n v="1492.6599999999999"/>
    <n v="13.629999999999995"/>
  </r>
  <r>
    <x v="5"/>
    <x v="3"/>
    <x v="0"/>
    <s v="8410101"/>
    <n v="700038"/>
    <s v="Salaries-Service/Support-Other"/>
    <s v="Inpatient Hospice"/>
    <x v="0"/>
    <n v="2000"/>
    <n v="353.17"/>
    <n v="345.47"/>
    <n v="382.89"/>
    <n v="542.58000000000004"/>
    <n v="352.43"/>
    <n v="498.43"/>
    <n v="377.85"/>
    <n v="323.38"/>
    <n v="416.66"/>
    <n v="371.83"/>
    <n v="443.38"/>
    <n v="429.75"/>
    <n v="4837.82"/>
    <n v="-3609.69"/>
  </r>
  <r>
    <x v="5"/>
    <x v="3"/>
    <x v="0"/>
    <s v="8410101"/>
    <n v="700054"/>
    <s v="Salaries-Management-Non-productive"/>
    <s v="Inpatient Hospice"/>
    <x v="0"/>
    <m/>
    <n v="2338.0100000000002"/>
    <n v="683.59"/>
    <n v="2877.67"/>
    <n v="56.29"/>
    <n v="-404.6"/>
    <n v="2795.4"/>
    <n v="1510.72"/>
    <n v="515.72"/>
    <n v="331.56"/>
    <n v="6188.27"/>
    <n v="-2062.54"/>
    <n v="1547.15"/>
    <n v="16377.239999999996"/>
    <n v="0"/>
  </r>
  <r>
    <x v="5"/>
    <x v="3"/>
    <x v="0"/>
    <s v="8410101"/>
    <n v="700054"/>
    <s v="Salaries-Management-NonProd-Other"/>
    <s v="Inpatient Hospice"/>
    <x v="0"/>
    <n v="2000"/>
    <n v="0"/>
    <n v="0"/>
    <n v="0"/>
    <n v="0"/>
    <n v="0"/>
    <n v="853.91"/>
    <n v="-853.91"/>
    <n v="0"/>
    <n v="0"/>
    <n v="0"/>
    <n v="0"/>
    <n v="0"/>
    <n v="0"/>
    <n v="12706.78"/>
  </r>
  <r>
    <x v="5"/>
    <x v="3"/>
    <x v="0"/>
    <s v="8410101"/>
    <n v="700066"/>
    <s v="Salaries-RN-Non-productive"/>
    <s v="Inpatient Hospice"/>
    <x v="0"/>
    <m/>
    <n v="15904.35"/>
    <n v="13683.77"/>
    <n v="10190.290000000001"/>
    <n v="16340.43"/>
    <n v="22773.98"/>
    <n v="13347.44"/>
    <n v="13376.71"/>
    <n v="15122.63"/>
    <n v="7959.6"/>
    <n v="16123.2"/>
    <n v="23190.91"/>
    <n v="10484.129999999999"/>
    <n v="178497.44000000003"/>
    <n v="-243.69000000000005"/>
  </r>
  <r>
    <x v="5"/>
    <x v="3"/>
    <x v="0"/>
    <s v="8410101"/>
    <n v="700066"/>
    <s v="Salaries-RN-NonProd-Other"/>
    <s v="Inpatient Hospice"/>
    <x v="0"/>
    <n v="2000"/>
    <n v="751.6"/>
    <n v="673.95"/>
    <n v="620.21"/>
    <n v="720.62"/>
    <n v="1698.7"/>
    <n v="703.81"/>
    <n v="664.76"/>
    <n v="1097"/>
    <n v="475.6"/>
    <n v="563.87"/>
    <n v="673.8"/>
    <n v="917.49"/>
    <n v="9561.41"/>
    <n v="2787.3099999999995"/>
  </r>
  <r>
    <x v="5"/>
    <x v="3"/>
    <x v="0"/>
    <s v="8410101"/>
    <n v="700072"/>
    <s v="Salaries-Other Pat Care Providers-Non-productive"/>
    <s v="Inpatient Hospice"/>
    <x v="0"/>
    <m/>
    <n v="4302.83"/>
    <n v="1790.66"/>
    <n v="2225.11"/>
    <n v="2128.85"/>
    <n v="1295.6199999999999"/>
    <n v="5761.32"/>
    <n v="2354.29"/>
    <n v="5190.6400000000003"/>
    <n v="3001.72"/>
    <n v="606.92999999999995"/>
    <n v="7251.19"/>
    <n v="4463.88"/>
    <n v="40373.040000000001"/>
    <n v="29.949999999999989"/>
  </r>
  <r>
    <x v="5"/>
    <x v="3"/>
    <x v="0"/>
    <s v="8410101"/>
    <n v="700072"/>
    <s v="Salaries-Other Pat Care Providers-NonProd-Other"/>
    <s v="Inpatient Hospice"/>
    <x v="0"/>
    <n v="2000"/>
    <n v="80.86"/>
    <n v="49.16"/>
    <n v="3.18"/>
    <n v="39.64"/>
    <n v="4.76"/>
    <n v="120.51"/>
    <n v="83.99"/>
    <n v="165.98"/>
    <n v="142.91"/>
    <n v="35.130000000000003"/>
    <n v="154.26"/>
    <n v="124.31"/>
    <n v="1004.6899999999998"/>
    <n v="1344.3100000000002"/>
  </r>
  <r>
    <x v="5"/>
    <x v="3"/>
    <x v="0"/>
    <s v="8410101"/>
    <n v="700078"/>
    <s v="Salaries-Service/Support-Non-productive"/>
    <s v="Inpatient Hospice"/>
    <x v="0"/>
    <m/>
    <n v="436.19"/>
    <n v="445.35"/>
    <n v="2506.87"/>
    <n v="256.3"/>
    <n v="532.47"/>
    <n v="1663.66"/>
    <n v="362.82"/>
    <n v="1153.27"/>
    <n v="2210.1799999999998"/>
    <n v="232.87"/>
    <n v="1180.6300000000001"/>
    <n v="-163.68"/>
    <n v="10816.93"/>
    <n v="-20.399999999999999"/>
  </r>
  <r>
    <x v="5"/>
    <x v="3"/>
    <x v="0"/>
    <s v="8410101"/>
    <n v="700078"/>
    <s v="Salaries-Service/Support-NonProd-Other"/>
    <s v="Inpatient Hospice"/>
    <x v="0"/>
    <n v="2000"/>
    <n v="0"/>
    <n v="23.28"/>
    <n v="2.04"/>
    <n v="29.53"/>
    <n v="400.55"/>
    <n v="451.25"/>
    <n v="19.82"/>
    <n v="-738.28"/>
    <n v="107.05"/>
    <n v="-24.13"/>
    <n v="2.34"/>
    <n v="22.74"/>
    <n v="296.19000000000017"/>
    <n v="-4554.5599999999995"/>
  </r>
  <r>
    <x v="5"/>
    <x v="3"/>
    <x v="0"/>
    <s v="8410101"/>
    <n v="700084"/>
    <s v="Accrued PTO"/>
    <s v="Inpatient Hospice"/>
    <x v="0"/>
    <m/>
    <n v="-4983.3999999999996"/>
    <n v="10.56"/>
    <n v="992.69"/>
    <n v="9540.18"/>
    <n v="840.05"/>
    <n v="-3060.17"/>
    <n v="3047.2"/>
    <n v="-5848.99"/>
    <n v="7313.86"/>
    <n v="2699.24"/>
    <n v="-2168.08"/>
    <n v="2386.48"/>
    <n v="10769.62"/>
    <n v="0"/>
  </r>
  <r>
    <x v="10"/>
    <x v="3"/>
    <x v="0"/>
    <s v="8410101"/>
    <n v="710060"/>
    <s v="Contract Labor-Other"/>
    <s v="Inpatient Hospice"/>
    <x v="0"/>
    <m/>
    <n v="7271.78"/>
    <n v="2916.49"/>
    <n v="3254.71"/>
    <n v="3269.9"/>
    <n v="1458.68"/>
    <n v="385.69"/>
    <n v="1633.5"/>
    <n v="143.69"/>
    <n v="1089"/>
    <n v="0"/>
    <n v="0"/>
    <n v="0"/>
    <n v="21423.439999999999"/>
    <n v="-1537.0199999999986"/>
  </r>
  <r>
    <x v="6"/>
    <x v="3"/>
    <x v="0"/>
    <s v="8410101"/>
    <n v="713010"/>
    <s v="Benefits-FICA/Medicare"/>
    <s v="Inpatient Hospice"/>
    <x v="0"/>
    <m/>
    <n v="13154.86"/>
    <n v="12462.24"/>
    <n v="15484.52"/>
    <n v="14891.41"/>
    <n v="14136.1"/>
    <n v="13410.81"/>
    <n v="16270.19"/>
    <n v="13455.04"/>
    <n v="16239.81"/>
    <n v="15883.18"/>
    <n v="14171.87"/>
    <n v="15708.89"/>
    <n v="175268.91999999998"/>
    <n v="-3473.820000000007"/>
  </r>
  <r>
    <x v="6"/>
    <x v="3"/>
    <x v="0"/>
    <s v="8410101"/>
    <n v="713090"/>
    <s v="Benefits-Allocated Amounts"/>
    <s v="Inpatient Hospice"/>
    <x v="0"/>
    <m/>
    <n v="36451.54"/>
    <n v="32725.53"/>
    <n v="44151.63"/>
    <n v="41935.9"/>
    <n v="38709.019999999997"/>
    <n v="37256.19"/>
    <n v="45967.07"/>
    <n v="41941.160000000003"/>
    <n v="38864.980000000003"/>
    <n v="46249.75"/>
    <n v="43436.09"/>
    <n v="46909.91"/>
    <n v="494598.77"/>
    <n v="0"/>
  </r>
  <r>
    <x v="7"/>
    <x v="3"/>
    <x v="0"/>
    <s v="8410101"/>
    <n v="718050"/>
    <s v="Contract Svcs-Other"/>
    <s v="Inpatient Hospice"/>
    <x v="0"/>
    <m/>
    <n v="0"/>
    <n v="0"/>
    <n v="0"/>
    <n v="425"/>
    <n v="353.28"/>
    <n v="373.52"/>
    <n v="0"/>
    <n v="35"/>
    <n v="156.05000000000001"/>
    <n v="61.54"/>
    <n v="0"/>
    <n v="0"/>
    <n v="1404.3899999999999"/>
    <n v="1197.7299999999996"/>
  </r>
  <r>
    <x v="7"/>
    <x v="3"/>
    <x v="0"/>
    <s v="8410101"/>
    <n v="718050"/>
    <s v="Miscellaneous Purchased Svcs"/>
    <s v="Inpatient Hospice"/>
    <x v="0"/>
    <n v="1020"/>
    <n v="0"/>
    <n v="7810"/>
    <n v="7350"/>
    <n v="10207.959999999999"/>
    <n v="2710"/>
    <n v="7860"/>
    <n v="7331.25"/>
    <n v="13155"/>
    <n v="10555"/>
    <n v="12910"/>
    <n v="12890"/>
    <n v="11692.27"/>
    <n v="104471.48"/>
    <n v="0"/>
  </r>
  <r>
    <x v="7"/>
    <x v="3"/>
    <x v="0"/>
    <s v="8410101"/>
    <n v="718050"/>
    <s v="Contract Svcs--Medical/Dental"/>
    <s v="Inpatient Hospice"/>
    <x v="0"/>
    <n v="1024"/>
    <n v="0"/>
    <n v="0"/>
    <n v="0"/>
    <n v="1495"/>
    <n v="0"/>
    <n v="0"/>
    <n v="0"/>
    <n v="0"/>
    <n v="0"/>
    <n v="0"/>
    <n v="0"/>
    <n v="0"/>
    <n v="1495"/>
    <n v="0"/>
  </r>
  <r>
    <x v="7"/>
    <x v="3"/>
    <x v="0"/>
    <s v="8410101"/>
    <n v="718050"/>
    <s v="Translation Services"/>
    <s v="Inpatient Hospice"/>
    <x v="0"/>
    <n v="1025"/>
    <n v="0"/>
    <n v="0"/>
    <n v="0"/>
    <n v="0"/>
    <n v="0"/>
    <n v="0"/>
    <n v="0"/>
    <n v="0"/>
    <n v="13.43"/>
    <n v="0"/>
    <n v="0"/>
    <n v="0"/>
    <n v="13.43"/>
    <n v="-6389.6399999999994"/>
  </r>
  <r>
    <x v="7"/>
    <x v="3"/>
    <x v="0"/>
    <s v="8410101"/>
    <n v="718050"/>
    <s v="Contract Management--Linen"/>
    <s v="Inpatient Hospice"/>
    <x v="0"/>
    <n v="1026"/>
    <n v="2464.36"/>
    <n v="0"/>
    <n v="4661.1099999999997"/>
    <n v="0"/>
    <n v="0"/>
    <n v="0"/>
    <n v="5365.27"/>
    <n v="4670.9799999999996"/>
    <n v="0"/>
    <n v="0"/>
    <n v="2674.86"/>
    <n v="9064.5"/>
    <n v="28901.08"/>
    <n v="-4719.28"/>
  </r>
  <r>
    <x v="11"/>
    <x v="3"/>
    <x v="0"/>
    <s v="8410101"/>
    <n v="721010"/>
    <s v="Supplies-Medical - Billable"/>
    <s v="Inpatient Hospice"/>
    <x v="0"/>
    <m/>
    <n v="570.51"/>
    <n v="174.07"/>
    <n v="752.91"/>
    <n v="39"/>
    <n v="378.96"/>
    <n v="1151.58"/>
    <n v="1068.75"/>
    <n v="3291.19"/>
    <n v="1586.99"/>
    <n v="2323.66"/>
    <n v="785.79"/>
    <n v="5505.07"/>
    <n v="17628.48"/>
    <n v="0"/>
  </r>
  <r>
    <x v="11"/>
    <x v="3"/>
    <x v="0"/>
    <s v="8410101"/>
    <n v="721020"/>
    <s v="Tubes Drains &amp; Related Supplies"/>
    <s v="Inpatient Hospice"/>
    <x v="0"/>
    <n v="1008"/>
    <n v="0"/>
    <n v="0"/>
    <n v="0"/>
    <n v="0"/>
    <n v="0"/>
    <n v="0"/>
    <n v="0"/>
    <n v="16.63"/>
    <n v="0"/>
    <n v="0"/>
    <n v="0"/>
    <n v="0"/>
    <n v="16.63"/>
    <n v="-298.95999999999998"/>
  </r>
  <r>
    <x v="11"/>
    <x v="3"/>
    <x v="0"/>
    <s v="8410101"/>
    <n v="721240"/>
    <s v="Supplies-IV Solutions/Supplies - Billable"/>
    <s v="Inpatient Hospice"/>
    <x v="0"/>
    <m/>
    <n v="246.98"/>
    <n v="0"/>
    <n v="9.65"/>
    <n v="97.5"/>
    <n v="234.07"/>
    <n v="0"/>
    <n v="224.22"/>
    <n v="107.15"/>
    <n v="0"/>
    <n v="149.47999999999999"/>
    <n v="0"/>
    <n v="298.95999999999998"/>
    <n v="1368.01"/>
    <n v="0"/>
  </r>
  <r>
    <x v="11"/>
    <x v="3"/>
    <x v="0"/>
    <s v="8410101"/>
    <n v="721250"/>
    <s v="Supplies-Pharmacy Drugs - Billable"/>
    <s v="Inpatient Hospice"/>
    <x v="0"/>
    <m/>
    <n v="0"/>
    <n v="0"/>
    <n v="0"/>
    <n v="0"/>
    <n v="21.64"/>
    <n v="0"/>
    <n v="0"/>
    <n v="0"/>
    <n v="0"/>
    <n v="0"/>
    <n v="0"/>
    <n v="0"/>
    <n v="21.64"/>
    <n v="-629.08999999999969"/>
  </r>
  <r>
    <x v="11"/>
    <x v="3"/>
    <x v="0"/>
    <s v="8410101"/>
    <n v="721410"/>
    <s v="Supplies-Medical - Nonbillable"/>
    <s v="Inpatient Hospice"/>
    <x v="0"/>
    <m/>
    <n v="1090.6099999999999"/>
    <n v="298.26"/>
    <n v="2090.33"/>
    <n v="1222.81"/>
    <n v="1126.8900000000001"/>
    <n v="845.82"/>
    <n v="1639.61"/>
    <n v="2531.91"/>
    <n v="2113.39"/>
    <n v="2776.56"/>
    <n v="2100.3000000000002"/>
    <n v="2729.39"/>
    <n v="20565.879999999997"/>
    <n v="-7.95"/>
  </r>
  <r>
    <x v="11"/>
    <x v="3"/>
    <x v="0"/>
    <s v="8410101"/>
    <n v="721420"/>
    <s v="Supplies-Surgical Nonbillable"/>
    <s v="Inpatient Hospice"/>
    <x v="0"/>
    <m/>
    <n v="0"/>
    <n v="0"/>
    <n v="0"/>
    <n v="0"/>
    <n v="26.69"/>
    <n v="0"/>
    <n v="0"/>
    <n v="0"/>
    <n v="0"/>
    <n v="7.74"/>
    <n v="0"/>
    <n v="7.95"/>
    <n v="42.38"/>
    <n v="0"/>
  </r>
  <r>
    <x v="11"/>
    <x v="3"/>
    <x v="0"/>
    <s v="8410101"/>
    <n v="721420"/>
    <s v="Tubes Drains &amp; Related Supplies"/>
    <s v="Inpatient Hospice"/>
    <x v="0"/>
    <n v="1008"/>
    <n v="0"/>
    <n v="0"/>
    <n v="3.01"/>
    <n v="0"/>
    <n v="0"/>
    <n v="0"/>
    <n v="0"/>
    <n v="0"/>
    <n v="0"/>
    <n v="0"/>
    <n v="0"/>
    <n v="0"/>
    <n v="3.01"/>
    <n v="-1262.26"/>
  </r>
  <r>
    <x v="11"/>
    <x v="3"/>
    <x v="0"/>
    <s v="8410101"/>
    <n v="721640"/>
    <s v="Supplies-IV Solutions/Supplies - Nonbillable"/>
    <s v="Inpatient Hospice"/>
    <x v="0"/>
    <m/>
    <n v="1580"/>
    <n v="0"/>
    <n v="1524.36"/>
    <n v="53.5"/>
    <n v="53.5"/>
    <n v="0"/>
    <n v="0"/>
    <n v="4.96"/>
    <n v="3254.65"/>
    <n v="7444.44"/>
    <n v="575.46"/>
    <n v="1837.72"/>
    <n v="16328.589999999998"/>
    <n v="12.99"/>
  </r>
  <r>
    <x v="11"/>
    <x v="3"/>
    <x v="0"/>
    <s v="8410101"/>
    <n v="721650"/>
    <s v="Supplies-Pharmacy Drugs - Nonbillable"/>
    <s v="Inpatient Hospice"/>
    <x v="0"/>
    <m/>
    <n v="0"/>
    <n v="0"/>
    <n v="0"/>
    <n v="0"/>
    <n v="0"/>
    <n v="0"/>
    <n v="0"/>
    <n v="0"/>
    <n v="0"/>
    <n v="0"/>
    <n v="12.99"/>
    <n v="0"/>
    <n v="12.99"/>
    <n v="857.66000000000008"/>
  </r>
  <r>
    <x v="11"/>
    <x v="3"/>
    <x v="0"/>
    <s v="8410101"/>
    <n v="721710"/>
    <s v="Supplies-Laboratory - Nonbillable"/>
    <s v="Inpatient Hospice"/>
    <x v="0"/>
    <m/>
    <n v="0"/>
    <n v="0"/>
    <n v="0"/>
    <n v="0"/>
    <n v="0"/>
    <n v="0"/>
    <n v="0"/>
    <n v="0"/>
    <n v="0"/>
    <n v="0"/>
    <n v="790.96"/>
    <n v="-66.7"/>
    <n v="724.26"/>
    <n v="-5663.7400000000007"/>
  </r>
  <r>
    <x v="11"/>
    <x v="3"/>
    <x v="0"/>
    <s v="8410101"/>
    <n v="721810"/>
    <s v="Supplies-Dietary/Cafeteria"/>
    <s v="Inpatient Hospice"/>
    <x v="0"/>
    <m/>
    <n v="2701.96"/>
    <n v="5795.75"/>
    <n v="2380.0300000000002"/>
    <n v="6624.84"/>
    <n v="2966.26"/>
    <n v="3590.02"/>
    <n v="4325.1000000000004"/>
    <n v="5485.77"/>
    <n v="4252.22"/>
    <n v="6022.15"/>
    <n v="3252.13"/>
    <n v="8915.8700000000008"/>
    <n v="56312.100000000013"/>
    <n v="-46.82000000000005"/>
  </r>
  <r>
    <x v="11"/>
    <x v="3"/>
    <x v="0"/>
    <s v="8410101"/>
    <n v="721830"/>
    <s v="Supplies-Office"/>
    <s v="Inpatient Hospice"/>
    <x v="0"/>
    <m/>
    <n v="1197.83"/>
    <n v="877.91"/>
    <n v="958.92"/>
    <n v="1330.33"/>
    <n v="859.03"/>
    <n v="919.14"/>
    <n v="1276.57"/>
    <n v="776.4"/>
    <n v="1209.26"/>
    <n v="665.18"/>
    <n v="864.16"/>
    <n v="910.98"/>
    <n v="11845.71"/>
    <n v="0"/>
  </r>
  <r>
    <x v="11"/>
    <x v="3"/>
    <x v="0"/>
    <s v="8410101"/>
    <n v="721850"/>
    <s v="Groundskeeping Supplies"/>
    <s v="Inpatient Hospice"/>
    <x v="0"/>
    <n v="1002"/>
    <n v="0"/>
    <n v="0"/>
    <n v="0"/>
    <n v="0"/>
    <n v="0"/>
    <n v="0"/>
    <n v="0"/>
    <n v="0"/>
    <n v="0"/>
    <n v="0"/>
    <n v="0"/>
    <n v="0"/>
    <n v="0"/>
    <n v="-810.24"/>
  </r>
  <r>
    <x v="11"/>
    <x v="3"/>
    <x v="0"/>
    <s v="8410101"/>
    <n v="721870"/>
    <s v="Supplies-Environmental Services"/>
    <s v="Inpatient Hospice"/>
    <x v="0"/>
    <m/>
    <n v="68.5"/>
    <n v="156.63"/>
    <n v="144.35"/>
    <n v="-83.94"/>
    <n v="0"/>
    <n v="0"/>
    <n v="0"/>
    <n v="0"/>
    <n v="73.739999999999995"/>
    <n v="782.08"/>
    <n v="-461.1"/>
    <n v="349.14"/>
    <n v="1029.4000000000001"/>
    <n v="0"/>
  </r>
  <r>
    <x v="11"/>
    <x v="3"/>
    <x v="0"/>
    <s v="8410101"/>
    <n v="721880"/>
    <s v="Supplies-Linen"/>
    <s v="Inpatient Hospice"/>
    <x v="0"/>
    <m/>
    <n v="0"/>
    <n v="0"/>
    <n v="0"/>
    <n v="0"/>
    <n v="0"/>
    <n v="0"/>
    <n v="0"/>
    <n v="0"/>
    <n v="0"/>
    <n v="0"/>
    <n v="0"/>
    <n v="0"/>
    <n v="0"/>
    <n v="-102.89999999999999"/>
  </r>
  <r>
    <x v="11"/>
    <x v="3"/>
    <x v="0"/>
    <s v="8410101"/>
    <n v="721910"/>
    <s v="Supplies-Small Equipment"/>
    <s v="Inpatient Hospice"/>
    <x v="0"/>
    <m/>
    <n v="0"/>
    <n v="0"/>
    <n v="17.309999999999999"/>
    <n v="283.29000000000002"/>
    <n v="0"/>
    <n v="363.33"/>
    <n v="-3191.35"/>
    <n v="361.79"/>
    <n v="438.2"/>
    <n v="103.19"/>
    <n v="78.760000000000005"/>
    <n v="181.66"/>
    <n v="-1363.82"/>
    <n v="-3863.37"/>
  </r>
  <r>
    <x v="11"/>
    <x v="3"/>
    <x v="0"/>
    <s v="8410101"/>
    <n v="721980"/>
    <s v="Supplies-Other"/>
    <s v="Inpatient Hospice"/>
    <x v="0"/>
    <m/>
    <n v="338.71"/>
    <n v="68.58"/>
    <n v="417.68"/>
    <n v="56.38"/>
    <n v="16.52"/>
    <n v="0"/>
    <n v="993.38"/>
    <n v="192.2"/>
    <n v="10718.31"/>
    <n v="2550.48"/>
    <n v="36.01"/>
    <n v="3899.38"/>
    <n v="19287.629999999997"/>
    <n v="30807.279999999999"/>
  </r>
  <r>
    <x v="12"/>
    <x v="3"/>
    <x v="0"/>
    <s v="8410101"/>
    <n v="730010"/>
    <s v="Rental and Leases-Building (DO NOT USE)"/>
    <s v="Inpatient Hospice"/>
    <x v="0"/>
    <m/>
    <n v="40895.980000000003"/>
    <n v="45438.91"/>
    <n v="40895.980000000003"/>
    <n v="40895.980000000003"/>
    <n v="40403.68"/>
    <n v="36691.699999999997"/>
    <n v="41918.39"/>
    <n v="41918.39"/>
    <n v="30807.279999999999"/>
    <n v="30807.279999999999"/>
    <n v="19696.169999999998"/>
    <n v="-11111.11"/>
    <n v="399258.63000000006"/>
    <n v="2135.2800000000002"/>
  </r>
  <r>
    <x v="12"/>
    <x v="3"/>
    <x v="0"/>
    <s v="8410101"/>
    <n v="730010"/>
    <s v="Rental-Common Area Maint (DO NOT USE)"/>
    <s v="Inpatient Hospice"/>
    <x v="0"/>
    <n v="2200"/>
    <n v="0"/>
    <n v="0"/>
    <n v="0"/>
    <n v="0"/>
    <n v="0"/>
    <n v="6741.48"/>
    <n v="0"/>
    <n v="0"/>
    <n v="0"/>
    <n v="0"/>
    <n v="2135.2800000000002"/>
    <n v="0"/>
    <n v="8876.76"/>
    <n v="0"/>
  </r>
  <r>
    <x v="12"/>
    <x v="3"/>
    <x v="0"/>
    <s v="8410101"/>
    <n v="730020"/>
    <s v="Rental and Leases-Equipment (DO NOT USE)"/>
    <s v="Inpatient Hospice"/>
    <x v="0"/>
    <m/>
    <n v="0"/>
    <n v="0"/>
    <n v="0"/>
    <n v="494.55"/>
    <n v="0"/>
    <n v="0"/>
    <n v="0"/>
    <n v="0"/>
    <n v="0"/>
    <n v="6431.35"/>
    <n v="0"/>
    <n v="0"/>
    <n v="6925.9000000000005"/>
    <n v="-172.44000000000005"/>
  </r>
  <r>
    <x v="12"/>
    <x v="3"/>
    <x v="0"/>
    <s v="8410101"/>
    <n v="730020"/>
    <s v="Rental and Leases-Copier Usage Fees (DO NOT USE)"/>
    <s v="Inpatient Hospice"/>
    <x v="0"/>
    <n v="5100"/>
    <n v="2585.13"/>
    <n v="2708.47"/>
    <n v="2646.8"/>
    <n v="2646.8"/>
    <n v="2646.8"/>
    <n v="2646.8"/>
    <n v="-18041.48"/>
    <n v="1035.54"/>
    <n v="585.88"/>
    <n v="1163.8900000000001"/>
    <n v="588.05999999999995"/>
    <n v="760.5"/>
    <n v="1973.1899999999996"/>
    <n v="-41918.39"/>
  </r>
  <r>
    <x v="12"/>
    <x v="3"/>
    <x v="0"/>
    <s v="8410101"/>
    <n v="730040"/>
    <s v="LT Lease-Real Estate"/>
    <s v="Inpatient Hospice"/>
    <x v="0"/>
    <m/>
    <n v="0"/>
    <n v="0"/>
    <n v="0"/>
    <n v="0"/>
    <n v="0"/>
    <n v="0"/>
    <n v="0"/>
    <n v="0"/>
    <n v="0"/>
    <n v="0"/>
    <n v="0"/>
    <n v="41918.39"/>
    <n v="41918.39"/>
    <n v="55.34"/>
  </r>
  <r>
    <x v="15"/>
    <x v="3"/>
    <x v="0"/>
    <s v="8410101"/>
    <n v="731010"/>
    <s v="Natural Gas"/>
    <s v="Inpatient Hospice"/>
    <x v="0"/>
    <m/>
    <n v="138.13"/>
    <n v="215.65"/>
    <n v="0"/>
    <n v="121.3"/>
    <n v="184.74"/>
    <n v="301.7"/>
    <n v="734.77"/>
    <n v="0"/>
    <n v="502.36"/>
    <n v="342.36"/>
    <n v="214.24"/>
    <n v="158.9"/>
    <n v="2914.15"/>
    <n v="148.31999999999994"/>
  </r>
  <r>
    <x v="15"/>
    <x v="3"/>
    <x v="0"/>
    <s v="8410101"/>
    <n v="731020"/>
    <s v="Electricity"/>
    <s v="Inpatient Hospice"/>
    <x v="0"/>
    <m/>
    <n v="905.29"/>
    <n v="858.68"/>
    <n v="907.91"/>
    <n v="833.91"/>
    <n v="709.16"/>
    <n v="863.54"/>
    <n v="911.28"/>
    <n v="957.51"/>
    <n v="921.16"/>
    <n v="836.68"/>
    <n v="881.76"/>
    <n v="733.44"/>
    <n v="10320.32"/>
    <n v="-0.26000000000004775"/>
  </r>
  <r>
    <x v="15"/>
    <x v="3"/>
    <x v="0"/>
    <s v="8410101"/>
    <n v="731030"/>
    <s v="Water"/>
    <s v="Inpatient Hospice"/>
    <x v="0"/>
    <m/>
    <n v="336.17"/>
    <n v="307.64"/>
    <n v="354.01"/>
    <n v="302.67"/>
    <n v="252.6"/>
    <n v="259.73"/>
    <n v="299.69"/>
    <n v="330.61"/>
    <n v="271.10000000000002"/>
    <n v="334.85"/>
    <n v="382.84"/>
    <n v="383.1"/>
    <n v="3815.0099999999998"/>
    <n v="0"/>
  </r>
  <r>
    <x v="15"/>
    <x v="3"/>
    <x v="0"/>
    <s v="8410101"/>
    <n v="731040"/>
    <s v="Sewer"/>
    <s v="Inpatient Hospice"/>
    <x v="0"/>
    <m/>
    <n v="290.89"/>
    <n v="290.89"/>
    <n v="290.89"/>
    <n v="290.89"/>
    <n v="290.89"/>
    <n v="290.89"/>
    <n v="290.89"/>
    <n v="228.87"/>
    <n v="228.87"/>
    <n v="228.87"/>
    <n v="228.87"/>
    <n v="228.87"/>
    <n v="3180.579999999999"/>
    <n v="-1033.6100000000001"/>
  </r>
  <r>
    <x v="15"/>
    <x v="3"/>
    <x v="0"/>
    <s v="8410101"/>
    <n v="731050"/>
    <s v="Refuse Disposal"/>
    <s v="Inpatient Hospice"/>
    <x v="0"/>
    <m/>
    <n v="1655.21"/>
    <n v="809.72"/>
    <n v="882.26"/>
    <n v="805.39"/>
    <n v="696.19"/>
    <n v="966.19"/>
    <n v="985.11"/>
    <n v="964.72"/>
    <n v="745.62"/>
    <n v="1612.12"/>
    <n v="129.85"/>
    <n v="1163.46"/>
    <n v="11415.840000000004"/>
    <n v="689.26"/>
  </r>
  <r>
    <x v="15"/>
    <x v="3"/>
    <x v="0"/>
    <s v="8410101"/>
    <n v="731070"/>
    <s v="Cable TV"/>
    <s v="Inpatient Hospice"/>
    <x v="0"/>
    <m/>
    <n v="1267.92"/>
    <n v="635.42999999999995"/>
    <n v="2.94"/>
    <n v="1267.92"/>
    <n v="635.42999999999995"/>
    <n v="2.94"/>
    <n v="1268.3599999999999"/>
    <n v="3.16"/>
    <n v="635.76"/>
    <n v="1325.02"/>
    <n v="692.42"/>
    <n v="3.16"/>
    <n v="7740.4599999999991"/>
    <n v="0"/>
  </r>
  <r>
    <x v="16"/>
    <x v="3"/>
    <x v="0"/>
    <s v="8410101"/>
    <n v="732030"/>
    <s v="Repairs---Other"/>
    <s v="Inpatient Hospice"/>
    <x v="0"/>
    <m/>
    <n v="0"/>
    <n v="228.59"/>
    <n v="0"/>
    <n v="0"/>
    <n v="0"/>
    <n v="0"/>
    <n v="386.3"/>
    <n v="0"/>
    <n v="2632.63"/>
    <n v="0"/>
    <n v="0"/>
    <n v="0"/>
    <n v="3247.52"/>
    <n v="2773.2400000000002"/>
  </r>
  <r>
    <x v="16"/>
    <x v="3"/>
    <x v="0"/>
    <s v="8410101"/>
    <n v="732030"/>
    <s v="Repairs&amp;Maintenance-Bldg Routine"/>
    <s v="Inpatient Hospice"/>
    <x v="0"/>
    <n v="2300"/>
    <n v="302.06"/>
    <n v="163.91"/>
    <n v="0"/>
    <n v="2969.77"/>
    <n v="114.3"/>
    <n v="487.54"/>
    <n v="799.96"/>
    <n v="0"/>
    <n v="238.58"/>
    <n v="0"/>
    <n v="3181.15"/>
    <n v="407.91"/>
    <n v="8665.18"/>
    <n v="-4532.49"/>
  </r>
  <r>
    <x v="16"/>
    <x v="3"/>
    <x v="0"/>
    <s v="8410101"/>
    <n v="733030"/>
    <s v="Maintenance Contracts-Other"/>
    <s v="Inpatient Hospice"/>
    <x v="0"/>
    <m/>
    <n v="2149.64"/>
    <n v="4664.12"/>
    <n v="1608.88"/>
    <n v="1688.49"/>
    <n v="54.79"/>
    <n v="1865.91"/>
    <n v="783.36"/>
    <n v="61.54"/>
    <n v="824.25"/>
    <n v="61.54"/>
    <n v="1644.1"/>
    <n v="6176.59"/>
    <n v="21583.210000000003"/>
    <n v="1.0000000002037268E-2"/>
  </r>
  <r>
    <x v="13"/>
    <x v="3"/>
    <x v="0"/>
    <s v="8410101"/>
    <n v="735050"/>
    <s v="Amortization-Leasehold Improvements"/>
    <s v="Inpatient Hospice"/>
    <x v="0"/>
    <m/>
    <n v="19072.05"/>
    <n v="19072.05"/>
    <n v="19072.05"/>
    <n v="19072.05"/>
    <n v="19072.05"/>
    <n v="19072.05"/>
    <n v="19072.05"/>
    <n v="19072.05"/>
    <n v="19072.05"/>
    <n v="19072.05"/>
    <n v="19072.060000000001"/>
    <n v="19072.05"/>
    <n v="228864.60999999996"/>
    <n v="1.0000000000001563E-2"/>
  </r>
  <r>
    <x v="13"/>
    <x v="3"/>
    <x v="0"/>
    <s v="8410101"/>
    <n v="735060"/>
    <s v="Depreciation-Fixed Equipment"/>
    <s v="Inpatient Hospice"/>
    <x v="0"/>
    <m/>
    <n v="20.399999999999999"/>
    <n v="20.399999999999999"/>
    <n v="20.399999999999999"/>
    <n v="20.399999999999999"/>
    <n v="20.399999999999999"/>
    <n v="20.399999999999999"/>
    <n v="20.41"/>
    <n v="20.399999999999999"/>
    <n v="20.41"/>
    <n v="20.399999999999999"/>
    <n v="20.41"/>
    <n v="20.399999999999999"/>
    <n v="244.83"/>
    <n v="5.0000000000011369E-2"/>
  </r>
  <r>
    <x v="13"/>
    <x v="3"/>
    <x v="0"/>
    <s v="8410101"/>
    <n v="735070"/>
    <s v="Depreciation-Movable Equipment"/>
    <s v="Inpatient Hospice"/>
    <x v="0"/>
    <m/>
    <n v="373.07"/>
    <n v="373.07"/>
    <n v="373.07"/>
    <n v="373.07"/>
    <n v="373.09"/>
    <n v="373.07"/>
    <n v="373.1"/>
    <n v="373.06"/>
    <n v="373.1"/>
    <n v="373.05"/>
    <n v="373.1"/>
    <n v="373.05"/>
    <n v="4476.9000000000005"/>
    <n v="0"/>
  </r>
  <r>
    <x v="0"/>
    <x v="3"/>
    <x v="0"/>
    <s v="8410101"/>
    <n v="740020"/>
    <s v="Education-Registration Fees"/>
    <s v="Inpatient Hospice"/>
    <x v="0"/>
    <m/>
    <n v="0"/>
    <n v="0"/>
    <n v="0"/>
    <n v="0"/>
    <n v="0"/>
    <n v="0"/>
    <n v="0"/>
    <n v="400"/>
    <n v="0"/>
    <n v="0"/>
    <n v="0"/>
    <n v="0"/>
    <n v="400"/>
    <n v="-12"/>
  </r>
  <r>
    <x v="0"/>
    <x v="3"/>
    <x v="0"/>
    <s v="8410101"/>
    <n v="749510"/>
    <s v="Miscellaneous Expenses"/>
    <s v="Inpatient Hospice"/>
    <x v="0"/>
    <m/>
    <n v="0"/>
    <n v="0"/>
    <n v="0"/>
    <n v="0"/>
    <n v="0"/>
    <n v="0"/>
    <n v="400"/>
    <n v="-400"/>
    <n v="0"/>
    <n v="349"/>
    <n v="0"/>
    <n v="12"/>
    <n v="361"/>
    <n v="0"/>
  </r>
  <r>
    <x v="0"/>
    <x v="3"/>
    <x v="0"/>
    <s v="8410101"/>
    <n v="749510"/>
    <s v="Licenses"/>
    <s v="Inpatient Hospice"/>
    <x v="0"/>
    <n v="1002"/>
    <n v="0"/>
    <n v="0"/>
    <n v="0"/>
    <n v="0"/>
    <n v="0"/>
    <n v="0"/>
    <n v="300"/>
    <n v="0"/>
    <n v="0"/>
    <n v="0"/>
    <n v="0"/>
    <n v="0"/>
    <n v="300"/>
    <n v="1369.86"/>
  </r>
  <r>
    <x v="0"/>
    <x v="3"/>
    <x v="0"/>
    <s v="8410101"/>
    <n v="749510"/>
    <s v="RICE Rewards"/>
    <s v="Inpatient Hospice"/>
    <x v="0"/>
    <n v="5100"/>
    <n v="0"/>
    <n v="0"/>
    <n v="0"/>
    <n v="0"/>
    <n v="0"/>
    <n v="0"/>
    <n v="0"/>
    <n v="0"/>
    <n v="0"/>
    <n v="0"/>
    <n v="1376.3"/>
    <n v="6.44"/>
    <n v="1382.74"/>
    <n v="0"/>
  </r>
  <r>
    <x v="0"/>
    <x v="3"/>
    <x v="0"/>
    <s v="8410101"/>
    <n v="749530"/>
    <s v="Travel"/>
    <s v="Inpatient Hospice"/>
    <x v="0"/>
    <m/>
    <n v="0"/>
    <n v="0"/>
    <n v="0"/>
    <n v="0"/>
    <n v="0"/>
    <n v="0"/>
    <n v="7"/>
    <n v="0"/>
    <n v="293.24"/>
    <n v="0"/>
    <n v="0"/>
    <n v="0"/>
    <n v="300.24"/>
    <n v="-230.26"/>
  </r>
  <r>
    <x v="0"/>
    <x v="3"/>
    <x v="0"/>
    <s v="8410101"/>
    <n v="749530"/>
    <s v="Mileage"/>
    <s v="Inpatient Hospice"/>
    <x v="0"/>
    <n v="1001"/>
    <n v="0"/>
    <n v="0"/>
    <n v="0"/>
    <n v="0"/>
    <n v="0"/>
    <n v="0"/>
    <n v="96.86"/>
    <n v="0"/>
    <n v="193.14"/>
    <n v="0"/>
    <n v="4.0599999999999996"/>
    <n v="234.32"/>
    <n v="528.38"/>
    <n v="303.14999999999998"/>
  </r>
  <r>
    <x v="3"/>
    <x v="8"/>
    <x v="0"/>
    <s v="8550104"/>
    <n v="470010"/>
    <s v="Charity Care-Acute I/P Svcs"/>
    <s v="Franciscan Pharmacy-St Anthony"/>
    <x v="0"/>
    <m/>
    <n v="1100.08"/>
    <n v="350.55"/>
    <n v="1225.17"/>
    <n v="3781.16"/>
    <n v="1200.54"/>
    <n v="819.43"/>
    <n v="1374.09"/>
    <n v="1535.25"/>
    <n v="345.54"/>
    <n v="2528.73"/>
    <n v="303.14999999999998"/>
    <n v="0"/>
    <n v="14563.69"/>
    <n v="-520.47"/>
  </r>
  <r>
    <x v="14"/>
    <x v="8"/>
    <x v="0"/>
    <s v="8550104"/>
    <n v="600032"/>
    <s v="DME Revenue"/>
    <s v="Franciscan Pharmacy-St Anthony"/>
    <x v="0"/>
    <m/>
    <n v="-432.76"/>
    <n v="-698.37"/>
    <n v="-158.96"/>
    <n v="-95.44"/>
    <n v="-2518"/>
    <n v="-1215.76"/>
    <n v="-1411.18"/>
    <n v="-1286.04"/>
    <n v="-258.14999999999998"/>
    <n v="-2381.9699999999998"/>
    <n v="-1136.76"/>
    <n v="-616.29"/>
    <n v="-12209.68"/>
    <n v="-397.48"/>
  </r>
  <r>
    <x v="14"/>
    <x v="8"/>
    <x v="0"/>
    <s v="8550104"/>
    <n v="600032"/>
    <s v="Deductions From Revenue--DME"/>
    <s v="Franciscan Pharmacy-St Anthony"/>
    <x v="0"/>
    <n v="4900"/>
    <n v="171.33"/>
    <n v="114.03"/>
    <n v="304.02999999999997"/>
    <n v="244.31"/>
    <n v="314.35000000000002"/>
    <n v="194.36"/>
    <n v="1158.8900000000001"/>
    <n v="342.01"/>
    <n v="206.31"/>
    <n v="248.31"/>
    <n v="17.5"/>
    <n v="414.98"/>
    <n v="3730.4100000000003"/>
    <n v="0"/>
  </r>
  <r>
    <x v="14"/>
    <x v="8"/>
    <x v="0"/>
    <s v="8550104"/>
    <n v="600034"/>
    <s v="Vending Commission"/>
    <s v="Franciscan Pharmacy-St Anthony"/>
    <x v="0"/>
    <n v="1002"/>
    <n v="0"/>
    <n v="-3.87"/>
    <n v="0"/>
    <n v="0"/>
    <n v="0"/>
    <n v="-12.67"/>
    <n v="0"/>
    <n v="0"/>
    <n v="16.54"/>
    <n v="0"/>
    <n v="0"/>
    <n v="0"/>
    <n v="0"/>
    <n v="-95937.659999999974"/>
  </r>
  <r>
    <x v="14"/>
    <x v="8"/>
    <x v="0"/>
    <s v="8550104"/>
    <n v="600048"/>
    <s v="Retail Pharmacy"/>
    <s v="Franciscan Pharmacy-St Anthony"/>
    <x v="0"/>
    <m/>
    <n v="-444982.21"/>
    <n v="-504411.11"/>
    <n v="-400821.98"/>
    <n v="-526932.46"/>
    <n v="-380131.93"/>
    <n v="-327443.40999999997"/>
    <n v="-618488.31000000006"/>
    <n v="-1284308.3799999999"/>
    <n v="460672.16"/>
    <n v="-495484.57"/>
    <n v="-522840.66"/>
    <n v="-426903"/>
    <n v="-5472075.8600000003"/>
    <n v="-490.83999999999969"/>
  </r>
  <r>
    <x v="14"/>
    <x v="8"/>
    <x v="0"/>
    <s v="8550104"/>
    <n v="600048"/>
    <s v="Pharmacy Taxable Sales"/>
    <s v="Franciscan Pharmacy-St Anthony"/>
    <x v="0"/>
    <n v="1002"/>
    <n v="-2875.41"/>
    <n v="-3598.38"/>
    <n v="-2211.17"/>
    <n v="-2542.4299999999998"/>
    <n v="-3092.45"/>
    <n v="-1726.48"/>
    <n v="-2783.29"/>
    <n v="-2889.32"/>
    <n v="-2915.55"/>
    <n v="-2553.91"/>
    <n v="-2434.7399999999998"/>
    <n v="-1943.9"/>
    <n v="-31567.03"/>
    <n v="-303.14999999999998"/>
  </r>
  <r>
    <x v="14"/>
    <x v="8"/>
    <x v="0"/>
    <s v="8550104"/>
    <n v="600050"/>
    <s v="Miscellaneous Revenue"/>
    <s v="Franciscan Pharmacy-St Anthony"/>
    <x v="0"/>
    <m/>
    <n v="-1100.08"/>
    <n v="-350.55"/>
    <n v="-1225.17"/>
    <n v="-3781.16"/>
    <n v="-1200.54"/>
    <n v="-819.43"/>
    <n v="-1374.09"/>
    <n v="-1535.25"/>
    <n v="-345.54"/>
    <n v="-2528.73"/>
    <n v="-303.14999999999998"/>
    <n v="0"/>
    <n v="-14563.69"/>
    <n v="3206.7900000000009"/>
  </r>
  <r>
    <x v="5"/>
    <x v="8"/>
    <x v="0"/>
    <s v="8550104"/>
    <n v="700018"/>
    <s v="Salaries-Supervisory-Productive"/>
    <s v="Franciscan Pharmacy-St Anthony"/>
    <x v="0"/>
    <m/>
    <n v="10997.6"/>
    <n v="10326.36"/>
    <n v="9571.08"/>
    <n v="11837.18"/>
    <n v="13315.8"/>
    <n v="9142.57"/>
    <n v="13187.79"/>
    <n v="10911.02"/>
    <n v="13422.37"/>
    <n v="12988.97"/>
    <n v="12210.04"/>
    <n v="9003.25"/>
    <n v="136914.03"/>
    <n v="5220.9000000000015"/>
  </r>
  <r>
    <x v="5"/>
    <x v="8"/>
    <x v="0"/>
    <s v="8550104"/>
    <n v="700032"/>
    <s v="Salaries-Other Pat Care Providers-Productive"/>
    <s v="Franciscan Pharmacy-St Anthony"/>
    <x v="0"/>
    <m/>
    <n v="13033.54"/>
    <n v="14856.38"/>
    <n v="13077.93"/>
    <n v="13512.36"/>
    <n v="12663.43"/>
    <n v="13002.15"/>
    <n v="14655.15"/>
    <n v="12275.78"/>
    <n v="13507.73"/>
    <n v="12277.86"/>
    <n v="16434.400000000001"/>
    <n v="11213.5"/>
    <n v="160510.21"/>
    <n v="57.55"/>
  </r>
  <r>
    <x v="5"/>
    <x v="8"/>
    <x v="0"/>
    <s v="8550104"/>
    <n v="700032"/>
    <s v="Salaries-Other Pat Care Providers-OT"/>
    <s v="Franciscan Pharmacy-St Anthony"/>
    <x v="0"/>
    <n v="1000"/>
    <n v="0"/>
    <n v="0"/>
    <n v="0"/>
    <n v="0"/>
    <n v="105.17"/>
    <n v="-37.39"/>
    <n v="1225.22"/>
    <n v="-275.7"/>
    <n v="-7.39"/>
    <n v="0"/>
    <n v="38.85"/>
    <n v="-18.7"/>
    <n v="1030.06"/>
    <n v="607.77"/>
  </r>
  <r>
    <x v="5"/>
    <x v="8"/>
    <x v="0"/>
    <s v="8550104"/>
    <n v="700032"/>
    <s v="Salaries-Other Pat Care Providers-Other"/>
    <s v="Franciscan Pharmacy-St Anthony"/>
    <x v="0"/>
    <n v="2000"/>
    <n v="1023.74"/>
    <n v="1189.4000000000001"/>
    <n v="960.85"/>
    <n v="1004.94"/>
    <n v="747.8"/>
    <n v="1079.06"/>
    <n v="1757.01"/>
    <n v="1063.3"/>
    <n v="955.78"/>
    <n v="725.96"/>
    <n v="1398.04"/>
    <n v="790.27"/>
    <n v="12696.150000000001"/>
    <n v="-950.27"/>
  </r>
  <r>
    <x v="5"/>
    <x v="8"/>
    <x v="0"/>
    <s v="8550104"/>
    <n v="700038"/>
    <s v="Salaries-Service/Support-Productive"/>
    <s v="Franciscan Pharmacy-St Anthony"/>
    <x v="0"/>
    <m/>
    <n v="4450.1099999999997"/>
    <n v="4633.6499999999996"/>
    <n v="4064.33"/>
    <n v="4745.21"/>
    <n v="4634"/>
    <n v="4298.7"/>
    <n v="5051.9799999999996"/>
    <n v="3910.97"/>
    <n v="4922.0200000000004"/>
    <n v="4425.7299999999996"/>
    <n v="4003.1"/>
    <n v="4953.37"/>
    <n v="54093.17"/>
    <n v="0"/>
  </r>
  <r>
    <x v="5"/>
    <x v="8"/>
    <x v="0"/>
    <s v="8550104"/>
    <n v="700038"/>
    <s v="Salaries-Service/Support-OT"/>
    <s v="Franciscan Pharmacy-St Anthony"/>
    <x v="0"/>
    <n v="1000"/>
    <n v="0"/>
    <n v="0"/>
    <n v="0"/>
    <n v="0"/>
    <n v="0"/>
    <n v="0"/>
    <n v="48.54"/>
    <n v="0"/>
    <n v="0"/>
    <n v="0"/>
    <n v="0"/>
    <n v="0"/>
    <n v="48.54"/>
    <n v="-31.300000000000011"/>
  </r>
  <r>
    <x v="5"/>
    <x v="8"/>
    <x v="0"/>
    <s v="8550104"/>
    <n v="700038"/>
    <s v="Salaries-Service/Support-Other"/>
    <s v="Franciscan Pharmacy-St Anthony"/>
    <x v="0"/>
    <n v="2000"/>
    <n v="115.34"/>
    <n v="123.7"/>
    <n v="110.32"/>
    <n v="120.19"/>
    <n v="120.47"/>
    <n v="108.21"/>
    <n v="123.33"/>
    <n v="87.59"/>
    <n v="123.27"/>
    <n v="111.17"/>
    <n v="98.57"/>
    <n v="129.87"/>
    <n v="1372.0300000000002"/>
    <n v="-4286.45"/>
  </r>
  <r>
    <x v="5"/>
    <x v="8"/>
    <x v="0"/>
    <s v="8550104"/>
    <n v="700058"/>
    <s v="Salaries-Supervisory-Non-productive"/>
    <s v="Franciscan Pharmacy-St Anthony"/>
    <x v="0"/>
    <m/>
    <n v="1301.24"/>
    <n v="2812.52"/>
    <n v="1175.3599999999999"/>
    <n v="0"/>
    <n v="0"/>
    <n v="4582.6899999999996"/>
    <n v="260.44"/>
    <n v="0"/>
    <n v="0"/>
    <n v="0"/>
    <n v="606.16999999999996"/>
    <n v="4892.62"/>
    <n v="15631.04"/>
    <n v="-1153.8200000000002"/>
  </r>
  <r>
    <x v="5"/>
    <x v="8"/>
    <x v="0"/>
    <s v="8550104"/>
    <n v="700072"/>
    <s v="Salaries-Other Pat Care Providers-Non-productive"/>
    <s v="Franciscan Pharmacy-St Anthony"/>
    <x v="0"/>
    <m/>
    <n v="1587.4"/>
    <n v="845.33"/>
    <n v="927.16"/>
    <n v="1218.8499999999999"/>
    <n v="164.06"/>
    <n v="2421.08"/>
    <n v="3687.62"/>
    <n v="2752.74"/>
    <n v="1069.73"/>
    <n v="509.35"/>
    <n v="858.33"/>
    <n v="2012.15"/>
    <n v="18053.8"/>
    <n v="1016.18"/>
  </r>
  <r>
    <x v="5"/>
    <x v="8"/>
    <x v="0"/>
    <s v="8550104"/>
    <n v="700078"/>
    <s v="Salaries-Service/Support-Non-productive"/>
    <s v="Franciscan Pharmacy-St Anthony"/>
    <x v="0"/>
    <m/>
    <n v="378.63"/>
    <n v="195.29"/>
    <n v="483.72"/>
    <n v="195.18"/>
    <n v="172.72"/>
    <n v="816.52"/>
    <n v="246.45"/>
    <n v="1360.03"/>
    <n v="112.89"/>
    <n v="419.36"/>
    <n v="986.91"/>
    <n v="-29.27"/>
    <n v="5338.4299999999994"/>
    <n v="4069.95"/>
  </r>
  <r>
    <x v="5"/>
    <x v="8"/>
    <x v="0"/>
    <s v="8550104"/>
    <n v="700084"/>
    <s v="Accrued PTO"/>
    <s v="Franciscan Pharmacy-St Anthony"/>
    <x v="0"/>
    <m/>
    <n v="318.13"/>
    <n v="-876.52"/>
    <n v="431.02"/>
    <n v="2655.59"/>
    <n v="2460.7800000000002"/>
    <n v="-2745.41"/>
    <n v="1906.39"/>
    <n v="1072.18"/>
    <n v="1932.9"/>
    <n v="2285.23"/>
    <n v="1436.41"/>
    <n v="-2633.54"/>
    <n v="8243.16"/>
    <n v="279.77"/>
  </r>
  <r>
    <x v="6"/>
    <x v="8"/>
    <x v="0"/>
    <s v="8550104"/>
    <n v="713010"/>
    <s v="Benefits-FICA/Medicare"/>
    <s v="Franciscan Pharmacy-St Anthony"/>
    <x v="0"/>
    <m/>
    <n v="2445.38"/>
    <n v="2603.3000000000002"/>
    <n v="2258.46"/>
    <n v="2428.04"/>
    <n v="1648.42"/>
    <n v="2248.27"/>
    <n v="3000.5"/>
    <n v="2388.15"/>
    <n v="2532.0100000000002"/>
    <n v="2332.19"/>
    <n v="2726.79"/>
    <n v="2447.02"/>
    <n v="29058.530000000006"/>
    <n v="650.42999999999938"/>
  </r>
  <r>
    <x v="6"/>
    <x v="8"/>
    <x v="0"/>
    <s v="8550104"/>
    <n v="713090"/>
    <s v="Benefits-Allocated Amounts"/>
    <s v="Franciscan Pharmacy-St Anthony"/>
    <x v="0"/>
    <m/>
    <n v="6563.47"/>
    <n v="5990.09"/>
    <n v="5815.12"/>
    <n v="6354.85"/>
    <n v="6336.7"/>
    <n v="6451.57"/>
    <n v="7647.28"/>
    <n v="6989.2"/>
    <n v="6557.36"/>
    <n v="6806.38"/>
    <n v="7288.07"/>
    <n v="6637.64"/>
    <n v="79437.73"/>
    <n v="180.87"/>
  </r>
  <r>
    <x v="6"/>
    <x v="8"/>
    <x v="0"/>
    <s v="8550104"/>
    <n v="713096"/>
    <s v="Employee Recognition"/>
    <s v="Franciscan Pharmacy-St Anthony"/>
    <x v="0"/>
    <n v="1017"/>
    <n v="0"/>
    <n v="0"/>
    <n v="0"/>
    <n v="0"/>
    <n v="0"/>
    <n v="0"/>
    <n v="0"/>
    <n v="0"/>
    <n v="0"/>
    <n v="0"/>
    <n v="180.87"/>
    <n v="0"/>
    <n v="180.87"/>
    <n v="-0.20000000000000018"/>
  </r>
  <r>
    <x v="7"/>
    <x v="8"/>
    <x v="0"/>
    <s v="8550104"/>
    <n v="718050"/>
    <s v="Document Shredding/Storage"/>
    <s v="Franciscan Pharmacy-St Anthony"/>
    <x v="0"/>
    <n v="1012"/>
    <n v="2.93"/>
    <n v="12.38"/>
    <n v="5.68"/>
    <n v="5.88"/>
    <n v="6.08"/>
    <n v="6.08"/>
    <n v="6.01"/>
    <n v="5.17"/>
    <n v="5.34"/>
    <n v="7.01"/>
    <n v="5.88"/>
    <n v="6.08"/>
    <n v="74.52"/>
    <n v="-3227.21"/>
  </r>
  <r>
    <x v="7"/>
    <x v="8"/>
    <x v="0"/>
    <s v="8550104"/>
    <n v="718050"/>
    <s v="Miscellaneous Purchased Svcs"/>
    <s v="Franciscan Pharmacy-St Anthony"/>
    <x v="0"/>
    <n v="1020"/>
    <n v="1901.34"/>
    <n v="1263.06"/>
    <n v="823.67"/>
    <n v="4341.58"/>
    <n v="1260.8900000000001"/>
    <n v="916.61"/>
    <n v="791.55"/>
    <n v="5277.19"/>
    <n v="15558.36"/>
    <n v="2230.0100000000002"/>
    <n v="1983.79"/>
    <n v="5211"/>
    <n v="41559.050000000003"/>
    <n v="720.94999999999982"/>
  </r>
  <r>
    <x v="7"/>
    <x v="8"/>
    <x v="0"/>
    <s v="8550104"/>
    <n v="718091"/>
    <s v="Contract Services-Intracompany Allocation"/>
    <s v="Franciscan Pharmacy-St Anthony"/>
    <x v="0"/>
    <m/>
    <n v="4063.77"/>
    <n v="3948.5"/>
    <n v="3873.13"/>
    <n v="3986.74"/>
    <n v="4175.68"/>
    <n v="3463.19"/>
    <n v="4327.99"/>
    <n v="3828.47"/>
    <n v="4296.1099999999997"/>
    <n v="3800.36"/>
    <n v="4625.62"/>
    <n v="3904.67"/>
    <n v="48294.23"/>
    <n v="0"/>
  </r>
  <r>
    <x v="11"/>
    <x v="8"/>
    <x v="0"/>
    <s v="8550104"/>
    <n v="721250"/>
    <s v="Supplies-Pharmacy Drugs - Billable"/>
    <s v="Franciscan Pharmacy-St Anthony"/>
    <x v="0"/>
    <m/>
    <n v="0"/>
    <n v="0"/>
    <n v="0"/>
    <n v="0"/>
    <n v="0"/>
    <n v="0"/>
    <n v="0"/>
    <n v="0"/>
    <n v="-14.94"/>
    <n v="14.94"/>
    <n v="0"/>
    <n v="0"/>
    <n v="0"/>
    <n v="0"/>
  </r>
  <r>
    <x v="11"/>
    <x v="8"/>
    <x v="0"/>
    <s v="8550104"/>
    <n v="721810"/>
    <s v="Supplies-Dietary/Cafeteria"/>
    <s v="Franciscan Pharmacy-St Anthony"/>
    <x v="0"/>
    <m/>
    <n v="0"/>
    <n v="0"/>
    <n v="0"/>
    <n v="0"/>
    <n v="0"/>
    <n v="0"/>
    <n v="0"/>
    <n v="0"/>
    <n v="939.48"/>
    <n v="-939.48"/>
    <n v="0"/>
    <n v="0"/>
    <n v="0"/>
    <n v="0"/>
  </r>
  <r>
    <x v="11"/>
    <x v="8"/>
    <x v="0"/>
    <s v="8550104"/>
    <n v="721830"/>
    <s v="Supplies-Office"/>
    <s v="Franciscan Pharmacy-St Anthony"/>
    <x v="0"/>
    <m/>
    <n v="0"/>
    <n v="0"/>
    <n v="0"/>
    <n v="0"/>
    <n v="0"/>
    <n v="0"/>
    <n v="0"/>
    <n v="0"/>
    <n v="1062.1400000000001"/>
    <n v="-1062.1400000000001"/>
    <n v="0"/>
    <n v="0"/>
    <n v="0"/>
    <n v="0"/>
  </r>
  <r>
    <x v="11"/>
    <x v="8"/>
    <x v="0"/>
    <s v="8550104"/>
    <n v="721835"/>
    <s v="Supplies-Forms"/>
    <s v="Franciscan Pharmacy-St Anthony"/>
    <x v="0"/>
    <m/>
    <n v="0"/>
    <n v="0"/>
    <n v="0"/>
    <n v="0"/>
    <n v="0"/>
    <n v="0"/>
    <n v="0"/>
    <n v="0"/>
    <n v="287"/>
    <n v="-287"/>
    <n v="0"/>
    <n v="0"/>
    <n v="0"/>
    <n v="0"/>
  </r>
  <r>
    <x v="11"/>
    <x v="8"/>
    <x v="0"/>
    <s v="8550104"/>
    <n v="721980"/>
    <s v="Supplies-Other"/>
    <s v="Franciscan Pharmacy-St Anthony"/>
    <x v="0"/>
    <m/>
    <n v="0"/>
    <n v="0"/>
    <n v="0"/>
    <n v="0"/>
    <n v="0"/>
    <n v="0"/>
    <n v="0"/>
    <n v="0"/>
    <n v="0"/>
    <n v="0"/>
    <n v="0"/>
    <n v="0"/>
    <n v="0"/>
    <n v="0"/>
  </r>
  <r>
    <x v="11"/>
    <x v="8"/>
    <x v="0"/>
    <s v="8550104"/>
    <n v="722000"/>
    <s v="Supplies-Freight Expense"/>
    <s v="Franciscan Pharmacy-St Anthony"/>
    <x v="0"/>
    <m/>
    <n v="0"/>
    <n v="0"/>
    <n v="0"/>
    <n v="0"/>
    <n v="0"/>
    <n v="0"/>
    <n v="0"/>
    <n v="0"/>
    <n v="44.84"/>
    <n v="-44.84"/>
    <n v="0"/>
    <n v="0"/>
    <n v="0"/>
    <n v="0"/>
  </r>
  <r>
    <x v="11"/>
    <x v="8"/>
    <x v="0"/>
    <s v="8550104"/>
    <n v="723000"/>
    <s v="Supply Rebates/Patronage Dividend"/>
    <s v="Franciscan Pharmacy-St Anthony"/>
    <x v="0"/>
    <m/>
    <n v="0"/>
    <n v="0"/>
    <n v="0"/>
    <n v="0"/>
    <n v="0"/>
    <n v="0"/>
    <n v="0"/>
    <n v="0"/>
    <n v="-1500.02"/>
    <n v="1500.02"/>
    <n v="0"/>
    <n v="0"/>
    <n v="0"/>
    <n v="3277.55"/>
  </r>
  <r>
    <x v="12"/>
    <x v="8"/>
    <x v="0"/>
    <s v="8550104"/>
    <n v="730010"/>
    <s v="Rental and Leases-Building (DO NOT USE)"/>
    <s v="Franciscan Pharmacy-St Anthony"/>
    <x v="0"/>
    <m/>
    <n v="4092.95"/>
    <n v="4092.95"/>
    <n v="4092.95"/>
    <n v="4092.95"/>
    <n v="4092.95"/>
    <n v="-870.49"/>
    <n v="3277.55"/>
    <n v="3277.55"/>
    <n v="3277.55"/>
    <n v="3277.55"/>
    <n v="3277.55"/>
    <n v="0"/>
    <n v="35982.009999999995"/>
    <n v="954.41"/>
  </r>
  <r>
    <x v="12"/>
    <x v="8"/>
    <x v="0"/>
    <s v="8550104"/>
    <n v="730010"/>
    <s v="Rental-Common Area Maint (DO NOT USE)"/>
    <s v="Franciscan Pharmacy-St Anthony"/>
    <x v="0"/>
    <n v="2200"/>
    <n v="0"/>
    <n v="0"/>
    <n v="0"/>
    <n v="0"/>
    <n v="0"/>
    <n v="4963.4399999999996"/>
    <n v="1029.1600000000001"/>
    <n v="954.41"/>
    <n v="890.88"/>
    <n v="954.41"/>
    <n v="954.41"/>
    <n v="0"/>
    <n v="9746.7099999999991"/>
    <n v="-4.4500000000000028"/>
  </r>
  <r>
    <x v="12"/>
    <x v="8"/>
    <x v="0"/>
    <s v="8550104"/>
    <n v="730020"/>
    <s v="Rental and Leases-Copier Usage Fees (DO NOT USE)"/>
    <s v="Franciscan Pharmacy-St Anthony"/>
    <x v="0"/>
    <n v="5100"/>
    <n v="40.49"/>
    <n v="41.81"/>
    <n v="41.15"/>
    <n v="41.15"/>
    <n v="41.15"/>
    <n v="41.15"/>
    <n v="227.81"/>
    <n v="35.15"/>
    <n v="35.08"/>
    <n v="35.22"/>
    <n v="35.15"/>
    <n v="39.6"/>
    <n v="654.91000000000008"/>
    <n v="-4231.96"/>
  </r>
  <r>
    <x v="12"/>
    <x v="8"/>
    <x v="0"/>
    <s v="8550104"/>
    <n v="730040"/>
    <s v="LT Lease-Real Estate"/>
    <s v="Franciscan Pharmacy-St Anthony"/>
    <x v="0"/>
    <m/>
    <n v="0"/>
    <n v="0"/>
    <n v="0"/>
    <n v="0"/>
    <n v="0"/>
    <n v="0"/>
    <n v="0"/>
    <n v="0"/>
    <n v="0"/>
    <n v="0"/>
    <n v="0"/>
    <n v="4231.96"/>
    <n v="4231.96"/>
    <n v="-16.350000000000001"/>
  </r>
  <r>
    <x v="16"/>
    <x v="8"/>
    <x v="0"/>
    <s v="8550104"/>
    <n v="732030"/>
    <s v="Repairs---Other"/>
    <s v="Franciscan Pharmacy-St Anthony"/>
    <x v="0"/>
    <m/>
    <n v="0"/>
    <n v="0"/>
    <n v="0"/>
    <n v="808.78"/>
    <n v="0"/>
    <n v="0"/>
    <n v="859.32"/>
    <n v="0"/>
    <n v="0"/>
    <n v="0"/>
    <n v="0"/>
    <n v="16.350000000000001"/>
    <n v="1684.4499999999998"/>
    <n v="1.999999999998181E-2"/>
  </r>
  <r>
    <x v="13"/>
    <x v="8"/>
    <x v="0"/>
    <s v="8550104"/>
    <n v="735050"/>
    <s v="Amortization-Leasehold Improvements"/>
    <s v="Franciscan Pharmacy-St Anthony"/>
    <x v="0"/>
    <m/>
    <n v="2064.2800000000002"/>
    <n v="2064.31"/>
    <n v="2064.2800000000002"/>
    <n v="2064.36"/>
    <n v="2064.2399999999998"/>
    <n v="2064.37"/>
    <n v="2064.1999999999998"/>
    <n v="2064.39"/>
    <n v="2064.19"/>
    <n v="145.9"/>
    <n v="145.91999999999999"/>
    <n v="145.9"/>
    <n v="19016.34"/>
    <n v="9.9999999999909051E-3"/>
  </r>
  <r>
    <x v="13"/>
    <x v="8"/>
    <x v="0"/>
    <s v="8550104"/>
    <n v="735060"/>
    <s v="Depreciation-Fixed Equipment"/>
    <s v="Franciscan Pharmacy-St Anthony"/>
    <x v="0"/>
    <m/>
    <n v="676.79"/>
    <n v="676.79"/>
    <n v="676.79"/>
    <n v="676.79"/>
    <n v="676.79"/>
    <n v="676.79"/>
    <n v="676.79"/>
    <n v="676.79"/>
    <n v="676.79"/>
    <n v="676.79"/>
    <n v="676.8"/>
    <n v="676.79"/>
    <n v="8121.49"/>
    <n v="0"/>
  </r>
  <r>
    <x v="13"/>
    <x v="8"/>
    <x v="0"/>
    <s v="8550104"/>
    <n v="735070"/>
    <s v="Depreciation-Movable Equipment"/>
    <s v="Franciscan Pharmacy-St Anthony"/>
    <x v="0"/>
    <m/>
    <n v="39.89"/>
    <n v="39.89"/>
    <n v="39.89"/>
    <n v="39.89"/>
    <n v="39.89"/>
    <n v="39.909999999999997"/>
    <n v="39.89"/>
    <n v="39.909999999999997"/>
    <n v="39.89"/>
    <n v="0"/>
    <n v="0"/>
    <n v="0"/>
    <n v="359.04999999999995"/>
    <n v="0"/>
  </r>
  <r>
    <x v="0"/>
    <x v="8"/>
    <x v="0"/>
    <s v="8550104"/>
    <n v="740020"/>
    <s v="Education-Registration Fees"/>
    <s v="Franciscan Pharmacy-St Anthony"/>
    <x v="0"/>
    <m/>
    <n v="0"/>
    <n v="0"/>
    <n v="0"/>
    <n v="0"/>
    <n v="0"/>
    <n v="0"/>
    <n v="0"/>
    <n v="0"/>
    <n v="0"/>
    <n v="0"/>
    <n v="0"/>
    <n v="0"/>
    <n v="0"/>
    <n v="-9416.2800000000007"/>
  </r>
  <r>
    <x v="0"/>
    <x v="8"/>
    <x v="0"/>
    <s v="8550104"/>
    <n v="742010"/>
    <s v="Postage-Regular"/>
    <s v="Franciscan Pharmacy-St Anthony"/>
    <x v="0"/>
    <m/>
    <n v="4886.09"/>
    <n v="4989.13"/>
    <n v="9598.25"/>
    <n v="4000"/>
    <n v="5150"/>
    <n v="4800"/>
    <n v="0"/>
    <n v="4000"/>
    <n v="5200"/>
    <n v="8900"/>
    <n v="594.98"/>
    <n v="10011.26"/>
    <n v="62129.710000000006"/>
    <n v="0"/>
  </r>
  <r>
    <x v="0"/>
    <x v="8"/>
    <x v="0"/>
    <s v="8550104"/>
    <n v="742030"/>
    <s v="Freight-Courier"/>
    <s v="Franciscan Pharmacy-St Anthony"/>
    <x v="0"/>
    <m/>
    <n v="0"/>
    <n v="0"/>
    <n v="0"/>
    <n v="0"/>
    <n v="0"/>
    <n v="75"/>
    <n v="0"/>
    <n v="75"/>
    <n v="0"/>
    <n v="75"/>
    <n v="0"/>
    <n v="0"/>
    <n v="225"/>
    <n v="0"/>
  </r>
  <r>
    <x v="0"/>
    <x v="8"/>
    <x v="0"/>
    <s v="8550104"/>
    <n v="743020"/>
    <s v="Dues--Individual"/>
    <s v="Franciscan Pharmacy-St Anthony"/>
    <x v="0"/>
    <m/>
    <n v="0"/>
    <n v="0"/>
    <n v="0"/>
    <n v="0"/>
    <n v="0"/>
    <n v="0"/>
    <n v="259"/>
    <n v="0"/>
    <n v="0"/>
    <n v="0"/>
    <n v="0"/>
    <n v="0"/>
    <n v="259"/>
    <n v="48810.119999999995"/>
  </r>
  <r>
    <x v="0"/>
    <x v="8"/>
    <x v="0"/>
    <s v="8550104"/>
    <n v="748521"/>
    <s v="COGS-Pharmacy Drugs-Retail"/>
    <s v="Franciscan Pharmacy-St Anthony"/>
    <x v="0"/>
    <m/>
    <n v="257127.95"/>
    <n v="333129.92"/>
    <n v="262372.01"/>
    <n v="351960.78"/>
    <n v="300159.77"/>
    <n v="310364.39"/>
    <n v="365615.87"/>
    <n v="270621.21999999997"/>
    <n v="352484.6"/>
    <n v="371948.01"/>
    <n v="370309.54"/>
    <n v="321499.42"/>
    <n v="3867593.4800000004"/>
    <n v="603.88"/>
  </r>
  <r>
    <x v="0"/>
    <x v="8"/>
    <x v="0"/>
    <s v="8550104"/>
    <n v="748549"/>
    <s v="COGS-Supply Rebate"/>
    <s v="Franciscan Pharmacy-St Anthony"/>
    <x v="0"/>
    <m/>
    <n v="0"/>
    <n v="0"/>
    <n v="-6078.31"/>
    <n v="0"/>
    <n v="0"/>
    <n v="-286.77"/>
    <n v="0"/>
    <n v="0"/>
    <n v="0"/>
    <n v="-1500.02"/>
    <n v="0"/>
    <n v="-603.88"/>
    <n v="-8468.98"/>
    <n v="-444.94000000000005"/>
  </r>
  <r>
    <x v="0"/>
    <x v="8"/>
    <x v="0"/>
    <s v="8550104"/>
    <n v="748550"/>
    <s v="COGS-Other Retail Supply Costs"/>
    <s v="Franciscan Pharmacy-St Anthony"/>
    <x v="0"/>
    <m/>
    <n v="1363.96"/>
    <n v="3258.13"/>
    <n v="2032.45"/>
    <n v="3543.58"/>
    <n v="3193.49"/>
    <n v="4250.67"/>
    <n v="2588.08"/>
    <n v="4206.32"/>
    <n v="1010.45"/>
    <n v="9323.74"/>
    <n v="2415.89"/>
    <n v="2860.83"/>
    <n v="40047.590000000004"/>
    <n v="0"/>
  </r>
  <r>
    <x v="0"/>
    <x v="8"/>
    <x v="0"/>
    <s v="8550104"/>
    <n v="749510"/>
    <s v="Miscellaneous Expenses"/>
    <s v="Franciscan Pharmacy-St Anthony"/>
    <x v="0"/>
    <m/>
    <n v="0"/>
    <n v="0"/>
    <n v="0"/>
    <n v="-1"/>
    <n v="0"/>
    <n v="0"/>
    <n v="0"/>
    <n v="0"/>
    <n v="0"/>
    <n v="0"/>
    <n v="0"/>
    <n v="0"/>
    <n v="-1"/>
    <n v="0"/>
  </r>
  <r>
    <x v="0"/>
    <x v="8"/>
    <x v="0"/>
    <s v="8550104"/>
    <n v="749510"/>
    <s v="Licenses"/>
    <s v="Franciscan Pharmacy-St Anthony"/>
    <x v="0"/>
    <n v="1002"/>
    <n v="0"/>
    <n v="0"/>
    <n v="11"/>
    <n v="0"/>
    <n v="0"/>
    <n v="0"/>
    <n v="0"/>
    <n v="0"/>
    <n v="845"/>
    <n v="0"/>
    <n v="0"/>
    <n v="0"/>
    <n v="856"/>
    <n v="-1.04"/>
  </r>
  <r>
    <x v="0"/>
    <x v="8"/>
    <x v="0"/>
    <s v="8550104"/>
    <n v="749550"/>
    <s v="Cash Over/Short"/>
    <s v="Franciscan Pharmacy-St Anthony"/>
    <x v="0"/>
    <m/>
    <n v="0.89"/>
    <n v="-11"/>
    <n v="-7.99"/>
    <n v="0.01"/>
    <n v="-0.05"/>
    <n v="0.85"/>
    <n v="0"/>
    <n v="0"/>
    <n v="0"/>
    <n v="-100.17"/>
    <n v="-1.02"/>
    <n v="0.02"/>
    <n v="-118.46000000000001"/>
    <n v="811.67"/>
  </r>
  <r>
    <x v="0"/>
    <x v="8"/>
    <x v="0"/>
    <s v="8550104"/>
    <n v="750015"/>
    <s v="Provision for Bad Debts--Non-Patient"/>
    <s v="Franciscan Pharmacy-St Anthony"/>
    <x v="0"/>
    <m/>
    <n v="12231.37"/>
    <n v="14762.21"/>
    <n v="9686.2099999999991"/>
    <n v="9594.2099999999991"/>
    <n v="17067.68"/>
    <n v="15603.67"/>
    <n v="-47307.49"/>
    <n v="273083.52000000002"/>
    <n v="-297115.69"/>
    <n v="6973.87"/>
    <n v="1020.9"/>
    <n v="209.23"/>
    <n v="15809.69"/>
    <n v="0"/>
  </r>
  <r>
    <x v="11"/>
    <x v="6"/>
    <x v="0"/>
    <s v="8550107"/>
    <n v="721250"/>
    <s v="Supplies-Pharmacy Drugs - Billable"/>
    <s v="PO-Urgent Care Retail Pharmacy"/>
    <x v="0"/>
    <m/>
    <n v="0"/>
    <n v="-43.72"/>
    <n v="0"/>
    <n v="0"/>
    <n v="0"/>
    <n v="0"/>
    <n v="0"/>
    <n v="0"/>
    <n v="0"/>
    <n v="0"/>
    <n v="0"/>
    <n v="0"/>
    <n v="-43.72"/>
    <n v="-3434.170000000001"/>
  </r>
  <r>
    <x v="3"/>
    <x v="4"/>
    <x v="0"/>
    <s v="8551103"/>
    <n v="470010"/>
    <s v="Charity Care-Acute I/P Svcs"/>
    <s v="Franciscan Pharmacy-So Tacoma"/>
    <x v="0"/>
    <m/>
    <n v="7659.61"/>
    <n v="6702.44"/>
    <n v="4293.6400000000003"/>
    <n v="3071.74"/>
    <n v="5295.8"/>
    <n v="5048.8"/>
    <n v="7109.56"/>
    <n v="2625.84"/>
    <n v="13247.34"/>
    <n v="5602.49"/>
    <n v="5685.7"/>
    <n v="9119.8700000000008"/>
    <n v="75462.829999999987"/>
    <n v="0"/>
  </r>
  <r>
    <x v="14"/>
    <x v="4"/>
    <x v="0"/>
    <s v="8551103"/>
    <n v="600032"/>
    <s v="DME Revenue"/>
    <s v="Franciscan Pharmacy-So Tacoma"/>
    <x v="0"/>
    <m/>
    <n v="0"/>
    <n v="-33.83"/>
    <n v="-141.16999999999999"/>
    <n v="0"/>
    <n v="0"/>
    <n v="-3786.97"/>
    <n v="0"/>
    <n v="-36.380000000000003"/>
    <n v="0"/>
    <n v="-44.63"/>
    <n v="0"/>
    <n v="0"/>
    <n v="-4042.98"/>
    <n v="0"/>
  </r>
  <r>
    <x v="14"/>
    <x v="4"/>
    <x v="0"/>
    <s v="8551103"/>
    <n v="600032"/>
    <s v="Deductions From Revenue--DME"/>
    <s v="Franciscan Pharmacy-So Tacoma"/>
    <x v="0"/>
    <n v="4900"/>
    <n v="0"/>
    <n v="0"/>
    <n v="0"/>
    <n v="0"/>
    <n v="0"/>
    <n v="-3748.89"/>
    <n v="-194.31"/>
    <n v="0"/>
    <n v="189.43"/>
    <n v="-2.2799999999999998"/>
    <n v="0"/>
    <n v="0"/>
    <n v="-3756.05"/>
    <n v="0"/>
  </r>
  <r>
    <x v="14"/>
    <x v="4"/>
    <x v="0"/>
    <s v="8551103"/>
    <n v="600034"/>
    <s v="Vending Commission"/>
    <s v="Franciscan Pharmacy-So Tacoma"/>
    <x v="0"/>
    <n v="1002"/>
    <n v="0"/>
    <n v="-16.12"/>
    <n v="0"/>
    <n v="0"/>
    <n v="0"/>
    <n v="-24.08"/>
    <n v="0"/>
    <n v="16.57"/>
    <n v="40.200000000000003"/>
    <n v="0"/>
    <n v="0"/>
    <n v="0"/>
    <n v="16.57"/>
    <n v="-14057.459999999992"/>
  </r>
  <r>
    <x v="14"/>
    <x v="4"/>
    <x v="0"/>
    <s v="8551103"/>
    <n v="600048"/>
    <s v="Retail Pharmacy"/>
    <s v="Franciscan Pharmacy-So Tacoma"/>
    <x v="0"/>
    <m/>
    <n v="-127793.13"/>
    <n v="-145266.17000000001"/>
    <n v="-137448.29999999999"/>
    <n v="-155877.18"/>
    <n v="-116475.73"/>
    <n v="-139661.29999999999"/>
    <n v="-160928.78"/>
    <n v="-392013.63"/>
    <n v="225221.09"/>
    <n v="-123426.21"/>
    <n v="-128123.26"/>
    <n v="-114065.8"/>
    <n v="-1515858.4000000001"/>
    <n v="-209.97000000000003"/>
  </r>
  <r>
    <x v="14"/>
    <x v="4"/>
    <x v="0"/>
    <s v="8551103"/>
    <n v="600048"/>
    <s v="Pharmacy Taxable Sales"/>
    <s v="Franciscan Pharmacy-So Tacoma"/>
    <x v="0"/>
    <n v="1002"/>
    <n v="-1503.5"/>
    <n v="-1616.49"/>
    <n v="-1252.08"/>
    <n v="-1922.63"/>
    <n v="-1677.84"/>
    <n v="-1565.75"/>
    <n v="-1799.36"/>
    <n v="-1499.04"/>
    <n v="-1825.54"/>
    <n v="-1297.28"/>
    <n v="-1445.92"/>
    <n v="-1235.95"/>
    <n v="-18641.380000000005"/>
    <n v="3434.170000000001"/>
  </r>
  <r>
    <x v="14"/>
    <x v="4"/>
    <x v="0"/>
    <s v="8551103"/>
    <n v="600050"/>
    <s v="Miscellaneous Revenue"/>
    <s v="Franciscan Pharmacy-So Tacoma"/>
    <x v="0"/>
    <m/>
    <n v="-7659.61"/>
    <n v="-6702.44"/>
    <n v="-4293.6400000000003"/>
    <n v="-3071.74"/>
    <n v="-5295.8"/>
    <n v="-5048.8"/>
    <n v="-7109.56"/>
    <n v="-2625.84"/>
    <n v="-13247.34"/>
    <n v="-5602.49"/>
    <n v="-5685.7"/>
    <n v="-9119.8700000000008"/>
    <n v="-75462.829999999987"/>
    <n v="1496.6200000000008"/>
  </r>
  <r>
    <x v="5"/>
    <x v="4"/>
    <x v="0"/>
    <s v="8551103"/>
    <n v="700018"/>
    <s v="Salaries-Supervisory-Productive"/>
    <s v="Franciscan Pharmacy-So Tacoma"/>
    <x v="0"/>
    <m/>
    <n v="13382.08"/>
    <n v="13154.58"/>
    <n v="12029.48"/>
    <n v="13641.69"/>
    <n v="13235.64"/>
    <n v="11312.37"/>
    <n v="13298.39"/>
    <n v="12113.71"/>
    <n v="13697.35"/>
    <n v="12394"/>
    <n v="13909.11"/>
    <n v="12412.49"/>
    <n v="154580.89000000001"/>
    <n v="-51.93"/>
  </r>
  <r>
    <x v="5"/>
    <x v="4"/>
    <x v="0"/>
    <s v="8551103"/>
    <n v="700026"/>
    <s v="Salaries-RN-Productive"/>
    <s v="Franciscan Pharmacy-So Tacoma"/>
    <x v="0"/>
    <m/>
    <n v="0"/>
    <n v="0"/>
    <n v="0"/>
    <n v="0"/>
    <n v="0"/>
    <n v="0"/>
    <n v="0"/>
    <n v="0"/>
    <n v="0"/>
    <n v="124.66"/>
    <n v="-51.93"/>
    <n v="0"/>
    <n v="72.72999999999999"/>
    <n v="725.41999999999916"/>
  </r>
  <r>
    <x v="5"/>
    <x v="4"/>
    <x v="0"/>
    <s v="8551103"/>
    <n v="700032"/>
    <s v="Salaries-Other Pat Care Providers-Productive"/>
    <s v="Franciscan Pharmacy-So Tacoma"/>
    <x v="0"/>
    <m/>
    <n v="5690.12"/>
    <n v="6800.07"/>
    <n v="6740.51"/>
    <n v="6458.5"/>
    <n v="5299.22"/>
    <n v="5794.57"/>
    <n v="6536.49"/>
    <n v="7860.99"/>
    <n v="8833.94"/>
    <n v="7183.4"/>
    <n v="7692.69"/>
    <n v="6967.27"/>
    <n v="81857.77"/>
    <n v="-59.92"/>
  </r>
  <r>
    <x v="5"/>
    <x v="4"/>
    <x v="0"/>
    <s v="8551103"/>
    <n v="700032"/>
    <s v="Salaries-Other Pat Care Providers-OT"/>
    <s v="Franciscan Pharmacy-So Tacoma"/>
    <x v="0"/>
    <n v="1000"/>
    <n v="195.34"/>
    <n v="6.12"/>
    <n v="137.25"/>
    <n v="2.38"/>
    <n v="151.18"/>
    <n v="95.04"/>
    <n v="213.15"/>
    <n v="50.71"/>
    <n v="229.71"/>
    <n v="159.94999999999999"/>
    <n v="-0.47"/>
    <n v="59.45"/>
    <n v="1299.8100000000002"/>
    <n v="16.659999999999997"/>
  </r>
  <r>
    <x v="5"/>
    <x v="4"/>
    <x v="0"/>
    <s v="8551103"/>
    <n v="700032"/>
    <s v="Salaries-Other Pat Care Providers-Other"/>
    <s v="Franciscan Pharmacy-So Tacoma"/>
    <x v="0"/>
    <n v="2000"/>
    <n v="399.44"/>
    <n v="354.75"/>
    <n v="95.79"/>
    <n v="163.95"/>
    <n v="-10.63"/>
    <n v="143.06"/>
    <n v="176.18"/>
    <n v="521.83000000000004"/>
    <n v="492.88"/>
    <n v="292.95999999999998"/>
    <n v="227.44"/>
    <n v="210.78"/>
    <n v="3068.4300000000007"/>
    <n v="0"/>
  </r>
  <r>
    <x v="5"/>
    <x v="4"/>
    <x v="0"/>
    <s v="8551103"/>
    <n v="700038"/>
    <s v="Salaries-Service/Support-Productive"/>
    <s v="Franciscan Pharmacy-So Tacoma"/>
    <x v="0"/>
    <m/>
    <n v="1954.93"/>
    <n v="2328.6999999999998"/>
    <n v="2695.44"/>
    <n v="2922.81"/>
    <n v="2645.61"/>
    <n v="1600.47"/>
    <n v="1743.78"/>
    <n v="-177.66"/>
    <n v="0"/>
    <n v="0"/>
    <n v="0"/>
    <n v="0"/>
    <n v="15714.08"/>
    <n v="0"/>
  </r>
  <r>
    <x v="5"/>
    <x v="4"/>
    <x v="0"/>
    <s v="8551103"/>
    <n v="700038"/>
    <s v="Salaries-Service/Support-OT"/>
    <s v="Franciscan Pharmacy-So Tacoma"/>
    <x v="0"/>
    <n v="1000"/>
    <n v="0"/>
    <n v="0"/>
    <n v="9.6300000000000008"/>
    <n v="21.03"/>
    <n v="48.71"/>
    <n v="-23.45"/>
    <n v="0"/>
    <n v="0"/>
    <n v="0"/>
    <n v="0"/>
    <n v="0"/>
    <n v="0"/>
    <n v="55.92"/>
    <n v="0"/>
  </r>
  <r>
    <x v="5"/>
    <x v="4"/>
    <x v="0"/>
    <s v="8551103"/>
    <n v="700038"/>
    <s v="Salaries-Service/Support-Other"/>
    <s v="Franciscan Pharmacy-So Tacoma"/>
    <x v="0"/>
    <n v="2000"/>
    <n v="0"/>
    <n v="0"/>
    <n v="0"/>
    <n v="0"/>
    <n v="0"/>
    <n v="0"/>
    <n v="24.77"/>
    <n v="-6.51"/>
    <n v="0"/>
    <n v="0"/>
    <n v="0"/>
    <n v="0"/>
    <n v="18.259999999999998"/>
    <n v="-3843.62"/>
  </r>
  <r>
    <x v="5"/>
    <x v="4"/>
    <x v="0"/>
    <s v="8551103"/>
    <n v="700058"/>
    <s v="Salaries-Supervisory-Non-productive"/>
    <s v="Franciscan Pharmacy-So Tacoma"/>
    <x v="0"/>
    <m/>
    <n v="599.67999999999995"/>
    <n v="0"/>
    <n v="5311.36"/>
    <n v="-1113.5999999999999"/>
    <n v="0"/>
    <n v="6264.75"/>
    <n v="-87.04"/>
    <n v="3092.93"/>
    <n v="0"/>
    <n v="7422.64"/>
    <n v="-1236.78"/>
    <n v="2606.84"/>
    <n v="22860.780000000002"/>
    <n v="-172.86"/>
  </r>
  <r>
    <x v="5"/>
    <x v="4"/>
    <x v="0"/>
    <s v="8551103"/>
    <n v="700072"/>
    <s v="Salaries-Other Pat Care Providers-Non-productive"/>
    <s v="Franciscan Pharmacy-So Tacoma"/>
    <x v="0"/>
    <m/>
    <n v="566.64"/>
    <n v="-70.8"/>
    <n v="165.28"/>
    <n v="0"/>
    <n v="170.16"/>
    <n v="884.05"/>
    <n v="673.3"/>
    <n v="1042.01"/>
    <n v="319.04000000000002"/>
    <n v="1495.55"/>
    <n v="705.26"/>
    <n v="878.12"/>
    <n v="6828.6100000000006"/>
    <n v="0"/>
  </r>
  <r>
    <x v="5"/>
    <x v="4"/>
    <x v="0"/>
    <s v="8551103"/>
    <n v="700078"/>
    <s v="Salaries-Service/Support-Non-productive"/>
    <s v="Franciscan Pharmacy-So Tacoma"/>
    <x v="0"/>
    <m/>
    <n v="924.88"/>
    <n v="551.25"/>
    <n v="91.13"/>
    <n v="-46.71"/>
    <n v="259.8"/>
    <n v="1356.77"/>
    <n v="1064.49"/>
    <n v="683.96"/>
    <n v="-27.99"/>
    <n v="0"/>
    <n v="0"/>
    <n v="0"/>
    <n v="4857.58"/>
    <n v="-83.18"/>
  </r>
  <r>
    <x v="5"/>
    <x v="4"/>
    <x v="0"/>
    <s v="8551103"/>
    <n v="700084"/>
    <s v="Accrued PTO"/>
    <s v="Franciscan Pharmacy-So Tacoma"/>
    <x v="0"/>
    <m/>
    <n v="-70.94"/>
    <n v="260.48"/>
    <n v="-1833.58"/>
    <n v="2803.83"/>
    <n v="1747.58"/>
    <n v="-4316.46"/>
    <n v="888.94"/>
    <n v="-2098.31"/>
    <n v="1724.19"/>
    <n v="-2325.0700000000002"/>
    <n v="-232.58"/>
    <n v="-149.4"/>
    <n v="-3601.32"/>
    <n v="-140.07999999999993"/>
  </r>
  <r>
    <x v="6"/>
    <x v="4"/>
    <x v="0"/>
    <s v="8551103"/>
    <n v="713010"/>
    <s v="Benefits-FICA/Medicare"/>
    <s v="Franciscan Pharmacy-So Tacoma"/>
    <x v="0"/>
    <m/>
    <n v="1793.86"/>
    <n v="1751.13"/>
    <n v="2041.66"/>
    <n v="1469.52"/>
    <n v="601.22"/>
    <n v="1651.72"/>
    <n v="1768.93"/>
    <n v="1883.59"/>
    <n v="1770.22"/>
    <n v="2183.6999999999998"/>
    <n v="1594.19"/>
    <n v="1734.27"/>
    <n v="20244.009999999998"/>
    <n v="-82.240000000000691"/>
  </r>
  <r>
    <x v="6"/>
    <x v="4"/>
    <x v="0"/>
    <s v="8551103"/>
    <n v="713090"/>
    <s v="Benefits-Allocated Amounts"/>
    <s v="Franciscan Pharmacy-So Tacoma"/>
    <x v="0"/>
    <m/>
    <n v="4843.6000000000004"/>
    <n v="4159.03"/>
    <n v="5064.53"/>
    <n v="4323.2"/>
    <n v="4354.12"/>
    <n v="4841.1099999999997"/>
    <n v="4921.51"/>
    <n v="4886.42"/>
    <n v="4436.67"/>
    <n v="5340.46"/>
    <n v="4344.6899999999996"/>
    <n v="4426.93"/>
    <n v="55942.27"/>
    <n v="-1.0900000000000034"/>
  </r>
  <r>
    <x v="7"/>
    <x v="4"/>
    <x v="0"/>
    <s v="8551103"/>
    <n v="718050"/>
    <s v="Document Shredding/Storage"/>
    <s v="Franciscan Pharmacy-So Tacoma"/>
    <x v="0"/>
    <n v="1012"/>
    <n v="24.52"/>
    <n v="24.92"/>
    <n v="37.130000000000003"/>
    <n v="30.89"/>
    <n v="143.97"/>
    <n v="33.49"/>
    <n v="33.15"/>
    <n v="-26.09"/>
    <n v="29.45"/>
    <n v="38.6"/>
    <n v="32.4"/>
    <n v="33.49"/>
    <n v="435.92"/>
    <n v="-3778.7700000000004"/>
  </r>
  <r>
    <x v="7"/>
    <x v="4"/>
    <x v="0"/>
    <s v="8551103"/>
    <n v="718050"/>
    <s v="Miscellaneous Purchased Svcs"/>
    <s v="Franciscan Pharmacy-So Tacoma"/>
    <x v="0"/>
    <n v="1020"/>
    <n v="1291.5"/>
    <n v="818.68"/>
    <n v="483"/>
    <n v="3058.78"/>
    <n v="1401.61"/>
    <n v="620.62"/>
    <n v="534.91"/>
    <n v="2660.27"/>
    <n v="20336.7"/>
    <n v="4620.7299999999996"/>
    <n v="3852.75"/>
    <n v="7631.52"/>
    <n v="47311.070000000007"/>
    <n v="218.47000000000003"/>
  </r>
  <r>
    <x v="7"/>
    <x v="4"/>
    <x v="0"/>
    <s v="8551103"/>
    <n v="718091"/>
    <s v="Contract Services-Intracompany Allocation"/>
    <s v="Franciscan Pharmacy-So Tacoma"/>
    <x v="0"/>
    <m/>
    <n v="1231.44"/>
    <n v="1196.52"/>
    <n v="1173.67"/>
    <n v="1208.1099999999999"/>
    <n v="1265.3599999999999"/>
    <n v="1049.45"/>
    <n v="1311.51"/>
    <n v="1160.1400000000001"/>
    <n v="1301.8499999999999"/>
    <n v="1151.6300000000001"/>
    <n v="1401.7"/>
    <n v="1183.23"/>
    <n v="14634.61"/>
    <n v="0"/>
  </r>
  <r>
    <x v="11"/>
    <x v="4"/>
    <x v="0"/>
    <s v="8551103"/>
    <n v="721250"/>
    <s v="Supplies-Pharmacy Drugs - Billable"/>
    <s v="Franciscan Pharmacy-So Tacoma"/>
    <x v="0"/>
    <m/>
    <n v="0"/>
    <n v="0"/>
    <n v="0"/>
    <n v="0"/>
    <n v="0"/>
    <n v="0"/>
    <n v="0"/>
    <n v="0"/>
    <n v="-2703.15"/>
    <n v="2703.15"/>
    <n v="0"/>
    <n v="0"/>
    <n v="0"/>
    <n v="0"/>
  </r>
  <r>
    <x v="11"/>
    <x v="4"/>
    <x v="0"/>
    <s v="8551103"/>
    <n v="721410"/>
    <s v="Supplies-Medical - Nonbillable"/>
    <s v="Franciscan Pharmacy-So Tacoma"/>
    <x v="0"/>
    <m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8551103"/>
    <n v="721810"/>
    <s v="Supplies-Dietary/Cafeteria"/>
    <s v="Franciscan Pharmacy-So Tacoma"/>
    <x v="0"/>
    <m/>
    <n v="0"/>
    <n v="0"/>
    <n v="0"/>
    <n v="0"/>
    <n v="0"/>
    <n v="0"/>
    <n v="0"/>
    <n v="0"/>
    <n v="648.11"/>
    <n v="-648.11"/>
    <n v="0"/>
    <n v="0"/>
    <n v="0"/>
    <n v="0"/>
  </r>
  <r>
    <x v="11"/>
    <x v="4"/>
    <x v="0"/>
    <s v="8551103"/>
    <n v="721830"/>
    <s v="Supplies-Office"/>
    <s v="Franciscan Pharmacy-So Tacoma"/>
    <x v="0"/>
    <m/>
    <n v="0"/>
    <n v="0"/>
    <n v="0"/>
    <n v="0"/>
    <n v="0"/>
    <n v="0"/>
    <n v="0"/>
    <n v="0"/>
    <n v="633.74"/>
    <n v="-633.74"/>
    <n v="0"/>
    <n v="0"/>
    <n v="0"/>
    <n v="0"/>
  </r>
  <r>
    <x v="11"/>
    <x v="4"/>
    <x v="0"/>
    <s v="8551103"/>
    <n v="721835"/>
    <s v="Supplies-Forms"/>
    <s v="Franciscan Pharmacy-So Tacoma"/>
    <x v="0"/>
    <m/>
    <n v="0"/>
    <n v="0"/>
    <n v="0"/>
    <n v="0"/>
    <n v="0"/>
    <n v="0"/>
    <n v="0"/>
    <n v="0"/>
    <n v="128.47999999999999"/>
    <n v="-128.47999999999999"/>
    <n v="0"/>
    <n v="0"/>
    <n v="0"/>
    <n v="0"/>
  </r>
  <r>
    <x v="11"/>
    <x v="4"/>
    <x v="0"/>
    <s v="8551103"/>
    <n v="721980"/>
    <s v="Supplies-Other"/>
    <s v="Franciscan Pharmacy-So Tacoma"/>
    <x v="0"/>
    <m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8551103"/>
    <n v="722000"/>
    <s v="Supplies-Freight Expense"/>
    <s v="Franciscan Pharmacy-So Tacoma"/>
    <x v="0"/>
    <m/>
    <n v="0"/>
    <n v="0"/>
    <n v="0"/>
    <n v="0"/>
    <n v="0"/>
    <n v="0"/>
    <n v="0"/>
    <n v="0"/>
    <n v="0"/>
    <n v="0"/>
    <n v="0"/>
    <n v="0"/>
    <n v="0"/>
    <n v="0"/>
  </r>
  <r>
    <x v="11"/>
    <x v="4"/>
    <x v="0"/>
    <s v="8551103"/>
    <n v="723000"/>
    <s v="Supply Rebates/Patronage Dividend"/>
    <s v="Franciscan Pharmacy-So Tacoma"/>
    <x v="0"/>
    <m/>
    <n v="0"/>
    <n v="0"/>
    <n v="0"/>
    <n v="0"/>
    <n v="0"/>
    <n v="0"/>
    <n v="0"/>
    <n v="0"/>
    <n v="-2968.24"/>
    <n v="2968.24"/>
    <n v="0"/>
    <n v="0"/>
    <n v="0"/>
    <n v="0"/>
  </r>
  <r>
    <x v="12"/>
    <x v="4"/>
    <x v="0"/>
    <s v="8551103"/>
    <n v="730020"/>
    <s v="Rental and Leases-Copier Usage Fees (DO NOT USE)"/>
    <s v="Franciscan Pharmacy-So Tacoma"/>
    <x v="0"/>
    <n v="5100"/>
    <n v="49.85"/>
    <n v="49.85"/>
    <n v="49.85"/>
    <n v="49.85"/>
    <n v="49.85"/>
    <n v="49.85"/>
    <n v="-81.89"/>
    <n v="35.6"/>
    <n v="35.53"/>
    <n v="35.67"/>
    <n v="35.6"/>
    <n v="35.6"/>
    <n v="395.21000000000009"/>
    <n v="224.91"/>
  </r>
  <r>
    <x v="0"/>
    <x v="4"/>
    <x v="0"/>
    <s v="8551103"/>
    <n v="742010"/>
    <s v="Postage-Regular"/>
    <s v="Franciscan Pharmacy-So Tacoma"/>
    <x v="0"/>
    <m/>
    <n v="0"/>
    <n v="0"/>
    <n v="0"/>
    <n v="0"/>
    <n v="0"/>
    <n v="0"/>
    <n v="0"/>
    <n v="0"/>
    <n v="0"/>
    <n v="0"/>
    <n v="249.9"/>
    <n v="24.99"/>
    <n v="274.89"/>
    <n v="51.66"/>
  </r>
  <r>
    <x v="0"/>
    <x v="4"/>
    <x v="0"/>
    <s v="8551103"/>
    <n v="742030"/>
    <s v="Freight-Courier"/>
    <s v="Franciscan Pharmacy-So Tacoma"/>
    <x v="0"/>
    <m/>
    <n v="0"/>
    <n v="89.32"/>
    <n v="12"/>
    <n v="166.75"/>
    <n v="107.98"/>
    <n v="107"/>
    <n v="11.13"/>
    <n v="85"/>
    <n v="32.130000000000003"/>
    <n v="75"/>
    <n v="0"/>
    <n v="-51.66"/>
    <n v="634.65000000000009"/>
    <n v="-64"/>
  </r>
  <r>
    <x v="0"/>
    <x v="4"/>
    <x v="0"/>
    <s v="8551103"/>
    <n v="742040"/>
    <s v="Freight-Other"/>
    <s v="Franciscan Pharmacy-So Tacoma"/>
    <x v="0"/>
    <m/>
    <n v="0"/>
    <n v="0"/>
    <n v="0"/>
    <n v="0"/>
    <n v="0"/>
    <n v="0"/>
    <n v="0"/>
    <n v="0"/>
    <n v="0"/>
    <n v="0"/>
    <n v="0"/>
    <n v="64"/>
    <n v="64"/>
    <n v="0"/>
  </r>
  <r>
    <x v="0"/>
    <x v="4"/>
    <x v="0"/>
    <s v="8551103"/>
    <n v="743010"/>
    <s v="Dues--Institutional"/>
    <s v="Franciscan Pharmacy-So Tacoma"/>
    <x v="0"/>
    <m/>
    <n v="0"/>
    <n v="575.79"/>
    <n v="0"/>
    <n v="0"/>
    <n v="0"/>
    <n v="0"/>
    <n v="0"/>
    <n v="0"/>
    <n v="0"/>
    <n v="0"/>
    <n v="0"/>
    <n v="0"/>
    <n v="575.79"/>
    <n v="0"/>
  </r>
  <r>
    <x v="0"/>
    <x v="4"/>
    <x v="0"/>
    <s v="8551103"/>
    <n v="743030"/>
    <s v="Subscriptions--Institutional"/>
    <s v="Franciscan Pharmacy-So Tacoma"/>
    <x v="0"/>
    <m/>
    <n v="0"/>
    <n v="0"/>
    <n v="0"/>
    <n v="0"/>
    <n v="0"/>
    <n v="818.53"/>
    <n v="0"/>
    <n v="0"/>
    <n v="0"/>
    <n v="0"/>
    <n v="0"/>
    <n v="0"/>
    <n v="818.53"/>
    <n v="13262.330000000002"/>
  </r>
  <r>
    <x v="0"/>
    <x v="4"/>
    <x v="0"/>
    <s v="8551103"/>
    <n v="748521"/>
    <s v="COGS-Pharmacy Drugs-Retail"/>
    <s v="Franciscan Pharmacy-So Tacoma"/>
    <x v="0"/>
    <m/>
    <n v="88875.03"/>
    <n v="84220.92"/>
    <n v="97861.09"/>
    <n v="107008.63"/>
    <n v="78583.56"/>
    <n v="123999.39"/>
    <n v="95984.15"/>
    <n v="68512.97"/>
    <n v="53782.12"/>
    <n v="74167.87"/>
    <n v="71155.39"/>
    <n v="57893.06"/>
    <n v="1002044.1799999999"/>
    <n v="1225.8599999999999"/>
  </r>
  <r>
    <x v="0"/>
    <x v="4"/>
    <x v="0"/>
    <s v="8551103"/>
    <n v="748549"/>
    <s v="COGS-Supply Rebate"/>
    <s v="Franciscan Pharmacy-So Tacoma"/>
    <x v="0"/>
    <m/>
    <n v="0"/>
    <n v="0"/>
    <n v="-822.99"/>
    <n v="0"/>
    <n v="0"/>
    <n v="-603.67999999999995"/>
    <n v="0"/>
    <n v="0"/>
    <n v="0"/>
    <n v="-2984.42"/>
    <n v="0"/>
    <n v="-1225.8599999999999"/>
    <n v="-5636.95"/>
    <n v="-18264.719999999998"/>
  </r>
  <r>
    <x v="0"/>
    <x v="4"/>
    <x v="0"/>
    <s v="8551103"/>
    <n v="748550"/>
    <s v="COGS-Other Retail Supply Costs"/>
    <s v="Franciscan Pharmacy-So Tacoma"/>
    <x v="0"/>
    <m/>
    <n v="1360.76"/>
    <n v="561.19000000000005"/>
    <n v="903.24"/>
    <n v="2759.44"/>
    <n v="3818.1"/>
    <n v="1027.04"/>
    <n v="873.82"/>
    <n v="1390.89"/>
    <n v="13.9"/>
    <n v="4636.47"/>
    <n v="-16519.009999999998"/>
    <n v="1745.71"/>
    <n v="2571.5500000000002"/>
    <n v="0"/>
  </r>
  <r>
    <x v="0"/>
    <x v="4"/>
    <x v="0"/>
    <s v="8551103"/>
    <n v="749510"/>
    <s v="Miscellaneous Expenses"/>
    <s v="Franciscan Pharmacy-So Tacoma"/>
    <x v="0"/>
    <m/>
    <n v="0"/>
    <n v="0"/>
    <n v="0"/>
    <n v="-1"/>
    <n v="0"/>
    <n v="0"/>
    <n v="0"/>
    <n v="0"/>
    <n v="0"/>
    <n v="0"/>
    <n v="0"/>
    <n v="0"/>
    <n v="-1"/>
    <n v="0"/>
  </r>
  <r>
    <x v="0"/>
    <x v="4"/>
    <x v="0"/>
    <s v="8551103"/>
    <n v="749510"/>
    <s v="Licenses"/>
    <s v="Franciscan Pharmacy-So Tacoma"/>
    <x v="0"/>
    <n v="1002"/>
    <n v="731"/>
    <n v="0"/>
    <n v="731"/>
    <n v="0"/>
    <n v="0"/>
    <n v="0"/>
    <n v="0"/>
    <n v="0"/>
    <n v="845"/>
    <n v="0"/>
    <n v="0"/>
    <n v="0"/>
    <n v="2307"/>
    <n v="-133.37"/>
  </r>
  <r>
    <x v="0"/>
    <x v="4"/>
    <x v="0"/>
    <s v="8551103"/>
    <n v="749510"/>
    <s v="RICE Rewards"/>
    <s v="Franciscan Pharmacy-So Tacoma"/>
    <x v="0"/>
    <n v="5100"/>
    <n v="0"/>
    <n v="0"/>
    <n v="0"/>
    <n v="0"/>
    <n v="0"/>
    <n v="0"/>
    <n v="0"/>
    <n v="0"/>
    <n v="0"/>
    <n v="0"/>
    <n v="0"/>
    <n v="133.37"/>
    <n v="133.37"/>
    <n v="0"/>
  </r>
  <r>
    <x v="0"/>
    <x v="4"/>
    <x v="0"/>
    <s v="8551103"/>
    <n v="749530"/>
    <s v="Travel"/>
    <s v="Franciscan Pharmacy-So Tacoma"/>
    <x v="0"/>
    <m/>
    <n v="0"/>
    <n v="0"/>
    <n v="0"/>
    <n v="0"/>
    <n v="0"/>
    <n v="257.89999999999998"/>
    <n v="0"/>
    <n v="0"/>
    <n v="0"/>
    <n v="0"/>
    <n v="0"/>
    <n v="0"/>
    <n v="257.89999999999998"/>
    <n v="-3.6999999999999997"/>
  </r>
  <r>
    <x v="0"/>
    <x v="4"/>
    <x v="0"/>
    <s v="8551103"/>
    <n v="749550"/>
    <s v="Cash Over/Short"/>
    <s v="Franciscan Pharmacy-So Tacoma"/>
    <x v="0"/>
    <m/>
    <n v="0"/>
    <n v="-0.02"/>
    <n v="0"/>
    <n v="0"/>
    <n v="0"/>
    <n v="10"/>
    <n v="17.39"/>
    <n v="154.01"/>
    <n v="47.41"/>
    <n v="0"/>
    <n v="-0.3"/>
    <n v="3.4"/>
    <n v="231.89"/>
    <n v="1794.56"/>
  </r>
  <r>
    <x v="0"/>
    <x v="4"/>
    <x v="0"/>
    <s v="8551103"/>
    <n v="750015"/>
    <s v="Provision for Bad Debts--Non-Patient"/>
    <s v="Franciscan Pharmacy-So Tacoma"/>
    <x v="0"/>
    <m/>
    <n v="6814.33"/>
    <n v="11411.43"/>
    <n v="8986.58"/>
    <n v="15743.9"/>
    <n v="12531.89"/>
    <n v="4414.1400000000003"/>
    <n v="56238.42"/>
    <n v="84166.22"/>
    <n v="-200113.79"/>
    <n v="712.18"/>
    <n v="659.51"/>
    <n v="-1135.05"/>
    <n v="429.75999999999544"/>
    <n v="-17.930000000000291"/>
  </r>
  <r>
    <x v="14"/>
    <x v="3"/>
    <x v="0"/>
    <s v="8552101"/>
    <n v="600048"/>
    <s v="Retail Pharmacy"/>
    <s v="Hospice Pharmacy"/>
    <x v="0"/>
    <m/>
    <n v="-11064.24"/>
    <n v="-7175.58"/>
    <n v="-93.96"/>
    <n v="-12454.02"/>
    <n v="-3422.47"/>
    <n v="-2340.9"/>
    <n v="-9073.85"/>
    <n v="-12537.36"/>
    <n v="6036.09"/>
    <n v="-2359.71"/>
    <n v="-3251.9"/>
    <n v="-3233.97"/>
    <n v="-60971.869999999995"/>
    <n v="-4165.6700000000055"/>
  </r>
  <r>
    <x v="5"/>
    <x v="3"/>
    <x v="0"/>
    <s v="8552101"/>
    <n v="700032"/>
    <s v="Salaries-Other Pat Care Providers-Productive"/>
    <s v="Hospice Pharmacy"/>
    <x v="0"/>
    <m/>
    <n v="44277.05"/>
    <n v="49121.38"/>
    <n v="55574.879999999997"/>
    <n v="54354.48"/>
    <n v="52534.74"/>
    <n v="39539.51"/>
    <n v="49000.88"/>
    <n v="42302.720000000001"/>
    <n v="45547.12"/>
    <n v="49726.7"/>
    <n v="48927.95"/>
    <n v="53093.62"/>
    <n v="584001.03"/>
    <n v="652.48"/>
  </r>
  <r>
    <x v="5"/>
    <x v="3"/>
    <x v="0"/>
    <s v="8552101"/>
    <n v="700032"/>
    <s v="Salaries-Other Pat Care Providers-OT"/>
    <s v="Hospice Pharmacy"/>
    <x v="0"/>
    <n v="1000"/>
    <n v="165.01"/>
    <n v="104.5"/>
    <n v="262.99"/>
    <n v="69.02"/>
    <n v="312.68"/>
    <n v="202.85"/>
    <n v="493.84"/>
    <n v="267.83"/>
    <n v="570.84"/>
    <n v="55.2"/>
    <n v="461.43"/>
    <n v="-191.05"/>
    <n v="2775.1399999999994"/>
    <n v="700.25"/>
  </r>
  <r>
    <x v="5"/>
    <x v="3"/>
    <x v="0"/>
    <s v="8552101"/>
    <n v="700032"/>
    <s v="Salaries-Other Pat Care Providers-Other"/>
    <s v="Hospice Pharmacy"/>
    <x v="0"/>
    <n v="2000"/>
    <n v="1990.04"/>
    <n v="2043.69"/>
    <n v="2313.98"/>
    <n v="4473.6499999999996"/>
    <n v="2247.5700000000002"/>
    <n v="2849.37"/>
    <n v="2981.59"/>
    <n v="2586.5300000000002"/>
    <n v="3141.69"/>
    <n v="2933.26"/>
    <n v="3836.17"/>
    <n v="3135.92"/>
    <n v="34533.459999999992"/>
    <n v="1507.46"/>
  </r>
  <r>
    <x v="5"/>
    <x v="3"/>
    <x v="0"/>
    <s v="8552101"/>
    <n v="700038"/>
    <s v="Salaries-Service/Support-Productive"/>
    <s v="Hospice Pharmacy"/>
    <x v="0"/>
    <m/>
    <n v="0"/>
    <n v="0"/>
    <n v="0"/>
    <n v="0"/>
    <n v="0"/>
    <n v="0"/>
    <n v="0"/>
    <n v="0"/>
    <n v="0"/>
    <n v="2079.2600000000002"/>
    <n v="2685.88"/>
    <n v="1178.42"/>
    <n v="5943.56"/>
    <n v="3979.54"/>
  </r>
  <r>
    <x v="5"/>
    <x v="3"/>
    <x v="0"/>
    <s v="8552101"/>
    <n v="700072"/>
    <s v="Salaries-Other Pat Care Providers-Non-productive"/>
    <s v="Hospice Pharmacy"/>
    <x v="0"/>
    <m/>
    <n v="7646.45"/>
    <n v="5620.46"/>
    <n v="4306.18"/>
    <n v="734.9"/>
    <n v="-346.3"/>
    <n v="5134.38"/>
    <n v="3767.42"/>
    <n v="2821.06"/>
    <n v="8418.73"/>
    <n v="2391.7399999999998"/>
    <n v="7150.91"/>
    <n v="3171.37"/>
    <n v="50817.30000000001"/>
    <n v="0"/>
  </r>
  <r>
    <x v="5"/>
    <x v="3"/>
    <x v="0"/>
    <s v="8552101"/>
    <n v="700072"/>
    <s v="Salaries-Other Pat Care Providers-NonProd-Other"/>
    <s v="Hospice Pharmacy"/>
    <x v="0"/>
    <n v="2000"/>
    <n v="0"/>
    <n v="0"/>
    <n v="0"/>
    <n v="0"/>
    <n v="378.52"/>
    <n v="135.96"/>
    <n v="-6.3"/>
    <n v="-464.02"/>
    <n v="0"/>
    <n v="0"/>
    <n v="0"/>
    <n v="0"/>
    <n v="44.160000000000025"/>
    <n v="-1361.12"/>
  </r>
  <r>
    <x v="5"/>
    <x v="3"/>
    <x v="0"/>
    <s v="8552101"/>
    <n v="700084"/>
    <s v="Accrued PTO"/>
    <s v="Hospice Pharmacy"/>
    <x v="0"/>
    <m/>
    <n v="-3442.78"/>
    <n v="-1018.69"/>
    <n v="-509.79"/>
    <n v="3292.04"/>
    <n v="3042.65"/>
    <n v="-1139.92"/>
    <n v="618.05999999999995"/>
    <n v="955.24"/>
    <n v="723.97"/>
    <n v="2021.17"/>
    <n v="-1140.55"/>
    <n v="220.57"/>
    <n v="3621.97"/>
    <n v="0"/>
  </r>
  <r>
    <x v="10"/>
    <x v="3"/>
    <x v="0"/>
    <s v="8552101"/>
    <n v="710060"/>
    <s v="Contract Labor-Other"/>
    <s v="Hospice Pharmacy"/>
    <x v="0"/>
    <m/>
    <n v="0"/>
    <n v="822"/>
    <n v="0"/>
    <n v="0"/>
    <n v="0"/>
    <n v="0"/>
    <n v="0"/>
    <n v="0"/>
    <n v="0"/>
    <n v="0"/>
    <n v="0"/>
    <n v="0"/>
    <n v="822"/>
    <n v="400.36999999999989"/>
  </r>
  <r>
    <x v="6"/>
    <x v="3"/>
    <x v="0"/>
    <s v="8552101"/>
    <n v="713010"/>
    <s v="Benefits-FICA/Medicare"/>
    <s v="Hospice Pharmacy"/>
    <x v="0"/>
    <m/>
    <n v="4083.98"/>
    <n v="4298.3"/>
    <n v="4710.53"/>
    <n v="4494.38"/>
    <n v="4235.57"/>
    <n v="3609.99"/>
    <n v="4268.2"/>
    <n v="3604.14"/>
    <n v="4378.12"/>
    <n v="4297.88"/>
    <n v="4864.03"/>
    <n v="4463.66"/>
    <n v="51308.78"/>
    <n v="297.13999999999942"/>
  </r>
  <r>
    <x v="6"/>
    <x v="3"/>
    <x v="0"/>
    <s v="8552101"/>
    <n v="713090"/>
    <s v="Benefits-Allocated Amounts"/>
    <s v="Hospice Pharmacy"/>
    <x v="0"/>
    <m/>
    <n v="10767.9"/>
    <n v="10751.75"/>
    <n v="12480.09"/>
    <n v="11479.32"/>
    <n v="10583.53"/>
    <n v="8455.84"/>
    <n v="11342.07"/>
    <n v="10274.83"/>
    <n v="9302.24"/>
    <n v="12408.92"/>
    <n v="13729.98"/>
    <n v="13432.84"/>
    <n v="135009.31"/>
    <n v="0"/>
  </r>
  <r>
    <x v="7"/>
    <x v="3"/>
    <x v="0"/>
    <s v="8552101"/>
    <n v="718050"/>
    <s v="Contract Svcs-Other"/>
    <s v="Hospice Pharmacy"/>
    <x v="0"/>
    <m/>
    <n v="0"/>
    <n v="0"/>
    <n v="0"/>
    <n v="0"/>
    <n v="0"/>
    <n v="0"/>
    <n v="172.8"/>
    <n v="0"/>
    <n v="0"/>
    <n v="0"/>
    <n v="0"/>
    <n v="0"/>
    <n v="172.8"/>
    <n v="-37.230000000000004"/>
  </r>
  <r>
    <x v="7"/>
    <x v="3"/>
    <x v="0"/>
    <s v="8552101"/>
    <n v="718050"/>
    <s v="Document Shredding/Storage"/>
    <s v="Hospice Pharmacy"/>
    <x v="0"/>
    <n v="1012"/>
    <n v="53.58"/>
    <n v="134.76"/>
    <n v="111.93"/>
    <n v="83.83"/>
    <n v="-2.5299999999999998"/>
    <n v="56.25"/>
    <n v="55.68"/>
    <n v="87.88"/>
    <n v="50.26"/>
    <n v="142.53"/>
    <n v="56.11"/>
    <n v="93.34"/>
    <n v="923.62"/>
    <n v="11852.169999999998"/>
  </r>
  <r>
    <x v="7"/>
    <x v="3"/>
    <x v="0"/>
    <s v="8552101"/>
    <n v="718050"/>
    <s v="Miscellaneous Purchased Svcs"/>
    <s v="Hospice Pharmacy"/>
    <x v="0"/>
    <n v="1020"/>
    <n v="75699.92"/>
    <n v="74226.48"/>
    <n v="86444.49"/>
    <n v="102464.01"/>
    <n v="74302.09"/>
    <n v="92528.72"/>
    <n v="79211.039999999994"/>
    <n v="84216.14"/>
    <n v="76865.14"/>
    <n v="66035.05"/>
    <n v="76493.009999999995"/>
    <n v="64640.84"/>
    <n v="953126.93"/>
    <n v="3890.56"/>
  </r>
  <r>
    <x v="7"/>
    <x v="3"/>
    <x v="0"/>
    <s v="8552101"/>
    <n v="718050"/>
    <s v="Contract Svcs--Medical/Dental"/>
    <s v="Hospice Pharmacy"/>
    <x v="0"/>
    <n v="1024"/>
    <n v="140"/>
    <n v="3890.56"/>
    <n v="0"/>
    <n v="0"/>
    <n v="0"/>
    <n v="0"/>
    <n v="0"/>
    <n v="0"/>
    <n v="0"/>
    <n v="0"/>
    <n v="0"/>
    <n v="-3890.56"/>
    <n v="140"/>
    <n v="382.32999999999993"/>
  </r>
  <r>
    <x v="7"/>
    <x v="3"/>
    <x v="0"/>
    <s v="8552101"/>
    <n v="718091"/>
    <s v="Contract Services-Intracompany Allocation"/>
    <s v="Hospice Pharmacy"/>
    <x v="0"/>
    <m/>
    <n v="2155.0300000000002"/>
    <n v="2093.9"/>
    <n v="2053.9299999999998"/>
    <n v="2114.1799999999998"/>
    <n v="2214.38"/>
    <n v="1836.54"/>
    <n v="2295.15"/>
    <n v="2030.24"/>
    <n v="2278.2399999999998"/>
    <n v="2015.35"/>
    <n v="2452.98"/>
    <n v="2070.65"/>
    <n v="25610.570000000003"/>
    <n v="0"/>
  </r>
  <r>
    <x v="11"/>
    <x v="3"/>
    <x v="0"/>
    <s v="8552101"/>
    <n v="721250"/>
    <s v="Supplies-Pharmacy Drugs - Billable"/>
    <s v="Hospice Pharmacy"/>
    <x v="0"/>
    <m/>
    <n v="0"/>
    <n v="0"/>
    <n v="0"/>
    <n v="0"/>
    <n v="0"/>
    <n v="0"/>
    <n v="0"/>
    <n v="0"/>
    <n v="9543.02"/>
    <n v="-9543.02"/>
    <n v="0"/>
    <n v="0"/>
    <n v="0"/>
    <n v="0"/>
  </r>
  <r>
    <x v="11"/>
    <x v="3"/>
    <x v="0"/>
    <s v="8552101"/>
    <n v="721410"/>
    <s v="Supplies-Medical - Nonbillable"/>
    <s v="Hospice Pharmacy"/>
    <x v="0"/>
    <m/>
    <n v="0"/>
    <n v="0"/>
    <n v="0"/>
    <n v="0"/>
    <n v="0"/>
    <n v="0"/>
    <n v="0"/>
    <n v="0"/>
    <n v="420.84"/>
    <n v="-420.84"/>
    <n v="0"/>
    <n v="0"/>
    <n v="0"/>
    <n v="0"/>
  </r>
  <r>
    <x v="11"/>
    <x v="3"/>
    <x v="0"/>
    <s v="8552101"/>
    <n v="721830"/>
    <s v="Supplies-Office"/>
    <s v="Hospice Pharmacy"/>
    <x v="0"/>
    <m/>
    <n v="0"/>
    <n v="0"/>
    <n v="0"/>
    <n v="0"/>
    <n v="0"/>
    <n v="0"/>
    <n v="0"/>
    <n v="0"/>
    <n v="1444.49"/>
    <n v="-1444.49"/>
    <n v="0"/>
    <n v="0"/>
    <n v="0"/>
    <n v="0"/>
  </r>
  <r>
    <x v="11"/>
    <x v="3"/>
    <x v="0"/>
    <s v="8552101"/>
    <n v="721835"/>
    <s v="Supplies-Forms"/>
    <s v="Hospice Pharmac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552101"/>
    <n v="721980"/>
    <s v="Supplies-Other"/>
    <s v="Hospice Pharmac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552101"/>
    <n v="722000"/>
    <s v="Supplies-Freight Expense"/>
    <s v="Hospice Pharmacy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552101"/>
    <n v="723000"/>
    <s v="Supply Rebates/Patronage Dividend"/>
    <s v="Hospice Pharmacy"/>
    <x v="0"/>
    <m/>
    <n v="0"/>
    <n v="0"/>
    <n v="0"/>
    <n v="0"/>
    <n v="0"/>
    <n v="0"/>
    <n v="0"/>
    <n v="0"/>
    <n v="0"/>
    <n v="0"/>
    <n v="0"/>
    <n v="0"/>
    <n v="0"/>
    <n v="2.3900000000000006"/>
  </r>
  <r>
    <x v="15"/>
    <x v="3"/>
    <x v="0"/>
    <s v="8552101"/>
    <n v="731090"/>
    <s v="Other Utilities"/>
    <s v="Hospice Pharmacy"/>
    <x v="0"/>
    <m/>
    <n v="0"/>
    <n v="36"/>
    <n v="0"/>
    <n v="0"/>
    <n v="21.08"/>
    <n v="0"/>
    <n v="23.9"/>
    <n v="22.6"/>
    <n v="0"/>
    <n v="43.3"/>
    <n v="26.6"/>
    <n v="24.21"/>
    <n v="197.69"/>
    <n v="1025"/>
  </r>
  <r>
    <x v="16"/>
    <x v="3"/>
    <x v="0"/>
    <s v="8552101"/>
    <n v="733030"/>
    <s v="Maintenance Contracts-Other"/>
    <s v="Hospice Pharmacy"/>
    <x v="0"/>
    <m/>
    <n v="0"/>
    <n v="0"/>
    <n v="0"/>
    <n v="0"/>
    <n v="0"/>
    <n v="0"/>
    <n v="0"/>
    <n v="0"/>
    <n v="0"/>
    <n v="0"/>
    <n v="1025"/>
    <n v="0"/>
    <n v="1025"/>
    <n v="9.9999999999980105E-3"/>
  </r>
  <r>
    <x v="13"/>
    <x v="3"/>
    <x v="0"/>
    <s v="8552101"/>
    <n v="735070"/>
    <s v="Depreciation-Movable Equipment"/>
    <s v="Hospice Pharmacy"/>
    <x v="0"/>
    <m/>
    <n v="62.93"/>
    <n v="62.92"/>
    <n v="62.93"/>
    <n v="62.92"/>
    <n v="62.93"/>
    <n v="62.92"/>
    <n v="62.93"/>
    <n v="62.92"/>
    <n v="62.93"/>
    <n v="62.92"/>
    <n v="62.93"/>
    <n v="62.92"/>
    <n v="755.09999999999991"/>
    <n v="-70"/>
  </r>
  <r>
    <x v="0"/>
    <x v="3"/>
    <x v="0"/>
    <s v="8552101"/>
    <n v="740020"/>
    <s v="Education-Registration Fees"/>
    <s v="Hospice Pharmacy"/>
    <x v="0"/>
    <m/>
    <n v="0"/>
    <n v="0"/>
    <n v="0"/>
    <n v="0"/>
    <n v="0"/>
    <n v="0"/>
    <n v="0"/>
    <n v="0"/>
    <n v="0"/>
    <n v="0"/>
    <n v="0"/>
    <n v="70"/>
    <n v="70"/>
    <n v="174.91000000000003"/>
  </r>
  <r>
    <x v="0"/>
    <x v="3"/>
    <x v="0"/>
    <s v="8552101"/>
    <n v="742010"/>
    <s v="Postage-Regular"/>
    <s v="Hospice Pharmacy"/>
    <x v="0"/>
    <m/>
    <n v="0"/>
    <n v="700"/>
    <n v="1300"/>
    <n v="0"/>
    <n v="0"/>
    <n v="0"/>
    <n v="0"/>
    <n v="0"/>
    <n v="0"/>
    <n v="25"/>
    <n v="249.9"/>
    <n v="74.989999999999995"/>
    <n v="2349.89"/>
    <n v="-38.57"/>
  </r>
  <r>
    <x v="0"/>
    <x v="3"/>
    <x v="0"/>
    <s v="8552101"/>
    <n v="742030"/>
    <s v="Freight-Courier"/>
    <s v="Hospice Pharmacy"/>
    <x v="0"/>
    <m/>
    <n v="0"/>
    <n v="0"/>
    <n v="0"/>
    <n v="0"/>
    <n v="0"/>
    <n v="75"/>
    <n v="40.49"/>
    <n v="75"/>
    <n v="0"/>
    <n v="75"/>
    <n v="0"/>
    <n v="38.57"/>
    <n v="304.06"/>
    <n v="-10883.28"/>
  </r>
  <r>
    <x v="0"/>
    <x v="3"/>
    <x v="0"/>
    <s v="8552101"/>
    <n v="742040"/>
    <s v="Freight-Other"/>
    <s v="Hospice Pharmacy"/>
    <x v="0"/>
    <m/>
    <n v="0"/>
    <n v="0"/>
    <n v="0"/>
    <n v="0"/>
    <n v="0"/>
    <n v="0"/>
    <n v="0"/>
    <n v="0"/>
    <n v="0"/>
    <n v="0"/>
    <n v="0"/>
    <n v="10883.28"/>
    <n v="10883.28"/>
    <n v="0"/>
  </r>
  <r>
    <x v="0"/>
    <x v="3"/>
    <x v="0"/>
    <s v="8552101"/>
    <n v="743010"/>
    <s v="Dues--Institutional"/>
    <s v="Hospice Pharmacy"/>
    <x v="0"/>
    <m/>
    <n v="0"/>
    <n v="0"/>
    <n v="0"/>
    <n v="0"/>
    <n v="13"/>
    <n v="0"/>
    <n v="0"/>
    <n v="0"/>
    <n v="0"/>
    <n v="0"/>
    <n v="0"/>
    <n v="0"/>
    <n v="13"/>
    <n v="-27888.89"/>
  </r>
  <r>
    <x v="0"/>
    <x v="3"/>
    <x v="0"/>
    <s v="8552101"/>
    <n v="748521"/>
    <s v="COGS-Pharmacy Drugs-Retail"/>
    <s v="Hospice Pharmacy"/>
    <x v="0"/>
    <m/>
    <n v="7495.4"/>
    <n v="27392.89"/>
    <n v="19245.650000000001"/>
    <n v="29504.799999999999"/>
    <n v="25835.14"/>
    <n v="15834.51"/>
    <n v="30846.28"/>
    <n v="25250.03"/>
    <n v="9274.4699999999993"/>
    <n v="28879.24"/>
    <n v="-16758.63"/>
    <n v="11130.26"/>
    <n v="213930.03999999998"/>
    <n v="10671.92"/>
  </r>
  <r>
    <x v="0"/>
    <x v="3"/>
    <x v="0"/>
    <s v="8552101"/>
    <n v="748522"/>
    <s v="COGS-340B Pharmacy Drugs-Retail"/>
    <s v="Hospice Pharmacy"/>
    <x v="0"/>
    <m/>
    <n v="28982.37"/>
    <n v="8840.1200000000008"/>
    <n v="11370.54"/>
    <n v="10319.75"/>
    <n v="6864.86"/>
    <n v="14830.49"/>
    <n v="11797.61"/>
    <n v="11954.52"/>
    <n v="14711.65"/>
    <n v="14786.62"/>
    <n v="23579.93"/>
    <n v="12908.01"/>
    <n v="170946.47"/>
    <n v="6.1"/>
  </r>
  <r>
    <x v="0"/>
    <x v="3"/>
    <x v="0"/>
    <s v="8552101"/>
    <n v="748549"/>
    <s v="COGS-Supply Rebate"/>
    <s v="Hospice Pharmacy"/>
    <x v="0"/>
    <m/>
    <n v="0"/>
    <n v="0"/>
    <n v="0"/>
    <n v="0"/>
    <n v="0"/>
    <n v="-22.39"/>
    <n v="0"/>
    <n v="0"/>
    <n v="0"/>
    <n v="0"/>
    <n v="0"/>
    <n v="-6.1"/>
    <n v="-28.490000000000002"/>
    <n v="-1820.6100000000001"/>
  </r>
  <r>
    <x v="0"/>
    <x v="3"/>
    <x v="0"/>
    <s v="8552101"/>
    <n v="748550"/>
    <s v="COGS-Other Retail Supply Costs"/>
    <s v="Hospice Pharmacy"/>
    <x v="0"/>
    <m/>
    <n v="7245.47"/>
    <n v="6232.31"/>
    <n v="3708.37"/>
    <n v="3915.36"/>
    <n v="2355.41"/>
    <n v="2712.26"/>
    <n v="6872.43"/>
    <n v="2760.55"/>
    <n v="774.13"/>
    <n v="8341.83"/>
    <n v="1506.06"/>
    <n v="3326.67"/>
    <n v="49750.85"/>
    <n v="-45900.67"/>
  </r>
  <r>
    <x v="0"/>
    <x v="3"/>
    <x v="0"/>
    <s v="8552101"/>
    <n v="749510"/>
    <s v="Miscellaneous Expenses"/>
    <s v="Hospice Pharmacy"/>
    <x v="0"/>
    <m/>
    <n v="9005.23"/>
    <n v="9109.6"/>
    <n v="3178.62"/>
    <n v="2182.5500000000002"/>
    <n v="7997.98"/>
    <n v="1347.99"/>
    <n v="1202.3599999999999"/>
    <n v="-2586.98"/>
    <n v="0"/>
    <n v="719.7"/>
    <n v="1544.69"/>
    <n v="47445.36"/>
    <n v="81147.100000000006"/>
    <n v="-731"/>
  </r>
  <r>
    <x v="0"/>
    <x v="3"/>
    <x v="0"/>
    <s v="8552101"/>
    <n v="749510"/>
    <s v="Licenses"/>
    <s v="Hospice Pharmacy"/>
    <x v="0"/>
    <n v="1002"/>
    <n v="731"/>
    <n v="0"/>
    <n v="731"/>
    <n v="0"/>
    <n v="0"/>
    <n v="0"/>
    <n v="0"/>
    <n v="731"/>
    <n v="790"/>
    <n v="0"/>
    <n v="0"/>
    <n v="731"/>
    <n v="3714"/>
    <n v="0"/>
  </r>
  <r>
    <x v="0"/>
    <x v="3"/>
    <x v="0"/>
    <s v="8552101"/>
    <n v="749510"/>
    <s v="Patient Discharge Assistance"/>
    <s v="Hospice Pharmacy"/>
    <x v="0"/>
    <n v="1024"/>
    <n v="0"/>
    <n v="0"/>
    <n v="0"/>
    <n v="0"/>
    <n v="0"/>
    <n v="19.12"/>
    <n v="0"/>
    <n v="0"/>
    <n v="0"/>
    <n v="0"/>
    <n v="0"/>
    <n v="0"/>
    <n v="19.12"/>
    <n v="0"/>
  </r>
  <r>
    <x v="0"/>
    <x v="3"/>
    <x v="0"/>
    <s v="8552101"/>
    <n v="749530"/>
    <s v="Mileage"/>
    <s v="Hospice Pharmacy"/>
    <x v="0"/>
    <n v="1001"/>
    <n v="0"/>
    <n v="12.54"/>
    <n v="0"/>
    <n v="0"/>
    <n v="20.190000000000001"/>
    <n v="26.72"/>
    <n v="0"/>
    <n v="0"/>
    <n v="0"/>
    <n v="0"/>
    <n v="0"/>
    <n v="0"/>
    <n v="59.45"/>
    <n v="0"/>
  </r>
  <r>
    <x v="0"/>
    <x v="3"/>
    <x v="0"/>
    <s v="8552101"/>
    <n v="749540"/>
    <s v="Intracompany Allocations"/>
    <s v="Hospice Pharmacy"/>
    <x v="0"/>
    <m/>
    <n v="0"/>
    <n v="0"/>
    <n v="0"/>
    <n v="0"/>
    <n v="67.38"/>
    <n v="0"/>
    <n v="0"/>
    <n v="0"/>
    <n v="0"/>
    <n v="0"/>
    <n v="0"/>
    <n v="0"/>
    <n v="67.38"/>
    <n v="1057.97"/>
  </r>
  <r>
    <x v="0"/>
    <x v="3"/>
    <x v="0"/>
    <s v="8552101"/>
    <n v="750015"/>
    <s v="Provision for Bad Debts--Non-Patient"/>
    <s v="Hospice Pharmacy"/>
    <x v="0"/>
    <m/>
    <n v="-24.77"/>
    <n v="76.39"/>
    <n v="68.38"/>
    <n v="201.57"/>
    <n v="111.26"/>
    <n v="724.8"/>
    <n v="-3477.39"/>
    <n v="965.33"/>
    <n v="1709.04"/>
    <n v="-391.03"/>
    <n v="320.39"/>
    <n v="-737.58"/>
    <n v="-453.61000000000035"/>
    <n v="-0.10999999999999988"/>
  </r>
  <r>
    <x v="7"/>
    <x v="3"/>
    <x v="0"/>
    <s v="8553101"/>
    <n v="718050"/>
    <s v="Document Shredding/Storage"/>
    <s v="Franciscan Pharmacy-Can Road"/>
    <x v="0"/>
    <n v="1012"/>
    <n v="3.27"/>
    <n v="3.36"/>
    <n v="3.08"/>
    <n v="3.19"/>
    <n v="3.3"/>
    <n v="3.3"/>
    <n v="3.26"/>
    <n v="2.81"/>
    <n v="2.9"/>
    <n v="3.8"/>
    <n v="3.19"/>
    <n v="3.3"/>
    <n v="38.759999999999991"/>
    <n v="707.77"/>
  </r>
  <r>
    <x v="12"/>
    <x v="3"/>
    <x v="0"/>
    <s v="8553101"/>
    <n v="730010"/>
    <s v="Rental and Leases-Building (DO NOT USE)"/>
    <s v="Franciscan Pharmacy-Can Road"/>
    <x v="0"/>
    <m/>
    <n v="933.87"/>
    <n v="933.87"/>
    <n v="933.87"/>
    <n v="933.87"/>
    <n v="1564.26"/>
    <n v="-530.13"/>
    <n v="707.77"/>
    <n v="707.77"/>
    <n v="707.77"/>
    <n v="707.77"/>
    <n v="707.77"/>
    <n v="0"/>
    <n v="8308.4600000000009"/>
    <n v="275.97000000000003"/>
  </r>
  <r>
    <x v="12"/>
    <x v="3"/>
    <x v="0"/>
    <s v="8553101"/>
    <n v="730010"/>
    <s v="Rental-Common Area Maint (DO NOT USE)"/>
    <s v="Franciscan Pharmacy-Can Road"/>
    <x v="0"/>
    <n v="2200"/>
    <n v="0"/>
    <n v="0"/>
    <n v="0"/>
    <n v="0"/>
    <n v="0"/>
    <n v="1515.57"/>
    <n v="307.99"/>
    <n v="277.67"/>
    <n v="277.67"/>
    <n v="438.89"/>
    <n v="275.97000000000003"/>
    <n v="0"/>
    <n v="3093.76"/>
    <n v="-983.74"/>
  </r>
  <r>
    <x v="12"/>
    <x v="3"/>
    <x v="0"/>
    <s v="8553101"/>
    <n v="730040"/>
    <s v="LT Lease-Real Estate"/>
    <s v="Franciscan Pharmacy-Can Road"/>
    <x v="0"/>
    <m/>
    <n v="0"/>
    <n v="0"/>
    <n v="0"/>
    <n v="0"/>
    <n v="0"/>
    <n v="0"/>
    <n v="0"/>
    <n v="0"/>
    <n v="0"/>
    <n v="0"/>
    <n v="0"/>
    <n v="983.74"/>
    <n v="983.74"/>
    <n v="-3346.1900000000005"/>
  </r>
  <r>
    <x v="3"/>
    <x v="3"/>
    <x v="0"/>
    <s v="8554101"/>
    <n v="470010"/>
    <s v="Charity Care-Acute I/P Svcs"/>
    <s v="Franciscan Pharmacy-SJ MOB"/>
    <x v="0"/>
    <m/>
    <n v="17905.98"/>
    <n v="20104.28"/>
    <n v="5161.8900000000003"/>
    <n v="17578.400000000001"/>
    <n v="15580.86"/>
    <n v="16076.08"/>
    <n v="14398.31"/>
    <n v="6765.74"/>
    <n v="8757.32"/>
    <n v="16643.63"/>
    <n v="15160.19"/>
    <n v="18506.38"/>
    <n v="172639.06000000003"/>
    <n v="0"/>
  </r>
  <r>
    <x v="14"/>
    <x v="3"/>
    <x v="0"/>
    <s v="8554101"/>
    <n v="600034"/>
    <s v="Vending Commission"/>
    <s v="Franciscan Pharmacy-SJ MOB"/>
    <x v="0"/>
    <n v="1002"/>
    <n v="0"/>
    <n v="-95.46"/>
    <n v="0"/>
    <n v="0"/>
    <n v="0"/>
    <n v="-105.19"/>
    <n v="0"/>
    <n v="66.28"/>
    <n v="200.65"/>
    <n v="0"/>
    <n v="0"/>
    <n v="0"/>
    <n v="66.28000000000003"/>
    <n v="-26013.210000000021"/>
  </r>
  <r>
    <x v="14"/>
    <x v="3"/>
    <x v="0"/>
    <s v="8554101"/>
    <n v="600048"/>
    <s v="Retail Pharmacy"/>
    <s v="Franciscan Pharmacy-SJ MOB"/>
    <x v="0"/>
    <m/>
    <n v="-425766.5"/>
    <n v="-414974.53"/>
    <n v="-371707.66"/>
    <n v="-426411.51"/>
    <n v="-340147.75"/>
    <n v="-294746.64"/>
    <n v="-648046.92000000004"/>
    <n v="422760.85"/>
    <n v="-762133.07"/>
    <n v="-398411.44"/>
    <n v="-392014.78"/>
    <n v="-366001.57"/>
    <n v="-4417601.5199999996"/>
    <n v="-899.67000000000007"/>
  </r>
  <r>
    <x v="14"/>
    <x v="3"/>
    <x v="0"/>
    <s v="8554101"/>
    <n v="600048"/>
    <s v="Pharmacy Taxable Sales"/>
    <s v="Franciscan Pharmacy-SJ MOB"/>
    <x v="0"/>
    <n v="1002"/>
    <n v="-9249.0400000000009"/>
    <n v="-10706.32"/>
    <n v="-8366.67"/>
    <n v="-9973.83"/>
    <n v="-10476.83"/>
    <n v="-9668.5499999999993"/>
    <n v="-10807.48"/>
    <n v="-11357.01"/>
    <n v="-10898.72"/>
    <n v="-12041.65"/>
    <n v="-11722.64"/>
    <n v="-10822.97"/>
    <n v="-126091.70999999999"/>
    <n v="3346.1900000000005"/>
  </r>
  <r>
    <x v="14"/>
    <x v="3"/>
    <x v="0"/>
    <s v="8554101"/>
    <n v="600050"/>
    <s v="Miscellaneous Revenue"/>
    <s v="Franciscan Pharmacy-SJ MOB"/>
    <x v="0"/>
    <m/>
    <n v="-17905.98"/>
    <n v="-20104.28"/>
    <n v="-5161.8900000000003"/>
    <n v="-17578.400000000001"/>
    <n v="-15580.86"/>
    <n v="-16076.08"/>
    <n v="-14398.31"/>
    <n v="-6765.74"/>
    <n v="-8757.32"/>
    <n v="-16643.63"/>
    <n v="-15160.19"/>
    <n v="-18506.38"/>
    <n v="-172639.06000000003"/>
    <n v="6722.3799999999992"/>
  </r>
  <r>
    <x v="5"/>
    <x v="3"/>
    <x v="0"/>
    <s v="8554101"/>
    <n v="700018"/>
    <s v="Salaries-Supervisory-Productive"/>
    <s v="Franciscan Pharmacy-SJ MOB"/>
    <x v="0"/>
    <m/>
    <n v="14060.35"/>
    <n v="13275.21"/>
    <n v="2858.63"/>
    <n v="8745.83"/>
    <n v="13945.68"/>
    <n v="6453.52"/>
    <n v="11366.02"/>
    <n v="9359.8700000000008"/>
    <n v="4977.26"/>
    <n v="9953.91"/>
    <n v="12479.73"/>
    <n v="5757.35"/>
    <n v="113233.36"/>
    <n v="0"/>
  </r>
  <r>
    <x v="5"/>
    <x v="3"/>
    <x v="0"/>
    <s v="8554101"/>
    <n v="700018"/>
    <s v="Salaries-Supervisory-Other"/>
    <s v="Franciscan Pharmacy-SJ MOB"/>
    <x v="0"/>
    <n v="2000"/>
    <n v="0"/>
    <n v="0"/>
    <n v="0"/>
    <n v="0"/>
    <n v="30"/>
    <n v="0"/>
    <n v="0"/>
    <n v="0"/>
    <n v="0"/>
    <n v="0"/>
    <n v="0"/>
    <n v="0"/>
    <n v="30"/>
    <n v="2792.8399999999965"/>
  </r>
  <r>
    <x v="5"/>
    <x v="3"/>
    <x v="0"/>
    <s v="8554101"/>
    <n v="700032"/>
    <s v="Salaries-Other Pat Care Providers-Productive"/>
    <s v="Franciscan Pharmacy-SJ MOB"/>
    <x v="0"/>
    <m/>
    <n v="22828.84"/>
    <n v="30935.74"/>
    <n v="29549.29"/>
    <n v="16013.94"/>
    <n v="30389.67"/>
    <n v="26185.64"/>
    <n v="32712.31"/>
    <n v="30481.42"/>
    <n v="32362.04"/>
    <n v="32323.73"/>
    <n v="31026.17"/>
    <n v="28233.33"/>
    <n v="343042.12"/>
    <n v="942"/>
  </r>
  <r>
    <x v="5"/>
    <x v="3"/>
    <x v="0"/>
    <s v="8554101"/>
    <n v="700032"/>
    <s v="Salaries-Other Pat Care Providers-OT"/>
    <s v="Franciscan Pharmacy-SJ MOB"/>
    <x v="0"/>
    <n v="1000"/>
    <n v="212"/>
    <n v="350.5"/>
    <n v="450.03"/>
    <n v="523.30999999999995"/>
    <n v="331.22"/>
    <n v="260.64999999999998"/>
    <n v="1135.8"/>
    <n v="-217.22"/>
    <n v="13.1"/>
    <n v="138.05000000000001"/>
    <n v="709.69"/>
    <n v="-232.31"/>
    <n v="3674.8200000000006"/>
    <n v="8.42"/>
  </r>
  <r>
    <x v="5"/>
    <x v="3"/>
    <x v="0"/>
    <s v="8554101"/>
    <n v="700032"/>
    <s v="Salaries-Other Pat Care Providers-Other"/>
    <s v="Franciscan Pharmacy-SJ MOB"/>
    <x v="0"/>
    <n v="2000"/>
    <n v="1144.24"/>
    <n v="744.89"/>
    <n v="573.05999999999995"/>
    <n v="689.51"/>
    <n v="850.66"/>
    <n v="479.76"/>
    <n v="500.91"/>
    <n v="13.46"/>
    <n v="0"/>
    <n v="0"/>
    <n v="13.02"/>
    <n v="4.5999999999999996"/>
    <n v="5014.1100000000006"/>
    <n v="985.21999999999935"/>
  </r>
  <r>
    <x v="5"/>
    <x v="3"/>
    <x v="0"/>
    <s v="8554101"/>
    <n v="700038"/>
    <s v="Salaries-Service/Support-Productive"/>
    <s v="Franciscan Pharmacy-SJ MOB"/>
    <x v="0"/>
    <m/>
    <n v="7007.24"/>
    <n v="6175.8"/>
    <n v="6508.94"/>
    <n v="6157.73"/>
    <n v="6763.29"/>
    <n v="5066.8599999999997"/>
    <n v="6522.53"/>
    <n v="6236.23"/>
    <n v="6445.58"/>
    <n v="6817.38"/>
    <n v="6717.28"/>
    <n v="5732.06"/>
    <n v="76150.92"/>
    <n v="3.6800000000000033"/>
  </r>
  <r>
    <x v="5"/>
    <x v="3"/>
    <x v="0"/>
    <s v="8554101"/>
    <n v="700038"/>
    <s v="Salaries-Service/Support-OT"/>
    <s v="Franciscan Pharmacy-SJ MOB"/>
    <x v="0"/>
    <n v="1000"/>
    <n v="34.729999999999997"/>
    <n v="123.58"/>
    <n v="28.16"/>
    <n v="-14.5"/>
    <n v="6.18"/>
    <n v="94.07"/>
    <n v="343.84"/>
    <n v="-82.07"/>
    <n v="6.7"/>
    <n v="6.49"/>
    <n v="24.01"/>
    <n v="20.329999999999998"/>
    <n v="591.5200000000001"/>
    <n v="0"/>
  </r>
  <r>
    <x v="5"/>
    <x v="3"/>
    <x v="0"/>
    <s v="8554101"/>
    <n v="700038"/>
    <s v="Salaries-Service/Support-Other"/>
    <s v="Franciscan Pharmacy-SJ MOB"/>
    <x v="0"/>
    <n v="2000"/>
    <n v="432.05"/>
    <n v="-17.34"/>
    <n v="0"/>
    <n v="0"/>
    <n v="0"/>
    <n v="8.1300000000000008"/>
    <n v="0"/>
    <n v="0"/>
    <n v="0"/>
    <n v="0"/>
    <n v="0"/>
    <n v="0"/>
    <n v="422.84000000000003"/>
    <n v="0"/>
  </r>
  <r>
    <x v="5"/>
    <x v="3"/>
    <x v="0"/>
    <s v="8554101"/>
    <n v="700054"/>
    <s v="Salaries-Management-NonProd-Other"/>
    <s v="Franciscan Pharmacy-SJ MOB"/>
    <x v="0"/>
    <n v="2000"/>
    <n v="0"/>
    <n v="0"/>
    <n v="0"/>
    <n v="0"/>
    <n v="0"/>
    <n v="1370.7"/>
    <n v="-1370.7"/>
    <n v="0"/>
    <n v="0"/>
    <n v="0"/>
    <n v="0"/>
    <n v="0"/>
    <n v="0"/>
    <n v="-3231.31"/>
  </r>
  <r>
    <x v="5"/>
    <x v="3"/>
    <x v="0"/>
    <s v="8554101"/>
    <n v="700058"/>
    <s v="Salaries-Supervisory-Non-productive"/>
    <s v="Franciscan Pharmacy-SJ MOB"/>
    <x v="0"/>
    <m/>
    <n v="703.65"/>
    <n v="-124.13"/>
    <n v="0"/>
    <n v="0"/>
    <n v="0"/>
    <n v="1112.5999999999999"/>
    <n v="445.84"/>
    <n v="0"/>
    <n v="6536.91"/>
    <n v="-2376.9699999999998"/>
    <n v="0"/>
    <n v="3231.31"/>
    <n v="9529.2099999999991"/>
    <n v="-1683.2099999999996"/>
  </r>
  <r>
    <x v="5"/>
    <x v="3"/>
    <x v="0"/>
    <s v="8554101"/>
    <n v="700072"/>
    <s v="Salaries-Other Pat Care Providers-Non-productive"/>
    <s v="Franciscan Pharmacy-SJ MOB"/>
    <x v="0"/>
    <m/>
    <n v="4866.4799999999996"/>
    <n v="3502.55"/>
    <n v="1105.2"/>
    <n v="494.33"/>
    <n v="184.7"/>
    <n v="2983.06"/>
    <n v="1018.68"/>
    <n v="707.5"/>
    <n v="1698.37"/>
    <n v="925.75"/>
    <n v="3391.73"/>
    <n v="5074.9399999999996"/>
    <n v="25953.289999999997"/>
    <n v="0"/>
  </r>
  <r>
    <x v="5"/>
    <x v="3"/>
    <x v="0"/>
    <s v="8554101"/>
    <n v="700072"/>
    <s v="Salaries-Other Pat Care Providers-NonProd-Other"/>
    <s v="Franciscan Pharmacy-SJ MOB"/>
    <x v="0"/>
    <n v="2000"/>
    <n v="0"/>
    <n v="0"/>
    <n v="0"/>
    <n v="0"/>
    <n v="0"/>
    <n v="0"/>
    <n v="0"/>
    <n v="0"/>
    <n v="0"/>
    <n v="0"/>
    <n v="0"/>
    <n v="0"/>
    <n v="0"/>
    <n v="-786.52"/>
  </r>
  <r>
    <x v="5"/>
    <x v="3"/>
    <x v="0"/>
    <s v="8554101"/>
    <n v="700078"/>
    <s v="Salaries-Service/Support-Non-productive"/>
    <s v="Franciscan Pharmacy-SJ MOB"/>
    <x v="0"/>
    <m/>
    <n v="893.47"/>
    <n v="510.44"/>
    <n v="102.37"/>
    <n v="916.29"/>
    <n v="111.01"/>
    <n v="2301.46"/>
    <n v="682.7"/>
    <n v="308.8"/>
    <n v="644.87"/>
    <n v="75.349999999999994"/>
    <n v="647.72"/>
    <n v="1434.24"/>
    <n v="8628.7200000000012"/>
    <n v="5081.8899999999994"/>
  </r>
  <r>
    <x v="5"/>
    <x v="3"/>
    <x v="0"/>
    <s v="8554101"/>
    <n v="700084"/>
    <s v="Accrued PTO"/>
    <s v="Franciscan Pharmacy-SJ MOB"/>
    <x v="0"/>
    <m/>
    <n v="-1907.77"/>
    <n v="1351.2"/>
    <n v="1144.26"/>
    <n v="1413.02"/>
    <n v="3587.45"/>
    <n v="439.75"/>
    <n v="2597.17"/>
    <n v="3911.89"/>
    <n v="-1382.43"/>
    <n v="4085.06"/>
    <n v="1722.02"/>
    <n v="-3359.87"/>
    <n v="13601.75"/>
    <n v="0"/>
  </r>
  <r>
    <x v="10"/>
    <x v="3"/>
    <x v="0"/>
    <s v="8554101"/>
    <n v="710060"/>
    <s v="Contract Labor-Other"/>
    <s v="Franciscan Pharmacy-SJ MOB"/>
    <x v="0"/>
    <m/>
    <n v="0"/>
    <n v="0"/>
    <n v="0"/>
    <n v="8070.4"/>
    <n v="20983.040000000001"/>
    <n v="7263.36"/>
    <n v="0"/>
    <n v="0"/>
    <n v="0"/>
    <n v="0"/>
    <n v="0"/>
    <n v="0"/>
    <n v="36316.800000000003"/>
    <n v="427.73"/>
  </r>
  <r>
    <x v="6"/>
    <x v="3"/>
    <x v="0"/>
    <s v="8554101"/>
    <n v="713010"/>
    <s v="Benefits-FICA/Medicare"/>
    <s v="Franciscan Pharmacy-SJ MOB"/>
    <x v="0"/>
    <m/>
    <n v="3862.99"/>
    <n v="5274.65"/>
    <n v="3608.94"/>
    <n v="2590.2199999999998"/>
    <n v="3983.57"/>
    <n v="3436.37"/>
    <n v="4180.84"/>
    <n v="3466.15"/>
    <n v="3940.33"/>
    <n v="3561.42"/>
    <n v="4093.38"/>
    <n v="3665.65"/>
    <n v="45664.509999999995"/>
    <n v="1803.4899999999998"/>
  </r>
  <r>
    <x v="6"/>
    <x v="3"/>
    <x v="0"/>
    <s v="8554101"/>
    <n v="713090"/>
    <s v="Benefits-Allocated Amounts"/>
    <s v="Franciscan Pharmacy-SJ MOB"/>
    <x v="0"/>
    <m/>
    <n v="12805.74"/>
    <n v="11351.59"/>
    <n v="10556.37"/>
    <n v="8896.7999999999993"/>
    <n v="11578.63"/>
    <n v="10013"/>
    <n v="13012.21"/>
    <n v="11903.98"/>
    <n v="10133.83"/>
    <n v="11814.66"/>
    <n v="13602.66"/>
    <n v="11799.17"/>
    <n v="137468.64000000001"/>
    <n v="-94.83"/>
  </r>
  <r>
    <x v="7"/>
    <x v="3"/>
    <x v="0"/>
    <s v="8554101"/>
    <n v="718050"/>
    <s v="Contract Svcs-Other"/>
    <s v="Franciscan Pharmacy-SJ MOB"/>
    <x v="0"/>
    <m/>
    <n v="0"/>
    <n v="105"/>
    <n v="10.61"/>
    <n v="0"/>
    <n v="0"/>
    <n v="0"/>
    <n v="0"/>
    <n v="0"/>
    <n v="384.86"/>
    <n v="0"/>
    <n v="0"/>
    <n v="94.83"/>
    <n v="595.30000000000007"/>
    <n v="-2.730000000000004"/>
  </r>
  <r>
    <x v="7"/>
    <x v="3"/>
    <x v="0"/>
    <s v="8554101"/>
    <n v="718050"/>
    <s v="Document Shredding/Storage"/>
    <s v="Franciscan Pharmacy-SJ MOB"/>
    <x v="0"/>
    <n v="1012"/>
    <n v="76.98"/>
    <n v="88.2"/>
    <n v="82.28"/>
    <n v="81.5"/>
    <n v="84.23"/>
    <n v="84.23"/>
    <n v="83.38"/>
    <n v="71.53"/>
    <n v="74.12"/>
    <n v="97.02"/>
    <n v="81.5"/>
    <n v="84.23"/>
    <n v="989.2"/>
    <n v="-2618.1900000000005"/>
  </r>
  <r>
    <x v="7"/>
    <x v="3"/>
    <x v="0"/>
    <s v="8554101"/>
    <n v="718050"/>
    <s v="Miscellaneous Purchased Svcs"/>
    <s v="Franciscan Pharmacy-SJ MOB"/>
    <x v="0"/>
    <n v="1020"/>
    <n v="3452.91"/>
    <n v="2216.06"/>
    <n v="1928.47"/>
    <n v="7126.19"/>
    <n v="1248.6500000000001"/>
    <n v="2057.15"/>
    <n v="1854.78"/>
    <n v="2784.93"/>
    <n v="56345.17"/>
    <n v="8717.2999999999993"/>
    <n v="7708.68"/>
    <n v="10326.870000000001"/>
    <n v="105767.16"/>
    <n v="633.57000000000016"/>
  </r>
  <r>
    <x v="7"/>
    <x v="3"/>
    <x v="0"/>
    <s v="8554101"/>
    <n v="718091"/>
    <s v="Contract Services-Intracompany Allocation"/>
    <s v="Franciscan Pharmacy-SJ MOB"/>
    <x v="0"/>
    <m/>
    <n v="3571.19"/>
    <n v="3469.89"/>
    <n v="3403.66"/>
    <n v="3503.5"/>
    <n v="3669.54"/>
    <n v="3043.41"/>
    <n v="3803.39"/>
    <n v="3364.41"/>
    <n v="3775.37"/>
    <n v="3339.71"/>
    <n v="4064.94"/>
    <n v="3431.37"/>
    <n v="42440.380000000005"/>
    <n v="0"/>
  </r>
  <r>
    <x v="11"/>
    <x v="3"/>
    <x v="0"/>
    <s v="8554101"/>
    <n v="721250"/>
    <s v="Supplies-Pharmacy Drugs - Billable"/>
    <s v="Franciscan Pharmacy-SJ MOB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554101"/>
    <n v="721410"/>
    <s v="Supplies-Medical - Nonbillable"/>
    <s v="Franciscan Pharmacy-SJ MOB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554101"/>
    <n v="721810"/>
    <s v="Supplies-Dietary/Cafeteria"/>
    <s v="Franciscan Pharmacy-SJ MOB"/>
    <x v="0"/>
    <m/>
    <n v="0"/>
    <n v="0"/>
    <n v="0"/>
    <n v="0"/>
    <n v="0"/>
    <n v="0"/>
    <n v="0"/>
    <n v="0"/>
    <n v="897.73"/>
    <n v="-897.73"/>
    <n v="0"/>
    <n v="0"/>
    <n v="0"/>
    <n v="0"/>
  </r>
  <r>
    <x v="11"/>
    <x v="3"/>
    <x v="0"/>
    <s v="8554101"/>
    <n v="721830"/>
    <s v="Supplies-Office"/>
    <s v="Franciscan Pharmacy-SJ MOB"/>
    <x v="0"/>
    <m/>
    <n v="0"/>
    <n v="0"/>
    <n v="0"/>
    <n v="0"/>
    <n v="0"/>
    <n v="0"/>
    <n v="0"/>
    <n v="0"/>
    <n v="578.23"/>
    <n v="-578.23"/>
    <n v="0"/>
    <n v="0"/>
    <n v="0"/>
    <n v="0"/>
  </r>
  <r>
    <x v="11"/>
    <x v="3"/>
    <x v="0"/>
    <s v="8554101"/>
    <n v="721835"/>
    <s v="Supplies-Forms"/>
    <s v="Franciscan Pharmacy-SJ MOB"/>
    <x v="0"/>
    <m/>
    <n v="0"/>
    <n v="0"/>
    <n v="0"/>
    <n v="0"/>
    <n v="0"/>
    <n v="0"/>
    <n v="0"/>
    <n v="0"/>
    <n v="94.6"/>
    <n v="-94.6"/>
    <n v="0"/>
    <n v="0"/>
    <n v="0"/>
    <n v="0"/>
  </r>
  <r>
    <x v="11"/>
    <x v="3"/>
    <x v="0"/>
    <s v="8554101"/>
    <n v="721980"/>
    <s v="Supplies-Other"/>
    <s v="Franciscan Pharmacy-SJ MOB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554101"/>
    <n v="722000"/>
    <s v="Supplies-Freight Expense"/>
    <s v="Franciscan Pharmacy-SJ MOB"/>
    <x v="0"/>
    <m/>
    <n v="0"/>
    <n v="0"/>
    <n v="0"/>
    <n v="0"/>
    <n v="0"/>
    <n v="0"/>
    <n v="0"/>
    <n v="0"/>
    <n v="0"/>
    <n v="0"/>
    <n v="0"/>
    <n v="0"/>
    <n v="0"/>
    <n v="0"/>
  </r>
  <r>
    <x v="11"/>
    <x v="3"/>
    <x v="0"/>
    <s v="8554101"/>
    <n v="723000"/>
    <s v="Supply Rebates/Patronage Dividend"/>
    <s v="Franciscan Pharmacy-SJ MOB"/>
    <x v="0"/>
    <m/>
    <n v="0"/>
    <n v="0"/>
    <n v="0"/>
    <n v="0"/>
    <n v="0"/>
    <n v="0"/>
    <n v="0"/>
    <n v="0"/>
    <n v="-4455.0200000000004"/>
    <n v="4455.0200000000004"/>
    <n v="0"/>
    <n v="0"/>
    <n v="0"/>
    <n v="3024.6"/>
  </r>
  <r>
    <x v="12"/>
    <x v="3"/>
    <x v="0"/>
    <s v="8554101"/>
    <n v="730010"/>
    <s v="Rental and Leases-Building (DO NOT USE)"/>
    <s v="Franciscan Pharmacy-SJ MOB"/>
    <x v="0"/>
    <m/>
    <n v="3653.95"/>
    <n v="3653.95"/>
    <n v="3653.95"/>
    <n v="3653.95"/>
    <n v="3653.95"/>
    <n v="-557.70000000000005"/>
    <n v="3011.01"/>
    <n v="3011.01"/>
    <n v="3011.01"/>
    <n v="3024.6"/>
    <n v="3024.6"/>
    <n v="0"/>
    <n v="32794.28"/>
    <n v="0"/>
  </r>
  <r>
    <x v="12"/>
    <x v="3"/>
    <x v="0"/>
    <s v="8554101"/>
    <n v="730010"/>
    <s v="Rental-Common Area Maint (DO NOT USE)"/>
    <s v="Franciscan Pharmacy-SJ MOB"/>
    <x v="0"/>
    <n v="2200"/>
    <n v="0"/>
    <n v="0"/>
    <n v="0"/>
    <n v="0"/>
    <n v="0"/>
    <n v="4211.6499999999996"/>
    <n v="701.98"/>
    <n v="701.98"/>
    <n v="701.98"/>
    <n v="22.37"/>
    <n v="701.98"/>
    <n v="701.98"/>
    <n v="7743.9199999999983"/>
    <n v="0"/>
  </r>
  <r>
    <x v="12"/>
    <x v="3"/>
    <x v="0"/>
    <s v="8554101"/>
    <n v="730020"/>
    <s v="Rental and Leases-Copier Usage Fees (DO NOT USE)"/>
    <s v="Franciscan Pharmacy-SJ MOB"/>
    <x v="0"/>
    <n v="5100"/>
    <n v="132.09"/>
    <n v="131.76"/>
    <n v="131.91999999999999"/>
    <n v="131.91999999999999"/>
    <n v="131.91999999999999"/>
    <n v="131.91999999999999"/>
    <n v="-1052.8699999999999"/>
    <n v="11.21"/>
    <n v="11.92"/>
    <n v="11.23"/>
    <n v="11.21"/>
    <n v="11.21"/>
    <n v="-204.56000000000003"/>
    <n v="-3024.6"/>
  </r>
  <r>
    <x v="12"/>
    <x v="3"/>
    <x v="0"/>
    <s v="8554101"/>
    <n v="730040"/>
    <s v="LT Lease-Real Estate"/>
    <s v="Franciscan Pharmacy-SJ MOB"/>
    <x v="0"/>
    <m/>
    <n v="0"/>
    <n v="0"/>
    <n v="0"/>
    <n v="0"/>
    <n v="0"/>
    <n v="0"/>
    <n v="0"/>
    <n v="0"/>
    <n v="0"/>
    <n v="0"/>
    <n v="0"/>
    <n v="3024.6"/>
    <n v="3024.6"/>
    <n v="0"/>
  </r>
  <r>
    <x v="15"/>
    <x v="3"/>
    <x v="0"/>
    <s v="8554101"/>
    <n v="731060"/>
    <s v="Telephone"/>
    <s v="Franciscan Pharmacy-SJ MOB"/>
    <x v="0"/>
    <m/>
    <n v="228.84"/>
    <n v="53.85"/>
    <n v="34.19"/>
    <n v="34.270000000000003"/>
    <n v="34.25"/>
    <n v="35.96"/>
    <n v="34.799999999999997"/>
    <n v="35.700000000000003"/>
    <n v="34.89"/>
    <n v="34.67"/>
    <n v="34.85"/>
    <n v="34.85"/>
    <n v="631.12"/>
    <n v="0"/>
  </r>
  <r>
    <x v="15"/>
    <x v="3"/>
    <x v="0"/>
    <s v="8554101"/>
    <n v="731070"/>
    <s v="Cable TV"/>
    <s v="Franciscan Pharmacy-SJ MOB"/>
    <x v="0"/>
    <m/>
    <n v="79.790000000000006"/>
    <n v="79.790000000000006"/>
    <n v="79.790000000000006"/>
    <n v="79.790000000000006"/>
    <n v="79.790000000000006"/>
    <n v="79.790000000000006"/>
    <n v="88.77"/>
    <n v="88.77"/>
    <n v="88.77"/>
    <n v="88.77"/>
    <n v="88.77"/>
    <n v="88.77"/>
    <n v="1011.36"/>
    <n v="16.739999999999998"/>
  </r>
  <r>
    <x v="16"/>
    <x v="3"/>
    <x v="0"/>
    <s v="8554101"/>
    <n v="732030"/>
    <s v="Repairs---Other"/>
    <s v="Franciscan Pharmacy-SJ MOB"/>
    <x v="0"/>
    <m/>
    <n v="0"/>
    <n v="0"/>
    <n v="0"/>
    <n v="0"/>
    <n v="0"/>
    <n v="0"/>
    <n v="200"/>
    <n v="0"/>
    <n v="0"/>
    <n v="0"/>
    <n v="16.739999999999998"/>
    <n v="0"/>
    <n v="216.74"/>
    <n v="4.9999999999954525E-2"/>
  </r>
  <r>
    <x v="13"/>
    <x v="3"/>
    <x v="0"/>
    <s v="8554101"/>
    <n v="735050"/>
    <s v="Amortization-Leasehold Improvements"/>
    <s v="Franciscan Pharmacy-SJ MOB"/>
    <x v="0"/>
    <m/>
    <n v="1616.15"/>
    <n v="1616.14"/>
    <n v="1616.15"/>
    <n v="1616.14"/>
    <n v="1616.17"/>
    <n v="1616.14"/>
    <n v="1616.17"/>
    <n v="1616.14"/>
    <n v="1616.17"/>
    <n v="1616.13"/>
    <n v="1616.18"/>
    <n v="1616.13"/>
    <n v="19393.810000000001"/>
    <n v="1.0000000000005116E-2"/>
  </r>
  <r>
    <x v="13"/>
    <x v="3"/>
    <x v="0"/>
    <s v="8554101"/>
    <n v="735060"/>
    <s v="Depreciation-Fixed Equipment"/>
    <s v="Franciscan Pharmacy-SJ MOB"/>
    <x v="0"/>
    <m/>
    <n v="108.09"/>
    <n v="108.09"/>
    <n v="108.09"/>
    <n v="108.09"/>
    <n v="108.09"/>
    <n v="108.09"/>
    <n v="108.09"/>
    <n v="108.09"/>
    <n v="108.09"/>
    <n v="108.09"/>
    <n v="108.09"/>
    <n v="108.08"/>
    <n v="1297.07"/>
    <n v="0.10000000000002274"/>
  </r>
  <r>
    <x v="13"/>
    <x v="3"/>
    <x v="0"/>
    <s v="8554101"/>
    <n v="735070"/>
    <s v="Depreciation-Movable Equipment"/>
    <s v="Franciscan Pharmacy-SJ MOB"/>
    <x v="0"/>
    <m/>
    <n v="728.35"/>
    <n v="728.33"/>
    <n v="728.36"/>
    <n v="728.32"/>
    <n v="728.37"/>
    <n v="728.31"/>
    <n v="728.38"/>
    <n v="728.29"/>
    <n v="728.38"/>
    <n v="728.29"/>
    <n v="728.38"/>
    <n v="728.28"/>
    <n v="8740.0400000000009"/>
    <n v="0"/>
  </r>
  <r>
    <x v="0"/>
    <x v="3"/>
    <x v="0"/>
    <s v="8554101"/>
    <n v="740020"/>
    <s v="Education-Registration Fees"/>
    <s v="Franciscan Pharmacy-SJ MOB"/>
    <x v="0"/>
    <m/>
    <n v="0"/>
    <n v="0"/>
    <n v="625"/>
    <n v="0"/>
    <n v="0"/>
    <n v="0"/>
    <n v="0"/>
    <n v="0"/>
    <n v="0"/>
    <n v="0"/>
    <n v="0"/>
    <n v="0"/>
    <n v="625"/>
    <n v="224.91"/>
  </r>
  <r>
    <x v="0"/>
    <x v="3"/>
    <x v="0"/>
    <s v="8554101"/>
    <n v="742010"/>
    <s v="Postage-Regular"/>
    <s v="Franciscan Pharmacy-SJ MOB"/>
    <x v="0"/>
    <m/>
    <n v="0"/>
    <n v="100"/>
    <n v="0"/>
    <n v="100"/>
    <n v="0"/>
    <n v="100"/>
    <n v="0"/>
    <n v="0"/>
    <n v="0"/>
    <n v="100"/>
    <n v="249.9"/>
    <n v="24.99"/>
    <n v="674.89"/>
    <n v="-75.09"/>
  </r>
  <r>
    <x v="0"/>
    <x v="3"/>
    <x v="0"/>
    <s v="8554101"/>
    <n v="742030"/>
    <s v="Freight-Courier"/>
    <s v="Franciscan Pharmacy-SJ MOB"/>
    <x v="0"/>
    <m/>
    <n v="0"/>
    <n v="0"/>
    <n v="110.38"/>
    <n v="26.26"/>
    <n v="0"/>
    <n v="75"/>
    <n v="0"/>
    <n v="75"/>
    <n v="43.74"/>
    <n v="116.88"/>
    <n v="0"/>
    <n v="75.09"/>
    <n v="522.35"/>
    <n v="0"/>
  </r>
  <r>
    <x v="0"/>
    <x v="3"/>
    <x v="0"/>
    <s v="8554101"/>
    <n v="743020"/>
    <s v="Dues--Individual"/>
    <s v="Franciscan Pharmacy-SJ MOB"/>
    <x v="0"/>
    <m/>
    <n v="0"/>
    <n v="0"/>
    <n v="-345"/>
    <n v="0"/>
    <n v="0"/>
    <n v="0"/>
    <n v="0"/>
    <n v="0"/>
    <n v="0"/>
    <n v="235"/>
    <n v="0"/>
    <n v="0"/>
    <n v="-110"/>
    <n v="0"/>
  </r>
  <r>
    <x v="0"/>
    <x v="3"/>
    <x v="0"/>
    <s v="8554101"/>
    <n v="743030"/>
    <s v="Subscriptions--Institutional"/>
    <s v="Franciscan Pharmacy-SJ MOB"/>
    <x v="0"/>
    <m/>
    <n v="0"/>
    <n v="0"/>
    <n v="0"/>
    <n v="374.12"/>
    <n v="0"/>
    <n v="0"/>
    <n v="0"/>
    <n v="0"/>
    <n v="0"/>
    <n v="0"/>
    <n v="0"/>
    <n v="0"/>
    <n v="374.12"/>
    <n v="864.81999999997788"/>
  </r>
  <r>
    <x v="0"/>
    <x v="3"/>
    <x v="0"/>
    <s v="8554101"/>
    <n v="748521"/>
    <s v="COGS-Pharmacy Drugs-Retail"/>
    <s v="Franciscan Pharmacy-SJ MOB"/>
    <x v="0"/>
    <m/>
    <n v="295158.95"/>
    <n v="222820.87"/>
    <n v="237029.31"/>
    <n v="258794.66"/>
    <n v="249665.29"/>
    <n v="228826.39"/>
    <n v="225714.61"/>
    <n v="241349.61"/>
    <n v="227470.73"/>
    <n v="248203.19"/>
    <n v="209997.33"/>
    <n v="209132.51"/>
    <n v="2854163.45"/>
    <n v="881.17"/>
  </r>
  <r>
    <x v="0"/>
    <x v="3"/>
    <x v="0"/>
    <s v="8554101"/>
    <n v="748549"/>
    <s v="COGS-Supply Rebate"/>
    <s v="Franciscan Pharmacy-SJ MOB"/>
    <x v="0"/>
    <m/>
    <n v="0"/>
    <n v="0"/>
    <n v="-2475.37"/>
    <n v="0"/>
    <n v="0"/>
    <n v="-404.99"/>
    <n v="0"/>
    <n v="0"/>
    <n v="0"/>
    <n v="-4568.3100000000004"/>
    <n v="0"/>
    <n v="-881.17"/>
    <n v="-8329.84"/>
    <n v="-6723.71"/>
  </r>
  <r>
    <x v="0"/>
    <x v="3"/>
    <x v="0"/>
    <s v="8554101"/>
    <n v="748550"/>
    <s v="COGS-Other Retail Supply Costs"/>
    <s v="Franciscan Pharmacy-SJ MOB"/>
    <x v="0"/>
    <m/>
    <n v="1402.99"/>
    <n v="2829.49"/>
    <n v="4203.6099999999997"/>
    <n v="4991.05"/>
    <n v="3642.76"/>
    <n v="3717.05"/>
    <n v="5172.74"/>
    <n v="7579.54"/>
    <n v="791.97"/>
    <n v="7507.29"/>
    <n v="-171.11"/>
    <n v="6552.6"/>
    <n v="48219.98"/>
    <n v="0"/>
  </r>
  <r>
    <x v="0"/>
    <x v="3"/>
    <x v="0"/>
    <s v="8554101"/>
    <n v="749510"/>
    <s v="Miscellaneous Expenses"/>
    <s v="Franciscan Pharmacy-SJ MOB"/>
    <x v="0"/>
    <m/>
    <n v="0"/>
    <n v="0"/>
    <n v="-11"/>
    <n v="12"/>
    <n v="0"/>
    <n v="0"/>
    <n v="0"/>
    <n v="0"/>
    <n v="0"/>
    <n v="-1"/>
    <n v="0"/>
    <n v="0"/>
    <n v="0"/>
    <n v="0"/>
  </r>
  <r>
    <x v="0"/>
    <x v="3"/>
    <x v="0"/>
    <s v="8554101"/>
    <n v="749510"/>
    <s v="Licenses"/>
    <s v="Franciscan Pharmacy-SJ MOB"/>
    <x v="0"/>
    <n v="1002"/>
    <n v="0"/>
    <n v="731"/>
    <n v="0"/>
    <n v="0"/>
    <n v="0"/>
    <n v="0"/>
    <n v="0"/>
    <n v="0"/>
    <n v="845"/>
    <n v="0"/>
    <n v="0"/>
    <n v="0"/>
    <n v="1576"/>
    <n v="-297"/>
  </r>
  <r>
    <x v="0"/>
    <x v="3"/>
    <x v="0"/>
    <s v="8554101"/>
    <n v="749510"/>
    <s v="RICE Rewards"/>
    <s v="Franciscan Pharmacy-SJ MOB"/>
    <x v="0"/>
    <n v="5100"/>
    <n v="0"/>
    <n v="0"/>
    <n v="0"/>
    <n v="0"/>
    <n v="0"/>
    <n v="0"/>
    <n v="0"/>
    <n v="0"/>
    <n v="0"/>
    <n v="0"/>
    <n v="0"/>
    <n v="297"/>
    <n v="297"/>
    <n v="-17.600000000000001"/>
  </r>
  <r>
    <x v="0"/>
    <x v="3"/>
    <x v="0"/>
    <s v="8554101"/>
    <n v="749530"/>
    <s v="Travel"/>
    <s v="Franciscan Pharmacy-SJ MOB"/>
    <x v="0"/>
    <m/>
    <n v="0"/>
    <n v="0"/>
    <n v="0"/>
    <n v="0"/>
    <n v="0"/>
    <n v="0"/>
    <n v="0"/>
    <n v="0"/>
    <n v="0"/>
    <n v="0"/>
    <n v="0"/>
    <n v="17.600000000000001"/>
    <n v="17.600000000000001"/>
    <n v="-52.18"/>
  </r>
  <r>
    <x v="0"/>
    <x v="3"/>
    <x v="0"/>
    <s v="8554101"/>
    <n v="749550"/>
    <s v="Cash Over/Short"/>
    <s v="Franciscan Pharmacy-SJ MOB"/>
    <x v="0"/>
    <m/>
    <n v="-6.62"/>
    <n v="17.5"/>
    <n v="-18.23"/>
    <n v="-0.12"/>
    <n v="0"/>
    <n v="0"/>
    <n v="0"/>
    <n v="0"/>
    <n v="0"/>
    <n v="0.04"/>
    <n v="0"/>
    <n v="52.18"/>
    <n v="44.75"/>
    <n v="3847.3600000000006"/>
  </r>
  <r>
    <x v="0"/>
    <x v="3"/>
    <x v="0"/>
    <s v="8554101"/>
    <n v="750015"/>
    <s v="Provision for Bad Debts--Non-Patient"/>
    <s v="Franciscan Pharmacy-SJ MOB"/>
    <x v="0"/>
    <m/>
    <n v="32728.65"/>
    <n v="34538.370000000003"/>
    <n v="29783.73"/>
    <n v="42521.42"/>
    <n v="32621.45"/>
    <n v="27079.85"/>
    <n v="176332.28"/>
    <n v="-6782.54"/>
    <n v="-367588.59"/>
    <n v="1169.5"/>
    <n v="-906.24"/>
    <n v="-4753.6000000000004"/>
    <n v="-3255.7200000000048"/>
    <n v="5079.97"/>
  </r>
  <r>
    <x v="5"/>
    <x v="3"/>
    <x v="0"/>
    <s v="8555101"/>
    <n v="700018"/>
    <s v="Salaries-Supervisory-Productive"/>
    <s v="Hospice Pharmacy Clinical"/>
    <x v="0"/>
    <m/>
    <n v="9703.3700000000008"/>
    <n v="9448.41"/>
    <n v="9533.5"/>
    <n v="-1872.48"/>
    <n v="14256"/>
    <n v="10845.59"/>
    <n v="12395.04"/>
    <n v="11649.62"/>
    <n v="13795.67"/>
    <n v="13138.32"/>
    <n v="11124.16"/>
    <n v="6044.19"/>
    <n v="120061.39000000001"/>
    <n v="4996.3999999999978"/>
  </r>
  <r>
    <x v="5"/>
    <x v="3"/>
    <x v="0"/>
    <s v="8555101"/>
    <n v="700032"/>
    <s v="Salaries-Other Pat Care Providers-Productive"/>
    <s v="Hospice Pharmacy Clinical"/>
    <x v="0"/>
    <m/>
    <n v="30412.57"/>
    <n v="28704.799999999999"/>
    <n v="12842.47"/>
    <n v="37512.69"/>
    <n v="29988.98"/>
    <n v="34595.03"/>
    <n v="33348.980000000003"/>
    <n v="31107.06"/>
    <n v="32153.17"/>
    <n v="32184.01"/>
    <n v="35173.919999999998"/>
    <n v="30177.52"/>
    <n v="368201.2"/>
    <n v="0"/>
  </r>
  <r>
    <x v="5"/>
    <x v="3"/>
    <x v="0"/>
    <s v="8555101"/>
    <n v="700032"/>
    <s v="Salaries-Other Pat Care Providers-OT"/>
    <s v="Hospice Pharmacy Clinical"/>
    <x v="0"/>
    <n v="1000"/>
    <n v="0"/>
    <n v="0"/>
    <n v="0"/>
    <n v="0"/>
    <n v="0"/>
    <n v="42.29"/>
    <n v="0"/>
    <n v="0"/>
    <n v="0"/>
    <n v="0"/>
    <n v="0"/>
    <n v="0"/>
    <n v="42.29"/>
    <n v="0"/>
  </r>
  <r>
    <x v="5"/>
    <x v="3"/>
    <x v="0"/>
    <s v="8555101"/>
    <n v="700032"/>
    <s v="Salaries-Other Pat Care Providers-Other"/>
    <s v="Hospice Pharmacy Clinical"/>
    <x v="0"/>
    <n v="2000"/>
    <n v="0"/>
    <n v="0"/>
    <n v="0"/>
    <n v="0"/>
    <n v="16.95"/>
    <n v="80.760000000000005"/>
    <n v="20.03"/>
    <n v="0"/>
    <n v="0"/>
    <n v="0"/>
    <n v="0"/>
    <n v="0"/>
    <n v="117.74000000000001"/>
    <n v="-1299.56"/>
  </r>
  <r>
    <x v="5"/>
    <x v="3"/>
    <x v="0"/>
    <s v="8555101"/>
    <n v="700038"/>
    <s v="Salaries-Service/Support-Productive"/>
    <s v="Hospice Pharmacy Clinical"/>
    <x v="0"/>
    <m/>
    <n v="1990.9"/>
    <n v="2916.5"/>
    <n v="2104.1999999999998"/>
    <n v="-549.53"/>
    <n v="0"/>
    <n v="0"/>
    <n v="0"/>
    <n v="2230.6799999999998"/>
    <n v="2637.97"/>
    <n v="532.88"/>
    <n v="0"/>
    <n v="1299.56"/>
    <n v="13163.159999999998"/>
    <n v="0"/>
  </r>
  <r>
    <x v="5"/>
    <x v="3"/>
    <x v="0"/>
    <s v="8555101"/>
    <n v="700038"/>
    <s v="Salaries-Service/Support-OT"/>
    <s v="Hospice Pharmacy Clinical"/>
    <x v="0"/>
    <n v="1000"/>
    <n v="0"/>
    <n v="70.16"/>
    <n v="-21.04"/>
    <n v="0"/>
    <n v="0"/>
    <n v="0"/>
    <n v="0"/>
    <n v="0"/>
    <n v="0"/>
    <n v="0"/>
    <n v="0"/>
    <n v="0"/>
    <n v="49.12"/>
    <n v="0"/>
  </r>
  <r>
    <x v="5"/>
    <x v="3"/>
    <x v="0"/>
    <s v="8555101"/>
    <n v="700038"/>
    <s v="Salaries-Service/Support-Other"/>
    <s v="Hospice Pharmacy Clinical"/>
    <x v="0"/>
    <n v="2000"/>
    <n v="0"/>
    <n v="0"/>
    <n v="0"/>
    <n v="0"/>
    <n v="0"/>
    <n v="0"/>
    <n v="0"/>
    <n v="30.04"/>
    <n v="0"/>
    <n v="0"/>
    <n v="0"/>
    <n v="0"/>
    <n v="30.04"/>
    <n v="0"/>
  </r>
  <r>
    <x v="5"/>
    <x v="3"/>
    <x v="0"/>
    <s v="8555101"/>
    <n v="700054"/>
    <s v="Salaries-Management-NonProd-Other"/>
    <s v="Hospice Pharmacy Clinical"/>
    <x v="0"/>
    <n v="2000"/>
    <n v="0"/>
    <n v="0"/>
    <n v="0"/>
    <n v="0"/>
    <n v="0"/>
    <n v="60.4"/>
    <n v="-60.4"/>
    <n v="0"/>
    <n v="0"/>
    <n v="0"/>
    <n v="0"/>
    <n v="0"/>
    <n v="0"/>
    <n v="-4642.1899999999996"/>
  </r>
  <r>
    <x v="5"/>
    <x v="3"/>
    <x v="0"/>
    <s v="8555101"/>
    <n v="700058"/>
    <s v="Salaries-Supervisory-Non-productive"/>
    <s v="Hospice Pharmacy Clinical"/>
    <x v="0"/>
    <m/>
    <n v="3489.71"/>
    <n v="3745.27"/>
    <n v="2298.46"/>
    <n v="10932.76"/>
    <n v="-1136.92"/>
    <n v="2711.24"/>
    <n v="1182.95"/>
    <n v="613.14"/>
    <n v="-218.95"/>
    <n v="0"/>
    <n v="2452.5500000000002"/>
    <n v="7094.74"/>
    <n v="33164.949999999997"/>
    <n v="-3843.1400000000003"/>
  </r>
  <r>
    <x v="5"/>
    <x v="3"/>
    <x v="0"/>
    <s v="8555101"/>
    <n v="700072"/>
    <s v="Salaries-Other Pat Care Providers-Non-productive"/>
    <s v="Hospice Pharmacy Clinical"/>
    <x v="0"/>
    <m/>
    <n v="4549"/>
    <n v="6286.96"/>
    <n v="13556.4"/>
    <n v="-1393.69"/>
    <n v="582.89"/>
    <n v="7867.62"/>
    <n v="3109.99"/>
    <n v="1196.26"/>
    <n v="3611.44"/>
    <n v="2425.7800000000002"/>
    <n v="590.71"/>
    <n v="4433.8500000000004"/>
    <n v="46817.21"/>
    <n v="-121.29"/>
  </r>
  <r>
    <x v="5"/>
    <x v="3"/>
    <x v="0"/>
    <s v="8555101"/>
    <n v="700078"/>
    <s v="Salaries-Service/Support-Non-productive"/>
    <s v="Hospice Pharmacy Clinical"/>
    <x v="0"/>
    <m/>
    <n v="777.86"/>
    <n v="-16.64"/>
    <n v="155.52000000000001"/>
    <n v="0"/>
    <n v="0"/>
    <n v="0"/>
    <n v="0"/>
    <n v="0"/>
    <n v="0"/>
    <n v="0"/>
    <n v="0"/>
    <n v="121.29"/>
    <n v="1038.03"/>
    <n v="5074.88"/>
  </r>
  <r>
    <x v="5"/>
    <x v="3"/>
    <x v="0"/>
    <s v="8555101"/>
    <n v="700084"/>
    <s v="Accrued PTO"/>
    <s v="Hospice Pharmacy Clinical"/>
    <x v="0"/>
    <m/>
    <n v="-267.42"/>
    <n v="-3952.74"/>
    <n v="-9305.0300000000007"/>
    <n v="5903.83"/>
    <n v="4473.96"/>
    <n v="-57.31"/>
    <n v="1103.18"/>
    <n v="4454.33"/>
    <n v="3503.52"/>
    <n v="4235.6099999999997"/>
    <n v="3117.45"/>
    <n v="-1957.43"/>
    <n v="11251.95"/>
    <n v="-324.56999999999971"/>
  </r>
  <r>
    <x v="6"/>
    <x v="3"/>
    <x v="0"/>
    <s v="8555101"/>
    <n v="713010"/>
    <s v="Benefits-FICA/Medicare"/>
    <s v="Hospice Pharmacy Clinical"/>
    <x v="0"/>
    <m/>
    <n v="3784.33"/>
    <n v="3802.88"/>
    <n v="2992.24"/>
    <n v="3021.84"/>
    <n v="1625.78"/>
    <n v="3207.37"/>
    <n v="3717.67"/>
    <n v="3478.14"/>
    <n v="3861.11"/>
    <n v="3578.44"/>
    <n v="3659.61"/>
    <n v="3984.18"/>
    <n v="40713.590000000004"/>
    <n v="21.740000000000691"/>
  </r>
  <r>
    <x v="6"/>
    <x v="3"/>
    <x v="0"/>
    <s v="8555101"/>
    <n v="713090"/>
    <s v="Benefits-Allocated Amounts"/>
    <s v="Hospice Pharmacy Clinical"/>
    <x v="0"/>
    <m/>
    <n v="8078.06"/>
    <n v="7361.37"/>
    <n v="5970.68"/>
    <n v="6300.11"/>
    <n v="6565.46"/>
    <n v="8843.3799999999992"/>
    <n v="7487.68"/>
    <n v="8161.39"/>
    <n v="6813.84"/>
    <n v="7598.19"/>
    <n v="7685.52"/>
    <n v="7663.78"/>
    <n v="88529.46"/>
    <n v="-51.98"/>
  </r>
  <r>
    <x v="6"/>
    <x v="3"/>
    <x v="0"/>
    <s v="8555101"/>
    <n v="713096"/>
    <s v="Employee Recognition"/>
    <s v="Hospice Pharmacy Clinical"/>
    <x v="0"/>
    <n v="1017"/>
    <n v="0"/>
    <n v="0"/>
    <n v="0"/>
    <n v="0"/>
    <n v="0"/>
    <n v="0"/>
    <n v="0"/>
    <n v="0"/>
    <n v="0"/>
    <n v="0"/>
    <n v="0"/>
    <n v="51.98"/>
    <n v="51.98"/>
    <n v="0"/>
  </r>
  <r>
    <x v="7"/>
    <x v="3"/>
    <x v="0"/>
    <s v="8555101"/>
    <n v="718050"/>
    <s v="Miscellaneous Purchased Svcs"/>
    <s v="Hospice Pharmacy Clinical"/>
    <x v="0"/>
    <n v="1020"/>
    <n v="0"/>
    <n v="0"/>
    <n v="0"/>
    <n v="0"/>
    <n v="0"/>
    <n v="0"/>
    <n v="11640"/>
    <n v="-11640"/>
    <n v="0"/>
    <n v="0"/>
    <n v="0"/>
    <n v="0"/>
    <n v="0"/>
    <n v="109.23000000000002"/>
  </r>
  <r>
    <x v="7"/>
    <x v="3"/>
    <x v="0"/>
    <s v="8555101"/>
    <n v="718091"/>
    <s v="Contract Services-Intracompany Allocation"/>
    <s v="Hospice Pharmacy Clinical"/>
    <x v="0"/>
    <m/>
    <n v="615.72"/>
    <n v="598.26"/>
    <n v="586.84"/>
    <n v="604.04999999999995"/>
    <n v="632.67999999999995"/>
    <n v="524.72"/>
    <n v="655.76"/>
    <n v="580.07000000000005"/>
    <n v="650.92999999999995"/>
    <n v="575.80999999999995"/>
    <n v="700.85"/>
    <n v="591.62"/>
    <n v="7317.31"/>
    <n v="0"/>
  </r>
  <r>
    <x v="0"/>
    <x v="3"/>
    <x v="0"/>
    <s v="8555101"/>
    <n v="743020"/>
    <s v="Dues--Individual"/>
    <s v="Hospice Pharmacy Clinical"/>
    <x v="0"/>
    <m/>
    <n v="0"/>
    <n v="625"/>
    <n v="0"/>
    <n v="0"/>
    <n v="0"/>
    <n v="0"/>
    <n v="0"/>
    <n v="0"/>
    <n v="0"/>
    <n v="0"/>
    <n v="0"/>
    <n v="0"/>
    <n v="625"/>
    <n v="103.96"/>
  </r>
  <r>
    <x v="0"/>
    <x v="3"/>
    <x v="0"/>
    <s v="8555101"/>
    <n v="749510"/>
    <s v="Miscellaneous Expenses"/>
    <s v="Hospice Pharmacy Clinical"/>
    <x v="0"/>
    <m/>
    <n v="0"/>
    <n v="0"/>
    <n v="81.760000000000005"/>
    <n v="-82.76"/>
    <n v="53.42"/>
    <n v="-53.42"/>
    <n v="0"/>
    <n v="0"/>
    <n v="0"/>
    <n v="0"/>
    <n v="51.98"/>
    <n v="-51.98"/>
    <n v="-1"/>
    <n v="0"/>
  </r>
  <r>
    <x v="0"/>
    <x v="3"/>
    <x v="0"/>
    <s v="8555101"/>
    <n v="749510"/>
    <s v="Licenses"/>
    <s v="Hospice Pharmacy Clinical"/>
    <x v="0"/>
    <n v="1002"/>
    <n v="0"/>
    <n v="0"/>
    <n v="0"/>
    <n v="0"/>
    <n v="0"/>
    <n v="0"/>
    <n v="0"/>
    <n v="13"/>
    <n v="0"/>
    <n v="0"/>
    <n v="0"/>
    <n v="0"/>
    <n v="13"/>
    <n v="0"/>
  </r>
  <r>
    <x v="0"/>
    <x v="3"/>
    <x v="0"/>
    <s v="8555101"/>
    <n v="749530"/>
    <s v="Travel"/>
    <s v="Hospice Pharmacy Clinical"/>
    <x v="0"/>
    <m/>
    <n v="0"/>
    <n v="0"/>
    <n v="0"/>
    <n v="0"/>
    <n v="0"/>
    <n v="6"/>
    <n v="0"/>
    <n v="20"/>
    <n v="0"/>
    <n v="0"/>
    <n v="0"/>
    <n v="0"/>
    <n v="26"/>
    <n v="0"/>
  </r>
  <r>
    <x v="0"/>
    <x v="3"/>
    <x v="0"/>
    <s v="8555101"/>
    <n v="749530"/>
    <s v="Mileage"/>
    <s v="Hospice Pharmacy Clinical"/>
    <x v="0"/>
    <n v="1001"/>
    <n v="0"/>
    <n v="0"/>
    <n v="0"/>
    <n v="81.760000000000005"/>
    <n v="0"/>
    <n v="170.06"/>
    <n v="0"/>
    <n v="0"/>
    <n v="0"/>
    <n v="34.799999999999997"/>
    <n v="0"/>
    <n v="0"/>
    <n v="286.62"/>
    <n v="2439.42"/>
  </r>
  <r>
    <x v="3"/>
    <x v="0"/>
    <x v="0"/>
    <s v="8555102"/>
    <n v="470010"/>
    <s v="Charity Care-Acute I/P Svcs"/>
    <s v="Franc. Rx-Federal Way"/>
    <x v="0"/>
    <m/>
    <n v="8739.0499999999993"/>
    <n v="11172.99"/>
    <n v="11062.98"/>
    <n v="5202.8599999999997"/>
    <n v="3278.4"/>
    <n v="4849.12"/>
    <n v="8575.7999999999993"/>
    <n v="5543.84"/>
    <n v="4779.97"/>
    <n v="11405.41"/>
    <n v="6540.41"/>
    <n v="4100.99"/>
    <n v="85251.82"/>
    <n v="-1002.07"/>
  </r>
  <r>
    <x v="14"/>
    <x v="0"/>
    <x v="0"/>
    <s v="8555102"/>
    <n v="600032"/>
    <s v="DME Revenue"/>
    <s v="Franc. Rx-Federal Way"/>
    <x v="0"/>
    <m/>
    <n v="-1832.13"/>
    <n v="-1014.99"/>
    <n v="-1629.89"/>
    <n v="-1289.1500000000001"/>
    <n v="-852.3"/>
    <n v="-929.65"/>
    <n v="-741.06"/>
    <n v="-1397.08"/>
    <n v="-771.39"/>
    <n v="-609.98"/>
    <n v="-1479.67"/>
    <n v="-477.6"/>
    <n v="-13024.89"/>
    <n v="-299.23"/>
  </r>
  <r>
    <x v="14"/>
    <x v="0"/>
    <x v="0"/>
    <s v="8555102"/>
    <n v="600032"/>
    <s v="Deductions From Revenue--DME"/>
    <s v="Franc. Rx-Federal Way"/>
    <x v="0"/>
    <n v="4900"/>
    <n v="368.81"/>
    <n v="62.47"/>
    <n v="90.62"/>
    <n v="336.94"/>
    <n v="103.86"/>
    <n v="333.42"/>
    <n v="1029.01"/>
    <n v="178.19"/>
    <n v="66.77"/>
    <n v="599.9"/>
    <n v="159.47"/>
    <n v="458.7"/>
    <n v="3788.16"/>
    <n v="0"/>
  </r>
  <r>
    <x v="14"/>
    <x v="0"/>
    <x v="0"/>
    <s v="8555102"/>
    <n v="600034"/>
    <s v="Vending Commission"/>
    <s v="Franc. Rx-Federal Way"/>
    <x v="0"/>
    <n v="1002"/>
    <n v="0"/>
    <n v="-38.049999999999997"/>
    <n v="0"/>
    <n v="0"/>
    <n v="0"/>
    <n v="-41.82"/>
    <n v="0"/>
    <n v="49.71"/>
    <n v="79.87"/>
    <n v="0"/>
    <n v="0"/>
    <n v="0"/>
    <n v="49.71"/>
    <n v="5858.9300000000221"/>
  </r>
  <r>
    <x v="14"/>
    <x v="0"/>
    <x v="0"/>
    <s v="8555102"/>
    <n v="600048"/>
    <s v="Retail Pharmacy"/>
    <s v="Franc. Rx-Federal Way"/>
    <x v="0"/>
    <m/>
    <n v="-199273.86"/>
    <n v="-176822.94"/>
    <n v="-163512.45000000001"/>
    <n v="-196451.11"/>
    <n v="-180242.14"/>
    <n v="-155076.42000000001"/>
    <n v="-202150.07"/>
    <n v="-492341.19"/>
    <n v="201241.11"/>
    <n v="-158591.41"/>
    <n v="-160556.51999999999"/>
    <n v="-166415.45000000001"/>
    <n v="-2050192.4499999997"/>
    <n v="51.700000000000273"/>
  </r>
  <r>
    <x v="14"/>
    <x v="0"/>
    <x v="0"/>
    <s v="8555102"/>
    <n v="600048"/>
    <s v="Pharmacy Taxable Sales"/>
    <s v="Franc. Rx-Federal Way"/>
    <x v="0"/>
    <n v="1002"/>
    <n v="-2951.83"/>
    <n v="-3834.44"/>
    <n v="-3181.54"/>
    <n v="-4452.8599999999997"/>
    <n v="-3590.81"/>
    <n v="-3617.08"/>
    <n v="-4474.58"/>
    <n v="-3628.59"/>
    <n v="-4214.57"/>
    <n v="-4252.37"/>
    <n v="-3481.64"/>
    <n v="-3533.34"/>
    <n v="-45213.650000000009"/>
    <n v="-2439.42"/>
  </r>
  <r>
    <x v="14"/>
    <x v="0"/>
    <x v="0"/>
    <s v="8555102"/>
    <n v="600050"/>
    <s v="Miscellaneous Revenue"/>
    <s v="Franc. Rx-Federal Way"/>
    <x v="0"/>
    <m/>
    <n v="-8739.0499999999993"/>
    <n v="-11172.99"/>
    <n v="-11067.52"/>
    <n v="-5202.8599999999997"/>
    <n v="-3278.4"/>
    <n v="-4849.12"/>
    <n v="-8575.7999999999993"/>
    <n v="-5543.84"/>
    <n v="-4779.97"/>
    <n v="-11405.41"/>
    <n v="-6540.41"/>
    <n v="-4100.99"/>
    <n v="-85256.360000000015"/>
    <n v="-6558.52"/>
  </r>
  <r>
    <x v="5"/>
    <x v="0"/>
    <x v="0"/>
    <s v="8555102"/>
    <n v="700018"/>
    <s v="Salaries-Supervisory-Productive"/>
    <s v="Franc. Rx-Federal Way"/>
    <x v="0"/>
    <m/>
    <n v="9932.36"/>
    <n v="11294.53"/>
    <n v="-400.18"/>
    <n v="11034.32"/>
    <n v="12216.61"/>
    <n v="7978.6"/>
    <n v="12568.63"/>
    <n v="10278.99"/>
    <n v="13108.85"/>
    <n v="9488.09"/>
    <n v="5701.51"/>
    <n v="12260.03"/>
    <n v="115462.34"/>
    <n v="13053.269999999999"/>
  </r>
  <r>
    <x v="5"/>
    <x v="0"/>
    <x v="0"/>
    <s v="8555102"/>
    <n v="700032"/>
    <s v="Salaries-Other Pat Care Providers-Productive"/>
    <s v="Franc. Rx-Federal Way"/>
    <x v="0"/>
    <m/>
    <n v="12131.26"/>
    <n v="12390.37"/>
    <n v="19559.75"/>
    <n v="13222.19"/>
    <n v="11065.01"/>
    <n v="11990.99"/>
    <n v="11453.66"/>
    <n v="10510.41"/>
    <n v="11510.27"/>
    <n v="12029.8"/>
    <n v="16934.939999999999"/>
    <n v="3881.67"/>
    <n v="146680.32000000004"/>
    <n v="-204.51"/>
  </r>
  <r>
    <x v="5"/>
    <x v="0"/>
    <x v="0"/>
    <s v="8555102"/>
    <n v="700032"/>
    <s v="Salaries-Other Pat Care Providers-OT"/>
    <s v="Franc. Rx-Federal Way"/>
    <x v="0"/>
    <n v="1000"/>
    <n v="61.83"/>
    <n v="51.36"/>
    <n v="32.4"/>
    <n v="0"/>
    <n v="0"/>
    <n v="52.2"/>
    <n v="46.05"/>
    <n v="0"/>
    <n v="71.44"/>
    <n v="-16.46"/>
    <n v="88.25"/>
    <n v="292.76"/>
    <n v="679.83"/>
    <n v="966.65999999999985"/>
  </r>
  <r>
    <x v="5"/>
    <x v="0"/>
    <x v="0"/>
    <s v="8555102"/>
    <n v="700032"/>
    <s v="Salaries-Other Pat Care Providers-Other"/>
    <s v="Franc. Rx-Federal Way"/>
    <x v="0"/>
    <n v="2000"/>
    <n v="388.58"/>
    <n v="426.01"/>
    <n v="1416.96"/>
    <n v="496.37"/>
    <n v="157.88999999999999"/>
    <n v="574.51"/>
    <n v="243.72"/>
    <n v="231.14"/>
    <n v="142.4"/>
    <n v="453.52"/>
    <n v="1185.1099999999999"/>
    <n v="218.45"/>
    <n v="5934.6599999999989"/>
    <n v="21.840000000000146"/>
  </r>
  <r>
    <x v="5"/>
    <x v="0"/>
    <x v="0"/>
    <s v="8555102"/>
    <n v="700038"/>
    <s v="Salaries-Service/Support-Productive"/>
    <s v="Franc. Rx-Federal Way"/>
    <x v="0"/>
    <m/>
    <n v="1324.49"/>
    <n v="1763.33"/>
    <n v="1149.17"/>
    <n v="2029.41"/>
    <n v="1395.66"/>
    <n v="2036.92"/>
    <n v="1545.78"/>
    <n v="1692.08"/>
    <n v="1703.85"/>
    <n v="1727.32"/>
    <n v="1881.71"/>
    <n v="1859.87"/>
    <n v="20109.59"/>
    <n v="3.2900000000000205"/>
  </r>
  <r>
    <x v="5"/>
    <x v="0"/>
    <x v="0"/>
    <s v="8555102"/>
    <n v="700038"/>
    <s v="Salaries-Service/Support-Other"/>
    <s v="Franc. Rx-Federal Way"/>
    <x v="0"/>
    <n v="2000"/>
    <n v="198.67"/>
    <n v="264.49"/>
    <n v="172.37"/>
    <n v="304.39999999999998"/>
    <n v="209.35"/>
    <n v="305.52"/>
    <n v="231.87"/>
    <n v="253.77"/>
    <n v="255.59"/>
    <n v="259.08999999999997"/>
    <n v="282.25"/>
    <n v="278.95999999999998"/>
    <n v="3016.3300000000004"/>
    <n v="0"/>
  </r>
  <r>
    <x v="5"/>
    <x v="0"/>
    <x v="0"/>
    <s v="8555102"/>
    <n v="700054"/>
    <s v="Salaries-Management-NonProd-Other"/>
    <s v="Franc. Rx-Federal Way"/>
    <x v="0"/>
    <n v="2000"/>
    <n v="0"/>
    <n v="0"/>
    <n v="0"/>
    <n v="0"/>
    <n v="0"/>
    <n v="565.34"/>
    <n v="-565.34"/>
    <n v="0"/>
    <n v="0"/>
    <n v="0"/>
    <n v="0"/>
    <n v="0"/>
    <n v="0"/>
    <n v="8155.97"/>
  </r>
  <r>
    <x v="5"/>
    <x v="0"/>
    <x v="0"/>
    <s v="8555102"/>
    <n v="700058"/>
    <s v="Salaries-Supervisory-Non-productive"/>
    <s v="Franc. Rx-Federal Way"/>
    <x v="0"/>
    <m/>
    <n v="560.72"/>
    <n v="800.98"/>
    <n v="5226.76"/>
    <n v="0"/>
    <n v="1163.52"/>
    <n v="3573.63"/>
    <n v="499.54"/>
    <n v="790.65"/>
    <n v="-208.04"/>
    <n v="0"/>
    <n v="7864.97"/>
    <n v="-291"/>
    <n v="19981.73"/>
    <n v="-4787.1100000000006"/>
  </r>
  <r>
    <x v="5"/>
    <x v="0"/>
    <x v="0"/>
    <s v="8555102"/>
    <n v="700072"/>
    <s v="Salaries-Other Pat Care Providers-Non-productive"/>
    <s v="Franc. Rx-Federal Way"/>
    <x v="0"/>
    <m/>
    <n v="1527.79"/>
    <n v="1749.08"/>
    <n v="996.97"/>
    <n v="1423.75"/>
    <n v="1157.54"/>
    <n v="3588.53"/>
    <n v="1426.85"/>
    <n v="1179.5999999999999"/>
    <n v="469.06"/>
    <n v="1524.04"/>
    <n v="1199.1500000000001"/>
    <n v="5986.26"/>
    <n v="22228.62"/>
    <n v="-1169.47"/>
  </r>
  <r>
    <x v="5"/>
    <x v="0"/>
    <x v="0"/>
    <s v="8555102"/>
    <n v="700084"/>
    <s v="Accrued PTO"/>
    <s v="Franc. Rx-Federal Way"/>
    <x v="0"/>
    <m/>
    <n v="869.44"/>
    <n v="687.13"/>
    <n v="-3692.78"/>
    <n v="1653.04"/>
    <n v="395.39"/>
    <n v="-3136.19"/>
    <n v="468.16"/>
    <n v="745.71"/>
    <n v="1892.59"/>
    <n v="1431.46"/>
    <n v="-2052.71"/>
    <n v="-883.24"/>
    <n v="-1622.0000000000005"/>
    <n v="985.99999999999977"/>
  </r>
  <r>
    <x v="6"/>
    <x v="0"/>
    <x v="0"/>
    <s v="8555102"/>
    <n v="713010"/>
    <s v="Benefits-FICA/Medicare"/>
    <s v="Franc. Rx-Federal Way"/>
    <x v="0"/>
    <m/>
    <n v="1985.39"/>
    <n v="2185.39"/>
    <n v="2141.06"/>
    <n v="2167.9"/>
    <n v="2071.58"/>
    <n v="1618.06"/>
    <n v="2344.86"/>
    <n v="1896.89"/>
    <n v="2057.69"/>
    <n v="1936.73"/>
    <n v="2760.7"/>
    <n v="1774.7"/>
    <n v="24940.95"/>
    <n v="1267.1100000000006"/>
  </r>
  <r>
    <x v="6"/>
    <x v="0"/>
    <x v="0"/>
    <s v="8555102"/>
    <n v="713090"/>
    <s v="Benefits-Allocated Amounts"/>
    <s v="Franc. Rx-Federal Way"/>
    <x v="0"/>
    <m/>
    <n v="5463.19"/>
    <n v="5263.08"/>
    <n v="5179.38"/>
    <n v="5497.75"/>
    <n v="5274.19"/>
    <n v="5684.75"/>
    <n v="5633.69"/>
    <n v="5392.18"/>
    <n v="5384.85"/>
    <n v="5431.16"/>
    <n v="6353.09"/>
    <n v="5085.9799999999996"/>
    <n v="65643.289999999994"/>
    <n v="-120.47"/>
  </r>
  <r>
    <x v="6"/>
    <x v="0"/>
    <x v="0"/>
    <s v="8555102"/>
    <n v="713096"/>
    <s v="Employee Recognition"/>
    <s v="Franc. Rx-Federal Way"/>
    <x v="0"/>
    <n v="1017"/>
    <n v="0"/>
    <n v="0"/>
    <n v="0"/>
    <n v="0"/>
    <n v="0"/>
    <n v="0"/>
    <n v="0"/>
    <n v="0"/>
    <n v="0"/>
    <n v="0"/>
    <n v="0"/>
    <n v="120.47"/>
    <n v="120.47"/>
    <n v="-0.30999999999999872"/>
  </r>
  <r>
    <x v="7"/>
    <x v="0"/>
    <x v="0"/>
    <s v="8555102"/>
    <n v="718050"/>
    <s v="Document Shredding/Storage"/>
    <s v="Franc. Rx-Federal Way"/>
    <x v="0"/>
    <n v="1012"/>
    <n v="0"/>
    <n v="0"/>
    <n v="0"/>
    <n v="34.04"/>
    <n v="9.61"/>
    <n v="9.61"/>
    <n v="9.51"/>
    <n v="8.14"/>
    <n v="8.44"/>
    <n v="11.1"/>
    <n v="9.3000000000000007"/>
    <n v="9.61"/>
    <n v="109.35999999999999"/>
    <n v="-5251.66"/>
  </r>
  <r>
    <x v="7"/>
    <x v="0"/>
    <x v="0"/>
    <s v="8555102"/>
    <n v="718050"/>
    <s v="Miscellaneous Purchased Svcs"/>
    <s v="Franc. Rx-Federal Way"/>
    <x v="0"/>
    <n v="1020"/>
    <n v="1254.02"/>
    <n v="845.09"/>
    <n v="482.13"/>
    <n v="4087.37"/>
    <n v="983.88"/>
    <n v="649.55999999999995"/>
    <n v="581.33000000000004"/>
    <n v="1237.45"/>
    <n v="21347.81"/>
    <n v="2363.38"/>
    <n v="2476.64"/>
    <n v="7728.3"/>
    <n v="44036.960000000006"/>
    <n v="327.70000000000027"/>
  </r>
  <r>
    <x v="7"/>
    <x v="0"/>
    <x v="0"/>
    <s v="8555102"/>
    <n v="718091"/>
    <s v="Contract Services-Intracompany Allocation"/>
    <s v="Franc. Rx-Federal Way"/>
    <x v="0"/>
    <m/>
    <n v="1847.17"/>
    <n v="1794.77"/>
    <n v="1760.51"/>
    <n v="1812.16"/>
    <n v="1898.03"/>
    <n v="1574.18"/>
    <n v="1967.27"/>
    <n v="1740.21"/>
    <n v="1952.78"/>
    <n v="1727.44"/>
    <n v="2102.5500000000002"/>
    <n v="1774.85"/>
    <n v="21951.919999999998"/>
    <n v="0"/>
  </r>
  <r>
    <x v="11"/>
    <x v="0"/>
    <x v="0"/>
    <s v="8555102"/>
    <n v="721250"/>
    <s v="Supplies-Pharmacy Drugs - Billable"/>
    <s v="Franc. Rx-Federal Way"/>
    <x v="0"/>
    <m/>
    <n v="0"/>
    <n v="0"/>
    <n v="0"/>
    <n v="0"/>
    <n v="0"/>
    <n v="0"/>
    <n v="0"/>
    <n v="0"/>
    <n v="-127.32"/>
    <n v="127.32"/>
    <n v="0"/>
    <n v="0"/>
    <n v="0"/>
    <n v="0"/>
  </r>
  <r>
    <x v="11"/>
    <x v="0"/>
    <x v="0"/>
    <s v="8555102"/>
    <n v="721410"/>
    <s v="Supplies-Medical - Nonbillable"/>
    <s v="Franc. Rx-Federal Way"/>
    <x v="0"/>
    <m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8555102"/>
    <n v="721810"/>
    <s v="Supplies-Dietary/Cafeteria"/>
    <s v="Franc. Rx-Federal Way"/>
    <x v="0"/>
    <m/>
    <n v="0"/>
    <n v="0"/>
    <n v="0"/>
    <n v="0"/>
    <n v="0"/>
    <n v="0"/>
    <n v="0"/>
    <n v="0"/>
    <n v="1622.08"/>
    <n v="-1622.08"/>
    <n v="0"/>
    <n v="0"/>
    <n v="0"/>
    <n v="0"/>
  </r>
  <r>
    <x v="11"/>
    <x v="0"/>
    <x v="0"/>
    <s v="8555102"/>
    <n v="721830"/>
    <s v="Supplies-Office"/>
    <s v="Franc. Rx-Federal Way"/>
    <x v="0"/>
    <m/>
    <n v="0"/>
    <n v="0"/>
    <n v="0"/>
    <n v="0"/>
    <n v="0"/>
    <n v="0"/>
    <n v="0"/>
    <n v="0"/>
    <n v="662.82"/>
    <n v="-662.82"/>
    <n v="0"/>
    <n v="0"/>
    <n v="0"/>
    <n v="0"/>
  </r>
  <r>
    <x v="11"/>
    <x v="0"/>
    <x v="0"/>
    <s v="8555102"/>
    <n v="721835"/>
    <s v="Supplies-Forms"/>
    <s v="Franc. Rx-Federal Way"/>
    <x v="0"/>
    <m/>
    <n v="0"/>
    <n v="0"/>
    <n v="0"/>
    <n v="0"/>
    <n v="0"/>
    <n v="0"/>
    <n v="0"/>
    <n v="0"/>
    <n v="146.9"/>
    <n v="-146.9"/>
    <n v="0"/>
    <n v="0"/>
    <n v="0"/>
    <n v="0"/>
  </r>
  <r>
    <x v="11"/>
    <x v="0"/>
    <x v="0"/>
    <s v="8555102"/>
    <n v="721980"/>
    <s v="Supplies-Other"/>
    <s v="Franc. Rx-Federal Way"/>
    <x v="0"/>
    <m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8555102"/>
    <n v="722000"/>
    <s v="Supplies-Freight Expense"/>
    <s v="Franc. Rx-Federal Way"/>
    <x v="0"/>
    <m/>
    <n v="0"/>
    <n v="0"/>
    <n v="0"/>
    <n v="0"/>
    <n v="0"/>
    <n v="0"/>
    <n v="0"/>
    <n v="0"/>
    <n v="0"/>
    <n v="0"/>
    <n v="0"/>
    <n v="0"/>
    <n v="0"/>
    <n v="0"/>
  </r>
  <r>
    <x v="11"/>
    <x v="0"/>
    <x v="0"/>
    <s v="8555102"/>
    <n v="723000"/>
    <s v="Supply Rebates/Patronage Dividend"/>
    <s v="Franc. Rx-Federal Way"/>
    <x v="0"/>
    <m/>
    <n v="0"/>
    <n v="0"/>
    <n v="0"/>
    <n v="0"/>
    <n v="0"/>
    <n v="0"/>
    <n v="0"/>
    <n v="0"/>
    <n v="-2345.0300000000002"/>
    <n v="2345.0300000000002"/>
    <n v="0"/>
    <n v="0"/>
    <n v="0"/>
    <n v="3246.5"/>
  </r>
  <r>
    <x v="12"/>
    <x v="0"/>
    <x v="0"/>
    <s v="8555102"/>
    <n v="730010"/>
    <s v="Rental and Leases-Building (DO NOT USE)"/>
    <s v="Franc. Rx-Federal Way"/>
    <x v="0"/>
    <m/>
    <n v="4533.47"/>
    <n v="4533.47"/>
    <n v="4533.47"/>
    <n v="4533.47"/>
    <n v="4533.47"/>
    <n v="-2596.9499999999998"/>
    <n v="3246.73"/>
    <n v="3246.73"/>
    <n v="3246.73"/>
    <n v="3246.5"/>
    <n v="3246.5"/>
    <n v="0"/>
    <n v="36303.589999999997"/>
    <n v="1471.97"/>
  </r>
  <r>
    <x v="12"/>
    <x v="0"/>
    <x v="0"/>
    <s v="8555102"/>
    <n v="730010"/>
    <s v="Rental-Common Area Maint (DO NOT USE)"/>
    <s v="Franc. Rx-Federal Way"/>
    <x v="0"/>
    <n v="2200"/>
    <n v="0"/>
    <n v="0"/>
    <n v="0"/>
    <n v="0"/>
    <n v="0"/>
    <n v="7237.96"/>
    <n v="1489.51"/>
    <n v="1441.9"/>
    <n v="1441.9"/>
    <n v="1471.97"/>
    <n v="1471.97"/>
    <n v="0"/>
    <n v="14555.209999999997"/>
    <n v="0"/>
  </r>
  <r>
    <x v="12"/>
    <x v="0"/>
    <x v="0"/>
    <s v="8555102"/>
    <n v="730020"/>
    <s v="Rental and Leases-Copier Usage Fees (DO NOT USE)"/>
    <s v="Franc. Rx-Federal Way"/>
    <x v="0"/>
    <n v="5100"/>
    <n v="44.82"/>
    <n v="45.44"/>
    <n v="45.13"/>
    <n v="45.13"/>
    <n v="45.13"/>
    <n v="45.13"/>
    <n v="-1.93"/>
    <n v="39.21"/>
    <n v="39.130000000000003"/>
    <n v="39.29"/>
    <n v="39.21"/>
    <n v="39.21"/>
    <n v="464.89999999999992"/>
    <n v="-4110.43"/>
  </r>
  <r>
    <x v="12"/>
    <x v="0"/>
    <x v="0"/>
    <s v="8555102"/>
    <n v="730040"/>
    <s v="LT Lease-Real Estate"/>
    <s v="Franc. Rx-Federal Way"/>
    <x v="0"/>
    <m/>
    <n v="0"/>
    <n v="0"/>
    <n v="0"/>
    <n v="0"/>
    <n v="0"/>
    <n v="0"/>
    <n v="0"/>
    <n v="0"/>
    <n v="0"/>
    <n v="0"/>
    <n v="0"/>
    <n v="4110.43"/>
    <n v="4110.43"/>
    <n v="-39.199999999999989"/>
  </r>
  <r>
    <x v="15"/>
    <x v="0"/>
    <x v="0"/>
    <s v="8555102"/>
    <n v="731050"/>
    <s v="Refuse Disposal"/>
    <s v="Franc. Rx-Federal Way"/>
    <x v="0"/>
    <m/>
    <n v="111.9"/>
    <n v="74.599999999999994"/>
    <n v="74.599999999999994"/>
    <n v="74.599999999999994"/>
    <n v="74.599999999999994"/>
    <n v="111.9"/>
    <n v="224.6"/>
    <n v="78.400000000000006"/>
    <n v="94.4"/>
    <n v="78.400000000000006"/>
    <n v="78.400000000000006"/>
    <n v="117.6"/>
    <n v="1194"/>
    <n v="0"/>
  </r>
  <r>
    <x v="15"/>
    <x v="0"/>
    <x v="0"/>
    <s v="8555102"/>
    <n v="731060"/>
    <s v="Telephone"/>
    <s v="Franc. Rx-Federal Way"/>
    <x v="0"/>
    <m/>
    <n v="0"/>
    <n v="0"/>
    <n v="0"/>
    <n v="0"/>
    <n v="1266.6500000000001"/>
    <n v="0"/>
    <n v="0"/>
    <n v="0"/>
    <n v="0"/>
    <n v="0"/>
    <n v="0"/>
    <n v="0"/>
    <n v="1266.6500000000001"/>
    <n v="-3.83"/>
  </r>
  <r>
    <x v="16"/>
    <x v="0"/>
    <x v="0"/>
    <s v="8555102"/>
    <n v="732030"/>
    <s v="Repairs&amp;Maintenance-Bldg Routine"/>
    <s v="Franc. Rx-Federal Way"/>
    <x v="0"/>
    <n v="2300"/>
    <n v="0"/>
    <n v="0"/>
    <n v="0"/>
    <n v="0"/>
    <n v="0"/>
    <n v="0"/>
    <n v="0"/>
    <n v="0"/>
    <n v="0"/>
    <n v="0"/>
    <n v="3.83"/>
    <n v="7.66"/>
    <n v="11.49"/>
    <n v="2.0000000000010232E-2"/>
  </r>
  <r>
    <x v="13"/>
    <x v="0"/>
    <x v="0"/>
    <s v="8555102"/>
    <n v="735070"/>
    <s v="Depreciation-Movable Equipment"/>
    <s v="Franc. Rx-Federal Way"/>
    <x v="0"/>
    <m/>
    <n v="166.49"/>
    <n v="166.49"/>
    <n v="166.49"/>
    <n v="166.47"/>
    <n v="166.49"/>
    <n v="166.47"/>
    <n v="166.49"/>
    <n v="166.47"/>
    <n v="166.49"/>
    <n v="166.47"/>
    <n v="166.49"/>
    <n v="166.47"/>
    <n v="1997.7800000000002"/>
    <n v="224.91"/>
  </r>
  <r>
    <x v="0"/>
    <x v="0"/>
    <x v="0"/>
    <s v="8555102"/>
    <n v="742010"/>
    <s v="Postage-Regular"/>
    <s v="Franc. Rx-Federal Way"/>
    <x v="0"/>
    <m/>
    <n v="0"/>
    <n v="0"/>
    <n v="0"/>
    <n v="0"/>
    <n v="0"/>
    <n v="0"/>
    <n v="0"/>
    <n v="0"/>
    <n v="0"/>
    <n v="0"/>
    <n v="249.9"/>
    <n v="24.99"/>
    <n v="274.89"/>
    <n v="0"/>
  </r>
  <r>
    <x v="0"/>
    <x v="0"/>
    <x v="0"/>
    <s v="8555102"/>
    <n v="742030"/>
    <s v="Freight-Courier"/>
    <s v="Franc. Rx-Federal Way"/>
    <x v="0"/>
    <m/>
    <n v="0"/>
    <n v="0"/>
    <n v="30"/>
    <n v="0"/>
    <n v="0"/>
    <n v="105"/>
    <n v="0"/>
    <n v="75"/>
    <n v="0"/>
    <n v="75"/>
    <n v="0"/>
    <n v="0"/>
    <n v="285"/>
    <n v="0"/>
  </r>
  <r>
    <x v="0"/>
    <x v="0"/>
    <x v="0"/>
    <s v="8555102"/>
    <n v="743020"/>
    <s v="Dues--Individual"/>
    <s v="Franc. Rx-Federal Way"/>
    <x v="0"/>
    <m/>
    <n v="0"/>
    <n v="0"/>
    <n v="0"/>
    <n v="0"/>
    <n v="0"/>
    <n v="0"/>
    <n v="0"/>
    <n v="235"/>
    <n v="0"/>
    <n v="0"/>
    <n v="0"/>
    <n v="0"/>
    <n v="235"/>
    <n v="20007.459999999992"/>
  </r>
  <r>
    <x v="0"/>
    <x v="0"/>
    <x v="0"/>
    <s v="8555102"/>
    <n v="748521"/>
    <s v="COGS-Pharmacy Drugs-Retail"/>
    <s v="Franc. Rx-Federal Way"/>
    <x v="0"/>
    <m/>
    <n v="129072.46"/>
    <n v="109824.87"/>
    <n v="96771.92"/>
    <n v="134550.34"/>
    <n v="125643.83"/>
    <n v="113477.7"/>
    <n v="109868.4"/>
    <n v="111441.88"/>
    <n v="99525.72"/>
    <n v="107951.65"/>
    <n v="112054.37"/>
    <n v="92046.91"/>
    <n v="1342230.0499999996"/>
    <n v="943.76"/>
  </r>
  <r>
    <x v="0"/>
    <x v="0"/>
    <x v="0"/>
    <s v="8555102"/>
    <n v="748549"/>
    <s v="COGS-Supply Rebate"/>
    <s v="Franc. Rx-Federal Way"/>
    <x v="0"/>
    <m/>
    <n v="0"/>
    <n v="0"/>
    <n v="-572.89"/>
    <n v="0"/>
    <n v="0"/>
    <n v="-232.75"/>
    <n v="0"/>
    <n v="0"/>
    <n v="0"/>
    <n v="-2377.4"/>
    <n v="0"/>
    <n v="-943.76"/>
    <n v="-4126.8"/>
    <n v="-45156.56"/>
  </r>
  <r>
    <x v="0"/>
    <x v="0"/>
    <x v="0"/>
    <s v="8555102"/>
    <n v="748550"/>
    <s v="COGS-Other Retail Supply Costs"/>
    <s v="Franc. Rx-Federal Way"/>
    <x v="0"/>
    <m/>
    <n v="871.23"/>
    <n v="1330.49"/>
    <n v="2021.62"/>
    <n v="2150.31"/>
    <n v="3599.1"/>
    <n v="2724.74"/>
    <n v="3375.23"/>
    <n v="1839.37"/>
    <n v="272.7"/>
    <n v="6806.47"/>
    <n v="-43193.56"/>
    <n v="1963"/>
    <n v="-16239.299999999996"/>
    <n v="0"/>
  </r>
  <r>
    <x v="0"/>
    <x v="0"/>
    <x v="0"/>
    <s v="8555102"/>
    <n v="749510"/>
    <s v="Miscellaneous Expenses"/>
    <s v="Franc. Rx-Federal Way"/>
    <x v="0"/>
    <m/>
    <n v="0"/>
    <n v="0"/>
    <n v="0"/>
    <n v="-1"/>
    <n v="0"/>
    <n v="0"/>
    <n v="0"/>
    <n v="-1"/>
    <n v="0"/>
    <n v="0"/>
    <n v="0"/>
    <n v="0"/>
    <n v="-2"/>
    <n v="0"/>
  </r>
  <r>
    <x v="0"/>
    <x v="0"/>
    <x v="0"/>
    <s v="8555102"/>
    <n v="749510"/>
    <s v="Licenses"/>
    <s v="Franc. Rx-Federal Way"/>
    <x v="0"/>
    <n v="1002"/>
    <n v="0"/>
    <n v="0"/>
    <n v="0"/>
    <n v="0"/>
    <n v="0"/>
    <n v="0"/>
    <n v="0"/>
    <n v="0"/>
    <n v="845"/>
    <n v="0"/>
    <n v="0"/>
    <n v="0"/>
    <n v="845"/>
    <n v="0"/>
  </r>
  <r>
    <x v="0"/>
    <x v="0"/>
    <x v="0"/>
    <s v="8555102"/>
    <n v="749530"/>
    <s v="Mileage"/>
    <s v="Franc. Rx-Federal Way"/>
    <x v="0"/>
    <n v="1001"/>
    <n v="0"/>
    <n v="8.18"/>
    <n v="0"/>
    <n v="0"/>
    <n v="0"/>
    <n v="0"/>
    <n v="0"/>
    <n v="0"/>
    <n v="0"/>
    <n v="0"/>
    <n v="0"/>
    <n v="0"/>
    <n v="8.18"/>
    <n v="40"/>
  </r>
  <r>
    <x v="0"/>
    <x v="0"/>
    <x v="0"/>
    <s v="8555102"/>
    <n v="749550"/>
    <s v="Cash Over/Short"/>
    <s v="Franc. Rx-Federal Way"/>
    <x v="0"/>
    <m/>
    <n v="0"/>
    <n v="0.61"/>
    <n v="0.98"/>
    <n v="0"/>
    <n v="0"/>
    <n v="0"/>
    <n v="29"/>
    <n v="0.45"/>
    <n v="-0.2"/>
    <n v="0"/>
    <n v="0"/>
    <n v="-40"/>
    <n v="-9.16"/>
    <n v="8671.3799999999992"/>
  </r>
  <r>
    <x v="0"/>
    <x v="0"/>
    <x v="0"/>
    <s v="8555102"/>
    <n v="750015"/>
    <s v="Provision for Bad Debts--Non-Patient"/>
    <s v="Franc. Rx-Federal Way"/>
    <x v="0"/>
    <m/>
    <n v="4114.53"/>
    <n v="11670.18"/>
    <n v="5737.09"/>
    <n v="7477.38"/>
    <n v="9579.02"/>
    <n v="9100.84"/>
    <n v="2206.44"/>
    <n v="52675.29"/>
    <n v="-100831.28"/>
    <n v="9933.16"/>
    <n v="9908.7199999999993"/>
    <n v="1237.3399999999999"/>
    <n v="22808.709999999988"/>
    <n v="0"/>
  </r>
  <r>
    <x v="7"/>
    <x v="0"/>
    <x v="0"/>
    <s v="8556102"/>
    <n v="718050"/>
    <s v="Document Shredding/Storage"/>
    <s v="Franciscan Pharmacy 1st Avenue"/>
    <x v="0"/>
    <n v="1012"/>
    <n v="6.09"/>
    <n v="6.16"/>
    <n v="12.49"/>
    <n v="-9.3000000000000007"/>
    <n v="0"/>
    <n v="0"/>
    <n v="0"/>
    <n v="0"/>
    <n v="0"/>
    <n v="0"/>
    <n v="0"/>
    <n v="0"/>
    <n v="15.440000000000001"/>
    <n v="0"/>
  </r>
  <r>
    <x v="15"/>
    <x v="0"/>
    <x v="0"/>
    <s v="8556102"/>
    <n v="731060"/>
    <s v="Telephone"/>
    <s v="Franciscan Pharmacy 1st Avenue"/>
    <x v="0"/>
    <m/>
    <n v="407.92"/>
    <n v="215.55"/>
    <n v="20.66"/>
    <n v="0"/>
    <n v="0"/>
    <n v="0"/>
    <n v="0"/>
    <n v="0"/>
    <n v="0"/>
    <n v="0"/>
    <n v="0"/>
    <n v="0"/>
    <n v="644.13"/>
    <n v="0"/>
  </r>
  <r>
    <x v="12"/>
    <x v="0"/>
    <x v="0"/>
    <s v="8557102"/>
    <n v="730010"/>
    <s v="Rental and Leases-Building (DO NOT USE)"/>
    <s v="Franc Pharmacy Bonney Lake"/>
    <x v="0"/>
    <m/>
    <n v="4592.8900000000003"/>
    <n v="1060.79"/>
    <n v="1060.79"/>
    <n v="3182.37"/>
    <n v="-4243.16"/>
    <n v="0"/>
    <n v="0"/>
    <n v="0"/>
    <n v="0"/>
    <n v="0"/>
    <n v="0"/>
    <n v="0"/>
    <n v="5653.68"/>
    <n v="0"/>
  </r>
  <r>
    <x v="15"/>
    <x v="0"/>
    <x v="0"/>
    <s v="8557102"/>
    <n v="731010"/>
    <s v="Natural Gas"/>
    <s v="Franc Pharmacy Bonney Lake"/>
    <x v="0"/>
    <m/>
    <n v="4.2"/>
    <n v="1.18"/>
    <n v="1.51"/>
    <n v="5.39"/>
    <n v="-6.9"/>
    <n v="0"/>
    <n v="0"/>
    <n v="0"/>
    <n v="0"/>
    <n v="0"/>
    <n v="0"/>
    <n v="0"/>
    <n v="5.379999999999999"/>
    <n v="0"/>
  </r>
  <r>
    <x v="15"/>
    <x v="0"/>
    <x v="0"/>
    <s v="8557102"/>
    <n v="731020"/>
    <s v="Electricity"/>
    <s v="Franc Pharmacy Bonney Lake"/>
    <x v="0"/>
    <m/>
    <n v="80.56"/>
    <n v="97.6"/>
    <n v="90.63"/>
    <n v="75.72"/>
    <n v="-166.35"/>
    <n v="0"/>
    <n v="0"/>
    <n v="0"/>
    <n v="0"/>
    <n v="0"/>
    <n v="0"/>
    <n v="0"/>
    <n v="178.16"/>
    <n v="0"/>
  </r>
  <r>
    <x v="13"/>
    <x v="0"/>
    <x v="0"/>
    <s v="8557102"/>
    <n v="735050"/>
    <s v="Amortization-Leasehold Improvements"/>
    <s v="Franc Pharmacy Bonney Lake"/>
    <x v="0"/>
    <m/>
    <n v="1757.93"/>
    <n v="1757.93"/>
    <n v="1757.95"/>
    <n v="1757.92"/>
    <n v="-7031.73"/>
    <n v="0"/>
    <n v="0"/>
    <n v="0"/>
    <n v="0"/>
    <n v="0"/>
    <n v="0"/>
    <n v="0"/>
    <n v="9.0949470177292824E-13"/>
    <n v="0"/>
  </r>
  <r>
    <x v="7"/>
    <x v="0"/>
    <x v="0"/>
    <s v="8558102"/>
    <n v="718050"/>
    <s v="Miscellaneous Purchased Svcs"/>
    <s v="Franciscan Pharmacy Auburn"/>
    <x v="0"/>
    <n v="1020"/>
    <n v="50"/>
    <n v="0"/>
    <n v="0"/>
    <n v="0"/>
    <n v="0"/>
    <n v="0"/>
    <n v="0"/>
    <n v="0"/>
    <n v="0"/>
    <n v="0"/>
    <n v="0"/>
    <n v="0"/>
    <n v="50"/>
    <n v="0"/>
  </r>
  <r>
    <x v="11"/>
    <x v="0"/>
    <x v="0"/>
    <s v="8558102"/>
    <n v="723000"/>
    <s v="Supply Rebates/Patronage Dividend"/>
    <s v="Franciscan Pharmacy Auburn"/>
    <x v="0"/>
    <m/>
    <n v="0"/>
    <n v="0"/>
    <n v="0"/>
    <n v="0"/>
    <n v="0"/>
    <n v="0"/>
    <n v="0"/>
    <n v="0"/>
    <n v="-258.35000000000002"/>
    <n v="258.35000000000002"/>
    <n v="0"/>
    <n v="0"/>
    <n v="0"/>
    <n v="2129.77"/>
  </r>
  <r>
    <x v="12"/>
    <x v="0"/>
    <x v="0"/>
    <s v="8558102"/>
    <n v="730010"/>
    <s v="Rental and Leases-Building (DO NOT USE)"/>
    <s v="Franciscan Pharmacy Auburn"/>
    <x v="0"/>
    <m/>
    <n v="2757.24"/>
    <n v="2704.8"/>
    <n v="2704.8"/>
    <n v="2704.8"/>
    <n v="2704.8"/>
    <n v="-797.78"/>
    <n v="2129.77"/>
    <n v="2129.77"/>
    <n v="2129.77"/>
    <n v="2129.77"/>
    <n v="2129.77"/>
    <n v="0"/>
    <n v="23427.51"/>
    <n v="575.03"/>
  </r>
  <r>
    <x v="12"/>
    <x v="0"/>
    <x v="0"/>
    <s v="8558102"/>
    <n v="730010"/>
    <s v="Rental-Common Area Maint (DO NOT USE)"/>
    <s v="Franciscan Pharmacy Auburn"/>
    <x v="0"/>
    <n v="2200"/>
    <n v="0"/>
    <n v="0"/>
    <n v="0"/>
    <n v="0"/>
    <n v="0"/>
    <n v="3502.58"/>
    <n v="575.03"/>
    <n v="575.03"/>
    <n v="575.03"/>
    <n v="575.03"/>
    <n v="575.03"/>
    <n v="0"/>
    <n v="6377.7299999999987"/>
    <n v="-2758.11"/>
  </r>
  <r>
    <x v="12"/>
    <x v="0"/>
    <x v="0"/>
    <s v="8558102"/>
    <n v="730040"/>
    <s v="LT Lease-Real Estate"/>
    <s v="Franciscan Pharmacy Auburn"/>
    <x v="0"/>
    <m/>
    <n v="0"/>
    <n v="0"/>
    <n v="0"/>
    <n v="0"/>
    <n v="0"/>
    <n v="0"/>
    <n v="0"/>
    <n v="0"/>
    <n v="0"/>
    <n v="0"/>
    <n v="0"/>
    <n v="2758.11"/>
    <n v="2758.11"/>
    <n v="0"/>
  </r>
  <r>
    <x v="15"/>
    <x v="0"/>
    <x v="0"/>
    <s v="8558102"/>
    <n v="731010"/>
    <s v="Natural Gas"/>
    <s v="Franciscan Pharmacy Auburn"/>
    <x v="0"/>
    <m/>
    <n v="0"/>
    <n v="0"/>
    <n v="0"/>
    <n v="0"/>
    <n v="0"/>
    <n v="0"/>
    <n v="0"/>
    <n v="14.11"/>
    <n v="0"/>
    <n v="0"/>
    <n v="0"/>
    <n v="0"/>
    <n v="14.11"/>
    <n v="0"/>
  </r>
  <r>
    <x v="15"/>
    <x v="0"/>
    <x v="0"/>
    <s v="8558102"/>
    <n v="731020"/>
    <s v="Electricity"/>
    <s v="Franciscan Pharmacy Auburn"/>
    <x v="0"/>
    <m/>
    <n v="0"/>
    <n v="0"/>
    <n v="0"/>
    <n v="0"/>
    <n v="0"/>
    <n v="0"/>
    <n v="0"/>
    <n v="20.09"/>
    <n v="0"/>
    <n v="0"/>
    <n v="0"/>
    <n v="0"/>
    <n v="20.09"/>
    <n v="0"/>
  </r>
  <r>
    <x v="16"/>
    <x v="0"/>
    <x v="0"/>
    <s v="8558102"/>
    <n v="732030"/>
    <s v="Repairs&amp;Maintenance-Bldg Routine"/>
    <s v="Franciscan Pharmacy Auburn"/>
    <x v="0"/>
    <n v="2300"/>
    <n v="0"/>
    <n v="0"/>
    <n v="0"/>
    <n v="0"/>
    <n v="0"/>
    <n v="0"/>
    <n v="0"/>
    <n v="360.78"/>
    <n v="591.51"/>
    <n v="0"/>
    <n v="0"/>
    <n v="0"/>
    <n v="952.29"/>
    <n v="232.21"/>
  </r>
  <r>
    <x v="0"/>
    <x v="0"/>
    <x v="0"/>
    <s v="8558102"/>
    <n v="748549"/>
    <s v="COGS-Supply Rebate"/>
    <s v="Franciscan Pharmacy Auburn"/>
    <x v="0"/>
    <m/>
    <n v="0"/>
    <n v="0"/>
    <n v="0"/>
    <n v="0"/>
    <n v="0"/>
    <n v="-219.21"/>
    <n v="0"/>
    <n v="0"/>
    <n v="0"/>
    <n v="-258.35000000000002"/>
    <n v="0"/>
    <n v="-232.21"/>
    <n v="-709.7700000000001"/>
    <n v="0"/>
  </r>
  <r>
    <x v="0"/>
    <x v="0"/>
    <x v="0"/>
    <s v="8558102"/>
    <n v="749510"/>
    <s v="Licenses"/>
    <s v="Franciscan Pharmacy Auburn"/>
    <x v="0"/>
    <n v="1002"/>
    <n v="0"/>
    <n v="0"/>
    <n v="51"/>
    <n v="0"/>
    <n v="0"/>
    <n v="0"/>
    <n v="0"/>
    <n v="0"/>
    <n v="0"/>
    <n v="0"/>
    <n v="0"/>
    <n v="0"/>
    <n v="51"/>
    <n v="0"/>
  </r>
  <r>
    <x v="6"/>
    <x v="3"/>
    <x v="0"/>
    <s v="8560101"/>
    <n v="713096"/>
    <s v="Employee Recognition"/>
    <s v="340B Pharmacy Program"/>
    <x v="0"/>
    <n v="1017"/>
    <n v="0"/>
    <n v="0"/>
    <n v="0"/>
    <n v="0"/>
    <n v="0"/>
    <n v="0"/>
    <n v="0"/>
    <n v="0"/>
    <n v="0"/>
    <n v="38.57"/>
    <n v="0"/>
    <n v="0"/>
    <n v="38.57"/>
    <n v="0"/>
  </r>
  <r>
    <x v="11"/>
    <x v="3"/>
    <x v="0"/>
    <s v="8560101"/>
    <n v="721250"/>
    <s v="Supplies-Pharmacy Drugs - Billable"/>
    <s v="340B Pharmacy Program"/>
    <x v="0"/>
    <m/>
    <n v="0"/>
    <n v="0"/>
    <n v="0"/>
    <n v="0"/>
    <n v="0"/>
    <n v="0"/>
    <n v="0"/>
    <n v="0"/>
    <n v="0"/>
    <n v="0"/>
    <n v="0"/>
    <n v="0"/>
    <n v="0"/>
    <n v="0"/>
  </r>
  <r>
    <x v="0"/>
    <x v="3"/>
    <x v="0"/>
    <s v="8560101"/>
    <n v="748521"/>
    <s v="COGS-Pharmacy Drugs-Retail"/>
    <s v="340B Pharmacy Program"/>
    <x v="0"/>
    <m/>
    <n v="1914.3"/>
    <n v="0"/>
    <n v="0"/>
    <n v="0"/>
    <n v="0"/>
    <n v="0"/>
    <n v="0"/>
    <n v="0"/>
    <n v="0"/>
    <n v="0"/>
    <n v="0"/>
    <n v="0"/>
    <n v="1914.3"/>
    <n v="-144014.81000000006"/>
  </r>
  <r>
    <x v="18"/>
    <x v="3"/>
    <x v="0"/>
    <s v="8600101"/>
    <n v="400010"/>
    <s v="Acute I/P Svcs Rev--Medicare"/>
    <s v="Ambulatory Care Center"/>
    <x v="0"/>
    <n v="1100"/>
    <n v="-1746576.04"/>
    <n v="-1900951.18"/>
    <n v="-1777147.85"/>
    <n v="-2370031.2000000002"/>
    <n v="-1953962.67"/>
    <n v="-1914135.75"/>
    <n v="-1970788.63"/>
    <n v="-1862410.8"/>
    <n v="-2459988.58"/>
    <n v="-2557036.2000000002"/>
    <n v="-2205694.35"/>
    <n v="-2061679.54"/>
    <n v="-24780402.790000003"/>
    <n v="140568.79000000004"/>
  </r>
  <r>
    <x v="18"/>
    <x v="3"/>
    <x v="0"/>
    <s v="8600101"/>
    <n v="400010"/>
    <s v="Acute I/P Svcs Rev--Medicaid"/>
    <s v="Ambulatory Care Center"/>
    <x v="0"/>
    <n v="1200"/>
    <n v="-790018.07"/>
    <n v="-743604"/>
    <n v="-939997.43"/>
    <n v="-603715.89"/>
    <n v="-580929.28000000003"/>
    <n v="-873407.67"/>
    <n v="-973136.68"/>
    <n v="-773592.45"/>
    <n v="-798648.86"/>
    <n v="-657937.35"/>
    <n v="-906013.27"/>
    <n v="-1046582.06"/>
    <n v="-9687583.0099999998"/>
    <n v="-75774.62"/>
  </r>
  <r>
    <x v="18"/>
    <x v="3"/>
    <x v="0"/>
    <s v="8600101"/>
    <n v="400010"/>
    <s v="Acute I/P Svcs Rev--Comm Insurance"/>
    <s v="Ambulatory Care Center"/>
    <x v="0"/>
    <n v="1300"/>
    <n v="-51669.48"/>
    <n v="-89931.06"/>
    <n v="-34492.85"/>
    <n v="-66401.83"/>
    <n v="-108778.84"/>
    <n v="-45993.99"/>
    <n v="-12639.17"/>
    <n v="-44600.82"/>
    <n v="-5187.05"/>
    <n v="-23293.22"/>
    <n v="-122188.55"/>
    <n v="-46413.93"/>
    <n v="-651590.79000000015"/>
    <n v="32466.020000000004"/>
  </r>
  <r>
    <x v="18"/>
    <x v="3"/>
    <x v="0"/>
    <s v="8600101"/>
    <n v="400010"/>
    <s v="Acute I/P Svcs Rev--BCBS Comm"/>
    <s v="Ambulatory Care Center"/>
    <x v="0"/>
    <n v="1301"/>
    <n v="-227385.92"/>
    <n v="-139658.62"/>
    <n v="-212357.47"/>
    <n v="-174366.8"/>
    <n v="-66507.81"/>
    <n v="-25994.240000000002"/>
    <n v="-113485.21"/>
    <n v="-79387.48"/>
    <n v="-68038.8"/>
    <n v="-45761.58"/>
    <n v="-96881.12"/>
    <n v="-129347.14"/>
    <n v="-1379172.1900000002"/>
    <n v="-166669.85000000003"/>
  </r>
  <r>
    <x v="18"/>
    <x v="3"/>
    <x v="0"/>
    <s v="8600101"/>
    <n v="400010"/>
    <s v="Acute I/P Svcs Rev--Managed Care"/>
    <s v="Ambulatory Care Center"/>
    <x v="0"/>
    <n v="1400"/>
    <n v="-687488.07"/>
    <n v="-594216.36"/>
    <n v="-623325.16"/>
    <n v="-486157.59"/>
    <n v="-420795.3"/>
    <n v="-607496.29"/>
    <n v="-809333.49"/>
    <n v="-701087.62"/>
    <n v="-556163.79"/>
    <n v="-390108.34"/>
    <n v="-644103.05000000005"/>
    <n v="-477433.2"/>
    <n v="-6997708.2599999998"/>
    <n v="30384.47"/>
  </r>
  <r>
    <x v="18"/>
    <x v="3"/>
    <x v="0"/>
    <s v="8600101"/>
    <n v="400010"/>
    <s v="Acute I/P Svcs Rev--Self Pay"/>
    <s v="Ambulatory Care Center"/>
    <x v="0"/>
    <n v="1500"/>
    <n v="-64657.49"/>
    <n v="8961.81"/>
    <n v="-39683.800000000003"/>
    <n v="-51226.16"/>
    <n v="-20632.14"/>
    <n v="-19685.900000000001"/>
    <n v="-57789.83"/>
    <n v="-31352.84"/>
    <n v="-43781.96"/>
    <n v="-40524.339999999997"/>
    <n v="10876.89"/>
    <n v="-19507.580000000002"/>
    <n v="-369003.34"/>
    <n v="6072.0899999999965"/>
  </r>
  <r>
    <x v="18"/>
    <x v="3"/>
    <x v="0"/>
    <s v="8600101"/>
    <n v="400010"/>
    <s v="Acute I/P Svcs Rev--Other"/>
    <s v="Ambulatory Care Center"/>
    <x v="0"/>
    <n v="1700"/>
    <n v="-120124.11"/>
    <n v="-167686.74"/>
    <n v="-180561.45"/>
    <n v="-129153.72"/>
    <n v="-130861.58"/>
    <n v="-161605.1"/>
    <n v="-179989.53"/>
    <n v="-231925.97"/>
    <n v="-145414.93"/>
    <n v="-138317.29"/>
    <n v="-112853.61"/>
    <n v="-118925.7"/>
    <n v="-1817419.73"/>
    <n v="-29370.020000000019"/>
  </r>
  <r>
    <x v="19"/>
    <x v="3"/>
    <x v="0"/>
    <s v="8600101"/>
    <n v="400020"/>
    <s v="O/P Care Svcs Rev--Medicare"/>
    <s v="Ambulatory Care Center"/>
    <x v="0"/>
    <n v="1100"/>
    <n v="-395523.07"/>
    <n v="-374610.68"/>
    <n v="-216304.73"/>
    <n v="-370622.51"/>
    <n v="-404812.02"/>
    <n v="-521785.83"/>
    <n v="-310677.45"/>
    <n v="-256613.42"/>
    <n v="-463231.61"/>
    <n v="-486724.07"/>
    <n v="-271017.33"/>
    <n v="-241647.31"/>
    <n v="-4313570.0299999993"/>
    <n v="-12815.96"/>
  </r>
  <r>
    <x v="19"/>
    <x v="3"/>
    <x v="0"/>
    <s v="8600101"/>
    <n v="400020"/>
    <s v="O/P Care Svcs Rev--Medicaid"/>
    <s v="Ambulatory Care Center"/>
    <x v="0"/>
    <n v="1200"/>
    <n v="-157038.76999999999"/>
    <n v="-155331.76"/>
    <n v="-136136.57"/>
    <n v="-85137.12"/>
    <n v="-59792.84"/>
    <n v="-158820.51"/>
    <n v="-138413.07"/>
    <n v="-102234.42"/>
    <n v="-140404.99"/>
    <n v="-79656.78"/>
    <n v="-62711.75"/>
    <n v="-49895.79"/>
    <n v="-1325574.3699999999"/>
    <n v="9290.9699999999993"/>
  </r>
  <r>
    <x v="19"/>
    <x v="3"/>
    <x v="0"/>
    <s v="8600101"/>
    <n v="400020"/>
    <s v="O/P Care Svcs Rev--Comm Insurance"/>
    <s v="Ambulatory Care Center"/>
    <x v="0"/>
    <n v="1300"/>
    <n v="1479.07"/>
    <n v="-5517.9"/>
    <n v="-3448.74"/>
    <n v="-30575.35"/>
    <n v="-9212.2900000000009"/>
    <n v="-714.25"/>
    <n v="-2169.54"/>
    <n v="5770.88"/>
    <n v="-7127.09"/>
    <n v="-10946.77"/>
    <n v="-2760.24"/>
    <n v="-12051.21"/>
    <n v="-77273.430000000008"/>
    <n v="6267.09"/>
  </r>
  <r>
    <x v="19"/>
    <x v="3"/>
    <x v="0"/>
    <s v="8600101"/>
    <n v="400020"/>
    <s v="O/P Care Svcs Rev--BCBS Comm"/>
    <s v="Ambulatory Care Center"/>
    <x v="0"/>
    <n v="1301"/>
    <n v="-38399.46"/>
    <n v="-8861.2900000000009"/>
    <n v="-19941.419999999998"/>
    <n v="-25149.01"/>
    <n v="-27359.3"/>
    <n v="0"/>
    <n v="-17937.68"/>
    <n v="-11174.82"/>
    <n v="-14101.84"/>
    <n v="-12660.86"/>
    <n v="-19075.66"/>
    <n v="-25342.75"/>
    <n v="-220004.09"/>
    <n v="11294.5"/>
  </r>
  <r>
    <x v="19"/>
    <x v="3"/>
    <x v="0"/>
    <s v="8600101"/>
    <n v="400020"/>
    <s v="O/P Care Svcs Rev--Managed Care"/>
    <s v="Ambulatory Care Center"/>
    <x v="0"/>
    <n v="1400"/>
    <n v="-82589.820000000007"/>
    <n v="-157529.69"/>
    <n v="-64061.7"/>
    <n v="-89086.76"/>
    <n v="-97889.67"/>
    <n v="-92778.17"/>
    <n v="-97281.82"/>
    <n v="-55915.47"/>
    <n v="-115017.1"/>
    <n v="-178010.39"/>
    <n v="-104198.17"/>
    <n v="-115492.67"/>
    <n v="-1249851.43"/>
    <n v="869.30000000000018"/>
  </r>
  <r>
    <x v="19"/>
    <x v="3"/>
    <x v="0"/>
    <s v="8600101"/>
    <n v="400020"/>
    <s v="O/P Care Svcs Rev--Self Pay"/>
    <s v="Ambulatory Care Center"/>
    <x v="0"/>
    <n v="1500"/>
    <n v="-9199.2000000000007"/>
    <n v="-11695.37"/>
    <n v="-11047.37"/>
    <n v="-1970.72"/>
    <n v="-15387.6"/>
    <n v="-7325.39"/>
    <n v="0"/>
    <n v="1336.94"/>
    <n v="5365.42"/>
    <n v="-544.32000000000005"/>
    <n v="-2680.02"/>
    <n v="-3549.32"/>
    <n v="-56696.95"/>
    <n v="9225.010000000002"/>
  </r>
  <r>
    <x v="19"/>
    <x v="3"/>
    <x v="0"/>
    <s v="8600101"/>
    <n v="400020"/>
    <s v="O/P Care Svcs Rev--Other"/>
    <s v="Ambulatory Care Center"/>
    <x v="0"/>
    <n v="1700"/>
    <n v="-29976.92"/>
    <n v="-24180.43"/>
    <n v="-43855.64"/>
    <n v="-2978.1"/>
    <n v="-22411.23"/>
    <n v="-51663.7"/>
    <n v="-9400.61"/>
    <n v="-31466.39"/>
    <n v="-34553.85"/>
    <n v="11976.71"/>
    <n v="-16882.71"/>
    <n v="-26107.72"/>
    <n v="-281500.59000000003"/>
    <n v="0"/>
  </r>
  <r>
    <x v="14"/>
    <x v="3"/>
    <x v="0"/>
    <s v="8600101"/>
    <n v="600050"/>
    <s v="Miscellaneous Revenue"/>
    <s v="Ambulatory Care Center"/>
    <x v="0"/>
    <m/>
    <n v="0"/>
    <n v="0"/>
    <n v="-6750"/>
    <n v="-3000"/>
    <n v="0"/>
    <n v="0"/>
    <n v="0"/>
    <n v="0"/>
    <n v="0"/>
    <n v="0"/>
    <n v="0"/>
    <n v="0"/>
    <n v="-9750"/>
    <n v="3840.3799999999992"/>
  </r>
  <r>
    <x v="5"/>
    <x v="3"/>
    <x v="0"/>
    <s v="8600101"/>
    <n v="700014"/>
    <s v="Salaries-Management-Productive"/>
    <s v="Ambulatory Care Center"/>
    <x v="0"/>
    <m/>
    <n v="15501.41"/>
    <n v="16431.21"/>
    <n v="16841.759999999998"/>
    <n v="18556.41"/>
    <n v="13381.13"/>
    <n v="13934.34"/>
    <n v="13758.7"/>
    <n v="14260.85"/>
    <n v="18827.939999999999"/>
    <n v="16761.62"/>
    <n v="13913.48"/>
    <n v="10073.1"/>
    <n v="182241.95"/>
    <n v="24643.229999999981"/>
  </r>
  <r>
    <x v="5"/>
    <x v="3"/>
    <x v="0"/>
    <s v="8600101"/>
    <n v="700026"/>
    <s v="Salaries-RN-Productive"/>
    <s v="Ambulatory Care Center"/>
    <x v="0"/>
    <m/>
    <n v="327797.55"/>
    <n v="312793.01"/>
    <n v="330743.65000000002"/>
    <n v="322799.65000000002"/>
    <n v="294194.51"/>
    <n v="325898.23999999999"/>
    <n v="335455.18"/>
    <n v="314341.55"/>
    <n v="339080.65"/>
    <n v="306127.81"/>
    <n v="323277.63"/>
    <n v="298634.40000000002"/>
    <n v="3831143.8299999996"/>
    <n v="-9019.06"/>
  </r>
  <r>
    <x v="5"/>
    <x v="3"/>
    <x v="0"/>
    <s v="8600101"/>
    <n v="700026"/>
    <s v="Salaries-RN-OT"/>
    <s v="Ambulatory Care Center"/>
    <x v="0"/>
    <n v="1000"/>
    <n v="10365.06"/>
    <n v="11204.62"/>
    <n v="10795.22"/>
    <n v="11880.63"/>
    <n v="9899.17"/>
    <n v="23633.13"/>
    <n v="22775.54"/>
    <n v="16352.27"/>
    <n v="22255.81"/>
    <n v="28427.279999999999"/>
    <n v="14472.12"/>
    <n v="23491.18"/>
    <n v="205552.03"/>
    <n v="2709.3199999999997"/>
  </r>
  <r>
    <x v="5"/>
    <x v="3"/>
    <x v="0"/>
    <s v="8600101"/>
    <n v="700026"/>
    <s v="Salaries-RN-Other"/>
    <s v="Ambulatory Care Center"/>
    <x v="0"/>
    <n v="2000"/>
    <n v="35541.71"/>
    <n v="33638.67"/>
    <n v="35623.32"/>
    <n v="34914.57"/>
    <n v="32077.77"/>
    <n v="34364.17"/>
    <n v="34573.11"/>
    <n v="33264.21"/>
    <n v="36918.97"/>
    <n v="32269.61"/>
    <n v="34201.64"/>
    <n v="31492.32"/>
    <n v="408880.07"/>
    <n v="-6451.6100000000006"/>
  </r>
  <r>
    <x v="5"/>
    <x v="3"/>
    <x v="0"/>
    <s v="8600101"/>
    <n v="700032"/>
    <s v="Salaries-Other Pat Care Providers-Productive"/>
    <s v="Ambulatory Care Center"/>
    <x v="0"/>
    <m/>
    <n v="103040.24"/>
    <n v="88595.69"/>
    <n v="87936.34"/>
    <n v="96408.22"/>
    <n v="96791.87"/>
    <n v="101063.22"/>
    <n v="104599.54"/>
    <n v="97056.01"/>
    <n v="106658.51"/>
    <n v="112202.82"/>
    <n v="107373.2"/>
    <n v="113824.81"/>
    <n v="1215550.47"/>
    <n v="-8881.26"/>
  </r>
  <r>
    <x v="5"/>
    <x v="3"/>
    <x v="0"/>
    <s v="8600101"/>
    <n v="700032"/>
    <s v="Salaries-Other Pat Care Providers-OT"/>
    <s v="Ambulatory Care Center"/>
    <x v="0"/>
    <n v="1000"/>
    <n v="9274.42"/>
    <n v="1339.78"/>
    <n v="4232.7700000000004"/>
    <n v="4258.96"/>
    <n v="1164.8900000000001"/>
    <n v="8348.58"/>
    <n v="4530.6099999999997"/>
    <n v="15158.57"/>
    <n v="16725.330000000002"/>
    <n v="15944.23"/>
    <n v="15330.28"/>
    <n v="24211.54"/>
    <n v="120519.95999999999"/>
    <n v="-1636.6200000000008"/>
  </r>
  <r>
    <x v="5"/>
    <x v="3"/>
    <x v="0"/>
    <s v="8600101"/>
    <n v="700032"/>
    <s v="Salaries-Other Pat Care Providers-Other"/>
    <s v="Ambulatory Care Center"/>
    <x v="0"/>
    <n v="2000"/>
    <n v="9661.26"/>
    <n v="7951.67"/>
    <n v="7438.22"/>
    <n v="7770.79"/>
    <n v="7402.09"/>
    <n v="8884.27"/>
    <n v="7888.38"/>
    <n v="8193.2999999999993"/>
    <n v="8583.7999999999993"/>
    <n v="8935.75"/>
    <n v="8607.75"/>
    <n v="10244.370000000001"/>
    <n v="101561.65"/>
    <n v="-1674.3100000000002"/>
  </r>
  <r>
    <x v="5"/>
    <x v="3"/>
    <x v="0"/>
    <s v="8600101"/>
    <n v="700038"/>
    <s v="Salaries-Service/Support-Productive"/>
    <s v="Ambulatory Care Center"/>
    <x v="0"/>
    <m/>
    <n v="3323.06"/>
    <n v="2947.28"/>
    <n v="3751.8"/>
    <n v="7381.51"/>
    <n v="6662.63"/>
    <n v="2401.0100000000002"/>
    <n v="3654.05"/>
    <n v="2105.08"/>
    <n v="4379.41"/>
    <n v="2884.11"/>
    <n v="1320.05"/>
    <n v="2994.36"/>
    <n v="43804.350000000006"/>
    <n v="-8.57"/>
  </r>
  <r>
    <x v="5"/>
    <x v="3"/>
    <x v="0"/>
    <s v="8600101"/>
    <n v="700038"/>
    <s v="Salaries-Service/Support-OT"/>
    <s v="Ambulatory Care Center"/>
    <x v="0"/>
    <n v="1000"/>
    <n v="10.61"/>
    <n v="68.290000000000006"/>
    <n v="-20.48"/>
    <n v="151.63999999999999"/>
    <n v="-61.46"/>
    <n v="0"/>
    <n v="17.149999999999999"/>
    <n v="0"/>
    <n v="34.19"/>
    <n v="-7.59"/>
    <n v="0"/>
    <n v="8.57"/>
    <n v="200.92"/>
    <n v="-3237.5"/>
  </r>
  <r>
    <x v="5"/>
    <x v="3"/>
    <x v="0"/>
    <s v="8600101"/>
    <n v="700054"/>
    <s v="Salaries-Management-Non-productive"/>
    <s v="Ambulatory Care Center"/>
    <x v="0"/>
    <m/>
    <n v="2584.17"/>
    <n v="1655.19"/>
    <n v="661.44"/>
    <n v="0"/>
    <n v="4685.2299999999996"/>
    <n v="4734.8599999999997"/>
    <n v="4939.66"/>
    <n v="2626.29"/>
    <n v="-131.34"/>
    <n v="1331.26"/>
    <n v="4783.12"/>
    <n v="8020.62"/>
    <n v="35890.5"/>
    <n v="0"/>
  </r>
  <r>
    <x v="5"/>
    <x v="3"/>
    <x v="0"/>
    <s v="8600101"/>
    <n v="700054"/>
    <s v="Salaries-Management-NonProd-Other"/>
    <s v="Ambulatory Care Center"/>
    <x v="0"/>
    <n v="2000"/>
    <n v="0"/>
    <n v="0"/>
    <n v="0"/>
    <n v="0"/>
    <n v="0"/>
    <n v="8932.15"/>
    <n v="-8932.15"/>
    <n v="0"/>
    <n v="0"/>
    <n v="0"/>
    <n v="0"/>
    <n v="0"/>
    <n v="0"/>
    <n v="-23857.310000000005"/>
  </r>
  <r>
    <x v="5"/>
    <x v="3"/>
    <x v="0"/>
    <s v="8600101"/>
    <n v="700066"/>
    <s v="Salaries-RN-Non-productive"/>
    <s v="Ambulatory Care Center"/>
    <x v="0"/>
    <m/>
    <n v="56913.13"/>
    <n v="73050.789999999994"/>
    <n v="54032.160000000003"/>
    <n v="56756.13"/>
    <n v="47545.26"/>
    <n v="65695.88"/>
    <n v="37629.769999999997"/>
    <n v="40940.49"/>
    <n v="40924.699999999997"/>
    <n v="64143.44"/>
    <n v="41913.519999999997"/>
    <n v="65770.83"/>
    <n v="645316.1"/>
    <n v="-1979.4099999999999"/>
  </r>
  <r>
    <x v="5"/>
    <x v="3"/>
    <x v="0"/>
    <s v="8600101"/>
    <n v="700066"/>
    <s v="Salaries-RN-NonProd-Other"/>
    <s v="Ambulatory Care Center"/>
    <x v="0"/>
    <n v="2000"/>
    <n v="3587.36"/>
    <n v="4929.29"/>
    <n v="4296.6499999999996"/>
    <n v="3971.27"/>
    <n v="8001.27"/>
    <n v="4978.1499999999996"/>
    <n v="2718.27"/>
    <n v="-2469.98"/>
    <n v="2922.73"/>
    <n v="4232.37"/>
    <n v="3049.09"/>
    <n v="5028.5"/>
    <n v="45244.97"/>
    <n v="8306.4299999999985"/>
  </r>
  <r>
    <x v="5"/>
    <x v="3"/>
    <x v="0"/>
    <s v="8600101"/>
    <n v="700072"/>
    <s v="Salaries-Other Pat Care Providers-Non-productive"/>
    <s v="Ambulatory Care Center"/>
    <x v="0"/>
    <m/>
    <n v="19893.150000000001"/>
    <n v="16235.69"/>
    <n v="17936.189999999999"/>
    <n v="6135.24"/>
    <n v="10140.049999999999"/>
    <n v="20957.73"/>
    <n v="13780.46"/>
    <n v="15419.38"/>
    <n v="11022.49"/>
    <n v="21976.400000000001"/>
    <n v="20214.55"/>
    <n v="11908.12"/>
    <n v="185619.44999999995"/>
    <n v="295.52999999999997"/>
  </r>
  <r>
    <x v="5"/>
    <x v="3"/>
    <x v="0"/>
    <s v="8600101"/>
    <n v="700072"/>
    <s v="Salaries-Other Pat Care Providers-NonProd-Other"/>
    <s v="Ambulatory Care Center"/>
    <x v="0"/>
    <n v="2000"/>
    <n v="927.99"/>
    <n v="1015.19"/>
    <n v="869.92"/>
    <n v="171.05"/>
    <n v="1598.76"/>
    <n v="1755.39"/>
    <n v="475.02"/>
    <n v="-1174.52"/>
    <n v="343.15"/>
    <n v="756.83"/>
    <n v="898.15"/>
    <n v="602.62"/>
    <n v="8239.5499999999993"/>
    <n v="253.89000000000001"/>
  </r>
  <r>
    <x v="5"/>
    <x v="3"/>
    <x v="0"/>
    <s v="8600101"/>
    <n v="700078"/>
    <s v="Salaries-Service/Support-Non-productive"/>
    <s v="Ambulatory Care Center"/>
    <x v="0"/>
    <m/>
    <n v="229.32"/>
    <n v="258.04000000000002"/>
    <n v="757.89"/>
    <n v="1828.62"/>
    <n v="-234.5"/>
    <n v="1144.1500000000001"/>
    <n v="312.55"/>
    <n v="504.55"/>
    <n v="95.93"/>
    <n v="678.62"/>
    <n v="238.4"/>
    <n v="-15.49"/>
    <n v="5798.08"/>
    <n v="7013.5400000000009"/>
  </r>
  <r>
    <x v="5"/>
    <x v="3"/>
    <x v="0"/>
    <s v="8600101"/>
    <n v="700084"/>
    <s v="Accrued PTO"/>
    <s v="Ambulatory Care Center"/>
    <x v="0"/>
    <m/>
    <n v="-8928.7000000000007"/>
    <n v="-13349.59"/>
    <n v="-5017.7"/>
    <n v="5903.68"/>
    <n v="6330.42"/>
    <n v="-11741.26"/>
    <n v="9626.3799999999992"/>
    <n v="10440.32"/>
    <n v="19548.650000000001"/>
    <n v="-4160.96"/>
    <n v="-3410.06"/>
    <n v="-10423.6"/>
    <n v="-5182.4200000000019"/>
    <n v="0"/>
  </r>
  <r>
    <x v="10"/>
    <x v="3"/>
    <x v="0"/>
    <s v="8600101"/>
    <n v="710060"/>
    <s v="Contract Labor-Other"/>
    <s v="Ambulatory Care Center"/>
    <x v="0"/>
    <m/>
    <n v="1746"/>
    <n v="2643.25"/>
    <n v="2009.75"/>
    <n v="1988"/>
    <n v="4104"/>
    <n v="-2680"/>
    <n v="0"/>
    <n v="0"/>
    <n v="0"/>
    <n v="0"/>
    <n v="0"/>
    <n v="0"/>
    <n v="9811"/>
    <n v="-1284.7699999999968"/>
  </r>
  <r>
    <x v="6"/>
    <x v="3"/>
    <x v="0"/>
    <s v="8600101"/>
    <n v="713010"/>
    <s v="Benefits-FICA/Medicare"/>
    <s v="Ambulatory Care Center"/>
    <x v="0"/>
    <m/>
    <n v="44770.35"/>
    <n v="42534.96"/>
    <n v="42897.78"/>
    <n v="42566.61"/>
    <n v="40593.26"/>
    <n v="47110.85"/>
    <n v="44384.34"/>
    <n v="41969.39"/>
    <n v="45053.73"/>
    <n v="45448.4"/>
    <n v="43880.480000000003"/>
    <n v="45165.25"/>
    <n v="526375.4"/>
    <n v="1303.2300000000105"/>
  </r>
  <r>
    <x v="6"/>
    <x v="3"/>
    <x v="0"/>
    <s v="8600101"/>
    <n v="713090"/>
    <s v="Benefits-Allocated Amounts"/>
    <s v="Ambulatory Care Center"/>
    <x v="0"/>
    <m/>
    <n v="137123.29"/>
    <n v="119582.24"/>
    <n v="132443.73000000001"/>
    <n v="128374.37"/>
    <n v="123427.85"/>
    <n v="134750.82"/>
    <n v="139039.93"/>
    <n v="140858.67000000001"/>
    <n v="116573.26"/>
    <n v="148142.42000000001"/>
    <n v="146822.35"/>
    <n v="145519.12"/>
    <n v="1612658.0499999998"/>
    <n v="1848.33"/>
  </r>
  <r>
    <x v="6"/>
    <x v="3"/>
    <x v="0"/>
    <s v="8600101"/>
    <n v="713096"/>
    <s v="Employee Recognition"/>
    <s v="Ambulatory Care Center"/>
    <x v="0"/>
    <n v="1017"/>
    <n v="0"/>
    <n v="0"/>
    <n v="0"/>
    <n v="193.44"/>
    <n v="0"/>
    <n v="519.57000000000005"/>
    <n v="0"/>
    <n v="827.31"/>
    <n v="393.2"/>
    <n v="592.04999999999995"/>
    <n v="2048.33"/>
    <n v="200"/>
    <n v="4773.8999999999996"/>
    <n v="10099.83"/>
  </r>
  <r>
    <x v="7"/>
    <x v="3"/>
    <x v="0"/>
    <s v="8600101"/>
    <n v="718050"/>
    <s v="Contract Svcs-Other"/>
    <s v="Ambulatory Care Center"/>
    <x v="0"/>
    <m/>
    <n v="0"/>
    <n v="0"/>
    <n v="0"/>
    <n v="0"/>
    <n v="0"/>
    <n v="496.8"/>
    <n v="776.48"/>
    <n v="0"/>
    <n v="550.5"/>
    <n v="1478.09"/>
    <n v="10099.83"/>
    <n v="0"/>
    <n v="13401.7"/>
    <n v="6.8999999999999986"/>
  </r>
  <r>
    <x v="7"/>
    <x v="3"/>
    <x v="0"/>
    <s v="8600101"/>
    <n v="718050"/>
    <s v="Document Shredding/Storage"/>
    <s v="Ambulatory Care Center"/>
    <x v="0"/>
    <n v="1012"/>
    <n v="48.09"/>
    <n v="27.51"/>
    <n v="-14.85"/>
    <n v="18.809999999999999"/>
    <n v="178.04"/>
    <n v="61.15"/>
    <n v="56.43"/>
    <n v="-98.99"/>
    <n v="17.41"/>
    <n v="81.84"/>
    <n v="48.67"/>
    <n v="41.77"/>
    <n v="465.88000000000005"/>
    <n v="45.75"/>
  </r>
  <r>
    <x v="7"/>
    <x v="3"/>
    <x v="0"/>
    <s v="8600101"/>
    <n v="718050"/>
    <s v="Miscellaneous Purchased Svcs"/>
    <s v="Ambulatory Care Center"/>
    <x v="0"/>
    <n v="1020"/>
    <n v="0"/>
    <n v="0"/>
    <n v="479.91"/>
    <n v="0"/>
    <n v="0"/>
    <n v="0"/>
    <n v="0"/>
    <n v="0"/>
    <n v="0"/>
    <n v="0"/>
    <n v="45.75"/>
    <n v="0"/>
    <n v="525.66000000000008"/>
    <n v="0"/>
  </r>
  <r>
    <x v="7"/>
    <x v="3"/>
    <x v="0"/>
    <s v="8600101"/>
    <n v="718050"/>
    <s v="Contract Svcs--Medical/Dental"/>
    <s v="Ambulatory Care Center"/>
    <x v="0"/>
    <n v="1024"/>
    <n v="176"/>
    <n v="0"/>
    <n v="0"/>
    <n v="0"/>
    <n v="61"/>
    <n v="0"/>
    <n v="0"/>
    <n v="0"/>
    <n v="0"/>
    <n v="0"/>
    <n v="0"/>
    <n v="0"/>
    <n v="237"/>
    <n v="-593.79999999999995"/>
  </r>
  <r>
    <x v="7"/>
    <x v="3"/>
    <x v="0"/>
    <s v="8600101"/>
    <n v="718050"/>
    <s v="Translation Services"/>
    <s v="Ambulatory Care Center"/>
    <x v="0"/>
    <n v="1025"/>
    <n v="0"/>
    <n v="657.72"/>
    <n v="318.98"/>
    <n v="22.12"/>
    <n v="0"/>
    <n v="90.07"/>
    <n v="587.25"/>
    <n v="0"/>
    <n v="0"/>
    <n v="48"/>
    <n v="69.13"/>
    <n v="662.93"/>
    <n v="2456.1999999999998"/>
    <n v="-6541.1500000000015"/>
  </r>
  <r>
    <x v="7"/>
    <x v="3"/>
    <x v="0"/>
    <s v="8600101"/>
    <n v="718050"/>
    <s v="Contract Management--Linen"/>
    <s v="Ambulatory Care Center"/>
    <x v="0"/>
    <n v="1026"/>
    <n v="9582.41"/>
    <n v="9950.1299999999992"/>
    <n v="9819.2000000000007"/>
    <n v="10815.78"/>
    <n v="10386.06"/>
    <n v="10858.68"/>
    <n v="10123.370000000001"/>
    <n v="11035"/>
    <n v="10935.95"/>
    <n v="12572.8"/>
    <n v="8257.3799999999992"/>
    <n v="14798.53"/>
    <n v="129135.29000000001"/>
    <n v="143.93000000000029"/>
  </r>
  <r>
    <x v="11"/>
    <x v="3"/>
    <x v="0"/>
    <s v="8600101"/>
    <n v="721010"/>
    <s v="Supplies-Medical - Billable"/>
    <s v="Ambulatory Care Center"/>
    <x v="0"/>
    <m/>
    <n v="3582.15"/>
    <n v="4028.3"/>
    <n v="5280.98"/>
    <n v="3426.73"/>
    <n v="3718.28"/>
    <n v="4340.5600000000004"/>
    <n v="3191.32"/>
    <n v="3925.19"/>
    <n v="4771.09"/>
    <n v="3321.29"/>
    <n v="4411.58"/>
    <n v="4267.6499999999996"/>
    <n v="48265.120000000003"/>
    <n v="-2628.4700000000003"/>
  </r>
  <r>
    <x v="11"/>
    <x v="3"/>
    <x v="0"/>
    <s v="8600101"/>
    <n v="721010"/>
    <s v="Patient Monitoring"/>
    <s v="Ambulatory Care Center"/>
    <x v="0"/>
    <n v="1000"/>
    <n v="549.75"/>
    <n v="442.15"/>
    <n v="388.39"/>
    <n v="559.33000000000004"/>
    <n v="436.46"/>
    <n v="570.91999999999996"/>
    <n v="238.72"/>
    <n v="679.69"/>
    <n v="1544.06"/>
    <n v="1476.1"/>
    <n v="883.66"/>
    <n v="3512.13"/>
    <n v="11281.36"/>
    <n v="-513.29999999999995"/>
  </r>
  <r>
    <x v="11"/>
    <x v="3"/>
    <x v="0"/>
    <s v="8600101"/>
    <n v="721020"/>
    <s v="Supplies-Surgical - Billable"/>
    <s v="Ambulatory Care Center"/>
    <x v="0"/>
    <m/>
    <n v="356.99"/>
    <n v="251.66"/>
    <n v="354.01"/>
    <n v="119.64"/>
    <n v="453.45"/>
    <n v="507.08"/>
    <n v="232.5"/>
    <n v="382.65"/>
    <n v="453.68"/>
    <n v="549.41"/>
    <n v="201.7"/>
    <n v="715"/>
    <n v="4577.7699999999995"/>
    <n v="-43.56"/>
  </r>
  <r>
    <x v="11"/>
    <x v="3"/>
    <x v="0"/>
    <s v="8600101"/>
    <n v="721020"/>
    <s v="Custom Packs"/>
    <s v="Ambulatory Care Center"/>
    <x v="0"/>
    <n v="1000"/>
    <n v="0"/>
    <n v="0"/>
    <n v="161.99"/>
    <n v="139.41999999999999"/>
    <n v="291.35000000000002"/>
    <n v="0"/>
    <n v="132.4"/>
    <n v="211.84"/>
    <n v="331"/>
    <n v="291.27999999999997"/>
    <n v="69.31"/>
    <n v="112.87"/>
    <n v="1741.46"/>
    <n v="4.54"/>
  </r>
  <r>
    <x v="11"/>
    <x v="3"/>
    <x v="0"/>
    <s v="8600101"/>
    <n v="721020"/>
    <s v="Suture/Wound Closure"/>
    <s v="Ambulatory Care Center"/>
    <x v="0"/>
    <n v="1001"/>
    <n v="0"/>
    <n v="0"/>
    <n v="0"/>
    <n v="0"/>
    <n v="0"/>
    <n v="2.31"/>
    <n v="0"/>
    <n v="0"/>
    <n v="0"/>
    <n v="0"/>
    <n v="1.21"/>
    <n v="-3.33"/>
    <n v="0.18999999999999995"/>
    <n v="-119.8"/>
  </r>
  <r>
    <x v="11"/>
    <x v="3"/>
    <x v="0"/>
    <s v="8600101"/>
    <n v="721020"/>
    <s v="Urological Supplies"/>
    <s v="Ambulatory Care Center"/>
    <x v="0"/>
    <n v="1006"/>
    <n v="4.58"/>
    <n v="0"/>
    <n v="0"/>
    <n v="0"/>
    <n v="0"/>
    <n v="0"/>
    <n v="0"/>
    <n v="0"/>
    <n v="0"/>
    <n v="0"/>
    <n v="0"/>
    <n v="119.8"/>
    <n v="124.38"/>
    <n v="54.75"/>
  </r>
  <r>
    <x v="11"/>
    <x v="3"/>
    <x v="0"/>
    <s v="8600101"/>
    <n v="721020"/>
    <s v="Tubes Drains &amp; Related Supplies"/>
    <s v="Ambulatory Care Center"/>
    <x v="0"/>
    <n v="1008"/>
    <n v="40.75"/>
    <n v="0"/>
    <n v="13.43"/>
    <n v="26.85"/>
    <n v="0"/>
    <n v="40.29"/>
    <n v="0"/>
    <n v="13.43"/>
    <n v="66.760000000000005"/>
    <n v="-14.25"/>
    <n v="80.06"/>
    <n v="25.31"/>
    <n v="292.63"/>
    <n v="-180"/>
  </r>
  <r>
    <x v="11"/>
    <x v="3"/>
    <x v="0"/>
    <s v="8600101"/>
    <n v="721050"/>
    <s v="Supplies-Cardiac Rhythm - Billable"/>
    <s v="Ambulatory Care Center"/>
    <x v="0"/>
    <m/>
    <n v="270"/>
    <n v="352"/>
    <n v="774"/>
    <n v="622"/>
    <n v="602.05999999999995"/>
    <n v="510.3"/>
    <n v="99.09"/>
    <n v="360"/>
    <n v="180"/>
    <n v="975.15"/>
    <n v="630"/>
    <n v="810"/>
    <n v="6184.6"/>
    <n v="25.899999999999977"/>
  </r>
  <r>
    <x v="11"/>
    <x v="3"/>
    <x v="0"/>
    <s v="8600101"/>
    <n v="721240"/>
    <s v="Supplies-IV Solutions/Supplies - Billable"/>
    <s v="Ambulatory Care Center"/>
    <x v="0"/>
    <m/>
    <n v="230.39"/>
    <n v="734.28"/>
    <n v="949.98"/>
    <n v="595.85"/>
    <n v="348.4"/>
    <n v="712.26"/>
    <n v="316.85000000000002"/>
    <n v="842.58"/>
    <n v="642.08000000000004"/>
    <n v="388.68"/>
    <n v="532.79999999999995"/>
    <n v="506.9"/>
    <n v="6801.05"/>
    <n v="-4.5599999999999996"/>
  </r>
  <r>
    <x v="11"/>
    <x v="3"/>
    <x v="0"/>
    <s v="8600101"/>
    <n v="721250"/>
    <s v="Supplies-Pharmacy Drugs - Billable"/>
    <s v="Ambulatory Care Center"/>
    <x v="0"/>
    <m/>
    <n v="0"/>
    <n v="17.02"/>
    <n v="0"/>
    <n v="0"/>
    <n v="37.86"/>
    <n v="0"/>
    <n v="5.07"/>
    <n v="0"/>
    <n v="2.68"/>
    <n v="0"/>
    <n v="0"/>
    <n v="4.5599999999999996"/>
    <n v="67.19"/>
    <n v="539.39999999999964"/>
  </r>
  <r>
    <x v="11"/>
    <x v="3"/>
    <x v="0"/>
    <s v="8600101"/>
    <n v="721410"/>
    <s v="Supplies-Medical - Nonbillable"/>
    <s v="Ambulatory Care Center"/>
    <x v="0"/>
    <m/>
    <n v="15199.25"/>
    <n v="13198.73"/>
    <n v="15454.5"/>
    <n v="13024.78"/>
    <n v="12899.21"/>
    <n v="15530.52"/>
    <n v="13292.68"/>
    <n v="14196.33"/>
    <n v="15791.52"/>
    <n v="13690.98"/>
    <n v="16347.8"/>
    <n v="15808.4"/>
    <n v="174434.7"/>
    <n v="11.39"/>
  </r>
  <r>
    <x v="11"/>
    <x v="3"/>
    <x v="0"/>
    <s v="8600101"/>
    <n v="721410"/>
    <s v="Patient Monitoring"/>
    <s v="Ambulatory Care Center"/>
    <x v="0"/>
    <n v="1000"/>
    <n v="3.75"/>
    <n v="11.25"/>
    <n v="-3.75"/>
    <n v="0"/>
    <n v="0"/>
    <n v="0"/>
    <n v="-7.5"/>
    <n v="3.75"/>
    <n v="0"/>
    <n v="0"/>
    <n v="11.39"/>
    <n v="0"/>
    <n v="18.89"/>
    <n v="154.30000000000001"/>
  </r>
  <r>
    <x v="11"/>
    <x v="3"/>
    <x v="0"/>
    <s v="8600101"/>
    <n v="721420"/>
    <s v="Supplies-Surgical Nonbillable"/>
    <s v="Ambulatory Care Center"/>
    <x v="0"/>
    <m/>
    <n v="35.869999999999997"/>
    <n v="53.35"/>
    <n v="106.59"/>
    <n v="30.2"/>
    <n v="174.58"/>
    <n v="196.59"/>
    <n v="57.06"/>
    <n v="57.55"/>
    <n v="134.33000000000001"/>
    <n v="119.37"/>
    <n v="299.24"/>
    <n v="144.94"/>
    <n v="1409.67"/>
    <n v="-22.22"/>
  </r>
  <r>
    <x v="11"/>
    <x v="3"/>
    <x v="0"/>
    <s v="8600101"/>
    <n v="721420"/>
    <s v="Tubes Drains &amp; Related Supplies"/>
    <s v="Ambulatory Care Center"/>
    <x v="0"/>
    <n v="1008"/>
    <n v="24.04"/>
    <n v="0"/>
    <n v="17.89"/>
    <n v="16.66"/>
    <n v="1.92"/>
    <n v="27.64"/>
    <n v="-0.48"/>
    <n v="16.25"/>
    <n v="25.91"/>
    <n v="-3.68"/>
    <n v="10.89"/>
    <n v="33.11"/>
    <n v="170.15000000000003"/>
    <n v="-1.83"/>
  </r>
  <r>
    <x v="11"/>
    <x v="3"/>
    <x v="0"/>
    <s v="8600101"/>
    <n v="721420"/>
    <s v="Sterilization Process Products"/>
    <s v="Ambulatory Care Center"/>
    <x v="0"/>
    <n v="1009"/>
    <n v="0"/>
    <n v="53.5"/>
    <n v="0"/>
    <n v="0"/>
    <n v="0"/>
    <n v="-5.35"/>
    <n v="10.7"/>
    <n v="0"/>
    <n v="5.35"/>
    <n v="0"/>
    <n v="0"/>
    <n v="1.83"/>
    <n v="66.029999999999987"/>
    <n v="105.41999999999996"/>
  </r>
  <r>
    <x v="11"/>
    <x v="3"/>
    <x v="0"/>
    <s v="8600101"/>
    <n v="721610"/>
    <s v="Supplies-Anesthesia - Nonbillable"/>
    <s v="Ambulatory Care Center"/>
    <x v="0"/>
    <m/>
    <n v="576.28"/>
    <n v="598.86"/>
    <n v="665.27"/>
    <n v="825.02"/>
    <n v="482.28"/>
    <n v="764.37"/>
    <n v="483.53"/>
    <n v="1111.27"/>
    <n v="623.89"/>
    <n v="691.19"/>
    <n v="657.77"/>
    <n v="552.35"/>
    <n v="8032.08"/>
    <n v="351.46999999999935"/>
  </r>
  <r>
    <x v="11"/>
    <x v="3"/>
    <x v="0"/>
    <s v="8600101"/>
    <n v="721640"/>
    <s v="Supplies-IV Solutions/Supplies - Nonbillable"/>
    <s v="Ambulatory Care Center"/>
    <x v="0"/>
    <m/>
    <n v="6083.08"/>
    <n v="4677.09"/>
    <n v="5261.88"/>
    <n v="4563.91"/>
    <n v="3883.97"/>
    <n v="4936.17"/>
    <n v="4262.28"/>
    <n v="4360.7299999999996"/>
    <n v="6164.67"/>
    <n v="5656.16"/>
    <n v="5666.78"/>
    <n v="5315.31"/>
    <n v="60832.03"/>
    <n v="-73.209999999999994"/>
  </r>
  <r>
    <x v="11"/>
    <x v="3"/>
    <x v="0"/>
    <s v="8600101"/>
    <n v="721650"/>
    <s v="Supplies-Pharmacy Drugs - Nonbillable"/>
    <s v="Ambulatory Care Center"/>
    <x v="0"/>
    <m/>
    <n v="136.19999999999999"/>
    <n v="41.31"/>
    <n v="170.82"/>
    <n v="261.14999999999998"/>
    <n v="83.44"/>
    <n v="75.97"/>
    <n v="104.69"/>
    <n v="63.14"/>
    <n v="107.35"/>
    <n v="121.56"/>
    <n v="75.39"/>
    <n v="148.6"/>
    <n v="1389.6200000000001"/>
    <n v="106"/>
  </r>
  <r>
    <x v="11"/>
    <x v="3"/>
    <x v="0"/>
    <s v="8600101"/>
    <n v="721710"/>
    <s v="Supplies-Laboratory - Nonbillable"/>
    <s v="Ambulatory Care Center"/>
    <x v="0"/>
    <m/>
    <n v="451.06"/>
    <n v="556.47"/>
    <n v="625.55999999999995"/>
    <n v="469.69"/>
    <n v="385.14"/>
    <n v="570.35"/>
    <n v="433.1"/>
    <n v="472.17"/>
    <n v="674.72"/>
    <n v="567.33000000000004"/>
    <n v="619.08000000000004"/>
    <n v="513.08000000000004"/>
    <n v="6337.7499999999991"/>
    <n v="17.989999999999998"/>
  </r>
  <r>
    <x v="11"/>
    <x v="3"/>
    <x v="0"/>
    <s v="8600101"/>
    <n v="721710"/>
    <s v="Reagents"/>
    <s v="Ambulatory Care Center"/>
    <x v="0"/>
    <n v="1000"/>
    <n v="2"/>
    <n v="0"/>
    <n v="0"/>
    <n v="14"/>
    <n v="8.67"/>
    <n v="43.99"/>
    <n v="14"/>
    <n v="35.99"/>
    <n v="15.99"/>
    <n v="62.48"/>
    <n v="23.99"/>
    <n v="6"/>
    <n v="227.11"/>
    <n v="7.4999999999999991"/>
  </r>
  <r>
    <x v="11"/>
    <x v="3"/>
    <x v="0"/>
    <s v="8600101"/>
    <n v="721750"/>
    <s v="Supplies-Film/Radiographic - Nonbillable"/>
    <s v="Ambulatory Care Center"/>
    <x v="0"/>
    <m/>
    <n v="0"/>
    <n v="2.81"/>
    <n v="5.62"/>
    <n v="0"/>
    <n v="3.74"/>
    <n v="3.75"/>
    <n v="2.81"/>
    <n v="5.61"/>
    <n v="3.74"/>
    <n v="5.62"/>
    <n v="9.3699999999999992"/>
    <n v="1.87"/>
    <n v="44.939999999999991"/>
    <n v="1062.0800000000004"/>
  </r>
  <r>
    <x v="11"/>
    <x v="3"/>
    <x v="0"/>
    <s v="8600101"/>
    <n v="721810"/>
    <s v="Supplies-Dietary/Cafeteria"/>
    <s v="Ambulatory Care Center"/>
    <x v="0"/>
    <m/>
    <n v="3655.69"/>
    <n v="2972.61"/>
    <n v="4517.4799999999996"/>
    <n v="3653.39"/>
    <n v="4291.28"/>
    <n v="3469.08"/>
    <n v="4142.79"/>
    <n v="3151.41"/>
    <n v="4127.7700000000004"/>
    <n v="3217.5"/>
    <n v="4330.97"/>
    <n v="3268.89"/>
    <n v="44798.86"/>
    <n v="-240.8"/>
  </r>
  <r>
    <x v="11"/>
    <x v="3"/>
    <x v="0"/>
    <s v="8600101"/>
    <n v="721830"/>
    <s v="Supplies-Office"/>
    <s v="Ambulatory Care Center"/>
    <x v="0"/>
    <m/>
    <n v="1644.33"/>
    <n v="884.77"/>
    <n v="1141.07"/>
    <n v="657.57"/>
    <n v="1076.44"/>
    <n v="937.17"/>
    <n v="1331.45"/>
    <n v="649.29999999999995"/>
    <n v="340.12"/>
    <n v="505.44"/>
    <n v="407.68"/>
    <n v="648.48"/>
    <n v="10223.820000000002"/>
    <n v="23.059999999999974"/>
  </r>
  <r>
    <x v="11"/>
    <x v="3"/>
    <x v="0"/>
    <s v="8600101"/>
    <n v="721835"/>
    <s v="Supplies-Forms"/>
    <s v="Ambulatory Care Center"/>
    <x v="0"/>
    <m/>
    <n v="0"/>
    <n v="0"/>
    <n v="0"/>
    <n v="0"/>
    <n v="2976.71"/>
    <n v="356.5"/>
    <n v="119.86"/>
    <n v="0"/>
    <n v="222.82"/>
    <n v="0"/>
    <n v="278.39"/>
    <n v="255.33"/>
    <n v="4209.6100000000006"/>
    <n v="102.70999999999992"/>
  </r>
  <r>
    <x v="11"/>
    <x v="3"/>
    <x v="0"/>
    <s v="8600101"/>
    <n v="721870"/>
    <s v="Supplies-Environmental Services"/>
    <s v="Ambulatory Care Center"/>
    <x v="0"/>
    <m/>
    <n v="1926.08"/>
    <n v="1365.05"/>
    <n v="1049.94"/>
    <n v="1002.44"/>
    <n v="749.01"/>
    <n v="796.84"/>
    <n v="679.91"/>
    <n v="710.23"/>
    <n v="863.35"/>
    <n v="814.2"/>
    <n v="705.9"/>
    <n v="603.19000000000005"/>
    <n v="11266.140000000001"/>
    <n v="-9708.82"/>
  </r>
  <r>
    <x v="11"/>
    <x v="3"/>
    <x v="0"/>
    <s v="8600101"/>
    <n v="721910"/>
    <s v="Supplies-Small Equipment"/>
    <s v="Ambulatory Care Center"/>
    <x v="0"/>
    <m/>
    <n v="5980.23"/>
    <n v="4616.7299999999996"/>
    <n v="3606.03"/>
    <n v="7915.12"/>
    <n v="3185.8"/>
    <n v="20606.66"/>
    <n v="7736.09"/>
    <n v="23854.58"/>
    <n v="23065.16"/>
    <n v="13028.67"/>
    <n v="-7808.93"/>
    <n v="1899.89"/>
    <n v="107686.03000000001"/>
    <n v="-24.57"/>
  </r>
  <r>
    <x v="11"/>
    <x v="3"/>
    <x v="0"/>
    <s v="8600101"/>
    <n v="721910"/>
    <s v="Instruments"/>
    <s v="Ambulatory Care Center"/>
    <x v="0"/>
    <n v="1000"/>
    <n v="0"/>
    <n v="21.07"/>
    <n v="24.23"/>
    <n v="20"/>
    <n v="21.07"/>
    <n v="82.25"/>
    <n v="-11.75"/>
    <n v="0.01"/>
    <n v="16.149999999999999"/>
    <n v="60.73"/>
    <n v="20"/>
    <n v="44.57"/>
    <n v="298.33"/>
    <n v="-25.31"/>
  </r>
  <r>
    <x v="11"/>
    <x v="3"/>
    <x v="0"/>
    <s v="8600101"/>
    <n v="721980"/>
    <s v="Supplies-Other"/>
    <s v="Ambulatory Care Center"/>
    <x v="0"/>
    <m/>
    <n v="829.03"/>
    <n v="621.54999999999995"/>
    <n v="0"/>
    <n v="0"/>
    <n v="287.19"/>
    <n v="0"/>
    <n v="0"/>
    <n v="0"/>
    <n v="914.51"/>
    <n v="-26.34"/>
    <n v="-25.31"/>
    <n v="0"/>
    <n v="2600.6299999999997"/>
    <n v="-42.67"/>
  </r>
  <r>
    <x v="11"/>
    <x v="3"/>
    <x v="0"/>
    <s v="8600101"/>
    <n v="722000"/>
    <s v="Supplies-Freight Expense"/>
    <s v="Ambulatory Care Center"/>
    <x v="0"/>
    <m/>
    <n v="7.93"/>
    <n v="7.93"/>
    <n v="0"/>
    <n v="25.85"/>
    <n v="5.64"/>
    <n v="24.04"/>
    <n v="16.899999999999999"/>
    <n v="0"/>
    <n v="0"/>
    <n v="0"/>
    <n v="0"/>
    <n v="42.67"/>
    <n v="130.95999999999998"/>
    <n v="0"/>
  </r>
  <r>
    <x v="12"/>
    <x v="3"/>
    <x v="0"/>
    <s v="8600101"/>
    <n v="730020"/>
    <s v="Rental and Leases-Equipment (DO NOT USE)"/>
    <s v="Ambulatory Care Center"/>
    <x v="0"/>
    <m/>
    <n v="0"/>
    <n v="0"/>
    <n v="0"/>
    <n v="-21578.92"/>
    <n v="-652.66999999999996"/>
    <n v="0"/>
    <n v="0"/>
    <n v="0"/>
    <n v="0"/>
    <n v="0"/>
    <n v="0"/>
    <n v="0"/>
    <n v="-22231.589999999997"/>
    <n v="-206.42999999999995"/>
  </r>
  <r>
    <x v="12"/>
    <x v="3"/>
    <x v="0"/>
    <s v="8600101"/>
    <n v="730020"/>
    <s v="Rental and Leases-Copier Usage Fees (DO NOT USE)"/>
    <s v="Ambulatory Care Center"/>
    <x v="0"/>
    <n v="5100"/>
    <n v="514.5"/>
    <n v="515.89"/>
    <n v="515.20000000000005"/>
    <n v="515.20000000000005"/>
    <n v="515.20000000000005"/>
    <n v="515.20000000000005"/>
    <n v="3978.64"/>
    <n v="880.82"/>
    <n v="626.53"/>
    <n v="873.88"/>
    <n v="582.25"/>
    <n v="788.68"/>
    <n v="10821.99"/>
    <n v="-0.60999999999999943"/>
  </r>
  <r>
    <x v="15"/>
    <x v="3"/>
    <x v="0"/>
    <s v="8600101"/>
    <n v="731060"/>
    <s v="Cell Phones"/>
    <s v="Ambulatory Care Center"/>
    <x v="0"/>
    <n v="1001"/>
    <n v="0"/>
    <n v="62.65"/>
    <n v="115.25"/>
    <n v="0"/>
    <n v="29.78"/>
    <n v="10.82"/>
    <n v="62.94"/>
    <n v="0"/>
    <n v="31.97"/>
    <n v="63.43"/>
    <n v="31.09"/>
    <n v="31.7"/>
    <n v="439.62999999999994"/>
    <n v="0"/>
  </r>
  <r>
    <x v="15"/>
    <x v="3"/>
    <x v="0"/>
    <s v="8600101"/>
    <n v="731060"/>
    <s v="Pagers"/>
    <s v="Ambulatory Care Center"/>
    <x v="0"/>
    <n v="1002"/>
    <n v="24.3"/>
    <n v="24.3"/>
    <n v="24.3"/>
    <n v="24.36"/>
    <n v="24.36"/>
    <n v="0"/>
    <n v="48.72"/>
    <n v="24.36"/>
    <n v="24.36"/>
    <n v="24.36"/>
    <n v="24.36"/>
    <n v="24.36"/>
    <n v="292.14000000000004"/>
    <n v="663.32"/>
  </r>
  <r>
    <x v="16"/>
    <x v="3"/>
    <x v="0"/>
    <s v="8600101"/>
    <n v="732020"/>
    <s v="Repairs--Clin Equip-Parts-Internal to CHI Programs"/>
    <s v="Ambulatory Care Center"/>
    <x v="0"/>
    <m/>
    <n v="0"/>
    <n v="0"/>
    <n v="0"/>
    <n v="0"/>
    <n v="0"/>
    <n v="0"/>
    <n v="0"/>
    <n v="0"/>
    <n v="0"/>
    <n v="663.08"/>
    <n v="663.32"/>
    <n v="0"/>
    <n v="1326.4"/>
    <n v="0"/>
  </r>
  <r>
    <x v="16"/>
    <x v="3"/>
    <x v="0"/>
    <s v="8600101"/>
    <n v="732030"/>
    <s v="Repairs---Other"/>
    <s v="Ambulatory Care Center"/>
    <x v="0"/>
    <m/>
    <n v="0"/>
    <n v="0"/>
    <n v="0"/>
    <n v="0"/>
    <n v="0"/>
    <n v="0"/>
    <n v="37.979999999999997"/>
    <n v="0"/>
    <n v="0"/>
    <n v="0"/>
    <n v="0"/>
    <n v="0"/>
    <n v="37.979999999999997"/>
    <n v="6.9999999999936335E-2"/>
  </r>
  <r>
    <x v="13"/>
    <x v="3"/>
    <x v="0"/>
    <s v="8600101"/>
    <n v="735070"/>
    <s v="Depreciation-Movable Equipment"/>
    <s v="Ambulatory Care Center"/>
    <x v="0"/>
    <m/>
    <n v="870.35"/>
    <n v="870.35"/>
    <n v="870.37"/>
    <n v="870.35"/>
    <n v="870.37"/>
    <n v="870.35"/>
    <n v="870.38"/>
    <n v="870.35"/>
    <n v="870.38"/>
    <n v="870.33"/>
    <n v="870.39"/>
    <n v="870.32"/>
    <n v="10444.290000000001"/>
    <n v="0"/>
  </r>
  <r>
    <x v="0"/>
    <x v="3"/>
    <x v="0"/>
    <s v="8600101"/>
    <n v="740020"/>
    <s v="Education-Registration Fees"/>
    <s v="Ambulatory Care Center"/>
    <x v="0"/>
    <m/>
    <n v="4675"/>
    <n v="0"/>
    <n v="0"/>
    <n v="0"/>
    <n v="0"/>
    <n v="0"/>
    <n v="0"/>
    <n v="0"/>
    <n v="0"/>
    <n v="0"/>
    <n v="0"/>
    <n v="0"/>
    <n v="4675"/>
    <n v="0"/>
  </r>
  <r>
    <x v="0"/>
    <x v="3"/>
    <x v="0"/>
    <s v="8600101"/>
    <n v="743030"/>
    <s v="Subscriptions--Institutional"/>
    <s v="Ambulatory Care Center"/>
    <x v="0"/>
    <m/>
    <n v="0"/>
    <n v="0"/>
    <n v="0"/>
    <n v="0"/>
    <n v="0"/>
    <n v="0"/>
    <n v="0"/>
    <n v="0"/>
    <n v="0"/>
    <n v="218.88"/>
    <n v="0"/>
    <n v="0"/>
    <n v="218.88"/>
    <n v="-4107.6500000000005"/>
  </r>
  <r>
    <x v="0"/>
    <x v="3"/>
    <x v="0"/>
    <s v="8600101"/>
    <n v="749510"/>
    <s v="Miscellaneous Expenses"/>
    <s v="Ambulatory Care Center"/>
    <x v="0"/>
    <m/>
    <n v="253.12"/>
    <n v="32869.279999999999"/>
    <n v="118.11"/>
    <n v="825.03"/>
    <n v="4782.12"/>
    <n v="-454.1"/>
    <n v="195.69"/>
    <n v="-23.27"/>
    <n v="33.26"/>
    <n v="1487.5"/>
    <n v="32.979999999999997"/>
    <n v="4140.63"/>
    <n v="44260.350000000013"/>
    <n v="0"/>
  </r>
  <r>
    <x v="0"/>
    <x v="3"/>
    <x v="0"/>
    <s v="8600101"/>
    <n v="749510"/>
    <s v="Licenses"/>
    <s v="Ambulatory Care Center"/>
    <x v="0"/>
    <n v="1002"/>
    <n v="0"/>
    <n v="0"/>
    <n v="0"/>
    <n v="0"/>
    <n v="0"/>
    <n v="0"/>
    <n v="0"/>
    <n v="255"/>
    <n v="0"/>
    <n v="0"/>
    <n v="0"/>
    <n v="0"/>
    <n v="255"/>
    <n v="-170.31"/>
  </r>
  <r>
    <x v="0"/>
    <x v="3"/>
    <x v="0"/>
    <s v="8600101"/>
    <n v="749510"/>
    <s v="Casualty Loss/Patient Property"/>
    <s v="Ambulatory Care Center"/>
    <x v="0"/>
    <n v="4601"/>
    <n v="0"/>
    <n v="0"/>
    <n v="850"/>
    <n v="0"/>
    <n v="0"/>
    <n v="0"/>
    <n v="0"/>
    <n v="0"/>
    <n v="0"/>
    <n v="209.98"/>
    <n v="0"/>
    <n v="170.31"/>
    <n v="1230.29"/>
    <n v="7"/>
  </r>
  <r>
    <x v="0"/>
    <x v="3"/>
    <x v="0"/>
    <s v="8600101"/>
    <n v="749530"/>
    <s v="Travel"/>
    <s v="Ambulatory Care Center"/>
    <x v="0"/>
    <m/>
    <n v="0"/>
    <n v="0"/>
    <n v="0"/>
    <n v="0"/>
    <n v="379.81"/>
    <n v="14"/>
    <n v="7"/>
    <n v="7"/>
    <n v="162.83000000000001"/>
    <n v="0"/>
    <n v="7"/>
    <n v="0"/>
    <n v="577.64"/>
    <n v="89750.150000000023"/>
  </r>
  <r>
    <x v="19"/>
    <x v="3"/>
    <x v="0"/>
    <s v="8601101"/>
    <n v="400020"/>
    <s v="O/P Care Svcs Rev--Medicare"/>
    <s v="GH Surgery Center"/>
    <x v="0"/>
    <n v="1100"/>
    <n v="-331864.84000000003"/>
    <n v="-605360.49"/>
    <n v="-517696.26"/>
    <n v="-972598.43"/>
    <n v="-702425.58"/>
    <n v="-1226962.0900000001"/>
    <n v="-1223900.56"/>
    <n v="-351870.91"/>
    <n v="-1010317.66"/>
    <n v="-931200.6"/>
    <n v="-792818.82"/>
    <n v="-882568.97"/>
    <n v="-9549585.2100000009"/>
    <n v="-281819.55"/>
  </r>
  <r>
    <x v="19"/>
    <x v="3"/>
    <x v="0"/>
    <s v="8601101"/>
    <n v="400020"/>
    <s v="O/P Care Svcs Rev--Medicaid"/>
    <s v="GH Surgery Center"/>
    <x v="0"/>
    <n v="1200"/>
    <n v="-228778.86"/>
    <n v="-715780.28"/>
    <n v="-610271.96"/>
    <n v="-317692.78000000003"/>
    <n v="-640264.47"/>
    <n v="-548160.07999999996"/>
    <n v="-564478.44999999995"/>
    <n v="-13174.76"/>
    <n v="-447794.84"/>
    <n v="-364760.73"/>
    <n v="-555355.36"/>
    <n v="-273535.81"/>
    <n v="-5280048.379999999"/>
    <n v="-20093.25"/>
  </r>
  <r>
    <x v="19"/>
    <x v="3"/>
    <x v="0"/>
    <s v="8601101"/>
    <n v="400020"/>
    <s v="O/P Care Svcs Rev--Comm Insurance"/>
    <s v="GH Surgery Center"/>
    <x v="0"/>
    <n v="1300"/>
    <n v="-25260.26"/>
    <n v="-64811.48"/>
    <n v="-31605.55"/>
    <n v="-332432.5"/>
    <n v="-82408.11"/>
    <n v="-298381.52"/>
    <n v="32931.24"/>
    <n v="-352255.16"/>
    <n v="249.79"/>
    <n v="-216682.2"/>
    <n v="-218449.53"/>
    <n v="-198356.28"/>
    <n v="-1787461.56"/>
    <n v="-39695.420000000013"/>
  </r>
  <r>
    <x v="19"/>
    <x v="3"/>
    <x v="0"/>
    <s v="8601101"/>
    <n v="400020"/>
    <s v="O/P Care Svcs Rev--BCBS Comm"/>
    <s v="GH Surgery Center"/>
    <x v="0"/>
    <n v="1301"/>
    <n v="-190966.88"/>
    <n v="-140860.63"/>
    <n v="-309095.17"/>
    <n v="-352239.67"/>
    <n v="-342526.4"/>
    <n v="-359837.03"/>
    <n v="-162077.46"/>
    <n v="-118013.46"/>
    <n v="-310927.57"/>
    <n v="-165090.79999999999"/>
    <n v="-226939.53"/>
    <n v="-187244.11"/>
    <n v="-2865818.7099999995"/>
    <n v="38118.31"/>
  </r>
  <r>
    <x v="19"/>
    <x v="3"/>
    <x v="0"/>
    <s v="8601101"/>
    <n v="400020"/>
    <s v="O/P Care Svcs Rev--Managed Care"/>
    <s v="GH Surgery Center"/>
    <x v="0"/>
    <n v="1400"/>
    <n v="-362828.9"/>
    <n v="-338342.45"/>
    <n v="-401455.34"/>
    <n v="-665342.23"/>
    <n v="-613395.66"/>
    <n v="-610070.4"/>
    <n v="-1124384.27"/>
    <n v="-401369.43"/>
    <n v="-258408.92"/>
    <n v="-412878.5"/>
    <n v="-435130.6"/>
    <n v="-473248.91"/>
    <n v="-6096855.6099999994"/>
    <n v="-136713.34"/>
  </r>
  <r>
    <x v="19"/>
    <x v="3"/>
    <x v="0"/>
    <s v="8601101"/>
    <n v="400020"/>
    <s v="O/P Care Svcs Rev--Self Pay"/>
    <s v="GH Surgery Center"/>
    <x v="0"/>
    <n v="1500"/>
    <n v="-95771.08"/>
    <n v="-161652.41"/>
    <n v="-29120.82"/>
    <n v="-25206.400000000001"/>
    <n v="-55033.38"/>
    <n v="-15407.1"/>
    <n v="-80395.58"/>
    <n v="-159648.34"/>
    <n v="-73439.02"/>
    <n v="0"/>
    <n v="-84312.4"/>
    <n v="52400.94"/>
    <n v="-727585.59000000008"/>
    <n v="15120.739999999991"/>
  </r>
  <r>
    <x v="19"/>
    <x v="3"/>
    <x v="0"/>
    <s v="8601101"/>
    <n v="400020"/>
    <s v="O/P Care Svcs Rev--Other"/>
    <s v="GH Surgery Center"/>
    <x v="0"/>
    <n v="1700"/>
    <n v="-477183.36"/>
    <n v="-191597.71"/>
    <n v="-201049.13"/>
    <n v="-248493.57"/>
    <n v="-371025.25"/>
    <n v="-97513.98"/>
    <n v="-230331.39"/>
    <n v="-169989.49"/>
    <n v="-122295.54"/>
    <n v="-372272.99"/>
    <n v="-283918.51"/>
    <n v="-299039.25"/>
    <n v="-3064710.17"/>
    <n v="-978.5"/>
  </r>
  <r>
    <x v="5"/>
    <x v="3"/>
    <x v="0"/>
    <s v="8601101"/>
    <n v="700018"/>
    <s v="Salaries-Supervisory-Productive"/>
    <s v="GH Surgery Center"/>
    <x v="0"/>
    <m/>
    <n v="0"/>
    <n v="0"/>
    <n v="0"/>
    <n v="0"/>
    <n v="11125.95"/>
    <n v="6730.13"/>
    <n v="7827.52"/>
    <n v="7093.21"/>
    <n v="8560.7900000000009"/>
    <n v="7500.66"/>
    <n v="6794.28"/>
    <n v="7772.78"/>
    <n v="63405.320000000007"/>
    <n v="0"/>
  </r>
  <r>
    <x v="5"/>
    <x v="3"/>
    <x v="0"/>
    <s v="8601101"/>
    <n v="700018"/>
    <s v="Salaries-Supervisory-Other"/>
    <s v="GH Surgery Center"/>
    <x v="0"/>
    <n v="2000"/>
    <n v="0"/>
    <n v="0"/>
    <n v="0"/>
    <n v="0"/>
    <n v="30"/>
    <n v="0"/>
    <n v="0"/>
    <n v="0"/>
    <n v="0"/>
    <n v="0"/>
    <n v="0"/>
    <n v="0"/>
    <n v="30"/>
    <n v="10289.77"/>
  </r>
  <r>
    <x v="5"/>
    <x v="3"/>
    <x v="0"/>
    <s v="8601101"/>
    <n v="700026"/>
    <s v="Salaries-RN-Productive"/>
    <s v="GH Surgery Center"/>
    <x v="0"/>
    <m/>
    <n v="21354.2"/>
    <n v="25318.9"/>
    <n v="23786.13"/>
    <n v="38134.57"/>
    <n v="33325.800000000003"/>
    <n v="23850.55"/>
    <n v="32017.5"/>
    <n v="16252.18"/>
    <n v="27255.29"/>
    <n v="25710.73"/>
    <n v="27420.99"/>
    <n v="17131.22"/>
    <n v="311558.06000000006"/>
    <n v="-946.23"/>
  </r>
  <r>
    <x v="5"/>
    <x v="3"/>
    <x v="0"/>
    <s v="8601101"/>
    <n v="700026"/>
    <s v="Salaries-RN-OT"/>
    <s v="GH Surgery Center"/>
    <x v="0"/>
    <n v="1000"/>
    <n v="1598.86"/>
    <n v="1432.74"/>
    <n v="1815.86"/>
    <n v="1497.73"/>
    <n v="3614.32"/>
    <n v="2349.48"/>
    <n v="1518.12"/>
    <n v="1140.72"/>
    <n v="1788.65"/>
    <n v="994.89"/>
    <n v="102.74"/>
    <n v="1048.97"/>
    <n v="18903.080000000002"/>
    <n v="-109.35000000000002"/>
  </r>
  <r>
    <x v="5"/>
    <x v="3"/>
    <x v="0"/>
    <s v="8601101"/>
    <n v="700026"/>
    <s v="Salaries-RN-Other"/>
    <s v="GH Surgery Center"/>
    <x v="0"/>
    <n v="2000"/>
    <n v="590.07000000000005"/>
    <n v="586.89"/>
    <n v="615.65"/>
    <n v="1120.17"/>
    <n v="688.87"/>
    <n v="898.71"/>
    <n v="1184.5999999999999"/>
    <n v="415.9"/>
    <n v="915.99"/>
    <n v="332.38"/>
    <n v="249.32"/>
    <n v="358.67"/>
    <n v="7957.22"/>
    <n v="2652.6900000000005"/>
  </r>
  <r>
    <x v="5"/>
    <x v="3"/>
    <x v="0"/>
    <s v="8601101"/>
    <n v="700034"/>
    <s v="Salaries-Tech/Professional-Productive"/>
    <s v="GH Surgery Center"/>
    <x v="0"/>
    <m/>
    <n v="8011.12"/>
    <n v="9800.6200000000008"/>
    <n v="11677.46"/>
    <n v="13407.79"/>
    <n v="14992.71"/>
    <n v="9470.3700000000008"/>
    <n v="12744.06"/>
    <n v="6958.58"/>
    <n v="11418.59"/>
    <n v="10511.01"/>
    <n v="11779.86"/>
    <n v="9127.17"/>
    <n v="129899.34"/>
    <n v="-266.93"/>
  </r>
  <r>
    <x v="5"/>
    <x v="3"/>
    <x v="0"/>
    <s v="8601101"/>
    <n v="700034"/>
    <s v="Salaries-Tech/Professional-OT"/>
    <s v="GH Surgery Center"/>
    <x v="0"/>
    <n v="1000"/>
    <n v="187.92"/>
    <n v="337.61"/>
    <n v="389.42"/>
    <n v="890.7"/>
    <n v="1118.0999999999999"/>
    <n v="69.650000000000006"/>
    <n v="601.58000000000004"/>
    <n v="210.91"/>
    <n v="852.99"/>
    <n v="113.03"/>
    <n v="-83.46"/>
    <n v="183.47"/>
    <n v="4871.92"/>
    <n v="11.379999999999995"/>
  </r>
  <r>
    <x v="5"/>
    <x v="3"/>
    <x v="0"/>
    <s v="8601101"/>
    <n v="700034"/>
    <s v="Salaries-Tech/Professional-Other"/>
    <s v="GH Surgery Center"/>
    <x v="0"/>
    <n v="2000"/>
    <n v="88.6"/>
    <n v="203.15"/>
    <n v="231.59"/>
    <n v="203.38"/>
    <n v="355.92"/>
    <n v="186.36"/>
    <n v="319.41000000000003"/>
    <n v="0"/>
    <n v="49.47"/>
    <n v="19.3"/>
    <n v="77.75"/>
    <n v="66.37"/>
    <n v="1801.3000000000002"/>
    <n v="453.14000000000033"/>
  </r>
  <r>
    <x v="5"/>
    <x v="3"/>
    <x v="0"/>
    <s v="8601101"/>
    <n v="700038"/>
    <s v="Salaries-Service/Support-Productive"/>
    <s v="GH Surgery Center"/>
    <x v="0"/>
    <m/>
    <n v="2594.67"/>
    <n v="2040.77"/>
    <n v="2134.19"/>
    <n v="3188.24"/>
    <n v="2984.73"/>
    <n v="2714.91"/>
    <n v="3280.48"/>
    <n v="2123.19"/>
    <n v="2076.4899999999998"/>
    <n v="2939.37"/>
    <n v="3177.59"/>
    <n v="2724.45"/>
    <n v="31979.079999999998"/>
    <n v="-51.35"/>
  </r>
  <r>
    <x v="5"/>
    <x v="3"/>
    <x v="0"/>
    <s v="8601101"/>
    <n v="700038"/>
    <s v="Salaries-Service/Support-OT"/>
    <s v="GH Surgery Center"/>
    <x v="0"/>
    <n v="1000"/>
    <n v="18.649999999999999"/>
    <n v="79.91"/>
    <n v="-23.97"/>
    <n v="26.5"/>
    <n v="310.48"/>
    <n v="-93.43"/>
    <n v="146.36000000000001"/>
    <n v="-31.2"/>
    <n v="45.78"/>
    <n v="83.29"/>
    <n v="-31.92"/>
    <n v="19.43"/>
    <n v="549.88"/>
    <n v="-0.96"/>
  </r>
  <r>
    <x v="5"/>
    <x v="3"/>
    <x v="0"/>
    <s v="8601101"/>
    <n v="700038"/>
    <s v="Salaries-Service/Support-Other"/>
    <s v="GH Surgery Center"/>
    <x v="0"/>
    <n v="2000"/>
    <n v="0"/>
    <n v="0"/>
    <n v="1.45"/>
    <n v="3.23"/>
    <n v="-1.42"/>
    <n v="6.89"/>
    <n v="0"/>
    <n v="0"/>
    <n v="5.83"/>
    <n v="0.2"/>
    <n v="-0.96"/>
    <n v="0"/>
    <n v="15.219999999999999"/>
    <n v="1250.19"/>
  </r>
  <r>
    <x v="5"/>
    <x v="3"/>
    <x v="0"/>
    <s v="8601101"/>
    <n v="700058"/>
    <s v="Salaries-Supervisory-Non-productive"/>
    <s v="GH Surgery Center"/>
    <x v="0"/>
    <m/>
    <n v="0"/>
    <n v="0"/>
    <n v="0"/>
    <n v="0"/>
    <n v="0"/>
    <n v="1682.43"/>
    <n v="598.21"/>
    <n v="516.33000000000004"/>
    <n v="-135.85"/>
    <n v="652.20000000000005"/>
    <n v="1630.67"/>
    <n v="380.48"/>
    <n v="5324.4700000000012"/>
    <n v="-1787.2600000000002"/>
  </r>
  <r>
    <x v="5"/>
    <x v="3"/>
    <x v="0"/>
    <s v="8601101"/>
    <n v="700066"/>
    <s v="Salaries-RN-Non-productive"/>
    <s v="GH Surgery Center"/>
    <x v="0"/>
    <m/>
    <n v="12087.71"/>
    <n v="3361.15"/>
    <n v="5225.28"/>
    <n v="9244.2999999999993"/>
    <n v="576.03"/>
    <n v="10472.48"/>
    <n v="6661.99"/>
    <n v="7322.57"/>
    <n v="8459.2099999999991"/>
    <n v="3593.23"/>
    <n v="3858.3"/>
    <n v="5645.56"/>
    <n v="76507.81"/>
    <n v="48.510000000000005"/>
  </r>
  <r>
    <x v="5"/>
    <x v="3"/>
    <x v="0"/>
    <s v="8601101"/>
    <n v="700066"/>
    <s v="Salaries-RN-NonProd-Other"/>
    <s v="GH Surgery Center"/>
    <x v="0"/>
    <n v="2000"/>
    <n v="204.24"/>
    <n v="418.7"/>
    <n v="-27.04"/>
    <n v="166.39"/>
    <n v="79.95"/>
    <n v="53.83"/>
    <n v="45.55"/>
    <n v="113.14"/>
    <n v="25.61"/>
    <n v="131.84"/>
    <n v="44.24"/>
    <n v="-4.2699999999999996"/>
    <n v="1252.18"/>
    <n v="595.77999999999975"/>
  </r>
  <r>
    <x v="5"/>
    <x v="3"/>
    <x v="0"/>
    <s v="8601101"/>
    <n v="700074"/>
    <s v="Salaries-Tech/Professional-Non-productive"/>
    <s v="GH Surgery Center"/>
    <x v="0"/>
    <m/>
    <n v="2450.7600000000002"/>
    <n v="1174.81"/>
    <n v="2345.25"/>
    <n v="-158.57"/>
    <n v="923.56"/>
    <n v="4652.05"/>
    <n v="2011.13"/>
    <n v="2491.9"/>
    <n v="1563.23"/>
    <n v="2015.29"/>
    <n v="3243.08"/>
    <n v="2647.3"/>
    <n v="25359.790000000005"/>
    <n v="8.18"/>
  </r>
  <r>
    <x v="5"/>
    <x v="3"/>
    <x v="0"/>
    <s v="8601101"/>
    <n v="700074"/>
    <s v="Salaries-Tech/Professional-NonProd-Other"/>
    <s v="GH Surgery Center"/>
    <x v="0"/>
    <n v="2000"/>
    <n v="42.64"/>
    <n v="52.96"/>
    <n v="25.16"/>
    <n v="43.25"/>
    <n v="22.72"/>
    <n v="0.08"/>
    <n v="17.27"/>
    <n v="22.79"/>
    <n v="6.85"/>
    <n v="52.9"/>
    <n v="0.45"/>
    <n v="-7.73"/>
    <n v="279.33999999999997"/>
    <n v="-525.77"/>
  </r>
  <r>
    <x v="5"/>
    <x v="3"/>
    <x v="0"/>
    <s v="8601101"/>
    <n v="700078"/>
    <s v="Salaries-Service/Support-Non-productive"/>
    <s v="GH Surgery Center"/>
    <x v="0"/>
    <m/>
    <n v="568.65"/>
    <n v="680.57"/>
    <n v="696.53"/>
    <n v="106.84"/>
    <n v="413.72"/>
    <n v="985.42"/>
    <n v="317.39999999999998"/>
    <n v="741.33"/>
    <n v="1535.83"/>
    <n v="225.68"/>
    <n v="218.79"/>
    <n v="744.56"/>
    <n v="7235.3200000000015"/>
    <n v="2304.31"/>
  </r>
  <r>
    <x v="5"/>
    <x v="3"/>
    <x v="0"/>
    <s v="8601101"/>
    <n v="700084"/>
    <s v="Accrued PTO"/>
    <s v="GH Surgery Center"/>
    <x v="0"/>
    <m/>
    <n v="9328.66"/>
    <n v="2672.68"/>
    <n v="1327.42"/>
    <n v="-6186.98"/>
    <n v="4623.9399999999996"/>
    <n v="-3604.28"/>
    <n v="1851.77"/>
    <n v="-2093.89"/>
    <n v="2054.41"/>
    <n v="2358.64"/>
    <n v="2214.06"/>
    <n v="-90.25"/>
    <n v="14456.18"/>
    <n v="757.39000000000033"/>
  </r>
  <r>
    <x v="6"/>
    <x v="3"/>
    <x v="0"/>
    <s v="8601101"/>
    <n v="713010"/>
    <s v="Benefits-FICA/Medicare"/>
    <s v="GH Surgery Center"/>
    <x v="0"/>
    <m/>
    <n v="3743.96"/>
    <n v="4527.96"/>
    <n v="3554.06"/>
    <n v="4995.2700000000004"/>
    <n v="5246.01"/>
    <n v="4710.6400000000003"/>
    <n v="5120.92"/>
    <n v="3310.81"/>
    <n v="4750.7"/>
    <n v="4127"/>
    <n v="4305.2700000000004"/>
    <n v="3547.88"/>
    <n v="51940.479999999989"/>
    <n v="2430.16"/>
  </r>
  <r>
    <x v="6"/>
    <x v="3"/>
    <x v="0"/>
    <s v="8601101"/>
    <n v="713090"/>
    <s v="Benefits-Allocated Amounts"/>
    <s v="GH Surgery Center"/>
    <x v="0"/>
    <m/>
    <n v="10198.49"/>
    <n v="8367.77"/>
    <n v="10149.16"/>
    <n v="12286.27"/>
    <n v="13760.87"/>
    <n v="11975.48"/>
    <n v="13927.66"/>
    <n v="9927.2000000000007"/>
    <n v="10232.370000000001"/>
    <n v="11135.45"/>
    <n v="12446.6"/>
    <n v="10016.44"/>
    <n v="134423.76"/>
    <n v="-345"/>
  </r>
  <r>
    <x v="17"/>
    <x v="3"/>
    <x v="0"/>
    <s v="8601101"/>
    <n v="714510"/>
    <s v="Medical Director Fees"/>
    <s v="GH Surgery Center"/>
    <x v="0"/>
    <m/>
    <n v="420"/>
    <n v="420"/>
    <n v="420"/>
    <n v="420"/>
    <n v="420"/>
    <n v="0"/>
    <n v="840"/>
    <n v="1386.94"/>
    <n v="2773.82"/>
    <n v="693.47"/>
    <n v="1155"/>
    <n v="1500"/>
    <n v="10449.23"/>
    <n v="-14139.130000000001"/>
  </r>
  <r>
    <x v="17"/>
    <x v="3"/>
    <x v="0"/>
    <s v="8601101"/>
    <n v="714530"/>
    <s v="Medical Prof Fees-Intracompany"/>
    <s v="GH Surgery Center"/>
    <x v="0"/>
    <m/>
    <n v="45708.89"/>
    <n v="20195.150000000001"/>
    <n v="3888.86"/>
    <n v="16475.02"/>
    <n v="15556.59"/>
    <n v="26253.86"/>
    <n v="-17159.509999999998"/>
    <n v="8539.83"/>
    <n v="27561.1"/>
    <n v="9297.5300000000007"/>
    <n v="-7267.52"/>
    <n v="6871.61"/>
    <n v="155921.41"/>
    <n v="-71.48"/>
  </r>
  <r>
    <x v="7"/>
    <x v="3"/>
    <x v="0"/>
    <s v="8601101"/>
    <n v="718050"/>
    <s v="Contract Svcs-Other"/>
    <s v="GH Surgery Center"/>
    <x v="0"/>
    <m/>
    <n v="0"/>
    <n v="129.91"/>
    <n v="327.37"/>
    <n v="3742.08"/>
    <n v="0"/>
    <n v="0"/>
    <n v="1258.92"/>
    <n v="0"/>
    <n v="377.1"/>
    <n v="230.4"/>
    <n v="0"/>
    <n v="71.48"/>
    <n v="6137.2599999999993"/>
    <n v="-3010"/>
  </r>
  <r>
    <x v="7"/>
    <x v="3"/>
    <x v="0"/>
    <s v="8601101"/>
    <n v="718050"/>
    <s v="Cleaning Services"/>
    <s v="GH Surgery Center"/>
    <x v="0"/>
    <n v="1011"/>
    <n v="2887.5"/>
    <n v="0"/>
    <n v="8947.6200000000008"/>
    <n v="0"/>
    <n v="0"/>
    <n v="0"/>
    <n v="2493.75"/>
    <n v="0"/>
    <n v="14297.18"/>
    <n v="0"/>
    <n v="0"/>
    <n v="3010"/>
    <n v="31636.050000000003"/>
    <n v="-0.42999999999999972"/>
  </r>
  <r>
    <x v="7"/>
    <x v="3"/>
    <x v="0"/>
    <s v="8601101"/>
    <n v="718050"/>
    <s v="Document Shredding/Storage"/>
    <s v="GH Surgery Center"/>
    <x v="0"/>
    <n v="1012"/>
    <n v="71.06"/>
    <n v="-104.08"/>
    <n v="11.86"/>
    <n v="12.27"/>
    <n v="12.68"/>
    <n v="12.68"/>
    <n v="12.55"/>
    <n v="69.760000000000005"/>
    <n v="39.880000000000003"/>
    <n v="-42.6"/>
    <n v="12.6"/>
    <n v="13.03"/>
    <n v="121.69"/>
    <n v="-438.84"/>
  </r>
  <r>
    <x v="7"/>
    <x v="3"/>
    <x v="0"/>
    <s v="8601101"/>
    <n v="718050"/>
    <s v="Translation Services"/>
    <s v="GH Surgery Center"/>
    <x v="0"/>
    <n v="1025"/>
    <n v="0"/>
    <n v="102"/>
    <n v="0"/>
    <n v="0"/>
    <n v="0"/>
    <n v="0"/>
    <n v="405"/>
    <n v="0"/>
    <n v="0"/>
    <n v="0"/>
    <n v="0"/>
    <n v="438.84"/>
    <n v="945.83999999999992"/>
    <n v="3056.41"/>
  </r>
  <r>
    <x v="7"/>
    <x v="3"/>
    <x v="0"/>
    <s v="8601101"/>
    <n v="718050"/>
    <s v="Contract Management--Linen"/>
    <s v="GH Surgery Center"/>
    <x v="0"/>
    <n v="1026"/>
    <n v="0"/>
    <n v="1638.28"/>
    <n v="555.34"/>
    <n v="871.99"/>
    <n v="0"/>
    <n v="0"/>
    <n v="0"/>
    <n v="0"/>
    <n v="2369.75"/>
    <n v="1241.98"/>
    <n v="3848.64"/>
    <n v="792.23"/>
    <n v="11318.21"/>
    <n v="0"/>
  </r>
  <r>
    <x v="7"/>
    <x v="3"/>
    <x v="0"/>
    <s v="8601101"/>
    <n v="718070"/>
    <s v="Contract Srvcs-CHI Clinical Engineering"/>
    <s v="GH Surgery Center"/>
    <x v="0"/>
    <m/>
    <n v="1376.5"/>
    <n v="1376.5"/>
    <n v="1376.5"/>
    <n v="986.5"/>
    <n v="1376.5"/>
    <n v="1338.42"/>
    <n v="1376.5"/>
    <n v="738.01"/>
    <n v="569.38"/>
    <n v="1055.5999999999999"/>
    <n v="1056.3800000000001"/>
    <n v="1056.3800000000001"/>
    <n v="13683.170000000002"/>
    <n v="123.49000000000001"/>
  </r>
  <r>
    <x v="7"/>
    <x v="3"/>
    <x v="0"/>
    <s v="8601101"/>
    <n v="718091"/>
    <s v="Contract Services-Intracompany Allocation"/>
    <s v="GH Surgery Center"/>
    <x v="0"/>
    <m/>
    <n v="2030.64"/>
    <n v="1907.14"/>
    <n v="1804.55"/>
    <n v="2269.62"/>
    <n v="1969.85"/>
    <n v="1757.43"/>
    <n v="2099.0500000000002"/>
    <n v="1779.74"/>
    <n v="2269.41"/>
    <n v="2115.89"/>
    <n v="2041.93"/>
    <n v="1918.44"/>
    <n v="23963.69"/>
    <n v="152.14999999999986"/>
  </r>
  <r>
    <x v="11"/>
    <x v="3"/>
    <x v="0"/>
    <s v="8601101"/>
    <n v="721010"/>
    <s v="Supplies-Medical - Billable"/>
    <s v="GH Surgery Center"/>
    <x v="0"/>
    <m/>
    <n v="1498.47"/>
    <n v="1248"/>
    <n v="2079.7800000000002"/>
    <n v="2048.17"/>
    <n v="2289.36"/>
    <n v="3206.28"/>
    <n v="2372.7600000000002"/>
    <n v="1416.17"/>
    <n v="1171.32"/>
    <n v="3013.61"/>
    <n v="1375.12"/>
    <n v="1222.97"/>
    <n v="22942.010000000002"/>
    <n v="110.20999999999998"/>
  </r>
  <r>
    <x v="11"/>
    <x v="3"/>
    <x v="0"/>
    <s v="8601101"/>
    <n v="721010"/>
    <s v="Patient Monitoring"/>
    <s v="GH Surgery Center"/>
    <x v="0"/>
    <n v="1000"/>
    <n v="32.6"/>
    <n v="94.63"/>
    <n v="33.04"/>
    <n v="13.22"/>
    <n v="47.58"/>
    <n v="15.86"/>
    <n v="32.380000000000003"/>
    <n v="15.86"/>
    <n v="16.3"/>
    <n v="29.08"/>
    <n v="136.63999999999999"/>
    <n v="26.43"/>
    <n v="493.62"/>
    <n v="-43757.51"/>
  </r>
  <r>
    <x v="11"/>
    <x v="3"/>
    <x v="0"/>
    <s v="8601101"/>
    <n v="721020"/>
    <s v="Supplies-Surgical - Billable"/>
    <s v="GH Surgery Center"/>
    <x v="0"/>
    <m/>
    <n v="9553.5300000000007"/>
    <n v="6756.92"/>
    <n v="4238.74"/>
    <n v="12858.44"/>
    <n v="10783.11"/>
    <n v="130868.06"/>
    <n v="96794.51"/>
    <n v="4705.95"/>
    <n v="5508.26"/>
    <n v="56888.31"/>
    <n v="25970.85"/>
    <n v="69728.36"/>
    <n v="434655.04"/>
    <n v="404.57000000000005"/>
  </r>
  <r>
    <x v="11"/>
    <x v="3"/>
    <x v="0"/>
    <s v="8601101"/>
    <n v="721020"/>
    <s v="Custom Packs"/>
    <s v="GH Surgery Center"/>
    <x v="0"/>
    <n v="1000"/>
    <n v="389.72"/>
    <n v="1325.18"/>
    <n v="1034.3599999999999"/>
    <n v="1027.29"/>
    <n v="996.63"/>
    <n v="810.77"/>
    <n v="1226.23"/>
    <n v="390.9"/>
    <n v="832.65"/>
    <n v="1117.08"/>
    <n v="881.1"/>
    <n v="476.53"/>
    <n v="10508.44"/>
    <n v="2729.43"/>
  </r>
  <r>
    <x v="11"/>
    <x v="3"/>
    <x v="0"/>
    <s v="8601101"/>
    <n v="721020"/>
    <s v="Suture/Wound Closure"/>
    <s v="GH Surgery Center"/>
    <x v="0"/>
    <n v="1001"/>
    <n v="6591.7"/>
    <n v="3268.07"/>
    <n v="5061.16"/>
    <n v="5166.55"/>
    <n v="5836.28"/>
    <n v="5288.78"/>
    <n v="5243.35"/>
    <n v="2739.76"/>
    <n v="12272.21"/>
    <n v="2217.52"/>
    <n v="5747.54"/>
    <n v="3018.11"/>
    <n v="62451.03"/>
    <n v="-542.46"/>
  </r>
  <r>
    <x v="11"/>
    <x v="3"/>
    <x v="0"/>
    <s v="8601101"/>
    <n v="721020"/>
    <s v="Endoscopy - Trocars &amp; Accessories"/>
    <s v="GH Surgery Center"/>
    <x v="0"/>
    <n v="1002"/>
    <n v="218.04"/>
    <n v="523.53"/>
    <n v="779.64"/>
    <n v="819.23"/>
    <n v="296.52"/>
    <n v="50"/>
    <n v="184.28"/>
    <n v="812.63"/>
    <n v="-39.47"/>
    <n v="98.97"/>
    <n v="132.28"/>
    <n v="674.74"/>
    <n v="4550.3900000000003"/>
    <n v="-1272.8700000000001"/>
  </r>
  <r>
    <x v="11"/>
    <x v="3"/>
    <x v="0"/>
    <s v="8601101"/>
    <n v="721020"/>
    <s v="Endomechanical Supplies &amp; Instruments"/>
    <s v="GH Surgery Center"/>
    <x v="0"/>
    <n v="1003"/>
    <n v="1441.79"/>
    <n v="1562.55"/>
    <n v="1154.33"/>
    <n v="1205.55"/>
    <n v="3575.76"/>
    <n v="578.12"/>
    <n v="2148.63"/>
    <n v="534.82000000000005"/>
    <n v="1006.24"/>
    <n v="813.84"/>
    <n v="808.26"/>
    <n v="2081.13"/>
    <n v="16911.02"/>
    <n v="0"/>
  </r>
  <r>
    <x v="11"/>
    <x v="3"/>
    <x v="0"/>
    <s v="8601101"/>
    <n v="721020"/>
    <s v="Bone Cement &amp; Supplies"/>
    <s v="GH Surgery Center"/>
    <x v="0"/>
    <n v="1004"/>
    <n v="0"/>
    <n v="0"/>
    <n v="0"/>
    <n v="0"/>
    <n v="0"/>
    <n v="539.49"/>
    <n v="-49.49"/>
    <n v="0"/>
    <n v="0"/>
    <n v="0"/>
    <n v="0"/>
    <n v="0"/>
    <n v="490"/>
    <n v="-660"/>
  </r>
  <r>
    <x v="11"/>
    <x v="3"/>
    <x v="0"/>
    <s v="8601101"/>
    <n v="721020"/>
    <s v="Urological Supplies"/>
    <s v="GH Surgery Center"/>
    <x v="0"/>
    <n v="1006"/>
    <n v="633.74"/>
    <n v="335.31"/>
    <n v="882.82"/>
    <n v="660.63"/>
    <n v="1409.64"/>
    <n v="330"/>
    <n v="330"/>
    <n v="330"/>
    <n v="330"/>
    <n v="660"/>
    <n v="0"/>
    <n v="660"/>
    <n v="6562.14"/>
    <n v="0"/>
  </r>
  <r>
    <x v="11"/>
    <x v="3"/>
    <x v="0"/>
    <s v="8601101"/>
    <n v="721020"/>
    <s v="Surgical Cardiovascular"/>
    <s v="GH Surgery Center"/>
    <x v="0"/>
    <n v="1007"/>
    <n v="0"/>
    <n v="2.04"/>
    <n v="1.02"/>
    <n v="0"/>
    <n v="0"/>
    <n v="0"/>
    <n v="0"/>
    <n v="0"/>
    <n v="0"/>
    <n v="1.02"/>
    <n v="0"/>
    <n v="0"/>
    <n v="4.08"/>
    <n v="0"/>
  </r>
  <r>
    <x v="11"/>
    <x v="3"/>
    <x v="0"/>
    <s v="8601101"/>
    <n v="721050"/>
    <s v="Supplies-Cardiac Rhythm - Billable"/>
    <s v="GH Surgery Center"/>
    <x v="0"/>
    <m/>
    <n v="40.42"/>
    <n v="40.42"/>
    <n v="40.42"/>
    <n v="40.42"/>
    <n v="75.180000000000007"/>
    <n v="0"/>
    <n v="0"/>
    <n v="0"/>
    <n v="0"/>
    <n v="0"/>
    <n v="0"/>
    <n v="0"/>
    <n v="236.86"/>
    <n v="-2125"/>
  </r>
  <r>
    <x v="11"/>
    <x v="3"/>
    <x v="0"/>
    <s v="8601101"/>
    <n v="721110"/>
    <s v="Supplies-Grafts - Billable"/>
    <s v="GH Surgery Center"/>
    <x v="0"/>
    <m/>
    <n v="0"/>
    <n v="0"/>
    <n v="0"/>
    <n v="12905.53"/>
    <n v="193"/>
    <n v="0"/>
    <n v="0"/>
    <n v="0"/>
    <n v="2125"/>
    <n v="4449.53"/>
    <n v="2125"/>
    <n v="4250"/>
    <n v="26048.06"/>
    <n v="0"/>
  </r>
  <r>
    <x v="11"/>
    <x v="3"/>
    <x v="0"/>
    <s v="8601101"/>
    <n v="721120"/>
    <s v="Hip Prosthesis"/>
    <s v="GH Surgery Center"/>
    <x v="0"/>
    <n v="1000"/>
    <n v="0"/>
    <n v="0"/>
    <n v="0"/>
    <n v="0"/>
    <n v="73.989999999999995"/>
    <n v="0"/>
    <n v="0"/>
    <n v="0"/>
    <n v="0"/>
    <n v="0"/>
    <n v="0"/>
    <n v="0"/>
    <n v="73.989999999999995"/>
    <n v="2350"/>
  </r>
  <r>
    <x v="11"/>
    <x v="3"/>
    <x v="0"/>
    <s v="8601101"/>
    <n v="721120"/>
    <s v="Knee Prosthesis"/>
    <s v="GH Surgery Center"/>
    <x v="0"/>
    <n v="1001"/>
    <n v="0"/>
    <n v="0"/>
    <n v="7400"/>
    <n v="0"/>
    <n v="0"/>
    <n v="0"/>
    <n v="0"/>
    <n v="2350"/>
    <n v="0"/>
    <n v="2350"/>
    <n v="0"/>
    <n v="-2350"/>
    <n v="9750"/>
    <n v="0"/>
  </r>
  <r>
    <x v="11"/>
    <x v="3"/>
    <x v="0"/>
    <s v="8601101"/>
    <n v="721120"/>
    <s v="Shoulder Prosthesis"/>
    <s v="GH Surgery Center"/>
    <x v="0"/>
    <n v="1002"/>
    <n v="675"/>
    <n v="0"/>
    <n v="0"/>
    <n v="0"/>
    <n v="0"/>
    <n v="0"/>
    <n v="0"/>
    <n v="99.73"/>
    <n v="0"/>
    <n v="0"/>
    <n v="0"/>
    <n v="0"/>
    <n v="774.73"/>
    <n v="-4000"/>
  </r>
  <r>
    <x v="11"/>
    <x v="3"/>
    <x v="0"/>
    <s v="8601101"/>
    <n v="721120"/>
    <s v="Joint Prostheses - Other"/>
    <s v="GH Surgery Center"/>
    <x v="0"/>
    <n v="1003"/>
    <n v="2000"/>
    <n v="0"/>
    <n v="0"/>
    <n v="0"/>
    <n v="2000"/>
    <n v="0"/>
    <n v="0"/>
    <n v="-425"/>
    <n v="0"/>
    <n v="0"/>
    <n v="0"/>
    <n v="4000"/>
    <n v="7575"/>
    <n v="-7597.7499999999991"/>
  </r>
  <r>
    <x v="11"/>
    <x v="3"/>
    <x v="0"/>
    <s v="8601101"/>
    <n v="721150"/>
    <s v="Supplies-Other Implants - Billable"/>
    <s v="GH Surgery Center"/>
    <x v="0"/>
    <m/>
    <n v="16376.86"/>
    <n v="16654.919999999998"/>
    <n v="13550.14"/>
    <n v="32142.74"/>
    <n v="19002"/>
    <n v="14368.47"/>
    <n v="26096.39"/>
    <n v="24562.67"/>
    <n v="30266.95"/>
    <n v="11255.67"/>
    <n v="6377.8"/>
    <n v="13975.55"/>
    <n v="224630.16"/>
    <n v="-815"/>
  </r>
  <r>
    <x v="11"/>
    <x v="3"/>
    <x v="0"/>
    <s v="8601101"/>
    <n v="721150"/>
    <s v="Surgical Orthopedic"/>
    <s v="GH Surgery Center"/>
    <x v="0"/>
    <n v="1000"/>
    <n v="2271"/>
    <n v="9968"/>
    <n v="163.51"/>
    <n v="4748.8999999999996"/>
    <n v="7098.2"/>
    <n v="7159.6"/>
    <n v="3563"/>
    <n v="1850"/>
    <n v="8323.81"/>
    <n v="1739"/>
    <n v="945"/>
    <n v="1760"/>
    <n v="49590.02"/>
    <n v="8536.0300000000007"/>
  </r>
  <r>
    <x v="11"/>
    <x v="3"/>
    <x v="0"/>
    <s v="8601101"/>
    <n v="721150"/>
    <s v="Fracture Management"/>
    <s v="GH Surgery Center"/>
    <x v="0"/>
    <n v="1001"/>
    <n v="8196"/>
    <n v="10885.61"/>
    <n v="7205.01"/>
    <n v="30080.12"/>
    <n v="27672.37"/>
    <n v="43337.4"/>
    <n v="30193.07"/>
    <n v="26731.87"/>
    <n v="20569.12"/>
    <n v="30268.81"/>
    <n v="13705.86"/>
    <n v="5169.83"/>
    <n v="254015.06999999998"/>
    <n v="286.28000000000003"/>
  </r>
  <r>
    <x v="11"/>
    <x v="3"/>
    <x v="0"/>
    <s v="8601101"/>
    <n v="721240"/>
    <s v="Supplies-IV Solutions/Supplies - Billable"/>
    <s v="GH Surgery Center"/>
    <x v="0"/>
    <m/>
    <n v="655.91"/>
    <n v="613.96"/>
    <n v="387.48"/>
    <n v="615.44000000000005"/>
    <n v="555.9"/>
    <n v="440.37"/>
    <n v="613.79"/>
    <n v="238.93"/>
    <n v="565.29"/>
    <n v="378.91"/>
    <n v="725.99"/>
    <n v="439.71"/>
    <n v="6231.6799999999994"/>
    <n v="441.43000000000029"/>
  </r>
  <r>
    <x v="11"/>
    <x v="3"/>
    <x v="0"/>
    <s v="8601101"/>
    <n v="721410"/>
    <s v="Supplies-Medical - Nonbillable"/>
    <s v="GH Surgery Center"/>
    <x v="0"/>
    <m/>
    <n v="4227.79"/>
    <n v="4981.24"/>
    <n v="2817.83"/>
    <n v="3689.27"/>
    <n v="5108.5200000000004"/>
    <n v="3901.96"/>
    <n v="4456.47"/>
    <n v="1938.47"/>
    <n v="3875.39"/>
    <n v="-10146.18"/>
    <n v="2538.61"/>
    <n v="2097.1799999999998"/>
    <n v="29486.550000000003"/>
    <n v="-2.69"/>
  </r>
  <r>
    <x v="11"/>
    <x v="3"/>
    <x v="0"/>
    <s v="8601101"/>
    <n v="721410"/>
    <s v="Patient Monitoring"/>
    <s v="GH Surgery Center"/>
    <x v="0"/>
    <n v="1000"/>
    <n v="0"/>
    <n v="0"/>
    <n v="0"/>
    <n v="2.69"/>
    <n v="0"/>
    <n v="0"/>
    <n v="2.69"/>
    <n v="0"/>
    <n v="0"/>
    <n v="0"/>
    <n v="0"/>
    <n v="2.69"/>
    <n v="8.07"/>
    <n v="1012.5700000000002"/>
  </r>
  <r>
    <x v="11"/>
    <x v="3"/>
    <x v="0"/>
    <s v="8601101"/>
    <n v="721420"/>
    <s v="Supplies-Surgical Nonbillable"/>
    <s v="GH Surgery Center"/>
    <x v="0"/>
    <m/>
    <n v="2021.25"/>
    <n v="3211.53"/>
    <n v="2942.92"/>
    <n v="4019.26"/>
    <n v="3867.51"/>
    <n v="2798.02"/>
    <n v="3984.06"/>
    <n v="1684.21"/>
    <n v="2329.71"/>
    <n v="4505.08"/>
    <n v="2668.69"/>
    <n v="1656.12"/>
    <n v="35688.360000000008"/>
    <n v="-6.5900000000000034"/>
  </r>
  <r>
    <x v="11"/>
    <x v="3"/>
    <x v="0"/>
    <s v="8601101"/>
    <n v="721420"/>
    <s v="Tubes Drains &amp; Related Supplies"/>
    <s v="GH Surgery Center"/>
    <x v="0"/>
    <n v="1008"/>
    <n v="162.05000000000001"/>
    <n v="407.88"/>
    <n v="214.16"/>
    <n v="535.23"/>
    <n v="432.49"/>
    <n v="233.27"/>
    <n v="460.12"/>
    <n v="42.66"/>
    <n v="80.75"/>
    <n v="14.55"/>
    <n v="73.13"/>
    <n v="79.72"/>
    <n v="2736.01"/>
    <n v="65.12"/>
  </r>
  <r>
    <x v="11"/>
    <x v="3"/>
    <x v="0"/>
    <s v="8601101"/>
    <n v="721420"/>
    <s v="Sterilization Process Products"/>
    <s v="GH Surgery Center"/>
    <x v="0"/>
    <n v="1009"/>
    <n v="231.99"/>
    <n v="774.4"/>
    <n v="1496.67"/>
    <n v="1854.98"/>
    <n v="491.93"/>
    <n v="674.49"/>
    <n v="2640.16"/>
    <n v="427.17"/>
    <n v="485.83"/>
    <n v="625.08000000000004"/>
    <n v="985.32"/>
    <n v="920.2"/>
    <n v="11608.22"/>
    <n v="84.969999999999914"/>
  </r>
  <r>
    <x v="11"/>
    <x v="3"/>
    <x v="0"/>
    <s v="8601101"/>
    <n v="721610"/>
    <s v="Supplies-Anesthesia - Nonbillable"/>
    <s v="GH Surgery Center"/>
    <x v="0"/>
    <m/>
    <n v="947.1"/>
    <n v="863.88"/>
    <n v="1315.66"/>
    <n v="1498.28"/>
    <n v="1048.7"/>
    <n v="984.96"/>
    <n v="1043.42"/>
    <n v="404.69"/>
    <n v="816.98"/>
    <n v="1156.44"/>
    <n v="1103.0999999999999"/>
    <n v="1018.13"/>
    <n v="12201.34"/>
    <n v="135.55999999999997"/>
  </r>
  <r>
    <x v="11"/>
    <x v="3"/>
    <x v="0"/>
    <s v="8601101"/>
    <n v="721640"/>
    <s v="Supplies-IV Solutions/Supplies - Nonbillable"/>
    <s v="GH Surgery Center"/>
    <x v="0"/>
    <m/>
    <n v="147.58000000000001"/>
    <n v="163.72999999999999"/>
    <n v="292.39999999999998"/>
    <n v="209.08"/>
    <n v="336.34"/>
    <n v="218.67"/>
    <n v="605.03"/>
    <n v="115.74"/>
    <n v="307.60000000000002"/>
    <n v="148.77000000000001"/>
    <n v="285.02"/>
    <n v="149.46"/>
    <n v="2979.42"/>
    <n v="240.51"/>
  </r>
  <r>
    <x v="11"/>
    <x v="3"/>
    <x v="0"/>
    <s v="8601101"/>
    <n v="721650"/>
    <s v="Supplies-Pharmacy Drugs - Nonbillable"/>
    <s v="GH Surgery Center"/>
    <x v="0"/>
    <m/>
    <n v="3.35"/>
    <n v="11.94"/>
    <n v="2.68"/>
    <n v="11.94"/>
    <n v="2.0099999999999998"/>
    <n v="7.92"/>
    <n v="2.11"/>
    <n v="1.34"/>
    <n v="8.59"/>
    <n v="0.67"/>
    <n v="243.78"/>
    <n v="3.27"/>
    <n v="299.59999999999997"/>
    <n v="112.57000000000001"/>
  </r>
  <r>
    <x v="11"/>
    <x v="3"/>
    <x v="0"/>
    <s v="8601101"/>
    <n v="721710"/>
    <s v="Supplies-Laboratory - Nonbillable"/>
    <s v="GH Surgery Center"/>
    <x v="0"/>
    <m/>
    <n v="0"/>
    <n v="5.3"/>
    <n v="2.65"/>
    <n v="14.72"/>
    <n v="13.46"/>
    <n v="2.65"/>
    <n v="80.19"/>
    <n v="14.07"/>
    <n v="5.28"/>
    <n v="103.67"/>
    <n v="127.17"/>
    <n v="14.6"/>
    <n v="383.76000000000005"/>
    <n v="69.569999999999993"/>
  </r>
  <r>
    <x v="11"/>
    <x v="3"/>
    <x v="0"/>
    <s v="8601101"/>
    <n v="721710"/>
    <s v="Reagents"/>
    <s v="GH Surgery Center"/>
    <x v="0"/>
    <n v="1000"/>
    <n v="0"/>
    <n v="0"/>
    <n v="0"/>
    <n v="0"/>
    <n v="46.38"/>
    <n v="0"/>
    <n v="220.92"/>
    <n v="0"/>
    <n v="23.19"/>
    <n v="0"/>
    <n v="69.569999999999993"/>
    <n v="0"/>
    <n v="360.06"/>
    <n v="-0.05"/>
  </r>
  <r>
    <x v="11"/>
    <x v="3"/>
    <x v="0"/>
    <s v="8601101"/>
    <n v="721750"/>
    <s v="Supplies-Film/Radiographic - Nonbillable"/>
    <s v="GH Surgery Center"/>
    <x v="0"/>
    <m/>
    <n v="61.89"/>
    <n v="35.229999999999997"/>
    <n v="0"/>
    <n v="-3.23"/>
    <n v="0"/>
    <n v="0"/>
    <n v="0"/>
    <n v="0"/>
    <n v="0"/>
    <n v="123.78"/>
    <n v="0"/>
    <n v="0.05"/>
    <n v="217.72000000000003"/>
    <n v="272.36999999999995"/>
  </r>
  <r>
    <x v="11"/>
    <x v="3"/>
    <x v="0"/>
    <s v="8601101"/>
    <n v="721810"/>
    <s v="Supplies-Dietary/Cafeteria"/>
    <s v="GH Surgery Center"/>
    <x v="0"/>
    <m/>
    <n v="445.66"/>
    <n v="294.52"/>
    <n v="487.47"/>
    <n v="617.35"/>
    <n v="572.21"/>
    <n v="671.38"/>
    <n v="366.39"/>
    <n v="701.5"/>
    <n v="579.01"/>
    <n v="778.63"/>
    <n v="720.78"/>
    <n v="448.41"/>
    <n v="6683.3099999999995"/>
    <n v="-101.28999999999999"/>
  </r>
  <r>
    <x v="11"/>
    <x v="3"/>
    <x v="0"/>
    <s v="8601101"/>
    <n v="721830"/>
    <s v="Supplies-Office"/>
    <s v="GH Surgery Center"/>
    <x v="0"/>
    <m/>
    <n v="41.64"/>
    <n v="1302.53"/>
    <n v="263.52"/>
    <n v="308.48"/>
    <n v="3264.42"/>
    <n v="280.29000000000002"/>
    <n v="519.57000000000005"/>
    <n v="1217.78"/>
    <n v="113.91"/>
    <n v="42.16"/>
    <n v="1.76"/>
    <n v="103.05"/>
    <n v="7459.11"/>
    <n v="-173.5"/>
  </r>
  <r>
    <x v="11"/>
    <x v="3"/>
    <x v="0"/>
    <s v="8601101"/>
    <n v="721835"/>
    <s v="Supplies-Forms"/>
    <s v="GH Surgery Center"/>
    <x v="0"/>
    <m/>
    <n v="0"/>
    <n v="0"/>
    <n v="0"/>
    <n v="0"/>
    <n v="0"/>
    <n v="224.45"/>
    <n v="0"/>
    <n v="0"/>
    <n v="130.56"/>
    <n v="0"/>
    <n v="0"/>
    <n v="173.5"/>
    <n v="528.51"/>
    <n v="-164.60999999999999"/>
  </r>
  <r>
    <x v="11"/>
    <x v="3"/>
    <x v="0"/>
    <s v="8601101"/>
    <n v="721870"/>
    <s v="Supplies-Environmental Services"/>
    <s v="GH Surgery Center"/>
    <x v="0"/>
    <m/>
    <n v="265.13"/>
    <n v="359.76"/>
    <n v="405.85"/>
    <n v="442.7"/>
    <n v="225.61"/>
    <n v="380.91"/>
    <n v="172.99"/>
    <n v="368.96"/>
    <n v="230.21"/>
    <n v="63.94"/>
    <n v="127.65"/>
    <n v="292.26"/>
    <n v="3335.9700000000003"/>
    <n v="0"/>
  </r>
  <r>
    <x v="11"/>
    <x v="3"/>
    <x v="0"/>
    <s v="8601101"/>
    <n v="721880"/>
    <s v="Supplies-Linen"/>
    <s v="GH Surgery Center"/>
    <x v="0"/>
    <m/>
    <n v="0"/>
    <n v="0"/>
    <n v="356.38"/>
    <n v="0"/>
    <n v="0"/>
    <n v="0"/>
    <n v="2258.0700000000002"/>
    <n v="0"/>
    <n v="0"/>
    <n v="70.680000000000007"/>
    <n v="0"/>
    <n v="0"/>
    <n v="2685.13"/>
    <n v="-8908.4"/>
  </r>
  <r>
    <x v="11"/>
    <x v="3"/>
    <x v="0"/>
    <s v="8601101"/>
    <n v="721910"/>
    <s v="Supplies-Small Equipment"/>
    <s v="GH Surgery Center"/>
    <x v="0"/>
    <m/>
    <n v="531.09"/>
    <n v="1154.8699999999999"/>
    <n v="437.48"/>
    <n v="848.58"/>
    <n v="7661.53"/>
    <n v="10300.969999999999"/>
    <n v="2123.23"/>
    <n v="-1005.1"/>
    <n v="320.47000000000003"/>
    <n v="929.13"/>
    <n v="-8241.92"/>
    <n v="666.48"/>
    <n v="15726.81"/>
    <n v="335.56999999999994"/>
  </r>
  <r>
    <x v="11"/>
    <x v="3"/>
    <x v="0"/>
    <s v="8601101"/>
    <n v="721910"/>
    <s v="Instruments"/>
    <s v="GH Surgery Center"/>
    <x v="0"/>
    <n v="1000"/>
    <n v="221.9"/>
    <n v="2533.06"/>
    <n v="3954.1"/>
    <n v="2574.37"/>
    <n v="2639.59"/>
    <n v="9107.34"/>
    <n v="355.64"/>
    <n v="57.11"/>
    <n v="2215.14"/>
    <n v="3352.91"/>
    <n v="1380.23"/>
    <n v="1044.6600000000001"/>
    <n v="29436.05"/>
    <n v="130.56"/>
  </r>
  <r>
    <x v="11"/>
    <x v="3"/>
    <x v="0"/>
    <s v="8601101"/>
    <n v="721980"/>
    <s v="Supplies-Other"/>
    <s v="GH Surgery Center"/>
    <x v="0"/>
    <m/>
    <n v="0"/>
    <n v="0"/>
    <n v="0"/>
    <n v="0"/>
    <n v="0"/>
    <n v="765.32"/>
    <n v="0"/>
    <n v="0"/>
    <n v="0"/>
    <n v="0"/>
    <n v="0"/>
    <n v="-130.56"/>
    <n v="634.76"/>
    <n v="-193.37"/>
  </r>
  <r>
    <x v="11"/>
    <x v="3"/>
    <x v="0"/>
    <s v="8601101"/>
    <n v="722000"/>
    <s v="Supplies-Freight Expense"/>
    <s v="GH Surgery Center"/>
    <x v="0"/>
    <m/>
    <n v="455.26"/>
    <n v="504.94"/>
    <n v="366.87"/>
    <n v="509.91"/>
    <n v="293.02"/>
    <n v="414.76"/>
    <n v="357.01"/>
    <n v="244.49"/>
    <n v="442.39"/>
    <n v="281.82"/>
    <n v="308.25"/>
    <n v="501.62"/>
    <n v="4680.34"/>
    <n v="13734.05"/>
  </r>
  <r>
    <x v="12"/>
    <x v="3"/>
    <x v="0"/>
    <s v="8601101"/>
    <n v="730010"/>
    <s v="Rental and Leases-Building (DO NOT USE)"/>
    <s v="GH Surgery Center"/>
    <x v="0"/>
    <m/>
    <n v="21427.07"/>
    <n v="21438.23"/>
    <n v="21762.04"/>
    <n v="21762.04"/>
    <n v="21762.04"/>
    <n v="3729.37"/>
    <n v="13733.77"/>
    <n v="13733.77"/>
    <n v="13733.77"/>
    <n v="-16495"/>
    <n v="13734.05"/>
    <n v="0"/>
    <n v="150321.15"/>
    <n v="2063.9399999999996"/>
  </r>
  <r>
    <x v="12"/>
    <x v="3"/>
    <x v="0"/>
    <s v="8601101"/>
    <n v="730010"/>
    <s v="Rental-Common Area Maint (DO NOT USE)"/>
    <s v="GH Surgery Center"/>
    <x v="0"/>
    <n v="2200"/>
    <n v="0"/>
    <n v="0"/>
    <n v="0"/>
    <n v="0"/>
    <n v="0"/>
    <n v="18114.11"/>
    <n v="8109.71"/>
    <n v="8109.71"/>
    <n v="11111"/>
    <n v="32754.36"/>
    <n v="8109.75"/>
    <n v="6045.81"/>
    <n v="92354.45"/>
    <n v="-2701.46"/>
  </r>
  <r>
    <x v="12"/>
    <x v="3"/>
    <x v="0"/>
    <s v="8601101"/>
    <n v="730020"/>
    <s v="Rental and Leases-Equipment (DO NOT USE)"/>
    <s v="GH Surgery Center"/>
    <x v="0"/>
    <m/>
    <n v="16519.91"/>
    <n v="5546.06"/>
    <n v="13078.89"/>
    <n v="5726.29"/>
    <n v="12157.5"/>
    <n v="200.73"/>
    <n v="-2327.59"/>
    <n v="234.75"/>
    <n v="2495.3000000000002"/>
    <n v="715.04"/>
    <n v="265.01"/>
    <n v="2966.47"/>
    <n v="57578.360000000015"/>
    <n v="-57.370000000000005"/>
  </r>
  <r>
    <x v="12"/>
    <x v="3"/>
    <x v="0"/>
    <s v="8601101"/>
    <n v="730020"/>
    <s v="Rental and Leases-Copier Usage Fees (DO NOT USE)"/>
    <s v="GH Surgery Center"/>
    <x v="0"/>
    <n v="5100"/>
    <n v="351.25"/>
    <n v="352.62"/>
    <n v="351.94"/>
    <n v="351.94"/>
    <n v="351.94"/>
    <n v="351.94"/>
    <n v="1578.26"/>
    <n v="247.42"/>
    <n v="325.88"/>
    <n v="831.7"/>
    <n v="326.39999999999998"/>
    <n v="383.77"/>
    <n v="5805.0599999999995"/>
    <n v="-15797.99"/>
  </r>
  <r>
    <x v="12"/>
    <x v="3"/>
    <x v="0"/>
    <s v="8601101"/>
    <n v="730040"/>
    <s v="LT Lease-Real Estate"/>
    <s v="GH Surgery Center"/>
    <x v="0"/>
    <m/>
    <n v="0"/>
    <n v="0"/>
    <n v="0"/>
    <n v="0"/>
    <n v="0"/>
    <n v="0"/>
    <n v="0"/>
    <n v="0"/>
    <n v="0"/>
    <n v="0"/>
    <n v="0"/>
    <n v="15797.99"/>
    <n v="15797.99"/>
    <n v="0"/>
  </r>
  <r>
    <x v="15"/>
    <x v="3"/>
    <x v="0"/>
    <s v="8601101"/>
    <n v="731030"/>
    <s v="Water"/>
    <s v="GH Surgery Center"/>
    <x v="0"/>
    <m/>
    <n v="0"/>
    <n v="0"/>
    <n v="0"/>
    <n v="779.92"/>
    <n v="0"/>
    <n v="0"/>
    <n v="194.99"/>
    <n v="0"/>
    <n v="0"/>
    <n v="0"/>
    <n v="0"/>
    <n v="0"/>
    <n v="974.91"/>
    <n v="0"/>
  </r>
  <r>
    <x v="15"/>
    <x v="3"/>
    <x v="0"/>
    <s v="8601101"/>
    <n v="731070"/>
    <s v="Cable TV"/>
    <s v="GH Surgery Center"/>
    <x v="0"/>
    <m/>
    <n v="39.200000000000003"/>
    <n v="49"/>
    <n v="49"/>
    <n v="49"/>
    <n v="49"/>
    <n v="53.25"/>
    <n v="1068.8800000000001"/>
    <n v="49"/>
    <n v="49"/>
    <n v="49"/>
    <n v="49"/>
    <n v="49"/>
    <n v="1602.3300000000002"/>
    <n v="888.75"/>
  </r>
  <r>
    <x v="16"/>
    <x v="3"/>
    <x v="0"/>
    <s v="8601101"/>
    <n v="732015"/>
    <s v="Repairs-Clinical Equip-T&amp;M-Ext to CHI Programs"/>
    <s v="GH Surgery Center"/>
    <x v="0"/>
    <m/>
    <n v="0"/>
    <n v="0"/>
    <n v="0"/>
    <n v="0"/>
    <n v="0"/>
    <n v="0"/>
    <n v="0"/>
    <n v="0"/>
    <n v="0"/>
    <n v="0"/>
    <n v="888.75"/>
    <n v="0"/>
    <n v="888.75"/>
    <n v="-108.56"/>
  </r>
  <r>
    <x v="16"/>
    <x v="3"/>
    <x v="0"/>
    <s v="8601101"/>
    <n v="732020"/>
    <s v="Repairs--Clin Equip-Parts-Internal to CHI Programs"/>
    <s v="GH Surgery Center"/>
    <x v="0"/>
    <m/>
    <n v="0"/>
    <n v="0"/>
    <n v="0"/>
    <n v="0"/>
    <n v="0"/>
    <n v="0"/>
    <n v="0"/>
    <n v="0"/>
    <n v="0"/>
    <n v="0"/>
    <n v="132.62"/>
    <n v="241.18"/>
    <n v="373.8"/>
    <n v="0"/>
  </r>
  <r>
    <x v="16"/>
    <x v="3"/>
    <x v="0"/>
    <s v="8601101"/>
    <n v="732030"/>
    <s v="Repairs---Other"/>
    <s v="GH Surgery Center"/>
    <x v="0"/>
    <m/>
    <n v="93.59"/>
    <n v="474.69"/>
    <n v="0"/>
    <n v="0"/>
    <n v="264.74"/>
    <n v="0"/>
    <n v="1096.94"/>
    <n v="0"/>
    <n v="0"/>
    <n v="0"/>
    <n v="0"/>
    <n v="0"/>
    <n v="1929.96"/>
    <n v="0"/>
  </r>
  <r>
    <x v="16"/>
    <x v="3"/>
    <x v="0"/>
    <s v="8601101"/>
    <n v="733030"/>
    <s v="Maintenance Contracts-Other"/>
    <s v="GH Surgery Center"/>
    <x v="0"/>
    <m/>
    <n v="7571.03"/>
    <n v="7571.03"/>
    <n v="7571.03"/>
    <n v="7571.03"/>
    <n v="7571.03"/>
    <n v="7571.03"/>
    <n v="0"/>
    <n v="15142.06"/>
    <n v="7571.03"/>
    <n v="7571.03"/>
    <n v="7571.03"/>
    <n v="7571.03"/>
    <n v="90852.36"/>
    <n v="1.999999999998181E-2"/>
  </r>
  <r>
    <x v="13"/>
    <x v="3"/>
    <x v="0"/>
    <s v="8601101"/>
    <n v="735060"/>
    <s v="Depreciation-Fixed Equipment"/>
    <s v="GH Surgery Center"/>
    <x v="0"/>
    <m/>
    <n v="192.34"/>
    <n v="192.34"/>
    <n v="192.34"/>
    <n v="192.34"/>
    <n v="192.34"/>
    <n v="192.34"/>
    <n v="192.35"/>
    <n v="192.33"/>
    <n v="192.35"/>
    <n v="192.33"/>
    <n v="192.35"/>
    <n v="192.33"/>
    <n v="2308.0799999999995"/>
    <n v="6.9999999999708962E-2"/>
  </r>
  <r>
    <x v="13"/>
    <x v="3"/>
    <x v="0"/>
    <s v="8601101"/>
    <n v="735070"/>
    <s v="Depreciation-Movable Equipment"/>
    <s v="GH Surgery Center"/>
    <x v="0"/>
    <m/>
    <n v="23329.65"/>
    <n v="23329.65"/>
    <n v="23329.65"/>
    <n v="23329.65"/>
    <n v="23329.65"/>
    <n v="23329.63"/>
    <n v="23605.83"/>
    <n v="23605.79"/>
    <n v="23605.85"/>
    <n v="23605.79"/>
    <n v="23605.86"/>
    <n v="23605.79"/>
    <n v="281612.79000000004"/>
    <n v="-379.7"/>
  </r>
  <r>
    <x v="0"/>
    <x v="3"/>
    <x v="0"/>
    <s v="8601101"/>
    <n v="740020"/>
    <s v="Education-Registration Fees"/>
    <s v="GH Surgery Center"/>
    <x v="0"/>
    <m/>
    <n v="0"/>
    <n v="0"/>
    <n v="0"/>
    <n v="165"/>
    <n v="0"/>
    <n v="0"/>
    <n v="45"/>
    <n v="0"/>
    <n v="705"/>
    <n v="0"/>
    <n v="330.3"/>
    <n v="710"/>
    <n v="1955.3"/>
    <n v="186.32"/>
  </r>
  <r>
    <x v="0"/>
    <x v="3"/>
    <x v="0"/>
    <s v="8601101"/>
    <n v="743030"/>
    <s v="Subscriptions--Institutional"/>
    <s v="GH Surgery Center"/>
    <x v="0"/>
    <m/>
    <n v="64.77"/>
    <n v="50"/>
    <n v="0"/>
    <n v="0"/>
    <n v="0"/>
    <n v="381.91"/>
    <n v="159.31"/>
    <n v="117.49"/>
    <n v="0"/>
    <n v="0"/>
    <n v="186.32"/>
    <n v="0"/>
    <n v="959.8"/>
    <n v="506.78000000000003"/>
  </r>
  <r>
    <x v="0"/>
    <x v="3"/>
    <x v="0"/>
    <s v="8601101"/>
    <n v="749510"/>
    <s v="Miscellaneous Expenses"/>
    <s v="GH Surgery Center"/>
    <x v="0"/>
    <m/>
    <n v="32.69"/>
    <n v="636.89"/>
    <n v="0"/>
    <n v="-1"/>
    <n v="0"/>
    <n v="0"/>
    <n v="4304.29"/>
    <n v="-731"/>
    <n v="1136.57"/>
    <n v="63.8"/>
    <n v="855.24"/>
    <n v="348.46"/>
    <n v="6645.94"/>
    <n v="150"/>
  </r>
  <r>
    <x v="0"/>
    <x v="3"/>
    <x v="0"/>
    <s v="8601101"/>
    <n v="749510"/>
    <s v="Licenses"/>
    <s v="GH Surgery Center"/>
    <x v="0"/>
    <n v="1002"/>
    <n v="200"/>
    <n v="530"/>
    <n v="611"/>
    <n v="0"/>
    <n v="0"/>
    <n v="600"/>
    <n v="400"/>
    <n v="931"/>
    <n v="200"/>
    <n v="200"/>
    <n v="350"/>
    <n v="200"/>
    <n v="4222"/>
    <n v="-330"/>
  </r>
  <r>
    <x v="0"/>
    <x v="3"/>
    <x v="0"/>
    <s v="8601101"/>
    <n v="749510"/>
    <s v="RICE Rewards"/>
    <s v="GH Surgery Center"/>
    <x v="0"/>
    <n v="5100"/>
    <n v="0"/>
    <n v="0"/>
    <n v="0"/>
    <n v="0"/>
    <n v="0"/>
    <n v="0"/>
    <n v="0"/>
    <n v="0"/>
    <n v="0"/>
    <n v="0"/>
    <n v="0"/>
    <n v="330"/>
    <n v="330"/>
    <n v="95"/>
  </r>
  <r>
    <x v="0"/>
    <x v="3"/>
    <x v="0"/>
    <s v="8601101"/>
    <n v="749530"/>
    <s v="Travel"/>
    <s v="GH Surgery Center"/>
    <x v="0"/>
    <m/>
    <n v="0"/>
    <n v="0"/>
    <n v="0"/>
    <n v="0"/>
    <n v="0"/>
    <n v="0"/>
    <n v="427.21"/>
    <n v="0"/>
    <n v="39.25"/>
    <n v="0"/>
    <n v="95"/>
    <n v="0"/>
    <n v="561.46"/>
    <n v="0"/>
  </r>
  <r>
    <x v="0"/>
    <x v="3"/>
    <x v="0"/>
    <s v="8601101"/>
    <n v="749535"/>
    <s v="Employee Functions"/>
    <s v="GH Surgery Center"/>
    <x v="0"/>
    <n v="1004"/>
    <n v="0"/>
    <n v="0"/>
    <n v="0"/>
    <n v="0"/>
    <n v="0"/>
    <n v="0"/>
    <n v="0"/>
    <n v="250"/>
    <n v="0"/>
    <n v="0"/>
    <n v="0"/>
    <n v="0"/>
    <n v="250"/>
    <n v="-4530"/>
  </r>
  <r>
    <x v="14"/>
    <x v="3"/>
    <x v="0"/>
    <s v="8650101"/>
    <n v="600055"/>
    <s v="Grants"/>
    <s v="Tacoma Trauma Trust"/>
    <x v="0"/>
    <m/>
    <n v="0"/>
    <n v="0"/>
    <n v="0"/>
    <n v="0"/>
    <n v="0"/>
    <n v="0"/>
    <n v="0"/>
    <n v="-23227"/>
    <n v="-3897"/>
    <n v="-10475"/>
    <n v="-4530"/>
    <n v="0"/>
    <n v="-42129"/>
    <n v="0"/>
  </r>
  <r>
    <x v="22"/>
    <x v="3"/>
    <x v="0"/>
    <s v="8650101"/>
    <n v="620001"/>
    <s v="Changes in Equity of Unconsolidated Orgs-Controlling Interes"/>
    <s v="Tacoma Trauma Trust"/>
    <x v="0"/>
    <m/>
    <n v="301312"/>
    <n v="229913.19"/>
    <n v="301312"/>
    <n v="301312"/>
    <n v="301312"/>
    <n v="301312"/>
    <n v="328073.59999999998"/>
    <n v="328073.59999999998"/>
    <n v="328073.62"/>
    <n v="328073.62"/>
    <n v="328073.62"/>
    <n v="328073.62"/>
    <n v="3704914.8700000006"/>
    <n v="4717.8"/>
  </r>
  <r>
    <x v="5"/>
    <x v="3"/>
    <x v="0"/>
    <s v="8650101"/>
    <n v="700014"/>
    <s v="Salaries-Management-Productive"/>
    <s v="Tacoma Trauma Trust"/>
    <x v="0"/>
    <m/>
    <n v="10225.93"/>
    <n v="11203.37"/>
    <n v="10879.33"/>
    <n v="11377.32"/>
    <n v="11041.42"/>
    <n v="9054.4"/>
    <n v="9141.7999999999993"/>
    <n v="10320.719999999999"/>
    <n v="12898.18"/>
    <n v="9288.4599999999991"/>
    <n v="12163.68"/>
    <n v="7445.88"/>
    <n v="125040.48999999999"/>
    <n v="1791.5799999999945"/>
  </r>
  <r>
    <x v="5"/>
    <x v="3"/>
    <x v="0"/>
    <s v="8650101"/>
    <n v="700026"/>
    <s v="Salaries-RN-Productive"/>
    <s v="Tacoma Trauma Trust"/>
    <x v="0"/>
    <m/>
    <n v="34088.239999999998"/>
    <n v="41352.43"/>
    <n v="35268.04"/>
    <n v="29470.27"/>
    <n v="44887.42"/>
    <n v="31026.639999999999"/>
    <n v="36443.17"/>
    <n v="31573.71"/>
    <n v="43763.73"/>
    <n v="36660.959999999999"/>
    <n v="40926.269999999997"/>
    <n v="39134.69"/>
    <n v="444595.57"/>
    <n v="-479.21000000000095"/>
  </r>
  <r>
    <x v="5"/>
    <x v="3"/>
    <x v="0"/>
    <s v="8650101"/>
    <n v="700034"/>
    <s v="Salaries-Tech/Professional-Productive"/>
    <s v="Tacoma Trauma Trust"/>
    <x v="0"/>
    <m/>
    <n v="7404.64"/>
    <n v="5709.45"/>
    <n v="10534.84"/>
    <n v="10279.26"/>
    <n v="8370.4699999999993"/>
    <n v="15431.39"/>
    <n v="14521.21"/>
    <n v="11744.65"/>
    <n v="12335.48"/>
    <n v="12212.34"/>
    <n v="11012.15"/>
    <n v="11491.36"/>
    <n v="131047.23999999999"/>
    <n v="145.25"/>
  </r>
  <r>
    <x v="5"/>
    <x v="3"/>
    <x v="0"/>
    <s v="8650101"/>
    <n v="700034"/>
    <s v="Salaries-Tech/Professional-OT"/>
    <s v="Tacoma Trauma Trust"/>
    <x v="0"/>
    <n v="1000"/>
    <n v="0"/>
    <n v="1421.38"/>
    <n v="1210.8800000000001"/>
    <n v="1296.51"/>
    <n v="890.42"/>
    <n v="1298.55"/>
    <n v="1758.23"/>
    <n v="1199.1400000000001"/>
    <n v="1714.24"/>
    <n v="1898.26"/>
    <n v="1114.7"/>
    <n v="969.45"/>
    <n v="14771.760000000002"/>
    <n v="238.83999999999997"/>
  </r>
  <r>
    <x v="5"/>
    <x v="3"/>
    <x v="0"/>
    <s v="8650101"/>
    <n v="700034"/>
    <s v="Salaries-Tech/Professional-Other"/>
    <s v="Tacoma Trauma Trust"/>
    <x v="0"/>
    <n v="2000"/>
    <n v="0"/>
    <n v="30"/>
    <n v="468.17"/>
    <n v="480.92"/>
    <n v="525.54999999999995"/>
    <n v="1182.44"/>
    <n v="1003.81"/>
    <n v="678.4"/>
    <n v="696.25"/>
    <n v="680.85"/>
    <n v="497.57"/>
    <n v="258.73"/>
    <n v="6502.6900000000005"/>
    <n v="0"/>
  </r>
  <r>
    <x v="5"/>
    <x v="3"/>
    <x v="0"/>
    <s v="8650101"/>
    <n v="700038"/>
    <s v="Salaries-Service/Support-Productive"/>
    <s v="Tacoma Trauma Trust"/>
    <x v="0"/>
    <m/>
    <n v="1013.59"/>
    <n v="996.71"/>
    <n v="931.14"/>
    <n v="1197.02"/>
    <n v="937.04"/>
    <n v="446.54"/>
    <n v="0"/>
    <n v="0"/>
    <n v="0"/>
    <n v="0"/>
    <n v="0"/>
    <n v="0"/>
    <n v="5522.04"/>
    <n v="-4349.34"/>
  </r>
  <r>
    <x v="5"/>
    <x v="3"/>
    <x v="0"/>
    <s v="8650101"/>
    <n v="700054"/>
    <s v="Salaries-Management-Non-productive"/>
    <s v="Tacoma Trauma Trust"/>
    <x v="0"/>
    <m/>
    <n v="1015.39"/>
    <n v="2538.46"/>
    <n v="0"/>
    <n v="0"/>
    <n v="0"/>
    <n v="2355.44"/>
    <n v="2285.86"/>
    <n v="0"/>
    <n v="1032.07"/>
    <n v="1769.16"/>
    <n v="-737.09"/>
    <n v="3612.25"/>
    <n v="13871.539999999999"/>
    <n v="0"/>
  </r>
  <r>
    <x v="5"/>
    <x v="3"/>
    <x v="0"/>
    <s v="8650101"/>
    <n v="700054"/>
    <s v="Salaries-Management-NonProd-Other"/>
    <s v="Tacoma Trauma Trust"/>
    <x v="0"/>
    <n v="2000"/>
    <n v="0"/>
    <n v="0"/>
    <n v="0"/>
    <n v="0"/>
    <n v="0"/>
    <n v="759.47"/>
    <n v="-759.47"/>
    <n v="0"/>
    <n v="0"/>
    <n v="0"/>
    <n v="0"/>
    <n v="0"/>
    <n v="0"/>
    <n v="-349.52"/>
  </r>
  <r>
    <x v="5"/>
    <x v="3"/>
    <x v="0"/>
    <s v="8650101"/>
    <n v="700066"/>
    <s v="Salaries-RN-Non-productive"/>
    <s v="Tacoma Trauma Trust"/>
    <x v="0"/>
    <m/>
    <n v="9485.5400000000009"/>
    <n v="2223.36"/>
    <n v="6902.63"/>
    <n v="14977.71"/>
    <n v="-1672.13"/>
    <n v="13630.62"/>
    <n v="8283.89"/>
    <n v="8820.83"/>
    <n v="959.07"/>
    <n v="6617.76"/>
    <n v="3796.52"/>
    <n v="4146.04"/>
    <n v="78171.839999999997"/>
    <n v="0"/>
  </r>
  <r>
    <x v="5"/>
    <x v="3"/>
    <x v="0"/>
    <s v="8650101"/>
    <n v="700066"/>
    <s v="Salaries-RN-NonProd-Other"/>
    <s v="Tacoma Trauma Trust"/>
    <x v="0"/>
    <n v="2000"/>
    <n v="0"/>
    <n v="0"/>
    <n v="0"/>
    <n v="0"/>
    <n v="532"/>
    <n v="532"/>
    <n v="0"/>
    <n v="-1064"/>
    <n v="0"/>
    <n v="0"/>
    <n v="0"/>
    <n v="0"/>
    <n v="0"/>
    <n v="-9.9999999999909051E-3"/>
  </r>
  <r>
    <x v="5"/>
    <x v="3"/>
    <x v="0"/>
    <s v="8650101"/>
    <n v="700074"/>
    <s v="Salaries-Tech/Professional-Non-productive"/>
    <s v="Tacoma Trauma Trust"/>
    <x v="0"/>
    <m/>
    <n v="491.36"/>
    <n v="1872.14"/>
    <n v="362.02"/>
    <n v="695.39"/>
    <n v="2482.33"/>
    <n v="737.56"/>
    <n v="360.57"/>
    <n v="342.25"/>
    <n v="360.31"/>
    <n v="-72.05"/>
    <n v="504.42"/>
    <n v="504.43"/>
    <n v="8640.73"/>
    <n v="0"/>
  </r>
  <r>
    <x v="5"/>
    <x v="3"/>
    <x v="0"/>
    <s v="8650101"/>
    <n v="700074"/>
    <s v="Salaries-Tech/Professional-NonProd-Other"/>
    <s v="Tacoma Trauma Trust"/>
    <x v="0"/>
    <n v="2000"/>
    <n v="0"/>
    <n v="0"/>
    <n v="0"/>
    <n v="0"/>
    <n v="0"/>
    <n v="66.66"/>
    <n v="0"/>
    <n v="-66.66"/>
    <n v="0"/>
    <n v="0"/>
    <n v="0"/>
    <n v="0"/>
    <n v="0"/>
    <n v="0"/>
  </r>
  <r>
    <x v="5"/>
    <x v="3"/>
    <x v="0"/>
    <s v="8650101"/>
    <n v="700078"/>
    <s v="Salaries-Service/Support-Non-productive"/>
    <s v="Tacoma Trauma Trust"/>
    <x v="0"/>
    <m/>
    <n v="183.6"/>
    <n v="178.67"/>
    <n v="153.01"/>
    <n v="58.47"/>
    <n v="247.09"/>
    <n v="-35.76"/>
    <n v="0"/>
    <n v="0"/>
    <n v="0"/>
    <n v="0"/>
    <n v="0"/>
    <n v="0"/>
    <n v="785.08"/>
    <n v="-2693.29"/>
  </r>
  <r>
    <x v="5"/>
    <x v="3"/>
    <x v="0"/>
    <s v="8650101"/>
    <n v="700084"/>
    <s v="Accrued PTO"/>
    <s v="Tacoma Trauma Trust"/>
    <x v="0"/>
    <m/>
    <n v="-1330.41"/>
    <n v="831.83"/>
    <n v="2112.37"/>
    <n v="39.69"/>
    <n v="4217.83"/>
    <n v="-5317.33"/>
    <n v="-3686.11"/>
    <n v="537.62"/>
    <n v="4616.4799999999996"/>
    <n v="5309.82"/>
    <n v="823.62"/>
    <n v="3516.91"/>
    <n v="11672.32"/>
    <n v="90.199999999999818"/>
  </r>
  <r>
    <x v="6"/>
    <x v="3"/>
    <x v="0"/>
    <s v="8650101"/>
    <n v="713010"/>
    <s v="Benefits-FICA/Medicare"/>
    <s v="Tacoma Trauma Trust"/>
    <x v="0"/>
    <m/>
    <n v="4779.5"/>
    <n v="5139.3100000000004"/>
    <n v="4917.1899999999996"/>
    <n v="5230.24"/>
    <n v="5205.6099999999997"/>
    <n v="5739.61"/>
    <n v="5588.85"/>
    <n v="4844.9799999999996"/>
    <n v="5528.33"/>
    <n v="5131.75"/>
    <n v="5186.83"/>
    <n v="5096.63"/>
    <n v="62388.829999999994"/>
    <n v="326.05999999999949"/>
  </r>
  <r>
    <x v="6"/>
    <x v="3"/>
    <x v="0"/>
    <s v="8650101"/>
    <n v="713090"/>
    <s v="Benefits-Allocated Amounts"/>
    <s v="Tacoma Trauma Trust"/>
    <x v="0"/>
    <m/>
    <n v="11655.59"/>
    <n v="11175.26"/>
    <n v="12696.41"/>
    <n v="12475.35"/>
    <n v="12758.3"/>
    <n v="13411.04"/>
    <n v="13786.46"/>
    <n v="13069.5"/>
    <n v="10914.18"/>
    <n v="13317.57"/>
    <n v="13625.22"/>
    <n v="13299.16"/>
    <n v="152184.03999999998"/>
    <n v="63.19"/>
  </r>
  <r>
    <x v="6"/>
    <x v="3"/>
    <x v="0"/>
    <s v="8650101"/>
    <n v="713096"/>
    <s v="Employee Recognition"/>
    <s v="Tacoma Trauma Trust"/>
    <x v="0"/>
    <n v="1017"/>
    <n v="0"/>
    <n v="0"/>
    <n v="0"/>
    <n v="0"/>
    <n v="0"/>
    <n v="274.2"/>
    <n v="0"/>
    <n v="0"/>
    <n v="0"/>
    <n v="0"/>
    <n v="63.19"/>
    <n v="0"/>
    <n v="337.39"/>
    <n v="0"/>
  </r>
  <r>
    <x v="17"/>
    <x v="3"/>
    <x v="0"/>
    <s v="8650101"/>
    <n v="714520"/>
    <s v="Other Contracted Professionals"/>
    <s v="Tacoma Trauma Trust"/>
    <x v="0"/>
    <m/>
    <n v="18000"/>
    <n v="18000"/>
    <n v="19200"/>
    <n v="18000"/>
    <n v="18000"/>
    <n v="18000"/>
    <n v="0"/>
    <n v="37200"/>
    <n v="16800"/>
    <n v="19200"/>
    <n v="19200"/>
    <n v="19200"/>
    <n v="220800"/>
    <n v="0"/>
  </r>
  <r>
    <x v="7"/>
    <x v="3"/>
    <x v="0"/>
    <s v="8650101"/>
    <n v="718050"/>
    <s v="Contract Svcs-Other"/>
    <s v="Tacoma Trauma Trust"/>
    <x v="0"/>
    <m/>
    <n v="0"/>
    <n v="0"/>
    <n v="0"/>
    <n v="0"/>
    <n v="0"/>
    <n v="0"/>
    <n v="0"/>
    <n v="0"/>
    <n v="0"/>
    <n v="2184.66"/>
    <n v="0"/>
    <n v="0"/>
    <n v="2184.66"/>
    <n v="483.38"/>
  </r>
  <r>
    <x v="7"/>
    <x v="3"/>
    <x v="0"/>
    <s v="8650101"/>
    <n v="718050"/>
    <s v="Miscellaneous Purchased Svcs"/>
    <s v="Tacoma Trauma Trust"/>
    <x v="0"/>
    <n v="1020"/>
    <n v="0"/>
    <n v="0"/>
    <n v="0"/>
    <n v="0"/>
    <n v="0"/>
    <n v="0"/>
    <n v="0"/>
    <n v="0"/>
    <n v="0"/>
    <n v="0"/>
    <n v="483.38"/>
    <n v="0"/>
    <n v="483.38"/>
    <n v="-188.38"/>
  </r>
  <r>
    <x v="11"/>
    <x v="3"/>
    <x v="0"/>
    <s v="8650101"/>
    <n v="721810"/>
    <s v="Supplies-Dietary/Cafeteria"/>
    <s v="Tacoma Trauma Trust"/>
    <x v="0"/>
    <m/>
    <n v="0"/>
    <n v="20.170000000000002"/>
    <n v="89.4"/>
    <n v="0"/>
    <n v="0"/>
    <n v="0"/>
    <n v="0"/>
    <n v="0"/>
    <n v="0"/>
    <n v="188.38"/>
    <n v="-188.38"/>
    <n v="0"/>
    <n v="109.57"/>
    <n v="938.18"/>
  </r>
  <r>
    <x v="11"/>
    <x v="3"/>
    <x v="0"/>
    <s v="8650101"/>
    <n v="721830"/>
    <s v="Supplies-Office"/>
    <s v="Tacoma Trauma Trust"/>
    <x v="0"/>
    <m/>
    <n v="0"/>
    <n v="0"/>
    <n v="0"/>
    <n v="52"/>
    <n v="0"/>
    <n v="0"/>
    <n v="0"/>
    <n v="73.599999999999994"/>
    <n v="186.03"/>
    <n v="0"/>
    <n v="0"/>
    <n v="-938.18"/>
    <n v="-626.54999999999995"/>
    <n v="4.78"/>
  </r>
  <r>
    <x v="11"/>
    <x v="3"/>
    <x v="0"/>
    <s v="8650101"/>
    <n v="721835"/>
    <s v="Supplies-Forms"/>
    <s v="Tacoma Trauma Trust"/>
    <x v="0"/>
    <m/>
    <n v="0"/>
    <n v="0"/>
    <n v="0"/>
    <n v="0"/>
    <n v="51.72"/>
    <n v="47.1"/>
    <n v="109.54"/>
    <n v="0"/>
    <n v="45.89"/>
    <n v="0"/>
    <n v="4.78"/>
    <n v="0"/>
    <n v="259.02999999999997"/>
    <n v="-187.49"/>
  </r>
  <r>
    <x v="11"/>
    <x v="3"/>
    <x v="0"/>
    <s v="8650101"/>
    <n v="721910"/>
    <s v="Supplies-Small Equipment"/>
    <s v="Tacoma Trauma Trust"/>
    <x v="0"/>
    <m/>
    <n v="0"/>
    <n v="0"/>
    <n v="0"/>
    <n v="0"/>
    <n v="0"/>
    <n v="0"/>
    <n v="0"/>
    <n v="0"/>
    <n v="0"/>
    <n v="1029.1500000000001"/>
    <n v="-187.49"/>
    <n v="0"/>
    <n v="841.66000000000008"/>
    <n v="0"/>
  </r>
  <r>
    <x v="11"/>
    <x v="3"/>
    <x v="0"/>
    <s v="8650101"/>
    <n v="721980"/>
    <s v="Supplies-Other"/>
    <s v="Tacoma Trauma Trust"/>
    <x v="0"/>
    <m/>
    <n v="0"/>
    <n v="0"/>
    <n v="0"/>
    <n v="-2087.63"/>
    <n v="0"/>
    <n v="0"/>
    <n v="0"/>
    <n v="2467.6999999999998"/>
    <n v="0.01"/>
    <n v="-225"/>
    <n v="0"/>
    <n v="0"/>
    <n v="155.0799999999997"/>
    <n v="8.66"/>
  </r>
  <r>
    <x v="11"/>
    <x v="3"/>
    <x v="0"/>
    <s v="8650101"/>
    <n v="722000"/>
    <s v="Supplies-Freight Expense"/>
    <s v="Tacoma Trauma Trust"/>
    <x v="0"/>
    <m/>
    <n v="0"/>
    <n v="0"/>
    <n v="0"/>
    <n v="0"/>
    <n v="0"/>
    <n v="0"/>
    <n v="0"/>
    <n v="0"/>
    <n v="0"/>
    <n v="0"/>
    <n v="8.66"/>
    <n v="0"/>
    <n v="8.66"/>
    <n v="-3.1200000000000045"/>
  </r>
  <r>
    <x v="12"/>
    <x v="3"/>
    <x v="0"/>
    <s v="8650101"/>
    <n v="730020"/>
    <s v="Rental and Leases-Copier Usage Fees (DO NOT USE)"/>
    <s v="Tacoma Trauma Trust"/>
    <x v="0"/>
    <n v="5100"/>
    <n v="81.900000000000006"/>
    <n v="85.55"/>
    <n v="83.72"/>
    <n v="83.72"/>
    <n v="83.72"/>
    <n v="83.72"/>
    <n v="-135.19999999999999"/>
    <n v="39.58"/>
    <n v="39.49"/>
    <n v="144.24"/>
    <n v="39.58"/>
    <n v="42.7"/>
    <n v="672.72000000000014"/>
    <n v="140.09"/>
  </r>
  <r>
    <x v="15"/>
    <x v="3"/>
    <x v="0"/>
    <s v="8650101"/>
    <n v="731060"/>
    <s v="Telephone"/>
    <s v="Tacoma Trauma Trust"/>
    <x v="0"/>
    <m/>
    <n v="0"/>
    <n v="0"/>
    <n v="0"/>
    <n v="0"/>
    <n v="0"/>
    <n v="0"/>
    <n v="0"/>
    <n v="0"/>
    <n v="0"/>
    <n v="0"/>
    <n v="156"/>
    <n v="15.91"/>
    <n v="171.91"/>
    <n v="0"/>
  </r>
  <r>
    <x v="15"/>
    <x v="3"/>
    <x v="0"/>
    <s v="8650101"/>
    <n v="731060"/>
    <s v="Pagers"/>
    <s v="Tacoma Trauma Trust"/>
    <x v="0"/>
    <n v="1002"/>
    <n v="41.71"/>
    <n v="41.71"/>
    <n v="41.71"/>
    <n v="41.81"/>
    <n v="41.81"/>
    <n v="0"/>
    <n v="83.62"/>
    <n v="41.81"/>
    <n v="41.81"/>
    <n v="41.81"/>
    <n v="41.81"/>
    <n v="41.81"/>
    <n v="501.42"/>
    <n v="129.76999999999998"/>
  </r>
  <r>
    <x v="0"/>
    <x v="3"/>
    <x v="0"/>
    <s v="8650101"/>
    <n v="740020"/>
    <s v="Education-Registration Fees"/>
    <s v="Tacoma Trauma Trust"/>
    <x v="0"/>
    <m/>
    <n v="0"/>
    <n v="0"/>
    <n v="4785"/>
    <n v="0"/>
    <n v="0"/>
    <n v="0"/>
    <n v="0"/>
    <n v="165"/>
    <n v="0"/>
    <n v="925"/>
    <n v="750"/>
    <n v="620.23"/>
    <n v="7245.23"/>
    <n v="-810.01"/>
  </r>
  <r>
    <x v="0"/>
    <x v="3"/>
    <x v="0"/>
    <s v="8650101"/>
    <n v="749510"/>
    <s v="Miscellaneous Expenses"/>
    <s v="Tacoma Trauma Trust"/>
    <x v="0"/>
    <m/>
    <n v="-188.27"/>
    <n v="-49.64"/>
    <n v="-18.79"/>
    <n v="-102.32"/>
    <n v="49.16"/>
    <n v="-49.16"/>
    <n v="158.27000000000001"/>
    <n v="-148.41"/>
    <n v="1198.82"/>
    <n v="1105.23"/>
    <n v="-934.71"/>
    <n v="-124.7"/>
    <n v="895.47999999999979"/>
    <n v="-45"/>
  </r>
  <r>
    <x v="0"/>
    <x v="3"/>
    <x v="0"/>
    <s v="8650101"/>
    <n v="749530"/>
    <s v="Travel"/>
    <s v="Tacoma Trauma Trust"/>
    <x v="0"/>
    <m/>
    <n v="5"/>
    <n v="10"/>
    <n v="0"/>
    <n v="768.62"/>
    <n v="25"/>
    <n v="40"/>
    <n v="0"/>
    <n v="40"/>
    <n v="0"/>
    <n v="373.33"/>
    <n v="10"/>
    <n v="55"/>
    <n v="1326.95"/>
    <n v="-270.27999999999997"/>
  </r>
  <r>
    <x v="0"/>
    <x v="3"/>
    <x v="0"/>
    <s v="8650101"/>
    <n v="749530"/>
    <s v="Mileage"/>
    <s v="Tacoma Trauma Trust"/>
    <x v="0"/>
    <n v="1001"/>
    <n v="15.81"/>
    <n v="85.6"/>
    <n v="101.94"/>
    <n v="332.53"/>
    <n v="156.43"/>
    <n v="363.57"/>
    <n v="0"/>
    <n v="245.92"/>
    <n v="82.94"/>
    <n v="590.44000000000005"/>
    <n v="221.56"/>
    <n v="491.84"/>
    <n v="2688.5800000000004"/>
    <n v="-11332.990000000002"/>
  </r>
  <r>
    <x v="14"/>
    <x v="8"/>
    <x v="0"/>
    <s v="8652104"/>
    <n v="600050"/>
    <s v="Miscellaneous Revenue"/>
    <s v="Pharmacy Services-Rehab JV"/>
    <x v="0"/>
    <m/>
    <n v="-31085.54"/>
    <n v="-39588.82"/>
    <n v="-32219.01"/>
    <n v="-32533.47"/>
    <n v="-37421.39"/>
    <n v="-32684.28"/>
    <n v="-36049.56"/>
    <n v="-31349.17"/>
    <n v="-36737.949999999997"/>
    <n v="-41053.65"/>
    <n v="-42704.25"/>
    <n v="-31371.26"/>
    <n v="-424798.35000000003"/>
    <n v="-2000.91"/>
  </r>
  <r>
    <x v="5"/>
    <x v="8"/>
    <x v="0"/>
    <s v="8652104"/>
    <n v="700018"/>
    <s v="Salaries-Supervisory-Productive"/>
    <s v="Pharmacy Services-Rehab JV"/>
    <x v="0"/>
    <m/>
    <n v="12197.32"/>
    <n v="11126.55"/>
    <n v="11126.56"/>
    <n v="11727.33"/>
    <n v="11907.08"/>
    <n v="10408.719999999999"/>
    <n v="8381.83"/>
    <n v="10715.7"/>
    <n v="13342.54"/>
    <n v="11507.64"/>
    <n v="-2000.91"/>
    <n v="0"/>
    <n v="110440.36"/>
    <n v="-1738.4799999999996"/>
  </r>
  <r>
    <x v="5"/>
    <x v="8"/>
    <x v="0"/>
    <s v="8652104"/>
    <n v="700032"/>
    <s v="Salaries-Other Pat Care Providers-Productive"/>
    <s v="Pharmacy Services-Rehab JV"/>
    <x v="0"/>
    <m/>
    <n v="4080.64"/>
    <n v="10054.35"/>
    <n v="6035.44"/>
    <n v="6091.04"/>
    <n v="6214.72"/>
    <n v="4963.6899999999996"/>
    <n v="8646.02"/>
    <n v="3801.35"/>
    <n v="6474.63"/>
    <n v="8925.8700000000008"/>
    <n v="14524.32"/>
    <n v="16262.8"/>
    <n v="96074.87000000001"/>
    <n v="105.76999999999998"/>
  </r>
  <r>
    <x v="5"/>
    <x v="8"/>
    <x v="0"/>
    <s v="8652104"/>
    <n v="700032"/>
    <s v="Salaries-Other Pat Care Providers-OT"/>
    <s v="Pharmacy Services-Rehab JV"/>
    <x v="0"/>
    <n v="1000"/>
    <n v="18.239999999999998"/>
    <n v="0"/>
    <n v="79.42"/>
    <n v="-15.63"/>
    <n v="231.95"/>
    <n v="-74.680000000000007"/>
    <n v="46.95"/>
    <n v="52.28"/>
    <n v="75.39"/>
    <n v="52.27"/>
    <n v="374.24"/>
    <n v="268.47000000000003"/>
    <n v="1108.9000000000001"/>
    <n v="-7.3300000000000125"/>
  </r>
  <r>
    <x v="5"/>
    <x v="8"/>
    <x v="0"/>
    <s v="8652104"/>
    <n v="700032"/>
    <s v="Salaries-Other Pat Care Providers-Other"/>
    <s v="Pharmacy Services-Rehab JV"/>
    <x v="0"/>
    <n v="2000"/>
    <n v="73.45"/>
    <n v="127.82"/>
    <n v="84.78"/>
    <n v="83.83"/>
    <n v="102.33"/>
    <n v="70.88"/>
    <n v="125.71"/>
    <n v="72.19"/>
    <n v="108.28"/>
    <n v="112.37"/>
    <n v="207"/>
    <n v="214.33"/>
    <n v="1382.9699999999998"/>
    <n v="-416.89"/>
  </r>
  <r>
    <x v="5"/>
    <x v="8"/>
    <x v="0"/>
    <s v="8652104"/>
    <n v="700058"/>
    <s v="Salaries-Supervisory-Non-productive"/>
    <s v="Pharmacy Services-Rehab JV"/>
    <x v="0"/>
    <m/>
    <n v="576.91999999999996"/>
    <n v="1648.27"/>
    <n v="1236.3499999999999"/>
    <n v="1153.8499999999999"/>
    <n v="582.88"/>
    <n v="2497.9899999999998"/>
    <n v="4545.01"/>
    <n v="959.01"/>
    <n v="-416.89"/>
    <n v="1000.62"/>
    <n v="-416.89"/>
    <n v="0"/>
    <n v="13367.120000000003"/>
    <n v="-662.40000000000009"/>
  </r>
  <r>
    <x v="5"/>
    <x v="8"/>
    <x v="0"/>
    <s v="8652104"/>
    <n v="700072"/>
    <s v="Salaries-Other Pat Care Providers-Non-productive"/>
    <s v="Pharmacy Services-Rehab JV"/>
    <x v="0"/>
    <m/>
    <n v="0"/>
    <n v="0"/>
    <n v="0"/>
    <n v="0"/>
    <n v="0"/>
    <n v="839.63"/>
    <n v="336.46"/>
    <n v="0"/>
    <n v="0"/>
    <n v="1471.47"/>
    <n v="-48.96"/>
    <n v="613.44000000000005"/>
    <n v="3212.04"/>
    <n v="-430.84"/>
  </r>
  <r>
    <x v="5"/>
    <x v="8"/>
    <x v="0"/>
    <s v="8652104"/>
    <n v="700084"/>
    <s v="Accrued PTO"/>
    <s v="Pharmacy Services-Rehab JV"/>
    <x v="0"/>
    <m/>
    <n v="1146.69"/>
    <n v="548.98"/>
    <n v="-23.58"/>
    <n v="627.73"/>
    <n v="1146.6099999999999"/>
    <n v="-530.27"/>
    <n v="-2751.83"/>
    <n v="533.61"/>
    <n v="1705.24"/>
    <n v="278.2"/>
    <n v="31.04"/>
    <n v="461.88"/>
    <n v="3174.3"/>
    <n v="7.0899999999999181"/>
  </r>
  <r>
    <x v="6"/>
    <x v="8"/>
    <x v="0"/>
    <s v="8652104"/>
    <n v="713010"/>
    <s v="Benefits-FICA/Medicare"/>
    <s v="Pharmacy Services-Rehab JV"/>
    <x v="0"/>
    <m/>
    <n v="1251.1500000000001"/>
    <n v="1711.02"/>
    <n v="1376.3"/>
    <n v="1411.03"/>
    <n v="1411.82"/>
    <n v="1384.25"/>
    <n v="1637.06"/>
    <n v="1149.69"/>
    <n v="1448.07"/>
    <n v="1713.15"/>
    <n v="1296.82"/>
    <n v="1289.73"/>
    <n v="17080.09"/>
    <n v="-717.94999999999982"/>
  </r>
  <r>
    <x v="6"/>
    <x v="8"/>
    <x v="0"/>
    <s v="8652104"/>
    <n v="713090"/>
    <s v="Benefits-Allocated Amounts"/>
    <s v="Pharmacy Services-Rehab JV"/>
    <x v="0"/>
    <m/>
    <n v="2761.98"/>
    <n v="3202.87"/>
    <n v="2756.15"/>
    <n v="2850.72"/>
    <n v="3013.78"/>
    <n v="2760.63"/>
    <n v="3184.04"/>
    <n v="2690.55"/>
    <n v="3134.17"/>
    <n v="3841.45"/>
    <n v="2361.19"/>
    <n v="3079.14"/>
    <n v="35636.67"/>
    <n v="1385.25"/>
  </r>
  <r>
    <x v="7"/>
    <x v="8"/>
    <x v="0"/>
    <s v="8652104"/>
    <n v="718050"/>
    <s v="Miscellaneous Purchased Svcs"/>
    <s v="Pharmacy Services-Rehab JV"/>
    <x v="0"/>
    <n v="1020"/>
    <n v="35"/>
    <n v="155.25"/>
    <n v="0"/>
    <n v="-35"/>
    <n v="0"/>
    <n v="0"/>
    <n v="0"/>
    <n v="0"/>
    <n v="16.25"/>
    <n v="0"/>
    <n v="2108.5"/>
    <n v="723.25"/>
    <n v="3003.25"/>
    <n v="4088.0900000000011"/>
  </r>
  <r>
    <x v="11"/>
    <x v="8"/>
    <x v="0"/>
    <s v="8652104"/>
    <n v="721250"/>
    <s v="Supplies-Pharmacy Drugs - Billable"/>
    <s v="Pharmacy Services-Rehab JV"/>
    <x v="0"/>
    <m/>
    <n v="9765.7999999999993"/>
    <n v="8979.01"/>
    <n v="7838.36"/>
    <n v="6951.24"/>
    <n v="10382.15"/>
    <n v="8802.94"/>
    <n v="9914.69"/>
    <n v="9614.3799999999992"/>
    <n v="9281.5300000000007"/>
    <n v="10005.799999999999"/>
    <n v="11054.12"/>
    <n v="6966.03"/>
    <n v="109556.05"/>
    <n v="0"/>
  </r>
  <r>
    <x v="11"/>
    <x v="8"/>
    <x v="0"/>
    <s v="8652104"/>
    <n v="721980"/>
    <s v="Supplies-Other"/>
    <s v="Pharmacy Services-Rehab JV"/>
    <x v="0"/>
    <m/>
    <n v="0"/>
    <n v="0"/>
    <n v="0"/>
    <n v="0"/>
    <n v="103.81"/>
    <n v="77.16"/>
    <n v="0"/>
    <n v="0"/>
    <n v="0"/>
    <n v="0"/>
    <n v="0"/>
    <n v="0"/>
    <n v="180.97"/>
    <n v="0"/>
  </r>
  <r>
    <x v="11"/>
    <x v="8"/>
    <x v="0"/>
    <s v="8652104"/>
    <n v="723000"/>
    <s v="Supply Rebates/Patronage Dividend"/>
    <s v="Pharmacy Services-Rehab JV"/>
    <x v="0"/>
    <m/>
    <n v="0"/>
    <n v="0"/>
    <n v="0"/>
    <n v="0"/>
    <n v="0"/>
    <n v="-289.79000000000002"/>
    <n v="0"/>
    <n v="0"/>
    <n v="289.79000000000002"/>
    <n v="0"/>
    <n v="0"/>
    <n v="0"/>
    <n v="0"/>
    <n v="355"/>
  </r>
  <r>
    <x v="0"/>
    <x v="8"/>
    <x v="0"/>
    <s v="8652104"/>
    <n v="742030"/>
    <s v="Freight-Courier"/>
    <s v="Pharmacy Services-Rehab JV"/>
    <x v="0"/>
    <m/>
    <n v="0"/>
    <n v="0"/>
    <n v="0"/>
    <n v="35"/>
    <n v="0"/>
    <n v="0"/>
    <n v="0"/>
    <n v="0"/>
    <n v="0"/>
    <n v="0"/>
    <n v="263"/>
    <n v="-92"/>
    <n v="206"/>
    <n v="170.22"/>
  </r>
  <r>
    <x v="0"/>
    <x v="8"/>
    <x v="0"/>
    <s v="8652104"/>
    <n v="743030"/>
    <s v="Subscriptions--Institutional"/>
    <s v="Pharmacy Services-Rehab JV"/>
    <x v="0"/>
    <m/>
    <n v="170.33"/>
    <n v="0"/>
    <n v="0"/>
    <n v="0"/>
    <n v="290.7"/>
    <n v="0"/>
    <n v="0"/>
    <n v="0"/>
    <n v="0"/>
    <n v="0"/>
    <n v="170.22"/>
    <n v="0"/>
    <n v="631.25"/>
    <n v="0"/>
  </r>
  <r>
    <x v="0"/>
    <x v="8"/>
    <x v="0"/>
    <s v="8652104"/>
    <n v="749510"/>
    <s v="Miscellaneous Expenses"/>
    <s v="Pharmacy Services-Rehab JV"/>
    <x v="0"/>
    <m/>
    <n v="9.82"/>
    <n v="-19.64"/>
    <n v="0"/>
    <n v="0"/>
    <n v="0"/>
    <n v="0"/>
    <n v="26.1"/>
    <n v="-26.1"/>
    <n v="0"/>
    <n v="0"/>
    <n v="0"/>
    <n v="0"/>
    <n v="-9.82"/>
    <n v="0"/>
  </r>
  <r>
    <x v="0"/>
    <x v="8"/>
    <x v="0"/>
    <s v="8652104"/>
    <n v="749530"/>
    <s v="Mileage"/>
    <s v="Pharmacy Services-Rehab JV"/>
    <x v="0"/>
    <n v="1001"/>
    <n v="9.82"/>
    <n v="19.64"/>
    <n v="18.54"/>
    <n v="0"/>
    <n v="10.9"/>
    <n v="0"/>
    <n v="0"/>
    <n v="26.1"/>
    <n v="4.6399999999999997"/>
    <n v="15.66"/>
    <n v="0"/>
    <n v="0"/>
    <n v="105.3"/>
    <n v="0"/>
  </r>
  <r>
    <x v="7"/>
    <x v="6"/>
    <x v="0"/>
    <s v="8700107"/>
    <n v="718050"/>
    <s v="Contract Svcs-Other"/>
    <s v="Bainbridge Island MOB"/>
    <x v="0"/>
    <m/>
    <n v="0"/>
    <n v="3469.38"/>
    <n v="0"/>
    <n v="0"/>
    <n v="0"/>
    <n v="0"/>
    <n v="0"/>
    <n v="0"/>
    <n v="0"/>
    <n v="0"/>
    <n v="0"/>
    <n v="0"/>
    <n v="3469.38"/>
    <n v="232.97000000000025"/>
  </r>
  <r>
    <x v="7"/>
    <x v="6"/>
    <x v="0"/>
    <s v="8700107"/>
    <n v="718050"/>
    <s v="Cleaning Services"/>
    <s v="Bainbridge Island MOB"/>
    <x v="0"/>
    <n v="1011"/>
    <n v="5095.12"/>
    <n v="6572.58"/>
    <n v="5276.86"/>
    <n v="5270.27"/>
    <n v="0"/>
    <n v="6565.98"/>
    <n v="9127.66"/>
    <n v="4885.01"/>
    <n v="9077.89"/>
    <n v="4603.84"/>
    <n v="4690.1400000000003"/>
    <n v="4457.17"/>
    <n v="65622.52"/>
    <n v="-181.94999999999982"/>
  </r>
  <r>
    <x v="15"/>
    <x v="6"/>
    <x v="0"/>
    <s v="8700107"/>
    <n v="731020"/>
    <s v="Electricity"/>
    <s v="Bainbridge Island MOB"/>
    <x v="0"/>
    <m/>
    <n v="3502.51"/>
    <n v="3973.21"/>
    <n v="3852.52"/>
    <n v="3728.75"/>
    <n v="4316.2299999999996"/>
    <n v="4440.9399999999996"/>
    <n v="4280.72"/>
    <n v="4740.3"/>
    <n v="4727.8100000000004"/>
    <n v="4291.51"/>
    <n v="4295.78"/>
    <n v="4477.7299999999996"/>
    <n v="50628.009999999995"/>
    <n v="-579.65"/>
  </r>
  <r>
    <x v="15"/>
    <x v="6"/>
    <x v="0"/>
    <s v="8700107"/>
    <n v="731030"/>
    <s v="Water"/>
    <s v="Bainbridge Island MOB"/>
    <x v="0"/>
    <m/>
    <n v="0"/>
    <n v="645.02"/>
    <n v="0"/>
    <n v="662.88"/>
    <n v="0"/>
    <n v="579.65"/>
    <n v="0"/>
    <n v="614.49"/>
    <n v="0"/>
    <n v="571.86"/>
    <n v="0"/>
    <n v="579.65"/>
    <n v="3653.55"/>
    <n v="-245.84"/>
  </r>
  <r>
    <x v="15"/>
    <x v="6"/>
    <x v="0"/>
    <s v="8700107"/>
    <n v="731040"/>
    <s v="Sewer"/>
    <s v="Bainbridge Island MOB"/>
    <x v="0"/>
    <m/>
    <n v="0"/>
    <n v="903.25"/>
    <n v="0"/>
    <n v="1000.5"/>
    <n v="0"/>
    <n v="187.49"/>
    <n v="0"/>
    <n v="12.44"/>
    <n v="0"/>
    <n v="12.23"/>
    <n v="0"/>
    <n v="245.84"/>
    <n v="2361.75"/>
    <n v="0"/>
  </r>
  <r>
    <x v="15"/>
    <x v="6"/>
    <x v="0"/>
    <s v="8700107"/>
    <n v="731050"/>
    <s v="Refuse Disposal"/>
    <s v="Bainbridge Island MOB"/>
    <x v="0"/>
    <m/>
    <n v="312.26"/>
    <n v="312.26"/>
    <n v="312.26"/>
    <n v="312.26"/>
    <n v="312.26"/>
    <n v="335.09"/>
    <n v="312.26"/>
    <n v="312.26"/>
    <n v="312.26"/>
    <n v="312.26"/>
    <n v="312.26"/>
    <n v="312.26"/>
    <n v="3769.9500000000007"/>
    <n v="0"/>
  </r>
  <r>
    <x v="8"/>
    <x v="6"/>
    <x v="0"/>
    <s v="8700107"/>
    <n v="741010"/>
    <s v="Liability Insurance-CHI Programs"/>
    <s v="Bainbridge Island MOB"/>
    <x v="0"/>
    <m/>
    <n v="111.21"/>
    <n v="111.21"/>
    <n v="137.55000000000001"/>
    <n v="119.99"/>
    <n v="119.99"/>
    <n v="119.99"/>
    <n v="119.99"/>
    <n v="119.99"/>
    <n v="119.99"/>
    <n v="119.99"/>
    <n v="119.99"/>
    <n v="119.99"/>
    <n v="1439.88"/>
    <n v="0"/>
  </r>
  <r>
    <x v="8"/>
    <x v="6"/>
    <x v="0"/>
    <s v="8700107"/>
    <n v="741030"/>
    <s v="Property Insurance-CHI Programs"/>
    <s v="Bainbridge Island MOB"/>
    <x v="0"/>
    <m/>
    <n v="321.08999999999997"/>
    <n v="321.08999999999997"/>
    <n v="1299.69"/>
    <n v="647.29"/>
    <n v="647.29"/>
    <n v="647.29"/>
    <n v="647.29"/>
    <n v="647.29"/>
    <n v="647.29"/>
    <n v="647.29"/>
    <n v="647.29"/>
    <n v="647.29"/>
    <n v="7767.48"/>
    <n v="0"/>
  </r>
  <r>
    <x v="0"/>
    <x v="6"/>
    <x v="0"/>
    <s v="8700107"/>
    <n v="749510"/>
    <s v="Miscellaneous Expense"/>
    <s v="Bainbridge Island MOB"/>
    <x v="0"/>
    <n v="1009"/>
    <n v="0"/>
    <n v="0"/>
    <n v="0"/>
    <n v="0"/>
    <n v="185.9"/>
    <n v="185.9"/>
    <n v="0"/>
    <n v="0"/>
    <n v="0"/>
    <n v="0"/>
    <n v="0"/>
    <n v="0"/>
    <n v="371.8"/>
    <n v="0"/>
  </r>
  <r>
    <x v="0"/>
    <x v="6"/>
    <x v="0"/>
    <s v="8700107"/>
    <n v="766010"/>
    <s v="Property Tax"/>
    <s v="Bainbridge Island MOB"/>
    <x v="0"/>
    <m/>
    <n v="230.18"/>
    <n v="230.18"/>
    <n v="230.18"/>
    <n v="230.02"/>
    <n v="230.18"/>
    <n v="230.18"/>
    <n v="230.17"/>
    <n v="230.17"/>
    <n v="230.16"/>
    <n v="0"/>
    <n v="0"/>
    <n v="0"/>
    <n v="2071.42"/>
    <n v="-530.16"/>
  </r>
  <r>
    <x v="15"/>
    <x v="13"/>
    <x v="0"/>
    <s v="8701500"/>
    <n v="731020"/>
    <s v="Electricity"/>
    <s v="Devco Tacoma MOB"/>
    <x v="0"/>
    <m/>
    <n v="-2430.73"/>
    <n v="-2990.89"/>
    <n v="-2378.11"/>
    <n v="-2788.89"/>
    <n v="-2805.87"/>
    <n v="-3612.15"/>
    <n v="-3612.15"/>
    <n v="1262.8900000000001"/>
    <n v="-1104.8499999999999"/>
    <n v="686.79"/>
    <n v="-120.48"/>
    <n v="409.68"/>
    <n v="-19484.759999999998"/>
    <n v="0"/>
  </r>
  <r>
    <x v="16"/>
    <x v="13"/>
    <x v="0"/>
    <s v="8701500"/>
    <n v="733030"/>
    <s v="Maintenance Contract-Parking"/>
    <s v="Devco Tacoma MOB"/>
    <x v="0"/>
    <n v="5106"/>
    <n v="0"/>
    <n v="0"/>
    <n v="0"/>
    <n v="0"/>
    <n v="0"/>
    <n v="0"/>
    <n v="0"/>
    <n v="0"/>
    <n v="0"/>
    <n v="0"/>
    <n v="0"/>
    <n v="0"/>
    <n v="0"/>
    <n v="0"/>
  </r>
  <r>
    <x v="13"/>
    <x v="13"/>
    <x v="0"/>
    <s v="8701500"/>
    <n v="735020"/>
    <s v="Depreciation-Land Improvements"/>
    <s v="Devco Tacoma MOB"/>
    <x v="0"/>
    <m/>
    <n v="113"/>
    <n v="113"/>
    <n v="113"/>
    <n v="113"/>
    <n v="113"/>
    <n v="113"/>
    <n v="113"/>
    <n v="113"/>
    <n v="113"/>
    <n v="113"/>
    <n v="113"/>
    <n v="113"/>
    <n v="1356"/>
    <n v="0"/>
  </r>
  <r>
    <x v="0"/>
    <x v="13"/>
    <x v="0"/>
    <s v="8701500"/>
    <n v="766010"/>
    <s v="Property Tax"/>
    <s v="Devco Tacoma MOB"/>
    <x v="0"/>
    <m/>
    <n v="0"/>
    <n v="0"/>
    <n v="0"/>
    <n v="0"/>
    <n v="0"/>
    <n v="0"/>
    <n v="8.6999999999999993"/>
    <n v="0"/>
    <n v="0"/>
    <n v="0.97"/>
    <n v="0"/>
    <n v="0"/>
    <n v="9.67"/>
    <n v="0"/>
  </r>
  <r>
    <x v="14"/>
    <x v="5"/>
    <x v="0"/>
    <s v="8702106"/>
    <n v="600026"/>
    <s v="POB Rental"/>
    <s v="Fran Medical Pavilion-Highline"/>
    <x v="0"/>
    <n v="1001"/>
    <n v="-122596.16"/>
    <n v="-122596.16"/>
    <n v="-122596.16"/>
    <n v="-122596.16"/>
    <n v="-122596.16"/>
    <n v="-122596.16"/>
    <n v="-122596.16"/>
    <n v="-122596.16"/>
    <n v="-122596.16"/>
    <n v="-122595.97"/>
    <n v="-122595.97"/>
    <n v="-122595.97"/>
    <n v="-1471153.35"/>
    <n v="0"/>
  </r>
  <r>
    <x v="14"/>
    <x v="5"/>
    <x v="0"/>
    <s v="8702106"/>
    <n v="600026"/>
    <s v="Other Rental"/>
    <s v="Fran Medical Pavilion-Highline"/>
    <x v="0"/>
    <n v="1002"/>
    <n v="-30928"/>
    <n v="-30928"/>
    <n v="-30928"/>
    <n v="-30928"/>
    <n v="-39626.5"/>
    <n v="-39626.5"/>
    <n v="-39626.5"/>
    <n v="-39626.5"/>
    <n v="-39626.5"/>
    <n v="-14188.2"/>
    <n v="-39626.49"/>
    <n v="-39626.49"/>
    <n v="-415285.68"/>
    <n v="-1385"/>
  </r>
  <r>
    <x v="7"/>
    <x v="5"/>
    <x v="0"/>
    <s v="8702106"/>
    <n v="718050"/>
    <s v="Contract Svcs-Other"/>
    <s v="Fran Medical Pavilion-Highline"/>
    <x v="0"/>
    <m/>
    <n v="0"/>
    <n v="80.209999999999994"/>
    <n v="663"/>
    <n v="0"/>
    <n v="0"/>
    <n v="0"/>
    <n v="0"/>
    <n v="0"/>
    <n v="0"/>
    <n v="650"/>
    <n v="0"/>
    <n v="1385"/>
    <n v="2778.21"/>
    <n v="0"/>
  </r>
  <r>
    <x v="7"/>
    <x v="5"/>
    <x v="0"/>
    <s v="8702106"/>
    <n v="718050"/>
    <s v="Cleaning Services"/>
    <s v="Fran Medical Pavilion-Highline"/>
    <x v="0"/>
    <n v="1011"/>
    <n v="0"/>
    <n v="5190"/>
    <n v="5740"/>
    <n v="5740"/>
    <n v="0"/>
    <n v="5740"/>
    <n v="5190"/>
    <n v="0"/>
    <n v="11630"/>
    <n v="5540"/>
    <n v="5540"/>
    <n v="5540"/>
    <n v="55850"/>
    <n v="-80.209999999999994"/>
  </r>
  <r>
    <x v="7"/>
    <x v="5"/>
    <x v="0"/>
    <s v="8702106"/>
    <n v="718050"/>
    <s v="Pest Control"/>
    <s v="Fran Medical Pavilion-Highline"/>
    <x v="0"/>
    <n v="1014"/>
    <n v="180.31"/>
    <n v="98.18"/>
    <n v="80.209999999999994"/>
    <n v="0"/>
    <n v="80.209999999999994"/>
    <n v="80.209999999999994"/>
    <n v="160.41999999999999"/>
    <n v="80.209999999999994"/>
    <n v="80.209999999999994"/>
    <n v="80.209999999999994"/>
    <n v="0"/>
    <n v="80.209999999999994"/>
    <n v="1000.3800000000001"/>
    <n v="0"/>
  </r>
  <r>
    <x v="7"/>
    <x v="5"/>
    <x v="0"/>
    <s v="8702106"/>
    <n v="718050"/>
    <s v="Security"/>
    <s v="Fran Medical Pavilion-Highline"/>
    <x v="0"/>
    <n v="1019"/>
    <n v="0"/>
    <n v="0"/>
    <n v="0"/>
    <n v="0"/>
    <n v="0"/>
    <n v="0"/>
    <n v="0"/>
    <n v="0"/>
    <n v="0"/>
    <n v="0"/>
    <n v="0"/>
    <n v="0"/>
    <n v="0"/>
    <n v="0"/>
  </r>
  <r>
    <x v="7"/>
    <x v="5"/>
    <x v="0"/>
    <s v="8702106"/>
    <n v="718050"/>
    <s v="Purchased Service-Fire Equipment"/>
    <s v="Fran Medical Pavilion-Highline"/>
    <x v="0"/>
    <n v="5100"/>
    <n v="0"/>
    <n v="0"/>
    <n v="0"/>
    <n v="0"/>
    <n v="0"/>
    <n v="0"/>
    <n v="441.87"/>
    <n v="0"/>
    <n v="0"/>
    <n v="0"/>
    <n v="0"/>
    <n v="0"/>
    <n v="441.87"/>
    <n v="-1995"/>
  </r>
  <r>
    <x v="7"/>
    <x v="5"/>
    <x v="0"/>
    <s v="8702106"/>
    <n v="718050"/>
    <s v="Purchased Service-Fire/Life Safety Test"/>
    <s v="Fran Medical Pavilion-Highline"/>
    <x v="0"/>
    <n v="5101"/>
    <n v="0"/>
    <n v="0"/>
    <n v="0"/>
    <n v="0"/>
    <n v="0"/>
    <n v="0"/>
    <n v="0"/>
    <n v="0"/>
    <n v="0"/>
    <n v="0"/>
    <n v="0"/>
    <n v="1995"/>
    <n v="1995"/>
    <n v="697.75"/>
  </r>
  <r>
    <x v="11"/>
    <x v="5"/>
    <x v="0"/>
    <s v="8702106"/>
    <n v="721830"/>
    <s v="Supplies-Office"/>
    <s v="Fran Medical Pavilion-Highline"/>
    <x v="0"/>
    <m/>
    <n v="311.86"/>
    <n v="0"/>
    <n v="711.76"/>
    <n v="0"/>
    <n v="1608.51"/>
    <n v="0"/>
    <n v="0"/>
    <n v="0"/>
    <n v="0"/>
    <n v="1864.27"/>
    <n v="697.75"/>
    <n v="0"/>
    <n v="5194.1499999999996"/>
    <n v="0"/>
  </r>
  <r>
    <x v="11"/>
    <x v="5"/>
    <x v="0"/>
    <s v="8702106"/>
    <n v="721870"/>
    <s v="Supplies-Environmental Services"/>
    <s v="Fran Medical Pavilion-Highline"/>
    <x v="0"/>
    <m/>
    <n v="406.95"/>
    <n v="622.16999999999996"/>
    <n v="1449.66"/>
    <n v="0"/>
    <n v="0"/>
    <n v="0"/>
    <n v="1005.75"/>
    <n v="595.54"/>
    <n v="352.44"/>
    <n v="0"/>
    <n v="0"/>
    <n v="0"/>
    <n v="4432.5099999999993"/>
    <n v="37.039999999999992"/>
  </r>
  <r>
    <x v="15"/>
    <x v="5"/>
    <x v="0"/>
    <s v="8702106"/>
    <n v="731010"/>
    <s v="Natural Gas"/>
    <s v="Fran Medical Pavilion-Highline"/>
    <x v="0"/>
    <m/>
    <n v="117.38"/>
    <n v="121.91"/>
    <n v="121.52"/>
    <n v="181.08"/>
    <n v="215.5"/>
    <n v="229.16"/>
    <n v="201.72"/>
    <n v="230.41"/>
    <n v="205.57"/>
    <n v="208.2"/>
    <n v="125.46"/>
    <n v="88.42"/>
    <n v="2046.3300000000002"/>
    <n v="548.79"/>
  </r>
  <r>
    <x v="15"/>
    <x v="5"/>
    <x v="0"/>
    <s v="8702106"/>
    <n v="731020"/>
    <s v="Electricity"/>
    <s v="Fran Medical Pavilion-Highline"/>
    <x v="0"/>
    <m/>
    <n v="4585.37"/>
    <n v="4879.33"/>
    <n v="4449.6499999999996"/>
    <n v="4808.09"/>
    <n v="5801.13"/>
    <n v="5864.48"/>
    <n v="5944.88"/>
    <n v="6940.7"/>
    <n v="5362.79"/>
    <n v="5214.3500000000004"/>
    <n v="4971.22"/>
    <n v="4422.43"/>
    <n v="63244.42"/>
    <n v="2434.27"/>
  </r>
  <r>
    <x v="15"/>
    <x v="5"/>
    <x v="0"/>
    <s v="8702106"/>
    <n v="731030"/>
    <s v="Water"/>
    <s v="Fran Medical Pavilion-Highline"/>
    <x v="0"/>
    <m/>
    <n v="2420.9499999999998"/>
    <n v="0"/>
    <n v="5143.8599999999997"/>
    <n v="0"/>
    <n v="3899.36"/>
    <n v="0"/>
    <n v="2280.5300000000002"/>
    <n v="0"/>
    <n v="2301.1799999999998"/>
    <n v="0"/>
    <n v="2434.27"/>
    <n v="0"/>
    <n v="18480.150000000001"/>
    <n v="333.5"/>
  </r>
  <r>
    <x v="15"/>
    <x v="5"/>
    <x v="0"/>
    <s v="8702106"/>
    <n v="731040"/>
    <s v="Sewer"/>
    <s v="Fran Medical Pavilion-Highline"/>
    <x v="0"/>
    <m/>
    <n v="320.83"/>
    <n v="0"/>
    <n v="320.83"/>
    <n v="0"/>
    <n v="320.83"/>
    <n v="0"/>
    <n v="320.83"/>
    <n v="0"/>
    <n v="329.5"/>
    <n v="0"/>
    <n v="333.5"/>
    <n v="0"/>
    <n v="1946.32"/>
    <n v="0"/>
  </r>
  <r>
    <x v="15"/>
    <x v="5"/>
    <x v="0"/>
    <s v="8702106"/>
    <n v="731050"/>
    <s v="Refuse Disposal"/>
    <s v="Fran Medical Pavilion-Highline"/>
    <x v="0"/>
    <m/>
    <n v="1053.1099999999999"/>
    <n v="1053.1099999999999"/>
    <n v="1053.1099999999999"/>
    <n v="0"/>
    <n v="2193.38"/>
    <n v="1053.1099999999999"/>
    <n v="1053.1099999999999"/>
    <n v="1094.77"/>
    <n v="1094.77"/>
    <n v="1265.01"/>
    <n v="1265.01"/>
    <n v="1265.01"/>
    <n v="13443.5"/>
    <n v="1144.55"/>
  </r>
  <r>
    <x v="16"/>
    <x v="5"/>
    <x v="0"/>
    <s v="8702106"/>
    <n v="732030"/>
    <s v="Repairs---Other"/>
    <s v="Fran Medical Pavilion-Highline"/>
    <x v="0"/>
    <m/>
    <n v="0"/>
    <n v="16.88"/>
    <n v="691.02"/>
    <n v="449.9"/>
    <n v="0"/>
    <n v="0"/>
    <n v="0"/>
    <n v="0"/>
    <n v="371.8"/>
    <n v="0"/>
    <n v="1144.55"/>
    <n v="0"/>
    <n v="2674.1499999999996"/>
    <n v="831.96"/>
  </r>
  <r>
    <x v="16"/>
    <x v="5"/>
    <x v="0"/>
    <s v="8702106"/>
    <n v="732030"/>
    <s v="Repairs&amp;Maintenance-Electrical"/>
    <s v="Fran Medical Pavilion-Highline"/>
    <x v="0"/>
    <n v="5100"/>
    <n v="0"/>
    <n v="0"/>
    <n v="0"/>
    <n v="0"/>
    <n v="0"/>
    <n v="0"/>
    <n v="0"/>
    <n v="0"/>
    <n v="0"/>
    <n v="0"/>
    <n v="831.96"/>
    <n v="0"/>
    <n v="831.96"/>
    <n v="0"/>
  </r>
  <r>
    <x v="16"/>
    <x v="5"/>
    <x v="0"/>
    <s v="8702106"/>
    <n v="732030"/>
    <s v="Repairs&amp;Maintenance-HVAC"/>
    <s v="Fran Medical Pavilion-Highline"/>
    <x v="0"/>
    <n v="5102"/>
    <n v="0"/>
    <n v="0"/>
    <n v="0"/>
    <n v="0"/>
    <n v="0"/>
    <n v="0"/>
    <n v="742.51"/>
    <n v="0"/>
    <n v="0"/>
    <n v="0"/>
    <n v="0"/>
    <n v="0"/>
    <n v="742.51"/>
    <n v="-325"/>
  </r>
  <r>
    <x v="16"/>
    <x v="5"/>
    <x v="0"/>
    <s v="8702106"/>
    <n v="732030"/>
    <s v="Repairs&amp;Maintenance-Plumbing"/>
    <s v="Fran Medical Pavilion-Highline"/>
    <x v="0"/>
    <n v="5103"/>
    <n v="0"/>
    <n v="0"/>
    <n v="0"/>
    <n v="0"/>
    <n v="0"/>
    <n v="0"/>
    <n v="0"/>
    <n v="395.56"/>
    <n v="0"/>
    <n v="0"/>
    <n v="0"/>
    <n v="325"/>
    <n v="720.56"/>
    <n v="-1276.5999999999999"/>
  </r>
  <r>
    <x v="16"/>
    <x v="5"/>
    <x v="0"/>
    <s v="8702106"/>
    <n v="733030"/>
    <s v="Maintenance Contract-Elevator"/>
    <s v="Fran Medical Pavilion-Highline"/>
    <x v="0"/>
    <n v="5101"/>
    <n v="1236.04"/>
    <n v="0"/>
    <n v="0"/>
    <n v="1236.04"/>
    <n v="0"/>
    <n v="618.02"/>
    <n v="1236.04"/>
    <n v="0"/>
    <n v="1256.32"/>
    <n v="638.29999999999995"/>
    <n v="0"/>
    <n v="1276.5999999999999"/>
    <n v="7497.3599999999988"/>
    <n v="-4261.12"/>
  </r>
  <r>
    <x v="16"/>
    <x v="5"/>
    <x v="0"/>
    <s v="8702106"/>
    <n v="733030"/>
    <s v="Maintenance Contract-HVAC"/>
    <s v="Fran Medical Pavilion-Highline"/>
    <x v="0"/>
    <n v="5102"/>
    <n v="4261.12"/>
    <n v="0"/>
    <n v="0"/>
    <n v="4261.12"/>
    <n v="0"/>
    <n v="0"/>
    <n v="4756.57"/>
    <n v="2255"/>
    <n v="0"/>
    <n v="0"/>
    <n v="0"/>
    <n v="4261.12"/>
    <n v="19794.93"/>
    <n v="569.39000000000033"/>
  </r>
  <r>
    <x v="16"/>
    <x v="5"/>
    <x v="0"/>
    <s v="8702106"/>
    <n v="733030"/>
    <s v="Maintenance Contract-Landscape General"/>
    <s v="Fran Medical Pavilion-Highline"/>
    <x v="0"/>
    <n v="5105"/>
    <n v="0"/>
    <n v="1501.5"/>
    <n v="1380.5"/>
    <n v="1380.5"/>
    <n v="0"/>
    <n v="10332.49"/>
    <n v="1380.5"/>
    <n v="13260.5"/>
    <n v="7392"/>
    <n v="0"/>
    <n v="4878.5"/>
    <n v="4309.1099999999997"/>
    <n v="45815.6"/>
    <n v="6761.98"/>
  </r>
  <r>
    <x v="16"/>
    <x v="5"/>
    <x v="0"/>
    <s v="8702106"/>
    <n v="733030"/>
    <s v="Maintenance Contract-Parking"/>
    <s v="Fran Medical Pavilion-Highline"/>
    <x v="0"/>
    <n v="5106"/>
    <n v="121"/>
    <n v="121"/>
    <n v="121"/>
    <n v="0"/>
    <n v="242"/>
    <n v="121"/>
    <n v="0"/>
    <n v="833.26"/>
    <n v="121"/>
    <n v="127.88"/>
    <n v="8501.08"/>
    <n v="1739.1"/>
    <n v="12048.32"/>
    <n v="3.0000000000200089E-2"/>
  </r>
  <r>
    <x v="13"/>
    <x v="5"/>
    <x v="0"/>
    <s v="8702106"/>
    <n v="735020"/>
    <s v="Depreciation-Land Improvements"/>
    <s v="Fran Medical Pavilion-Highline"/>
    <x v="0"/>
    <m/>
    <n v="3949.12"/>
    <n v="3949.12"/>
    <n v="3949.13"/>
    <n v="3949.12"/>
    <n v="3949.13"/>
    <n v="3949.1"/>
    <n v="3949.13"/>
    <n v="3949.1"/>
    <n v="3949.13"/>
    <n v="3949.1"/>
    <n v="3949.13"/>
    <n v="3949.1"/>
    <n v="47389.409999999989"/>
    <n v="0.16999999999825377"/>
  </r>
  <r>
    <x v="13"/>
    <x v="5"/>
    <x v="0"/>
    <s v="8702106"/>
    <n v="735040"/>
    <s v="Depreciation-Building Improvements"/>
    <s v="Fran Medical Pavilion-Highline"/>
    <x v="0"/>
    <m/>
    <n v="74178.91"/>
    <n v="74178.899999999994"/>
    <n v="74178.92"/>
    <n v="74178.899999999994"/>
    <n v="74178.95"/>
    <n v="74178.899999999994"/>
    <n v="74178.960000000006"/>
    <n v="74178.880000000005"/>
    <n v="74178.97"/>
    <n v="74178.84"/>
    <n v="74178.990000000005"/>
    <n v="74178.820000000007"/>
    <n v="890146.94"/>
    <n v="1.999999999998181E-2"/>
  </r>
  <r>
    <x v="13"/>
    <x v="5"/>
    <x v="0"/>
    <s v="8702106"/>
    <n v="735060"/>
    <s v="Depreciation-Fixed Equipment"/>
    <s v="Fran Medical Pavilion-Highline"/>
    <x v="0"/>
    <m/>
    <n v="3823.83"/>
    <n v="3823.83"/>
    <n v="3823.83"/>
    <n v="3823.83"/>
    <n v="3823.83"/>
    <n v="3823.83"/>
    <n v="3823.83"/>
    <n v="3823.82"/>
    <n v="3823.83"/>
    <n v="3823.82"/>
    <n v="3823.84"/>
    <n v="3823.82"/>
    <n v="45885.94000000001"/>
    <n v="5.0000000000068212E-2"/>
  </r>
  <r>
    <x v="13"/>
    <x v="5"/>
    <x v="0"/>
    <s v="8702106"/>
    <n v="735070"/>
    <s v="Depreciation-Movable Equipment"/>
    <s v="Fran Medical Pavilion-Highline"/>
    <x v="0"/>
    <m/>
    <n v="789.54"/>
    <n v="789.54"/>
    <n v="789.54"/>
    <n v="789.54"/>
    <n v="789.55"/>
    <n v="789.54"/>
    <n v="789.57"/>
    <n v="789.54"/>
    <n v="789.57"/>
    <n v="789.53"/>
    <n v="789.57"/>
    <n v="789.52"/>
    <n v="9474.5499999999993"/>
    <n v="0"/>
  </r>
  <r>
    <x v="8"/>
    <x v="5"/>
    <x v="0"/>
    <s v="8702106"/>
    <n v="741010"/>
    <s v="Liability Insurance-CHI Programs"/>
    <s v="Fran Medical Pavilion-Highline"/>
    <x v="0"/>
    <m/>
    <n v="257.25"/>
    <n v="257.25"/>
    <n v="351.48"/>
    <n v="288.66000000000003"/>
    <n v="288.66000000000003"/>
    <n v="288.66000000000003"/>
    <n v="288.66000000000003"/>
    <n v="288.66000000000003"/>
    <n v="288.66000000000003"/>
    <n v="288.66000000000003"/>
    <n v="288.66000000000003"/>
    <n v="288.66000000000003"/>
    <n v="3463.9199999999996"/>
    <n v="0"/>
  </r>
  <r>
    <x v="8"/>
    <x v="5"/>
    <x v="0"/>
    <s v="8702106"/>
    <n v="741030"/>
    <s v="Property Insurance-CHI Programs"/>
    <s v="Fran Medical Pavilion-Highline"/>
    <x v="0"/>
    <m/>
    <n v="1003.08"/>
    <n v="1003.08"/>
    <n v="501.2"/>
    <n v="835.79"/>
    <n v="835.79"/>
    <n v="835.79"/>
    <n v="835.79"/>
    <n v="835.79"/>
    <n v="835.79"/>
    <n v="835.79"/>
    <n v="835.79"/>
    <n v="835.79"/>
    <n v="10029.470000000001"/>
    <n v="0"/>
  </r>
  <r>
    <x v="0"/>
    <x v="5"/>
    <x v="0"/>
    <s v="8702106"/>
    <n v="749510"/>
    <s v="Licenses"/>
    <s v="Fran Medical Pavilion-Highline"/>
    <x v="0"/>
    <n v="1002"/>
    <n v="0"/>
    <n v="0"/>
    <n v="0"/>
    <n v="0"/>
    <n v="0"/>
    <n v="0"/>
    <n v="0"/>
    <n v="0"/>
    <n v="0"/>
    <n v="268.2"/>
    <n v="0"/>
    <n v="0"/>
    <n v="268.2"/>
    <n v="0"/>
  </r>
  <r>
    <x v="0"/>
    <x v="5"/>
    <x v="0"/>
    <s v="8702106"/>
    <n v="749510"/>
    <s v="Miscellaneous Expense"/>
    <s v="Fran Medical Pavilion-Highline"/>
    <x v="0"/>
    <n v="1009"/>
    <n v="4865.07"/>
    <n v="350"/>
    <n v="962.51"/>
    <n v="4330.66"/>
    <n v="185.9"/>
    <n v="185.9"/>
    <n v="0"/>
    <n v="0"/>
    <n v="0"/>
    <n v="0"/>
    <n v="0"/>
    <n v="0"/>
    <n v="10880.039999999999"/>
    <n v="-19.509999999999991"/>
  </r>
  <r>
    <x v="0"/>
    <x v="5"/>
    <x v="0"/>
    <s v="8702106"/>
    <n v="749510"/>
    <s v="Monitoring - Fire"/>
    <s v="Fran Medical Pavilion-Highline"/>
    <x v="0"/>
    <n v="5102"/>
    <n v="0"/>
    <n v="0"/>
    <n v="195"/>
    <n v="0"/>
    <n v="0"/>
    <n v="0"/>
    <n v="195"/>
    <n v="0"/>
    <n v="0"/>
    <n v="0"/>
    <n v="195"/>
    <n v="214.51"/>
    <n v="799.51"/>
    <n v="0"/>
  </r>
  <r>
    <x v="0"/>
    <x v="5"/>
    <x v="0"/>
    <s v="8702106"/>
    <n v="766010"/>
    <s v="Property Tax"/>
    <s v="Fran Medical Pavilion-Highline"/>
    <x v="0"/>
    <m/>
    <n v="16694.78"/>
    <n v="16694.78"/>
    <n v="16694.78"/>
    <n v="16694.79"/>
    <n v="16694.78"/>
    <n v="16694.78"/>
    <n v="16694.78"/>
    <n v="16694.78"/>
    <n v="16694.78"/>
    <n v="7677.48"/>
    <n v="14440.46"/>
    <n v="14440.46"/>
    <n v="186811.43"/>
    <n v="0"/>
  </r>
  <r>
    <x v="14"/>
    <x v="13"/>
    <x v="0"/>
    <s v="8702500"/>
    <n v="600026"/>
    <s v="POB Rental"/>
    <s v="Devco Port Of Tacoma MOB"/>
    <x v="0"/>
    <n v="1001"/>
    <n v="-4202.57"/>
    <n v="-4202.57"/>
    <n v="-4202.57"/>
    <n v="-4202.57"/>
    <n v="-4202.57"/>
    <n v="-4229.8100000000004"/>
    <n v="-4229.8100000000004"/>
    <n v="-4229.8100000000004"/>
    <n v="-4506.5600000000004"/>
    <n v="-4322.0600000000004"/>
    <n v="-4322.0600000000004"/>
    <n v="-4322.0600000000004"/>
    <n v="-51175.01999999999"/>
    <n v="0"/>
  </r>
  <r>
    <x v="14"/>
    <x v="13"/>
    <x v="0"/>
    <s v="8702500"/>
    <n v="600026"/>
    <s v="Other Rental"/>
    <s v="Devco Port Of Tacoma MOB"/>
    <x v="0"/>
    <n v="1002"/>
    <n v="-5470.06"/>
    <n v="-5470.06"/>
    <n v="-5470.06"/>
    <n v="-5470.06"/>
    <n v="-5470.06"/>
    <n v="-5470.06"/>
    <n v="-5470.06"/>
    <n v="-5470.06"/>
    <n v="-5470.06"/>
    <n v="-5884.23"/>
    <n v="-5470.06"/>
    <n v="-5470.06"/>
    <n v="-66054.889999999985"/>
    <n v="-1159.25"/>
  </r>
  <r>
    <x v="7"/>
    <x v="13"/>
    <x v="0"/>
    <s v="8702500"/>
    <n v="718050"/>
    <s v="Cleaning Services"/>
    <s v="Devco Port Of Tacoma MOB"/>
    <x v="0"/>
    <n v="1011"/>
    <n v="0"/>
    <n v="1159.25"/>
    <n v="1159.25"/>
    <n v="2318.5"/>
    <n v="0"/>
    <n v="2318.5"/>
    <n v="1159.25"/>
    <n v="2318.5"/>
    <n v="0"/>
    <n v="1159.25"/>
    <n v="1159.25"/>
    <n v="2318.5"/>
    <n v="15070.25"/>
    <n v="55.1"/>
  </r>
  <r>
    <x v="7"/>
    <x v="13"/>
    <x v="0"/>
    <s v="8702500"/>
    <n v="718050"/>
    <s v="Pest Control"/>
    <s v="Devco Port Of Tacoma MOB"/>
    <x v="0"/>
    <n v="1014"/>
    <n v="68.7"/>
    <n v="123.75"/>
    <n v="0"/>
    <n v="55.05"/>
    <n v="55.05"/>
    <n v="110.1"/>
    <n v="55.05"/>
    <n v="55.05"/>
    <n v="110.1"/>
    <n v="0"/>
    <n v="55.1"/>
    <n v="0"/>
    <n v="687.95"/>
    <n v="2.8100000000000023"/>
  </r>
  <r>
    <x v="7"/>
    <x v="13"/>
    <x v="0"/>
    <s v="8702500"/>
    <n v="718050"/>
    <s v="Security"/>
    <s v="Devco Port Of Tacoma MOB"/>
    <x v="0"/>
    <n v="1019"/>
    <n v="87.11"/>
    <n v="87.11"/>
    <n v="84.3"/>
    <n v="87.11"/>
    <n v="84.3"/>
    <n v="87.11"/>
    <n v="87.11"/>
    <n v="78.680000000000007"/>
    <n v="87.11"/>
    <n v="84.3"/>
    <n v="87.11"/>
    <n v="84.3"/>
    <n v="1025.6499999999999"/>
    <n v="0"/>
  </r>
  <r>
    <x v="7"/>
    <x v="13"/>
    <x v="0"/>
    <s v="8702500"/>
    <n v="718050"/>
    <s v="Purchased Srvcs-Environmental Remediation"/>
    <s v="Devco Port Of Tacoma MOB"/>
    <x v="0"/>
    <n v="1028"/>
    <n v="0"/>
    <n v="0"/>
    <n v="0"/>
    <n v="0"/>
    <n v="0"/>
    <n v="1014.4"/>
    <n v="0"/>
    <n v="0"/>
    <n v="0"/>
    <n v="0"/>
    <n v="0"/>
    <n v="0"/>
    <n v="1014.4"/>
    <n v="0"/>
  </r>
  <r>
    <x v="7"/>
    <x v="13"/>
    <x v="0"/>
    <s v="8702500"/>
    <n v="718050"/>
    <s v="Purchased Service-Fire/Life Safety Test"/>
    <s v="Devco Port Of Tacoma MOB"/>
    <x v="0"/>
    <n v="5101"/>
    <n v="0"/>
    <n v="0"/>
    <n v="0"/>
    <n v="0"/>
    <n v="0"/>
    <n v="0"/>
    <n v="-134"/>
    <n v="0"/>
    <n v="0"/>
    <n v="30.27"/>
    <n v="0"/>
    <n v="0"/>
    <n v="-103.73"/>
    <n v="0"/>
  </r>
  <r>
    <x v="11"/>
    <x v="13"/>
    <x v="0"/>
    <s v="8702500"/>
    <n v="721870"/>
    <s v="Supplies-Environmental Services"/>
    <s v="Devco Port Of Tacoma MOB"/>
    <x v="0"/>
    <m/>
    <n v="0"/>
    <n v="223.94"/>
    <n v="0"/>
    <n v="186.62"/>
    <n v="0"/>
    <n v="0"/>
    <n v="327.7"/>
    <n v="392.92"/>
    <n v="186.62"/>
    <n v="0"/>
    <n v="0"/>
    <n v="0"/>
    <n v="1317.8000000000002"/>
    <n v="26.57000000000005"/>
  </r>
  <r>
    <x v="15"/>
    <x v="13"/>
    <x v="0"/>
    <s v="8702500"/>
    <n v="731020"/>
    <s v="Electricity"/>
    <s v="Devco Port Of Tacoma MOB"/>
    <x v="0"/>
    <m/>
    <n v="681.7"/>
    <n v="1419.87"/>
    <n v="0"/>
    <n v="1444.07"/>
    <n v="0"/>
    <n v="976.35"/>
    <n v="1068.6199999999999"/>
    <n v="1082.06"/>
    <n v="1316.13"/>
    <n v="1006.77"/>
    <n v="814.12"/>
    <n v="787.55"/>
    <n v="10597.24"/>
    <n v="-95.57"/>
  </r>
  <r>
    <x v="15"/>
    <x v="13"/>
    <x v="0"/>
    <s v="8702500"/>
    <n v="731030"/>
    <s v="Water"/>
    <s v="Devco Port Of Tacoma MOB"/>
    <x v="0"/>
    <m/>
    <n v="421.08"/>
    <n v="876.46"/>
    <n v="0"/>
    <n v="668.68"/>
    <n v="0"/>
    <n v="214.42"/>
    <n v="215.06"/>
    <n v="221.13"/>
    <n v="222.14"/>
    <n v="224.15"/>
    <n v="305.02"/>
    <n v="400.59"/>
    <n v="3768.73"/>
    <n v="-303.67999999999995"/>
  </r>
  <r>
    <x v="15"/>
    <x v="13"/>
    <x v="0"/>
    <s v="8702500"/>
    <n v="731040"/>
    <s v="Sewer"/>
    <s v="Devco Port Of Tacoma MOB"/>
    <x v="0"/>
    <m/>
    <n v="720.63"/>
    <n v="1550.83"/>
    <n v="0"/>
    <n v="887.27"/>
    <n v="0"/>
    <n v="60.67"/>
    <n v="62.7"/>
    <n v="65.77"/>
    <n v="67.33"/>
    <n v="73.709999999999994"/>
    <n v="330.72"/>
    <n v="634.4"/>
    <n v="4454.03"/>
    <n v="0"/>
  </r>
  <r>
    <x v="15"/>
    <x v="13"/>
    <x v="0"/>
    <s v="8702500"/>
    <n v="731050"/>
    <s v="Refuse Disposal"/>
    <s v="Devco Port Of Tacoma MOB"/>
    <x v="0"/>
    <m/>
    <n v="370.69"/>
    <n v="741.38"/>
    <n v="0"/>
    <n v="741.38"/>
    <n v="0"/>
    <n v="370.69"/>
    <n v="370.69"/>
    <n v="371.09"/>
    <n v="371.13"/>
    <n v="371.14"/>
    <n v="371.14"/>
    <n v="371.14"/>
    <n v="4450.47"/>
    <n v="0"/>
  </r>
  <r>
    <x v="16"/>
    <x v="13"/>
    <x v="0"/>
    <s v="8702500"/>
    <n v="732030"/>
    <s v="Repairs---Other"/>
    <s v="Devco Port Of Tacoma MOB"/>
    <x v="0"/>
    <m/>
    <n v="0"/>
    <n v="0"/>
    <n v="456.92"/>
    <n v="0"/>
    <n v="2211.16"/>
    <n v="1316.94"/>
    <n v="48.33"/>
    <n v="-456.92"/>
    <n v="28.96"/>
    <n v="0"/>
    <n v="0"/>
    <n v="0"/>
    <n v="3605.39"/>
    <n v="-992.45"/>
  </r>
  <r>
    <x v="16"/>
    <x v="13"/>
    <x v="0"/>
    <s v="8702500"/>
    <n v="733030"/>
    <s v="Maintenance Contract-HVAC"/>
    <s v="Devco Port Of Tacoma MOB"/>
    <x v="0"/>
    <n v="5102"/>
    <n v="479.21"/>
    <n v="0"/>
    <n v="0"/>
    <n v="479.21"/>
    <n v="0"/>
    <n v="0"/>
    <n v="496"/>
    <n v="0"/>
    <n v="0"/>
    <n v="0"/>
    <n v="0"/>
    <n v="992.45"/>
    <n v="2446.87"/>
    <n v="-206.56"/>
  </r>
  <r>
    <x v="16"/>
    <x v="13"/>
    <x v="0"/>
    <s v="8702500"/>
    <n v="733030"/>
    <s v="Maintenance Contract-Landscape(Exterior)"/>
    <s v="Devco Port Of Tacoma MOB"/>
    <x v="0"/>
    <n v="5104"/>
    <n v="0"/>
    <n v="0"/>
    <n v="0"/>
    <n v="0"/>
    <n v="0"/>
    <n v="0"/>
    <n v="0"/>
    <n v="0"/>
    <n v="0"/>
    <n v="0"/>
    <n v="0"/>
    <n v="206.56"/>
    <n v="206.56"/>
    <n v="313.41000000000003"/>
  </r>
  <r>
    <x v="16"/>
    <x v="13"/>
    <x v="0"/>
    <s v="8702500"/>
    <n v="733030"/>
    <s v="Maintenance Contract-Landscape General"/>
    <s v="Devco Port Of Tacoma MOB"/>
    <x v="0"/>
    <n v="5105"/>
    <n v="307.26"/>
    <n v="307.26"/>
    <n v="614.52"/>
    <n v="307.26"/>
    <n v="0"/>
    <n v="614.52"/>
    <n v="508.2"/>
    <n v="313.41000000000003"/>
    <n v="0"/>
    <n v="313.41000000000003"/>
    <n v="627.11"/>
    <n v="313.7"/>
    <n v="4226.6499999999996"/>
    <n v="1156.0500000000002"/>
  </r>
  <r>
    <x v="16"/>
    <x v="13"/>
    <x v="0"/>
    <s v="8702500"/>
    <n v="733030"/>
    <s v="Maintenance Contract-Parking"/>
    <s v="Devco Port Of Tacoma MOB"/>
    <x v="0"/>
    <n v="5106"/>
    <n v="0"/>
    <n v="0"/>
    <n v="414.96"/>
    <n v="0"/>
    <n v="0"/>
    <n v="0"/>
    <n v="0"/>
    <n v="1051.47"/>
    <n v="700.51"/>
    <n v="4272.1499999999996"/>
    <n v="1307.44"/>
    <n v="151.38999999999999"/>
    <n v="7897.920000000001"/>
    <n v="0"/>
  </r>
  <r>
    <x v="13"/>
    <x v="13"/>
    <x v="0"/>
    <s v="8702500"/>
    <n v="735030"/>
    <s v="Depreciation-Buildings"/>
    <s v="Devco Port Of Tacoma MOB"/>
    <x v="0"/>
    <m/>
    <n v="1050.1600000000001"/>
    <n v="1050.1600000000001"/>
    <n v="1050.1600000000001"/>
    <n v="1050.1600000000001"/>
    <n v="1050.1600000000001"/>
    <n v="1050.1600000000001"/>
    <n v="1050.1600000000001"/>
    <n v="1050.1600000000001"/>
    <n v="1050.1600000000001"/>
    <n v="1050.1600000000001"/>
    <n v="1050.1600000000001"/>
    <n v="1050.1600000000001"/>
    <n v="12601.92"/>
    <n v="9.9999999999909051E-3"/>
  </r>
  <r>
    <x v="13"/>
    <x v="13"/>
    <x v="0"/>
    <s v="8702500"/>
    <n v="735040"/>
    <s v="Depreciation-Building Improvements"/>
    <s v="Devco Port Of Tacoma MOB"/>
    <x v="0"/>
    <m/>
    <n v="81.48"/>
    <n v="81.48"/>
    <n v="81.48"/>
    <n v="81.48"/>
    <n v="81.489999999999995"/>
    <n v="81.48"/>
    <n v="81.489999999999995"/>
    <n v="81.48"/>
    <n v="81.489999999999995"/>
    <n v="81.48"/>
    <n v="81.489999999999995"/>
    <n v="81.48"/>
    <n v="977.80000000000007"/>
    <n v="9.9999999999909051E-3"/>
  </r>
  <r>
    <x v="13"/>
    <x v="13"/>
    <x v="0"/>
    <s v="8702500"/>
    <n v="735050"/>
    <s v="Amortization-Leasehold Improvements"/>
    <s v="Devco Port Of Tacoma MOB"/>
    <x v="0"/>
    <m/>
    <n v="909.35"/>
    <n v="909.35"/>
    <n v="909.35"/>
    <n v="909.35"/>
    <n v="909.35"/>
    <n v="909.35"/>
    <n v="909.36"/>
    <n v="909.35"/>
    <n v="909.36"/>
    <n v="909.35"/>
    <n v="909.36"/>
    <n v="909.35"/>
    <n v="10912.230000000001"/>
    <n v="9.9999999999980105E-3"/>
  </r>
  <r>
    <x v="13"/>
    <x v="13"/>
    <x v="0"/>
    <s v="8702500"/>
    <n v="735060"/>
    <s v="Depreciation-Fixed Equipment"/>
    <s v="Devco Port Of Tacoma MOB"/>
    <x v="0"/>
    <m/>
    <n v="27.62"/>
    <n v="27.62"/>
    <n v="27.62"/>
    <n v="27.62"/>
    <n v="27.63"/>
    <n v="27.62"/>
    <n v="27.63"/>
    <n v="27.62"/>
    <n v="27.63"/>
    <n v="27.62"/>
    <n v="27.63"/>
    <n v="27.62"/>
    <n v="331.48"/>
    <n v="0"/>
  </r>
  <r>
    <x v="8"/>
    <x v="13"/>
    <x v="0"/>
    <s v="8702500"/>
    <n v="741010"/>
    <s v="Liability Insurance-CHI Programs"/>
    <s v="Devco Port Of Tacoma MOB"/>
    <x v="0"/>
    <m/>
    <n v="154.61000000000001"/>
    <n v="154.61000000000001"/>
    <n v="-42.52"/>
    <n v="88.9"/>
    <n v="88.9"/>
    <n v="88.9"/>
    <n v="88.9"/>
    <n v="88.9"/>
    <n v="88.9"/>
    <n v="88.9"/>
    <n v="88.9"/>
    <n v="88.9"/>
    <n v="1066.8"/>
    <n v="0"/>
  </r>
  <r>
    <x v="8"/>
    <x v="13"/>
    <x v="0"/>
    <s v="8702500"/>
    <n v="741030"/>
    <s v="Property Insurance-CHI Programs"/>
    <s v="Devco Port Of Tacoma MOB"/>
    <x v="0"/>
    <m/>
    <n v="113.09"/>
    <n v="113.09"/>
    <n v="-35.86"/>
    <n v="63.44"/>
    <n v="63.44"/>
    <n v="63.44"/>
    <n v="63.44"/>
    <n v="63.44"/>
    <n v="63.44"/>
    <n v="63.44"/>
    <n v="63.44"/>
    <n v="63.44"/>
    <n v="761.2800000000002"/>
    <n v="0"/>
  </r>
  <r>
    <x v="0"/>
    <x v="13"/>
    <x v="0"/>
    <s v="8702500"/>
    <n v="749510"/>
    <s v="Miscellaneous Expense"/>
    <s v="Devco Port Of Tacoma MOB"/>
    <x v="0"/>
    <n v="1009"/>
    <n v="0"/>
    <n v="0"/>
    <n v="0"/>
    <n v="0"/>
    <n v="185.9"/>
    <n v="185.9"/>
    <n v="0"/>
    <n v="1915.28"/>
    <n v="0"/>
    <n v="0"/>
    <n v="0"/>
    <n v="0"/>
    <n v="2287.08"/>
    <n v="0"/>
  </r>
  <r>
    <x v="0"/>
    <x v="13"/>
    <x v="0"/>
    <s v="8702500"/>
    <n v="766010"/>
    <s v="Property Tax"/>
    <s v="Devco Port Of Tacoma MOB"/>
    <x v="0"/>
    <m/>
    <n v="0"/>
    <n v="0"/>
    <n v="0"/>
    <n v="0"/>
    <n v="0"/>
    <n v="0"/>
    <n v="8.6999999999999993"/>
    <n v="0"/>
    <n v="0"/>
    <n v="0.97"/>
    <n v="0"/>
    <n v="0"/>
    <n v="9.67"/>
    <n v="103.26"/>
  </r>
  <r>
    <x v="16"/>
    <x v="9"/>
    <x v="0"/>
    <s v="8702501"/>
    <n v="733030"/>
    <s v="Maintenance Contract-Parking"/>
    <s v="St. Clare MP"/>
    <x v="0"/>
    <n v="5106"/>
    <n v="103.27"/>
    <n v="103.26"/>
    <n v="0"/>
    <n v="206.54"/>
    <n v="0"/>
    <n v="103.26"/>
    <n v="103.26"/>
    <n v="103.26"/>
    <n v="0"/>
    <n v="1699.75"/>
    <n v="103.26"/>
    <n v="0"/>
    <n v="2525.86"/>
    <n v="9.9999999999980105E-3"/>
  </r>
  <r>
    <x v="13"/>
    <x v="9"/>
    <x v="0"/>
    <s v="8702501"/>
    <n v="735020"/>
    <s v="Depreciation-Land Improvements"/>
    <s v="St. Clare MP"/>
    <x v="0"/>
    <m/>
    <n v="18.7"/>
    <n v="18.690000000000001"/>
    <n v="18.7"/>
    <n v="18.690000000000001"/>
    <n v="18.7"/>
    <n v="18.690000000000001"/>
    <n v="18.7"/>
    <n v="18.690000000000001"/>
    <n v="18.7"/>
    <n v="18.690000000000001"/>
    <n v="18.7"/>
    <n v="18.690000000000001"/>
    <n v="224.33999999999997"/>
    <n v="0"/>
  </r>
  <r>
    <x v="14"/>
    <x v="13"/>
    <x v="0"/>
    <s v="8703500"/>
    <n v="600026"/>
    <s v="Other Rental"/>
    <s v="Devco Gig Harbor MOB"/>
    <x v="0"/>
    <n v="1002"/>
    <n v="-18516.650000000001"/>
    <n v="-18516.650000000001"/>
    <n v="-18516.650000000001"/>
    <n v="-18516.650000000001"/>
    <n v="-18516.650000000001"/>
    <n v="-18516.650000000001"/>
    <n v="-18516.650000000001"/>
    <n v="-18516.650000000001"/>
    <n v="-18516.650000000001"/>
    <n v="-1401.26"/>
    <n v="-18516.650000000001"/>
    <n v="-18516.650000000001"/>
    <n v="-205084.40999999997"/>
    <n v="-798.75"/>
  </r>
  <r>
    <x v="7"/>
    <x v="13"/>
    <x v="0"/>
    <s v="8703500"/>
    <n v="718050"/>
    <s v="Contract Svcs-Other"/>
    <s v="Devco Gig Harbor MOB"/>
    <x v="0"/>
    <m/>
    <n v="0"/>
    <n v="0"/>
    <n v="393.75"/>
    <n v="0"/>
    <n v="0"/>
    <n v="0"/>
    <n v="0"/>
    <n v="852"/>
    <n v="393.75"/>
    <n v="0"/>
    <n v="0"/>
    <n v="798.75"/>
    <n v="2438.25"/>
    <n v="-5509.1999999999989"/>
  </r>
  <r>
    <x v="7"/>
    <x v="13"/>
    <x v="0"/>
    <s v="8703500"/>
    <n v="718050"/>
    <s v="Cleaning Services"/>
    <s v="Devco Gig Harbor MOB"/>
    <x v="0"/>
    <n v="1011"/>
    <n v="0"/>
    <n v="5509.2"/>
    <n v="0"/>
    <n v="5509.2"/>
    <n v="0"/>
    <n v="7428.64"/>
    <n v="2754.6"/>
    <n v="2754.6"/>
    <n v="0"/>
    <n v="2754.6"/>
    <n v="2754.6"/>
    <n v="8263.7999999999993"/>
    <n v="37729.239999999991"/>
    <n v="-62.5"/>
  </r>
  <r>
    <x v="7"/>
    <x v="13"/>
    <x v="0"/>
    <s v="8703500"/>
    <n v="718050"/>
    <s v="Pest Control"/>
    <s v="Devco Gig Harbor MOB"/>
    <x v="0"/>
    <n v="1014"/>
    <n v="0"/>
    <n v="83.55"/>
    <n v="0"/>
    <n v="203.43"/>
    <n v="67.81"/>
    <n v="67.81"/>
    <n v="67.81"/>
    <n v="67.81"/>
    <n v="135.62"/>
    <n v="0"/>
    <n v="67.81"/>
    <n v="130.31"/>
    <n v="891.96"/>
    <n v="2.8100000000000023"/>
  </r>
  <r>
    <x v="7"/>
    <x v="13"/>
    <x v="0"/>
    <s v="8703500"/>
    <n v="718050"/>
    <s v="Security"/>
    <s v="Devco Gig Harbor MOB"/>
    <x v="0"/>
    <n v="1019"/>
    <n v="87.11"/>
    <n v="87.11"/>
    <n v="84.3"/>
    <n v="87.11"/>
    <n v="84.3"/>
    <n v="5907.05"/>
    <n v="87.11"/>
    <n v="78.680000000000007"/>
    <n v="87.11"/>
    <n v="84.3"/>
    <n v="87.11"/>
    <n v="84.3"/>
    <n v="6845.59"/>
    <n v="2754.6"/>
  </r>
  <r>
    <x v="7"/>
    <x v="13"/>
    <x v="0"/>
    <s v="8703500"/>
    <n v="718050"/>
    <s v="Purchased Srvcs-Environmental Remediation"/>
    <s v="Devco Gig Harbor MOB"/>
    <x v="0"/>
    <n v="1028"/>
    <n v="0"/>
    <n v="0"/>
    <n v="0"/>
    <n v="0"/>
    <n v="0"/>
    <n v="0"/>
    <n v="2754.6"/>
    <n v="0"/>
    <n v="0"/>
    <n v="0"/>
    <n v="0"/>
    <n v="-2754.6"/>
    <n v="0"/>
    <n v="0"/>
  </r>
  <r>
    <x v="7"/>
    <x v="13"/>
    <x v="0"/>
    <s v="8703500"/>
    <n v="718050"/>
    <s v="Purchased Service-Fire/Life Safety Test"/>
    <s v="Devco Gig Harbor MOB"/>
    <x v="0"/>
    <n v="5101"/>
    <n v="1092.97"/>
    <n v="0"/>
    <n v="0"/>
    <n v="0"/>
    <n v="0"/>
    <n v="0"/>
    <n v="0"/>
    <n v="265.77999999999997"/>
    <n v="0"/>
    <n v="0"/>
    <n v="0"/>
    <n v="0"/>
    <n v="1358.75"/>
    <n v="0"/>
  </r>
  <r>
    <x v="11"/>
    <x v="13"/>
    <x v="0"/>
    <s v="8703500"/>
    <n v="721830"/>
    <s v="Supplies-Office"/>
    <s v="Devco Gig Harbor MOB"/>
    <x v="0"/>
    <m/>
    <n v="0"/>
    <n v="0"/>
    <n v="345.55"/>
    <n v="0"/>
    <n v="0"/>
    <n v="0"/>
    <n v="0"/>
    <n v="0"/>
    <n v="0"/>
    <n v="0"/>
    <n v="0"/>
    <n v="0"/>
    <n v="345.55"/>
    <n v="0"/>
  </r>
  <r>
    <x v="11"/>
    <x v="13"/>
    <x v="0"/>
    <s v="8703500"/>
    <n v="721870"/>
    <s v="Supplies-Environmental Services"/>
    <s v="Devco Gig Harbor MOB"/>
    <x v="0"/>
    <m/>
    <n v="0"/>
    <n v="413.05"/>
    <n v="0"/>
    <n v="805.06"/>
    <n v="0"/>
    <n v="0"/>
    <n v="0"/>
    <n v="0"/>
    <n v="0"/>
    <n v="0"/>
    <n v="0"/>
    <n v="0"/>
    <n v="1218.1099999999999"/>
    <n v="493.09"/>
  </r>
  <r>
    <x v="12"/>
    <x v="13"/>
    <x v="0"/>
    <s v="8703500"/>
    <n v="730010"/>
    <s v="Rental and Leases-Building (DO NOT USE)"/>
    <s v="Devco Gig Harbor MOB"/>
    <x v="0"/>
    <m/>
    <n v="552.25"/>
    <n v="552.64"/>
    <n v="564.27"/>
    <n v="564.27"/>
    <n v="564.27"/>
    <n v="136.80000000000001"/>
    <n v="493.09"/>
    <n v="493.09"/>
    <n v="493.09"/>
    <n v="493.09"/>
    <n v="493.09"/>
    <n v="0"/>
    <n v="5399.9500000000007"/>
    <n v="74.099999999999994"/>
  </r>
  <r>
    <x v="12"/>
    <x v="13"/>
    <x v="0"/>
    <s v="8703500"/>
    <n v="730010"/>
    <s v="Rental-Common Area Maint (DO NOT USE)"/>
    <s v="Devco Gig Harbor MOB"/>
    <x v="0"/>
    <n v="2200"/>
    <n v="0"/>
    <n v="0"/>
    <n v="0"/>
    <n v="0"/>
    <n v="0"/>
    <n v="430.39"/>
    <n v="74.099999999999994"/>
    <n v="74.099999999999994"/>
    <n v="181.86"/>
    <n v="74.099999999999994"/>
    <n v="74.099999999999994"/>
    <n v="0"/>
    <n v="908.65000000000009"/>
    <n v="-567.19000000000005"/>
  </r>
  <r>
    <x v="12"/>
    <x v="13"/>
    <x v="0"/>
    <s v="8703500"/>
    <n v="730040"/>
    <s v="LT Lease-Real Estate"/>
    <s v="Devco Gig Harbor MOB"/>
    <x v="0"/>
    <m/>
    <n v="0"/>
    <n v="0"/>
    <n v="0"/>
    <n v="0"/>
    <n v="0"/>
    <n v="0"/>
    <n v="0"/>
    <n v="0"/>
    <n v="0"/>
    <n v="0"/>
    <n v="0"/>
    <n v="567.19000000000005"/>
    <n v="567.19000000000005"/>
    <n v="-61.730000000000473"/>
  </r>
  <r>
    <x v="15"/>
    <x v="13"/>
    <x v="0"/>
    <s v="8703500"/>
    <n v="731020"/>
    <s v="Electricity"/>
    <s v="Devco Gig Harbor MOB"/>
    <x v="0"/>
    <m/>
    <n v="6736.34"/>
    <n v="6856.61"/>
    <n v="6674"/>
    <n v="6319.45"/>
    <n v="6605.86"/>
    <n v="6534.51"/>
    <n v="7198.99"/>
    <n v="7139.18"/>
    <n v="6993.14"/>
    <n v="6845.3"/>
    <n v="6113.99"/>
    <n v="6175.72"/>
    <n v="80193.090000000011"/>
    <n v="-1795.38"/>
  </r>
  <r>
    <x v="15"/>
    <x v="13"/>
    <x v="0"/>
    <s v="8703500"/>
    <n v="731030"/>
    <s v="Water"/>
    <s v="Devco Gig Harbor MOB"/>
    <x v="0"/>
    <m/>
    <n v="0"/>
    <n v="1963.76"/>
    <n v="0"/>
    <n v="2169.79"/>
    <n v="0"/>
    <n v="826.62"/>
    <n v="0"/>
    <n v="1076.52"/>
    <n v="0"/>
    <n v="861.32"/>
    <n v="0"/>
    <n v="1795.38"/>
    <n v="8693.39"/>
    <n v="-2215.91"/>
  </r>
  <r>
    <x v="15"/>
    <x v="13"/>
    <x v="0"/>
    <s v="8703500"/>
    <n v="731040"/>
    <s v="Sewer"/>
    <s v="Devco Gig Harbor MOB"/>
    <x v="0"/>
    <m/>
    <n v="0"/>
    <n v="1581.62"/>
    <n v="0"/>
    <n v="1581.6"/>
    <n v="0"/>
    <n v="1546.36"/>
    <n v="0"/>
    <n v="1609.88"/>
    <n v="0"/>
    <n v="1463.71"/>
    <n v="0"/>
    <n v="2215.91"/>
    <n v="9999.08"/>
    <n v="105.72000000000003"/>
  </r>
  <r>
    <x v="15"/>
    <x v="13"/>
    <x v="0"/>
    <s v="8703500"/>
    <n v="731050"/>
    <s v="Refuse Disposal"/>
    <s v="Devco Gig Harbor MOB"/>
    <x v="0"/>
    <m/>
    <n v="1163.1099999999999"/>
    <n v="1163.1099999999999"/>
    <n v="1187.25"/>
    <n v="1238.19"/>
    <n v="1261"/>
    <n v="1332.09"/>
    <n v="1368.3"/>
    <n v="1364.18"/>
    <n v="1234.01"/>
    <n v="1473.12"/>
    <n v="1433.47"/>
    <n v="1327.75"/>
    <n v="15545.58"/>
    <n v="-245.86"/>
  </r>
  <r>
    <x v="16"/>
    <x v="13"/>
    <x v="0"/>
    <s v="8703500"/>
    <n v="732030"/>
    <s v="Repairs---Other"/>
    <s v="Devco Gig Harbor MOB"/>
    <x v="0"/>
    <m/>
    <n v="0"/>
    <n v="0"/>
    <n v="0"/>
    <n v="431.05"/>
    <n v="0"/>
    <n v="0"/>
    <n v="391.69"/>
    <n v="0"/>
    <n v="0"/>
    <n v="0"/>
    <n v="0"/>
    <n v="245.86"/>
    <n v="1068.5999999999999"/>
    <n v="0"/>
  </r>
  <r>
    <x v="16"/>
    <x v="13"/>
    <x v="0"/>
    <s v="8703500"/>
    <n v="732030"/>
    <s v="Repairs&amp;Maintenance-Electrical"/>
    <s v="Devco Gig Harbor MOB"/>
    <x v="0"/>
    <n v="5100"/>
    <n v="0"/>
    <n v="0"/>
    <n v="0"/>
    <n v="0"/>
    <n v="0"/>
    <n v="0"/>
    <n v="1706.71"/>
    <n v="0"/>
    <n v="0"/>
    <n v="0"/>
    <n v="0"/>
    <n v="0"/>
    <n v="1706.71"/>
    <n v="0"/>
  </r>
  <r>
    <x v="16"/>
    <x v="13"/>
    <x v="0"/>
    <s v="8703500"/>
    <n v="732030"/>
    <s v="Repairs&amp;Maintenance-HVAC"/>
    <s v="Devco Gig Harbor MOB"/>
    <x v="0"/>
    <n v="5102"/>
    <n v="0"/>
    <n v="0"/>
    <n v="0"/>
    <n v="292.95"/>
    <n v="0"/>
    <n v="0"/>
    <n v="0"/>
    <n v="0"/>
    <n v="0"/>
    <n v="0"/>
    <n v="0"/>
    <n v="0"/>
    <n v="292.95"/>
    <n v="0"/>
  </r>
  <r>
    <x v="16"/>
    <x v="13"/>
    <x v="0"/>
    <s v="8703500"/>
    <n v="732030"/>
    <s v="Repairs&amp;Maintenance-Plumbing"/>
    <s v="Devco Gig Harbor MOB"/>
    <x v="0"/>
    <n v="5103"/>
    <n v="0"/>
    <n v="0"/>
    <n v="0"/>
    <n v="0"/>
    <n v="0"/>
    <n v="591.33000000000004"/>
    <n v="0"/>
    <n v="0"/>
    <n v="585"/>
    <n v="0"/>
    <n v="0"/>
    <n v="0"/>
    <n v="1176.33"/>
    <n v="0"/>
  </r>
  <r>
    <x v="16"/>
    <x v="13"/>
    <x v="0"/>
    <s v="8703500"/>
    <n v="733030"/>
    <s v="Maintenance Contracts-Other"/>
    <s v="Devco Gig Harbor MOB"/>
    <x v="0"/>
    <m/>
    <n v="0"/>
    <n v="0"/>
    <n v="0"/>
    <n v="0"/>
    <n v="0"/>
    <n v="0"/>
    <n v="0"/>
    <n v="0"/>
    <n v="0"/>
    <n v="4174.54"/>
    <n v="0"/>
    <n v="0"/>
    <n v="4174.54"/>
    <n v="-2289.08"/>
  </r>
  <r>
    <x v="16"/>
    <x v="13"/>
    <x v="0"/>
    <s v="8703500"/>
    <n v="733030"/>
    <s v="Maintenance Contract-HVAC"/>
    <s v="Devco Gig Harbor MOB"/>
    <x v="0"/>
    <n v="5102"/>
    <n v="2211.77"/>
    <n v="0"/>
    <n v="979.87"/>
    <n v="2211.77"/>
    <n v="0"/>
    <n v="0"/>
    <n v="2289.08"/>
    <n v="0"/>
    <n v="0"/>
    <n v="0"/>
    <n v="0"/>
    <n v="2289.08"/>
    <n v="9981.57"/>
    <n v="-1036.18"/>
  </r>
  <r>
    <x v="16"/>
    <x v="13"/>
    <x v="0"/>
    <s v="8703500"/>
    <n v="733030"/>
    <s v="Maintenance Contract-Landscape(Exterior)"/>
    <s v="Devco Gig Harbor MOB"/>
    <x v="0"/>
    <n v="5104"/>
    <n v="0"/>
    <n v="0"/>
    <n v="0"/>
    <n v="0"/>
    <n v="0"/>
    <n v="0"/>
    <n v="0"/>
    <n v="0"/>
    <n v="0"/>
    <n v="0"/>
    <n v="0"/>
    <n v="1036.18"/>
    <n v="1036.18"/>
    <n v="5902.7800000000007"/>
  </r>
  <r>
    <x v="16"/>
    <x v="13"/>
    <x v="0"/>
    <s v="8703500"/>
    <n v="733030"/>
    <s v="Maintenance Contract-Landscape General"/>
    <s v="Devco Gig Harbor MOB"/>
    <x v="0"/>
    <n v="5105"/>
    <n v="3853.83"/>
    <n v="2775.99"/>
    <n v="1685.12"/>
    <n v="979.87"/>
    <n v="0"/>
    <n v="1959.74"/>
    <n v="979.87"/>
    <n v="999.48"/>
    <n v="0"/>
    <n v="999.48"/>
    <n v="4950.3500000000004"/>
    <n v="-952.43"/>
    <n v="18231.3"/>
    <n v="3188.8199999999997"/>
  </r>
  <r>
    <x v="16"/>
    <x v="13"/>
    <x v="0"/>
    <s v="8703500"/>
    <n v="733030"/>
    <s v="Maintenance Contract-Parking"/>
    <s v="Devco Gig Harbor MOB"/>
    <x v="0"/>
    <n v="5106"/>
    <n v="0"/>
    <n v="0"/>
    <n v="902"/>
    <n v="0"/>
    <n v="0"/>
    <n v="0"/>
    <n v="73.239999999999995"/>
    <n v="2718.22"/>
    <n v="2415.75"/>
    <n v="9070.8700000000008"/>
    <n v="3487.2"/>
    <n v="298.38"/>
    <n v="18965.660000000003"/>
    <n v="0"/>
  </r>
  <r>
    <x v="0"/>
    <x v="13"/>
    <x v="0"/>
    <s v="8703500"/>
    <n v="749510"/>
    <s v="Licenses"/>
    <s v="Devco Gig Harbor MOB"/>
    <x v="0"/>
    <n v="1002"/>
    <n v="83.55"/>
    <n v="0"/>
    <n v="0"/>
    <n v="0"/>
    <n v="0"/>
    <n v="0"/>
    <n v="0"/>
    <n v="0"/>
    <n v="0"/>
    <n v="0"/>
    <n v="0"/>
    <n v="0"/>
    <n v="83.55"/>
    <n v="0"/>
  </r>
  <r>
    <x v="0"/>
    <x v="13"/>
    <x v="0"/>
    <s v="8703500"/>
    <n v="749510"/>
    <s v="Miscellaneous Expense"/>
    <s v="Devco Gig Harbor MOB"/>
    <x v="0"/>
    <n v="1009"/>
    <n v="-9310.7999999999993"/>
    <n v="860.63"/>
    <n v="95"/>
    <n v="7731.71"/>
    <n v="185.9"/>
    <n v="185.9"/>
    <n v="0"/>
    <n v="0"/>
    <n v="271.25"/>
    <n v="0"/>
    <n v="0"/>
    <n v="0"/>
    <n v="19.589999999999947"/>
    <n v="0"/>
  </r>
  <r>
    <x v="0"/>
    <x v="13"/>
    <x v="0"/>
    <s v="8703500"/>
    <n v="749510"/>
    <s v="Signage"/>
    <s v="Devco Gig Harbor MOB"/>
    <x v="0"/>
    <n v="5104"/>
    <n v="0"/>
    <n v="0"/>
    <n v="0"/>
    <n v="0"/>
    <n v="0"/>
    <n v="0"/>
    <n v="0"/>
    <n v="0"/>
    <n v="368.36"/>
    <n v="79.22"/>
    <n v="0"/>
    <n v="0"/>
    <n v="447.58000000000004"/>
    <n v="0"/>
  </r>
  <r>
    <x v="16"/>
    <x v="13"/>
    <x v="0"/>
    <s v="8704500"/>
    <n v="732030"/>
    <s v="Repairs---Other"/>
    <s v="Devco Up MOB"/>
    <x v="0"/>
    <m/>
    <n v="0"/>
    <n v="0"/>
    <n v="109.33"/>
    <n v="543.28"/>
    <n v="0"/>
    <n v="0"/>
    <n v="0"/>
    <n v="0"/>
    <n v="0"/>
    <n v="0"/>
    <n v="0"/>
    <n v="0"/>
    <n v="652.61"/>
    <n v="0"/>
  </r>
  <r>
    <x v="7"/>
    <x v="9"/>
    <x v="0"/>
    <s v="8704501"/>
    <n v="718050"/>
    <s v="Contract Svcs-Other"/>
    <s v="Bonney Lake MOB"/>
    <x v="0"/>
    <m/>
    <n v="0"/>
    <n v="0"/>
    <n v="843.75"/>
    <n v="53.74"/>
    <n v="0"/>
    <n v="0"/>
    <n v="0"/>
    <n v="1834"/>
    <n v="0"/>
    <n v="843.75"/>
    <n v="0"/>
    <n v="0"/>
    <n v="3575.24"/>
    <n v="0"/>
  </r>
  <r>
    <x v="7"/>
    <x v="9"/>
    <x v="0"/>
    <s v="8704501"/>
    <n v="718050"/>
    <s v="Cleaning Services"/>
    <s v="Bonney Lake MOB"/>
    <x v="0"/>
    <n v="1011"/>
    <n v="0"/>
    <n v="10990.02"/>
    <n v="5748.16"/>
    <n v="5241.8599999999997"/>
    <n v="5241.8599999999997"/>
    <n v="5748.16"/>
    <n v="5241.8599999999997"/>
    <n v="5241.8599999999997"/>
    <n v="5241.8599999999997"/>
    <n v="5241.8599999999997"/>
    <n v="5241.8599999999997"/>
    <n v="5241.8599999999997"/>
    <n v="64421.22"/>
    <n v="0"/>
  </r>
  <r>
    <x v="7"/>
    <x v="9"/>
    <x v="0"/>
    <s v="8704501"/>
    <n v="718050"/>
    <s v="Pest Control"/>
    <s v="Bonney Lake MOB"/>
    <x v="0"/>
    <n v="1014"/>
    <n v="65.58"/>
    <n v="0"/>
    <n v="53.74"/>
    <n v="152.11000000000001"/>
    <n v="0"/>
    <n v="107.48"/>
    <n v="53.74"/>
    <n v="53.74"/>
    <n v="53.74"/>
    <n v="53.74"/>
    <n v="0"/>
    <n v="0"/>
    <n v="593.87"/>
    <n v="0"/>
  </r>
  <r>
    <x v="7"/>
    <x v="9"/>
    <x v="0"/>
    <s v="8704501"/>
    <n v="718050"/>
    <s v="Security"/>
    <s v="Bonney Lake MOB"/>
    <x v="0"/>
    <n v="1019"/>
    <n v="0"/>
    <n v="0"/>
    <n v="0"/>
    <n v="0"/>
    <n v="0"/>
    <n v="0"/>
    <n v="0"/>
    <n v="0"/>
    <n v="0"/>
    <n v="0"/>
    <n v="0"/>
    <n v="0"/>
    <n v="0"/>
    <n v="-77"/>
  </r>
  <r>
    <x v="7"/>
    <x v="9"/>
    <x v="0"/>
    <s v="8704501"/>
    <n v="718050"/>
    <s v="Purchased Srvcs-Environmental Remediation"/>
    <s v="Bonney Lake MOB"/>
    <x v="0"/>
    <n v="1028"/>
    <n v="72"/>
    <n v="72"/>
    <n v="0"/>
    <n v="144"/>
    <n v="0"/>
    <n v="154"/>
    <n v="77"/>
    <n v="154"/>
    <n v="0"/>
    <n v="77"/>
    <n v="77"/>
    <n v="154"/>
    <n v="981"/>
    <n v="-858.01"/>
  </r>
  <r>
    <x v="7"/>
    <x v="9"/>
    <x v="0"/>
    <s v="8704501"/>
    <n v="718050"/>
    <s v="Purchased Service-Fire Equipment"/>
    <s v="Bonney Lake MOB"/>
    <x v="0"/>
    <n v="5100"/>
    <n v="0"/>
    <n v="374.36"/>
    <n v="0"/>
    <n v="0"/>
    <n v="0"/>
    <n v="0"/>
    <n v="0"/>
    <n v="0"/>
    <n v="0"/>
    <n v="0"/>
    <n v="0"/>
    <n v="858.01"/>
    <n v="1232.3699999999999"/>
    <n v="-659.03"/>
  </r>
  <r>
    <x v="7"/>
    <x v="9"/>
    <x v="0"/>
    <s v="8704501"/>
    <n v="718050"/>
    <s v="Purchased Service-Fire/Life Safety Test"/>
    <s v="Bonney Lake MOB"/>
    <x v="0"/>
    <n v="5101"/>
    <n v="0"/>
    <n v="0"/>
    <n v="0"/>
    <n v="0"/>
    <n v="0"/>
    <n v="0"/>
    <n v="0"/>
    <n v="3395"/>
    <n v="0"/>
    <n v="0"/>
    <n v="0"/>
    <n v="659.03"/>
    <n v="4054.0299999999997"/>
    <n v="562.6400000000001"/>
  </r>
  <r>
    <x v="11"/>
    <x v="9"/>
    <x v="0"/>
    <s v="8704501"/>
    <n v="721830"/>
    <s v="Supplies-Office"/>
    <s v="Bonney Lake MOB"/>
    <x v="0"/>
    <m/>
    <n v="663.49"/>
    <n v="0"/>
    <n v="0"/>
    <n v="0"/>
    <n v="980.55"/>
    <n v="0"/>
    <n v="0"/>
    <n v="466.93"/>
    <n v="371.73"/>
    <n v="1637.86"/>
    <n v="1944.96"/>
    <n v="1382.32"/>
    <n v="7447.8399999999992"/>
    <n v="0"/>
  </r>
  <r>
    <x v="11"/>
    <x v="9"/>
    <x v="0"/>
    <s v="8704501"/>
    <n v="721870"/>
    <s v="Supplies-Environmental Services"/>
    <s v="Bonney Lake MOB"/>
    <x v="0"/>
    <m/>
    <n v="0"/>
    <n v="779.02"/>
    <n v="621.05999999999995"/>
    <n v="1382.79"/>
    <n v="0"/>
    <n v="233.45"/>
    <n v="799.49"/>
    <n v="753.19"/>
    <n v="435.89"/>
    <n v="0"/>
    <n v="0"/>
    <n v="0"/>
    <n v="5004.8900000000003"/>
    <n v="0"/>
  </r>
  <r>
    <x v="12"/>
    <x v="9"/>
    <x v="0"/>
    <s v="8704501"/>
    <n v="730010"/>
    <s v="Rental and Leases-Building (DO NOT USE)"/>
    <s v="Bonney Lake MOB"/>
    <x v="0"/>
    <m/>
    <n v="-38975.19"/>
    <n v="-38975.19"/>
    <n v="-38975.19"/>
    <n v="-38975.19"/>
    <n v="-38975.19"/>
    <n v="194875.95"/>
    <n v="0"/>
    <n v="0"/>
    <n v="0"/>
    <n v="0"/>
    <n v="0"/>
    <n v="0"/>
    <n v="0"/>
    <n v="0"/>
  </r>
  <r>
    <x v="12"/>
    <x v="9"/>
    <x v="0"/>
    <s v="8704501"/>
    <n v="730010"/>
    <s v="Rental-Common Area Maint (DO NOT USE)"/>
    <s v="Bonney Lake MOB"/>
    <x v="0"/>
    <n v="2200"/>
    <n v="0"/>
    <n v="0"/>
    <n v="0"/>
    <n v="0"/>
    <n v="0"/>
    <n v="-233851.14"/>
    <n v="-38975.19"/>
    <n v="-38975.19"/>
    <n v="-38975.19"/>
    <n v="-53062.02"/>
    <n v="-38975.19"/>
    <n v="-38975.19"/>
    <n v="-481789.11000000004"/>
    <n v="42.599999999999994"/>
  </r>
  <r>
    <x v="15"/>
    <x v="9"/>
    <x v="0"/>
    <s v="8704501"/>
    <n v="731010"/>
    <s v="Natural Gas"/>
    <s v="Bonney Lake MOB"/>
    <x v="0"/>
    <m/>
    <n v="154.83000000000001"/>
    <n v="137.15"/>
    <n v="190.63"/>
    <n v="301.77"/>
    <n v="593.92999999999995"/>
    <n v="717.65"/>
    <n v="0"/>
    <n v="835.36"/>
    <n v="385.54"/>
    <n v="204.85"/>
    <n v="143.6"/>
    <n v="101"/>
    <n v="3766.31"/>
    <n v="-447.43000000000029"/>
  </r>
  <r>
    <x v="15"/>
    <x v="9"/>
    <x v="0"/>
    <s v="8704501"/>
    <n v="731020"/>
    <s v="Electricity"/>
    <s v="Bonney Lake MOB"/>
    <x v="0"/>
    <m/>
    <n v="7684.54"/>
    <n v="8679.1299999999992"/>
    <n v="7326.3"/>
    <n v="7004.36"/>
    <n v="7481.03"/>
    <n v="7618.79"/>
    <n v="0"/>
    <n v="15689.44"/>
    <n v="7614.17"/>
    <n v="7336.26"/>
    <n v="7073.69"/>
    <n v="7521.12"/>
    <n v="91028.83"/>
    <n v="-59.880000000000024"/>
  </r>
  <r>
    <x v="15"/>
    <x v="9"/>
    <x v="0"/>
    <s v="8704501"/>
    <n v="731030"/>
    <s v="Water"/>
    <s v="Bonney Lake MOB"/>
    <x v="0"/>
    <m/>
    <n v="804.12"/>
    <n v="661.43"/>
    <n v="753.56"/>
    <n v="880.62"/>
    <n v="253.17"/>
    <n v="161.03"/>
    <n v="161.03"/>
    <n v="167.41"/>
    <n v="192.94"/>
    <n v="162.63999999999999"/>
    <n v="201.29"/>
    <n v="261.17"/>
    <n v="4660.41"/>
    <n v="-4.5"/>
  </r>
  <r>
    <x v="15"/>
    <x v="9"/>
    <x v="0"/>
    <s v="8704501"/>
    <n v="731040"/>
    <s v="Sewer"/>
    <s v="Bonney Lake MOB"/>
    <x v="0"/>
    <m/>
    <n v="674.58"/>
    <n v="662.85"/>
    <n v="666.76"/>
    <n v="698.04"/>
    <n v="662.85"/>
    <n v="670.67"/>
    <n v="670.67"/>
    <n v="676.19"/>
    <n v="721.26"/>
    <n v="676.26"/>
    <n v="694.26"/>
    <n v="698.76"/>
    <n v="8173.1500000000015"/>
    <n v="1993.9499999999998"/>
  </r>
  <r>
    <x v="15"/>
    <x v="9"/>
    <x v="0"/>
    <s v="8704501"/>
    <n v="731050"/>
    <s v="Refuse Disposal"/>
    <s v="Bonney Lake MOB"/>
    <x v="0"/>
    <m/>
    <n v="1820.16"/>
    <n v="153.86000000000001"/>
    <n v="1887.64"/>
    <n v="153.86000000000001"/>
    <n v="1815.21"/>
    <n v="153.86000000000001"/>
    <n v="1787.72"/>
    <n v="153.86000000000001"/>
    <n v="1866.68"/>
    <n v="157.65"/>
    <n v="2151.6"/>
    <n v="157.65"/>
    <n v="12259.749999999998"/>
    <n v="0"/>
  </r>
  <r>
    <x v="16"/>
    <x v="9"/>
    <x v="0"/>
    <s v="8704501"/>
    <n v="732030"/>
    <s v="Repairs---Other"/>
    <s v="Bonney Lake MOB"/>
    <x v="0"/>
    <m/>
    <n v="107.11"/>
    <n v="659.33"/>
    <n v="1106.4000000000001"/>
    <n v="634.09"/>
    <n v="0"/>
    <n v="4028.72"/>
    <n v="398.88"/>
    <n v="808.47"/>
    <n v="149.93"/>
    <n v="275.86"/>
    <n v="0"/>
    <n v="0"/>
    <n v="8168.79"/>
    <n v="0"/>
  </r>
  <r>
    <x v="16"/>
    <x v="9"/>
    <x v="0"/>
    <s v="8704501"/>
    <n v="732030"/>
    <s v="Repairs&amp;Maintenance-Electrical"/>
    <s v="Bonney Lake MOB"/>
    <x v="0"/>
    <n v="5100"/>
    <n v="0"/>
    <n v="0"/>
    <n v="0"/>
    <n v="0"/>
    <n v="0"/>
    <n v="0"/>
    <n v="0"/>
    <n v="10211.18"/>
    <n v="0"/>
    <n v="0"/>
    <n v="0"/>
    <n v="0"/>
    <n v="10211.18"/>
    <n v="0"/>
  </r>
  <r>
    <x v="16"/>
    <x v="9"/>
    <x v="0"/>
    <s v="8704501"/>
    <n v="732030"/>
    <s v="Repairs&amp;Maintenance-HVAC"/>
    <s v="Bonney Lake MOB"/>
    <x v="0"/>
    <n v="5102"/>
    <n v="0"/>
    <n v="0"/>
    <n v="0"/>
    <n v="0"/>
    <n v="0"/>
    <n v="0"/>
    <n v="0"/>
    <n v="0"/>
    <n v="3125.98"/>
    <n v="0"/>
    <n v="0"/>
    <n v="0"/>
    <n v="3125.98"/>
    <n v="0"/>
  </r>
  <r>
    <x v="16"/>
    <x v="9"/>
    <x v="0"/>
    <s v="8704501"/>
    <n v="732030"/>
    <s v="Repairs&amp;Maintenance-Plumbing"/>
    <s v="Bonney Lake MOB"/>
    <x v="0"/>
    <n v="5103"/>
    <n v="0"/>
    <n v="0"/>
    <n v="0"/>
    <n v="141.79"/>
    <n v="0"/>
    <n v="1985.81"/>
    <n v="0"/>
    <n v="0"/>
    <n v="0"/>
    <n v="0"/>
    <n v="0"/>
    <n v="0"/>
    <n v="2127.6"/>
    <n v="0"/>
  </r>
  <r>
    <x v="16"/>
    <x v="9"/>
    <x v="0"/>
    <s v="8704501"/>
    <n v="733030"/>
    <s v="Maintenance Contracts-Other"/>
    <s v="Bonney Lake MOB"/>
    <x v="0"/>
    <m/>
    <n v="0"/>
    <n v="0"/>
    <n v="0"/>
    <n v="0"/>
    <n v="0"/>
    <n v="0"/>
    <n v="0"/>
    <n v="0"/>
    <n v="0"/>
    <n v="10149.709999999999"/>
    <n v="0"/>
    <n v="0"/>
    <n v="10149.709999999999"/>
    <n v="0"/>
  </r>
  <r>
    <x v="16"/>
    <x v="9"/>
    <x v="0"/>
    <s v="8704501"/>
    <n v="733030"/>
    <s v="Maintenance Contract-Elevator"/>
    <s v="Bonney Lake MOB"/>
    <x v="0"/>
    <n v="5101"/>
    <n v="0"/>
    <n v="0"/>
    <n v="0"/>
    <n v="1459.4"/>
    <n v="0"/>
    <n v="1459.4"/>
    <n v="4984.08"/>
    <n v="0"/>
    <n v="1507.26"/>
    <n v="0"/>
    <n v="0"/>
    <n v="0"/>
    <n v="9410.14"/>
    <n v="0"/>
  </r>
  <r>
    <x v="16"/>
    <x v="9"/>
    <x v="0"/>
    <s v="8704501"/>
    <n v="733030"/>
    <s v="Maintenance Contract-HVAC"/>
    <s v="Bonney Lake MOB"/>
    <x v="0"/>
    <n v="5102"/>
    <n v="0"/>
    <n v="3465.9"/>
    <n v="0"/>
    <n v="4152.58"/>
    <n v="0"/>
    <n v="0"/>
    <n v="3604.71"/>
    <n v="0"/>
    <n v="0"/>
    <n v="3604.71"/>
    <n v="0"/>
    <n v="0"/>
    <n v="14827.899999999998"/>
    <n v="-405.51"/>
  </r>
  <r>
    <x v="16"/>
    <x v="9"/>
    <x v="0"/>
    <s v="8704501"/>
    <n v="733030"/>
    <s v="Maintenance Contract-Landscape(Exterior)"/>
    <s v="Bonney Lake MOB"/>
    <x v="0"/>
    <n v="5104"/>
    <n v="0"/>
    <n v="0"/>
    <n v="0"/>
    <n v="0"/>
    <n v="0"/>
    <n v="0"/>
    <n v="0"/>
    <n v="0"/>
    <n v="0"/>
    <n v="0"/>
    <n v="0"/>
    <n v="405.51"/>
    <n v="405.51"/>
    <n v="1613.58"/>
  </r>
  <r>
    <x v="16"/>
    <x v="9"/>
    <x v="0"/>
    <s v="8704501"/>
    <n v="733030"/>
    <s v="Maintenance Contract-Landscape General"/>
    <s v="Bonney Lake MOB"/>
    <x v="0"/>
    <n v="5105"/>
    <n v="826.11"/>
    <n v="826.11"/>
    <n v="1795.68"/>
    <n v="826.11"/>
    <n v="0"/>
    <n v="1652.22"/>
    <n v="826.11"/>
    <n v="842.64"/>
    <n v="0"/>
    <n v="0"/>
    <n v="2456.2199999999998"/>
    <n v="842.64"/>
    <n v="10893.84"/>
    <n v="3623.2899999999995"/>
  </r>
  <r>
    <x v="16"/>
    <x v="9"/>
    <x v="0"/>
    <s v="8704501"/>
    <n v="733030"/>
    <s v="Maintenance Contract-Parking"/>
    <s v="Bonney Lake MOB"/>
    <x v="0"/>
    <n v="5106"/>
    <n v="198.93"/>
    <n v="0"/>
    <n v="198.93"/>
    <n v="198.93"/>
    <n v="397.86"/>
    <n v="0"/>
    <n v="836.14"/>
    <n v="2911.77"/>
    <n v="2145.3000000000002"/>
    <n v="3684.5"/>
    <n v="4991.1899999999996"/>
    <n v="1367.9"/>
    <n v="16931.45"/>
    <n v="0"/>
  </r>
  <r>
    <x v="8"/>
    <x v="9"/>
    <x v="0"/>
    <s v="8704501"/>
    <n v="741010"/>
    <s v="Liability Insurance-CHI Programs"/>
    <s v="Bonney Lake MOB"/>
    <x v="0"/>
    <m/>
    <n v="817.78"/>
    <n v="817.78"/>
    <n v="488.99"/>
    <n v="708.18"/>
    <n v="708.18"/>
    <n v="708.18"/>
    <n v="708.18"/>
    <n v="708.18"/>
    <n v="708.18"/>
    <n v="708.18"/>
    <n v="708.18"/>
    <n v="708.18"/>
    <n v="8498.1700000000019"/>
    <n v="0"/>
  </r>
  <r>
    <x v="8"/>
    <x v="9"/>
    <x v="0"/>
    <s v="8704501"/>
    <n v="741030"/>
    <s v="Property Insurance-CHI Programs"/>
    <s v="Bonney Lake MOB"/>
    <x v="0"/>
    <m/>
    <n v="430.91"/>
    <n v="430.91"/>
    <n v="395.42"/>
    <n v="419.08"/>
    <n v="419.08"/>
    <n v="419.08"/>
    <n v="419.08"/>
    <n v="419.08"/>
    <n v="419.08"/>
    <n v="419.08"/>
    <n v="419.08"/>
    <n v="419.08"/>
    <n v="5028.96"/>
    <n v="0"/>
  </r>
  <r>
    <x v="0"/>
    <x v="9"/>
    <x v="0"/>
    <s v="8704501"/>
    <n v="749510"/>
    <s v="Licenses"/>
    <s v="Bonney Lake MOB"/>
    <x v="0"/>
    <n v="1002"/>
    <n v="0"/>
    <n v="0"/>
    <n v="0"/>
    <n v="228"/>
    <n v="0"/>
    <n v="0"/>
    <n v="258"/>
    <n v="0"/>
    <n v="0"/>
    <n v="0"/>
    <n v="0"/>
    <n v="0"/>
    <n v="486"/>
    <n v="0"/>
  </r>
  <r>
    <x v="0"/>
    <x v="9"/>
    <x v="0"/>
    <s v="8704501"/>
    <n v="749510"/>
    <s v="Miscellaneous Expense"/>
    <s v="Bonney Lake MOB"/>
    <x v="0"/>
    <n v="1009"/>
    <n v="0"/>
    <n v="0"/>
    <n v="1229.6300000000001"/>
    <n v="0"/>
    <n v="185.9"/>
    <n v="3262.69"/>
    <n v="0"/>
    <n v="3058.37"/>
    <n v="0"/>
    <n v="0"/>
    <n v="0"/>
    <n v="0"/>
    <n v="7736.59"/>
    <n v="0"/>
  </r>
  <r>
    <x v="0"/>
    <x v="9"/>
    <x v="0"/>
    <s v="8704501"/>
    <n v="749510"/>
    <s v="RICE Rewards"/>
    <s v="Bonney Lake MOB"/>
    <x v="0"/>
    <n v="5100"/>
    <n v="0"/>
    <n v="506.3"/>
    <n v="0"/>
    <n v="506.3"/>
    <n v="506.3"/>
    <n v="0"/>
    <n v="506.3"/>
    <n v="506.3"/>
    <n v="506.3"/>
    <n v="506.3"/>
    <n v="506.3"/>
    <n v="506.3"/>
    <n v="4556.7000000000007"/>
    <n v="0"/>
  </r>
  <r>
    <x v="0"/>
    <x v="9"/>
    <x v="0"/>
    <s v="8704501"/>
    <n v="749510"/>
    <s v="Monitoring - Fire"/>
    <s v="Bonney Lake MOB"/>
    <x v="0"/>
    <n v="5102"/>
    <n v="0"/>
    <n v="0"/>
    <n v="0"/>
    <n v="210"/>
    <n v="0"/>
    <n v="0"/>
    <n v="0"/>
    <n v="0"/>
    <n v="114"/>
    <n v="0"/>
    <n v="0"/>
    <n v="0"/>
    <n v="324"/>
    <n v="0"/>
  </r>
  <r>
    <x v="0"/>
    <x v="9"/>
    <x v="0"/>
    <s v="8704501"/>
    <n v="749510"/>
    <s v="Monitoring - Security"/>
    <s v="Bonney Lake MOB"/>
    <x v="0"/>
    <n v="5103"/>
    <n v="0"/>
    <n v="0"/>
    <n v="0"/>
    <n v="0"/>
    <n v="0"/>
    <n v="0"/>
    <n v="0"/>
    <n v="0"/>
    <n v="105"/>
    <n v="0"/>
    <n v="0"/>
    <n v="0"/>
    <n v="105"/>
    <n v="0"/>
  </r>
  <r>
    <x v="0"/>
    <x v="9"/>
    <x v="0"/>
    <s v="8704501"/>
    <n v="766010"/>
    <s v="Property Tax"/>
    <s v="Bonney Lake MOB"/>
    <x v="0"/>
    <m/>
    <n v="14255.26"/>
    <n v="14255.26"/>
    <n v="14255.26"/>
    <n v="14255.25"/>
    <n v="14255.26"/>
    <n v="14255.26"/>
    <n v="14255.26"/>
    <n v="14255.26"/>
    <n v="14255.26"/>
    <n v="4863.04"/>
    <n v="11907.2"/>
    <n v="11907.2"/>
    <n v="156974.76999999999"/>
    <n v="0"/>
  </r>
  <r>
    <x v="14"/>
    <x v="13"/>
    <x v="0"/>
    <s v="8706500"/>
    <n v="600026"/>
    <s v="POB Rental"/>
    <s v="Devco NW Medical Plaza"/>
    <x v="0"/>
    <n v="1001"/>
    <n v="-40305.32"/>
    <n v="-40305.32"/>
    <n v="-40305.32"/>
    <n v="-40305.32"/>
    <n v="-40305.32"/>
    <n v="-40305.32"/>
    <n v="-40305.32"/>
    <n v="-40305.32"/>
    <n v="-40305.32"/>
    <n v="-40305.32"/>
    <n v="-40305.32"/>
    <n v="-40305.32"/>
    <n v="-483663.84"/>
    <n v="0"/>
  </r>
  <r>
    <x v="21"/>
    <x v="13"/>
    <x v="0"/>
    <s v="8706500"/>
    <n v="716046"/>
    <s v="Consulting-Other"/>
    <s v="Devco NW Medical Plaza"/>
    <x v="0"/>
    <m/>
    <n v="1929.25"/>
    <n v="1929.25"/>
    <n v="1929.25"/>
    <n v="1929.25"/>
    <n v="1929.25"/>
    <n v="1929.25"/>
    <n v="1929.25"/>
    <n v="1929.25"/>
    <n v="1929.25"/>
    <n v="1929.25"/>
    <n v="1929.25"/>
    <n v="1929.25"/>
    <n v="23151"/>
    <n v="0"/>
  </r>
  <r>
    <x v="7"/>
    <x v="13"/>
    <x v="0"/>
    <s v="8706500"/>
    <n v="718050"/>
    <s v="Contract Svcs-Other"/>
    <s v="Devco NW Medical Plaza"/>
    <x v="0"/>
    <m/>
    <n v="0"/>
    <n v="450"/>
    <n v="922.5"/>
    <n v="0"/>
    <n v="0"/>
    <n v="0"/>
    <n v="0"/>
    <n v="514"/>
    <n v="0"/>
    <n v="922.5"/>
    <n v="0"/>
    <n v="0"/>
    <n v="2809"/>
    <n v="0"/>
  </r>
  <r>
    <x v="7"/>
    <x v="13"/>
    <x v="0"/>
    <s v="8706500"/>
    <n v="718050"/>
    <s v="Management Fees"/>
    <s v="Devco NW Medical Plaza"/>
    <x v="0"/>
    <n v="1004"/>
    <n v="2065.5"/>
    <n v="2065.5"/>
    <n v="2065.5"/>
    <n v="2065.5"/>
    <n v="2065.5"/>
    <n v="2065.5"/>
    <n v="2065.5"/>
    <n v="2065.5"/>
    <n v="2065.5"/>
    <n v="2065.5"/>
    <n v="2065.5"/>
    <n v="2065.5"/>
    <n v="24786"/>
    <n v="-4037.1"/>
  </r>
  <r>
    <x v="7"/>
    <x v="13"/>
    <x v="0"/>
    <s v="8706500"/>
    <n v="718050"/>
    <s v="Cleaning Services"/>
    <s v="Devco NW Medical Plaza"/>
    <x v="0"/>
    <n v="1011"/>
    <n v="0"/>
    <n v="8074.2"/>
    <n v="2458.89"/>
    <n v="7580.95"/>
    <n v="0"/>
    <n v="6154.76"/>
    <n v="4825.38"/>
    <n v="7285.92"/>
    <n v="0"/>
    <n v="4037.1"/>
    <n v="4037.1"/>
    <n v="8074.2"/>
    <n v="52528.5"/>
    <n v="153.82"/>
  </r>
  <r>
    <x v="7"/>
    <x v="13"/>
    <x v="0"/>
    <s v="8706500"/>
    <n v="718050"/>
    <s v="Pest Control"/>
    <s v="Devco NW Medical Plaza"/>
    <x v="0"/>
    <n v="1014"/>
    <n v="0"/>
    <n v="190.47"/>
    <n v="0"/>
    <n v="153.68"/>
    <n v="153.68"/>
    <n v="307.36"/>
    <n v="153.68"/>
    <n v="153.68"/>
    <n v="307.36"/>
    <n v="0"/>
    <n v="153.82"/>
    <n v="0"/>
    <n v="1573.7300000000002"/>
    <n v="-971.75999999999976"/>
  </r>
  <r>
    <x v="7"/>
    <x v="13"/>
    <x v="0"/>
    <s v="8706500"/>
    <n v="718050"/>
    <s v="Security"/>
    <s v="Devco NW Medical Plaza"/>
    <x v="0"/>
    <n v="1019"/>
    <n v="7242.49"/>
    <n v="1017.11"/>
    <n v="984.3"/>
    <n v="3362.73"/>
    <n v="3020.3"/>
    <n v="2846.4"/>
    <n v="3481.46"/>
    <n v="7118.07"/>
    <n v="1017.11"/>
    <n v="3056.61"/>
    <n v="3198.15"/>
    <n v="4169.91"/>
    <n v="40514.639999999999"/>
    <n v="-739.25"/>
  </r>
  <r>
    <x v="7"/>
    <x v="13"/>
    <x v="0"/>
    <s v="8706500"/>
    <n v="718050"/>
    <s v="Purchased Srvcs-Environmental Remediation"/>
    <s v="Devco NW Medical Plaza"/>
    <x v="0"/>
    <n v="1028"/>
    <n v="0"/>
    <n v="0"/>
    <n v="0"/>
    <n v="739.25"/>
    <n v="0"/>
    <n v="739.25"/>
    <n v="0"/>
    <n v="0"/>
    <n v="739.25"/>
    <n v="0"/>
    <n v="0"/>
    <n v="739.25"/>
    <n v="2957"/>
    <n v="0"/>
  </r>
  <r>
    <x v="7"/>
    <x v="13"/>
    <x v="0"/>
    <s v="8706500"/>
    <n v="718050"/>
    <s v="Purchased Service-Fire Equipment"/>
    <s v="Devco NW Medical Plaza"/>
    <x v="0"/>
    <n v="5100"/>
    <n v="0"/>
    <n v="1230.04"/>
    <n v="0"/>
    <n v="0"/>
    <n v="0"/>
    <n v="0"/>
    <n v="0"/>
    <n v="0"/>
    <n v="0"/>
    <n v="0"/>
    <n v="0"/>
    <n v="0"/>
    <n v="1230.04"/>
    <n v="0"/>
  </r>
  <r>
    <x v="7"/>
    <x v="13"/>
    <x v="0"/>
    <s v="8706500"/>
    <n v="718050"/>
    <s v="Purchased Service-Fire/Life Safety Test"/>
    <s v="Devco NW Medical Plaza"/>
    <x v="0"/>
    <n v="5101"/>
    <n v="0"/>
    <n v="0"/>
    <n v="0"/>
    <n v="0"/>
    <n v="0"/>
    <n v="0"/>
    <n v="2094.46"/>
    <n v="0"/>
    <n v="218.56"/>
    <n v="0"/>
    <n v="0"/>
    <n v="0"/>
    <n v="2313.02"/>
    <n v="-658.99"/>
  </r>
  <r>
    <x v="11"/>
    <x v="13"/>
    <x v="0"/>
    <s v="8706500"/>
    <n v="721870"/>
    <s v="Supplies-Environmental Services"/>
    <s v="Devco NW Medical Plaza"/>
    <x v="0"/>
    <m/>
    <n v="0"/>
    <n v="2264.2399999999998"/>
    <n v="471.34"/>
    <n v="149.30000000000001"/>
    <n v="211.76"/>
    <n v="0"/>
    <n v="379.71"/>
    <n v="506.56"/>
    <n v="117.31"/>
    <n v="228.16"/>
    <n v="0"/>
    <n v="658.99"/>
    <n v="4987.37"/>
    <n v="90.890000000000015"/>
  </r>
  <r>
    <x v="15"/>
    <x v="13"/>
    <x v="0"/>
    <s v="8706500"/>
    <n v="731010"/>
    <s v="Natural Gas"/>
    <s v="Devco NW Medical Plaza"/>
    <x v="0"/>
    <m/>
    <n v="64.39"/>
    <n v="37.47"/>
    <n v="36.61"/>
    <n v="57.64"/>
    <n v="252.81"/>
    <n v="324.14999999999998"/>
    <n v="415.76"/>
    <n v="454.95"/>
    <n v="614.05999999999995"/>
    <n v="361.02"/>
    <n v="200.58"/>
    <n v="109.69"/>
    <n v="2929.13"/>
    <n v="29.019999999999982"/>
  </r>
  <r>
    <x v="15"/>
    <x v="13"/>
    <x v="0"/>
    <s v="8706500"/>
    <n v="731020"/>
    <s v="Electricity"/>
    <s v="Devco NW Medical Plaza"/>
    <x v="0"/>
    <m/>
    <n v="2321.09"/>
    <n v="3018.87"/>
    <n v="2470.11"/>
    <n v="2786.95"/>
    <n v="2332.91"/>
    <n v="3583.26"/>
    <n v="3224.12"/>
    <n v="3692.44"/>
    <n v="3406.96"/>
    <n v="2854.45"/>
    <n v="2529.25"/>
    <n v="2500.23"/>
    <n v="34720.639999999999"/>
    <n v="-383.04000000000008"/>
  </r>
  <r>
    <x v="15"/>
    <x v="13"/>
    <x v="0"/>
    <s v="8706500"/>
    <n v="731030"/>
    <s v="Water"/>
    <s v="Devco NW Medical Plaza"/>
    <x v="0"/>
    <m/>
    <n v="540.22"/>
    <n v="1092.76"/>
    <n v="528.33000000000004"/>
    <n v="1090.74"/>
    <n v="479.93"/>
    <n v="718.27"/>
    <n v="477.45"/>
    <n v="717.86"/>
    <n v="490.5"/>
    <n v="731.76"/>
    <n v="534.67999999999995"/>
    <n v="917.72"/>
    <n v="8320.2199999999993"/>
    <n v="-93.93"/>
  </r>
  <r>
    <x v="15"/>
    <x v="13"/>
    <x v="0"/>
    <s v="8706500"/>
    <n v="731040"/>
    <s v="Sewer"/>
    <s v="Devco NW Medical Plaza"/>
    <x v="0"/>
    <m/>
    <n v="378.04"/>
    <n v="731.63"/>
    <n v="340.07"/>
    <n v="481.44"/>
    <n v="185.49"/>
    <n v="217.7"/>
    <n v="168.47"/>
    <n v="222.16"/>
    <n v="176.77"/>
    <n v="224.36"/>
    <n v="317.17"/>
    <n v="411.1"/>
    <n v="3854.3999999999996"/>
    <n v="-19.639999999999873"/>
  </r>
  <r>
    <x v="15"/>
    <x v="13"/>
    <x v="0"/>
    <s v="8706500"/>
    <n v="731050"/>
    <s v="Refuse Disposal"/>
    <s v="Devco NW Medical Plaza"/>
    <x v="0"/>
    <m/>
    <n v="1331.44"/>
    <n v="1340.46"/>
    <n v="1321.26"/>
    <n v="1321.52"/>
    <n v="1321.43"/>
    <n v="1321.52"/>
    <n v="1321.74"/>
    <n v="1322.17"/>
    <n v="1322.75"/>
    <n v="1354.17"/>
    <n v="1334.71"/>
    <n v="1354.35"/>
    <n v="15967.520000000002"/>
    <n v="0"/>
  </r>
  <r>
    <x v="16"/>
    <x v="13"/>
    <x v="0"/>
    <s v="8706500"/>
    <n v="732030"/>
    <s v="Repairs---Other"/>
    <s v="Devco NW Medical Plaza"/>
    <x v="0"/>
    <m/>
    <n v="19.78"/>
    <n v="0"/>
    <n v="0"/>
    <n v="0"/>
    <n v="0"/>
    <n v="0"/>
    <n v="0"/>
    <n v="0"/>
    <n v="0"/>
    <n v="0"/>
    <n v="0"/>
    <n v="0"/>
    <n v="19.78"/>
    <n v="27809.06"/>
  </r>
  <r>
    <x v="16"/>
    <x v="13"/>
    <x v="0"/>
    <s v="8706500"/>
    <n v="732030"/>
    <s v="Repairs&amp;Maintenance-HVAC"/>
    <s v="Devco NW Medical Plaza"/>
    <x v="0"/>
    <n v="5102"/>
    <n v="140.93"/>
    <n v="0"/>
    <n v="0"/>
    <n v="455.81"/>
    <n v="0"/>
    <n v="0"/>
    <n v="0"/>
    <n v="0"/>
    <n v="0"/>
    <n v="0"/>
    <n v="13904.53"/>
    <n v="-13904.53"/>
    <n v="596.73999999999978"/>
    <n v="0"/>
  </r>
  <r>
    <x v="16"/>
    <x v="13"/>
    <x v="0"/>
    <s v="8706500"/>
    <n v="733030"/>
    <s v="Maintenance Contract-Elevator"/>
    <s v="Devco NW Medical Plaza"/>
    <x v="0"/>
    <n v="5101"/>
    <n v="0"/>
    <n v="839.68"/>
    <n v="0"/>
    <n v="0"/>
    <n v="0"/>
    <n v="839.68"/>
    <n v="0"/>
    <n v="867.21"/>
    <n v="0"/>
    <n v="868"/>
    <n v="0"/>
    <n v="0"/>
    <n v="3414.5699999999997"/>
    <n v="2132.64"/>
  </r>
  <r>
    <x v="16"/>
    <x v="13"/>
    <x v="0"/>
    <s v="8706500"/>
    <n v="733030"/>
    <s v="Maintenance Contract-HVAC"/>
    <s v="Devco NW Medical Plaza"/>
    <x v="0"/>
    <n v="5102"/>
    <n v="2558.17"/>
    <n v="0"/>
    <n v="0"/>
    <n v="2060.52"/>
    <n v="0"/>
    <n v="0"/>
    <n v="2132.64"/>
    <n v="0"/>
    <n v="0"/>
    <n v="0"/>
    <n v="2132.64"/>
    <n v="0"/>
    <n v="8883.9699999999993"/>
    <n v="-999.79"/>
  </r>
  <r>
    <x v="16"/>
    <x v="13"/>
    <x v="0"/>
    <s v="8706500"/>
    <n v="733030"/>
    <s v="Maintenance Contract-Landscape(Exterior)"/>
    <s v="Devco NW Medical Plaza"/>
    <x v="0"/>
    <n v="5104"/>
    <n v="0"/>
    <n v="0"/>
    <n v="0"/>
    <n v="0"/>
    <n v="0"/>
    <n v="0"/>
    <n v="0"/>
    <n v="0"/>
    <n v="0"/>
    <n v="0"/>
    <n v="0"/>
    <n v="999.79"/>
    <n v="999.79"/>
    <n v="758.08"/>
  </r>
  <r>
    <x v="16"/>
    <x v="13"/>
    <x v="0"/>
    <s v="8706500"/>
    <n v="733030"/>
    <s v="Maintenance Contract-Landscape General"/>
    <s v="Devco NW Medical Plaza"/>
    <x v="0"/>
    <n v="5105"/>
    <n v="1883.3"/>
    <n v="489.69"/>
    <n v="489.69"/>
    <n v="1393.61"/>
    <n v="903.92"/>
    <n v="1883.3"/>
    <n v="1393.61"/>
    <n v="1429.84"/>
    <n v="0"/>
    <n v="821.15"/>
    <n v="1757.51"/>
    <n v="999.43"/>
    <n v="13445.050000000001"/>
    <n v="5557.17"/>
  </r>
  <r>
    <x v="16"/>
    <x v="13"/>
    <x v="0"/>
    <s v="8706500"/>
    <n v="733030"/>
    <s v="Maintenance Contract-Parking"/>
    <s v="Devco NW Medical Plaza"/>
    <x v="0"/>
    <n v="5106"/>
    <n v="623.70000000000005"/>
    <n v="0"/>
    <n v="903.92"/>
    <n v="0"/>
    <n v="0"/>
    <n v="0"/>
    <n v="163.78"/>
    <n v="561.52"/>
    <n v="1929.51"/>
    <n v="13158.46"/>
    <n v="4574.53"/>
    <n v="-982.64"/>
    <n v="20932.78"/>
    <n v="0"/>
  </r>
  <r>
    <x v="16"/>
    <x v="13"/>
    <x v="0"/>
    <s v="8706500"/>
    <n v="733030"/>
    <s v="Maintenance Contract-Labor"/>
    <s v="Devco NW Medical Plaza"/>
    <x v="0"/>
    <n v="5107"/>
    <n v="1175.83"/>
    <n v="1175.83"/>
    <n v="1175.83"/>
    <n v="1175.83"/>
    <n v="1175.83"/>
    <n v="1175.83"/>
    <n v="1175.83"/>
    <n v="1175.83"/>
    <n v="1175.83"/>
    <n v="1175.83"/>
    <n v="1175.83"/>
    <n v="1175.83"/>
    <n v="14109.96"/>
    <n v="9.0000000000031832E-2"/>
  </r>
  <r>
    <x v="13"/>
    <x v="13"/>
    <x v="0"/>
    <s v="8706500"/>
    <n v="735020"/>
    <s v="Depreciation-Land Improvements"/>
    <s v="Devco NW Medical Plaza"/>
    <x v="0"/>
    <m/>
    <n v="391.8"/>
    <n v="391.77"/>
    <n v="391.8"/>
    <n v="391.76"/>
    <n v="391.8"/>
    <n v="391.74"/>
    <n v="391.8"/>
    <n v="391.74"/>
    <n v="391.8"/>
    <n v="391.72"/>
    <n v="391.8"/>
    <n v="391.71"/>
    <n v="4701.2400000000007"/>
    <n v="1.0000000000218279E-2"/>
  </r>
  <r>
    <x v="13"/>
    <x v="13"/>
    <x v="0"/>
    <s v="8706500"/>
    <n v="735030"/>
    <s v="Depreciation-Buildings"/>
    <s v="Devco NW Medical Plaza"/>
    <x v="0"/>
    <m/>
    <n v="4348.42"/>
    <n v="4348.41"/>
    <n v="4348.42"/>
    <n v="4348.41"/>
    <n v="4348.42"/>
    <n v="4348.41"/>
    <n v="4348.42"/>
    <n v="4348.41"/>
    <n v="4348.42"/>
    <n v="4348.41"/>
    <n v="4348.42"/>
    <n v="4348.41"/>
    <n v="52180.98000000001"/>
    <n v="5.999999999994543E-2"/>
  </r>
  <r>
    <x v="13"/>
    <x v="13"/>
    <x v="0"/>
    <s v="8706500"/>
    <n v="735040"/>
    <s v="Depreciation-Building Improvements"/>
    <s v="Devco NW Medical Plaza"/>
    <x v="0"/>
    <m/>
    <n v="2145.33"/>
    <n v="2145.33"/>
    <n v="2145.33"/>
    <n v="2145.33"/>
    <n v="2145.34"/>
    <n v="2145.3200000000002"/>
    <n v="2145.34"/>
    <n v="2145.3200000000002"/>
    <n v="2145.35"/>
    <n v="2145.3000000000002"/>
    <n v="2145.35"/>
    <n v="2145.29"/>
    <n v="25743.929999999997"/>
    <n v="0.55999999999949068"/>
  </r>
  <r>
    <x v="13"/>
    <x v="13"/>
    <x v="0"/>
    <s v="8706500"/>
    <n v="735050"/>
    <s v="Amortization-Leasehold Improvements"/>
    <s v="Devco NW Medical Plaza"/>
    <x v="0"/>
    <m/>
    <n v="5629.16"/>
    <n v="5629.12"/>
    <n v="5629.2"/>
    <n v="5629.06"/>
    <n v="5629.23"/>
    <n v="5628.98"/>
    <n v="5629.24"/>
    <n v="5628.89"/>
    <n v="5629.3"/>
    <n v="5628.83"/>
    <n v="5629.36"/>
    <n v="5628.8"/>
    <n v="67549.17"/>
    <n v="0.11000000000001364"/>
  </r>
  <r>
    <x v="13"/>
    <x v="13"/>
    <x v="0"/>
    <s v="8706500"/>
    <n v="735060"/>
    <s v="Depreciation-Fixed Equipment"/>
    <s v="Devco NW Medical Plaza"/>
    <x v="0"/>
    <m/>
    <n v="864.9"/>
    <n v="864.9"/>
    <n v="864.92"/>
    <n v="864.9"/>
    <n v="864.93"/>
    <n v="864.89"/>
    <n v="864.94"/>
    <n v="864.89"/>
    <n v="864.95"/>
    <n v="864.88"/>
    <n v="864.98"/>
    <n v="864.87"/>
    <n v="10378.950000000001"/>
    <n v="9.0000000000031832E-2"/>
  </r>
  <r>
    <x v="13"/>
    <x v="13"/>
    <x v="0"/>
    <s v="8706500"/>
    <n v="735070"/>
    <s v="Depreciation-Movable Equipment"/>
    <s v="Devco NW Medical Plaza"/>
    <x v="0"/>
    <m/>
    <n v="675.56"/>
    <n v="675.56"/>
    <n v="675.57"/>
    <n v="675.56"/>
    <n v="675.57"/>
    <n v="675.55"/>
    <n v="675.58"/>
    <n v="675.53"/>
    <n v="675.59"/>
    <n v="675.52"/>
    <n v="675.6"/>
    <n v="675.51"/>
    <n v="8106.7000000000007"/>
    <n v="0"/>
  </r>
  <r>
    <x v="8"/>
    <x v="13"/>
    <x v="0"/>
    <s v="8706500"/>
    <n v="741010"/>
    <s v="Liability Insurance-CHI Programs"/>
    <s v="Devco NW Medical Plaza"/>
    <x v="0"/>
    <m/>
    <n v="700.75"/>
    <n v="700.75"/>
    <n v="-192.73"/>
    <n v="402.92"/>
    <n v="402.92"/>
    <n v="402.92"/>
    <n v="402.92"/>
    <n v="402.92"/>
    <n v="402.92"/>
    <n v="402.92"/>
    <n v="402.92"/>
    <n v="402.92"/>
    <n v="4835.05"/>
    <n v="0"/>
  </r>
  <r>
    <x v="8"/>
    <x v="13"/>
    <x v="0"/>
    <s v="8706500"/>
    <n v="741030"/>
    <s v="Property Insurance-CHI Programs"/>
    <s v="Devco NW Medical Plaza"/>
    <x v="0"/>
    <m/>
    <n v="512.52"/>
    <n v="512.52"/>
    <n v="-162.5"/>
    <n v="287.51"/>
    <n v="287.51"/>
    <n v="287.51"/>
    <n v="287.51"/>
    <n v="287.51"/>
    <n v="287.51"/>
    <n v="287.51"/>
    <n v="287.51"/>
    <n v="287.51"/>
    <n v="3450.130000000001"/>
    <n v="0"/>
  </r>
  <r>
    <x v="0"/>
    <x v="13"/>
    <x v="0"/>
    <s v="8706500"/>
    <n v="749510"/>
    <s v="Licenses"/>
    <s v="Devco NW Medical Plaza"/>
    <x v="0"/>
    <n v="1002"/>
    <n v="0"/>
    <n v="295.27999999999997"/>
    <n v="0"/>
    <n v="0"/>
    <n v="0"/>
    <n v="0"/>
    <n v="0"/>
    <n v="0"/>
    <n v="0"/>
    <n v="315"/>
    <n v="0"/>
    <n v="0"/>
    <n v="610.28"/>
    <n v="-13904.53"/>
  </r>
  <r>
    <x v="0"/>
    <x v="13"/>
    <x v="0"/>
    <s v="8706500"/>
    <n v="749510"/>
    <s v="Miscellaneous Expense"/>
    <s v="Devco NW Medical Plaza"/>
    <x v="0"/>
    <n v="1009"/>
    <n v="0"/>
    <n v="0"/>
    <n v="3600.75"/>
    <n v="0"/>
    <n v="0"/>
    <n v="0"/>
    <n v="0"/>
    <n v="0"/>
    <n v="0"/>
    <n v="0"/>
    <n v="0"/>
    <n v="13904.53"/>
    <n v="17505.28"/>
    <n v="423.9"/>
  </r>
  <r>
    <x v="0"/>
    <x v="13"/>
    <x v="0"/>
    <s v="8706500"/>
    <n v="749510"/>
    <s v="RICE Rewards"/>
    <s v="Devco NW Medical Plaza"/>
    <x v="0"/>
    <n v="5100"/>
    <n v="0"/>
    <n v="0"/>
    <n v="0"/>
    <n v="220.21"/>
    <n v="0"/>
    <n v="0"/>
    <n v="0"/>
    <n v="0"/>
    <n v="203.69"/>
    <n v="0"/>
    <n v="0"/>
    <n v="-423.9"/>
    <n v="0"/>
    <n v="0"/>
  </r>
  <r>
    <x v="0"/>
    <x v="13"/>
    <x v="0"/>
    <s v="8706500"/>
    <n v="749510"/>
    <s v="Monitoring - Security"/>
    <s v="Devco NW Medical Plaza"/>
    <x v="0"/>
    <n v="5103"/>
    <n v="0"/>
    <n v="0"/>
    <n v="0"/>
    <n v="0"/>
    <n v="0"/>
    <n v="0"/>
    <n v="0"/>
    <n v="53.81"/>
    <n v="0"/>
    <n v="0"/>
    <n v="0"/>
    <n v="0"/>
    <n v="53.81"/>
    <n v="0"/>
  </r>
  <r>
    <x v="0"/>
    <x v="13"/>
    <x v="0"/>
    <s v="8706500"/>
    <n v="766010"/>
    <s v="Property Tax"/>
    <s v="Devco NW Medical Plaza"/>
    <x v="0"/>
    <m/>
    <n v="4301.22"/>
    <n v="4301.22"/>
    <n v="4301.22"/>
    <n v="4301.24"/>
    <n v="4301.22"/>
    <n v="4301.22"/>
    <n v="4301.22"/>
    <n v="4301.22"/>
    <n v="4301.22"/>
    <n v="4202.34"/>
    <n v="4276.5"/>
    <n v="4276.5"/>
    <n v="51466.340000000011"/>
    <n v="0"/>
  </r>
  <r>
    <x v="15"/>
    <x v="13"/>
    <x v="0"/>
    <s v="8707500"/>
    <n v="731020"/>
    <s v="Electricity"/>
    <s v="Devco - PMC"/>
    <x v="0"/>
    <m/>
    <n v="215.91"/>
    <n v="326.08"/>
    <n v="258.76"/>
    <n v="195.8"/>
    <n v="262.33"/>
    <n v="0"/>
    <n v="0"/>
    <n v="0"/>
    <n v="0"/>
    <n v="0"/>
    <n v="0"/>
    <n v="0"/>
    <n v="1258.8799999999999"/>
    <n v="9.9999999999909051E-3"/>
  </r>
  <r>
    <x v="13"/>
    <x v="13"/>
    <x v="0"/>
    <s v="8707500"/>
    <n v="735040"/>
    <s v="Depreciation-Building Improvements"/>
    <s v="Devco - PMC"/>
    <x v="0"/>
    <m/>
    <n v="216.49"/>
    <n v="216.49"/>
    <n v="216.49"/>
    <n v="216.49"/>
    <n v="216.49"/>
    <n v="216.49"/>
    <n v="216.49"/>
    <n v="216.49"/>
    <n v="216.49"/>
    <n v="216.49"/>
    <n v="216.5"/>
    <n v="216.49"/>
    <n v="2597.8900000000003"/>
    <n v="110515.84"/>
  </r>
  <r>
    <x v="18"/>
    <x v="21"/>
    <x v="0"/>
    <s v="9000900"/>
    <n v="400010"/>
    <s v="Acute I/P Svcs Rev--Other"/>
    <s v="Eliminations"/>
    <x v="0"/>
    <n v="1700"/>
    <n v="343610.05"/>
    <n v="297912.58"/>
    <n v="163838.13"/>
    <n v="104421.68"/>
    <n v="475880.82"/>
    <n v="116165.56"/>
    <n v="141818.23000000001"/>
    <n v="114716.04"/>
    <n v="198483.19"/>
    <n v="388164.07"/>
    <n v="241849.09"/>
    <n v="131333.25"/>
    <n v="2718192.69"/>
    <n v="-22344.89"/>
  </r>
  <r>
    <x v="19"/>
    <x v="21"/>
    <x v="0"/>
    <s v="9000900"/>
    <n v="400020"/>
    <s v="O/P Care Svcs Rev--Other"/>
    <s v="Eliminations"/>
    <x v="0"/>
    <n v="1700"/>
    <n v="73609.84"/>
    <n v="106239.85"/>
    <n v="72811.429999999993"/>
    <n v="130053.65"/>
    <n v="72483.86"/>
    <n v="117708.15"/>
    <n v="65983.39"/>
    <n v="72929.47"/>
    <n v="116336.67"/>
    <n v="44320.53"/>
    <n v="41577.74"/>
    <n v="63922.63"/>
    <n v="977977.21000000008"/>
    <n v="3221.31"/>
  </r>
  <r>
    <x v="1"/>
    <x v="21"/>
    <x v="0"/>
    <s v="9000900"/>
    <n v="400040"/>
    <s v="Physician Svcs Rev--Other"/>
    <s v="Eliminations"/>
    <x v="0"/>
    <n v="1700"/>
    <n v="5646.88"/>
    <n v="2724.01"/>
    <n v="4628.72"/>
    <n v="2617.73"/>
    <n v="3911.7"/>
    <n v="0"/>
    <n v="3541.56"/>
    <n v="-24.26"/>
    <n v="-1919.54"/>
    <n v="-609.49"/>
    <n v="-2010.73"/>
    <n v="-5232.04"/>
    <n v="13274.54"/>
    <n v="-77847.360000000001"/>
  </r>
  <r>
    <x v="2"/>
    <x v="21"/>
    <x v="0"/>
    <s v="9000900"/>
    <n v="450010"/>
    <s v="Contr Allow--Acute IP-Other"/>
    <s v="Eliminations"/>
    <x v="0"/>
    <n v="1700"/>
    <n v="-242038.92"/>
    <n v="-209849.62"/>
    <n v="-115407.58"/>
    <n v="-73554.63"/>
    <n v="-335210.45"/>
    <n v="-81827.02"/>
    <n v="-99896.76"/>
    <n v="-80805.98"/>
    <n v="-139811.56"/>
    <n v="-273422.77"/>
    <n v="-170358.5"/>
    <n v="-92511.14"/>
    <n v="-1914694.93"/>
    <n v="15739.739999999998"/>
  </r>
  <r>
    <x v="2"/>
    <x v="21"/>
    <x v="0"/>
    <s v="9000900"/>
    <n v="450020"/>
    <s v="Contr Allow--OP Care-Other"/>
    <s v="Eliminations"/>
    <x v="0"/>
    <n v="1700"/>
    <n v="-51850.77"/>
    <n v="-74835.350000000006"/>
    <n v="-51288.37"/>
    <n v="-91609.79"/>
    <n v="-51057.63"/>
    <n v="-82913.62"/>
    <n v="-46478.7"/>
    <n v="-51371.519999999997"/>
    <n v="-81947.55"/>
    <n v="-31219.38"/>
    <n v="-29287.360000000001"/>
    <n v="-45027.1"/>
    <n v="-688887.14"/>
    <n v="0"/>
  </r>
  <r>
    <x v="14"/>
    <x v="21"/>
    <x v="0"/>
    <s v="9000900"/>
    <n v="600026"/>
    <s v="Rental Revenue-Non-Taxable"/>
    <s v="Eliminations"/>
    <x v="0"/>
    <m/>
    <n v="71000.72"/>
    <n v="71000.72"/>
    <n v="71000.72"/>
    <n v="71000.72"/>
    <n v="71000.72"/>
    <n v="46667"/>
    <n v="46667"/>
    <n v="46667"/>
    <n v="46667"/>
    <n v="-72110.429999999993"/>
    <n v="46667"/>
    <n v="46667"/>
    <n v="562895.16999999993"/>
    <n v="0"/>
  </r>
  <r>
    <x v="14"/>
    <x v="21"/>
    <x v="0"/>
    <s v="9000900"/>
    <n v="600026"/>
    <s v="POB Rental"/>
    <s v="Eliminations"/>
    <x v="0"/>
    <n v="1001"/>
    <n v="311022.81"/>
    <n v="307025.44"/>
    <n v="309573.19"/>
    <n v="309573.19"/>
    <n v="309573.19"/>
    <n v="327967.03000000003"/>
    <n v="327973.36"/>
    <n v="327973.36"/>
    <n v="328255.83"/>
    <n v="419901.28"/>
    <n v="328068.28000000003"/>
    <n v="328068.28000000003"/>
    <n v="3934975.24"/>
    <n v="0"/>
  </r>
  <r>
    <x v="14"/>
    <x v="21"/>
    <x v="0"/>
    <s v="9000900"/>
    <n v="600026"/>
    <s v="Other Rental"/>
    <s v="Eliminations"/>
    <x v="0"/>
    <n v="1002"/>
    <n v="67359.53"/>
    <n v="66128.11"/>
    <n v="66128.11"/>
    <n v="66128.11"/>
    <n v="74826.61"/>
    <n v="81155.33"/>
    <n v="81155.33"/>
    <n v="81155.33"/>
    <n v="81155.33"/>
    <n v="41352.29"/>
    <n v="81128.84"/>
    <n v="81128.84"/>
    <n v="868801.75999999989"/>
    <n v="-28851.690000000002"/>
  </r>
  <r>
    <x v="14"/>
    <x v="21"/>
    <x v="0"/>
    <s v="9000900"/>
    <n v="600034"/>
    <s v="Catering Revenue"/>
    <s v="Eliminations"/>
    <x v="0"/>
    <n v="5101"/>
    <n v="19359.86"/>
    <n v="18500.240000000002"/>
    <n v="18291.990000000002"/>
    <n v="34152.019999999997"/>
    <n v="16867.12"/>
    <n v="20245.52"/>
    <n v="48146.69"/>
    <n v="29770.78"/>
    <n v="22421.85"/>
    <n v="26577.200000000001"/>
    <n v="27568.1"/>
    <n v="56419.79"/>
    <n v="338321.16"/>
    <n v="-4.29"/>
  </r>
  <r>
    <x v="14"/>
    <x v="21"/>
    <x v="0"/>
    <s v="9000900"/>
    <n v="600048"/>
    <s v="Retail Pharmacy"/>
    <s v="Eliminations"/>
    <x v="0"/>
    <m/>
    <n v="8102.33"/>
    <n v="2866.54"/>
    <n v="6499.72"/>
    <n v="2402.69"/>
    <n v="7663.93"/>
    <n v="4757.97"/>
    <n v="6366.89"/>
    <n v="2395.4299999999998"/>
    <n v="1303.51"/>
    <n v="331.68"/>
    <n v="-4.29"/>
    <n v="0"/>
    <n v="42686.400000000001"/>
    <n v="-549424.22"/>
  </r>
  <r>
    <x v="14"/>
    <x v="21"/>
    <x v="0"/>
    <s v="9000900"/>
    <n v="600050"/>
    <s v="Miscellaneous Revenue"/>
    <s v="Eliminations"/>
    <x v="0"/>
    <m/>
    <n v="822207.23"/>
    <n v="899720.28"/>
    <n v="884270.5"/>
    <n v="915343.29"/>
    <n v="1033862.81"/>
    <n v="1022639.92"/>
    <n v="1084382.1599999999"/>
    <n v="911264.23"/>
    <n v="820563.02"/>
    <n v="843961.81"/>
    <n v="531466.25"/>
    <n v="1080890.47"/>
    <n v="10850571.970000001"/>
    <n v="-376497.42000000004"/>
  </r>
  <r>
    <x v="20"/>
    <x v="21"/>
    <x v="0"/>
    <s v="9000900"/>
    <n v="610010"/>
    <s v="Foundation Distributions"/>
    <s v="Eliminations"/>
    <x v="0"/>
    <n v="1175"/>
    <n v="62240.02"/>
    <n v="37081.18"/>
    <n v="57896.93"/>
    <n v="128410.7"/>
    <n v="98839.09"/>
    <n v="41284.69"/>
    <n v="115495.81"/>
    <n v="37375.160000000003"/>
    <n v="80057.91"/>
    <n v="184134.25"/>
    <n v="56766.17"/>
    <n v="433263.59"/>
    <n v="1332845.5000000002"/>
    <n v="79037.289999999994"/>
  </r>
  <r>
    <x v="22"/>
    <x v="21"/>
    <x v="0"/>
    <s v="9000900"/>
    <n v="620001"/>
    <s v="Changes in Equity of Unconsolidated Orgs-Controlling Interes"/>
    <s v="Eliminations"/>
    <x v="0"/>
    <m/>
    <n v="93887.19"/>
    <n v="104246.53"/>
    <n v="74454.77"/>
    <n v="63623.37"/>
    <n v="28935.71"/>
    <n v="39548.89"/>
    <n v="57301.97"/>
    <n v="102503.86"/>
    <n v="72304.710000000006"/>
    <n v="96722.98"/>
    <n v="156745.18"/>
    <n v="77707.89"/>
    <n v="967983.04999999993"/>
    <n v="52937.930000000008"/>
  </r>
  <r>
    <x v="22"/>
    <x v="21"/>
    <x v="0"/>
    <s v="9000900"/>
    <n v="620501"/>
    <s v="Changes in Equity of Unconsolidated Orgs-Noncontrolling Inte"/>
    <s v="Eliminations"/>
    <x v="0"/>
    <m/>
    <n v="69730.929999999993"/>
    <n v="76398.17"/>
    <n v="56969.03"/>
    <n v="50043.02"/>
    <n v="26682.560000000001"/>
    <n v="34036.46"/>
    <n v="45632.35"/>
    <n v="75524.69"/>
    <n v="56456.33"/>
    <n v="71631.64"/>
    <n v="112287.6"/>
    <n v="59349.67"/>
    <n v="734742.45"/>
    <n v="47950.579999999987"/>
  </r>
  <r>
    <x v="17"/>
    <x v="21"/>
    <x v="0"/>
    <s v="9000900"/>
    <n v="714510"/>
    <s v="Medical Director Fees"/>
    <s v="Eliminations"/>
    <x v="0"/>
    <m/>
    <n v="-89388.46"/>
    <n v="-110309.92"/>
    <n v="-92748.46"/>
    <n v="-115643.46"/>
    <n v="-83278.460000000006"/>
    <n v="12700"/>
    <n v="-108293.46"/>
    <n v="-140473.88"/>
    <n v="-69768.62"/>
    <n v="9286.0400000000009"/>
    <n v="-83806.16"/>
    <n v="-131756.74"/>
    <n v="-1003481.5800000001"/>
    <n v="572512.59000000008"/>
  </r>
  <r>
    <x v="17"/>
    <x v="21"/>
    <x v="0"/>
    <s v="9000900"/>
    <n v="714520"/>
    <s v="Other Contracted Professionals"/>
    <s v="Eliminations"/>
    <x v="0"/>
    <m/>
    <n v="-319176.73"/>
    <n v="-326343.21000000002"/>
    <n v="-421657.94"/>
    <n v="-378436.88"/>
    <n v="-505318.51"/>
    <n v="-597793.1"/>
    <n v="-524126.65"/>
    <n v="-372311.16"/>
    <n v="-354144.61"/>
    <n v="-476419.86"/>
    <n v="-70124.179999999993"/>
    <n v="-642636.77"/>
    <n v="-4988489.5999999996"/>
    <n v="0"/>
  </r>
  <r>
    <x v="21"/>
    <x v="21"/>
    <x v="0"/>
    <s v="9000900"/>
    <n v="716046"/>
    <s v="Consulting-Other"/>
    <s v="Eliminations"/>
    <x v="0"/>
    <m/>
    <n v="-1929.25"/>
    <n v="-1929.25"/>
    <n v="-1929.25"/>
    <n v="-1929.25"/>
    <n v="-1929.25"/>
    <n v="-1929.25"/>
    <n v="-1929.25"/>
    <n v="-1929.25"/>
    <n v="-1929.25"/>
    <n v="-1929.25"/>
    <n v="-1929.25"/>
    <n v="-1929.25"/>
    <n v="-23151"/>
    <n v="0"/>
  </r>
  <r>
    <x v="7"/>
    <x v="21"/>
    <x v="0"/>
    <s v="9000900"/>
    <n v="718050"/>
    <s v="Management Fees"/>
    <s v="Eliminations"/>
    <x v="0"/>
    <n v="1004"/>
    <n v="-2065.5"/>
    <n v="-2065.5"/>
    <n v="-2065.5"/>
    <n v="-2065.5"/>
    <n v="-2065.5"/>
    <n v="-2065.5"/>
    <n v="-2065.5"/>
    <n v="-2065.5"/>
    <n v="-2065.5"/>
    <n v="-2065.5"/>
    <n v="-2065.5"/>
    <n v="-2065.5"/>
    <n v="-24786"/>
    <n v="-262.51000000000022"/>
  </r>
  <r>
    <x v="7"/>
    <x v="21"/>
    <x v="0"/>
    <s v="9000900"/>
    <n v="718050"/>
    <s v="Security"/>
    <s v="Eliminations"/>
    <x v="0"/>
    <n v="1019"/>
    <n v="-8137.81"/>
    <n v="-8137.81"/>
    <n v="-7875.3"/>
    <n v="-8137.81"/>
    <n v="-7875.3"/>
    <n v="-8137.81"/>
    <n v="-8137.81"/>
    <n v="-7350.28"/>
    <n v="-8137.81"/>
    <n v="-7875.3"/>
    <n v="-8137.81"/>
    <n v="-7875.3"/>
    <n v="-95816.150000000009"/>
    <n v="-74189.579999999958"/>
  </r>
  <r>
    <x v="7"/>
    <x v="21"/>
    <x v="0"/>
    <s v="9000900"/>
    <n v="718050"/>
    <s v="Miscellaneous Purchased Svcs"/>
    <s v="Eliminations"/>
    <x v="0"/>
    <n v="1020"/>
    <n v="-528472.82999999996"/>
    <n v="-571540.73"/>
    <n v="-431209.45"/>
    <n v="-478868.9"/>
    <n v="-597696.96"/>
    <n v="-492628.1"/>
    <n v="171462.03"/>
    <n v="-385083.37"/>
    <n v="-380215.73"/>
    <n v="-362568.45"/>
    <n v="-361784.61"/>
    <n v="-287595.03000000003"/>
    <n v="-4706202.1300000008"/>
    <n v="6605.15"/>
  </r>
  <r>
    <x v="7"/>
    <x v="21"/>
    <x v="0"/>
    <s v="9000900"/>
    <n v="718050"/>
    <s v="Contract Svcs--Medical/Dental"/>
    <s v="Eliminations"/>
    <x v="0"/>
    <n v="1024"/>
    <n v="0"/>
    <n v="0"/>
    <n v="0"/>
    <n v="0"/>
    <n v="0"/>
    <n v="0"/>
    <n v="-188855.94"/>
    <n v="-21557.95"/>
    <n v="-34389.120000000003"/>
    <n v="-13101.15"/>
    <n v="-12290.38"/>
    <n v="-18895.53"/>
    <n v="-289090.06999999995"/>
    <n v="-32668.479999999996"/>
  </r>
  <r>
    <x v="7"/>
    <x v="21"/>
    <x v="0"/>
    <s v="9000900"/>
    <n v="718050"/>
    <s v="Purchased Srvcs-Hospital Care"/>
    <s v="Eliminations"/>
    <x v="0"/>
    <n v="5110"/>
    <n v="0"/>
    <n v="0"/>
    <n v="0"/>
    <n v="0"/>
    <n v="0"/>
    <n v="0"/>
    <n v="-485862.07"/>
    <n v="-33910.06"/>
    <n v="-58671.63"/>
    <n v="-114741.3"/>
    <n v="-71490.59"/>
    <n v="-38822.11"/>
    <n v="-803497.76"/>
    <n v="28851.690000000002"/>
  </r>
  <r>
    <x v="11"/>
    <x v="21"/>
    <x v="0"/>
    <s v="9000900"/>
    <n v="721810"/>
    <s v="Supplies-Dietary/Cafeteria"/>
    <s v="Eliminations"/>
    <x v="0"/>
    <m/>
    <n v="-19359.86"/>
    <n v="-18500.240000000002"/>
    <n v="-18291.990000000002"/>
    <n v="-34152.019999999997"/>
    <n v="-16867.12"/>
    <n v="-20245.52"/>
    <n v="-48146.69"/>
    <n v="-29770.78"/>
    <n v="-22421.85"/>
    <n v="-26577.200000000001"/>
    <n v="-27568.1"/>
    <n v="-56419.79"/>
    <n v="-338321.16"/>
    <n v="0"/>
  </r>
  <r>
    <x v="12"/>
    <x v="21"/>
    <x v="0"/>
    <s v="9000900"/>
    <n v="730010"/>
    <s v="Rental and Leases-Building (DO NOT USE)"/>
    <s v="Eliminations"/>
    <x v="0"/>
    <m/>
    <n v="-449383.05"/>
    <n v="-444154.28"/>
    <n v="-446702.02"/>
    <n v="-446702.02"/>
    <n v="-455400.52"/>
    <n v="-374634.04"/>
    <n v="-374640.37"/>
    <n v="-374640.37"/>
    <n v="-374922.84"/>
    <n v="-5560.64"/>
    <n v="-374735.29"/>
    <n v="-374735.29"/>
    <n v="-4496210.7300000004"/>
    <n v="0"/>
  </r>
  <r>
    <x v="12"/>
    <x v="21"/>
    <x v="0"/>
    <s v="9000900"/>
    <n v="730010"/>
    <s v="Rental-Common Area Maint (DO NOT USE)"/>
    <s v="Eliminations"/>
    <x v="0"/>
    <n v="2200"/>
    <n v="0"/>
    <n v="0"/>
    <n v="0"/>
    <n v="0"/>
    <n v="0"/>
    <n v="-81155.320000000007"/>
    <n v="-81155.320000000007"/>
    <n v="-81155.320000000007"/>
    <n v="-81155.320000000007"/>
    <n v="-383582.5"/>
    <n v="-81128.83"/>
    <n v="-81128.83"/>
    <n v="-870461.43999999994"/>
    <n v="191.82999999999998"/>
  </r>
  <r>
    <x v="16"/>
    <x v="21"/>
    <x v="0"/>
    <s v="9000900"/>
    <n v="733030"/>
    <s v="Maintenance Contracts-Other"/>
    <s v="Eliminations"/>
    <x v="0"/>
    <m/>
    <n v="-837.9"/>
    <n v="-409.5"/>
    <n v="-191.1"/>
    <n v="-1014.3"/>
    <n v="-531.29999999999995"/>
    <n v="-743.4"/>
    <n v="-365.4"/>
    <n v="-850.7"/>
    <n v="-1206.1300000000001"/>
    <n v="-604.16999999999996"/>
    <n v="-432.18"/>
    <n v="-624.01"/>
    <n v="-7810.0900000000011"/>
    <n v="0"/>
  </r>
  <r>
    <x v="16"/>
    <x v="21"/>
    <x v="0"/>
    <s v="9000900"/>
    <n v="733030"/>
    <s v="Maintenance Contract-Labor"/>
    <s v="Eliminations"/>
    <x v="0"/>
    <n v="5107"/>
    <n v="-1175.83"/>
    <n v="-1175.83"/>
    <n v="-1175.83"/>
    <n v="-1175.83"/>
    <n v="-1175.83"/>
    <n v="-1175.83"/>
    <n v="-1175.83"/>
    <n v="-1175.83"/>
    <n v="-1175.83"/>
    <n v="-1175.83"/>
    <n v="-1175.83"/>
    <n v="-1175.83"/>
    <n v="-14109.96"/>
    <n v="376497.42000000004"/>
  </r>
  <r>
    <x v="0"/>
    <x v="21"/>
    <x v="0"/>
    <s v="9000900"/>
    <n v="745010"/>
    <s v="Donations and Contributions"/>
    <s v="Eliminations"/>
    <x v="0"/>
    <m/>
    <n v="-62240.02"/>
    <n v="-37081.18"/>
    <n v="-57896.93"/>
    <n v="-128410.7"/>
    <n v="-98839.09"/>
    <n v="-41284.69"/>
    <n v="-115495.81"/>
    <n v="-37375.160000000003"/>
    <n v="-80057.91"/>
    <n v="-184134.25"/>
    <n v="-56766.17"/>
    <n v="-433263.59"/>
    <n v="-1332845.5000000002"/>
    <n v="4.29"/>
  </r>
  <r>
    <x v="0"/>
    <x v="21"/>
    <x v="0"/>
    <s v="9000900"/>
    <n v="749510"/>
    <s v="Special Events"/>
    <s v="Eliminations"/>
    <x v="0"/>
    <n v="4300"/>
    <n v="-8102.33"/>
    <n v="-2866.54"/>
    <n v="-6499.72"/>
    <n v="-2402.69"/>
    <n v="-7663.93"/>
    <n v="-4757.97"/>
    <n v="-6366.89"/>
    <n v="-2395.4299999999998"/>
    <n v="-1303.51"/>
    <n v="-331.68"/>
    <n v="4.29"/>
    <n v="0"/>
    <n v="-42686.400000000001"/>
    <n v="1032166.2"/>
  </r>
  <r>
    <x v="1"/>
    <x v="22"/>
    <x v="0"/>
    <s v="9000931"/>
    <n v="400029"/>
    <s v="MD Practice Other Rev--Medicare"/>
    <s v="Eliminations-PE @ SJ"/>
    <x v="0"/>
    <n v="1100"/>
    <n v="0"/>
    <n v="0"/>
    <n v="0"/>
    <n v="0"/>
    <n v="0"/>
    <n v="0"/>
    <n v="0"/>
    <n v="0"/>
    <n v="0"/>
    <n v="0"/>
    <n v="0"/>
    <n v="-1032166.2"/>
    <n v="-1032166.2"/>
    <n v="4839106.4000000004"/>
  </r>
  <r>
    <x v="1"/>
    <x v="22"/>
    <x v="0"/>
    <s v="9000931"/>
    <n v="400029"/>
    <s v="MD Practice Other Rev--Medicaid"/>
    <s v="Eliminations-PE @ SJ"/>
    <x v="0"/>
    <n v="1200"/>
    <n v="0"/>
    <n v="0"/>
    <n v="0"/>
    <n v="0"/>
    <n v="0"/>
    <n v="0"/>
    <n v="0"/>
    <n v="0"/>
    <n v="0"/>
    <n v="0"/>
    <n v="0"/>
    <n v="-4839106.4000000004"/>
    <n v="-4839106.4000000004"/>
    <n v="420378.79"/>
  </r>
  <r>
    <x v="1"/>
    <x v="22"/>
    <x v="0"/>
    <s v="9000931"/>
    <n v="400029"/>
    <s v="MD Practice Other Rev--Comm Insurance"/>
    <s v="Eliminations-PE @ SJ"/>
    <x v="0"/>
    <n v="1300"/>
    <n v="0"/>
    <n v="0"/>
    <n v="0"/>
    <n v="0"/>
    <n v="0"/>
    <n v="0"/>
    <n v="0"/>
    <n v="0"/>
    <n v="0"/>
    <n v="0"/>
    <n v="0"/>
    <n v="-420378.79"/>
    <n v="-420378.79"/>
    <n v="1171607.01"/>
  </r>
  <r>
    <x v="1"/>
    <x v="22"/>
    <x v="0"/>
    <s v="9000931"/>
    <n v="400029"/>
    <s v="MD Practice Other Rev--BCBS Comm"/>
    <s v="Eliminations-PE @ SJ"/>
    <x v="0"/>
    <n v="1301"/>
    <n v="0"/>
    <n v="0"/>
    <n v="0"/>
    <n v="0"/>
    <n v="0"/>
    <n v="0"/>
    <n v="0"/>
    <n v="0"/>
    <n v="0"/>
    <n v="0"/>
    <n v="0"/>
    <n v="-1171607.01"/>
    <n v="-1171607.01"/>
    <n v="4380522.05"/>
  </r>
  <r>
    <x v="1"/>
    <x v="22"/>
    <x v="0"/>
    <s v="9000931"/>
    <n v="400029"/>
    <s v="MD Practice Other Rev--Managed Care"/>
    <s v="Eliminations-PE @ SJ"/>
    <x v="0"/>
    <n v="1400"/>
    <n v="0"/>
    <n v="0"/>
    <n v="0"/>
    <n v="0"/>
    <n v="0"/>
    <n v="0"/>
    <n v="0"/>
    <n v="0"/>
    <n v="0"/>
    <n v="0"/>
    <n v="0"/>
    <n v="-4380522.05"/>
    <n v="-4380522.05"/>
    <n v="184880.02"/>
  </r>
  <r>
    <x v="1"/>
    <x v="22"/>
    <x v="0"/>
    <s v="9000931"/>
    <n v="400029"/>
    <s v="MD Practice Other Rev--Self Pay"/>
    <s v="Eliminations-PE @ SJ"/>
    <x v="0"/>
    <n v="1500"/>
    <n v="0"/>
    <n v="0"/>
    <n v="0"/>
    <n v="0"/>
    <n v="0"/>
    <n v="0"/>
    <n v="0"/>
    <n v="0"/>
    <n v="0"/>
    <n v="0"/>
    <n v="0"/>
    <n v="-184880.02"/>
    <n v="-184880.02"/>
    <n v="728478.84"/>
  </r>
  <r>
    <x v="1"/>
    <x v="22"/>
    <x v="0"/>
    <s v="9000931"/>
    <n v="400029"/>
    <s v="MD Practice Other Rev--Other"/>
    <s v="Eliminations-PE @ SJ"/>
    <x v="0"/>
    <n v="1700"/>
    <n v="0"/>
    <n v="0"/>
    <n v="0"/>
    <n v="0"/>
    <n v="0"/>
    <n v="0"/>
    <n v="0"/>
    <n v="0"/>
    <n v="0"/>
    <n v="0"/>
    <n v="0"/>
    <n v="-728478.84"/>
    <n v="-728478.84"/>
    <n v="69963254.5"/>
  </r>
  <r>
    <x v="1"/>
    <x v="22"/>
    <x v="0"/>
    <s v="9000931"/>
    <n v="400040"/>
    <s v="Physician Svcs Rev--Medicare"/>
    <s v="Eliminations-PE @ SJ"/>
    <x v="0"/>
    <n v="1100"/>
    <n v="0"/>
    <n v="0"/>
    <n v="0"/>
    <n v="0"/>
    <n v="0"/>
    <n v="0"/>
    <n v="0"/>
    <n v="0"/>
    <n v="0"/>
    <n v="0"/>
    <n v="0"/>
    <n v="-69963254.5"/>
    <n v="-69963254.5"/>
    <n v="41948225.119999997"/>
  </r>
  <r>
    <x v="1"/>
    <x v="22"/>
    <x v="0"/>
    <s v="9000931"/>
    <n v="400040"/>
    <s v="Physician Svcs Rev--Medicaid"/>
    <s v="Eliminations-PE @ SJ"/>
    <x v="0"/>
    <n v="1200"/>
    <n v="0"/>
    <n v="0"/>
    <n v="0"/>
    <n v="0"/>
    <n v="0"/>
    <n v="0"/>
    <n v="0"/>
    <n v="0"/>
    <n v="0"/>
    <n v="0"/>
    <n v="0"/>
    <n v="-41948225.119999997"/>
    <n v="-41948225.119999997"/>
    <n v="7257025.4500000002"/>
  </r>
  <r>
    <x v="1"/>
    <x v="22"/>
    <x v="0"/>
    <s v="9000931"/>
    <n v="400040"/>
    <s v="Physician Svcs Rev--Comm Insurance"/>
    <s v="Eliminations-PE @ SJ"/>
    <x v="0"/>
    <n v="1300"/>
    <n v="0"/>
    <n v="0"/>
    <n v="0"/>
    <n v="0"/>
    <n v="0"/>
    <n v="0"/>
    <n v="0"/>
    <n v="0"/>
    <n v="0"/>
    <n v="0"/>
    <n v="0"/>
    <n v="-7257025.4500000002"/>
    <n v="-7257025.4500000002"/>
    <n v="12777781.359999999"/>
  </r>
  <r>
    <x v="1"/>
    <x v="22"/>
    <x v="0"/>
    <s v="9000931"/>
    <n v="400040"/>
    <s v="Physician Svcs Rev--BCBS Comm"/>
    <s v="Eliminations-PE @ SJ"/>
    <x v="0"/>
    <n v="1301"/>
    <n v="0"/>
    <n v="0"/>
    <n v="0"/>
    <n v="0"/>
    <n v="0"/>
    <n v="0"/>
    <n v="0"/>
    <n v="0"/>
    <n v="0"/>
    <n v="0"/>
    <n v="0"/>
    <n v="-12777781.359999999"/>
    <n v="-12777781.359999999"/>
    <n v="50393224.710000001"/>
  </r>
  <r>
    <x v="1"/>
    <x v="22"/>
    <x v="0"/>
    <s v="9000931"/>
    <n v="400040"/>
    <s v="Physician Svcs Rev--Managed Care"/>
    <s v="Eliminations-PE @ SJ"/>
    <x v="0"/>
    <n v="1400"/>
    <n v="0"/>
    <n v="0"/>
    <n v="0"/>
    <n v="0"/>
    <n v="0"/>
    <n v="0"/>
    <n v="0"/>
    <n v="0"/>
    <n v="0"/>
    <n v="0"/>
    <n v="0"/>
    <n v="-50393224.710000001"/>
    <n v="-50393224.710000001"/>
    <n v="3530397.4"/>
  </r>
  <r>
    <x v="1"/>
    <x v="22"/>
    <x v="0"/>
    <s v="9000931"/>
    <n v="400040"/>
    <s v="Physician Svcs Rev--Self Pay"/>
    <s v="Eliminations-PE @ SJ"/>
    <x v="0"/>
    <n v="1500"/>
    <n v="0"/>
    <n v="0"/>
    <n v="0"/>
    <n v="0"/>
    <n v="0"/>
    <n v="0"/>
    <n v="0"/>
    <n v="0"/>
    <n v="0"/>
    <n v="0"/>
    <n v="0"/>
    <n v="-3530397.4"/>
    <n v="-3530397.4"/>
    <n v="11654584.25"/>
  </r>
  <r>
    <x v="1"/>
    <x v="22"/>
    <x v="0"/>
    <s v="9000931"/>
    <n v="400040"/>
    <s v="Physician Svcs Rev--Other"/>
    <s v="Eliminations-PE @ SJ"/>
    <x v="0"/>
    <n v="1700"/>
    <n v="0"/>
    <n v="0"/>
    <n v="0"/>
    <n v="0"/>
    <n v="0"/>
    <n v="0"/>
    <n v="0"/>
    <n v="0"/>
    <n v="0"/>
    <n v="0"/>
    <n v="0"/>
    <n v="-11654584.25"/>
    <n v="-11654584.25"/>
    <n v="-666657.34"/>
  </r>
  <r>
    <x v="2"/>
    <x v="22"/>
    <x v="0"/>
    <s v="9000931"/>
    <n v="450029"/>
    <s v="Contr Allow--MD Other-Medicare"/>
    <s v="Eliminations-PE @ SJ"/>
    <x v="0"/>
    <n v="1100"/>
    <n v="0"/>
    <n v="0"/>
    <n v="0"/>
    <n v="0"/>
    <n v="0"/>
    <n v="0"/>
    <n v="0"/>
    <n v="0"/>
    <n v="0"/>
    <n v="0"/>
    <n v="0"/>
    <n v="666657.34"/>
    <n v="666657.34"/>
    <n v="-3557793.39"/>
  </r>
  <r>
    <x v="2"/>
    <x v="22"/>
    <x v="0"/>
    <s v="9000931"/>
    <n v="450029"/>
    <s v="Contr Allow--MD Other-Medicaid"/>
    <s v="Eliminations-PE @ SJ"/>
    <x v="0"/>
    <n v="1200"/>
    <n v="0"/>
    <n v="0"/>
    <n v="0"/>
    <n v="0"/>
    <n v="0"/>
    <n v="0"/>
    <n v="0"/>
    <n v="0"/>
    <n v="0"/>
    <n v="0"/>
    <n v="0"/>
    <n v="3557793.39"/>
    <n v="3557793.39"/>
    <n v="-173307.9"/>
  </r>
  <r>
    <x v="2"/>
    <x v="22"/>
    <x v="0"/>
    <s v="9000931"/>
    <n v="450029"/>
    <s v="Contr Allow--MD Other-Comm Insurance"/>
    <s v="Eliminations-PE @ SJ"/>
    <x v="0"/>
    <n v="1300"/>
    <n v="0"/>
    <n v="0"/>
    <n v="0"/>
    <n v="0"/>
    <n v="0"/>
    <n v="0"/>
    <n v="0"/>
    <n v="0"/>
    <n v="0"/>
    <n v="0"/>
    <n v="0"/>
    <n v="173307.9"/>
    <n v="173307.9"/>
    <n v="-362818.67"/>
  </r>
  <r>
    <x v="2"/>
    <x v="22"/>
    <x v="0"/>
    <s v="9000931"/>
    <n v="450029"/>
    <s v="Contr Allow--MD Other BCBS Comm"/>
    <s v="Eliminations-PE @ SJ"/>
    <x v="0"/>
    <n v="1301"/>
    <n v="0"/>
    <n v="0"/>
    <n v="0"/>
    <n v="0"/>
    <n v="0"/>
    <n v="0"/>
    <n v="0"/>
    <n v="0"/>
    <n v="0"/>
    <n v="0"/>
    <n v="0"/>
    <n v="362818.67"/>
    <n v="362818.67"/>
    <n v="-1610384.32"/>
  </r>
  <r>
    <x v="2"/>
    <x v="22"/>
    <x v="0"/>
    <s v="9000931"/>
    <n v="450029"/>
    <s v="Contr Allow--MD Other-Managed Care"/>
    <s v="Eliminations-PE @ SJ"/>
    <x v="0"/>
    <n v="1400"/>
    <n v="0"/>
    <n v="0"/>
    <n v="0"/>
    <n v="0"/>
    <n v="0"/>
    <n v="0"/>
    <n v="0"/>
    <n v="0"/>
    <n v="0"/>
    <n v="0"/>
    <n v="0"/>
    <n v="1610384.32"/>
    <n v="1610384.32"/>
    <n v="-401.42"/>
  </r>
  <r>
    <x v="2"/>
    <x v="22"/>
    <x v="0"/>
    <s v="9000931"/>
    <n v="450029"/>
    <s v="Prompt Pay Disc-MD Other-Self Pay"/>
    <s v="Eliminations-PE @ SJ"/>
    <x v="0"/>
    <n v="1500"/>
    <n v="0"/>
    <n v="0"/>
    <n v="0"/>
    <n v="0"/>
    <n v="0"/>
    <n v="0"/>
    <n v="0"/>
    <n v="0"/>
    <n v="0"/>
    <n v="0"/>
    <n v="0"/>
    <n v="401.42"/>
    <n v="401.42"/>
    <n v="-92119.38"/>
  </r>
  <r>
    <x v="2"/>
    <x v="22"/>
    <x v="0"/>
    <s v="9000931"/>
    <n v="450029"/>
    <s v="Admin Adjust-MD Other-Self Pay"/>
    <s v="Eliminations-PE @ SJ"/>
    <x v="0"/>
    <n v="1600"/>
    <n v="0"/>
    <n v="0"/>
    <n v="0"/>
    <n v="0"/>
    <n v="0"/>
    <n v="0"/>
    <n v="0"/>
    <n v="0"/>
    <n v="0"/>
    <n v="0"/>
    <n v="0"/>
    <n v="92119.38"/>
    <n v="92119.38"/>
    <n v="-435273.07"/>
  </r>
  <r>
    <x v="2"/>
    <x v="22"/>
    <x v="0"/>
    <s v="9000931"/>
    <n v="450029"/>
    <s v="Contr Allow--MD Other-Other"/>
    <s v="Eliminations-PE @ SJ"/>
    <x v="0"/>
    <n v="1700"/>
    <n v="0"/>
    <n v="0"/>
    <n v="0"/>
    <n v="0"/>
    <n v="0"/>
    <n v="0"/>
    <n v="0"/>
    <n v="0"/>
    <n v="0"/>
    <n v="0"/>
    <n v="0"/>
    <n v="435273.07"/>
    <n v="435273.07"/>
    <n v="-47649990.079999998"/>
  </r>
  <r>
    <x v="2"/>
    <x v="22"/>
    <x v="0"/>
    <s v="9000931"/>
    <n v="450040"/>
    <s v="Contr Allow--Phys Svcs--Mcare"/>
    <s v="Eliminations-PE @ SJ"/>
    <x v="0"/>
    <n v="1100"/>
    <n v="0"/>
    <n v="0"/>
    <n v="0"/>
    <n v="0"/>
    <n v="0"/>
    <n v="0"/>
    <n v="0"/>
    <n v="0"/>
    <n v="0"/>
    <n v="0"/>
    <n v="0"/>
    <n v="47649990.079999998"/>
    <n v="47649990.079999998"/>
    <n v="-30556621.239999998"/>
  </r>
  <r>
    <x v="2"/>
    <x v="22"/>
    <x v="0"/>
    <s v="9000931"/>
    <n v="450040"/>
    <s v="Contr Allow--Phys Svcs--Mcaid"/>
    <s v="Eliminations-PE @ SJ"/>
    <x v="0"/>
    <n v="1200"/>
    <n v="0"/>
    <n v="0"/>
    <n v="0"/>
    <n v="0"/>
    <n v="0"/>
    <n v="0"/>
    <n v="0"/>
    <n v="0"/>
    <n v="0"/>
    <n v="0"/>
    <n v="0"/>
    <n v="30556621.239999998"/>
    <n v="30556621.239999998"/>
    <n v="-3386585.78"/>
  </r>
  <r>
    <x v="2"/>
    <x v="22"/>
    <x v="0"/>
    <s v="9000931"/>
    <n v="450040"/>
    <s v="Contr Allow--Phys Svcs--Comm Insurance"/>
    <s v="Eliminations-PE @ SJ"/>
    <x v="0"/>
    <n v="1300"/>
    <n v="0"/>
    <n v="0"/>
    <n v="0"/>
    <n v="0"/>
    <n v="0"/>
    <n v="0"/>
    <n v="0"/>
    <n v="0"/>
    <n v="0"/>
    <n v="0"/>
    <n v="0"/>
    <n v="3386585.78"/>
    <n v="3386585.78"/>
    <n v="-4761404.04"/>
  </r>
  <r>
    <x v="2"/>
    <x v="22"/>
    <x v="0"/>
    <s v="9000931"/>
    <n v="450040"/>
    <s v="Contr Allow--Phys Svcs--BCBS Comm Ins"/>
    <s v="Eliminations-PE @ SJ"/>
    <x v="0"/>
    <n v="1301"/>
    <n v="0"/>
    <n v="0"/>
    <n v="0"/>
    <n v="0"/>
    <n v="0"/>
    <n v="0"/>
    <n v="0"/>
    <n v="0"/>
    <n v="0"/>
    <n v="0"/>
    <n v="0"/>
    <n v="4761404.04"/>
    <n v="4761404.04"/>
    <n v="-21216203.969999999"/>
  </r>
  <r>
    <x v="2"/>
    <x v="22"/>
    <x v="0"/>
    <s v="9000931"/>
    <n v="450040"/>
    <s v="Contr Allow--Phys Svcs--Managed Care"/>
    <s v="Eliminations-PE @ SJ"/>
    <x v="0"/>
    <n v="1400"/>
    <n v="0"/>
    <n v="0"/>
    <n v="0"/>
    <n v="0"/>
    <n v="0"/>
    <n v="0"/>
    <n v="0"/>
    <n v="0"/>
    <n v="0"/>
    <n v="0"/>
    <n v="0"/>
    <n v="21216203.969999999"/>
    <n v="21216203.969999999"/>
    <n v="1001952.66"/>
  </r>
  <r>
    <x v="2"/>
    <x v="22"/>
    <x v="0"/>
    <s v="9000931"/>
    <n v="450040"/>
    <s v="Contr Allow--Phys Svcs--BCBS Mgnd Care"/>
    <s v="Eliminations-PE @ SJ"/>
    <x v="0"/>
    <n v="1401"/>
    <n v="0"/>
    <n v="0"/>
    <n v="0"/>
    <n v="0"/>
    <n v="0"/>
    <n v="0"/>
    <n v="0"/>
    <n v="0"/>
    <n v="0"/>
    <n v="0"/>
    <n v="0"/>
    <n v="-1001952.66"/>
    <n v="-1001952.66"/>
    <n v="36118.81"/>
  </r>
  <r>
    <x v="2"/>
    <x v="22"/>
    <x v="0"/>
    <s v="9000931"/>
    <n v="450040"/>
    <s v="Prompt Pay Disc-Phys Svcs-Self Pay"/>
    <s v="Eliminations-PE @ SJ"/>
    <x v="0"/>
    <n v="1500"/>
    <n v="0"/>
    <n v="0"/>
    <n v="0"/>
    <n v="0"/>
    <n v="0"/>
    <n v="0"/>
    <n v="0"/>
    <n v="0"/>
    <n v="0"/>
    <n v="0"/>
    <n v="0"/>
    <n v="-36118.81"/>
    <n v="-36118.81"/>
    <n v="-1643902.65"/>
  </r>
  <r>
    <x v="2"/>
    <x v="22"/>
    <x v="0"/>
    <s v="9000931"/>
    <n v="450040"/>
    <s v="Admin Adjust-Phys Svcs-Self Pay"/>
    <s v="Eliminations-PE @ SJ"/>
    <x v="0"/>
    <n v="1600"/>
    <n v="0"/>
    <n v="0"/>
    <n v="0"/>
    <n v="0"/>
    <n v="0"/>
    <n v="0"/>
    <n v="0"/>
    <n v="0"/>
    <n v="0"/>
    <n v="0"/>
    <n v="0"/>
    <n v="1643902.65"/>
    <n v="1643902.65"/>
    <n v="-6710219.7199999997"/>
  </r>
  <r>
    <x v="2"/>
    <x v="22"/>
    <x v="0"/>
    <s v="9000931"/>
    <n v="450040"/>
    <s v="Contr Allow--Phys Svcs--Other"/>
    <s v="Eliminations-PE @ SJ"/>
    <x v="0"/>
    <n v="1700"/>
    <n v="0"/>
    <n v="0"/>
    <n v="0"/>
    <n v="0"/>
    <n v="0"/>
    <n v="0"/>
    <n v="0"/>
    <n v="0"/>
    <n v="0"/>
    <n v="0"/>
    <n v="0"/>
    <n v="6710219.7199999997"/>
    <n v="6710219.7199999997"/>
    <n v="-1602676.31"/>
  </r>
  <r>
    <x v="3"/>
    <x v="22"/>
    <x v="0"/>
    <s v="9000931"/>
    <n v="470040"/>
    <s v="Charity Care-Physician Svcs"/>
    <s v="Eliminations-PE @ SJ"/>
    <x v="0"/>
    <m/>
    <n v="0"/>
    <n v="0"/>
    <n v="0"/>
    <n v="0"/>
    <n v="0"/>
    <n v="0"/>
    <n v="0"/>
    <n v="0"/>
    <n v="0"/>
    <n v="0"/>
    <n v="0"/>
    <n v="1602676.31"/>
    <n v="1602676.31"/>
    <n v="-1480855.65"/>
  </r>
  <r>
    <x v="4"/>
    <x v="22"/>
    <x v="0"/>
    <s v="9000931"/>
    <n v="490010"/>
    <s v="Provision for Bad Debts"/>
    <s v="Eliminations-PE @ SJ"/>
    <x v="0"/>
    <m/>
    <n v="0"/>
    <n v="0"/>
    <n v="0"/>
    <n v="0"/>
    <n v="0"/>
    <n v="0"/>
    <n v="0"/>
    <n v="0"/>
    <n v="0"/>
    <n v="0"/>
    <n v="0"/>
    <n v="1480855.65"/>
    <n v="1480855.65"/>
    <n v="-150.26"/>
  </r>
  <r>
    <x v="14"/>
    <x v="22"/>
    <x v="0"/>
    <s v="9000931"/>
    <n v="600010"/>
    <s v="Product Sales Income-Taxable"/>
    <s v="Eliminations-PE @ SJ"/>
    <x v="0"/>
    <m/>
    <n v="0"/>
    <n v="0"/>
    <n v="0"/>
    <n v="0"/>
    <n v="0"/>
    <n v="0"/>
    <n v="0"/>
    <n v="0"/>
    <n v="0"/>
    <n v="0"/>
    <n v="0"/>
    <n v="150.26"/>
    <n v="150.26"/>
    <n v="24331.74"/>
  </r>
  <r>
    <x v="14"/>
    <x v="22"/>
    <x v="0"/>
    <s v="9000931"/>
    <n v="600026"/>
    <s v="POB Rental"/>
    <s v="Eliminations-PE @ SJ"/>
    <x v="0"/>
    <n v="1001"/>
    <n v="0"/>
    <n v="0"/>
    <n v="0"/>
    <n v="0"/>
    <n v="0"/>
    <n v="0"/>
    <n v="0"/>
    <n v="0"/>
    <n v="0"/>
    <n v="0"/>
    <n v="0"/>
    <n v="-24331.74"/>
    <n v="-24331.74"/>
    <n v="487.28"/>
  </r>
  <r>
    <x v="14"/>
    <x v="22"/>
    <x v="0"/>
    <s v="9000931"/>
    <n v="600026"/>
    <s v="Other Rental"/>
    <s v="Eliminations-PE @ SJ"/>
    <x v="0"/>
    <n v="1002"/>
    <n v="0"/>
    <n v="0"/>
    <n v="0"/>
    <n v="0"/>
    <n v="0"/>
    <n v="0"/>
    <n v="0"/>
    <n v="0"/>
    <n v="0"/>
    <n v="0"/>
    <n v="0"/>
    <n v="-487.28"/>
    <n v="-487.28"/>
    <n v="3032.06"/>
  </r>
  <r>
    <x v="14"/>
    <x v="22"/>
    <x v="0"/>
    <s v="9000931"/>
    <n v="600034"/>
    <s v="Vending Commission"/>
    <s v="Eliminations-PE @ SJ"/>
    <x v="0"/>
    <n v="1002"/>
    <n v="0"/>
    <n v="0"/>
    <n v="0"/>
    <n v="0"/>
    <n v="0"/>
    <n v="0"/>
    <n v="0"/>
    <n v="0"/>
    <n v="0"/>
    <n v="0"/>
    <n v="0"/>
    <n v="-3032.06"/>
    <n v="-3032.06"/>
    <n v="4317431.62"/>
  </r>
  <r>
    <x v="14"/>
    <x v="22"/>
    <x v="0"/>
    <s v="9000931"/>
    <n v="600050"/>
    <s v="Miscellaneous Revenue"/>
    <s v="Eliminations-PE @ SJ"/>
    <x v="0"/>
    <m/>
    <n v="0"/>
    <n v="0"/>
    <n v="0"/>
    <n v="0"/>
    <n v="0"/>
    <n v="0"/>
    <n v="0"/>
    <n v="0"/>
    <n v="0"/>
    <n v="0"/>
    <n v="0"/>
    <n v="-4317431.62"/>
    <n v="-4317431.62"/>
    <n v="58034.09"/>
  </r>
  <r>
    <x v="14"/>
    <x v="22"/>
    <x v="0"/>
    <s v="9000931"/>
    <n v="600055"/>
    <s v="Grants"/>
    <s v="Eliminations-PE @ SJ"/>
    <x v="0"/>
    <m/>
    <n v="0"/>
    <n v="0"/>
    <n v="0"/>
    <n v="0"/>
    <n v="0"/>
    <n v="0"/>
    <n v="0"/>
    <n v="0"/>
    <n v="0"/>
    <n v="0"/>
    <n v="0"/>
    <n v="-58034.09"/>
    <n v="-58034.09"/>
    <n v="159927.5"/>
  </r>
  <r>
    <x v="14"/>
    <x v="22"/>
    <x v="0"/>
    <s v="9000931"/>
    <n v="600059"/>
    <s v="Meaningful Use Revenue-Medicaid"/>
    <s v="Eliminations-PE @ SJ"/>
    <x v="0"/>
    <m/>
    <n v="0"/>
    <n v="0"/>
    <n v="0"/>
    <n v="0"/>
    <n v="0"/>
    <n v="0"/>
    <n v="0"/>
    <n v="0"/>
    <n v="0"/>
    <n v="0"/>
    <n v="0"/>
    <n v="-159927.5"/>
    <n v="-159927.5"/>
    <n v="631519.85"/>
  </r>
  <r>
    <x v="14"/>
    <x v="22"/>
    <x v="0"/>
    <s v="9000931"/>
    <n v="600061"/>
    <s v="Federal Grant Revenue"/>
    <s v="Eliminations-PE @ SJ"/>
    <x v="0"/>
    <m/>
    <n v="0"/>
    <n v="0"/>
    <n v="0"/>
    <n v="0"/>
    <n v="0"/>
    <n v="0"/>
    <n v="0"/>
    <n v="0"/>
    <n v="0"/>
    <n v="0"/>
    <n v="0"/>
    <n v="-631519.85"/>
    <n v="-631519.85"/>
    <n v="114.6"/>
  </r>
  <r>
    <x v="20"/>
    <x v="22"/>
    <x v="0"/>
    <s v="9000931"/>
    <n v="610010"/>
    <s v="Foundation Distributions"/>
    <s v="Eliminations-PE @ SJ"/>
    <x v="0"/>
    <n v="1175"/>
    <n v="0"/>
    <n v="0"/>
    <n v="0"/>
    <n v="0"/>
    <n v="0"/>
    <n v="0"/>
    <n v="0"/>
    <n v="0"/>
    <n v="0"/>
    <n v="0"/>
    <n v="0"/>
    <n v="-114.6"/>
    <n v="-114.6"/>
    <n v="-2096771.98"/>
  </r>
  <r>
    <x v="5"/>
    <x v="22"/>
    <x v="0"/>
    <s v="9000931"/>
    <n v="700014"/>
    <s v="Salaries-Management-Productive"/>
    <s v="Eliminations-PE @ SJ"/>
    <x v="0"/>
    <m/>
    <n v="0"/>
    <n v="0"/>
    <n v="0"/>
    <n v="0"/>
    <n v="0"/>
    <n v="0"/>
    <n v="0"/>
    <n v="0"/>
    <n v="0"/>
    <n v="0"/>
    <n v="0"/>
    <n v="2096771.98"/>
    <n v="2096771.98"/>
    <n v="-2904.47"/>
  </r>
  <r>
    <x v="5"/>
    <x v="22"/>
    <x v="0"/>
    <s v="9000931"/>
    <n v="700014"/>
    <s v="Salaries-Management-Other"/>
    <s v="Eliminations-PE @ SJ"/>
    <x v="0"/>
    <n v="2000"/>
    <n v="0"/>
    <n v="0"/>
    <n v="0"/>
    <n v="0"/>
    <n v="0"/>
    <n v="0"/>
    <n v="0"/>
    <n v="0"/>
    <n v="0"/>
    <n v="0"/>
    <n v="0"/>
    <n v="2904.47"/>
    <n v="2904.47"/>
    <n v="-1483349.93"/>
  </r>
  <r>
    <x v="5"/>
    <x v="22"/>
    <x v="0"/>
    <s v="9000931"/>
    <n v="700018"/>
    <s v="Salaries-Supervisory-Productive"/>
    <s v="Eliminations-PE @ SJ"/>
    <x v="0"/>
    <m/>
    <n v="0"/>
    <n v="0"/>
    <n v="0"/>
    <n v="0"/>
    <n v="0"/>
    <n v="0"/>
    <n v="0"/>
    <n v="0"/>
    <n v="0"/>
    <n v="0"/>
    <n v="0"/>
    <n v="1483349.93"/>
    <n v="1483349.93"/>
    <n v="-33.56"/>
  </r>
  <r>
    <x v="5"/>
    <x v="22"/>
    <x v="0"/>
    <s v="9000931"/>
    <n v="700018"/>
    <s v="Salaries-Supervisory-Other"/>
    <s v="Eliminations-PE @ SJ"/>
    <x v="0"/>
    <n v="2000"/>
    <n v="0"/>
    <n v="0"/>
    <n v="0"/>
    <n v="0"/>
    <n v="0"/>
    <n v="0"/>
    <n v="0"/>
    <n v="0"/>
    <n v="0"/>
    <n v="0"/>
    <n v="0"/>
    <n v="33.56"/>
    <n v="33.56"/>
    <n v="-113017.64"/>
  </r>
  <r>
    <x v="5"/>
    <x v="22"/>
    <x v="0"/>
    <s v="9000931"/>
    <n v="700020"/>
    <s v="Salaries-Physician Admin-Productive"/>
    <s v="Eliminations-PE @ SJ"/>
    <x v="0"/>
    <m/>
    <n v="0"/>
    <n v="0"/>
    <n v="0"/>
    <n v="0"/>
    <n v="0"/>
    <n v="0"/>
    <n v="0"/>
    <n v="0"/>
    <n v="0"/>
    <n v="0"/>
    <n v="0"/>
    <n v="113017.64"/>
    <n v="113017.64"/>
    <n v="-248355.12"/>
  </r>
  <r>
    <x v="5"/>
    <x v="22"/>
    <x v="0"/>
    <s v="9000931"/>
    <n v="700020"/>
    <s v="Salaries-Physician Admin-Other"/>
    <s v="Eliminations-PE @ SJ"/>
    <x v="0"/>
    <n v="2000"/>
    <n v="0"/>
    <n v="0"/>
    <n v="0"/>
    <n v="0"/>
    <n v="0"/>
    <n v="0"/>
    <n v="0"/>
    <n v="0"/>
    <n v="0"/>
    <n v="0"/>
    <n v="0"/>
    <n v="248355.12"/>
    <n v="248355.12"/>
    <n v="-40169132.509999998"/>
  </r>
  <r>
    <x v="5"/>
    <x v="22"/>
    <x v="0"/>
    <s v="9000931"/>
    <n v="700022"/>
    <s v="Salaries-Physician-Productive"/>
    <s v="Eliminations-PE @ SJ"/>
    <x v="0"/>
    <m/>
    <n v="0"/>
    <n v="0"/>
    <n v="0"/>
    <n v="0"/>
    <n v="0"/>
    <n v="0"/>
    <n v="0"/>
    <n v="0"/>
    <n v="0"/>
    <n v="0"/>
    <n v="0"/>
    <n v="40169132.509999998"/>
    <n v="40169132.509999998"/>
    <n v="-2265794.7400000002"/>
  </r>
  <r>
    <x v="5"/>
    <x v="22"/>
    <x v="0"/>
    <s v="9000931"/>
    <n v="700022"/>
    <s v="Salaries-Physician-Other"/>
    <s v="Eliminations-PE @ SJ"/>
    <x v="0"/>
    <n v="2000"/>
    <n v="0"/>
    <n v="0"/>
    <n v="0"/>
    <n v="0"/>
    <n v="0"/>
    <n v="0"/>
    <n v="0"/>
    <n v="0"/>
    <n v="0"/>
    <n v="0"/>
    <n v="0"/>
    <n v="2265794.7400000002"/>
    <n v="2265794.7400000002"/>
    <n v="-795021.39"/>
  </r>
  <r>
    <x v="5"/>
    <x v="22"/>
    <x v="0"/>
    <s v="9000931"/>
    <n v="700022"/>
    <s v="Salaries-Physician-Provider Incentive"/>
    <s v="Eliminations-PE @ SJ"/>
    <x v="0"/>
    <n v="4003"/>
    <n v="0"/>
    <n v="0"/>
    <n v="0"/>
    <n v="0"/>
    <n v="0"/>
    <n v="0"/>
    <n v="0"/>
    <n v="0"/>
    <n v="0"/>
    <n v="0"/>
    <n v="0"/>
    <n v="795021.39"/>
    <n v="795021.39"/>
    <n v="7591.1"/>
  </r>
  <r>
    <x v="5"/>
    <x v="22"/>
    <x v="0"/>
    <s v="9000931"/>
    <n v="700022"/>
    <s v="Salaries-Physician-Recruitment Bonus"/>
    <s v="Eliminations-PE @ SJ"/>
    <x v="0"/>
    <n v="4005"/>
    <n v="0"/>
    <n v="0"/>
    <n v="0"/>
    <n v="0"/>
    <n v="0"/>
    <n v="0"/>
    <n v="0"/>
    <n v="0"/>
    <n v="0"/>
    <n v="0"/>
    <n v="0"/>
    <n v="-7591.1"/>
    <n v="-7591.1"/>
    <n v="-8961453.0299999993"/>
  </r>
  <r>
    <x v="5"/>
    <x v="22"/>
    <x v="0"/>
    <s v="9000931"/>
    <n v="700024"/>
    <s v="Salaries-Advanced Practice Clinician-Productive"/>
    <s v="Eliminations-PE @ SJ"/>
    <x v="0"/>
    <m/>
    <n v="0"/>
    <n v="0"/>
    <n v="0"/>
    <n v="0"/>
    <n v="0"/>
    <n v="0"/>
    <n v="0"/>
    <n v="0"/>
    <n v="0"/>
    <n v="0"/>
    <n v="0"/>
    <n v="8961453.0299999993"/>
    <n v="8961453.0299999993"/>
    <n v="-319080.03999999998"/>
  </r>
  <r>
    <x v="5"/>
    <x v="22"/>
    <x v="0"/>
    <s v="9000931"/>
    <n v="700024"/>
    <s v="Salaries-Advanced Practice Clinician-Other"/>
    <s v="Eliminations-PE @ SJ"/>
    <x v="0"/>
    <n v="2000"/>
    <n v="0"/>
    <n v="0"/>
    <n v="0"/>
    <n v="0"/>
    <n v="0"/>
    <n v="0"/>
    <n v="0"/>
    <n v="0"/>
    <n v="0"/>
    <n v="0"/>
    <n v="0"/>
    <n v="319080.03999999998"/>
    <n v="319080.03999999998"/>
    <n v="-59047.16"/>
  </r>
  <r>
    <x v="5"/>
    <x v="22"/>
    <x v="0"/>
    <s v="9000931"/>
    <n v="700024"/>
    <s v="Salaries-Advanced Practice Clinician-Provider Incentive"/>
    <s v="Eliminations-PE @ SJ"/>
    <x v="0"/>
    <n v="4003"/>
    <n v="0"/>
    <n v="0"/>
    <n v="0"/>
    <n v="0"/>
    <n v="0"/>
    <n v="0"/>
    <n v="0"/>
    <n v="0"/>
    <n v="0"/>
    <n v="0"/>
    <n v="0"/>
    <n v="59047.16"/>
    <n v="59047.16"/>
    <n v="-10847.6"/>
  </r>
  <r>
    <x v="5"/>
    <x v="22"/>
    <x v="0"/>
    <s v="9000931"/>
    <n v="700024"/>
    <s v="Salaries-Advanced Practice Clinician-Recruitment Bonus"/>
    <s v="Eliminations-PE @ SJ"/>
    <x v="0"/>
    <n v="4005"/>
    <n v="0"/>
    <n v="0"/>
    <n v="0"/>
    <n v="0"/>
    <n v="0"/>
    <n v="0"/>
    <n v="0"/>
    <n v="0"/>
    <n v="0"/>
    <n v="0"/>
    <n v="0"/>
    <n v="10847.6"/>
    <n v="10847.6"/>
    <n v="-3455258.99"/>
  </r>
  <r>
    <x v="5"/>
    <x v="22"/>
    <x v="0"/>
    <s v="9000931"/>
    <n v="700026"/>
    <s v="Salaries-RN-Productive"/>
    <s v="Eliminations-PE @ SJ"/>
    <x v="0"/>
    <m/>
    <n v="0"/>
    <n v="0"/>
    <n v="0"/>
    <n v="0"/>
    <n v="0"/>
    <n v="0"/>
    <n v="0"/>
    <n v="0"/>
    <n v="0"/>
    <n v="0"/>
    <n v="0"/>
    <n v="3455258.99"/>
    <n v="3455258.99"/>
    <n v="-83013.070000000007"/>
  </r>
  <r>
    <x v="5"/>
    <x v="22"/>
    <x v="0"/>
    <s v="9000931"/>
    <n v="700026"/>
    <s v="Salaries-RN-OT"/>
    <s v="Eliminations-PE @ SJ"/>
    <x v="0"/>
    <n v="1000"/>
    <n v="0"/>
    <n v="0"/>
    <n v="0"/>
    <n v="0"/>
    <n v="0"/>
    <n v="0"/>
    <n v="0"/>
    <n v="0"/>
    <n v="0"/>
    <n v="0"/>
    <n v="0"/>
    <n v="83013.070000000007"/>
    <n v="83013.070000000007"/>
    <n v="-11626.81"/>
  </r>
  <r>
    <x v="5"/>
    <x v="22"/>
    <x v="0"/>
    <s v="9000931"/>
    <n v="700026"/>
    <s v="Salaries-RN-Other"/>
    <s v="Eliminations-PE @ SJ"/>
    <x v="0"/>
    <n v="2000"/>
    <n v="0"/>
    <n v="0"/>
    <n v="0"/>
    <n v="0"/>
    <n v="0"/>
    <n v="0"/>
    <n v="0"/>
    <n v="0"/>
    <n v="0"/>
    <n v="0"/>
    <n v="0"/>
    <n v="11626.81"/>
    <n v="11626.81"/>
    <n v="-3421661.82"/>
  </r>
  <r>
    <x v="5"/>
    <x v="22"/>
    <x v="0"/>
    <s v="9000931"/>
    <n v="700030"/>
    <s v="Salaries-LPN-Productive"/>
    <s v="Eliminations-PE @ SJ"/>
    <x v="0"/>
    <m/>
    <n v="0"/>
    <n v="0"/>
    <n v="0"/>
    <n v="0"/>
    <n v="0"/>
    <n v="0"/>
    <n v="0"/>
    <n v="0"/>
    <n v="0"/>
    <n v="0"/>
    <n v="0"/>
    <n v="3421661.82"/>
    <n v="3421661.82"/>
    <n v="-159694.66"/>
  </r>
  <r>
    <x v="5"/>
    <x v="22"/>
    <x v="0"/>
    <s v="9000931"/>
    <n v="700030"/>
    <s v="Salaries-LPN-OT"/>
    <s v="Eliminations-PE @ SJ"/>
    <x v="0"/>
    <n v="1000"/>
    <n v="0"/>
    <n v="0"/>
    <n v="0"/>
    <n v="0"/>
    <n v="0"/>
    <n v="0"/>
    <n v="0"/>
    <n v="0"/>
    <n v="0"/>
    <n v="0"/>
    <n v="0"/>
    <n v="159694.66"/>
    <n v="159694.66"/>
    <n v="-8865.82"/>
  </r>
  <r>
    <x v="5"/>
    <x v="22"/>
    <x v="0"/>
    <s v="9000931"/>
    <n v="700030"/>
    <s v="Salaries-LPN-Other"/>
    <s v="Eliminations-PE @ SJ"/>
    <x v="0"/>
    <n v="2000"/>
    <n v="0"/>
    <n v="0"/>
    <n v="0"/>
    <n v="0"/>
    <n v="0"/>
    <n v="0"/>
    <n v="0"/>
    <n v="0"/>
    <n v="0"/>
    <n v="0"/>
    <n v="0"/>
    <n v="8865.82"/>
    <n v="8865.82"/>
    <n v="-3690261.76"/>
  </r>
  <r>
    <x v="5"/>
    <x v="22"/>
    <x v="0"/>
    <s v="9000931"/>
    <n v="700032"/>
    <s v="Salaries-Other Pat Care Providers-Productive"/>
    <s v="Eliminations-PE @ SJ"/>
    <x v="0"/>
    <m/>
    <n v="0"/>
    <n v="0"/>
    <n v="0"/>
    <n v="0"/>
    <n v="0"/>
    <n v="0"/>
    <n v="0"/>
    <n v="0"/>
    <n v="0"/>
    <n v="0"/>
    <n v="0"/>
    <n v="3690261.76"/>
    <n v="3690261.76"/>
    <n v="-88816.54"/>
  </r>
  <r>
    <x v="5"/>
    <x v="22"/>
    <x v="0"/>
    <s v="9000931"/>
    <n v="700032"/>
    <s v="Salaries-Other Pat Care Providers-OT"/>
    <s v="Eliminations-PE @ SJ"/>
    <x v="0"/>
    <n v="1000"/>
    <n v="0"/>
    <n v="0"/>
    <n v="0"/>
    <n v="0"/>
    <n v="0"/>
    <n v="0"/>
    <n v="0"/>
    <n v="0"/>
    <n v="0"/>
    <n v="0"/>
    <n v="0"/>
    <n v="88816.54"/>
    <n v="88816.54"/>
    <n v="-9640.31"/>
  </r>
  <r>
    <x v="5"/>
    <x v="22"/>
    <x v="0"/>
    <s v="9000931"/>
    <n v="700032"/>
    <s v="Salaries-Other Pat Care Providers-Other"/>
    <s v="Eliminations-PE @ SJ"/>
    <x v="0"/>
    <n v="2000"/>
    <n v="0"/>
    <n v="0"/>
    <n v="0"/>
    <n v="0"/>
    <n v="0"/>
    <n v="0"/>
    <n v="0"/>
    <n v="0"/>
    <n v="0"/>
    <n v="0"/>
    <n v="0"/>
    <n v="9640.31"/>
    <n v="9640.31"/>
    <n v="-4000212.46"/>
  </r>
  <r>
    <x v="5"/>
    <x v="22"/>
    <x v="0"/>
    <s v="9000931"/>
    <n v="700034"/>
    <s v="Salaries-Tech/Professional-Productive"/>
    <s v="Eliminations-PE @ SJ"/>
    <x v="0"/>
    <m/>
    <n v="0"/>
    <n v="0"/>
    <n v="0"/>
    <n v="0"/>
    <n v="0"/>
    <n v="0"/>
    <n v="0"/>
    <n v="0"/>
    <n v="0"/>
    <n v="0"/>
    <n v="0"/>
    <n v="4000212.46"/>
    <n v="4000212.46"/>
    <n v="-35836.78"/>
  </r>
  <r>
    <x v="5"/>
    <x v="22"/>
    <x v="0"/>
    <s v="9000931"/>
    <n v="700034"/>
    <s v="Salaries-Tech/Professional-OT"/>
    <s v="Eliminations-PE @ SJ"/>
    <x v="0"/>
    <n v="1000"/>
    <n v="0"/>
    <n v="0"/>
    <n v="0"/>
    <n v="0"/>
    <n v="0"/>
    <n v="0"/>
    <n v="0"/>
    <n v="0"/>
    <n v="0"/>
    <n v="0"/>
    <n v="0"/>
    <n v="35836.78"/>
    <n v="35836.78"/>
    <n v="-24275.24"/>
  </r>
  <r>
    <x v="5"/>
    <x v="22"/>
    <x v="0"/>
    <s v="9000931"/>
    <n v="700034"/>
    <s v="Salaries-Tech/Professional-Other"/>
    <s v="Eliminations-PE @ SJ"/>
    <x v="0"/>
    <n v="2000"/>
    <n v="0"/>
    <n v="0"/>
    <n v="0"/>
    <n v="0"/>
    <n v="0"/>
    <n v="0"/>
    <n v="0"/>
    <n v="0"/>
    <n v="0"/>
    <n v="0"/>
    <n v="0"/>
    <n v="24275.24"/>
    <n v="24275.24"/>
    <n v="-8046298.5199999996"/>
  </r>
  <r>
    <x v="5"/>
    <x v="22"/>
    <x v="0"/>
    <s v="9000931"/>
    <n v="700038"/>
    <s v="Salaries-Service/Support-Productive"/>
    <s v="Eliminations-PE @ SJ"/>
    <x v="0"/>
    <m/>
    <n v="0"/>
    <n v="0"/>
    <n v="0"/>
    <n v="0"/>
    <n v="0"/>
    <n v="0"/>
    <n v="0"/>
    <n v="0"/>
    <n v="0"/>
    <n v="0"/>
    <n v="0"/>
    <n v="8046298.5199999996"/>
    <n v="8046298.5199999996"/>
    <n v="-198479.72"/>
  </r>
  <r>
    <x v="5"/>
    <x v="22"/>
    <x v="0"/>
    <s v="9000931"/>
    <n v="700038"/>
    <s v="Salaries-Service/Support-OT"/>
    <s v="Eliminations-PE @ SJ"/>
    <x v="0"/>
    <n v="1000"/>
    <n v="0"/>
    <n v="0"/>
    <n v="0"/>
    <n v="0"/>
    <n v="0"/>
    <n v="0"/>
    <n v="0"/>
    <n v="0"/>
    <n v="0"/>
    <n v="0"/>
    <n v="0"/>
    <n v="198479.72"/>
    <n v="198479.72"/>
    <n v="-35558.74"/>
  </r>
  <r>
    <x v="5"/>
    <x v="22"/>
    <x v="0"/>
    <s v="9000931"/>
    <n v="700038"/>
    <s v="Salaries-Service/Support-Other"/>
    <s v="Eliminations-PE @ SJ"/>
    <x v="0"/>
    <n v="2000"/>
    <n v="0"/>
    <n v="0"/>
    <n v="0"/>
    <n v="0"/>
    <n v="0"/>
    <n v="0"/>
    <n v="0"/>
    <n v="0"/>
    <n v="0"/>
    <n v="0"/>
    <n v="0"/>
    <n v="35558.74"/>
    <n v="35558.74"/>
    <n v="-318992.37"/>
  </r>
  <r>
    <x v="5"/>
    <x v="22"/>
    <x v="0"/>
    <s v="9000931"/>
    <n v="700054"/>
    <s v="Salaries-Management-Non-productive"/>
    <s v="Eliminations-PE @ SJ"/>
    <x v="0"/>
    <m/>
    <n v="0"/>
    <n v="0"/>
    <n v="0"/>
    <n v="0"/>
    <n v="0"/>
    <n v="0"/>
    <n v="0"/>
    <n v="0"/>
    <n v="0"/>
    <n v="0"/>
    <n v="0"/>
    <n v="318992.37"/>
    <n v="318992.37"/>
    <n v="-127.95"/>
  </r>
  <r>
    <x v="5"/>
    <x v="22"/>
    <x v="0"/>
    <s v="9000931"/>
    <n v="700054"/>
    <s v="Salaries-Management-NonProd-Other"/>
    <s v="Eliminations-PE @ SJ"/>
    <x v="0"/>
    <n v="2000"/>
    <n v="0"/>
    <n v="0"/>
    <n v="0"/>
    <n v="0"/>
    <n v="0"/>
    <n v="0"/>
    <n v="0"/>
    <n v="0"/>
    <n v="0"/>
    <n v="0"/>
    <n v="0"/>
    <n v="127.95"/>
    <n v="127.95"/>
    <n v="-247220.1"/>
  </r>
  <r>
    <x v="5"/>
    <x v="22"/>
    <x v="0"/>
    <s v="9000931"/>
    <n v="700058"/>
    <s v="Salaries-Supervisory-Non-productive"/>
    <s v="Eliminations-PE @ SJ"/>
    <x v="0"/>
    <m/>
    <n v="0"/>
    <n v="0"/>
    <n v="0"/>
    <n v="0"/>
    <n v="0"/>
    <n v="0"/>
    <n v="0"/>
    <n v="0"/>
    <n v="0"/>
    <n v="0"/>
    <n v="0"/>
    <n v="247220.1"/>
    <n v="247220.1"/>
    <n v="-4843462.4800000004"/>
  </r>
  <r>
    <x v="5"/>
    <x v="22"/>
    <x v="0"/>
    <s v="9000931"/>
    <n v="700062"/>
    <s v="Salaries-Physician-Non-productive"/>
    <s v="Eliminations-PE @ SJ"/>
    <x v="0"/>
    <m/>
    <n v="0"/>
    <n v="0"/>
    <n v="0"/>
    <n v="0"/>
    <n v="0"/>
    <n v="0"/>
    <n v="0"/>
    <n v="0"/>
    <n v="0"/>
    <n v="0"/>
    <n v="0"/>
    <n v="4843462.4800000004"/>
    <n v="4843462.4800000004"/>
    <n v="15430.13"/>
  </r>
  <r>
    <x v="5"/>
    <x v="22"/>
    <x v="0"/>
    <s v="9000931"/>
    <n v="700062"/>
    <s v="Salaries-Physician-NonProd-Other"/>
    <s v="Eliminations-PE @ SJ"/>
    <x v="0"/>
    <n v="2000"/>
    <n v="0"/>
    <n v="0"/>
    <n v="0"/>
    <n v="0"/>
    <n v="0"/>
    <n v="0"/>
    <n v="0"/>
    <n v="0"/>
    <n v="0"/>
    <n v="0"/>
    <n v="0"/>
    <n v="-15430.13"/>
    <n v="-15430.13"/>
    <n v="-1287213.18"/>
  </r>
  <r>
    <x v="5"/>
    <x v="22"/>
    <x v="0"/>
    <s v="9000931"/>
    <n v="700064"/>
    <s v="Salaries-Advanced Practice Clinician-Non-Productive"/>
    <s v="Eliminations-PE @ SJ"/>
    <x v="0"/>
    <m/>
    <n v="0"/>
    <n v="0"/>
    <n v="0"/>
    <n v="0"/>
    <n v="0"/>
    <n v="0"/>
    <n v="0"/>
    <n v="0"/>
    <n v="0"/>
    <n v="0"/>
    <n v="0"/>
    <n v="1287213.18"/>
    <n v="1287213.18"/>
    <n v="11588.04"/>
  </r>
  <r>
    <x v="5"/>
    <x v="22"/>
    <x v="0"/>
    <s v="9000931"/>
    <n v="700064"/>
    <s v="Salaries-Advanced Practice Clinician-Non-Prod-Other"/>
    <s v="Eliminations-PE @ SJ"/>
    <x v="0"/>
    <n v="2000"/>
    <n v="0"/>
    <n v="0"/>
    <n v="0"/>
    <n v="0"/>
    <n v="0"/>
    <n v="0"/>
    <n v="0"/>
    <n v="0"/>
    <n v="0"/>
    <n v="0"/>
    <n v="0"/>
    <n v="-11588.04"/>
    <n v="-11588.04"/>
    <n v="-409916.74"/>
  </r>
  <r>
    <x v="5"/>
    <x v="22"/>
    <x v="0"/>
    <s v="9000931"/>
    <n v="700066"/>
    <s v="Salaries-RN-Non-productive"/>
    <s v="Eliminations-PE @ SJ"/>
    <x v="0"/>
    <m/>
    <n v="0"/>
    <n v="0"/>
    <n v="0"/>
    <n v="0"/>
    <n v="0"/>
    <n v="0"/>
    <n v="0"/>
    <n v="0"/>
    <n v="0"/>
    <n v="0"/>
    <n v="0"/>
    <n v="409916.74"/>
    <n v="409916.74"/>
    <n v="-2345.52"/>
  </r>
  <r>
    <x v="5"/>
    <x v="22"/>
    <x v="0"/>
    <s v="9000931"/>
    <n v="700066"/>
    <s v="Salaries-RN-NonProd-Other"/>
    <s v="Eliminations-PE @ SJ"/>
    <x v="0"/>
    <n v="2000"/>
    <n v="0"/>
    <n v="0"/>
    <n v="0"/>
    <n v="0"/>
    <n v="0"/>
    <n v="0"/>
    <n v="0"/>
    <n v="0"/>
    <n v="0"/>
    <n v="0"/>
    <n v="0"/>
    <n v="2345.52"/>
    <n v="2345.52"/>
    <n v="-447379.26"/>
  </r>
  <r>
    <x v="5"/>
    <x v="22"/>
    <x v="0"/>
    <s v="9000931"/>
    <n v="700070"/>
    <s v="Salaries-LPN-Non-productive"/>
    <s v="Eliminations-PE @ SJ"/>
    <x v="0"/>
    <m/>
    <n v="0"/>
    <n v="0"/>
    <n v="0"/>
    <n v="0"/>
    <n v="0"/>
    <n v="0"/>
    <n v="0"/>
    <n v="0"/>
    <n v="0"/>
    <n v="0"/>
    <n v="0"/>
    <n v="447379.26"/>
    <n v="447379.26"/>
    <n v="-1433.03"/>
  </r>
  <r>
    <x v="5"/>
    <x v="22"/>
    <x v="0"/>
    <s v="9000931"/>
    <n v="700070"/>
    <s v="Salaries-LPN-NonProd-Other"/>
    <s v="Eliminations-PE @ SJ"/>
    <x v="0"/>
    <n v="2000"/>
    <n v="0"/>
    <n v="0"/>
    <n v="0"/>
    <n v="0"/>
    <n v="0"/>
    <n v="0"/>
    <n v="0"/>
    <n v="0"/>
    <n v="0"/>
    <n v="0"/>
    <n v="0"/>
    <n v="1433.03"/>
    <n v="1433.03"/>
    <n v="-491244.03"/>
  </r>
  <r>
    <x v="5"/>
    <x v="22"/>
    <x v="0"/>
    <s v="9000931"/>
    <n v="700072"/>
    <s v="Salaries-Other Pat Care Providers-Non-productive"/>
    <s v="Eliminations-PE @ SJ"/>
    <x v="0"/>
    <m/>
    <n v="0"/>
    <n v="0"/>
    <n v="0"/>
    <n v="0"/>
    <n v="0"/>
    <n v="0"/>
    <n v="0"/>
    <n v="0"/>
    <n v="0"/>
    <n v="0"/>
    <n v="0"/>
    <n v="491244.03"/>
    <n v="491244.03"/>
    <n v="-4062.88"/>
  </r>
  <r>
    <x v="5"/>
    <x v="22"/>
    <x v="0"/>
    <s v="9000931"/>
    <n v="700072"/>
    <s v="Salaries-Other Pat Care Providers-NonProd-Other"/>
    <s v="Eliminations-PE @ SJ"/>
    <x v="0"/>
    <n v="2000"/>
    <n v="0"/>
    <n v="0"/>
    <n v="0"/>
    <n v="0"/>
    <n v="0"/>
    <n v="0"/>
    <n v="0"/>
    <n v="0"/>
    <n v="0"/>
    <n v="0"/>
    <n v="0"/>
    <n v="4062.88"/>
    <n v="4062.88"/>
    <n v="-545138.42000000004"/>
  </r>
  <r>
    <x v="5"/>
    <x v="22"/>
    <x v="0"/>
    <s v="9000931"/>
    <n v="700074"/>
    <s v="Salaries-Tech/Professional-Non-productive"/>
    <s v="Eliminations-PE @ SJ"/>
    <x v="0"/>
    <m/>
    <n v="0"/>
    <n v="0"/>
    <n v="0"/>
    <n v="0"/>
    <n v="0"/>
    <n v="0"/>
    <n v="0"/>
    <n v="0"/>
    <n v="0"/>
    <n v="0"/>
    <n v="0"/>
    <n v="545138.42000000004"/>
    <n v="545138.42000000004"/>
    <n v="-38.86"/>
  </r>
  <r>
    <x v="5"/>
    <x v="22"/>
    <x v="0"/>
    <s v="9000931"/>
    <n v="700074"/>
    <s v="Salaries-Tech/Professional-NonProd-Other"/>
    <s v="Eliminations-PE @ SJ"/>
    <x v="0"/>
    <n v="2000"/>
    <n v="0"/>
    <n v="0"/>
    <n v="0"/>
    <n v="0"/>
    <n v="0"/>
    <n v="0"/>
    <n v="0"/>
    <n v="0"/>
    <n v="0"/>
    <n v="0"/>
    <n v="0"/>
    <n v="38.86"/>
    <n v="38.86"/>
    <n v="-1119372.97"/>
  </r>
  <r>
    <x v="5"/>
    <x v="22"/>
    <x v="0"/>
    <s v="9000931"/>
    <n v="700078"/>
    <s v="Salaries-Service/Support-Non-productive"/>
    <s v="Eliminations-PE @ SJ"/>
    <x v="0"/>
    <m/>
    <n v="0"/>
    <n v="0"/>
    <n v="0"/>
    <n v="0"/>
    <n v="0"/>
    <n v="0"/>
    <n v="0"/>
    <n v="0"/>
    <n v="0"/>
    <n v="0"/>
    <n v="0"/>
    <n v="1119372.97"/>
    <n v="1119372.97"/>
    <n v="-1655.11"/>
  </r>
  <r>
    <x v="5"/>
    <x v="22"/>
    <x v="0"/>
    <s v="9000931"/>
    <n v="700078"/>
    <s v="Salaries-Service/Support-NonProd-Other"/>
    <s v="Eliminations-PE @ SJ"/>
    <x v="0"/>
    <n v="2000"/>
    <n v="0"/>
    <n v="0"/>
    <n v="0"/>
    <n v="0"/>
    <n v="0"/>
    <n v="0"/>
    <n v="0"/>
    <n v="0"/>
    <n v="0"/>
    <n v="0"/>
    <n v="0"/>
    <n v="1655.11"/>
    <n v="1655.11"/>
    <n v="-243003.91"/>
  </r>
  <r>
    <x v="5"/>
    <x v="22"/>
    <x v="0"/>
    <s v="9000931"/>
    <n v="700084"/>
    <s v="Accrued PTO"/>
    <s v="Eliminations-PE @ SJ"/>
    <x v="0"/>
    <m/>
    <n v="0"/>
    <n v="0"/>
    <n v="0"/>
    <n v="0"/>
    <n v="0"/>
    <n v="0"/>
    <n v="0"/>
    <n v="0"/>
    <n v="0"/>
    <n v="0"/>
    <n v="0"/>
    <n v="243003.91"/>
    <n v="243003.91"/>
    <n v="-246582.33"/>
  </r>
  <r>
    <x v="10"/>
    <x v="22"/>
    <x v="0"/>
    <s v="9000931"/>
    <n v="710040"/>
    <s v="Contract Labor-Physician (Locum Tenum)"/>
    <s v="Eliminations-PE @ SJ"/>
    <x v="0"/>
    <m/>
    <n v="0"/>
    <n v="0"/>
    <n v="0"/>
    <n v="0"/>
    <n v="0"/>
    <n v="0"/>
    <n v="0"/>
    <n v="0"/>
    <n v="0"/>
    <n v="0"/>
    <n v="0"/>
    <n v="246582.33"/>
    <n v="246582.33"/>
    <n v="-42032.11"/>
  </r>
  <r>
    <x v="10"/>
    <x v="22"/>
    <x v="0"/>
    <s v="9000931"/>
    <n v="710042"/>
    <s v="Locum Tenens Travel-Physician"/>
    <s v="Eliminations-PE @ SJ"/>
    <x v="0"/>
    <m/>
    <n v="0"/>
    <n v="0"/>
    <n v="0"/>
    <n v="0"/>
    <n v="0"/>
    <n v="0"/>
    <n v="0"/>
    <n v="0"/>
    <n v="0"/>
    <n v="0"/>
    <n v="0"/>
    <n v="42032.11"/>
    <n v="42032.11"/>
    <n v="-200909.8"/>
  </r>
  <r>
    <x v="10"/>
    <x v="22"/>
    <x v="0"/>
    <s v="9000931"/>
    <n v="710060"/>
    <s v="Contract Labor-Other"/>
    <s v="Eliminations-PE @ SJ"/>
    <x v="0"/>
    <m/>
    <n v="0"/>
    <n v="0"/>
    <n v="0"/>
    <n v="0"/>
    <n v="0"/>
    <n v="0"/>
    <n v="0"/>
    <n v="0"/>
    <n v="0"/>
    <n v="0"/>
    <n v="0"/>
    <n v="200909.8"/>
    <n v="200909.8"/>
    <n v="-2070.3200000000002"/>
  </r>
  <r>
    <x v="10"/>
    <x v="22"/>
    <x v="0"/>
    <s v="9000931"/>
    <n v="710060"/>
    <s v="Contract Labor-Overtime"/>
    <s v="Eliminations-PE @ SJ"/>
    <x v="0"/>
    <n v="5100"/>
    <n v="0"/>
    <n v="0"/>
    <n v="0"/>
    <n v="0"/>
    <n v="0"/>
    <n v="0"/>
    <n v="0"/>
    <n v="0"/>
    <n v="0"/>
    <n v="0"/>
    <n v="0"/>
    <n v="2070.3200000000002"/>
    <n v="2070.3200000000002"/>
    <n v="-4546766.3"/>
  </r>
  <r>
    <x v="6"/>
    <x v="22"/>
    <x v="0"/>
    <s v="9000931"/>
    <n v="713010"/>
    <s v="Benefits-FICA/Medicare"/>
    <s v="Eliminations-PE @ SJ"/>
    <x v="0"/>
    <m/>
    <n v="0"/>
    <n v="0"/>
    <n v="0"/>
    <n v="0"/>
    <n v="0"/>
    <n v="0"/>
    <n v="0"/>
    <n v="0"/>
    <n v="0"/>
    <n v="0"/>
    <n v="0"/>
    <n v="4546766.3"/>
    <n v="4546766.3"/>
    <n v="-8294159.3300000001"/>
  </r>
  <r>
    <x v="6"/>
    <x v="22"/>
    <x v="0"/>
    <s v="9000931"/>
    <n v="713090"/>
    <s v="Benefits-Allocated Amounts"/>
    <s v="Eliminations-PE @ SJ"/>
    <x v="0"/>
    <m/>
    <n v="0"/>
    <n v="0"/>
    <n v="0"/>
    <n v="0"/>
    <n v="0"/>
    <n v="0"/>
    <n v="0"/>
    <n v="0"/>
    <n v="0"/>
    <n v="0"/>
    <n v="0"/>
    <n v="8294159.3300000001"/>
    <n v="8294159.3300000001"/>
    <n v="-1824637.47"/>
  </r>
  <r>
    <x v="6"/>
    <x v="22"/>
    <x v="0"/>
    <s v="9000931"/>
    <n v="713092"/>
    <s v="Allocated Benefits-Physician"/>
    <s v="Eliminations-PE @ SJ"/>
    <x v="0"/>
    <m/>
    <n v="0"/>
    <n v="0"/>
    <n v="0"/>
    <n v="0"/>
    <n v="0"/>
    <n v="0"/>
    <n v="0"/>
    <n v="0"/>
    <n v="0"/>
    <n v="0"/>
    <n v="0"/>
    <n v="1824637.47"/>
    <n v="1824637.47"/>
    <n v="-1322927.6599999999"/>
  </r>
  <r>
    <x v="6"/>
    <x v="22"/>
    <x v="0"/>
    <s v="9000931"/>
    <n v="713093"/>
    <s v="Allocated Benefits-Advanced Practice Clinician"/>
    <s v="Eliminations-PE @ SJ"/>
    <x v="0"/>
    <m/>
    <n v="0"/>
    <n v="0"/>
    <n v="0"/>
    <n v="0"/>
    <n v="0"/>
    <n v="0"/>
    <n v="0"/>
    <n v="0"/>
    <n v="0"/>
    <n v="0"/>
    <n v="0"/>
    <n v="1322927.6599999999"/>
    <n v="1322927.6599999999"/>
    <n v="-3301.76"/>
  </r>
  <r>
    <x v="6"/>
    <x v="22"/>
    <x v="0"/>
    <s v="9000931"/>
    <n v="713096"/>
    <s v="Benefits-Other"/>
    <s v="Eliminations-PE @ SJ"/>
    <x v="0"/>
    <m/>
    <n v="0"/>
    <n v="0"/>
    <n v="0"/>
    <n v="0"/>
    <n v="0"/>
    <n v="0"/>
    <n v="0"/>
    <n v="0"/>
    <n v="0"/>
    <n v="0"/>
    <n v="0"/>
    <n v="3301.76"/>
    <n v="3301.76"/>
    <n v="-11337.94"/>
  </r>
  <r>
    <x v="6"/>
    <x v="22"/>
    <x v="0"/>
    <s v="9000931"/>
    <n v="713096"/>
    <s v="Employee Recognition"/>
    <s v="Eliminations-PE @ SJ"/>
    <x v="0"/>
    <n v="1017"/>
    <n v="0"/>
    <n v="0"/>
    <n v="0"/>
    <n v="0"/>
    <n v="0"/>
    <n v="0"/>
    <n v="0"/>
    <n v="0"/>
    <n v="0"/>
    <n v="0"/>
    <n v="0"/>
    <n v="11337.94"/>
    <n v="11337.94"/>
    <n v="-4997960.9000000004"/>
  </r>
  <r>
    <x v="17"/>
    <x v="22"/>
    <x v="0"/>
    <s v="9000931"/>
    <n v="714520"/>
    <s v="Other Contracted Professionals"/>
    <s v="Eliminations-PE @ SJ"/>
    <x v="0"/>
    <m/>
    <n v="0"/>
    <n v="0"/>
    <n v="0"/>
    <n v="0"/>
    <n v="0"/>
    <n v="0"/>
    <n v="0"/>
    <n v="0"/>
    <n v="0"/>
    <n v="0"/>
    <n v="0"/>
    <n v="4997960.9000000004"/>
    <n v="4997960.9000000004"/>
    <n v="3180150.14"/>
  </r>
  <r>
    <x v="17"/>
    <x v="22"/>
    <x v="0"/>
    <s v="9000931"/>
    <n v="714520"/>
    <s v="Other Contract Prof-Pulmonologist"/>
    <s v="Eliminations-PE @ SJ"/>
    <x v="0"/>
    <n v="1130"/>
    <n v="0"/>
    <n v="0"/>
    <n v="0"/>
    <n v="0"/>
    <n v="0"/>
    <n v="0"/>
    <n v="0"/>
    <n v="0"/>
    <n v="0"/>
    <n v="0"/>
    <n v="0"/>
    <n v="-3180150.14"/>
    <n v="-3180150.14"/>
    <n v="-690.08"/>
  </r>
  <r>
    <x v="21"/>
    <x v="22"/>
    <x v="0"/>
    <s v="9000931"/>
    <n v="716026"/>
    <s v="Consulting-Clinical"/>
    <s v="Eliminations-PE @ SJ"/>
    <x v="0"/>
    <m/>
    <n v="0"/>
    <n v="0"/>
    <n v="0"/>
    <n v="0"/>
    <n v="0"/>
    <n v="0"/>
    <n v="0"/>
    <n v="0"/>
    <n v="0"/>
    <n v="0"/>
    <n v="0"/>
    <n v="690.08"/>
    <n v="690.08"/>
    <n v="-7167.78"/>
  </r>
  <r>
    <x v="7"/>
    <x v="22"/>
    <x v="0"/>
    <s v="9000931"/>
    <n v="716038"/>
    <s v="Contract Services-Legal"/>
    <s v="Eliminations-PE @ SJ"/>
    <x v="0"/>
    <m/>
    <n v="0"/>
    <n v="0"/>
    <n v="0"/>
    <n v="0"/>
    <n v="0"/>
    <n v="0"/>
    <n v="0"/>
    <n v="0"/>
    <n v="0"/>
    <n v="0"/>
    <n v="0"/>
    <n v="7167.78"/>
    <n v="7167.78"/>
    <n v="-102790.93"/>
  </r>
  <r>
    <x v="21"/>
    <x v="22"/>
    <x v="0"/>
    <s v="9000931"/>
    <n v="716046"/>
    <s v="Consulting-Other"/>
    <s v="Eliminations-PE @ SJ"/>
    <x v="0"/>
    <m/>
    <n v="0"/>
    <n v="0"/>
    <n v="0"/>
    <n v="0"/>
    <n v="0"/>
    <n v="0"/>
    <n v="0"/>
    <n v="0"/>
    <n v="0"/>
    <n v="0"/>
    <n v="0"/>
    <n v="102790.93"/>
    <n v="102790.93"/>
    <n v="-12700.67"/>
  </r>
  <r>
    <x v="7"/>
    <x v="22"/>
    <x v="0"/>
    <s v="9000931"/>
    <n v="718010"/>
    <s v="Contract Services-Advertising &amp; Public Relations"/>
    <s v="Eliminations-PE @ SJ"/>
    <x v="0"/>
    <m/>
    <n v="0"/>
    <n v="0"/>
    <n v="0"/>
    <n v="0"/>
    <n v="0"/>
    <n v="0"/>
    <n v="0"/>
    <n v="0"/>
    <n v="0"/>
    <n v="0"/>
    <n v="0"/>
    <n v="12700.67"/>
    <n v="12700.67"/>
    <n v="-46186.9"/>
  </r>
  <r>
    <x v="7"/>
    <x v="22"/>
    <x v="0"/>
    <s v="9000931"/>
    <n v="718010"/>
    <s v="Media/Print Advertising"/>
    <s v="Eliminations-PE @ SJ"/>
    <x v="0"/>
    <n v="1004"/>
    <n v="0"/>
    <n v="0"/>
    <n v="0"/>
    <n v="0"/>
    <n v="0"/>
    <n v="0"/>
    <n v="0"/>
    <n v="0"/>
    <n v="0"/>
    <n v="0"/>
    <n v="0"/>
    <n v="46186.9"/>
    <n v="46186.9"/>
    <n v="-14008.21"/>
  </r>
  <r>
    <x v="7"/>
    <x v="22"/>
    <x v="0"/>
    <s v="9000931"/>
    <n v="718040"/>
    <s v="Contract Svcs-Laboratory"/>
    <s v="Eliminations-PE @ SJ"/>
    <x v="0"/>
    <m/>
    <n v="0"/>
    <n v="0"/>
    <n v="0"/>
    <n v="0"/>
    <n v="0"/>
    <n v="0"/>
    <n v="0"/>
    <n v="0"/>
    <n v="0"/>
    <n v="0"/>
    <n v="0"/>
    <n v="14008.21"/>
    <n v="14008.21"/>
    <n v="-188.75"/>
  </r>
  <r>
    <x v="7"/>
    <x v="22"/>
    <x v="0"/>
    <s v="9000931"/>
    <n v="718045"/>
    <s v="Contract Svcs-Collection Fees"/>
    <s v="Eliminations-PE @ SJ"/>
    <x v="0"/>
    <m/>
    <n v="0"/>
    <n v="0"/>
    <n v="0"/>
    <n v="0"/>
    <n v="0"/>
    <n v="0"/>
    <n v="0"/>
    <n v="0"/>
    <n v="0"/>
    <n v="0"/>
    <n v="0"/>
    <n v="188.75"/>
    <n v="188.75"/>
    <n v="-744249.45"/>
  </r>
  <r>
    <x v="7"/>
    <x v="22"/>
    <x v="0"/>
    <s v="9000931"/>
    <n v="718050"/>
    <s v="Contract Svcs-Other"/>
    <s v="Eliminations-PE @ SJ"/>
    <x v="0"/>
    <m/>
    <n v="0"/>
    <n v="0"/>
    <n v="0"/>
    <n v="0"/>
    <n v="0"/>
    <n v="0"/>
    <n v="0"/>
    <n v="0"/>
    <n v="0"/>
    <n v="0"/>
    <n v="0"/>
    <n v="744249.45"/>
    <n v="744249.45"/>
    <n v="-1175.6099999999999"/>
  </r>
  <r>
    <x v="7"/>
    <x v="22"/>
    <x v="0"/>
    <s v="9000931"/>
    <n v="718050"/>
    <s v="Management Fees"/>
    <s v="Eliminations-PE @ SJ"/>
    <x v="0"/>
    <n v="1004"/>
    <n v="0"/>
    <n v="0"/>
    <n v="0"/>
    <n v="0"/>
    <n v="0"/>
    <n v="0"/>
    <n v="0"/>
    <n v="0"/>
    <n v="0"/>
    <n v="0"/>
    <n v="0"/>
    <n v="1175.6099999999999"/>
    <n v="1175.6099999999999"/>
    <n v="-9818.82"/>
  </r>
  <r>
    <x v="7"/>
    <x v="22"/>
    <x v="0"/>
    <s v="9000931"/>
    <n v="718050"/>
    <s v="Transcription"/>
    <s v="Eliminations-PE @ SJ"/>
    <x v="0"/>
    <n v="1006"/>
    <n v="0"/>
    <n v="0"/>
    <n v="0"/>
    <n v="0"/>
    <n v="0"/>
    <n v="0"/>
    <n v="0"/>
    <n v="0"/>
    <n v="0"/>
    <n v="0"/>
    <n v="0"/>
    <n v="9818.82"/>
    <n v="9818.82"/>
    <n v="-95545.03"/>
  </r>
  <r>
    <x v="7"/>
    <x v="22"/>
    <x v="0"/>
    <s v="9000931"/>
    <n v="718050"/>
    <s v="Cleaning Services"/>
    <s v="Eliminations-PE @ SJ"/>
    <x v="0"/>
    <n v="1011"/>
    <n v="0"/>
    <n v="0"/>
    <n v="0"/>
    <n v="0"/>
    <n v="0"/>
    <n v="0"/>
    <n v="0"/>
    <n v="0"/>
    <n v="0"/>
    <n v="0"/>
    <n v="0"/>
    <n v="95545.03"/>
    <n v="95545.03"/>
    <n v="-99334.399999999994"/>
  </r>
  <r>
    <x v="7"/>
    <x v="22"/>
    <x v="0"/>
    <s v="9000931"/>
    <n v="718050"/>
    <s v="Document Shredding/Storage"/>
    <s v="Eliminations-PE @ SJ"/>
    <x v="0"/>
    <n v="1012"/>
    <n v="0"/>
    <n v="0"/>
    <n v="0"/>
    <n v="0"/>
    <n v="0"/>
    <n v="0"/>
    <n v="0"/>
    <n v="0"/>
    <n v="0"/>
    <n v="0"/>
    <n v="0"/>
    <n v="99334.399999999994"/>
    <n v="99334.399999999994"/>
    <n v="-295854.46999999997"/>
  </r>
  <r>
    <x v="7"/>
    <x v="22"/>
    <x v="0"/>
    <s v="9000931"/>
    <n v="718050"/>
    <s v="Physician Answering"/>
    <s v="Eliminations-PE @ SJ"/>
    <x v="0"/>
    <n v="1015"/>
    <n v="0"/>
    <n v="0"/>
    <n v="0"/>
    <n v="0"/>
    <n v="0"/>
    <n v="0"/>
    <n v="0"/>
    <n v="0"/>
    <n v="0"/>
    <n v="0"/>
    <n v="0"/>
    <n v="295854.46999999997"/>
    <n v="295854.46999999997"/>
    <n v="-2618.87"/>
  </r>
  <r>
    <x v="7"/>
    <x v="22"/>
    <x v="0"/>
    <s v="9000931"/>
    <n v="718050"/>
    <s v="Security"/>
    <s v="Eliminations-PE @ SJ"/>
    <x v="0"/>
    <n v="1019"/>
    <n v="0"/>
    <n v="0"/>
    <n v="0"/>
    <n v="0"/>
    <n v="0"/>
    <n v="0"/>
    <n v="0"/>
    <n v="0"/>
    <n v="0"/>
    <n v="0"/>
    <n v="0"/>
    <n v="2618.87"/>
    <n v="2618.87"/>
    <n v="-154029.46"/>
  </r>
  <r>
    <x v="7"/>
    <x v="22"/>
    <x v="0"/>
    <s v="9000931"/>
    <n v="718050"/>
    <s v="Miscellaneous Purchased Svcs"/>
    <s v="Eliminations-PE @ SJ"/>
    <x v="0"/>
    <n v="1020"/>
    <n v="0"/>
    <n v="0"/>
    <n v="0"/>
    <n v="0"/>
    <n v="0"/>
    <n v="0"/>
    <n v="0"/>
    <n v="0"/>
    <n v="0"/>
    <n v="0"/>
    <n v="0"/>
    <n v="154029.46"/>
    <n v="154029.46"/>
    <n v="-270684.82"/>
  </r>
  <r>
    <x v="7"/>
    <x v="22"/>
    <x v="0"/>
    <s v="9000931"/>
    <n v="718050"/>
    <s v="Translation Services"/>
    <s v="Eliminations-PE @ SJ"/>
    <x v="0"/>
    <n v="1025"/>
    <n v="0"/>
    <n v="0"/>
    <n v="0"/>
    <n v="0"/>
    <n v="0"/>
    <n v="0"/>
    <n v="0"/>
    <n v="0"/>
    <n v="0"/>
    <n v="0"/>
    <n v="0"/>
    <n v="270684.82"/>
    <n v="270684.82"/>
    <n v="-134877.85"/>
  </r>
  <r>
    <x v="7"/>
    <x v="22"/>
    <x v="0"/>
    <s v="9000931"/>
    <n v="718050"/>
    <s v="Contract Management--Linen"/>
    <s v="Eliminations-PE @ SJ"/>
    <x v="0"/>
    <n v="1026"/>
    <n v="0"/>
    <n v="0"/>
    <n v="0"/>
    <n v="0"/>
    <n v="0"/>
    <n v="0"/>
    <n v="0"/>
    <n v="0"/>
    <n v="0"/>
    <n v="0"/>
    <n v="0"/>
    <n v="134877.85"/>
    <n v="134877.85"/>
    <n v="-79216.679999999993"/>
  </r>
  <r>
    <x v="7"/>
    <x v="22"/>
    <x v="0"/>
    <s v="9000931"/>
    <n v="718050"/>
    <s v="Purchased Srvcs--Medical Waste"/>
    <s v="Eliminations-PE @ SJ"/>
    <x v="0"/>
    <n v="1027"/>
    <n v="0"/>
    <n v="0"/>
    <n v="0"/>
    <n v="0"/>
    <n v="0"/>
    <n v="0"/>
    <n v="0"/>
    <n v="0"/>
    <n v="0"/>
    <n v="0"/>
    <n v="0"/>
    <n v="79216.679999999993"/>
    <n v="79216.679999999993"/>
    <n v="-12385.73"/>
  </r>
  <r>
    <x v="7"/>
    <x v="22"/>
    <x v="0"/>
    <s v="9000931"/>
    <n v="718050"/>
    <s v="Contract Services-Food&amp;Catering"/>
    <s v="Eliminations-PE @ SJ"/>
    <x v="0"/>
    <n v="1030"/>
    <n v="0"/>
    <n v="0"/>
    <n v="0"/>
    <n v="0"/>
    <n v="0"/>
    <n v="0"/>
    <n v="0"/>
    <n v="0"/>
    <n v="0"/>
    <n v="0"/>
    <n v="0"/>
    <n v="12385.73"/>
    <n v="12385.73"/>
    <n v="-14803.74"/>
  </r>
  <r>
    <x v="7"/>
    <x v="22"/>
    <x v="0"/>
    <s v="9000931"/>
    <n v="718059"/>
    <s v="Contract Services-Physician Revenue Cycle Fees"/>
    <s v="Eliminations-PE @ SJ"/>
    <x v="0"/>
    <m/>
    <n v="0"/>
    <n v="0"/>
    <n v="0"/>
    <n v="0"/>
    <n v="0"/>
    <n v="0"/>
    <n v="0"/>
    <n v="0"/>
    <n v="0"/>
    <n v="0"/>
    <n v="0"/>
    <n v="14803.74"/>
    <n v="14803.74"/>
    <n v="-874963.82"/>
  </r>
  <r>
    <x v="7"/>
    <x v="22"/>
    <x v="0"/>
    <s v="9000931"/>
    <n v="718060"/>
    <s v="Contract Services-CHI RRC Fees"/>
    <s v="Eliminations-PE @ SJ"/>
    <x v="0"/>
    <m/>
    <n v="0"/>
    <n v="0"/>
    <n v="0"/>
    <n v="0"/>
    <n v="0"/>
    <n v="0"/>
    <n v="0"/>
    <n v="0"/>
    <n v="0"/>
    <n v="0"/>
    <n v="0"/>
    <n v="874963.82"/>
    <n v="874963.82"/>
    <n v="-67760.7"/>
  </r>
  <r>
    <x v="7"/>
    <x v="22"/>
    <x v="0"/>
    <s v="9000931"/>
    <n v="718061"/>
    <s v="Contract Services-CRO Allocation"/>
    <s v="Eliminations-PE @ SJ"/>
    <x v="0"/>
    <m/>
    <n v="0"/>
    <n v="0"/>
    <n v="0"/>
    <n v="0"/>
    <n v="0"/>
    <n v="0"/>
    <n v="0"/>
    <n v="0"/>
    <n v="0"/>
    <n v="0"/>
    <n v="0"/>
    <n v="67760.7"/>
    <n v="67760.7"/>
    <n v="-74327.77"/>
  </r>
  <r>
    <x v="7"/>
    <x v="22"/>
    <x v="0"/>
    <s v="9000931"/>
    <n v="718065"/>
    <s v="Contract Services-CHI Legal Fees"/>
    <s v="Eliminations-PE @ SJ"/>
    <x v="0"/>
    <m/>
    <n v="0"/>
    <n v="0"/>
    <n v="0"/>
    <n v="0"/>
    <n v="0"/>
    <n v="0"/>
    <n v="0"/>
    <n v="0"/>
    <n v="0"/>
    <n v="0"/>
    <n v="0"/>
    <n v="74327.77"/>
    <n v="74327.77"/>
    <n v="-4373.3500000000004"/>
  </r>
  <r>
    <x v="7"/>
    <x v="22"/>
    <x v="0"/>
    <s v="9000931"/>
    <n v="718066"/>
    <s v="Contract Services-CHI Tax Services"/>
    <s v="Eliminations-PE @ SJ"/>
    <x v="0"/>
    <m/>
    <n v="0"/>
    <n v="0"/>
    <n v="0"/>
    <n v="0"/>
    <n v="0"/>
    <n v="0"/>
    <n v="0"/>
    <n v="0"/>
    <n v="0"/>
    <n v="0"/>
    <n v="0"/>
    <n v="4373.3500000000004"/>
    <n v="4373.3500000000004"/>
    <n v="-346937.84"/>
  </r>
  <r>
    <x v="7"/>
    <x v="22"/>
    <x v="0"/>
    <s v="9000931"/>
    <n v="718070"/>
    <s v="Contract Srvcs-CHI Clinical Engineering"/>
    <s v="Eliminations-PE @ SJ"/>
    <x v="0"/>
    <m/>
    <n v="0"/>
    <n v="0"/>
    <n v="0"/>
    <n v="0"/>
    <n v="0"/>
    <n v="0"/>
    <n v="0"/>
    <n v="0"/>
    <n v="0"/>
    <n v="0"/>
    <n v="0"/>
    <n v="346937.84"/>
    <n v="346937.84"/>
    <n v="-749.9"/>
  </r>
  <r>
    <x v="7"/>
    <x v="22"/>
    <x v="0"/>
    <s v="9000931"/>
    <n v="718071"/>
    <s v="Contract Srvcs-CHI Facilities Mgmt"/>
    <s v="Eliminations-PE @ SJ"/>
    <x v="0"/>
    <m/>
    <n v="0"/>
    <n v="0"/>
    <n v="0"/>
    <n v="0"/>
    <n v="0"/>
    <n v="0"/>
    <n v="0"/>
    <n v="0"/>
    <n v="0"/>
    <n v="0"/>
    <n v="0"/>
    <n v="749.9"/>
    <n v="749.9"/>
    <n v="-4220548.2"/>
  </r>
  <r>
    <x v="7"/>
    <x v="22"/>
    <x v="0"/>
    <s v="9000931"/>
    <n v="718075"/>
    <s v="Contract Srvcs-CHI ITS Steady State"/>
    <s v="Eliminations-PE @ SJ"/>
    <x v="0"/>
    <m/>
    <n v="0"/>
    <n v="0"/>
    <n v="0"/>
    <n v="0"/>
    <n v="0"/>
    <n v="0"/>
    <n v="0"/>
    <n v="0"/>
    <n v="0"/>
    <n v="0"/>
    <n v="0"/>
    <n v="4220548.2"/>
    <n v="4220548.2"/>
    <n v="-129088.65"/>
  </r>
  <r>
    <x v="7"/>
    <x v="22"/>
    <x v="0"/>
    <s v="9000931"/>
    <n v="718077"/>
    <s v="PACS"/>
    <s v="Eliminations-PE @ SJ"/>
    <x v="0"/>
    <n v="1000"/>
    <n v="0"/>
    <n v="0"/>
    <n v="0"/>
    <n v="0"/>
    <n v="0"/>
    <n v="0"/>
    <n v="0"/>
    <n v="0"/>
    <n v="0"/>
    <n v="0"/>
    <n v="0"/>
    <n v="129088.65"/>
    <n v="129088.65"/>
    <n v="-1196562.83"/>
  </r>
  <r>
    <x v="7"/>
    <x v="22"/>
    <x v="0"/>
    <s v="9000931"/>
    <n v="718091"/>
    <s v="Contract Services-Intracompany Allocation"/>
    <s v="Eliminations-PE @ SJ"/>
    <x v="0"/>
    <m/>
    <n v="0"/>
    <n v="0"/>
    <n v="0"/>
    <n v="0"/>
    <n v="0"/>
    <n v="0"/>
    <n v="0"/>
    <n v="0"/>
    <n v="0"/>
    <n v="0"/>
    <n v="0"/>
    <n v="1196562.83"/>
    <n v="1196562.83"/>
    <n v="-1292389.74"/>
  </r>
  <r>
    <x v="11"/>
    <x v="22"/>
    <x v="0"/>
    <s v="9000931"/>
    <n v="721010"/>
    <s v="Supplies-Medical - Billable"/>
    <s v="Eliminations-PE @ SJ"/>
    <x v="0"/>
    <m/>
    <n v="0"/>
    <n v="0"/>
    <n v="0"/>
    <n v="0"/>
    <n v="0"/>
    <n v="0"/>
    <n v="0"/>
    <n v="0"/>
    <n v="0"/>
    <n v="0"/>
    <n v="0"/>
    <n v="1292389.74"/>
    <n v="1292389.74"/>
    <n v="66.680000000000007"/>
  </r>
  <r>
    <x v="11"/>
    <x v="22"/>
    <x v="0"/>
    <s v="9000931"/>
    <n v="721010"/>
    <s v="Patient Monitoring"/>
    <s v="Eliminations-PE @ SJ"/>
    <x v="0"/>
    <n v="1000"/>
    <n v="0"/>
    <n v="0"/>
    <n v="0"/>
    <n v="0"/>
    <n v="0"/>
    <n v="0"/>
    <n v="0"/>
    <n v="0"/>
    <n v="0"/>
    <n v="0"/>
    <n v="0"/>
    <n v="-66.680000000000007"/>
    <n v="-66.680000000000007"/>
    <n v="-950"/>
  </r>
  <r>
    <x v="11"/>
    <x v="22"/>
    <x v="0"/>
    <s v="9000931"/>
    <n v="721020"/>
    <s v="Supplies-Surgical - Billable"/>
    <s v="Eliminations-PE @ SJ"/>
    <x v="0"/>
    <m/>
    <n v="0"/>
    <n v="0"/>
    <n v="0"/>
    <n v="0"/>
    <n v="0"/>
    <n v="0"/>
    <n v="0"/>
    <n v="0"/>
    <n v="0"/>
    <n v="0"/>
    <n v="0"/>
    <n v="950"/>
    <n v="950"/>
    <n v="-8529.2800000000007"/>
  </r>
  <r>
    <x v="11"/>
    <x v="22"/>
    <x v="0"/>
    <s v="9000931"/>
    <n v="721020"/>
    <s v="Suture/Wound Closure"/>
    <s v="Eliminations-PE @ SJ"/>
    <x v="0"/>
    <n v="1001"/>
    <n v="0"/>
    <n v="0"/>
    <n v="0"/>
    <n v="0"/>
    <n v="0"/>
    <n v="0"/>
    <n v="0"/>
    <n v="0"/>
    <n v="0"/>
    <n v="0"/>
    <n v="0"/>
    <n v="8529.2800000000007"/>
    <n v="8529.2800000000007"/>
    <n v="-50"/>
  </r>
  <r>
    <x v="11"/>
    <x v="22"/>
    <x v="0"/>
    <s v="9000931"/>
    <n v="721020"/>
    <s v="Endoscopy - Trocars &amp; Accessories"/>
    <s v="Eliminations-PE @ SJ"/>
    <x v="0"/>
    <n v="1002"/>
    <n v="0"/>
    <n v="0"/>
    <n v="0"/>
    <n v="0"/>
    <n v="0"/>
    <n v="0"/>
    <n v="0"/>
    <n v="0"/>
    <n v="0"/>
    <n v="0"/>
    <n v="0"/>
    <n v="50"/>
    <n v="50"/>
    <n v="-3327.77"/>
  </r>
  <r>
    <x v="11"/>
    <x v="22"/>
    <x v="0"/>
    <s v="9000931"/>
    <n v="721020"/>
    <s v="Endomechanical Supplies &amp; Instruments"/>
    <s v="Eliminations-PE @ SJ"/>
    <x v="0"/>
    <n v="1003"/>
    <n v="0"/>
    <n v="0"/>
    <n v="0"/>
    <n v="0"/>
    <n v="0"/>
    <n v="0"/>
    <n v="0"/>
    <n v="0"/>
    <n v="0"/>
    <n v="0"/>
    <n v="0"/>
    <n v="3327.77"/>
    <n v="3327.77"/>
    <n v="-16687.919999999998"/>
  </r>
  <r>
    <x v="11"/>
    <x v="22"/>
    <x v="0"/>
    <s v="9000931"/>
    <n v="721020"/>
    <s v="Urological Supplies"/>
    <s v="Eliminations-PE @ SJ"/>
    <x v="0"/>
    <n v="1006"/>
    <n v="0"/>
    <n v="0"/>
    <n v="0"/>
    <n v="0"/>
    <n v="0"/>
    <n v="0"/>
    <n v="0"/>
    <n v="0"/>
    <n v="0"/>
    <n v="0"/>
    <n v="0"/>
    <n v="16687.919999999998"/>
    <n v="16687.919999999998"/>
    <n v="-12473.17"/>
  </r>
  <r>
    <x v="11"/>
    <x v="22"/>
    <x v="0"/>
    <s v="9000931"/>
    <n v="721050"/>
    <s v="Supplies-Cardiac Rhythm - Billable"/>
    <s v="Eliminations-PE @ SJ"/>
    <x v="0"/>
    <m/>
    <n v="0"/>
    <n v="0"/>
    <n v="0"/>
    <n v="0"/>
    <n v="0"/>
    <n v="0"/>
    <n v="0"/>
    <n v="0"/>
    <n v="0"/>
    <n v="0"/>
    <n v="0"/>
    <n v="12473.17"/>
    <n v="12473.17"/>
    <n v="-1179.56"/>
  </r>
  <r>
    <x v="11"/>
    <x v="22"/>
    <x v="0"/>
    <s v="9000931"/>
    <n v="721150"/>
    <s v="Supplies-Other Implants - Billable"/>
    <s v="Eliminations-PE @ SJ"/>
    <x v="0"/>
    <m/>
    <n v="0"/>
    <n v="0"/>
    <n v="0"/>
    <n v="0"/>
    <n v="0"/>
    <n v="0"/>
    <n v="0"/>
    <n v="0"/>
    <n v="0"/>
    <n v="0"/>
    <n v="0"/>
    <n v="1179.56"/>
    <n v="1179.56"/>
    <n v="-4510.55"/>
  </r>
  <r>
    <x v="11"/>
    <x v="22"/>
    <x v="0"/>
    <s v="9000931"/>
    <n v="721150"/>
    <s v="Surgical Orthopedic"/>
    <s v="Eliminations-PE @ SJ"/>
    <x v="0"/>
    <n v="1000"/>
    <n v="0"/>
    <n v="0"/>
    <n v="0"/>
    <n v="0"/>
    <n v="0"/>
    <n v="0"/>
    <n v="0"/>
    <n v="0"/>
    <n v="0"/>
    <n v="0"/>
    <n v="0"/>
    <n v="4510.55"/>
    <n v="4510.55"/>
    <n v="-140.49"/>
  </r>
  <r>
    <x v="11"/>
    <x v="22"/>
    <x v="0"/>
    <s v="9000931"/>
    <n v="721220"/>
    <s v="Supplies-Medical Gases - Billable"/>
    <s v="Eliminations-PE @ SJ"/>
    <x v="0"/>
    <m/>
    <n v="0"/>
    <n v="0"/>
    <n v="0"/>
    <n v="0"/>
    <n v="0"/>
    <n v="0"/>
    <n v="0"/>
    <n v="0"/>
    <n v="0"/>
    <n v="0"/>
    <n v="0"/>
    <n v="140.49"/>
    <n v="140.49"/>
    <n v="-2449497.54"/>
  </r>
  <r>
    <x v="11"/>
    <x v="22"/>
    <x v="0"/>
    <s v="9000931"/>
    <n v="721250"/>
    <s v="Supplies-Pharmacy Drugs - Billable"/>
    <s v="Eliminations-PE @ SJ"/>
    <x v="0"/>
    <m/>
    <n v="0"/>
    <n v="0"/>
    <n v="0"/>
    <n v="0"/>
    <n v="0"/>
    <n v="0"/>
    <n v="0"/>
    <n v="0"/>
    <n v="0"/>
    <n v="0"/>
    <n v="0"/>
    <n v="2449497.54"/>
    <n v="2449497.54"/>
    <n v="-655896.14"/>
  </r>
  <r>
    <x v="11"/>
    <x v="22"/>
    <x v="0"/>
    <s v="9000931"/>
    <n v="721410"/>
    <s v="Supplies-Medical - Nonbillable"/>
    <s v="Eliminations-PE @ SJ"/>
    <x v="0"/>
    <m/>
    <n v="0"/>
    <n v="0"/>
    <n v="0"/>
    <n v="0"/>
    <n v="0"/>
    <n v="0"/>
    <n v="0"/>
    <n v="0"/>
    <n v="0"/>
    <n v="0"/>
    <n v="0"/>
    <n v="655896.14"/>
    <n v="655896.14"/>
    <n v="-26.96"/>
  </r>
  <r>
    <x v="11"/>
    <x v="22"/>
    <x v="0"/>
    <s v="9000931"/>
    <n v="721410"/>
    <s v="Patient Monitoring"/>
    <s v="Eliminations-PE @ SJ"/>
    <x v="0"/>
    <n v="1000"/>
    <n v="0"/>
    <n v="0"/>
    <n v="0"/>
    <n v="0"/>
    <n v="0"/>
    <n v="0"/>
    <n v="0"/>
    <n v="0"/>
    <n v="0"/>
    <n v="0"/>
    <n v="0"/>
    <n v="26.96"/>
    <n v="26.96"/>
    <n v="-811.82"/>
  </r>
  <r>
    <x v="11"/>
    <x v="22"/>
    <x v="0"/>
    <s v="9000931"/>
    <n v="721420"/>
    <s v="Supplies-Surgical Nonbillable"/>
    <s v="Eliminations-PE @ SJ"/>
    <x v="0"/>
    <m/>
    <n v="0"/>
    <n v="0"/>
    <n v="0"/>
    <n v="0"/>
    <n v="0"/>
    <n v="0"/>
    <n v="0"/>
    <n v="0"/>
    <n v="0"/>
    <n v="0"/>
    <n v="0"/>
    <n v="811.82"/>
    <n v="811.82"/>
    <n v="-1243.8699999999999"/>
  </r>
  <r>
    <x v="11"/>
    <x v="22"/>
    <x v="0"/>
    <s v="9000931"/>
    <n v="721420"/>
    <s v="Sterilization Process Products"/>
    <s v="Eliminations-PE @ SJ"/>
    <x v="0"/>
    <n v="1009"/>
    <n v="0"/>
    <n v="0"/>
    <n v="0"/>
    <n v="0"/>
    <n v="0"/>
    <n v="0"/>
    <n v="0"/>
    <n v="0"/>
    <n v="0"/>
    <n v="0"/>
    <n v="0"/>
    <n v="1243.8699999999999"/>
    <n v="1243.8699999999999"/>
    <n v="-2567.12"/>
  </r>
  <r>
    <x v="11"/>
    <x v="22"/>
    <x v="0"/>
    <s v="9000931"/>
    <n v="721640"/>
    <s v="Supplies-IV Solutions/Supplies - Nonbillable"/>
    <s v="Eliminations-PE @ SJ"/>
    <x v="0"/>
    <m/>
    <n v="0"/>
    <n v="0"/>
    <n v="0"/>
    <n v="0"/>
    <n v="0"/>
    <n v="0"/>
    <n v="0"/>
    <n v="0"/>
    <n v="0"/>
    <n v="0"/>
    <n v="0"/>
    <n v="2567.12"/>
    <n v="2567.12"/>
    <n v="-443.87"/>
  </r>
  <r>
    <x v="11"/>
    <x v="22"/>
    <x v="0"/>
    <s v="9000931"/>
    <n v="721710"/>
    <s v="Supplies-Laboratory - Nonbillable"/>
    <s v="Eliminations-PE @ SJ"/>
    <x v="0"/>
    <m/>
    <n v="0"/>
    <n v="0"/>
    <n v="0"/>
    <n v="0"/>
    <n v="0"/>
    <n v="0"/>
    <n v="0"/>
    <n v="0"/>
    <n v="0"/>
    <n v="0"/>
    <n v="0"/>
    <n v="443.87"/>
    <n v="443.87"/>
    <n v="-580.45000000000005"/>
  </r>
  <r>
    <x v="11"/>
    <x v="22"/>
    <x v="0"/>
    <s v="9000931"/>
    <n v="721750"/>
    <s v="Supplies-Film/Radiographic - Nonbillable"/>
    <s v="Eliminations-PE @ SJ"/>
    <x v="0"/>
    <m/>
    <n v="0"/>
    <n v="0"/>
    <n v="0"/>
    <n v="0"/>
    <n v="0"/>
    <n v="0"/>
    <n v="0"/>
    <n v="0"/>
    <n v="0"/>
    <n v="0"/>
    <n v="0"/>
    <n v="580.45000000000005"/>
    <n v="580.45000000000005"/>
    <n v="-39466.65"/>
  </r>
  <r>
    <x v="11"/>
    <x v="22"/>
    <x v="0"/>
    <s v="9000931"/>
    <n v="721810"/>
    <s v="Supplies-Dietary/Cafeteria"/>
    <s v="Eliminations-PE @ SJ"/>
    <x v="0"/>
    <m/>
    <n v="0"/>
    <n v="0"/>
    <n v="0"/>
    <n v="0"/>
    <n v="0"/>
    <n v="0"/>
    <n v="0"/>
    <n v="0"/>
    <n v="0"/>
    <n v="0"/>
    <n v="0"/>
    <n v="39466.65"/>
    <n v="39466.65"/>
    <n v="-200733.23"/>
  </r>
  <r>
    <x v="11"/>
    <x v="22"/>
    <x v="0"/>
    <s v="9000931"/>
    <n v="721830"/>
    <s v="Supplies-Office"/>
    <s v="Eliminations-PE @ SJ"/>
    <x v="0"/>
    <m/>
    <n v="0"/>
    <n v="0"/>
    <n v="0"/>
    <n v="0"/>
    <n v="0"/>
    <n v="0"/>
    <n v="0"/>
    <n v="0"/>
    <n v="0"/>
    <n v="0"/>
    <n v="0"/>
    <n v="200733.23"/>
    <n v="200733.23"/>
    <n v="-11220.1"/>
  </r>
  <r>
    <x v="11"/>
    <x v="22"/>
    <x v="0"/>
    <s v="9000931"/>
    <n v="721835"/>
    <s v="Supplies-Forms"/>
    <s v="Eliminations-PE @ SJ"/>
    <x v="0"/>
    <m/>
    <n v="0"/>
    <n v="0"/>
    <n v="0"/>
    <n v="0"/>
    <n v="0"/>
    <n v="0"/>
    <n v="0"/>
    <n v="0"/>
    <n v="0"/>
    <n v="0"/>
    <n v="0"/>
    <n v="11220.1"/>
    <n v="11220.1"/>
    <n v="-40606.35"/>
  </r>
  <r>
    <x v="11"/>
    <x v="22"/>
    <x v="0"/>
    <s v="9000931"/>
    <n v="721870"/>
    <s v="Supplies-Environmental Services"/>
    <s v="Eliminations-PE @ SJ"/>
    <x v="0"/>
    <m/>
    <n v="0"/>
    <n v="0"/>
    <n v="0"/>
    <n v="0"/>
    <n v="0"/>
    <n v="0"/>
    <n v="0"/>
    <n v="0"/>
    <n v="0"/>
    <n v="0"/>
    <n v="0"/>
    <n v="40606.35"/>
    <n v="40606.35"/>
    <n v="-404.18"/>
  </r>
  <r>
    <x v="11"/>
    <x v="22"/>
    <x v="0"/>
    <s v="9000931"/>
    <n v="721880"/>
    <s v="Supplies-Linen"/>
    <s v="Eliminations-PE @ SJ"/>
    <x v="0"/>
    <m/>
    <n v="0"/>
    <n v="0"/>
    <n v="0"/>
    <n v="0"/>
    <n v="0"/>
    <n v="0"/>
    <n v="0"/>
    <n v="0"/>
    <n v="0"/>
    <n v="0"/>
    <n v="0"/>
    <n v="404.18"/>
    <n v="404.18"/>
    <n v="-91262.81"/>
  </r>
  <r>
    <x v="11"/>
    <x v="22"/>
    <x v="0"/>
    <s v="9000931"/>
    <n v="721910"/>
    <s v="Supplies-Small Equipment"/>
    <s v="Eliminations-PE @ SJ"/>
    <x v="0"/>
    <m/>
    <n v="0"/>
    <n v="0"/>
    <n v="0"/>
    <n v="0"/>
    <n v="0"/>
    <n v="0"/>
    <n v="0"/>
    <n v="0"/>
    <n v="0"/>
    <n v="0"/>
    <n v="0"/>
    <n v="91262.81"/>
    <n v="91262.81"/>
    <n v="-542.6"/>
  </r>
  <r>
    <x v="11"/>
    <x v="22"/>
    <x v="0"/>
    <s v="9000931"/>
    <n v="721910"/>
    <s v="Instruments"/>
    <s v="Eliminations-PE @ SJ"/>
    <x v="0"/>
    <n v="1000"/>
    <n v="0"/>
    <n v="0"/>
    <n v="0"/>
    <n v="0"/>
    <n v="0"/>
    <n v="0"/>
    <n v="0"/>
    <n v="0"/>
    <n v="0"/>
    <n v="0"/>
    <n v="0"/>
    <n v="542.6"/>
    <n v="542.6"/>
    <n v="-263441.46000000002"/>
  </r>
  <r>
    <x v="11"/>
    <x v="22"/>
    <x v="0"/>
    <s v="9000931"/>
    <n v="721980"/>
    <s v="Supplies-Other"/>
    <s v="Eliminations-PE @ SJ"/>
    <x v="0"/>
    <m/>
    <n v="0"/>
    <n v="0"/>
    <n v="0"/>
    <n v="0"/>
    <n v="0"/>
    <n v="0"/>
    <n v="0"/>
    <n v="0"/>
    <n v="0"/>
    <n v="0"/>
    <n v="0"/>
    <n v="263441.46000000002"/>
    <n v="263441.46000000002"/>
    <n v="-11489.08"/>
  </r>
  <r>
    <x v="11"/>
    <x v="22"/>
    <x v="0"/>
    <s v="9000931"/>
    <n v="722000"/>
    <s v="Supplies-Freight Expense"/>
    <s v="Eliminations-PE @ SJ"/>
    <x v="0"/>
    <m/>
    <n v="0"/>
    <n v="0"/>
    <n v="0"/>
    <n v="0"/>
    <n v="0"/>
    <n v="0"/>
    <n v="0"/>
    <n v="0"/>
    <n v="0"/>
    <n v="0"/>
    <n v="0"/>
    <n v="11489.08"/>
    <n v="11489.08"/>
    <n v="-78.900000000000006"/>
  </r>
  <r>
    <x v="11"/>
    <x v="22"/>
    <x v="0"/>
    <s v="9000931"/>
    <n v="722000"/>
    <s v="Minimum Order Fees"/>
    <s v="Eliminations-PE @ SJ"/>
    <x v="0"/>
    <n v="1000"/>
    <n v="0"/>
    <n v="0"/>
    <n v="0"/>
    <n v="0"/>
    <n v="0"/>
    <n v="0"/>
    <n v="0"/>
    <n v="0"/>
    <n v="0"/>
    <n v="0"/>
    <n v="0"/>
    <n v="78.900000000000006"/>
    <n v="78.900000000000006"/>
    <n v="114603.55"/>
  </r>
  <r>
    <x v="11"/>
    <x v="22"/>
    <x v="0"/>
    <s v="9000931"/>
    <n v="723000"/>
    <s v="Supply Rebates/Patronage Dividend"/>
    <s v="Eliminations-PE @ SJ"/>
    <x v="0"/>
    <m/>
    <n v="0"/>
    <n v="0"/>
    <n v="0"/>
    <n v="0"/>
    <n v="0"/>
    <n v="0"/>
    <n v="0"/>
    <n v="0"/>
    <n v="0"/>
    <n v="0"/>
    <n v="0"/>
    <n v="-114603.55"/>
    <n v="-114603.55"/>
    <n v="1841.01"/>
  </r>
  <r>
    <x v="11"/>
    <x v="22"/>
    <x v="0"/>
    <s v="9000931"/>
    <n v="723500"/>
    <s v="Discounts Taken *"/>
    <s v="Eliminations-PE @ SJ"/>
    <x v="0"/>
    <m/>
    <n v="0"/>
    <n v="0"/>
    <n v="0"/>
    <n v="0"/>
    <n v="0"/>
    <n v="0"/>
    <n v="0"/>
    <n v="0"/>
    <n v="0"/>
    <n v="0"/>
    <n v="0"/>
    <n v="-1841.01"/>
    <n v="-1841.01"/>
    <n v="521.19000000000005"/>
  </r>
  <r>
    <x v="11"/>
    <x v="22"/>
    <x v="0"/>
    <s v="9000931"/>
    <n v="724000"/>
    <s v="Item Cost Variance Suspense *"/>
    <s v="Eliminations-PE @ SJ"/>
    <x v="0"/>
    <m/>
    <n v="0"/>
    <n v="0"/>
    <n v="0"/>
    <n v="0"/>
    <n v="0"/>
    <n v="0"/>
    <n v="0"/>
    <n v="0"/>
    <n v="0"/>
    <n v="0"/>
    <n v="0"/>
    <n v="-521.19000000000005"/>
    <n v="-521.19000000000005"/>
    <n v="-0.01"/>
  </r>
  <r>
    <x v="11"/>
    <x v="22"/>
    <x v="0"/>
    <s v="9000931"/>
    <n v="724001"/>
    <s v="Tolerance Offset *"/>
    <s v="Eliminations-PE @ SJ"/>
    <x v="0"/>
    <m/>
    <n v="0"/>
    <n v="0"/>
    <n v="0"/>
    <n v="0"/>
    <n v="0"/>
    <n v="0"/>
    <n v="0"/>
    <n v="0"/>
    <n v="0"/>
    <n v="0"/>
    <n v="0"/>
    <n v="0.01"/>
    <n v="0.01"/>
    <n v="-5334506.33"/>
  </r>
  <r>
    <x v="12"/>
    <x v="22"/>
    <x v="0"/>
    <s v="9000931"/>
    <n v="730010"/>
    <s v="Rental and Leases-Building (DO NOT USE)"/>
    <s v="Eliminations-PE @ SJ"/>
    <x v="0"/>
    <m/>
    <n v="0"/>
    <n v="0"/>
    <n v="0"/>
    <n v="0"/>
    <n v="0"/>
    <n v="0"/>
    <n v="0"/>
    <n v="0"/>
    <n v="0"/>
    <n v="0"/>
    <n v="0"/>
    <n v="5334506.33"/>
    <n v="5334506.33"/>
    <n v="-1959875.75"/>
  </r>
  <r>
    <x v="12"/>
    <x v="22"/>
    <x v="0"/>
    <s v="9000931"/>
    <n v="730010"/>
    <s v="Rental-Common Area Maint (DO NOT USE)"/>
    <s v="Eliminations-PE @ SJ"/>
    <x v="0"/>
    <n v="2200"/>
    <n v="0"/>
    <n v="0"/>
    <n v="0"/>
    <n v="0"/>
    <n v="0"/>
    <n v="0"/>
    <n v="0"/>
    <n v="0"/>
    <n v="0"/>
    <n v="0"/>
    <n v="0"/>
    <n v="1959875.75"/>
    <n v="1959875.75"/>
    <n v="-48350.65"/>
  </r>
  <r>
    <x v="12"/>
    <x v="22"/>
    <x v="0"/>
    <s v="9000931"/>
    <n v="730020"/>
    <s v="Rental and Leases-Equipment (DO NOT USE)"/>
    <s v="Eliminations-PE @ SJ"/>
    <x v="0"/>
    <m/>
    <n v="0"/>
    <n v="0"/>
    <n v="0"/>
    <n v="0"/>
    <n v="0"/>
    <n v="0"/>
    <n v="0"/>
    <n v="0"/>
    <n v="0"/>
    <n v="0"/>
    <n v="0"/>
    <n v="48350.65"/>
    <n v="48350.65"/>
    <n v="-280719.77"/>
  </r>
  <r>
    <x v="12"/>
    <x v="22"/>
    <x v="0"/>
    <s v="9000931"/>
    <n v="730020"/>
    <s v="Rental and Leases-Copier Usage Fees (DO NOT USE)"/>
    <s v="Eliminations-PE @ SJ"/>
    <x v="0"/>
    <n v="5100"/>
    <n v="0"/>
    <n v="0"/>
    <n v="0"/>
    <n v="0"/>
    <n v="0"/>
    <n v="0"/>
    <n v="0"/>
    <n v="0"/>
    <n v="0"/>
    <n v="0"/>
    <n v="0"/>
    <n v="280719.77"/>
    <n v="280719.77"/>
    <n v="-648979.52"/>
  </r>
  <r>
    <x v="12"/>
    <x v="22"/>
    <x v="0"/>
    <s v="9000931"/>
    <n v="730040"/>
    <s v="LT Lease-Real Estate"/>
    <s v="Eliminations-PE @ SJ"/>
    <x v="0"/>
    <m/>
    <n v="0"/>
    <n v="0"/>
    <n v="0"/>
    <n v="0"/>
    <n v="0"/>
    <n v="0"/>
    <n v="0"/>
    <n v="0"/>
    <n v="0"/>
    <n v="0"/>
    <n v="0"/>
    <n v="648979.52"/>
    <n v="648979.52"/>
    <n v="-393.98"/>
  </r>
  <r>
    <x v="15"/>
    <x v="22"/>
    <x v="0"/>
    <s v="9000931"/>
    <n v="731010"/>
    <s v="Natural Gas"/>
    <s v="Eliminations-PE @ SJ"/>
    <x v="0"/>
    <m/>
    <n v="0"/>
    <n v="0"/>
    <n v="0"/>
    <n v="0"/>
    <n v="0"/>
    <n v="0"/>
    <n v="0"/>
    <n v="0"/>
    <n v="0"/>
    <n v="0"/>
    <n v="0"/>
    <n v="393.98"/>
    <n v="393.98"/>
    <n v="-19051.43"/>
  </r>
  <r>
    <x v="15"/>
    <x v="22"/>
    <x v="0"/>
    <s v="9000931"/>
    <n v="731020"/>
    <s v="Electricity"/>
    <s v="Eliminations-PE @ SJ"/>
    <x v="0"/>
    <m/>
    <n v="0"/>
    <n v="0"/>
    <n v="0"/>
    <n v="0"/>
    <n v="0"/>
    <n v="0"/>
    <n v="0"/>
    <n v="0"/>
    <n v="0"/>
    <n v="0"/>
    <n v="0"/>
    <n v="19051.43"/>
    <n v="19051.43"/>
    <n v="-325.19"/>
  </r>
  <r>
    <x v="15"/>
    <x v="22"/>
    <x v="0"/>
    <s v="9000931"/>
    <n v="731030"/>
    <s v="Water"/>
    <s v="Eliminations-PE @ SJ"/>
    <x v="0"/>
    <m/>
    <n v="0"/>
    <n v="0"/>
    <n v="0"/>
    <n v="0"/>
    <n v="0"/>
    <n v="0"/>
    <n v="0"/>
    <n v="0"/>
    <n v="0"/>
    <n v="0"/>
    <n v="0"/>
    <n v="325.19"/>
    <n v="325.19"/>
    <n v="-7.17"/>
  </r>
  <r>
    <x v="15"/>
    <x v="22"/>
    <x v="0"/>
    <s v="9000931"/>
    <n v="731040"/>
    <s v="Sewer"/>
    <s v="Eliminations-PE @ SJ"/>
    <x v="0"/>
    <m/>
    <n v="0"/>
    <n v="0"/>
    <n v="0"/>
    <n v="0"/>
    <n v="0"/>
    <n v="0"/>
    <n v="0"/>
    <n v="0"/>
    <n v="0"/>
    <n v="0"/>
    <n v="0"/>
    <n v="7.17"/>
    <n v="7.17"/>
    <n v="-1237.3599999999999"/>
  </r>
  <r>
    <x v="15"/>
    <x v="22"/>
    <x v="0"/>
    <s v="9000931"/>
    <n v="731050"/>
    <s v="Refuse Disposal"/>
    <s v="Eliminations-PE @ SJ"/>
    <x v="0"/>
    <m/>
    <n v="0"/>
    <n v="0"/>
    <n v="0"/>
    <n v="0"/>
    <n v="0"/>
    <n v="0"/>
    <n v="0"/>
    <n v="0"/>
    <n v="0"/>
    <n v="0"/>
    <n v="0"/>
    <n v="1237.3599999999999"/>
    <n v="1237.3599999999999"/>
    <n v="-370062.25"/>
  </r>
  <r>
    <x v="15"/>
    <x v="22"/>
    <x v="0"/>
    <s v="9000931"/>
    <n v="731060"/>
    <s v="Telephone"/>
    <s v="Eliminations-PE @ SJ"/>
    <x v="0"/>
    <m/>
    <n v="0"/>
    <n v="0"/>
    <n v="0"/>
    <n v="0"/>
    <n v="0"/>
    <n v="0"/>
    <n v="0"/>
    <n v="0"/>
    <n v="0"/>
    <n v="0"/>
    <n v="0"/>
    <n v="370062.25"/>
    <n v="370062.25"/>
    <n v="-3757.76"/>
  </r>
  <r>
    <x v="15"/>
    <x v="22"/>
    <x v="0"/>
    <s v="9000931"/>
    <n v="731060"/>
    <s v="Cell Phones"/>
    <s v="Eliminations-PE @ SJ"/>
    <x v="0"/>
    <n v="1001"/>
    <n v="0"/>
    <n v="0"/>
    <n v="0"/>
    <n v="0"/>
    <n v="0"/>
    <n v="0"/>
    <n v="0"/>
    <n v="0"/>
    <n v="0"/>
    <n v="0"/>
    <n v="0"/>
    <n v="3757.76"/>
    <n v="3757.76"/>
    <n v="-11132.15"/>
  </r>
  <r>
    <x v="15"/>
    <x v="22"/>
    <x v="0"/>
    <s v="9000931"/>
    <n v="731060"/>
    <s v="Pagers"/>
    <s v="Eliminations-PE @ SJ"/>
    <x v="0"/>
    <n v="1002"/>
    <n v="0"/>
    <n v="0"/>
    <n v="0"/>
    <n v="0"/>
    <n v="0"/>
    <n v="0"/>
    <n v="0"/>
    <n v="0"/>
    <n v="0"/>
    <n v="0"/>
    <n v="0"/>
    <n v="11132.15"/>
    <n v="11132.15"/>
    <n v="-718.96"/>
  </r>
  <r>
    <x v="15"/>
    <x v="22"/>
    <x v="0"/>
    <s v="9000931"/>
    <n v="731063"/>
    <s v="Cell Phones-Advanced Practice Clinician"/>
    <s v="Eliminations-PE @ SJ"/>
    <x v="0"/>
    <n v="2000"/>
    <n v="0"/>
    <n v="0"/>
    <n v="0"/>
    <n v="0"/>
    <n v="0"/>
    <n v="0"/>
    <n v="0"/>
    <n v="0"/>
    <n v="0"/>
    <n v="0"/>
    <n v="0"/>
    <n v="718.96"/>
    <n v="718.96"/>
    <n v="-3233.63"/>
  </r>
  <r>
    <x v="15"/>
    <x v="22"/>
    <x v="0"/>
    <s v="9000931"/>
    <n v="731065"/>
    <s v="Data Communications"/>
    <s v="Eliminations-PE @ SJ"/>
    <x v="0"/>
    <m/>
    <n v="0"/>
    <n v="0"/>
    <n v="0"/>
    <n v="0"/>
    <n v="0"/>
    <n v="0"/>
    <n v="0"/>
    <n v="0"/>
    <n v="0"/>
    <n v="0"/>
    <n v="0"/>
    <n v="3233.63"/>
    <n v="3233.63"/>
    <n v="-17844.96"/>
  </r>
  <r>
    <x v="15"/>
    <x v="22"/>
    <x v="0"/>
    <s v="9000931"/>
    <n v="731070"/>
    <s v="Cable TV"/>
    <s v="Eliminations-PE @ SJ"/>
    <x v="0"/>
    <m/>
    <n v="0"/>
    <n v="0"/>
    <n v="0"/>
    <n v="0"/>
    <n v="0"/>
    <n v="0"/>
    <n v="0"/>
    <n v="0"/>
    <n v="0"/>
    <n v="0"/>
    <n v="0"/>
    <n v="17844.96"/>
    <n v="17844.96"/>
    <n v="-1407"/>
  </r>
  <r>
    <x v="15"/>
    <x v="22"/>
    <x v="0"/>
    <s v="9000931"/>
    <n v="731090"/>
    <s v="Other Utilities"/>
    <s v="Eliminations-PE @ SJ"/>
    <x v="0"/>
    <m/>
    <n v="0"/>
    <n v="0"/>
    <n v="0"/>
    <n v="0"/>
    <n v="0"/>
    <n v="0"/>
    <n v="0"/>
    <n v="0"/>
    <n v="0"/>
    <n v="0"/>
    <n v="0"/>
    <n v="1407"/>
    <n v="1407"/>
    <n v="-44794.97"/>
  </r>
  <r>
    <x v="16"/>
    <x v="22"/>
    <x v="0"/>
    <s v="9000931"/>
    <n v="732015"/>
    <s v="Repairs-Clinical Equip-T&amp;M-Ext to CHI Programs"/>
    <s v="Eliminations-PE @ SJ"/>
    <x v="0"/>
    <m/>
    <n v="0"/>
    <n v="0"/>
    <n v="0"/>
    <n v="0"/>
    <n v="0"/>
    <n v="0"/>
    <n v="0"/>
    <n v="0"/>
    <n v="0"/>
    <n v="0"/>
    <n v="0"/>
    <n v="44794.97"/>
    <n v="44794.97"/>
    <n v="-70166.3"/>
  </r>
  <r>
    <x v="16"/>
    <x v="22"/>
    <x v="0"/>
    <s v="9000931"/>
    <n v="732030"/>
    <s v="Repairs---Other"/>
    <s v="Eliminations-PE @ SJ"/>
    <x v="0"/>
    <m/>
    <n v="0"/>
    <n v="0"/>
    <n v="0"/>
    <n v="0"/>
    <n v="0"/>
    <n v="0"/>
    <n v="0"/>
    <n v="0"/>
    <n v="0"/>
    <n v="0"/>
    <n v="0"/>
    <n v="70166.3"/>
    <n v="70166.3"/>
    <n v="-17577.580000000002"/>
  </r>
  <r>
    <x v="16"/>
    <x v="22"/>
    <x v="0"/>
    <s v="9000931"/>
    <n v="732030"/>
    <s v="Repairs&amp;Maintenance-Bldg Routine"/>
    <s v="Eliminations-PE @ SJ"/>
    <x v="0"/>
    <n v="2300"/>
    <n v="0"/>
    <n v="0"/>
    <n v="0"/>
    <n v="0"/>
    <n v="0"/>
    <n v="0"/>
    <n v="0"/>
    <n v="0"/>
    <n v="0"/>
    <n v="0"/>
    <n v="0"/>
    <n v="17577.580000000002"/>
    <n v="17577.580000000002"/>
    <n v="-10182.27"/>
  </r>
  <r>
    <x v="16"/>
    <x v="22"/>
    <x v="0"/>
    <s v="9000931"/>
    <n v="733030"/>
    <s v="Maintenance Contracts-Other"/>
    <s v="Eliminations-PE @ SJ"/>
    <x v="0"/>
    <m/>
    <n v="0"/>
    <n v="0"/>
    <n v="0"/>
    <n v="0"/>
    <n v="0"/>
    <n v="0"/>
    <n v="0"/>
    <n v="0"/>
    <n v="0"/>
    <n v="0"/>
    <n v="0"/>
    <n v="10182.27"/>
    <n v="10182.27"/>
    <n v="-104294.7"/>
  </r>
  <r>
    <x v="13"/>
    <x v="22"/>
    <x v="0"/>
    <s v="9000931"/>
    <n v="735040"/>
    <s v="Depreciation-Building Improvements"/>
    <s v="Eliminations-PE @ SJ"/>
    <x v="0"/>
    <m/>
    <n v="0"/>
    <n v="0"/>
    <n v="0"/>
    <n v="0"/>
    <n v="0"/>
    <n v="0"/>
    <n v="0"/>
    <n v="0"/>
    <n v="0"/>
    <n v="0"/>
    <n v="0"/>
    <n v="104294.7"/>
    <n v="104294.7"/>
    <n v="-1028824.93"/>
  </r>
  <r>
    <x v="13"/>
    <x v="22"/>
    <x v="0"/>
    <s v="9000931"/>
    <n v="735050"/>
    <s v="Amortization-Leasehold Improvements"/>
    <s v="Eliminations-PE @ SJ"/>
    <x v="0"/>
    <m/>
    <n v="0"/>
    <n v="0"/>
    <n v="0"/>
    <n v="0"/>
    <n v="0"/>
    <n v="0"/>
    <n v="0"/>
    <n v="0"/>
    <n v="0"/>
    <n v="0"/>
    <n v="0"/>
    <n v="1028824.93"/>
    <n v="1028824.93"/>
    <n v="-68913.08"/>
  </r>
  <r>
    <x v="13"/>
    <x v="22"/>
    <x v="0"/>
    <s v="9000931"/>
    <n v="735060"/>
    <s v="Depreciation-Fixed Equipment"/>
    <s v="Eliminations-PE @ SJ"/>
    <x v="0"/>
    <m/>
    <n v="0"/>
    <n v="0"/>
    <n v="0"/>
    <n v="0"/>
    <n v="0"/>
    <n v="0"/>
    <n v="0"/>
    <n v="0"/>
    <n v="0"/>
    <n v="0"/>
    <n v="0"/>
    <n v="68913.08"/>
    <n v="68913.08"/>
    <n v="-2948174.4"/>
  </r>
  <r>
    <x v="13"/>
    <x v="22"/>
    <x v="0"/>
    <s v="9000931"/>
    <n v="735070"/>
    <s v="Depreciation-Movable Equipment"/>
    <s v="Eliminations-PE @ SJ"/>
    <x v="0"/>
    <m/>
    <n v="0"/>
    <n v="0"/>
    <n v="0"/>
    <n v="0"/>
    <n v="0"/>
    <n v="0"/>
    <n v="0"/>
    <n v="0"/>
    <n v="0"/>
    <n v="0"/>
    <n v="0"/>
    <n v="2948174.4"/>
    <n v="2948174.4"/>
    <n v="-3215.99"/>
  </r>
  <r>
    <x v="13"/>
    <x v="22"/>
    <x v="0"/>
    <s v="9000931"/>
    <n v="736000"/>
    <s v="General Amortization Expense"/>
    <s v="Eliminations-PE @ SJ"/>
    <x v="0"/>
    <n v="5000"/>
    <n v="0"/>
    <n v="0"/>
    <n v="0"/>
    <n v="0"/>
    <n v="0"/>
    <n v="0"/>
    <n v="0"/>
    <n v="0"/>
    <n v="0"/>
    <n v="0"/>
    <n v="0"/>
    <n v="3215.99"/>
    <n v="3215.99"/>
    <n v="-1121.7"/>
  </r>
  <r>
    <x v="0"/>
    <x v="22"/>
    <x v="0"/>
    <s v="9000931"/>
    <n v="740010"/>
    <s v="Education-Materials"/>
    <s v="Eliminations-PE @ SJ"/>
    <x v="0"/>
    <m/>
    <n v="0"/>
    <n v="0"/>
    <n v="0"/>
    <n v="0"/>
    <n v="0"/>
    <n v="0"/>
    <n v="0"/>
    <n v="0"/>
    <n v="0"/>
    <n v="0"/>
    <n v="0"/>
    <n v="1121.7"/>
    <n v="1121.7"/>
    <n v="-24686.79"/>
  </r>
  <r>
    <x v="0"/>
    <x v="22"/>
    <x v="0"/>
    <s v="9000931"/>
    <n v="740020"/>
    <s v="Education-Registration Fees"/>
    <s v="Eliminations-PE @ SJ"/>
    <x v="0"/>
    <m/>
    <n v="0"/>
    <n v="0"/>
    <n v="0"/>
    <n v="0"/>
    <n v="0"/>
    <n v="0"/>
    <n v="0"/>
    <n v="0"/>
    <n v="0"/>
    <n v="0"/>
    <n v="0"/>
    <n v="24686.79"/>
    <n v="24686.79"/>
    <n v="-71951.240000000005"/>
  </r>
  <r>
    <x v="0"/>
    <x v="22"/>
    <x v="0"/>
    <s v="9000931"/>
    <n v="740022"/>
    <s v="Education-Physician"/>
    <s v="Eliminations-PE @ SJ"/>
    <x v="0"/>
    <m/>
    <n v="0"/>
    <n v="0"/>
    <n v="0"/>
    <n v="0"/>
    <n v="0"/>
    <n v="0"/>
    <n v="0"/>
    <n v="0"/>
    <n v="0"/>
    <n v="0"/>
    <n v="0"/>
    <n v="71951.240000000005"/>
    <n v="71951.240000000005"/>
    <n v="-14780.93"/>
  </r>
  <r>
    <x v="0"/>
    <x v="22"/>
    <x v="0"/>
    <s v="9000931"/>
    <n v="740022"/>
    <s v="Books-Physician"/>
    <s v="Eliminations-PE @ SJ"/>
    <x v="0"/>
    <n v="2000"/>
    <n v="0"/>
    <n v="0"/>
    <n v="0"/>
    <n v="0"/>
    <n v="0"/>
    <n v="0"/>
    <n v="0"/>
    <n v="0"/>
    <n v="0"/>
    <n v="0"/>
    <n v="0"/>
    <n v="14780.93"/>
    <n v="14780.93"/>
    <n v="-3130.99"/>
  </r>
  <r>
    <x v="0"/>
    <x v="22"/>
    <x v="0"/>
    <s v="9000931"/>
    <n v="740022"/>
    <s v="Education Travel-Physician"/>
    <s v="Eliminations-PE @ SJ"/>
    <x v="0"/>
    <n v="2001"/>
    <n v="0"/>
    <n v="0"/>
    <n v="0"/>
    <n v="0"/>
    <n v="0"/>
    <n v="0"/>
    <n v="0"/>
    <n v="0"/>
    <n v="0"/>
    <n v="0"/>
    <n v="0"/>
    <n v="3130.99"/>
    <n v="3130.99"/>
    <n v="-45344.12"/>
  </r>
  <r>
    <x v="0"/>
    <x v="22"/>
    <x v="0"/>
    <s v="9000931"/>
    <n v="740023"/>
    <s v="Education-Advanced Practice Clinician"/>
    <s v="Eliminations-PE @ SJ"/>
    <x v="0"/>
    <m/>
    <n v="0"/>
    <n v="0"/>
    <n v="0"/>
    <n v="0"/>
    <n v="0"/>
    <n v="0"/>
    <n v="0"/>
    <n v="0"/>
    <n v="0"/>
    <n v="0"/>
    <n v="0"/>
    <n v="45344.12"/>
    <n v="45344.12"/>
    <n v="-7491.17"/>
  </r>
  <r>
    <x v="0"/>
    <x v="22"/>
    <x v="0"/>
    <s v="9000931"/>
    <n v="740023"/>
    <s v="Books-Advanced Practice Clinician"/>
    <s v="Eliminations-PE @ SJ"/>
    <x v="0"/>
    <n v="2000"/>
    <n v="0"/>
    <n v="0"/>
    <n v="0"/>
    <n v="0"/>
    <n v="0"/>
    <n v="0"/>
    <n v="0"/>
    <n v="0"/>
    <n v="0"/>
    <n v="0"/>
    <n v="0"/>
    <n v="7491.17"/>
    <n v="7491.17"/>
    <n v="-1740.92"/>
  </r>
  <r>
    <x v="0"/>
    <x v="22"/>
    <x v="0"/>
    <s v="9000931"/>
    <n v="740023"/>
    <s v="Education Travel-Advanced Practice Clinician"/>
    <s v="Eliminations-PE @ SJ"/>
    <x v="0"/>
    <n v="2001"/>
    <n v="0"/>
    <n v="0"/>
    <n v="0"/>
    <n v="0"/>
    <n v="0"/>
    <n v="0"/>
    <n v="0"/>
    <n v="0"/>
    <n v="0"/>
    <n v="0"/>
    <n v="0"/>
    <n v="1740.92"/>
    <n v="1740.92"/>
    <n v="-85.85"/>
  </r>
  <r>
    <x v="0"/>
    <x v="22"/>
    <x v="0"/>
    <s v="9000931"/>
    <n v="740030"/>
    <s v="Education-Travel"/>
    <s v="Eliminations-PE @ SJ"/>
    <x v="0"/>
    <m/>
    <n v="0"/>
    <n v="0"/>
    <n v="0"/>
    <n v="0"/>
    <n v="0"/>
    <n v="0"/>
    <n v="0"/>
    <n v="0"/>
    <n v="0"/>
    <n v="0"/>
    <n v="0"/>
    <n v="85.85"/>
    <n v="85.85"/>
    <n v="-497417.36"/>
  </r>
  <r>
    <x v="8"/>
    <x v="22"/>
    <x v="0"/>
    <s v="9000931"/>
    <n v="741010"/>
    <s v="Liability Insurance-CHI Programs"/>
    <s v="Eliminations-PE @ SJ"/>
    <x v="0"/>
    <m/>
    <n v="0"/>
    <n v="0"/>
    <n v="0"/>
    <n v="0"/>
    <n v="0"/>
    <n v="0"/>
    <n v="0"/>
    <n v="0"/>
    <n v="0"/>
    <n v="0"/>
    <n v="0"/>
    <n v="497417.36"/>
    <n v="497417.36"/>
    <n v="-1477153.65"/>
  </r>
  <r>
    <x v="8"/>
    <x v="22"/>
    <x v="0"/>
    <s v="9000931"/>
    <n v="741012"/>
    <s v="Physician Liab Insurance-CHI Program"/>
    <s v="Eliminations-PE @ SJ"/>
    <x v="0"/>
    <m/>
    <n v="0"/>
    <n v="0"/>
    <n v="0"/>
    <n v="0"/>
    <n v="0"/>
    <n v="0"/>
    <n v="0"/>
    <n v="0"/>
    <n v="0"/>
    <n v="0"/>
    <n v="0"/>
    <n v="1477153.65"/>
    <n v="1477153.65"/>
    <n v="-17692.400000000001"/>
  </r>
  <r>
    <x v="8"/>
    <x v="22"/>
    <x v="0"/>
    <s v="9000931"/>
    <n v="741016"/>
    <s v="Premium Expense to PPIC"/>
    <s v="Eliminations-PE @ SJ"/>
    <x v="0"/>
    <m/>
    <n v="0"/>
    <n v="0"/>
    <n v="0"/>
    <n v="0"/>
    <n v="0"/>
    <n v="0"/>
    <n v="0"/>
    <n v="0"/>
    <n v="0"/>
    <n v="0"/>
    <n v="0"/>
    <n v="17692.400000000001"/>
    <n v="17692.400000000001"/>
    <n v="-48518.71"/>
  </r>
  <r>
    <x v="8"/>
    <x v="22"/>
    <x v="0"/>
    <s v="9000931"/>
    <n v="741030"/>
    <s v="Property Insurance-CHI Programs"/>
    <s v="Eliminations-PE @ SJ"/>
    <x v="0"/>
    <m/>
    <n v="0"/>
    <n v="0"/>
    <n v="0"/>
    <n v="0"/>
    <n v="0"/>
    <n v="0"/>
    <n v="0"/>
    <n v="0"/>
    <n v="0"/>
    <n v="0"/>
    <n v="0"/>
    <n v="48518.71"/>
    <n v="48518.71"/>
    <n v="24557.13"/>
  </r>
  <r>
    <x v="8"/>
    <x v="22"/>
    <x v="0"/>
    <s v="9000931"/>
    <n v="741070"/>
    <s v="Insurance-Risk Mgmt Incentive Program"/>
    <s v="Eliminations-PE @ SJ"/>
    <x v="0"/>
    <m/>
    <n v="0"/>
    <n v="0"/>
    <n v="0"/>
    <n v="0"/>
    <n v="0"/>
    <n v="0"/>
    <n v="0"/>
    <n v="0"/>
    <n v="0"/>
    <n v="0"/>
    <n v="0"/>
    <n v="-24557.13"/>
    <n v="-24557.13"/>
    <n v="-89749.69"/>
  </r>
  <r>
    <x v="0"/>
    <x v="22"/>
    <x v="0"/>
    <s v="9000931"/>
    <n v="742010"/>
    <s v="Postage-Regular"/>
    <s v="Eliminations-PE @ SJ"/>
    <x v="0"/>
    <m/>
    <n v="0"/>
    <n v="0"/>
    <n v="0"/>
    <n v="0"/>
    <n v="0"/>
    <n v="0"/>
    <n v="0"/>
    <n v="0"/>
    <n v="0"/>
    <n v="0"/>
    <n v="0"/>
    <n v="89749.69"/>
    <n v="89749.69"/>
    <n v="-14.07"/>
  </r>
  <r>
    <x v="0"/>
    <x v="22"/>
    <x v="0"/>
    <s v="9000931"/>
    <n v="742030"/>
    <s v="Freight-Courier"/>
    <s v="Eliminations-PE @ SJ"/>
    <x v="0"/>
    <m/>
    <n v="0"/>
    <n v="0"/>
    <n v="0"/>
    <n v="0"/>
    <n v="0"/>
    <n v="0"/>
    <n v="0"/>
    <n v="0"/>
    <n v="0"/>
    <n v="0"/>
    <n v="0"/>
    <n v="14.07"/>
    <n v="14.07"/>
    <n v="-2535.2199999999998"/>
  </r>
  <r>
    <x v="0"/>
    <x v="22"/>
    <x v="0"/>
    <s v="9000931"/>
    <n v="742040"/>
    <s v="Freight-Other"/>
    <s v="Eliminations-PE @ SJ"/>
    <x v="0"/>
    <m/>
    <n v="0"/>
    <n v="0"/>
    <n v="0"/>
    <n v="0"/>
    <n v="0"/>
    <n v="0"/>
    <n v="0"/>
    <n v="0"/>
    <n v="0"/>
    <n v="0"/>
    <n v="0"/>
    <n v="2535.2199999999998"/>
    <n v="2535.2199999999998"/>
    <n v="-7550.82"/>
  </r>
  <r>
    <x v="0"/>
    <x v="22"/>
    <x v="0"/>
    <s v="9000931"/>
    <n v="743010"/>
    <s v="Dues--Institutional"/>
    <s v="Eliminations-PE @ SJ"/>
    <x v="0"/>
    <m/>
    <n v="0"/>
    <n v="0"/>
    <n v="0"/>
    <n v="0"/>
    <n v="0"/>
    <n v="0"/>
    <n v="0"/>
    <n v="0"/>
    <n v="0"/>
    <n v="0"/>
    <n v="0"/>
    <n v="7550.82"/>
    <n v="7550.82"/>
    <n v="-37147.25"/>
  </r>
  <r>
    <x v="0"/>
    <x v="22"/>
    <x v="0"/>
    <s v="9000931"/>
    <n v="743020"/>
    <s v="Dues--Individual"/>
    <s v="Eliminations-PE @ SJ"/>
    <x v="0"/>
    <m/>
    <n v="0"/>
    <n v="0"/>
    <n v="0"/>
    <n v="0"/>
    <n v="0"/>
    <n v="0"/>
    <n v="0"/>
    <n v="0"/>
    <n v="0"/>
    <n v="0"/>
    <n v="0"/>
    <n v="37147.25"/>
    <n v="37147.25"/>
    <n v="-27730.28"/>
  </r>
  <r>
    <x v="0"/>
    <x v="22"/>
    <x v="0"/>
    <s v="9000931"/>
    <n v="743020"/>
    <s v="Provider-Dues"/>
    <s v="Eliminations-PE @ SJ"/>
    <x v="0"/>
    <n v="2200"/>
    <n v="0"/>
    <n v="0"/>
    <n v="0"/>
    <n v="0"/>
    <n v="0"/>
    <n v="0"/>
    <n v="0"/>
    <n v="0"/>
    <n v="0"/>
    <n v="0"/>
    <n v="0"/>
    <n v="27730.28"/>
    <n v="27730.28"/>
    <n v="-103798.45"/>
  </r>
  <r>
    <x v="0"/>
    <x v="22"/>
    <x v="0"/>
    <s v="9000931"/>
    <n v="743022"/>
    <s v="Dues-Physician"/>
    <s v="Eliminations-PE @ SJ"/>
    <x v="0"/>
    <m/>
    <n v="0"/>
    <n v="0"/>
    <n v="0"/>
    <n v="0"/>
    <n v="0"/>
    <n v="0"/>
    <n v="0"/>
    <n v="0"/>
    <n v="0"/>
    <n v="0"/>
    <n v="0"/>
    <n v="103798.45"/>
    <n v="103798.45"/>
    <n v="-11296"/>
  </r>
  <r>
    <x v="0"/>
    <x v="22"/>
    <x v="0"/>
    <s v="9000931"/>
    <n v="743023"/>
    <s v="Dues-Advanced Practice Clinician"/>
    <s v="Eliminations-PE @ SJ"/>
    <x v="0"/>
    <m/>
    <n v="0"/>
    <n v="0"/>
    <n v="0"/>
    <n v="0"/>
    <n v="0"/>
    <n v="0"/>
    <n v="0"/>
    <n v="0"/>
    <n v="0"/>
    <n v="0"/>
    <n v="0"/>
    <n v="11296"/>
    <n v="11296"/>
    <n v="-23362.33"/>
  </r>
  <r>
    <x v="0"/>
    <x v="22"/>
    <x v="0"/>
    <s v="9000931"/>
    <n v="743030"/>
    <s v="Subscriptions--Institutional"/>
    <s v="Eliminations-PE @ SJ"/>
    <x v="0"/>
    <m/>
    <n v="0"/>
    <n v="0"/>
    <n v="0"/>
    <n v="0"/>
    <n v="0"/>
    <n v="0"/>
    <n v="0"/>
    <n v="0"/>
    <n v="0"/>
    <n v="0"/>
    <n v="0"/>
    <n v="23362.33"/>
    <n v="23362.33"/>
    <n v="-555.45000000000005"/>
  </r>
  <r>
    <x v="0"/>
    <x v="22"/>
    <x v="0"/>
    <s v="9000931"/>
    <n v="743040"/>
    <s v="Subscriptions--Individual"/>
    <s v="Eliminations-PE @ SJ"/>
    <x v="0"/>
    <m/>
    <n v="0"/>
    <n v="0"/>
    <n v="0"/>
    <n v="0"/>
    <n v="0"/>
    <n v="0"/>
    <n v="0"/>
    <n v="0"/>
    <n v="0"/>
    <n v="0"/>
    <n v="0"/>
    <n v="555.45000000000005"/>
    <n v="555.45000000000005"/>
    <n v="-33104.01"/>
  </r>
  <r>
    <x v="0"/>
    <x v="22"/>
    <x v="0"/>
    <s v="9000931"/>
    <n v="743042"/>
    <s v="Subscriptions-Physician"/>
    <s v="Eliminations-PE @ SJ"/>
    <x v="0"/>
    <m/>
    <n v="0"/>
    <n v="0"/>
    <n v="0"/>
    <n v="0"/>
    <n v="0"/>
    <n v="0"/>
    <n v="0"/>
    <n v="0"/>
    <n v="0"/>
    <n v="0"/>
    <n v="0"/>
    <n v="33104.01"/>
    <n v="33104.01"/>
    <n v="-10492.91"/>
  </r>
  <r>
    <x v="0"/>
    <x v="22"/>
    <x v="0"/>
    <s v="9000931"/>
    <n v="743043"/>
    <s v="Subscriptions-Advanced Practice Clinician"/>
    <s v="Eliminations-PE @ SJ"/>
    <x v="0"/>
    <m/>
    <n v="0"/>
    <n v="0"/>
    <n v="0"/>
    <n v="0"/>
    <n v="0"/>
    <n v="0"/>
    <n v="0"/>
    <n v="0"/>
    <n v="0"/>
    <n v="0"/>
    <n v="0"/>
    <n v="10492.91"/>
    <n v="10492.91"/>
    <n v="-996.79"/>
  </r>
  <r>
    <x v="0"/>
    <x v="22"/>
    <x v="0"/>
    <s v="9000931"/>
    <n v="744012"/>
    <s v="Recruitment-Physician"/>
    <s v="Eliminations-PE @ SJ"/>
    <x v="0"/>
    <m/>
    <n v="0"/>
    <n v="0"/>
    <n v="0"/>
    <n v="0"/>
    <n v="0"/>
    <n v="0"/>
    <n v="0"/>
    <n v="0"/>
    <n v="0"/>
    <n v="0"/>
    <n v="0"/>
    <n v="996.79"/>
    <n v="996.79"/>
    <n v="-44316.6"/>
  </r>
  <r>
    <x v="0"/>
    <x v="22"/>
    <x v="0"/>
    <s v="9000931"/>
    <n v="746020"/>
    <s v="Bank Fees--Ext to CHI Programs"/>
    <s v="Eliminations-PE @ SJ"/>
    <x v="0"/>
    <m/>
    <n v="0"/>
    <n v="0"/>
    <n v="0"/>
    <n v="0"/>
    <n v="0"/>
    <n v="0"/>
    <n v="0"/>
    <n v="0"/>
    <n v="0"/>
    <n v="0"/>
    <n v="0"/>
    <n v="44316.6"/>
    <n v="44316.6"/>
    <n v="-1708548.18"/>
  </r>
  <r>
    <x v="26"/>
    <x v="22"/>
    <x v="0"/>
    <s v="9000931"/>
    <n v="747001"/>
    <s v="National Assessment"/>
    <s v="Eliminations-PE @ SJ"/>
    <x v="0"/>
    <m/>
    <n v="0"/>
    <n v="0"/>
    <n v="0"/>
    <n v="0"/>
    <n v="0"/>
    <n v="0"/>
    <n v="0"/>
    <n v="0"/>
    <n v="0"/>
    <n v="0"/>
    <n v="0"/>
    <n v="1708548.18"/>
    <n v="1708548.18"/>
    <n v="2658.62"/>
  </r>
  <r>
    <x v="0"/>
    <x v="22"/>
    <x v="0"/>
    <s v="9000931"/>
    <n v="748521"/>
    <s v="COGS-Pharmacy Drugs-Retail"/>
    <s v="Eliminations-PE @ SJ"/>
    <x v="0"/>
    <m/>
    <n v="0"/>
    <n v="0"/>
    <n v="0"/>
    <n v="0"/>
    <n v="0"/>
    <n v="0"/>
    <n v="0"/>
    <n v="0"/>
    <n v="0"/>
    <n v="0"/>
    <n v="0"/>
    <n v="-2658.62"/>
    <n v="-2658.62"/>
    <n v="-62595.54"/>
  </r>
  <r>
    <x v="0"/>
    <x v="22"/>
    <x v="0"/>
    <s v="9000931"/>
    <n v="749510"/>
    <s v="Miscellaneous Expenses"/>
    <s v="Eliminations-PE @ SJ"/>
    <x v="0"/>
    <m/>
    <n v="0"/>
    <n v="0"/>
    <n v="0"/>
    <n v="0"/>
    <n v="0"/>
    <n v="0"/>
    <n v="0"/>
    <n v="0"/>
    <n v="0"/>
    <n v="0"/>
    <n v="0"/>
    <n v="62595.54"/>
    <n v="62595.54"/>
    <n v="-19"/>
  </r>
  <r>
    <x v="0"/>
    <x v="22"/>
    <x v="0"/>
    <s v="9000931"/>
    <n v="749510"/>
    <s v="Miscellaneous Fees"/>
    <s v="Eliminations-PE @ SJ"/>
    <x v="0"/>
    <n v="1001"/>
    <n v="0"/>
    <n v="0"/>
    <n v="0"/>
    <n v="0"/>
    <n v="0"/>
    <n v="0"/>
    <n v="0"/>
    <n v="0"/>
    <n v="0"/>
    <n v="0"/>
    <n v="0"/>
    <n v="19"/>
    <n v="19"/>
    <n v="-22788.42"/>
  </r>
  <r>
    <x v="0"/>
    <x v="22"/>
    <x v="0"/>
    <s v="9000931"/>
    <n v="749510"/>
    <s v="Licenses"/>
    <s v="Eliminations-PE @ SJ"/>
    <x v="0"/>
    <n v="1002"/>
    <n v="0"/>
    <n v="0"/>
    <n v="0"/>
    <n v="0"/>
    <n v="0"/>
    <n v="0"/>
    <n v="0"/>
    <n v="0"/>
    <n v="0"/>
    <n v="0"/>
    <n v="0"/>
    <n v="22788.42"/>
    <n v="22788.42"/>
    <n v="-5012.95"/>
  </r>
  <r>
    <x v="0"/>
    <x v="22"/>
    <x v="0"/>
    <s v="9000931"/>
    <n v="749510"/>
    <s v="Miscellaneous Employee Expense"/>
    <s v="Eliminations-PE @ SJ"/>
    <x v="0"/>
    <n v="1010"/>
    <n v="0"/>
    <n v="0"/>
    <n v="0"/>
    <n v="0"/>
    <n v="0"/>
    <n v="0"/>
    <n v="0"/>
    <n v="0"/>
    <n v="0"/>
    <n v="0"/>
    <n v="0"/>
    <n v="5012.95"/>
    <n v="5012.95"/>
    <n v="-159.72999999999999"/>
  </r>
  <r>
    <x v="0"/>
    <x v="22"/>
    <x v="0"/>
    <s v="9000931"/>
    <n v="749510"/>
    <s v="Uniforms"/>
    <s v="Eliminations-PE @ SJ"/>
    <x v="0"/>
    <n v="1028"/>
    <n v="0"/>
    <n v="0"/>
    <n v="0"/>
    <n v="0"/>
    <n v="0"/>
    <n v="0"/>
    <n v="0"/>
    <n v="0"/>
    <n v="0"/>
    <n v="0"/>
    <n v="0"/>
    <n v="159.72999999999999"/>
    <n v="159.72999999999999"/>
    <n v="-149.71"/>
  </r>
  <r>
    <x v="0"/>
    <x v="22"/>
    <x v="0"/>
    <s v="9000931"/>
    <n v="749510"/>
    <s v="Late Payment Penalties &amp; Interest"/>
    <s v="Eliminations-PE @ SJ"/>
    <x v="0"/>
    <n v="4600"/>
    <n v="0"/>
    <n v="0"/>
    <n v="0"/>
    <n v="0"/>
    <n v="0"/>
    <n v="0"/>
    <n v="0"/>
    <n v="0"/>
    <n v="0"/>
    <n v="0"/>
    <n v="0"/>
    <n v="149.71"/>
    <n v="149.71"/>
    <n v="-18940.22"/>
  </r>
  <r>
    <x v="0"/>
    <x v="22"/>
    <x v="0"/>
    <s v="9000931"/>
    <n v="749510"/>
    <s v="RICE Rewards"/>
    <s v="Eliminations-PE @ SJ"/>
    <x v="0"/>
    <n v="5100"/>
    <n v="0"/>
    <n v="0"/>
    <n v="0"/>
    <n v="0"/>
    <n v="0"/>
    <n v="0"/>
    <n v="0"/>
    <n v="0"/>
    <n v="0"/>
    <n v="0"/>
    <n v="0"/>
    <n v="18940.22"/>
    <n v="18940.22"/>
    <n v="-25816.69"/>
  </r>
  <r>
    <x v="0"/>
    <x v="22"/>
    <x v="0"/>
    <s v="9000931"/>
    <n v="749510"/>
    <s v="Other Clinic IT Costs"/>
    <s v="Eliminations-PE @ SJ"/>
    <x v="0"/>
    <n v="5105"/>
    <n v="0"/>
    <n v="0"/>
    <n v="0"/>
    <n v="0"/>
    <n v="0"/>
    <n v="0"/>
    <n v="0"/>
    <n v="0"/>
    <n v="0"/>
    <n v="0"/>
    <n v="0"/>
    <n v="25816.69"/>
    <n v="25816.69"/>
    <n v="-49512.639999999999"/>
  </r>
  <r>
    <x v="0"/>
    <x v="22"/>
    <x v="0"/>
    <s v="9000931"/>
    <n v="749512"/>
    <s v="Licenses-Physician"/>
    <s v="Eliminations-PE @ SJ"/>
    <x v="0"/>
    <n v="2000"/>
    <n v="0"/>
    <n v="0"/>
    <n v="0"/>
    <n v="0"/>
    <n v="0"/>
    <n v="0"/>
    <n v="0"/>
    <n v="0"/>
    <n v="0"/>
    <n v="0"/>
    <n v="0"/>
    <n v="49512.639999999999"/>
    <n v="49512.639999999999"/>
    <n v="-25949.47"/>
  </r>
  <r>
    <x v="0"/>
    <x v="22"/>
    <x v="0"/>
    <s v="9000931"/>
    <n v="749513"/>
    <s v="Licenses-Advanced Practice Clinician"/>
    <s v="Eliminations-PE @ SJ"/>
    <x v="0"/>
    <n v="2000"/>
    <n v="0"/>
    <n v="0"/>
    <n v="0"/>
    <n v="0"/>
    <n v="0"/>
    <n v="0"/>
    <n v="0"/>
    <n v="0"/>
    <n v="0"/>
    <n v="0"/>
    <n v="0"/>
    <n v="25949.47"/>
    <n v="25949.47"/>
    <n v="-443750"/>
  </r>
  <r>
    <x v="0"/>
    <x v="22"/>
    <x v="0"/>
    <s v="9000931"/>
    <n v="749525"/>
    <s v="Contingent Liability Expense"/>
    <s v="Eliminations-PE @ SJ"/>
    <x v="0"/>
    <m/>
    <n v="0"/>
    <n v="0"/>
    <n v="0"/>
    <n v="0"/>
    <n v="0"/>
    <n v="0"/>
    <n v="0"/>
    <n v="0"/>
    <n v="0"/>
    <n v="0"/>
    <n v="0"/>
    <n v="443750"/>
    <n v="443750"/>
    <n v="-66591.64"/>
  </r>
  <r>
    <x v="0"/>
    <x v="22"/>
    <x v="0"/>
    <s v="9000931"/>
    <n v="749530"/>
    <s v="Travel"/>
    <s v="Eliminations-PE @ SJ"/>
    <x v="0"/>
    <m/>
    <n v="0"/>
    <n v="0"/>
    <n v="0"/>
    <n v="0"/>
    <n v="0"/>
    <n v="0"/>
    <n v="0"/>
    <n v="0"/>
    <n v="0"/>
    <n v="0"/>
    <n v="0"/>
    <n v="66591.64"/>
    <n v="66591.64"/>
    <n v="-47206.51"/>
  </r>
  <r>
    <x v="0"/>
    <x v="22"/>
    <x v="0"/>
    <s v="9000931"/>
    <n v="749530"/>
    <s v="Mileage"/>
    <s v="Eliminations-PE @ SJ"/>
    <x v="0"/>
    <n v="1001"/>
    <n v="0"/>
    <n v="0"/>
    <n v="0"/>
    <n v="0"/>
    <n v="0"/>
    <n v="0"/>
    <n v="0"/>
    <n v="0"/>
    <n v="0"/>
    <n v="0"/>
    <n v="0"/>
    <n v="47206.51"/>
    <n v="47206.51"/>
    <n v="-97278.34"/>
  </r>
  <r>
    <x v="0"/>
    <x v="22"/>
    <x v="0"/>
    <s v="9000931"/>
    <n v="749532"/>
    <s v="Travel-Physician"/>
    <s v="Eliminations-PE @ SJ"/>
    <x v="0"/>
    <m/>
    <n v="0"/>
    <n v="0"/>
    <n v="0"/>
    <n v="0"/>
    <n v="0"/>
    <n v="0"/>
    <n v="0"/>
    <n v="0"/>
    <n v="0"/>
    <n v="0"/>
    <n v="0"/>
    <n v="97278.34"/>
    <n v="97278.34"/>
    <n v="-1386.93"/>
  </r>
  <r>
    <x v="0"/>
    <x v="22"/>
    <x v="0"/>
    <s v="9000931"/>
    <n v="749532"/>
    <s v="Business Meals-Physician"/>
    <s v="Eliminations-PE @ SJ"/>
    <x v="0"/>
    <n v="2000"/>
    <n v="0"/>
    <n v="0"/>
    <n v="0"/>
    <n v="0"/>
    <n v="0"/>
    <n v="0"/>
    <n v="0"/>
    <n v="0"/>
    <n v="0"/>
    <n v="0"/>
    <n v="0"/>
    <n v="1386.93"/>
    <n v="1386.93"/>
    <n v="-20152.66"/>
  </r>
  <r>
    <x v="0"/>
    <x v="22"/>
    <x v="0"/>
    <s v="9000931"/>
    <n v="749532"/>
    <s v="Vehicle Expense-Physician"/>
    <s v="Eliminations-PE @ SJ"/>
    <x v="0"/>
    <n v="2001"/>
    <n v="0"/>
    <n v="0"/>
    <n v="0"/>
    <n v="0"/>
    <n v="0"/>
    <n v="0"/>
    <n v="0"/>
    <n v="0"/>
    <n v="0"/>
    <n v="0"/>
    <n v="0"/>
    <n v="20152.66"/>
    <n v="20152.66"/>
    <n v="-61635.22"/>
  </r>
  <r>
    <x v="0"/>
    <x v="22"/>
    <x v="0"/>
    <s v="9000931"/>
    <n v="749533"/>
    <s v="Travel-Advanced Practice Clinician"/>
    <s v="Eliminations-PE @ SJ"/>
    <x v="0"/>
    <m/>
    <n v="0"/>
    <n v="0"/>
    <n v="0"/>
    <n v="0"/>
    <n v="0"/>
    <n v="0"/>
    <n v="0"/>
    <n v="0"/>
    <n v="0"/>
    <n v="0"/>
    <n v="0"/>
    <n v="61635.22"/>
    <n v="61635.22"/>
    <n v="-4.24"/>
  </r>
  <r>
    <x v="0"/>
    <x v="22"/>
    <x v="0"/>
    <s v="9000931"/>
    <n v="749533"/>
    <s v="Business Meals-Advanced Practice Clinician"/>
    <s v="Eliminations-PE @ SJ"/>
    <x v="0"/>
    <n v="2000"/>
    <n v="0"/>
    <n v="0"/>
    <n v="0"/>
    <n v="0"/>
    <n v="0"/>
    <n v="0"/>
    <n v="0"/>
    <n v="0"/>
    <n v="0"/>
    <n v="0"/>
    <n v="0"/>
    <n v="4.24"/>
    <n v="4.24"/>
    <n v="-5577.59"/>
  </r>
  <r>
    <x v="0"/>
    <x v="22"/>
    <x v="0"/>
    <s v="9000931"/>
    <n v="749533"/>
    <s v="Vehicle Expense-Advanced Practice Clinician"/>
    <s v="Eliminations-PE @ SJ"/>
    <x v="0"/>
    <n v="2001"/>
    <n v="0"/>
    <n v="0"/>
    <n v="0"/>
    <n v="0"/>
    <n v="0"/>
    <n v="0"/>
    <n v="0"/>
    <n v="0"/>
    <n v="0"/>
    <n v="0"/>
    <n v="0"/>
    <n v="5577.59"/>
    <n v="5577.59"/>
    <n v="-32563.78"/>
  </r>
  <r>
    <x v="0"/>
    <x v="22"/>
    <x v="0"/>
    <s v="9000931"/>
    <n v="749535"/>
    <s v="Meetings"/>
    <s v="Eliminations-PE @ SJ"/>
    <x v="0"/>
    <m/>
    <n v="0"/>
    <n v="0"/>
    <n v="0"/>
    <n v="0"/>
    <n v="0"/>
    <n v="0"/>
    <n v="0"/>
    <n v="0"/>
    <n v="0"/>
    <n v="0"/>
    <n v="0"/>
    <n v="32563.78"/>
    <n v="32563.78"/>
    <n v="-600.80999999999995"/>
  </r>
  <r>
    <x v="0"/>
    <x v="22"/>
    <x v="0"/>
    <s v="9000931"/>
    <n v="749535"/>
    <s v="Medicare Non-Allowable Beverages"/>
    <s v="Eliminations-PE @ SJ"/>
    <x v="0"/>
    <n v="1005"/>
    <n v="0"/>
    <n v="0"/>
    <n v="0"/>
    <n v="0"/>
    <n v="0"/>
    <n v="0"/>
    <n v="0"/>
    <n v="0"/>
    <n v="0"/>
    <n v="0"/>
    <n v="0"/>
    <n v="600.80999999999995"/>
    <n v="600.80999999999995"/>
    <n v="-203.3"/>
  </r>
  <r>
    <x v="0"/>
    <x v="22"/>
    <x v="0"/>
    <s v="9000931"/>
    <n v="749535"/>
    <s v="Medicare Non-Allowable Other"/>
    <s v="Eliminations-PE @ SJ"/>
    <x v="0"/>
    <n v="1012"/>
    <n v="0"/>
    <n v="0"/>
    <n v="0"/>
    <n v="0"/>
    <n v="0"/>
    <n v="0"/>
    <n v="0"/>
    <n v="0"/>
    <n v="0"/>
    <n v="0"/>
    <n v="0"/>
    <n v="203.3"/>
    <n v="203.3"/>
    <n v="-13.59"/>
  </r>
  <r>
    <x v="0"/>
    <x v="22"/>
    <x v="0"/>
    <s v="9000931"/>
    <n v="749550"/>
    <s v="Cash Over/Short"/>
    <s v="Eliminations-PE @ SJ"/>
    <x v="0"/>
    <m/>
    <n v="0"/>
    <n v="0"/>
    <n v="0"/>
    <n v="0"/>
    <n v="0"/>
    <n v="0"/>
    <n v="0"/>
    <n v="0"/>
    <n v="0"/>
    <n v="0"/>
    <n v="0"/>
    <n v="13.59"/>
    <n v="13.59"/>
    <n v="-16879.63"/>
  </r>
  <r>
    <x v="0"/>
    <x v="22"/>
    <x v="0"/>
    <s v="9000931"/>
    <n v="749591"/>
    <s v="Other Expense-Intracompany Allocation"/>
    <s v="Eliminations-PE @ SJ"/>
    <x v="0"/>
    <m/>
    <n v="0"/>
    <n v="0"/>
    <n v="0"/>
    <n v="0"/>
    <n v="0"/>
    <n v="0"/>
    <n v="0"/>
    <n v="0"/>
    <n v="0"/>
    <n v="0"/>
    <n v="0"/>
    <n v="16879.63"/>
    <n v="16879.63"/>
    <n v="-78953.759999999995"/>
  </r>
  <r>
    <x v="24"/>
    <x v="22"/>
    <x v="0"/>
    <s v="9000931"/>
    <n v="760030"/>
    <s v="Interest Expense-Ext to CHI Programs"/>
    <s v="Eliminations-PE @ SJ"/>
    <x v="0"/>
    <m/>
    <n v="0"/>
    <n v="0"/>
    <n v="0"/>
    <n v="0"/>
    <n v="0"/>
    <n v="0"/>
    <n v="0"/>
    <n v="0"/>
    <n v="0"/>
    <n v="0"/>
    <n v="0"/>
    <n v="78953.759999999995"/>
    <n v="78953.759999999995"/>
    <n v="-124079.34"/>
  </r>
  <r>
    <x v="0"/>
    <x v="22"/>
    <x v="0"/>
    <s v="9000931"/>
    <n v="765050"/>
    <s v="Local Income Tax"/>
    <s v="Eliminations-PE @ SJ"/>
    <x v="0"/>
    <m/>
    <n v="0"/>
    <n v="0"/>
    <n v="0"/>
    <n v="0"/>
    <n v="0"/>
    <n v="0"/>
    <n v="0"/>
    <n v="0"/>
    <n v="0"/>
    <n v="0"/>
    <n v="0"/>
    <n v="124079.34"/>
    <n v="124079.34"/>
    <n v="-111084.39"/>
  </r>
  <r>
    <x v="0"/>
    <x v="22"/>
    <x v="0"/>
    <s v="9000931"/>
    <n v="766010"/>
    <s v="Property Tax"/>
    <s v="Eliminations-PE @ SJ"/>
    <x v="0"/>
    <m/>
    <n v="0"/>
    <n v="0"/>
    <n v="0"/>
    <n v="0"/>
    <n v="0"/>
    <n v="0"/>
    <n v="0"/>
    <n v="0"/>
    <n v="0"/>
    <n v="0"/>
    <n v="0"/>
    <n v="111084.39"/>
    <n v="111084.39"/>
    <n v="-4649.58"/>
  </r>
  <r>
    <x v="0"/>
    <x v="22"/>
    <x v="0"/>
    <s v="9000931"/>
    <n v="766070"/>
    <s v="Sales and Use Tax"/>
    <s v="Eliminations-PE @ SJ"/>
    <x v="0"/>
    <m/>
    <n v="0"/>
    <n v="0"/>
    <n v="0"/>
    <n v="0"/>
    <n v="0"/>
    <n v="0"/>
    <n v="0"/>
    <n v="0"/>
    <n v="0"/>
    <n v="0"/>
    <n v="0"/>
    <n v="4649.58"/>
    <n v="4649.58"/>
    <n v="-999722.28"/>
  </r>
  <r>
    <x v="0"/>
    <x v="22"/>
    <x v="0"/>
    <s v="9000931"/>
    <n v="766090"/>
    <s v="Franchise and Excise Tax"/>
    <s v="Eliminations-PE @ SJ"/>
    <x v="0"/>
    <n v="1001"/>
    <n v="0"/>
    <n v="0"/>
    <n v="0"/>
    <n v="0"/>
    <n v="0"/>
    <n v="0"/>
    <n v="0"/>
    <n v="0"/>
    <n v="0"/>
    <n v="0"/>
    <n v="0"/>
    <n v="999722.28"/>
    <n v="999722.28"/>
    <n v="-359784.05"/>
  </r>
  <r>
    <x v="25"/>
    <x v="22"/>
    <x v="0"/>
    <s v="9000931"/>
    <n v="770020"/>
    <s v="Severance Costs"/>
    <s v="Eliminations-PE @ SJ"/>
    <x v="0"/>
    <m/>
    <n v="0"/>
    <n v="0"/>
    <n v="0"/>
    <n v="0"/>
    <n v="0"/>
    <n v="0"/>
    <n v="0"/>
    <n v="0"/>
    <n v="0"/>
    <n v="0"/>
    <n v="0"/>
    <n v="359784.05"/>
    <n v="359784.05"/>
    <n v="110.22"/>
  </r>
  <r>
    <x v="9"/>
    <x v="22"/>
    <x v="0"/>
    <s v="9000931"/>
    <n v="800010"/>
    <s v="Interest Income-CHI Cash Mgmt Program"/>
    <s v="Eliminations-PE @ SJ"/>
    <x v="0"/>
    <n v="1000"/>
    <n v="0"/>
    <n v="0"/>
    <n v="0"/>
    <n v="0"/>
    <n v="0"/>
    <n v="0"/>
    <n v="0"/>
    <n v="0"/>
    <n v="0"/>
    <n v="0"/>
    <n v="0"/>
    <n v="-110.22"/>
    <n v="-110.22"/>
    <n v="23232.69"/>
  </r>
  <r>
    <x v="9"/>
    <x v="22"/>
    <x v="0"/>
    <s v="9000931"/>
    <n v="800015"/>
    <s v="Interest Income-Ext to CHI"/>
    <s v="Eliminations-PE @ SJ"/>
    <x v="0"/>
    <m/>
    <n v="0"/>
    <n v="0"/>
    <n v="0"/>
    <n v="0"/>
    <n v="0"/>
    <n v="0"/>
    <n v="0"/>
    <n v="0"/>
    <n v="0"/>
    <n v="0"/>
    <n v="0"/>
    <n v="-23232.69"/>
    <n v="-23232.69"/>
    <n v="776849.18"/>
  </r>
  <r>
    <x v="9"/>
    <x v="22"/>
    <x v="0"/>
    <s v="9000931"/>
    <n v="804050"/>
    <s v="Business Combination Gains-Nonoperating"/>
    <s v="Eliminations-PE @ SJ"/>
    <x v="0"/>
    <m/>
    <n v="0"/>
    <n v="0"/>
    <n v="0"/>
    <n v="0"/>
    <n v="0"/>
    <n v="0"/>
    <n v="0"/>
    <n v="0"/>
    <n v="0"/>
    <n v="0"/>
    <n v="0"/>
    <n v="971886.54"/>
    <n v="971886.54"/>
    <n v="558059.37"/>
  </r>
  <r>
    <x v="1"/>
    <x v="23"/>
    <x v="0"/>
    <s v="9000932"/>
    <n v="400029"/>
    <s v="MD Practice Other Rev--Medicare"/>
    <s v="Eliminations-PE @ SF"/>
    <x v="0"/>
    <n v="1100"/>
    <n v="0"/>
    <n v="0"/>
    <n v="0"/>
    <n v="0"/>
    <n v="0"/>
    <n v="0"/>
    <n v="0"/>
    <n v="0"/>
    <n v="0"/>
    <n v="0"/>
    <n v="0"/>
    <n v="-776849.18"/>
    <n v="-776849.18"/>
    <n v="46735.58"/>
  </r>
  <r>
    <x v="1"/>
    <x v="23"/>
    <x v="0"/>
    <s v="9000932"/>
    <n v="400029"/>
    <s v="MD Practice Other Rev--Medicaid"/>
    <s v="Eliminations-PE @ SF"/>
    <x v="0"/>
    <n v="1200"/>
    <n v="0"/>
    <n v="0"/>
    <n v="0"/>
    <n v="0"/>
    <n v="0"/>
    <n v="0"/>
    <n v="0"/>
    <n v="0"/>
    <n v="0"/>
    <n v="0"/>
    <n v="0"/>
    <n v="-558059.37"/>
    <n v="-558059.37"/>
    <n v="184404.67"/>
  </r>
  <r>
    <x v="1"/>
    <x v="23"/>
    <x v="0"/>
    <s v="9000932"/>
    <n v="400029"/>
    <s v="MD Practice Other Rev--Comm Insurance"/>
    <s v="Eliminations-PE @ SF"/>
    <x v="0"/>
    <n v="1300"/>
    <n v="0"/>
    <n v="0"/>
    <n v="0"/>
    <n v="0"/>
    <n v="0"/>
    <n v="0"/>
    <n v="0"/>
    <n v="0"/>
    <n v="0"/>
    <n v="0"/>
    <n v="0"/>
    <n v="-46735.58"/>
    <n v="-46735.58"/>
    <n v="603422.69999999995"/>
  </r>
  <r>
    <x v="1"/>
    <x v="23"/>
    <x v="0"/>
    <s v="9000932"/>
    <n v="400029"/>
    <s v="MD Practice Other Rev--BCBS Comm"/>
    <s v="Eliminations-PE @ SF"/>
    <x v="0"/>
    <n v="1301"/>
    <n v="0"/>
    <n v="0"/>
    <n v="0"/>
    <n v="0"/>
    <n v="0"/>
    <n v="0"/>
    <n v="0"/>
    <n v="0"/>
    <n v="0"/>
    <n v="0"/>
    <n v="0"/>
    <n v="-184404.67"/>
    <n v="-184404.67"/>
    <n v="41158.31"/>
  </r>
  <r>
    <x v="1"/>
    <x v="23"/>
    <x v="0"/>
    <s v="9000932"/>
    <n v="400029"/>
    <s v="MD Practice Other Rev--Managed Care"/>
    <s v="Eliminations-PE @ SF"/>
    <x v="0"/>
    <n v="1400"/>
    <n v="0"/>
    <n v="0"/>
    <n v="0"/>
    <n v="0"/>
    <n v="0"/>
    <n v="0"/>
    <n v="0"/>
    <n v="0"/>
    <n v="0"/>
    <n v="0"/>
    <n v="0"/>
    <n v="-603422.69999999995"/>
    <n v="-603422.69999999995"/>
    <n v="40336.35"/>
  </r>
  <r>
    <x v="1"/>
    <x v="23"/>
    <x v="0"/>
    <s v="9000932"/>
    <n v="400029"/>
    <s v="MD Practice Other Rev--Self Pay"/>
    <s v="Eliminations-PE @ SF"/>
    <x v="0"/>
    <n v="1500"/>
    <n v="0"/>
    <n v="0"/>
    <n v="0"/>
    <n v="0"/>
    <n v="0"/>
    <n v="0"/>
    <n v="0"/>
    <n v="0"/>
    <n v="0"/>
    <n v="0"/>
    <n v="0"/>
    <n v="-41158.31"/>
    <n v="-41158.31"/>
    <n v="31260984.510000002"/>
  </r>
  <r>
    <x v="1"/>
    <x v="23"/>
    <x v="0"/>
    <s v="9000932"/>
    <n v="400029"/>
    <s v="MD Practice Other Rev--Other"/>
    <s v="Eliminations-PE @ SF"/>
    <x v="0"/>
    <n v="1700"/>
    <n v="0"/>
    <n v="0"/>
    <n v="0"/>
    <n v="0"/>
    <n v="0"/>
    <n v="0"/>
    <n v="0"/>
    <n v="0"/>
    <n v="0"/>
    <n v="0"/>
    <n v="0"/>
    <n v="-40336.35"/>
    <n v="-40336.35"/>
    <n v="20250390.239999998"/>
  </r>
  <r>
    <x v="1"/>
    <x v="23"/>
    <x v="0"/>
    <s v="9000932"/>
    <n v="400040"/>
    <s v="Physician Svcs Rev--Medicare"/>
    <s v="Eliminations-PE @ SF"/>
    <x v="0"/>
    <n v="1100"/>
    <n v="0"/>
    <n v="0"/>
    <n v="0"/>
    <n v="0"/>
    <n v="0"/>
    <n v="0"/>
    <n v="0"/>
    <n v="0"/>
    <n v="0"/>
    <n v="0"/>
    <n v="0"/>
    <n v="-31260984.510000002"/>
    <n v="-31260984.510000002"/>
    <n v="2150944.48"/>
  </r>
  <r>
    <x v="1"/>
    <x v="23"/>
    <x v="0"/>
    <s v="9000932"/>
    <n v="400040"/>
    <s v="Physician Svcs Rev--Medicaid"/>
    <s v="Eliminations-PE @ SF"/>
    <x v="0"/>
    <n v="1200"/>
    <n v="0"/>
    <n v="0"/>
    <n v="0"/>
    <n v="0"/>
    <n v="0"/>
    <n v="0"/>
    <n v="0"/>
    <n v="0"/>
    <n v="0"/>
    <n v="0"/>
    <n v="0"/>
    <n v="-20250390.239999998"/>
    <n v="-20250390.239999998"/>
    <n v="7079963.8600000003"/>
  </r>
  <r>
    <x v="1"/>
    <x v="23"/>
    <x v="0"/>
    <s v="9000932"/>
    <n v="400040"/>
    <s v="Physician Svcs Rev--Comm Insurance"/>
    <s v="Eliminations-PE @ SF"/>
    <x v="0"/>
    <n v="1300"/>
    <n v="0"/>
    <n v="0"/>
    <n v="0"/>
    <n v="0"/>
    <n v="0"/>
    <n v="0"/>
    <n v="0"/>
    <n v="0"/>
    <n v="0"/>
    <n v="0"/>
    <n v="0"/>
    <n v="-2150944.48"/>
    <n v="-2150944.48"/>
    <n v="24865191.390000001"/>
  </r>
  <r>
    <x v="1"/>
    <x v="23"/>
    <x v="0"/>
    <s v="9000932"/>
    <n v="400040"/>
    <s v="Physician Svcs Rev--BCBS Comm"/>
    <s v="Eliminations-PE @ SF"/>
    <x v="0"/>
    <n v="1301"/>
    <n v="0"/>
    <n v="0"/>
    <n v="0"/>
    <n v="0"/>
    <n v="0"/>
    <n v="0"/>
    <n v="0"/>
    <n v="0"/>
    <n v="0"/>
    <n v="0"/>
    <n v="0"/>
    <n v="-7079963.8600000003"/>
    <n v="-7079963.8600000003"/>
    <n v="1530748.93"/>
  </r>
  <r>
    <x v="1"/>
    <x v="23"/>
    <x v="0"/>
    <s v="9000932"/>
    <n v="400040"/>
    <s v="Physician Svcs Rev--Managed Care"/>
    <s v="Eliminations-PE @ SF"/>
    <x v="0"/>
    <n v="1400"/>
    <n v="0"/>
    <n v="0"/>
    <n v="0"/>
    <n v="0"/>
    <n v="0"/>
    <n v="0"/>
    <n v="0"/>
    <n v="0"/>
    <n v="0"/>
    <n v="0"/>
    <n v="0"/>
    <n v="-24865191.390000001"/>
    <n v="-24865191.390000001"/>
    <n v="2755456.38"/>
  </r>
  <r>
    <x v="1"/>
    <x v="23"/>
    <x v="0"/>
    <s v="9000932"/>
    <n v="400040"/>
    <s v="Physician Svcs Rev--Self Pay"/>
    <s v="Eliminations-PE @ SF"/>
    <x v="0"/>
    <n v="1500"/>
    <n v="0"/>
    <n v="0"/>
    <n v="0"/>
    <n v="0"/>
    <n v="0"/>
    <n v="0"/>
    <n v="0"/>
    <n v="0"/>
    <n v="0"/>
    <n v="0"/>
    <n v="0"/>
    <n v="-1530748.93"/>
    <n v="-1530748.93"/>
    <n v="-472312.16"/>
  </r>
  <r>
    <x v="1"/>
    <x v="23"/>
    <x v="0"/>
    <s v="9000932"/>
    <n v="400040"/>
    <s v="Physician Svcs Rev--Other"/>
    <s v="Eliminations-PE @ SF"/>
    <x v="0"/>
    <n v="1700"/>
    <n v="0"/>
    <n v="0"/>
    <n v="0"/>
    <n v="0"/>
    <n v="0"/>
    <n v="0"/>
    <n v="0"/>
    <n v="0"/>
    <n v="0"/>
    <n v="0"/>
    <n v="0"/>
    <n v="-2755456.38"/>
    <n v="-2755456.38"/>
    <n v="-412375.56"/>
  </r>
  <r>
    <x v="2"/>
    <x v="23"/>
    <x v="0"/>
    <s v="9000932"/>
    <n v="450029"/>
    <s v="Contr Allow--MD Other-Medicare"/>
    <s v="Eliminations-PE @ SF"/>
    <x v="0"/>
    <n v="1100"/>
    <n v="0"/>
    <n v="0"/>
    <n v="0"/>
    <n v="0"/>
    <n v="0"/>
    <n v="0"/>
    <n v="0"/>
    <n v="0"/>
    <n v="0"/>
    <n v="0"/>
    <n v="0"/>
    <n v="472312.16"/>
    <n v="472312.16"/>
    <n v="-15048.28"/>
  </r>
  <r>
    <x v="2"/>
    <x v="23"/>
    <x v="0"/>
    <s v="9000932"/>
    <n v="450029"/>
    <s v="Contr Allow--MD Other-Medicaid"/>
    <s v="Eliminations-PE @ SF"/>
    <x v="0"/>
    <n v="1200"/>
    <n v="0"/>
    <n v="0"/>
    <n v="0"/>
    <n v="0"/>
    <n v="0"/>
    <n v="0"/>
    <n v="0"/>
    <n v="0"/>
    <n v="0"/>
    <n v="0"/>
    <n v="0"/>
    <n v="412375.56"/>
    <n v="412375.56"/>
    <n v="-61293.75"/>
  </r>
  <r>
    <x v="2"/>
    <x v="23"/>
    <x v="0"/>
    <s v="9000932"/>
    <n v="450029"/>
    <s v="Contr Allow--MD Other-Comm Insurance"/>
    <s v="Eliminations-PE @ SF"/>
    <x v="0"/>
    <n v="1300"/>
    <n v="0"/>
    <n v="0"/>
    <n v="0"/>
    <n v="0"/>
    <n v="0"/>
    <n v="0"/>
    <n v="0"/>
    <n v="0"/>
    <n v="0"/>
    <n v="0"/>
    <n v="0"/>
    <n v="15048.28"/>
    <n v="15048.28"/>
    <n v="-237827.54"/>
  </r>
  <r>
    <x v="2"/>
    <x v="23"/>
    <x v="0"/>
    <s v="9000932"/>
    <n v="450029"/>
    <s v="Contr Allow--MD Other BCBS Comm"/>
    <s v="Eliminations-PE @ SF"/>
    <x v="0"/>
    <n v="1301"/>
    <n v="0"/>
    <n v="0"/>
    <n v="0"/>
    <n v="0"/>
    <n v="0"/>
    <n v="0"/>
    <n v="0"/>
    <n v="0"/>
    <n v="0"/>
    <n v="0"/>
    <n v="0"/>
    <n v="61293.75"/>
    <n v="61293.75"/>
    <n v="-33.39"/>
  </r>
  <r>
    <x v="2"/>
    <x v="23"/>
    <x v="0"/>
    <s v="9000932"/>
    <n v="450029"/>
    <s v="Contr Allow--MD Other-Managed Care"/>
    <s v="Eliminations-PE @ SF"/>
    <x v="0"/>
    <n v="1400"/>
    <n v="0"/>
    <n v="0"/>
    <n v="0"/>
    <n v="0"/>
    <n v="0"/>
    <n v="0"/>
    <n v="0"/>
    <n v="0"/>
    <n v="0"/>
    <n v="0"/>
    <n v="0"/>
    <n v="237827.54"/>
    <n v="237827.54"/>
    <n v="-24678.54"/>
  </r>
  <r>
    <x v="2"/>
    <x v="23"/>
    <x v="0"/>
    <s v="9000932"/>
    <n v="450029"/>
    <s v="Prompt Pay Disc-MD Other-Self Pay"/>
    <s v="Eliminations-PE @ SF"/>
    <x v="0"/>
    <n v="1500"/>
    <n v="0"/>
    <n v="0"/>
    <n v="0"/>
    <n v="0"/>
    <n v="0"/>
    <n v="0"/>
    <n v="0"/>
    <n v="0"/>
    <n v="0"/>
    <n v="0"/>
    <n v="0"/>
    <n v="33.39"/>
    <n v="33.39"/>
    <n v="-23728.82"/>
  </r>
  <r>
    <x v="2"/>
    <x v="23"/>
    <x v="0"/>
    <s v="9000932"/>
    <n v="450029"/>
    <s v="Admin Adjust-MD Other-Self Pay"/>
    <s v="Eliminations-PE @ SF"/>
    <x v="0"/>
    <n v="1600"/>
    <n v="0"/>
    <n v="0"/>
    <n v="0"/>
    <n v="0"/>
    <n v="0"/>
    <n v="0"/>
    <n v="0"/>
    <n v="0"/>
    <n v="0"/>
    <n v="0"/>
    <n v="0"/>
    <n v="24678.54"/>
    <n v="24678.54"/>
    <n v="-20122673.68"/>
  </r>
  <r>
    <x v="2"/>
    <x v="23"/>
    <x v="0"/>
    <s v="9000932"/>
    <n v="450029"/>
    <s v="Contr Allow--MD Other-Other"/>
    <s v="Eliminations-PE @ SF"/>
    <x v="0"/>
    <n v="1700"/>
    <n v="0"/>
    <n v="0"/>
    <n v="0"/>
    <n v="0"/>
    <n v="0"/>
    <n v="0"/>
    <n v="0"/>
    <n v="0"/>
    <n v="0"/>
    <n v="0"/>
    <n v="0"/>
    <n v="23728.82"/>
    <n v="23728.82"/>
    <n v="-14596271.199999999"/>
  </r>
  <r>
    <x v="2"/>
    <x v="23"/>
    <x v="0"/>
    <s v="9000932"/>
    <n v="450040"/>
    <s v="Contr Allow--Phys Svcs--Mcare"/>
    <s v="Eliminations-PE @ SF"/>
    <x v="0"/>
    <n v="1100"/>
    <n v="0"/>
    <n v="0"/>
    <n v="0"/>
    <n v="0"/>
    <n v="0"/>
    <n v="0"/>
    <n v="0"/>
    <n v="0"/>
    <n v="0"/>
    <n v="0"/>
    <n v="0"/>
    <n v="20122673.68"/>
    <n v="20122673.68"/>
    <n v="-723935.32"/>
  </r>
  <r>
    <x v="2"/>
    <x v="23"/>
    <x v="0"/>
    <s v="9000932"/>
    <n v="450040"/>
    <s v="Contr Allow--Phys Svcs--Mcaid"/>
    <s v="Eliminations-PE @ SF"/>
    <x v="0"/>
    <n v="1200"/>
    <n v="0"/>
    <n v="0"/>
    <n v="0"/>
    <n v="0"/>
    <n v="0"/>
    <n v="0"/>
    <n v="0"/>
    <n v="0"/>
    <n v="0"/>
    <n v="0"/>
    <n v="0"/>
    <n v="14596271.199999999"/>
    <n v="14596271.199999999"/>
    <n v="-2604586.7000000002"/>
  </r>
  <r>
    <x v="2"/>
    <x v="23"/>
    <x v="0"/>
    <s v="9000932"/>
    <n v="450040"/>
    <s v="Contr Allow--Phys Svcs--Comm Insurance"/>
    <s v="Eliminations-PE @ SF"/>
    <x v="0"/>
    <n v="1300"/>
    <n v="0"/>
    <n v="0"/>
    <n v="0"/>
    <n v="0"/>
    <n v="0"/>
    <n v="0"/>
    <n v="0"/>
    <n v="0"/>
    <n v="0"/>
    <n v="0"/>
    <n v="0"/>
    <n v="723935.32"/>
    <n v="723935.32"/>
    <n v="-10364360.66"/>
  </r>
  <r>
    <x v="2"/>
    <x v="23"/>
    <x v="0"/>
    <s v="9000932"/>
    <n v="450040"/>
    <s v="Contr Allow--Phys Svcs--BCBS Comm Ins"/>
    <s v="Eliminations-PE @ SF"/>
    <x v="0"/>
    <n v="1301"/>
    <n v="0"/>
    <n v="0"/>
    <n v="0"/>
    <n v="0"/>
    <n v="0"/>
    <n v="0"/>
    <n v="0"/>
    <n v="0"/>
    <n v="0"/>
    <n v="0"/>
    <n v="0"/>
    <n v="2604586.7000000002"/>
    <n v="2604586.7000000002"/>
    <n v="398148.87"/>
  </r>
  <r>
    <x v="2"/>
    <x v="23"/>
    <x v="0"/>
    <s v="9000932"/>
    <n v="450040"/>
    <s v="Contr Allow--Phys Svcs--Managed Care"/>
    <s v="Eliminations-PE @ SF"/>
    <x v="0"/>
    <n v="1400"/>
    <n v="0"/>
    <n v="0"/>
    <n v="0"/>
    <n v="0"/>
    <n v="0"/>
    <n v="0"/>
    <n v="0"/>
    <n v="0"/>
    <n v="0"/>
    <n v="0"/>
    <n v="0"/>
    <n v="10364360.66"/>
    <n v="10364360.66"/>
    <n v="17880.04"/>
  </r>
  <r>
    <x v="2"/>
    <x v="23"/>
    <x v="0"/>
    <s v="9000932"/>
    <n v="450040"/>
    <s v="Contr Allow--Phys Svcs--BCBS Mgnd Care"/>
    <s v="Eliminations-PE @ SF"/>
    <x v="0"/>
    <n v="1401"/>
    <n v="0"/>
    <n v="0"/>
    <n v="0"/>
    <n v="0"/>
    <n v="0"/>
    <n v="0"/>
    <n v="0"/>
    <n v="0"/>
    <n v="0"/>
    <n v="0"/>
    <n v="0"/>
    <n v="-398148.87"/>
    <n v="-398148.87"/>
    <n v="-1233928.07"/>
  </r>
  <r>
    <x v="2"/>
    <x v="23"/>
    <x v="0"/>
    <s v="9000932"/>
    <n v="450040"/>
    <s v="Prompt Pay Disc-Phys Svcs-Self Pay"/>
    <s v="Eliminations-PE @ SF"/>
    <x v="0"/>
    <n v="1500"/>
    <n v="0"/>
    <n v="0"/>
    <n v="0"/>
    <n v="0"/>
    <n v="0"/>
    <n v="0"/>
    <n v="0"/>
    <n v="0"/>
    <n v="0"/>
    <n v="0"/>
    <n v="0"/>
    <n v="-17880.04"/>
    <n v="-17880.04"/>
    <n v="-1485058.79"/>
  </r>
  <r>
    <x v="2"/>
    <x v="23"/>
    <x v="0"/>
    <s v="9000932"/>
    <n v="450040"/>
    <s v="Admin Adjust-Phys Svcs-Self Pay"/>
    <s v="Eliminations-PE @ SF"/>
    <x v="0"/>
    <n v="1600"/>
    <n v="0"/>
    <n v="0"/>
    <n v="0"/>
    <n v="0"/>
    <n v="0"/>
    <n v="0"/>
    <n v="0"/>
    <n v="0"/>
    <n v="0"/>
    <n v="0"/>
    <n v="0"/>
    <n v="1233928.07"/>
    <n v="1233928.07"/>
    <n v="-626896.30000000005"/>
  </r>
  <r>
    <x v="2"/>
    <x v="23"/>
    <x v="0"/>
    <s v="9000932"/>
    <n v="450040"/>
    <s v="Contr Allow--Phys Svcs--Other"/>
    <s v="Eliminations-PE @ SF"/>
    <x v="0"/>
    <n v="1700"/>
    <n v="0"/>
    <n v="0"/>
    <n v="0"/>
    <n v="0"/>
    <n v="0"/>
    <n v="0"/>
    <n v="0"/>
    <n v="0"/>
    <n v="0"/>
    <n v="0"/>
    <n v="0"/>
    <n v="1485058.79"/>
    <n v="1485058.79"/>
    <n v="-712354.7"/>
  </r>
  <r>
    <x v="3"/>
    <x v="23"/>
    <x v="0"/>
    <s v="9000932"/>
    <n v="470040"/>
    <s v="Charity Care-Physician Svcs"/>
    <s v="Eliminations-PE @ SF"/>
    <x v="0"/>
    <m/>
    <n v="0"/>
    <n v="0"/>
    <n v="0"/>
    <n v="0"/>
    <n v="0"/>
    <n v="0"/>
    <n v="0"/>
    <n v="0"/>
    <n v="0"/>
    <n v="0"/>
    <n v="0"/>
    <n v="626896.30000000005"/>
    <n v="626896.30000000005"/>
    <n v="136386.38"/>
  </r>
  <r>
    <x v="4"/>
    <x v="23"/>
    <x v="0"/>
    <s v="9000932"/>
    <n v="490010"/>
    <s v="Provision for Bad Debts"/>
    <s v="Eliminations-PE @ SF"/>
    <x v="0"/>
    <m/>
    <n v="0"/>
    <n v="0"/>
    <n v="0"/>
    <n v="0"/>
    <n v="0"/>
    <n v="0"/>
    <n v="0"/>
    <n v="0"/>
    <n v="0"/>
    <n v="0"/>
    <n v="0"/>
    <n v="712354.7"/>
    <n v="712354.7"/>
    <n v="16108.33"/>
  </r>
  <r>
    <x v="14"/>
    <x v="23"/>
    <x v="0"/>
    <s v="9000932"/>
    <n v="600010"/>
    <s v="Product Sales Income-Taxable"/>
    <s v="Eliminations-PE @ SF"/>
    <x v="0"/>
    <m/>
    <n v="0"/>
    <n v="0"/>
    <n v="0"/>
    <n v="0"/>
    <n v="0"/>
    <n v="0"/>
    <n v="0"/>
    <n v="0"/>
    <n v="0"/>
    <n v="0"/>
    <n v="0"/>
    <n v="-136386.38"/>
    <n v="-136386.38"/>
    <n v="8735.69"/>
  </r>
  <r>
    <x v="14"/>
    <x v="23"/>
    <x v="0"/>
    <s v="9000932"/>
    <n v="600026"/>
    <s v="POB Rental"/>
    <s v="Eliminations-PE @ SF"/>
    <x v="0"/>
    <n v="1001"/>
    <n v="0"/>
    <n v="0"/>
    <n v="0"/>
    <n v="0"/>
    <n v="0"/>
    <n v="0"/>
    <n v="0"/>
    <n v="0"/>
    <n v="0"/>
    <n v="0"/>
    <n v="0"/>
    <n v="-16108.33"/>
    <n v="-16108.33"/>
    <n v="988.61"/>
  </r>
  <r>
    <x v="14"/>
    <x v="23"/>
    <x v="0"/>
    <s v="9000932"/>
    <n v="600026"/>
    <s v="Other Rental"/>
    <s v="Eliminations-PE @ SF"/>
    <x v="0"/>
    <n v="1002"/>
    <n v="0"/>
    <n v="0"/>
    <n v="0"/>
    <n v="0"/>
    <n v="0"/>
    <n v="0"/>
    <n v="0"/>
    <n v="0"/>
    <n v="0"/>
    <n v="0"/>
    <n v="0"/>
    <n v="-8735.69"/>
    <n v="-8735.69"/>
    <n v="1039967.01"/>
  </r>
  <r>
    <x v="14"/>
    <x v="23"/>
    <x v="0"/>
    <s v="9000932"/>
    <n v="600034"/>
    <s v="Vending Commission"/>
    <s v="Eliminations-PE @ SF"/>
    <x v="0"/>
    <n v="1002"/>
    <n v="0"/>
    <n v="0"/>
    <n v="0"/>
    <n v="0"/>
    <n v="0"/>
    <n v="0"/>
    <n v="0"/>
    <n v="0"/>
    <n v="0"/>
    <n v="0"/>
    <n v="0"/>
    <n v="-988.61"/>
    <n v="-988.61"/>
    <n v="18922.099999999999"/>
  </r>
  <r>
    <x v="14"/>
    <x v="23"/>
    <x v="0"/>
    <s v="9000932"/>
    <n v="600050"/>
    <s v="Miscellaneous Revenue"/>
    <s v="Eliminations-PE @ SF"/>
    <x v="0"/>
    <m/>
    <n v="0"/>
    <n v="0"/>
    <n v="0"/>
    <n v="0"/>
    <n v="0"/>
    <n v="0"/>
    <n v="0"/>
    <n v="0"/>
    <n v="0"/>
    <n v="0"/>
    <n v="0"/>
    <n v="-1039967.01"/>
    <n v="-1039967.01"/>
    <n v="52258"/>
  </r>
  <r>
    <x v="14"/>
    <x v="23"/>
    <x v="0"/>
    <s v="9000932"/>
    <n v="600055"/>
    <s v="Grants"/>
    <s v="Eliminations-PE @ SF"/>
    <x v="0"/>
    <m/>
    <n v="0"/>
    <n v="0"/>
    <n v="0"/>
    <n v="0"/>
    <n v="0"/>
    <n v="0"/>
    <n v="0"/>
    <n v="0"/>
    <n v="0"/>
    <n v="0"/>
    <n v="0"/>
    <n v="-18922.099999999999"/>
    <n v="-18922.099999999999"/>
    <n v="206355.78"/>
  </r>
  <r>
    <x v="14"/>
    <x v="23"/>
    <x v="0"/>
    <s v="9000932"/>
    <n v="600059"/>
    <s v="Meaningful Use Revenue-Medicaid"/>
    <s v="Eliminations-PE @ SF"/>
    <x v="0"/>
    <m/>
    <n v="0"/>
    <n v="0"/>
    <n v="0"/>
    <n v="0"/>
    <n v="0"/>
    <n v="0"/>
    <n v="0"/>
    <n v="0"/>
    <n v="0"/>
    <n v="0"/>
    <n v="0"/>
    <n v="-52258"/>
    <n v="-52258"/>
    <n v="37.450000000000003"/>
  </r>
  <r>
    <x v="14"/>
    <x v="23"/>
    <x v="0"/>
    <s v="9000932"/>
    <n v="600061"/>
    <s v="Federal Grant Revenue"/>
    <s v="Eliminations-PE @ SF"/>
    <x v="0"/>
    <m/>
    <n v="0"/>
    <n v="0"/>
    <n v="0"/>
    <n v="0"/>
    <n v="0"/>
    <n v="0"/>
    <n v="0"/>
    <n v="0"/>
    <n v="0"/>
    <n v="0"/>
    <n v="0"/>
    <n v="-206355.78"/>
    <n v="-206355.78"/>
    <n v="-1019400.69"/>
  </r>
  <r>
    <x v="20"/>
    <x v="23"/>
    <x v="0"/>
    <s v="9000932"/>
    <n v="610010"/>
    <s v="Foundation Distributions"/>
    <s v="Eliminations-PE @ SF"/>
    <x v="0"/>
    <n v="1175"/>
    <n v="0"/>
    <n v="0"/>
    <n v="0"/>
    <n v="0"/>
    <n v="0"/>
    <n v="0"/>
    <n v="0"/>
    <n v="0"/>
    <n v="0"/>
    <n v="0"/>
    <n v="0"/>
    <n v="-37.450000000000003"/>
    <n v="-37.450000000000003"/>
    <n v="-879.98"/>
  </r>
  <r>
    <x v="5"/>
    <x v="23"/>
    <x v="0"/>
    <s v="9000932"/>
    <n v="700014"/>
    <s v="Salaries-Management-Productive"/>
    <s v="Eliminations-PE @ SF"/>
    <x v="0"/>
    <m/>
    <n v="0"/>
    <n v="0"/>
    <n v="0"/>
    <n v="0"/>
    <n v="0"/>
    <n v="0"/>
    <n v="0"/>
    <n v="0"/>
    <n v="0"/>
    <n v="0"/>
    <n v="0"/>
    <n v="1019400.69"/>
    <n v="1019400.69"/>
    <n v="-515222.78"/>
  </r>
  <r>
    <x v="5"/>
    <x v="23"/>
    <x v="0"/>
    <s v="9000932"/>
    <n v="700014"/>
    <s v="Salaries-Management-Other"/>
    <s v="Eliminations-PE @ SF"/>
    <x v="0"/>
    <n v="2000"/>
    <n v="0"/>
    <n v="0"/>
    <n v="0"/>
    <n v="0"/>
    <n v="0"/>
    <n v="0"/>
    <n v="0"/>
    <n v="0"/>
    <n v="0"/>
    <n v="0"/>
    <n v="0"/>
    <n v="879.98"/>
    <n v="879.98"/>
    <n v="-242.87"/>
  </r>
  <r>
    <x v="5"/>
    <x v="23"/>
    <x v="0"/>
    <s v="9000932"/>
    <n v="700018"/>
    <s v="Salaries-Supervisory-Productive"/>
    <s v="Eliminations-PE @ SF"/>
    <x v="0"/>
    <m/>
    <n v="0"/>
    <n v="0"/>
    <n v="0"/>
    <n v="0"/>
    <n v="0"/>
    <n v="0"/>
    <n v="0"/>
    <n v="0"/>
    <n v="0"/>
    <n v="0"/>
    <n v="0"/>
    <n v="515222.78"/>
    <n v="515222.78"/>
    <n v="-97189.440000000002"/>
  </r>
  <r>
    <x v="5"/>
    <x v="23"/>
    <x v="0"/>
    <s v="9000932"/>
    <n v="700018"/>
    <s v="Salaries-Supervisory-Other"/>
    <s v="Eliminations-PE @ SF"/>
    <x v="0"/>
    <n v="2000"/>
    <n v="0"/>
    <n v="0"/>
    <n v="0"/>
    <n v="0"/>
    <n v="0"/>
    <n v="0"/>
    <n v="0"/>
    <n v="0"/>
    <n v="0"/>
    <n v="0"/>
    <n v="0"/>
    <n v="242.87"/>
    <n v="242.87"/>
    <n v="-143112.47"/>
  </r>
  <r>
    <x v="5"/>
    <x v="23"/>
    <x v="0"/>
    <s v="9000932"/>
    <n v="700020"/>
    <s v="Salaries-Physician Admin-Productive"/>
    <s v="Eliminations-PE @ SF"/>
    <x v="0"/>
    <m/>
    <n v="0"/>
    <n v="0"/>
    <n v="0"/>
    <n v="0"/>
    <n v="0"/>
    <n v="0"/>
    <n v="0"/>
    <n v="0"/>
    <n v="0"/>
    <n v="0"/>
    <n v="0"/>
    <n v="97189.440000000002"/>
    <n v="97189.440000000002"/>
    <n v="-19666961.420000002"/>
  </r>
  <r>
    <x v="5"/>
    <x v="23"/>
    <x v="0"/>
    <s v="9000932"/>
    <n v="700020"/>
    <s v="Salaries-Physician Admin-Other"/>
    <s v="Eliminations-PE @ SF"/>
    <x v="0"/>
    <n v="2000"/>
    <n v="0"/>
    <n v="0"/>
    <n v="0"/>
    <n v="0"/>
    <n v="0"/>
    <n v="0"/>
    <n v="0"/>
    <n v="0"/>
    <n v="0"/>
    <n v="0"/>
    <n v="0"/>
    <n v="143112.47"/>
    <n v="143112.47"/>
    <n v="-533017.34"/>
  </r>
  <r>
    <x v="5"/>
    <x v="23"/>
    <x v="0"/>
    <s v="9000932"/>
    <n v="700022"/>
    <s v="Salaries-Physician-Productive"/>
    <s v="Eliminations-PE @ SF"/>
    <x v="0"/>
    <m/>
    <n v="0"/>
    <n v="0"/>
    <n v="0"/>
    <n v="0"/>
    <n v="0"/>
    <n v="0"/>
    <n v="0"/>
    <n v="0"/>
    <n v="0"/>
    <n v="0"/>
    <n v="0"/>
    <n v="19666961.420000002"/>
    <n v="19666961.420000002"/>
    <n v="-204268.3"/>
  </r>
  <r>
    <x v="5"/>
    <x v="23"/>
    <x v="0"/>
    <s v="9000932"/>
    <n v="700022"/>
    <s v="Salaries-Physician-Other"/>
    <s v="Eliminations-PE @ SF"/>
    <x v="0"/>
    <n v="2000"/>
    <n v="0"/>
    <n v="0"/>
    <n v="0"/>
    <n v="0"/>
    <n v="0"/>
    <n v="0"/>
    <n v="0"/>
    <n v="0"/>
    <n v="0"/>
    <n v="0"/>
    <n v="0"/>
    <n v="533017.34"/>
    <n v="533017.34"/>
    <n v="384.25"/>
  </r>
  <r>
    <x v="5"/>
    <x v="23"/>
    <x v="0"/>
    <s v="9000932"/>
    <n v="700022"/>
    <s v="Salaries-Physician-Provider Incentive"/>
    <s v="Eliminations-PE @ SF"/>
    <x v="0"/>
    <n v="4003"/>
    <n v="0"/>
    <n v="0"/>
    <n v="0"/>
    <n v="0"/>
    <n v="0"/>
    <n v="0"/>
    <n v="0"/>
    <n v="0"/>
    <n v="0"/>
    <n v="0"/>
    <n v="0"/>
    <n v="204268.3"/>
    <n v="204268.3"/>
    <n v="-2946159.48"/>
  </r>
  <r>
    <x v="5"/>
    <x v="23"/>
    <x v="0"/>
    <s v="9000932"/>
    <n v="700022"/>
    <s v="Salaries-Physician-Recruitment Bonus"/>
    <s v="Eliminations-PE @ SF"/>
    <x v="0"/>
    <n v="4005"/>
    <n v="0"/>
    <n v="0"/>
    <n v="0"/>
    <n v="0"/>
    <n v="0"/>
    <n v="0"/>
    <n v="0"/>
    <n v="0"/>
    <n v="0"/>
    <n v="0"/>
    <n v="0"/>
    <n v="-384.25"/>
    <n v="-384.25"/>
    <n v="-124067.7"/>
  </r>
  <r>
    <x v="5"/>
    <x v="23"/>
    <x v="0"/>
    <s v="9000932"/>
    <n v="700024"/>
    <s v="Salaries-Advanced Practice Clinician-Productive"/>
    <s v="Eliminations-PE @ SF"/>
    <x v="0"/>
    <m/>
    <n v="0"/>
    <n v="0"/>
    <n v="0"/>
    <n v="0"/>
    <n v="0"/>
    <n v="0"/>
    <n v="0"/>
    <n v="0"/>
    <n v="0"/>
    <n v="0"/>
    <n v="0"/>
    <n v="2946159.48"/>
    <n v="2946159.48"/>
    <n v="-1275.53"/>
  </r>
  <r>
    <x v="5"/>
    <x v="23"/>
    <x v="0"/>
    <s v="9000932"/>
    <n v="700024"/>
    <s v="Salaries-Advanced Practice Clinician-Other"/>
    <s v="Eliminations-PE @ SF"/>
    <x v="0"/>
    <n v="2000"/>
    <n v="0"/>
    <n v="0"/>
    <n v="0"/>
    <n v="0"/>
    <n v="0"/>
    <n v="0"/>
    <n v="0"/>
    <n v="0"/>
    <n v="0"/>
    <n v="0"/>
    <n v="0"/>
    <n v="124067.7"/>
    <n v="124067.7"/>
    <n v="-950939.37"/>
  </r>
  <r>
    <x v="5"/>
    <x v="23"/>
    <x v="0"/>
    <s v="9000932"/>
    <n v="700024"/>
    <s v="Salaries-Advanced Practice Clinician-Provider Incentive"/>
    <s v="Eliminations-PE @ SF"/>
    <x v="0"/>
    <n v="4003"/>
    <n v="0"/>
    <n v="0"/>
    <n v="0"/>
    <n v="0"/>
    <n v="0"/>
    <n v="0"/>
    <n v="0"/>
    <n v="0"/>
    <n v="0"/>
    <n v="0"/>
    <n v="0"/>
    <n v="1275.53"/>
    <n v="1275.53"/>
    <n v="-31074.01"/>
  </r>
  <r>
    <x v="5"/>
    <x v="23"/>
    <x v="0"/>
    <s v="9000932"/>
    <n v="700026"/>
    <s v="Salaries-RN-Productive"/>
    <s v="Eliminations-PE @ SF"/>
    <x v="0"/>
    <m/>
    <n v="0"/>
    <n v="0"/>
    <n v="0"/>
    <n v="0"/>
    <n v="0"/>
    <n v="0"/>
    <n v="0"/>
    <n v="0"/>
    <n v="0"/>
    <n v="0"/>
    <n v="0"/>
    <n v="950939.37"/>
    <n v="950939.37"/>
    <n v="-2130.66"/>
  </r>
  <r>
    <x v="5"/>
    <x v="23"/>
    <x v="0"/>
    <s v="9000932"/>
    <n v="700026"/>
    <s v="Salaries-RN-OT"/>
    <s v="Eliminations-PE @ SF"/>
    <x v="0"/>
    <n v="1000"/>
    <n v="0"/>
    <n v="0"/>
    <n v="0"/>
    <n v="0"/>
    <n v="0"/>
    <n v="0"/>
    <n v="0"/>
    <n v="0"/>
    <n v="0"/>
    <n v="0"/>
    <n v="0"/>
    <n v="31074.01"/>
    <n v="31074.01"/>
    <n v="-875841.09"/>
  </r>
  <r>
    <x v="5"/>
    <x v="23"/>
    <x v="0"/>
    <s v="9000932"/>
    <n v="700026"/>
    <s v="Salaries-RN-Other"/>
    <s v="Eliminations-PE @ SF"/>
    <x v="0"/>
    <n v="2000"/>
    <n v="0"/>
    <n v="0"/>
    <n v="0"/>
    <n v="0"/>
    <n v="0"/>
    <n v="0"/>
    <n v="0"/>
    <n v="0"/>
    <n v="0"/>
    <n v="0"/>
    <n v="0"/>
    <n v="2130.66"/>
    <n v="2130.66"/>
    <n v="-23671.42"/>
  </r>
  <r>
    <x v="5"/>
    <x v="23"/>
    <x v="0"/>
    <s v="9000932"/>
    <n v="700030"/>
    <s v="Salaries-LPN-Productive"/>
    <s v="Eliminations-PE @ SF"/>
    <x v="0"/>
    <m/>
    <n v="0"/>
    <n v="0"/>
    <n v="0"/>
    <n v="0"/>
    <n v="0"/>
    <n v="0"/>
    <n v="0"/>
    <n v="0"/>
    <n v="0"/>
    <n v="0"/>
    <n v="0"/>
    <n v="875841.09"/>
    <n v="875841.09"/>
    <n v="-8730.5"/>
  </r>
  <r>
    <x v="5"/>
    <x v="23"/>
    <x v="0"/>
    <s v="9000932"/>
    <n v="700030"/>
    <s v="Salaries-LPN-OT"/>
    <s v="Eliminations-PE @ SF"/>
    <x v="0"/>
    <n v="1000"/>
    <n v="0"/>
    <n v="0"/>
    <n v="0"/>
    <n v="0"/>
    <n v="0"/>
    <n v="0"/>
    <n v="0"/>
    <n v="0"/>
    <n v="0"/>
    <n v="0"/>
    <n v="0"/>
    <n v="23671.42"/>
    <n v="23671.42"/>
    <n v="-2203153.04"/>
  </r>
  <r>
    <x v="5"/>
    <x v="23"/>
    <x v="0"/>
    <s v="9000932"/>
    <n v="700030"/>
    <s v="Salaries-LPN-Other"/>
    <s v="Eliminations-PE @ SF"/>
    <x v="0"/>
    <n v="2000"/>
    <n v="0"/>
    <n v="0"/>
    <n v="0"/>
    <n v="0"/>
    <n v="0"/>
    <n v="0"/>
    <n v="0"/>
    <n v="0"/>
    <n v="0"/>
    <n v="0"/>
    <n v="0"/>
    <n v="8730.5"/>
    <n v="8730.5"/>
    <n v="-79738.62"/>
  </r>
  <r>
    <x v="5"/>
    <x v="23"/>
    <x v="0"/>
    <s v="9000932"/>
    <n v="700032"/>
    <s v="Salaries-Other Pat Care Providers-Productive"/>
    <s v="Eliminations-PE @ SF"/>
    <x v="0"/>
    <m/>
    <n v="0"/>
    <n v="0"/>
    <n v="0"/>
    <n v="0"/>
    <n v="0"/>
    <n v="0"/>
    <n v="0"/>
    <n v="0"/>
    <n v="0"/>
    <n v="0"/>
    <n v="0"/>
    <n v="2203153.04"/>
    <n v="2203153.04"/>
    <n v="-18324.87"/>
  </r>
  <r>
    <x v="5"/>
    <x v="23"/>
    <x v="0"/>
    <s v="9000932"/>
    <n v="700032"/>
    <s v="Salaries-Other Pat Care Providers-OT"/>
    <s v="Eliminations-PE @ SF"/>
    <x v="0"/>
    <n v="1000"/>
    <n v="0"/>
    <n v="0"/>
    <n v="0"/>
    <n v="0"/>
    <n v="0"/>
    <n v="0"/>
    <n v="0"/>
    <n v="0"/>
    <n v="0"/>
    <n v="0"/>
    <n v="0"/>
    <n v="79738.62"/>
    <n v="79738.62"/>
    <n v="-1209069.8700000001"/>
  </r>
  <r>
    <x v="5"/>
    <x v="23"/>
    <x v="0"/>
    <s v="9000932"/>
    <n v="700032"/>
    <s v="Salaries-Other Pat Care Providers-Other"/>
    <s v="Eliminations-PE @ SF"/>
    <x v="0"/>
    <n v="2000"/>
    <n v="0"/>
    <n v="0"/>
    <n v="0"/>
    <n v="0"/>
    <n v="0"/>
    <n v="0"/>
    <n v="0"/>
    <n v="0"/>
    <n v="0"/>
    <n v="0"/>
    <n v="0"/>
    <n v="18324.87"/>
    <n v="18324.87"/>
    <n v="-8757.74"/>
  </r>
  <r>
    <x v="5"/>
    <x v="23"/>
    <x v="0"/>
    <s v="9000932"/>
    <n v="700034"/>
    <s v="Salaries-Tech/Professional-Productive"/>
    <s v="Eliminations-PE @ SF"/>
    <x v="0"/>
    <m/>
    <n v="0"/>
    <n v="0"/>
    <n v="0"/>
    <n v="0"/>
    <n v="0"/>
    <n v="0"/>
    <n v="0"/>
    <n v="0"/>
    <n v="0"/>
    <n v="0"/>
    <n v="0"/>
    <n v="1209069.8700000001"/>
    <n v="1209069.8700000001"/>
    <n v="-4420.9799999999996"/>
  </r>
  <r>
    <x v="5"/>
    <x v="23"/>
    <x v="0"/>
    <s v="9000932"/>
    <n v="700034"/>
    <s v="Salaries-Tech/Professional-OT"/>
    <s v="Eliminations-PE @ SF"/>
    <x v="0"/>
    <n v="1000"/>
    <n v="0"/>
    <n v="0"/>
    <n v="0"/>
    <n v="0"/>
    <n v="0"/>
    <n v="0"/>
    <n v="0"/>
    <n v="0"/>
    <n v="0"/>
    <n v="0"/>
    <n v="0"/>
    <n v="8757.74"/>
    <n v="8757.74"/>
    <n v="-3604655.94"/>
  </r>
  <r>
    <x v="5"/>
    <x v="23"/>
    <x v="0"/>
    <s v="9000932"/>
    <n v="700034"/>
    <s v="Salaries-Tech/Professional-Other"/>
    <s v="Eliminations-PE @ SF"/>
    <x v="0"/>
    <n v="2000"/>
    <n v="0"/>
    <n v="0"/>
    <n v="0"/>
    <n v="0"/>
    <n v="0"/>
    <n v="0"/>
    <n v="0"/>
    <n v="0"/>
    <n v="0"/>
    <n v="0"/>
    <n v="0"/>
    <n v="4420.9799999999996"/>
    <n v="4420.9799999999996"/>
    <n v="-77453.05"/>
  </r>
  <r>
    <x v="5"/>
    <x v="23"/>
    <x v="0"/>
    <s v="9000932"/>
    <n v="700038"/>
    <s v="Salaries-Service/Support-Productive"/>
    <s v="Eliminations-PE @ SF"/>
    <x v="0"/>
    <m/>
    <n v="0"/>
    <n v="0"/>
    <n v="0"/>
    <n v="0"/>
    <n v="0"/>
    <n v="0"/>
    <n v="0"/>
    <n v="0"/>
    <n v="0"/>
    <n v="0"/>
    <n v="0"/>
    <n v="3604655.94"/>
    <n v="3604655.94"/>
    <n v="-14814.39"/>
  </r>
  <r>
    <x v="5"/>
    <x v="23"/>
    <x v="0"/>
    <s v="9000932"/>
    <n v="700038"/>
    <s v="Salaries-Service/Support-OT"/>
    <s v="Eliminations-PE @ SF"/>
    <x v="0"/>
    <n v="1000"/>
    <n v="0"/>
    <n v="0"/>
    <n v="0"/>
    <n v="0"/>
    <n v="0"/>
    <n v="0"/>
    <n v="0"/>
    <n v="0"/>
    <n v="0"/>
    <n v="0"/>
    <n v="0"/>
    <n v="77453.05"/>
    <n v="77453.05"/>
    <n v="-171671.63"/>
  </r>
  <r>
    <x v="5"/>
    <x v="23"/>
    <x v="0"/>
    <s v="9000932"/>
    <n v="700038"/>
    <s v="Salaries-Service/Support-Other"/>
    <s v="Eliminations-PE @ SF"/>
    <x v="0"/>
    <n v="2000"/>
    <n v="0"/>
    <n v="0"/>
    <n v="0"/>
    <n v="0"/>
    <n v="0"/>
    <n v="0"/>
    <n v="0"/>
    <n v="0"/>
    <n v="0"/>
    <n v="0"/>
    <n v="0"/>
    <n v="14814.39"/>
    <n v="14814.39"/>
    <n v="-41.9"/>
  </r>
  <r>
    <x v="5"/>
    <x v="23"/>
    <x v="0"/>
    <s v="9000932"/>
    <n v="700054"/>
    <s v="Salaries-Management-Non-productive"/>
    <s v="Eliminations-PE @ SF"/>
    <x v="0"/>
    <m/>
    <n v="0"/>
    <n v="0"/>
    <n v="0"/>
    <n v="0"/>
    <n v="0"/>
    <n v="0"/>
    <n v="0"/>
    <n v="0"/>
    <n v="0"/>
    <n v="0"/>
    <n v="0"/>
    <n v="171671.63"/>
    <n v="171671.63"/>
    <n v="-71675.27"/>
  </r>
  <r>
    <x v="5"/>
    <x v="23"/>
    <x v="0"/>
    <s v="9000932"/>
    <n v="700054"/>
    <s v="Salaries-Management-NonProd-Other"/>
    <s v="Eliminations-PE @ SF"/>
    <x v="0"/>
    <n v="2000"/>
    <n v="0"/>
    <n v="0"/>
    <n v="0"/>
    <n v="0"/>
    <n v="0"/>
    <n v="0"/>
    <n v="0"/>
    <n v="0"/>
    <n v="0"/>
    <n v="0"/>
    <n v="0"/>
    <n v="41.9"/>
    <n v="41.9"/>
    <n v="-2049935.82"/>
  </r>
  <r>
    <x v="5"/>
    <x v="23"/>
    <x v="0"/>
    <s v="9000932"/>
    <n v="700058"/>
    <s v="Salaries-Supervisory-Non-productive"/>
    <s v="Eliminations-PE @ SF"/>
    <x v="0"/>
    <m/>
    <n v="0"/>
    <n v="0"/>
    <n v="0"/>
    <n v="0"/>
    <n v="0"/>
    <n v="0"/>
    <n v="0"/>
    <n v="0"/>
    <n v="0"/>
    <n v="0"/>
    <n v="0"/>
    <n v="71675.27"/>
    <n v="71675.27"/>
    <n v="27462.13"/>
  </r>
  <r>
    <x v="5"/>
    <x v="23"/>
    <x v="0"/>
    <s v="9000932"/>
    <n v="700062"/>
    <s v="Salaries-Physician-Non-productive"/>
    <s v="Eliminations-PE @ SF"/>
    <x v="0"/>
    <m/>
    <n v="0"/>
    <n v="0"/>
    <n v="0"/>
    <n v="0"/>
    <n v="0"/>
    <n v="0"/>
    <n v="0"/>
    <n v="0"/>
    <n v="0"/>
    <n v="0"/>
    <n v="0"/>
    <n v="2049935.82"/>
    <n v="2049935.82"/>
    <n v="-401640.98"/>
  </r>
  <r>
    <x v="5"/>
    <x v="23"/>
    <x v="0"/>
    <s v="9000932"/>
    <n v="700062"/>
    <s v="Salaries-Physician-NonProd-Other"/>
    <s v="Eliminations-PE @ SF"/>
    <x v="0"/>
    <n v="2000"/>
    <n v="0"/>
    <n v="0"/>
    <n v="0"/>
    <n v="0"/>
    <n v="0"/>
    <n v="0"/>
    <n v="0"/>
    <n v="0"/>
    <n v="0"/>
    <n v="0"/>
    <n v="0"/>
    <n v="-27462.13"/>
    <n v="-27462.13"/>
    <n v="2212.87"/>
  </r>
  <r>
    <x v="5"/>
    <x v="23"/>
    <x v="0"/>
    <s v="9000932"/>
    <n v="700064"/>
    <s v="Salaries-Advanced Practice Clinician-Non-Productive"/>
    <s v="Eliminations-PE @ SF"/>
    <x v="0"/>
    <m/>
    <n v="0"/>
    <n v="0"/>
    <n v="0"/>
    <n v="0"/>
    <n v="0"/>
    <n v="0"/>
    <n v="0"/>
    <n v="0"/>
    <n v="0"/>
    <n v="0"/>
    <n v="0"/>
    <n v="401640.98"/>
    <n v="401640.98"/>
    <n v="-105484.42"/>
  </r>
  <r>
    <x v="5"/>
    <x v="23"/>
    <x v="0"/>
    <s v="9000932"/>
    <n v="700064"/>
    <s v="Salaries-Advanced Practice Clinician-Non-Prod-Other"/>
    <s v="Eliminations-PE @ SF"/>
    <x v="0"/>
    <n v="2000"/>
    <n v="0"/>
    <n v="0"/>
    <n v="0"/>
    <n v="0"/>
    <n v="0"/>
    <n v="0"/>
    <n v="0"/>
    <n v="0"/>
    <n v="0"/>
    <n v="0"/>
    <n v="0"/>
    <n v="-2212.87"/>
    <n v="-2212.87"/>
    <n v="-321.89999999999998"/>
  </r>
  <r>
    <x v="5"/>
    <x v="23"/>
    <x v="0"/>
    <s v="9000932"/>
    <n v="700066"/>
    <s v="Salaries-RN-Non-productive"/>
    <s v="Eliminations-PE @ SF"/>
    <x v="0"/>
    <m/>
    <n v="0"/>
    <n v="0"/>
    <n v="0"/>
    <n v="0"/>
    <n v="0"/>
    <n v="0"/>
    <n v="0"/>
    <n v="0"/>
    <n v="0"/>
    <n v="0"/>
    <n v="0"/>
    <n v="105484.42"/>
    <n v="105484.42"/>
    <n v="-127118.53"/>
  </r>
  <r>
    <x v="5"/>
    <x v="23"/>
    <x v="0"/>
    <s v="9000932"/>
    <n v="700066"/>
    <s v="Salaries-RN-NonProd-Other"/>
    <s v="Eliminations-PE @ SF"/>
    <x v="0"/>
    <n v="2000"/>
    <n v="0"/>
    <n v="0"/>
    <n v="0"/>
    <n v="0"/>
    <n v="0"/>
    <n v="0"/>
    <n v="0"/>
    <n v="0"/>
    <n v="0"/>
    <n v="0"/>
    <n v="0"/>
    <n v="321.89999999999998"/>
    <n v="321.89999999999998"/>
    <n v="-281.77"/>
  </r>
  <r>
    <x v="5"/>
    <x v="23"/>
    <x v="0"/>
    <s v="9000932"/>
    <n v="700070"/>
    <s v="Salaries-LPN-Non-productive"/>
    <s v="Eliminations-PE @ SF"/>
    <x v="0"/>
    <m/>
    <n v="0"/>
    <n v="0"/>
    <n v="0"/>
    <n v="0"/>
    <n v="0"/>
    <n v="0"/>
    <n v="0"/>
    <n v="0"/>
    <n v="0"/>
    <n v="0"/>
    <n v="0"/>
    <n v="127118.53"/>
    <n v="127118.53"/>
    <n v="-293319.45"/>
  </r>
  <r>
    <x v="5"/>
    <x v="23"/>
    <x v="0"/>
    <s v="9000932"/>
    <n v="700070"/>
    <s v="Salaries-LPN-NonProd-Other"/>
    <s v="Eliminations-PE @ SF"/>
    <x v="0"/>
    <n v="2000"/>
    <n v="0"/>
    <n v="0"/>
    <n v="0"/>
    <n v="0"/>
    <n v="0"/>
    <n v="0"/>
    <n v="0"/>
    <n v="0"/>
    <n v="0"/>
    <n v="0"/>
    <n v="0"/>
    <n v="281.77"/>
    <n v="281.77"/>
    <n v="-675.84"/>
  </r>
  <r>
    <x v="5"/>
    <x v="23"/>
    <x v="0"/>
    <s v="9000932"/>
    <n v="700072"/>
    <s v="Salaries-Other Pat Care Providers-Non-productive"/>
    <s v="Eliminations-PE @ SF"/>
    <x v="0"/>
    <m/>
    <n v="0"/>
    <n v="0"/>
    <n v="0"/>
    <n v="0"/>
    <n v="0"/>
    <n v="0"/>
    <n v="0"/>
    <n v="0"/>
    <n v="0"/>
    <n v="0"/>
    <n v="0"/>
    <n v="293319.45"/>
    <n v="293319.45"/>
    <n v="-166231.21"/>
  </r>
  <r>
    <x v="5"/>
    <x v="23"/>
    <x v="0"/>
    <s v="9000932"/>
    <n v="700072"/>
    <s v="Salaries-Other Pat Care Providers-NonProd-Other"/>
    <s v="Eliminations-PE @ SF"/>
    <x v="0"/>
    <n v="2000"/>
    <n v="0"/>
    <n v="0"/>
    <n v="0"/>
    <n v="0"/>
    <n v="0"/>
    <n v="0"/>
    <n v="0"/>
    <n v="0"/>
    <n v="0"/>
    <n v="0"/>
    <n v="0"/>
    <n v="675.84"/>
    <n v="675.84"/>
    <n v="-9.7799999999999994"/>
  </r>
  <r>
    <x v="5"/>
    <x v="23"/>
    <x v="0"/>
    <s v="9000932"/>
    <n v="700074"/>
    <s v="Salaries-Tech/Professional-Non-productive"/>
    <s v="Eliminations-PE @ SF"/>
    <x v="0"/>
    <m/>
    <n v="0"/>
    <n v="0"/>
    <n v="0"/>
    <n v="0"/>
    <n v="0"/>
    <n v="0"/>
    <n v="0"/>
    <n v="0"/>
    <n v="0"/>
    <n v="0"/>
    <n v="0"/>
    <n v="166231.21"/>
    <n v="166231.21"/>
    <n v="-498571.31"/>
  </r>
  <r>
    <x v="5"/>
    <x v="23"/>
    <x v="0"/>
    <s v="9000932"/>
    <n v="700074"/>
    <s v="Salaries-Tech/Professional-NonProd-Other"/>
    <s v="Eliminations-PE @ SF"/>
    <x v="0"/>
    <n v="2000"/>
    <n v="0"/>
    <n v="0"/>
    <n v="0"/>
    <n v="0"/>
    <n v="0"/>
    <n v="0"/>
    <n v="0"/>
    <n v="0"/>
    <n v="0"/>
    <n v="0"/>
    <n v="0"/>
    <n v="9.7799999999999994"/>
    <n v="9.7799999999999994"/>
    <n v="-134.72"/>
  </r>
  <r>
    <x v="5"/>
    <x v="23"/>
    <x v="0"/>
    <s v="9000932"/>
    <n v="700078"/>
    <s v="Salaries-Service/Support-Non-productive"/>
    <s v="Eliminations-PE @ SF"/>
    <x v="0"/>
    <m/>
    <n v="0"/>
    <n v="0"/>
    <n v="0"/>
    <n v="0"/>
    <n v="0"/>
    <n v="0"/>
    <n v="0"/>
    <n v="0"/>
    <n v="0"/>
    <n v="0"/>
    <n v="0"/>
    <n v="498571.31"/>
    <n v="498571.31"/>
    <n v="-72493.47"/>
  </r>
  <r>
    <x v="5"/>
    <x v="23"/>
    <x v="0"/>
    <s v="9000932"/>
    <n v="700078"/>
    <s v="Salaries-Service/Support-NonProd-Other"/>
    <s v="Eliminations-PE @ SF"/>
    <x v="0"/>
    <n v="2000"/>
    <n v="0"/>
    <n v="0"/>
    <n v="0"/>
    <n v="0"/>
    <n v="0"/>
    <n v="0"/>
    <n v="0"/>
    <n v="0"/>
    <n v="0"/>
    <n v="0"/>
    <n v="0"/>
    <n v="134.72"/>
    <n v="134.72"/>
    <n v="-25076.25"/>
  </r>
  <r>
    <x v="5"/>
    <x v="23"/>
    <x v="0"/>
    <s v="9000932"/>
    <n v="700084"/>
    <s v="Accrued PTO"/>
    <s v="Eliminations-PE @ SF"/>
    <x v="0"/>
    <m/>
    <n v="0"/>
    <n v="0"/>
    <n v="0"/>
    <n v="0"/>
    <n v="0"/>
    <n v="0"/>
    <n v="0"/>
    <n v="0"/>
    <n v="0"/>
    <n v="0"/>
    <n v="0"/>
    <n v="72493.47"/>
    <n v="72493.47"/>
    <n v="-6250.88"/>
  </r>
  <r>
    <x v="10"/>
    <x v="23"/>
    <x v="0"/>
    <s v="9000932"/>
    <n v="710040"/>
    <s v="Contract Labor-Physician (Locum Tenum)"/>
    <s v="Eliminations-PE @ SF"/>
    <x v="0"/>
    <m/>
    <n v="0"/>
    <n v="0"/>
    <n v="0"/>
    <n v="0"/>
    <n v="0"/>
    <n v="0"/>
    <n v="0"/>
    <n v="0"/>
    <n v="0"/>
    <n v="0"/>
    <n v="0"/>
    <n v="25076.25"/>
    <n v="25076.25"/>
    <n v="-97482.85"/>
  </r>
  <r>
    <x v="10"/>
    <x v="23"/>
    <x v="0"/>
    <s v="9000932"/>
    <n v="710042"/>
    <s v="Locum Tenens Travel-Physician"/>
    <s v="Eliminations-PE @ SF"/>
    <x v="0"/>
    <m/>
    <n v="0"/>
    <n v="0"/>
    <n v="0"/>
    <n v="0"/>
    <n v="0"/>
    <n v="0"/>
    <n v="0"/>
    <n v="0"/>
    <n v="0"/>
    <n v="0"/>
    <n v="0"/>
    <n v="6250.88"/>
    <n v="6250.88"/>
    <n v="-34.17"/>
  </r>
  <r>
    <x v="10"/>
    <x v="23"/>
    <x v="0"/>
    <s v="9000932"/>
    <n v="710060"/>
    <s v="Contract Labor-Other"/>
    <s v="Eliminations-PE @ SF"/>
    <x v="0"/>
    <m/>
    <n v="0"/>
    <n v="0"/>
    <n v="0"/>
    <n v="0"/>
    <n v="0"/>
    <n v="0"/>
    <n v="0"/>
    <n v="0"/>
    <n v="0"/>
    <n v="0"/>
    <n v="0"/>
    <n v="97482.85"/>
    <n v="97482.85"/>
    <n v="-1957294.32"/>
  </r>
  <r>
    <x v="10"/>
    <x v="23"/>
    <x v="0"/>
    <s v="9000932"/>
    <n v="710060"/>
    <s v="Contract Labor-Overtime"/>
    <s v="Eliminations-PE @ SF"/>
    <x v="0"/>
    <n v="5100"/>
    <n v="0"/>
    <n v="0"/>
    <n v="0"/>
    <n v="0"/>
    <n v="0"/>
    <n v="0"/>
    <n v="0"/>
    <n v="0"/>
    <n v="0"/>
    <n v="0"/>
    <n v="0"/>
    <n v="34.17"/>
    <n v="34.17"/>
    <n v="-3405227.74"/>
  </r>
  <r>
    <x v="6"/>
    <x v="23"/>
    <x v="0"/>
    <s v="9000932"/>
    <n v="713010"/>
    <s v="Benefits-FICA/Medicare"/>
    <s v="Eliminations-PE @ SF"/>
    <x v="0"/>
    <m/>
    <n v="0"/>
    <n v="0"/>
    <n v="0"/>
    <n v="0"/>
    <n v="0"/>
    <n v="0"/>
    <n v="0"/>
    <n v="0"/>
    <n v="0"/>
    <n v="0"/>
    <n v="0"/>
    <n v="1957294.32"/>
    <n v="1957294.32"/>
    <n v="-1105871.71"/>
  </r>
  <r>
    <x v="6"/>
    <x v="23"/>
    <x v="0"/>
    <s v="9000932"/>
    <n v="713090"/>
    <s v="Benefits-Allocated Amounts"/>
    <s v="Eliminations-PE @ SF"/>
    <x v="0"/>
    <m/>
    <n v="0"/>
    <n v="0"/>
    <n v="0"/>
    <n v="0"/>
    <n v="0"/>
    <n v="0"/>
    <n v="0"/>
    <n v="0"/>
    <n v="0"/>
    <n v="0"/>
    <n v="0"/>
    <n v="3405227.74"/>
    <n v="3405227.74"/>
    <n v="-392671.48"/>
  </r>
  <r>
    <x v="6"/>
    <x v="23"/>
    <x v="0"/>
    <s v="9000932"/>
    <n v="713092"/>
    <s v="Allocated Benefits-Physician"/>
    <s v="Eliminations-PE @ SF"/>
    <x v="0"/>
    <m/>
    <n v="0"/>
    <n v="0"/>
    <n v="0"/>
    <n v="0"/>
    <n v="0"/>
    <n v="0"/>
    <n v="0"/>
    <n v="0"/>
    <n v="0"/>
    <n v="0"/>
    <n v="0"/>
    <n v="1105871.71"/>
    <n v="1105871.71"/>
    <n v="-275.81"/>
  </r>
  <r>
    <x v="6"/>
    <x v="23"/>
    <x v="0"/>
    <s v="9000932"/>
    <n v="713093"/>
    <s v="Allocated Benefits-Advanced Practice Clinician"/>
    <s v="Eliminations-PE @ SF"/>
    <x v="0"/>
    <m/>
    <n v="0"/>
    <n v="0"/>
    <n v="0"/>
    <n v="0"/>
    <n v="0"/>
    <n v="0"/>
    <n v="0"/>
    <n v="0"/>
    <n v="0"/>
    <n v="0"/>
    <n v="0"/>
    <n v="392671.48"/>
    <n v="392671.48"/>
    <n v="-6067.21"/>
  </r>
  <r>
    <x v="6"/>
    <x v="23"/>
    <x v="0"/>
    <s v="9000932"/>
    <n v="713096"/>
    <s v="Benefits-Other"/>
    <s v="Eliminations-PE @ SF"/>
    <x v="0"/>
    <m/>
    <n v="0"/>
    <n v="0"/>
    <n v="0"/>
    <n v="0"/>
    <n v="0"/>
    <n v="0"/>
    <n v="0"/>
    <n v="0"/>
    <n v="0"/>
    <n v="0"/>
    <n v="0"/>
    <n v="275.81"/>
    <n v="275.81"/>
    <n v="-2112871.92"/>
  </r>
  <r>
    <x v="6"/>
    <x v="23"/>
    <x v="0"/>
    <s v="9000932"/>
    <n v="713096"/>
    <s v="Employee Recognition"/>
    <s v="Eliminations-PE @ SF"/>
    <x v="0"/>
    <n v="1017"/>
    <n v="0"/>
    <n v="0"/>
    <n v="0"/>
    <n v="0"/>
    <n v="0"/>
    <n v="0"/>
    <n v="0"/>
    <n v="0"/>
    <n v="0"/>
    <n v="0"/>
    <n v="0"/>
    <n v="6067.21"/>
    <n v="6067.21"/>
    <n v="1345448.14"/>
  </r>
  <r>
    <x v="17"/>
    <x v="23"/>
    <x v="0"/>
    <s v="9000932"/>
    <n v="714520"/>
    <s v="Other Contracted Professionals"/>
    <s v="Eliminations-PE @ SF"/>
    <x v="0"/>
    <m/>
    <n v="0"/>
    <n v="0"/>
    <n v="0"/>
    <n v="0"/>
    <n v="0"/>
    <n v="0"/>
    <n v="0"/>
    <n v="0"/>
    <n v="0"/>
    <n v="0"/>
    <n v="0"/>
    <n v="2112871.92"/>
    <n v="2112871.92"/>
    <n v="-225"/>
  </r>
  <r>
    <x v="17"/>
    <x v="23"/>
    <x v="0"/>
    <s v="9000932"/>
    <n v="714520"/>
    <s v="Other Contract Prof-Pulmonologist"/>
    <s v="Eliminations-PE @ SF"/>
    <x v="0"/>
    <n v="1130"/>
    <n v="0"/>
    <n v="0"/>
    <n v="0"/>
    <n v="0"/>
    <n v="0"/>
    <n v="0"/>
    <n v="0"/>
    <n v="0"/>
    <n v="0"/>
    <n v="0"/>
    <n v="0"/>
    <n v="-1345448.14"/>
    <n v="-1345448.14"/>
    <n v="-2337.0700000000002"/>
  </r>
  <r>
    <x v="21"/>
    <x v="23"/>
    <x v="0"/>
    <s v="9000932"/>
    <n v="716026"/>
    <s v="Consulting-Clinical"/>
    <s v="Eliminations-PE @ SF"/>
    <x v="0"/>
    <m/>
    <n v="0"/>
    <n v="0"/>
    <n v="0"/>
    <n v="0"/>
    <n v="0"/>
    <n v="0"/>
    <n v="0"/>
    <n v="0"/>
    <n v="0"/>
    <n v="0"/>
    <n v="0"/>
    <n v="225"/>
    <n v="225"/>
    <n v="-33511.03"/>
  </r>
  <r>
    <x v="7"/>
    <x v="23"/>
    <x v="0"/>
    <s v="9000932"/>
    <n v="716038"/>
    <s v="Contract Services-Legal"/>
    <s v="Eliminations-PE @ SF"/>
    <x v="0"/>
    <m/>
    <n v="0"/>
    <n v="0"/>
    <n v="0"/>
    <n v="0"/>
    <n v="0"/>
    <n v="0"/>
    <n v="0"/>
    <n v="0"/>
    <n v="0"/>
    <n v="0"/>
    <n v="0"/>
    <n v="2337.0700000000002"/>
    <n v="2337.0700000000002"/>
    <n v="-5817.94"/>
  </r>
  <r>
    <x v="21"/>
    <x v="23"/>
    <x v="0"/>
    <s v="9000932"/>
    <n v="716046"/>
    <s v="Consulting-Other"/>
    <s v="Eliminations-PE @ SF"/>
    <x v="0"/>
    <m/>
    <n v="0"/>
    <n v="0"/>
    <n v="0"/>
    <n v="0"/>
    <n v="0"/>
    <n v="0"/>
    <n v="0"/>
    <n v="0"/>
    <n v="0"/>
    <n v="0"/>
    <n v="0"/>
    <n v="33511.03"/>
    <n v="33511.03"/>
    <n v="-29525.71"/>
  </r>
  <r>
    <x v="7"/>
    <x v="23"/>
    <x v="0"/>
    <s v="9000932"/>
    <n v="718010"/>
    <s v="Contract Services-Advertising &amp; Public Relations"/>
    <s v="Eliminations-PE @ SF"/>
    <x v="0"/>
    <m/>
    <n v="0"/>
    <n v="0"/>
    <n v="0"/>
    <n v="0"/>
    <n v="0"/>
    <n v="0"/>
    <n v="0"/>
    <n v="0"/>
    <n v="0"/>
    <n v="0"/>
    <n v="0"/>
    <n v="5817.94"/>
    <n v="5817.94"/>
    <n v="-3078"/>
  </r>
  <r>
    <x v="7"/>
    <x v="23"/>
    <x v="0"/>
    <s v="9000932"/>
    <n v="718010"/>
    <s v="Media/Print Advertising"/>
    <s v="Eliminations-PE @ SF"/>
    <x v="0"/>
    <n v="1004"/>
    <n v="0"/>
    <n v="0"/>
    <n v="0"/>
    <n v="0"/>
    <n v="0"/>
    <n v="0"/>
    <n v="0"/>
    <n v="0"/>
    <n v="0"/>
    <n v="0"/>
    <n v="0"/>
    <n v="29525.71"/>
    <n v="29525.71"/>
    <n v="-209086.36"/>
  </r>
  <r>
    <x v="7"/>
    <x v="23"/>
    <x v="0"/>
    <s v="9000932"/>
    <n v="718040"/>
    <s v="Contract Svcs-Laboratory"/>
    <s v="Eliminations-PE @ SF"/>
    <x v="0"/>
    <m/>
    <n v="0"/>
    <n v="0"/>
    <n v="0"/>
    <n v="0"/>
    <n v="0"/>
    <n v="0"/>
    <n v="0"/>
    <n v="0"/>
    <n v="0"/>
    <n v="0"/>
    <n v="0"/>
    <n v="3078"/>
    <n v="3078"/>
    <n v="-9043.2099999999991"/>
  </r>
  <r>
    <x v="7"/>
    <x v="23"/>
    <x v="0"/>
    <s v="9000932"/>
    <n v="718050"/>
    <s v="Contract Svcs-Other"/>
    <s v="Eliminations-PE @ SF"/>
    <x v="0"/>
    <m/>
    <n v="0"/>
    <n v="0"/>
    <n v="0"/>
    <n v="0"/>
    <n v="0"/>
    <n v="0"/>
    <n v="0"/>
    <n v="0"/>
    <n v="0"/>
    <n v="0"/>
    <n v="0"/>
    <n v="209086.36"/>
    <n v="209086.36"/>
    <n v="-743.89"/>
  </r>
  <r>
    <x v="7"/>
    <x v="23"/>
    <x v="0"/>
    <s v="9000932"/>
    <n v="718050"/>
    <s v="Management Fees"/>
    <s v="Eliminations-PE @ SF"/>
    <x v="0"/>
    <n v="1004"/>
    <n v="0"/>
    <n v="0"/>
    <n v="0"/>
    <n v="0"/>
    <n v="0"/>
    <n v="0"/>
    <n v="0"/>
    <n v="0"/>
    <n v="0"/>
    <n v="0"/>
    <n v="0"/>
    <n v="9043.2099999999991"/>
    <n v="9043.2099999999991"/>
    <n v="-82963.27"/>
  </r>
  <r>
    <x v="7"/>
    <x v="23"/>
    <x v="0"/>
    <s v="9000932"/>
    <n v="718050"/>
    <s v="Transcription"/>
    <s v="Eliminations-PE @ SF"/>
    <x v="0"/>
    <n v="1006"/>
    <n v="0"/>
    <n v="0"/>
    <n v="0"/>
    <n v="0"/>
    <n v="0"/>
    <n v="0"/>
    <n v="0"/>
    <n v="0"/>
    <n v="0"/>
    <n v="0"/>
    <n v="0"/>
    <n v="743.89"/>
    <n v="743.89"/>
    <n v="-41752.57"/>
  </r>
  <r>
    <x v="7"/>
    <x v="23"/>
    <x v="0"/>
    <s v="9000932"/>
    <n v="718050"/>
    <s v="Cleaning Services"/>
    <s v="Eliminations-PE @ SF"/>
    <x v="0"/>
    <n v="1011"/>
    <n v="0"/>
    <n v="0"/>
    <n v="0"/>
    <n v="0"/>
    <n v="0"/>
    <n v="0"/>
    <n v="0"/>
    <n v="0"/>
    <n v="0"/>
    <n v="0"/>
    <n v="0"/>
    <n v="82963.27"/>
    <n v="82963.27"/>
    <n v="-98376"/>
  </r>
  <r>
    <x v="7"/>
    <x v="23"/>
    <x v="0"/>
    <s v="9000932"/>
    <n v="718050"/>
    <s v="Document Shredding/Storage"/>
    <s v="Eliminations-PE @ SF"/>
    <x v="0"/>
    <n v="1012"/>
    <n v="0"/>
    <n v="0"/>
    <n v="0"/>
    <n v="0"/>
    <n v="0"/>
    <n v="0"/>
    <n v="0"/>
    <n v="0"/>
    <n v="0"/>
    <n v="0"/>
    <n v="0"/>
    <n v="41752.57"/>
    <n v="41752.57"/>
    <n v="-32097.74"/>
  </r>
  <r>
    <x v="7"/>
    <x v="23"/>
    <x v="0"/>
    <s v="9000932"/>
    <n v="718050"/>
    <s v="Physician Answering"/>
    <s v="Eliminations-PE @ SF"/>
    <x v="0"/>
    <n v="1015"/>
    <n v="0"/>
    <n v="0"/>
    <n v="0"/>
    <n v="0"/>
    <n v="0"/>
    <n v="0"/>
    <n v="0"/>
    <n v="0"/>
    <n v="0"/>
    <n v="0"/>
    <n v="0"/>
    <n v="98376"/>
    <n v="98376"/>
    <n v="-114108.28"/>
  </r>
  <r>
    <x v="7"/>
    <x v="23"/>
    <x v="0"/>
    <s v="9000932"/>
    <n v="718050"/>
    <s v="Security"/>
    <s v="Eliminations-PE @ SF"/>
    <x v="0"/>
    <n v="1019"/>
    <n v="0"/>
    <n v="0"/>
    <n v="0"/>
    <n v="0"/>
    <n v="0"/>
    <n v="0"/>
    <n v="0"/>
    <n v="0"/>
    <n v="0"/>
    <n v="0"/>
    <n v="0"/>
    <n v="32097.74"/>
    <n v="32097.74"/>
    <n v="-110404.19"/>
  </r>
  <r>
    <x v="7"/>
    <x v="23"/>
    <x v="0"/>
    <s v="9000932"/>
    <n v="718050"/>
    <s v="Miscellaneous Purchased Svcs"/>
    <s v="Eliminations-PE @ SF"/>
    <x v="0"/>
    <n v="1020"/>
    <n v="0"/>
    <n v="0"/>
    <n v="0"/>
    <n v="0"/>
    <n v="0"/>
    <n v="0"/>
    <n v="0"/>
    <n v="0"/>
    <n v="0"/>
    <n v="0"/>
    <n v="0"/>
    <n v="114108.28"/>
    <n v="114108.28"/>
    <n v="-60772.25"/>
  </r>
  <r>
    <x v="7"/>
    <x v="23"/>
    <x v="0"/>
    <s v="9000932"/>
    <n v="718050"/>
    <s v="Translation Services"/>
    <s v="Eliminations-PE @ SF"/>
    <x v="0"/>
    <n v="1025"/>
    <n v="0"/>
    <n v="0"/>
    <n v="0"/>
    <n v="0"/>
    <n v="0"/>
    <n v="0"/>
    <n v="0"/>
    <n v="0"/>
    <n v="0"/>
    <n v="0"/>
    <n v="0"/>
    <n v="110404.19"/>
    <n v="110404.19"/>
    <n v="-15457.83"/>
  </r>
  <r>
    <x v="7"/>
    <x v="23"/>
    <x v="0"/>
    <s v="9000932"/>
    <n v="718050"/>
    <s v="Contract Management--Linen"/>
    <s v="Eliminations-PE @ SF"/>
    <x v="0"/>
    <n v="1026"/>
    <n v="0"/>
    <n v="0"/>
    <n v="0"/>
    <n v="0"/>
    <n v="0"/>
    <n v="0"/>
    <n v="0"/>
    <n v="0"/>
    <n v="0"/>
    <n v="0"/>
    <n v="0"/>
    <n v="60772.25"/>
    <n v="60772.25"/>
    <n v="-4026.32"/>
  </r>
  <r>
    <x v="7"/>
    <x v="23"/>
    <x v="0"/>
    <s v="9000932"/>
    <n v="718050"/>
    <s v="Purchased Srvcs--Medical Waste"/>
    <s v="Eliminations-PE @ SF"/>
    <x v="0"/>
    <n v="1027"/>
    <n v="0"/>
    <n v="0"/>
    <n v="0"/>
    <n v="0"/>
    <n v="0"/>
    <n v="0"/>
    <n v="0"/>
    <n v="0"/>
    <n v="0"/>
    <n v="0"/>
    <n v="0"/>
    <n v="15457.83"/>
    <n v="15457.83"/>
    <n v="-4861.93"/>
  </r>
  <r>
    <x v="7"/>
    <x v="23"/>
    <x v="0"/>
    <s v="9000932"/>
    <n v="718050"/>
    <s v="Contract Services-Food&amp;Catering"/>
    <s v="Eliminations-PE @ SF"/>
    <x v="0"/>
    <n v="1030"/>
    <n v="0"/>
    <n v="0"/>
    <n v="0"/>
    <n v="0"/>
    <n v="0"/>
    <n v="0"/>
    <n v="0"/>
    <n v="0"/>
    <n v="0"/>
    <n v="0"/>
    <n v="0"/>
    <n v="4026.32"/>
    <n v="4026.32"/>
    <n v="-382899.41"/>
  </r>
  <r>
    <x v="7"/>
    <x v="23"/>
    <x v="0"/>
    <s v="9000932"/>
    <n v="718059"/>
    <s v="Contract Services-Physician Revenue Cycle Fees"/>
    <s v="Eliminations-PE @ SF"/>
    <x v="0"/>
    <m/>
    <n v="0"/>
    <n v="0"/>
    <n v="0"/>
    <n v="0"/>
    <n v="0"/>
    <n v="0"/>
    <n v="0"/>
    <n v="0"/>
    <n v="0"/>
    <n v="0"/>
    <n v="0"/>
    <n v="4861.93"/>
    <n v="4861.93"/>
    <n v="-21320.52"/>
  </r>
  <r>
    <x v="7"/>
    <x v="23"/>
    <x v="0"/>
    <s v="9000932"/>
    <n v="718060"/>
    <s v="Contract Services-CHI RRC Fees"/>
    <s v="Eliminations-PE @ SF"/>
    <x v="0"/>
    <m/>
    <n v="0"/>
    <n v="0"/>
    <n v="0"/>
    <n v="0"/>
    <n v="0"/>
    <n v="0"/>
    <n v="0"/>
    <n v="0"/>
    <n v="0"/>
    <n v="0"/>
    <n v="0"/>
    <n v="382899.41"/>
    <n v="382899.41"/>
    <n v="-32661.06"/>
  </r>
  <r>
    <x v="7"/>
    <x v="23"/>
    <x v="0"/>
    <s v="9000932"/>
    <n v="718061"/>
    <s v="Contract Services-CRO Allocation"/>
    <s v="Eliminations-PE @ SF"/>
    <x v="0"/>
    <m/>
    <n v="0"/>
    <n v="0"/>
    <n v="0"/>
    <n v="0"/>
    <n v="0"/>
    <n v="0"/>
    <n v="0"/>
    <n v="0"/>
    <n v="0"/>
    <n v="0"/>
    <n v="0"/>
    <n v="21320.52"/>
    <n v="21320.52"/>
    <n v="-1375.92"/>
  </r>
  <r>
    <x v="7"/>
    <x v="23"/>
    <x v="0"/>
    <s v="9000932"/>
    <n v="718065"/>
    <s v="Contract Services-CHI Legal Fees"/>
    <s v="Eliminations-PE @ SF"/>
    <x v="0"/>
    <m/>
    <n v="0"/>
    <n v="0"/>
    <n v="0"/>
    <n v="0"/>
    <n v="0"/>
    <n v="0"/>
    <n v="0"/>
    <n v="0"/>
    <n v="0"/>
    <n v="0"/>
    <n v="0"/>
    <n v="32661.06"/>
    <n v="32661.06"/>
    <n v="-42970.23"/>
  </r>
  <r>
    <x v="7"/>
    <x v="23"/>
    <x v="0"/>
    <s v="9000932"/>
    <n v="718066"/>
    <s v="Contract Services-CHI Tax Services"/>
    <s v="Eliminations-PE @ SF"/>
    <x v="0"/>
    <m/>
    <n v="0"/>
    <n v="0"/>
    <n v="0"/>
    <n v="0"/>
    <n v="0"/>
    <n v="0"/>
    <n v="0"/>
    <n v="0"/>
    <n v="0"/>
    <n v="0"/>
    <n v="0"/>
    <n v="1375.92"/>
    <n v="1375.92"/>
    <n v="-241.41"/>
  </r>
  <r>
    <x v="7"/>
    <x v="23"/>
    <x v="0"/>
    <s v="9000932"/>
    <n v="718070"/>
    <s v="Contract Srvcs-CHI Clinical Engineering"/>
    <s v="Eliminations-PE @ SF"/>
    <x v="0"/>
    <m/>
    <n v="0"/>
    <n v="0"/>
    <n v="0"/>
    <n v="0"/>
    <n v="0"/>
    <n v="0"/>
    <n v="0"/>
    <n v="0"/>
    <n v="0"/>
    <n v="0"/>
    <n v="0"/>
    <n v="42970.23"/>
    <n v="42970.23"/>
    <n v="-1327901.1599999999"/>
  </r>
  <r>
    <x v="7"/>
    <x v="23"/>
    <x v="0"/>
    <s v="9000932"/>
    <n v="718071"/>
    <s v="Contract Srvcs-CHI Facilities Mgmt"/>
    <s v="Eliminations-PE @ SF"/>
    <x v="0"/>
    <m/>
    <n v="0"/>
    <n v="0"/>
    <n v="0"/>
    <n v="0"/>
    <n v="0"/>
    <n v="0"/>
    <n v="0"/>
    <n v="0"/>
    <n v="0"/>
    <n v="0"/>
    <n v="0"/>
    <n v="241.41"/>
    <n v="241.41"/>
    <n v="-58345.2"/>
  </r>
  <r>
    <x v="7"/>
    <x v="23"/>
    <x v="0"/>
    <s v="9000932"/>
    <n v="718075"/>
    <s v="Contract Srvcs-CHI ITS Steady State"/>
    <s v="Eliminations-PE @ SF"/>
    <x v="0"/>
    <m/>
    <n v="0"/>
    <n v="0"/>
    <n v="0"/>
    <n v="0"/>
    <n v="0"/>
    <n v="0"/>
    <n v="0"/>
    <n v="0"/>
    <n v="0"/>
    <n v="0"/>
    <n v="0"/>
    <n v="1327901.1599999999"/>
    <n v="1327901.1599999999"/>
    <n v="-561404.93000000005"/>
  </r>
  <r>
    <x v="7"/>
    <x v="23"/>
    <x v="0"/>
    <s v="9000932"/>
    <n v="718077"/>
    <s v="PACS"/>
    <s v="Eliminations-PE @ SF"/>
    <x v="0"/>
    <n v="1000"/>
    <n v="0"/>
    <n v="0"/>
    <n v="0"/>
    <n v="0"/>
    <n v="0"/>
    <n v="0"/>
    <n v="0"/>
    <n v="0"/>
    <n v="0"/>
    <n v="0"/>
    <n v="0"/>
    <n v="58345.2"/>
    <n v="58345.2"/>
    <n v="-455003.52"/>
  </r>
  <r>
    <x v="7"/>
    <x v="23"/>
    <x v="0"/>
    <s v="9000932"/>
    <n v="718091"/>
    <s v="Contract Services-Intracompany Allocation"/>
    <s v="Eliminations-PE @ SF"/>
    <x v="0"/>
    <m/>
    <n v="0"/>
    <n v="0"/>
    <n v="0"/>
    <n v="0"/>
    <n v="0"/>
    <n v="0"/>
    <n v="0"/>
    <n v="0"/>
    <n v="0"/>
    <n v="0"/>
    <n v="0"/>
    <n v="561404.93000000005"/>
    <n v="561404.93000000005"/>
    <n v="-1238.8599999999999"/>
  </r>
  <r>
    <x v="11"/>
    <x v="23"/>
    <x v="0"/>
    <s v="9000932"/>
    <n v="721010"/>
    <s v="Supplies-Medical - Billable"/>
    <s v="Eliminations-PE @ SF"/>
    <x v="0"/>
    <m/>
    <n v="0"/>
    <n v="0"/>
    <n v="0"/>
    <n v="0"/>
    <n v="0"/>
    <n v="0"/>
    <n v="0"/>
    <n v="0"/>
    <n v="0"/>
    <n v="0"/>
    <n v="0"/>
    <n v="455003.52"/>
    <n v="455003.52"/>
    <n v="-46.64"/>
  </r>
  <r>
    <x v="11"/>
    <x v="23"/>
    <x v="0"/>
    <s v="9000932"/>
    <n v="721020"/>
    <s v="Supplies-Surgical - Billable"/>
    <s v="Eliminations-PE @ SF"/>
    <x v="0"/>
    <m/>
    <n v="0"/>
    <n v="0"/>
    <n v="0"/>
    <n v="0"/>
    <n v="0"/>
    <n v="0"/>
    <n v="0"/>
    <n v="0"/>
    <n v="0"/>
    <n v="0"/>
    <n v="0"/>
    <n v="1238.8599999999999"/>
    <n v="1238.8599999999999"/>
    <n v="-15162.27"/>
  </r>
  <r>
    <x v="11"/>
    <x v="23"/>
    <x v="0"/>
    <s v="9000932"/>
    <n v="721020"/>
    <s v="Suture/Wound Closure"/>
    <s v="Eliminations-PE @ SF"/>
    <x v="0"/>
    <n v="1001"/>
    <n v="0"/>
    <n v="0"/>
    <n v="0"/>
    <n v="0"/>
    <n v="0"/>
    <n v="0"/>
    <n v="0"/>
    <n v="0"/>
    <n v="0"/>
    <n v="0"/>
    <n v="0"/>
    <n v="46.64"/>
    <n v="46.64"/>
    <n v="-1604.27"/>
  </r>
  <r>
    <x v="11"/>
    <x v="23"/>
    <x v="0"/>
    <s v="9000932"/>
    <n v="721020"/>
    <s v="Urological Supplies"/>
    <s v="Eliminations-PE @ SF"/>
    <x v="0"/>
    <n v="1006"/>
    <n v="0"/>
    <n v="0"/>
    <n v="0"/>
    <n v="0"/>
    <n v="0"/>
    <n v="0"/>
    <n v="0"/>
    <n v="0"/>
    <n v="0"/>
    <n v="0"/>
    <n v="0"/>
    <n v="15162.27"/>
    <n v="15162.27"/>
    <n v="-201.6"/>
  </r>
  <r>
    <x v="11"/>
    <x v="23"/>
    <x v="0"/>
    <s v="9000932"/>
    <n v="721050"/>
    <s v="Supplies-Cardiac Rhythm - Billable"/>
    <s v="Eliminations-PE @ SF"/>
    <x v="0"/>
    <m/>
    <n v="0"/>
    <n v="0"/>
    <n v="0"/>
    <n v="0"/>
    <n v="0"/>
    <n v="0"/>
    <n v="0"/>
    <n v="0"/>
    <n v="0"/>
    <n v="0"/>
    <n v="0"/>
    <n v="1604.27"/>
    <n v="1604.27"/>
    <n v="-1585798.29"/>
  </r>
  <r>
    <x v="11"/>
    <x v="23"/>
    <x v="0"/>
    <s v="9000932"/>
    <n v="721240"/>
    <s v="Supplies-IV Solutions/Supplies - Billable"/>
    <s v="Eliminations-PE @ SF"/>
    <x v="0"/>
    <m/>
    <n v="0"/>
    <n v="0"/>
    <n v="0"/>
    <n v="0"/>
    <n v="0"/>
    <n v="0"/>
    <n v="0"/>
    <n v="0"/>
    <n v="0"/>
    <n v="0"/>
    <n v="0"/>
    <n v="201.6"/>
    <n v="201.6"/>
    <n v="-3358.67"/>
  </r>
  <r>
    <x v="11"/>
    <x v="23"/>
    <x v="0"/>
    <s v="9000932"/>
    <n v="721250"/>
    <s v="Supplies-Pharmacy Drugs - Billable"/>
    <s v="Eliminations-PE @ SF"/>
    <x v="0"/>
    <m/>
    <n v="0"/>
    <n v="0"/>
    <n v="0"/>
    <n v="0"/>
    <n v="0"/>
    <n v="0"/>
    <n v="0"/>
    <n v="0"/>
    <n v="0"/>
    <n v="0"/>
    <n v="0"/>
    <n v="1585798.29"/>
    <n v="1585798.29"/>
    <n v="-70997.94"/>
  </r>
  <r>
    <x v="11"/>
    <x v="23"/>
    <x v="0"/>
    <s v="9000932"/>
    <n v="721350"/>
    <s v="Supplies-Film/Radiographic - Billable"/>
    <s v="Eliminations-PE @ SF"/>
    <x v="0"/>
    <m/>
    <n v="0"/>
    <n v="0"/>
    <n v="0"/>
    <n v="0"/>
    <n v="0"/>
    <n v="0"/>
    <n v="0"/>
    <n v="0"/>
    <n v="0"/>
    <n v="0"/>
    <n v="0"/>
    <n v="3358.67"/>
    <n v="3358.67"/>
    <n v="-293431.62"/>
  </r>
  <r>
    <x v="11"/>
    <x v="23"/>
    <x v="0"/>
    <s v="9000932"/>
    <n v="721350"/>
    <s v="Radiology Imaging - Contrast Media"/>
    <s v="Eliminations-PE @ SF"/>
    <x v="0"/>
    <n v="1000"/>
    <n v="0"/>
    <n v="0"/>
    <n v="0"/>
    <n v="0"/>
    <n v="0"/>
    <n v="0"/>
    <n v="0"/>
    <n v="0"/>
    <n v="0"/>
    <n v="0"/>
    <n v="0"/>
    <n v="70997.94"/>
    <n v="70997.94"/>
    <n v="-3.57"/>
  </r>
  <r>
    <x v="11"/>
    <x v="23"/>
    <x v="0"/>
    <s v="9000932"/>
    <n v="721410"/>
    <s v="Supplies-Medical - Nonbillable"/>
    <s v="Eliminations-PE @ SF"/>
    <x v="0"/>
    <m/>
    <n v="0"/>
    <n v="0"/>
    <n v="0"/>
    <n v="0"/>
    <n v="0"/>
    <n v="0"/>
    <n v="0"/>
    <n v="0"/>
    <n v="0"/>
    <n v="0"/>
    <n v="0"/>
    <n v="293431.62"/>
    <n v="293431.62"/>
    <n v="-4.9800000000000004"/>
  </r>
  <r>
    <x v="11"/>
    <x v="23"/>
    <x v="0"/>
    <s v="9000932"/>
    <n v="721410"/>
    <s v="Patient Monitoring"/>
    <s v="Eliminations-PE @ SF"/>
    <x v="0"/>
    <n v="1000"/>
    <n v="0"/>
    <n v="0"/>
    <n v="0"/>
    <n v="0"/>
    <n v="0"/>
    <n v="0"/>
    <n v="0"/>
    <n v="0"/>
    <n v="0"/>
    <n v="0"/>
    <n v="0"/>
    <n v="3.57"/>
    <n v="3.57"/>
    <n v="-2209.9"/>
  </r>
  <r>
    <x v="11"/>
    <x v="23"/>
    <x v="0"/>
    <s v="9000932"/>
    <n v="721420"/>
    <s v="Supplies-Surgical Nonbillable"/>
    <s v="Eliminations-PE @ SF"/>
    <x v="0"/>
    <m/>
    <n v="0"/>
    <n v="0"/>
    <n v="0"/>
    <n v="0"/>
    <n v="0"/>
    <n v="0"/>
    <n v="0"/>
    <n v="0"/>
    <n v="0"/>
    <n v="0"/>
    <n v="0"/>
    <n v="4.9800000000000004"/>
    <n v="4.9800000000000004"/>
    <n v="-0.34"/>
  </r>
  <r>
    <x v="11"/>
    <x v="23"/>
    <x v="0"/>
    <s v="9000932"/>
    <n v="721640"/>
    <s v="Supplies-IV Solutions/Supplies - Nonbillable"/>
    <s v="Eliminations-PE @ SF"/>
    <x v="0"/>
    <m/>
    <n v="0"/>
    <n v="0"/>
    <n v="0"/>
    <n v="0"/>
    <n v="0"/>
    <n v="0"/>
    <n v="0"/>
    <n v="0"/>
    <n v="0"/>
    <n v="0"/>
    <n v="0"/>
    <n v="2209.9"/>
    <n v="2209.9"/>
    <n v="-86"/>
  </r>
  <r>
    <x v="11"/>
    <x v="23"/>
    <x v="0"/>
    <s v="9000932"/>
    <n v="721710"/>
    <s v="Supplies-Laboratory - Nonbillable"/>
    <s v="Eliminations-PE @ SF"/>
    <x v="0"/>
    <m/>
    <n v="0"/>
    <n v="0"/>
    <n v="0"/>
    <n v="0"/>
    <n v="0"/>
    <n v="0"/>
    <n v="0"/>
    <n v="0"/>
    <n v="0"/>
    <n v="0"/>
    <n v="0"/>
    <n v="0.34"/>
    <n v="0.34"/>
    <n v="-11081.14"/>
  </r>
  <r>
    <x v="11"/>
    <x v="23"/>
    <x v="0"/>
    <s v="9000932"/>
    <n v="721750"/>
    <s v="Supplies-Film/Radiographic - Nonbillable"/>
    <s v="Eliminations-PE @ SF"/>
    <x v="0"/>
    <m/>
    <n v="0"/>
    <n v="0"/>
    <n v="0"/>
    <n v="0"/>
    <n v="0"/>
    <n v="0"/>
    <n v="0"/>
    <n v="0"/>
    <n v="0"/>
    <n v="0"/>
    <n v="0"/>
    <n v="86"/>
    <n v="86"/>
    <n v="-135218.01999999999"/>
  </r>
  <r>
    <x v="11"/>
    <x v="23"/>
    <x v="0"/>
    <s v="9000932"/>
    <n v="721810"/>
    <s v="Supplies-Dietary/Cafeteria"/>
    <s v="Eliminations-PE @ SF"/>
    <x v="0"/>
    <m/>
    <n v="0"/>
    <n v="0"/>
    <n v="0"/>
    <n v="0"/>
    <n v="0"/>
    <n v="0"/>
    <n v="0"/>
    <n v="0"/>
    <n v="0"/>
    <n v="0"/>
    <n v="0"/>
    <n v="11081.14"/>
    <n v="11081.14"/>
    <n v="-4598.2"/>
  </r>
  <r>
    <x v="11"/>
    <x v="23"/>
    <x v="0"/>
    <s v="9000932"/>
    <n v="721830"/>
    <s v="Supplies-Office"/>
    <s v="Eliminations-PE @ SF"/>
    <x v="0"/>
    <m/>
    <n v="0"/>
    <n v="0"/>
    <n v="0"/>
    <n v="0"/>
    <n v="0"/>
    <n v="0"/>
    <n v="0"/>
    <n v="0"/>
    <n v="0"/>
    <n v="0"/>
    <n v="0"/>
    <n v="135218.01999999999"/>
    <n v="135218.01999999999"/>
    <n v="-10283.219999999999"/>
  </r>
  <r>
    <x v="11"/>
    <x v="23"/>
    <x v="0"/>
    <s v="9000932"/>
    <n v="721835"/>
    <s v="Supplies-Forms"/>
    <s v="Eliminations-PE @ SF"/>
    <x v="0"/>
    <m/>
    <n v="0"/>
    <n v="0"/>
    <n v="0"/>
    <n v="0"/>
    <n v="0"/>
    <n v="0"/>
    <n v="0"/>
    <n v="0"/>
    <n v="0"/>
    <n v="0"/>
    <n v="0"/>
    <n v="4598.2"/>
    <n v="4598.2"/>
    <n v="-201.72"/>
  </r>
  <r>
    <x v="11"/>
    <x v="23"/>
    <x v="0"/>
    <s v="9000932"/>
    <n v="721870"/>
    <s v="Supplies-Environmental Services"/>
    <s v="Eliminations-PE @ SF"/>
    <x v="0"/>
    <m/>
    <n v="0"/>
    <n v="0"/>
    <n v="0"/>
    <n v="0"/>
    <n v="0"/>
    <n v="0"/>
    <n v="0"/>
    <n v="0"/>
    <n v="0"/>
    <n v="0"/>
    <n v="0"/>
    <n v="10283.219999999999"/>
    <n v="10283.219999999999"/>
    <n v="-121742.54"/>
  </r>
  <r>
    <x v="11"/>
    <x v="23"/>
    <x v="0"/>
    <s v="9000932"/>
    <n v="721880"/>
    <s v="Supplies-Linen"/>
    <s v="Eliminations-PE @ SF"/>
    <x v="0"/>
    <m/>
    <n v="0"/>
    <n v="0"/>
    <n v="0"/>
    <n v="0"/>
    <n v="0"/>
    <n v="0"/>
    <n v="0"/>
    <n v="0"/>
    <n v="0"/>
    <n v="0"/>
    <n v="0"/>
    <n v="201.72"/>
    <n v="201.72"/>
    <n v="-318.12"/>
  </r>
  <r>
    <x v="11"/>
    <x v="23"/>
    <x v="0"/>
    <s v="9000932"/>
    <n v="721910"/>
    <s v="Supplies-Small Equipment"/>
    <s v="Eliminations-PE @ SF"/>
    <x v="0"/>
    <m/>
    <n v="0"/>
    <n v="0"/>
    <n v="0"/>
    <n v="0"/>
    <n v="0"/>
    <n v="0"/>
    <n v="0"/>
    <n v="0"/>
    <n v="0"/>
    <n v="0"/>
    <n v="0"/>
    <n v="121742.54"/>
    <n v="121742.54"/>
    <n v="-11617.46"/>
  </r>
  <r>
    <x v="11"/>
    <x v="23"/>
    <x v="0"/>
    <s v="9000932"/>
    <n v="721910"/>
    <s v="Instruments"/>
    <s v="Eliminations-PE @ SF"/>
    <x v="0"/>
    <n v="1000"/>
    <n v="0"/>
    <n v="0"/>
    <n v="0"/>
    <n v="0"/>
    <n v="0"/>
    <n v="0"/>
    <n v="0"/>
    <n v="0"/>
    <n v="0"/>
    <n v="0"/>
    <n v="0"/>
    <n v="318.12"/>
    <n v="318.12"/>
    <n v="-2413.9499999999998"/>
  </r>
  <r>
    <x v="11"/>
    <x v="23"/>
    <x v="0"/>
    <s v="9000932"/>
    <n v="721980"/>
    <s v="Supplies-Other"/>
    <s v="Eliminations-PE @ SF"/>
    <x v="0"/>
    <m/>
    <n v="0"/>
    <n v="0"/>
    <n v="0"/>
    <n v="0"/>
    <n v="0"/>
    <n v="0"/>
    <n v="0"/>
    <n v="0"/>
    <n v="0"/>
    <n v="0"/>
    <n v="0"/>
    <n v="11617.46"/>
    <n v="11617.46"/>
    <n v="-154.44"/>
  </r>
  <r>
    <x v="11"/>
    <x v="23"/>
    <x v="0"/>
    <s v="9000932"/>
    <n v="722000"/>
    <s v="Supplies-Freight Expense"/>
    <s v="Eliminations-PE @ SF"/>
    <x v="0"/>
    <m/>
    <n v="0"/>
    <n v="0"/>
    <n v="0"/>
    <n v="0"/>
    <n v="0"/>
    <n v="0"/>
    <n v="0"/>
    <n v="0"/>
    <n v="0"/>
    <n v="0"/>
    <n v="0"/>
    <n v="2413.9499999999998"/>
    <n v="2413.9499999999998"/>
    <n v="37378.1"/>
  </r>
  <r>
    <x v="11"/>
    <x v="23"/>
    <x v="0"/>
    <s v="9000932"/>
    <n v="722000"/>
    <s v="Minimum Order Fees"/>
    <s v="Eliminations-PE @ SF"/>
    <x v="0"/>
    <n v="1000"/>
    <n v="0"/>
    <n v="0"/>
    <n v="0"/>
    <n v="0"/>
    <n v="0"/>
    <n v="0"/>
    <n v="0"/>
    <n v="0"/>
    <n v="0"/>
    <n v="0"/>
    <n v="0"/>
    <n v="154.44"/>
    <n v="154.44"/>
    <n v="601.57000000000005"/>
  </r>
  <r>
    <x v="11"/>
    <x v="23"/>
    <x v="0"/>
    <s v="9000932"/>
    <n v="723000"/>
    <s v="Supply Rebates/Patronage Dividend"/>
    <s v="Eliminations-PE @ SF"/>
    <x v="0"/>
    <m/>
    <n v="0"/>
    <n v="0"/>
    <n v="0"/>
    <n v="0"/>
    <n v="0"/>
    <n v="0"/>
    <n v="0"/>
    <n v="0"/>
    <n v="0"/>
    <n v="0"/>
    <n v="0"/>
    <n v="-37378.1"/>
    <n v="-37378.1"/>
    <n v="169.94"/>
  </r>
  <r>
    <x v="11"/>
    <x v="23"/>
    <x v="0"/>
    <s v="9000932"/>
    <n v="723500"/>
    <s v="Discounts Taken *"/>
    <s v="Eliminations-PE @ SF"/>
    <x v="0"/>
    <m/>
    <n v="0"/>
    <n v="0"/>
    <n v="0"/>
    <n v="0"/>
    <n v="0"/>
    <n v="0"/>
    <n v="0"/>
    <n v="0"/>
    <n v="0"/>
    <n v="0"/>
    <n v="0"/>
    <n v="-601.57000000000005"/>
    <n v="-601.57000000000005"/>
    <n v="-2027736.02"/>
  </r>
  <r>
    <x v="11"/>
    <x v="23"/>
    <x v="0"/>
    <s v="9000932"/>
    <n v="724000"/>
    <s v="Item Cost Variance Suspense *"/>
    <s v="Eliminations-PE @ SF"/>
    <x v="0"/>
    <m/>
    <n v="0"/>
    <n v="0"/>
    <n v="0"/>
    <n v="0"/>
    <n v="0"/>
    <n v="0"/>
    <n v="0"/>
    <n v="0"/>
    <n v="0"/>
    <n v="0"/>
    <n v="0"/>
    <n v="-169.94"/>
    <n v="-169.94"/>
    <n v="-959431.93"/>
  </r>
  <r>
    <x v="12"/>
    <x v="23"/>
    <x v="0"/>
    <s v="9000932"/>
    <n v="730010"/>
    <s v="Rental and Leases-Building (DO NOT USE)"/>
    <s v="Eliminations-PE @ SF"/>
    <x v="0"/>
    <m/>
    <n v="0"/>
    <n v="0"/>
    <n v="0"/>
    <n v="0"/>
    <n v="0"/>
    <n v="0"/>
    <n v="0"/>
    <n v="0"/>
    <n v="0"/>
    <n v="0"/>
    <n v="0"/>
    <n v="2027736.02"/>
    <n v="2027736.02"/>
    <n v="-17729.23"/>
  </r>
  <r>
    <x v="12"/>
    <x v="23"/>
    <x v="0"/>
    <s v="9000932"/>
    <n v="730010"/>
    <s v="Rental-Common Area Maint (DO NOT USE)"/>
    <s v="Eliminations-PE @ SF"/>
    <x v="0"/>
    <n v="2200"/>
    <n v="0"/>
    <n v="0"/>
    <n v="0"/>
    <n v="0"/>
    <n v="0"/>
    <n v="0"/>
    <n v="0"/>
    <n v="0"/>
    <n v="0"/>
    <n v="0"/>
    <n v="0"/>
    <n v="959431.93"/>
    <n v="959431.93"/>
    <n v="-122078.35"/>
  </r>
  <r>
    <x v="12"/>
    <x v="23"/>
    <x v="0"/>
    <s v="9000932"/>
    <n v="730020"/>
    <s v="Rental and Leases-Equipment (DO NOT USE)"/>
    <s v="Eliminations-PE @ SF"/>
    <x v="0"/>
    <m/>
    <n v="0"/>
    <n v="0"/>
    <n v="0"/>
    <n v="0"/>
    <n v="0"/>
    <n v="0"/>
    <n v="0"/>
    <n v="0"/>
    <n v="0"/>
    <n v="0"/>
    <n v="0"/>
    <n v="17729.23"/>
    <n v="17729.23"/>
    <n v="-276887.33"/>
  </r>
  <r>
    <x v="12"/>
    <x v="23"/>
    <x v="0"/>
    <s v="9000932"/>
    <n v="730020"/>
    <s v="Rental and Leases-Copier Usage Fees (DO NOT USE)"/>
    <s v="Eliminations-PE @ SF"/>
    <x v="0"/>
    <n v="5100"/>
    <n v="0"/>
    <n v="0"/>
    <n v="0"/>
    <n v="0"/>
    <n v="0"/>
    <n v="0"/>
    <n v="0"/>
    <n v="0"/>
    <n v="0"/>
    <n v="0"/>
    <n v="0"/>
    <n v="122078.35"/>
    <n v="122078.35"/>
    <n v="-747.2"/>
  </r>
  <r>
    <x v="12"/>
    <x v="23"/>
    <x v="0"/>
    <s v="9000932"/>
    <n v="730040"/>
    <s v="LT Lease-Real Estate"/>
    <s v="Eliminations-PE @ SF"/>
    <x v="0"/>
    <m/>
    <n v="0"/>
    <n v="0"/>
    <n v="0"/>
    <n v="0"/>
    <n v="0"/>
    <n v="0"/>
    <n v="0"/>
    <n v="0"/>
    <n v="0"/>
    <n v="0"/>
    <n v="0"/>
    <n v="276887.33"/>
    <n v="276887.33"/>
    <n v="-17731.79"/>
  </r>
  <r>
    <x v="15"/>
    <x v="23"/>
    <x v="0"/>
    <s v="9000932"/>
    <n v="731010"/>
    <s v="Natural Gas"/>
    <s v="Eliminations-PE @ SF"/>
    <x v="0"/>
    <m/>
    <n v="0"/>
    <n v="0"/>
    <n v="0"/>
    <n v="0"/>
    <n v="0"/>
    <n v="0"/>
    <n v="0"/>
    <n v="0"/>
    <n v="0"/>
    <n v="0"/>
    <n v="0"/>
    <n v="747.2"/>
    <n v="747.2"/>
    <n v="-32.950000000000003"/>
  </r>
  <r>
    <x v="15"/>
    <x v="23"/>
    <x v="0"/>
    <s v="9000932"/>
    <n v="731020"/>
    <s v="Electricity"/>
    <s v="Eliminations-PE @ SF"/>
    <x v="0"/>
    <m/>
    <n v="0"/>
    <n v="0"/>
    <n v="0"/>
    <n v="0"/>
    <n v="0"/>
    <n v="0"/>
    <n v="0"/>
    <n v="0"/>
    <n v="0"/>
    <n v="0"/>
    <n v="0"/>
    <n v="17731.79"/>
    <n v="17731.79"/>
    <n v="-330.45"/>
  </r>
  <r>
    <x v="15"/>
    <x v="23"/>
    <x v="0"/>
    <s v="9000932"/>
    <n v="731030"/>
    <s v="Water"/>
    <s v="Eliminations-PE @ SF"/>
    <x v="0"/>
    <m/>
    <n v="0"/>
    <n v="0"/>
    <n v="0"/>
    <n v="0"/>
    <n v="0"/>
    <n v="0"/>
    <n v="0"/>
    <n v="0"/>
    <n v="0"/>
    <n v="0"/>
    <n v="0"/>
    <n v="32.950000000000003"/>
    <n v="32.950000000000003"/>
    <n v="-138631.63"/>
  </r>
  <r>
    <x v="15"/>
    <x v="23"/>
    <x v="0"/>
    <s v="9000932"/>
    <n v="731050"/>
    <s v="Refuse Disposal"/>
    <s v="Eliminations-PE @ SF"/>
    <x v="0"/>
    <m/>
    <n v="0"/>
    <n v="0"/>
    <n v="0"/>
    <n v="0"/>
    <n v="0"/>
    <n v="0"/>
    <n v="0"/>
    <n v="0"/>
    <n v="0"/>
    <n v="0"/>
    <n v="0"/>
    <n v="330.45"/>
    <n v="330.45"/>
    <n v="-1175.3499999999999"/>
  </r>
  <r>
    <x v="15"/>
    <x v="23"/>
    <x v="0"/>
    <s v="9000932"/>
    <n v="731060"/>
    <s v="Telephone"/>
    <s v="Eliminations-PE @ SF"/>
    <x v="0"/>
    <m/>
    <n v="0"/>
    <n v="0"/>
    <n v="0"/>
    <n v="0"/>
    <n v="0"/>
    <n v="0"/>
    <n v="0"/>
    <n v="0"/>
    <n v="0"/>
    <n v="0"/>
    <n v="0"/>
    <n v="138631.63"/>
    <n v="138631.63"/>
    <n v="-2615.56"/>
  </r>
  <r>
    <x v="15"/>
    <x v="23"/>
    <x v="0"/>
    <s v="9000932"/>
    <n v="731060"/>
    <s v="Cell Phones"/>
    <s v="Eliminations-PE @ SF"/>
    <x v="0"/>
    <n v="1001"/>
    <n v="0"/>
    <n v="0"/>
    <n v="0"/>
    <n v="0"/>
    <n v="0"/>
    <n v="0"/>
    <n v="0"/>
    <n v="0"/>
    <n v="0"/>
    <n v="0"/>
    <n v="0"/>
    <n v="1175.3499999999999"/>
    <n v="1175.3499999999999"/>
    <n v="-5656.63"/>
  </r>
  <r>
    <x v="15"/>
    <x v="23"/>
    <x v="0"/>
    <s v="9000932"/>
    <n v="731060"/>
    <s v="Pagers"/>
    <s v="Eliminations-PE @ SF"/>
    <x v="0"/>
    <n v="1002"/>
    <n v="0"/>
    <n v="0"/>
    <n v="0"/>
    <n v="0"/>
    <n v="0"/>
    <n v="0"/>
    <n v="0"/>
    <n v="0"/>
    <n v="0"/>
    <n v="0"/>
    <n v="0"/>
    <n v="2615.56"/>
    <n v="2615.56"/>
    <n v="-5207.99"/>
  </r>
  <r>
    <x v="15"/>
    <x v="23"/>
    <x v="0"/>
    <s v="9000932"/>
    <n v="731065"/>
    <s v="Data Communications"/>
    <s v="Eliminations-PE @ SF"/>
    <x v="0"/>
    <m/>
    <n v="0"/>
    <n v="0"/>
    <n v="0"/>
    <n v="0"/>
    <n v="0"/>
    <n v="0"/>
    <n v="0"/>
    <n v="0"/>
    <n v="0"/>
    <n v="0"/>
    <n v="0"/>
    <n v="5656.63"/>
    <n v="5656.63"/>
    <n v="-683.14"/>
  </r>
  <r>
    <x v="15"/>
    <x v="23"/>
    <x v="0"/>
    <s v="9000932"/>
    <n v="731070"/>
    <s v="Cable TV"/>
    <s v="Eliminations-PE @ SF"/>
    <x v="0"/>
    <m/>
    <n v="0"/>
    <n v="0"/>
    <n v="0"/>
    <n v="0"/>
    <n v="0"/>
    <n v="0"/>
    <n v="0"/>
    <n v="0"/>
    <n v="0"/>
    <n v="0"/>
    <n v="0"/>
    <n v="5207.99"/>
    <n v="5207.99"/>
    <n v="-1348.44"/>
  </r>
  <r>
    <x v="15"/>
    <x v="23"/>
    <x v="0"/>
    <s v="9000932"/>
    <n v="731090"/>
    <s v="Other Utilities"/>
    <s v="Eliminations-PE @ SF"/>
    <x v="0"/>
    <m/>
    <n v="0"/>
    <n v="0"/>
    <n v="0"/>
    <n v="0"/>
    <n v="0"/>
    <n v="0"/>
    <n v="0"/>
    <n v="0"/>
    <n v="0"/>
    <n v="0"/>
    <n v="0"/>
    <n v="683.14"/>
    <n v="683.14"/>
    <n v="-44119.08"/>
  </r>
  <r>
    <x v="16"/>
    <x v="23"/>
    <x v="0"/>
    <s v="9000932"/>
    <n v="732015"/>
    <s v="Repairs-Clinical Equip-T&amp;M-Ext to CHI Programs"/>
    <s v="Eliminations-PE @ SF"/>
    <x v="0"/>
    <m/>
    <n v="0"/>
    <n v="0"/>
    <n v="0"/>
    <n v="0"/>
    <n v="0"/>
    <n v="0"/>
    <n v="0"/>
    <n v="0"/>
    <n v="0"/>
    <n v="0"/>
    <n v="0"/>
    <n v="1348.44"/>
    <n v="1348.44"/>
    <n v="-8126.13"/>
  </r>
  <r>
    <x v="16"/>
    <x v="23"/>
    <x v="0"/>
    <s v="9000932"/>
    <n v="732030"/>
    <s v="Repairs---Other"/>
    <s v="Eliminations-PE @ SF"/>
    <x v="0"/>
    <m/>
    <n v="0"/>
    <n v="0"/>
    <n v="0"/>
    <n v="0"/>
    <n v="0"/>
    <n v="0"/>
    <n v="0"/>
    <n v="0"/>
    <n v="0"/>
    <n v="0"/>
    <n v="0"/>
    <n v="44119.08"/>
    <n v="44119.08"/>
    <n v="-2926.97"/>
  </r>
  <r>
    <x v="16"/>
    <x v="23"/>
    <x v="0"/>
    <s v="9000932"/>
    <n v="732030"/>
    <s v="Repairs&amp;Maintenance-Bldg Routine"/>
    <s v="Eliminations-PE @ SF"/>
    <x v="0"/>
    <n v="2300"/>
    <n v="0"/>
    <n v="0"/>
    <n v="0"/>
    <n v="0"/>
    <n v="0"/>
    <n v="0"/>
    <n v="0"/>
    <n v="0"/>
    <n v="0"/>
    <n v="0"/>
    <n v="0"/>
    <n v="8126.13"/>
    <n v="8126.13"/>
    <n v="-34079.39"/>
  </r>
  <r>
    <x v="16"/>
    <x v="23"/>
    <x v="0"/>
    <s v="9000932"/>
    <n v="733030"/>
    <s v="Maintenance Contracts-Other"/>
    <s v="Eliminations-PE @ SF"/>
    <x v="0"/>
    <m/>
    <n v="0"/>
    <n v="0"/>
    <n v="0"/>
    <n v="0"/>
    <n v="0"/>
    <n v="0"/>
    <n v="0"/>
    <n v="0"/>
    <n v="0"/>
    <n v="0"/>
    <n v="0"/>
    <n v="2926.97"/>
    <n v="2926.97"/>
    <n v="-541726.1"/>
  </r>
  <r>
    <x v="13"/>
    <x v="23"/>
    <x v="0"/>
    <s v="9000932"/>
    <n v="735040"/>
    <s v="Depreciation-Building Improvements"/>
    <s v="Eliminations-PE @ SF"/>
    <x v="0"/>
    <m/>
    <n v="0"/>
    <n v="0"/>
    <n v="0"/>
    <n v="0"/>
    <n v="0"/>
    <n v="0"/>
    <n v="0"/>
    <n v="0"/>
    <n v="0"/>
    <n v="0"/>
    <n v="0"/>
    <n v="34079.39"/>
    <n v="34079.39"/>
    <n v="-30594.06"/>
  </r>
  <r>
    <x v="13"/>
    <x v="23"/>
    <x v="0"/>
    <s v="9000932"/>
    <n v="735050"/>
    <s v="Amortization-Leasehold Improvements"/>
    <s v="Eliminations-PE @ SF"/>
    <x v="0"/>
    <m/>
    <n v="0"/>
    <n v="0"/>
    <n v="0"/>
    <n v="0"/>
    <n v="0"/>
    <n v="0"/>
    <n v="0"/>
    <n v="0"/>
    <n v="0"/>
    <n v="0"/>
    <n v="0"/>
    <n v="541726.1"/>
    <n v="541726.1"/>
    <n v="-941717.84"/>
  </r>
  <r>
    <x v="13"/>
    <x v="23"/>
    <x v="0"/>
    <s v="9000932"/>
    <n v="735060"/>
    <s v="Depreciation-Fixed Equipment"/>
    <s v="Eliminations-PE @ SF"/>
    <x v="0"/>
    <m/>
    <n v="0"/>
    <n v="0"/>
    <n v="0"/>
    <n v="0"/>
    <n v="0"/>
    <n v="0"/>
    <n v="0"/>
    <n v="0"/>
    <n v="0"/>
    <n v="0"/>
    <n v="0"/>
    <n v="30594.06"/>
    <n v="30594.06"/>
    <n v="-11791.97"/>
  </r>
  <r>
    <x v="13"/>
    <x v="23"/>
    <x v="0"/>
    <s v="9000932"/>
    <n v="735070"/>
    <s v="Depreciation-Movable Equipment"/>
    <s v="Eliminations-PE @ SF"/>
    <x v="0"/>
    <m/>
    <n v="0"/>
    <n v="0"/>
    <n v="0"/>
    <n v="0"/>
    <n v="0"/>
    <n v="0"/>
    <n v="0"/>
    <n v="0"/>
    <n v="0"/>
    <n v="0"/>
    <n v="0"/>
    <n v="941717.84"/>
    <n v="941717.84"/>
    <n v="-1576.76"/>
  </r>
  <r>
    <x v="13"/>
    <x v="23"/>
    <x v="0"/>
    <s v="9000932"/>
    <n v="736000"/>
    <s v="General Amortization Expense"/>
    <s v="Eliminations-PE @ SF"/>
    <x v="0"/>
    <n v="5000"/>
    <n v="0"/>
    <n v="0"/>
    <n v="0"/>
    <n v="0"/>
    <n v="0"/>
    <n v="0"/>
    <n v="0"/>
    <n v="0"/>
    <n v="0"/>
    <n v="0"/>
    <n v="0"/>
    <n v="11791.97"/>
    <n v="11791.97"/>
    <n v="-9801.98"/>
  </r>
  <r>
    <x v="0"/>
    <x v="23"/>
    <x v="0"/>
    <s v="9000932"/>
    <n v="740010"/>
    <s v="Education-Materials"/>
    <s v="Eliminations-PE @ SF"/>
    <x v="0"/>
    <m/>
    <n v="0"/>
    <n v="0"/>
    <n v="0"/>
    <n v="0"/>
    <n v="0"/>
    <n v="0"/>
    <n v="0"/>
    <n v="0"/>
    <n v="0"/>
    <n v="0"/>
    <n v="0"/>
    <n v="1576.76"/>
    <n v="1576.76"/>
    <n v="-44876.1"/>
  </r>
  <r>
    <x v="0"/>
    <x v="23"/>
    <x v="0"/>
    <s v="9000932"/>
    <n v="740020"/>
    <s v="Education-Registration Fees"/>
    <s v="Eliminations-PE @ SF"/>
    <x v="0"/>
    <m/>
    <n v="0"/>
    <n v="0"/>
    <n v="0"/>
    <n v="0"/>
    <n v="0"/>
    <n v="0"/>
    <n v="0"/>
    <n v="0"/>
    <n v="0"/>
    <n v="0"/>
    <n v="0"/>
    <n v="9801.98"/>
    <n v="9801.98"/>
    <n v="-7222.04"/>
  </r>
  <r>
    <x v="0"/>
    <x v="23"/>
    <x v="0"/>
    <s v="9000932"/>
    <n v="740022"/>
    <s v="Education-Physician"/>
    <s v="Eliminations-PE @ SF"/>
    <x v="0"/>
    <m/>
    <n v="0"/>
    <n v="0"/>
    <n v="0"/>
    <n v="0"/>
    <n v="0"/>
    <n v="0"/>
    <n v="0"/>
    <n v="0"/>
    <n v="0"/>
    <n v="0"/>
    <n v="0"/>
    <n v="44876.1"/>
    <n v="44876.1"/>
    <n v="-2261"/>
  </r>
  <r>
    <x v="0"/>
    <x v="23"/>
    <x v="0"/>
    <s v="9000932"/>
    <n v="740022"/>
    <s v="Books-Physician"/>
    <s v="Eliminations-PE @ SF"/>
    <x v="0"/>
    <n v="2000"/>
    <n v="0"/>
    <n v="0"/>
    <n v="0"/>
    <n v="0"/>
    <n v="0"/>
    <n v="0"/>
    <n v="0"/>
    <n v="0"/>
    <n v="0"/>
    <n v="0"/>
    <n v="0"/>
    <n v="7222.04"/>
    <n v="7222.04"/>
    <n v="-13055.43"/>
  </r>
  <r>
    <x v="0"/>
    <x v="23"/>
    <x v="0"/>
    <s v="9000932"/>
    <n v="740022"/>
    <s v="Education Travel-Physician"/>
    <s v="Eliminations-PE @ SF"/>
    <x v="0"/>
    <n v="2001"/>
    <n v="0"/>
    <n v="0"/>
    <n v="0"/>
    <n v="0"/>
    <n v="0"/>
    <n v="0"/>
    <n v="0"/>
    <n v="0"/>
    <n v="0"/>
    <n v="0"/>
    <n v="0"/>
    <n v="2261"/>
    <n v="2261"/>
    <n v="-267.23"/>
  </r>
  <r>
    <x v="0"/>
    <x v="23"/>
    <x v="0"/>
    <s v="9000932"/>
    <n v="740023"/>
    <s v="Education-Advanced Practice Clinician"/>
    <s v="Eliminations-PE @ SF"/>
    <x v="0"/>
    <m/>
    <n v="0"/>
    <n v="0"/>
    <n v="0"/>
    <n v="0"/>
    <n v="0"/>
    <n v="0"/>
    <n v="0"/>
    <n v="0"/>
    <n v="0"/>
    <n v="0"/>
    <n v="0"/>
    <n v="13055.43"/>
    <n v="13055.43"/>
    <n v="-4069.22"/>
  </r>
  <r>
    <x v="0"/>
    <x v="23"/>
    <x v="0"/>
    <s v="9000932"/>
    <n v="740023"/>
    <s v="Books-Advanced Practice Clinician"/>
    <s v="Eliminations-PE @ SF"/>
    <x v="0"/>
    <n v="2000"/>
    <n v="0"/>
    <n v="0"/>
    <n v="0"/>
    <n v="0"/>
    <n v="0"/>
    <n v="0"/>
    <n v="0"/>
    <n v="0"/>
    <n v="0"/>
    <n v="0"/>
    <n v="0"/>
    <n v="267.23"/>
    <n v="267.23"/>
    <n v="-0.7"/>
  </r>
  <r>
    <x v="0"/>
    <x v="23"/>
    <x v="0"/>
    <s v="9000932"/>
    <n v="740023"/>
    <s v="Education Travel-Advanced Practice Clinician"/>
    <s v="Eliminations-PE @ SF"/>
    <x v="0"/>
    <n v="2001"/>
    <n v="0"/>
    <n v="0"/>
    <n v="0"/>
    <n v="0"/>
    <n v="0"/>
    <n v="0"/>
    <n v="0"/>
    <n v="0"/>
    <n v="0"/>
    <n v="0"/>
    <n v="0"/>
    <n v="4069.22"/>
    <n v="4069.22"/>
    <n v="-162183.67999999999"/>
  </r>
  <r>
    <x v="0"/>
    <x v="23"/>
    <x v="0"/>
    <s v="9000932"/>
    <n v="740030"/>
    <s v="Education-Travel"/>
    <s v="Eliminations-PE @ SF"/>
    <x v="0"/>
    <m/>
    <n v="0"/>
    <n v="0"/>
    <n v="0"/>
    <n v="0"/>
    <n v="0"/>
    <n v="0"/>
    <n v="0"/>
    <n v="0"/>
    <n v="0"/>
    <n v="0"/>
    <n v="0"/>
    <n v="0.7"/>
    <n v="0.7"/>
    <n v="-702102.32"/>
  </r>
  <r>
    <x v="8"/>
    <x v="23"/>
    <x v="0"/>
    <s v="9000932"/>
    <n v="741010"/>
    <s v="Liability Insurance-CHI Programs"/>
    <s v="Eliminations-PE @ SF"/>
    <x v="0"/>
    <m/>
    <n v="0"/>
    <n v="0"/>
    <n v="0"/>
    <n v="0"/>
    <n v="0"/>
    <n v="0"/>
    <n v="0"/>
    <n v="0"/>
    <n v="0"/>
    <n v="0"/>
    <n v="0"/>
    <n v="162183.67999999999"/>
    <n v="162183.67999999999"/>
    <n v="-22998.94"/>
  </r>
  <r>
    <x v="8"/>
    <x v="23"/>
    <x v="0"/>
    <s v="9000932"/>
    <n v="741012"/>
    <s v="Physician Liab Insurance-CHI Program"/>
    <s v="Eliminations-PE @ SF"/>
    <x v="0"/>
    <m/>
    <n v="0"/>
    <n v="0"/>
    <n v="0"/>
    <n v="0"/>
    <n v="0"/>
    <n v="0"/>
    <n v="0"/>
    <n v="0"/>
    <n v="0"/>
    <n v="0"/>
    <n v="0"/>
    <n v="702102.32"/>
    <n v="702102.32"/>
    <n v="-15819.6"/>
  </r>
  <r>
    <x v="8"/>
    <x v="23"/>
    <x v="0"/>
    <s v="9000932"/>
    <n v="741016"/>
    <s v="Premium Expense to PPIC"/>
    <s v="Eliminations-PE @ SF"/>
    <x v="0"/>
    <m/>
    <n v="0"/>
    <n v="0"/>
    <n v="0"/>
    <n v="0"/>
    <n v="0"/>
    <n v="0"/>
    <n v="0"/>
    <n v="0"/>
    <n v="0"/>
    <n v="0"/>
    <n v="0"/>
    <n v="22998.94"/>
    <n v="22998.94"/>
    <n v="8024.3"/>
  </r>
  <r>
    <x v="8"/>
    <x v="23"/>
    <x v="0"/>
    <s v="9000932"/>
    <n v="741030"/>
    <s v="Property Insurance-CHI Programs"/>
    <s v="Eliminations-PE @ SF"/>
    <x v="0"/>
    <m/>
    <n v="0"/>
    <n v="0"/>
    <n v="0"/>
    <n v="0"/>
    <n v="0"/>
    <n v="0"/>
    <n v="0"/>
    <n v="0"/>
    <n v="0"/>
    <n v="0"/>
    <n v="0"/>
    <n v="15819.6"/>
    <n v="15819.6"/>
    <n v="-29653.93"/>
  </r>
  <r>
    <x v="8"/>
    <x v="23"/>
    <x v="0"/>
    <s v="9000932"/>
    <n v="741070"/>
    <s v="Insurance-Risk Mgmt Incentive Program"/>
    <s v="Eliminations-PE @ SF"/>
    <x v="0"/>
    <m/>
    <n v="0"/>
    <n v="0"/>
    <n v="0"/>
    <n v="0"/>
    <n v="0"/>
    <n v="0"/>
    <n v="0"/>
    <n v="0"/>
    <n v="0"/>
    <n v="0"/>
    <n v="0"/>
    <n v="-8024.3"/>
    <n v="-8024.3"/>
    <n v="-24.7"/>
  </r>
  <r>
    <x v="0"/>
    <x v="23"/>
    <x v="0"/>
    <s v="9000932"/>
    <n v="742010"/>
    <s v="Postage-Regular"/>
    <s v="Eliminations-PE @ SF"/>
    <x v="0"/>
    <m/>
    <n v="0"/>
    <n v="0"/>
    <n v="0"/>
    <n v="0"/>
    <n v="0"/>
    <n v="0"/>
    <n v="0"/>
    <n v="0"/>
    <n v="0"/>
    <n v="0"/>
    <n v="0"/>
    <n v="29653.93"/>
    <n v="29653.93"/>
    <n v="-189.53"/>
  </r>
  <r>
    <x v="0"/>
    <x v="23"/>
    <x v="0"/>
    <s v="9000932"/>
    <n v="742020"/>
    <s v="Postage-Express Services"/>
    <s v="Eliminations-PE @ SF"/>
    <x v="0"/>
    <m/>
    <n v="0"/>
    <n v="0"/>
    <n v="0"/>
    <n v="0"/>
    <n v="0"/>
    <n v="0"/>
    <n v="0"/>
    <n v="0"/>
    <n v="0"/>
    <n v="0"/>
    <n v="0"/>
    <n v="24.7"/>
    <n v="24.7"/>
    <n v="-1127.1600000000001"/>
  </r>
  <r>
    <x v="0"/>
    <x v="23"/>
    <x v="0"/>
    <s v="9000932"/>
    <n v="742030"/>
    <s v="Freight-Courier"/>
    <s v="Eliminations-PE @ SF"/>
    <x v="0"/>
    <m/>
    <n v="0"/>
    <n v="0"/>
    <n v="0"/>
    <n v="0"/>
    <n v="0"/>
    <n v="0"/>
    <n v="0"/>
    <n v="0"/>
    <n v="0"/>
    <n v="0"/>
    <n v="0"/>
    <n v="189.53"/>
    <n v="189.53"/>
    <n v="-3411.16"/>
  </r>
  <r>
    <x v="0"/>
    <x v="23"/>
    <x v="0"/>
    <s v="9000932"/>
    <n v="742040"/>
    <s v="Freight-Other"/>
    <s v="Eliminations-PE @ SF"/>
    <x v="0"/>
    <m/>
    <n v="0"/>
    <n v="0"/>
    <n v="0"/>
    <n v="0"/>
    <n v="0"/>
    <n v="0"/>
    <n v="0"/>
    <n v="0"/>
    <n v="0"/>
    <n v="0"/>
    <n v="0"/>
    <n v="1127.1600000000001"/>
    <n v="1127.1600000000001"/>
    <n v="-14990.97"/>
  </r>
  <r>
    <x v="0"/>
    <x v="23"/>
    <x v="0"/>
    <s v="9000932"/>
    <n v="743010"/>
    <s v="Dues--Institutional"/>
    <s v="Eliminations-PE @ SF"/>
    <x v="0"/>
    <m/>
    <n v="0"/>
    <n v="0"/>
    <n v="0"/>
    <n v="0"/>
    <n v="0"/>
    <n v="0"/>
    <n v="0"/>
    <n v="0"/>
    <n v="0"/>
    <n v="0"/>
    <n v="0"/>
    <n v="3411.16"/>
    <n v="3411.16"/>
    <n v="-11393.57"/>
  </r>
  <r>
    <x v="0"/>
    <x v="23"/>
    <x v="0"/>
    <s v="9000932"/>
    <n v="743020"/>
    <s v="Dues--Individual"/>
    <s v="Eliminations-PE @ SF"/>
    <x v="0"/>
    <m/>
    <n v="0"/>
    <n v="0"/>
    <n v="0"/>
    <n v="0"/>
    <n v="0"/>
    <n v="0"/>
    <n v="0"/>
    <n v="0"/>
    <n v="0"/>
    <n v="0"/>
    <n v="0"/>
    <n v="14990.97"/>
    <n v="14990.97"/>
    <n v="-43989.88"/>
  </r>
  <r>
    <x v="0"/>
    <x v="23"/>
    <x v="0"/>
    <s v="9000932"/>
    <n v="743020"/>
    <s v="Provider-Dues"/>
    <s v="Eliminations-PE @ SF"/>
    <x v="0"/>
    <n v="2200"/>
    <n v="0"/>
    <n v="0"/>
    <n v="0"/>
    <n v="0"/>
    <n v="0"/>
    <n v="0"/>
    <n v="0"/>
    <n v="0"/>
    <n v="0"/>
    <n v="0"/>
    <n v="0"/>
    <n v="11393.57"/>
    <n v="11393.57"/>
    <n v="-1830.14"/>
  </r>
  <r>
    <x v="0"/>
    <x v="23"/>
    <x v="0"/>
    <s v="9000932"/>
    <n v="743022"/>
    <s v="Dues-Physician"/>
    <s v="Eliminations-PE @ SF"/>
    <x v="0"/>
    <m/>
    <n v="0"/>
    <n v="0"/>
    <n v="0"/>
    <n v="0"/>
    <n v="0"/>
    <n v="0"/>
    <n v="0"/>
    <n v="0"/>
    <n v="0"/>
    <n v="0"/>
    <n v="0"/>
    <n v="43989.88"/>
    <n v="43989.88"/>
    <n v="-5928.39"/>
  </r>
  <r>
    <x v="0"/>
    <x v="23"/>
    <x v="0"/>
    <s v="9000932"/>
    <n v="743023"/>
    <s v="Dues-Advanced Practice Clinician"/>
    <s v="Eliminations-PE @ SF"/>
    <x v="0"/>
    <m/>
    <n v="0"/>
    <n v="0"/>
    <n v="0"/>
    <n v="0"/>
    <n v="0"/>
    <n v="0"/>
    <n v="0"/>
    <n v="0"/>
    <n v="0"/>
    <n v="0"/>
    <n v="0"/>
    <n v="1830.14"/>
    <n v="1830.14"/>
    <n v="-106.03"/>
  </r>
  <r>
    <x v="0"/>
    <x v="23"/>
    <x v="0"/>
    <s v="9000932"/>
    <n v="743030"/>
    <s v="Subscriptions--Institutional"/>
    <s v="Eliminations-PE @ SF"/>
    <x v="0"/>
    <m/>
    <n v="0"/>
    <n v="0"/>
    <n v="0"/>
    <n v="0"/>
    <n v="0"/>
    <n v="0"/>
    <n v="0"/>
    <n v="0"/>
    <n v="0"/>
    <n v="0"/>
    <n v="0"/>
    <n v="5928.39"/>
    <n v="5928.39"/>
    <n v="-12587.18"/>
  </r>
  <r>
    <x v="0"/>
    <x v="23"/>
    <x v="0"/>
    <s v="9000932"/>
    <n v="743040"/>
    <s v="Subscriptions--Individual"/>
    <s v="Eliminations-PE @ SF"/>
    <x v="0"/>
    <m/>
    <n v="0"/>
    <n v="0"/>
    <n v="0"/>
    <n v="0"/>
    <n v="0"/>
    <n v="0"/>
    <n v="0"/>
    <n v="0"/>
    <n v="0"/>
    <n v="0"/>
    <n v="0"/>
    <n v="106.03"/>
    <n v="106.03"/>
    <n v="-971.42"/>
  </r>
  <r>
    <x v="0"/>
    <x v="23"/>
    <x v="0"/>
    <s v="9000932"/>
    <n v="743042"/>
    <s v="Subscriptions-Physician"/>
    <s v="Eliminations-PE @ SF"/>
    <x v="0"/>
    <m/>
    <n v="0"/>
    <n v="0"/>
    <n v="0"/>
    <n v="0"/>
    <n v="0"/>
    <n v="0"/>
    <n v="0"/>
    <n v="0"/>
    <n v="0"/>
    <n v="0"/>
    <n v="0"/>
    <n v="12587.18"/>
    <n v="12587.18"/>
    <n v="-230.09"/>
  </r>
  <r>
    <x v="0"/>
    <x v="23"/>
    <x v="0"/>
    <s v="9000932"/>
    <n v="743043"/>
    <s v="Subscriptions-Advanced Practice Clinician"/>
    <s v="Eliminations-PE @ SF"/>
    <x v="0"/>
    <m/>
    <n v="0"/>
    <n v="0"/>
    <n v="0"/>
    <n v="0"/>
    <n v="0"/>
    <n v="0"/>
    <n v="0"/>
    <n v="0"/>
    <n v="0"/>
    <n v="0"/>
    <n v="0"/>
    <n v="971.42"/>
    <n v="971.42"/>
    <n v="-407"/>
  </r>
  <r>
    <x v="0"/>
    <x v="23"/>
    <x v="0"/>
    <s v="9000932"/>
    <n v="744012"/>
    <s v="Recruitment-Physician"/>
    <s v="Eliminations-PE @ SF"/>
    <x v="0"/>
    <m/>
    <n v="0"/>
    <n v="0"/>
    <n v="0"/>
    <n v="0"/>
    <n v="0"/>
    <n v="0"/>
    <n v="0"/>
    <n v="0"/>
    <n v="0"/>
    <n v="0"/>
    <n v="0"/>
    <n v="230.09"/>
    <n v="230.09"/>
    <n v="-14480.49"/>
  </r>
  <r>
    <x v="0"/>
    <x v="23"/>
    <x v="0"/>
    <s v="9000932"/>
    <n v="744013"/>
    <s v="Retention-Advanced Practice Clinician"/>
    <s v="Eliminations-PE @ SF"/>
    <x v="0"/>
    <n v="2005"/>
    <n v="0"/>
    <n v="0"/>
    <n v="0"/>
    <n v="0"/>
    <n v="0"/>
    <n v="0"/>
    <n v="0"/>
    <n v="0"/>
    <n v="0"/>
    <n v="0"/>
    <n v="0"/>
    <n v="407"/>
    <n v="407"/>
    <n v="-537555.69999999995"/>
  </r>
  <r>
    <x v="0"/>
    <x v="23"/>
    <x v="0"/>
    <s v="9000932"/>
    <n v="746020"/>
    <s v="Bank Fees--Ext to CHI Programs"/>
    <s v="Eliminations-PE @ SF"/>
    <x v="0"/>
    <m/>
    <n v="0"/>
    <n v="0"/>
    <n v="0"/>
    <n v="0"/>
    <n v="0"/>
    <n v="0"/>
    <n v="0"/>
    <n v="0"/>
    <n v="0"/>
    <n v="0"/>
    <n v="0"/>
    <n v="14480.49"/>
    <n v="14480.49"/>
    <n v="866.39"/>
  </r>
  <r>
    <x v="26"/>
    <x v="23"/>
    <x v="0"/>
    <s v="9000932"/>
    <n v="747001"/>
    <s v="National Assessment"/>
    <s v="Eliminations-PE @ SF"/>
    <x v="0"/>
    <m/>
    <n v="0"/>
    <n v="0"/>
    <n v="0"/>
    <n v="0"/>
    <n v="0"/>
    <n v="0"/>
    <n v="0"/>
    <n v="0"/>
    <n v="0"/>
    <n v="0"/>
    <n v="0"/>
    <n v="537555.69999999995"/>
    <n v="537555.69999999995"/>
    <n v="-45867.53"/>
  </r>
  <r>
    <x v="0"/>
    <x v="23"/>
    <x v="0"/>
    <s v="9000932"/>
    <n v="748521"/>
    <s v="COGS-Pharmacy Drugs-Retail"/>
    <s v="Eliminations-PE @ SF"/>
    <x v="0"/>
    <m/>
    <n v="0"/>
    <n v="0"/>
    <n v="0"/>
    <n v="0"/>
    <n v="0"/>
    <n v="0"/>
    <n v="0"/>
    <n v="0"/>
    <n v="0"/>
    <n v="0"/>
    <n v="0"/>
    <n v="-866.39"/>
    <n v="-866.39"/>
    <n v="-11022.93"/>
  </r>
  <r>
    <x v="0"/>
    <x v="23"/>
    <x v="0"/>
    <s v="9000932"/>
    <n v="749510"/>
    <s v="Miscellaneous Expenses"/>
    <s v="Eliminations-PE @ SF"/>
    <x v="0"/>
    <m/>
    <n v="0"/>
    <n v="0"/>
    <n v="0"/>
    <n v="0"/>
    <n v="0"/>
    <n v="0"/>
    <n v="0"/>
    <n v="0"/>
    <n v="0"/>
    <n v="0"/>
    <n v="0"/>
    <n v="45867.53"/>
    <n v="45867.53"/>
    <n v="-1638.03"/>
  </r>
  <r>
    <x v="0"/>
    <x v="23"/>
    <x v="0"/>
    <s v="9000932"/>
    <n v="749510"/>
    <s v="Licenses"/>
    <s v="Eliminations-PE @ SF"/>
    <x v="0"/>
    <n v="1002"/>
    <n v="0"/>
    <n v="0"/>
    <n v="0"/>
    <n v="0"/>
    <n v="0"/>
    <n v="0"/>
    <n v="0"/>
    <n v="0"/>
    <n v="0"/>
    <n v="0"/>
    <n v="0"/>
    <n v="11022.93"/>
    <n v="11022.93"/>
    <n v="-424.95"/>
  </r>
  <r>
    <x v="0"/>
    <x v="23"/>
    <x v="0"/>
    <s v="9000932"/>
    <n v="749510"/>
    <s v="Miscellaneous Employee Expense"/>
    <s v="Eliminations-PE @ SF"/>
    <x v="0"/>
    <n v="1010"/>
    <n v="0"/>
    <n v="0"/>
    <n v="0"/>
    <n v="0"/>
    <n v="0"/>
    <n v="0"/>
    <n v="0"/>
    <n v="0"/>
    <n v="0"/>
    <n v="0"/>
    <n v="0"/>
    <n v="1638.03"/>
    <n v="1638.03"/>
    <n v="-19.809999999999999"/>
  </r>
  <r>
    <x v="0"/>
    <x v="23"/>
    <x v="0"/>
    <s v="9000932"/>
    <n v="749510"/>
    <s v="Uniforms"/>
    <s v="Eliminations-PE @ SF"/>
    <x v="0"/>
    <n v="1028"/>
    <n v="0"/>
    <n v="0"/>
    <n v="0"/>
    <n v="0"/>
    <n v="0"/>
    <n v="0"/>
    <n v="0"/>
    <n v="0"/>
    <n v="0"/>
    <n v="0"/>
    <n v="0"/>
    <n v="424.95"/>
    <n v="424.95"/>
    <n v="-7000.63"/>
  </r>
  <r>
    <x v="0"/>
    <x v="23"/>
    <x v="0"/>
    <s v="9000932"/>
    <n v="749510"/>
    <s v="Late Payment Penalties &amp; Interest"/>
    <s v="Eliminations-PE @ SF"/>
    <x v="0"/>
    <n v="4600"/>
    <n v="0"/>
    <n v="0"/>
    <n v="0"/>
    <n v="0"/>
    <n v="0"/>
    <n v="0"/>
    <n v="0"/>
    <n v="0"/>
    <n v="0"/>
    <n v="0"/>
    <n v="0"/>
    <n v="19.809999999999999"/>
    <n v="19.809999999999999"/>
    <n v="-14245.3"/>
  </r>
  <r>
    <x v="0"/>
    <x v="23"/>
    <x v="0"/>
    <s v="9000932"/>
    <n v="749510"/>
    <s v="RICE Rewards"/>
    <s v="Eliminations-PE @ SF"/>
    <x v="0"/>
    <n v="5100"/>
    <n v="0"/>
    <n v="0"/>
    <n v="0"/>
    <n v="0"/>
    <n v="0"/>
    <n v="0"/>
    <n v="0"/>
    <n v="0"/>
    <n v="0"/>
    <n v="0"/>
    <n v="0"/>
    <n v="7000.63"/>
    <n v="7000.63"/>
    <n v="-25796.99"/>
  </r>
  <r>
    <x v="0"/>
    <x v="23"/>
    <x v="0"/>
    <s v="9000932"/>
    <n v="749510"/>
    <s v="Other Clinic IT Costs"/>
    <s v="Eliminations-PE @ SF"/>
    <x v="0"/>
    <n v="5105"/>
    <n v="0"/>
    <n v="0"/>
    <n v="0"/>
    <n v="0"/>
    <n v="0"/>
    <n v="0"/>
    <n v="0"/>
    <n v="0"/>
    <n v="0"/>
    <n v="0"/>
    <n v="0"/>
    <n v="14245.3"/>
    <n v="14245.3"/>
    <n v="-6466.24"/>
  </r>
  <r>
    <x v="0"/>
    <x v="23"/>
    <x v="0"/>
    <s v="9000932"/>
    <n v="749512"/>
    <s v="Licenses-Physician"/>
    <s v="Eliminations-PE @ SF"/>
    <x v="0"/>
    <n v="2000"/>
    <n v="0"/>
    <n v="0"/>
    <n v="0"/>
    <n v="0"/>
    <n v="0"/>
    <n v="0"/>
    <n v="0"/>
    <n v="0"/>
    <n v="0"/>
    <n v="0"/>
    <n v="0"/>
    <n v="25796.99"/>
    <n v="25796.99"/>
    <n v="-145000"/>
  </r>
  <r>
    <x v="0"/>
    <x v="23"/>
    <x v="0"/>
    <s v="9000932"/>
    <n v="749513"/>
    <s v="Licenses-Advanced Practice Clinician"/>
    <s v="Eliminations-PE @ SF"/>
    <x v="0"/>
    <n v="2000"/>
    <n v="0"/>
    <n v="0"/>
    <n v="0"/>
    <n v="0"/>
    <n v="0"/>
    <n v="0"/>
    <n v="0"/>
    <n v="0"/>
    <n v="0"/>
    <n v="0"/>
    <n v="0"/>
    <n v="6466.24"/>
    <n v="6466.24"/>
    <n v="-21561.84"/>
  </r>
  <r>
    <x v="0"/>
    <x v="23"/>
    <x v="0"/>
    <s v="9000932"/>
    <n v="749525"/>
    <s v="Contingent Liability Expense"/>
    <s v="Eliminations-PE @ SF"/>
    <x v="0"/>
    <m/>
    <n v="0"/>
    <n v="0"/>
    <n v="0"/>
    <n v="0"/>
    <n v="0"/>
    <n v="0"/>
    <n v="0"/>
    <n v="0"/>
    <n v="0"/>
    <n v="0"/>
    <n v="0"/>
    <n v="145000"/>
    <n v="145000"/>
    <n v="-15887.3"/>
  </r>
  <r>
    <x v="0"/>
    <x v="23"/>
    <x v="0"/>
    <s v="9000932"/>
    <n v="749530"/>
    <s v="Travel"/>
    <s v="Eliminations-PE @ SF"/>
    <x v="0"/>
    <m/>
    <n v="0"/>
    <n v="0"/>
    <n v="0"/>
    <n v="0"/>
    <n v="0"/>
    <n v="0"/>
    <n v="0"/>
    <n v="0"/>
    <n v="0"/>
    <n v="0"/>
    <n v="0"/>
    <n v="21561.84"/>
    <n v="21561.84"/>
    <n v="-46830.26"/>
  </r>
  <r>
    <x v="0"/>
    <x v="23"/>
    <x v="0"/>
    <s v="9000932"/>
    <n v="749530"/>
    <s v="Mileage"/>
    <s v="Eliminations-PE @ SF"/>
    <x v="0"/>
    <n v="1001"/>
    <n v="0"/>
    <n v="0"/>
    <n v="0"/>
    <n v="0"/>
    <n v="0"/>
    <n v="0"/>
    <n v="0"/>
    <n v="0"/>
    <n v="0"/>
    <n v="0"/>
    <n v="0"/>
    <n v="15887.3"/>
    <n v="15887.3"/>
    <n v="-1659.38"/>
  </r>
  <r>
    <x v="0"/>
    <x v="23"/>
    <x v="0"/>
    <s v="9000932"/>
    <n v="749532"/>
    <s v="Travel-Physician"/>
    <s v="Eliminations-PE @ SF"/>
    <x v="0"/>
    <m/>
    <n v="0"/>
    <n v="0"/>
    <n v="0"/>
    <n v="0"/>
    <n v="0"/>
    <n v="0"/>
    <n v="0"/>
    <n v="0"/>
    <n v="0"/>
    <n v="0"/>
    <n v="0"/>
    <n v="46830.26"/>
    <n v="46830.26"/>
    <n v="-10821.03"/>
  </r>
  <r>
    <x v="0"/>
    <x v="23"/>
    <x v="0"/>
    <s v="9000932"/>
    <n v="749532"/>
    <s v="Business Meals-Physician"/>
    <s v="Eliminations-PE @ SF"/>
    <x v="0"/>
    <n v="2000"/>
    <n v="0"/>
    <n v="0"/>
    <n v="0"/>
    <n v="0"/>
    <n v="0"/>
    <n v="0"/>
    <n v="0"/>
    <n v="0"/>
    <n v="0"/>
    <n v="0"/>
    <n v="0"/>
    <n v="1659.38"/>
    <n v="1659.38"/>
    <n v="-14419.79"/>
  </r>
  <r>
    <x v="0"/>
    <x v="23"/>
    <x v="0"/>
    <s v="9000932"/>
    <n v="749532"/>
    <s v="Vehicle Expense-Physician"/>
    <s v="Eliminations-PE @ SF"/>
    <x v="0"/>
    <n v="2001"/>
    <n v="0"/>
    <n v="0"/>
    <n v="0"/>
    <n v="0"/>
    <n v="0"/>
    <n v="0"/>
    <n v="0"/>
    <n v="0"/>
    <n v="0"/>
    <n v="0"/>
    <n v="0"/>
    <n v="10821.03"/>
    <n v="10821.03"/>
    <n v="-22.94"/>
  </r>
  <r>
    <x v="0"/>
    <x v="23"/>
    <x v="0"/>
    <s v="9000932"/>
    <n v="749533"/>
    <s v="Travel-Advanced Practice Clinician"/>
    <s v="Eliminations-PE @ SF"/>
    <x v="0"/>
    <m/>
    <n v="0"/>
    <n v="0"/>
    <n v="0"/>
    <n v="0"/>
    <n v="0"/>
    <n v="0"/>
    <n v="0"/>
    <n v="0"/>
    <n v="0"/>
    <n v="0"/>
    <n v="0"/>
    <n v="14419.79"/>
    <n v="14419.79"/>
    <n v="-1827.1"/>
  </r>
  <r>
    <x v="0"/>
    <x v="23"/>
    <x v="0"/>
    <s v="9000932"/>
    <n v="749533"/>
    <s v="Business Meals-Advanced Practice Clinician"/>
    <s v="Eliminations-PE @ SF"/>
    <x v="0"/>
    <n v="2000"/>
    <n v="0"/>
    <n v="0"/>
    <n v="0"/>
    <n v="0"/>
    <n v="0"/>
    <n v="0"/>
    <n v="0"/>
    <n v="0"/>
    <n v="0"/>
    <n v="0"/>
    <n v="0"/>
    <n v="22.94"/>
    <n v="22.94"/>
    <n v="-9962.66"/>
  </r>
  <r>
    <x v="0"/>
    <x v="23"/>
    <x v="0"/>
    <s v="9000932"/>
    <n v="749533"/>
    <s v="Vehicle Expense-Advanced Practice Clinician"/>
    <s v="Eliminations-PE @ SF"/>
    <x v="0"/>
    <n v="2001"/>
    <n v="0"/>
    <n v="0"/>
    <n v="0"/>
    <n v="0"/>
    <n v="0"/>
    <n v="0"/>
    <n v="0"/>
    <n v="0"/>
    <n v="0"/>
    <n v="0"/>
    <n v="0"/>
    <n v="1827.1"/>
    <n v="1827.1"/>
    <n v="-182.75"/>
  </r>
  <r>
    <x v="0"/>
    <x v="23"/>
    <x v="0"/>
    <s v="9000932"/>
    <n v="749535"/>
    <s v="Meetings"/>
    <s v="Eliminations-PE @ SF"/>
    <x v="0"/>
    <m/>
    <n v="0"/>
    <n v="0"/>
    <n v="0"/>
    <n v="0"/>
    <n v="0"/>
    <n v="0"/>
    <n v="0"/>
    <n v="0"/>
    <n v="0"/>
    <n v="0"/>
    <n v="0"/>
    <n v="9962.66"/>
    <n v="9962.66"/>
    <n v="-66.430000000000007"/>
  </r>
  <r>
    <x v="0"/>
    <x v="23"/>
    <x v="0"/>
    <s v="9000932"/>
    <n v="749535"/>
    <s v="Medicare Non-Allowable Beverages"/>
    <s v="Eliminations-PE @ SF"/>
    <x v="0"/>
    <n v="1005"/>
    <n v="0"/>
    <n v="0"/>
    <n v="0"/>
    <n v="0"/>
    <n v="0"/>
    <n v="0"/>
    <n v="0"/>
    <n v="0"/>
    <n v="0"/>
    <n v="0"/>
    <n v="0"/>
    <n v="182.75"/>
    <n v="182.75"/>
    <n v="-112.11"/>
  </r>
  <r>
    <x v="0"/>
    <x v="23"/>
    <x v="0"/>
    <s v="9000932"/>
    <n v="749535"/>
    <s v="Medicare Non-Allowable Other"/>
    <s v="Eliminations-PE @ SF"/>
    <x v="0"/>
    <n v="1012"/>
    <n v="0"/>
    <n v="0"/>
    <n v="0"/>
    <n v="0"/>
    <n v="0"/>
    <n v="0"/>
    <n v="0"/>
    <n v="0"/>
    <n v="0"/>
    <n v="0"/>
    <n v="0"/>
    <n v="66.430000000000007"/>
    <n v="66.430000000000007"/>
    <n v="0"/>
  </r>
  <r>
    <x v="0"/>
    <x v="23"/>
    <x v="0"/>
    <s v="9000932"/>
    <n v="749550"/>
    <s v="Cash Over/Short"/>
    <s v="Eliminations-PE @ SF"/>
    <x v="0"/>
    <m/>
    <n v="0"/>
    <n v="0"/>
    <n v="0"/>
    <n v="0"/>
    <n v="0"/>
    <n v="0"/>
    <n v="0"/>
    <n v="0"/>
    <n v="0"/>
    <n v="0"/>
    <n v="0"/>
    <n v="112.11"/>
    <n v="112.11"/>
    <n v="-25798.98"/>
  </r>
  <r>
    <x v="0"/>
    <x v="23"/>
    <x v="0"/>
    <s v="9000932"/>
    <n v="749591"/>
    <s v="Other Expense-Intracompany Allocation"/>
    <s v="Eliminations-PE @ SF"/>
    <x v="0"/>
    <m/>
    <n v="0"/>
    <n v="0"/>
    <n v="0"/>
    <n v="0"/>
    <n v="0"/>
    <n v="0"/>
    <n v="0"/>
    <n v="0"/>
    <n v="0"/>
    <n v="0"/>
    <n v="0"/>
    <n v="0"/>
    <n v="0"/>
    <n v="-38379.47"/>
  </r>
  <r>
    <x v="24"/>
    <x v="23"/>
    <x v="0"/>
    <s v="9000932"/>
    <n v="760030"/>
    <s v="Interest Expense-Ext to CHI Programs"/>
    <s v="Eliminations-PE @ SF"/>
    <x v="0"/>
    <m/>
    <n v="0"/>
    <n v="0"/>
    <n v="0"/>
    <n v="0"/>
    <n v="0"/>
    <n v="0"/>
    <n v="0"/>
    <n v="0"/>
    <n v="0"/>
    <n v="0"/>
    <n v="0"/>
    <n v="25798.98"/>
    <n v="25798.98"/>
    <n v="-25914.89"/>
  </r>
  <r>
    <x v="0"/>
    <x v="23"/>
    <x v="0"/>
    <s v="9000932"/>
    <n v="765050"/>
    <s v="Local Income Tax"/>
    <s v="Eliminations-PE @ SF"/>
    <x v="0"/>
    <m/>
    <n v="0"/>
    <n v="0"/>
    <n v="0"/>
    <n v="0"/>
    <n v="0"/>
    <n v="0"/>
    <n v="0"/>
    <n v="0"/>
    <n v="0"/>
    <n v="0"/>
    <n v="0"/>
    <n v="38379.47"/>
    <n v="38379.47"/>
    <n v="-1519.3"/>
  </r>
  <r>
    <x v="0"/>
    <x v="23"/>
    <x v="0"/>
    <s v="9000932"/>
    <n v="766010"/>
    <s v="Property Tax"/>
    <s v="Eliminations-PE @ SF"/>
    <x v="0"/>
    <m/>
    <n v="0"/>
    <n v="0"/>
    <n v="0"/>
    <n v="0"/>
    <n v="0"/>
    <n v="0"/>
    <n v="0"/>
    <n v="0"/>
    <n v="0"/>
    <n v="0"/>
    <n v="0"/>
    <n v="25914.89"/>
    <n v="25914.89"/>
    <n v="-326669.81"/>
  </r>
  <r>
    <x v="0"/>
    <x v="23"/>
    <x v="0"/>
    <s v="9000932"/>
    <n v="766070"/>
    <s v="Sales and Use Tax"/>
    <s v="Eliminations-PE @ SF"/>
    <x v="0"/>
    <m/>
    <n v="0"/>
    <n v="0"/>
    <n v="0"/>
    <n v="0"/>
    <n v="0"/>
    <n v="0"/>
    <n v="0"/>
    <n v="0"/>
    <n v="0"/>
    <n v="0"/>
    <n v="0"/>
    <n v="1519.3"/>
    <n v="1519.3"/>
    <n v="-117563.24"/>
  </r>
  <r>
    <x v="0"/>
    <x v="23"/>
    <x v="0"/>
    <s v="9000932"/>
    <n v="766090"/>
    <s v="Franchise and Excise Tax"/>
    <s v="Eliminations-PE @ SF"/>
    <x v="0"/>
    <n v="1001"/>
    <n v="0"/>
    <n v="0"/>
    <n v="0"/>
    <n v="0"/>
    <n v="0"/>
    <n v="0"/>
    <n v="0"/>
    <n v="0"/>
    <n v="0"/>
    <n v="0"/>
    <n v="0"/>
    <n v="326669.81"/>
    <n v="326669.81"/>
    <n v="36.020000000000003"/>
  </r>
  <r>
    <x v="25"/>
    <x v="23"/>
    <x v="0"/>
    <s v="9000932"/>
    <n v="770020"/>
    <s v="Severance Costs"/>
    <s v="Eliminations-PE @ SF"/>
    <x v="0"/>
    <m/>
    <n v="0"/>
    <n v="0"/>
    <n v="0"/>
    <n v="0"/>
    <n v="0"/>
    <n v="0"/>
    <n v="0"/>
    <n v="0"/>
    <n v="0"/>
    <n v="0"/>
    <n v="0"/>
    <n v="117563.24"/>
    <n v="117563.24"/>
    <n v="9613.9699999999993"/>
  </r>
  <r>
    <x v="9"/>
    <x v="23"/>
    <x v="0"/>
    <s v="9000932"/>
    <n v="800010"/>
    <s v="Interest Income-CHI Cash Mgmt Program"/>
    <s v="Eliminations-PE @ SF"/>
    <x v="0"/>
    <n v="1000"/>
    <n v="0"/>
    <n v="0"/>
    <n v="0"/>
    <n v="0"/>
    <n v="0"/>
    <n v="0"/>
    <n v="0"/>
    <n v="0"/>
    <n v="0"/>
    <n v="0"/>
    <n v="0"/>
    <n v="-36.020000000000003"/>
    <n v="-36.020000000000003"/>
    <n v="337732.7"/>
  </r>
  <r>
    <x v="9"/>
    <x v="23"/>
    <x v="0"/>
    <s v="9000932"/>
    <n v="800015"/>
    <s v="Interest Income-Ext to CHI"/>
    <s v="Eliminations-PE @ SF"/>
    <x v="0"/>
    <m/>
    <n v="0"/>
    <n v="0"/>
    <n v="0"/>
    <n v="0"/>
    <n v="0"/>
    <n v="0"/>
    <n v="0"/>
    <n v="0"/>
    <n v="0"/>
    <n v="0"/>
    <n v="0"/>
    <n v="-9613.9699999999993"/>
    <n v="-9613.9699999999993"/>
    <n v="252145.32"/>
  </r>
  <r>
    <x v="9"/>
    <x v="23"/>
    <x v="0"/>
    <s v="9000932"/>
    <n v="804050"/>
    <s v="Business Combination Gains-Nonoperating"/>
    <s v="Eliminations-PE @ SF"/>
    <x v="0"/>
    <m/>
    <n v="0"/>
    <n v="0"/>
    <n v="0"/>
    <n v="0"/>
    <n v="0"/>
    <n v="0"/>
    <n v="0"/>
    <n v="0"/>
    <n v="0"/>
    <n v="0"/>
    <n v="0"/>
    <n v="317574.19"/>
    <n v="317574.19"/>
    <n v="45492.43"/>
  </r>
  <r>
    <x v="1"/>
    <x v="24"/>
    <x v="0"/>
    <s v="9000933"/>
    <n v="400029"/>
    <s v="MD Practice Other Rev--Medicare"/>
    <s v="Eliminations-PE @ SC"/>
    <x v="0"/>
    <n v="1100"/>
    <n v="0"/>
    <n v="0"/>
    <n v="0"/>
    <n v="0"/>
    <n v="0"/>
    <n v="0"/>
    <n v="0"/>
    <n v="0"/>
    <n v="0"/>
    <n v="0"/>
    <n v="0"/>
    <n v="-337732.7"/>
    <n v="-337732.7"/>
    <n v="96907.05"/>
  </r>
  <r>
    <x v="1"/>
    <x v="24"/>
    <x v="0"/>
    <s v="9000933"/>
    <n v="400029"/>
    <s v="MD Practice Other Rev--Medicaid"/>
    <s v="Eliminations-PE @ SC"/>
    <x v="0"/>
    <n v="1200"/>
    <n v="0"/>
    <n v="0"/>
    <n v="0"/>
    <n v="0"/>
    <n v="0"/>
    <n v="0"/>
    <n v="0"/>
    <n v="0"/>
    <n v="0"/>
    <n v="0"/>
    <n v="0"/>
    <n v="-252145.32"/>
    <n v="-252145.32"/>
    <n v="311467.53999999998"/>
  </r>
  <r>
    <x v="1"/>
    <x v="24"/>
    <x v="0"/>
    <s v="9000933"/>
    <n v="400029"/>
    <s v="MD Practice Other Rev--Comm Insurance"/>
    <s v="Eliminations-PE @ SC"/>
    <x v="0"/>
    <n v="1300"/>
    <n v="0"/>
    <n v="0"/>
    <n v="0"/>
    <n v="0"/>
    <n v="0"/>
    <n v="0"/>
    <n v="0"/>
    <n v="0"/>
    <n v="0"/>
    <n v="0"/>
    <n v="0"/>
    <n v="-45492.43"/>
    <n v="-45492.43"/>
    <n v="14688.75"/>
  </r>
  <r>
    <x v="1"/>
    <x v="24"/>
    <x v="0"/>
    <s v="9000933"/>
    <n v="400029"/>
    <s v="MD Practice Other Rev--BCBS Comm"/>
    <s v="Eliminations-PE @ SC"/>
    <x v="0"/>
    <n v="1301"/>
    <n v="0"/>
    <n v="0"/>
    <n v="0"/>
    <n v="0"/>
    <n v="0"/>
    <n v="0"/>
    <n v="0"/>
    <n v="0"/>
    <n v="0"/>
    <n v="0"/>
    <n v="0"/>
    <n v="-96907.05"/>
    <n v="-96907.05"/>
    <n v="67358.990000000005"/>
  </r>
  <r>
    <x v="1"/>
    <x v="24"/>
    <x v="0"/>
    <s v="9000933"/>
    <n v="400029"/>
    <s v="MD Practice Other Rev--Managed Care"/>
    <s v="Eliminations-PE @ SC"/>
    <x v="0"/>
    <n v="1400"/>
    <n v="0"/>
    <n v="0"/>
    <n v="0"/>
    <n v="0"/>
    <n v="0"/>
    <n v="0"/>
    <n v="0"/>
    <n v="0"/>
    <n v="0"/>
    <n v="0"/>
    <n v="0"/>
    <n v="-311467.53999999998"/>
    <n v="-311467.53999999998"/>
    <n v="21998058.309999999"/>
  </r>
  <r>
    <x v="1"/>
    <x v="24"/>
    <x v="0"/>
    <s v="9000933"/>
    <n v="400029"/>
    <s v="MD Practice Other Rev--Self Pay"/>
    <s v="Eliminations-PE @ SC"/>
    <x v="0"/>
    <n v="1500"/>
    <n v="0"/>
    <n v="0"/>
    <n v="0"/>
    <n v="0"/>
    <n v="0"/>
    <n v="0"/>
    <n v="0"/>
    <n v="0"/>
    <n v="0"/>
    <n v="0"/>
    <n v="0"/>
    <n v="-14688.75"/>
    <n v="-14688.75"/>
    <n v="15086696.58"/>
  </r>
  <r>
    <x v="1"/>
    <x v="24"/>
    <x v="0"/>
    <s v="9000933"/>
    <n v="400029"/>
    <s v="MD Practice Other Rev--Other"/>
    <s v="Eliminations-PE @ SC"/>
    <x v="0"/>
    <n v="1700"/>
    <n v="0"/>
    <n v="0"/>
    <n v="0"/>
    <n v="0"/>
    <n v="0"/>
    <n v="0"/>
    <n v="0"/>
    <n v="0"/>
    <n v="0"/>
    <n v="0"/>
    <n v="0"/>
    <n v="-67358.990000000005"/>
    <n v="-67358.990000000005"/>
    <n v="2303342.23"/>
  </r>
  <r>
    <x v="1"/>
    <x v="24"/>
    <x v="0"/>
    <s v="9000933"/>
    <n v="400040"/>
    <s v="Physician Svcs Rev--Medicare"/>
    <s v="Eliminations-PE @ SC"/>
    <x v="0"/>
    <n v="1100"/>
    <n v="0"/>
    <n v="0"/>
    <n v="0"/>
    <n v="0"/>
    <n v="0"/>
    <n v="0"/>
    <n v="0"/>
    <n v="0"/>
    <n v="0"/>
    <n v="0"/>
    <n v="0"/>
    <n v="-21998058.309999999"/>
    <n v="-21998058.309999999"/>
    <n v="4441741.29"/>
  </r>
  <r>
    <x v="1"/>
    <x v="24"/>
    <x v="0"/>
    <s v="9000933"/>
    <n v="400040"/>
    <s v="Physician Svcs Rev--Medicaid"/>
    <s v="Eliminations-PE @ SC"/>
    <x v="0"/>
    <n v="1200"/>
    <n v="0"/>
    <n v="0"/>
    <n v="0"/>
    <n v="0"/>
    <n v="0"/>
    <n v="0"/>
    <n v="0"/>
    <n v="0"/>
    <n v="0"/>
    <n v="0"/>
    <n v="0"/>
    <n v="-15086696.58"/>
    <n v="-15086696.58"/>
    <n v="15161270.960000001"/>
  </r>
  <r>
    <x v="1"/>
    <x v="24"/>
    <x v="0"/>
    <s v="9000933"/>
    <n v="400040"/>
    <s v="Physician Svcs Rev--Comm Insurance"/>
    <s v="Eliminations-PE @ SC"/>
    <x v="0"/>
    <n v="1300"/>
    <n v="0"/>
    <n v="0"/>
    <n v="0"/>
    <n v="0"/>
    <n v="0"/>
    <n v="0"/>
    <n v="0"/>
    <n v="0"/>
    <n v="0"/>
    <n v="0"/>
    <n v="0"/>
    <n v="-2303342.23"/>
    <n v="-2303342.23"/>
    <n v="719469.01"/>
  </r>
  <r>
    <x v="1"/>
    <x v="24"/>
    <x v="0"/>
    <s v="9000933"/>
    <n v="400040"/>
    <s v="Physician Svcs Rev--BCBS Comm"/>
    <s v="Eliminations-PE @ SC"/>
    <x v="0"/>
    <n v="1301"/>
    <n v="0"/>
    <n v="0"/>
    <n v="0"/>
    <n v="0"/>
    <n v="0"/>
    <n v="0"/>
    <n v="0"/>
    <n v="0"/>
    <n v="0"/>
    <n v="0"/>
    <n v="0"/>
    <n v="-4441741.29"/>
    <n v="-4441741.29"/>
    <n v="3711185.2"/>
  </r>
  <r>
    <x v="1"/>
    <x v="24"/>
    <x v="0"/>
    <s v="9000933"/>
    <n v="400040"/>
    <s v="Physician Svcs Rev--Managed Care"/>
    <s v="Eliminations-PE @ SC"/>
    <x v="0"/>
    <n v="1400"/>
    <n v="0"/>
    <n v="0"/>
    <n v="0"/>
    <n v="0"/>
    <n v="0"/>
    <n v="0"/>
    <n v="0"/>
    <n v="0"/>
    <n v="0"/>
    <n v="0"/>
    <n v="0"/>
    <n v="-15161270.960000001"/>
    <n v="-15161270.960000001"/>
    <n v="-216308.46"/>
  </r>
  <r>
    <x v="1"/>
    <x v="24"/>
    <x v="0"/>
    <s v="9000933"/>
    <n v="400040"/>
    <s v="Physician Svcs Rev--Self Pay"/>
    <s v="Eliminations-PE @ SC"/>
    <x v="0"/>
    <n v="1500"/>
    <n v="0"/>
    <n v="0"/>
    <n v="0"/>
    <n v="0"/>
    <n v="0"/>
    <n v="0"/>
    <n v="0"/>
    <n v="0"/>
    <n v="0"/>
    <n v="0"/>
    <n v="0"/>
    <n v="-719469.01"/>
    <n v="-719469.01"/>
    <n v="-185256.37"/>
  </r>
  <r>
    <x v="1"/>
    <x v="24"/>
    <x v="0"/>
    <s v="9000933"/>
    <n v="400040"/>
    <s v="Physician Svcs Rev--Other"/>
    <s v="Eliminations-PE @ SC"/>
    <x v="0"/>
    <n v="1700"/>
    <n v="0"/>
    <n v="0"/>
    <n v="0"/>
    <n v="0"/>
    <n v="0"/>
    <n v="0"/>
    <n v="0"/>
    <n v="0"/>
    <n v="0"/>
    <n v="0"/>
    <n v="0"/>
    <n v="-3711185.2"/>
    <n v="-3711185.2"/>
    <n v="-18446.63"/>
  </r>
  <r>
    <x v="2"/>
    <x v="24"/>
    <x v="0"/>
    <s v="9000933"/>
    <n v="450029"/>
    <s v="Contr Allow--MD Other-Medicare"/>
    <s v="Eliminations-PE @ SC"/>
    <x v="0"/>
    <n v="1100"/>
    <n v="0"/>
    <n v="0"/>
    <n v="0"/>
    <n v="0"/>
    <n v="0"/>
    <n v="0"/>
    <n v="0"/>
    <n v="0"/>
    <n v="0"/>
    <n v="0"/>
    <n v="0"/>
    <n v="216308.46"/>
    <n v="216308.46"/>
    <n v="-40102.5"/>
  </r>
  <r>
    <x v="2"/>
    <x v="24"/>
    <x v="0"/>
    <s v="9000933"/>
    <n v="450029"/>
    <s v="Contr Allow--MD Other-Medicaid"/>
    <s v="Eliminations-PE @ SC"/>
    <x v="0"/>
    <n v="1200"/>
    <n v="0"/>
    <n v="0"/>
    <n v="0"/>
    <n v="0"/>
    <n v="0"/>
    <n v="0"/>
    <n v="0"/>
    <n v="0"/>
    <n v="0"/>
    <n v="0"/>
    <n v="0"/>
    <n v="185256.37"/>
    <n v="185256.37"/>
    <n v="-139570.78"/>
  </r>
  <r>
    <x v="2"/>
    <x v="24"/>
    <x v="0"/>
    <s v="9000933"/>
    <n v="450029"/>
    <s v="Contr Allow--MD Other-Comm Insurance"/>
    <s v="Eliminations-PE @ SC"/>
    <x v="0"/>
    <n v="1300"/>
    <n v="0"/>
    <n v="0"/>
    <n v="0"/>
    <n v="0"/>
    <n v="0"/>
    <n v="0"/>
    <n v="0"/>
    <n v="0"/>
    <n v="0"/>
    <n v="0"/>
    <n v="0"/>
    <n v="18446.63"/>
    <n v="18446.63"/>
    <n v="-42.86"/>
  </r>
  <r>
    <x v="2"/>
    <x v="24"/>
    <x v="0"/>
    <s v="9000933"/>
    <n v="450029"/>
    <s v="Contr Allow--MD Other BCBS Comm"/>
    <s v="Eliminations-PE @ SC"/>
    <x v="0"/>
    <n v="1301"/>
    <n v="0"/>
    <n v="0"/>
    <n v="0"/>
    <n v="0"/>
    <n v="0"/>
    <n v="0"/>
    <n v="0"/>
    <n v="0"/>
    <n v="0"/>
    <n v="0"/>
    <n v="0"/>
    <n v="40102.5"/>
    <n v="40102.5"/>
    <n v="-9482.9500000000007"/>
  </r>
  <r>
    <x v="2"/>
    <x v="24"/>
    <x v="0"/>
    <s v="9000933"/>
    <n v="450029"/>
    <s v="Contr Allow--MD Other-Managed Care"/>
    <s v="Eliminations-PE @ SC"/>
    <x v="0"/>
    <n v="1400"/>
    <n v="0"/>
    <n v="0"/>
    <n v="0"/>
    <n v="0"/>
    <n v="0"/>
    <n v="0"/>
    <n v="0"/>
    <n v="0"/>
    <n v="0"/>
    <n v="0"/>
    <n v="0"/>
    <n v="139570.78"/>
    <n v="139570.78"/>
    <n v="-39720.410000000003"/>
  </r>
  <r>
    <x v="2"/>
    <x v="24"/>
    <x v="0"/>
    <s v="9000933"/>
    <n v="450029"/>
    <s v="Prompt Pay Disc-MD Other-Self Pay"/>
    <s v="Eliminations-PE @ SC"/>
    <x v="0"/>
    <n v="1500"/>
    <n v="0"/>
    <n v="0"/>
    <n v="0"/>
    <n v="0"/>
    <n v="0"/>
    <n v="0"/>
    <n v="0"/>
    <n v="0"/>
    <n v="0"/>
    <n v="0"/>
    <n v="0"/>
    <n v="42.86"/>
    <n v="42.86"/>
    <n v="-14547819.52"/>
  </r>
  <r>
    <x v="2"/>
    <x v="24"/>
    <x v="0"/>
    <s v="9000933"/>
    <n v="450029"/>
    <s v="Admin Adjust-MD Other-Self Pay"/>
    <s v="Eliminations-PE @ SC"/>
    <x v="0"/>
    <n v="1600"/>
    <n v="0"/>
    <n v="0"/>
    <n v="0"/>
    <n v="0"/>
    <n v="0"/>
    <n v="0"/>
    <n v="0"/>
    <n v="0"/>
    <n v="0"/>
    <n v="0"/>
    <n v="0"/>
    <n v="9482.9500000000007"/>
    <n v="9482.9500000000007"/>
    <n v="-11020708.619999999"/>
  </r>
  <r>
    <x v="2"/>
    <x v="24"/>
    <x v="0"/>
    <s v="9000933"/>
    <n v="450029"/>
    <s v="Contr Allow--MD Other-Other"/>
    <s v="Eliminations-PE @ SC"/>
    <x v="0"/>
    <n v="1700"/>
    <n v="0"/>
    <n v="0"/>
    <n v="0"/>
    <n v="0"/>
    <n v="0"/>
    <n v="0"/>
    <n v="0"/>
    <n v="0"/>
    <n v="0"/>
    <n v="0"/>
    <n v="0"/>
    <n v="39720.410000000003"/>
    <n v="39720.410000000003"/>
    <n v="-928555.09"/>
  </r>
  <r>
    <x v="2"/>
    <x v="24"/>
    <x v="0"/>
    <s v="9000933"/>
    <n v="450040"/>
    <s v="Contr Allow--Phys Svcs--Mcare"/>
    <s v="Eliminations-PE @ SC"/>
    <x v="0"/>
    <n v="1100"/>
    <n v="0"/>
    <n v="0"/>
    <n v="0"/>
    <n v="0"/>
    <n v="0"/>
    <n v="0"/>
    <n v="0"/>
    <n v="0"/>
    <n v="0"/>
    <n v="0"/>
    <n v="0"/>
    <n v="14547819.52"/>
    <n v="14547819.52"/>
    <n v="-1617800.62"/>
  </r>
  <r>
    <x v="2"/>
    <x v="24"/>
    <x v="0"/>
    <s v="9000933"/>
    <n v="450040"/>
    <s v="Contr Allow--Phys Svcs--Mcaid"/>
    <s v="Eliminations-PE @ SC"/>
    <x v="0"/>
    <n v="1200"/>
    <n v="0"/>
    <n v="0"/>
    <n v="0"/>
    <n v="0"/>
    <n v="0"/>
    <n v="0"/>
    <n v="0"/>
    <n v="0"/>
    <n v="0"/>
    <n v="0"/>
    <n v="0"/>
    <n v="11020708.619999999"/>
    <n v="11020708.619999999"/>
    <n v="-6014450.1900000004"/>
  </r>
  <r>
    <x v="2"/>
    <x v="24"/>
    <x v="0"/>
    <s v="9000933"/>
    <n v="450040"/>
    <s v="Contr Allow--Phys Svcs--Comm Insurance"/>
    <s v="Eliminations-PE @ SC"/>
    <x v="0"/>
    <n v="1300"/>
    <n v="0"/>
    <n v="0"/>
    <n v="0"/>
    <n v="0"/>
    <n v="0"/>
    <n v="0"/>
    <n v="0"/>
    <n v="0"/>
    <n v="0"/>
    <n v="0"/>
    <n v="0"/>
    <n v="928555.09"/>
    <n v="928555.09"/>
    <n v="283733.74"/>
  </r>
  <r>
    <x v="2"/>
    <x v="24"/>
    <x v="0"/>
    <s v="9000933"/>
    <n v="450040"/>
    <s v="Contr Allow--Phys Svcs--BCBS Comm Ins"/>
    <s v="Eliminations-PE @ SC"/>
    <x v="0"/>
    <n v="1301"/>
    <n v="0"/>
    <n v="0"/>
    <n v="0"/>
    <n v="0"/>
    <n v="0"/>
    <n v="0"/>
    <n v="0"/>
    <n v="0"/>
    <n v="0"/>
    <n v="0"/>
    <n v="0"/>
    <n v="1617800.62"/>
    <n v="1617800.62"/>
    <n v="18505.439999999999"/>
  </r>
  <r>
    <x v="2"/>
    <x v="24"/>
    <x v="0"/>
    <s v="9000933"/>
    <n v="450040"/>
    <s v="Contr Allow--Phys Svcs--Managed Care"/>
    <s v="Eliminations-PE @ SC"/>
    <x v="0"/>
    <n v="1400"/>
    <n v="0"/>
    <n v="0"/>
    <n v="0"/>
    <n v="0"/>
    <n v="0"/>
    <n v="0"/>
    <n v="0"/>
    <n v="0"/>
    <n v="0"/>
    <n v="0"/>
    <n v="0"/>
    <n v="6014450.1900000004"/>
    <n v="6014450.1900000004"/>
    <n v="-442745.12"/>
  </r>
  <r>
    <x v="2"/>
    <x v="24"/>
    <x v="0"/>
    <s v="9000933"/>
    <n v="450040"/>
    <s v="Contr Allow--Phys Svcs--BCBS Mgnd Care"/>
    <s v="Eliminations-PE @ SC"/>
    <x v="0"/>
    <n v="1401"/>
    <n v="0"/>
    <n v="0"/>
    <n v="0"/>
    <n v="0"/>
    <n v="0"/>
    <n v="0"/>
    <n v="0"/>
    <n v="0"/>
    <n v="0"/>
    <n v="0"/>
    <n v="0"/>
    <n v="-283733.74"/>
    <n v="-283733.74"/>
    <n v="-2318373.4300000002"/>
  </r>
  <r>
    <x v="2"/>
    <x v="24"/>
    <x v="0"/>
    <s v="9000933"/>
    <n v="450040"/>
    <s v="Prompt Pay Disc-Phys Svcs-Self Pay"/>
    <s v="Eliminations-PE @ SC"/>
    <x v="0"/>
    <n v="1500"/>
    <n v="0"/>
    <n v="0"/>
    <n v="0"/>
    <n v="0"/>
    <n v="0"/>
    <n v="0"/>
    <n v="0"/>
    <n v="0"/>
    <n v="0"/>
    <n v="0"/>
    <n v="0"/>
    <n v="-18505.439999999999"/>
    <n v="-18505.439999999999"/>
    <n v="-429887.92"/>
  </r>
  <r>
    <x v="2"/>
    <x v="24"/>
    <x v="0"/>
    <s v="9000933"/>
    <n v="450040"/>
    <s v="Admin Adjust-Phys Svcs-Self Pay"/>
    <s v="Eliminations-PE @ SC"/>
    <x v="0"/>
    <n v="1600"/>
    <n v="0"/>
    <n v="0"/>
    <n v="0"/>
    <n v="0"/>
    <n v="0"/>
    <n v="0"/>
    <n v="0"/>
    <n v="0"/>
    <n v="0"/>
    <n v="0"/>
    <n v="0"/>
    <n v="442745.12"/>
    <n v="442745.12"/>
    <n v="-636473.02"/>
  </r>
  <r>
    <x v="2"/>
    <x v="24"/>
    <x v="0"/>
    <s v="9000933"/>
    <n v="450040"/>
    <s v="Contr Allow--Phys Svcs--Other"/>
    <s v="Eliminations-PE @ SC"/>
    <x v="0"/>
    <n v="1700"/>
    <n v="0"/>
    <n v="0"/>
    <n v="0"/>
    <n v="0"/>
    <n v="0"/>
    <n v="0"/>
    <n v="0"/>
    <n v="0"/>
    <n v="0"/>
    <n v="0"/>
    <n v="0"/>
    <n v="2318373.4300000002"/>
    <n v="2318373.4300000002"/>
    <n v="19483.77"/>
  </r>
  <r>
    <x v="3"/>
    <x v="24"/>
    <x v="0"/>
    <s v="9000933"/>
    <n v="470040"/>
    <s v="Charity Care-Physician Svcs"/>
    <s v="Eliminations-PE @ SC"/>
    <x v="0"/>
    <m/>
    <n v="0"/>
    <n v="0"/>
    <n v="0"/>
    <n v="0"/>
    <n v="0"/>
    <n v="0"/>
    <n v="0"/>
    <n v="0"/>
    <n v="0"/>
    <n v="0"/>
    <n v="0"/>
    <n v="429887.92"/>
    <n v="429887.92"/>
    <n v="91.64"/>
  </r>
  <r>
    <x v="4"/>
    <x v="24"/>
    <x v="0"/>
    <s v="9000933"/>
    <n v="490010"/>
    <s v="Provision for Bad Debts"/>
    <s v="Eliminations-PE @ SC"/>
    <x v="0"/>
    <m/>
    <n v="0"/>
    <n v="0"/>
    <n v="0"/>
    <n v="0"/>
    <n v="0"/>
    <n v="0"/>
    <n v="0"/>
    <n v="0"/>
    <n v="0"/>
    <n v="0"/>
    <n v="0"/>
    <n v="636473.02"/>
    <n v="636473.02"/>
    <n v="32.42"/>
  </r>
  <r>
    <x v="14"/>
    <x v="24"/>
    <x v="0"/>
    <s v="9000933"/>
    <n v="600010"/>
    <s v="Product Sales Income-Taxable"/>
    <s v="Eliminations-PE @ SC"/>
    <x v="0"/>
    <m/>
    <n v="0"/>
    <n v="0"/>
    <n v="0"/>
    <n v="0"/>
    <n v="0"/>
    <n v="0"/>
    <n v="0"/>
    <n v="0"/>
    <n v="0"/>
    <n v="0"/>
    <n v="0"/>
    <n v="-19483.77"/>
    <n v="-19483.77"/>
    <n v="672.25"/>
  </r>
  <r>
    <x v="14"/>
    <x v="24"/>
    <x v="0"/>
    <s v="9000933"/>
    <n v="600026"/>
    <s v="POB Rental"/>
    <s v="Eliminations-PE @ SC"/>
    <x v="0"/>
    <n v="1001"/>
    <n v="0"/>
    <n v="0"/>
    <n v="0"/>
    <n v="0"/>
    <n v="0"/>
    <n v="0"/>
    <n v="0"/>
    <n v="0"/>
    <n v="0"/>
    <n v="0"/>
    <n v="0"/>
    <n v="-91.64"/>
    <n v="-91.64"/>
    <n v="633466.74"/>
  </r>
  <r>
    <x v="14"/>
    <x v="24"/>
    <x v="0"/>
    <s v="9000933"/>
    <n v="600026"/>
    <s v="Other Rental"/>
    <s v="Eliminations-PE @ SC"/>
    <x v="0"/>
    <n v="1002"/>
    <n v="0"/>
    <n v="0"/>
    <n v="0"/>
    <n v="0"/>
    <n v="0"/>
    <n v="0"/>
    <n v="0"/>
    <n v="0"/>
    <n v="0"/>
    <n v="0"/>
    <n v="0"/>
    <n v="-32.42"/>
    <n v="-32.42"/>
    <n v="12867.03"/>
  </r>
  <r>
    <x v="14"/>
    <x v="24"/>
    <x v="0"/>
    <s v="9000933"/>
    <n v="600034"/>
    <s v="Vending Commission"/>
    <s v="Eliminations-PE @ SC"/>
    <x v="0"/>
    <n v="1002"/>
    <n v="0"/>
    <n v="0"/>
    <n v="0"/>
    <n v="0"/>
    <n v="0"/>
    <n v="0"/>
    <n v="0"/>
    <n v="0"/>
    <n v="0"/>
    <n v="0"/>
    <n v="0"/>
    <n v="-672.25"/>
    <n v="-672.25"/>
    <n v="35589.5"/>
  </r>
  <r>
    <x v="14"/>
    <x v="24"/>
    <x v="0"/>
    <s v="9000933"/>
    <n v="600050"/>
    <s v="Miscellaneous Revenue"/>
    <s v="Eliminations-PE @ SC"/>
    <x v="0"/>
    <m/>
    <n v="0"/>
    <n v="0"/>
    <n v="0"/>
    <n v="0"/>
    <n v="0"/>
    <n v="0"/>
    <n v="0"/>
    <n v="0"/>
    <n v="0"/>
    <n v="0"/>
    <n v="0"/>
    <n v="-633466.74"/>
    <n v="-633466.74"/>
    <n v="140535.4"/>
  </r>
  <r>
    <x v="14"/>
    <x v="24"/>
    <x v="0"/>
    <s v="9000933"/>
    <n v="600055"/>
    <s v="Grants"/>
    <s v="Eliminations-PE @ SC"/>
    <x v="0"/>
    <m/>
    <n v="0"/>
    <n v="0"/>
    <n v="0"/>
    <n v="0"/>
    <n v="0"/>
    <n v="0"/>
    <n v="0"/>
    <n v="0"/>
    <n v="0"/>
    <n v="0"/>
    <n v="0"/>
    <n v="-12867.03"/>
    <n v="-12867.03"/>
    <n v="25.5"/>
  </r>
  <r>
    <x v="14"/>
    <x v="24"/>
    <x v="0"/>
    <s v="9000933"/>
    <n v="600059"/>
    <s v="Meaningful Use Revenue-Medicaid"/>
    <s v="Eliminations-PE @ SC"/>
    <x v="0"/>
    <m/>
    <n v="0"/>
    <n v="0"/>
    <n v="0"/>
    <n v="0"/>
    <n v="0"/>
    <n v="0"/>
    <n v="0"/>
    <n v="0"/>
    <n v="0"/>
    <n v="0"/>
    <n v="0"/>
    <n v="-35589.5"/>
    <n v="-35589.5"/>
    <n v="-562477.34"/>
  </r>
  <r>
    <x v="14"/>
    <x v="24"/>
    <x v="0"/>
    <s v="9000933"/>
    <n v="600061"/>
    <s v="Federal Grant Revenue"/>
    <s v="Eliminations-PE @ SC"/>
    <x v="0"/>
    <m/>
    <n v="0"/>
    <n v="0"/>
    <n v="0"/>
    <n v="0"/>
    <n v="0"/>
    <n v="0"/>
    <n v="0"/>
    <n v="0"/>
    <n v="0"/>
    <n v="0"/>
    <n v="0"/>
    <n v="-140535.4"/>
    <n v="-140535.4"/>
    <n v="-613.9"/>
  </r>
  <r>
    <x v="20"/>
    <x v="24"/>
    <x v="0"/>
    <s v="9000933"/>
    <n v="610010"/>
    <s v="Foundation Distributions"/>
    <s v="Eliminations-PE @ SC"/>
    <x v="0"/>
    <n v="1175"/>
    <n v="0"/>
    <n v="0"/>
    <n v="0"/>
    <n v="0"/>
    <n v="0"/>
    <n v="0"/>
    <n v="0"/>
    <n v="0"/>
    <n v="0"/>
    <n v="0"/>
    <n v="0"/>
    <n v="-25.5"/>
    <n v="-25.5"/>
    <n v="-355075.49"/>
  </r>
  <r>
    <x v="5"/>
    <x v="24"/>
    <x v="0"/>
    <s v="9000933"/>
    <n v="700014"/>
    <s v="Salaries-Management-Productive"/>
    <s v="Eliminations-PE @ SC"/>
    <x v="0"/>
    <m/>
    <n v="0"/>
    <n v="0"/>
    <n v="0"/>
    <n v="0"/>
    <n v="0"/>
    <n v="0"/>
    <n v="0"/>
    <n v="0"/>
    <n v="0"/>
    <n v="0"/>
    <n v="0"/>
    <n v="562477.34"/>
    <n v="562477.34"/>
    <n v="-1.77"/>
  </r>
  <r>
    <x v="5"/>
    <x v="24"/>
    <x v="0"/>
    <s v="9000933"/>
    <n v="700014"/>
    <s v="Salaries-Management-Other"/>
    <s v="Eliminations-PE @ SC"/>
    <x v="0"/>
    <n v="2000"/>
    <n v="0"/>
    <n v="0"/>
    <n v="0"/>
    <n v="0"/>
    <n v="0"/>
    <n v="0"/>
    <n v="0"/>
    <n v="0"/>
    <n v="0"/>
    <n v="0"/>
    <n v="0"/>
    <n v="613.9"/>
    <n v="613.9"/>
    <n v="-78300.759999999995"/>
  </r>
  <r>
    <x v="5"/>
    <x v="24"/>
    <x v="0"/>
    <s v="9000933"/>
    <n v="700018"/>
    <s v="Salaries-Supervisory-Productive"/>
    <s v="Eliminations-PE @ SC"/>
    <x v="0"/>
    <m/>
    <n v="0"/>
    <n v="0"/>
    <n v="0"/>
    <n v="0"/>
    <n v="0"/>
    <n v="0"/>
    <n v="0"/>
    <n v="0"/>
    <n v="0"/>
    <n v="0"/>
    <n v="0"/>
    <n v="355075.49"/>
    <n v="355075.49"/>
    <n v="-28557.84"/>
  </r>
  <r>
    <x v="5"/>
    <x v="24"/>
    <x v="0"/>
    <s v="9000933"/>
    <n v="700018"/>
    <s v="Salaries-Supervisory-Other"/>
    <s v="Eliminations-PE @ SC"/>
    <x v="0"/>
    <n v="2000"/>
    <n v="0"/>
    <n v="0"/>
    <n v="0"/>
    <n v="0"/>
    <n v="0"/>
    <n v="0"/>
    <n v="0"/>
    <n v="0"/>
    <n v="0"/>
    <n v="0"/>
    <n v="0"/>
    <n v="1.77"/>
    <n v="1.77"/>
    <n v="-11470329.199999999"/>
  </r>
  <r>
    <x v="5"/>
    <x v="24"/>
    <x v="0"/>
    <s v="9000933"/>
    <n v="700020"/>
    <s v="Salaries-Physician Admin-Productive"/>
    <s v="Eliminations-PE @ SC"/>
    <x v="0"/>
    <m/>
    <n v="0"/>
    <n v="0"/>
    <n v="0"/>
    <n v="0"/>
    <n v="0"/>
    <n v="0"/>
    <n v="0"/>
    <n v="0"/>
    <n v="0"/>
    <n v="0"/>
    <n v="0"/>
    <n v="78300.759999999995"/>
    <n v="78300.759999999995"/>
    <n v="-417807.53"/>
  </r>
  <r>
    <x v="5"/>
    <x v="24"/>
    <x v="0"/>
    <s v="9000933"/>
    <n v="700020"/>
    <s v="Salaries-Physician Admin-Other"/>
    <s v="Eliminations-PE @ SC"/>
    <x v="0"/>
    <n v="2000"/>
    <n v="0"/>
    <n v="0"/>
    <n v="0"/>
    <n v="0"/>
    <n v="0"/>
    <n v="0"/>
    <n v="0"/>
    <n v="0"/>
    <n v="0"/>
    <n v="0"/>
    <n v="0"/>
    <n v="28557.84"/>
    <n v="28557.84"/>
    <n v="10036.4"/>
  </r>
  <r>
    <x v="5"/>
    <x v="24"/>
    <x v="0"/>
    <s v="9000933"/>
    <n v="700022"/>
    <s v="Salaries-Physician-Productive"/>
    <s v="Eliminations-PE @ SC"/>
    <x v="0"/>
    <m/>
    <n v="0"/>
    <n v="0"/>
    <n v="0"/>
    <n v="0"/>
    <n v="0"/>
    <n v="0"/>
    <n v="0"/>
    <n v="0"/>
    <n v="0"/>
    <n v="0"/>
    <n v="0"/>
    <n v="11470329.199999999"/>
    <n v="11470329.199999999"/>
    <n v="23.29"/>
  </r>
  <r>
    <x v="5"/>
    <x v="24"/>
    <x v="0"/>
    <s v="9000933"/>
    <n v="700022"/>
    <s v="Salaries-Physician-Other"/>
    <s v="Eliminations-PE @ SC"/>
    <x v="0"/>
    <n v="2000"/>
    <n v="0"/>
    <n v="0"/>
    <n v="0"/>
    <n v="0"/>
    <n v="0"/>
    <n v="0"/>
    <n v="0"/>
    <n v="0"/>
    <n v="0"/>
    <n v="0"/>
    <n v="0"/>
    <n v="417807.53"/>
    <n v="417807.53"/>
    <n v="-2702878.09"/>
  </r>
  <r>
    <x v="5"/>
    <x v="24"/>
    <x v="0"/>
    <s v="9000933"/>
    <n v="700022"/>
    <s v="Salaries-Physician-Provider Incentive"/>
    <s v="Eliminations-PE @ SC"/>
    <x v="0"/>
    <n v="4003"/>
    <n v="0"/>
    <n v="0"/>
    <n v="0"/>
    <n v="0"/>
    <n v="0"/>
    <n v="0"/>
    <n v="0"/>
    <n v="0"/>
    <n v="0"/>
    <n v="0"/>
    <n v="0"/>
    <n v="-10036.4"/>
    <n v="-10036.4"/>
    <n v="-140081.19"/>
  </r>
  <r>
    <x v="5"/>
    <x v="24"/>
    <x v="0"/>
    <s v="9000933"/>
    <n v="700022"/>
    <s v="Salaries-Physician-Recruitment Bonus"/>
    <s v="Eliminations-PE @ SC"/>
    <x v="0"/>
    <n v="4005"/>
    <n v="0"/>
    <n v="0"/>
    <n v="0"/>
    <n v="0"/>
    <n v="0"/>
    <n v="0"/>
    <n v="0"/>
    <n v="0"/>
    <n v="0"/>
    <n v="0"/>
    <n v="0"/>
    <n v="-23.29"/>
    <n v="-23.29"/>
    <n v="-41799.699999999997"/>
  </r>
  <r>
    <x v="5"/>
    <x v="24"/>
    <x v="0"/>
    <s v="9000933"/>
    <n v="700024"/>
    <s v="Salaries-Advanced Practice Clinician-Productive"/>
    <s v="Eliminations-PE @ SC"/>
    <x v="0"/>
    <m/>
    <n v="0"/>
    <n v="0"/>
    <n v="0"/>
    <n v="0"/>
    <n v="0"/>
    <n v="0"/>
    <n v="0"/>
    <n v="0"/>
    <n v="0"/>
    <n v="0"/>
    <n v="0"/>
    <n v="2702878.09"/>
    <n v="2702878.09"/>
    <n v="-847.6"/>
  </r>
  <r>
    <x v="5"/>
    <x v="24"/>
    <x v="0"/>
    <s v="9000933"/>
    <n v="700024"/>
    <s v="Salaries-Advanced Practice Clinician-Other"/>
    <s v="Eliminations-PE @ SC"/>
    <x v="0"/>
    <n v="2000"/>
    <n v="0"/>
    <n v="0"/>
    <n v="0"/>
    <n v="0"/>
    <n v="0"/>
    <n v="0"/>
    <n v="0"/>
    <n v="0"/>
    <n v="0"/>
    <n v="0"/>
    <n v="0"/>
    <n v="140081.19"/>
    <n v="140081.19"/>
    <n v="-826287.39"/>
  </r>
  <r>
    <x v="5"/>
    <x v="24"/>
    <x v="0"/>
    <s v="9000933"/>
    <n v="700024"/>
    <s v="Salaries-Advanced Practice Clinician-Provider Incentive"/>
    <s v="Eliminations-PE @ SC"/>
    <x v="0"/>
    <n v="4003"/>
    <n v="0"/>
    <n v="0"/>
    <n v="0"/>
    <n v="0"/>
    <n v="0"/>
    <n v="0"/>
    <n v="0"/>
    <n v="0"/>
    <n v="0"/>
    <n v="0"/>
    <n v="0"/>
    <n v="41799.699999999997"/>
    <n v="41799.699999999997"/>
    <n v="-21780.36"/>
  </r>
  <r>
    <x v="5"/>
    <x v="24"/>
    <x v="0"/>
    <s v="9000933"/>
    <n v="700024"/>
    <s v="Salaries-Advanced Practice Clinician-Recruitment Bonus"/>
    <s v="Eliminations-PE @ SC"/>
    <x v="0"/>
    <n v="4005"/>
    <n v="0"/>
    <n v="0"/>
    <n v="0"/>
    <n v="0"/>
    <n v="0"/>
    <n v="0"/>
    <n v="0"/>
    <n v="0"/>
    <n v="0"/>
    <n v="0"/>
    <n v="0"/>
    <n v="847.6"/>
    <n v="847.6"/>
    <n v="-4507.1499999999996"/>
  </r>
  <r>
    <x v="5"/>
    <x v="24"/>
    <x v="0"/>
    <s v="9000933"/>
    <n v="700026"/>
    <s v="Salaries-RN-Productive"/>
    <s v="Eliminations-PE @ SC"/>
    <x v="0"/>
    <m/>
    <n v="0"/>
    <n v="0"/>
    <n v="0"/>
    <n v="0"/>
    <n v="0"/>
    <n v="0"/>
    <n v="0"/>
    <n v="0"/>
    <n v="0"/>
    <n v="0"/>
    <n v="0"/>
    <n v="826287.39"/>
    <n v="826287.39"/>
    <n v="-1263388.75"/>
  </r>
  <r>
    <x v="5"/>
    <x v="24"/>
    <x v="0"/>
    <s v="9000933"/>
    <n v="700026"/>
    <s v="Salaries-RN-OT"/>
    <s v="Eliminations-PE @ SC"/>
    <x v="0"/>
    <n v="1000"/>
    <n v="0"/>
    <n v="0"/>
    <n v="0"/>
    <n v="0"/>
    <n v="0"/>
    <n v="0"/>
    <n v="0"/>
    <n v="0"/>
    <n v="0"/>
    <n v="0"/>
    <n v="0"/>
    <n v="21780.36"/>
    <n v="21780.36"/>
    <n v="-76003.25"/>
  </r>
  <r>
    <x v="5"/>
    <x v="24"/>
    <x v="0"/>
    <s v="9000933"/>
    <n v="700026"/>
    <s v="Salaries-RN-Other"/>
    <s v="Eliminations-PE @ SC"/>
    <x v="0"/>
    <n v="2000"/>
    <n v="0"/>
    <n v="0"/>
    <n v="0"/>
    <n v="0"/>
    <n v="0"/>
    <n v="0"/>
    <n v="0"/>
    <n v="0"/>
    <n v="0"/>
    <n v="0"/>
    <n v="0"/>
    <n v="4507.1499999999996"/>
    <n v="4507.1499999999996"/>
    <n v="-4082.17"/>
  </r>
  <r>
    <x v="5"/>
    <x v="24"/>
    <x v="0"/>
    <s v="9000933"/>
    <n v="700030"/>
    <s v="Salaries-LPN-Productive"/>
    <s v="Eliminations-PE @ SC"/>
    <x v="0"/>
    <m/>
    <n v="0"/>
    <n v="0"/>
    <n v="0"/>
    <n v="0"/>
    <n v="0"/>
    <n v="0"/>
    <n v="0"/>
    <n v="0"/>
    <n v="0"/>
    <n v="0"/>
    <n v="0"/>
    <n v="1263388.75"/>
    <n v="1263388.75"/>
    <n v="-1295564.46"/>
  </r>
  <r>
    <x v="5"/>
    <x v="24"/>
    <x v="0"/>
    <s v="9000933"/>
    <n v="700030"/>
    <s v="Salaries-LPN-OT"/>
    <s v="Eliminations-PE @ SC"/>
    <x v="0"/>
    <n v="1000"/>
    <n v="0"/>
    <n v="0"/>
    <n v="0"/>
    <n v="0"/>
    <n v="0"/>
    <n v="0"/>
    <n v="0"/>
    <n v="0"/>
    <n v="0"/>
    <n v="0"/>
    <n v="0"/>
    <n v="76003.25"/>
    <n v="76003.25"/>
    <n v="-50127.8"/>
  </r>
  <r>
    <x v="5"/>
    <x v="24"/>
    <x v="0"/>
    <s v="9000933"/>
    <n v="700030"/>
    <s v="Salaries-LPN-Other"/>
    <s v="Eliminations-PE @ SC"/>
    <x v="0"/>
    <n v="2000"/>
    <n v="0"/>
    <n v="0"/>
    <n v="0"/>
    <n v="0"/>
    <n v="0"/>
    <n v="0"/>
    <n v="0"/>
    <n v="0"/>
    <n v="0"/>
    <n v="0"/>
    <n v="0"/>
    <n v="4082.17"/>
    <n v="4082.17"/>
    <n v="-5325.32"/>
  </r>
  <r>
    <x v="5"/>
    <x v="24"/>
    <x v="0"/>
    <s v="9000933"/>
    <n v="700032"/>
    <s v="Salaries-Other Pat Care Providers-Productive"/>
    <s v="Eliminations-PE @ SC"/>
    <x v="0"/>
    <m/>
    <n v="0"/>
    <n v="0"/>
    <n v="0"/>
    <n v="0"/>
    <n v="0"/>
    <n v="0"/>
    <n v="0"/>
    <n v="0"/>
    <n v="0"/>
    <n v="0"/>
    <n v="0"/>
    <n v="1295564.46"/>
    <n v="1295564.46"/>
    <n v="-623502.63"/>
  </r>
  <r>
    <x v="5"/>
    <x v="24"/>
    <x v="0"/>
    <s v="9000933"/>
    <n v="700032"/>
    <s v="Salaries-Other Pat Care Providers-OT"/>
    <s v="Eliminations-PE @ SC"/>
    <x v="0"/>
    <n v="1000"/>
    <n v="0"/>
    <n v="0"/>
    <n v="0"/>
    <n v="0"/>
    <n v="0"/>
    <n v="0"/>
    <n v="0"/>
    <n v="0"/>
    <n v="0"/>
    <n v="0"/>
    <n v="0"/>
    <n v="50127.8"/>
    <n v="50127.8"/>
    <n v="-9033.9"/>
  </r>
  <r>
    <x v="5"/>
    <x v="24"/>
    <x v="0"/>
    <s v="9000933"/>
    <n v="700032"/>
    <s v="Salaries-Other Pat Care Providers-Other"/>
    <s v="Eliminations-PE @ SC"/>
    <x v="0"/>
    <n v="2000"/>
    <n v="0"/>
    <n v="0"/>
    <n v="0"/>
    <n v="0"/>
    <n v="0"/>
    <n v="0"/>
    <n v="0"/>
    <n v="0"/>
    <n v="0"/>
    <n v="0"/>
    <n v="0"/>
    <n v="5325.32"/>
    <n v="5325.32"/>
    <n v="-3100.88"/>
  </r>
  <r>
    <x v="5"/>
    <x v="24"/>
    <x v="0"/>
    <s v="9000933"/>
    <n v="700034"/>
    <s v="Salaries-Tech/Professional-Productive"/>
    <s v="Eliminations-PE @ SC"/>
    <x v="0"/>
    <m/>
    <n v="0"/>
    <n v="0"/>
    <n v="0"/>
    <n v="0"/>
    <n v="0"/>
    <n v="0"/>
    <n v="0"/>
    <n v="0"/>
    <n v="0"/>
    <n v="0"/>
    <n v="0"/>
    <n v="623502.63"/>
    <n v="623502.63"/>
    <n v="-2612705.66"/>
  </r>
  <r>
    <x v="5"/>
    <x v="24"/>
    <x v="0"/>
    <s v="9000933"/>
    <n v="700034"/>
    <s v="Salaries-Tech/Professional-OT"/>
    <s v="Eliminations-PE @ SC"/>
    <x v="0"/>
    <n v="1000"/>
    <n v="0"/>
    <n v="0"/>
    <n v="0"/>
    <n v="0"/>
    <n v="0"/>
    <n v="0"/>
    <n v="0"/>
    <n v="0"/>
    <n v="0"/>
    <n v="0"/>
    <n v="0"/>
    <n v="9033.9"/>
    <n v="9033.9"/>
    <n v="-97768.06"/>
  </r>
  <r>
    <x v="5"/>
    <x v="24"/>
    <x v="0"/>
    <s v="9000933"/>
    <n v="700034"/>
    <s v="Salaries-Tech/Professional-Other"/>
    <s v="Eliminations-PE @ SC"/>
    <x v="0"/>
    <n v="2000"/>
    <n v="0"/>
    <n v="0"/>
    <n v="0"/>
    <n v="0"/>
    <n v="0"/>
    <n v="0"/>
    <n v="0"/>
    <n v="0"/>
    <n v="0"/>
    <n v="0"/>
    <n v="0"/>
    <n v="3100.88"/>
    <n v="3100.88"/>
    <n v="-16361.47"/>
  </r>
  <r>
    <x v="5"/>
    <x v="24"/>
    <x v="0"/>
    <s v="9000933"/>
    <n v="700038"/>
    <s v="Salaries-Service/Support-Productive"/>
    <s v="Eliminations-PE @ SC"/>
    <x v="0"/>
    <m/>
    <n v="0"/>
    <n v="0"/>
    <n v="0"/>
    <n v="0"/>
    <n v="0"/>
    <n v="0"/>
    <n v="0"/>
    <n v="0"/>
    <n v="0"/>
    <n v="0"/>
    <n v="0"/>
    <n v="2612705.66"/>
    <n v="2612705.66"/>
    <n v="-80765.89"/>
  </r>
  <r>
    <x v="5"/>
    <x v="24"/>
    <x v="0"/>
    <s v="9000933"/>
    <n v="700038"/>
    <s v="Salaries-Service/Support-OT"/>
    <s v="Eliminations-PE @ SC"/>
    <x v="0"/>
    <n v="1000"/>
    <n v="0"/>
    <n v="0"/>
    <n v="0"/>
    <n v="0"/>
    <n v="0"/>
    <n v="0"/>
    <n v="0"/>
    <n v="0"/>
    <n v="0"/>
    <n v="0"/>
    <n v="0"/>
    <n v="97768.06"/>
    <n v="97768.06"/>
    <n v="-28.58"/>
  </r>
  <r>
    <x v="5"/>
    <x v="24"/>
    <x v="0"/>
    <s v="9000933"/>
    <n v="700038"/>
    <s v="Salaries-Service/Support-Other"/>
    <s v="Eliminations-PE @ SC"/>
    <x v="0"/>
    <n v="2000"/>
    <n v="0"/>
    <n v="0"/>
    <n v="0"/>
    <n v="0"/>
    <n v="0"/>
    <n v="0"/>
    <n v="0"/>
    <n v="0"/>
    <n v="0"/>
    <n v="0"/>
    <n v="0"/>
    <n v="16361.47"/>
    <n v="16361.47"/>
    <n v="-48304.08"/>
  </r>
  <r>
    <x v="5"/>
    <x v="24"/>
    <x v="0"/>
    <s v="9000933"/>
    <n v="700054"/>
    <s v="Salaries-Management-Non-productive"/>
    <s v="Eliminations-PE @ SC"/>
    <x v="0"/>
    <m/>
    <n v="0"/>
    <n v="0"/>
    <n v="0"/>
    <n v="0"/>
    <n v="0"/>
    <n v="0"/>
    <n v="0"/>
    <n v="0"/>
    <n v="0"/>
    <n v="0"/>
    <n v="0"/>
    <n v="80765.89"/>
    <n v="80765.89"/>
    <n v="-1242400.6499999999"/>
  </r>
  <r>
    <x v="5"/>
    <x v="24"/>
    <x v="0"/>
    <s v="9000933"/>
    <n v="700054"/>
    <s v="Salaries-Management-NonProd-Other"/>
    <s v="Eliminations-PE @ SC"/>
    <x v="0"/>
    <n v="2000"/>
    <n v="0"/>
    <n v="0"/>
    <n v="0"/>
    <n v="0"/>
    <n v="0"/>
    <n v="0"/>
    <n v="0"/>
    <n v="0"/>
    <n v="0"/>
    <n v="0"/>
    <n v="0"/>
    <n v="28.58"/>
    <n v="28.58"/>
    <n v="-60.31"/>
  </r>
  <r>
    <x v="5"/>
    <x v="24"/>
    <x v="0"/>
    <s v="9000933"/>
    <n v="700058"/>
    <s v="Salaries-Supervisory-Non-productive"/>
    <s v="Eliminations-PE @ SC"/>
    <x v="0"/>
    <m/>
    <n v="0"/>
    <n v="0"/>
    <n v="0"/>
    <n v="0"/>
    <n v="0"/>
    <n v="0"/>
    <n v="0"/>
    <n v="0"/>
    <n v="0"/>
    <n v="0"/>
    <n v="0"/>
    <n v="48304.08"/>
    <n v="48304.08"/>
    <n v="-367266.14"/>
  </r>
  <r>
    <x v="5"/>
    <x v="24"/>
    <x v="0"/>
    <s v="9000933"/>
    <n v="700062"/>
    <s v="Salaries-Physician-Non-productive"/>
    <s v="Eliminations-PE @ SC"/>
    <x v="0"/>
    <m/>
    <n v="0"/>
    <n v="0"/>
    <n v="0"/>
    <n v="0"/>
    <n v="0"/>
    <n v="0"/>
    <n v="0"/>
    <n v="0"/>
    <n v="0"/>
    <n v="0"/>
    <n v="0"/>
    <n v="1242400.6499999999"/>
    <n v="1242400.6499999999"/>
    <n v="2405.96"/>
  </r>
  <r>
    <x v="5"/>
    <x v="24"/>
    <x v="0"/>
    <s v="9000933"/>
    <n v="700062"/>
    <s v="Salaries-Physician-NonProd-Other"/>
    <s v="Eliminations-PE @ SC"/>
    <x v="0"/>
    <n v="2000"/>
    <n v="0"/>
    <n v="0"/>
    <n v="0"/>
    <n v="0"/>
    <n v="0"/>
    <n v="0"/>
    <n v="0"/>
    <n v="0"/>
    <n v="0"/>
    <n v="0"/>
    <n v="0"/>
    <n v="60.31"/>
    <n v="60.31"/>
    <n v="-89957.81"/>
  </r>
  <r>
    <x v="5"/>
    <x v="24"/>
    <x v="0"/>
    <s v="9000933"/>
    <n v="700064"/>
    <s v="Salaries-Advanced Practice Clinician-Non-Productive"/>
    <s v="Eliminations-PE @ SC"/>
    <x v="0"/>
    <m/>
    <n v="0"/>
    <n v="0"/>
    <n v="0"/>
    <n v="0"/>
    <n v="0"/>
    <n v="0"/>
    <n v="0"/>
    <n v="0"/>
    <n v="0"/>
    <n v="0"/>
    <n v="0"/>
    <n v="367266.14"/>
    <n v="367266.14"/>
    <n v="-164.36"/>
  </r>
  <r>
    <x v="5"/>
    <x v="24"/>
    <x v="0"/>
    <s v="9000933"/>
    <n v="700064"/>
    <s v="Salaries-Advanced Practice Clinician-Non-Prod-Other"/>
    <s v="Eliminations-PE @ SC"/>
    <x v="0"/>
    <n v="2000"/>
    <n v="0"/>
    <n v="0"/>
    <n v="0"/>
    <n v="0"/>
    <n v="0"/>
    <n v="0"/>
    <n v="0"/>
    <n v="0"/>
    <n v="0"/>
    <n v="0"/>
    <n v="0"/>
    <n v="-2405.96"/>
    <n v="-2405.96"/>
    <n v="-160052.37"/>
  </r>
  <r>
    <x v="5"/>
    <x v="24"/>
    <x v="0"/>
    <s v="9000933"/>
    <n v="700066"/>
    <s v="Salaries-RN-Non-productive"/>
    <s v="Eliminations-PE @ SC"/>
    <x v="0"/>
    <m/>
    <n v="0"/>
    <n v="0"/>
    <n v="0"/>
    <n v="0"/>
    <n v="0"/>
    <n v="0"/>
    <n v="0"/>
    <n v="0"/>
    <n v="0"/>
    <n v="0"/>
    <n v="0"/>
    <n v="89957.81"/>
    <n v="89957.81"/>
    <n v="-41.83"/>
  </r>
  <r>
    <x v="5"/>
    <x v="24"/>
    <x v="0"/>
    <s v="9000933"/>
    <n v="700066"/>
    <s v="Salaries-RN-NonProd-Other"/>
    <s v="Eliminations-PE @ SC"/>
    <x v="0"/>
    <n v="2000"/>
    <n v="0"/>
    <n v="0"/>
    <n v="0"/>
    <n v="0"/>
    <n v="0"/>
    <n v="0"/>
    <n v="0"/>
    <n v="0"/>
    <n v="0"/>
    <n v="0"/>
    <n v="0"/>
    <n v="164.36"/>
    <n v="164.36"/>
    <n v="-199457.44"/>
  </r>
  <r>
    <x v="5"/>
    <x v="24"/>
    <x v="0"/>
    <s v="9000933"/>
    <n v="700070"/>
    <s v="Salaries-LPN-Non-productive"/>
    <s v="Eliminations-PE @ SC"/>
    <x v="0"/>
    <m/>
    <n v="0"/>
    <n v="0"/>
    <n v="0"/>
    <n v="0"/>
    <n v="0"/>
    <n v="0"/>
    <n v="0"/>
    <n v="0"/>
    <n v="0"/>
    <n v="0"/>
    <n v="0"/>
    <n v="160052.37"/>
    <n v="160052.37"/>
    <n v="1476.69"/>
  </r>
  <r>
    <x v="5"/>
    <x v="24"/>
    <x v="0"/>
    <s v="9000933"/>
    <n v="700070"/>
    <s v="Salaries-LPN-NonProd-Other"/>
    <s v="Eliminations-PE @ SC"/>
    <x v="0"/>
    <n v="2000"/>
    <n v="0"/>
    <n v="0"/>
    <n v="0"/>
    <n v="0"/>
    <n v="0"/>
    <n v="0"/>
    <n v="0"/>
    <n v="0"/>
    <n v="0"/>
    <n v="0"/>
    <n v="0"/>
    <n v="41.83"/>
    <n v="41.83"/>
    <n v="-78127.11"/>
  </r>
  <r>
    <x v="5"/>
    <x v="24"/>
    <x v="0"/>
    <s v="9000933"/>
    <n v="700072"/>
    <s v="Salaries-Other Pat Care Providers-Non-productive"/>
    <s v="Eliminations-PE @ SC"/>
    <x v="0"/>
    <m/>
    <n v="0"/>
    <n v="0"/>
    <n v="0"/>
    <n v="0"/>
    <n v="0"/>
    <n v="0"/>
    <n v="0"/>
    <n v="0"/>
    <n v="0"/>
    <n v="0"/>
    <n v="0"/>
    <n v="199457.44"/>
    <n v="199457.44"/>
    <n v="-5.65"/>
  </r>
  <r>
    <x v="5"/>
    <x v="24"/>
    <x v="0"/>
    <s v="9000933"/>
    <n v="700072"/>
    <s v="Salaries-Other Pat Care Providers-NonProd-Other"/>
    <s v="Eliminations-PE @ SC"/>
    <x v="0"/>
    <n v="2000"/>
    <n v="0"/>
    <n v="0"/>
    <n v="0"/>
    <n v="0"/>
    <n v="0"/>
    <n v="0"/>
    <n v="0"/>
    <n v="0"/>
    <n v="0"/>
    <n v="0"/>
    <n v="0"/>
    <n v="-1476.69"/>
    <n v="-1476.69"/>
    <n v="-365339.55"/>
  </r>
  <r>
    <x v="5"/>
    <x v="24"/>
    <x v="0"/>
    <s v="9000933"/>
    <n v="700074"/>
    <s v="Salaries-Tech/Professional-Non-productive"/>
    <s v="Eliminations-PE @ SC"/>
    <x v="0"/>
    <m/>
    <n v="0"/>
    <n v="0"/>
    <n v="0"/>
    <n v="0"/>
    <n v="0"/>
    <n v="0"/>
    <n v="0"/>
    <n v="0"/>
    <n v="0"/>
    <n v="0"/>
    <n v="0"/>
    <n v="78127.11"/>
    <n v="78127.11"/>
    <n v="-201.48"/>
  </r>
  <r>
    <x v="5"/>
    <x v="24"/>
    <x v="0"/>
    <s v="9000933"/>
    <n v="700074"/>
    <s v="Salaries-Tech/Professional-NonProd-Other"/>
    <s v="Eliminations-PE @ SC"/>
    <x v="0"/>
    <n v="2000"/>
    <n v="0"/>
    <n v="0"/>
    <n v="0"/>
    <n v="0"/>
    <n v="0"/>
    <n v="0"/>
    <n v="0"/>
    <n v="0"/>
    <n v="0"/>
    <n v="0"/>
    <n v="0"/>
    <n v="5.65"/>
    <n v="5.65"/>
    <n v="-53463.28"/>
  </r>
  <r>
    <x v="5"/>
    <x v="24"/>
    <x v="0"/>
    <s v="9000933"/>
    <n v="700078"/>
    <s v="Salaries-Service/Support-Non-productive"/>
    <s v="Eliminations-PE @ SC"/>
    <x v="0"/>
    <m/>
    <n v="0"/>
    <n v="0"/>
    <n v="0"/>
    <n v="0"/>
    <n v="0"/>
    <n v="0"/>
    <n v="0"/>
    <n v="0"/>
    <n v="0"/>
    <n v="0"/>
    <n v="0"/>
    <n v="365339.55"/>
    <n v="365339.55"/>
    <n v="94191.37"/>
  </r>
  <r>
    <x v="5"/>
    <x v="24"/>
    <x v="0"/>
    <s v="9000933"/>
    <n v="700078"/>
    <s v="Salaries-Service/Support-NonProd-Other"/>
    <s v="Eliminations-PE @ SC"/>
    <x v="0"/>
    <n v="2000"/>
    <n v="0"/>
    <n v="0"/>
    <n v="0"/>
    <n v="0"/>
    <n v="0"/>
    <n v="0"/>
    <n v="0"/>
    <n v="0"/>
    <n v="0"/>
    <n v="0"/>
    <n v="0"/>
    <n v="201.48"/>
    <n v="201.48"/>
    <n v="15994.84"/>
  </r>
  <r>
    <x v="5"/>
    <x v="24"/>
    <x v="0"/>
    <s v="9000933"/>
    <n v="700084"/>
    <s v="Accrued PTO"/>
    <s v="Eliminations-PE @ SC"/>
    <x v="0"/>
    <m/>
    <n v="0"/>
    <n v="0"/>
    <n v="0"/>
    <n v="0"/>
    <n v="0"/>
    <n v="0"/>
    <n v="0"/>
    <n v="0"/>
    <n v="0"/>
    <n v="0"/>
    <n v="0"/>
    <n v="53463.28"/>
    <n v="53463.28"/>
    <n v="-34958.31"/>
  </r>
  <r>
    <x v="10"/>
    <x v="24"/>
    <x v="0"/>
    <s v="9000933"/>
    <n v="710040"/>
    <s v="Contract Labor-Physician (Locum Tenum)"/>
    <s v="Eliminations-PE @ SC"/>
    <x v="0"/>
    <m/>
    <n v="0"/>
    <n v="0"/>
    <n v="0"/>
    <n v="0"/>
    <n v="0"/>
    <n v="0"/>
    <n v="0"/>
    <n v="0"/>
    <n v="0"/>
    <n v="0"/>
    <n v="0"/>
    <n v="-94191.37"/>
    <n v="-94191.37"/>
    <n v="-164.01"/>
  </r>
  <r>
    <x v="10"/>
    <x v="24"/>
    <x v="0"/>
    <s v="9000933"/>
    <n v="710042"/>
    <s v="Locum Tenens Travel-Physician"/>
    <s v="Eliminations-PE @ SC"/>
    <x v="0"/>
    <m/>
    <n v="0"/>
    <n v="0"/>
    <n v="0"/>
    <n v="0"/>
    <n v="0"/>
    <n v="0"/>
    <n v="0"/>
    <n v="0"/>
    <n v="0"/>
    <n v="0"/>
    <n v="0"/>
    <n v="-15994.84"/>
    <n v="-15994.84"/>
    <n v="-1406535.09"/>
  </r>
  <r>
    <x v="10"/>
    <x v="24"/>
    <x v="0"/>
    <s v="9000933"/>
    <n v="710060"/>
    <s v="Contract Labor-Other"/>
    <s v="Eliminations-PE @ SC"/>
    <x v="0"/>
    <m/>
    <n v="0"/>
    <n v="0"/>
    <n v="0"/>
    <n v="0"/>
    <n v="0"/>
    <n v="0"/>
    <n v="0"/>
    <n v="0"/>
    <n v="0"/>
    <n v="0"/>
    <n v="0"/>
    <n v="34958.31"/>
    <n v="34958.31"/>
    <n v="-2526490.48"/>
  </r>
  <r>
    <x v="10"/>
    <x v="24"/>
    <x v="0"/>
    <s v="9000933"/>
    <n v="710060"/>
    <s v="Contract Labor-Overtime"/>
    <s v="Eliminations-PE @ SC"/>
    <x v="0"/>
    <n v="5100"/>
    <n v="0"/>
    <n v="0"/>
    <n v="0"/>
    <n v="0"/>
    <n v="0"/>
    <n v="0"/>
    <n v="0"/>
    <n v="0"/>
    <n v="0"/>
    <n v="0"/>
    <n v="0"/>
    <n v="164.01"/>
    <n v="164.01"/>
    <n v="-663887.64"/>
  </r>
  <r>
    <x v="6"/>
    <x v="24"/>
    <x v="0"/>
    <s v="9000933"/>
    <n v="713010"/>
    <s v="Benefits-FICA/Medicare"/>
    <s v="Eliminations-PE @ SC"/>
    <x v="0"/>
    <m/>
    <n v="0"/>
    <n v="0"/>
    <n v="0"/>
    <n v="0"/>
    <n v="0"/>
    <n v="0"/>
    <n v="0"/>
    <n v="0"/>
    <n v="0"/>
    <n v="0"/>
    <n v="0"/>
    <n v="1406535.09"/>
    <n v="1406535.09"/>
    <n v="-327269.73"/>
  </r>
  <r>
    <x v="6"/>
    <x v="24"/>
    <x v="0"/>
    <s v="9000933"/>
    <n v="713090"/>
    <s v="Benefits-Allocated Amounts"/>
    <s v="Eliminations-PE @ SC"/>
    <x v="0"/>
    <m/>
    <n v="0"/>
    <n v="0"/>
    <n v="0"/>
    <n v="0"/>
    <n v="0"/>
    <n v="0"/>
    <n v="0"/>
    <n v="0"/>
    <n v="0"/>
    <n v="0"/>
    <n v="0"/>
    <n v="2526490.48"/>
    <n v="2526490.48"/>
    <n v="-187.52"/>
  </r>
  <r>
    <x v="6"/>
    <x v="24"/>
    <x v="0"/>
    <s v="9000933"/>
    <n v="713092"/>
    <s v="Allocated Benefits-Physician"/>
    <s v="Eliminations-PE @ SC"/>
    <x v="0"/>
    <m/>
    <n v="0"/>
    <n v="0"/>
    <n v="0"/>
    <n v="0"/>
    <n v="0"/>
    <n v="0"/>
    <n v="0"/>
    <n v="0"/>
    <n v="0"/>
    <n v="0"/>
    <n v="0"/>
    <n v="663887.64"/>
    <n v="663887.64"/>
    <n v="-2825.13"/>
  </r>
  <r>
    <x v="6"/>
    <x v="24"/>
    <x v="0"/>
    <s v="9000933"/>
    <n v="713093"/>
    <s v="Allocated Benefits-Advanced Practice Clinician"/>
    <s v="Eliminations-PE @ SC"/>
    <x v="0"/>
    <m/>
    <n v="0"/>
    <n v="0"/>
    <n v="0"/>
    <n v="0"/>
    <n v="0"/>
    <n v="0"/>
    <n v="0"/>
    <n v="0"/>
    <n v="0"/>
    <n v="0"/>
    <n v="0"/>
    <n v="327269.73"/>
    <n v="327269.73"/>
    <n v="-1252415.23"/>
  </r>
  <r>
    <x v="6"/>
    <x v="24"/>
    <x v="0"/>
    <s v="9000933"/>
    <n v="713096"/>
    <s v="Benefits-Other"/>
    <s v="Eliminations-PE @ SC"/>
    <x v="0"/>
    <m/>
    <n v="0"/>
    <n v="0"/>
    <n v="0"/>
    <n v="0"/>
    <n v="0"/>
    <n v="0"/>
    <n v="0"/>
    <n v="0"/>
    <n v="0"/>
    <n v="0"/>
    <n v="0"/>
    <n v="187.52"/>
    <n v="187.52"/>
    <n v="795037.54"/>
  </r>
  <r>
    <x v="6"/>
    <x v="24"/>
    <x v="0"/>
    <s v="9000933"/>
    <n v="713096"/>
    <s v="Employee Recognition"/>
    <s v="Eliminations-PE @ SC"/>
    <x v="0"/>
    <n v="1017"/>
    <n v="0"/>
    <n v="0"/>
    <n v="0"/>
    <n v="0"/>
    <n v="0"/>
    <n v="0"/>
    <n v="0"/>
    <n v="0"/>
    <n v="0"/>
    <n v="0"/>
    <n v="0"/>
    <n v="2825.13"/>
    <n v="2825.13"/>
    <n v="-153"/>
  </r>
  <r>
    <x v="17"/>
    <x v="24"/>
    <x v="0"/>
    <s v="9000933"/>
    <n v="714520"/>
    <s v="Other Contracted Professionals"/>
    <s v="Eliminations-PE @ SC"/>
    <x v="0"/>
    <m/>
    <n v="0"/>
    <n v="0"/>
    <n v="0"/>
    <n v="0"/>
    <n v="0"/>
    <n v="0"/>
    <n v="0"/>
    <n v="0"/>
    <n v="0"/>
    <n v="0"/>
    <n v="0"/>
    <n v="1252415.23"/>
    <n v="1252415.23"/>
    <n v="-1589.2"/>
  </r>
  <r>
    <x v="17"/>
    <x v="24"/>
    <x v="0"/>
    <s v="9000933"/>
    <n v="714520"/>
    <s v="Other Contract Prof-Pulmonologist"/>
    <s v="Eliminations-PE @ SC"/>
    <x v="0"/>
    <n v="1130"/>
    <n v="0"/>
    <n v="0"/>
    <n v="0"/>
    <n v="0"/>
    <n v="0"/>
    <n v="0"/>
    <n v="0"/>
    <n v="0"/>
    <n v="0"/>
    <n v="0"/>
    <n v="0"/>
    <n v="-795037.54"/>
    <n v="-795037.54"/>
    <n v="-22778.32"/>
  </r>
  <r>
    <x v="21"/>
    <x v="24"/>
    <x v="0"/>
    <s v="9000933"/>
    <n v="716026"/>
    <s v="Consulting-Clinical"/>
    <s v="Eliminations-PE @ SC"/>
    <x v="0"/>
    <m/>
    <n v="0"/>
    <n v="0"/>
    <n v="0"/>
    <n v="0"/>
    <n v="0"/>
    <n v="0"/>
    <n v="0"/>
    <n v="0"/>
    <n v="0"/>
    <n v="0"/>
    <n v="0"/>
    <n v="153"/>
    <n v="153"/>
    <n v="-2815.93"/>
  </r>
  <r>
    <x v="7"/>
    <x v="24"/>
    <x v="0"/>
    <s v="9000933"/>
    <n v="716038"/>
    <s v="Contract Services-Legal"/>
    <s v="Eliminations-PE @ SC"/>
    <x v="0"/>
    <m/>
    <n v="0"/>
    <n v="0"/>
    <n v="0"/>
    <n v="0"/>
    <n v="0"/>
    <n v="0"/>
    <n v="0"/>
    <n v="0"/>
    <n v="0"/>
    <n v="0"/>
    <n v="0"/>
    <n v="1589.2"/>
    <n v="1589.2"/>
    <n v="-11044.05"/>
  </r>
  <r>
    <x v="21"/>
    <x v="24"/>
    <x v="0"/>
    <s v="9000933"/>
    <n v="716046"/>
    <s v="Consulting-Other"/>
    <s v="Eliminations-PE @ SC"/>
    <x v="0"/>
    <m/>
    <n v="0"/>
    <n v="0"/>
    <n v="0"/>
    <n v="0"/>
    <n v="0"/>
    <n v="0"/>
    <n v="0"/>
    <n v="0"/>
    <n v="0"/>
    <n v="0"/>
    <n v="0"/>
    <n v="22778.32"/>
    <n v="22778.32"/>
    <n v="-1489.72"/>
  </r>
  <r>
    <x v="7"/>
    <x v="24"/>
    <x v="0"/>
    <s v="9000933"/>
    <n v="718010"/>
    <s v="Contract Services-Advertising &amp; Public Relations"/>
    <s v="Eliminations-PE @ SC"/>
    <x v="0"/>
    <m/>
    <n v="0"/>
    <n v="0"/>
    <n v="0"/>
    <n v="0"/>
    <n v="0"/>
    <n v="0"/>
    <n v="0"/>
    <n v="0"/>
    <n v="0"/>
    <n v="0"/>
    <n v="0"/>
    <n v="2815.93"/>
    <n v="2815.93"/>
    <n v="-148975.54999999999"/>
  </r>
  <r>
    <x v="7"/>
    <x v="24"/>
    <x v="0"/>
    <s v="9000933"/>
    <n v="718010"/>
    <s v="Media/Print Advertising"/>
    <s v="Eliminations-PE @ SC"/>
    <x v="0"/>
    <n v="1004"/>
    <n v="0"/>
    <n v="0"/>
    <n v="0"/>
    <n v="0"/>
    <n v="0"/>
    <n v="0"/>
    <n v="0"/>
    <n v="0"/>
    <n v="0"/>
    <n v="0"/>
    <n v="0"/>
    <n v="11044.05"/>
    <n v="11044.05"/>
    <n v="-3.52"/>
  </r>
  <r>
    <x v="7"/>
    <x v="24"/>
    <x v="0"/>
    <s v="9000933"/>
    <n v="718040"/>
    <s v="Contract Svcs-Laboratory"/>
    <s v="Eliminations-PE @ SC"/>
    <x v="0"/>
    <m/>
    <n v="0"/>
    <n v="0"/>
    <n v="0"/>
    <n v="0"/>
    <n v="0"/>
    <n v="0"/>
    <n v="0"/>
    <n v="0"/>
    <n v="0"/>
    <n v="0"/>
    <n v="0"/>
    <n v="1489.72"/>
    <n v="1489.72"/>
    <n v="-60937.56"/>
  </r>
  <r>
    <x v="7"/>
    <x v="24"/>
    <x v="0"/>
    <s v="9000933"/>
    <n v="718050"/>
    <s v="Contract Svcs-Other"/>
    <s v="Eliminations-PE @ SC"/>
    <x v="0"/>
    <m/>
    <n v="0"/>
    <n v="0"/>
    <n v="0"/>
    <n v="0"/>
    <n v="0"/>
    <n v="0"/>
    <n v="0"/>
    <n v="0"/>
    <n v="0"/>
    <n v="0"/>
    <n v="0"/>
    <n v="148975.54999999999"/>
    <n v="148975.54999999999"/>
    <n v="-100388.47"/>
  </r>
  <r>
    <x v="7"/>
    <x v="24"/>
    <x v="0"/>
    <s v="9000933"/>
    <n v="718050"/>
    <s v="Management Fees"/>
    <s v="Eliminations-PE @ SC"/>
    <x v="0"/>
    <n v="1004"/>
    <n v="0"/>
    <n v="0"/>
    <n v="0"/>
    <n v="0"/>
    <n v="0"/>
    <n v="0"/>
    <n v="0"/>
    <n v="0"/>
    <n v="0"/>
    <n v="0"/>
    <n v="0"/>
    <n v="3.52"/>
    <n v="3.52"/>
    <n v="-23831.99"/>
  </r>
  <r>
    <x v="7"/>
    <x v="24"/>
    <x v="0"/>
    <s v="9000933"/>
    <n v="718050"/>
    <s v="Transcription"/>
    <s v="Eliminations-PE @ SC"/>
    <x v="0"/>
    <n v="1006"/>
    <n v="0"/>
    <n v="0"/>
    <n v="0"/>
    <n v="0"/>
    <n v="0"/>
    <n v="0"/>
    <n v="0"/>
    <n v="0"/>
    <n v="0"/>
    <n v="0"/>
    <n v="0"/>
    <n v="60937.56"/>
    <n v="60937.56"/>
    <n v="-56961.23"/>
  </r>
  <r>
    <x v="7"/>
    <x v="24"/>
    <x v="0"/>
    <s v="9000933"/>
    <n v="718050"/>
    <s v="Cleaning Services"/>
    <s v="Eliminations-PE @ SC"/>
    <x v="0"/>
    <n v="1011"/>
    <n v="0"/>
    <n v="0"/>
    <n v="0"/>
    <n v="0"/>
    <n v="0"/>
    <n v="0"/>
    <n v="0"/>
    <n v="0"/>
    <n v="0"/>
    <n v="0"/>
    <n v="0"/>
    <n v="100388.47"/>
    <n v="100388.47"/>
    <n v="-4078.74"/>
  </r>
  <r>
    <x v="7"/>
    <x v="24"/>
    <x v="0"/>
    <s v="9000933"/>
    <n v="718050"/>
    <s v="Document Shredding/Storage"/>
    <s v="Eliminations-PE @ SC"/>
    <x v="0"/>
    <n v="1012"/>
    <n v="0"/>
    <n v="0"/>
    <n v="0"/>
    <n v="0"/>
    <n v="0"/>
    <n v="0"/>
    <n v="0"/>
    <n v="0"/>
    <n v="0"/>
    <n v="0"/>
    <n v="0"/>
    <n v="23831.99"/>
    <n v="23831.99"/>
    <n v="-95482.75"/>
  </r>
  <r>
    <x v="7"/>
    <x v="24"/>
    <x v="0"/>
    <s v="9000933"/>
    <n v="718050"/>
    <s v="Physician Answering"/>
    <s v="Eliminations-PE @ SC"/>
    <x v="0"/>
    <n v="1015"/>
    <n v="0"/>
    <n v="0"/>
    <n v="0"/>
    <n v="0"/>
    <n v="0"/>
    <n v="0"/>
    <n v="0"/>
    <n v="0"/>
    <n v="0"/>
    <n v="0"/>
    <n v="0"/>
    <n v="56961.23"/>
    <n v="56961.23"/>
    <n v="-59058.94"/>
  </r>
  <r>
    <x v="7"/>
    <x v="24"/>
    <x v="0"/>
    <s v="9000933"/>
    <n v="718050"/>
    <s v="Security"/>
    <s v="Eliminations-PE @ SC"/>
    <x v="0"/>
    <n v="1019"/>
    <n v="0"/>
    <n v="0"/>
    <n v="0"/>
    <n v="0"/>
    <n v="0"/>
    <n v="0"/>
    <n v="0"/>
    <n v="0"/>
    <n v="0"/>
    <n v="0"/>
    <n v="0"/>
    <n v="4078.74"/>
    <n v="4078.74"/>
    <n v="-37413.120000000003"/>
  </r>
  <r>
    <x v="7"/>
    <x v="24"/>
    <x v="0"/>
    <s v="9000933"/>
    <n v="718050"/>
    <s v="Miscellaneous Purchased Svcs"/>
    <s v="Eliminations-PE @ SC"/>
    <x v="0"/>
    <n v="1020"/>
    <n v="0"/>
    <n v="0"/>
    <n v="0"/>
    <n v="0"/>
    <n v="0"/>
    <n v="0"/>
    <n v="0"/>
    <n v="0"/>
    <n v="0"/>
    <n v="0"/>
    <n v="0"/>
    <n v="95482.75"/>
    <n v="95482.75"/>
    <n v="-23001.69"/>
  </r>
  <r>
    <x v="7"/>
    <x v="24"/>
    <x v="0"/>
    <s v="9000933"/>
    <n v="718050"/>
    <s v="Translation Services"/>
    <s v="Eliminations-PE @ SC"/>
    <x v="0"/>
    <n v="1025"/>
    <n v="0"/>
    <n v="0"/>
    <n v="0"/>
    <n v="0"/>
    <n v="0"/>
    <n v="0"/>
    <n v="0"/>
    <n v="0"/>
    <n v="0"/>
    <n v="0"/>
    <n v="0"/>
    <n v="59058.94"/>
    <n v="59058.94"/>
    <n v="-2737.9"/>
  </r>
  <r>
    <x v="7"/>
    <x v="24"/>
    <x v="0"/>
    <s v="9000933"/>
    <n v="718050"/>
    <s v="Contract Management--Linen"/>
    <s v="Eliminations-PE @ SC"/>
    <x v="0"/>
    <n v="1026"/>
    <n v="0"/>
    <n v="0"/>
    <n v="0"/>
    <n v="0"/>
    <n v="0"/>
    <n v="0"/>
    <n v="0"/>
    <n v="0"/>
    <n v="0"/>
    <n v="0"/>
    <n v="0"/>
    <n v="37413.120000000003"/>
    <n v="37413.120000000003"/>
    <n v="-3297.17"/>
  </r>
  <r>
    <x v="7"/>
    <x v="24"/>
    <x v="0"/>
    <s v="9000933"/>
    <n v="718050"/>
    <s v="Purchased Srvcs--Medical Waste"/>
    <s v="Eliminations-PE @ SC"/>
    <x v="0"/>
    <n v="1027"/>
    <n v="0"/>
    <n v="0"/>
    <n v="0"/>
    <n v="0"/>
    <n v="0"/>
    <n v="0"/>
    <n v="0"/>
    <n v="0"/>
    <n v="0"/>
    <n v="0"/>
    <n v="0"/>
    <n v="23001.69"/>
    <n v="23001.69"/>
    <n v="-459533.43"/>
  </r>
  <r>
    <x v="7"/>
    <x v="24"/>
    <x v="0"/>
    <s v="9000933"/>
    <n v="718050"/>
    <s v="Contract Services-Food&amp;Catering"/>
    <s v="Eliminations-PE @ SC"/>
    <x v="0"/>
    <n v="1030"/>
    <n v="0"/>
    <n v="0"/>
    <n v="0"/>
    <n v="0"/>
    <n v="0"/>
    <n v="0"/>
    <n v="0"/>
    <n v="0"/>
    <n v="0"/>
    <n v="0"/>
    <n v="0"/>
    <n v="2737.9"/>
    <n v="2737.9"/>
    <n v="-38009.58"/>
  </r>
  <r>
    <x v="7"/>
    <x v="24"/>
    <x v="0"/>
    <s v="9000933"/>
    <n v="718059"/>
    <s v="Contract Services-Physician Revenue Cycle Fees"/>
    <s v="Eliminations-PE @ SC"/>
    <x v="0"/>
    <m/>
    <n v="0"/>
    <n v="0"/>
    <n v="0"/>
    <n v="0"/>
    <n v="0"/>
    <n v="0"/>
    <n v="0"/>
    <n v="0"/>
    <n v="0"/>
    <n v="0"/>
    <n v="0"/>
    <n v="3297.17"/>
    <n v="3297.17"/>
    <n v="-39050.49"/>
  </r>
  <r>
    <x v="7"/>
    <x v="24"/>
    <x v="0"/>
    <s v="9000933"/>
    <n v="718060"/>
    <s v="Contract Services-CHI RRC Fees"/>
    <s v="Eliminations-PE @ SC"/>
    <x v="0"/>
    <m/>
    <n v="0"/>
    <n v="0"/>
    <n v="0"/>
    <n v="0"/>
    <n v="0"/>
    <n v="0"/>
    <n v="0"/>
    <n v="0"/>
    <n v="0"/>
    <n v="0"/>
    <n v="0"/>
    <n v="459533.43"/>
    <n v="459533.43"/>
    <n v="-2453.4"/>
  </r>
  <r>
    <x v="7"/>
    <x v="24"/>
    <x v="0"/>
    <s v="9000933"/>
    <n v="718061"/>
    <s v="Contract Services-CRO Allocation"/>
    <s v="Eliminations-PE @ SC"/>
    <x v="0"/>
    <m/>
    <n v="0"/>
    <n v="0"/>
    <n v="0"/>
    <n v="0"/>
    <n v="0"/>
    <n v="0"/>
    <n v="0"/>
    <n v="0"/>
    <n v="0"/>
    <n v="0"/>
    <n v="0"/>
    <n v="38009.58"/>
    <n v="38009.58"/>
    <n v="-99153.09"/>
  </r>
  <r>
    <x v="7"/>
    <x v="24"/>
    <x v="0"/>
    <s v="9000933"/>
    <n v="718065"/>
    <s v="Contract Services-CHI Legal Fees"/>
    <s v="Eliminations-PE @ SC"/>
    <x v="0"/>
    <m/>
    <n v="0"/>
    <n v="0"/>
    <n v="0"/>
    <n v="0"/>
    <n v="0"/>
    <n v="0"/>
    <n v="0"/>
    <n v="0"/>
    <n v="0"/>
    <n v="0"/>
    <n v="0"/>
    <n v="39050.49"/>
    <n v="39050.49"/>
    <n v="-161.5"/>
  </r>
  <r>
    <x v="7"/>
    <x v="24"/>
    <x v="0"/>
    <s v="9000933"/>
    <n v="718066"/>
    <s v="Contract Services-CHI Tax Services"/>
    <s v="Eliminations-PE @ SC"/>
    <x v="0"/>
    <m/>
    <n v="0"/>
    <n v="0"/>
    <n v="0"/>
    <n v="0"/>
    <n v="0"/>
    <n v="0"/>
    <n v="0"/>
    <n v="0"/>
    <n v="0"/>
    <n v="0"/>
    <n v="0"/>
    <n v="2453.4"/>
    <n v="2453.4"/>
    <n v="-2367624.84"/>
  </r>
  <r>
    <x v="7"/>
    <x v="24"/>
    <x v="0"/>
    <s v="9000933"/>
    <n v="718070"/>
    <s v="Contract Srvcs-CHI Clinical Engineering"/>
    <s v="Eliminations-PE @ SC"/>
    <x v="0"/>
    <m/>
    <n v="0"/>
    <n v="0"/>
    <n v="0"/>
    <n v="0"/>
    <n v="0"/>
    <n v="0"/>
    <n v="0"/>
    <n v="0"/>
    <n v="0"/>
    <n v="0"/>
    <n v="0"/>
    <n v="99153.09"/>
    <n v="99153.09"/>
    <n v="-23983.9"/>
  </r>
  <r>
    <x v="7"/>
    <x v="24"/>
    <x v="0"/>
    <s v="9000933"/>
    <n v="718071"/>
    <s v="Contract Srvcs-CHI Facilities Mgmt"/>
    <s v="Eliminations-PE @ SC"/>
    <x v="0"/>
    <m/>
    <n v="0"/>
    <n v="0"/>
    <n v="0"/>
    <n v="0"/>
    <n v="0"/>
    <n v="0"/>
    <n v="0"/>
    <n v="0"/>
    <n v="0"/>
    <n v="0"/>
    <n v="0"/>
    <n v="161.5"/>
    <n v="161.5"/>
    <n v="-448565.51"/>
  </r>
  <r>
    <x v="7"/>
    <x v="24"/>
    <x v="0"/>
    <s v="9000933"/>
    <n v="718075"/>
    <s v="Contract Srvcs-CHI ITS Steady State"/>
    <s v="Eliminations-PE @ SC"/>
    <x v="0"/>
    <m/>
    <n v="0"/>
    <n v="0"/>
    <n v="0"/>
    <n v="0"/>
    <n v="0"/>
    <n v="0"/>
    <n v="0"/>
    <n v="0"/>
    <n v="0"/>
    <n v="0"/>
    <n v="0"/>
    <n v="2367624.84"/>
    <n v="2367624.84"/>
    <n v="-233196.89"/>
  </r>
  <r>
    <x v="7"/>
    <x v="24"/>
    <x v="0"/>
    <s v="9000933"/>
    <n v="718077"/>
    <s v="PACS"/>
    <s v="Eliminations-PE @ SC"/>
    <x v="0"/>
    <n v="1000"/>
    <n v="0"/>
    <n v="0"/>
    <n v="0"/>
    <n v="0"/>
    <n v="0"/>
    <n v="0"/>
    <n v="0"/>
    <n v="0"/>
    <n v="0"/>
    <n v="0"/>
    <n v="0"/>
    <n v="23983.9"/>
    <n v="23983.9"/>
    <n v="-2362.61"/>
  </r>
  <r>
    <x v="7"/>
    <x v="24"/>
    <x v="0"/>
    <s v="9000933"/>
    <n v="718091"/>
    <s v="Contract Services-Intracompany Allocation"/>
    <s v="Eliminations-PE @ SC"/>
    <x v="0"/>
    <m/>
    <n v="0"/>
    <n v="0"/>
    <n v="0"/>
    <n v="0"/>
    <n v="0"/>
    <n v="0"/>
    <n v="0"/>
    <n v="0"/>
    <n v="0"/>
    <n v="0"/>
    <n v="0"/>
    <n v="448565.51"/>
    <n v="448565.51"/>
    <n v="-573.34"/>
  </r>
  <r>
    <x v="11"/>
    <x v="24"/>
    <x v="0"/>
    <s v="9000933"/>
    <n v="721010"/>
    <s v="Supplies-Medical - Billable"/>
    <s v="Eliminations-PE @ SC"/>
    <x v="0"/>
    <m/>
    <n v="0"/>
    <n v="0"/>
    <n v="0"/>
    <n v="0"/>
    <n v="0"/>
    <n v="0"/>
    <n v="0"/>
    <n v="0"/>
    <n v="0"/>
    <n v="0"/>
    <n v="0"/>
    <n v="233196.89"/>
    <n v="233196.89"/>
    <n v="-248.54"/>
  </r>
  <r>
    <x v="11"/>
    <x v="24"/>
    <x v="0"/>
    <s v="9000933"/>
    <n v="721020"/>
    <s v="Urological Supplies"/>
    <s v="Eliminations-PE @ SC"/>
    <x v="0"/>
    <n v="1006"/>
    <n v="0"/>
    <n v="0"/>
    <n v="0"/>
    <n v="0"/>
    <n v="0"/>
    <n v="0"/>
    <n v="0"/>
    <n v="0"/>
    <n v="0"/>
    <n v="0"/>
    <n v="0"/>
    <n v="2362.61"/>
    <n v="2362.61"/>
    <n v="-28.8"/>
  </r>
  <r>
    <x v="11"/>
    <x v="24"/>
    <x v="0"/>
    <s v="9000933"/>
    <n v="721050"/>
    <s v="Supplies-Cardiac Rhythm - Billable"/>
    <s v="Eliminations-PE @ SC"/>
    <x v="0"/>
    <m/>
    <n v="0"/>
    <n v="0"/>
    <n v="0"/>
    <n v="0"/>
    <n v="0"/>
    <n v="0"/>
    <n v="0"/>
    <n v="0"/>
    <n v="0"/>
    <n v="0"/>
    <n v="0"/>
    <n v="573.34"/>
    <n v="573.34"/>
    <n v="-1010766.29"/>
  </r>
  <r>
    <x v="11"/>
    <x v="24"/>
    <x v="0"/>
    <s v="9000933"/>
    <n v="721220"/>
    <s v="Supplies-Medical Gases - Billable"/>
    <s v="Eliminations-PE @ SC"/>
    <x v="0"/>
    <m/>
    <n v="0"/>
    <n v="0"/>
    <n v="0"/>
    <n v="0"/>
    <n v="0"/>
    <n v="0"/>
    <n v="0"/>
    <n v="0"/>
    <n v="0"/>
    <n v="0"/>
    <n v="0"/>
    <n v="248.54"/>
    <n v="248.54"/>
    <n v="-254298.9"/>
  </r>
  <r>
    <x v="11"/>
    <x v="24"/>
    <x v="0"/>
    <s v="9000933"/>
    <n v="721240"/>
    <s v="Supplies-IV Solutions/Supplies - Billable"/>
    <s v="Eliminations-PE @ SC"/>
    <x v="0"/>
    <m/>
    <n v="0"/>
    <n v="0"/>
    <n v="0"/>
    <n v="0"/>
    <n v="0"/>
    <n v="0"/>
    <n v="0"/>
    <n v="0"/>
    <n v="0"/>
    <n v="0"/>
    <n v="0"/>
    <n v="28.8"/>
    <n v="28.8"/>
    <n v="-1.19"/>
  </r>
  <r>
    <x v="11"/>
    <x v="24"/>
    <x v="0"/>
    <s v="9000933"/>
    <n v="721250"/>
    <s v="Supplies-Pharmacy Drugs - Billable"/>
    <s v="Eliminations-PE @ SC"/>
    <x v="0"/>
    <m/>
    <n v="0"/>
    <n v="0"/>
    <n v="0"/>
    <n v="0"/>
    <n v="0"/>
    <n v="0"/>
    <n v="0"/>
    <n v="0"/>
    <n v="0"/>
    <n v="0"/>
    <n v="0"/>
    <n v="1010766.29"/>
    <n v="1010766.29"/>
    <n v="-68.16"/>
  </r>
  <r>
    <x v="11"/>
    <x v="24"/>
    <x v="0"/>
    <s v="9000933"/>
    <n v="721410"/>
    <s v="Supplies-Medical - Nonbillable"/>
    <s v="Eliminations-PE @ SC"/>
    <x v="0"/>
    <m/>
    <n v="0"/>
    <n v="0"/>
    <n v="0"/>
    <n v="0"/>
    <n v="0"/>
    <n v="0"/>
    <n v="0"/>
    <n v="0"/>
    <n v="0"/>
    <n v="0"/>
    <n v="0"/>
    <n v="254298.9"/>
    <n v="254298.9"/>
    <n v="-317"/>
  </r>
  <r>
    <x v="11"/>
    <x v="24"/>
    <x v="0"/>
    <s v="9000933"/>
    <n v="721410"/>
    <s v="Patient Monitoring"/>
    <s v="Eliminations-PE @ SC"/>
    <x v="0"/>
    <n v="1000"/>
    <n v="0"/>
    <n v="0"/>
    <n v="0"/>
    <n v="0"/>
    <n v="0"/>
    <n v="0"/>
    <n v="0"/>
    <n v="0"/>
    <n v="0"/>
    <n v="0"/>
    <n v="0"/>
    <n v="1.19"/>
    <n v="1.19"/>
    <n v="-1904.05"/>
  </r>
  <r>
    <x v="11"/>
    <x v="24"/>
    <x v="0"/>
    <s v="9000933"/>
    <n v="721420"/>
    <s v="Supplies-Surgical Nonbillable"/>
    <s v="Eliminations-PE @ SC"/>
    <x v="0"/>
    <m/>
    <n v="0"/>
    <n v="0"/>
    <n v="0"/>
    <n v="0"/>
    <n v="0"/>
    <n v="0"/>
    <n v="0"/>
    <n v="0"/>
    <n v="0"/>
    <n v="0"/>
    <n v="0"/>
    <n v="68.16"/>
    <n v="68.16"/>
    <n v="-4772.97"/>
  </r>
  <r>
    <x v="11"/>
    <x v="24"/>
    <x v="0"/>
    <s v="9000933"/>
    <n v="721420"/>
    <s v="Sterilization Process Products"/>
    <s v="Eliminations-PE @ SC"/>
    <x v="0"/>
    <n v="1009"/>
    <n v="0"/>
    <n v="0"/>
    <n v="0"/>
    <n v="0"/>
    <n v="0"/>
    <n v="0"/>
    <n v="0"/>
    <n v="0"/>
    <n v="0"/>
    <n v="0"/>
    <n v="0"/>
    <n v="317"/>
    <n v="317"/>
    <n v="-77959.91"/>
  </r>
  <r>
    <x v="11"/>
    <x v="24"/>
    <x v="0"/>
    <s v="9000933"/>
    <n v="721640"/>
    <s v="Supplies-IV Solutions/Supplies - Nonbillable"/>
    <s v="Eliminations-PE @ SC"/>
    <x v="0"/>
    <m/>
    <n v="0"/>
    <n v="0"/>
    <n v="0"/>
    <n v="0"/>
    <n v="0"/>
    <n v="0"/>
    <n v="0"/>
    <n v="0"/>
    <n v="0"/>
    <n v="0"/>
    <n v="0"/>
    <n v="1904.05"/>
    <n v="1904.05"/>
    <n v="-6937.97"/>
  </r>
  <r>
    <x v="11"/>
    <x v="24"/>
    <x v="0"/>
    <s v="9000933"/>
    <n v="721810"/>
    <s v="Supplies-Dietary/Cafeteria"/>
    <s v="Eliminations-PE @ SC"/>
    <x v="0"/>
    <m/>
    <n v="0"/>
    <n v="0"/>
    <n v="0"/>
    <n v="0"/>
    <n v="0"/>
    <n v="0"/>
    <n v="0"/>
    <n v="0"/>
    <n v="0"/>
    <n v="0"/>
    <n v="0"/>
    <n v="4772.97"/>
    <n v="4772.97"/>
    <n v="-26475.53"/>
  </r>
  <r>
    <x v="11"/>
    <x v="24"/>
    <x v="0"/>
    <s v="9000933"/>
    <n v="721830"/>
    <s v="Supplies-Office"/>
    <s v="Eliminations-PE @ SC"/>
    <x v="0"/>
    <m/>
    <n v="0"/>
    <n v="0"/>
    <n v="0"/>
    <n v="0"/>
    <n v="0"/>
    <n v="0"/>
    <n v="0"/>
    <n v="0"/>
    <n v="0"/>
    <n v="0"/>
    <n v="0"/>
    <n v="77959.91"/>
    <n v="77959.91"/>
    <n v="-9.93"/>
  </r>
  <r>
    <x v="11"/>
    <x v="24"/>
    <x v="0"/>
    <s v="9000933"/>
    <n v="721835"/>
    <s v="Supplies-Forms"/>
    <s v="Eliminations-PE @ SC"/>
    <x v="0"/>
    <m/>
    <n v="0"/>
    <n v="0"/>
    <n v="0"/>
    <n v="0"/>
    <n v="0"/>
    <n v="0"/>
    <n v="0"/>
    <n v="0"/>
    <n v="0"/>
    <n v="0"/>
    <n v="0"/>
    <n v="6937.97"/>
    <n v="6937.97"/>
    <n v="-22522.080000000002"/>
  </r>
  <r>
    <x v="11"/>
    <x v="24"/>
    <x v="0"/>
    <s v="9000933"/>
    <n v="721870"/>
    <s v="Supplies-Environmental Services"/>
    <s v="Eliminations-PE @ SC"/>
    <x v="0"/>
    <m/>
    <n v="0"/>
    <n v="0"/>
    <n v="0"/>
    <n v="0"/>
    <n v="0"/>
    <n v="0"/>
    <n v="0"/>
    <n v="0"/>
    <n v="0"/>
    <n v="0"/>
    <n v="0"/>
    <n v="26475.53"/>
    <n v="26475.53"/>
    <n v="-449.28"/>
  </r>
  <r>
    <x v="11"/>
    <x v="24"/>
    <x v="0"/>
    <s v="9000933"/>
    <n v="721880"/>
    <s v="Supplies-Linen"/>
    <s v="Eliminations-PE @ SC"/>
    <x v="0"/>
    <m/>
    <n v="0"/>
    <n v="0"/>
    <n v="0"/>
    <n v="0"/>
    <n v="0"/>
    <n v="0"/>
    <n v="0"/>
    <n v="0"/>
    <n v="0"/>
    <n v="0"/>
    <n v="0"/>
    <n v="9.93"/>
    <n v="9.93"/>
    <n v="-3096.95"/>
  </r>
  <r>
    <x v="11"/>
    <x v="24"/>
    <x v="0"/>
    <s v="9000933"/>
    <n v="721910"/>
    <s v="Supplies-Small Equipment"/>
    <s v="Eliminations-PE @ SC"/>
    <x v="0"/>
    <m/>
    <n v="0"/>
    <n v="0"/>
    <n v="0"/>
    <n v="0"/>
    <n v="0"/>
    <n v="0"/>
    <n v="0"/>
    <n v="0"/>
    <n v="0"/>
    <n v="0"/>
    <n v="0"/>
    <n v="22522.080000000002"/>
    <n v="22522.080000000002"/>
    <n v="-2007.79"/>
  </r>
  <r>
    <x v="11"/>
    <x v="24"/>
    <x v="0"/>
    <s v="9000933"/>
    <n v="721910"/>
    <s v="Instruments"/>
    <s v="Eliminations-PE @ SC"/>
    <x v="0"/>
    <n v="1000"/>
    <n v="0"/>
    <n v="0"/>
    <n v="0"/>
    <n v="0"/>
    <n v="0"/>
    <n v="0"/>
    <n v="0"/>
    <n v="0"/>
    <n v="0"/>
    <n v="0"/>
    <n v="0"/>
    <n v="449.28"/>
    <n v="449.28"/>
    <n v="25590.95"/>
  </r>
  <r>
    <x v="11"/>
    <x v="24"/>
    <x v="0"/>
    <s v="9000933"/>
    <n v="721980"/>
    <s v="Supplies-Other"/>
    <s v="Eliminations-PE @ SC"/>
    <x v="0"/>
    <m/>
    <n v="0"/>
    <n v="0"/>
    <n v="0"/>
    <n v="0"/>
    <n v="0"/>
    <n v="0"/>
    <n v="0"/>
    <n v="0"/>
    <n v="0"/>
    <n v="0"/>
    <n v="0"/>
    <n v="3096.95"/>
    <n v="3096.95"/>
    <n v="409.69"/>
  </r>
  <r>
    <x v="11"/>
    <x v="24"/>
    <x v="0"/>
    <s v="9000933"/>
    <n v="722000"/>
    <s v="Supplies-Freight Expense"/>
    <s v="Eliminations-PE @ SC"/>
    <x v="0"/>
    <m/>
    <n v="0"/>
    <n v="0"/>
    <n v="0"/>
    <n v="0"/>
    <n v="0"/>
    <n v="0"/>
    <n v="0"/>
    <n v="0"/>
    <n v="0"/>
    <n v="0"/>
    <n v="0"/>
    <n v="2007.79"/>
    <n v="2007.79"/>
    <n v="115.56"/>
  </r>
  <r>
    <x v="11"/>
    <x v="24"/>
    <x v="0"/>
    <s v="9000933"/>
    <n v="723000"/>
    <s v="Supply Rebates/Patronage Dividend"/>
    <s v="Eliminations-PE @ SC"/>
    <x v="0"/>
    <m/>
    <n v="0"/>
    <n v="0"/>
    <n v="0"/>
    <n v="0"/>
    <n v="0"/>
    <n v="0"/>
    <n v="0"/>
    <n v="0"/>
    <n v="0"/>
    <n v="0"/>
    <n v="0"/>
    <n v="-25590.95"/>
    <n v="-25590.95"/>
    <n v="-1269795.22"/>
  </r>
  <r>
    <x v="11"/>
    <x v="24"/>
    <x v="0"/>
    <s v="9000933"/>
    <n v="723500"/>
    <s v="Discounts Taken *"/>
    <s v="Eliminations-PE @ SC"/>
    <x v="0"/>
    <m/>
    <n v="0"/>
    <n v="0"/>
    <n v="0"/>
    <n v="0"/>
    <n v="0"/>
    <n v="0"/>
    <n v="0"/>
    <n v="0"/>
    <n v="0"/>
    <n v="0"/>
    <n v="0"/>
    <n v="-409.69"/>
    <n v="-409.69"/>
    <n v="-596671.96"/>
  </r>
  <r>
    <x v="11"/>
    <x v="24"/>
    <x v="0"/>
    <s v="9000933"/>
    <n v="724000"/>
    <s v="Item Cost Variance Suspense *"/>
    <s v="Eliminations-PE @ SC"/>
    <x v="0"/>
    <m/>
    <n v="0"/>
    <n v="0"/>
    <n v="0"/>
    <n v="0"/>
    <n v="0"/>
    <n v="0"/>
    <n v="0"/>
    <n v="0"/>
    <n v="0"/>
    <n v="0"/>
    <n v="0"/>
    <n v="-115.56"/>
    <n v="-115.56"/>
    <n v="-2399.62"/>
  </r>
  <r>
    <x v="12"/>
    <x v="24"/>
    <x v="0"/>
    <s v="9000933"/>
    <n v="730010"/>
    <s v="Rental and Leases-Building (DO NOT USE)"/>
    <s v="Eliminations-PE @ SC"/>
    <x v="0"/>
    <m/>
    <n v="0"/>
    <n v="0"/>
    <n v="0"/>
    <n v="0"/>
    <n v="0"/>
    <n v="0"/>
    <n v="0"/>
    <n v="0"/>
    <n v="0"/>
    <n v="0"/>
    <n v="0"/>
    <n v="1269795.22"/>
    <n v="1269795.22"/>
    <n v="-92682.34"/>
  </r>
  <r>
    <x v="12"/>
    <x v="24"/>
    <x v="0"/>
    <s v="9000933"/>
    <n v="730010"/>
    <s v="Rental-Common Area Maint (DO NOT USE)"/>
    <s v="Eliminations-PE @ SC"/>
    <x v="0"/>
    <n v="2200"/>
    <n v="0"/>
    <n v="0"/>
    <n v="0"/>
    <n v="0"/>
    <n v="0"/>
    <n v="0"/>
    <n v="0"/>
    <n v="0"/>
    <n v="0"/>
    <n v="0"/>
    <n v="0"/>
    <n v="596671.96"/>
    <n v="596671.96"/>
    <n v="-199003.73"/>
  </r>
  <r>
    <x v="12"/>
    <x v="24"/>
    <x v="0"/>
    <s v="9000933"/>
    <n v="730020"/>
    <s v="Rental and Leases-Equipment (DO NOT USE)"/>
    <s v="Eliminations-PE @ SC"/>
    <x v="0"/>
    <m/>
    <n v="0"/>
    <n v="0"/>
    <n v="0"/>
    <n v="0"/>
    <n v="0"/>
    <n v="0"/>
    <n v="0"/>
    <n v="0"/>
    <n v="0"/>
    <n v="0"/>
    <n v="0"/>
    <n v="2399.62"/>
    <n v="2399.62"/>
    <n v="-6406.36"/>
  </r>
  <r>
    <x v="12"/>
    <x v="24"/>
    <x v="0"/>
    <s v="9000933"/>
    <n v="730020"/>
    <s v="Rental and Leases-Copier Usage Fees (DO NOT USE)"/>
    <s v="Eliminations-PE @ SC"/>
    <x v="0"/>
    <n v="5100"/>
    <n v="0"/>
    <n v="0"/>
    <n v="0"/>
    <n v="0"/>
    <n v="0"/>
    <n v="0"/>
    <n v="0"/>
    <n v="0"/>
    <n v="0"/>
    <n v="0"/>
    <n v="0"/>
    <n v="92682.34"/>
    <n v="92682.34"/>
    <n v="-825.63"/>
  </r>
  <r>
    <x v="12"/>
    <x v="24"/>
    <x v="0"/>
    <s v="9000933"/>
    <n v="730040"/>
    <s v="LT Lease-Real Estate"/>
    <s v="Eliminations-PE @ SC"/>
    <x v="0"/>
    <m/>
    <n v="0"/>
    <n v="0"/>
    <n v="0"/>
    <n v="0"/>
    <n v="0"/>
    <n v="0"/>
    <n v="0"/>
    <n v="0"/>
    <n v="0"/>
    <n v="0"/>
    <n v="0"/>
    <n v="199003.73"/>
    <n v="199003.73"/>
    <n v="-133.29"/>
  </r>
  <r>
    <x v="15"/>
    <x v="24"/>
    <x v="0"/>
    <s v="9000933"/>
    <n v="731020"/>
    <s v="Electricity"/>
    <s v="Eliminations-PE @ SC"/>
    <x v="0"/>
    <m/>
    <n v="0"/>
    <n v="0"/>
    <n v="0"/>
    <n v="0"/>
    <n v="0"/>
    <n v="0"/>
    <n v="0"/>
    <n v="0"/>
    <n v="0"/>
    <n v="0"/>
    <n v="0"/>
    <n v="6406.36"/>
    <n v="6406.36"/>
    <n v="-82321.42"/>
  </r>
  <r>
    <x v="15"/>
    <x v="24"/>
    <x v="0"/>
    <s v="9000933"/>
    <n v="731030"/>
    <s v="Water"/>
    <s v="Eliminations-PE @ SC"/>
    <x v="0"/>
    <m/>
    <n v="0"/>
    <n v="0"/>
    <n v="0"/>
    <n v="0"/>
    <n v="0"/>
    <n v="0"/>
    <n v="0"/>
    <n v="0"/>
    <n v="0"/>
    <n v="0"/>
    <n v="0"/>
    <n v="825.63"/>
    <n v="825.63"/>
    <n v="-963.93"/>
  </r>
  <r>
    <x v="15"/>
    <x v="24"/>
    <x v="0"/>
    <s v="9000933"/>
    <n v="731050"/>
    <s v="Refuse Disposal"/>
    <s v="Eliminations-PE @ SC"/>
    <x v="0"/>
    <m/>
    <n v="0"/>
    <n v="0"/>
    <n v="0"/>
    <n v="0"/>
    <n v="0"/>
    <n v="0"/>
    <n v="0"/>
    <n v="0"/>
    <n v="0"/>
    <n v="0"/>
    <n v="0"/>
    <n v="133.29"/>
    <n v="133.29"/>
    <n v="-1246.8"/>
  </r>
  <r>
    <x v="15"/>
    <x v="24"/>
    <x v="0"/>
    <s v="9000933"/>
    <n v="731060"/>
    <s v="Telephone"/>
    <s v="Eliminations-PE @ SC"/>
    <x v="0"/>
    <m/>
    <n v="0"/>
    <n v="0"/>
    <n v="0"/>
    <n v="0"/>
    <n v="0"/>
    <n v="0"/>
    <n v="0"/>
    <n v="0"/>
    <n v="0"/>
    <n v="0"/>
    <n v="0"/>
    <n v="82321.42"/>
    <n v="82321.42"/>
    <n v="-698.88"/>
  </r>
  <r>
    <x v="15"/>
    <x v="24"/>
    <x v="0"/>
    <s v="9000933"/>
    <n v="731060"/>
    <s v="Cell Phones"/>
    <s v="Eliminations-PE @ SC"/>
    <x v="0"/>
    <n v="1001"/>
    <n v="0"/>
    <n v="0"/>
    <n v="0"/>
    <n v="0"/>
    <n v="0"/>
    <n v="0"/>
    <n v="0"/>
    <n v="0"/>
    <n v="0"/>
    <n v="0"/>
    <n v="0"/>
    <n v="963.93"/>
    <n v="963.93"/>
    <n v="-4011.51"/>
  </r>
  <r>
    <x v="15"/>
    <x v="24"/>
    <x v="0"/>
    <s v="9000933"/>
    <n v="731060"/>
    <s v="Pagers"/>
    <s v="Eliminations-PE @ SC"/>
    <x v="0"/>
    <n v="1002"/>
    <n v="0"/>
    <n v="0"/>
    <n v="0"/>
    <n v="0"/>
    <n v="0"/>
    <n v="0"/>
    <n v="0"/>
    <n v="0"/>
    <n v="0"/>
    <n v="0"/>
    <n v="0"/>
    <n v="1246.8"/>
    <n v="1246.8"/>
    <n v="-1273.2"/>
  </r>
  <r>
    <x v="15"/>
    <x v="24"/>
    <x v="0"/>
    <s v="9000933"/>
    <n v="731065"/>
    <s v="Data Communications"/>
    <s v="Eliminations-PE @ SC"/>
    <x v="0"/>
    <m/>
    <n v="0"/>
    <n v="0"/>
    <n v="0"/>
    <n v="0"/>
    <n v="0"/>
    <n v="0"/>
    <n v="0"/>
    <n v="0"/>
    <n v="0"/>
    <n v="0"/>
    <n v="0"/>
    <n v="698.88"/>
    <n v="698.88"/>
    <n v="-18132.490000000002"/>
  </r>
  <r>
    <x v="15"/>
    <x v="24"/>
    <x v="0"/>
    <s v="9000933"/>
    <n v="731070"/>
    <s v="Cable TV"/>
    <s v="Eliminations-PE @ SC"/>
    <x v="0"/>
    <m/>
    <n v="0"/>
    <n v="0"/>
    <n v="0"/>
    <n v="0"/>
    <n v="0"/>
    <n v="0"/>
    <n v="0"/>
    <n v="0"/>
    <n v="0"/>
    <n v="0"/>
    <n v="0"/>
    <n v="4011.51"/>
    <n v="4011.51"/>
    <n v="-8249.1"/>
  </r>
  <r>
    <x v="16"/>
    <x v="24"/>
    <x v="0"/>
    <s v="9000933"/>
    <n v="732015"/>
    <s v="Repairs-Clinical Equip-T&amp;M-Ext to CHI Programs"/>
    <s v="Eliminations-PE @ SC"/>
    <x v="0"/>
    <m/>
    <n v="0"/>
    <n v="0"/>
    <n v="0"/>
    <n v="0"/>
    <n v="0"/>
    <n v="0"/>
    <n v="0"/>
    <n v="0"/>
    <n v="0"/>
    <n v="0"/>
    <n v="0"/>
    <n v="1273.2"/>
    <n v="1273.2"/>
    <n v="-1863.8"/>
  </r>
  <r>
    <x v="16"/>
    <x v="24"/>
    <x v="0"/>
    <s v="9000933"/>
    <n v="732030"/>
    <s v="Repairs---Other"/>
    <s v="Eliminations-PE @ SC"/>
    <x v="0"/>
    <m/>
    <n v="0"/>
    <n v="0"/>
    <n v="0"/>
    <n v="0"/>
    <n v="0"/>
    <n v="0"/>
    <n v="0"/>
    <n v="0"/>
    <n v="0"/>
    <n v="0"/>
    <n v="0"/>
    <n v="18132.490000000002"/>
    <n v="18132.490000000002"/>
    <n v="-23209.24"/>
  </r>
  <r>
    <x v="16"/>
    <x v="24"/>
    <x v="0"/>
    <s v="9000933"/>
    <n v="732030"/>
    <s v="Repairs&amp;Maintenance-Bldg Routine"/>
    <s v="Eliminations-PE @ SC"/>
    <x v="0"/>
    <n v="2300"/>
    <n v="0"/>
    <n v="0"/>
    <n v="0"/>
    <n v="0"/>
    <n v="0"/>
    <n v="0"/>
    <n v="0"/>
    <n v="0"/>
    <n v="0"/>
    <n v="0"/>
    <n v="0"/>
    <n v="8249.1"/>
    <n v="8249.1"/>
    <n v="-475912.66"/>
  </r>
  <r>
    <x v="16"/>
    <x v="24"/>
    <x v="0"/>
    <s v="9000933"/>
    <n v="733030"/>
    <s v="Maintenance Contracts-Other"/>
    <s v="Eliminations-PE @ SC"/>
    <x v="0"/>
    <m/>
    <n v="0"/>
    <n v="0"/>
    <n v="0"/>
    <n v="0"/>
    <n v="0"/>
    <n v="0"/>
    <n v="0"/>
    <n v="0"/>
    <n v="0"/>
    <n v="0"/>
    <n v="0"/>
    <n v="1863.8"/>
    <n v="1863.8"/>
    <n v="-12312.24"/>
  </r>
  <r>
    <x v="13"/>
    <x v="24"/>
    <x v="0"/>
    <s v="9000933"/>
    <n v="735040"/>
    <s v="Depreciation-Building Improvements"/>
    <s v="Eliminations-PE @ SC"/>
    <x v="0"/>
    <m/>
    <n v="0"/>
    <n v="0"/>
    <n v="0"/>
    <n v="0"/>
    <n v="0"/>
    <n v="0"/>
    <n v="0"/>
    <n v="0"/>
    <n v="0"/>
    <n v="0"/>
    <n v="0"/>
    <n v="23209.24"/>
    <n v="23209.24"/>
    <n v="-800626.76"/>
  </r>
  <r>
    <x v="13"/>
    <x v="24"/>
    <x v="0"/>
    <s v="9000933"/>
    <n v="735050"/>
    <s v="Amortization-Leasehold Improvements"/>
    <s v="Eliminations-PE @ SC"/>
    <x v="0"/>
    <m/>
    <n v="0"/>
    <n v="0"/>
    <n v="0"/>
    <n v="0"/>
    <n v="0"/>
    <n v="0"/>
    <n v="0"/>
    <n v="0"/>
    <n v="0"/>
    <n v="0"/>
    <n v="0"/>
    <n v="475912.66"/>
    <n v="475912.66"/>
    <n v="-714.66"/>
  </r>
  <r>
    <x v="13"/>
    <x v="24"/>
    <x v="0"/>
    <s v="9000933"/>
    <n v="735060"/>
    <s v="Depreciation-Fixed Equipment"/>
    <s v="Eliminations-PE @ SC"/>
    <x v="0"/>
    <m/>
    <n v="0"/>
    <n v="0"/>
    <n v="0"/>
    <n v="0"/>
    <n v="0"/>
    <n v="0"/>
    <n v="0"/>
    <n v="0"/>
    <n v="0"/>
    <n v="0"/>
    <n v="0"/>
    <n v="12312.24"/>
    <n v="12312.24"/>
    <n v="-199.95"/>
  </r>
  <r>
    <x v="13"/>
    <x v="24"/>
    <x v="0"/>
    <s v="9000933"/>
    <n v="735070"/>
    <s v="Depreciation-Movable Equipment"/>
    <s v="Eliminations-PE @ SC"/>
    <x v="0"/>
    <m/>
    <n v="0"/>
    <n v="0"/>
    <n v="0"/>
    <n v="0"/>
    <n v="0"/>
    <n v="0"/>
    <n v="0"/>
    <n v="0"/>
    <n v="0"/>
    <n v="0"/>
    <n v="0"/>
    <n v="800626.76"/>
    <n v="800626.76"/>
    <n v="-3683.08"/>
  </r>
  <r>
    <x v="13"/>
    <x v="24"/>
    <x v="0"/>
    <s v="9000933"/>
    <n v="736000"/>
    <s v="General Amortization Expense"/>
    <s v="Eliminations-PE @ SC"/>
    <x v="0"/>
    <n v="5000"/>
    <n v="0"/>
    <n v="0"/>
    <n v="0"/>
    <n v="0"/>
    <n v="0"/>
    <n v="0"/>
    <n v="0"/>
    <n v="0"/>
    <n v="0"/>
    <n v="0"/>
    <n v="0"/>
    <n v="714.66"/>
    <n v="714.66"/>
    <n v="-31371.83"/>
  </r>
  <r>
    <x v="0"/>
    <x v="24"/>
    <x v="0"/>
    <s v="9000933"/>
    <n v="740010"/>
    <s v="Education-Materials"/>
    <s v="Eliminations-PE @ SC"/>
    <x v="0"/>
    <m/>
    <n v="0"/>
    <n v="0"/>
    <n v="0"/>
    <n v="0"/>
    <n v="0"/>
    <n v="0"/>
    <n v="0"/>
    <n v="0"/>
    <n v="0"/>
    <n v="0"/>
    <n v="0"/>
    <n v="199.95"/>
    <n v="199.95"/>
    <n v="-3590.25"/>
  </r>
  <r>
    <x v="0"/>
    <x v="24"/>
    <x v="0"/>
    <s v="9000933"/>
    <n v="740020"/>
    <s v="Education-Registration Fees"/>
    <s v="Eliminations-PE @ SC"/>
    <x v="0"/>
    <m/>
    <n v="0"/>
    <n v="0"/>
    <n v="0"/>
    <n v="0"/>
    <n v="0"/>
    <n v="0"/>
    <n v="0"/>
    <n v="0"/>
    <n v="0"/>
    <n v="0"/>
    <n v="0"/>
    <n v="3683.08"/>
    <n v="3683.08"/>
    <n v="-260.75"/>
  </r>
  <r>
    <x v="0"/>
    <x v="24"/>
    <x v="0"/>
    <s v="9000933"/>
    <n v="740022"/>
    <s v="Education-Physician"/>
    <s v="Eliminations-PE @ SC"/>
    <x v="0"/>
    <m/>
    <n v="0"/>
    <n v="0"/>
    <n v="0"/>
    <n v="0"/>
    <n v="0"/>
    <n v="0"/>
    <n v="0"/>
    <n v="0"/>
    <n v="0"/>
    <n v="0"/>
    <n v="0"/>
    <n v="31371.83"/>
    <n v="31371.83"/>
    <n v="-18454.169999999998"/>
  </r>
  <r>
    <x v="0"/>
    <x v="24"/>
    <x v="0"/>
    <s v="9000933"/>
    <n v="740022"/>
    <s v="Books-Physician"/>
    <s v="Eliminations-PE @ SC"/>
    <x v="0"/>
    <n v="2000"/>
    <n v="0"/>
    <n v="0"/>
    <n v="0"/>
    <n v="0"/>
    <n v="0"/>
    <n v="0"/>
    <n v="0"/>
    <n v="0"/>
    <n v="0"/>
    <n v="0"/>
    <n v="0"/>
    <n v="3590.25"/>
    <n v="3590.25"/>
    <n v="-4229.7700000000004"/>
  </r>
  <r>
    <x v="0"/>
    <x v="24"/>
    <x v="0"/>
    <s v="9000933"/>
    <n v="740022"/>
    <s v="Education Travel-Physician"/>
    <s v="Eliminations-PE @ SC"/>
    <x v="0"/>
    <n v="2001"/>
    <n v="0"/>
    <n v="0"/>
    <n v="0"/>
    <n v="0"/>
    <n v="0"/>
    <n v="0"/>
    <n v="0"/>
    <n v="0"/>
    <n v="0"/>
    <n v="0"/>
    <n v="0"/>
    <n v="260.75"/>
    <n v="260.75"/>
    <n v="-170"/>
  </r>
  <r>
    <x v="0"/>
    <x v="24"/>
    <x v="0"/>
    <s v="9000933"/>
    <n v="740023"/>
    <s v="Education-Advanced Practice Clinician"/>
    <s v="Eliminations-PE @ SC"/>
    <x v="0"/>
    <m/>
    <n v="0"/>
    <n v="0"/>
    <n v="0"/>
    <n v="0"/>
    <n v="0"/>
    <n v="0"/>
    <n v="0"/>
    <n v="0"/>
    <n v="0"/>
    <n v="0"/>
    <n v="0"/>
    <n v="18454.169999999998"/>
    <n v="18454.169999999998"/>
    <n v="-0.47"/>
  </r>
  <r>
    <x v="0"/>
    <x v="24"/>
    <x v="0"/>
    <s v="9000933"/>
    <n v="740023"/>
    <s v="Books-Advanced Practice Clinician"/>
    <s v="Eliminations-PE @ SC"/>
    <x v="0"/>
    <n v="2000"/>
    <n v="0"/>
    <n v="0"/>
    <n v="0"/>
    <n v="0"/>
    <n v="0"/>
    <n v="0"/>
    <n v="0"/>
    <n v="0"/>
    <n v="0"/>
    <n v="0"/>
    <n v="0"/>
    <n v="4229.7700000000004"/>
    <n v="4229.7700000000004"/>
    <n v="-110284.91"/>
  </r>
  <r>
    <x v="0"/>
    <x v="24"/>
    <x v="0"/>
    <s v="9000933"/>
    <n v="740023"/>
    <s v="Education Travel-Advanced Practice Clinician"/>
    <s v="Eliminations-PE @ SC"/>
    <x v="0"/>
    <n v="2001"/>
    <n v="0"/>
    <n v="0"/>
    <n v="0"/>
    <n v="0"/>
    <n v="0"/>
    <n v="0"/>
    <n v="0"/>
    <n v="0"/>
    <n v="0"/>
    <n v="0"/>
    <n v="0"/>
    <n v="170"/>
    <n v="170"/>
    <n v="-353234.41"/>
  </r>
  <r>
    <x v="0"/>
    <x v="24"/>
    <x v="0"/>
    <s v="9000933"/>
    <n v="740030"/>
    <s v="Education-Travel"/>
    <s v="Eliminations-PE @ SC"/>
    <x v="0"/>
    <m/>
    <n v="0"/>
    <n v="0"/>
    <n v="0"/>
    <n v="0"/>
    <n v="0"/>
    <n v="0"/>
    <n v="0"/>
    <n v="0"/>
    <n v="0"/>
    <n v="0"/>
    <n v="0"/>
    <n v="0.47"/>
    <n v="0.47"/>
    <n v="-10757.33"/>
  </r>
  <r>
    <x v="8"/>
    <x v="24"/>
    <x v="0"/>
    <s v="9000933"/>
    <n v="741010"/>
    <s v="Liability Insurance-CHI Programs"/>
    <s v="Eliminations-PE @ SC"/>
    <x v="0"/>
    <m/>
    <n v="0"/>
    <n v="0"/>
    <n v="0"/>
    <n v="0"/>
    <n v="0"/>
    <n v="0"/>
    <n v="0"/>
    <n v="0"/>
    <n v="0"/>
    <n v="0"/>
    <n v="0"/>
    <n v="110284.91"/>
    <n v="110284.91"/>
    <n v="5464.83"/>
  </r>
  <r>
    <x v="8"/>
    <x v="24"/>
    <x v="0"/>
    <s v="9000933"/>
    <n v="741012"/>
    <s v="Physician Liab Insurance-CHI Program"/>
    <s v="Eliminations-PE @ SC"/>
    <x v="0"/>
    <m/>
    <n v="0"/>
    <n v="0"/>
    <n v="0"/>
    <n v="0"/>
    <n v="0"/>
    <n v="0"/>
    <n v="0"/>
    <n v="0"/>
    <n v="0"/>
    <n v="0"/>
    <n v="0"/>
    <n v="353234.41"/>
    <n v="353234.41"/>
    <n v="-20049.55"/>
  </r>
  <r>
    <x v="8"/>
    <x v="24"/>
    <x v="0"/>
    <s v="9000933"/>
    <n v="741030"/>
    <s v="Property Insurance-CHI Programs"/>
    <s v="Eliminations-PE @ SC"/>
    <x v="0"/>
    <m/>
    <n v="0"/>
    <n v="0"/>
    <n v="0"/>
    <n v="0"/>
    <n v="0"/>
    <n v="0"/>
    <n v="0"/>
    <n v="0"/>
    <n v="0"/>
    <n v="0"/>
    <n v="0"/>
    <n v="10757.33"/>
    <n v="10757.33"/>
    <n v="-396.53"/>
  </r>
  <r>
    <x v="8"/>
    <x v="24"/>
    <x v="0"/>
    <s v="9000933"/>
    <n v="741070"/>
    <s v="Insurance-Risk Mgmt Incentive Program"/>
    <s v="Eliminations-PE @ SC"/>
    <x v="0"/>
    <m/>
    <n v="0"/>
    <n v="0"/>
    <n v="0"/>
    <n v="0"/>
    <n v="0"/>
    <n v="0"/>
    <n v="0"/>
    <n v="0"/>
    <n v="0"/>
    <n v="0"/>
    <n v="0"/>
    <n v="-5464.83"/>
    <n v="-5464.83"/>
    <n v="-1781.77"/>
  </r>
  <r>
    <x v="0"/>
    <x v="24"/>
    <x v="0"/>
    <s v="9000933"/>
    <n v="742010"/>
    <s v="Postage-Regular"/>
    <s v="Eliminations-PE @ SC"/>
    <x v="0"/>
    <m/>
    <n v="0"/>
    <n v="0"/>
    <n v="0"/>
    <n v="0"/>
    <n v="0"/>
    <n v="0"/>
    <n v="0"/>
    <n v="0"/>
    <n v="0"/>
    <n v="0"/>
    <n v="0"/>
    <n v="20049.55"/>
    <n v="20049.55"/>
    <n v="-2263.6799999999998"/>
  </r>
  <r>
    <x v="0"/>
    <x v="24"/>
    <x v="0"/>
    <s v="9000933"/>
    <n v="742030"/>
    <s v="Freight-Courier"/>
    <s v="Eliminations-PE @ SC"/>
    <x v="0"/>
    <m/>
    <n v="0"/>
    <n v="0"/>
    <n v="0"/>
    <n v="0"/>
    <n v="0"/>
    <n v="0"/>
    <n v="0"/>
    <n v="0"/>
    <n v="0"/>
    <n v="0"/>
    <n v="0"/>
    <n v="396.53"/>
    <n v="396.53"/>
    <n v="-7652.03"/>
  </r>
  <r>
    <x v="0"/>
    <x v="24"/>
    <x v="0"/>
    <s v="9000933"/>
    <n v="742040"/>
    <s v="Freight-Other"/>
    <s v="Eliminations-PE @ SC"/>
    <x v="0"/>
    <m/>
    <n v="0"/>
    <n v="0"/>
    <n v="0"/>
    <n v="0"/>
    <n v="0"/>
    <n v="0"/>
    <n v="0"/>
    <n v="0"/>
    <n v="0"/>
    <n v="0"/>
    <n v="0"/>
    <n v="1781.77"/>
    <n v="1781.77"/>
    <n v="-10763.54"/>
  </r>
  <r>
    <x v="0"/>
    <x v="24"/>
    <x v="0"/>
    <s v="9000933"/>
    <n v="743010"/>
    <s v="Dues--Institutional"/>
    <s v="Eliminations-PE @ SC"/>
    <x v="0"/>
    <m/>
    <n v="0"/>
    <n v="0"/>
    <n v="0"/>
    <n v="0"/>
    <n v="0"/>
    <n v="0"/>
    <n v="0"/>
    <n v="0"/>
    <n v="0"/>
    <n v="0"/>
    <n v="0"/>
    <n v="2263.6799999999998"/>
    <n v="2263.6799999999998"/>
    <n v="-33504.959999999999"/>
  </r>
  <r>
    <x v="0"/>
    <x v="24"/>
    <x v="0"/>
    <s v="9000933"/>
    <n v="743020"/>
    <s v="Dues--Individual"/>
    <s v="Eliminations-PE @ SC"/>
    <x v="0"/>
    <m/>
    <n v="0"/>
    <n v="0"/>
    <n v="0"/>
    <n v="0"/>
    <n v="0"/>
    <n v="0"/>
    <n v="0"/>
    <n v="0"/>
    <n v="0"/>
    <n v="0"/>
    <n v="0"/>
    <n v="7652.03"/>
    <n v="7652.03"/>
    <n v="-2232.4899999999998"/>
  </r>
  <r>
    <x v="0"/>
    <x v="24"/>
    <x v="0"/>
    <s v="9000933"/>
    <n v="743020"/>
    <s v="Provider-Dues"/>
    <s v="Eliminations-PE @ SC"/>
    <x v="0"/>
    <n v="2200"/>
    <n v="0"/>
    <n v="0"/>
    <n v="0"/>
    <n v="0"/>
    <n v="0"/>
    <n v="0"/>
    <n v="0"/>
    <n v="0"/>
    <n v="0"/>
    <n v="0"/>
    <n v="0"/>
    <n v="10763.54"/>
    <n v="10763.54"/>
    <n v="-5283.16"/>
  </r>
  <r>
    <x v="0"/>
    <x v="24"/>
    <x v="0"/>
    <s v="9000933"/>
    <n v="743022"/>
    <s v="Dues-Physician"/>
    <s v="Eliminations-PE @ SC"/>
    <x v="0"/>
    <m/>
    <n v="0"/>
    <n v="0"/>
    <n v="0"/>
    <n v="0"/>
    <n v="0"/>
    <n v="0"/>
    <n v="0"/>
    <n v="0"/>
    <n v="0"/>
    <n v="0"/>
    <n v="0"/>
    <n v="33504.959999999999"/>
    <n v="33504.959999999999"/>
    <n v="-61.38"/>
  </r>
  <r>
    <x v="0"/>
    <x v="24"/>
    <x v="0"/>
    <s v="9000933"/>
    <n v="743023"/>
    <s v="Dues-Advanced Practice Clinician"/>
    <s v="Eliminations-PE @ SC"/>
    <x v="0"/>
    <m/>
    <n v="0"/>
    <n v="0"/>
    <n v="0"/>
    <n v="0"/>
    <n v="0"/>
    <n v="0"/>
    <n v="0"/>
    <n v="0"/>
    <n v="0"/>
    <n v="0"/>
    <n v="0"/>
    <n v="2232.4899999999998"/>
    <n v="2232.4899999999998"/>
    <n v="-3396.84"/>
  </r>
  <r>
    <x v="0"/>
    <x v="24"/>
    <x v="0"/>
    <s v="9000933"/>
    <n v="743030"/>
    <s v="Subscriptions--Institutional"/>
    <s v="Eliminations-PE @ SC"/>
    <x v="0"/>
    <m/>
    <n v="0"/>
    <n v="0"/>
    <n v="0"/>
    <n v="0"/>
    <n v="0"/>
    <n v="0"/>
    <n v="0"/>
    <n v="0"/>
    <n v="0"/>
    <n v="0"/>
    <n v="0"/>
    <n v="5283.16"/>
    <n v="5283.16"/>
    <n v="-1297.19"/>
  </r>
  <r>
    <x v="0"/>
    <x v="24"/>
    <x v="0"/>
    <s v="9000933"/>
    <n v="743040"/>
    <s v="Subscriptions--Individual"/>
    <s v="Eliminations-PE @ SC"/>
    <x v="0"/>
    <m/>
    <n v="0"/>
    <n v="0"/>
    <n v="0"/>
    <n v="0"/>
    <n v="0"/>
    <n v="0"/>
    <n v="0"/>
    <n v="0"/>
    <n v="0"/>
    <n v="0"/>
    <n v="0"/>
    <n v="61.38"/>
    <n v="61.38"/>
    <n v="-51.69"/>
  </r>
  <r>
    <x v="0"/>
    <x v="24"/>
    <x v="0"/>
    <s v="9000933"/>
    <n v="743042"/>
    <s v="Subscriptions-Physician"/>
    <s v="Eliminations-PE @ SC"/>
    <x v="0"/>
    <m/>
    <n v="0"/>
    <n v="0"/>
    <n v="0"/>
    <n v="0"/>
    <n v="0"/>
    <n v="0"/>
    <n v="0"/>
    <n v="0"/>
    <n v="0"/>
    <n v="0"/>
    <n v="0"/>
    <n v="3396.84"/>
    <n v="3396.84"/>
    <n v="-9861.7199999999993"/>
  </r>
  <r>
    <x v="0"/>
    <x v="24"/>
    <x v="0"/>
    <s v="9000933"/>
    <n v="743043"/>
    <s v="Subscriptions-Advanced Practice Clinician"/>
    <s v="Eliminations-PE @ SC"/>
    <x v="0"/>
    <m/>
    <n v="0"/>
    <n v="0"/>
    <n v="0"/>
    <n v="0"/>
    <n v="0"/>
    <n v="0"/>
    <n v="0"/>
    <n v="0"/>
    <n v="0"/>
    <n v="0"/>
    <n v="0"/>
    <n v="1297.19"/>
    <n v="1297.19"/>
    <n v="-958452.32"/>
  </r>
  <r>
    <x v="0"/>
    <x v="24"/>
    <x v="0"/>
    <s v="9000933"/>
    <n v="744012"/>
    <s v="Recruitment-Physician"/>
    <s v="Eliminations-PE @ SC"/>
    <x v="0"/>
    <m/>
    <n v="0"/>
    <n v="0"/>
    <n v="0"/>
    <n v="0"/>
    <n v="0"/>
    <n v="0"/>
    <n v="0"/>
    <n v="0"/>
    <n v="0"/>
    <n v="0"/>
    <n v="0"/>
    <n v="51.69"/>
    <n v="51.69"/>
    <n v="594.58000000000004"/>
  </r>
  <r>
    <x v="0"/>
    <x v="24"/>
    <x v="0"/>
    <s v="9000933"/>
    <n v="746020"/>
    <s v="Bank Fees--Ext to CHI Programs"/>
    <s v="Eliminations-PE @ SC"/>
    <x v="0"/>
    <m/>
    <n v="0"/>
    <n v="0"/>
    <n v="0"/>
    <n v="0"/>
    <n v="0"/>
    <n v="0"/>
    <n v="0"/>
    <n v="0"/>
    <n v="0"/>
    <n v="0"/>
    <n v="0"/>
    <n v="9861.7199999999993"/>
    <n v="9861.7199999999993"/>
    <n v="-23182.11"/>
  </r>
  <r>
    <x v="26"/>
    <x v="24"/>
    <x v="0"/>
    <s v="9000933"/>
    <n v="747001"/>
    <s v="National Assessment"/>
    <s v="Eliminations-PE @ SC"/>
    <x v="0"/>
    <m/>
    <n v="0"/>
    <n v="0"/>
    <n v="0"/>
    <n v="0"/>
    <n v="0"/>
    <n v="0"/>
    <n v="0"/>
    <n v="0"/>
    <n v="0"/>
    <n v="0"/>
    <n v="0"/>
    <n v="958452.32"/>
    <n v="958452.32"/>
    <n v="-8620.85"/>
  </r>
  <r>
    <x v="0"/>
    <x v="24"/>
    <x v="0"/>
    <s v="9000933"/>
    <n v="748521"/>
    <s v="COGS-Pharmacy Drugs-Retail"/>
    <s v="Eliminations-PE @ SC"/>
    <x v="0"/>
    <m/>
    <n v="0"/>
    <n v="0"/>
    <n v="0"/>
    <n v="0"/>
    <n v="0"/>
    <n v="0"/>
    <n v="0"/>
    <n v="0"/>
    <n v="0"/>
    <n v="0"/>
    <n v="0"/>
    <n v="-594.58000000000004"/>
    <n v="-594.58000000000004"/>
    <n v="-1115.56"/>
  </r>
  <r>
    <x v="0"/>
    <x v="24"/>
    <x v="0"/>
    <s v="9000933"/>
    <n v="749510"/>
    <s v="Miscellaneous Expenses"/>
    <s v="Eliminations-PE @ SC"/>
    <x v="0"/>
    <m/>
    <n v="0"/>
    <n v="0"/>
    <n v="0"/>
    <n v="0"/>
    <n v="0"/>
    <n v="0"/>
    <n v="0"/>
    <n v="0"/>
    <n v="0"/>
    <n v="0"/>
    <n v="0"/>
    <n v="23182.11"/>
    <n v="23182.11"/>
    <n v="-17.5"/>
  </r>
  <r>
    <x v="0"/>
    <x v="24"/>
    <x v="0"/>
    <s v="9000933"/>
    <n v="749510"/>
    <s v="Licenses"/>
    <s v="Eliminations-PE @ SC"/>
    <x v="0"/>
    <n v="1002"/>
    <n v="0"/>
    <n v="0"/>
    <n v="0"/>
    <n v="0"/>
    <n v="0"/>
    <n v="0"/>
    <n v="0"/>
    <n v="0"/>
    <n v="0"/>
    <n v="0"/>
    <n v="0"/>
    <n v="8620.85"/>
    <n v="8620.85"/>
    <n v="-6.6"/>
  </r>
  <r>
    <x v="0"/>
    <x v="24"/>
    <x v="0"/>
    <s v="9000933"/>
    <n v="749510"/>
    <s v="Miscellaneous Employee Expense"/>
    <s v="Eliminations-PE @ SC"/>
    <x v="0"/>
    <n v="1010"/>
    <n v="0"/>
    <n v="0"/>
    <n v="0"/>
    <n v="0"/>
    <n v="0"/>
    <n v="0"/>
    <n v="0"/>
    <n v="0"/>
    <n v="0"/>
    <n v="0"/>
    <n v="0"/>
    <n v="1115.56"/>
    <n v="1115.56"/>
    <n v="-6849.28"/>
  </r>
  <r>
    <x v="0"/>
    <x v="24"/>
    <x v="0"/>
    <s v="9000933"/>
    <n v="749510"/>
    <s v="Uniforms"/>
    <s v="Eliminations-PE @ SC"/>
    <x v="0"/>
    <n v="1028"/>
    <n v="0"/>
    <n v="0"/>
    <n v="0"/>
    <n v="0"/>
    <n v="0"/>
    <n v="0"/>
    <n v="0"/>
    <n v="0"/>
    <n v="0"/>
    <n v="0"/>
    <n v="0"/>
    <n v="17.5"/>
    <n v="17.5"/>
    <n v="-6077.94"/>
  </r>
  <r>
    <x v="0"/>
    <x v="24"/>
    <x v="0"/>
    <s v="9000933"/>
    <n v="749510"/>
    <s v="Late Payment Penalties &amp; Interest"/>
    <s v="Eliminations-PE @ SC"/>
    <x v="0"/>
    <n v="4600"/>
    <n v="0"/>
    <n v="0"/>
    <n v="0"/>
    <n v="0"/>
    <n v="0"/>
    <n v="0"/>
    <n v="0"/>
    <n v="0"/>
    <n v="0"/>
    <n v="0"/>
    <n v="0"/>
    <n v="6.6"/>
    <n v="6.6"/>
    <n v="-19495.310000000001"/>
  </r>
  <r>
    <x v="0"/>
    <x v="24"/>
    <x v="0"/>
    <s v="9000933"/>
    <n v="749510"/>
    <s v="RICE Rewards"/>
    <s v="Eliminations-PE @ SC"/>
    <x v="0"/>
    <n v="5100"/>
    <n v="0"/>
    <n v="0"/>
    <n v="0"/>
    <n v="0"/>
    <n v="0"/>
    <n v="0"/>
    <n v="0"/>
    <n v="0"/>
    <n v="0"/>
    <n v="0"/>
    <n v="0"/>
    <n v="6849.28"/>
    <n v="6849.28"/>
    <n v="-4538.37"/>
  </r>
  <r>
    <x v="0"/>
    <x v="24"/>
    <x v="0"/>
    <s v="9000933"/>
    <n v="749510"/>
    <s v="Other Clinic IT Costs"/>
    <s v="Eliminations-PE @ SC"/>
    <x v="0"/>
    <n v="5105"/>
    <n v="0"/>
    <n v="0"/>
    <n v="0"/>
    <n v="0"/>
    <n v="0"/>
    <n v="0"/>
    <n v="0"/>
    <n v="0"/>
    <n v="0"/>
    <n v="0"/>
    <n v="0"/>
    <n v="6077.94"/>
    <n v="6077.94"/>
    <n v="-98750"/>
  </r>
  <r>
    <x v="0"/>
    <x v="24"/>
    <x v="0"/>
    <s v="9000933"/>
    <n v="749512"/>
    <s v="Licenses-Physician"/>
    <s v="Eliminations-PE @ SC"/>
    <x v="0"/>
    <n v="2000"/>
    <n v="0"/>
    <n v="0"/>
    <n v="0"/>
    <n v="0"/>
    <n v="0"/>
    <n v="0"/>
    <n v="0"/>
    <n v="0"/>
    <n v="0"/>
    <n v="0"/>
    <n v="0"/>
    <n v="19495.310000000001"/>
    <n v="19495.310000000001"/>
    <n v="-14937.73"/>
  </r>
  <r>
    <x v="0"/>
    <x v="24"/>
    <x v="0"/>
    <s v="9000933"/>
    <n v="749513"/>
    <s v="Licenses-Advanced Practice Clinician"/>
    <s v="Eliminations-PE @ SC"/>
    <x v="0"/>
    <n v="2000"/>
    <n v="0"/>
    <n v="0"/>
    <n v="0"/>
    <n v="0"/>
    <n v="0"/>
    <n v="0"/>
    <n v="0"/>
    <n v="0"/>
    <n v="0"/>
    <n v="0"/>
    <n v="0"/>
    <n v="4538.37"/>
    <n v="4538.37"/>
    <n v="-11930.11"/>
  </r>
  <r>
    <x v="0"/>
    <x v="24"/>
    <x v="0"/>
    <s v="9000933"/>
    <n v="749525"/>
    <s v="Contingent Liability Expense"/>
    <s v="Eliminations-PE @ SC"/>
    <x v="0"/>
    <m/>
    <n v="0"/>
    <n v="0"/>
    <n v="0"/>
    <n v="0"/>
    <n v="0"/>
    <n v="0"/>
    <n v="0"/>
    <n v="0"/>
    <n v="0"/>
    <n v="0"/>
    <n v="0"/>
    <n v="98750"/>
    <n v="98750"/>
    <n v="-37227.480000000003"/>
  </r>
  <r>
    <x v="0"/>
    <x v="24"/>
    <x v="0"/>
    <s v="9000933"/>
    <n v="749530"/>
    <s v="Travel"/>
    <s v="Eliminations-PE @ SC"/>
    <x v="0"/>
    <m/>
    <n v="0"/>
    <n v="0"/>
    <n v="0"/>
    <n v="0"/>
    <n v="0"/>
    <n v="0"/>
    <n v="0"/>
    <n v="0"/>
    <n v="0"/>
    <n v="0"/>
    <n v="0"/>
    <n v="14937.73"/>
    <n v="14937.73"/>
    <n v="-211.57"/>
  </r>
  <r>
    <x v="0"/>
    <x v="24"/>
    <x v="0"/>
    <s v="9000933"/>
    <n v="749530"/>
    <s v="Mileage"/>
    <s v="Eliminations-PE @ SC"/>
    <x v="0"/>
    <n v="1001"/>
    <n v="0"/>
    <n v="0"/>
    <n v="0"/>
    <n v="0"/>
    <n v="0"/>
    <n v="0"/>
    <n v="0"/>
    <n v="0"/>
    <n v="0"/>
    <n v="0"/>
    <n v="0"/>
    <n v="11930.11"/>
    <n v="11930.11"/>
    <n v="-1112.47"/>
  </r>
  <r>
    <x v="0"/>
    <x v="24"/>
    <x v="0"/>
    <s v="9000933"/>
    <n v="749532"/>
    <s v="Travel-Physician"/>
    <s v="Eliminations-PE @ SC"/>
    <x v="0"/>
    <m/>
    <n v="0"/>
    <n v="0"/>
    <n v="0"/>
    <n v="0"/>
    <n v="0"/>
    <n v="0"/>
    <n v="0"/>
    <n v="0"/>
    <n v="0"/>
    <n v="0"/>
    <n v="0"/>
    <n v="37227.480000000003"/>
    <n v="37227.480000000003"/>
    <n v="-12688.68"/>
  </r>
  <r>
    <x v="0"/>
    <x v="24"/>
    <x v="0"/>
    <s v="9000933"/>
    <n v="749532"/>
    <s v="Business Meals-Physician"/>
    <s v="Eliminations-PE @ SC"/>
    <x v="0"/>
    <n v="2000"/>
    <n v="0"/>
    <n v="0"/>
    <n v="0"/>
    <n v="0"/>
    <n v="0"/>
    <n v="0"/>
    <n v="0"/>
    <n v="0"/>
    <n v="0"/>
    <n v="0"/>
    <n v="0"/>
    <n v="211.57"/>
    <n v="211.57"/>
    <n v="-58.9"/>
  </r>
  <r>
    <x v="0"/>
    <x v="24"/>
    <x v="0"/>
    <s v="9000933"/>
    <n v="749532"/>
    <s v="Vehicle Expense-Physician"/>
    <s v="Eliminations-PE @ SC"/>
    <x v="0"/>
    <n v="2001"/>
    <n v="0"/>
    <n v="0"/>
    <n v="0"/>
    <n v="0"/>
    <n v="0"/>
    <n v="0"/>
    <n v="0"/>
    <n v="0"/>
    <n v="0"/>
    <n v="0"/>
    <n v="0"/>
    <n v="1112.47"/>
    <n v="1112.47"/>
    <n v="-356.27"/>
  </r>
  <r>
    <x v="0"/>
    <x v="24"/>
    <x v="0"/>
    <s v="9000933"/>
    <n v="749533"/>
    <s v="Travel-Advanced Practice Clinician"/>
    <s v="Eliminations-PE @ SC"/>
    <x v="0"/>
    <m/>
    <n v="0"/>
    <n v="0"/>
    <n v="0"/>
    <n v="0"/>
    <n v="0"/>
    <n v="0"/>
    <n v="0"/>
    <n v="0"/>
    <n v="0"/>
    <n v="0"/>
    <n v="0"/>
    <n v="12688.68"/>
    <n v="12688.68"/>
    <n v="-6356.61"/>
  </r>
  <r>
    <x v="0"/>
    <x v="24"/>
    <x v="0"/>
    <s v="9000933"/>
    <n v="749533"/>
    <s v="Business Meals-Advanced Practice Clinician"/>
    <s v="Eliminations-PE @ SC"/>
    <x v="0"/>
    <n v="2000"/>
    <n v="0"/>
    <n v="0"/>
    <n v="0"/>
    <n v="0"/>
    <n v="0"/>
    <n v="0"/>
    <n v="0"/>
    <n v="0"/>
    <n v="0"/>
    <n v="0"/>
    <n v="0"/>
    <n v="58.9"/>
    <n v="58.9"/>
    <n v="-124.28"/>
  </r>
  <r>
    <x v="0"/>
    <x v="24"/>
    <x v="0"/>
    <s v="9000933"/>
    <n v="749533"/>
    <s v="Vehicle Expense-Advanced Practice Clinician"/>
    <s v="Eliminations-PE @ SC"/>
    <x v="0"/>
    <n v="2001"/>
    <n v="0"/>
    <n v="0"/>
    <n v="0"/>
    <n v="0"/>
    <n v="0"/>
    <n v="0"/>
    <n v="0"/>
    <n v="0"/>
    <n v="0"/>
    <n v="0"/>
    <n v="0"/>
    <n v="356.27"/>
    <n v="356.27"/>
    <n v="-45.24"/>
  </r>
  <r>
    <x v="0"/>
    <x v="24"/>
    <x v="0"/>
    <s v="9000933"/>
    <n v="749535"/>
    <s v="Meetings"/>
    <s v="Eliminations-PE @ SC"/>
    <x v="0"/>
    <m/>
    <n v="0"/>
    <n v="0"/>
    <n v="0"/>
    <n v="0"/>
    <n v="0"/>
    <n v="0"/>
    <n v="0"/>
    <n v="0"/>
    <n v="0"/>
    <n v="0"/>
    <n v="0"/>
    <n v="6356.61"/>
    <n v="6356.61"/>
    <n v="-71.73"/>
  </r>
  <r>
    <x v="0"/>
    <x v="24"/>
    <x v="0"/>
    <s v="9000933"/>
    <n v="749535"/>
    <s v="Medicare Non-Allowable Beverages"/>
    <s v="Eliminations-PE @ SC"/>
    <x v="0"/>
    <n v="1005"/>
    <n v="0"/>
    <n v="0"/>
    <n v="0"/>
    <n v="0"/>
    <n v="0"/>
    <n v="0"/>
    <n v="0"/>
    <n v="0"/>
    <n v="0"/>
    <n v="0"/>
    <n v="0"/>
    <n v="124.28"/>
    <n v="124.28"/>
    <n v="16879.64"/>
  </r>
  <r>
    <x v="0"/>
    <x v="24"/>
    <x v="0"/>
    <s v="9000933"/>
    <n v="749535"/>
    <s v="Medicare Non-Allowable Other"/>
    <s v="Eliminations-PE @ SC"/>
    <x v="0"/>
    <n v="1012"/>
    <n v="0"/>
    <n v="0"/>
    <n v="0"/>
    <n v="0"/>
    <n v="0"/>
    <n v="0"/>
    <n v="0"/>
    <n v="0"/>
    <n v="0"/>
    <n v="0"/>
    <n v="0"/>
    <n v="45.24"/>
    <n v="45.24"/>
    <n v="-17569.990000000002"/>
  </r>
  <r>
    <x v="0"/>
    <x v="24"/>
    <x v="0"/>
    <s v="9000933"/>
    <n v="749550"/>
    <s v="Cash Over/Short"/>
    <s v="Eliminations-PE @ SC"/>
    <x v="0"/>
    <m/>
    <n v="0"/>
    <n v="0"/>
    <n v="0"/>
    <n v="0"/>
    <n v="0"/>
    <n v="0"/>
    <n v="0"/>
    <n v="0"/>
    <n v="0"/>
    <n v="0"/>
    <n v="0"/>
    <n v="71.73"/>
    <n v="71.73"/>
    <n v="-28976.99"/>
  </r>
  <r>
    <x v="0"/>
    <x v="24"/>
    <x v="0"/>
    <s v="9000933"/>
    <n v="749591"/>
    <s v="Other Expense-Intracompany Allocation"/>
    <s v="Eliminations-PE @ SC"/>
    <x v="0"/>
    <m/>
    <n v="0"/>
    <n v="0"/>
    <n v="0"/>
    <n v="0"/>
    <n v="0"/>
    <n v="0"/>
    <n v="0"/>
    <n v="0"/>
    <n v="0"/>
    <n v="0"/>
    <n v="0"/>
    <n v="-16879.64"/>
    <n v="-16879.64"/>
    <n v="-12682.16"/>
  </r>
  <r>
    <x v="24"/>
    <x v="24"/>
    <x v="0"/>
    <s v="9000933"/>
    <n v="760030"/>
    <s v="Interest Expense-Ext to CHI Programs"/>
    <s v="Eliminations-PE @ SC"/>
    <x v="0"/>
    <m/>
    <n v="0"/>
    <n v="0"/>
    <n v="0"/>
    <n v="0"/>
    <n v="0"/>
    <n v="0"/>
    <n v="0"/>
    <n v="0"/>
    <n v="0"/>
    <n v="0"/>
    <n v="0"/>
    <n v="17569.990000000002"/>
    <n v="17569.990000000002"/>
    <n v="-1034.69"/>
  </r>
  <r>
    <x v="0"/>
    <x v="24"/>
    <x v="0"/>
    <s v="9000933"/>
    <n v="765050"/>
    <s v="Local Income Tax"/>
    <s v="Eliminations-PE @ SC"/>
    <x v="0"/>
    <m/>
    <n v="0"/>
    <n v="0"/>
    <n v="0"/>
    <n v="0"/>
    <n v="0"/>
    <n v="0"/>
    <n v="0"/>
    <n v="0"/>
    <n v="0"/>
    <n v="0"/>
    <n v="0"/>
    <n v="28976.99"/>
    <n v="28976.99"/>
    <n v="-222473.41"/>
  </r>
  <r>
    <x v="0"/>
    <x v="24"/>
    <x v="0"/>
    <s v="9000933"/>
    <n v="766010"/>
    <s v="Property Tax"/>
    <s v="Eliminations-PE @ SC"/>
    <x v="0"/>
    <m/>
    <n v="0"/>
    <n v="0"/>
    <n v="0"/>
    <n v="0"/>
    <n v="0"/>
    <n v="0"/>
    <n v="0"/>
    <n v="0"/>
    <n v="0"/>
    <n v="0"/>
    <n v="0"/>
    <n v="12682.16"/>
    <n v="12682.16"/>
    <n v="-80064.62"/>
  </r>
  <r>
    <x v="0"/>
    <x v="24"/>
    <x v="0"/>
    <s v="9000933"/>
    <n v="766070"/>
    <s v="Sales and Use Tax"/>
    <s v="Eliminations-PE @ SC"/>
    <x v="0"/>
    <m/>
    <n v="0"/>
    <n v="0"/>
    <n v="0"/>
    <n v="0"/>
    <n v="0"/>
    <n v="0"/>
    <n v="0"/>
    <n v="0"/>
    <n v="0"/>
    <n v="0"/>
    <n v="0"/>
    <n v="1034.69"/>
    <n v="1034.69"/>
    <n v="24.53"/>
  </r>
  <r>
    <x v="0"/>
    <x v="24"/>
    <x v="0"/>
    <s v="9000933"/>
    <n v="766090"/>
    <s v="Franchise and Excise Tax"/>
    <s v="Eliminations-PE @ SC"/>
    <x v="0"/>
    <n v="1001"/>
    <n v="0"/>
    <n v="0"/>
    <n v="0"/>
    <n v="0"/>
    <n v="0"/>
    <n v="0"/>
    <n v="0"/>
    <n v="0"/>
    <n v="0"/>
    <n v="0"/>
    <n v="0"/>
    <n v="222473.41"/>
    <n v="222473.41"/>
    <n v="4863.78"/>
  </r>
  <r>
    <x v="25"/>
    <x v="24"/>
    <x v="0"/>
    <s v="9000933"/>
    <n v="770020"/>
    <s v="Severance Costs"/>
    <s v="Eliminations-PE @ SC"/>
    <x v="0"/>
    <m/>
    <n v="0"/>
    <n v="0"/>
    <n v="0"/>
    <n v="0"/>
    <n v="0"/>
    <n v="0"/>
    <n v="0"/>
    <n v="0"/>
    <n v="0"/>
    <n v="0"/>
    <n v="0"/>
    <n v="80064.62"/>
    <n v="80064.62"/>
    <n v="688452.9"/>
  </r>
  <r>
    <x v="9"/>
    <x v="24"/>
    <x v="0"/>
    <s v="9000933"/>
    <n v="800010"/>
    <s v="Interest Income-CHI Cash Mgmt Program"/>
    <s v="Eliminations-PE @ SC"/>
    <x v="0"/>
    <n v="1000"/>
    <n v="0"/>
    <n v="0"/>
    <n v="0"/>
    <n v="0"/>
    <n v="0"/>
    <n v="0"/>
    <n v="0"/>
    <n v="0"/>
    <n v="0"/>
    <n v="0"/>
    <n v="0"/>
    <n v="-24.53"/>
    <n v="-24.53"/>
    <n v="163485.89000000001"/>
  </r>
  <r>
    <x v="9"/>
    <x v="24"/>
    <x v="0"/>
    <s v="9000933"/>
    <n v="800015"/>
    <s v="Interest Income-Ext to CHI"/>
    <s v="Eliminations-PE @ SC"/>
    <x v="0"/>
    <m/>
    <n v="0"/>
    <n v="0"/>
    <n v="0"/>
    <n v="0"/>
    <n v="0"/>
    <n v="0"/>
    <n v="0"/>
    <n v="0"/>
    <n v="0"/>
    <n v="0"/>
    <n v="0"/>
    <n v="-4863.78"/>
    <n v="-4863.78"/>
    <n v="64768.11"/>
  </r>
  <r>
    <x v="9"/>
    <x v="24"/>
    <x v="0"/>
    <s v="9000933"/>
    <n v="804050"/>
    <s v="Business Combination Gains-Nonoperating"/>
    <s v="Eliminations-PE @ SC"/>
    <x v="0"/>
    <m/>
    <n v="0"/>
    <n v="0"/>
    <n v="0"/>
    <n v="0"/>
    <n v="0"/>
    <n v="0"/>
    <n v="0"/>
    <n v="0"/>
    <n v="0"/>
    <n v="0"/>
    <n v="0"/>
    <n v="216278.97"/>
    <n v="216278.97"/>
    <n v="155182.71"/>
  </r>
  <r>
    <x v="1"/>
    <x v="25"/>
    <x v="0"/>
    <s v="9000934"/>
    <n v="400029"/>
    <s v="MD Practice Other Rev--Medicare"/>
    <s v="Eliminations-PE @ SA"/>
    <x v="0"/>
    <n v="1100"/>
    <n v="0"/>
    <n v="0"/>
    <n v="0"/>
    <n v="0"/>
    <n v="0"/>
    <n v="0"/>
    <n v="0"/>
    <n v="0"/>
    <n v="0"/>
    <n v="0"/>
    <n v="0"/>
    <n v="-688452.9"/>
    <n v="-688452.9"/>
    <n v="522230.91"/>
  </r>
  <r>
    <x v="1"/>
    <x v="25"/>
    <x v="0"/>
    <s v="9000934"/>
    <n v="400029"/>
    <s v="MD Practice Other Rev--Medicaid"/>
    <s v="Eliminations-PE @ SA"/>
    <x v="0"/>
    <n v="1200"/>
    <n v="0"/>
    <n v="0"/>
    <n v="0"/>
    <n v="0"/>
    <n v="0"/>
    <n v="0"/>
    <n v="0"/>
    <n v="0"/>
    <n v="0"/>
    <n v="0"/>
    <n v="0"/>
    <n v="-163485.89000000001"/>
    <n v="-163485.89000000001"/>
    <n v="22817.69"/>
  </r>
  <r>
    <x v="1"/>
    <x v="25"/>
    <x v="0"/>
    <s v="9000934"/>
    <n v="400029"/>
    <s v="MD Practice Other Rev--Comm Insurance"/>
    <s v="Eliminations-PE @ SA"/>
    <x v="0"/>
    <n v="1300"/>
    <n v="0"/>
    <n v="0"/>
    <n v="0"/>
    <n v="0"/>
    <n v="0"/>
    <n v="0"/>
    <n v="0"/>
    <n v="0"/>
    <n v="0"/>
    <n v="0"/>
    <n v="0"/>
    <n v="-64768.11"/>
    <n v="-64768.11"/>
    <n v="81453.759999999995"/>
  </r>
  <r>
    <x v="1"/>
    <x v="25"/>
    <x v="0"/>
    <s v="9000934"/>
    <n v="400029"/>
    <s v="MD Practice Other Rev--BCBS Comm"/>
    <s v="Eliminations-PE @ SA"/>
    <x v="0"/>
    <n v="1301"/>
    <n v="0"/>
    <n v="0"/>
    <n v="0"/>
    <n v="0"/>
    <n v="0"/>
    <n v="0"/>
    <n v="0"/>
    <n v="0"/>
    <n v="0"/>
    <n v="0"/>
    <n v="0"/>
    <n v="-155182.71"/>
    <n v="-155182.71"/>
    <n v="24198077.66"/>
  </r>
  <r>
    <x v="1"/>
    <x v="25"/>
    <x v="0"/>
    <s v="9000934"/>
    <n v="400029"/>
    <s v="MD Practice Other Rev--Managed Care"/>
    <s v="Eliminations-PE @ SA"/>
    <x v="0"/>
    <n v="1400"/>
    <n v="0"/>
    <n v="0"/>
    <n v="0"/>
    <n v="0"/>
    <n v="0"/>
    <n v="0"/>
    <n v="0"/>
    <n v="0"/>
    <n v="0"/>
    <n v="0"/>
    <n v="0"/>
    <n v="-522230.91"/>
    <n v="-522230.91"/>
    <n v="7328809.6399999997"/>
  </r>
  <r>
    <x v="1"/>
    <x v="25"/>
    <x v="0"/>
    <s v="9000934"/>
    <n v="400029"/>
    <s v="MD Practice Other Rev--Self Pay"/>
    <s v="Eliminations-PE @ SA"/>
    <x v="0"/>
    <n v="1500"/>
    <n v="0"/>
    <n v="0"/>
    <n v="0"/>
    <n v="0"/>
    <n v="0"/>
    <n v="0"/>
    <n v="0"/>
    <n v="0"/>
    <n v="0"/>
    <n v="0"/>
    <n v="0"/>
    <n v="-22817.69"/>
    <n v="-22817.69"/>
    <n v="2113643.94"/>
  </r>
  <r>
    <x v="1"/>
    <x v="25"/>
    <x v="0"/>
    <s v="9000934"/>
    <n v="400029"/>
    <s v="MD Practice Other Rev--Other"/>
    <s v="Eliminations-PE @ SA"/>
    <x v="0"/>
    <n v="1700"/>
    <n v="0"/>
    <n v="0"/>
    <n v="0"/>
    <n v="0"/>
    <n v="0"/>
    <n v="0"/>
    <n v="0"/>
    <n v="0"/>
    <n v="0"/>
    <n v="0"/>
    <n v="0"/>
    <n v="-81453.759999999995"/>
    <n v="-81453.759999999995"/>
    <n v="4628233.17"/>
  </r>
  <r>
    <x v="1"/>
    <x v="25"/>
    <x v="0"/>
    <s v="9000934"/>
    <n v="400040"/>
    <s v="Physician Svcs Rev--Medicare"/>
    <s v="Eliminations-PE @ SA"/>
    <x v="0"/>
    <n v="1100"/>
    <n v="0"/>
    <n v="0"/>
    <n v="0"/>
    <n v="0"/>
    <n v="0"/>
    <n v="0"/>
    <n v="0"/>
    <n v="0"/>
    <n v="0"/>
    <n v="0"/>
    <n v="0"/>
    <n v="-24198077.66"/>
    <n v="-24198077.66"/>
    <n v="16146876.359999999"/>
  </r>
  <r>
    <x v="1"/>
    <x v="25"/>
    <x v="0"/>
    <s v="9000934"/>
    <n v="400040"/>
    <s v="Physician Svcs Rev--Medicaid"/>
    <s v="Eliminations-PE @ SA"/>
    <x v="0"/>
    <n v="1200"/>
    <n v="0"/>
    <n v="0"/>
    <n v="0"/>
    <n v="0"/>
    <n v="0"/>
    <n v="0"/>
    <n v="0"/>
    <n v="0"/>
    <n v="0"/>
    <n v="0"/>
    <n v="0"/>
    <n v="-7328809.6399999997"/>
    <n v="-7328809.6399999997"/>
    <n v="813712.16"/>
  </r>
  <r>
    <x v="1"/>
    <x v="25"/>
    <x v="0"/>
    <s v="9000934"/>
    <n v="400040"/>
    <s v="Physician Svcs Rev--Comm Insurance"/>
    <s v="Eliminations-PE @ SA"/>
    <x v="0"/>
    <n v="1300"/>
    <n v="0"/>
    <n v="0"/>
    <n v="0"/>
    <n v="0"/>
    <n v="0"/>
    <n v="0"/>
    <n v="0"/>
    <n v="0"/>
    <n v="0"/>
    <n v="0"/>
    <n v="0"/>
    <n v="-2113643.94"/>
    <n v="-2113643.94"/>
    <n v="2568479.88"/>
  </r>
  <r>
    <x v="1"/>
    <x v="25"/>
    <x v="0"/>
    <s v="9000934"/>
    <n v="400040"/>
    <s v="Physician Svcs Rev--BCBS Comm"/>
    <s v="Eliminations-PE @ SA"/>
    <x v="0"/>
    <n v="1301"/>
    <n v="0"/>
    <n v="0"/>
    <n v="0"/>
    <n v="0"/>
    <n v="0"/>
    <n v="0"/>
    <n v="0"/>
    <n v="0"/>
    <n v="0"/>
    <n v="0"/>
    <n v="0"/>
    <n v="-4628233.17"/>
    <n v="-4628233.17"/>
    <n v="-439714.29"/>
  </r>
  <r>
    <x v="1"/>
    <x v="25"/>
    <x v="0"/>
    <s v="9000934"/>
    <n v="400040"/>
    <s v="Physician Svcs Rev--Managed Care"/>
    <s v="Eliminations-PE @ SA"/>
    <x v="0"/>
    <n v="1400"/>
    <n v="0"/>
    <n v="0"/>
    <n v="0"/>
    <n v="0"/>
    <n v="0"/>
    <n v="0"/>
    <n v="0"/>
    <n v="0"/>
    <n v="0"/>
    <n v="0"/>
    <n v="0"/>
    <n v="-16146876.359999999"/>
    <n v="-16146876.359999999"/>
    <n v="-126106.45"/>
  </r>
  <r>
    <x v="1"/>
    <x v="25"/>
    <x v="0"/>
    <s v="9000934"/>
    <n v="400040"/>
    <s v="Physician Svcs Rev--Self Pay"/>
    <s v="Eliminations-PE @ SA"/>
    <x v="0"/>
    <n v="1500"/>
    <n v="0"/>
    <n v="0"/>
    <n v="0"/>
    <n v="0"/>
    <n v="0"/>
    <n v="0"/>
    <n v="0"/>
    <n v="0"/>
    <n v="0"/>
    <n v="0"/>
    <n v="0"/>
    <n v="-813712.16"/>
    <n v="-813712.16"/>
    <n v="-24931.02"/>
  </r>
  <r>
    <x v="1"/>
    <x v="25"/>
    <x v="0"/>
    <s v="9000934"/>
    <n v="400040"/>
    <s v="Physician Svcs Rev--Other"/>
    <s v="Eliminations-PE @ SA"/>
    <x v="0"/>
    <n v="1700"/>
    <n v="0"/>
    <n v="0"/>
    <n v="0"/>
    <n v="0"/>
    <n v="0"/>
    <n v="0"/>
    <n v="0"/>
    <n v="0"/>
    <n v="0"/>
    <n v="0"/>
    <n v="0"/>
    <n v="-2568479.88"/>
    <n v="-2568479.88"/>
    <n v="-55386.91"/>
  </r>
  <r>
    <x v="2"/>
    <x v="25"/>
    <x v="0"/>
    <s v="9000934"/>
    <n v="450029"/>
    <s v="Contr Allow--MD Other-Medicare"/>
    <s v="Eliminations-PE @ SA"/>
    <x v="0"/>
    <n v="1100"/>
    <n v="0"/>
    <n v="0"/>
    <n v="0"/>
    <n v="0"/>
    <n v="0"/>
    <n v="0"/>
    <n v="0"/>
    <n v="0"/>
    <n v="0"/>
    <n v="0"/>
    <n v="0"/>
    <n v="439714.29"/>
    <n v="439714.29"/>
    <n v="-224171.65"/>
  </r>
  <r>
    <x v="2"/>
    <x v="25"/>
    <x v="0"/>
    <s v="9000934"/>
    <n v="450029"/>
    <s v="Contr Allow--MD Other-Medicaid"/>
    <s v="Eliminations-PE @ SA"/>
    <x v="0"/>
    <n v="1200"/>
    <n v="0"/>
    <n v="0"/>
    <n v="0"/>
    <n v="0"/>
    <n v="0"/>
    <n v="0"/>
    <n v="0"/>
    <n v="0"/>
    <n v="0"/>
    <n v="0"/>
    <n v="0"/>
    <n v="126106.45"/>
    <n v="126106.45"/>
    <n v="-244.35"/>
  </r>
  <r>
    <x v="2"/>
    <x v="25"/>
    <x v="0"/>
    <s v="9000934"/>
    <n v="450029"/>
    <s v="Contr Allow--MD Other-Comm Insurance"/>
    <s v="Eliminations-PE @ SA"/>
    <x v="0"/>
    <n v="1300"/>
    <n v="0"/>
    <n v="0"/>
    <n v="0"/>
    <n v="0"/>
    <n v="0"/>
    <n v="0"/>
    <n v="0"/>
    <n v="0"/>
    <n v="0"/>
    <n v="0"/>
    <n v="0"/>
    <n v="24931.02"/>
    <n v="24931.02"/>
    <n v="-12198.27"/>
  </r>
  <r>
    <x v="2"/>
    <x v="25"/>
    <x v="0"/>
    <s v="9000934"/>
    <n v="450029"/>
    <s v="Contr Allow--MD Other BCBS Comm"/>
    <s v="Eliminations-PE @ SA"/>
    <x v="0"/>
    <n v="1301"/>
    <n v="0"/>
    <n v="0"/>
    <n v="0"/>
    <n v="0"/>
    <n v="0"/>
    <n v="0"/>
    <n v="0"/>
    <n v="0"/>
    <n v="0"/>
    <n v="0"/>
    <n v="0"/>
    <n v="55386.91"/>
    <n v="55386.91"/>
    <n v="-45864.62"/>
  </r>
  <r>
    <x v="2"/>
    <x v="25"/>
    <x v="0"/>
    <s v="9000934"/>
    <n v="450029"/>
    <s v="Contr Allow--MD Other-Managed Care"/>
    <s v="Eliminations-PE @ SA"/>
    <x v="0"/>
    <n v="1400"/>
    <n v="0"/>
    <n v="0"/>
    <n v="0"/>
    <n v="0"/>
    <n v="0"/>
    <n v="0"/>
    <n v="0"/>
    <n v="0"/>
    <n v="0"/>
    <n v="0"/>
    <n v="0"/>
    <n v="224171.65"/>
    <n v="224171.65"/>
    <n v="-16360279.689999999"/>
  </r>
  <r>
    <x v="2"/>
    <x v="25"/>
    <x v="0"/>
    <s v="9000934"/>
    <n v="450029"/>
    <s v="Prompt Pay Disc-MD Other-Self Pay"/>
    <s v="Eliminations-PE @ SA"/>
    <x v="0"/>
    <n v="1500"/>
    <n v="0"/>
    <n v="0"/>
    <n v="0"/>
    <n v="0"/>
    <n v="0"/>
    <n v="0"/>
    <n v="0"/>
    <n v="0"/>
    <n v="0"/>
    <n v="0"/>
    <n v="0"/>
    <n v="244.35"/>
    <n v="244.35"/>
    <n v="-5581895.4400000004"/>
  </r>
  <r>
    <x v="2"/>
    <x v="25"/>
    <x v="0"/>
    <s v="9000934"/>
    <n v="450029"/>
    <s v="Admin Adjust-MD Other-Self Pay"/>
    <s v="Eliminations-PE @ SA"/>
    <x v="0"/>
    <n v="1600"/>
    <n v="0"/>
    <n v="0"/>
    <n v="0"/>
    <n v="0"/>
    <n v="0"/>
    <n v="0"/>
    <n v="0"/>
    <n v="0"/>
    <n v="0"/>
    <n v="0"/>
    <n v="0"/>
    <n v="12198.27"/>
    <n v="12198.27"/>
    <n v="-869100.87"/>
  </r>
  <r>
    <x v="2"/>
    <x v="25"/>
    <x v="0"/>
    <s v="9000934"/>
    <n v="450029"/>
    <s v="Contr Allow--MD Other-Other"/>
    <s v="Eliminations-PE @ SA"/>
    <x v="0"/>
    <n v="1700"/>
    <n v="0"/>
    <n v="0"/>
    <n v="0"/>
    <n v="0"/>
    <n v="0"/>
    <n v="0"/>
    <n v="0"/>
    <n v="0"/>
    <n v="0"/>
    <n v="0"/>
    <n v="0"/>
    <n v="45864.62"/>
    <n v="45864.62"/>
    <n v="-1818869.23"/>
  </r>
  <r>
    <x v="2"/>
    <x v="25"/>
    <x v="0"/>
    <s v="9000934"/>
    <n v="450040"/>
    <s v="Contr Allow--Phys Svcs--Mcare"/>
    <s v="Eliminations-PE @ SA"/>
    <x v="0"/>
    <n v="1100"/>
    <n v="0"/>
    <n v="0"/>
    <n v="0"/>
    <n v="0"/>
    <n v="0"/>
    <n v="0"/>
    <n v="0"/>
    <n v="0"/>
    <n v="0"/>
    <n v="0"/>
    <n v="0"/>
    <n v="16360279.689999999"/>
    <n v="16360279.689999999"/>
    <n v="-7098921.29"/>
  </r>
  <r>
    <x v="2"/>
    <x v="25"/>
    <x v="0"/>
    <s v="9000934"/>
    <n v="450040"/>
    <s v="Contr Allow--Phys Svcs--Mcaid"/>
    <s v="Eliminations-PE @ SA"/>
    <x v="0"/>
    <n v="1200"/>
    <n v="0"/>
    <n v="0"/>
    <n v="0"/>
    <n v="0"/>
    <n v="0"/>
    <n v="0"/>
    <n v="0"/>
    <n v="0"/>
    <n v="0"/>
    <n v="0"/>
    <n v="0"/>
    <n v="5581895.4400000004"/>
    <n v="5581895.4400000004"/>
    <n v="586116.32999999996"/>
  </r>
  <r>
    <x v="2"/>
    <x v="25"/>
    <x v="0"/>
    <s v="9000934"/>
    <n v="450040"/>
    <s v="Contr Allow--Phys Svcs--Comm Insurance"/>
    <s v="Eliminations-PE @ SA"/>
    <x v="0"/>
    <n v="1300"/>
    <n v="0"/>
    <n v="0"/>
    <n v="0"/>
    <n v="0"/>
    <n v="0"/>
    <n v="0"/>
    <n v="0"/>
    <n v="0"/>
    <n v="0"/>
    <n v="0"/>
    <n v="0"/>
    <n v="869100.87"/>
    <n v="869100.87"/>
    <n v="11885.47"/>
  </r>
  <r>
    <x v="2"/>
    <x v="25"/>
    <x v="0"/>
    <s v="9000934"/>
    <n v="450040"/>
    <s v="Contr Allow--Phys Svcs--BCBS Comm Ins"/>
    <s v="Eliminations-PE @ SA"/>
    <x v="0"/>
    <n v="1301"/>
    <n v="0"/>
    <n v="0"/>
    <n v="0"/>
    <n v="0"/>
    <n v="0"/>
    <n v="0"/>
    <n v="0"/>
    <n v="0"/>
    <n v="0"/>
    <n v="0"/>
    <n v="0"/>
    <n v="1818869.23"/>
    <n v="1818869.23"/>
    <n v="-744158.79"/>
  </r>
  <r>
    <x v="2"/>
    <x v="25"/>
    <x v="0"/>
    <s v="9000934"/>
    <n v="450040"/>
    <s v="Contr Allow--Phys Svcs--Managed Care"/>
    <s v="Eliminations-PE @ SA"/>
    <x v="0"/>
    <n v="1400"/>
    <n v="0"/>
    <n v="0"/>
    <n v="0"/>
    <n v="0"/>
    <n v="0"/>
    <n v="0"/>
    <n v="0"/>
    <n v="0"/>
    <n v="0"/>
    <n v="0"/>
    <n v="0"/>
    <n v="7098921.29"/>
    <n v="7098921.29"/>
    <n v="-1619612.36"/>
  </r>
  <r>
    <x v="2"/>
    <x v="25"/>
    <x v="0"/>
    <s v="9000934"/>
    <n v="450040"/>
    <s v="Contr Allow--Phys Svcs--BCBS Mgnd Care"/>
    <s v="Eliminations-PE @ SA"/>
    <x v="0"/>
    <n v="1401"/>
    <n v="0"/>
    <n v="0"/>
    <n v="0"/>
    <n v="0"/>
    <n v="0"/>
    <n v="0"/>
    <n v="0"/>
    <n v="0"/>
    <n v="0"/>
    <n v="0"/>
    <n v="0"/>
    <n v="-586116.32999999996"/>
    <n v="-586116.32999999996"/>
    <n v="-316639.18"/>
  </r>
  <r>
    <x v="2"/>
    <x v="25"/>
    <x v="0"/>
    <s v="9000934"/>
    <n v="450040"/>
    <s v="Prompt Pay Disc-Phys Svcs-Self Pay"/>
    <s v="Eliminations-PE @ SA"/>
    <x v="0"/>
    <n v="1500"/>
    <n v="0"/>
    <n v="0"/>
    <n v="0"/>
    <n v="0"/>
    <n v="0"/>
    <n v="0"/>
    <n v="0"/>
    <n v="0"/>
    <n v="0"/>
    <n v="0"/>
    <n v="0"/>
    <n v="-11885.47"/>
    <n v="-11885.47"/>
    <n v="-298514.53000000003"/>
  </r>
  <r>
    <x v="2"/>
    <x v="25"/>
    <x v="0"/>
    <s v="9000934"/>
    <n v="450040"/>
    <s v="Admin Adjust-Phys Svcs-Self Pay"/>
    <s v="Eliminations-PE @ SA"/>
    <x v="0"/>
    <n v="1600"/>
    <n v="0"/>
    <n v="0"/>
    <n v="0"/>
    <n v="0"/>
    <n v="0"/>
    <n v="0"/>
    <n v="0"/>
    <n v="0"/>
    <n v="0"/>
    <n v="0"/>
    <n v="0"/>
    <n v="744158.79"/>
    <n v="744158.79"/>
    <n v="-2854.98"/>
  </r>
  <r>
    <x v="2"/>
    <x v="25"/>
    <x v="0"/>
    <s v="9000934"/>
    <n v="450040"/>
    <s v="Contr Allow--Phys Svcs--Other"/>
    <s v="Eliminations-PE @ SA"/>
    <x v="0"/>
    <n v="1700"/>
    <n v="0"/>
    <n v="0"/>
    <n v="0"/>
    <n v="0"/>
    <n v="0"/>
    <n v="0"/>
    <n v="0"/>
    <n v="0"/>
    <n v="0"/>
    <n v="0"/>
    <n v="0"/>
    <n v="1619612.36"/>
    <n v="1619612.36"/>
    <n v="84683.21"/>
  </r>
  <r>
    <x v="3"/>
    <x v="25"/>
    <x v="0"/>
    <s v="9000934"/>
    <n v="470040"/>
    <s v="Charity Care-Physician Svcs"/>
    <s v="Eliminations-PE @ SA"/>
    <x v="0"/>
    <m/>
    <n v="0"/>
    <n v="0"/>
    <n v="0"/>
    <n v="0"/>
    <n v="0"/>
    <n v="0"/>
    <n v="0"/>
    <n v="0"/>
    <n v="0"/>
    <n v="0"/>
    <n v="0"/>
    <n v="316639.18"/>
    <n v="316639.18"/>
    <n v="19229.5"/>
  </r>
  <r>
    <x v="4"/>
    <x v="25"/>
    <x v="0"/>
    <s v="9000934"/>
    <n v="490010"/>
    <s v="Provision for Bad Debts"/>
    <s v="Eliminations-PE @ SA"/>
    <x v="0"/>
    <m/>
    <n v="0"/>
    <n v="0"/>
    <n v="0"/>
    <n v="0"/>
    <n v="0"/>
    <n v="0"/>
    <n v="0"/>
    <n v="0"/>
    <n v="0"/>
    <n v="0"/>
    <n v="0"/>
    <n v="298514.53000000003"/>
    <n v="298514.53000000003"/>
    <n v="685.88"/>
  </r>
  <r>
    <x v="14"/>
    <x v="25"/>
    <x v="0"/>
    <s v="9000934"/>
    <n v="600010"/>
    <s v="Product Sales Income-Taxable"/>
    <s v="Eliminations-PE @ SA"/>
    <x v="0"/>
    <m/>
    <n v="0"/>
    <n v="0"/>
    <n v="0"/>
    <n v="0"/>
    <n v="0"/>
    <n v="0"/>
    <n v="0"/>
    <n v="0"/>
    <n v="0"/>
    <n v="0"/>
    <n v="0"/>
    <n v="2854.98"/>
    <n v="2854.98"/>
    <n v="692200.32"/>
  </r>
  <r>
    <x v="14"/>
    <x v="25"/>
    <x v="0"/>
    <s v="9000934"/>
    <n v="600026"/>
    <s v="POB Rental"/>
    <s v="Eliminations-PE @ SA"/>
    <x v="0"/>
    <n v="1001"/>
    <n v="0"/>
    <n v="0"/>
    <n v="0"/>
    <n v="0"/>
    <n v="0"/>
    <n v="0"/>
    <n v="0"/>
    <n v="0"/>
    <n v="0"/>
    <n v="0"/>
    <n v="0"/>
    <n v="-84683.21"/>
    <n v="-84683.21"/>
    <n v="12488.59"/>
  </r>
  <r>
    <x v="14"/>
    <x v="25"/>
    <x v="0"/>
    <s v="9000934"/>
    <n v="600026"/>
    <s v="Other Rental"/>
    <s v="Eliminations-PE @ SA"/>
    <x v="0"/>
    <n v="1002"/>
    <n v="0"/>
    <n v="0"/>
    <n v="0"/>
    <n v="0"/>
    <n v="0"/>
    <n v="0"/>
    <n v="0"/>
    <n v="0"/>
    <n v="0"/>
    <n v="0"/>
    <n v="0"/>
    <n v="-19229.5"/>
    <n v="-19229.5"/>
    <n v="34238"/>
  </r>
  <r>
    <x v="14"/>
    <x v="25"/>
    <x v="0"/>
    <s v="9000934"/>
    <n v="600034"/>
    <s v="Vending Commission"/>
    <s v="Eliminations-PE @ SA"/>
    <x v="0"/>
    <n v="1002"/>
    <n v="0"/>
    <n v="0"/>
    <n v="0"/>
    <n v="0"/>
    <n v="0"/>
    <n v="0"/>
    <n v="0"/>
    <n v="0"/>
    <n v="0"/>
    <n v="0"/>
    <n v="0"/>
    <n v="-685.88"/>
    <n v="-685.88"/>
    <n v="135198.62"/>
  </r>
  <r>
    <x v="14"/>
    <x v="25"/>
    <x v="0"/>
    <s v="9000934"/>
    <n v="600050"/>
    <s v="Miscellaneous Revenue"/>
    <s v="Eliminations-PE @ SA"/>
    <x v="0"/>
    <m/>
    <n v="0"/>
    <n v="0"/>
    <n v="0"/>
    <n v="0"/>
    <n v="0"/>
    <n v="0"/>
    <n v="0"/>
    <n v="0"/>
    <n v="0"/>
    <n v="0"/>
    <n v="0"/>
    <n v="-692200.32"/>
    <n v="-692200.32"/>
    <n v="24.53"/>
  </r>
  <r>
    <x v="14"/>
    <x v="25"/>
    <x v="0"/>
    <s v="9000934"/>
    <n v="600055"/>
    <s v="Grants"/>
    <s v="Eliminations-PE @ SA"/>
    <x v="0"/>
    <m/>
    <n v="0"/>
    <n v="0"/>
    <n v="0"/>
    <n v="0"/>
    <n v="0"/>
    <n v="0"/>
    <n v="0"/>
    <n v="0"/>
    <n v="0"/>
    <n v="0"/>
    <n v="0"/>
    <n v="-12488.59"/>
    <n v="-12488.59"/>
    <n v="-711931.96"/>
  </r>
  <r>
    <x v="14"/>
    <x v="25"/>
    <x v="0"/>
    <s v="9000934"/>
    <n v="600059"/>
    <s v="Meaningful Use Revenue-Medicaid"/>
    <s v="Eliminations-PE @ SA"/>
    <x v="0"/>
    <m/>
    <n v="0"/>
    <n v="0"/>
    <n v="0"/>
    <n v="0"/>
    <n v="0"/>
    <n v="0"/>
    <n v="0"/>
    <n v="0"/>
    <n v="0"/>
    <n v="0"/>
    <n v="0"/>
    <n v="-34238"/>
    <n v="-34238"/>
    <n v="-579.97"/>
  </r>
  <r>
    <x v="14"/>
    <x v="25"/>
    <x v="0"/>
    <s v="9000934"/>
    <n v="600061"/>
    <s v="Federal Grant Revenue"/>
    <s v="Eliminations-PE @ SA"/>
    <x v="0"/>
    <m/>
    <n v="0"/>
    <n v="0"/>
    <n v="0"/>
    <n v="0"/>
    <n v="0"/>
    <n v="0"/>
    <n v="0"/>
    <n v="0"/>
    <n v="0"/>
    <n v="0"/>
    <n v="0"/>
    <n v="-135198.62"/>
    <n v="-135198.62"/>
    <n v="-387396.03"/>
  </r>
  <r>
    <x v="20"/>
    <x v="25"/>
    <x v="0"/>
    <s v="9000934"/>
    <n v="610010"/>
    <s v="Foundation Distributions"/>
    <s v="Eliminations-PE @ SA"/>
    <x v="0"/>
    <n v="1175"/>
    <n v="0"/>
    <n v="0"/>
    <n v="0"/>
    <n v="0"/>
    <n v="0"/>
    <n v="0"/>
    <n v="0"/>
    <n v="0"/>
    <n v="0"/>
    <n v="0"/>
    <n v="0"/>
    <n v="-24.53"/>
    <n v="-24.53"/>
    <n v="-1.71"/>
  </r>
  <r>
    <x v="5"/>
    <x v="25"/>
    <x v="0"/>
    <s v="9000934"/>
    <n v="700014"/>
    <s v="Salaries-Management-Productive"/>
    <s v="Eliminations-PE @ SA"/>
    <x v="0"/>
    <m/>
    <n v="0"/>
    <n v="0"/>
    <n v="0"/>
    <n v="0"/>
    <n v="0"/>
    <n v="0"/>
    <n v="0"/>
    <n v="0"/>
    <n v="0"/>
    <n v="0"/>
    <n v="0"/>
    <n v="711931.96"/>
    <n v="711931.96"/>
    <n v="-3578.87"/>
  </r>
  <r>
    <x v="5"/>
    <x v="25"/>
    <x v="0"/>
    <s v="9000934"/>
    <n v="700014"/>
    <s v="Salaries-Management-Other"/>
    <s v="Eliminations-PE @ SA"/>
    <x v="0"/>
    <n v="2000"/>
    <n v="0"/>
    <n v="0"/>
    <n v="0"/>
    <n v="0"/>
    <n v="0"/>
    <n v="0"/>
    <n v="0"/>
    <n v="0"/>
    <n v="0"/>
    <n v="0"/>
    <n v="0"/>
    <n v="579.97"/>
    <n v="579.97"/>
    <n v="-13366.34"/>
  </r>
  <r>
    <x v="5"/>
    <x v="25"/>
    <x v="0"/>
    <s v="9000934"/>
    <n v="700018"/>
    <s v="Salaries-Supervisory-Productive"/>
    <s v="Eliminations-PE @ SA"/>
    <x v="0"/>
    <m/>
    <n v="0"/>
    <n v="0"/>
    <n v="0"/>
    <n v="0"/>
    <n v="0"/>
    <n v="0"/>
    <n v="0"/>
    <n v="0"/>
    <n v="0"/>
    <n v="0"/>
    <n v="0"/>
    <n v="387396.03"/>
    <n v="387396.03"/>
    <n v="-11577229.460000001"/>
  </r>
  <r>
    <x v="5"/>
    <x v="25"/>
    <x v="0"/>
    <s v="9000934"/>
    <n v="700018"/>
    <s v="Salaries-Supervisory-Other"/>
    <s v="Eliminations-PE @ SA"/>
    <x v="0"/>
    <n v="2000"/>
    <n v="0"/>
    <n v="0"/>
    <n v="0"/>
    <n v="0"/>
    <n v="0"/>
    <n v="0"/>
    <n v="0"/>
    <n v="0"/>
    <n v="0"/>
    <n v="0"/>
    <n v="0"/>
    <n v="1.71"/>
    <n v="1.71"/>
    <n v="-768481.36"/>
  </r>
  <r>
    <x v="5"/>
    <x v="25"/>
    <x v="0"/>
    <s v="9000934"/>
    <n v="700020"/>
    <s v="Salaries-Physician Admin-Productive"/>
    <s v="Eliminations-PE @ SA"/>
    <x v="0"/>
    <m/>
    <n v="0"/>
    <n v="0"/>
    <n v="0"/>
    <n v="0"/>
    <n v="0"/>
    <n v="0"/>
    <n v="0"/>
    <n v="0"/>
    <n v="0"/>
    <n v="0"/>
    <n v="0"/>
    <n v="3578.87"/>
    <n v="3578.87"/>
    <n v="116070.8"/>
  </r>
  <r>
    <x v="5"/>
    <x v="25"/>
    <x v="0"/>
    <s v="9000934"/>
    <n v="700020"/>
    <s v="Salaries-Physician Admin-Other"/>
    <s v="Eliminations-PE @ SA"/>
    <x v="0"/>
    <n v="2000"/>
    <n v="0"/>
    <n v="0"/>
    <n v="0"/>
    <n v="0"/>
    <n v="0"/>
    <n v="0"/>
    <n v="0"/>
    <n v="0"/>
    <n v="0"/>
    <n v="0"/>
    <n v="0"/>
    <n v="13366.34"/>
    <n v="13366.34"/>
    <n v="11.64"/>
  </r>
  <r>
    <x v="5"/>
    <x v="25"/>
    <x v="0"/>
    <s v="9000934"/>
    <n v="700022"/>
    <s v="Salaries-Physician-Productive"/>
    <s v="Eliminations-PE @ SA"/>
    <x v="0"/>
    <m/>
    <n v="0"/>
    <n v="0"/>
    <n v="0"/>
    <n v="0"/>
    <n v="0"/>
    <n v="0"/>
    <n v="0"/>
    <n v="0"/>
    <n v="0"/>
    <n v="0"/>
    <n v="0"/>
    <n v="11577229.460000001"/>
    <n v="11577229.460000001"/>
    <n v="-2405133.96"/>
  </r>
  <r>
    <x v="5"/>
    <x v="25"/>
    <x v="0"/>
    <s v="9000934"/>
    <n v="700022"/>
    <s v="Salaries-Physician-Other"/>
    <s v="Eliminations-PE @ SA"/>
    <x v="0"/>
    <n v="2000"/>
    <n v="0"/>
    <n v="0"/>
    <n v="0"/>
    <n v="0"/>
    <n v="0"/>
    <n v="0"/>
    <n v="0"/>
    <n v="0"/>
    <n v="0"/>
    <n v="0"/>
    <n v="0"/>
    <n v="768481.36"/>
    <n v="768481.36"/>
    <n v="-27374.6"/>
  </r>
  <r>
    <x v="5"/>
    <x v="25"/>
    <x v="0"/>
    <s v="9000934"/>
    <n v="700022"/>
    <s v="Salaries-Physician-Provider Incentive"/>
    <s v="Eliminations-PE @ SA"/>
    <x v="0"/>
    <n v="4003"/>
    <n v="0"/>
    <n v="0"/>
    <n v="0"/>
    <n v="0"/>
    <n v="0"/>
    <n v="0"/>
    <n v="0"/>
    <n v="0"/>
    <n v="0"/>
    <n v="0"/>
    <n v="0"/>
    <n v="-116070.8"/>
    <n v="-116070.8"/>
    <n v="-28407.55"/>
  </r>
  <r>
    <x v="5"/>
    <x v="25"/>
    <x v="0"/>
    <s v="9000934"/>
    <n v="700022"/>
    <s v="Salaries-Physician-Recruitment Bonus"/>
    <s v="Eliminations-PE @ SA"/>
    <x v="0"/>
    <n v="4005"/>
    <n v="0"/>
    <n v="0"/>
    <n v="0"/>
    <n v="0"/>
    <n v="0"/>
    <n v="0"/>
    <n v="0"/>
    <n v="0"/>
    <n v="0"/>
    <n v="0"/>
    <n v="0"/>
    <n v="-11.64"/>
    <n v="-11.64"/>
    <n v="-725431.76"/>
  </r>
  <r>
    <x v="5"/>
    <x v="25"/>
    <x v="0"/>
    <s v="9000934"/>
    <n v="700024"/>
    <s v="Salaries-Advanced Practice Clinician-Productive"/>
    <s v="Eliminations-PE @ SA"/>
    <x v="0"/>
    <m/>
    <n v="0"/>
    <n v="0"/>
    <n v="0"/>
    <n v="0"/>
    <n v="0"/>
    <n v="0"/>
    <n v="0"/>
    <n v="0"/>
    <n v="0"/>
    <n v="0"/>
    <n v="0"/>
    <n v="2405133.96"/>
    <n v="2405133.96"/>
    <n v="-21976.67"/>
  </r>
  <r>
    <x v="5"/>
    <x v="25"/>
    <x v="0"/>
    <s v="9000934"/>
    <n v="700024"/>
    <s v="Salaries-Advanced Practice Clinician-Other"/>
    <s v="Eliminations-PE @ SA"/>
    <x v="0"/>
    <n v="2000"/>
    <n v="0"/>
    <n v="0"/>
    <n v="0"/>
    <n v="0"/>
    <n v="0"/>
    <n v="0"/>
    <n v="0"/>
    <n v="0"/>
    <n v="0"/>
    <n v="0"/>
    <n v="0"/>
    <n v="27374.6"/>
    <n v="27374.6"/>
    <n v="-3104.39"/>
  </r>
  <r>
    <x v="5"/>
    <x v="25"/>
    <x v="0"/>
    <s v="9000934"/>
    <n v="700024"/>
    <s v="Salaries-Advanced Practice Clinician-Provider Incentive"/>
    <s v="Eliminations-PE @ SA"/>
    <x v="0"/>
    <n v="4003"/>
    <n v="0"/>
    <n v="0"/>
    <n v="0"/>
    <n v="0"/>
    <n v="0"/>
    <n v="0"/>
    <n v="0"/>
    <n v="0"/>
    <n v="0"/>
    <n v="0"/>
    <n v="0"/>
    <n v="28407.55"/>
    <n v="28407.55"/>
    <n v="-858373.16"/>
  </r>
  <r>
    <x v="5"/>
    <x v="25"/>
    <x v="0"/>
    <s v="9000934"/>
    <n v="700026"/>
    <s v="Salaries-RN-Productive"/>
    <s v="Eliminations-PE @ SA"/>
    <x v="0"/>
    <m/>
    <n v="0"/>
    <n v="0"/>
    <n v="0"/>
    <n v="0"/>
    <n v="0"/>
    <n v="0"/>
    <n v="0"/>
    <n v="0"/>
    <n v="0"/>
    <n v="0"/>
    <n v="0"/>
    <n v="725431.76"/>
    <n v="725431.76"/>
    <n v="-27612.13"/>
  </r>
  <r>
    <x v="5"/>
    <x v="25"/>
    <x v="0"/>
    <s v="9000934"/>
    <n v="700026"/>
    <s v="Salaries-RN-OT"/>
    <s v="Eliminations-PE @ SA"/>
    <x v="0"/>
    <n v="1000"/>
    <n v="0"/>
    <n v="0"/>
    <n v="0"/>
    <n v="0"/>
    <n v="0"/>
    <n v="0"/>
    <n v="0"/>
    <n v="0"/>
    <n v="0"/>
    <n v="0"/>
    <n v="0"/>
    <n v="21976.67"/>
    <n v="21976.67"/>
    <n v="-4114.82"/>
  </r>
  <r>
    <x v="5"/>
    <x v="25"/>
    <x v="0"/>
    <s v="9000934"/>
    <n v="700026"/>
    <s v="Salaries-RN-Other"/>
    <s v="Eliminations-PE @ SA"/>
    <x v="0"/>
    <n v="2000"/>
    <n v="0"/>
    <n v="0"/>
    <n v="0"/>
    <n v="0"/>
    <n v="0"/>
    <n v="0"/>
    <n v="0"/>
    <n v="0"/>
    <n v="0"/>
    <n v="0"/>
    <n v="0"/>
    <n v="3104.39"/>
    <n v="3104.39"/>
    <n v="-1171045.3600000001"/>
  </r>
  <r>
    <x v="5"/>
    <x v="25"/>
    <x v="0"/>
    <s v="9000934"/>
    <n v="700030"/>
    <s v="Salaries-LPN-Productive"/>
    <s v="Eliminations-PE @ SA"/>
    <x v="0"/>
    <m/>
    <n v="0"/>
    <n v="0"/>
    <n v="0"/>
    <n v="0"/>
    <n v="0"/>
    <n v="0"/>
    <n v="0"/>
    <n v="0"/>
    <n v="0"/>
    <n v="0"/>
    <n v="0"/>
    <n v="858373.16"/>
    <n v="858373.16"/>
    <n v="-27841.37"/>
  </r>
  <r>
    <x v="5"/>
    <x v="25"/>
    <x v="0"/>
    <s v="9000934"/>
    <n v="700030"/>
    <s v="Salaries-LPN-OT"/>
    <s v="Eliminations-PE @ SA"/>
    <x v="0"/>
    <n v="1000"/>
    <n v="0"/>
    <n v="0"/>
    <n v="0"/>
    <n v="0"/>
    <n v="0"/>
    <n v="0"/>
    <n v="0"/>
    <n v="0"/>
    <n v="0"/>
    <n v="0"/>
    <n v="0"/>
    <n v="27612.13"/>
    <n v="27612.13"/>
    <n v="-2865.86"/>
  </r>
  <r>
    <x v="5"/>
    <x v="25"/>
    <x v="0"/>
    <s v="9000934"/>
    <n v="700030"/>
    <s v="Salaries-LPN-Other"/>
    <s v="Eliminations-PE @ SA"/>
    <x v="0"/>
    <n v="2000"/>
    <n v="0"/>
    <n v="0"/>
    <n v="0"/>
    <n v="0"/>
    <n v="0"/>
    <n v="0"/>
    <n v="0"/>
    <n v="0"/>
    <n v="0"/>
    <n v="0"/>
    <n v="0"/>
    <n v="4114.82"/>
    <n v="4114.82"/>
    <n v="-726313.74"/>
  </r>
  <r>
    <x v="5"/>
    <x v="25"/>
    <x v="0"/>
    <s v="9000934"/>
    <n v="700032"/>
    <s v="Salaries-Other Pat Care Providers-Productive"/>
    <s v="Eliminations-PE @ SA"/>
    <x v="0"/>
    <m/>
    <n v="0"/>
    <n v="0"/>
    <n v="0"/>
    <n v="0"/>
    <n v="0"/>
    <n v="0"/>
    <n v="0"/>
    <n v="0"/>
    <n v="0"/>
    <n v="0"/>
    <n v="0"/>
    <n v="1171045.3600000001"/>
    <n v="1171045.3600000001"/>
    <n v="-8520.15"/>
  </r>
  <r>
    <x v="5"/>
    <x v="25"/>
    <x v="0"/>
    <s v="9000934"/>
    <n v="700032"/>
    <s v="Salaries-Other Pat Care Providers-OT"/>
    <s v="Eliminations-PE @ SA"/>
    <x v="0"/>
    <n v="1000"/>
    <n v="0"/>
    <n v="0"/>
    <n v="0"/>
    <n v="0"/>
    <n v="0"/>
    <n v="0"/>
    <n v="0"/>
    <n v="0"/>
    <n v="0"/>
    <n v="0"/>
    <n v="0"/>
    <n v="27841.37"/>
    <n v="27841.37"/>
    <n v="-4397.88"/>
  </r>
  <r>
    <x v="5"/>
    <x v="25"/>
    <x v="0"/>
    <s v="9000934"/>
    <n v="700032"/>
    <s v="Salaries-Other Pat Care Providers-Other"/>
    <s v="Eliminations-PE @ SA"/>
    <x v="0"/>
    <n v="2000"/>
    <n v="0"/>
    <n v="0"/>
    <n v="0"/>
    <n v="0"/>
    <n v="0"/>
    <n v="0"/>
    <n v="0"/>
    <n v="0"/>
    <n v="0"/>
    <n v="0"/>
    <n v="0"/>
    <n v="2865.86"/>
    <n v="2865.86"/>
    <n v="-2374269.31"/>
  </r>
  <r>
    <x v="5"/>
    <x v="25"/>
    <x v="0"/>
    <s v="9000934"/>
    <n v="700034"/>
    <s v="Salaries-Tech/Professional-Productive"/>
    <s v="Eliminations-PE @ SA"/>
    <x v="0"/>
    <m/>
    <n v="0"/>
    <n v="0"/>
    <n v="0"/>
    <n v="0"/>
    <n v="0"/>
    <n v="0"/>
    <n v="0"/>
    <n v="0"/>
    <n v="0"/>
    <n v="0"/>
    <n v="0"/>
    <n v="726313.74"/>
    <n v="726313.74"/>
    <n v="-33477.9"/>
  </r>
  <r>
    <x v="5"/>
    <x v="25"/>
    <x v="0"/>
    <s v="9000934"/>
    <n v="700034"/>
    <s v="Salaries-Tech/Professional-OT"/>
    <s v="Eliminations-PE @ SA"/>
    <x v="0"/>
    <n v="1000"/>
    <n v="0"/>
    <n v="0"/>
    <n v="0"/>
    <n v="0"/>
    <n v="0"/>
    <n v="0"/>
    <n v="0"/>
    <n v="0"/>
    <n v="0"/>
    <n v="0"/>
    <n v="0"/>
    <n v="8520.15"/>
    <n v="8520.15"/>
    <n v="-11838.49"/>
  </r>
  <r>
    <x v="5"/>
    <x v="25"/>
    <x v="0"/>
    <s v="9000934"/>
    <n v="700034"/>
    <s v="Salaries-Tech/Professional-Other"/>
    <s v="Eliminations-PE @ SA"/>
    <x v="0"/>
    <n v="2000"/>
    <n v="0"/>
    <n v="0"/>
    <n v="0"/>
    <n v="0"/>
    <n v="0"/>
    <n v="0"/>
    <n v="0"/>
    <n v="0"/>
    <n v="0"/>
    <n v="0"/>
    <n v="0"/>
    <n v="4397.88"/>
    <n v="4397.88"/>
    <n v="-87435.68"/>
  </r>
  <r>
    <x v="5"/>
    <x v="25"/>
    <x v="0"/>
    <s v="9000934"/>
    <n v="700038"/>
    <s v="Salaries-Service/Support-Productive"/>
    <s v="Eliminations-PE @ SA"/>
    <x v="0"/>
    <m/>
    <n v="0"/>
    <n v="0"/>
    <n v="0"/>
    <n v="0"/>
    <n v="0"/>
    <n v="0"/>
    <n v="0"/>
    <n v="0"/>
    <n v="0"/>
    <n v="0"/>
    <n v="0"/>
    <n v="2374269.31"/>
    <n v="2374269.31"/>
    <n v="-27.26"/>
  </r>
  <r>
    <x v="5"/>
    <x v="25"/>
    <x v="0"/>
    <s v="9000934"/>
    <n v="700038"/>
    <s v="Salaries-Service/Support-OT"/>
    <s v="Eliminations-PE @ SA"/>
    <x v="0"/>
    <n v="1000"/>
    <n v="0"/>
    <n v="0"/>
    <n v="0"/>
    <n v="0"/>
    <n v="0"/>
    <n v="0"/>
    <n v="0"/>
    <n v="0"/>
    <n v="0"/>
    <n v="0"/>
    <n v="0"/>
    <n v="33477.9"/>
    <n v="33477.9"/>
    <n v="-49827.02"/>
  </r>
  <r>
    <x v="5"/>
    <x v="25"/>
    <x v="0"/>
    <s v="9000934"/>
    <n v="700038"/>
    <s v="Salaries-Service/Support-Other"/>
    <s v="Eliminations-PE @ SA"/>
    <x v="0"/>
    <n v="2000"/>
    <n v="0"/>
    <n v="0"/>
    <n v="0"/>
    <n v="0"/>
    <n v="0"/>
    <n v="0"/>
    <n v="0"/>
    <n v="0"/>
    <n v="0"/>
    <n v="0"/>
    <n v="0"/>
    <n v="11838.49"/>
    <n v="11838.49"/>
    <n v="-1246163.5"/>
  </r>
  <r>
    <x v="5"/>
    <x v="25"/>
    <x v="0"/>
    <s v="9000934"/>
    <n v="700054"/>
    <s v="Salaries-Management-Non-productive"/>
    <s v="Eliminations-PE @ SA"/>
    <x v="0"/>
    <m/>
    <n v="0"/>
    <n v="0"/>
    <n v="0"/>
    <n v="0"/>
    <n v="0"/>
    <n v="0"/>
    <n v="0"/>
    <n v="0"/>
    <n v="0"/>
    <n v="0"/>
    <n v="0"/>
    <n v="87435.68"/>
    <n v="87435.68"/>
    <n v="5267.29"/>
  </r>
  <r>
    <x v="5"/>
    <x v="25"/>
    <x v="0"/>
    <s v="9000934"/>
    <n v="700054"/>
    <s v="Salaries-Management-NonProd-Other"/>
    <s v="Eliminations-PE @ SA"/>
    <x v="0"/>
    <n v="2000"/>
    <n v="0"/>
    <n v="0"/>
    <n v="0"/>
    <n v="0"/>
    <n v="0"/>
    <n v="0"/>
    <n v="0"/>
    <n v="0"/>
    <n v="0"/>
    <n v="0"/>
    <n v="0"/>
    <n v="27.26"/>
    <n v="27.26"/>
    <n v="-318120.39"/>
  </r>
  <r>
    <x v="5"/>
    <x v="25"/>
    <x v="0"/>
    <s v="9000934"/>
    <n v="700058"/>
    <s v="Salaries-Supervisory-Non-productive"/>
    <s v="Eliminations-PE @ SA"/>
    <x v="0"/>
    <m/>
    <n v="0"/>
    <n v="0"/>
    <n v="0"/>
    <n v="0"/>
    <n v="0"/>
    <n v="0"/>
    <n v="0"/>
    <n v="0"/>
    <n v="0"/>
    <n v="0"/>
    <n v="0"/>
    <n v="49827.02"/>
    <n v="49827.02"/>
    <n v="4561.17"/>
  </r>
  <r>
    <x v="5"/>
    <x v="25"/>
    <x v="0"/>
    <s v="9000934"/>
    <n v="700062"/>
    <s v="Salaries-Physician-Non-productive"/>
    <s v="Eliminations-PE @ SA"/>
    <x v="0"/>
    <m/>
    <n v="0"/>
    <n v="0"/>
    <n v="0"/>
    <n v="0"/>
    <n v="0"/>
    <n v="0"/>
    <n v="0"/>
    <n v="0"/>
    <n v="0"/>
    <n v="0"/>
    <n v="0"/>
    <n v="1246163.5"/>
    <n v="1246163.5"/>
    <n v="-84095.85"/>
  </r>
  <r>
    <x v="5"/>
    <x v="25"/>
    <x v="0"/>
    <s v="9000934"/>
    <n v="700062"/>
    <s v="Salaries-Physician-NonProd-Other"/>
    <s v="Eliminations-PE @ SA"/>
    <x v="0"/>
    <n v="2000"/>
    <n v="0"/>
    <n v="0"/>
    <n v="0"/>
    <n v="0"/>
    <n v="0"/>
    <n v="0"/>
    <n v="0"/>
    <n v="0"/>
    <n v="0"/>
    <n v="0"/>
    <n v="0"/>
    <n v="-5267.29"/>
    <n v="-5267.29"/>
    <n v="-215.77"/>
  </r>
  <r>
    <x v="5"/>
    <x v="25"/>
    <x v="0"/>
    <s v="9000934"/>
    <n v="700064"/>
    <s v="Salaries-Advanced Practice Clinician-Non-Productive"/>
    <s v="Eliminations-PE @ SA"/>
    <x v="0"/>
    <m/>
    <n v="0"/>
    <n v="0"/>
    <n v="0"/>
    <n v="0"/>
    <n v="0"/>
    <n v="0"/>
    <n v="0"/>
    <n v="0"/>
    <n v="0"/>
    <n v="0"/>
    <n v="0"/>
    <n v="318120.39"/>
    <n v="318120.39"/>
    <n v="-109776.54"/>
  </r>
  <r>
    <x v="5"/>
    <x v="25"/>
    <x v="0"/>
    <s v="9000934"/>
    <n v="700064"/>
    <s v="Salaries-Advanced Practice Clinician-Non-Prod-Other"/>
    <s v="Eliminations-PE @ SA"/>
    <x v="0"/>
    <n v="2000"/>
    <n v="0"/>
    <n v="0"/>
    <n v="0"/>
    <n v="0"/>
    <n v="0"/>
    <n v="0"/>
    <n v="0"/>
    <n v="0"/>
    <n v="0"/>
    <n v="0"/>
    <n v="0"/>
    <n v="-4561.17"/>
    <n v="-4561.17"/>
    <n v="-662.84"/>
  </r>
  <r>
    <x v="5"/>
    <x v="25"/>
    <x v="0"/>
    <s v="9000934"/>
    <n v="700066"/>
    <s v="Salaries-RN-Non-productive"/>
    <s v="Eliminations-PE @ SA"/>
    <x v="0"/>
    <m/>
    <n v="0"/>
    <n v="0"/>
    <n v="0"/>
    <n v="0"/>
    <n v="0"/>
    <n v="0"/>
    <n v="0"/>
    <n v="0"/>
    <n v="0"/>
    <n v="0"/>
    <n v="0"/>
    <n v="84095.85"/>
    <n v="84095.85"/>
    <n v="-153295.13"/>
  </r>
  <r>
    <x v="5"/>
    <x v="25"/>
    <x v="0"/>
    <s v="9000934"/>
    <n v="700066"/>
    <s v="Salaries-RN-NonProd-Other"/>
    <s v="Eliminations-PE @ SA"/>
    <x v="0"/>
    <n v="2000"/>
    <n v="0"/>
    <n v="0"/>
    <n v="0"/>
    <n v="0"/>
    <n v="0"/>
    <n v="0"/>
    <n v="0"/>
    <n v="0"/>
    <n v="0"/>
    <n v="0"/>
    <n v="0"/>
    <n v="215.77"/>
    <n v="215.77"/>
    <n v="-541.54"/>
  </r>
  <r>
    <x v="5"/>
    <x v="25"/>
    <x v="0"/>
    <s v="9000934"/>
    <n v="700070"/>
    <s v="Salaries-LPN-Non-productive"/>
    <s v="Eliminations-PE @ SA"/>
    <x v="0"/>
    <m/>
    <n v="0"/>
    <n v="0"/>
    <n v="0"/>
    <n v="0"/>
    <n v="0"/>
    <n v="0"/>
    <n v="0"/>
    <n v="0"/>
    <n v="0"/>
    <n v="0"/>
    <n v="0"/>
    <n v="109776.54"/>
    <n v="109776.54"/>
    <n v="-99192.23"/>
  </r>
  <r>
    <x v="5"/>
    <x v="25"/>
    <x v="0"/>
    <s v="9000934"/>
    <n v="700070"/>
    <s v="Salaries-LPN-NonProd-Other"/>
    <s v="Eliminations-PE @ SA"/>
    <x v="0"/>
    <n v="2000"/>
    <n v="0"/>
    <n v="0"/>
    <n v="0"/>
    <n v="0"/>
    <n v="0"/>
    <n v="0"/>
    <n v="0"/>
    <n v="0"/>
    <n v="0"/>
    <n v="0"/>
    <n v="0"/>
    <n v="662.84"/>
    <n v="662.84"/>
    <n v="-29.04"/>
  </r>
  <r>
    <x v="5"/>
    <x v="25"/>
    <x v="0"/>
    <s v="9000934"/>
    <n v="700072"/>
    <s v="Salaries-Other Pat Care Providers-Non-productive"/>
    <s v="Eliminations-PE @ SA"/>
    <x v="0"/>
    <m/>
    <n v="0"/>
    <n v="0"/>
    <n v="0"/>
    <n v="0"/>
    <n v="0"/>
    <n v="0"/>
    <n v="0"/>
    <n v="0"/>
    <n v="0"/>
    <n v="0"/>
    <n v="0"/>
    <n v="153295.13"/>
    <n v="153295.13"/>
    <n v="-322157.94"/>
  </r>
  <r>
    <x v="5"/>
    <x v="25"/>
    <x v="0"/>
    <s v="9000934"/>
    <n v="700072"/>
    <s v="Salaries-Other Pat Care Providers-NonProd-Other"/>
    <s v="Eliminations-PE @ SA"/>
    <x v="0"/>
    <n v="2000"/>
    <n v="0"/>
    <n v="0"/>
    <n v="0"/>
    <n v="0"/>
    <n v="0"/>
    <n v="0"/>
    <n v="0"/>
    <n v="0"/>
    <n v="0"/>
    <n v="0"/>
    <n v="0"/>
    <n v="541.54"/>
    <n v="541.54"/>
    <n v="-125.41"/>
  </r>
  <r>
    <x v="5"/>
    <x v="25"/>
    <x v="0"/>
    <s v="9000934"/>
    <n v="700074"/>
    <s v="Salaries-Tech/Professional-Non-productive"/>
    <s v="Eliminations-PE @ SA"/>
    <x v="0"/>
    <m/>
    <n v="0"/>
    <n v="0"/>
    <n v="0"/>
    <n v="0"/>
    <n v="0"/>
    <n v="0"/>
    <n v="0"/>
    <n v="0"/>
    <n v="0"/>
    <n v="0"/>
    <n v="0"/>
    <n v="99192.23"/>
    <n v="99192.23"/>
    <n v="-64522.97"/>
  </r>
  <r>
    <x v="5"/>
    <x v="25"/>
    <x v="0"/>
    <s v="9000934"/>
    <n v="700074"/>
    <s v="Salaries-Tech/Professional-NonProd-Other"/>
    <s v="Eliminations-PE @ SA"/>
    <x v="0"/>
    <n v="2000"/>
    <n v="0"/>
    <n v="0"/>
    <n v="0"/>
    <n v="0"/>
    <n v="0"/>
    <n v="0"/>
    <n v="0"/>
    <n v="0"/>
    <n v="0"/>
    <n v="0"/>
    <n v="0"/>
    <n v="29.04"/>
    <n v="29.04"/>
    <n v="-35181.24"/>
  </r>
  <r>
    <x v="5"/>
    <x v="25"/>
    <x v="0"/>
    <s v="9000934"/>
    <n v="700078"/>
    <s v="Salaries-Service/Support-Non-productive"/>
    <s v="Eliminations-PE @ SA"/>
    <x v="0"/>
    <m/>
    <n v="0"/>
    <n v="0"/>
    <n v="0"/>
    <n v="0"/>
    <n v="0"/>
    <n v="0"/>
    <n v="0"/>
    <n v="0"/>
    <n v="0"/>
    <n v="0"/>
    <n v="0"/>
    <n v="322157.94"/>
    <n v="322157.94"/>
    <n v="-33607.839999999997"/>
  </r>
  <r>
    <x v="5"/>
    <x v="25"/>
    <x v="0"/>
    <s v="9000934"/>
    <n v="700078"/>
    <s v="Salaries-Service/Support-NonProd-Other"/>
    <s v="Eliminations-PE @ SA"/>
    <x v="0"/>
    <n v="2000"/>
    <n v="0"/>
    <n v="0"/>
    <n v="0"/>
    <n v="0"/>
    <n v="0"/>
    <n v="0"/>
    <n v="0"/>
    <n v="0"/>
    <n v="0"/>
    <n v="0"/>
    <n v="0"/>
    <n v="125.41"/>
    <n v="125.41"/>
    <n v="-164.01"/>
  </r>
  <r>
    <x v="5"/>
    <x v="25"/>
    <x v="0"/>
    <s v="9000934"/>
    <n v="700084"/>
    <s v="Accrued PTO"/>
    <s v="Eliminations-PE @ SA"/>
    <x v="0"/>
    <m/>
    <n v="0"/>
    <n v="0"/>
    <n v="0"/>
    <n v="0"/>
    <n v="0"/>
    <n v="0"/>
    <n v="0"/>
    <n v="0"/>
    <n v="0"/>
    <n v="0"/>
    <n v="0"/>
    <n v="64522.97"/>
    <n v="64522.97"/>
    <n v="-1230543.8500000001"/>
  </r>
  <r>
    <x v="10"/>
    <x v="25"/>
    <x v="0"/>
    <s v="9000934"/>
    <n v="710040"/>
    <s v="Contract Labor-Physician (Locum Tenum)"/>
    <s v="Eliminations-PE @ SA"/>
    <x v="0"/>
    <m/>
    <n v="0"/>
    <n v="0"/>
    <n v="0"/>
    <n v="0"/>
    <n v="0"/>
    <n v="0"/>
    <n v="0"/>
    <n v="0"/>
    <n v="0"/>
    <n v="0"/>
    <n v="0"/>
    <n v="35181.24"/>
    <n v="35181.24"/>
    <n v="-2300912.1"/>
  </r>
  <r>
    <x v="10"/>
    <x v="25"/>
    <x v="0"/>
    <s v="9000934"/>
    <n v="710060"/>
    <s v="Contract Labor-Other"/>
    <s v="Eliminations-PE @ SA"/>
    <x v="0"/>
    <m/>
    <n v="0"/>
    <n v="0"/>
    <n v="0"/>
    <n v="0"/>
    <n v="0"/>
    <n v="0"/>
    <n v="0"/>
    <n v="0"/>
    <n v="0"/>
    <n v="0"/>
    <n v="0"/>
    <n v="33607.839999999997"/>
    <n v="33607.839999999997"/>
    <n v="-554793.57999999996"/>
  </r>
  <r>
    <x v="10"/>
    <x v="25"/>
    <x v="0"/>
    <s v="9000934"/>
    <n v="710060"/>
    <s v="Contract Labor-Overtime"/>
    <s v="Eliminations-PE @ SA"/>
    <x v="0"/>
    <n v="5100"/>
    <n v="0"/>
    <n v="0"/>
    <n v="0"/>
    <n v="0"/>
    <n v="0"/>
    <n v="0"/>
    <n v="0"/>
    <n v="0"/>
    <n v="0"/>
    <n v="0"/>
    <n v="0"/>
    <n v="164.01"/>
    <n v="164.01"/>
    <n v="-310975.52"/>
  </r>
  <r>
    <x v="6"/>
    <x v="25"/>
    <x v="0"/>
    <s v="9000934"/>
    <n v="713010"/>
    <s v="Benefits-FICA/Medicare"/>
    <s v="Eliminations-PE @ SA"/>
    <x v="0"/>
    <m/>
    <n v="0"/>
    <n v="0"/>
    <n v="0"/>
    <n v="0"/>
    <n v="0"/>
    <n v="0"/>
    <n v="0"/>
    <n v="0"/>
    <n v="0"/>
    <n v="0"/>
    <n v="0"/>
    <n v="1230543.8500000001"/>
    <n v="1230543.8500000001"/>
    <n v="-181.97"/>
  </r>
  <r>
    <x v="6"/>
    <x v="25"/>
    <x v="0"/>
    <s v="9000934"/>
    <n v="713090"/>
    <s v="Benefits-Allocated Amounts"/>
    <s v="Eliminations-PE @ SA"/>
    <x v="0"/>
    <m/>
    <n v="0"/>
    <n v="0"/>
    <n v="0"/>
    <n v="0"/>
    <n v="0"/>
    <n v="0"/>
    <n v="0"/>
    <n v="0"/>
    <n v="0"/>
    <n v="0"/>
    <n v="0"/>
    <n v="2300912.1"/>
    <n v="2300912.1"/>
    <n v="-2853.25"/>
  </r>
  <r>
    <x v="6"/>
    <x v="25"/>
    <x v="0"/>
    <s v="9000934"/>
    <n v="713092"/>
    <s v="Allocated Benefits-Physician"/>
    <s v="Eliminations-PE @ SA"/>
    <x v="0"/>
    <m/>
    <n v="0"/>
    <n v="0"/>
    <n v="0"/>
    <n v="0"/>
    <n v="0"/>
    <n v="0"/>
    <n v="0"/>
    <n v="0"/>
    <n v="0"/>
    <n v="0"/>
    <n v="0"/>
    <n v="554793.57999999996"/>
    <n v="554793.57999999996"/>
    <n v="-1248515.23"/>
  </r>
  <r>
    <x v="6"/>
    <x v="25"/>
    <x v="0"/>
    <s v="9000934"/>
    <n v="713093"/>
    <s v="Allocated Benefits-Advanced Practice Clinician"/>
    <s v="Eliminations-PE @ SA"/>
    <x v="0"/>
    <m/>
    <n v="0"/>
    <n v="0"/>
    <n v="0"/>
    <n v="0"/>
    <n v="0"/>
    <n v="0"/>
    <n v="0"/>
    <n v="0"/>
    <n v="0"/>
    <n v="0"/>
    <n v="0"/>
    <n v="310975.52"/>
    <n v="310975.52"/>
    <n v="795037.54"/>
  </r>
  <r>
    <x v="6"/>
    <x v="25"/>
    <x v="0"/>
    <s v="9000934"/>
    <n v="713096"/>
    <s v="Benefits-Other"/>
    <s v="Eliminations-PE @ SA"/>
    <x v="0"/>
    <m/>
    <n v="0"/>
    <n v="0"/>
    <n v="0"/>
    <n v="0"/>
    <n v="0"/>
    <n v="0"/>
    <n v="0"/>
    <n v="0"/>
    <n v="0"/>
    <n v="0"/>
    <n v="0"/>
    <n v="181.97"/>
    <n v="181.97"/>
    <n v="-148.5"/>
  </r>
  <r>
    <x v="6"/>
    <x v="25"/>
    <x v="0"/>
    <s v="9000934"/>
    <n v="713096"/>
    <s v="Employee Recognition"/>
    <s v="Eliminations-PE @ SA"/>
    <x v="0"/>
    <n v="1017"/>
    <n v="0"/>
    <n v="0"/>
    <n v="0"/>
    <n v="0"/>
    <n v="0"/>
    <n v="0"/>
    <n v="0"/>
    <n v="0"/>
    <n v="0"/>
    <n v="0"/>
    <n v="0"/>
    <n v="2853.25"/>
    <n v="2853.25"/>
    <n v="-1542.46"/>
  </r>
  <r>
    <x v="17"/>
    <x v="25"/>
    <x v="0"/>
    <s v="9000934"/>
    <n v="714520"/>
    <s v="Other Contracted Professionals"/>
    <s v="Eliminations-PE @ SA"/>
    <x v="0"/>
    <m/>
    <n v="0"/>
    <n v="0"/>
    <n v="0"/>
    <n v="0"/>
    <n v="0"/>
    <n v="0"/>
    <n v="0"/>
    <n v="0"/>
    <n v="0"/>
    <n v="0"/>
    <n v="0"/>
    <n v="1248515.23"/>
    <n v="1248515.23"/>
    <n v="-22130.87"/>
  </r>
  <r>
    <x v="17"/>
    <x v="25"/>
    <x v="0"/>
    <s v="9000934"/>
    <n v="714520"/>
    <s v="Other Contract Prof-Pulmonologist"/>
    <s v="Eliminations-PE @ SA"/>
    <x v="0"/>
    <n v="1130"/>
    <n v="0"/>
    <n v="0"/>
    <n v="0"/>
    <n v="0"/>
    <n v="0"/>
    <n v="0"/>
    <n v="0"/>
    <n v="0"/>
    <n v="0"/>
    <n v="0"/>
    <n v="0"/>
    <n v="-795037.54"/>
    <n v="-795037.54"/>
    <n v="-2951.46"/>
  </r>
  <r>
    <x v="21"/>
    <x v="25"/>
    <x v="0"/>
    <s v="9000934"/>
    <n v="716026"/>
    <s v="Consulting-Clinical"/>
    <s v="Eliminations-PE @ SA"/>
    <x v="0"/>
    <m/>
    <n v="0"/>
    <n v="0"/>
    <n v="0"/>
    <n v="0"/>
    <n v="0"/>
    <n v="0"/>
    <n v="0"/>
    <n v="0"/>
    <n v="0"/>
    <n v="0"/>
    <n v="0"/>
    <n v="148.5"/>
    <n v="148.5"/>
    <n v="-23388.85"/>
  </r>
  <r>
    <x v="7"/>
    <x v="25"/>
    <x v="0"/>
    <s v="9000934"/>
    <n v="716038"/>
    <s v="Contract Services-Legal"/>
    <s v="Eliminations-PE @ SA"/>
    <x v="0"/>
    <m/>
    <n v="0"/>
    <n v="0"/>
    <n v="0"/>
    <n v="0"/>
    <n v="0"/>
    <n v="0"/>
    <n v="0"/>
    <n v="0"/>
    <n v="0"/>
    <n v="0"/>
    <n v="0"/>
    <n v="1542.46"/>
    <n v="1542.46"/>
    <n v="-844.76"/>
  </r>
  <r>
    <x v="21"/>
    <x v="25"/>
    <x v="0"/>
    <s v="9000934"/>
    <n v="716046"/>
    <s v="Consulting-Other"/>
    <s v="Eliminations-PE @ SA"/>
    <x v="0"/>
    <m/>
    <n v="0"/>
    <n v="0"/>
    <n v="0"/>
    <n v="0"/>
    <n v="0"/>
    <n v="0"/>
    <n v="0"/>
    <n v="0"/>
    <n v="0"/>
    <n v="0"/>
    <n v="0"/>
    <n v="22130.87"/>
    <n v="22130.87"/>
    <n v="-3586.25"/>
  </r>
  <r>
    <x v="7"/>
    <x v="25"/>
    <x v="0"/>
    <s v="9000934"/>
    <n v="718010"/>
    <s v="Contract Services-Advertising &amp; Public Relations"/>
    <s v="Eliminations-PE @ SA"/>
    <x v="0"/>
    <m/>
    <n v="0"/>
    <n v="0"/>
    <n v="0"/>
    <n v="0"/>
    <n v="0"/>
    <n v="0"/>
    <n v="0"/>
    <n v="0"/>
    <n v="0"/>
    <n v="0"/>
    <n v="0"/>
    <n v="2951.46"/>
    <n v="2951.46"/>
    <n v="-176862.4"/>
  </r>
  <r>
    <x v="7"/>
    <x v="25"/>
    <x v="0"/>
    <s v="9000934"/>
    <n v="718010"/>
    <s v="Media/Print Advertising"/>
    <s v="Eliminations-PE @ SA"/>
    <x v="0"/>
    <n v="1004"/>
    <n v="0"/>
    <n v="0"/>
    <n v="0"/>
    <n v="0"/>
    <n v="0"/>
    <n v="0"/>
    <n v="0"/>
    <n v="0"/>
    <n v="0"/>
    <n v="0"/>
    <n v="0"/>
    <n v="23388.85"/>
    <n v="23388.85"/>
    <n v="-42.03"/>
  </r>
  <r>
    <x v="7"/>
    <x v="25"/>
    <x v="0"/>
    <s v="9000934"/>
    <n v="718040"/>
    <s v="Contract Svcs-Laboratory"/>
    <s v="Eliminations-PE @ SA"/>
    <x v="0"/>
    <m/>
    <n v="0"/>
    <n v="0"/>
    <n v="0"/>
    <n v="0"/>
    <n v="0"/>
    <n v="0"/>
    <n v="0"/>
    <n v="0"/>
    <n v="0"/>
    <n v="0"/>
    <n v="0"/>
    <n v="844.76"/>
    <n v="844.76"/>
    <n v="-487.38"/>
  </r>
  <r>
    <x v="7"/>
    <x v="25"/>
    <x v="0"/>
    <s v="9000934"/>
    <n v="718045"/>
    <s v="Contract Svcs-Collection Fees"/>
    <s v="Eliminations-PE @ SA"/>
    <x v="0"/>
    <m/>
    <n v="0"/>
    <n v="0"/>
    <n v="0"/>
    <n v="0"/>
    <n v="0"/>
    <n v="0"/>
    <n v="0"/>
    <n v="0"/>
    <n v="0"/>
    <n v="0"/>
    <n v="0"/>
    <n v="3586.25"/>
    <n v="3586.25"/>
    <n v="-16970.72"/>
  </r>
  <r>
    <x v="7"/>
    <x v="25"/>
    <x v="0"/>
    <s v="9000934"/>
    <n v="718050"/>
    <s v="Contract Svcs-Other"/>
    <s v="Eliminations-PE @ SA"/>
    <x v="0"/>
    <m/>
    <n v="0"/>
    <n v="0"/>
    <n v="0"/>
    <n v="0"/>
    <n v="0"/>
    <n v="0"/>
    <n v="0"/>
    <n v="0"/>
    <n v="0"/>
    <n v="0"/>
    <n v="0"/>
    <n v="176862.4"/>
    <n v="176862.4"/>
    <n v="-30709.5"/>
  </r>
  <r>
    <x v="7"/>
    <x v="25"/>
    <x v="0"/>
    <s v="9000934"/>
    <n v="718050"/>
    <s v="Management Fees"/>
    <s v="Eliminations-PE @ SA"/>
    <x v="0"/>
    <n v="1004"/>
    <n v="0"/>
    <n v="0"/>
    <n v="0"/>
    <n v="0"/>
    <n v="0"/>
    <n v="0"/>
    <n v="0"/>
    <n v="0"/>
    <n v="0"/>
    <n v="0"/>
    <n v="0"/>
    <n v="42.03"/>
    <n v="42.03"/>
    <n v="-65373.88"/>
  </r>
  <r>
    <x v="7"/>
    <x v="25"/>
    <x v="0"/>
    <s v="9000934"/>
    <n v="718050"/>
    <s v="Transcription"/>
    <s v="Eliminations-PE @ SA"/>
    <x v="0"/>
    <n v="1006"/>
    <n v="0"/>
    <n v="0"/>
    <n v="0"/>
    <n v="0"/>
    <n v="0"/>
    <n v="0"/>
    <n v="0"/>
    <n v="0"/>
    <n v="0"/>
    <n v="0"/>
    <n v="0"/>
    <n v="487.38"/>
    <n v="487.38"/>
    <n v="-51.06"/>
  </r>
  <r>
    <x v="7"/>
    <x v="25"/>
    <x v="0"/>
    <s v="9000934"/>
    <n v="718050"/>
    <s v="Cleaning Services"/>
    <s v="Eliminations-PE @ SA"/>
    <x v="0"/>
    <n v="1011"/>
    <n v="0"/>
    <n v="0"/>
    <n v="0"/>
    <n v="0"/>
    <n v="0"/>
    <n v="0"/>
    <n v="0"/>
    <n v="0"/>
    <n v="0"/>
    <n v="0"/>
    <n v="0"/>
    <n v="16970.72"/>
    <n v="16970.72"/>
    <n v="-80312.03"/>
  </r>
  <r>
    <x v="7"/>
    <x v="25"/>
    <x v="0"/>
    <s v="9000934"/>
    <n v="718050"/>
    <s v="Document Shredding/Storage"/>
    <s v="Eliminations-PE @ SA"/>
    <x v="0"/>
    <n v="1012"/>
    <n v="0"/>
    <n v="0"/>
    <n v="0"/>
    <n v="0"/>
    <n v="0"/>
    <n v="0"/>
    <n v="0"/>
    <n v="0"/>
    <n v="0"/>
    <n v="0"/>
    <n v="0"/>
    <n v="30709.5"/>
    <n v="30709.5"/>
    <n v="-40178.69"/>
  </r>
  <r>
    <x v="7"/>
    <x v="25"/>
    <x v="0"/>
    <s v="9000934"/>
    <n v="718050"/>
    <s v="Physician Answering"/>
    <s v="Eliminations-PE @ SA"/>
    <x v="0"/>
    <n v="1015"/>
    <n v="0"/>
    <n v="0"/>
    <n v="0"/>
    <n v="0"/>
    <n v="0"/>
    <n v="0"/>
    <n v="0"/>
    <n v="0"/>
    <n v="0"/>
    <n v="0"/>
    <n v="0"/>
    <n v="65373.88"/>
    <n v="65373.88"/>
    <n v="-48780.6"/>
  </r>
  <r>
    <x v="7"/>
    <x v="25"/>
    <x v="0"/>
    <s v="9000934"/>
    <n v="718050"/>
    <s v="Security"/>
    <s v="Eliminations-PE @ SA"/>
    <x v="0"/>
    <n v="1019"/>
    <n v="0"/>
    <n v="0"/>
    <n v="0"/>
    <n v="0"/>
    <n v="0"/>
    <n v="0"/>
    <n v="0"/>
    <n v="0"/>
    <n v="0"/>
    <n v="0"/>
    <n v="0"/>
    <n v="51.06"/>
    <n v="51.06"/>
    <n v="-24120"/>
  </r>
  <r>
    <x v="7"/>
    <x v="25"/>
    <x v="0"/>
    <s v="9000934"/>
    <n v="718050"/>
    <s v="Miscellaneous Purchased Svcs"/>
    <s v="Eliminations-PE @ SA"/>
    <x v="0"/>
    <n v="1020"/>
    <n v="0"/>
    <n v="0"/>
    <n v="0"/>
    <n v="0"/>
    <n v="0"/>
    <n v="0"/>
    <n v="0"/>
    <n v="0"/>
    <n v="0"/>
    <n v="0"/>
    <n v="0"/>
    <n v="80312.03"/>
    <n v="80312.03"/>
    <n v="-3360.37"/>
  </r>
  <r>
    <x v="7"/>
    <x v="25"/>
    <x v="0"/>
    <s v="9000934"/>
    <n v="718050"/>
    <s v="Translation Services"/>
    <s v="Eliminations-PE @ SA"/>
    <x v="0"/>
    <n v="1025"/>
    <n v="0"/>
    <n v="0"/>
    <n v="0"/>
    <n v="0"/>
    <n v="0"/>
    <n v="0"/>
    <n v="0"/>
    <n v="0"/>
    <n v="0"/>
    <n v="0"/>
    <n v="0"/>
    <n v="40178.69"/>
    <n v="40178.69"/>
    <n v="-3185.4"/>
  </r>
  <r>
    <x v="7"/>
    <x v="25"/>
    <x v="0"/>
    <s v="9000934"/>
    <n v="718050"/>
    <s v="Contract Management--Linen"/>
    <s v="Eliminations-PE @ SA"/>
    <x v="0"/>
    <n v="1026"/>
    <n v="0"/>
    <n v="0"/>
    <n v="0"/>
    <n v="0"/>
    <n v="0"/>
    <n v="0"/>
    <n v="0"/>
    <n v="0"/>
    <n v="0"/>
    <n v="0"/>
    <n v="0"/>
    <n v="48780.6"/>
    <n v="48780.6"/>
    <n v="-102664.94"/>
  </r>
  <r>
    <x v="7"/>
    <x v="25"/>
    <x v="0"/>
    <s v="9000934"/>
    <n v="718050"/>
    <s v="Purchased Srvcs--Medical Waste"/>
    <s v="Eliminations-PE @ SA"/>
    <x v="0"/>
    <n v="1027"/>
    <n v="0"/>
    <n v="0"/>
    <n v="0"/>
    <n v="0"/>
    <n v="0"/>
    <n v="0"/>
    <n v="0"/>
    <n v="0"/>
    <n v="0"/>
    <n v="0"/>
    <n v="0"/>
    <n v="24120"/>
    <n v="24120"/>
    <n v="-6791.52"/>
  </r>
  <r>
    <x v="7"/>
    <x v="25"/>
    <x v="0"/>
    <s v="9000934"/>
    <n v="718050"/>
    <s v="Contract Services-Food&amp;Catering"/>
    <s v="Eliminations-PE @ SA"/>
    <x v="0"/>
    <n v="1030"/>
    <n v="0"/>
    <n v="0"/>
    <n v="0"/>
    <n v="0"/>
    <n v="0"/>
    <n v="0"/>
    <n v="0"/>
    <n v="0"/>
    <n v="0"/>
    <n v="0"/>
    <n v="0"/>
    <n v="3360.37"/>
    <n v="3360.37"/>
    <n v="-8834.16"/>
  </r>
  <r>
    <x v="7"/>
    <x v="25"/>
    <x v="0"/>
    <s v="9000934"/>
    <n v="718059"/>
    <s v="Contract Services-Physician Revenue Cycle Fees"/>
    <s v="Eliminations-PE @ SA"/>
    <x v="0"/>
    <m/>
    <n v="0"/>
    <n v="0"/>
    <n v="0"/>
    <n v="0"/>
    <n v="0"/>
    <n v="0"/>
    <n v="0"/>
    <n v="0"/>
    <n v="0"/>
    <n v="0"/>
    <n v="0"/>
    <n v="3185.4"/>
    <n v="3185.4"/>
    <n v="-438.43"/>
  </r>
  <r>
    <x v="7"/>
    <x v="25"/>
    <x v="0"/>
    <s v="9000934"/>
    <n v="718060"/>
    <s v="Contract Services-CHI RRC Fees"/>
    <s v="Eliminations-PE @ SA"/>
    <x v="0"/>
    <m/>
    <n v="0"/>
    <n v="0"/>
    <n v="0"/>
    <n v="0"/>
    <n v="0"/>
    <n v="0"/>
    <n v="0"/>
    <n v="0"/>
    <n v="0"/>
    <n v="0"/>
    <n v="0"/>
    <n v="102664.94"/>
    <n v="102664.94"/>
    <n v="-41928.22"/>
  </r>
  <r>
    <x v="7"/>
    <x v="25"/>
    <x v="0"/>
    <s v="9000934"/>
    <n v="718061"/>
    <s v="Contract Services-CRO Allocation"/>
    <s v="Eliminations-PE @ SA"/>
    <x v="0"/>
    <m/>
    <n v="0"/>
    <n v="0"/>
    <n v="0"/>
    <n v="0"/>
    <n v="0"/>
    <n v="0"/>
    <n v="0"/>
    <n v="0"/>
    <n v="0"/>
    <n v="0"/>
    <n v="0"/>
    <n v="6791.52"/>
    <n v="6791.52"/>
    <n v="-155.37"/>
  </r>
  <r>
    <x v="7"/>
    <x v="25"/>
    <x v="0"/>
    <s v="9000934"/>
    <n v="718065"/>
    <s v="Contract Services-CHI Legal Fees"/>
    <s v="Eliminations-PE @ SA"/>
    <x v="0"/>
    <m/>
    <n v="0"/>
    <n v="0"/>
    <n v="0"/>
    <n v="0"/>
    <n v="0"/>
    <n v="0"/>
    <n v="0"/>
    <n v="0"/>
    <n v="0"/>
    <n v="0"/>
    <n v="0"/>
    <n v="8834.16"/>
    <n v="8834.16"/>
    <n v="-423020.76"/>
  </r>
  <r>
    <x v="7"/>
    <x v="25"/>
    <x v="0"/>
    <s v="9000934"/>
    <n v="718066"/>
    <s v="Contract Services-CHI Tax Services"/>
    <s v="Eliminations-PE @ SA"/>
    <x v="0"/>
    <m/>
    <n v="0"/>
    <n v="0"/>
    <n v="0"/>
    <n v="0"/>
    <n v="0"/>
    <n v="0"/>
    <n v="0"/>
    <n v="0"/>
    <n v="0"/>
    <n v="0"/>
    <n v="0"/>
    <n v="438.43"/>
    <n v="438.43"/>
    <n v="-41591.910000000003"/>
  </r>
  <r>
    <x v="7"/>
    <x v="25"/>
    <x v="0"/>
    <s v="9000934"/>
    <n v="718070"/>
    <s v="Contract Srvcs-CHI Clinical Engineering"/>
    <s v="Eliminations-PE @ SA"/>
    <x v="0"/>
    <m/>
    <n v="0"/>
    <n v="0"/>
    <n v="0"/>
    <n v="0"/>
    <n v="0"/>
    <n v="0"/>
    <n v="0"/>
    <n v="0"/>
    <n v="0"/>
    <n v="0"/>
    <n v="0"/>
    <n v="41928.22"/>
    <n v="41928.22"/>
    <n v="-166741.38"/>
  </r>
  <r>
    <x v="7"/>
    <x v="25"/>
    <x v="0"/>
    <s v="9000934"/>
    <n v="718071"/>
    <s v="Contract Srvcs-CHI Facilities Mgmt"/>
    <s v="Eliminations-PE @ SA"/>
    <x v="0"/>
    <m/>
    <n v="0"/>
    <n v="0"/>
    <n v="0"/>
    <n v="0"/>
    <n v="0"/>
    <n v="0"/>
    <n v="0"/>
    <n v="0"/>
    <n v="0"/>
    <n v="0"/>
    <n v="0"/>
    <n v="155.37"/>
    <n v="155.37"/>
    <n v="-237838.89"/>
  </r>
  <r>
    <x v="7"/>
    <x v="25"/>
    <x v="0"/>
    <s v="9000934"/>
    <n v="718075"/>
    <s v="Contract Srvcs-CHI ITS Steady State"/>
    <s v="Eliminations-PE @ SA"/>
    <x v="0"/>
    <m/>
    <n v="0"/>
    <n v="0"/>
    <n v="0"/>
    <n v="0"/>
    <n v="0"/>
    <n v="0"/>
    <n v="0"/>
    <n v="0"/>
    <n v="0"/>
    <n v="0"/>
    <n v="0"/>
    <n v="423020.76"/>
    <n v="423020.76"/>
    <n v="13.05"/>
  </r>
  <r>
    <x v="7"/>
    <x v="25"/>
    <x v="0"/>
    <s v="9000934"/>
    <n v="718077"/>
    <s v="PACS"/>
    <s v="Eliminations-PE @ SA"/>
    <x v="0"/>
    <n v="1000"/>
    <n v="0"/>
    <n v="0"/>
    <n v="0"/>
    <n v="0"/>
    <n v="0"/>
    <n v="0"/>
    <n v="0"/>
    <n v="0"/>
    <n v="0"/>
    <n v="0"/>
    <n v="0"/>
    <n v="41591.910000000003"/>
    <n v="41591.910000000003"/>
    <n v="444.82"/>
  </r>
  <r>
    <x v="7"/>
    <x v="25"/>
    <x v="0"/>
    <s v="9000934"/>
    <n v="718091"/>
    <s v="Contract Services-Intracompany Allocation"/>
    <s v="Eliminations-PE @ SA"/>
    <x v="0"/>
    <m/>
    <n v="0"/>
    <n v="0"/>
    <n v="0"/>
    <n v="0"/>
    <n v="0"/>
    <n v="0"/>
    <n v="0"/>
    <n v="0"/>
    <n v="0"/>
    <n v="0"/>
    <n v="0"/>
    <n v="166741.38"/>
    <n v="166741.38"/>
    <n v="-4807.03"/>
  </r>
  <r>
    <x v="11"/>
    <x v="25"/>
    <x v="0"/>
    <s v="9000934"/>
    <n v="721010"/>
    <s v="Supplies-Medical - Billable"/>
    <s v="Eliminations-PE @ SA"/>
    <x v="0"/>
    <m/>
    <n v="0"/>
    <n v="0"/>
    <n v="0"/>
    <n v="0"/>
    <n v="0"/>
    <n v="0"/>
    <n v="0"/>
    <n v="0"/>
    <n v="0"/>
    <n v="0"/>
    <n v="0"/>
    <n v="237838.89"/>
    <n v="237838.89"/>
    <n v="-25096.59"/>
  </r>
  <r>
    <x v="11"/>
    <x v="25"/>
    <x v="0"/>
    <s v="9000934"/>
    <n v="721010"/>
    <s v="Patient Monitoring"/>
    <s v="Eliminations-PE @ SA"/>
    <x v="0"/>
    <n v="1000"/>
    <n v="0"/>
    <n v="0"/>
    <n v="0"/>
    <n v="0"/>
    <n v="0"/>
    <n v="0"/>
    <n v="0"/>
    <n v="0"/>
    <n v="0"/>
    <n v="0"/>
    <n v="0"/>
    <n v="-13.05"/>
    <n v="-13.05"/>
    <n v="-1250.22"/>
  </r>
  <r>
    <x v="11"/>
    <x v="25"/>
    <x v="0"/>
    <s v="9000934"/>
    <n v="721020"/>
    <s v="Supplies-Surgical - Billable"/>
    <s v="Eliminations-PE @ SA"/>
    <x v="0"/>
    <m/>
    <n v="0"/>
    <n v="0"/>
    <n v="0"/>
    <n v="0"/>
    <n v="0"/>
    <n v="0"/>
    <n v="0"/>
    <n v="0"/>
    <n v="0"/>
    <n v="0"/>
    <n v="0"/>
    <n v="-444.82"/>
    <n v="-444.82"/>
    <n v="-2498.7399999999998"/>
  </r>
  <r>
    <x v="11"/>
    <x v="25"/>
    <x v="0"/>
    <s v="9000934"/>
    <n v="721020"/>
    <s v="Endomechanical Supplies &amp; Instruments"/>
    <s v="Eliminations-PE @ SA"/>
    <x v="0"/>
    <n v="1003"/>
    <n v="0"/>
    <n v="0"/>
    <n v="0"/>
    <n v="0"/>
    <n v="0"/>
    <n v="0"/>
    <n v="0"/>
    <n v="0"/>
    <n v="0"/>
    <n v="0"/>
    <n v="0"/>
    <n v="4807.03"/>
    <n v="4807.03"/>
    <n v="-12498.77"/>
  </r>
  <r>
    <x v="11"/>
    <x v="25"/>
    <x v="0"/>
    <s v="9000934"/>
    <n v="721020"/>
    <s v="Urological Supplies"/>
    <s v="Eliminations-PE @ SA"/>
    <x v="0"/>
    <n v="1006"/>
    <n v="0"/>
    <n v="0"/>
    <n v="0"/>
    <n v="0"/>
    <n v="0"/>
    <n v="0"/>
    <n v="0"/>
    <n v="0"/>
    <n v="0"/>
    <n v="0"/>
    <n v="0"/>
    <n v="25096.59"/>
    <n v="25096.59"/>
    <n v="-106"/>
  </r>
  <r>
    <x v="11"/>
    <x v="25"/>
    <x v="0"/>
    <s v="9000934"/>
    <n v="721050"/>
    <s v="Supplies-Cardiac Rhythm - Billable"/>
    <s v="Eliminations-PE @ SA"/>
    <x v="0"/>
    <m/>
    <n v="0"/>
    <n v="0"/>
    <n v="0"/>
    <n v="0"/>
    <n v="0"/>
    <n v="0"/>
    <n v="0"/>
    <n v="0"/>
    <n v="0"/>
    <n v="0"/>
    <n v="0"/>
    <n v="1250.22"/>
    <n v="1250.22"/>
    <n v="-678454.63"/>
  </r>
  <r>
    <x v="11"/>
    <x v="25"/>
    <x v="0"/>
    <s v="9000934"/>
    <n v="721150"/>
    <s v="Supplies-Other Implants - Billable"/>
    <s v="Eliminations-PE @ SA"/>
    <x v="0"/>
    <m/>
    <n v="0"/>
    <n v="0"/>
    <n v="0"/>
    <n v="0"/>
    <n v="0"/>
    <n v="0"/>
    <n v="0"/>
    <n v="0"/>
    <n v="0"/>
    <n v="0"/>
    <n v="0"/>
    <n v="2498.7399999999998"/>
    <n v="2498.7399999999998"/>
    <n v="-181041.6"/>
  </r>
  <r>
    <x v="11"/>
    <x v="25"/>
    <x v="0"/>
    <s v="9000934"/>
    <n v="721150"/>
    <s v="Surgical Orthopedic"/>
    <s v="Eliminations-PE @ SA"/>
    <x v="0"/>
    <n v="1000"/>
    <n v="0"/>
    <n v="0"/>
    <n v="0"/>
    <n v="0"/>
    <n v="0"/>
    <n v="0"/>
    <n v="0"/>
    <n v="0"/>
    <n v="0"/>
    <n v="0"/>
    <n v="0"/>
    <n v="12498.77"/>
    <n v="12498.77"/>
    <n v="-2.38"/>
  </r>
  <r>
    <x v="11"/>
    <x v="25"/>
    <x v="0"/>
    <s v="9000934"/>
    <n v="721240"/>
    <s v="Supplies-IV Solutions/Supplies - Billable"/>
    <s v="Eliminations-PE @ SA"/>
    <x v="0"/>
    <m/>
    <n v="0"/>
    <n v="0"/>
    <n v="0"/>
    <n v="0"/>
    <n v="0"/>
    <n v="0"/>
    <n v="0"/>
    <n v="0"/>
    <n v="0"/>
    <n v="0"/>
    <n v="0"/>
    <n v="106"/>
    <n v="106"/>
    <n v="-89.77"/>
  </r>
  <r>
    <x v="11"/>
    <x v="25"/>
    <x v="0"/>
    <s v="9000934"/>
    <n v="721250"/>
    <s v="Supplies-Pharmacy Drugs - Billable"/>
    <s v="Eliminations-PE @ SA"/>
    <x v="0"/>
    <m/>
    <n v="0"/>
    <n v="0"/>
    <n v="0"/>
    <n v="0"/>
    <n v="0"/>
    <n v="0"/>
    <n v="0"/>
    <n v="0"/>
    <n v="0"/>
    <n v="0"/>
    <n v="0"/>
    <n v="678454.63"/>
    <n v="678454.63"/>
    <n v="-119.9"/>
  </r>
  <r>
    <x v="11"/>
    <x v="25"/>
    <x v="0"/>
    <s v="9000934"/>
    <n v="721410"/>
    <s v="Supplies-Medical - Nonbillable"/>
    <s v="Eliminations-PE @ SA"/>
    <x v="0"/>
    <m/>
    <n v="0"/>
    <n v="0"/>
    <n v="0"/>
    <n v="0"/>
    <n v="0"/>
    <n v="0"/>
    <n v="0"/>
    <n v="0"/>
    <n v="0"/>
    <n v="0"/>
    <n v="0"/>
    <n v="181041.6"/>
    <n v="181041.6"/>
    <n v="-2242.69"/>
  </r>
  <r>
    <x v="11"/>
    <x v="25"/>
    <x v="0"/>
    <s v="9000934"/>
    <n v="721410"/>
    <s v="Patient Monitoring"/>
    <s v="Eliminations-PE @ SA"/>
    <x v="0"/>
    <n v="1000"/>
    <n v="0"/>
    <n v="0"/>
    <n v="0"/>
    <n v="0"/>
    <n v="0"/>
    <n v="0"/>
    <n v="0"/>
    <n v="0"/>
    <n v="0"/>
    <n v="0"/>
    <n v="0"/>
    <n v="2.38"/>
    <n v="2.38"/>
    <n v="-0.56999999999999995"/>
  </r>
  <r>
    <x v="11"/>
    <x v="25"/>
    <x v="0"/>
    <s v="9000934"/>
    <n v="721420"/>
    <s v="Supplies-Surgical Nonbillable"/>
    <s v="Eliminations-PE @ SA"/>
    <x v="0"/>
    <m/>
    <n v="0"/>
    <n v="0"/>
    <n v="0"/>
    <n v="0"/>
    <n v="0"/>
    <n v="0"/>
    <n v="0"/>
    <n v="0"/>
    <n v="0"/>
    <n v="0"/>
    <n v="0"/>
    <n v="89.77"/>
    <n v="89.77"/>
    <n v="-5189.28"/>
  </r>
  <r>
    <x v="11"/>
    <x v="25"/>
    <x v="0"/>
    <s v="9000934"/>
    <n v="721420"/>
    <s v="Sterilization Process Products"/>
    <s v="Eliminations-PE @ SA"/>
    <x v="0"/>
    <n v="1009"/>
    <n v="0"/>
    <n v="0"/>
    <n v="0"/>
    <n v="0"/>
    <n v="0"/>
    <n v="0"/>
    <n v="0"/>
    <n v="0"/>
    <n v="0"/>
    <n v="0"/>
    <n v="0"/>
    <n v="119.9"/>
    <n v="119.9"/>
    <n v="-73560.570000000007"/>
  </r>
  <r>
    <x v="11"/>
    <x v="25"/>
    <x v="0"/>
    <s v="9000934"/>
    <n v="721640"/>
    <s v="Supplies-IV Solutions/Supplies - Nonbillable"/>
    <s v="Eliminations-PE @ SA"/>
    <x v="0"/>
    <m/>
    <n v="0"/>
    <n v="0"/>
    <n v="0"/>
    <n v="0"/>
    <n v="0"/>
    <n v="0"/>
    <n v="0"/>
    <n v="0"/>
    <n v="0"/>
    <n v="0"/>
    <n v="0"/>
    <n v="2242.69"/>
    <n v="2242.69"/>
    <n v="-3001.97"/>
  </r>
  <r>
    <x v="11"/>
    <x v="25"/>
    <x v="0"/>
    <s v="9000934"/>
    <n v="721710"/>
    <s v="Supplies-Laboratory - Nonbillable"/>
    <s v="Eliminations-PE @ SA"/>
    <x v="0"/>
    <m/>
    <n v="0"/>
    <n v="0"/>
    <n v="0"/>
    <n v="0"/>
    <n v="0"/>
    <n v="0"/>
    <n v="0"/>
    <n v="0"/>
    <n v="0"/>
    <n v="0"/>
    <n v="0"/>
    <n v="0.56999999999999995"/>
    <n v="0.56999999999999995"/>
    <n v="-10528.51"/>
  </r>
  <r>
    <x v="11"/>
    <x v="25"/>
    <x v="0"/>
    <s v="9000934"/>
    <n v="721810"/>
    <s v="Supplies-Dietary/Cafeteria"/>
    <s v="Eliminations-PE @ SA"/>
    <x v="0"/>
    <m/>
    <n v="0"/>
    <n v="0"/>
    <n v="0"/>
    <n v="0"/>
    <n v="0"/>
    <n v="0"/>
    <n v="0"/>
    <n v="0"/>
    <n v="0"/>
    <n v="0"/>
    <n v="0"/>
    <n v="5189.28"/>
    <n v="5189.28"/>
    <n v="-86.83"/>
  </r>
  <r>
    <x v="11"/>
    <x v="25"/>
    <x v="0"/>
    <s v="9000934"/>
    <n v="721830"/>
    <s v="Supplies-Office"/>
    <s v="Eliminations-PE @ SA"/>
    <x v="0"/>
    <m/>
    <n v="0"/>
    <n v="0"/>
    <n v="0"/>
    <n v="0"/>
    <n v="0"/>
    <n v="0"/>
    <n v="0"/>
    <n v="0"/>
    <n v="0"/>
    <n v="0"/>
    <n v="0"/>
    <n v="73560.570000000007"/>
    <n v="73560.570000000007"/>
    <n v="-73573.16"/>
  </r>
  <r>
    <x v="11"/>
    <x v="25"/>
    <x v="0"/>
    <s v="9000934"/>
    <n v="721835"/>
    <s v="Supplies-Forms"/>
    <s v="Eliminations-PE @ SA"/>
    <x v="0"/>
    <m/>
    <n v="0"/>
    <n v="0"/>
    <n v="0"/>
    <n v="0"/>
    <n v="0"/>
    <n v="0"/>
    <n v="0"/>
    <n v="0"/>
    <n v="0"/>
    <n v="0"/>
    <n v="0"/>
    <n v="3001.97"/>
    <n v="3001.97"/>
    <n v="-1948.69"/>
  </r>
  <r>
    <x v="11"/>
    <x v="25"/>
    <x v="0"/>
    <s v="9000934"/>
    <n v="721870"/>
    <s v="Supplies-Environmental Services"/>
    <s v="Eliminations-PE @ SA"/>
    <x v="0"/>
    <m/>
    <n v="0"/>
    <n v="0"/>
    <n v="0"/>
    <n v="0"/>
    <n v="0"/>
    <n v="0"/>
    <n v="0"/>
    <n v="0"/>
    <n v="0"/>
    <n v="0"/>
    <n v="0"/>
    <n v="10528.51"/>
    <n v="10528.51"/>
    <n v="-4172.29"/>
  </r>
  <r>
    <x v="11"/>
    <x v="25"/>
    <x v="0"/>
    <s v="9000934"/>
    <n v="721880"/>
    <s v="Supplies-Linen"/>
    <s v="Eliminations-PE @ SA"/>
    <x v="0"/>
    <m/>
    <n v="0"/>
    <n v="0"/>
    <n v="0"/>
    <n v="0"/>
    <n v="0"/>
    <n v="0"/>
    <n v="0"/>
    <n v="0"/>
    <n v="0"/>
    <n v="0"/>
    <n v="0"/>
    <n v="86.83"/>
    <n v="86.83"/>
    <n v="-3322.16"/>
  </r>
  <r>
    <x v="11"/>
    <x v="25"/>
    <x v="0"/>
    <s v="9000934"/>
    <n v="721910"/>
    <s v="Supplies-Small Equipment"/>
    <s v="Eliminations-PE @ SA"/>
    <x v="0"/>
    <m/>
    <n v="0"/>
    <n v="0"/>
    <n v="0"/>
    <n v="0"/>
    <n v="0"/>
    <n v="0"/>
    <n v="0"/>
    <n v="0"/>
    <n v="0"/>
    <n v="0"/>
    <n v="0"/>
    <n v="73573.16"/>
    <n v="73573.16"/>
    <n v="24532.71"/>
  </r>
  <r>
    <x v="11"/>
    <x v="25"/>
    <x v="0"/>
    <s v="9000934"/>
    <n v="721910"/>
    <s v="Instruments"/>
    <s v="Eliminations-PE @ SA"/>
    <x v="0"/>
    <n v="1000"/>
    <n v="0"/>
    <n v="0"/>
    <n v="0"/>
    <n v="0"/>
    <n v="0"/>
    <n v="0"/>
    <n v="0"/>
    <n v="0"/>
    <n v="0"/>
    <n v="0"/>
    <n v="0"/>
    <n v="1948.69"/>
    <n v="1948.69"/>
    <n v="394.13"/>
  </r>
  <r>
    <x v="11"/>
    <x v="25"/>
    <x v="0"/>
    <s v="9000934"/>
    <n v="721980"/>
    <s v="Supplies-Other"/>
    <s v="Eliminations-PE @ SA"/>
    <x v="0"/>
    <m/>
    <n v="0"/>
    <n v="0"/>
    <n v="0"/>
    <n v="0"/>
    <n v="0"/>
    <n v="0"/>
    <n v="0"/>
    <n v="0"/>
    <n v="0"/>
    <n v="0"/>
    <n v="0"/>
    <n v="4172.29"/>
    <n v="4172.29"/>
    <n v="112.16"/>
  </r>
  <r>
    <x v="11"/>
    <x v="25"/>
    <x v="0"/>
    <s v="9000934"/>
    <n v="722000"/>
    <s v="Supplies-Freight Expense"/>
    <s v="Eliminations-PE @ SA"/>
    <x v="0"/>
    <m/>
    <n v="0"/>
    <n v="0"/>
    <n v="0"/>
    <n v="0"/>
    <n v="0"/>
    <n v="0"/>
    <n v="0"/>
    <n v="0"/>
    <n v="0"/>
    <n v="0"/>
    <n v="0"/>
    <n v="3322.16"/>
    <n v="3322.16"/>
    <n v="-1652500.43"/>
  </r>
  <r>
    <x v="11"/>
    <x v="25"/>
    <x v="0"/>
    <s v="9000934"/>
    <n v="723000"/>
    <s v="Supply Rebates/Patronage Dividend"/>
    <s v="Eliminations-PE @ SA"/>
    <x v="0"/>
    <m/>
    <n v="0"/>
    <n v="0"/>
    <n v="0"/>
    <n v="0"/>
    <n v="0"/>
    <n v="0"/>
    <n v="0"/>
    <n v="0"/>
    <n v="0"/>
    <n v="0"/>
    <n v="0"/>
    <n v="-24532.71"/>
    <n v="-24532.71"/>
    <n v="-671147.26"/>
  </r>
  <r>
    <x v="11"/>
    <x v="25"/>
    <x v="0"/>
    <s v="9000934"/>
    <n v="723500"/>
    <s v="Discounts Taken *"/>
    <s v="Eliminations-PE @ SA"/>
    <x v="0"/>
    <m/>
    <n v="0"/>
    <n v="0"/>
    <n v="0"/>
    <n v="0"/>
    <n v="0"/>
    <n v="0"/>
    <n v="0"/>
    <n v="0"/>
    <n v="0"/>
    <n v="0"/>
    <n v="0"/>
    <n v="-394.13"/>
    <n v="-394.13"/>
    <n v="-20460.759999999998"/>
  </r>
  <r>
    <x v="11"/>
    <x v="25"/>
    <x v="0"/>
    <s v="9000934"/>
    <n v="724000"/>
    <s v="Item Cost Variance Suspense *"/>
    <s v="Eliminations-PE @ SA"/>
    <x v="0"/>
    <m/>
    <n v="0"/>
    <n v="0"/>
    <n v="0"/>
    <n v="0"/>
    <n v="0"/>
    <n v="0"/>
    <n v="0"/>
    <n v="0"/>
    <n v="0"/>
    <n v="0"/>
    <n v="0"/>
    <n v="-112.16"/>
    <n v="-112.16"/>
    <n v="-86699.66"/>
  </r>
  <r>
    <x v="12"/>
    <x v="25"/>
    <x v="0"/>
    <s v="9000934"/>
    <n v="730010"/>
    <s v="Rental and Leases-Building (DO NOT USE)"/>
    <s v="Eliminations-PE @ SA"/>
    <x v="0"/>
    <m/>
    <n v="0"/>
    <n v="0"/>
    <n v="0"/>
    <n v="0"/>
    <n v="0"/>
    <n v="0"/>
    <n v="0"/>
    <n v="0"/>
    <n v="0"/>
    <n v="0"/>
    <n v="0"/>
    <n v="1652500.43"/>
    <n v="1652500.43"/>
    <n v="-231136.91"/>
  </r>
  <r>
    <x v="12"/>
    <x v="25"/>
    <x v="0"/>
    <s v="9000934"/>
    <n v="730010"/>
    <s v="Rental-Common Area Maint (DO NOT USE)"/>
    <s v="Eliminations-PE @ SA"/>
    <x v="0"/>
    <n v="2200"/>
    <n v="0"/>
    <n v="0"/>
    <n v="0"/>
    <n v="0"/>
    <n v="0"/>
    <n v="0"/>
    <n v="0"/>
    <n v="0"/>
    <n v="0"/>
    <n v="0"/>
    <n v="0"/>
    <n v="671147.26"/>
    <n v="671147.26"/>
    <n v="-7338.89"/>
  </r>
  <r>
    <x v="12"/>
    <x v="25"/>
    <x v="0"/>
    <s v="9000934"/>
    <n v="730020"/>
    <s v="Rental and Leases-Equipment (DO NOT USE)"/>
    <s v="Eliminations-PE @ SA"/>
    <x v="0"/>
    <m/>
    <n v="0"/>
    <n v="0"/>
    <n v="0"/>
    <n v="0"/>
    <n v="0"/>
    <n v="0"/>
    <n v="0"/>
    <n v="0"/>
    <n v="0"/>
    <n v="0"/>
    <n v="0"/>
    <n v="20460.759999999998"/>
    <n v="20460.759999999998"/>
    <n v="-533.82000000000005"/>
  </r>
  <r>
    <x v="12"/>
    <x v="25"/>
    <x v="0"/>
    <s v="9000934"/>
    <n v="730020"/>
    <s v="Rental and Leases-Copier Usage Fees (DO NOT USE)"/>
    <s v="Eliminations-PE @ SA"/>
    <x v="0"/>
    <n v="5100"/>
    <n v="0"/>
    <n v="0"/>
    <n v="0"/>
    <n v="0"/>
    <n v="0"/>
    <n v="0"/>
    <n v="0"/>
    <n v="0"/>
    <n v="0"/>
    <n v="0"/>
    <n v="0"/>
    <n v="86699.66"/>
    <n v="86699.66"/>
    <n v="-136.29"/>
  </r>
  <r>
    <x v="12"/>
    <x v="25"/>
    <x v="0"/>
    <s v="9000934"/>
    <n v="730040"/>
    <s v="LT Lease-Real Estate"/>
    <s v="Eliminations-PE @ SA"/>
    <x v="0"/>
    <m/>
    <n v="0"/>
    <n v="0"/>
    <n v="0"/>
    <n v="0"/>
    <n v="0"/>
    <n v="0"/>
    <n v="0"/>
    <n v="0"/>
    <n v="0"/>
    <n v="0"/>
    <n v="0"/>
    <n v="231136.91"/>
    <n v="231136.91"/>
    <n v="-576.73"/>
  </r>
  <r>
    <x v="15"/>
    <x v="25"/>
    <x v="0"/>
    <s v="9000934"/>
    <n v="731020"/>
    <s v="Electricity"/>
    <s v="Eliminations-PE @ SA"/>
    <x v="0"/>
    <m/>
    <n v="0"/>
    <n v="0"/>
    <n v="0"/>
    <n v="0"/>
    <n v="0"/>
    <n v="0"/>
    <n v="0"/>
    <n v="0"/>
    <n v="0"/>
    <n v="0"/>
    <n v="0"/>
    <n v="7338.89"/>
    <n v="7338.89"/>
    <n v="-69909.070000000007"/>
  </r>
  <r>
    <x v="15"/>
    <x v="25"/>
    <x v="0"/>
    <s v="9000934"/>
    <n v="731030"/>
    <s v="Water"/>
    <s v="Eliminations-PE @ SA"/>
    <x v="0"/>
    <m/>
    <n v="0"/>
    <n v="0"/>
    <n v="0"/>
    <n v="0"/>
    <n v="0"/>
    <n v="0"/>
    <n v="0"/>
    <n v="0"/>
    <n v="0"/>
    <n v="0"/>
    <n v="0"/>
    <n v="533.82000000000005"/>
    <n v="533.82000000000005"/>
    <n v="-770.18"/>
  </r>
  <r>
    <x v="15"/>
    <x v="25"/>
    <x v="0"/>
    <s v="9000934"/>
    <n v="731040"/>
    <s v="Sewer"/>
    <s v="Eliminations-PE @ SA"/>
    <x v="0"/>
    <m/>
    <n v="0"/>
    <n v="0"/>
    <n v="0"/>
    <n v="0"/>
    <n v="0"/>
    <n v="0"/>
    <n v="0"/>
    <n v="0"/>
    <n v="0"/>
    <n v="0"/>
    <n v="0"/>
    <n v="136.29"/>
    <n v="136.29"/>
    <n v="-1111.56"/>
  </r>
  <r>
    <x v="15"/>
    <x v="25"/>
    <x v="0"/>
    <s v="9000934"/>
    <n v="731050"/>
    <s v="Refuse Disposal"/>
    <s v="Eliminations-PE @ SA"/>
    <x v="0"/>
    <m/>
    <n v="0"/>
    <n v="0"/>
    <n v="0"/>
    <n v="0"/>
    <n v="0"/>
    <n v="0"/>
    <n v="0"/>
    <n v="0"/>
    <n v="0"/>
    <n v="0"/>
    <n v="0"/>
    <n v="576.73"/>
    <n v="576.73"/>
    <n v="-646.66"/>
  </r>
  <r>
    <x v="15"/>
    <x v="25"/>
    <x v="0"/>
    <s v="9000934"/>
    <n v="731060"/>
    <s v="Telephone"/>
    <s v="Eliminations-PE @ SA"/>
    <x v="0"/>
    <m/>
    <n v="0"/>
    <n v="0"/>
    <n v="0"/>
    <n v="0"/>
    <n v="0"/>
    <n v="0"/>
    <n v="0"/>
    <n v="0"/>
    <n v="0"/>
    <n v="0"/>
    <n v="0"/>
    <n v="69909.070000000007"/>
    <n v="69909.070000000007"/>
    <n v="-7311.22"/>
  </r>
  <r>
    <x v="15"/>
    <x v="25"/>
    <x v="0"/>
    <s v="9000934"/>
    <n v="731060"/>
    <s v="Cell Phones"/>
    <s v="Eliminations-PE @ SA"/>
    <x v="0"/>
    <n v="1001"/>
    <n v="0"/>
    <n v="0"/>
    <n v="0"/>
    <n v="0"/>
    <n v="0"/>
    <n v="0"/>
    <n v="0"/>
    <n v="0"/>
    <n v="0"/>
    <n v="0"/>
    <n v="0"/>
    <n v="770.18"/>
    <n v="770.18"/>
    <n v="-4504.1099999999997"/>
  </r>
  <r>
    <x v="15"/>
    <x v="25"/>
    <x v="0"/>
    <s v="9000934"/>
    <n v="731060"/>
    <s v="Pagers"/>
    <s v="Eliminations-PE @ SA"/>
    <x v="0"/>
    <n v="1002"/>
    <n v="0"/>
    <n v="0"/>
    <n v="0"/>
    <n v="0"/>
    <n v="0"/>
    <n v="0"/>
    <n v="0"/>
    <n v="0"/>
    <n v="0"/>
    <n v="0"/>
    <n v="0"/>
    <n v="1111.56"/>
    <n v="1111.56"/>
    <n v="-17593.009999999998"/>
  </r>
  <r>
    <x v="15"/>
    <x v="25"/>
    <x v="0"/>
    <s v="9000934"/>
    <n v="731065"/>
    <s v="Data Communications"/>
    <s v="Eliminations-PE @ SA"/>
    <x v="0"/>
    <m/>
    <n v="0"/>
    <n v="0"/>
    <n v="0"/>
    <n v="0"/>
    <n v="0"/>
    <n v="0"/>
    <n v="0"/>
    <n v="0"/>
    <n v="0"/>
    <n v="0"/>
    <n v="0"/>
    <n v="646.66"/>
    <n v="646.66"/>
    <n v="-2188.0500000000002"/>
  </r>
  <r>
    <x v="15"/>
    <x v="25"/>
    <x v="0"/>
    <s v="9000934"/>
    <n v="731070"/>
    <s v="Cable TV"/>
    <s v="Eliminations-PE @ SA"/>
    <x v="0"/>
    <m/>
    <n v="0"/>
    <n v="0"/>
    <n v="0"/>
    <n v="0"/>
    <n v="0"/>
    <n v="0"/>
    <n v="0"/>
    <n v="0"/>
    <n v="0"/>
    <n v="0"/>
    <n v="0"/>
    <n v="7311.22"/>
    <n v="7311.22"/>
    <n v="-2357.9499999999998"/>
  </r>
  <r>
    <x v="16"/>
    <x v="25"/>
    <x v="0"/>
    <s v="9000934"/>
    <n v="732015"/>
    <s v="Repairs-Clinical Equip-T&amp;M-Ext to CHI Programs"/>
    <s v="Eliminations-PE @ SA"/>
    <x v="0"/>
    <m/>
    <n v="0"/>
    <n v="0"/>
    <n v="0"/>
    <n v="0"/>
    <n v="0"/>
    <n v="0"/>
    <n v="0"/>
    <n v="0"/>
    <n v="0"/>
    <n v="0"/>
    <n v="0"/>
    <n v="4504.1099999999997"/>
    <n v="4504.1099999999997"/>
    <n v="-22327.88"/>
  </r>
  <r>
    <x v="16"/>
    <x v="25"/>
    <x v="0"/>
    <s v="9000934"/>
    <n v="732030"/>
    <s v="Repairs---Other"/>
    <s v="Eliminations-PE @ SA"/>
    <x v="0"/>
    <m/>
    <n v="0"/>
    <n v="0"/>
    <n v="0"/>
    <n v="0"/>
    <n v="0"/>
    <n v="0"/>
    <n v="0"/>
    <n v="0"/>
    <n v="0"/>
    <n v="0"/>
    <n v="0"/>
    <n v="17593.009999999998"/>
    <n v="17593.009999999998"/>
    <n v="-489744.72"/>
  </r>
  <r>
    <x v="16"/>
    <x v="25"/>
    <x v="0"/>
    <s v="9000934"/>
    <n v="732030"/>
    <s v="Repairs&amp;Maintenance-Bldg Routine"/>
    <s v="Eliminations-PE @ SA"/>
    <x v="0"/>
    <n v="2300"/>
    <n v="0"/>
    <n v="0"/>
    <n v="0"/>
    <n v="0"/>
    <n v="0"/>
    <n v="0"/>
    <n v="0"/>
    <n v="0"/>
    <n v="0"/>
    <n v="0"/>
    <n v="0"/>
    <n v="2188.0500000000002"/>
    <n v="2188.0500000000002"/>
    <n v="-19245.919999999998"/>
  </r>
  <r>
    <x v="16"/>
    <x v="25"/>
    <x v="0"/>
    <s v="9000934"/>
    <n v="733030"/>
    <s v="Maintenance Contracts-Other"/>
    <s v="Eliminations-PE @ SA"/>
    <x v="0"/>
    <m/>
    <n v="0"/>
    <n v="0"/>
    <n v="0"/>
    <n v="0"/>
    <n v="0"/>
    <n v="0"/>
    <n v="0"/>
    <n v="0"/>
    <n v="0"/>
    <n v="0"/>
    <n v="0"/>
    <n v="2357.9499999999998"/>
    <n v="2357.9499999999998"/>
    <n v="-610053.73"/>
  </r>
  <r>
    <x v="13"/>
    <x v="25"/>
    <x v="0"/>
    <s v="9000934"/>
    <n v="735040"/>
    <s v="Depreciation-Building Improvements"/>
    <s v="Eliminations-PE @ SA"/>
    <x v="0"/>
    <m/>
    <n v="0"/>
    <n v="0"/>
    <n v="0"/>
    <n v="0"/>
    <n v="0"/>
    <n v="0"/>
    <n v="0"/>
    <n v="0"/>
    <n v="0"/>
    <n v="0"/>
    <n v="0"/>
    <n v="22327.88"/>
    <n v="22327.88"/>
    <n v="-357.33"/>
  </r>
  <r>
    <x v="13"/>
    <x v="25"/>
    <x v="0"/>
    <s v="9000934"/>
    <n v="735050"/>
    <s v="Amortization-Leasehold Improvements"/>
    <s v="Eliminations-PE @ SA"/>
    <x v="0"/>
    <m/>
    <n v="0"/>
    <n v="0"/>
    <n v="0"/>
    <n v="0"/>
    <n v="0"/>
    <n v="0"/>
    <n v="0"/>
    <n v="0"/>
    <n v="0"/>
    <n v="0"/>
    <n v="0"/>
    <n v="489744.72"/>
    <n v="489744.72"/>
    <n v="-1287.8699999999999"/>
  </r>
  <r>
    <x v="13"/>
    <x v="25"/>
    <x v="0"/>
    <s v="9000934"/>
    <n v="735060"/>
    <s v="Depreciation-Fixed Equipment"/>
    <s v="Eliminations-PE @ SA"/>
    <x v="0"/>
    <m/>
    <n v="0"/>
    <n v="0"/>
    <n v="0"/>
    <n v="0"/>
    <n v="0"/>
    <n v="0"/>
    <n v="0"/>
    <n v="0"/>
    <n v="0"/>
    <n v="0"/>
    <n v="0"/>
    <n v="19245.919999999998"/>
    <n v="19245.919999999998"/>
    <n v="-5217.9399999999996"/>
  </r>
  <r>
    <x v="13"/>
    <x v="25"/>
    <x v="0"/>
    <s v="9000934"/>
    <n v="735070"/>
    <s v="Depreciation-Movable Equipment"/>
    <s v="Eliminations-PE @ SA"/>
    <x v="0"/>
    <m/>
    <n v="0"/>
    <n v="0"/>
    <n v="0"/>
    <n v="0"/>
    <n v="0"/>
    <n v="0"/>
    <n v="0"/>
    <n v="0"/>
    <n v="0"/>
    <n v="0"/>
    <n v="0"/>
    <n v="610053.73"/>
    <n v="610053.73"/>
    <n v="-19676.169999999998"/>
  </r>
  <r>
    <x v="13"/>
    <x v="25"/>
    <x v="0"/>
    <s v="9000934"/>
    <n v="736000"/>
    <s v="General Amortization Expense"/>
    <s v="Eliminations-PE @ SA"/>
    <x v="0"/>
    <n v="5000"/>
    <n v="0"/>
    <n v="0"/>
    <n v="0"/>
    <n v="0"/>
    <n v="0"/>
    <n v="0"/>
    <n v="0"/>
    <n v="0"/>
    <n v="0"/>
    <n v="0"/>
    <n v="0"/>
    <n v="357.33"/>
    <n v="357.33"/>
    <n v="-2503.2199999999998"/>
  </r>
  <r>
    <x v="0"/>
    <x v="25"/>
    <x v="0"/>
    <s v="9000934"/>
    <n v="740010"/>
    <s v="Education-Materials"/>
    <s v="Eliminations-PE @ SA"/>
    <x v="0"/>
    <m/>
    <n v="0"/>
    <n v="0"/>
    <n v="0"/>
    <n v="0"/>
    <n v="0"/>
    <n v="0"/>
    <n v="0"/>
    <n v="0"/>
    <n v="0"/>
    <n v="0"/>
    <n v="0"/>
    <n v="1287.8699999999999"/>
    <n v="1287.8699999999999"/>
    <n v="-1062.58"/>
  </r>
  <r>
    <x v="0"/>
    <x v="25"/>
    <x v="0"/>
    <s v="9000934"/>
    <n v="740020"/>
    <s v="Education-Registration Fees"/>
    <s v="Eliminations-PE @ SA"/>
    <x v="0"/>
    <m/>
    <n v="0"/>
    <n v="0"/>
    <n v="0"/>
    <n v="0"/>
    <n v="0"/>
    <n v="0"/>
    <n v="0"/>
    <n v="0"/>
    <n v="0"/>
    <n v="0"/>
    <n v="0"/>
    <n v="5217.9399999999996"/>
    <n v="5217.9399999999996"/>
    <n v="-10115.91"/>
  </r>
  <r>
    <x v="0"/>
    <x v="25"/>
    <x v="0"/>
    <s v="9000934"/>
    <n v="740022"/>
    <s v="Education-Physician"/>
    <s v="Eliminations-PE @ SA"/>
    <x v="0"/>
    <m/>
    <n v="0"/>
    <n v="0"/>
    <n v="0"/>
    <n v="0"/>
    <n v="0"/>
    <n v="0"/>
    <n v="0"/>
    <n v="0"/>
    <n v="0"/>
    <n v="0"/>
    <n v="0"/>
    <n v="19676.169999999998"/>
    <n v="19676.169999999998"/>
    <n v="-157.04"/>
  </r>
  <r>
    <x v="0"/>
    <x v="25"/>
    <x v="0"/>
    <s v="9000934"/>
    <n v="740022"/>
    <s v="Books-Physician"/>
    <s v="Eliminations-PE @ SA"/>
    <x v="0"/>
    <n v="2000"/>
    <n v="0"/>
    <n v="0"/>
    <n v="0"/>
    <n v="0"/>
    <n v="0"/>
    <n v="0"/>
    <n v="0"/>
    <n v="0"/>
    <n v="0"/>
    <n v="0"/>
    <n v="0"/>
    <n v="2503.2199999999998"/>
    <n v="2503.2199999999998"/>
    <n v="-184.01"/>
  </r>
  <r>
    <x v="0"/>
    <x v="25"/>
    <x v="0"/>
    <s v="9000934"/>
    <n v="740022"/>
    <s v="Education Travel-Physician"/>
    <s v="Eliminations-PE @ SA"/>
    <x v="0"/>
    <n v="2001"/>
    <n v="0"/>
    <n v="0"/>
    <n v="0"/>
    <n v="0"/>
    <n v="0"/>
    <n v="0"/>
    <n v="0"/>
    <n v="0"/>
    <n v="0"/>
    <n v="0"/>
    <n v="0"/>
    <n v="1062.58"/>
    <n v="1062.58"/>
    <n v="-0.46"/>
  </r>
  <r>
    <x v="0"/>
    <x v="25"/>
    <x v="0"/>
    <s v="9000934"/>
    <n v="740023"/>
    <s v="Education-Advanced Practice Clinician"/>
    <s v="Eliminations-PE @ SA"/>
    <x v="0"/>
    <m/>
    <n v="0"/>
    <n v="0"/>
    <n v="0"/>
    <n v="0"/>
    <n v="0"/>
    <n v="0"/>
    <n v="0"/>
    <n v="0"/>
    <n v="0"/>
    <n v="0"/>
    <n v="0"/>
    <n v="10115.91"/>
    <n v="10115.91"/>
    <n v="-107041.23"/>
  </r>
  <r>
    <x v="0"/>
    <x v="25"/>
    <x v="0"/>
    <s v="9000934"/>
    <n v="740023"/>
    <s v="Books-Advanced Practice Clinician"/>
    <s v="Eliminations-PE @ SA"/>
    <x v="0"/>
    <n v="2000"/>
    <n v="0"/>
    <n v="0"/>
    <n v="0"/>
    <n v="0"/>
    <n v="0"/>
    <n v="0"/>
    <n v="0"/>
    <n v="0"/>
    <n v="0"/>
    <n v="0"/>
    <n v="0"/>
    <n v="157.04"/>
    <n v="157.04"/>
    <n v="-381800.21"/>
  </r>
  <r>
    <x v="0"/>
    <x v="25"/>
    <x v="0"/>
    <s v="9000934"/>
    <n v="740023"/>
    <s v="Education Travel-Advanced Practice Clinician"/>
    <s v="Eliminations-PE @ SA"/>
    <x v="0"/>
    <n v="2001"/>
    <n v="0"/>
    <n v="0"/>
    <n v="0"/>
    <n v="0"/>
    <n v="0"/>
    <n v="0"/>
    <n v="0"/>
    <n v="0"/>
    <n v="0"/>
    <n v="0"/>
    <n v="0"/>
    <n v="184.01"/>
    <n v="184.01"/>
    <n v="-10440.94"/>
  </r>
  <r>
    <x v="0"/>
    <x v="25"/>
    <x v="0"/>
    <s v="9000934"/>
    <n v="740030"/>
    <s v="Education-Travel"/>
    <s v="Eliminations-PE @ SA"/>
    <x v="0"/>
    <m/>
    <n v="0"/>
    <n v="0"/>
    <n v="0"/>
    <n v="0"/>
    <n v="0"/>
    <n v="0"/>
    <n v="0"/>
    <n v="0"/>
    <n v="0"/>
    <n v="0"/>
    <n v="0"/>
    <n v="0.46"/>
    <n v="0.46"/>
    <n v="5257.3"/>
  </r>
  <r>
    <x v="8"/>
    <x v="25"/>
    <x v="0"/>
    <s v="9000934"/>
    <n v="741010"/>
    <s v="Liability Insurance-CHI Programs"/>
    <s v="Eliminations-PE @ SA"/>
    <x v="0"/>
    <m/>
    <n v="0"/>
    <n v="0"/>
    <n v="0"/>
    <n v="0"/>
    <n v="0"/>
    <n v="0"/>
    <n v="0"/>
    <n v="0"/>
    <n v="0"/>
    <n v="0"/>
    <n v="0"/>
    <n v="107041.23"/>
    <n v="107041.23"/>
    <n v="-19733.810000000001"/>
  </r>
  <r>
    <x v="8"/>
    <x v="25"/>
    <x v="0"/>
    <s v="9000934"/>
    <n v="741012"/>
    <s v="Physician Liab Insurance-CHI Program"/>
    <s v="Eliminations-PE @ SA"/>
    <x v="0"/>
    <m/>
    <n v="0"/>
    <n v="0"/>
    <n v="0"/>
    <n v="0"/>
    <n v="0"/>
    <n v="0"/>
    <n v="0"/>
    <n v="0"/>
    <n v="0"/>
    <n v="0"/>
    <n v="0"/>
    <n v="381800.21"/>
    <n v="381800.21"/>
    <n v="-725.64"/>
  </r>
  <r>
    <x v="8"/>
    <x v="25"/>
    <x v="0"/>
    <s v="9000934"/>
    <n v="741030"/>
    <s v="Property Insurance-CHI Programs"/>
    <s v="Eliminations-PE @ SA"/>
    <x v="0"/>
    <m/>
    <n v="0"/>
    <n v="0"/>
    <n v="0"/>
    <n v="0"/>
    <n v="0"/>
    <n v="0"/>
    <n v="0"/>
    <n v="0"/>
    <n v="0"/>
    <n v="0"/>
    <n v="0"/>
    <n v="10440.94"/>
    <n v="10440.94"/>
    <n v="-1044.47"/>
  </r>
  <r>
    <x v="8"/>
    <x v="25"/>
    <x v="0"/>
    <s v="9000934"/>
    <n v="741070"/>
    <s v="Insurance-Risk Mgmt Incentive Program"/>
    <s v="Eliminations-PE @ SA"/>
    <x v="0"/>
    <m/>
    <n v="0"/>
    <n v="0"/>
    <n v="0"/>
    <n v="0"/>
    <n v="0"/>
    <n v="0"/>
    <n v="0"/>
    <n v="0"/>
    <n v="0"/>
    <n v="0"/>
    <n v="0"/>
    <n v="-5257.3"/>
    <n v="-5257.3"/>
    <n v="-9371.7199999999993"/>
  </r>
  <r>
    <x v="0"/>
    <x v="25"/>
    <x v="0"/>
    <s v="9000934"/>
    <n v="742010"/>
    <s v="Postage-Regular"/>
    <s v="Eliminations-PE @ SA"/>
    <x v="0"/>
    <m/>
    <n v="0"/>
    <n v="0"/>
    <n v="0"/>
    <n v="0"/>
    <n v="0"/>
    <n v="0"/>
    <n v="0"/>
    <n v="0"/>
    <n v="0"/>
    <n v="0"/>
    <n v="0"/>
    <n v="19733.810000000001"/>
    <n v="19733.810000000001"/>
    <n v="-6636"/>
  </r>
  <r>
    <x v="0"/>
    <x v="25"/>
    <x v="0"/>
    <s v="9000934"/>
    <n v="742040"/>
    <s v="Freight-Other"/>
    <s v="Eliminations-PE @ SA"/>
    <x v="0"/>
    <m/>
    <n v="0"/>
    <n v="0"/>
    <n v="0"/>
    <n v="0"/>
    <n v="0"/>
    <n v="0"/>
    <n v="0"/>
    <n v="0"/>
    <n v="0"/>
    <n v="0"/>
    <n v="0"/>
    <n v="725.64"/>
    <n v="725.64"/>
    <n v="-33721.449999999997"/>
  </r>
  <r>
    <x v="0"/>
    <x v="25"/>
    <x v="0"/>
    <s v="9000934"/>
    <n v="743010"/>
    <s v="Dues--Institutional"/>
    <s v="Eliminations-PE @ SA"/>
    <x v="0"/>
    <m/>
    <n v="0"/>
    <n v="0"/>
    <n v="0"/>
    <n v="0"/>
    <n v="0"/>
    <n v="0"/>
    <n v="0"/>
    <n v="0"/>
    <n v="0"/>
    <n v="0"/>
    <n v="0"/>
    <n v="1044.47"/>
    <n v="1044.47"/>
    <n v="-1328.47"/>
  </r>
  <r>
    <x v="0"/>
    <x v="25"/>
    <x v="0"/>
    <s v="9000934"/>
    <n v="743020"/>
    <s v="Dues--Individual"/>
    <s v="Eliminations-PE @ SA"/>
    <x v="0"/>
    <m/>
    <n v="0"/>
    <n v="0"/>
    <n v="0"/>
    <n v="0"/>
    <n v="0"/>
    <n v="0"/>
    <n v="0"/>
    <n v="0"/>
    <n v="0"/>
    <n v="0"/>
    <n v="0"/>
    <n v="9371.7199999999993"/>
    <n v="9371.7199999999993"/>
    <n v="-5869.22"/>
  </r>
  <r>
    <x v="0"/>
    <x v="25"/>
    <x v="0"/>
    <s v="9000934"/>
    <n v="743020"/>
    <s v="Provider-Dues"/>
    <s v="Eliminations-PE @ SA"/>
    <x v="0"/>
    <n v="2200"/>
    <n v="0"/>
    <n v="0"/>
    <n v="0"/>
    <n v="0"/>
    <n v="0"/>
    <n v="0"/>
    <n v="0"/>
    <n v="0"/>
    <n v="0"/>
    <n v="0"/>
    <n v="0"/>
    <n v="6636"/>
    <n v="6636"/>
    <n v="-216.22"/>
  </r>
  <r>
    <x v="0"/>
    <x v="25"/>
    <x v="0"/>
    <s v="9000934"/>
    <n v="743022"/>
    <s v="Dues-Physician"/>
    <s v="Eliminations-PE @ SA"/>
    <x v="0"/>
    <m/>
    <n v="0"/>
    <n v="0"/>
    <n v="0"/>
    <n v="0"/>
    <n v="0"/>
    <n v="0"/>
    <n v="0"/>
    <n v="0"/>
    <n v="0"/>
    <n v="0"/>
    <n v="0"/>
    <n v="33721.449999999997"/>
    <n v="33721.449999999997"/>
    <n v="-11539.73"/>
  </r>
  <r>
    <x v="0"/>
    <x v="25"/>
    <x v="0"/>
    <s v="9000934"/>
    <n v="743023"/>
    <s v="Dues-Advanced Practice Clinician"/>
    <s v="Eliminations-PE @ SA"/>
    <x v="0"/>
    <m/>
    <n v="0"/>
    <n v="0"/>
    <n v="0"/>
    <n v="0"/>
    <n v="0"/>
    <n v="0"/>
    <n v="0"/>
    <n v="0"/>
    <n v="0"/>
    <n v="0"/>
    <n v="0"/>
    <n v="1328.47"/>
    <n v="1328.47"/>
    <n v="-2929.68"/>
  </r>
  <r>
    <x v="0"/>
    <x v="25"/>
    <x v="0"/>
    <s v="9000934"/>
    <n v="743030"/>
    <s v="Subscriptions--Institutional"/>
    <s v="Eliminations-PE @ SA"/>
    <x v="0"/>
    <m/>
    <n v="0"/>
    <n v="0"/>
    <n v="0"/>
    <n v="0"/>
    <n v="0"/>
    <n v="0"/>
    <n v="0"/>
    <n v="0"/>
    <n v="0"/>
    <n v="0"/>
    <n v="0"/>
    <n v="5869.22"/>
    <n v="5869.22"/>
    <n v="-222.23"/>
  </r>
  <r>
    <x v="0"/>
    <x v="25"/>
    <x v="0"/>
    <s v="9000934"/>
    <n v="743040"/>
    <s v="Subscriptions--Individual"/>
    <s v="Eliminations-PE @ SA"/>
    <x v="0"/>
    <m/>
    <n v="0"/>
    <n v="0"/>
    <n v="0"/>
    <n v="0"/>
    <n v="0"/>
    <n v="0"/>
    <n v="0"/>
    <n v="0"/>
    <n v="0"/>
    <n v="0"/>
    <n v="0"/>
    <n v="216.22"/>
    <n v="216.22"/>
    <n v="-9514.43"/>
  </r>
  <r>
    <x v="0"/>
    <x v="25"/>
    <x v="0"/>
    <s v="9000934"/>
    <n v="743042"/>
    <s v="Subscriptions-Physician"/>
    <s v="Eliminations-PE @ SA"/>
    <x v="0"/>
    <m/>
    <n v="0"/>
    <n v="0"/>
    <n v="0"/>
    <n v="0"/>
    <n v="0"/>
    <n v="0"/>
    <n v="0"/>
    <n v="0"/>
    <n v="0"/>
    <n v="0"/>
    <n v="0"/>
    <n v="11539.73"/>
    <n v="11539.73"/>
    <n v="-171245.86"/>
  </r>
  <r>
    <x v="0"/>
    <x v="25"/>
    <x v="0"/>
    <s v="9000934"/>
    <n v="743043"/>
    <s v="Subscriptions-Advanced Practice Clinician"/>
    <s v="Eliminations-PE @ SA"/>
    <x v="0"/>
    <m/>
    <n v="0"/>
    <n v="0"/>
    <n v="0"/>
    <n v="0"/>
    <n v="0"/>
    <n v="0"/>
    <n v="0"/>
    <n v="0"/>
    <n v="0"/>
    <n v="0"/>
    <n v="0"/>
    <n v="2929.68"/>
    <n v="2929.68"/>
    <n v="569.1"/>
  </r>
  <r>
    <x v="0"/>
    <x v="25"/>
    <x v="0"/>
    <s v="9000934"/>
    <n v="744012"/>
    <s v="Recruitment-Physician"/>
    <s v="Eliminations-PE @ SA"/>
    <x v="0"/>
    <m/>
    <n v="0"/>
    <n v="0"/>
    <n v="0"/>
    <n v="0"/>
    <n v="0"/>
    <n v="0"/>
    <n v="0"/>
    <n v="0"/>
    <n v="0"/>
    <n v="0"/>
    <n v="0"/>
    <n v="222.23"/>
    <n v="222.23"/>
    <n v="-18552.27"/>
  </r>
  <r>
    <x v="0"/>
    <x v="25"/>
    <x v="0"/>
    <s v="9000934"/>
    <n v="746020"/>
    <s v="Bank Fees--Ext to CHI Programs"/>
    <s v="Eliminations-PE @ SA"/>
    <x v="0"/>
    <m/>
    <n v="0"/>
    <n v="0"/>
    <n v="0"/>
    <n v="0"/>
    <n v="0"/>
    <n v="0"/>
    <n v="0"/>
    <n v="0"/>
    <n v="0"/>
    <n v="0"/>
    <n v="0"/>
    <n v="9514.43"/>
    <n v="9514.43"/>
    <n v="-7815.25"/>
  </r>
  <r>
    <x v="26"/>
    <x v="25"/>
    <x v="0"/>
    <s v="9000934"/>
    <n v="747001"/>
    <s v="National Assessment"/>
    <s v="Eliminations-PE @ SA"/>
    <x v="0"/>
    <m/>
    <n v="0"/>
    <n v="0"/>
    <n v="0"/>
    <n v="0"/>
    <n v="0"/>
    <n v="0"/>
    <n v="0"/>
    <n v="0"/>
    <n v="0"/>
    <n v="0"/>
    <n v="0"/>
    <n v="171245.86"/>
    <n v="171245.86"/>
    <n v="-1073.19"/>
  </r>
  <r>
    <x v="0"/>
    <x v="25"/>
    <x v="0"/>
    <s v="9000934"/>
    <n v="748521"/>
    <s v="COGS-Pharmacy Drugs-Retail"/>
    <s v="Eliminations-PE @ SA"/>
    <x v="0"/>
    <m/>
    <n v="0"/>
    <n v="0"/>
    <n v="0"/>
    <n v="0"/>
    <n v="0"/>
    <n v="0"/>
    <n v="0"/>
    <n v="0"/>
    <n v="0"/>
    <n v="0"/>
    <n v="0"/>
    <n v="-569.1"/>
    <n v="-569.1"/>
    <n v="-17.5"/>
  </r>
  <r>
    <x v="0"/>
    <x v="25"/>
    <x v="0"/>
    <s v="9000934"/>
    <n v="749510"/>
    <s v="Miscellaneous Expenses"/>
    <s v="Eliminations-PE @ SA"/>
    <x v="0"/>
    <m/>
    <n v="0"/>
    <n v="0"/>
    <n v="0"/>
    <n v="0"/>
    <n v="0"/>
    <n v="0"/>
    <n v="0"/>
    <n v="0"/>
    <n v="0"/>
    <n v="0"/>
    <n v="0"/>
    <n v="18552.27"/>
    <n v="18552.27"/>
    <n v="-13.21"/>
  </r>
  <r>
    <x v="0"/>
    <x v="25"/>
    <x v="0"/>
    <s v="9000934"/>
    <n v="749510"/>
    <s v="Licenses"/>
    <s v="Eliminations-PE @ SA"/>
    <x v="0"/>
    <n v="1002"/>
    <n v="0"/>
    <n v="0"/>
    <n v="0"/>
    <n v="0"/>
    <n v="0"/>
    <n v="0"/>
    <n v="0"/>
    <n v="0"/>
    <n v="0"/>
    <n v="0"/>
    <n v="0"/>
    <n v="7815.25"/>
    <n v="7815.25"/>
    <n v="-4538.92"/>
  </r>
  <r>
    <x v="0"/>
    <x v="25"/>
    <x v="0"/>
    <s v="9000934"/>
    <n v="749510"/>
    <s v="Miscellaneous Employee Expense"/>
    <s v="Eliminations-PE @ SA"/>
    <x v="0"/>
    <n v="1010"/>
    <n v="0"/>
    <n v="0"/>
    <n v="0"/>
    <n v="0"/>
    <n v="0"/>
    <n v="0"/>
    <n v="0"/>
    <n v="0"/>
    <n v="0"/>
    <n v="0"/>
    <n v="0"/>
    <n v="1073.19"/>
    <n v="1073.19"/>
    <n v="-5368.48"/>
  </r>
  <r>
    <x v="0"/>
    <x v="25"/>
    <x v="0"/>
    <s v="9000934"/>
    <n v="749510"/>
    <s v="Uniforms"/>
    <s v="Eliminations-PE @ SA"/>
    <x v="0"/>
    <n v="1028"/>
    <n v="0"/>
    <n v="0"/>
    <n v="0"/>
    <n v="0"/>
    <n v="0"/>
    <n v="0"/>
    <n v="0"/>
    <n v="0"/>
    <n v="0"/>
    <n v="0"/>
    <n v="0"/>
    <n v="17.5"/>
    <n v="17.5"/>
    <n v="-14379.14"/>
  </r>
  <r>
    <x v="0"/>
    <x v="25"/>
    <x v="0"/>
    <s v="9000934"/>
    <n v="749510"/>
    <s v="Late Payment Penalties &amp; Interest"/>
    <s v="Eliminations-PE @ SA"/>
    <x v="0"/>
    <n v="4600"/>
    <n v="0"/>
    <n v="0"/>
    <n v="0"/>
    <n v="0"/>
    <n v="0"/>
    <n v="0"/>
    <n v="0"/>
    <n v="0"/>
    <n v="0"/>
    <n v="0"/>
    <n v="0"/>
    <n v="13.21"/>
    <n v="13.21"/>
    <n v="-8035.3"/>
  </r>
  <r>
    <x v="0"/>
    <x v="25"/>
    <x v="0"/>
    <s v="9000934"/>
    <n v="749510"/>
    <s v="RICE Rewards"/>
    <s v="Eliminations-PE @ SA"/>
    <x v="0"/>
    <n v="5100"/>
    <n v="0"/>
    <n v="0"/>
    <n v="0"/>
    <n v="0"/>
    <n v="0"/>
    <n v="0"/>
    <n v="0"/>
    <n v="0"/>
    <n v="0"/>
    <n v="0"/>
    <n v="0"/>
    <n v="4538.92"/>
    <n v="4538.92"/>
    <n v="-320000"/>
  </r>
  <r>
    <x v="0"/>
    <x v="25"/>
    <x v="0"/>
    <s v="9000934"/>
    <n v="749510"/>
    <s v="Other Clinic IT Costs"/>
    <s v="Eliminations-PE @ SA"/>
    <x v="0"/>
    <n v="5105"/>
    <n v="0"/>
    <n v="0"/>
    <n v="0"/>
    <n v="0"/>
    <n v="0"/>
    <n v="0"/>
    <n v="0"/>
    <n v="0"/>
    <n v="0"/>
    <n v="0"/>
    <n v="0"/>
    <n v="5368.48"/>
    <n v="5368.48"/>
    <n v="-17606.63"/>
  </r>
  <r>
    <x v="0"/>
    <x v="25"/>
    <x v="0"/>
    <s v="9000934"/>
    <n v="749512"/>
    <s v="Licenses-Physician"/>
    <s v="Eliminations-PE @ SA"/>
    <x v="0"/>
    <n v="2000"/>
    <n v="0"/>
    <n v="0"/>
    <n v="0"/>
    <n v="0"/>
    <n v="0"/>
    <n v="0"/>
    <n v="0"/>
    <n v="0"/>
    <n v="0"/>
    <n v="0"/>
    <n v="0"/>
    <n v="14379.14"/>
    <n v="14379.14"/>
    <n v="-16514.189999999999"/>
  </r>
  <r>
    <x v="0"/>
    <x v="25"/>
    <x v="0"/>
    <s v="9000934"/>
    <n v="749513"/>
    <s v="Licenses-Advanced Practice Clinician"/>
    <s v="Eliminations-PE @ SA"/>
    <x v="0"/>
    <n v="2000"/>
    <n v="0"/>
    <n v="0"/>
    <n v="0"/>
    <n v="0"/>
    <n v="0"/>
    <n v="0"/>
    <n v="0"/>
    <n v="0"/>
    <n v="0"/>
    <n v="0"/>
    <n v="0"/>
    <n v="8035.3"/>
    <n v="8035.3"/>
    <n v="-25586.06"/>
  </r>
  <r>
    <x v="0"/>
    <x v="25"/>
    <x v="0"/>
    <s v="9000934"/>
    <n v="749525"/>
    <s v="Contingent Liability Expense"/>
    <s v="Eliminations-PE @ SA"/>
    <x v="0"/>
    <m/>
    <n v="0"/>
    <n v="0"/>
    <n v="0"/>
    <n v="0"/>
    <n v="0"/>
    <n v="0"/>
    <n v="0"/>
    <n v="0"/>
    <n v="0"/>
    <n v="0"/>
    <n v="0"/>
    <n v="320000"/>
    <n v="320000"/>
    <n v="-415.02"/>
  </r>
  <r>
    <x v="0"/>
    <x v="25"/>
    <x v="0"/>
    <s v="9000934"/>
    <n v="749530"/>
    <s v="Travel"/>
    <s v="Eliminations-PE @ SA"/>
    <x v="0"/>
    <m/>
    <n v="0"/>
    <n v="0"/>
    <n v="0"/>
    <n v="0"/>
    <n v="0"/>
    <n v="0"/>
    <n v="0"/>
    <n v="0"/>
    <n v="0"/>
    <n v="0"/>
    <n v="0"/>
    <n v="17606.63"/>
    <n v="17606.63"/>
    <n v="-7531.48"/>
  </r>
  <r>
    <x v="0"/>
    <x v="25"/>
    <x v="0"/>
    <s v="9000934"/>
    <n v="749530"/>
    <s v="Mileage"/>
    <s v="Eliminations-PE @ SA"/>
    <x v="0"/>
    <n v="1001"/>
    <n v="0"/>
    <n v="0"/>
    <n v="0"/>
    <n v="0"/>
    <n v="0"/>
    <n v="0"/>
    <n v="0"/>
    <n v="0"/>
    <n v="0"/>
    <n v="0"/>
    <n v="0"/>
    <n v="16514.189999999999"/>
    <n v="16514.189999999999"/>
    <n v="-7675.28"/>
  </r>
  <r>
    <x v="0"/>
    <x v="25"/>
    <x v="0"/>
    <s v="9000934"/>
    <n v="749532"/>
    <s v="Travel-Physician"/>
    <s v="Eliminations-PE @ SA"/>
    <x v="0"/>
    <m/>
    <n v="0"/>
    <n v="0"/>
    <n v="0"/>
    <n v="0"/>
    <n v="0"/>
    <n v="0"/>
    <n v="0"/>
    <n v="0"/>
    <n v="0"/>
    <n v="0"/>
    <n v="0"/>
    <n v="25586.06"/>
    <n v="25586.06"/>
    <n v="-50.4"/>
  </r>
  <r>
    <x v="0"/>
    <x v="25"/>
    <x v="0"/>
    <s v="9000934"/>
    <n v="749532"/>
    <s v="Business Meals-Physician"/>
    <s v="Eliminations-PE @ SA"/>
    <x v="0"/>
    <n v="2000"/>
    <n v="0"/>
    <n v="0"/>
    <n v="0"/>
    <n v="0"/>
    <n v="0"/>
    <n v="0"/>
    <n v="0"/>
    <n v="0"/>
    <n v="0"/>
    <n v="0"/>
    <n v="0"/>
    <n v="415.02"/>
    <n v="415.02"/>
    <n v="-1546.65"/>
  </r>
  <r>
    <x v="0"/>
    <x v="25"/>
    <x v="0"/>
    <s v="9000934"/>
    <n v="749532"/>
    <s v="Vehicle Expense-Physician"/>
    <s v="Eliminations-PE @ SA"/>
    <x v="0"/>
    <n v="2001"/>
    <n v="0"/>
    <n v="0"/>
    <n v="0"/>
    <n v="0"/>
    <n v="0"/>
    <n v="0"/>
    <n v="0"/>
    <n v="0"/>
    <n v="0"/>
    <n v="0"/>
    <n v="0"/>
    <n v="7531.48"/>
    <n v="7531.48"/>
    <n v="-7519"/>
  </r>
  <r>
    <x v="0"/>
    <x v="25"/>
    <x v="0"/>
    <s v="9000934"/>
    <n v="749533"/>
    <s v="Travel-Advanced Practice Clinician"/>
    <s v="Eliminations-PE @ SA"/>
    <x v="0"/>
    <m/>
    <n v="0"/>
    <n v="0"/>
    <n v="0"/>
    <n v="0"/>
    <n v="0"/>
    <n v="0"/>
    <n v="0"/>
    <n v="0"/>
    <n v="0"/>
    <n v="0"/>
    <n v="0"/>
    <n v="7675.28"/>
    <n v="7675.28"/>
    <n v="-120.6"/>
  </r>
  <r>
    <x v="0"/>
    <x v="25"/>
    <x v="0"/>
    <s v="9000934"/>
    <n v="749533"/>
    <s v="Business Meals-Advanced Practice Clinician"/>
    <s v="Eliminations-PE @ SA"/>
    <x v="0"/>
    <n v="2000"/>
    <n v="0"/>
    <n v="0"/>
    <n v="0"/>
    <n v="0"/>
    <n v="0"/>
    <n v="0"/>
    <n v="0"/>
    <n v="0"/>
    <n v="0"/>
    <n v="0"/>
    <n v="0"/>
    <n v="50.4"/>
    <n v="50.4"/>
    <n v="-43.52"/>
  </r>
  <r>
    <x v="0"/>
    <x v="25"/>
    <x v="0"/>
    <s v="9000934"/>
    <n v="749533"/>
    <s v="Vehicle Expense-Advanced Practice Clinician"/>
    <s v="Eliminations-PE @ SA"/>
    <x v="0"/>
    <n v="2001"/>
    <n v="0"/>
    <n v="0"/>
    <n v="0"/>
    <n v="0"/>
    <n v="0"/>
    <n v="0"/>
    <n v="0"/>
    <n v="0"/>
    <n v="0"/>
    <n v="0"/>
    <n v="0"/>
    <n v="1546.65"/>
    <n v="1546.65"/>
    <n v="26.37"/>
  </r>
  <r>
    <x v="0"/>
    <x v="25"/>
    <x v="0"/>
    <s v="9000934"/>
    <n v="749535"/>
    <s v="Meetings"/>
    <s v="Eliminations-PE @ SA"/>
    <x v="0"/>
    <m/>
    <n v="0"/>
    <n v="0"/>
    <n v="0"/>
    <n v="0"/>
    <n v="0"/>
    <n v="0"/>
    <n v="0"/>
    <n v="0"/>
    <n v="0"/>
    <n v="0"/>
    <n v="0"/>
    <n v="7519"/>
    <n v="7519"/>
    <n v="-16902.78"/>
  </r>
  <r>
    <x v="0"/>
    <x v="25"/>
    <x v="0"/>
    <s v="9000934"/>
    <n v="749535"/>
    <s v="Medicare Non-Allowable Beverages"/>
    <s v="Eliminations-PE @ SA"/>
    <x v="0"/>
    <n v="1005"/>
    <n v="0"/>
    <n v="0"/>
    <n v="0"/>
    <n v="0"/>
    <n v="0"/>
    <n v="0"/>
    <n v="0"/>
    <n v="0"/>
    <n v="0"/>
    <n v="0"/>
    <n v="0"/>
    <n v="120.6"/>
    <n v="120.6"/>
    <n v="-25145.17"/>
  </r>
  <r>
    <x v="0"/>
    <x v="25"/>
    <x v="0"/>
    <s v="9000934"/>
    <n v="749535"/>
    <s v="Medicare Non-Allowable Other"/>
    <s v="Eliminations-PE @ SA"/>
    <x v="0"/>
    <n v="1012"/>
    <n v="0"/>
    <n v="0"/>
    <n v="0"/>
    <n v="0"/>
    <n v="0"/>
    <n v="0"/>
    <n v="0"/>
    <n v="0"/>
    <n v="0"/>
    <n v="0"/>
    <n v="0"/>
    <n v="43.52"/>
    <n v="43.52"/>
    <n v="-29254.880000000001"/>
  </r>
  <r>
    <x v="0"/>
    <x v="25"/>
    <x v="0"/>
    <s v="9000934"/>
    <n v="749550"/>
    <s v="Cash Over/Short"/>
    <s v="Eliminations-PE @ SA"/>
    <x v="0"/>
    <m/>
    <n v="0"/>
    <n v="0"/>
    <n v="0"/>
    <n v="0"/>
    <n v="0"/>
    <n v="0"/>
    <n v="0"/>
    <n v="0"/>
    <n v="0"/>
    <n v="0"/>
    <n v="0"/>
    <n v="-26.37"/>
    <n v="-26.37"/>
    <n v="-995.4"/>
  </r>
  <r>
    <x v="24"/>
    <x v="25"/>
    <x v="0"/>
    <s v="9000934"/>
    <n v="760030"/>
    <s v="Interest Expense-Ext to CHI Programs"/>
    <s v="Eliminations-PE @ SA"/>
    <x v="0"/>
    <m/>
    <n v="0"/>
    <n v="0"/>
    <n v="0"/>
    <n v="0"/>
    <n v="0"/>
    <n v="0"/>
    <n v="0"/>
    <n v="0"/>
    <n v="0"/>
    <n v="0"/>
    <n v="0"/>
    <n v="16902.78"/>
    <n v="16902.78"/>
    <n v="-214025.05"/>
  </r>
  <r>
    <x v="0"/>
    <x v="25"/>
    <x v="0"/>
    <s v="9000934"/>
    <n v="765050"/>
    <s v="Local Income Tax"/>
    <s v="Eliminations-PE @ SA"/>
    <x v="0"/>
    <m/>
    <n v="0"/>
    <n v="0"/>
    <n v="0"/>
    <n v="0"/>
    <n v="0"/>
    <n v="0"/>
    <n v="0"/>
    <n v="0"/>
    <n v="0"/>
    <n v="0"/>
    <n v="0"/>
    <n v="25145.17"/>
    <n v="25145.17"/>
    <n v="-77024.19"/>
  </r>
  <r>
    <x v="0"/>
    <x v="25"/>
    <x v="0"/>
    <s v="9000934"/>
    <n v="766010"/>
    <s v="Property Tax"/>
    <s v="Eliminations-PE @ SA"/>
    <x v="0"/>
    <m/>
    <n v="0"/>
    <n v="0"/>
    <n v="0"/>
    <n v="0"/>
    <n v="0"/>
    <n v="0"/>
    <n v="0"/>
    <n v="0"/>
    <n v="0"/>
    <n v="0"/>
    <n v="0"/>
    <n v="29254.880000000001"/>
    <n v="29254.880000000001"/>
    <n v="23.6"/>
  </r>
  <r>
    <x v="0"/>
    <x v="25"/>
    <x v="0"/>
    <s v="9000934"/>
    <n v="766070"/>
    <s v="Sales and Use Tax"/>
    <s v="Eliminations-PE @ SA"/>
    <x v="0"/>
    <m/>
    <n v="0"/>
    <n v="0"/>
    <n v="0"/>
    <n v="0"/>
    <n v="0"/>
    <n v="0"/>
    <n v="0"/>
    <n v="0"/>
    <n v="0"/>
    <n v="0"/>
    <n v="0"/>
    <n v="995.4"/>
    <n v="995.4"/>
    <n v="5506.36"/>
  </r>
  <r>
    <x v="0"/>
    <x v="25"/>
    <x v="0"/>
    <s v="9000934"/>
    <n v="766090"/>
    <s v="Franchise and Excise Tax"/>
    <s v="Eliminations-PE @ SA"/>
    <x v="0"/>
    <n v="1001"/>
    <n v="0"/>
    <n v="0"/>
    <n v="0"/>
    <n v="0"/>
    <n v="0"/>
    <n v="0"/>
    <n v="0"/>
    <n v="0"/>
    <n v="0"/>
    <n v="0"/>
    <n v="0"/>
    <n v="214025.05"/>
    <n v="214025.05"/>
    <n v="113041.5"/>
  </r>
  <r>
    <x v="25"/>
    <x v="25"/>
    <x v="0"/>
    <s v="9000934"/>
    <n v="770020"/>
    <s v="Severance Costs"/>
    <s v="Eliminations-PE @ SA"/>
    <x v="0"/>
    <m/>
    <n v="0"/>
    <n v="0"/>
    <n v="0"/>
    <n v="0"/>
    <n v="0"/>
    <n v="0"/>
    <n v="0"/>
    <n v="0"/>
    <n v="0"/>
    <n v="0"/>
    <n v="0"/>
    <n v="77024.19"/>
    <n v="77024.19"/>
    <n v="114871.75"/>
  </r>
  <r>
    <x v="9"/>
    <x v="25"/>
    <x v="0"/>
    <s v="9000934"/>
    <n v="800010"/>
    <s v="Interest Income-CHI Cash Mgmt Program"/>
    <s v="Eliminations-PE @ SA"/>
    <x v="0"/>
    <n v="1000"/>
    <n v="0"/>
    <n v="0"/>
    <n v="0"/>
    <n v="0"/>
    <n v="0"/>
    <n v="0"/>
    <n v="0"/>
    <n v="0"/>
    <n v="0"/>
    <n v="0"/>
    <n v="0"/>
    <n v="-23.6"/>
    <n v="-23.6"/>
    <n v="16474.5"/>
  </r>
  <r>
    <x v="9"/>
    <x v="25"/>
    <x v="0"/>
    <s v="9000934"/>
    <n v="800015"/>
    <s v="Interest Income-Ext to CHI"/>
    <s v="Eliminations-PE @ SA"/>
    <x v="0"/>
    <m/>
    <n v="0"/>
    <n v="0"/>
    <n v="0"/>
    <n v="0"/>
    <n v="0"/>
    <n v="0"/>
    <n v="0"/>
    <n v="0"/>
    <n v="0"/>
    <n v="0"/>
    <n v="0"/>
    <n v="-5506.36"/>
    <n v="-5506.36"/>
    <n v="83311"/>
  </r>
  <r>
    <x v="9"/>
    <x v="25"/>
    <x v="0"/>
    <s v="9000934"/>
    <n v="804050"/>
    <s v="Business Combination Gains-Nonoperating"/>
    <s v="Eliminations-PE @ SA"/>
    <x v="0"/>
    <m/>
    <n v="0"/>
    <n v="0"/>
    <n v="0"/>
    <n v="0"/>
    <n v="0"/>
    <n v="0"/>
    <n v="0"/>
    <n v="0"/>
    <n v="0"/>
    <n v="0"/>
    <n v="0"/>
    <n v="208065.85"/>
    <n v="208065.85"/>
    <n v="181291.75"/>
  </r>
  <r>
    <x v="1"/>
    <x v="26"/>
    <x v="0"/>
    <s v="9000935"/>
    <n v="400029"/>
    <s v="MD Practice Other Rev--Medicare"/>
    <s v="Eliminations-PE @ SE"/>
    <x v="0"/>
    <n v="1100"/>
    <n v="0"/>
    <n v="0"/>
    <n v="0"/>
    <n v="0"/>
    <n v="0"/>
    <n v="0"/>
    <n v="0"/>
    <n v="0"/>
    <n v="0"/>
    <n v="0"/>
    <n v="0"/>
    <n v="-113041.5"/>
    <n v="-113041.5"/>
    <n v="8999.59"/>
  </r>
  <r>
    <x v="1"/>
    <x v="26"/>
    <x v="0"/>
    <s v="9000935"/>
    <n v="400029"/>
    <s v="MD Practice Other Rev--Medicaid"/>
    <s v="Eliminations-PE @ SE"/>
    <x v="0"/>
    <n v="1200"/>
    <n v="0"/>
    <n v="0"/>
    <n v="0"/>
    <n v="0"/>
    <n v="0"/>
    <n v="0"/>
    <n v="0"/>
    <n v="0"/>
    <n v="0"/>
    <n v="0"/>
    <n v="0"/>
    <n v="-114871.75"/>
    <n v="-114871.75"/>
    <n v="14257.25"/>
  </r>
  <r>
    <x v="1"/>
    <x v="26"/>
    <x v="0"/>
    <s v="9000935"/>
    <n v="400029"/>
    <s v="MD Practice Other Rev--Comm Insurance"/>
    <s v="Eliminations-PE @ SE"/>
    <x v="0"/>
    <n v="1300"/>
    <n v="0"/>
    <n v="0"/>
    <n v="0"/>
    <n v="0"/>
    <n v="0"/>
    <n v="0"/>
    <n v="0"/>
    <n v="0"/>
    <n v="0"/>
    <n v="0"/>
    <n v="0"/>
    <n v="-16474.5"/>
    <n v="-16474.5"/>
    <n v="8195560.3300000001"/>
  </r>
  <r>
    <x v="1"/>
    <x v="26"/>
    <x v="0"/>
    <s v="9000935"/>
    <n v="400029"/>
    <s v="MD Practice Other Rev--BCBS Comm"/>
    <s v="Eliminations-PE @ SE"/>
    <x v="0"/>
    <n v="1301"/>
    <n v="0"/>
    <n v="0"/>
    <n v="0"/>
    <n v="0"/>
    <n v="0"/>
    <n v="0"/>
    <n v="0"/>
    <n v="0"/>
    <n v="0"/>
    <n v="0"/>
    <n v="0"/>
    <n v="-83311"/>
    <n v="-83311"/>
    <n v="5401020.1200000001"/>
  </r>
  <r>
    <x v="1"/>
    <x v="26"/>
    <x v="0"/>
    <s v="9000935"/>
    <n v="400029"/>
    <s v="MD Practice Other Rev--Managed Care"/>
    <s v="Eliminations-PE @ SE"/>
    <x v="0"/>
    <n v="1400"/>
    <n v="0"/>
    <n v="0"/>
    <n v="0"/>
    <n v="0"/>
    <n v="0"/>
    <n v="0"/>
    <n v="0"/>
    <n v="0"/>
    <n v="0"/>
    <n v="0"/>
    <n v="0"/>
    <n v="-181291.75"/>
    <n v="-181291.75"/>
    <n v="945461.55"/>
  </r>
  <r>
    <x v="1"/>
    <x v="26"/>
    <x v="0"/>
    <s v="9000935"/>
    <n v="400029"/>
    <s v="MD Practice Other Rev--Self Pay"/>
    <s v="Eliminations-PE @ SE"/>
    <x v="0"/>
    <n v="1500"/>
    <n v="0"/>
    <n v="0"/>
    <n v="0"/>
    <n v="0"/>
    <n v="0"/>
    <n v="0"/>
    <n v="0"/>
    <n v="0"/>
    <n v="0"/>
    <n v="0"/>
    <n v="0"/>
    <n v="-8999.59"/>
    <n v="-8999.59"/>
    <n v="3845577"/>
  </r>
  <r>
    <x v="1"/>
    <x v="26"/>
    <x v="0"/>
    <s v="9000935"/>
    <n v="400029"/>
    <s v="MD Practice Other Rev--Other"/>
    <s v="Eliminations-PE @ SE"/>
    <x v="0"/>
    <n v="1700"/>
    <n v="0"/>
    <n v="0"/>
    <n v="0"/>
    <n v="0"/>
    <n v="0"/>
    <n v="0"/>
    <n v="0"/>
    <n v="0"/>
    <n v="0"/>
    <n v="0"/>
    <n v="0"/>
    <n v="-14257.25"/>
    <n v="-14257.25"/>
    <n v="9412805.3000000007"/>
  </r>
  <r>
    <x v="1"/>
    <x v="26"/>
    <x v="0"/>
    <s v="9000935"/>
    <n v="400040"/>
    <s v="Physician Svcs Rev--Medicare"/>
    <s v="Eliminations-PE @ SE"/>
    <x v="0"/>
    <n v="1100"/>
    <n v="0"/>
    <n v="0"/>
    <n v="0"/>
    <n v="0"/>
    <n v="0"/>
    <n v="0"/>
    <n v="0"/>
    <n v="0"/>
    <n v="0"/>
    <n v="0"/>
    <n v="0"/>
    <n v="-8195560.3300000001"/>
    <n v="-8195560.3300000001"/>
    <n v="458695.09"/>
  </r>
  <r>
    <x v="1"/>
    <x v="26"/>
    <x v="0"/>
    <s v="9000935"/>
    <n v="400040"/>
    <s v="Physician Svcs Rev--Medicaid"/>
    <s v="Eliminations-PE @ SE"/>
    <x v="0"/>
    <n v="1200"/>
    <n v="0"/>
    <n v="0"/>
    <n v="0"/>
    <n v="0"/>
    <n v="0"/>
    <n v="0"/>
    <n v="0"/>
    <n v="0"/>
    <n v="0"/>
    <n v="0"/>
    <n v="0"/>
    <n v="-5401020.1200000001"/>
    <n v="-5401020.1200000001"/>
    <n v="954497.42"/>
  </r>
  <r>
    <x v="1"/>
    <x v="26"/>
    <x v="0"/>
    <s v="9000935"/>
    <n v="400040"/>
    <s v="Physician Svcs Rev--Comm Insurance"/>
    <s v="Eliminations-PE @ SE"/>
    <x v="0"/>
    <n v="1300"/>
    <n v="0"/>
    <n v="0"/>
    <n v="0"/>
    <n v="0"/>
    <n v="0"/>
    <n v="0"/>
    <n v="0"/>
    <n v="0"/>
    <n v="0"/>
    <n v="0"/>
    <n v="0"/>
    <n v="-945461.55"/>
    <n v="-945461.55"/>
    <n v="-70464.179999999993"/>
  </r>
  <r>
    <x v="1"/>
    <x v="26"/>
    <x v="0"/>
    <s v="9000935"/>
    <n v="400040"/>
    <s v="Physician Svcs Rev--BCBS Comm"/>
    <s v="Eliminations-PE @ SE"/>
    <x v="0"/>
    <n v="1301"/>
    <n v="0"/>
    <n v="0"/>
    <n v="0"/>
    <n v="0"/>
    <n v="0"/>
    <n v="0"/>
    <n v="0"/>
    <n v="0"/>
    <n v="0"/>
    <n v="0"/>
    <n v="0"/>
    <n v="-3845577"/>
    <n v="-3845577"/>
    <n v="-76598.789999999994"/>
  </r>
  <r>
    <x v="1"/>
    <x v="26"/>
    <x v="0"/>
    <s v="9000935"/>
    <n v="400040"/>
    <s v="Physician Svcs Rev--Managed Care"/>
    <s v="Eliminations-PE @ SE"/>
    <x v="0"/>
    <n v="1400"/>
    <n v="0"/>
    <n v="0"/>
    <n v="0"/>
    <n v="0"/>
    <n v="0"/>
    <n v="0"/>
    <n v="0"/>
    <n v="0"/>
    <n v="0"/>
    <n v="0"/>
    <n v="0"/>
    <n v="-9412805.3000000007"/>
    <n v="-9412805.3000000007"/>
    <n v="-7003.09"/>
  </r>
  <r>
    <x v="1"/>
    <x v="26"/>
    <x v="0"/>
    <s v="9000935"/>
    <n v="400040"/>
    <s v="Physician Svcs Rev--Self Pay"/>
    <s v="Eliminations-PE @ SE"/>
    <x v="0"/>
    <n v="1500"/>
    <n v="0"/>
    <n v="0"/>
    <n v="0"/>
    <n v="0"/>
    <n v="0"/>
    <n v="0"/>
    <n v="0"/>
    <n v="0"/>
    <n v="0"/>
    <n v="0"/>
    <n v="0"/>
    <n v="-458695.09"/>
    <n v="-458695.09"/>
    <n v="-46443.25"/>
  </r>
  <r>
    <x v="1"/>
    <x v="26"/>
    <x v="0"/>
    <s v="9000935"/>
    <n v="400040"/>
    <s v="Physician Svcs Rev--Other"/>
    <s v="Eliminations-PE @ SE"/>
    <x v="0"/>
    <n v="1700"/>
    <n v="0"/>
    <n v="0"/>
    <n v="0"/>
    <n v="0"/>
    <n v="0"/>
    <n v="0"/>
    <n v="0"/>
    <n v="0"/>
    <n v="0"/>
    <n v="0"/>
    <n v="0"/>
    <n v="-954497.42"/>
    <n v="-954497.42"/>
    <n v="-100697.49"/>
  </r>
  <r>
    <x v="2"/>
    <x v="26"/>
    <x v="0"/>
    <s v="9000935"/>
    <n v="450029"/>
    <s v="Contr Allow--MD Other-Medicare"/>
    <s v="Eliminations-PE @ SE"/>
    <x v="0"/>
    <n v="1100"/>
    <n v="0"/>
    <n v="0"/>
    <n v="0"/>
    <n v="0"/>
    <n v="0"/>
    <n v="0"/>
    <n v="0"/>
    <n v="0"/>
    <n v="0"/>
    <n v="0"/>
    <n v="0"/>
    <n v="70464.179999999993"/>
    <n v="70464.179999999993"/>
    <n v="-18.05"/>
  </r>
  <r>
    <x v="2"/>
    <x v="26"/>
    <x v="0"/>
    <s v="9000935"/>
    <n v="450029"/>
    <s v="Contr Allow--MD Other-Medicaid"/>
    <s v="Eliminations-PE @ SE"/>
    <x v="0"/>
    <n v="1200"/>
    <n v="0"/>
    <n v="0"/>
    <n v="0"/>
    <n v="0"/>
    <n v="0"/>
    <n v="0"/>
    <n v="0"/>
    <n v="0"/>
    <n v="0"/>
    <n v="0"/>
    <n v="0"/>
    <n v="76598.789999999994"/>
    <n v="76598.789999999994"/>
    <n v="-7095.87"/>
  </r>
  <r>
    <x v="2"/>
    <x v="26"/>
    <x v="0"/>
    <s v="9000935"/>
    <n v="450029"/>
    <s v="Contr Allow--MD Other-Comm Insurance"/>
    <s v="Eliminations-PE @ SE"/>
    <x v="0"/>
    <n v="1300"/>
    <n v="0"/>
    <n v="0"/>
    <n v="0"/>
    <n v="0"/>
    <n v="0"/>
    <n v="0"/>
    <n v="0"/>
    <n v="0"/>
    <n v="0"/>
    <n v="0"/>
    <n v="0"/>
    <n v="7003.09"/>
    <n v="7003.09"/>
    <n v="-8346.81"/>
  </r>
  <r>
    <x v="2"/>
    <x v="26"/>
    <x v="0"/>
    <s v="9000935"/>
    <n v="450029"/>
    <s v="Contr Allow--MD Other BCBS Comm"/>
    <s v="Eliminations-PE @ SE"/>
    <x v="0"/>
    <n v="1301"/>
    <n v="0"/>
    <n v="0"/>
    <n v="0"/>
    <n v="0"/>
    <n v="0"/>
    <n v="0"/>
    <n v="0"/>
    <n v="0"/>
    <n v="0"/>
    <n v="0"/>
    <n v="0"/>
    <n v="46443.25"/>
    <n v="46443.25"/>
    <n v="-5349315.83"/>
  </r>
  <r>
    <x v="2"/>
    <x v="26"/>
    <x v="0"/>
    <s v="9000935"/>
    <n v="450029"/>
    <s v="Contr Allow--MD Other-Managed Care"/>
    <s v="Eliminations-PE @ SE"/>
    <x v="0"/>
    <n v="1400"/>
    <n v="0"/>
    <n v="0"/>
    <n v="0"/>
    <n v="0"/>
    <n v="0"/>
    <n v="0"/>
    <n v="0"/>
    <n v="0"/>
    <n v="0"/>
    <n v="0"/>
    <n v="0"/>
    <n v="100697.49"/>
    <n v="100697.49"/>
    <n v="-3805336.72"/>
  </r>
  <r>
    <x v="2"/>
    <x v="26"/>
    <x v="0"/>
    <s v="9000935"/>
    <n v="450029"/>
    <s v="Prompt Pay Disc-MD Other-Self Pay"/>
    <s v="Eliminations-PE @ SE"/>
    <x v="0"/>
    <n v="1500"/>
    <n v="0"/>
    <n v="0"/>
    <n v="0"/>
    <n v="0"/>
    <n v="0"/>
    <n v="0"/>
    <n v="0"/>
    <n v="0"/>
    <n v="0"/>
    <n v="0"/>
    <n v="0"/>
    <n v="18.05"/>
    <n v="18.05"/>
    <n v="-347610.52"/>
  </r>
  <r>
    <x v="2"/>
    <x v="26"/>
    <x v="0"/>
    <s v="9000935"/>
    <n v="450029"/>
    <s v="Admin Adjust-MD Other-Self Pay"/>
    <s v="Eliminations-PE @ SE"/>
    <x v="0"/>
    <n v="1600"/>
    <n v="0"/>
    <n v="0"/>
    <n v="0"/>
    <n v="0"/>
    <n v="0"/>
    <n v="0"/>
    <n v="0"/>
    <n v="0"/>
    <n v="0"/>
    <n v="0"/>
    <n v="0"/>
    <n v="7095.87"/>
    <n v="7095.87"/>
    <n v="-1426655.91"/>
  </r>
  <r>
    <x v="2"/>
    <x v="26"/>
    <x v="0"/>
    <s v="9000935"/>
    <n v="450029"/>
    <s v="Contr Allow--MD Other-Other"/>
    <s v="Eliminations-PE @ SE"/>
    <x v="0"/>
    <n v="1700"/>
    <n v="0"/>
    <n v="0"/>
    <n v="0"/>
    <n v="0"/>
    <n v="0"/>
    <n v="0"/>
    <n v="0"/>
    <n v="0"/>
    <n v="0"/>
    <n v="0"/>
    <n v="0"/>
    <n v="8346.81"/>
    <n v="8346.81"/>
    <n v="-3659471.72"/>
  </r>
  <r>
    <x v="2"/>
    <x v="26"/>
    <x v="0"/>
    <s v="9000935"/>
    <n v="450040"/>
    <s v="Contr Allow--Phys Svcs--Mcare"/>
    <s v="Eliminations-PE @ SE"/>
    <x v="0"/>
    <n v="1100"/>
    <n v="0"/>
    <n v="0"/>
    <n v="0"/>
    <n v="0"/>
    <n v="0"/>
    <n v="0"/>
    <n v="0"/>
    <n v="0"/>
    <n v="0"/>
    <n v="0"/>
    <n v="0"/>
    <n v="5349315.83"/>
    <n v="5349315.83"/>
    <n v="376281.85"/>
  </r>
  <r>
    <x v="2"/>
    <x v="26"/>
    <x v="0"/>
    <s v="9000935"/>
    <n v="450040"/>
    <s v="Contr Allow--Phys Svcs--Mcaid"/>
    <s v="Eliminations-PE @ SE"/>
    <x v="0"/>
    <n v="1200"/>
    <n v="0"/>
    <n v="0"/>
    <n v="0"/>
    <n v="0"/>
    <n v="0"/>
    <n v="0"/>
    <n v="0"/>
    <n v="0"/>
    <n v="0"/>
    <n v="0"/>
    <n v="0"/>
    <n v="3805336.72"/>
    <n v="3805336.72"/>
    <n v="3905.05"/>
  </r>
  <r>
    <x v="2"/>
    <x v="26"/>
    <x v="0"/>
    <s v="9000935"/>
    <n v="450040"/>
    <s v="Contr Allow--Phys Svcs--Comm Insurance"/>
    <s v="Eliminations-PE @ SE"/>
    <x v="0"/>
    <n v="1300"/>
    <n v="0"/>
    <n v="0"/>
    <n v="0"/>
    <n v="0"/>
    <n v="0"/>
    <n v="0"/>
    <n v="0"/>
    <n v="0"/>
    <n v="0"/>
    <n v="0"/>
    <n v="0"/>
    <n v="347610.52"/>
    <n v="347610.52"/>
    <n v="-344007.57"/>
  </r>
  <r>
    <x v="2"/>
    <x v="26"/>
    <x v="0"/>
    <s v="9000935"/>
    <n v="450040"/>
    <s v="Contr Allow--Phys Svcs--BCBS Comm Ins"/>
    <s v="Eliminations-PE @ SE"/>
    <x v="0"/>
    <n v="1301"/>
    <n v="0"/>
    <n v="0"/>
    <n v="0"/>
    <n v="0"/>
    <n v="0"/>
    <n v="0"/>
    <n v="0"/>
    <n v="0"/>
    <n v="0"/>
    <n v="0"/>
    <n v="0"/>
    <n v="1426655.91"/>
    <n v="1426655.91"/>
    <n v="-491392.67"/>
  </r>
  <r>
    <x v="2"/>
    <x v="26"/>
    <x v="0"/>
    <s v="9000935"/>
    <n v="450040"/>
    <s v="Contr Allow--Phys Svcs--Managed Care"/>
    <s v="Eliminations-PE @ SE"/>
    <x v="0"/>
    <n v="1400"/>
    <n v="0"/>
    <n v="0"/>
    <n v="0"/>
    <n v="0"/>
    <n v="0"/>
    <n v="0"/>
    <n v="0"/>
    <n v="0"/>
    <n v="0"/>
    <n v="0"/>
    <n v="0"/>
    <n v="3659471.72"/>
    <n v="3659471.72"/>
    <n v="-150939.4"/>
  </r>
  <r>
    <x v="2"/>
    <x v="26"/>
    <x v="0"/>
    <s v="9000935"/>
    <n v="450040"/>
    <s v="Contr Allow--Phys Svcs--BCBS Mgnd Care"/>
    <s v="Eliminations-PE @ SE"/>
    <x v="0"/>
    <n v="1401"/>
    <n v="0"/>
    <n v="0"/>
    <n v="0"/>
    <n v="0"/>
    <n v="0"/>
    <n v="0"/>
    <n v="0"/>
    <n v="0"/>
    <n v="0"/>
    <n v="0"/>
    <n v="0"/>
    <n v="-376281.85"/>
    <n v="-376281.85"/>
    <n v="-314920.03000000003"/>
  </r>
  <r>
    <x v="2"/>
    <x v="26"/>
    <x v="0"/>
    <s v="9000935"/>
    <n v="450040"/>
    <s v="Prompt Pay Disc-Phys Svcs-Self Pay"/>
    <s v="Eliminations-PE @ SE"/>
    <x v="0"/>
    <n v="1500"/>
    <n v="0"/>
    <n v="0"/>
    <n v="0"/>
    <n v="0"/>
    <n v="0"/>
    <n v="0"/>
    <n v="0"/>
    <n v="0"/>
    <n v="0"/>
    <n v="0"/>
    <n v="0"/>
    <n v="-3905.05"/>
    <n v="-3905.05"/>
    <n v="2602.5300000000002"/>
  </r>
  <r>
    <x v="2"/>
    <x v="26"/>
    <x v="0"/>
    <s v="9000935"/>
    <n v="450040"/>
    <s v="Admin Adjust-Phys Svcs-Self Pay"/>
    <s v="Eliminations-PE @ SE"/>
    <x v="0"/>
    <n v="1600"/>
    <n v="0"/>
    <n v="0"/>
    <n v="0"/>
    <n v="0"/>
    <n v="0"/>
    <n v="0"/>
    <n v="0"/>
    <n v="0"/>
    <n v="0"/>
    <n v="0"/>
    <n v="0"/>
    <n v="344007.57"/>
    <n v="344007.57"/>
    <n v="1187.46"/>
  </r>
  <r>
    <x v="2"/>
    <x v="26"/>
    <x v="0"/>
    <s v="9000935"/>
    <n v="450040"/>
    <s v="Contr Allow--Phys Svcs--Other"/>
    <s v="Eliminations-PE @ SE"/>
    <x v="0"/>
    <n v="1700"/>
    <n v="0"/>
    <n v="0"/>
    <n v="0"/>
    <n v="0"/>
    <n v="0"/>
    <n v="0"/>
    <n v="0"/>
    <n v="0"/>
    <n v="0"/>
    <n v="0"/>
    <n v="0"/>
    <n v="491392.67"/>
    <n v="491392.67"/>
    <n v="29844.54"/>
  </r>
  <r>
    <x v="3"/>
    <x v="26"/>
    <x v="0"/>
    <s v="9000935"/>
    <n v="470040"/>
    <s v="Charity Care-Physician Svcs"/>
    <s v="Eliminations-PE @ SE"/>
    <x v="0"/>
    <m/>
    <n v="0"/>
    <n v="0"/>
    <n v="0"/>
    <n v="0"/>
    <n v="0"/>
    <n v="0"/>
    <n v="0"/>
    <n v="0"/>
    <n v="0"/>
    <n v="0"/>
    <n v="0"/>
    <n v="150939.4"/>
    <n v="150939.4"/>
    <n v="10966.25"/>
  </r>
  <r>
    <x v="4"/>
    <x v="26"/>
    <x v="0"/>
    <s v="9000935"/>
    <n v="490010"/>
    <s v="Provision for Bad Debts"/>
    <s v="Eliminations-PE @ SE"/>
    <x v="0"/>
    <m/>
    <n v="0"/>
    <n v="0"/>
    <n v="0"/>
    <n v="0"/>
    <n v="0"/>
    <n v="0"/>
    <n v="0"/>
    <n v="0"/>
    <n v="0"/>
    <n v="0"/>
    <n v="0"/>
    <n v="314920.03000000003"/>
    <n v="314920.03000000003"/>
    <n v="380.83"/>
  </r>
  <r>
    <x v="14"/>
    <x v="26"/>
    <x v="0"/>
    <s v="9000935"/>
    <n v="600010"/>
    <s v="Product Sales Income-Taxable"/>
    <s v="Eliminations-PE @ SE"/>
    <x v="0"/>
    <m/>
    <n v="0"/>
    <n v="0"/>
    <n v="0"/>
    <n v="0"/>
    <n v="0"/>
    <n v="0"/>
    <n v="0"/>
    <n v="0"/>
    <n v="0"/>
    <n v="0"/>
    <n v="0"/>
    <n v="-2602.5300000000002"/>
    <n v="-2602.5300000000002"/>
    <n v="193926.25"/>
  </r>
  <r>
    <x v="14"/>
    <x v="26"/>
    <x v="0"/>
    <s v="9000935"/>
    <n v="600014"/>
    <s v="Rental Revenues-Taxable"/>
    <s v="Eliminations-PE @ SE"/>
    <x v="0"/>
    <m/>
    <n v="0"/>
    <n v="0"/>
    <n v="0"/>
    <n v="0"/>
    <n v="0"/>
    <n v="0"/>
    <n v="0"/>
    <n v="0"/>
    <n v="0"/>
    <n v="0"/>
    <n v="0"/>
    <n v="-1187.46"/>
    <n v="-1187.46"/>
    <n v="4162.8599999999997"/>
  </r>
  <r>
    <x v="14"/>
    <x v="26"/>
    <x v="0"/>
    <s v="9000935"/>
    <n v="600026"/>
    <s v="POB Rental"/>
    <s v="Eliminations-PE @ SE"/>
    <x v="0"/>
    <n v="1001"/>
    <n v="0"/>
    <n v="0"/>
    <n v="0"/>
    <n v="0"/>
    <n v="0"/>
    <n v="0"/>
    <n v="0"/>
    <n v="0"/>
    <n v="0"/>
    <n v="0"/>
    <n v="0"/>
    <n v="-29844.54"/>
    <n v="-29844.54"/>
    <n v="11262.5"/>
  </r>
  <r>
    <x v="14"/>
    <x v="26"/>
    <x v="0"/>
    <s v="9000935"/>
    <n v="600026"/>
    <s v="Other Rental"/>
    <s v="Eliminations-PE @ SE"/>
    <x v="0"/>
    <n v="1002"/>
    <n v="0"/>
    <n v="0"/>
    <n v="0"/>
    <n v="0"/>
    <n v="0"/>
    <n v="0"/>
    <n v="0"/>
    <n v="0"/>
    <n v="0"/>
    <n v="0"/>
    <n v="0"/>
    <n v="-10966.25"/>
    <n v="-10966.25"/>
    <n v="44473.23"/>
  </r>
  <r>
    <x v="14"/>
    <x v="26"/>
    <x v="0"/>
    <s v="9000935"/>
    <n v="600034"/>
    <s v="Vending Commission"/>
    <s v="Eliminations-PE @ SE"/>
    <x v="0"/>
    <n v="1002"/>
    <n v="0"/>
    <n v="0"/>
    <n v="0"/>
    <n v="0"/>
    <n v="0"/>
    <n v="0"/>
    <n v="0"/>
    <n v="0"/>
    <n v="0"/>
    <n v="0"/>
    <n v="0"/>
    <n v="-380.83"/>
    <n v="-380.83"/>
    <n v="8.07"/>
  </r>
  <r>
    <x v="14"/>
    <x v="26"/>
    <x v="0"/>
    <s v="9000935"/>
    <n v="600050"/>
    <s v="Miscellaneous Revenue"/>
    <s v="Eliminations-PE @ SE"/>
    <x v="0"/>
    <m/>
    <n v="0"/>
    <n v="0"/>
    <n v="0"/>
    <n v="0"/>
    <n v="0"/>
    <n v="0"/>
    <n v="0"/>
    <n v="0"/>
    <n v="0"/>
    <n v="0"/>
    <n v="0"/>
    <n v="-193926.25"/>
    <n v="-193926.25"/>
    <n v="-228925.1"/>
  </r>
  <r>
    <x v="14"/>
    <x v="26"/>
    <x v="0"/>
    <s v="9000935"/>
    <n v="600055"/>
    <s v="Grants"/>
    <s v="Eliminations-PE @ SE"/>
    <x v="0"/>
    <m/>
    <n v="0"/>
    <n v="0"/>
    <n v="0"/>
    <n v="0"/>
    <n v="0"/>
    <n v="0"/>
    <n v="0"/>
    <n v="0"/>
    <n v="0"/>
    <n v="0"/>
    <n v="0"/>
    <n v="-4162.8599999999997"/>
    <n v="-4162.8599999999997"/>
    <n v="-182.92"/>
  </r>
  <r>
    <x v="14"/>
    <x v="26"/>
    <x v="0"/>
    <s v="9000935"/>
    <n v="600059"/>
    <s v="Meaningful Use Revenue-Medicaid"/>
    <s v="Eliminations-PE @ SE"/>
    <x v="0"/>
    <m/>
    <n v="0"/>
    <n v="0"/>
    <n v="0"/>
    <n v="0"/>
    <n v="0"/>
    <n v="0"/>
    <n v="0"/>
    <n v="0"/>
    <n v="0"/>
    <n v="0"/>
    <n v="0"/>
    <n v="-11262.5"/>
    <n v="-11262.5"/>
    <n v="-214753.95"/>
  </r>
  <r>
    <x v="14"/>
    <x v="26"/>
    <x v="0"/>
    <s v="9000935"/>
    <n v="600061"/>
    <s v="Federal Grant Revenue"/>
    <s v="Eliminations-PE @ SE"/>
    <x v="0"/>
    <m/>
    <n v="0"/>
    <n v="0"/>
    <n v="0"/>
    <n v="0"/>
    <n v="0"/>
    <n v="0"/>
    <n v="0"/>
    <n v="0"/>
    <n v="0"/>
    <n v="0"/>
    <n v="0"/>
    <n v="-44473.23"/>
    <n v="-44473.23"/>
    <n v="-23.07"/>
  </r>
  <r>
    <x v="20"/>
    <x v="26"/>
    <x v="0"/>
    <s v="9000935"/>
    <n v="610010"/>
    <s v="Foundation Distributions"/>
    <s v="Eliminations-PE @ SE"/>
    <x v="0"/>
    <n v="1175"/>
    <n v="0"/>
    <n v="0"/>
    <n v="0"/>
    <n v="0"/>
    <n v="0"/>
    <n v="0"/>
    <n v="0"/>
    <n v="0"/>
    <n v="0"/>
    <n v="0"/>
    <n v="0"/>
    <n v="-8.07"/>
    <n v="-8.07"/>
    <n v="-21597.35"/>
  </r>
  <r>
    <x v="5"/>
    <x v="26"/>
    <x v="0"/>
    <s v="9000935"/>
    <n v="700014"/>
    <s v="Salaries-Management-Productive"/>
    <s v="Eliminations-PE @ SE"/>
    <x v="0"/>
    <m/>
    <n v="0"/>
    <n v="0"/>
    <n v="0"/>
    <n v="0"/>
    <n v="0"/>
    <n v="0"/>
    <n v="0"/>
    <n v="0"/>
    <n v="0"/>
    <n v="0"/>
    <n v="0"/>
    <n v="228925.1"/>
    <n v="228925.1"/>
    <n v="-1413.2"/>
  </r>
  <r>
    <x v="5"/>
    <x v="26"/>
    <x v="0"/>
    <s v="9000935"/>
    <n v="700014"/>
    <s v="Salaries-Management-Other"/>
    <s v="Eliminations-PE @ SE"/>
    <x v="0"/>
    <n v="2000"/>
    <n v="0"/>
    <n v="0"/>
    <n v="0"/>
    <n v="0"/>
    <n v="0"/>
    <n v="0"/>
    <n v="0"/>
    <n v="0"/>
    <n v="0"/>
    <n v="0"/>
    <n v="0"/>
    <n v="182.92"/>
    <n v="182.92"/>
    <n v="-5853246.9400000004"/>
  </r>
  <r>
    <x v="5"/>
    <x v="26"/>
    <x v="0"/>
    <s v="9000935"/>
    <n v="700018"/>
    <s v="Salaries-Supervisory-Productive"/>
    <s v="Eliminations-PE @ SE"/>
    <x v="0"/>
    <m/>
    <n v="0"/>
    <n v="0"/>
    <n v="0"/>
    <n v="0"/>
    <n v="0"/>
    <n v="0"/>
    <n v="0"/>
    <n v="0"/>
    <n v="0"/>
    <n v="0"/>
    <n v="0"/>
    <n v="214753.95"/>
    <n v="214753.95"/>
    <n v="-375217.55"/>
  </r>
  <r>
    <x v="5"/>
    <x v="26"/>
    <x v="0"/>
    <s v="9000935"/>
    <n v="700018"/>
    <s v="Salaries-Supervisory-Other"/>
    <s v="Eliminations-PE @ SE"/>
    <x v="0"/>
    <n v="2000"/>
    <n v="0"/>
    <n v="0"/>
    <n v="0"/>
    <n v="0"/>
    <n v="0"/>
    <n v="0"/>
    <n v="0"/>
    <n v="0"/>
    <n v="0"/>
    <n v="0"/>
    <n v="0"/>
    <n v="23.07"/>
    <n v="23.07"/>
    <n v="-31021.81"/>
  </r>
  <r>
    <x v="5"/>
    <x v="26"/>
    <x v="0"/>
    <s v="9000935"/>
    <n v="700020"/>
    <s v="Salaries-Physician Admin-Productive"/>
    <s v="Eliminations-PE @ SE"/>
    <x v="0"/>
    <m/>
    <n v="0"/>
    <n v="0"/>
    <n v="0"/>
    <n v="0"/>
    <n v="0"/>
    <n v="0"/>
    <n v="0"/>
    <n v="0"/>
    <n v="0"/>
    <n v="0"/>
    <n v="0"/>
    <n v="21597.35"/>
    <n v="21597.35"/>
    <n v="-1010198.35"/>
  </r>
  <r>
    <x v="5"/>
    <x v="26"/>
    <x v="0"/>
    <s v="9000935"/>
    <n v="700020"/>
    <s v="Salaries-Physician Admin-Other"/>
    <s v="Eliminations-PE @ SE"/>
    <x v="0"/>
    <n v="2000"/>
    <n v="0"/>
    <n v="0"/>
    <n v="0"/>
    <n v="0"/>
    <n v="0"/>
    <n v="0"/>
    <n v="0"/>
    <n v="0"/>
    <n v="0"/>
    <n v="0"/>
    <n v="0"/>
    <n v="1413.2"/>
    <n v="1413.2"/>
    <n v="-176517.21"/>
  </r>
  <r>
    <x v="5"/>
    <x v="26"/>
    <x v="0"/>
    <s v="9000935"/>
    <n v="700022"/>
    <s v="Salaries-Physician-Productive"/>
    <s v="Eliminations-PE @ SE"/>
    <x v="0"/>
    <m/>
    <n v="0"/>
    <n v="0"/>
    <n v="0"/>
    <n v="0"/>
    <n v="0"/>
    <n v="0"/>
    <n v="0"/>
    <n v="0"/>
    <n v="0"/>
    <n v="0"/>
    <n v="0"/>
    <n v="5853246.9400000004"/>
    <n v="5853246.9400000004"/>
    <n v="-49815.1"/>
  </r>
  <r>
    <x v="5"/>
    <x v="26"/>
    <x v="0"/>
    <s v="9000935"/>
    <n v="700022"/>
    <s v="Salaries-Physician-Other"/>
    <s v="Eliminations-PE @ SE"/>
    <x v="0"/>
    <n v="2000"/>
    <n v="0"/>
    <n v="0"/>
    <n v="0"/>
    <n v="0"/>
    <n v="0"/>
    <n v="0"/>
    <n v="0"/>
    <n v="0"/>
    <n v="0"/>
    <n v="0"/>
    <n v="0"/>
    <n v="375217.55"/>
    <n v="375217.55"/>
    <n v="-485760.13"/>
  </r>
  <r>
    <x v="5"/>
    <x v="26"/>
    <x v="0"/>
    <s v="9000935"/>
    <n v="700022"/>
    <s v="Salaries-Physician-Provider Incentive"/>
    <s v="Eliminations-PE @ SE"/>
    <x v="0"/>
    <n v="4003"/>
    <n v="0"/>
    <n v="0"/>
    <n v="0"/>
    <n v="0"/>
    <n v="0"/>
    <n v="0"/>
    <n v="0"/>
    <n v="0"/>
    <n v="0"/>
    <n v="0"/>
    <n v="0"/>
    <n v="31021.81"/>
    <n v="31021.81"/>
    <n v="-21340.85"/>
  </r>
  <r>
    <x v="5"/>
    <x v="26"/>
    <x v="0"/>
    <s v="9000935"/>
    <n v="700024"/>
    <s v="Salaries-Advanced Practice Clinician-Productive"/>
    <s v="Eliminations-PE @ SE"/>
    <x v="0"/>
    <m/>
    <n v="0"/>
    <n v="0"/>
    <n v="0"/>
    <n v="0"/>
    <n v="0"/>
    <n v="0"/>
    <n v="0"/>
    <n v="0"/>
    <n v="0"/>
    <n v="0"/>
    <n v="0"/>
    <n v="1010198.35"/>
    <n v="1010198.35"/>
    <n v="-4264.1499999999996"/>
  </r>
  <r>
    <x v="5"/>
    <x v="26"/>
    <x v="0"/>
    <s v="9000935"/>
    <n v="700024"/>
    <s v="Salaries-Advanced Practice Clinician-Other"/>
    <s v="Eliminations-PE @ SE"/>
    <x v="0"/>
    <n v="2000"/>
    <n v="0"/>
    <n v="0"/>
    <n v="0"/>
    <n v="0"/>
    <n v="0"/>
    <n v="0"/>
    <n v="0"/>
    <n v="0"/>
    <n v="0"/>
    <n v="0"/>
    <n v="0"/>
    <n v="176517.21"/>
    <n v="176517.21"/>
    <n v="-548706.42000000004"/>
  </r>
  <r>
    <x v="5"/>
    <x v="26"/>
    <x v="0"/>
    <s v="9000935"/>
    <n v="700024"/>
    <s v="Salaries-Advanced Practice Clinician-Provider Incentive"/>
    <s v="Eliminations-PE @ SE"/>
    <x v="0"/>
    <n v="4003"/>
    <n v="0"/>
    <n v="0"/>
    <n v="0"/>
    <n v="0"/>
    <n v="0"/>
    <n v="0"/>
    <n v="0"/>
    <n v="0"/>
    <n v="0"/>
    <n v="0"/>
    <n v="0"/>
    <n v="49815.1"/>
    <n v="49815.1"/>
    <n v="-44602.53"/>
  </r>
  <r>
    <x v="5"/>
    <x v="26"/>
    <x v="0"/>
    <s v="9000935"/>
    <n v="700026"/>
    <s v="Salaries-RN-Productive"/>
    <s v="Eliminations-PE @ SE"/>
    <x v="0"/>
    <m/>
    <n v="0"/>
    <n v="0"/>
    <n v="0"/>
    <n v="0"/>
    <n v="0"/>
    <n v="0"/>
    <n v="0"/>
    <n v="0"/>
    <n v="0"/>
    <n v="0"/>
    <n v="0"/>
    <n v="485760.13"/>
    <n v="485760.13"/>
    <n v="-4379.4399999999996"/>
  </r>
  <r>
    <x v="5"/>
    <x v="26"/>
    <x v="0"/>
    <s v="9000935"/>
    <n v="700026"/>
    <s v="Salaries-RN-OT"/>
    <s v="Eliminations-PE @ SE"/>
    <x v="0"/>
    <n v="1000"/>
    <n v="0"/>
    <n v="0"/>
    <n v="0"/>
    <n v="0"/>
    <n v="0"/>
    <n v="0"/>
    <n v="0"/>
    <n v="0"/>
    <n v="0"/>
    <n v="0"/>
    <n v="0"/>
    <n v="21340.85"/>
    <n v="21340.85"/>
    <n v="-609813.29"/>
  </r>
  <r>
    <x v="5"/>
    <x v="26"/>
    <x v="0"/>
    <s v="9000935"/>
    <n v="700026"/>
    <s v="Salaries-RN-Other"/>
    <s v="Eliminations-PE @ SE"/>
    <x v="0"/>
    <n v="2000"/>
    <n v="0"/>
    <n v="0"/>
    <n v="0"/>
    <n v="0"/>
    <n v="0"/>
    <n v="0"/>
    <n v="0"/>
    <n v="0"/>
    <n v="0"/>
    <n v="0"/>
    <n v="0"/>
    <n v="4264.1499999999996"/>
    <n v="4264.1499999999996"/>
    <n v="-18237.52"/>
  </r>
  <r>
    <x v="5"/>
    <x v="26"/>
    <x v="0"/>
    <s v="9000935"/>
    <n v="700030"/>
    <s v="Salaries-LPN-Productive"/>
    <s v="Eliminations-PE @ SE"/>
    <x v="0"/>
    <m/>
    <n v="0"/>
    <n v="0"/>
    <n v="0"/>
    <n v="0"/>
    <n v="0"/>
    <n v="0"/>
    <n v="0"/>
    <n v="0"/>
    <n v="0"/>
    <n v="0"/>
    <n v="0"/>
    <n v="548706.42000000004"/>
    <n v="548706.42000000004"/>
    <n v="-1635.2"/>
  </r>
  <r>
    <x v="5"/>
    <x v="26"/>
    <x v="0"/>
    <s v="9000935"/>
    <n v="700030"/>
    <s v="Salaries-LPN-OT"/>
    <s v="Eliminations-PE @ SE"/>
    <x v="0"/>
    <n v="1000"/>
    <n v="0"/>
    <n v="0"/>
    <n v="0"/>
    <n v="0"/>
    <n v="0"/>
    <n v="0"/>
    <n v="0"/>
    <n v="0"/>
    <n v="0"/>
    <n v="0"/>
    <n v="0"/>
    <n v="44602.53"/>
    <n v="44602.53"/>
    <n v="-190957.93"/>
  </r>
  <r>
    <x v="5"/>
    <x v="26"/>
    <x v="0"/>
    <s v="9000935"/>
    <n v="700030"/>
    <s v="Salaries-LPN-Other"/>
    <s v="Eliminations-PE @ SE"/>
    <x v="0"/>
    <n v="2000"/>
    <n v="0"/>
    <n v="0"/>
    <n v="0"/>
    <n v="0"/>
    <n v="0"/>
    <n v="0"/>
    <n v="0"/>
    <n v="0"/>
    <n v="0"/>
    <n v="0"/>
    <n v="0"/>
    <n v="4379.4399999999996"/>
    <n v="4379.4399999999996"/>
    <n v="-799.82"/>
  </r>
  <r>
    <x v="5"/>
    <x v="26"/>
    <x v="0"/>
    <s v="9000935"/>
    <n v="700032"/>
    <s v="Salaries-Other Pat Care Providers-Productive"/>
    <s v="Eliminations-PE @ SE"/>
    <x v="0"/>
    <m/>
    <n v="0"/>
    <n v="0"/>
    <n v="0"/>
    <n v="0"/>
    <n v="0"/>
    <n v="0"/>
    <n v="0"/>
    <n v="0"/>
    <n v="0"/>
    <n v="0"/>
    <n v="0"/>
    <n v="609813.29"/>
    <n v="609813.29"/>
    <n v="-164.29"/>
  </r>
  <r>
    <x v="5"/>
    <x v="26"/>
    <x v="0"/>
    <s v="9000935"/>
    <n v="700032"/>
    <s v="Salaries-Other Pat Care Providers-OT"/>
    <s v="Eliminations-PE @ SE"/>
    <x v="0"/>
    <n v="1000"/>
    <n v="0"/>
    <n v="0"/>
    <n v="0"/>
    <n v="0"/>
    <n v="0"/>
    <n v="0"/>
    <n v="0"/>
    <n v="0"/>
    <n v="0"/>
    <n v="0"/>
    <n v="0"/>
    <n v="18237.52"/>
    <n v="18237.52"/>
    <n v="-1177014.22"/>
  </r>
  <r>
    <x v="5"/>
    <x v="26"/>
    <x v="0"/>
    <s v="9000935"/>
    <n v="700032"/>
    <s v="Salaries-Other Pat Care Providers-Other"/>
    <s v="Eliminations-PE @ SE"/>
    <x v="0"/>
    <n v="2000"/>
    <n v="0"/>
    <n v="0"/>
    <n v="0"/>
    <n v="0"/>
    <n v="0"/>
    <n v="0"/>
    <n v="0"/>
    <n v="0"/>
    <n v="0"/>
    <n v="0"/>
    <n v="0"/>
    <n v="1635.2"/>
    <n v="1635.2"/>
    <n v="-23569.5"/>
  </r>
  <r>
    <x v="5"/>
    <x v="26"/>
    <x v="0"/>
    <s v="9000935"/>
    <n v="700034"/>
    <s v="Salaries-Tech/Professional-Productive"/>
    <s v="Eliminations-PE @ SE"/>
    <x v="0"/>
    <m/>
    <n v="0"/>
    <n v="0"/>
    <n v="0"/>
    <n v="0"/>
    <n v="0"/>
    <n v="0"/>
    <n v="0"/>
    <n v="0"/>
    <n v="0"/>
    <n v="0"/>
    <n v="0"/>
    <n v="190957.93"/>
    <n v="190957.93"/>
    <n v="-5067.83"/>
  </r>
  <r>
    <x v="5"/>
    <x v="26"/>
    <x v="0"/>
    <s v="9000935"/>
    <n v="700034"/>
    <s v="Salaries-Tech/Professional-OT"/>
    <s v="Eliminations-PE @ SE"/>
    <x v="0"/>
    <n v="1000"/>
    <n v="0"/>
    <n v="0"/>
    <n v="0"/>
    <n v="0"/>
    <n v="0"/>
    <n v="0"/>
    <n v="0"/>
    <n v="0"/>
    <n v="0"/>
    <n v="0"/>
    <n v="0"/>
    <n v="799.82"/>
    <n v="799.82"/>
    <n v="-24498.13"/>
  </r>
  <r>
    <x v="5"/>
    <x v="26"/>
    <x v="0"/>
    <s v="9000935"/>
    <n v="700034"/>
    <s v="Salaries-Tech/Professional-Other"/>
    <s v="Eliminations-PE @ SE"/>
    <x v="0"/>
    <n v="2000"/>
    <n v="0"/>
    <n v="0"/>
    <n v="0"/>
    <n v="0"/>
    <n v="0"/>
    <n v="0"/>
    <n v="0"/>
    <n v="0"/>
    <n v="0"/>
    <n v="0"/>
    <n v="0"/>
    <n v="164.29"/>
    <n v="164.29"/>
    <n v="-8.85"/>
  </r>
  <r>
    <x v="5"/>
    <x v="26"/>
    <x v="0"/>
    <s v="9000935"/>
    <n v="700038"/>
    <s v="Salaries-Service/Support-Productive"/>
    <s v="Eliminations-PE @ SE"/>
    <x v="0"/>
    <m/>
    <n v="0"/>
    <n v="0"/>
    <n v="0"/>
    <n v="0"/>
    <n v="0"/>
    <n v="0"/>
    <n v="0"/>
    <n v="0"/>
    <n v="0"/>
    <n v="0"/>
    <n v="0"/>
    <n v="1177014.22"/>
    <n v="1177014.22"/>
    <n v="-30760.560000000001"/>
  </r>
  <r>
    <x v="5"/>
    <x v="26"/>
    <x v="0"/>
    <s v="9000935"/>
    <n v="700038"/>
    <s v="Salaries-Service/Support-OT"/>
    <s v="Eliminations-PE @ SE"/>
    <x v="0"/>
    <n v="1000"/>
    <n v="0"/>
    <n v="0"/>
    <n v="0"/>
    <n v="0"/>
    <n v="0"/>
    <n v="0"/>
    <n v="0"/>
    <n v="0"/>
    <n v="0"/>
    <n v="0"/>
    <n v="0"/>
    <n v="23569.5"/>
    <n v="23569.5"/>
    <n v="-491303.69"/>
  </r>
  <r>
    <x v="5"/>
    <x v="26"/>
    <x v="0"/>
    <s v="9000935"/>
    <n v="700038"/>
    <s v="Salaries-Service/Support-Other"/>
    <s v="Eliminations-PE @ SE"/>
    <x v="0"/>
    <n v="2000"/>
    <n v="0"/>
    <n v="0"/>
    <n v="0"/>
    <n v="0"/>
    <n v="0"/>
    <n v="0"/>
    <n v="0"/>
    <n v="0"/>
    <n v="0"/>
    <n v="0"/>
    <n v="0"/>
    <n v="5067.83"/>
    <n v="5067.83"/>
    <n v="-137593.13"/>
  </r>
  <r>
    <x v="5"/>
    <x v="26"/>
    <x v="0"/>
    <s v="9000935"/>
    <n v="700054"/>
    <s v="Salaries-Management-Non-productive"/>
    <s v="Eliminations-PE @ SE"/>
    <x v="0"/>
    <m/>
    <n v="0"/>
    <n v="0"/>
    <n v="0"/>
    <n v="0"/>
    <n v="0"/>
    <n v="0"/>
    <n v="0"/>
    <n v="0"/>
    <n v="0"/>
    <n v="0"/>
    <n v="0"/>
    <n v="24498.13"/>
    <n v="24498.13"/>
    <n v="980.63"/>
  </r>
  <r>
    <x v="5"/>
    <x v="26"/>
    <x v="0"/>
    <s v="9000935"/>
    <n v="700054"/>
    <s v="Salaries-Management-NonProd-Other"/>
    <s v="Eliminations-PE @ SE"/>
    <x v="0"/>
    <n v="2000"/>
    <n v="0"/>
    <n v="0"/>
    <n v="0"/>
    <n v="0"/>
    <n v="0"/>
    <n v="0"/>
    <n v="0"/>
    <n v="0"/>
    <n v="0"/>
    <n v="0"/>
    <n v="0"/>
    <n v="8.85"/>
    <n v="8.85"/>
    <n v="-39594.18"/>
  </r>
  <r>
    <x v="5"/>
    <x v="26"/>
    <x v="0"/>
    <s v="9000935"/>
    <n v="700058"/>
    <s v="Salaries-Supervisory-Non-productive"/>
    <s v="Eliminations-PE @ SE"/>
    <x v="0"/>
    <m/>
    <n v="0"/>
    <n v="0"/>
    <n v="0"/>
    <n v="0"/>
    <n v="0"/>
    <n v="0"/>
    <n v="0"/>
    <n v="0"/>
    <n v="0"/>
    <n v="0"/>
    <n v="0"/>
    <n v="30760.560000000001"/>
    <n v="30760.560000000001"/>
    <n v="-2.2000000000000002"/>
  </r>
  <r>
    <x v="5"/>
    <x v="26"/>
    <x v="0"/>
    <s v="9000935"/>
    <n v="700062"/>
    <s v="Salaries-Physician-Non-productive"/>
    <s v="Eliminations-PE @ SE"/>
    <x v="0"/>
    <m/>
    <n v="0"/>
    <n v="0"/>
    <n v="0"/>
    <n v="0"/>
    <n v="0"/>
    <n v="0"/>
    <n v="0"/>
    <n v="0"/>
    <n v="0"/>
    <n v="0"/>
    <n v="0"/>
    <n v="491303.69"/>
    <n v="491303.69"/>
    <n v="-83044.44"/>
  </r>
  <r>
    <x v="5"/>
    <x v="26"/>
    <x v="0"/>
    <s v="9000935"/>
    <n v="700064"/>
    <s v="Salaries-Advanced Practice Clinician-Non-Productive"/>
    <s v="Eliminations-PE @ SE"/>
    <x v="0"/>
    <m/>
    <n v="0"/>
    <n v="0"/>
    <n v="0"/>
    <n v="0"/>
    <n v="0"/>
    <n v="0"/>
    <n v="0"/>
    <n v="0"/>
    <n v="0"/>
    <n v="0"/>
    <n v="0"/>
    <n v="137593.13"/>
    <n v="137593.13"/>
    <n v="-91997.09"/>
  </r>
  <r>
    <x v="5"/>
    <x v="26"/>
    <x v="0"/>
    <s v="9000935"/>
    <n v="700064"/>
    <s v="Salaries-Advanced Practice Clinician-Non-Prod-Other"/>
    <s v="Eliminations-PE @ SE"/>
    <x v="0"/>
    <n v="2000"/>
    <n v="0"/>
    <n v="0"/>
    <n v="0"/>
    <n v="0"/>
    <n v="0"/>
    <n v="0"/>
    <n v="0"/>
    <n v="0"/>
    <n v="0"/>
    <n v="0"/>
    <n v="0"/>
    <n v="-980.63"/>
    <n v="-980.63"/>
    <n v="-56.15"/>
  </r>
  <r>
    <x v="5"/>
    <x v="26"/>
    <x v="0"/>
    <s v="9000935"/>
    <n v="700066"/>
    <s v="Salaries-RN-Non-productive"/>
    <s v="Eliminations-PE @ SE"/>
    <x v="0"/>
    <m/>
    <n v="0"/>
    <n v="0"/>
    <n v="0"/>
    <n v="0"/>
    <n v="0"/>
    <n v="0"/>
    <n v="0"/>
    <n v="0"/>
    <n v="0"/>
    <n v="0"/>
    <n v="0"/>
    <n v="39594.18"/>
    <n v="39594.18"/>
    <n v="-27121.599999999999"/>
  </r>
  <r>
    <x v="5"/>
    <x v="26"/>
    <x v="0"/>
    <s v="9000935"/>
    <n v="700066"/>
    <s v="Salaries-RN-NonProd-Other"/>
    <s v="Eliminations-PE @ SE"/>
    <x v="0"/>
    <n v="2000"/>
    <n v="0"/>
    <n v="0"/>
    <n v="0"/>
    <n v="0"/>
    <n v="0"/>
    <n v="0"/>
    <n v="0"/>
    <n v="0"/>
    <n v="0"/>
    <n v="0"/>
    <n v="0"/>
    <n v="2.2000000000000002"/>
    <n v="2.2000000000000002"/>
    <n v="0.32"/>
  </r>
  <r>
    <x v="5"/>
    <x v="26"/>
    <x v="0"/>
    <s v="9000935"/>
    <n v="700070"/>
    <s v="Salaries-LPN-Non-productive"/>
    <s v="Eliminations-PE @ SE"/>
    <x v="0"/>
    <m/>
    <n v="0"/>
    <n v="0"/>
    <n v="0"/>
    <n v="0"/>
    <n v="0"/>
    <n v="0"/>
    <n v="0"/>
    <n v="0"/>
    <n v="0"/>
    <n v="0"/>
    <n v="0"/>
    <n v="83044.44"/>
    <n v="83044.44"/>
    <n v="-187304.73"/>
  </r>
  <r>
    <x v="5"/>
    <x v="26"/>
    <x v="0"/>
    <s v="9000935"/>
    <n v="700072"/>
    <s v="Salaries-Other Pat Care Providers-Non-productive"/>
    <s v="Eliminations-PE @ SE"/>
    <x v="0"/>
    <m/>
    <n v="0"/>
    <n v="0"/>
    <n v="0"/>
    <n v="0"/>
    <n v="0"/>
    <n v="0"/>
    <n v="0"/>
    <n v="0"/>
    <n v="0"/>
    <n v="0"/>
    <n v="0"/>
    <n v="91997.09"/>
    <n v="91997.09"/>
    <n v="-0.24"/>
  </r>
  <r>
    <x v="5"/>
    <x v="26"/>
    <x v="0"/>
    <s v="9000935"/>
    <n v="700072"/>
    <s v="Salaries-Other Pat Care Providers-NonProd-Other"/>
    <s v="Eliminations-PE @ SE"/>
    <x v="0"/>
    <n v="2000"/>
    <n v="0"/>
    <n v="0"/>
    <n v="0"/>
    <n v="0"/>
    <n v="0"/>
    <n v="0"/>
    <n v="0"/>
    <n v="0"/>
    <n v="0"/>
    <n v="0"/>
    <n v="0"/>
    <n v="56.15"/>
    <n v="56.15"/>
    <n v="-26304.59"/>
  </r>
  <r>
    <x v="5"/>
    <x v="26"/>
    <x v="0"/>
    <s v="9000935"/>
    <n v="700074"/>
    <s v="Salaries-Tech/Professional-Non-productive"/>
    <s v="Eliminations-PE @ SE"/>
    <x v="0"/>
    <m/>
    <n v="0"/>
    <n v="0"/>
    <n v="0"/>
    <n v="0"/>
    <n v="0"/>
    <n v="0"/>
    <n v="0"/>
    <n v="0"/>
    <n v="0"/>
    <n v="0"/>
    <n v="0"/>
    <n v="27121.599999999999"/>
    <n v="27121.599999999999"/>
    <n v="-28415.65"/>
  </r>
  <r>
    <x v="5"/>
    <x v="26"/>
    <x v="0"/>
    <s v="9000935"/>
    <n v="700074"/>
    <s v="Salaries-Tech/Professional-NonProd-Other"/>
    <s v="Eliminations-PE @ SE"/>
    <x v="0"/>
    <n v="2000"/>
    <n v="0"/>
    <n v="0"/>
    <n v="0"/>
    <n v="0"/>
    <n v="0"/>
    <n v="0"/>
    <n v="0"/>
    <n v="0"/>
    <n v="0"/>
    <n v="0"/>
    <n v="0"/>
    <n v="-0.32"/>
    <n v="-0.32"/>
    <n v="-15444.31"/>
  </r>
  <r>
    <x v="5"/>
    <x v="26"/>
    <x v="0"/>
    <s v="9000935"/>
    <n v="700078"/>
    <s v="Salaries-Service/Support-Non-productive"/>
    <s v="Eliminations-PE @ SE"/>
    <x v="0"/>
    <m/>
    <n v="0"/>
    <n v="0"/>
    <n v="0"/>
    <n v="0"/>
    <n v="0"/>
    <n v="0"/>
    <n v="0"/>
    <n v="0"/>
    <n v="0"/>
    <n v="0"/>
    <n v="0"/>
    <n v="187304.73"/>
    <n v="187304.73"/>
    <n v="-654932.53"/>
  </r>
  <r>
    <x v="5"/>
    <x v="26"/>
    <x v="0"/>
    <s v="9000935"/>
    <n v="700078"/>
    <s v="Salaries-Service/Support-NonProd-Other"/>
    <s v="Eliminations-PE @ SE"/>
    <x v="0"/>
    <n v="2000"/>
    <n v="0"/>
    <n v="0"/>
    <n v="0"/>
    <n v="0"/>
    <n v="0"/>
    <n v="0"/>
    <n v="0"/>
    <n v="0"/>
    <n v="0"/>
    <n v="0"/>
    <n v="0"/>
    <n v="0.24"/>
    <n v="0.24"/>
    <n v="-1174513.22"/>
  </r>
  <r>
    <x v="5"/>
    <x v="26"/>
    <x v="0"/>
    <s v="9000935"/>
    <n v="700084"/>
    <s v="Accrued PTO"/>
    <s v="Eliminations-PE @ SE"/>
    <x v="0"/>
    <m/>
    <n v="0"/>
    <n v="0"/>
    <n v="0"/>
    <n v="0"/>
    <n v="0"/>
    <n v="0"/>
    <n v="0"/>
    <n v="0"/>
    <n v="0"/>
    <n v="0"/>
    <n v="0"/>
    <n v="26304.59"/>
    <n v="26304.59"/>
    <n v="-329811.25"/>
  </r>
  <r>
    <x v="10"/>
    <x v="26"/>
    <x v="0"/>
    <s v="9000935"/>
    <n v="710040"/>
    <s v="Contract Labor-Physician (Locum Tenum)"/>
    <s v="Eliminations-PE @ SE"/>
    <x v="0"/>
    <m/>
    <n v="0"/>
    <n v="0"/>
    <n v="0"/>
    <n v="0"/>
    <n v="0"/>
    <n v="0"/>
    <n v="0"/>
    <n v="0"/>
    <n v="0"/>
    <n v="0"/>
    <n v="0"/>
    <n v="28415.65"/>
    <n v="28415.65"/>
    <n v="-126095.35"/>
  </r>
  <r>
    <x v="10"/>
    <x v="26"/>
    <x v="0"/>
    <s v="9000935"/>
    <n v="710060"/>
    <s v="Contract Labor-Other"/>
    <s v="Eliminations-PE @ SE"/>
    <x v="0"/>
    <m/>
    <n v="0"/>
    <n v="0"/>
    <n v="0"/>
    <n v="0"/>
    <n v="0"/>
    <n v="0"/>
    <n v="0"/>
    <n v="0"/>
    <n v="0"/>
    <n v="0"/>
    <n v="0"/>
    <n v="15444.31"/>
    <n v="15444.31"/>
    <n v="-60.5"/>
  </r>
  <r>
    <x v="6"/>
    <x v="26"/>
    <x v="0"/>
    <s v="9000935"/>
    <n v="713010"/>
    <s v="Benefits-FICA/Medicare"/>
    <s v="Eliminations-PE @ SE"/>
    <x v="0"/>
    <m/>
    <n v="0"/>
    <n v="0"/>
    <n v="0"/>
    <n v="0"/>
    <n v="0"/>
    <n v="0"/>
    <n v="0"/>
    <n v="0"/>
    <n v="0"/>
    <n v="0"/>
    <n v="0"/>
    <n v="654932.53"/>
    <n v="654932.53"/>
    <n v="-2283.06"/>
  </r>
  <r>
    <x v="6"/>
    <x v="26"/>
    <x v="0"/>
    <s v="9000935"/>
    <n v="713090"/>
    <s v="Benefits-Allocated Amounts"/>
    <s v="Eliminations-PE @ SE"/>
    <x v="0"/>
    <m/>
    <n v="0"/>
    <n v="0"/>
    <n v="0"/>
    <n v="0"/>
    <n v="0"/>
    <n v="0"/>
    <n v="0"/>
    <n v="0"/>
    <n v="0"/>
    <n v="0"/>
    <n v="0"/>
    <n v="1174513.22"/>
    <n v="1174513.22"/>
    <n v="-1821.38"/>
  </r>
  <r>
    <x v="6"/>
    <x v="26"/>
    <x v="0"/>
    <s v="9000935"/>
    <n v="713092"/>
    <s v="Allocated Benefits-Physician"/>
    <s v="Eliminations-PE @ SE"/>
    <x v="0"/>
    <m/>
    <n v="0"/>
    <n v="0"/>
    <n v="0"/>
    <n v="0"/>
    <n v="0"/>
    <n v="0"/>
    <n v="0"/>
    <n v="0"/>
    <n v="0"/>
    <n v="0"/>
    <n v="0"/>
    <n v="329811.25"/>
    <n v="329811.25"/>
    <n v="-514.15"/>
  </r>
  <r>
    <x v="6"/>
    <x v="26"/>
    <x v="0"/>
    <s v="9000935"/>
    <n v="713093"/>
    <s v="Allocated Benefits-Advanced Practice Clinician"/>
    <s v="Eliminations-PE @ SE"/>
    <x v="0"/>
    <m/>
    <n v="0"/>
    <n v="0"/>
    <n v="0"/>
    <n v="0"/>
    <n v="0"/>
    <n v="0"/>
    <n v="0"/>
    <n v="0"/>
    <n v="0"/>
    <n v="0"/>
    <n v="0"/>
    <n v="126095.35"/>
    <n v="126095.35"/>
    <n v="-7369.46"/>
  </r>
  <r>
    <x v="6"/>
    <x v="26"/>
    <x v="0"/>
    <s v="9000935"/>
    <n v="713096"/>
    <s v="Benefits-Other"/>
    <s v="Eliminations-PE @ SE"/>
    <x v="0"/>
    <m/>
    <n v="0"/>
    <n v="0"/>
    <n v="0"/>
    <n v="0"/>
    <n v="0"/>
    <n v="0"/>
    <n v="0"/>
    <n v="0"/>
    <n v="0"/>
    <n v="0"/>
    <n v="0"/>
    <n v="60.5"/>
    <n v="60.5"/>
    <n v="-1034.1400000000001"/>
  </r>
  <r>
    <x v="6"/>
    <x v="26"/>
    <x v="0"/>
    <s v="9000935"/>
    <n v="713096"/>
    <s v="Employee Recognition"/>
    <s v="Eliminations-PE @ SE"/>
    <x v="0"/>
    <n v="1017"/>
    <n v="0"/>
    <n v="0"/>
    <n v="0"/>
    <n v="0"/>
    <n v="0"/>
    <n v="0"/>
    <n v="0"/>
    <n v="0"/>
    <n v="0"/>
    <n v="0"/>
    <n v="0"/>
    <n v="2283.06"/>
    <n v="2283.06"/>
    <n v="-13736.1"/>
  </r>
  <r>
    <x v="21"/>
    <x v="26"/>
    <x v="0"/>
    <s v="9000935"/>
    <n v="716026"/>
    <s v="Consulting-Clinical"/>
    <s v="Eliminations-PE @ SE"/>
    <x v="0"/>
    <m/>
    <n v="0"/>
    <n v="0"/>
    <n v="0"/>
    <n v="0"/>
    <n v="0"/>
    <n v="0"/>
    <n v="0"/>
    <n v="0"/>
    <n v="0"/>
    <n v="0"/>
    <n v="0"/>
    <n v="1821.38"/>
    <n v="1821.38"/>
    <n v="-990.5"/>
  </r>
  <r>
    <x v="7"/>
    <x v="26"/>
    <x v="0"/>
    <s v="9000935"/>
    <n v="716038"/>
    <s v="Contract Services-Legal"/>
    <s v="Eliminations-PE @ SE"/>
    <x v="0"/>
    <m/>
    <n v="0"/>
    <n v="0"/>
    <n v="0"/>
    <n v="0"/>
    <n v="0"/>
    <n v="0"/>
    <n v="0"/>
    <n v="0"/>
    <n v="0"/>
    <n v="0"/>
    <n v="0"/>
    <n v="514.15"/>
    <n v="514.15"/>
    <n v="-66868.81"/>
  </r>
  <r>
    <x v="21"/>
    <x v="26"/>
    <x v="0"/>
    <s v="9000935"/>
    <n v="716046"/>
    <s v="Consulting-Other"/>
    <s v="Eliminations-PE @ SE"/>
    <x v="0"/>
    <m/>
    <n v="0"/>
    <n v="0"/>
    <n v="0"/>
    <n v="0"/>
    <n v="0"/>
    <n v="0"/>
    <n v="0"/>
    <n v="0"/>
    <n v="0"/>
    <n v="0"/>
    <n v="0"/>
    <n v="7369.46"/>
    <n v="7369.46"/>
    <n v="-656.57"/>
  </r>
  <r>
    <x v="7"/>
    <x v="26"/>
    <x v="0"/>
    <s v="9000935"/>
    <n v="718010"/>
    <s v="Contract Services-Advertising &amp; Public Relations"/>
    <s v="Eliminations-PE @ SE"/>
    <x v="0"/>
    <m/>
    <n v="0"/>
    <n v="0"/>
    <n v="0"/>
    <n v="0"/>
    <n v="0"/>
    <n v="0"/>
    <n v="0"/>
    <n v="0"/>
    <n v="0"/>
    <n v="0"/>
    <n v="0"/>
    <n v="1034.1400000000001"/>
    <n v="1034.1400000000001"/>
    <n v="-153.91"/>
  </r>
  <r>
    <x v="7"/>
    <x v="26"/>
    <x v="0"/>
    <s v="9000935"/>
    <n v="718010"/>
    <s v="Media/Print Advertising"/>
    <s v="Eliminations-PE @ SE"/>
    <x v="0"/>
    <n v="1004"/>
    <n v="0"/>
    <n v="0"/>
    <n v="0"/>
    <n v="0"/>
    <n v="0"/>
    <n v="0"/>
    <n v="0"/>
    <n v="0"/>
    <n v="0"/>
    <n v="0"/>
    <n v="0"/>
    <n v="13736.1"/>
    <n v="13736.1"/>
    <n v="-39106.93"/>
  </r>
  <r>
    <x v="7"/>
    <x v="26"/>
    <x v="0"/>
    <s v="9000935"/>
    <n v="718040"/>
    <s v="Contract Svcs-Laboratory"/>
    <s v="Eliminations-PE @ SE"/>
    <x v="0"/>
    <m/>
    <n v="0"/>
    <n v="0"/>
    <n v="0"/>
    <n v="0"/>
    <n v="0"/>
    <n v="0"/>
    <n v="0"/>
    <n v="0"/>
    <n v="0"/>
    <n v="0"/>
    <n v="0"/>
    <n v="990.5"/>
    <n v="990.5"/>
    <n v="-14895.49"/>
  </r>
  <r>
    <x v="7"/>
    <x v="26"/>
    <x v="0"/>
    <s v="9000935"/>
    <n v="718050"/>
    <s v="Contract Svcs-Other"/>
    <s v="Eliminations-PE @ SE"/>
    <x v="0"/>
    <m/>
    <n v="0"/>
    <n v="0"/>
    <n v="0"/>
    <n v="0"/>
    <n v="0"/>
    <n v="0"/>
    <n v="0"/>
    <n v="0"/>
    <n v="0"/>
    <n v="0"/>
    <n v="0"/>
    <n v="66868.81"/>
    <n v="66868.81"/>
    <n v="-21791.53"/>
  </r>
  <r>
    <x v="7"/>
    <x v="26"/>
    <x v="0"/>
    <s v="9000935"/>
    <n v="718050"/>
    <s v="Management Fees"/>
    <s v="Eliminations-PE @ SE"/>
    <x v="0"/>
    <n v="1004"/>
    <n v="0"/>
    <n v="0"/>
    <n v="0"/>
    <n v="0"/>
    <n v="0"/>
    <n v="0"/>
    <n v="0"/>
    <n v="0"/>
    <n v="0"/>
    <n v="0"/>
    <n v="0"/>
    <n v="656.57"/>
    <n v="656.57"/>
    <n v="-3079.5"/>
  </r>
  <r>
    <x v="7"/>
    <x v="26"/>
    <x v="0"/>
    <s v="9000935"/>
    <n v="718050"/>
    <s v="Transcription"/>
    <s v="Eliminations-PE @ SE"/>
    <x v="0"/>
    <n v="1006"/>
    <n v="0"/>
    <n v="0"/>
    <n v="0"/>
    <n v="0"/>
    <n v="0"/>
    <n v="0"/>
    <n v="0"/>
    <n v="0"/>
    <n v="0"/>
    <n v="0"/>
    <n v="0"/>
    <n v="153.91"/>
    <n v="153.91"/>
    <n v="-11372.58"/>
  </r>
  <r>
    <x v="7"/>
    <x v="26"/>
    <x v="0"/>
    <s v="9000935"/>
    <n v="718050"/>
    <s v="Cleaning Services"/>
    <s v="Eliminations-PE @ SE"/>
    <x v="0"/>
    <n v="1011"/>
    <n v="0"/>
    <n v="0"/>
    <n v="0"/>
    <n v="0"/>
    <n v="0"/>
    <n v="0"/>
    <n v="0"/>
    <n v="0"/>
    <n v="0"/>
    <n v="0"/>
    <n v="0"/>
    <n v="39106.93"/>
    <n v="39106.93"/>
    <n v="-10610.29"/>
  </r>
  <r>
    <x v="7"/>
    <x v="26"/>
    <x v="0"/>
    <s v="9000935"/>
    <n v="718050"/>
    <s v="Document Shredding/Storage"/>
    <s v="Eliminations-PE @ SE"/>
    <x v="0"/>
    <n v="1012"/>
    <n v="0"/>
    <n v="0"/>
    <n v="0"/>
    <n v="0"/>
    <n v="0"/>
    <n v="0"/>
    <n v="0"/>
    <n v="0"/>
    <n v="0"/>
    <n v="0"/>
    <n v="0"/>
    <n v="14895.49"/>
    <n v="14895.49"/>
    <n v="-21023.83"/>
  </r>
  <r>
    <x v="7"/>
    <x v="26"/>
    <x v="0"/>
    <s v="9000935"/>
    <n v="718050"/>
    <s v="Physician Answering"/>
    <s v="Eliminations-PE @ SE"/>
    <x v="0"/>
    <n v="1015"/>
    <n v="0"/>
    <n v="0"/>
    <n v="0"/>
    <n v="0"/>
    <n v="0"/>
    <n v="0"/>
    <n v="0"/>
    <n v="0"/>
    <n v="0"/>
    <n v="0"/>
    <n v="0"/>
    <n v="21791.53"/>
    <n v="21791.53"/>
    <n v="-10812.2"/>
  </r>
  <r>
    <x v="7"/>
    <x v="26"/>
    <x v="0"/>
    <s v="9000935"/>
    <n v="718050"/>
    <s v="Security"/>
    <s v="Eliminations-PE @ SE"/>
    <x v="0"/>
    <n v="1019"/>
    <n v="0"/>
    <n v="0"/>
    <n v="0"/>
    <n v="0"/>
    <n v="0"/>
    <n v="0"/>
    <n v="0"/>
    <n v="0"/>
    <n v="0"/>
    <n v="0"/>
    <n v="0"/>
    <n v="3079.5"/>
    <n v="3079.5"/>
    <n v="-885.79"/>
  </r>
  <r>
    <x v="7"/>
    <x v="26"/>
    <x v="0"/>
    <s v="9000935"/>
    <n v="718050"/>
    <s v="Miscellaneous Purchased Svcs"/>
    <s v="Eliminations-PE @ SE"/>
    <x v="0"/>
    <n v="1020"/>
    <n v="0"/>
    <n v="0"/>
    <n v="0"/>
    <n v="0"/>
    <n v="0"/>
    <n v="0"/>
    <n v="0"/>
    <n v="0"/>
    <n v="0"/>
    <n v="0"/>
    <n v="0"/>
    <n v="11372.58"/>
    <n v="11372.58"/>
    <n v="-1005.92"/>
  </r>
  <r>
    <x v="7"/>
    <x v="26"/>
    <x v="0"/>
    <s v="9000935"/>
    <n v="718050"/>
    <s v="Translation Services"/>
    <s v="Eliminations-PE @ SE"/>
    <x v="0"/>
    <n v="1025"/>
    <n v="0"/>
    <n v="0"/>
    <n v="0"/>
    <n v="0"/>
    <n v="0"/>
    <n v="0"/>
    <n v="0"/>
    <n v="0"/>
    <n v="0"/>
    <n v="0"/>
    <n v="0"/>
    <n v="10610.29"/>
    <n v="10610.29"/>
    <n v="-84542.83"/>
  </r>
  <r>
    <x v="7"/>
    <x v="26"/>
    <x v="0"/>
    <s v="9000935"/>
    <n v="718050"/>
    <s v="Contract Management--Linen"/>
    <s v="Eliminations-PE @ SE"/>
    <x v="0"/>
    <n v="1026"/>
    <n v="0"/>
    <n v="0"/>
    <n v="0"/>
    <n v="0"/>
    <n v="0"/>
    <n v="0"/>
    <n v="0"/>
    <n v="0"/>
    <n v="0"/>
    <n v="0"/>
    <n v="0"/>
    <n v="21023.83"/>
    <n v="21023.83"/>
    <n v="-4704.8999999999996"/>
  </r>
  <r>
    <x v="7"/>
    <x v="26"/>
    <x v="0"/>
    <s v="9000935"/>
    <n v="718050"/>
    <s v="Purchased Srvcs--Medical Waste"/>
    <s v="Eliminations-PE @ SE"/>
    <x v="0"/>
    <n v="1027"/>
    <n v="0"/>
    <n v="0"/>
    <n v="0"/>
    <n v="0"/>
    <n v="0"/>
    <n v="0"/>
    <n v="0"/>
    <n v="0"/>
    <n v="0"/>
    <n v="0"/>
    <n v="0"/>
    <n v="10812.2"/>
    <n v="10812.2"/>
    <n v="-7211.56"/>
  </r>
  <r>
    <x v="7"/>
    <x v="26"/>
    <x v="0"/>
    <s v="9000935"/>
    <n v="718050"/>
    <s v="Contract Services-Food&amp;Catering"/>
    <s v="Eliminations-PE @ SE"/>
    <x v="0"/>
    <n v="1030"/>
    <n v="0"/>
    <n v="0"/>
    <n v="0"/>
    <n v="0"/>
    <n v="0"/>
    <n v="0"/>
    <n v="0"/>
    <n v="0"/>
    <n v="0"/>
    <n v="0"/>
    <n v="0"/>
    <n v="885.79"/>
    <n v="885.79"/>
    <n v="-303.63"/>
  </r>
  <r>
    <x v="7"/>
    <x v="26"/>
    <x v="0"/>
    <s v="9000935"/>
    <n v="718059"/>
    <s v="Contract Services-Physician Revenue Cycle Fees"/>
    <s v="Eliminations-PE @ SE"/>
    <x v="0"/>
    <m/>
    <n v="0"/>
    <n v="0"/>
    <n v="0"/>
    <n v="0"/>
    <n v="0"/>
    <n v="0"/>
    <n v="0"/>
    <n v="0"/>
    <n v="0"/>
    <n v="0"/>
    <n v="0"/>
    <n v="1005.92"/>
    <n v="1005.92"/>
    <n v="-30674.89"/>
  </r>
  <r>
    <x v="7"/>
    <x v="26"/>
    <x v="0"/>
    <s v="9000935"/>
    <n v="718060"/>
    <s v="Contract Services-CHI RRC Fees"/>
    <s v="Eliminations-PE @ SE"/>
    <x v="0"/>
    <m/>
    <n v="0"/>
    <n v="0"/>
    <n v="0"/>
    <n v="0"/>
    <n v="0"/>
    <n v="0"/>
    <n v="0"/>
    <n v="0"/>
    <n v="0"/>
    <n v="0"/>
    <n v="0"/>
    <n v="84542.83"/>
    <n v="84542.83"/>
    <n v="-51.11"/>
  </r>
  <r>
    <x v="7"/>
    <x v="26"/>
    <x v="0"/>
    <s v="9000935"/>
    <n v="718061"/>
    <s v="Contract Services-CRO Allocation"/>
    <s v="Eliminations-PE @ SE"/>
    <x v="0"/>
    <m/>
    <n v="0"/>
    <n v="0"/>
    <n v="0"/>
    <n v="0"/>
    <n v="0"/>
    <n v="0"/>
    <n v="0"/>
    <n v="0"/>
    <n v="0"/>
    <n v="0"/>
    <n v="0"/>
    <n v="4704.8999999999996"/>
    <n v="4704.8999999999996"/>
    <n v="-293034.59999999998"/>
  </r>
  <r>
    <x v="7"/>
    <x v="26"/>
    <x v="0"/>
    <s v="9000935"/>
    <n v="718065"/>
    <s v="Contract Services-CHI Legal Fees"/>
    <s v="Eliminations-PE @ SE"/>
    <x v="0"/>
    <m/>
    <n v="0"/>
    <n v="0"/>
    <n v="0"/>
    <n v="0"/>
    <n v="0"/>
    <n v="0"/>
    <n v="0"/>
    <n v="0"/>
    <n v="0"/>
    <n v="0"/>
    <n v="0"/>
    <n v="7211.56"/>
    <n v="7211.56"/>
    <n v="-4006.13"/>
  </r>
  <r>
    <x v="7"/>
    <x v="26"/>
    <x v="0"/>
    <s v="9000935"/>
    <n v="718066"/>
    <s v="Contract Services-CHI Tax Services"/>
    <s v="Eliminations-PE @ SE"/>
    <x v="0"/>
    <m/>
    <n v="0"/>
    <n v="0"/>
    <n v="0"/>
    <n v="0"/>
    <n v="0"/>
    <n v="0"/>
    <n v="0"/>
    <n v="0"/>
    <n v="0"/>
    <n v="0"/>
    <n v="0"/>
    <n v="303.63"/>
    <n v="303.63"/>
    <n v="-124073.47"/>
  </r>
  <r>
    <x v="7"/>
    <x v="26"/>
    <x v="0"/>
    <s v="9000935"/>
    <n v="718070"/>
    <s v="Contract Srvcs-CHI Clinical Engineering"/>
    <s v="Eliminations-PE @ SE"/>
    <x v="0"/>
    <m/>
    <n v="0"/>
    <n v="0"/>
    <n v="0"/>
    <n v="0"/>
    <n v="0"/>
    <n v="0"/>
    <n v="0"/>
    <n v="0"/>
    <n v="0"/>
    <n v="0"/>
    <n v="0"/>
    <n v="30674.89"/>
    <n v="30674.89"/>
    <n v="-237520.01"/>
  </r>
  <r>
    <x v="7"/>
    <x v="26"/>
    <x v="0"/>
    <s v="9000935"/>
    <n v="718071"/>
    <s v="Contract Srvcs-CHI Facilities Mgmt"/>
    <s v="Eliminations-PE @ SE"/>
    <x v="0"/>
    <m/>
    <n v="0"/>
    <n v="0"/>
    <n v="0"/>
    <n v="0"/>
    <n v="0"/>
    <n v="0"/>
    <n v="0"/>
    <n v="0"/>
    <n v="0"/>
    <n v="0"/>
    <n v="0"/>
    <n v="51.11"/>
    <n v="51.11"/>
    <n v="-2505.12"/>
  </r>
  <r>
    <x v="7"/>
    <x v="26"/>
    <x v="0"/>
    <s v="9000935"/>
    <n v="718075"/>
    <s v="Contract Srvcs-CHI ITS Steady State"/>
    <s v="Eliminations-PE @ SE"/>
    <x v="0"/>
    <m/>
    <n v="0"/>
    <n v="0"/>
    <n v="0"/>
    <n v="0"/>
    <n v="0"/>
    <n v="0"/>
    <n v="0"/>
    <n v="0"/>
    <n v="0"/>
    <n v="0"/>
    <n v="0"/>
    <n v="293034.59999999998"/>
    <n v="293034.59999999998"/>
    <n v="-340387.61"/>
  </r>
  <r>
    <x v="7"/>
    <x v="26"/>
    <x v="0"/>
    <s v="9000935"/>
    <n v="718077"/>
    <s v="PACS"/>
    <s v="Eliminations-PE @ SE"/>
    <x v="0"/>
    <n v="1000"/>
    <n v="0"/>
    <n v="0"/>
    <n v="0"/>
    <n v="0"/>
    <n v="0"/>
    <n v="0"/>
    <n v="0"/>
    <n v="0"/>
    <n v="0"/>
    <n v="0"/>
    <n v="0"/>
    <n v="4006.13"/>
    <n v="4006.13"/>
    <n v="-154746.35"/>
  </r>
  <r>
    <x v="7"/>
    <x v="26"/>
    <x v="0"/>
    <s v="9000935"/>
    <n v="718091"/>
    <s v="Contract Services-Intracompany Allocation"/>
    <s v="Eliminations-PE @ SE"/>
    <x v="0"/>
    <m/>
    <n v="0"/>
    <n v="0"/>
    <n v="0"/>
    <n v="0"/>
    <n v="0"/>
    <n v="0"/>
    <n v="0"/>
    <n v="0"/>
    <n v="0"/>
    <n v="0"/>
    <n v="0"/>
    <n v="124073.47"/>
    <n v="124073.47"/>
    <n v="-75.459999999999994"/>
  </r>
  <r>
    <x v="11"/>
    <x v="26"/>
    <x v="0"/>
    <s v="9000935"/>
    <n v="721010"/>
    <s v="Supplies-Medical - Billable"/>
    <s v="Eliminations-PE @ SE"/>
    <x v="0"/>
    <m/>
    <n v="0"/>
    <n v="0"/>
    <n v="0"/>
    <n v="0"/>
    <n v="0"/>
    <n v="0"/>
    <n v="0"/>
    <n v="0"/>
    <n v="0"/>
    <n v="0"/>
    <n v="0"/>
    <n v="237520.01"/>
    <n v="237520.01"/>
    <n v="-11.25"/>
  </r>
  <r>
    <x v="11"/>
    <x v="26"/>
    <x v="0"/>
    <s v="9000935"/>
    <n v="721020"/>
    <s v="Endomechanical Supplies &amp; Instruments"/>
    <s v="Eliminations-PE @ SE"/>
    <x v="0"/>
    <n v="1003"/>
    <n v="0"/>
    <n v="0"/>
    <n v="0"/>
    <n v="0"/>
    <n v="0"/>
    <n v="0"/>
    <n v="0"/>
    <n v="0"/>
    <n v="0"/>
    <n v="0"/>
    <n v="0"/>
    <n v="2505.12"/>
    <n v="2505.12"/>
    <n v="-4338.51"/>
  </r>
  <r>
    <x v="11"/>
    <x v="26"/>
    <x v="0"/>
    <s v="9000935"/>
    <n v="721250"/>
    <s v="Supplies-Pharmacy Drugs - Billable"/>
    <s v="Eliminations-PE @ SE"/>
    <x v="0"/>
    <m/>
    <n v="0"/>
    <n v="0"/>
    <n v="0"/>
    <n v="0"/>
    <n v="0"/>
    <n v="0"/>
    <n v="0"/>
    <n v="0"/>
    <n v="0"/>
    <n v="0"/>
    <n v="0"/>
    <n v="340387.61"/>
    <n v="340387.61"/>
    <n v="-39087.629999999997"/>
  </r>
  <r>
    <x v="11"/>
    <x v="26"/>
    <x v="0"/>
    <s v="9000935"/>
    <n v="721410"/>
    <s v="Supplies-Medical - Nonbillable"/>
    <s v="Eliminations-PE @ SE"/>
    <x v="0"/>
    <m/>
    <n v="0"/>
    <n v="0"/>
    <n v="0"/>
    <n v="0"/>
    <n v="0"/>
    <n v="0"/>
    <n v="0"/>
    <n v="0"/>
    <n v="0"/>
    <n v="0"/>
    <n v="0"/>
    <n v="154746.35"/>
    <n v="154746.35"/>
    <n v="-753.28"/>
  </r>
  <r>
    <x v="11"/>
    <x v="26"/>
    <x v="0"/>
    <s v="9000935"/>
    <n v="721420"/>
    <s v="Supplies-Surgical Nonbillable"/>
    <s v="Eliminations-PE @ SE"/>
    <x v="0"/>
    <m/>
    <n v="0"/>
    <n v="0"/>
    <n v="0"/>
    <n v="0"/>
    <n v="0"/>
    <n v="0"/>
    <n v="0"/>
    <n v="0"/>
    <n v="0"/>
    <n v="0"/>
    <n v="0"/>
    <n v="75.459999999999994"/>
    <n v="75.459999999999994"/>
    <n v="-1804.86"/>
  </r>
  <r>
    <x v="11"/>
    <x v="26"/>
    <x v="0"/>
    <s v="9000935"/>
    <n v="721750"/>
    <s v="Supplies-Film/Radiographic - Nonbillable"/>
    <s v="Eliminations-PE @ SE"/>
    <x v="0"/>
    <m/>
    <n v="0"/>
    <n v="0"/>
    <n v="0"/>
    <n v="0"/>
    <n v="0"/>
    <n v="0"/>
    <n v="0"/>
    <n v="0"/>
    <n v="0"/>
    <n v="0"/>
    <n v="0"/>
    <n v="11.25"/>
    <n v="11.25"/>
    <n v="-3.14"/>
  </r>
  <r>
    <x v="11"/>
    <x v="26"/>
    <x v="0"/>
    <s v="9000935"/>
    <n v="721810"/>
    <s v="Supplies-Dietary/Cafeteria"/>
    <s v="Eliminations-PE @ SE"/>
    <x v="0"/>
    <m/>
    <n v="0"/>
    <n v="0"/>
    <n v="0"/>
    <n v="0"/>
    <n v="0"/>
    <n v="0"/>
    <n v="0"/>
    <n v="0"/>
    <n v="0"/>
    <n v="0"/>
    <n v="0"/>
    <n v="4338.51"/>
    <n v="4338.51"/>
    <n v="-4255.49"/>
  </r>
  <r>
    <x v="11"/>
    <x v="26"/>
    <x v="0"/>
    <s v="9000935"/>
    <n v="721830"/>
    <s v="Supplies-Office"/>
    <s v="Eliminations-PE @ SE"/>
    <x v="0"/>
    <m/>
    <n v="0"/>
    <n v="0"/>
    <n v="0"/>
    <n v="0"/>
    <n v="0"/>
    <n v="0"/>
    <n v="0"/>
    <n v="0"/>
    <n v="0"/>
    <n v="0"/>
    <n v="0"/>
    <n v="39087.629999999997"/>
    <n v="39087.629999999997"/>
    <n v="-2309.88"/>
  </r>
  <r>
    <x v="11"/>
    <x v="26"/>
    <x v="0"/>
    <s v="9000935"/>
    <n v="721835"/>
    <s v="Supplies-Forms"/>
    <s v="Eliminations-PE @ SE"/>
    <x v="0"/>
    <m/>
    <n v="0"/>
    <n v="0"/>
    <n v="0"/>
    <n v="0"/>
    <n v="0"/>
    <n v="0"/>
    <n v="0"/>
    <n v="0"/>
    <n v="0"/>
    <n v="0"/>
    <n v="0"/>
    <n v="753.28"/>
    <n v="753.28"/>
    <n v="-1076.5899999999999"/>
  </r>
  <r>
    <x v="11"/>
    <x v="26"/>
    <x v="0"/>
    <s v="9000935"/>
    <n v="721870"/>
    <s v="Supplies-Environmental Services"/>
    <s v="Eliminations-PE @ SE"/>
    <x v="0"/>
    <m/>
    <n v="0"/>
    <n v="0"/>
    <n v="0"/>
    <n v="0"/>
    <n v="0"/>
    <n v="0"/>
    <n v="0"/>
    <n v="0"/>
    <n v="0"/>
    <n v="0"/>
    <n v="0"/>
    <n v="1804.86"/>
    <n v="1804.86"/>
    <n v="8059.99"/>
  </r>
  <r>
    <x v="11"/>
    <x v="26"/>
    <x v="0"/>
    <s v="9000935"/>
    <n v="721880"/>
    <s v="Supplies-Linen"/>
    <s v="Eliminations-PE @ SE"/>
    <x v="0"/>
    <m/>
    <n v="0"/>
    <n v="0"/>
    <n v="0"/>
    <n v="0"/>
    <n v="0"/>
    <n v="0"/>
    <n v="0"/>
    <n v="0"/>
    <n v="0"/>
    <n v="0"/>
    <n v="0"/>
    <n v="3.14"/>
    <n v="3.14"/>
    <n v="129.65"/>
  </r>
  <r>
    <x v="11"/>
    <x v="26"/>
    <x v="0"/>
    <s v="9000935"/>
    <n v="721910"/>
    <s v="Supplies-Small Equipment"/>
    <s v="Eliminations-PE @ SE"/>
    <x v="0"/>
    <m/>
    <n v="0"/>
    <n v="0"/>
    <n v="0"/>
    <n v="0"/>
    <n v="0"/>
    <n v="0"/>
    <n v="0"/>
    <n v="0"/>
    <n v="0"/>
    <n v="0"/>
    <n v="0"/>
    <n v="4255.49"/>
    <n v="4255.49"/>
    <n v="37.39"/>
  </r>
  <r>
    <x v="11"/>
    <x v="26"/>
    <x v="0"/>
    <s v="9000935"/>
    <n v="721980"/>
    <s v="Supplies-Other"/>
    <s v="Eliminations-PE @ SE"/>
    <x v="0"/>
    <m/>
    <n v="0"/>
    <n v="0"/>
    <n v="0"/>
    <n v="0"/>
    <n v="0"/>
    <n v="0"/>
    <n v="0"/>
    <n v="0"/>
    <n v="0"/>
    <n v="0"/>
    <n v="0"/>
    <n v="2309.88"/>
    <n v="2309.88"/>
    <n v="-970269.38"/>
  </r>
  <r>
    <x v="11"/>
    <x v="26"/>
    <x v="0"/>
    <s v="9000935"/>
    <n v="722000"/>
    <s v="Supplies-Freight Expense"/>
    <s v="Eliminations-PE @ SE"/>
    <x v="0"/>
    <m/>
    <n v="0"/>
    <n v="0"/>
    <n v="0"/>
    <n v="0"/>
    <n v="0"/>
    <n v="0"/>
    <n v="0"/>
    <n v="0"/>
    <n v="0"/>
    <n v="0"/>
    <n v="0"/>
    <n v="1076.5899999999999"/>
    <n v="1076.5899999999999"/>
    <n v="-268560.36"/>
  </r>
  <r>
    <x v="11"/>
    <x v="26"/>
    <x v="0"/>
    <s v="9000935"/>
    <n v="723000"/>
    <s v="Supply Rebates/Patronage Dividend"/>
    <s v="Eliminations-PE @ SE"/>
    <x v="0"/>
    <m/>
    <n v="0"/>
    <n v="0"/>
    <n v="0"/>
    <n v="0"/>
    <n v="0"/>
    <n v="0"/>
    <n v="0"/>
    <n v="0"/>
    <n v="0"/>
    <n v="0"/>
    <n v="0"/>
    <n v="-8059.99"/>
    <n v="-8059.99"/>
    <n v="-139.53"/>
  </r>
  <r>
    <x v="11"/>
    <x v="26"/>
    <x v="0"/>
    <s v="9000935"/>
    <n v="723500"/>
    <s v="Discounts Taken *"/>
    <s v="Eliminations-PE @ SE"/>
    <x v="0"/>
    <m/>
    <n v="0"/>
    <n v="0"/>
    <n v="0"/>
    <n v="0"/>
    <n v="0"/>
    <n v="0"/>
    <n v="0"/>
    <n v="0"/>
    <n v="0"/>
    <n v="0"/>
    <n v="0"/>
    <n v="-129.65"/>
    <n v="-129.65"/>
    <n v="-38845.29"/>
  </r>
  <r>
    <x v="11"/>
    <x v="26"/>
    <x v="0"/>
    <s v="9000935"/>
    <n v="724000"/>
    <s v="Item Cost Variance Suspense *"/>
    <s v="Eliminations-PE @ SE"/>
    <x v="0"/>
    <m/>
    <n v="0"/>
    <n v="0"/>
    <n v="0"/>
    <n v="0"/>
    <n v="0"/>
    <n v="0"/>
    <n v="0"/>
    <n v="0"/>
    <n v="0"/>
    <n v="0"/>
    <n v="0"/>
    <n v="-37.39"/>
    <n v="-37.39"/>
    <n v="-102158.51"/>
  </r>
  <r>
    <x v="12"/>
    <x v="26"/>
    <x v="0"/>
    <s v="9000935"/>
    <n v="730010"/>
    <s v="Rental and Leases-Building (DO NOT USE)"/>
    <s v="Eliminations-PE @ SE"/>
    <x v="0"/>
    <m/>
    <n v="0"/>
    <n v="0"/>
    <n v="0"/>
    <n v="0"/>
    <n v="0"/>
    <n v="0"/>
    <n v="0"/>
    <n v="0"/>
    <n v="0"/>
    <n v="0"/>
    <n v="0"/>
    <n v="970269.38"/>
    <n v="970269.38"/>
    <n v="-2390.71"/>
  </r>
  <r>
    <x v="12"/>
    <x v="26"/>
    <x v="0"/>
    <s v="9000935"/>
    <n v="730010"/>
    <s v="Rental-Common Area Maint (DO NOT USE)"/>
    <s v="Eliminations-PE @ SE"/>
    <x v="0"/>
    <n v="2200"/>
    <n v="0"/>
    <n v="0"/>
    <n v="0"/>
    <n v="0"/>
    <n v="0"/>
    <n v="0"/>
    <n v="0"/>
    <n v="0"/>
    <n v="0"/>
    <n v="0"/>
    <n v="0"/>
    <n v="268560.36"/>
    <n v="268560.36"/>
    <n v="-53347.040000000001"/>
  </r>
  <r>
    <x v="12"/>
    <x v="26"/>
    <x v="0"/>
    <s v="9000935"/>
    <n v="730020"/>
    <s v="Rental and Leases-Equipment (DO NOT USE)"/>
    <s v="Eliminations-PE @ SE"/>
    <x v="0"/>
    <m/>
    <n v="0"/>
    <n v="0"/>
    <n v="0"/>
    <n v="0"/>
    <n v="0"/>
    <n v="0"/>
    <n v="0"/>
    <n v="0"/>
    <n v="0"/>
    <n v="0"/>
    <n v="0"/>
    <n v="139.53"/>
    <n v="139.53"/>
    <n v="-3265.06"/>
  </r>
  <r>
    <x v="12"/>
    <x v="26"/>
    <x v="0"/>
    <s v="9000935"/>
    <n v="730020"/>
    <s v="Rental and Leases-Copier Usage Fees (DO NOT USE)"/>
    <s v="Eliminations-PE @ SE"/>
    <x v="0"/>
    <n v="5100"/>
    <n v="0"/>
    <n v="0"/>
    <n v="0"/>
    <n v="0"/>
    <n v="0"/>
    <n v="0"/>
    <n v="0"/>
    <n v="0"/>
    <n v="0"/>
    <n v="0"/>
    <n v="0"/>
    <n v="38845.29"/>
    <n v="38845.29"/>
    <n v="-5886.18"/>
  </r>
  <r>
    <x v="12"/>
    <x v="26"/>
    <x v="0"/>
    <s v="9000935"/>
    <n v="730040"/>
    <s v="LT Lease-Real Estate"/>
    <s v="Eliminations-PE @ SE"/>
    <x v="0"/>
    <m/>
    <n v="0"/>
    <n v="0"/>
    <n v="0"/>
    <n v="0"/>
    <n v="0"/>
    <n v="0"/>
    <n v="0"/>
    <n v="0"/>
    <n v="0"/>
    <n v="0"/>
    <n v="0"/>
    <n v="102158.51"/>
    <n v="102158.51"/>
    <n v="-14319.53"/>
  </r>
  <r>
    <x v="15"/>
    <x v="26"/>
    <x v="0"/>
    <s v="9000935"/>
    <n v="731010"/>
    <s v="Natural Gas"/>
    <s v="Eliminations-PE @ SE"/>
    <x v="0"/>
    <m/>
    <n v="0"/>
    <n v="0"/>
    <n v="0"/>
    <n v="0"/>
    <n v="0"/>
    <n v="0"/>
    <n v="0"/>
    <n v="0"/>
    <n v="0"/>
    <n v="0"/>
    <n v="0"/>
    <n v="2390.71"/>
    <n v="2390.71"/>
    <n v="-25010.639999999999"/>
  </r>
  <r>
    <x v="15"/>
    <x v="26"/>
    <x v="0"/>
    <s v="9000935"/>
    <n v="731020"/>
    <s v="Electricity"/>
    <s v="Eliminations-PE @ SE"/>
    <x v="0"/>
    <m/>
    <n v="0"/>
    <n v="0"/>
    <n v="0"/>
    <n v="0"/>
    <n v="0"/>
    <n v="0"/>
    <n v="0"/>
    <n v="0"/>
    <n v="0"/>
    <n v="0"/>
    <n v="0"/>
    <n v="53347.040000000001"/>
    <n v="53347.040000000001"/>
    <n v="-579.88"/>
  </r>
  <r>
    <x v="15"/>
    <x v="26"/>
    <x v="0"/>
    <s v="9000935"/>
    <n v="731030"/>
    <s v="Water"/>
    <s v="Eliminations-PE @ SE"/>
    <x v="0"/>
    <m/>
    <n v="0"/>
    <n v="0"/>
    <n v="0"/>
    <n v="0"/>
    <n v="0"/>
    <n v="0"/>
    <n v="0"/>
    <n v="0"/>
    <n v="0"/>
    <n v="0"/>
    <n v="0"/>
    <n v="3265.06"/>
    <n v="3265.06"/>
    <n v="-591.4"/>
  </r>
  <r>
    <x v="15"/>
    <x v="26"/>
    <x v="0"/>
    <s v="9000935"/>
    <n v="731040"/>
    <s v="Sewer"/>
    <s v="Eliminations-PE @ SE"/>
    <x v="0"/>
    <m/>
    <n v="0"/>
    <n v="0"/>
    <n v="0"/>
    <n v="0"/>
    <n v="0"/>
    <n v="0"/>
    <n v="0"/>
    <n v="0"/>
    <n v="0"/>
    <n v="0"/>
    <n v="0"/>
    <n v="5886.18"/>
    <n v="5886.18"/>
    <n v="-204.32"/>
  </r>
  <r>
    <x v="15"/>
    <x v="26"/>
    <x v="0"/>
    <s v="9000935"/>
    <n v="731050"/>
    <s v="Refuse Disposal"/>
    <s v="Eliminations-PE @ SE"/>
    <x v="0"/>
    <m/>
    <n v="0"/>
    <n v="0"/>
    <n v="0"/>
    <n v="0"/>
    <n v="0"/>
    <n v="0"/>
    <n v="0"/>
    <n v="0"/>
    <n v="0"/>
    <n v="0"/>
    <n v="0"/>
    <n v="14319.53"/>
    <n v="14319.53"/>
    <n v="-2604.36"/>
  </r>
  <r>
    <x v="15"/>
    <x v="26"/>
    <x v="0"/>
    <s v="9000935"/>
    <n v="731060"/>
    <s v="Telephone"/>
    <s v="Eliminations-PE @ SE"/>
    <x v="0"/>
    <m/>
    <n v="0"/>
    <n v="0"/>
    <n v="0"/>
    <n v="0"/>
    <n v="0"/>
    <n v="0"/>
    <n v="0"/>
    <n v="0"/>
    <n v="0"/>
    <n v="0"/>
    <n v="0"/>
    <n v="25010.639999999999"/>
    <n v="25010.639999999999"/>
    <n v="-584.54"/>
  </r>
  <r>
    <x v="15"/>
    <x v="26"/>
    <x v="0"/>
    <s v="9000935"/>
    <n v="731060"/>
    <s v="Cell Phones"/>
    <s v="Eliminations-PE @ SE"/>
    <x v="0"/>
    <n v="1001"/>
    <n v="0"/>
    <n v="0"/>
    <n v="0"/>
    <n v="0"/>
    <n v="0"/>
    <n v="0"/>
    <n v="0"/>
    <n v="0"/>
    <n v="0"/>
    <n v="0"/>
    <n v="0"/>
    <n v="579.88"/>
    <n v="579.88"/>
    <n v="-10261.42"/>
  </r>
  <r>
    <x v="15"/>
    <x v="26"/>
    <x v="0"/>
    <s v="9000935"/>
    <n v="731060"/>
    <s v="Pagers"/>
    <s v="Eliminations-PE @ SE"/>
    <x v="0"/>
    <n v="1002"/>
    <n v="0"/>
    <n v="0"/>
    <n v="0"/>
    <n v="0"/>
    <n v="0"/>
    <n v="0"/>
    <n v="0"/>
    <n v="0"/>
    <n v="0"/>
    <n v="0"/>
    <n v="0"/>
    <n v="591.4"/>
    <n v="591.4"/>
    <n v="-57.37"/>
  </r>
  <r>
    <x v="15"/>
    <x v="26"/>
    <x v="0"/>
    <s v="9000935"/>
    <n v="731065"/>
    <s v="Data Communications"/>
    <s v="Eliminations-PE @ SE"/>
    <x v="0"/>
    <m/>
    <n v="0"/>
    <n v="0"/>
    <n v="0"/>
    <n v="0"/>
    <n v="0"/>
    <n v="0"/>
    <n v="0"/>
    <n v="0"/>
    <n v="0"/>
    <n v="0"/>
    <n v="0"/>
    <n v="204.32"/>
    <n v="204.32"/>
    <n v="-3114.26"/>
  </r>
  <r>
    <x v="15"/>
    <x v="26"/>
    <x v="0"/>
    <s v="9000935"/>
    <n v="731070"/>
    <s v="Cable TV"/>
    <s v="Eliminations-PE @ SE"/>
    <x v="0"/>
    <m/>
    <n v="0"/>
    <n v="0"/>
    <n v="0"/>
    <n v="0"/>
    <n v="0"/>
    <n v="0"/>
    <n v="0"/>
    <n v="0"/>
    <n v="0"/>
    <n v="0"/>
    <n v="0"/>
    <n v="2604.36"/>
    <n v="2604.36"/>
    <n v="-7344.7"/>
  </r>
  <r>
    <x v="15"/>
    <x v="26"/>
    <x v="0"/>
    <s v="9000935"/>
    <n v="731090"/>
    <s v="Other Utilities"/>
    <s v="Eliminations-PE @ SE"/>
    <x v="0"/>
    <m/>
    <n v="0"/>
    <n v="0"/>
    <n v="0"/>
    <n v="0"/>
    <n v="0"/>
    <n v="0"/>
    <n v="0"/>
    <n v="0"/>
    <n v="0"/>
    <n v="0"/>
    <n v="0"/>
    <n v="584.54"/>
    <n v="584.54"/>
    <n v="-380336.24"/>
  </r>
  <r>
    <x v="16"/>
    <x v="26"/>
    <x v="0"/>
    <s v="9000935"/>
    <n v="732030"/>
    <s v="Repairs---Other"/>
    <s v="Eliminations-PE @ SE"/>
    <x v="0"/>
    <m/>
    <n v="0"/>
    <n v="0"/>
    <n v="0"/>
    <n v="0"/>
    <n v="0"/>
    <n v="0"/>
    <n v="0"/>
    <n v="0"/>
    <n v="0"/>
    <n v="0"/>
    <n v="0"/>
    <n v="10261.42"/>
    <n v="10261.42"/>
    <n v="-5557.7"/>
  </r>
  <r>
    <x v="16"/>
    <x v="26"/>
    <x v="0"/>
    <s v="9000935"/>
    <n v="732030"/>
    <s v="Repairs&amp;Maintenance-Bldg Routine"/>
    <s v="Eliminations-PE @ SE"/>
    <x v="0"/>
    <n v="2300"/>
    <n v="0"/>
    <n v="0"/>
    <n v="0"/>
    <n v="0"/>
    <n v="0"/>
    <n v="0"/>
    <n v="0"/>
    <n v="0"/>
    <n v="0"/>
    <n v="0"/>
    <n v="0"/>
    <n v="57.37"/>
    <n v="57.37"/>
    <n v="-275776.06"/>
  </r>
  <r>
    <x v="16"/>
    <x v="26"/>
    <x v="0"/>
    <s v="9000935"/>
    <n v="733030"/>
    <s v="Maintenance Contracts-Other"/>
    <s v="Eliminations-PE @ SE"/>
    <x v="0"/>
    <m/>
    <n v="0"/>
    <n v="0"/>
    <n v="0"/>
    <n v="0"/>
    <n v="0"/>
    <n v="0"/>
    <n v="0"/>
    <n v="0"/>
    <n v="0"/>
    <n v="0"/>
    <n v="0"/>
    <n v="3114.26"/>
    <n v="3114.26"/>
    <n v="-25.44"/>
  </r>
  <r>
    <x v="13"/>
    <x v="26"/>
    <x v="0"/>
    <s v="9000935"/>
    <n v="735040"/>
    <s v="Depreciation-Building Improvements"/>
    <s v="Eliminations-PE @ SE"/>
    <x v="0"/>
    <m/>
    <n v="0"/>
    <n v="0"/>
    <n v="0"/>
    <n v="0"/>
    <n v="0"/>
    <n v="0"/>
    <n v="0"/>
    <n v="0"/>
    <n v="0"/>
    <n v="0"/>
    <n v="0"/>
    <n v="7344.7"/>
    <n v="7344.7"/>
    <n v="-2174.75"/>
  </r>
  <r>
    <x v="13"/>
    <x v="26"/>
    <x v="0"/>
    <s v="9000935"/>
    <n v="735050"/>
    <s v="Amortization-Leasehold Improvements"/>
    <s v="Eliminations-PE @ SE"/>
    <x v="0"/>
    <m/>
    <n v="0"/>
    <n v="0"/>
    <n v="0"/>
    <n v="0"/>
    <n v="0"/>
    <n v="0"/>
    <n v="0"/>
    <n v="0"/>
    <n v="0"/>
    <n v="0"/>
    <n v="0"/>
    <n v="380336.24"/>
    <n v="380336.24"/>
    <n v="-10408.76"/>
  </r>
  <r>
    <x v="13"/>
    <x v="26"/>
    <x v="0"/>
    <s v="9000935"/>
    <n v="735060"/>
    <s v="Depreciation-Fixed Equipment"/>
    <s v="Eliminations-PE @ SE"/>
    <x v="0"/>
    <m/>
    <n v="0"/>
    <n v="0"/>
    <n v="0"/>
    <n v="0"/>
    <n v="0"/>
    <n v="0"/>
    <n v="0"/>
    <n v="0"/>
    <n v="0"/>
    <n v="0"/>
    <n v="0"/>
    <n v="5557.7"/>
    <n v="5557.7"/>
    <n v="-3871.89"/>
  </r>
  <r>
    <x v="13"/>
    <x v="26"/>
    <x v="0"/>
    <s v="9000935"/>
    <n v="735070"/>
    <s v="Depreciation-Movable Equipment"/>
    <s v="Eliminations-PE @ SE"/>
    <x v="0"/>
    <m/>
    <n v="0"/>
    <n v="0"/>
    <n v="0"/>
    <n v="0"/>
    <n v="0"/>
    <n v="0"/>
    <n v="0"/>
    <n v="0"/>
    <n v="0"/>
    <n v="0"/>
    <n v="0"/>
    <n v="275776.06"/>
    <n v="275776.06"/>
    <n v="-3099.25"/>
  </r>
  <r>
    <x v="0"/>
    <x v="26"/>
    <x v="0"/>
    <s v="9000935"/>
    <n v="740010"/>
    <s v="Education-Materials"/>
    <s v="Eliminations-PE @ SE"/>
    <x v="0"/>
    <m/>
    <n v="0"/>
    <n v="0"/>
    <n v="0"/>
    <n v="0"/>
    <n v="0"/>
    <n v="0"/>
    <n v="0"/>
    <n v="0"/>
    <n v="0"/>
    <n v="0"/>
    <n v="0"/>
    <n v="25.44"/>
    <n v="25.44"/>
    <n v="-2607.41"/>
  </r>
  <r>
    <x v="0"/>
    <x v="26"/>
    <x v="0"/>
    <s v="9000935"/>
    <n v="740020"/>
    <s v="Education-Registration Fees"/>
    <s v="Eliminations-PE @ SE"/>
    <x v="0"/>
    <m/>
    <n v="0"/>
    <n v="0"/>
    <n v="0"/>
    <n v="0"/>
    <n v="0"/>
    <n v="0"/>
    <n v="0"/>
    <n v="0"/>
    <n v="0"/>
    <n v="0"/>
    <n v="0"/>
    <n v="2174.75"/>
    <n v="2174.75"/>
    <n v="-0.15"/>
  </r>
  <r>
    <x v="0"/>
    <x v="26"/>
    <x v="0"/>
    <s v="9000935"/>
    <n v="740022"/>
    <s v="Education-Physician"/>
    <s v="Eliminations-PE @ SE"/>
    <x v="0"/>
    <m/>
    <n v="0"/>
    <n v="0"/>
    <n v="0"/>
    <n v="0"/>
    <n v="0"/>
    <n v="0"/>
    <n v="0"/>
    <n v="0"/>
    <n v="0"/>
    <n v="0"/>
    <n v="0"/>
    <n v="10408.76"/>
    <n v="10408.76"/>
    <n v="-35680.410000000003"/>
  </r>
  <r>
    <x v="0"/>
    <x v="26"/>
    <x v="0"/>
    <s v="9000935"/>
    <n v="740022"/>
    <s v="Books-Physician"/>
    <s v="Eliminations-PE @ SE"/>
    <x v="0"/>
    <n v="2000"/>
    <n v="0"/>
    <n v="0"/>
    <n v="0"/>
    <n v="0"/>
    <n v="0"/>
    <n v="0"/>
    <n v="0"/>
    <n v="0"/>
    <n v="0"/>
    <n v="0"/>
    <n v="0"/>
    <n v="3871.89"/>
    <n v="3871.89"/>
    <n v="-231605.71"/>
  </r>
  <r>
    <x v="0"/>
    <x v="26"/>
    <x v="0"/>
    <s v="9000935"/>
    <n v="740023"/>
    <s v="Education-Advanced Practice Clinician"/>
    <s v="Eliminations-PE @ SE"/>
    <x v="0"/>
    <m/>
    <n v="0"/>
    <n v="0"/>
    <n v="0"/>
    <n v="0"/>
    <n v="0"/>
    <n v="0"/>
    <n v="0"/>
    <n v="0"/>
    <n v="0"/>
    <n v="0"/>
    <n v="0"/>
    <n v="3099.25"/>
    <n v="3099.25"/>
    <n v="-3480.31"/>
  </r>
  <r>
    <x v="0"/>
    <x v="26"/>
    <x v="0"/>
    <s v="9000935"/>
    <n v="740023"/>
    <s v="Books-Advanced Practice Clinician"/>
    <s v="Eliminations-PE @ SE"/>
    <x v="0"/>
    <n v="2000"/>
    <n v="0"/>
    <n v="0"/>
    <n v="0"/>
    <n v="0"/>
    <n v="0"/>
    <n v="0"/>
    <n v="0"/>
    <n v="0"/>
    <n v="0"/>
    <n v="0"/>
    <n v="0"/>
    <n v="2607.41"/>
    <n v="2607.41"/>
    <n v="1729.38"/>
  </r>
  <r>
    <x v="0"/>
    <x v="26"/>
    <x v="0"/>
    <s v="9000935"/>
    <n v="740030"/>
    <s v="Education-Travel"/>
    <s v="Eliminations-PE @ SE"/>
    <x v="0"/>
    <m/>
    <n v="0"/>
    <n v="0"/>
    <n v="0"/>
    <n v="0"/>
    <n v="0"/>
    <n v="0"/>
    <n v="0"/>
    <n v="0"/>
    <n v="0"/>
    <n v="0"/>
    <n v="0"/>
    <n v="0.15"/>
    <n v="0.15"/>
    <n v="-6261.66"/>
  </r>
  <r>
    <x v="8"/>
    <x v="26"/>
    <x v="0"/>
    <s v="9000935"/>
    <n v="741010"/>
    <s v="Liability Insurance-CHI Programs"/>
    <s v="Eliminations-PE @ SE"/>
    <x v="0"/>
    <m/>
    <n v="0"/>
    <n v="0"/>
    <n v="0"/>
    <n v="0"/>
    <n v="0"/>
    <n v="0"/>
    <n v="0"/>
    <n v="0"/>
    <n v="0"/>
    <n v="0"/>
    <n v="0"/>
    <n v="35680.410000000003"/>
    <n v="35680.410000000003"/>
    <n v="-215.41"/>
  </r>
  <r>
    <x v="8"/>
    <x v="26"/>
    <x v="0"/>
    <s v="9000935"/>
    <n v="741012"/>
    <s v="Physician Liab Insurance-CHI Program"/>
    <s v="Eliminations-PE @ SE"/>
    <x v="0"/>
    <m/>
    <n v="0"/>
    <n v="0"/>
    <n v="0"/>
    <n v="0"/>
    <n v="0"/>
    <n v="0"/>
    <n v="0"/>
    <n v="0"/>
    <n v="0"/>
    <n v="0"/>
    <n v="0"/>
    <n v="231605.71"/>
    <n v="231605.71"/>
    <n v="-252.89"/>
  </r>
  <r>
    <x v="8"/>
    <x v="26"/>
    <x v="0"/>
    <s v="9000935"/>
    <n v="741030"/>
    <s v="Property Insurance-CHI Programs"/>
    <s v="Eliminations-PE @ SE"/>
    <x v="0"/>
    <m/>
    <n v="0"/>
    <n v="0"/>
    <n v="0"/>
    <n v="0"/>
    <n v="0"/>
    <n v="0"/>
    <n v="0"/>
    <n v="0"/>
    <n v="0"/>
    <n v="0"/>
    <n v="0"/>
    <n v="3480.31"/>
    <n v="3480.31"/>
    <n v="-6347.48"/>
  </r>
  <r>
    <x v="8"/>
    <x v="26"/>
    <x v="0"/>
    <s v="9000935"/>
    <n v="741070"/>
    <s v="Insurance-Risk Mgmt Incentive Program"/>
    <s v="Eliminations-PE @ SE"/>
    <x v="0"/>
    <m/>
    <n v="0"/>
    <n v="0"/>
    <n v="0"/>
    <n v="0"/>
    <n v="0"/>
    <n v="0"/>
    <n v="0"/>
    <n v="0"/>
    <n v="0"/>
    <n v="0"/>
    <n v="0"/>
    <n v="-1729.38"/>
    <n v="-1729.38"/>
    <n v="-15294.34"/>
  </r>
  <r>
    <x v="0"/>
    <x v="26"/>
    <x v="0"/>
    <s v="9000935"/>
    <n v="742010"/>
    <s v="Postage-Regular"/>
    <s v="Eliminations-PE @ SE"/>
    <x v="0"/>
    <m/>
    <n v="0"/>
    <n v="0"/>
    <n v="0"/>
    <n v="0"/>
    <n v="0"/>
    <n v="0"/>
    <n v="0"/>
    <n v="0"/>
    <n v="0"/>
    <n v="0"/>
    <n v="0"/>
    <n v="6261.66"/>
    <n v="6261.66"/>
    <n v="-793.16"/>
  </r>
  <r>
    <x v="0"/>
    <x v="26"/>
    <x v="0"/>
    <s v="9000935"/>
    <n v="742040"/>
    <s v="Freight-Other"/>
    <s v="Eliminations-PE @ SE"/>
    <x v="0"/>
    <m/>
    <n v="0"/>
    <n v="0"/>
    <n v="0"/>
    <n v="0"/>
    <n v="0"/>
    <n v="0"/>
    <n v="0"/>
    <n v="0"/>
    <n v="0"/>
    <n v="0"/>
    <n v="0"/>
    <n v="215.41"/>
    <n v="215.41"/>
    <n v="-1744.42"/>
  </r>
  <r>
    <x v="0"/>
    <x v="26"/>
    <x v="0"/>
    <s v="9000935"/>
    <n v="743010"/>
    <s v="Dues--Institutional"/>
    <s v="Eliminations-PE @ SE"/>
    <x v="0"/>
    <m/>
    <n v="0"/>
    <n v="0"/>
    <n v="0"/>
    <n v="0"/>
    <n v="0"/>
    <n v="0"/>
    <n v="0"/>
    <n v="0"/>
    <n v="0"/>
    <n v="0"/>
    <n v="0"/>
    <n v="252.89"/>
    <n v="252.89"/>
    <n v="-19.239999999999998"/>
  </r>
  <r>
    <x v="0"/>
    <x v="26"/>
    <x v="0"/>
    <s v="9000935"/>
    <n v="743020"/>
    <s v="Dues--Individual"/>
    <s v="Eliminations-PE @ SE"/>
    <x v="0"/>
    <m/>
    <n v="0"/>
    <n v="0"/>
    <n v="0"/>
    <n v="0"/>
    <n v="0"/>
    <n v="0"/>
    <n v="0"/>
    <n v="0"/>
    <n v="0"/>
    <n v="0"/>
    <n v="0"/>
    <n v="6347.48"/>
    <n v="6347.48"/>
    <n v="-5080.4799999999996"/>
  </r>
  <r>
    <x v="0"/>
    <x v="26"/>
    <x v="0"/>
    <s v="9000935"/>
    <n v="743022"/>
    <s v="Dues-Physician"/>
    <s v="Eliminations-PE @ SE"/>
    <x v="0"/>
    <m/>
    <n v="0"/>
    <n v="0"/>
    <n v="0"/>
    <n v="0"/>
    <n v="0"/>
    <n v="0"/>
    <n v="0"/>
    <n v="0"/>
    <n v="0"/>
    <n v="0"/>
    <n v="0"/>
    <n v="15294.34"/>
    <n v="15294.34"/>
    <n v="-2548.37"/>
  </r>
  <r>
    <x v="0"/>
    <x v="26"/>
    <x v="0"/>
    <s v="9000935"/>
    <n v="743023"/>
    <s v="Dues-Advanced Practice Clinician"/>
    <s v="Eliminations-PE @ SE"/>
    <x v="0"/>
    <m/>
    <n v="0"/>
    <n v="0"/>
    <n v="0"/>
    <n v="0"/>
    <n v="0"/>
    <n v="0"/>
    <n v="0"/>
    <n v="0"/>
    <n v="0"/>
    <n v="0"/>
    <n v="0"/>
    <n v="793.16"/>
    <n v="793.16"/>
    <n v="-710.82"/>
  </r>
  <r>
    <x v="0"/>
    <x v="26"/>
    <x v="0"/>
    <s v="9000935"/>
    <n v="743030"/>
    <s v="Subscriptions--Institutional"/>
    <s v="Eliminations-PE @ SE"/>
    <x v="0"/>
    <m/>
    <n v="0"/>
    <n v="0"/>
    <n v="0"/>
    <n v="0"/>
    <n v="0"/>
    <n v="0"/>
    <n v="0"/>
    <n v="0"/>
    <n v="0"/>
    <n v="0"/>
    <n v="0"/>
    <n v="1744.42"/>
    <n v="1744.42"/>
    <n v="-3120.8"/>
  </r>
  <r>
    <x v="0"/>
    <x v="26"/>
    <x v="0"/>
    <s v="9000935"/>
    <n v="743040"/>
    <s v="Subscriptions--Individual"/>
    <s v="Eliminations-PE @ SE"/>
    <x v="0"/>
    <m/>
    <n v="0"/>
    <n v="0"/>
    <n v="0"/>
    <n v="0"/>
    <n v="0"/>
    <n v="0"/>
    <n v="0"/>
    <n v="0"/>
    <n v="0"/>
    <n v="0"/>
    <n v="0"/>
    <n v="19.239999999999998"/>
    <n v="19.239999999999998"/>
    <n v="-118625.1"/>
  </r>
  <r>
    <x v="0"/>
    <x v="26"/>
    <x v="0"/>
    <s v="9000935"/>
    <n v="743042"/>
    <s v="Subscriptions-Physician"/>
    <s v="Eliminations-PE @ SE"/>
    <x v="0"/>
    <m/>
    <n v="0"/>
    <n v="0"/>
    <n v="0"/>
    <n v="0"/>
    <n v="0"/>
    <n v="0"/>
    <n v="0"/>
    <n v="0"/>
    <n v="0"/>
    <n v="0"/>
    <n v="0"/>
    <n v="5080.4799999999996"/>
    <n v="5080.4799999999996"/>
    <n v="186.87"/>
  </r>
  <r>
    <x v="0"/>
    <x v="26"/>
    <x v="0"/>
    <s v="9000935"/>
    <n v="743043"/>
    <s v="Subscriptions-Advanced Practice Clinician"/>
    <s v="Eliminations-PE @ SE"/>
    <x v="0"/>
    <m/>
    <n v="0"/>
    <n v="0"/>
    <n v="0"/>
    <n v="0"/>
    <n v="0"/>
    <n v="0"/>
    <n v="0"/>
    <n v="0"/>
    <n v="0"/>
    <n v="0"/>
    <n v="0"/>
    <n v="2548.37"/>
    <n v="2548.37"/>
    <n v="-7705.41"/>
  </r>
  <r>
    <x v="0"/>
    <x v="26"/>
    <x v="0"/>
    <s v="9000935"/>
    <n v="744012"/>
    <s v="Recruitment-Physician"/>
    <s v="Eliminations-PE @ SE"/>
    <x v="0"/>
    <m/>
    <n v="0"/>
    <n v="0"/>
    <n v="0"/>
    <n v="0"/>
    <n v="0"/>
    <n v="0"/>
    <n v="0"/>
    <n v="0"/>
    <n v="0"/>
    <n v="0"/>
    <n v="0"/>
    <n v="710.82"/>
    <n v="710.82"/>
    <n v="-2782.61"/>
  </r>
  <r>
    <x v="0"/>
    <x v="26"/>
    <x v="0"/>
    <s v="9000935"/>
    <n v="746020"/>
    <s v="Bank Fees--Ext to CHI Programs"/>
    <s v="Eliminations-PE @ SE"/>
    <x v="0"/>
    <m/>
    <n v="0"/>
    <n v="0"/>
    <n v="0"/>
    <n v="0"/>
    <n v="0"/>
    <n v="0"/>
    <n v="0"/>
    <n v="0"/>
    <n v="0"/>
    <n v="0"/>
    <n v="0"/>
    <n v="3120.8"/>
    <n v="3120.8"/>
    <n v="-353.02"/>
  </r>
  <r>
    <x v="26"/>
    <x v="26"/>
    <x v="0"/>
    <s v="9000935"/>
    <n v="747001"/>
    <s v="National Assessment"/>
    <s v="Eliminations-PE @ SE"/>
    <x v="0"/>
    <m/>
    <n v="0"/>
    <n v="0"/>
    <n v="0"/>
    <n v="0"/>
    <n v="0"/>
    <n v="0"/>
    <n v="0"/>
    <n v="0"/>
    <n v="0"/>
    <n v="0"/>
    <n v="0"/>
    <n v="118625.1"/>
    <n v="118625.1"/>
    <n v="-3221.86"/>
  </r>
  <r>
    <x v="0"/>
    <x v="26"/>
    <x v="0"/>
    <s v="9000935"/>
    <n v="748521"/>
    <s v="COGS-Pharmacy Drugs-Retail"/>
    <s v="Eliminations-PE @ SE"/>
    <x v="0"/>
    <m/>
    <n v="0"/>
    <n v="0"/>
    <n v="0"/>
    <n v="0"/>
    <n v="0"/>
    <n v="0"/>
    <n v="0"/>
    <n v="0"/>
    <n v="0"/>
    <n v="0"/>
    <n v="0"/>
    <n v="-186.87"/>
    <n v="-186.87"/>
    <n v="-2.16"/>
  </r>
  <r>
    <x v="0"/>
    <x v="26"/>
    <x v="0"/>
    <s v="9000935"/>
    <n v="749510"/>
    <s v="Miscellaneous Expenses"/>
    <s v="Eliminations-PE @ SE"/>
    <x v="0"/>
    <m/>
    <n v="0"/>
    <n v="0"/>
    <n v="0"/>
    <n v="0"/>
    <n v="0"/>
    <n v="0"/>
    <n v="0"/>
    <n v="0"/>
    <n v="0"/>
    <n v="0"/>
    <n v="0"/>
    <n v="7705.41"/>
    <n v="7705.41"/>
    <n v="-10245.92"/>
  </r>
  <r>
    <x v="0"/>
    <x v="26"/>
    <x v="0"/>
    <s v="9000935"/>
    <n v="749510"/>
    <s v="Licenses"/>
    <s v="Eliminations-PE @ SE"/>
    <x v="0"/>
    <n v="1002"/>
    <n v="0"/>
    <n v="0"/>
    <n v="0"/>
    <n v="0"/>
    <n v="0"/>
    <n v="0"/>
    <n v="0"/>
    <n v="0"/>
    <n v="0"/>
    <n v="0"/>
    <n v="0"/>
    <n v="2782.61"/>
    <n v="2782.61"/>
    <n v="-1655.38"/>
  </r>
  <r>
    <x v="0"/>
    <x v="26"/>
    <x v="0"/>
    <s v="9000935"/>
    <n v="749510"/>
    <s v="Miscellaneous Employee Expense"/>
    <s v="Eliminations-PE @ SE"/>
    <x v="0"/>
    <n v="1010"/>
    <n v="0"/>
    <n v="0"/>
    <n v="0"/>
    <n v="0"/>
    <n v="0"/>
    <n v="0"/>
    <n v="0"/>
    <n v="0"/>
    <n v="0"/>
    <n v="0"/>
    <n v="0"/>
    <n v="353.02"/>
    <n v="353.02"/>
    <n v="-31250"/>
  </r>
  <r>
    <x v="0"/>
    <x v="26"/>
    <x v="0"/>
    <s v="9000935"/>
    <n v="749510"/>
    <s v="RICE Rewards"/>
    <s v="Eliminations-PE @ SE"/>
    <x v="0"/>
    <n v="5100"/>
    <n v="0"/>
    <n v="0"/>
    <n v="0"/>
    <n v="0"/>
    <n v="0"/>
    <n v="0"/>
    <n v="0"/>
    <n v="0"/>
    <n v="0"/>
    <n v="0"/>
    <n v="0"/>
    <n v="3221.86"/>
    <n v="3221.86"/>
    <n v="-4856.1000000000004"/>
  </r>
  <r>
    <x v="0"/>
    <x v="26"/>
    <x v="0"/>
    <s v="9000935"/>
    <n v="749510"/>
    <s v="Other Clinic IT Costs"/>
    <s v="Eliminations-PE @ SE"/>
    <x v="0"/>
    <n v="5105"/>
    <n v="0"/>
    <n v="0"/>
    <n v="0"/>
    <n v="0"/>
    <n v="0"/>
    <n v="0"/>
    <n v="0"/>
    <n v="0"/>
    <n v="0"/>
    <n v="0"/>
    <n v="0"/>
    <n v="2.16"/>
    <n v="2.16"/>
    <n v="-6882.73"/>
  </r>
  <r>
    <x v="0"/>
    <x v="26"/>
    <x v="0"/>
    <s v="9000935"/>
    <n v="749512"/>
    <s v="Licenses-Physician"/>
    <s v="Eliminations-PE @ SE"/>
    <x v="0"/>
    <n v="2000"/>
    <n v="0"/>
    <n v="0"/>
    <n v="0"/>
    <n v="0"/>
    <n v="0"/>
    <n v="0"/>
    <n v="0"/>
    <n v="0"/>
    <n v="0"/>
    <n v="0"/>
    <n v="0"/>
    <n v="10245.92"/>
    <n v="10245.92"/>
    <n v="-9351.34"/>
  </r>
  <r>
    <x v="0"/>
    <x v="26"/>
    <x v="0"/>
    <s v="9000935"/>
    <n v="749513"/>
    <s v="Licenses-Advanced Practice Clinician"/>
    <s v="Eliminations-PE @ SE"/>
    <x v="0"/>
    <n v="2000"/>
    <n v="0"/>
    <n v="0"/>
    <n v="0"/>
    <n v="0"/>
    <n v="0"/>
    <n v="0"/>
    <n v="0"/>
    <n v="0"/>
    <n v="0"/>
    <n v="0"/>
    <n v="0"/>
    <n v="1655.38"/>
    <n v="1655.38"/>
    <n v="-672.69"/>
  </r>
  <r>
    <x v="0"/>
    <x v="26"/>
    <x v="0"/>
    <s v="9000935"/>
    <n v="749525"/>
    <s v="Contingent Liability Expense"/>
    <s v="Eliminations-PE @ SE"/>
    <x v="0"/>
    <m/>
    <n v="0"/>
    <n v="0"/>
    <n v="0"/>
    <n v="0"/>
    <n v="0"/>
    <n v="0"/>
    <n v="0"/>
    <n v="0"/>
    <n v="0"/>
    <n v="0"/>
    <n v="0"/>
    <n v="31250"/>
    <n v="31250"/>
    <n v="-1973.35"/>
  </r>
  <r>
    <x v="0"/>
    <x v="26"/>
    <x v="0"/>
    <s v="9000935"/>
    <n v="749530"/>
    <s v="Travel"/>
    <s v="Eliminations-PE @ SE"/>
    <x v="0"/>
    <m/>
    <n v="0"/>
    <n v="0"/>
    <n v="0"/>
    <n v="0"/>
    <n v="0"/>
    <n v="0"/>
    <n v="0"/>
    <n v="0"/>
    <n v="0"/>
    <n v="0"/>
    <n v="0"/>
    <n v="4856.1000000000004"/>
    <n v="4856.1000000000004"/>
    <n v="-3406.17"/>
  </r>
  <r>
    <x v="0"/>
    <x v="26"/>
    <x v="0"/>
    <s v="9000935"/>
    <n v="749530"/>
    <s v="Mileage"/>
    <s v="Eliminations-PE @ SE"/>
    <x v="0"/>
    <n v="1001"/>
    <n v="0"/>
    <n v="0"/>
    <n v="0"/>
    <n v="0"/>
    <n v="0"/>
    <n v="0"/>
    <n v="0"/>
    <n v="0"/>
    <n v="0"/>
    <n v="0"/>
    <n v="0"/>
    <n v="6882.73"/>
    <n v="6882.73"/>
    <n v="-2157.9499999999998"/>
  </r>
  <r>
    <x v="0"/>
    <x v="26"/>
    <x v="0"/>
    <s v="9000935"/>
    <n v="749532"/>
    <s v="Travel-Physician"/>
    <s v="Eliminations-PE @ SE"/>
    <x v="0"/>
    <m/>
    <n v="0"/>
    <n v="0"/>
    <n v="0"/>
    <n v="0"/>
    <n v="0"/>
    <n v="0"/>
    <n v="0"/>
    <n v="0"/>
    <n v="0"/>
    <n v="0"/>
    <n v="0"/>
    <n v="9351.34"/>
    <n v="9351.34"/>
    <n v="-40.18"/>
  </r>
  <r>
    <x v="0"/>
    <x v="26"/>
    <x v="0"/>
    <s v="9000935"/>
    <n v="749532"/>
    <s v="Business Meals-Physician"/>
    <s v="Eliminations-PE @ SE"/>
    <x v="0"/>
    <n v="2000"/>
    <n v="0"/>
    <n v="0"/>
    <n v="0"/>
    <n v="0"/>
    <n v="0"/>
    <n v="0"/>
    <n v="0"/>
    <n v="0"/>
    <n v="0"/>
    <n v="0"/>
    <n v="0"/>
    <n v="672.69"/>
    <n v="672.69"/>
    <n v="-14.32"/>
  </r>
  <r>
    <x v="0"/>
    <x v="26"/>
    <x v="0"/>
    <s v="9000935"/>
    <n v="749532"/>
    <s v="Vehicle Expense-Physician"/>
    <s v="Eliminations-PE @ SE"/>
    <x v="0"/>
    <n v="2001"/>
    <n v="0"/>
    <n v="0"/>
    <n v="0"/>
    <n v="0"/>
    <n v="0"/>
    <n v="0"/>
    <n v="0"/>
    <n v="0"/>
    <n v="0"/>
    <n v="0"/>
    <n v="0"/>
    <n v="1973.35"/>
    <n v="1973.35"/>
    <n v="-6.64"/>
  </r>
  <r>
    <x v="0"/>
    <x v="26"/>
    <x v="0"/>
    <s v="9000935"/>
    <n v="749533"/>
    <s v="Travel-Advanced Practice Clinician"/>
    <s v="Eliminations-PE @ SE"/>
    <x v="0"/>
    <m/>
    <n v="0"/>
    <n v="0"/>
    <n v="0"/>
    <n v="0"/>
    <n v="0"/>
    <n v="0"/>
    <n v="0"/>
    <n v="0"/>
    <n v="0"/>
    <n v="0"/>
    <n v="0"/>
    <n v="3406.17"/>
    <n v="3406.17"/>
    <n v="-5560.12"/>
  </r>
  <r>
    <x v="0"/>
    <x v="26"/>
    <x v="0"/>
    <s v="9000935"/>
    <n v="749535"/>
    <s v="Meetings"/>
    <s v="Eliminations-PE @ SE"/>
    <x v="0"/>
    <m/>
    <n v="0"/>
    <n v="0"/>
    <n v="0"/>
    <n v="0"/>
    <n v="0"/>
    <n v="0"/>
    <n v="0"/>
    <n v="0"/>
    <n v="0"/>
    <n v="0"/>
    <n v="0"/>
    <n v="2157.9499999999998"/>
    <n v="2157.9499999999998"/>
    <n v="-8271.44"/>
  </r>
  <r>
    <x v="0"/>
    <x v="26"/>
    <x v="0"/>
    <s v="9000935"/>
    <n v="749535"/>
    <s v="Medicare Non-Allowable Beverages"/>
    <s v="Eliminations-PE @ SE"/>
    <x v="0"/>
    <n v="1005"/>
    <n v="0"/>
    <n v="0"/>
    <n v="0"/>
    <n v="0"/>
    <n v="0"/>
    <n v="0"/>
    <n v="0"/>
    <n v="0"/>
    <n v="0"/>
    <n v="0"/>
    <n v="0"/>
    <n v="40.18"/>
    <n v="40.18"/>
    <n v="-9845.67"/>
  </r>
  <r>
    <x v="0"/>
    <x v="26"/>
    <x v="0"/>
    <s v="9000935"/>
    <n v="749535"/>
    <s v="Medicare Non-Allowable Other"/>
    <s v="Eliminations-PE @ SE"/>
    <x v="0"/>
    <n v="1012"/>
    <n v="0"/>
    <n v="0"/>
    <n v="0"/>
    <n v="0"/>
    <n v="0"/>
    <n v="0"/>
    <n v="0"/>
    <n v="0"/>
    <n v="0"/>
    <n v="0"/>
    <n v="0"/>
    <n v="14.32"/>
    <n v="14.32"/>
    <n v="-327.44"/>
  </r>
  <r>
    <x v="0"/>
    <x v="26"/>
    <x v="0"/>
    <s v="9000935"/>
    <n v="749550"/>
    <s v="Cash Over/Short"/>
    <s v="Eliminations-PE @ SE"/>
    <x v="0"/>
    <m/>
    <n v="0"/>
    <n v="0"/>
    <n v="0"/>
    <n v="0"/>
    <n v="0"/>
    <n v="0"/>
    <n v="0"/>
    <n v="0"/>
    <n v="0"/>
    <n v="0"/>
    <n v="0"/>
    <n v="6.64"/>
    <n v="6.64"/>
    <n v="-70402.98"/>
  </r>
  <r>
    <x v="24"/>
    <x v="26"/>
    <x v="0"/>
    <s v="9000935"/>
    <n v="760030"/>
    <s v="Interest Expense-Ext to CHI Programs"/>
    <s v="Eliminations-PE @ SE"/>
    <x v="0"/>
    <m/>
    <n v="0"/>
    <n v="0"/>
    <n v="0"/>
    <n v="0"/>
    <n v="0"/>
    <n v="0"/>
    <n v="0"/>
    <n v="0"/>
    <n v="0"/>
    <n v="0"/>
    <n v="0"/>
    <n v="5560.12"/>
    <n v="5560.12"/>
    <n v="-25336.91"/>
  </r>
  <r>
    <x v="0"/>
    <x v="26"/>
    <x v="0"/>
    <s v="9000935"/>
    <n v="765050"/>
    <s v="Local Income Tax"/>
    <s v="Eliminations-PE @ SE"/>
    <x v="0"/>
    <m/>
    <n v="0"/>
    <n v="0"/>
    <n v="0"/>
    <n v="0"/>
    <n v="0"/>
    <n v="0"/>
    <n v="0"/>
    <n v="0"/>
    <n v="0"/>
    <n v="0"/>
    <n v="0"/>
    <n v="8271.44"/>
    <n v="8271.44"/>
    <n v="7.76"/>
  </r>
  <r>
    <x v="0"/>
    <x v="26"/>
    <x v="0"/>
    <s v="9000935"/>
    <n v="766010"/>
    <s v="Property Tax"/>
    <s v="Eliminations-PE @ SE"/>
    <x v="0"/>
    <m/>
    <n v="0"/>
    <n v="0"/>
    <n v="0"/>
    <n v="0"/>
    <n v="0"/>
    <n v="0"/>
    <n v="0"/>
    <n v="0"/>
    <n v="0"/>
    <n v="0"/>
    <n v="0"/>
    <n v="9845.67"/>
    <n v="9845.67"/>
    <n v="1374.49"/>
  </r>
  <r>
    <x v="0"/>
    <x v="26"/>
    <x v="0"/>
    <s v="9000935"/>
    <n v="766070"/>
    <s v="Sales and Use Tax"/>
    <s v="Eliminations-PE @ SE"/>
    <x v="0"/>
    <m/>
    <n v="0"/>
    <n v="0"/>
    <n v="0"/>
    <n v="0"/>
    <n v="0"/>
    <n v="0"/>
    <n v="0"/>
    <n v="0"/>
    <n v="0"/>
    <n v="0"/>
    <n v="0"/>
    <n v="327.44"/>
    <n v="327.44"/>
    <n v="500128.93"/>
  </r>
  <r>
    <x v="0"/>
    <x v="26"/>
    <x v="0"/>
    <s v="9000935"/>
    <n v="766090"/>
    <s v="Franchise and Excise Tax"/>
    <s v="Eliminations-PE @ SE"/>
    <x v="0"/>
    <n v="1001"/>
    <n v="0"/>
    <n v="0"/>
    <n v="0"/>
    <n v="0"/>
    <n v="0"/>
    <n v="0"/>
    <n v="0"/>
    <n v="0"/>
    <n v="0"/>
    <n v="0"/>
    <n v="0"/>
    <n v="70402.98"/>
    <n v="70402.98"/>
    <n v="578272.44999999995"/>
  </r>
  <r>
    <x v="25"/>
    <x v="26"/>
    <x v="0"/>
    <s v="9000935"/>
    <n v="770020"/>
    <s v="Severance Costs"/>
    <s v="Eliminations-PE @ SE"/>
    <x v="0"/>
    <m/>
    <n v="0"/>
    <n v="0"/>
    <n v="0"/>
    <n v="0"/>
    <n v="0"/>
    <n v="0"/>
    <n v="0"/>
    <n v="0"/>
    <n v="0"/>
    <n v="0"/>
    <n v="0"/>
    <n v="25336.91"/>
    <n v="25336.91"/>
    <n v="52589.97"/>
  </r>
  <r>
    <x v="9"/>
    <x v="26"/>
    <x v="0"/>
    <s v="9000935"/>
    <n v="800010"/>
    <s v="Interest Income-CHI Cash Mgmt Program"/>
    <s v="Eliminations-PE @ SE"/>
    <x v="0"/>
    <n v="1000"/>
    <n v="0"/>
    <n v="0"/>
    <n v="0"/>
    <n v="0"/>
    <n v="0"/>
    <n v="0"/>
    <n v="0"/>
    <n v="0"/>
    <n v="0"/>
    <n v="0"/>
    <n v="0"/>
    <n v="-7.76"/>
    <n v="-7.76"/>
    <n v="225338.31"/>
  </r>
  <r>
    <x v="9"/>
    <x v="26"/>
    <x v="0"/>
    <s v="9000935"/>
    <n v="800015"/>
    <s v="Interest Income-Ext to CHI"/>
    <s v="Eliminations-PE @ SE"/>
    <x v="0"/>
    <m/>
    <n v="0"/>
    <n v="0"/>
    <n v="0"/>
    <n v="0"/>
    <n v="0"/>
    <n v="0"/>
    <n v="0"/>
    <n v="0"/>
    <n v="0"/>
    <n v="0"/>
    <n v="0"/>
    <n v="-1374.49"/>
    <n v="-1374.49"/>
    <n v="705533.64"/>
  </r>
  <r>
    <x v="9"/>
    <x v="26"/>
    <x v="0"/>
    <s v="9000935"/>
    <n v="804050"/>
    <s v="Business Combination Gains-Nonoperating"/>
    <s v="Eliminations-PE @ SE"/>
    <x v="0"/>
    <m/>
    <n v="0"/>
    <n v="0"/>
    <n v="0"/>
    <n v="0"/>
    <n v="0"/>
    <n v="0"/>
    <n v="0"/>
    <n v="0"/>
    <n v="0"/>
    <n v="0"/>
    <n v="0"/>
    <n v="68442.710000000006"/>
    <n v="68442.710000000006"/>
    <n v="24207.14"/>
  </r>
  <r>
    <x v="1"/>
    <x v="27"/>
    <x v="0"/>
    <s v="9000936"/>
    <n v="400029"/>
    <s v="MD Practice Other Rev--Medicare"/>
    <s v="Eliminations-PE @ HLN"/>
    <x v="0"/>
    <n v="1100"/>
    <n v="0"/>
    <n v="0"/>
    <n v="0"/>
    <n v="0"/>
    <n v="0"/>
    <n v="0"/>
    <n v="0"/>
    <n v="0"/>
    <n v="0"/>
    <n v="0"/>
    <n v="0"/>
    <n v="-500128.93"/>
    <n v="-500128.93"/>
    <n v="36508.5"/>
  </r>
  <r>
    <x v="1"/>
    <x v="27"/>
    <x v="0"/>
    <s v="9000936"/>
    <n v="400029"/>
    <s v="MD Practice Other Rev--Medicaid"/>
    <s v="Eliminations-PE @ HLN"/>
    <x v="0"/>
    <n v="1200"/>
    <n v="0"/>
    <n v="0"/>
    <n v="0"/>
    <n v="0"/>
    <n v="0"/>
    <n v="0"/>
    <n v="0"/>
    <n v="0"/>
    <n v="0"/>
    <n v="0"/>
    <n v="0"/>
    <n v="-578272.44999999995"/>
    <n v="-578272.44999999995"/>
    <n v="18725497.73"/>
  </r>
  <r>
    <x v="1"/>
    <x v="27"/>
    <x v="0"/>
    <s v="9000936"/>
    <n v="400029"/>
    <s v="MD Practice Other Rev--Comm Insurance"/>
    <s v="Eliminations-PE @ HLN"/>
    <x v="0"/>
    <n v="1300"/>
    <n v="0"/>
    <n v="0"/>
    <n v="0"/>
    <n v="0"/>
    <n v="0"/>
    <n v="0"/>
    <n v="0"/>
    <n v="0"/>
    <n v="0"/>
    <n v="0"/>
    <n v="0"/>
    <n v="-52589.97"/>
    <n v="-52589.97"/>
    <n v="13745469.119999999"/>
  </r>
  <r>
    <x v="1"/>
    <x v="27"/>
    <x v="0"/>
    <s v="9000936"/>
    <n v="400029"/>
    <s v="MD Practice Other Rev--BCBS Comm"/>
    <s v="Eliminations-PE @ HLN"/>
    <x v="0"/>
    <n v="1301"/>
    <n v="0"/>
    <n v="0"/>
    <n v="0"/>
    <n v="0"/>
    <n v="0"/>
    <n v="0"/>
    <n v="0"/>
    <n v="0"/>
    <n v="0"/>
    <n v="0"/>
    <n v="0"/>
    <n v="-225338.31"/>
    <n v="-225338.31"/>
    <n v="1488380.42"/>
  </r>
  <r>
    <x v="1"/>
    <x v="27"/>
    <x v="0"/>
    <s v="9000936"/>
    <n v="400029"/>
    <s v="MD Practice Other Rev--Managed Care"/>
    <s v="Eliminations-PE @ HLN"/>
    <x v="0"/>
    <n v="1400"/>
    <n v="0"/>
    <n v="0"/>
    <n v="0"/>
    <n v="0"/>
    <n v="0"/>
    <n v="0"/>
    <n v="0"/>
    <n v="0"/>
    <n v="0"/>
    <n v="0"/>
    <n v="0"/>
    <n v="-705533.64"/>
    <n v="-705533.64"/>
    <n v="6019101.0800000001"/>
  </r>
  <r>
    <x v="1"/>
    <x v="27"/>
    <x v="0"/>
    <s v="9000936"/>
    <n v="400029"/>
    <s v="MD Practice Other Rev--Self Pay"/>
    <s v="Eliminations-PE @ HLN"/>
    <x v="0"/>
    <n v="1500"/>
    <n v="0"/>
    <n v="0"/>
    <n v="0"/>
    <n v="0"/>
    <n v="0"/>
    <n v="0"/>
    <n v="0"/>
    <n v="0"/>
    <n v="0"/>
    <n v="0"/>
    <n v="0"/>
    <n v="-24207.14"/>
    <n v="-24207.14"/>
    <n v="19325961.57"/>
  </r>
  <r>
    <x v="1"/>
    <x v="27"/>
    <x v="0"/>
    <s v="9000936"/>
    <n v="400029"/>
    <s v="MD Practice Other Rev--Other"/>
    <s v="Eliminations-PE @ HLN"/>
    <x v="0"/>
    <n v="1700"/>
    <n v="0"/>
    <n v="0"/>
    <n v="0"/>
    <n v="0"/>
    <n v="0"/>
    <n v="0"/>
    <n v="0"/>
    <n v="0"/>
    <n v="0"/>
    <n v="0"/>
    <n v="0"/>
    <n v="-36508.5"/>
    <n v="-36508.5"/>
    <n v="808387.49"/>
  </r>
  <r>
    <x v="1"/>
    <x v="27"/>
    <x v="0"/>
    <s v="9000936"/>
    <n v="400040"/>
    <s v="Physician Svcs Rev--Medicare"/>
    <s v="Eliminations-PE @ HLN"/>
    <x v="0"/>
    <n v="1100"/>
    <n v="0"/>
    <n v="0"/>
    <n v="0"/>
    <n v="0"/>
    <n v="0"/>
    <n v="0"/>
    <n v="0"/>
    <n v="0"/>
    <n v="0"/>
    <n v="0"/>
    <n v="0"/>
    <n v="-18725497.73"/>
    <n v="-18725497.73"/>
    <n v="948741.83"/>
  </r>
  <r>
    <x v="1"/>
    <x v="27"/>
    <x v="0"/>
    <s v="9000936"/>
    <n v="400040"/>
    <s v="Physician Svcs Rev--Medicaid"/>
    <s v="Eliminations-PE @ HLN"/>
    <x v="0"/>
    <n v="1200"/>
    <n v="0"/>
    <n v="0"/>
    <n v="0"/>
    <n v="0"/>
    <n v="0"/>
    <n v="0"/>
    <n v="0"/>
    <n v="0"/>
    <n v="0"/>
    <n v="0"/>
    <n v="0"/>
    <n v="-13745469.119999999"/>
    <n v="-13745469.119999999"/>
    <n v="-318956.15999999997"/>
  </r>
  <r>
    <x v="1"/>
    <x v="27"/>
    <x v="0"/>
    <s v="9000936"/>
    <n v="400040"/>
    <s v="Physician Svcs Rev--Comm Insurance"/>
    <s v="Eliminations-PE @ HLN"/>
    <x v="0"/>
    <n v="1300"/>
    <n v="0"/>
    <n v="0"/>
    <n v="0"/>
    <n v="0"/>
    <n v="0"/>
    <n v="0"/>
    <n v="0"/>
    <n v="0"/>
    <n v="0"/>
    <n v="0"/>
    <n v="0"/>
    <n v="-1488380.42"/>
    <n v="-1488380.42"/>
    <n v="-424076.48"/>
  </r>
  <r>
    <x v="1"/>
    <x v="27"/>
    <x v="0"/>
    <s v="9000936"/>
    <n v="400040"/>
    <s v="Physician Svcs Rev--BCBS Comm"/>
    <s v="Eliminations-PE @ HLN"/>
    <x v="0"/>
    <n v="1301"/>
    <n v="0"/>
    <n v="0"/>
    <n v="0"/>
    <n v="0"/>
    <n v="0"/>
    <n v="0"/>
    <n v="0"/>
    <n v="0"/>
    <n v="0"/>
    <n v="0"/>
    <n v="0"/>
    <n v="-6019101.0800000001"/>
    <n v="-6019101.0800000001"/>
    <n v="-17282.53"/>
  </r>
  <r>
    <x v="1"/>
    <x v="27"/>
    <x v="0"/>
    <s v="9000936"/>
    <n v="400040"/>
    <s v="Physician Svcs Rev--Managed Care"/>
    <s v="Eliminations-PE @ HLN"/>
    <x v="0"/>
    <n v="1400"/>
    <n v="0"/>
    <n v="0"/>
    <n v="0"/>
    <n v="0"/>
    <n v="0"/>
    <n v="0"/>
    <n v="0"/>
    <n v="0"/>
    <n v="0"/>
    <n v="0"/>
    <n v="0"/>
    <n v="-19325961.57"/>
    <n v="-19325961.57"/>
    <n v="-94374.7"/>
  </r>
  <r>
    <x v="1"/>
    <x v="27"/>
    <x v="0"/>
    <s v="9000936"/>
    <n v="400040"/>
    <s v="Physician Svcs Rev--Self Pay"/>
    <s v="Eliminations-PE @ HLN"/>
    <x v="0"/>
    <n v="1500"/>
    <n v="0"/>
    <n v="0"/>
    <n v="0"/>
    <n v="0"/>
    <n v="0"/>
    <n v="0"/>
    <n v="0"/>
    <n v="0"/>
    <n v="0"/>
    <n v="0"/>
    <n v="0"/>
    <n v="-808387.49"/>
    <n v="-808387.49"/>
    <n v="-314675.25"/>
  </r>
  <r>
    <x v="1"/>
    <x v="27"/>
    <x v="0"/>
    <s v="9000936"/>
    <n v="400040"/>
    <s v="Physician Svcs Rev--Other"/>
    <s v="Eliminations-PE @ HLN"/>
    <x v="0"/>
    <n v="1700"/>
    <n v="0"/>
    <n v="0"/>
    <n v="0"/>
    <n v="0"/>
    <n v="0"/>
    <n v="0"/>
    <n v="0"/>
    <n v="0"/>
    <n v="0"/>
    <n v="0"/>
    <n v="0"/>
    <n v="-948741.83"/>
    <n v="-948741.83"/>
    <n v="-20045.689999999999"/>
  </r>
  <r>
    <x v="2"/>
    <x v="27"/>
    <x v="0"/>
    <s v="9000936"/>
    <n v="450029"/>
    <s v="Contr Allow--MD Other-Medicare"/>
    <s v="Eliminations-PE @ HLN"/>
    <x v="0"/>
    <n v="1100"/>
    <n v="0"/>
    <n v="0"/>
    <n v="0"/>
    <n v="0"/>
    <n v="0"/>
    <n v="0"/>
    <n v="0"/>
    <n v="0"/>
    <n v="0"/>
    <n v="0"/>
    <n v="0"/>
    <n v="318956.15999999997"/>
    <n v="318956.15999999997"/>
    <n v="-20670.27"/>
  </r>
  <r>
    <x v="2"/>
    <x v="27"/>
    <x v="0"/>
    <s v="9000936"/>
    <n v="450029"/>
    <s v="Contr Allow--MD Other-Medicaid"/>
    <s v="Eliminations-PE @ HLN"/>
    <x v="0"/>
    <n v="1200"/>
    <n v="0"/>
    <n v="0"/>
    <n v="0"/>
    <n v="0"/>
    <n v="0"/>
    <n v="0"/>
    <n v="0"/>
    <n v="0"/>
    <n v="0"/>
    <n v="0"/>
    <n v="0"/>
    <n v="424076.48"/>
    <n v="424076.48"/>
    <n v="-11896239.09"/>
  </r>
  <r>
    <x v="2"/>
    <x v="27"/>
    <x v="0"/>
    <s v="9000936"/>
    <n v="450029"/>
    <s v="Contr Allow--MD Other-Comm Insurance"/>
    <s v="Eliminations-PE @ HLN"/>
    <x v="0"/>
    <n v="1300"/>
    <n v="0"/>
    <n v="0"/>
    <n v="0"/>
    <n v="0"/>
    <n v="0"/>
    <n v="0"/>
    <n v="0"/>
    <n v="0"/>
    <n v="0"/>
    <n v="0"/>
    <n v="0"/>
    <n v="17282.53"/>
    <n v="17282.53"/>
    <n v="-9835630.2300000004"/>
  </r>
  <r>
    <x v="2"/>
    <x v="27"/>
    <x v="0"/>
    <s v="9000936"/>
    <n v="450029"/>
    <s v="Contr Allow--MD Other BCBS Comm"/>
    <s v="Eliminations-PE @ HLN"/>
    <x v="0"/>
    <n v="1301"/>
    <n v="0"/>
    <n v="0"/>
    <n v="0"/>
    <n v="0"/>
    <n v="0"/>
    <n v="0"/>
    <n v="0"/>
    <n v="0"/>
    <n v="0"/>
    <n v="0"/>
    <n v="0"/>
    <n v="94374.7"/>
    <n v="94374.7"/>
    <n v="-455457.62"/>
  </r>
  <r>
    <x v="2"/>
    <x v="27"/>
    <x v="0"/>
    <s v="9000936"/>
    <n v="450029"/>
    <s v="Contr Allow--MD Other-Managed Care"/>
    <s v="Eliminations-PE @ HLN"/>
    <x v="0"/>
    <n v="1400"/>
    <n v="0"/>
    <n v="0"/>
    <n v="0"/>
    <n v="0"/>
    <n v="0"/>
    <n v="0"/>
    <n v="0"/>
    <n v="0"/>
    <n v="0"/>
    <n v="0"/>
    <n v="0"/>
    <n v="314675.25"/>
    <n v="314675.25"/>
    <n v="-2058627.48"/>
  </r>
  <r>
    <x v="2"/>
    <x v="27"/>
    <x v="0"/>
    <s v="9000936"/>
    <n v="450029"/>
    <s v="Admin Adjust-MD Other-Self Pay"/>
    <s v="Eliminations-PE @ HLN"/>
    <x v="0"/>
    <n v="1600"/>
    <n v="0"/>
    <n v="0"/>
    <n v="0"/>
    <n v="0"/>
    <n v="0"/>
    <n v="0"/>
    <n v="0"/>
    <n v="0"/>
    <n v="0"/>
    <n v="0"/>
    <n v="0"/>
    <n v="20045.689999999999"/>
    <n v="20045.689999999999"/>
    <n v="-7176915.5"/>
  </r>
  <r>
    <x v="2"/>
    <x v="27"/>
    <x v="0"/>
    <s v="9000936"/>
    <n v="450029"/>
    <s v="Contr Allow--MD Other-Other"/>
    <s v="Eliminations-PE @ HLN"/>
    <x v="0"/>
    <n v="1700"/>
    <n v="0"/>
    <n v="0"/>
    <n v="0"/>
    <n v="0"/>
    <n v="0"/>
    <n v="0"/>
    <n v="0"/>
    <n v="0"/>
    <n v="0"/>
    <n v="0"/>
    <n v="0"/>
    <n v="20670.27"/>
    <n v="20670.27"/>
    <n v="875248.66"/>
  </r>
  <r>
    <x v="2"/>
    <x v="27"/>
    <x v="0"/>
    <s v="9000936"/>
    <n v="450040"/>
    <s v="Contr Allow--Phys Svcs--Mcare"/>
    <s v="Eliminations-PE @ HLN"/>
    <x v="0"/>
    <n v="1100"/>
    <n v="0"/>
    <n v="0"/>
    <n v="0"/>
    <n v="0"/>
    <n v="0"/>
    <n v="0"/>
    <n v="0"/>
    <n v="0"/>
    <n v="0"/>
    <n v="0"/>
    <n v="0"/>
    <n v="11896239.09"/>
    <n v="11896239.09"/>
    <n v="17585.23"/>
  </r>
  <r>
    <x v="2"/>
    <x v="27"/>
    <x v="0"/>
    <s v="9000936"/>
    <n v="450040"/>
    <s v="Contr Allow--Phys Svcs--Mcaid"/>
    <s v="Eliminations-PE @ HLN"/>
    <x v="0"/>
    <n v="1200"/>
    <n v="0"/>
    <n v="0"/>
    <n v="0"/>
    <n v="0"/>
    <n v="0"/>
    <n v="0"/>
    <n v="0"/>
    <n v="0"/>
    <n v="0"/>
    <n v="0"/>
    <n v="0"/>
    <n v="9835630.2300000004"/>
    <n v="9835630.2300000004"/>
    <n v="-685267.41"/>
  </r>
  <r>
    <x v="2"/>
    <x v="27"/>
    <x v="0"/>
    <s v="9000936"/>
    <n v="450040"/>
    <s v="Contr Allow--Phys Svcs--Comm Insurance"/>
    <s v="Eliminations-PE @ HLN"/>
    <x v="0"/>
    <n v="1300"/>
    <n v="0"/>
    <n v="0"/>
    <n v="0"/>
    <n v="0"/>
    <n v="0"/>
    <n v="0"/>
    <n v="0"/>
    <n v="0"/>
    <n v="0"/>
    <n v="0"/>
    <n v="0"/>
    <n v="455457.62"/>
    <n v="455457.62"/>
    <n v="-494448.24"/>
  </r>
  <r>
    <x v="2"/>
    <x v="27"/>
    <x v="0"/>
    <s v="9000936"/>
    <n v="450040"/>
    <s v="Contr Allow--Phys Svcs--BCBS Comm Ins"/>
    <s v="Eliminations-PE @ HLN"/>
    <x v="0"/>
    <n v="1301"/>
    <n v="0"/>
    <n v="0"/>
    <n v="0"/>
    <n v="0"/>
    <n v="0"/>
    <n v="0"/>
    <n v="0"/>
    <n v="0"/>
    <n v="0"/>
    <n v="0"/>
    <n v="0"/>
    <n v="2058627.48"/>
    <n v="2058627.48"/>
    <n v="-314611.19"/>
  </r>
  <r>
    <x v="2"/>
    <x v="27"/>
    <x v="0"/>
    <s v="9000936"/>
    <n v="450040"/>
    <s v="Contr Allow--Phys Svcs--Managed Care"/>
    <s v="Eliminations-PE @ HLN"/>
    <x v="0"/>
    <n v="1400"/>
    <n v="0"/>
    <n v="0"/>
    <n v="0"/>
    <n v="0"/>
    <n v="0"/>
    <n v="0"/>
    <n v="0"/>
    <n v="0"/>
    <n v="0"/>
    <n v="0"/>
    <n v="0"/>
    <n v="7176915.5"/>
    <n v="7176915.5"/>
    <n v="-526307.47"/>
  </r>
  <r>
    <x v="2"/>
    <x v="27"/>
    <x v="0"/>
    <s v="9000936"/>
    <n v="450040"/>
    <s v="Contr Allow--Phys Svcs--BCBS Mgnd Care"/>
    <s v="Eliminations-PE @ HLN"/>
    <x v="0"/>
    <n v="1401"/>
    <n v="0"/>
    <n v="0"/>
    <n v="0"/>
    <n v="0"/>
    <n v="0"/>
    <n v="0"/>
    <n v="0"/>
    <n v="0"/>
    <n v="0"/>
    <n v="0"/>
    <n v="0"/>
    <n v="-875248.66"/>
    <n v="-875248.66"/>
    <n v="38967.54"/>
  </r>
  <r>
    <x v="2"/>
    <x v="27"/>
    <x v="0"/>
    <s v="9000936"/>
    <n v="450040"/>
    <s v="Prompt Pay Disc-Phys Svcs-Self Pay"/>
    <s v="Eliminations-PE @ HLN"/>
    <x v="0"/>
    <n v="1500"/>
    <n v="0"/>
    <n v="0"/>
    <n v="0"/>
    <n v="0"/>
    <n v="0"/>
    <n v="0"/>
    <n v="0"/>
    <n v="0"/>
    <n v="0"/>
    <n v="0"/>
    <n v="0"/>
    <n v="-17585.23"/>
    <n v="-17585.23"/>
    <n v="114.85"/>
  </r>
  <r>
    <x v="2"/>
    <x v="27"/>
    <x v="0"/>
    <s v="9000936"/>
    <n v="450040"/>
    <s v="Admin Adjust-Phys Svcs-Self Pay"/>
    <s v="Eliminations-PE @ HLN"/>
    <x v="0"/>
    <n v="1600"/>
    <n v="0"/>
    <n v="0"/>
    <n v="0"/>
    <n v="0"/>
    <n v="0"/>
    <n v="0"/>
    <n v="0"/>
    <n v="0"/>
    <n v="0"/>
    <n v="0"/>
    <n v="0"/>
    <n v="685267.41"/>
    <n v="685267.41"/>
    <n v="40.630000000000003"/>
  </r>
  <r>
    <x v="2"/>
    <x v="27"/>
    <x v="0"/>
    <s v="9000936"/>
    <n v="450040"/>
    <s v="Contr Allow--Phys Svcs--Other"/>
    <s v="Eliminations-PE @ HLN"/>
    <x v="0"/>
    <n v="1700"/>
    <n v="0"/>
    <n v="0"/>
    <n v="0"/>
    <n v="0"/>
    <n v="0"/>
    <n v="0"/>
    <n v="0"/>
    <n v="0"/>
    <n v="0"/>
    <n v="0"/>
    <n v="0"/>
    <n v="494448.24"/>
    <n v="494448.24"/>
    <n v="840.32"/>
  </r>
  <r>
    <x v="3"/>
    <x v="27"/>
    <x v="0"/>
    <s v="9000936"/>
    <n v="470040"/>
    <s v="Charity Care-Physician Svcs"/>
    <s v="Eliminations-PE @ HLN"/>
    <x v="0"/>
    <m/>
    <n v="0"/>
    <n v="0"/>
    <n v="0"/>
    <n v="0"/>
    <n v="0"/>
    <n v="0"/>
    <n v="0"/>
    <n v="0"/>
    <n v="0"/>
    <n v="0"/>
    <n v="0"/>
    <n v="314611.19"/>
    <n v="314611.19"/>
    <n v="441291.37"/>
  </r>
  <r>
    <x v="4"/>
    <x v="27"/>
    <x v="0"/>
    <s v="9000936"/>
    <n v="490010"/>
    <s v="Provision for Bad Debts"/>
    <s v="Eliminations-PE @ HLN"/>
    <x v="0"/>
    <m/>
    <n v="0"/>
    <n v="0"/>
    <n v="0"/>
    <n v="0"/>
    <n v="0"/>
    <n v="0"/>
    <n v="0"/>
    <n v="0"/>
    <n v="0"/>
    <n v="0"/>
    <n v="0"/>
    <n v="526307.47"/>
    <n v="526307.47"/>
    <n v="16083.79"/>
  </r>
  <r>
    <x v="14"/>
    <x v="27"/>
    <x v="0"/>
    <s v="9000936"/>
    <n v="600010"/>
    <s v="Product Sales Income-Taxable"/>
    <s v="Eliminations-PE @ HLN"/>
    <x v="0"/>
    <m/>
    <n v="0"/>
    <n v="0"/>
    <n v="0"/>
    <n v="0"/>
    <n v="0"/>
    <n v="0"/>
    <n v="0"/>
    <n v="0"/>
    <n v="0"/>
    <n v="0"/>
    <n v="0"/>
    <n v="-38967.54"/>
    <n v="-38967.54"/>
    <n v="44599.5"/>
  </r>
  <r>
    <x v="14"/>
    <x v="27"/>
    <x v="0"/>
    <s v="9000936"/>
    <n v="600026"/>
    <s v="POB Rental"/>
    <s v="Eliminations-PE @ HLN"/>
    <x v="0"/>
    <n v="1001"/>
    <n v="0"/>
    <n v="0"/>
    <n v="0"/>
    <n v="0"/>
    <n v="0"/>
    <n v="0"/>
    <n v="0"/>
    <n v="0"/>
    <n v="0"/>
    <n v="0"/>
    <n v="0"/>
    <n v="-114.85"/>
    <n v="-114.85"/>
    <n v="176113.99"/>
  </r>
  <r>
    <x v="14"/>
    <x v="27"/>
    <x v="0"/>
    <s v="9000936"/>
    <n v="600026"/>
    <s v="Other Rental"/>
    <s v="Eliminations-PE @ HLN"/>
    <x v="0"/>
    <n v="1002"/>
    <n v="0"/>
    <n v="0"/>
    <n v="0"/>
    <n v="0"/>
    <n v="0"/>
    <n v="0"/>
    <n v="0"/>
    <n v="0"/>
    <n v="0"/>
    <n v="0"/>
    <n v="0"/>
    <n v="-40.630000000000003"/>
    <n v="-40.630000000000003"/>
    <n v="31.96"/>
  </r>
  <r>
    <x v="14"/>
    <x v="27"/>
    <x v="0"/>
    <s v="9000936"/>
    <n v="600034"/>
    <s v="Vending Commission"/>
    <s v="Eliminations-PE @ HLN"/>
    <x v="0"/>
    <n v="1002"/>
    <n v="0"/>
    <n v="0"/>
    <n v="0"/>
    <n v="0"/>
    <n v="0"/>
    <n v="0"/>
    <n v="0"/>
    <n v="0"/>
    <n v="0"/>
    <n v="0"/>
    <n v="0"/>
    <n v="-840.32"/>
    <n v="-840.32"/>
    <n v="-816994.59"/>
  </r>
  <r>
    <x v="14"/>
    <x v="27"/>
    <x v="0"/>
    <s v="9000936"/>
    <n v="600050"/>
    <s v="Miscellaneous Revenue"/>
    <s v="Eliminations-PE @ HLN"/>
    <x v="0"/>
    <m/>
    <n v="0"/>
    <n v="0"/>
    <n v="0"/>
    <n v="0"/>
    <n v="0"/>
    <n v="0"/>
    <n v="0"/>
    <n v="0"/>
    <n v="0"/>
    <n v="0"/>
    <n v="0"/>
    <n v="-441291.37"/>
    <n v="-441291.37"/>
    <n v="-742.9"/>
  </r>
  <r>
    <x v="14"/>
    <x v="27"/>
    <x v="0"/>
    <s v="9000936"/>
    <n v="600055"/>
    <s v="Grants"/>
    <s v="Eliminations-PE @ HLN"/>
    <x v="0"/>
    <m/>
    <n v="0"/>
    <n v="0"/>
    <n v="0"/>
    <n v="0"/>
    <n v="0"/>
    <n v="0"/>
    <n v="0"/>
    <n v="0"/>
    <n v="0"/>
    <n v="0"/>
    <n v="0"/>
    <n v="-16083.79"/>
    <n v="-16083.79"/>
    <n v="-393548.9"/>
  </r>
  <r>
    <x v="14"/>
    <x v="27"/>
    <x v="0"/>
    <s v="9000936"/>
    <n v="600059"/>
    <s v="Meaningful Use Revenue-Medicaid"/>
    <s v="Eliminations-PE @ HLN"/>
    <x v="0"/>
    <m/>
    <n v="0"/>
    <n v="0"/>
    <n v="0"/>
    <n v="0"/>
    <n v="0"/>
    <n v="0"/>
    <n v="0"/>
    <n v="0"/>
    <n v="0"/>
    <n v="0"/>
    <n v="0"/>
    <n v="-44599.5"/>
    <n v="-44599.5"/>
    <n v="-2.2200000000000002"/>
  </r>
  <r>
    <x v="14"/>
    <x v="27"/>
    <x v="0"/>
    <s v="9000936"/>
    <n v="600061"/>
    <s v="Federal Grant Revenue"/>
    <s v="Eliminations-PE @ HLN"/>
    <x v="0"/>
    <m/>
    <n v="0"/>
    <n v="0"/>
    <n v="0"/>
    <n v="0"/>
    <n v="0"/>
    <n v="0"/>
    <n v="0"/>
    <n v="0"/>
    <n v="0"/>
    <n v="0"/>
    <n v="0"/>
    <n v="-176113.99"/>
    <n v="-176113.99"/>
    <n v="-97169.19"/>
  </r>
  <r>
    <x v="20"/>
    <x v="27"/>
    <x v="0"/>
    <s v="9000936"/>
    <n v="610010"/>
    <s v="Foundation Distributions"/>
    <s v="Eliminations-PE @ HLN"/>
    <x v="0"/>
    <n v="1175"/>
    <n v="0"/>
    <n v="0"/>
    <n v="0"/>
    <n v="0"/>
    <n v="0"/>
    <n v="0"/>
    <n v="0"/>
    <n v="0"/>
    <n v="0"/>
    <n v="0"/>
    <n v="0"/>
    <n v="-31.96"/>
    <n v="-31.96"/>
    <n v="-93203.69"/>
  </r>
  <r>
    <x v="5"/>
    <x v="27"/>
    <x v="0"/>
    <s v="9000936"/>
    <n v="700014"/>
    <s v="Salaries-Management-Productive"/>
    <s v="Eliminations-PE @ HLN"/>
    <x v="0"/>
    <m/>
    <n v="0"/>
    <n v="0"/>
    <n v="0"/>
    <n v="0"/>
    <n v="0"/>
    <n v="0"/>
    <n v="0"/>
    <n v="0"/>
    <n v="0"/>
    <n v="0"/>
    <n v="0"/>
    <n v="816994.59"/>
    <n v="816994.59"/>
    <n v="-11723976.289999999"/>
  </r>
  <r>
    <x v="5"/>
    <x v="27"/>
    <x v="0"/>
    <s v="9000936"/>
    <n v="700014"/>
    <s v="Salaries-Management-Other"/>
    <s v="Eliminations-PE @ HLN"/>
    <x v="0"/>
    <n v="2000"/>
    <n v="0"/>
    <n v="0"/>
    <n v="0"/>
    <n v="0"/>
    <n v="0"/>
    <n v="0"/>
    <n v="0"/>
    <n v="0"/>
    <n v="0"/>
    <n v="0"/>
    <n v="0"/>
    <n v="742.9"/>
    <n v="742.9"/>
    <n v="-191464.37"/>
  </r>
  <r>
    <x v="5"/>
    <x v="27"/>
    <x v="0"/>
    <s v="9000936"/>
    <n v="700018"/>
    <s v="Salaries-Supervisory-Productive"/>
    <s v="Eliminations-PE @ HLN"/>
    <x v="0"/>
    <m/>
    <n v="0"/>
    <n v="0"/>
    <n v="0"/>
    <n v="0"/>
    <n v="0"/>
    <n v="0"/>
    <n v="0"/>
    <n v="0"/>
    <n v="0"/>
    <n v="0"/>
    <n v="0"/>
    <n v="393548.9"/>
    <n v="393548.9"/>
    <n v="-160053.51999999999"/>
  </r>
  <r>
    <x v="5"/>
    <x v="27"/>
    <x v="0"/>
    <s v="9000936"/>
    <n v="700018"/>
    <s v="Salaries-Supervisory-Other"/>
    <s v="Eliminations-PE @ HLN"/>
    <x v="0"/>
    <n v="2000"/>
    <n v="0"/>
    <n v="0"/>
    <n v="0"/>
    <n v="0"/>
    <n v="0"/>
    <n v="0"/>
    <n v="0"/>
    <n v="0"/>
    <n v="0"/>
    <n v="0"/>
    <n v="0"/>
    <n v="2.2200000000000002"/>
    <n v="2.2200000000000002"/>
    <n v="116.44"/>
  </r>
  <r>
    <x v="5"/>
    <x v="27"/>
    <x v="0"/>
    <s v="9000936"/>
    <n v="700020"/>
    <s v="Salaries-Physician Admin-Productive"/>
    <s v="Eliminations-PE @ HLN"/>
    <x v="0"/>
    <m/>
    <n v="0"/>
    <n v="0"/>
    <n v="0"/>
    <n v="0"/>
    <n v="0"/>
    <n v="0"/>
    <n v="0"/>
    <n v="0"/>
    <n v="0"/>
    <n v="0"/>
    <n v="0"/>
    <n v="97169.19"/>
    <n v="97169.19"/>
    <n v="-2489365.06"/>
  </r>
  <r>
    <x v="5"/>
    <x v="27"/>
    <x v="0"/>
    <s v="9000936"/>
    <n v="700020"/>
    <s v="Salaries-Physician Admin-Other"/>
    <s v="Eliminations-PE @ HLN"/>
    <x v="0"/>
    <n v="2000"/>
    <n v="0"/>
    <n v="0"/>
    <n v="0"/>
    <n v="0"/>
    <n v="0"/>
    <n v="0"/>
    <n v="0"/>
    <n v="0"/>
    <n v="0"/>
    <n v="0"/>
    <n v="0"/>
    <n v="93203.69"/>
    <n v="93203.69"/>
    <n v="-38192.85"/>
  </r>
  <r>
    <x v="5"/>
    <x v="27"/>
    <x v="0"/>
    <s v="9000936"/>
    <n v="700022"/>
    <s v="Salaries-Physician-Productive"/>
    <s v="Eliminations-PE @ HLN"/>
    <x v="0"/>
    <m/>
    <n v="0"/>
    <n v="0"/>
    <n v="0"/>
    <n v="0"/>
    <n v="0"/>
    <n v="0"/>
    <n v="0"/>
    <n v="0"/>
    <n v="0"/>
    <n v="0"/>
    <n v="0"/>
    <n v="11723976.289999999"/>
    <n v="11723976.289999999"/>
    <n v="-23732.5"/>
  </r>
  <r>
    <x v="5"/>
    <x v="27"/>
    <x v="0"/>
    <s v="9000936"/>
    <n v="700022"/>
    <s v="Salaries-Physician-Other"/>
    <s v="Eliminations-PE @ HLN"/>
    <x v="0"/>
    <n v="2000"/>
    <n v="0"/>
    <n v="0"/>
    <n v="0"/>
    <n v="0"/>
    <n v="0"/>
    <n v="0"/>
    <n v="0"/>
    <n v="0"/>
    <n v="0"/>
    <n v="0"/>
    <n v="0"/>
    <n v="191464.37"/>
    <n v="191464.37"/>
    <n v="-1299111.79"/>
  </r>
  <r>
    <x v="5"/>
    <x v="27"/>
    <x v="0"/>
    <s v="9000936"/>
    <n v="700022"/>
    <s v="Salaries-Physician-Provider Incentive"/>
    <s v="Eliminations-PE @ HLN"/>
    <x v="0"/>
    <n v="4003"/>
    <n v="0"/>
    <n v="0"/>
    <n v="0"/>
    <n v="0"/>
    <n v="0"/>
    <n v="0"/>
    <n v="0"/>
    <n v="0"/>
    <n v="0"/>
    <n v="0"/>
    <n v="0"/>
    <n v="160053.51999999999"/>
    <n v="160053.51999999999"/>
    <n v="-31871.22"/>
  </r>
  <r>
    <x v="5"/>
    <x v="27"/>
    <x v="0"/>
    <s v="9000936"/>
    <n v="700022"/>
    <s v="Salaries-Physician-Recruitment Bonus"/>
    <s v="Eliminations-PE @ HLN"/>
    <x v="0"/>
    <n v="4005"/>
    <n v="0"/>
    <n v="0"/>
    <n v="0"/>
    <n v="0"/>
    <n v="0"/>
    <n v="0"/>
    <n v="0"/>
    <n v="0"/>
    <n v="0"/>
    <n v="0"/>
    <n v="0"/>
    <n v="-116.44"/>
    <n v="-116.44"/>
    <n v="-4652.2299999999996"/>
  </r>
  <r>
    <x v="5"/>
    <x v="27"/>
    <x v="0"/>
    <s v="9000936"/>
    <n v="700024"/>
    <s v="Salaries-Advanced Practice Clinician-Productive"/>
    <s v="Eliminations-PE @ HLN"/>
    <x v="0"/>
    <m/>
    <n v="0"/>
    <n v="0"/>
    <n v="0"/>
    <n v="0"/>
    <n v="0"/>
    <n v="0"/>
    <n v="0"/>
    <n v="0"/>
    <n v="0"/>
    <n v="0"/>
    <n v="0"/>
    <n v="2489365.06"/>
    <n v="2489365.06"/>
    <n v="-425364.56"/>
  </r>
  <r>
    <x v="5"/>
    <x v="27"/>
    <x v="0"/>
    <s v="9000936"/>
    <n v="700024"/>
    <s v="Salaries-Advanced Practice Clinician-Other"/>
    <s v="Eliminations-PE @ HLN"/>
    <x v="0"/>
    <n v="2000"/>
    <n v="0"/>
    <n v="0"/>
    <n v="0"/>
    <n v="0"/>
    <n v="0"/>
    <n v="0"/>
    <n v="0"/>
    <n v="0"/>
    <n v="0"/>
    <n v="0"/>
    <n v="0"/>
    <n v="38192.85"/>
    <n v="38192.85"/>
    <n v="-9884.6299999999992"/>
  </r>
  <r>
    <x v="5"/>
    <x v="27"/>
    <x v="0"/>
    <s v="9000936"/>
    <n v="700024"/>
    <s v="Salaries-Advanced Practice Clinician-Provider Incentive"/>
    <s v="Eliminations-PE @ HLN"/>
    <x v="0"/>
    <n v="4003"/>
    <n v="0"/>
    <n v="0"/>
    <n v="0"/>
    <n v="0"/>
    <n v="0"/>
    <n v="0"/>
    <n v="0"/>
    <n v="0"/>
    <n v="0"/>
    <n v="0"/>
    <n v="0"/>
    <n v="23732.5"/>
    <n v="23732.5"/>
    <n v="-750.49"/>
  </r>
  <r>
    <x v="5"/>
    <x v="27"/>
    <x v="0"/>
    <s v="9000936"/>
    <n v="700026"/>
    <s v="Salaries-RN-Productive"/>
    <s v="Eliminations-PE @ HLN"/>
    <x v="0"/>
    <m/>
    <n v="0"/>
    <n v="0"/>
    <n v="0"/>
    <n v="0"/>
    <n v="0"/>
    <n v="0"/>
    <n v="0"/>
    <n v="0"/>
    <n v="0"/>
    <n v="0"/>
    <n v="0"/>
    <n v="1299111.79"/>
    <n v="1299111.79"/>
    <n v="-2205926.9"/>
  </r>
  <r>
    <x v="5"/>
    <x v="27"/>
    <x v="0"/>
    <s v="9000936"/>
    <n v="700026"/>
    <s v="Salaries-RN-OT"/>
    <s v="Eliminations-PE @ HLN"/>
    <x v="0"/>
    <n v="1000"/>
    <n v="0"/>
    <n v="0"/>
    <n v="0"/>
    <n v="0"/>
    <n v="0"/>
    <n v="0"/>
    <n v="0"/>
    <n v="0"/>
    <n v="0"/>
    <n v="0"/>
    <n v="0"/>
    <n v="31871.22"/>
    <n v="31871.22"/>
    <n v="-83592.100000000006"/>
  </r>
  <r>
    <x v="5"/>
    <x v="27"/>
    <x v="0"/>
    <s v="9000936"/>
    <n v="700026"/>
    <s v="Salaries-RN-Other"/>
    <s v="Eliminations-PE @ HLN"/>
    <x v="0"/>
    <n v="2000"/>
    <n v="0"/>
    <n v="0"/>
    <n v="0"/>
    <n v="0"/>
    <n v="0"/>
    <n v="0"/>
    <n v="0"/>
    <n v="0"/>
    <n v="0"/>
    <n v="0"/>
    <n v="0"/>
    <n v="4652.2299999999996"/>
    <n v="4652.2299999999996"/>
    <n v="-15999.89"/>
  </r>
  <r>
    <x v="5"/>
    <x v="27"/>
    <x v="0"/>
    <s v="9000936"/>
    <n v="700030"/>
    <s v="Salaries-LPN-Productive"/>
    <s v="Eliminations-PE @ HLN"/>
    <x v="0"/>
    <m/>
    <n v="0"/>
    <n v="0"/>
    <n v="0"/>
    <n v="0"/>
    <n v="0"/>
    <n v="0"/>
    <n v="0"/>
    <n v="0"/>
    <n v="0"/>
    <n v="0"/>
    <n v="0"/>
    <n v="425364.56"/>
    <n v="425364.56"/>
    <n v="-643189.03"/>
  </r>
  <r>
    <x v="5"/>
    <x v="27"/>
    <x v="0"/>
    <s v="9000936"/>
    <n v="700030"/>
    <s v="Salaries-LPN-OT"/>
    <s v="Eliminations-PE @ HLN"/>
    <x v="0"/>
    <n v="1000"/>
    <n v="0"/>
    <n v="0"/>
    <n v="0"/>
    <n v="0"/>
    <n v="0"/>
    <n v="0"/>
    <n v="0"/>
    <n v="0"/>
    <n v="0"/>
    <n v="0"/>
    <n v="0"/>
    <n v="9884.6299999999992"/>
    <n v="9884.6299999999992"/>
    <n v="-3959.28"/>
  </r>
  <r>
    <x v="5"/>
    <x v="27"/>
    <x v="0"/>
    <s v="9000936"/>
    <n v="700030"/>
    <s v="Salaries-LPN-Other"/>
    <s v="Eliminations-PE @ HLN"/>
    <x v="0"/>
    <n v="2000"/>
    <n v="0"/>
    <n v="0"/>
    <n v="0"/>
    <n v="0"/>
    <n v="0"/>
    <n v="0"/>
    <n v="0"/>
    <n v="0"/>
    <n v="0"/>
    <n v="0"/>
    <n v="0"/>
    <n v="750.49"/>
    <n v="750.49"/>
    <n v="-987.97"/>
  </r>
  <r>
    <x v="5"/>
    <x v="27"/>
    <x v="0"/>
    <s v="9000936"/>
    <n v="700032"/>
    <s v="Salaries-Other Pat Care Providers-Productive"/>
    <s v="Eliminations-PE @ HLN"/>
    <x v="0"/>
    <m/>
    <n v="0"/>
    <n v="0"/>
    <n v="0"/>
    <n v="0"/>
    <n v="0"/>
    <n v="0"/>
    <n v="0"/>
    <n v="0"/>
    <n v="0"/>
    <n v="0"/>
    <n v="0"/>
    <n v="2205926.9"/>
    <n v="2205926.9"/>
    <n v="-3091609.84"/>
  </r>
  <r>
    <x v="5"/>
    <x v="27"/>
    <x v="0"/>
    <s v="9000936"/>
    <n v="700032"/>
    <s v="Salaries-Other Pat Care Providers-OT"/>
    <s v="Eliminations-PE @ HLN"/>
    <x v="0"/>
    <n v="1000"/>
    <n v="0"/>
    <n v="0"/>
    <n v="0"/>
    <n v="0"/>
    <n v="0"/>
    <n v="0"/>
    <n v="0"/>
    <n v="0"/>
    <n v="0"/>
    <n v="0"/>
    <n v="0"/>
    <n v="83592.100000000006"/>
    <n v="83592.100000000006"/>
    <n v="-100702.95"/>
  </r>
  <r>
    <x v="5"/>
    <x v="27"/>
    <x v="0"/>
    <s v="9000936"/>
    <n v="700032"/>
    <s v="Salaries-Other Pat Care Providers-Other"/>
    <s v="Eliminations-PE @ HLN"/>
    <x v="0"/>
    <n v="2000"/>
    <n v="0"/>
    <n v="0"/>
    <n v="0"/>
    <n v="0"/>
    <n v="0"/>
    <n v="0"/>
    <n v="0"/>
    <n v="0"/>
    <n v="0"/>
    <n v="0"/>
    <n v="0"/>
    <n v="15999.89"/>
    <n v="15999.89"/>
    <n v="-25802.76"/>
  </r>
  <r>
    <x v="5"/>
    <x v="27"/>
    <x v="0"/>
    <s v="9000936"/>
    <n v="700034"/>
    <s v="Salaries-Tech/Professional-Productive"/>
    <s v="Eliminations-PE @ HLN"/>
    <x v="0"/>
    <m/>
    <n v="0"/>
    <n v="0"/>
    <n v="0"/>
    <n v="0"/>
    <n v="0"/>
    <n v="0"/>
    <n v="0"/>
    <n v="0"/>
    <n v="0"/>
    <n v="0"/>
    <n v="0"/>
    <n v="643189.03"/>
    <n v="643189.03"/>
    <n v="-105114.71"/>
  </r>
  <r>
    <x v="5"/>
    <x v="27"/>
    <x v="0"/>
    <s v="9000936"/>
    <n v="700034"/>
    <s v="Salaries-Tech/Professional-OT"/>
    <s v="Eliminations-PE @ HLN"/>
    <x v="0"/>
    <n v="1000"/>
    <n v="0"/>
    <n v="0"/>
    <n v="0"/>
    <n v="0"/>
    <n v="0"/>
    <n v="0"/>
    <n v="0"/>
    <n v="0"/>
    <n v="0"/>
    <n v="0"/>
    <n v="0"/>
    <n v="3959.28"/>
    <n v="3959.28"/>
    <n v="-35.9"/>
  </r>
  <r>
    <x v="5"/>
    <x v="27"/>
    <x v="0"/>
    <s v="9000936"/>
    <n v="700034"/>
    <s v="Salaries-Tech/Professional-Other"/>
    <s v="Eliminations-PE @ HLN"/>
    <x v="0"/>
    <n v="2000"/>
    <n v="0"/>
    <n v="0"/>
    <n v="0"/>
    <n v="0"/>
    <n v="0"/>
    <n v="0"/>
    <n v="0"/>
    <n v="0"/>
    <n v="0"/>
    <n v="0"/>
    <n v="0"/>
    <n v="987.97"/>
    <n v="987.97"/>
    <n v="-61407.54"/>
  </r>
  <r>
    <x v="5"/>
    <x v="27"/>
    <x v="0"/>
    <s v="9000936"/>
    <n v="700038"/>
    <s v="Salaries-Service/Support-Productive"/>
    <s v="Eliminations-PE @ HLN"/>
    <x v="0"/>
    <m/>
    <n v="0"/>
    <n v="0"/>
    <n v="0"/>
    <n v="0"/>
    <n v="0"/>
    <n v="0"/>
    <n v="0"/>
    <n v="0"/>
    <n v="0"/>
    <n v="0"/>
    <n v="0"/>
    <n v="3091609.84"/>
    <n v="3091609.84"/>
    <n v="-1139090.1399999999"/>
  </r>
  <r>
    <x v="5"/>
    <x v="27"/>
    <x v="0"/>
    <s v="9000936"/>
    <n v="700038"/>
    <s v="Salaries-Service/Support-OT"/>
    <s v="Eliminations-PE @ HLN"/>
    <x v="0"/>
    <n v="1000"/>
    <n v="0"/>
    <n v="0"/>
    <n v="0"/>
    <n v="0"/>
    <n v="0"/>
    <n v="0"/>
    <n v="0"/>
    <n v="0"/>
    <n v="0"/>
    <n v="0"/>
    <n v="0"/>
    <n v="100702.95"/>
    <n v="100702.95"/>
    <n v="3876.12"/>
  </r>
  <r>
    <x v="5"/>
    <x v="27"/>
    <x v="0"/>
    <s v="9000936"/>
    <n v="700038"/>
    <s v="Salaries-Service/Support-Other"/>
    <s v="Eliminations-PE @ HLN"/>
    <x v="0"/>
    <n v="2000"/>
    <n v="0"/>
    <n v="0"/>
    <n v="0"/>
    <n v="0"/>
    <n v="0"/>
    <n v="0"/>
    <n v="0"/>
    <n v="0"/>
    <n v="0"/>
    <n v="0"/>
    <n v="0"/>
    <n v="25802.76"/>
    <n v="25802.76"/>
    <n v="-340842.36"/>
  </r>
  <r>
    <x v="5"/>
    <x v="27"/>
    <x v="0"/>
    <s v="9000936"/>
    <n v="700054"/>
    <s v="Salaries-Management-Non-productive"/>
    <s v="Eliminations-PE @ HLN"/>
    <x v="0"/>
    <m/>
    <n v="0"/>
    <n v="0"/>
    <n v="0"/>
    <n v="0"/>
    <n v="0"/>
    <n v="0"/>
    <n v="0"/>
    <n v="0"/>
    <n v="0"/>
    <n v="0"/>
    <n v="0"/>
    <n v="105114.71"/>
    <n v="105114.71"/>
    <n v="6245.58"/>
  </r>
  <r>
    <x v="5"/>
    <x v="27"/>
    <x v="0"/>
    <s v="9000936"/>
    <n v="700054"/>
    <s v="Salaries-Management-NonProd-Other"/>
    <s v="Eliminations-PE @ HLN"/>
    <x v="0"/>
    <n v="2000"/>
    <n v="0"/>
    <n v="0"/>
    <n v="0"/>
    <n v="0"/>
    <n v="0"/>
    <n v="0"/>
    <n v="0"/>
    <n v="0"/>
    <n v="0"/>
    <n v="0"/>
    <n v="0"/>
    <n v="35.9"/>
    <n v="35.9"/>
    <n v="-137590.53"/>
  </r>
  <r>
    <x v="5"/>
    <x v="27"/>
    <x v="0"/>
    <s v="9000936"/>
    <n v="700058"/>
    <s v="Salaries-Supervisory-Non-productive"/>
    <s v="Eliminations-PE @ HLN"/>
    <x v="0"/>
    <m/>
    <n v="0"/>
    <n v="0"/>
    <n v="0"/>
    <n v="0"/>
    <n v="0"/>
    <n v="0"/>
    <n v="0"/>
    <n v="0"/>
    <n v="0"/>
    <n v="0"/>
    <n v="0"/>
    <n v="61407.54"/>
    <n v="61407.54"/>
    <n v="-602.38"/>
  </r>
  <r>
    <x v="5"/>
    <x v="27"/>
    <x v="0"/>
    <s v="9000936"/>
    <n v="700062"/>
    <s v="Salaries-Physician-Non-productive"/>
    <s v="Eliminations-PE @ HLN"/>
    <x v="0"/>
    <m/>
    <n v="0"/>
    <n v="0"/>
    <n v="0"/>
    <n v="0"/>
    <n v="0"/>
    <n v="0"/>
    <n v="0"/>
    <n v="0"/>
    <n v="0"/>
    <n v="0"/>
    <n v="0"/>
    <n v="1139090.1399999999"/>
    <n v="1139090.1399999999"/>
    <n v="-57678.77"/>
  </r>
  <r>
    <x v="5"/>
    <x v="27"/>
    <x v="0"/>
    <s v="9000936"/>
    <n v="700062"/>
    <s v="Salaries-Physician-NonProd-Other"/>
    <s v="Eliminations-PE @ HLN"/>
    <x v="0"/>
    <n v="2000"/>
    <n v="0"/>
    <n v="0"/>
    <n v="0"/>
    <n v="0"/>
    <n v="0"/>
    <n v="0"/>
    <n v="0"/>
    <n v="0"/>
    <n v="0"/>
    <n v="0"/>
    <n v="0"/>
    <n v="-3876.12"/>
    <n v="-3876.12"/>
    <n v="-295229.21999999997"/>
  </r>
  <r>
    <x v="5"/>
    <x v="27"/>
    <x v="0"/>
    <s v="9000936"/>
    <n v="700064"/>
    <s v="Salaries-Advanced Practice Clinician-Non-Productive"/>
    <s v="Eliminations-PE @ HLN"/>
    <x v="0"/>
    <m/>
    <n v="0"/>
    <n v="0"/>
    <n v="0"/>
    <n v="0"/>
    <n v="0"/>
    <n v="0"/>
    <n v="0"/>
    <n v="0"/>
    <n v="0"/>
    <n v="0"/>
    <n v="0"/>
    <n v="340842.36"/>
    <n v="340842.36"/>
    <n v="-88.76"/>
  </r>
  <r>
    <x v="5"/>
    <x v="27"/>
    <x v="0"/>
    <s v="9000936"/>
    <n v="700064"/>
    <s v="Salaries-Advanced Practice Clinician-Non-Prod-Other"/>
    <s v="Eliminations-PE @ HLN"/>
    <x v="0"/>
    <n v="2000"/>
    <n v="0"/>
    <n v="0"/>
    <n v="0"/>
    <n v="0"/>
    <n v="0"/>
    <n v="0"/>
    <n v="0"/>
    <n v="0"/>
    <n v="0"/>
    <n v="0"/>
    <n v="0"/>
    <n v="-6245.58"/>
    <n v="-6245.58"/>
    <n v="-89973.27"/>
  </r>
  <r>
    <x v="5"/>
    <x v="27"/>
    <x v="0"/>
    <s v="9000936"/>
    <n v="700066"/>
    <s v="Salaries-RN-Non-productive"/>
    <s v="Eliminations-PE @ HLN"/>
    <x v="0"/>
    <m/>
    <n v="0"/>
    <n v="0"/>
    <n v="0"/>
    <n v="0"/>
    <n v="0"/>
    <n v="0"/>
    <n v="0"/>
    <n v="0"/>
    <n v="0"/>
    <n v="0"/>
    <n v="0"/>
    <n v="137590.53"/>
    <n v="137590.53"/>
    <n v="1.27"/>
  </r>
  <r>
    <x v="5"/>
    <x v="27"/>
    <x v="0"/>
    <s v="9000936"/>
    <n v="700066"/>
    <s v="Salaries-RN-NonProd-Other"/>
    <s v="Eliminations-PE @ HLN"/>
    <x v="0"/>
    <n v="2000"/>
    <n v="0"/>
    <n v="0"/>
    <n v="0"/>
    <n v="0"/>
    <n v="0"/>
    <n v="0"/>
    <n v="0"/>
    <n v="0"/>
    <n v="0"/>
    <n v="0"/>
    <n v="0"/>
    <n v="602.38"/>
    <n v="602.38"/>
    <n v="-441404.34"/>
  </r>
  <r>
    <x v="5"/>
    <x v="27"/>
    <x v="0"/>
    <s v="9000936"/>
    <n v="700070"/>
    <s v="Salaries-LPN-Non-productive"/>
    <s v="Eliminations-PE @ HLN"/>
    <x v="0"/>
    <m/>
    <n v="0"/>
    <n v="0"/>
    <n v="0"/>
    <n v="0"/>
    <n v="0"/>
    <n v="0"/>
    <n v="0"/>
    <n v="0"/>
    <n v="0"/>
    <n v="0"/>
    <n v="0"/>
    <n v="57678.77"/>
    <n v="57678.77"/>
    <n v="-159.97999999999999"/>
  </r>
  <r>
    <x v="5"/>
    <x v="27"/>
    <x v="0"/>
    <s v="9000936"/>
    <n v="700072"/>
    <s v="Salaries-Other Pat Care Providers-Non-productive"/>
    <s v="Eliminations-PE @ HLN"/>
    <x v="0"/>
    <m/>
    <n v="0"/>
    <n v="0"/>
    <n v="0"/>
    <n v="0"/>
    <n v="0"/>
    <n v="0"/>
    <n v="0"/>
    <n v="0"/>
    <n v="0"/>
    <n v="0"/>
    <n v="0"/>
    <n v="295229.21999999997"/>
    <n v="295229.21999999997"/>
    <n v="-96862.23"/>
  </r>
  <r>
    <x v="5"/>
    <x v="27"/>
    <x v="0"/>
    <s v="9000936"/>
    <n v="700072"/>
    <s v="Salaries-Other Pat Care Providers-NonProd-Other"/>
    <s v="Eliminations-PE @ HLN"/>
    <x v="0"/>
    <n v="2000"/>
    <n v="0"/>
    <n v="0"/>
    <n v="0"/>
    <n v="0"/>
    <n v="0"/>
    <n v="0"/>
    <n v="0"/>
    <n v="0"/>
    <n v="0"/>
    <n v="0"/>
    <n v="0"/>
    <n v="88.76"/>
    <n v="88.76"/>
    <n v="-20460"/>
  </r>
  <r>
    <x v="5"/>
    <x v="27"/>
    <x v="0"/>
    <s v="9000936"/>
    <n v="700074"/>
    <s v="Salaries-Tech/Professional-Non-productive"/>
    <s v="Eliminations-PE @ HLN"/>
    <x v="0"/>
    <m/>
    <n v="0"/>
    <n v="0"/>
    <n v="0"/>
    <n v="0"/>
    <n v="0"/>
    <n v="0"/>
    <n v="0"/>
    <n v="0"/>
    <n v="0"/>
    <n v="0"/>
    <n v="0"/>
    <n v="89973.27"/>
    <n v="89973.27"/>
    <n v="-105810.66"/>
  </r>
  <r>
    <x v="5"/>
    <x v="27"/>
    <x v="0"/>
    <s v="9000936"/>
    <n v="700074"/>
    <s v="Salaries-Tech/Professional-NonProd-Other"/>
    <s v="Eliminations-PE @ HLN"/>
    <x v="0"/>
    <n v="2000"/>
    <n v="0"/>
    <n v="0"/>
    <n v="0"/>
    <n v="0"/>
    <n v="0"/>
    <n v="0"/>
    <n v="0"/>
    <n v="0"/>
    <n v="0"/>
    <n v="0"/>
    <n v="0"/>
    <n v="-1.27"/>
    <n v="-1.27"/>
    <n v="-6894.75"/>
  </r>
  <r>
    <x v="5"/>
    <x v="27"/>
    <x v="0"/>
    <s v="9000936"/>
    <n v="700078"/>
    <s v="Salaries-Service/Support-Non-productive"/>
    <s v="Eliminations-PE @ HLN"/>
    <x v="0"/>
    <m/>
    <n v="0"/>
    <n v="0"/>
    <n v="0"/>
    <n v="0"/>
    <n v="0"/>
    <n v="0"/>
    <n v="0"/>
    <n v="0"/>
    <n v="0"/>
    <n v="0"/>
    <n v="0"/>
    <n v="441404.34"/>
    <n v="441404.34"/>
    <n v="-1514357.82"/>
  </r>
  <r>
    <x v="5"/>
    <x v="27"/>
    <x v="0"/>
    <s v="9000936"/>
    <n v="700078"/>
    <s v="Salaries-Service/Support-NonProd-Other"/>
    <s v="Eliminations-PE @ HLN"/>
    <x v="0"/>
    <n v="2000"/>
    <n v="0"/>
    <n v="0"/>
    <n v="0"/>
    <n v="0"/>
    <n v="0"/>
    <n v="0"/>
    <n v="0"/>
    <n v="0"/>
    <n v="0"/>
    <n v="0"/>
    <n v="0"/>
    <n v="159.97999999999999"/>
    <n v="159.97999999999999"/>
    <n v="-2918829.56"/>
  </r>
  <r>
    <x v="5"/>
    <x v="27"/>
    <x v="0"/>
    <s v="9000936"/>
    <n v="700084"/>
    <s v="Accrued PTO"/>
    <s v="Eliminations-PE @ HLN"/>
    <x v="0"/>
    <m/>
    <n v="0"/>
    <n v="0"/>
    <n v="0"/>
    <n v="0"/>
    <n v="0"/>
    <n v="0"/>
    <n v="0"/>
    <n v="0"/>
    <n v="0"/>
    <n v="0"/>
    <n v="0"/>
    <n v="96862.23"/>
    <n v="96862.23"/>
    <n v="-713190.33"/>
  </r>
  <r>
    <x v="10"/>
    <x v="27"/>
    <x v="0"/>
    <s v="9000936"/>
    <n v="710040"/>
    <s v="Contract Labor-Physician (Locum Tenum)"/>
    <s v="Eliminations-PE @ HLN"/>
    <x v="0"/>
    <m/>
    <n v="0"/>
    <n v="0"/>
    <n v="0"/>
    <n v="0"/>
    <n v="0"/>
    <n v="0"/>
    <n v="0"/>
    <n v="0"/>
    <n v="0"/>
    <n v="0"/>
    <n v="0"/>
    <n v="20460"/>
    <n v="20460"/>
    <n v="-312520.27"/>
  </r>
  <r>
    <x v="10"/>
    <x v="27"/>
    <x v="0"/>
    <s v="9000936"/>
    <n v="710060"/>
    <s v="Contract Labor-Other"/>
    <s v="Eliminations-PE @ HLN"/>
    <x v="0"/>
    <m/>
    <n v="0"/>
    <n v="0"/>
    <n v="0"/>
    <n v="0"/>
    <n v="0"/>
    <n v="0"/>
    <n v="0"/>
    <n v="0"/>
    <n v="0"/>
    <n v="0"/>
    <n v="0"/>
    <n v="105810.66"/>
    <n v="105810.66"/>
    <n v="-234.44"/>
  </r>
  <r>
    <x v="10"/>
    <x v="27"/>
    <x v="0"/>
    <s v="9000936"/>
    <n v="710060"/>
    <s v="Contract Labor-Overtime"/>
    <s v="Eliminations-PE @ HLN"/>
    <x v="0"/>
    <n v="5100"/>
    <n v="0"/>
    <n v="0"/>
    <n v="0"/>
    <n v="0"/>
    <n v="0"/>
    <n v="0"/>
    <n v="0"/>
    <n v="0"/>
    <n v="0"/>
    <n v="0"/>
    <n v="0"/>
    <n v="6894.75"/>
    <n v="6894.75"/>
    <n v="-5833.47"/>
  </r>
  <r>
    <x v="6"/>
    <x v="27"/>
    <x v="0"/>
    <s v="9000936"/>
    <n v="713010"/>
    <s v="Benefits-FICA/Medicare"/>
    <s v="Eliminations-PE @ HLN"/>
    <x v="0"/>
    <m/>
    <n v="0"/>
    <n v="0"/>
    <n v="0"/>
    <n v="0"/>
    <n v="0"/>
    <n v="0"/>
    <n v="0"/>
    <n v="0"/>
    <n v="0"/>
    <n v="0"/>
    <n v="0"/>
    <n v="1514357.82"/>
    <n v="1514357.82"/>
    <n v="-191.25"/>
  </r>
  <r>
    <x v="6"/>
    <x v="27"/>
    <x v="0"/>
    <s v="9000936"/>
    <n v="713090"/>
    <s v="Benefits-Allocated Amounts"/>
    <s v="Eliminations-PE @ HLN"/>
    <x v="0"/>
    <m/>
    <n v="0"/>
    <n v="0"/>
    <n v="0"/>
    <n v="0"/>
    <n v="0"/>
    <n v="0"/>
    <n v="0"/>
    <n v="0"/>
    <n v="0"/>
    <n v="0"/>
    <n v="0"/>
    <n v="2918829.56"/>
    <n v="2918829.56"/>
    <n v="-1986.51"/>
  </r>
  <r>
    <x v="6"/>
    <x v="27"/>
    <x v="0"/>
    <s v="9000936"/>
    <n v="713092"/>
    <s v="Allocated Benefits-Physician"/>
    <s v="Eliminations-PE @ HLN"/>
    <x v="0"/>
    <m/>
    <n v="0"/>
    <n v="0"/>
    <n v="0"/>
    <n v="0"/>
    <n v="0"/>
    <n v="0"/>
    <n v="0"/>
    <n v="0"/>
    <n v="0"/>
    <n v="0"/>
    <n v="0"/>
    <n v="713190.33"/>
    <n v="713190.33"/>
    <n v="-28472.9"/>
  </r>
  <r>
    <x v="6"/>
    <x v="27"/>
    <x v="0"/>
    <s v="9000936"/>
    <n v="713093"/>
    <s v="Allocated Benefits-Advanced Practice Clinician"/>
    <s v="Eliminations-PE @ HLN"/>
    <x v="0"/>
    <m/>
    <n v="0"/>
    <n v="0"/>
    <n v="0"/>
    <n v="0"/>
    <n v="0"/>
    <n v="0"/>
    <n v="0"/>
    <n v="0"/>
    <n v="0"/>
    <n v="0"/>
    <n v="0"/>
    <n v="312520.27"/>
    <n v="312520.27"/>
    <n v="-4026.41"/>
  </r>
  <r>
    <x v="6"/>
    <x v="27"/>
    <x v="0"/>
    <s v="9000936"/>
    <n v="713096"/>
    <s v="Benefits-Other"/>
    <s v="Eliminations-PE @ HLN"/>
    <x v="0"/>
    <m/>
    <n v="0"/>
    <n v="0"/>
    <n v="0"/>
    <n v="0"/>
    <n v="0"/>
    <n v="0"/>
    <n v="0"/>
    <n v="0"/>
    <n v="0"/>
    <n v="0"/>
    <n v="0"/>
    <n v="234.44"/>
    <n v="234.44"/>
    <n v="-14719.05"/>
  </r>
  <r>
    <x v="6"/>
    <x v="27"/>
    <x v="0"/>
    <s v="9000936"/>
    <n v="713096"/>
    <s v="Employee Recognition"/>
    <s v="Eliminations-PE @ HLN"/>
    <x v="0"/>
    <n v="1017"/>
    <n v="0"/>
    <n v="0"/>
    <n v="0"/>
    <n v="0"/>
    <n v="0"/>
    <n v="0"/>
    <n v="0"/>
    <n v="0"/>
    <n v="0"/>
    <n v="0"/>
    <n v="0"/>
    <n v="5833.47"/>
    <n v="5833.47"/>
    <n v="-689.46"/>
  </r>
  <r>
    <x v="21"/>
    <x v="27"/>
    <x v="0"/>
    <s v="9000936"/>
    <n v="716026"/>
    <s v="Consulting-Clinical"/>
    <s v="Eliminations-PE @ HLN"/>
    <x v="0"/>
    <m/>
    <n v="0"/>
    <n v="0"/>
    <n v="0"/>
    <n v="0"/>
    <n v="0"/>
    <n v="0"/>
    <n v="0"/>
    <n v="0"/>
    <n v="0"/>
    <n v="0"/>
    <n v="0"/>
    <n v="191.25"/>
    <n v="191.25"/>
    <n v="-196362.86"/>
  </r>
  <r>
    <x v="7"/>
    <x v="27"/>
    <x v="0"/>
    <s v="9000936"/>
    <n v="716038"/>
    <s v="Contract Services-Legal"/>
    <s v="Eliminations-PE @ HLN"/>
    <x v="0"/>
    <m/>
    <n v="0"/>
    <n v="0"/>
    <n v="0"/>
    <n v="0"/>
    <n v="0"/>
    <n v="0"/>
    <n v="0"/>
    <n v="0"/>
    <n v="0"/>
    <n v="0"/>
    <n v="0"/>
    <n v="1986.51"/>
    <n v="1986.51"/>
    <n v="-1364.98"/>
  </r>
  <r>
    <x v="21"/>
    <x v="27"/>
    <x v="0"/>
    <s v="9000936"/>
    <n v="716046"/>
    <s v="Consulting-Other"/>
    <s v="Eliminations-PE @ HLN"/>
    <x v="0"/>
    <m/>
    <n v="0"/>
    <n v="0"/>
    <n v="0"/>
    <n v="0"/>
    <n v="0"/>
    <n v="0"/>
    <n v="0"/>
    <n v="0"/>
    <n v="0"/>
    <n v="0"/>
    <n v="0"/>
    <n v="28472.9"/>
    <n v="28472.9"/>
    <n v="-1532.92"/>
  </r>
  <r>
    <x v="7"/>
    <x v="27"/>
    <x v="0"/>
    <s v="9000936"/>
    <n v="718010"/>
    <s v="Contract Services-Advertising &amp; Public Relations"/>
    <s v="Eliminations-PE @ HLN"/>
    <x v="0"/>
    <m/>
    <n v="0"/>
    <n v="0"/>
    <n v="0"/>
    <n v="0"/>
    <n v="0"/>
    <n v="0"/>
    <n v="0"/>
    <n v="0"/>
    <n v="0"/>
    <n v="0"/>
    <n v="0"/>
    <n v="4026.41"/>
    <n v="4026.41"/>
    <n v="-87924.23"/>
  </r>
  <r>
    <x v="7"/>
    <x v="27"/>
    <x v="0"/>
    <s v="9000936"/>
    <n v="718010"/>
    <s v="Media/Print Advertising"/>
    <s v="Eliminations-PE @ HLN"/>
    <x v="0"/>
    <n v="1004"/>
    <n v="0"/>
    <n v="0"/>
    <n v="0"/>
    <n v="0"/>
    <n v="0"/>
    <n v="0"/>
    <n v="0"/>
    <n v="0"/>
    <n v="0"/>
    <n v="0"/>
    <n v="0"/>
    <n v="14719.05"/>
    <n v="14719.05"/>
    <n v="-43671.78"/>
  </r>
  <r>
    <x v="7"/>
    <x v="27"/>
    <x v="0"/>
    <s v="9000936"/>
    <n v="718040"/>
    <s v="Contract Svcs-Laboratory"/>
    <s v="Eliminations-PE @ HLN"/>
    <x v="0"/>
    <m/>
    <n v="0"/>
    <n v="0"/>
    <n v="0"/>
    <n v="0"/>
    <n v="0"/>
    <n v="0"/>
    <n v="0"/>
    <n v="0"/>
    <n v="0"/>
    <n v="0"/>
    <n v="0"/>
    <n v="689.46"/>
    <n v="689.46"/>
    <n v="-859.65"/>
  </r>
  <r>
    <x v="7"/>
    <x v="27"/>
    <x v="0"/>
    <s v="9000936"/>
    <n v="718050"/>
    <s v="Contract Svcs-Other"/>
    <s v="Eliminations-PE @ HLN"/>
    <x v="0"/>
    <m/>
    <n v="0"/>
    <n v="0"/>
    <n v="0"/>
    <n v="0"/>
    <n v="0"/>
    <n v="0"/>
    <n v="0"/>
    <n v="0"/>
    <n v="0"/>
    <n v="0"/>
    <n v="0"/>
    <n v="196362.86"/>
    <n v="196362.86"/>
    <n v="-72027.61"/>
  </r>
  <r>
    <x v="7"/>
    <x v="27"/>
    <x v="0"/>
    <s v="9000936"/>
    <n v="718050"/>
    <s v="Management Fees"/>
    <s v="Eliminations-PE @ HLN"/>
    <x v="0"/>
    <n v="1004"/>
    <n v="0"/>
    <n v="0"/>
    <n v="0"/>
    <n v="0"/>
    <n v="0"/>
    <n v="0"/>
    <n v="0"/>
    <n v="0"/>
    <n v="0"/>
    <n v="0"/>
    <n v="0"/>
    <n v="1364.98"/>
    <n v="1364.98"/>
    <n v="-2754.58"/>
  </r>
  <r>
    <x v="7"/>
    <x v="27"/>
    <x v="0"/>
    <s v="9000936"/>
    <n v="718050"/>
    <s v="Transcription"/>
    <s v="Eliminations-PE @ HLN"/>
    <x v="0"/>
    <n v="1006"/>
    <n v="0"/>
    <n v="0"/>
    <n v="0"/>
    <n v="0"/>
    <n v="0"/>
    <n v="0"/>
    <n v="0"/>
    <n v="0"/>
    <n v="0"/>
    <n v="0"/>
    <n v="0"/>
    <n v="1532.92"/>
    <n v="1532.92"/>
    <n v="-67368.05"/>
  </r>
  <r>
    <x v="7"/>
    <x v="27"/>
    <x v="0"/>
    <s v="9000936"/>
    <n v="718050"/>
    <s v="Cleaning Services"/>
    <s v="Eliminations-PE @ HLN"/>
    <x v="0"/>
    <n v="1011"/>
    <n v="0"/>
    <n v="0"/>
    <n v="0"/>
    <n v="0"/>
    <n v="0"/>
    <n v="0"/>
    <n v="0"/>
    <n v="0"/>
    <n v="0"/>
    <n v="0"/>
    <n v="0"/>
    <n v="87924.23"/>
    <n v="87924.23"/>
    <n v="-62522.43"/>
  </r>
  <r>
    <x v="7"/>
    <x v="27"/>
    <x v="0"/>
    <s v="9000936"/>
    <n v="718050"/>
    <s v="Document Shredding/Storage"/>
    <s v="Eliminations-PE @ HLN"/>
    <x v="0"/>
    <n v="1012"/>
    <n v="0"/>
    <n v="0"/>
    <n v="0"/>
    <n v="0"/>
    <n v="0"/>
    <n v="0"/>
    <n v="0"/>
    <n v="0"/>
    <n v="0"/>
    <n v="0"/>
    <n v="0"/>
    <n v="43671.78"/>
    <n v="43671.78"/>
    <n v="-66782.7"/>
  </r>
  <r>
    <x v="7"/>
    <x v="27"/>
    <x v="0"/>
    <s v="9000936"/>
    <n v="718050"/>
    <s v="Pest Control"/>
    <s v="Eliminations-PE @ HLN"/>
    <x v="0"/>
    <n v="1014"/>
    <n v="0"/>
    <n v="0"/>
    <n v="0"/>
    <n v="0"/>
    <n v="0"/>
    <n v="0"/>
    <n v="0"/>
    <n v="0"/>
    <n v="0"/>
    <n v="0"/>
    <n v="0"/>
    <n v="859.65"/>
    <n v="859.65"/>
    <n v="-26692.71"/>
  </r>
  <r>
    <x v="7"/>
    <x v="27"/>
    <x v="0"/>
    <s v="9000936"/>
    <n v="718050"/>
    <s v="Physician Answering"/>
    <s v="Eliminations-PE @ HLN"/>
    <x v="0"/>
    <n v="1015"/>
    <n v="0"/>
    <n v="0"/>
    <n v="0"/>
    <n v="0"/>
    <n v="0"/>
    <n v="0"/>
    <n v="0"/>
    <n v="0"/>
    <n v="0"/>
    <n v="0"/>
    <n v="0"/>
    <n v="72027.61"/>
    <n v="72027.61"/>
    <n v="-4131.13"/>
  </r>
  <r>
    <x v="7"/>
    <x v="27"/>
    <x v="0"/>
    <s v="9000936"/>
    <n v="718050"/>
    <s v="Security"/>
    <s v="Eliminations-PE @ HLN"/>
    <x v="0"/>
    <n v="1019"/>
    <n v="0"/>
    <n v="0"/>
    <n v="0"/>
    <n v="0"/>
    <n v="0"/>
    <n v="0"/>
    <n v="0"/>
    <n v="0"/>
    <n v="0"/>
    <n v="0"/>
    <n v="0"/>
    <n v="2754.58"/>
    <n v="2754.58"/>
    <n v="-4135.43"/>
  </r>
  <r>
    <x v="7"/>
    <x v="27"/>
    <x v="0"/>
    <s v="9000936"/>
    <n v="718050"/>
    <s v="Miscellaneous Purchased Svcs"/>
    <s v="Eliminations-PE @ HLN"/>
    <x v="0"/>
    <n v="1020"/>
    <n v="0"/>
    <n v="0"/>
    <n v="0"/>
    <n v="0"/>
    <n v="0"/>
    <n v="0"/>
    <n v="0"/>
    <n v="0"/>
    <n v="0"/>
    <n v="0"/>
    <n v="0"/>
    <n v="67368.05"/>
    <n v="67368.05"/>
    <n v="-370966.89"/>
  </r>
  <r>
    <x v="7"/>
    <x v="27"/>
    <x v="0"/>
    <s v="9000936"/>
    <n v="718050"/>
    <s v="Translation Services"/>
    <s v="Eliminations-PE @ HLN"/>
    <x v="0"/>
    <n v="1025"/>
    <n v="0"/>
    <n v="0"/>
    <n v="0"/>
    <n v="0"/>
    <n v="0"/>
    <n v="0"/>
    <n v="0"/>
    <n v="0"/>
    <n v="0"/>
    <n v="0"/>
    <n v="0"/>
    <n v="62522.43"/>
    <n v="62522.43"/>
    <n v="-20599.38"/>
  </r>
  <r>
    <x v="7"/>
    <x v="27"/>
    <x v="0"/>
    <s v="9000936"/>
    <n v="718050"/>
    <s v="Contract Management--Linen"/>
    <s v="Eliminations-PE @ HLN"/>
    <x v="0"/>
    <n v="1026"/>
    <n v="0"/>
    <n v="0"/>
    <n v="0"/>
    <n v="0"/>
    <n v="0"/>
    <n v="0"/>
    <n v="0"/>
    <n v="0"/>
    <n v="0"/>
    <n v="0"/>
    <n v="0"/>
    <n v="66782.7"/>
    <n v="66782.7"/>
    <n v="-31645.71"/>
  </r>
  <r>
    <x v="7"/>
    <x v="27"/>
    <x v="0"/>
    <s v="9000936"/>
    <n v="718050"/>
    <s v="Purchased Srvcs--Medical Waste"/>
    <s v="Eliminations-PE @ HLN"/>
    <x v="0"/>
    <n v="1027"/>
    <n v="0"/>
    <n v="0"/>
    <n v="0"/>
    <n v="0"/>
    <n v="0"/>
    <n v="0"/>
    <n v="0"/>
    <n v="0"/>
    <n v="0"/>
    <n v="0"/>
    <n v="0"/>
    <n v="26692.71"/>
    <n v="26692.71"/>
    <n v="-1329.38"/>
  </r>
  <r>
    <x v="7"/>
    <x v="27"/>
    <x v="0"/>
    <s v="9000936"/>
    <n v="718050"/>
    <s v="Contract Services-Food&amp;Catering"/>
    <s v="Eliminations-PE @ HLN"/>
    <x v="0"/>
    <n v="1030"/>
    <n v="0"/>
    <n v="0"/>
    <n v="0"/>
    <n v="0"/>
    <n v="0"/>
    <n v="0"/>
    <n v="0"/>
    <n v="0"/>
    <n v="0"/>
    <n v="0"/>
    <n v="0"/>
    <n v="4131.13"/>
    <n v="4131.13"/>
    <n v="-120477.36"/>
  </r>
  <r>
    <x v="7"/>
    <x v="27"/>
    <x v="0"/>
    <s v="9000936"/>
    <n v="718059"/>
    <s v="Contract Services-Physician Revenue Cycle Fees"/>
    <s v="Eliminations-PE @ HLN"/>
    <x v="0"/>
    <m/>
    <n v="0"/>
    <n v="0"/>
    <n v="0"/>
    <n v="0"/>
    <n v="0"/>
    <n v="0"/>
    <n v="0"/>
    <n v="0"/>
    <n v="0"/>
    <n v="0"/>
    <n v="0"/>
    <n v="4135.43"/>
    <n v="4135.43"/>
    <n v="-202.39"/>
  </r>
  <r>
    <x v="7"/>
    <x v="27"/>
    <x v="0"/>
    <s v="9000936"/>
    <n v="718060"/>
    <s v="Contract Services-CHI RRC Fees"/>
    <s v="Eliminations-PE @ HLN"/>
    <x v="0"/>
    <m/>
    <n v="0"/>
    <n v="0"/>
    <n v="0"/>
    <n v="0"/>
    <n v="0"/>
    <n v="0"/>
    <n v="0"/>
    <n v="0"/>
    <n v="0"/>
    <n v="0"/>
    <n v="0"/>
    <n v="370966.89"/>
    <n v="370966.89"/>
    <n v="-1282994.6399999999"/>
  </r>
  <r>
    <x v="7"/>
    <x v="27"/>
    <x v="0"/>
    <s v="9000936"/>
    <n v="718061"/>
    <s v="Contract Services-CRO Allocation"/>
    <s v="Eliminations-PE @ HLN"/>
    <x v="0"/>
    <m/>
    <n v="0"/>
    <n v="0"/>
    <n v="0"/>
    <n v="0"/>
    <n v="0"/>
    <n v="0"/>
    <n v="0"/>
    <n v="0"/>
    <n v="0"/>
    <n v="0"/>
    <n v="0"/>
    <n v="20599.38"/>
    <n v="20599.38"/>
    <n v="-55631.97"/>
  </r>
  <r>
    <x v="7"/>
    <x v="27"/>
    <x v="0"/>
    <s v="9000936"/>
    <n v="718065"/>
    <s v="Contract Services-CHI Legal Fees"/>
    <s v="Eliminations-PE @ HLN"/>
    <x v="0"/>
    <m/>
    <n v="0"/>
    <n v="0"/>
    <n v="0"/>
    <n v="0"/>
    <n v="0"/>
    <n v="0"/>
    <n v="0"/>
    <n v="0"/>
    <n v="0"/>
    <n v="0"/>
    <n v="0"/>
    <n v="31645.71"/>
    <n v="31645.71"/>
    <n v="-546472.49"/>
  </r>
  <r>
    <x v="7"/>
    <x v="27"/>
    <x v="0"/>
    <s v="9000936"/>
    <n v="718066"/>
    <s v="Contract Services-CHI Tax Services"/>
    <s v="Eliminations-PE @ HLN"/>
    <x v="0"/>
    <m/>
    <n v="0"/>
    <n v="0"/>
    <n v="0"/>
    <n v="0"/>
    <n v="0"/>
    <n v="0"/>
    <n v="0"/>
    <n v="0"/>
    <n v="0"/>
    <n v="0"/>
    <n v="0"/>
    <n v="1329.38"/>
    <n v="1329.38"/>
    <n v="-630133.01"/>
  </r>
  <r>
    <x v="7"/>
    <x v="27"/>
    <x v="0"/>
    <s v="9000936"/>
    <n v="718070"/>
    <s v="Contract Srvcs-CHI Clinical Engineering"/>
    <s v="Eliminations-PE @ HLN"/>
    <x v="0"/>
    <m/>
    <n v="0"/>
    <n v="0"/>
    <n v="0"/>
    <n v="0"/>
    <n v="0"/>
    <n v="0"/>
    <n v="0"/>
    <n v="0"/>
    <n v="0"/>
    <n v="0"/>
    <n v="0"/>
    <n v="120477.36"/>
    <n v="120477.36"/>
    <n v="-4332.08"/>
  </r>
  <r>
    <x v="7"/>
    <x v="27"/>
    <x v="0"/>
    <s v="9000936"/>
    <n v="718071"/>
    <s v="Contract Srvcs-CHI Facilities Mgmt"/>
    <s v="Eliminations-PE @ HLN"/>
    <x v="0"/>
    <m/>
    <n v="0"/>
    <n v="0"/>
    <n v="0"/>
    <n v="0"/>
    <n v="0"/>
    <n v="0"/>
    <n v="0"/>
    <n v="0"/>
    <n v="0"/>
    <n v="0"/>
    <n v="0"/>
    <n v="202.39"/>
    <n v="202.39"/>
    <n v="-57.6"/>
  </r>
  <r>
    <x v="7"/>
    <x v="27"/>
    <x v="0"/>
    <s v="9000936"/>
    <n v="718075"/>
    <s v="Contract Srvcs-CHI ITS Steady State"/>
    <s v="Eliminations-PE @ HLN"/>
    <x v="0"/>
    <m/>
    <n v="0"/>
    <n v="0"/>
    <n v="0"/>
    <n v="0"/>
    <n v="0"/>
    <n v="0"/>
    <n v="0"/>
    <n v="0"/>
    <n v="0"/>
    <n v="0"/>
    <n v="0"/>
    <n v="1282994.6399999999"/>
    <n v="1282994.6399999999"/>
    <n v="-884325.66"/>
  </r>
  <r>
    <x v="7"/>
    <x v="27"/>
    <x v="0"/>
    <s v="9000936"/>
    <n v="718077"/>
    <s v="PACS"/>
    <s v="Eliminations-PE @ HLN"/>
    <x v="0"/>
    <n v="1000"/>
    <n v="0"/>
    <n v="0"/>
    <n v="0"/>
    <n v="0"/>
    <n v="0"/>
    <n v="0"/>
    <n v="0"/>
    <n v="0"/>
    <n v="0"/>
    <n v="0"/>
    <n v="0"/>
    <n v="55631.97"/>
    <n v="55631.97"/>
    <n v="-657.61"/>
  </r>
  <r>
    <x v="7"/>
    <x v="27"/>
    <x v="0"/>
    <s v="9000936"/>
    <n v="718091"/>
    <s v="Contract Services-Intracompany Allocation"/>
    <s v="Eliminations-PE @ HLN"/>
    <x v="0"/>
    <m/>
    <n v="0"/>
    <n v="0"/>
    <n v="0"/>
    <n v="0"/>
    <n v="0"/>
    <n v="0"/>
    <n v="0"/>
    <n v="0"/>
    <n v="0"/>
    <n v="0"/>
    <n v="0"/>
    <n v="546472.49"/>
    <n v="546472.49"/>
    <n v="-278009.84999999998"/>
  </r>
  <r>
    <x v="11"/>
    <x v="27"/>
    <x v="0"/>
    <s v="9000936"/>
    <n v="721010"/>
    <s v="Supplies-Medical - Billable"/>
    <s v="Eliminations-PE @ HLN"/>
    <x v="0"/>
    <m/>
    <n v="0"/>
    <n v="0"/>
    <n v="0"/>
    <n v="0"/>
    <n v="0"/>
    <n v="0"/>
    <n v="0"/>
    <n v="0"/>
    <n v="0"/>
    <n v="0"/>
    <n v="0"/>
    <n v="630133.01"/>
    <n v="630133.01"/>
    <n v="-4.25"/>
  </r>
  <r>
    <x v="11"/>
    <x v="27"/>
    <x v="0"/>
    <s v="9000936"/>
    <n v="721020"/>
    <s v="Urological Supplies"/>
    <s v="Eliminations-PE @ HLN"/>
    <x v="0"/>
    <n v="1006"/>
    <n v="0"/>
    <n v="0"/>
    <n v="0"/>
    <n v="0"/>
    <n v="0"/>
    <n v="0"/>
    <n v="0"/>
    <n v="0"/>
    <n v="0"/>
    <n v="0"/>
    <n v="0"/>
    <n v="4332.08"/>
    <n v="4332.08"/>
    <n v="-631.4"/>
  </r>
  <r>
    <x v="11"/>
    <x v="27"/>
    <x v="0"/>
    <s v="9000936"/>
    <n v="721240"/>
    <s v="Supplies-IV Solutions/Supplies - Billable"/>
    <s v="Eliminations-PE @ HLN"/>
    <x v="0"/>
    <m/>
    <n v="0"/>
    <n v="0"/>
    <n v="0"/>
    <n v="0"/>
    <n v="0"/>
    <n v="0"/>
    <n v="0"/>
    <n v="0"/>
    <n v="0"/>
    <n v="0"/>
    <n v="0"/>
    <n v="57.6"/>
    <n v="57.6"/>
    <n v="-12267.45"/>
  </r>
  <r>
    <x v="11"/>
    <x v="27"/>
    <x v="0"/>
    <s v="9000936"/>
    <n v="721250"/>
    <s v="Supplies-Pharmacy Drugs - Billable"/>
    <s v="Eliminations-PE @ HLN"/>
    <x v="0"/>
    <m/>
    <n v="0"/>
    <n v="0"/>
    <n v="0"/>
    <n v="0"/>
    <n v="0"/>
    <n v="0"/>
    <n v="0"/>
    <n v="0"/>
    <n v="0"/>
    <n v="0"/>
    <n v="0"/>
    <n v="884325.66"/>
    <n v="884325.66"/>
    <n v="-91174.25"/>
  </r>
  <r>
    <x v="11"/>
    <x v="27"/>
    <x v="0"/>
    <s v="9000936"/>
    <n v="721350"/>
    <s v="Radiology Imaging - Contrast Media"/>
    <s v="Eliminations-PE @ HLN"/>
    <x v="0"/>
    <n v="1000"/>
    <n v="0"/>
    <n v="0"/>
    <n v="0"/>
    <n v="0"/>
    <n v="0"/>
    <n v="0"/>
    <n v="0"/>
    <n v="0"/>
    <n v="0"/>
    <n v="0"/>
    <n v="0"/>
    <n v="657.61"/>
    <n v="657.61"/>
    <n v="-15555.62"/>
  </r>
  <r>
    <x v="11"/>
    <x v="27"/>
    <x v="0"/>
    <s v="9000936"/>
    <n v="721410"/>
    <s v="Supplies-Medical - Nonbillable"/>
    <s v="Eliminations-PE @ HLN"/>
    <x v="0"/>
    <m/>
    <n v="0"/>
    <n v="0"/>
    <n v="0"/>
    <n v="0"/>
    <n v="0"/>
    <n v="0"/>
    <n v="0"/>
    <n v="0"/>
    <n v="0"/>
    <n v="0"/>
    <n v="0"/>
    <n v="278009.84999999998"/>
    <n v="278009.84999999998"/>
    <n v="-1761.31"/>
  </r>
  <r>
    <x v="11"/>
    <x v="27"/>
    <x v="0"/>
    <s v="9000936"/>
    <n v="721420"/>
    <s v="Supplies-Surgical Nonbillable"/>
    <s v="Eliminations-PE @ HLN"/>
    <x v="0"/>
    <m/>
    <n v="0"/>
    <n v="0"/>
    <n v="0"/>
    <n v="0"/>
    <n v="0"/>
    <n v="0"/>
    <n v="0"/>
    <n v="0"/>
    <n v="0"/>
    <n v="0"/>
    <n v="0"/>
    <n v="4.25"/>
    <n v="4.25"/>
    <n v="-12.44"/>
  </r>
  <r>
    <x v="11"/>
    <x v="27"/>
    <x v="0"/>
    <s v="9000936"/>
    <n v="721640"/>
    <s v="Supplies-IV Solutions/Supplies - Nonbillable"/>
    <s v="Eliminations-PE @ HLN"/>
    <x v="0"/>
    <m/>
    <n v="0"/>
    <n v="0"/>
    <n v="0"/>
    <n v="0"/>
    <n v="0"/>
    <n v="0"/>
    <n v="0"/>
    <n v="0"/>
    <n v="0"/>
    <n v="0"/>
    <n v="0"/>
    <n v="631.4"/>
    <n v="631.4"/>
    <n v="-30571.15"/>
  </r>
  <r>
    <x v="11"/>
    <x v="27"/>
    <x v="0"/>
    <s v="9000936"/>
    <n v="721810"/>
    <s v="Supplies-Dietary/Cafeteria"/>
    <s v="Eliminations-PE @ HLN"/>
    <x v="0"/>
    <m/>
    <n v="0"/>
    <n v="0"/>
    <n v="0"/>
    <n v="0"/>
    <n v="0"/>
    <n v="0"/>
    <n v="0"/>
    <n v="0"/>
    <n v="0"/>
    <n v="0"/>
    <n v="0"/>
    <n v="12267.45"/>
    <n v="12267.45"/>
    <n v="-4920.2299999999996"/>
  </r>
  <r>
    <x v="11"/>
    <x v="27"/>
    <x v="0"/>
    <s v="9000936"/>
    <n v="721830"/>
    <s v="Supplies-Office"/>
    <s v="Eliminations-PE @ HLN"/>
    <x v="0"/>
    <m/>
    <n v="0"/>
    <n v="0"/>
    <n v="0"/>
    <n v="0"/>
    <n v="0"/>
    <n v="0"/>
    <n v="0"/>
    <n v="0"/>
    <n v="0"/>
    <n v="0"/>
    <n v="0"/>
    <n v="91174.25"/>
    <n v="91174.25"/>
    <n v="-3734.48"/>
  </r>
  <r>
    <x v="11"/>
    <x v="27"/>
    <x v="0"/>
    <s v="9000936"/>
    <n v="721835"/>
    <s v="Supplies-Forms"/>
    <s v="Eliminations-PE @ HLN"/>
    <x v="0"/>
    <m/>
    <n v="0"/>
    <n v="0"/>
    <n v="0"/>
    <n v="0"/>
    <n v="0"/>
    <n v="0"/>
    <n v="0"/>
    <n v="0"/>
    <n v="0"/>
    <n v="0"/>
    <n v="0"/>
    <n v="15555.62"/>
    <n v="15555.62"/>
    <n v="31887.200000000001"/>
  </r>
  <r>
    <x v="11"/>
    <x v="27"/>
    <x v="0"/>
    <s v="9000936"/>
    <n v="721870"/>
    <s v="Supplies-Environmental Services"/>
    <s v="Eliminations-PE @ HLN"/>
    <x v="0"/>
    <m/>
    <n v="0"/>
    <n v="0"/>
    <n v="0"/>
    <n v="0"/>
    <n v="0"/>
    <n v="0"/>
    <n v="0"/>
    <n v="0"/>
    <n v="0"/>
    <n v="0"/>
    <n v="0"/>
    <n v="1761.31"/>
    <n v="1761.31"/>
    <n v="513.41"/>
  </r>
  <r>
    <x v="11"/>
    <x v="27"/>
    <x v="0"/>
    <s v="9000936"/>
    <n v="721880"/>
    <s v="Supplies-Linen"/>
    <s v="Eliminations-PE @ HLN"/>
    <x v="0"/>
    <m/>
    <n v="0"/>
    <n v="0"/>
    <n v="0"/>
    <n v="0"/>
    <n v="0"/>
    <n v="0"/>
    <n v="0"/>
    <n v="0"/>
    <n v="0"/>
    <n v="0"/>
    <n v="0"/>
    <n v="12.44"/>
    <n v="12.44"/>
    <n v="144.44999999999999"/>
  </r>
  <r>
    <x v="11"/>
    <x v="27"/>
    <x v="0"/>
    <s v="9000936"/>
    <n v="721910"/>
    <s v="Supplies-Small Equipment"/>
    <s v="Eliminations-PE @ HLN"/>
    <x v="0"/>
    <m/>
    <n v="0"/>
    <n v="0"/>
    <n v="0"/>
    <n v="0"/>
    <n v="0"/>
    <n v="0"/>
    <n v="0"/>
    <n v="0"/>
    <n v="0"/>
    <n v="0"/>
    <n v="0"/>
    <n v="30571.15"/>
    <n v="30571.15"/>
    <n v="-2427322.39"/>
  </r>
  <r>
    <x v="11"/>
    <x v="27"/>
    <x v="0"/>
    <s v="9000936"/>
    <n v="721980"/>
    <s v="Supplies-Other"/>
    <s v="Eliminations-PE @ HLN"/>
    <x v="0"/>
    <m/>
    <n v="0"/>
    <n v="0"/>
    <n v="0"/>
    <n v="0"/>
    <n v="0"/>
    <n v="0"/>
    <n v="0"/>
    <n v="0"/>
    <n v="0"/>
    <n v="0"/>
    <n v="0"/>
    <n v="4920.2299999999996"/>
    <n v="4920.2299999999996"/>
    <n v="-722597.68"/>
  </r>
  <r>
    <x v="11"/>
    <x v="27"/>
    <x v="0"/>
    <s v="9000936"/>
    <n v="722000"/>
    <s v="Supplies-Freight Expense"/>
    <s v="Eliminations-PE @ HLN"/>
    <x v="0"/>
    <m/>
    <n v="0"/>
    <n v="0"/>
    <n v="0"/>
    <n v="0"/>
    <n v="0"/>
    <n v="0"/>
    <n v="0"/>
    <n v="0"/>
    <n v="0"/>
    <n v="0"/>
    <n v="0"/>
    <n v="3734.48"/>
    <n v="3734.48"/>
    <n v="-8540.2999999999993"/>
  </r>
  <r>
    <x v="11"/>
    <x v="27"/>
    <x v="0"/>
    <s v="9000936"/>
    <n v="723000"/>
    <s v="Supply Rebates/Patronage Dividend"/>
    <s v="Eliminations-PE @ HLN"/>
    <x v="0"/>
    <m/>
    <n v="0"/>
    <n v="0"/>
    <n v="0"/>
    <n v="0"/>
    <n v="0"/>
    <n v="0"/>
    <n v="0"/>
    <n v="0"/>
    <n v="0"/>
    <n v="0"/>
    <n v="0"/>
    <n v="-31887.200000000001"/>
    <n v="-31887.200000000001"/>
    <n v="-108164.49"/>
  </r>
  <r>
    <x v="11"/>
    <x v="27"/>
    <x v="0"/>
    <s v="9000936"/>
    <n v="723500"/>
    <s v="Discounts Taken *"/>
    <s v="Eliminations-PE @ HLN"/>
    <x v="0"/>
    <m/>
    <n v="0"/>
    <n v="0"/>
    <n v="0"/>
    <n v="0"/>
    <n v="0"/>
    <n v="0"/>
    <n v="0"/>
    <n v="0"/>
    <n v="0"/>
    <n v="0"/>
    <n v="0"/>
    <n v="-513.41"/>
    <n v="-513.41"/>
    <n v="-123309.14"/>
  </r>
  <r>
    <x v="11"/>
    <x v="27"/>
    <x v="0"/>
    <s v="9000936"/>
    <n v="724000"/>
    <s v="Item Cost Variance Suspense *"/>
    <s v="Eliminations-PE @ HLN"/>
    <x v="0"/>
    <m/>
    <n v="0"/>
    <n v="0"/>
    <n v="0"/>
    <n v="0"/>
    <n v="0"/>
    <n v="0"/>
    <n v="0"/>
    <n v="0"/>
    <n v="0"/>
    <n v="0"/>
    <n v="0"/>
    <n v="-144.44999999999999"/>
    <n v="-144.44999999999999"/>
    <n v="-1222.5"/>
  </r>
  <r>
    <x v="12"/>
    <x v="27"/>
    <x v="0"/>
    <s v="9000936"/>
    <n v="730010"/>
    <s v="Rental and Leases-Building (DO NOT USE)"/>
    <s v="Eliminations-PE @ HLN"/>
    <x v="0"/>
    <m/>
    <n v="0"/>
    <n v="0"/>
    <n v="0"/>
    <n v="0"/>
    <n v="0"/>
    <n v="0"/>
    <n v="0"/>
    <n v="0"/>
    <n v="0"/>
    <n v="0"/>
    <n v="0"/>
    <n v="2427322.39"/>
    <n v="2427322.39"/>
    <n v="-29839.41"/>
  </r>
  <r>
    <x v="12"/>
    <x v="27"/>
    <x v="0"/>
    <s v="9000936"/>
    <n v="730010"/>
    <s v="Rental-Common Area Maint (DO NOT USE)"/>
    <s v="Eliminations-PE @ HLN"/>
    <x v="0"/>
    <n v="2200"/>
    <n v="0"/>
    <n v="0"/>
    <n v="0"/>
    <n v="0"/>
    <n v="0"/>
    <n v="0"/>
    <n v="0"/>
    <n v="0"/>
    <n v="0"/>
    <n v="0"/>
    <n v="0"/>
    <n v="722597.68"/>
    <n v="722597.68"/>
    <n v="-1360.34"/>
  </r>
  <r>
    <x v="12"/>
    <x v="27"/>
    <x v="0"/>
    <s v="9000936"/>
    <n v="730020"/>
    <s v="Rental and Leases-Equipment (DO NOT USE)"/>
    <s v="Eliminations-PE @ HLN"/>
    <x v="0"/>
    <m/>
    <n v="0"/>
    <n v="0"/>
    <n v="0"/>
    <n v="0"/>
    <n v="0"/>
    <n v="0"/>
    <n v="0"/>
    <n v="0"/>
    <n v="0"/>
    <n v="0"/>
    <n v="0"/>
    <n v="8540.2999999999993"/>
    <n v="8540.2999999999993"/>
    <n v="-1272.28"/>
  </r>
  <r>
    <x v="12"/>
    <x v="27"/>
    <x v="0"/>
    <s v="9000936"/>
    <n v="730020"/>
    <s v="Rental and Leases-Copier Usage Fees (DO NOT USE)"/>
    <s v="Eliminations-PE @ HLN"/>
    <x v="0"/>
    <n v="5100"/>
    <n v="0"/>
    <n v="0"/>
    <n v="0"/>
    <n v="0"/>
    <n v="0"/>
    <n v="0"/>
    <n v="0"/>
    <n v="0"/>
    <n v="0"/>
    <n v="0"/>
    <n v="0"/>
    <n v="108164.49"/>
    <n v="108164.49"/>
    <n v="-28417.4"/>
  </r>
  <r>
    <x v="12"/>
    <x v="27"/>
    <x v="0"/>
    <s v="9000936"/>
    <n v="730040"/>
    <s v="LT Lease-Real Estate"/>
    <s v="Eliminations-PE @ HLN"/>
    <x v="0"/>
    <m/>
    <n v="0"/>
    <n v="0"/>
    <n v="0"/>
    <n v="0"/>
    <n v="0"/>
    <n v="0"/>
    <n v="0"/>
    <n v="0"/>
    <n v="0"/>
    <n v="0"/>
    <n v="0"/>
    <n v="123309.14"/>
    <n v="123309.14"/>
    <n v="-229216.81"/>
  </r>
  <r>
    <x v="15"/>
    <x v="27"/>
    <x v="0"/>
    <s v="9000936"/>
    <n v="731010"/>
    <s v="Natural Gas"/>
    <s v="Eliminations-PE @ HLN"/>
    <x v="0"/>
    <m/>
    <n v="0"/>
    <n v="0"/>
    <n v="0"/>
    <n v="0"/>
    <n v="0"/>
    <n v="0"/>
    <n v="0"/>
    <n v="0"/>
    <n v="0"/>
    <n v="0"/>
    <n v="0"/>
    <n v="1222.5"/>
    <n v="1222.5"/>
    <n v="-1002.35"/>
  </r>
  <r>
    <x v="15"/>
    <x v="27"/>
    <x v="0"/>
    <s v="9000936"/>
    <n v="731020"/>
    <s v="Electricity"/>
    <s v="Eliminations-PE @ HLN"/>
    <x v="0"/>
    <m/>
    <n v="0"/>
    <n v="0"/>
    <n v="0"/>
    <n v="0"/>
    <n v="0"/>
    <n v="0"/>
    <n v="0"/>
    <n v="0"/>
    <n v="0"/>
    <n v="0"/>
    <n v="0"/>
    <n v="29839.41"/>
    <n v="29839.41"/>
    <n v="-2123.58"/>
  </r>
  <r>
    <x v="15"/>
    <x v="27"/>
    <x v="0"/>
    <s v="9000936"/>
    <n v="731030"/>
    <s v="Water"/>
    <s v="Eliminations-PE @ HLN"/>
    <x v="0"/>
    <m/>
    <n v="0"/>
    <n v="0"/>
    <n v="0"/>
    <n v="0"/>
    <n v="0"/>
    <n v="0"/>
    <n v="0"/>
    <n v="0"/>
    <n v="0"/>
    <n v="0"/>
    <n v="0"/>
    <n v="1360.34"/>
    <n v="1360.34"/>
    <n v="-2273.7800000000002"/>
  </r>
  <r>
    <x v="15"/>
    <x v="27"/>
    <x v="0"/>
    <s v="9000936"/>
    <n v="731040"/>
    <s v="Sewer"/>
    <s v="Eliminations-PE @ HLN"/>
    <x v="0"/>
    <m/>
    <n v="0"/>
    <n v="0"/>
    <n v="0"/>
    <n v="0"/>
    <n v="0"/>
    <n v="0"/>
    <n v="0"/>
    <n v="0"/>
    <n v="0"/>
    <n v="0"/>
    <n v="0"/>
    <n v="1272.28"/>
    <n v="1272.28"/>
    <n v="-5538.78"/>
  </r>
  <r>
    <x v="15"/>
    <x v="27"/>
    <x v="0"/>
    <s v="9000936"/>
    <n v="731050"/>
    <s v="Refuse Disposal"/>
    <s v="Eliminations-PE @ HLN"/>
    <x v="0"/>
    <m/>
    <n v="0"/>
    <n v="0"/>
    <n v="0"/>
    <n v="0"/>
    <n v="0"/>
    <n v="0"/>
    <n v="0"/>
    <n v="0"/>
    <n v="0"/>
    <n v="0"/>
    <n v="0"/>
    <n v="28417.4"/>
    <n v="28417.4"/>
    <n v="-240"/>
  </r>
  <r>
    <x v="15"/>
    <x v="27"/>
    <x v="0"/>
    <s v="9000936"/>
    <n v="731060"/>
    <s v="Telephone"/>
    <s v="Eliminations-PE @ HLN"/>
    <x v="0"/>
    <m/>
    <n v="0"/>
    <n v="0"/>
    <n v="0"/>
    <n v="0"/>
    <n v="0"/>
    <n v="0"/>
    <n v="0"/>
    <n v="0"/>
    <n v="0"/>
    <n v="0"/>
    <n v="0"/>
    <n v="229216.81"/>
    <n v="229216.81"/>
    <n v="-151376.43"/>
  </r>
  <r>
    <x v="15"/>
    <x v="27"/>
    <x v="0"/>
    <s v="9000936"/>
    <n v="731060"/>
    <s v="Cell Phones"/>
    <s v="Eliminations-PE @ HLN"/>
    <x v="0"/>
    <n v="1001"/>
    <n v="0"/>
    <n v="0"/>
    <n v="0"/>
    <n v="0"/>
    <n v="0"/>
    <n v="0"/>
    <n v="0"/>
    <n v="0"/>
    <n v="0"/>
    <n v="0"/>
    <n v="0"/>
    <n v="1002.35"/>
    <n v="1002.35"/>
    <n v="-3182.82"/>
  </r>
  <r>
    <x v="15"/>
    <x v="27"/>
    <x v="0"/>
    <s v="9000936"/>
    <n v="731060"/>
    <s v="Pagers"/>
    <s v="Eliminations-PE @ HLN"/>
    <x v="0"/>
    <n v="1002"/>
    <n v="0"/>
    <n v="0"/>
    <n v="0"/>
    <n v="0"/>
    <n v="0"/>
    <n v="0"/>
    <n v="0"/>
    <n v="0"/>
    <n v="0"/>
    <n v="0"/>
    <n v="0"/>
    <n v="2123.58"/>
    <n v="2123.58"/>
    <n v="-18445.009999999998"/>
  </r>
  <r>
    <x v="15"/>
    <x v="27"/>
    <x v="0"/>
    <s v="9000936"/>
    <n v="731065"/>
    <s v="Data Communications"/>
    <s v="Eliminations-PE @ HLN"/>
    <x v="0"/>
    <m/>
    <n v="0"/>
    <n v="0"/>
    <n v="0"/>
    <n v="0"/>
    <n v="0"/>
    <n v="0"/>
    <n v="0"/>
    <n v="0"/>
    <n v="0"/>
    <n v="0"/>
    <n v="0"/>
    <n v="2273.7800000000002"/>
    <n v="2273.7800000000002"/>
    <n v="-29085"/>
  </r>
  <r>
    <x v="15"/>
    <x v="27"/>
    <x v="0"/>
    <s v="9000936"/>
    <n v="731070"/>
    <s v="Cable TV"/>
    <s v="Eliminations-PE @ HLN"/>
    <x v="0"/>
    <m/>
    <n v="0"/>
    <n v="0"/>
    <n v="0"/>
    <n v="0"/>
    <n v="0"/>
    <n v="0"/>
    <n v="0"/>
    <n v="0"/>
    <n v="0"/>
    <n v="0"/>
    <n v="0"/>
    <n v="5538.78"/>
    <n v="5538.78"/>
    <n v="-616325.27"/>
  </r>
  <r>
    <x v="16"/>
    <x v="27"/>
    <x v="0"/>
    <s v="9000936"/>
    <n v="732015"/>
    <s v="Repairs-Clinical Equip-T&amp;M-Ext to CHI Programs"/>
    <s v="Eliminations-PE @ HLN"/>
    <x v="0"/>
    <m/>
    <n v="0"/>
    <n v="0"/>
    <n v="0"/>
    <n v="0"/>
    <n v="0"/>
    <n v="0"/>
    <n v="0"/>
    <n v="0"/>
    <n v="0"/>
    <n v="0"/>
    <n v="0"/>
    <n v="240"/>
    <n v="240"/>
    <n v="-32100.33"/>
  </r>
  <r>
    <x v="16"/>
    <x v="27"/>
    <x v="0"/>
    <s v="9000936"/>
    <n v="732030"/>
    <s v="Repairs---Other"/>
    <s v="Eliminations-PE @ HLN"/>
    <x v="0"/>
    <m/>
    <n v="0"/>
    <n v="0"/>
    <n v="0"/>
    <n v="0"/>
    <n v="0"/>
    <n v="0"/>
    <n v="0"/>
    <n v="0"/>
    <n v="0"/>
    <n v="0"/>
    <n v="0"/>
    <n v="151376.43"/>
    <n v="151376.43"/>
    <n v="-1254605.44"/>
  </r>
  <r>
    <x v="16"/>
    <x v="27"/>
    <x v="0"/>
    <s v="9000936"/>
    <n v="732030"/>
    <s v="Repairs&amp;Maintenance-Bldg Routine"/>
    <s v="Eliminations-PE @ HLN"/>
    <x v="0"/>
    <n v="2300"/>
    <n v="0"/>
    <n v="0"/>
    <n v="0"/>
    <n v="0"/>
    <n v="0"/>
    <n v="0"/>
    <n v="0"/>
    <n v="0"/>
    <n v="0"/>
    <n v="0"/>
    <n v="0"/>
    <n v="3182.82"/>
    <n v="3182.82"/>
    <n v="-3573.32"/>
  </r>
  <r>
    <x v="16"/>
    <x v="27"/>
    <x v="0"/>
    <s v="9000936"/>
    <n v="733030"/>
    <s v="Maintenance Contracts-Other"/>
    <s v="Eliminations-PE @ HLN"/>
    <x v="0"/>
    <m/>
    <n v="0"/>
    <n v="0"/>
    <n v="0"/>
    <n v="0"/>
    <n v="0"/>
    <n v="0"/>
    <n v="0"/>
    <n v="0"/>
    <n v="0"/>
    <n v="0"/>
    <n v="0"/>
    <n v="18445.009999999998"/>
    <n v="18445.009999999998"/>
    <n v="-247.77"/>
  </r>
  <r>
    <x v="13"/>
    <x v="27"/>
    <x v="0"/>
    <s v="9000936"/>
    <n v="735040"/>
    <s v="Depreciation-Building Improvements"/>
    <s v="Eliminations-PE @ HLN"/>
    <x v="0"/>
    <m/>
    <n v="0"/>
    <n v="0"/>
    <n v="0"/>
    <n v="0"/>
    <n v="0"/>
    <n v="0"/>
    <n v="0"/>
    <n v="0"/>
    <n v="0"/>
    <n v="0"/>
    <n v="0"/>
    <n v="29085"/>
    <n v="29085"/>
    <n v="-7609.78"/>
  </r>
  <r>
    <x v="13"/>
    <x v="27"/>
    <x v="0"/>
    <s v="9000936"/>
    <n v="735050"/>
    <s v="Amortization-Leasehold Improvements"/>
    <s v="Eliminations-PE @ HLN"/>
    <x v="0"/>
    <m/>
    <n v="0"/>
    <n v="0"/>
    <n v="0"/>
    <n v="0"/>
    <n v="0"/>
    <n v="0"/>
    <n v="0"/>
    <n v="0"/>
    <n v="0"/>
    <n v="0"/>
    <n v="0"/>
    <n v="616325.27"/>
    <n v="616325.27"/>
    <n v="-28764.46"/>
  </r>
  <r>
    <x v="13"/>
    <x v="27"/>
    <x v="0"/>
    <s v="9000936"/>
    <n v="735060"/>
    <s v="Depreciation-Fixed Equipment"/>
    <s v="Eliminations-PE @ HLN"/>
    <x v="0"/>
    <m/>
    <n v="0"/>
    <n v="0"/>
    <n v="0"/>
    <n v="0"/>
    <n v="0"/>
    <n v="0"/>
    <n v="0"/>
    <n v="0"/>
    <n v="0"/>
    <n v="0"/>
    <n v="0"/>
    <n v="32100.33"/>
    <n v="32100.33"/>
    <n v="-10323.91"/>
  </r>
  <r>
    <x v="13"/>
    <x v="27"/>
    <x v="0"/>
    <s v="9000936"/>
    <n v="735070"/>
    <s v="Depreciation-Movable Equipment"/>
    <s v="Eliminations-PE @ HLN"/>
    <x v="0"/>
    <m/>
    <n v="0"/>
    <n v="0"/>
    <n v="0"/>
    <n v="0"/>
    <n v="0"/>
    <n v="0"/>
    <n v="0"/>
    <n v="0"/>
    <n v="0"/>
    <n v="0"/>
    <n v="0"/>
    <n v="1254605.44"/>
    <n v="1254605.44"/>
    <n v="-770.55"/>
  </r>
  <r>
    <x v="13"/>
    <x v="27"/>
    <x v="0"/>
    <s v="9000936"/>
    <n v="736000"/>
    <s v="General Amortization Expense"/>
    <s v="Eliminations-PE @ HLN"/>
    <x v="0"/>
    <n v="5000"/>
    <n v="0"/>
    <n v="0"/>
    <n v="0"/>
    <n v="0"/>
    <n v="0"/>
    <n v="0"/>
    <n v="0"/>
    <n v="0"/>
    <n v="0"/>
    <n v="0"/>
    <n v="0"/>
    <n v="3573.32"/>
    <n v="3573.32"/>
    <n v="-11583.07"/>
  </r>
  <r>
    <x v="0"/>
    <x v="27"/>
    <x v="0"/>
    <s v="9000936"/>
    <n v="740010"/>
    <s v="Education-Materials"/>
    <s v="Eliminations-PE @ HLN"/>
    <x v="0"/>
    <m/>
    <n v="0"/>
    <n v="0"/>
    <n v="0"/>
    <n v="0"/>
    <n v="0"/>
    <n v="0"/>
    <n v="0"/>
    <n v="0"/>
    <n v="0"/>
    <n v="0"/>
    <n v="0"/>
    <n v="247.77"/>
    <n v="247.77"/>
    <n v="-2717.19"/>
  </r>
  <r>
    <x v="0"/>
    <x v="27"/>
    <x v="0"/>
    <s v="9000936"/>
    <n v="740020"/>
    <s v="Education-Registration Fees"/>
    <s v="Eliminations-PE @ HLN"/>
    <x v="0"/>
    <m/>
    <n v="0"/>
    <n v="0"/>
    <n v="0"/>
    <n v="0"/>
    <n v="0"/>
    <n v="0"/>
    <n v="0"/>
    <n v="0"/>
    <n v="0"/>
    <n v="0"/>
    <n v="0"/>
    <n v="7609.78"/>
    <n v="7609.78"/>
    <n v="-2341.39"/>
  </r>
  <r>
    <x v="0"/>
    <x v="27"/>
    <x v="0"/>
    <s v="9000936"/>
    <n v="740022"/>
    <s v="Education-Physician"/>
    <s v="Eliminations-PE @ HLN"/>
    <x v="0"/>
    <m/>
    <n v="0"/>
    <n v="0"/>
    <n v="0"/>
    <n v="0"/>
    <n v="0"/>
    <n v="0"/>
    <n v="0"/>
    <n v="0"/>
    <n v="0"/>
    <n v="0"/>
    <n v="0"/>
    <n v="28764.46"/>
    <n v="28764.46"/>
    <n v="-0.59"/>
  </r>
  <r>
    <x v="0"/>
    <x v="27"/>
    <x v="0"/>
    <s v="9000936"/>
    <n v="740022"/>
    <s v="Books-Physician"/>
    <s v="Eliminations-PE @ HLN"/>
    <x v="0"/>
    <n v="2000"/>
    <n v="0"/>
    <n v="0"/>
    <n v="0"/>
    <n v="0"/>
    <n v="0"/>
    <n v="0"/>
    <n v="0"/>
    <n v="0"/>
    <n v="0"/>
    <n v="0"/>
    <n v="0"/>
    <n v="10323.91"/>
    <n v="10323.91"/>
    <n v="-137856.13"/>
  </r>
  <r>
    <x v="0"/>
    <x v="27"/>
    <x v="0"/>
    <s v="9000936"/>
    <n v="740022"/>
    <s v="Education Travel-Physician"/>
    <s v="Eliminations-PE @ HLN"/>
    <x v="0"/>
    <n v="2001"/>
    <n v="0"/>
    <n v="0"/>
    <n v="0"/>
    <n v="0"/>
    <n v="0"/>
    <n v="0"/>
    <n v="0"/>
    <n v="0"/>
    <n v="0"/>
    <n v="0"/>
    <n v="0"/>
    <n v="770.55"/>
    <n v="770.55"/>
    <n v="-501005.79"/>
  </r>
  <r>
    <x v="0"/>
    <x v="27"/>
    <x v="0"/>
    <s v="9000936"/>
    <n v="740023"/>
    <s v="Education-Advanced Practice Clinician"/>
    <s v="Eliminations-PE @ HLN"/>
    <x v="0"/>
    <m/>
    <n v="0"/>
    <n v="0"/>
    <n v="0"/>
    <n v="0"/>
    <n v="0"/>
    <n v="0"/>
    <n v="0"/>
    <n v="0"/>
    <n v="0"/>
    <n v="0"/>
    <n v="0"/>
    <n v="11583.07"/>
    <n v="11583.07"/>
    <n v="-13446.66"/>
  </r>
  <r>
    <x v="0"/>
    <x v="27"/>
    <x v="0"/>
    <s v="9000936"/>
    <n v="740023"/>
    <s v="Books-Advanced Practice Clinician"/>
    <s v="Eliminations-PE @ HLN"/>
    <x v="0"/>
    <n v="2000"/>
    <n v="0"/>
    <n v="0"/>
    <n v="0"/>
    <n v="0"/>
    <n v="0"/>
    <n v="0"/>
    <n v="0"/>
    <n v="0"/>
    <n v="0"/>
    <n v="0"/>
    <n v="0"/>
    <n v="2717.19"/>
    <n v="2717.19"/>
    <n v="6848.33"/>
  </r>
  <r>
    <x v="0"/>
    <x v="27"/>
    <x v="0"/>
    <s v="9000936"/>
    <n v="740023"/>
    <s v="Education Travel-Advanced Practice Clinician"/>
    <s v="Eliminations-PE @ HLN"/>
    <x v="0"/>
    <n v="2001"/>
    <n v="0"/>
    <n v="0"/>
    <n v="0"/>
    <n v="0"/>
    <n v="0"/>
    <n v="0"/>
    <n v="0"/>
    <n v="0"/>
    <n v="0"/>
    <n v="0"/>
    <n v="0"/>
    <n v="2341.39"/>
    <n v="2341.39"/>
    <n v="-26413.62"/>
  </r>
  <r>
    <x v="0"/>
    <x v="27"/>
    <x v="0"/>
    <s v="9000936"/>
    <n v="740030"/>
    <s v="Education-Travel"/>
    <s v="Eliminations-PE @ HLN"/>
    <x v="0"/>
    <m/>
    <n v="0"/>
    <n v="0"/>
    <n v="0"/>
    <n v="0"/>
    <n v="0"/>
    <n v="0"/>
    <n v="0"/>
    <n v="0"/>
    <n v="0"/>
    <n v="0"/>
    <n v="0"/>
    <n v="0.59"/>
    <n v="0.59"/>
    <n v="-106.4"/>
  </r>
  <r>
    <x v="8"/>
    <x v="27"/>
    <x v="0"/>
    <s v="9000936"/>
    <n v="741010"/>
    <s v="Liability Insurance-CHI Programs"/>
    <s v="Eliminations-PE @ HLN"/>
    <x v="0"/>
    <m/>
    <n v="0"/>
    <n v="0"/>
    <n v="0"/>
    <n v="0"/>
    <n v="0"/>
    <n v="0"/>
    <n v="0"/>
    <n v="0"/>
    <n v="0"/>
    <n v="0"/>
    <n v="0"/>
    <n v="137856.13"/>
    <n v="137856.13"/>
    <n v="-552.20000000000005"/>
  </r>
  <r>
    <x v="8"/>
    <x v="27"/>
    <x v="0"/>
    <s v="9000936"/>
    <n v="741012"/>
    <s v="Physician Liab Insurance-CHI Program"/>
    <s v="Eliminations-PE @ HLN"/>
    <x v="0"/>
    <m/>
    <n v="0"/>
    <n v="0"/>
    <n v="0"/>
    <n v="0"/>
    <n v="0"/>
    <n v="0"/>
    <n v="0"/>
    <n v="0"/>
    <n v="0"/>
    <n v="0"/>
    <n v="0"/>
    <n v="501005.79"/>
    <n v="501005.79"/>
    <n v="-4119.66"/>
  </r>
  <r>
    <x v="8"/>
    <x v="27"/>
    <x v="0"/>
    <s v="9000936"/>
    <n v="741030"/>
    <s v="Property Insurance-CHI Programs"/>
    <s v="Eliminations-PE @ HLN"/>
    <x v="0"/>
    <m/>
    <n v="0"/>
    <n v="0"/>
    <n v="0"/>
    <n v="0"/>
    <n v="0"/>
    <n v="0"/>
    <n v="0"/>
    <n v="0"/>
    <n v="0"/>
    <n v="0"/>
    <n v="0"/>
    <n v="13446.66"/>
    <n v="13446.66"/>
    <n v="-9964.09"/>
  </r>
  <r>
    <x v="8"/>
    <x v="27"/>
    <x v="0"/>
    <s v="9000936"/>
    <n v="741070"/>
    <s v="Insurance-Risk Mgmt Incentive Program"/>
    <s v="Eliminations-PE @ HLN"/>
    <x v="0"/>
    <m/>
    <n v="0"/>
    <n v="0"/>
    <n v="0"/>
    <n v="0"/>
    <n v="0"/>
    <n v="0"/>
    <n v="0"/>
    <n v="0"/>
    <n v="0"/>
    <n v="0"/>
    <n v="0"/>
    <n v="-6848.33"/>
    <n v="-6848.33"/>
    <n v="-3049"/>
  </r>
  <r>
    <x v="0"/>
    <x v="27"/>
    <x v="0"/>
    <s v="9000936"/>
    <n v="742010"/>
    <s v="Postage-Regular"/>
    <s v="Eliminations-PE @ HLN"/>
    <x v="0"/>
    <m/>
    <n v="0"/>
    <n v="0"/>
    <n v="0"/>
    <n v="0"/>
    <n v="0"/>
    <n v="0"/>
    <n v="0"/>
    <n v="0"/>
    <n v="0"/>
    <n v="0"/>
    <n v="0"/>
    <n v="26413.62"/>
    <n v="26413.62"/>
    <n v="-40815.5"/>
  </r>
  <r>
    <x v="0"/>
    <x v="27"/>
    <x v="0"/>
    <s v="9000936"/>
    <n v="742030"/>
    <s v="Freight-Courier"/>
    <s v="Eliminations-PE @ HLN"/>
    <x v="0"/>
    <m/>
    <n v="0"/>
    <n v="0"/>
    <n v="0"/>
    <n v="0"/>
    <n v="0"/>
    <n v="0"/>
    <n v="0"/>
    <n v="0"/>
    <n v="0"/>
    <n v="0"/>
    <n v="0"/>
    <n v="106.4"/>
    <n v="106.4"/>
    <n v="-2947.39"/>
  </r>
  <r>
    <x v="0"/>
    <x v="27"/>
    <x v="0"/>
    <s v="9000936"/>
    <n v="742040"/>
    <s v="Freight-Other"/>
    <s v="Eliminations-PE @ HLN"/>
    <x v="0"/>
    <m/>
    <n v="0"/>
    <n v="0"/>
    <n v="0"/>
    <n v="0"/>
    <n v="0"/>
    <n v="0"/>
    <n v="0"/>
    <n v="0"/>
    <n v="0"/>
    <n v="0"/>
    <n v="0"/>
    <n v="552.20000000000005"/>
    <n v="552.20000000000005"/>
    <n v="-5752.48"/>
  </r>
  <r>
    <x v="0"/>
    <x v="27"/>
    <x v="0"/>
    <s v="9000936"/>
    <n v="743010"/>
    <s v="Dues--Institutional"/>
    <s v="Eliminations-PE @ HLN"/>
    <x v="0"/>
    <m/>
    <n v="0"/>
    <n v="0"/>
    <n v="0"/>
    <n v="0"/>
    <n v="0"/>
    <n v="0"/>
    <n v="0"/>
    <n v="0"/>
    <n v="0"/>
    <n v="0"/>
    <n v="0"/>
    <n v="4119.66"/>
    <n v="4119.66"/>
    <n v="-76.88"/>
  </r>
  <r>
    <x v="0"/>
    <x v="27"/>
    <x v="0"/>
    <s v="9000936"/>
    <n v="743020"/>
    <s v="Dues--Individual"/>
    <s v="Eliminations-PE @ HLN"/>
    <x v="0"/>
    <m/>
    <n v="0"/>
    <n v="0"/>
    <n v="0"/>
    <n v="0"/>
    <n v="0"/>
    <n v="0"/>
    <n v="0"/>
    <n v="0"/>
    <n v="0"/>
    <n v="0"/>
    <n v="0"/>
    <n v="9964.09"/>
    <n v="9964.09"/>
    <n v="-12351.57"/>
  </r>
  <r>
    <x v="0"/>
    <x v="27"/>
    <x v="0"/>
    <s v="9000936"/>
    <n v="743020"/>
    <s v="Provider-Dues"/>
    <s v="Eliminations-PE @ HLN"/>
    <x v="0"/>
    <n v="2200"/>
    <n v="0"/>
    <n v="0"/>
    <n v="0"/>
    <n v="0"/>
    <n v="0"/>
    <n v="0"/>
    <n v="0"/>
    <n v="0"/>
    <n v="0"/>
    <n v="0"/>
    <n v="0"/>
    <n v="3049"/>
    <n v="3049"/>
    <n v="-1427.17"/>
  </r>
  <r>
    <x v="0"/>
    <x v="27"/>
    <x v="0"/>
    <s v="9000936"/>
    <n v="743022"/>
    <s v="Dues-Physician"/>
    <s v="Eliminations-PE @ HLN"/>
    <x v="0"/>
    <m/>
    <n v="0"/>
    <n v="0"/>
    <n v="0"/>
    <n v="0"/>
    <n v="0"/>
    <n v="0"/>
    <n v="0"/>
    <n v="0"/>
    <n v="0"/>
    <n v="0"/>
    <n v="0"/>
    <n v="40815.5"/>
    <n v="40815.5"/>
    <n v="-133.16"/>
  </r>
  <r>
    <x v="0"/>
    <x v="27"/>
    <x v="0"/>
    <s v="9000936"/>
    <n v="743023"/>
    <s v="Dues-Advanced Practice Clinician"/>
    <s v="Eliminations-PE @ HLN"/>
    <x v="0"/>
    <m/>
    <n v="0"/>
    <n v="0"/>
    <n v="0"/>
    <n v="0"/>
    <n v="0"/>
    <n v="0"/>
    <n v="0"/>
    <n v="0"/>
    <n v="0"/>
    <n v="0"/>
    <n v="0"/>
    <n v="2947.39"/>
    <n v="2947.39"/>
    <n v="-12358.35"/>
  </r>
  <r>
    <x v="0"/>
    <x v="27"/>
    <x v="0"/>
    <s v="9000936"/>
    <n v="743030"/>
    <s v="Subscriptions--Institutional"/>
    <s v="Eliminations-PE @ HLN"/>
    <x v="0"/>
    <m/>
    <n v="0"/>
    <n v="0"/>
    <n v="0"/>
    <n v="0"/>
    <n v="0"/>
    <n v="0"/>
    <n v="0"/>
    <n v="0"/>
    <n v="0"/>
    <n v="0"/>
    <n v="0"/>
    <n v="5752.48"/>
    <n v="5752.48"/>
    <n v="-519376.64000000001"/>
  </r>
  <r>
    <x v="0"/>
    <x v="27"/>
    <x v="0"/>
    <s v="9000936"/>
    <n v="743040"/>
    <s v="Subscriptions--Individual"/>
    <s v="Eliminations-PE @ HLN"/>
    <x v="0"/>
    <m/>
    <n v="0"/>
    <n v="0"/>
    <n v="0"/>
    <n v="0"/>
    <n v="0"/>
    <n v="0"/>
    <n v="0"/>
    <n v="0"/>
    <n v="0"/>
    <n v="0"/>
    <n v="0"/>
    <n v="76.88"/>
    <n v="76.88"/>
    <n v="738.98"/>
  </r>
  <r>
    <x v="0"/>
    <x v="27"/>
    <x v="0"/>
    <s v="9000936"/>
    <n v="743042"/>
    <s v="Subscriptions-Physician"/>
    <s v="Eliminations-PE @ HLN"/>
    <x v="0"/>
    <m/>
    <n v="0"/>
    <n v="0"/>
    <n v="0"/>
    <n v="0"/>
    <n v="0"/>
    <n v="0"/>
    <n v="0"/>
    <n v="0"/>
    <n v="0"/>
    <n v="0"/>
    <n v="0"/>
    <n v="12351.57"/>
    <n v="12351.57"/>
    <n v="-12298.74"/>
  </r>
  <r>
    <x v="0"/>
    <x v="27"/>
    <x v="0"/>
    <s v="9000936"/>
    <n v="743043"/>
    <s v="Subscriptions-Advanced Practice Clinician"/>
    <s v="Eliminations-PE @ HLN"/>
    <x v="0"/>
    <m/>
    <n v="0"/>
    <n v="0"/>
    <n v="0"/>
    <n v="0"/>
    <n v="0"/>
    <n v="0"/>
    <n v="0"/>
    <n v="0"/>
    <n v="0"/>
    <n v="0"/>
    <n v="0"/>
    <n v="1427.17"/>
    <n v="1427.17"/>
    <n v="-8427.82"/>
  </r>
  <r>
    <x v="0"/>
    <x v="27"/>
    <x v="0"/>
    <s v="9000936"/>
    <n v="744012"/>
    <s v="Recruitment-Physician"/>
    <s v="Eliminations-PE @ HLN"/>
    <x v="0"/>
    <m/>
    <n v="0"/>
    <n v="0"/>
    <n v="0"/>
    <n v="0"/>
    <n v="0"/>
    <n v="0"/>
    <n v="0"/>
    <n v="0"/>
    <n v="0"/>
    <n v="0"/>
    <n v="0"/>
    <n v="133.16"/>
    <n v="133.16"/>
    <n v="-1397.98"/>
  </r>
  <r>
    <x v="0"/>
    <x v="27"/>
    <x v="0"/>
    <s v="9000936"/>
    <n v="746020"/>
    <s v="Bank Fees--Ext to CHI Programs"/>
    <s v="Eliminations-PE @ HLN"/>
    <x v="0"/>
    <m/>
    <n v="0"/>
    <n v="0"/>
    <n v="0"/>
    <n v="0"/>
    <n v="0"/>
    <n v="0"/>
    <n v="0"/>
    <n v="0"/>
    <n v="0"/>
    <n v="0"/>
    <n v="0"/>
    <n v="12358.35"/>
    <n v="12358.35"/>
    <n v="-30.03"/>
  </r>
  <r>
    <x v="26"/>
    <x v="27"/>
    <x v="0"/>
    <s v="9000936"/>
    <n v="747001"/>
    <s v="National Assessment"/>
    <s v="Eliminations-PE @ HLN"/>
    <x v="0"/>
    <m/>
    <n v="0"/>
    <n v="0"/>
    <n v="0"/>
    <n v="0"/>
    <n v="0"/>
    <n v="0"/>
    <n v="0"/>
    <n v="0"/>
    <n v="0"/>
    <n v="0"/>
    <n v="0"/>
    <n v="519376.64000000001"/>
    <n v="519376.64000000001"/>
    <n v="-7385.72"/>
  </r>
  <r>
    <x v="0"/>
    <x v="27"/>
    <x v="0"/>
    <s v="9000936"/>
    <n v="748521"/>
    <s v="COGS-Pharmacy Drugs-Retail"/>
    <s v="Eliminations-PE @ HLN"/>
    <x v="0"/>
    <m/>
    <n v="0"/>
    <n v="0"/>
    <n v="0"/>
    <n v="0"/>
    <n v="0"/>
    <n v="0"/>
    <n v="0"/>
    <n v="0"/>
    <n v="0"/>
    <n v="0"/>
    <n v="0"/>
    <n v="-738.98"/>
    <n v="-738.98"/>
    <n v="-1486.28"/>
  </r>
  <r>
    <x v="0"/>
    <x v="27"/>
    <x v="0"/>
    <s v="9000936"/>
    <n v="749510"/>
    <s v="Miscellaneous Expenses"/>
    <s v="Eliminations-PE @ HLN"/>
    <x v="0"/>
    <m/>
    <n v="0"/>
    <n v="0"/>
    <n v="0"/>
    <n v="0"/>
    <n v="0"/>
    <n v="0"/>
    <n v="0"/>
    <n v="0"/>
    <n v="0"/>
    <n v="0"/>
    <n v="0"/>
    <n v="12298.74"/>
    <n v="12298.74"/>
    <n v="-15743"/>
  </r>
  <r>
    <x v="0"/>
    <x v="27"/>
    <x v="0"/>
    <s v="9000936"/>
    <n v="749510"/>
    <s v="Licenses"/>
    <s v="Eliminations-PE @ HLN"/>
    <x v="0"/>
    <n v="1002"/>
    <n v="0"/>
    <n v="0"/>
    <n v="0"/>
    <n v="0"/>
    <n v="0"/>
    <n v="0"/>
    <n v="0"/>
    <n v="0"/>
    <n v="0"/>
    <n v="0"/>
    <n v="0"/>
    <n v="8427.82"/>
    <n v="8427.82"/>
    <n v="-3543"/>
  </r>
  <r>
    <x v="0"/>
    <x v="27"/>
    <x v="0"/>
    <s v="9000936"/>
    <n v="749510"/>
    <s v="Miscellaneous Employee Expense"/>
    <s v="Eliminations-PE @ HLN"/>
    <x v="0"/>
    <n v="1010"/>
    <n v="0"/>
    <n v="0"/>
    <n v="0"/>
    <n v="0"/>
    <n v="0"/>
    <n v="0"/>
    <n v="0"/>
    <n v="0"/>
    <n v="0"/>
    <n v="0"/>
    <n v="0"/>
    <n v="1397.98"/>
    <n v="1397.98"/>
    <n v="-123750"/>
  </r>
  <r>
    <x v="0"/>
    <x v="27"/>
    <x v="0"/>
    <s v="9000936"/>
    <n v="749510"/>
    <s v="Uniforms"/>
    <s v="Eliminations-PE @ HLN"/>
    <x v="0"/>
    <n v="1028"/>
    <n v="0"/>
    <n v="0"/>
    <n v="0"/>
    <n v="0"/>
    <n v="0"/>
    <n v="0"/>
    <n v="0"/>
    <n v="0"/>
    <n v="0"/>
    <n v="0"/>
    <n v="0"/>
    <n v="30.03"/>
    <n v="30.03"/>
    <n v="-16677.77"/>
  </r>
  <r>
    <x v="0"/>
    <x v="27"/>
    <x v="0"/>
    <s v="9000936"/>
    <n v="749510"/>
    <s v="RICE Rewards"/>
    <s v="Eliminations-PE @ HLN"/>
    <x v="0"/>
    <n v="5100"/>
    <n v="0"/>
    <n v="0"/>
    <n v="0"/>
    <n v="0"/>
    <n v="0"/>
    <n v="0"/>
    <n v="0"/>
    <n v="0"/>
    <n v="0"/>
    <n v="0"/>
    <n v="0"/>
    <n v="7385.72"/>
    <n v="7385.72"/>
    <n v="-19267.11"/>
  </r>
  <r>
    <x v="0"/>
    <x v="27"/>
    <x v="0"/>
    <s v="9000936"/>
    <n v="749510"/>
    <s v="Other Clinic IT Costs"/>
    <s v="Eliminations-PE @ HLN"/>
    <x v="0"/>
    <n v="5105"/>
    <n v="0"/>
    <n v="0"/>
    <n v="0"/>
    <n v="0"/>
    <n v="0"/>
    <n v="0"/>
    <n v="0"/>
    <n v="0"/>
    <n v="0"/>
    <n v="0"/>
    <n v="0"/>
    <n v="1486.28"/>
    <n v="1486.28"/>
    <n v="-28621.34"/>
  </r>
  <r>
    <x v="0"/>
    <x v="27"/>
    <x v="0"/>
    <s v="9000936"/>
    <n v="749512"/>
    <s v="Licenses-Physician"/>
    <s v="Eliminations-PE @ HLN"/>
    <x v="0"/>
    <n v="2000"/>
    <n v="0"/>
    <n v="0"/>
    <n v="0"/>
    <n v="0"/>
    <n v="0"/>
    <n v="0"/>
    <n v="0"/>
    <n v="0"/>
    <n v="0"/>
    <n v="0"/>
    <n v="0"/>
    <n v="15743"/>
    <n v="15743"/>
    <n v="-461.92"/>
  </r>
  <r>
    <x v="0"/>
    <x v="27"/>
    <x v="0"/>
    <s v="9000936"/>
    <n v="749513"/>
    <s v="Licenses-Advanced Practice Clinician"/>
    <s v="Eliminations-PE @ HLN"/>
    <x v="0"/>
    <n v="2000"/>
    <n v="0"/>
    <n v="0"/>
    <n v="0"/>
    <n v="0"/>
    <n v="0"/>
    <n v="0"/>
    <n v="0"/>
    <n v="0"/>
    <n v="0"/>
    <n v="0"/>
    <n v="0"/>
    <n v="3543"/>
    <n v="3543"/>
    <n v="-2381.71"/>
  </r>
  <r>
    <x v="0"/>
    <x v="27"/>
    <x v="0"/>
    <s v="9000936"/>
    <n v="749525"/>
    <s v="Contingent Liability Expense"/>
    <s v="Eliminations-PE @ HLN"/>
    <x v="0"/>
    <m/>
    <n v="0"/>
    <n v="0"/>
    <n v="0"/>
    <n v="0"/>
    <n v="0"/>
    <n v="0"/>
    <n v="0"/>
    <n v="0"/>
    <n v="0"/>
    <n v="0"/>
    <n v="0"/>
    <n v="123750"/>
    <n v="123750"/>
    <n v="-12025.65"/>
  </r>
  <r>
    <x v="0"/>
    <x v="27"/>
    <x v="0"/>
    <s v="9000936"/>
    <n v="749530"/>
    <s v="Travel"/>
    <s v="Eliminations-PE @ HLN"/>
    <x v="0"/>
    <m/>
    <n v="0"/>
    <n v="0"/>
    <n v="0"/>
    <n v="0"/>
    <n v="0"/>
    <n v="0"/>
    <n v="0"/>
    <n v="0"/>
    <n v="0"/>
    <n v="0"/>
    <n v="0"/>
    <n v="16677.77"/>
    <n v="16677.77"/>
    <n v="-64.09"/>
  </r>
  <r>
    <x v="0"/>
    <x v="27"/>
    <x v="0"/>
    <s v="9000936"/>
    <n v="749530"/>
    <s v="Mileage"/>
    <s v="Eliminations-PE @ HLN"/>
    <x v="0"/>
    <n v="1001"/>
    <n v="0"/>
    <n v="0"/>
    <n v="0"/>
    <n v="0"/>
    <n v="0"/>
    <n v="0"/>
    <n v="0"/>
    <n v="0"/>
    <n v="0"/>
    <n v="0"/>
    <n v="0"/>
    <n v="19267.11"/>
    <n v="19267.11"/>
    <n v="-780.29"/>
  </r>
  <r>
    <x v="0"/>
    <x v="27"/>
    <x v="0"/>
    <s v="9000936"/>
    <n v="749532"/>
    <s v="Travel-Physician"/>
    <s v="Eliminations-PE @ HLN"/>
    <x v="0"/>
    <m/>
    <n v="0"/>
    <n v="0"/>
    <n v="0"/>
    <n v="0"/>
    <n v="0"/>
    <n v="0"/>
    <n v="0"/>
    <n v="0"/>
    <n v="0"/>
    <n v="0"/>
    <n v="0"/>
    <n v="28621.34"/>
    <n v="28621.34"/>
    <n v="-12702.19"/>
  </r>
  <r>
    <x v="0"/>
    <x v="27"/>
    <x v="0"/>
    <s v="9000936"/>
    <n v="749532"/>
    <s v="Business Meals-Physician"/>
    <s v="Eliminations-PE @ HLN"/>
    <x v="0"/>
    <n v="2000"/>
    <n v="0"/>
    <n v="0"/>
    <n v="0"/>
    <n v="0"/>
    <n v="0"/>
    <n v="0"/>
    <n v="0"/>
    <n v="0"/>
    <n v="0"/>
    <n v="0"/>
    <n v="0"/>
    <n v="461.92"/>
    <n v="461.92"/>
    <n v="-155.36000000000001"/>
  </r>
  <r>
    <x v="0"/>
    <x v="27"/>
    <x v="0"/>
    <s v="9000936"/>
    <n v="749532"/>
    <s v="Vehicle Expense-Physician"/>
    <s v="Eliminations-PE @ HLN"/>
    <x v="0"/>
    <n v="2001"/>
    <n v="0"/>
    <n v="0"/>
    <n v="0"/>
    <n v="0"/>
    <n v="0"/>
    <n v="0"/>
    <n v="0"/>
    <n v="0"/>
    <n v="0"/>
    <n v="0"/>
    <n v="0"/>
    <n v="2381.71"/>
    <n v="2381.71"/>
    <n v="-56.7"/>
  </r>
  <r>
    <x v="0"/>
    <x v="27"/>
    <x v="0"/>
    <s v="9000936"/>
    <n v="749533"/>
    <s v="Travel-Advanced Practice Clinician"/>
    <s v="Eliminations-PE @ HLN"/>
    <x v="0"/>
    <m/>
    <n v="0"/>
    <n v="0"/>
    <n v="0"/>
    <n v="0"/>
    <n v="0"/>
    <n v="0"/>
    <n v="0"/>
    <n v="0"/>
    <n v="0"/>
    <n v="0"/>
    <n v="0"/>
    <n v="12025.65"/>
    <n v="12025.65"/>
    <n v="-10.54"/>
  </r>
  <r>
    <x v="0"/>
    <x v="27"/>
    <x v="0"/>
    <s v="9000936"/>
    <n v="749533"/>
    <s v="Business Meals-Advanced Practice Clinician"/>
    <s v="Eliminations-PE @ HLN"/>
    <x v="0"/>
    <n v="2000"/>
    <n v="0"/>
    <n v="0"/>
    <n v="0"/>
    <n v="0"/>
    <n v="0"/>
    <n v="0"/>
    <n v="0"/>
    <n v="0"/>
    <n v="0"/>
    <n v="0"/>
    <n v="0"/>
    <n v="64.09"/>
    <n v="64.09"/>
    <n v="-22018.09"/>
  </r>
  <r>
    <x v="0"/>
    <x v="27"/>
    <x v="0"/>
    <s v="9000936"/>
    <n v="749533"/>
    <s v="Vehicle Expense-Advanced Practice Clinician"/>
    <s v="Eliminations-PE @ HLN"/>
    <x v="0"/>
    <n v="2001"/>
    <n v="0"/>
    <n v="0"/>
    <n v="0"/>
    <n v="0"/>
    <n v="0"/>
    <n v="0"/>
    <n v="0"/>
    <n v="0"/>
    <n v="0"/>
    <n v="0"/>
    <n v="0"/>
    <n v="780.29"/>
    <n v="780.29"/>
    <n v="-32754.89"/>
  </r>
  <r>
    <x v="0"/>
    <x v="27"/>
    <x v="0"/>
    <s v="9000936"/>
    <n v="749535"/>
    <s v="Meetings"/>
    <s v="Eliminations-PE @ HLN"/>
    <x v="0"/>
    <m/>
    <n v="0"/>
    <n v="0"/>
    <n v="0"/>
    <n v="0"/>
    <n v="0"/>
    <n v="0"/>
    <n v="0"/>
    <n v="0"/>
    <n v="0"/>
    <n v="0"/>
    <n v="0"/>
    <n v="12702.19"/>
    <n v="12702.19"/>
    <n v="-26592.94"/>
  </r>
  <r>
    <x v="0"/>
    <x v="27"/>
    <x v="0"/>
    <s v="9000936"/>
    <n v="749535"/>
    <s v="Medicare Non-Allowable Beverages"/>
    <s v="Eliminations-PE @ HLN"/>
    <x v="0"/>
    <n v="1005"/>
    <n v="0"/>
    <n v="0"/>
    <n v="0"/>
    <n v="0"/>
    <n v="0"/>
    <n v="0"/>
    <n v="0"/>
    <n v="0"/>
    <n v="0"/>
    <n v="0"/>
    <n v="0"/>
    <n v="155.36000000000001"/>
    <n v="155.36000000000001"/>
    <n v="-1296.6400000000001"/>
  </r>
  <r>
    <x v="0"/>
    <x v="27"/>
    <x v="0"/>
    <s v="9000936"/>
    <n v="749535"/>
    <s v="Medicare Non-Allowable Other"/>
    <s v="Eliminations-PE @ HLN"/>
    <x v="0"/>
    <n v="1012"/>
    <n v="0"/>
    <n v="0"/>
    <n v="0"/>
    <n v="0"/>
    <n v="0"/>
    <n v="0"/>
    <n v="0"/>
    <n v="0"/>
    <n v="0"/>
    <n v="0"/>
    <n v="0"/>
    <n v="56.7"/>
    <n v="56.7"/>
    <n v="-278795.78999999998"/>
  </r>
  <r>
    <x v="0"/>
    <x v="27"/>
    <x v="0"/>
    <s v="9000936"/>
    <n v="749550"/>
    <s v="Cash Over/Short"/>
    <s v="Eliminations-PE @ HLN"/>
    <x v="0"/>
    <m/>
    <n v="0"/>
    <n v="0"/>
    <n v="0"/>
    <n v="0"/>
    <n v="0"/>
    <n v="0"/>
    <n v="0"/>
    <n v="0"/>
    <n v="0"/>
    <n v="0"/>
    <n v="0"/>
    <n v="10.54"/>
    <n v="10.54"/>
    <n v="-100334.14"/>
  </r>
  <r>
    <x v="24"/>
    <x v="27"/>
    <x v="0"/>
    <s v="9000936"/>
    <n v="760030"/>
    <s v="Interest Expense-Ext to CHI Programs"/>
    <s v="Eliminations-PE @ HLN"/>
    <x v="0"/>
    <m/>
    <n v="0"/>
    <n v="0"/>
    <n v="0"/>
    <n v="0"/>
    <n v="0"/>
    <n v="0"/>
    <n v="0"/>
    <n v="0"/>
    <n v="0"/>
    <n v="0"/>
    <n v="0"/>
    <n v="22018.09"/>
    <n v="22018.09"/>
    <n v="30.74"/>
  </r>
  <r>
    <x v="0"/>
    <x v="27"/>
    <x v="0"/>
    <s v="9000936"/>
    <n v="765050"/>
    <s v="Local Income Tax"/>
    <s v="Eliminations-PE @ HLN"/>
    <x v="0"/>
    <m/>
    <n v="0"/>
    <n v="0"/>
    <n v="0"/>
    <n v="0"/>
    <n v="0"/>
    <n v="0"/>
    <n v="0"/>
    <n v="0"/>
    <n v="0"/>
    <n v="0"/>
    <n v="0"/>
    <n v="32754.89"/>
    <n v="32754.89"/>
    <n v="3340.19"/>
  </r>
  <r>
    <x v="0"/>
    <x v="27"/>
    <x v="0"/>
    <s v="9000936"/>
    <n v="766010"/>
    <s v="Property Tax"/>
    <s v="Eliminations-PE @ HLN"/>
    <x v="0"/>
    <m/>
    <n v="0"/>
    <n v="0"/>
    <n v="0"/>
    <n v="0"/>
    <n v="0"/>
    <n v="0"/>
    <n v="0"/>
    <n v="0"/>
    <n v="0"/>
    <n v="0"/>
    <n v="0"/>
    <n v="26592.94"/>
    <n v="26592.94"/>
    <n v="1513808.07"/>
  </r>
  <r>
    <x v="0"/>
    <x v="27"/>
    <x v="0"/>
    <s v="9000936"/>
    <n v="766070"/>
    <s v="Sales and Use Tax"/>
    <s v="Eliminations-PE @ HLN"/>
    <x v="0"/>
    <m/>
    <n v="0"/>
    <n v="0"/>
    <n v="0"/>
    <n v="0"/>
    <n v="0"/>
    <n v="0"/>
    <n v="0"/>
    <n v="0"/>
    <n v="0"/>
    <n v="0"/>
    <n v="0"/>
    <n v="1296.6400000000001"/>
    <n v="1296.6400000000001"/>
    <n v="268164.18"/>
  </r>
  <r>
    <x v="0"/>
    <x v="27"/>
    <x v="0"/>
    <s v="9000936"/>
    <n v="766090"/>
    <s v="Franchise and Excise Tax"/>
    <s v="Eliminations-PE @ HLN"/>
    <x v="0"/>
    <n v="1001"/>
    <n v="0"/>
    <n v="0"/>
    <n v="0"/>
    <n v="0"/>
    <n v="0"/>
    <n v="0"/>
    <n v="0"/>
    <n v="0"/>
    <n v="0"/>
    <n v="0"/>
    <n v="0"/>
    <n v="278795.78999999998"/>
    <n v="278795.78999999998"/>
    <n v="27038.42"/>
  </r>
  <r>
    <x v="25"/>
    <x v="27"/>
    <x v="0"/>
    <s v="9000936"/>
    <n v="770020"/>
    <s v="Severance Costs"/>
    <s v="Eliminations-PE @ HLN"/>
    <x v="0"/>
    <m/>
    <n v="0"/>
    <n v="0"/>
    <n v="0"/>
    <n v="0"/>
    <n v="0"/>
    <n v="0"/>
    <n v="0"/>
    <n v="0"/>
    <n v="0"/>
    <n v="0"/>
    <n v="0"/>
    <n v="100334.14"/>
    <n v="100334.14"/>
    <n v="126180.53"/>
  </r>
  <r>
    <x v="9"/>
    <x v="27"/>
    <x v="0"/>
    <s v="9000936"/>
    <n v="800010"/>
    <s v="Interest Income-CHI Cash Mgmt Program"/>
    <s v="Eliminations-PE @ HLN"/>
    <x v="0"/>
    <n v="1000"/>
    <n v="0"/>
    <n v="0"/>
    <n v="0"/>
    <n v="0"/>
    <n v="0"/>
    <n v="0"/>
    <n v="0"/>
    <n v="0"/>
    <n v="0"/>
    <n v="0"/>
    <n v="0"/>
    <n v="-30.74"/>
    <n v="-30.74"/>
    <n v="399506.87"/>
  </r>
  <r>
    <x v="9"/>
    <x v="27"/>
    <x v="0"/>
    <s v="9000936"/>
    <n v="800015"/>
    <s v="Interest Income-Ext to CHI"/>
    <s v="Eliminations-PE @ HLN"/>
    <x v="0"/>
    <m/>
    <n v="0"/>
    <n v="0"/>
    <n v="0"/>
    <n v="0"/>
    <n v="0"/>
    <n v="0"/>
    <n v="0"/>
    <n v="0"/>
    <n v="0"/>
    <n v="0"/>
    <n v="0"/>
    <n v="-3340.19"/>
    <n v="-3340.19"/>
    <n v="17144.86"/>
  </r>
  <r>
    <x v="9"/>
    <x v="27"/>
    <x v="0"/>
    <s v="9000936"/>
    <n v="804050"/>
    <s v="Business Combination Gains-Nonoperating"/>
    <s v="Eliminations-PE @ HLN"/>
    <x v="0"/>
    <m/>
    <n v="0"/>
    <n v="0"/>
    <n v="0"/>
    <n v="0"/>
    <n v="0"/>
    <n v="0"/>
    <n v="0"/>
    <n v="0"/>
    <n v="0"/>
    <n v="0"/>
    <n v="0"/>
    <n v="271033.15000000002"/>
    <n v="271033.15000000002"/>
    <n v="166034.29999999999"/>
  </r>
  <r>
    <x v="1"/>
    <x v="28"/>
    <x v="0"/>
    <s v="9000937"/>
    <n v="400029"/>
    <s v="MD Practice Other Rev--Medicare"/>
    <s v="Eliminations-PE @ HRSN"/>
    <x v="0"/>
    <n v="1100"/>
    <n v="0"/>
    <n v="0"/>
    <n v="0"/>
    <n v="0"/>
    <n v="0"/>
    <n v="0"/>
    <n v="0"/>
    <n v="0"/>
    <n v="0"/>
    <n v="0"/>
    <n v="0"/>
    <n v="-1513808.07"/>
    <n v="-1513808.07"/>
    <n v="105701977.18000001"/>
  </r>
  <r>
    <x v="1"/>
    <x v="28"/>
    <x v="0"/>
    <s v="9000937"/>
    <n v="400029"/>
    <s v="MD Practice Other Rev--Medicaid"/>
    <s v="Eliminations-PE @ HRSN"/>
    <x v="0"/>
    <n v="1200"/>
    <n v="0"/>
    <n v="0"/>
    <n v="0"/>
    <n v="0"/>
    <n v="0"/>
    <n v="0"/>
    <n v="0"/>
    <n v="0"/>
    <n v="0"/>
    <n v="0"/>
    <n v="0"/>
    <n v="-268164.18"/>
    <n v="-268164.18"/>
    <n v="26721298.199999999"/>
  </r>
  <r>
    <x v="1"/>
    <x v="28"/>
    <x v="0"/>
    <s v="9000937"/>
    <n v="400029"/>
    <s v="MD Practice Other Rev--Comm Insurance"/>
    <s v="Eliminations-PE @ HRSN"/>
    <x v="0"/>
    <n v="1300"/>
    <n v="0"/>
    <n v="0"/>
    <n v="0"/>
    <n v="0"/>
    <n v="0"/>
    <n v="0"/>
    <n v="0"/>
    <n v="0"/>
    <n v="0"/>
    <n v="0"/>
    <n v="0"/>
    <n v="-27038.42"/>
    <n v="-27038.42"/>
    <n v="4303000.05"/>
  </r>
  <r>
    <x v="1"/>
    <x v="28"/>
    <x v="0"/>
    <s v="9000937"/>
    <n v="400029"/>
    <s v="MD Practice Other Rev--BCBS Comm"/>
    <s v="Eliminations-PE @ HRSN"/>
    <x v="0"/>
    <n v="1301"/>
    <n v="0"/>
    <n v="0"/>
    <n v="0"/>
    <n v="0"/>
    <n v="0"/>
    <n v="0"/>
    <n v="0"/>
    <n v="0"/>
    <n v="0"/>
    <n v="0"/>
    <n v="0"/>
    <n v="-126180.53"/>
    <n v="-126180.53"/>
    <n v="19154076.300000001"/>
  </r>
  <r>
    <x v="1"/>
    <x v="28"/>
    <x v="0"/>
    <s v="9000937"/>
    <n v="400029"/>
    <s v="MD Practice Other Rev--Managed Care"/>
    <s v="Eliminations-PE @ HRSN"/>
    <x v="0"/>
    <n v="1400"/>
    <n v="0"/>
    <n v="0"/>
    <n v="0"/>
    <n v="0"/>
    <n v="0"/>
    <n v="0"/>
    <n v="0"/>
    <n v="0"/>
    <n v="0"/>
    <n v="0"/>
    <n v="0"/>
    <n v="-399506.87"/>
    <n v="-399506.87"/>
    <n v="62616844.509999998"/>
  </r>
  <r>
    <x v="1"/>
    <x v="28"/>
    <x v="0"/>
    <s v="9000937"/>
    <n v="400029"/>
    <s v="MD Practice Other Rev--Self Pay"/>
    <s v="Eliminations-PE @ HRSN"/>
    <x v="0"/>
    <n v="1500"/>
    <n v="0"/>
    <n v="0"/>
    <n v="0"/>
    <n v="0"/>
    <n v="0"/>
    <n v="0"/>
    <n v="0"/>
    <n v="0"/>
    <n v="0"/>
    <n v="0"/>
    <n v="0"/>
    <n v="-17144.86"/>
    <n v="-17144.86"/>
    <n v="4819508.57"/>
  </r>
  <r>
    <x v="1"/>
    <x v="28"/>
    <x v="0"/>
    <s v="9000937"/>
    <n v="400029"/>
    <s v="MD Practice Other Rev--Other"/>
    <s v="Eliminations-PE @ HRSN"/>
    <x v="0"/>
    <n v="1700"/>
    <n v="0"/>
    <n v="0"/>
    <n v="0"/>
    <n v="0"/>
    <n v="0"/>
    <n v="0"/>
    <n v="0"/>
    <n v="0"/>
    <n v="0"/>
    <n v="0"/>
    <n v="0"/>
    <n v="-166034.29999999999"/>
    <n v="-166034.29999999999"/>
    <n v="22656122.870000001"/>
  </r>
  <r>
    <x v="1"/>
    <x v="28"/>
    <x v="0"/>
    <s v="9000937"/>
    <n v="400040"/>
    <s v="Physician Svcs Rev--Medicare"/>
    <s v="Eliminations-PE @ HRSN"/>
    <x v="0"/>
    <n v="1100"/>
    <n v="0"/>
    <n v="0"/>
    <n v="0"/>
    <n v="0"/>
    <n v="0"/>
    <n v="0"/>
    <n v="0"/>
    <n v="0"/>
    <n v="0"/>
    <n v="0"/>
    <n v="0"/>
    <n v="-105701977.18000001"/>
    <n v="-105701977.18000001"/>
    <n v="-937797.24"/>
  </r>
  <r>
    <x v="1"/>
    <x v="28"/>
    <x v="0"/>
    <s v="9000937"/>
    <n v="400040"/>
    <s v="Physician Svcs Rev--Medicaid"/>
    <s v="Eliminations-PE @ HRSN"/>
    <x v="0"/>
    <n v="1200"/>
    <n v="0"/>
    <n v="0"/>
    <n v="0"/>
    <n v="0"/>
    <n v="0"/>
    <n v="0"/>
    <n v="0"/>
    <n v="0"/>
    <n v="0"/>
    <n v="0"/>
    <n v="0"/>
    <n v="-26721298.199999999"/>
    <n v="-26721298.199999999"/>
    <n v="-197809.26"/>
  </r>
  <r>
    <x v="1"/>
    <x v="28"/>
    <x v="0"/>
    <s v="9000937"/>
    <n v="400040"/>
    <s v="Physician Svcs Rev--Comm Insurance"/>
    <s v="Eliminations-PE @ HRSN"/>
    <x v="0"/>
    <n v="1300"/>
    <n v="0"/>
    <n v="0"/>
    <n v="0"/>
    <n v="0"/>
    <n v="0"/>
    <n v="0"/>
    <n v="0"/>
    <n v="0"/>
    <n v="0"/>
    <n v="0"/>
    <n v="0"/>
    <n v="-4303000.05"/>
    <n v="-4303000.05"/>
    <n v="-12960.15"/>
  </r>
  <r>
    <x v="1"/>
    <x v="28"/>
    <x v="0"/>
    <s v="9000937"/>
    <n v="400040"/>
    <s v="Physician Svcs Rev--BCBS Comm"/>
    <s v="Eliminations-PE @ HRSN"/>
    <x v="0"/>
    <n v="1301"/>
    <n v="0"/>
    <n v="0"/>
    <n v="0"/>
    <n v="0"/>
    <n v="0"/>
    <n v="0"/>
    <n v="0"/>
    <n v="0"/>
    <n v="0"/>
    <n v="0"/>
    <n v="0"/>
    <n v="-19154076.300000001"/>
    <n v="-19154076.300000001"/>
    <n v="-61028.6"/>
  </r>
  <r>
    <x v="1"/>
    <x v="28"/>
    <x v="0"/>
    <s v="9000937"/>
    <n v="400040"/>
    <s v="Physician Svcs Rev--Managed Care"/>
    <s v="Eliminations-PE @ HRSN"/>
    <x v="0"/>
    <n v="1400"/>
    <n v="0"/>
    <n v="0"/>
    <n v="0"/>
    <n v="0"/>
    <n v="0"/>
    <n v="0"/>
    <n v="0"/>
    <n v="0"/>
    <n v="0"/>
    <n v="0"/>
    <n v="0"/>
    <n v="-62616844.509999998"/>
    <n v="-62616844.509999998"/>
    <n v="-186250.58"/>
  </r>
  <r>
    <x v="1"/>
    <x v="28"/>
    <x v="0"/>
    <s v="9000937"/>
    <n v="400040"/>
    <s v="Physician Svcs Rev--Self Pay"/>
    <s v="Eliminations-PE @ HRSN"/>
    <x v="0"/>
    <n v="1500"/>
    <n v="0"/>
    <n v="0"/>
    <n v="0"/>
    <n v="0"/>
    <n v="0"/>
    <n v="0"/>
    <n v="0"/>
    <n v="0"/>
    <n v="0"/>
    <n v="0"/>
    <n v="0"/>
    <n v="-4819508.57"/>
    <n v="-4819508.57"/>
    <n v="-30.63"/>
  </r>
  <r>
    <x v="1"/>
    <x v="28"/>
    <x v="0"/>
    <s v="9000937"/>
    <n v="400040"/>
    <s v="Physician Svcs Rev--Other"/>
    <s v="Eliminations-PE @ HRSN"/>
    <x v="0"/>
    <n v="1700"/>
    <n v="0"/>
    <n v="0"/>
    <n v="0"/>
    <n v="0"/>
    <n v="0"/>
    <n v="0"/>
    <n v="0"/>
    <n v="0"/>
    <n v="0"/>
    <n v="0"/>
    <n v="0"/>
    <n v="-22656122.870000001"/>
    <n v="-22656122.870000001"/>
    <n v="-11192.01"/>
  </r>
  <r>
    <x v="2"/>
    <x v="28"/>
    <x v="0"/>
    <s v="9000937"/>
    <n v="450029"/>
    <s v="Contr Allow--MD Other-Medicare"/>
    <s v="Eliminations-PE @ HRSN"/>
    <x v="0"/>
    <n v="1100"/>
    <n v="0"/>
    <n v="0"/>
    <n v="0"/>
    <n v="0"/>
    <n v="0"/>
    <n v="0"/>
    <n v="0"/>
    <n v="0"/>
    <n v="0"/>
    <n v="0"/>
    <n v="0"/>
    <n v="937797.24"/>
    <n v="937797.24"/>
    <n v="-98942.11"/>
  </r>
  <r>
    <x v="2"/>
    <x v="28"/>
    <x v="0"/>
    <s v="9000937"/>
    <n v="450029"/>
    <s v="Contr Allow--MD Other-Medicaid"/>
    <s v="Eliminations-PE @ HRSN"/>
    <x v="0"/>
    <n v="1200"/>
    <n v="0"/>
    <n v="0"/>
    <n v="0"/>
    <n v="0"/>
    <n v="0"/>
    <n v="0"/>
    <n v="0"/>
    <n v="0"/>
    <n v="0"/>
    <n v="0"/>
    <n v="0"/>
    <n v="197809.26"/>
    <n v="197809.26"/>
    <n v="-71637355.939999998"/>
  </r>
  <r>
    <x v="2"/>
    <x v="28"/>
    <x v="0"/>
    <s v="9000937"/>
    <n v="450029"/>
    <s v="Contr Allow--MD Other-Comm Insurance"/>
    <s v="Eliminations-PE @ HRSN"/>
    <x v="0"/>
    <n v="1300"/>
    <n v="0"/>
    <n v="0"/>
    <n v="0"/>
    <n v="0"/>
    <n v="0"/>
    <n v="0"/>
    <n v="0"/>
    <n v="0"/>
    <n v="0"/>
    <n v="0"/>
    <n v="0"/>
    <n v="12960.15"/>
    <n v="12960.15"/>
    <n v="-19489945.34"/>
  </r>
  <r>
    <x v="2"/>
    <x v="28"/>
    <x v="0"/>
    <s v="9000937"/>
    <n v="450029"/>
    <s v="Contr Allow--MD Other BCBS Comm"/>
    <s v="Eliminations-PE @ HRSN"/>
    <x v="0"/>
    <n v="1301"/>
    <n v="0"/>
    <n v="0"/>
    <n v="0"/>
    <n v="0"/>
    <n v="0"/>
    <n v="0"/>
    <n v="0"/>
    <n v="0"/>
    <n v="0"/>
    <n v="0"/>
    <n v="0"/>
    <n v="61028.6"/>
    <n v="61028.6"/>
    <n v="-2028105.76"/>
  </r>
  <r>
    <x v="2"/>
    <x v="28"/>
    <x v="0"/>
    <s v="9000937"/>
    <n v="450029"/>
    <s v="Contr Allow--MD Other-Managed Care"/>
    <s v="Eliminations-PE @ HRSN"/>
    <x v="0"/>
    <n v="1400"/>
    <n v="0"/>
    <n v="0"/>
    <n v="0"/>
    <n v="0"/>
    <n v="0"/>
    <n v="0"/>
    <n v="0"/>
    <n v="0"/>
    <n v="0"/>
    <n v="0"/>
    <n v="0"/>
    <n v="186250.58"/>
    <n v="186250.58"/>
    <n v="-8700286.0700000003"/>
  </r>
  <r>
    <x v="2"/>
    <x v="28"/>
    <x v="0"/>
    <s v="9000937"/>
    <n v="450029"/>
    <s v="Prompt Pay Disc-MD Other-Self Pay"/>
    <s v="Eliminations-PE @ HRSN"/>
    <x v="0"/>
    <n v="1500"/>
    <n v="0"/>
    <n v="0"/>
    <n v="0"/>
    <n v="0"/>
    <n v="0"/>
    <n v="0"/>
    <n v="0"/>
    <n v="0"/>
    <n v="0"/>
    <n v="0"/>
    <n v="0"/>
    <n v="30.63"/>
    <n v="30.63"/>
    <n v="-29254651.780000001"/>
  </r>
  <r>
    <x v="2"/>
    <x v="28"/>
    <x v="0"/>
    <s v="9000937"/>
    <n v="450029"/>
    <s v="Admin Adjust-MD Other-Self Pay"/>
    <s v="Eliminations-PE @ HRSN"/>
    <x v="0"/>
    <n v="1600"/>
    <n v="0"/>
    <n v="0"/>
    <n v="0"/>
    <n v="0"/>
    <n v="0"/>
    <n v="0"/>
    <n v="0"/>
    <n v="0"/>
    <n v="0"/>
    <n v="0"/>
    <n v="0"/>
    <n v="11192.01"/>
    <n v="11192.01"/>
    <n v="720318.92"/>
  </r>
  <r>
    <x v="2"/>
    <x v="28"/>
    <x v="0"/>
    <s v="9000937"/>
    <n v="450029"/>
    <s v="Contr Allow--MD Other-Other"/>
    <s v="Eliminations-PE @ HRSN"/>
    <x v="0"/>
    <n v="1700"/>
    <n v="0"/>
    <n v="0"/>
    <n v="0"/>
    <n v="0"/>
    <n v="0"/>
    <n v="0"/>
    <n v="0"/>
    <n v="0"/>
    <n v="0"/>
    <n v="0"/>
    <n v="0"/>
    <n v="98942.11"/>
    <n v="98942.11"/>
    <n v="53129.67"/>
  </r>
  <r>
    <x v="2"/>
    <x v="28"/>
    <x v="0"/>
    <s v="9000937"/>
    <n v="450040"/>
    <s v="Contr Allow--Phys Svcs--Mcare"/>
    <s v="Eliminations-PE @ HRSN"/>
    <x v="0"/>
    <n v="1100"/>
    <n v="0"/>
    <n v="0"/>
    <n v="0"/>
    <n v="0"/>
    <n v="0"/>
    <n v="0"/>
    <n v="0"/>
    <n v="0"/>
    <n v="0"/>
    <n v="0"/>
    <n v="0"/>
    <n v="71637355.939999998"/>
    <n v="71637355.939999998"/>
    <n v="-387433.05"/>
  </r>
  <r>
    <x v="2"/>
    <x v="28"/>
    <x v="0"/>
    <s v="9000937"/>
    <n v="450040"/>
    <s v="Contr Allow--Phys Svcs--Mcaid"/>
    <s v="Eliminations-PE @ HRSN"/>
    <x v="0"/>
    <n v="1200"/>
    <n v="0"/>
    <n v="0"/>
    <n v="0"/>
    <n v="0"/>
    <n v="0"/>
    <n v="0"/>
    <n v="0"/>
    <n v="0"/>
    <n v="0"/>
    <n v="0"/>
    <n v="0"/>
    <n v="19489945.34"/>
    <n v="19489945.34"/>
    <n v="-12698269.42"/>
  </r>
  <r>
    <x v="2"/>
    <x v="28"/>
    <x v="0"/>
    <s v="9000937"/>
    <n v="450040"/>
    <s v="Contr Allow--Phys Svcs--Comm Insurance"/>
    <s v="Eliminations-PE @ HRSN"/>
    <x v="0"/>
    <n v="1300"/>
    <n v="0"/>
    <n v="0"/>
    <n v="0"/>
    <n v="0"/>
    <n v="0"/>
    <n v="0"/>
    <n v="0"/>
    <n v="0"/>
    <n v="0"/>
    <n v="0"/>
    <n v="0"/>
    <n v="2028105.76"/>
    <n v="2028105.76"/>
    <n v="-997162.91"/>
  </r>
  <r>
    <x v="2"/>
    <x v="28"/>
    <x v="0"/>
    <s v="9000937"/>
    <n v="450040"/>
    <s v="Contr Allow--Phys Svcs--BCBS Comm Ins"/>
    <s v="Eliminations-PE @ HRSN"/>
    <x v="0"/>
    <n v="1301"/>
    <n v="0"/>
    <n v="0"/>
    <n v="0"/>
    <n v="0"/>
    <n v="0"/>
    <n v="0"/>
    <n v="0"/>
    <n v="0"/>
    <n v="0"/>
    <n v="0"/>
    <n v="0"/>
    <n v="8700286.0700000003"/>
    <n v="8700286.0700000003"/>
    <n v="-1456129.2"/>
  </r>
  <r>
    <x v="2"/>
    <x v="28"/>
    <x v="0"/>
    <s v="9000937"/>
    <n v="450040"/>
    <s v="Contr Allow--Phys Svcs--Managed Care"/>
    <s v="Eliminations-PE @ HRSN"/>
    <x v="0"/>
    <n v="1400"/>
    <n v="0"/>
    <n v="0"/>
    <n v="0"/>
    <n v="0"/>
    <n v="0"/>
    <n v="0"/>
    <n v="0"/>
    <n v="0"/>
    <n v="0"/>
    <n v="0"/>
    <n v="0"/>
    <n v="29254651.780000001"/>
    <n v="29254651.780000001"/>
    <n v="104823.22"/>
  </r>
  <r>
    <x v="2"/>
    <x v="28"/>
    <x v="0"/>
    <s v="9000937"/>
    <n v="450040"/>
    <s v="Contr Allow--Phys Svcs--BCBS Mgnd Care"/>
    <s v="Eliminations-PE @ HRSN"/>
    <x v="0"/>
    <n v="1401"/>
    <n v="0"/>
    <n v="0"/>
    <n v="0"/>
    <n v="0"/>
    <n v="0"/>
    <n v="0"/>
    <n v="0"/>
    <n v="0"/>
    <n v="0"/>
    <n v="0"/>
    <n v="0"/>
    <n v="-720318.92"/>
    <n v="-720318.92"/>
    <n v="12039.98"/>
  </r>
  <r>
    <x v="2"/>
    <x v="28"/>
    <x v="0"/>
    <s v="9000937"/>
    <n v="450040"/>
    <s v="Prompt Pay Disc-Phys Svcs-Self Pay"/>
    <s v="Eliminations-PE @ HRSN"/>
    <x v="0"/>
    <n v="1500"/>
    <n v="0"/>
    <n v="0"/>
    <n v="0"/>
    <n v="0"/>
    <n v="0"/>
    <n v="0"/>
    <n v="0"/>
    <n v="0"/>
    <n v="0"/>
    <n v="0"/>
    <n v="0"/>
    <n v="-53129.67"/>
    <n v="-53129.67"/>
    <n v="212.6"/>
  </r>
  <r>
    <x v="2"/>
    <x v="28"/>
    <x v="0"/>
    <s v="9000937"/>
    <n v="450040"/>
    <s v="Admin Adjust-Phys Svcs-Self Pay"/>
    <s v="Eliminations-PE @ HRSN"/>
    <x v="0"/>
    <n v="1600"/>
    <n v="0"/>
    <n v="0"/>
    <n v="0"/>
    <n v="0"/>
    <n v="0"/>
    <n v="0"/>
    <n v="0"/>
    <n v="0"/>
    <n v="0"/>
    <n v="0"/>
    <n v="0"/>
    <n v="387433.05"/>
    <n v="387433.05"/>
    <n v="2135.4"/>
  </r>
  <r>
    <x v="2"/>
    <x v="28"/>
    <x v="0"/>
    <s v="9000937"/>
    <n v="450040"/>
    <s v="Contr Allow--Phys Svcs--Other"/>
    <s v="Eliminations-PE @ HRSN"/>
    <x v="0"/>
    <n v="1700"/>
    <n v="0"/>
    <n v="0"/>
    <n v="0"/>
    <n v="0"/>
    <n v="0"/>
    <n v="0"/>
    <n v="0"/>
    <n v="0"/>
    <n v="0"/>
    <n v="0"/>
    <n v="0"/>
    <n v="12698269.42"/>
    <n v="12698269.42"/>
    <n v="1627258.4"/>
  </r>
  <r>
    <x v="3"/>
    <x v="28"/>
    <x v="0"/>
    <s v="9000937"/>
    <n v="470040"/>
    <s v="Charity Care-Physician Svcs"/>
    <s v="Eliminations-PE @ HRSN"/>
    <x v="0"/>
    <m/>
    <n v="0"/>
    <n v="0"/>
    <n v="0"/>
    <n v="0"/>
    <n v="0"/>
    <n v="0"/>
    <n v="0"/>
    <n v="0"/>
    <n v="0"/>
    <n v="0"/>
    <n v="0"/>
    <n v="997162.91"/>
    <n v="997162.91"/>
    <n v="40871.74"/>
  </r>
  <r>
    <x v="4"/>
    <x v="28"/>
    <x v="0"/>
    <s v="9000937"/>
    <n v="490010"/>
    <s v="Provision for Bad Debts"/>
    <s v="Eliminations-PE @ HRSN"/>
    <x v="0"/>
    <m/>
    <n v="0"/>
    <n v="0"/>
    <n v="0"/>
    <n v="0"/>
    <n v="0"/>
    <n v="0"/>
    <n v="0"/>
    <n v="0"/>
    <n v="0"/>
    <n v="0"/>
    <n v="0"/>
    <n v="1456129.2"/>
    <n v="1456129.2"/>
    <n v="112625"/>
  </r>
  <r>
    <x v="14"/>
    <x v="28"/>
    <x v="0"/>
    <s v="9000937"/>
    <n v="600010"/>
    <s v="Product Sales Income-Taxable"/>
    <s v="Eliminations-PE @ HRSN"/>
    <x v="0"/>
    <m/>
    <n v="0"/>
    <n v="0"/>
    <n v="0"/>
    <n v="0"/>
    <n v="0"/>
    <n v="0"/>
    <n v="0"/>
    <n v="0"/>
    <n v="0"/>
    <n v="0"/>
    <n v="0"/>
    <n v="-104823.22"/>
    <n v="-104823.22"/>
    <n v="13187.82"/>
  </r>
  <r>
    <x v="14"/>
    <x v="28"/>
    <x v="0"/>
    <s v="9000937"/>
    <n v="600026"/>
    <s v="POB Rental"/>
    <s v="Eliminations-PE @ HRSN"/>
    <x v="0"/>
    <n v="1001"/>
    <n v="0"/>
    <n v="0"/>
    <n v="0"/>
    <n v="0"/>
    <n v="0"/>
    <n v="0"/>
    <n v="0"/>
    <n v="0"/>
    <n v="0"/>
    <n v="0"/>
    <n v="0"/>
    <n v="-12039.98"/>
    <n v="-12039.98"/>
    <n v="444732.29"/>
  </r>
  <r>
    <x v="14"/>
    <x v="28"/>
    <x v="0"/>
    <s v="9000937"/>
    <n v="600026"/>
    <s v="Other Rental"/>
    <s v="Eliminations-PE @ HRSN"/>
    <x v="0"/>
    <n v="1002"/>
    <n v="0"/>
    <n v="0"/>
    <n v="0"/>
    <n v="0"/>
    <n v="0"/>
    <n v="0"/>
    <n v="0"/>
    <n v="0"/>
    <n v="0"/>
    <n v="0"/>
    <n v="0"/>
    <n v="-212.6"/>
    <n v="-212.6"/>
    <n v="80.7"/>
  </r>
  <r>
    <x v="14"/>
    <x v="28"/>
    <x v="0"/>
    <s v="9000937"/>
    <n v="600034"/>
    <s v="Vending Commission"/>
    <s v="Eliminations-PE @ HRSN"/>
    <x v="0"/>
    <n v="1002"/>
    <n v="0"/>
    <n v="0"/>
    <n v="0"/>
    <n v="0"/>
    <n v="0"/>
    <n v="0"/>
    <n v="0"/>
    <n v="0"/>
    <n v="0"/>
    <n v="0"/>
    <n v="0"/>
    <n v="-2135.4"/>
    <n v="-2135.4"/>
    <n v="-1348682.36"/>
  </r>
  <r>
    <x v="14"/>
    <x v="28"/>
    <x v="0"/>
    <s v="9000937"/>
    <n v="600050"/>
    <s v="Miscellaneous Revenue"/>
    <s v="Eliminations-PE @ HRSN"/>
    <x v="0"/>
    <m/>
    <n v="0"/>
    <n v="0"/>
    <n v="0"/>
    <n v="0"/>
    <n v="0"/>
    <n v="0"/>
    <n v="0"/>
    <n v="0"/>
    <n v="0"/>
    <n v="0"/>
    <n v="0"/>
    <n v="-1627258.4"/>
    <n v="-1627258.4"/>
    <n v="-1807.99"/>
  </r>
  <r>
    <x v="14"/>
    <x v="28"/>
    <x v="0"/>
    <s v="9000937"/>
    <n v="600055"/>
    <s v="Grants"/>
    <s v="Eliminations-PE @ HRSN"/>
    <x v="0"/>
    <m/>
    <n v="0"/>
    <n v="0"/>
    <n v="0"/>
    <n v="0"/>
    <n v="0"/>
    <n v="0"/>
    <n v="0"/>
    <n v="0"/>
    <n v="0"/>
    <n v="0"/>
    <n v="0"/>
    <n v="-40871.74"/>
    <n v="-40871.74"/>
    <n v="-911501.67"/>
  </r>
  <r>
    <x v="14"/>
    <x v="28"/>
    <x v="0"/>
    <s v="9000937"/>
    <n v="600059"/>
    <s v="Meaningful Use Revenue-Medicaid"/>
    <s v="Eliminations-PE @ HRSN"/>
    <x v="0"/>
    <m/>
    <n v="0"/>
    <n v="0"/>
    <n v="0"/>
    <n v="0"/>
    <n v="0"/>
    <n v="0"/>
    <n v="0"/>
    <n v="0"/>
    <n v="0"/>
    <n v="0"/>
    <n v="0"/>
    <n v="-112625"/>
    <n v="-112625"/>
    <n v="-1506.91"/>
  </r>
  <r>
    <x v="14"/>
    <x v="28"/>
    <x v="0"/>
    <s v="9000937"/>
    <n v="600060"/>
    <s v="Gain/Loss--Sale of Fixed Assets"/>
    <s v="Eliminations-PE @ HRSN"/>
    <x v="0"/>
    <m/>
    <n v="0"/>
    <n v="0"/>
    <n v="0"/>
    <n v="0"/>
    <n v="0"/>
    <n v="0"/>
    <n v="0"/>
    <n v="0"/>
    <n v="0"/>
    <n v="0"/>
    <n v="0"/>
    <n v="-13187.82"/>
    <n v="-13187.82"/>
    <n v="-117475.95"/>
  </r>
  <r>
    <x v="14"/>
    <x v="28"/>
    <x v="0"/>
    <s v="9000937"/>
    <n v="600061"/>
    <s v="Federal Grant Revenue"/>
    <s v="Eliminations-PE @ HRSN"/>
    <x v="0"/>
    <m/>
    <n v="0"/>
    <n v="0"/>
    <n v="0"/>
    <n v="0"/>
    <n v="0"/>
    <n v="0"/>
    <n v="0"/>
    <n v="0"/>
    <n v="0"/>
    <n v="0"/>
    <n v="0"/>
    <n v="-444732.29"/>
    <n v="-444732.29"/>
    <n v="-224704.83"/>
  </r>
  <r>
    <x v="20"/>
    <x v="28"/>
    <x v="0"/>
    <s v="9000937"/>
    <n v="610010"/>
    <s v="Foundation Distributions"/>
    <s v="Eliminations-PE @ HRSN"/>
    <x v="0"/>
    <n v="1175"/>
    <n v="0"/>
    <n v="0"/>
    <n v="0"/>
    <n v="0"/>
    <n v="0"/>
    <n v="0"/>
    <n v="0"/>
    <n v="0"/>
    <n v="0"/>
    <n v="0"/>
    <n v="0"/>
    <n v="-80.7"/>
    <n v="-80.7"/>
    <n v="-26125978.039999999"/>
  </r>
  <r>
    <x v="5"/>
    <x v="28"/>
    <x v="0"/>
    <s v="9000937"/>
    <n v="700014"/>
    <s v="Salaries-Management-Productive"/>
    <s v="Eliminations-PE @ HRSN"/>
    <x v="0"/>
    <m/>
    <n v="0"/>
    <n v="0"/>
    <n v="0"/>
    <n v="0"/>
    <n v="0"/>
    <n v="0"/>
    <n v="0"/>
    <n v="0"/>
    <n v="0"/>
    <n v="0"/>
    <n v="0"/>
    <n v="1348682.36"/>
    <n v="1348682.36"/>
    <n v="-2446739.12"/>
  </r>
  <r>
    <x v="5"/>
    <x v="28"/>
    <x v="0"/>
    <s v="9000937"/>
    <n v="700014"/>
    <s v="Salaries-Management-Other"/>
    <s v="Eliminations-PE @ HRSN"/>
    <x v="0"/>
    <n v="2000"/>
    <n v="0"/>
    <n v="0"/>
    <n v="0"/>
    <n v="0"/>
    <n v="0"/>
    <n v="0"/>
    <n v="0"/>
    <n v="0"/>
    <n v="0"/>
    <n v="0"/>
    <n v="0"/>
    <n v="1807.99"/>
    <n v="1807.99"/>
    <n v="-851154.72"/>
  </r>
  <r>
    <x v="5"/>
    <x v="28"/>
    <x v="0"/>
    <s v="9000937"/>
    <n v="700018"/>
    <s v="Salaries-Supervisory-Productive"/>
    <s v="Eliminations-PE @ HRSN"/>
    <x v="0"/>
    <m/>
    <n v="0"/>
    <n v="0"/>
    <n v="0"/>
    <n v="0"/>
    <n v="0"/>
    <n v="0"/>
    <n v="0"/>
    <n v="0"/>
    <n v="0"/>
    <n v="0"/>
    <n v="0"/>
    <n v="911501.67"/>
    <n v="911501.67"/>
    <n v="460.28"/>
  </r>
  <r>
    <x v="5"/>
    <x v="28"/>
    <x v="0"/>
    <s v="9000937"/>
    <n v="700018"/>
    <s v="Salaries-Supervisory-Other"/>
    <s v="Eliminations-PE @ HRSN"/>
    <x v="0"/>
    <n v="2000"/>
    <n v="0"/>
    <n v="0"/>
    <n v="0"/>
    <n v="0"/>
    <n v="0"/>
    <n v="0"/>
    <n v="0"/>
    <n v="0"/>
    <n v="0"/>
    <n v="0"/>
    <n v="0"/>
    <n v="1506.91"/>
    <n v="1506.91"/>
    <n v="-5122898.8099999996"/>
  </r>
  <r>
    <x v="5"/>
    <x v="28"/>
    <x v="0"/>
    <s v="9000937"/>
    <n v="700020"/>
    <s v="Salaries-Physician Admin-Productive"/>
    <s v="Eliminations-PE @ HRSN"/>
    <x v="0"/>
    <m/>
    <n v="0"/>
    <n v="0"/>
    <n v="0"/>
    <n v="0"/>
    <n v="0"/>
    <n v="0"/>
    <n v="0"/>
    <n v="0"/>
    <n v="0"/>
    <n v="0"/>
    <n v="0"/>
    <n v="117475.95"/>
    <n v="117475.95"/>
    <n v="-231503.13"/>
  </r>
  <r>
    <x v="5"/>
    <x v="28"/>
    <x v="0"/>
    <s v="9000937"/>
    <n v="700020"/>
    <s v="Salaries-Physician Admin-Other"/>
    <s v="Eliminations-PE @ HRSN"/>
    <x v="0"/>
    <n v="2000"/>
    <n v="0"/>
    <n v="0"/>
    <n v="0"/>
    <n v="0"/>
    <n v="0"/>
    <n v="0"/>
    <n v="0"/>
    <n v="0"/>
    <n v="0"/>
    <n v="0"/>
    <n v="0"/>
    <n v="224704.83"/>
    <n v="224704.83"/>
    <n v="-67184.88"/>
  </r>
  <r>
    <x v="5"/>
    <x v="28"/>
    <x v="0"/>
    <s v="9000937"/>
    <n v="700022"/>
    <s v="Salaries-Physician-Productive"/>
    <s v="Eliminations-PE @ HRSN"/>
    <x v="0"/>
    <m/>
    <n v="0"/>
    <n v="0"/>
    <n v="0"/>
    <n v="0"/>
    <n v="0"/>
    <n v="0"/>
    <n v="0"/>
    <n v="0"/>
    <n v="0"/>
    <n v="0"/>
    <n v="0"/>
    <n v="26125978.039999999"/>
    <n v="26125978.039999999"/>
    <n v="1695.2"/>
  </r>
  <r>
    <x v="5"/>
    <x v="28"/>
    <x v="0"/>
    <s v="9000937"/>
    <n v="700022"/>
    <s v="Salaries-Physician-Other"/>
    <s v="Eliminations-PE @ HRSN"/>
    <x v="0"/>
    <n v="2000"/>
    <n v="0"/>
    <n v="0"/>
    <n v="0"/>
    <n v="0"/>
    <n v="0"/>
    <n v="0"/>
    <n v="0"/>
    <n v="0"/>
    <n v="0"/>
    <n v="0"/>
    <n v="0"/>
    <n v="2446739.12"/>
    <n v="2446739.12"/>
    <n v="-1591600.71"/>
  </r>
  <r>
    <x v="5"/>
    <x v="28"/>
    <x v="0"/>
    <s v="9000937"/>
    <n v="700022"/>
    <s v="Salaries-Physician-Provider Incentive"/>
    <s v="Eliminations-PE @ HRSN"/>
    <x v="0"/>
    <n v="4003"/>
    <n v="0"/>
    <n v="0"/>
    <n v="0"/>
    <n v="0"/>
    <n v="0"/>
    <n v="0"/>
    <n v="0"/>
    <n v="0"/>
    <n v="0"/>
    <n v="0"/>
    <n v="0"/>
    <n v="851154.72"/>
    <n v="851154.72"/>
    <n v="-82018.78"/>
  </r>
  <r>
    <x v="5"/>
    <x v="28"/>
    <x v="0"/>
    <s v="9000937"/>
    <n v="700022"/>
    <s v="Salaries-Physician-Recruitment Bonus"/>
    <s v="Eliminations-PE @ HRSN"/>
    <x v="0"/>
    <n v="4005"/>
    <n v="0"/>
    <n v="0"/>
    <n v="0"/>
    <n v="0"/>
    <n v="0"/>
    <n v="0"/>
    <n v="0"/>
    <n v="0"/>
    <n v="0"/>
    <n v="0"/>
    <n v="0"/>
    <n v="-460.28"/>
    <n v="-460.28"/>
    <n v="-7306.92"/>
  </r>
  <r>
    <x v="5"/>
    <x v="28"/>
    <x v="0"/>
    <s v="9000937"/>
    <n v="700024"/>
    <s v="Salaries-Advanced Practice Clinician-Productive"/>
    <s v="Eliminations-PE @ HRSN"/>
    <x v="0"/>
    <m/>
    <n v="0"/>
    <n v="0"/>
    <n v="0"/>
    <n v="0"/>
    <n v="0"/>
    <n v="0"/>
    <n v="0"/>
    <n v="0"/>
    <n v="0"/>
    <n v="0"/>
    <n v="0"/>
    <n v="5122898.8099999996"/>
    <n v="5122898.8099999996"/>
    <n v="-909948.01"/>
  </r>
  <r>
    <x v="5"/>
    <x v="28"/>
    <x v="0"/>
    <s v="9000937"/>
    <n v="700024"/>
    <s v="Salaries-Advanced Practice Clinician-Other"/>
    <s v="Eliminations-PE @ HRSN"/>
    <x v="0"/>
    <n v="2000"/>
    <n v="0"/>
    <n v="0"/>
    <n v="0"/>
    <n v="0"/>
    <n v="0"/>
    <n v="0"/>
    <n v="0"/>
    <n v="0"/>
    <n v="0"/>
    <n v="0"/>
    <n v="0"/>
    <n v="231503.13"/>
    <n v="231503.13"/>
    <n v="-33547.519999999997"/>
  </r>
  <r>
    <x v="5"/>
    <x v="28"/>
    <x v="0"/>
    <s v="9000937"/>
    <n v="700024"/>
    <s v="Salaries-Advanced Practice Clinician-Provider Incentive"/>
    <s v="Eliminations-PE @ HRSN"/>
    <x v="0"/>
    <n v="4003"/>
    <n v="0"/>
    <n v="0"/>
    <n v="0"/>
    <n v="0"/>
    <n v="0"/>
    <n v="0"/>
    <n v="0"/>
    <n v="0"/>
    <n v="0"/>
    <n v="0"/>
    <n v="0"/>
    <n v="67184.88"/>
    <n v="67184.88"/>
    <n v="-10608.36"/>
  </r>
  <r>
    <x v="5"/>
    <x v="28"/>
    <x v="0"/>
    <s v="9000937"/>
    <n v="700024"/>
    <s v="Salaries-Advanced Practice Clinician-Recruitment Bonus"/>
    <s v="Eliminations-PE @ HRSN"/>
    <x v="0"/>
    <n v="4005"/>
    <n v="0"/>
    <n v="0"/>
    <n v="0"/>
    <n v="0"/>
    <n v="0"/>
    <n v="0"/>
    <n v="0"/>
    <n v="0"/>
    <n v="0"/>
    <n v="0"/>
    <n v="0"/>
    <n v="-1695.2"/>
    <n v="-1695.2"/>
    <n v="-4301242.1900000004"/>
  </r>
  <r>
    <x v="5"/>
    <x v="28"/>
    <x v="0"/>
    <s v="9000937"/>
    <n v="700026"/>
    <s v="Salaries-RN-Productive"/>
    <s v="Eliminations-PE @ HRSN"/>
    <x v="0"/>
    <m/>
    <n v="0"/>
    <n v="0"/>
    <n v="0"/>
    <n v="0"/>
    <n v="0"/>
    <n v="0"/>
    <n v="0"/>
    <n v="0"/>
    <n v="0"/>
    <n v="0"/>
    <n v="0"/>
    <n v="1591600.71"/>
    <n v="1591600.71"/>
    <n v="-87438.98"/>
  </r>
  <r>
    <x v="5"/>
    <x v="28"/>
    <x v="0"/>
    <s v="9000937"/>
    <n v="700026"/>
    <s v="Salaries-RN-OT"/>
    <s v="Eliminations-PE @ HRSN"/>
    <x v="0"/>
    <n v="1000"/>
    <n v="0"/>
    <n v="0"/>
    <n v="0"/>
    <n v="0"/>
    <n v="0"/>
    <n v="0"/>
    <n v="0"/>
    <n v="0"/>
    <n v="0"/>
    <n v="0"/>
    <n v="0"/>
    <n v="82018.78"/>
    <n v="82018.78"/>
    <n v="-14085.14"/>
  </r>
  <r>
    <x v="5"/>
    <x v="28"/>
    <x v="0"/>
    <s v="9000937"/>
    <n v="700026"/>
    <s v="Salaries-RN-Other"/>
    <s v="Eliminations-PE @ HRSN"/>
    <x v="0"/>
    <n v="2000"/>
    <n v="0"/>
    <n v="0"/>
    <n v="0"/>
    <n v="0"/>
    <n v="0"/>
    <n v="0"/>
    <n v="0"/>
    <n v="0"/>
    <n v="0"/>
    <n v="0"/>
    <n v="0"/>
    <n v="7306.92"/>
    <n v="7306.92"/>
    <n v="-2185274.2599999998"/>
  </r>
  <r>
    <x v="5"/>
    <x v="28"/>
    <x v="0"/>
    <s v="9000937"/>
    <n v="700030"/>
    <s v="Salaries-LPN-Productive"/>
    <s v="Eliminations-PE @ HRSN"/>
    <x v="0"/>
    <m/>
    <n v="0"/>
    <n v="0"/>
    <n v="0"/>
    <n v="0"/>
    <n v="0"/>
    <n v="0"/>
    <n v="0"/>
    <n v="0"/>
    <n v="0"/>
    <n v="0"/>
    <n v="0"/>
    <n v="909948.01"/>
    <n v="909948.01"/>
    <n v="-26541.3"/>
  </r>
  <r>
    <x v="5"/>
    <x v="28"/>
    <x v="0"/>
    <s v="9000937"/>
    <n v="700030"/>
    <s v="Salaries-LPN-OT"/>
    <s v="Eliminations-PE @ HRSN"/>
    <x v="0"/>
    <n v="1000"/>
    <n v="0"/>
    <n v="0"/>
    <n v="0"/>
    <n v="0"/>
    <n v="0"/>
    <n v="0"/>
    <n v="0"/>
    <n v="0"/>
    <n v="0"/>
    <n v="0"/>
    <n v="0"/>
    <n v="33547.519999999997"/>
    <n v="33547.519999999997"/>
    <n v="-17716.16"/>
  </r>
  <r>
    <x v="5"/>
    <x v="28"/>
    <x v="0"/>
    <s v="9000937"/>
    <n v="700030"/>
    <s v="Salaries-LPN-Other"/>
    <s v="Eliminations-PE @ HRSN"/>
    <x v="0"/>
    <n v="2000"/>
    <n v="0"/>
    <n v="0"/>
    <n v="0"/>
    <n v="0"/>
    <n v="0"/>
    <n v="0"/>
    <n v="0"/>
    <n v="0"/>
    <n v="0"/>
    <n v="0"/>
    <n v="0"/>
    <n v="10608.36"/>
    <n v="10608.36"/>
    <n v="-4406278.16"/>
  </r>
  <r>
    <x v="5"/>
    <x v="28"/>
    <x v="0"/>
    <s v="9000937"/>
    <n v="700032"/>
    <s v="Salaries-Other Pat Care Providers-Productive"/>
    <s v="Eliminations-PE @ HRSN"/>
    <x v="0"/>
    <m/>
    <n v="0"/>
    <n v="0"/>
    <n v="0"/>
    <n v="0"/>
    <n v="0"/>
    <n v="0"/>
    <n v="0"/>
    <n v="0"/>
    <n v="0"/>
    <n v="0"/>
    <n v="0"/>
    <n v="4301242.1900000004"/>
    <n v="4301242.1900000004"/>
    <n v="-97159.73"/>
  </r>
  <r>
    <x v="5"/>
    <x v="28"/>
    <x v="0"/>
    <s v="9000937"/>
    <n v="700032"/>
    <s v="Salaries-Other Pat Care Providers-OT"/>
    <s v="Eliminations-PE @ HRSN"/>
    <x v="0"/>
    <n v="1000"/>
    <n v="0"/>
    <n v="0"/>
    <n v="0"/>
    <n v="0"/>
    <n v="0"/>
    <n v="0"/>
    <n v="0"/>
    <n v="0"/>
    <n v="0"/>
    <n v="0"/>
    <n v="0"/>
    <n v="87438.98"/>
    <n v="87438.98"/>
    <n v="-31414.34"/>
  </r>
  <r>
    <x v="5"/>
    <x v="28"/>
    <x v="0"/>
    <s v="9000937"/>
    <n v="700032"/>
    <s v="Salaries-Other Pat Care Providers-Other"/>
    <s v="Eliminations-PE @ HRSN"/>
    <x v="0"/>
    <n v="2000"/>
    <n v="0"/>
    <n v="0"/>
    <n v="0"/>
    <n v="0"/>
    <n v="0"/>
    <n v="0"/>
    <n v="0"/>
    <n v="0"/>
    <n v="0"/>
    <n v="0"/>
    <n v="0"/>
    <n v="14085.14"/>
    <n v="14085.14"/>
    <n v="-206598.72"/>
  </r>
  <r>
    <x v="5"/>
    <x v="28"/>
    <x v="0"/>
    <s v="9000937"/>
    <n v="700034"/>
    <s v="Salaries-Tech/Professional-Productive"/>
    <s v="Eliminations-PE @ HRSN"/>
    <x v="0"/>
    <m/>
    <n v="0"/>
    <n v="0"/>
    <n v="0"/>
    <n v="0"/>
    <n v="0"/>
    <n v="0"/>
    <n v="0"/>
    <n v="0"/>
    <n v="0"/>
    <n v="0"/>
    <n v="0"/>
    <n v="2185274.2599999998"/>
    <n v="2185274.2599999998"/>
    <n v="-230.74"/>
  </r>
  <r>
    <x v="5"/>
    <x v="28"/>
    <x v="0"/>
    <s v="9000937"/>
    <n v="700034"/>
    <s v="Salaries-Tech/Professional-OT"/>
    <s v="Eliminations-PE @ HRSN"/>
    <x v="0"/>
    <n v="1000"/>
    <n v="0"/>
    <n v="0"/>
    <n v="0"/>
    <n v="0"/>
    <n v="0"/>
    <n v="0"/>
    <n v="0"/>
    <n v="0"/>
    <n v="0"/>
    <n v="0"/>
    <n v="0"/>
    <n v="26541.3"/>
    <n v="26541.3"/>
    <n v="-156098.14000000001"/>
  </r>
  <r>
    <x v="5"/>
    <x v="28"/>
    <x v="0"/>
    <s v="9000937"/>
    <n v="700034"/>
    <s v="Salaries-Tech/Professional-Other"/>
    <s v="Eliminations-PE @ HRSN"/>
    <x v="0"/>
    <n v="2000"/>
    <n v="0"/>
    <n v="0"/>
    <n v="0"/>
    <n v="0"/>
    <n v="0"/>
    <n v="0"/>
    <n v="0"/>
    <n v="0"/>
    <n v="0"/>
    <n v="0"/>
    <n v="0"/>
    <n v="17716.16"/>
    <n v="17716.16"/>
    <n v="-2243.27"/>
  </r>
  <r>
    <x v="5"/>
    <x v="28"/>
    <x v="0"/>
    <s v="9000937"/>
    <n v="700038"/>
    <s v="Salaries-Service/Support-Productive"/>
    <s v="Eliminations-PE @ HRSN"/>
    <x v="0"/>
    <m/>
    <n v="0"/>
    <n v="0"/>
    <n v="0"/>
    <n v="0"/>
    <n v="0"/>
    <n v="0"/>
    <n v="0"/>
    <n v="0"/>
    <n v="0"/>
    <n v="0"/>
    <n v="0"/>
    <n v="4406278.16"/>
    <n v="4406278.16"/>
    <n v="-3030089.87"/>
  </r>
  <r>
    <x v="5"/>
    <x v="28"/>
    <x v="0"/>
    <s v="9000937"/>
    <n v="700038"/>
    <s v="Salaries-Service/Support-OT"/>
    <s v="Eliminations-PE @ HRSN"/>
    <x v="0"/>
    <n v="1000"/>
    <n v="0"/>
    <n v="0"/>
    <n v="0"/>
    <n v="0"/>
    <n v="0"/>
    <n v="0"/>
    <n v="0"/>
    <n v="0"/>
    <n v="0"/>
    <n v="0"/>
    <n v="0"/>
    <n v="97159.73"/>
    <n v="97159.73"/>
    <n v="11243.32"/>
  </r>
  <r>
    <x v="5"/>
    <x v="28"/>
    <x v="0"/>
    <s v="9000937"/>
    <n v="700038"/>
    <s v="Salaries-Service/Support-Other"/>
    <s v="Eliminations-PE @ HRSN"/>
    <x v="0"/>
    <n v="2000"/>
    <n v="0"/>
    <n v="0"/>
    <n v="0"/>
    <n v="0"/>
    <n v="0"/>
    <n v="0"/>
    <n v="0"/>
    <n v="0"/>
    <n v="0"/>
    <n v="0"/>
    <n v="0"/>
    <n v="31414.34"/>
    <n v="31414.34"/>
    <n v="-787680.79"/>
  </r>
  <r>
    <x v="5"/>
    <x v="28"/>
    <x v="0"/>
    <s v="9000937"/>
    <n v="700054"/>
    <s v="Salaries-Management-Non-productive"/>
    <s v="Eliminations-PE @ HRSN"/>
    <x v="0"/>
    <m/>
    <n v="0"/>
    <n v="0"/>
    <n v="0"/>
    <n v="0"/>
    <n v="0"/>
    <n v="0"/>
    <n v="0"/>
    <n v="0"/>
    <n v="0"/>
    <n v="0"/>
    <n v="0"/>
    <n v="206598.72"/>
    <n v="206598.72"/>
    <n v="448.13"/>
  </r>
  <r>
    <x v="5"/>
    <x v="28"/>
    <x v="0"/>
    <s v="9000937"/>
    <n v="700054"/>
    <s v="Salaries-Management-NonProd-Other"/>
    <s v="Eliminations-PE @ HRSN"/>
    <x v="0"/>
    <n v="2000"/>
    <n v="0"/>
    <n v="0"/>
    <n v="0"/>
    <n v="0"/>
    <n v="0"/>
    <n v="0"/>
    <n v="0"/>
    <n v="0"/>
    <n v="0"/>
    <n v="0"/>
    <n v="0"/>
    <n v="230.74"/>
    <n v="230.74"/>
    <n v="-162369.26"/>
  </r>
  <r>
    <x v="5"/>
    <x v="28"/>
    <x v="0"/>
    <s v="9000937"/>
    <n v="700058"/>
    <s v="Salaries-Supervisory-Non-productive"/>
    <s v="Eliminations-PE @ HRSN"/>
    <x v="0"/>
    <m/>
    <n v="0"/>
    <n v="0"/>
    <n v="0"/>
    <n v="0"/>
    <n v="0"/>
    <n v="0"/>
    <n v="0"/>
    <n v="0"/>
    <n v="0"/>
    <n v="0"/>
    <n v="0"/>
    <n v="156098.14000000001"/>
    <n v="156098.14000000001"/>
    <n v="-199.89"/>
  </r>
  <r>
    <x v="5"/>
    <x v="28"/>
    <x v="0"/>
    <s v="9000937"/>
    <n v="700060"/>
    <s v="Salaries-Physician Admin-Non-productive"/>
    <s v="Eliminations-PE @ HRSN"/>
    <x v="0"/>
    <m/>
    <n v="0"/>
    <n v="0"/>
    <n v="0"/>
    <n v="0"/>
    <n v="0"/>
    <n v="0"/>
    <n v="0"/>
    <n v="0"/>
    <n v="0"/>
    <n v="0"/>
    <n v="0"/>
    <n v="2243.27"/>
    <n v="2243.27"/>
    <n v="-125888.14"/>
  </r>
  <r>
    <x v="5"/>
    <x v="28"/>
    <x v="0"/>
    <s v="9000937"/>
    <n v="700062"/>
    <s v="Salaries-Physician-Non-productive"/>
    <s v="Eliminations-PE @ HRSN"/>
    <x v="0"/>
    <m/>
    <n v="0"/>
    <n v="0"/>
    <n v="0"/>
    <n v="0"/>
    <n v="0"/>
    <n v="0"/>
    <n v="0"/>
    <n v="0"/>
    <n v="0"/>
    <n v="0"/>
    <n v="0"/>
    <n v="3030089.87"/>
    <n v="3030089.87"/>
    <n v="-654.39"/>
  </r>
  <r>
    <x v="5"/>
    <x v="28"/>
    <x v="0"/>
    <s v="9000937"/>
    <n v="700062"/>
    <s v="Salaries-Physician-NonProd-Other"/>
    <s v="Eliminations-PE @ HRSN"/>
    <x v="0"/>
    <n v="2000"/>
    <n v="0"/>
    <n v="0"/>
    <n v="0"/>
    <n v="0"/>
    <n v="0"/>
    <n v="0"/>
    <n v="0"/>
    <n v="0"/>
    <n v="0"/>
    <n v="0"/>
    <n v="0"/>
    <n v="-11243.32"/>
    <n v="-11243.32"/>
    <n v="-533055.86"/>
  </r>
  <r>
    <x v="5"/>
    <x v="28"/>
    <x v="0"/>
    <s v="9000937"/>
    <n v="700064"/>
    <s v="Salaries-Advanced Practice Clinician-Non-Productive"/>
    <s v="Eliminations-PE @ HRSN"/>
    <x v="0"/>
    <m/>
    <n v="0"/>
    <n v="0"/>
    <n v="0"/>
    <n v="0"/>
    <n v="0"/>
    <n v="0"/>
    <n v="0"/>
    <n v="0"/>
    <n v="0"/>
    <n v="0"/>
    <n v="0"/>
    <n v="787680.79"/>
    <n v="787680.79"/>
    <n v="-279.10000000000002"/>
  </r>
  <r>
    <x v="5"/>
    <x v="28"/>
    <x v="0"/>
    <s v="9000937"/>
    <n v="700064"/>
    <s v="Salaries-Advanced Practice Clinician-Non-Prod-Other"/>
    <s v="Eliminations-PE @ HRSN"/>
    <x v="0"/>
    <n v="2000"/>
    <n v="0"/>
    <n v="0"/>
    <n v="0"/>
    <n v="0"/>
    <n v="0"/>
    <n v="0"/>
    <n v="0"/>
    <n v="0"/>
    <n v="0"/>
    <n v="0"/>
    <n v="0"/>
    <n v="-448.13"/>
    <n v="-448.13"/>
    <n v="-258566.43"/>
  </r>
  <r>
    <x v="5"/>
    <x v="28"/>
    <x v="0"/>
    <s v="9000937"/>
    <n v="700066"/>
    <s v="Salaries-RN-Non-productive"/>
    <s v="Eliminations-PE @ HRSN"/>
    <x v="0"/>
    <m/>
    <n v="0"/>
    <n v="0"/>
    <n v="0"/>
    <n v="0"/>
    <n v="0"/>
    <n v="0"/>
    <n v="0"/>
    <n v="0"/>
    <n v="0"/>
    <n v="0"/>
    <n v="0"/>
    <n v="162369.26"/>
    <n v="162369.26"/>
    <n v="-170.7"/>
  </r>
  <r>
    <x v="5"/>
    <x v="28"/>
    <x v="0"/>
    <s v="9000937"/>
    <n v="700066"/>
    <s v="Salaries-RN-NonProd-Other"/>
    <s v="Eliminations-PE @ HRSN"/>
    <x v="0"/>
    <n v="2000"/>
    <n v="0"/>
    <n v="0"/>
    <n v="0"/>
    <n v="0"/>
    <n v="0"/>
    <n v="0"/>
    <n v="0"/>
    <n v="0"/>
    <n v="0"/>
    <n v="0"/>
    <n v="0"/>
    <n v="199.89"/>
    <n v="199.89"/>
    <n v="-558141.37"/>
  </r>
  <r>
    <x v="5"/>
    <x v="28"/>
    <x v="0"/>
    <s v="9000937"/>
    <n v="700070"/>
    <s v="Salaries-LPN-Non-productive"/>
    <s v="Eliminations-PE @ HRSN"/>
    <x v="0"/>
    <m/>
    <n v="0"/>
    <n v="0"/>
    <n v="0"/>
    <n v="0"/>
    <n v="0"/>
    <n v="0"/>
    <n v="0"/>
    <n v="0"/>
    <n v="0"/>
    <n v="0"/>
    <n v="0"/>
    <n v="125888.14"/>
    <n v="125888.14"/>
    <n v="-1714.52"/>
  </r>
  <r>
    <x v="5"/>
    <x v="28"/>
    <x v="0"/>
    <s v="9000937"/>
    <n v="700070"/>
    <s v="Salaries-LPN-NonProd-Other"/>
    <s v="Eliminations-PE @ HRSN"/>
    <x v="0"/>
    <n v="2000"/>
    <n v="0"/>
    <n v="0"/>
    <n v="0"/>
    <n v="0"/>
    <n v="0"/>
    <n v="0"/>
    <n v="0"/>
    <n v="0"/>
    <n v="0"/>
    <n v="0"/>
    <n v="0"/>
    <n v="654.39"/>
    <n v="654.39"/>
    <n v="-181997.41"/>
  </r>
  <r>
    <x v="5"/>
    <x v="28"/>
    <x v="0"/>
    <s v="9000937"/>
    <n v="700072"/>
    <s v="Salaries-Other Pat Care Providers-Non-productive"/>
    <s v="Eliminations-PE @ HRSN"/>
    <x v="0"/>
    <m/>
    <n v="0"/>
    <n v="0"/>
    <n v="0"/>
    <n v="0"/>
    <n v="0"/>
    <n v="0"/>
    <n v="0"/>
    <n v="0"/>
    <n v="0"/>
    <n v="0"/>
    <n v="0"/>
    <n v="533055.86"/>
    <n v="533055.86"/>
    <n v="-500349.59"/>
  </r>
  <r>
    <x v="5"/>
    <x v="28"/>
    <x v="0"/>
    <s v="9000937"/>
    <n v="700072"/>
    <s v="Salaries-Other Pat Care Providers-NonProd-Other"/>
    <s v="Eliminations-PE @ HRSN"/>
    <x v="0"/>
    <n v="2000"/>
    <n v="0"/>
    <n v="0"/>
    <n v="0"/>
    <n v="0"/>
    <n v="0"/>
    <n v="0"/>
    <n v="0"/>
    <n v="0"/>
    <n v="0"/>
    <n v="0"/>
    <n v="0"/>
    <n v="279.10000000000002"/>
    <n v="279.10000000000002"/>
    <n v="-63023.42"/>
  </r>
  <r>
    <x v="5"/>
    <x v="28"/>
    <x v="0"/>
    <s v="9000937"/>
    <n v="700074"/>
    <s v="Salaries-Tech/Professional-Non-productive"/>
    <s v="Eliminations-PE @ HRSN"/>
    <x v="0"/>
    <m/>
    <n v="0"/>
    <n v="0"/>
    <n v="0"/>
    <n v="0"/>
    <n v="0"/>
    <n v="0"/>
    <n v="0"/>
    <n v="0"/>
    <n v="0"/>
    <n v="0"/>
    <n v="0"/>
    <n v="258566.43"/>
    <n v="258566.43"/>
    <n v="-112004.17"/>
  </r>
  <r>
    <x v="5"/>
    <x v="28"/>
    <x v="0"/>
    <s v="9000937"/>
    <n v="700074"/>
    <s v="Salaries-Tech/Professional-NonProd-Other"/>
    <s v="Eliminations-PE @ HRSN"/>
    <x v="0"/>
    <n v="2000"/>
    <n v="0"/>
    <n v="0"/>
    <n v="0"/>
    <n v="0"/>
    <n v="0"/>
    <n v="0"/>
    <n v="0"/>
    <n v="0"/>
    <n v="0"/>
    <n v="0"/>
    <n v="0"/>
    <n v="170.7"/>
    <n v="170.7"/>
    <n v="-2830148.91"/>
  </r>
  <r>
    <x v="5"/>
    <x v="28"/>
    <x v="0"/>
    <s v="9000937"/>
    <n v="700078"/>
    <s v="Salaries-Service/Support-Non-productive"/>
    <s v="Eliminations-PE @ HRSN"/>
    <x v="0"/>
    <m/>
    <n v="0"/>
    <n v="0"/>
    <n v="0"/>
    <n v="0"/>
    <n v="0"/>
    <n v="0"/>
    <n v="0"/>
    <n v="0"/>
    <n v="0"/>
    <n v="0"/>
    <n v="0"/>
    <n v="558141.37"/>
    <n v="558141.37"/>
    <n v="-4923634.16"/>
  </r>
  <r>
    <x v="5"/>
    <x v="28"/>
    <x v="0"/>
    <s v="9000937"/>
    <n v="700078"/>
    <s v="Salaries-Service/Support-NonProd-Other"/>
    <s v="Eliminations-PE @ HRSN"/>
    <x v="0"/>
    <n v="2000"/>
    <n v="0"/>
    <n v="0"/>
    <n v="0"/>
    <n v="0"/>
    <n v="0"/>
    <n v="0"/>
    <n v="0"/>
    <n v="0"/>
    <n v="0"/>
    <n v="0"/>
    <n v="0"/>
    <n v="1714.52"/>
    <n v="1714.52"/>
    <n v="-1403619.19"/>
  </r>
  <r>
    <x v="5"/>
    <x v="28"/>
    <x v="0"/>
    <s v="9000937"/>
    <n v="700084"/>
    <s v="Accrued PTO"/>
    <s v="Eliminations-PE @ HRSN"/>
    <x v="0"/>
    <m/>
    <n v="0"/>
    <n v="0"/>
    <n v="0"/>
    <n v="0"/>
    <n v="0"/>
    <n v="0"/>
    <n v="0"/>
    <n v="0"/>
    <n v="0"/>
    <n v="0"/>
    <n v="0"/>
    <n v="181997.41"/>
    <n v="181997.41"/>
    <n v="-888346.42"/>
  </r>
  <r>
    <x v="10"/>
    <x v="28"/>
    <x v="0"/>
    <s v="9000937"/>
    <n v="710040"/>
    <s v="Contract Labor-Physician (Locum Tenum)"/>
    <s v="Eliminations-PE @ HRSN"/>
    <x v="0"/>
    <m/>
    <n v="0"/>
    <n v="0"/>
    <n v="0"/>
    <n v="0"/>
    <n v="0"/>
    <n v="0"/>
    <n v="0"/>
    <n v="0"/>
    <n v="0"/>
    <n v="0"/>
    <n v="0"/>
    <n v="500349.59"/>
    <n v="500349.59"/>
    <n v="-595.46"/>
  </r>
  <r>
    <x v="10"/>
    <x v="28"/>
    <x v="0"/>
    <s v="9000937"/>
    <n v="710042"/>
    <s v="Locum Tenens Travel-Physician"/>
    <s v="Eliminations-PE @ HRSN"/>
    <x v="0"/>
    <m/>
    <n v="0"/>
    <n v="0"/>
    <n v="0"/>
    <n v="0"/>
    <n v="0"/>
    <n v="0"/>
    <n v="0"/>
    <n v="0"/>
    <n v="0"/>
    <n v="0"/>
    <n v="0"/>
    <n v="63023.42"/>
    <n v="63023.42"/>
    <n v="-8737.3700000000008"/>
  </r>
  <r>
    <x v="10"/>
    <x v="28"/>
    <x v="0"/>
    <s v="9000937"/>
    <n v="710060"/>
    <s v="Contract Labor-Other"/>
    <s v="Eliminations-PE @ HRSN"/>
    <x v="0"/>
    <m/>
    <n v="0"/>
    <n v="0"/>
    <n v="0"/>
    <n v="0"/>
    <n v="0"/>
    <n v="0"/>
    <n v="0"/>
    <n v="0"/>
    <n v="0"/>
    <n v="0"/>
    <n v="0"/>
    <n v="112004.17"/>
    <n v="112004.17"/>
    <n v="-23717360.199999999"/>
  </r>
  <r>
    <x v="6"/>
    <x v="28"/>
    <x v="0"/>
    <s v="9000937"/>
    <n v="713010"/>
    <s v="Benefits-FICA/Medicare"/>
    <s v="Eliminations-PE @ HRSN"/>
    <x v="0"/>
    <m/>
    <n v="0"/>
    <n v="0"/>
    <n v="0"/>
    <n v="0"/>
    <n v="0"/>
    <n v="0"/>
    <n v="0"/>
    <n v="0"/>
    <n v="0"/>
    <n v="0"/>
    <n v="0"/>
    <n v="2830148.91"/>
    <n v="2830148.91"/>
    <n v="-486"/>
  </r>
  <r>
    <x v="6"/>
    <x v="28"/>
    <x v="0"/>
    <s v="9000937"/>
    <n v="713090"/>
    <s v="Benefits-Allocated Amounts"/>
    <s v="Eliminations-PE @ HRSN"/>
    <x v="0"/>
    <m/>
    <n v="0"/>
    <n v="0"/>
    <n v="0"/>
    <n v="0"/>
    <n v="0"/>
    <n v="0"/>
    <n v="0"/>
    <n v="0"/>
    <n v="0"/>
    <n v="0"/>
    <n v="0"/>
    <n v="4923634.16"/>
    <n v="4923634.16"/>
    <n v="-5048.0600000000004"/>
  </r>
  <r>
    <x v="6"/>
    <x v="28"/>
    <x v="0"/>
    <s v="9000937"/>
    <n v="713092"/>
    <s v="Allocated Benefits-Physician"/>
    <s v="Eliminations-PE @ HRSN"/>
    <x v="0"/>
    <m/>
    <n v="0"/>
    <n v="0"/>
    <n v="0"/>
    <n v="0"/>
    <n v="0"/>
    <n v="0"/>
    <n v="0"/>
    <n v="0"/>
    <n v="0"/>
    <n v="0"/>
    <n v="0"/>
    <n v="1403619.19"/>
    <n v="1403619.19"/>
    <n v="-72385.820000000007"/>
  </r>
  <r>
    <x v="6"/>
    <x v="28"/>
    <x v="0"/>
    <s v="9000937"/>
    <n v="713093"/>
    <s v="Allocated Benefits-Advanced Practice Clinician"/>
    <s v="Eliminations-PE @ HRSN"/>
    <x v="0"/>
    <m/>
    <n v="0"/>
    <n v="0"/>
    <n v="0"/>
    <n v="0"/>
    <n v="0"/>
    <n v="0"/>
    <n v="0"/>
    <n v="0"/>
    <n v="0"/>
    <n v="0"/>
    <n v="0"/>
    <n v="888346.42"/>
    <n v="888346.42"/>
    <n v="-9860"/>
  </r>
  <r>
    <x v="6"/>
    <x v="28"/>
    <x v="0"/>
    <s v="9000937"/>
    <n v="713096"/>
    <s v="Benefits-Other"/>
    <s v="Eliminations-PE @ HRSN"/>
    <x v="0"/>
    <m/>
    <n v="0"/>
    <n v="0"/>
    <n v="0"/>
    <n v="0"/>
    <n v="0"/>
    <n v="0"/>
    <n v="0"/>
    <n v="0"/>
    <n v="0"/>
    <n v="0"/>
    <n v="0"/>
    <n v="595.46"/>
    <n v="595.46"/>
    <n v="-11654.01"/>
  </r>
  <r>
    <x v="6"/>
    <x v="28"/>
    <x v="0"/>
    <s v="9000937"/>
    <n v="713096"/>
    <s v="Employee Recognition"/>
    <s v="Eliminations-PE @ HRSN"/>
    <x v="0"/>
    <n v="1017"/>
    <n v="0"/>
    <n v="0"/>
    <n v="0"/>
    <n v="0"/>
    <n v="0"/>
    <n v="0"/>
    <n v="0"/>
    <n v="0"/>
    <n v="0"/>
    <n v="0"/>
    <n v="0"/>
    <n v="8737.3700000000008"/>
    <n v="8737.3700000000008"/>
    <n v="-1772.67"/>
  </r>
  <r>
    <x v="17"/>
    <x v="28"/>
    <x v="0"/>
    <s v="9000937"/>
    <n v="714520"/>
    <s v="Other Contracted Professionals"/>
    <s v="Eliminations-PE @ HRSN"/>
    <x v="0"/>
    <m/>
    <n v="0"/>
    <n v="0"/>
    <n v="0"/>
    <n v="0"/>
    <n v="0"/>
    <n v="0"/>
    <n v="0"/>
    <n v="0"/>
    <n v="0"/>
    <n v="0"/>
    <n v="0"/>
    <n v="23717360.199999999"/>
    <n v="23717360.199999999"/>
    <n v="-474095.71"/>
  </r>
  <r>
    <x v="21"/>
    <x v="28"/>
    <x v="0"/>
    <s v="9000937"/>
    <n v="716026"/>
    <s v="Consulting-Clinical"/>
    <s v="Eliminations-PE @ HRSN"/>
    <x v="0"/>
    <m/>
    <n v="0"/>
    <n v="0"/>
    <n v="0"/>
    <n v="0"/>
    <n v="0"/>
    <n v="0"/>
    <n v="0"/>
    <n v="0"/>
    <n v="0"/>
    <n v="0"/>
    <n v="0"/>
    <n v="486"/>
    <n v="486"/>
    <n v="-177.19"/>
  </r>
  <r>
    <x v="7"/>
    <x v="28"/>
    <x v="0"/>
    <s v="9000937"/>
    <n v="716038"/>
    <s v="Contract Services-Legal"/>
    <s v="Eliminations-PE @ HRSN"/>
    <x v="0"/>
    <m/>
    <n v="0"/>
    <n v="0"/>
    <n v="0"/>
    <n v="0"/>
    <n v="0"/>
    <n v="0"/>
    <n v="0"/>
    <n v="0"/>
    <n v="0"/>
    <n v="0"/>
    <n v="0"/>
    <n v="5048.0600000000004"/>
    <n v="5048.0600000000004"/>
    <n v="-3485.94"/>
  </r>
  <r>
    <x v="21"/>
    <x v="28"/>
    <x v="0"/>
    <s v="9000937"/>
    <n v="716046"/>
    <s v="Consulting-Other"/>
    <s v="Eliminations-PE @ HRSN"/>
    <x v="0"/>
    <m/>
    <n v="0"/>
    <n v="0"/>
    <n v="0"/>
    <n v="0"/>
    <n v="0"/>
    <n v="0"/>
    <n v="0"/>
    <n v="0"/>
    <n v="0"/>
    <n v="0"/>
    <n v="0"/>
    <n v="72385.820000000007"/>
    <n v="72385.820000000007"/>
    <n v="-69079.66"/>
  </r>
  <r>
    <x v="7"/>
    <x v="28"/>
    <x v="0"/>
    <s v="9000937"/>
    <n v="718010"/>
    <s v="Contract Services-Advertising &amp; Public Relations"/>
    <s v="Eliminations-PE @ HRSN"/>
    <x v="0"/>
    <m/>
    <n v="0"/>
    <n v="0"/>
    <n v="0"/>
    <n v="0"/>
    <n v="0"/>
    <n v="0"/>
    <n v="0"/>
    <n v="0"/>
    <n v="0"/>
    <n v="0"/>
    <n v="0"/>
    <n v="9860"/>
    <n v="9860"/>
    <n v="-23947.61"/>
  </r>
  <r>
    <x v="7"/>
    <x v="28"/>
    <x v="0"/>
    <s v="9000937"/>
    <n v="718010"/>
    <s v="Media/Print Advertising"/>
    <s v="Eliminations-PE @ HRSN"/>
    <x v="0"/>
    <n v="1004"/>
    <n v="0"/>
    <n v="0"/>
    <n v="0"/>
    <n v="0"/>
    <n v="0"/>
    <n v="0"/>
    <n v="0"/>
    <n v="0"/>
    <n v="0"/>
    <n v="0"/>
    <n v="0"/>
    <n v="11654.01"/>
    <n v="11654.01"/>
    <n v="-2150.63"/>
  </r>
  <r>
    <x v="7"/>
    <x v="28"/>
    <x v="0"/>
    <s v="9000937"/>
    <n v="718040"/>
    <s v="Contract Svcs-Laboratory"/>
    <s v="Eliminations-PE @ HRSN"/>
    <x v="0"/>
    <m/>
    <n v="0"/>
    <n v="0"/>
    <n v="0"/>
    <n v="0"/>
    <n v="0"/>
    <n v="0"/>
    <n v="0"/>
    <n v="0"/>
    <n v="0"/>
    <n v="0"/>
    <n v="0"/>
    <n v="1772.67"/>
    <n v="1772.67"/>
    <n v="-225.81"/>
  </r>
  <r>
    <x v="7"/>
    <x v="28"/>
    <x v="0"/>
    <s v="9000937"/>
    <n v="718050"/>
    <s v="Contract Svcs-Other"/>
    <s v="Eliminations-PE @ HRSN"/>
    <x v="0"/>
    <m/>
    <n v="0"/>
    <n v="0"/>
    <n v="0"/>
    <n v="0"/>
    <n v="0"/>
    <n v="0"/>
    <n v="0"/>
    <n v="0"/>
    <n v="0"/>
    <n v="0"/>
    <n v="0"/>
    <n v="474095.71"/>
    <n v="474095.71"/>
    <n v="-6414.78"/>
  </r>
  <r>
    <x v="7"/>
    <x v="28"/>
    <x v="0"/>
    <s v="9000937"/>
    <n v="718050"/>
    <s v="Management Fees"/>
    <s v="Eliminations-PE @ HRSN"/>
    <x v="0"/>
    <n v="1004"/>
    <n v="0"/>
    <n v="0"/>
    <n v="0"/>
    <n v="0"/>
    <n v="0"/>
    <n v="0"/>
    <n v="0"/>
    <n v="0"/>
    <n v="0"/>
    <n v="0"/>
    <n v="0"/>
    <n v="177.19"/>
    <n v="177.19"/>
    <n v="-8136.48"/>
  </r>
  <r>
    <x v="7"/>
    <x v="28"/>
    <x v="0"/>
    <s v="9000937"/>
    <n v="718050"/>
    <s v="Transcription"/>
    <s v="Eliminations-PE @ HRSN"/>
    <x v="0"/>
    <n v="1006"/>
    <n v="0"/>
    <n v="0"/>
    <n v="0"/>
    <n v="0"/>
    <n v="0"/>
    <n v="0"/>
    <n v="0"/>
    <n v="0"/>
    <n v="0"/>
    <n v="0"/>
    <n v="0"/>
    <n v="3485.94"/>
    <n v="3485.94"/>
    <n v="-600.97"/>
  </r>
  <r>
    <x v="7"/>
    <x v="28"/>
    <x v="0"/>
    <s v="9000937"/>
    <n v="718050"/>
    <s v="Cleaning Services"/>
    <s v="Eliminations-PE @ HRSN"/>
    <x v="0"/>
    <n v="1011"/>
    <n v="0"/>
    <n v="0"/>
    <n v="0"/>
    <n v="0"/>
    <n v="0"/>
    <n v="0"/>
    <n v="0"/>
    <n v="0"/>
    <n v="0"/>
    <n v="0"/>
    <n v="0"/>
    <n v="69079.66"/>
    <n v="69079.66"/>
    <n v="-36170467.869999997"/>
  </r>
  <r>
    <x v="7"/>
    <x v="28"/>
    <x v="0"/>
    <s v="9000937"/>
    <n v="718050"/>
    <s v="Document Shredding/Storage"/>
    <s v="Eliminations-PE @ HRSN"/>
    <x v="0"/>
    <n v="1012"/>
    <n v="0"/>
    <n v="0"/>
    <n v="0"/>
    <n v="0"/>
    <n v="0"/>
    <n v="0"/>
    <n v="0"/>
    <n v="0"/>
    <n v="0"/>
    <n v="0"/>
    <n v="0"/>
    <n v="23947.61"/>
    <n v="23947.61"/>
    <n v="-78369.259999999995"/>
  </r>
  <r>
    <x v="7"/>
    <x v="28"/>
    <x v="0"/>
    <s v="9000937"/>
    <n v="718050"/>
    <s v="Lawn Services"/>
    <s v="Eliminations-PE @ HRSN"/>
    <x v="0"/>
    <n v="1013"/>
    <n v="0"/>
    <n v="0"/>
    <n v="0"/>
    <n v="0"/>
    <n v="0"/>
    <n v="0"/>
    <n v="0"/>
    <n v="0"/>
    <n v="0"/>
    <n v="0"/>
    <n v="0"/>
    <n v="2150.63"/>
    <n v="2150.63"/>
    <n v="-38924.639999999999"/>
  </r>
  <r>
    <x v="7"/>
    <x v="28"/>
    <x v="0"/>
    <s v="9000937"/>
    <n v="718050"/>
    <s v="Pest Control"/>
    <s v="Eliminations-PE @ HRSN"/>
    <x v="0"/>
    <n v="1014"/>
    <n v="0"/>
    <n v="0"/>
    <n v="0"/>
    <n v="0"/>
    <n v="0"/>
    <n v="0"/>
    <n v="0"/>
    <n v="0"/>
    <n v="0"/>
    <n v="0"/>
    <n v="0"/>
    <n v="225.81"/>
    <n v="225.81"/>
    <n v="-10654.34"/>
  </r>
  <r>
    <x v="7"/>
    <x v="28"/>
    <x v="0"/>
    <s v="9000937"/>
    <n v="718050"/>
    <s v="Physician Answering"/>
    <s v="Eliminations-PE @ HRSN"/>
    <x v="0"/>
    <n v="1015"/>
    <n v="0"/>
    <n v="0"/>
    <n v="0"/>
    <n v="0"/>
    <n v="0"/>
    <n v="0"/>
    <n v="0"/>
    <n v="0"/>
    <n v="0"/>
    <n v="0"/>
    <n v="0"/>
    <n v="6414.78"/>
    <n v="6414.78"/>
    <n v="-8696.85"/>
  </r>
  <r>
    <x v="7"/>
    <x v="28"/>
    <x v="0"/>
    <s v="9000937"/>
    <n v="718050"/>
    <s v="Radiology"/>
    <s v="Eliminations-PE @ HRSN"/>
    <x v="0"/>
    <n v="1017"/>
    <n v="0"/>
    <n v="0"/>
    <n v="0"/>
    <n v="0"/>
    <n v="0"/>
    <n v="0"/>
    <n v="0"/>
    <n v="0"/>
    <n v="0"/>
    <n v="0"/>
    <n v="0"/>
    <n v="8136.48"/>
    <n v="8136.48"/>
    <n v="-10394.469999999999"/>
  </r>
  <r>
    <x v="7"/>
    <x v="28"/>
    <x v="0"/>
    <s v="9000937"/>
    <n v="718050"/>
    <s v="Security"/>
    <s v="Eliminations-PE @ HRSN"/>
    <x v="0"/>
    <n v="1019"/>
    <n v="0"/>
    <n v="0"/>
    <n v="0"/>
    <n v="0"/>
    <n v="0"/>
    <n v="0"/>
    <n v="0"/>
    <n v="0"/>
    <n v="0"/>
    <n v="0"/>
    <n v="0"/>
    <n v="600.97"/>
    <n v="600.97"/>
    <n v="-454955.7"/>
  </r>
  <r>
    <x v="7"/>
    <x v="28"/>
    <x v="0"/>
    <s v="9000937"/>
    <n v="718050"/>
    <s v="Miscellaneous Purchased Svcs"/>
    <s v="Eliminations-PE @ HRSN"/>
    <x v="0"/>
    <n v="1020"/>
    <n v="0"/>
    <n v="0"/>
    <n v="0"/>
    <n v="0"/>
    <n v="0"/>
    <n v="0"/>
    <n v="0"/>
    <n v="0"/>
    <n v="0"/>
    <n v="0"/>
    <n v="0"/>
    <n v="36170467.869999997"/>
    <n v="36170467.869999997"/>
    <n v="-30821.4"/>
  </r>
  <r>
    <x v="7"/>
    <x v="28"/>
    <x v="0"/>
    <s v="9000937"/>
    <n v="718050"/>
    <s v="Translation Services"/>
    <s v="Eliminations-PE @ HRSN"/>
    <x v="0"/>
    <n v="1025"/>
    <n v="0"/>
    <n v="0"/>
    <n v="0"/>
    <n v="0"/>
    <n v="0"/>
    <n v="0"/>
    <n v="0"/>
    <n v="0"/>
    <n v="0"/>
    <n v="0"/>
    <n v="0"/>
    <n v="78369.259999999995"/>
    <n v="78369.259999999995"/>
    <n v="-39269.65"/>
  </r>
  <r>
    <x v="7"/>
    <x v="28"/>
    <x v="0"/>
    <s v="9000937"/>
    <n v="718050"/>
    <s v="Contract Management--Linen"/>
    <s v="Eliminations-PE @ HRSN"/>
    <x v="0"/>
    <n v="1026"/>
    <n v="0"/>
    <n v="0"/>
    <n v="0"/>
    <n v="0"/>
    <n v="0"/>
    <n v="0"/>
    <n v="0"/>
    <n v="0"/>
    <n v="0"/>
    <n v="0"/>
    <n v="0"/>
    <n v="38924.639999999999"/>
    <n v="38924.639999999999"/>
    <n v="-1989.9"/>
  </r>
  <r>
    <x v="7"/>
    <x v="28"/>
    <x v="0"/>
    <s v="9000937"/>
    <n v="718050"/>
    <s v="Purchased Srvcs--Medical Waste"/>
    <s v="Eliminations-PE @ HRSN"/>
    <x v="0"/>
    <n v="1027"/>
    <n v="0"/>
    <n v="0"/>
    <n v="0"/>
    <n v="0"/>
    <n v="0"/>
    <n v="0"/>
    <n v="0"/>
    <n v="0"/>
    <n v="0"/>
    <n v="0"/>
    <n v="0"/>
    <n v="10654.34"/>
    <n v="10654.34"/>
    <n v="-174370.54"/>
  </r>
  <r>
    <x v="7"/>
    <x v="28"/>
    <x v="0"/>
    <s v="9000937"/>
    <n v="718050"/>
    <s v="Contract Services-Food&amp;Catering"/>
    <s v="Eliminations-PE @ HRSN"/>
    <x v="0"/>
    <n v="1030"/>
    <n v="0"/>
    <n v="0"/>
    <n v="0"/>
    <n v="0"/>
    <n v="0"/>
    <n v="0"/>
    <n v="0"/>
    <n v="0"/>
    <n v="0"/>
    <n v="0"/>
    <n v="0"/>
    <n v="8696.85"/>
    <n v="8696.85"/>
    <n v="-511.08"/>
  </r>
  <r>
    <x v="7"/>
    <x v="28"/>
    <x v="0"/>
    <s v="9000937"/>
    <n v="718059"/>
    <s v="Contract Services-Physician Revenue Cycle Fees"/>
    <s v="Eliminations-PE @ HRSN"/>
    <x v="0"/>
    <m/>
    <n v="0"/>
    <n v="0"/>
    <n v="0"/>
    <n v="0"/>
    <n v="0"/>
    <n v="0"/>
    <n v="0"/>
    <n v="0"/>
    <n v="0"/>
    <n v="0"/>
    <n v="0"/>
    <n v="10394.469999999999"/>
    <n v="10394.469999999999"/>
    <n v="-1919875.8"/>
  </r>
  <r>
    <x v="7"/>
    <x v="28"/>
    <x v="0"/>
    <s v="9000937"/>
    <n v="718060"/>
    <s v="Contract Services-CHI RRC Fees"/>
    <s v="Eliminations-PE @ HRSN"/>
    <x v="0"/>
    <m/>
    <n v="0"/>
    <n v="0"/>
    <n v="0"/>
    <n v="0"/>
    <n v="0"/>
    <n v="0"/>
    <n v="0"/>
    <n v="0"/>
    <n v="0"/>
    <n v="0"/>
    <n v="0"/>
    <n v="454955.7"/>
    <n v="454955.7"/>
    <n v="-7469.42"/>
  </r>
  <r>
    <x v="7"/>
    <x v="28"/>
    <x v="0"/>
    <s v="9000937"/>
    <n v="718061"/>
    <s v="Contract Services-CRO Allocation"/>
    <s v="Eliminations-PE @ HRSN"/>
    <x v="0"/>
    <m/>
    <n v="0"/>
    <n v="0"/>
    <n v="0"/>
    <n v="0"/>
    <n v="0"/>
    <n v="0"/>
    <n v="0"/>
    <n v="0"/>
    <n v="0"/>
    <n v="0"/>
    <n v="0"/>
    <n v="30821.4"/>
    <n v="30821.4"/>
    <n v="-786174.07"/>
  </r>
  <r>
    <x v="7"/>
    <x v="28"/>
    <x v="0"/>
    <s v="9000937"/>
    <n v="718065"/>
    <s v="Contract Services-CHI Legal Fees"/>
    <s v="Eliminations-PE @ HRSN"/>
    <x v="0"/>
    <m/>
    <n v="0"/>
    <n v="0"/>
    <n v="0"/>
    <n v="0"/>
    <n v="0"/>
    <n v="0"/>
    <n v="0"/>
    <n v="0"/>
    <n v="0"/>
    <n v="0"/>
    <n v="0"/>
    <n v="39269.65"/>
    <n v="39269.65"/>
    <n v="-167000.15"/>
  </r>
  <r>
    <x v="7"/>
    <x v="28"/>
    <x v="0"/>
    <s v="9000937"/>
    <n v="718066"/>
    <s v="Contract Services-CHI Tax Services"/>
    <s v="Eliminations-PE @ HRSN"/>
    <x v="0"/>
    <m/>
    <n v="0"/>
    <n v="0"/>
    <n v="0"/>
    <n v="0"/>
    <n v="0"/>
    <n v="0"/>
    <n v="0"/>
    <n v="0"/>
    <n v="0"/>
    <n v="0"/>
    <n v="0"/>
    <n v="1989.9"/>
    <n v="1989.9"/>
    <n v="-4437.2"/>
  </r>
  <r>
    <x v="7"/>
    <x v="28"/>
    <x v="0"/>
    <s v="9000937"/>
    <n v="718070"/>
    <s v="Contract Srvcs-CHI Clinical Engineering"/>
    <s v="Eliminations-PE @ HRSN"/>
    <x v="0"/>
    <m/>
    <n v="0"/>
    <n v="0"/>
    <n v="0"/>
    <n v="0"/>
    <n v="0"/>
    <n v="0"/>
    <n v="0"/>
    <n v="0"/>
    <n v="0"/>
    <n v="0"/>
    <n v="0"/>
    <n v="174370.54"/>
    <n v="174370.54"/>
    <n v="-2968.83"/>
  </r>
  <r>
    <x v="7"/>
    <x v="28"/>
    <x v="0"/>
    <s v="9000937"/>
    <n v="718071"/>
    <s v="Contract Srvcs-CHI Facilities Mgmt"/>
    <s v="Eliminations-PE @ HRSN"/>
    <x v="0"/>
    <m/>
    <n v="0"/>
    <n v="0"/>
    <n v="0"/>
    <n v="0"/>
    <n v="0"/>
    <n v="0"/>
    <n v="0"/>
    <n v="0"/>
    <n v="0"/>
    <n v="0"/>
    <n v="0"/>
    <n v="511.08"/>
    <n v="511.08"/>
    <n v="-3577.16"/>
  </r>
  <r>
    <x v="7"/>
    <x v="28"/>
    <x v="0"/>
    <s v="9000937"/>
    <n v="718075"/>
    <s v="Contract Srvcs-CHI ITS Steady State"/>
    <s v="Eliminations-PE @ HRSN"/>
    <x v="0"/>
    <m/>
    <n v="0"/>
    <n v="0"/>
    <n v="0"/>
    <n v="0"/>
    <n v="0"/>
    <n v="0"/>
    <n v="0"/>
    <n v="0"/>
    <n v="0"/>
    <n v="0"/>
    <n v="0"/>
    <n v="1919875.8"/>
    <n v="1919875.8"/>
    <n v="-5207.72"/>
  </r>
  <r>
    <x v="7"/>
    <x v="28"/>
    <x v="0"/>
    <s v="9000937"/>
    <n v="718077"/>
    <s v="PACS"/>
    <s v="Eliminations-PE @ HRSN"/>
    <x v="0"/>
    <n v="1000"/>
    <n v="0"/>
    <n v="0"/>
    <n v="0"/>
    <n v="0"/>
    <n v="0"/>
    <n v="0"/>
    <n v="0"/>
    <n v="0"/>
    <n v="0"/>
    <n v="0"/>
    <n v="0"/>
    <n v="7469.42"/>
    <n v="7469.42"/>
    <n v="-1334.49"/>
  </r>
  <r>
    <x v="7"/>
    <x v="28"/>
    <x v="0"/>
    <s v="9000937"/>
    <n v="718091"/>
    <s v="Contract Services-Intracompany Allocation"/>
    <s v="Eliminations-PE @ HRSN"/>
    <x v="0"/>
    <m/>
    <n v="0"/>
    <n v="0"/>
    <n v="0"/>
    <n v="0"/>
    <n v="0"/>
    <n v="0"/>
    <n v="0"/>
    <n v="0"/>
    <n v="0"/>
    <n v="0"/>
    <n v="0"/>
    <n v="786174.07"/>
    <n v="786174.07"/>
    <n v="-19170.71"/>
  </r>
  <r>
    <x v="11"/>
    <x v="28"/>
    <x v="0"/>
    <s v="9000937"/>
    <n v="721010"/>
    <s v="Supplies-Medical - Billable"/>
    <s v="Eliminations-PE @ HRSN"/>
    <x v="0"/>
    <m/>
    <n v="0"/>
    <n v="0"/>
    <n v="0"/>
    <n v="0"/>
    <n v="0"/>
    <n v="0"/>
    <n v="0"/>
    <n v="0"/>
    <n v="0"/>
    <n v="0"/>
    <n v="0"/>
    <n v="167000.15"/>
    <n v="167000.15"/>
    <n v="-43583.64"/>
  </r>
  <r>
    <x v="11"/>
    <x v="28"/>
    <x v="0"/>
    <s v="9000937"/>
    <n v="721010"/>
    <s v="Patient Monitoring"/>
    <s v="Eliminations-PE @ HRSN"/>
    <x v="0"/>
    <n v="1000"/>
    <n v="0"/>
    <n v="0"/>
    <n v="0"/>
    <n v="0"/>
    <n v="0"/>
    <n v="0"/>
    <n v="0"/>
    <n v="0"/>
    <n v="0"/>
    <n v="0"/>
    <n v="0"/>
    <n v="4437.2"/>
    <n v="4437.2"/>
    <n v="-125"/>
  </r>
  <r>
    <x v="11"/>
    <x v="28"/>
    <x v="0"/>
    <s v="9000937"/>
    <n v="721020"/>
    <s v="Supplies-Surgical - Billable"/>
    <s v="Eliminations-PE @ HRSN"/>
    <x v="0"/>
    <m/>
    <n v="0"/>
    <n v="0"/>
    <n v="0"/>
    <n v="0"/>
    <n v="0"/>
    <n v="0"/>
    <n v="0"/>
    <n v="0"/>
    <n v="0"/>
    <n v="0"/>
    <n v="0"/>
    <n v="2968.83"/>
    <n v="2968.83"/>
    <n v="-22811.73"/>
  </r>
  <r>
    <x v="11"/>
    <x v="28"/>
    <x v="0"/>
    <s v="9000937"/>
    <n v="721020"/>
    <s v="Custom Packs"/>
    <s v="Eliminations-PE @ HRSN"/>
    <x v="0"/>
    <n v="1000"/>
    <n v="0"/>
    <n v="0"/>
    <n v="0"/>
    <n v="0"/>
    <n v="0"/>
    <n v="0"/>
    <n v="0"/>
    <n v="0"/>
    <n v="0"/>
    <n v="0"/>
    <n v="0"/>
    <n v="3577.16"/>
    <n v="3577.16"/>
    <n v="-336.7"/>
  </r>
  <r>
    <x v="11"/>
    <x v="28"/>
    <x v="0"/>
    <s v="9000937"/>
    <n v="721020"/>
    <s v="Suture/Wound Closure"/>
    <s v="Eliminations-PE @ HRSN"/>
    <x v="0"/>
    <n v="1001"/>
    <n v="0"/>
    <n v="0"/>
    <n v="0"/>
    <n v="0"/>
    <n v="0"/>
    <n v="0"/>
    <n v="0"/>
    <n v="0"/>
    <n v="0"/>
    <n v="0"/>
    <n v="0"/>
    <n v="5207.72"/>
    <n v="5207.72"/>
    <n v="-3974.71"/>
  </r>
  <r>
    <x v="11"/>
    <x v="28"/>
    <x v="0"/>
    <s v="9000937"/>
    <n v="721020"/>
    <s v="Endomechanical Supplies &amp; Instruments"/>
    <s v="Eliminations-PE @ HRSN"/>
    <x v="0"/>
    <n v="1003"/>
    <n v="0"/>
    <n v="0"/>
    <n v="0"/>
    <n v="0"/>
    <n v="0"/>
    <n v="0"/>
    <n v="0"/>
    <n v="0"/>
    <n v="0"/>
    <n v="0"/>
    <n v="0"/>
    <n v="1334.49"/>
    <n v="1334.49"/>
    <n v="-35590.300000000003"/>
  </r>
  <r>
    <x v="11"/>
    <x v="28"/>
    <x v="0"/>
    <s v="9000937"/>
    <n v="721020"/>
    <s v="Urological Supplies"/>
    <s v="Eliminations-PE @ HRSN"/>
    <x v="0"/>
    <n v="1006"/>
    <n v="0"/>
    <n v="0"/>
    <n v="0"/>
    <n v="0"/>
    <n v="0"/>
    <n v="0"/>
    <n v="0"/>
    <n v="0"/>
    <n v="0"/>
    <n v="0"/>
    <n v="0"/>
    <n v="19170.71"/>
    <n v="19170.71"/>
    <n v="-1350409.55"/>
  </r>
  <r>
    <x v="11"/>
    <x v="28"/>
    <x v="0"/>
    <s v="9000937"/>
    <n v="721050"/>
    <s v="Supplies-Cardiac Rhythm - Billable"/>
    <s v="Eliminations-PE @ HRSN"/>
    <x v="0"/>
    <m/>
    <n v="0"/>
    <n v="0"/>
    <n v="0"/>
    <n v="0"/>
    <n v="0"/>
    <n v="0"/>
    <n v="0"/>
    <n v="0"/>
    <n v="0"/>
    <n v="0"/>
    <n v="0"/>
    <n v="43583.64"/>
    <n v="43583.64"/>
    <n v="-76003.839999999997"/>
  </r>
  <r>
    <x v="11"/>
    <x v="28"/>
    <x v="0"/>
    <s v="9000937"/>
    <n v="721150"/>
    <s v="Supplies-Other Implants - Billable"/>
    <s v="Eliminations-PE @ HRSN"/>
    <x v="0"/>
    <m/>
    <n v="0"/>
    <n v="0"/>
    <n v="0"/>
    <n v="0"/>
    <n v="0"/>
    <n v="0"/>
    <n v="0"/>
    <n v="0"/>
    <n v="0"/>
    <n v="0"/>
    <n v="0"/>
    <n v="125"/>
    <n v="125"/>
    <n v="-3296.1"/>
  </r>
  <r>
    <x v="11"/>
    <x v="28"/>
    <x v="0"/>
    <s v="9000937"/>
    <n v="721150"/>
    <s v="Surgical Orthopedic"/>
    <s v="Eliminations-PE @ HRSN"/>
    <x v="0"/>
    <n v="1000"/>
    <n v="0"/>
    <n v="0"/>
    <n v="0"/>
    <n v="0"/>
    <n v="0"/>
    <n v="0"/>
    <n v="0"/>
    <n v="0"/>
    <n v="0"/>
    <n v="0"/>
    <n v="0"/>
    <n v="22811.73"/>
    <n v="22811.73"/>
    <n v="-4029.6"/>
  </r>
  <r>
    <x v="11"/>
    <x v="28"/>
    <x v="0"/>
    <s v="9000937"/>
    <n v="721210"/>
    <s v="Supplies-Anesthesia - Billable"/>
    <s v="Eliminations-PE @ HRSN"/>
    <x v="0"/>
    <m/>
    <n v="0"/>
    <n v="0"/>
    <n v="0"/>
    <n v="0"/>
    <n v="0"/>
    <n v="0"/>
    <n v="0"/>
    <n v="0"/>
    <n v="0"/>
    <n v="0"/>
    <n v="0"/>
    <n v="336.7"/>
    <n v="336.7"/>
    <n v="-410494.65"/>
  </r>
  <r>
    <x v="11"/>
    <x v="28"/>
    <x v="0"/>
    <s v="9000937"/>
    <n v="721220"/>
    <s v="Supplies-Medical Gases - Billable"/>
    <s v="Eliminations-PE @ HRSN"/>
    <x v="0"/>
    <m/>
    <n v="0"/>
    <n v="0"/>
    <n v="0"/>
    <n v="0"/>
    <n v="0"/>
    <n v="0"/>
    <n v="0"/>
    <n v="0"/>
    <n v="0"/>
    <n v="0"/>
    <n v="0"/>
    <n v="3974.71"/>
    <n v="3974.71"/>
    <n v="-135.16"/>
  </r>
  <r>
    <x v="11"/>
    <x v="28"/>
    <x v="0"/>
    <s v="9000937"/>
    <n v="721240"/>
    <s v="Supplies-IV Solutions/Supplies - Billable"/>
    <s v="Eliminations-PE @ HRSN"/>
    <x v="0"/>
    <m/>
    <n v="0"/>
    <n v="0"/>
    <n v="0"/>
    <n v="0"/>
    <n v="0"/>
    <n v="0"/>
    <n v="0"/>
    <n v="0"/>
    <n v="0"/>
    <n v="0"/>
    <n v="0"/>
    <n v="35590.300000000003"/>
    <n v="35590.300000000003"/>
    <n v="-37294.04"/>
  </r>
  <r>
    <x v="11"/>
    <x v="28"/>
    <x v="0"/>
    <s v="9000937"/>
    <n v="721250"/>
    <s v="Supplies-Pharmacy Drugs - Billable"/>
    <s v="Eliminations-PE @ HRSN"/>
    <x v="0"/>
    <m/>
    <n v="0"/>
    <n v="0"/>
    <n v="0"/>
    <n v="0"/>
    <n v="0"/>
    <n v="0"/>
    <n v="0"/>
    <n v="0"/>
    <n v="0"/>
    <n v="0"/>
    <n v="0"/>
    <n v="1350409.55"/>
    <n v="1350409.55"/>
    <n v="-11334.42"/>
  </r>
  <r>
    <x v="11"/>
    <x v="28"/>
    <x v="0"/>
    <s v="9000937"/>
    <n v="721250"/>
    <s v="OP Pharmacy Drugs"/>
    <s v="Eliminations-PE @ HRSN"/>
    <x v="0"/>
    <n v="1002"/>
    <n v="0"/>
    <n v="0"/>
    <n v="0"/>
    <n v="0"/>
    <n v="0"/>
    <n v="0"/>
    <n v="0"/>
    <n v="0"/>
    <n v="0"/>
    <n v="0"/>
    <n v="0"/>
    <n v="76003.839999999997"/>
    <n v="76003.839999999997"/>
    <n v="-12053.15"/>
  </r>
  <r>
    <x v="11"/>
    <x v="28"/>
    <x v="0"/>
    <s v="9000937"/>
    <n v="721320"/>
    <s v="Supplies-Purchased Blood - Billable"/>
    <s v="Eliminations-PE @ HRSN"/>
    <x v="0"/>
    <m/>
    <n v="0"/>
    <n v="0"/>
    <n v="0"/>
    <n v="0"/>
    <n v="0"/>
    <n v="0"/>
    <n v="0"/>
    <n v="0"/>
    <n v="0"/>
    <n v="0"/>
    <n v="0"/>
    <n v="3296.1"/>
    <n v="3296.1"/>
    <n v="-43884.95"/>
  </r>
  <r>
    <x v="11"/>
    <x v="28"/>
    <x v="0"/>
    <s v="9000937"/>
    <n v="721350"/>
    <s v="Radiology Imaging - Contrast Media"/>
    <s v="Eliminations-PE @ HRSN"/>
    <x v="0"/>
    <n v="1000"/>
    <n v="0"/>
    <n v="0"/>
    <n v="0"/>
    <n v="0"/>
    <n v="0"/>
    <n v="0"/>
    <n v="0"/>
    <n v="0"/>
    <n v="0"/>
    <n v="0"/>
    <n v="0"/>
    <n v="4029.6"/>
    <n v="4029.6"/>
    <n v="-95577.94"/>
  </r>
  <r>
    <x v="11"/>
    <x v="28"/>
    <x v="0"/>
    <s v="9000937"/>
    <n v="721410"/>
    <s v="Supplies-Medical - Nonbillable"/>
    <s v="Eliminations-PE @ HRSN"/>
    <x v="0"/>
    <m/>
    <n v="0"/>
    <n v="0"/>
    <n v="0"/>
    <n v="0"/>
    <n v="0"/>
    <n v="0"/>
    <n v="0"/>
    <n v="0"/>
    <n v="0"/>
    <n v="0"/>
    <n v="0"/>
    <n v="410494.65"/>
    <n v="410494.65"/>
    <n v="-36448.01"/>
  </r>
  <r>
    <x v="11"/>
    <x v="28"/>
    <x v="0"/>
    <s v="9000937"/>
    <n v="721410"/>
    <s v="Patient Monitoring"/>
    <s v="Eliminations-PE @ HRSN"/>
    <x v="0"/>
    <n v="1000"/>
    <n v="0"/>
    <n v="0"/>
    <n v="0"/>
    <n v="0"/>
    <n v="0"/>
    <n v="0"/>
    <n v="0"/>
    <n v="0"/>
    <n v="0"/>
    <n v="0"/>
    <n v="0"/>
    <n v="135.16"/>
    <n v="135.16"/>
    <n v="-22640"/>
  </r>
  <r>
    <x v="11"/>
    <x v="28"/>
    <x v="0"/>
    <s v="9000937"/>
    <n v="721420"/>
    <s v="Supplies-Surgical Nonbillable"/>
    <s v="Eliminations-PE @ HRSN"/>
    <x v="0"/>
    <m/>
    <n v="0"/>
    <n v="0"/>
    <n v="0"/>
    <n v="0"/>
    <n v="0"/>
    <n v="0"/>
    <n v="0"/>
    <n v="0"/>
    <n v="0"/>
    <n v="0"/>
    <n v="0"/>
    <n v="37294.04"/>
    <n v="37294.04"/>
    <n v="-54857.38"/>
  </r>
  <r>
    <x v="11"/>
    <x v="28"/>
    <x v="0"/>
    <s v="9000937"/>
    <n v="721420"/>
    <s v="Sterilization Process Products"/>
    <s v="Eliminations-PE @ HRSN"/>
    <x v="0"/>
    <n v="1009"/>
    <n v="0"/>
    <n v="0"/>
    <n v="0"/>
    <n v="0"/>
    <n v="0"/>
    <n v="0"/>
    <n v="0"/>
    <n v="0"/>
    <n v="0"/>
    <n v="0"/>
    <n v="0"/>
    <n v="11334.42"/>
    <n v="11334.42"/>
    <n v="-593.03"/>
  </r>
  <r>
    <x v="11"/>
    <x v="28"/>
    <x v="0"/>
    <s v="9000937"/>
    <n v="721610"/>
    <s v="Supplies-Anesthesia - Nonbillable"/>
    <s v="Eliminations-PE @ HRSN"/>
    <x v="0"/>
    <m/>
    <n v="0"/>
    <n v="0"/>
    <n v="0"/>
    <n v="0"/>
    <n v="0"/>
    <n v="0"/>
    <n v="0"/>
    <n v="0"/>
    <n v="0"/>
    <n v="0"/>
    <n v="0"/>
    <n v="12053.15"/>
    <n v="12053.15"/>
    <n v="-30606.46"/>
  </r>
  <r>
    <x v="11"/>
    <x v="28"/>
    <x v="0"/>
    <s v="9000937"/>
    <n v="721640"/>
    <s v="Supplies-IV Solutions/Supplies - Nonbillable"/>
    <s v="Eliminations-PE @ HRSN"/>
    <x v="0"/>
    <m/>
    <n v="0"/>
    <n v="0"/>
    <n v="0"/>
    <n v="0"/>
    <n v="0"/>
    <n v="0"/>
    <n v="0"/>
    <n v="0"/>
    <n v="0"/>
    <n v="0"/>
    <n v="0"/>
    <n v="43884.95"/>
    <n v="43884.95"/>
    <n v="-178240.16"/>
  </r>
  <r>
    <x v="11"/>
    <x v="28"/>
    <x v="0"/>
    <s v="9000937"/>
    <n v="721650"/>
    <s v="Supplies-Pharmacy Drugs - Nonbillable"/>
    <s v="Eliminations-PE @ HRSN"/>
    <x v="0"/>
    <m/>
    <n v="0"/>
    <n v="0"/>
    <n v="0"/>
    <n v="0"/>
    <n v="0"/>
    <n v="0"/>
    <n v="0"/>
    <n v="0"/>
    <n v="0"/>
    <n v="0"/>
    <n v="0"/>
    <n v="95577.94"/>
    <n v="95577.94"/>
    <n v="-5387.33"/>
  </r>
  <r>
    <x v="11"/>
    <x v="28"/>
    <x v="0"/>
    <s v="9000937"/>
    <n v="721650"/>
    <s v="Radioactive Material"/>
    <s v="Eliminations-PE @ HRSN"/>
    <x v="0"/>
    <n v="1001"/>
    <n v="0"/>
    <n v="0"/>
    <n v="0"/>
    <n v="0"/>
    <n v="0"/>
    <n v="0"/>
    <n v="0"/>
    <n v="0"/>
    <n v="0"/>
    <n v="0"/>
    <n v="0"/>
    <n v="36448.01"/>
    <n v="36448.01"/>
    <n v="-12195.13"/>
  </r>
  <r>
    <x v="11"/>
    <x v="28"/>
    <x v="0"/>
    <s v="9000937"/>
    <n v="721710"/>
    <s v="Supplies-Laboratory - Nonbillable"/>
    <s v="Eliminations-PE @ HRSN"/>
    <x v="0"/>
    <m/>
    <n v="0"/>
    <n v="0"/>
    <n v="0"/>
    <n v="0"/>
    <n v="0"/>
    <n v="0"/>
    <n v="0"/>
    <n v="0"/>
    <n v="0"/>
    <n v="0"/>
    <n v="0"/>
    <n v="22640"/>
    <n v="22640"/>
    <n v="-8138.72"/>
  </r>
  <r>
    <x v="11"/>
    <x v="28"/>
    <x v="0"/>
    <s v="9000937"/>
    <n v="721710"/>
    <s v="Reagents"/>
    <s v="Eliminations-PE @ HRSN"/>
    <x v="0"/>
    <n v="1000"/>
    <n v="0"/>
    <n v="0"/>
    <n v="0"/>
    <n v="0"/>
    <n v="0"/>
    <n v="0"/>
    <n v="0"/>
    <n v="0"/>
    <n v="0"/>
    <n v="0"/>
    <n v="0"/>
    <n v="54857.38"/>
    <n v="54857.38"/>
    <n v="-108635.98"/>
  </r>
  <r>
    <x v="11"/>
    <x v="28"/>
    <x v="0"/>
    <s v="9000937"/>
    <n v="721750"/>
    <s v="Supplies-Film/Radiographic - Nonbillable"/>
    <s v="Eliminations-PE @ HRSN"/>
    <x v="0"/>
    <m/>
    <n v="0"/>
    <n v="0"/>
    <n v="0"/>
    <n v="0"/>
    <n v="0"/>
    <n v="0"/>
    <n v="0"/>
    <n v="0"/>
    <n v="0"/>
    <n v="0"/>
    <n v="0"/>
    <n v="593.03"/>
    <n v="593.03"/>
    <n v="-5134.1099999999997"/>
  </r>
  <r>
    <x v="11"/>
    <x v="28"/>
    <x v="0"/>
    <s v="9000937"/>
    <n v="721810"/>
    <s v="Supplies-Dietary/Cafeteria"/>
    <s v="Eliminations-PE @ HRSN"/>
    <x v="0"/>
    <m/>
    <n v="0"/>
    <n v="0"/>
    <n v="0"/>
    <n v="0"/>
    <n v="0"/>
    <n v="0"/>
    <n v="0"/>
    <n v="0"/>
    <n v="0"/>
    <n v="0"/>
    <n v="0"/>
    <n v="30606.46"/>
    <n v="30606.46"/>
    <n v="-92782.69"/>
  </r>
  <r>
    <x v="11"/>
    <x v="28"/>
    <x v="0"/>
    <s v="9000937"/>
    <n v="721830"/>
    <s v="Supplies-Office"/>
    <s v="Eliminations-PE @ HRSN"/>
    <x v="0"/>
    <m/>
    <n v="0"/>
    <n v="0"/>
    <n v="0"/>
    <n v="0"/>
    <n v="0"/>
    <n v="0"/>
    <n v="0"/>
    <n v="0"/>
    <n v="0"/>
    <n v="0"/>
    <n v="0"/>
    <n v="178240.16"/>
    <n v="178240.16"/>
    <n v="-5711.14"/>
  </r>
  <r>
    <x v="11"/>
    <x v="28"/>
    <x v="0"/>
    <s v="9000937"/>
    <n v="721835"/>
    <s v="Supplies-Forms"/>
    <s v="Eliminations-PE @ HRSN"/>
    <x v="0"/>
    <m/>
    <n v="0"/>
    <n v="0"/>
    <n v="0"/>
    <n v="0"/>
    <n v="0"/>
    <n v="0"/>
    <n v="0"/>
    <n v="0"/>
    <n v="0"/>
    <n v="0"/>
    <n v="0"/>
    <n v="5387.33"/>
    <n v="5387.33"/>
    <n v="80599.87"/>
  </r>
  <r>
    <x v="11"/>
    <x v="28"/>
    <x v="0"/>
    <s v="9000937"/>
    <n v="721870"/>
    <s v="Supplies-Environmental Services"/>
    <s v="Eliminations-PE @ HRSN"/>
    <x v="0"/>
    <m/>
    <n v="0"/>
    <n v="0"/>
    <n v="0"/>
    <n v="0"/>
    <n v="0"/>
    <n v="0"/>
    <n v="0"/>
    <n v="0"/>
    <n v="0"/>
    <n v="0"/>
    <n v="0"/>
    <n v="12195.13"/>
    <n v="12195.13"/>
    <n v="1296.49"/>
  </r>
  <r>
    <x v="11"/>
    <x v="28"/>
    <x v="0"/>
    <s v="9000937"/>
    <n v="721880"/>
    <s v="Supplies-Linen"/>
    <s v="Eliminations-PE @ HRSN"/>
    <x v="0"/>
    <m/>
    <n v="0"/>
    <n v="0"/>
    <n v="0"/>
    <n v="0"/>
    <n v="0"/>
    <n v="0"/>
    <n v="0"/>
    <n v="0"/>
    <n v="0"/>
    <n v="0"/>
    <n v="0"/>
    <n v="8138.72"/>
    <n v="8138.72"/>
    <n v="367.06"/>
  </r>
  <r>
    <x v="11"/>
    <x v="28"/>
    <x v="0"/>
    <s v="9000937"/>
    <n v="721910"/>
    <s v="Supplies-Small Equipment"/>
    <s v="Eliminations-PE @ HRSN"/>
    <x v="0"/>
    <m/>
    <n v="0"/>
    <n v="0"/>
    <n v="0"/>
    <n v="0"/>
    <n v="0"/>
    <n v="0"/>
    <n v="0"/>
    <n v="0"/>
    <n v="0"/>
    <n v="0"/>
    <n v="0"/>
    <n v="108635.98"/>
    <n v="108635.98"/>
    <n v="-0.01"/>
  </r>
  <r>
    <x v="11"/>
    <x v="28"/>
    <x v="0"/>
    <s v="9000937"/>
    <n v="721910"/>
    <s v="Instruments"/>
    <s v="Eliminations-PE @ HRSN"/>
    <x v="0"/>
    <n v="1000"/>
    <n v="0"/>
    <n v="0"/>
    <n v="0"/>
    <n v="0"/>
    <n v="0"/>
    <n v="0"/>
    <n v="0"/>
    <n v="0"/>
    <n v="0"/>
    <n v="0"/>
    <n v="0"/>
    <n v="5134.1099999999997"/>
    <n v="5134.1099999999997"/>
    <n v="-5027701.6500000004"/>
  </r>
  <r>
    <x v="11"/>
    <x v="28"/>
    <x v="0"/>
    <s v="9000937"/>
    <n v="721980"/>
    <s v="Supplies-Other"/>
    <s v="Eliminations-PE @ HRSN"/>
    <x v="0"/>
    <m/>
    <n v="0"/>
    <n v="0"/>
    <n v="0"/>
    <n v="0"/>
    <n v="0"/>
    <n v="0"/>
    <n v="0"/>
    <n v="0"/>
    <n v="0"/>
    <n v="0"/>
    <n v="0"/>
    <n v="92782.69"/>
    <n v="92782.69"/>
    <n v="-1480310.31"/>
  </r>
  <r>
    <x v="11"/>
    <x v="28"/>
    <x v="0"/>
    <s v="9000937"/>
    <n v="722000"/>
    <s v="Supplies-Freight Expense"/>
    <s v="Eliminations-PE @ HRSN"/>
    <x v="0"/>
    <m/>
    <n v="0"/>
    <n v="0"/>
    <n v="0"/>
    <n v="0"/>
    <n v="0"/>
    <n v="0"/>
    <n v="0"/>
    <n v="0"/>
    <n v="0"/>
    <n v="0"/>
    <n v="0"/>
    <n v="5711.14"/>
    <n v="5711.14"/>
    <n v="-82278.13"/>
  </r>
  <r>
    <x v="11"/>
    <x v="28"/>
    <x v="0"/>
    <s v="9000937"/>
    <n v="723000"/>
    <s v="Supply Rebates/Patronage Dividend"/>
    <s v="Eliminations-PE @ HRSN"/>
    <x v="0"/>
    <m/>
    <n v="0"/>
    <n v="0"/>
    <n v="0"/>
    <n v="0"/>
    <n v="0"/>
    <n v="0"/>
    <n v="0"/>
    <n v="0"/>
    <n v="0"/>
    <n v="0"/>
    <n v="0"/>
    <n v="-80599.87"/>
    <n v="-80599.87"/>
    <n v="-206449.84"/>
  </r>
  <r>
    <x v="11"/>
    <x v="28"/>
    <x v="0"/>
    <s v="9000937"/>
    <n v="723500"/>
    <s v="Discounts Taken *"/>
    <s v="Eliminations-PE @ HRSN"/>
    <x v="0"/>
    <m/>
    <n v="0"/>
    <n v="0"/>
    <n v="0"/>
    <n v="0"/>
    <n v="0"/>
    <n v="0"/>
    <n v="0"/>
    <n v="0"/>
    <n v="0"/>
    <n v="0"/>
    <n v="0"/>
    <n v="-1296.49"/>
    <n v="-1296.49"/>
    <n v="-681069.42"/>
  </r>
  <r>
    <x v="11"/>
    <x v="28"/>
    <x v="0"/>
    <s v="9000937"/>
    <n v="724000"/>
    <s v="Item Cost Variance Suspense *"/>
    <s v="Eliminations-PE @ HRSN"/>
    <x v="0"/>
    <m/>
    <n v="0"/>
    <n v="0"/>
    <n v="0"/>
    <n v="0"/>
    <n v="0"/>
    <n v="0"/>
    <n v="0"/>
    <n v="0"/>
    <n v="0"/>
    <n v="0"/>
    <n v="0"/>
    <n v="-367.06"/>
    <n v="-367.06"/>
    <n v="-369.05"/>
  </r>
  <r>
    <x v="11"/>
    <x v="28"/>
    <x v="0"/>
    <s v="9000937"/>
    <n v="724001"/>
    <s v="Tolerance Offset *"/>
    <s v="Eliminations-PE @ HRSN"/>
    <x v="0"/>
    <m/>
    <n v="0"/>
    <n v="0"/>
    <n v="0"/>
    <n v="0"/>
    <n v="0"/>
    <n v="0"/>
    <n v="0"/>
    <n v="0"/>
    <n v="0"/>
    <n v="0"/>
    <n v="0"/>
    <n v="0.01"/>
    <n v="0.01"/>
    <n v="-106830.73"/>
  </r>
  <r>
    <x v="12"/>
    <x v="28"/>
    <x v="0"/>
    <s v="9000937"/>
    <n v="730010"/>
    <s v="Rental and Leases-Building (DO NOT USE)"/>
    <s v="Eliminations-PE @ HRSN"/>
    <x v="0"/>
    <m/>
    <n v="0"/>
    <n v="0"/>
    <n v="0"/>
    <n v="0"/>
    <n v="0"/>
    <n v="0"/>
    <n v="0"/>
    <n v="0"/>
    <n v="0"/>
    <n v="0"/>
    <n v="0"/>
    <n v="5027701.6500000004"/>
    <n v="5027701.6500000004"/>
    <n v="-8819.01"/>
  </r>
  <r>
    <x v="12"/>
    <x v="28"/>
    <x v="0"/>
    <s v="9000937"/>
    <n v="730010"/>
    <s v="Rental-Common Area Maint (DO NOT USE)"/>
    <s v="Eliminations-PE @ HRSN"/>
    <x v="0"/>
    <n v="2200"/>
    <n v="0"/>
    <n v="0"/>
    <n v="0"/>
    <n v="0"/>
    <n v="0"/>
    <n v="0"/>
    <n v="0"/>
    <n v="0"/>
    <n v="0"/>
    <n v="0"/>
    <n v="0"/>
    <n v="1480310.31"/>
    <n v="1480310.31"/>
    <n v="-16042.37"/>
  </r>
  <r>
    <x v="12"/>
    <x v="28"/>
    <x v="0"/>
    <s v="9000937"/>
    <n v="730020"/>
    <s v="Rental and Leases-Equipment (DO NOT USE)"/>
    <s v="Eliminations-PE @ HRSN"/>
    <x v="0"/>
    <m/>
    <n v="0"/>
    <n v="0"/>
    <n v="0"/>
    <n v="0"/>
    <n v="0"/>
    <n v="0"/>
    <n v="0"/>
    <n v="0"/>
    <n v="0"/>
    <n v="0"/>
    <n v="0"/>
    <n v="82278.13"/>
    <n v="82278.13"/>
    <n v="-42404.67"/>
  </r>
  <r>
    <x v="12"/>
    <x v="28"/>
    <x v="0"/>
    <s v="9000937"/>
    <n v="730020"/>
    <s v="Rental and Leases-Copier Usage Fees (DO NOT USE)"/>
    <s v="Eliminations-PE @ HRSN"/>
    <x v="0"/>
    <n v="5100"/>
    <n v="0"/>
    <n v="0"/>
    <n v="0"/>
    <n v="0"/>
    <n v="0"/>
    <n v="0"/>
    <n v="0"/>
    <n v="0"/>
    <n v="0"/>
    <n v="0"/>
    <n v="0"/>
    <n v="206449.84"/>
    <n v="206449.84"/>
    <n v="-630421.75"/>
  </r>
  <r>
    <x v="12"/>
    <x v="28"/>
    <x v="0"/>
    <s v="9000937"/>
    <n v="730040"/>
    <s v="LT Lease-Real Estate"/>
    <s v="Eliminations-PE @ HRSN"/>
    <x v="0"/>
    <m/>
    <n v="0"/>
    <n v="0"/>
    <n v="0"/>
    <n v="0"/>
    <n v="0"/>
    <n v="0"/>
    <n v="0"/>
    <n v="0"/>
    <n v="0"/>
    <n v="0"/>
    <n v="0"/>
    <n v="681069.42"/>
    <n v="681069.42"/>
    <n v="-4876.63"/>
  </r>
  <r>
    <x v="15"/>
    <x v="28"/>
    <x v="0"/>
    <s v="9000937"/>
    <n v="731010"/>
    <s v="Natural Gas"/>
    <s v="Eliminations-PE @ HRSN"/>
    <x v="0"/>
    <m/>
    <n v="0"/>
    <n v="0"/>
    <n v="0"/>
    <n v="0"/>
    <n v="0"/>
    <n v="0"/>
    <n v="0"/>
    <n v="0"/>
    <n v="0"/>
    <n v="0"/>
    <n v="0"/>
    <n v="369.05"/>
    <n v="369.05"/>
    <n v="-7176.23"/>
  </r>
  <r>
    <x v="15"/>
    <x v="28"/>
    <x v="0"/>
    <s v="9000937"/>
    <n v="731020"/>
    <s v="Electricity"/>
    <s v="Eliminations-PE @ HRSN"/>
    <x v="0"/>
    <m/>
    <n v="0"/>
    <n v="0"/>
    <n v="0"/>
    <n v="0"/>
    <n v="0"/>
    <n v="0"/>
    <n v="0"/>
    <n v="0"/>
    <n v="0"/>
    <n v="0"/>
    <n v="0"/>
    <n v="106830.73"/>
    <n v="106830.73"/>
    <n v="-73437.149999999994"/>
  </r>
  <r>
    <x v="15"/>
    <x v="28"/>
    <x v="0"/>
    <s v="9000937"/>
    <n v="731030"/>
    <s v="Water"/>
    <s v="Eliminations-PE @ HRSN"/>
    <x v="0"/>
    <m/>
    <n v="0"/>
    <n v="0"/>
    <n v="0"/>
    <n v="0"/>
    <n v="0"/>
    <n v="0"/>
    <n v="0"/>
    <n v="0"/>
    <n v="0"/>
    <n v="0"/>
    <n v="0"/>
    <n v="8819.01"/>
    <n v="8819.01"/>
    <n v="-7480.44"/>
  </r>
  <r>
    <x v="15"/>
    <x v="28"/>
    <x v="0"/>
    <s v="9000937"/>
    <n v="731040"/>
    <s v="Sewer"/>
    <s v="Eliminations-PE @ HRSN"/>
    <x v="0"/>
    <m/>
    <n v="0"/>
    <n v="0"/>
    <n v="0"/>
    <n v="0"/>
    <n v="0"/>
    <n v="0"/>
    <n v="0"/>
    <n v="0"/>
    <n v="0"/>
    <n v="0"/>
    <n v="0"/>
    <n v="16042.37"/>
    <n v="16042.37"/>
    <n v="-1722.97"/>
  </r>
  <r>
    <x v="15"/>
    <x v="28"/>
    <x v="0"/>
    <s v="9000937"/>
    <n v="731050"/>
    <s v="Refuse Disposal"/>
    <s v="Eliminations-PE @ HRSN"/>
    <x v="0"/>
    <m/>
    <n v="0"/>
    <n v="0"/>
    <n v="0"/>
    <n v="0"/>
    <n v="0"/>
    <n v="0"/>
    <n v="0"/>
    <n v="0"/>
    <n v="0"/>
    <n v="0"/>
    <n v="0"/>
    <n v="42404.67"/>
    <n v="42404.67"/>
    <n v="-145260.54999999999"/>
  </r>
  <r>
    <x v="15"/>
    <x v="28"/>
    <x v="0"/>
    <s v="9000937"/>
    <n v="731060"/>
    <s v="Telephone"/>
    <s v="Eliminations-PE @ HRSN"/>
    <x v="0"/>
    <m/>
    <n v="0"/>
    <n v="0"/>
    <n v="0"/>
    <n v="0"/>
    <n v="0"/>
    <n v="0"/>
    <n v="0"/>
    <n v="0"/>
    <n v="0"/>
    <n v="0"/>
    <n v="0"/>
    <n v="630421.75"/>
    <n v="630421.75"/>
    <n v="-2041.22"/>
  </r>
  <r>
    <x v="15"/>
    <x v="28"/>
    <x v="0"/>
    <s v="9000937"/>
    <n v="731060"/>
    <s v="Cell Phones"/>
    <s v="Eliminations-PE @ HRSN"/>
    <x v="0"/>
    <n v="1001"/>
    <n v="0"/>
    <n v="0"/>
    <n v="0"/>
    <n v="0"/>
    <n v="0"/>
    <n v="0"/>
    <n v="0"/>
    <n v="0"/>
    <n v="0"/>
    <n v="0"/>
    <n v="0"/>
    <n v="4876.63"/>
    <n v="4876.63"/>
    <n v="-308.76"/>
  </r>
  <r>
    <x v="15"/>
    <x v="28"/>
    <x v="0"/>
    <s v="9000937"/>
    <n v="731060"/>
    <s v="Pagers"/>
    <s v="Eliminations-PE @ HRSN"/>
    <x v="0"/>
    <n v="1002"/>
    <n v="0"/>
    <n v="0"/>
    <n v="0"/>
    <n v="0"/>
    <n v="0"/>
    <n v="0"/>
    <n v="0"/>
    <n v="0"/>
    <n v="0"/>
    <n v="0"/>
    <n v="0"/>
    <n v="7176.23"/>
    <n v="7176.23"/>
    <n v="-3273.47"/>
  </r>
  <r>
    <x v="15"/>
    <x v="28"/>
    <x v="0"/>
    <s v="9000937"/>
    <n v="731065"/>
    <s v="Data Communications"/>
    <s v="Eliminations-PE @ HRSN"/>
    <x v="0"/>
    <m/>
    <n v="0"/>
    <n v="0"/>
    <n v="0"/>
    <n v="0"/>
    <n v="0"/>
    <n v="0"/>
    <n v="0"/>
    <n v="0"/>
    <n v="0"/>
    <n v="0"/>
    <n v="0"/>
    <n v="73437.149999999994"/>
    <n v="73437.149999999994"/>
    <n v="-528.65"/>
  </r>
  <r>
    <x v="15"/>
    <x v="28"/>
    <x v="0"/>
    <s v="9000937"/>
    <n v="731070"/>
    <s v="Cable TV"/>
    <s v="Eliminations-PE @ HRSN"/>
    <x v="0"/>
    <m/>
    <n v="0"/>
    <n v="0"/>
    <n v="0"/>
    <n v="0"/>
    <n v="0"/>
    <n v="0"/>
    <n v="0"/>
    <n v="0"/>
    <n v="0"/>
    <n v="0"/>
    <n v="0"/>
    <n v="7480.44"/>
    <n v="7480.44"/>
    <n v="-91513.89"/>
  </r>
  <r>
    <x v="16"/>
    <x v="28"/>
    <x v="0"/>
    <s v="9000937"/>
    <n v="732020"/>
    <s v="Repairs--Clin Equip-Parts-Internal to CHI Programs"/>
    <s v="Eliminations-PE @ HRSN"/>
    <x v="0"/>
    <m/>
    <n v="0"/>
    <n v="0"/>
    <n v="0"/>
    <n v="0"/>
    <n v="0"/>
    <n v="0"/>
    <n v="0"/>
    <n v="0"/>
    <n v="0"/>
    <n v="0"/>
    <n v="0"/>
    <n v="1722.97"/>
    <n v="1722.97"/>
    <n v="-4050.52"/>
  </r>
  <r>
    <x v="16"/>
    <x v="28"/>
    <x v="0"/>
    <s v="9000937"/>
    <n v="732030"/>
    <s v="Repairs---Other"/>
    <s v="Eliminations-PE @ HRSN"/>
    <x v="0"/>
    <m/>
    <n v="0"/>
    <n v="0"/>
    <n v="0"/>
    <n v="0"/>
    <n v="0"/>
    <n v="0"/>
    <n v="0"/>
    <n v="0"/>
    <n v="0"/>
    <n v="0"/>
    <n v="0"/>
    <n v="145260.54999999999"/>
    <n v="145260.54999999999"/>
    <n v="-9388.17"/>
  </r>
  <r>
    <x v="16"/>
    <x v="28"/>
    <x v="0"/>
    <s v="9000937"/>
    <n v="732030"/>
    <s v="Repairs&amp;Maintenance-Bldg Routine"/>
    <s v="Eliminations-PE @ HRSN"/>
    <x v="0"/>
    <n v="2300"/>
    <n v="0"/>
    <n v="0"/>
    <n v="0"/>
    <n v="0"/>
    <n v="0"/>
    <n v="0"/>
    <n v="0"/>
    <n v="0"/>
    <n v="0"/>
    <n v="0"/>
    <n v="0"/>
    <n v="2041.22"/>
    <n v="2041.22"/>
    <n v="-7710.22"/>
  </r>
  <r>
    <x v="16"/>
    <x v="28"/>
    <x v="0"/>
    <s v="9000937"/>
    <n v="732030"/>
    <s v="Repairs&amp;Maintenance-Electrical"/>
    <s v="Eliminations-PE @ HRSN"/>
    <x v="0"/>
    <n v="5100"/>
    <n v="0"/>
    <n v="0"/>
    <n v="0"/>
    <n v="0"/>
    <n v="0"/>
    <n v="0"/>
    <n v="0"/>
    <n v="0"/>
    <n v="0"/>
    <n v="0"/>
    <n v="0"/>
    <n v="308.76"/>
    <n v="308.76"/>
    <n v="-8493.0499999999993"/>
  </r>
  <r>
    <x v="16"/>
    <x v="28"/>
    <x v="0"/>
    <s v="9000937"/>
    <n v="732030"/>
    <s v="Repairs&amp;Maintenance-HVAC"/>
    <s v="Eliminations-PE @ HRSN"/>
    <x v="0"/>
    <n v="5102"/>
    <n v="0"/>
    <n v="0"/>
    <n v="0"/>
    <n v="0"/>
    <n v="0"/>
    <n v="0"/>
    <n v="0"/>
    <n v="0"/>
    <n v="0"/>
    <n v="0"/>
    <n v="0"/>
    <n v="3273.47"/>
    <n v="3273.47"/>
    <n v="-83290.67"/>
  </r>
  <r>
    <x v="16"/>
    <x v="28"/>
    <x v="0"/>
    <s v="9000937"/>
    <n v="732030"/>
    <s v="Repairs&amp;Maintenance-Plumbing"/>
    <s v="Eliminations-PE @ HRSN"/>
    <x v="0"/>
    <n v="5103"/>
    <n v="0"/>
    <n v="0"/>
    <n v="0"/>
    <n v="0"/>
    <n v="0"/>
    <n v="0"/>
    <n v="0"/>
    <n v="0"/>
    <n v="0"/>
    <n v="0"/>
    <n v="0"/>
    <n v="528.65"/>
    <n v="528.65"/>
    <n v="-2075004.76"/>
  </r>
  <r>
    <x v="16"/>
    <x v="28"/>
    <x v="0"/>
    <s v="9000937"/>
    <n v="733030"/>
    <s v="Maintenance Contracts-Other"/>
    <s v="Eliminations-PE @ HRSN"/>
    <x v="0"/>
    <m/>
    <n v="0"/>
    <n v="0"/>
    <n v="0"/>
    <n v="0"/>
    <n v="0"/>
    <n v="0"/>
    <n v="0"/>
    <n v="0"/>
    <n v="0"/>
    <n v="0"/>
    <n v="0"/>
    <n v="91513.89"/>
    <n v="91513.89"/>
    <n v="-17514.830000000002"/>
  </r>
  <r>
    <x v="16"/>
    <x v="28"/>
    <x v="0"/>
    <s v="9000937"/>
    <n v="733030"/>
    <s v="Maintenance Contract-Elevator"/>
    <s v="Eliminations-PE @ HRSN"/>
    <x v="0"/>
    <n v="5101"/>
    <n v="0"/>
    <n v="0"/>
    <n v="0"/>
    <n v="0"/>
    <n v="0"/>
    <n v="0"/>
    <n v="0"/>
    <n v="0"/>
    <n v="0"/>
    <n v="0"/>
    <n v="0"/>
    <n v="4050.52"/>
    <n v="4050.52"/>
    <n v="-3657971.67"/>
  </r>
  <r>
    <x v="16"/>
    <x v="28"/>
    <x v="0"/>
    <s v="9000937"/>
    <n v="733030"/>
    <s v="Maintenance Contract-HVAC"/>
    <s v="Eliminations-PE @ HRSN"/>
    <x v="0"/>
    <n v="5102"/>
    <n v="0"/>
    <n v="0"/>
    <n v="0"/>
    <n v="0"/>
    <n v="0"/>
    <n v="0"/>
    <n v="0"/>
    <n v="0"/>
    <n v="0"/>
    <n v="0"/>
    <n v="0"/>
    <n v="9388.17"/>
    <n v="9388.17"/>
    <n v="-455819.64"/>
  </r>
  <r>
    <x v="16"/>
    <x v="28"/>
    <x v="0"/>
    <s v="9000937"/>
    <n v="733030"/>
    <s v="Maintenance Contract-Landscape General"/>
    <s v="Eliminations-PE @ HRSN"/>
    <x v="0"/>
    <n v="5105"/>
    <n v="0"/>
    <n v="0"/>
    <n v="0"/>
    <n v="0"/>
    <n v="0"/>
    <n v="0"/>
    <n v="0"/>
    <n v="0"/>
    <n v="0"/>
    <n v="0"/>
    <n v="0"/>
    <n v="7710.22"/>
    <n v="7710.22"/>
    <n v="-263.26"/>
  </r>
  <r>
    <x v="16"/>
    <x v="28"/>
    <x v="0"/>
    <s v="9000937"/>
    <n v="733030"/>
    <s v="Maintenance Contract-Parking"/>
    <s v="Eliminations-PE @ HRSN"/>
    <x v="0"/>
    <n v="5106"/>
    <n v="0"/>
    <n v="0"/>
    <n v="0"/>
    <n v="0"/>
    <n v="0"/>
    <n v="0"/>
    <n v="0"/>
    <n v="0"/>
    <n v="0"/>
    <n v="0"/>
    <n v="0"/>
    <n v="8493.0499999999993"/>
    <n v="8493.0499999999993"/>
    <n v="-16398.5"/>
  </r>
  <r>
    <x v="13"/>
    <x v="28"/>
    <x v="0"/>
    <s v="9000937"/>
    <n v="735040"/>
    <s v="Depreciation-Building Improvements"/>
    <s v="Eliminations-PE @ HRSN"/>
    <x v="0"/>
    <m/>
    <n v="0"/>
    <n v="0"/>
    <n v="0"/>
    <n v="0"/>
    <n v="0"/>
    <n v="0"/>
    <n v="0"/>
    <n v="0"/>
    <n v="0"/>
    <n v="0"/>
    <n v="0"/>
    <n v="83290.67"/>
    <n v="83290.67"/>
    <n v="-43491.01"/>
  </r>
  <r>
    <x v="13"/>
    <x v="28"/>
    <x v="0"/>
    <s v="9000937"/>
    <n v="735050"/>
    <s v="Amortization-Leasehold Improvements"/>
    <s v="Eliminations-PE @ HRSN"/>
    <x v="0"/>
    <m/>
    <n v="0"/>
    <n v="0"/>
    <n v="0"/>
    <n v="0"/>
    <n v="0"/>
    <n v="0"/>
    <n v="0"/>
    <n v="0"/>
    <n v="0"/>
    <n v="0"/>
    <n v="0"/>
    <n v="2075004.76"/>
    <n v="2075004.76"/>
    <n v="-27916.14"/>
  </r>
  <r>
    <x v="13"/>
    <x v="28"/>
    <x v="0"/>
    <s v="9000937"/>
    <n v="735060"/>
    <s v="Depreciation-Fixed Equipment"/>
    <s v="Eliminations-PE @ HRSN"/>
    <x v="0"/>
    <m/>
    <n v="0"/>
    <n v="0"/>
    <n v="0"/>
    <n v="0"/>
    <n v="0"/>
    <n v="0"/>
    <n v="0"/>
    <n v="0"/>
    <n v="0"/>
    <n v="0"/>
    <n v="0"/>
    <n v="17514.830000000002"/>
    <n v="17514.830000000002"/>
    <n v="-108.54"/>
  </r>
  <r>
    <x v="13"/>
    <x v="28"/>
    <x v="0"/>
    <s v="9000937"/>
    <n v="735070"/>
    <s v="Depreciation-Movable Equipment"/>
    <s v="Eliminations-PE @ HRSN"/>
    <x v="0"/>
    <m/>
    <n v="0"/>
    <n v="0"/>
    <n v="0"/>
    <n v="0"/>
    <n v="0"/>
    <n v="0"/>
    <n v="0"/>
    <n v="0"/>
    <n v="0"/>
    <n v="0"/>
    <n v="0"/>
    <n v="3657971.67"/>
    <n v="3657971.67"/>
    <n v="-23610.06"/>
  </r>
  <r>
    <x v="13"/>
    <x v="28"/>
    <x v="0"/>
    <s v="9000937"/>
    <n v="736000"/>
    <s v="General Amortization Expense"/>
    <s v="Eliminations-PE @ HRSN"/>
    <x v="0"/>
    <n v="5000"/>
    <n v="0"/>
    <n v="0"/>
    <n v="0"/>
    <n v="0"/>
    <n v="0"/>
    <n v="0"/>
    <n v="0"/>
    <n v="0"/>
    <n v="0"/>
    <n v="0"/>
    <n v="0"/>
    <n v="455819.64"/>
    <n v="455819.64"/>
    <n v="-9191.7800000000007"/>
  </r>
  <r>
    <x v="0"/>
    <x v="28"/>
    <x v="0"/>
    <s v="9000937"/>
    <n v="740010"/>
    <s v="Education-Materials"/>
    <s v="Eliminations-PE @ HRSN"/>
    <x v="0"/>
    <m/>
    <n v="0"/>
    <n v="0"/>
    <n v="0"/>
    <n v="0"/>
    <n v="0"/>
    <n v="0"/>
    <n v="0"/>
    <n v="0"/>
    <n v="0"/>
    <n v="0"/>
    <n v="0"/>
    <n v="263.26"/>
    <n v="263.26"/>
    <n v="-2234.6"/>
  </r>
  <r>
    <x v="0"/>
    <x v="28"/>
    <x v="0"/>
    <s v="9000937"/>
    <n v="740020"/>
    <s v="Education-Registration Fees"/>
    <s v="Eliminations-PE @ HRSN"/>
    <x v="0"/>
    <m/>
    <n v="0"/>
    <n v="0"/>
    <n v="0"/>
    <n v="0"/>
    <n v="0"/>
    <n v="0"/>
    <n v="0"/>
    <n v="0"/>
    <n v="0"/>
    <n v="0"/>
    <n v="0"/>
    <n v="16398.5"/>
    <n v="16398.5"/>
    <n v="-678.63"/>
  </r>
  <r>
    <x v="0"/>
    <x v="28"/>
    <x v="0"/>
    <s v="9000937"/>
    <n v="740022"/>
    <s v="Education-Physician"/>
    <s v="Eliminations-PE @ HRSN"/>
    <x v="0"/>
    <m/>
    <n v="0"/>
    <n v="0"/>
    <n v="0"/>
    <n v="0"/>
    <n v="0"/>
    <n v="0"/>
    <n v="0"/>
    <n v="0"/>
    <n v="0"/>
    <n v="0"/>
    <n v="0"/>
    <n v="43491.01"/>
    <n v="43491.01"/>
    <n v="-351761.91999999998"/>
  </r>
  <r>
    <x v="0"/>
    <x v="28"/>
    <x v="0"/>
    <s v="9000937"/>
    <n v="740022"/>
    <s v="Books-Physician"/>
    <s v="Eliminations-PE @ HRSN"/>
    <x v="0"/>
    <n v="2000"/>
    <n v="0"/>
    <n v="0"/>
    <n v="0"/>
    <n v="0"/>
    <n v="0"/>
    <n v="0"/>
    <n v="0"/>
    <n v="0"/>
    <n v="0"/>
    <n v="0"/>
    <n v="0"/>
    <n v="27916.14"/>
    <n v="27916.14"/>
    <n v="-792566.48"/>
  </r>
  <r>
    <x v="0"/>
    <x v="28"/>
    <x v="0"/>
    <s v="9000937"/>
    <n v="740022"/>
    <s v="Education Travel-Physician"/>
    <s v="Eliminations-PE @ HRSN"/>
    <x v="0"/>
    <n v="2001"/>
    <n v="0"/>
    <n v="0"/>
    <n v="0"/>
    <n v="0"/>
    <n v="0"/>
    <n v="0"/>
    <n v="0"/>
    <n v="0"/>
    <n v="0"/>
    <n v="0"/>
    <n v="0"/>
    <n v="108.54"/>
    <n v="108.54"/>
    <n v="-37038.1"/>
  </r>
  <r>
    <x v="0"/>
    <x v="28"/>
    <x v="0"/>
    <s v="9000937"/>
    <n v="740023"/>
    <s v="Education-Advanced Practice Clinician"/>
    <s v="Eliminations-PE @ HRSN"/>
    <x v="0"/>
    <m/>
    <n v="0"/>
    <n v="0"/>
    <n v="0"/>
    <n v="0"/>
    <n v="0"/>
    <n v="0"/>
    <n v="0"/>
    <n v="0"/>
    <n v="0"/>
    <n v="0"/>
    <n v="0"/>
    <n v="23610.06"/>
    <n v="23610.06"/>
    <n v="17293.75"/>
  </r>
  <r>
    <x v="0"/>
    <x v="28"/>
    <x v="0"/>
    <s v="9000937"/>
    <n v="740023"/>
    <s v="Books-Advanced Practice Clinician"/>
    <s v="Eliminations-PE @ HRSN"/>
    <x v="0"/>
    <n v="2000"/>
    <n v="0"/>
    <n v="0"/>
    <n v="0"/>
    <n v="0"/>
    <n v="0"/>
    <n v="0"/>
    <n v="0"/>
    <n v="0"/>
    <n v="0"/>
    <n v="0"/>
    <n v="0"/>
    <n v="9191.7800000000007"/>
    <n v="9191.7800000000007"/>
    <n v="-73102.31"/>
  </r>
  <r>
    <x v="0"/>
    <x v="28"/>
    <x v="0"/>
    <s v="9000937"/>
    <n v="740023"/>
    <s v="Education Travel-Advanced Practice Clinician"/>
    <s v="Eliminations-PE @ HRSN"/>
    <x v="0"/>
    <n v="2001"/>
    <n v="0"/>
    <n v="0"/>
    <n v="0"/>
    <n v="0"/>
    <n v="0"/>
    <n v="0"/>
    <n v="0"/>
    <n v="0"/>
    <n v="0"/>
    <n v="0"/>
    <n v="0"/>
    <n v="2234.6"/>
    <n v="2234.6"/>
    <n v="-25.5"/>
  </r>
  <r>
    <x v="0"/>
    <x v="28"/>
    <x v="0"/>
    <s v="9000937"/>
    <n v="740030"/>
    <s v="Education-Travel"/>
    <s v="Eliminations-PE @ HRSN"/>
    <x v="0"/>
    <m/>
    <n v="0"/>
    <n v="0"/>
    <n v="0"/>
    <n v="0"/>
    <n v="0"/>
    <n v="0"/>
    <n v="0"/>
    <n v="0"/>
    <n v="0"/>
    <n v="0"/>
    <n v="0"/>
    <n v="678.63"/>
    <n v="678.63"/>
    <n v="-895.05"/>
  </r>
  <r>
    <x v="8"/>
    <x v="28"/>
    <x v="0"/>
    <s v="9000937"/>
    <n v="741010"/>
    <s v="Liability Insurance-CHI Programs"/>
    <s v="Eliminations-PE @ HRSN"/>
    <x v="0"/>
    <m/>
    <n v="0"/>
    <n v="0"/>
    <n v="0"/>
    <n v="0"/>
    <n v="0"/>
    <n v="0"/>
    <n v="0"/>
    <n v="0"/>
    <n v="0"/>
    <n v="0"/>
    <n v="0"/>
    <n v="351761.91999999998"/>
    <n v="351761.91999999998"/>
    <n v="-3131.92"/>
  </r>
  <r>
    <x v="8"/>
    <x v="28"/>
    <x v="0"/>
    <s v="9000937"/>
    <n v="741012"/>
    <s v="Physician Liab Insurance-CHI Program"/>
    <s v="Eliminations-PE @ HRSN"/>
    <x v="0"/>
    <m/>
    <n v="0"/>
    <n v="0"/>
    <n v="0"/>
    <n v="0"/>
    <n v="0"/>
    <n v="0"/>
    <n v="0"/>
    <n v="0"/>
    <n v="0"/>
    <n v="0"/>
    <n v="0"/>
    <n v="792566.48"/>
    <n v="792566.48"/>
    <n v="-3961.04"/>
  </r>
  <r>
    <x v="8"/>
    <x v="28"/>
    <x v="0"/>
    <s v="9000937"/>
    <n v="741030"/>
    <s v="Property Insurance-CHI Programs"/>
    <s v="Eliminations-PE @ HRSN"/>
    <x v="0"/>
    <m/>
    <n v="0"/>
    <n v="0"/>
    <n v="0"/>
    <n v="0"/>
    <n v="0"/>
    <n v="0"/>
    <n v="0"/>
    <n v="0"/>
    <n v="0"/>
    <n v="0"/>
    <n v="0"/>
    <n v="37038.1"/>
    <n v="37038.1"/>
    <n v="-5146.4399999999996"/>
  </r>
  <r>
    <x v="8"/>
    <x v="28"/>
    <x v="0"/>
    <s v="9000937"/>
    <n v="741070"/>
    <s v="Insurance-Risk Mgmt Incentive Program"/>
    <s v="Eliminations-PE @ HRSN"/>
    <x v="0"/>
    <m/>
    <n v="0"/>
    <n v="0"/>
    <n v="0"/>
    <n v="0"/>
    <n v="0"/>
    <n v="0"/>
    <n v="0"/>
    <n v="0"/>
    <n v="0"/>
    <n v="0"/>
    <n v="0"/>
    <n v="-17293.75"/>
    <n v="-17293.75"/>
    <n v="-84557.32"/>
  </r>
  <r>
    <x v="0"/>
    <x v="28"/>
    <x v="0"/>
    <s v="9000937"/>
    <n v="742010"/>
    <s v="Postage-Regular"/>
    <s v="Eliminations-PE @ HRSN"/>
    <x v="0"/>
    <m/>
    <n v="0"/>
    <n v="0"/>
    <n v="0"/>
    <n v="0"/>
    <n v="0"/>
    <n v="0"/>
    <n v="0"/>
    <n v="0"/>
    <n v="0"/>
    <n v="0"/>
    <n v="0"/>
    <n v="73102.31"/>
    <n v="73102.31"/>
    <n v="-12583.3"/>
  </r>
  <r>
    <x v="0"/>
    <x v="28"/>
    <x v="0"/>
    <s v="9000937"/>
    <n v="742020"/>
    <s v="Postage-Express Services"/>
    <s v="Eliminations-PE @ HRSN"/>
    <x v="0"/>
    <m/>
    <n v="0"/>
    <n v="0"/>
    <n v="0"/>
    <n v="0"/>
    <n v="0"/>
    <n v="0"/>
    <n v="0"/>
    <n v="0"/>
    <n v="0"/>
    <n v="0"/>
    <n v="0"/>
    <n v="25.5"/>
    <n v="25.5"/>
    <n v="-12019.89"/>
  </r>
  <r>
    <x v="0"/>
    <x v="28"/>
    <x v="0"/>
    <s v="9000937"/>
    <n v="742040"/>
    <s v="Freight-Other"/>
    <s v="Eliminations-PE @ HRSN"/>
    <x v="0"/>
    <m/>
    <n v="0"/>
    <n v="0"/>
    <n v="0"/>
    <n v="0"/>
    <n v="0"/>
    <n v="0"/>
    <n v="0"/>
    <n v="0"/>
    <n v="0"/>
    <n v="0"/>
    <n v="0"/>
    <n v="895.05"/>
    <n v="895.05"/>
    <n v="-249.55"/>
  </r>
  <r>
    <x v="0"/>
    <x v="28"/>
    <x v="0"/>
    <s v="9000937"/>
    <n v="743010"/>
    <s v="Dues--Institutional"/>
    <s v="Eliminations-PE @ HRSN"/>
    <x v="0"/>
    <m/>
    <n v="0"/>
    <n v="0"/>
    <n v="0"/>
    <n v="0"/>
    <n v="0"/>
    <n v="0"/>
    <n v="0"/>
    <n v="0"/>
    <n v="0"/>
    <n v="0"/>
    <n v="0"/>
    <n v="3131.92"/>
    <n v="3131.92"/>
    <n v="-10347.25"/>
  </r>
  <r>
    <x v="0"/>
    <x v="28"/>
    <x v="0"/>
    <s v="9000937"/>
    <n v="743020"/>
    <s v="Dues--Individual"/>
    <s v="Eliminations-PE @ HRSN"/>
    <x v="0"/>
    <m/>
    <n v="0"/>
    <n v="0"/>
    <n v="0"/>
    <n v="0"/>
    <n v="0"/>
    <n v="0"/>
    <n v="0"/>
    <n v="0"/>
    <n v="0"/>
    <n v="0"/>
    <n v="0"/>
    <n v="3961.04"/>
    <n v="3961.04"/>
    <n v="-2062.04"/>
  </r>
  <r>
    <x v="0"/>
    <x v="28"/>
    <x v="0"/>
    <s v="9000937"/>
    <n v="743020"/>
    <s v="Provider-Dues"/>
    <s v="Eliminations-PE @ HRSN"/>
    <x v="0"/>
    <n v="2200"/>
    <n v="0"/>
    <n v="0"/>
    <n v="0"/>
    <n v="0"/>
    <n v="0"/>
    <n v="0"/>
    <n v="0"/>
    <n v="0"/>
    <n v="0"/>
    <n v="0"/>
    <n v="0"/>
    <n v="5146.4399999999996"/>
    <n v="5146.4399999999996"/>
    <n v="-228"/>
  </r>
  <r>
    <x v="0"/>
    <x v="28"/>
    <x v="0"/>
    <s v="9000937"/>
    <n v="743022"/>
    <s v="Dues-Physician"/>
    <s v="Eliminations-PE @ HRSN"/>
    <x v="0"/>
    <m/>
    <n v="0"/>
    <n v="0"/>
    <n v="0"/>
    <n v="0"/>
    <n v="0"/>
    <n v="0"/>
    <n v="0"/>
    <n v="0"/>
    <n v="0"/>
    <n v="0"/>
    <n v="0"/>
    <n v="84557.32"/>
    <n v="84557.32"/>
    <n v="-31677.34"/>
  </r>
  <r>
    <x v="0"/>
    <x v="28"/>
    <x v="0"/>
    <s v="9000937"/>
    <n v="743023"/>
    <s v="Dues-Advanced Practice Clinician"/>
    <s v="Eliminations-PE @ HRSN"/>
    <x v="0"/>
    <m/>
    <n v="0"/>
    <n v="0"/>
    <n v="0"/>
    <n v="0"/>
    <n v="0"/>
    <n v="0"/>
    <n v="0"/>
    <n v="0"/>
    <n v="0"/>
    <n v="0"/>
    <n v="0"/>
    <n v="12583.3"/>
    <n v="12583.3"/>
    <n v="-777196.2"/>
  </r>
  <r>
    <x v="0"/>
    <x v="28"/>
    <x v="0"/>
    <s v="9000937"/>
    <n v="743030"/>
    <s v="Subscriptions--Institutional"/>
    <s v="Eliminations-PE @ HRSN"/>
    <x v="0"/>
    <m/>
    <n v="0"/>
    <n v="0"/>
    <n v="0"/>
    <n v="0"/>
    <n v="0"/>
    <n v="0"/>
    <n v="0"/>
    <n v="0"/>
    <n v="0"/>
    <n v="0"/>
    <n v="0"/>
    <n v="12019.89"/>
    <n v="12019.89"/>
    <n v="1868.68"/>
  </r>
  <r>
    <x v="0"/>
    <x v="28"/>
    <x v="0"/>
    <s v="9000937"/>
    <n v="743040"/>
    <s v="Subscriptions--Individual"/>
    <s v="Eliminations-PE @ HRSN"/>
    <x v="0"/>
    <m/>
    <n v="0"/>
    <n v="0"/>
    <n v="0"/>
    <n v="0"/>
    <n v="0"/>
    <n v="0"/>
    <n v="0"/>
    <n v="0"/>
    <n v="0"/>
    <n v="0"/>
    <n v="0"/>
    <n v="249.55"/>
    <n v="249.55"/>
    <n v="-49280.14"/>
  </r>
  <r>
    <x v="0"/>
    <x v="28"/>
    <x v="0"/>
    <s v="9000937"/>
    <n v="743042"/>
    <s v="Subscriptions-Physician"/>
    <s v="Eliminations-PE @ HRSN"/>
    <x v="0"/>
    <m/>
    <n v="0"/>
    <n v="0"/>
    <n v="0"/>
    <n v="0"/>
    <n v="0"/>
    <n v="0"/>
    <n v="0"/>
    <n v="0"/>
    <n v="0"/>
    <n v="0"/>
    <n v="0"/>
    <n v="10347.25"/>
    <n v="10347.25"/>
    <n v="-15550.36"/>
  </r>
  <r>
    <x v="0"/>
    <x v="28"/>
    <x v="0"/>
    <s v="9000937"/>
    <n v="743043"/>
    <s v="Subscriptions-Advanced Practice Clinician"/>
    <s v="Eliminations-PE @ HRSN"/>
    <x v="0"/>
    <m/>
    <n v="0"/>
    <n v="0"/>
    <n v="0"/>
    <n v="0"/>
    <n v="0"/>
    <n v="0"/>
    <n v="0"/>
    <n v="0"/>
    <n v="0"/>
    <n v="0"/>
    <n v="0"/>
    <n v="2062.04"/>
    <n v="2062.04"/>
    <n v="-371.8"/>
  </r>
  <r>
    <x v="0"/>
    <x v="28"/>
    <x v="0"/>
    <s v="9000937"/>
    <n v="744012"/>
    <s v="Recruitment-Physician"/>
    <s v="Eliminations-PE @ HRSN"/>
    <x v="0"/>
    <m/>
    <n v="0"/>
    <n v="0"/>
    <n v="0"/>
    <n v="0"/>
    <n v="0"/>
    <n v="0"/>
    <n v="0"/>
    <n v="0"/>
    <n v="0"/>
    <n v="0"/>
    <n v="0"/>
    <n v="228"/>
    <n v="228"/>
    <n v="-3530.25"/>
  </r>
  <r>
    <x v="0"/>
    <x v="28"/>
    <x v="0"/>
    <s v="9000937"/>
    <n v="746020"/>
    <s v="Bank Fees--Ext to CHI Programs"/>
    <s v="Eliminations-PE @ HRSN"/>
    <x v="0"/>
    <m/>
    <n v="0"/>
    <n v="0"/>
    <n v="0"/>
    <n v="0"/>
    <n v="0"/>
    <n v="0"/>
    <n v="0"/>
    <n v="0"/>
    <n v="0"/>
    <n v="0"/>
    <n v="0"/>
    <n v="31677.34"/>
    <n v="31677.34"/>
    <n v="-8544.76"/>
  </r>
  <r>
    <x v="26"/>
    <x v="28"/>
    <x v="0"/>
    <s v="9000937"/>
    <n v="747001"/>
    <s v="National Assessment"/>
    <s v="Eliminations-PE @ HRSN"/>
    <x v="0"/>
    <m/>
    <n v="0"/>
    <n v="0"/>
    <n v="0"/>
    <n v="0"/>
    <n v="0"/>
    <n v="0"/>
    <n v="0"/>
    <n v="0"/>
    <n v="0"/>
    <n v="0"/>
    <n v="0"/>
    <n v="777196.2"/>
    <n v="777196.2"/>
    <n v="-21.22"/>
  </r>
  <r>
    <x v="0"/>
    <x v="28"/>
    <x v="0"/>
    <s v="9000937"/>
    <n v="748521"/>
    <s v="COGS-Pharmacy Drugs-Retail"/>
    <s v="Eliminations-PE @ HRSN"/>
    <x v="0"/>
    <m/>
    <n v="0"/>
    <n v="0"/>
    <n v="0"/>
    <n v="0"/>
    <n v="0"/>
    <n v="0"/>
    <n v="0"/>
    <n v="0"/>
    <n v="0"/>
    <n v="0"/>
    <n v="0"/>
    <n v="-1868.68"/>
    <n v="-1868.68"/>
    <n v="-30539.86"/>
  </r>
  <r>
    <x v="0"/>
    <x v="28"/>
    <x v="0"/>
    <s v="9000937"/>
    <n v="749510"/>
    <s v="Miscellaneous Expenses"/>
    <s v="Eliminations-PE @ HRSN"/>
    <x v="0"/>
    <m/>
    <n v="0"/>
    <n v="0"/>
    <n v="0"/>
    <n v="0"/>
    <n v="0"/>
    <n v="0"/>
    <n v="0"/>
    <n v="0"/>
    <n v="0"/>
    <n v="0"/>
    <n v="0"/>
    <n v="49280.14"/>
    <n v="49280.14"/>
    <n v="-11282.05"/>
  </r>
  <r>
    <x v="0"/>
    <x v="28"/>
    <x v="0"/>
    <s v="9000937"/>
    <n v="749510"/>
    <s v="Licenses"/>
    <s v="Eliminations-PE @ HRSN"/>
    <x v="0"/>
    <n v="1002"/>
    <n v="0"/>
    <n v="0"/>
    <n v="0"/>
    <n v="0"/>
    <n v="0"/>
    <n v="0"/>
    <n v="0"/>
    <n v="0"/>
    <n v="0"/>
    <n v="0"/>
    <n v="0"/>
    <n v="15550.36"/>
    <n v="15550.36"/>
    <n v="-1587500"/>
  </r>
  <r>
    <x v="0"/>
    <x v="28"/>
    <x v="0"/>
    <s v="9000937"/>
    <n v="749510"/>
    <s v="Miscellaneous Expense"/>
    <s v="Eliminations-PE @ HRSN"/>
    <x v="0"/>
    <n v="1009"/>
    <n v="0"/>
    <n v="0"/>
    <n v="0"/>
    <n v="0"/>
    <n v="0"/>
    <n v="0"/>
    <n v="0"/>
    <n v="0"/>
    <n v="0"/>
    <n v="0"/>
    <n v="0"/>
    <n v="371.8"/>
    <n v="371.8"/>
    <n v="-52410.31"/>
  </r>
  <r>
    <x v="0"/>
    <x v="28"/>
    <x v="0"/>
    <s v="9000937"/>
    <n v="749510"/>
    <s v="Miscellaneous Employee Expense"/>
    <s v="Eliminations-PE @ HRSN"/>
    <x v="0"/>
    <n v="1010"/>
    <n v="0"/>
    <n v="0"/>
    <n v="0"/>
    <n v="0"/>
    <n v="0"/>
    <n v="0"/>
    <n v="0"/>
    <n v="0"/>
    <n v="0"/>
    <n v="0"/>
    <n v="0"/>
    <n v="3530.25"/>
    <n v="3530.25"/>
    <n v="-40115.760000000002"/>
  </r>
  <r>
    <x v="0"/>
    <x v="28"/>
    <x v="0"/>
    <s v="9000937"/>
    <n v="749510"/>
    <s v="RICE Rewards"/>
    <s v="Eliminations-PE @ HRSN"/>
    <x v="0"/>
    <n v="5100"/>
    <n v="0"/>
    <n v="0"/>
    <n v="0"/>
    <n v="0"/>
    <n v="0"/>
    <n v="0"/>
    <n v="0"/>
    <n v="0"/>
    <n v="0"/>
    <n v="0"/>
    <n v="0"/>
    <n v="8544.76"/>
    <n v="8544.76"/>
    <n v="-54829.8"/>
  </r>
  <r>
    <x v="0"/>
    <x v="28"/>
    <x v="0"/>
    <s v="9000937"/>
    <n v="749510"/>
    <s v="Other Clinic IT Costs"/>
    <s v="Eliminations-PE @ HRSN"/>
    <x v="0"/>
    <n v="5105"/>
    <n v="0"/>
    <n v="0"/>
    <n v="0"/>
    <n v="0"/>
    <n v="0"/>
    <n v="0"/>
    <n v="0"/>
    <n v="0"/>
    <n v="0"/>
    <n v="0"/>
    <n v="0"/>
    <n v="21.22"/>
    <n v="21.22"/>
    <n v="-1960.42"/>
  </r>
  <r>
    <x v="0"/>
    <x v="28"/>
    <x v="0"/>
    <s v="9000937"/>
    <n v="749512"/>
    <s v="Licenses-Physician"/>
    <s v="Eliminations-PE @ HRSN"/>
    <x v="0"/>
    <n v="2000"/>
    <n v="0"/>
    <n v="0"/>
    <n v="0"/>
    <n v="0"/>
    <n v="0"/>
    <n v="0"/>
    <n v="0"/>
    <n v="0"/>
    <n v="0"/>
    <n v="0"/>
    <n v="0"/>
    <n v="30539.86"/>
    <n v="30539.86"/>
    <n v="-8388.61"/>
  </r>
  <r>
    <x v="0"/>
    <x v="28"/>
    <x v="0"/>
    <s v="9000937"/>
    <n v="749513"/>
    <s v="Licenses-Advanced Practice Clinician"/>
    <s v="Eliminations-PE @ HRSN"/>
    <x v="0"/>
    <n v="2000"/>
    <n v="0"/>
    <n v="0"/>
    <n v="0"/>
    <n v="0"/>
    <n v="0"/>
    <n v="0"/>
    <n v="0"/>
    <n v="0"/>
    <n v="0"/>
    <n v="0"/>
    <n v="0"/>
    <n v="11282.05"/>
    <n v="11282.05"/>
    <n v="-27440.54"/>
  </r>
  <r>
    <x v="0"/>
    <x v="28"/>
    <x v="0"/>
    <s v="9000937"/>
    <n v="749525"/>
    <s v="Contingent Liability Expense"/>
    <s v="Eliminations-PE @ HRSN"/>
    <x v="0"/>
    <m/>
    <n v="0"/>
    <n v="0"/>
    <n v="0"/>
    <n v="0"/>
    <n v="0"/>
    <n v="0"/>
    <n v="0"/>
    <n v="0"/>
    <n v="0"/>
    <n v="0"/>
    <n v="0"/>
    <n v="1587500"/>
    <n v="1587500"/>
    <n v="-1137.1199999999999"/>
  </r>
  <r>
    <x v="0"/>
    <x v="28"/>
    <x v="0"/>
    <s v="9000937"/>
    <n v="749530"/>
    <s v="Travel"/>
    <s v="Eliminations-PE @ HRSN"/>
    <x v="0"/>
    <m/>
    <n v="0"/>
    <n v="0"/>
    <n v="0"/>
    <n v="0"/>
    <n v="0"/>
    <n v="0"/>
    <n v="0"/>
    <n v="0"/>
    <n v="0"/>
    <n v="0"/>
    <n v="0"/>
    <n v="52410.31"/>
    <n v="52410.31"/>
    <n v="-19306.87"/>
  </r>
  <r>
    <x v="0"/>
    <x v="28"/>
    <x v="0"/>
    <s v="9000937"/>
    <n v="749530"/>
    <s v="Mileage"/>
    <s v="Eliminations-PE @ HRSN"/>
    <x v="0"/>
    <n v="1001"/>
    <n v="0"/>
    <n v="0"/>
    <n v="0"/>
    <n v="0"/>
    <n v="0"/>
    <n v="0"/>
    <n v="0"/>
    <n v="0"/>
    <n v="0"/>
    <n v="0"/>
    <n v="0"/>
    <n v="40115.760000000002"/>
    <n v="40115.760000000002"/>
    <n v="-642.95000000000005"/>
  </r>
  <r>
    <x v="0"/>
    <x v="28"/>
    <x v="0"/>
    <s v="9000937"/>
    <n v="749532"/>
    <s v="Travel-Physician"/>
    <s v="Eliminations-PE @ HRSN"/>
    <x v="0"/>
    <m/>
    <n v="0"/>
    <n v="0"/>
    <n v="0"/>
    <n v="0"/>
    <n v="0"/>
    <n v="0"/>
    <n v="0"/>
    <n v="0"/>
    <n v="0"/>
    <n v="0"/>
    <n v="0"/>
    <n v="54829.8"/>
    <n v="54829.8"/>
    <n v="-394.72"/>
  </r>
  <r>
    <x v="0"/>
    <x v="28"/>
    <x v="0"/>
    <s v="9000937"/>
    <n v="749532"/>
    <s v="Business Meals-Physician"/>
    <s v="Eliminations-PE @ HRSN"/>
    <x v="0"/>
    <n v="2000"/>
    <n v="0"/>
    <n v="0"/>
    <n v="0"/>
    <n v="0"/>
    <n v="0"/>
    <n v="0"/>
    <n v="0"/>
    <n v="0"/>
    <n v="0"/>
    <n v="0"/>
    <n v="0"/>
    <n v="1960.42"/>
    <n v="1960.42"/>
    <n v="-143.16999999999999"/>
  </r>
  <r>
    <x v="0"/>
    <x v="28"/>
    <x v="0"/>
    <s v="9000937"/>
    <n v="749532"/>
    <s v="Vehicle Expense-Physician"/>
    <s v="Eliminations-PE @ HRSN"/>
    <x v="0"/>
    <n v="2001"/>
    <n v="0"/>
    <n v="0"/>
    <n v="0"/>
    <n v="0"/>
    <n v="0"/>
    <n v="0"/>
    <n v="0"/>
    <n v="0"/>
    <n v="0"/>
    <n v="0"/>
    <n v="0"/>
    <n v="8388.61"/>
    <n v="8388.61"/>
    <n v="30.93"/>
  </r>
  <r>
    <x v="0"/>
    <x v="28"/>
    <x v="0"/>
    <s v="9000937"/>
    <n v="749533"/>
    <s v="Travel-Advanced Practice Clinician"/>
    <s v="Eliminations-PE @ HRSN"/>
    <x v="0"/>
    <m/>
    <n v="0"/>
    <n v="0"/>
    <n v="0"/>
    <n v="0"/>
    <n v="0"/>
    <n v="0"/>
    <n v="0"/>
    <n v="0"/>
    <n v="0"/>
    <n v="0"/>
    <n v="0"/>
    <n v="27440.54"/>
    <n v="27440.54"/>
    <n v="-55601.24"/>
  </r>
  <r>
    <x v="0"/>
    <x v="28"/>
    <x v="0"/>
    <s v="9000937"/>
    <n v="749533"/>
    <s v="Vehicle Expense-Advanced Practice Clinician"/>
    <s v="Eliminations-PE @ HRSN"/>
    <x v="0"/>
    <n v="2001"/>
    <n v="0"/>
    <n v="0"/>
    <n v="0"/>
    <n v="0"/>
    <n v="0"/>
    <n v="0"/>
    <n v="0"/>
    <n v="0"/>
    <n v="0"/>
    <n v="0"/>
    <n v="0"/>
    <n v="1137.1199999999999"/>
    <n v="1137.1199999999999"/>
    <n v="-82714.38"/>
  </r>
  <r>
    <x v="0"/>
    <x v="28"/>
    <x v="0"/>
    <s v="9000937"/>
    <n v="749535"/>
    <s v="Meetings"/>
    <s v="Eliminations-PE @ HRSN"/>
    <x v="0"/>
    <m/>
    <n v="0"/>
    <n v="0"/>
    <n v="0"/>
    <n v="0"/>
    <n v="0"/>
    <n v="0"/>
    <n v="0"/>
    <n v="0"/>
    <n v="0"/>
    <n v="0"/>
    <n v="0"/>
    <n v="19306.87"/>
    <n v="19306.87"/>
    <n v="-97375.33"/>
  </r>
  <r>
    <x v="0"/>
    <x v="28"/>
    <x v="0"/>
    <s v="9000937"/>
    <n v="749535"/>
    <s v="Employee Functions"/>
    <s v="Eliminations-PE @ HRSN"/>
    <x v="0"/>
    <n v="1004"/>
    <n v="0"/>
    <n v="0"/>
    <n v="0"/>
    <n v="0"/>
    <n v="0"/>
    <n v="0"/>
    <n v="0"/>
    <n v="0"/>
    <n v="0"/>
    <n v="0"/>
    <n v="0"/>
    <n v="642.95000000000005"/>
    <n v="642.95000000000005"/>
    <n v="-3274.35"/>
  </r>
  <r>
    <x v="0"/>
    <x v="28"/>
    <x v="0"/>
    <s v="9000937"/>
    <n v="749535"/>
    <s v="Medicare Non-Allowable Beverages"/>
    <s v="Eliminations-PE @ HRSN"/>
    <x v="0"/>
    <n v="1005"/>
    <n v="0"/>
    <n v="0"/>
    <n v="0"/>
    <n v="0"/>
    <n v="0"/>
    <n v="0"/>
    <n v="0"/>
    <n v="0"/>
    <n v="0"/>
    <n v="0"/>
    <n v="0"/>
    <n v="394.72"/>
    <n v="394.72"/>
    <n v="-704029.77"/>
  </r>
  <r>
    <x v="0"/>
    <x v="28"/>
    <x v="0"/>
    <s v="9000937"/>
    <n v="749535"/>
    <s v="Medicare Non-Allowable Other"/>
    <s v="Eliminations-PE @ HRSN"/>
    <x v="0"/>
    <n v="1012"/>
    <n v="0"/>
    <n v="0"/>
    <n v="0"/>
    <n v="0"/>
    <n v="0"/>
    <n v="0"/>
    <n v="0"/>
    <n v="0"/>
    <n v="0"/>
    <n v="0"/>
    <n v="0"/>
    <n v="143.16999999999999"/>
    <n v="143.16999999999999"/>
    <n v="-253369.05"/>
  </r>
  <r>
    <x v="0"/>
    <x v="28"/>
    <x v="0"/>
    <s v="9000937"/>
    <n v="749550"/>
    <s v="Cash Over/Short"/>
    <s v="Eliminations-PE @ HRSN"/>
    <x v="0"/>
    <m/>
    <n v="0"/>
    <n v="0"/>
    <n v="0"/>
    <n v="0"/>
    <n v="0"/>
    <n v="0"/>
    <n v="0"/>
    <n v="0"/>
    <n v="0"/>
    <n v="0"/>
    <n v="0"/>
    <n v="-30.93"/>
    <n v="-30.93"/>
    <n v="77.62"/>
  </r>
  <r>
    <x v="24"/>
    <x v="28"/>
    <x v="0"/>
    <s v="9000937"/>
    <n v="760030"/>
    <s v="Interest Expense-Ext to CHI Programs"/>
    <s v="Eliminations-PE @ HRSN"/>
    <x v="0"/>
    <m/>
    <n v="0"/>
    <n v="0"/>
    <n v="0"/>
    <n v="0"/>
    <n v="0"/>
    <n v="0"/>
    <n v="0"/>
    <n v="0"/>
    <n v="0"/>
    <n v="0"/>
    <n v="0"/>
    <n v="55601.24"/>
    <n v="55601.24"/>
    <n v="17498.689999999999"/>
  </r>
  <r>
    <x v="0"/>
    <x v="28"/>
    <x v="0"/>
    <s v="9000937"/>
    <n v="765050"/>
    <s v="Local Income Tax"/>
    <s v="Eliminations-PE @ HRSN"/>
    <x v="0"/>
    <m/>
    <n v="0"/>
    <n v="0"/>
    <n v="0"/>
    <n v="0"/>
    <n v="0"/>
    <n v="0"/>
    <n v="0"/>
    <n v="0"/>
    <n v="0"/>
    <n v="0"/>
    <n v="0"/>
    <n v="82714.38"/>
    <n v="82714.38"/>
    <n v="-4962179.4800000004"/>
  </r>
  <r>
    <x v="0"/>
    <x v="28"/>
    <x v="0"/>
    <s v="9000937"/>
    <n v="766010"/>
    <s v="Property Tax"/>
    <s v="Eliminations-PE @ HRSN"/>
    <x v="0"/>
    <m/>
    <n v="0"/>
    <n v="0"/>
    <n v="0"/>
    <n v="0"/>
    <n v="0"/>
    <n v="0"/>
    <n v="0"/>
    <n v="0"/>
    <n v="0"/>
    <n v="0"/>
    <n v="0"/>
    <n v="97375.33"/>
    <n v="97375.33"/>
    <n v="-6774105.3600000003"/>
  </r>
  <r>
    <x v="0"/>
    <x v="28"/>
    <x v="0"/>
    <s v="9000937"/>
    <n v="766070"/>
    <s v="Sales and Use Tax"/>
    <s v="Eliminations-PE @ HRSN"/>
    <x v="0"/>
    <m/>
    <n v="0"/>
    <n v="0"/>
    <n v="0"/>
    <n v="0"/>
    <n v="0"/>
    <n v="0"/>
    <n v="0"/>
    <n v="0"/>
    <n v="0"/>
    <n v="0"/>
    <n v="0"/>
    <n v="3274.35"/>
    <n v="3274.35"/>
    <n v="-673477.8"/>
  </r>
  <r>
    <x v="0"/>
    <x v="28"/>
    <x v="0"/>
    <s v="9000937"/>
    <n v="766090"/>
    <s v="Franchise and Excise Tax"/>
    <s v="Eliminations-PE @ HRSN"/>
    <x v="0"/>
    <n v="1001"/>
    <n v="0"/>
    <n v="0"/>
    <n v="0"/>
    <n v="0"/>
    <n v="0"/>
    <n v="0"/>
    <n v="0"/>
    <n v="0"/>
    <n v="0"/>
    <n v="0"/>
    <n v="0"/>
    <n v="704029.77"/>
    <n v="704029.77"/>
    <n v="-2042931.28"/>
  </r>
  <r>
    <x v="25"/>
    <x v="28"/>
    <x v="0"/>
    <s v="9000937"/>
    <n v="770020"/>
    <s v="Severance Costs"/>
    <s v="Eliminations-PE @ HRSN"/>
    <x v="0"/>
    <m/>
    <n v="0"/>
    <n v="0"/>
    <n v="0"/>
    <n v="0"/>
    <n v="0"/>
    <n v="0"/>
    <n v="0"/>
    <n v="0"/>
    <n v="0"/>
    <n v="0"/>
    <n v="0"/>
    <n v="253369.05"/>
    <n v="253369.05"/>
    <n v="-7103975.46"/>
  </r>
  <r>
    <x v="9"/>
    <x v="28"/>
    <x v="0"/>
    <s v="9000937"/>
    <n v="800010"/>
    <s v="Interest Income-CHI Cash Mgmt Program"/>
    <s v="Eliminations-PE @ HRSN"/>
    <x v="0"/>
    <n v="1000"/>
    <n v="0"/>
    <n v="0"/>
    <n v="0"/>
    <n v="0"/>
    <n v="0"/>
    <n v="0"/>
    <n v="0"/>
    <n v="0"/>
    <n v="0"/>
    <n v="0"/>
    <n v="0"/>
    <n v="-77.62"/>
    <n v="-77.62"/>
    <n v="-313896.36"/>
  </r>
  <r>
    <x v="9"/>
    <x v="28"/>
    <x v="0"/>
    <s v="9000937"/>
    <n v="800015"/>
    <s v="Interest Income-Ext to CHI"/>
    <s v="Eliminations-PE @ HRSN"/>
    <x v="0"/>
    <m/>
    <n v="0"/>
    <n v="0"/>
    <n v="0"/>
    <n v="0"/>
    <n v="0"/>
    <n v="0"/>
    <n v="0"/>
    <n v="0"/>
    <n v="0"/>
    <n v="0"/>
    <n v="0"/>
    <n v="-17498.689999999999"/>
    <n v="-17498.689999999999"/>
    <n v="-1134427.99"/>
  </r>
  <r>
    <x v="9"/>
    <x v="28"/>
    <x v="0"/>
    <s v="9000937"/>
    <n v="804050"/>
    <s v="Business Combination Gains-Nonoperating"/>
    <s v="Eliminations-PE @ HRSN"/>
    <x v="0"/>
    <m/>
    <n v="0"/>
    <n v="0"/>
    <n v="0"/>
    <n v="0"/>
    <n v="0"/>
    <n v="0"/>
    <n v="0"/>
    <n v="0"/>
    <n v="0"/>
    <n v="0"/>
    <n v="0"/>
    <n v="684427.13"/>
    <n v="684427.13"/>
    <n v="-280043410.23000002"/>
  </r>
  <r>
    <x v="1"/>
    <x v="29"/>
    <x v="0"/>
    <s v="9000938"/>
    <n v="400029"/>
    <s v="MD Practice Other Rev--Medicare"/>
    <s v="Eliminations-PE Offset"/>
    <x v="0"/>
    <n v="1100"/>
    <n v="0"/>
    <n v="0"/>
    <n v="0"/>
    <n v="0"/>
    <n v="0"/>
    <n v="0"/>
    <n v="0"/>
    <n v="0"/>
    <n v="0"/>
    <n v="0"/>
    <n v="0"/>
    <n v="4962179.4800000004"/>
    <n v="4962179.4800000004"/>
    <n v="-130481909.01000001"/>
  </r>
  <r>
    <x v="1"/>
    <x v="29"/>
    <x v="0"/>
    <s v="9000938"/>
    <n v="400029"/>
    <s v="MD Practice Other Rev--Medicaid"/>
    <s v="Eliminations-PE Offset"/>
    <x v="0"/>
    <n v="1200"/>
    <n v="0"/>
    <n v="0"/>
    <n v="0"/>
    <n v="0"/>
    <n v="0"/>
    <n v="0"/>
    <n v="0"/>
    <n v="0"/>
    <n v="0"/>
    <n v="0"/>
    <n v="0"/>
    <n v="6774105.3600000003"/>
    <n v="6774105.3600000003"/>
    <n v="-20561798.120000001"/>
  </r>
  <r>
    <x v="1"/>
    <x v="29"/>
    <x v="0"/>
    <s v="9000938"/>
    <n v="400029"/>
    <s v="MD Practice Other Rev--Comm Insurance"/>
    <s v="Eliminations-PE Offset"/>
    <x v="0"/>
    <n v="1300"/>
    <n v="0"/>
    <n v="0"/>
    <n v="0"/>
    <n v="0"/>
    <n v="0"/>
    <n v="0"/>
    <n v="0"/>
    <n v="0"/>
    <n v="0"/>
    <n v="0"/>
    <n v="0"/>
    <n v="673477.8"/>
    <n v="673477.8"/>
    <n v="-57946474.060000002"/>
  </r>
  <r>
    <x v="1"/>
    <x v="29"/>
    <x v="0"/>
    <s v="9000938"/>
    <n v="400029"/>
    <s v="MD Practice Other Rev--BCBS Comm"/>
    <s v="Eliminations-PE Offset"/>
    <x v="0"/>
    <n v="1301"/>
    <n v="0"/>
    <n v="0"/>
    <n v="0"/>
    <n v="0"/>
    <n v="0"/>
    <n v="0"/>
    <n v="0"/>
    <n v="0"/>
    <n v="0"/>
    <n v="0"/>
    <n v="0"/>
    <n v="2042931.28"/>
    <n v="2042931.28"/>
    <n v="-197922174.80000001"/>
  </r>
  <r>
    <x v="1"/>
    <x v="29"/>
    <x v="0"/>
    <s v="9000938"/>
    <n v="400029"/>
    <s v="MD Practice Other Rev--Managed Care"/>
    <s v="Eliminations-PE Offset"/>
    <x v="0"/>
    <n v="1400"/>
    <n v="0"/>
    <n v="0"/>
    <n v="0"/>
    <n v="0"/>
    <n v="0"/>
    <n v="0"/>
    <n v="0"/>
    <n v="0"/>
    <n v="0"/>
    <n v="0"/>
    <n v="0"/>
    <n v="7103975.46"/>
    <n v="7103975.46"/>
    <n v="-12680918.65"/>
  </r>
  <r>
    <x v="1"/>
    <x v="29"/>
    <x v="0"/>
    <s v="9000938"/>
    <n v="400029"/>
    <s v="MD Practice Other Rev--Self Pay"/>
    <s v="Eliminations-PE Offset"/>
    <x v="0"/>
    <n v="1500"/>
    <n v="0"/>
    <n v="0"/>
    <n v="0"/>
    <n v="0"/>
    <n v="0"/>
    <n v="0"/>
    <n v="0"/>
    <n v="0"/>
    <n v="0"/>
    <n v="0"/>
    <n v="0"/>
    <n v="313896.36"/>
    <n v="313896.36"/>
    <n v="-45249067.829999998"/>
  </r>
  <r>
    <x v="1"/>
    <x v="29"/>
    <x v="0"/>
    <s v="9000938"/>
    <n v="400029"/>
    <s v="MD Practice Other Rev--Other"/>
    <s v="Eliminations-PE Offset"/>
    <x v="0"/>
    <n v="1700"/>
    <n v="0"/>
    <n v="0"/>
    <n v="0"/>
    <n v="0"/>
    <n v="0"/>
    <n v="0"/>
    <n v="0"/>
    <n v="0"/>
    <n v="0"/>
    <n v="0"/>
    <n v="0"/>
    <n v="1134427.99"/>
    <n v="1134427.99"/>
    <n v="3122209.83"/>
  </r>
  <r>
    <x v="1"/>
    <x v="29"/>
    <x v="0"/>
    <s v="9000938"/>
    <n v="400040"/>
    <s v="Physician Svcs Rev--Medicare"/>
    <s v="Eliminations-PE Offset"/>
    <x v="0"/>
    <n v="1100"/>
    <n v="0"/>
    <n v="0"/>
    <n v="0"/>
    <n v="0"/>
    <n v="0"/>
    <n v="0"/>
    <n v="0"/>
    <n v="0"/>
    <n v="0"/>
    <n v="0"/>
    <n v="0"/>
    <n v="280043410.23000002"/>
    <n v="280043410.23000002"/>
    <n v="4980016.3"/>
  </r>
  <r>
    <x v="1"/>
    <x v="29"/>
    <x v="0"/>
    <s v="9000938"/>
    <n v="400040"/>
    <s v="Physician Svcs Rev--Medicaid"/>
    <s v="Eliminations-PE Offset"/>
    <x v="0"/>
    <n v="1200"/>
    <n v="0"/>
    <n v="0"/>
    <n v="0"/>
    <n v="0"/>
    <n v="0"/>
    <n v="0"/>
    <n v="0"/>
    <n v="0"/>
    <n v="0"/>
    <n v="0"/>
    <n v="0"/>
    <n v="130481909.01000001"/>
    <n v="130481909.01000001"/>
    <n v="268979.59999999998"/>
  </r>
  <r>
    <x v="1"/>
    <x v="29"/>
    <x v="0"/>
    <s v="9000938"/>
    <n v="400040"/>
    <s v="Physician Svcs Rev--Comm Insurance"/>
    <s v="Eliminations-PE Offset"/>
    <x v="0"/>
    <n v="1300"/>
    <n v="0"/>
    <n v="0"/>
    <n v="0"/>
    <n v="0"/>
    <n v="0"/>
    <n v="0"/>
    <n v="0"/>
    <n v="0"/>
    <n v="0"/>
    <n v="0"/>
    <n v="0"/>
    <n v="20561798.120000001"/>
    <n v="20561798.120000001"/>
    <n v="721448.38"/>
  </r>
  <r>
    <x v="1"/>
    <x v="29"/>
    <x v="0"/>
    <s v="9000938"/>
    <n v="400040"/>
    <s v="Physician Svcs Rev--BCBS Comm"/>
    <s v="Eliminations-PE Offset"/>
    <x v="0"/>
    <n v="1301"/>
    <n v="0"/>
    <n v="0"/>
    <n v="0"/>
    <n v="0"/>
    <n v="0"/>
    <n v="0"/>
    <n v="0"/>
    <n v="0"/>
    <n v="0"/>
    <n v="0"/>
    <n v="0"/>
    <n v="57946474.060000002"/>
    <n v="57946474.060000002"/>
    <n v="2813577.61"/>
  </r>
  <r>
    <x v="1"/>
    <x v="29"/>
    <x v="0"/>
    <s v="9000938"/>
    <n v="400040"/>
    <s v="Physician Svcs Rev--Managed Care"/>
    <s v="Eliminations-PE Offset"/>
    <x v="0"/>
    <n v="1400"/>
    <n v="0"/>
    <n v="0"/>
    <n v="0"/>
    <n v="0"/>
    <n v="0"/>
    <n v="0"/>
    <n v="0"/>
    <n v="0"/>
    <n v="0"/>
    <n v="0"/>
    <n v="0"/>
    <n v="197922174.80000001"/>
    <n v="197922174.80000001"/>
    <n v="770.7"/>
  </r>
  <r>
    <x v="1"/>
    <x v="29"/>
    <x v="0"/>
    <s v="9000938"/>
    <n v="400040"/>
    <s v="Physician Svcs Rev--Self Pay"/>
    <s v="Eliminations-PE Offset"/>
    <x v="0"/>
    <n v="1500"/>
    <n v="0"/>
    <n v="0"/>
    <n v="0"/>
    <n v="0"/>
    <n v="0"/>
    <n v="0"/>
    <n v="0"/>
    <n v="0"/>
    <n v="0"/>
    <n v="0"/>
    <n v="0"/>
    <n v="12680918.65"/>
    <n v="12680918.65"/>
    <n v="176812.71"/>
  </r>
  <r>
    <x v="1"/>
    <x v="29"/>
    <x v="0"/>
    <s v="9000938"/>
    <n v="400040"/>
    <s v="Physician Svcs Rev--Other"/>
    <s v="Eliminations-PE Offset"/>
    <x v="0"/>
    <n v="1700"/>
    <n v="0"/>
    <n v="0"/>
    <n v="0"/>
    <n v="0"/>
    <n v="0"/>
    <n v="0"/>
    <n v="0"/>
    <n v="0"/>
    <n v="0"/>
    <n v="0"/>
    <n v="0"/>
    <n v="45249067.829999998"/>
    <n v="45249067.829999998"/>
    <n v="672546.11"/>
  </r>
  <r>
    <x v="2"/>
    <x v="29"/>
    <x v="0"/>
    <s v="9000938"/>
    <n v="450029"/>
    <s v="Contr Allow--MD Other-Medicare"/>
    <s v="Eliminations-PE Offset"/>
    <x v="0"/>
    <n v="1100"/>
    <n v="0"/>
    <n v="0"/>
    <n v="0"/>
    <n v="0"/>
    <n v="0"/>
    <n v="0"/>
    <n v="0"/>
    <n v="0"/>
    <n v="0"/>
    <n v="0"/>
    <n v="0"/>
    <n v="-3122209.83"/>
    <n v="-3122209.83"/>
    <n v="187563673.81999999"/>
  </r>
  <r>
    <x v="2"/>
    <x v="29"/>
    <x v="0"/>
    <s v="9000938"/>
    <n v="450029"/>
    <s v="Contr Allow--MD Other-Medicaid"/>
    <s v="Eliminations-PE Offset"/>
    <x v="0"/>
    <n v="1200"/>
    <n v="0"/>
    <n v="0"/>
    <n v="0"/>
    <n v="0"/>
    <n v="0"/>
    <n v="0"/>
    <n v="0"/>
    <n v="0"/>
    <n v="0"/>
    <n v="0"/>
    <n v="0"/>
    <n v="-4980016.3"/>
    <n v="-4980016.3"/>
    <n v="94886408.780000001"/>
  </r>
  <r>
    <x v="2"/>
    <x v="29"/>
    <x v="0"/>
    <s v="9000938"/>
    <n v="450029"/>
    <s v="Contr Allow--MD Other-Comm Insurance"/>
    <s v="Eliminations-PE Offset"/>
    <x v="0"/>
    <n v="1300"/>
    <n v="0"/>
    <n v="0"/>
    <n v="0"/>
    <n v="0"/>
    <n v="0"/>
    <n v="0"/>
    <n v="0"/>
    <n v="0"/>
    <n v="0"/>
    <n v="0"/>
    <n v="0"/>
    <n v="-268979.59999999998"/>
    <n v="-268979.59999999998"/>
    <n v="8739350.9600000009"/>
  </r>
  <r>
    <x v="2"/>
    <x v="29"/>
    <x v="0"/>
    <s v="9000938"/>
    <n v="450029"/>
    <s v="Contr Allow--MD Other BCBS Comm"/>
    <s v="Eliminations-PE Offset"/>
    <x v="0"/>
    <n v="1301"/>
    <n v="0"/>
    <n v="0"/>
    <n v="0"/>
    <n v="0"/>
    <n v="0"/>
    <n v="0"/>
    <n v="0"/>
    <n v="0"/>
    <n v="0"/>
    <n v="0"/>
    <n v="0"/>
    <n v="-721448.38"/>
    <n v="-721448.38"/>
    <n v="22988230.039999999"/>
  </r>
  <r>
    <x v="2"/>
    <x v="29"/>
    <x v="0"/>
    <s v="9000938"/>
    <n v="450029"/>
    <s v="Contr Allow--MD Other-Managed Care"/>
    <s v="Eliminations-PE Offset"/>
    <x v="0"/>
    <n v="1400"/>
    <n v="0"/>
    <n v="0"/>
    <n v="0"/>
    <n v="0"/>
    <n v="0"/>
    <n v="0"/>
    <n v="0"/>
    <n v="0"/>
    <n v="0"/>
    <n v="0"/>
    <n v="0"/>
    <n v="-2813577.61"/>
    <n v="-2813577.61"/>
    <n v="84784975.109999999"/>
  </r>
  <r>
    <x v="2"/>
    <x v="29"/>
    <x v="0"/>
    <s v="9000938"/>
    <n v="450029"/>
    <s v="Prompt Pay Disc-MD Other-Self Pay"/>
    <s v="Eliminations-PE Offset"/>
    <x v="0"/>
    <n v="1500"/>
    <n v="0"/>
    <n v="0"/>
    <n v="0"/>
    <n v="0"/>
    <n v="0"/>
    <n v="0"/>
    <n v="0"/>
    <n v="0"/>
    <n v="0"/>
    <n v="0"/>
    <n v="0"/>
    <n v="-770.7"/>
    <n v="-770.7"/>
    <n v="-4241801.03"/>
  </r>
  <r>
    <x v="2"/>
    <x v="29"/>
    <x v="0"/>
    <s v="9000938"/>
    <n v="450029"/>
    <s v="Admin Adjust-MD Other-Self Pay"/>
    <s v="Eliminations-PE Offset"/>
    <x v="0"/>
    <n v="1600"/>
    <n v="0"/>
    <n v="0"/>
    <n v="0"/>
    <n v="0"/>
    <n v="0"/>
    <n v="0"/>
    <n v="0"/>
    <n v="0"/>
    <n v="0"/>
    <n v="0"/>
    <n v="0"/>
    <n v="-176812.71"/>
    <n v="-176812.71"/>
    <n v="-159009.70000000001"/>
  </r>
  <r>
    <x v="2"/>
    <x v="29"/>
    <x v="0"/>
    <s v="9000938"/>
    <n v="450029"/>
    <s v="Contr Allow--MD Other-Other"/>
    <s v="Eliminations-PE Offset"/>
    <x v="0"/>
    <n v="1700"/>
    <n v="0"/>
    <n v="0"/>
    <n v="0"/>
    <n v="0"/>
    <n v="0"/>
    <n v="0"/>
    <n v="0"/>
    <n v="0"/>
    <n v="0"/>
    <n v="0"/>
    <n v="0"/>
    <n v="-672546.11"/>
    <n v="-672546.11"/>
    <n v="5481442.6600000001"/>
  </r>
  <r>
    <x v="2"/>
    <x v="29"/>
    <x v="0"/>
    <s v="9000938"/>
    <n v="450040"/>
    <s v="Contr Allow--Phys Svcs--Mcare"/>
    <s v="Eliminations-PE Offset"/>
    <x v="0"/>
    <n v="1100"/>
    <n v="0"/>
    <n v="0"/>
    <n v="0"/>
    <n v="0"/>
    <n v="0"/>
    <n v="0"/>
    <n v="0"/>
    <n v="0"/>
    <n v="0"/>
    <n v="0"/>
    <n v="0"/>
    <n v="-187563673.81999999"/>
    <n v="-187563673.81999999"/>
    <n v="25817374.629999999"/>
  </r>
  <r>
    <x v="2"/>
    <x v="29"/>
    <x v="0"/>
    <s v="9000938"/>
    <n v="450040"/>
    <s v="Contr Allow--Phys Svcs--Mcaid"/>
    <s v="Eliminations-PE Offset"/>
    <x v="0"/>
    <n v="1200"/>
    <n v="0"/>
    <n v="0"/>
    <n v="0"/>
    <n v="0"/>
    <n v="0"/>
    <n v="0"/>
    <n v="0"/>
    <n v="0"/>
    <n v="0"/>
    <n v="0"/>
    <n v="0"/>
    <n v="-94886408.780000001"/>
    <n v="-94886408.780000001"/>
    <n v="4438813.21"/>
  </r>
  <r>
    <x v="2"/>
    <x v="29"/>
    <x v="0"/>
    <s v="9000938"/>
    <n v="450040"/>
    <s v="Contr Allow--Phys Svcs--Comm Insurance"/>
    <s v="Eliminations-PE Offset"/>
    <x v="0"/>
    <n v="1300"/>
    <n v="0"/>
    <n v="0"/>
    <n v="0"/>
    <n v="0"/>
    <n v="0"/>
    <n v="0"/>
    <n v="0"/>
    <n v="0"/>
    <n v="0"/>
    <n v="0"/>
    <n v="0"/>
    <n v="-8739350.9600000009"/>
    <n v="-8739350.9600000009"/>
    <n v="5425554.5999999996"/>
  </r>
  <r>
    <x v="2"/>
    <x v="29"/>
    <x v="0"/>
    <s v="9000938"/>
    <n v="450040"/>
    <s v="Contr Allow--Phys Svcs--BCBS Comm Ins"/>
    <s v="Eliminations-PE Offset"/>
    <x v="0"/>
    <n v="1301"/>
    <n v="0"/>
    <n v="0"/>
    <n v="0"/>
    <n v="0"/>
    <n v="0"/>
    <n v="0"/>
    <n v="0"/>
    <n v="0"/>
    <n v="0"/>
    <n v="0"/>
    <n v="0"/>
    <n v="-22988230.039999999"/>
    <n v="-22988230.039999999"/>
    <n v="-299258.2"/>
  </r>
  <r>
    <x v="2"/>
    <x v="29"/>
    <x v="0"/>
    <s v="9000938"/>
    <n v="450040"/>
    <s v="Contr Allow--Phys Svcs--Managed Care"/>
    <s v="Eliminations-PE Offset"/>
    <x v="0"/>
    <n v="1400"/>
    <n v="0"/>
    <n v="0"/>
    <n v="0"/>
    <n v="0"/>
    <n v="0"/>
    <n v="0"/>
    <n v="0"/>
    <n v="0"/>
    <n v="0"/>
    <n v="0"/>
    <n v="0"/>
    <n v="-84784975.109999999"/>
    <n v="-84784975.109999999"/>
    <n v="-1187.46"/>
  </r>
  <r>
    <x v="2"/>
    <x v="29"/>
    <x v="0"/>
    <s v="9000938"/>
    <n v="450040"/>
    <s v="Contr Allow--Phys Svcs--BCBS Mgnd Care"/>
    <s v="Eliminations-PE Offset"/>
    <x v="0"/>
    <n v="1401"/>
    <n v="0"/>
    <n v="0"/>
    <n v="0"/>
    <n v="0"/>
    <n v="0"/>
    <n v="0"/>
    <n v="0"/>
    <n v="0"/>
    <n v="0"/>
    <n v="0"/>
    <n v="0"/>
    <n v="4241801.03"/>
    <n v="4241801.03"/>
    <n v="-167214.29"/>
  </r>
  <r>
    <x v="2"/>
    <x v="29"/>
    <x v="0"/>
    <s v="9000938"/>
    <n v="450040"/>
    <s v="Prompt Pay Disc-Phys Svcs-Self Pay"/>
    <s v="Eliminations-PE Offset"/>
    <x v="0"/>
    <n v="1500"/>
    <n v="0"/>
    <n v="0"/>
    <n v="0"/>
    <n v="0"/>
    <n v="0"/>
    <n v="0"/>
    <n v="0"/>
    <n v="0"/>
    <n v="0"/>
    <n v="0"/>
    <n v="0"/>
    <n v="159009.70000000001"/>
    <n v="159009.70000000001"/>
    <n v="-39704.370000000003"/>
  </r>
  <r>
    <x v="2"/>
    <x v="29"/>
    <x v="0"/>
    <s v="9000938"/>
    <n v="450040"/>
    <s v="Admin Adjust-Phys Svcs-Self Pay"/>
    <s v="Eliminations-PE Offset"/>
    <x v="0"/>
    <n v="1600"/>
    <n v="0"/>
    <n v="0"/>
    <n v="0"/>
    <n v="0"/>
    <n v="0"/>
    <n v="0"/>
    <n v="0"/>
    <n v="0"/>
    <n v="0"/>
    <n v="0"/>
    <n v="0"/>
    <n v="-5481442.6600000001"/>
    <n v="-5481442.6600000001"/>
    <n v="-8735.35"/>
  </r>
  <r>
    <x v="2"/>
    <x v="29"/>
    <x v="0"/>
    <s v="9000938"/>
    <n v="450040"/>
    <s v="Contr Allow--Phys Svcs--Other"/>
    <s v="Eliminations-PE Offset"/>
    <x v="0"/>
    <n v="1700"/>
    <n v="0"/>
    <n v="0"/>
    <n v="0"/>
    <n v="0"/>
    <n v="0"/>
    <n v="0"/>
    <n v="0"/>
    <n v="0"/>
    <n v="0"/>
    <n v="0"/>
    <n v="0"/>
    <n v="-25817374.629999999"/>
    <n v="-25817374.629999999"/>
    <n v="-8945541.7100000009"/>
  </r>
  <r>
    <x v="3"/>
    <x v="29"/>
    <x v="0"/>
    <s v="9000938"/>
    <n v="470040"/>
    <s v="Charity Care-Physician Svcs"/>
    <s v="Eliminations-PE Offset"/>
    <x v="0"/>
    <m/>
    <n v="0"/>
    <n v="0"/>
    <n v="0"/>
    <n v="0"/>
    <n v="0"/>
    <n v="0"/>
    <n v="0"/>
    <n v="0"/>
    <n v="0"/>
    <n v="0"/>
    <n v="0"/>
    <n v="-4438813.21"/>
    <n v="-4438813.21"/>
    <n v="-163430.20000000001"/>
  </r>
  <r>
    <x v="4"/>
    <x v="29"/>
    <x v="0"/>
    <s v="9000938"/>
    <n v="490010"/>
    <s v="Provision for Bad Debts"/>
    <s v="Eliminations-PE Offset"/>
    <x v="0"/>
    <m/>
    <n v="0"/>
    <n v="0"/>
    <n v="0"/>
    <n v="0"/>
    <n v="0"/>
    <n v="0"/>
    <n v="0"/>
    <n v="0"/>
    <n v="0"/>
    <n v="0"/>
    <n v="0"/>
    <n v="-5425554.5999999996"/>
    <n v="-5425554.5999999996"/>
    <n v="-450500"/>
  </r>
  <r>
    <x v="14"/>
    <x v="29"/>
    <x v="0"/>
    <s v="9000938"/>
    <n v="600010"/>
    <s v="Product Sales Income-Taxable"/>
    <s v="Eliminations-PE Offset"/>
    <x v="0"/>
    <m/>
    <n v="0"/>
    <n v="0"/>
    <n v="0"/>
    <n v="0"/>
    <n v="0"/>
    <n v="0"/>
    <n v="0"/>
    <n v="0"/>
    <n v="0"/>
    <n v="0"/>
    <n v="0"/>
    <n v="299258.2"/>
    <n v="299258.2"/>
    <n v="-13187.82"/>
  </r>
  <r>
    <x v="14"/>
    <x v="29"/>
    <x v="0"/>
    <s v="9000938"/>
    <n v="600014"/>
    <s v="Rental Revenues-Taxable"/>
    <s v="Eliminations-PE Offset"/>
    <x v="0"/>
    <m/>
    <n v="0"/>
    <n v="0"/>
    <n v="0"/>
    <n v="0"/>
    <n v="0"/>
    <n v="0"/>
    <n v="0"/>
    <n v="0"/>
    <n v="0"/>
    <n v="0"/>
    <n v="0"/>
    <n v="1187.46"/>
    <n v="1187.46"/>
    <n v="-1778929.16"/>
  </r>
  <r>
    <x v="14"/>
    <x v="29"/>
    <x v="0"/>
    <s v="9000938"/>
    <n v="600026"/>
    <s v="POB Rental"/>
    <s v="Eliminations-PE Offset"/>
    <x v="0"/>
    <n v="1001"/>
    <n v="0"/>
    <n v="0"/>
    <n v="0"/>
    <n v="0"/>
    <n v="0"/>
    <n v="0"/>
    <n v="0"/>
    <n v="0"/>
    <n v="0"/>
    <n v="0"/>
    <n v="0"/>
    <n v="167214.29"/>
    <n v="167214.29"/>
    <n v="-322.81"/>
  </r>
  <r>
    <x v="14"/>
    <x v="29"/>
    <x v="0"/>
    <s v="9000938"/>
    <n v="600026"/>
    <s v="Other Rental"/>
    <s v="Eliminations-PE Offset"/>
    <x v="0"/>
    <n v="1002"/>
    <n v="0"/>
    <n v="0"/>
    <n v="0"/>
    <n v="0"/>
    <n v="0"/>
    <n v="0"/>
    <n v="0"/>
    <n v="0"/>
    <n v="0"/>
    <n v="0"/>
    <n v="0"/>
    <n v="39704.370000000003"/>
    <n v="39704.370000000003"/>
    <n v="6785184.0199999996"/>
  </r>
  <r>
    <x v="14"/>
    <x v="29"/>
    <x v="0"/>
    <s v="9000938"/>
    <n v="600034"/>
    <s v="Vending Commission"/>
    <s v="Eliminations-PE Offset"/>
    <x v="0"/>
    <n v="1002"/>
    <n v="0"/>
    <n v="0"/>
    <n v="0"/>
    <n v="0"/>
    <n v="0"/>
    <n v="0"/>
    <n v="0"/>
    <n v="0"/>
    <n v="0"/>
    <n v="0"/>
    <n v="0"/>
    <n v="8735.35"/>
    <n v="8735.35"/>
    <n v="7712.13"/>
  </r>
  <r>
    <x v="14"/>
    <x v="29"/>
    <x v="0"/>
    <s v="9000938"/>
    <n v="600050"/>
    <s v="Miscellaneous Revenue"/>
    <s v="Eliminations-PE Offset"/>
    <x v="0"/>
    <m/>
    <n v="0"/>
    <n v="0"/>
    <n v="0"/>
    <n v="0"/>
    <n v="0"/>
    <n v="0"/>
    <n v="0"/>
    <n v="0"/>
    <n v="0"/>
    <n v="0"/>
    <n v="0"/>
    <n v="8945541.7100000009"/>
    <n v="8945541.7100000009"/>
    <n v="4260848.75"/>
  </r>
  <r>
    <x v="14"/>
    <x v="29"/>
    <x v="0"/>
    <s v="9000938"/>
    <n v="600055"/>
    <s v="Grants"/>
    <s v="Eliminations-PE Offset"/>
    <x v="0"/>
    <m/>
    <n v="0"/>
    <n v="0"/>
    <n v="0"/>
    <n v="0"/>
    <n v="0"/>
    <n v="0"/>
    <n v="0"/>
    <n v="0"/>
    <n v="0"/>
    <n v="0"/>
    <n v="0"/>
    <n v="163430.20000000001"/>
    <n v="163430.20000000001"/>
    <n v="1812.11"/>
  </r>
  <r>
    <x v="14"/>
    <x v="29"/>
    <x v="0"/>
    <s v="9000938"/>
    <n v="600059"/>
    <s v="Meaningful Use Revenue-Medicaid"/>
    <s v="Eliminations-PE Offset"/>
    <x v="0"/>
    <m/>
    <n v="0"/>
    <n v="0"/>
    <n v="0"/>
    <n v="0"/>
    <n v="0"/>
    <n v="0"/>
    <n v="0"/>
    <n v="0"/>
    <n v="0"/>
    <n v="0"/>
    <n v="0"/>
    <n v="450500"/>
    <n v="450500"/>
    <n v="528329.19999999995"/>
  </r>
  <r>
    <x v="14"/>
    <x v="29"/>
    <x v="0"/>
    <s v="9000938"/>
    <n v="600060"/>
    <s v="Gain/Loss--Sale of Fixed Assets"/>
    <s v="Eliminations-PE Offset"/>
    <x v="0"/>
    <m/>
    <n v="0"/>
    <n v="0"/>
    <n v="0"/>
    <n v="0"/>
    <n v="0"/>
    <n v="0"/>
    <n v="0"/>
    <n v="0"/>
    <n v="0"/>
    <n v="0"/>
    <n v="0"/>
    <n v="13187.82"/>
    <n v="13187.82"/>
    <n v="752713.48"/>
  </r>
  <r>
    <x v="14"/>
    <x v="29"/>
    <x v="0"/>
    <s v="9000938"/>
    <n v="600061"/>
    <s v="Federal Grant Revenue"/>
    <s v="Eliminations-PE Offset"/>
    <x v="0"/>
    <m/>
    <n v="0"/>
    <n v="0"/>
    <n v="0"/>
    <n v="0"/>
    <n v="0"/>
    <n v="0"/>
    <n v="0"/>
    <n v="0"/>
    <n v="0"/>
    <n v="0"/>
    <n v="0"/>
    <n v="1778929.16"/>
    <n v="1778929.16"/>
    <n v="126586853.86"/>
  </r>
  <r>
    <x v="20"/>
    <x v="29"/>
    <x v="0"/>
    <s v="9000938"/>
    <n v="610010"/>
    <s v="Foundation Distributions"/>
    <s v="Eliminations-PE Offset"/>
    <x v="0"/>
    <n v="1175"/>
    <n v="0"/>
    <n v="0"/>
    <n v="0"/>
    <n v="0"/>
    <n v="0"/>
    <n v="0"/>
    <n v="0"/>
    <n v="0"/>
    <n v="0"/>
    <n v="0"/>
    <n v="0"/>
    <n v="322.81"/>
    <n v="322.81"/>
    <n v="6998522.0099999998"/>
  </r>
  <r>
    <x v="5"/>
    <x v="29"/>
    <x v="0"/>
    <s v="9000938"/>
    <n v="700014"/>
    <s v="Salaries-Management-Productive"/>
    <s v="Eliminations-PE Offset"/>
    <x v="0"/>
    <m/>
    <n v="0"/>
    <n v="0"/>
    <n v="0"/>
    <n v="0"/>
    <n v="0"/>
    <n v="0"/>
    <n v="0"/>
    <n v="0"/>
    <n v="0"/>
    <n v="0"/>
    <n v="0"/>
    <n v="-6785184.0199999996"/>
    <n v="-6785184.0199999996"/>
    <n v="1915412.54"/>
  </r>
  <r>
    <x v="5"/>
    <x v="29"/>
    <x v="0"/>
    <s v="9000938"/>
    <n v="700014"/>
    <s v="Salaries-Management-Other"/>
    <s v="Eliminations-PE Offset"/>
    <x v="0"/>
    <n v="2000"/>
    <n v="0"/>
    <n v="0"/>
    <n v="0"/>
    <n v="0"/>
    <n v="0"/>
    <n v="0"/>
    <n v="0"/>
    <n v="0"/>
    <n v="0"/>
    <n v="0"/>
    <n v="0"/>
    <n v="-7712.13"/>
    <n v="-7712.13"/>
    <n v="-8587"/>
  </r>
  <r>
    <x v="5"/>
    <x v="29"/>
    <x v="0"/>
    <s v="9000938"/>
    <n v="700018"/>
    <s v="Salaries-Supervisory-Productive"/>
    <s v="Eliminations-PE Offset"/>
    <x v="0"/>
    <m/>
    <n v="0"/>
    <n v="0"/>
    <n v="0"/>
    <n v="0"/>
    <n v="0"/>
    <n v="0"/>
    <n v="0"/>
    <n v="0"/>
    <n v="0"/>
    <n v="0"/>
    <n v="0"/>
    <n v="-4260848.75"/>
    <n v="-4260848.75"/>
    <n v="25638086.789999999"/>
  </r>
  <r>
    <x v="5"/>
    <x v="29"/>
    <x v="0"/>
    <s v="9000938"/>
    <n v="700018"/>
    <s v="Salaries-Supervisory-Other"/>
    <s v="Eliminations-PE Offset"/>
    <x v="0"/>
    <n v="2000"/>
    <n v="0"/>
    <n v="0"/>
    <n v="0"/>
    <n v="0"/>
    <n v="0"/>
    <n v="0"/>
    <n v="0"/>
    <n v="0"/>
    <n v="0"/>
    <n v="0"/>
    <n v="0"/>
    <n v="-1812.11"/>
    <n v="-1812.11"/>
    <n v="1056816.72"/>
  </r>
  <r>
    <x v="5"/>
    <x v="29"/>
    <x v="0"/>
    <s v="9000938"/>
    <n v="700020"/>
    <s v="Salaries-Physician Admin-Productive"/>
    <s v="Eliminations-PE Offset"/>
    <x v="0"/>
    <m/>
    <n v="0"/>
    <n v="0"/>
    <n v="0"/>
    <n v="0"/>
    <n v="0"/>
    <n v="0"/>
    <n v="0"/>
    <n v="0"/>
    <n v="0"/>
    <n v="0"/>
    <n v="0"/>
    <n v="-528329.19999999995"/>
    <n v="-528329.19999999995"/>
    <n v="271262.42"/>
  </r>
  <r>
    <x v="5"/>
    <x v="29"/>
    <x v="0"/>
    <s v="9000938"/>
    <n v="700020"/>
    <s v="Salaries-Physician Admin-Other"/>
    <s v="Eliminations-PE Offset"/>
    <x v="0"/>
    <n v="2000"/>
    <n v="0"/>
    <n v="0"/>
    <n v="0"/>
    <n v="0"/>
    <n v="0"/>
    <n v="0"/>
    <n v="0"/>
    <n v="0"/>
    <n v="0"/>
    <n v="0"/>
    <n v="0"/>
    <n v="-752713.48"/>
    <n v="-752713.48"/>
    <n v="10000"/>
  </r>
  <r>
    <x v="5"/>
    <x v="29"/>
    <x v="0"/>
    <s v="9000938"/>
    <n v="700022"/>
    <s v="Salaries-Physician-Productive"/>
    <s v="Eliminations-PE Offset"/>
    <x v="0"/>
    <m/>
    <n v="0"/>
    <n v="0"/>
    <n v="0"/>
    <n v="0"/>
    <n v="0"/>
    <n v="0"/>
    <n v="0"/>
    <n v="0"/>
    <n v="0"/>
    <n v="0"/>
    <n v="0"/>
    <n v="-126586853.86"/>
    <n v="-126586853.86"/>
    <n v="9334390.1400000006"/>
  </r>
  <r>
    <x v="5"/>
    <x v="29"/>
    <x v="0"/>
    <s v="9000938"/>
    <n v="700022"/>
    <s v="Salaries-Physician-Other"/>
    <s v="Eliminations-PE Offset"/>
    <x v="0"/>
    <n v="2000"/>
    <n v="0"/>
    <n v="0"/>
    <n v="0"/>
    <n v="0"/>
    <n v="0"/>
    <n v="0"/>
    <n v="0"/>
    <n v="0"/>
    <n v="0"/>
    <n v="0"/>
    <n v="0"/>
    <n v="-6998522.0099999998"/>
    <n v="-6998522.0099999998"/>
    <n v="293074.96000000002"/>
  </r>
  <r>
    <x v="5"/>
    <x v="29"/>
    <x v="0"/>
    <s v="9000938"/>
    <n v="700022"/>
    <s v="Salaries-Physician-Provider Incentive"/>
    <s v="Eliminations-PE Offset"/>
    <x v="0"/>
    <n v="4003"/>
    <n v="0"/>
    <n v="0"/>
    <n v="0"/>
    <n v="0"/>
    <n v="0"/>
    <n v="0"/>
    <n v="0"/>
    <n v="0"/>
    <n v="0"/>
    <n v="0"/>
    <n v="0"/>
    <n v="-1915412.54"/>
    <n v="-1915412.54"/>
    <n v="37592.31"/>
  </r>
  <r>
    <x v="5"/>
    <x v="29"/>
    <x v="0"/>
    <s v="9000938"/>
    <n v="700022"/>
    <s v="Salaries-Physician-Recruitment Bonus"/>
    <s v="Eliminations-PE Offset"/>
    <x v="0"/>
    <n v="4005"/>
    <n v="0"/>
    <n v="0"/>
    <n v="0"/>
    <n v="0"/>
    <n v="0"/>
    <n v="0"/>
    <n v="0"/>
    <n v="0"/>
    <n v="0"/>
    <n v="0"/>
    <n v="0"/>
    <n v="8587"/>
    <n v="8587"/>
    <n v="8303283.8099999996"/>
  </r>
  <r>
    <x v="5"/>
    <x v="29"/>
    <x v="0"/>
    <s v="9000938"/>
    <n v="700024"/>
    <s v="Salaries-Advanced Practice Clinician-Productive"/>
    <s v="Eliminations-PE Offset"/>
    <x v="0"/>
    <m/>
    <n v="0"/>
    <n v="0"/>
    <n v="0"/>
    <n v="0"/>
    <n v="0"/>
    <n v="0"/>
    <n v="0"/>
    <n v="0"/>
    <n v="0"/>
    <n v="0"/>
    <n v="0"/>
    <n v="-25638086.789999999"/>
    <n v="-25638086.789999999"/>
    <n v="375016.14"/>
  </r>
  <r>
    <x v="5"/>
    <x v="29"/>
    <x v="0"/>
    <s v="9000938"/>
    <n v="700024"/>
    <s v="Salaries-Advanced Practice Clinician-Other"/>
    <s v="Eliminations-PE Offset"/>
    <x v="0"/>
    <n v="2000"/>
    <n v="0"/>
    <n v="0"/>
    <n v="0"/>
    <n v="0"/>
    <n v="0"/>
    <n v="0"/>
    <n v="0"/>
    <n v="0"/>
    <n v="0"/>
    <n v="0"/>
    <n v="0"/>
    <n v="-1056816.72"/>
    <n v="-1056816.72"/>
    <n v="41531.599999999999"/>
  </r>
  <r>
    <x v="5"/>
    <x v="29"/>
    <x v="0"/>
    <s v="9000938"/>
    <n v="700024"/>
    <s v="Salaries-Advanced Practice Clinician-Provider Incentive"/>
    <s v="Eliminations-PE Offset"/>
    <x v="0"/>
    <n v="4003"/>
    <n v="0"/>
    <n v="0"/>
    <n v="0"/>
    <n v="0"/>
    <n v="0"/>
    <n v="0"/>
    <n v="0"/>
    <n v="0"/>
    <n v="0"/>
    <n v="0"/>
    <n v="0"/>
    <n v="-271262.42"/>
    <n v="-271262.42"/>
    <n v="15477007"/>
  </r>
  <r>
    <x v="5"/>
    <x v="29"/>
    <x v="0"/>
    <s v="9000938"/>
    <n v="700024"/>
    <s v="Salaries-Advanced Practice Clinician-Recruitment Bonus"/>
    <s v="Eliminations-PE Offset"/>
    <x v="0"/>
    <n v="4005"/>
    <n v="0"/>
    <n v="0"/>
    <n v="0"/>
    <n v="0"/>
    <n v="0"/>
    <n v="0"/>
    <n v="0"/>
    <n v="0"/>
    <n v="0"/>
    <n v="0"/>
    <n v="0"/>
    <n v="-10000"/>
    <n v="-10000"/>
    <n v="435792.93"/>
  </r>
  <r>
    <x v="5"/>
    <x v="29"/>
    <x v="0"/>
    <s v="9000938"/>
    <n v="700026"/>
    <s v="Salaries-RN-Productive"/>
    <s v="Eliminations-PE Offset"/>
    <x v="0"/>
    <m/>
    <n v="0"/>
    <n v="0"/>
    <n v="0"/>
    <n v="0"/>
    <n v="0"/>
    <n v="0"/>
    <n v="0"/>
    <n v="0"/>
    <n v="0"/>
    <n v="0"/>
    <n v="0"/>
    <n v="-9334390.1400000006"/>
    <n v="-9334390.1400000006"/>
    <n v="67876.59"/>
  </r>
  <r>
    <x v="5"/>
    <x v="29"/>
    <x v="0"/>
    <s v="9000938"/>
    <n v="700026"/>
    <s v="Salaries-RN-OT"/>
    <s v="Eliminations-PE Offset"/>
    <x v="0"/>
    <n v="1000"/>
    <n v="0"/>
    <n v="0"/>
    <n v="0"/>
    <n v="0"/>
    <n v="0"/>
    <n v="0"/>
    <n v="0"/>
    <n v="0"/>
    <n v="0"/>
    <n v="0"/>
    <n v="0"/>
    <n v="-293074.96000000002"/>
    <n v="-293074.96000000002"/>
    <n v="9578519.9199999999"/>
  </r>
  <r>
    <x v="5"/>
    <x v="29"/>
    <x v="0"/>
    <s v="9000938"/>
    <n v="700026"/>
    <s v="Salaries-RN-Other"/>
    <s v="Eliminations-PE Offset"/>
    <x v="0"/>
    <n v="2000"/>
    <n v="0"/>
    <n v="0"/>
    <n v="0"/>
    <n v="0"/>
    <n v="0"/>
    <n v="0"/>
    <n v="0"/>
    <n v="0"/>
    <n v="0"/>
    <n v="0"/>
    <n v="0"/>
    <n v="-37592.31"/>
    <n v="-37592.31"/>
    <n v="93448.97"/>
  </r>
  <r>
    <x v="5"/>
    <x v="29"/>
    <x v="0"/>
    <s v="9000938"/>
    <n v="700030"/>
    <s v="Salaries-LPN-Productive"/>
    <s v="Eliminations-PE Offset"/>
    <x v="0"/>
    <m/>
    <n v="0"/>
    <n v="0"/>
    <n v="0"/>
    <n v="0"/>
    <n v="0"/>
    <n v="0"/>
    <n v="0"/>
    <n v="0"/>
    <n v="0"/>
    <n v="0"/>
    <n v="0"/>
    <n v="-8303283.8099999996"/>
    <n v="-8303283.8099999996"/>
    <n v="55063.4"/>
  </r>
  <r>
    <x v="5"/>
    <x v="29"/>
    <x v="0"/>
    <s v="9000938"/>
    <n v="700030"/>
    <s v="Salaries-LPN-OT"/>
    <s v="Eliminations-PE Offset"/>
    <x v="0"/>
    <n v="1000"/>
    <n v="0"/>
    <n v="0"/>
    <n v="0"/>
    <n v="0"/>
    <n v="0"/>
    <n v="0"/>
    <n v="0"/>
    <n v="0"/>
    <n v="0"/>
    <n v="0"/>
    <n v="0"/>
    <n v="-375016.14"/>
    <n v="-375016.14"/>
    <n v="25312831.649999999"/>
  </r>
  <r>
    <x v="5"/>
    <x v="29"/>
    <x v="0"/>
    <s v="9000938"/>
    <n v="700030"/>
    <s v="Salaries-LPN-Other"/>
    <s v="Eliminations-PE Offset"/>
    <x v="0"/>
    <n v="2000"/>
    <n v="0"/>
    <n v="0"/>
    <n v="0"/>
    <n v="0"/>
    <n v="0"/>
    <n v="0"/>
    <n v="0"/>
    <n v="0"/>
    <n v="0"/>
    <n v="0"/>
    <n v="0"/>
    <n v="-41531.599999999999"/>
    <n v="-41531.599999999999"/>
    <n v="628610.91"/>
  </r>
  <r>
    <x v="5"/>
    <x v="29"/>
    <x v="0"/>
    <s v="9000938"/>
    <n v="700032"/>
    <s v="Salaries-Other Pat Care Providers-Productive"/>
    <s v="Eliminations-PE Offset"/>
    <x v="0"/>
    <m/>
    <n v="0"/>
    <n v="0"/>
    <n v="0"/>
    <n v="0"/>
    <n v="0"/>
    <n v="0"/>
    <n v="0"/>
    <n v="0"/>
    <n v="0"/>
    <n v="0"/>
    <n v="0"/>
    <n v="-15477007"/>
    <n v="-15477007"/>
    <n v="140858.01999999999"/>
  </r>
  <r>
    <x v="5"/>
    <x v="29"/>
    <x v="0"/>
    <s v="9000938"/>
    <n v="700032"/>
    <s v="Salaries-Other Pat Care Providers-OT"/>
    <s v="Eliminations-PE Offset"/>
    <x v="0"/>
    <n v="1000"/>
    <n v="0"/>
    <n v="0"/>
    <n v="0"/>
    <n v="0"/>
    <n v="0"/>
    <n v="0"/>
    <n v="0"/>
    <n v="0"/>
    <n v="0"/>
    <n v="0"/>
    <n v="0"/>
    <n v="-435792.93"/>
    <n v="-435792.93"/>
    <n v="995077.13"/>
  </r>
  <r>
    <x v="5"/>
    <x v="29"/>
    <x v="0"/>
    <s v="9000938"/>
    <n v="700032"/>
    <s v="Salaries-Other Pat Care Providers-Other"/>
    <s v="Eliminations-PE Offset"/>
    <x v="0"/>
    <n v="2000"/>
    <n v="0"/>
    <n v="0"/>
    <n v="0"/>
    <n v="0"/>
    <n v="0"/>
    <n v="0"/>
    <n v="0"/>
    <n v="0"/>
    <n v="0"/>
    <n v="0"/>
    <n v="0"/>
    <n v="-67876.59"/>
    <n v="-67876.59"/>
    <n v="501.17"/>
  </r>
  <r>
    <x v="5"/>
    <x v="29"/>
    <x v="0"/>
    <s v="9000938"/>
    <n v="700034"/>
    <s v="Salaries-Tech/Professional-Productive"/>
    <s v="Eliminations-PE Offset"/>
    <x v="0"/>
    <m/>
    <n v="0"/>
    <n v="0"/>
    <n v="0"/>
    <n v="0"/>
    <n v="0"/>
    <n v="0"/>
    <n v="0"/>
    <n v="0"/>
    <n v="0"/>
    <n v="0"/>
    <n v="0"/>
    <n v="-9578519.9199999999"/>
    <n v="-9578519.9199999999"/>
    <n v="665292.71"/>
  </r>
  <r>
    <x v="5"/>
    <x v="29"/>
    <x v="0"/>
    <s v="9000938"/>
    <n v="700034"/>
    <s v="Salaries-Tech/Professional-OT"/>
    <s v="Eliminations-PE Offset"/>
    <x v="0"/>
    <n v="1000"/>
    <n v="0"/>
    <n v="0"/>
    <n v="0"/>
    <n v="0"/>
    <n v="0"/>
    <n v="0"/>
    <n v="0"/>
    <n v="0"/>
    <n v="0"/>
    <n v="0"/>
    <n v="0"/>
    <n v="-93448.97"/>
    <n v="-93448.97"/>
    <n v="2243.27"/>
  </r>
  <r>
    <x v="5"/>
    <x v="29"/>
    <x v="0"/>
    <s v="9000938"/>
    <n v="700034"/>
    <s v="Salaries-Tech/Professional-Other"/>
    <s v="Eliminations-PE Offset"/>
    <x v="0"/>
    <n v="2000"/>
    <n v="0"/>
    <n v="0"/>
    <n v="0"/>
    <n v="0"/>
    <n v="0"/>
    <n v="0"/>
    <n v="0"/>
    <n v="0"/>
    <n v="0"/>
    <n v="0"/>
    <n v="0"/>
    <n v="-55063.4"/>
    <n v="-55063.4"/>
    <n v="14042446.16"/>
  </r>
  <r>
    <x v="5"/>
    <x v="29"/>
    <x v="0"/>
    <s v="9000938"/>
    <n v="700038"/>
    <s v="Salaries-Service/Support-Productive"/>
    <s v="Eliminations-PE Offset"/>
    <x v="0"/>
    <m/>
    <n v="0"/>
    <n v="0"/>
    <n v="0"/>
    <n v="0"/>
    <n v="0"/>
    <n v="0"/>
    <n v="0"/>
    <n v="0"/>
    <n v="0"/>
    <n v="0"/>
    <n v="0"/>
    <n v="-25312831.649999999"/>
    <n v="-25312831.649999999"/>
    <n v="-63218.68"/>
  </r>
  <r>
    <x v="5"/>
    <x v="29"/>
    <x v="0"/>
    <s v="9000938"/>
    <n v="700038"/>
    <s v="Salaries-Service/Support-OT"/>
    <s v="Eliminations-PE Offset"/>
    <x v="0"/>
    <n v="1000"/>
    <n v="0"/>
    <n v="0"/>
    <n v="0"/>
    <n v="0"/>
    <n v="0"/>
    <n v="0"/>
    <n v="0"/>
    <n v="0"/>
    <n v="0"/>
    <n v="0"/>
    <n v="0"/>
    <n v="-628610.91"/>
    <n v="-628610.91"/>
    <n v="3640356.97"/>
  </r>
  <r>
    <x v="5"/>
    <x v="29"/>
    <x v="0"/>
    <s v="9000938"/>
    <n v="700038"/>
    <s v="Salaries-Service/Support-Other"/>
    <s v="Eliminations-PE Offset"/>
    <x v="0"/>
    <n v="2000"/>
    <n v="0"/>
    <n v="0"/>
    <n v="0"/>
    <n v="0"/>
    <n v="0"/>
    <n v="0"/>
    <n v="0"/>
    <n v="0"/>
    <n v="0"/>
    <n v="0"/>
    <n v="0"/>
    <n v="-140858.01999999999"/>
    <n v="-140858.01999999999"/>
    <n v="-28442.38"/>
  </r>
  <r>
    <x v="5"/>
    <x v="29"/>
    <x v="0"/>
    <s v="9000938"/>
    <n v="700054"/>
    <s v="Salaries-Management-Non-productive"/>
    <s v="Eliminations-PE Offset"/>
    <x v="0"/>
    <m/>
    <n v="0"/>
    <n v="0"/>
    <n v="0"/>
    <n v="0"/>
    <n v="0"/>
    <n v="0"/>
    <n v="0"/>
    <n v="0"/>
    <n v="0"/>
    <n v="0"/>
    <n v="0"/>
    <n v="-995077.13"/>
    <n v="-995077.13"/>
    <n v="1029008.79"/>
  </r>
  <r>
    <x v="5"/>
    <x v="29"/>
    <x v="0"/>
    <s v="9000938"/>
    <n v="700054"/>
    <s v="Salaries-Management-NonProd-Other"/>
    <s v="Eliminations-PE Offset"/>
    <x v="0"/>
    <n v="2000"/>
    <n v="0"/>
    <n v="0"/>
    <n v="0"/>
    <n v="0"/>
    <n v="0"/>
    <n v="0"/>
    <n v="0"/>
    <n v="0"/>
    <n v="0"/>
    <n v="0"/>
    <n v="0"/>
    <n v="-501.17"/>
    <n v="-501.17"/>
    <n v="3852.02"/>
  </r>
  <r>
    <x v="5"/>
    <x v="29"/>
    <x v="0"/>
    <s v="9000938"/>
    <n v="700058"/>
    <s v="Salaries-Supervisory-Non-productive"/>
    <s v="Eliminations-PE Offset"/>
    <x v="0"/>
    <m/>
    <n v="0"/>
    <n v="0"/>
    <n v="0"/>
    <n v="0"/>
    <n v="0"/>
    <n v="0"/>
    <n v="0"/>
    <n v="0"/>
    <n v="0"/>
    <n v="0"/>
    <n v="0"/>
    <n v="-665292.71"/>
    <n v="-665292.71"/>
    <n v="1110938.05"/>
  </r>
  <r>
    <x v="5"/>
    <x v="29"/>
    <x v="0"/>
    <s v="9000938"/>
    <n v="700060"/>
    <s v="Salaries-Physician Admin-Non-productive"/>
    <s v="Eliminations-PE Offset"/>
    <x v="0"/>
    <m/>
    <n v="0"/>
    <n v="0"/>
    <n v="0"/>
    <n v="0"/>
    <n v="0"/>
    <n v="0"/>
    <n v="0"/>
    <n v="0"/>
    <n v="0"/>
    <n v="0"/>
    <n v="0"/>
    <n v="-2243.27"/>
    <n v="-2243.27"/>
    <n v="3073.86"/>
  </r>
  <r>
    <x v="5"/>
    <x v="29"/>
    <x v="0"/>
    <s v="9000938"/>
    <n v="700062"/>
    <s v="Salaries-Physician-Non-productive"/>
    <s v="Eliminations-PE Offset"/>
    <x v="0"/>
    <m/>
    <n v="0"/>
    <n v="0"/>
    <n v="0"/>
    <n v="0"/>
    <n v="0"/>
    <n v="0"/>
    <n v="0"/>
    <n v="0"/>
    <n v="0"/>
    <n v="0"/>
    <n v="0"/>
    <n v="-14042446.16"/>
    <n v="-14042446.16"/>
    <n v="2057598.22"/>
  </r>
  <r>
    <x v="5"/>
    <x v="29"/>
    <x v="0"/>
    <s v="9000938"/>
    <n v="700062"/>
    <s v="Salaries-Physician-NonProd-Other"/>
    <s v="Eliminations-PE Offset"/>
    <x v="0"/>
    <n v="2000"/>
    <n v="0"/>
    <n v="0"/>
    <n v="0"/>
    <n v="0"/>
    <n v="0"/>
    <n v="0"/>
    <n v="0"/>
    <n v="0"/>
    <n v="0"/>
    <n v="0"/>
    <n v="0"/>
    <n v="63218.68"/>
    <n v="63218.68"/>
    <n v="4227.58"/>
  </r>
  <r>
    <x v="5"/>
    <x v="29"/>
    <x v="0"/>
    <s v="9000938"/>
    <n v="700064"/>
    <s v="Salaries-Advanced Practice Clinician-Non-Productive"/>
    <s v="Eliminations-PE Offset"/>
    <x v="0"/>
    <m/>
    <n v="0"/>
    <n v="0"/>
    <n v="0"/>
    <n v="0"/>
    <n v="0"/>
    <n v="0"/>
    <n v="0"/>
    <n v="0"/>
    <n v="0"/>
    <n v="0"/>
    <n v="0"/>
    <n v="-3640356.97"/>
    <n v="-3640356.97"/>
    <n v="1264350.27"/>
  </r>
  <r>
    <x v="5"/>
    <x v="29"/>
    <x v="0"/>
    <s v="9000938"/>
    <n v="700064"/>
    <s v="Salaries-Advanced Practice Clinician-Non-Prod-Other"/>
    <s v="Eliminations-PE Offset"/>
    <x v="0"/>
    <n v="2000"/>
    <n v="0"/>
    <n v="0"/>
    <n v="0"/>
    <n v="0"/>
    <n v="0"/>
    <n v="0"/>
    <n v="0"/>
    <n v="0"/>
    <n v="0"/>
    <n v="0"/>
    <n v="0"/>
    <n v="28442.38"/>
    <n v="28442.38"/>
    <n v="252.44"/>
  </r>
  <r>
    <x v="5"/>
    <x v="29"/>
    <x v="0"/>
    <s v="9000938"/>
    <n v="700066"/>
    <s v="Salaries-RN-Non-productive"/>
    <s v="Eliminations-PE Offset"/>
    <x v="0"/>
    <m/>
    <n v="0"/>
    <n v="0"/>
    <n v="0"/>
    <n v="0"/>
    <n v="0"/>
    <n v="0"/>
    <n v="0"/>
    <n v="0"/>
    <n v="0"/>
    <n v="0"/>
    <n v="0"/>
    <n v="-1029008.79"/>
    <n v="-1029008.79"/>
    <n v="3492292.21"/>
  </r>
  <r>
    <x v="5"/>
    <x v="29"/>
    <x v="0"/>
    <s v="9000938"/>
    <n v="700066"/>
    <s v="Salaries-RN-NonProd-Other"/>
    <s v="Eliminations-PE Offset"/>
    <x v="0"/>
    <n v="2000"/>
    <n v="0"/>
    <n v="0"/>
    <n v="0"/>
    <n v="0"/>
    <n v="0"/>
    <n v="0"/>
    <n v="0"/>
    <n v="0"/>
    <n v="0"/>
    <n v="0"/>
    <n v="0"/>
    <n v="-3852.02"/>
    <n v="-3852.02"/>
    <n v="3991.46"/>
  </r>
  <r>
    <x v="5"/>
    <x v="29"/>
    <x v="0"/>
    <s v="9000938"/>
    <n v="700070"/>
    <s v="Salaries-LPN-Non-productive"/>
    <s v="Eliminations-PE Offset"/>
    <x v="0"/>
    <m/>
    <n v="0"/>
    <n v="0"/>
    <n v="0"/>
    <n v="0"/>
    <n v="0"/>
    <n v="0"/>
    <n v="0"/>
    <n v="0"/>
    <n v="0"/>
    <n v="0"/>
    <n v="0"/>
    <n v="-1110938.05"/>
    <n v="-1110938.05"/>
    <n v="738647.86"/>
  </r>
  <r>
    <x v="5"/>
    <x v="29"/>
    <x v="0"/>
    <s v="9000938"/>
    <n v="700070"/>
    <s v="Salaries-LPN-NonProd-Other"/>
    <s v="Eliminations-PE Offset"/>
    <x v="0"/>
    <n v="2000"/>
    <n v="0"/>
    <n v="0"/>
    <n v="0"/>
    <n v="0"/>
    <n v="0"/>
    <n v="0"/>
    <n v="0"/>
    <n v="0"/>
    <n v="0"/>
    <n v="0"/>
    <n v="0"/>
    <n v="-3073.86"/>
    <n v="-3073.86"/>
    <n v="761873.69"/>
  </r>
  <r>
    <x v="5"/>
    <x v="29"/>
    <x v="0"/>
    <s v="9000938"/>
    <n v="700072"/>
    <s v="Salaries-Other Pat Care Providers-Non-productive"/>
    <s v="Eliminations-PE Offset"/>
    <x v="0"/>
    <m/>
    <n v="0"/>
    <n v="0"/>
    <n v="0"/>
    <n v="0"/>
    <n v="0"/>
    <n v="0"/>
    <n v="0"/>
    <n v="0"/>
    <n v="0"/>
    <n v="0"/>
    <n v="0"/>
    <n v="-2057598.22"/>
    <n v="-2057598.22"/>
    <n v="95311.57"/>
  </r>
  <r>
    <x v="5"/>
    <x v="29"/>
    <x v="0"/>
    <s v="9000938"/>
    <n v="700072"/>
    <s v="Salaries-Other Pat Care Providers-NonProd-Other"/>
    <s v="Eliminations-PE Offset"/>
    <x v="0"/>
    <n v="2000"/>
    <n v="0"/>
    <n v="0"/>
    <n v="0"/>
    <n v="0"/>
    <n v="0"/>
    <n v="0"/>
    <n v="0"/>
    <n v="0"/>
    <n v="0"/>
    <n v="0"/>
    <n v="0"/>
    <n v="-4227.58"/>
    <n v="-4227.58"/>
    <n v="600217.93999999994"/>
  </r>
  <r>
    <x v="5"/>
    <x v="29"/>
    <x v="0"/>
    <s v="9000938"/>
    <n v="700074"/>
    <s v="Salaries-Tech/Professional-Non-productive"/>
    <s v="Eliminations-PE Offset"/>
    <x v="0"/>
    <m/>
    <n v="0"/>
    <n v="0"/>
    <n v="0"/>
    <n v="0"/>
    <n v="0"/>
    <n v="0"/>
    <n v="0"/>
    <n v="0"/>
    <n v="0"/>
    <n v="0"/>
    <n v="0"/>
    <n v="-1264350.27"/>
    <n v="-1264350.27"/>
    <n v="9327.26"/>
  </r>
  <r>
    <x v="5"/>
    <x v="29"/>
    <x v="0"/>
    <s v="9000938"/>
    <n v="700074"/>
    <s v="Salaries-Tech/Professional-NonProd-Other"/>
    <s v="Eliminations-PE Offset"/>
    <x v="0"/>
    <n v="2000"/>
    <n v="0"/>
    <n v="0"/>
    <n v="0"/>
    <n v="0"/>
    <n v="0"/>
    <n v="0"/>
    <n v="0"/>
    <n v="0"/>
    <n v="0"/>
    <n v="0"/>
    <n v="0"/>
    <n v="-252.44"/>
    <n v="-252.44"/>
    <n v="14140578.83"/>
  </r>
  <r>
    <x v="5"/>
    <x v="29"/>
    <x v="0"/>
    <s v="9000938"/>
    <n v="700078"/>
    <s v="Salaries-Service/Support-Non-productive"/>
    <s v="Eliminations-PE Offset"/>
    <x v="0"/>
    <m/>
    <n v="0"/>
    <n v="0"/>
    <n v="0"/>
    <n v="0"/>
    <n v="0"/>
    <n v="0"/>
    <n v="0"/>
    <n v="0"/>
    <n v="0"/>
    <n v="0"/>
    <n v="0"/>
    <n v="-3492292.21"/>
    <n v="-3492292.21"/>
    <n v="25543766.59"/>
  </r>
  <r>
    <x v="5"/>
    <x v="29"/>
    <x v="0"/>
    <s v="9000938"/>
    <n v="700078"/>
    <s v="Salaries-Service/Support-NonProd-Other"/>
    <s v="Eliminations-PE Offset"/>
    <x v="0"/>
    <n v="2000"/>
    <n v="0"/>
    <n v="0"/>
    <n v="0"/>
    <n v="0"/>
    <n v="0"/>
    <n v="0"/>
    <n v="0"/>
    <n v="0"/>
    <n v="0"/>
    <n v="0"/>
    <n v="0"/>
    <n v="-3991.46"/>
    <n v="-3991.46"/>
    <n v="6595811.1699999999"/>
  </r>
  <r>
    <x v="5"/>
    <x v="29"/>
    <x v="0"/>
    <s v="9000938"/>
    <n v="700084"/>
    <s v="Accrued PTO"/>
    <s v="Eliminations-PE Offset"/>
    <x v="0"/>
    <m/>
    <n v="0"/>
    <n v="0"/>
    <n v="0"/>
    <n v="0"/>
    <n v="0"/>
    <n v="0"/>
    <n v="0"/>
    <n v="0"/>
    <n v="0"/>
    <n v="0"/>
    <n v="0"/>
    <n v="-738647.86"/>
    <n v="-738647.86"/>
    <n v="3680806.43"/>
  </r>
  <r>
    <x v="10"/>
    <x v="29"/>
    <x v="0"/>
    <s v="9000938"/>
    <n v="710040"/>
    <s v="Contract Labor-Physician (Locum Tenum)"/>
    <s v="Eliminations-PE Offset"/>
    <x v="0"/>
    <m/>
    <n v="0"/>
    <n v="0"/>
    <n v="0"/>
    <n v="0"/>
    <n v="0"/>
    <n v="0"/>
    <n v="0"/>
    <n v="0"/>
    <n v="0"/>
    <n v="0"/>
    <n v="0"/>
    <n v="-761873.69"/>
    <n v="-761873.69"/>
    <n v="4837.46"/>
  </r>
  <r>
    <x v="10"/>
    <x v="29"/>
    <x v="0"/>
    <s v="9000938"/>
    <n v="710042"/>
    <s v="Locum Tenens Travel-Physician"/>
    <s v="Eliminations-PE Offset"/>
    <x v="0"/>
    <m/>
    <n v="0"/>
    <n v="0"/>
    <n v="0"/>
    <n v="0"/>
    <n v="0"/>
    <n v="0"/>
    <n v="0"/>
    <n v="0"/>
    <n v="0"/>
    <n v="0"/>
    <n v="0"/>
    <n v="-95311.57"/>
    <n v="-95311.57"/>
    <n v="39937.43"/>
  </r>
  <r>
    <x v="10"/>
    <x v="29"/>
    <x v="0"/>
    <s v="9000938"/>
    <n v="710060"/>
    <s v="Contract Labor-Other"/>
    <s v="Eliminations-PE Offset"/>
    <x v="0"/>
    <m/>
    <n v="0"/>
    <n v="0"/>
    <n v="0"/>
    <n v="0"/>
    <n v="0"/>
    <n v="0"/>
    <n v="0"/>
    <n v="0"/>
    <n v="0"/>
    <n v="0"/>
    <n v="0"/>
    <n v="-600217.93999999994"/>
    <n v="-600217.93999999994"/>
    <n v="33329123.48"/>
  </r>
  <r>
    <x v="10"/>
    <x v="29"/>
    <x v="0"/>
    <s v="9000938"/>
    <n v="710060"/>
    <s v="Contract Labor-Overtime"/>
    <s v="Eliminations-PE Offset"/>
    <x v="0"/>
    <n v="5100"/>
    <n v="0"/>
    <n v="0"/>
    <n v="0"/>
    <n v="0"/>
    <n v="0"/>
    <n v="0"/>
    <n v="0"/>
    <n v="0"/>
    <n v="0"/>
    <n v="0"/>
    <n v="0"/>
    <n v="-9327.26"/>
    <n v="-9327.26"/>
    <n v="-6115673.3600000003"/>
  </r>
  <r>
    <x v="6"/>
    <x v="29"/>
    <x v="0"/>
    <s v="9000938"/>
    <n v="713010"/>
    <s v="Benefits-FICA/Medicare"/>
    <s v="Eliminations-PE Offset"/>
    <x v="0"/>
    <m/>
    <n v="0"/>
    <n v="0"/>
    <n v="0"/>
    <n v="0"/>
    <n v="0"/>
    <n v="0"/>
    <n v="0"/>
    <n v="0"/>
    <n v="0"/>
    <n v="0"/>
    <n v="0"/>
    <n v="-14140578.83"/>
    <n v="-14140578.83"/>
    <n v="3715.21"/>
  </r>
  <r>
    <x v="6"/>
    <x v="29"/>
    <x v="0"/>
    <s v="9000938"/>
    <n v="713090"/>
    <s v="Benefits-Allocated Amounts"/>
    <s v="Eliminations-PE Offset"/>
    <x v="0"/>
    <m/>
    <n v="0"/>
    <n v="0"/>
    <n v="0"/>
    <n v="0"/>
    <n v="0"/>
    <n v="0"/>
    <n v="0"/>
    <n v="0"/>
    <n v="0"/>
    <n v="0"/>
    <n v="0"/>
    <n v="-25543766.59"/>
    <n v="-25543766.59"/>
    <n v="20185.23"/>
  </r>
  <r>
    <x v="6"/>
    <x v="29"/>
    <x v="0"/>
    <s v="9000938"/>
    <n v="713092"/>
    <s v="Allocated Benefits-Physician"/>
    <s v="Eliminations-PE Offset"/>
    <x v="0"/>
    <m/>
    <n v="0"/>
    <n v="0"/>
    <n v="0"/>
    <n v="0"/>
    <n v="0"/>
    <n v="0"/>
    <n v="0"/>
    <n v="0"/>
    <n v="0"/>
    <n v="0"/>
    <n v="0"/>
    <n v="-6595811.1699999999"/>
    <n v="-6595811.1699999999"/>
    <n v="289439.33"/>
  </r>
  <r>
    <x v="6"/>
    <x v="29"/>
    <x v="0"/>
    <s v="9000938"/>
    <n v="713093"/>
    <s v="Allocated Benefits-Advanced Practice Clinician"/>
    <s v="Eliminations-PE Offset"/>
    <x v="0"/>
    <m/>
    <n v="0"/>
    <n v="0"/>
    <n v="0"/>
    <n v="0"/>
    <n v="0"/>
    <n v="0"/>
    <n v="0"/>
    <n v="0"/>
    <n v="0"/>
    <n v="0"/>
    <n v="0"/>
    <n v="-3680806.43"/>
    <n v="-3680806.43"/>
    <n v="39206.550000000003"/>
  </r>
  <r>
    <x v="6"/>
    <x v="29"/>
    <x v="0"/>
    <s v="9000938"/>
    <n v="713096"/>
    <s v="Benefits-Other"/>
    <s v="Eliminations-PE Offset"/>
    <x v="0"/>
    <m/>
    <n v="0"/>
    <n v="0"/>
    <n v="0"/>
    <n v="0"/>
    <n v="0"/>
    <n v="0"/>
    <n v="0"/>
    <n v="0"/>
    <n v="0"/>
    <n v="0"/>
    <n v="0"/>
    <n v="-4837.46"/>
    <n v="-4837.46"/>
    <n v="150254.67000000001"/>
  </r>
  <r>
    <x v="6"/>
    <x v="29"/>
    <x v="0"/>
    <s v="9000938"/>
    <n v="713096"/>
    <s v="Employee Recognition"/>
    <s v="Eliminations-PE Offset"/>
    <x v="0"/>
    <n v="1017"/>
    <n v="0"/>
    <n v="0"/>
    <n v="0"/>
    <n v="0"/>
    <n v="0"/>
    <n v="0"/>
    <n v="0"/>
    <n v="0"/>
    <n v="0"/>
    <n v="0"/>
    <n v="0"/>
    <n v="-39937.43"/>
    <n v="-39937.43"/>
    <n v="22873.32"/>
  </r>
  <r>
    <x v="17"/>
    <x v="29"/>
    <x v="0"/>
    <s v="9000938"/>
    <n v="714520"/>
    <s v="Other Contracted Professionals"/>
    <s v="Eliminations-PE Offset"/>
    <x v="0"/>
    <m/>
    <n v="0"/>
    <n v="0"/>
    <n v="0"/>
    <n v="0"/>
    <n v="0"/>
    <n v="0"/>
    <n v="0"/>
    <n v="0"/>
    <n v="0"/>
    <n v="0"/>
    <n v="0"/>
    <n v="-33329123.48"/>
    <n v="-33329123.48"/>
    <n v="3775"/>
  </r>
  <r>
    <x v="17"/>
    <x v="29"/>
    <x v="0"/>
    <s v="9000938"/>
    <n v="714520"/>
    <s v="Other Contract Prof-Pulmonologist"/>
    <s v="Eliminations-PE Offset"/>
    <x v="0"/>
    <n v="1130"/>
    <n v="0"/>
    <n v="0"/>
    <n v="0"/>
    <n v="0"/>
    <n v="0"/>
    <n v="0"/>
    <n v="0"/>
    <n v="0"/>
    <n v="0"/>
    <n v="0"/>
    <n v="0"/>
    <n v="6115673.3600000003"/>
    <n v="6115673.3600000003"/>
    <n v="2016501.14"/>
  </r>
  <r>
    <x v="21"/>
    <x v="29"/>
    <x v="0"/>
    <s v="9000938"/>
    <n v="716026"/>
    <s v="Consulting-Clinical"/>
    <s v="Eliminations-PE Offset"/>
    <x v="0"/>
    <m/>
    <n v="0"/>
    <n v="0"/>
    <n v="0"/>
    <n v="0"/>
    <n v="0"/>
    <n v="0"/>
    <n v="0"/>
    <n v="0"/>
    <n v="0"/>
    <n v="0"/>
    <n v="0"/>
    <n v="-3715.21"/>
    <n v="-3715.21"/>
    <n v="12463.11"/>
  </r>
  <r>
    <x v="7"/>
    <x v="29"/>
    <x v="0"/>
    <s v="9000938"/>
    <n v="716038"/>
    <s v="Contract Services-Legal"/>
    <s v="Eliminations-PE Offset"/>
    <x v="0"/>
    <m/>
    <n v="0"/>
    <n v="0"/>
    <n v="0"/>
    <n v="0"/>
    <n v="0"/>
    <n v="0"/>
    <n v="0"/>
    <n v="0"/>
    <n v="0"/>
    <n v="0"/>
    <n v="0"/>
    <n v="-20185.23"/>
    <n v="-20185.23"/>
    <n v="77160.42"/>
  </r>
  <r>
    <x v="21"/>
    <x v="29"/>
    <x v="0"/>
    <s v="9000938"/>
    <n v="716046"/>
    <s v="Consulting-Other"/>
    <s v="Eliminations-PE Offset"/>
    <x v="0"/>
    <m/>
    <n v="0"/>
    <n v="0"/>
    <n v="0"/>
    <n v="0"/>
    <n v="0"/>
    <n v="0"/>
    <n v="0"/>
    <n v="0"/>
    <n v="0"/>
    <n v="0"/>
    <n v="0"/>
    <n v="-289439.33"/>
    <n v="-289439.33"/>
    <n v="491978.31"/>
  </r>
  <r>
    <x v="7"/>
    <x v="29"/>
    <x v="0"/>
    <s v="9000938"/>
    <n v="718010"/>
    <s v="Contract Services-Advertising &amp; Public Relations"/>
    <s v="Eliminations-PE Offset"/>
    <x v="0"/>
    <m/>
    <n v="0"/>
    <n v="0"/>
    <n v="0"/>
    <n v="0"/>
    <n v="0"/>
    <n v="0"/>
    <n v="0"/>
    <n v="0"/>
    <n v="0"/>
    <n v="0"/>
    <n v="0"/>
    <n v="-39206.550000000003"/>
    <n v="-39206.550000000003"/>
    <n v="278143.34000000003"/>
  </r>
  <r>
    <x v="7"/>
    <x v="29"/>
    <x v="0"/>
    <s v="9000938"/>
    <n v="718010"/>
    <s v="Media/Print Advertising"/>
    <s v="Eliminations-PE Offset"/>
    <x v="0"/>
    <n v="1004"/>
    <n v="0"/>
    <n v="0"/>
    <n v="0"/>
    <n v="0"/>
    <n v="0"/>
    <n v="0"/>
    <n v="0"/>
    <n v="0"/>
    <n v="0"/>
    <n v="0"/>
    <n v="0"/>
    <n v="-150254.67000000001"/>
    <n v="-150254.67000000001"/>
    <n v="2150.63"/>
  </r>
  <r>
    <x v="7"/>
    <x v="29"/>
    <x v="0"/>
    <s v="9000938"/>
    <n v="718040"/>
    <s v="Contract Svcs-Laboratory"/>
    <s v="Eliminations-PE Offset"/>
    <x v="0"/>
    <m/>
    <n v="0"/>
    <n v="0"/>
    <n v="0"/>
    <n v="0"/>
    <n v="0"/>
    <n v="0"/>
    <n v="0"/>
    <n v="0"/>
    <n v="0"/>
    <n v="0"/>
    <n v="0"/>
    <n v="-22873.32"/>
    <n v="-22873.32"/>
    <n v="1085.46"/>
  </r>
  <r>
    <x v="7"/>
    <x v="29"/>
    <x v="0"/>
    <s v="9000938"/>
    <n v="718045"/>
    <s v="Contract Svcs-Collection Fees"/>
    <s v="Eliminations-PE Offset"/>
    <x v="0"/>
    <m/>
    <n v="0"/>
    <n v="0"/>
    <n v="0"/>
    <n v="0"/>
    <n v="0"/>
    <n v="0"/>
    <n v="0"/>
    <n v="0"/>
    <n v="0"/>
    <n v="0"/>
    <n v="0"/>
    <n v="-3775"/>
    <n v="-3775"/>
    <n v="616799.5"/>
  </r>
  <r>
    <x v="7"/>
    <x v="29"/>
    <x v="0"/>
    <s v="9000938"/>
    <n v="718050"/>
    <s v="Contract Svcs-Other"/>
    <s v="Eliminations-PE Offset"/>
    <x v="0"/>
    <m/>
    <n v="0"/>
    <n v="0"/>
    <n v="0"/>
    <n v="0"/>
    <n v="0"/>
    <n v="0"/>
    <n v="0"/>
    <n v="0"/>
    <n v="0"/>
    <n v="0"/>
    <n v="0"/>
    <n v="-2016501.14"/>
    <n v="-2016501.14"/>
    <n v="8136.48"/>
  </r>
  <r>
    <x v="7"/>
    <x v="29"/>
    <x v="0"/>
    <s v="9000938"/>
    <n v="718050"/>
    <s v="Management Fees"/>
    <s v="Eliminations-PE Offset"/>
    <x v="0"/>
    <n v="1004"/>
    <n v="0"/>
    <n v="0"/>
    <n v="0"/>
    <n v="0"/>
    <n v="0"/>
    <n v="0"/>
    <n v="0"/>
    <n v="0"/>
    <n v="0"/>
    <n v="0"/>
    <n v="0"/>
    <n v="-12463.11"/>
    <n v="-12463.11"/>
    <n v="45281.46"/>
  </r>
  <r>
    <x v="7"/>
    <x v="29"/>
    <x v="0"/>
    <s v="9000938"/>
    <n v="718050"/>
    <s v="Transcription"/>
    <s v="Eliminations-PE Offset"/>
    <x v="0"/>
    <n v="1006"/>
    <n v="0"/>
    <n v="0"/>
    <n v="0"/>
    <n v="0"/>
    <n v="0"/>
    <n v="0"/>
    <n v="0"/>
    <n v="0"/>
    <n v="0"/>
    <n v="0"/>
    <n v="0"/>
    <n v="-77160.42"/>
    <n v="-77160.42"/>
    <n v="36693141.020000003"/>
  </r>
  <r>
    <x v="7"/>
    <x v="29"/>
    <x v="0"/>
    <s v="9000938"/>
    <n v="718050"/>
    <s v="Cleaning Services"/>
    <s v="Eliminations-PE Offset"/>
    <x v="0"/>
    <n v="1011"/>
    <n v="0"/>
    <n v="0"/>
    <n v="0"/>
    <n v="0"/>
    <n v="0"/>
    <n v="0"/>
    <n v="0"/>
    <n v="0"/>
    <n v="0"/>
    <n v="0"/>
    <n v="0"/>
    <n v="-491978.31"/>
    <n v="-491978.31"/>
    <n v="631828.62"/>
  </r>
  <r>
    <x v="7"/>
    <x v="29"/>
    <x v="0"/>
    <s v="9000938"/>
    <n v="718050"/>
    <s v="Document Shredding/Storage"/>
    <s v="Eliminations-PE Offset"/>
    <x v="0"/>
    <n v="1012"/>
    <n v="0"/>
    <n v="0"/>
    <n v="0"/>
    <n v="0"/>
    <n v="0"/>
    <n v="0"/>
    <n v="0"/>
    <n v="0"/>
    <n v="0"/>
    <n v="0"/>
    <n v="0"/>
    <n v="-278143.34000000003"/>
    <n v="-278143.34000000003"/>
    <n v="408574.99"/>
  </r>
  <r>
    <x v="7"/>
    <x v="29"/>
    <x v="0"/>
    <s v="9000938"/>
    <n v="718050"/>
    <s v="Lawn Services"/>
    <s v="Eliminations-PE Offset"/>
    <x v="0"/>
    <n v="1013"/>
    <n v="0"/>
    <n v="0"/>
    <n v="0"/>
    <n v="0"/>
    <n v="0"/>
    <n v="0"/>
    <n v="0"/>
    <n v="0"/>
    <n v="0"/>
    <n v="0"/>
    <n v="0"/>
    <n v="-2150.63"/>
    <n v="-2150.63"/>
    <n v="189955.45"/>
  </r>
  <r>
    <x v="7"/>
    <x v="29"/>
    <x v="0"/>
    <s v="9000938"/>
    <n v="718050"/>
    <s v="Pest Control"/>
    <s v="Eliminations-PE Offset"/>
    <x v="0"/>
    <n v="1014"/>
    <n v="0"/>
    <n v="0"/>
    <n v="0"/>
    <n v="0"/>
    <n v="0"/>
    <n v="0"/>
    <n v="0"/>
    <n v="0"/>
    <n v="0"/>
    <n v="0"/>
    <n v="0"/>
    <n v="-1085.46"/>
    <n v="-1085.46"/>
    <n v="36224.089999999997"/>
  </r>
  <r>
    <x v="7"/>
    <x v="29"/>
    <x v="0"/>
    <s v="9000938"/>
    <n v="718050"/>
    <s v="Physician Answering"/>
    <s v="Eliminations-PE Offset"/>
    <x v="0"/>
    <n v="1015"/>
    <n v="0"/>
    <n v="0"/>
    <n v="0"/>
    <n v="0"/>
    <n v="0"/>
    <n v="0"/>
    <n v="0"/>
    <n v="0"/>
    <n v="0"/>
    <n v="0"/>
    <n v="0"/>
    <n v="-616799.5"/>
    <n v="-616799.5"/>
    <n v="41684.06"/>
  </r>
  <r>
    <x v="7"/>
    <x v="29"/>
    <x v="0"/>
    <s v="9000938"/>
    <n v="718050"/>
    <s v="Radiology"/>
    <s v="Eliminations-PE Offset"/>
    <x v="0"/>
    <n v="1017"/>
    <n v="0"/>
    <n v="0"/>
    <n v="0"/>
    <n v="0"/>
    <n v="0"/>
    <n v="0"/>
    <n v="0"/>
    <n v="0"/>
    <n v="0"/>
    <n v="0"/>
    <n v="0"/>
    <n v="-8136.48"/>
    <n v="-8136.48"/>
    <n v="2730527"/>
  </r>
  <r>
    <x v="7"/>
    <x v="29"/>
    <x v="0"/>
    <s v="9000938"/>
    <n v="718050"/>
    <s v="Security"/>
    <s v="Eliminations-PE Offset"/>
    <x v="0"/>
    <n v="1019"/>
    <n v="0"/>
    <n v="0"/>
    <n v="0"/>
    <n v="0"/>
    <n v="0"/>
    <n v="0"/>
    <n v="0"/>
    <n v="0"/>
    <n v="0"/>
    <n v="0"/>
    <n v="0"/>
    <n v="-45281.46"/>
    <n v="-45281.46"/>
    <n v="190008"/>
  </r>
  <r>
    <x v="7"/>
    <x v="29"/>
    <x v="0"/>
    <s v="9000938"/>
    <n v="718050"/>
    <s v="Miscellaneous Purchased Svcs"/>
    <s v="Eliminations-PE Offset"/>
    <x v="0"/>
    <n v="1020"/>
    <n v="0"/>
    <n v="0"/>
    <n v="0"/>
    <n v="0"/>
    <n v="0"/>
    <n v="0"/>
    <n v="0"/>
    <n v="0"/>
    <n v="0"/>
    <n v="0"/>
    <n v="0"/>
    <n v="-36693141.020000003"/>
    <n v="-36693141.020000003"/>
    <n v="233000.4"/>
  </r>
  <r>
    <x v="7"/>
    <x v="29"/>
    <x v="0"/>
    <s v="9000938"/>
    <n v="718050"/>
    <s v="Translation Services"/>
    <s v="Eliminations-PE Offset"/>
    <x v="0"/>
    <n v="1025"/>
    <n v="0"/>
    <n v="0"/>
    <n v="0"/>
    <n v="0"/>
    <n v="0"/>
    <n v="0"/>
    <n v="0"/>
    <n v="0"/>
    <n v="0"/>
    <n v="0"/>
    <n v="0"/>
    <n v="-631828.62"/>
    <n v="-631828.62"/>
    <n v="12264"/>
  </r>
  <r>
    <x v="7"/>
    <x v="29"/>
    <x v="0"/>
    <s v="9000938"/>
    <n v="718050"/>
    <s v="Contract Management--Linen"/>
    <s v="Eliminations-PE Offset"/>
    <x v="0"/>
    <n v="1026"/>
    <n v="0"/>
    <n v="0"/>
    <n v="0"/>
    <n v="0"/>
    <n v="0"/>
    <n v="0"/>
    <n v="0"/>
    <n v="0"/>
    <n v="0"/>
    <n v="0"/>
    <n v="0"/>
    <n v="-408574.99"/>
    <n v="-408574.99"/>
    <n v="856512.16"/>
  </r>
  <r>
    <x v="7"/>
    <x v="29"/>
    <x v="0"/>
    <s v="9000938"/>
    <n v="718050"/>
    <s v="Purchased Srvcs--Medical Waste"/>
    <s v="Eliminations-PE Offset"/>
    <x v="0"/>
    <n v="1027"/>
    <n v="0"/>
    <n v="0"/>
    <n v="0"/>
    <n v="0"/>
    <n v="0"/>
    <n v="0"/>
    <n v="0"/>
    <n v="0"/>
    <n v="0"/>
    <n v="0"/>
    <n v="0"/>
    <n v="-189955.45"/>
    <n v="-189955.45"/>
    <n v="2072.7399999999998"/>
  </r>
  <r>
    <x v="7"/>
    <x v="29"/>
    <x v="0"/>
    <s v="9000938"/>
    <n v="718050"/>
    <s v="Contract Services-Food&amp;Catering"/>
    <s v="Eliminations-PE Offset"/>
    <x v="0"/>
    <n v="1030"/>
    <n v="0"/>
    <n v="0"/>
    <n v="0"/>
    <n v="0"/>
    <n v="0"/>
    <n v="0"/>
    <n v="0"/>
    <n v="0"/>
    <n v="0"/>
    <n v="0"/>
    <n v="0"/>
    <n v="-36224.089999999997"/>
    <n v="-36224.089999999997"/>
    <n v="11835000"/>
  </r>
  <r>
    <x v="7"/>
    <x v="29"/>
    <x v="0"/>
    <s v="9000938"/>
    <n v="718059"/>
    <s v="Contract Services-Physician Revenue Cycle Fees"/>
    <s v="Eliminations-PE Offset"/>
    <x v="0"/>
    <m/>
    <n v="0"/>
    <n v="0"/>
    <n v="0"/>
    <n v="0"/>
    <n v="0"/>
    <n v="0"/>
    <n v="0"/>
    <n v="0"/>
    <n v="0"/>
    <n v="0"/>
    <n v="0"/>
    <n v="-41684.06"/>
    <n v="-41684.06"/>
    <n v="320117.18"/>
  </r>
  <r>
    <x v="7"/>
    <x v="29"/>
    <x v="0"/>
    <s v="9000938"/>
    <n v="718060"/>
    <s v="Contract Services-CHI RRC Fees"/>
    <s v="Eliminations-PE Offset"/>
    <x v="0"/>
    <m/>
    <n v="0"/>
    <n v="0"/>
    <n v="0"/>
    <n v="0"/>
    <n v="0"/>
    <n v="0"/>
    <n v="0"/>
    <n v="0"/>
    <n v="0"/>
    <n v="0"/>
    <n v="0"/>
    <n v="-2730527"/>
    <n v="-2730527"/>
    <n v="3829994.68"/>
  </r>
  <r>
    <x v="7"/>
    <x v="29"/>
    <x v="0"/>
    <s v="9000938"/>
    <n v="718061"/>
    <s v="Contract Services-CRO Allocation"/>
    <s v="Eliminations-PE Offset"/>
    <x v="0"/>
    <m/>
    <n v="0"/>
    <n v="0"/>
    <n v="0"/>
    <n v="0"/>
    <n v="0"/>
    <n v="0"/>
    <n v="0"/>
    <n v="0"/>
    <n v="0"/>
    <n v="0"/>
    <n v="0"/>
    <n v="-190008"/>
    <n v="-190008"/>
    <n v="3253082.23"/>
  </r>
  <r>
    <x v="7"/>
    <x v="29"/>
    <x v="0"/>
    <s v="9000938"/>
    <n v="718065"/>
    <s v="Contract Services-CHI Legal Fees"/>
    <s v="Eliminations-PE Offset"/>
    <x v="0"/>
    <m/>
    <n v="0"/>
    <n v="0"/>
    <n v="0"/>
    <n v="0"/>
    <n v="0"/>
    <n v="0"/>
    <n v="0"/>
    <n v="0"/>
    <n v="0"/>
    <n v="0"/>
    <n v="0"/>
    <n v="-233000.4"/>
    <n v="-233000.4"/>
    <n v="4357.47"/>
  </r>
  <r>
    <x v="7"/>
    <x v="29"/>
    <x v="0"/>
    <s v="9000938"/>
    <n v="718066"/>
    <s v="Contract Services-CHI Tax Services"/>
    <s v="Eliminations-PE Offset"/>
    <x v="0"/>
    <m/>
    <n v="0"/>
    <n v="0"/>
    <n v="0"/>
    <n v="0"/>
    <n v="0"/>
    <n v="0"/>
    <n v="0"/>
    <n v="0"/>
    <n v="0"/>
    <n v="0"/>
    <n v="0"/>
    <n v="-12264"/>
    <n v="-12264"/>
    <n v="4712.87"/>
  </r>
  <r>
    <x v="7"/>
    <x v="29"/>
    <x v="0"/>
    <s v="9000938"/>
    <n v="718070"/>
    <s v="Contract Srvcs-CHI Clinical Engineering"/>
    <s v="Eliminations-PE Offset"/>
    <x v="0"/>
    <m/>
    <n v="0"/>
    <n v="0"/>
    <n v="0"/>
    <n v="0"/>
    <n v="0"/>
    <n v="0"/>
    <n v="0"/>
    <n v="0"/>
    <n v="0"/>
    <n v="0"/>
    <n v="0"/>
    <n v="-856512.16"/>
    <n v="-856512.16"/>
    <n v="3577.16"/>
  </r>
  <r>
    <x v="7"/>
    <x v="29"/>
    <x v="0"/>
    <s v="9000938"/>
    <n v="718071"/>
    <s v="Contract Srvcs-CHI Facilities Mgmt"/>
    <s v="Eliminations-PE Offset"/>
    <x v="0"/>
    <m/>
    <n v="0"/>
    <n v="0"/>
    <n v="0"/>
    <n v="0"/>
    <n v="0"/>
    <n v="0"/>
    <n v="0"/>
    <n v="0"/>
    <n v="0"/>
    <n v="0"/>
    <n v="0"/>
    <n v="-2072.7399999999998"/>
    <n v="-2072.7399999999998"/>
    <n v="13783.64"/>
  </r>
  <r>
    <x v="7"/>
    <x v="29"/>
    <x v="0"/>
    <s v="9000938"/>
    <n v="718075"/>
    <s v="Contract Srvcs-CHI ITS Steady State"/>
    <s v="Eliminations-PE Offset"/>
    <x v="0"/>
    <m/>
    <n v="0"/>
    <n v="0"/>
    <n v="0"/>
    <n v="0"/>
    <n v="0"/>
    <n v="0"/>
    <n v="0"/>
    <n v="0"/>
    <n v="0"/>
    <n v="0"/>
    <n v="0"/>
    <n v="-11835000"/>
    <n v="-11835000"/>
    <n v="50"/>
  </r>
  <r>
    <x v="7"/>
    <x v="29"/>
    <x v="0"/>
    <s v="9000938"/>
    <n v="718077"/>
    <s v="PACS"/>
    <s v="Eliminations-PE Offset"/>
    <x v="0"/>
    <n v="1000"/>
    <n v="0"/>
    <n v="0"/>
    <n v="0"/>
    <n v="0"/>
    <n v="0"/>
    <n v="0"/>
    <n v="0"/>
    <n v="0"/>
    <n v="0"/>
    <n v="0"/>
    <n v="0"/>
    <n v="-320117.18"/>
    <n v="-320117.18"/>
    <n v="11974.41"/>
  </r>
  <r>
    <x v="7"/>
    <x v="29"/>
    <x v="0"/>
    <s v="9000938"/>
    <n v="718091"/>
    <s v="Contract Services-Intracompany Allocation"/>
    <s v="Eliminations-PE Offset"/>
    <x v="0"/>
    <m/>
    <n v="0"/>
    <n v="0"/>
    <n v="0"/>
    <n v="0"/>
    <n v="0"/>
    <n v="0"/>
    <n v="0"/>
    <n v="0"/>
    <n v="0"/>
    <n v="0"/>
    <n v="0"/>
    <n v="-3829994.68"/>
    <n v="-3829994.68"/>
    <n v="82812.179999999993"/>
  </r>
  <r>
    <x v="11"/>
    <x v="29"/>
    <x v="0"/>
    <s v="9000938"/>
    <n v="721010"/>
    <s v="Supplies-Medical - Billable"/>
    <s v="Eliminations-PE Offset"/>
    <x v="0"/>
    <m/>
    <n v="0"/>
    <n v="0"/>
    <n v="0"/>
    <n v="0"/>
    <n v="0"/>
    <n v="0"/>
    <n v="0"/>
    <n v="0"/>
    <n v="0"/>
    <n v="0"/>
    <n v="0"/>
    <n v="-3253082.23"/>
    <n v="-3253082.23"/>
    <n v="59484.639999999999"/>
  </r>
  <r>
    <x v="11"/>
    <x v="29"/>
    <x v="0"/>
    <s v="9000938"/>
    <n v="721010"/>
    <s v="Patient Monitoring"/>
    <s v="Eliminations-PE Offset"/>
    <x v="0"/>
    <n v="1000"/>
    <n v="0"/>
    <n v="0"/>
    <n v="0"/>
    <n v="0"/>
    <n v="0"/>
    <n v="0"/>
    <n v="0"/>
    <n v="0"/>
    <n v="0"/>
    <n v="0"/>
    <n v="0"/>
    <n v="-4357.47"/>
    <n v="-4357.47"/>
    <n v="3803.3"/>
  </r>
  <r>
    <x v="11"/>
    <x v="29"/>
    <x v="0"/>
    <s v="9000938"/>
    <n v="721020"/>
    <s v="Supplies-Surgical - Billable"/>
    <s v="Eliminations-PE Offset"/>
    <x v="0"/>
    <m/>
    <n v="0"/>
    <n v="0"/>
    <n v="0"/>
    <n v="0"/>
    <n v="0"/>
    <n v="0"/>
    <n v="0"/>
    <n v="0"/>
    <n v="0"/>
    <n v="0"/>
    <n v="0"/>
    <n v="-4712.87"/>
    <n v="-4712.87"/>
    <n v="39821.050000000003"/>
  </r>
  <r>
    <x v="11"/>
    <x v="29"/>
    <x v="0"/>
    <s v="9000938"/>
    <n v="721020"/>
    <s v="Custom Packs"/>
    <s v="Eliminations-PE Offset"/>
    <x v="0"/>
    <n v="1000"/>
    <n v="0"/>
    <n v="0"/>
    <n v="0"/>
    <n v="0"/>
    <n v="0"/>
    <n v="0"/>
    <n v="0"/>
    <n v="0"/>
    <n v="0"/>
    <n v="0"/>
    <n v="0"/>
    <n v="-3577.16"/>
    <n v="-3577.16"/>
    <n v="336.7"/>
  </r>
  <r>
    <x v="11"/>
    <x v="29"/>
    <x v="0"/>
    <s v="9000938"/>
    <n v="721020"/>
    <s v="Suture/Wound Closure"/>
    <s v="Eliminations-PE Offset"/>
    <x v="0"/>
    <n v="1001"/>
    <n v="0"/>
    <n v="0"/>
    <n v="0"/>
    <n v="0"/>
    <n v="0"/>
    <n v="0"/>
    <n v="0"/>
    <n v="0"/>
    <n v="0"/>
    <n v="0"/>
    <n v="0"/>
    <n v="-13783.64"/>
    <n v="-13783.64"/>
    <n v="4363.74"/>
  </r>
  <r>
    <x v="11"/>
    <x v="29"/>
    <x v="0"/>
    <s v="9000938"/>
    <n v="721020"/>
    <s v="Endoscopy - Trocars &amp; Accessories"/>
    <s v="Eliminations-PE Offset"/>
    <x v="0"/>
    <n v="1002"/>
    <n v="0"/>
    <n v="0"/>
    <n v="0"/>
    <n v="0"/>
    <n v="0"/>
    <n v="0"/>
    <n v="0"/>
    <n v="0"/>
    <n v="0"/>
    <n v="0"/>
    <n v="0"/>
    <n v="-50"/>
    <n v="-50"/>
    <n v="35984.300000000003"/>
  </r>
  <r>
    <x v="11"/>
    <x v="29"/>
    <x v="0"/>
    <s v="9000938"/>
    <n v="721020"/>
    <s v="Endomechanical Supplies &amp; Instruments"/>
    <s v="Eliminations-PE Offset"/>
    <x v="0"/>
    <n v="1003"/>
    <n v="0"/>
    <n v="0"/>
    <n v="0"/>
    <n v="0"/>
    <n v="0"/>
    <n v="0"/>
    <n v="0"/>
    <n v="0"/>
    <n v="0"/>
    <n v="0"/>
    <n v="0"/>
    <n v="-11974.41"/>
    <n v="-11974.41"/>
    <n v="8299639.5700000003"/>
  </r>
  <r>
    <x v="11"/>
    <x v="29"/>
    <x v="0"/>
    <s v="9000938"/>
    <n v="721020"/>
    <s v="Urological Supplies"/>
    <s v="Eliminations-PE Offset"/>
    <x v="0"/>
    <n v="1006"/>
    <n v="0"/>
    <n v="0"/>
    <n v="0"/>
    <n v="0"/>
    <n v="0"/>
    <n v="0"/>
    <n v="0"/>
    <n v="0"/>
    <n v="0"/>
    <n v="0"/>
    <n v="0"/>
    <n v="-82812.179999999993"/>
    <n v="-82812.179999999993"/>
    <n v="76003.839999999997"/>
  </r>
  <r>
    <x v="11"/>
    <x v="29"/>
    <x v="0"/>
    <s v="9000938"/>
    <n v="721050"/>
    <s v="Supplies-Cardiac Rhythm - Billable"/>
    <s v="Eliminations-PE Offset"/>
    <x v="0"/>
    <m/>
    <n v="0"/>
    <n v="0"/>
    <n v="0"/>
    <n v="0"/>
    <n v="0"/>
    <n v="0"/>
    <n v="0"/>
    <n v="0"/>
    <n v="0"/>
    <n v="0"/>
    <n v="0"/>
    <n v="-59484.639999999999"/>
    <n v="-59484.639999999999"/>
    <n v="3296.1"/>
  </r>
  <r>
    <x v="11"/>
    <x v="29"/>
    <x v="0"/>
    <s v="9000938"/>
    <n v="721150"/>
    <s v="Supplies-Other Implants - Billable"/>
    <s v="Eliminations-PE Offset"/>
    <x v="0"/>
    <m/>
    <n v="0"/>
    <n v="0"/>
    <n v="0"/>
    <n v="0"/>
    <n v="0"/>
    <n v="0"/>
    <n v="0"/>
    <n v="0"/>
    <n v="0"/>
    <n v="0"/>
    <n v="0"/>
    <n v="-3803.3"/>
    <n v="-3803.3"/>
    <n v="3358.67"/>
  </r>
  <r>
    <x v="11"/>
    <x v="29"/>
    <x v="0"/>
    <s v="9000938"/>
    <n v="721150"/>
    <s v="Surgical Orthopedic"/>
    <s v="Eliminations-PE Offset"/>
    <x v="0"/>
    <n v="1000"/>
    <n v="0"/>
    <n v="0"/>
    <n v="0"/>
    <n v="0"/>
    <n v="0"/>
    <n v="0"/>
    <n v="0"/>
    <n v="0"/>
    <n v="0"/>
    <n v="0"/>
    <n v="0"/>
    <n v="-39821.050000000003"/>
    <n v="-39821.050000000003"/>
    <n v="75685.149999999994"/>
  </r>
  <r>
    <x v="11"/>
    <x v="29"/>
    <x v="0"/>
    <s v="9000938"/>
    <n v="721210"/>
    <s v="Supplies-Anesthesia - Billable"/>
    <s v="Eliminations-PE Offset"/>
    <x v="0"/>
    <m/>
    <n v="0"/>
    <n v="0"/>
    <n v="0"/>
    <n v="0"/>
    <n v="0"/>
    <n v="0"/>
    <n v="0"/>
    <n v="0"/>
    <n v="0"/>
    <n v="0"/>
    <n v="0"/>
    <n v="-336.7"/>
    <n v="-336.7"/>
    <n v="2227919.11"/>
  </r>
  <r>
    <x v="11"/>
    <x v="29"/>
    <x v="0"/>
    <s v="9000938"/>
    <n v="721220"/>
    <s v="Supplies-Medical Gases - Billable"/>
    <s v="Eliminations-PE Offset"/>
    <x v="0"/>
    <m/>
    <n v="0"/>
    <n v="0"/>
    <n v="0"/>
    <n v="0"/>
    <n v="0"/>
    <n v="0"/>
    <n v="0"/>
    <n v="0"/>
    <n v="0"/>
    <n v="0"/>
    <n v="0"/>
    <n v="-4363.74"/>
    <n v="-4363.74"/>
    <n v="169.26"/>
  </r>
  <r>
    <x v="11"/>
    <x v="29"/>
    <x v="0"/>
    <s v="9000938"/>
    <n v="721240"/>
    <s v="Supplies-IV Solutions/Supplies - Billable"/>
    <s v="Eliminations-PE Offset"/>
    <x v="0"/>
    <m/>
    <n v="0"/>
    <n v="0"/>
    <n v="0"/>
    <n v="0"/>
    <n v="0"/>
    <n v="0"/>
    <n v="0"/>
    <n v="0"/>
    <n v="0"/>
    <n v="0"/>
    <n v="0"/>
    <n v="-35984.300000000003"/>
    <n v="-35984.300000000003"/>
    <n v="38348.480000000003"/>
  </r>
  <r>
    <x v="11"/>
    <x v="29"/>
    <x v="0"/>
    <s v="9000938"/>
    <n v="721250"/>
    <s v="Supplies-Pharmacy Drugs - Billable"/>
    <s v="Eliminations-PE Offset"/>
    <x v="0"/>
    <m/>
    <n v="0"/>
    <n v="0"/>
    <n v="0"/>
    <n v="0"/>
    <n v="0"/>
    <n v="0"/>
    <n v="0"/>
    <n v="0"/>
    <n v="0"/>
    <n v="0"/>
    <n v="0"/>
    <n v="-8299639.5700000003"/>
    <n v="-8299639.5700000003"/>
    <n v="13015.19"/>
  </r>
  <r>
    <x v="11"/>
    <x v="29"/>
    <x v="0"/>
    <s v="9000938"/>
    <n v="721250"/>
    <s v="OP Pharmacy Drugs"/>
    <s v="Eliminations-PE Offset"/>
    <x v="0"/>
    <n v="1002"/>
    <n v="0"/>
    <n v="0"/>
    <n v="0"/>
    <n v="0"/>
    <n v="0"/>
    <n v="0"/>
    <n v="0"/>
    <n v="0"/>
    <n v="0"/>
    <n v="0"/>
    <n v="0"/>
    <n v="-76003.839999999997"/>
    <n v="-76003.839999999997"/>
    <n v="12053.15"/>
  </r>
  <r>
    <x v="11"/>
    <x v="29"/>
    <x v="0"/>
    <s v="9000938"/>
    <n v="721320"/>
    <s v="Supplies-Purchased Blood - Billable"/>
    <s v="Eliminations-PE Offset"/>
    <x v="0"/>
    <m/>
    <n v="0"/>
    <n v="0"/>
    <n v="0"/>
    <n v="0"/>
    <n v="0"/>
    <n v="0"/>
    <n v="0"/>
    <n v="0"/>
    <n v="0"/>
    <n v="0"/>
    <n v="0"/>
    <n v="-3296.1"/>
    <n v="-3296.1"/>
    <n v="53440.11"/>
  </r>
  <r>
    <x v="11"/>
    <x v="29"/>
    <x v="0"/>
    <s v="9000938"/>
    <n v="721350"/>
    <s v="Supplies-Film/Radiographic - Billable"/>
    <s v="Eliminations-PE Offset"/>
    <x v="0"/>
    <m/>
    <n v="0"/>
    <n v="0"/>
    <n v="0"/>
    <n v="0"/>
    <n v="0"/>
    <n v="0"/>
    <n v="0"/>
    <n v="0"/>
    <n v="0"/>
    <n v="0"/>
    <n v="0"/>
    <n v="-3358.67"/>
    <n v="-3358.67"/>
    <n v="95577.94"/>
  </r>
  <r>
    <x v="11"/>
    <x v="29"/>
    <x v="0"/>
    <s v="9000938"/>
    <n v="721350"/>
    <s v="Radiology Imaging - Contrast Media"/>
    <s v="Eliminations-PE Offset"/>
    <x v="0"/>
    <n v="1000"/>
    <n v="0"/>
    <n v="0"/>
    <n v="0"/>
    <n v="0"/>
    <n v="0"/>
    <n v="0"/>
    <n v="0"/>
    <n v="0"/>
    <n v="0"/>
    <n v="0"/>
    <n v="0"/>
    <n v="-75685.149999999994"/>
    <n v="-75685.149999999994"/>
    <n v="36448.01"/>
  </r>
  <r>
    <x v="11"/>
    <x v="29"/>
    <x v="0"/>
    <s v="9000938"/>
    <n v="721410"/>
    <s v="Supplies-Medical - Nonbillable"/>
    <s v="Eliminations-PE Offset"/>
    <x v="0"/>
    <m/>
    <n v="0"/>
    <n v="0"/>
    <n v="0"/>
    <n v="0"/>
    <n v="0"/>
    <n v="0"/>
    <n v="0"/>
    <n v="0"/>
    <n v="0"/>
    <n v="0"/>
    <n v="0"/>
    <n v="-2227919.11"/>
    <n v="-2227919.11"/>
    <n v="23084.78"/>
  </r>
  <r>
    <x v="11"/>
    <x v="29"/>
    <x v="0"/>
    <s v="9000938"/>
    <n v="721410"/>
    <s v="Patient Monitoring"/>
    <s v="Eliminations-PE Offset"/>
    <x v="0"/>
    <n v="1000"/>
    <n v="0"/>
    <n v="0"/>
    <n v="0"/>
    <n v="0"/>
    <n v="0"/>
    <n v="0"/>
    <n v="0"/>
    <n v="0"/>
    <n v="0"/>
    <n v="0"/>
    <n v="0"/>
    <n v="-169.26"/>
    <n v="-169.26"/>
    <n v="54857.38"/>
  </r>
  <r>
    <x v="11"/>
    <x v="29"/>
    <x v="0"/>
    <s v="9000938"/>
    <n v="721420"/>
    <s v="Supplies-Surgical Nonbillable"/>
    <s v="Eliminations-PE Offset"/>
    <x v="0"/>
    <m/>
    <n v="0"/>
    <n v="0"/>
    <n v="0"/>
    <n v="0"/>
    <n v="0"/>
    <n v="0"/>
    <n v="0"/>
    <n v="0"/>
    <n v="0"/>
    <n v="0"/>
    <n v="0"/>
    <n v="-38348.480000000003"/>
    <n v="-38348.480000000003"/>
    <n v="1270.73"/>
  </r>
  <r>
    <x v="11"/>
    <x v="29"/>
    <x v="0"/>
    <s v="9000938"/>
    <n v="721420"/>
    <s v="Sterilization Process Products"/>
    <s v="Eliminations-PE Offset"/>
    <x v="0"/>
    <n v="1009"/>
    <n v="0"/>
    <n v="0"/>
    <n v="0"/>
    <n v="0"/>
    <n v="0"/>
    <n v="0"/>
    <n v="0"/>
    <n v="0"/>
    <n v="0"/>
    <n v="0"/>
    <n v="0"/>
    <n v="-13015.19"/>
    <n v="-13015.19"/>
    <n v="107722.46"/>
  </r>
  <r>
    <x v="11"/>
    <x v="29"/>
    <x v="0"/>
    <s v="9000938"/>
    <n v="721610"/>
    <s v="Supplies-Anesthesia - Nonbillable"/>
    <s v="Eliminations-PE Offset"/>
    <x v="0"/>
    <m/>
    <n v="0"/>
    <n v="0"/>
    <n v="0"/>
    <n v="0"/>
    <n v="0"/>
    <n v="0"/>
    <n v="0"/>
    <n v="0"/>
    <n v="0"/>
    <n v="0"/>
    <n v="0"/>
    <n v="-12053.15"/>
    <n v="-12053.15"/>
    <n v="795973.77"/>
  </r>
  <r>
    <x v="11"/>
    <x v="29"/>
    <x v="0"/>
    <s v="9000938"/>
    <n v="721640"/>
    <s v="Supplies-IV Solutions/Supplies - Nonbillable"/>
    <s v="Eliminations-PE Offset"/>
    <x v="0"/>
    <m/>
    <n v="0"/>
    <n v="0"/>
    <n v="0"/>
    <n v="0"/>
    <n v="0"/>
    <n v="0"/>
    <n v="0"/>
    <n v="0"/>
    <n v="0"/>
    <n v="0"/>
    <n v="0"/>
    <n v="-53440.11"/>
    <n v="-53440.11"/>
    <n v="47454.47"/>
  </r>
  <r>
    <x v="11"/>
    <x v="29"/>
    <x v="0"/>
    <s v="9000938"/>
    <n v="721650"/>
    <s v="Supplies-Pharmacy Drugs - Nonbillable"/>
    <s v="Eliminations-PE Offset"/>
    <x v="0"/>
    <m/>
    <n v="0"/>
    <n v="0"/>
    <n v="0"/>
    <n v="0"/>
    <n v="0"/>
    <n v="0"/>
    <n v="0"/>
    <n v="0"/>
    <n v="0"/>
    <n v="0"/>
    <n v="0"/>
    <n v="-95577.94"/>
    <n v="-95577.94"/>
    <n v="103654.91"/>
  </r>
  <r>
    <x v="11"/>
    <x v="29"/>
    <x v="0"/>
    <s v="9000938"/>
    <n v="721650"/>
    <s v="Radioactive Material"/>
    <s v="Eliminations-PE Offset"/>
    <x v="0"/>
    <n v="1001"/>
    <n v="0"/>
    <n v="0"/>
    <n v="0"/>
    <n v="0"/>
    <n v="0"/>
    <n v="0"/>
    <n v="0"/>
    <n v="0"/>
    <n v="0"/>
    <n v="0"/>
    <n v="0"/>
    <n v="-36448.01"/>
    <n v="-36448.01"/>
    <n v="8856.9599999999991"/>
  </r>
  <r>
    <x v="11"/>
    <x v="29"/>
    <x v="0"/>
    <s v="9000938"/>
    <n v="721710"/>
    <s v="Supplies-Laboratory - Nonbillable"/>
    <s v="Eliminations-PE Offset"/>
    <x v="0"/>
    <m/>
    <n v="0"/>
    <n v="0"/>
    <n v="0"/>
    <n v="0"/>
    <n v="0"/>
    <n v="0"/>
    <n v="0"/>
    <n v="0"/>
    <n v="0"/>
    <n v="0"/>
    <n v="0"/>
    <n v="-23084.78"/>
    <n v="-23084.78"/>
    <n v="452563.21"/>
  </r>
  <r>
    <x v="11"/>
    <x v="29"/>
    <x v="0"/>
    <s v="9000938"/>
    <n v="721710"/>
    <s v="Reagents"/>
    <s v="Eliminations-PE Offset"/>
    <x v="0"/>
    <n v="1000"/>
    <n v="0"/>
    <n v="0"/>
    <n v="0"/>
    <n v="0"/>
    <n v="0"/>
    <n v="0"/>
    <n v="0"/>
    <n v="0"/>
    <n v="0"/>
    <n v="0"/>
    <n v="0"/>
    <n v="-54857.38"/>
    <n v="-54857.38"/>
    <n v="8392.7999999999993"/>
  </r>
  <r>
    <x v="11"/>
    <x v="29"/>
    <x v="0"/>
    <s v="9000938"/>
    <n v="721750"/>
    <s v="Supplies-Film/Radiographic - Nonbillable"/>
    <s v="Eliminations-PE Offset"/>
    <x v="0"/>
    <m/>
    <n v="0"/>
    <n v="0"/>
    <n v="0"/>
    <n v="0"/>
    <n v="0"/>
    <n v="0"/>
    <n v="0"/>
    <n v="0"/>
    <n v="0"/>
    <n v="0"/>
    <n v="0"/>
    <n v="-1270.73"/>
    <n v="-1270.73"/>
    <n v="382340.96"/>
  </r>
  <r>
    <x v="11"/>
    <x v="29"/>
    <x v="0"/>
    <s v="9000938"/>
    <n v="721810"/>
    <s v="Supplies-Dietary/Cafeteria"/>
    <s v="Eliminations-PE Offset"/>
    <x v="0"/>
    <m/>
    <n v="0"/>
    <n v="0"/>
    <n v="0"/>
    <n v="0"/>
    <n v="0"/>
    <n v="0"/>
    <n v="0"/>
    <n v="0"/>
    <n v="0"/>
    <n v="0"/>
    <n v="0"/>
    <n v="-107722.46"/>
    <n v="-107722.46"/>
    <n v="29755.19"/>
  </r>
  <r>
    <x v="11"/>
    <x v="29"/>
    <x v="0"/>
    <s v="9000938"/>
    <n v="721830"/>
    <s v="Supplies-Office"/>
    <s v="Eliminations-PE Offset"/>
    <x v="0"/>
    <m/>
    <n v="0"/>
    <n v="0"/>
    <n v="0"/>
    <n v="0"/>
    <n v="0"/>
    <n v="0"/>
    <n v="0"/>
    <n v="0"/>
    <n v="0"/>
    <n v="0"/>
    <n v="0"/>
    <n v="-795973.77"/>
    <n v="-795973.77"/>
    <n v="233.34"/>
  </r>
  <r>
    <x v="11"/>
    <x v="29"/>
    <x v="0"/>
    <s v="9000938"/>
    <n v="721835"/>
    <s v="Supplies-Forms"/>
    <s v="Eliminations-PE Offset"/>
    <x v="0"/>
    <m/>
    <n v="0"/>
    <n v="0"/>
    <n v="0"/>
    <n v="0"/>
    <n v="0"/>
    <n v="0"/>
    <n v="0"/>
    <n v="0"/>
    <n v="0"/>
    <n v="0"/>
    <n v="0"/>
    <n v="-47454.47"/>
    <n v="-47454.47"/>
    <n v="-322652.37"/>
  </r>
  <r>
    <x v="11"/>
    <x v="29"/>
    <x v="0"/>
    <s v="9000938"/>
    <n v="721870"/>
    <s v="Supplies-Environmental Services"/>
    <s v="Eliminations-PE Offset"/>
    <x v="0"/>
    <m/>
    <n v="0"/>
    <n v="0"/>
    <n v="0"/>
    <n v="0"/>
    <n v="0"/>
    <n v="0"/>
    <n v="0"/>
    <n v="0"/>
    <n v="0"/>
    <n v="0"/>
    <n v="0"/>
    <n v="-103654.91"/>
    <n v="-103654.91"/>
    <n v="-5185.95"/>
  </r>
  <r>
    <x v="11"/>
    <x v="29"/>
    <x v="0"/>
    <s v="9000938"/>
    <n v="721880"/>
    <s v="Supplies-Linen"/>
    <s v="Eliminations-PE Offset"/>
    <x v="0"/>
    <m/>
    <n v="0"/>
    <n v="0"/>
    <n v="0"/>
    <n v="0"/>
    <n v="0"/>
    <n v="0"/>
    <n v="0"/>
    <n v="0"/>
    <n v="0"/>
    <n v="0"/>
    <n v="0"/>
    <n v="-8856.9599999999991"/>
    <n v="-8856.9599999999991"/>
    <n v="-1467.75"/>
  </r>
  <r>
    <x v="11"/>
    <x v="29"/>
    <x v="0"/>
    <s v="9000938"/>
    <n v="721910"/>
    <s v="Supplies-Small Equipment"/>
    <s v="Eliminations-PE Offset"/>
    <x v="0"/>
    <m/>
    <n v="0"/>
    <n v="0"/>
    <n v="0"/>
    <n v="0"/>
    <n v="0"/>
    <n v="0"/>
    <n v="0"/>
    <n v="0"/>
    <n v="0"/>
    <n v="0"/>
    <n v="0"/>
    <n v="-452563.21"/>
    <n v="-452563.21"/>
    <n v="0.02"/>
  </r>
  <r>
    <x v="11"/>
    <x v="29"/>
    <x v="0"/>
    <s v="9000938"/>
    <n v="721910"/>
    <s v="Instruments"/>
    <s v="Eliminations-PE Offset"/>
    <x v="0"/>
    <n v="1000"/>
    <n v="0"/>
    <n v="0"/>
    <n v="0"/>
    <n v="0"/>
    <n v="0"/>
    <n v="0"/>
    <n v="0"/>
    <n v="0"/>
    <n v="0"/>
    <n v="0"/>
    <n v="0"/>
    <n v="-8392.7999999999993"/>
    <n v="-8392.7999999999993"/>
    <n v="18709831.420000002"/>
  </r>
  <r>
    <x v="11"/>
    <x v="29"/>
    <x v="0"/>
    <s v="9000938"/>
    <n v="721980"/>
    <s v="Supplies-Other"/>
    <s v="Eliminations-PE Offset"/>
    <x v="0"/>
    <m/>
    <n v="0"/>
    <n v="0"/>
    <n v="0"/>
    <n v="0"/>
    <n v="0"/>
    <n v="0"/>
    <n v="0"/>
    <n v="0"/>
    <n v="0"/>
    <n v="0"/>
    <n v="0"/>
    <n v="-382340.96"/>
    <n v="-382340.96"/>
    <n v="6658595.2400000002"/>
  </r>
  <r>
    <x v="11"/>
    <x v="29"/>
    <x v="0"/>
    <s v="9000938"/>
    <n v="722000"/>
    <s v="Supplies-Freight Expense"/>
    <s v="Eliminations-PE Offset"/>
    <x v="0"/>
    <m/>
    <n v="0"/>
    <n v="0"/>
    <n v="0"/>
    <n v="0"/>
    <n v="0"/>
    <n v="0"/>
    <n v="0"/>
    <n v="0"/>
    <n v="0"/>
    <n v="0"/>
    <n v="0"/>
    <n v="-29755.19"/>
    <n v="-29755.19"/>
    <n v="179898.22"/>
  </r>
  <r>
    <x v="11"/>
    <x v="29"/>
    <x v="0"/>
    <s v="9000938"/>
    <n v="722000"/>
    <s v="Minimum Order Fees"/>
    <s v="Eliminations-PE Offset"/>
    <x v="0"/>
    <n v="1000"/>
    <n v="0"/>
    <n v="0"/>
    <n v="0"/>
    <n v="0"/>
    <n v="0"/>
    <n v="0"/>
    <n v="0"/>
    <n v="0"/>
    <n v="0"/>
    <n v="0"/>
    <n v="0"/>
    <n v="-233.34"/>
    <n v="-233.34"/>
    <n v="935639.74"/>
  </r>
  <r>
    <x v="11"/>
    <x v="29"/>
    <x v="0"/>
    <s v="9000938"/>
    <n v="723000"/>
    <s v="Supply Rebates/Patronage Dividend"/>
    <s v="Eliminations-PE Offset"/>
    <x v="0"/>
    <m/>
    <n v="0"/>
    <n v="0"/>
    <n v="0"/>
    <n v="0"/>
    <n v="0"/>
    <n v="0"/>
    <n v="0"/>
    <n v="0"/>
    <n v="0"/>
    <n v="0"/>
    <n v="0"/>
    <n v="322652.37"/>
    <n v="322652.37"/>
    <n v="2262544.56"/>
  </r>
  <r>
    <x v="11"/>
    <x v="29"/>
    <x v="0"/>
    <s v="9000938"/>
    <n v="723500"/>
    <s v="Discounts Taken *"/>
    <s v="Eliminations-PE Offset"/>
    <x v="0"/>
    <m/>
    <n v="0"/>
    <n v="0"/>
    <n v="0"/>
    <n v="0"/>
    <n v="0"/>
    <n v="0"/>
    <n v="0"/>
    <n v="0"/>
    <n v="0"/>
    <n v="0"/>
    <n v="0"/>
    <n v="5185.95"/>
    <n v="5185.95"/>
    <n v="5123.4399999999996"/>
  </r>
  <r>
    <x v="11"/>
    <x v="29"/>
    <x v="0"/>
    <s v="9000938"/>
    <n v="724000"/>
    <s v="Item Cost Variance Suspense *"/>
    <s v="Eliminations-PE Offset"/>
    <x v="0"/>
    <m/>
    <n v="0"/>
    <n v="0"/>
    <n v="0"/>
    <n v="0"/>
    <n v="0"/>
    <n v="0"/>
    <n v="0"/>
    <n v="0"/>
    <n v="0"/>
    <n v="0"/>
    <n v="0"/>
    <n v="1467.75"/>
    <n v="1467.75"/>
    <n v="240545.65"/>
  </r>
  <r>
    <x v="11"/>
    <x v="29"/>
    <x v="0"/>
    <s v="9000938"/>
    <n v="724001"/>
    <s v="Tolerance Offset *"/>
    <s v="Eliminations-PE Offset"/>
    <x v="0"/>
    <m/>
    <n v="0"/>
    <n v="0"/>
    <n v="0"/>
    <n v="0"/>
    <n v="0"/>
    <n v="0"/>
    <n v="0"/>
    <n v="0"/>
    <n v="0"/>
    <n v="0"/>
    <n v="0"/>
    <n v="-0.02"/>
    <n v="-0.02"/>
    <n v="15162"/>
  </r>
  <r>
    <x v="12"/>
    <x v="29"/>
    <x v="0"/>
    <s v="9000938"/>
    <n v="730010"/>
    <s v="Rental and Leases-Building (DO NOT USE)"/>
    <s v="Eliminations-PE Offset"/>
    <x v="0"/>
    <m/>
    <n v="0"/>
    <n v="0"/>
    <n v="0"/>
    <n v="0"/>
    <n v="0"/>
    <n v="0"/>
    <n v="0"/>
    <n v="0"/>
    <n v="0"/>
    <n v="0"/>
    <n v="0"/>
    <n v="-18709831.420000002"/>
    <n v="-18709831.420000002"/>
    <n v="23344.29"/>
  </r>
  <r>
    <x v="12"/>
    <x v="29"/>
    <x v="0"/>
    <s v="9000938"/>
    <n v="730010"/>
    <s v="Rental-Common Area Maint (DO NOT USE)"/>
    <s v="Eliminations-PE Offset"/>
    <x v="0"/>
    <n v="2200"/>
    <n v="0"/>
    <n v="0"/>
    <n v="0"/>
    <n v="0"/>
    <n v="0"/>
    <n v="0"/>
    <n v="0"/>
    <n v="0"/>
    <n v="0"/>
    <n v="0"/>
    <n v="0"/>
    <n v="-6658595.2400000002"/>
    <n v="-6658595.2400000002"/>
    <n v="87419.43"/>
  </r>
  <r>
    <x v="12"/>
    <x v="29"/>
    <x v="0"/>
    <s v="9000938"/>
    <n v="730020"/>
    <s v="Rental and Leases-Equipment (DO NOT USE)"/>
    <s v="Eliminations-PE Offset"/>
    <x v="0"/>
    <m/>
    <n v="0"/>
    <n v="0"/>
    <n v="0"/>
    <n v="0"/>
    <n v="0"/>
    <n v="0"/>
    <n v="0"/>
    <n v="0"/>
    <n v="0"/>
    <n v="0"/>
    <n v="0"/>
    <n v="-179898.22"/>
    <n v="-179898.22"/>
    <n v="1545573.57"/>
  </r>
  <r>
    <x v="12"/>
    <x v="29"/>
    <x v="0"/>
    <s v="9000938"/>
    <n v="730020"/>
    <s v="Rental and Leases-Copier Usage Fees (DO NOT USE)"/>
    <s v="Eliminations-PE Offset"/>
    <x v="0"/>
    <n v="5100"/>
    <n v="0"/>
    <n v="0"/>
    <n v="0"/>
    <n v="0"/>
    <n v="0"/>
    <n v="0"/>
    <n v="0"/>
    <n v="0"/>
    <n v="0"/>
    <n v="0"/>
    <n v="0"/>
    <n v="-935639.74"/>
    <n v="-935639.74"/>
    <n v="13126.08"/>
  </r>
  <r>
    <x v="12"/>
    <x v="29"/>
    <x v="0"/>
    <s v="9000938"/>
    <n v="730040"/>
    <s v="LT Lease-Real Estate"/>
    <s v="Eliminations-PE Offset"/>
    <x v="0"/>
    <m/>
    <n v="0"/>
    <n v="0"/>
    <n v="0"/>
    <n v="0"/>
    <n v="0"/>
    <n v="0"/>
    <n v="0"/>
    <n v="0"/>
    <n v="0"/>
    <n v="0"/>
    <n v="0"/>
    <n v="-2262544.56"/>
    <n v="-2262544.56"/>
    <n v="25997.279999999999"/>
  </r>
  <r>
    <x v="15"/>
    <x v="29"/>
    <x v="0"/>
    <s v="9000938"/>
    <n v="731010"/>
    <s v="Natural Gas"/>
    <s v="Eliminations-PE Offset"/>
    <x v="0"/>
    <m/>
    <n v="0"/>
    <n v="0"/>
    <n v="0"/>
    <n v="0"/>
    <n v="0"/>
    <n v="0"/>
    <n v="0"/>
    <n v="0"/>
    <n v="0"/>
    <n v="0"/>
    <n v="0"/>
    <n v="-5123.4399999999996"/>
    <n v="-5123.4399999999996"/>
    <n v="718.96"/>
  </r>
  <r>
    <x v="15"/>
    <x v="29"/>
    <x v="0"/>
    <s v="9000938"/>
    <n v="731020"/>
    <s v="Electricity"/>
    <s v="Eliminations-PE Offset"/>
    <x v="0"/>
    <m/>
    <n v="0"/>
    <n v="0"/>
    <n v="0"/>
    <n v="0"/>
    <n v="0"/>
    <n v="0"/>
    <n v="0"/>
    <n v="0"/>
    <n v="0"/>
    <n v="0"/>
    <n v="0"/>
    <n v="-240545.65"/>
    <n v="-240545.65"/>
    <n v="86151.05"/>
  </r>
  <r>
    <x v="15"/>
    <x v="29"/>
    <x v="0"/>
    <s v="9000938"/>
    <n v="731030"/>
    <s v="Water"/>
    <s v="Eliminations-PE Offset"/>
    <x v="0"/>
    <m/>
    <n v="0"/>
    <n v="0"/>
    <n v="0"/>
    <n v="0"/>
    <n v="0"/>
    <n v="0"/>
    <n v="0"/>
    <n v="0"/>
    <n v="0"/>
    <n v="0"/>
    <n v="0"/>
    <n v="-15162"/>
    <n v="-15162"/>
    <n v="49999.26"/>
  </r>
  <r>
    <x v="15"/>
    <x v="29"/>
    <x v="0"/>
    <s v="9000938"/>
    <n v="731040"/>
    <s v="Sewer"/>
    <s v="Eliminations-PE Offset"/>
    <x v="0"/>
    <m/>
    <n v="0"/>
    <n v="0"/>
    <n v="0"/>
    <n v="0"/>
    <n v="0"/>
    <n v="0"/>
    <n v="0"/>
    <n v="0"/>
    <n v="0"/>
    <n v="0"/>
    <n v="0"/>
    <n v="-23344.29"/>
    <n v="-23344.29"/>
    <n v="2674.68"/>
  </r>
  <r>
    <x v="15"/>
    <x v="29"/>
    <x v="0"/>
    <s v="9000938"/>
    <n v="731050"/>
    <s v="Refuse Disposal"/>
    <s v="Eliminations-PE Offset"/>
    <x v="0"/>
    <m/>
    <n v="0"/>
    <n v="0"/>
    <n v="0"/>
    <n v="0"/>
    <n v="0"/>
    <n v="0"/>
    <n v="0"/>
    <n v="0"/>
    <n v="0"/>
    <n v="0"/>
    <n v="0"/>
    <n v="-87419.43"/>
    <n v="-87419.43"/>
    <n v="52160.72"/>
  </r>
  <r>
    <x v="15"/>
    <x v="29"/>
    <x v="0"/>
    <s v="9000938"/>
    <n v="731060"/>
    <s v="Telephone"/>
    <s v="Eliminations-PE Offset"/>
    <x v="0"/>
    <m/>
    <n v="0"/>
    <n v="0"/>
    <n v="0"/>
    <n v="0"/>
    <n v="0"/>
    <n v="0"/>
    <n v="0"/>
    <n v="0"/>
    <n v="0"/>
    <n v="0"/>
    <n v="0"/>
    <n v="-1545573.57"/>
    <n v="-1545573.57"/>
    <n v="1722.97"/>
  </r>
  <r>
    <x v="15"/>
    <x v="29"/>
    <x v="0"/>
    <s v="9000938"/>
    <n v="731060"/>
    <s v="Cell Phones"/>
    <s v="Eliminations-PE Offset"/>
    <x v="0"/>
    <n v="1001"/>
    <n v="0"/>
    <n v="0"/>
    <n v="0"/>
    <n v="0"/>
    <n v="0"/>
    <n v="0"/>
    <n v="0"/>
    <n v="0"/>
    <n v="0"/>
    <n v="0"/>
    <n v="0"/>
    <n v="-13126.08"/>
    <n v="-13126.08"/>
    <n v="456909.28"/>
  </r>
  <r>
    <x v="15"/>
    <x v="29"/>
    <x v="0"/>
    <s v="9000938"/>
    <n v="731060"/>
    <s v="Pagers"/>
    <s v="Eliminations-PE Offset"/>
    <x v="0"/>
    <n v="1002"/>
    <n v="0"/>
    <n v="0"/>
    <n v="0"/>
    <n v="0"/>
    <n v="0"/>
    <n v="0"/>
    <n v="0"/>
    <n v="0"/>
    <n v="0"/>
    <n v="0"/>
    <n v="0"/>
    <n v="-25997.279999999999"/>
    <n v="-25997.279999999999"/>
    <n v="41422.269999999997"/>
  </r>
  <r>
    <x v="15"/>
    <x v="29"/>
    <x v="0"/>
    <s v="9000938"/>
    <n v="731063"/>
    <s v="Cell Phones-Advanced Practice Clinician"/>
    <s v="Eliminations-PE Offset"/>
    <x v="0"/>
    <n v="2000"/>
    <n v="0"/>
    <n v="0"/>
    <n v="0"/>
    <n v="0"/>
    <n v="0"/>
    <n v="0"/>
    <n v="0"/>
    <n v="0"/>
    <n v="0"/>
    <n v="0"/>
    <n v="0"/>
    <n v="-718.96"/>
    <n v="-718.96"/>
    <n v="308.76"/>
  </r>
  <r>
    <x v="15"/>
    <x v="29"/>
    <x v="0"/>
    <s v="9000938"/>
    <n v="731065"/>
    <s v="Data Communications"/>
    <s v="Eliminations-PE Offset"/>
    <x v="0"/>
    <m/>
    <n v="0"/>
    <n v="0"/>
    <n v="0"/>
    <n v="0"/>
    <n v="0"/>
    <n v="0"/>
    <n v="0"/>
    <n v="0"/>
    <n v="0"/>
    <n v="0"/>
    <n v="0"/>
    <n v="-86151.05"/>
    <n v="-86151.05"/>
    <n v="3273.47"/>
  </r>
  <r>
    <x v="15"/>
    <x v="29"/>
    <x v="0"/>
    <s v="9000938"/>
    <n v="731070"/>
    <s v="Cable TV"/>
    <s v="Eliminations-PE Offset"/>
    <x v="0"/>
    <m/>
    <n v="0"/>
    <n v="0"/>
    <n v="0"/>
    <n v="0"/>
    <n v="0"/>
    <n v="0"/>
    <n v="0"/>
    <n v="0"/>
    <n v="0"/>
    <n v="0"/>
    <n v="0"/>
    <n v="-49999.26"/>
    <n v="-49999.26"/>
    <n v="528.65"/>
  </r>
  <r>
    <x v="15"/>
    <x v="29"/>
    <x v="0"/>
    <s v="9000938"/>
    <n v="731090"/>
    <s v="Other Utilities"/>
    <s v="Eliminations-PE Offset"/>
    <x v="0"/>
    <m/>
    <n v="0"/>
    <n v="0"/>
    <n v="0"/>
    <n v="0"/>
    <n v="0"/>
    <n v="0"/>
    <n v="0"/>
    <n v="0"/>
    <n v="0"/>
    <n v="0"/>
    <n v="0"/>
    <n v="-2674.68"/>
    <n v="-2674.68"/>
    <n v="130404.15"/>
  </r>
  <r>
    <x v="16"/>
    <x v="29"/>
    <x v="0"/>
    <s v="9000938"/>
    <n v="732015"/>
    <s v="Repairs-Clinical Equip-T&amp;M-Ext to CHI Programs"/>
    <s v="Eliminations-PE Offset"/>
    <x v="0"/>
    <m/>
    <n v="0"/>
    <n v="0"/>
    <n v="0"/>
    <n v="0"/>
    <n v="0"/>
    <n v="0"/>
    <n v="0"/>
    <n v="0"/>
    <n v="0"/>
    <n v="0"/>
    <n v="0"/>
    <n v="-52160.72"/>
    <n v="-52160.72"/>
    <n v="4050.52"/>
  </r>
  <r>
    <x v="16"/>
    <x v="29"/>
    <x v="0"/>
    <s v="9000938"/>
    <n v="732020"/>
    <s v="Repairs--Clin Equip-Parts-Internal to CHI Programs"/>
    <s v="Eliminations-PE Offset"/>
    <x v="0"/>
    <m/>
    <n v="0"/>
    <n v="0"/>
    <n v="0"/>
    <n v="0"/>
    <n v="0"/>
    <n v="0"/>
    <n v="0"/>
    <n v="0"/>
    <n v="0"/>
    <n v="0"/>
    <n v="0"/>
    <n v="-1722.97"/>
    <n v="-1722.97"/>
    <n v="9388.17"/>
  </r>
  <r>
    <x v="16"/>
    <x v="29"/>
    <x v="0"/>
    <s v="9000938"/>
    <n v="732030"/>
    <s v="Repairs---Other"/>
    <s v="Eliminations-PE Offset"/>
    <x v="0"/>
    <m/>
    <n v="0"/>
    <n v="0"/>
    <n v="0"/>
    <n v="0"/>
    <n v="0"/>
    <n v="0"/>
    <n v="0"/>
    <n v="0"/>
    <n v="0"/>
    <n v="0"/>
    <n v="0"/>
    <n v="-456909.28"/>
    <n v="-456909.28"/>
    <n v="7710.22"/>
  </r>
  <r>
    <x v="16"/>
    <x v="29"/>
    <x v="0"/>
    <s v="9000938"/>
    <n v="732030"/>
    <s v="Repairs&amp;Maintenance-Bldg Routine"/>
    <s v="Eliminations-PE Offset"/>
    <x v="0"/>
    <n v="2300"/>
    <n v="0"/>
    <n v="0"/>
    <n v="0"/>
    <n v="0"/>
    <n v="0"/>
    <n v="0"/>
    <n v="0"/>
    <n v="0"/>
    <n v="0"/>
    <n v="0"/>
    <n v="0"/>
    <n v="-41422.269999999997"/>
    <n v="-41422.269999999997"/>
    <n v="8493.0499999999993"/>
  </r>
  <r>
    <x v="16"/>
    <x v="29"/>
    <x v="0"/>
    <s v="9000938"/>
    <n v="732030"/>
    <s v="Repairs&amp;Maintenance-Electrical"/>
    <s v="Eliminations-PE Offset"/>
    <x v="0"/>
    <n v="5100"/>
    <n v="0"/>
    <n v="0"/>
    <n v="0"/>
    <n v="0"/>
    <n v="0"/>
    <n v="0"/>
    <n v="0"/>
    <n v="0"/>
    <n v="0"/>
    <n v="0"/>
    <n v="0"/>
    <n v="-308.76"/>
    <n v="-308.76"/>
    <n v="303631.58"/>
  </r>
  <r>
    <x v="16"/>
    <x v="29"/>
    <x v="0"/>
    <s v="9000938"/>
    <n v="732030"/>
    <s v="Repairs&amp;Maintenance-HVAC"/>
    <s v="Eliminations-PE Offset"/>
    <x v="0"/>
    <n v="5102"/>
    <n v="0"/>
    <n v="0"/>
    <n v="0"/>
    <n v="0"/>
    <n v="0"/>
    <n v="0"/>
    <n v="0"/>
    <n v="0"/>
    <n v="0"/>
    <n v="0"/>
    <n v="0"/>
    <n v="-3273.47"/>
    <n v="-3273.47"/>
    <n v="5607874.7000000002"/>
  </r>
  <r>
    <x v="16"/>
    <x v="29"/>
    <x v="0"/>
    <s v="9000938"/>
    <n v="732030"/>
    <s v="Repairs&amp;Maintenance-Plumbing"/>
    <s v="Eliminations-PE Offset"/>
    <x v="0"/>
    <n v="5103"/>
    <n v="0"/>
    <n v="0"/>
    <n v="0"/>
    <n v="0"/>
    <n v="0"/>
    <n v="0"/>
    <n v="0"/>
    <n v="0"/>
    <n v="0"/>
    <n v="0"/>
    <n v="0"/>
    <n v="-528.65"/>
    <n v="-528.65"/>
    <n v="186238.16"/>
  </r>
  <r>
    <x v="16"/>
    <x v="29"/>
    <x v="0"/>
    <s v="9000938"/>
    <n v="733030"/>
    <s v="Maintenance Contracts-Other"/>
    <s v="Eliminations-PE Offset"/>
    <x v="0"/>
    <m/>
    <n v="0"/>
    <n v="0"/>
    <n v="0"/>
    <n v="0"/>
    <n v="0"/>
    <n v="0"/>
    <n v="0"/>
    <n v="0"/>
    <n v="0"/>
    <n v="0"/>
    <n v="0"/>
    <n v="-130404.15"/>
    <n v="-130404.15"/>
    <n v="10488925.890000001"/>
  </r>
  <r>
    <x v="16"/>
    <x v="29"/>
    <x v="0"/>
    <s v="9000938"/>
    <n v="733030"/>
    <s v="Maintenance Contract-Elevator"/>
    <s v="Eliminations-PE Offset"/>
    <x v="0"/>
    <n v="5101"/>
    <n v="0"/>
    <n v="0"/>
    <n v="0"/>
    <n v="0"/>
    <n v="0"/>
    <n v="0"/>
    <n v="0"/>
    <n v="0"/>
    <n v="0"/>
    <n v="0"/>
    <n v="0"/>
    <n v="-4050.52"/>
    <n v="-4050.52"/>
    <n v="475472.91"/>
  </r>
  <r>
    <x v="16"/>
    <x v="29"/>
    <x v="0"/>
    <s v="9000938"/>
    <n v="733030"/>
    <s v="Maintenance Contract-HVAC"/>
    <s v="Eliminations-PE Offset"/>
    <x v="0"/>
    <n v="5102"/>
    <n v="0"/>
    <n v="0"/>
    <n v="0"/>
    <n v="0"/>
    <n v="0"/>
    <n v="0"/>
    <n v="0"/>
    <n v="0"/>
    <n v="0"/>
    <n v="0"/>
    <n v="0"/>
    <n v="-9388.17"/>
    <n v="-9388.17"/>
    <n v="4722.75"/>
  </r>
  <r>
    <x v="16"/>
    <x v="29"/>
    <x v="0"/>
    <s v="9000938"/>
    <n v="733030"/>
    <s v="Maintenance Contract-Landscape General"/>
    <s v="Eliminations-PE Offset"/>
    <x v="0"/>
    <n v="5105"/>
    <n v="0"/>
    <n v="0"/>
    <n v="0"/>
    <n v="0"/>
    <n v="0"/>
    <n v="0"/>
    <n v="0"/>
    <n v="0"/>
    <n v="0"/>
    <n v="0"/>
    <n v="0"/>
    <n v="-7710.22"/>
    <n v="-7710.22"/>
    <n v="69572.820000000007"/>
  </r>
  <r>
    <x v="16"/>
    <x v="29"/>
    <x v="0"/>
    <s v="9000938"/>
    <n v="733030"/>
    <s v="Maintenance Contract-Parking"/>
    <s v="Eliminations-PE Offset"/>
    <x v="0"/>
    <n v="5106"/>
    <n v="0"/>
    <n v="0"/>
    <n v="0"/>
    <n v="0"/>
    <n v="0"/>
    <n v="0"/>
    <n v="0"/>
    <n v="0"/>
    <n v="0"/>
    <n v="0"/>
    <n v="0"/>
    <n v="-8493.0499999999993"/>
    <n v="-8493.0499999999993"/>
    <n v="250539.57"/>
  </r>
  <r>
    <x v="13"/>
    <x v="29"/>
    <x v="0"/>
    <s v="9000938"/>
    <n v="735040"/>
    <s v="Depreciation-Building Improvements"/>
    <s v="Eliminations-PE Offset"/>
    <x v="0"/>
    <m/>
    <n v="0"/>
    <n v="0"/>
    <n v="0"/>
    <n v="0"/>
    <n v="0"/>
    <n v="0"/>
    <n v="0"/>
    <n v="0"/>
    <n v="0"/>
    <n v="0"/>
    <n v="0"/>
    <n v="-303631.58"/>
    <n v="-303631.58"/>
    <n v="70208.38"/>
  </r>
  <r>
    <x v="13"/>
    <x v="29"/>
    <x v="0"/>
    <s v="9000938"/>
    <n v="735050"/>
    <s v="Amortization-Leasehold Improvements"/>
    <s v="Eliminations-PE Offset"/>
    <x v="0"/>
    <m/>
    <n v="0"/>
    <n v="0"/>
    <n v="0"/>
    <n v="0"/>
    <n v="0"/>
    <n v="0"/>
    <n v="0"/>
    <n v="0"/>
    <n v="0"/>
    <n v="0"/>
    <n v="0"/>
    <n v="-5607874.7000000002"/>
    <n v="-5607874.7000000002"/>
    <n v="7594.41"/>
  </r>
  <r>
    <x v="13"/>
    <x v="29"/>
    <x v="0"/>
    <s v="9000938"/>
    <n v="735060"/>
    <s v="Depreciation-Fixed Equipment"/>
    <s v="Eliminations-PE Offset"/>
    <x v="0"/>
    <m/>
    <n v="0"/>
    <n v="0"/>
    <n v="0"/>
    <n v="0"/>
    <n v="0"/>
    <n v="0"/>
    <n v="0"/>
    <n v="0"/>
    <n v="0"/>
    <n v="0"/>
    <n v="0"/>
    <n v="-186238.16"/>
    <n v="-186238.16"/>
    <n v="125262.01"/>
  </r>
  <r>
    <x v="13"/>
    <x v="29"/>
    <x v="0"/>
    <s v="9000938"/>
    <n v="735070"/>
    <s v="Depreciation-Movable Equipment"/>
    <s v="Eliminations-PE Offset"/>
    <x v="0"/>
    <m/>
    <n v="0"/>
    <n v="0"/>
    <n v="0"/>
    <n v="0"/>
    <n v="0"/>
    <n v="0"/>
    <n v="0"/>
    <n v="0"/>
    <n v="0"/>
    <n v="0"/>
    <n v="0"/>
    <n v="-10488925.890000001"/>
    <n v="-10488925.890000001"/>
    <n v="26661.59"/>
  </r>
  <r>
    <x v="13"/>
    <x v="29"/>
    <x v="0"/>
    <s v="9000938"/>
    <n v="736000"/>
    <s v="General Amortization Expense"/>
    <s v="Eliminations-PE Offset"/>
    <x v="0"/>
    <n v="5000"/>
    <n v="0"/>
    <n v="0"/>
    <n v="0"/>
    <n v="0"/>
    <n v="0"/>
    <n v="0"/>
    <n v="0"/>
    <n v="0"/>
    <n v="0"/>
    <n v="0"/>
    <n v="0"/>
    <n v="-475472.91"/>
    <n v="-475472.91"/>
    <n v="10740.14"/>
  </r>
  <r>
    <x v="0"/>
    <x v="29"/>
    <x v="0"/>
    <s v="9000938"/>
    <n v="740010"/>
    <s v="Education-Materials"/>
    <s v="Eliminations-PE Offset"/>
    <x v="0"/>
    <m/>
    <n v="0"/>
    <n v="0"/>
    <n v="0"/>
    <n v="0"/>
    <n v="0"/>
    <n v="0"/>
    <n v="0"/>
    <n v="0"/>
    <n v="0"/>
    <n v="0"/>
    <n v="0"/>
    <n v="-4722.75"/>
    <n v="-4722.75"/>
    <n v="766.85"/>
  </r>
  <r>
    <x v="0"/>
    <x v="29"/>
    <x v="0"/>
    <s v="9000938"/>
    <n v="740020"/>
    <s v="Education-Registration Fees"/>
    <s v="Eliminations-PE Offset"/>
    <x v="0"/>
    <m/>
    <n v="0"/>
    <n v="0"/>
    <n v="0"/>
    <n v="0"/>
    <n v="0"/>
    <n v="0"/>
    <n v="0"/>
    <n v="0"/>
    <n v="0"/>
    <n v="0"/>
    <n v="0"/>
    <n v="-69572.820000000007"/>
    <n v="-69572.820000000007"/>
    <n v="1402225.64"/>
  </r>
  <r>
    <x v="0"/>
    <x v="29"/>
    <x v="0"/>
    <s v="9000938"/>
    <n v="740022"/>
    <s v="Education-Physician"/>
    <s v="Eliminations-PE Offset"/>
    <x v="0"/>
    <m/>
    <n v="0"/>
    <n v="0"/>
    <n v="0"/>
    <n v="0"/>
    <n v="0"/>
    <n v="0"/>
    <n v="0"/>
    <n v="0"/>
    <n v="0"/>
    <n v="0"/>
    <n v="0"/>
    <n v="-250539.57"/>
    <n v="-250539.57"/>
    <n v="4439468.57"/>
  </r>
  <r>
    <x v="0"/>
    <x v="29"/>
    <x v="0"/>
    <s v="9000938"/>
    <n v="740022"/>
    <s v="Books-Physician"/>
    <s v="Eliminations-PE Offset"/>
    <x v="0"/>
    <n v="2000"/>
    <n v="0"/>
    <n v="0"/>
    <n v="0"/>
    <n v="0"/>
    <n v="0"/>
    <n v="0"/>
    <n v="0"/>
    <n v="0"/>
    <n v="0"/>
    <n v="0"/>
    <n v="0"/>
    <n v="-70208.38"/>
    <n v="-70208.38"/>
    <n v="40691.339999999997"/>
  </r>
  <r>
    <x v="0"/>
    <x v="29"/>
    <x v="0"/>
    <s v="9000938"/>
    <n v="740022"/>
    <s v="Education Travel-Physician"/>
    <s v="Eliminations-PE Offset"/>
    <x v="0"/>
    <n v="2001"/>
    <n v="0"/>
    <n v="0"/>
    <n v="0"/>
    <n v="0"/>
    <n v="0"/>
    <n v="0"/>
    <n v="0"/>
    <n v="0"/>
    <n v="0"/>
    <n v="0"/>
    <n v="0"/>
    <n v="-7594.41"/>
    <n v="-7594.41"/>
    <n v="139501.65"/>
  </r>
  <r>
    <x v="0"/>
    <x v="29"/>
    <x v="0"/>
    <s v="9000938"/>
    <n v="740023"/>
    <s v="Education-Advanced Practice Clinician"/>
    <s v="Eliminations-PE Offset"/>
    <x v="0"/>
    <m/>
    <n v="0"/>
    <n v="0"/>
    <n v="0"/>
    <n v="0"/>
    <n v="0"/>
    <n v="0"/>
    <n v="0"/>
    <n v="0"/>
    <n v="0"/>
    <n v="0"/>
    <n v="0"/>
    <n v="-125262.01"/>
    <n v="-125262.01"/>
    <n v="-69175"/>
  </r>
  <r>
    <x v="0"/>
    <x v="29"/>
    <x v="0"/>
    <s v="9000938"/>
    <n v="740023"/>
    <s v="Books-Advanced Practice Clinician"/>
    <s v="Eliminations-PE Offset"/>
    <x v="0"/>
    <n v="2000"/>
    <n v="0"/>
    <n v="0"/>
    <n v="0"/>
    <n v="0"/>
    <n v="0"/>
    <n v="0"/>
    <n v="0"/>
    <n v="0"/>
    <n v="0"/>
    <n v="0"/>
    <n v="0"/>
    <n v="-26661.59"/>
    <n v="-26661.59"/>
    <n v="264964.57"/>
  </r>
  <r>
    <x v="0"/>
    <x v="29"/>
    <x v="0"/>
    <s v="9000938"/>
    <n v="740023"/>
    <s v="Education Travel-Advanced Practice Clinician"/>
    <s v="Eliminations-PE Offset"/>
    <x v="0"/>
    <n v="2001"/>
    <n v="0"/>
    <n v="0"/>
    <n v="0"/>
    <n v="0"/>
    <n v="0"/>
    <n v="0"/>
    <n v="0"/>
    <n v="0"/>
    <n v="0"/>
    <n v="0"/>
    <n v="0"/>
    <n v="-10740.14"/>
    <n v="-10740.14"/>
    <n v="50.2"/>
  </r>
  <r>
    <x v="0"/>
    <x v="29"/>
    <x v="0"/>
    <s v="9000938"/>
    <n v="740030"/>
    <s v="Education-Travel"/>
    <s v="Eliminations-PE Offset"/>
    <x v="0"/>
    <m/>
    <n v="0"/>
    <n v="0"/>
    <n v="0"/>
    <n v="0"/>
    <n v="0"/>
    <n v="0"/>
    <n v="0"/>
    <n v="0"/>
    <n v="0"/>
    <n v="0"/>
    <n v="0"/>
    <n v="-766.85"/>
    <n v="-766.85"/>
    <n v="706.53"/>
  </r>
  <r>
    <x v="8"/>
    <x v="29"/>
    <x v="0"/>
    <s v="9000938"/>
    <n v="741010"/>
    <s v="Liability Insurance-CHI Programs"/>
    <s v="Eliminations-PE Offset"/>
    <x v="0"/>
    <m/>
    <n v="0"/>
    <n v="0"/>
    <n v="0"/>
    <n v="0"/>
    <n v="0"/>
    <n v="0"/>
    <n v="0"/>
    <n v="0"/>
    <n v="0"/>
    <n v="0"/>
    <n v="0"/>
    <n v="-1402225.64"/>
    <n v="-1402225.64"/>
    <n v="7832.45"/>
  </r>
  <r>
    <x v="8"/>
    <x v="29"/>
    <x v="0"/>
    <s v="9000938"/>
    <n v="741012"/>
    <s v="Physician Liab Insurance-CHI Program"/>
    <s v="Eliminations-PE Offset"/>
    <x v="0"/>
    <m/>
    <n v="0"/>
    <n v="0"/>
    <n v="0"/>
    <n v="0"/>
    <n v="0"/>
    <n v="0"/>
    <n v="0"/>
    <n v="0"/>
    <n v="0"/>
    <n v="0"/>
    <n v="0"/>
    <n v="-4439468.57"/>
    <n v="-4439468.57"/>
    <n v="21774.6"/>
  </r>
  <r>
    <x v="8"/>
    <x v="29"/>
    <x v="0"/>
    <s v="9000938"/>
    <n v="741016"/>
    <s v="Premium Expense to PPIC"/>
    <s v="Eliminations-PE Offset"/>
    <x v="0"/>
    <m/>
    <n v="0"/>
    <n v="0"/>
    <n v="0"/>
    <n v="0"/>
    <n v="0"/>
    <n v="0"/>
    <n v="0"/>
    <n v="0"/>
    <n v="0"/>
    <n v="0"/>
    <n v="0"/>
    <n v="-40691.339999999997"/>
    <n v="-40691.339999999997"/>
    <n v="89434.58"/>
  </r>
  <r>
    <x v="8"/>
    <x v="29"/>
    <x v="0"/>
    <s v="9000938"/>
    <n v="741030"/>
    <s v="Property Insurance-CHI Programs"/>
    <s v="Eliminations-PE Offset"/>
    <x v="0"/>
    <m/>
    <n v="0"/>
    <n v="0"/>
    <n v="0"/>
    <n v="0"/>
    <n v="0"/>
    <n v="0"/>
    <n v="0"/>
    <n v="0"/>
    <n v="0"/>
    <n v="0"/>
    <n v="0"/>
    <n v="-139501.65"/>
    <n v="-139501.65"/>
    <n v="64718.83"/>
  </r>
  <r>
    <x v="8"/>
    <x v="29"/>
    <x v="0"/>
    <s v="9000938"/>
    <n v="741070"/>
    <s v="Insurance-Risk Mgmt Incentive Program"/>
    <s v="Eliminations-PE Offset"/>
    <x v="0"/>
    <m/>
    <n v="0"/>
    <n v="0"/>
    <n v="0"/>
    <n v="0"/>
    <n v="0"/>
    <n v="0"/>
    <n v="0"/>
    <n v="0"/>
    <n v="0"/>
    <n v="0"/>
    <n v="0"/>
    <n v="69175"/>
    <n v="69175"/>
    <n v="355681.9"/>
  </r>
  <r>
    <x v="0"/>
    <x v="29"/>
    <x v="0"/>
    <s v="9000938"/>
    <n v="742010"/>
    <s v="Postage-Regular"/>
    <s v="Eliminations-PE Offset"/>
    <x v="0"/>
    <m/>
    <n v="0"/>
    <n v="0"/>
    <n v="0"/>
    <n v="0"/>
    <n v="0"/>
    <n v="0"/>
    <n v="0"/>
    <n v="0"/>
    <n v="0"/>
    <n v="0"/>
    <n v="0"/>
    <n v="-264964.57"/>
    <n v="-264964.57"/>
    <n v="33010.949999999997"/>
  </r>
  <r>
    <x v="0"/>
    <x v="29"/>
    <x v="0"/>
    <s v="9000938"/>
    <n v="742020"/>
    <s v="Postage-Express Services"/>
    <s v="Eliminations-PE Offset"/>
    <x v="0"/>
    <m/>
    <n v="0"/>
    <n v="0"/>
    <n v="0"/>
    <n v="0"/>
    <n v="0"/>
    <n v="0"/>
    <n v="0"/>
    <n v="0"/>
    <n v="0"/>
    <n v="0"/>
    <n v="0"/>
    <n v="-50.2"/>
    <n v="-50.2"/>
    <n v="59959.89"/>
  </r>
  <r>
    <x v="0"/>
    <x v="29"/>
    <x v="0"/>
    <s v="9000938"/>
    <n v="742030"/>
    <s v="Freight-Courier"/>
    <s v="Eliminations-PE Offset"/>
    <x v="0"/>
    <m/>
    <n v="0"/>
    <n v="0"/>
    <n v="0"/>
    <n v="0"/>
    <n v="0"/>
    <n v="0"/>
    <n v="0"/>
    <n v="0"/>
    <n v="0"/>
    <n v="0"/>
    <n v="0"/>
    <n v="-706.53"/>
    <n v="-706.53"/>
    <n v="1284.75"/>
  </r>
  <r>
    <x v="0"/>
    <x v="29"/>
    <x v="0"/>
    <s v="9000938"/>
    <n v="742040"/>
    <s v="Freight-Other"/>
    <s v="Eliminations-PE Offset"/>
    <x v="0"/>
    <m/>
    <n v="0"/>
    <n v="0"/>
    <n v="0"/>
    <n v="0"/>
    <n v="0"/>
    <n v="0"/>
    <n v="0"/>
    <n v="0"/>
    <n v="0"/>
    <n v="0"/>
    <n v="0"/>
    <n v="-7832.45"/>
    <n v="-7832.45"/>
    <n v="88407.06"/>
  </r>
  <r>
    <x v="0"/>
    <x v="29"/>
    <x v="0"/>
    <s v="9000938"/>
    <n v="743010"/>
    <s v="Dues--Institutional"/>
    <s v="Eliminations-PE Offset"/>
    <x v="0"/>
    <m/>
    <n v="0"/>
    <n v="0"/>
    <n v="0"/>
    <n v="0"/>
    <n v="0"/>
    <n v="0"/>
    <n v="0"/>
    <n v="0"/>
    <n v="0"/>
    <n v="0"/>
    <n v="0"/>
    <n v="-21774.6"/>
    <n v="-21774.6"/>
    <n v="21728.78"/>
  </r>
  <r>
    <x v="0"/>
    <x v="29"/>
    <x v="0"/>
    <s v="9000938"/>
    <n v="743020"/>
    <s v="Dues--Individual"/>
    <s v="Eliminations-PE Offset"/>
    <x v="0"/>
    <m/>
    <n v="0"/>
    <n v="0"/>
    <n v="0"/>
    <n v="0"/>
    <n v="0"/>
    <n v="0"/>
    <n v="0"/>
    <n v="0"/>
    <n v="0"/>
    <n v="0"/>
    <n v="0"/>
    <n v="-89434.58"/>
    <n v="-89434.58"/>
    <n v="2572.7800000000002"/>
  </r>
  <r>
    <x v="0"/>
    <x v="29"/>
    <x v="0"/>
    <s v="9000938"/>
    <n v="743020"/>
    <s v="Provider-Dues"/>
    <s v="Eliminations-PE Offset"/>
    <x v="0"/>
    <n v="2200"/>
    <n v="0"/>
    <n v="0"/>
    <n v="0"/>
    <n v="0"/>
    <n v="0"/>
    <n v="0"/>
    <n v="0"/>
    <n v="0"/>
    <n v="0"/>
    <n v="0"/>
    <n v="0"/>
    <n v="-64718.83"/>
    <n v="-64718.83"/>
    <n v="407"/>
  </r>
  <r>
    <x v="0"/>
    <x v="29"/>
    <x v="0"/>
    <s v="9000938"/>
    <n v="743022"/>
    <s v="Dues-Physician"/>
    <s v="Eliminations-PE Offset"/>
    <x v="0"/>
    <m/>
    <n v="0"/>
    <n v="0"/>
    <n v="0"/>
    <n v="0"/>
    <n v="0"/>
    <n v="0"/>
    <n v="0"/>
    <n v="0"/>
    <n v="0"/>
    <n v="0"/>
    <n v="0"/>
    <n v="-355681.9"/>
    <n v="-355681.9"/>
    <n v="125329.73"/>
  </r>
  <r>
    <x v="0"/>
    <x v="29"/>
    <x v="0"/>
    <s v="9000938"/>
    <n v="743023"/>
    <s v="Dues-Advanced Practice Clinician"/>
    <s v="Eliminations-PE Offset"/>
    <x v="0"/>
    <m/>
    <n v="0"/>
    <n v="0"/>
    <n v="0"/>
    <n v="0"/>
    <n v="0"/>
    <n v="0"/>
    <n v="0"/>
    <n v="0"/>
    <n v="0"/>
    <n v="0"/>
    <n v="0"/>
    <n v="-33010.949999999997"/>
    <n v="-33010.949999999997"/>
    <n v="4791000"/>
  </r>
  <r>
    <x v="0"/>
    <x v="29"/>
    <x v="0"/>
    <s v="9000938"/>
    <n v="743030"/>
    <s v="Subscriptions--Institutional"/>
    <s v="Eliminations-PE Offset"/>
    <x v="0"/>
    <m/>
    <n v="0"/>
    <n v="0"/>
    <n v="0"/>
    <n v="0"/>
    <n v="0"/>
    <n v="0"/>
    <n v="0"/>
    <n v="0"/>
    <n v="0"/>
    <n v="0"/>
    <n v="0"/>
    <n v="-59959.89"/>
    <n v="-59959.89"/>
    <n v="-7483.22"/>
  </r>
  <r>
    <x v="0"/>
    <x v="29"/>
    <x v="0"/>
    <s v="9000938"/>
    <n v="743040"/>
    <s v="Subscriptions--Individual"/>
    <s v="Eliminations-PE Offset"/>
    <x v="0"/>
    <m/>
    <n v="0"/>
    <n v="0"/>
    <n v="0"/>
    <n v="0"/>
    <n v="0"/>
    <n v="0"/>
    <n v="0"/>
    <n v="0"/>
    <n v="0"/>
    <n v="0"/>
    <n v="0"/>
    <n v="-1284.75"/>
    <n v="-1284.75"/>
    <n v="219481.74"/>
  </r>
  <r>
    <x v="0"/>
    <x v="29"/>
    <x v="0"/>
    <s v="9000938"/>
    <n v="743042"/>
    <s v="Subscriptions-Physician"/>
    <s v="Eliminations-PE Offset"/>
    <x v="0"/>
    <m/>
    <n v="0"/>
    <n v="0"/>
    <n v="0"/>
    <n v="0"/>
    <n v="0"/>
    <n v="0"/>
    <n v="0"/>
    <n v="0"/>
    <n v="0"/>
    <n v="0"/>
    <n v="0"/>
    <n v="-88407.06"/>
    <n v="-88407.06"/>
    <n v="19"/>
  </r>
  <r>
    <x v="0"/>
    <x v="29"/>
    <x v="0"/>
    <s v="9000938"/>
    <n v="743043"/>
    <s v="Subscriptions-Advanced Practice Clinician"/>
    <s v="Eliminations-PE Offset"/>
    <x v="0"/>
    <m/>
    <n v="0"/>
    <n v="0"/>
    <n v="0"/>
    <n v="0"/>
    <n v="0"/>
    <n v="0"/>
    <n v="0"/>
    <n v="0"/>
    <n v="0"/>
    <n v="0"/>
    <n v="0"/>
    <n v="-21728.78"/>
    <n v="-21728.78"/>
    <n v="77008.240000000005"/>
  </r>
  <r>
    <x v="0"/>
    <x v="29"/>
    <x v="0"/>
    <s v="9000938"/>
    <n v="744012"/>
    <s v="Recruitment-Physician"/>
    <s v="Eliminations-PE Offset"/>
    <x v="0"/>
    <m/>
    <n v="0"/>
    <n v="0"/>
    <n v="0"/>
    <n v="0"/>
    <n v="0"/>
    <n v="0"/>
    <n v="0"/>
    <n v="0"/>
    <n v="0"/>
    <n v="0"/>
    <n v="0"/>
    <n v="-2572.7800000000002"/>
    <n v="-2572.7800000000002"/>
    <n v="371.8"/>
  </r>
  <r>
    <x v="0"/>
    <x v="29"/>
    <x v="0"/>
    <s v="9000938"/>
    <n v="744013"/>
    <s v="Retention-Advanced Practice Clinician"/>
    <s v="Eliminations-PE Offset"/>
    <x v="0"/>
    <n v="2005"/>
    <n v="0"/>
    <n v="0"/>
    <n v="0"/>
    <n v="0"/>
    <n v="0"/>
    <n v="0"/>
    <n v="0"/>
    <n v="0"/>
    <n v="0"/>
    <n v="0"/>
    <n v="0"/>
    <n v="-407"/>
    <n v="-407"/>
    <n v="14120.98"/>
  </r>
  <r>
    <x v="0"/>
    <x v="29"/>
    <x v="0"/>
    <s v="9000938"/>
    <n v="746020"/>
    <s v="Bank Fees--Ext to CHI Programs"/>
    <s v="Eliminations-PE Offset"/>
    <x v="0"/>
    <m/>
    <n v="0"/>
    <n v="0"/>
    <n v="0"/>
    <n v="0"/>
    <n v="0"/>
    <n v="0"/>
    <n v="0"/>
    <n v="0"/>
    <n v="0"/>
    <n v="0"/>
    <n v="0"/>
    <n v="-125329.73"/>
    <n v="-125329.73"/>
    <n v="649.71"/>
  </r>
  <r>
    <x v="26"/>
    <x v="29"/>
    <x v="0"/>
    <s v="9000938"/>
    <n v="747001"/>
    <s v="National Assessment"/>
    <s v="Eliminations-PE Offset"/>
    <x v="0"/>
    <m/>
    <n v="0"/>
    <n v="0"/>
    <n v="0"/>
    <n v="0"/>
    <n v="0"/>
    <n v="0"/>
    <n v="0"/>
    <n v="0"/>
    <n v="0"/>
    <n v="0"/>
    <n v="0"/>
    <n v="-4791000"/>
    <n v="-4791000"/>
    <n v="189.33"/>
  </r>
  <r>
    <x v="0"/>
    <x v="29"/>
    <x v="0"/>
    <s v="9000938"/>
    <n v="748521"/>
    <s v="COGS-Pharmacy Drugs-Retail"/>
    <s v="Eliminations-PE Offset"/>
    <x v="0"/>
    <m/>
    <n v="0"/>
    <n v="0"/>
    <n v="0"/>
    <n v="0"/>
    <n v="0"/>
    <n v="0"/>
    <n v="0"/>
    <n v="0"/>
    <n v="0"/>
    <n v="0"/>
    <n v="0"/>
    <n v="7483.22"/>
    <n v="7483.22"/>
    <n v="56481.39"/>
  </r>
  <r>
    <x v="0"/>
    <x v="29"/>
    <x v="0"/>
    <s v="9000938"/>
    <n v="749510"/>
    <s v="Miscellaneous Expenses"/>
    <s v="Eliminations-PE Offset"/>
    <x v="0"/>
    <m/>
    <n v="0"/>
    <n v="0"/>
    <n v="0"/>
    <n v="0"/>
    <n v="0"/>
    <n v="0"/>
    <n v="0"/>
    <n v="0"/>
    <n v="0"/>
    <n v="0"/>
    <n v="0"/>
    <n v="-219481.74"/>
    <n v="-219481.74"/>
    <n v="53018.07"/>
  </r>
  <r>
    <x v="0"/>
    <x v="29"/>
    <x v="0"/>
    <s v="9000938"/>
    <n v="749510"/>
    <s v="Miscellaneous Fees"/>
    <s v="Eliminations-PE Offset"/>
    <x v="0"/>
    <n v="1001"/>
    <n v="0"/>
    <n v="0"/>
    <n v="0"/>
    <n v="0"/>
    <n v="0"/>
    <n v="0"/>
    <n v="0"/>
    <n v="0"/>
    <n v="0"/>
    <n v="0"/>
    <n v="0"/>
    <n v="-19"/>
    <n v="-19"/>
    <n v="165712.85999999999"/>
  </r>
  <r>
    <x v="0"/>
    <x v="29"/>
    <x v="0"/>
    <s v="9000938"/>
    <n v="749510"/>
    <s v="Licenses"/>
    <s v="Eliminations-PE Offset"/>
    <x v="0"/>
    <n v="1002"/>
    <n v="0"/>
    <n v="0"/>
    <n v="0"/>
    <n v="0"/>
    <n v="0"/>
    <n v="0"/>
    <n v="0"/>
    <n v="0"/>
    <n v="0"/>
    <n v="0"/>
    <n v="0"/>
    <n v="-77008.240000000005"/>
    <n v="-77008.240000000005"/>
    <n v="61469.81"/>
  </r>
  <r>
    <x v="0"/>
    <x v="29"/>
    <x v="0"/>
    <s v="9000938"/>
    <n v="749510"/>
    <s v="Miscellaneous Expense"/>
    <s v="Eliminations-PE Offset"/>
    <x v="0"/>
    <n v="1009"/>
    <n v="0"/>
    <n v="0"/>
    <n v="0"/>
    <n v="0"/>
    <n v="0"/>
    <n v="0"/>
    <n v="0"/>
    <n v="0"/>
    <n v="0"/>
    <n v="0"/>
    <n v="0"/>
    <n v="-371.8"/>
    <n v="-371.8"/>
    <n v="2750000"/>
  </r>
  <r>
    <x v="0"/>
    <x v="29"/>
    <x v="0"/>
    <s v="9000938"/>
    <n v="749510"/>
    <s v="Miscellaneous Employee Expense"/>
    <s v="Eliminations-PE Offset"/>
    <x v="0"/>
    <n v="1010"/>
    <n v="0"/>
    <n v="0"/>
    <n v="0"/>
    <n v="0"/>
    <n v="0"/>
    <n v="0"/>
    <n v="0"/>
    <n v="0"/>
    <n v="0"/>
    <n v="0"/>
    <n v="0"/>
    <n v="-14120.98"/>
    <n v="-14120.98"/>
    <n v="194642.02"/>
  </r>
  <r>
    <x v="0"/>
    <x v="29"/>
    <x v="0"/>
    <s v="9000938"/>
    <n v="749510"/>
    <s v="Uniforms"/>
    <s v="Eliminations-PE Offset"/>
    <x v="0"/>
    <n v="1028"/>
    <n v="0"/>
    <n v="0"/>
    <n v="0"/>
    <n v="0"/>
    <n v="0"/>
    <n v="0"/>
    <n v="0"/>
    <n v="0"/>
    <n v="0"/>
    <n v="0"/>
    <n v="0"/>
    <n v="-649.71"/>
    <n v="-649.71"/>
    <n v="157803.71"/>
  </r>
  <r>
    <x v="0"/>
    <x v="29"/>
    <x v="0"/>
    <s v="9000938"/>
    <n v="749510"/>
    <s v="Late Payment Penalties &amp; Interest"/>
    <s v="Eliminations-PE Offset"/>
    <x v="0"/>
    <n v="4600"/>
    <n v="0"/>
    <n v="0"/>
    <n v="0"/>
    <n v="0"/>
    <n v="0"/>
    <n v="0"/>
    <n v="0"/>
    <n v="0"/>
    <n v="0"/>
    <n v="0"/>
    <n v="0"/>
    <n v="-189.33"/>
    <n v="-189.33"/>
    <n v="299724.62"/>
  </r>
  <r>
    <x v="0"/>
    <x v="29"/>
    <x v="0"/>
    <s v="9000938"/>
    <n v="749510"/>
    <s v="RICE Rewards"/>
    <s v="Eliminations-PE Offset"/>
    <x v="0"/>
    <n v="5100"/>
    <n v="0"/>
    <n v="0"/>
    <n v="0"/>
    <n v="0"/>
    <n v="0"/>
    <n v="0"/>
    <n v="0"/>
    <n v="0"/>
    <n v="0"/>
    <n v="0"/>
    <n v="0"/>
    <n v="-56481.39"/>
    <n v="-56481.39"/>
    <n v="6767.93"/>
  </r>
  <r>
    <x v="0"/>
    <x v="29"/>
    <x v="0"/>
    <s v="9000938"/>
    <n v="749510"/>
    <s v="Other Clinic IT Costs"/>
    <s v="Eliminations-PE Offset"/>
    <x v="0"/>
    <n v="5105"/>
    <n v="0"/>
    <n v="0"/>
    <n v="0"/>
    <n v="0"/>
    <n v="0"/>
    <n v="0"/>
    <n v="0"/>
    <n v="0"/>
    <n v="0"/>
    <n v="0"/>
    <n v="0"/>
    <n v="-53018.07"/>
    <n v="-53018.07"/>
    <n v="52361.31"/>
  </r>
  <r>
    <x v="0"/>
    <x v="29"/>
    <x v="0"/>
    <s v="9000938"/>
    <n v="749512"/>
    <s v="Licenses-Physician"/>
    <s v="Eliminations-PE Offset"/>
    <x v="0"/>
    <n v="2000"/>
    <n v="0"/>
    <n v="0"/>
    <n v="0"/>
    <n v="0"/>
    <n v="0"/>
    <n v="0"/>
    <n v="0"/>
    <n v="0"/>
    <n v="0"/>
    <n v="0"/>
    <n v="0"/>
    <n v="-165712.85999999999"/>
    <n v="-165712.85999999999"/>
    <n v="139291.32999999999"/>
  </r>
  <r>
    <x v="0"/>
    <x v="29"/>
    <x v="0"/>
    <s v="9000938"/>
    <n v="749513"/>
    <s v="Licenses-Advanced Practice Clinician"/>
    <s v="Eliminations-PE Offset"/>
    <x v="0"/>
    <n v="2000"/>
    <n v="0"/>
    <n v="0"/>
    <n v="0"/>
    <n v="0"/>
    <n v="0"/>
    <n v="0"/>
    <n v="0"/>
    <n v="0"/>
    <n v="0"/>
    <n v="0"/>
    <n v="0"/>
    <n v="-61469.81"/>
    <n v="-61469.81"/>
    <n v="200.57"/>
  </r>
  <r>
    <x v="0"/>
    <x v="29"/>
    <x v="0"/>
    <s v="9000938"/>
    <n v="749525"/>
    <s v="Contingent Liability Expense"/>
    <s v="Eliminations-PE Offset"/>
    <x v="0"/>
    <m/>
    <n v="0"/>
    <n v="0"/>
    <n v="0"/>
    <n v="0"/>
    <n v="0"/>
    <n v="0"/>
    <n v="0"/>
    <n v="0"/>
    <n v="0"/>
    <n v="0"/>
    <n v="0"/>
    <n v="-2750000"/>
    <n v="-2750000"/>
    <n v="11225.02"/>
  </r>
  <r>
    <x v="0"/>
    <x v="29"/>
    <x v="0"/>
    <s v="9000938"/>
    <n v="749530"/>
    <s v="Travel"/>
    <s v="Eliminations-PE Offset"/>
    <x v="0"/>
    <m/>
    <n v="0"/>
    <n v="0"/>
    <n v="0"/>
    <n v="0"/>
    <n v="0"/>
    <n v="0"/>
    <n v="0"/>
    <n v="0"/>
    <n v="0"/>
    <n v="0"/>
    <n v="0"/>
    <n v="-194642.02"/>
    <n v="-194642.02"/>
    <n v="90569.06"/>
  </r>
  <r>
    <x v="0"/>
    <x v="29"/>
    <x v="0"/>
    <s v="9000938"/>
    <n v="749530"/>
    <s v="Mileage"/>
    <s v="Eliminations-PE Offset"/>
    <x v="0"/>
    <n v="1001"/>
    <n v="0"/>
    <n v="0"/>
    <n v="0"/>
    <n v="0"/>
    <n v="0"/>
    <n v="0"/>
    <n v="0"/>
    <n v="0"/>
    <n v="0"/>
    <n v="0"/>
    <n v="0"/>
    <n v="-157803.71"/>
    <n v="-157803.71"/>
    <n v="642.95000000000005"/>
  </r>
  <r>
    <x v="0"/>
    <x v="29"/>
    <x v="0"/>
    <s v="9000938"/>
    <n v="749532"/>
    <s v="Travel-Physician"/>
    <s v="Eliminations-PE Offset"/>
    <x v="0"/>
    <m/>
    <n v="0"/>
    <n v="0"/>
    <n v="0"/>
    <n v="0"/>
    <n v="0"/>
    <n v="0"/>
    <n v="0"/>
    <n v="0"/>
    <n v="0"/>
    <n v="0"/>
    <n v="0"/>
    <n v="-299724.62"/>
    <n v="-299724.62"/>
    <n v="1618.7"/>
  </r>
  <r>
    <x v="0"/>
    <x v="29"/>
    <x v="0"/>
    <s v="9000938"/>
    <n v="749532"/>
    <s v="Business Meals-Physician"/>
    <s v="Eliminations-PE Offset"/>
    <x v="0"/>
    <n v="2000"/>
    <n v="0"/>
    <n v="0"/>
    <n v="0"/>
    <n v="0"/>
    <n v="0"/>
    <n v="0"/>
    <n v="0"/>
    <n v="0"/>
    <n v="0"/>
    <n v="0"/>
    <n v="0"/>
    <n v="-6767.93"/>
    <n v="-6767.93"/>
    <n v="572.67999999999995"/>
  </r>
  <r>
    <x v="0"/>
    <x v="29"/>
    <x v="0"/>
    <s v="9000938"/>
    <n v="749532"/>
    <s v="Vehicle Expense-Physician"/>
    <s v="Eliminations-PE Offset"/>
    <x v="0"/>
    <n v="2001"/>
    <n v="0"/>
    <n v="0"/>
    <n v="0"/>
    <n v="0"/>
    <n v="0"/>
    <n v="0"/>
    <n v="0"/>
    <n v="0"/>
    <n v="0"/>
    <n v="0"/>
    <n v="0"/>
    <n v="-52361.31"/>
    <n v="-52361.31"/>
    <n v="157.31"/>
  </r>
  <r>
    <x v="0"/>
    <x v="29"/>
    <x v="0"/>
    <s v="9000938"/>
    <n v="749533"/>
    <s v="Travel-Advanced Practice Clinician"/>
    <s v="Eliminations-PE Offset"/>
    <x v="0"/>
    <m/>
    <n v="0"/>
    <n v="0"/>
    <n v="0"/>
    <n v="0"/>
    <n v="0"/>
    <n v="0"/>
    <n v="0"/>
    <n v="0"/>
    <n v="0"/>
    <n v="0"/>
    <n v="0"/>
    <n v="-139291.32999999999"/>
    <n v="-139291.32999999999"/>
    <n v="-0.01"/>
  </r>
  <r>
    <x v="0"/>
    <x v="29"/>
    <x v="0"/>
    <s v="9000938"/>
    <n v="749533"/>
    <s v="Business Meals-Advanced Practice Clinician"/>
    <s v="Eliminations-PE Offset"/>
    <x v="0"/>
    <n v="2000"/>
    <n v="0"/>
    <n v="0"/>
    <n v="0"/>
    <n v="0"/>
    <n v="0"/>
    <n v="0"/>
    <n v="0"/>
    <n v="0"/>
    <n v="0"/>
    <n v="0"/>
    <n v="0"/>
    <n v="-200.57"/>
    <n v="-200.57"/>
    <n v="222404.97"/>
  </r>
  <r>
    <x v="0"/>
    <x v="29"/>
    <x v="0"/>
    <s v="9000938"/>
    <n v="749533"/>
    <s v="Vehicle Expense-Advanced Practice Clinician"/>
    <s v="Eliminations-PE Offset"/>
    <x v="0"/>
    <n v="2001"/>
    <n v="0"/>
    <n v="0"/>
    <n v="0"/>
    <n v="0"/>
    <n v="0"/>
    <n v="0"/>
    <n v="0"/>
    <n v="0"/>
    <n v="0"/>
    <n v="0"/>
    <n v="0"/>
    <n v="-11225.02"/>
    <n v="-11225.02"/>
    <n v="340321.69"/>
  </r>
  <r>
    <x v="0"/>
    <x v="29"/>
    <x v="0"/>
    <s v="9000938"/>
    <n v="749535"/>
    <s v="Meetings"/>
    <s v="Eliminations-PE Offset"/>
    <x v="0"/>
    <m/>
    <n v="0"/>
    <n v="0"/>
    <n v="0"/>
    <n v="0"/>
    <n v="0"/>
    <n v="0"/>
    <n v="0"/>
    <n v="0"/>
    <n v="0"/>
    <n v="0"/>
    <n v="0"/>
    <n v="-90569.06"/>
    <n v="-90569.06"/>
    <n v="312750.26"/>
  </r>
  <r>
    <x v="0"/>
    <x v="29"/>
    <x v="0"/>
    <s v="9000938"/>
    <n v="749535"/>
    <s v="Employee Functions"/>
    <s v="Eliminations-PE Offset"/>
    <x v="0"/>
    <n v="1004"/>
    <n v="0"/>
    <n v="0"/>
    <n v="0"/>
    <n v="0"/>
    <n v="0"/>
    <n v="0"/>
    <n v="0"/>
    <n v="0"/>
    <n v="0"/>
    <n v="0"/>
    <n v="0"/>
    <n v="-642.95000000000005"/>
    <n v="-642.95000000000005"/>
    <n v="13097.4"/>
  </r>
  <r>
    <x v="0"/>
    <x v="29"/>
    <x v="0"/>
    <s v="9000938"/>
    <n v="749535"/>
    <s v="Medicare Non-Allowable Beverages"/>
    <s v="Eliminations-PE Offset"/>
    <x v="0"/>
    <n v="1005"/>
    <n v="0"/>
    <n v="0"/>
    <n v="0"/>
    <n v="0"/>
    <n v="0"/>
    <n v="0"/>
    <n v="0"/>
    <n v="0"/>
    <n v="0"/>
    <n v="0"/>
    <n v="0"/>
    <n v="-1618.7"/>
    <n v="-1618.7"/>
    <n v="2816119.09"/>
  </r>
  <r>
    <x v="0"/>
    <x v="29"/>
    <x v="0"/>
    <s v="9000938"/>
    <n v="749535"/>
    <s v="Medicare Non-Allowable Other"/>
    <s v="Eliminations-PE Offset"/>
    <x v="0"/>
    <n v="1012"/>
    <n v="0"/>
    <n v="0"/>
    <n v="0"/>
    <n v="0"/>
    <n v="0"/>
    <n v="0"/>
    <n v="0"/>
    <n v="0"/>
    <n v="0"/>
    <n v="0"/>
    <n v="0"/>
    <n v="-572.67999999999995"/>
    <n v="-572.67999999999995"/>
    <n v="1013476.2"/>
  </r>
  <r>
    <x v="0"/>
    <x v="29"/>
    <x v="0"/>
    <s v="9000938"/>
    <n v="749550"/>
    <s v="Cash Over/Short"/>
    <s v="Eliminations-PE Offset"/>
    <x v="0"/>
    <m/>
    <n v="0"/>
    <n v="0"/>
    <n v="0"/>
    <n v="0"/>
    <n v="0"/>
    <n v="0"/>
    <n v="0"/>
    <n v="0"/>
    <n v="0"/>
    <n v="0"/>
    <n v="0"/>
    <n v="-157.31"/>
    <n v="-157.31"/>
    <n v="-310.49"/>
  </r>
  <r>
    <x v="0"/>
    <x v="29"/>
    <x v="0"/>
    <s v="9000938"/>
    <n v="749591"/>
    <s v="Other Expense-Intracompany Allocation"/>
    <s v="Eliminations-PE Offset"/>
    <x v="0"/>
    <m/>
    <n v="0"/>
    <n v="0"/>
    <n v="0"/>
    <n v="0"/>
    <n v="0"/>
    <n v="0"/>
    <n v="0"/>
    <n v="0"/>
    <n v="0"/>
    <n v="0"/>
    <n v="0"/>
    <n v="0.01"/>
    <n v="0.01"/>
    <n v="-65430.16"/>
  </r>
  <r>
    <x v="24"/>
    <x v="29"/>
    <x v="0"/>
    <s v="9000938"/>
    <n v="760030"/>
    <s v="Interest Expense-Ext to CHI Programs"/>
    <s v="Eliminations-PE Offset"/>
    <x v="0"/>
    <m/>
    <n v="0"/>
    <n v="0"/>
    <n v="0"/>
    <n v="0"/>
    <n v="0"/>
    <n v="0"/>
    <n v="0"/>
    <n v="0"/>
    <n v="0"/>
    <n v="0"/>
    <n v="0"/>
    <n v="-222404.97"/>
    <n v="-222404.97"/>
    <n v="0"/>
  </r>
  <r>
    <x v="0"/>
    <x v="29"/>
    <x v="0"/>
    <s v="9000938"/>
    <n v="765050"/>
    <s v="Local Income Tax"/>
    <s v="Eliminations-PE Offset"/>
    <x v="0"/>
    <m/>
    <n v="0"/>
    <n v="0"/>
    <n v="0"/>
    <n v="0"/>
    <n v="0"/>
    <n v="0"/>
    <n v="0"/>
    <n v="0"/>
    <n v="0"/>
    <n v="0"/>
    <n v="0"/>
    <n v="-340321.69"/>
    <n v="-340321.69"/>
    <n v="0"/>
  </r>
  <r>
    <x v="0"/>
    <x v="29"/>
    <x v="0"/>
    <s v="9000938"/>
    <n v="766010"/>
    <s v="Property Tax"/>
    <s v="Eliminations-PE Offset"/>
    <x v="0"/>
    <m/>
    <n v="0"/>
    <n v="0"/>
    <n v="0"/>
    <n v="0"/>
    <n v="0"/>
    <n v="0"/>
    <n v="0"/>
    <n v="0"/>
    <n v="0"/>
    <n v="0"/>
    <n v="0"/>
    <n v="-312750.26"/>
    <n v="-312750.26"/>
    <n v="0"/>
  </r>
  <r>
    <x v="0"/>
    <x v="29"/>
    <x v="0"/>
    <s v="9000938"/>
    <n v="766070"/>
    <s v="Sales and Use Tax"/>
    <s v="Eliminations-PE Offset"/>
    <x v="0"/>
    <m/>
    <n v="0"/>
    <n v="0"/>
    <n v="0"/>
    <n v="0"/>
    <n v="0"/>
    <n v="0"/>
    <n v="0"/>
    <n v="0"/>
    <n v="0"/>
    <n v="0"/>
    <n v="0"/>
    <n v="-13097.4"/>
    <n v="-13097.4"/>
    <n v="0"/>
  </r>
  <r>
    <x v="0"/>
    <x v="29"/>
    <x v="0"/>
    <s v="9000938"/>
    <n v="766090"/>
    <s v="Franchise and Excise Tax"/>
    <s v="Eliminations-PE Offset"/>
    <x v="0"/>
    <n v="1001"/>
    <n v="0"/>
    <n v="0"/>
    <n v="0"/>
    <n v="0"/>
    <n v="0"/>
    <n v="0"/>
    <n v="0"/>
    <n v="0"/>
    <n v="0"/>
    <n v="0"/>
    <n v="0"/>
    <n v="-2816119.09"/>
    <n v="-2816119.09"/>
    <n v="0"/>
  </r>
  <r>
    <x v="25"/>
    <x v="29"/>
    <x v="0"/>
    <s v="9000938"/>
    <n v="770020"/>
    <s v="Severance Costs"/>
    <s v="Eliminations-PE Offset"/>
    <x v="0"/>
    <m/>
    <n v="0"/>
    <n v="0"/>
    <n v="0"/>
    <n v="0"/>
    <n v="0"/>
    <n v="0"/>
    <n v="0"/>
    <n v="0"/>
    <n v="0"/>
    <n v="0"/>
    <n v="0"/>
    <n v="-1013476.2"/>
    <n v="-1013476.2"/>
    <n v="0"/>
  </r>
  <r>
    <x v="9"/>
    <x v="29"/>
    <x v="0"/>
    <s v="9000938"/>
    <n v="800010"/>
    <s v="Interest Income-CHI Cash Mgmt Program"/>
    <s v="Eliminations-PE Offset"/>
    <x v="0"/>
    <n v="1000"/>
    <n v="0"/>
    <n v="0"/>
    <n v="0"/>
    <n v="0"/>
    <n v="0"/>
    <n v="0"/>
    <n v="0"/>
    <n v="0"/>
    <n v="0"/>
    <n v="0"/>
    <n v="0"/>
    <n v="310.49"/>
    <n v="310.49"/>
    <n v="0"/>
  </r>
  <r>
    <x v="9"/>
    <x v="29"/>
    <x v="0"/>
    <s v="9000938"/>
    <n v="800015"/>
    <s v="Interest Income-Ext to CHI"/>
    <s v="Eliminations-PE Offset"/>
    <x v="0"/>
    <m/>
    <n v="0"/>
    <n v="0"/>
    <n v="0"/>
    <n v="0"/>
    <n v="0"/>
    <n v="0"/>
    <n v="0"/>
    <n v="0"/>
    <n v="0"/>
    <n v="0"/>
    <n v="0"/>
    <n v="65430.16"/>
    <n v="65430.16"/>
    <n v="0"/>
  </r>
  <r>
    <x v="9"/>
    <x v="29"/>
    <x v="0"/>
    <s v="9000938"/>
    <n v="804050"/>
    <s v="Business Combination Gains-Nonoperating"/>
    <s v="Eliminations-PE Offset"/>
    <x v="0"/>
    <m/>
    <n v="0"/>
    <n v="0"/>
    <n v="0"/>
    <n v="0"/>
    <n v="0"/>
    <n v="0"/>
    <n v="0"/>
    <n v="0"/>
    <n v="0"/>
    <n v="0"/>
    <n v="0"/>
    <n v="-2737708.54"/>
    <n v="-2737708.54"/>
    <n v="0"/>
  </r>
  <r>
    <x v="0"/>
    <x v="3"/>
    <x v="0"/>
    <s v="9006101"/>
    <n v="749510"/>
    <s v="Miscellaneous Expenses"/>
    <s v="Fdn Grants Support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11103"/>
    <n v="700032"/>
    <s v="Salaries-Other Pat Care Providers-Productive"/>
    <s v="Outpatient PT Clearing to SJ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11103"/>
    <n v="713010"/>
    <s v="Benefits-FICA/Medicare"/>
    <s v="Outpatient PT Clearing to SJ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11103"/>
    <n v="713090"/>
    <s v="Benefits-Allocated Amounts"/>
    <s v="Outpatient PT Clearing to SJ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12103"/>
    <n v="700032"/>
    <s v="Salaries-Other Pat Care Providers-Productive"/>
    <s v="Clearing SJ Inpt PT Services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12103"/>
    <n v="713010"/>
    <s v="Benefits-FICA/Medicare"/>
    <s v="Clearing SJ Inpt PT Services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12103"/>
    <n v="713090"/>
    <s v="Benefits-Allocated Amounts"/>
    <s v="Clearing SJ Inpt PT Services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14103"/>
    <n v="700032"/>
    <s v="Salaries-Other Pat Care Providers-Productive"/>
    <s v="OP Therapy Bonney Lake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14103"/>
    <n v="713010"/>
    <s v="Benefits-FICA/Medicare"/>
    <s v="OP Therapy Bonney Lake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5101"/>
    <n v="700032"/>
    <s v="Salaries-Other Pat Care Providers-Productive"/>
    <s v="EEG Services to Dr.Stankus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5101"/>
    <n v="713010"/>
    <s v="Benefits-FICA/Medicare"/>
    <s v="EEG Services to Dr.Stankus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5101"/>
    <n v="713090"/>
    <s v="Benefits-Allocated Amounts"/>
    <s v="EEG Services to Dr.Stankus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9015104"/>
    <n v="700014"/>
    <s v="Salaries-Management-Productive"/>
    <s v="PT Service-Gig Harbor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9015104"/>
    <n v="700032"/>
    <s v="Salaries-Other Pat Care Providers-Productive"/>
    <s v="PT Service-Gig Harbo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5104"/>
    <n v="713010"/>
    <s v="Benefits-FICA/Medicare"/>
    <s v="PT Service-Gig Harbo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5104"/>
    <n v="713090"/>
    <s v="Benefits-Allocated Amounts"/>
    <s v="PT Service-Gig Harbor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15200"/>
    <n v="700014"/>
    <s v="Salaries-Management-Productive"/>
    <s v="Harrison UC Port Orchard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15200"/>
    <n v="700054"/>
    <s v="Salaries-Management-Non-productive"/>
    <s v="Harrison UC Port Orchard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15200"/>
    <n v="700054"/>
    <s v="Salaries-Management-NonProd-Other"/>
    <s v="Harrison UC Port Orchard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9015200"/>
    <n v="713010"/>
    <s v="Benefits-FICA/Medicare"/>
    <s v="Harrison UC Port Orchard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9015200"/>
    <n v="713090"/>
    <s v="Benefits-Allocated Amounts"/>
    <s v="Harrison UC Port Orchard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6101"/>
    <n v="700018"/>
    <s v="Salaries-Supervisory-Productive"/>
    <s v="Rainier Health RX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6101"/>
    <n v="700032"/>
    <s v="Salaries-Other Pat Care Providers-Productive"/>
    <s v="Rainier Health RX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6101"/>
    <n v="700032"/>
    <s v="Salaries-Other Pat Care Providers-OT"/>
    <s v="Rainier Health RX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6101"/>
    <n v="700032"/>
    <s v="Salaries-Other Pat Care Providers-Other"/>
    <s v="Rainier Health RX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6101"/>
    <n v="700038"/>
    <s v="Salaries-Service/Support-Productive"/>
    <s v="Rainier Health RX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6101"/>
    <n v="700072"/>
    <s v="Salaries-Other Pat Care Providers-Non-productive"/>
    <s v="Rainier Health RX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6101"/>
    <n v="700072"/>
    <s v="Salaries-Other Pat Care Providers-NonProd-Other"/>
    <s v="Rainier Health RX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6101"/>
    <n v="713010"/>
    <s v="Benefits-FICA/Medicare"/>
    <s v="Rainier Health RX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6101"/>
    <n v="713090"/>
    <s v="Benefits-Allocated Amounts"/>
    <s v="Rainier Health RX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16200"/>
    <n v="700014"/>
    <s v="Salaries-Management-Productive"/>
    <s v="Harrison UC Belfair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16200"/>
    <n v="700054"/>
    <s v="Salaries-Management-Non-productive"/>
    <s v="Harrison UC Belfair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9016200"/>
    <n v="713010"/>
    <s v="Benefits-FICA/Medicare"/>
    <s v="Harrison UC Belfair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9016200"/>
    <n v="713090"/>
    <s v="Benefits-Allocated Amounts"/>
    <s v="Harrison UC Belfair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9017104"/>
    <n v="700032"/>
    <s v="Salaries-Other Pat Care Providers-Productive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7104"/>
    <n v="713010"/>
    <s v="Benefits-FICA/Medicare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7104"/>
    <n v="713090"/>
    <s v="Benefits-Allocated Amounts"/>
    <s v="SJ Canyon Road P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8101"/>
    <n v="700018"/>
    <s v="Salaries-Supervisory-Productive"/>
    <s v="Fran. RX St. Anthony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8101"/>
    <n v="713010"/>
    <s v="Benefits-FICA/Medicare"/>
    <s v="Fran. RX St. Anthony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8101"/>
    <n v="713090"/>
    <s v="Benefits-Allocated Amounts"/>
    <s v="Fran. RX St. Anthony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9018102"/>
    <n v="700018"/>
    <s v="Salaries-Supervisory-Productive"/>
    <s v="Fran. RX St Anthon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9018102"/>
    <n v="713010"/>
    <s v="Benefits-FICA/Medicare"/>
    <s v="Fran. RX St Anthony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9018102"/>
    <n v="713090"/>
    <s v="Benefits-Allocated Amounts"/>
    <s v="Fran. RX St Anthony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9018104"/>
    <n v="700018"/>
    <s v="Salaries-Supervisory-Productive"/>
    <s v="SJ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8104"/>
    <n v="713010"/>
    <s v="Benefits-FICA/Medicare"/>
    <s v="SJ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8104"/>
    <n v="713090"/>
    <s v="Benefits-Allocated Amounts"/>
    <s v="SJ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9101"/>
    <n v="700018"/>
    <s v="Salaries-Supervisory-Productive"/>
    <s v="SA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9101"/>
    <n v="700032"/>
    <s v="Salaries-Other Pat Care Providers-Productive"/>
    <s v="SA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9101"/>
    <n v="700032"/>
    <s v="Salaries-Other Pat Care Providers-OT"/>
    <s v="SAH Coumadin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9101"/>
    <n v="700032"/>
    <s v="Salaries-Other Pat Care Providers-Other"/>
    <s v="SAH Coumad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19101"/>
    <n v="700038"/>
    <s v="Salaries-Service/Support-Productive"/>
    <s v="SA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9101"/>
    <n v="713010"/>
    <s v="Benefits-FICA/Medicare"/>
    <s v="SA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19101"/>
    <n v="713090"/>
    <s v="Benefits-Allocated Amounts"/>
    <s v="SA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9019104"/>
    <n v="700018"/>
    <s v="Salaries-Supervisory-Productive"/>
    <s v="SF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9104"/>
    <n v="713010"/>
    <s v="Benefits-FICA/Medicare"/>
    <s v="SF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19104"/>
    <n v="713090"/>
    <s v="Benefits-Allocated Amounts"/>
    <s v="SF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0101"/>
    <n v="700034"/>
    <s v="Salaries-Tech/Professional-Productive"/>
    <s v="SAH Physical 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20101"/>
    <n v="713010"/>
    <s v="Benefits-FICA/Medicare"/>
    <s v="SAH Physical 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20101"/>
    <n v="713090"/>
    <s v="Benefits-Allocated Amounts"/>
    <s v="SAH Physical Therapy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20103"/>
    <n v="700032"/>
    <s v="Salaries-Other Pat Care Providers-Productive"/>
    <s v="SAH Physical 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20103"/>
    <n v="713010"/>
    <s v="Benefits-FICA/Medicare"/>
    <s v="SAH Physical 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20103"/>
    <n v="713090"/>
    <s v="Benefits-Allocated Amounts"/>
    <s v="SAH Physical Therapy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9020104"/>
    <n v="700018"/>
    <s v="Salaries-Supervisory-Productive"/>
    <s v="SC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20104"/>
    <n v="713010"/>
    <s v="Benefits-FICA/Medicare"/>
    <s v="SC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20104"/>
    <n v="713090"/>
    <s v="Benefits-Allocated Amounts"/>
    <s v="SC Franciscan Pharmacy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1101"/>
    <n v="700018"/>
    <s v="Salaries-Supervisory-Productive"/>
    <s v="SE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1101"/>
    <n v="700032"/>
    <s v="Salaries-Other Pat Care Providers-Productive"/>
    <s v="SE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1101"/>
    <n v="700032"/>
    <s v="Salaries-Other Pat Care Providers-OT"/>
    <s v="SEH Coumadin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1101"/>
    <n v="700032"/>
    <s v="Salaries-Other Pat Care Providers-Other"/>
    <s v="SEH Coumad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1101"/>
    <n v="700038"/>
    <s v="Salaries-Service/Support-Productive"/>
    <s v="SE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1101"/>
    <n v="700072"/>
    <s v="Salaries-Other Pat Care Providers-NonProd-Other"/>
    <s v="SEH Coumad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21101"/>
    <n v="713010"/>
    <s v="Benefits-FICA/Medicare"/>
    <s v="SE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21101"/>
    <n v="713090"/>
    <s v="Benefits-Allocated Amounts"/>
    <s v="SEH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5101"/>
    <n v="700032"/>
    <s v="Salaries-Other Pat Care Providers-Productive"/>
    <s v="SAH Occup. Therapy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25101"/>
    <n v="700032"/>
    <s v="Salaries-Other Pat Care Providers-Other"/>
    <s v="SAH Occup. Therapy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25101"/>
    <n v="713010"/>
    <s v="Benefits-FICA/Medicare"/>
    <s v="SAH Occup. 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25101"/>
    <n v="713090"/>
    <s v="Benefits-Allocated Amounts"/>
    <s v="SAH Occup. Therapy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25103"/>
    <n v="700032"/>
    <s v="Salaries-Other Pat Care Providers-Productive"/>
    <s v="SAH Occup. 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25103"/>
    <n v="713010"/>
    <s v="Benefits-FICA/Medicare"/>
    <s v="SAH Occup. 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25103"/>
    <n v="713090"/>
    <s v="Benefits-Allocated Amounts"/>
    <s v="SAH Occup. Therapy"/>
    <x v="0"/>
    <m/>
    <n v="0"/>
    <n v="0"/>
    <n v="0"/>
    <n v="0"/>
    <n v="0"/>
    <n v="0"/>
    <n v="0"/>
    <n v="0"/>
    <n v="0"/>
    <n v="0"/>
    <n v="0"/>
    <n v="0"/>
    <n v="0"/>
    <n v="0"/>
  </r>
  <r>
    <x v="5"/>
    <x v="8"/>
    <x v="0"/>
    <s v="9025104"/>
    <n v="700032"/>
    <s v="Salaries-Other Pat Care Providers-Productive"/>
    <s v="SJMC Outpatient Occup.Therapy"/>
    <x v="0"/>
    <m/>
    <n v="0"/>
    <n v="0"/>
    <n v="0"/>
    <n v="0"/>
    <n v="0"/>
    <n v="0"/>
    <n v="0"/>
    <n v="0"/>
    <n v="0"/>
    <n v="0"/>
    <n v="0"/>
    <n v="0"/>
    <n v="0"/>
    <n v="0"/>
  </r>
  <r>
    <x v="6"/>
    <x v="8"/>
    <x v="0"/>
    <s v="9025104"/>
    <n v="713010"/>
    <s v="Benefits-FICA/Medicare"/>
    <s v="SJMC Outpatient Occup.Therapy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30103"/>
    <n v="700032"/>
    <s v="Salaries-Other Pat Care Providers-Productive"/>
    <s v="Clearing SJ Inpt OT Services"/>
    <x v="0"/>
    <m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30103"/>
    <n v="700032"/>
    <s v="Salaries-Other Pat Care Providers-OT"/>
    <s v="Clearing SJ Inpt OT Services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4"/>
    <x v="0"/>
    <s v="9030103"/>
    <n v="700032"/>
    <s v="Salaries-Other Pat Care Providers-Other"/>
    <s v="Clearing SJ Inpt OT Services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30103"/>
    <n v="713010"/>
    <s v="Benefits-FICA/Medicare"/>
    <s v="Clearing SJ Inpt OT Services"/>
    <x v="0"/>
    <m/>
    <n v="0"/>
    <n v="0"/>
    <n v="0"/>
    <n v="0"/>
    <n v="0"/>
    <n v="0"/>
    <n v="0"/>
    <n v="0"/>
    <n v="0"/>
    <n v="0"/>
    <n v="0"/>
    <n v="0"/>
    <n v="0"/>
    <n v="0"/>
  </r>
  <r>
    <x v="6"/>
    <x v="4"/>
    <x v="0"/>
    <s v="9030103"/>
    <n v="713090"/>
    <s v="Benefits-Allocated Amounts"/>
    <s v="Clearing SJ Inpt OT Services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2101"/>
    <n v="700018"/>
    <s v="Salaries-Supervisory-Productive"/>
    <s v="Highline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2101"/>
    <n v="700032"/>
    <s v="Salaries-Other Pat Care Providers-Productive"/>
    <s v="Highline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2101"/>
    <n v="700032"/>
    <s v="Salaries-Other Pat Care Providers-OT"/>
    <s v="Highline Coumadin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2101"/>
    <n v="700032"/>
    <s v="Salaries-Other Pat Care Providers-Other"/>
    <s v="Highline Coumad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2101"/>
    <n v="700038"/>
    <s v="Salaries-Service/Support-Productive"/>
    <s v="Highline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2101"/>
    <n v="700072"/>
    <s v="Salaries-Other Pat Care Providers-NonProd-Other"/>
    <s v="Highline Coumad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2101"/>
    <n v="713010"/>
    <s v="Benefits-FICA/Medicare"/>
    <s v="Highline Coumadi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2101"/>
    <n v="713090"/>
    <s v="Benefits-Allocated Amounts"/>
    <s v="Highline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3101"/>
    <n v="700018"/>
    <s v="Salaries-Supervisory-Productive"/>
    <s v="Harrison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3101"/>
    <n v="700032"/>
    <s v="Salaries-Other Pat Care Providers-Productive"/>
    <s v="Harrison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3101"/>
    <n v="700032"/>
    <s v="Salaries-Other Pat Care Providers-OT"/>
    <s v="Harrison Coumadin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3101"/>
    <n v="700032"/>
    <s v="Salaries-Other Pat Care Providers-Other"/>
    <s v="Harrison Coumad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3101"/>
    <n v="700038"/>
    <s v="Salaries-Service/Support-Productive"/>
    <s v="Harrison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3101"/>
    <n v="700072"/>
    <s v="Salaries-Other Pat Care Providers-NonProd-Other"/>
    <s v="Harrison Coumad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3101"/>
    <n v="713010"/>
    <s v="Benefits-FICA/Medicare"/>
    <s v="Harrison Coumadi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3101"/>
    <n v="713090"/>
    <s v="Benefits-Allocated Amounts"/>
    <s v="Harrison Coumad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4101"/>
    <n v="700032"/>
    <s v="Salaries-Other Pat Care Providers-Productive"/>
    <s v="Heart Failure Clinic RX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4101"/>
    <n v="700032"/>
    <s v="Salaries-Other Pat Care Providers-OT"/>
    <s v="Heart Failure Clinic RX Clear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4101"/>
    <n v="700032"/>
    <s v="Salaries-Other Pat Care Providers-Other"/>
    <s v="Heart Failure Clinic RX Clear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4101"/>
    <n v="700072"/>
    <s v="Salaries-Other Pat Care Providers-NonProd-Other"/>
    <s v="Heart Failure Clinic RX Clear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4101"/>
    <n v="713010"/>
    <s v="Benefits-FICA/Medicare"/>
    <s v="Heart Failure Clinic RX Clear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4101"/>
    <n v="713090"/>
    <s v="Benefits-Allocated Amounts"/>
    <s v="Heart Failure Clinic RX Clear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5101"/>
    <n v="700032"/>
    <s v="Salaries-Other Pat Care Providers-Productive"/>
    <s v="SAH Speech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5101"/>
    <n v="700032"/>
    <s v="Salaries-Other Pat Care Providers-OT"/>
    <s v="SAH Speech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5101"/>
    <n v="700032"/>
    <s v="Salaries-Other Pat Care Providers-Other"/>
    <s v="SAH Speech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5101"/>
    <n v="713010"/>
    <s v="Benefits-FICA/Medicare"/>
    <s v="SAH Speech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5101"/>
    <n v="713090"/>
    <s v="Benefits-Allocated Amounts"/>
    <s v="SAH Speech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35501"/>
    <n v="700032"/>
    <s v="Salaries-Other Pat Care Providers-Productive"/>
    <s v="Outpatient Dietitians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35501"/>
    <n v="700032"/>
    <s v="Salaries-Other Pat Care Providers-OT"/>
    <s v="Outpatient Dietitians Clring"/>
    <x v="0"/>
    <n v="1000"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35501"/>
    <n v="713010"/>
    <s v="Benefits-FICA/Medicare"/>
    <s v="Outpatient Dietitians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35501"/>
    <n v="713090"/>
    <s v="Benefits-Allocated Amounts"/>
    <s v="Outpatient Dietitians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36101"/>
    <n v="700032"/>
    <s v="Salaries-Other Pat Care Providers-Productive"/>
    <s v="SEH Speech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36101"/>
    <n v="713010"/>
    <s v="Benefits-FICA/Medicare"/>
    <s v="SEH Speech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9036102"/>
    <n v="700014"/>
    <s v="Salaries-Management-Productive"/>
    <s v="Highline Sleep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9036102"/>
    <n v="713010"/>
    <s v="Benefits-FICA/Medicare"/>
    <s v="Highline Sleep Lab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9036102"/>
    <n v="713090"/>
    <s v="Benefits-Allocated Amounts"/>
    <s v="Highline Sleep Lab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9037102"/>
    <n v="700032"/>
    <s v="Salaries-Other Pat Care Providers-Productive"/>
    <s v="Highline Rad On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9037102"/>
    <n v="700032"/>
    <s v="Salaries-Other Pat Care Providers-OT"/>
    <s v="Highline Rad Onc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9037102"/>
    <n v="700034"/>
    <s v="Salaries-Tech/Professional-Productive"/>
    <s v="Highline Rad On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9037102"/>
    <n v="700034"/>
    <s v="Salaries-Tech/Professional-OT"/>
    <s v="Highline Rad Onc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0"/>
    <x v="0"/>
    <s v="9037102"/>
    <n v="700034"/>
    <s v="Salaries-Tech/Professional-Other"/>
    <s v="Highline Rad Onc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9037102"/>
    <n v="713010"/>
    <s v="Benefits-FICA/Medicare"/>
    <s v="Highline Rad Onc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0"/>
    <x v="0"/>
    <s v="9037102"/>
    <n v="713090"/>
    <s v="Benefits-Allocated Amounts"/>
    <s v="Highline Rad Onc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45101"/>
    <n v="700038"/>
    <s v="Salaries-Service/Support-Productive"/>
    <s v="SF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45101"/>
    <n v="700078"/>
    <s v="Salaries-Service/Support-Non-productive"/>
    <s v="SF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45101"/>
    <n v="713010"/>
    <s v="Benefits-FICA/Medicare"/>
    <s v="SF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45101"/>
    <n v="713090"/>
    <s v="Benefits-Allocated Amounts"/>
    <s v="SF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46101"/>
    <n v="700038"/>
    <s v="Salaries-Service/Support-Productive"/>
    <s v="SC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46101"/>
    <n v="700078"/>
    <s v="Salaries-Service/Support-Non-productive"/>
    <s v="SC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46101"/>
    <n v="713010"/>
    <s v="Benefits-FICA/Medicare"/>
    <s v="SC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46101"/>
    <n v="713090"/>
    <s v="Benefits-Allocated Amounts"/>
    <s v="SC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47101"/>
    <n v="700038"/>
    <s v="Salaries-Service/Support-Productive"/>
    <s v="SA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47101"/>
    <n v="700078"/>
    <s v="Salaries-Service/Support-Non-productive"/>
    <s v="SA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47101"/>
    <n v="713010"/>
    <s v="Benefits-FICA/Medicare"/>
    <s v="SA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47101"/>
    <n v="713090"/>
    <s v="Benefits-Allocated Amounts"/>
    <s v="SAH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49200"/>
    <n v="700020"/>
    <s v="Salaries-Physician Admin-Productive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49200"/>
    <n v="700020"/>
    <s v="Salaries-Physician Admin-Other"/>
    <s v="Reg Cardiac Admin Cl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1"/>
    <x v="0"/>
    <s v="9049200"/>
    <n v="700062"/>
    <s v="Salaries-Physician-Non-productive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9049200"/>
    <n v="713010"/>
    <s v="Benefits-FICA/Medicare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1"/>
    <x v="0"/>
    <s v="9049200"/>
    <n v="713090"/>
    <s v="Benefits-Allocated Amounts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8"/>
    <x v="1"/>
    <x v="0"/>
    <s v="9049200"/>
    <n v="741012"/>
    <s v="Physician Liab Insurance-CHI Program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9049200"/>
    <n v="749510"/>
    <s v="Miscellaneous Expenses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9049200"/>
    <n v="749532"/>
    <s v="Travel-Physician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9049200"/>
    <n v="749532"/>
    <s v="Business Meals-Physician"/>
    <s v="Reg Cardiac Admin Clring"/>
    <x v="0"/>
    <n v="2000"/>
    <n v="0"/>
    <n v="0"/>
    <n v="0"/>
    <n v="0"/>
    <n v="0"/>
    <n v="0"/>
    <n v="0"/>
    <n v="0"/>
    <n v="0"/>
    <n v="0"/>
    <n v="0"/>
    <n v="0"/>
    <n v="0"/>
    <n v="0"/>
  </r>
  <r>
    <x v="0"/>
    <x v="1"/>
    <x v="0"/>
    <s v="9049200"/>
    <n v="749532"/>
    <s v="Vehicle Expense-Physician"/>
    <s v="Reg Cardiac Admin Clring"/>
    <x v="0"/>
    <n v="2001"/>
    <n v="0"/>
    <n v="0"/>
    <n v="0"/>
    <n v="0"/>
    <n v="0"/>
    <n v="0"/>
    <n v="0"/>
    <n v="0"/>
    <n v="0"/>
    <n v="0"/>
    <n v="0"/>
    <n v="0"/>
    <n v="0"/>
    <n v="0"/>
  </r>
  <r>
    <x v="9"/>
    <x v="1"/>
    <x v="0"/>
    <s v="9049200"/>
    <n v="800015"/>
    <s v="Interest Income-Ext to CHI"/>
    <s v="Reg Cardiac Admin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0101"/>
    <n v="700038"/>
    <s v="Salaries-Service/Support-Productive"/>
    <s v="Highline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0101"/>
    <n v="700078"/>
    <s v="Salaries-Service/Support-Non-productive"/>
    <s v="Highline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0101"/>
    <n v="713010"/>
    <s v="Benefits-FICA/Medicare"/>
    <s v="Highline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0101"/>
    <n v="713090"/>
    <s v="Benefits-Allocated Amounts"/>
    <s v="Highline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1101"/>
    <n v="700038"/>
    <s v="Salaries-Service/Support-Productive"/>
    <s v="Regional Retail Svc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1101"/>
    <n v="713010"/>
    <s v="Benefits-FICA/Medicare"/>
    <s v="Regional Retail Svc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1101"/>
    <n v="713090"/>
    <s v="Benefits-Allocated Amounts"/>
    <s v="Regional Retail Svc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2101"/>
    <n v="700026"/>
    <s v="Salaries-RN-Productive"/>
    <s v="Harrison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2101"/>
    <n v="700026"/>
    <s v="Salaries-RN-Other"/>
    <s v="Harrison Lactatio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2101"/>
    <n v="700032"/>
    <s v="Salaries-Other Pat Care Providers-Productive"/>
    <s v="Harrison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2101"/>
    <n v="700032"/>
    <s v="Salaries-Other Pat Care Providers-Other"/>
    <s v="Harrison Lactatio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2101"/>
    <n v="713010"/>
    <s v="Benefits-FICA/Medicare"/>
    <s v="Harrison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2101"/>
    <n v="713090"/>
    <s v="Benefits-Allocated Amounts"/>
    <s v="Harrison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3101"/>
    <n v="700026"/>
    <s v="Salaries-RN-Productive"/>
    <s v="Highline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3101"/>
    <n v="700032"/>
    <s v="Salaries-Other Pat Care Providers-Productive"/>
    <s v="Highline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3101"/>
    <n v="713010"/>
    <s v="Benefits-FICA/Medicare"/>
    <s v="Highline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3101"/>
    <n v="713090"/>
    <s v="Benefits-Allocated Amounts"/>
    <s v="Highline Lactatio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6101"/>
    <n v="700030"/>
    <s v="Salaries-LPN-Productive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6101"/>
    <n v="700030"/>
    <s v="Salaries-LPN-OT"/>
    <s v="SF Risk Bundles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6101"/>
    <n v="700030"/>
    <s v="Salaries-LPN-Other"/>
    <s v="SF Risk Bundles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6101"/>
    <n v="700070"/>
    <s v="Salaries-LPN-Non-productive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6101"/>
    <n v="713010"/>
    <s v="Benefits-FICA/Medicare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6101"/>
    <n v="713090"/>
    <s v="Benefits-Allocated Amounts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6501"/>
    <n v="700024"/>
    <s v="Salaries-Advanced Practice Clinician-Other"/>
    <s v="SF Risk Bundles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6501"/>
    <n v="700026"/>
    <s v="Salaries-RN-Productive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6501"/>
    <n v="700026"/>
    <s v="Salaries-RN-OT"/>
    <s v="SF Risk Bundles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6501"/>
    <n v="700066"/>
    <s v="Salaries-RN-Non-productive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56501"/>
    <n v="713010"/>
    <s v="Benefits-FICA/Medicare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56501"/>
    <n v="713090"/>
    <s v="Benefits-Allocated Amounts"/>
    <s v="SF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7101"/>
    <n v="700030"/>
    <s v="Salaries-LPN-Productive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7101"/>
    <n v="700030"/>
    <s v="Salaries-LPN-OT"/>
    <s v="SC Risk Bundles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7101"/>
    <n v="700030"/>
    <s v="Salaries-LPN-Other"/>
    <s v="SC Risk Bundles Clearing"/>
    <x v="0"/>
    <n v="2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7101"/>
    <n v="700070"/>
    <s v="Salaries-LPN-Non-productive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7101"/>
    <n v="713010"/>
    <s v="Benefits-FICA/Medicare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7101"/>
    <n v="713090"/>
    <s v="Benefits-Allocated Amounts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7501"/>
    <n v="700026"/>
    <s v="Salaries-RN-Productive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7501"/>
    <n v="700026"/>
    <s v="Salaries-RN-OT"/>
    <s v="SC Risk Bundles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7501"/>
    <n v="700066"/>
    <s v="Salaries-RN-Non-productive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57501"/>
    <n v="713010"/>
    <s v="Benefits-FICA/Medicare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57501"/>
    <n v="713090"/>
    <s v="Benefits-Allocated Amounts"/>
    <s v="SC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58101"/>
    <n v="700030"/>
    <s v="Salaries-LPN-Productive"/>
    <s v="Highline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8101"/>
    <n v="713010"/>
    <s v="Benefits-FICA/Medicare"/>
    <s v="Highline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58101"/>
    <n v="713090"/>
    <s v="Benefits-Allocated Amounts"/>
    <s v="Highline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9501"/>
    <n v="700026"/>
    <s v="Salaries-RN-Productive"/>
    <s v="SA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9"/>
    <x v="0"/>
    <s v="9059501"/>
    <n v="700066"/>
    <s v="Salaries-RN-Non-productive"/>
    <s v="SA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59501"/>
    <n v="713010"/>
    <s v="Benefits-FICA/Medicare"/>
    <s v="SA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9"/>
    <x v="0"/>
    <s v="9059501"/>
    <n v="713090"/>
    <s v="Benefits-Allocated Amounts"/>
    <s v="SA Risk Bundles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62101"/>
    <n v="700026"/>
    <s v="Salaries-RN-Productive"/>
    <s v="SFH Intervent Pa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62101"/>
    <n v="700026"/>
    <s v="Salaries-RN-OT"/>
    <s v="SFH Intervent Pain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62101"/>
    <n v="700026"/>
    <s v="Salaries-RN-Other"/>
    <s v="SFH Intervent Pa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62101"/>
    <n v="713010"/>
    <s v="Benefits-FICA/Medicare"/>
    <s v="SFH Intervent Pai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62101"/>
    <n v="713090"/>
    <s v="Benefits-Allocated Amounts"/>
    <s v="SFH Intervent Pa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63101"/>
    <n v="700038"/>
    <s v="Salaries-Service/Support-Productive"/>
    <s v="Harrison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63101"/>
    <n v="713010"/>
    <s v="Benefits-FICA/Medicare"/>
    <s v="Harrison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63101"/>
    <n v="713090"/>
    <s v="Benefits-Allocated Amounts"/>
    <s v="Harrison Gift Shop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64101"/>
    <n v="700026"/>
    <s v="Salaries-RN-Productive"/>
    <s v="SAH Intervent Pa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64101"/>
    <n v="700026"/>
    <s v="Salaries-RN-OT"/>
    <s v="SAH Intervent Pain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64101"/>
    <n v="700026"/>
    <s v="Salaries-RN-Other"/>
    <s v="SAH Intervent Pain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64101"/>
    <n v="713010"/>
    <s v="Benefits-FICA/Medicare"/>
    <s v="SAH Intervent Pain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64101"/>
    <n v="713090"/>
    <s v="Benefits-Allocated Amounts"/>
    <s v="SAH Intervent Pain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0101"/>
    <n v="700032"/>
    <s v="Salaries-Other Pat Care Providers-Productive"/>
    <s v="FMG SJ Clinic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0101"/>
    <n v="700032"/>
    <s v="Salaries-Other Pat Care Providers-Other"/>
    <s v="FMG SJ Clinic Pharm Cl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0101"/>
    <n v="713010"/>
    <s v="Benefits-FICA/Medicare"/>
    <s v="FMG SJ Clinic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0101"/>
    <n v="713090"/>
    <s v="Benefits-Allocated Amounts"/>
    <s v="FMG SJ Clinic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1101"/>
    <n v="700032"/>
    <s v="Salaries-Other Pat Care Providers-Productive"/>
    <s v="FMG Enum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1101"/>
    <n v="700032"/>
    <s v="Salaries-Other Pat Care Providers-Other"/>
    <s v="FMG Enum Pharmacis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1101"/>
    <n v="713010"/>
    <s v="Benefits-FICA/Medicare"/>
    <s v="FMG Enum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1101"/>
    <n v="713090"/>
    <s v="Benefits-Allocated Amounts"/>
    <s v="FMG Enum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2101"/>
    <n v="700032"/>
    <s v="Salaries-Other Pat Care Providers-Productive"/>
    <s v="FMG Burien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2101"/>
    <n v="700032"/>
    <s v="Salaries-Other Pat Care Providers-OT"/>
    <s v="FMG Burien Pharmacist Clea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2101"/>
    <n v="700032"/>
    <s v="Salaries-Other Pat Care Providers-Other"/>
    <s v="FMG Burien Pharmacis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2101"/>
    <n v="713010"/>
    <s v="Benefits-FICA/Medicare"/>
    <s v="FMG Burien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2101"/>
    <n v="713090"/>
    <s v="Benefits-Allocated Amounts"/>
    <s v="FMG Burien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3101"/>
    <n v="700032"/>
    <s v="Salaries-Other Pat Care Providers-Productive"/>
    <s v="FMG Port Orchard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3101"/>
    <n v="700032"/>
    <s v="Salaries-Other Pat Care Providers-OT"/>
    <s v="FMG Port Orchard Pharm Cl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3101"/>
    <n v="700032"/>
    <s v="Salaries-Other Pat Care Providers-Other"/>
    <s v="FMG Port Orchard Pharm Cl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3101"/>
    <n v="713010"/>
    <s v="Benefits-FICA/Medicare"/>
    <s v="FMG Port Orchard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3101"/>
    <n v="713090"/>
    <s v="Benefits-Allocated Amounts"/>
    <s v="FMG Port Orchard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4101"/>
    <n v="700032"/>
    <s v="Salaries-Other Pat Care Providers-Productive"/>
    <s v="FMG GH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4101"/>
    <n v="700032"/>
    <s v="Salaries-Other Pat Care Providers-Other"/>
    <s v="FMG GH Pharmacist Clea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4101"/>
    <n v="713010"/>
    <s v="Benefits-FICA/Medicare"/>
    <s v="FMG GH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4101"/>
    <n v="713090"/>
    <s v="Benefits-Allocated Amounts"/>
    <s v="FMG GH Pharmacist Clea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5101"/>
    <n v="700032"/>
    <s v="Salaries-Other Pat Care Providers-Productive"/>
    <s v="FMG Pt Fosdick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5101"/>
    <n v="700032"/>
    <s v="Salaries-Other Pat Care Providers-Other"/>
    <s v="FMG Pt Fosdick Pharm Cl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5101"/>
    <n v="713010"/>
    <s v="Benefits-FICA/Medicare"/>
    <s v="FMG Pt Fosdick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5101"/>
    <n v="713090"/>
    <s v="Benefits-Allocated Amounts"/>
    <s v="FMG Pt Fosdick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6101"/>
    <n v="700032"/>
    <s v="Salaries-Other Pat Care Providers-Productive"/>
    <s v="FMG Bonney Lake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6101"/>
    <n v="700032"/>
    <s v="Salaries-Other Pat Care Providers-Other"/>
    <s v="FMG Bonney Lake Pharm Cl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6101"/>
    <n v="713010"/>
    <s v="Benefits-FICA/Medicare"/>
    <s v="FMG Bonney Lake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6101"/>
    <n v="713090"/>
    <s v="Benefits-Allocated Amounts"/>
    <s v="FMG Bonney Lake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7101"/>
    <n v="700032"/>
    <s v="Salaries-Other Pat Care Providers-Productive"/>
    <s v="FMG Milton Pharmacist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7101"/>
    <n v="700032"/>
    <s v="Salaries-Other Pat Care Providers-OT"/>
    <s v="FMG Milton Pharmacist Cl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7101"/>
    <n v="700032"/>
    <s v="Salaries-Other Pat Care Providers-Other"/>
    <s v="FMG Milton Pharmacist Cl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7101"/>
    <n v="713010"/>
    <s v="Benefits-FICA/Medicare"/>
    <s v="FMG Milton Pharmacist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7101"/>
    <n v="713090"/>
    <s v="Benefits-Allocated Amounts"/>
    <s v="FMG Milton Pharmacist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8101"/>
    <n v="700032"/>
    <s v="Salaries-Other Pat Care Providers-Productive"/>
    <s v="FMG UP Pharmacist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8101"/>
    <n v="700032"/>
    <s v="Salaries-Other Pat Care Providers-Other"/>
    <s v="FMG UP Pharmacist Clring"/>
    <x v="0"/>
    <n v="2000"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8101"/>
    <n v="713010"/>
    <s v="Benefits-FICA/Medicare"/>
    <s v="FMG UP Pharmacist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8101"/>
    <n v="713090"/>
    <s v="Benefits-Allocated Amounts"/>
    <s v="FMG UP Pharmacist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79101"/>
    <n v="700032"/>
    <s v="Salaries-Other Pat Care Providers-Productive"/>
    <s v="FMG Canyon Rd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9101"/>
    <n v="713010"/>
    <s v="Benefits-FICA/Medicare"/>
    <s v="FMG Canyon Rd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79101"/>
    <n v="713090"/>
    <s v="Benefits-Allocated Amounts"/>
    <s v="FMG Canyon Rd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80101"/>
    <n v="700032"/>
    <s v="Salaries-Other Pat Care Providers-Productive"/>
    <s v="FMG SF Clinic Pharm Clring"/>
    <x v="0"/>
    <m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80101"/>
    <n v="700032"/>
    <s v="Salaries-Other Pat Care Providers-OT"/>
    <s v="FMG SF Clinic Pharm Clring"/>
    <x v="0"/>
    <n v="1000"/>
    <n v="0"/>
    <n v="0"/>
    <n v="0"/>
    <n v="0"/>
    <n v="0"/>
    <n v="0"/>
    <n v="0"/>
    <n v="0"/>
    <n v="0"/>
    <n v="0"/>
    <n v="0"/>
    <n v="0"/>
    <n v="0"/>
    <n v="0"/>
  </r>
  <r>
    <x v="5"/>
    <x v="3"/>
    <x v="0"/>
    <s v="9080101"/>
    <n v="700032"/>
    <s v="Salaries-Other Pat Care Providers-Other"/>
    <s v="FMG SF Clinic Pharm Clring"/>
    <x v="0"/>
    <n v="2000"/>
    <n v="0"/>
    <n v="0"/>
    <n v="0"/>
    <n v="0"/>
    <n v="0"/>
    <n v="0"/>
    <n v="0"/>
    <n v="0"/>
    <n v="0"/>
    <n v="0"/>
    <n v="0"/>
    <n v="0"/>
    <n v="0"/>
    <n v="22734.369999999995"/>
  </r>
  <r>
    <x v="6"/>
    <x v="3"/>
    <x v="0"/>
    <s v="9080101"/>
    <n v="713010"/>
    <s v="Benefits-FICA/Medicare"/>
    <s v="FMG SF Clinic Pharm Clring"/>
    <x v="0"/>
    <m/>
    <n v="0"/>
    <n v="0"/>
    <n v="0"/>
    <n v="0"/>
    <n v="0"/>
    <n v="0"/>
    <n v="0"/>
    <n v="0"/>
    <n v="0"/>
    <n v="0"/>
    <n v="0"/>
    <n v="0"/>
    <n v="0"/>
    <n v="-177943.54000000004"/>
  </r>
  <r>
    <x v="6"/>
    <x v="3"/>
    <x v="0"/>
    <s v="9080101"/>
    <n v="713090"/>
    <s v="Benefits-Allocated Amounts"/>
    <s v="FMG SF Clinic Pharm Clring"/>
    <x v="0"/>
    <m/>
    <n v="0"/>
    <n v="0"/>
    <n v="0"/>
    <n v="0"/>
    <n v="0"/>
    <n v="0"/>
    <n v="0"/>
    <n v="0"/>
    <n v="0"/>
    <n v="0"/>
    <n v="0"/>
    <n v="0"/>
    <n v="0"/>
    <n v="1289.1500000000001"/>
  </r>
  <r>
    <x v="5"/>
    <x v="3"/>
    <x v="0"/>
    <s v="9081101"/>
    <n v="700032"/>
    <s v="Salaries-Other Pat Care Providers-Productive"/>
    <s v="FMG Lakewood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81101"/>
    <n v="713010"/>
    <s v="Benefits-FICA/Medicare"/>
    <s v="FMG Lakewood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81101"/>
    <n v="713090"/>
    <s v="Benefits-Allocated Amounts"/>
    <s v="FMG Lakewood Pharm Clring"/>
    <x v="0"/>
    <m/>
    <n v="0"/>
    <n v="0"/>
    <n v="0"/>
    <n v="0"/>
    <n v="0"/>
    <n v="0"/>
    <n v="0"/>
    <n v="0"/>
    <n v="0"/>
    <n v="0"/>
    <n v="0"/>
    <n v="0"/>
    <n v="0"/>
    <n v="-81.72"/>
  </r>
  <r>
    <x v="5"/>
    <x v="3"/>
    <x v="0"/>
    <s v="9082101"/>
    <n v="700032"/>
    <s v="Salaries-Other Pat Care Providers-Productive"/>
    <s v="FMG Spanaway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82101"/>
    <n v="713010"/>
    <s v="Benefits-FICA/Medicare"/>
    <s v="FMG Spanaway Pharm Clring"/>
    <x v="0"/>
    <m/>
    <n v="0"/>
    <n v="0"/>
    <n v="0"/>
    <n v="0"/>
    <n v="0"/>
    <n v="0"/>
    <n v="0"/>
    <n v="0"/>
    <n v="0"/>
    <n v="0"/>
    <n v="0"/>
    <n v="0"/>
    <n v="0"/>
    <n v="0"/>
  </r>
  <r>
    <x v="6"/>
    <x v="3"/>
    <x v="0"/>
    <s v="9082101"/>
    <n v="713090"/>
    <s v="Benefits-Allocated Amounts"/>
    <s v="FMG Spanaway Pharm Clring"/>
    <x v="0"/>
    <m/>
    <n v="0"/>
    <n v="0"/>
    <n v="0"/>
    <n v="0"/>
    <n v="0"/>
    <n v="0"/>
    <n v="0"/>
    <n v="0"/>
    <n v="0"/>
    <n v="0"/>
    <n v="0"/>
    <n v="0"/>
    <n v="0"/>
    <n v="0"/>
  </r>
  <r>
    <x v="22"/>
    <x v="5"/>
    <x v="0"/>
    <s v="9100106"/>
    <n v="620001"/>
    <s v="Changes in Equity of Unconsolidated Orgs-Controlling Interes"/>
    <s v="PMI JV"/>
    <x v="0"/>
    <m/>
    <n v="-213596.98"/>
    <n v="-123143.78"/>
    <n v="-115276.85"/>
    <n v="-32624.2"/>
    <n v="-190902.14"/>
    <n v="-159242.56"/>
    <n v="-47078.6"/>
    <n v="-119893.89"/>
    <n v="-144443.68"/>
    <n v="-195873.22"/>
    <n v="-163999.93"/>
    <n v="-186734.3"/>
    <n v="-1692810.13"/>
    <n v="0"/>
  </r>
  <r>
    <x v="22"/>
    <x v="9"/>
    <x v="0"/>
    <s v="9100501"/>
    <n v="620001"/>
    <s v="Changes in Equity of Unconsolidated Orgs-Controlling Interes"/>
    <s v="Alliance for South Sound Hlth"/>
    <x v="0"/>
    <m/>
    <n v="252024.75"/>
    <n v="21350.74"/>
    <n v="39571.620000000003"/>
    <n v="22688.42"/>
    <n v="2170.02"/>
    <n v="2558.5700000000002"/>
    <n v="7890.97"/>
    <n v="-97901.48"/>
    <n v="0"/>
    <n v="0"/>
    <n v="835000"/>
    <n v="1012943.54"/>
    <n v="2098297.15"/>
    <n v="0"/>
  </r>
  <r>
    <x v="7"/>
    <x v="9"/>
    <x v="0"/>
    <s v="9100501"/>
    <n v="716038"/>
    <s v="Contract Services-Legal"/>
    <s v="Alliance for South Sound Hlth"/>
    <x v="0"/>
    <m/>
    <n v="0"/>
    <n v="464.75"/>
    <n v="1715.7"/>
    <n v="4029.9"/>
    <n v="0"/>
    <n v="460.05"/>
    <n v="5792.45"/>
    <n v="0"/>
    <n v="0"/>
    <n v="11627.15"/>
    <n v="1289.1500000000001"/>
    <n v="0"/>
    <n v="25379.15"/>
    <n v="12943.54"/>
  </r>
  <r>
    <x v="21"/>
    <x v="9"/>
    <x v="0"/>
    <s v="9100501"/>
    <n v="716046"/>
    <s v="Consulting-Other"/>
    <s v="Alliance for South Sound Hlth"/>
    <x v="0"/>
    <m/>
    <n v="0"/>
    <n v="0"/>
    <n v="25011.200000000001"/>
    <n v="0"/>
    <n v="0"/>
    <n v="0"/>
    <n v="0"/>
    <n v="0"/>
    <n v="0"/>
    <n v="0"/>
    <n v="0"/>
    <n v="0"/>
    <n v="25011.200000000001"/>
    <n v="0"/>
  </r>
  <r>
    <x v="7"/>
    <x v="9"/>
    <x v="0"/>
    <s v="9100501"/>
    <n v="718050"/>
    <s v="Miscellaneous Purchased Svcs"/>
    <s v="Alliance for South Sound Hlth"/>
    <x v="0"/>
    <n v="1020"/>
    <n v="0"/>
    <n v="16974.66"/>
    <n v="8.49"/>
    <n v="0"/>
    <n v="0"/>
    <n v="0"/>
    <n v="0"/>
    <n v="0"/>
    <n v="0"/>
    <n v="0"/>
    <n v="0"/>
    <n v="0"/>
    <n v="16983.150000000001"/>
    <n v="0"/>
  </r>
  <r>
    <x v="7"/>
    <x v="9"/>
    <x v="0"/>
    <s v="9100501"/>
    <n v="718070"/>
    <s v="Contract Srvcs-CHI Clinical Engineering"/>
    <s v="Alliance for South Sound Hlth"/>
    <x v="0"/>
    <m/>
    <n v="0"/>
    <n v="0"/>
    <n v="0"/>
    <n v="0"/>
    <n v="0"/>
    <n v="0"/>
    <n v="0"/>
    <n v="0"/>
    <n v="0"/>
    <n v="0"/>
    <n v="0"/>
    <n v="81.72"/>
    <n v="81.72"/>
    <n v="1"/>
  </r>
  <r>
    <x v="11"/>
    <x v="9"/>
    <x v="0"/>
    <s v="9100501"/>
    <n v="721830"/>
    <s v="Supplies-Office"/>
    <s v="Alliance for South Sound Hlth"/>
    <x v="0"/>
    <m/>
    <n v="0"/>
    <n v="0"/>
    <n v="0"/>
    <n v="0"/>
    <n v="0"/>
    <n v="0"/>
    <n v="0"/>
    <n v="0"/>
    <n v="0"/>
    <n v="0"/>
    <n v="0"/>
    <n v="0"/>
    <n v="0"/>
    <n v="2"/>
  </r>
  <r>
    <x v="11"/>
    <x v="9"/>
    <x v="0"/>
    <s v="9100501"/>
    <n v="721910"/>
    <s v="Supplies-Small Equipment"/>
    <s v="Alliance for South Sound Hlth"/>
    <x v="0"/>
    <m/>
    <n v="1441.16"/>
    <n v="0"/>
    <n v="0"/>
    <n v="0"/>
    <n v="0"/>
    <n v="0"/>
    <n v="0"/>
    <n v="0"/>
    <n v="0"/>
    <n v="0"/>
    <n v="0"/>
    <n v="0"/>
    <n v="1441.16"/>
    <n v="3"/>
  </r>
  <r>
    <x v="11"/>
    <x v="9"/>
    <x v="0"/>
    <s v="9100501"/>
    <n v="722000"/>
    <s v="Supplies-Freight Expense"/>
    <s v="Alliance for South Sound Hlth"/>
    <x v="0"/>
    <m/>
    <n v="0"/>
    <n v="0"/>
    <n v="0"/>
    <n v="0"/>
    <n v="36.15"/>
    <n v="0"/>
    <n v="0"/>
    <n v="0"/>
    <n v="0"/>
    <n v="0"/>
    <n v="0"/>
    <n v="0"/>
    <n v="36.15"/>
    <n v="4"/>
  </r>
  <r>
    <x v="12"/>
    <x v="9"/>
    <x v="0"/>
    <s v="9100501"/>
    <n v="730010"/>
    <s v="Rental and Leases-Building (DO NOT USE)"/>
    <s v="Alliance for South Sound Hlth"/>
    <x v="0"/>
    <m/>
    <n v="2098.52"/>
    <n v="2098.52"/>
    <n v="2098.52"/>
    <n v="2098.52"/>
    <n v="2098.52"/>
    <n v="2098.52"/>
    <n v="2098.52"/>
    <n v="2098.52"/>
    <n v="0"/>
    <n v="0"/>
    <n v="0"/>
    <n v="0"/>
    <n v="16788.16"/>
    <n v="5"/>
  </r>
  <r>
    <x v="0"/>
    <x v="9"/>
    <x v="0"/>
    <s v="9100501"/>
    <n v="744010"/>
    <s v="Recruitment"/>
    <s v="Alliance for South Sound Hlth"/>
    <x v="0"/>
    <m/>
    <n v="146.75"/>
    <n v="1097.81"/>
    <n v="2723.21"/>
    <n v="0"/>
    <n v="0"/>
    <n v="0"/>
    <n v="0"/>
    <n v="0"/>
    <n v="0"/>
    <n v="0"/>
    <n v="0"/>
    <n v="0"/>
    <n v="3967.77"/>
    <n v="6"/>
  </r>
  <r>
    <x v="0"/>
    <x v="9"/>
    <x v="0"/>
    <s v="9100501"/>
    <n v="749510"/>
    <s v="Miscellaneous Expenses"/>
    <s v="Alliance for South Sound Hlth"/>
    <x v="0"/>
    <m/>
    <n v="-3686.43"/>
    <n v="-20660.740000000002"/>
    <n v="-39221.620000000003"/>
    <n v="-22688.42"/>
    <n v="-2134.67"/>
    <n v="-2558.5700000000002"/>
    <n v="-7890.97"/>
    <n v="-2098.52"/>
    <n v="0"/>
    <n v="0"/>
    <n v="0"/>
    <n v="-12943.54"/>
    <n v="-113883.48000000001"/>
    <n v="7"/>
  </r>
  <r>
    <x v="0"/>
    <x v="9"/>
    <x v="0"/>
    <s v="9100501"/>
    <n v="749510"/>
    <s v="Licenses"/>
    <s v="Alliance for South Sound Hlth"/>
    <x v="0"/>
    <n v="1002"/>
    <n v="0"/>
    <n v="25"/>
    <n v="7664.5"/>
    <n v="16560"/>
    <n v="0"/>
    <n v="0"/>
    <n v="0"/>
    <n v="0"/>
    <n v="0"/>
    <n v="0"/>
    <n v="0"/>
    <n v="0"/>
    <n v="24249.5"/>
    <n v="8"/>
  </r>
  <r>
    <x v="0"/>
    <x v="9"/>
    <x v="0"/>
    <s v="9100501"/>
    <n v="749530"/>
    <s v="Travel"/>
    <s v="Alliance for South Sound Hlth"/>
    <x v="0"/>
    <m/>
    <n v="0"/>
    <n v="0"/>
    <n v="0"/>
    <n v="0"/>
    <n v="0"/>
    <n v="0"/>
    <n v="0"/>
    <n v="0"/>
    <n v="0"/>
    <n v="0"/>
    <n v="0"/>
    <n v="0"/>
    <n v="0"/>
    <n v="9"/>
  </r>
  <r>
    <x v="22"/>
    <x v="9"/>
    <x v="0"/>
    <s v="9101501"/>
    <n v="620001"/>
    <s v="Changes in Equity of Unconsolidated Orgs-Controlling Interes"/>
    <s v="Rehab JV"/>
    <x v="0"/>
    <m/>
    <n v="368039.28"/>
    <n v="0"/>
    <n v="-18534.52"/>
    <n v="202393.91"/>
    <n v="9036.81"/>
    <n v="91189.15"/>
    <n v="33405.01"/>
    <n v="32063.05"/>
    <n v="-34334.339999999997"/>
    <n v="28018.65"/>
    <n v="-37232.43"/>
    <n v="-194905.98"/>
    <n v="479138.5900000002"/>
    <n v="10"/>
  </r>
  <r>
    <x v="22"/>
    <x v="5"/>
    <x v="0"/>
    <s v="9102106"/>
    <n v="620001"/>
    <s v="Changes in Equity of Unconsolidated Orgs-Controlling Interes"/>
    <s v="Highline PT JV"/>
    <x v="0"/>
    <m/>
    <n v="-44529.98"/>
    <n v="-13426.89"/>
    <n v="0"/>
    <n v="0"/>
    <n v="0"/>
    <n v="0"/>
    <n v="0"/>
    <n v="0"/>
    <n v="0"/>
    <n v="0"/>
    <n v="0"/>
    <n v="0"/>
    <n v="-57956.87"/>
    <n v="11"/>
  </r>
  <r>
    <x v="28"/>
    <x v="30"/>
    <x v="1"/>
    <m/>
    <m/>
    <m/>
    <m/>
    <x v="1"/>
    <m/>
    <m/>
    <m/>
    <m/>
    <m/>
    <m/>
    <m/>
    <m/>
    <m/>
    <m/>
    <m/>
    <m/>
    <m/>
    <m/>
    <m/>
  </r>
  <r>
    <x v="28"/>
    <x v="30"/>
    <x v="1"/>
    <m/>
    <m/>
    <m/>
    <m/>
    <x v="1"/>
    <m/>
    <m/>
    <m/>
    <m/>
    <m/>
    <m/>
    <m/>
    <m/>
    <m/>
    <m/>
    <m/>
    <m/>
    <m/>
    <m/>
    <m/>
  </r>
  <r>
    <x v="28"/>
    <x v="30"/>
    <x v="1"/>
    <m/>
    <m/>
    <m/>
    <m/>
    <x v="1"/>
    <m/>
    <m/>
    <m/>
    <m/>
    <m/>
    <m/>
    <m/>
    <m/>
    <m/>
    <m/>
    <m/>
    <m/>
    <m/>
    <m/>
    <m/>
  </r>
  <r>
    <x v="28"/>
    <x v="30"/>
    <x v="1"/>
    <m/>
    <m/>
    <m/>
    <m/>
    <x v="1"/>
    <m/>
    <m/>
    <m/>
    <m/>
    <m/>
    <m/>
    <m/>
    <m/>
    <m/>
    <m/>
    <m/>
    <m/>
    <m/>
    <n v="0"/>
    <m/>
  </r>
  <r>
    <x v="28"/>
    <x v="30"/>
    <x v="1"/>
    <m/>
    <m/>
    <m/>
    <m/>
    <x v="1"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">
  <r>
    <x v="0"/>
    <n v="2509.42"/>
  </r>
  <r>
    <x v="0"/>
    <n v="4985.46"/>
  </r>
  <r>
    <x v="1"/>
    <n v="10473.129999999999"/>
  </r>
  <r>
    <x v="1"/>
    <n v="9568.9599999999991"/>
  </r>
  <r>
    <x v="1"/>
    <n v="0"/>
  </r>
  <r>
    <x v="1"/>
    <n v="590.83000000000004"/>
  </r>
  <r>
    <x v="2"/>
    <n v="3268"/>
  </r>
  <r>
    <x v="3"/>
    <n v="354285"/>
  </r>
  <r>
    <x v="3"/>
    <m/>
  </r>
  <r>
    <x v="3"/>
    <n v="6452"/>
  </r>
  <r>
    <x v="3"/>
    <n v="2469"/>
  </r>
  <r>
    <x v="4"/>
    <n v="1201300"/>
  </r>
  <r>
    <x v="5"/>
    <m/>
  </r>
  <r>
    <x v="6"/>
    <n v="13963.65"/>
  </r>
  <r>
    <x v="7"/>
    <n v="483562"/>
  </r>
  <r>
    <x v="8"/>
    <n v="2020"/>
  </r>
  <r>
    <x v="9"/>
    <n v="20162"/>
  </r>
  <r>
    <x v="10"/>
    <m/>
  </r>
  <r>
    <x v="10"/>
    <n v="33782"/>
  </r>
  <r>
    <x v="10"/>
    <n v="82373"/>
  </r>
  <r>
    <x v="10"/>
    <n v="7503"/>
  </r>
  <r>
    <x v="10"/>
    <n v="3788"/>
  </r>
  <r>
    <x v="10"/>
    <n v="4"/>
  </r>
  <r>
    <x v="11"/>
    <n v="1019"/>
  </r>
  <r>
    <x v="12"/>
    <n v="45551"/>
  </r>
  <r>
    <x v="13"/>
    <n v="101167"/>
  </r>
  <r>
    <x v="13"/>
    <m/>
  </r>
  <r>
    <x v="13"/>
    <n v="8412"/>
  </r>
  <r>
    <x v="14"/>
    <n v="27907"/>
  </r>
  <r>
    <x v="15"/>
    <n v="10351"/>
  </r>
  <r>
    <x v="16"/>
    <n v="48162"/>
  </r>
  <r>
    <x v="17"/>
    <n v="5430"/>
  </r>
  <r>
    <x v="17"/>
    <n v="8734"/>
  </r>
  <r>
    <x v="17"/>
    <n v="1058"/>
  </r>
  <r>
    <x v="18"/>
    <n v="12154"/>
  </r>
  <r>
    <x v="19"/>
    <n v="5046"/>
  </r>
  <r>
    <x v="20"/>
    <m/>
  </r>
  <r>
    <x v="21"/>
    <n v="325076.95659722219"/>
  </r>
  <r>
    <x v="22"/>
    <m/>
  </r>
  <r>
    <x v="23"/>
    <m/>
  </r>
  <r>
    <x v="24"/>
    <n v="471"/>
  </r>
  <r>
    <x v="24"/>
    <m/>
  </r>
  <r>
    <x v="25"/>
    <n v="318"/>
  </r>
  <r>
    <x v="26"/>
    <m/>
  </r>
  <r>
    <x v="27"/>
    <n v="299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D43:E72" firstHeaderRow="1" firstDataRow="1" firstDataCol="1"/>
  <pivotFields count="2">
    <pivotField axis="axisRow" numFmtId="37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dataField="1" showAll="0"/>
  </pivotFields>
  <rowFields count="1">
    <field x="0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dataFields count="1">
    <dataField name="Sum of FY19" fld="1" baseField="0" baseItem="0" numFmtId="3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grandTotalCaption="Net Income" updatedVersion="6" minRefreshableVersion="3" useAutoFormatting="1" itemPrintTitles="1" createdVersion="6" indent="0" compact="0" compactData="0" gridDropZones="1" multipleFieldFilters="0" rowHeaderCaption="Accounts">
  <location ref="G56:J84" firstHeaderRow="1" firstDataRow="2" firstDataCol="1"/>
  <pivotFields count="23">
    <pivotField axis="axisRow" compact="0" outline="0" showAll="0">
      <items count="33">
        <item x="18"/>
        <item x="19"/>
        <item x="23"/>
        <item x="27"/>
        <item x="1"/>
        <item x="2"/>
        <item x="3"/>
        <item x="4"/>
        <item x="20"/>
        <item x="22"/>
        <item x="14"/>
        <item x="5"/>
        <item x="10"/>
        <item x="6"/>
        <item x="17"/>
        <item x="7"/>
        <item x="21"/>
        <item x="11"/>
        <item x="15"/>
        <item x="8"/>
        <item m="1" x="29"/>
        <item x="13"/>
        <item x="24"/>
        <item x="0"/>
        <item h="1" x="28"/>
        <item x="26"/>
        <item m="1" x="30"/>
        <item m="1" x="31"/>
        <item x="16"/>
        <item x="12"/>
        <item x="9"/>
        <item x="25"/>
        <item t="default"/>
      </items>
    </pivotField>
    <pivotField axis="axisCol" compact="0" outline="0" showAll="0">
      <items count="32">
        <item h="1" x="3"/>
        <item h="1" x="0"/>
        <item h="1" x="4"/>
        <item h="1" x="8"/>
        <item x="5"/>
        <item h="1" x="6"/>
        <item h="1" x="7"/>
        <item h="1" x="1"/>
        <item h="1" x="12"/>
        <item h="1" x="15"/>
        <item h="1" x="2"/>
        <item h="1" x="11"/>
        <item h="1" x="10"/>
        <item h="1" x="16"/>
        <item h="1" x="17"/>
        <item h="1" x="13"/>
        <item h="1" x="9"/>
        <item h="1" x="18"/>
        <item h="1" x="19"/>
        <item h="1" x="14"/>
        <item h="1" x="20"/>
        <item h="1" x="21"/>
        <item h="1" x="30"/>
        <item h="1" x="22"/>
        <item h="1" x="23"/>
        <item h="1" x="24"/>
        <item h="1" x="25"/>
        <item h="1" x="26"/>
        <item x="27"/>
        <item h="1" x="28"/>
        <item h="1" x="29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compact="0" outline="0" showAll="0" defaultSubtotal="0"/>
  </pivotFields>
  <rowFields count="1">
    <field x="0"/>
  </rowFields>
  <rowItems count="27">
    <i>
      <x/>
    </i>
    <i>
      <x v="1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5"/>
    </i>
    <i>
      <x v="28"/>
    </i>
    <i>
      <x v="29"/>
    </i>
    <i>
      <x v="30"/>
    </i>
    <i>
      <x v="31"/>
    </i>
    <i t="grand">
      <x/>
    </i>
  </rowItems>
  <colFields count="1">
    <field x="1"/>
  </colFields>
  <colItems count="3">
    <i>
      <x v="4"/>
    </i>
    <i>
      <x v="28"/>
    </i>
    <i t="grand">
      <x/>
    </i>
  </colItems>
  <dataFields count="1">
    <dataField name="Sum of YTD" fld="21" baseField="0" baseItem="0"/>
  </dataFields>
  <formats count="6">
    <format dxfId="5">
      <pivotArea dataOnly="0" labelOnly="1" fieldPosition="0">
        <references count="1">
          <reference field="0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1">
          <reference field="0" count="2">
            <x v="11"/>
            <x v="12"/>
          </reference>
        </references>
      </pivotArea>
    </format>
    <format dxfId="3">
      <pivotArea dataOnly="0" labelOnly="1" fieldPosition="0">
        <references count="1">
          <reference field="0" count="12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</reference>
        </references>
      </pivotArea>
    </format>
    <format dxfId="2">
      <pivotArea outline="0" collapsedLevelsAreSubtotals="1" fieldPosition="0"/>
    </format>
    <format dxfId="1">
      <pivotArea dataOnly="0" labelOnly="1" outline="0" fieldPosition="0">
        <references count="1">
          <reference field="0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0">
      <pivotArea type="topRight" dataOnly="0" labelOnly="1" outline="0" offset="A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">
    <pageSetUpPr autoPageBreaks="0" fitToPage="1"/>
  </sheetPr>
  <dimension ref="A1:CF719"/>
  <sheetViews>
    <sheetView showGridLines="0" tabSelected="1" zoomScale="75" zoomScaleNormal="75" workbookViewId="0"/>
  </sheetViews>
  <sheetFormatPr defaultColWidth="11.75" defaultRowHeight="12.6" customHeight="1" x14ac:dyDescent="0.25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 x14ac:dyDescent="0.25">
      <c r="A1" s="227" t="s">
        <v>1232</v>
      </c>
      <c r="B1" s="228"/>
      <c r="C1" s="228"/>
      <c r="D1" s="228"/>
      <c r="E1" s="228"/>
      <c r="F1" s="228"/>
    </row>
    <row r="2" spans="1:6" ht="12.75" customHeight="1" x14ac:dyDescent="0.25">
      <c r="A2" s="228" t="s">
        <v>1233</v>
      </c>
      <c r="B2" s="228"/>
      <c r="C2" s="229"/>
      <c r="D2" s="228"/>
      <c r="E2" s="228"/>
      <c r="F2" s="228"/>
    </row>
    <row r="3" spans="1:6" ht="12.75" customHeight="1" x14ac:dyDescent="0.25">
      <c r="A3" s="197"/>
      <c r="C3" s="230"/>
    </row>
    <row r="4" spans="1:6" ht="12.75" customHeight="1" x14ac:dyDescent="0.25">
      <c r="C4" s="230"/>
    </row>
    <row r="5" spans="1:6" ht="12.75" customHeight="1" x14ac:dyDescent="0.25">
      <c r="A5" s="197" t="s">
        <v>1258</v>
      </c>
      <c r="C5" s="230"/>
    </row>
    <row r="6" spans="1:6" ht="12.75" customHeight="1" x14ac:dyDescent="0.25">
      <c r="A6" s="197" t="s">
        <v>0</v>
      </c>
      <c r="C6" s="230"/>
    </row>
    <row r="7" spans="1:6" ht="12.75" customHeight="1" x14ac:dyDescent="0.25">
      <c r="A7" s="197" t="s">
        <v>1</v>
      </c>
      <c r="C7" s="230"/>
    </row>
    <row r="8" spans="1:6" ht="12.75" customHeight="1" x14ac:dyDescent="0.25">
      <c r="C8" s="230"/>
    </row>
    <row r="9" spans="1:6" ht="12.75" customHeight="1" x14ac:dyDescent="0.25">
      <c r="C9" s="230"/>
    </row>
    <row r="10" spans="1:6" ht="12.75" customHeight="1" x14ac:dyDescent="0.25">
      <c r="A10" s="196" t="s">
        <v>1228</v>
      </c>
      <c r="C10" s="230"/>
    </row>
    <row r="11" spans="1:6" ht="12.75" customHeight="1" x14ac:dyDescent="0.25">
      <c r="A11" s="196" t="s">
        <v>1231</v>
      </c>
      <c r="C11" s="230"/>
    </row>
    <row r="12" spans="1:6" ht="12.75" customHeight="1" x14ac:dyDescent="0.25">
      <c r="C12" s="230"/>
    </row>
    <row r="13" spans="1:6" ht="12.75" customHeight="1" x14ac:dyDescent="0.25">
      <c r="C13" s="230"/>
    </row>
    <row r="14" spans="1:6" ht="12.75" customHeight="1" x14ac:dyDescent="0.25">
      <c r="A14" s="197" t="s">
        <v>2</v>
      </c>
      <c r="C14" s="230"/>
    </row>
    <row r="15" spans="1:6" ht="12.75" customHeight="1" x14ac:dyDescent="0.25">
      <c r="A15" s="197"/>
      <c r="C15" s="230"/>
    </row>
    <row r="16" spans="1:6" ht="12.75" customHeight="1" x14ac:dyDescent="0.25">
      <c r="A16" s="180" t="s">
        <v>1260</v>
      </c>
      <c r="C16" s="230"/>
      <c r="F16" s="277" t="s">
        <v>1259</v>
      </c>
    </row>
    <row r="17" spans="1:6" ht="12.75" customHeight="1" x14ac:dyDescent="0.25">
      <c r="A17" s="180" t="s">
        <v>1230</v>
      </c>
      <c r="C17" s="277" t="s">
        <v>1259</v>
      </c>
    </row>
    <row r="18" spans="1:6" ht="12.75" customHeight="1" x14ac:dyDescent="0.25">
      <c r="A18" s="222"/>
      <c r="C18" s="230"/>
    </row>
    <row r="19" spans="1:6" ht="12.75" customHeight="1" x14ac:dyDescent="0.25">
      <c r="C19" s="230"/>
    </row>
    <row r="20" spans="1:6" ht="12.75" customHeight="1" x14ac:dyDescent="0.25">
      <c r="A20" s="267" t="s">
        <v>1234</v>
      </c>
      <c r="B20" s="267"/>
      <c r="C20" s="278"/>
      <c r="D20" s="267"/>
      <c r="E20" s="267"/>
      <c r="F20" s="267"/>
    </row>
    <row r="21" spans="1:6" ht="22.5" customHeight="1" x14ac:dyDescent="0.25">
      <c r="A21" s="197"/>
      <c r="C21" s="230"/>
    </row>
    <row r="22" spans="1:6" ht="12.6" customHeight="1" x14ac:dyDescent="0.25">
      <c r="A22" s="231" t="s">
        <v>1254</v>
      </c>
      <c r="B22" s="232"/>
      <c r="C22" s="233"/>
      <c r="D22" s="231"/>
      <c r="E22" s="231"/>
    </row>
    <row r="23" spans="1:6" ht="12.6" customHeight="1" x14ac:dyDescent="0.25">
      <c r="B23" s="197"/>
      <c r="C23" s="230"/>
    </row>
    <row r="24" spans="1:6" ht="12.6" customHeight="1" x14ac:dyDescent="0.25">
      <c r="A24" s="234" t="s">
        <v>3</v>
      </c>
      <c r="C24" s="230"/>
    </row>
    <row r="25" spans="1:6" ht="12.6" customHeight="1" x14ac:dyDescent="0.25">
      <c r="A25" s="196" t="s">
        <v>1235</v>
      </c>
      <c r="C25" s="230"/>
    </row>
    <row r="26" spans="1:6" ht="12.6" customHeight="1" x14ac:dyDescent="0.25">
      <c r="A26" s="197" t="s">
        <v>4</v>
      </c>
      <c r="C26" s="230"/>
    </row>
    <row r="27" spans="1:6" ht="12.6" customHeight="1" x14ac:dyDescent="0.25">
      <c r="A27" s="196" t="s">
        <v>1236</v>
      </c>
      <c r="C27" s="230"/>
    </row>
    <row r="28" spans="1:6" ht="12.6" customHeight="1" x14ac:dyDescent="0.25">
      <c r="A28" s="197" t="s">
        <v>5</v>
      </c>
      <c r="C28" s="230"/>
    </row>
    <row r="29" spans="1:6" ht="12.6" customHeight="1" x14ac:dyDescent="0.25">
      <c r="A29" s="196"/>
      <c r="C29" s="230"/>
    </row>
    <row r="30" spans="1:6" ht="12.6" customHeight="1" x14ac:dyDescent="0.25">
      <c r="A30" s="180" t="s">
        <v>6</v>
      </c>
      <c r="C30" s="230"/>
    </row>
    <row r="31" spans="1:6" ht="12.6" customHeight="1" x14ac:dyDescent="0.25">
      <c r="A31" s="197" t="s">
        <v>7</v>
      </c>
      <c r="C31" s="230"/>
    </row>
    <row r="32" spans="1:6" ht="12.6" customHeight="1" x14ac:dyDescent="0.25">
      <c r="A32" s="197" t="s">
        <v>8</v>
      </c>
      <c r="C32" s="230"/>
    </row>
    <row r="33" spans="1:83" ht="12.6" customHeight="1" x14ac:dyDescent="0.25">
      <c r="A33" s="196" t="s">
        <v>1237</v>
      </c>
      <c r="C33" s="230"/>
    </row>
    <row r="34" spans="1:83" ht="12.6" customHeight="1" x14ac:dyDescent="0.25">
      <c r="A34" s="197" t="s">
        <v>9</v>
      </c>
      <c r="C34" s="230"/>
    </row>
    <row r="35" spans="1:83" ht="12.6" customHeight="1" x14ac:dyDescent="0.25">
      <c r="A35" s="197"/>
      <c r="C35" s="230"/>
    </row>
    <row r="36" spans="1:83" ht="12.6" customHeight="1" x14ac:dyDescent="0.25">
      <c r="A36" s="196" t="s">
        <v>1238</v>
      </c>
      <c r="C36" s="230"/>
    </row>
    <row r="37" spans="1:83" ht="12.6" customHeight="1" x14ac:dyDescent="0.25">
      <c r="A37" s="197" t="s">
        <v>1229</v>
      </c>
      <c r="C37" s="230"/>
    </row>
    <row r="38" spans="1:83" ht="12" customHeight="1" x14ac:dyDescent="0.25">
      <c r="A38" s="196"/>
      <c r="C38" s="230"/>
    </row>
    <row r="39" spans="1:83" ht="12.6" customHeight="1" x14ac:dyDescent="0.25">
      <c r="A39" s="197"/>
      <c r="C39" s="230"/>
    </row>
    <row r="40" spans="1:83" ht="12" customHeight="1" x14ac:dyDescent="0.25">
      <c r="A40" s="197"/>
      <c r="C40" s="230"/>
    </row>
    <row r="41" spans="1:83" ht="12" customHeight="1" x14ac:dyDescent="0.25">
      <c r="A41" s="197"/>
      <c r="C41" s="235"/>
      <c r="D41" s="236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</row>
    <row r="42" spans="1:83" ht="12" customHeight="1" x14ac:dyDescent="0.25">
      <c r="A42" s="197"/>
      <c r="C42" s="235"/>
      <c r="D42" s="236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7"/>
    </row>
    <row r="43" spans="1:83" ht="12" customHeight="1" x14ac:dyDescent="0.25">
      <c r="A43" s="197"/>
      <c r="C43" s="230"/>
      <c r="F43" s="181"/>
    </row>
    <row r="44" spans="1:83" ht="12" customHeight="1" x14ac:dyDescent="0.25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 x14ac:dyDescent="0.25">
      <c r="A45" s="175"/>
      <c r="B45" s="238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" customHeight="1" x14ac:dyDescent="0.25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" customHeight="1" x14ac:dyDescent="0.25">
      <c r="A47" s="175" t="s">
        <v>204</v>
      </c>
      <c r="B47" s="183">
        <v>21872148</v>
      </c>
      <c r="C47" s="184">
        <f>IF(ISERR(VLOOKUP(VALUE(C$44),'HL Data'!$G$2:$M$79,7,0)="TRUE"),0,VLOOKUP(VALUE(C$44),'HL Data'!$G$2:$M$79,7,0))</f>
        <v>573561.36</v>
      </c>
      <c r="D47" s="184">
        <f>IF(ISERR(VLOOKUP(VALUE(D$44),'HL Data'!$G$2:$M$79,7,0)="TRUE"),0,VLOOKUP(VALUE(D$44),'HL Data'!$G$2:$M$79,7,0))</f>
        <v>0</v>
      </c>
      <c r="E47" s="184">
        <f>IF(ISERR(VLOOKUP(VALUE(E$44),'HL Data'!$G$2:$M$79,7,0)="TRUE"),0,VLOOKUP(VALUE(E$44),'HL Data'!$G$2:$M$79,7,0))</f>
        <v>3903023.98</v>
      </c>
      <c r="F47" s="184">
        <f>IF(ISERR(VLOOKUP(VALUE(F$44),'HL Data'!$G$2:$M$79,7,0)="TRUE"),0,VLOOKUP(VALUE(F$44),'HL Data'!$G$2:$M$79,7,0))</f>
        <v>0</v>
      </c>
      <c r="G47" s="184">
        <f>IF(ISERR(VLOOKUP(VALUE(G$44),'HL Data'!$G$2:$M$79,7,0)="TRUE"),0,VLOOKUP(VALUE(G$44),'HL Data'!$G$2:$M$79,7,0))</f>
        <v>792.64000000000021</v>
      </c>
      <c r="H47" s="184">
        <f>IF(ISERR(VLOOKUP(VALUE(H$44),'HL Data'!$G$2:$M$79,7,0)="TRUE"),0,VLOOKUP(VALUE(H$44),'HL Data'!$G$2:$M$79,7,0))</f>
        <v>0</v>
      </c>
      <c r="I47" s="184">
        <f>IF(ISERR(VLOOKUP(VALUE(I$44),'HL Data'!$G$2:$M$79,7,0)="TRUE"),0,VLOOKUP(VALUE(I$44),'HL Data'!$G$2:$M$79,7,0))</f>
        <v>0</v>
      </c>
      <c r="J47" s="184">
        <f>IF(ISERR(VLOOKUP(VALUE(J$44),'HL Data'!$G$2:$M$79,7,0)="TRUE"),0,VLOOKUP(VALUE(J$44),'HL Data'!$G$2:$M$79,7,0))</f>
        <v>0</v>
      </c>
      <c r="K47" s="184">
        <f>IF(ISERR(VLOOKUP(VALUE(K$44),'HL Data'!$G$2:$M$79,7,0)="TRUE"),0,VLOOKUP(VALUE(K$44),'HL Data'!$G$2:$M$79,7,0))</f>
        <v>0</v>
      </c>
      <c r="L47" s="184">
        <f>IF(ISERR(VLOOKUP(VALUE(L$44),'HL Data'!$G$2:$M$79,7,0)="TRUE"),0,VLOOKUP(VALUE(L$44),'HL Data'!$G$2:$M$79,7,0))</f>
        <v>0</v>
      </c>
      <c r="M47" s="184">
        <f>IF(ISERR(VLOOKUP(VALUE(M$44),'HL Data'!$G$2:$M$79,7,0)="TRUE"),0,VLOOKUP(VALUE(M$44),'HL Data'!$G$2:$M$79,7,0))</f>
        <v>0</v>
      </c>
      <c r="N47" s="184">
        <f>IF(ISERR(VLOOKUP(VALUE(N$44),'HL Data'!$G$2:$M$79,7,0)="TRUE"),0,VLOOKUP(VALUE(N$44),'HL Data'!$G$2:$M$79,7,0))</f>
        <v>0</v>
      </c>
      <c r="O47" s="184">
        <f>IF(ISERR(VLOOKUP(VALUE(O$44),'HL Data'!$G$2:$M$79,7,0)="TRUE"),0,VLOOKUP(VALUE(O$44),'HL Data'!$G$2:$M$79,7,0))</f>
        <v>935829.91</v>
      </c>
      <c r="P47" s="184">
        <f>IF(ISERR(VLOOKUP(VALUE(P$44),'HL Data'!$G$2:$M$79,7,0)="TRUE"),0,VLOOKUP(VALUE(P$44),'HL Data'!$G$2:$M$79,7,0))</f>
        <v>1223362.4000000001</v>
      </c>
      <c r="Q47" s="184">
        <f>IF(ISERR(VLOOKUP(VALUE(Q$44),'HL Data'!$G$2:$M$79,7,0)="TRUE"),0,VLOOKUP(VALUE(Q$44),'HL Data'!$G$2:$M$79,7,0))</f>
        <v>485462.32</v>
      </c>
      <c r="R47" s="184">
        <f>IF(ISERR(VLOOKUP(VALUE(R$44),'HL Data'!$G$2:$M$79,7,0)="TRUE"),0,VLOOKUP(VALUE(R$44),'HL Data'!$G$2:$M$79,7,0))</f>
        <v>0</v>
      </c>
      <c r="S47" s="184">
        <f>IF(ISERR(VLOOKUP(VALUE(S$44),'HL Data'!$G$2:$M$79,7,0)="TRUE"),0,VLOOKUP(VALUE(S$44),'HL Data'!$G$2:$M$79,7,0))</f>
        <v>332865.89999999997</v>
      </c>
      <c r="T47" s="184">
        <f>IF(ISERR(VLOOKUP(VALUE(T$44),'HL Data'!$G$2:$M$79,7,0)="TRUE"),0,VLOOKUP(VALUE(T$44),'HL Data'!$G$2:$M$79,7,0))</f>
        <v>37738.229999999996</v>
      </c>
      <c r="U47" s="184">
        <f>IF(ISERR(VLOOKUP(VALUE(U$44),'HL Data'!$G$2:$M$79,7,0)="TRUE"),0,VLOOKUP(VALUE(U$44),'HL Data'!$G$2:$M$79,7,0))</f>
        <v>733239.33999999985</v>
      </c>
      <c r="V47" s="184">
        <f>IF(ISERR(VLOOKUP(VALUE(V$44),'HL Data'!$G$2:$M$79,7,0)="TRUE"),0,VLOOKUP(VALUE(V$44),'HL Data'!$G$2:$M$79,7,0))</f>
        <v>0</v>
      </c>
      <c r="W47" s="184">
        <f>IF(ISERR(VLOOKUP(VALUE(W$44),'HL Data'!$G$2:$M$79,7,0)="TRUE"),0,VLOOKUP(VALUE(W$44),'HL Data'!$G$2:$M$79,7,0))</f>
        <v>150792.84</v>
      </c>
      <c r="X47" s="184">
        <f>IF(ISERR(VLOOKUP(VALUE(X$44),'HL Data'!$G$2:$M$79,7,0)="TRUE"),0,VLOOKUP(VALUE(X$44),'HL Data'!$G$2:$M$79,7,0))</f>
        <v>202964.57999999996</v>
      </c>
      <c r="Y47" s="184">
        <f>IF(ISERR(VLOOKUP(VALUE(Y$44),'HL Data'!$G$2:$M$79,7,0)="TRUE"),0,VLOOKUP(VALUE(Y$44),'HL Data'!$G$2:$M$79,7,0))</f>
        <v>744969.57000000007</v>
      </c>
      <c r="Z47" s="184">
        <f>IF(ISERR(VLOOKUP(VALUE(Z$44),'HL Data'!$G$2:$M$79,7,0)="TRUE"),0,VLOOKUP(VALUE(Z$44),'HL Data'!$G$2:$M$79,7,0))</f>
        <v>0</v>
      </c>
      <c r="AA47" s="184">
        <f>IF(ISERR(VLOOKUP(VALUE(AA$44),'HL Data'!$G$2:$M$79,7,0)="TRUE"),0,VLOOKUP(VALUE(AA$44),'HL Data'!$G$2:$M$79,7,0))</f>
        <v>68790.09</v>
      </c>
      <c r="AB47" s="184">
        <f>IF(ISERR(VLOOKUP(VALUE(AB$44),'HL Data'!$G$2:$M$79,7,0)="TRUE"),0,VLOOKUP(VALUE(AB$44),'HL Data'!$G$2:$M$79,7,0))</f>
        <v>799051.11</v>
      </c>
      <c r="AC47" s="184">
        <f>IF(ISERR(VLOOKUP(VALUE(AC$44),'HL Data'!$G$2:$M$79,7,0)="TRUE"),0,VLOOKUP(VALUE(AC$44),'HL Data'!$G$2:$M$79,7,0))</f>
        <v>401877.98</v>
      </c>
      <c r="AD47" s="184">
        <f>IF(ISERR(VLOOKUP(VALUE(AD$44),'HL Data'!$G$2:$M$79,7,0)="TRUE"),0,VLOOKUP(VALUE(AD$44),'HL Data'!$G$2:$M$79,7,0))</f>
        <v>0</v>
      </c>
      <c r="AE47" s="184">
        <f>IF(ISERR(VLOOKUP(VALUE(AE$44),'HL Data'!$G$2:$M$79,7,0)="TRUE"),0,VLOOKUP(VALUE(AE$44),'HL Data'!$G$2:$M$79,7,0))</f>
        <v>0</v>
      </c>
      <c r="AF47" s="184">
        <f>IF(ISERR(VLOOKUP(VALUE(AF$44),'HL Data'!$G$2:$M$79,7,0)="TRUE"),0,VLOOKUP(VALUE(AF$44),'HL Data'!$G$2:$M$79,7,0))</f>
        <v>0</v>
      </c>
      <c r="AG47" s="184">
        <f>IF(ISERR(VLOOKUP(VALUE(AG$44),'HL Data'!$G$2:$M$79,7,0)="TRUE"),0,VLOOKUP(VALUE(AG$44),'HL Data'!$G$2:$M$79,7,0))</f>
        <v>2122038.9300000002</v>
      </c>
      <c r="AH47" s="184">
        <f>IF(ISERR(VLOOKUP(VALUE(AH$44),'HL Data'!$G$2:$M$79,7,0)="TRUE"),0,VLOOKUP(VALUE(AH$44),'HL Data'!$G$2:$M$79,7,0))</f>
        <v>0</v>
      </c>
      <c r="AI47" s="184">
        <f>IF(ISERR(VLOOKUP(VALUE(AI$44),'HL Data'!$G$2:$M$79,7,0)="TRUE"),0,VLOOKUP(VALUE(AI$44),'HL Data'!$G$2:$M$79,7,0))</f>
        <v>0</v>
      </c>
      <c r="AJ47" s="184">
        <f>IF(ISERR(VLOOKUP(VALUE(AJ$44),'HL Data'!$G$2:$M$79,7,0)="TRUE"),0,VLOOKUP(VALUE(AJ$44),'HL Data'!$G$2:$M$79,7,0))</f>
        <v>6151321.6100000003</v>
      </c>
      <c r="AK47" s="184">
        <f>IF(ISERR(VLOOKUP(VALUE(AK$44),'HL Data'!$G$2:$M$79,7,0)="TRUE"),0,VLOOKUP(VALUE(AK$44),'HL Data'!$G$2:$M$79,7,0))</f>
        <v>86425.040000000008</v>
      </c>
      <c r="AL47" s="184">
        <f>IF(ISERR(VLOOKUP(VALUE(AL$44),'HL Data'!$G$2:$M$79,7,0)="TRUE"),0,VLOOKUP(VALUE(AL$44),'HL Data'!$G$2:$M$79,7,0))</f>
        <v>60803.32</v>
      </c>
      <c r="AM47" s="184">
        <f>IF(ISERR(VLOOKUP(VALUE(AM$44),'HL Data'!$G$2:$M$79,7,0)="TRUE"),0,VLOOKUP(VALUE(AM$44),'HL Data'!$G$2:$M$79,7,0))</f>
        <v>0</v>
      </c>
      <c r="AN47" s="184">
        <f>IF(ISERR(VLOOKUP(VALUE(AN$44),'HL Data'!$G$2:$M$79,7,0)="TRUE"),0,VLOOKUP(VALUE(AN$44),'HL Data'!$G$2:$M$79,7,0))</f>
        <v>0</v>
      </c>
      <c r="AO47" s="184">
        <f>IF(ISERR(VLOOKUP(VALUE(AO$44),'HL Data'!$G$2:$M$79,7,0)="TRUE"),0,VLOOKUP(VALUE(AO$44),'HL Data'!$G$2:$M$79,7,0))</f>
        <v>0</v>
      </c>
      <c r="AP47" s="184">
        <f>IF(ISERR(VLOOKUP(VALUE(AP$44),'HL Data'!$G$2:$M$79,7,0)="TRUE"),0,VLOOKUP(VALUE(AP$44),'HL Data'!$G$2:$M$79,7,0))</f>
        <v>75.31</v>
      </c>
      <c r="AQ47" s="184">
        <f>IF(ISERR(VLOOKUP(VALUE(AQ$44),'HL Data'!$G$2:$M$79,7,0)="TRUE"),0,VLOOKUP(VALUE(AQ$44),'HL Data'!$G$2:$M$79,7,0))</f>
        <v>0</v>
      </c>
      <c r="AR47" s="184">
        <f>IF(ISERR(VLOOKUP(VALUE(AR$44),'HL Data'!$G$2:$M$79,7,0)="TRUE"),0,VLOOKUP(VALUE(AR$44),'HL Data'!$G$2:$M$79,7,0))</f>
        <v>0</v>
      </c>
      <c r="AS47" s="184">
        <f>IF(ISERR(VLOOKUP(VALUE(AS$44),'HL Data'!$G$2:$M$79,7,0)="TRUE"),0,VLOOKUP(VALUE(AS$44),'HL Data'!$G$2:$M$79,7,0))</f>
        <v>0</v>
      </c>
      <c r="AT47" s="184">
        <f>IF(ISERR(VLOOKUP(VALUE(AT$44),'HL Data'!$G$2:$M$79,7,0)="TRUE"),0,VLOOKUP(VALUE(AT$44),'HL Data'!$G$2:$M$79,7,0))</f>
        <v>0</v>
      </c>
      <c r="AU47" s="184">
        <f>IF(ISERR(VLOOKUP(VALUE(AU$44),'HL Data'!$G$2:$M$79,7,0)="TRUE"),0,VLOOKUP(VALUE(AU$44),'HL Data'!$G$2:$M$79,7,0))</f>
        <v>0</v>
      </c>
      <c r="AV47" s="184">
        <f>IF(ISERR(VLOOKUP(VALUE(AV$44),'HL Data'!$G$2:$M$79,7,0)="TRUE"),0,VLOOKUP(VALUE(AV$44),'HL Data'!$G$2:$M$79,7,0))</f>
        <v>27395.060000000005</v>
      </c>
      <c r="AW47" s="184">
        <f>IF(ISERR(VLOOKUP(VALUE(AW$44),'HL Data'!$G$2:$M$79,7,0)="TRUE"),0,VLOOKUP(VALUE(AW$44),'HL Data'!$G$2:$M$79,7,0))</f>
        <v>149582.39999999999</v>
      </c>
      <c r="AX47" s="184">
        <f>IF(ISERR(VLOOKUP(VALUE(AX$44),'HL Data'!$G$2:$M$79,7,0)="TRUE"),0,VLOOKUP(VALUE(AX$44),'HL Data'!$G$2:$M$79,7,0))</f>
        <v>0</v>
      </c>
      <c r="AY47" s="184">
        <f>IF(ISERR(VLOOKUP(VALUE(AY$44),'HL Data'!$G$2:$M$79,7,0)="TRUE"),0,VLOOKUP(VALUE(AY$44),'HL Data'!$G$2:$M$79,7,0))</f>
        <v>670634.28999999992</v>
      </c>
      <c r="AZ47" s="184">
        <f>IF(ISERR(VLOOKUP(VALUE(AZ$44),'HL Data'!$G$2:$M$79,7,0)="TRUE"),0,VLOOKUP(VALUE(AZ$44),'HL Data'!$G$2:$M$79,7,0))</f>
        <v>0</v>
      </c>
      <c r="BA47" s="184">
        <f>IF(ISERR(VLOOKUP(VALUE(BA$44),'HL Data'!$G$2:$M$79,7,0)="TRUE"),0,VLOOKUP(VALUE(BA$44),'HL Data'!$G$2:$M$79,7,0))</f>
        <v>0</v>
      </c>
      <c r="BB47" s="184">
        <f>IF(ISERR(VLOOKUP(VALUE(BB$44),'HL Data'!$G$2:$M$79,7,0)="TRUE"),0,VLOOKUP(VALUE(BB$44),'HL Data'!$G$2:$M$79,7,0))</f>
        <v>0</v>
      </c>
      <c r="BC47" s="184">
        <f>IF(ISERR(VLOOKUP(VALUE(BC$44),'HL Data'!$G$2:$M$79,7,0)="TRUE"),0,VLOOKUP(VALUE(BC$44),'HL Data'!$G$2:$M$79,7,0))</f>
        <v>0</v>
      </c>
      <c r="BD47" s="184">
        <f>IF(ISERR(VLOOKUP(VALUE(BD$44),'HL Data'!$G$2:$M$79,7,0)="TRUE"),0,VLOOKUP(VALUE(BD$44),'HL Data'!$G$2:$M$79,7,0))</f>
        <v>0</v>
      </c>
      <c r="BE47" s="184">
        <f>IF(ISERR(VLOOKUP(VALUE(BE$44),'HL Data'!$G$2:$M$79,7,0)="TRUE"),0,VLOOKUP(VALUE(BE$44),'HL Data'!$G$2:$M$79,7,0))</f>
        <v>195197.41999999998</v>
      </c>
      <c r="BF47" s="184">
        <f>IF(ISERR(VLOOKUP(VALUE(BF$44),'HL Data'!$G$2:$M$79,7,0)="TRUE"),0,VLOOKUP(VALUE(BF$44),'HL Data'!$G$2:$M$79,7,0))</f>
        <v>634579.55999999994</v>
      </c>
      <c r="BG47" s="184">
        <f>IF(ISERR(VLOOKUP(VALUE(BG$44),'HL Data'!$G$2:$M$79,7,0)="TRUE"),0,VLOOKUP(VALUE(BG$44),'HL Data'!$G$2:$M$79,7,0))</f>
        <v>0</v>
      </c>
      <c r="BH47" s="184">
        <f>IF(ISERR(VLOOKUP(VALUE(BH$44),'HL Data'!$G$2:$M$79,7,0)="TRUE"),0,VLOOKUP(VALUE(BH$44),'HL Data'!$G$2:$M$79,7,0))</f>
        <v>0</v>
      </c>
      <c r="BI47" s="184">
        <f>IF(ISERR(VLOOKUP(VALUE(BI$44),'HL Data'!$G$2:$M$79,7,0)="TRUE"),0,VLOOKUP(VALUE(BI$44),'HL Data'!$G$2:$M$79,7,0))</f>
        <v>0</v>
      </c>
      <c r="BJ47" s="184">
        <f>IF(ISERR(VLOOKUP(VALUE(BJ$44),'HL Data'!$G$2:$M$79,7,0)="TRUE"),0,VLOOKUP(VALUE(BJ$44),'HL Data'!$G$2:$M$79,7,0))</f>
        <v>0</v>
      </c>
      <c r="BK47" s="184">
        <f>IF(ISERR(VLOOKUP(VALUE(BK$44),'HL Data'!$G$2:$M$79,7,0)="TRUE"),0,VLOOKUP(VALUE(BK$44),'HL Data'!$G$2:$M$79,7,0))</f>
        <v>11.71000000000001</v>
      </c>
      <c r="BL47" s="184">
        <f>IF(ISERR(VLOOKUP(VALUE(BL$44),'HL Data'!$G$2:$M$79,7,0)="TRUE"),0,VLOOKUP(VALUE(BL$44),'HL Data'!$G$2:$M$79,7,0))</f>
        <v>29862.23</v>
      </c>
      <c r="BM47" s="184">
        <f>IF(ISERR(VLOOKUP(VALUE(BM$44),'HL Data'!$G$2:$M$79,7,0)="TRUE"),0,VLOOKUP(VALUE(BM$44),'HL Data'!$G$2:$M$79,7,0))</f>
        <v>0</v>
      </c>
      <c r="BN47" s="184">
        <f>IF(ISERR(VLOOKUP(VALUE(BN$44),'HL Data'!$G$2:$M$79,7,0)="TRUE"),0,VLOOKUP(VALUE(BN$44),'HL Data'!$G$2:$M$79,7,0))</f>
        <v>412400.70000000007</v>
      </c>
      <c r="BO47" s="184">
        <f>IF(ISERR(VLOOKUP(VALUE(BO$44),'HL Data'!$G$2:$M$79,7,0)="TRUE"),0,VLOOKUP(VALUE(BO$44),'HL Data'!$G$2:$M$79,7,0))</f>
        <v>122156.95</v>
      </c>
      <c r="BP47" s="184">
        <f>IF(ISERR(VLOOKUP(VALUE(BP$44),'HL Data'!$G$2:$M$79,7,0)="TRUE"),0,VLOOKUP(VALUE(BP$44),'HL Data'!$G$2:$M$79,7,0))</f>
        <v>0</v>
      </c>
      <c r="BQ47" s="184">
        <f>IF(ISERR(VLOOKUP(VALUE(BQ$44),'HL Data'!$G$2:$M$79,7,0)="TRUE"),0,VLOOKUP(VALUE(BQ$44),'HL Data'!$G$2:$M$79,7,0))</f>
        <v>0</v>
      </c>
      <c r="BR47" s="184">
        <f>IF(ISERR(VLOOKUP(VALUE(BR$44),'HL Data'!$G$2:$M$79,7,0)="TRUE"),0,VLOOKUP(VALUE(BR$44),'HL Data'!$G$2:$M$79,7,0))</f>
        <v>66403.639999999476</v>
      </c>
      <c r="BS47" s="184">
        <f>IF(ISERR(VLOOKUP(VALUE(BS$44),'HL Data'!$G$2:$M$79,7,0)="TRUE"),0,VLOOKUP(VALUE(BS$44),'HL Data'!$G$2:$M$79,7,0))</f>
        <v>5902.4599999999991</v>
      </c>
      <c r="BT47" s="184">
        <f>IF(ISERR(VLOOKUP(VALUE(BT$44),'HL Data'!$G$2:$M$79,7,0)="TRUE"),0,VLOOKUP(VALUE(BT$44),'HL Data'!$G$2:$M$79,7,0))</f>
        <v>0</v>
      </c>
      <c r="BU47" s="184">
        <f>IF(ISERR(VLOOKUP(VALUE(BU$44),'HL Data'!$G$2:$M$79,7,0)="TRUE"),0,VLOOKUP(VALUE(BU$44),'HL Data'!$G$2:$M$79,7,0))</f>
        <v>0</v>
      </c>
      <c r="BV47" s="184">
        <f>IF(ISERR(VLOOKUP(VALUE(BV$44),'HL Data'!$G$2:$M$79,7,0)="TRUE"),0,VLOOKUP(VALUE(BV$44),'HL Data'!$G$2:$M$79,7,0))</f>
        <v>0</v>
      </c>
      <c r="BW47" s="184">
        <f>IF(ISERR(VLOOKUP(VALUE(BW$44),'HL Data'!$G$2:$M$79,7,0)="TRUE"),0,VLOOKUP(VALUE(BW$44),'HL Data'!$G$2:$M$79,7,0))</f>
        <v>18929.580000000002</v>
      </c>
      <c r="BX47" s="184">
        <f>IF(ISERR(VLOOKUP(VALUE(BX$44),'HL Data'!$G$2:$M$79,7,0)="TRUE"),0,VLOOKUP(VALUE(BX$44),'HL Data'!$G$2:$M$79,7,0))</f>
        <v>0</v>
      </c>
      <c r="BY47" s="184">
        <f>IF(ISERR(VLOOKUP(VALUE(BY$44),'HL Data'!$G$2:$M$79,7,0)="TRUE"),0,VLOOKUP(VALUE(BY$44),'HL Data'!$G$2:$M$79,7,0))</f>
        <v>431215.77</v>
      </c>
      <c r="BZ47" s="184">
        <f>IF(ISERR(VLOOKUP(VALUE(BZ$44),'HL Data'!$G$2:$M$79,7,0)="TRUE"),0,VLOOKUP(VALUE(BZ$44),'HL Data'!$G$2:$M$79,7,0))</f>
        <v>0</v>
      </c>
      <c r="CA47" s="184">
        <f>IF(ISERR(VLOOKUP(VALUE(CA$44),'HL Data'!$G$2:$M$79,7,0)="TRUE"),0,VLOOKUP(VALUE(CA$44),'HL Data'!$G$2:$M$79,7,0))</f>
        <v>0</v>
      </c>
      <c r="CB47" s="184">
        <f>IF(ISERR(VLOOKUP(VALUE(CB$44),'HL Data'!$G$2:$M$79,7,0)="TRUE"),0,VLOOKUP(VALUE(CB$44),'HL Data'!$G$2:$M$79,7,0))</f>
        <v>0</v>
      </c>
      <c r="CC47" s="184">
        <f>IF(ISERR(VLOOKUP(VALUE(CC$44),'HL Data'!$G$2:$M$79,7,0)="TRUE"),0,VLOOKUP(VALUE(CC$44),'HL Data'!$G$2:$M$79,7,0))</f>
        <v>92890.069999999978</v>
      </c>
      <c r="CD47" s="193"/>
      <c r="CE47" s="193">
        <f>SUM(C47:CC47)</f>
        <v>21872148.299999993</v>
      </c>
    </row>
    <row r="48" spans="1:83" ht="12.6" customHeight="1" x14ac:dyDescent="0.25">
      <c r="A48" s="175" t="s">
        <v>205</v>
      </c>
      <c r="B48" s="183"/>
      <c r="C48" s="239">
        <f>ROUND(((B48/CE61)*C61),0)</f>
        <v>0</v>
      </c>
      <c r="D48" s="239">
        <f>ROUND(((B48/CE61)*D61),0)</f>
        <v>0</v>
      </c>
      <c r="E48" s="193">
        <f>ROUND(((B48/CE61)*E61),0)</f>
        <v>0</v>
      </c>
      <c r="F48" s="193">
        <f>ROUND(((B48/CE61)*F61),0)</f>
        <v>0</v>
      </c>
      <c r="G48" s="193">
        <f>ROUND(((B48/CE61)*G61),0)</f>
        <v>0</v>
      </c>
      <c r="H48" s="193">
        <f>ROUND(((B48/CE61)*H61),0)</f>
        <v>0</v>
      </c>
      <c r="I48" s="193">
        <f>ROUND(((B48/CE61)*I61),0)</f>
        <v>0</v>
      </c>
      <c r="J48" s="193">
        <f>ROUND(((B48/CE61)*J61),0)</f>
        <v>0</v>
      </c>
      <c r="K48" s="193">
        <f>ROUND(((B48/CE61)*K61),0)</f>
        <v>0</v>
      </c>
      <c r="L48" s="193">
        <f>ROUND(((B48/CE61)*L61),0)</f>
        <v>0</v>
      </c>
      <c r="M48" s="193">
        <f>ROUND(((B48/CE61)*M61),0)</f>
        <v>0</v>
      </c>
      <c r="N48" s="193">
        <f>ROUND(((B48/CE61)*N61),0)</f>
        <v>0</v>
      </c>
      <c r="O48" s="193">
        <f>ROUND(((B48/CE61)*O61),0)</f>
        <v>0</v>
      </c>
      <c r="P48" s="193">
        <f>ROUND(((B48/CE61)*P61),0)</f>
        <v>0</v>
      </c>
      <c r="Q48" s="193">
        <f>ROUND(((B48/CE61)*Q61),0)</f>
        <v>0</v>
      </c>
      <c r="R48" s="193">
        <f>ROUND(((B48/CE61)*R61),0)</f>
        <v>0</v>
      </c>
      <c r="S48" s="193">
        <f>ROUND(((B48/CE61)*S61),0)</f>
        <v>0</v>
      </c>
      <c r="T48" s="193">
        <f>ROUND(((B48/CE61)*T61),0)</f>
        <v>0</v>
      </c>
      <c r="U48" s="193">
        <f>ROUND(((B48/CE61)*U61),0)</f>
        <v>0</v>
      </c>
      <c r="V48" s="193">
        <f>ROUND(((B48/CE61)*V61),0)</f>
        <v>0</v>
      </c>
      <c r="W48" s="193">
        <f>ROUND(((B48/CE61)*W61),0)</f>
        <v>0</v>
      </c>
      <c r="X48" s="193">
        <f>ROUND(((B48/CE61)*X61),0)</f>
        <v>0</v>
      </c>
      <c r="Y48" s="193">
        <f>ROUND(((B48/CE61)*Y61),0)</f>
        <v>0</v>
      </c>
      <c r="Z48" s="193">
        <f>ROUND(((B48/CE61)*Z61),0)</f>
        <v>0</v>
      </c>
      <c r="AA48" s="193">
        <f>ROUND(((B48/CE61)*AA61),0)</f>
        <v>0</v>
      </c>
      <c r="AB48" s="193">
        <f>ROUND(((B48/CE61)*AB61),0)</f>
        <v>0</v>
      </c>
      <c r="AC48" s="193">
        <f>ROUND(((B48/CE61)*AC61),0)</f>
        <v>0</v>
      </c>
      <c r="AD48" s="193">
        <f>ROUND(((B48/CE61)*AD61),0)</f>
        <v>0</v>
      </c>
      <c r="AE48" s="193">
        <f>ROUND(((B48/CE61)*AE61),0)</f>
        <v>0</v>
      </c>
      <c r="AF48" s="193">
        <f>ROUND(((B48/CE61)*AF61),0)</f>
        <v>0</v>
      </c>
      <c r="AG48" s="193">
        <f>ROUND(((B48/CE61)*AG61),0)</f>
        <v>0</v>
      </c>
      <c r="AH48" s="193">
        <f>ROUND(((B48/CE61)*AH61),0)</f>
        <v>0</v>
      </c>
      <c r="AI48" s="193">
        <f>ROUND(((B48/CE61)*AI61),0)</f>
        <v>0</v>
      </c>
      <c r="AJ48" s="193">
        <f>ROUND(((B48/CE61)*AJ61),0)</f>
        <v>0</v>
      </c>
      <c r="AK48" s="193">
        <f>ROUND(((B48/CE61)*AK61),0)</f>
        <v>0</v>
      </c>
      <c r="AL48" s="193">
        <f>ROUND(((B48/CE61)*AL61),0)</f>
        <v>0</v>
      </c>
      <c r="AM48" s="193">
        <f>ROUND(((B48/CE61)*AM61),0)</f>
        <v>0</v>
      </c>
      <c r="AN48" s="193">
        <f>ROUND(((B48/CE61)*AN61),0)</f>
        <v>0</v>
      </c>
      <c r="AO48" s="193">
        <f>ROUND(((B48/CE61)*AO61),0)</f>
        <v>0</v>
      </c>
      <c r="AP48" s="193">
        <f>ROUND(((B48/CE61)*AP61),0)</f>
        <v>0</v>
      </c>
      <c r="AQ48" s="193">
        <f>ROUND(((B48/CE61)*AQ61),0)</f>
        <v>0</v>
      </c>
      <c r="AR48" s="193">
        <f>ROUND(((B48/CE61)*AR61),0)</f>
        <v>0</v>
      </c>
      <c r="AS48" s="193">
        <f>ROUND(((B48/CE61)*AS61),0)</f>
        <v>0</v>
      </c>
      <c r="AT48" s="193">
        <f>ROUND(((B48/CE61)*AT61),0)</f>
        <v>0</v>
      </c>
      <c r="AU48" s="193">
        <f>ROUND(((B48/CE61)*AU61),0)</f>
        <v>0</v>
      </c>
      <c r="AV48" s="193">
        <f>ROUND(((B48/CE61)*AV61),0)</f>
        <v>0</v>
      </c>
      <c r="AW48" s="193">
        <f>ROUND(((B48/CE61)*AW61),0)</f>
        <v>0</v>
      </c>
      <c r="AX48" s="193">
        <f>ROUND(((B48/CE61)*AX61),0)</f>
        <v>0</v>
      </c>
      <c r="AY48" s="193">
        <f>ROUND(((B48/CE61)*AY61),0)</f>
        <v>0</v>
      </c>
      <c r="AZ48" s="193">
        <f>ROUND(((B48/CE61)*AZ61),0)</f>
        <v>0</v>
      </c>
      <c r="BA48" s="193">
        <f>ROUND(((B48/CE61)*BA61),0)</f>
        <v>0</v>
      </c>
      <c r="BB48" s="193">
        <f>ROUND(((B48/CE61)*BB61),0)</f>
        <v>0</v>
      </c>
      <c r="BC48" s="193">
        <f>ROUND(((B48/CE61)*BC61),0)</f>
        <v>0</v>
      </c>
      <c r="BD48" s="193">
        <f>ROUND(((B48/CE61)*BD61),0)</f>
        <v>0</v>
      </c>
      <c r="BE48" s="193">
        <f>ROUND(((B48/CE61)*BE61),0)</f>
        <v>0</v>
      </c>
      <c r="BF48" s="193">
        <f>ROUND(((B48/CE61)*BF61),0)</f>
        <v>0</v>
      </c>
      <c r="BG48" s="193">
        <f>ROUND(((B48/CE61)*BG61),0)</f>
        <v>0</v>
      </c>
      <c r="BH48" s="193">
        <f>ROUND(((B48/CE61)*BH61),0)</f>
        <v>0</v>
      </c>
      <c r="BI48" s="193">
        <f>ROUND(((B48/CE61)*BI61),0)</f>
        <v>0</v>
      </c>
      <c r="BJ48" s="193">
        <f>ROUND(((B48/CE61)*BJ61),0)</f>
        <v>0</v>
      </c>
      <c r="BK48" s="193">
        <f>ROUND(((B48/CE61)*BK61),0)</f>
        <v>0</v>
      </c>
      <c r="BL48" s="193">
        <f>ROUND(((B48/CE61)*BL61),0)</f>
        <v>0</v>
      </c>
      <c r="BM48" s="193">
        <f>ROUND(((B48/CE61)*BM61),0)</f>
        <v>0</v>
      </c>
      <c r="BN48" s="193">
        <f>ROUND(((B48/CE61)*BN61),0)</f>
        <v>0</v>
      </c>
      <c r="BO48" s="193">
        <f>ROUND(((B48/CE61)*BO61),0)</f>
        <v>0</v>
      </c>
      <c r="BP48" s="193">
        <f>ROUND(((B48/CE61)*BP61),0)</f>
        <v>0</v>
      </c>
      <c r="BQ48" s="193">
        <f>ROUND(((B48/CE61)*BQ61),0)</f>
        <v>0</v>
      </c>
      <c r="BR48" s="193">
        <f>ROUND(((B48/CE61)*BR61),0)</f>
        <v>0</v>
      </c>
      <c r="BS48" s="193">
        <f>ROUND(((B48/CE61)*BS61),0)</f>
        <v>0</v>
      </c>
      <c r="BT48" s="193">
        <f>ROUND(((B48/CE61)*BT61),0)</f>
        <v>0</v>
      </c>
      <c r="BU48" s="193">
        <f>ROUND(((B48/CE61)*BU61),0)</f>
        <v>0</v>
      </c>
      <c r="BV48" s="193">
        <f>ROUND(((B48/CE61)*BV61),0)</f>
        <v>0</v>
      </c>
      <c r="BW48" s="193">
        <f>ROUND(((B48/CE61)*BW61),0)</f>
        <v>0</v>
      </c>
      <c r="BX48" s="193">
        <f>ROUND(((B48/CE61)*BX61),0)</f>
        <v>0</v>
      </c>
      <c r="BY48" s="193">
        <f>ROUND(((B48/CE61)*BY61),0)</f>
        <v>0</v>
      </c>
      <c r="BZ48" s="193">
        <f>ROUND(((B48/CE61)*BZ61),0)</f>
        <v>0</v>
      </c>
      <c r="CA48" s="193">
        <f>ROUND(((B48/CE61)*CA61),0)</f>
        <v>0</v>
      </c>
      <c r="CB48" s="193">
        <f>ROUND(((B48/CE61)*CB61),0)</f>
        <v>0</v>
      </c>
      <c r="CC48" s="193">
        <f>ROUND(((B48/CE61)*CC61),0)</f>
        <v>0</v>
      </c>
      <c r="CD48" s="193"/>
      <c r="CE48" s="193">
        <f>SUM(C48:CD48)</f>
        <v>0</v>
      </c>
    </row>
    <row r="49" spans="1:84" ht="12.6" customHeight="1" x14ac:dyDescent="0.25">
      <c r="A49" s="175" t="s">
        <v>206</v>
      </c>
      <c r="B49" s="193">
        <f>B47+B48</f>
        <v>21872148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</row>
    <row r="50" spans="1:84" ht="12.6" customHeight="1" x14ac:dyDescent="0.25">
      <c r="A50" s="175" t="s">
        <v>6</v>
      </c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</row>
    <row r="51" spans="1:84" ht="12.6" customHeight="1" x14ac:dyDescent="0.25">
      <c r="A51" s="171" t="s">
        <v>207</v>
      </c>
      <c r="B51" s="184">
        <v>16180636</v>
      </c>
      <c r="C51" s="184">
        <f>IF(ISERR(VLOOKUP(VALUE(C$44),'HL Data'!$G$2:$S$79,13,0)="TRUE"),0,VLOOKUP(VALUE(C$44),'HL Data'!$G$2:$S$79,13,0))+1</f>
        <v>165952.96000000002</v>
      </c>
      <c r="D51" s="184">
        <f>IF(ISERR(VLOOKUP(VALUE(D$44),'HL Data'!$G$2:$S$79,13,0)="TRUE"),0,VLOOKUP(VALUE(D$44),'HL Data'!$G$2:$S$79,13,0))</f>
        <v>0</v>
      </c>
      <c r="E51" s="184">
        <f>IF(ISERR(VLOOKUP(VALUE(E$44),'HL Data'!$G$2:$S$79,13,0)="TRUE"),0,VLOOKUP(VALUE(E$44),'HL Data'!$G$2:$S$79,13,0))</f>
        <v>1084125.2000000002</v>
      </c>
      <c r="F51" s="184">
        <f>IF(ISERR(VLOOKUP(VALUE(F$44),'HL Data'!$G$2:$S$79,13,0)="TRUE"),0,VLOOKUP(VALUE(F$44),'HL Data'!$G$2:$S$79,13,0))</f>
        <v>0</v>
      </c>
      <c r="G51" s="184">
        <f>IF(ISERR(VLOOKUP(VALUE(G$44),'HL Data'!$G$2:$S$79,13,0)="TRUE"),0,VLOOKUP(VALUE(G$44),'HL Data'!$G$2:$S$79,13,0))</f>
        <v>0</v>
      </c>
      <c r="H51" s="184">
        <f>IF(ISERR(VLOOKUP(VALUE(H$44),'HL Data'!$G$2:$S$79,13,0)="TRUE"),0,VLOOKUP(VALUE(H$44),'HL Data'!$G$2:$S$79,13,0))</f>
        <v>0</v>
      </c>
      <c r="I51" s="184">
        <f>IF(ISERR(VLOOKUP(VALUE(I$44),'HL Data'!$G$2:$S$79,13,0)="TRUE"),0,VLOOKUP(VALUE(I$44),'HL Data'!$G$2:$S$79,13,0))</f>
        <v>0</v>
      </c>
      <c r="J51" s="184">
        <f>IF(ISERR(VLOOKUP(VALUE(J$44),'HL Data'!$G$2:$S$79,13,0)="TRUE"),0,VLOOKUP(VALUE(J$44),'HL Data'!$G$2:$S$79,13,0))</f>
        <v>0</v>
      </c>
      <c r="K51" s="184">
        <f>IF(ISERR(VLOOKUP(VALUE(K$44),'HL Data'!$G$2:$S$79,13,0)="TRUE"),0,VLOOKUP(VALUE(K$44),'HL Data'!$G$2:$S$79,13,0))</f>
        <v>0</v>
      </c>
      <c r="L51" s="184">
        <f>IF(ISERR(VLOOKUP(VALUE(L$44),'HL Data'!$G$2:$S$79,13,0)="TRUE"),0,VLOOKUP(VALUE(L$44),'HL Data'!$G$2:$S$79,13,0))</f>
        <v>0</v>
      </c>
      <c r="M51" s="184">
        <f>IF(ISERR(VLOOKUP(VALUE(M$44),'HL Data'!$G$2:$S$79,13,0)="TRUE"),0,VLOOKUP(VALUE(M$44),'HL Data'!$G$2:$S$79,13,0))</f>
        <v>0</v>
      </c>
      <c r="N51" s="184">
        <f>IF(ISERR(VLOOKUP(VALUE(N$44),'HL Data'!$G$2:$S$79,13,0)="TRUE"),0,VLOOKUP(VALUE(N$44),'HL Data'!$G$2:$S$79,13,0))</f>
        <v>0</v>
      </c>
      <c r="O51" s="184">
        <f>IF(ISERR(VLOOKUP(VALUE(O$44),'HL Data'!$G$2:$S$79,13,0)="TRUE"),0,VLOOKUP(VALUE(O$44),'HL Data'!$G$2:$S$79,13,0))</f>
        <v>224727.12</v>
      </c>
      <c r="P51" s="184">
        <f>IF(ISERR(VLOOKUP(VALUE(P$44),'HL Data'!$G$2:$S$79,13,0)="TRUE"),0,VLOOKUP(VALUE(P$44),'HL Data'!$G$2:$S$79,13,0))</f>
        <v>2472701.37</v>
      </c>
      <c r="Q51" s="184">
        <f>IF(ISERR(VLOOKUP(VALUE(Q$44),'HL Data'!$G$2:$S$79,13,0)="TRUE"),0,VLOOKUP(VALUE(Q$44),'HL Data'!$G$2:$S$79,13,0))</f>
        <v>87055.38</v>
      </c>
      <c r="R51" s="184">
        <f>IF(ISERR(VLOOKUP(VALUE(R$44),'HL Data'!$G$2:$S$79,13,0)="TRUE"),0,VLOOKUP(VALUE(R$44),'HL Data'!$G$2:$S$79,13,0))</f>
        <v>0</v>
      </c>
      <c r="S51" s="184">
        <f>IF(ISERR(VLOOKUP(VALUE(S$44),'HL Data'!$G$2:$S$79,13,0)="TRUE"),0,VLOOKUP(VALUE(S$44),'HL Data'!$G$2:$S$79,13,0))</f>
        <v>56159.360000000001</v>
      </c>
      <c r="T51" s="184">
        <f>IF(ISERR(VLOOKUP(VALUE(T$44),'HL Data'!$G$2:$S$79,13,0)="TRUE"),0,VLOOKUP(VALUE(T$44),'HL Data'!$G$2:$S$79,13,0))</f>
        <v>12472.45</v>
      </c>
      <c r="U51" s="184">
        <f>IF(ISERR(VLOOKUP(VALUE(U$44),'HL Data'!$G$2:$S$79,13,0)="TRUE"),0,VLOOKUP(VALUE(U$44),'HL Data'!$G$2:$S$79,13,0))</f>
        <v>123186.52</v>
      </c>
      <c r="V51" s="184">
        <f>IF(ISERR(VLOOKUP(VALUE(V$44),'HL Data'!$G$2:$S$79,13,0)="TRUE"),0,VLOOKUP(VALUE(V$44),'HL Data'!$G$2:$S$79,13,0))</f>
        <v>0</v>
      </c>
      <c r="W51" s="184">
        <f>IF(ISERR(VLOOKUP(VALUE(W$44),'HL Data'!$G$2:$S$79,13,0)="TRUE"),0,VLOOKUP(VALUE(W$44),'HL Data'!$G$2:$S$79,13,0))</f>
        <v>328539.23</v>
      </c>
      <c r="X51" s="184">
        <f>IF(ISERR(VLOOKUP(VALUE(X$44),'HL Data'!$G$2:$S$79,13,0)="TRUE"),0,VLOOKUP(VALUE(X$44),'HL Data'!$G$2:$S$79,13,0))</f>
        <v>64350.169999999991</v>
      </c>
      <c r="Y51" s="184">
        <f>IF(ISERR(VLOOKUP(VALUE(Y$44),'HL Data'!$G$2:$S$79,13,0)="TRUE"),0,VLOOKUP(VALUE(Y$44),'HL Data'!$G$2:$S$79,13,0))</f>
        <v>847003.15</v>
      </c>
      <c r="Z51" s="184">
        <f>IF(ISERR(VLOOKUP(VALUE(Z$44),'HL Data'!$G$2:$S$79,13,0)="TRUE"),0,VLOOKUP(VALUE(Z$44),'HL Data'!$G$2:$S$79,13,0))</f>
        <v>0</v>
      </c>
      <c r="AA51" s="184">
        <f>IF(ISERR(VLOOKUP(VALUE(AA$44),'HL Data'!$G$2:$S$79,13,0)="TRUE"),0,VLOOKUP(VALUE(AA$44),'HL Data'!$G$2:$S$79,13,0))</f>
        <v>40804.39</v>
      </c>
      <c r="AB51" s="184">
        <f>IF(ISERR(VLOOKUP(VALUE(AB$44),'HL Data'!$G$2:$S$79,13,0)="TRUE"),0,VLOOKUP(VALUE(AB$44),'HL Data'!$G$2:$S$79,13,0))</f>
        <v>339372.52999999997</v>
      </c>
      <c r="AC51" s="184">
        <f>IF(ISERR(VLOOKUP(VALUE(AC$44),'HL Data'!$G$2:$S$79,13,0)="TRUE"),0,VLOOKUP(VALUE(AC$44),'HL Data'!$G$2:$S$79,13,0))</f>
        <v>65064.71</v>
      </c>
      <c r="AD51" s="184">
        <f>IF(ISERR(VLOOKUP(VALUE(AD$44),'HL Data'!$G$2:$S$79,13,0)="TRUE"),0,VLOOKUP(VALUE(AD$44),'HL Data'!$G$2:$S$79,13,0))</f>
        <v>0</v>
      </c>
      <c r="AE51" s="184">
        <f>IF(ISERR(VLOOKUP(VALUE(AE$44),'HL Data'!$G$2:$S$79,13,0)="TRUE"),0,VLOOKUP(VALUE(AE$44),'HL Data'!$G$2:$S$79,13,0))</f>
        <v>325.08999999999992</v>
      </c>
      <c r="AF51" s="184">
        <f>IF(ISERR(VLOOKUP(VALUE(AF$44),'HL Data'!$G$2:$S$79,13,0)="TRUE"),0,VLOOKUP(VALUE(AF$44),'HL Data'!$G$2:$S$79,13,0))</f>
        <v>0</v>
      </c>
      <c r="AG51" s="184">
        <f>IF(ISERR(VLOOKUP(VALUE(AG$44),'HL Data'!$G$2:$S$79,13,0)="TRUE"),0,VLOOKUP(VALUE(AG$44),'HL Data'!$G$2:$S$79,13,0))</f>
        <v>418162.98</v>
      </c>
      <c r="AH51" s="184">
        <f>IF(ISERR(VLOOKUP(VALUE(AH$44),'HL Data'!$G$2:$S$79,13,0)="TRUE"),0,VLOOKUP(VALUE(AH$44),'HL Data'!$G$2:$S$79,13,0))</f>
        <v>0</v>
      </c>
      <c r="AI51" s="184">
        <f>IF(ISERR(VLOOKUP(VALUE(AI$44),'HL Data'!$G$2:$S$79,13,0)="TRUE"),0,VLOOKUP(VALUE(AI$44),'HL Data'!$G$2:$S$79,13,0))</f>
        <v>0</v>
      </c>
      <c r="AJ51" s="184">
        <f>IF(ISERR(VLOOKUP(VALUE(AJ$44),'HL Data'!$G$2:$S$79,13,0)="TRUE"),0,VLOOKUP(VALUE(AJ$44),'HL Data'!$G$2:$S$79,13,0))</f>
        <v>2359566.0699999998</v>
      </c>
      <c r="AK51" s="184">
        <f>IF(ISERR(VLOOKUP(VALUE(AK$44),'HL Data'!$G$2:$S$79,13,0)="TRUE"),0,VLOOKUP(VALUE(AK$44),'HL Data'!$G$2:$S$79,13,0))</f>
        <v>45.37</v>
      </c>
      <c r="AL51" s="184">
        <f>IF(ISERR(VLOOKUP(VALUE(AL$44),'HL Data'!$G$2:$S$79,13,0)="TRUE"),0,VLOOKUP(VALUE(AL$44),'HL Data'!$G$2:$S$79,13,0))</f>
        <v>3.38</v>
      </c>
      <c r="AM51" s="184">
        <f>IF(ISERR(VLOOKUP(VALUE(AM$44),'HL Data'!$G$2:$S$79,13,0)="TRUE"),0,VLOOKUP(VALUE(AM$44),'HL Data'!$G$2:$S$79,13,0))</f>
        <v>0</v>
      </c>
      <c r="AN51" s="184">
        <f>IF(ISERR(VLOOKUP(VALUE(AN$44),'HL Data'!$G$2:$S$79,13,0)="TRUE"),0,VLOOKUP(VALUE(AN$44),'HL Data'!$G$2:$S$79,13,0))</f>
        <v>0</v>
      </c>
      <c r="AO51" s="184">
        <f>IF(ISERR(VLOOKUP(VALUE(AO$44),'HL Data'!$G$2:$S$79,13,0)="TRUE"),0,VLOOKUP(VALUE(AO$44),'HL Data'!$G$2:$S$79,13,0))</f>
        <v>0</v>
      </c>
      <c r="AP51" s="184">
        <f>IF(ISERR(VLOOKUP(VALUE(AP$44),'HL Data'!$G$2:$S$79,13,0)="TRUE"),0,VLOOKUP(VALUE(AP$44),'HL Data'!$G$2:$S$79,13,0))</f>
        <v>0</v>
      </c>
      <c r="AQ51" s="184">
        <f>IF(ISERR(VLOOKUP(VALUE(AQ$44),'HL Data'!$G$2:$S$79,13,0)="TRUE"),0,VLOOKUP(VALUE(AQ$44),'HL Data'!$G$2:$S$79,13,0))</f>
        <v>0</v>
      </c>
      <c r="AR51" s="184">
        <f>IF(ISERR(VLOOKUP(VALUE(AR$44),'HL Data'!$G$2:$S$79,13,0)="TRUE"),0,VLOOKUP(VALUE(AR$44),'HL Data'!$G$2:$S$79,13,0))</f>
        <v>0</v>
      </c>
      <c r="AS51" s="184">
        <f>IF(ISERR(VLOOKUP(VALUE(AS$44),'HL Data'!$G$2:$S$79,13,0)="TRUE"),0,VLOOKUP(VALUE(AS$44),'HL Data'!$G$2:$S$79,13,0))</f>
        <v>0</v>
      </c>
      <c r="AT51" s="184">
        <f>IF(ISERR(VLOOKUP(VALUE(AT$44),'HL Data'!$G$2:$S$79,13,0)="TRUE"),0,VLOOKUP(VALUE(AT$44),'HL Data'!$G$2:$S$79,13,0))</f>
        <v>0</v>
      </c>
      <c r="AU51" s="184">
        <f>IF(ISERR(VLOOKUP(VALUE(AU$44),'HL Data'!$G$2:$S$79,13,0)="TRUE"),0,VLOOKUP(VALUE(AU$44),'HL Data'!$G$2:$S$79,13,0))</f>
        <v>0</v>
      </c>
      <c r="AV51" s="184">
        <f>IF(ISERR(VLOOKUP(VALUE(AV$44),'HL Data'!$G$2:$S$79,13,0)="TRUE"),0,VLOOKUP(VALUE(AV$44),'HL Data'!$G$2:$S$79,13,0))</f>
        <v>339.31</v>
      </c>
      <c r="AW51" s="184">
        <f>IF(ISERR(VLOOKUP(VALUE(AW$44),'HL Data'!$G$2:$S$79,13,0)="TRUE"),0,VLOOKUP(VALUE(AW$44),'HL Data'!$G$2:$S$79,13,0))</f>
        <v>266.66000000000003</v>
      </c>
      <c r="AX51" s="184">
        <f>IF(ISERR(VLOOKUP(VALUE(AX$44),'HL Data'!$G$2:$S$79,13,0)="TRUE"),0,VLOOKUP(VALUE(AX$44),'HL Data'!$G$2:$S$79,13,0))</f>
        <v>0</v>
      </c>
      <c r="AY51" s="184">
        <f>IF(ISERR(VLOOKUP(VALUE(AY$44),'HL Data'!$G$2:$S$79,13,0)="TRUE"),0,VLOOKUP(VALUE(AY$44),'HL Data'!$G$2:$S$79,13,0))</f>
        <v>47267.849999999991</v>
      </c>
      <c r="AZ51" s="184">
        <f>IF(ISERR(VLOOKUP(VALUE(AZ$44),'HL Data'!$G$2:$S$79,13,0)="TRUE"),0,VLOOKUP(VALUE(AZ$44),'HL Data'!$G$2:$S$79,13,0))</f>
        <v>0</v>
      </c>
      <c r="BA51" s="184">
        <f>IF(ISERR(VLOOKUP(VALUE(BA$44),'HL Data'!$G$2:$S$79,13,0)="TRUE"),0,VLOOKUP(VALUE(BA$44),'HL Data'!$G$2:$S$79,13,0))</f>
        <v>0</v>
      </c>
      <c r="BB51" s="184">
        <f>IF(ISERR(VLOOKUP(VALUE(BB$44),'HL Data'!$G$2:$S$79,13,0)="TRUE"),0,VLOOKUP(VALUE(BB$44),'HL Data'!$G$2:$S$79,13,0))</f>
        <v>0</v>
      </c>
      <c r="BC51" s="184">
        <f>IF(ISERR(VLOOKUP(VALUE(BC$44),'HL Data'!$G$2:$S$79,13,0)="TRUE"),0,VLOOKUP(VALUE(BC$44),'HL Data'!$G$2:$S$79,13,0))</f>
        <v>0</v>
      </c>
      <c r="BD51" s="184">
        <f>IF(ISERR(VLOOKUP(VALUE(BD$44),'HL Data'!$G$2:$S$79,13,0)="TRUE"),0,VLOOKUP(VALUE(BD$44),'HL Data'!$G$2:$S$79,13,0))</f>
        <v>0</v>
      </c>
      <c r="BE51" s="184">
        <f>IF(ISERR(VLOOKUP(VALUE(BE$44),'HL Data'!$G$2:$S$79,13,0)="TRUE"),0,VLOOKUP(VALUE(BE$44),'HL Data'!$G$2:$S$79,13,0))</f>
        <v>206972.20000000004</v>
      </c>
      <c r="BF51" s="184">
        <f>IF(ISERR(VLOOKUP(VALUE(BF$44),'HL Data'!$G$2:$S$79,13,0)="TRUE"),0,VLOOKUP(VALUE(BF$44),'HL Data'!$G$2:$S$79,13,0))</f>
        <v>13442.98</v>
      </c>
      <c r="BG51" s="184">
        <f>IF(ISERR(VLOOKUP(VALUE(BG$44),'HL Data'!$G$2:$S$79,13,0)="TRUE"),0,VLOOKUP(VALUE(BG$44),'HL Data'!$G$2:$S$79,13,0))</f>
        <v>0</v>
      </c>
      <c r="BH51" s="184">
        <f>IF(ISERR(VLOOKUP(VALUE(BH$44),'HL Data'!$G$2:$S$79,13,0)="TRUE"),0,VLOOKUP(VALUE(BH$44),'HL Data'!$G$2:$S$79,13,0))</f>
        <v>0</v>
      </c>
      <c r="BI51" s="184">
        <f>IF(ISERR(VLOOKUP(VALUE(BI$44),'HL Data'!$G$2:$S$79,13,0)="TRUE"),0,VLOOKUP(VALUE(BI$44),'HL Data'!$G$2:$S$79,13,0))</f>
        <v>0</v>
      </c>
      <c r="BJ51" s="184">
        <f>IF(ISERR(VLOOKUP(VALUE(BJ$44),'HL Data'!$G$2:$S$79,13,0)="TRUE"),0,VLOOKUP(VALUE(BJ$44),'HL Data'!$G$2:$S$79,13,0))</f>
        <v>0</v>
      </c>
      <c r="BK51" s="184">
        <f>IF(ISERR(VLOOKUP(VALUE(BK$44),'HL Data'!$G$2:$S$79,13,0)="TRUE"),0,VLOOKUP(VALUE(BK$44),'HL Data'!$G$2:$S$79,13,0))</f>
        <v>741.21</v>
      </c>
      <c r="BL51" s="184">
        <f>IF(ISERR(VLOOKUP(VALUE(BL$44),'HL Data'!$G$2:$S$79,13,0)="TRUE"),0,VLOOKUP(VALUE(BL$44),'HL Data'!$G$2:$S$79,13,0))</f>
        <v>20186.57</v>
      </c>
      <c r="BM51" s="184">
        <f>IF(ISERR(VLOOKUP(VALUE(BM$44),'HL Data'!$G$2:$S$79,13,0)="TRUE"),0,VLOOKUP(VALUE(BM$44),'HL Data'!$G$2:$S$79,13,0))</f>
        <v>0</v>
      </c>
      <c r="BN51" s="184">
        <f>IF(ISERR(VLOOKUP(VALUE(BN$44),'HL Data'!$G$2:$S$79,13,0)="TRUE"),0,VLOOKUP(VALUE(BN$44),'HL Data'!$G$2:$S$79,13,0))</f>
        <v>87007.19</v>
      </c>
      <c r="BO51" s="184">
        <f>IF(ISERR(VLOOKUP(VALUE(BO$44),'HL Data'!$G$2:$S$79,13,0)="TRUE"),0,VLOOKUP(VALUE(BO$44),'HL Data'!$G$2:$S$79,13,0))</f>
        <v>0</v>
      </c>
      <c r="BP51" s="184">
        <f>IF(ISERR(VLOOKUP(VALUE(BP$44),'HL Data'!$G$2:$S$79,13,0)="TRUE"),0,VLOOKUP(VALUE(BP$44),'HL Data'!$G$2:$S$79,13,0))</f>
        <v>0</v>
      </c>
      <c r="BQ51" s="184">
        <f>IF(ISERR(VLOOKUP(VALUE(BQ$44),'HL Data'!$G$2:$S$79,13,0)="TRUE"),0,VLOOKUP(VALUE(BQ$44),'HL Data'!$G$2:$S$79,13,0))</f>
        <v>0</v>
      </c>
      <c r="BR51" s="184">
        <f>IF(ISERR(VLOOKUP(VALUE(BR$44),'HL Data'!$G$2:$S$79,13,0)="TRUE"),0,VLOOKUP(VALUE(BR$44),'HL Data'!$G$2:$S$79,13,0))</f>
        <v>0</v>
      </c>
      <c r="BS51" s="184">
        <f>IF(ISERR(VLOOKUP(VALUE(BS$44),'HL Data'!$G$2:$S$79,13,0)="TRUE"),0,VLOOKUP(VALUE(BS$44),'HL Data'!$G$2:$S$79,13,0))</f>
        <v>357.63</v>
      </c>
      <c r="BT51" s="184">
        <f>IF(ISERR(VLOOKUP(VALUE(BT$44),'HL Data'!$G$2:$S$79,13,0)="TRUE"),0,VLOOKUP(VALUE(BT$44),'HL Data'!$G$2:$S$79,13,0))</f>
        <v>879.04</v>
      </c>
      <c r="BU51" s="184">
        <f>IF(ISERR(VLOOKUP(VALUE(BU$44),'HL Data'!$G$2:$S$79,13,0)="TRUE"),0,VLOOKUP(VALUE(BU$44),'HL Data'!$G$2:$S$79,13,0))</f>
        <v>0</v>
      </c>
      <c r="BV51" s="184">
        <f>IF(ISERR(VLOOKUP(VALUE(BV$44),'HL Data'!$G$2:$S$79,13,0)="TRUE"),0,VLOOKUP(VALUE(BV$44),'HL Data'!$G$2:$S$79,13,0))</f>
        <v>0</v>
      </c>
      <c r="BW51" s="184">
        <f>IF(ISERR(VLOOKUP(VALUE(BW$44),'HL Data'!$G$2:$S$79,13,0)="TRUE"),0,VLOOKUP(VALUE(BW$44),'HL Data'!$G$2:$S$79,13,0))</f>
        <v>232.16</v>
      </c>
      <c r="BX51" s="184">
        <f>IF(ISERR(VLOOKUP(VALUE(BX$44),'HL Data'!$G$2:$S$79,13,0)="TRUE"),0,VLOOKUP(VALUE(BX$44),'HL Data'!$G$2:$S$79,13,0))</f>
        <v>0</v>
      </c>
      <c r="BY51" s="184">
        <f>IF(ISERR(VLOOKUP(VALUE(BY$44),'HL Data'!$G$2:$S$79,13,0)="TRUE"),0,VLOOKUP(VALUE(BY$44),'HL Data'!$G$2:$S$79,13,0))</f>
        <v>310885.7</v>
      </c>
      <c r="BZ51" s="184">
        <f>IF(ISERR(VLOOKUP(VALUE(BZ$44),'HL Data'!$G$2:$S$79,13,0)="TRUE"),0,VLOOKUP(VALUE(BZ$44),'HL Data'!$G$2:$S$79,13,0))</f>
        <v>0</v>
      </c>
      <c r="CA51" s="184">
        <f>IF(ISERR(VLOOKUP(VALUE(CA$44),'HL Data'!$G$2:$S$79,13,0)="TRUE"),0,VLOOKUP(VALUE(CA$44),'HL Data'!$G$2:$S$79,13,0))</f>
        <v>0</v>
      </c>
      <c r="CB51" s="184">
        <f>IF(ISERR(VLOOKUP(VALUE(CB$44),'HL Data'!$G$2:$S$79,13,0)="TRUE"),0,VLOOKUP(VALUE(CB$44),'HL Data'!$G$2:$S$79,13,0))</f>
        <v>0</v>
      </c>
      <c r="CC51" s="184">
        <f>IF(ISERR(VLOOKUP(VALUE(CC$44),'HL Data'!$G$2:$S$79,13,0)="TRUE"),0,VLOOKUP(VALUE(CC$44),'HL Data'!$G$2:$S$79,13,0))</f>
        <v>6802441.8300000001</v>
      </c>
      <c r="CD51" s="193"/>
      <c r="CE51" s="193">
        <f>SUM(C51:CD51)</f>
        <v>16180637.76</v>
      </c>
    </row>
    <row r="52" spans="1:84" ht="12.6" customHeight="1" x14ac:dyDescent="0.25">
      <c r="A52" s="171" t="s">
        <v>208</v>
      </c>
      <c r="B52" s="184"/>
      <c r="C52" s="193">
        <f>ROUND((B52/(CE76+CF76)*C76),0)</f>
        <v>0</v>
      </c>
      <c r="D52" s="193">
        <f>ROUND((B52/(CE76+CF76)*D76),0)</f>
        <v>0</v>
      </c>
      <c r="E52" s="193">
        <f>ROUND((B52/(CE76+CF76)*E76),0)</f>
        <v>0</v>
      </c>
      <c r="F52" s="193">
        <f>ROUND((B52/(CE76+CF76)*F76),0)</f>
        <v>0</v>
      </c>
      <c r="G52" s="193">
        <f>ROUND((B52/(CE76+CF76)*G76),0)</f>
        <v>0</v>
      </c>
      <c r="H52" s="193">
        <f>ROUND((B52/(CE76+CF76)*H76),0)</f>
        <v>0</v>
      </c>
      <c r="I52" s="193">
        <f>ROUND((B52/(CE76+CF76)*I76),0)</f>
        <v>0</v>
      </c>
      <c r="J52" s="193">
        <f>ROUND((B52/(CE76+CF76)*J76),0)</f>
        <v>0</v>
      </c>
      <c r="K52" s="193">
        <f>ROUND((B52/(CE76+CF76)*K76),0)</f>
        <v>0</v>
      </c>
      <c r="L52" s="193">
        <f>ROUND((B52/(CE76+CF76)*L76),0)</f>
        <v>0</v>
      </c>
      <c r="M52" s="193">
        <f>ROUND((B52/(CE76+CF76)*M76),0)</f>
        <v>0</v>
      </c>
      <c r="N52" s="193">
        <f>ROUND((B52/(CE76+CF76)*N76),0)</f>
        <v>0</v>
      </c>
      <c r="O52" s="193">
        <f>ROUND((B52/(CE76+CF76)*O76),0)</f>
        <v>0</v>
      </c>
      <c r="P52" s="193">
        <f>ROUND((B52/(CE76+CF76)*P76),0)</f>
        <v>0</v>
      </c>
      <c r="Q52" s="193">
        <f>ROUND((B52/(CE76+CF76)*Q76),0)</f>
        <v>0</v>
      </c>
      <c r="R52" s="193">
        <f>ROUND((B52/(CE76+CF76)*R76),0)</f>
        <v>0</v>
      </c>
      <c r="S52" s="193">
        <f>ROUND((B52/(CE76+CF76)*S76),0)</f>
        <v>0</v>
      </c>
      <c r="T52" s="193">
        <f>ROUND((B52/(CE76+CF76)*T76),0)</f>
        <v>0</v>
      </c>
      <c r="U52" s="193">
        <f>ROUND((B52/(CE76+CF76)*U76),0)</f>
        <v>0</v>
      </c>
      <c r="V52" s="193">
        <f>ROUND((B52/(CE76+CF76)*V76),0)</f>
        <v>0</v>
      </c>
      <c r="W52" s="193">
        <f>ROUND((B52/(CE76+CF76)*W76),0)</f>
        <v>0</v>
      </c>
      <c r="X52" s="193">
        <f>ROUND((B52/(CE76+CF76)*X76),0)</f>
        <v>0</v>
      </c>
      <c r="Y52" s="193">
        <f>ROUND((B52/(CE76+CF76)*Y76),0)</f>
        <v>0</v>
      </c>
      <c r="Z52" s="193">
        <f>ROUND((B52/(CE76+CF76)*Z76),0)</f>
        <v>0</v>
      </c>
      <c r="AA52" s="193">
        <f>ROUND((B52/(CE76+CF76)*AA76),0)</f>
        <v>0</v>
      </c>
      <c r="AB52" s="193">
        <f>ROUND((B52/(CE76+CF76)*AB76),0)</f>
        <v>0</v>
      </c>
      <c r="AC52" s="193">
        <f>ROUND((B52/(CE76+CF76)*AC76),0)</f>
        <v>0</v>
      </c>
      <c r="AD52" s="193">
        <f>ROUND((B52/(CE76+CF76)*AD76),0)</f>
        <v>0</v>
      </c>
      <c r="AE52" s="193">
        <f>ROUND((B52/(CE76+CF76)*AE76),0)</f>
        <v>0</v>
      </c>
      <c r="AF52" s="193">
        <f>ROUND((B52/(CE76+CF76)*AF76),0)</f>
        <v>0</v>
      </c>
      <c r="AG52" s="193">
        <f>ROUND((B52/(CE76+CF76)*AG76),0)</f>
        <v>0</v>
      </c>
      <c r="AH52" s="193">
        <f>ROUND((B52/(CE76+CF76)*AH76),0)</f>
        <v>0</v>
      </c>
      <c r="AI52" s="193">
        <f>ROUND((B52/(CE76+CF76)*AI76),0)</f>
        <v>0</v>
      </c>
      <c r="AJ52" s="193">
        <f>ROUND((B52/(CE76+CF76)*AJ76),0)</f>
        <v>0</v>
      </c>
      <c r="AK52" s="193">
        <f>ROUND((B52/(CE76+CF76)*AK76),0)</f>
        <v>0</v>
      </c>
      <c r="AL52" s="193">
        <f>ROUND((B52/(CE76+CF76)*AL76),0)</f>
        <v>0</v>
      </c>
      <c r="AM52" s="193">
        <f>ROUND((B52/(CE76+CF76)*AM76),0)</f>
        <v>0</v>
      </c>
      <c r="AN52" s="193">
        <f>ROUND((B52/(CE76+CF76)*AN76),0)</f>
        <v>0</v>
      </c>
      <c r="AO52" s="193">
        <f>ROUND((B52/(CE76+CF76)*AO76),0)</f>
        <v>0</v>
      </c>
      <c r="AP52" s="193">
        <f>ROUND((B52/(CE76+CF76)*AP76),0)</f>
        <v>0</v>
      </c>
      <c r="AQ52" s="193">
        <f>ROUND((B52/(CE76+CF76)*AQ76),0)</f>
        <v>0</v>
      </c>
      <c r="AR52" s="193">
        <f>ROUND((B52/(CE76+CF76)*AR76),0)</f>
        <v>0</v>
      </c>
      <c r="AS52" s="193">
        <f>ROUND((B52/(CE76+CF76)*AS76),0)</f>
        <v>0</v>
      </c>
      <c r="AT52" s="193">
        <f>ROUND((B52/(CE76+CF76)*AT76),0)</f>
        <v>0</v>
      </c>
      <c r="AU52" s="193">
        <f>ROUND((B52/(CE76+CF76)*AU76),0)</f>
        <v>0</v>
      </c>
      <c r="AV52" s="193">
        <f>ROUND((B52/(CE76+CF76)*AV76),0)</f>
        <v>0</v>
      </c>
      <c r="AW52" s="193">
        <f>ROUND((B52/(CE76+CF76)*AW76),0)</f>
        <v>0</v>
      </c>
      <c r="AX52" s="193">
        <f>ROUND((B52/(CE76+CF76)*AX76),0)</f>
        <v>0</v>
      </c>
      <c r="AY52" s="193">
        <f>ROUND((B52/(CE76+CF76)*AY76),0)</f>
        <v>0</v>
      </c>
      <c r="AZ52" s="193">
        <f>ROUND((B52/(CE76+CF76)*AZ76),0)</f>
        <v>0</v>
      </c>
      <c r="BA52" s="193">
        <f>ROUND((B52/(CE76+CF76)*BA76),0)</f>
        <v>0</v>
      </c>
      <c r="BB52" s="193">
        <f>ROUND((B52/(CE76+CF76)*BB76),0)</f>
        <v>0</v>
      </c>
      <c r="BC52" s="193">
        <f>ROUND((B52/(CE76+CF76)*BC76),0)</f>
        <v>0</v>
      </c>
      <c r="BD52" s="193">
        <f>ROUND((B52/(CE76+CF76)*BD76),0)</f>
        <v>0</v>
      </c>
      <c r="BE52" s="193">
        <f>ROUND((B52/(CE76+CF76)*BE76),0)</f>
        <v>0</v>
      </c>
      <c r="BF52" s="193">
        <f>ROUND((B52/(CE76+CF76)*BF76),0)</f>
        <v>0</v>
      </c>
      <c r="BG52" s="193">
        <f>ROUND((B52/(CE76+CF76)*BG76),0)</f>
        <v>0</v>
      </c>
      <c r="BH52" s="193">
        <f>ROUND((B52/(CE76+CF76)*BH76),0)</f>
        <v>0</v>
      </c>
      <c r="BI52" s="193">
        <f>ROUND((B52/(CE76+CF76)*BI76),0)</f>
        <v>0</v>
      </c>
      <c r="BJ52" s="193">
        <f>ROUND((B52/(CE76+CF76)*BJ76),0)</f>
        <v>0</v>
      </c>
      <c r="BK52" s="193">
        <f>ROUND((B52/(CE76+CF76)*BK76),0)</f>
        <v>0</v>
      </c>
      <c r="BL52" s="193">
        <f>ROUND((B52/(CE76+CF76)*BL76),0)</f>
        <v>0</v>
      </c>
      <c r="BM52" s="193">
        <f>ROUND((B52/(CE76+CF76)*BM76),0)</f>
        <v>0</v>
      </c>
      <c r="BN52" s="193">
        <f>ROUND((B52/(CE76+CF76)*BN76),0)</f>
        <v>0</v>
      </c>
      <c r="BO52" s="193">
        <f>ROUND((B52/(CE76+CF76)*BO76),0)</f>
        <v>0</v>
      </c>
      <c r="BP52" s="193">
        <f>ROUND((B52/(CE76+CF76)*BP76),0)</f>
        <v>0</v>
      </c>
      <c r="BQ52" s="193">
        <f>ROUND((B52/(CE76+CF76)*BQ76),0)</f>
        <v>0</v>
      </c>
      <c r="BR52" s="193">
        <f>ROUND((B52/(CE76+CF76)*BR76),0)</f>
        <v>0</v>
      </c>
      <c r="BS52" s="193">
        <f>ROUND((B52/(CE76+CF76)*BS76),0)</f>
        <v>0</v>
      </c>
      <c r="BT52" s="193">
        <f>ROUND((B52/(CE76+CF76)*BT76),0)</f>
        <v>0</v>
      </c>
      <c r="BU52" s="193">
        <f>ROUND((B52/(CE76+CF76)*BU76),0)</f>
        <v>0</v>
      </c>
      <c r="BV52" s="193">
        <f>ROUND((B52/(CE76+CF76)*BV76),0)</f>
        <v>0</v>
      </c>
      <c r="BW52" s="193">
        <f>ROUND((B52/(CE76+CF76)*BW76),0)</f>
        <v>0</v>
      </c>
      <c r="BX52" s="193">
        <f>ROUND((B52/(CE76+CF76)*BX76),0)</f>
        <v>0</v>
      </c>
      <c r="BY52" s="193">
        <f>ROUND((B52/(CE76+CF76)*BY76),0)</f>
        <v>0</v>
      </c>
      <c r="BZ52" s="193">
        <f>ROUND((B52/(CE76+CF76)*BZ76),0)</f>
        <v>0</v>
      </c>
      <c r="CA52" s="193">
        <f>ROUND((B52/(CE76+CF76)*CA76),0)</f>
        <v>0</v>
      </c>
      <c r="CB52" s="193">
        <f>ROUND((B52/(CE76+CF76)*CB76),0)</f>
        <v>0</v>
      </c>
      <c r="CC52" s="193">
        <f>ROUND((B52/(CE76+CF76)*CC76),0)</f>
        <v>0</v>
      </c>
      <c r="CD52" s="193"/>
      <c r="CE52" s="193">
        <f>SUM(C52:CD52)</f>
        <v>0</v>
      </c>
    </row>
    <row r="53" spans="1:84" ht="12.6" customHeight="1" x14ac:dyDescent="0.25">
      <c r="A53" s="175" t="s">
        <v>206</v>
      </c>
      <c r="B53" s="193">
        <f>B51+B52</f>
        <v>16180636</v>
      </c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</row>
    <row r="54" spans="1:84" ht="15.75" customHeight="1" x14ac:dyDescent="0.25">
      <c r="A54" s="175"/>
      <c r="B54" s="175"/>
      <c r="C54" s="189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" customHeight="1" x14ac:dyDescent="0.25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40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" customHeight="1" x14ac:dyDescent="0.25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" customHeight="1" x14ac:dyDescent="0.25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" customHeight="1" x14ac:dyDescent="0.25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38" t="s">
        <v>220</v>
      </c>
      <c r="S58" s="241" t="s">
        <v>221</v>
      </c>
      <c r="T58" s="241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1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1" t="s">
        <v>221</v>
      </c>
      <c r="AW58" s="241" t="s">
        <v>221</v>
      </c>
      <c r="AX58" s="241" t="s">
        <v>221</v>
      </c>
      <c r="AY58" s="170" t="s">
        <v>231</v>
      </c>
      <c r="AZ58" s="170" t="s">
        <v>231</v>
      </c>
      <c r="BA58" s="241" t="s">
        <v>221</v>
      </c>
      <c r="BB58" s="241" t="s">
        <v>221</v>
      </c>
      <c r="BC58" s="241" t="s">
        <v>221</v>
      </c>
      <c r="BD58" s="241" t="s">
        <v>221</v>
      </c>
      <c r="BE58" s="170" t="s">
        <v>232</v>
      </c>
      <c r="BF58" s="241" t="s">
        <v>221</v>
      </c>
      <c r="BG58" s="241" t="s">
        <v>221</v>
      </c>
      <c r="BH58" s="241" t="s">
        <v>221</v>
      </c>
      <c r="BI58" s="241" t="s">
        <v>221</v>
      </c>
      <c r="BJ58" s="241" t="s">
        <v>221</v>
      </c>
      <c r="BK58" s="241" t="s">
        <v>221</v>
      </c>
      <c r="BL58" s="241" t="s">
        <v>221</v>
      </c>
      <c r="BM58" s="241" t="s">
        <v>221</v>
      </c>
      <c r="BN58" s="241" t="s">
        <v>221</v>
      </c>
      <c r="BO58" s="241" t="s">
        <v>221</v>
      </c>
      <c r="BP58" s="241" t="s">
        <v>221</v>
      </c>
      <c r="BQ58" s="241" t="s">
        <v>221</v>
      </c>
      <c r="BR58" s="241" t="s">
        <v>221</v>
      </c>
      <c r="BS58" s="241" t="s">
        <v>221</v>
      </c>
      <c r="BT58" s="241" t="s">
        <v>221</v>
      </c>
      <c r="BU58" s="241" t="s">
        <v>221</v>
      </c>
      <c r="BV58" s="241" t="s">
        <v>221</v>
      </c>
      <c r="BW58" s="241" t="s">
        <v>221</v>
      </c>
      <c r="BX58" s="241" t="s">
        <v>221</v>
      </c>
      <c r="BY58" s="241" t="s">
        <v>221</v>
      </c>
      <c r="BZ58" s="241" t="s">
        <v>221</v>
      </c>
      <c r="CA58" s="241" t="s">
        <v>221</v>
      </c>
      <c r="CB58" s="241" t="s">
        <v>221</v>
      </c>
      <c r="CC58" s="241" t="s">
        <v>221</v>
      </c>
      <c r="CD58" s="241" t="s">
        <v>221</v>
      </c>
      <c r="CE58" s="241" t="s">
        <v>221</v>
      </c>
    </row>
    <row r="59" spans="1:84" ht="12.6" customHeight="1" x14ac:dyDescent="0.25">
      <c r="A59" s="171" t="s">
        <v>233</v>
      </c>
      <c r="B59" s="175"/>
      <c r="C59" s="295">
        <f>IF(ISERR(VLOOKUP(VALUE(C$44),'HL Data'!$D$44:$E$71,2,0)="TRUE"),0,VLOOKUP(VALUE(C$44),'HL Data'!$D$44:$E$71,2,0))-4985</f>
        <v>2509.88</v>
      </c>
      <c r="D59" s="295">
        <f>IF(ISERR(VLOOKUP(VALUE(D$44),'HL Data'!$D$44:$E$71,2,0)="TRUE"),0,VLOOKUP(VALUE(D$44),'HL Data'!$D$44:$E$71,2,0))</f>
        <v>0</v>
      </c>
      <c r="E59" s="295">
        <f>IF(ISERR(VLOOKUP(VALUE(E$44),'HL Data'!$D$44:$E$71,2,0)="TRUE"),0,VLOOKUP(VALUE(E$44),'HL Data'!$D$44:$E$71,2,0))+4985</f>
        <v>25617.919999999998</v>
      </c>
      <c r="F59" s="295">
        <f>IF(ISERR(VLOOKUP(VALUE(F$44),'HL Data'!$D$44:$E$71,2,0)="TRUE"),0,VLOOKUP(VALUE(F$44),'HL Data'!$D$44:$E$71,2,0))</f>
        <v>0</v>
      </c>
      <c r="G59" s="295">
        <f>IF(ISERR(VLOOKUP(VALUE(G$44),'HL Data'!$D$44:$E$71,2,0)="TRUE"),0,VLOOKUP(VALUE(G$44),'HL Data'!$D$44:$E$71,2,0))</f>
        <v>0</v>
      </c>
      <c r="H59" s="295">
        <f>IF(ISERR(VLOOKUP(VALUE(H$44),'HL Data'!$D$44:$E$71,2,0)="TRUE"),0,VLOOKUP(VALUE(H$44),'HL Data'!$D$44:$E$71,2,0))</f>
        <v>0</v>
      </c>
      <c r="I59" s="295">
        <f>IF(ISERR(VLOOKUP(VALUE(I$44),'HL Data'!$D$44:$E$71,2,0)="TRUE"),0,VLOOKUP(VALUE(I$44),'HL Data'!$D$44:$E$71,2,0))</f>
        <v>0</v>
      </c>
      <c r="J59" s="295">
        <v>1468</v>
      </c>
      <c r="K59" s="184">
        <f>IF(ISERR(VLOOKUP(VALUE(K$44),'HL Data'!$D$44:$E$71,2,0)="TRUE"),0,VLOOKUP(VALUE(K$44),'HL Data'!$D$44:$E$71,2,0))</f>
        <v>0</v>
      </c>
      <c r="L59" s="184">
        <f>IF(ISERR(VLOOKUP(VALUE(L$44),'HL Data'!$D$44:$E$71,2,0)="TRUE"),0,VLOOKUP(VALUE(L$44),'HL Data'!$D$44:$E$71,2,0))</f>
        <v>0</v>
      </c>
      <c r="M59" s="184">
        <f>IF(ISERR(VLOOKUP(VALUE(M$44),'HL Data'!$D$44:$E$71,2,0)="TRUE"),0,VLOOKUP(VALUE(M$44),'HL Data'!$D$44:$E$71,2,0))</f>
        <v>0</v>
      </c>
      <c r="N59" s="184">
        <f>IF(ISERR(VLOOKUP(VALUE(N$44),'HL Data'!$D$44:$E$71,2,0)="TRUE"),0,VLOOKUP(VALUE(N$44),'HL Data'!$D$44:$E$71,2,0))</f>
        <v>0</v>
      </c>
      <c r="O59" s="295">
        <f>IF(ISERR(VLOOKUP(VALUE(O$44),'HL Data'!$D$44:$E$71,2,0)="TRUE"),0,VLOOKUP(VALUE(O$44),'HL Data'!$D$44:$E$71,2,0))+3268</f>
        <v>3268</v>
      </c>
      <c r="P59" s="184">
        <f>IF(ISERR(VLOOKUP(VALUE(P$44),'HL Data'!$D$44:$E$71,2,0)="TRUE"),0,VLOOKUP(VALUE(P$44),'HL Data'!$D$44:$E$71,2,0))</f>
        <v>363206</v>
      </c>
      <c r="Q59" s="184">
        <f>IF(ISERR(VLOOKUP(VALUE(Q$44),'HL Data'!$D$44:$E$71,2,0)="TRUE"),0,VLOOKUP(VALUE(Q$44),'HL Data'!$D$44:$E$71,2,0))</f>
        <v>1201300</v>
      </c>
      <c r="R59" s="184">
        <f>IF(ISERR(VLOOKUP(VALUE(R$44),'HL Data'!$D$44:$E$71,2,0)="TRUE"),0,VLOOKUP(VALUE(R$44),'HL Data'!$D$44:$E$71,2,0))</f>
        <v>0</v>
      </c>
      <c r="S59" s="242"/>
      <c r="T59" s="242"/>
      <c r="U59" s="184">
        <f>IF(ISERR(VLOOKUP(VALUE(U$44),'HL Data'!$D$44:$E$71,2,0)="TRUE"),0,VLOOKUP(VALUE(U$44),'HL Data'!$D$44:$E$71,2,0))</f>
        <v>483562</v>
      </c>
      <c r="V59" s="184">
        <f>IF(ISERR(VLOOKUP(VALUE(V$44),'HL Data'!$D$44:$E$71,2,0)="TRUE"),0,VLOOKUP(VALUE(V$44),'HL Data'!$D$44:$E$71,2,0))</f>
        <v>0</v>
      </c>
      <c r="W59" s="184">
        <f>IF(ISERR(VLOOKUP(VALUE(W$44),'HL Data'!$D$44:$E$71,2,0)="TRUE"),0,VLOOKUP(VALUE(W$44),'HL Data'!$D$44:$E$71,2,0))</f>
        <v>2020</v>
      </c>
      <c r="X59" s="184">
        <f>IF(ISERR(VLOOKUP(VALUE(X$44),'HL Data'!$D$44:$E$71,2,0)="TRUE"),0,VLOOKUP(VALUE(X$44),'HL Data'!$D$44:$E$71,2,0))</f>
        <v>20162</v>
      </c>
      <c r="Y59" s="184">
        <f>IF(ISERR(VLOOKUP(VALUE(Y$44),'HL Data'!$D$44:$E$71,2,0)="TRUE"),0,VLOOKUP(VALUE(Y$44),'HL Data'!$D$44:$E$71,2,0))</f>
        <v>127450</v>
      </c>
      <c r="Z59" s="184">
        <f>IF(ISERR(VLOOKUP(VALUE(Z$44),'HL Data'!$D$44:$E$71,2,0)="TRUE"),0,VLOOKUP(VALUE(Z$44),'HL Data'!$D$44:$E$71,2,0))</f>
        <v>0</v>
      </c>
      <c r="AA59" s="184">
        <f>IF(ISERR(VLOOKUP(VALUE(AA$44),'HL Data'!$D$44:$E$71,2,0)="TRUE"),0,VLOOKUP(VALUE(AA$44),'HL Data'!$D$44:$E$71,2,0))</f>
        <v>1019</v>
      </c>
      <c r="AB59" s="242"/>
      <c r="AC59" s="184">
        <f>IF(ISERR(VLOOKUP(VALUE(AC$44),'HL Data'!$D$44:$E$71,2,0)="TRUE"),0,VLOOKUP(VALUE(AC$44),'HL Data'!$D$44:$E$71,2,0))</f>
        <v>45551</v>
      </c>
      <c r="AD59" s="184">
        <f>IF(ISERR(VLOOKUP(VALUE(AD$44),'HL Data'!$D$44:$E$71,2,0)="TRUE"),0,VLOOKUP(VALUE(AD$44),'HL Data'!$D$44:$E$71,2,0))</f>
        <v>27907</v>
      </c>
      <c r="AE59" s="184">
        <f>IF(ISERR(VLOOKUP(VALUE(AE$44),'HL Data'!$D$44:$E$71,2,0)="TRUE"),0,VLOOKUP(VALUE(AE$44),'HL Data'!$D$44:$E$71,2,0))</f>
        <v>10351</v>
      </c>
      <c r="AF59" s="184">
        <f>IF(ISERR(VLOOKUP(VALUE(AF$44),'HL Data'!$D$44:$E$71,2,0)="TRUE"),0,VLOOKUP(VALUE(AF$44),'HL Data'!$D$44:$E$71,2,0))</f>
        <v>0</v>
      </c>
      <c r="AG59" s="184">
        <f>IF(ISERR(VLOOKUP(VALUE(AG$44),'HL Data'!$D$44:$E$71,2,0)="TRUE"),0,VLOOKUP(VALUE(AG$44),'HL Data'!$D$44:$E$71,2,0))</f>
        <v>48162</v>
      </c>
      <c r="AH59" s="184">
        <f>IF(ISERR(VLOOKUP(VALUE(AH$44),'HL Data'!$D$44:$E$71,2,0)="TRUE"),0,VLOOKUP(VALUE(AH$44),'HL Data'!$D$44:$E$71,2,0))</f>
        <v>0</v>
      </c>
      <c r="AI59" s="184">
        <f>IF(ISERR(VLOOKUP(VALUE(AI$44),'HL Data'!$D$44:$E$71,2,0)="TRUE"),0,VLOOKUP(VALUE(AI$44),'HL Data'!$D$44:$E$71,2,0))</f>
        <v>0</v>
      </c>
      <c r="AJ59" s="184">
        <f>IF(ISERR(VLOOKUP(VALUE(AJ$44),'HL Data'!$D$44:$E$71,2,0)="TRUE"),0,VLOOKUP(VALUE(AJ$44),'HL Data'!$D$44:$E$71,2,0))+176848</f>
        <v>192070</v>
      </c>
      <c r="AK59" s="184">
        <f>IF(ISERR(VLOOKUP(VALUE(AK$44),'HL Data'!$D$44:$E$71,2,0)="TRUE"),0,VLOOKUP(VALUE(AK$44),'HL Data'!$D$44:$E$71,2,0))</f>
        <v>12154</v>
      </c>
      <c r="AL59" s="184">
        <f>IF(ISERR(VLOOKUP(VALUE(AL$44),'HL Data'!$D$44:$E$71,2,0)="TRUE"),0,VLOOKUP(VALUE(AL$44),'HL Data'!$D$44:$E$71,2,0))</f>
        <v>5046</v>
      </c>
      <c r="AM59" s="184">
        <f>IF(ISERR(VLOOKUP(VALUE(AM$44),'HL Data'!$D$44:$E$71,2,0)="TRUE"),0,VLOOKUP(VALUE(AM$44),'HL Data'!$D$44:$E$71,2,0))</f>
        <v>0</v>
      </c>
      <c r="AN59" s="184">
        <f>IF(ISERR(VLOOKUP(VALUE(AN$44),'HL Data'!$D$44:$E$71,2,0)="TRUE"),0,VLOOKUP(VALUE(AN$44),'HL Data'!$D$44:$E$71,2,0))</f>
        <v>0</v>
      </c>
      <c r="AO59" s="184">
        <f>IF(ISERR(VLOOKUP(VALUE(AO$44),'HL Data'!$D$44:$E$71,2,0)="TRUE"),0,VLOOKUP(VALUE(AO$44),'HL Data'!$D$44:$E$71,2,0))</f>
        <v>0</v>
      </c>
      <c r="AP59" s="184">
        <f>IF(ISERR(VLOOKUP(VALUE(AP$44),'HL Data'!$D$44:$E$71,2,0)="TRUE"),0,VLOOKUP(VALUE(AP$44),'HL Data'!$D$44:$E$71,2,0))</f>
        <v>0</v>
      </c>
      <c r="AQ59" s="184">
        <f>IF(ISERR(VLOOKUP(VALUE(AQ$44),'HL Data'!$D$44:$E$71,2,0)="TRUE"),0,VLOOKUP(VALUE(AQ$44),'HL Data'!$D$44:$E$71,2,0))</f>
        <v>0</v>
      </c>
      <c r="AR59" s="184">
        <f>IF(ISERR(VLOOKUP(VALUE(AR$44),'HL Data'!$D$44:$E$71,2,0)="TRUE"),0,VLOOKUP(VALUE(AR$44),'HL Data'!$D$44:$E$71,2,0))</f>
        <v>0</v>
      </c>
      <c r="AS59" s="184">
        <f>IF(ISERR(VLOOKUP(VALUE(AS$44),'HL Data'!$D$44:$E$71,2,0)="TRUE"),0,VLOOKUP(VALUE(AS$44),'HL Data'!$D$44:$E$71,2,0))</f>
        <v>0</v>
      </c>
      <c r="AT59" s="184">
        <f>IF(ISERR(VLOOKUP(VALUE(AT$44),'HL Data'!$D$44:$E$71,2,0)="TRUE"),0,VLOOKUP(VALUE(AT$44),'HL Data'!$D$44:$E$71,2,0))</f>
        <v>0</v>
      </c>
      <c r="AU59" s="184">
        <f>IF(ISERR(VLOOKUP(VALUE(AU$44),'HL Data'!$D$44:$E$71,2,0)="TRUE"),0,VLOOKUP(VALUE(AU$44),'HL Data'!$D$44:$E$71,2,0))</f>
        <v>0</v>
      </c>
      <c r="AV59" s="242"/>
      <c r="AW59" s="242"/>
      <c r="AX59" s="242"/>
      <c r="AY59" s="306">
        <v>134758</v>
      </c>
      <c r="AZ59" s="185">
        <v>186923</v>
      </c>
      <c r="BA59" s="242"/>
      <c r="BB59" s="242"/>
      <c r="BC59" s="242"/>
      <c r="BD59" s="242"/>
      <c r="BE59" s="185">
        <v>236716</v>
      </c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3"/>
      <c r="CE59" s="193"/>
    </row>
    <row r="60" spans="1:84" ht="12.6" customHeight="1" x14ac:dyDescent="0.25">
      <c r="A60" s="244" t="s">
        <v>234</v>
      </c>
      <c r="B60" s="175"/>
      <c r="C60" s="184">
        <f>IF(ISERR(VLOOKUP(VALUE(C$44),'HL Data'!$B$94:$E$126,4,0)="TRUE"),0,VLOOKUP(VALUE(C$44),'HL Data'!$B$94:$E$126,4,0))</f>
        <v>20.800836538461539</v>
      </c>
      <c r="D60" s="184">
        <f>IF(ISERR(VLOOKUP(VALUE(D$44),'HL Data'!$B$94:$E$126,4,0)="TRUE"),0,VLOOKUP(VALUE(D$44),'HL Data'!$B$94:$E$126,4,0))</f>
        <v>0</v>
      </c>
      <c r="E60" s="184">
        <f>IF(ISERR(VLOOKUP(VALUE(E$44),'HL Data'!$B$94:$E$126,4,0)="TRUE"),0,VLOOKUP(VALUE(E$44),'HL Data'!$B$94:$E$126,4,0))</f>
        <v>156.0341875</v>
      </c>
      <c r="F60" s="184">
        <f>IF(ISERR(VLOOKUP(VALUE(F$44),'HL Data'!$B$94:$E$126,4,0)="TRUE"),0,VLOOKUP(VALUE(F$44),'HL Data'!$B$94:$E$126,4,0))</f>
        <v>0</v>
      </c>
      <c r="G60" s="184">
        <f>IF(ISERR(VLOOKUP(VALUE(G$44),'HL Data'!$B$94:$E$126,4,0)="TRUE"),0,VLOOKUP(VALUE(G$44),'HL Data'!$B$94:$E$126,4,0))</f>
        <v>5.9495192307692304E-2</v>
      </c>
      <c r="H60" s="184">
        <f>IF(ISERR(VLOOKUP(VALUE(H$44),'HL Data'!$B$94:$E$126,4,0)="TRUE"),0,VLOOKUP(VALUE(H$44),'HL Data'!$B$94:$E$126,4,0))</f>
        <v>0</v>
      </c>
      <c r="I60" s="184">
        <f>IF(ISERR(VLOOKUP(VALUE(I$44),'HL Data'!$B$94:$E$126,4,0)="TRUE"),0,VLOOKUP(VALUE(I$44),'HL Data'!$B$94:$E$126,4,0))</f>
        <v>0</v>
      </c>
      <c r="J60" s="184">
        <f>IF(ISERR(VLOOKUP(VALUE(J$44),'HL Data'!$B$94:$E$126,4,0)="TRUE"),0,VLOOKUP(VALUE(J$44),'HL Data'!$B$94:$E$126,4,0))</f>
        <v>0</v>
      </c>
      <c r="K60" s="184">
        <f>IF(ISERR(VLOOKUP(VALUE(K$44),'HL Data'!$B$94:$E$126,4,0)="TRUE"),0,VLOOKUP(VALUE(K$44),'HL Data'!$B$94:$E$126,4,0))</f>
        <v>0</v>
      </c>
      <c r="L60" s="184">
        <f>IF(ISERR(VLOOKUP(VALUE(L$44),'HL Data'!$B$94:$E$126,4,0)="TRUE"),0,VLOOKUP(VALUE(L$44),'HL Data'!$B$94:$E$126,4,0))</f>
        <v>0</v>
      </c>
      <c r="M60" s="184">
        <f>IF(ISERR(VLOOKUP(VALUE(M$44),'HL Data'!$B$94:$E$126,4,0)="TRUE"),0,VLOOKUP(VALUE(M$44),'HL Data'!$B$94:$E$126,4,0))</f>
        <v>0</v>
      </c>
      <c r="N60" s="184">
        <f>IF(ISERR(VLOOKUP(VALUE(N$44),'HL Data'!$B$94:$E$126,4,0)="TRUE"),0,VLOOKUP(VALUE(N$44),'HL Data'!$B$94:$E$126,4,0))</f>
        <v>0</v>
      </c>
      <c r="O60" s="184">
        <f>IF(ISERR(VLOOKUP(VALUE(O$44),'HL Data'!$B$94:$E$126,4,0)="TRUE"),0,VLOOKUP(VALUE(O$44),'HL Data'!$B$94:$E$126,4,0))</f>
        <v>35.709432692307693</v>
      </c>
      <c r="P60" s="184">
        <f>IF(ISERR(VLOOKUP(VALUE(P$44),'HL Data'!$B$94:$E$126,4,0)="TRUE"),0,VLOOKUP(VALUE(P$44),'HL Data'!$B$94:$E$126,4,0))</f>
        <v>47.20476923076923</v>
      </c>
      <c r="Q60" s="184">
        <f>IF(ISERR(VLOOKUP(VALUE(Q$44),'HL Data'!$B$94:$E$126,4,0)="TRUE"),0,VLOOKUP(VALUE(Q$44),'HL Data'!$B$94:$E$126,4,0))</f>
        <v>17.778341346153844</v>
      </c>
      <c r="R60" s="184">
        <f>IF(ISERR(VLOOKUP(VALUE(R$44),'HL Data'!$B$94:$E$126,4,0)="TRUE"),0,VLOOKUP(VALUE(R$44),'HL Data'!$B$94:$E$126,4,0))</f>
        <v>0</v>
      </c>
      <c r="S60" s="184">
        <f>IF(ISERR(VLOOKUP(VALUE(S$44),'HL Data'!$B$94:$E$126,4,0)="TRUE"),0,VLOOKUP(VALUE(S$44),'HL Data'!$B$94:$E$126,4,0))</f>
        <v>16.770817307692308</v>
      </c>
      <c r="T60" s="184">
        <f>IF(ISERR(VLOOKUP(VALUE(T$44),'HL Data'!$B$94:$E$126,4,0)="TRUE"),0,VLOOKUP(VALUE(T$44),'HL Data'!$B$94:$E$126,4,0))</f>
        <v>1.4849855769230769</v>
      </c>
      <c r="U60" s="184">
        <f>IF(ISERR(VLOOKUP(VALUE(U$44),'HL Data'!$B$94:$E$126,4,0)="TRUE"),0,VLOOKUP(VALUE(U$44),'HL Data'!$B$94:$E$126,4,0))</f>
        <v>32.592927884615392</v>
      </c>
      <c r="V60" s="184">
        <f>IF(ISERR(VLOOKUP(VALUE(V$44),'HL Data'!$B$94:$E$126,4,0)="TRUE"),0,VLOOKUP(VALUE(V$44),'HL Data'!$B$94:$E$126,4,0))</f>
        <v>0</v>
      </c>
      <c r="W60" s="184">
        <f>IF(ISERR(VLOOKUP(VALUE(W$44),'HL Data'!$B$94:$E$126,4,0)="TRUE"),0,VLOOKUP(VALUE(W$44),'HL Data'!$B$94:$E$126,4,0))</f>
        <v>5.1723701923076923</v>
      </c>
      <c r="X60" s="184">
        <f>IF(ISERR(VLOOKUP(VALUE(X$44),'HL Data'!$B$94:$E$126,4,0)="TRUE"),0,VLOOKUP(VALUE(X$44),'HL Data'!$B$94:$E$126,4,0))</f>
        <v>7.8395576923076931</v>
      </c>
      <c r="Y60" s="184">
        <f>IF(ISERR(VLOOKUP(VALUE(Y$44),'HL Data'!$B$94:$E$126,4,0)="TRUE"),0,VLOOKUP(VALUE(Y$44),'HL Data'!$B$94:$E$126,4,0))</f>
        <v>30.160721153846151</v>
      </c>
      <c r="Z60" s="184">
        <f>IF(ISERR(VLOOKUP(VALUE(Z$44),'HL Data'!$B$94:$E$126,4,0)="TRUE"),0,VLOOKUP(VALUE(Z$44),'HL Data'!$B$94:$E$126,4,0))</f>
        <v>0</v>
      </c>
      <c r="AA60" s="184">
        <f>IF(ISERR(VLOOKUP(VALUE(AA$44),'HL Data'!$B$94:$E$126,4,0)="TRUE"),0,VLOOKUP(VALUE(AA$44),'HL Data'!$B$94:$E$126,4,0))</f>
        <v>2.5520336538461539</v>
      </c>
      <c r="AB60" s="184">
        <f>IF(ISERR(VLOOKUP(VALUE(AB$44),'HL Data'!$B$94:$E$126,4,0)="TRUE"),0,VLOOKUP(VALUE(AB$44),'HL Data'!$B$94:$E$126,4,0))</f>
        <v>29.216110576923079</v>
      </c>
      <c r="AC60" s="184">
        <f>IF(ISERR(VLOOKUP(VALUE(AC$44),'HL Data'!$B$94:$E$126,4,0)="TRUE"),0,VLOOKUP(VALUE(AC$44),'HL Data'!$B$94:$E$126,4,0))</f>
        <v>16.14376923076923</v>
      </c>
      <c r="AD60" s="184">
        <f>IF(ISERR(VLOOKUP(VALUE(AD$44),'HL Data'!$B$94:$E$126,4,0)="TRUE"),0,VLOOKUP(VALUE(AD$44),'HL Data'!$B$94:$E$126,4,0))</f>
        <v>0</v>
      </c>
      <c r="AE60" s="184">
        <f>IF(ISERR(VLOOKUP(VALUE(AE$44),'HL Data'!$B$94:$E$126,4,0)="TRUE"),0,VLOOKUP(VALUE(AE$44),'HL Data'!$B$94:$E$126,4,0))</f>
        <v>0</v>
      </c>
      <c r="AF60" s="184">
        <f>IF(ISERR(VLOOKUP(VALUE(AF$44),'HL Data'!$B$94:$E$126,4,0)="TRUE"),0,VLOOKUP(VALUE(AF$44),'HL Data'!$B$94:$E$126,4,0))</f>
        <v>0</v>
      </c>
      <c r="AG60" s="184">
        <f>IF(ISERR(VLOOKUP(VALUE(AG$44),'HL Data'!$B$94:$E$126,4,0)="TRUE"),0,VLOOKUP(VALUE(AG$44),'HL Data'!$B$94:$E$126,4,0))</f>
        <v>86.723725961538449</v>
      </c>
      <c r="AH60" s="184">
        <f>IF(ISERR(VLOOKUP(VALUE(AH$44),'HL Data'!$B$94:$E$126,4,0)="TRUE"),0,VLOOKUP(VALUE(AH$44),'HL Data'!$B$94:$E$126,4,0))</f>
        <v>0</v>
      </c>
      <c r="AI60" s="184">
        <f>IF(ISERR(VLOOKUP(VALUE(AI$44),'HL Data'!$B$94:$E$126,4,0)="TRUE"),0,VLOOKUP(VALUE(AI$44),'HL Data'!$B$94:$E$126,4,0))</f>
        <v>0</v>
      </c>
      <c r="AJ60" s="184">
        <f>IF(ISERR(VLOOKUP(VALUE(AJ$44),'HL Data'!$B$94:$E$126,4,0)="TRUE"),0,VLOOKUP(VALUE(AJ$44),'HL Data'!$B$94:$E$126,4,0))+'HL Data'!D135</f>
        <v>304.04029807692302</v>
      </c>
      <c r="AK60" s="184">
        <f>IF(ISERR(VLOOKUP(VALUE(AK$44),'HL Data'!$B$94:$E$126,4,0)="TRUE"),0,VLOOKUP(VALUE(AK$44),'HL Data'!$B$94:$E$126,4,0))</f>
        <v>3.7631923076923073</v>
      </c>
      <c r="AL60" s="184">
        <f>IF(ISERR(VLOOKUP(VALUE(AL$44),'HL Data'!$B$94:$E$126,4,0)="TRUE"),0,VLOOKUP(VALUE(AL$44),'HL Data'!$B$94:$E$126,4,0))</f>
        <v>2.2989182692307693</v>
      </c>
      <c r="AM60" s="184">
        <f>IF(ISERR(VLOOKUP(VALUE(AM$44),'HL Data'!$B$94:$E$126,4,0)="TRUE"),0,VLOOKUP(VALUE(AM$44),'HL Data'!$B$94:$E$126,4,0))</f>
        <v>0</v>
      </c>
      <c r="AN60" s="184">
        <f>IF(ISERR(VLOOKUP(VALUE(AN$44),'HL Data'!$B$94:$E$126,4,0)="TRUE"),0,VLOOKUP(VALUE(AN$44),'HL Data'!$B$94:$E$126,4,0))</f>
        <v>0</v>
      </c>
      <c r="AO60" s="184">
        <f>IF(ISERR(VLOOKUP(VALUE(AO$44),'HL Data'!$B$94:$E$126,4,0)="TRUE"),0,VLOOKUP(VALUE(AO$44),'HL Data'!$B$94:$E$126,4,0))</f>
        <v>0</v>
      </c>
      <c r="AP60" s="184">
        <f>IF(ISERR(VLOOKUP(VALUE(AP$44),'HL Data'!$B$94:$E$126,4,0)="TRUE"),0,VLOOKUP(VALUE(AP$44),'HL Data'!$B$94:$E$126,4,0))</f>
        <v>0</v>
      </c>
      <c r="AQ60" s="184">
        <f>IF(ISERR(VLOOKUP(VALUE(AQ$44),'HL Data'!$B$94:$E$126,4,0)="TRUE"),0,VLOOKUP(VALUE(AQ$44),'HL Data'!$B$94:$E$126,4,0))</f>
        <v>0</v>
      </c>
      <c r="AR60" s="184">
        <f>IF(ISERR(VLOOKUP(VALUE(AR$44),'HL Data'!$B$94:$E$126,4,0)="TRUE"),0,VLOOKUP(VALUE(AR$44),'HL Data'!$B$94:$E$126,4,0))</f>
        <v>0</v>
      </c>
      <c r="AS60" s="184">
        <f>IF(ISERR(VLOOKUP(VALUE(AS$44),'HL Data'!$B$94:$E$126,4,0)="TRUE"),0,VLOOKUP(VALUE(AS$44),'HL Data'!$B$94:$E$126,4,0))</f>
        <v>0</v>
      </c>
      <c r="AT60" s="184">
        <f>IF(ISERR(VLOOKUP(VALUE(AT$44),'HL Data'!$B$94:$E$126,4,0)="TRUE"),0,VLOOKUP(VALUE(AT$44),'HL Data'!$B$94:$E$126,4,0))</f>
        <v>0</v>
      </c>
      <c r="AU60" s="184">
        <f>IF(ISERR(VLOOKUP(VALUE(AU$44),'HL Data'!$B$94:$E$126,4,0)="TRUE"),0,VLOOKUP(VALUE(AU$44),'HL Data'!$B$94:$E$126,4,0))</f>
        <v>0</v>
      </c>
      <c r="AV60" s="184">
        <f>IF(ISERR(VLOOKUP(VALUE(AV$44),'HL Data'!$B$94:$E$126,4,0)="TRUE"),0,VLOOKUP(VALUE(AV$44),'HL Data'!$B$94:$E$126,4,0))</f>
        <v>0.89495673076923077</v>
      </c>
      <c r="AW60" s="184">
        <f>IF(ISERR(VLOOKUP(VALUE(AW$44),'HL Data'!$B$94:$E$126,4,0)="TRUE"),0,VLOOKUP(VALUE(AW$44),'HL Data'!$B$94:$E$126,4,0))</f>
        <v>5.2477836538461533</v>
      </c>
      <c r="AX60" s="184">
        <f>IF(ISERR(VLOOKUP(VALUE(AX$44),'HL Data'!$B$94:$E$126,4,0)="TRUE"),0,VLOOKUP(VALUE(AX$44),'HL Data'!$B$94:$E$126,4,0))</f>
        <v>0</v>
      </c>
      <c r="AY60" s="184">
        <f>IF(ISERR(VLOOKUP(VALUE(AY$44),'HL Data'!$B$94:$E$126,4,0)="TRUE"),0,VLOOKUP(VALUE(AY$44),'HL Data'!$B$94:$E$126,4,0))</f>
        <v>33.702788461538461</v>
      </c>
      <c r="AZ60" s="184">
        <f>IF(ISERR(VLOOKUP(VALUE(AZ$44),'HL Data'!$B$94:$E$126,4,0)="TRUE"),0,VLOOKUP(VALUE(AZ$44),'HL Data'!$B$94:$E$126,4,0))</f>
        <v>0</v>
      </c>
      <c r="BA60" s="184">
        <f>IF(ISERR(VLOOKUP(VALUE(BA$44),'HL Data'!$B$94:$E$126,4,0)="TRUE"),0,VLOOKUP(VALUE(BA$44),'HL Data'!$B$94:$E$126,4,0))</f>
        <v>0</v>
      </c>
      <c r="BB60" s="184">
        <f>IF(ISERR(VLOOKUP(VALUE(BB$44),'HL Data'!$B$94:$E$126,4,0)="TRUE"),0,VLOOKUP(VALUE(BB$44),'HL Data'!$B$94:$E$126,4,0))</f>
        <v>0</v>
      </c>
      <c r="BC60" s="184">
        <f>IF(ISERR(VLOOKUP(VALUE(BC$44),'HL Data'!$B$94:$E$126,4,0)="TRUE"),0,VLOOKUP(VALUE(BC$44),'HL Data'!$B$94:$E$126,4,0))</f>
        <v>0</v>
      </c>
      <c r="BD60" s="184">
        <f>IF(ISERR(VLOOKUP(VALUE(BD$44),'HL Data'!$B$94:$E$126,4,0)="TRUE"),0,VLOOKUP(VALUE(BD$44),'HL Data'!$B$94:$E$126,4,0))</f>
        <v>0</v>
      </c>
      <c r="BE60" s="184">
        <f>IF(ISERR(VLOOKUP(VALUE(BE$44),'HL Data'!$B$94:$E$126,4,0)="TRUE"),0,VLOOKUP(VALUE(BE$44),'HL Data'!$B$94:$E$126,4,0))</f>
        <v>8.7885480769230764</v>
      </c>
      <c r="BF60" s="184">
        <f>IF(ISERR(VLOOKUP(VALUE(BF$44),'HL Data'!$B$94:$E$126,4,0)="TRUE"),0,VLOOKUP(VALUE(BF$44),'HL Data'!$B$94:$E$126,4,0))</f>
        <v>32.595120192307697</v>
      </c>
      <c r="BG60" s="184">
        <f>IF(ISERR(VLOOKUP(VALUE(BG$44),'HL Data'!$B$94:$E$126,4,0)="TRUE"),0,VLOOKUP(VALUE(BG$44),'HL Data'!$B$94:$E$126,4,0))</f>
        <v>0</v>
      </c>
      <c r="BH60" s="184">
        <f>IF(ISERR(VLOOKUP(VALUE(BH$44),'HL Data'!$B$94:$E$126,4,0)="TRUE"),0,VLOOKUP(VALUE(BH$44),'HL Data'!$B$94:$E$126,4,0))</f>
        <v>0</v>
      </c>
      <c r="BI60" s="184">
        <f>IF(ISERR(VLOOKUP(VALUE(BI$44),'HL Data'!$B$94:$E$126,4,0)="TRUE"),0,VLOOKUP(VALUE(BI$44),'HL Data'!$B$94:$E$126,4,0))</f>
        <v>0</v>
      </c>
      <c r="BJ60" s="184">
        <f>IF(ISERR(VLOOKUP(VALUE(BJ$44),'HL Data'!$B$94:$E$126,4,0)="TRUE"),0,VLOOKUP(VALUE(BJ$44),'HL Data'!$B$94:$E$126,4,0))</f>
        <v>0</v>
      </c>
      <c r="BK60" s="184">
        <f>IF(ISERR(VLOOKUP(VALUE(BK$44),'HL Data'!$B$94:$E$126,4,0)="TRUE"),0,VLOOKUP(VALUE(BK$44),'HL Data'!$B$94:$E$126,4,0))</f>
        <v>1.5625000000000001E-3</v>
      </c>
      <c r="BL60" s="184">
        <f>IF(ISERR(VLOOKUP(VALUE(BL$44),'HL Data'!$B$94:$E$126,4,0)="TRUE"),0,VLOOKUP(VALUE(BL$44),'HL Data'!$B$94:$E$126,4,0))</f>
        <v>1.8461538461538463</v>
      </c>
      <c r="BM60" s="184">
        <f>IF(ISERR(VLOOKUP(VALUE(BM$44),'HL Data'!$B$94:$E$126,4,0)="TRUE"),0,VLOOKUP(VALUE(BM$44),'HL Data'!$B$94:$E$126,4,0))</f>
        <v>0</v>
      </c>
      <c r="BN60" s="184">
        <f>IF(ISERR(VLOOKUP(VALUE(BN$44),'HL Data'!$B$94:$E$126,4,0)="TRUE"),0,VLOOKUP(VALUE(BN$44),'HL Data'!$B$94:$E$126,4,0))</f>
        <v>16.26594230769231</v>
      </c>
      <c r="BO60" s="184">
        <f>IF(ISERR(VLOOKUP(VALUE(BO$44),'HL Data'!$B$94:$E$126,4,0)="TRUE"),0,VLOOKUP(VALUE(BO$44),'HL Data'!$B$94:$E$126,4,0))</f>
        <v>5.6130096153846161</v>
      </c>
      <c r="BP60" s="184">
        <f>IF(ISERR(VLOOKUP(VALUE(BP$44),'HL Data'!$B$94:$E$126,4,0)="TRUE"),0,VLOOKUP(VALUE(BP$44),'HL Data'!$B$94:$E$126,4,0))</f>
        <v>0</v>
      </c>
      <c r="BQ60" s="184">
        <f>IF(ISERR(VLOOKUP(VALUE(BQ$44),'HL Data'!$B$94:$E$126,4,0)="TRUE"),0,VLOOKUP(VALUE(BQ$44),'HL Data'!$B$94:$E$126,4,0))</f>
        <v>0</v>
      </c>
      <c r="BR60" s="184">
        <f>IF(ISERR(VLOOKUP(VALUE(BR$44),'HL Data'!$B$94:$E$126,4,0)="TRUE"),0,VLOOKUP(VALUE(BR$44),'HL Data'!$B$94:$E$126,4,0))</f>
        <v>2.2056923076923072</v>
      </c>
      <c r="BS60" s="184">
        <f>IF(ISERR(VLOOKUP(VALUE(BS$44),'HL Data'!$B$94:$E$126,4,0)="TRUE"),0,VLOOKUP(VALUE(BS$44),'HL Data'!$B$94:$E$126,4,0))</f>
        <v>0.32836538461538461</v>
      </c>
      <c r="BT60" s="184">
        <f>IF(ISERR(VLOOKUP(VALUE(BT$44),'HL Data'!$B$94:$E$126,4,0)="TRUE"),0,VLOOKUP(VALUE(BT$44),'HL Data'!$B$94:$E$126,4,0))</f>
        <v>0</v>
      </c>
      <c r="BU60" s="184">
        <f>IF(ISERR(VLOOKUP(VALUE(BU$44),'HL Data'!$B$94:$E$126,4,0)="TRUE"),0,VLOOKUP(VALUE(BU$44),'HL Data'!$B$94:$E$126,4,0))</f>
        <v>0</v>
      </c>
      <c r="BV60" s="184">
        <f>IF(ISERR(VLOOKUP(VALUE(BV$44),'HL Data'!$B$94:$E$126,4,0)="TRUE"),0,VLOOKUP(VALUE(BV$44),'HL Data'!$B$94:$E$126,4,0))</f>
        <v>0</v>
      </c>
      <c r="BW60" s="184">
        <f>IF(ISERR(VLOOKUP(VALUE(BW$44),'HL Data'!$B$94:$E$126,4,0)="TRUE"),0,VLOOKUP(VALUE(BW$44),'HL Data'!$B$94:$E$126,4,0))</f>
        <v>0.8671875</v>
      </c>
      <c r="BX60" s="184">
        <f>IF(ISERR(VLOOKUP(VALUE(BX$44),'HL Data'!$B$94:$E$126,4,0)="TRUE"),0,VLOOKUP(VALUE(BX$44),'HL Data'!$B$94:$E$126,4,0))</f>
        <v>0</v>
      </c>
      <c r="BY60" s="184">
        <f>IF(ISERR(VLOOKUP(VALUE(BY$44),'HL Data'!$B$94:$E$126,4,0)="TRUE"),0,VLOOKUP(VALUE(BY$44),'HL Data'!$B$94:$E$126,4,0))</f>
        <v>15.20589903846154</v>
      </c>
      <c r="BZ60" s="184">
        <f>IF(ISERR(VLOOKUP(VALUE(BZ$44),'HL Data'!$B$94:$E$126,4,0)="TRUE"),0,VLOOKUP(VALUE(BZ$44),'HL Data'!$B$94:$E$126,4,0))</f>
        <v>0</v>
      </c>
      <c r="CA60" s="184">
        <f>IF(ISERR(VLOOKUP(VALUE(CA$44),'HL Data'!$B$94:$E$126,4,0)="TRUE"),0,VLOOKUP(VALUE(CA$44),'HL Data'!$B$94:$E$126,4,0))</f>
        <v>0</v>
      </c>
      <c r="CB60" s="184">
        <f>IF(ISERR(VLOOKUP(VALUE(CB$44),'HL Data'!$B$94:$E$126,4,0)="TRUE"),0,VLOOKUP(VALUE(CB$44),'HL Data'!$B$94:$E$126,4,0))</f>
        <v>0</v>
      </c>
      <c r="CC60" s="184">
        <f>IF(ISERR(VLOOKUP(VALUE(CC$44),'HL Data'!$B$94:$E$126,4,0)="TRUE"),0,VLOOKUP(VALUE(CC$44),'HL Data'!$B$94:$E$126,4,0))</f>
        <v>3.6357355769230768</v>
      </c>
      <c r="CD60" s="243" t="s">
        <v>221</v>
      </c>
      <c r="CE60" s="245">
        <f t="shared" ref="CE60:CE70" si="0">SUM(C60:CD60)</f>
        <v>943.54523557692278</v>
      </c>
    </row>
    <row r="61" spans="1:84" ht="12.6" customHeight="1" x14ac:dyDescent="0.25">
      <c r="A61" s="171" t="s">
        <v>235</v>
      </c>
      <c r="B61" s="175"/>
      <c r="C61" s="184">
        <f>IF(ISERR(VLOOKUP(VALUE(C$44),'HL Data'!$G$2:$L$51,6,0)="TRUE"),0,VLOOKUP(VALUE(C$44),'HL Data'!$G$2:$L$51,6,0))-1</f>
        <v>2832269.6999999997</v>
      </c>
      <c r="D61" s="184">
        <f>IF(ISERR(VLOOKUP(VALUE(D$44),'HL Data'!$G$2:$L$51,6,0)="TRUE"),0,VLOOKUP(VALUE(D$44),'HL Data'!$G$2:$L$51,6,0))</f>
        <v>0</v>
      </c>
      <c r="E61" s="184">
        <f>IF(ISERR(VLOOKUP(VALUE(E$44),'HL Data'!$G$2:$L$51,6,0)="TRUE"),0,VLOOKUP(VALUE(E$44),'HL Data'!$G$2:$L$51,6,0))</f>
        <v>13898477.290000001</v>
      </c>
      <c r="F61" s="184">
        <f>IF(ISERR(VLOOKUP(VALUE(F$44),'HL Data'!$G$2:$L$51,6,0)="TRUE"),0,VLOOKUP(VALUE(F$44),'HL Data'!$G$2:$L$51,6,0))</f>
        <v>0</v>
      </c>
      <c r="G61" s="184">
        <f>IF(ISERR(VLOOKUP(VALUE(G$44),'HL Data'!$G$2:$L$51,6,0)="TRUE"),0,VLOOKUP(VALUE(G$44),'HL Data'!$G$2:$L$51,6,0))</f>
        <v>-690.53999999999951</v>
      </c>
      <c r="H61" s="184">
        <f>IF(ISERR(VLOOKUP(VALUE(H$44),'HL Data'!$G$2:$L$51,6,0)="TRUE"),0,VLOOKUP(VALUE(H$44),'HL Data'!$G$2:$L$51,6,0))</f>
        <v>0</v>
      </c>
      <c r="I61" s="184">
        <f>IF(ISERR(VLOOKUP(VALUE(I$44),'HL Data'!$G$2:$L$51,6,0)="TRUE"),0,VLOOKUP(VALUE(I$44),'HL Data'!$G$2:$L$51,6,0))</f>
        <v>0</v>
      </c>
      <c r="J61" s="184">
        <f>IF(ISERR(VLOOKUP(VALUE(J$44),'HL Data'!$G$2:$L$51,6,0)="TRUE"),0,VLOOKUP(VALUE(J$44),'HL Data'!$G$2:$L$51,6,0))</f>
        <v>0</v>
      </c>
      <c r="K61" s="184">
        <f>IF(ISERR(VLOOKUP(VALUE(K$44),'HL Data'!$G$2:$L$51,6,0)="TRUE"),0,VLOOKUP(VALUE(K$44),'HL Data'!$G$2:$L$51,6,0))</f>
        <v>0</v>
      </c>
      <c r="L61" s="184">
        <f>IF(ISERR(VLOOKUP(VALUE(L$44),'HL Data'!$G$2:$L$51,6,0)="TRUE"),0,VLOOKUP(VALUE(L$44),'HL Data'!$G$2:$L$51,6,0))</f>
        <v>0</v>
      </c>
      <c r="M61" s="184">
        <f>IF(ISERR(VLOOKUP(VALUE(M$44),'HL Data'!$G$2:$L$51,6,0)="TRUE"),0,VLOOKUP(VALUE(M$44),'HL Data'!$G$2:$L$51,6,0))</f>
        <v>0</v>
      </c>
      <c r="N61" s="184">
        <f>IF(ISERR(VLOOKUP(VALUE(N$44),'HL Data'!$G$2:$L$51,6,0)="TRUE"),0,VLOOKUP(VALUE(N$44),'HL Data'!$G$2:$L$51,6,0))</f>
        <v>0</v>
      </c>
      <c r="O61" s="184">
        <f>IF(ISERR(VLOOKUP(VALUE(O$44),'HL Data'!$G$2:$L$51,6,0)="TRUE"),0,VLOOKUP(VALUE(O$44),'HL Data'!$G$2:$L$51,6,0))</f>
        <v>3475973.1100000003</v>
      </c>
      <c r="P61" s="184">
        <f>IF(ISERR(VLOOKUP(VALUE(P$44),'HL Data'!$G$2:$L$51,6,0)="TRUE"),0,VLOOKUP(VALUE(P$44),'HL Data'!$G$2:$L$51,6,0))</f>
        <v>6111931.3699999992</v>
      </c>
      <c r="Q61" s="184">
        <f>IF(ISERR(VLOOKUP(VALUE(Q$44),'HL Data'!$G$2:$L$51,6,0)="TRUE"),0,VLOOKUP(VALUE(Q$44),'HL Data'!$G$2:$L$51,6,0))</f>
        <v>2066586.0900000003</v>
      </c>
      <c r="R61" s="184">
        <f>IF(ISERR(VLOOKUP(VALUE(R$44),'HL Data'!$G$2:$L$51,6,0)="TRUE"),0,VLOOKUP(VALUE(R$44),'HL Data'!$G$2:$L$51,6,0))</f>
        <v>0</v>
      </c>
      <c r="S61" s="184">
        <f>IF(ISERR(VLOOKUP(VALUE(S$44),'HL Data'!$G$2:$L$51,6,0)="TRUE"),0,VLOOKUP(VALUE(S$44),'HL Data'!$G$2:$L$51,6,0))</f>
        <v>837067.28</v>
      </c>
      <c r="T61" s="184">
        <f>IF(ISERR(VLOOKUP(VALUE(T$44),'HL Data'!$G$2:$L$51,6,0)="TRUE"),0,VLOOKUP(VALUE(T$44),'HL Data'!$G$2:$L$51,6,0))</f>
        <v>133910.63</v>
      </c>
      <c r="U61" s="184">
        <f>IF(ISERR(VLOOKUP(VALUE(U$44),'HL Data'!$G$2:$L$51,6,0)="TRUE"),0,VLOOKUP(VALUE(U$44),'HL Data'!$G$2:$L$51,6,0))</f>
        <v>2279326.8800000004</v>
      </c>
      <c r="V61" s="184">
        <f>IF(ISERR(VLOOKUP(VALUE(V$44),'HL Data'!$G$2:$L$51,6,0)="TRUE"),0,VLOOKUP(VALUE(V$44),'HL Data'!$G$2:$L$51,6,0))</f>
        <v>0</v>
      </c>
      <c r="W61" s="184">
        <f>IF(ISERR(VLOOKUP(VALUE(W$44),'HL Data'!$G$2:$L$51,6,0)="TRUE"),0,VLOOKUP(VALUE(W$44),'HL Data'!$G$2:$L$51,6,0))</f>
        <v>634851.31999999995</v>
      </c>
      <c r="X61" s="184">
        <f>IF(ISERR(VLOOKUP(VALUE(X$44),'HL Data'!$G$2:$L$51,6,0)="TRUE"),0,VLOOKUP(VALUE(X$44),'HL Data'!$G$2:$L$51,6,0))</f>
        <v>759564.31</v>
      </c>
      <c r="Y61" s="184">
        <f>IF(ISERR(VLOOKUP(VALUE(Y$44),'HL Data'!$G$2:$L$51,6,0)="TRUE"),0,VLOOKUP(VALUE(Y$44),'HL Data'!$G$2:$L$51,6,0))</f>
        <v>2763165.84</v>
      </c>
      <c r="Z61" s="184">
        <f>IF(ISERR(VLOOKUP(VALUE(Z$44),'HL Data'!$G$2:$L$51,6,0)="TRUE"),0,VLOOKUP(VALUE(Z$44),'HL Data'!$G$2:$L$51,6,0))</f>
        <v>0</v>
      </c>
      <c r="AA61" s="184">
        <f>IF(ISERR(VLOOKUP(VALUE(AA$44),'HL Data'!$G$2:$L$51,6,0)="TRUE"),0,VLOOKUP(VALUE(AA$44),'HL Data'!$G$2:$L$51,6,0))</f>
        <v>255041.04</v>
      </c>
      <c r="AB61" s="184">
        <f>IF(ISERR(VLOOKUP(VALUE(AB$44),'HL Data'!$G$2:$L$51,6,0)="TRUE"),0,VLOOKUP(VALUE(AB$44),'HL Data'!$G$2:$L$51,6,0))</f>
        <v>3128680.67</v>
      </c>
      <c r="AC61" s="184">
        <f>IF(ISERR(VLOOKUP(VALUE(AC$44),'HL Data'!$G$2:$L$51,6,0)="TRUE"),0,VLOOKUP(VALUE(AC$44),'HL Data'!$G$2:$L$51,6,0))</f>
        <v>1409137.5599999998</v>
      </c>
      <c r="AD61" s="184">
        <f>IF(ISERR(VLOOKUP(VALUE(AD$44),'HL Data'!$G$2:$L$51,6,0)="TRUE"),0,VLOOKUP(VALUE(AD$44),'HL Data'!$G$2:$L$51,6,0))</f>
        <v>0</v>
      </c>
      <c r="AE61" s="184">
        <f>IF(ISERR(VLOOKUP(VALUE(AE$44),'HL Data'!$G$2:$L$51,6,0)="TRUE"),0,VLOOKUP(VALUE(AE$44),'HL Data'!$G$2:$L$51,6,0))</f>
        <v>0</v>
      </c>
      <c r="AF61" s="184">
        <f>IF(ISERR(VLOOKUP(VALUE(AF$44),'HL Data'!$G$2:$L$51,6,0)="TRUE"),0,VLOOKUP(VALUE(AF$44),'HL Data'!$G$2:$L$51,6,0))</f>
        <v>0</v>
      </c>
      <c r="AG61" s="184">
        <f>IF(ISERR(VLOOKUP(VALUE(AG$44),'HL Data'!$G$2:$L$51,6,0)="TRUE"),0,VLOOKUP(VALUE(AG$44),'HL Data'!$G$2:$L$51,6,0))</f>
        <v>8344805.2399999993</v>
      </c>
      <c r="AH61" s="184">
        <f>IF(ISERR(VLOOKUP(VALUE(AH$44),'HL Data'!$G$2:$L$51,6,0)="TRUE"),0,VLOOKUP(VALUE(AH$44),'HL Data'!$G$2:$L$51,6,0))</f>
        <v>0</v>
      </c>
      <c r="AI61" s="184">
        <f>IF(ISERR(VLOOKUP(VALUE(AI$44),'HL Data'!$G$2:$L$51,6,0)="TRUE"),0,VLOOKUP(VALUE(AI$44),'HL Data'!$G$2:$L$51,6,0))</f>
        <v>0</v>
      </c>
      <c r="AJ61" s="184">
        <f>IF(ISERR(VLOOKUP(VALUE(AJ$44),'HL Data'!$G$2:$L$51,6,0)="TRUE"),0,VLOOKUP(VALUE(AJ$44),'HL Data'!$G$2:$L$51,6,0))</f>
        <v>29186891.979999997</v>
      </c>
      <c r="AK61" s="184">
        <f>IF(ISERR(VLOOKUP(VALUE(AK$44),'HL Data'!$G$2:$L$51,6,0)="TRUE"),0,VLOOKUP(VALUE(AK$44),'HL Data'!$G$2:$L$51,6,0))</f>
        <v>276647.81000000006</v>
      </c>
      <c r="AL61" s="184">
        <f>IF(ISERR(VLOOKUP(VALUE(AL$44),'HL Data'!$G$2:$L$51,6,0)="TRUE"),0,VLOOKUP(VALUE(AL$44),'HL Data'!$G$2:$L$51,6,0))</f>
        <v>224471.38999999996</v>
      </c>
      <c r="AM61" s="184">
        <f>IF(ISERR(VLOOKUP(VALUE(AM$44),'HL Data'!$G$2:$L$51,6,0)="TRUE"),0,VLOOKUP(VALUE(AM$44),'HL Data'!$G$2:$L$51,6,0))</f>
        <v>0</v>
      </c>
      <c r="AN61" s="184">
        <f>IF(ISERR(VLOOKUP(VALUE(AN$44),'HL Data'!$G$2:$L$51,6,0)="TRUE"),0,VLOOKUP(VALUE(AN$44),'HL Data'!$G$2:$L$51,6,0))</f>
        <v>0</v>
      </c>
      <c r="AO61" s="184">
        <f>IF(ISERR(VLOOKUP(VALUE(AO$44),'HL Data'!$G$2:$L$51,6,0)="TRUE"),0,VLOOKUP(VALUE(AO$44),'HL Data'!$G$2:$L$51,6,0))</f>
        <v>0</v>
      </c>
      <c r="AP61" s="184">
        <f>IF(ISERR(VLOOKUP(VALUE(AP$44),'HL Data'!$G$2:$L$51,6,0)="TRUE"),0,VLOOKUP(VALUE(AP$44),'HL Data'!$G$2:$L$51,6,0))</f>
        <v>932.82</v>
      </c>
      <c r="AQ61" s="184">
        <f>IF(ISERR(VLOOKUP(VALUE(AQ$44),'HL Data'!$G$2:$L$51,6,0)="TRUE"),0,VLOOKUP(VALUE(AQ$44),'HL Data'!$G$2:$L$51,6,0))</f>
        <v>0</v>
      </c>
      <c r="AR61" s="184">
        <f>IF(ISERR(VLOOKUP(VALUE(AR$44),'HL Data'!$G$2:$L$51,6,0)="TRUE"),0,VLOOKUP(VALUE(AR$44),'HL Data'!$G$2:$L$51,6,0))</f>
        <v>0</v>
      </c>
      <c r="AS61" s="184">
        <f>IF(ISERR(VLOOKUP(VALUE(AS$44),'HL Data'!$G$2:$L$51,6,0)="TRUE"),0,VLOOKUP(VALUE(AS$44),'HL Data'!$G$2:$L$51,6,0))</f>
        <v>0</v>
      </c>
      <c r="AT61" s="184">
        <f>IF(ISERR(VLOOKUP(VALUE(AT$44),'HL Data'!$G$2:$L$51,6,0)="TRUE"),0,VLOOKUP(VALUE(AT$44),'HL Data'!$G$2:$L$51,6,0))</f>
        <v>0</v>
      </c>
      <c r="AU61" s="184">
        <f>IF(ISERR(VLOOKUP(VALUE(AU$44),'HL Data'!$G$2:$L$51,6,0)="TRUE"),0,VLOOKUP(VALUE(AU$44),'HL Data'!$G$2:$L$51,6,0))</f>
        <v>0</v>
      </c>
      <c r="AV61" s="184">
        <f>IF(ISERR(VLOOKUP(VALUE(AV$44),'HL Data'!$G$2:$L$51,6,0)="TRUE"),0,VLOOKUP(VALUE(AV$44),'HL Data'!$G$2:$L$51,6,0))</f>
        <v>111631.29000000001</v>
      </c>
      <c r="AW61" s="184">
        <f>IF(ISERR(VLOOKUP(VALUE(AW$44),'HL Data'!$G$2:$L$51,6,0)="TRUE"),0,VLOOKUP(VALUE(AW$44),'HL Data'!$G$2:$L$51,6,0))</f>
        <v>564164.15000000014</v>
      </c>
      <c r="AX61" s="184">
        <f>IF(ISERR(VLOOKUP(VALUE(AX$44),'HL Data'!$G$2:$L$51,6,0)="TRUE"),0,VLOOKUP(VALUE(AX$44),'HL Data'!$G$2:$L$51,6,0))</f>
        <v>0</v>
      </c>
      <c r="AY61" s="184">
        <f>IF(ISERR(VLOOKUP(VALUE(AY$44),'HL Data'!$G$2:$L$51,6,0)="TRUE"),0,VLOOKUP(VALUE(AY$44),'HL Data'!$G$2:$L$51,6,0))</f>
        <v>1630504.31</v>
      </c>
      <c r="AZ61" s="184">
        <f>IF(ISERR(VLOOKUP(VALUE(AZ$44),'HL Data'!$G$2:$L$51,6,0)="TRUE"),0,VLOOKUP(VALUE(AZ$44),'HL Data'!$G$2:$L$51,6,0))</f>
        <v>0</v>
      </c>
      <c r="BA61" s="184">
        <f>IF(ISERR(VLOOKUP(VALUE(BA$44),'HL Data'!$G$2:$L$51,6,0)="TRUE"),0,VLOOKUP(VALUE(BA$44),'HL Data'!$G$2:$L$51,6,0))</f>
        <v>0</v>
      </c>
      <c r="BB61" s="184">
        <f>IF(ISERR(VLOOKUP(VALUE(BB$44),'HL Data'!$G$2:$L$51,6,0)="TRUE"),0,VLOOKUP(VALUE(BB$44),'HL Data'!$G$2:$L$51,6,0))</f>
        <v>0</v>
      </c>
      <c r="BC61" s="184">
        <f>IF(ISERR(VLOOKUP(VALUE(BC$44),'HL Data'!$G$2:$L$51,6,0)="TRUE"),0,VLOOKUP(VALUE(BC$44),'HL Data'!$G$2:$L$51,6,0))</f>
        <v>0</v>
      </c>
      <c r="BD61" s="184">
        <f>IF(ISERR(VLOOKUP(VALUE(BD$44),'HL Data'!$G$2:$L$51,6,0)="TRUE"),0,VLOOKUP(VALUE(BD$44),'HL Data'!$G$2:$L$51,6,0))</f>
        <v>0</v>
      </c>
      <c r="BE61" s="184">
        <f>IF(ISERR(VLOOKUP(VALUE(BE$44),'HL Data'!$G$2:$L$51,6,0)="TRUE"),0,VLOOKUP(VALUE(BE$44),'HL Data'!$G$2:$L$51,6,0))</f>
        <v>575706.42999999993</v>
      </c>
      <c r="BF61" s="184">
        <f>IF(ISERR(VLOOKUP(VALUE(BF$44),'HL Data'!$G$2:$L$51,6,0)="TRUE"),0,VLOOKUP(VALUE(BF$44),'HL Data'!$G$2:$L$51,6,0))</f>
        <v>1987284.8699999996</v>
      </c>
      <c r="BG61" s="184">
        <f>IF(ISERR(VLOOKUP(VALUE(BG$44),'HL Data'!$G$2:$L$51,6,0)="TRUE"),0,VLOOKUP(VALUE(BG$44),'HL Data'!$G$2:$L$51,6,0))</f>
        <v>0</v>
      </c>
      <c r="BH61" s="184">
        <f>IF(ISERR(VLOOKUP(VALUE(BH$44),'HL Data'!$G$2:$L$51,6,0)="TRUE"),0,VLOOKUP(VALUE(BH$44),'HL Data'!$G$2:$L$51,6,0))</f>
        <v>0</v>
      </c>
      <c r="BI61" s="184">
        <f>IF(ISERR(VLOOKUP(VALUE(BI$44),'HL Data'!$G$2:$L$51,6,0)="TRUE"),0,VLOOKUP(VALUE(BI$44),'HL Data'!$G$2:$L$51,6,0))</f>
        <v>0</v>
      </c>
      <c r="BJ61" s="184">
        <f>IF(ISERR(VLOOKUP(VALUE(BJ$44),'HL Data'!$G$2:$L$51,6,0)="TRUE"),0,VLOOKUP(VALUE(BJ$44),'HL Data'!$G$2:$L$51,6,0))</f>
        <v>0</v>
      </c>
      <c r="BK61" s="184">
        <f>IF(ISERR(VLOOKUP(VALUE(BK$44),'HL Data'!$G$2:$L$51,6,0)="TRUE"),0,VLOOKUP(VALUE(BK$44),'HL Data'!$G$2:$L$51,6,0))</f>
        <v>152.98000000000002</v>
      </c>
      <c r="BL61" s="184">
        <f>IF(ISERR(VLOOKUP(VALUE(BL$44),'HL Data'!$G$2:$L$51,6,0)="TRUE"),0,VLOOKUP(VALUE(BL$44),'HL Data'!$G$2:$L$51,6,0))</f>
        <v>83980.800000000003</v>
      </c>
      <c r="BM61" s="184">
        <f>IF(ISERR(VLOOKUP(VALUE(BM$44),'HL Data'!$G$2:$L$51,6,0)="TRUE"),0,VLOOKUP(VALUE(BM$44),'HL Data'!$G$2:$L$51,6,0))</f>
        <v>0</v>
      </c>
      <c r="BN61" s="184">
        <f>IF(ISERR(VLOOKUP(VALUE(BN$44),'HL Data'!$G$2:$L$51,6,0)="TRUE"),0,VLOOKUP(VALUE(BN$44),'HL Data'!$G$2:$L$51,6,0))</f>
        <v>1495964.51</v>
      </c>
      <c r="BO61" s="184">
        <f>IF(ISERR(VLOOKUP(VALUE(BO$44),'HL Data'!$G$2:$L$51,6,0)="TRUE"),0,VLOOKUP(VALUE(BO$44),'HL Data'!$G$2:$L$51,6,0))</f>
        <v>344862.5</v>
      </c>
      <c r="BP61" s="184">
        <f>IF(ISERR(VLOOKUP(VALUE(BP$44),'HL Data'!$G$2:$L$51,6,0)="TRUE"),0,VLOOKUP(VALUE(BP$44),'HL Data'!$G$2:$L$51,6,0))</f>
        <v>0</v>
      </c>
      <c r="BQ61" s="184">
        <f>IF(ISERR(VLOOKUP(VALUE(BQ$44),'HL Data'!$G$2:$L$51,6,0)="TRUE"),0,VLOOKUP(VALUE(BQ$44),'HL Data'!$G$2:$L$51,6,0))</f>
        <v>0</v>
      </c>
      <c r="BR61" s="184">
        <f>IF(ISERR(VLOOKUP(VALUE(BR$44),'HL Data'!$G$2:$L$51,6,0)="TRUE"),0,VLOOKUP(VALUE(BR$44),'HL Data'!$G$2:$L$51,6,0))</f>
        <v>296046.89</v>
      </c>
      <c r="BS61" s="184">
        <f>IF(ISERR(VLOOKUP(VALUE(BS$44),'HL Data'!$G$2:$L$51,6,0)="TRUE"),0,VLOOKUP(VALUE(BS$44),'HL Data'!$G$2:$L$51,6,0))</f>
        <v>11088.41</v>
      </c>
      <c r="BT61" s="184">
        <f>IF(ISERR(VLOOKUP(VALUE(BT$44),'HL Data'!$G$2:$L$51,6,0)="TRUE"),0,VLOOKUP(VALUE(BT$44),'HL Data'!$G$2:$L$51,6,0))</f>
        <v>0</v>
      </c>
      <c r="BU61" s="184">
        <f>IF(ISERR(VLOOKUP(VALUE(BU$44),'HL Data'!$G$2:$L$51,6,0)="TRUE"),0,VLOOKUP(VALUE(BU$44),'HL Data'!$G$2:$L$51,6,0))</f>
        <v>0</v>
      </c>
      <c r="BV61" s="184">
        <f>IF(ISERR(VLOOKUP(VALUE(BV$44),'HL Data'!$G$2:$L$51,6,0)="TRUE"),0,VLOOKUP(VALUE(BV$44),'HL Data'!$G$2:$L$51,6,0))</f>
        <v>0</v>
      </c>
      <c r="BW61" s="184">
        <f>IF(ISERR(VLOOKUP(VALUE(BW$44),'HL Data'!$G$2:$L$51,6,0)="TRUE"),0,VLOOKUP(VALUE(BW$44),'HL Data'!$G$2:$L$51,6,0))</f>
        <v>53749.78</v>
      </c>
      <c r="BX61" s="184">
        <f>IF(ISERR(VLOOKUP(VALUE(BX$44),'HL Data'!$G$2:$L$51,6,0)="TRUE"),0,VLOOKUP(VALUE(BX$44),'HL Data'!$G$2:$L$51,6,0))</f>
        <v>0</v>
      </c>
      <c r="BY61" s="184">
        <f>IF(ISERR(VLOOKUP(VALUE(BY$44),'HL Data'!$G$2:$L$51,6,0)="TRUE"),0,VLOOKUP(VALUE(BY$44),'HL Data'!$G$2:$L$51,6,0))</f>
        <v>1743958.65</v>
      </c>
      <c r="BZ61" s="184">
        <f>IF(ISERR(VLOOKUP(VALUE(BZ$44),'HL Data'!$G$2:$L$51,6,0)="TRUE"),0,VLOOKUP(VALUE(BZ$44),'HL Data'!$G$2:$L$51,6,0))</f>
        <v>0</v>
      </c>
      <c r="CA61" s="184">
        <f>IF(ISERR(VLOOKUP(VALUE(CA$44),'HL Data'!$G$2:$L$51,6,0)="TRUE"),0,VLOOKUP(VALUE(CA$44),'HL Data'!$G$2:$L$51,6,0))</f>
        <v>0</v>
      </c>
      <c r="CB61" s="184">
        <f>IF(ISERR(VLOOKUP(VALUE(CB$44),'HL Data'!$G$2:$L$51,6,0)="TRUE"),0,VLOOKUP(VALUE(CB$44),'HL Data'!$G$2:$L$51,6,0))</f>
        <v>0</v>
      </c>
      <c r="CC61" s="184">
        <f>IF(ISERR(VLOOKUP(VALUE(CC$44),'HL Data'!$G$2:$L$51,6,0)="TRUE"),0,VLOOKUP(VALUE(CC$44),'HL Data'!$G$2:$L$51,6,0))</f>
        <v>446570.98000000004</v>
      </c>
      <c r="CD61" s="243" t="s">
        <v>221</v>
      </c>
      <c r="CE61" s="193">
        <f t="shared" si="0"/>
        <v>87964708.340000048</v>
      </c>
      <c r="CF61" s="246"/>
    </row>
    <row r="62" spans="1:84" ht="12.6" customHeight="1" x14ac:dyDescent="0.25">
      <c r="A62" s="171" t="s">
        <v>3</v>
      </c>
      <c r="B62" s="175"/>
      <c r="C62" s="193">
        <f t="shared" ref="C62:BN62" si="1">ROUND(C47+C48,0)</f>
        <v>573561</v>
      </c>
      <c r="D62" s="193">
        <f t="shared" si="1"/>
        <v>0</v>
      </c>
      <c r="E62" s="193">
        <f t="shared" si="1"/>
        <v>3903024</v>
      </c>
      <c r="F62" s="193">
        <f t="shared" si="1"/>
        <v>0</v>
      </c>
      <c r="G62" s="193">
        <f t="shared" si="1"/>
        <v>793</v>
      </c>
      <c r="H62" s="193">
        <f t="shared" si="1"/>
        <v>0</v>
      </c>
      <c r="I62" s="193">
        <f t="shared" si="1"/>
        <v>0</v>
      </c>
      <c r="J62" s="193">
        <f>ROUND(J47+J48,0)</f>
        <v>0</v>
      </c>
      <c r="K62" s="193">
        <f t="shared" si="1"/>
        <v>0</v>
      </c>
      <c r="L62" s="193">
        <f t="shared" si="1"/>
        <v>0</v>
      </c>
      <c r="M62" s="193">
        <f t="shared" si="1"/>
        <v>0</v>
      </c>
      <c r="N62" s="193">
        <f t="shared" si="1"/>
        <v>0</v>
      </c>
      <c r="O62" s="193">
        <f t="shared" si="1"/>
        <v>935830</v>
      </c>
      <c r="P62" s="193">
        <f t="shared" si="1"/>
        <v>1223362</v>
      </c>
      <c r="Q62" s="193">
        <f t="shared" si="1"/>
        <v>485462</v>
      </c>
      <c r="R62" s="193">
        <f t="shared" si="1"/>
        <v>0</v>
      </c>
      <c r="S62" s="193">
        <f t="shared" si="1"/>
        <v>332866</v>
      </c>
      <c r="T62" s="193">
        <f t="shared" si="1"/>
        <v>37738</v>
      </c>
      <c r="U62" s="193">
        <f t="shared" si="1"/>
        <v>733239</v>
      </c>
      <c r="V62" s="193">
        <f t="shared" si="1"/>
        <v>0</v>
      </c>
      <c r="W62" s="193">
        <f t="shared" si="1"/>
        <v>150793</v>
      </c>
      <c r="X62" s="193">
        <f t="shared" si="1"/>
        <v>202965</v>
      </c>
      <c r="Y62" s="193">
        <f t="shared" si="1"/>
        <v>744970</v>
      </c>
      <c r="Z62" s="193">
        <f t="shared" si="1"/>
        <v>0</v>
      </c>
      <c r="AA62" s="193">
        <f t="shared" si="1"/>
        <v>68790</v>
      </c>
      <c r="AB62" s="193">
        <f t="shared" si="1"/>
        <v>799051</v>
      </c>
      <c r="AC62" s="193">
        <f t="shared" si="1"/>
        <v>401878</v>
      </c>
      <c r="AD62" s="193">
        <f t="shared" si="1"/>
        <v>0</v>
      </c>
      <c r="AE62" s="193">
        <f t="shared" si="1"/>
        <v>0</v>
      </c>
      <c r="AF62" s="193">
        <f t="shared" si="1"/>
        <v>0</v>
      </c>
      <c r="AG62" s="193">
        <f t="shared" si="1"/>
        <v>2122039</v>
      </c>
      <c r="AH62" s="193">
        <f t="shared" si="1"/>
        <v>0</v>
      </c>
      <c r="AI62" s="193">
        <f t="shared" si="1"/>
        <v>0</v>
      </c>
      <c r="AJ62" s="193">
        <f t="shared" si="1"/>
        <v>6151322</v>
      </c>
      <c r="AK62" s="193">
        <f t="shared" si="1"/>
        <v>86425</v>
      </c>
      <c r="AL62" s="193">
        <f t="shared" si="1"/>
        <v>60803</v>
      </c>
      <c r="AM62" s="193">
        <f t="shared" si="1"/>
        <v>0</v>
      </c>
      <c r="AN62" s="193">
        <f t="shared" si="1"/>
        <v>0</v>
      </c>
      <c r="AO62" s="193">
        <f t="shared" si="1"/>
        <v>0</v>
      </c>
      <c r="AP62" s="193">
        <f t="shared" si="1"/>
        <v>75</v>
      </c>
      <c r="AQ62" s="193">
        <f t="shared" si="1"/>
        <v>0</v>
      </c>
      <c r="AR62" s="193">
        <f t="shared" si="1"/>
        <v>0</v>
      </c>
      <c r="AS62" s="193">
        <f t="shared" si="1"/>
        <v>0</v>
      </c>
      <c r="AT62" s="193">
        <f t="shared" si="1"/>
        <v>0</v>
      </c>
      <c r="AU62" s="193">
        <f t="shared" si="1"/>
        <v>0</v>
      </c>
      <c r="AV62" s="193">
        <f t="shared" si="1"/>
        <v>27395</v>
      </c>
      <c r="AW62" s="193">
        <f t="shared" si="1"/>
        <v>149582</v>
      </c>
      <c r="AX62" s="193">
        <f t="shared" si="1"/>
        <v>0</v>
      </c>
      <c r="AY62" s="193">
        <f>ROUND(AY47+AY48,0)</f>
        <v>670634</v>
      </c>
      <c r="AZ62" s="193">
        <f>ROUND(AZ47+AZ48,0)</f>
        <v>0</v>
      </c>
      <c r="BA62" s="193">
        <f>ROUND(BA47+BA48,0)</f>
        <v>0</v>
      </c>
      <c r="BB62" s="193">
        <f t="shared" si="1"/>
        <v>0</v>
      </c>
      <c r="BC62" s="193">
        <f t="shared" si="1"/>
        <v>0</v>
      </c>
      <c r="BD62" s="193">
        <f t="shared" si="1"/>
        <v>0</v>
      </c>
      <c r="BE62" s="193">
        <f t="shared" si="1"/>
        <v>195197</v>
      </c>
      <c r="BF62" s="193">
        <f t="shared" si="1"/>
        <v>634580</v>
      </c>
      <c r="BG62" s="193">
        <f t="shared" si="1"/>
        <v>0</v>
      </c>
      <c r="BH62" s="193">
        <f t="shared" si="1"/>
        <v>0</v>
      </c>
      <c r="BI62" s="193">
        <f t="shared" si="1"/>
        <v>0</v>
      </c>
      <c r="BJ62" s="193">
        <f t="shared" si="1"/>
        <v>0</v>
      </c>
      <c r="BK62" s="193">
        <f t="shared" si="1"/>
        <v>12</v>
      </c>
      <c r="BL62" s="193">
        <f t="shared" si="1"/>
        <v>29862</v>
      </c>
      <c r="BM62" s="193">
        <f t="shared" si="1"/>
        <v>0</v>
      </c>
      <c r="BN62" s="193">
        <f t="shared" si="1"/>
        <v>412401</v>
      </c>
      <c r="BO62" s="193">
        <f t="shared" ref="BO62:CC62" si="2">ROUND(BO47+BO48,0)</f>
        <v>122157</v>
      </c>
      <c r="BP62" s="193">
        <f t="shared" si="2"/>
        <v>0</v>
      </c>
      <c r="BQ62" s="193">
        <f t="shared" si="2"/>
        <v>0</v>
      </c>
      <c r="BR62" s="193">
        <f t="shared" si="2"/>
        <v>66404</v>
      </c>
      <c r="BS62" s="193">
        <f t="shared" si="2"/>
        <v>5902</v>
      </c>
      <c r="BT62" s="193">
        <f t="shared" si="2"/>
        <v>0</v>
      </c>
      <c r="BU62" s="193">
        <f t="shared" si="2"/>
        <v>0</v>
      </c>
      <c r="BV62" s="193">
        <f t="shared" si="2"/>
        <v>0</v>
      </c>
      <c r="BW62" s="193">
        <f t="shared" si="2"/>
        <v>18930</v>
      </c>
      <c r="BX62" s="193">
        <f t="shared" si="2"/>
        <v>0</v>
      </c>
      <c r="BY62" s="193">
        <f t="shared" si="2"/>
        <v>431216</v>
      </c>
      <c r="BZ62" s="193">
        <f t="shared" si="2"/>
        <v>0</v>
      </c>
      <c r="CA62" s="193">
        <f t="shared" si="2"/>
        <v>0</v>
      </c>
      <c r="CB62" s="193">
        <f t="shared" si="2"/>
        <v>0</v>
      </c>
      <c r="CC62" s="193">
        <f t="shared" si="2"/>
        <v>92890</v>
      </c>
      <c r="CD62" s="243" t="s">
        <v>221</v>
      </c>
      <c r="CE62" s="193">
        <f t="shared" si="0"/>
        <v>21872148</v>
      </c>
      <c r="CF62" s="246"/>
    </row>
    <row r="63" spans="1:84" ht="12.6" customHeight="1" x14ac:dyDescent="0.25">
      <c r="A63" s="171" t="s">
        <v>236</v>
      </c>
      <c r="B63" s="175"/>
      <c r="C63" s="184">
        <f>IF(ISERR(VLOOKUP(VALUE(C$44),'HL Data'!$G$2:$N$51,8,0)="TRUE"),0,VLOOKUP(VALUE(C$44),'HL Data'!$G$2:$N$51,8,0))-0.5</f>
        <v>910405.46</v>
      </c>
      <c r="D63" s="184">
        <f>IF(ISERR(VLOOKUP(VALUE(D$44),'HL Data'!$G$2:$N$51,8,0)="TRUE"),0,VLOOKUP(VALUE(D$44),'HL Data'!$G$2:$N$51,8,0))</f>
        <v>0</v>
      </c>
      <c r="E63" s="184">
        <f>IF(ISERR(VLOOKUP(VALUE(E$44),'HL Data'!$G$2:$N$51,8,0)="TRUE"),0,VLOOKUP(VALUE(E$44),'HL Data'!$G$2:$N$51,8,0))</f>
        <v>151262.12</v>
      </c>
      <c r="F63" s="184">
        <f>IF(ISERR(VLOOKUP(VALUE(F$44),'HL Data'!$G$2:$N$51,8,0)="TRUE"),0,VLOOKUP(VALUE(F$44),'HL Data'!$G$2:$N$51,8,0))</f>
        <v>0</v>
      </c>
      <c r="G63" s="184">
        <f>IF(ISERR(VLOOKUP(VALUE(G$44),'HL Data'!$G$2:$N$51,8,0)="TRUE"),0,VLOOKUP(VALUE(G$44),'HL Data'!$G$2:$N$51,8,0))</f>
        <v>0</v>
      </c>
      <c r="H63" s="184">
        <f>IF(ISERR(VLOOKUP(VALUE(H$44),'HL Data'!$G$2:$N$51,8,0)="TRUE"),0,VLOOKUP(VALUE(H$44),'HL Data'!$G$2:$N$51,8,0))</f>
        <v>0</v>
      </c>
      <c r="I63" s="184">
        <f>IF(ISERR(VLOOKUP(VALUE(I$44),'HL Data'!$G$2:$N$51,8,0)="TRUE"),0,VLOOKUP(VALUE(I$44),'HL Data'!$G$2:$N$51,8,0))</f>
        <v>0</v>
      </c>
      <c r="J63" s="184">
        <f>IF(ISERR(VLOOKUP(VALUE(J$44),'HL Data'!$G$2:$N$51,8,0)="TRUE"),0,VLOOKUP(VALUE(J$44),'HL Data'!$G$2:$N$51,8,0))</f>
        <v>0</v>
      </c>
      <c r="K63" s="184">
        <f>IF(ISERR(VLOOKUP(VALUE(K$44),'HL Data'!$G$2:$N$51,8,0)="TRUE"),0,VLOOKUP(VALUE(K$44),'HL Data'!$G$2:$N$51,8,0))</f>
        <v>0</v>
      </c>
      <c r="L63" s="184">
        <f>IF(ISERR(VLOOKUP(VALUE(L$44),'HL Data'!$G$2:$N$51,8,0)="TRUE"),0,VLOOKUP(VALUE(L$44),'HL Data'!$G$2:$N$51,8,0))</f>
        <v>0</v>
      </c>
      <c r="M63" s="184">
        <f>IF(ISERR(VLOOKUP(VALUE(M$44),'HL Data'!$G$2:$N$51,8,0)="TRUE"),0,VLOOKUP(VALUE(M$44),'HL Data'!$G$2:$N$51,8,0))</f>
        <v>0</v>
      </c>
      <c r="N63" s="184">
        <f>IF(ISERR(VLOOKUP(VALUE(N$44),'HL Data'!$G$2:$N$51,8,0)="TRUE"),0,VLOOKUP(VALUE(N$44),'HL Data'!$G$2:$N$51,8,0))</f>
        <v>0</v>
      </c>
      <c r="O63" s="184">
        <f>IF(ISERR(VLOOKUP(VALUE(O$44),'HL Data'!$G$2:$N$51,8,0)="TRUE"),0,VLOOKUP(VALUE(O$44),'HL Data'!$G$2:$N$51,8,0))</f>
        <v>94403.92</v>
      </c>
      <c r="P63" s="184">
        <f>IF(ISERR(VLOOKUP(VALUE(P$44),'HL Data'!$G$2:$N$51,8,0)="TRUE"),0,VLOOKUP(VALUE(P$44),'HL Data'!$G$2:$N$51,8,0))</f>
        <v>1204976.6499999999</v>
      </c>
      <c r="Q63" s="184">
        <f>IF(ISERR(VLOOKUP(VALUE(Q$44),'HL Data'!$G$2:$N$51,8,0)="TRUE"),0,VLOOKUP(VALUE(Q$44),'HL Data'!$G$2:$N$51,8,0))</f>
        <v>0</v>
      </c>
      <c r="R63" s="184">
        <f>IF(ISERR(VLOOKUP(VALUE(R$44),'HL Data'!$G$2:$N$51,8,0)="TRUE"),0,VLOOKUP(VALUE(R$44),'HL Data'!$G$2:$N$51,8,0))</f>
        <v>0</v>
      </c>
      <c r="S63" s="184">
        <f>IF(ISERR(VLOOKUP(VALUE(S$44),'HL Data'!$G$2:$N$51,8,0)="TRUE"),0,VLOOKUP(VALUE(S$44),'HL Data'!$G$2:$N$51,8,0))</f>
        <v>0</v>
      </c>
      <c r="T63" s="184">
        <f>IF(ISERR(VLOOKUP(VALUE(T$44),'HL Data'!$G$2:$N$51,8,0)="TRUE"),0,VLOOKUP(VALUE(T$44),'HL Data'!$G$2:$N$51,8,0))</f>
        <v>0</v>
      </c>
      <c r="U63" s="184">
        <f>IF(ISERR(VLOOKUP(VALUE(U$44),'HL Data'!$G$2:$N$51,8,0)="TRUE"),0,VLOOKUP(VALUE(U$44),'HL Data'!$G$2:$N$51,8,0))</f>
        <v>47917.82</v>
      </c>
      <c r="V63" s="184">
        <f>IF(ISERR(VLOOKUP(VALUE(V$44),'HL Data'!$G$2:$N$51,8,0)="TRUE"),0,VLOOKUP(VALUE(V$44),'HL Data'!$G$2:$N$51,8,0))</f>
        <v>0</v>
      </c>
      <c r="W63" s="184">
        <f>IF(ISERR(VLOOKUP(VALUE(W$44),'HL Data'!$G$2:$N$51,8,0)="TRUE"),0,VLOOKUP(VALUE(W$44),'HL Data'!$G$2:$N$51,8,0))</f>
        <v>0</v>
      </c>
      <c r="X63" s="184">
        <f>IF(ISERR(VLOOKUP(VALUE(X$44),'HL Data'!$G$2:$N$51,8,0)="TRUE"),0,VLOOKUP(VALUE(X$44),'HL Data'!$G$2:$N$51,8,0))</f>
        <v>0</v>
      </c>
      <c r="Y63" s="184">
        <f>IF(ISERR(VLOOKUP(VALUE(Y$44),'HL Data'!$G$2:$N$51,8,0)="TRUE"),0,VLOOKUP(VALUE(Y$44),'HL Data'!$G$2:$N$51,8,0))</f>
        <v>31500</v>
      </c>
      <c r="Z63" s="184">
        <f>IF(ISERR(VLOOKUP(VALUE(Z$44),'HL Data'!$G$2:$N$51,8,0)="TRUE"),0,VLOOKUP(VALUE(Z$44),'HL Data'!$G$2:$N$51,8,0))</f>
        <v>0</v>
      </c>
      <c r="AA63" s="184">
        <f>IF(ISERR(VLOOKUP(VALUE(AA$44),'HL Data'!$G$2:$N$51,8,0)="TRUE"),0,VLOOKUP(VALUE(AA$44),'HL Data'!$G$2:$N$51,8,0))</f>
        <v>0</v>
      </c>
      <c r="AB63" s="184">
        <f>IF(ISERR(VLOOKUP(VALUE(AB$44),'HL Data'!$G$2:$N$51,8,0)="TRUE"),0,VLOOKUP(VALUE(AB$44),'HL Data'!$G$2:$N$51,8,0))</f>
        <v>0</v>
      </c>
      <c r="AC63" s="184">
        <f>IF(ISERR(VLOOKUP(VALUE(AC$44),'HL Data'!$G$2:$N$51,8,0)="TRUE"),0,VLOOKUP(VALUE(AC$44),'HL Data'!$G$2:$N$51,8,0))</f>
        <v>-62860</v>
      </c>
      <c r="AD63" s="184">
        <f>IF(ISERR(VLOOKUP(VALUE(AD$44),'HL Data'!$G$2:$N$51,8,0)="TRUE"),0,VLOOKUP(VALUE(AD$44),'HL Data'!$G$2:$N$51,8,0))</f>
        <v>0</v>
      </c>
      <c r="AE63" s="184">
        <f>IF(ISERR(VLOOKUP(VALUE(AE$44),'HL Data'!$G$2:$N$51,8,0)="TRUE"),0,VLOOKUP(VALUE(AE$44),'HL Data'!$G$2:$N$51,8,0))</f>
        <v>0</v>
      </c>
      <c r="AF63" s="184">
        <f>IF(ISERR(VLOOKUP(VALUE(AF$44),'HL Data'!$G$2:$N$51,8,0)="TRUE"),0,VLOOKUP(VALUE(AF$44),'HL Data'!$G$2:$N$51,8,0))</f>
        <v>0</v>
      </c>
      <c r="AG63" s="184">
        <f>IF(ISERR(VLOOKUP(VALUE(AG$44),'HL Data'!$G$2:$N$51,8,0)="TRUE"),0,VLOOKUP(VALUE(AG$44),'HL Data'!$G$2:$N$51,8,0))</f>
        <v>1640946.15</v>
      </c>
      <c r="AH63" s="184">
        <f>IF(ISERR(VLOOKUP(VALUE(AH$44),'HL Data'!$G$2:$N$51,8,0)="TRUE"),0,VLOOKUP(VALUE(AH$44),'HL Data'!$G$2:$N$51,8,0))</f>
        <v>0</v>
      </c>
      <c r="AI63" s="184">
        <f>IF(ISERR(VLOOKUP(VALUE(AI$44),'HL Data'!$G$2:$N$51,8,0)="TRUE"),0,VLOOKUP(VALUE(AI$44),'HL Data'!$G$2:$N$51,8,0))</f>
        <v>0</v>
      </c>
      <c r="AJ63" s="184">
        <f>IF(ISERR(VLOOKUP(VALUE(AJ$44),'HL Data'!$G$2:$N$51,8,0)="TRUE"),0,VLOOKUP(VALUE(AJ$44),'HL Data'!$G$2:$N$51,8,0))</f>
        <v>1503610.6</v>
      </c>
      <c r="AK63" s="184">
        <f>IF(ISERR(VLOOKUP(VALUE(AK$44),'HL Data'!$G$2:$N$51,8,0)="TRUE"),0,VLOOKUP(VALUE(AK$44),'HL Data'!$G$2:$N$51,8,0))</f>
        <v>0</v>
      </c>
      <c r="AL63" s="184">
        <f>IF(ISERR(VLOOKUP(VALUE(AL$44),'HL Data'!$G$2:$N$51,8,0)="TRUE"),0,VLOOKUP(VALUE(AL$44),'HL Data'!$G$2:$N$51,8,0))</f>
        <v>0</v>
      </c>
      <c r="AM63" s="184">
        <f>IF(ISERR(VLOOKUP(VALUE(AM$44),'HL Data'!$G$2:$N$51,8,0)="TRUE"),0,VLOOKUP(VALUE(AM$44),'HL Data'!$G$2:$N$51,8,0))</f>
        <v>0</v>
      </c>
      <c r="AN63" s="184">
        <f>IF(ISERR(VLOOKUP(VALUE(AN$44),'HL Data'!$G$2:$N$51,8,0)="TRUE"),0,VLOOKUP(VALUE(AN$44),'HL Data'!$G$2:$N$51,8,0))</f>
        <v>0</v>
      </c>
      <c r="AO63" s="184">
        <f>IF(ISERR(VLOOKUP(VALUE(AO$44),'HL Data'!$G$2:$N$51,8,0)="TRUE"),0,VLOOKUP(VALUE(AO$44),'HL Data'!$G$2:$N$51,8,0))</f>
        <v>0</v>
      </c>
      <c r="AP63" s="184">
        <f>IF(ISERR(VLOOKUP(VALUE(AP$44),'HL Data'!$G$2:$N$51,8,0)="TRUE"),0,VLOOKUP(VALUE(AP$44),'HL Data'!$G$2:$N$51,8,0))</f>
        <v>0</v>
      </c>
      <c r="AQ63" s="184">
        <f>IF(ISERR(VLOOKUP(VALUE(AQ$44),'HL Data'!$G$2:$N$51,8,0)="TRUE"),0,VLOOKUP(VALUE(AQ$44),'HL Data'!$G$2:$N$51,8,0))</f>
        <v>0</v>
      </c>
      <c r="AR63" s="184">
        <f>IF(ISERR(VLOOKUP(VALUE(AR$44),'HL Data'!$G$2:$N$51,8,0)="TRUE"),0,VLOOKUP(VALUE(AR$44),'HL Data'!$G$2:$N$51,8,0))</f>
        <v>0</v>
      </c>
      <c r="AS63" s="184">
        <f>IF(ISERR(VLOOKUP(VALUE(AS$44),'HL Data'!$G$2:$N$51,8,0)="TRUE"),0,VLOOKUP(VALUE(AS$44),'HL Data'!$G$2:$N$51,8,0))</f>
        <v>0</v>
      </c>
      <c r="AT63" s="184">
        <f>IF(ISERR(VLOOKUP(VALUE(AT$44),'HL Data'!$G$2:$N$51,8,0)="TRUE"),0,VLOOKUP(VALUE(AT$44),'HL Data'!$G$2:$N$51,8,0))</f>
        <v>0</v>
      </c>
      <c r="AU63" s="184">
        <f>IF(ISERR(VLOOKUP(VALUE(AU$44),'HL Data'!$G$2:$N$51,8,0)="TRUE"),0,VLOOKUP(VALUE(AU$44),'HL Data'!$G$2:$N$51,8,0))</f>
        <v>0</v>
      </c>
      <c r="AV63" s="184">
        <f>IF(ISERR(VLOOKUP(VALUE(AV$44),'HL Data'!$G$2:$N$51,8,0)="TRUE"),0,VLOOKUP(VALUE(AV$44),'HL Data'!$G$2:$N$51,8,0))</f>
        <v>3766800</v>
      </c>
      <c r="AW63" s="184">
        <f>IF(ISERR(VLOOKUP(VALUE(AW$44),'HL Data'!$G$2:$N$51,8,0)="TRUE"),0,VLOOKUP(VALUE(AW$44),'HL Data'!$G$2:$N$51,8,0))</f>
        <v>0</v>
      </c>
      <c r="AX63" s="184">
        <f>IF(ISERR(VLOOKUP(VALUE(AX$44),'HL Data'!$G$2:$N$51,8,0)="TRUE"),0,VLOOKUP(VALUE(AX$44),'HL Data'!$G$2:$N$51,8,0))</f>
        <v>0</v>
      </c>
      <c r="AY63" s="184">
        <f>IF(ISERR(VLOOKUP(VALUE(AY$44),'HL Data'!$G$2:$N$51,8,0)="TRUE"),0,VLOOKUP(VALUE(AY$44),'HL Data'!$G$2:$N$51,8,0))</f>
        <v>0</v>
      </c>
      <c r="AZ63" s="184">
        <f>IF(ISERR(VLOOKUP(VALUE(AZ$44),'HL Data'!$G$2:$N$51,8,0)="TRUE"),0,VLOOKUP(VALUE(AZ$44),'HL Data'!$G$2:$N$51,8,0))</f>
        <v>0</v>
      </c>
      <c r="BA63" s="184">
        <f>IF(ISERR(VLOOKUP(VALUE(BA$44),'HL Data'!$G$2:$N$51,8,0)="TRUE"),0,VLOOKUP(VALUE(BA$44),'HL Data'!$G$2:$N$51,8,0))</f>
        <v>0</v>
      </c>
      <c r="BB63" s="184">
        <f>IF(ISERR(VLOOKUP(VALUE(BB$44),'HL Data'!$G$2:$N$51,8,0)="TRUE"),0,VLOOKUP(VALUE(BB$44),'HL Data'!$G$2:$N$51,8,0))</f>
        <v>0</v>
      </c>
      <c r="BC63" s="184">
        <f>IF(ISERR(VLOOKUP(VALUE(BC$44),'HL Data'!$G$2:$N$51,8,0)="TRUE"),0,VLOOKUP(VALUE(BC$44),'HL Data'!$G$2:$N$51,8,0))</f>
        <v>0</v>
      </c>
      <c r="BD63" s="184">
        <f>IF(ISERR(VLOOKUP(VALUE(BD$44),'HL Data'!$G$2:$N$51,8,0)="TRUE"),0,VLOOKUP(VALUE(BD$44),'HL Data'!$G$2:$N$51,8,0))</f>
        <v>0</v>
      </c>
      <c r="BE63" s="184">
        <f>IF(ISERR(VLOOKUP(VALUE(BE$44),'HL Data'!$G$2:$N$51,8,0)="TRUE"),0,VLOOKUP(VALUE(BE$44),'HL Data'!$G$2:$N$51,8,0))</f>
        <v>0</v>
      </c>
      <c r="BF63" s="184">
        <f>IF(ISERR(VLOOKUP(VALUE(BF$44),'HL Data'!$G$2:$N$51,8,0)="TRUE"),0,VLOOKUP(VALUE(BF$44),'HL Data'!$G$2:$N$51,8,0))</f>
        <v>0</v>
      </c>
      <c r="BG63" s="184">
        <f>IF(ISERR(VLOOKUP(VALUE(BG$44),'HL Data'!$G$2:$N$51,8,0)="TRUE"),0,VLOOKUP(VALUE(BG$44),'HL Data'!$G$2:$N$51,8,0))</f>
        <v>0</v>
      </c>
      <c r="BH63" s="184">
        <f>IF(ISERR(VLOOKUP(VALUE(BH$44),'HL Data'!$G$2:$N$51,8,0)="TRUE"),0,VLOOKUP(VALUE(BH$44),'HL Data'!$G$2:$N$51,8,0))</f>
        <v>0</v>
      </c>
      <c r="BI63" s="184">
        <f>IF(ISERR(VLOOKUP(VALUE(BI$44),'HL Data'!$G$2:$N$51,8,0)="TRUE"),0,VLOOKUP(VALUE(BI$44),'HL Data'!$G$2:$N$51,8,0))</f>
        <v>0</v>
      </c>
      <c r="BJ63" s="184">
        <f>IF(ISERR(VLOOKUP(VALUE(BJ$44),'HL Data'!$G$2:$N$51,8,0)="TRUE"),0,VLOOKUP(VALUE(BJ$44),'HL Data'!$G$2:$N$51,8,0))</f>
        <v>0</v>
      </c>
      <c r="BK63" s="184">
        <f>IF(ISERR(VLOOKUP(VALUE(BK$44),'HL Data'!$G$2:$N$51,8,0)="TRUE"),0,VLOOKUP(VALUE(BK$44),'HL Data'!$G$2:$N$51,8,0))</f>
        <v>0</v>
      </c>
      <c r="BL63" s="184">
        <f>IF(ISERR(VLOOKUP(VALUE(BL$44),'HL Data'!$G$2:$N$51,8,0)="TRUE"),0,VLOOKUP(VALUE(BL$44),'HL Data'!$G$2:$N$51,8,0))</f>
        <v>0</v>
      </c>
      <c r="BM63" s="184">
        <f>IF(ISERR(VLOOKUP(VALUE(BM$44),'HL Data'!$G$2:$N$51,8,0)="TRUE"),0,VLOOKUP(VALUE(BM$44),'HL Data'!$G$2:$N$51,8,0))</f>
        <v>0</v>
      </c>
      <c r="BN63" s="184">
        <f>IF(ISERR(VLOOKUP(VALUE(BN$44),'HL Data'!$G$2:$N$51,8,0)="TRUE"),0,VLOOKUP(VALUE(BN$44),'HL Data'!$G$2:$N$51,8,0))</f>
        <v>0</v>
      </c>
      <c r="BO63" s="184">
        <f>IF(ISERR(VLOOKUP(VALUE(BO$44),'HL Data'!$G$2:$N$51,8,0)="TRUE"),0,VLOOKUP(VALUE(BO$44),'HL Data'!$G$2:$N$51,8,0))</f>
        <v>0</v>
      </c>
      <c r="BP63" s="184">
        <f>IF(ISERR(VLOOKUP(VALUE(BP$44),'HL Data'!$G$2:$N$51,8,0)="TRUE"),0,VLOOKUP(VALUE(BP$44),'HL Data'!$G$2:$N$51,8,0))</f>
        <v>0</v>
      </c>
      <c r="BQ63" s="184">
        <f>IF(ISERR(VLOOKUP(VALUE(BQ$44),'HL Data'!$G$2:$N$51,8,0)="TRUE"),0,VLOOKUP(VALUE(BQ$44),'HL Data'!$G$2:$N$51,8,0))</f>
        <v>0</v>
      </c>
      <c r="BR63" s="184">
        <f>IF(ISERR(VLOOKUP(VALUE(BR$44),'HL Data'!$G$2:$N$51,8,0)="TRUE"),0,VLOOKUP(VALUE(BR$44),'HL Data'!$G$2:$N$51,8,0))</f>
        <v>900</v>
      </c>
      <c r="BS63" s="184">
        <f>IF(ISERR(VLOOKUP(VALUE(BS$44),'HL Data'!$G$2:$N$51,8,0)="TRUE"),0,VLOOKUP(VALUE(BS$44),'HL Data'!$G$2:$N$51,8,0))</f>
        <v>0</v>
      </c>
      <c r="BT63" s="184">
        <f>IF(ISERR(VLOOKUP(VALUE(BT$44),'HL Data'!$G$2:$N$51,8,0)="TRUE"),0,VLOOKUP(VALUE(BT$44),'HL Data'!$G$2:$N$51,8,0))</f>
        <v>0</v>
      </c>
      <c r="BU63" s="184">
        <f>IF(ISERR(VLOOKUP(VALUE(BU$44),'HL Data'!$G$2:$N$51,8,0)="TRUE"),0,VLOOKUP(VALUE(BU$44),'HL Data'!$G$2:$N$51,8,0))</f>
        <v>0</v>
      </c>
      <c r="BV63" s="184">
        <f>IF(ISERR(VLOOKUP(VALUE(BV$44),'HL Data'!$G$2:$N$51,8,0)="TRUE"),0,VLOOKUP(VALUE(BV$44),'HL Data'!$G$2:$N$51,8,0))</f>
        <v>0</v>
      </c>
      <c r="BW63" s="184">
        <f>IF(ISERR(VLOOKUP(VALUE(BW$44),'HL Data'!$G$2:$N$51,8,0)="TRUE"),0,VLOOKUP(VALUE(BW$44),'HL Data'!$G$2:$N$51,8,0))</f>
        <v>-2300</v>
      </c>
      <c r="BX63" s="184">
        <f>IF(ISERR(VLOOKUP(VALUE(BX$44),'HL Data'!$G$2:$N$51,8,0)="TRUE"),0,VLOOKUP(VALUE(BX$44),'HL Data'!$G$2:$N$51,8,0))</f>
        <v>0</v>
      </c>
      <c r="BY63" s="184">
        <f>IF(ISERR(VLOOKUP(VALUE(BY$44),'HL Data'!$G$2:$N$51,8,0)="TRUE"),0,VLOOKUP(VALUE(BY$44),'HL Data'!$G$2:$N$51,8,0))</f>
        <v>0</v>
      </c>
      <c r="BZ63" s="184">
        <f>IF(ISERR(VLOOKUP(VALUE(BZ$44),'HL Data'!$G$2:$N$51,8,0)="TRUE"),0,VLOOKUP(VALUE(BZ$44),'HL Data'!$G$2:$N$51,8,0))</f>
        <v>0</v>
      </c>
      <c r="CA63" s="184">
        <f>IF(ISERR(VLOOKUP(VALUE(CA$44),'HL Data'!$G$2:$N$51,8,0)="TRUE"),0,VLOOKUP(VALUE(CA$44),'HL Data'!$G$2:$N$51,8,0))</f>
        <v>0</v>
      </c>
      <c r="CB63" s="184">
        <f>IF(ISERR(VLOOKUP(VALUE(CB$44),'HL Data'!$G$2:$N$51,8,0)="TRUE"),0,VLOOKUP(VALUE(CB$44),'HL Data'!$G$2:$N$51,8,0))</f>
        <v>0</v>
      </c>
      <c r="CC63" s="184">
        <f>IF(ISERR(VLOOKUP(VALUE(CC$44),'HL Data'!$G$2:$N$51,8,0)="TRUE"),0,VLOOKUP(VALUE(CC$44),'HL Data'!$G$2:$N$51,8,0))</f>
        <v>0</v>
      </c>
      <c r="CD63" s="243" t="s">
        <v>221</v>
      </c>
      <c r="CE63" s="193">
        <f t="shared" si="0"/>
        <v>9287562.7199999988</v>
      </c>
      <c r="CF63" s="246"/>
    </row>
    <row r="64" spans="1:84" ht="12.6" customHeight="1" x14ac:dyDescent="0.25">
      <c r="A64" s="171" t="s">
        <v>237</v>
      </c>
      <c r="B64" s="175"/>
      <c r="C64" s="184">
        <f>IF(ISERR(VLOOKUP(VALUE(C$44),'HL Data'!$G$2:$P$51,10,0)="TRUE"),0,VLOOKUP(VALUE(C$44),'HL Data'!$G$2:$P$51,10,0))</f>
        <v>491299.39000000007</v>
      </c>
      <c r="D64" s="184">
        <f>IF(ISERR(VLOOKUP(VALUE(D$44),'HL Data'!$G$2:$P$51,10,0)="TRUE"),0,VLOOKUP(VALUE(D$44),'HL Data'!$G$2:$P$51,10,0))</f>
        <v>0</v>
      </c>
      <c r="E64" s="184">
        <f>IF(ISERR(VLOOKUP(VALUE(E$44),'HL Data'!$G$2:$P$51,10,0)="TRUE"),0,VLOOKUP(VALUE(E$44),'HL Data'!$G$2:$P$51,10,0))</f>
        <v>765239.91</v>
      </c>
      <c r="F64" s="184">
        <f>IF(ISERR(VLOOKUP(VALUE(F$44),'HL Data'!$G$2:$P$51,10,0)="TRUE"),0,VLOOKUP(VALUE(F$44),'HL Data'!$G$2:$P$51,10,0))</f>
        <v>0</v>
      </c>
      <c r="G64" s="184">
        <f>IF(ISERR(VLOOKUP(VALUE(G$44),'HL Data'!$G$2:$P$51,10,0)="TRUE"),0,VLOOKUP(VALUE(G$44),'HL Data'!$G$2:$P$51,10,0))</f>
        <v>0</v>
      </c>
      <c r="H64" s="184">
        <f>IF(ISERR(VLOOKUP(VALUE(H$44),'HL Data'!$G$2:$P$51,10,0)="TRUE"),0,VLOOKUP(VALUE(H$44),'HL Data'!$G$2:$P$51,10,0))</f>
        <v>0</v>
      </c>
      <c r="I64" s="184">
        <f>IF(ISERR(VLOOKUP(VALUE(I$44),'HL Data'!$G$2:$P$51,10,0)="TRUE"),0,VLOOKUP(VALUE(I$44),'HL Data'!$G$2:$P$51,10,0))</f>
        <v>0</v>
      </c>
      <c r="J64" s="184">
        <f>IF(ISERR(VLOOKUP(VALUE(J$44),'HL Data'!$G$2:$P$51,10,0)="TRUE"),0,VLOOKUP(VALUE(J$44),'HL Data'!$G$2:$P$51,10,0))</f>
        <v>0</v>
      </c>
      <c r="K64" s="184">
        <f>IF(ISERR(VLOOKUP(VALUE(K$44),'HL Data'!$G$2:$P$51,10,0)="TRUE"),0,VLOOKUP(VALUE(K$44),'HL Data'!$G$2:$P$51,10,0))</f>
        <v>0</v>
      </c>
      <c r="L64" s="184">
        <f>IF(ISERR(VLOOKUP(VALUE(L$44),'HL Data'!$G$2:$P$51,10,0)="TRUE"),0,VLOOKUP(VALUE(L$44),'HL Data'!$G$2:$P$51,10,0))</f>
        <v>0</v>
      </c>
      <c r="M64" s="184">
        <f>IF(ISERR(VLOOKUP(VALUE(M$44),'HL Data'!$G$2:$P$51,10,0)="TRUE"),0,VLOOKUP(VALUE(M$44),'HL Data'!$G$2:$P$51,10,0))</f>
        <v>0</v>
      </c>
      <c r="N64" s="184">
        <f>IF(ISERR(VLOOKUP(VALUE(N$44),'HL Data'!$G$2:$P$51,10,0)="TRUE"),0,VLOOKUP(VALUE(N$44),'HL Data'!$G$2:$P$51,10,0))</f>
        <v>0</v>
      </c>
      <c r="O64" s="184">
        <f>IF(ISERR(VLOOKUP(VALUE(O$44),'HL Data'!$G$2:$P$51,10,0)="TRUE"),0,VLOOKUP(VALUE(O$44),'HL Data'!$G$2:$P$51,10,0))</f>
        <v>373916.92</v>
      </c>
      <c r="P64" s="184">
        <f>IF(ISERR(VLOOKUP(VALUE(P$44),'HL Data'!$G$2:$P$51,10,0)="TRUE"),0,VLOOKUP(VALUE(P$44),'HL Data'!$G$2:$P$51,10,0))</f>
        <v>7548246.120000001</v>
      </c>
      <c r="Q64" s="184">
        <f>IF(ISERR(VLOOKUP(VALUE(Q$44),'HL Data'!$G$2:$P$51,10,0)="TRUE"),0,VLOOKUP(VALUE(Q$44),'HL Data'!$G$2:$P$51,10,0))</f>
        <v>264004.54999999993</v>
      </c>
      <c r="R64" s="184">
        <f>IF(ISERR(VLOOKUP(VALUE(R$44),'HL Data'!$G$2:$P$51,10,0)="TRUE"),0,VLOOKUP(VALUE(R$44),'HL Data'!$G$2:$P$51,10,0))</f>
        <v>0</v>
      </c>
      <c r="S64" s="184">
        <f>IF(ISERR(VLOOKUP(VALUE(S$44),'HL Data'!$G$2:$P$51,10,0)="TRUE"),0,VLOOKUP(VALUE(S$44),'HL Data'!$G$2:$P$51,10,0))</f>
        <v>-311962.94999999995</v>
      </c>
      <c r="T64" s="184">
        <f>IF(ISERR(VLOOKUP(VALUE(T$44),'HL Data'!$G$2:$P$51,10,0)="TRUE"),0,VLOOKUP(VALUE(T$44),'HL Data'!$G$2:$P$51,10,0))</f>
        <v>2869.01</v>
      </c>
      <c r="U64" s="184">
        <f>IF(ISERR(VLOOKUP(VALUE(U$44),'HL Data'!$G$2:$P$51,10,0)="TRUE"),0,VLOOKUP(VALUE(U$44),'HL Data'!$G$2:$P$51,10,0))</f>
        <v>1905827.05</v>
      </c>
      <c r="V64" s="184">
        <f>IF(ISERR(VLOOKUP(VALUE(V$44),'HL Data'!$G$2:$P$51,10,0)="TRUE"),0,VLOOKUP(VALUE(V$44),'HL Data'!$G$2:$P$51,10,0))</f>
        <v>0</v>
      </c>
      <c r="W64" s="184">
        <f>IF(ISERR(VLOOKUP(VALUE(W$44),'HL Data'!$G$2:$P$51,10,0)="TRUE"),0,VLOOKUP(VALUE(W$44),'HL Data'!$G$2:$P$51,10,0))</f>
        <v>68434.03</v>
      </c>
      <c r="X64" s="184">
        <f>IF(ISERR(VLOOKUP(VALUE(X$44),'HL Data'!$G$2:$P$51,10,0)="TRUE"),0,VLOOKUP(VALUE(X$44),'HL Data'!$G$2:$P$51,10,0))</f>
        <v>186310.87999999998</v>
      </c>
      <c r="Y64" s="184">
        <f>IF(ISERR(VLOOKUP(VALUE(Y$44),'HL Data'!$G$2:$P$51,10,0)="TRUE"),0,VLOOKUP(VALUE(Y$44),'HL Data'!$G$2:$P$51,10,0))</f>
        <v>245899.46000000002</v>
      </c>
      <c r="Z64" s="184">
        <f>IF(ISERR(VLOOKUP(VALUE(Z$44),'HL Data'!$G$2:$P$51,10,0)="TRUE"),0,VLOOKUP(VALUE(Z$44),'HL Data'!$G$2:$P$51,10,0))</f>
        <v>0</v>
      </c>
      <c r="AA64" s="184">
        <f>IF(ISERR(VLOOKUP(VALUE(AA$44),'HL Data'!$G$2:$P$51,10,0)="TRUE"),0,VLOOKUP(VALUE(AA$44),'HL Data'!$G$2:$P$51,10,0))</f>
        <v>193862.88</v>
      </c>
      <c r="AB64" s="184">
        <f>IF(ISERR(VLOOKUP(VALUE(AB$44),'HL Data'!$G$2:$P$51,10,0)="TRUE"),0,VLOOKUP(VALUE(AB$44),'HL Data'!$G$2:$P$51,10,0))</f>
        <v>9055712.3200000003</v>
      </c>
      <c r="AC64" s="184">
        <f>IF(ISERR(VLOOKUP(VALUE(AC$44),'HL Data'!$G$2:$P$51,10,0)="TRUE"),0,VLOOKUP(VALUE(AC$44),'HL Data'!$G$2:$P$51,10,0))</f>
        <v>262198.87999999995</v>
      </c>
      <c r="AD64" s="184">
        <f>IF(ISERR(VLOOKUP(VALUE(AD$44),'HL Data'!$G$2:$P$51,10,0)="TRUE"),0,VLOOKUP(VALUE(AD$44),'HL Data'!$G$2:$P$51,10,0))</f>
        <v>100190.65</v>
      </c>
      <c r="AE64" s="184">
        <f>IF(ISERR(VLOOKUP(VALUE(AE$44),'HL Data'!$G$2:$P$51,10,0)="TRUE"),0,VLOOKUP(VALUE(AE$44),'HL Data'!$G$2:$P$51,10,0))</f>
        <v>600.81000000000006</v>
      </c>
      <c r="AF64" s="184">
        <f>IF(ISERR(VLOOKUP(VALUE(AF$44),'HL Data'!$G$2:$P$51,10,0)="TRUE"),0,VLOOKUP(VALUE(AF$44),'HL Data'!$G$2:$P$51,10,0))</f>
        <v>0</v>
      </c>
      <c r="AG64" s="184">
        <f>IF(ISERR(VLOOKUP(VALUE(AG$44),'HL Data'!$G$2:$P$51,10,0)="TRUE"),0,VLOOKUP(VALUE(AG$44),'HL Data'!$G$2:$P$51,10,0))</f>
        <v>1280219.32</v>
      </c>
      <c r="AH64" s="184">
        <f>IF(ISERR(VLOOKUP(VALUE(AH$44),'HL Data'!$G$2:$P$51,10,0)="TRUE"),0,VLOOKUP(VALUE(AH$44),'HL Data'!$G$2:$P$51,10,0))</f>
        <v>0</v>
      </c>
      <c r="AI64" s="184">
        <f>IF(ISERR(VLOOKUP(VALUE(AI$44),'HL Data'!$G$2:$P$51,10,0)="TRUE"),0,VLOOKUP(VALUE(AI$44),'HL Data'!$G$2:$P$51,10,0))</f>
        <v>0</v>
      </c>
      <c r="AJ64" s="184">
        <f>IF(ISERR(VLOOKUP(VALUE(AJ$44),'HL Data'!$G$2:$P$51,10,0)="TRUE"),0,VLOOKUP(VALUE(AJ$44),'HL Data'!$G$2:$P$51,10,0))</f>
        <v>2571514.36</v>
      </c>
      <c r="AK64" s="184">
        <f>IF(ISERR(VLOOKUP(VALUE(AK$44),'HL Data'!$G$2:$P$51,10,0)="TRUE"),0,VLOOKUP(VALUE(AK$44),'HL Data'!$G$2:$P$51,10,0))</f>
        <v>109.26999999999998</v>
      </c>
      <c r="AL64" s="184">
        <f>IF(ISERR(VLOOKUP(VALUE(AL$44),'HL Data'!$G$2:$P$51,10,0)="TRUE"),0,VLOOKUP(VALUE(AL$44),'HL Data'!$G$2:$P$51,10,0))</f>
        <v>165.26999999999998</v>
      </c>
      <c r="AM64" s="184">
        <f>IF(ISERR(VLOOKUP(VALUE(AM$44),'HL Data'!$G$2:$P$51,10,0)="TRUE"),0,VLOOKUP(VALUE(AM$44),'HL Data'!$G$2:$P$51,10,0))</f>
        <v>0</v>
      </c>
      <c r="AN64" s="184">
        <f>IF(ISERR(VLOOKUP(VALUE(AN$44),'HL Data'!$G$2:$P$51,10,0)="TRUE"),0,VLOOKUP(VALUE(AN$44),'HL Data'!$G$2:$P$51,10,0))</f>
        <v>0</v>
      </c>
      <c r="AO64" s="184">
        <f>IF(ISERR(VLOOKUP(VALUE(AO$44),'HL Data'!$G$2:$P$51,10,0)="TRUE"),0,VLOOKUP(VALUE(AO$44),'HL Data'!$G$2:$P$51,10,0))</f>
        <v>0</v>
      </c>
      <c r="AP64" s="184">
        <f>IF(ISERR(VLOOKUP(VALUE(AP$44),'HL Data'!$G$2:$P$51,10,0)="TRUE"),0,VLOOKUP(VALUE(AP$44),'HL Data'!$G$2:$P$51,10,0))</f>
        <v>0</v>
      </c>
      <c r="AQ64" s="184">
        <f>IF(ISERR(VLOOKUP(VALUE(AQ$44),'HL Data'!$G$2:$P$51,10,0)="TRUE"),0,VLOOKUP(VALUE(AQ$44),'HL Data'!$G$2:$P$51,10,0))</f>
        <v>0</v>
      </c>
      <c r="AR64" s="184">
        <f>IF(ISERR(VLOOKUP(VALUE(AR$44),'HL Data'!$G$2:$P$51,10,0)="TRUE"),0,VLOOKUP(VALUE(AR$44),'HL Data'!$G$2:$P$51,10,0))</f>
        <v>0</v>
      </c>
      <c r="AS64" s="184">
        <f>IF(ISERR(VLOOKUP(VALUE(AS$44),'HL Data'!$G$2:$P$51,10,0)="TRUE"),0,VLOOKUP(VALUE(AS$44),'HL Data'!$G$2:$P$51,10,0))</f>
        <v>0</v>
      </c>
      <c r="AT64" s="184">
        <f>IF(ISERR(VLOOKUP(VALUE(AT$44),'HL Data'!$G$2:$P$51,10,0)="TRUE"),0,VLOOKUP(VALUE(AT$44),'HL Data'!$G$2:$P$51,10,0))</f>
        <v>0</v>
      </c>
      <c r="AU64" s="184">
        <f>IF(ISERR(VLOOKUP(VALUE(AU$44),'HL Data'!$G$2:$P$51,10,0)="TRUE"),0,VLOOKUP(VALUE(AU$44),'HL Data'!$G$2:$P$51,10,0))</f>
        <v>0</v>
      </c>
      <c r="AV64" s="184">
        <f>IF(ISERR(VLOOKUP(VALUE(AV$44),'HL Data'!$G$2:$P$51,10,0)="TRUE"),0,VLOOKUP(VALUE(AV$44),'HL Data'!$G$2:$P$51,10,0))</f>
        <v>6730.0199999999995</v>
      </c>
      <c r="AW64" s="184">
        <f>IF(ISERR(VLOOKUP(VALUE(AW$44),'HL Data'!$G$2:$P$51,10,0)="TRUE"),0,VLOOKUP(VALUE(AW$44),'HL Data'!$G$2:$P$51,10,0))</f>
        <v>11.53</v>
      </c>
      <c r="AX64" s="184">
        <f>IF(ISERR(VLOOKUP(VALUE(AX$44),'HL Data'!$G$2:$P$51,10,0)="TRUE"),0,VLOOKUP(VALUE(AX$44),'HL Data'!$G$2:$P$51,10,0))</f>
        <v>0</v>
      </c>
      <c r="AY64" s="184">
        <f>IF(ISERR(VLOOKUP(VALUE(AY$44),'HL Data'!$G$2:$P$51,10,0)="TRUE"),0,VLOOKUP(VALUE(AY$44),'HL Data'!$G$2:$P$51,10,0))</f>
        <v>728899.43</v>
      </c>
      <c r="AZ64" s="184">
        <f>IF(ISERR(VLOOKUP(VALUE(AZ$44),'HL Data'!$G$2:$P$51,10,0)="TRUE"),0,VLOOKUP(VALUE(AZ$44),'HL Data'!$G$2:$P$51,10,0))</f>
        <v>0</v>
      </c>
      <c r="BA64" s="184">
        <f>IF(ISERR(VLOOKUP(VALUE(BA$44),'HL Data'!$G$2:$P$51,10,0)="TRUE"),0,VLOOKUP(VALUE(BA$44),'HL Data'!$G$2:$P$51,10,0))</f>
        <v>0</v>
      </c>
      <c r="BB64" s="184">
        <f>IF(ISERR(VLOOKUP(VALUE(BB$44),'HL Data'!$G$2:$P$51,10,0)="TRUE"),0,VLOOKUP(VALUE(BB$44),'HL Data'!$G$2:$P$51,10,0))</f>
        <v>0</v>
      </c>
      <c r="BC64" s="184">
        <f>IF(ISERR(VLOOKUP(VALUE(BC$44),'HL Data'!$G$2:$P$51,10,0)="TRUE"),0,VLOOKUP(VALUE(BC$44),'HL Data'!$G$2:$P$51,10,0))</f>
        <v>0</v>
      </c>
      <c r="BD64" s="184">
        <f>IF(ISERR(VLOOKUP(VALUE(BD$44),'HL Data'!$G$2:$P$51,10,0)="TRUE"),0,VLOOKUP(VALUE(BD$44),'HL Data'!$G$2:$P$51,10,0))</f>
        <v>0</v>
      </c>
      <c r="BE64" s="184">
        <f>IF(ISERR(VLOOKUP(VALUE(BE$44),'HL Data'!$G$2:$P$51,10,0)="TRUE"),0,VLOOKUP(VALUE(BE$44),'HL Data'!$G$2:$P$51,10,0))</f>
        <v>18794.87</v>
      </c>
      <c r="BF64" s="184">
        <f>IF(ISERR(VLOOKUP(VALUE(BF$44),'HL Data'!$G$2:$P$51,10,0)="TRUE"),0,VLOOKUP(VALUE(BF$44),'HL Data'!$G$2:$P$51,10,0))</f>
        <v>145785.84</v>
      </c>
      <c r="BG64" s="184">
        <f>IF(ISERR(VLOOKUP(VALUE(BG$44),'HL Data'!$G$2:$P$51,10,0)="TRUE"),0,VLOOKUP(VALUE(BG$44),'HL Data'!$G$2:$P$51,10,0))</f>
        <v>0</v>
      </c>
      <c r="BH64" s="184">
        <f>IF(ISERR(VLOOKUP(VALUE(BH$44),'HL Data'!$G$2:$P$51,10,0)="TRUE"),0,VLOOKUP(VALUE(BH$44),'HL Data'!$G$2:$P$51,10,0))</f>
        <v>0</v>
      </c>
      <c r="BI64" s="184">
        <f>IF(ISERR(VLOOKUP(VALUE(BI$44),'HL Data'!$G$2:$P$51,10,0)="TRUE"),0,VLOOKUP(VALUE(BI$44),'HL Data'!$G$2:$P$51,10,0))</f>
        <v>0</v>
      </c>
      <c r="BJ64" s="184">
        <f>IF(ISERR(VLOOKUP(VALUE(BJ$44),'HL Data'!$G$2:$P$51,10,0)="TRUE"),0,VLOOKUP(VALUE(BJ$44),'HL Data'!$G$2:$P$51,10,0))</f>
        <v>0</v>
      </c>
      <c r="BK64" s="184">
        <f>IF(ISERR(VLOOKUP(VALUE(BK$44),'HL Data'!$G$2:$P$51,10,0)="TRUE"),0,VLOOKUP(VALUE(BK$44),'HL Data'!$G$2:$P$51,10,0))</f>
        <v>0</v>
      </c>
      <c r="BL64" s="184">
        <f>IF(ISERR(VLOOKUP(VALUE(BL$44),'HL Data'!$G$2:$P$51,10,0)="TRUE"),0,VLOOKUP(VALUE(BL$44),'HL Data'!$G$2:$P$51,10,0))</f>
        <v>21352.93</v>
      </c>
      <c r="BM64" s="184">
        <f>IF(ISERR(VLOOKUP(VALUE(BM$44),'HL Data'!$G$2:$P$51,10,0)="TRUE"),0,VLOOKUP(VALUE(BM$44),'HL Data'!$G$2:$P$51,10,0))</f>
        <v>0</v>
      </c>
      <c r="BN64" s="184">
        <f>IF(ISERR(VLOOKUP(VALUE(BN$44),'HL Data'!$G$2:$P$51,10,0)="TRUE"),0,VLOOKUP(VALUE(BN$44),'HL Data'!$G$2:$P$51,10,0))</f>
        <v>49090.229999999989</v>
      </c>
      <c r="BO64" s="184">
        <f>IF(ISERR(VLOOKUP(VALUE(BO$44),'HL Data'!$G$2:$P$51,10,0)="TRUE"),0,VLOOKUP(VALUE(BO$44),'HL Data'!$G$2:$P$51,10,0))</f>
        <v>6981.6500000000005</v>
      </c>
      <c r="BP64" s="184">
        <f>IF(ISERR(VLOOKUP(VALUE(BP$44),'HL Data'!$G$2:$P$51,10,0)="TRUE"),0,VLOOKUP(VALUE(BP$44),'HL Data'!$G$2:$P$51,10,0))</f>
        <v>0</v>
      </c>
      <c r="BQ64" s="184">
        <f>IF(ISERR(VLOOKUP(VALUE(BQ$44),'HL Data'!$G$2:$P$51,10,0)="TRUE"),0,VLOOKUP(VALUE(BQ$44),'HL Data'!$G$2:$P$51,10,0))</f>
        <v>0</v>
      </c>
      <c r="BR64" s="184">
        <f>IF(ISERR(VLOOKUP(VALUE(BR$44),'HL Data'!$G$2:$P$51,10,0)="TRUE"),0,VLOOKUP(VALUE(BR$44),'HL Data'!$G$2:$P$51,10,0))</f>
        <v>15211.439999999999</v>
      </c>
      <c r="BS64" s="184">
        <f>IF(ISERR(VLOOKUP(VALUE(BS$44),'HL Data'!$G$2:$P$51,10,0)="TRUE"),0,VLOOKUP(VALUE(BS$44),'HL Data'!$G$2:$P$51,10,0))</f>
        <v>38733.14</v>
      </c>
      <c r="BT64" s="184">
        <f>IF(ISERR(VLOOKUP(VALUE(BT$44),'HL Data'!$G$2:$P$51,10,0)="TRUE"),0,VLOOKUP(VALUE(BT$44),'HL Data'!$G$2:$P$51,10,0))</f>
        <v>95.78</v>
      </c>
      <c r="BU64" s="184">
        <f>IF(ISERR(VLOOKUP(VALUE(BU$44),'HL Data'!$G$2:$P$51,10,0)="TRUE"),0,VLOOKUP(VALUE(BU$44),'HL Data'!$G$2:$P$51,10,0))</f>
        <v>0</v>
      </c>
      <c r="BV64" s="184">
        <f>IF(ISERR(VLOOKUP(VALUE(BV$44),'HL Data'!$G$2:$P$51,10,0)="TRUE"),0,VLOOKUP(VALUE(BV$44),'HL Data'!$G$2:$P$51,10,0))</f>
        <v>0</v>
      </c>
      <c r="BW64" s="184">
        <f>IF(ISERR(VLOOKUP(VALUE(BW$44),'HL Data'!$G$2:$P$51,10,0)="TRUE"),0,VLOOKUP(VALUE(BW$44),'HL Data'!$G$2:$P$51,10,0))</f>
        <v>40621.929999999993</v>
      </c>
      <c r="BX64" s="184">
        <f>IF(ISERR(VLOOKUP(VALUE(BX$44),'HL Data'!$G$2:$P$51,10,0)="TRUE"),0,VLOOKUP(VALUE(BX$44),'HL Data'!$G$2:$P$51,10,0))</f>
        <v>0</v>
      </c>
      <c r="BY64" s="184">
        <f>IF(ISERR(VLOOKUP(VALUE(BY$44),'HL Data'!$G$2:$P$51,10,0)="TRUE"),0,VLOOKUP(VALUE(BY$44),'HL Data'!$G$2:$P$51,10,0))</f>
        <v>472.85</v>
      </c>
      <c r="BZ64" s="184">
        <f>IF(ISERR(VLOOKUP(VALUE(BZ$44),'HL Data'!$G$2:$P$51,10,0)="TRUE"),0,VLOOKUP(VALUE(BZ$44),'HL Data'!$G$2:$P$51,10,0))</f>
        <v>0</v>
      </c>
      <c r="CA64" s="184">
        <f>IF(ISERR(VLOOKUP(VALUE(CA$44),'HL Data'!$G$2:$P$51,10,0)="TRUE"),0,VLOOKUP(VALUE(CA$44),'HL Data'!$G$2:$P$51,10,0))</f>
        <v>0</v>
      </c>
      <c r="CB64" s="184">
        <f>IF(ISERR(VLOOKUP(VALUE(CB$44),'HL Data'!$G$2:$P$51,10,0)="TRUE"),0,VLOOKUP(VALUE(CB$44),'HL Data'!$G$2:$P$51,10,0))</f>
        <v>0</v>
      </c>
      <c r="CC64" s="184">
        <f>IF(ISERR(VLOOKUP(VALUE(CC$44),'HL Data'!$G$2:$P$51,10,0)="TRUE"),0,VLOOKUP(VALUE(CC$44),'HL Data'!$G$2:$P$51,10,0))</f>
        <v>159038.63999999998</v>
      </c>
      <c r="CD64" s="243" t="s">
        <v>221</v>
      </c>
      <c r="CE64" s="193">
        <f t="shared" si="0"/>
        <v>26236478.410000008</v>
      </c>
      <c r="CF64" s="246"/>
    </row>
    <row r="65" spans="1:84" ht="12.6" customHeight="1" x14ac:dyDescent="0.25">
      <c r="A65" s="171" t="s">
        <v>238</v>
      </c>
      <c r="B65" s="175"/>
      <c r="C65" s="184">
        <f>IF(ISERR(VLOOKUP(VALUE(C$44),'HL Data'!$G$2:$Q$51,11,0)="TRUE"),0,VLOOKUP(VALUE(C$44),'HL Data'!$G$2:$Q$51,11,0))</f>
        <v>324.65000000000003</v>
      </c>
      <c r="D65" s="184">
        <f>IF(ISERR(VLOOKUP(VALUE(D$44),'HL Data'!$G$2:$Q$51,11,0)="TRUE"),0,VLOOKUP(VALUE(D$44),'HL Data'!$G$2:$Q$51,11,0))</f>
        <v>0</v>
      </c>
      <c r="E65" s="184">
        <f>IF(ISERR(VLOOKUP(VALUE(E$44),'HL Data'!$G$2:$Q$51,11,0)="TRUE"),0,VLOOKUP(VALUE(E$44),'HL Data'!$G$2:$Q$51,11,0))</f>
        <v>2648.41</v>
      </c>
      <c r="F65" s="184">
        <f>IF(ISERR(VLOOKUP(VALUE(F$44),'HL Data'!$G$2:$Q$51,11,0)="TRUE"),0,VLOOKUP(VALUE(F$44),'HL Data'!$G$2:$Q$51,11,0))</f>
        <v>0</v>
      </c>
      <c r="G65" s="184">
        <f>IF(ISERR(VLOOKUP(VALUE(G$44),'HL Data'!$G$2:$Q$51,11,0)="TRUE"),0,VLOOKUP(VALUE(G$44),'HL Data'!$G$2:$Q$51,11,0))</f>
        <v>0</v>
      </c>
      <c r="H65" s="184">
        <f>IF(ISERR(VLOOKUP(VALUE(H$44),'HL Data'!$G$2:$Q$51,11,0)="TRUE"),0,VLOOKUP(VALUE(H$44),'HL Data'!$G$2:$Q$51,11,0))</f>
        <v>0</v>
      </c>
      <c r="I65" s="184">
        <f>IF(ISERR(VLOOKUP(VALUE(I$44),'HL Data'!$G$2:$Q$51,11,0)="TRUE"),0,VLOOKUP(VALUE(I$44),'HL Data'!$G$2:$Q$51,11,0))</f>
        <v>0</v>
      </c>
      <c r="J65" s="184">
        <f>IF(ISERR(VLOOKUP(VALUE(J$44),'HL Data'!$G$2:$Q$51,11,0)="TRUE"),0,VLOOKUP(VALUE(J$44),'HL Data'!$G$2:$Q$51,11,0))</f>
        <v>0</v>
      </c>
      <c r="K65" s="184">
        <f>IF(ISERR(VLOOKUP(VALUE(K$44),'HL Data'!$G$2:$Q$51,11,0)="TRUE"),0,VLOOKUP(VALUE(K$44),'HL Data'!$G$2:$Q$51,11,0))</f>
        <v>0</v>
      </c>
      <c r="L65" s="184">
        <f>IF(ISERR(VLOOKUP(VALUE(L$44),'HL Data'!$G$2:$Q$51,11,0)="TRUE"),0,VLOOKUP(VALUE(L$44),'HL Data'!$G$2:$Q$51,11,0))</f>
        <v>0</v>
      </c>
      <c r="M65" s="184">
        <f>IF(ISERR(VLOOKUP(VALUE(M$44),'HL Data'!$G$2:$Q$51,11,0)="TRUE"),0,VLOOKUP(VALUE(M$44),'HL Data'!$G$2:$Q$51,11,0))</f>
        <v>0</v>
      </c>
      <c r="N65" s="184">
        <f>IF(ISERR(VLOOKUP(VALUE(N$44),'HL Data'!$G$2:$Q$51,11,0)="TRUE"),0,VLOOKUP(VALUE(N$44),'HL Data'!$G$2:$Q$51,11,0))</f>
        <v>0</v>
      </c>
      <c r="O65" s="184">
        <f>IF(ISERR(VLOOKUP(VALUE(O$44),'HL Data'!$G$2:$Q$51,11,0)="TRUE"),0,VLOOKUP(VALUE(O$44),'HL Data'!$G$2:$Q$51,11,0))</f>
        <v>1433.52</v>
      </c>
      <c r="P65" s="184">
        <f>IF(ISERR(VLOOKUP(VALUE(P$44),'HL Data'!$G$2:$Q$51,11,0)="TRUE"),0,VLOOKUP(VALUE(P$44),'HL Data'!$G$2:$Q$51,11,0))</f>
        <v>4714.2599999999993</v>
      </c>
      <c r="Q65" s="184">
        <f>IF(ISERR(VLOOKUP(VALUE(Q$44),'HL Data'!$G$2:$Q$51,11,0)="TRUE"),0,VLOOKUP(VALUE(Q$44),'HL Data'!$G$2:$Q$51,11,0))</f>
        <v>1560.24</v>
      </c>
      <c r="R65" s="184">
        <f>IF(ISERR(VLOOKUP(VALUE(R$44),'HL Data'!$G$2:$Q$51,11,0)="TRUE"),0,VLOOKUP(VALUE(R$44),'HL Data'!$G$2:$Q$51,11,0))</f>
        <v>0</v>
      </c>
      <c r="S65" s="184">
        <f>IF(ISERR(VLOOKUP(VALUE(S$44),'HL Data'!$G$2:$Q$51,11,0)="TRUE"),0,VLOOKUP(VALUE(S$44),'HL Data'!$G$2:$Q$51,11,0))</f>
        <v>0</v>
      </c>
      <c r="T65" s="184">
        <f>IF(ISERR(VLOOKUP(VALUE(T$44),'HL Data'!$G$2:$Q$51,11,0)="TRUE"),0,VLOOKUP(VALUE(T$44),'HL Data'!$G$2:$Q$51,11,0))</f>
        <v>324.14999999999998</v>
      </c>
      <c r="U65" s="184">
        <f>IF(ISERR(VLOOKUP(VALUE(U$44),'HL Data'!$G$2:$Q$51,11,0)="TRUE"),0,VLOOKUP(VALUE(U$44),'HL Data'!$G$2:$Q$51,11,0))</f>
        <v>285.31999999999994</v>
      </c>
      <c r="V65" s="184">
        <f>IF(ISERR(VLOOKUP(VALUE(V$44),'HL Data'!$G$2:$Q$51,11,0)="TRUE"),0,VLOOKUP(VALUE(V$44),'HL Data'!$G$2:$Q$51,11,0))</f>
        <v>0</v>
      </c>
      <c r="W65" s="184">
        <f>IF(ISERR(VLOOKUP(VALUE(W$44),'HL Data'!$G$2:$Q$51,11,0)="TRUE"),0,VLOOKUP(VALUE(W$44),'HL Data'!$G$2:$Q$51,11,0))</f>
        <v>10218.209999999999</v>
      </c>
      <c r="X65" s="184">
        <f>IF(ISERR(VLOOKUP(VALUE(X$44),'HL Data'!$G$2:$Q$51,11,0)="TRUE"),0,VLOOKUP(VALUE(X$44),'HL Data'!$G$2:$Q$51,11,0))</f>
        <v>0</v>
      </c>
      <c r="Y65" s="184">
        <f>IF(ISERR(VLOOKUP(VALUE(Y$44),'HL Data'!$G$2:$Q$51,11,0)="TRUE"),0,VLOOKUP(VALUE(Y$44),'HL Data'!$G$2:$Q$51,11,0))</f>
        <v>1595.81</v>
      </c>
      <c r="Z65" s="184">
        <f>IF(ISERR(VLOOKUP(VALUE(Z$44),'HL Data'!$G$2:$Q$51,11,0)="TRUE"),0,VLOOKUP(VALUE(Z$44),'HL Data'!$G$2:$Q$51,11,0))</f>
        <v>0</v>
      </c>
      <c r="AA65" s="184">
        <f>IF(ISERR(VLOOKUP(VALUE(AA$44),'HL Data'!$G$2:$Q$51,11,0)="TRUE"),0,VLOOKUP(VALUE(AA$44),'HL Data'!$G$2:$Q$51,11,0))</f>
        <v>0</v>
      </c>
      <c r="AB65" s="184">
        <f>IF(ISERR(VLOOKUP(VALUE(AB$44),'HL Data'!$G$2:$Q$51,11,0)="TRUE"),0,VLOOKUP(VALUE(AB$44),'HL Data'!$G$2:$Q$51,11,0))</f>
        <v>367.68</v>
      </c>
      <c r="AC65" s="184">
        <f>IF(ISERR(VLOOKUP(VALUE(AC$44),'HL Data'!$G$2:$Q$51,11,0)="TRUE"),0,VLOOKUP(VALUE(AC$44),'HL Data'!$G$2:$Q$51,11,0))</f>
        <v>500.82</v>
      </c>
      <c r="AD65" s="184">
        <f>IF(ISERR(VLOOKUP(VALUE(AD$44),'HL Data'!$G$2:$Q$51,11,0)="TRUE"),0,VLOOKUP(VALUE(AD$44),'HL Data'!$G$2:$Q$51,11,0))</f>
        <v>0</v>
      </c>
      <c r="AE65" s="184">
        <f>IF(ISERR(VLOOKUP(VALUE(AE$44),'HL Data'!$G$2:$Q$51,11,0)="TRUE"),0,VLOOKUP(VALUE(AE$44),'HL Data'!$G$2:$Q$51,11,0))</f>
        <v>0</v>
      </c>
      <c r="AF65" s="184">
        <f>IF(ISERR(VLOOKUP(VALUE(AF$44),'HL Data'!$G$2:$Q$51,11,0)="TRUE"),0,VLOOKUP(VALUE(AF$44),'HL Data'!$G$2:$Q$51,11,0))</f>
        <v>0</v>
      </c>
      <c r="AG65" s="184">
        <f>IF(ISERR(VLOOKUP(VALUE(AG$44),'HL Data'!$G$2:$Q$51,11,0)="TRUE"),0,VLOOKUP(VALUE(AG$44),'HL Data'!$G$2:$Q$51,11,0))</f>
        <v>414.18000000000006</v>
      </c>
      <c r="AH65" s="184">
        <f>IF(ISERR(VLOOKUP(VALUE(AH$44),'HL Data'!$G$2:$Q$51,11,0)="TRUE"),0,VLOOKUP(VALUE(AH$44),'HL Data'!$G$2:$Q$51,11,0))</f>
        <v>0</v>
      </c>
      <c r="AI65" s="184">
        <f>IF(ISERR(VLOOKUP(VALUE(AI$44),'HL Data'!$G$2:$Q$51,11,0)="TRUE"),0,VLOOKUP(VALUE(AI$44),'HL Data'!$G$2:$Q$51,11,0))</f>
        <v>0</v>
      </c>
      <c r="AJ65" s="184">
        <f>IF(ISERR(VLOOKUP(VALUE(AJ$44),'HL Data'!$G$2:$Q$51,11,0)="TRUE"),0,VLOOKUP(VALUE(AJ$44),'HL Data'!$G$2:$Q$51,11,0))</f>
        <v>314436.04000000004</v>
      </c>
      <c r="AK65" s="184">
        <f>IF(ISERR(VLOOKUP(VALUE(AK$44),'HL Data'!$G$2:$Q$51,11,0)="TRUE"),0,VLOOKUP(VALUE(AK$44),'HL Data'!$G$2:$Q$51,11,0))</f>
        <v>0</v>
      </c>
      <c r="AL65" s="184">
        <f>IF(ISERR(VLOOKUP(VALUE(AL$44),'HL Data'!$G$2:$Q$51,11,0)="TRUE"),0,VLOOKUP(VALUE(AL$44),'HL Data'!$G$2:$Q$51,11,0))</f>
        <v>0</v>
      </c>
      <c r="AM65" s="184">
        <f>IF(ISERR(VLOOKUP(VALUE(AM$44),'HL Data'!$G$2:$Q$51,11,0)="TRUE"),0,VLOOKUP(VALUE(AM$44),'HL Data'!$G$2:$Q$51,11,0))</f>
        <v>0</v>
      </c>
      <c r="AN65" s="184">
        <f>IF(ISERR(VLOOKUP(VALUE(AN$44),'HL Data'!$G$2:$Q$51,11,0)="TRUE"),0,VLOOKUP(VALUE(AN$44),'HL Data'!$G$2:$Q$51,11,0))</f>
        <v>0</v>
      </c>
      <c r="AO65" s="184">
        <f>IF(ISERR(VLOOKUP(VALUE(AO$44),'HL Data'!$G$2:$Q$51,11,0)="TRUE"),0,VLOOKUP(VALUE(AO$44),'HL Data'!$G$2:$Q$51,11,0))</f>
        <v>0</v>
      </c>
      <c r="AP65" s="184">
        <f>IF(ISERR(VLOOKUP(VALUE(AP$44),'HL Data'!$G$2:$Q$51,11,0)="TRUE"),0,VLOOKUP(VALUE(AP$44),'HL Data'!$G$2:$Q$51,11,0))</f>
        <v>0</v>
      </c>
      <c r="AQ65" s="184">
        <f>IF(ISERR(VLOOKUP(VALUE(AQ$44),'HL Data'!$G$2:$Q$51,11,0)="TRUE"),0,VLOOKUP(VALUE(AQ$44),'HL Data'!$G$2:$Q$51,11,0))</f>
        <v>0</v>
      </c>
      <c r="AR65" s="184">
        <f>IF(ISERR(VLOOKUP(VALUE(AR$44),'HL Data'!$G$2:$Q$51,11,0)="TRUE"),0,VLOOKUP(VALUE(AR$44),'HL Data'!$G$2:$Q$51,11,0))</f>
        <v>0</v>
      </c>
      <c r="AS65" s="184">
        <f>IF(ISERR(VLOOKUP(VALUE(AS$44),'HL Data'!$G$2:$Q$51,11,0)="TRUE"),0,VLOOKUP(VALUE(AS$44),'HL Data'!$G$2:$Q$51,11,0))</f>
        <v>0</v>
      </c>
      <c r="AT65" s="184">
        <f>IF(ISERR(VLOOKUP(VALUE(AT$44),'HL Data'!$G$2:$Q$51,11,0)="TRUE"),0,VLOOKUP(VALUE(AT$44),'HL Data'!$G$2:$Q$51,11,0))</f>
        <v>0</v>
      </c>
      <c r="AU65" s="184">
        <f>IF(ISERR(VLOOKUP(VALUE(AU$44),'HL Data'!$G$2:$Q$51,11,0)="TRUE"),0,VLOOKUP(VALUE(AU$44),'HL Data'!$G$2:$Q$51,11,0))</f>
        <v>0</v>
      </c>
      <c r="AV65" s="184">
        <f>IF(ISERR(VLOOKUP(VALUE(AV$44),'HL Data'!$G$2:$Q$51,11,0)="TRUE"),0,VLOOKUP(VALUE(AV$44),'HL Data'!$G$2:$Q$51,11,0))</f>
        <v>436.72</v>
      </c>
      <c r="AW65" s="184">
        <f>IF(ISERR(VLOOKUP(VALUE(AW$44),'HL Data'!$G$2:$Q$51,11,0)="TRUE"),0,VLOOKUP(VALUE(AW$44),'HL Data'!$G$2:$Q$51,11,0))</f>
        <v>7.99</v>
      </c>
      <c r="AX65" s="184">
        <f>IF(ISERR(VLOOKUP(VALUE(AX$44),'HL Data'!$G$2:$Q$51,11,0)="TRUE"),0,VLOOKUP(VALUE(AX$44),'HL Data'!$G$2:$Q$51,11,0))</f>
        <v>0</v>
      </c>
      <c r="AY65" s="184">
        <f>IF(ISERR(VLOOKUP(VALUE(AY$44),'HL Data'!$G$2:$Q$51,11,0)="TRUE"),0,VLOOKUP(VALUE(AY$44),'HL Data'!$G$2:$Q$51,11,0))</f>
        <v>288.36</v>
      </c>
      <c r="AZ65" s="184">
        <f>IF(ISERR(VLOOKUP(VALUE(AZ$44),'HL Data'!$G$2:$Q$51,11,0)="TRUE"),0,VLOOKUP(VALUE(AZ$44),'HL Data'!$G$2:$Q$51,11,0))</f>
        <v>0</v>
      </c>
      <c r="BA65" s="184">
        <f>IF(ISERR(VLOOKUP(VALUE(BA$44),'HL Data'!$G$2:$Q$51,11,0)="TRUE"),0,VLOOKUP(VALUE(BA$44),'HL Data'!$G$2:$Q$51,11,0))</f>
        <v>0</v>
      </c>
      <c r="BB65" s="184">
        <f>IF(ISERR(VLOOKUP(VALUE(BB$44),'HL Data'!$G$2:$Q$51,11,0)="TRUE"),0,VLOOKUP(VALUE(BB$44),'HL Data'!$G$2:$Q$51,11,0))</f>
        <v>0</v>
      </c>
      <c r="BC65" s="184">
        <f>IF(ISERR(VLOOKUP(VALUE(BC$44),'HL Data'!$G$2:$Q$51,11,0)="TRUE"),0,VLOOKUP(VALUE(BC$44),'HL Data'!$G$2:$Q$51,11,0))</f>
        <v>0</v>
      </c>
      <c r="BD65" s="184">
        <f>IF(ISERR(VLOOKUP(VALUE(BD$44),'HL Data'!$G$2:$Q$51,11,0)="TRUE"),0,VLOOKUP(VALUE(BD$44),'HL Data'!$G$2:$Q$51,11,0))</f>
        <v>0</v>
      </c>
      <c r="BE65" s="184">
        <f>IF(ISERR(VLOOKUP(VALUE(BE$44),'HL Data'!$G$2:$Q$51,11,0)="TRUE"),0,VLOOKUP(VALUE(BE$44),'HL Data'!$G$2:$Q$51,11,0))</f>
        <v>1303155.2000000002</v>
      </c>
      <c r="BF65" s="184">
        <f>IF(ISERR(VLOOKUP(VALUE(BF$44),'HL Data'!$G$2:$Q$51,11,0)="TRUE"),0,VLOOKUP(VALUE(BF$44),'HL Data'!$G$2:$Q$51,11,0))</f>
        <v>16161.220000000001</v>
      </c>
      <c r="BG65" s="184">
        <f>IF(ISERR(VLOOKUP(VALUE(BG$44),'HL Data'!$G$2:$Q$51,11,0)="TRUE"),0,VLOOKUP(VALUE(BG$44),'HL Data'!$G$2:$Q$51,11,0))</f>
        <v>0</v>
      </c>
      <c r="BH65" s="184">
        <f>IF(ISERR(VLOOKUP(VALUE(BH$44),'HL Data'!$G$2:$Q$51,11,0)="TRUE"),0,VLOOKUP(VALUE(BH$44),'HL Data'!$G$2:$Q$51,11,0))</f>
        <v>0</v>
      </c>
      <c r="BI65" s="184">
        <f>IF(ISERR(VLOOKUP(VALUE(BI$44),'HL Data'!$G$2:$Q$51,11,0)="TRUE"),0,VLOOKUP(VALUE(BI$44),'HL Data'!$G$2:$Q$51,11,0))</f>
        <v>0</v>
      </c>
      <c r="BJ65" s="184">
        <f>IF(ISERR(VLOOKUP(VALUE(BJ$44),'HL Data'!$G$2:$Q$51,11,0)="TRUE"),0,VLOOKUP(VALUE(BJ$44),'HL Data'!$G$2:$Q$51,11,0))</f>
        <v>0</v>
      </c>
      <c r="BK65" s="184">
        <f>IF(ISERR(VLOOKUP(VALUE(BK$44),'HL Data'!$G$2:$Q$51,11,0)="TRUE"),0,VLOOKUP(VALUE(BK$44),'HL Data'!$G$2:$Q$51,11,0))</f>
        <v>0</v>
      </c>
      <c r="BL65" s="184">
        <f>IF(ISERR(VLOOKUP(VALUE(BL$44),'HL Data'!$G$2:$Q$51,11,0)="TRUE"),0,VLOOKUP(VALUE(BL$44),'HL Data'!$G$2:$Q$51,11,0))</f>
        <v>94.6</v>
      </c>
      <c r="BM65" s="184">
        <f>IF(ISERR(VLOOKUP(VALUE(BM$44),'HL Data'!$G$2:$Q$51,11,0)="TRUE"),0,VLOOKUP(VALUE(BM$44),'HL Data'!$G$2:$Q$51,11,0))</f>
        <v>0</v>
      </c>
      <c r="BN65" s="184">
        <f>IF(ISERR(VLOOKUP(VALUE(BN$44),'HL Data'!$G$2:$Q$51,11,0)="TRUE"),0,VLOOKUP(VALUE(BN$44),'HL Data'!$G$2:$Q$51,11,0))</f>
        <v>2610</v>
      </c>
      <c r="BO65" s="184">
        <f>IF(ISERR(VLOOKUP(VALUE(BO$44),'HL Data'!$G$2:$Q$51,11,0)="TRUE"),0,VLOOKUP(VALUE(BO$44),'HL Data'!$G$2:$Q$51,11,0))</f>
        <v>3745.51</v>
      </c>
      <c r="BP65" s="184">
        <f>IF(ISERR(VLOOKUP(VALUE(BP$44),'HL Data'!$G$2:$Q$51,11,0)="TRUE"),0,VLOOKUP(VALUE(BP$44),'HL Data'!$G$2:$Q$51,11,0))</f>
        <v>0</v>
      </c>
      <c r="BQ65" s="184">
        <f>IF(ISERR(VLOOKUP(VALUE(BQ$44),'HL Data'!$G$2:$Q$51,11,0)="TRUE"),0,VLOOKUP(VALUE(BQ$44),'HL Data'!$G$2:$Q$51,11,0))</f>
        <v>0</v>
      </c>
      <c r="BR65" s="184">
        <f>IF(ISERR(VLOOKUP(VALUE(BR$44),'HL Data'!$G$2:$Q$51,11,0)="TRUE"),0,VLOOKUP(VALUE(BR$44),'HL Data'!$G$2:$Q$51,11,0))</f>
        <v>0</v>
      </c>
      <c r="BS65" s="184">
        <f>IF(ISERR(VLOOKUP(VALUE(BS$44),'HL Data'!$G$2:$Q$51,11,0)="TRUE"),0,VLOOKUP(VALUE(BS$44),'HL Data'!$G$2:$Q$51,11,0))</f>
        <v>0</v>
      </c>
      <c r="BT65" s="184">
        <f>IF(ISERR(VLOOKUP(VALUE(BT$44),'HL Data'!$G$2:$Q$51,11,0)="TRUE"),0,VLOOKUP(VALUE(BT$44),'HL Data'!$G$2:$Q$51,11,0))</f>
        <v>0</v>
      </c>
      <c r="BU65" s="184">
        <f>IF(ISERR(VLOOKUP(VALUE(BU$44),'HL Data'!$G$2:$Q$51,11,0)="TRUE"),0,VLOOKUP(VALUE(BU$44),'HL Data'!$G$2:$Q$51,11,0))</f>
        <v>0</v>
      </c>
      <c r="BV65" s="184">
        <f>IF(ISERR(VLOOKUP(VALUE(BV$44),'HL Data'!$G$2:$Q$51,11,0)="TRUE"),0,VLOOKUP(VALUE(BV$44),'HL Data'!$G$2:$Q$51,11,0))</f>
        <v>0</v>
      </c>
      <c r="BW65" s="184">
        <f>IF(ISERR(VLOOKUP(VALUE(BW$44),'HL Data'!$G$2:$Q$51,11,0)="TRUE"),0,VLOOKUP(VALUE(BW$44),'HL Data'!$G$2:$Q$51,11,0))</f>
        <v>0</v>
      </c>
      <c r="BX65" s="184">
        <f>IF(ISERR(VLOOKUP(VALUE(BX$44),'HL Data'!$G$2:$Q$51,11,0)="TRUE"),0,VLOOKUP(VALUE(BX$44),'HL Data'!$G$2:$Q$51,11,0))</f>
        <v>0</v>
      </c>
      <c r="BY65" s="184">
        <f>IF(ISERR(VLOOKUP(VALUE(BY$44),'HL Data'!$G$2:$Q$51,11,0)="TRUE"),0,VLOOKUP(VALUE(BY$44),'HL Data'!$G$2:$Q$51,11,0))</f>
        <v>692.72</v>
      </c>
      <c r="BZ65" s="184">
        <f>IF(ISERR(VLOOKUP(VALUE(BZ$44),'HL Data'!$G$2:$Q$51,11,0)="TRUE"),0,VLOOKUP(VALUE(BZ$44),'HL Data'!$G$2:$Q$51,11,0))</f>
        <v>0</v>
      </c>
      <c r="CA65" s="184">
        <f>IF(ISERR(VLOOKUP(VALUE(CA$44),'HL Data'!$G$2:$Q$51,11,0)="TRUE"),0,VLOOKUP(VALUE(CA$44),'HL Data'!$G$2:$Q$51,11,0))</f>
        <v>0</v>
      </c>
      <c r="CB65" s="184">
        <f>IF(ISERR(VLOOKUP(VALUE(CB$44),'HL Data'!$G$2:$Q$51,11,0)="TRUE"),0,VLOOKUP(VALUE(CB$44),'HL Data'!$G$2:$Q$51,11,0))</f>
        <v>0</v>
      </c>
      <c r="CC65" s="184">
        <f>IF(ISERR(VLOOKUP(VALUE(CC$44),'HL Data'!$G$2:$Q$51,11,0)="TRUE"),0,VLOOKUP(VALUE(CC$44),'HL Data'!$G$2:$Q$51,11,0))</f>
        <v>308538.23999999999</v>
      </c>
      <c r="CD65" s="243" t="s">
        <v>221</v>
      </c>
      <c r="CE65" s="193">
        <f t="shared" si="0"/>
        <v>1974553.85</v>
      </c>
      <c r="CF65" s="246"/>
    </row>
    <row r="66" spans="1:84" ht="12.6" customHeight="1" x14ac:dyDescent="0.25">
      <c r="A66" s="171" t="s">
        <v>239</v>
      </c>
      <c r="B66" s="175"/>
      <c r="C66" s="295">
        <f>IF(ISERR(VLOOKUP(VALUE(C$44),'HL Data'!$G$2:$O$51,9,0)="TRUE"),0,VLOOKUP(VALUE(C$44),'HL Data'!$G$2:$O$51,9,0))</f>
        <v>48809.41</v>
      </c>
      <c r="D66" s="184">
        <f>IF(ISERR(VLOOKUP(VALUE(D$44),'HL Data'!$G$2:$O$51,9,0)="TRUE"),0,VLOOKUP(VALUE(D$44),'HL Data'!$G$2:$O$51,9,0))</f>
        <v>0</v>
      </c>
      <c r="E66" s="184">
        <f>IF(ISERR(VLOOKUP(VALUE(E$44),'HL Data'!$G$2:$O$51,9,0)="TRUE"),0,VLOOKUP(VALUE(E$44),'HL Data'!$G$2:$O$51,9,0))</f>
        <v>1915463.4899200003</v>
      </c>
      <c r="F66" s="184">
        <f>IF(ISERR(VLOOKUP(VALUE(F$44),'HL Data'!$G$2:$O$51,9,0)="TRUE"),0,VLOOKUP(VALUE(F$44),'HL Data'!$G$2:$O$51,9,0))</f>
        <v>0</v>
      </c>
      <c r="G66" s="184">
        <f>IF(ISERR(VLOOKUP(VALUE(G$44),'HL Data'!$G$2:$O$51,9,0)="TRUE"),0,VLOOKUP(VALUE(G$44),'HL Data'!$G$2:$O$51,9,0))</f>
        <v>47434.720410000002</v>
      </c>
      <c r="H66" s="184">
        <f>IF(ISERR(VLOOKUP(VALUE(H$44),'HL Data'!$G$2:$O$51,9,0)="TRUE"),0,VLOOKUP(VALUE(H$44),'HL Data'!$G$2:$O$51,9,0))</f>
        <v>0</v>
      </c>
      <c r="I66" s="184">
        <f>IF(ISERR(VLOOKUP(VALUE(I$44),'HL Data'!$G$2:$O$51,9,0)="TRUE"),0,VLOOKUP(VALUE(I$44),'HL Data'!$G$2:$O$51,9,0))</f>
        <v>0</v>
      </c>
      <c r="J66" s="184">
        <f>IF(ISERR(VLOOKUP(VALUE(J$44),'HL Data'!$G$2:$O$51,9,0)="TRUE"),0,VLOOKUP(VALUE(J$44),'HL Data'!$G$2:$O$51,9,0))</f>
        <v>0</v>
      </c>
      <c r="K66" s="184">
        <f>IF(ISERR(VLOOKUP(VALUE(K$44),'HL Data'!$G$2:$O$51,9,0)="TRUE"),0,VLOOKUP(VALUE(K$44),'HL Data'!$G$2:$O$51,9,0))</f>
        <v>0</v>
      </c>
      <c r="L66" s="184">
        <f>IF(ISERR(VLOOKUP(VALUE(L$44),'HL Data'!$G$2:$O$51,9,0)="TRUE"),0,VLOOKUP(VALUE(L$44),'HL Data'!$G$2:$O$51,9,0))</f>
        <v>0</v>
      </c>
      <c r="M66" s="184">
        <f>IF(ISERR(VLOOKUP(VALUE(M$44),'HL Data'!$G$2:$O$51,9,0)="TRUE"),0,VLOOKUP(VALUE(M$44),'HL Data'!$G$2:$O$51,9,0))</f>
        <v>0</v>
      </c>
      <c r="N66" s="184">
        <f>IF(ISERR(VLOOKUP(VALUE(N$44),'HL Data'!$G$2:$O$51,9,0)="TRUE"),0,VLOOKUP(VALUE(N$44),'HL Data'!$G$2:$O$51,9,0))</f>
        <v>0</v>
      </c>
      <c r="O66" s="184">
        <f>IF(ISERR(VLOOKUP(VALUE(O$44),'HL Data'!$G$2:$O$51,9,0)="TRUE"),0,VLOOKUP(VALUE(O$44),'HL Data'!$G$2:$O$51,9,0))</f>
        <v>169203.04</v>
      </c>
      <c r="P66" s="184">
        <f>IF(ISERR(VLOOKUP(VALUE(P$44),'HL Data'!$G$2:$O$51,9,0)="TRUE"),0,VLOOKUP(VALUE(P$44),'HL Data'!$G$2:$O$51,9,0))</f>
        <v>1355109.0090399999</v>
      </c>
      <c r="Q66" s="184">
        <f>IF(ISERR(VLOOKUP(VALUE(Q$44),'HL Data'!$G$2:$O$51,9,0)="TRUE"),0,VLOOKUP(VALUE(Q$44),'HL Data'!$G$2:$O$51,9,0))</f>
        <v>28203.089999999997</v>
      </c>
      <c r="R66" s="184">
        <f>IF(ISERR(VLOOKUP(VALUE(R$44),'HL Data'!$G$2:$O$51,9,0)="TRUE"),0,VLOOKUP(VALUE(R$44),'HL Data'!$G$2:$O$51,9,0))</f>
        <v>0</v>
      </c>
      <c r="S66" s="184">
        <f>IF(ISERR(VLOOKUP(VALUE(S$44),'HL Data'!$G$2:$O$51,9,0)="TRUE"),0,VLOOKUP(VALUE(S$44),'HL Data'!$G$2:$O$51,9,0))</f>
        <v>28513.32756319</v>
      </c>
      <c r="T66" s="184">
        <f>IF(ISERR(VLOOKUP(VALUE(T$44),'HL Data'!$G$2:$O$51,9,0)="TRUE"),0,VLOOKUP(VALUE(T$44),'HL Data'!$G$2:$O$51,9,0))</f>
        <v>0</v>
      </c>
      <c r="U66" s="184">
        <f>IF(ISERR(VLOOKUP(VALUE(U$44),'HL Data'!$G$2:$O$51,9,0)="TRUE"),0,VLOOKUP(VALUE(U$44),'HL Data'!$G$2:$O$51,9,0))</f>
        <v>1565750.95551</v>
      </c>
      <c r="V66" s="184">
        <f>IF(ISERR(VLOOKUP(VALUE(V$44),'HL Data'!$G$2:$O$51,9,0)="TRUE"),0,VLOOKUP(VALUE(V$44),'HL Data'!$G$2:$O$51,9,0))</f>
        <v>0</v>
      </c>
      <c r="W66" s="184">
        <f>IF(ISERR(VLOOKUP(VALUE(W$44),'HL Data'!$G$2:$O$51,9,0)="TRUE"),0,VLOOKUP(VALUE(W$44),'HL Data'!$G$2:$O$51,9,0))</f>
        <v>397838.89</v>
      </c>
      <c r="X66" s="184">
        <f>IF(ISERR(VLOOKUP(VALUE(X$44),'HL Data'!$G$2:$O$51,9,0)="TRUE"),0,VLOOKUP(VALUE(X$44),'HL Data'!$G$2:$O$51,9,0))</f>
        <v>220489.36</v>
      </c>
      <c r="Y66" s="184">
        <f>IF(ISERR(VLOOKUP(VALUE(Y$44),'HL Data'!$G$2:$O$51,9,0)="TRUE"),0,VLOOKUP(VALUE(Y$44),'HL Data'!$G$2:$O$51,9,0))</f>
        <v>1130631.3600000001</v>
      </c>
      <c r="Z66" s="184">
        <f>IF(ISERR(VLOOKUP(VALUE(Z$44),'HL Data'!$G$2:$O$51,9,0)="TRUE"),0,VLOOKUP(VALUE(Z$44),'HL Data'!$G$2:$O$51,9,0))</f>
        <v>0</v>
      </c>
      <c r="AA66" s="184">
        <f>IF(ISERR(VLOOKUP(VALUE(AA$44),'HL Data'!$G$2:$O$51,9,0)="TRUE"),0,VLOOKUP(VALUE(AA$44),'HL Data'!$G$2:$O$51,9,0))</f>
        <v>278028.49999999994</v>
      </c>
      <c r="AB66" s="184">
        <f>IF(ISERR(VLOOKUP(VALUE(AB$44),'HL Data'!$G$2:$O$51,9,0)="TRUE"),0,VLOOKUP(VALUE(AB$44),'HL Data'!$G$2:$O$51,9,0))</f>
        <v>557248.5</v>
      </c>
      <c r="AC66" s="184">
        <f>IF(ISERR(VLOOKUP(VALUE(AC$44),'HL Data'!$G$2:$O$51,9,0)="TRUE"),0,VLOOKUP(VALUE(AC$44),'HL Data'!$G$2:$O$51,9,0))</f>
        <v>2091.86</v>
      </c>
      <c r="AD66" s="184">
        <f>IF(ISERR(VLOOKUP(VALUE(AD$44),'HL Data'!$G$2:$O$51,9,0)="TRUE"),0,VLOOKUP(VALUE(AD$44),'HL Data'!$G$2:$O$51,9,0))</f>
        <v>565327.18999999994</v>
      </c>
      <c r="AE66" s="184">
        <f>IF(ISERR(VLOOKUP(VALUE(AE$44),'HL Data'!$G$2:$O$51,9,0)="TRUE"),0,VLOOKUP(VALUE(AE$44),'HL Data'!$G$2:$O$51,9,0))</f>
        <v>600945.44999999995</v>
      </c>
      <c r="AF66" s="184">
        <f>IF(ISERR(VLOOKUP(VALUE(AF$44),'HL Data'!$G$2:$O$51,9,0)="TRUE"),0,VLOOKUP(VALUE(AF$44),'HL Data'!$G$2:$O$51,9,0))</f>
        <v>0</v>
      </c>
      <c r="AG66" s="184">
        <f>IF(ISERR(VLOOKUP(VALUE(AG$44),'HL Data'!$G$2:$O$51,9,0)="TRUE"),0,VLOOKUP(VALUE(AG$44),'HL Data'!$G$2:$O$51,9,0))</f>
        <v>501880.86000000004</v>
      </c>
      <c r="AH66" s="184">
        <f>IF(ISERR(VLOOKUP(VALUE(AH$44),'HL Data'!$G$2:$O$51,9,0)="TRUE"),0,VLOOKUP(VALUE(AH$44),'HL Data'!$G$2:$O$51,9,0))</f>
        <v>0</v>
      </c>
      <c r="AI66" s="184">
        <f>IF(ISERR(VLOOKUP(VALUE(AI$44),'HL Data'!$G$2:$O$51,9,0)="TRUE"),0,VLOOKUP(VALUE(AI$44),'HL Data'!$G$2:$O$51,9,0))</f>
        <v>0</v>
      </c>
      <c r="AJ66" s="295">
        <f>IF(ISERR(VLOOKUP(VALUE(AJ$44),'HL Data'!$G$2:$O$51,9,0)="TRUE"),0,VLOOKUP(VALUE(AJ$44),'HL Data'!$G$2:$O$51,9,0))</f>
        <v>4759379.959999999</v>
      </c>
      <c r="AK66" s="184">
        <f>IF(ISERR(VLOOKUP(VALUE(AK$44),'HL Data'!$G$2:$O$51,9,0)="TRUE"),0,VLOOKUP(VALUE(AK$44),'HL Data'!$G$2:$O$51,9,0))</f>
        <v>92610.150000000009</v>
      </c>
      <c r="AL66" s="184">
        <f>IF(ISERR(VLOOKUP(VALUE(AL$44),'HL Data'!$G$2:$O$51,9,0)="TRUE"),0,VLOOKUP(VALUE(AL$44),'HL Data'!$G$2:$O$51,9,0))</f>
        <v>28827.75</v>
      </c>
      <c r="AM66" s="184">
        <f>IF(ISERR(VLOOKUP(VALUE(AM$44),'HL Data'!$G$2:$O$51,9,0)="TRUE"),0,VLOOKUP(VALUE(AM$44),'HL Data'!$G$2:$O$51,9,0))</f>
        <v>0</v>
      </c>
      <c r="AN66" s="184">
        <f>IF(ISERR(VLOOKUP(VALUE(AN$44),'HL Data'!$G$2:$O$51,9,0)="TRUE"),0,VLOOKUP(VALUE(AN$44),'HL Data'!$G$2:$O$51,9,0))</f>
        <v>0</v>
      </c>
      <c r="AO66" s="184">
        <f>IF(ISERR(VLOOKUP(VALUE(AO$44),'HL Data'!$G$2:$O$51,9,0)="TRUE"),0,VLOOKUP(VALUE(AO$44),'HL Data'!$G$2:$O$51,9,0))</f>
        <v>0</v>
      </c>
      <c r="AP66" s="184">
        <f>IF(ISERR(VLOOKUP(VALUE(AP$44),'HL Data'!$G$2:$O$51,9,0)="TRUE"),0,VLOOKUP(VALUE(AP$44),'HL Data'!$G$2:$O$51,9,0))</f>
        <v>0</v>
      </c>
      <c r="AQ66" s="184">
        <f>IF(ISERR(VLOOKUP(VALUE(AQ$44),'HL Data'!$G$2:$O$51,9,0)="TRUE"),0,VLOOKUP(VALUE(AQ$44),'HL Data'!$G$2:$O$51,9,0))</f>
        <v>0</v>
      </c>
      <c r="AR66" s="184">
        <f>IF(ISERR(VLOOKUP(VALUE(AR$44),'HL Data'!$G$2:$O$51,9,0)="TRUE"),0,VLOOKUP(VALUE(AR$44),'HL Data'!$G$2:$O$51,9,0))</f>
        <v>0</v>
      </c>
      <c r="AS66" s="184">
        <f>IF(ISERR(VLOOKUP(VALUE(AS$44),'HL Data'!$G$2:$O$51,9,0)="TRUE"),0,VLOOKUP(VALUE(AS$44),'HL Data'!$G$2:$O$51,9,0))</f>
        <v>0</v>
      </c>
      <c r="AT66" s="184">
        <f>IF(ISERR(VLOOKUP(VALUE(AT$44),'HL Data'!$G$2:$O$51,9,0)="TRUE"),0,VLOOKUP(VALUE(AT$44),'HL Data'!$G$2:$O$51,9,0))</f>
        <v>0</v>
      </c>
      <c r="AU66" s="184">
        <f>IF(ISERR(VLOOKUP(VALUE(AU$44),'HL Data'!$G$2:$O$51,9,0)="TRUE"),0,VLOOKUP(VALUE(AU$44),'HL Data'!$G$2:$O$51,9,0))</f>
        <v>0</v>
      </c>
      <c r="AV66" s="184">
        <f>IF(ISERR(VLOOKUP(VALUE(AV$44),'HL Data'!$G$2:$O$51,9,0)="TRUE"),0,VLOOKUP(VALUE(AV$44),'HL Data'!$G$2:$O$51,9,0))</f>
        <v>1243006.6928400001</v>
      </c>
      <c r="AW66" s="184">
        <f>IF(ISERR(VLOOKUP(VALUE(AW$44),'HL Data'!$G$2:$O$51,9,0)="TRUE"),0,VLOOKUP(VALUE(AW$44),'HL Data'!$G$2:$O$51,9,0))</f>
        <v>0</v>
      </c>
      <c r="AX66" s="184">
        <f>IF(ISERR(VLOOKUP(VALUE(AX$44),'HL Data'!$G$2:$O$51,9,0)="TRUE"),0,VLOOKUP(VALUE(AX$44),'HL Data'!$G$2:$O$51,9,0))</f>
        <v>77174.285759999984</v>
      </c>
      <c r="AY66" s="184">
        <f>IF(ISERR(VLOOKUP(VALUE(AY$44),'HL Data'!$G$2:$O$51,9,0)="TRUE"),0,VLOOKUP(VALUE(AY$44),'HL Data'!$G$2:$O$51,9,0))</f>
        <v>426441.66</v>
      </c>
      <c r="AZ66" s="184">
        <f>IF(ISERR(VLOOKUP(VALUE(AZ$44),'HL Data'!$G$2:$O$51,9,0)="TRUE"),0,VLOOKUP(VALUE(AZ$44),'HL Data'!$G$2:$O$51,9,0))</f>
        <v>0</v>
      </c>
      <c r="BA66" s="184">
        <f>IF(ISERR(VLOOKUP(VALUE(BA$44),'HL Data'!$G$2:$O$51,9,0)="TRUE"),0,VLOOKUP(VALUE(BA$44),'HL Data'!$G$2:$O$51,9,0))</f>
        <v>0</v>
      </c>
      <c r="BB66" s="184">
        <f>IF(ISERR(VLOOKUP(VALUE(BB$44),'HL Data'!$G$2:$O$51,9,0)="TRUE"),0,VLOOKUP(VALUE(BB$44),'HL Data'!$G$2:$O$51,9,0))</f>
        <v>0</v>
      </c>
      <c r="BC66" s="184">
        <f>IF(ISERR(VLOOKUP(VALUE(BC$44),'HL Data'!$G$2:$O$51,9,0)="TRUE"),0,VLOOKUP(VALUE(BC$44),'HL Data'!$G$2:$O$51,9,0))</f>
        <v>0</v>
      </c>
      <c r="BD66" s="184">
        <f>IF(ISERR(VLOOKUP(VALUE(BD$44),'HL Data'!$G$2:$O$51,9,0)="TRUE"),0,VLOOKUP(VALUE(BD$44),'HL Data'!$G$2:$O$51,9,0))</f>
        <v>0</v>
      </c>
      <c r="BE66" s="184">
        <f>IF(ISERR(VLOOKUP(VALUE(BE$44),'HL Data'!$G$2:$O$51,9,0)="TRUE"),0,VLOOKUP(VALUE(BE$44),'HL Data'!$G$2:$O$51,9,0))</f>
        <v>2126665.0656699999</v>
      </c>
      <c r="BF66" s="184">
        <f>IF(ISERR(VLOOKUP(VALUE(BF$44),'HL Data'!$G$2:$O$51,9,0)="TRUE"),0,VLOOKUP(VALUE(BF$44),'HL Data'!$G$2:$O$51,9,0))</f>
        <v>414428.14999999991</v>
      </c>
      <c r="BG66" s="184">
        <f>IF(ISERR(VLOOKUP(VALUE(BG$44),'HL Data'!$G$2:$O$51,9,0)="TRUE"),0,VLOOKUP(VALUE(BG$44),'HL Data'!$G$2:$O$51,9,0))</f>
        <v>332227.36107000004</v>
      </c>
      <c r="BH66" s="184">
        <f>IF(ISERR(VLOOKUP(VALUE(BH$44),'HL Data'!$G$2:$O$51,9,0)="TRUE"),0,VLOOKUP(VALUE(BH$44),'HL Data'!$G$2:$O$51,9,0))</f>
        <v>918277.19082000002</v>
      </c>
      <c r="BI66" s="184">
        <f>IF(ISERR(VLOOKUP(VALUE(BI$44),'HL Data'!$G$2:$O$51,9,0)="TRUE"),0,VLOOKUP(VALUE(BI$44),'HL Data'!$G$2:$O$51,9,0))</f>
        <v>0</v>
      </c>
      <c r="BJ66" s="184">
        <f>IF(ISERR(VLOOKUP(VALUE(BJ$44),'HL Data'!$G$2:$O$51,9,0)="TRUE"),0,VLOOKUP(VALUE(BJ$44),'HL Data'!$G$2:$O$51,9,0))</f>
        <v>426244.97519999993</v>
      </c>
      <c r="BK66" s="184">
        <f>IF(ISERR(VLOOKUP(VALUE(BK$44),'HL Data'!$G$2:$O$51,9,0)="TRUE"),0,VLOOKUP(VALUE(BK$44),'HL Data'!$G$2:$O$51,9,0))</f>
        <v>3466391.3734293613</v>
      </c>
      <c r="BL66" s="184">
        <f>IF(ISERR(VLOOKUP(VALUE(BL$44),'HL Data'!$G$2:$O$51,9,0)="TRUE"),0,VLOOKUP(VALUE(BL$44),'HL Data'!$G$2:$O$51,9,0))</f>
        <v>2119664.3460600004</v>
      </c>
      <c r="BM66" s="184">
        <f>IF(ISERR(VLOOKUP(VALUE(BM$44),'HL Data'!$G$2:$O$51,9,0)="TRUE"),0,VLOOKUP(VALUE(BM$44),'HL Data'!$G$2:$O$51,9,0))</f>
        <v>0</v>
      </c>
      <c r="BN66" s="184">
        <f>IF(ISERR(VLOOKUP(VALUE(BN$44),'HL Data'!$G$2:$O$51,9,0)="TRUE"),0,VLOOKUP(VALUE(BN$44),'HL Data'!$G$2:$O$51,9,0))</f>
        <v>3092216.9123059548</v>
      </c>
      <c r="BO66" s="184">
        <f>IF(ISERR(VLOOKUP(VALUE(BO$44),'HL Data'!$G$2:$O$51,9,0)="TRUE"),0,VLOOKUP(VALUE(BO$44),'HL Data'!$G$2:$O$51,9,0))</f>
        <v>253355.64094000001</v>
      </c>
      <c r="BP66" s="184">
        <f>IF(ISERR(VLOOKUP(VALUE(BP$44),'HL Data'!$G$2:$O$51,9,0)="TRUE"),0,VLOOKUP(VALUE(BP$44),'HL Data'!$G$2:$O$51,9,0))</f>
        <v>1327451.4039599998</v>
      </c>
      <c r="BQ66" s="184">
        <f>IF(ISERR(VLOOKUP(VALUE(BQ$44),'HL Data'!$G$2:$O$51,9,0)="TRUE"),0,VLOOKUP(VALUE(BQ$44),'HL Data'!$G$2:$O$51,9,0))</f>
        <v>0</v>
      </c>
      <c r="BR66" s="184">
        <f>IF(ISERR(VLOOKUP(VALUE(BR$44),'HL Data'!$G$2:$O$51,9,0)="TRUE"),0,VLOOKUP(VALUE(BR$44),'HL Data'!$G$2:$O$51,9,0))</f>
        <v>779815.70418999984</v>
      </c>
      <c r="BS66" s="184">
        <f>IF(ISERR(VLOOKUP(VALUE(BS$44),'HL Data'!$G$2:$O$51,9,0)="TRUE"),0,VLOOKUP(VALUE(BS$44),'HL Data'!$G$2:$O$51,9,0))</f>
        <v>69599.493809999985</v>
      </c>
      <c r="BT66" s="184">
        <f>IF(ISERR(VLOOKUP(VALUE(BT$44),'HL Data'!$G$2:$O$51,9,0)="TRUE"),0,VLOOKUP(VALUE(BT$44),'HL Data'!$G$2:$O$51,9,0))</f>
        <v>119162.82410999999</v>
      </c>
      <c r="BU66" s="184">
        <f>IF(ISERR(VLOOKUP(VALUE(BU$44),'HL Data'!$G$2:$O$51,9,0)="TRUE"),0,VLOOKUP(VALUE(BU$44),'HL Data'!$G$2:$O$51,9,0))</f>
        <v>41511.700890000015</v>
      </c>
      <c r="BV66" s="184">
        <f>IF(ISERR(VLOOKUP(VALUE(BV$44),'HL Data'!$G$2:$O$51,9,0)="TRUE"),0,VLOOKUP(VALUE(BV$44),'HL Data'!$G$2:$O$51,9,0))</f>
        <v>4100035.0285737771</v>
      </c>
      <c r="BW66" s="184">
        <f>IF(ISERR(VLOOKUP(VALUE(BW$44),'HL Data'!$G$2:$O$51,9,0)="TRUE"),0,VLOOKUP(VALUE(BW$44),'HL Data'!$G$2:$O$51,9,0))</f>
        <v>616928.63295724499</v>
      </c>
      <c r="BX66" s="184">
        <f>IF(ISERR(VLOOKUP(VALUE(BX$44),'HL Data'!$G$2:$O$51,9,0)="TRUE"),0,VLOOKUP(VALUE(BX$44),'HL Data'!$G$2:$O$51,9,0))</f>
        <v>1035284.849531856</v>
      </c>
      <c r="BY66" s="184">
        <f>IF(ISERR(VLOOKUP(VALUE(BY$44),'HL Data'!$G$2:$O$51,9,0)="TRUE"),0,VLOOKUP(VALUE(BY$44),'HL Data'!$G$2:$O$51,9,0))</f>
        <v>113174.00160000002</v>
      </c>
      <c r="BZ66" s="184">
        <f>IF(ISERR(VLOOKUP(VALUE(BZ$44),'HL Data'!$G$2:$O$51,9,0)="TRUE"),0,VLOOKUP(VALUE(BZ$44),'HL Data'!$G$2:$O$51,9,0))</f>
        <v>0</v>
      </c>
      <c r="CA66" s="184">
        <f>IF(ISERR(VLOOKUP(VALUE(CA$44),'HL Data'!$G$2:$O$51,9,0)="TRUE"),0,VLOOKUP(VALUE(CA$44),'HL Data'!$G$2:$O$51,9,0))</f>
        <v>368412.98472000001</v>
      </c>
      <c r="CB66" s="184">
        <f>IF(ISERR(VLOOKUP(VALUE(CB$44),'HL Data'!$G$2:$O$51,9,0)="TRUE"),0,VLOOKUP(VALUE(CB$44),'HL Data'!$G$2:$O$51,9,0))</f>
        <v>44567.450729999997</v>
      </c>
      <c r="CC66" s="184">
        <f>IF(ISERR(VLOOKUP(VALUE(CC$44),'HL Data'!$G$2:$O$51,9,0)="TRUE"),0,VLOOKUP(VALUE(CC$44),'HL Data'!$G$2:$O$51,9,0))+2773117</f>
        <v>17777788.393271409</v>
      </c>
      <c r="CD66" s="243" t="s">
        <v>221</v>
      </c>
      <c r="CE66" s="193">
        <f t="shared" si="0"/>
        <v>55583612.9948828</v>
      </c>
      <c r="CF66" s="246"/>
    </row>
    <row r="67" spans="1:84" ht="12.6" customHeight="1" x14ac:dyDescent="0.25">
      <c r="A67" s="171" t="s">
        <v>6</v>
      </c>
      <c r="B67" s="175"/>
      <c r="C67" s="193">
        <f>ROUND(C51+C52,0)</f>
        <v>165953</v>
      </c>
      <c r="D67" s="193">
        <f>ROUND(D51+D52,0)</f>
        <v>0</v>
      </c>
      <c r="E67" s="193">
        <f t="shared" ref="E67:BP67" si="3">ROUND(E51+E52,0)</f>
        <v>1084125</v>
      </c>
      <c r="F67" s="193">
        <f t="shared" si="3"/>
        <v>0</v>
      </c>
      <c r="G67" s="193">
        <f t="shared" si="3"/>
        <v>0</v>
      </c>
      <c r="H67" s="193">
        <f t="shared" si="3"/>
        <v>0</v>
      </c>
      <c r="I67" s="193">
        <f t="shared" si="3"/>
        <v>0</v>
      </c>
      <c r="J67" s="193">
        <f>ROUND(J51+J52,0)</f>
        <v>0</v>
      </c>
      <c r="K67" s="193">
        <f t="shared" si="3"/>
        <v>0</v>
      </c>
      <c r="L67" s="193">
        <f t="shared" si="3"/>
        <v>0</v>
      </c>
      <c r="M67" s="193">
        <f t="shared" si="3"/>
        <v>0</v>
      </c>
      <c r="N67" s="193">
        <f t="shared" si="3"/>
        <v>0</v>
      </c>
      <c r="O67" s="193">
        <f t="shared" si="3"/>
        <v>224727</v>
      </c>
      <c r="P67" s="193">
        <f t="shared" si="3"/>
        <v>2472701</v>
      </c>
      <c r="Q67" s="193">
        <f t="shared" si="3"/>
        <v>87055</v>
      </c>
      <c r="R67" s="193">
        <f t="shared" si="3"/>
        <v>0</v>
      </c>
      <c r="S67" s="193">
        <f t="shared" si="3"/>
        <v>56159</v>
      </c>
      <c r="T67" s="193">
        <f t="shared" si="3"/>
        <v>12472</v>
      </c>
      <c r="U67" s="193">
        <f t="shared" si="3"/>
        <v>123187</v>
      </c>
      <c r="V67" s="193">
        <f t="shared" si="3"/>
        <v>0</v>
      </c>
      <c r="W67" s="193">
        <f t="shared" si="3"/>
        <v>328539</v>
      </c>
      <c r="X67" s="193">
        <f t="shared" si="3"/>
        <v>64350</v>
      </c>
      <c r="Y67" s="193">
        <f t="shared" si="3"/>
        <v>847003</v>
      </c>
      <c r="Z67" s="193">
        <f t="shared" si="3"/>
        <v>0</v>
      </c>
      <c r="AA67" s="193">
        <f t="shared" si="3"/>
        <v>40804</v>
      </c>
      <c r="AB67" s="193">
        <f t="shared" si="3"/>
        <v>339373</v>
      </c>
      <c r="AC67" s="193">
        <f t="shared" si="3"/>
        <v>65065</v>
      </c>
      <c r="AD67" s="193">
        <f t="shared" si="3"/>
        <v>0</v>
      </c>
      <c r="AE67" s="193">
        <f t="shared" si="3"/>
        <v>325</v>
      </c>
      <c r="AF67" s="193">
        <f t="shared" si="3"/>
        <v>0</v>
      </c>
      <c r="AG67" s="193">
        <f t="shared" si="3"/>
        <v>418163</v>
      </c>
      <c r="AH67" s="193">
        <f t="shared" si="3"/>
        <v>0</v>
      </c>
      <c r="AI67" s="193">
        <f t="shared" si="3"/>
        <v>0</v>
      </c>
      <c r="AJ67" s="193">
        <f t="shared" si="3"/>
        <v>2359566</v>
      </c>
      <c r="AK67" s="193">
        <f t="shared" si="3"/>
        <v>45</v>
      </c>
      <c r="AL67" s="193">
        <f t="shared" si="3"/>
        <v>3</v>
      </c>
      <c r="AM67" s="193">
        <f t="shared" si="3"/>
        <v>0</v>
      </c>
      <c r="AN67" s="193">
        <f t="shared" si="3"/>
        <v>0</v>
      </c>
      <c r="AO67" s="193">
        <f t="shared" si="3"/>
        <v>0</v>
      </c>
      <c r="AP67" s="193">
        <f t="shared" si="3"/>
        <v>0</v>
      </c>
      <c r="AQ67" s="193">
        <f t="shared" si="3"/>
        <v>0</v>
      </c>
      <c r="AR67" s="193">
        <f t="shared" si="3"/>
        <v>0</v>
      </c>
      <c r="AS67" s="193">
        <f t="shared" si="3"/>
        <v>0</v>
      </c>
      <c r="AT67" s="193">
        <f t="shared" si="3"/>
        <v>0</v>
      </c>
      <c r="AU67" s="193">
        <f t="shared" si="3"/>
        <v>0</v>
      </c>
      <c r="AV67" s="193">
        <f t="shared" si="3"/>
        <v>339</v>
      </c>
      <c r="AW67" s="193">
        <f t="shared" si="3"/>
        <v>267</v>
      </c>
      <c r="AX67" s="193">
        <f t="shared" si="3"/>
        <v>0</v>
      </c>
      <c r="AY67" s="193">
        <f t="shared" si="3"/>
        <v>47268</v>
      </c>
      <c r="AZ67" s="193">
        <f>ROUND(AZ51+AZ52,0)</f>
        <v>0</v>
      </c>
      <c r="BA67" s="193">
        <f>ROUND(BA51+BA52,0)</f>
        <v>0</v>
      </c>
      <c r="BB67" s="193">
        <f t="shared" si="3"/>
        <v>0</v>
      </c>
      <c r="BC67" s="193">
        <f t="shared" si="3"/>
        <v>0</v>
      </c>
      <c r="BD67" s="193">
        <f t="shared" si="3"/>
        <v>0</v>
      </c>
      <c r="BE67" s="193">
        <f t="shared" si="3"/>
        <v>206972</v>
      </c>
      <c r="BF67" s="193">
        <f t="shared" si="3"/>
        <v>13443</v>
      </c>
      <c r="BG67" s="193">
        <f t="shared" si="3"/>
        <v>0</v>
      </c>
      <c r="BH67" s="193">
        <f t="shared" si="3"/>
        <v>0</v>
      </c>
      <c r="BI67" s="193">
        <f t="shared" si="3"/>
        <v>0</v>
      </c>
      <c r="BJ67" s="193">
        <f t="shared" si="3"/>
        <v>0</v>
      </c>
      <c r="BK67" s="193">
        <f t="shared" si="3"/>
        <v>741</v>
      </c>
      <c r="BL67" s="193">
        <f t="shared" si="3"/>
        <v>20187</v>
      </c>
      <c r="BM67" s="193">
        <f t="shared" si="3"/>
        <v>0</v>
      </c>
      <c r="BN67" s="193">
        <f t="shared" si="3"/>
        <v>87007</v>
      </c>
      <c r="BO67" s="193">
        <f t="shared" si="3"/>
        <v>0</v>
      </c>
      <c r="BP67" s="193">
        <f t="shared" si="3"/>
        <v>0</v>
      </c>
      <c r="BQ67" s="193">
        <f t="shared" ref="BQ67:CC67" si="4">ROUND(BQ51+BQ52,0)</f>
        <v>0</v>
      </c>
      <c r="BR67" s="193">
        <f t="shared" si="4"/>
        <v>0</v>
      </c>
      <c r="BS67" s="193">
        <f t="shared" si="4"/>
        <v>358</v>
      </c>
      <c r="BT67" s="193">
        <f t="shared" si="4"/>
        <v>879</v>
      </c>
      <c r="BU67" s="193">
        <f t="shared" si="4"/>
        <v>0</v>
      </c>
      <c r="BV67" s="193">
        <f t="shared" si="4"/>
        <v>0</v>
      </c>
      <c r="BW67" s="193">
        <f t="shared" si="4"/>
        <v>232</v>
      </c>
      <c r="BX67" s="193">
        <f t="shared" si="4"/>
        <v>0</v>
      </c>
      <c r="BY67" s="193">
        <f t="shared" si="4"/>
        <v>310886</v>
      </c>
      <c r="BZ67" s="193">
        <f t="shared" si="4"/>
        <v>0</v>
      </c>
      <c r="CA67" s="193">
        <f t="shared" si="4"/>
        <v>0</v>
      </c>
      <c r="CB67" s="193">
        <f t="shared" si="4"/>
        <v>0</v>
      </c>
      <c r="CC67" s="193">
        <f t="shared" si="4"/>
        <v>6802442</v>
      </c>
      <c r="CD67" s="243" t="s">
        <v>221</v>
      </c>
      <c r="CE67" s="193">
        <f t="shared" si="0"/>
        <v>16180636</v>
      </c>
      <c r="CF67" s="246"/>
    </row>
    <row r="68" spans="1:84" ht="12.6" customHeight="1" x14ac:dyDescent="0.25">
      <c r="A68" s="171" t="s">
        <v>240</v>
      </c>
      <c r="B68" s="175"/>
      <c r="C68" s="295">
        <f>IF(ISERR(VLOOKUP(VALUE(C$44),'HL Data'!$G$2:$R$51,12,0)="TRUE"),0,VLOOKUP(VALUE(C$44),'HL Data'!$G$2:$R$51,12,0))</f>
        <v>-4116.1799999999976</v>
      </c>
      <c r="D68" s="295">
        <f>IF(ISERR(VLOOKUP(VALUE(D$44),'HL Data'!$G$2:$R$51,12,0)="TRUE"),0,VLOOKUP(VALUE(D$44),'HL Data'!$G$2:$R$51,12,0))</f>
        <v>0</v>
      </c>
      <c r="E68" s="295">
        <f>IF(ISERR(VLOOKUP(VALUE(E$44),'HL Data'!$G$2:$R$51,12,0)="TRUE"),0,VLOOKUP(VALUE(E$44),'HL Data'!$G$2:$R$51,12,0))</f>
        <v>19646.09</v>
      </c>
      <c r="F68" s="295">
        <f>IF(ISERR(VLOOKUP(VALUE(F$44),'HL Data'!$G$2:$R$51,12,0)="TRUE"),0,VLOOKUP(VALUE(F$44),'HL Data'!$G$2:$R$51,12,0))</f>
        <v>0</v>
      </c>
      <c r="G68" s="295">
        <f>IF(ISERR(VLOOKUP(VALUE(G$44),'HL Data'!$G$2:$R$51,12,0)="TRUE"),0,VLOOKUP(VALUE(G$44),'HL Data'!$G$2:$R$51,12,0))</f>
        <v>0</v>
      </c>
      <c r="H68" s="295">
        <f>IF(ISERR(VLOOKUP(VALUE(H$44),'HL Data'!$G$2:$R$51,12,0)="TRUE"),0,VLOOKUP(VALUE(H$44),'HL Data'!$G$2:$R$51,12,0))</f>
        <v>0</v>
      </c>
      <c r="I68" s="295">
        <f>IF(ISERR(VLOOKUP(VALUE(I$44),'HL Data'!$G$2:$R$51,12,0)="TRUE"),0,VLOOKUP(VALUE(I$44),'HL Data'!$G$2:$R$51,12,0))</f>
        <v>0</v>
      </c>
      <c r="J68" s="295">
        <f>IF(ISERR(VLOOKUP(VALUE(J$44),'HL Data'!$G$2:$R$51,12,0)="TRUE"),0,VLOOKUP(VALUE(J$44),'HL Data'!$G$2:$R$51,12,0))</f>
        <v>0</v>
      </c>
      <c r="K68" s="295">
        <f>IF(ISERR(VLOOKUP(VALUE(K$44),'HL Data'!$G$2:$R$51,12,0)="TRUE"),0,VLOOKUP(VALUE(K$44),'HL Data'!$G$2:$R$51,12,0))</f>
        <v>0</v>
      </c>
      <c r="L68" s="295">
        <f>IF(ISERR(VLOOKUP(VALUE(L$44),'HL Data'!$G$2:$R$51,12,0)="TRUE"),0,VLOOKUP(VALUE(L$44),'HL Data'!$G$2:$R$51,12,0))</f>
        <v>0</v>
      </c>
      <c r="M68" s="295">
        <f>IF(ISERR(VLOOKUP(VALUE(M$44),'HL Data'!$G$2:$R$51,12,0)="TRUE"),0,VLOOKUP(VALUE(M$44),'HL Data'!$G$2:$R$51,12,0))</f>
        <v>0</v>
      </c>
      <c r="N68" s="295">
        <f>IF(ISERR(VLOOKUP(VALUE(N$44),'HL Data'!$G$2:$R$51,12,0)="TRUE"),0,VLOOKUP(VALUE(N$44),'HL Data'!$G$2:$R$51,12,0))</f>
        <v>0</v>
      </c>
      <c r="O68" s="295">
        <f>IF(ISERR(VLOOKUP(VALUE(O$44),'HL Data'!$G$2:$R$51,12,0)="TRUE"),0,VLOOKUP(VALUE(O$44),'HL Data'!$G$2:$R$51,12,0))</f>
        <v>3522.83</v>
      </c>
      <c r="P68" s="295">
        <f>IF(ISERR(VLOOKUP(VALUE(P$44),'HL Data'!$G$2:$R$51,12,0)="TRUE"),0,VLOOKUP(VALUE(P$44),'HL Data'!$G$2:$R$51,12,0))</f>
        <v>248259.28000000006</v>
      </c>
      <c r="Q68" s="295">
        <f>IF(ISERR(VLOOKUP(VALUE(Q$44),'HL Data'!$G$2:$R$51,12,0)="TRUE"),0,VLOOKUP(VALUE(Q$44),'HL Data'!$G$2:$R$51,12,0))</f>
        <v>6642.93</v>
      </c>
      <c r="R68" s="295">
        <f>IF(ISERR(VLOOKUP(VALUE(R$44),'HL Data'!$G$2:$R$51,12,0)="TRUE"),0,VLOOKUP(VALUE(R$44),'HL Data'!$G$2:$R$51,12,0))</f>
        <v>0</v>
      </c>
      <c r="S68" s="295">
        <f>IF(ISERR(VLOOKUP(VALUE(S$44),'HL Data'!$G$2:$R$51,12,0)="TRUE"),0,VLOOKUP(VALUE(S$44),'HL Data'!$G$2:$R$51,12,0))</f>
        <v>4730.38</v>
      </c>
      <c r="T68" s="295">
        <f>IF(ISERR(VLOOKUP(VALUE(T$44),'HL Data'!$G$2:$R$51,12,0)="TRUE"),0,VLOOKUP(VALUE(T$44),'HL Data'!$G$2:$R$51,12,0))</f>
        <v>0</v>
      </c>
      <c r="U68" s="295">
        <f>IF(ISERR(VLOOKUP(VALUE(U$44),'HL Data'!$G$2:$R$51,12,0)="TRUE"),0,VLOOKUP(VALUE(U$44),'HL Data'!$G$2:$R$51,12,0))</f>
        <v>99452.74</v>
      </c>
      <c r="V68" s="295">
        <f>IF(ISERR(VLOOKUP(VALUE(V$44),'HL Data'!$G$2:$R$51,12,0)="TRUE"),0,VLOOKUP(VALUE(V$44),'HL Data'!$G$2:$R$51,12,0))</f>
        <v>0</v>
      </c>
      <c r="W68" s="295">
        <f>IF(ISERR(VLOOKUP(VALUE(W$44),'HL Data'!$G$2:$R$51,12,0)="TRUE"),0,VLOOKUP(VALUE(W$44),'HL Data'!$G$2:$R$51,12,0))</f>
        <v>180272.01999999996</v>
      </c>
      <c r="X68" s="295">
        <f>IF(ISERR(VLOOKUP(VALUE(X$44),'HL Data'!$G$2:$R$51,12,0)="TRUE"),0,VLOOKUP(VALUE(X$44),'HL Data'!$G$2:$R$51,12,0))</f>
        <v>0</v>
      </c>
      <c r="Y68" s="295">
        <f>IF(ISERR(VLOOKUP(VALUE(Y$44),'HL Data'!$G$2:$R$51,12,0)="TRUE"),0,VLOOKUP(VALUE(Y$44),'HL Data'!$G$2:$R$51,12,0))</f>
        <v>233222.45999999996</v>
      </c>
      <c r="Z68" s="295">
        <f>IF(ISERR(VLOOKUP(VALUE(Z$44),'HL Data'!$G$2:$R$51,12,0)="TRUE"),0,VLOOKUP(VALUE(Z$44),'HL Data'!$G$2:$R$51,12,0))</f>
        <v>0</v>
      </c>
      <c r="AA68" s="295">
        <f>IF(ISERR(VLOOKUP(VALUE(AA$44),'HL Data'!$G$2:$R$51,12,0)="TRUE"),0,VLOOKUP(VALUE(AA$44),'HL Data'!$G$2:$R$51,12,0))</f>
        <v>284.83</v>
      </c>
      <c r="AB68" s="295">
        <f>IF(ISERR(VLOOKUP(VALUE(AB$44),'HL Data'!$G$2:$R$51,12,0)="TRUE"),0,VLOOKUP(VALUE(AB$44),'HL Data'!$G$2:$R$51,12,0))</f>
        <v>17117.62</v>
      </c>
      <c r="AC68" s="295">
        <f>IF(ISERR(VLOOKUP(VALUE(AC$44),'HL Data'!$G$2:$R$51,12,0)="TRUE"),0,VLOOKUP(VALUE(AC$44),'HL Data'!$G$2:$R$51,12,0))</f>
        <v>7377.9000000000015</v>
      </c>
      <c r="AD68" s="295">
        <f>IF(ISERR(VLOOKUP(VALUE(AD$44),'HL Data'!$G$2:$R$51,12,0)="TRUE"),0,VLOOKUP(VALUE(AD$44),'HL Data'!$G$2:$R$51,12,0))</f>
        <v>0</v>
      </c>
      <c r="AE68" s="295">
        <f>IF(ISERR(VLOOKUP(VALUE(AE$44),'HL Data'!$G$2:$R$51,12,0)="TRUE"),0,VLOOKUP(VALUE(AE$44),'HL Data'!$G$2:$R$51,12,0))</f>
        <v>1350.23</v>
      </c>
      <c r="AF68" s="295">
        <f>IF(ISERR(VLOOKUP(VALUE(AF$44),'HL Data'!$G$2:$R$51,12,0)="TRUE"),0,VLOOKUP(VALUE(AF$44),'HL Data'!$G$2:$R$51,12,0))</f>
        <v>0</v>
      </c>
      <c r="AG68" s="295">
        <f>IF(ISERR(VLOOKUP(VALUE(AG$44),'HL Data'!$G$2:$R$51,12,0)="TRUE"),0,VLOOKUP(VALUE(AG$44),'HL Data'!$G$2:$R$51,12,0))</f>
        <v>17019.62</v>
      </c>
      <c r="AH68" s="295">
        <f>IF(ISERR(VLOOKUP(VALUE(AH$44),'HL Data'!$G$2:$R$51,12,0)="TRUE"),0,VLOOKUP(VALUE(AH$44),'HL Data'!$G$2:$R$51,12,0))</f>
        <v>0</v>
      </c>
      <c r="AI68" s="295">
        <f>IF(ISERR(VLOOKUP(VALUE(AI$44),'HL Data'!$G$2:$R$51,12,0)="TRUE"),0,VLOOKUP(VALUE(AI$44),'HL Data'!$G$2:$R$51,12,0))</f>
        <v>0</v>
      </c>
      <c r="AJ68" s="295">
        <f>IF(ISERR(VLOOKUP(VALUE(AJ$44),'HL Data'!$G$2:$R$51,12,0)="TRUE"),0,VLOOKUP(VALUE(AJ$44),'HL Data'!$G$2:$R$51,12,0))</f>
        <v>3906009.22</v>
      </c>
      <c r="AK68" s="295">
        <f>IF(ISERR(VLOOKUP(VALUE(AK$44),'HL Data'!$G$2:$R$51,12,0)="TRUE"),0,VLOOKUP(VALUE(AK$44),'HL Data'!$G$2:$R$51,12,0))</f>
        <v>0</v>
      </c>
      <c r="AL68" s="295">
        <f>IF(ISERR(VLOOKUP(VALUE(AL$44),'HL Data'!$G$2:$R$51,12,0)="TRUE"),0,VLOOKUP(VALUE(AL$44),'HL Data'!$G$2:$R$51,12,0))</f>
        <v>0</v>
      </c>
      <c r="AM68" s="295">
        <f>IF(ISERR(VLOOKUP(VALUE(AM$44),'HL Data'!$G$2:$R$51,12,0)="TRUE"),0,VLOOKUP(VALUE(AM$44),'HL Data'!$G$2:$R$51,12,0))</f>
        <v>0</v>
      </c>
      <c r="AN68" s="295">
        <f>IF(ISERR(VLOOKUP(VALUE(AN$44),'HL Data'!$G$2:$R$51,12,0)="TRUE"),0,VLOOKUP(VALUE(AN$44),'HL Data'!$G$2:$R$51,12,0))</f>
        <v>0</v>
      </c>
      <c r="AO68" s="295">
        <f>IF(ISERR(VLOOKUP(VALUE(AO$44),'HL Data'!$G$2:$R$51,12,0)="TRUE"),0,VLOOKUP(VALUE(AO$44),'HL Data'!$G$2:$R$51,12,0))</f>
        <v>0</v>
      </c>
      <c r="AP68" s="295">
        <f>IF(ISERR(VLOOKUP(VALUE(AP$44),'HL Data'!$G$2:$R$51,12,0)="TRUE"),0,VLOOKUP(VALUE(AP$44),'HL Data'!$G$2:$R$51,12,0))</f>
        <v>0</v>
      </c>
      <c r="AQ68" s="295">
        <f>IF(ISERR(VLOOKUP(VALUE(AQ$44),'HL Data'!$G$2:$R$51,12,0)="TRUE"),0,VLOOKUP(VALUE(AQ$44),'HL Data'!$G$2:$R$51,12,0))</f>
        <v>0</v>
      </c>
      <c r="AR68" s="295">
        <f>IF(ISERR(VLOOKUP(VALUE(AR$44),'HL Data'!$G$2:$R$51,12,0)="TRUE"),0,VLOOKUP(VALUE(AR$44),'HL Data'!$G$2:$R$51,12,0))</f>
        <v>0</v>
      </c>
      <c r="AS68" s="295">
        <f>IF(ISERR(VLOOKUP(VALUE(AS$44),'HL Data'!$G$2:$R$51,12,0)="TRUE"),0,VLOOKUP(VALUE(AS$44),'HL Data'!$G$2:$R$51,12,0))</f>
        <v>0</v>
      </c>
      <c r="AT68" s="295">
        <f>IF(ISERR(VLOOKUP(VALUE(AT$44),'HL Data'!$G$2:$R$51,12,0)="TRUE"),0,VLOOKUP(VALUE(AT$44),'HL Data'!$G$2:$R$51,12,0))</f>
        <v>0</v>
      </c>
      <c r="AU68" s="295">
        <f>IF(ISERR(VLOOKUP(VALUE(AU$44),'HL Data'!$G$2:$R$51,12,0)="TRUE"),0,VLOOKUP(VALUE(AU$44),'HL Data'!$G$2:$R$51,12,0))</f>
        <v>0</v>
      </c>
      <c r="AV68" s="295">
        <f>IF(ISERR(VLOOKUP(VALUE(AV$44),'HL Data'!$G$2:$R$51,12,0)="TRUE"),0,VLOOKUP(VALUE(AV$44),'HL Data'!$G$2:$R$51,12,0))</f>
        <v>2251.4399999999996</v>
      </c>
      <c r="AW68" s="295">
        <f>IF(ISERR(VLOOKUP(VALUE(AW$44),'HL Data'!$G$2:$R$51,12,0)="TRUE"),0,VLOOKUP(VALUE(AW$44),'HL Data'!$G$2:$R$51,12,0))</f>
        <v>0</v>
      </c>
      <c r="AX68" s="295">
        <f>IF(ISERR(VLOOKUP(VALUE(AX$44),'HL Data'!$G$2:$R$51,12,0)="TRUE"),0,VLOOKUP(VALUE(AX$44),'HL Data'!$G$2:$R$51,12,0))</f>
        <v>0</v>
      </c>
      <c r="AY68" s="295">
        <f>IF(ISERR(VLOOKUP(VALUE(AY$44),'HL Data'!$G$2:$R$51,12,0)="TRUE"),0,VLOOKUP(VALUE(AY$44),'HL Data'!$G$2:$R$51,12,0))</f>
        <v>5579.73</v>
      </c>
      <c r="AZ68" s="295">
        <f>IF(ISERR(VLOOKUP(VALUE(AZ$44),'HL Data'!$G$2:$R$51,12,0)="TRUE"),0,VLOOKUP(VALUE(AZ$44),'HL Data'!$G$2:$R$51,12,0))</f>
        <v>0</v>
      </c>
      <c r="BA68" s="295">
        <f>IF(ISERR(VLOOKUP(VALUE(BA$44),'HL Data'!$G$2:$R$51,12,0)="TRUE"),0,VLOOKUP(VALUE(BA$44),'HL Data'!$G$2:$R$51,12,0))</f>
        <v>0</v>
      </c>
      <c r="BB68" s="295">
        <f>IF(ISERR(VLOOKUP(VALUE(BB$44),'HL Data'!$G$2:$R$51,12,0)="TRUE"),0,VLOOKUP(VALUE(BB$44),'HL Data'!$G$2:$R$51,12,0))</f>
        <v>0</v>
      </c>
      <c r="BC68" s="295">
        <f>IF(ISERR(VLOOKUP(VALUE(BC$44),'HL Data'!$G$2:$R$51,12,0)="TRUE"),0,VLOOKUP(VALUE(BC$44),'HL Data'!$G$2:$R$51,12,0))</f>
        <v>0</v>
      </c>
      <c r="BD68" s="295">
        <f>IF(ISERR(VLOOKUP(VALUE(BD$44),'HL Data'!$G$2:$R$51,12,0)="TRUE"),0,VLOOKUP(VALUE(BD$44),'HL Data'!$G$2:$R$51,12,0))</f>
        <v>0</v>
      </c>
      <c r="BE68" s="295">
        <f>IF(ISERR(VLOOKUP(VALUE(BE$44),'HL Data'!$G$2:$R$51,12,0)="TRUE"),0,VLOOKUP(VALUE(BE$44),'HL Data'!$G$2:$R$51,12,0))</f>
        <v>2056.9</v>
      </c>
      <c r="BF68" s="295">
        <f>IF(ISERR(VLOOKUP(VALUE(BF$44),'HL Data'!$G$2:$R$51,12,0)="TRUE"),0,VLOOKUP(VALUE(BF$44),'HL Data'!$G$2:$R$51,12,0))</f>
        <v>1035.68</v>
      </c>
      <c r="BG68" s="295">
        <f>IF(ISERR(VLOOKUP(VALUE(BG$44),'HL Data'!$G$2:$R$51,12,0)="TRUE"),0,VLOOKUP(VALUE(BG$44),'HL Data'!$G$2:$R$51,12,0))</f>
        <v>0</v>
      </c>
      <c r="BH68" s="295">
        <f>IF(ISERR(VLOOKUP(VALUE(BH$44),'HL Data'!$G$2:$R$51,12,0)="TRUE"),0,VLOOKUP(VALUE(BH$44),'HL Data'!$G$2:$R$51,12,0))</f>
        <v>0</v>
      </c>
      <c r="BI68" s="295">
        <f>IF(ISERR(VLOOKUP(VALUE(BI$44),'HL Data'!$G$2:$R$51,12,0)="TRUE"),0,VLOOKUP(VALUE(BI$44),'HL Data'!$G$2:$R$51,12,0))</f>
        <v>0</v>
      </c>
      <c r="BJ68" s="295">
        <f>IF(ISERR(VLOOKUP(VALUE(BJ$44),'HL Data'!$G$2:$R$51,12,0)="TRUE"),0,VLOOKUP(VALUE(BJ$44),'HL Data'!$G$2:$R$51,12,0))</f>
        <v>0</v>
      </c>
      <c r="BK68" s="295">
        <f>IF(ISERR(VLOOKUP(VALUE(BK$44),'HL Data'!$G$2:$R$51,12,0)="TRUE"),0,VLOOKUP(VALUE(BK$44),'HL Data'!$G$2:$R$51,12,0))</f>
        <v>0</v>
      </c>
      <c r="BL68" s="295">
        <f>IF(ISERR(VLOOKUP(VALUE(BL$44),'HL Data'!$G$2:$R$51,12,0)="TRUE"),0,VLOOKUP(VALUE(BL$44),'HL Data'!$G$2:$R$51,12,0))</f>
        <v>4316.09</v>
      </c>
      <c r="BM68" s="295">
        <f>IF(ISERR(VLOOKUP(VALUE(BM$44),'HL Data'!$G$2:$R$51,12,0)="TRUE"),0,VLOOKUP(VALUE(BM$44),'HL Data'!$G$2:$R$51,12,0))</f>
        <v>0</v>
      </c>
      <c r="BN68" s="295">
        <f>IF(ISERR(VLOOKUP(VALUE(BN$44),'HL Data'!$G$2:$R$51,12,0)="TRUE"),0,VLOOKUP(VALUE(BN$44),'HL Data'!$G$2:$R$51,12,0))</f>
        <v>48313.509999999987</v>
      </c>
      <c r="BO68" s="295">
        <f>IF(ISERR(VLOOKUP(VALUE(BO$44),'HL Data'!$G$2:$R$51,12,0)="TRUE"),0,VLOOKUP(VALUE(BO$44),'HL Data'!$G$2:$R$51,12,0))</f>
        <v>0</v>
      </c>
      <c r="BP68" s="295">
        <f>IF(ISERR(VLOOKUP(VALUE(BP$44),'HL Data'!$G$2:$R$51,12,0)="TRUE"),0,VLOOKUP(VALUE(BP$44),'HL Data'!$G$2:$R$51,12,0))</f>
        <v>0</v>
      </c>
      <c r="BQ68" s="295">
        <f>IF(ISERR(VLOOKUP(VALUE(BQ$44),'HL Data'!$G$2:$R$51,12,0)="TRUE"),0,VLOOKUP(VALUE(BQ$44),'HL Data'!$G$2:$R$51,12,0))</f>
        <v>0</v>
      </c>
      <c r="BR68" s="295">
        <f>IF(ISERR(VLOOKUP(VALUE(BR$44),'HL Data'!$G$2:$R$51,12,0)="TRUE"),0,VLOOKUP(VALUE(BR$44),'HL Data'!$G$2:$R$51,12,0))</f>
        <v>0</v>
      </c>
      <c r="BS68" s="295">
        <f>IF(ISERR(VLOOKUP(VALUE(BS$44),'HL Data'!$G$2:$R$51,12,0)="TRUE"),0,VLOOKUP(VALUE(BS$44),'HL Data'!$G$2:$R$51,12,0))</f>
        <v>424.37</v>
      </c>
      <c r="BT68" s="295">
        <f>IF(ISERR(VLOOKUP(VALUE(BT$44),'HL Data'!$G$2:$R$51,12,0)="TRUE"),0,VLOOKUP(VALUE(BT$44),'HL Data'!$G$2:$R$51,12,0))</f>
        <v>715.14</v>
      </c>
      <c r="BU68" s="295">
        <f>IF(ISERR(VLOOKUP(VALUE(BU$44),'HL Data'!$G$2:$R$51,12,0)="TRUE"),0,VLOOKUP(VALUE(BU$44),'HL Data'!$G$2:$R$51,12,0))</f>
        <v>0</v>
      </c>
      <c r="BV68" s="295">
        <f>IF(ISERR(VLOOKUP(VALUE(BV$44),'HL Data'!$G$2:$R$51,12,0)="TRUE"),0,VLOOKUP(VALUE(BV$44),'HL Data'!$G$2:$R$51,12,0))</f>
        <v>0</v>
      </c>
      <c r="BW68" s="295">
        <f>IF(ISERR(VLOOKUP(VALUE(BW$44),'HL Data'!$G$2:$R$51,12,0)="TRUE"),0,VLOOKUP(VALUE(BW$44),'HL Data'!$G$2:$R$51,12,0))</f>
        <v>4809.3900000000003</v>
      </c>
      <c r="BX68" s="295">
        <f>IF(ISERR(VLOOKUP(VALUE(BX$44),'HL Data'!$G$2:$R$51,12,0)="TRUE"),0,VLOOKUP(VALUE(BX$44),'HL Data'!$G$2:$R$51,12,0))</f>
        <v>0</v>
      </c>
      <c r="BY68" s="295">
        <f>IF(ISERR(VLOOKUP(VALUE(BY$44),'HL Data'!$G$2:$R$51,12,0)="TRUE"),0,VLOOKUP(VALUE(BY$44),'HL Data'!$G$2:$R$51,12,0))</f>
        <v>2954.28</v>
      </c>
      <c r="BZ68" s="295">
        <f>IF(ISERR(VLOOKUP(VALUE(BZ$44),'HL Data'!$G$2:$R$51,12,0)="TRUE"),0,VLOOKUP(VALUE(BZ$44),'HL Data'!$G$2:$R$51,12,0))</f>
        <v>0</v>
      </c>
      <c r="CA68" s="295">
        <f>IF(ISERR(VLOOKUP(VALUE(CA$44),'HL Data'!$G$2:$R$51,12,0)="TRUE"),0,VLOOKUP(VALUE(CA$44),'HL Data'!$G$2:$R$51,12,0))</f>
        <v>0</v>
      </c>
      <c r="CB68" s="295">
        <f>IF(ISERR(VLOOKUP(VALUE(CB$44),'HL Data'!$G$2:$R$51,12,0)="TRUE"),0,VLOOKUP(VALUE(CB$44),'HL Data'!$G$2:$R$51,12,0))</f>
        <v>0</v>
      </c>
      <c r="CC68" s="295">
        <f>IF(ISERR(VLOOKUP(VALUE(CC$44),'HL Data'!$G$2:$R$51,12,0)="TRUE"),0,VLOOKUP(VALUE(CC$44),'HL Data'!$G$2:$R$51,12,0))</f>
        <v>252361.15000000002</v>
      </c>
      <c r="CD68" s="243" t="s">
        <v>221</v>
      </c>
      <c r="CE68" s="193">
        <f t="shared" si="0"/>
        <v>5065609.6500000013</v>
      </c>
      <c r="CF68" s="246"/>
    </row>
    <row r="69" spans="1:84" ht="12.6" customHeight="1" x14ac:dyDescent="0.25">
      <c r="A69" s="171" t="s">
        <v>241</v>
      </c>
      <c r="B69" s="175"/>
      <c r="C69" s="295">
        <f>IF(ISERR(VLOOKUP(VALUE(C$44),'HL Data'!$G$2:$T$51,14,0)="TRUE"),0,VLOOKUP(VALUE(C$44),'HL Data'!$G$2:$T$51,14,0))+3</f>
        <v>2487.4499999999998</v>
      </c>
      <c r="D69" s="295">
        <f>IF(ISERR(VLOOKUP(VALUE(D$44),'HL Data'!$G$2:$T$51,14,0)="TRUE"),0,VLOOKUP(VALUE(D$44),'HL Data'!$G$2:$T$51,14,0))</f>
        <v>0</v>
      </c>
      <c r="E69" s="295">
        <f>IF(ISERR(VLOOKUP(VALUE(E$44),'HL Data'!$G$2:$T$51,14,0)="TRUE"),0,VLOOKUP(VALUE(E$44),'HL Data'!$G$2:$T$51,14,0))</f>
        <v>23007.51</v>
      </c>
      <c r="F69" s="295">
        <f>IF(ISERR(VLOOKUP(VALUE(F$44),'HL Data'!$G$2:$T$51,14,0)="TRUE"),0,VLOOKUP(VALUE(F$44),'HL Data'!$G$2:$T$51,14,0))</f>
        <v>0</v>
      </c>
      <c r="G69" s="295">
        <f>IF(ISERR(VLOOKUP(VALUE(G$44),'HL Data'!$G$2:$T$51,14,0)="TRUE"),0,VLOOKUP(VALUE(G$44),'HL Data'!$G$2:$T$51,14,0))</f>
        <v>0</v>
      </c>
      <c r="H69" s="295">
        <f>IF(ISERR(VLOOKUP(VALUE(H$44),'HL Data'!$G$2:$T$51,14,0)="TRUE"),0,VLOOKUP(VALUE(H$44),'HL Data'!$G$2:$T$51,14,0))</f>
        <v>0</v>
      </c>
      <c r="I69" s="295">
        <f>IF(ISERR(VLOOKUP(VALUE(I$44),'HL Data'!$G$2:$T$51,14,0)="TRUE"),0,VLOOKUP(VALUE(I$44),'HL Data'!$G$2:$T$51,14,0))</f>
        <v>0</v>
      </c>
      <c r="J69" s="295">
        <f>IF(ISERR(VLOOKUP(VALUE(J$44),'HL Data'!$G$2:$T$51,14,0)="TRUE"),0,VLOOKUP(VALUE(J$44),'HL Data'!$G$2:$T$51,14,0))</f>
        <v>0</v>
      </c>
      <c r="K69" s="295">
        <f>IF(ISERR(VLOOKUP(VALUE(K$44),'HL Data'!$G$2:$T$51,14,0)="TRUE"),0,VLOOKUP(VALUE(K$44),'HL Data'!$G$2:$T$51,14,0))</f>
        <v>0</v>
      </c>
      <c r="L69" s="295">
        <f>IF(ISERR(VLOOKUP(VALUE(L$44),'HL Data'!$G$2:$T$51,14,0)="TRUE"),0,VLOOKUP(VALUE(L$44),'HL Data'!$G$2:$T$51,14,0))</f>
        <v>0</v>
      </c>
      <c r="M69" s="295">
        <f>IF(ISERR(VLOOKUP(VALUE(M$44),'HL Data'!$G$2:$T$51,14,0)="TRUE"),0,VLOOKUP(VALUE(M$44),'HL Data'!$G$2:$T$51,14,0))</f>
        <v>0</v>
      </c>
      <c r="N69" s="295">
        <f>IF(ISERR(VLOOKUP(VALUE(N$44),'HL Data'!$G$2:$T$51,14,0)="TRUE"),0,VLOOKUP(VALUE(N$44),'HL Data'!$G$2:$T$51,14,0))</f>
        <v>0</v>
      </c>
      <c r="O69" s="295">
        <f>IF(ISERR(VLOOKUP(VALUE(O$44),'HL Data'!$G$2:$T$51,14,0)="TRUE"),0,VLOOKUP(VALUE(O$44),'HL Data'!$G$2:$T$51,14,0))</f>
        <v>22017.809999999998</v>
      </c>
      <c r="P69" s="295">
        <f>IF(ISERR(VLOOKUP(VALUE(P$44),'HL Data'!$G$2:$T$51,14,0)="TRUE"),0,VLOOKUP(VALUE(P$44),'HL Data'!$G$2:$T$51,14,0))</f>
        <v>50840.37</v>
      </c>
      <c r="Q69" s="295">
        <f>IF(ISERR(VLOOKUP(VALUE(Q$44),'HL Data'!$G$2:$T$51,14,0)="TRUE"),0,VLOOKUP(VALUE(Q$44),'HL Data'!$G$2:$T$51,14,0))</f>
        <v>5069.51</v>
      </c>
      <c r="R69" s="295">
        <f>IF(ISERR(VLOOKUP(VALUE(R$44),'HL Data'!$G$2:$T$51,14,0)="TRUE"),0,VLOOKUP(VALUE(R$44),'HL Data'!$G$2:$T$51,14,0))</f>
        <v>0</v>
      </c>
      <c r="S69" s="295">
        <f>IF(ISERR(VLOOKUP(VALUE(S$44),'HL Data'!$G$2:$T$51,14,0)="TRUE"),0,VLOOKUP(VALUE(S$44),'HL Data'!$G$2:$T$51,14,0))</f>
        <v>41559.950000000004</v>
      </c>
      <c r="T69" s="295">
        <f>IF(ISERR(VLOOKUP(VALUE(T$44),'HL Data'!$G$2:$T$51,14,0)="TRUE"),0,VLOOKUP(VALUE(T$44),'HL Data'!$G$2:$T$51,14,0))</f>
        <v>-150</v>
      </c>
      <c r="U69" s="295">
        <f>IF(ISERR(VLOOKUP(VALUE(U$44),'HL Data'!$G$2:$T$51,14,0)="TRUE"),0,VLOOKUP(VALUE(U$44),'HL Data'!$G$2:$T$51,14,0))</f>
        <v>154924.72999999998</v>
      </c>
      <c r="V69" s="295">
        <f>IF(ISERR(VLOOKUP(VALUE(V$44),'HL Data'!$G$2:$T$51,14,0)="TRUE"),0,VLOOKUP(VALUE(V$44),'HL Data'!$G$2:$T$51,14,0))</f>
        <v>0</v>
      </c>
      <c r="W69" s="295">
        <f>IF(ISERR(VLOOKUP(VALUE(W$44),'HL Data'!$G$2:$T$51,14,0)="TRUE"),0,VLOOKUP(VALUE(W$44),'HL Data'!$G$2:$T$51,14,0))</f>
        <v>0</v>
      </c>
      <c r="X69" s="295">
        <f>IF(ISERR(VLOOKUP(VALUE(X$44),'HL Data'!$G$2:$T$51,14,0)="TRUE"),0,VLOOKUP(VALUE(X$44),'HL Data'!$G$2:$T$51,14,0))</f>
        <v>0</v>
      </c>
      <c r="Y69" s="295">
        <f>IF(ISERR(VLOOKUP(VALUE(Y$44),'HL Data'!$G$2:$T$51,14,0)="TRUE"),0,VLOOKUP(VALUE(Y$44),'HL Data'!$G$2:$T$51,14,0))</f>
        <v>7597.93</v>
      </c>
      <c r="Z69" s="295">
        <f>IF(ISERR(VLOOKUP(VALUE(Z$44),'HL Data'!$G$2:$T$51,14,0)="TRUE"),0,VLOOKUP(VALUE(Z$44),'HL Data'!$G$2:$T$51,14,0))</f>
        <v>0</v>
      </c>
      <c r="AA69" s="295">
        <f>IF(ISERR(VLOOKUP(VALUE(AA$44),'HL Data'!$G$2:$T$51,14,0)="TRUE"),0,VLOOKUP(VALUE(AA$44),'HL Data'!$G$2:$T$51,14,0))</f>
        <v>0</v>
      </c>
      <c r="AB69" s="295">
        <f>IF(ISERR(VLOOKUP(VALUE(AB$44),'HL Data'!$G$2:$T$51,14,0)="TRUE"),0,VLOOKUP(VALUE(AB$44),'HL Data'!$G$2:$T$51,14,0))</f>
        <v>28469.600000000002</v>
      </c>
      <c r="AC69" s="295">
        <f>IF(ISERR(VLOOKUP(VALUE(AC$44),'HL Data'!$G$2:$T$51,14,0)="TRUE"),0,VLOOKUP(VALUE(AC$44),'HL Data'!$G$2:$T$51,14,0))</f>
        <v>4132.3999999999996</v>
      </c>
      <c r="AD69" s="295">
        <f>IF(ISERR(VLOOKUP(VALUE(AD$44),'HL Data'!$G$2:$T$51,14,0)="TRUE"),0,VLOOKUP(VALUE(AD$44),'HL Data'!$G$2:$T$51,14,0))</f>
        <v>0</v>
      </c>
      <c r="AE69" s="295">
        <f>IF(ISERR(VLOOKUP(VALUE(AE$44),'HL Data'!$G$2:$T$51,14,0)="TRUE"),0,VLOOKUP(VALUE(AE$44),'HL Data'!$G$2:$T$51,14,0))</f>
        <v>0</v>
      </c>
      <c r="AF69" s="295">
        <f>IF(ISERR(VLOOKUP(VALUE(AF$44),'HL Data'!$G$2:$T$51,14,0)="TRUE"),0,VLOOKUP(VALUE(AF$44),'HL Data'!$G$2:$T$51,14,0))</f>
        <v>0</v>
      </c>
      <c r="AG69" s="295">
        <f>IF(ISERR(VLOOKUP(VALUE(AG$44),'HL Data'!$G$2:$T$51,14,0)="TRUE"),0,VLOOKUP(VALUE(AG$44),'HL Data'!$G$2:$T$51,14,0))</f>
        <v>3545.74</v>
      </c>
      <c r="AH69" s="295">
        <f>IF(ISERR(VLOOKUP(VALUE(AH$44),'HL Data'!$G$2:$T$51,14,0)="TRUE"),0,VLOOKUP(VALUE(AH$44),'HL Data'!$G$2:$T$51,14,0))</f>
        <v>0</v>
      </c>
      <c r="AI69" s="295">
        <f>IF(ISERR(VLOOKUP(VALUE(AI$44),'HL Data'!$G$2:$T$51,14,0)="TRUE"),0,VLOOKUP(VALUE(AI$44),'HL Data'!$G$2:$T$51,14,0))</f>
        <v>0</v>
      </c>
      <c r="AJ69" s="295">
        <f>IF(ISERR(VLOOKUP(VALUE(AJ$44),'HL Data'!$G$2:$T$51,14,0)="TRUE"),0,VLOOKUP(VALUE(AJ$44),'HL Data'!$G$2:$T$51,14,0))</f>
        <v>1576000.59</v>
      </c>
      <c r="AK69" s="295">
        <f>IF(ISERR(VLOOKUP(VALUE(AK$44),'HL Data'!$G$2:$T$51,14,0)="TRUE"),0,VLOOKUP(VALUE(AK$44),'HL Data'!$G$2:$T$51,14,0))</f>
        <v>467.27</v>
      </c>
      <c r="AL69" s="295">
        <f>IF(ISERR(VLOOKUP(VALUE(AL$44),'HL Data'!$G$2:$T$51,14,0)="TRUE"),0,VLOOKUP(VALUE(AL$44),'HL Data'!$G$2:$T$51,14,0))</f>
        <v>0</v>
      </c>
      <c r="AM69" s="295">
        <f>IF(ISERR(VLOOKUP(VALUE(AM$44),'HL Data'!$G$2:$T$51,14,0)="TRUE"),0,VLOOKUP(VALUE(AM$44),'HL Data'!$G$2:$T$51,14,0))</f>
        <v>0</v>
      </c>
      <c r="AN69" s="295">
        <f>IF(ISERR(VLOOKUP(VALUE(AN$44),'HL Data'!$G$2:$T$51,14,0)="TRUE"),0,VLOOKUP(VALUE(AN$44),'HL Data'!$G$2:$T$51,14,0))</f>
        <v>0</v>
      </c>
      <c r="AO69" s="295">
        <f>IF(ISERR(VLOOKUP(VALUE(AO$44),'HL Data'!$G$2:$T$51,14,0)="TRUE"),0,VLOOKUP(VALUE(AO$44),'HL Data'!$G$2:$T$51,14,0))</f>
        <v>0</v>
      </c>
      <c r="AP69" s="295">
        <f>IF(ISERR(VLOOKUP(VALUE(AP$44),'HL Data'!$G$2:$T$51,14,0)="TRUE"),0,VLOOKUP(VALUE(AP$44),'HL Data'!$G$2:$T$51,14,0))</f>
        <v>0</v>
      </c>
      <c r="AQ69" s="295">
        <f>IF(ISERR(VLOOKUP(VALUE(AQ$44),'HL Data'!$G$2:$T$51,14,0)="TRUE"),0,VLOOKUP(VALUE(AQ$44),'HL Data'!$G$2:$T$51,14,0))</f>
        <v>0</v>
      </c>
      <c r="AR69" s="295">
        <f>IF(ISERR(VLOOKUP(VALUE(AR$44),'HL Data'!$G$2:$T$51,14,0)="TRUE"),0,VLOOKUP(VALUE(AR$44),'HL Data'!$G$2:$T$51,14,0))</f>
        <v>0</v>
      </c>
      <c r="AS69" s="295">
        <f>IF(ISERR(VLOOKUP(VALUE(AS$44),'HL Data'!$G$2:$T$51,14,0)="TRUE"),0,VLOOKUP(VALUE(AS$44),'HL Data'!$G$2:$T$51,14,0))</f>
        <v>0</v>
      </c>
      <c r="AT69" s="295">
        <f>IF(ISERR(VLOOKUP(VALUE(AT$44),'HL Data'!$G$2:$T$51,14,0)="TRUE"),0,VLOOKUP(VALUE(AT$44),'HL Data'!$G$2:$T$51,14,0))</f>
        <v>0</v>
      </c>
      <c r="AU69" s="295">
        <f>IF(ISERR(VLOOKUP(VALUE(AU$44),'HL Data'!$G$2:$T$51,14,0)="TRUE"),0,VLOOKUP(VALUE(AU$44),'HL Data'!$G$2:$T$51,14,0))</f>
        <v>0</v>
      </c>
      <c r="AV69" s="295">
        <f>IF(ISERR(VLOOKUP(VALUE(AV$44),'HL Data'!$G$2:$T$51,14,0)="TRUE"),0,VLOOKUP(VALUE(AV$44),'HL Data'!$G$2:$T$51,14,0))</f>
        <v>17.98</v>
      </c>
      <c r="AW69" s="295">
        <f>IF(ISERR(VLOOKUP(VALUE(AW$44),'HL Data'!$G$2:$T$51,14,0)="TRUE"),0,VLOOKUP(VALUE(AW$44),'HL Data'!$G$2:$T$51,14,0))</f>
        <v>2236.88</v>
      </c>
      <c r="AX69" s="295">
        <f>IF(ISERR(VLOOKUP(VALUE(AX$44),'HL Data'!$G$2:$T$51,14,0)="TRUE"),0,VLOOKUP(VALUE(AX$44),'HL Data'!$G$2:$T$51,14,0))</f>
        <v>0</v>
      </c>
      <c r="AY69" s="295">
        <f>IF(ISERR(VLOOKUP(VALUE(AY$44),'HL Data'!$G$2:$T$51,14,0)="TRUE"),0,VLOOKUP(VALUE(AY$44),'HL Data'!$G$2:$T$51,14,0))</f>
        <v>25107.03</v>
      </c>
      <c r="AZ69" s="295">
        <f>IF(ISERR(VLOOKUP(VALUE(AZ$44),'HL Data'!$G$2:$T$51,14,0)="TRUE"),0,VLOOKUP(VALUE(AZ$44),'HL Data'!$G$2:$T$51,14,0))</f>
        <v>0</v>
      </c>
      <c r="BA69" s="295">
        <f>IF(ISERR(VLOOKUP(VALUE(BA$44),'HL Data'!$G$2:$T$51,14,0)="TRUE"),0,VLOOKUP(VALUE(BA$44),'HL Data'!$G$2:$T$51,14,0))</f>
        <v>0</v>
      </c>
      <c r="BB69" s="295">
        <f>IF(ISERR(VLOOKUP(VALUE(BB$44),'HL Data'!$G$2:$T$51,14,0)="TRUE"),0,VLOOKUP(VALUE(BB$44),'HL Data'!$G$2:$T$51,14,0))</f>
        <v>0</v>
      </c>
      <c r="BC69" s="295">
        <f>IF(ISERR(VLOOKUP(VALUE(BC$44),'HL Data'!$G$2:$T$51,14,0)="TRUE"),0,VLOOKUP(VALUE(BC$44),'HL Data'!$G$2:$T$51,14,0))</f>
        <v>0</v>
      </c>
      <c r="BD69" s="295">
        <f>IF(ISERR(VLOOKUP(VALUE(BD$44),'HL Data'!$G$2:$T$51,14,0)="TRUE"),0,VLOOKUP(VALUE(BD$44),'HL Data'!$G$2:$T$51,14,0))</f>
        <v>0</v>
      </c>
      <c r="BE69" s="295">
        <f>IF(ISERR(VLOOKUP(VALUE(BE$44),'HL Data'!$G$2:$T$51,14,0)="TRUE"),0,VLOOKUP(VALUE(BE$44),'HL Data'!$G$2:$T$51,14,0))</f>
        <v>66704.350000000006</v>
      </c>
      <c r="BF69" s="295">
        <f>IF(ISERR(VLOOKUP(VALUE(BF$44),'HL Data'!$G$2:$T$51,14,0)="TRUE"),0,VLOOKUP(VALUE(BF$44),'HL Data'!$G$2:$T$51,14,0))</f>
        <v>23900</v>
      </c>
      <c r="BG69" s="295">
        <f>IF(ISERR(VLOOKUP(VALUE(BG$44),'HL Data'!$G$2:$T$51,14,0)="TRUE"),0,VLOOKUP(VALUE(BG$44),'HL Data'!$G$2:$T$51,14,0))</f>
        <v>0</v>
      </c>
      <c r="BH69" s="295">
        <f>IF(ISERR(VLOOKUP(VALUE(BH$44),'HL Data'!$G$2:$T$51,14,0)="TRUE"),0,VLOOKUP(VALUE(BH$44),'HL Data'!$G$2:$T$51,14,0))</f>
        <v>0</v>
      </c>
      <c r="BI69" s="295">
        <f>IF(ISERR(VLOOKUP(VALUE(BI$44),'HL Data'!$G$2:$T$51,14,0)="TRUE"),0,VLOOKUP(VALUE(BI$44),'HL Data'!$G$2:$T$51,14,0))</f>
        <v>0</v>
      </c>
      <c r="BJ69" s="295">
        <f>IF(ISERR(VLOOKUP(VALUE(BJ$44),'HL Data'!$G$2:$T$51,14,0)="TRUE"),0,VLOOKUP(VALUE(BJ$44),'HL Data'!$G$2:$T$51,14,0))</f>
        <v>0</v>
      </c>
      <c r="BK69" s="295">
        <f>IF(ISERR(VLOOKUP(VALUE(BK$44),'HL Data'!$G$2:$T$51,14,0)="TRUE"),0,VLOOKUP(VALUE(BK$44),'HL Data'!$G$2:$T$51,14,0))</f>
        <v>0</v>
      </c>
      <c r="BL69" s="295">
        <f>IF(ISERR(VLOOKUP(VALUE(BL$44),'HL Data'!$G$2:$T$51,14,0)="TRUE"),0,VLOOKUP(VALUE(BL$44),'HL Data'!$G$2:$T$51,14,0))</f>
        <v>40.53</v>
      </c>
      <c r="BM69" s="295">
        <f>IF(ISERR(VLOOKUP(VALUE(BM$44),'HL Data'!$G$2:$T$51,14,0)="TRUE"),0,VLOOKUP(VALUE(BM$44),'HL Data'!$G$2:$T$51,14,0))</f>
        <v>0</v>
      </c>
      <c r="BN69" s="295">
        <f>IF(ISERR(VLOOKUP(VALUE(BN$44),'HL Data'!$G$2:$T$51,14,0)="TRUE"),0,VLOOKUP(VALUE(BN$44),'HL Data'!$G$2:$T$51,14,0))</f>
        <v>505401.33999999997</v>
      </c>
      <c r="BO69" s="295">
        <f>IF(ISERR(VLOOKUP(VALUE(BO$44),'HL Data'!$G$2:$T$51,14,0)="TRUE"),0,VLOOKUP(VALUE(BO$44),'HL Data'!$G$2:$T$51,14,0))</f>
        <v>33908.61</v>
      </c>
      <c r="BP69" s="295">
        <f>IF(ISERR(VLOOKUP(VALUE(BP$44),'HL Data'!$G$2:$T$51,14,0)="TRUE"),0,VLOOKUP(VALUE(BP$44),'HL Data'!$G$2:$T$51,14,0))</f>
        <v>0</v>
      </c>
      <c r="BQ69" s="295">
        <f>IF(ISERR(VLOOKUP(VALUE(BQ$44),'HL Data'!$G$2:$T$51,14,0)="TRUE"),0,VLOOKUP(VALUE(BQ$44),'HL Data'!$G$2:$T$51,14,0))</f>
        <v>0</v>
      </c>
      <c r="BR69" s="295">
        <f>IF(ISERR(VLOOKUP(VALUE(BR$44),'HL Data'!$G$2:$T$51,14,0)="TRUE"),0,VLOOKUP(VALUE(BR$44),'HL Data'!$G$2:$T$51,14,0))</f>
        <v>47233.469999999994</v>
      </c>
      <c r="BS69" s="295">
        <f>IF(ISERR(VLOOKUP(VALUE(BS$44),'HL Data'!$G$2:$T$51,14,0)="TRUE"),0,VLOOKUP(VALUE(BS$44),'HL Data'!$G$2:$T$51,14,0))</f>
        <v>1347.1299999999999</v>
      </c>
      <c r="BT69" s="295">
        <f>IF(ISERR(VLOOKUP(VALUE(BT$44),'HL Data'!$G$2:$T$51,14,0)="TRUE"),0,VLOOKUP(VALUE(BT$44),'HL Data'!$G$2:$T$51,14,0))</f>
        <v>0</v>
      </c>
      <c r="BU69" s="295">
        <f>IF(ISERR(VLOOKUP(VALUE(BU$44),'HL Data'!$G$2:$T$51,14,0)="TRUE"),0,VLOOKUP(VALUE(BU$44),'HL Data'!$G$2:$T$51,14,0))</f>
        <v>0</v>
      </c>
      <c r="BV69" s="295">
        <f>IF(ISERR(VLOOKUP(VALUE(BV$44),'HL Data'!$G$2:$T$51,14,0)="TRUE"),0,VLOOKUP(VALUE(BV$44),'HL Data'!$G$2:$T$51,14,0))</f>
        <v>0</v>
      </c>
      <c r="BW69" s="295">
        <f>IF(ISERR(VLOOKUP(VALUE(BW$44),'HL Data'!$G$2:$T$51,14,0)="TRUE"),0,VLOOKUP(VALUE(BW$44),'HL Data'!$G$2:$T$51,14,0))</f>
        <v>-290.00000000000011</v>
      </c>
      <c r="BX69" s="295">
        <f>IF(ISERR(VLOOKUP(VALUE(BX$44),'HL Data'!$G$2:$T$51,14,0)="TRUE"),0,VLOOKUP(VALUE(BX$44),'HL Data'!$G$2:$T$51,14,0))</f>
        <v>0</v>
      </c>
      <c r="BY69" s="295">
        <f>IF(ISERR(VLOOKUP(VALUE(BY$44),'HL Data'!$G$2:$T$51,14,0)="TRUE"),0,VLOOKUP(VALUE(BY$44),'HL Data'!$G$2:$T$51,14,0))</f>
        <v>27908.18</v>
      </c>
      <c r="BZ69" s="295">
        <f>IF(ISERR(VLOOKUP(VALUE(BZ$44),'HL Data'!$G$2:$T$51,14,0)="TRUE"),0,VLOOKUP(VALUE(BZ$44),'HL Data'!$G$2:$T$51,14,0))</f>
        <v>0</v>
      </c>
      <c r="CA69" s="295">
        <f>IF(ISERR(VLOOKUP(VALUE(CA$44),'HL Data'!$G$2:$T$51,14,0)="TRUE"),0,VLOOKUP(VALUE(CA$44),'HL Data'!$G$2:$T$51,14,0))</f>
        <v>0</v>
      </c>
      <c r="CB69" s="295">
        <f>IF(ISERR(VLOOKUP(VALUE(CB$44),'HL Data'!$G$2:$T$51,14,0)="TRUE"),0,VLOOKUP(VALUE(CB$44),'HL Data'!$G$2:$T$51,14,0))</f>
        <v>0</v>
      </c>
      <c r="CC69" s="295">
        <f>IF(ISERR(VLOOKUP(VALUE(CC$44),'HL Data'!$G$2:$T$51,14,0)="TRUE"),0,VLOOKUP(VALUE(CC$44),'HL Data'!$G$2:$T$51,14,0))-15629750</f>
        <v>43489.989999996498</v>
      </c>
      <c r="CD69" s="295">
        <f>IF(ISERR(VLOOKUP(VALUE(CD$44),'HL Data'!$G$2:$T$51,14,0)="TRUE"),0,VLOOKUP(VALUE(CD$44),'HL Data'!$G$2:$T$51,14,0))+15629750</f>
        <v>15629750</v>
      </c>
      <c r="CE69" s="193">
        <f t="shared" si="0"/>
        <v>18326726.349999998</v>
      </c>
      <c r="CF69" s="246"/>
    </row>
    <row r="70" spans="1:84" ht="12.6" customHeight="1" x14ac:dyDescent="0.25">
      <c r="A70" s="171" t="s">
        <v>242</v>
      </c>
      <c r="B70" s="175"/>
      <c r="C70" s="184">
        <f>IF(ISERR(VLOOKUP(VALUE(C$44),'HL Data'!$G$2:$J$51,4,0)="TRUE"),0,VLOOKUP(VALUE(C$44),'HL Data'!$G$2:$J$51,4,0))+1</f>
        <v>23638.55</v>
      </c>
      <c r="D70" s="184">
        <f>IF(ISERR(VLOOKUP(VALUE(D$44),'HL Data'!$G$2:$J$51,4,0)="TRUE"),0,VLOOKUP(VALUE(D$44),'HL Data'!$G$2:$J$51,4,0))</f>
        <v>0</v>
      </c>
      <c r="E70" s="184">
        <f>IF(ISERR(VLOOKUP(VALUE(E$44),'HL Data'!$G$2:$J$51,4,0)="TRUE"),0,VLOOKUP(VALUE(E$44),'HL Data'!$G$2:$J$51,4,0))</f>
        <v>48253.170000000006</v>
      </c>
      <c r="F70" s="184">
        <f>IF(ISERR(VLOOKUP(VALUE(F$44),'HL Data'!$G$2:$J$51,4,0)="TRUE"),0,VLOOKUP(VALUE(F$44),'HL Data'!$G$2:$J$51,4,0))</f>
        <v>0</v>
      </c>
      <c r="G70" s="184">
        <f>IF(ISERR(VLOOKUP(VALUE(G$44),'HL Data'!$G$2:$J$51,4,0)="TRUE"),0,VLOOKUP(VALUE(G$44),'HL Data'!$G$2:$J$51,4,0))</f>
        <v>0</v>
      </c>
      <c r="H70" s="184">
        <f>IF(ISERR(VLOOKUP(VALUE(H$44),'HL Data'!$G$2:$J$51,4,0)="TRUE"),0,VLOOKUP(VALUE(H$44),'HL Data'!$G$2:$J$51,4,0))</f>
        <v>0</v>
      </c>
      <c r="I70" s="184">
        <f>IF(ISERR(VLOOKUP(VALUE(I$44),'HL Data'!$G$2:$J$51,4,0)="TRUE"),0,VLOOKUP(VALUE(I$44),'HL Data'!$G$2:$J$51,4,0))</f>
        <v>0</v>
      </c>
      <c r="J70" s="184">
        <f>IF(ISERR(VLOOKUP(VALUE(J$44),'HL Data'!$G$2:$J$51,4,0)="TRUE"),0,VLOOKUP(VALUE(J$44),'HL Data'!$G$2:$J$51,4,0))</f>
        <v>0</v>
      </c>
      <c r="K70" s="184">
        <f>IF(ISERR(VLOOKUP(VALUE(K$44),'HL Data'!$G$2:$J$51,4,0)="TRUE"),0,VLOOKUP(VALUE(K$44),'HL Data'!$G$2:$J$51,4,0))</f>
        <v>0</v>
      </c>
      <c r="L70" s="184">
        <f>IF(ISERR(VLOOKUP(VALUE(L$44),'HL Data'!$G$2:$J$51,4,0)="TRUE"),0,VLOOKUP(VALUE(L$44),'HL Data'!$G$2:$J$51,4,0))</f>
        <v>0</v>
      </c>
      <c r="M70" s="184">
        <f>IF(ISERR(VLOOKUP(VALUE(M$44),'HL Data'!$G$2:$J$51,4,0)="TRUE"),0,VLOOKUP(VALUE(M$44),'HL Data'!$G$2:$J$51,4,0))</f>
        <v>0</v>
      </c>
      <c r="N70" s="184">
        <f>IF(ISERR(VLOOKUP(VALUE(N$44),'HL Data'!$G$2:$J$51,4,0)="TRUE"),0,VLOOKUP(VALUE(N$44),'HL Data'!$G$2:$J$51,4,0))</f>
        <v>0</v>
      </c>
      <c r="O70" s="184">
        <f>IF(ISERR(VLOOKUP(VALUE(O$44),'HL Data'!$G$2:$J$51,4,0)="TRUE"),0,VLOOKUP(VALUE(O$44),'HL Data'!$G$2:$J$51,4,0))</f>
        <v>4915</v>
      </c>
      <c r="P70" s="184">
        <f>IF(ISERR(VLOOKUP(VALUE(P$44),'HL Data'!$G$2:$J$51,4,0)="TRUE"),0,VLOOKUP(VALUE(P$44),'HL Data'!$G$2:$J$51,4,0))</f>
        <v>81065.34</v>
      </c>
      <c r="Q70" s="184">
        <f>IF(ISERR(VLOOKUP(VALUE(Q$44),'HL Data'!$G$2:$J$51,4,0)="TRUE"),0,VLOOKUP(VALUE(Q$44),'HL Data'!$G$2:$J$51,4,0))</f>
        <v>2590.33</v>
      </c>
      <c r="R70" s="184">
        <f>IF(ISERR(VLOOKUP(VALUE(R$44),'HL Data'!$G$2:$J$51,4,0)="TRUE"),0,VLOOKUP(VALUE(R$44),'HL Data'!$G$2:$J$51,4,0))</f>
        <v>0</v>
      </c>
      <c r="S70" s="184">
        <f>IF(ISERR(VLOOKUP(VALUE(S$44),'HL Data'!$G$2:$J$51,4,0)="TRUE"),0,VLOOKUP(VALUE(S$44),'HL Data'!$G$2:$J$51,4,0))</f>
        <v>0</v>
      </c>
      <c r="T70" s="184">
        <f>IF(ISERR(VLOOKUP(VALUE(T$44),'HL Data'!$G$2:$J$51,4,0)="TRUE"),0,VLOOKUP(VALUE(T$44),'HL Data'!$G$2:$J$51,4,0))</f>
        <v>69.95</v>
      </c>
      <c r="U70" s="184">
        <f>IF(ISERR(VLOOKUP(VALUE(U$44),'HL Data'!$G$2:$J$51,4,0)="TRUE"),0,VLOOKUP(VALUE(U$44),'HL Data'!$G$2:$J$51,4,0))</f>
        <v>537868.15999999992</v>
      </c>
      <c r="V70" s="184">
        <f>IF(ISERR(VLOOKUP(VALUE(V$44),'HL Data'!$G$2:$J$51,4,0)="TRUE"),0,VLOOKUP(VALUE(V$44),'HL Data'!$G$2:$J$51,4,0))</f>
        <v>0</v>
      </c>
      <c r="W70" s="184">
        <f>IF(ISERR(VLOOKUP(VALUE(W$44),'HL Data'!$G$2:$J$51,4,0)="TRUE"),0,VLOOKUP(VALUE(W$44),'HL Data'!$G$2:$J$51,4,0))</f>
        <v>3275.24</v>
      </c>
      <c r="X70" s="184">
        <f>IF(ISERR(VLOOKUP(VALUE(X$44),'HL Data'!$G$2:$J$51,4,0)="TRUE"),0,VLOOKUP(VALUE(X$44),'HL Data'!$G$2:$J$51,4,0))</f>
        <v>17198.119999999995</v>
      </c>
      <c r="Y70" s="184">
        <f>IF(ISERR(VLOOKUP(VALUE(Y$44),'HL Data'!$G$2:$J$51,4,0)="TRUE"),0,VLOOKUP(VALUE(Y$44),'HL Data'!$G$2:$J$51,4,0))</f>
        <v>187339.83</v>
      </c>
      <c r="Z70" s="184">
        <f>IF(ISERR(VLOOKUP(VALUE(Z$44),'HL Data'!$G$2:$J$51,4,0)="TRUE"),0,VLOOKUP(VALUE(Z$44),'HL Data'!$G$2:$J$51,4,0))</f>
        <v>0</v>
      </c>
      <c r="AA70" s="184">
        <f>IF(ISERR(VLOOKUP(VALUE(AA$44),'HL Data'!$G$2:$J$51,4,0)="TRUE"),0,VLOOKUP(VALUE(AA$44),'HL Data'!$G$2:$J$51,4,0))</f>
        <v>4092.43</v>
      </c>
      <c r="AB70" s="184">
        <f>IF(ISERR(VLOOKUP(VALUE(AB$44),'HL Data'!$G$2:$J$51,4,0)="TRUE"),0,VLOOKUP(VALUE(AB$44),'HL Data'!$G$2:$J$51,4,0))</f>
        <v>1763421.26</v>
      </c>
      <c r="AC70" s="184">
        <f>IF(ISERR(VLOOKUP(VALUE(AC$44),'HL Data'!$G$2:$J$51,4,0)="TRUE"),0,VLOOKUP(VALUE(AC$44),'HL Data'!$G$2:$J$51,4,0))</f>
        <v>30501.519999999997</v>
      </c>
      <c r="AD70" s="184">
        <f>IF(ISERR(VLOOKUP(VALUE(AD$44),'HL Data'!$G$2:$J$51,4,0)="TRUE"),0,VLOOKUP(VALUE(AD$44),'HL Data'!$G$2:$J$51,4,0))</f>
        <v>97551.65</v>
      </c>
      <c r="AE70" s="184">
        <f>IF(ISERR(VLOOKUP(VALUE(AE$44),'HL Data'!$G$2:$J$51,4,0)="TRUE"),0,VLOOKUP(VALUE(AE$44),'HL Data'!$G$2:$J$51,4,0))</f>
        <v>65.91</v>
      </c>
      <c r="AF70" s="184">
        <f>IF(ISERR(VLOOKUP(VALUE(AF$44),'HL Data'!$G$2:$J$51,4,0)="TRUE"),0,VLOOKUP(VALUE(AF$44),'HL Data'!$G$2:$J$51,4,0))</f>
        <v>0</v>
      </c>
      <c r="AG70" s="184">
        <f>IF(ISERR(VLOOKUP(VALUE(AG$44),'HL Data'!$G$2:$J$51,4,0)="TRUE"),0,VLOOKUP(VALUE(AG$44),'HL Data'!$G$2:$J$51,4,0))</f>
        <v>337.5</v>
      </c>
      <c r="AH70" s="184">
        <f>IF(ISERR(VLOOKUP(VALUE(AH$44),'HL Data'!$G$2:$J$51,4,0)="TRUE"),0,VLOOKUP(VALUE(AH$44),'HL Data'!$G$2:$J$51,4,0))</f>
        <v>0</v>
      </c>
      <c r="AI70" s="184">
        <f>IF(ISERR(VLOOKUP(VALUE(AI$44),'HL Data'!$G$2:$J$51,4,0)="TRUE"),0,VLOOKUP(VALUE(AI$44),'HL Data'!$G$2:$J$51,4,0))</f>
        <v>0</v>
      </c>
      <c r="AJ70" s="184">
        <f>IF(ISERR(VLOOKUP(VALUE(AJ$44),'HL Data'!$G$2:$J$51,4,0)="TRUE"),0,VLOOKUP(VALUE(AJ$44),'HL Data'!$G$2:$J$51,4,0))</f>
        <v>2539664.27</v>
      </c>
      <c r="AK70" s="184">
        <f>IF(ISERR(VLOOKUP(VALUE(AK$44),'HL Data'!$G$2:$J$51,4,0)="TRUE"),0,VLOOKUP(VALUE(AK$44),'HL Data'!$G$2:$J$51,4,0))</f>
        <v>183435.83</v>
      </c>
      <c r="AL70" s="184">
        <f>IF(ISERR(VLOOKUP(VALUE(AL$44),'HL Data'!$G$2:$J$51,4,0)="TRUE"),0,VLOOKUP(VALUE(AL$44),'HL Data'!$G$2:$J$51,4,0))</f>
        <v>27325.219999999998</v>
      </c>
      <c r="AM70" s="184">
        <f>IF(ISERR(VLOOKUP(VALUE(AM$44),'HL Data'!$G$2:$J$51,4,0)="TRUE"),0,VLOOKUP(VALUE(AM$44),'HL Data'!$G$2:$J$51,4,0))</f>
        <v>0</v>
      </c>
      <c r="AN70" s="184">
        <f>IF(ISERR(VLOOKUP(VALUE(AN$44),'HL Data'!$G$2:$J$51,4,0)="TRUE"),0,VLOOKUP(VALUE(AN$44),'HL Data'!$G$2:$J$51,4,0))</f>
        <v>0</v>
      </c>
      <c r="AO70" s="184">
        <f>IF(ISERR(VLOOKUP(VALUE(AO$44),'HL Data'!$G$2:$J$51,4,0)="TRUE"),0,VLOOKUP(VALUE(AO$44),'HL Data'!$G$2:$J$51,4,0))</f>
        <v>0</v>
      </c>
      <c r="AP70" s="184">
        <f>IF(ISERR(VLOOKUP(VALUE(AP$44),'HL Data'!$G$2:$J$51,4,0)="TRUE"),0,VLOOKUP(VALUE(AP$44),'HL Data'!$G$2:$J$51,4,0))</f>
        <v>0</v>
      </c>
      <c r="AQ70" s="184">
        <f>IF(ISERR(VLOOKUP(VALUE(AQ$44),'HL Data'!$G$2:$J$51,4,0)="TRUE"),0,VLOOKUP(VALUE(AQ$44),'HL Data'!$G$2:$J$51,4,0))</f>
        <v>0</v>
      </c>
      <c r="AR70" s="184">
        <f>IF(ISERR(VLOOKUP(VALUE(AR$44),'HL Data'!$G$2:$J$51,4,0)="TRUE"),0,VLOOKUP(VALUE(AR$44),'HL Data'!$G$2:$J$51,4,0))</f>
        <v>0</v>
      </c>
      <c r="AS70" s="184">
        <f>IF(ISERR(VLOOKUP(VALUE(AS$44),'HL Data'!$G$2:$J$51,4,0)="TRUE"),0,VLOOKUP(VALUE(AS$44),'HL Data'!$G$2:$J$51,4,0))</f>
        <v>0</v>
      </c>
      <c r="AT70" s="184">
        <f>IF(ISERR(VLOOKUP(VALUE(AT$44),'HL Data'!$G$2:$J$51,4,0)="TRUE"),0,VLOOKUP(VALUE(AT$44),'HL Data'!$G$2:$J$51,4,0))</f>
        <v>0</v>
      </c>
      <c r="AU70" s="184">
        <f>IF(ISERR(VLOOKUP(VALUE(AU$44),'HL Data'!$G$2:$J$51,4,0)="TRUE"),0,VLOOKUP(VALUE(AU$44),'HL Data'!$G$2:$J$51,4,0))</f>
        <v>0</v>
      </c>
      <c r="AV70" s="184">
        <f>IF(ISERR(VLOOKUP(VALUE(AV$44),'HL Data'!$G$2:$J$51,4,0)="TRUE"),0,VLOOKUP(VALUE(AV$44),'HL Data'!$G$2:$J$51,4,0))</f>
        <v>0</v>
      </c>
      <c r="AW70" s="184">
        <f>IF(ISERR(VLOOKUP(VALUE(AW$44),'HL Data'!$G$2:$J$51,4,0)="TRUE"),0,VLOOKUP(VALUE(AW$44),'HL Data'!$G$2:$J$51,4,0))</f>
        <v>9400</v>
      </c>
      <c r="AX70" s="184">
        <f>IF(ISERR(VLOOKUP(VALUE(AX$44),'HL Data'!$G$2:$J$51,4,0)="TRUE"),0,VLOOKUP(VALUE(AX$44),'HL Data'!$G$2:$J$51,4,0))</f>
        <v>0</v>
      </c>
      <c r="AY70" s="184">
        <f>IF(ISERR(VLOOKUP(VALUE(AY$44),'HL Data'!$G$2:$J$51,4,0)="TRUE"),0,VLOOKUP(VALUE(AY$44),'HL Data'!$G$2:$J$51,4,0))</f>
        <v>712521.17</v>
      </c>
      <c r="AZ70" s="184">
        <f>IF(ISERR(VLOOKUP(VALUE(AZ$44),'HL Data'!$G$2:$J$51,4,0)="TRUE"),0,VLOOKUP(VALUE(AZ$44),'HL Data'!$G$2:$J$51,4,0))</f>
        <v>0</v>
      </c>
      <c r="BA70" s="184">
        <f>IF(ISERR(VLOOKUP(VALUE(BA$44),'HL Data'!$G$2:$J$51,4,0)="TRUE"),0,VLOOKUP(VALUE(BA$44),'HL Data'!$G$2:$J$51,4,0))</f>
        <v>0</v>
      </c>
      <c r="BB70" s="184">
        <f>IF(ISERR(VLOOKUP(VALUE(BB$44),'HL Data'!$G$2:$J$51,4,0)="TRUE"),0,VLOOKUP(VALUE(BB$44),'HL Data'!$G$2:$J$51,4,0))</f>
        <v>0</v>
      </c>
      <c r="BC70" s="184">
        <f>IF(ISERR(VLOOKUP(VALUE(BC$44),'HL Data'!$G$2:$J$51,4,0)="TRUE"),0,VLOOKUP(VALUE(BC$44),'HL Data'!$G$2:$J$51,4,0))</f>
        <v>0</v>
      </c>
      <c r="BD70" s="184">
        <f>IF(ISERR(VLOOKUP(VALUE(BD$44),'HL Data'!$G$2:$J$51,4,0)="TRUE"),0,VLOOKUP(VALUE(BD$44),'HL Data'!$G$2:$J$51,4,0))</f>
        <v>0</v>
      </c>
      <c r="BE70" s="184">
        <f>IF(ISERR(VLOOKUP(VALUE(BE$44),'HL Data'!$G$2:$J$51,4,0)="TRUE"),0,VLOOKUP(VALUE(BE$44),'HL Data'!$G$2:$J$51,4,0))</f>
        <v>74541.669999999984</v>
      </c>
      <c r="BF70" s="184">
        <f>IF(ISERR(VLOOKUP(VALUE(BF$44),'HL Data'!$G$2:$J$51,4,0)="TRUE"),0,VLOOKUP(VALUE(BF$44),'HL Data'!$G$2:$J$51,4,0))</f>
        <v>197127</v>
      </c>
      <c r="BG70" s="184">
        <f>IF(ISERR(VLOOKUP(VALUE(BG$44),'HL Data'!$G$2:$J$51,4,0)="TRUE"),0,VLOOKUP(VALUE(BG$44),'HL Data'!$G$2:$J$51,4,0))</f>
        <v>0</v>
      </c>
      <c r="BH70" s="184">
        <f>IF(ISERR(VLOOKUP(VALUE(BH$44),'HL Data'!$G$2:$J$51,4,0)="TRUE"),0,VLOOKUP(VALUE(BH$44),'HL Data'!$G$2:$J$51,4,0))</f>
        <v>0</v>
      </c>
      <c r="BI70" s="184">
        <f>IF(ISERR(VLOOKUP(VALUE(BI$44),'HL Data'!$G$2:$J$51,4,0)="TRUE"),0,VLOOKUP(VALUE(BI$44),'HL Data'!$G$2:$J$51,4,0))</f>
        <v>0</v>
      </c>
      <c r="BJ70" s="184">
        <f>IF(ISERR(VLOOKUP(VALUE(BJ$44),'HL Data'!$G$2:$J$51,4,0)="TRUE"),0,VLOOKUP(VALUE(BJ$44),'HL Data'!$G$2:$J$51,4,0))</f>
        <v>0</v>
      </c>
      <c r="BK70" s="184">
        <f>IF(ISERR(VLOOKUP(VALUE(BK$44),'HL Data'!$G$2:$J$51,4,0)="TRUE"),0,VLOOKUP(VALUE(BK$44),'HL Data'!$G$2:$J$51,4,0))</f>
        <v>0</v>
      </c>
      <c r="BL70" s="184">
        <f>IF(ISERR(VLOOKUP(VALUE(BL$44),'HL Data'!$G$2:$J$51,4,0)="TRUE"),0,VLOOKUP(VALUE(BL$44),'HL Data'!$G$2:$J$51,4,0))</f>
        <v>0</v>
      </c>
      <c r="BM70" s="184">
        <f>IF(ISERR(VLOOKUP(VALUE(BM$44),'HL Data'!$G$2:$J$51,4,0)="TRUE"),0,VLOOKUP(VALUE(BM$44),'HL Data'!$G$2:$J$51,4,0))</f>
        <v>0</v>
      </c>
      <c r="BN70" s="184">
        <f>IF(ISERR(VLOOKUP(VALUE(BN$44),'HL Data'!$G$2:$J$51,4,0)="TRUE"),0,VLOOKUP(VALUE(BN$44),'HL Data'!$G$2:$J$51,4,0))</f>
        <v>564973.14</v>
      </c>
      <c r="BO70" s="184">
        <f>IF(ISERR(VLOOKUP(VALUE(BO$44),'HL Data'!$G$2:$J$51,4,0)="TRUE"),0,VLOOKUP(VALUE(BO$44),'HL Data'!$G$2:$J$51,4,0))</f>
        <v>277695.63</v>
      </c>
      <c r="BP70" s="184">
        <f>IF(ISERR(VLOOKUP(VALUE(BP$44),'HL Data'!$G$2:$J$51,4,0)="TRUE"),0,VLOOKUP(VALUE(BP$44),'HL Data'!$G$2:$J$51,4,0))</f>
        <v>0</v>
      </c>
      <c r="BQ70" s="184">
        <f>IF(ISERR(VLOOKUP(VALUE(BQ$44),'HL Data'!$G$2:$J$51,4,0)="TRUE"),0,VLOOKUP(VALUE(BQ$44),'HL Data'!$G$2:$J$51,4,0))</f>
        <v>0</v>
      </c>
      <c r="BR70" s="184">
        <f>IF(ISERR(VLOOKUP(VALUE(BR$44),'HL Data'!$G$2:$J$51,4,0)="TRUE"),0,VLOOKUP(VALUE(BR$44),'HL Data'!$G$2:$J$51,4,0))</f>
        <v>0</v>
      </c>
      <c r="BS70" s="184">
        <f>IF(ISERR(VLOOKUP(VALUE(BS$44),'HL Data'!$G$2:$J$51,4,0)="TRUE"),0,VLOOKUP(VALUE(BS$44),'HL Data'!$G$2:$J$51,4,0))</f>
        <v>76291.009999999995</v>
      </c>
      <c r="BT70" s="184">
        <f>IF(ISERR(VLOOKUP(VALUE(BT$44),'HL Data'!$G$2:$J$51,4,0)="TRUE"),0,VLOOKUP(VALUE(BT$44),'HL Data'!$G$2:$J$51,4,0))</f>
        <v>0</v>
      </c>
      <c r="BU70" s="184">
        <f>IF(ISERR(VLOOKUP(VALUE(BU$44),'HL Data'!$G$2:$J$51,4,0)="TRUE"),0,VLOOKUP(VALUE(BU$44),'HL Data'!$G$2:$J$51,4,0))</f>
        <v>0</v>
      </c>
      <c r="BV70" s="184">
        <f>IF(ISERR(VLOOKUP(VALUE(BV$44),'HL Data'!$G$2:$J$51,4,0)="TRUE"),0,VLOOKUP(VALUE(BV$44),'HL Data'!$G$2:$J$51,4,0))</f>
        <v>0</v>
      </c>
      <c r="BW70" s="184">
        <f>IF(ISERR(VLOOKUP(VALUE(BW$44),'HL Data'!$G$2:$J$51,4,0)="TRUE"),0,VLOOKUP(VALUE(BW$44),'HL Data'!$G$2:$J$51,4,0))</f>
        <v>27950</v>
      </c>
      <c r="BX70" s="184">
        <f>IF(ISERR(VLOOKUP(VALUE(BX$44),'HL Data'!$G$2:$J$51,4,0)="TRUE"),0,VLOOKUP(VALUE(BX$44),'HL Data'!$G$2:$J$51,4,0))</f>
        <v>0</v>
      </c>
      <c r="BY70" s="184">
        <f>IF(ISERR(VLOOKUP(VALUE(BY$44),'HL Data'!$G$2:$J$51,4,0)="TRUE"),0,VLOOKUP(VALUE(BY$44),'HL Data'!$G$2:$J$51,4,0))</f>
        <v>0</v>
      </c>
      <c r="BZ70" s="184">
        <f>IF(ISERR(VLOOKUP(VALUE(BZ$44),'HL Data'!$G$2:$J$51,4,0)="TRUE"),0,VLOOKUP(VALUE(BZ$44),'HL Data'!$G$2:$J$51,4,0))</f>
        <v>0</v>
      </c>
      <c r="CA70" s="184">
        <f>IF(ISERR(VLOOKUP(VALUE(CA$44),'HL Data'!$G$2:$J$51,4,0)="TRUE"),0,VLOOKUP(VALUE(CA$44),'HL Data'!$G$2:$J$51,4,0))</f>
        <v>0</v>
      </c>
      <c r="CB70" s="184">
        <f>IF(ISERR(VLOOKUP(VALUE(CB$44),'HL Data'!$G$2:$J$51,4,0)="TRUE"),0,VLOOKUP(VALUE(CB$44),'HL Data'!$G$2:$J$51,4,0))</f>
        <v>0</v>
      </c>
      <c r="CC70" s="184">
        <f>IF(ISERR(VLOOKUP(VALUE(CC$44),'HL Data'!$G$2:$J$51,4,0)="TRUE"),0,VLOOKUP(VALUE(CC$44),'HL Data'!$G$2:$J$51,4,0))</f>
        <v>4836771.24</v>
      </c>
      <c r="CD70" s="184">
        <f>IF(ISERR(VLOOKUP(VALUE(CD$44),'HL Data'!$G$2:$J$51,4,0)="TRUE"),0,VLOOKUP(VALUE(CD$44),'HL Data'!$G$2:$J$51,4,0))</f>
        <v>0</v>
      </c>
      <c r="CE70" s="193">
        <f t="shared" si="0"/>
        <v>12329880.140000001</v>
      </c>
      <c r="CF70" s="246"/>
    </row>
    <row r="71" spans="1:84" ht="12.6" customHeight="1" x14ac:dyDescent="0.25">
      <c r="A71" s="171" t="s">
        <v>243</v>
      </c>
      <c r="B71" s="175"/>
      <c r="C71" s="193">
        <f>SUM(C61:C68)+C69-C70</f>
        <v>4997355.330000001</v>
      </c>
      <c r="D71" s="193">
        <f t="shared" ref="D71:AI71" si="5">SUM(D61:D69)-D70</f>
        <v>0</v>
      </c>
      <c r="E71" s="193">
        <f t="shared" si="5"/>
        <v>21714640.649920002</v>
      </c>
      <c r="F71" s="193">
        <f t="shared" si="5"/>
        <v>0</v>
      </c>
      <c r="G71" s="193">
        <f t="shared" si="5"/>
        <v>47537.180410000001</v>
      </c>
      <c r="H71" s="193">
        <f t="shared" si="5"/>
        <v>0</v>
      </c>
      <c r="I71" s="193">
        <f t="shared" si="5"/>
        <v>0</v>
      </c>
      <c r="J71" s="193">
        <f t="shared" si="5"/>
        <v>0</v>
      </c>
      <c r="K71" s="193">
        <f t="shared" si="5"/>
        <v>0</v>
      </c>
      <c r="L71" s="193">
        <f t="shared" si="5"/>
        <v>0</v>
      </c>
      <c r="M71" s="193">
        <f t="shared" si="5"/>
        <v>0</v>
      </c>
      <c r="N71" s="193">
        <f t="shared" si="5"/>
        <v>0</v>
      </c>
      <c r="O71" s="193">
        <f t="shared" si="5"/>
        <v>5296113.1499999994</v>
      </c>
      <c r="P71" s="193">
        <f t="shared" si="5"/>
        <v>20139074.719040003</v>
      </c>
      <c r="Q71" s="193">
        <f t="shared" si="5"/>
        <v>2941993.08</v>
      </c>
      <c r="R71" s="193">
        <f t="shared" si="5"/>
        <v>0</v>
      </c>
      <c r="S71" s="193">
        <f t="shared" si="5"/>
        <v>988932.98756319005</v>
      </c>
      <c r="T71" s="193">
        <f t="shared" si="5"/>
        <v>187093.84</v>
      </c>
      <c r="U71" s="193">
        <f t="shared" si="5"/>
        <v>6372043.3355100006</v>
      </c>
      <c r="V71" s="193">
        <f t="shared" si="5"/>
        <v>0</v>
      </c>
      <c r="W71" s="193">
        <f t="shared" si="5"/>
        <v>1767671.23</v>
      </c>
      <c r="X71" s="193">
        <f t="shared" si="5"/>
        <v>1416481.4299999997</v>
      </c>
      <c r="Y71" s="193">
        <f t="shared" si="5"/>
        <v>5818246.0299999993</v>
      </c>
      <c r="Z71" s="193">
        <f t="shared" si="5"/>
        <v>0</v>
      </c>
      <c r="AA71" s="193">
        <f t="shared" si="5"/>
        <v>832718.81999999983</v>
      </c>
      <c r="AB71" s="193">
        <f t="shared" si="5"/>
        <v>12162599.129999999</v>
      </c>
      <c r="AC71" s="193">
        <f t="shared" si="5"/>
        <v>2059020.8999999997</v>
      </c>
      <c r="AD71" s="193">
        <f t="shared" si="5"/>
        <v>567966.18999999994</v>
      </c>
      <c r="AE71" s="193">
        <f t="shared" si="5"/>
        <v>603155.57999999996</v>
      </c>
      <c r="AF71" s="193">
        <f t="shared" si="5"/>
        <v>0</v>
      </c>
      <c r="AG71" s="193">
        <f t="shared" si="5"/>
        <v>14328695.609999998</v>
      </c>
      <c r="AH71" s="193">
        <f t="shared" si="5"/>
        <v>0</v>
      </c>
      <c r="AI71" s="193">
        <f t="shared" si="5"/>
        <v>0</v>
      </c>
      <c r="AJ71" s="193">
        <f t="shared" ref="AJ71:BO71" si="6">SUM(AJ61:AJ69)-AJ70</f>
        <v>49789066.479999997</v>
      </c>
      <c r="AK71" s="193">
        <f t="shared" si="6"/>
        <v>272868.67000000016</v>
      </c>
      <c r="AL71" s="193">
        <f t="shared" si="6"/>
        <v>286945.19</v>
      </c>
      <c r="AM71" s="193">
        <f t="shared" si="6"/>
        <v>0</v>
      </c>
      <c r="AN71" s="193">
        <f t="shared" si="6"/>
        <v>0</v>
      </c>
      <c r="AO71" s="193">
        <f t="shared" si="6"/>
        <v>0</v>
      </c>
      <c r="AP71" s="193">
        <f t="shared" si="6"/>
        <v>1007.82</v>
      </c>
      <c r="AQ71" s="193">
        <f t="shared" si="6"/>
        <v>0</v>
      </c>
      <c r="AR71" s="193">
        <f t="shared" si="6"/>
        <v>0</v>
      </c>
      <c r="AS71" s="193">
        <f t="shared" si="6"/>
        <v>0</v>
      </c>
      <c r="AT71" s="193">
        <f t="shared" si="6"/>
        <v>0</v>
      </c>
      <c r="AU71" s="193">
        <f t="shared" si="6"/>
        <v>0</v>
      </c>
      <c r="AV71" s="193">
        <f t="shared" si="6"/>
        <v>5158608.1428400008</v>
      </c>
      <c r="AW71" s="193">
        <f t="shared" si="6"/>
        <v>706869.55000000016</v>
      </c>
      <c r="AX71" s="193">
        <f t="shared" si="6"/>
        <v>77174.285759999984</v>
      </c>
      <c r="AY71" s="193">
        <f t="shared" si="6"/>
        <v>2822201.35</v>
      </c>
      <c r="AZ71" s="193">
        <f t="shared" si="6"/>
        <v>0</v>
      </c>
      <c r="BA71" s="193">
        <f t="shared" si="6"/>
        <v>0</v>
      </c>
      <c r="BB71" s="193">
        <f t="shared" si="6"/>
        <v>0</v>
      </c>
      <c r="BC71" s="193">
        <f t="shared" si="6"/>
        <v>0</v>
      </c>
      <c r="BD71" s="193">
        <f t="shared" si="6"/>
        <v>0</v>
      </c>
      <c r="BE71" s="193">
        <f t="shared" si="6"/>
        <v>4420710.1456700005</v>
      </c>
      <c r="BF71" s="193">
        <f t="shared" si="6"/>
        <v>3039491.76</v>
      </c>
      <c r="BG71" s="193">
        <f t="shared" si="6"/>
        <v>332227.36107000004</v>
      </c>
      <c r="BH71" s="193">
        <f t="shared" si="6"/>
        <v>918277.19082000002</v>
      </c>
      <c r="BI71" s="193">
        <f t="shared" si="6"/>
        <v>0</v>
      </c>
      <c r="BJ71" s="193">
        <f t="shared" si="6"/>
        <v>426244.97519999993</v>
      </c>
      <c r="BK71" s="193">
        <f t="shared" si="6"/>
        <v>3467297.3534293612</v>
      </c>
      <c r="BL71" s="193">
        <f t="shared" si="6"/>
        <v>2279498.2960600001</v>
      </c>
      <c r="BM71" s="193">
        <f t="shared" si="6"/>
        <v>0</v>
      </c>
      <c r="BN71" s="193">
        <f t="shared" si="6"/>
        <v>5128031.362305955</v>
      </c>
      <c r="BO71" s="193">
        <f t="shared" si="6"/>
        <v>487315.28093999997</v>
      </c>
      <c r="BP71" s="193">
        <f t="shared" ref="BP71:CB71" si="7">SUM(BP61:BP69)-BP70</f>
        <v>1327451.4039599998</v>
      </c>
      <c r="BQ71" s="193">
        <f t="shared" si="7"/>
        <v>0</v>
      </c>
      <c r="BR71" s="193">
        <f t="shared" si="7"/>
        <v>1205611.5041899998</v>
      </c>
      <c r="BS71" s="193">
        <f t="shared" si="7"/>
        <v>51161.533809999994</v>
      </c>
      <c r="BT71" s="193">
        <f t="shared" si="7"/>
        <v>120852.74410999999</v>
      </c>
      <c r="BU71" s="193">
        <f t="shared" si="7"/>
        <v>41511.700890000015</v>
      </c>
      <c r="BV71" s="193">
        <f t="shared" si="7"/>
        <v>4100035.0285737771</v>
      </c>
      <c r="BW71" s="193">
        <f t="shared" si="7"/>
        <v>704731.73295724497</v>
      </c>
      <c r="BX71" s="193">
        <f t="shared" si="7"/>
        <v>1035284.849531856</v>
      </c>
      <c r="BY71" s="193">
        <f t="shared" si="7"/>
        <v>2631262.6816000002</v>
      </c>
      <c r="BZ71" s="193">
        <f t="shared" si="7"/>
        <v>0</v>
      </c>
      <c r="CA71" s="193">
        <f t="shared" si="7"/>
        <v>368412.98472000001</v>
      </c>
      <c r="CB71" s="193">
        <f t="shared" si="7"/>
        <v>44567.450729999997</v>
      </c>
      <c r="CC71" s="193">
        <f>SUM(CC61:CC69)-CC70</f>
        <v>21046348.153271399</v>
      </c>
      <c r="CD71" s="239">
        <f>CD69-CD70</f>
        <v>15629750</v>
      </c>
      <c r="CE71" s="193">
        <f>SUM(CE61:CE69)-CE70</f>
        <v>230162156.17488283</v>
      </c>
      <c r="CF71" s="246"/>
    </row>
    <row r="72" spans="1:84" ht="12.6" customHeight="1" x14ac:dyDescent="0.25">
      <c r="A72" s="171" t="s">
        <v>244</v>
      </c>
      <c r="B72" s="175"/>
      <c r="C72" s="243" t="s">
        <v>221</v>
      </c>
      <c r="D72" s="243" t="s">
        <v>221</v>
      </c>
      <c r="E72" s="243" t="s">
        <v>221</v>
      </c>
      <c r="F72" s="243" t="s">
        <v>221</v>
      </c>
      <c r="G72" s="243" t="s">
        <v>221</v>
      </c>
      <c r="H72" s="243" t="s">
        <v>221</v>
      </c>
      <c r="I72" s="243" t="s">
        <v>221</v>
      </c>
      <c r="J72" s="243" t="s">
        <v>221</v>
      </c>
      <c r="K72" s="247" t="s">
        <v>221</v>
      </c>
      <c r="L72" s="243" t="s">
        <v>221</v>
      </c>
      <c r="M72" s="243" t="s">
        <v>221</v>
      </c>
      <c r="N72" s="243" t="s">
        <v>221</v>
      </c>
      <c r="O72" s="243" t="s">
        <v>221</v>
      </c>
      <c r="P72" s="243" t="s">
        <v>221</v>
      </c>
      <c r="Q72" s="243" t="s">
        <v>221</v>
      </c>
      <c r="R72" s="243" t="s">
        <v>221</v>
      </c>
      <c r="S72" s="243" t="s">
        <v>221</v>
      </c>
      <c r="T72" s="243" t="s">
        <v>221</v>
      </c>
      <c r="U72" s="243" t="s">
        <v>221</v>
      </c>
      <c r="V72" s="243" t="s">
        <v>221</v>
      </c>
      <c r="W72" s="243" t="s">
        <v>221</v>
      </c>
      <c r="X72" s="243" t="s">
        <v>221</v>
      </c>
      <c r="Y72" s="243" t="s">
        <v>221</v>
      </c>
      <c r="Z72" s="243" t="s">
        <v>221</v>
      </c>
      <c r="AA72" s="243" t="s">
        <v>221</v>
      </c>
      <c r="AB72" s="243" t="s">
        <v>221</v>
      </c>
      <c r="AC72" s="243" t="s">
        <v>221</v>
      </c>
      <c r="AD72" s="243" t="s">
        <v>221</v>
      </c>
      <c r="AE72" s="243" t="s">
        <v>221</v>
      </c>
      <c r="AF72" s="243" t="s">
        <v>221</v>
      </c>
      <c r="AG72" s="243" t="s">
        <v>221</v>
      </c>
      <c r="AH72" s="243" t="s">
        <v>221</v>
      </c>
      <c r="AI72" s="243" t="s">
        <v>221</v>
      </c>
      <c r="AJ72" s="243" t="s">
        <v>221</v>
      </c>
      <c r="AK72" s="243" t="s">
        <v>221</v>
      </c>
      <c r="AL72" s="243" t="s">
        <v>221</v>
      </c>
      <c r="AM72" s="243" t="s">
        <v>221</v>
      </c>
      <c r="AN72" s="243" t="s">
        <v>221</v>
      </c>
      <c r="AO72" s="243" t="s">
        <v>221</v>
      </c>
      <c r="AP72" s="243" t="s">
        <v>221</v>
      </c>
      <c r="AQ72" s="243" t="s">
        <v>221</v>
      </c>
      <c r="AR72" s="243" t="s">
        <v>221</v>
      </c>
      <c r="AS72" s="243" t="s">
        <v>221</v>
      </c>
      <c r="AT72" s="243" t="s">
        <v>221</v>
      </c>
      <c r="AU72" s="243" t="s">
        <v>221</v>
      </c>
      <c r="AV72" s="243" t="s">
        <v>221</v>
      </c>
      <c r="AW72" s="243" t="s">
        <v>221</v>
      </c>
      <c r="AX72" s="243" t="s">
        <v>221</v>
      </c>
      <c r="AY72" s="243" t="s">
        <v>221</v>
      </c>
      <c r="AZ72" s="243" t="s">
        <v>221</v>
      </c>
      <c r="BA72" s="243" t="s">
        <v>221</v>
      </c>
      <c r="BB72" s="243" t="s">
        <v>221</v>
      </c>
      <c r="BC72" s="243" t="s">
        <v>221</v>
      </c>
      <c r="BD72" s="243" t="s">
        <v>221</v>
      </c>
      <c r="BE72" s="243" t="s">
        <v>221</v>
      </c>
      <c r="BF72" s="243" t="s">
        <v>221</v>
      </c>
      <c r="BG72" s="243" t="s">
        <v>221</v>
      </c>
      <c r="BH72" s="243" t="s">
        <v>221</v>
      </c>
      <c r="BI72" s="243" t="s">
        <v>221</v>
      </c>
      <c r="BJ72" s="243" t="s">
        <v>221</v>
      </c>
      <c r="BK72" s="243" t="s">
        <v>221</v>
      </c>
      <c r="BL72" s="243" t="s">
        <v>221</v>
      </c>
      <c r="BM72" s="243" t="s">
        <v>221</v>
      </c>
      <c r="BN72" s="243" t="s">
        <v>221</v>
      </c>
      <c r="BO72" s="243" t="s">
        <v>221</v>
      </c>
      <c r="BP72" s="243" t="s">
        <v>221</v>
      </c>
      <c r="BQ72" s="243" t="s">
        <v>221</v>
      </c>
      <c r="BR72" s="243" t="s">
        <v>221</v>
      </c>
      <c r="BS72" s="243" t="s">
        <v>221</v>
      </c>
      <c r="BT72" s="243" t="s">
        <v>221</v>
      </c>
      <c r="BU72" s="243" t="s">
        <v>221</v>
      </c>
      <c r="BV72" s="243" t="s">
        <v>221</v>
      </c>
      <c r="BW72" s="243" t="s">
        <v>221</v>
      </c>
      <c r="BX72" s="243" t="s">
        <v>221</v>
      </c>
      <c r="BY72" s="243" t="s">
        <v>221</v>
      </c>
      <c r="BZ72" s="243" t="s">
        <v>221</v>
      </c>
      <c r="CA72" s="243" t="s">
        <v>221</v>
      </c>
      <c r="CB72" s="243" t="s">
        <v>221</v>
      </c>
      <c r="CC72" s="243" t="s">
        <v>221</v>
      </c>
      <c r="CD72" s="243" t="s">
        <v>221</v>
      </c>
      <c r="CE72" s="186"/>
      <c r="CF72" s="246"/>
    </row>
    <row r="73" spans="1:84" ht="12.6" customHeight="1" x14ac:dyDescent="0.25">
      <c r="A73" s="171" t="s">
        <v>245</v>
      </c>
      <c r="B73" s="175"/>
      <c r="C73" s="184">
        <f>IF(ISERR(VLOOKUP(VALUE(C$44),'HL Data'!$G$2:$H$51,2,0)="TRUE"),0,VLOOKUP(VALUE(C$44),'HL Data'!$G$2:$H$51,2,0))</f>
        <v>16574498.769999998</v>
      </c>
      <c r="D73" s="184">
        <f>IF(ISERR(VLOOKUP(VALUE(D$44),'HL Data'!$G$2:$H$51,2,0)="TRUE"),0,VLOOKUP(VALUE(D$44),'HL Data'!$G$2:$H$51,2,0))</f>
        <v>0</v>
      </c>
      <c r="E73" s="184">
        <f>IF(ISERR(VLOOKUP(VALUE(E$44),'HL Data'!$G$2:$H$51,2,0)="TRUE"),0,VLOOKUP(VALUE(E$44),'HL Data'!$G$2:$H$51,2,0))</f>
        <v>78712011.819999993</v>
      </c>
      <c r="F73" s="184">
        <f>IF(ISERR(VLOOKUP(VALUE(F$44),'HL Data'!$G$2:$H$51,2,0)="TRUE"),0,VLOOKUP(VALUE(F$44),'HL Data'!$G$2:$H$51,2,0))</f>
        <v>0</v>
      </c>
      <c r="G73" s="184">
        <f>IF(ISERR(VLOOKUP(VALUE(G$44),'HL Data'!$G$2:$H$51,2,0)="TRUE"),0,VLOOKUP(VALUE(G$44),'HL Data'!$G$2:$H$51,2,0))</f>
        <v>0</v>
      </c>
      <c r="H73" s="184">
        <f>IF(ISERR(VLOOKUP(VALUE(H$44),'HL Data'!$G$2:$H$51,2,0)="TRUE"),0,VLOOKUP(VALUE(H$44),'HL Data'!$G$2:$H$51,2,0))</f>
        <v>0</v>
      </c>
      <c r="I73" s="184">
        <f>IF(ISERR(VLOOKUP(VALUE(I$44),'HL Data'!$G$2:$H$51,2,0)="TRUE"),0,VLOOKUP(VALUE(I$44),'HL Data'!$G$2:$H$51,2,0))</f>
        <v>0</v>
      </c>
      <c r="J73" s="184">
        <f>IF(ISERR(VLOOKUP(VALUE(J$44),'HL Data'!$G$2:$H$51,2,0)="TRUE"),0,VLOOKUP(VALUE(J$44),'HL Data'!$G$2:$H$51,2,0))</f>
        <v>0</v>
      </c>
      <c r="K73" s="184">
        <f>IF(ISERR(VLOOKUP(VALUE(K$44),'HL Data'!$G$2:$H$51,2,0)="TRUE"),0,VLOOKUP(VALUE(K$44),'HL Data'!$G$2:$H$51,2,0))</f>
        <v>0</v>
      </c>
      <c r="L73" s="184">
        <f>IF(ISERR(VLOOKUP(VALUE(L$44),'HL Data'!$G$2:$H$51,2,0)="TRUE"),0,VLOOKUP(VALUE(L$44),'HL Data'!$G$2:$H$51,2,0))</f>
        <v>0</v>
      </c>
      <c r="M73" s="184">
        <f>IF(ISERR(VLOOKUP(VALUE(M$44),'HL Data'!$G$2:$H$51,2,0)="TRUE"),0,VLOOKUP(VALUE(M$44),'HL Data'!$G$2:$H$51,2,0))</f>
        <v>0</v>
      </c>
      <c r="N73" s="184">
        <f>IF(ISERR(VLOOKUP(VALUE(N$44),'HL Data'!$G$2:$H$51,2,0)="TRUE"),0,VLOOKUP(VALUE(N$44),'HL Data'!$G$2:$H$51,2,0))</f>
        <v>0</v>
      </c>
      <c r="O73" s="184">
        <f>IF(ISERR(VLOOKUP(VALUE(O$44),'HL Data'!$G$2:$H$51,2,0)="TRUE"),0,VLOOKUP(VALUE(O$44),'HL Data'!$G$2:$H$51,2,0))</f>
        <v>26316726.259999998</v>
      </c>
      <c r="P73" s="184">
        <f>IF(ISERR(VLOOKUP(VALUE(P$44),'HL Data'!$G$2:$H$51,2,0)="TRUE"),0,VLOOKUP(VALUE(P$44),'HL Data'!$G$2:$H$51,2,0))</f>
        <v>77626672.450000003</v>
      </c>
      <c r="Q73" s="184">
        <f>IF(ISERR(VLOOKUP(VALUE(Q$44),'HL Data'!$G$2:$H$51,2,0)="TRUE"),0,VLOOKUP(VALUE(Q$44),'HL Data'!$G$2:$H$51,2,0))</f>
        <v>4674438.47</v>
      </c>
      <c r="R73" s="184">
        <f>IF(ISERR(VLOOKUP(VALUE(R$44),'HL Data'!$G$2:$H$51,2,0)="TRUE"),0,VLOOKUP(VALUE(R$44),'HL Data'!$G$2:$H$51,2,0))</f>
        <v>0</v>
      </c>
      <c r="S73" s="184">
        <f>IF(ISERR(VLOOKUP(VALUE(S$44),'HL Data'!$G$2:$H$51,2,0)="TRUE"),0,VLOOKUP(VALUE(S$44),'HL Data'!$G$2:$H$51,2,0))</f>
        <v>0</v>
      </c>
      <c r="T73" s="184">
        <f>IF(ISERR(VLOOKUP(VALUE(T$44),'HL Data'!$G$2:$H$51,2,0)="TRUE"),0,VLOOKUP(VALUE(T$44),'HL Data'!$G$2:$H$51,2,0))</f>
        <v>2816885.6699999995</v>
      </c>
      <c r="U73" s="184">
        <f>IF(ISERR(VLOOKUP(VALUE(U$44),'HL Data'!$G$2:$H$51,2,0)="TRUE"),0,VLOOKUP(VALUE(U$44),'HL Data'!$G$2:$H$51,2,0))</f>
        <v>31763144.989999998</v>
      </c>
      <c r="V73" s="184">
        <f>IF(ISERR(VLOOKUP(VALUE(V$44),'HL Data'!$G$2:$H$51,2,0)="TRUE"),0,VLOOKUP(VALUE(V$44),'HL Data'!$G$2:$H$51,2,0))</f>
        <v>0</v>
      </c>
      <c r="W73" s="184">
        <f>IF(ISERR(VLOOKUP(VALUE(W$44),'HL Data'!$G$2:$H$51,2,0)="TRUE"),0,VLOOKUP(VALUE(W$44),'HL Data'!$G$2:$H$51,2,0))</f>
        <v>2572722.7200000007</v>
      </c>
      <c r="X73" s="184">
        <f>IF(ISERR(VLOOKUP(VALUE(X$44),'HL Data'!$G$2:$H$51,2,0)="TRUE"),0,VLOOKUP(VALUE(X$44),'HL Data'!$G$2:$H$51,2,0))</f>
        <v>23806574.069999997</v>
      </c>
      <c r="Y73" s="184">
        <f>IF(ISERR(VLOOKUP(VALUE(Y$44),'HL Data'!$G$2:$H$51,2,0)="TRUE"),0,VLOOKUP(VALUE(Y$44),'HL Data'!$G$2:$H$51,2,0))</f>
        <v>7615061.0500000007</v>
      </c>
      <c r="Z73" s="184">
        <f>IF(ISERR(VLOOKUP(VALUE(Z$44),'HL Data'!$G$2:$H$51,2,0)="TRUE"),0,VLOOKUP(VALUE(Z$44),'HL Data'!$G$2:$H$51,2,0))</f>
        <v>0</v>
      </c>
      <c r="AA73" s="184">
        <f>IF(ISERR(VLOOKUP(VALUE(AA$44),'HL Data'!$G$2:$H$51,2,0)="TRUE"),0,VLOOKUP(VALUE(AA$44),'HL Data'!$G$2:$H$51,2,0))</f>
        <v>578565.09</v>
      </c>
      <c r="AB73" s="184">
        <f>IF(ISERR(VLOOKUP(VALUE(AB$44),'HL Data'!$G$2:$H$51,2,0)="TRUE"),0,VLOOKUP(VALUE(AB$44),'HL Data'!$G$2:$H$51,2,0))</f>
        <v>66684214.32</v>
      </c>
      <c r="AC73" s="184">
        <f>IF(ISERR(VLOOKUP(VALUE(AC$44),'HL Data'!$G$2:$H$51,2,0)="TRUE"),0,VLOOKUP(VALUE(AC$44),'HL Data'!$G$2:$H$51,2,0))</f>
        <v>22927831.98</v>
      </c>
      <c r="AD73" s="184">
        <f>IF(ISERR(VLOOKUP(VALUE(AD$44),'HL Data'!$G$2:$H$51,2,0)="TRUE"),0,VLOOKUP(VALUE(AD$44),'HL Data'!$G$2:$H$51,2,0))</f>
        <v>1862928.22</v>
      </c>
      <c r="AE73" s="184">
        <f>IF(ISERR(VLOOKUP(VALUE(AE$44),'HL Data'!$G$2:$H$51,2,0)="TRUE"),0,VLOOKUP(VALUE(AE$44),'HL Data'!$G$2:$H$51,2,0))</f>
        <v>1793001.37</v>
      </c>
      <c r="AF73" s="184">
        <f>IF(ISERR(VLOOKUP(VALUE(AF$44),'HL Data'!$G$2:$H$51,2,0)="TRUE"),0,VLOOKUP(VALUE(AF$44),'HL Data'!$G$2:$H$51,2,0))</f>
        <v>0</v>
      </c>
      <c r="AG73" s="184">
        <f>IF(ISERR(VLOOKUP(VALUE(AG$44),'HL Data'!$G$2:$H$51,2,0)="TRUE"),0,VLOOKUP(VALUE(AG$44),'HL Data'!$G$2:$H$51,2,0))</f>
        <v>34312386.609999999</v>
      </c>
      <c r="AH73" s="184">
        <f>IF(ISERR(VLOOKUP(VALUE(AH$44),'HL Data'!$G$2:$H$51,2,0)="TRUE"),0,VLOOKUP(VALUE(AH$44),'HL Data'!$G$2:$H$51,2,0))</f>
        <v>0</v>
      </c>
      <c r="AI73" s="184">
        <f>IF(ISERR(VLOOKUP(VALUE(AI$44),'HL Data'!$G$2:$H$51,2,0)="TRUE"),0,VLOOKUP(VALUE(AI$44),'HL Data'!$G$2:$H$51,2,0))</f>
        <v>0</v>
      </c>
      <c r="AJ73" s="184">
        <f>IF(ISERR(VLOOKUP(VALUE(AJ$44),'HL Data'!$G$2:$H$51,2,0)="TRUE"),0,VLOOKUP(VALUE(AJ$44),'HL Data'!$G$2:$H$51,2,0))</f>
        <v>118909.36000000002</v>
      </c>
      <c r="AK73" s="184">
        <f>IF(ISERR(VLOOKUP(VALUE(AK$44),'HL Data'!$G$2:$H$51,2,0)="TRUE"),0,VLOOKUP(VALUE(AK$44),'HL Data'!$G$2:$H$51,2,0))</f>
        <v>1631973.95</v>
      </c>
      <c r="AL73" s="184">
        <f>IF(ISERR(VLOOKUP(VALUE(AL$44),'HL Data'!$G$2:$H$51,2,0)="TRUE"),0,VLOOKUP(VALUE(AL$44),'HL Data'!$G$2:$H$51,2,0))</f>
        <v>1150716.0399999998</v>
      </c>
      <c r="AM73" s="184">
        <f>IF(ISERR(VLOOKUP(VALUE(AM$44),'HL Data'!$G$2:$H$51,2,0)="TRUE"),0,VLOOKUP(VALUE(AM$44),'HL Data'!$G$2:$H$51,2,0))</f>
        <v>0</v>
      </c>
      <c r="AN73" s="184">
        <f>IF(ISERR(VLOOKUP(VALUE(AN$44),'HL Data'!$G$2:$H$51,2,0)="TRUE"),0,VLOOKUP(VALUE(AN$44),'HL Data'!$G$2:$H$51,2,0))</f>
        <v>0</v>
      </c>
      <c r="AO73" s="184">
        <f>IF(ISERR(VLOOKUP(VALUE(AO$44),'HL Data'!$G$2:$H$51,2,0)="TRUE"),0,VLOOKUP(VALUE(AO$44),'HL Data'!$G$2:$H$51,2,0))</f>
        <v>0</v>
      </c>
      <c r="AP73" s="184">
        <f>IF(ISERR(VLOOKUP(VALUE(AP$44),'HL Data'!$G$2:$H$51,2,0)="TRUE"),0,VLOOKUP(VALUE(AP$44),'HL Data'!$G$2:$H$51,2,0))</f>
        <v>0</v>
      </c>
      <c r="AQ73" s="184">
        <f>IF(ISERR(VLOOKUP(VALUE(AQ$44),'HL Data'!$G$2:$H$51,2,0)="TRUE"),0,VLOOKUP(VALUE(AQ$44),'HL Data'!$G$2:$H$51,2,0))</f>
        <v>0</v>
      </c>
      <c r="AR73" s="184">
        <f>IF(ISERR(VLOOKUP(VALUE(AR$44),'HL Data'!$G$2:$H$51,2,0)="TRUE"),0,VLOOKUP(VALUE(AR$44),'HL Data'!$G$2:$H$51,2,0))</f>
        <v>0</v>
      </c>
      <c r="AS73" s="184">
        <f>IF(ISERR(VLOOKUP(VALUE(AS$44),'HL Data'!$G$2:$H$51,2,0)="TRUE"),0,VLOOKUP(VALUE(AS$44),'HL Data'!$G$2:$H$51,2,0))</f>
        <v>0</v>
      </c>
      <c r="AT73" s="184">
        <f>IF(ISERR(VLOOKUP(VALUE(AT$44),'HL Data'!$G$2:$H$51,2,0)="TRUE"),0,VLOOKUP(VALUE(AT$44),'HL Data'!$G$2:$H$51,2,0))</f>
        <v>0</v>
      </c>
      <c r="AU73" s="184">
        <f>IF(ISERR(VLOOKUP(VALUE(AU$44),'HL Data'!$G$2:$H$51,2,0)="TRUE"),0,VLOOKUP(VALUE(AU$44),'HL Data'!$G$2:$H$51,2,0))</f>
        <v>0</v>
      </c>
      <c r="AV73" s="184">
        <f>IF(ISERR(VLOOKUP(VALUE(AV$44),'HL Data'!$G$2:$H$51,2,0)="TRUE"),0,VLOOKUP(VALUE(AV$44),'HL Data'!$G$2:$H$51,2,0))+'HL Data'!H50</f>
        <v>-197409.19999999995</v>
      </c>
      <c r="AW73" s="243" t="s">
        <v>221</v>
      </c>
      <c r="AX73" s="243" t="s">
        <v>221</v>
      </c>
      <c r="AY73" s="243" t="s">
        <v>221</v>
      </c>
      <c r="AZ73" s="243" t="s">
        <v>221</v>
      </c>
      <c r="BA73" s="243" t="s">
        <v>221</v>
      </c>
      <c r="BB73" s="243" t="s">
        <v>221</v>
      </c>
      <c r="BC73" s="243" t="s">
        <v>221</v>
      </c>
      <c r="BD73" s="243" t="s">
        <v>221</v>
      </c>
      <c r="BE73" s="243" t="s">
        <v>221</v>
      </c>
      <c r="BF73" s="243" t="s">
        <v>221</v>
      </c>
      <c r="BG73" s="243" t="s">
        <v>221</v>
      </c>
      <c r="BH73" s="243" t="s">
        <v>221</v>
      </c>
      <c r="BI73" s="243" t="s">
        <v>221</v>
      </c>
      <c r="BJ73" s="243" t="s">
        <v>221</v>
      </c>
      <c r="BK73" s="243" t="s">
        <v>221</v>
      </c>
      <c r="BL73" s="243" t="s">
        <v>221</v>
      </c>
      <c r="BM73" s="243" t="s">
        <v>221</v>
      </c>
      <c r="BN73" s="243" t="s">
        <v>221</v>
      </c>
      <c r="BO73" s="243" t="s">
        <v>221</v>
      </c>
      <c r="BP73" s="243" t="s">
        <v>221</v>
      </c>
      <c r="BQ73" s="243" t="s">
        <v>221</v>
      </c>
      <c r="BR73" s="243" t="s">
        <v>221</v>
      </c>
      <c r="BS73" s="243" t="s">
        <v>221</v>
      </c>
      <c r="BT73" s="243" t="s">
        <v>221</v>
      </c>
      <c r="BU73" s="243" t="s">
        <v>221</v>
      </c>
      <c r="BV73" s="243" t="s">
        <v>221</v>
      </c>
      <c r="BW73" s="243" t="s">
        <v>221</v>
      </c>
      <c r="BX73" s="243" t="s">
        <v>221</v>
      </c>
      <c r="BY73" s="243" t="s">
        <v>221</v>
      </c>
      <c r="BZ73" s="243" t="s">
        <v>221</v>
      </c>
      <c r="CA73" s="243" t="s">
        <v>221</v>
      </c>
      <c r="CB73" s="243" t="s">
        <v>221</v>
      </c>
      <c r="CC73" s="243" t="s">
        <v>221</v>
      </c>
      <c r="CD73" s="243" t="s">
        <v>221</v>
      </c>
      <c r="CE73" s="193">
        <f t="shared" ref="CE73:CE80" si="8">SUM(C73:CD73)</f>
        <v>403341854.01000005</v>
      </c>
      <c r="CF73" s="246"/>
    </row>
    <row r="74" spans="1:84" ht="12.6" customHeight="1" x14ac:dyDescent="0.25">
      <c r="A74" s="171" t="s">
        <v>246</v>
      </c>
      <c r="B74" s="175"/>
      <c r="C74" s="184">
        <f>IF(ISERR(VLOOKUP(VALUE(C$44),'HL Data'!$G$2:$I$51,3,0)="TRUE"),0,VLOOKUP(VALUE(C$44),'HL Data'!$G$2:$I$51,3,0))</f>
        <v>17595.919999999998</v>
      </c>
      <c r="D74" s="184">
        <f>IF(ISERR(VLOOKUP(VALUE(D$44),'HL Data'!$G$2:$I$51,3,0)="TRUE"),0,VLOOKUP(VALUE(D$44),'HL Data'!$G$2:$I$51,3,0))</f>
        <v>0</v>
      </c>
      <c r="E74" s="184">
        <f>IF(ISERR(VLOOKUP(VALUE(E$44),'HL Data'!$G$2:$I$51,3,0)="TRUE"),0,VLOOKUP(VALUE(E$44),'HL Data'!$G$2:$I$51,3,0))</f>
        <v>26159201.41</v>
      </c>
      <c r="F74" s="184">
        <f>IF(ISERR(VLOOKUP(VALUE(F$44),'HL Data'!$G$2:$I$51,3,0)="TRUE"),0,VLOOKUP(VALUE(F$44),'HL Data'!$G$2:$I$51,3,0))</f>
        <v>0</v>
      </c>
      <c r="G74" s="184">
        <f>IF(ISERR(VLOOKUP(VALUE(G$44),'HL Data'!$G$2:$I$51,3,0)="TRUE"),0,VLOOKUP(VALUE(G$44),'HL Data'!$G$2:$I$51,3,0))</f>
        <v>0</v>
      </c>
      <c r="H74" s="184">
        <f>IF(ISERR(VLOOKUP(VALUE(H$44),'HL Data'!$G$2:$I$51,3,0)="TRUE"),0,VLOOKUP(VALUE(H$44),'HL Data'!$G$2:$I$51,3,0))</f>
        <v>0</v>
      </c>
      <c r="I74" s="184">
        <f>IF(ISERR(VLOOKUP(VALUE(I$44),'HL Data'!$G$2:$I$51,3,0)="TRUE"),0,VLOOKUP(VALUE(I$44),'HL Data'!$G$2:$I$51,3,0))</f>
        <v>0</v>
      </c>
      <c r="J74" s="184">
        <f>IF(ISERR(VLOOKUP(VALUE(J$44),'HL Data'!$G$2:$I$51,3,0)="TRUE"),0,VLOOKUP(VALUE(J$44),'HL Data'!$G$2:$I$51,3,0))</f>
        <v>0</v>
      </c>
      <c r="K74" s="184">
        <f>IF(ISERR(VLOOKUP(VALUE(K$44),'HL Data'!$G$2:$I$51,3,0)="TRUE"),0,VLOOKUP(VALUE(K$44),'HL Data'!$G$2:$I$51,3,0))</f>
        <v>0</v>
      </c>
      <c r="L74" s="184">
        <f>IF(ISERR(VLOOKUP(VALUE(L$44),'HL Data'!$G$2:$I$51,3,0)="TRUE"),0,VLOOKUP(VALUE(L$44),'HL Data'!$G$2:$I$51,3,0))</f>
        <v>0</v>
      </c>
      <c r="M74" s="184">
        <f>IF(ISERR(VLOOKUP(VALUE(M$44),'HL Data'!$G$2:$I$51,3,0)="TRUE"),0,VLOOKUP(VALUE(M$44),'HL Data'!$G$2:$I$51,3,0))</f>
        <v>0</v>
      </c>
      <c r="N74" s="184">
        <f>IF(ISERR(VLOOKUP(VALUE(N$44),'HL Data'!$G$2:$I$51,3,0)="TRUE"),0,VLOOKUP(VALUE(N$44),'HL Data'!$G$2:$I$51,3,0))</f>
        <v>0</v>
      </c>
      <c r="O74" s="184">
        <f>IF(ISERR(VLOOKUP(VALUE(O$44),'HL Data'!$G$2:$I$51,3,0)="TRUE"),0,VLOOKUP(VALUE(O$44),'HL Data'!$G$2:$I$51,3,0))</f>
        <v>1610474.24</v>
      </c>
      <c r="P74" s="184">
        <f>IF(ISERR(VLOOKUP(VALUE(P$44),'HL Data'!$G$2:$I$51,3,0)="TRUE"),0,VLOOKUP(VALUE(P$44),'HL Data'!$G$2:$I$51,3,0))</f>
        <v>119018145.92000003</v>
      </c>
      <c r="Q74" s="184">
        <f>IF(ISERR(VLOOKUP(VALUE(Q$44),'HL Data'!$G$2:$I$51,3,0)="TRUE"),0,VLOOKUP(VALUE(Q$44),'HL Data'!$G$2:$I$51,3,0))</f>
        <v>11360500.59</v>
      </c>
      <c r="R74" s="184">
        <f>IF(ISERR(VLOOKUP(VALUE(R$44),'HL Data'!$G$2:$I$51,3,0)="TRUE"),0,VLOOKUP(VALUE(R$44),'HL Data'!$G$2:$I$51,3,0))</f>
        <v>0</v>
      </c>
      <c r="S74" s="184">
        <f>IF(ISERR(VLOOKUP(VALUE(S$44),'HL Data'!$G$2:$I$51,3,0)="TRUE"),0,VLOOKUP(VALUE(S$44),'HL Data'!$G$2:$I$51,3,0))</f>
        <v>0</v>
      </c>
      <c r="T74" s="184">
        <f>IF(ISERR(VLOOKUP(VALUE(T$44),'HL Data'!$G$2:$I$51,3,0)="TRUE"),0,VLOOKUP(VALUE(T$44),'HL Data'!$G$2:$I$51,3,0))</f>
        <v>142559.20000000001</v>
      </c>
      <c r="U74" s="184">
        <f>IF(ISERR(VLOOKUP(VALUE(U$44),'HL Data'!$G$2:$I$51,3,0)="TRUE"),0,VLOOKUP(VALUE(U$44),'HL Data'!$G$2:$I$51,3,0))</f>
        <v>27685727.369999997</v>
      </c>
      <c r="V74" s="184">
        <f>IF(ISERR(VLOOKUP(VALUE(V$44),'HL Data'!$G$2:$I$51,3,0)="TRUE"),0,VLOOKUP(VALUE(V$44),'HL Data'!$G$2:$I$51,3,0))</f>
        <v>0</v>
      </c>
      <c r="W74" s="184">
        <f>IF(ISERR(VLOOKUP(VALUE(W$44),'HL Data'!$G$2:$I$51,3,0)="TRUE"),0,VLOOKUP(VALUE(W$44),'HL Data'!$G$2:$I$51,3,0))</f>
        <v>13795281.27</v>
      </c>
      <c r="X74" s="184">
        <f>IF(ISERR(VLOOKUP(VALUE(X$44),'HL Data'!$G$2:$I$51,3,0)="TRUE"),0,VLOOKUP(VALUE(X$44),'HL Data'!$G$2:$I$51,3,0))</f>
        <v>74534223.919999987</v>
      </c>
      <c r="Y74" s="184">
        <f>IF(ISERR(VLOOKUP(VALUE(Y$44),'HL Data'!$G$2:$I$51,3,0)="TRUE"),0,VLOOKUP(VALUE(Y$44),'HL Data'!$G$2:$I$51,3,0))</f>
        <v>29677580.010000002</v>
      </c>
      <c r="Z74" s="184">
        <f>IF(ISERR(VLOOKUP(VALUE(Z$44),'HL Data'!$G$2:$I$51,3,0)="TRUE"),0,VLOOKUP(VALUE(Z$44),'HL Data'!$G$2:$I$51,3,0))</f>
        <v>0</v>
      </c>
      <c r="AA74" s="184">
        <f>IF(ISERR(VLOOKUP(VALUE(AA$44),'HL Data'!$G$2:$I$51,3,0)="TRUE"),0,VLOOKUP(VALUE(AA$44),'HL Data'!$G$2:$I$51,3,0))</f>
        <v>5133488.75</v>
      </c>
      <c r="AB74" s="184">
        <f>IF(ISERR(VLOOKUP(VALUE(AB$44),'HL Data'!$G$2:$I$51,3,0)="TRUE"),0,VLOOKUP(VALUE(AB$44),'HL Data'!$G$2:$I$51,3,0))</f>
        <v>79715708.370000005</v>
      </c>
      <c r="AC74" s="184">
        <f>IF(ISERR(VLOOKUP(VALUE(AC$44),'HL Data'!$G$2:$I$51,3,0)="TRUE"),0,VLOOKUP(VALUE(AC$44),'HL Data'!$G$2:$I$51,3,0))</f>
        <v>6670502.8599999994</v>
      </c>
      <c r="AD74" s="184">
        <f>IF(ISERR(VLOOKUP(VALUE(AD$44),'HL Data'!$G$2:$I$51,3,0)="TRUE"),0,VLOOKUP(VALUE(AD$44),'HL Data'!$G$2:$I$51,3,0))</f>
        <v>73554.87</v>
      </c>
      <c r="AE74" s="184">
        <f>IF(ISERR(VLOOKUP(VALUE(AE$44),'HL Data'!$G$2:$I$51,3,0)="TRUE"),0,VLOOKUP(VALUE(AE$44),'HL Data'!$G$2:$I$51,3,0))</f>
        <v>358840.7</v>
      </c>
      <c r="AF74" s="184">
        <f>IF(ISERR(VLOOKUP(VALUE(AF$44),'HL Data'!$G$2:$I$51,3,0)="TRUE"),0,VLOOKUP(VALUE(AF$44),'HL Data'!$G$2:$I$51,3,0))</f>
        <v>0</v>
      </c>
      <c r="AG74" s="184">
        <f>IF(ISERR(VLOOKUP(VALUE(AG$44),'HL Data'!$G$2:$I$51,3,0)="TRUE"),0,VLOOKUP(VALUE(AG$44),'HL Data'!$G$2:$I$51,3,0))</f>
        <v>134144044.86</v>
      </c>
      <c r="AH74" s="184">
        <f>IF(ISERR(VLOOKUP(VALUE(AH$44),'HL Data'!$G$2:$I$51,3,0)="TRUE"),0,VLOOKUP(VALUE(AH$44),'HL Data'!$G$2:$I$51,3,0))</f>
        <v>0</v>
      </c>
      <c r="AI74" s="184">
        <f>IF(ISERR(VLOOKUP(VALUE(AI$44),'HL Data'!$G$2:$I$51,3,0)="TRUE"),0,VLOOKUP(VALUE(AI$44),'HL Data'!$G$2:$I$51,3,0))</f>
        <v>0</v>
      </c>
      <c r="AJ74" s="184">
        <f>IF(ISERR(VLOOKUP(VALUE(AJ$44),'HL Data'!$G$2:$I$51,3,0)="TRUE"),0,VLOOKUP(VALUE(AJ$44),'HL Data'!$G$2:$I$51,3,0))-'HL Data'!I60</f>
        <v>85318493.579999998</v>
      </c>
      <c r="AK74" s="184">
        <f>IF(ISERR(VLOOKUP(VALUE(AK$44),'HL Data'!$G$2:$I$51,3,0)="TRUE"),0,VLOOKUP(VALUE(AK$44),'HL Data'!$G$2:$I$51,3,0))</f>
        <v>261193.72</v>
      </c>
      <c r="AL74" s="184">
        <f>IF(ISERR(VLOOKUP(VALUE(AL$44),'HL Data'!$G$2:$I$51,3,0)="TRUE"),0,VLOOKUP(VALUE(AL$44),'HL Data'!$G$2:$I$51,3,0))</f>
        <v>82152.62</v>
      </c>
      <c r="AM74" s="184">
        <f>IF(ISERR(VLOOKUP(VALUE(AM$44),'HL Data'!$G$2:$I$51,3,0)="TRUE"),0,VLOOKUP(VALUE(AM$44),'HL Data'!$G$2:$I$51,3,0))</f>
        <v>0</v>
      </c>
      <c r="AN74" s="184">
        <f>IF(ISERR(VLOOKUP(VALUE(AN$44),'HL Data'!$G$2:$I$51,3,0)="TRUE"),0,VLOOKUP(VALUE(AN$44),'HL Data'!$G$2:$I$51,3,0))</f>
        <v>0</v>
      </c>
      <c r="AO74" s="184">
        <f>IF(ISERR(VLOOKUP(VALUE(AO$44),'HL Data'!$G$2:$I$51,3,0)="TRUE"),0,VLOOKUP(VALUE(AO$44),'HL Data'!$G$2:$I$51,3,0))</f>
        <v>0</v>
      </c>
      <c r="AP74" s="184">
        <f>IF(ISERR(VLOOKUP(VALUE(AP$44),'HL Data'!$G$2:$I$51,3,0)="TRUE"),0,VLOOKUP(VALUE(AP$44),'HL Data'!$G$2:$I$51,3,0))</f>
        <v>0</v>
      </c>
      <c r="AQ74" s="184">
        <f>IF(ISERR(VLOOKUP(VALUE(AQ$44),'HL Data'!$G$2:$I$51,3,0)="TRUE"),0,VLOOKUP(VALUE(AQ$44),'HL Data'!$G$2:$I$51,3,0))</f>
        <v>0</v>
      </c>
      <c r="AR74" s="184">
        <f>IF(ISERR(VLOOKUP(VALUE(AR$44),'HL Data'!$G$2:$I$51,3,0)="TRUE"),0,VLOOKUP(VALUE(AR$44),'HL Data'!$G$2:$I$51,3,0))</f>
        <v>0</v>
      </c>
      <c r="AS74" s="184">
        <f>IF(ISERR(VLOOKUP(VALUE(AS$44),'HL Data'!$G$2:$I$51,3,0)="TRUE"),0,VLOOKUP(VALUE(AS$44),'HL Data'!$G$2:$I$51,3,0))</f>
        <v>0</v>
      </c>
      <c r="AT74" s="184">
        <f>IF(ISERR(VLOOKUP(VALUE(AT$44),'HL Data'!$G$2:$I$51,3,0)="TRUE"),0,VLOOKUP(VALUE(AT$44),'HL Data'!$G$2:$I$51,3,0))</f>
        <v>0</v>
      </c>
      <c r="AU74" s="184">
        <f>IF(ISERR(VLOOKUP(VALUE(AU$44),'HL Data'!$G$2:$I$51,3,0)="TRUE"),0,VLOOKUP(VALUE(AU$44),'HL Data'!$G$2:$I$51,3,0))</f>
        <v>0</v>
      </c>
      <c r="AV74" s="184">
        <f>IF(ISERR(VLOOKUP(VALUE(AV$44),'HL Data'!$G$2:$I$51,3,0)="TRUE"),0,VLOOKUP(VALUE(AV$44),'HL Data'!$G$2:$I$51,3,0))+'HL Data'!I50+'HL Data'!I38</f>
        <v>-141154.87999999998</v>
      </c>
      <c r="AW74" s="243" t="s">
        <v>221</v>
      </c>
      <c r="AX74" s="243" t="s">
        <v>221</v>
      </c>
      <c r="AY74" s="243" t="s">
        <v>221</v>
      </c>
      <c r="AZ74" s="243" t="s">
        <v>221</v>
      </c>
      <c r="BA74" s="243" t="s">
        <v>221</v>
      </c>
      <c r="BB74" s="243" t="s">
        <v>221</v>
      </c>
      <c r="BC74" s="243" t="s">
        <v>221</v>
      </c>
      <c r="BD74" s="243" t="s">
        <v>221</v>
      </c>
      <c r="BE74" s="243" t="s">
        <v>221</v>
      </c>
      <c r="BF74" s="243" t="s">
        <v>221</v>
      </c>
      <c r="BG74" s="243" t="s">
        <v>221</v>
      </c>
      <c r="BH74" s="243" t="s">
        <v>221</v>
      </c>
      <c r="BI74" s="243" t="s">
        <v>221</v>
      </c>
      <c r="BJ74" s="243" t="s">
        <v>221</v>
      </c>
      <c r="BK74" s="243" t="s">
        <v>221</v>
      </c>
      <c r="BL74" s="243" t="s">
        <v>221</v>
      </c>
      <c r="BM74" s="243" t="s">
        <v>221</v>
      </c>
      <c r="BN74" s="243" t="s">
        <v>221</v>
      </c>
      <c r="BO74" s="243" t="s">
        <v>221</v>
      </c>
      <c r="BP74" s="243" t="s">
        <v>221</v>
      </c>
      <c r="BQ74" s="243" t="s">
        <v>221</v>
      </c>
      <c r="BR74" s="243" t="s">
        <v>221</v>
      </c>
      <c r="BS74" s="243" t="s">
        <v>221</v>
      </c>
      <c r="BT74" s="243" t="s">
        <v>221</v>
      </c>
      <c r="BU74" s="243" t="s">
        <v>221</v>
      </c>
      <c r="BV74" s="243" t="s">
        <v>221</v>
      </c>
      <c r="BW74" s="243" t="s">
        <v>221</v>
      </c>
      <c r="BX74" s="243" t="s">
        <v>221</v>
      </c>
      <c r="BY74" s="243" t="s">
        <v>221</v>
      </c>
      <c r="BZ74" s="243" t="s">
        <v>221</v>
      </c>
      <c r="CA74" s="243" t="s">
        <v>221</v>
      </c>
      <c r="CB74" s="243" t="s">
        <v>221</v>
      </c>
      <c r="CC74" s="243" t="s">
        <v>221</v>
      </c>
      <c r="CD74" s="243" t="s">
        <v>221</v>
      </c>
      <c r="CE74" s="193">
        <f t="shared" si="8"/>
        <v>615618115.30000007</v>
      </c>
      <c r="CF74" s="246"/>
    </row>
    <row r="75" spans="1:84" ht="12.6" customHeight="1" x14ac:dyDescent="0.25">
      <c r="A75" s="171" t="s">
        <v>247</v>
      </c>
      <c r="B75" s="175"/>
      <c r="C75" s="193">
        <f t="shared" ref="C75:AV75" si="9">SUM(C73:C74)</f>
        <v>16592094.689999998</v>
      </c>
      <c r="D75" s="193">
        <f t="shared" si="9"/>
        <v>0</v>
      </c>
      <c r="E75" s="193">
        <f t="shared" si="9"/>
        <v>104871213.22999999</v>
      </c>
      <c r="F75" s="193">
        <f t="shared" si="9"/>
        <v>0</v>
      </c>
      <c r="G75" s="193">
        <f t="shared" si="9"/>
        <v>0</v>
      </c>
      <c r="H75" s="193">
        <f t="shared" si="9"/>
        <v>0</v>
      </c>
      <c r="I75" s="193">
        <f t="shared" si="9"/>
        <v>0</v>
      </c>
      <c r="J75" s="193">
        <f t="shared" si="9"/>
        <v>0</v>
      </c>
      <c r="K75" s="193">
        <f t="shared" si="9"/>
        <v>0</v>
      </c>
      <c r="L75" s="193">
        <f t="shared" si="9"/>
        <v>0</v>
      </c>
      <c r="M75" s="193">
        <f t="shared" si="9"/>
        <v>0</v>
      </c>
      <c r="N75" s="193">
        <f t="shared" si="9"/>
        <v>0</v>
      </c>
      <c r="O75" s="193">
        <f t="shared" si="9"/>
        <v>27927200.499999996</v>
      </c>
      <c r="P75" s="193">
        <f t="shared" si="9"/>
        <v>196644818.37000003</v>
      </c>
      <c r="Q75" s="193">
        <f t="shared" si="9"/>
        <v>16034939.059999999</v>
      </c>
      <c r="R75" s="193">
        <f t="shared" si="9"/>
        <v>0</v>
      </c>
      <c r="S75" s="193">
        <f t="shared" si="9"/>
        <v>0</v>
      </c>
      <c r="T75" s="193">
        <f t="shared" si="9"/>
        <v>2959444.8699999996</v>
      </c>
      <c r="U75" s="193">
        <f t="shared" si="9"/>
        <v>59448872.359999999</v>
      </c>
      <c r="V75" s="193">
        <f t="shared" si="9"/>
        <v>0</v>
      </c>
      <c r="W75" s="193">
        <f t="shared" si="9"/>
        <v>16368003.99</v>
      </c>
      <c r="X75" s="193">
        <f t="shared" si="9"/>
        <v>98340797.98999998</v>
      </c>
      <c r="Y75" s="193">
        <f t="shared" si="9"/>
        <v>37292641.060000002</v>
      </c>
      <c r="Z75" s="193">
        <f t="shared" si="9"/>
        <v>0</v>
      </c>
      <c r="AA75" s="193">
        <f t="shared" si="9"/>
        <v>5712053.8399999999</v>
      </c>
      <c r="AB75" s="193">
        <f t="shared" si="9"/>
        <v>146399922.69</v>
      </c>
      <c r="AC75" s="193">
        <f t="shared" si="9"/>
        <v>29598334.84</v>
      </c>
      <c r="AD75" s="193">
        <f t="shared" si="9"/>
        <v>1936483.0899999999</v>
      </c>
      <c r="AE75" s="193">
        <f t="shared" si="9"/>
        <v>2151842.0700000003</v>
      </c>
      <c r="AF75" s="193">
        <f t="shared" si="9"/>
        <v>0</v>
      </c>
      <c r="AG75" s="193">
        <f t="shared" si="9"/>
        <v>168456431.47</v>
      </c>
      <c r="AH75" s="193">
        <f t="shared" si="9"/>
        <v>0</v>
      </c>
      <c r="AI75" s="193">
        <f t="shared" si="9"/>
        <v>0</v>
      </c>
      <c r="AJ75" s="193">
        <f t="shared" si="9"/>
        <v>85437402.939999998</v>
      </c>
      <c r="AK75" s="193">
        <f t="shared" si="9"/>
        <v>1893167.67</v>
      </c>
      <c r="AL75" s="193">
        <f t="shared" si="9"/>
        <v>1232868.6599999997</v>
      </c>
      <c r="AM75" s="193">
        <f t="shared" si="9"/>
        <v>0</v>
      </c>
      <c r="AN75" s="193">
        <f t="shared" si="9"/>
        <v>0</v>
      </c>
      <c r="AO75" s="193">
        <f t="shared" si="9"/>
        <v>0</v>
      </c>
      <c r="AP75" s="193">
        <f t="shared" si="9"/>
        <v>0</v>
      </c>
      <c r="AQ75" s="193">
        <f t="shared" si="9"/>
        <v>0</v>
      </c>
      <c r="AR75" s="193">
        <f t="shared" si="9"/>
        <v>0</v>
      </c>
      <c r="AS75" s="193">
        <f t="shared" si="9"/>
        <v>0</v>
      </c>
      <c r="AT75" s="193">
        <f t="shared" si="9"/>
        <v>0</v>
      </c>
      <c r="AU75" s="193">
        <f t="shared" si="9"/>
        <v>0</v>
      </c>
      <c r="AV75" s="193">
        <f t="shared" si="9"/>
        <v>-338564.07999999996</v>
      </c>
      <c r="AW75" s="243" t="s">
        <v>221</v>
      </c>
      <c r="AX75" s="243" t="s">
        <v>221</v>
      </c>
      <c r="AY75" s="243" t="s">
        <v>221</v>
      </c>
      <c r="AZ75" s="243" t="s">
        <v>221</v>
      </c>
      <c r="BA75" s="243" t="s">
        <v>221</v>
      </c>
      <c r="BB75" s="243" t="s">
        <v>221</v>
      </c>
      <c r="BC75" s="243" t="s">
        <v>221</v>
      </c>
      <c r="BD75" s="243" t="s">
        <v>221</v>
      </c>
      <c r="BE75" s="243" t="s">
        <v>221</v>
      </c>
      <c r="BF75" s="243" t="s">
        <v>221</v>
      </c>
      <c r="BG75" s="243" t="s">
        <v>221</v>
      </c>
      <c r="BH75" s="243" t="s">
        <v>221</v>
      </c>
      <c r="BI75" s="243" t="s">
        <v>221</v>
      </c>
      <c r="BJ75" s="243" t="s">
        <v>221</v>
      </c>
      <c r="BK75" s="243" t="s">
        <v>221</v>
      </c>
      <c r="BL75" s="243" t="s">
        <v>221</v>
      </c>
      <c r="BM75" s="243" t="s">
        <v>221</v>
      </c>
      <c r="BN75" s="243" t="s">
        <v>221</v>
      </c>
      <c r="BO75" s="243" t="s">
        <v>221</v>
      </c>
      <c r="BP75" s="243" t="s">
        <v>221</v>
      </c>
      <c r="BQ75" s="243" t="s">
        <v>221</v>
      </c>
      <c r="BR75" s="243" t="s">
        <v>221</v>
      </c>
      <c r="BS75" s="243" t="s">
        <v>221</v>
      </c>
      <c r="BT75" s="243" t="s">
        <v>221</v>
      </c>
      <c r="BU75" s="243" t="s">
        <v>221</v>
      </c>
      <c r="BV75" s="243" t="s">
        <v>221</v>
      </c>
      <c r="BW75" s="243" t="s">
        <v>221</v>
      </c>
      <c r="BX75" s="243" t="s">
        <v>221</v>
      </c>
      <c r="BY75" s="243" t="s">
        <v>221</v>
      </c>
      <c r="BZ75" s="243" t="s">
        <v>221</v>
      </c>
      <c r="CA75" s="243" t="s">
        <v>221</v>
      </c>
      <c r="CB75" s="243" t="s">
        <v>221</v>
      </c>
      <c r="CC75" s="243" t="s">
        <v>221</v>
      </c>
      <c r="CD75" s="243" t="s">
        <v>221</v>
      </c>
      <c r="CE75" s="193">
        <f t="shared" si="8"/>
        <v>1018959969.3100001</v>
      </c>
      <c r="CF75" s="246"/>
    </row>
    <row r="76" spans="1:84" ht="12.6" customHeight="1" x14ac:dyDescent="0.25">
      <c r="A76" s="171" t="s">
        <v>248</v>
      </c>
      <c r="B76" s="175"/>
      <c r="C76" s="184">
        <f>IF(ISERR(VLOOKUP(VALUE(C$44),'HL Data'!$O$56:$T$95,6,0)="TRUE"),0,VLOOKUP(VALUE(C$44),'HL Data'!$O$56:$T$95,6,0))</f>
        <v>6296</v>
      </c>
      <c r="D76" s="184">
        <f>IF(ISERR(VLOOKUP(VALUE(D$44),'HL Data'!$O$56:$T$95,6,0)="TRUE"),0,VLOOKUP(VALUE(D$44),'HL Data'!$O$56:$T$95,6,0))</f>
        <v>0</v>
      </c>
      <c r="E76" s="184">
        <f>IF(ISERR(VLOOKUP(VALUE(E$44),'HL Data'!$O$56:$T$95,6,0)="TRUE"),0,VLOOKUP(VALUE(E$44),'HL Data'!$O$56:$T$95,6,0))</f>
        <v>39978</v>
      </c>
      <c r="F76" s="184">
        <f>IF(ISERR(VLOOKUP(VALUE(F$44),'HL Data'!$O$56:$T$95,6,0)="TRUE"),0,VLOOKUP(VALUE(F$44),'HL Data'!$O$56:$T$95,6,0))</f>
        <v>0</v>
      </c>
      <c r="G76" s="184">
        <f>IF(ISERR(VLOOKUP(VALUE(G$44),'HL Data'!$O$56:$T$95,6,0)="TRUE"),0,VLOOKUP(VALUE(G$44),'HL Data'!$O$56:$T$95,6,0))</f>
        <v>0</v>
      </c>
      <c r="H76" s="184">
        <f>IF(ISERR(VLOOKUP(VALUE(H$44),'HL Data'!$O$56:$T$95,6,0)="TRUE"),0,VLOOKUP(VALUE(H$44),'HL Data'!$O$56:$T$95,6,0))</f>
        <v>0</v>
      </c>
      <c r="I76" s="184">
        <f>IF(ISERR(VLOOKUP(VALUE(I$44),'HL Data'!$O$56:$T$95,6,0)="TRUE"),0,VLOOKUP(VALUE(I$44),'HL Data'!$O$56:$T$95,6,0))</f>
        <v>0</v>
      </c>
      <c r="J76" s="184">
        <f>IF(ISERR(VLOOKUP(VALUE(J$44),'HL Data'!$O$56:$T$95,6,0)="TRUE"),0,VLOOKUP(VALUE(J$44),'HL Data'!$O$56:$T$95,6,0))</f>
        <v>1167</v>
      </c>
      <c r="K76" s="184">
        <f>IF(ISERR(VLOOKUP(VALUE(K$44),'HL Data'!$O$56:$T$95,6,0)="TRUE"),0,VLOOKUP(VALUE(K$44),'HL Data'!$O$56:$T$95,6,0))</f>
        <v>0</v>
      </c>
      <c r="L76" s="184">
        <f>IF(ISERR(VLOOKUP(VALUE(L$44),'HL Data'!$O$56:$T$95,6,0)="TRUE"),0,VLOOKUP(VALUE(L$44),'HL Data'!$O$56:$T$95,6,0))</f>
        <v>0</v>
      </c>
      <c r="M76" s="184">
        <f>IF(ISERR(VLOOKUP(VALUE(M$44),'HL Data'!$O$56:$T$95,6,0)="TRUE"),0,VLOOKUP(VALUE(M$44),'HL Data'!$O$56:$T$95,6,0))</f>
        <v>0</v>
      </c>
      <c r="N76" s="184">
        <f>IF(ISERR(VLOOKUP(VALUE(N$44),'HL Data'!$O$56:$T$95,6,0)="TRUE"),0,VLOOKUP(VALUE(N$44),'HL Data'!$O$56:$T$95,6,0))</f>
        <v>0</v>
      </c>
      <c r="O76" s="184">
        <f>IF(ISERR(VLOOKUP(VALUE(O$44),'HL Data'!$O$56:$T$95,6,0)="TRUE"),0,VLOOKUP(VALUE(O$44),'HL Data'!$O$56:$T$95,6,0))</f>
        <v>22556</v>
      </c>
      <c r="P76" s="184">
        <f>IF(ISERR(VLOOKUP(VALUE(P$44),'HL Data'!$O$56:$T$95,6,0)="TRUE"),0,VLOOKUP(VALUE(P$44),'HL Data'!$O$56:$T$95,6,0))</f>
        <v>21543</v>
      </c>
      <c r="Q76" s="184">
        <f>IF(ISERR(VLOOKUP(VALUE(Q$44),'HL Data'!$O$56:$T$95,6,0)="TRUE"),0,VLOOKUP(VALUE(Q$44),'HL Data'!$O$56:$T$95,6,0))</f>
        <v>2295</v>
      </c>
      <c r="R76" s="184">
        <f>IF(ISERR(VLOOKUP(VALUE(R$44),'HL Data'!$O$56:$T$95,6,0)="TRUE"),0,VLOOKUP(VALUE(R$44),'HL Data'!$O$56:$T$95,6,0))</f>
        <v>0</v>
      </c>
      <c r="S76" s="184">
        <f>IF(ISERR(VLOOKUP(VALUE(S$44),'HL Data'!$O$56:$T$95,6,0)="TRUE"),0,VLOOKUP(VALUE(S$44),'HL Data'!$O$56:$T$95,6,0))</f>
        <v>4986</v>
      </c>
      <c r="T76" s="184">
        <f>IF(ISERR(VLOOKUP(VALUE(T$44),'HL Data'!$O$56:$T$95,6,0)="TRUE"),0,VLOOKUP(VALUE(T$44),'HL Data'!$O$56:$T$95,6,0))</f>
        <v>0</v>
      </c>
      <c r="U76" s="184">
        <f>IF(ISERR(VLOOKUP(VALUE(U$44),'HL Data'!$O$56:$T$95,6,0)="TRUE"),0,VLOOKUP(VALUE(U$44),'HL Data'!$O$56:$T$95,6,0))</f>
        <v>8756</v>
      </c>
      <c r="V76" s="184">
        <f>IF(ISERR(VLOOKUP(VALUE(V$44),'HL Data'!$O$56:$T$95,6,0)="TRUE"),0,VLOOKUP(VALUE(V$44),'HL Data'!$O$56:$T$95,6,0))</f>
        <v>0</v>
      </c>
      <c r="W76" s="184">
        <f>IF(ISERR(VLOOKUP(VALUE(W$44),'HL Data'!$O$56:$T$95,6,0)="TRUE"),0,VLOOKUP(VALUE(W$44),'HL Data'!$O$56:$T$95,6,0))</f>
        <v>0</v>
      </c>
      <c r="X76" s="184">
        <f>IF(ISERR(VLOOKUP(VALUE(X$44),'HL Data'!$O$56:$T$95,6,0)="TRUE"),0,VLOOKUP(VALUE(X$44),'HL Data'!$O$56:$T$95,6,0))</f>
        <v>792</v>
      </c>
      <c r="Y76" s="184">
        <f>IF(ISERR(VLOOKUP(VALUE(Y$44),'HL Data'!$O$56:$T$95,6,0)="TRUE"),0,VLOOKUP(VALUE(Y$44),'HL Data'!$O$56:$T$95,6,0))</f>
        <v>14335</v>
      </c>
      <c r="Z76" s="184">
        <f>IF(ISERR(VLOOKUP(VALUE(Z$44),'HL Data'!$O$56:$T$95,6,0)="TRUE"),0,VLOOKUP(VALUE(Z$44),'HL Data'!$O$56:$T$95,6,0))</f>
        <v>0</v>
      </c>
      <c r="AA76" s="184">
        <f>IF(ISERR(VLOOKUP(VALUE(AA$44),'HL Data'!$O$56:$T$95,6,0)="TRUE"),0,VLOOKUP(VALUE(AA$44),'HL Data'!$O$56:$T$95,6,0))</f>
        <v>3771</v>
      </c>
      <c r="AB76" s="184">
        <f>IF(ISERR(VLOOKUP(VALUE(AB$44),'HL Data'!$O$56:$T$95,6,0)="TRUE"),0,VLOOKUP(VALUE(AB$44),'HL Data'!$O$56:$T$95,6,0))</f>
        <v>1770</v>
      </c>
      <c r="AC76" s="184">
        <f>IF(ISERR(VLOOKUP(VALUE(AC$44),'HL Data'!$O$56:$T$95,6,0)="TRUE"),0,VLOOKUP(VALUE(AC$44),'HL Data'!$O$56:$T$95,6,0))</f>
        <v>724</v>
      </c>
      <c r="AD76" s="184">
        <f>IF(ISERR(VLOOKUP(VALUE(AD$44),'HL Data'!$O$56:$T$95,6,0)="TRUE"),0,VLOOKUP(VALUE(AD$44),'HL Data'!$O$56:$T$95,6,0))</f>
        <v>0</v>
      </c>
      <c r="AE76" s="184">
        <f>IF(ISERR(VLOOKUP(VALUE(AE$44),'HL Data'!$O$56:$T$95,6,0)="TRUE"),0,VLOOKUP(VALUE(AE$44),'HL Data'!$O$56:$T$95,6,0))</f>
        <v>0</v>
      </c>
      <c r="AF76" s="184">
        <f>IF(ISERR(VLOOKUP(VALUE(AF$44),'HL Data'!$O$56:$T$95,6,0)="TRUE"),0,VLOOKUP(VALUE(AF$44),'HL Data'!$O$56:$T$95,6,0))</f>
        <v>0</v>
      </c>
      <c r="AG76" s="184">
        <f>IF(ISERR(VLOOKUP(VALUE(AG$44),'HL Data'!$O$56:$T$95,6,0)="TRUE"),0,VLOOKUP(VALUE(AG$44),'HL Data'!$O$56:$T$95,6,0))</f>
        <v>27038</v>
      </c>
      <c r="AH76" s="184">
        <f>IF(ISERR(VLOOKUP(VALUE(AH$44),'HL Data'!$O$56:$T$95,6,0)="TRUE"),0,VLOOKUP(VALUE(AH$44),'HL Data'!$O$56:$T$95,6,0))</f>
        <v>0</v>
      </c>
      <c r="AI76" s="184">
        <f>IF(ISERR(VLOOKUP(VALUE(AI$44),'HL Data'!$O$56:$T$95,6,0)="TRUE"),0,VLOOKUP(VALUE(AI$44),'HL Data'!$O$56:$T$95,6,0))</f>
        <v>0</v>
      </c>
      <c r="AJ76" s="184">
        <v>15672</v>
      </c>
      <c r="AK76" s="184">
        <f>IF(ISERR(VLOOKUP(VALUE(AK$44),'HL Data'!$O$56:$T$95,6,0)="TRUE"),0,VLOOKUP(VALUE(AK$44),'HL Data'!$O$56:$T$95,6,0))</f>
        <v>76</v>
      </c>
      <c r="AL76" s="184">
        <f>IF(ISERR(VLOOKUP(VALUE(AL$44),'HL Data'!$O$56:$T$95,6,0)="TRUE"),0,VLOOKUP(VALUE(AL$44),'HL Data'!$O$56:$T$95,6,0))</f>
        <v>77</v>
      </c>
      <c r="AM76" s="184">
        <f>IF(ISERR(VLOOKUP(VALUE(AM$44),'HL Data'!$O$56:$T$95,6,0)="TRUE"),0,VLOOKUP(VALUE(AM$44),'HL Data'!$O$56:$T$95,6,0))</f>
        <v>0</v>
      </c>
      <c r="AN76" s="184">
        <f>IF(ISERR(VLOOKUP(VALUE(AN$44),'HL Data'!$O$56:$T$95,6,0)="TRUE"),0,VLOOKUP(VALUE(AN$44),'HL Data'!$O$56:$T$95,6,0))</f>
        <v>0</v>
      </c>
      <c r="AO76" s="184">
        <f>IF(ISERR(VLOOKUP(VALUE(AO$44),'HL Data'!$O$56:$T$95,6,0)="TRUE"),0,VLOOKUP(VALUE(AO$44),'HL Data'!$O$56:$T$95,6,0))</f>
        <v>0</v>
      </c>
      <c r="AP76" s="184">
        <f>IF(ISERR(VLOOKUP(VALUE(AP$44),'HL Data'!$O$56:$T$95,6,0)="TRUE"),0,VLOOKUP(VALUE(AP$44),'HL Data'!$O$56:$T$95,6,0))</f>
        <v>0</v>
      </c>
      <c r="AQ76" s="184">
        <f>IF(ISERR(VLOOKUP(VALUE(AQ$44),'HL Data'!$O$56:$T$95,6,0)="TRUE"),0,VLOOKUP(VALUE(AQ$44),'HL Data'!$O$56:$T$95,6,0))</f>
        <v>0</v>
      </c>
      <c r="AR76" s="184">
        <f>IF(ISERR(VLOOKUP(VALUE(AR$44),'HL Data'!$O$56:$T$95,6,0)="TRUE"),0,VLOOKUP(VALUE(AR$44),'HL Data'!$O$56:$T$95,6,0))</f>
        <v>0</v>
      </c>
      <c r="AS76" s="184">
        <f>IF(ISERR(VLOOKUP(VALUE(AS$44),'HL Data'!$O$56:$T$95,6,0)="TRUE"),0,VLOOKUP(VALUE(AS$44),'HL Data'!$O$56:$T$95,6,0))</f>
        <v>0</v>
      </c>
      <c r="AT76" s="184">
        <f>IF(ISERR(VLOOKUP(VALUE(AT$44),'HL Data'!$O$56:$T$95,6,0)="TRUE"),0,VLOOKUP(VALUE(AT$44),'HL Data'!$O$56:$T$95,6,0))</f>
        <v>0</v>
      </c>
      <c r="AU76" s="184">
        <f>IF(ISERR(VLOOKUP(VALUE(AU$44),'HL Data'!$O$56:$T$95,6,0)="TRUE"),0,VLOOKUP(VALUE(AU$44),'HL Data'!$O$56:$T$95,6,0))</f>
        <v>0</v>
      </c>
      <c r="AV76" s="184">
        <f>IF(ISERR(VLOOKUP(VALUE(AV$44),'HL Data'!$O$56:$T$95,6,0)="TRUE"),0,VLOOKUP(VALUE(AV$44),'HL Data'!$O$56:$T$95,6,0))</f>
        <v>425</v>
      </c>
      <c r="AW76" s="184">
        <f>IF(ISERR(VLOOKUP(VALUE(AW$44),'HL Data'!$O$56:$T$95,6,0)="TRUE"),0,VLOOKUP(VALUE(AW$44),'HL Data'!$O$56:$T$95,6,0))</f>
        <v>0</v>
      </c>
      <c r="AX76" s="184">
        <f>IF(ISERR(VLOOKUP(VALUE(AX$44),'HL Data'!$O$56:$T$95,6,0)="TRUE"),0,VLOOKUP(VALUE(AX$44),'HL Data'!$O$56:$T$95,6,0))</f>
        <v>0</v>
      </c>
      <c r="AY76" s="184">
        <f>IF(ISERR(VLOOKUP(VALUE(AY$44),'HL Data'!$O$56:$T$95,6,0)="TRUE"),0,VLOOKUP(VALUE(AY$44),'HL Data'!$O$56:$T$95,6,0))</f>
        <v>0</v>
      </c>
      <c r="AZ76" s="184">
        <f>IF(ISERR(VLOOKUP(VALUE(AZ$44),'HL Data'!$O$56:$T$95,6,0)="TRUE"),0,VLOOKUP(VALUE(AZ$44),'HL Data'!$O$56:$T$95,6,0))</f>
        <v>5726</v>
      </c>
      <c r="BA76" s="184">
        <f>IF(ISERR(VLOOKUP(VALUE(BA$44),'HL Data'!$O$56:$T$95,6,0)="TRUE"),0,VLOOKUP(VALUE(BA$44),'HL Data'!$O$56:$T$95,6,0))</f>
        <v>0</v>
      </c>
      <c r="BB76" s="184">
        <f>IF(ISERR(VLOOKUP(VALUE(BB$44),'HL Data'!$O$56:$T$95,6,0)="TRUE"),0,VLOOKUP(VALUE(BB$44),'HL Data'!$O$56:$T$95,6,0))</f>
        <v>0</v>
      </c>
      <c r="BC76" s="184">
        <f>IF(ISERR(VLOOKUP(VALUE(BC$44),'HL Data'!$O$56:$T$95,6,0)="TRUE"),0,VLOOKUP(VALUE(BC$44),'HL Data'!$O$56:$T$95,6,0))</f>
        <v>0</v>
      </c>
      <c r="BD76" s="184">
        <f>IF(ISERR(VLOOKUP(VALUE(BD$44),'HL Data'!$O$56:$T$95,6,0)="TRUE"),0,VLOOKUP(VALUE(BD$44),'HL Data'!$O$56:$T$95,6,0))</f>
        <v>0</v>
      </c>
      <c r="BE76" s="184">
        <f>IF(ISERR(VLOOKUP(VALUE(BE$44),'HL Data'!$O$56:$T$95,6,0)="TRUE"),0,VLOOKUP(VALUE(BE$44),'HL Data'!$O$56:$T$95,6,0))</f>
        <v>23344</v>
      </c>
      <c r="BF76" s="184">
        <f>IF(ISERR(VLOOKUP(VALUE(BF$44),'HL Data'!$O$56:$T$95,6,0)="TRUE"),0,VLOOKUP(VALUE(BF$44),'HL Data'!$O$56:$T$95,6,0))</f>
        <v>4143</v>
      </c>
      <c r="BG76" s="184">
        <f>IF(ISERR(VLOOKUP(VALUE(BG$44),'HL Data'!$O$56:$T$95,6,0)="TRUE"),0,VLOOKUP(VALUE(BG$44),'HL Data'!$O$56:$T$95,6,0))</f>
        <v>0</v>
      </c>
      <c r="BH76" s="184">
        <f>IF(ISERR(VLOOKUP(VALUE(BH$44),'HL Data'!$O$56:$T$95,6,0)="TRUE"),0,VLOOKUP(VALUE(BH$44),'HL Data'!$O$56:$T$95,6,0))</f>
        <v>0</v>
      </c>
      <c r="BI76" s="184">
        <f>IF(ISERR(VLOOKUP(VALUE(BI$44),'HL Data'!$O$56:$T$95,6,0)="TRUE"),0,VLOOKUP(VALUE(BI$44),'HL Data'!$O$56:$T$95,6,0))</f>
        <v>266</v>
      </c>
      <c r="BJ76" s="184">
        <f>IF(ISERR(VLOOKUP(VALUE(BJ$44),'HL Data'!$O$56:$T$95,6,0)="TRUE"),0,VLOOKUP(VALUE(BJ$44),'HL Data'!$O$56:$T$95,6,0))</f>
        <v>0</v>
      </c>
      <c r="BK76" s="184">
        <f>IF(ISERR(VLOOKUP(VALUE(BK$44),'HL Data'!$O$56:$T$95,6,0)="TRUE"),0,VLOOKUP(VALUE(BK$44),'HL Data'!$O$56:$T$95,6,0))</f>
        <v>0</v>
      </c>
      <c r="BL76" s="184">
        <f>IF(ISERR(VLOOKUP(VALUE(BL$44),'HL Data'!$O$56:$T$95,6,0)="TRUE"),0,VLOOKUP(VALUE(BL$44),'HL Data'!$O$56:$T$95,6,0))</f>
        <v>0</v>
      </c>
      <c r="BM76" s="184">
        <f>IF(ISERR(VLOOKUP(VALUE(BM$44),'HL Data'!$O$56:$T$95,6,0)="TRUE"),0,VLOOKUP(VALUE(BM$44),'HL Data'!$O$56:$T$95,6,0))</f>
        <v>0</v>
      </c>
      <c r="BN76" s="184">
        <v>27767</v>
      </c>
      <c r="BO76" s="184">
        <f>IF(ISERR(VLOOKUP(VALUE(BO$44),'HL Data'!$O$56:$T$95,6,0)="TRUE"),0,VLOOKUP(VALUE(BO$44),'HL Data'!$O$56:$T$95,6,0))</f>
        <v>0</v>
      </c>
      <c r="BP76" s="184">
        <f>IF(ISERR(VLOOKUP(VALUE(BP$44),'HL Data'!$O$56:$T$95,6,0)="TRUE"),0,VLOOKUP(VALUE(BP$44),'HL Data'!$O$56:$T$95,6,0))</f>
        <v>0</v>
      </c>
      <c r="BQ76" s="184">
        <f>IF(ISERR(VLOOKUP(VALUE(BQ$44),'HL Data'!$O$56:$T$95,6,0)="TRUE"),0,VLOOKUP(VALUE(BQ$44),'HL Data'!$O$56:$T$95,6,0))</f>
        <v>0</v>
      </c>
      <c r="BR76" s="184">
        <f>IF(ISERR(VLOOKUP(VALUE(BR$44),'HL Data'!$O$56:$T$95,6,0)="TRUE"),0,VLOOKUP(VALUE(BR$44),'HL Data'!$O$56:$T$95,6,0))</f>
        <v>0</v>
      </c>
      <c r="BS76" s="184">
        <f>IF(ISERR(VLOOKUP(VALUE(BS$44),'HL Data'!$O$56:$T$95,6,0)="TRUE"),0,VLOOKUP(VALUE(BS$44),'HL Data'!$O$56:$T$95,6,0))</f>
        <v>0</v>
      </c>
      <c r="BT76" s="184">
        <f>IF(ISERR(VLOOKUP(VALUE(BT$44),'HL Data'!$O$56:$T$95,6,0)="TRUE"),0,VLOOKUP(VALUE(BT$44),'HL Data'!$O$56:$T$95,6,0))</f>
        <v>0</v>
      </c>
      <c r="BU76" s="184">
        <f>IF(ISERR(VLOOKUP(VALUE(BU$44),'HL Data'!$O$56:$T$95,6,0)="TRUE"),0,VLOOKUP(VALUE(BU$44),'HL Data'!$O$56:$T$95,6,0))</f>
        <v>0</v>
      </c>
      <c r="BV76" s="184">
        <f>IF(ISERR(VLOOKUP(VALUE(BV$44),'HL Data'!$O$56:$T$95,6,0)="TRUE"),0,VLOOKUP(VALUE(BV$44),'HL Data'!$O$56:$T$95,6,0))</f>
        <v>2525</v>
      </c>
      <c r="BW76" s="184">
        <f>IF(ISERR(VLOOKUP(VALUE(BW$44),'HL Data'!$O$56:$T$95,6,0)="TRUE"),0,VLOOKUP(VALUE(BW$44),'HL Data'!$O$56:$T$95,6,0))</f>
        <v>0</v>
      </c>
      <c r="BX76" s="184">
        <f>IF(ISERR(VLOOKUP(VALUE(BX$44),'HL Data'!$O$56:$T$95,6,0)="TRUE"),0,VLOOKUP(VALUE(BX$44),'HL Data'!$O$56:$T$95,6,0))</f>
        <v>0</v>
      </c>
      <c r="BY76" s="184">
        <f>IF(ISERR(VLOOKUP(VALUE(BY$44),'HL Data'!$O$56:$T$95,6,0)="TRUE"),0,VLOOKUP(VALUE(BY$44),'HL Data'!$O$56:$T$95,6,0))</f>
        <v>688</v>
      </c>
      <c r="BZ76" s="184">
        <f>IF(ISERR(VLOOKUP(VALUE(BZ$44),'HL Data'!$O$56:$T$95,6,0)="TRUE"),0,VLOOKUP(VALUE(BZ$44),'HL Data'!$O$56:$T$95,6,0))</f>
        <v>0</v>
      </c>
      <c r="CA76" s="184">
        <f>IF(ISERR(VLOOKUP(VALUE(CA$44),'HL Data'!$O$56:$T$95,6,0)="TRUE"),0,VLOOKUP(VALUE(CA$44),'HL Data'!$O$56:$T$95,6,0))</f>
        <v>0</v>
      </c>
      <c r="CB76" s="184">
        <f>IF(ISERR(VLOOKUP(VALUE(CB$44),'HL Data'!$O$56:$T$95,6,0)="TRUE"),0,VLOOKUP(VALUE(CB$44),'HL Data'!$O$56:$T$95,6,0))</f>
        <v>0</v>
      </c>
      <c r="CC76" s="184">
        <f>IF(ISERR(VLOOKUP(VALUE(CC$44),'HL Data'!$O$56:$T$95,6,0)="TRUE"),0,VLOOKUP(VALUE(CC$44),'HL Data'!$O$56:$T$95,6,0))</f>
        <v>0</v>
      </c>
      <c r="CD76" s="243" t="s">
        <v>221</v>
      </c>
      <c r="CE76" s="193">
        <f t="shared" si="8"/>
        <v>236716</v>
      </c>
      <c r="CF76" s="193">
        <f>BE59-CE76</f>
        <v>0</v>
      </c>
    </row>
    <row r="77" spans="1:84" ht="12.6" customHeight="1" x14ac:dyDescent="0.25">
      <c r="A77" s="171" t="s">
        <v>249</v>
      </c>
      <c r="B77" s="175"/>
      <c r="C77" s="295">
        <v>14775</v>
      </c>
      <c r="D77" s="184">
        <f>IF(ISERR(VLOOKUP(VALUE(D$44),'HL Data'!$B$30:$C$37,2,0)="TRUE"),0,VLOOKUP(VALUE(D$44),'HL Data'!$B$30:$C$37,2,0))</f>
        <v>0</v>
      </c>
      <c r="E77" s="184">
        <f>IF(ISERR(VLOOKUP(VALUE(E$44),'HL Data'!$B$30:$C$37,2,0)="TRUE"),0,VLOOKUP(VALUE(E$44),'HL Data'!$B$30:$C$37,2,0))</f>
        <v>54550</v>
      </c>
      <c r="F77" s="184">
        <f>IF(ISERR(VLOOKUP(VALUE(F$44),'HL Data'!$B$30:$C$37,2,0)="TRUE"),0,VLOOKUP(VALUE(F$44),'HL Data'!$B$30:$C$37,2,0))</f>
        <v>0</v>
      </c>
      <c r="G77" s="184">
        <f>IF(ISERR(VLOOKUP(VALUE(G$44),'HL Data'!$B$30:$C$37,2,0)="TRUE"),0,VLOOKUP(VALUE(G$44),'HL Data'!$B$30:$C$37,2,0))</f>
        <v>0</v>
      </c>
      <c r="H77" s="184">
        <f>IF(ISERR(VLOOKUP(VALUE(H$44),'HL Data'!$B$30:$C$37,2,0)="TRUE"),0,VLOOKUP(VALUE(H$44),'HL Data'!$B$30:$C$37,2,0))</f>
        <v>0</v>
      </c>
      <c r="I77" s="184">
        <f>IF(ISERR(VLOOKUP(VALUE(I$44),'HL Data'!$B$30:$C$37,2,0)="TRUE"),0,VLOOKUP(VALUE(I$44),'HL Data'!$B$30:$C$37,2,0))</f>
        <v>0</v>
      </c>
      <c r="J77" s="295">
        <f>IF(ISERR(VLOOKUP(VALUE(J$44),'HL Data'!$B$30:$C$37,2,0)="TRUE"),0,VLOOKUP(VALUE(J$44),'HL Data'!$B$30:$C$37,2,0))</f>
        <v>0</v>
      </c>
      <c r="K77" s="184">
        <f>IF(ISERR(VLOOKUP(VALUE(K$44),'HL Data'!$B$30:$C$37,2,0)="TRUE"),0,VLOOKUP(VALUE(K$44),'HL Data'!$B$30:$C$37,2,0))</f>
        <v>0</v>
      </c>
      <c r="L77" s="184">
        <f>IF(ISERR(VLOOKUP(VALUE(L$44),'HL Data'!$B$30:$C$37,2,0)="TRUE"),0,VLOOKUP(VALUE(L$44),'HL Data'!$B$30:$C$37,2,0))</f>
        <v>0</v>
      </c>
      <c r="M77" s="184">
        <f>IF(ISERR(VLOOKUP(VALUE(M$44),'HL Data'!$B$30:$C$37,2,0)="TRUE"),0,VLOOKUP(VALUE(M$44),'HL Data'!$B$30:$C$37,2,0))</f>
        <v>0</v>
      </c>
      <c r="N77" s="184">
        <f>IF(ISERR(VLOOKUP(VALUE(N$44),'HL Data'!$B$30:$C$37,2,0)="TRUE"),0,VLOOKUP(VALUE(N$44),'HL Data'!$B$30:$C$37,2,0))</f>
        <v>0</v>
      </c>
      <c r="O77" s="184">
        <f>IF(ISERR(VLOOKUP(VALUE(O$44),'HL Data'!$B$30:$C$37,2,0)="TRUE"),0,VLOOKUP(VALUE(O$44),'HL Data'!$B$30:$C$37,2,0))</f>
        <v>7721</v>
      </c>
      <c r="P77" s="184">
        <f>IF(ISERR(VLOOKUP(VALUE(P$44),'HL Data'!$B$30:$C$37,2,0)="TRUE"),0,VLOOKUP(VALUE(P$44),'HL Data'!$B$30:$C$37,2,0))</f>
        <v>0</v>
      </c>
      <c r="Q77" s="295">
        <f>IF(ISERR(VLOOKUP(VALUE(Q$44),'HL Data'!$B$30:$C$37,2,0)="TRUE"),0,VLOOKUP(VALUE(Q$44),'HL Data'!$B$30:$C$37,2,0))</f>
        <v>0</v>
      </c>
      <c r="R77" s="184">
        <f>IF(ISERR(VLOOKUP(VALUE(R$44),'HL Data'!$B$30:$C$37,2,0)="TRUE"),0,VLOOKUP(VALUE(R$44),'HL Data'!$B$30:$C$37,2,0))</f>
        <v>0</v>
      </c>
      <c r="S77" s="184">
        <f>IF(ISERR(VLOOKUP(VALUE(S$44),'HL Data'!$B$30:$C$37,2,0)="TRUE"),0,VLOOKUP(VALUE(S$44),'HL Data'!$B$30:$C$37,2,0))</f>
        <v>0</v>
      </c>
      <c r="T77" s="184">
        <f>IF(ISERR(VLOOKUP(VALUE(T$44),'HL Data'!$B$30:$C$37,2,0)="TRUE"),0,VLOOKUP(VALUE(T$44),'HL Data'!$B$30:$C$37,2,0))</f>
        <v>335</v>
      </c>
      <c r="U77" s="184">
        <f>IF(ISERR(VLOOKUP(VALUE(U$44),'HL Data'!$B$30:$C$37,2,0)="TRUE"),0,VLOOKUP(VALUE(U$44),'HL Data'!$B$30:$C$37,2,0))</f>
        <v>0</v>
      </c>
      <c r="V77" s="184">
        <f>IF(ISERR(VLOOKUP(VALUE(V$44),'HL Data'!$B$30:$C$37,2,0)="TRUE"),0,VLOOKUP(VALUE(V$44),'HL Data'!$B$30:$C$37,2,0))</f>
        <v>0</v>
      </c>
      <c r="W77" s="184">
        <f>IF(ISERR(VLOOKUP(VALUE(W$44),'HL Data'!$B$30:$C$37,2,0)="TRUE"),0,VLOOKUP(VALUE(W$44),'HL Data'!$B$30:$C$37,2,0))</f>
        <v>0</v>
      </c>
      <c r="X77" s="184">
        <f>IF(ISERR(VLOOKUP(VALUE(X$44),'HL Data'!$B$30:$C$37,2,0)="TRUE"),0,VLOOKUP(VALUE(X$44),'HL Data'!$B$30:$C$37,2,0))</f>
        <v>0</v>
      </c>
      <c r="Y77" s="184">
        <f>IF(ISERR(VLOOKUP(VALUE(Y$44),'HL Data'!$B$30:$C$37,2,0)="TRUE"),0,VLOOKUP(VALUE(Y$44),'HL Data'!$B$30:$C$37,2,0))</f>
        <v>1</v>
      </c>
      <c r="Z77" s="184">
        <f>IF(ISERR(VLOOKUP(VALUE(Z$44),'HL Data'!$B$30:$C$37,2,0)="TRUE"),0,VLOOKUP(VALUE(Z$44),'HL Data'!$B$30:$C$37,2,0))</f>
        <v>0</v>
      </c>
      <c r="AA77" s="184">
        <f>IF(ISERR(VLOOKUP(VALUE(AA$44),'HL Data'!$B$30:$C$37,2,0)="TRUE"),0,VLOOKUP(VALUE(AA$44),'HL Data'!$B$30:$C$37,2,0))</f>
        <v>0</v>
      </c>
      <c r="AB77" s="184">
        <f>IF(ISERR(VLOOKUP(VALUE(AB$44),'HL Data'!$B$30:$C$37,2,0)="TRUE"),0,VLOOKUP(VALUE(AB$44),'HL Data'!$B$30:$C$37,2,0))</f>
        <v>0</v>
      </c>
      <c r="AC77" s="184">
        <f>IF(ISERR(VLOOKUP(VALUE(AC$44),'HL Data'!$B$30:$C$37,2,0)="TRUE"),0,VLOOKUP(VALUE(AC$44),'HL Data'!$B$30:$C$37,2,0))</f>
        <v>0</v>
      </c>
      <c r="AD77" s="184">
        <f>IF(ISERR(VLOOKUP(VALUE(AD$44),'HL Data'!$B$30:$C$37,2,0)="TRUE"),0,VLOOKUP(VALUE(AD$44),'HL Data'!$B$30:$C$37,2,0))</f>
        <v>0</v>
      </c>
      <c r="AE77" s="184">
        <f>IF(ISERR(VLOOKUP(VALUE(AE$44),'HL Data'!$B$30:$C$37,2,0)="TRUE"),0,VLOOKUP(VALUE(AE$44),'HL Data'!$B$30:$C$37,2,0))</f>
        <v>0</v>
      </c>
      <c r="AF77" s="184">
        <f>IF(ISERR(VLOOKUP(VALUE(AF$44),'HL Data'!$B$30:$C$37,2,0)="TRUE"),0,VLOOKUP(VALUE(AF$44),'HL Data'!$B$30:$C$37,2,0))</f>
        <v>0</v>
      </c>
      <c r="AG77" s="184">
        <f>IF(ISERR(VLOOKUP(VALUE(AG$44),'HL Data'!$B$30:$C$37,2,0)="TRUE"),0,VLOOKUP(VALUE(AG$44),'HL Data'!$B$30:$C$37,2,0))</f>
        <v>9066</v>
      </c>
      <c r="AH77" s="184">
        <f>IF(ISERR(VLOOKUP(VALUE(AH$44),'HL Data'!$B$30:$C$37,2,0)="TRUE"),0,VLOOKUP(VALUE(AH$44),'HL Data'!$B$30:$C$37,2,0))</f>
        <v>0</v>
      </c>
      <c r="AI77" s="184">
        <f>IF(ISERR(VLOOKUP(VALUE(AI$44),'HL Data'!$B$30:$C$37,2,0)="TRUE"),0,VLOOKUP(VALUE(AI$44),'HL Data'!$B$30:$C$37,2,0))</f>
        <v>0</v>
      </c>
      <c r="AJ77" s="295">
        <v>5037</v>
      </c>
      <c r="AK77" s="184">
        <f>IF(ISERR(VLOOKUP(VALUE(AK$44),'HL Data'!$B$30:$C$37,2,0)="TRUE"),0,VLOOKUP(VALUE(AK$44),'HL Data'!$B$30:$C$37,2,0))</f>
        <v>0</v>
      </c>
      <c r="AL77" s="184">
        <f>IF(ISERR(VLOOKUP(VALUE(AL$44),'HL Data'!$B$30:$C$37,2,0)="TRUE"),0,VLOOKUP(VALUE(AL$44),'HL Data'!$B$30:$C$37,2,0))</f>
        <v>0</v>
      </c>
      <c r="AM77" s="184">
        <f>IF(ISERR(VLOOKUP(VALUE(AM$44),'HL Data'!$B$30:$C$37,2,0)="TRUE"),0,VLOOKUP(VALUE(AM$44),'HL Data'!$B$30:$C$37,2,0))</f>
        <v>0</v>
      </c>
      <c r="AN77" s="184">
        <f>IF(ISERR(VLOOKUP(VALUE(AN$44),'HL Data'!$B$30:$C$37,2,0)="TRUE"),0,VLOOKUP(VALUE(AN$44),'HL Data'!$B$30:$C$37,2,0))</f>
        <v>0</v>
      </c>
      <c r="AO77" s="184">
        <f>IF(ISERR(VLOOKUP(VALUE(AO$44),'HL Data'!$B$30:$C$37,2,0)="TRUE"),0,VLOOKUP(VALUE(AO$44),'HL Data'!$B$30:$C$37,2,0))</f>
        <v>0</v>
      </c>
      <c r="AP77" s="184">
        <f>IF(ISERR(VLOOKUP(VALUE(AP$44),'HL Data'!$B$30:$C$37,2,0)="TRUE"),0,VLOOKUP(VALUE(AP$44),'HL Data'!$B$30:$C$37,2,0))</f>
        <v>0</v>
      </c>
      <c r="AQ77" s="184">
        <f>IF(ISERR(VLOOKUP(VALUE(AQ$44),'HL Data'!$B$30:$C$37,2,0)="TRUE"),0,VLOOKUP(VALUE(AQ$44),'HL Data'!$B$30:$C$37,2,0))</f>
        <v>0</v>
      </c>
      <c r="AR77" s="184">
        <f>IF(ISERR(VLOOKUP(VALUE(AR$44),'HL Data'!$B$30:$C$37,2,0)="TRUE"),0,VLOOKUP(VALUE(AR$44),'HL Data'!$B$30:$C$37,2,0))</f>
        <v>0</v>
      </c>
      <c r="AS77" s="184">
        <f>IF(ISERR(VLOOKUP(VALUE(AS$44),'HL Data'!$B$30:$C$37,2,0)="TRUE"),0,VLOOKUP(VALUE(AS$44),'HL Data'!$B$30:$C$37,2,0))</f>
        <v>0</v>
      </c>
      <c r="AT77" s="184">
        <f>IF(ISERR(VLOOKUP(VALUE(AT$44),'HL Data'!$B$30:$C$37,2,0)="TRUE"),0,VLOOKUP(VALUE(AT$44),'HL Data'!$B$30:$C$37,2,0))</f>
        <v>0</v>
      </c>
      <c r="AU77" s="184">
        <f>IF(ISERR(VLOOKUP(VALUE(AU$44),'HL Data'!$B$30:$C$37,2,0)="TRUE"),0,VLOOKUP(VALUE(AU$44),'HL Data'!$B$30:$C$37,2,0))</f>
        <v>0</v>
      </c>
      <c r="AV77" s="184">
        <f>IF(ISERR(VLOOKUP(VALUE(AV$44),'HL Data'!$B$30:$C$37,2,0)="TRUE"),0,VLOOKUP(VALUE(AV$44),'HL Data'!$B$30:$C$37,2,0))</f>
        <v>0</v>
      </c>
      <c r="AW77" s="184">
        <f>IF(ISERR(VLOOKUP(VALUE(AW$44),'HL Data'!$B$30:$C$37,2,0)="TRUE"),0,VLOOKUP(VALUE(AW$44),'HL Data'!$B$30:$C$37,2,0))</f>
        <v>0</v>
      </c>
      <c r="AX77" s="243" t="s">
        <v>221</v>
      </c>
      <c r="AY77" s="243" t="s">
        <v>221</v>
      </c>
      <c r="AZ77" s="184">
        <f>IF(ISERR(VLOOKUP(VALUE(AZ$44),'HL Data'!$B$30:$C$37,2,0)="TRUE"),0,VLOOKUP(VALUE(AZ$44),'HL Data'!$B$30:$C$37,2,0))</f>
        <v>43273</v>
      </c>
      <c r="BA77" s="184">
        <f>IF(ISERR(VLOOKUP(VALUE(BA$44),'HL Data'!$B$30:$C$37,2,0)="TRUE"),0,VLOOKUP(VALUE(BA$44),'HL Data'!$B$30:$C$37,2,0))</f>
        <v>0</v>
      </c>
      <c r="BB77" s="184">
        <f>IF(ISERR(VLOOKUP(VALUE(BB$44),'HL Data'!$B$30:$C$37,2,0)="TRUE"),0,VLOOKUP(VALUE(BB$44),'HL Data'!$B$30:$C$37,2,0))</f>
        <v>0</v>
      </c>
      <c r="BC77" s="184">
        <f>IF(ISERR(VLOOKUP(VALUE(BC$44),'HL Data'!$B$30:$C$37,2,0)="TRUE"),0,VLOOKUP(VALUE(BC$44),'HL Data'!$B$30:$C$37,2,0))</f>
        <v>0</v>
      </c>
      <c r="BD77" s="243" t="s">
        <v>221</v>
      </c>
      <c r="BE77" s="243" t="s">
        <v>221</v>
      </c>
      <c r="BF77" s="184">
        <f>IF(ISERR(VLOOKUP(VALUE(BF$44),'HL Data'!$B$30:$C$37,2,0)="TRUE"),0,VLOOKUP(VALUE(BF$44),'HL Data'!$B$30:$C$37,2,0))</f>
        <v>0</v>
      </c>
      <c r="BG77" s="243" t="s">
        <v>221</v>
      </c>
      <c r="BH77" s="184">
        <f>IF(ISERR(VLOOKUP(VALUE(BH$44),'HL Data'!$B$30:$C$37,2,0)="TRUE"),0,VLOOKUP(VALUE(BH$44),'HL Data'!$B$30:$C$37,2,0))</f>
        <v>0</v>
      </c>
      <c r="BI77" s="184">
        <f>IF(ISERR(VLOOKUP(VALUE(BI$44),'HL Data'!$B$30:$C$37,2,0)="TRUE"),0,VLOOKUP(VALUE(BI$44),'HL Data'!$B$30:$C$37,2,0))</f>
        <v>0</v>
      </c>
      <c r="BJ77" s="243" t="s">
        <v>221</v>
      </c>
      <c r="BK77" s="184">
        <f>IF(ISERR(VLOOKUP(VALUE(BK$44),'HL Data'!$B$30:$C$37,2,0)="TRUE"),0,VLOOKUP(VALUE(BK$44),'HL Data'!$B$30:$C$37,2,0))</f>
        <v>0</v>
      </c>
      <c r="BL77" s="184">
        <f>IF(ISERR(VLOOKUP(VALUE(BL$44),'HL Data'!$B$30:$C$37,2,0)="TRUE"),0,VLOOKUP(VALUE(BL$44),'HL Data'!$B$30:$C$37,2,0))</f>
        <v>0</v>
      </c>
      <c r="BM77" s="184">
        <f>IF(ISERR(VLOOKUP(VALUE(BM$44),'HL Data'!$B$30:$C$37,2,0)="TRUE"),0,VLOOKUP(VALUE(BM$44),'HL Data'!$B$30:$C$37,2,0))</f>
        <v>0</v>
      </c>
      <c r="BN77" s="243" t="s">
        <v>221</v>
      </c>
      <c r="BO77" s="243" t="s">
        <v>221</v>
      </c>
      <c r="BP77" s="243" t="s">
        <v>221</v>
      </c>
      <c r="BQ77" s="243" t="s">
        <v>221</v>
      </c>
      <c r="BR77" s="184">
        <f>IF(ISERR(VLOOKUP(VALUE(BR$44),'HL Data'!$B$30:$C$37,2,0)="TRUE"),0,VLOOKUP(VALUE(BR$44),'HL Data'!$B$30:$C$37,2,0))</f>
        <v>0</v>
      </c>
      <c r="BS77" s="184">
        <f>IF(ISERR(VLOOKUP(VALUE(BS$44),'HL Data'!$B$30:$C$37,2,0)="TRUE"),0,VLOOKUP(VALUE(BS$44),'HL Data'!$B$30:$C$37,2,0))</f>
        <v>0</v>
      </c>
      <c r="BT77" s="184">
        <f>IF(ISERR(VLOOKUP(VALUE(BT$44),'HL Data'!$B$30:$C$37,2,0)="TRUE"),0,VLOOKUP(VALUE(BT$44),'HL Data'!$B$30:$C$37,2,0))</f>
        <v>0</v>
      </c>
      <c r="BU77" s="184">
        <f>IF(ISERR(VLOOKUP(VALUE(BU$44),'HL Data'!$B$30:$C$37,2,0)="TRUE"),0,VLOOKUP(VALUE(BU$44),'HL Data'!$B$30:$C$37,2,0))</f>
        <v>0</v>
      </c>
      <c r="BV77" s="184">
        <f>IF(ISERR(VLOOKUP(VALUE(BV$44),'HL Data'!$B$30:$C$37,2,0)="TRUE"),0,VLOOKUP(VALUE(BV$44),'HL Data'!$B$30:$C$37,2,0))</f>
        <v>0</v>
      </c>
      <c r="BW77" s="184">
        <f>IF(ISERR(VLOOKUP(VALUE(BW$44),'HL Data'!$B$30:$C$37,2,0)="TRUE"),0,VLOOKUP(VALUE(BW$44),'HL Data'!$B$30:$C$37,2,0))</f>
        <v>0</v>
      </c>
      <c r="BX77" s="184">
        <f>IF(ISERR(VLOOKUP(VALUE(BX$44),'HL Data'!$B$30:$C$37,2,0)="TRUE"),0,VLOOKUP(VALUE(BX$44),'HL Data'!$B$30:$C$37,2,0))</f>
        <v>0</v>
      </c>
      <c r="BY77" s="184">
        <f>IF(ISERR(VLOOKUP(VALUE(BY$44),'HL Data'!$B$30:$C$37,2,0)="TRUE"),0,VLOOKUP(VALUE(BY$44),'HL Data'!$B$30:$C$37,2,0))</f>
        <v>0</v>
      </c>
      <c r="BZ77" s="184">
        <f>IF(ISERR(VLOOKUP(VALUE(BZ$44),'HL Data'!$B$30:$C$37,2,0)="TRUE"),0,VLOOKUP(VALUE(BZ$44),'HL Data'!$B$30:$C$37,2,0))</f>
        <v>0</v>
      </c>
      <c r="CA77" s="184">
        <f>IF(ISERR(VLOOKUP(VALUE(CA$44),'HL Data'!$B$30:$C$37,2,0)="TRUE"),0,VLOOKUP(VALUE(CA$44),'HL Data'!$B$30:$C$37,2,0))</f>
        <v>0</v>
      </c>
      <c r="CB77" s="184">
        <f>IF(ISERR(VLOOKUP(VALUE(CB$44),'HL Data'!$B$30:$C$37,2,0)="TRUE"),0,VLOOKUP(VALUE(CB$44),'HL Data'!$B$30:$C$37,2,0))</f>
        <v>0</v>
      </c>
      <c r="CC77" s="243" t="s">
        <v>221</v>
      </c>
      <c r="CD77" s="243" t="s">
        <v>221</v>
      </c>
      <c r="CE77" s="193">
        <f>SUM(C77:CD77)</f>
        <v>134758</v>
      </c>
      <c r="CF77" s="193">
        <f>AY59-CE77</f>
        <v>0</v>
      </c>
    </row>
    <row r="78" spans="1:84" ht="12.6" customHeight="1" x14ac:dyDescent="0.25">
      <c r="A78" s="171" t="s">
        <v>250</v>
      </c>
      <c r="B78" s="175"/>
      <c r="C78" s="184">
        <f>IF(ISERR(VLOOKUP(VALUE(C$44),'HL Data'!$O$56:$T$95,5,0)="TRUE"),0,VLOOKUP(VALUE(C$44),'HL Data'!$O$56:$T$95,5,0))</f>
        <v>1803.2379036482537</v>
      </c>
      <c r="D78" s="184">
        <f>IF(ISERR(VLOOKUP(VALUE(D$44),'HL Data'!$O$56:$T$95,5,0)="TRUE"),0,VLOOKUP(VALUE(D$44),'HL Data'!$O$56:$T$95,5,0))</f>
        <v>0</v>
      </c>
      <c r="E78" s="184">
        <f>IF(ISERR(VLOOKUP(VALUE(E$44),'HL Data'!$O$56:$T$95,5,0)="TRUE"),0,VLOOKUP(VALUE(E$44),'HL Data'!$O$56:$T$95,5,0))</f>
        <v>11450.102432028256</v>
      </c>
      <c r="F78" s="184">
        <f>IF(ISERR(VLOOKUP(VALUE(F$44),'HL Data'!$O$56:$T$95,5,0)="TRUE"),0,VLOOKUP(VALUE(F$44),'HL Data'!$O$56:$T$95,5,0))</f>
        <v>0</v>
      </c>
      <c r="G78" s="184">
        <f>IF(ISERR(VLOOKUP(VALUE(G$44),'HL Data'!$O$56:$T$95,5,0)="TRUE"),0,VLOOKUP(VALUE(G$44),'HL Data'!$O$56:$T$95,5,0))</f>
        <v>0</v>
      </c>
      <c r="H78" s="184">
        <f>IF(ISERR(VLOOKUP(VALUE(H$44),'HL Data'!$O$56:$T$95,5,0)="TRUE"),0,VLOOKUP(VALUE(H$44),'HL Data'!$O$56:$T$95,5,0))</f>
        <v>0</v>
      </c>
      <c r="I78" s="184">
        <f>IF(ISERR(VLOOKUP(VALUE(I$44),'HL Data'!$O$56:$T$95,5,0)="TRUE"),0,VLOOKUP(VALUE(I$44),'HL Data'!$O$56:$T$95,5,0))</f>
        <v>0</v>
      </c>
      <c r="J78" s="184">
        <f>IF(ISERR(VLOOKUP(VALUE(J$44),'HL Data'!$O$56:$T$95,5,0)="TRUE"),0,VLOOKUP(VALUE(J$44),'HL Data'!$O$56:$T$95,5,0))</f>
        <v>334.24057076834691</v>
      </c>
      <c r="K78" s="184">
        <f>IF(ISERR(VLOOKUP(VALUE(K$44),'HL Data'!$O$56:$T$95,5,0)="TRUE"),0,VLOOKUP(VALUE(K$44),'HL Data'!$O$56:$T$95,5,0))</f>
        <v>0</v>
      </c>
      <c r="L78" s="184">
        <f>IF(ISERR(VLOOKUP(VALUE(L$44),'HL Data'!$O$56:$T$95,5,0)="TRUE"),0,VLOOKUP(VALUE(L$44),'HL Data'!$O$56:$T$95,5,0))</f>
        <v>0</v>
      </c>
      <c r="M78" s="184">
        <f>IF(ISERR(VLOOKUP(VALUE(M$44),'HL Data'!$O$56:$T$95,5,0)="TRUE"),0,VLOOKUP(VALUE(M$44),'HL Data'!$O$56:$T$95,5,0))</f>
        <v>0</v>
      </c>
      <c r="N78" s="184">
        <f>IF(ISERR(VLOOKUP(VALUE(N$44),'HL Data'!$O$56:$T$95,5,0)="TRUE"),0,VLOOKUP(VALUE(N$44),'HL Data'!$O$56:$T$95,5,0))</f>
        <v>0</v>
      </c>
      <c r="O78" s="184">
        <f>IF(ISERR(VLOOKUP(VALUE(O$44),'HL Data'!$O$56:$T$95,5,0)="TRUE"),0,VLOOKUP(VALUE(O$44),'HL Data'!$O$56:$T$95,5,0))</f>
        <v>6460.265907669951</v>
      </c>
      <c r="P78" s="184">
        <f>IF(ISERR(VLOOKUP(VALUE(P$44),'HL Data'!$O$56:$T$95,5,0)="TRUE"),0,VLOOKUP(VALUE(P$44),'HL Data'!$O$56:$T$95,5,0))</f>
        <v>6170.1324901992266</v>
      </c>
      <c r="Q78" s="184">
        <f>IF(ISERR(VLOOKUP(VALUE(Q$44),'HL Data'!$O$56:$T$95,5,0)="TRUE"),0,VLOOKUP(VALUE(Q$44),'HL Data'!$O$56:$T$95,5,0))</f>
        <v>657.31114816911418</v>
      </c>
      <c r="R78" s="184">
        <f>IF(ISERR(VLOOKUP(VALUE(R$44),'HL Data'!$O$56:$T$95,5,0)="TRUE"),0,VLOOKUP(VALUE(R$44),'HL Data'!$O$56:$T$95,5,0))</f>
        <v>0</v>
      </c>
      <c r="S78" s="184">
        <f>IF(ISERR(VLOOKUP(VALUE(S$44),'HL Data'!$O$56:$T$95,5,0)="TRUE"),0,VLOOKUP(VALUE(S$44),'HL Data'!$O$56:$T$95,5,0))</f>
        <v>1428.0406905321145</v>
      </c>
      <c r="T78" s="184">
        <f>IF(ISERR(VLOOKUP(VALUE(T$44),'HL Data'!$O$56:$T$95,5,0)="TRUE"),0,VLOOKUP(VALUE(T$44),'HL Data'!$O$56:$T$95,5,0))</f>
        <v>0</v>
      </c>
      <c r="U78" s="184">
        <f>IF(ISERR(VLOOKUP(VALUE(U$44),'HL Data'!$O$56:$T$95,5,0)="TRUE"),0,VLOOKUP(VALUE(U$44),'HL Data'!$O$56:$T$95,5,0))</f>
        <v>2507.8067160648206</v>
      </c>
      <c r="V78" s="184">
        <f>IF(ISERR(VLOOKUP(VALUE(V$44),'HL Data'!$O$56:$T$95,5,0)="TRUE"),0,VLOOKUP(VALUE(V$44),'HL Data'!$O$56:$T$95,5,0))</f>
        <v>0</v>
      </c>
      <c r="W78" s="184">
        <f>IF(ISERR(VLOOKUP(VALUE(W$44),'HL Data'!$O$56:$T$95,5,0)="TRUE"),0,VLOOKUP(VALUE(W$44),'HL Data'!$O$56:$T$95,5,0))</f>
        <v>0</v>
      </c>
      <c r="X78" s="184">
        <f>IF(ISERR(VLOOKUP(VALUE(X$44),'HL Data'!$O$56:$T$95,5,0)="TRUE"),0,VLOOKUP(VALUE(X$44),'HL Data'!$O$56:$T$95,5,0))</f>
        <v>226.83678838777271</v>
      </c>
      <c r="Y78" s="184">
        <f>IF(ISERR(VLOOKUP(VALUE(Y$44),'HL Data'!$O$56:$T$95,5,0)="TRUE"),0,VLOOKUP(VALUE(Y$44),'HL Data'!$O$56:$T$95,5,0))</f>
        <v>4105.6885878014164</v>
      </c>
      <c r="Z78" s="184">
        <f>IF(ISERR(VLOOKUP(VALUE(Z$44),'HL Data'!$O$56:$T$95,5,0)="TRUE"),0,VLOOKUP(VALUE(Z$44),'HL Data'!$O$56:$T$95,5,0))</f>
        <v>0</v>
      </c>
      <c r="AA78" s="184">
        <f>IF(ISERR(VLOOKUP(VALUE(AA$44),'HL Data'!$O$56:$T$95,5,0)="TRUE"),0,VLOOKUP(VALUE(AA$44),'HL Data'!$O$56:$T$95,5,0))</f>
        <v>1080.0524356190542</v>
      </c>
      <c r="AB78" s="184">
        <f>IF(ISERR(VLOOKUP(VALUE(AB$44),'HL Data'!$O$56:$T$95,5,0)="TRUE"),0,VLOOKUP(VALUE(AB$44),'HL Data'!$O$56:$T$95,5,0))</f>
        <v>506.94585283631022</v>
      </c>
      <c r="AC78" s="184">
        <f>IF(ISERR(VLOOKUP(VALUE(AC$44),'HL Data'!$O$56:$T$95,5,0)="TRUE"),0,VLOOKUP(VALUE(AC$44),'HL Data'!$O$56:$T$95,5,0))</f>
        <v>207.36090251609525</v>
      </c>
      <c r="AD78" s="184">
        <f>IF(ISERR(VLOOKUP(VALUE(AD$44),'HL Data'!$O$56:$T$95,5,0)="TRUE"),0,VLOOKUP(VALUE(AD$44),'HL Data'!$O$56:$T$95,5,0))</f>
        <v>0</v>
      </c>
      <c r="AE78" s="184">
        <f>IF(ISERR(VLOOKUP(VALUE(AE$44),'HL Data'!$O$56:$T$95,5,0)="TRUE"),0,VLOOKUP(VALUE(AE$44),'HL Data'!$O$56:$T$95,5,0))</f>
        <v>0</v>
      </c>
      <c r="AF78" s="184">
        <f>IF(ISERR(VLOOKUP(VALUE(AF$44),'HL Data'!$O$56:$T$95,5,0)="TRUE"),0,VLOOKUP(VALUE(AF$44),'HL Data'!$O$56:$T$95,5,0))</f>
        <v>0</v>
      </c>
      <c r="AG78" s="184">
        <f>IF(ISERR(VLOOKUP(VALUE(AG$44),'HL Data'!$O$56:$T$95,5,0)="TRUE"),0,VLOOKUP(VALUE(AG$44),'HL Data'!$O$56:$T$95,5,0))</f>
        <v>7743.9559146825741</v>
      </c>
      <c r="AH78" s="184">
        <f>IF(ISERR(VLOOKUP(VALUE(AH$44),'HL Data'!$O$56:$T$95,5,0)="TRUE"),0,VLOOKUP(VALUE(AH$44),'HL Data'!$O$56:$T$95,5,0))</f>
        <v>0</v>
      </c>
      <c r="AI78" s="184">
        <f>IF(ISERR(VLOOKUP(VALUE(AI$44),'HL Data'!$O$56:$T$95,5,0)="TRUE"),0,VLOOKUP(VALUE(AI$44),'HL Data'!$O$56:$T$95,5,0))</f>
        <v>0</v>
      </c>
      <c r="AJ78" s="184">
        <f>IF(ISERR(VLOOKUP(VALUE(AJ$44),'HL Data'!$O$56:$T$95,5,0)="TRUE"),0,VLOOKUP(VALUE(AJ$44),'HL Data'!$O$56:$T$95,5,0))</f>
        <v>4488.6188732489572</v>
      </c>
      <c r="AK78" s="184">
        <f>IF(ISERR(VLOOKUP(VALUE(AK$44),'HL Data'!$O$56:$T$95,5,0)="TRUE"),0,VLOOKUP(VALUE(AK$44),'HL Data'!$O$56:$T$95,5,0))</f>
        <v>21.767166562463036</v>
      </c>
      <c r="AL78" s="184">
        <f>IF(ISERR(VLOOKUP(VALUE(AL$44),'HL Data'!$O$56:$T$95,5,0)="TRUE"),0,VLOOKUP(VALUE(AL$44),'HL Data'!$O$56:$T$95,5,0))</f>
        <v>22.053576648811237</v>
      </c>
      <c r="AM78" s="184">
        <f>IF(ISERR(VLOOKUP(VALUE(AM$44),'HL Data'!$O$56:$T$95,5,0)="TRUE"),0,VLOOKUP(VALUE(AM$44),'HL Data'!$O$56:$T$95,5,0))</f>
        <v>0</v>
      </c>
      <c r="AN78" s="184">
        <f>IF(ISERR(VLOOKUP(VALUE(AN$44),'HL Data'!$O$56:$T$95,5,0)="TRUE"),0,VLOOKUP(VALUE(AN$44),'HL Data'!$O$56:$T$95,5,0))</f>
        <v>0</v>
      </c>
      <c r="AO78" s="184">
        <f>IF(ISERR(VLOOKUP(VALUE(AO$44),'HL Data'!$O$56:$T$95,5,0)="TRUE"),0,VLOOKUP(VALUE(AO$44),'HL Data'!$O$56:$T$95,5,0))</f>
        <v>0</v>
      </c>
      <c r="AP78" s="184">
        <f>IF(ISERR(VLOOKUP(VALUE(AP$44),'HL Data'!$O$56:$T$95,5,0)="TRUE"),0,VLOOKUP(VALUE(AP$44),'HL Data'!$O$56:$T$95,5,0))</f>
        <v>0</v>
      </c>
      <c r="AQ78" s="184">
        <f>IF(ISERR(VLOOKUP(VALUE(AQ$44),'HL Data'!$O$56:$T$95,5,0)="TRUE"),0,VLOOKUP(VALUE(AQ$44),'HL Data'!$O$56:$T$95,5,0))</f>
        <v>0</v>
      </c>
      <c r="AR78" s="184">
        <f>IF(ISERR(VLOOKUP(VALUE(AR$44),'HL Data'!$O$56:$T$95,5,0)="TRUE"),0,VLOOKUP(VALUE(AR$44),'HL Data'!$O$56:$T$95,5,0))</f>
        <v>0</v>
      </c>
      <c r="AS78" s="184">
        <f>IF(ISERR(VLOOKUP(VALUE(AS$44),'HL Data'!$O$56:$T$95,5,0)="TRUE"),0,VLOOKUP(VALUE(AS$44),'HL Data'!$O$56:$T$95,5,0))</f>
        <v>0</v>
      </c>
      <c r="AT78" s="184">
        <f>IF(ISERR(VLOOKUP(VALUE(AT$44),'HL Data'!$O$56:$T$95,5,0)="TRUE"),0,VLOOKUP(VALUE(AT$44),'HL Data'!$O$56:$T$95,5,0))</f>
        <v>0</v>
      </c>
      <c r="AU78" s="184">
        <f>IF(ISERR(VLOOKUP(VALUE(AU$44),'HL Data'!$O$56:$T$95,5,0)="TRUE"),0,VLOOKUP(VALUE(AU$44),'HL Data'!$O$56:$T$95,5,0))</f>
        <v>0</v>
      </c>
      <c r="AV78" s="184">
        <f>IF(ISERR(VLOOKUP(VALUE(AV$44),'HL Data'!$O$56:$T$95,5,0)="TRUE"),0,VLOOKUP(VALUE(AV$44),'HL Data'!$O$56:$T$95,5,0))</f>
        <v>121.7242866979841</v>
      </c>
      <c r="AW78" s="184">
        <f>IF(ISERR(VLOOKUP(VALUE(AW$44),'HL Data'!$O$56:$T$95,5,0)="TRUE"),0,VLOOKUP(VALUE(AW$44),'HL Data'!$O$56:$T$95,5,0))</f>
        <v>0</v>
      </c>
      <c r="AX78" s="243" t="s">
        <v>221</v>
      </c>
      <c r="AY78" s="243" t="s">
        <v>221</v>
      </c>
      <c r="AZ78" s="243" t="s">
        <v>221</v>
      </c>
      <c r="BA78" s="184">
        <f>IF(ISERR(VLOOKUP(VALUE(BA$44),'HL Data'!$O$56:$T$95,5,0)="TRUE"),0,VLOOKUP(VALUE(BA$44),'HL Data'!$O$56:$T$95,5,0))</f>
        <v>0</v>
      </c>
      <c r="BB78" s="184">
        <f>IF(ISERR(VLOOKUP(VALUE(BB$44),'HL Data'!$O$56:$T$95,5,0)="TRUE"),0,VLOOKUP(VALUE(BB$44),'HL Data'!$O$56:$T$95,5,0))</f>
        <v>0</v>
      </c>
      <c r="BC78" s="184">
        <f>IF(ISERR(VLOOKUP(VALUE(BC$44),'HL Data'!$O$56:$T$95,5,0)="TRUE"),0,VLOOKUP(VALUE(BC$44),'HL Data'!$O$56:$T$95,5,0))</f>
        <v>0</v>
      </c>
      <c r="BD78" s="243" t="s">
        <v>221</v>
      </c>
      <c r="BE78" s="243" t="s">
        <v>221</v>
      </c>
      <c r="BF78" s="243" t="s">
        <v>221</v>
      </c>
      <c r="BG78" s="243" t="s">
        <v>221</v>
      </c>
      <c r="BH78" s="184">
        <f>IF(ISERR(VLOOKUP(VALUE(BH$44),'HL Data'!$O$56:$T$95,5,0)="TRUE"),0,VLOOKUP(VALUE(BH$44),'HL Data'!$O$56:$T$95,5,0))</f>
        <v>0</v>
      </c>
      <c r="BI78" s="184">
        <f>IF(ISERR(VLOOKUP(VALUE(BI$44),'HL Data'!$O$56:$T$95,5,0)="TRUE"),0,VLOOKUP(VALUE(BI$44),'HL Data'!$O$56:$T$95,5,0))</f>
        <v>76.185082968620634</v>
      </c>
      <c r="BJ78" s="243" t="s">
        <v>221</v>
      </c>
      <c r="BK78" s="184">
        <f>IF(ISERR(VLOOKUP(VALUE(BK$44),'HL Data'!$O$56:$T$95,5,0)="TRUE"),0,VLOOKUP(VALUE(BK$44),'HL Data'!$O$56:$T$95,5,0))</f>
        <v>0</v>
      </c>
      <c r="BL78" s="184">
        <f>IF(ISERR(VLOOKUP(VALUE(BL$44),'HL Data'!$O$56:$T$95,5,0)="TRUE"),0,VLOOKUP(VALUE(BL$44),'HL Data'!$O$56:$T$95,5,0))</f>
        <v>0</v>
      </c>
      <c r="BM78" s="184">
        <f>IF(ISERR(VLOOKUP(VALUE(BM$44),'HL Data'!$O$56:$T$95,5,0)="TRUE"),0,VLOOKUP(VALUE(BM$44),'HL Data'!$O$56:$T$95,5,0))</f>
        <v>0</v>
      </c>
      <c r="BN78" s="243" t="s">
        <v>221</v>
      </c>
      <c r="BO78" s="243" t="s">
        <v>221</v>
      </c>
      <c r="BP78" s="243" t="s">
        <v>221</v>
      </c>
      <c r="BQ78" s="243" t="s">
        <v>221</v>
      </c>
      <c r="BR78" s="243" t="s">
        <v>221</v>
      </c>
      <c r="BS78" s="184">
        <f>IF(ISERR(VLOOKUP(VALUE(BS$44),'HL Data'!$O$56:$T$95,5,0)="TRUE"),0,VLOOKUP(VALUE(BS$44),'HL Data'!$O$56:$T$95,5,0))</f>
        <v>0</v>
      </c>
      <c r="BT78" s="184">
        <f>IF(ISERR(VLOOKUP(VALUE(BT$44),'HL Data'!$O$56:$T$95,5,0)="TRUE"),0,VLOOKUP(VALUE(BT$44),'HL Data'!$O$56:$T$95,5,0))</f>
        <v>0</v>
      </c>
      <c r="BU78" s="184">
        <f>IF(ISERR(VLOOKUP(VALUE(BU$44),'HL Data'!$O$56:$T$95,5,0)="TRUE"),0,VLOOKUP(VALUE(BU$44),'HL Data'!$O$56:$T$95,5,0))</f>
        <v>0</v>
      </c>
      <c r="BV78" s="184">
        <f>IF(ISERR(VLOOKUP(VALUE(BV$44),'HL Data'!$O$56:$T$95,5,0)="TRUE"),0,VLOOKUP(VALUE(BV$44),'HL Data'!$O$56:$T$95,5,0))</f>
        <v>723.18546802919968</v>
      </c>
      <c r="BW78" s="184">
        <f>IF(ISERR(VLOOKUP(VALUE(BW$44),'HL Data'!$O$56:$T$95,5,0)="TRUE"),0,VLOOKUP(VALUE(BW$44),'HL Data'!$O$56:$T$95,5,0))</f>
        <v>0</v>
      </c>
      <c r="BX78" s="184">
        <f>IF(ISERR(VLOOKUP(VALUE(BX$44),'HL Data'!$O$56:$T$95,5,0)="TRUE"),0,VLOOKUP(VALUE(BX$44),'HL Data'!$O$56:$T$95,5,0))</f>
        <v>0</v>
      </c>
      <c r="BY78" s="184">
        <f>IF(ISERR(VLOOKUP(VALUE(BY$44),'HL Data'!$O$56:$T$95,5,0)="TRUE"),0,VLOOKUP(VALUE(BY$44),'HL Data'!$O$56:$T$95,5,0))</f>
        <v>197.05013940756012</v>
      </c>
      <c r="BZ78" s="184">
        <f>IF(ISERR(VLOOKUP(VALUE(BZ$44),'HL Data'!$O$56:$T$95,5,0)="TRUE"),0,VLOOKUP(VALUE(BZ$44),'HL Data'!$O$56:$T$95,5,0))</f>
        <v>0</v>
      </c>
      <c r="CA78" s="184">
        <f>IF(ISERR(VLOOKUP(VALUE(CA$44),'HL Data'!$O$56:$T$95,5,0)="TRUE"),0,VLOOKUP(VALUE(CA$44),'HL Data'!$O$56:$T$95,5,0))</f>
        <v>0</v>
      </c>
      <c r="CB78" s="184">
        <f>IF(ISERR(VLOOKUP(VALUE(CB$44),'HL Data'!$O$56:$T$95,5,0)="TRUE"),0,VLOOKUP(VALUE(CB$44),'HL Data'!$O$56:$T$95,5,0))</f>
        <v>0</v>
      </c>
      <c r="CC78" s="243" t="s">
        <v>221</v>
      </c>
      <c r="CD78" s="243" t="s">
        <v>221</v>
      </c>
      <c r="CE78" s="193">
        <f t="shared" si="8"/>
        <v>50332.562934486908</v>
      </c>
      <c r="CF78" s="193"/>
    </row>
    <row r="79" spans="1:84" ht="12.6" customHeight="1" x14ac:dyDescent="0.25">
      <c r="A79" s="171" t="s">
        <v>251</v>
      </c>
      <c r="B79" s="175"/>
      <c r="C79" s="184">
        <f>IF(ISERR(VLOOKUP(VALUE(C$44),'HL Data'!$B$4:$C$24,2,0)="TRUE"),0,VLOOKUP(VALUE(C$44),'HL Data'!$B$4:$C$24,2,0))</f>
        <v>125815.11</v>
      </c>
      <c r="D79" s="184">
        <f>IF(ISERR(VLOOKUP(VALUE(D$44),'HL Data'!$B$4:$C$24,2,0)="TRUE"),0,VLOOKUP(VALUE(D$44),'HL Data'!$B$4:$C$24,2,0))</f>
        <v>0</v>
      </c>
      <c r="E79" s="184">
        <f>IF(ISERR(VLOOKUP(VALUE(E$44),'HL Data'!$B$4:$C$24,2,0)="TRUE"),0,VLOOKUP(VALUE(E$44),'HL Data'!$B$4:$C$24,2,0))</f>
        <v>298708.72000000003</v>
      </c>
      <c r="F79" s="184">
        <f>IF(ISERR(VLOOKUP(VALUE(F$44),'HL Data'!$B$4:$C$24,2,0)="TRUE"),0,VLOOKUP(VALUE(F$44),'HL Data'!$B$4:$C$24,2,0))</f>
        <v>0</v>
      </c>
      <c r="G79" s="184">
        <f>IF(ISERR(VLOOKUP(VALUE(G$44),'HL Data'!$B$4:$C$24,2,0)="TRUE"),0,VLOOKUP(VALUE(G$44),'HL Data'!$B$4:$C$24,2,0))</f>
        <v>0</v>
      </c>
      <c r="H79" s="184">
        <f>IF(ISERR(VLOOKUP(VALUE(H$44),'HL Data'!$B$4:$C$24,2,0)="TRUE"),0,VLOOKUP(VALUE(H$44),'HL Data'!$B$4:$C$24,2,0))</f>
        <v>0</v>
      </c>
      <c r="I79" s="184">
        <f>IF(ISERR(VLOOKUP(VALUE(I$44),'HL Data'!$B$4:$C$24,2,0)="TRUE"),0,VLOOKUP(VALUE(I$44),'HL Data'!$B$4:$C$24,2,0))</f>
        <v>0</v>
      </c>
      <c r="J79" s="184">
        <f>IF(ISERR(VLOOKUP(VALUE(J$44),'HL Data'!$B$4:$C$24,2,0)="TRUE"),0,VLOOKUP(VALUE(J$44),'HL Data'!$B$4:$C$24,2,0))</f>
        <v>0</v>
      </c>
      <c r="K79" s="184">
        <f>IF(ISERR(VLOOKUP(VALUE(K$44),'HL Data'!$B$4:$C$24,2,0)="TRUE"),0,VLOOKUP(VALUE(K$44),'HL Data'!$B$4:$C$24,2,0))</f>
        <v>0</v>
      </c>
      <c r="L79" s="184">
        <f>IF(ISERR(VLOOKUP(VALUE(L$44),'HL Data'!$B$4:$C$24,2,0)="TRUE"),0,VLOOKUP(VALUE(L$44),'HL Data'!$B$4:$C$24,2,0))</f>
        <v>0</v>
      </c>
      <c r="M79" s="184">
        <f>IF(ISERR(VLOOKUP(VALUE(M$44),'HL Data'!$B$4:$C$24,2,0)="TRUE"),0,VLOOKUP(VALUE(M$44),'HL Data'!$B$4:$C$24,2,0))</f>
        <v>0</v>
      </c>
      <c r="N79" s="184">
        <f>IF(ISERR(VLOOKUP(VALUE(N$44),'HL Data'!$B$4:$C$24,2,0)="TRUE"),0,VLOOKUP(VALUE(N$44),'HL Data'!$B$4:$C$24,2,0))</f>
        <v>0</v>
      </c>
      <c r="O79" s="184">
        <f>IF(ISERR(VLOOKUP(VALUE(O$44),'HL Data'!$B$4:$C$24,2,0)="TRUE"),0,VLOOKUP(VALUE(O$44),'HL Data'!$B$4:$C$24,2,0))</f>
        <v>68836.09</v>
      </c>
      <c r="P79" s="184">
        <f>IF(ISERR(VLOOKUP(VALUE(P$44),'HL Data'!$B$4:$C$24,2,0)="TRUE"),0,VLOOKUP(VALUE(P$44),'HL Data'!$B$4:$C$24,2,0))</f>
        <v>82138.94</v>
      </c>
      <c r="Q79" s="184">
        <f>IF(ISERR(VLOOKUP(VALUE(Q$44),'HL Data'!$B$4:$C$24,2,0)="TRUE"),0,VLOOKUP(VALUE(Q$44),'HL Data'!$B$4:$C$24,2,0))</f>
        <v>10607.93</v>
      </c>
      <c r="R79" s="184">
        <f>IF(ISERR(VLOOKUP(VALUE(R$44),'HL Data'!$B$4:$C$24,2,0)="TRUE"),0,VLOOKUP(VALUE(R$44),'HL Data'!$B$4:$C$24,2,0))</f>
        <v>0</v>
      </c>
      <c r="S79" s="184">
        <f>IF(ISERR(VLOOKUP(VALUE(S$44),'HL Data'!$B$4:$C$24,2,0)="TRUE"),0,VLOOKUP(VALUE(S$44),'HL Data'!$B$4:$C$24,2,0))</f>
        <v>2196.71</v>
      </c>
      <c r="T79" s="184">
        <f>IF(ISERR(VLOOKUP(VALUE(T$44),'HL Data'!$B$4:$C$24,2,0)="TRUE"),0,VLOOKUP(VALUE(T$44),'HL Data'!$B$4:$C$24,2,0))</f>
        <v>0</v>
      </c>
      <c r="U79" s="184">
        <f>IF(ISERR(VLOOKUP(VALUE(U$44),'HL Data'!$B$4:$C$24,2,0)="TRUE"),0,VLOOKUP(VALUE(U$44),'HL Data'!$B$4:$C$24,2,0))</f>
        <v>8</v>
      </c>
      <c r="V79" s="184">
        <f>IF(ISERR(VLOOKUP(VALUE(V$44),'HL Data'!$B$4:$C$24,2,0)="TRUE"),0,VLOOKUP(VALUE(V$44),'HL Data'!$B$4:$C$24,2,0))</f>
        <v>0</v>
      </c>
      <c r="W79" s="184">
        <f>IF(ISERR(VLOOKUP(VALUE(W$44),'HL Data'!$B$4:$C$24,2,0)="TRUE"),0,VLOOKUP(VALUE(W$44),'HL Data'!$B$4:$C$24,2,0))</f>
        <v>21456.04</v>
      </c>
      <c r="X79" s="184">
        <f>IF(ISERR(VLOOKUP(VALUE(X$44),'HL Data'!$B$4:$C$24,2,0)="TRUE"),0,VLOOKUP(VALUE(X$44),'HL Data'!$B$4:$C$24,2,0))</f>
        <v>13551.81</v>
      </c>
      <c r="Y79" s="184">
        <f>IF(ISERR(VLOOKUP(VALUE(Y$44),'HL Data'!$B$4:$C$24,2,0)="TRUE"),0,VLOOKUP(VALUE(Y$44),'HL Data'!$B$4:$C$24,2,0))</f>
        <v>34015.53</v>
      </c>
      <c r="Z79" s="184">
        <f>IF(ISERR(VLOOKUP(VALUE(Z$44),'HL Data'!$B$4:$C$24,2,0)="TRUE"),0,VLOOKUP(VALUE(Z$44),'HL Data'!$B$4:$C$24,2,0))</f>
        <v>0</v>
      </c>
      <c r="AA79" s="184">
        <f>IF(ISERR(VLOOKUP(VALUE(AA$44),'HL Data'!$B$4:$C$24,2,0)="TRUE"),0,VLOOKUP(VALUE(AA$44),'HL Data'!$B$4:$C$24,2,0))</f>
        <v>4739.8900000000003</v>
      </c>
      <c r="AB79" s="184">
        <f>IF(ISERR(VLOOKUP(VALUE(AB$44),'HL Data'!$B$4:$C$24,2,0)="TRUE"),0,VLOOKUP(VALUE(AB$44),'HL Data'!$B$4:$C$24,2,0))</f>
        <v>37.090000000000003</v>
      </c>
      <c r="AC79" s="184">
        <f>IF(ISERR(VLOOKUP(VALUE(AC$44),'HL Data'!$B$4:$C$24,2,0)="TRUE"),0,VLOOKUP(VALUE(AC$44),'HL Data'!$B$4:$C$24,2,0))</f>
        <v>275.86</v>
      </c>
      <c r="AD79" s="184">
        <f>IF(ISERR(VLOOKUP(VALUE(AD$44),'HL Data'!$B$4:$C$24,2,0)="TRUE"),0,VLOOKUP(VALUE(AD$44),'HL Data'!$B$4:$C$24,2,0))</f>
        <v>0</v>
      </c>
      <c r="AE79" s="184">
        <f>IF(ISERR(VLOOKUP(VALUE(AE$44),'HL Data'!$B$4:$C$24,2,0)="TRUE"),0,VLOOKUP(VALUE(AE$44),'HL Data'!$B$4:$C$24,2,0))</f>
        <v>0</v>
      </c>
      <c r="AF79" s="184">
        <f>IF(ISERR(VLOOKUP(VALUE(AF$44),'HL Data'!$B$4:$C$24,2,0)="TRUE"),0,VLOOKUP(VALUE(AF$44),'HL Data'!$B$4:$C$24,2,0))</f>
        <v>0</v>
      </c>
      <c r="AG79" s="184">
        <f>IF(ISERR(VLOOKUP(VALUE(AG$44),'HL Data'!$B$4:$C$24,2,0)="TRUE"),0,VLOOKUP(VALUE(AG$44),'HL Data'!$B$4:$C$24,2,0))</f>
        <v>254523.77000000002</v>
      </c>
      <c r="AH79" s="184">
        <f>IF(ISERR(VLOOKUP(VALUE(AH$44),'HL Data'!$B$4:$C$24,2,0)="TRUE"),0,VLOOKUP(VALUE(AH$44),'HL Data'!$B$4:$C$24,2,0))</f>
        <v>0</v>
      </c>
      <c r="AI79" s="184">
        <f>IF(ISERR(VLOOKUP(VALUE(AI$44),'HL Data'!$B$4:$C$24,2,0)="TRUE"),0,VLOOKUP(VALUE(AI$44),'HL Data'!$B$4:$C$24,2,0))</f>
        <v>0</v>
      </c>
      <c r="AJ79" s="184">
        <f>IF(ISERR(VLOOKUP(VALUE(AJ$44),'HL Data'!$B$4:$C$24,2,0)="TRUE"),0,VLOOKUP(VALUE(AJ$44),'HL Data'!$B$4:$C$24,2,0))</f>
        <v>8059.34</v>
      </c>
      <c r="AK79" s="184">
        <f>IF(ISERR(VLOOKUP(VALUE(AK$44),'HL Data'!$B$4:$C$24,2,0)="TRUE"),0,VLOOKUP(VALUE(AK$44),'HL Data'!$B$4:$C$24,2,0))</f>
        <v>0</v>
      </c>
      <c r="AL79" s="184">
        <f>IF(ISERR(VLOOKUP(VALUE(AL$44),'HL Data'!$B$4:$C$24,2,0)="TRUE"),0,VLOOKUP(VALUE(AL$44),'HL Data'!$B$4:$C$24,2,0))</f>
        <v>0</v>
      </c>
      <c r="AM79" s="184">
        <f>IF(ISERR(VLOOKUP(VALUE(AM$44),'HL Data'!$B$4:$C$24,2,0)="TRUE"),0,VLOOKUP(VALUE(AM$44),'HL Data'!$B$4:$C$24,2,0))</f>
        <v>0</v>
      </c>
      <c r="AN79" s="184">
        <f>IF(ISERR(VLOOKUP(VALUE(AN$44),'HL Data'!$B$4:$C$24,2,0)="TRUE"),0,VLOOKUP(VALUE(AN$44),'HL Data'!$B$4:$C$24,2,0))</f>
        <v>0</v>
      </c>
      <c r="AO79" s="184">
        <f>IF(ISERR(VLOOKUP(VALUE(AO$44),'HL Data'!$B$4:$C$24,2,0)="TRUE"),0,VLOOKUP(VALUE(AO$44),'HL Data'!$B$4:$C$24,2,0))</f>
        <v>0</v>
      </c>
      <c r="AP79" s="184">
        <f>IF(ISERR(VLOOKUP(VALUE(AP$44),'HL Data'!$B$4:$C$24,2,0)="TRUE"),0,VLOOKUP(VALUE(AP$44),'HL Data'!$B$4:$C$24,2,0))</f>
        <v>0</v>
      </c>
      <c r="AQ79" s="184">
        <f>IF(ISERR(VLOOKUP(VALUE(AQ$44),'HL Data'!$B$4:$C$24,2,0)="TRUE"),0,VLOOKUP(VALUE(AQ$44),'HL Data'!$B$4:$C$24,2,0))</f>
        <v>0</v>
      </c>
      <c r="AR79" s="184">
        <f>IF(ISERR(VLOOKUP(VALUE(AR$44),'HL Data'!$B$4:$C$24,2,0)="TRUE"),0,VLOOKUP(VALUE(AR$44),'HL Data'!$B$4:$C$24,2,0))</f>
        <v>0</v>
      </c>
      <c r="AS79" s="184">
        <f>IF(ISERR(VLOOKUP(VALUE(AS$44),'HL Data'!$B$4:$C$24,2,0)="TRUE"),0,VLOOKUP(VALUE(AS$44),'HL Data'!$B$4:$C$24,2,0))</f>
        <v>0</v>
      </c>
      <c r="AT79" s="184">
        <f>IF(ISERR(VLOOKUP(VALUE(AT$44),'HL Data'!$B$4:$C$24,2,0)="TRUE"),0,VLOOKUP(VALUE(AT$44),'HL Data'!$B$4:$C$24,2,0))</f>
        <v>0</v>
      </c>
      <c r="AU79" s="184">
        <f>IF(ISERR(VLOOKUP(VALUE(AU$44),'HL Data'!$B$4:$C$24,2,0)="TRUE"),0,VLOOKUP(VALUE(AU$44),'HL Data'!$B$4:$C$24,2,0))</f>
        <v>0</v>
      </c>
      <c r="AV79" s="184">
        <f>IF(ISERR(VLOOKUP(VALUE(AV$44),'HL Data'!$B$4:$C$24,2,0)="TRUE"),0,VLOOKUP(VALUE(AV$44),'HL Data'!$B$4:$C$24,2,0))</f>
        <v>0</v>
      </c>
      <c r="AW79" s="184">
        <f>IF(ISERR(VLOOKUP(VALUE(AW$44),'HL Data'!$B$4:$C$24,2,0)="TRUE"),0,VLOOKUP(VALUE(AW$44),'HL Data'!$B$4:$C$24,2,0))</f>
        <v>0</v>
      </c>
      <c r="AX79" s="243" t="s">
        <v>221</v>
      </c>
      <c r="AY79" s="243" t="s">
        <v>221</v>
      </c>
      <c r="AZ79" s="243" t="s">
        <v>221</v>
      </c>
      <c r="BA79" s="243" t="s">
        <v>221</v>
      </c>
      <c r="BB79" s="184">
        <f>IF(ISERR(VLOOKUP(VALUE(BB$44),'HL Data'!$B$4:$C$24,2,0)="TRUE"),0,VLOOKUP(VALUE(BB$44),'HL Data'!$B$4:$C$24,2,0))</f>
        <v>0</v>
      </c>
      <c r="BC79" s="184">
        <f>IF(ISERR(VLOOKUP(VALUE(BC$44),'HL Data'!$B$4:$C$24,2,0)="TRUE"),0,VLOOKUP(VALUE(BC$44),'HL Data'!$B$4:$C$24,2,0))</f>
        <v>0</v>
      </c>
      <c r="BD79" s="243" t="s">
        <v>221</v>
      </c>
      <c r="BE79" s="243" t="s">
        <v>221</v>
      </c>
      <c r="BF79" s="243" t="s">
        <v>221</v>
      </c>
      <c r="BG79" s="243" t="s">
        <v>221</v>
      </c>
      <c r="BH79" s="184">
        <f>IF(ISERR(VLOOKUP(VALUE(BH$44),'HL Data'!$B$4:$C$24,2,0)="TRUE"),0,VLOOKUP(VALUE(BH$44),'HL Data'!$B$4:$C$24,2,0))</f>
        <v>0</v>
      </c>
      <c r="BI79" s="184">
        <f>IF(ISERR(VLOOKUP(VALUE(BI$44),'HL Data'!$B$4:$C$24,2,0)="TRUE"),0,VLOOKUP(VALUE(BI$44),'HL Data'!$B$4:$C$24,2,0))</f>
        <v>0</v>
      </c>
      <c r="BJ79" s="243" t="s">
        <v>221</v>
      </c>
      <c r="BK79" s="184">
        <f>IF(ISERR(VLOOKUP(VALUE(BK$44),'HL Data'!$B$4:$C$24,2,0)="TRUE"),0,VLOOKUP(VALUE(BK$44),'HL Data'!$B$4:$C$24,2,0))</f>
        <v>0</v>
      </c>
      <c r="BL79" s="184">
        <f>IF(ISERR(VLOOKUP(VALUE(BL$44),'HL Data'!$B$4:$C$24,2,0)="TRUE"),0,VLOOKUP(VALUE(BL$44),'HL Data'!$B$4:$C$24,2,0))</f>
        <v>0</v>
      </c>
      <c r="BM79" s="184">
        <f>IF(ISERR(VLOOKUP(VALUE(BM$44),'HL Data'!$B$4:$C$24,2,0)="TRUE"),0,VLOOKUP(VALUE(BM$44),'HL Data'!$B$4:$C$24,2,0))</f>
        <v>0</v>
      </c>
      <c r="BN79" s="243" t="s">
        <v>221</v>
      </c>
      <c r="BO79" s="243" t="s">
        <v>221</v>
      </c>
      <c r="BP79" s="243" t="s">
        <v>221</v>
      </c>
      <c r="BQ79" s="243" t="s">
        <v>221</v>
      </c>
      <c r="BR79" s="243" t="s">
        <v>221</v>
      </c>
      <c r="BS79" s="184">
        <f>IF(ISERR(VLOOKUP(VALUE(BS$44),'HL Data'!$B$4:$C$24,2,0)="TRUE"),0,VLOOKUP(VALUE(BS$44),'HL Data'!$B$4:$C$24,2,0))</f>
        <v>0</v>
      </c>
      <c r="BT79" s="184">
        <f>IF(ISERR(VLOOKUP(VALUE(BT$44),'HL Data'!$B$4:$C$24,2,0)="TRUE"),0,VLOOKUP(VALUE(BT$44),'HL Data'!$B$4:$C$24,2,0))</f>
        <v>0</v>
      </c>
      <c r="BU79" s="184">
        <f>IF(ISERR(VLOOKUP(VALUE(BU$44),'HL Data'!$B$4:$C$24,2,0)="TRUE"),0,VLOOKUP(VALUE(BU$44),'HL Data'!$B$4:$C$24,2,0))</f>
        <v>0</v>
      </c>
      <c r="BV79" s="184">
        <f>IF(ISERR(VLOOKUP(VALUE(BV$44),'HL Data'!$B$4:$C$24,2,0)="TRUE"),0,VLOOKUP(VALUE(BV$44),'HL Data'!$B$4:$C$24,2,0))</f>
        <v>0</v>
      </c>
      <c r="BW79" s="184">
        <f>IF(ISERR(VLOOKUP(VALUE(BW$44),'HL Data'!$B$4:$C$24,2,0)="TRUE"),0,VLOOKUP(VALUE(BW$44),'HL Data'!$B$4:$C$24,2,0))</f>
        <v>0</v>
      </c>
      <c r="BX79" s="184">
        <f>IF(ISERR(VLOOKUP(VALUE(BX$44),'HL Data'!$B$4:$C$24,2,0)="TRUE"),0,VLOOKUP(VALUE(BX$44),'HL Data'!$B$4:$C$24,2,0))</f>
        <v>0</v>
      </c>
      <c r="BY79" s="184">
        <f>IF(ISERR(VLOOKUP(VALUE(BY$44),'HL Data'!$B$4:$C$24,2,0)="TRUE"),0,VLOOKUP(VALUE(BY$44),'HL Data'!$B$4:$C$24,2,0))</f>
        <v>0</v>
      </c>
      <c r="BZ79" s="184">
        <f>IF(ISERR(VLOOKUP(VALUE(BZ$44),'HL Data'!$B$4:$C$24,2,0)="TRUE"),0,VLOOKUP(VALUE(BZ$44),'HL Data'!$B$4:$C$24,2,0))</f>
        <v>0</v>
      </c>
      <c r="CA79" s="184">
        <f>IF(ISERR(VLOOKUP(VALUE(CA$44),'HL Data'!$B$4:$C$24,2,0)="TRUE"),0,VLOOKUP(VALUE(CA$44),'HL Data'!$B$4:$C$24,2,0))</f>
        <v>0</v>
      </c>
      <c r="CB79" s="184">
        <f>IF(ISERR(VLOOKUP(VALUE(CB$44),'HL Data'!$B$4:$C$24,2,0)="TRUE"),0,VLOOKUP(VALUE(CB$44),'HL Data'!$B$4:$C$24,2,0))</f>
        <v>0</v>
      </c>
      <c r="CC79" s="243" t="s">
        <v>221</v>
      </c>
      <c r="CD79" s="243" t="s">
        <v>221</v>
      </c>
      <c r="CE79" s="193">
        <f t="shared" si="8"/>
        <v>924970.83000000019</v>
      </c>
      <c r="CF79" s="193">
        <f>BA59</f>
        <v>0</v>
      </c>
    </row>
    <row r="80" spans="1:84" ht="21" customHeight="1" x14ac:dyDescent="0.25">
      <c r="A80" s="171" t="s">
        <v>252</v>
      </c>
      <c r="B80" s="175"/>
      <c r="C80" s="184">
        <f>IF(ISERR(VLOOKUP(VALUE(C$44),'HL Data'!$B$94:$E$126,3,0)="TRUE"),0,VLOOKUP(VALUE(C$44),'HL Data'!$B$94:$E$126,3,0))</f>
        <v>15.044019230769232</v>
      </c>
      <c r="D80" s="184">
        <f>IF(ISERR(VLOOKUP(VALUE(D$44),'HL Data'!$B$94:$E$126,3,0)="TRUE"),0,VLOOKUP(VALUE(D$44),'HL Data'!$B$94:$E$126,3,0))</f>
        <v>0</v>
      </c>
      <c r="E80" s="184">
        <f>IF(ISERR(VLOOKUP(VALUE(E$44),'HL Data'!$B$94:$E$126,3,0)="TRUE"),0,VLOOKUP(VALUE(E$44),'HL Data'!$B$94:$E$126,3,0))</f>
        <v>81.93311057692307</v>
      </c>
      <c r="F80" s="184">
        <f>IF(ISERR(VLOOKUP(VALUE(F$44),'HL Data'!$B$94:$E$126,3,0)="TRUE"),0,VLOOKUP(VALUE(F$44),'HL Data'!$B$94:$E$126,3,0))</f>
        <v>0</v>
      </c>
      <c r="G80" s="184">
        <f>IF(ISERR(VLOOKUP(VALUE(G$44),'HL Data'!$B$94:$E$126,3,0)="TRUE"),0,VLOOKUP(VALUE(G$44),'HL Data'!$B$94:$E$126,3,0))</f>
        <v>-2.2836538461538463E-3</v>
      </c>
      <c r="H80" s="184">
        <f>IF(ISERR(VLOOKUP(VALUE(H$44),'HL Data'!$B$94:$E$126,3,0)="TRUE"),0,VLOOKUP(VALUE(H$44),'HL Data'!$B$94:$E$126,3,0))</f>
        <v>0</v>
      </c>
      <c r="I80" s="184">
        <f>IF(ISERR(VLOOKUP(VALUE(I$44),'HL Data'!$B$94:$E$126,3,0)="TRUE"),0,VLOOKUP(VALUE(I$44),'HL Data'!$B$94:$E$126,3,0))</f>
        <v>0</v>
      </c>
      <c r="J80" s="184">
        <f>IF(ISERR(VLOOKUP(VALUE(J$44),'HL Data'!$B$94:$E$126,3,0)="TRUE"),0,VLOOKUP(VALUE(J$44),'HL Data'!$B$94:$E$126,3,0))</f>
        <v>0</v>
      </c>
      <c r="K80" s="184">
        <f>IF(ISERR(VLOOKUP(VALUE(K$44),'HL Data'!$B$94:$E$126,3,0)="TRUE"),0,VLOOKUP(VALUE(K$44),'HL Data'!$B$94:$E$126,3,0))</f>
        <v>0</v>
      </c>
      <c r="L80" s="184">
        <f>IF(ISERR(VLOOKUP(VALUE(L$44),'HL Data'!$B$94:$E$126,3,0)="TRUE"),0,VLOOKUP(VALUE(L$44),'HL Data'!$B$94:$E$126,3,0))</f>
        <v>0</v>
      </c>
      <c r="M80" s="184">
        <f>IF(ISERR(VLOOKUP(VALUE(M$44),'HL Data'!$B$94:$E$126,3,0)="TRUE"),0,VLOOKUP(VALUE(M$44),'HL Data'!$B$94:$E$126,3,0))</f>
        <v>0</v>
      </c>
      <c r="N80" s="184">
        <f>IF(ISERR(VLOOKUP(VALUE(N$44),'HL Data'!$B$94:$E$126,3,0)="TRUE"),0,VLOOKUP(VALUE(N$44),'HL Data'!$B$94:$E$126,3,0))</f>
        <v>0</v>
      </c>
      <c r="O80" s="184">
        <f>IF(ISERR(VLOOKUP(VALUE(O$44),'HL Data'!$B$94:$E$126,3,0)="TRUE"),0,VLOOKUP(VALUE(O$44),'HL Data'!$B$94:$E$126,3,0))</f>
        <v>23.576500000000003</v>
      </c>
      <c r="P80" s="184">
        <f>IF(ISERR(VLOOKUP(VALUE(P$44),'HL Data'!$B$94:$E$126,3,0)="TRUE"),0,VLOOKUP(VALUE(P$44),'HL Data'!$B$94:$E$126,3,0))</f>
        <v>15.814682692307692</v>
      </c>
      <c r="Q80" s="184">
        <f>IF(ISERR(VLOOKUP(VALUE(Q$44),'HL Data'!$B$94:$E$126,3,0)="TRUE"),0,VLOOKUP(VALUE(Q$44),'HL Data'!$B$94:$E$126,3,0))</f>
        <v>10.438110576923078</v>
      </c>
      <c r="R80" s="184">
        <f>IF(ISERR(VLOOKUP(VALUE(R$44),'HL Data'!$B$94:$E$126,3,0)="TRUE"),0,VLOOKUP(VALUE(R$44),'HL Data'!$B$94:$E$126,3,0))</f>
        <v>0</v>
      </c>
      <c r="S80" s="184">
        <f>IF(ISERR(VLOOKUP(VALUE(S$44),'HL Data'!$B$94:$E$126,3,0)="TRUE"),0,VLOOKUP(VALUE(S$44),'HL Data'!$B$94:$E$126,3,0))</f>
        <v>1.5625E-2</v>
      </c>
      <c r="T80" s="184">
        <f>IF(ISERR(VLOOKUP(VALUE(T$44),'HL Data'!$B$94:$E$126,3,0)="TRUE"),0,VLOOKUP(VALUE(T$44),'HL Data'!$B$94:$E$126,3,0))</f>
        <v>1.3622019230769231</v>
      </c>
      <c r="U80" s="184">
        <f>IF(ISERR(VLOOKUP(VALUE(U$44),'HL Data'!$B$94:$E$126,3,0)="TRUE"),0,VLOOKUP(VALUE(U$44),'HL Data'!$B$94:$E$126,3,0))</f>
        <v>0</v>
      </c>
      <c r="V80" s="184">
        <f>IF(ISERR(VLOOKUP(VALUE(V$44),'HL Data'!$B$94:$E$126,3,0)="TRUE"),0,VLOOKUP(VALUE(V$44),'HL Data'!$B$94:$E$126,3,0))</f>
        <v>0</v>
      </c>
      <c r="W80" s="184">
        <f>IF(ISERR(VLOOKUP(VALUE(W$44),'HL Data'!$B$94:$E$126,3,0)="TRUE"),0,VLOOKUP(VALUE(W$44),'HL Data'!$B$94:$E$126,3,0))</f>
        <v>0</v>
      </c>
      <c r="X80" s="184">
        <f>IF(ISERR(VLOOKUP(VALUE(X$44),'HL Data'!$B$94:$E$126,3,0)="TRUE"),0,VLOOKUP(VALUE(X$44),'HL Data'!$B$94:$E$126,3,0))</f>
        <v>0</v>
      </c>
      <c r="Y80" s="184">
        <f>IF(ISERR(VLOOKUP(VALUE(Y$44),'HL Data'!$B$94:$E$126,3,0)="TRUE"),0,VLOOKUP(VALUE(Y$44),'HL Data'!$B$94:$E$126,3,0))</f>
        <v>8.9903846153846154E-4</v>
      </c>
      <c r="Z80" s="184">
        <f>IF(ISERR(VLOOKUP(VALUE(Z$44),'HL Data'!$B$94:$E$126,3,0)="TRUE"),0,VLOOKUP(VALUE(Z$44),'HL Data'!$B$94:$E$126,3,0))</f>
        <v>0</v>
      </c>
      <c r="AA80" s="184">
        <f>IF(ISERR(VLOOKUP(VALUE(AA$44),'HL Data'!$B$94:$E$126,3,0)="TRUE"),0,VLOOKUP(VALUE(AA$44),'HL Data'!$B$94:$E$126,3,0))</f>
        <v>0</v>
      </c>
      <c r="AB80" s="184">
        <f>IF(ISERR(VLOOKUP(VALUE(AB$44),'HL Data'!$B$94:$E$126,3,0)="TRUE"),0,VLOOKUP(VALUE(AB$44),'HL Data'!$B$94:$E$126,3,0))</f>
        <v>0</v>
      </c>
      <c r="AC80" s="184">
        <f>IF(ISERR(VLOOKUP(VALUE(AC$44),'HL Data'!$B$94:$E$126,3,0)="TRUE"),0,VLOOKUP(VALUE(AC$44),'HL Data'!$B$94:$E$126,3,0))</f>
        <v>0</v>
      </c>
      <c r="AD80" s="184">
        <f>IF(ISERR(VLOOKUP(VALUE(AD$44),'HL Data'!$B$94:$E$126,3,0)="TRUE"),0,VLOOKUP(VALUE(AD$44),'HL Data'!$B$94:$E$126,3,0))</f>
        <v>0</v>
      </c>
      <c r="AE80" s="184">
        <f>IF(ISERR(VLOOKUP(VALUE(AE$44),'HL Data'!$B$94:$E$126,3,0)="TRUE"),0,VLOOKUP(VALUE(AE$44),'HL Data'!$B$94:$E$126,3,0))</f>
        <v>0</v>
      </c>
      <c r="AF80" s="184">
        <f>IF(ISERR(VLOOKUP(VALUE(AF$44),'HL Data'!$B$94:$E$126,3,0)="TRUE"),0,VLOOKUP(VALUE(AF$44),'HL Data'!$B$94:$E$126,3,0))</f>
        <v>0</v>
      </c>
      <c r="AG80" s="184">
        <f>IF(ISERR(VLOOKUP(VALUE(AG$44),'HL Data'!$B$94:$E$126,3,0)="TRUE"),0,VLOOKUP(VALUE(AG$44),'HL Data'!$B$94:$E$126,3,0))</f>
        <v>42.555394230769231</v>
      </c>
      <c r="AH80" s="184">
        <f>IF(ISERR(VLOOKUP(VALUE(AH$44),'HL Data'!$B$94:$E$126,3,0)="TRUE"),0,VLOOKUP(VALUE(AH$44),'HL Data'!$B$94:$E$126,3,0))</f>
        <v>0</v>
      </c>
      <c r="AI80" s="184">
        <f>IF(ISERR(VLOOKUP(VALUE(AI$44),'HL Data'!$B$94:$E$126,3,0)="TRUE"),0,VLOOKUP(VALUE(AI$44),'HL Data'!$B$94:$E$126,3,0))</f>
        <v>0</v>
      </c>
      <c r="AJ80" s="184">
        <f>IF(ISERR(VLOOKUP(VALUE(AJ$44),'HL Data'!$B$94:$E$126,3,0)="TRUE"),0,VLOOKUP(VALUE(AJ$44),'HL Data'!$B$94:$E$126,3,0))+'HL Data'!C135</f>
        <v>29.623807692307693</v>
      </c>
      <c r="AK80" s="184">
        <f>IF(ISERR(VLOOKUP(VALUE(AK$44),'HL Data'!$B$94:$E$126,3,0)="TRUE"),0,VLOOKUP(VALUE(AK$44),'HL Data'!$B$94:$E$126,3,0))</f>
        <v>0</v>
      </c>
      <c r="AL80" s="184">
        <f>IF(ISERR(VLOOKUP(VALUE(AL$44),'HL Data'!$B$94:$E$126,3,0)="TRUE"),0,VLOOKUP(VALUE(AL$44),'HL Data'!$B$94:$E$126,3,0))</f>
        <v>0</v>
      </c>
      <c r="AM80" s="184">
        <f>IF(ISERR(VLOOKUP(VALUE(AM$44),'HL Data'!$B$94:$E$126,3,0)="TRUE"),0,VLOOKUP(VALUE(AM$44),'HL Data'!$B$94:$E$126,3,0))</f>
        <v>0</v>
      </c>
      <c r="AN80" s="184">
        <f>IF(ISERR(VLOOKUP(VALUE(AN$44),'HL Data'!$B$94:$E$126,3,0)="TRUE"),0,VLOOKUP(VALUE(AN$44),'HL Data'!$B$94:$E$126,3,0))</f>
        <v>0</v>
      </c>
      <c r="AO80" s="184">
        <f>IF(ISERR(VLOOKUP(VALUE(AO$44),'HL Data'!$B$94:$E$126,3,0)="TRUE"),0,VLOOKUP(VALUE(AO$44),'HL Data'!$B$94:$E$126,3,0))</f>
        <v>0</v>
      </c>
      <c r="AP80" s="184">
        <f>IF(ISERR(VLOOKUP(VALUE(AP$44),'HL Data'!$B$94:$E$126,3,0)="TRUE"),0,VLOOKUP(VALUE(AP$44),'HL Data'!$B$94:$E$126,3,0))</f>
        <v>0</v>
      </c>
      <c r="AQ80" s="184">
        <f>IF(ISERR(VLOOKUP(VALUE(AQ$44),'HL Data'!$B$94:$E$126,3,0)="TRUE"),0,VLOOKUP(VALUE(AQ$44),'HL Data'!$B$94:$E$126,3,0))</f>
        <v>0</v>
      </c>
      <c r="AR80" s="184">
        <f>IF(ISERR(VLOOKUP(VALUE(AR$44),'HL Data'!$B$94:$E$126,3,0)="TRUE"),0,VLOOKUP(VALUE(AR$44),'HL Data'!$B$94:$E$126,3,0))</f>
        <v>0</v>
      </c>
      <c r="AS80" s="184">
        <f>IF(ISERR(VLOOKUP(VALUE(AS$44),'HL Data'!$B$94:$E$126,3,0)="TRUE"),0,VLOOKUP(VALUE(AS$44),'HL Data'!$B$94:$E$126,3,0))</f>
        <v>0</v>
      </c>
      <c r="AT80" s="184">
        <f>IF(ISERR(VLOOKUP(VALUE(AT$44),'HL Data'!$B$94:$E$126,3,0)="TRUE"),0,VLOOKUP(VALUE(AT$44),'HL Data'!$B$94:$E$126,3,0))</f>
        <v>0</v>
      </c>
      <c r="AU80" s="184">
        <f>IF(ISERR(VLOOKUP(VALUE(AU$44),'HL Data'!$B$94:$E$126,3,0)="TRUE"),0,VLOOKUP(VALUE(AU$44),'HL Data'!$B$94:$E$126,3,0))</f>
        <v>0</v>
      </c>
      <c r="AV80" s="184">
        <f>IF(ISERR(VLOOKUP(VALUE(AV$44),'HL Data'!$B$94:$E$126,3,0)="TRUE"),0,VLOOKUP(VALUE(AV$44),'HL Data'!$B$94:$E$126,3,0))</f>
        <v>0.77957211538461535</v>
      </c>
      <c r="AW80" s="184">
        <f>IF(ISERR(VLOOKUP(VALUE(AW$44),'HL Data'!$B$94:$E$126,3,0)="TRUE"),0,VLOOKUP(VALUE(AW$44),'HL Data'!$B$94:$E$126,3,0))</f>
        <v>4.7770096153846158</v>
      </c>
      <c r="AX80" s="184">
        <f>IF(ISERR(VLOOKUP(VALUE(AX$44),'HL Data'!$B$94:$E$126,3,0)="TRUE"),0,VLOOKUP(VALUE(AX$44),'HL Data'!$B$94:$E$126,3,0))</f>
        <v>0</v>
      </c>
      <c r="AY80" s="184">
        <f>IF(ISERR(VLOOKUP(VALUE(AY$44),'HL Data'!$B$94:$E$126,3,0)="TRUE"),0,VLOOKUP(VALUE(AY$44),'HL Data'!$B$94:$E$126,3,0))</f>
        <v>0</v>
      </c>
      <c r="AZ80" s="184">
        <f>IF(ISERR(VLOOKUP(VALUE(AZ$44),'HL Data'!$B$94:$E$126,3,0)="TRUE"),0,VLOOKUP(VALUE(AZ$44),'HL Data'!$B$94:$E$126,3,0))</f>
        <v>0</v>
      </c>
      <c r="BA80" s="184">
        <f>IF(ISERR(VLOOKUP(VALUE(BA$44),'HL Data'!$B$94:$E$126,3,0)="TRUE"),0,VLOOKUP(VALUE(BA$44),'HL Data'!$B$94:$E$126,3,0))</f>
        <v>0</v>
      </c>
      <c r="BB80" s="184">
        <f>IF(ISERR(VLOOKUP(VALUE(BB$44),'HL Data'!$B$94:$E$126,3,0)="TRUE"),0,VLOOKUP(VALUE(BB$44),'HL Data'!$B$94:$E$126,3,0))</f>
        <v>0</v>
      </c>
      <c r="BC80" s="184">
        <f>IF(ISERR(VLOOKUP(VALUE(BC$44),'HL Data'!$B$94:$E$126,3,0)="TRUE"),0,VLOOKUP(VALUE(BC$44),'HL Data'!$B$94:$E$126,3,0))</f>
        <v>0</v>
      </c>
      <c r="BD80" s="184">
        <f>IF(ISERR(VLOOKUP(VALUE(BD$44),'HL Data'!$B$94:$E$126,3,0)="TRUE"),0,VLOOKUP(VALUE(BD$44),'HL Data'!$B$94:$E$126,3,0))</f>
        <v>0</v>
      </c>
      <c r="BE80" s="184">
        <f>IF(ISERR(VLOOKUP(VALUE(BE$44),'HL Data'!$B$94:$E$126,3,0)="TRUE"),0,VLOOKUP(VALUE(BE$44),'HL Data'!$B$94:$E$126,3,0))</f>
        <v>0</v>
      </c>
      <c r="BF80" s="184">
        <f>IF(ISERR(VLOOKUP(VALUE(BF$44),'HL Data'!$B$94:$E$126,3,0)="TRUE"),0,VLOOKUP(VALUE(BF$44),'HL Data'!$B$94:$E$126,3,0))</f>
        <v>0</v>
      </c>
      <c r="BG80" s="184">
        <f>IF(ISERR(VLOOKUP(VALUE(BG$44),'HL Data'!$B$94:$E$126,3,0)="TRUE"),0,VLOOKUP(VALUE(BG$44),'HL Data'!$B$94:$E$126,3,0))</f>
        <v>0</v>
      </c>
      <c r="BH80" s="184">
        <f>IF(ISERR(VLOOKUP(VALUE(BH$44),'HL Data'!$B$94:$E$126,3,0)="TRUE"),0,VLOOKUP(VALUE(BH$44),'HL Data'!$B$94:$E$126,3,0))</f>
        <v>0</v>
      </c>
      <c r="BI80" s="184">
        <f>IF(ISERR(VLOOKUP(VALUE(BI$44),'HL Data'!$B$94:$E$126,3,0)="TRUE"),0,VLOOKUP(VALUE(BI$44),'HL Data'!$B$94:$E$126,3,0))</f>
        <v>0</v>
      </c>
      <c r="BJ80" s="184">
        <f>IF(ISERR(VLOOKUP(VALUE(BJ$44),'HL Data'!$B$94:$E$126,3,0)="TRUE"),0,VLOOKUP(VALUE(BJ$44),'HL Data'!$B$94:$E$126,3,0))</f>
        <v>0</v>
      </c>
      <c r="BK80" s="184">
        <f>IF(ISERR(VLOOKUP(VALUE(BK$44),'HL Data'!$B$94:$E$126,3,0)="TRUE"),0,VLOOKUP(VALUE(BK$44),'HL Data'!$B$94:$E$126,3,0))</f>
        <v>0</v>
      </c>
      <c r="BL80" s="184">
        <f>IF(ISERR(VLOOKUP(VALUE(BL$44),'HL Data'!$B$94:$E$126,3,0)="TRUE"),0,VLOOKUP(VALUE(BL$44),'HL Data'!$B$94:$E$126,3,0))</f>
        <v>0</v>
      </c>
      <c r="BM80" s="184">
        <f>IF(ISERR(VLOOKUP(VALUE(BM$44),'HL Data'!$B$94:$E$126,3,0)="TRUE"),0,VLOOKUP(VALUE(BM$44),'HL Data'!$B$94:$E$126,3,0))</f>
        <v>0</v>
      </c>
      <c r="BN80" s="184">
        <f>IF(ISERR(VLOOKUP(VALUE(BN$44),'HL Data'!$B$94:$E$126,3,0)="TRUE"),0,VLOOKUP(VALUE(BN$44),'HL Data'!$B$94:$E$126,3,0))</f>
        <v>11.046600961538461</v>
      </c>
      <c r="BO80" s="184">
        <f>IF(ISERR(VLOOKUP(VALUE(BO$44),'HL Data'!$B$94:$E$126,3,0)="TRUE"),0,VLOOKUP(VALUE(BO$44),'HL Data'!$B$94:$E$126,3,0))</f>
        <v>0</v>
      </c>
      <c r="BP80" s="184">
        <f>IF(ISERR(VLOOKUP(VALUE(BP$44),'HL Data'!$B$94:$E$126,3,0)="TRUE"),0,VLOOKUP(VALUE(BP$44),'HL Data'!$B$94:$E$126,3,0))</f>
        <v>0</v>
      </c>
      <c r="BQ80" s="184">
        <f>IF(ISERR(VLOOKUP(VALUE(BQ$44),'HL Data'!$B$94:$E$126,3,0)="TRUE"),0,VLOOKUP(VALUE(BQ$44),'HL Data'!$B$94:$E$126,3,0))</f>
        <v>0</v>
      </c>
      <c r="BR80" s="184">
        <f>IF(ISERR(VLOOKUP(VALUE(BR$44),'HL Data'!$B$94:$E$126,3,0)="TRUE"),0,VLOOKUP(VALUE(BR$44),'HL Data'!$B$94:$E$126,3,0))</f>
        <v>2.6634615384615385E-2</v>
      </c>
      <c r="BS80" s="184">
        <f>IF(ISERR(VLOOKUP(VALUE(BS$44),'HL Data'!$B$94:$E$126,3,0)="TRUE"),0,VLOOKUP(VALUE(BS$44),'HL Data'!$B$94:$E$126,3,0))</f>
        <v>0</v>
      </c>
      <c r="BT80" s="184">
        <f>IF(ISERR(VLOOKUP(VALUE(BT$44),'HL Data'!$B$94:$E$126,3,0)="TRUE"),0,VLOOKUP(VALUE(BT$44),'HL Data'!$B$94:$E$126,3,0))</f>
        <v>0</v>
      </c>
      <c r="BU80" s="184">
        <f>IF(ISERR(VLOOKUP(VALUE(BU$44),'HL Data'!$B$94:$E$126,3,0)="TRUE"),0,VLOOKUP(VALUE(BU$44),'HL Data'!$B$94:$E$126,3,0))</f>
        <v>0</v>
      </c>
      <c r="BV80" s="184">
        <f>IF(ISERR(VLOOKUP(VALUE(BV$44),'HL Data'!$B$94:$E$126,3,0)="TRUE"),0,VLOOKUP(VALUE(BV$44),'HL Data'!$B$94:$E$126,3,0))</f>
        <v>0</v>
      </c>
      <c r="BW80" s="184">
        <f>IF(ISERR(VLOOKUP(VALUE(BW$44),'HL Data'!$B$94:$E$126,3,0)="TRUE"),0,VLOOKUP(VALUE(BW$44),'HL Data'!$B$94:$E$126,3,0))</f>
        <v>0</v>
      </c>
      <c r="BX80" s="184">
        <f>IF(ISERR(VLOOKUP(VALUE(BX$44),'HL Data'!$B$94:$E$126,3,0)="TRUE"),0,VLOOKUP(VALUE(BX$44),'HL Data'!$B$94:$E$126,3,0))</f>
        <v>0</v>
      </c>
      <c r="BY80" s="184">
        <f>IF(ISERR(VLOOKUP(VALUE(BY$44),'HL Data'!$B$94:$E$126,3,0)="TRUE"),0,VLOOKUP(VALUE(BY$44),'HL Data'!$B$94:$E$126,3,0))</f>
        <v>6.1968124999999992</v>
      </c>
      <c r="BZ80" s="184">
        <f>IF(ISERR(VLOOKUP(VALUE(BZ$44),'HL Data'!$B$94:$E$126,3,0)="TRUE"),0,VLOOKUP(VALUE(BZ$44),'HL Data'!$B$94:$E$126,3,0))</f>
        <v>0</v>
      </c>
      <c r="CA80" s="184">
        <f>IF(ISERR(VLOOKUP(VALUE(CA$44),'HL Data'!$B$94:$E$126,3,0)="TRUE"),0,VLOOKUP(VALUE(CA$44),'HL Data'!$B$94:$E$126,3,0))</f>
        <v>0</v>
      </c>
      <c r="CB80" s="184">
        <f>IF(ISERR(VLOOKUP(VALUE(CB$44),'HL Data'!$B$94:$E$126,3,0)="TRUE"),0,VLOOKUP(VALUE(CB$44),'HL Data'!$B$94:$E$126,3,0))</f>
        <v>0</v>
      </c>
      <c r="CC80" s="184">
        <f>IF(ISERR(VLOOKUP(VALUE(CC$44),'HL Data'!$B$94:$E$126,3,0)="TRUE"),0,VLOOKUP(VALUE(CC$44),'HL Data'!$B$94:$E$126,3,0))</f>
        <v>0</v>
      </c>
      <c r="CD80" s="243" t="s">
        <v>221</v>
      </c>
      <c r="CE80" s="249">
        <f t="shared" si="8"/>
        <v>243.18869711538463</v>
      </c>
      <c r="CF80" s="249"/>
    </row>
    <row r="81" spans="1:5" ht="12.6" customHeight="1" x14ac:dyDescent="0.25">
      <c r="A81" s="206" t="s">
        <v>253</v>
      </c>
      <c r="B81" s="206"/>
      <c r="C81" s="206"/>
      <c r="D81" s="206"/>
      <c r="E81" s="206"/>
    </row>
    <row r="82" spans="1:5" ht="12.6" customHeight="1" x14ac:dyDescent="0.25">
      <c r="A82" s="171" t="s">
        <v>254</v>
      </c>
      <c r="B82" s="172"/>
      <c r="C82" s="276" t="s">
        <v>1268</v>
      </c>
      <c r="D82" s="250"/>
      <c r="E82" s="175"/>
    </row>
    <row r="83" spans="1:5" ht="12.6" customHeight="1" x14ac:dyDescent="0.25">
      <c r="A83" s="173" t="s">
        <v>255</v>
      </c>
      <c r="B83" s="172" t="s">
        <v>256</v>
      </c>
      <c r="C83" s="221" t="s">
        <v>1270</v>
      </c>
      <c r="D83" s="250"/>
      <c r="E83" s="175"/>
    </row>
    <row r="84" spans="1:5" ht="12.6" customHeight="1" x14ac:dyDescent="0.25">
      <c r="A84" s="173" t="s">
        <v>257</v>
      </c>
      <c r="B84" s="172" t="s">
        <v>256</v>
      </c>
      <c r="C84" s="224" t="s">
        <v>1271</v>
      </c>
      <c r="D84" s="203"/>
      <c r="E84" s="202"/>
    </row>
    <row r="85" spans="1:5" ht="12.6" customHeight="1" x14ac:dyDescent="0.25">
      <c r="A85" s="173" t="s">
        <v>1251</v>
      </c>
      <c r="B85" s="172"/>
      <c r="C85" s="265" t="s">
        <v>1272</v>
      </c>
      <c r="D85" s="203"/>
      <c r="E85" s="202"/>
    </row>
    <row r="86" spans="1:5" ht="12.6" customHeight="1" x14ac:dyDescent="0.25">
      <c r="A86" s="173" t="s">
        <v>1252</v>
      </c>
      <c r="B86" s="172" t="s">
        <v>256</v>
      </c>
      <c r="C86" s="225"/>
      <c r="D86" s="203"/>
      <c r="E86" s="202"/>
    </row>
    <row r="87" spans="1:5" ht="12.6" customHeight="1" x14ac:dyDescent="0.25">
      <c r="A87" s="173" t="s">
        <v>258</v>
      </c>
      <c r="B87" s="172" t="s">
        <v>256</v>
      </c>
      <c r="C87" s="224" t="s">
        <v>1273</v>
      </c>
      <c r="D87" s="203"/>
      <c r="E87" s="202"/>
    </row>
    <row r="88" spans="1:5" ht="12.6" customHeight="1" x14ac:dyDescent="0.25">
      <c r="A88" s="173" t="s">
        <v>259</v>
      </c>
      <c r="B88" s="172" t="s">
        <v>256</v>
      </c>
      <c r="C88" s="224" t="s">
        <v>1265</v>
      </c>
      <c r="D88" s="203"/>
      <c r="E88" s="202"/>
    </row>
    <row r="89" spans="1:5" ht="12.6" customHeight="1" x14ac:dyDescent="0.25">
      <c r="A89" s="173" t="s">
        <v>260</v>
      </c>
      <c r="B89" s="172" t="s">
        <v>256</v>
      </c>
      <c r="C89" s="224" t="s">
        <v>1368</v>
      </c>
      <c r="D89" s="203"/>
      <c r="E89" s="202"/>
    </row>
    <row r="90" spans="1:5" ht="12.6" customHeight="1" x14ac:dyDescent="0.25">
      <c r="A90" s="173" t="s">
        <v>261</v>
      </c>
      <c r="B90" s="172" t="s">
        <v>256</v>
      </c>
      <c r="C90" s="224" t="s">
        <v>1275</v>
      </c>
      <c r="D90" s="203"/>
      <c r="E90" s="202"/>
    </row>
    <row r="91" spans="1:5" ht="12.6" customHeight="1" x14ac:dyDescent="0.25">
      <c r="A91" s="173" t="s">
        <v>262</v>
      </c>
      <c r="B91" s="172" t="s">
        <v>256</v>
      </c>
      <c r="C91" s="224" t="s">
        <v>1269</v>
      </c>
      <c r="D91" s="203"/>
      <c r="E91" s="202"/>
    </row>
    <row r="92" spans="1:5" ht="12.6" customHeight="1" x14ac:dyDescent="0.25">
      <c r="A92" s="173" t="s">
        <v>263</v>
      </c>
      <c r="B92" s="172" t="s">
        <v>256</v>
      </c>
      <c r="C92" s="220" t="s">
        <v>1276</v>
      </c>
      <c r="D92" s="250"/>
      <c r="E92" s="175"/>
    </row>
    <row r="93" spans="1:5" ht="12.6" customHeight="1" x14ac:dyDescent="0.25">
      <c r="A93" s="173" t="s">
        <v>264</v>
      </c>
      <c r="B93" s="172" t="s">
        <v>256</v>
      </c>
      <c r="C93" s="264" t="s">
        <v>1277</v>
      </c>
      <c r="D93" s="250"/>
      <c r="E93" s="175"/>
    </row>
    <row r="94" spans="1:5" ht="12.6" customHeight="1" x14ac:dyDescent="0.25">
      <c r="A94" s="173"/>
      <c r="B94" s="173"/>
      <c r="C94" s="189"/>
      <c r="D94" s="175"/>
      <c r="E94" s="175"/>
    </row>
    <row r="95" spans="1:5" ht="12.6" customHeight="1" x14ac:dyDescent="0.25">
      <c r="A95" s="206" t="s">
        <v>265</v>
      </c>
      <c r="B95" s="206"/>
      <c r="C95" s="206"/>
      <c r="D95" s="206"/>
      <c r="E95" s="206"/>
    </row>
    <row r="96" spans="1:5" ht="12.6" customHeight="1" x14ac:dyDescent="0.25">
      <c r="A96" s="251" t="s">
        <v>266</v>
      </c>
      <c r="B96" s="251"/>
      <c r="C96" s="251"/>
      <c r="D96" s="251"/>
      <c r="E96" s="251"/>
    </row>
    <row r="97" spans="1:5" ht="12.6" customHeight="1" x14ac:dyDescent="0.25">
      <c r="A97" s="173" t="s">
        <v>267</v>
      </c>
      <c r="B97" s="172" t="s">
        <v>256</v>
      </c>
      <c r="C97" s="187"/>
      <c r="D97" s="175"/>
      <c r="E97" s="175"/>
    </row>
    <row r="98" spans="1:5" ht="12.6" customHeight="1" x14ac:dyDescent="0.25">
      <c r="A98" s="173" t="s">
        <v>259</v>
      </c>
      <c r="B98" s="172" t="s">
        <v>256</v>
      </c>
      <c r="C98" s="187"/>
      <c r="D98" s="175"/>
      <c r="E98" s="175"/>
    </row>
    <row r="99" spans="1:5" ht="12.6" customHeight="1" x14ac:dyDescent="0.25">
      <c r="A99" s="173" t="s">
        <v>268</v>
      </c>
      <c r="B99" s="172" t="s">
        <v>256</v>
      </c>
      <c r="C99" s="187"/>
      <c r="D99" s="175"/>
      <c r="E99" s="175"/>
    </row>
    <row r="100" spans="1:5" ht="12.6" customHeight="1" x14ac:dyDescent="0.25">
      <c r="A100" s="251" t="s">
        <v>269</v>
      </c>
      <c r="B100" s="251"/>
      <c r="C100" s="251"/>
      <c r="D100" s="251"/>
      <c r="E100" s="251"/>
    </row>
    <row r="101" spans="1:5" ht="12.6" customHeight="1" x14ac:dyDescent="0.25">
      <c r="A101" s="173" t="s">
        <v>270</v>
      </c>
      <c r="B101" s="172" t="s">
        <v>256</v>
      </c>
      <c r="C101" s="307">
        <v>1</v>
      </c>
      <c r="D101" s="175"/>
      <c r="E101" s="175"/>
    </row>
    <row r="102" spans="1:5" ht="12.6" customHeight="1" x14ac:dyDescent="0.25">
      <c r="A102" s="173" t="s">
        <v>132</v>
      </c>
      <c r="B102" s="172" t="s">
        <v>256</v>
      </c>
      <c r="C102" s="219"/>
      <c r="D102" s="175"/>
      <c r="E102" s="175"/>
    </row>
    <row r="103" spans="1:5" ht="12.6" customHeight="1" x14ac:dyDescent="0.25">
      <c r="A103" s="251" t="s">
        <v>271</v>
      </c>
      <c r="B103" s="251"/>
      <c r="C103" s="251"/>
      <c r="D103" s="251"/>
      <c r="E103" s="251"/>
    </row>
    <row r="104" spans="1:5" ht="12.6" customHeight="1" x14ac:dyDescent="0.25">
      <c r="A104" s="173" t="s">
        <v>272</v>
      </c>
      <c r="B104" s="172" t="s">
        <v>256</v>
      </c>
      <c r="C104" s="187"/>
      <c r="D104" s="175"/>
      <c r="E104" s="175"/>
    </row>
    <row r="105" spans="1:5" ht="12.6" customHeight="1" x14ac:dyDescent="0.25">
      <c r="A105" s="173" t="s">
        <v>273</v>
      </c>
      <c r="B105" s="172" t="s">
        <v>256</v>
      </c>
      <c r="C105" s="187"/>
      <c r="D105" s="175"/>
      <c r="E105" s="175"/>
    </row>
    <row r="106" spans="1:5" ht="12.6" customHeight="1" x14ac:dyDescent="0.25">
      <c r="A106" s="173" t="s">
        <v>274</v>
      </c>
      <c r="B106" s="172" t="s">
        <v>256</v>
      </c>
      <c r="C106" s="187"/>
      <c r="D106" s="175"/>
      <c r="E106" s="175"/>
    </row>
    <row r="107" spans="1:5" ht="21.75" customHeight="1" x14ac:dyDescent="0.25">
      <c r="A107" s="173"/>
      <c r="B107" s="172"/>
      <c r="C107" s="188"/>
      <c r="D107" s="175"/>
      <c r="E107" s="175"/>
    </row>
    <row r="108" spans="1:5" ht="13.5" customHeight="1" x14ac:dyDescent="0.25">
      <c r="A108" s="205" t="s">
        <v>275</v>
      </c>
      <c r="B108" s="206"/>
      <c r="C108" s="206"/>
      <c r="D108" s="206"/>
      <c r="E108" s="206"/>
    </row>
    <row r="109" spans="1:5" ht="13.5" customHeight="1" x14ac:dyDescent="0.25">
      <c r="A109" s="173"/>
      <c r="B109" s="172"/>
      <c r="C109" s="188"/>
      <c r="D109" s="175"/>
      <c r="E109" s="175"/>
    </row>
    <row r="110" spans="1:5" ht="12.6" customHeight="1" x14ac:dyDescent="0.25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" customHeight="1" x14ac:dyDescent="0.25">
      <c r="A111" s="173" t="s">
        <v>278</v>
      </c>
      <c r="B111" s="172" t="s">
        <v>256</v>
      </c>
      <c r="C111" s="308">
        <v>5899</v>
      </c>
      <c r="D111" s="309">
        <v>27923</v>
      </c>
      <c r="E111" s="175"/>
    </row>
    <row r="112" spans="1:5" ht="12.6" customHeight="1" x14ac:dyDescent="0.25">
      <c r="A112" s="173" t="s">
        <v>279</v>
      </c>
      <c r="B112" s="172" t="s">
        <v>256</v>
      </c>
      <c r="C112" s="308"/>
      <c r="D112" s="309"/>
      <c r="E112" s="175"/>
    </row>
    <row r="113" spans="1:5" ht="12.6" customHeight="1" x14ac:dyDescent="0.25">
      <c r="A113" s="173" t="s">
        <v>280</v>
      </c>
      <c r="B113" s="172" t="s">
        <v>256</v>
      </c>
      <c r="C113" s="308"/>
      <c r="D113" s="309"/>
      <c r="E113" s="175"/>
    </row>
    <row r="114" spans="1:5" ht="12.6" customHeight="1" x14ac:dyDescent="0.25">
      <c r="A114" s="173" t="s">
        <v>281</v>
      </c>
      <c r="B114" s="172" t="s">
        <v>256</v>
      </c>
      <c r="C114" s="308">
        <v>845</v>
      </c>
      <c r="D114" s="309">
        <v>1468</v>
      </c>
      <c r="E114" s="175"/>
    </row>
    <row r="115" spans="1:5" ht="12.6" customHeight="1" x14ac:dyDescent="0.25">
      <c r="A115" s="171" t="s">
        <v>282</v>
      </c>
      <c r="B115" s="175"/>
      <c r="C115" s="182" t="s">
        <v>167</v>
      </c>
      <c r="D115" s="175"/>
      <c r="E115" s="175"/>
    </row>
    <row r="116" spans="1:5" ht="12.6" customHeight="1" x14ac:dyDescent="0.25">
      <c r="A116" s="173" t="s">
        <v>283</v>
      </c>
      <c r="B116" s="172" t="s">
        <v>256</v>
      </c>
      <c r="C116" s="187">
        <v>10</v>
      </c>
      <c r="D116" s="175"/>
      <c r="E116" s="175"/>
    </row>
    <row r="117" spans="1:5" ht="12.6" customHeight="1" x14ac:dyDescent="0.25">
      <c r="A117" s="173" t="s">
        <v>284</v>
      </c>
      <c r="B117" s="172" t="s">
        <v>256</v>
      </c>
      <c r="C117" s="187">
        <v>21</v>
      </c>
      <c r="D117" s="175"/>
      <c r="E117" s="175"/>
    </row>
    <row r="118" spans="1:5" ht="12.6" customHeight="1" x14ac:dyDescent="0.25">
      <c r="A118" s="173" t="s">
        <v>1239</v>
      </c>
      <c r="B118" s="172" t="s">
        <v>256</v>
      </c>
      <c r="C118" s="187">
        <v>65</v>
      </c>
      <c r="D118" s="175"/>
      <c r="E118" s="175"/>
    </row>
    <row r="119" spans="1:5" ht="12.6" customHeight="1" x14ac:dyDescent="0.25">
      <c r="A119" s="173" t="s">
        <v>285</v>
      </c>
      <c r="B119" s="172" t="s">
        <v>256</v>
      </c>
      <c r="C119" s="187"/>
      <c r="D119" s="175"/>
      <c r="E119" s="175"/>
    </row>
    <row r="120" spans="1:5" ht="12.6" customHeight="1" x14ac:dyDescent="0.25">
      <c r="A120" s="173" t="s">
        <v>286</v>
      </c>
      <c r="B120" s="172" t="s">
        <v>256</v>
      </c>
      <c r="C120" s="187">
        <v>14</v>
      </c>
      <c r="D120" s="175"/>
      <c r="E120" s="175"/>
    </row>
    <row r="121" spans="1:5" ht="12.6" customHeight="1" x14ac:dyDescent="0.25">
      <c r="A121" s="173" t="s">
        <v>287</v>
      </c>
      <c r="B121" s="172" t="s">
        <v>256</v>
      </c>
      <c r="C121" s="187"/>
      <c r="D121" s="175"/>
      <c r="E121" s="175"/>
    </row>
    <row r="122" spans="1:5" ht="12.6" customHeight="1" x14ac:dyDescent="0.25">
      <c r="A122" s="173" t="s">
        <v>97</v>
      </c>
      <c r="B122" s="172" t="s">
        <v>256</v>
      </c>
      <c r="C122" s="187"/>
      <c r="D122" s="175"/>
      <c r="E122" s="175"/>
    </row>
    <row r="123" spans="1:5" ht="12.6" customHeight="1" x14ac:dyDescent="0.25">
      <c r="A123" s="173" t="s">
        <v>288</v>
      </c>
      <c r="B123" s="172" t="s">
        <v>256</v>
      </c>
      <c r="C123" s="187"/>
      <c r="D123" s="175"/>
      <c r="E123" s="175"/>
    </row>
    <row r="124" spans="1:5" ht="12.6" customHeight="1" x14ac:dyDescent="0.25">
      <c r="A124" s="173" t="s">
        <v>289</v>
      </c>
      <c r="B124" s="172"/>
      <c r="C124" s="187"/>
      <c r="D124" s="175"/>
      <c r="E124" s="175"/>
    </row>
    <row r="125" spans="1:5" ht="12.6" customHeight="1" x14ac:dyDescent="0.25">
      <c r="A125" s="173" t="s">
        <v>280</v>
      </c>
      <c r="B125" s="172" t="s">
        <v>256</v>
      </c>
      <c r="C125" s="187"/>
      <c r="D125" s="175"/>
      <c r="E125" s="175"/>
    </row>
    <row r="126" spans="1:5" ht="12.6" customHeight="1" x14ac:dyDescent="0.25">
      <c r="A126" s="173" t="s">
        <v>290</v>
      </c>
      <c r="B126" s="172" t="s">
        <v>256</v>
      </c>
      <c r="C126" s="187">
        <v>5</v>
      </c>
      <c r="D126" s="175"/>
      <c r="E126" s="175"/>
    </row>
    <row r="127" spans="1:5" ht="12.6" customHeight="1" x14ac:dyDescent="0.25">
      <c r="A127" s="173" t="s">
        <v>291</v>
      </c>
      <c r="B127" s="175"/>
      <c r="C127" s="189"/>
      <c r="D127" s="175"/>
      <c r="E127" s="175">
        <f>SUM(C116:C126)</f>
        <v>115</v>
      </c>
    </row>
    <row r="128" spans="1:5" ht="12.6" customHeight="1" x14ac:dyDescent="0.25">
      <c r="A128" s="173" t="s">
        <v>292</v>
      </c>
      <c r="B128" s="172" t="s">
        <v>256</v>
      </c>
      <c r="C128" s="187">
        <v>133</v>
      </c>
      <c r="D128" s="175"/>
      <c r="E128" s="175"/>
    </row>
    <row r="129" spans="1:6" ht="12.6" customHeight="1" x14ac:dyDescent="0.25">
      <c r="A129" s="173" t="s">
        <v>293</v>
      </c>
      <c r="B129" s="172" t="s">
        <v>256</v>
      </c>
      <c r="C129" s="187">
        <v>16</v>
      </c>
      <c r="D129" s="175"/>
      <c r="E129" s="175"/>
    </row>
    <row r="130" spans="1:6" ht="12.6" customHeight="1" x14ac:dyDescent="0.25">
      <c r="A130" s="173"/>
      <c r="B130" s="175"/>
      <c r="C130" s="189"/>
      <c r="D130" s="175"/>
      <c r="E130" s="175"/>
    </row>
    <row r="131" spans="1:6" ht="12.6" customHeight="1" x14ac:dyDescent="0.25">
      <c r="A131" s="173" t="s">
        <v>294</v>
      </c>
      <c r="B131" s="172" t="s">
        <v>256</v>
      </c>
      <c r="C131" s="187"/>
      <c r="D131" s="175"/>
      <c r="E131" s="175"/>
    </row>
    <row r="132" spans="1:6" ht="12.6" customHeight="1" x14ac:dyDescent="0.25">
      <c r="A132" s="173"/>
      <c r="B132" s="173"/>
      <c r="C132" s="189"/>
      <c r="D132" s="175"/>
      <c r="E132" s="175"/>
    </row>
    <row r="133" spans="1:6" ht="12.6" customHeight="1" x14ac:dyDescent="0.25">
      <c r="A133" s="173"/>
      <c r="B133" s="173"/>
      <c r="C133" s="189"/>
      <c r="D133" s="175"/>
      <c r="E133" s="175"/>
    </row>
    <row r="134" spans="1:6" ht="12.6" customHeight="1" x14ac:dyDescent="0.25">
      <c r="A134" s="173"/>
      <c r="B134" s="173"/>
      <c r="C134" s="189"/>
      <c r="D134" s="175"/>
      <c r="E134" s="175"/>
    </row>
    <row r="135" spans="1:6" ht="18" customHeight="1" x14ac:dyDescent="0.25">
      <c r="A135" s="173"/>
      <c r="B135" s="173"/>
      <c r="C135" s="189"/>
      <c r="D135" s="175"/>
      <c r="E135" s="175"/>
    </row>
    <row r="136" spans="1:6" ht="12.6" customHeight="1" x14ac:dyDescent="0.25">
      <c r="A136" s="206" t="s">
        <v>1240</v>
      </c>
      <c r="B136" s="205"/>
      <c r="C136" s="205"/>
      <c r="D136" s="205"/>
      <c r="E136" s="205"/>
    </row>
    <row r="137" spans="1:6" ht="12.6" customHeight="1" x14ac:dyDescent="0.25">
      <c r="A137" s="252" t="s">
        <v>295</v>
      </c>
      <c r="B137" s="176" t="s">
        <v>296</v>
      </c>
      <c r="C137" s="190" t="s">
        <v>297</v>
      </c>
      <c r="D137" s="176" t="s">
        <v>132</v>
      </c>
      <c r="E137" s="176" t="s">
        <v>203</v>
      </c>
    </row>
    <row r="138" spans="1:6" ht="12.6" customHeight="1" x14ac:dyDescent="0.3">
      <c r="A138" s="173" t="s">
        <v>277</v>
      </c>
      <c r="B138" s="174">
        <v>2836</v>
      </c>
      <c r="C138" s="187">
        <v>1606</v>
      </c>
      <c r="D138" s="174">
        <f>5899-B138-C138</f>
        <v>1457</v>
      </c>
      <c r="E138" s="175">
        <f>SUM(B138:D138)</f>
        <v>5899</v>
      </c>
      <c r="F138" s="302"/>
    </row>
    <row r="139" spans="1:6" ht="12.6" customHeight="1" x14ac:dyDescent="0.3">
      <c r="A139" s="173" t="s">
        <v>215</v>
      </c>
      <c r="B139" s="174">
        <v>15610</v>
      </c>
      <c r="C139" s="187">
        <v>6694</v>
      </c>
      <c r="D139" s="174">
        <f>27923-B139-C139</f>
        <v>5619</v>
      </c>
      <c r="E139" s="175">
        <f>SUM(B139:D139)</f>
        <v>27923</v>
      </c>
      <c r="F139" s="302"/>
    </row>
    <row r="140" spans="1:6" ht="12.6" customHeight="1" x14ac:dyDescent="0.25">
      <c r="A140" s="173" t="s">
        <v>298</v>
      </c>
      <c r="B140" s="174"/>
      <c r="C140" s="174"/>
      <c r="D140" s="174"/>
      <c r="E140" s="175">
        <f>SUM(B140:D140)</f>
        <v>0</v>
      </c>
    </row>
    <row r="141" spans="1:6" ht="12.6" customHeight="1" x14ac:dyDescent="0.3">
      <c r="A141" s="173" t="s">
        <v>245</v>
      </c>
      <c r="B141" s="174">
        <v>217741666</v>
      </c>
      <c r="C141" s="187">
        <v>96323454</v>
      </c>
      <c r="D141" s="174">
        <f>403341854-B141-C141</f>
        <v>89276734</v>
      </c>
      <c r="E141" s="175">
        <f>SUM(B141:D141)</f>
        <v>403341854</v>
      </c>
      <c r="F141" s="302"/>
    </row>
    <row r="142" spans="1:6" ht="12.6" customHeight="1" x14ac:dyDescent="0.3">
      <c r="A142" s="173" t="s">
        <v>246</v>
      </c>
      <c r="B142" s="174">
        <f>200520011+37244+500129+18725498</f>
        <v>219782882</v>
      </c>
      <c r="C142" s="187">
        <f>134684840+104089+578272+13745469</f>
        <v>149112670</v>
      </c>
      <c r="D142" s="174">
        <f>552260961+173036+2122579+61061539-B142-C142</f>
        <v>246722563</v>
      </c>
      <c r="E142" s="175">
        <f>SUM(B142:D142)</f>
        <v>615618115</v>
      </c>
      <c r="F142" s="302"/>
    </row>
    <row r="143" spans="1:6" ht="12.6" customHeight="1" x14ac:dyDescent="0.25">
      <c r="A143" s="252" t="s">
        <v>299</v>
      </c>
      <c r="B143" s="176" t="s">
        <v>296</v>
      </c>
      <c r="C143" s="190" t="s">
        <v>297</v>
      </c>
      <c r="D143" s="176" t="s">
        <v>132</v>
      </c>
      <c r="E143" s="176" t="s">
        <v>203</v>
      </c>
    </row>
    <row r="144" spans="1:6" ht="12.6" customHeight="1" x14ac:dyDescent="0.25">
      <c r="A144" s="173" t="s">
        <v>277</v>
      </c>
      <c r="B144" s="174"/>
      <c r="C144" s="187"/>
      <c r="D144" s="174"/>
      <c r="E144" s="175">
        <f>SUM(B144:D144)</f>
        <v>0</v>
      </c>
    </row>
    <row r="145" spans="1:5" ht="12.6" customHeight="1" x14ac:dyDescent="0.25">
      <c r="A145" s="173" t="s">
        <v>215</v>
      </c>
      <c r="B145" s="174"/>
      <c r="C145" s="187"/>
      <c r="D145" s="174"/>
      <c r="E145" s="175">
        <f>SUM(B145:D145)</f>
        <v>0</v>
      </c>
    </row>
    <row r="146" spans="1:5" ht="12.6" customHeight="1" x14ac:dyDescent="0.25">
      <c r="A146" s="173" t="s">
        <v>298</v>
      </c>
      <c r="B146" s="174"/>
      <c r="C146" s="187"/>
      <c r="D146" s="174"/>
      <c r="E146" s="175">
        <f>SUM(B146:D146)</f>
        <v>0</v>
      </c>
    </row>
    <row r="147" spans="1:5" ht="12.6" customHeight="1" x14ac:dyDescent="0.25">
      <c r="A147" s="173" t="s">
        <v>245</v>
      </c>
      <c r="B147" s="174"/>
      <c r="C147" s="187"/>
      <c r="D147" s="174"/>
      <c r="E147" s="175">
        <f>SUM(B147:D147)</f>
        <v>0</v>
      </c>
    </row>
    <row r="148" spans="1:5" ht="12.6" customHeight="1" x14ac:dyDescent="0.25">
      <c r="A148" s="173" t="s">
        <v>246</v>
      </c>
      <c r="B148" s="174"/>
      <c r="C148" s="187"/>
      <c r="D148" s="174"/>
      <c r="E148" s="175">
        <f>SUM(B148:D148)</f>
        <v>0</v>
      </c>
    </row>
    <row r="149" spans="1:5" ht="12.6" customHeight="1" x14ac:dyDescent="0.25">
      <c r="A149" s="252" t="s">
        <v>300</v>
      </c>
      <c r="B149" s="176" t="s">
        <v>296</v>
      </c>
      <c r="C149" s="190" t="s">
        <v>297</v>
      </c>
      <c r="D149" s="176" t="s">
        <v>132</v>
      </c>
      <c r="E149" s="176" t="s">
        <v>203</v>
      </c>
    </row>
    <row r="150" spans="1:5" ht="12.6" customHeight="1" x14ac:dyDescent="0.25">
      <c r="A150" s="173" t="s">
        <v>277</v>
      </c>
      <c r="B150" s="174"/>
      <c r="C150" s="187"/>
      <c r="D150" s="174"/>
      <c r="E150" s="175">
        <f>SUM(B150:D150)</f>
        <v>0</v>
      </c>
    </row>
    <row r="151" spans="1:5" ht="12.6" customHeight="1" x14ac:dyDescent="0.25">
      <c r="A151" s="173" t="s">
        <v>215</v>
      </c>
      <c r="B151" s="174"/>
      <c r="C151" s="187"/>
      <c r="D151" s="174"/>
      <c r="E151" s="175">
        <f>SUM(B151:D151)</f>
        <v>0</v>
      </c>
    </row>
    <row r="152" spans="1:5" ht="12.6" customHeight="1" x14ac:dyDescent="0.25">
      <c r="A152" s="173" t="s">
        <v>298</v>
      </c>
      <c r="B152" s="174"/>
      <c r="C152" s="187"/>
      <c r="D152" s="174"/>
      <c r="E152" s="175">
        <f>SUM(B152:D152)</f>
        <v>0</v>
      </c>
    </row>
    <row r="153" spans="1:5" ht="12.6" customHeight="1" x14ac:dyDescent="0.25">
      <c r="A153" s="173" t="s">
        <v>245</v>
      </c>
      <c r="B153" s="174"/>
      <c r="C153" s="187"/>
      <c r="D153" s="174"/>
      <c r="E153" s="175">
        <f>SUM(B153:D153)</f>
        <v>0</v>
      </c>
    </row>
    <row r="154" spans="1:5" ht="12.6" customHeight="1" x14ac:dyDescent="0.25">
      <c r="A154" s="173" t="s">
        <v>246</v>
      </c>
      <c r="B154" s="174"/>
      <c r="C154" s="187"/>
      <c r="D154" s="174"/>
      <c r="E154" s="175">
        <f>SUM(B154:D154)</f>
        <v>0</v>
      </c>
    </row>
    <row r="155" spans="1:5" ht="12.6" customHeight="1" x14ac:dyDescent="0.25">
      <c r="A155" s="177"/>
      <c r="B155" s="177"/>
      <c r="C155" s="191"/>
      <c r="D155" s="178"/>
      <c r="E155" s="175"/>
    </row>
    <row r="156" spans="1:5" ht="12.6" customHeight="1" x14ac:dyDescent="0.25">
      <c r="A156" s="252" t="s">
        <v>301</v>
      </c>
      <c r="B156" s="176" t="s">
        <v>302</v>
      </c>
      <c r="C156" s="190" t="s">
        <v>303</v>
      </c>
      <c r="D156" s="175"/>
      <c r="E156" s="175"/>
    </row>
    <row r="157" spans="1:5" ht="12.6" customHeight="1" x14ac:dyDescent="0.25">
      <c r="A157" s="177" t="s">
        <v>304</v>
      </c>
      <c r="B157" s="174"/>
      <c r="C157" s="174"/>
      <c r="D157" s="175"/>
      <c r="E157" s="175"/>
    </row>
    <row r="158" spans="1:5" ht="12.6" customHeight="1" x14ac:dyDescent="0.25">
      <c r="A158" s="177"/>
      <c r="B158" s="178"/>
      <c r="C158" s="191"/>
      <c r="D158" s="175"/>
      <c r="E158" s="175"/>
    </row>
    <row r="159" spans="1:5" ht="12.6" customHeight="1" x14ac:dyDescent="0.25">
      <c r="A159" s="177"/>
      <c r="B159" s="177"/>
      <c r="C159" s="191"/>
      <c r="D159" s="178"/>
      <c r="E159" s="175"/>
    </row>
    <row r="160" spans="1:5" ht="12.6" customHeight="1" x14ac:dyDescent="0.25">
      <c r="A160" s="177"/>
      <c r="B160" s="177"/>
      <c r="C160" s="191"/>
      <c r="D160" s="178"/>
      <c r="E160" s="175"/>
    </row>
    <row r="161" spans="1:6" ht="12.6" customHeight="1" x14ac:dyDescent="0.25">
      <c r="A161" s="177"/>
      <c r="B161" s="177"/>
      <c r="C161" s="191"/>
      <c r="D161" s="178"/>
      <c r="E161" s="175"/>
    </row>
    <row r="162" spans="1:6" ht="21.75" customHeight="1" x14ac:dyDescent="0.25">
      <c r="A162" s="177"/>
      <c r="B162" s="177"/>
      <c r="C162" s="191"/>
      <c r="D162" s="178"/>
      <c r="E162" s="175"/>
    </row>
    <row r="163" spans="1:6" ht="11.4" customHeight="1" x14ac:dyDescent="0.25">
      <c r="A163" s="205" t="s">
        <v>305</v>
      </c>
      <c r="B163" s="206"/>
      <c r="C163" s="206"/>
      <c r="D163" s="206"/>
      <c r="E163" s="206"/>
    </row>
    <row r="164" spans="1:6" ht="11.4" customHeight="1" x14ac:dyDescent="0.25">
      <c r="A164" s="251" t="s">
        <v>306</v>
      </c>
      <c r="B164" s="251"/>
      <c r="C164" s="251"/>
      <c r="D164" s="251"/>
      <c r="E164" s="251"/>
    </row>
    <row r="165" spans="1:6" ht="11.4" customHeight="1" x14ac:dyDescent="0.3">
      <c r="A165" s="173" t="s">
        <v>307</v>
      </c>
      <c r="B165" s="172" t="s">
        <v>256</v>
      </c>
      <c r="C165" s="187">
        <f>4149405+1514358</f>
        <v>5663763</v>
      </c>
      <c r="D165" s="175"/>
      <c r="E165" s="175"/>
      <c r="F165" s="301"/>
    </row>
    <row r="166" spans="1:6" ht="11.4" customHeight="1" x14ac:dyDescent="0.3">
      <c r="A166" s="173" t="s">
        <v>308</v>
      </c>
      <c r="B166" s="172" t="s">
        <v>256</v>
      </c>
      <c r="C166" s="187">
        <f>112335+25264</f>
        <v>137599</v>
      </c>
      <c r="D166" s="175"/>
      <c r="E166" s="175"/>
      <c r="F166" s="301"/>
    </row>
    <row r="167" spans="1:6" ht="11.4" customHeight="1" x14ac:dyDescent="0.25">
      <c r="A167" s="177" t="s">
        <v>309</v>
      </c>
      <c r="B167" s="172" t="s">
        <v>256</v>
      </c>
      <c r="C167" s="308">
        <f>1012690+60464-64295</f>
        <v>1008859</v>
      </c>
      <c r="D167" s="175"/>
      <c r="E167" s="175"/>
    </row>
    <row r="168" spans="1:6" ht="12" customHeight="1" x14ac:dyDescent="0.3">
      <c r="A168" s="173" t="s">
        <v>310</v>
      </c>
      <c r="B168" s="172" t="s">
        <v>256</v>
      </c>
      <c r="C168" s="187">
        <f>8298180-849637+448932-238218+66332-65767+2338599</f>
        <v>9998421</v>
      </c>
      <c r="D168" s="175"/>
      <c r="E168" s="175"/>
      <c r="F168" s="301"/>
    </row>
    <row r="169" spans="1:6" ht="11.4" customHeight="1" x14ac:dyDescent="0.3">
      <c r="A169" s="173" t="s">
        <v>311</v>
      </c>
      <c r="B169" s="172" t="s">
        <v>256</v>
      </c>
      <c r="C169" s="187">
        <f>115663-76937+29254</f>
        <v>67980</v>
      </c>
      <c r="D169" s="175"/>
      <c r="E169" s="175"/>
      <c r="F169" s="301"/>
    </row>
    <row r="170" spans="1:6" ht="11.4" customHeight="1" x14ac:dyDescent="0.3">
      <c r="A170" s="173" t="s">
        <v>312</v>
      </c>
      <c r="B170" s="172" t="s">
        <v>256</v>
      </c>
      <c r="C170" s="187">
        <f>586784+427423+2074419+1198959</f>
        <v>4287585</v>
      </c>
      <c r="D170" s="175"/>
      <c r="E170" s="175"/>
      <c r="F170" s="301"/>
    </row>
    <row r="171" spans="1:6" ht="11.4" customHeight="1" x14ac:dyDescent="0.25">
      <c r="A171" s="173" t="s">
        <v>313</v>
      </c>
      <c r="B171" s="172" t="s">
        <v>256</v>
      </c>
      <c r="C171" s="187">
        <f>16407182+5464966-SUM(C165:C170)</f>
        <v>707941</v>
      </c>
      <c r="D171" s="175"/>
      <c r="E171" s="175"/>
    </row>
    <row r="172" spans="1:6" ht="11.4" customHeight="1" x14ac:dyDescent="0.25">
      <c r="A172" s="173" t="s">
        <v>313</v>
      </c>
      <c r="B172" s="172" t="s">
        <v>256</v>
      </c>
      <c r="C172" s="187"/>
      <c r="D172" s="175"/>
      <c r="E172" s="175"/>
    </row>
    <row r="173" spans="1:6" ht="12" customHeight="1" x14ac:dyDescent="0.3">
      <c r="A173" s="173" t="s">
        <v>203</v>
      </c>
      <c r="B173" s="175"/>
      <c r="C173" s="189"/>
      <c r="D173" s="175">
        <f>SUM(C165:C172)</f>
        <v>21872148</v>
      </c>
      <c r="E173" s="175"/>
      <c r="F173" s="301"/>
    </row>
    <row r="174" spans="1:6" ht="11.4" customHeight="1" x14ac:dyDescent="0.25">
      <c r="A174" s="251" t="s">
        <v>314</v>
      </c>
      <c r="B174" s="251"/>
      <c r="C174" s="251"/>
      <c r="D174" s="251"/>
      <c r="E174" s="251"/>
    </row>
    <row r="175" spans="1:6" ht="11.4" customHeight="1" x14ac:dyDescent="0.3">
      <c r="A175" s="173" t="s">
        <v>315</v>
      </c>
      <c r="B175" s="172" t="s">
        <v>256</v>
      </c>
      <c r="C175" s="187">
        <f>694535+395933+89029+2427322+722598+123309</f>
        <v>4452726</v>
      </c>
      <c r="D175" s="175"/>
      <c r="E175" s="175"/>
      <c r="F175" s="301"/>
    </row>
    <row r="176" spans="1:6" ht="11.4" customHeight="1" x14ac:dyDescent="0.25">
      <c r="A176" s="173" t="s">
        <v>316</v>
      </c>
      <c r="B176" s="172" t="s">
        <v>256</v>
      </c>
      <c r="C176" s="187">
        <f>353338+142841+8540+108164+1</f>
        <v>612884</v>
      </c>
      <c r="D176" s="175"/>
      <c r="E176" s="175"/>
    </row>
    <row r="177" spans="1:6" ht="11.4" customHeight="1" x14ac:dyDescent="0.25">
      <c r="A177" s="173" t="s">
        <v>203</v>
      </c>
      <c r="B177" s="175"/>
      <c r="C177" s="189"/>
      <c r="D177" s="175">
        <f>SUM(C175:C176)</f>
        <v>5065610</v>
      </c>
      <c r="E177" s="175"/>
    </row>
    <row r="178" spans="1:6" ht="11.4" customHeight="1" x14ac:dyDescent="0.25">
      <c r="A178" s="251" t="s">
        <v>317</v>
      </c>
      <c r="B178" s="251"/>
      <c r="C178" s="251"/>
      <c r="D178" s="251"/>
      <c r="E178" s="251"/>
    </row>
    <row r="179" spans="1:6" ht="11.4" customHeight="1" x14ac:dyDescent="0.3">
      <c r="A179" s="173" t="s">
        <v>318</v>
      </c>
      <c r="B179" s="172" t="s">
        <v>256</v>
      </c>
      <c r="C179" s="187">
        <f>1786858-52264+137856+501006-6848</f>
        <v>2366608</v>
      </c>
      <c r="D179" s="175"/>
      <c r="E179" s="175"/>
      <c r="F179" s="301"/>
    </row>
    <row r="180" spans="1:6" ht="11.4" customHeight="1" x14ac:dyDescent="0.25">
      <c r="A180" s="173" t="s">
        <v>319</v>
      </c>
      <c r="B180" s="172" t="s">
        <v>256</v>
      </c>
      <c r="C180" s="187">
        <f>258683+13447-2</f>
        <v>272128</v>
      </c>
      <c r="D180" s="175"/>
      <c r="E180" s="175"/>
    </row>
    <row r="181" spans="1:6" ht="11.4" customHeight="1" x14ac:dyDescent="0.25">
      <c r="A181" s="173" t="s">
        <v>203</v>
      </c>
      <c r="B181" s="175"/>
      <c r="C181" s="189"/>
      <c r="D181" s="175">
        <f>SUM(C179:C180)</f>
        <v>2638736</v>
      </c>
      <c r="E181" s="175"/>
    </row>
    <row r="182" spans="1:6" ht="11.4" customHeight="1" x14ac:dyDescent="0.25">
      <c r="A182" s="251" t="s">
        <v>320</v>
      </c>
      <c r="B182" s="251"/>
      <c r="C182" s="251"/>
      <c r="D182" s="251"/>
      <c r="E182" s="251"/>
    </row>
    <row r="183" spans="1:6" ht="11.4" customHeight="1" x14ac:dyDescent="0.25">
      <c r="A183" s="173" t="s">
        <v>321</v>
      </c>
      <c r="B183" s="172" t="s">
        <v>256</v>
      </c>
      <c r="C183" s="187">
        <f>64627+8428+15743+3543</f>
        <v>92341</v>
      </c>
      <c r="D183" s="175"/>
      <c r="E183" s="175"/>
    </row>
    <row r="184" spans="1:6" ht="11.4" customHeight="1" x14ac:dyDescent="0.3">
      <c r="A184" s="173" t="s">
        <v>322</v>
      </c>
      <c r="B184" s="172" t="s">
        <v>256</v>
      </c>
      <c r="C184" s="187">
        <f>7532116+339440</f>
        <v>7871556</v>
      </c>
      <c r="D184" s="175"/>
      <c r="E184" s="175"/>
      <c r="F184" s="301"/>
    </row>
    <row r="185" spans="1:6" ht="11.4" customHeight="1" x14ac:dyDescent="0.25">
      <c r="A185" s="173" t="s">
        <v>132</v>
      </c>
      <c r="B185" s="172" t="s">
        <v>256</v>
      </c>
      <c r="C185" s="187"/>
      <c r="D185" s="175"/>
      <c r="E185" s="175"/>
    </row>
    <row r="186" spans="1:6" ht="11.4" customHeight="1" x14ac:dyDescent="0.25">
      <c r="A186" s="173" t="s">
        <v>203</v>
      </c>
      <c r="B186" s="175"/>
      <c r="C186" s="189"/>
      <c r="D186" s="175">
        <f>SUM(C183:C185)</f>
        <v>7963897</v>
      </c>
      <c r="E186" s="175"/>
    </row>
    <row r="187" spans="1:6" ht="11.4" customHeight="1" x14ac:dyDescent="0.25">
      <c r="A187" s="251" t="s">
        <v>323</v>
      </c>
      <c r="B187" s="251"/>
      <c r="C187" s="251"/>
      <c r="D187" s="251"/>
      <c r="E187" s="251"/>
    </row>
    <row r="188" spans="1:6" ht="11.4" customHeight="1" x14ac:dyDescent="0.25">
      <c r="A188" s="173" t="s">
        <v>324</v>
      </c>
      <c r="B188" s="172" t="s">
        <v>256</v>
      </c>
      <c r="C188" s="187"/>
      <c r="D188" s="175"/>
      <c r="E188" s="175"/>
    </row>
    <row r="189" spans="1:6" ht="11.4" customHeight="1" x14ac:dyDescent="0.25">
      <c r="A189" s="173" t="s">
        <v>325</v>
      </c>
      <c r="B189" s="172" t="s">
        <v>256</v>
      </c>
      <c r="C189" s="187">
        <f>5005099+22018</f>
        <v>5027117</v>
      </c>
      <c r="D189" s="175"/>
      <c r="E189" s="175"/>
    </row>
    <row r="190" spans="1:6" ht="11.4" customHeight="1" x14ac:dyDescent="0.25">
      <c r="A190" s="173" t="s">
        <v>203</v>
      </c>
      <c r="B190" s="175"/>
      <c r="C190" s="189"/>
      <c r="D190" s="175">
        <f>SUM(C188:C189)</f>
        <v>5027117</v>
      </c>
      <c r="E190" s="175"/>
    </row>
    <row r="191" spans="1:6" ht="18" customHeight="1" x14ac:dyDescent="0.25">
      <c r="A191" s="173"/>
      <c r="B191" s="175"/>
      <c r="C191" s="189"/>
      <c r="D191" s="175"/>
      <c r="E191" s="175"/>
    </row>
    <row r="192" spans="1:6" ht="12.6" customHeight="1" x14ac:dyDescent="0.25">
      <c r="A192" s="206" t="s">
        <v>326</v>
      </c>
      <c r="B192" s="206"/>
      <c r="C192" s="206"/>
      <c r="D192" s="206"/>
      <c r="E192" s="206"/>
    </row>
    <row r="193" spans="1:8" ht="12.6" customHeight="1" x14ac:dyDescent="0.25">
      <c r="A193" s="205" t="s">
        <v>327</v>
      </c>
      <c r="B193" s="206"/>
      <c r="C193" s="206"/>
      <c r="D193" s="206"/>
      <c r="E193" s="206"/>
    </row>
    <row r="194" spans="1:8" ht="12.6" customHeight="1" x14ac:dyDescent="0.25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" customHeight="1" x14ac:dyDescent="0.25">
      <c r="A195" s="173" t="s">
        <v>332</v>
      </c>
      <c r="B195" s="174">
        <v>7414345.5499999998</v>
      </c>
      <c r="C195" s="187"/>
      <c r="D195" s="174"/>
      <c r="E195" s="175">
        <f t="shared" ref="E195:E203" si="10">SUM(B195:C195)-D195</f>
        <v>7414345.5499999998</v>
      </c>
    </row>
    <row r="196" spans="1:8" ht="12.6" customHeight="1" x14ac:dyDescent="0.25">
      <c r="A196" s="173" t="s">
        <v>333</v>
      </c>
      <c r="B196" s="174">
        <v>1128574.1199999999</v>
      </c>
      <c r="C196" s="187"/>
      <c r="D196" s="174"/>
      <c r="E196" s="175">
        <f t="shared" si="10"/>
        <v>1128574.1199999999</v>
      </c>
    </row>
    <row r="197" spans="1:8" ht="12.6" customHeight="1" x14ac:dyDescent="0.25">
      <c r="A197" s="173" t="s">
        <v>334</v>
      </c>
      <c r="B197" s="309">
        <f>93535040.25</f>
        <v>93535040.25</v>
      </c>
      <c r="C197" s="308"/>
      <c r="D197" s="174"/>
      <c r="E197" s="175">
        <f t="shared" si="10"/>
        <v>93535040.25</v>
      </c>
    </row>
    <row r="198" spans="1:8" ht="12.6" customHeight="1" x14ac:dyDescent="0.25">
      <c r="A198" s="173" t="s">
        <v>335</v>
      </c>
      <c r="B198" s="309">
        <f>30911226.05+48363</f>
        <v>30959589.050000001</v>
      </c>
      <c r="C198" s="308">
        <f>102021.7+269328.48+313716</f>
        <v>685066.17999999993</v>
      </c>
      <c r="D198" s="174"/>
      <c r="E198" s="175">
        <f t="shared" si="10"/>
        <v>31644655.23</v>
      </c>
    </row>
    <row r="199" spans="1:8" ht="12.6" customHeight="1" x14ac:dyDescent="0.25">
      <c r="A199" s="173" t="s">
        <v>336</v>
      </c>
      <c r="B199" s="309">
        <f>2258057.68+237274</f>
        <v>2495331.6800000002</v>
      </c>
      <c r="C199" s="308">
        <f>-645.44+21198</f>
        <v>20552.560000000001</v>
      </c>
      <c r="D199" s="174"/>
      <c r="E199" s="175">
        <f t="shared" si="10"/>
        <v>2515884.2400000002</v>
      </c>
    </row>
    <row r="200" spans="1:8" ht="12.6" customHeight="1" x14ac:dyDescent="0.25">
      <c r="A200" s="173" t="s">
        <v>337</v>
      </c>
      <c r="B200" s="309">
        <f>63938836.25+11910163</f>
        <v>75848999.25</v>
      </c>
      <c r="C200" s="308">
        <f>2208774+546816-4</f>
        <v>2755586</v>
      </c>
      <c r="D200" s="174">
        <f>39410+320+48918</f>
        <v>88648</v>
      </c>
      <c r="E200" s="175">
        <f t="shared" si="10"/>
        <v>78515937.25</v>
      </c>
    </row>
    <row r="201" spans="1:8" ht="12.6" customHeight="1" x14ac:dyDescent="0.25">
      <c r="A201" s="173" t="s">
        <v>338</v>
      </c>
      <c r="B201" s="174">
        <v>0</v>
      </c>
      <c r="C201" s="187"/>
      <c r="D201" s="174"/>
      <c r="E201" s="175">
        <f t="shared" si="10"/>
        <v>0</v>
      </c>
    </row>
    <row r="202" spans="1:8" ht="12.6" customHeight="1" x14ac:dyDescent="0.25">
      <c r="A202" s="173" t="s">
        <v>339</v>
      </c>
      <c r="B202" s="174">
        <f>1424.12+5947491</f>
        <v>5948915.1200000001</v>
      </c>
      <c r="C202" s="187">
        <f>466922+9463+770315</f>
        <v>1246700</v>
      </c>
      <c r="D202" s="174">
        <v>9516</v>
      </c>
      <c r="E202" s="175">
        <f t="shared" si="10"/>
        <v>7186099.1200000001</v>
      </c>
    </row>
    <row r="203" spans="1:8" ht="12.6" customHeight="1" x14ac:dyDescent="0.25">
      <c r="A203" s="173" t="s">
        <v>340</v>
      </c>
      <c r="B203" s="174">
        <f>3193954.05+1051867+74482</f>
        <v>4320303.05</v>
      </c>
      <c r="C203" s="187">
        <f>5037926-3017271-979650-47238</f>
        <v>993767</v>
      </c>
      <c r="D203" s="174"/>
      <c r="E203" s="175">
        <f t="shared" si="10"/>
        <v>5314070.05</v>
      </c>
    </row>
    <row r="204" spans="1:8" ht="12.6" customHeight="1" x14ac:dyDescent="0.25">
      <c r="A204" s="173" t="s">
        <v>203</v>
      </c>
      <c r="B204" s="175">
        <f>SUM(B195:B203)</f>
        <v>221651098.07000002</v>
      </c>
      <c r="C204" s="189">
        <f>SUM(C195:C203)</f>
        <v>5701671.7400000002</v>
      </c>
      <c r="D204" s="175">
        <f>SUM(D195:D203)</f>
        <v>98164</v>
      </c>
      <c r="E204" s="175">
        <f>SUM(E195:E203)</f>
        <v>227254605.81000003</v>
      </c>
    </row>
    <row r="205" spans="1:8" ht="12.6" customHeight="1" x14ac:dyDescent="0.25">
      <c r="A205" s="173"/>
      <c r="B205" s="173"/>
      <c r="C205" s="189"/>
      <c r="D205" s="175"/>
      <c r="E205" s="175"/>
    </row>
    <row r="206" spans="1:8" ht="12.6" customHeight="1" x14ac:dyDescent="0.25">
      <c r="A206" s="205" t="s">
        <v>341</v>
      </c>
      <c r="B206" s="205"/>
      <c r="C206" s="205"/>
      <c r="D206" s="205"/>
      <c r="E206" s="205"/>
    </row>
    <row r="207" spans="1:8" ht="12.6" customHeight="1" x14ac:dyDescent="0.25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3"/>
    </row>
    <row r="208" spans="1:8" ht="12.6" customHeight="1" x14ac:dyDescent="0.25">
      <c r="A208" s="173" t="s">
        <v>332</v>
      </c>
      <c r="B208" s="178"/>
      <c r="C208" s="191"/>
      <c r="D208" s="178"/>
      <c r="E208" s="175"/>
      <c r="H208" s="253"/>
    </row>
    <row r="209" spans="1:8" ht="12.6" customHeight="1" x14ac:dyDescent="0.25">
      <c r="A209" s="173" t="s">
        <v>333</v>
      </c>
      <c r="B209" s="174">
        <v>178612.32</v>
      </c>
      <c r="C209" s="187">
        <v>70483</v>
      </c>
      <c r="D209" s="174"/>
      <c r="E209" s="175">
        <f t="shared" ref="E209:E216" si="11">SUM(B209:C209)-D209</f>
        <v>249095.32</v>
      </c>
      <c r="H209" s="253"/>
    </row>
    <row r="210" spans="1:8" ht="12.6" customHeight="1" x14ac:dyDescent="0.25">
      <c r="A210" s="173" t="s">
        <v>334</v>
      </c>
      <c r="B210" s="309">
        <f>17537897.97</f>
        <v>17537897.969999999</v>
      </c>
      <c r="C210" s="308">
        <f>3340552</f>
        <v>3340552</v>
      </c>
      <c r="D210" s="174"/>
      <c r="E210" s="175">
        <f t="shared" si="11"/>
        <v>20878449.969999999</v>
      </c>
      <c r="H210" s="253"/>
    </row>
    <row r="211" spans="1:8" ht="12.6" customHeight="1" x14ac:dyDescent="0.25">
      <c r="A211" s="173" t="s">
        <v>335</v>
      </c>
      <c r="B211" s="309">
        <f>3560983.22+7857</f>
        <v>3568840.22</v>
      </c>
      <c r="C211" s="308">
        <f>1811553+36079</f>
        <v>1847632</v>
      </c>
      <c r="D211" s="174"/>
      <c r="E211" s="175">
        <f t="shared" si="11"/>
        <v>5416472.2200000007</v>
      </c>
      <c r="H211" s="253"/>
    </row>
    <row r="212" spans="1:8" ht="12.6" customHeight="1" x14ac:dyDescent="0.25">
      <c r="A212" s="173" t="s">
        <v>336</v>
      </c>
      <c r="B212" s="309">
        <f>537765.75+135116</f>
        <v>672881.75</v>
      </c>
      <c r="C212" s="308">
        <f>220420-530+24930</f>
        <v>244820</v>
      </c>
      <c r="D212" s="174"/>
      <c r="E212" s="175">
        <f t="shared" si="11"/>
        <v>917701.75</v>
      </c>
      <c r="H212" s="253"/>
    </row>
    <row r="213" spans="1:8" ht="12.6" customHeight="1" x14ac:dyDescent="0.25">
      <c r="A213" s="173" t="s">
        <v>337</v>
      </c>
      <c r="B213" s="309">
        <f>31434244.8+6775694</f>
        <v>38209938.799999997</v>
      </c>
      <c r="C213" s="308">
        <f>8694338-76680+105000+1196883+84300</f>
        <v>10003841</v>
      </c>
      <c r="D213" s="174">
        <f>320+84300-2</f>
        <v>84618</v>
      </c>
      <c r="E213" s="175">
        <f t="shared" si="11"/>
        <v>48129161.799999997</v>
      </c>
      <c r="H213" s="253"/>
    </row>
    <row r="214" spans="1:8" ht="12.6" customHeight="1" x14ac:dyDescent="0.25">
      <c r="A214" s="173" t="s">
        <v>338</v>
      </c>
      <c r="B214" s="309">
        <v>0</v>
      </c>
      <c r="C214" s="308"/>
      <c r="D214" s="174"/>
      <c r="E214" s="175">
        <f t="shared" si="11"/>
        <v>0</v>
      </c>
      <c r="H214" s="253"/>
    </row>
    <row r="215" spans="1:8" ht="12.6" customHeight="1" x14ac:dyDescent="0.25">
      <c r="A215" s="173" t="s">
        <v>339</v>
      </c>
      <c r="B215" s="309">
        <f>1067.88+2972384</f>
        <v>2973451.88</v>
      </c>
      <c r="C215" s="308">
        <f>4173+669135</f>
        <v>673308</v>
      </c>
      <c r="D215" s="174"/>
      <c r="E215" s="175">
        <f t="shared" si="11"/>
        <v>3646759.88</v>
      </c>
      <c r="H215" s="253"/>
    </row>
    <row r="216" spans="1:8" ht="12.6" customHeight="1" x14ac:dyDescent="0.25">
      <c r="A216" s="173" t="s">
        <v>340</v>
      </c>
      <c r="B216" s="174">
        <v>0</v>
      </c>
      <c r="C216" s="187"/>
      <c r="D216" s="174"/>
      <c r="E216" s="175">
        <f t="shared" si="11"/>
        <v>0</v>
      </c>
      <c r="H216" s="253"/>
    </row>
    <row r="217" spans="1:8" ht="12.6" customHeight="1" x14ac:dyDescent="0.25">
      <c r="A217" s="173" t="s">
        <v>203</v>
      </c>
      <c r="B217" s="175">
        <f>SUM(B208:B216)</f>
        <v>63141622.939999998</v>
      </c>
      <c r="C217" s="189">
        <f>SUM(C208:C216)</f>
        <v>16180636</v>
      </c>
      <c r="D217" s="175">
        <f>SUM(D208:D216)</f>
        <v>84618</v>
      </c>
      <c r="E217" s="175">
        <f>SUM(E208:E216)</f>
        <v>79237640.939999998</v>
      </c>
    </row>
    <row r="218" spans="1:8" ht="21.75" customHeight="1" x14ac:dyDescent="0.25">
      <c r="A218" s="173"/>
      <c r="B218" s="175"/>
      <c r="C218" s="189">
        <v>16180636</v>
      </c>
      <c r="D218" s="175"/>
      <c r="E218" s="175"/>
    </row>
    <row r="219" spans="1:8" ht="12.6" customHeight="1" x14ac:dyDescent="0.25">
      <c r="A219" s="206" t="s">
        <v>342</v>
      </c>
      <c r="B219" s="206"/>
      <c r="C219" s="206"/>
      <c r="D219" s="206"/>
      <c r="E219" s="206"/>
    </row>
    <row r="220" spans="1:8" ht="12.6" customHeight="1" x14ac:dyDescent="0.25">
      <c r="A220" s="206"/>
      <c r="B220" s="311" t="s">
        <v>1255</v>
      </c>
      <c r="C220" s="311"/>
      <c r="D220" s="206"/>
      <c r="E220" s="206"/>
    </row>
    <row r="221" spans="1:8" ht="12.6" customHeight="1" x14ac:dyDescent="0.3">
      <c r="A221" s="266" t="s">
        <v>1255</v>
      </c>
      <c r="B221" s="206"/>
      <c r="C221" s="308">
        <v>13768239</v>
      </c>
      <c r="D221" s="172">
        <f>C221</f>
        <v>13768239</v>
      </c>
      <c r="E221" s="206"/>
      <c r="F221" s="301"/>
    </row>
    <row r="222" spans="1:8" ht="12.6" customHeight="1" x14ac:dyDescent="0.25">
      <c r="A222" s="251" t="s">
        <v>343</v>
      </c>
      <c r="B222" s="251"/>
      <c r="C222" s="310"/>
      <c r="D222" s="251"/>
      <c r="E222" s="251"/>
    </row>
    <row r="223" spans="1:8" ht="12.6" customHeight="1" x14ac:dyDescent="0.25">
      <c r="A223" s="173" t="s">
        <v>344</v>
      </c>
      <c r="B223" s="172" t="s">
        <v>256</v>
      </c>
      <c r="C223" s="308">
        <f>178954822-306194-460932-239659+176116909+318956+11851914</f>
        <v>366235816</v>
      </c>
      <c r="D223" s="175"/>
      <c r="E223" s="175"/>
    </row>
    <row r="224" spans="1:8" ht="12.6" customHeight="1" x14ac:dyDescent="0.25">
      <c r="A224" s="173" t="s">
        <v>345</v>
      </c>
      <c r="B224" s="172" t="s">
        <v>256</v>
      </c>
      <c r="C224" s="308">
        <f>80415740+287324-3208428-3750742+124976665+424076+9839092</f>
        <v>208983727</v>
      </c>
      <c r="D224" s="175"/>
      <c r="E224" s="175"/>
    </row>
    <row r="225" spans="1:6" ht="12.6" customHeight="1" x14ac:dyDescent="0.25">
      <c r="A225" s="173" t="s">
        <v>346</v>
      </c>
      <c r="B225" s="172" t="s">
        <v>256</v>
      </c>
      <c r="C225" s="308"/>
      <c r="D225" s="175"/>
      <c r="E225" s="175"/>
    </row>
    <row r="226" spans="1:6" ht="12.6" customHeight="1" x14ac:dyDescent="0.25">
      <c r="A226" s="173" t="s">
        <v>347</v>
      </c>
      <c r="B226" s="172" t="s">
        <v>256</v>
      </c>
      <c r="C226" s="308"/>
      <c r="D226" s="175"/>
      <c r="E226" s="175"/>
    </row>
    <row r="227" spans="1:6" ht="12.6" customHeight="1" x14ac:dyDescent="0.25">
      <c r="A227" s="173" t="s">
        <v>348</v>
      </c>
      <c r="B227" s="172" t="s">
        <v>256</v>
      </c>
      <c r="C227" s="308">
        <f>776057934-C223-C224-C228-C238</f>
        <v>169233927</v>
      </c>
      <c r="D227" s="175"/>
      <c r="E227" s="175"/>
    </row>
    <row r="228" spans="1:6" ht="12.6" customHeight="1" x14ac:dyDescent="0.25">
      <c r="A228" s="173" t="s">
        <v>349</v>
      </c>
      <c r="B228" s="172" t="s">
        <v>256</v>
      </c>
      <c r="C228" s="308">
        <f>5971339-65014+10720145+20670+495281</f>
        <v>17142421</v>
      </c>
      <c r="D228" s="175"/>
      <c r="E228" s="175"/>
    </row>
    <row r="229" spans="1:6" ht="12.6" customHeight="1" x14ac:dyDescent="0.25">
      <c r="A229" s="173" t="s">
        <v>350</v>
      </c>
      <c r="B229" s="175"/>
      <c r="C229" s="189"/>
      <c r="D229" s="175">
        <f>SUM(C223:C228)</f>
        <v>761595891</v>
      </c>
      <c r="E229" s="175"/>
    </row>
    <row r="230" spans="1:6" ht="12.6" customHeight="1" x14ac:dyDescent="0.25">
      <c r="A230" s="251" t="s">
        <v>351</v>
      </c>
      <c r="B230" s="251"/>
      <c r="C230" s="251"/>
      <c r="D230" s="251"/>
      <c r="E230" s="251"/>
    </row>
    <row r="231" spans="1:6" ht="12.6" customHeight="1" x14ac:dyDescent="0.25">
      <c r="A231" s="171" t="s">
        <v>352</v>
      </c>
      <c r="B231" s="172" t="s">
        <v>256</v>
      </c>
      <c r="C231" s="187">
        <v>5530</v>
      </c>
      <c r="D231" s="175"/>
      <c r="E231" s="175"/>
    </row>
    <row r="232" spans="1:6" ht="12.6" customHeight="1" x14ac:dyDescent="0.25">
      <c r="A232" s="171"/>
      <c r="B232" s="172"/>
      <c r="C232" s="189"/>
      <c r="D232" s="175"/>
      <c r="E232" s="175"/>
    </row>
    <row r="233" spans="1:6" ht="12.6" customHeight="1" x14ac:dyDescent="0.25">
      <c r="A233" s="171" t="s">
        <v>353</v>
      </c>
      <c r="B233" s="172" t="s">
        <v>256</v>
      </c>
      <c r="C233" s="187">
        <v>3646732</v>
      </c>
      <c r="D233" s="175"/>
      <c r="E233" s="175"/>
    </row>
    <row r="234" spans="1:6" ht="12.6" customHeight="1" x14ac:dyDescent="0.25">
      <c r="A234" s="171" t="s">
        <v>354</v>
      </c>
      <c r="B234" s="172" t="s">
        <v>256</v>
      </c>
      <c r="C234" s="187">
        <f>11484691+2971+314611</f>
        <v>11802273</v>
      </c>
      <c r="D234" s="175"/>
      <c r="E234" s="175"/>
    </row>
    <row r="235" spans="1:6" ht="12.6" customHeight="1" x14ac:dyDescent="0.25">
      <c r="A235" s="173"/>
      <c r="B235" s="175"/>
      <c r="C235" s="189"/>
      <c r="D235" s="175"/>
      <c r="E235" s="175"/>
    </row>
    <row r="236" spans="1:6" ht="12.6" customHeight="1" x14ac:dyDescent="0.3">
      <c r="A236" s="171" t="s">
        <v>355</v>
      </c>
      <c r="B236" s="175"/>
      <c r="C236" s="189"/>
      <c r="D236" s="175">
        <f>SUM(C233:C235)</f>
        <v>15449005</v>
      </c>
      <c r="E236" s="175"/>
      <c r="F236" s="301"/>
    </row>
    <row r="237" spans="1:6" ht="12.6" customHeight="1" x14ac:dyDescent="0.25">
      <c r="A237" s="251" t="s">
        <v>356</v>
      </c>
      <c r="B237" s="251"/>
      <c r="C237" s="251"/>
      <c r="D237" s="251"/>
      <c r="E237" s="251"/>
    </row>
    <row r="238" spans="1:6" ht="12.6" customHeight="1" x14ac:dyDescent="0.25">
      <c r="A238" s="173" t="s">
        <v>357</v>
      </c>
      <c r="B238" s="172" t="s">
        <v>256</v>
      </c>
      <c r="C238" s="308">
        <f>2931976+10819930+20046+690091</f>
        <v>14462043</v>
      </c>
      <c r="D238" s="175"/>
      <c r="E238" s="175"/>
    </row>
    <row r="239" spans="1:6" ht="12.6" customHeight="1" x14ac:dyDescent="0.25">
      <c r="A239" s="173" t="s">
        <v>356</v>
      </c>
      <c r="B239" s="172" t="s">
        <v>256</v>
      </c>
      <c r="C239" s="187"/>
      <c r="D239" s="175"/>
      <c r="E239" s="175"/>
    </row>
    <row r="240" spans="1:6" ht="12.6" customHeight="1" x14ac:dyDescent="0.25">
      <c r="A240" s="173" t="s">
        <v>358</v>
      </c>
      <c r="B240" s="175"/>
      <c r="C240" s="189"/>
      <c r="D240" s="175">
        <f>SUM(C238:C239)</f>
        <v>14462043</v>
      </c>
      <c r="E240" s="175"/>
    </row>
    <row r="241" spans="1:5" ht="12.6" customHeight="1" x14ac:dyDescent="0.25">
      <c r="A241" s="173"/>
      <c r="B241" s="175"/>
      <c r="C241" s="189"/>
      <c r="D241" s="175"/>
      <c r="E241" s="175"/>
    </row>
    <row r="242" spans="1:5" ht="12.6" customHeight="1" x14ac:dyDescent="0.25">
      <c r="A242" s="173" t="s">
        <v>359</v>
      </c>
      <c r="B242" s="175"/>
      <c r="C242" s="189"/>
      <c r="D242" s="175">
        <f>D221+D229+D236+D240</f>
        <v>805275178</v>
      </c>
      <c r="E242" s="175"/>
    </row>
    <row r="243" spans="1:5" ht="12.6" customHeight="1" x14ac:dyDescent="0.25">
      <c r="A243" s="173"/>
      <c r="B243" s="173"/>
      <c r="C243" s="189"/>
      <c r="D243" s="175"/>
      <c r="E243" s="175"/>
    </row>
    <row r="244" spans="1:5" ht="12.6" customHeight="1" x14ac:dyDescent="0.25">
      <c r="A244" s="173"/>
      <c r="B244" s="173"/>
      <c r="C244" s="189"/>
      <c r="D244" s="175"/>
      <c r="E244" s="175"/>
    </row>
    <row r="245" spans="1:5" ht="12.6" customHeight="1" x14ac:dyDescent="0.25">
      <c r="A245" s="173"/>
      <c r="B245" s="173"/>
      <c r="C245" s="189"/>
      <c r="D245" s="175"/>
      <c r="E245" s="175"/>
    </row>
    <row r="246" spans="1:5" ht="12.6" customHeight="1" x14ac:dyDescent="0.25">
      <c r="A246" s="173"/>
      <c r="B246" s="173"/>
      <c r="C246" s="189"/>
      <c r="D246" s="175"/>
      <c r="E246" s="175"/>
    </row>
    <row r="247" spans="1:5" ht="21.75" customHeight="1" x14ac:dyDescent="0.25">
      <c r="A247" s="173"/>
      <c r="B247" s="173"/>
      <c r="C247" s="189"/>
      <c r="D247" s="175"/>
      <c r="E247" s="175"/>
    </row>
    <row r="248" spans="1:5" ht="12.45" customHeight="1" x14ac:dyDescent="0.25">
      <c r="A248" s="206" t="s">
        <v>360</v>
      </c>
      <c r="B248" s="206"/>
      <c r="C248" s="206"/>
      <c r="D248" s="206"/>
      <c r="E248" s="206"/>
    </row>
    <row r="249" spans="1:5" ht="11.25" customHeight="1" x14ac:dyDescent="0.25">
      <c r="A249" s="251" t="s">
        <v>361</v>
      </c>
      <c r="B249" s="251"/>
      <c r="C249" s="251"/>
      <c r="D249" s="251"/>
      <c r="E249" s="251"/>
    </row>
    <row r="250" spans="1:5" ht="12.45" customHeight="1" x14ac:dyDescent="0.25">
      <c r="A250" s="173" t="s">
        <v>362</v>
      </c>
      <c r="B250" s="172" t="s">
        <v>256</v>
      </c>
      <c r="C250" s="187">
        <f>8530401-2026228</f>
        <v>6504173</v>
      </c>
      <c r="D250" s="175"/>
      <c r="E250" s="175"/>
    </row>
    <row r="251" spans="1:5" ht="12.45" customHeight="1" x14ac:dyDescent="0.25">
      <c r="A251" s="173" t="s">
        <v>363</v>
      </c>
      <c r="B251" s="172" t="s">
        <v>256</v>
      </c>
      <c r="C251" s="187"/>
      <c r="D251" s="175"/>
      <c r="E251" s="175"/>
    </row>
    <row r="252" spans="1:5" ht="12.45" customHeight="1" x14ac:dyDescent="0.25">
      <c r="A252" s="173" t="s">
        <v>364</v>
      </c>
      <c r="B252" s="172" t="s">
        <v>256</v>
      </c>
      <c r="C252" s="187">
        <f>125829326+9774505</f>
        <v>135603831</v>
      </c>
      <c r="D252" s="175"/>
      <c r="E252" s="175"/>
    </row>
    <row r="253" spans="1:5" ht="12.45" customHeight="1" x14ac:dyDescent="0.25">
      <c r="A253" s="173" t="s">
        <v>365</v>
      </c>
      <c r="B253" s="172" t="s">
        <v>256</v>
      </c>
      <c r="C253" s="187">
        <f>89954218+12039713+6083380</f>
        <v>108077311</v>
      </c>
      <c r="D253" s="175"/>
      <c r="E253" s="175"/>
    </row>
    <row r="254" spans="1:5" ht="12.45" customHeight="1" x14ac:dyDescent="0.25">
      <c r="A254" s="173" t="s">
        <v>1241</v>
      </c>
      <c r="B254" s="172" t="s">
        <v>256</v>
      </c>
      <c r="C254" s="187"/>
      <c r="D254" s="175"/>
      <c r="E254" s="175"/>
    </row>
    <row r="255" spans="1:5" ht="12.45" customHeight="1" x14ac:dyDescent="0.25">
      <c r="A255" s="173" t="s">
        <v>366</v>
      </c>
      <c r="B255" s="172" t="s">
        <v>256</v>
      </c>
      <c r="C255" s="187">
        <f>1493287+234463</f>
        <v>1727750</v>
      </c>
      <c r="D255" s="175"/>
      <c r="E255" s="175"/>
    </row>
    <row r="256" spans="1:5" ht="12.45" customHeight="1" x14ac:dyDescent="0.25">
      <c r="A256" s="173" t="s">
        <v>367</v>
      </c>
      <c r="B256" s="172" t="s">
        <v>256</v>
      </c>
      <c r="C256" s="187"/>
      <c r="D256" s="175"/>
      <c r="E256" s="175"/>
    </row>
    <row r="257" spans="1:5" ht="12.45" customHeight="1" x14ac:dyDescent="0.25">
      <c r="A257" s="173" t="s">
        <v>368</v>
      </c>
      <c r="B257" s="172" t="s">
        <v>256</v>
      </c>
      <c r="C257" s="187">
        <f>4138758+201057</f>
        <v>4339815</v>
      </c>
      <c r="D257" s="175"/>
      <c r="E257" s="175"/>
    </row>
    <row r="258" spans="1:5" ht="12.45" customHeight="1" x14ac:dyDescent="0.25">
      <c r="A258" s="173" t="s">
        <v>369</v>
      </c>
      <c r="B258" s="172" t="s">
        <v>256</v>
      </c>
      <c r="C258" s="187">
        <f>222535+216354</f>
        <v>438889</v>
      </c>
      <c r="D258" s="175"/>
      <c r="E258" s="175"/>
    </row>
    <row r="259" spans="1:5" ht="12.45" customHeight="1" x14ac:dyDescent="0.25">
      <c r="A259" s="173" t="s">
        <v>370</v>
      </c>
      <c r="B259" s="172" t="s">
        <v>256</v>
      </c>
      <c r="C259" s="187"/>
      <c r="D259" s="175"/>
      <c r="E259" s="175"/>
    </row>
    <row r="260" spans="1:5" ht="12.45" customHeight="1" x14ac:dyDescent="0.25">
      <c r="A260" s="173" t="s">
        <v>371</v>
      </c>
      <c r="B260" s="175"/>
      <c r="C260" s="189"/>
      <c r="D260" s="175">
        <f>SUM(C250:C252)-C253+SUM(C254:C259)</f>
        <v>40537147</v>
      </c>
      <c r="E260" s="175"/>
    </row>
    <row r="261" spans="1:5" ht="11.25" customHeight="1" x14ac:dyDescent="0.25">
      <c r="A261" s="251" t="s">
        <v>372</v>
      </c>
      <c r="B261" s="251"/>
      <c r="C261" s="251"/>
      <c r="D261" s="251"/>
      <c r="E261" s="251"/>
    </row>
    <row r="262" spans="1:5" ht="12.45" customHeight="1" x14ac:dyDescent="0.25">
      <c r="A262" s="173" t="s">
        <v>362</v>
      </c>
      <c r="B262" s="172" t="s">
        <v>256</v>
      </c>
      <c r="C262" s="187"/>
      <c r="D262" s="175"/>
      <c r="E262" s="175"/>
    </row>
    <row r="263" spans="1:5" ht="12.45" customHeight="1" x14ac:dyDescent="0.25">
      <c r="A263" s="173" t="s">
        <v>363</v>
      </c>
      <c r="B263" s="172" t="s">
        <v>256</v>
      </c>
      <c r="C263" s="187"/>
      <c r="D263" s="175"/>
      <c r="E263" s="175"/>
    </row>
    <row r="264" spans="1:5" ht="12.45" customHeight="1" x14ac:dyDescent="0.25">
      <c r="A264" s="173" t="s">
        <v>373</v>
      </c>
      <c r="B264" s="172" t="s">
        <v>256</v>
      </c>
      <c r="C264" s="187"/>
      <c r="D264" s="175"/>
      <c r="E264" s="175"/>
    </row>
    <row r="265" spans="1:5" ht="12.45" customHeight="1" x14ac:dyDescent="0.25">
      <c r="A265" s="173" t="s">
        <v>374</v>
      </c>
      <c r="B265" s="175"/>
      <c r="C265" s="189"/>
      <c r="D265" s="175">
        <f>SUM(C262:C264)</f>
        <v>0</v>
      </c>
      <c r="E265" s="175"/>
    </row>
    <row r="266" spans="1:5" ht="11.25" customHeight="1" x14ac:dyDescent="0.25">
      <c r="A266" s="251" t="s">
        <v>375</v>
      </c>
      <c r="B266" s="251"/>
      <c r="C266" s="251"/>
      <c r="D266" s="251"/>
      <c r="E266" s="251"/>
    </row>
    <row r="267" spans="1:5" ht="12.45" customHeight="1" x14ac:dyDescent="0.25">
      <c r="A267" s="173" t="s">
        <v>332</v>
      </c>
      <c r="B267" s="172" t="s">
        <v>256</v>
      </c>
      <c r="C267" s="187">
        <v>7414345.5499999998</v>
      </c>
      <c r="D267" s="175"/>
      <c r="E267" s="175"/>
    </row>
    <row r="268" spans="1:5" ht="12.45" customHeight="1" x14ac:dyDescent="0.25">
      <c r="A268" s="173" t="s">
        <v>333</v>
      </c>
      <c r="B268" s="172" t="s">
        <v>256</v>
      </c>
      <c r="C268" s="187">
        <v>1128574.1200000001</v>
      </c>
      <c r="D268" s="175"/>
      <c r="E268" s="175"/>
    </row>
    <row r="269" spans="1:5" ht="12.45" customHeight="1" x14ac:dyDescent="0.25">
      <c r="A269" s="173" t="s">
        <v>334</v>
      </c>
      <c r="B269" s="172" t="s">
        <v>256</v>
      </c>
      <c r="C269" s="187">
        <f>93535040.25</f>
        <v>93535040.25</v>
      </c>
      <c r="D269" s="175"/>
      <c r="E269" s="175"/>
    </row>
    <row r="270" spans="1:5" ht="12.45" customHeight="1" x14ac:dyDescent="0.25">
      <c r="A270" s="173" t="s">
        <v>376</v>
      </c>
      <c r="B270" s="172" t="s">
        <v>256</v>
      </c>
      <c r="C270" s="187">
        <f>31282576+362078+1</f>
        <v>31644655</v>
      </c>
      <c r="D270" s="175"/>
      <c r="E270" s="175"/>
    </row>
    <row r="271" spans="1:5" ht="12.45" customHeight="1" x14ac:dyDescent="0.25">
      <c r="A271" s="173" t="s">
        <v>377</v>
      </c>
      <c r="B271" s="172" t="s">
        <v>256</v>
      </c>
      <c r="C271" s="187">
        <f>2257412+258472</f>
        <v>2515884</v>
      </c>
      <c r="D271" s="175"/>
      <c r="E271" s="175"/>
    </row>
    <row r="272" spans="1:5" ht="12.45" customHeight="1" x14ac:dyDescent="0.25">
      <c r="A272" s="173" t="s">
        <v>378</v>
      </c>
      <c r="B272" s="172" t="s">
        <v>256</v>
      </c>
      <c r="C272" s="187">
        <f>66107880+12408060-1</f>
        <v>78515939</v>
      </c>
      <c r="D272" s="175"/>
      <c r="E272" s="175"/>
    </row>
    <row r="273" spans="1:5" ht="12.45" customHeight="1" x14ac:dyDescent="0.25">
      <c r="A273" s="173" t="s">
        <v>339</v>
      </c>
      <c r="B273" s="172" t="s">
        <v>256</v>
      </c>
      <c r="C273" s="187">
        <f>477809+6708290</f>
        <v>7186099</v>
      </c>
      <c r="D273" s="175"/>
      <c r="E273" s="175"/>
    </row>
    <row r="274" spans="1:5" ht="12.45" customHeight="1" x14ac:dyDescent="0.25">
      <c r="A274" s="173" t="s">
        <v>340</v>
      </c>
      <c r="B274" s="172" t="s">
        <v>256</v>
      </c>
      <c r="C274" s="187">
        <f>5075131+139478+72217+27243</f>
        <v>5314069</v>
      </c>
      <c r="D274" s="175"/>
      <c r="E274" s="175"/>
    </row>
    <row r="275" spans="1:5" ht="12.45" customHeight="1" x14ac:dyDescent="0.25">
      <c r="A275" s="173" t="s">
        <v>379</v>
      </c>
      <c r="B275" s="175"/>
      <c r="C275" s="189"/>
      <c r="D275" s="175">
        <f>SUM(C267:C274)</f>
        <v>227254605.92000002</v>
      </c>
      <c r="E275" s="175"/>
    </row>
    <row r="276" spans="1:5" ht="12.6" customHeight="1" x14ac:dyDescent="0.25">
      <c r="A276" s="173" t="s">
        <v>380</v>
      </c>
      <c r="B276" s="172" t="s">
        <v>256</v>
      </c>
      <c r="C276" s="187">
        <f>67419561+11818079+1</f>
        <v>79237641</v>
      </c>
      <c r="D276" s="175"/>
      <c r="E276" s="175"/>
    </row>
    <row r="277" spans="1:5" ht="12.6" customHeight="1" x14ac:dyDescent="0.25">
      <c r="A277" s="173" t="s">
        <v>381</v>
      </c>
      <c r="B277" s="175"/>
      <c r="C277" s="189"/>
      <c r="D277" s="175">
        <f>D275-C276</f>
        <v>148016964.92000002</v>
      </c>
      <c r="E277" s="175"/>
    </row>
    <row r="278" spans="1:5" ht="12.6" customHeight="1" x14ac:dyDescent="0.25">
      <c r="A278" s="251" t="s">
        <v>382</v>
      </c>
      <c r="B278" s="251"/>
      <c r="C278" s="251"/>
      <c r="D278" s="251"/>
      <c r="E278" s="251"/>
    </row>
    <row r="279" spans="1:5" ht="12.6" customHeight="1" x14ac:dyDescent="0.25">
      <c r="A279" s="173" t="s">
        <v>383</v>
      </c>
      <c r="B279" s="172" t="s">
        <v>256</v>
      </c>
      <c r="C279" s="187"/>
      <c r="D279" s="175"/>
      <c r="E279" s="175"/>
    </row>
    <row r="280" spans="1:5" ht="12.6" customHeight="1" x14ac:dyDescent="0.25">
      <c r="A280" s="173" t="s">
        <v>384</v>
      </c>
      <c r="B280" s="172" t="s">
        <v>256</v>
      </c>
      <c r="C280" s="187"/>
      <c r="D280" s="175"/>
      <c r="E280" s="175"/>
    </row>
    <row r="281" spans="1:5" ht="12.6" customHeight="1" x14ac:dyDescent="0.25">
      <c r="A281" s="173" t="s">
        <v>385</v>
      </c>
      <c r="B281" s="172" t="s">
        <v>256</v>
      </c>
      <c r="C281" s="308">
        <f>23995431+10069371</f>
        <v>34064802</v>
      </c>
      <c r="D281" s="175"/>
      <c r="E281" s="175"/>
    </row>
    <row r="282" spans="1:5" ht="12.6" customHeight="1" x14ac:dyDescent="0.25">
      <c r="A282" s="173" t="s">
        <v>373</v>
      </c>
      <c r="B282" s="172" t="s">
        <v>256</v>
      </c>
      <c r="C282" s="308">
        <f>15877573+7775</f>
        <v>15885348</v>
      </c>
      <c r="D282" s="175"/>
      <c r="E282" s="175"/>
    </row>
    <row r="283" spans="1:5" ht="12.6" customHeight="1" x14ac:dyDescent="0.25">
      <c r="A283" s="173" t="s">
        <v>386</v>
      </c>
      <c r="B283" s="175"/>
      <c r="C283" s="189"/>
      <c r="D283" s="175">
        <f>C279-C280+C281+C282</f>
        <v>49950150</v>
      </c>
      <c r="E283" s="175"/>
    </row>
    <row r="284" spans="1:5" ht="12.6" customHeight="1" x14ac:dyDescent="0.25">
      <c r="A284" s="173"/>
      <c r="B284" s="175"/>
      <c r="C284" s="189"/>
      <c r="D284" s="175"/>
      <c r="E284" s="175"/>
    </row>
    <row r="285" spans="1:5" ht="12.6" customHeight="1" x14ac:dyDescent="0.25">
      <c r="A285" s="251" t="s">
        <v>387</v>
      </c>
      <c r="B285" s="251"/>
      <c r="C285" s="251"/>
      <c r="D285" s="251"/>
      <c r="E285" s="251"/>
    </row>
    <row r="286" spans="1:5" ht="12.6" customHeight="1" x14ac:dyDescent="0.25">
      <c r="A286" s="173" t="s">
        <v>388</v>
      </c>
      <c r="B286" s="172" t="s">
        <v>256</v>
      </c>
      <c r="C286" s="308">
        <f>1321026</f>
        <v>1321026</v>
      </c>
      <c r="D286" s="175"/>
      <c r="E286" s="175"/>
    </row>
    <row r="287" spans="1:5" ht="12.6" customHeight="1" x14ac:dyDescent="0.25">
      <c r="A287" s="173" t="s">
        <v>389</v>
      </c>
      <c r="B287" s="172" t="s">
        <v>256</v>
      </c>
      <c r="C287" s="308"/>
      <c r="D287" s="175"/>
      <c r="E287" s="175"/>
    </row>
    <row r="288" spans="1:5" ht="12.6" customHeight="1" x14ac:dyDescent="0.25">
      <c r="A288" s="173" t="s">
        <v>390</v>
      </c>
      <c r="B288" s="172" t="s">
        <v>256</v>
      </c>
      <c r="C288" s="308"/>
      <c r="D288" s="175"/>
      <c r="E288" s="175"/>
    </row>
    <row r="289" spans="1:5" ht="12.6" customHeight="1" x14ac:dyDescent="0.25">
      <c r="A289" s="173" t="s">
        <v>391</v>
      </c>
      <c r="B289" s="172" t="s">
        <v>256</v>
      </c>
      <c r="C289" s="308">
        <v>1615347</v>
      </c>
      <c r="D289" s="175"/>
      <c r="E289" s="175"/>
    </row>
    <row r="290" spans="1:5" ht="12.6" customHeight="1" x14ac:dyDescent="0.25">
      <c r="A290" s="173" t="s">
        <v>392</v>
      </c>
      <c r="B290" s="175"/>
      <c r="C290" s="189"/>
      <c r="D290" s="175">
        <f>SUM(C286:C289)</f>
        <v>2936373</v>
      </c>
      <c r="E290" s="175"/>
    </row>
    <row r="291" spans="1:5" ht="12.6" customHeight="1" x14ac:dyDescent="0.25">
      <c r="A291" s="173"/>
      <c r="B291" s="175"/>
      <c r="C291" s="189"/>
      <c r="D291" s="175"/>
      <c r="E291" s="175"/>
    </row>
    <row r="292" spans="1:5" ht="12.6" customHeight="1" x14ac:dyDescent="0.25">
      <c r="A292" s="173" t="s">
        <v>393</v>
      </c>
      <c r="B292" s="175"/>
      <c r="C292" s="189"/>
      <c r="D292" s="175">
        <f>D260+D265+D277+D283+D290</f>
        <v>241440634.92000002</v>
      </c>
      <c r="E292" s="175"/>
    </row>
    <row r="293" spans="1:5" ht="12.6" customHeight="1" x14ac:dyDescent="0.25">
      <c r="A293" s="173"/>
      <c r="B293" s="173"/>
      <c r="C293" s="189"/>
      <c r="D293" s="175"/>
      <c r="E293" s="175"/>
    </row>
    <row r="294" spans="1:5" ht="12.6" customHeight="1" x14ac:dyDescent="0.25">
      <c r="A294" s="173"/>
      <c r="B294" s="173"/>
      <c r="C294" s="189"/>
      <c r="D294" s="175"/>
      <c r="E294" s="175"/>
    </row>
    <row r="295" spans="1:5" ht="12.6" customHeight="1" x14ac:dyDescent="0.25">
      <c r="A295" s="173"/>
      <c r="B295" s="173"/>
      <c r="C295" s="189"/>
      <c r="D295" s="175"/>
      <c r="E295" s="175"/>
    </row>
    <row r="296" spans="1:5" ht="12.6" customHeight="1" x14ac:dyDescent="0.25">
      <c r="A296" s="173"/>
      <c r="B296" s="173"/>
      <c r="C296" s="189"/>
      <c r="D296" s="175"/>
      <c r="E296" s="175"/>
    </row>
    <row r="297" spans="1:5" ht="12.6" customHeight="1" x14ac:dyDescent="0.25">
      <c r="A297" s="173"/>
      <c r="B297" s="173"/>
      <c r="C297" s="189"/>
      <c r="D297" s="175"/>
      <c r="E297" s="175"/>
    </row>
    <row r="298" spans="1:5" ht="12.6" customHeight="1" x14ac:dyDescent="0.25">
      <c r="A298" s="173"/>
      <c r="B298" s="173"/>
      <c r="C298" s="189"/>
      <c r="D298" s="175"/>
      <c r="E298" s="175"/>
    </row>
    <row r="299" spans="1:5" ht="12.6" customHeight="1" x14ac:dyDescent="0.25">
      <c r="A299" s="173"/>
      <c r="B299" s="173"/>
      <c r="C299" s="189"/>
      <c r="D299" s="175"/>
      <c r="E299" s="175"/>
    </row>
    <row r="300" spans="1:5" ht="12.6" customHeight="1" x14ac:dyDescent="0.25">
      <c r="A300" s="173"/>
      <c r="B300" s="173"/>
      <c r="C300" s="189"/>
      <c r="D300" s="175"/>
      <c r="E300" s="175"/>
    </row>
    <row r="301" spans="1:5" ht="20.25" customHeight="1" x14ac:dyDescent="0.25">
      <c r="A301" s="173"/>
      <c r="B301" s="173"/>
      <c r="C301" s="189"/>
      <c r="D301" s="175"/>
      <c r="E301" s="175"/>
    </row>
    <row r="302" spans="1:5" ht="12.6" customHeight="1" x14ac:dyDescent="0.25">
      <c r="A302" s="206" t="s">
        <v>394</v>
      </c>
      <c r="B302" s="206"/>
      <c r="C302" s="206"/>
      <c r="D302" s="206"/>
      <c r="E302" s="206"/>
    </row>
    <row r="303" spans="1:5" ht="14.25" customHeight="1" x14ac:dyDescent="0.25">
      <c r="A303" s="251" t="s">
        <v>395</v>
      </c>
      <c r="B303" s="251"/>
      <c r="C303" s="251"/>
      <c r="D303" s="251"/>
      <c r="E303" s="251"/>
    </row>
    <row r="304" spans="1:5" ht="12.6" customHeight="1" x14ac:dyDescent="0.25">
      <c r="A304" s="173" t="s">
        <v>396</v>
      </c>
      <c r="B304" s="172" t="s">
        <v>256</v>
      </c>
      <c r="C304" s="187"/>
      <c r="D304" s="175"/>
      <c r="E304" s="175"/>
    </row>
    <row r="305" spans="1:5" ht="12.6" customHeight="1" x14ac:dyDescent="0.25">
      <c r="A305" s="173" t="s">
        <v>397</v>
      </c>
      <c r="B305" s="172" t="s">
        <v>256</v>
      </c>
      <c r="C305" s="187">
        <f>1547582+158917</f>
        <v>1706499</v>
      </c>
      <c r="D305" s="175"/>
      <c r="E305" s="175"/>
    </row>
    <row r="306" spans="1:5" ht="12.6" customHeight="1" x14ac:dyDescent="0.25">
      <c r="A306" s="173" t="s">
        <v>398</v>
      </c>
      <c r="B306" s="172" t="s">
        <v>256</v>
      </c>
      <c r="C306" s="187">
        <f>6248453+2043857</f>
        <v>8292310</v>
      </c>
      <c r="D306" s="175"/>
      <c r="E306" s="175"/>
    </row>
    <row r="307" spans="1:5" ht="12.6" customHeight="1" x14ac:dyDescent="0.25">
      <c r="A307" s="173" t="s">
        <v>399</v>
      </c>
      <c r="B307" s="172" t="s">
        <v>256</v>
      </c>
      <c r="C307" s="308">
        <f>5203186+2420717+2709938+3454624+42423</f>
        <v>13830888</v>
      </c>
      <c r="D307" s="175"/>
      <c r="E307" s="175"/>
    </row>
    <row r="308" spans="1:5" ht="12.6" customHeight="1" x14ac:dyDescent="0.25">
      <c r="A308" s="173" t="s">
        <v>400</v>
      </c>
      <c r="B308" s="172" t="s">
        <v>256</v>
      </c>
      <c r="C308" s="187"/>
      <c r="D308" s="175"/>
      <c r="E308" s="175"/>
    </row>
    <row r="309" spans="1:5" ht="12.6" customHeight="1" x14ac:dyDescent="0.25">
      <c r="A309" s="173" t="s">
        <v>1242</v>
      </c>
      <c r="B309" s="172" t="s">
        <v>256</v>
      </c>
      <c r="C309" s="187">
        <v>1295551</v>
      </c>
      <c r="D309" s="175"/>
      <c r="E309" s="175"/>
    </row>
    <row r="310" spans="1:5" ht="12.6" customHeight="1" x14ac:dyDescent="0.25">
      <c r="A310" s="173" t="s">
        <v>401</v>
      </c>
      <c r="B310" s="172" t="s">
        <v>256</v>
      </c>
      <c r="C310" s="187"/>
      <c r="D310" s="175"/>
      <c r="E310" s="175"/>
    </row>
    <row r="311" spans="1:5" ht="12.6" customHeight="1" x14ac:dyDescent="0.25">
      <c r="A311" s="173" t="s">
        <v>402</v>
      </c>
      <c r="B311" s="172" t="s">
        <v>256</v>
      </c>
      <c r="C311" s="187"/>
      <c r="D311" s="175"/>
      <c r="E311" s="175"/>
    </row>
    <row r="312" spans="1:5" ht="12.6" customHeight="1" x14ac:dyDescent="0.25">
      <c r="A312" s="173" t="s">
        <v>403</v>
      </c>
      <c r="B312" s="172" t="s">
        <v>256</v>
      </c>
      <c r="C312" s="187"/>
      <c r="D312" s="175"/>
      <c r="E312" s="175"/>
    </row>
    <row r="313" spans="1:5" ht="12.6" customHeight="1" x14ac:dyDescent="0.25">
      <c r="A313" s="173" t="s">
        <v>404</v>
      </c>
      <c r="B313" s="172" t="s">
        <v>256</v>
      </c>
      <c r="C313" s="187">
        <f>4239024+260189</f>
        <v>4499213</v>
      </c>
      <c r="D313" s="175"/>
      <c r="E313" s="175"/>
    </row>
    <row r="314" spans="1:5" ht="12.6" customHeight="1" x14ac:dyDescent="0.25">
      <c r="A314" s="173" t="s">
        <v>405</v>
      </c>
      <c r="B314" s="175"/>
      <c r="C314" s="189"/>
      <c r="D314" s="175">
        <f>SUM(C304:C313)</f>
        <v>29624461</v>
      </c>
      <c r="E314" s="175"/>
    </row>
    <row r="315" spans="1:5" ht="12.6" customHeight="1" x14ac:dyDescent="0.25">
      <c r="A315" s="251" t="s">
        <v>406</v>
      </c>
      <c r="B315" s="251"/>
      <c r="C315" s="251"/>
      <c r="D315" s="251"/>
      <c r="E315" s="251"/>
    </row>
    <row r="316" spans="1:5" ht="12.6" customHeight="1" x14ac:dyDescent="0.25">
      <c r="A316" s="173" t="s">
        <v>407</v>
      </c>
      <c r="B316" s="172" t="s">
        <v>256</v>
      </c>
      <c r="C316" s="187"/>
      <c r="D316" s="175"/>
      <c r="E316" s="175"/>
    </row>
    <row r="317" spans="1:5" ht="12.6" customHeight="1" x14ac:dyDescent="0.25">
      <c r="A317" s="173" t="s">
        <v>408</v>
      </c>
      <c r="B317" s="172" t="s">
        <v>256</v>
      </c>
      <c r="C317" s="187"/>
      <c r="D317" s="175"/>
      <c r="E317" s="175"/>
    </row>
    <row r="318" spans="1:5" ht="12.6" customHeight="1" x14ac:dyDescent="0.25">
      <c r="A318" s="173" t="s">
        <v>409</v>
      </c>
      <c r="B318" s="172" t="s">
        <v>256</v>
      </c>
      <c r="C318" s="187">
        <f>1860380</f>
        <v>1860380</v>
      </c>
      <c r="D318" s="175"/>
      <c r="E318" s="175"/>
    </row>
    <row r="319" spans="1:5" ht="12.6" customHeight="1" x14ac:dyDescent="0.25">
      <c r="A319" s="173" t="s">
        <v>410</v>
      </c>
      <c r="B319" s="175"/>
      <c r="C319" s="189"/>
      <c r="D319" s="175">
        <f>SUM(C316:C318)</f>
        <v>1860380</v>
      </c>
      <c r="E319" s="175"/>
    </row>
    <row r="320" spans="1:5" ht="12.6" customHeight="1" x14ac:dyDescent="0.25">
      <c r="A320" s="251" t="s">
        <v>411</v>
      </c>
      <c r="B320" s="251"/>
      <c r="C320" s="251"/>
      <c r="D320" s="251"/>
      <c r="E320" s="251"/>
    </row>
    <row r="321" spans="1:5" ht="12.6" customHeight="1" x14ac:dyDescent="0.25">
      <c r="A321" s="173" t="s">
        <v>412</v>
      </c>
      <c r="B321" s="172" t="s">
        <v>256</v>
      </c>
      <c r="C321" s="187"/>
      <c r="D321" s="175"/>
      <c r="E321" s="175"/>
    </row>
    <row r="322" spans="1:5" ht="12.6" customHeight="1" x14ac:dyDescent="0.25">
      <c r="A322" s="173" t="s">
        <v>413</v>
      </c>
      <c r="B322" s="172" t="s">
        <v>256</v>
      </c>
      <c r="C322" s="187"/>
      <c r="D322" s="175"/>
      <c r="E322" s="175"/>
    </row>
    <row r="323" spans="1:5" ht="12.6" customHeight="1" x14ac:dyDescent="0.25">
      <c r="A323" s="173" t="s">
        <v>414</v>
      </c>
      <c r="B323" s="172" t="s">
        <v>256</v>
      </c>
      <c r="C323" s="187">
        <f>149327+298653</f>
        <v>447980</v>
      </c>
      <c r="D323" s="175"/>
      <c r="E323" s="175"/>
    </row>
    <row r="324" spans="1:5" ht="12.6" customHeight="1" x14ac:dyDescent="0.25">
      <c r="A324" s="171" t="s">
        <v>415</v>
      </c>
      <c r="B324" s="172" t="s">
        <v>256</v>
      </c>
      <c r="C324" s="187">
        <f>110862+137752</f>
        <v>248614</v>
      </c>
      <c r="D324" s="175"/>
      <c r="E324" s="175"/>
    </row>
    <row r="325" spans="1:5" ht="12.6" customHeight="1" x14ac:dyDescent="0.25">
      <c r="A325" s="173" t="s">
        <v>416</v>
      </c>
      <c r="B325" s="172" t="s">
        <v>256</v>
      </c>
      <c r="C325" s="187"/>
      <c r="D325" s="175"/>
      <c r="E325" s="175"/>
    </row>
    <row r="326" spans="1:5" ht="12.6" customHeight="1" x14ac:dyDescent="0.25">
      <c r="A326" s="171" t="s">
        <v>417</v>
      </c>
      <c r="B326" s="172" t="s">
        <v>256</v>
      </c>
      <c r="C326" s="308">
        <f>98934493+4239024</f>
        <v>103173517</v>
      </c>
      <c r="D326" s="175"/>
      <c r="E326" s="175"/>
    </row>
    <row r="327" spans="1:5" ht="12.6" customHeight="1" x14ac:dyDescent="0.25">
      <c r="A327" s="173" t="s">
        <v>418</v>
      </c>
      <c r="B327" s="172" t="s">
        <v>256</v>
      </c>
      <c r="C327" s="187">
        <f>2792410</f>
        <v>2792410</v>
      </c>
      <c r="D327" s="175"/>
      <c r="E327" s="175"/>
    </row>
    <row r="328" spans="1:5" ht="19.5" customHeight="1" x14ac:dyDescent="0.25">
      <c r="A328" s="173" t="s">
        <v>203</v>
      </c>
      <c r="B328" s="175"/>
      <c r="C328" s="189"/>
      <c r="D328" s="175">
        <f>SUM(C321:C327)</f>
        <v>106662521</v>
      </c>
      <c r="E328" s="175"/>
    </row>
    <row r="329" spans="1:5" ht="12.6" customHeight="1" x14ac:dyDescent="0.25">
      <c r="A329" s="173" t="s">
        <v>419</v>
      </c>
      <c r="B329" s="175"/>
      <c r="C329" s="189"/>
      <c r="D329" s="175">
        <f>C313</f>
        <v>4499213</v>
      </c>
      <c r="E329" s="175"/>
    </row>
    <row r="330" spans="1:5" ht="12.6" customHeight="1" x14ac:dyDescent="0.25">
      <c r="A330" s="173" t="s">
        <v>420</v>
      </c>
      <c r="B330" s="175"/>
      <c r="C330" s="189"/>
      <c r="D330" s="175">
        <f>D328-D329</f>
        <v>102163308</v>
      </c>
      <c r="E330" s="175"/>
    </row>
    <row r="331" spans="1:5" ht="12.6" customHeight="1" x14ac:dyDescent="0.25">
      <c r="A331" s="173"/>
      <c r="B331" s="175"/>
      <c r="C331" s="189"/>
      <c r="D331" s="175"/>
      <c r="E331" s="175"/>
    </row>
    <row r="332" spans="1:5" ht="12.6" customHeight="1" x14ac:dyDescent="0.25">
      <c r="A332" s="173" t="s">
        <v>421</v>
      </c>
      <c r="B332" s="172" t="s">
        <v>256</v>
      </c>
      <c r="C332" s="219">
        <f>103188100+4604386</f>
        <v>107792486</v>
      </c>
      <c r="D332" s="175"/>
      <c r="E332" s="175"/>
    </row>
    <row r="333" spans="1:5" ht="12.6" customHeight="1" x14ac:dyDescent="0.25">
      <c r="A333" s="173"/>
      <c r="B333" s="172"/>
      <c r="C333" s="226"/>
      <c r="D333" s="175"/>
      <c r="E333" s="175"/>
    </row>
    <row r="334" spans="1:5" ht="12.6" customHeight="1" x14ac:dyDescent="0.25">
      <c r="A334" s="173" t="s">
        <v>1142</v>
      </c>
      <c r="B334" s="172" t="s">
        <v>256</v>
      </c>
      <c r="C334" s="219"/>
      <c r="D334" s="175"/>
      <c r="E334" s="175"/>
    </row>
    <row r="335" spans="1:5" ht="12.6" customHeight="1" x14ac:dyDescent="0.25">
      <c r="A335" s="173" t="s">
        <v>1143</v>
      </c>
      <c r="B335" s="172" t="s">
        <v>256</v>
      </c>
      <c r="C335" s="219"/>
      <c r="D335" s="175"/>
      <c r="E335" s="175"/>
    </row>
    <row r="336" spans="1:5" ht="12.6" customHeight="1" x14ac:dyDescent="0.25">
      <c r="A336" s="173" t="s">
        <v>423</v>
      </c>
      <c r="B336" s="172" t="s">
        <v>256</v>
      </c>
      <c r="C336" s="219"/>
      <c r="D336" s="175"/>
      <c r="E336" s="175"/>
    </row>
    <row r="337" spans="1:5" ht="12.6" customHeight="1" x14ac:dyDescent="0.25">
      <c r="A337" s="173" t="s">
        <v>422</v>
      </c>
      <c r="B337" s="172" t="s">
        <v>256</v>
      </c>
      <c r="C337" s="187"/>
      <c r="D337" s="175"/>
      <c r="E337" s="175"/>
    </row>
    <row r="338" spans="1:5" ht="12.6" customHeight="1" x14ac:dyDescent="0.25">
      <c r="A338" s="173" t="s">
        <v>1253</v>
      </c>
      <c r="B338" s="172" t="s">
        <v>256</v>
      </c>
      <c r="C338" s="187"/>
      <c r="D338" s="175"/>
      <c r="E338" s="175"/>
    </row>
    <row r="339" spans="1:5" ht="12.6" customHeight="1" x14ac:dyDescent="0.25">
      <c r="A339" s="173" t="s">
        <v>424</v>
      </c>
      <c r="B339" s="175"/>
      <c r="C339" s="189"/>
      <c r="D339" s="175">
        <f>D314+D319+D330+C332+C336+C337</f>
        <v>241440635</v>
      </c>
      <c r="E339" s="175"/>
    </row>
    <row r="340" spans="1:5" ht="12.6" customHeight="1" x14ac:dyDescent="0.25">
      <c r="A340" s="173"/>
      <c r="B340" s="175"/>
      <c r="C340" s="189"/>
      <c r="D340" s="175"/>
      <c r="E340" s="175"/>
    </row>
    <row r="341" spans="1:5" ht="12.6" customHeight="1" x14ac:dyDescent="0.25">
      <c r="A341" s="173" t="s">
        <v>425</v>
      </c>
      <c r="B341" s="175"/>
      <c r="C341" s="189"/>
      <c r="D341" s="175">
        <f>D292</f>
        <v>241440634.92000002</v>
      </c>
      <c r="E341" s="175"/>
    </row>
    <row r="342" spans="1:5" ht="12.6" customHeight="1" x14ac:dyDescent="0.25">
      <c r="A342" s="173"/>
      <c r="B342" s="173"/>
      <c r="C342" s="189"/>
      <c r="D342" s="175"/>
      <c r="E342" s="175"/>
    </row>
    <row r="343" spans="1:5" ht="12.6" customHeight="1" x14ac:dyDescent="0.25">
      <c r="A343" s="173"/>
      <c r="B343" s="173"/>
      <c r="C343" s="189"/>
      <c r="D343" s="175"/>
      <c r="E343" s="175"/>
    </row>
    <row r="344" spans="1:5" ht="12.6" customHeight="1" x14ac:dyDescent="0.25">
      <c r="A344" s="173"/>
      <c r="B344" s="173"/>
      <c r="C344" s="189"/>
      <c r="D344" s="175"/>
      <c r="E344" s="175"/>
    </row>
    <row r="345" spans="1:5" ht="12.6" customHeight="1" x14ac:dyDescent="0.25">
      <c r="A345" s="173"/>
      <c r="B345" s="173"/>
      <c r="C345" s="189"/>
      <c r="D345" s="175"/>
      <c r="E345" s="175"/>
    </row>
    <row r="346" spans="1:5" ht="12.6" customHeight="1" x14ac:dyDescent="0.25">
      <c r="A346" s="173"/>
      <c r="B346" s="173"/>
      <c r="C346" s="189"/>
      <c r="D346" s="175"/>
      <c r="E346" s="175"/>
    </row>
    <row r="347" spans="1:5" ht="12.6" customHeight="1" x14ac:dyDescent="0.25">
      <c r="A347" s="173"/>
      <c r="B347" s="173"/>
      <c r="C347" s="189"/>
      <c r="D347" s="175"/>
      <c r="E347" s="175"/>
    </row>
    <row r="348" spans="1:5" ht="12.6" customHeight="1" x14ac:dyDescent="0.25">
      <c r="A348" s="173"/>
      <c r="B348" s="173"/>
      <c r="C348" s="189"/>
      <c r="D348" s="175"/>
      <c r="E348" s="175"/>
    </row>
    <row r="349" spans="1:5" ht="12.6" customHeight="1" x14ac:dyDescent="0.25">
      <c r="A349" s="173"/>
      <c r="B349" s="173"/>
      <c r="C349" s="189"/>
      <c r="D349" s="175"/>
      <c r="E349" s="175"/>
    </row>
    <row r="350" spans="1:5" ht="12.6" customHeight="1" x14ac:dyDescent="0.25">
      <c r="A350" s="173"/>
      <c r="B350" s="173"/>
      <c r="C350" s="189"/>
      <c r="D350" s="175"/>
      <c r="E350" s="175"/>
    </row>
    <row r="351" spans="1:5" ht="12.6" customHeight="1" x14ac:dyDescent="0.25">
      <c r="A351" s="173"/>
      <c r="B351" s="173"/>
      <c r="C351" s="189"/>
      <c r="D351" s="175"/>
      <c r="E351" s="175"/>
    </row>
    <row r="352" spans="1:5" ht="12.6" customHeight="1" x14ac:dyDescent="0.25">
      <c r="A352" s="173"/>
      <c r="B352" s="173"/>
      <c r="C352" s="189"/>
      <c r="D352" s="175"/>
      <c r="E352" s="175"/>
    </row>
    <row r="353" spans="1:6" ht="12.6" customHeight="1" x14ac:dyDescent="0.25">
      <c r="A353" s="173"/>
      <c r="B353" s="173"/>
      <c r="C353" s="189"/>
      <c r="D353" s="175"/>
      <c r="E353" s="175"/>
    </row>
    <row r="354" spans="1:6" ht="12.6" customHeight="1" x14ac:dyDescent="0.25">
      <c r="A354" s="173"/>
      <c r="B354" s="173"/>
      <c r="C354" s="189"/>
      <c r="D354" s="175"/>
      <c r="E354" s="175"/>
    </row>
    <row r="355" spans="1:6" ht="12.6" customHeight="1" x14ac:dyDescent="0.25">
      <c r="A355" s="173"/>
      <c r="B355" s="173"/>
      <c r="C355" s="189"/>
      <c r="D355" s="175"/>
      <c r="E355" s="175"/>
    </row>
    <row r="356" spans="1:6" ht="20.25" customHeight="1" x14ac:dyDescent="0.25">
      <c r="A356" s="173"/>
      <c r="B356" s="173"/>
      <c r="C356" s="189"/>
      <c r="D356" s="175"/>
      <c r="E356" s="175"/>
    </row>
    <row r="357" spans="1:6" ht="12.6" customHeight="1" x14ac:dyDescent="0.25">
      <c r="A357" s="206" t="s">
        <v>426</v>
      </c>
      <c r="B357" s="206"/>
      <c r="C357" s="206"/>
      <c r="D357" s="206"/>
      <c r="E357" s="206"/>
    </row>
    <row r="358" spans="1:6" ht="12.6" customHeight="1" x14ac:dyDescent="0.25">
      <c r="A358" s="251" t="s">
        <v>427</v>
      </c>
      <c r="B358" s="251"/>
      <c r="C358" s="251"/>
      <c r="D358" s="251"/>
      <c r="E358" s="251"/>
    </row>
    <row r="359" spans="1:6" ht="12.6" customHeight="1" x14ac:dyDescent="0.25">
      <c r="A359" s="173" t="s">
        <v>428</v>
      </c>
      <c r="B359" s="172" t="s">
        <v>256</v>
      </c>
      <c r="C359" s="187">
        <v>403341854</v>
      </c>
      <c r="D359" s="175"/>
      <c r="E359" s="175"/>
    </row>
    <row r="360" spans="1:6" ht="12.6" customHeight="1" x14ac:dyDescent="0.25">
      <c r="A360" s="173" t="s">
        <v>429</v>
      </c>
      <c r="B360" s="172" t="s">
        <v>256</v>
      </c>
      <c r="C360" s="187">
        <f>552260961+173036+0+2122579+61061539</f>
        <v>615618115</v>
      </c>
      <c r="D360" s="175"/>
      <c r="E360" s="175"/>
    </row>
    <row r="361" spans="1:6" ht="12.6" customHeight="1" x14ac:dyDescent="0.3">
      <c r="A361" s="173" t="s">
        <v>430</v>
      </c>
      <c r="B361" s="175"/>
      <c r="C361" s="189"/>
      <c r="D361" s="175">
        <f>SUM(C359:C360)</f>
        <v>1018959969</v>
      </c>
      <c r="E361" s="175"/>
      <c r="F361" s="301"/>
    </row>
    <row r="362" spans="1:6" ht="12.6" customHeight="1" x14ac:dyDescent="0.25">
      <c r="A362" s="251" t="s">
        <v>431</v>
      </c>
      <c r="B362" s="251"/>
      <c r="C362" s="251"/>
      <c r="D362" s="251"/>
      <c r="E362" s="251"/>
    </row>
    <row r="363" spans="1:6" ht="12.6" customHeight="1" x14ac:dyDescent="0.25">
      <c r="A363" s="173" t="s">
        <v>1255</v>
      </c>
      <c r="B363" s="251"/>
      <c r="C363" s="308">
        <v>13768239</v>
      </c>
      <c r="D363" s="175"/>
      <c r="E363" s="251"/>
    </row>
    <row r="364" spans="1:6" ht="12.6" customHeight="1" x14ac:dyDescent="0.25">
      <c r="A364" s="173" t="s">
        <v>432</v>
      </c>
      <c r="B364" s="172" t="s">
        <v>256</v>
      </c>
      <c r="C364" s="308">
        <f>776057934-C366</f>
        <v>761595891</v>
      </c>
      <c r="D364" s="175"/>
      <c r="E364" s="175"/>
    </row>
    <row r="365" spans="1:6" ht="12.6" customHeight="1" x14ac:dyDescent="0.25">
      <c r="A365" s="173" t="s">
        <v>433</v>
      </c>
      <c r="B365" s="172" t="s">
        <v>256</v>
      </c>
      <c r="C365" s="308">
        <f>15134394+314611</f>
        <v>15449005</v>
      </c>
      <c r="D365" s="175"/>
      <c r="E365" s="175"/>
    </row>
    <row r="366" spans="1:6" ht="12.6" customHeight="1" x14ac:dyDescent="0.25">
      <c r="A366" s="173" t="s">
        <v>434</v>
      </c>
      <c r="B366" s="172" t="s">
        <v>256</v>
      </c>
      <c r="C366" s="308">
        <f>+C238</f>
        <v>14462043</v>
      </c>
      <c r="D366" s="175"/>
      <c r="E366" s="175"/>
    </row>
    <row r="367" spans="1:6" ht="12.6" customHeight="1" x14ac:dyDescent="0.25">
      <c r="A367" s="173" t="s">
        <v>359</v>
      </c>
      <c r="B367" s="175"/>
      <c r="C367" s="189"/>
      <c r="D367" s="175">
        <f>SUM(C363:C366)</f>
        <v>805275178</v>
      </c>
      <c r="E367" s="175"/>
    </row>
    <row r="368" spans="1:6" ht="12.6" customHeight="1" x14ac:dyDescent="0.3">
      <c r="A368" s="173" t="s">
        <v>435</v>
      </c>
      <c r="B368" s="175"/>
      <c r="C368" s="189"/>
      <c r="D368" s="175">
        <f>D361-D367</f>
        <v>213684791</v>
      </c>
      <c r="E368" s="175"/>
      <c r="F368" s="301"/>
    </row>
    <row r="369" spans="1:6" ht="12.6" customHeight="1" x14ac:dyDescent="0.25">
      <c r="A369" s="251" t="s">
        <v>436</v>
      </c>
      <c r="B369" s="251"/>
      <c r="C369" s="251"/>
      <c r="D369" s="251"/>
      <c r="E369" s="251"/>
    </row>
    <row r="370" spans="1:6" ht="12.6" customHeight="1" x14ac:dyDescent="0.3">
      <c r="A370" s="173" t="s">
        <v>437</v>
      </c>
      <c r="B370" s="172" t="s">
        <v>256</v>
      </c>
      <c r="C370" s="308">
        <f>9725133+135896+1750767+718052+31</f>
        <v>12329879</v>
      </c>
      <c r="D370" s="175"/>
      <c r="E370" s="175"/>
      <c r="F370" s="301"/>
    </row>
    <row r="371" spans="1:6" ht="12.6" customHeight="1" x14ac:dyDescent="0.25">
      <c r="A371" s="173" t="s">
        <v>438</v>
      </c>
      <c r="B371" s="172" t="s">
        <v>256</v>
      </c>
      <c r="C371" s="187"/>
      <c r="D371" s="175"/>
      <c r="E371" s="175"/>
    </row>
    <row r="372" spans="1:6" ht="12.6" customHeight="1" x14ac:dyDescent="0.25">
      <c r="A372" s="173" t="s">
        <v>439</v>
      </c>
      <c r="B372" s="175"/>
      <c r="C372" s="189"/>
      <c r="D372" s="175">
        <f>SUM(C370:C371)</f>
        <v>12329879</v>
      </c>
      <c r="E372" s="175"/>
    </row>
    <row r="373" spans="1:6" ht="12.6" customHeight="1" x14ac:dyDescent="0.25">
      <c r="A373" s="173" t="s">
        <v>440</v>
      </c>
      <c r="B373" s="175"/>
      <c r="C373" s="189"/>
      <c r="D373" s="175">
        <f>D368+D372</f>
        <v>226014670</v>
      </c>
      <c r="E373" s="175"/>
    </row>
    <row r="374" spans="1:6" ht="12.6" customHeight="1" x14ac:dyDescent="0.25">
      <c r="A374" s="173"/>
      <c r="B374" s="175"/>
      <c r="C374" s="189"/>
      <c r="D374" s="175"/>
      <c r="E374" s="175"/>
    </row>
    <row r="375" spans="1:6" ht="12.6" customHeight="1" x14ac:dyDescent="0.25">
      <c r="A375" s="173"/>
      <c r="B375" s="175"/>
      <c r="C375" s="189"/>
      <c r="D375" s="175"/>
      <c r="E375" s="175"/>
    </row>
    <row r="376" spans="1:6" ht="12.6" customHeight="1" x14ac:dyDescent="0.25">
      <c r="A376" s="173"/>
      <c r="B376" s="175"/>
      <c r="C376" s="189"/>
      <c r="D376" s="175"/>
      <c r="E376" s="175"/>
    </row>
    <row r="377" spans="1:6" ht="12.6" customHeight="1" x14ac:dyDescent="0.25">
      <c r="A377" s="251" t="s">
        <v>441</v>
      </c>
      <c r="B377" s="251"/>
      <c r="C377" s="251"/>
      <c r="D377" s="251"/>
      <c r="E377" s="251"/>
    </row>
    <row r="378" spans="1:6" ht="12.6" customHeight="1" x14ac:dyDescent="0.25">
      <c r="A378" s="173" t="s">
        <v>442</v>
      </c>
      <c r="B378" s="172" t="s">
        <v>256</v>
      </c>
      <c r="C378" s="187">
        <f>55761165+5342686+26727692+133165</f>
        <v>87964708</v>
      </c>
      <c r="D378" s="175"/>
      <c r="E378" s="175"/>
    </row>
    <row r="379" spans="1:6" ht="12.6" customHeight="1" x14ac:dyDescent="0.25">
      <c r="A379" s="173" t="s">
        <v>3</v>
      </c>
      <c r="B379" s="172" t="s">
        <v>256</v>
      </c>
      <c r="C379" s="187">
        <f>16407182+5464966</f>
        <v>21872148</v>
      </c>
      <c r="D379" s="175"/>
      <c r="E379" s="175"/>
    </row>
    <row r="380" spans="1:6" ht="12.6" customHeight="1" x14ac:dyDescent="0.25">
      <c r="A380" s="173" t="s">
        <v>236</v>
      </c>
      <c r="B380" s="172" t="s">
        <v>256</v>
      </c>
      <c r="C380" s="187">
        <v>9287563</v>
      </c>
      <c r="D380" s="175"/>
      <c r="E380" s="175"/>
    </row>
    <row r="381" spans="1:6" ht="12.6" customHeight="1" x14ac:dyDescent="0.25">
      <c r="A381" s="173" t="s">
        <v>443</v>
      </c>
      <c r="B381" s="172" t="s">
        <v>256</v>
      </c>
      <c r="C381" s="187">
        <f>24310875+1925603</f>
        <v>26236478</v>
      </c>
      <c r="D381" s="175"/>
      <c r="E381" s="175"/>
    </row>
    <row r="382" spans="1:6" ht="12.6" customHeight="1" x14ac:dyDescent="0.25">
      <c r="A382" s="173" t="s">
        <v>444</v>
      </c>
      <c r="B382" s="172" t="s">
        <v>256</v>
      </c>
      <c r="C382" s="187">
        <f>1672287+302267</f>
        <v>1974554</v>
      </c>
      <c r="D382" s="175"/>
      <c r="E382" s="175"/>
    </row>
    <row r="383" spans="1:6" ht="12.6" customHeight="1" x14ac:dyDescent="0.25">
      <c r="A383" s="173" t="s">
        <v>445</v>
      </c>
      <c r="B383" s="172" t="s">
        <v>256</v>
      </c>
      <c r="C383" s="187">
        <f>48212298+1361217+2198940+3089873+173244+28664+519377</f>
        <v>55583613</v>
      </c>
      <c r="D383" s="175"/>
      <c r="E383" s="175"/>
    </row>
    <row r="384" spans="1:6" ht="12.6" customHeight="1" x14ac:dyDescent="0.25">
      <c r="A384" s="173" t="s">
        <v>6</v>
      </c>
      <c r="B384" s="172" t="s">
        <v>256</v>
      </c>
      <c r="C384" s="187">
        <f>14244947+1935689</f>
        <v>16180636</v>
      </c>
      <c r="D384" s="175"/>
      <c r="E384" s="175"/>
    </row>
    <row r="385" spans="1:6" ht="12.6" customHeight="1" x14ac:dyDescent="0.25">
      <c r="A385" s="173" t="s">
        <v>446</v>
      </c>
      <c r="B385" s="172" t="s">
        <v>256</v>
      </c>
      <c r="C385" s="187">
        <f>1675676+3389934</f>
        <v>5065610</v>
      </c>
      <c r="D385" s="175"/>
      <c r="E385" s="175"/>
    </row>
    <row r="386" spans="1:6" ht="12.6" customHeight="1" x14ac:dyDescent="0.25">
      <c r="A386" s="173" t="s">
        <v>447</v>
      </c>
      <c r="B386" s="172" t="s">
        <v>256</v>
      </c>
      <c r="C386" s="187">
        <f>1993276+645460</f>
        <v>2638736</v>
      </c>
      <c r="D386" s="175"/>
      <c r="E386" s="175"/>
    </row>
    <row r="387" spans="1:6" ht="12.6" customHeight="1" x14ac:dyDescent="0.25">
      <c r="A387" s="173" t="s">
        <v>448</v>
      </c>
      <c r="B387" s="172" t="s">
        <v>256</v>
      </c>
      <c r="C387" s="187">
        <f>64627+7532116+8428+15743+3543+339440</f>
        <v>7963897</v>
      </c>
      <c r="D387" s="175"/>
      <c r="E387" s="175"/>
    </row>
    <row r="388" spans="1:6" ht="12.6" customHeight="1" x14ac:dyDescent="0.25">
      <c r="A388" s="173" t="s">
        <v>449</v>
      </c>
      <c r="B388" s="172" t="s">
        <v>256</v>
      </c>
      <c r="C388" s="187">
        <f>5005099+22018</f>
        <v>5027117</v>
      </c>
      <c r="D388" s="175"/>
      <c r="E388" s="175"/>
    </row>
    <row r="389" spans="1:6" ht="12.6" customHeight="1" x14ac:dyDescent="0.25">
      <c r="A389" s="173" t="s">
        <v>451</v>
      </c>
      <c r="B389" s="172" t="s">
        <v>256</v>
      </c>
      <c r="C389" s="187">
        <f>52276+170870+189044+54179+108+24278+1731586-64627-5500+21183+3+64359+27072+80504+133+12358-739+267267-8428-15743-3543+100334+2</f>
        <v>2696976</v>
      </c>
      <c r="D389" s="175"/>
      <c r="E389" s="175"/>
    </row>
    <row r="390" spans="1:6" ht="12.6" customHeight="1" x14ac:dyDescent="0.3">
      <c r="A390" s="173" t="s">
        <v>452</v>
      </c>
      <c r="B390" s="175"/>
      <c r="C390" s="189"/>
      <c r="D390" s="175">
        <f>SUM(C378:C389)</f>
        <v>242492036</v>
      </c>
      <c r="E390" s="175"/>
      <c r="F390" s="301"/>
    </row>
    <row r="391" spans="1:6" ht="12.6" customHeight="1" x14ac:dyDescent="0.25">
      <c r="A391" s="173" t="s">
        <v>453</v>
      </c>
      <c r="B391" s="175"/>
      <c r="C391" s="189"/>
      <c r="D391" s="175">
        <f>D373-D390</f>
        <v>-16477366</v>
      </c>
      <c r="E391" s="175"/>
    </row>
    <row r="392" spans="1:6" ht="12.6" customHeight="1" x14ac:dyDescent="0.25">
      <c r="A392" s="173" t="s">
        <v>454</v>
      </c>
      <c r="B392" s="172" t="s">
        <v>256</v>
      </c>
      <c r="C392" s="308">
        <f>1074193+3370.93-271033-1</f>
        <v>806529.92999999993</v>
      </c>
      <c r="D392" s="175"/>
      <c r="E392" s="175"/>
    </row>
    <row r="393" spans="1:6" ht="12.6" customHeight="1" x14ac:dyDescent="0.25">
      <c r="A393" s="173" t="s">
        <v>455</v>
      </c>
      <c r="B393" s="175"/>
      <c r="C393" s="189"/>
      <c r="D393" s="193">
        <f>D391+C392</f>
        <v>-15670836.07</v>
      </c>
      <c r="E393" s="175"/>
      <c r="F393" s="195"/>
    </row>
    <row r="394" spans="1:6" ht="12.6" customHeight="1" x14ac:dyDescent="0.25">
      <c r="A394" s="173" t="s">
        <v>456</v>
      </c>
      <c r="B394" s="172" t="s">
        <v>256</v>
      </c>
      <c r="C394" s="187"/>
      <c r="D394" s="175"/>
      <c r="E394" s="175"/>
    </row>
    <row r="395" spans="1:6" ht="12.6" customHeight="1" x14ac:dyDescent="0.25">
      <c r="A395" s="173" t="s">
        <v>457</v>
      </c>
      <c r="B395" s="172" t="s">
        <v>256</v>
      </c>
      <c r="C395" s="187"/>
      <c r="D395" s="175"/>
      <c r="E395" s="175"/>
    </row>
    <row r="396" spans="1:6" ht="12.6" customHeight="1" x14ac:dyDescent="0.25">
      <c r="A396" s="173" t="s">
        <v>458</v>
      </c>
      <c r="B396" s="175"/>
      <c r="C396" s="189"/>
      <c r="D396" s="175">
        <f>D393+C394-C395</f>
        <v>-15670836.07</v>
      </c>
      <c r="E396" s="175"/>
    </row>
    <row r="397" spans="1:6" ht="13.5" customHeight="1" x14ac:dyDescent="0.25">
      <c r="A397" s="179"/>
      <c r="B397" s="179"/>
    </row>
    <row r="398" spans="1:6" ht="12.6" customHeight="1" x14ac:dyDescent="0.25">
      <c r="A398" s="179"/>
      <c r="B398" s="179"/>
    </row>
    <row r="399" spans="1:6" ht="12.6" customHeight="1" x14ac:dyDescent="0.25">
      <c r="A399" s="179"/>
      <c r="B399" s="179"/>
    </row>
    <row r="400" spans="1:6" ht="12" customHeight="1" x14ac:dyDescent="0.25">
      <c r="A400" s="179"/>
      <c r="B400" s="179"/>
    </row>
    <row r="401" spans="1:5" ht="12" customHeight="1" x14ac:dyDescent="0.25">
      <c r="A401" s="179"/>
      <c r="B401" s="179"/>
    </row>
    <row r="402" spans="1:5" ht="12" customHeight="1" x14ac:dyDescent="0.25">
      <c r="A402" s="179"/>
      <c r="B402" s="179"/>
    </row>
    <row r="403" spans="1:5" ht="12" customHeight="1" x14ac:dyDescent="0.25">
      <c r="A403" s="179"/>
      <c r="B403" s="179"/>
    </row>
    <row r="404" spans="1:5" ht="12" customHeight="1" x14ac:dyDescent="0.25">
      <c r="A404" s="179"/>
      <c r="B404" s="179"/>
    </row>
    <row r="405" spans="1:5" ht="12.6" customHeight="1" x14ac:dyDescent="0.25">
      <c r="A405" s="179"/>
      <c r="B405" s="179"/>
    </row>
    <row r="406" spans="1:5" ht="12.6" customHeight="1" x14ac:dyDescent="0.25">
      <c r="A406" s="179"/>
      <c r="B406" s="179"/>
    </row>
    <row r="407" spans="1:5" ht="12.6" customHeight="1" x14ac:dyDescent="0.25">
      <c r="A407" s="179"/>
      <c r="B407" s="179"/>
    </row>
    <row r="408" spans="1:5" ht="12.6" customHeight="1" x14ac:dyDescent="0.25">
      <c r="A408" s="179"/>
      <c r="B408" s="179"/>
    </row>
    <row r="409" spans="1:5" ht="12.6" customHeight="1" x14ac:dyDescent="0.25">
      <c r="A409" s="179"/>
      <c r="B409" s="179"/>
    </row>
    <row r="410" spans="1:5" ht="12.6" customHeight="1" x14ac:dyDescent="0.25">
      <c r="A410" s="179"/>
      <c r="B410" s="179"/>
    </row>
    <row r="411" spans="1:5" ht="12.6" customHeight="1" x14ac:dyDescent="0.25">
      <c r="A411" s="179"/>
      <c r="B411" s="179"/>
      <c r="C411" s="181" t="s">
        <v>459</v>
      </c>
      <c r="D411" s="179"/>
      <c r="E411" s="254"/>
    </row>
    <row r="412" spans="1:5" ht="12.6" customHeight="1" x14ac:dyDescent="0.25">
      <c r="A412" s="179" t="str">
        <f>C84&amp;"   "&amp;"H-"&amp;FIXED(C83,0,TRUE)&amp;"     FYE "&amp;C82</f>
        <v>Highline Medical Center   H-0     FYE 06/30/2019</v>
      </c>
      <c r="B412" s="179"/>
      <c r="C412" s="179"/>
      <c r="D412" s="179"/>
      <c r="E412" s="254"/>
    </row>
    <row r="413" spans="1:5" ht="12.6" customHeight="1" x14ac:dyDescent="0.25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" customHeight="1" x14ac:dyDescent="0.25">
      <c r="A414" s="179" t="s">
        <v>463</v>
      </c>
      <c r="B414" s="179">
        <f>C111</f>
        <v>5899</v>
      </c>
      <c r="C414" s="192">
        <f>E138</f>
        <v>5899</v>
      </c>
      <c r="D414" s="179"/>
    </row>
    <row r="415" spans="1:5" ht="12.6" customHeight="1" x14ac:dyDescent="0.25">
      <c r="A415" s="179" t="s">
        <v>464</v>
      </c>
      <c r="B415" s="179">
        <f>D111</f>
        <v>27923</v>
      </c>
      <c r="C415" s="179">
        <f>E139</f>
        <v>27923</v>
      </c>
      <c r="D415" s="192">
        <f>SUM(C59:H59)+N59</f>
        <v>28127.8</v>
      </c>
    </row>
    <row r="416" spans="1:5" ht="12.6" customHeight="1" x14ac:dyDescent="0.25">
      <c r="A416" s="179"/>
      <c r="B416" s="179"/>
      <c r="C416" s="192"/>
      <c r="D416" s="179"/>
    </row>
    <row r="417" spans="1:7" ht="12.6" customHeight="1" x14ac:dyDescent="0.25">
      <c r="A417" s="179" t="s">
        <v>465</v>
      </c>
      <c r="B417" s="179">
        <f>C112</f>
        <v>0</v>
      </c>
      <c r="C417" s="192">
        <f>E144</f>
        <v>0</v>
      </c>
      <c r="D417" s="179"/>
    </row>
    <row r="418" spans="1:7" ht="12.6" customHeight="1" x14ac:dyDescent="0.25">
      <c r="A418" s="179" t="s">
        <v>466</v>
      </c>
      <c r="B418" s="179">
        <f>D112</f>
        <v>0</v>
      </c>
      <c r="C418" s="179">
        <f>E145</f>
        <v>0</v>
      </c>
      <c r="D418" s="179">
        <f>K59+L59</f>
        <v>0</v>
      </c>
    </row>
    <row r="419" spans="1:7" ht="12.6" customHeight="1" x14ac:dyDescent="0.25">
      <c r="A419" s="179"/>
      <c r="B419" s="179"/>
      <c r="C419" s="192"/>
      <c r="D419" s="179"/>
    </row>
    <row r="420" spans="1:7" ht="12.6" customHeight="1" x14ac:dyDescent="0.25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" customHeight="1" x14ac:dyDescent="0.25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" customHeight="1" x14ac:dyDescent="0.25">
      <c r="A422" s="204"/>
      <c r="B422" s="204"/>
      <c r="C422" s="181"/>
      <c r="D422" s="179"/>
    </row>
    <row r="423" spans="1:7" ht="12.6" customHeight="1" x14ac:dyDescent="0.25">
      <c r="A423" s="180" t="s">
        <v>469</v>
      </c>
      <c r="B423" s="180">
        <f>C114</f>
        <v>845</v>
      </c>
    </row>
    <row r="424" spans="1:7" ht="12.6" customHeight="1" x14ac:dyDescent="0.25">
      <c r="A424" s="179" t="s">
        <v>1244</v>
      </c>
      <c r="B424" s="179">
        <f>D114</f>
        <v>1468</v>
      </c>
      <c r="D424" s="179">
        <f>J59</f>
        <v>1468</v>
      </c>
    </row>
    <row r="425" spans="1:7" ht="12.6" customHeight="1" x14ac:dyDescent="0.25">
      <c r="A425" s="204"/>
      <c r="B425" s="204"/>
      <c r="C425" s="204"/>
      <c r="D425" s="204"/>
      <c r="F425" s="204"/>
      <c r="G425" s="204"/>
    </row>
    <row r="426" spans="1:7" ht="12.6" customHeight="1" x14ac:dyDescent="0.25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" customHeight="1" x14ac:dyDescent="0.25">
      <c r="A427" s="179" t="s">
        <v>473</v>
      </c>
      <c r="B427" s="179">
        <f t="shared" ref="B427:B437" si="12">C378</f>
        <v>87964708</v>
      </c>
      <c r="C427" s="179">
        <f t="shared" ref="C427:C434" si="13">CE61</f>
        <v>87964708.340000048</v>
      </c>
      <c r="D427" s="179"/>
    </row>
    <row r="428" spans="1:7" ht="12.6" customHeight="1" x14ac:dyDescent="0.25">
      <c r="A428" s="179" t="s">
        <v>3</v>
      </c>
      <c r="B428" s="179">
        <f t="shared" si="12"/>
        <v>21872148</v>
      </c>
      <c r="C428" s="179">
        <f t="shared" si="13"/>
        <v>21872148</v>
      </c>
      <c r="D428" s="179">
        <f>D173</f>
        <v>21872148</v>
      </c>
    </row>
    <row r="429" spans="1:7" ht="12.6" customHeight="1" x14ac:dyDescent="0.25">
      <c r="A429" s="179" t="s">
        <v>236</v>
      </c>
      <c r="B429" s="179">
        <f t="shared" si="12"/>
        <v>9287563</v>
      </c>
      <c r="C429" s="179">
        <f t="shared" si="13"/>
        <v>9287562.7199999988</v>
      </c>
      <c r="D429" s="179"/>
    </row>
    <row r="430" spans="1:7" ht="12.6" customHeight="1" x14ac:dyDescent="0.25">
      <c r="A430" s="179" t="s">
        <v>237</v>
      </c>
      <c r="B430" s="179">
        <f t="shared" si="12"/>
        <v>26236478</v>
      </c>
      <c r="C430" s="179">
        <f t="shared" si="13"/>
        <v>26236478.410000008</v>
      </c>
      <c r="D430" s="179"/>
    </row>
    <row r="431" spans="1:7" ht="12.6" customHeight="1" x14ac:dyDescent="0.25">
      <c r="A431" s="179" t="s">
        <v>444</v>
      </c>
      <c r="B431" s="179">
        <f t="shared" si="12"/>
        <v>1974554</v>
      </c>
      <c r="C431" s="179">
        <f t="shared" si="13"/>
        <v>1974553.85</v>
      </c>
      <c r="D431" s="179"/>
    </row>
    <row r="432" spans="1:7" ht="12.6" customHeight="1" x14ac:dyDescent="0.25">
      <c r="A432" s="179" t="s">
        <v>445</v>
      </c>
      <c r="B432" s="179">
        <f t="shared" si="12"/>
        <v>55583613</v>
      </c>
      <c r="C432" s="179">
        <f t="shared" si="13"/>
        <v>55583612.9948828</v>
      </c>
      <c r="D432" s="179"/>
    </row>
    <row r="433" spans="1:7" ht="12.6" customHeight="1" x14ac:dyDescent="0.25">
      <c r="A433" s="179" t="s">
        <v>6</v>
      </c>
      <c r="B433" s="179">
        <f t="shared" si="12"/>
        <v>16180636</v>
      </c>
      <c r="C433" s="179">
        <f t="shared" si="13"/>
        <v>16180636</v>
      </c>
      <c r="D433" s="179">
        <f>C217</f>
        <v>16180636</v>
      </c>
    </row>
    <row r="434" spans="1:7" ht="12.6" customHeight="1" x14ac:dyDescent="0.25">
      <c r="A434" s="179" t="s">
        <v>474</v>
      </c>
      <c r="B434" s="179">
        <f t="shared" si="12"/>
        <v>5065610</v>
      </c>
      <c r="C434" s="179">
        <f t="shared" si="13"/>
        <v>5065609.6500000013</v>
      </c>
      <c r="D434" s="179">
        <f>D177</f>
        <v>5065610</v>
      </c>
    </row>
    <row r="435" spans="1:7" ht="12.6" customHeight="1" x14ac:dyDescent="0.25">
      <c r="A435" s="179" t="s">
        <v>447</v>
      </c>
      <c r="B435" s="179">
        <f t="shared" si="12"/>
        <v>2638736</v>
      </c>
      <c r="C435" s="179"/>
      <c r="D435" s="179">
        <f>D181</f>
        <v>2638736</v>
      </c>
    </row>
    <row r="436" spans="1:7" ht="12.6" customHeight="1" x14ac:dyDescent="0.25">
      <c r="A436" s="179" t="s">
        <v>475</v>
      </c>
      <c r="B436" s="179">
        <f t="shared" si="12"/>
        <v>7963897</v>
      </c>
      <c r="C436" s="179"/>
      <c r="D436" s="179">
        <f>D186</f>
        <v>7963897</v>
      </c>
    </row>
    <row r="437" spans="1:7" ht="12.6" customHeight="1" x14ac:dyDescent="0.25">
      <c r="A437" s="192" t="s">
        <v>449</v>
      </c>
      <c r="B437" s="192">
        <f t="shared" si="12"/>
        <v>5027117</v>
      </c>
      <c r="C437" s="192"/>
      <c r="D437" s="192">
        <f>D190</f>
        <v>5027117</v>
      </c>
    </row>
    <row r="438" spans="1:7" ht="12.6" customHeight="1" x14ac:dyDescent="0.25">
      <c r="A438" s="192" t="s">
        <v>476</v>
      </c>
      <c r="B438" s="192">
        <f>C386+C387+C388</f>
        <v>15629750</v>
      </c>
      <c r="C438" s="192">
        <f>CD69</f>
        <v>15629750</v>
      </c>
      <c r="D438" s="192">
        <f>D181+D186+D190</f>
        <v>15629750</v>
      </c>
    </row>
    <row r="439" spans="1:7" ht="12.6" customHeight="1" x14ac:dyDescent="0.25">
      <c r="A439" s="179" t="s">
        <v>451</v>
      </c>
      <c r="B439" s="192">
        <f>C389</f>
        <v>2696976</v>
      </c>
      <c r="C439" s="192">
        <f>SUM(C69:CC69)</f>
        <v>2696976.3499999968</v>
      </c>
      <c r="D439" s="179"/>
    </row>
    <row r="440" spans="1:7" ht="12.6" customHeight="1" x14ac:dyDescent="0.25">
      <c r="A440" s="179" t="s">
        <v>477</v>
      </c>
      <c r="B440" s="305">
        <f>B438+B439</f>
        <v>18326726</v>
      </c>
      <c r="C440" s="192">
        <f>CE69</f>
        <v>18326726.349999998</v>
      </c>
      <c r="D440" s="179"/>
    </row>
    <row r="441" spans="1:7" ht="12.6" customHeight="1" x14ac:dyDescent="0.25">
      <c r="A441" s="179" t="s">
        <v>478</v>
      </c>
      <c r="B441" s="192">
        <f>D390</f>
        <v>242492036</v>
      </c>
      <c r="C441" s="192">
        <f>SUM(C427:C437)+C440</f>
        <v>242492036.31488284</v>
      </c>
      <c r="D441" s="179"/>
    </row>
    <row r="442" spans="1:7" ht="12.6" customHeight="1" x14ac:dyDescent="0.25">
      <c r="A442" s="204"/>
      <c r="B442" s="204"/>
      <c r="C442" s="204"/>
      <c r="D442" s="204"/>
      <c r="F442" s="204"/>
      <c r="G442" s="204"/>
    </row>
    <row r="443" spans="1:7" ht="12.6" customHeight="1" x14ac:dyDescent="0.25">
      <c r="A443" s="179" t="s">
        <v>479</v>
      </c>
      <c r="B443" s="181" t="s">
        <v>480</v>
      </c>
      <c r="C443" s="181" t="s">
        <v>471</v>
      </c>
      <c r="D443" s="179"/>
    </row>
    <row r="444" spans="1:7" ht="12.6" customHeight="1" x14ac:dyDescent="0.25">
      <c r="A444" s="179" t="s">
        <v>1257</v>
      </c>
      <c r="B444" s="179">
        <f>D221</f>
        <v>13768239</v>
      </c>
      <c r="C444" s="179">
        <f>C363</f>
        <v>13768239</v>
      </c>
      <c r="D444" s="179"/>
    </row>
    <row r="445" spans="1:7" ht="12.6" customHeight="1" x14ac:dyDescent="0.25">
      <c r="A445" s="179" t="s">
        <v>343</v>
      </c>
      <c r="B445" s="179">
        <f>D229</f>
        <v>761595891</v>
      </c>
      <c r="C445" s="179">
        <f>C364</f>
        <v>761595891</v>
      </c>
      <c r="D445" s="179"/>
    </row>
    <row r="446" spans="1:7" ht="12.6" customHeight="1" x14ac:dyDescent="0.25">
      <c r="A446" s="179" t="s">
        <v>351</v>
      </c>
      <c r="B446" s="179">
        <f>D236</f>
        <v>15449005</v>
      </c>
      <c r="C446" s="179">
        <f>C365</f>
        <v>15449005</v>
      </c>
      <c r="D446" s="179"/>
    </row>
    <row r="447" spans="1:7" ht="12.6" customHeight="1" x14ac:dyDescent="0.25">
      <c r="A447" s="179" t="s">
        <v>356</v>
      </c>
      <c r="B447" s="179">
        <f>D240</f>
        <v>14462043</v>
      </c>
      <c r="C447" s="179">
        <f>C366</f>
        <v>14462043</v>
      </c>
      <c r="D447" s="179"/>
    </row>
    <row r="448" spans="1:7" ht="12.6" customHeight="1" x14ac:dyDescent="0.25">
      <c r="A448" s="179" t="s">
        <v>358</v>
      </c>
      <c r="B448" s="179">
        <f>D242</f>
        <v>805275178</v>
      </c>
      <c r="C448" s="179">
        <f>D367</f>
        <v>805275178</v>
      </c>
      <c r="D448" s="179"/>
    </row>
    <row r="449" spans="1:7" ht="12.6" customHeight="1" x14ac:dyDescent="0.25">
      <c r="A449" s="204"/>
      <c r="B449" s="204"/>
      <c r="C449" s="204"/>
      <c r="D449" s="204"/>
      <c r="F449" s="204"/>
      <c r="G449" s="204"/>
    </row>
    <row r="450" spans="1:7" ht="12.6" customHeight="1" x14ac:dyDescent="0.25">
      <c r="A450" s="180" t="s">
        <v>481</v>
      </c>
      <c r="B450" s="181" t="s">
        <v>482</v>
      </c>
      <c r="C450" s="204"/>
      <c r="D450" s="204"/>
      <c r="F450" s="204"/>
      <c r="G450" s="204"/>
    </row>
    <row r="451" spans="1:7" ht="12.6" customHeight="1" x14ac:dyDescent="0.25">
      <c r="B451" s="181" t="s">
        <v>483</v>
      </c>
    </row>
    <row r="452" spans="1:7" ht="12.6" customHeight="1" x14ac:dyDescent="0.25">
      <c r="B452" s="181" t="s">
        <v>472</v>
      </c>
    </row>
    <row r="453" spans="1:7" ht="12.6" customHeight="1" x14ac:dyDescent="0.25">
      <c r="A453" s="197" t="s">
        <v>484</v>
      </c>
      <c r="B453" s="180">
        <f>C231</f>
        <v>5530</v>
      </c>
    </row>
    <row r="454" spans="1:7" ht="12.6" customHeight="1" x14ac:dyDescent="0.25">
      <c r="A454" s="179" t="s">
        <v>168</v>
      </c>
      <c r="B454" s="179">
        <f>C233</f>
        <v>3646732</v>
      </c>
      <c r="C454" s="179"/>
      <c r="D454" s="179"/>
    </row>
    <row r="455" spans="1:7" ht="12.6" customHeight="1" x14ac:dyDescent="0.25">
      <c r="A455" s="179" t="s">
        <v>131</v>
      </c>
      <c r="B455" s="179">
        <f>C234</f>
        <v>11802273</v>
      </c>
      <c r="C455" s="179"/>
      <c r="D455" s="179"/>
    </row>
    <row r="456" spans="1:7" ht="12.6" customHeight="1" x14ac:dyDescent="0.25">
      <c r="A456" s="204"/>
      <c r="B456" s="204"/>
      <c r="C456" s="204"/>
      <c r="D456" s="204"/>
      <c r="F456" s="204"/>
      <c r="G456" s="204"/>
    </row>
    <row r="457" spans="1:7" ht="12.6" customHeight="1" x14ac:dyDescent="0.25">
      <c r="A457" s="179" t="s">
        <v>485</v>
      </c>
      <c r="B457" s="181" t="s">
        <v>471</v>
      </c>
      <c r="C457" s="181" t="s">
        <v>486</v>
      </c>
      <c r="D457" s="179"/>
    </row>
    <row r="458" spans="1:7" ht="12.6" customHeight="1" x14ac:dyDescent="0.25">
      <c r="A458" s="179" t="s">
        <v>487</v>
      </c>
      <c r="B458" s="192">
        <f>C370</f>
        <v>12329879</v>
      </c>
      <c r="C458" s="192">
        <f>CE70</f>
        <v>12329880.140000001</v>
      </c>
      <c r="D458" s="192"/>
    </row>
    <row r="459" spans="1:7" ht="12.6" customHeight="1" x14ac:dyDescent="0.25">
      <c r="A459" s="179" t="s">
        <v>244</v>
      </c>
      <c r="B459" s="192">
        <f>C371</f>
        <v>0</v>
      </c>
      <c r="C459" s="192">
        <f>CE72</f>
        <v>0</v>
      </c>
      <c r="D459" s="192"/>
    </row>
    <row r="460" spans="1:7" ht="12.6" customHeight="1" x14ac:dyDescent="0.25">
      <c r="A460" s="204"/>
      <c r="B460" s="204"/>
      <c r="C460" s="204"/>
      <c r="D460" s="204"/>
      <c r="F460" s="204"/>
      <c r="G460" s="204"/>
    </row>
    <row r="461" spans="1:7" ht="12.6" customHeight="1" x14ac:dyDescent="0.25">
      <c r="A461" s="179" t="s">
        <v>488</v>
      </c>
      <c r="B461" s="181"/>
      <c r="C461" s="181"/>
      <c r="D461" s="181" t="s">
        <v>1245</v>
      </c>
    </row>
    <row r="462" spans="1:7" ht="12.6" customHeight="1" x14ac:dyDescent="0.25">
      <c r="B462" s="181" t="s">
        <v>471</v>
      </c>
      <c r="C462" s="181" t="s">
        <v>486</v>
      </c>
      <c r="D462" s="181" t="s">
        <v>490</v>
      </c>
    </row>
    <row r="463" spans="1:7" ht="12.6" customHeight="1" x14ac:dyDescent="0.25">
      <c r="A463" s="179" t="s">
        <v>245</v>
      </c>
      <c r="B463" s="192">
        <f>C359</f>
        <v>403341854</v>
      </c>
      <c r="C463" s="192">
        <f>CE73</f>
        <v>403341854.01000005</v>
      </c>
      <c r="D463" s="192">
        <f>E141+E147+E153</f>
        <v>403341854</v>
      </c>
    </row>
    <row r="464" spans="1:7" ht="12.6" customHeight="1" x14ac:dyDescent="0.25">
      <c r="A464" s="179" t="s">
        <v>246</v>
      </c>
      <c r="B464" s="192">
        <f>C360</f>
        <v>615618115</v>
      </c>
      <c r="C464" s="192">
        <f>CE74</f>
        <v>615618115.30000007</v>
      </c>
      <c r="D464" s="192">
        <f>E142+E148+E154</f>
        <v>615618115</v>
      </c>
    </row>
    <row r="465" spans="1:7" ht="12.6" customHeight="1" x14ac:dyDescent="0.25">
      <c r="A465" s="179" t="s">
        <v>247</v>
      </c>
      <c r="B465" s="192">
        <f>D361</f>
        <v>1018959969</v>
      </c>
      <c r="C465" s="192">
        <f>CE75</f>
        <v>1018959969.3100001</v>
      </c>
      <c r="D465" s="192">
        <f>D463+D464</f>
        <v>1018959969</v>
      </c>
    </row>
    <row r="466" spans="1:7" ht="12.6" customHeight="1" x14ac:dyDescent="0.25">
      <c r="A466" s="204"/>
      <c r="B466" s="204"/>
      <c r="C466" s="204"/>
      <c r="D466" s="204"/>
      <c r="F466" s="204"/>
      <c r="G466" s="204"/>
    </row>
    <row r="467" spans="1:7" ht="12.6" customHeight="1" x14ac:dyDescent="0.25">
      <c r="A467" s="179" t="s">
        <v>491</v>
      </c>
      <c r="B467" s="181" t="s">
        <v>492</v>
      </c>
      <c r="C467" s="181" t="s">
        <v>493</v>
      </c>
      <c r="D467" s="179"/>
    </row>
    <row r="468" spans="1:7" ht="12.6" customHeight="1" x14ac:dyDescent="0.25">
      <c r="A468" s="179" t="s">
        <v>332</v>
      </c>
      <c r="B468" s="179">
        <f t="shared" ref="B468:B475" si="14">C267</f>
        <v>7414345.5499999998</v>
      </c>
      <c r="C468" s="179">
        <f>E195</f>
        <v>7414345.5499999998</v>
      </c>
      <c r="D468" s="179"/>
    </row>
    <row r="469" spans="1:7" ht="12.6" customHeight="1" x14ac:dyDescent="0.25">
      <c r="A469" s="179" t="s">
        <v>333</v>
      </c>
      <c r="B469" s="179">
        <f t="shared" si="14"/>
        <v>1128574.1200000001</v>
      </c>
      <c r="C469" s="179">
        <f>E196</f>
        <v>1128574.1199999999</v>
      </c>
      <c r="D469" s="179"/>
    </row>
    <row r="470" spans="1:7" ht="12.6" customHeight="1" x14ac:dyDescent="0.25">
      <c r="A470" s="179" t="s">
        <v>334</v>
      </c>
      <c r="B470" s="179">
        <f t="shared" si="14"/>
        <v>93535040.25</v>
      </c>
      <c r="C470" s="179">
        <f>E197</f>
        <v>93535040.25</v>
      </c>
      <c r="D470" s="179"/>
    </row>
    <row r="471" spans="1:7" ht="12.6" customHeight="1" x14ac:dyDescent="0.25">
      <c r="A471" s="179" t="s">
        <v>494</v>
      </c>
      <c r="B471" s="179">
        <f t="shared" si="14"/>
        <v>31644655</v>
      </c>
      <c r="C471" s="179">
        <f>E198</f>
        <v>31644655.23</v>
      </c>
      <c r="D471" s="179"/>
    </row>
    <row r="472" spans="1:7" ht="12.6" customHeight="1" x14ac:dyDescent="0.25">
      <c r="A472" s="179" t="s">
        <v>377</v>
      </c>
      <c r="B472" s="179">
        <f t="shared" si="14"/>
        <v>2515884</v>
      </c>
      <c r="C472" s="179">
        <f>E199</f>
        <v>2515884.2400000002</v>
      </c>
      <c r="D472" s="179"/>
    </row>
    <row r="473" spans="1:7" ht="12.6" customHeight="1" x14ac:dyDescent="0.25">
      <c r="A473" s="179" t="s">
        <v>495</v>
      </c>
      <c r="B473" s="179">
        <f t="shared" si="14"/>
        <v>78515939</v>
      </c>
      <c r="C473" s="179">
        <f>SUM(E200:E201)</f>
        <v>78515937.25</v>
      </c>
      <c r="D473" s="179"/>
    </row>
    <row r="474" spans="1:7" ht="12.6" customHeight="1" x14ac:dyDescent="0.25">
      <c r="A474" s="179" t="s">
        <v>339</v>
      </c>
      <c r="B474" s="179">
        <f t="shared" si="14"/>
        <v>7186099</v>
      </c>
      <c r="C474" s="179">
        <f>E202</f>
        <v>7186099.1200000001</v>
      </c>
      <c r="D474" s="179"/>
    </row>
    <row r="475" spans="1:7" ht="12.6" customHeight="1" x14ac:dyDescent="0.25">
      <c r="A475" s="179" t="s">
        <v>340</v>
      </c>
      <c r="B475" s="179">
        <f t="shared" si="14"/>
        <v>5314069</v>
      </c>
      <c r="C475" s="179">
        <f>E203</f>
        <v>5314070.05</v>
      </c>
      <c r="D475" s="179"/>
    </row>
    <row r="476" spans="1:7" ht="12.6" customHeight="1" x14ac:dyDescent="0.25">
      <c r="A476" s="179" t="s">
        <v>203</v>
      </c>
      <c r="B476" s="179">
        <f>D275</f>
        <v>227254605.92000002</v>
      </c>
      <c r="C476" s="179">
        <f>E204</f>
        <v>227254605.81000003</v>
      </c>
      <c r="D476" s="179"/>
    </row>
    <row r="477" spans="1:7" ht="12.6" customHeight="1" x14ac:dyDescent="0.25">
      <c r="A477" s="179"/>
      <c r="B477" s="179"/>
      <c r="C477" s="179"/>
      <c r="D477" s="179"/>
    </row>
    <row r="478" spans="1:7" ht="12.6" customHeight="1" x14ac:dyDescent="0.25">
      <c r="A478" s="179" t="s">
        <v>496</v>
      </c>
      <c r="B478" s="179">
        <f>C276</f>
        <v>79237641</v>
      </c>
      <c r="C478" s="179">
        <f>E217</f>
        <v>79237640.939999998</v>
      </c>
      <c r="D478" s="179"/>
    </row>
    <row r="480" spans="1:7" ht="12.6" customHeight="1" x14ac:dyDescent="0.25">
      <c r="A480" s="180" t="s">
        <v>497</v>
      </c>
    </row>
    <row r="481" spans="1:12" ht="12.6" customHeight="1" x14ac:dyDescent="0.25">
      <c r="A481" s="180" t="s">
        <v>498</v>
      </c>
      <c r="C481" s="180">
        <f>D341</f>
        <v>241440634.92000002</v>
      </c>
    </row>
    <row r="482" spans="1:12" ht="12.6" customHeight="1" x14ac:dyDescent="0.25">
      <c r="A482" s="180" t="s">
        <v>499</v>
      </c>
      <c r="C482" s="180">
        <f>D339</f>
        <v>241440635</v>
      </c>
    </row>
    <row r="485" spans="1:12" ht="12.6" customHeight="1" x14ac:dyDescent="0.25">
      <c r="A485" s="197" t="s">
        <v>500</v>
      </c>
    </row>
    <row r="486" spans="1:12" ht="12.6" customHeight="1" x14ac:dyDescent="0.25">
      <c r="A486" s="197" t="s">
        <v>501</v>
      </c>
    </row>
    <row r="487" spans="1:12" ht="12.6" customHeight="1" x14ac:dyDescent="0.25">
      <c r="A487" s="197" t="s">
        <v>502</v>
      </c>
    </row>
    <row r="488" spans="1:12" ht="12.6" customHeight="1" x14ac:dyDescent="0.25">
      <c r="A488" s="197"/>
    </row>
    <row r="489" spans="1:12" ht="12.6" customHeight="1" x14ac:dyDescent="0.25">
      <c r="A489" s="196" t="s">
        <v>503</v>
      </c>
    </row>
    <row r="490" spans="1:12" ht="12.6" customHeight="1" x14ac:dyDescent="0.25">
      <c r="A490" s="197" t="s">
        <v>504</v>
      </c>
    </row>
    <row r="491" spans="1:12" ht="12.6" customHeight="1" x14ac:dyDescent="0.25">
      <c r="A491" s="197"/>
    </row>
    <row r="493" spans="1:12" ht="12.6" customHeight="1" x14ac:dyDescent="0.25">
      <c r="A493" s="180" t="str">
        <f>C83</f>
        <v>126</v>
      </c>
      <c r="B493" s="255" t="str">
        <f>RIGHT('Prior Year'!C82,4)</f>
        <v>2018</v>
      </c>
      <c r="C493" s="255" t="str">
        <f>RIGHT(C82,4)</f>
        <v>2019</v>
      </c>
      <c r="D493" s="255" t="str">
        <f>RIGHT('Prior Year'!C82,4)</f>
        <v>2018</v>
      </c>
      <c r="E493" s="255" t="str">
        <f>RIGHT(C82,4)</f>
        <v>2019</v>
      </c>
      <c r="F493" s="255" t="str">
        <f>RIGHT('Prior Year'!C82,4)</f>
        <v>2018</v>
      </c>
      <c r="G493" s="255" t="str">
        <f>RIGHT(C82,4)</f>
        <v>2019</v>
      </c>
      <c r="H493" s="255"/>
      <c r="K493" s="255"/>
      <c r="L493" s="255"/>
    </row>
    <row r="494" spans="1:12" ht="12.6" customHeight="1" x14ac:dyDescent="0.25">
      <c r="A494" s="196"/>
      <c r="B494" s="181" t="s">
        <v>505</v>
      </c>
      <c r="C494" s="181" t="s">
        <v>505</v>
      </c>
      <c r="D494" s="256" t="s">
        <v>506</v>
      </c>
      <c r="E494" s="256" t="s">
        <v>506</v>
      </c>
      <c r="F494" s="255" t="s">
        <v>507</v>
      </c>
      <c r="G494" s="255" t="s">
        <v>507</v>
      </c>
      <c r="H494" s="255" t="s">
        <v>508</v>
      </c>
      <c r="K494" s="255"/>
      <c r="L494" s="255"/>
    </row>
    <row r="495" spans="1:12" ht="12.6" customHeight="1" x14ac:dyDescent="0.25">
      <c r="B495" s="181" t="s">
        <v>303</v>
      </c>
      <c r="C495" s="181" t="s">
        <v>303</v>
      </c>
      <c r="D495" s="181" t="s">
        <v>509</v>
      </c>
      <c r="E495" s="181" t="s">
        <v>509</v>
      </c>
      <c r="F495" s="255" t="s">
        <v>510</v>
      </c>
      <c r="G495" s="255" t="s">
        <v>510</v>
      </c>
      <c r="H495" s="255" t="s">
        <v>511</v>
      </c>
      <c r="K495" s="255"/>
      <c r="L495" s="255"/>
    </row>
    <row r="496" spans="1:12" ht="12.6" customHeight="1" x14ac:dyDescent="0.25">
      <c r="A496" s="180" t="s">
        <v>512</v>
      </c>
      <c r="B496" s="234">
        <f>'Prior Year'!C71</f>
        <v>5113328.1300000008</v>
      </c>
      <c r="C496" s="234">
        <f>C71</f>
        <v>4997355.330000001</v>
      </c>
      <c r="D496" s="234">
        <f>'Prior Year'!C59</f>
        <v>8019</v>
      </c>
      <c r="E496" s="180">
        <f>C59</f>
        <v>2509.88</v>
      </c>
      <c r="F496" s="257">
        <f t="shared" ref="F496:G511" si="15">IF(B496=0,"",IF(D496=0,"",B496/D496))</f>
        <v>637.65159371492712</v>
      </c>
      <c r="G496" s="258">
        <f t="shared" si="15"/>
        <v>1991.0734098841383</v>
      </c>
      <c r="H496" s="259">
        <f>IF(B496=0,"",IF(C496=0,"",IF(D496=0,"",IF(E496=0,"",IF(G496/F496-1&lt;-0.25,G496/F496-1,IF(G496/F496-1&gt;0.25,G496/F496-1,""))))))</f>
        <v>2.1225098933482496</v>
      </c>
      <c r="I496" s="261"/>
      <c r="K496" s="255"/>
      <c r="L496" s="255"/>
    </row>
    <row r="497" spans="1:13" ht="12.6" customHeight="1" x14ac:dyDescent="0.25">
      <c r="A497" s="180" t="s">
        <v>513</v>
      </c>
      <c r="B497" s="234">
        <f>'Prior Year'!D71</f>
        <v>0</v>
      </c>
      <c r="C497" s="234">
        <f>D71</f>
        <v>0</v>
      </c>
      <c r="D497" s="234">
        <f>'Prior Year'!D59</f>
        <v>0</v>
      </c>
      <c r="E497" s="180">
        <f>D59</f>
        <v>0</v>
      </c>
      <c r="F497" s="257" t="str">
        <f t="shared" si="15"/>
        <v/>
      </c>
      <c r="G497" s="257" t="str">
        <f t="shared" si="15"/>
        <v/>
      </c>
      <c r="H497" s="259" t="str">
        <f t="shared" ref="H497:H550" si="16">IF(B497=0,"",IF(C497=0,"",IF(D497=0,"",IF(E497=0,"",IF(G497/F497-1&lt;-0.25,G497/F497-1,IF(G497/F497-1&gt;0.25,G497/F497-1,""))))))</f>
        <v/>
      </c>
      <c r="I497" s="261"/>
      <c r="K497" s="255"/>
      <c r="L497" s="255"/>
    </row>
    <row r="498" spans="1:13" ht="12.6" customHeight="1" x14ac:dyDescent="0.25">
      <c r="A498" s="180" t="s">
        <v>514</v>
      </c>
      <c r="B498" s="234">
        <f>'Prior Year'!E71</f>
        <v>20154673.400000002</v>
      </c>
      <c r="C498" s="234">
        <f>E71</f>
        <v>21714640.649920002</v>
      </c>
      <c r="D498" s="234">
        <f>'Prior Year'!E59</f>
        <v>23358</v>
      </c>
      <c r="E498" s="180">
        <f>E59</f>
        <v>25617.919999999998</v>
      </c>
      <c r="F498" s="257">
        <f t="shared" si="15"/>
        <v>862.85955133144967</v>
      </c>
      <c r="G498" s="257">
        <f t="shared" si="15"/>
        <v>847.63480602328377</v>
      </c>
      <c r="H498" s="259" t="str">
        <f t="shared" si="16"/>
        <v/>
      </c>
      <c r="I498" s="261"/>
      <c r="K498" s="255"/>
      <c r="L498" s="255"/>
    </row>
    <row r="499" spans="1:13" ht="12.6" customHeight="1" x14ac:dyDescent="0.25">
      <c r="A499" s="180" t="s">
        <v>515</v>
      </c>
      <c r="B499" s="234">
        <f>'Prior Year'!F71</f>
        <v>0</v>
      </c>
      <c r="C499" s="234">
        <f>F71</f>
        <v>0</v>
      </c>
      <c r="D499" s="234">
        <f>'Prior Year'!F59</f>
        <v>0</v>
      </c>
      <c r="E499" s="180">
        <f>F59</f>
        <v>0</v>
      </c>
      <c r="F499" s="257" t="str">
        <f t="shared" si="15"/>
        <v/>
      </c>
      <c r="G499" s="257" t="str">
        <f t="shared" si="15"/>
        <v/>
      </c>
      <c r="H499" s="259" t="str">
        <f t="shared" si="16"/>
        <v/>
      </c>
      <c r="I499" s="261"/>
      <c r="K499" s="255"/>
      <c r="L499" s="255"/>
    </row>
    <row r="500" spans="1:13" ht="12.6" customHeight="1" x14ac:dyDescent="0.25">
      <c r="A500" s="180" t="s">
        <v>516</v>
      </c>
      <c r="B500" s="234">
        <f>'Prior Year'!G71</f>
        <v>4562.83</v>
      </c>
      <c r="C500" s="234">
        <f>G71</f>
        <v>47537.180410000001</v>
      </c>
      <c r="D500" s="234">
        <f>'Prior Year'!G59</f>
        <v>0</v>
      </c>
      <c r="E500" s="180">
        <f>G59</f>
        <v>0</v>
      </c>
      <c r="F500" s="257" t="str">
        <f t="shared" si="15"/>
        <v/>
      </c>
      <c r="G500" s="257" t="str">
        <f t="shared" si="15"/>
        <v/>
      </c>
      <c r="H500" s="259" t="str">
        <f t="shared" si="16"/>
        <v/>
      </c>
      <c r="I500" s="261"/>
      <c r="K500" s="255"/>
      <c r="L500" s="255"/>
    </row>
    <row r="501" spans="1:13" ht="12.6" customHeight="1" x14ac:dyDescent="0.25">
      <c r="A501" s="180" t="s">
        <v>517</v>
      </c>
      <c r="B501" s="234">
        <f>'Prior Year'!H71</f>
        <v>0</v>
      </c>
      <c r="C501" s="234">
        <f>H71</f>
        <v>0</v>
      </c>
      <c r="D501" s="234">
        <f>'Prior Year'!H59</f>
        <v>0</v>
      </c>
      <c r="E501" s="180">
        <f>H59</f>
        <v>0</v>
      </c>
      <c r="F501" s="257" t="str">
        <f t="shared" si="15"/>
        <v/>
      </c>
      <c r="G501" s="257" t="str">
        <f t="shared" si="15"/>
        <v/>
      </c>
      <c r="H501" s="259" t="str">
        <f t="shared" si="16"/>
        <v/>
      </c>
      <c r="I501" s="261"/>
      <c r="K501" s="255"/>
      <c r="L501" s="255"/>
    </row>
    <row r="502" spans="1:13" ht="12.6" customHeight="1" x14ac:dyDescent="0.25">
      <c r="A502" s="180" t="s">
        <v>518</v>
      </c>
      <c r="B502" s="234">
        <f>'Prior Year'!I71</f>
        <v>0</v>
      </c>
      <c r="C502" s="234">
        <f>I71</f>
        <v>0</v>
      </c>
      <c r="D502" s="234">
        <f>'Prior Year'!I59</f>
        <v>0</v>
      </c>
      <c r="E502" s="180">
        <f>I59</f>
        <v>0</v>
      </c>
      <c r="F502" s="257" t="str">
        <f t="shared" si="15"/>
        <v/>
      </c>
      <c r="G502" s="257" t="str">
        <f t="shared" si="15"/>
        <v/>
      </c>
      <c r="H502" s="259" t="str">
        <f t="shared" si="16"/>
        <v/>
      </c>
      <c r="I502" s="261"/>
      <c r="L502" s="255"/>
      <c r="M502" s="255"/>
    </row>
    <row r="503" spans="1:13" ht="12.6" customHeight="1" x14ac:dyDescent="0.25">
      <c r="A503" s="180" t="s">
        <v>519</v>
      </c>
      <c r="B503" s="234">
        <f>'Prior Year'!J71</f>
        <v>0</v>
      </c>
      <c r="C503" s="234">
        <f>J71</f>
        <v>0</v>
      </c>
      <c r="D503" s="234">
        <f>'Prior Year'!J59</f>
        <v>1661</v>
      </c>
      <c r="E503" s="180">
        <f>J59</f>
        <v>1468</v>
      </c>
      <c r="F503" s="257" t="str">
        <f t="shared" si="15"/>
        <v/>
      </c>
      <c r="G503" s="257" t="str">
        <f t="shared" si="15"/>
        <v/>
      </c>
      <c r="H503" s="259" t="str">
        <f t="shared" si="16"/>
        <v/>
      </c>
      <c r="I503" s="261"/>
      <c r="J503" s="299">
        <f>(3081-2066)/2066</f>
        <v>0.49128751210067761</v>
      </c>
      <c r="L503" s="255"/>
      <c r="M503" s="255"/>
    </row>
    <row r="504" spans="1:13" ht="12.6" customHeight="1" x14ac:dyDescent="0.25">
      <c r="A504" s="180" t="s">
        <v>520</v>
      </c>
      <c r="B504" s="234">
        <f>'Prior Year'!K71</f>
        <v>0</v>
      </c>
      <c r="C504" s="234">
        <f>K71</f>
        <v>0</v>
      </c>
      <c r="D504" s="234">
        <f>'Prior Year'!K59</f>
        <v>0</v>
      </c>
      <c r="E504" s="180">
        <f>K59</f>
        <v>0</v>
      </c>
      <c r="F504" s="257" t="str">
        <f t="shared" si="15"/>
        <v/>
      </c>
      <c r="G504" s="257" t="str">
        <f t="shared" si="15"/>
        <v/>
      </c>
      <c r="H504" s="259" t="str">
        <f t="shared" si="16"/>
        <v/>
      </c>
      <c r="I504" s="261"/>
      <c r="J504" s="299">
        <f>(26-18)/18</f>
        <v>0.44444444444444442</v>
      </c>
      <c r="L504" s="255"/>
      <c r="M504" s="255"/>
    </row>
    <row r="505" spans="1:13" ht="12.6" customHeight="1" x14ac:dyDescent="0.25">
      <c r="A505" s="180" t="s">
        <v>521</v>
      </c>
      <c r="B505" s="234">
        <f>'Prior Year'!L71</f>
        <v>0</v>
      </c>
      <c r="C505" s="234">
        <f>L71</f>
        <v>0</v>
      </c>
      <c r="D505" s="234">
        <f>'Prior Year'!L59</f>
        <v>0</v>
      </c>
      <c r="E505" s="180">
        <f>L59</f>
        <v>0</v>
      </c>
      <c r="F505" s="257" t="str">
        <f t="shared" si="15"/>
        <v/>
      </c>
      <c r="G505" s="257" t="str">
        <f t="shared" si="15"/>
        <v/>
      </c>
      <c r="H505" s="259" t="str">
        <f t="shared" si="16"/>
        <v/>
      </c>
      <c r="I505" s="261"/>
      <c r="K505" s="255"/>
      <c r="L505" s="255"/>
    </row>
    <row r="506" spans="1:13" ht="12.6" customHeight="1" x14ac:dyDescent="0.25">
      <c r="A506" s="180" t="s">
        <v>522</v>
      </c>
      <c r="B506" s="234">
        <f>'Prior Year'!M71</f>
        <v>-1617504.31</v>
      </c>
      <c r="C506" s="234">
        <f>M71</f>
        <v>0</v>
      </c>
      <c r="D506" s="234">
        <f>'Prior Year'!M59</f>
        <v>0</v>
      </c>
      <c r="E506" s="180">
        <f>M59</f>
        <v>0</v>
      </c>
      <c r="F506" s="257" t="str">
        <f t="shared" si="15"/>
        <v/>
      </c>
      <c r="G506" s="257" t="str">
        <f t="shared" si="15"/>
        <v/>
      </c>
      <c r="H506" s="259" t="str">
        <f t="shared" si="16"/>
        <v/>
      </c>
      <c r="I506" s="261"/>
      <c r="K506" s="255"/>
      <c r="L506" s="255"/>
    </row>
    <row r="507" spans="1:13" ht="12.6" customHeight="1" x14ac:dyDescent="0.25">
      <c r="A507" s="180" t="s">
        <v>523</v>
      </c>
      <c r="B507" s="234">
        <f>'Prior Year'!N71</f>
        <v>0</v>
      </c>
      <c r="C507" s="234">
        <f>N71</f>
        <v>0</v>
      </c>
      <c r="D507" s="234">
        <f>'Prior Year'!N59</f>
        <v>0</v>
      </c>
      <c r="E507" s="180">
        <f>N59</f>
        <v>0</v>
      </c>
      <c r="F507" s="257" t="str">
        <f t="shared" si="15"/>
        <v/>
      </c>
      <c r="G507" s="257" t="str">
        <f t="shared" si="15"/>
        <v/>
      </c>
      <c r="H507" s="259" t="str">
        <f t="shared" si="16"/>
        <v/>
      </c>
      <c r="I507" s="261"/>
      <c r="K507" s="255"/>
      <c r="L507" s="255"/>
    </row>
    <row r="508" spans="1:13" ht="12.6" customHeight="1" x14ac:dyDescent="0.25">
      <c r="A508" s="180" t="s">
        <v>524</v>
      </c>
      <c r="B508" s="234">
        <f>'Prior Year'!O71</f>
        <v>5192777.2600000016</v>
      </c>
      <c r="C508" s="234">
        <f>O71</f>
        <v>5296113.1499999994</v>
      </c>
      <c r="D508" s="234">
        <f>'Prior Year'!O59</f>
        <v>0</v>
      </c>
      <c r="E508" s="180">
        <f>O59</f>
        <v>3268</v>
      </c>
      <c r="F508" s="257" t="str">
        <f t="shared" si="15"/>
        <v/>
      </c>
      <c r="G508" s="257">
        <f t="shared" si="15"/>
        <v>1620.5976591187268</v>
      </c>
      <c r="H508" s="259" t="str">
        <f t="shared" si="16"/>
        <v/>
      </c>
      <c r="I508" s="261"/>
      <c r="K508" s="255"/>
      <c r="L508" s="255"/>
    </row>
    <row r="509" spans="1:13" ht="12.6" customHeight="1" x14ac:dyDescent="0.25">
      <c r="A509" s="180" t="s">
        <v>525</v>
      </c>
      <c r="B509" s="234">
        <f>'Prior Year'!P71</f>
        <v>19953857.642415565</v>
      </c>
      <c r="C509" s="234">
        <f>P71</f>
        <v>20139074.719040003</v>
      </c>
      <c r="D509" s="234">
        <f>'Prior Year'!P59</f>
        <v>395437</v>
      </c>
      <c r="E509" s="180">
        <f>P59</f>
        <v>363206</v>
      </c>
      <c r="F509" s="257">
        <f t="shared" si="15"/>
        <v>50.460269631864406</v>
      </c>
      <c r="G509" s="257">
        <f t="shared" si="15"/>
        <v>55.448078278002022</v>
      </c>
      <c r="H509" s="259" t="str">
        <f t="shared" si="16"/>
        <v/>
      </c>
      <c r="I509" s="261"/>
      <c r="K509" s="255"/>
      <c r="L509" s="255"/>
    </row>
    <row r="510" spans="1:13" ht="12.6" customHeight="1" x14ac:dyDescent="0.25">
      <c r="A510" s="180" t="s">
        <v>526</v>
      </c>
      <c r="B510" s="234">
        <f>'Prior Year'!Q71</f>
        <v>4143781.8500000006</v>
      </c>
      <c r="C510" s="234">
        <f>Q71</f>
        <v>2941993.08</v>
      </c>
      <c r="D510" s="234">
        <f>'Prior Year'!Q59</f>
        <v>1164800</v>
      </c>
      <c r="E510" s="180">
        <f>Q59</f>
        <v>1201300</v>
      </c>
      <c r="F510" s="257">
        <f t="shared" si="15"/>
        <v>3.5575050223214291</v>
      </c>
      <c r="G510" s="257">
        <f t="shared" si="15"/>
        <v>2.4490078082077749</v>
      </c>
      <c r="H510" s="259">
        <f t="shared" si="16"/>
        <v>-0.3115939983663919</v>
      </c>
      <c r="I510" s="261" t="s">
        <v>1370</v>
      </c>
      <c r="K510" s="255"/>
      <c r="L510" s="255"/>
    </row>
    <row r="511" spans="1:13" ht="12.6" customHeight="1" x14ac:dyDescent="0.25">
      <c r="A511" s="180" t="s">
        <v>527</v>
      </c>
      <c r="B511" s="234">
        <f>'Prior Year'!R71</f>
        <v>0</v>
      </c>
      <c r="C511" s="234">
        <f>R71</f>
        <v>0</v>
      </c>
      <c r="D511" s="234">
        <f>'Prior Year'!R59</f>
        <v>0</v>
      </c>
      <c r="E511" s="180">
        <f>R59</f>
        <v>0</v>
      </c>
      <c r="F511" s="257" t="str">
        <f t="shared" si="15"/>
        <v/>
      </c>
      <c r="G511" s="257" t="str">
        <f t="shared" si="15"/>
        <v/>
      </c>
      <c r="H511" s="259" t="str">
        <f t="shared" si="16"/>
        <v/>
      </c>
      <c r="I511" s="261"/>
      <c r="K511" s="255"/>
      <c r="L511" s="255"/>
    </row>
    <row r="512" spans="1:13" ht="12.6" customHeight="1" x14ac:dyDescent="0.25">
      <c r="A512" s="180" t="s">
        <v>528</v>
      </c>
      <c r="B512" s="234">
        <f>'Prior Year'!S71</f>
        <v>1174078.3836506</v>
      </c>
      <c r="C512" s="234">
        <f>S71</f>
        <v>988932.98756319005</v>
      </c>
      <c r="D512" s="181" t="s">
        <v>529</v>
      </c>
      <c r="E512" s="181" t="s">
        <v>529</v>
      </c>
      <c r="F512" s="257" t="str">
        <f t="shared" ref="F512:G527" si="17">IF(B512=0,"",IF(D512=0,"",B512/D512))</f>
        <v/>
      </c>
      <c r="G512" s="257" t="str">
        <f t="shared" si="17"/>
        <v/>
      </c>
      <c r="H512" s="259" t="str">
        <f t="shared" si="16"/>
        <v/>
      </c>
      <c r="I512" s="261"/>
      <c r="K512" s="255"/>
      <c r="L512" s="255"/>
    </row>
    <row r="513" spans="1:12" ht="12.6" customHeight="1" x14ac:dyDescent="0.25">
      <c r="A513" s="180" t="s">
        <v>1246</v>
      </c>
      <c r="B513" s="234">
        <f>'Prior Year'!T71</f>
        <v>452685.41000000003</v>
      </c>
      <c r="C513" s="234">
        <f>T71</f>
        <v>187093.84</v>
      </c>
      <c r="D513" s="181" t="s">
        <v>529</v>
      </c>
      <c r="E513" s="181" t="s">
        <v>529</v>
      </c>
      <c r="F513" s="257" t="str">
        <f t="shared" si="17"/>
        <v/>
      </c>
      <c r="G513" s="257" t="str">
        <f t="shared" si="17"/>
        <v/>
      </c>
      <c r="H513" s="259" t="str">
        <f t="shared" si="16"/>
        <v/>
      </c>
      <c r="I513" s="261"/>
      <c r="K513" s="255"/>
      <c r="L513" s="255"/>
    </row>
    <row r="514" spans="1:12" ht="12.6" customHeight="1" x14ac:dyDescent="0.25">
      <c r="A514" s="180" t="s">
        <v>530</v>
      </c>
      <c r="B514" s="234">
        <f>'Prior Year'!U71</f>
        <v>5835602.7599999998</v>
      </c>
      <c r="C514" s="234">
        <f>U71</f>
        <v>6372043.3355100006</v>
      </c>
      <c r="D514" s="234">
        <f>'Prior Year'!U59</f>
        <v>434927</v>
      </c>
      <c r="E514" s="180">
        <f>U59</f>
        <v>483562</v>
      </c>
      <c r="F514" s="257">
        <f t="shared" si="17"/>
        <v>13.41743041935773</v>
      </c>
      <c r="G514" s="257">
        <f t="shared" si="17"/>
        <v>13.177303707714835</v>
      </c>
      <c r="H514" s="259" t="str">
        <f t="shared" si="16"/>
        <v/>
      </c>
      <c r="I514" s="261"/>
      <c r="K514" s="255"/>
      <c r="L514" s="255"/>
    </row>
    <row r="515" spans="1:12" ht="12.6" customHeight="1" x14ac:dyDescent="0.25">
      <c r="A515" s="180" t="s">
        <v>531</v>
      </c>
      <c r="B515" s="234">
        <f>'Prior Year'!V71</f>
        <v>0</v>
      </c>
      <c r="C515" s="234">
        <f>V71</f>
        <v>0</v>
      </c>
      <c r="D515" s="234">
        <f>'Prior Year'!V59</f>
        <v>0</v>
      </c>
      <c r="E515" s="180">
        <f>V59</f>
        <v>0</v>
      </c>
      <c r="F515" s="257" t="str">
        <f t="shared" si="17"/>
        <v/>
      </c>
      <c r="G515" s="257" t="str">
        <f t="shared" si="17"/>
        <v/>
      </c>
      <c r="H515" s="259" t="str">
        <f t="shared" si="16"/>
        <v/>
      </c>
      <c r="I515" s="261"/>
      <c r="K515" s="255"/>
      <c r="L515" s="255"/>
    </row>
    <row r="516" spans="1:12" ht="12.6" customHeight="1" x14ac:dyDescent="0.25">
      <c r="A516" s="180" t="s">
        <v>532</v>
      </c>
      <c r="B516" s="234">
        <f>'Prior Year'!W71</f>
        <v>1931777.5199999996</v>
      </c>
      <c r="C516" s="234">
        <f>W71</f>
        <v>1767671.23</v>
      </c>
      <c r="D516" s="234">
        <f>'Prior Year'!W59</f>
        <v>1939</v>
      </c>
      <c r="E516" s="180">
        <f>W59</f>
        <v>2020</v>
      </c>
      <c r="F516" s="257">
        <f t="shared" si="17"/>
        <v>996.27515214027824</v>
      </c>
      <c r="G516" s="257">
        <f t="shared" si="17"/>
        <v>875.08476732673262</v>
      </c>
      <c r="H516" s="259" t="str">
        <f t="shared" si="16"/>
        <v/>
      </c>
      <c r="I516" s="261"/>
      <c r="K516" s="255"/>
      <c r="L516" s="255"/>
    </row>
    <row r="517" spans="1:12" ht="12.6" customHeight="1" x14ac:dyDescent="0.25">
      <c r="A517" s="180" t="s">
        <v>533</v>
      </c>
      <c r="B517" s="234">
        <f>'Prior Year'!X71</f>
        <v>1415147.0700000003</v>
      </c>
      <c r="C517" s="234">
        <f>X71</f>
        <v>1416481.4299999997</v>
      </c>
      <c r="D517" s="234">
        <f>'Prior Year'!X59</f>
        <v>18172</v>
      </c>
      <c r="E517" s="180">
        <f>X59</f>
        <v>20162</v>
      </c>
      <c r="F517" s="257">
        <f t="shared" si="17"/>
        <v>77.875141426370263</v>
      </c>
      <c r="G517" s="257">
        <f t="shared" si="17"/>
        <v>70.25500595179048</v>
      </c>
      <c r="H517" s="259" t="str">
        <f t="shared" si="16"/>
        <v/>
      </c>
      <c r="I517" s="261"/>
      <c r="K517" s="255"/>
      <c r="L517" s="255"/>
    </row>
    <row r="518" spans="1:12" ht="12.6" customHeight="1" x14ac:dyDescent="0.25">
      <c r="A518" s="180" t="s">
        <v>534</v>
      </c>
      <c r="B518" s="234">
        <f>'Prior Year'!Y71</f>
        <v>5994511.0599999996</v>
      </c>
      <c r="C518" s="234">
        <f>Y71</f>
        <v>5818246.0299999993</v>
      </c>
      <c r="D518" s="234">
        <f>'Prior Year'!Y59</f>
        <v>124189</v>
      </c>
      <c r="E518" s="180">
        <f>Y59</f>
        <v>127450</v>
      </c>
      <c r="F518" s="257">
        <f t="shared" si="17"/>
        <v>48.269259435215673</v>
      </c>
      <c r="G518" s="257">
        <f t="shared" si="17"/>
        <v>45.651204629266374</v>
      </c>
      <c r="H518" s="259" t="str">
        <f t="shared" si="16"/>
        <v/>
      </c>
      <c r="I518" s="261"/>
      <c r="K518" s="255"/>
      <c r="L518" s="255"/>
    </row>
    <row r="519" spans="1:12" ht="12.6" customHeight="1" x14ac:dyDescent="0.25">
      <c r="A519" s="180" t="s">
        <v>535</v>
      </c>
      <c r="B519" s="234">
        <f>'Prior Year'!Z71</f>
        <v>0</v>
      </c>
      <c r="C519" s="234">
        <f>Z71</f>
        <v>0</v>
      </c>
      <c r="D519" s="234">
        <f>'Prior Year'!Z59</f>
        <v>0</v>
      </c>
      <c r="E519" s="180">
        <f>Z59</f>
        <v>0</v>
      </c>
      <c r="F519" s="257" t="str">
        <f t="shared" si="17"/>
        <v/>
      </c>
      <c r="G519" s="257" t="str">
        <f t="shared" si="17"/>
        <v/>
      </c>
      <c r="H519" s="259" t="str">
        <f t="shared" si="16"/>
        <v/>
      </c>
      <c r="I519" s="261"/>
      <c r="K519" s="255"/>
      <c r="L519" s="255"/>
    </row>
    <row r="520" spans="1:12" ht="12.6" customHeight="1" x14ac:dyDescent="0.25">
      <c r="A520" s="180" t="s">
        <v>536</v>
      </c>
      <c r="B520" s="234">
        <f>'Prior Year'!AA71</f>
        <v>878825.29</v>
      </c>
      <c r="C520" s="234">
        <f>AA71</f>
        <v>832718.81999999983</v>
      </c>
      <c r="D520" s="234">
        <f>'Prior Year'!AA59</f>
        <v>1074</v>
      </c>
      <c r="E520" s="180">
        <f>AA59</f>
        <v>1019</v>
      </c>
      <c r="F520" s="257">
        <f t="shared" si="17"/>
        <v>818.27308193668534</v>
      </c>
      <c r="G520" s="257">
        <f t="shared" si="17"/>
        <v>817.19216879293413</v>
      </c>
      <c r="H520" s="259" t="str">
        <f t="shared" si="16"/>
        <v/>
      </c>
      <c r="I520" s="261"/>
      <c r="K520" s="255"/>
      <c r="L520" s="255"/>
    </row>
    <row r="521" spans="1:12" ht="12.6" customHeight="1" x14ac:dyDescent="0.25">
      <c r="A521" s="180" t="s">
        <v>537</v>
      </c>
      <c r="B521" s="234">
        <f>'Prior Year'!AB71</f>
        <v>10542780.92</v>
      </c>
      <c r="C521" s="234">
        <f>AB71</f>
        <v>12162599.129999999</v>
      </c>
      <c r="D521" s="181" t="s">
        <v>529</v>
      </c>
      <c r="E521" s="181" t="s">
        <v>529</v>
      </c>
      <c r="F521" s="257" t="str">
        <f t="shared" si="17"/>
        <v/>
      </c>
      <c r="G521" s="257" t="str">
        <f t="shared" si="17"/>
        <v/>
      </c>
      <c r="H521" s="259" t="str">
        <f t="shared" si="16"/>
        <v/>
      </c>
      <c r="I521" s="261"/>
      <c r="K521" s="255"/>
      <c r="L521" s="255"/>
    </row>
    <row r="522" spans="1:12" ht="12.6" customHeight="1" x14ac:dyDescent="0.25">
      <c r="A522" s="180" t="s">
        <v>538</v>
      </c>
      <c r="B522" s="234">
        <f>'Prior Year'!AC71</f>
        <v>2182263.7499999995</v>
      </c>
      <c r="C522" s="234">
        <f>AC71</f>
        <v>2059020.8999999997</v>
      </c>
      <c r="D522" s="234">
        <f>'Prior Year'!AC59</f>
        <v>45179</v>
      </c>
      <c r="E522" s="180">
        <f>AC59</f>
        <v>45551</v>
      </c>
      <c r="F522" s="257">
        <f t="shared" si="17"/>
        <v>48.302612939640085</v>
      </c>
      <c r="G522" s="257">
        <f t="shared" si="17"/>
        <v>45.202540010098566</v>
      </c>
      <c r="H522" s="259" t="str">
        <f t="shared" si="16"/>
        <v/>
      </c>
      <c r="I522" s="261"/>
      <c r="K522" s="255"/>
      <c r="L522" s="255"/>
    </row>
    <row r="523" spans="1:12" ht="12.6" customHeight="1" x14ac:dyDescent="0.25">
      <c r="A523" s="180" t="s">
        <v>539</v>
      </c>
      <c r="B523" s="234">
        <f>'Prior Year'!AD71</f>
        <v>593772.80000000005</v>
      </c>
      <c r="C523" s="234">
        <f>AD71</f>
        <v>567966.18999999994</v>
      </c>
      <c r="D523" s="234">
        <f>'Prior Year'!AD59</f>
        <v>29408</v>
      </c>
      <c r="E523" s="180">
        <f>AD59</f>
        <v>27907</v>
      </c>
      <c r="F523" s="257">
        <f t="shared" si="17"/>
        <v>20.190859630032644</v>
      </c>
      <c r="G523" s="257">
        <f t="shared" si="17"/>
        <v>20.352104848245958</v>
      </c>
      <c r="H523" s="259" t="str">
        <f t="shared" si="16"/>
        <v/>
      </c>
      <c r="I523" s="261"/>
      <c r="K523" s="255"/>
      <c r="L523" s="255"/>
    </row>
    <row r="524" spans="1:12" ht="12.6" customHeight="1" x14ac:dyDescent="0.25">
      <c r="A524" s="180" t="s">
        <v>540</v>
      </c>
      <c r="B524" s="234">
        <f>'Prior Year'!AE71</f>
        <v>832348.23</v>
      </c>
      <c r="C524" s="234">
        <f>AE71</f>
        <v>603155.57999999996</v>
      </c>
      <c r="D524" s="234">
        <f>'Prior Year'!AE59</f>
        <v>12262</v>
      </c>
      <c r="E524" s="180">
        <f>AE59</f>
        <v>10351</v>
      </c>
      <c r="F524" s="257">
        <f t="shared" si="17"/>
        <v>67.880299298646221</v>
      </c>
      <c r="G524" s="257">
        <f t="shared" si="17"/>
        <v>58.270271471355422</v>
      </c>
      <c r="H524" s="259" t="str">
        <f t="shared" si="16"/>
        <v/>
      </c>
      <c r="I524" s="261"/>
      <c r="K524" s="255"/>
      <c r="L524" s="255"/>
    </row>
    <row r="525" spans="1:12" ht="12.6" customHeight="1" x14ac:dyDescent="0.25">
      <c r="A525" s="180" t="s">
        <v>541</v>
      </c>
      <c r="B525" s="234">
        <f>'Prior Year'!AF71</f>
        <v>0</v>
      </c>
      <c r="C525" s="234">
        <f>AF71</f>
        <v>0</v>
      </c>
      <c r="D525" s="234">
        <f>'Prior Year'!AF59</f>
        <v>0</v>
      </c>
      <c r="E525" s="180">
        <f>AF59</f>
        <v>0</v>
      </c>
      <c r="F525" s="257" t="str">
        <f t="shared" si="17"/>
        <v/>
      </c>
      <c r="G525" s="257" t="str">
        <f t="shared" si="17"/>
        <v/>
      </c>
      <c r="H525" s="259" t="str">
        <f t="shared" si="16"/>
        <v/>
      </c>
      <c r="I525" s="261"/>
      <c r="K525" s="255"/>
      <c r="L525" s="255"/>
    </row>
    <row r="526" spans="1:12" ht="12.6" customHeight="1" x14ac:dyDescent="0.25">
      <c r="A526" s="180" t="s">
        <v>542</v>
      </c>
      <c r="B526" s="234">
        <f>'Prior Year'!AG71</f>
        <v>13599791.4</v>
      </c>
      <c r="C526" s="234">
        <f>AG71</f>
        <v>14328695.609999998</v>
      </c>
      <c r="D526" s="234">
        <f>'Prior Year'!AG59</f>
        <v>45975</v>
      </c>
      <c r="E526" s="180">
        <f>AG59</f>
        <v>48162</v>
      </c>
      <c r="F526" s="257">
        <f t="shared" si="17"/>
        <v>295.80840456769982</v>
      </c>
      <c r="G526" s="257">
        <f t="shared" si="17"/>
        <v>297.51039429425686</v>
      </c>
      <c r="H526" s="259" t="str">
        <f t="shared" si="16"/>
        <v/>
      </c>
      <c r="I526" s="261"/>
      <c r="K526" s="255"/>
      <c r="L526" s="255"/>
    </row>
    <row r="527" spans="1:12" ht="12.6" customHeight="1" x14ac:dyDescent="0.25">
      <c r="A527" s="180" t="s">
        <v>543</v>
      </c>
      <c r="B527" s="234">
        <f>'Prior Year'!AH71</f>
        <v>0</v>
      </c>
      <c r="C527" s="234">
        <f>AH71</f>
        <v>0</v>
      </c>
      <c r="D527" s="234">
        <f>'Prior Year'!AH59</f>
        <v>0</v>
      </c>
      <c r="E527" s="180">
        <f>AH59</f>
        <v>0</v>
      </c>
      <c r="F527" s="257" t="str">
        <f t="shared" si="17"/>
        <v/>
      </c>
      <c r="G527" s="257" t="str">
        <f t="shared" si="17"/>
        <v/>
      </c>
      <c r="H527" s="259" t="str">
        <f t="shared" si="16"/>
        <v/>
      </c>
      <c r="I527" s="261"/>
      <c r="K527" s="255"/>
      <c r="L527" s="255"/>
    </row>
    <row r="528" spans="1:12" ht="12.6" customHeight="1" x14ac:dyDescent="0.25">
      <c r="A528" s="180" t="s">
        <v>544</v>
      </c>
      <c r="B528" s="234">
        <f>'Prior Year'!AI71</f>
        <v>0</v>
      </c>
      <c r="C528" s="234">
        <f>AI71</f>
        <v>0</v>
      </c>
      <c r="D528" s="234">
        <f>'Prior Year'!AI59</f>
        <v>0</v>
      </c>
      <c r="E528" s="180">
        <f>AI59</f>
        <v>0</v>
      </c>
      <c r="F528" s="257" t="str">
        <f t="shared" ref="F528:G540" si="18">IF(B528=0,"",IF(D528=0,"",B528/D528))</f>
        <v/>
      </c>
      <c r="G528" s="257" t="str">
        <f t="shared" si="18"/>
        <v/>
      </c>
      <c r="H528" s="259" t="str">
        <f t="shared" si="16"/>
        <v/>
      </c>
      <c r="I528" s="261"/>
      <c r="K528" s="255"/>
      <c r="L528" s="255"/>
    </row>
    <row r="529" spans="1:12" ht="12.6" customHeight="1" x14ac:dyDescent="0.25">
      <c r="A529" s="180" t="s">
        <v>545</v>
      </c>
      <c r="B529" s="234">
        <f>'Prior Year'!AJ71</f>
        <v>5438555.5600000005</v>
      </c>
      <c r="C529" s="234">
        <f>AJ71</f>
        <v>49789066.479999997</v>
      </c>
      <c r="D529" s="234">
        <f>'Prior Year'!AJ59</f>
        <v>12879</v>
      </c>
      <c r="E529" s="180">
        <f>AJ59</f>
        <v>192070</v>
      </c>
      <c r="F529" s="257">
        <f t="shared" si="18"/>
        <v>422.28088826772267</v>
      </c>
      <c r="G529" s="257">
        <f t="shared" si="18"/>
        <v>259.22354599885455</v>
      </c>
      <c r="H529" s="259">
        <f t="shared" si="16"/>
        <v>-0.38613479037083742</v>
      </c>
      <c r="I529" s="261" t="s">
        <v>1371</v>
      </c>
      <c r="K529" s="255"/>
      <c r="L529" s="255"/>
    </row>
    <row r="530" spans="1:12" ht="12.6" customHeight="1" x14ac:dyDescent="0.25">
      <c r="A530" s="180" t="s">
        <v>546</v>
      </c>
      <c r="B530" s="234">
        <f>'Prior Year'!AK71</f>
        <v>291964.62</v>
      </c>
      <c r="C530" s="234">
        <f>AK71</f>
        <v>272868.67000000016</v>
      </c>
      <c r="D530" s="234">
        <f>'Prior Year'!AK59</f>
        <v>3644.07</v>
      </c>
      <c r="E530" s="180">
        <f>AK59</f>
        <v>12154</v>
      </c>
      <c r="F530" s="257">
        <f t="shared" si="18"/>
        <v>80.120475182968491</v>
      </c>
      <c r="G530" s="257">
        <f t="shared" si="18"/>
        <v>22.450935494487425</v>
      </c>
      <c r="H530" s="259">
        <f t="shared" si="16"/>
        <v>-0.71978529279541892</v>
      </c>
      <c r="I530" s="261" t="s">
        <v>1372</v>
      </c>
      <c r="K530" s="255"/>
      <c r="L530" s="255"/>
    </row>
    <row r="531" spans="1:12" ht="12.6" customHeight="1" x14ac:dyDescent="0.25">
      <c r="A531" s="180" t="s">
        <v>547</v>
      </c>
      <c r="B531" s="234">
        <f>'Prior Year'!AL71</f>
        <v>56276.380000000005</v>
      </c>
      <c r="C531" s="234">
        <f>AL71</f>
        <v>286945.19</v>
      </c>
      <c r="D531" s="234">
        <f>'Prior Year'!AL59</f>
        <v>2442.71</v>
      </c>
      <c r="E531" s="180">
        <f>AL59</f>
        <v>5046</v>
      </c>
      <c r="F531" s="257">
        <f t="shared" si="18"/>
        <v>23.03850231914554</v>
      </c>
      <c r="G531" s="257">
        <f t="shared" si="18"/>
        <v>56.865871977804204</v>
      </c>
      <c r="H531" s="259">
        <f t="shared" si="16"/>
        <v>1.4682972525756295</v>
      </c>
      <c r="I531" s="261" t="s">
        <v>1373</v>
      </c>
      <c r="K531" s="255"/>
      <c r="L531" s="255"/>
    </row>
    <row r="532" spans="1:12" ht="12.6" customHeight="1" x14ac:dyDescent="0.25">
      <c r="A532" s="180" t="s">
        <v>548</v>
      </c>
      <c r="B532" s="234">
        <f>'Prior Year'!AM71</f>
        <v>0</v>
      </c>
      <c r="C532" s="234">
        <f>AM71</f>
        <v>0</v>
      </c>
      <c r="D532" s="234">
        <f>'Prior Year'!AM59</f>
        <v>0</v>
      </c>
      <c r="E532" s="180">
        <f>AM59</f>
        <v>0</v>
      </c>
      <c r="F532" s="257" t="str">
        <f t="shared" si="18"/>
        <v/>
      </c>
      <c r="G532" s="257" t="str">
        <f t="shared" si="18"/>
        <v/>
      </c>
      <c r="H532" s="259" t="str">
        <f t="shared" si="16"/>
        <v/>
      </c>
      <c r="I532" s="261"/>
      <c r="K532" s="255"/>
      <c r="L532" s="255"/>
    </row>
    <row r="533" spans="1:12" ht="12.6" customHeight="1" x14ac:dyDescent="0.25">
      <c r="A533" s="180" t="s">
        <v>1247</v>
      </c>
      <c r="B533" s="234">
        <f>'Prior Year'!AN71</f>
        <v>0</v>
      </c>
      <c r="C533" s="234">
        <f>AN71</f>
        <v>0</v>
      </c>
      <c r="D533" s="234">
        <f>'Prior Year'!AN59</f>
        <v>0</v>
      </c>
      <c r="E533" s="180">
        <f>AN59</f>
        <v>0</v>
      </c>
      <c r="F533" s="257" t="str">
        <f t="shared" si="18"/>
        <v/>
      </c>
      <c r="G533" s="257" t="str">
        <f t="shared" si="18"/>
        <v/>
      </c>
      <c r="H533" s="259" t="str">
        <f t="shared" si="16"/>
        <v/>
      </c>
      <c r="I533" s="261"/>
      <c r="K533" s="255"/>
      <c r="L533" s="255"/>
    </row>
    <row r="534" spans="1:12" ht="12.6" customHeight="1" x14ac:dyDescent="0.25">
      <c r="A534" s="180" t="s">
        <v>549</v>
      </c>
      <c r="B534" s="234">
        <f>'Prior Year'!AO71</f>
        <v>0</v>
      </c>
      <c r="C534" s="234">
        <f>AO71</f>
        <v>0</v>
      </c>
      <c r="D534" s="234">
        <f>'Prior Year'!AO59</f>
        <v>0</v>
      </c>
      <c r="E534" s="180">
        <f>AO59</f>
        <v>0</v>
      </c>
      <c r="F534" s="257" t="str">
        <f t="shared" si="18"/>
        <v/>
      </c>
      <c r="G534" s="257" t="str">
        <f t="shared" si="18"/>
        <v/>
      </c>
      <c r="H534" s="259" t="str">
        <f t="shared" si="16"/>
        <v/>
      </c>
      <c r="I534" s="261"/>
      <c r="K534" s="255"/>
      <c r="L534" s="255"/>
    </row>
    <row r="535" spans="1:12" ht="12.6" customHeight="1" x14ac:dyDescent="0.25">
      <c r="A535" s="180" t="s">
        <v>550</v>
      </c>
      <c r="B535" s="234">
        <f>'Prior Year'!AP71</f>
        <v>823.05</v>
      </c>
      <c r="C535" s="234">
        <f>AP71</f>
        <v>1007.82</v>
      </c>
      <c r="D535" s="234">
        <f>'Prior Year'!AP59</f>
        <v>0</v>
      </c>
      <c r="E535" s="180">
        <f>AP59</f>
        <v>0</v>
      </c>
      <c r="F535" s="257" t="str">
        <f t="shared" si="18"/>
        <v/>
      </c>
      <c r="G535" s="257" t="str">
        <f t="shared" si="18"/>
        <v/>
      </c>
      <c r="H535" s="259" t="str">
        <f t="shared" si="16"/>
        <v/>
      </c>
      <c r="I535" s="261"/>
      <c r="K535" s="255"/>
      <c r="L535" s="255"/>
    </row>
    <row r="536" spans="1:12" ht="12.6" customHeight="1" x14ac:dyDescent="0.25">
      <c r="A536" s="180" t="s">
        <v>551</v>
      </c>
      <c r="B536" s="234">
        <f>'Prior Year'!AQ71</f>
        <v>0</v>
      </c>
      <c r="C536" s="234">
        <f>AQ71</f>
        <v>0</v>
      </c>
      <c r="D536" s="234">
        <f>'Prior Year'!AQ59</f>
        <v>0</v>
      </c>
      <c r="E536" s="180">
        <f>AQ59</f>
        <v>0</v>
      </c>
      <c r="F536" s="257" t="str">
        <f t="shared" si="18"/>
        <v/>
      </c>
      <c r="G536" s="257" t="str">
        <f t="shared" si="18"/>
        <v/>
      </c>
      <c r="H536" s="259" t="str">
        <f t="shared" si="16"/>
        <v/>
      </c>
      <c r="I536" s="261"/>
      <c r="K536" s="255"/>
      <c r="L536" s="255"/>
    </row>
    <row r="537" spans="1:12" ht="12.6" customHeight="1" x14ac:dyDescent="0.25">
      <c r="A537" s="180" t="s">
        <v>552</v>
      </c>
      <c r="B537" s="234">
        <f>'Prior Year'!AR71</f>
        <v>909398.25000000023</v>
      </c>
      <c r="C537" s="234">
        <f>AR71</f>
        <v>0</v>
      </c>
      <c r="D537" s="234">
        <f>'Prior Year'!AR59</f>
        <v>0</v>
      </c>
      <c r="E537" s="180">
        <f>AR59</f>
        <v>0</v>
      </c>
      <c r="F537" s="257" t="str">
        <f t="shared" si="18"/>
        <v/>
      </c>
      <c r="G537" s="257" t="str">
        <f t="shared" si="18"/>
        <v/>
      </c>
      <c r="H537" s="259" t="str">
        <f t="shared" si="16"/>
        <v/>
      </c>
      <c r="I537" s="261"/>
      <c r="K537" s="255"/>
      <c r="L537" s="255"/>
    </row>
    <row r="538" spans="1:12" ht="12.6" customHeight="1" x14ac:dyDescent="0.25">
      <c r="A538" s="180" t="s">
        <v>553</v>
      </c>
      <c r="B538" s="234">
        <f>'Prior Year'!AS71</f>
        <v>0</v>
      </c>
      <c r="C538" s="234">
        <f>AS71</f>
        <v>0</v>
      </c>
      <c r="D538" s="234">
        <f>'Prior Year'!AS59</f>
        <v>0</v>
      </c>
      <c r="E538" s="180">
        <f>AS59</f>
        <v>0</v>
      </c>
      <c r="F538" s="257" t="str">
        <f t="shared" si="18"/>
        <v/>
      </c>
      <c r="G538" s="257" t="str">
        <f t="shared" si="18"/>
        <v/>
      </c>
      <c r="H538" s="259" t="str">
        <f t="shared" si="16"/>
        <v/>
      </c>
      <c r="I538" s="261"/>
      <c r="K538" s="255"/>
      <c r="L538" s="255"/>
    </row>
    <row r="539" spans="1:12" ht="12.6" customHeight="1" x14ac:dyDescent="0.25">
      <c r="A539" s="180" t="s">
        <v>554</v>
      </c>
      <c r="B539" s="234">
        <f>'Prior Year'!AT71</f>
        <v>0</v>
      </c>
      <c r="C539" s="234">
        <f>AT71</f>
        <v>0</v>
      </c>
      <c r="D539" s="234">
        <f>'Prior Year'!AT59</f>
        <v>0</v>
      </c>
      <c r="E539" s="180">
        <f>AT59</f>
        <v>0</v>
      </c>
      <c r="F539" s="257" t="str">
        <f t="shared" si="18"/>
        <v/>
      </c>
      <c r="G539" s="257" t="str">
        <f t="shared" si="18"/>
        <v/>
      </c>
      <c r="H539" s="259" t="str">
        <f t="shared" si="16"/>
        <v/>
      </c>
      <c r="I539" s="261"/>
      <c r="K539" s="255"/>
      <c r="L539" s="255"/>
    </row>
    <row r="540" spans="1:12" ht="12.6" customHeight="1" x14ac:dyDescent="0.25">
      <c r="A540" s="180" t="s">
        <v>555</v>
      </c>
      <c r="B540" s="234">
        <f>'Prior Year'!AU71</f>
        <v>0</v>
      </c>
      <c r="C540" s="234">
        <f>AU71</f>
        <v>0</v>
      </c>
      <c r="D540" s="234">
        <f>'Prior Year'!AU59</f>
        <v>0</v>
      </c>
      <c r="E540" s="180">
        <f>AU59</f>
        <v>0</v>
      </c>
      <c r="F540" s="257" t="str">
        <f t="shared" si="18"/>
        <v/>
      </c>
      <c r="G540" s="257" t="str">
        <f t="shared" si="18"/>
        <v/>
      </c>
      <c r="H540" s="259" t="str">
        <f t="shared" si="16"/>
        <v/>
      </c>
      <c r="I540" s="261"/>
      <c r="K540" s="255"/>
      <c r="L540" s="255"/>
    </row>
    <row r="541" spans="1:12" ht="12.6" customHeight="1" x14ac:dyDescent="0.25">
      <c r="A541" s="180" t="s">
        <v>556</v>
      </c>
      <c r="B541" s="234">
        <f>'Prior Year'!AV71</f>
        <v>6251187.0842000023</v>
      </c>
      <c r="C541" s="234">
        <f>AV71</f>
        <v>5158608.1428400008</v>
      </c>
      <c r="D541" s="181" t="s">
        <v>529</v>
      </c>
      <c r="E541" s="181" t="s">
        <v>529</v>
      </c>
      <c r="F541" s="257"/>
      <c r="G541" s="257"/>
      <c r="H541" s="259"/>
      <c r="I541" s="261"/>
      <c r="K541" s="255"/>
      <c r="L541" s="255"/>
    </row>
    <row r="542" spans="1:12" ht="12.6" customHeight="1" x14ac:dyDescent="0.25">
      <c r="A542" s="180" t="s">
        <v>1248</v>
      </c>
      <c r="B542" s="234">
        <f>'Prior Year'!AW71</f>
        <v>753666.28</v>
      </c>
      <c r="C542" s="234">
        <f>AW71</f>
        <v>706869.55000000016</v>
      </c>
      <c r="D542" s="181" t="s">
        <v>529</v>
      </c>
      <c r="E542" s="181" t="s">
        <v>529</v>
      </c>
      <c r="F542" s="257"/>
      <c r="G542" s="257"/>
      <c r="H542" s="259"/>
      <c r="I542" s="261"/>
      <c r="K542" s="255"/>
      <c r="L542" s="255"/>
    </row>
    <row r="543" spans="1:12" ht="12.6" customHeight="1" x14ac:dyDescent="0.25">
      <c r="A543" s="180" t="s">
        <v>557</v>
      </c>
      <c r="B543" s="234">
        <f>'Prior Year'!AX71</f>
        <v>-14.049299999999903</v>
      </c>
      <c r="C543" s="234">
        <f>AX71</f>
        <v>77174.285759999984</v>
      </c>
      <c r="D543" s="181" t="s">
        <v>529</v>
      </c>
      <c r="E543" s="181" t="s">
        <v>529</v>
      </c>
      <c r="F543" s="257"/>
      <c r="G543" s="257"/>
      <c r="H543" s="259"/>
      <c r="I543" s="261"/>
      <c r="K543" s="255"/>
      <c r="L543" s="255"/>
    </row>
    <row r="544" spans="1:12" ht="12.6" customHeight="1" x14ac:dyDescent="0.25">
      <c r="A544" s="180" t="s">
        <v>558</v>
      </c>
      <c r="B544" s="234">
        <f>'Prior Year'!AY71</f>
        <v>2675971.2500000009</v>
      </c>
      <c r="C544" s="234">
        <f>AY71</f>
        <v>2822201.35</v>
      </c>
      <c r="D544" s="234">
        <f>'Prior Year'!AY59</f>
        <v>170414</v>
      </c>
      <c r="E544" s="180">
        <f>AY59</f>
        <v>134758</v>
      </c>
      <c r="F544" s="257">
        <f t="shared" ref="F544:G550" si="19">IF(B544=0,"",IF(D544=0,"",B544/D544))</f>
        <v>15.702766498057677</v>
      </c>
      <c r="G544" s="257">
        <f t="shared" si="19"/>
        <v>20.942736980364803</v>
      </c>
      <c r="H544" s="259">
        <f t="shared" si="16"/>
        <v>0.33369728085527317</v>
      </c>
      <c r="I544" s="261" t="s">
        <v>1374</v>
      </c>
      <c r="K544" s="255"/>
      <c r="L544" s="255"/>
    </row>
    <row r="545" spans="1:13" ht="12.6" customHeight="1" x14ac:dyDescent="0.25">
      <c r="A545" s="180" t="s">
        <v>559</v>
      </c>
      <c r="B545" s="234">
        <f>'Prior Year'!AZ71</f>
        <v>0</v>
      </c>
      <c r="C545" s="234">
        <f>AZ71</f>
        <v>0</v>
      </c>
      <c r="D545" s="234">
        <f>'Prior Year'!AZ59</f>
        <v>291836</v>
      </c>
      <c r="E545" s="180">
        <f>AZ59</f>
        <v>186923</v>
      </c>
      <c r="F545" s="257" t="str">
        <f t="shared" si="19"/>
        <v/>
      </c>
      <c r="G545" s="257" t="str">
        <f t="shared" si="19"/>
        <v/>
      </c>
      <c r="H545" s="259" t="str">
        <f t="shared" si="16"/>
        <v/>
      </c>
      <c r="I545" s="261"/>
      <c r="K545" s="255"/>
      <c r="L545" s="255"/>
    </row>
    <row r="546" spans="1:13" ht="12.6" customHeight="1" x14ac:dyDescent="0.25">
      <c r="A546" s="180" t="s">
        <v>560</v>
      </c>
      <c r="B546" s="234">
        <f>'Prior Year'!BA71</f>
        <v>276.82000000000005</v>
      </c>
      <c r="C546" s="234">
        <f>BA71</f>
        <v>0</v>
      </c>
      <c r="D546" s="234">
        <f>'Prior Year'!BA59</f>
        <v>0</v>
      </c>
      <c r="E546" s="180">
        <f>BA59</f>
        <v>0</v>
      </c>
      <c r="F546" s="257" t="str">
        <f t="shared" si="19"/>
        <v/>
      </c>
      <c r="G546" s="257" t="str">
        <f t="shared" si="19"/>
        <v/>
      </c>
      <c r="H546" s="259" t="str">
        <f t="shared" si="16"/>
        <v/>
      </c>
      <c r="I546" s="261"/>
      <c r="K546" s="255"/>
      <c r="L546" s="255"/>
    </row>
    <row r="547" spans="1:13" ht="12.6" customHeight="1" x14ac:dyDescent="0.25">
      <c r="A547" s="180" t="s">
        <v>561</v>
      </c>
      <c r="B547" s="234">
        <f>'Prior Year'!BB71</f>
        <v>0</v>
      </c>
      <c r="C547" s="234">
        <f>BB71</f>
        <v>0</v>
      </c>
      <c r="D547" s="181" t="s">
        <v>529</v>
      </c>
      <c r="E547" s="181" t="s">
        <v>529</v>
      </c>
      <c r="F547" s="257"/>
      <c r="G547" s="257"/>
      <c r="H547" s="259"/>
      <c r="I547" s="261"/>
      <c r="K547" s="255"/>
      <c r="L547" s="300"/>
    </row>
    <row r="548" spans="1:13" ht="12.6" customHeight="1" x14ac:dyDescent="0.25">
      <c r="A548" s="180" t="s">
        <v>562</v>
      </c>
      <c r="B548" s="234">
        <f>'Prior Year'!BC71</f>
        <v>877.45</v>
      </c>
      <c r="C548" s="234">
        <f>BC71</f>
        <v>0</v>
      </c>
      <c r="D548" s="181" t="s">
        <v>529</v>
      </c>
      <c r="E548" s="181" t="s">
        <v>529</v>
      </c>
      <c r="F548" s="257"/>
      <c r="G548" s="257"/>
      <c r="H548" s="259"/>
      <c r="I548" s="261"/>
      <c r="K548" s="255"/>
      <c r="L548" s="255"/>
    </row>
    <row r="549" spans="1:13" ht="12.6" customHeight="1" x14ac:dyDescent="0.25">
      <c r="A549" s="180" t="s">
        <v>563</v>
      </c>
      <c r="B549" s="234">
        <f>'Prior Year'!BD71</f>
        <v>0</v>
      </c>
      <c r="C549" s="234">
        <f>BD71</f>
        <v>0</v>
      </c>
      <c r="D549" s="181" t="s">
        <v>529</v>
      </c>
      <c r="E549" s="181" t="s">
        <v>529</v>
      </c>
      <c r="F549" s="257"/>
      <c r="G549" s="257"/>
      <c r="H549" s="259"/>
      <c r="I549" s="261"/>
      <c r="K549" s="255"/>
      <c r="L549" s="255"/>
    </row>
    <row r="550" spans="1:13" ht="12.6" customHeight="1" x14ac:dyDescent="0.25">
      <c r="A550" s="180" t="s">
        <v>564</v>
      </c>
      <c r="B550" s="234">
        <f>'Prior Year'!BE71</f>
        <v>4788046.3166000005</v>
      </c>
      <c r="C550" s="234">
        <f>BE71</f>
        <v>4420710.1456700005</v>
      </c>
      <c r="D550" s="234">
        <f>'Prior Year'!BE59</f>
        <v>240865</v>
      </c>
      <c r="E550" s="180">
        <f>BE59</f>
        <v>236716</v>
      </c>
      <c r="F550" s="257">
        <f t="shared" si="19"/>
        <v>19.878547387955912</v>
      </c>
      <c r="G550" s="257">
        <f t="shared" si="19"/>
        <v>18.675164102426539</v>
      </c>
      <c r="H550" s="259" t="str">
        <f t="shared" si="16"/>
        <v/>
      </c>
      <c r="I550" s="261"/>
      <c r="K550" s="255"/>
      <c r="L550" s="255"/>
    </row>
    <row r="551" spans="1:13" ht="12.6" customHeight="1" x14ac:dyDescent="0.25">
      <c r="A551" s="180" t="s">
        <v>565</v>
      </c>
      <c r="B551" s="234">
        <f>'Prior Year'!BF71</f>
        <v>2440223.1800000002</v>
      </c>
      <c r="C551" s="234">
        <f>BF71</f>
        <v>3039491.76</v>
      </c>
      <c r="D551" s="181" t="s">
        <v>529</v>
      </c>
      <c r="E551" s="181" t="s">
        <v>529</v>
      </c>
      <c r="F551" s="257"/>
      <c r="G551" s="257"/>
      <c r="H551" s="259"/>
      <c r="I551" s="261"/>
      <c r="J551" s="197"/>
      <c r="M551" s="259"/>
    </row>
    <row r="552" spans="1:13" ht="12.6" customHeight="1" x14ac:dyDescent="0.25">
      <c r="A552" s="180" t="s">
        <v>566</v>
      </c>
      <c r="B552" s="234">
        <f>'Prior Year'!BG71</f>
        <v>32840.601200000005</v>
      </c>
      <c r="C552" s="234">
        <f>BG71</f>
        <v>332227.36107000004</v>
      </c>
      <c r="D552" s="181" t="s">
        <v>529</v>
      </c>
      <c r="E552" s="181" t="s">
        <v>529</v>
      </c>
      <c r="F552" s="257"/>
      <c r="G552" s="257"/>
      <c r="H552" s="259"/>
      <c r="J552" s="197"/>
      <c r="M552" s="259"/>
    </row>
    <row r="553" spans="1:13" ht="12.6" customHeight="1" x14ac:dyDescent="0.25">
      <c r="A553" s="180" t="s">
        <v>567</v>
      </c>
      <c r="B553" s="234">
        <f>'Prior Year'!BH71</f>
        <v>222665.44130593882</v>
      </c>
      <c r="C553" s="234">
        <f>BH71</f>
        <v>918277.19082000002</v>
      </c>
      <c r="D553" s="181" t="s">
        <v>529</v>
      </c>
      <c r="E553" s="181" t="s">
        <v>529</v>
      </c>
      <c r="F553" s="257"/>
      <c r="G553" s="257"/>
      <c r="H553" s="259"/>
      <c r="J553" s="197"/>
      <c r="M553" s="259"/>
    </row>
    <row r="554" spans="1:13" ht="12.6" customHeight="1" x14ac:dyDescent="0.25">
      <c r="A554" s="180" t="s">
        <v>568</v>
      </c>
      <c r="B554" s="234">
        <f>'Prior Year'!BI71</f>
        <v>0</v>
      </c>
      <c r="C554" s="234">
        <f>BI71</f>
        <v>0</v>
      </c>
      <c r="D554" s="181" t="s">
        <v>529</v>
      </c>
      <c r="E554" s="181" t="s">
        <v>529</v>
      </c>
      <c r="F554" s="257"/>
      <c r="G554" s="257"/>
      <c r="H554" s="259"/>
      <c r="J554" s="197"/>
      <c r="M554" s="259"/>
    </row>
    <row r="555" spans="1:13" ht="12.6" customHeight="1" x14ac:dyDescent="0.25">
      <c r="A555" s="180" t="s">
        <v>569</v>
      </c>
      <c r="B555" s="234">
        <f>'Prior Year'!BJ71</f>
        <v>576162.31821290997</v>
      </c>
      <c r="C555" s="234">
        <f>BJ71</f>
        <v>426244.97519999993</v>
      </c>
      <c r="D555" s="181" t="s">
        <v>529</v>
      </c>
      <c r="E555" s="181" t="s">
        <v>529</v>
      </c>
      <c r="F555" s="257"/>
      <c r="G555" s="257"/>
      <c r="H555" s="259"/>
      <c r="J555" s="197"/>
      <c r="M555" s="259"/>
    </row>
    <row r="556" spans="1:13" ht="12.6" customHeight="1" x14ac:dyDescent="0.25">
      <c r="A556" s="180" t="s">
        <v>570</v>
      </c>
      <c r="B556" s="234">
        <f>'Prior Year'!BK71</f>
        <v>3333343.3453221139</v>
      </c>
      <c r="C556" s="234">
        <f>BK71</f>
        <v>3467297.3534293612</v>
      </c>
      <c r="D556" s="181" t="s">
        <v>529</v>
      </c>
      <c r="E556" s="181" t="s">
        <v>529</v>
      </c>
      <c r="F556" s="257"/>
      <c r="G556" s="257"/>
      <c r="H556" s="259"/>
      <c r="J556" s="197"/>
      <c r="M556" s="259"/>
    </row>
    <row r="557" spans="1:13" ht="12.6" customHeight="1" x14ac:dyDescent="0.25">
      <c r="A557" s="180" t="s">
        <v>571</v>
      </c>
      <c r="B557" s="234">
        <f>'Prior Year'!BL71</f>
        <v>2302281.6282508168</v>
      </c>
      <c r="C557" s="234">
        <f>BL71</f>
        <v>2279498.2960600001</v>
      </c>
      <c r="D557" s="181" t="s">
        <v>529</v>
      </c>
      <c r="E557" s="181" t="s">
        <v>529</v>
      </c>
      <c r="F557" s="257"/>
      <c r="G557" s="257"/>
      <c r="H557" s="259"/>
      <c r="J557" s="197"/>
      <c r="M557" s="259"/>
    </row>
    <row r="558" spans="1:13" ht="12.6" customHeight="1" x14ac:dyDescent="0.25">
      <c r="A558" s="180" t="s">
        <v>572</v>
      </c>
      <c r="B558" s="234">
        <f>'Prior Year'!BM71</f>
        <v>0</v>
      </c>
      <c r="C558" s="234">
        <f>BM71</f>
        <v>0</v>
      </c>
      <c r="D558" s="181" t="s">
        <v>529</v>
      </c>
      <c r="E558" s="181" t="s">
        <v>529</v>
      </c>
      <c r="F558" s="257"/>
      <c r="G558" s="257"/>
      <c r="H558" s="259"/>
      <c r="J558" s="197"/>
      <c r="M558" s="259"/>
    </row>
    <row r="559" spans="1:13" ht="12.6" customHeight="1" x14ac:dyDescent="0.25">
      <c r="A559" s="180" t="s">
        <v>573</v>
      </c>
      <c r="B559" s="234">
        <f>'Prior Year'!BN71</f>
        <v>5970225.8046048302</v>
      </c>
      <c r="C559" s="234">
        <f>BN71</f>
        <v>5128031.362305955</v>
      </c>
      <c r="D559" s="181" t="s">
        <v>529</v>
      </c>
      <c r="E559" s="181" t="s">
        <v>529</v>
      </c>
      <c r="F559" s="257"/>
      <c r="G559" s="257"/>
      <c r="H559" s="259"/>
      <c r="J559" s="197"/>
      <c r="M559" s="259"/>
    </row>
    <row r="560" spans="1:13" ht="12.6" customHeight="1" x14ac:dyDescent="0.25">
      <c r="A560" s="180" t="s">
        <v>574</v>
      </c>
      <c r="B560" s="234">
        <f>'Prior Year'!BO71</f>
        <v>512840.41959999979</v>
      </c>
      <c r="C560" s="234">
        <f>BO71</f>
        <v>487315.28093999997</v>
      </c>
      <c r="D560" s="181" t="s">
        <v>529</v>
      </c>
      <c r="E560" s="181" t="s">
        <v>529</v>
      </c>
      <c r="F560" s="257"/>
      <c r="G560" s="257"/>
      <c r="H560" s="259"/>
      <c r="J560" s="197"/>
      <c r="M560" s="259"/>
    </row>
    <row r="561" spans="1:13" ht="12.6" customHeight="1" x14ac:dyDescent="0.25">
      <c r="A561" s="180" t="s">
        <v>575</v>
      </c>
      <c r="B561" s="234">
        <f>'Prior Year'!BP71</f>
        <v>416417.42139999999</v>
      </c>
      <c r="C561" s="234">
        <f>BP71</f>
        <v>1327451.4039599998</v>
      </c>
      <c r="D561" s="181" t="s">
        <v>529</v>
      </c>
      <c r="E561" s="181" t="s">
        <v>529</v>
      </c>
      <c r="F561" s="257"/>
      <c r="G561" s="257"/>
      <c r="H561" s="259"/>
      <c r="J561" s="197"/>
      <c r="M561" s="259"/>
    </row>
    <row r="562" spans="1:13" ht="12.6" customHeight="1" x14ac:dyDescent="0.25">
      <c r="A562" s="180" t="s">
        <v>576</v>
      </c>
      <c r="B562" s="234">
        <f>'Prior Year'!BQ71</f>
        <v>0</v>
      </c>
      <c r="C562" s="234">
        <f>BQ71</f>
        <v>0</v>
      </c>
      <c r="D562" s="181" t="s">
        <v>529</v>
      </c>
      <c r="E562" s="181" t="s">
        <v>529</v>
      </c>
      <c r="F562" s="257"/>
      <c r="G562" s="257"/>
      <c r="H562" s="259"/>
      <c r="J562" s="197"/>
      <c r="M562" s="259"/>
    </row>
    <row r="563" spans="1:13" ht="12.6" customHeight="1" x14ac:dyDescent="0.25">
      <c r="A563" s="180" t="s">
        <v>577</v>
      </c>
      <c r="B563" s="234">
        <f>'Prior Year'!BR71</f>
        <v>1790052.2105</v>
      </c>
      <c r="C563" s="234">
        <f>BR71</f>
        <v>1205611.5041899998</v>
      </c>
      <c r="D563" s="181" t="s">
        <v>529</v>
      </c>
      <c r="E563" s="181" t="s">
        <v>529</v>
      </c>
      <c r="F563" s="257"/>
      <c r="G563" s="257"/>
      <c r="H563" s="259"/>
      <c r="J563" s="197"/>
      <c r="M563" s="259"/>
    </row>
    <row r="564" spans="1:13" ht="12.6" customHeight="1" x14ac:dyDescent="0.25">
      <c r="A564" s="180" t="s">
        <v>1249</v>
      </c>
      <c r="B564" s="234">
        <f>'Prior Year'!BS71</f>
        <v>-32024.714399999997</v>
      </c>
      <c r="C564" s="234">
        <f>BS71</f>
        <v>51161.533809999994</v>
      </c>
      <c r="D564" s="181" t="s">
        <v>529</v>
      </c>
      <c r="E564" s="181" t="s">
        <v>529</v>
      </c>
      <c r="F564" s="257"/>
      <c r="G564" s="257"/>
      <c r="H564" s="259"/>
      <c r="J564" s="197"/>
      <c r="M564" s="259"/>
    </row>
    <row r="565" spans="1:13" ht="12.6" customHeight="1" x14ac:dyDescent="0.25">
      <c r="A565" s="180" t="s">
        <v>578</v>
      </c>
      <c r="B565" s="234">
        <f>'Prior Year'!BT71</f>
        <v>26596.087299999999</v>
      </c>
      <c r="C565" s="234">
        <f>BT71</f>
        <v>120852.74410999999</v>
      </c>
      <c r="D565" s="181" t="s">
        <v>529</v>
      </c>
      <c r="E565" s="181" t="s">
        <v>529</v>
      </c>
      <c r="F565" s="257"/>
      <c r="G565" s="257"/>
      <c r="H565" s="259"/>
      <c r="J565" s="197"/>
      <c r="M565" s="259"/>
    </row>
    <row r="566" spans="1:13" ht="12.6" customHeight="1" x14ac:dyDescent="0.25">
      <c r="A566" s="180" t="s">
        <v>579</v>
      </c>
      <c r="B566" s="234">
        <f>'Prior Year'!BU71</f>
        <v>37273.8531</v>
      </c>
      <c r="C566" s="234">
        <f>BU71</f>
        <v>41511.700890000015</v>
      </c>
      <c r="D566" s="181" t="s">
        <v>529</v>
      </c>
      <c r="E566" s="181" t="s">
        <v>529</v>
      </c>
      <c r="F566" s="257"/>
      <c r="G566" s="257"/>
      <c r="H566" s="259"/>
      <c r="J566" s="197"/>
      <c r="M566" s="259"/>
    </row>
    <row r="567" spans="1:13" ht="12.6" customHeight="1" x14ac:dyDescent="0.25">
      <c r="A567" s="180" t="s">
        <v>580</v>
      </c>
      <c r="B567" s="234">
        <f>'Prior Year'!BV71</f>
        <v>3910362.8848428382</v>
      </c>
      <c r="C567" s="234">
        <f>BV71</f>
        <v>4100035.0285737771</v>
      </c>
      <c r="D567" s="181" t="s">
        <v>529</v>
      </c>
      <c r="E567" s="181" t="s">
        <v>529</v>
      </c>
      <c r="F567" s="257"/>
      <c r="G567" s="257"/>
      <c r="H567" s="259"/>
      <c r="J567" s="197"/>
      <c r="M567" s="259"/>
    </row>
    <row r="568" spans="1:13" ht="12.6" customHeight="1" x14ac:dyDescent="0.25">
      <c r="A568" s="180" t="s">
        <v>581</v>
      </c>
      <c r="B568" s="234">
        <f>'Prior Year'!BW71</f>
        <v>488480.56761800003</v>
      </c>
      <c r="C568" s="234">
        <f>BW71</f>
        <v>704731.73295724497</v>
      </c>
      <c r="D568" s="181" t="s">
        <v>529</v>
      </c>
      <c r="E568" s="181" t="s">
        <v>529</v>
      </c>
      <c r="F568" s="257"/>
      <c r="G568" s="257"/>
      <c r="H568" s="259"/>
      <c r="J568" s="197"/>
      <c r="M568" s="259"/>
    </row>
    <row r="569" spans="1:13" ht="12.6" customHeight="1" x14ac:dyDescent="0.25">
      <c r="A569" s="180" t="s">
        <v>582</v>
      </c>
      <c r="B569" s="234">
        <f>'Prior Year'!BX71</f>
        <v>3595801.5928080194</v>
      </c>
      <c r="C569" s="234">
        <f>BX71</f>
        <v>1035284.849531856</v>
      </c>
      <c r="D569" s="181" t="s">
        <v>529</v>
      </c>
      <c r="E569" s="181" t="s">
        <v>529</v>
      </c>
      <c r="F569" s="257"/>
      <c r="G569" s="257"/>
      <c r="H569" s="259"/>
      <c r="J569" s="197"/>
      <c r="M569" s="259"/>
    </row>
    <row r="570" spans="1:13" ht="12.6" customHeight="1" x14ac:dyDescent="0.25">
      <c r="A570" s="180" t="s">
        <v>583</v>
      </c>
      <c r="B570" s="234">
        <f>'Prior Year'!BY71</f>
        <v>2625634.9672000008</v>
      </c>
      <c r="C570" s="234">
        <f>BY71</f>
        <v>2631262.6816000002</v>
      </c>
      <c r="D570" s="181" t="s">
        <v>529</v>
      </c>
      <c r="E570" s="181" t="s">
        <v>529</v>
      </c>
      <c r="F570" s="257"/>
      <c r="G570" s="257"/>
      <c r="H570" s="259"/>
      <c r="J570" s="197"/>
      <c r="M570" s="259"/>
    </row>
    <row r="571" spans="1:13" ht="12.6" customHeight="1" x14ac:dyDescent="0.25">
      <c r="A571" s="180" t="s">
        <v>584</v>
      </c>
      <c r="B571" s="234">
        <f>'Prior Year'!BZ71</f>
        <v>0</v>
      </c>
      <c r="C571" s="234">
        <f>BZ71</f>
        <v>0</v>
      </c>
      <c r="D571" s="181" t="s">
        <v>529</v>
      </c>
      <c r="E571" s="181" t="s">
        <v>529</v>
      </c>
      <c r="F571" s="257"/>
      <c r="G571" s="257"/>
      <c r="H571" s="259"/>
      <c r="J571" s="197"/>
      <c r="M571" s="259"/>
    </row>
    <row r="572" spans="1:13" ht="12.6" customHeight="1" x14ac:dyDescent="0.25">
      <c r="A572" s="180" t="s">
        <v>585</v>
      </c>
      <c r="B572" s="234">
        <f>'Prior Year'!CA71</f>
        <v>451309.19350000005</v>
      </c>
      <c r="C572" s="234">
        <f>CA71</f>
        <v>368412.98472000001</v>
      </c>
      <c r="D572" s="181" t="s">
        <v>529</v>
      </c>
      <c r="E572" s="181" t="s">
        <v>529</v>
      </c>
      <c r="F572" s="257"/>
      <c r="G572" s="257"/>
      <c r="H572" s="259"/>
      <c r="J572" s="197"/>
      <c r="M572" s="259"/>
    </row>
    <row r="573" spans="1:13" ht="12.6" customHeight="1" x14ac:dyDescent="0.25">
      <c r="A573" s="180" t="s">
        <v>586</v>
      </c>
      <c r="B573" s="234">
        <f>'Prior Year'!CB71</f>
        <v>46061.413200000003</v>
      </c>
      <c r="C573" s="234">
        <f>CB71</f>
        <v>44567.450729999997</v>
      </c>
      <c r="D573" s="181" t="s">
        <v>529</v>
      </c>
      <c r="E573" s="181" t="s">
        <v>529</v>
      </c>
      <c r="F573" s="257"/>
      <c r="G573" s="257"/>
      <c r="H573" s="259"/>
      <c r="J573" s="197"/>
      <c r="M573" s="259"/>
    </row>
    <row r="574" spans="1:13" ht="12.6" customHeight="1" x14ac:dyDescent="0.25">
      <c r="A574" s="180" t="s">
        <v>587</v>
      </c>
      <c r="B574" s="234">
        <f>'Prior Year'!CC71</f>
        <v>32989319.438590348</v>
      </c>
      <c r="C574" s="234">
        <f>CC71</f>
        <v>21046348.153271399</v>
      </c>
      <c r="D574" s="181" t="s">
        <v>529</v>
      </c>
      <c r="E574" s="181" t="s">
        <v>529</v>
      </c>
      <c r="F574" s="257"/>
      <c r="G574" s="257"/>
      <c r="H574" s="259"/>
      <c r="J574" s="197"/>
      <c r="M574" s="259"/>
    </row>
    <row r="575" spans="1:13" ht="12.6" customHeight="1" x14ac:dyDescent="0.25">
      <c r="A575" s="180" t="s">
        <v>588</v>
      </c>
      <c r="B575" s="234">
        <f>'Prior Year'!CD71</f>
        <v>0</v>
      </c>
      <c r="C575" s="234">
        <f>CD71</f>
        <v>15629750</v>
      </c>
      <c r="D575" s="181" t="s">
        <v>529</v>
      </c>
      <c r="E575" s="181" t="s">
        <v>529</v>
      </c>
      <c r="F575" s="257"/>
      <c r="G575" s="257"/>
      <c r="H575" s="259"/>
    </row>
    <row r="576" spans="1:13" ht="12.6" customHeight="1" x14ac:dyDescent="0.25">
      <c r="M576" s="259"/>
    </row>
    <row r="577" spans="13:13" ht="12.6" customHeight="1" x14ac:dyDescent="0.25">
      <c r="M577" s="259"/>
    </row>
    <row r="578" spans="13:13" ht="12.6" customHeight="1" x14ac:dyDescent="0.25">
      <c r="M578" s="259"/>
    </row>
    <row r="612" spans="1:14" ht="12.6" customHeight="1" x14ac:dyDescent="0.25">
      <c r="A612" s="194"/>
      <c r="C612" s="181" t="s">
        <v>589</v>
      </c>
      <c r="D612" s="180">
        <f>CE76-(BE76+CD76)</f>
        <v>213372</v>
      </c>
      <c r="E612" s="180">
        <f>SUM(C624:D647)+SUM(C668:D713)</f>
        <v>199170860.07716942</v>
      </c>
      <c r="F612" s="180">
        <f>CE64-(AX64+BD64+BE64+BG64+BJ64+BN64+BP64+BQ64+CB64+CC64+CD64)</f>
        <v>26009554.670000009</v>
      </c>
      <c r="G612" s="180">
        <f>CE77-(AX77+AY77+BD77+BE77+BG77+BJ77+BN77+BP77+BQ77+CB77+CC77+CD77)</f>
        <v>134758</v>
      </c>
      <c r="H612" s="195">
        <f>CE60-(AX60+AY60+AZ60+BD60+BE60+BG60+BJ60+BN60+BO60+BP60+BQ60+BR60+CB60+CC60+CD60)</f>
        <v>873.33351923076896</v>
      </c>
      <c r="I612" s="180">
        <f>CE78-(AX78+AY78+AZ78+BD78+BE78+BF78+BG78+BJ78+BN78+BO78+BP78+BQ78+BR78+CB78+CC78+CD78)</f>
        <v>50332.562934486908</v>
      </c>
      <c r="J612" s="180">
        <f>CE79-(AX79+AY79+AZ79+BA79+BD79+BE79+BF79+BG79+BJ79+BN79+BO79+BP79+BQ79+BR79+CB79+CC79+CD79)</f>
        <v>924970.83000000019</v>
      </c>
      <c r="K612" s="180">
        <f>CE75-(AW75+AX75+AY75+AZ75+BA75+BB75+BC75+BD75+BE75+BF75+BG75+BH75+BI75+BJ75+BK75+BL75+BM75+BN75+BO75+BP75+BQ75+BR75+BS75+BT75+BU75+BV75+BW75+BX75+CB75+CC75+CD75)</f>
        <v>1018959969.3100001</v>
      </c>
      <c r="L612" s="195">
        <f>CE80-(AW80+AX80+AY80+AZ80+BA80+BB80+BC80+BD80+BE80+BF80+BG80+BH80+BI80+BJ80+BK80+BL80+BM80+BN80+BO80+BP80+BQ80+BR80+BS80+BT80+BU80+BV80+BW80+BX80+BY80+BZ80+CA80+CB80+CC80+CD80)</f>
        <v>221.14163942307692</v>
      </c>
    </row>
    <row r="613" spans="1:14" ht="12.6" customHeight="1" x14ac:dyDescent="0.25">
      <c r="A613" s="194"/>
      <c r="C613" s="181" t="s">
        <v>590</v>
      </c>
      <c r="D613" s="181" t="s">
        <v>591</v>
      </c>
      <c r="E613" s="196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6" t="s">
        <v>599</v>
      </c>
    </row>
    <row r="614" spans="1:14" ht="12.6" customHeight="1" x14ac:dyDescent="0.25">
      <c r="A614" s="194">
        <v>8430</v>
      </c>
      <c r="B614" s="196" t="s">
        <v>140</v>
      </c>
      <c r="C614" s="180">
        <f>BE71</f>
        <v>4420710.1456700005</v>
      </c>
      <c r="N614" s="197" t="s">
        <v>600</v>
      </c>
    </row>
    <row r="615" spans="1:14" ht="12.6" customHeight="1" x14ac:dyDescent="0.25">
      <c r="A615" s="194"/>
      <c r="B615" s="196" t="s">
        <v>601</v>
      </c>
      <c r="C615" s="267">
        <f>CD69-CD70</f>
        <v>15629750</v>
      </c>
      <c r="D615" s="260">
        <f>SUM(C614:C615)</f>
        <v>20050460.14567</v>
      </c>
      <c r="N615" s="197" t="s">
        <v>602</v>
      </c>
    </row>
    <row r="616" spans="1:14" ht="12.6" customHeight="1" x14ac:dyDescent="0.25">
      <c r="A616" s="194">
        <v>8310</v>
      </c>
      <c r="B616" s="198" t="s">
        <v>603</v>
      </c>
      <c r="C616" s="180">
        <f>AX71</f>
        <v>77174.285759999984</v>
      </c>
      <c r="D616" s="180">
        <f>(D615/D612)*AX76</f>
        <v>0</v>
      </c>
      <c r="N616" s="197" t="s">
        <v>604</v>
      </c>
    </row>
    <row r="617" spans="1:14" ht="12.6" customHeight="1" x14ac:dyDescent="0.25">
      <c r="A617" s="194">
        <v>8510</v>
      </c>
      <c r="B617" s="198" t="s">
        <v>145</v>
      </c>
      <c r="C617" s="180">
        <f>BJ71</f>
        <v>426244.97519999993</v>
      </c>
      <c r="D617" s="180">
        <f>(D615/D612)*BJ76</f>
        <v>0</v>
      </c>
      <c r="N617" s="197" t="s">
        <v>605</v>
      </c>
    </row>
    <row r="618" spans="1:14" ht="12.6" customHeight="1" x14ac:dyDescent="0.25">
      <c r="A618" s="194">
        <v>8470</v>
      </c>
      <c r="B618" s="198" t="s">
        <v>606</v>
      </c>
      <c r="C618" s="180">
        <f>BG71</f>
        <v>332227.36107000004</v>
      </c>
      <c r="D618" s="180">
        <f>(D615/D612)*BG76</f>
        <v>0</v>
      </c>
      <c r="N618" s="197" t="s">
        <v>607</v>
      </c>
    </row>
    <row r="619" spans="1:14" ht="12.6" customHeight="1" x14ac:dyDescent="0.25">
      <c r="A619" s="194">
        <v>8610</v>
      </c>
      <c r="B619" s="198" t="s">
        <v>608</v>
      </c>
      <c r="C619" s="180">
        <f>BN71</f>
        <v>5128031.362305955</v>
      </c>
      <c r="D619" s="180">
        <f>(D615/D612)*BN76</f>
        <v>2609251.1054159822</v>
      </c>
      <c r="N619" s="197" t="s">
        <v>609</v>
      </c>
    </row>
    <row r="620" spans="1:14" ht="12.6" customHeight="1" x14ac:dyDescent="0.25">
      <c r="A620" s="194">
        <v>8790</v>
      </c>
      <c r="B620" s="198" t="s">
        <v>610</v>
      </c>
      <c r="C620" s="180">
        <f>CC71</f>
        <v>21046348.153271399</v>
      </c>
      <c r="D620" s="180">
        <f>(D615/D612)*CC76</f>
        <v>0</v>
      </c>
      <c r="N620" s="197" t="s">
        <v>611</v>
      </c>
    </row>
    <row r="621" spans="1:14" ht="12.6" customHeight="1" x14ac:dyDescent="0.25">
      <c r="A621" s="194">
        <v>8630</v>
      </c>
      <c r="B621" s="198" t="s">
        <v>612</v>
      </c>
      <c r="C621" s="180">
        <f>BP71</f>
        <v>1327451.4039599998</v>
      </c>
      <c r="D621" s="180">
        <f>(D615/D612)*BP76</f>
        <v>0</v>
      </c>
      <c r="N621" s="197" t="s">
        <v>613</v>
      </c>
    </row>
    <row r="622" spans="1:14" ht="12.6" customHeight="1" x14ac:dyDescent="0.25">
      <c r="A622" s="194">
        <v>8770</v>
      </c>
      <c r="B622" s="196" t="s">
        <v>614</v>
      </c>
      <c r="C622" s="180">
        <f>CB71</f>
        <v>44567.450729999997</v>
      </c>
      <c r="D622" s="180">
        <f>(D615/D612)*CB76</f>
        <v>0</v>
      </c>
      <c r="N622" s="197" t="s">
        <v>615</v>
      </c>
    </row>
    <row r="623" spans="1:14" ht="12.6" customHeight="1" x14ac:dyDescent="0.25">
      <c r="A623" s="194">
        <v>8640</v>
      </c>
      <c r="B623" s="198" t="s">
        <v>616</v>
      </c>
      <c r="C623" s="180">
        <f>BQ71</f>
        <v>0</v>
      </c>
      <c r="D623" s="180">
        <f>(D615/D612)*BQ76</f>
        <v>0</v>
      </c>
      <c r="E623" s="180">
        <f>SUM(C616:D623)</f>
        <v>30991296.097713336</v>
      </c>
      <c r="N623" s="197" t="s">
        <v>617</v>
      </c>
    </row>
    <row r="624" spans="1:14" ht="12.6" customHeight="1" x14ac:dyDescent="0.25">
      <c r="A624" s="194">
        <v>8420</v>
      </c>
      <c r="B624" s="198" t="s">
        <v>139</v>
      </c>
      <c r="C624" s="180">
        <f>BD71</f>
        <v>0</v>
      </c>
      <c r="D624" s="180">
        <f>(D615/D612)*BD76</f>
        <v>0</v>
      </c>
      <c r="E624" s="180">
        <f>(E623/E612)*SUM(C624:D624)</f>
        <v>0</v>
      </c>
      <c r="F624" s="180">
        <f>SUM(C624:E624)</f>
        <v>0</v>
      </c>
      <c r="N624" s="197" t="s">
        <v>618</v>
      </c>
    </row>
    <row r="625" spans="1:14" ht="12.6" customHeight="1" x14ac:dyDescent="0.25">
      <c r="A625" s="194">
        <v>8320</v>
      </c>
      <c r="B625" s="198" t="s">
        <v>135</v>
      </c>
      <c r="C625" s="180">
        <f>AY71</f>
        <v>2822201.35</v>
      </c>
      <c r="D625" s="180">
        <f>(D615/D612)*AY76</f>
        <v>0</v>
      </c>
      <c r="E625" s="180">
        <f>(E623/E612)*SUM(C625:D625)</f>
        <v>439138.9265042498</v>
      </c>
      <c r="F625" s="180">
        <f>(F624/F612)*AY64</f>
        <v>0</v>
      </c>
      <c r="G625" s="180">
        <f>SUM(C625:F625)</f>
        <v>3261340.2765042498</v>
      </c>
      <c r="N625" s="197" t="s">
        <v>619</v>
      </c>
    </row>
    <row r="626" spans="1:14" ht="12.6" customHeight="1" x14ac:dyDescent="0.25">
      <c r="A626" s="194">
        <v>8650</v>
      </c>
      <c r="B626" s="198" t="s">
        <v>152</v>
      </c>
      <c r="C626" s="180">
        <f>BR71</f>
        <v>1205611.5041899998</v>
      </c>
      <c r="D626" s="180">
        <f>(D615/D612)*BR76</f>
        <v>0</v>
      </c>
      <c r="E626" s="180">
        <f>(E623/E612)*SUM(C626:D626)</f>
        <v>187595.02816167611</v>
      </c>
      <c r="F626" s="180">
        <f>(F624/F612)*BR64</f>
        <v>0</v>
      </c>
      <c r="G626" s="180">
        <f>(G625/G612)*BR77</f>
        <v>0</v>
      </c>
      <c r="N626" s="197" t="s">
        <v>620</v>
      </c>
    </row>
    <row r="627" spans="1:14" ht="12.6" customHeight="1" x14ac:dyDescent="0.25">
      <c r="A627" s="194">
        <v>8620</v>
      </c>
      <c r="B627" s="196" t="s">
        <v>621</v>
      </c>
      <c r="C627" s="180">
        <f>BO71</f>
        <v>487315.28093999997</v>
      </c>
      <c r="D627" s="180">
        <f>(D615/D612)*BO76</f>
        <v>0</v>
      </c>
      <c r="E627" s="180">
        <f>(E623/E612)*SUM(C627:D627)</f>
        <v>75827.016857287119</v>
      </c>
      <c r="F627" s="180">
        <f>(F624/F612)*BO64</f>
        <v>0</v>
      </c>
      <c r="G627" s="180">
        <f>(G625/G612)*BO77</f>
        <v>0</v>
      </c>
      <c r="N627" s="197" t="s">
        <v>622</v>
      </c>
    </row>
    <row r="628" spans="1:14" ht="12.6" customHeight="1" x14ac:dyDescent="0.25">
      <c r="A628" s="194">
        <v>8330</v>
      </c>
      <c r="B628" s="198" t="s">
        <v>136</v>
      </c>
      <c r="C628" s="180">
        <f>AZ71</f>
        <v>0</v>
      </c>
      <c r="D628" s="180">
        <f>(D615/D612)*AZ76</f>
        <v>538069.35677645809</v>
      </c>
      <c r="E628" s="180">
        <f>(E623/E612)*SUM(C628:D628)</f>
        <v>83724.4301224808</v>
      </c>
      <c r="F628" s="180">
        <f>(F624/F612)*AZ64</f>
        <v>0</v>
      </c>
      <c r="G628" s="180">
        <f>(G625/G612)*AZ77</f>
        <v>1047269.7560454177</v>
      </c>
      <c r="H628" s="180">
        <f>SUM(C626:G628)</f>
        <v>3625412.3730933196</v>
      </c>
      <c r="N628" s="197" t="s">
        <v>623</v>
      </c>
    </row>
    <row r="629" spans="1:14" ht="12.6" customHeight="1" x14ac:dyDescent="0.25">
      <c r="A629" s="194">
        <v>8460</v>
      </c>
      <c r="B629" s="198" t="s">
        <v>141</v>
      </c>
      <c r="C629" s="180">
        <f>BF71</f>
        <v>3039491.76</v>
      </c>
      <c r="D629" s="180">
        <f>(D615/D612)*BF76</f>
        <v>389315.63833825814</v>
      </c>
      <c r="E629" s="180">
        <f>(E623/E612)*SUM(C629:D629)</f>
        <v>533527.7726006658</v>
      </c>
      <c r="F629" s="180">
        <f>(F624/F612)*BF64</f>
        <v>0</v>
      </c>
      <c r="G629" s="180">
        <f>(G625/G612)*BF77</f>
        <v>0</v>
      </c>
      <c r="H629" s="180">
        <f>(H628/H612)*BF60</f>
        <v>135309.99262657508</v>
      </c>
      <c r="I629" s="180">
        <f>SUM(C629:H629)</f>
        <v>4097645.1635654988</v>
      </c>
      <c r="N629" s="197" t="s">
        <v>624</v>
      </c>
    </row>
    <row r="630" spans="1:14" ht="12.6" customHeight="1" x14ac:dyDescent="0.25">
      <c r="A630" s="194">
        <v>8350</v>
      </c>
      <c r="B630" s="198" t="s">
        <v>625</v>
      </c>
      <c r="C630" s="180">
        <f>BA71</f>
        <v>0</v>
      </c>
      <c r="D630" s="180">
        <f>(D615/D612)*BA76</f>
        <v>0</v>
      </c>
      <c r="E630" s="180">
        <f>(E623/E612)*SUM(C630:D630)</f>
        <v>0</v>
      </c>
      <c r="F630" s="180">
        <f>(F624/F612)*BA64</f>
        <v>0</v>
      </c>
      <c r="G630" s="180">
        <f>(G625/G612)*BA77</f>
        <v>0</v>
      </c>
      <c r="H630" s="180">
        <f>(H628/H612)*BA60</f>
        <v>0</v>
      </c>
      <c r="I630" s="180">
        <f>(I629/I612)*BA78</f>
        <v>0</v>
      </c>
      <c r="J630" s="180">
        <f>SUM(C630:I630)</f>
        <v>0</v>
      </c>
      <c r="N630" s="197" t="s">
        <v>626</v>
      </c>
    </row>
    <row r="631" spans="1:14" ht="12.6" customHeight="1" x14ac:dyDescent="0.25">
      <c r="A631" s="194">
        <v>8200</v>
      </c>
      <c r="B631" s="198" t="s">
        <v>627</v>
      </c>
      <c r="C631" s="180">
        <f>AW71</f>
        <v>706869.55000000016</v>
      </c>
      <c r="D631" s="180">
        <f>(D615/D612)*AW76</f>
        <v>0</v>
      </c>
      <c r="E631" s="180">
        <f>(E623/E612)*SUM(C631:D631)</f>
        <v>109990.00314614057</v>
      </c>
      <c r="F631" s="180">
        <f>(F624/F612)*AW64</f>
        <v>0</v>
      </c>
      <c r="G631" s="180">
        <f>(G625/G612)*AW77</f>
        <v>0</v>
      </c>
      <c r="H631" s="180">
        <f>(H628/H612)*AW60</f>
        <v>21784.781381949299</v>
      </c>
      <c r="I631" s="180">
        <f>(I629/I612)*AW78</f>
        <v>0</v>
      </c>
      <c r="J631" s="180">
        <f>(J630/J612)*AW79</f>
        <v>0</v>
      </c>
      <c r="N631" s="197" t="s">
        <v>628</v>
      </c>
    </row>
    <row r="632" spans="1:14" ht="12.6" customHeight="1" x14ac:dyDescent="0.25">
      <c r="A632" s="194">
        <v>8360</v>
      </c>
      <c r="B632" s="198" t="s">
        <v>629</v>
      </c>
      <c r="C632" s="180">
        <f>BB71</f>
        <v>0</v>
      </c>
      <c r="D632" s="180">
        <f>(D615/D612)*BB76</f>
        <v>0</v>
      </c>
      <c r="E632" s="180">
        <f>(E623/E612)*SUM(C632:D632)</f>
        <v>0</v>
      </c>
      <c r="F632" s="180">
        <f>(F624/F612)*BB64</f>
        <v>0</v>
      </c>
      <c r="G632" s="180">
        <f>(G625/G612)*BB77</f>
        <v>0</v>
      </c>
      <c r="H632" s="180">
        <f>(H628/H612)*BB60</f>
        <v>0</v>
      </c>
      <c r="I632" s="180">
        <f>(I629/I612)*BB78</f>
        <v>0</v>
      </c>
      <c r="J632" s="180">
        <f>(J630/J612)*BB79</f>
        <v>0</v>
      </c>
      <c r="N632" s="197" t="s">
        <v>630</v>
      </c>
    </row>
    <row r="633" spans="1:14" ht="12.6" customHeight="1" x14ac:dyDescent="0.25">
      <c r="A633" s="194">
        <v>8370</v>
      </c>
      <c r="B633" s="198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(I629/I612)*BC78</f>
        <v>0</v>
      </c>
      <c r="J633" s="180">
        <f>(J630/J612)*BC79</f>
        <v>0</v>
      </c>
      <c r="N633" s="197" t="s">
        <v>632</v>
      </c>
    </row>
    <row r="634" spans="1:14" ht="12.6" customHeight="1" x14ac:dyDescent="0.25">
      <c r="A634" s="194">
        <v>8490</v>
      </c>
      <c r="B634" s="198" t="s">
        <v>633</v>
      </c>
      <c r="C634" s="180">
        <f>BI71</f>
        <v>0</v>
      </c>
      <c r="D634" s="180">
        <f>(D615/D612)*BI76</f>
        <v>24995.886989615414</v>
      </c>
      <c r="E634" s="180">
        <f>(E623/E612)*SUM(C634:D634)</f>
        <v>3889.3989543450739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(I629/I612)*BI78</f>
        <v>6202.3353980312659</v>
      </c>
      <c r="J634" s="180">
        <f>(J630/J612)*BI79</f>
        <v>0</v>
      </c>
      <c r="N634" s="197" t="s">
        <v>634</v>
      </c>
    </row>
    <row r="635" spans="1:14" ht="12.6" customHeight="1" x14ac:dyDescent="0.25">
      <c r="A635" s="194">
        <v>8530</v>
      </c>
      <c r="B635" s="198" t="s">
        <v>635</v>
      </c>
      <c r="C635" s="180">
        <f>BK71</f>
        <v>3467297.3534293612</v>
      </c>
      <c r="D635" s="180">
        <f>(D615/D612)*BK76</f>
        <v>0</v>
      </c>
      <c r="E635" s="180">
        <f>(E623/E612)*SUM(C635:D635)</f>
        <v>539516.8695727525</v>
      </c>
      <c r="F635" s="180">
        <f>(F624/F612)*BK64</f>
        <v>0</v>
      </c>
      <c r="G635" s="180">
        <f>(G625/G612)*BK77</f>
        <v>0</v>
      </c>
      <c r="H635" s="180">
        <f>(H628/H612)*BK60</f>
        <v>6.4863041532492405</v>
      </c>
      <c r="I635" s="180">
        <f>(I629/I612)*BK78</f>
        <v>0</v>
      </c>
      <c r="J635" s="180">
        <f>(J630/J612)*BK79</f>
        <v>0</v>
      </c>
      <c r="N635" s="197" t="s">
        <v>636</v>
      </c>
    </row>
    <row r="636" spans="1:14" ht="12.6" customHeight="1" x14ac:dyDescent="0.25">
      <c r="A636" s="194">
        <v>8480</v>
      </c>
      <c r="B636" s="198" t="s">
        <v>637</v>
      </c>
      <c r="C636" s="180">
        <f>BH71</f>
        <v>918277.19082000002</v>
      </c>
      <c r="D636" s="180">
        <f>(D615/D612)*BH76</f>
        <v>0</v>
      </c>
      <c r="E636" s="180">
        <f>(E623/E612)*SUM(C636:D636)</f>
        <v>142885.36138997768</v>
      </c>
      <c r="F636" s="180">
        <f>(F624/F612)*BH64</f>
        <v>0</v>
      </c>
      <c r="G636" s="180">
        <f>(G625/G612)*BH77</f>
        <v>0</v>
      </c>
      <c r="H636" s="180">
        <f>(H628/H612)*BH60</f>
        <v>0</v>
      </c>
      <c r="I636" s="180">
        <f>(I629/I612)*BH78</f>
        <v>0</v>
      </c>
      <c r="J636" s="180">
        <f>(J630/J612)*BH79</f>
        <v>0</v>
      </c>
      <c r="N636" s="197" t="s">
        <v>638</v>
      </c>
    </row>
    <row r="637" spans="1:14" ht="12.6" customHeight="1" x14ac:dyDescent="0.25">
      <c r="A637" s="194">
        <v>8560</v>
      </c>
      <c r="B637" s="198" t="s">
        <v>147</v>
      </c>
      <c r="C637" s="180">
        <f>BL71</f>
        <v>2279498.2960600001</v>
      </c>
      <c r="D637" s="180">
        <f>(D615/D612)*BL76</f>
        <v>0</v>
      </c>
      <c r="E637" s="180">
        <f>(E623/E612)*SUM(C637:D637)</f>
        <v>354693.48588471726</v>
      </c>
      <c r="F637" s="180">
        <f>(F624/F612)*BL64</f>
        <v>0</v>
      </c>
      <c r="G637" s="180">
        <f>(G625/G612)*BL77</f>
        <v>0</v>
      </c>
      <c r="H637" s="180">
        <f>(H628/H612)*BL60</f>
        <v>7663.8178303006416</v>
      </c>
      <c r="I637" s="180">
        <f>(I629/I612)*BL78</f>
        <v>0</v>
      </c>
      <c r="J637" s="180">
        <f>(J630/J612)*BL79</f>
        <v>0</v>
      </c>
      <c r="N637" s="197" t="s">
        <v>639</v>
      </c>
    </row>
    <row r="638" spans="1:14" ht="12.6" customHeight="1" x14ac:dyDescent="0.25">
      <c r="A638" s="194">
        <v>8590</v>
      </c>
      <c r="B638" s="198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f>(I629/I612)*BM78</f>
        <v>0</v>
      </c>
      <c r="J638" s="180">
        <f>(J630/J612)*BM79</f>
        <v>0</v>
      </c>
      <c r="N638" s="197" t="s">
        <v>641</v>
      </c>
    </row>
    <row r="639" spans="1:14" ht="12.6" customHeight="1" x14ac:dyDescent="0.25">
      <c r="A639" s="194">
        <v>8660</v>
      </c>
      <c r="B639" s="198" t="s">
        <v>642</v>
      </c>
      <c r="C639" s="180">
        <f>BS71</f>
        <v>51161.533809999994</v>
      </c>
      <c r="D639" s="180">
        <f>(D615/D612)*BS76</f>
        <v>0</v>
      </c>
      <c r="E639" s="180">
        <f>(E623/E612)*SUM(C639:D639)</f>
        <v>7960.8143606175645</v>
      </c>
      <c r="F639" s="180">
        <f>(F624/F612)*BS64</f>
        <v>0</v>
      </c>
      <c r="G639" s="180">
        <f>(G625/G612)*BS77</f>
        <v>0</v>
      </c>
      <c r="H639" s="180">
        <f>(H628/H612)*BS60</f>
        <v>1363.1217651289942</v>
      </c>
      <c r="I639" s="180">
        <f>(I629/I612)*BS78</f>
        <v>0</v>
      </c>
      <c r="J639" s="180">
        <f>(J630/J612)*BS79</f>
        <v>0</v>
      </c>
      <c r="N639" s="197" t="s">
        <v>643</v>
      </c>
    </row>
    <row r="640" spans="1:14" ht="12.6" customHeight="1" x14ac:dyDescent="0.25">
      <c r="A640" s="194">
        <v>8670</v>
      </c>
      <c r="B640" s="198" t="s">
        <v>644</v>
      </c>
      <c r="C640" s="180">
        <f>BT71</f>
        <v>120852.74410999999</v>
      </c>
      <c r="D640" s="180">
        <f>(D615/D612)*BT76</f>
        <v>0</v>
      </c>
      <c r="E640" s="180">
        <f>(E623/E612)*SUM(C640:D640)</f>
        <v>18804.875248733824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f>(I629/I612)*BT78</f>
        <v>0</v>
      </c>
      <c r="J640" s="180">
        <f>(J630/J612)*BT79</f>
        <v>0</v>
      </c>
      <c r="N640" s="197" t="s">
        <v>645</v>
      </c>
    </row>
    <row r="641" spans="1:14" ht="12.6" customHeight="1" x14ac:dyDescent="0.25">
      <c r="A641" s="194">
        <v>8680</v>
      </c>
      <c r="B641" s="198" t="s">
        <v>646</v>
      </c>
      <c r="C641" s="180">
        <f>BU71</f>
        <v>41511.700890000015</v>
      </c>
      <c r="D641" s="180">
        <f>(D615/D612)*BU76</f>
        <v>0</v>
      </c>
      <c r="E641" s="180">
        <f>(E623/E612)*SUM(C641:D641)</f>
        <v>6459.2853256909239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f>(I629/I612)*BU78</f>
        <v>0</v>
      </c>
      <c r="J641" s="180">
        <f>(J630/J612)*BU79</f>
        <v>0</v>
      </c>
      <c r="N641" s="197" t="s">
        <v>647</v>
      </c>
    </row>
    <row r="642" spans="1:14" ht="12.6" customHeight="1" x14ac:dyDescent="0.25">
      <c r="A642" s="194">
        <v>8690</v>
      </c>
      <c r="B642" s="198" t="s">
        <v>648</v>
      </c>
      <c r="C642" s="180">
        <f>BV71</f>
        <v>4100035.0285737771</v>
      </c>
      <c r="D642" s="180">
        <f>(D615/D612)*BV76</f>
        <v>237272.98740142453</v>
      </c>
      <c r="E642" s="180">
        <f>(E623/E612)*SUM(C642:D642)</f>
        <v>674891.88397334842</v>
      </c>
      <c r="F642" s="180">
        <f>(F624/F612)*BV64</f>
        <v>0</v>
      </c>
      <c r="G642" s="180">
        <f>(G625/G612)*BV77</f>
        <v>0</v>
      </c>
      <c r="H642" s="180">
        <f>(H628/H612)*BV60</f>
        <v>0</v>
      </c>
      <c r="I642" s="180">
        <f>(I629/I612)*BV78</f>
        <v>58875.552180559949</v>
      </c>
      <c r="J642" s="180">
        <f>(J630/J612)*BV79</f>
        <v>0</v>
      </c>
      <c r="N642" s="197" t="s">
        <v>649</v>
      </c>
    </row>
    <row r="643" spans="1:14" ht="12.6" customHeight="1" x14ac:dyDescent="0.25">
      <c r="A643" s="194">
        <v>8700</v>
      </c>
      <c r="B643" s="198" t="s">
        <v>650</v>
      </c>
      <c r="C643" s="180">
        <f>BW71</f>
        <v>704731.73295724497</v>
      </c>
      <c r="D643" s="180">
        <f>(D615/D612)*BW76</f>
        <v>0</v>
      </c>
      <c r="E643" s="180">
        <f>(E623/E612)*SUM(C643:D643)</f>
        <v>109657.35548398209</v>
      </c>
      <c r="F643" s="180">
        <f>(F624/F612)*BW64</f>
        <v>0</v>
      </c>
      <c r="G643" s="180">
        <f>(G625/G612)*BW77</f>
        <v>0</v>
      </c>
      <c r="H643" s="180">
        <f>(H628/H612)*BW60</f>
        <v>3599.8988050533285</v>
      </c>
      <c r="I643" s="180">
        <f>(I629/I612)*BW78</f>
        <v>0</v>
      </c>
      <c r="J643" s="180">
        <f>(J630/J612)*BW79</f>
        <v>0</v>
      </c>
      <c r="N643" s="197" t="s">
        <v>651</v>
      </c>
    </row>
    <row r="644" spans="1:14" ht="12.6" customHeight="1" x14ac:dyDescent="0.25">
      <c r="A644" s="194">
        <v>8710</v>
      </c>
      <c r="B644" s="198" t="s">
        <v>652</v>
      </c>
      <c r="C644" s="180">
        <f>BX71</f>
        <v>1035284.849531856</v>
      </c>
      <c r="D644" s="180">
        <f>(D615/D612)*BX76</f>
        <v>0</v>
      </c>
      <c r="E644" s="180">
        <f>(E623/E612)*SUM(C644:D644)</f>
        <v>161091.9353608604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f>(I629/I612)*BX78</f>
        <v>0</v>
      </c>
      <c r="J644" s="180">
        <f>(J630/J612)*BX79</f>
        <v>0</v>
      </c>
      <c r="K644" s="180">
        <f>SUM(C631:J644)</f>
        <v>15917126.116939625</v>
      </c>
      <c r="N644" s="197" t="s">
        <v>653</v>
      </c>
    </row>
    <row r="645" spans="1:14" ht="12.6" customHeight="1" x14ac:dyDescent="0.25">
      <c r="A645" s="194">
        <v>8720</v>
      </c>
      <c r="B645" s="198" t="s">
        <v>654</v>
      </c>
      <c r="C645" s="180">
        <f>BY71</f>
        <v>2631262.6816000002</v>
      </c>
      <c r="D645" s="180">
        <f>(D615/D612)*BY76</f>
        <v>64651.015973140624</v>
      </c>
      <c r="E645" s="180">
        <f>(E623/E612)*SUM(C645:D645)</f>
        <v>419488.3710548759</v>
      </c>
      <c r="F645" s="180">
        <f>(F624/F612)*BY64</f>
        <v>0</v>
      </c>
      <c r="G645" s="180">
        <f>(G625/G612)*BY77</f>
        <v>0</v>
      </c>
      <c r="H645" s="180">
        <f>(H628/H612)*BY60</f>
        <v>63123.255095719498</v>
      </c>
      <c r="I645" s="180">
        <f>(I629/I612)*BY78</f>
        <v>16042.130653554552</v>
      </c>
      <c r="J645" s="180">
        <f>(J630/J612)*BY79</f>
        <v>0</v>
      </c>
      <c r="K645" s="180">
        <v>0</v>
      </c>
      <c r="N645" s="197" t="s">
        <v>655</v>
      </c>
    </row>
    <row r="646" spans="1:14" ht="12.6" customHeight="1" x14ac:dyDescent="0.25">
      <c r="A646" s="194">
        <v>8730</v>
      </c>
      <c r="B646" s="198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f>(I629/I612)*BZ78</f>
        <v>0</v>
      </c>
      <c r="J646" s="180">
        <f>(J630/J612)*BZ79</f>
        <v>0</v>
      </c>
      <c r="K646" s="180">
        <v>0</v>
      </c>
      <c r="N646" s="197" t="s">
        <v>657</v>
      </c>
    </row>
    <row r="647" spans="1:14" ht="12.6" customHeight="1" x14ac:dyDescent="0.25">
      <c r="A647" s="194">
        <v>8740</v>
      </c>
      <c r="B647" s="198" t="s">
        <v>658</v>
      </c>
      <c r="C647" s="180">
        <f>CA71</f>
        <v>368412.98472000001</v>
      </c>
      <c r="D647" s="180">
        <f>(D615/D612)*CA76</f>
        <v>0</v>
      </c>
      <c r="E647" s="180">
        <f>(E623/E612)*SUM(C647:D647)</f>
        <v>57325.634338658143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f>(I629/I612)*CA78</f>
        <v>0</v>
      </c>
      <c r="J647" s="180">
        <f>(J630/J612)*CA79</f>
        <v>0</v>
      </c>
      <c r="K647" s="180">
        <v>0</v>
      </c>
      <c r="L647" s="180">
        <f>SUM(C645:K647)</f>
        <v>3620306.0734359492</v>
      </c>
      <c r="N647" s="197" t="s">
        <v>659</v>
      </c>
    </row>
    <row r="648" spans="1:14" ht="12.6" customHeight="1" x14ac:dyDescent="0.25">
      <c r="A648" s="194"/>
      <c r="B648" s="194"/>
      <c r="C648" s="180">
        <f>SUM(C614:C647)</f>
        <v>72412320.679599598</v>
      </c>
      <c r="L648" s="260"/>
    </row>
    <row r="666" spans="1:14" ht="12.6" customHeight="1" x14ac:dyDescent="0.25">
      <c r="C666" s="181" t="s">
        <v>660</v>
      </c>
      <c r="M666" s="181" t="s">
        <v>661</v>
      </c>
    </row>
    <row r="667" spans="1:14" ht="12.6" customHeight="1" x14ac:dyDescent="0.25">
      <c r="C667" s="181" t="s">
        <v>590</v>
      </c>
      <c r="D667" s="181" t="s">
        <v>591</v>
      </c>
      <c r="E667" s="196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6" t="s">
        <v>599</v>
      </c>
      <c r="M667" s="181" t="s">
        <v>662</v>
      </c>
    </row>
    <row r="668" spans="1:14" ht="12.6" customHeight="1" x14ac:dyDescent="0.25">
      <c r="A668" s="194">
        <v>6010</v>
      </c>
      <c r="B668" s="196" t="s">
        <v>283</v>
      </c>
      <c r="C668" s="180">
        <f>C71</f>
        <v>4997355.330000001</v>
      </c>
      <c r="D668" s="180">
        <f>(D615/D612)*C76</f>
        <v>591631.97175420541</v>
      </c>
      <c r="E668" s="180">
        <f>(E623/E612)*SUM(C668:D668)</f>
        <v>869655.13071497378</v>
      </c>
      <c r="F668" s="180">
        <f>(F624/F612)*C64</f>
        <v>0</v>
      </c>
      <c r="G668" s="180">
        <f>(G625/G612)*C77</f>
        <v>357576.56380586157</v>
      </c>
      <c r="H668" s="180">
        <f>(H628/H612)*C60</f>
        <v>86349.153555508237</v>
      </c>
      <c r="I668" s="180">
        <f>(I629/I612)*C78</f>
        <v>146804.14912031897</v>
      </c>
      <c r="J668" s="180">
        <f>(J630/J612)*C79</f>
        <v>0</v>
      </c>
      <c r="K668" s="180">
        <f>(K644/K612)*C75</f>
        <v>259184.33665629808</v>
      </c>
      <c r="L668" s="180">
        <f>(L647/L612)*C80</f>
        <v>246285.38674185824</v>
      </c>
      <c r="M668" s="180">
        <f t="shared" ref="M668:M713" si="20">ROUND(SUM(D668:L668),0)</f>
        <v>2557487</v>
      </c>
      <c r="N668" s="196" t="s">
        <v>663</v>
      </c>
    </row>
    <row r="669" spans="1:14" ht="12.6" customHeight="1" x14ac:dyDescent="0.25">
      <c r="A669" s="194">
        <v>6030</v>
      </c>
      <c r="B669" s="196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(I629/I612)*D78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6" t="s">
        <v>664</v>
      </c>
    </row>
    <row r="670" spans="1:14" ht="12.6" customHeight="1" x14ac:dyDescent="0.25">
      <c r="A670" s="194">
        <v>6070</v>
      </c>
      <c r="B670" s="196" t="s">
        <v>665</v>
      </c>
      <c r="C670" s="180">
        <f>E71</f>
        <v>21714640.649920002</v>
      </c>
      <c r="D670" s="180">
        <f>(D615/D612)*E76</f>
        <v>3756712.6694392669</v>
      </c>
      <c r="E670" s="180">
        <f>(E623/E612)*SUM(C670:D670)</f>
        <v>3963382.255937865</v>
      </c>
      <c r="F670" s="180">
        <f>(F624/F612)*E64</f>
        <v>0</v>
      </c>
      <c r="G670" s="180">
        <f>(G625/G612)*E77</f>
        <v>1320189.6145928763</v>
      </c>
      <c r="H670" s="180">
        <f>(H628/H612)*E60</f>
        <v>647734.52699527727</v>
      </c>
      <c r="I670" s="180">
        <f>(I629/I612)*E78</f>
        <v>932169.03963343601</v>
      </c>
      <c r="J670" s="180">
        <f>(J630/J612)*E79</f>
        <v>0</v>
      </c>
      <c r="K670" s="180">
        <f>(K644/K612)*E75</f>
        <v>1638188.3266216305</v>
      </c>
      <c r="L670" s="180">
        <f>(L647/L612)*E80</f>
        <v>1341325.5803428765</v>
      </c>
      <c r="M670" s="180">
        <f t="shared" si="20"/>
        <v>13599702</v>
      </c>
      <c r="N670" s="196" t="s">
        <v>666</v>
      </c>
    </row>
    <row r="671" spans="1:14" ht="12.6" customHeight="1" x14ac:dyDescent="0.25">
      <c r="A671" s="194">
        <v>6100</v>
      </c>
      <c r="B671" s="196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f>(I629/I612)*F78</f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6" t="s">
        <v>668</v>
      </c>
    </row>
    <row r="672" spans="1:14" ht="12.6" customHeight="1" x14ac:dyDescent="0.25">
      <c r="A672" s="194">
        <v>6120</v>
      </c>
      <c r="B672" s="196" t="s">
        <v>669</v>
      </c>
      <c r="C672" s="180">
        <f>G71</f>
        <v>47537.180410000001</v>
      </c>
      <c r="D672" s="180">
        <f>(D615/D612)*G76</f>
        <v>0</v>
      </c>
      <c r="E672" s="180">
        <f>(E623/E612)*SUM(C672:D672)</f>
        <v>7396.8593255354554</v>
      </c>
      <c r="F672" s="180">
        <f>(F624/F612)*G64</f>
        <v>0</v>
      </c>
      <c r="G672" s="180">
        <f>(G625/G612)*G77</f>
        <v>0</v>
      </c>
      <c r="H672" s="180">
        <f>(H628/H612)*G60</f>
        <v>246.97850429679798</v>
      </c>
      <c r="I672" s="180">
        <f>(I629/I612)*G78</f>
        <v>0</v>
      </c>
      <c r="J672" s="180">
        <f>(J630/J612)*G79</f>
        <v>0</v>
      </c>
      <c r="K672" s="180">
        <f>(K644/K612)*G75</f>
        <v>0</v>
      </c>
      <c r="L672" s="180">
        <f>(L647/L612)*G80</f>
        <v>-37.385658849345532</v>
      </c>
      <c r="M672" s="180">
        <f t="shared" si="20"/>
        <v>7606</v>
      </c>
      <c r="N672" s="196" t="s">
        <v>670</v>
      </c>
    </row>
    <row r="673" spans="1:14" ht="12.6" customHeight="1" x14ac:dyDescent="0.25">
      <c r="A673" s="194">
        <v>6140</v>
      </c>
      <c r="B673" s="196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f>(I629/I612)*H78</f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6" t="s">
        <v>672</v>
      </c>
    </row>
    <row r="674" spans="1:14" ht="12.6" customHeight="1" x14ac:dyDescent="0.25">
      <c r="A674" s="194">
        <v>6150</v>
      </c>
      <c r="B674" s="196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f>(I629/I612)*I78</f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6" t="s">
        <v>674</v>
      </c>
    </row>
    <row r="675" spans="1:14" ht="12.6" customHeight="1" x14ac:dyDescent="0.25">
      <c r="A675" s="194">
        <v>6170</v>
      </c>
      <c r="B675" s="196" t="s">
        <v>99</v>
      </c>
      <c r="C675" s="180">
        <f>J71</f>
        <v>0</v>
      </c>
      <c r="D675" s="180">
        <f>(D615/D612)*J76</f>
        <v>109662.40645444056</v>
      </c>
      <c r="E675" s="180">
        <f>(E623/E612)*SUM(C675:D675)</f>
        <v>17063.641277145492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f>(I629/I612)*J78</f>
        <v>27210.997780084537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153937</v>
      </c>
      <c r="N675" s="196" t="s">
        <v>675</v>
      </c>
    </row>
    <row r="676" spans="1:14" ht="12.6" customHeight="1" x14ac:dyDescent="0.25">
      <c r="A676" s="194">
        <v>6200</v>
      </c>
      <c r="B676" s="196" t="s">
        <v>288</v>
      </c>
      <c r="C676" s="180">
        <f>K71</f>
        <v>0</v>
      </c>
      <c r="D676" s="180">
        <f>(D615/D612)*K76</f>
        <v>0</v>
      </c>
      <c r="E676" s="180">
        <f>(E623/E612)*SUM(C676:D676)</f>
        <v>0</v>
      </c>
      <c r="F676" s="180">
        <f>(F624/F612)*K64</f>
        <v>0</v>
      </c>
      <c r="G676" s="180">
        <f>(G625/G612)*K77</f>
        <v>0</v>
      </c>
      <c r="H676" s="180">
        <f>(H628/H612)*K60</f>
        <v>0</v>
      </c>
      <c r="I676" s="180">
        <f>(I629/I612)*K78</f>
        <v>0</v>
      </c>
      <c r="J676" s="180">
        <f>(J630/J612)*K79</f>
        <v>0</v>
      </c>
      <c r="K676" s="180">
        <f>(K644/K612)*K75</f>
        <v>0</v>
      </c>
      <c r="L676" s="180">
        <f>(L647/L612)*K80</f>
        <v>0</v>
      </c>
      <c r="M676" s="180">
        <f t="shared" si="20"/>
        <v>0</v>
      </c>
      <c r="N676" s="196" t="s">
        <v>676</v>
      </c>
    </row>
    <row r="677" spans="1:14" ht="12.6" customHeight="1" x14ac:dyDescent="0.25">
      <c r="A677" s="194">
        <v>6210</v>
      </c>
      <c r="B677" s="196" t="s">
        <v>289</v>
      </c>
      <c r="C677" s="180">
        <f>L71</f>
        <v>0</v>
      </c>
      <c r="D677" s="180">
        <f>(D615/D612)*L76</f>
        <v>0</v>
      </c>
      <c r="E677" s="180">
        <f>(E623/E612)*SUM(C677:D677)</f>
        <v>0</v>
      </c>
      <c r="F677" s="180">
        <f>(F624/F612)*L64</f>
        <v>0</v>
      </c>
      <c r="G677" s="180">
        <f>(G625/G612)*L77</f>
        <v>0</v>
      </c>
      <c r="H677" s="180">
        <f>(H628/H612)*L60</f>
        <v>0</v>
      </c>
      <c r="I677" s="180">
        <f>(I629/I612)*L78</f>
        <v>0</v>
      </c>
      <c r="J677" s="180">
        <f>(J630/J612)*L79</f>
        <v>0</v>
      </c>
      <c r="K677" s="180">
        <f>(K644/K612)*L75</f>
        <v>0</v>
      </c>
      <c r="L677" s="180">
        <f>(L647/L612)*L80</f>
        <v>0</v>
      </c>
      <c r="M677" s="180">
        <f t="shared" si="20"/>
        <v>0</v>
      </c>
      <c r="N677" s="196" t="s">
        <v>677</v>
      </c>
    </row>
    <row r="678" spans="1:14" ht="12.6" customHeight="1" x14ac:dyDescent="0.25">
      <c r="A678" s="194">
        <v>6330</v>
      </c>
      <c r="B678" s="196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f>(I629/I612)*M78</f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6" t="s">
        <v>679</v>
      </c>
    </row>
    <row r="679" spans="1:14" ht="12.6" customHeight="1" x14ac:dyDescent="0.25">
      <c r="A679" s="194">
        <v>6400</v>
      </c>
      <c r="B679" s="196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f>(I629/I612)*N78</f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6" t="s">
        <v>681</v>
      </c>
    </row>
    <row r="680" spans="1:14" ht="12.6" customHeight="1" x14ac:dyDescent="0.25">
      <c r="A680" s="194">
        <v>7010</v>
      </c>
      <c r="B680" s="196" t="s">
        <v>682</v>
      </c>
      <c r="C680" s="180">
        <f>O71</f>
        <v>5296113.1499999994</v>
      </c>
      <c r="D680" s="180">
        <f>(D615/D612)*O76</f>
        <v>2119576.0411194186</v>
      </c>
      <c r="E680" s="180">
        <f>(E623/E612)*SUM(C680:D680)</f>
        <v>1153892.7903486933</v>
      </c>
      <c r="F680" s="180">
        <f>(F624/F612)*O64</f>
        <v>0</v>
      </c>
      <c r="G680" s="180">
        <f>(G625/G612)*O77</f>
        <v>186859.46863925937</v>
      </c>
      <c r="H680" s="180">
        <f>(H628/H612)*O60</f>
        <v>148238.23461266534</v>
      </c>
      <c r="I680" s="180">
        <f>(I629/I612)*O78</f>
        <v>525939.38811275654</v>
      </c>
      <c r="J680" s="180">
        <f>(J630/J612)*O79</f>
        <v>0</v>
      </c>
      <c r="K680" s="180">
        <f>(K644/K612)*O75</f>
        <v>436249.49540713691</v>
      </c>
      <c r="L680" s="180">
        <f>(L647/L612)*O80</f>
        <v>385970.48644044576</v>
      </c>
      <c r="M680" s="180">
        <f t="shared" si="20"/>
        <v>4956726</v>
      </c>
      <c r="N680" s="196" t="s">
        <v>683</v>
      </c>
    </row>
    <row r="681" spans="1:14" ht="12.6" customHeight="1" x14ac:dyDescent="0.25">
      <c r="A681" s="194">
        <v>7020</v>
      </c>
      <c r="B681" s="196" t="s">
        <v>684</v>
      </c>
      <c r="C681" s="180">
        <f>P71</f>
        <v>20139074.719040003</v>
      </c>
      <c r="D681" s="180">
        <f>(D615/D612)*P76</f>
        <v>2024384.9376589658</v>
      </c>
      <c r="E681" s="180">
        <f>(E623/E612)*SUM(C681:D681)</f>
        <v>3448668.8489689203</v>
      </c>
      <c r="F681" s="180">
        <f>(F624/F612)*P64</f>
        <v>0</v>
      </c>
      <c r="G681" s="180">
        <f>(G625/G612)*P77</f>
        <v>0</v>
      </c>
      <c r="H681" s="180">
        <f>(H628/H612)*P60</f>
        <v>195958.07405741466</v>
      </c>
      <c r="I681" s="180">
        <f>(I629/I612)*P78</f>
        <v>502319.21608942689</v>
      </c>
      <c r="J681" s="180">
        <f>(J630/J612)*P79</f>
        <v>0</v>
      </c>
      <c r="K681" s="180">
        <f>(K644/K612)*P75</f>
        <v>3071779.5286477287</v>
      </c>
      <c r="L681" s="180">
        <f>(L647/L612)*P80</f>
        <v>258901.9053570843</v>
      </c>
      <c r="M681" s="180">
        <f t="shared" si="20"/>
        <v>9502013</v>
      </c>
      <c r="N681" s="196" t="s">
        <v>685</v>
      </c>
    </row>
    <row r="682" spans="1:14" ht="12.6" customHeight="1" x14ac:dyDescent="0.25">
      <c r="A682" s="194">
        <v>7030</v>
      </c>
      <c r="B682" s="196" t="s">
        <v>686</v>
      </c>
      <c r="C682" s="180">
        <f>Q71</f>
        <v>2941993.08</v>
      </c>
      <c r="D682" s="180">
        <f>(D615/D612)*Q76</f>
        <v>215660.00241040369</v>
      </c>
      <c r="E682" s="180">
        <f>(E623/E612)*SUM(C682:D682)</f>
        <v>491335.73863627407</v>
      </c>
      <c r="F682" s="180">
        <f>(F624/F612)*Q64</f>
        <v>0</v>
      </c>
      <c r="G682" s="180">
        <f>(G625/G612)*Q77</f>
        <v>0</v>
      </c>
      <c r="H682" s="180">
        <f>(H628/H612)*Q60</f>
        <v>73802.066759321839</v>
      </c>
      <c r="I682" s="180">
        <f>(I629/I612)*Q78</f>
        <v>53512.630595796079</v>
      </c>
      <c r="J682" s="180">
        <f>(J630/J612)*Q79</f>
        <v>0</v>
      </c>
      <c r="K682" s="180">
        <f>(K644/K612)*Q75</f>
        <v>250481.03456732768</v>
      </c>
      <c r="L682" s="180">
        <f>(L647/L612)*Q80</f>
        <v>170882.13334863793</v>
      </c>
      <c r="M682" s="180">
        <f t="shared" si="20"/>
        <v>1255674</v>
      </c>
      <c r="N682" s="196" t="s">
        <v>687</v>
      </c>
    </row>
    <row r="683" spans="1:14" ht="12.6" customHeight="1" x14ac:dyDescent="0.25">
      <c r="A683" s="194">
        <v>7040</v>
      </c>
      <c r="B683" s="196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f>(I629/I612)*R78</f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6" t="s">
        <v>688</v>
      </c>
    </row>
    <row r="684" spans="1:14" ht="12.6" customHeight="1" x14ac:dyDescent="0.25">
      <c r="A684" s="194">
        <v>7050</v>
      </c>
      <c r="B684" s="196" t="s">
        <v>689</v>
      </c>
      <c r="C684" s="180">
        <f>S71</f>
        <v>988932.98756319005</v>
      </c>
      <c r="D684" s="180">
        <f>(D615/D612)*S76</f>
        <v>468531.92680534761</v>
      </c>
      <c r="E684" s="180">
        <f>(E623/E612)*SUM(C684:D684)</f>
        <v>226783.81112439337</v>
      </c>
      <c r="F684" s="180">
        <f>(F624/F612)*S64</f>
        <v>0</v>
      </c>
      <c r="G684" s="180">
        <f>(G625/G612)*S77</f>
        <v>0</v>
      </c>
      <c r="H684" s="180">
        <f>(H628/H612)*S60</f>
        <v>69619.598052012065</v>
      </c>
      <c r="I684" s="180">
        <f>(I629/I612)*S78</f>
        <v>116258.81313753342</v>
      </c>
      <c r="J684" s="180">
        <f>(J630/J612)*S79</f>
        <v>0</v>
      </c>
      <c r="K684" s="180">
        <f>(K644/K612)*S75</f>
        <v>0</v>
      </c>
      <c r="L684" s="180">
        <f>(L647/L612)*S80</f>
        <v>255.79661317973256</v>
      </c>
      <c r="M684" s="180">
        <f t="shared" si="20"/>
        <v>881450</v>
      </c>
      <c r="N684" s="196" t="s">
        <v>690</v>
      </c>
    </row>
    <row r="685" spans="1:14" ht="12.6" customHeight="1" x14ac:dyDescent="0.25">
      <c r="A685" s="194">
        <v>7060</v>
      </c>
      <c r="B685" s="196" t="s">
        <v>691</v>
      </c>
      <c r="C685" s="180">
        <f>T71</f>
        <v>187093.84</v>
      </c>
      <c r="D685" s="180">
        <f>(D615/D612)*T76</f>
        <v>0</v>
      </c>
      <c r="E685" s="180">
        <f>(E623/E612)*SUM(C685:D685)</f>
        <v>29112.09296004265</v>
      </c>
      <c r="F685" s="180">
        <f>(F624/F612)*T64</f>
        <v>0</v>
      </c>
      <c r="G685" s="180">
        <f>(G625/G612)*T77</f>
        <v>8107.4889255474527</v>
      </c>
      <c r="H685" s="180">
        <f>(H628/H612)*T60</f>
        <v>6164.5235936712788</v>
      </c>
      <c r="I685" s="180">
        <f>(I629/I612)*T78</f>
        <v>0</v>
      </c>
      <c r="J685" s="180">
        <f>(J630/J612)*T79</f>
        <v>0</v>
      </c>
      <c r="K685" s="180">
        <f>(K644/K612)*T75</f>
        <v>46229.350171448081</v>
      </c>
      <c r="L685" s="180">
        <f>(L647/L612)*T80</f>
        <v>22300.584856959711</v>
      </c>
      <c r="M685" s="180">
        <f t="shared" si="20"/>
        <v>111914</v>
      </c>
      <c r="N685" s="196" t="s">
        <v>692</v>
      </c>
    </row>
    <row r="686" spans="1:14" ht="12.6" customHeight="1" x14ac:dyDescent="0.25">
      <c r="A686" s="194">
        <v>7070</v>
      </c>
      <c r="B686" s="196" t="s">
        <v>109</v>
      </c>
      <c r="C686" s="180">
        <f>U71</f>
        <v>6372043.3355100006</v>
      </c>
      <c r="D686" s="180">
        <f>(D615/D612)*U76</f>
        <v>822796.94165816752</v>
      </c>
      <c r="E686" s="180">
        <f>(E623/E612)*SUM(C686:D686)</f>
        <v>1119528.355297955</v>
      </c>
      <c r="F686" s="180">
        <f>(F624/F612)*U64</f>
        <v>0</v>
      </c>
      <c r="G686" s="180">
        <f>(G625/G612)*U77</f>
        <v>0</v>
      </c>
      <c r="H686" s="180">
        <f>(H628/H612)*U60</f>
        <v>135300.89184290162</v>
      </c>
      <c r="I686" s="180">
        <f>(I629/I612)*U78</f>
        <v>204164.09302692392</v>
      </c>
      <c r="J686" s="180">
        <f>(J630/J612)*U79</f>
        <v>0</v>
      </c>
      <c r="K686" s="180">
        <f>(K644/K612)*U75</f>
        <v>928648.06014384772</v>
      </c>
      <c r="L686" s="180">
        <f>(L647/L612)*U80</f>
        <v>0</v>
      </c>
      <c r="M686" s="180">
        <f t="shared" si="20"/>
        <v>3210438</v>
      </c>
      <c r="N686" s="196" t="s">
        <v>693</v>
      </c>
    </row>
    <row r="687" spans="1:14" ht="12.6" customHeight="1" x14ac:dyDescent="0.25">
      <c r="A687" s="194">
        <v>7110</v>
      </c>
      <c r="B687" s="196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f>(I629/I612)*V78</f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0"/>
        <v>0</v>
      </c>
      <c r="N687" s="196" t="s">
        <v>695</v>
      </c>
    </row>
    <row r="688" spans="1:14" ht="12.6" customHeight="1" x14ac:dyDescent="0.25">
      <c r="A688" s="194">
        <v>7120</v>
      </c>
      <c r="B688" s="196" t="s">
        <v>696</v>
      </c>
      <c r="C688" s="180">
        <f>W71</f>
        <v>1767671.23</v>
      </c>
      <c r="D688" s="180">
        <f>(D615/D612)*W76</f>
        <v>0</v>
      </c>
      <c r="E688" s="180">
        <f>(E623/E612)*SUM(C688:D688)</f>
        <v>275052.39707813435</v>
      </c>
      <c r="F688" s="180">
        <f>(F624/F612)*W64</f>
        <v>0</v>
      </c>
      <c r="G688" s="180">
        <f>(G625/G612)*W77</f>
        <v>0</v>
      </c>
      <c r="H688" s="180">
        <f>(H628/H612)*W60</f>
        <v>21471.722406725094</v>
      </c>
      <c r="I688" s="180">
        <f>(I629/I612)*W78</f>
        <v>0</v>
      </c>
      <c r="J688" s="180">
        <f>(J630/J612)*W79</f>
        <v>0</v>
      </c>
      <c r="K688" s="180">
        <f>(K644/K612)*W75</f>
        <v>255683.82629184422</v>
      </c>
      <c r="L688" s="180">
        <f>(L647/L612)*W80</f>
        <v>0</v>
      </c>
      <c r="M688" s="180">
        <f t="shared" si="20"/>
        <v>552208</v>
      </c>
      <c r="N688" s="196" t="s">
        <v>697</v>
      </c>
    </row>
    <row r="689" spans="1:14" ht="12.6" customHeight="1" x14ac:dyDescent="0.25">
      <c r="A689" s="194">
        <v>7130</v>
      </c>
      <c r="B689" s="196" t="s">
        <v>698</v>
      </c>
      <c r="C689" s="180">
        <f>X71</f>
        <v>1416481.4299999997</v>
      </c>
      <c r="D689" s="180">
        <f>(D615/D612)*X76</f>
        <v>74423.843969080481</v>
      </c>
      <c r="E689" s="180">
        <f>(E623/E612)*SUM(C689:D689)</f>
        <v>231987.18317185494</v>
      </c>
      <c r="F689" s="180">
        <f>(F624/F612)*X64</f>
        <v>0</v>
      </c>
      <c r="G689" s="180">
        <f>(G625/G612)*X77</f>
        <v>0</v>
      </c>
      <c r="H689" s="180">
        <f>(H628/H612)*X60</f>
        <v>32543.843596321549</v>
      </c>
      <c r="I689" s="180">
        <f>(I629/I612)*X78</f>
        <v>18467.103891882565</v>
      </c>
      <c r="J689" s="180">
        <f>(J630/J612)*X79</f>
        <v>0</v>
      </c>
      <c r="K689" s="180">
        <f>(K644/K612)*X75</f>
        <v>1536177.0149884047</v>
      </c>
      <c r="L689" s="180">
        <f>(L647/L612)*X80</f>
        <v>0</v>
      </c>
      <c r="M689" s="180">
        <f t="shared" si="20"/>
        <v>1893599</v>
      </c>
      <c r="N689" s="196" t="s">
        <v>699</v>
      </c>
    </row>
    <row r="690" spans="1:14" ht="12.6" customHeight="1" x14ac:dyDescent="0.25">
      <c r="A690" s="194">
        <v>7140</v>
      </c>
      <c r="B690" s="196" t="s">
        <v>1250</v>
      </c>
      <c r="C690" s="180">
        <f>Y71</f>
        <v>5818246.0299999993</v>
      </c>
      <c r="D690" s="180">
        <f>(D615/D612)*Y76</f>
        <v>1347052.7819403645</v>
      </c>
      <c r="E690" s="180">
        <f>(E623/E612)*SUM(C690:D690)</f>
        <v>1114931.6572886154</v>
      </c>
      <c r="F690" s="180">
        <f>(F624/F612)*Y64</f>
        <v>0</v>
      </c>
      <c r="G690" s="180">
        <f>(G625/G612)*Y77</f>
        <v>24.201459479246129</v>
      </c>
      <c r="H690" s="180">
        <f>(H628/H612)*Y60</f>
        <v>125204.23096651808</v>
      </c>
      <c r="I690" s="180">
        <f>(I629/I612)*Y78</f>
        <v>334249.91703300073</v>
      </c>
      <c r="J690" s="180">
        <f>(J630/J612)*Y79</f>
        <v>0</v>
      </c>
      <c r="K690" s="180">
        <f>(K644/K612)*Y75</f>
        <v>582546.60522899451</v>
      </c>
      <c r="L690" s="180">
        <f>(L647/L612)*Y80</f>
        <v>14.718143589110765</v>
      </c>
      <c r="M690" s="180">
        <f t="shared" si="20"/>
        <v>3504024</v>
      </c>
      <c r="N690" s="196" t="s">
        <v>700</v>
      </c>
    </row>
    <row r="691" spans="1:14" ht="12.6" customHeight="1" x14ac:dyDescent="0.25">
      <c r="A691" s="194">
        <v>7150</v>
      </c>
      <c r="B691" s="196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(I629/I612)*Z78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6" t="s">
        <v>702</v>
      </c>
    </row>
    <row r="692" spans="1:14" ht="12.6" customHeight="1" x14ac:dyDescent="0.25">
      <c r="A692" s="194">
        <v>7160</v>
      </c>
      <c r="B692" s="196" t="s">
        <v>703</v>
      </c>
      <c r="C692" s="180">
        <f>AA71</f>
        <v>832718.81999999983</v>
      </c>
      <c r="D692" s="180">
        <f>(D615/D612)*AA76</f>
        <v>354358.98435278091</v>
      </c>
      <c r="E692" s="180">
        <f>(E623/E612)*SUM(C692:D692)</f>
        <v>184711.15559508253</v>
      </c>
      <c r="F692" s="180">
        <f>(F624/F612)*AA64</f>
        <v>0</v>
      </c>
      <c r="G692" s="180">
        <f>(G625/G612)*AA77</f>
        <v>0</v>
      </c>
      <c r="H692" s="180">
        <f>(H628/H612)*AA60</f>
        <v>10594.090552431451</v>
      </c>
      <c r="I692" s="180">
        <f>(I629/I612)*AA78</f>
        <v>87928.596939759038</v>
      </c>
      <c r="J692" s="180">
        <f>(J630/J612)*AA79</f>
        <v>0</v>
      </c>
      <c r="K692" s="180">
        <f>(K644/K612)*AA75</f>
        <v>89227.726403811903</v>
      </c>
      <c r="L692" s="180">
        <f>(L647/L612)*AA80</f>
        <v>0</v>
      </c>
      <c r="M692" s="180">
        <f t="shared" si="20"/>
        <v>726821</v>
      </c>
      <c r="N692" s="196" t="s">
        <v>704</v>
      </c>
    </row>
    <row r="693" spans="1:14" ht="12.6" customHeight="1" x14ac:dyDescent="0.25">
      <c r="A693" s="194">
        <v>7170</v>
      </c>
      <c r="B693" s="196" t="s">
        <v>115</v>
      </c>
      <c r="C693" s="180">
        <f>AB71</f>
        <v>12162599.129999999</v>
      </c>
      <c r="D693" s="180">
        <f>(D615/D612)*AB76</f>
        <v>166326.01493089958</v>
      </c>
      <c r="E693" s="180">
        <f>(E623/E612)*SUM(C693:D693)</f>
        <v>1918399.958633783</v>
      </c>
      <c r="F693" s="180">
        <f>(F624/F612)*AB64</f>
        <v>0</v>
      </c>
      <c r="G693" s="180">
        <f>(G625/G612)*AB77</f>
        <v>0</v>
      </c>
      <c r="H693" s="180">
        <f>(H628/H612)*AB60</f>
        <v>121282.93080120654</v>
      </c>
      <c r="I693" s="180">
        <f>(I629/I612)*AB78</f>
        <v>41271.179152313307</v>
      </c>
      <c r="J693" s="180">
        <f>(J630/J612)*AB79</f>
        <v>0</v>
      </c>
      <c r="K693" s="180">
        <f>(K644/K612)*AB75</f>
        <v>2286906.3585931701</v>
      </c>
      <c r="L693" s="180">
        <f>(L647/L612)*AB80</f>
        <v>0</v>
      </c>
      <c r="M693" s="180">
        <f t="shared" si="20"/>
        <v>4534186</v>
      </c>
      <c r="N693" s="196" t="s">
        <v>705</v>
      </c>
    </row>
    <row r="694" spans="1:14" ht="12.6" customHeight="1" x14ac:dyDescent="0.25">
      <c r="A694" s="194">
        <v>7180</v>
      </c>
      <c r="B694" s="196" t="s">
        <v>706</v>
      </c>
      <c r="C694" s="180">
        <f>AC71</f>
        <v>2059020.8999999997</v>
      </c>
      <c r="D694" s="180">
        <f>(D615/D612)*AC76</f>
        <v>68033.917971735194</v>
      </c>
      <c r="E694" s="180">
        <f>(E623/E612)*SUM(C694:D694)</f>
        <v>330973.04321670742</v>
      </c>
      <c r="F694" s="180">
        <f>(F624/F612)*AC64</f>
        <v>0</v>
      </c>
      <c r="G694" s="180">
        <f>(G625/G612)*AC77</f>
        <v>0</v>
      </c>
      <c r="H694" s="180">
        <f>(H628/H612)*AC60</f>
        <v>67016.574342806882</v>
      </c>
      <c r="I694" s="180">
        <f>(I629/I612)*AC78</f>
        <v>16881.544466821942</v>
      </c>
      <c r="J694" s="180">
        <f>(J630/J612)*AC79</f>
        <v>0</v>
      </c>
      <c r="K694" s="180">
        <f>(K644/K612)*AC75</f>
        <v>462354.2069260212</v>
      </c>
      <c r="L694" s="180">
        <f>(L647/L612)*AC80</f>
        <v>0</v>
      </c>
      <c r="M694" s="180">
        <f t="shared" si="20"/>
        <v>945259</v>
      </c>
      <c r="N694" s="196" t="s">
        <v>707</v>
      </c>
    </row>
    <row r="695" spans="1:14" ht="12.6" customHeight="1" x14ac:dyDescent="0.25">
      <c r="A695" s="194">
        <v>7190</v>
      </c>
      <c r="B695" s="196" t="s">
        <v>117</v>
      </c>
      <c r="C695" s="180">
        <f>AD71</f>
        <v>567966.18999999994</v>
      </c>
      <c r="D695" s="180">
        <f>(D615/D612)*AD76</f>
        <v>0</v>
      </c>
      <c r="E695" s="180">
        <f>(E623/E612)*SUM(C695:D695)</f>
        <v>88376.42394555184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(I629/I612)*AD78</f>
        <v>0</v>
      </c>
      <c r="J695" s="180">
        <f>(J630/J612)*AD79</f>
        <v>0</v>
      </c>
      <c r="K695" s="180">
        <f>(K644/K612)*AD75</f>
        <v>30249.711956519001</v>
      </c>
      <c r="L695" s="180">
        <f>(L647/L612)*AD80</f>
        <v>0</v>
      </c>
      <c r="M695" s="180">
        <f t="shared" si="20"/>
        <v>118626</v>
      </c>
      <c r="N695" s="196" t="s">
        <v>708</v>
      </c>
    </row>
    <row r="696" spans="1:14" ht="12.6" customHeight="1" x14ac:dyDescent="0.25">
      <c r="A696" s="194">
        <v>7200</v>
      </c>
      <c r="B696" s="196" t="s">
        <v>709</v>
      </c>
      <c r="C696" s="180">
        <f>AE71</f>
        <v>603155.57999999996</v>
      </c>
      <c r="D696" s="180">
        <f>(D615/D612)*AE76</f>
        <v>0</v>
      </c>
      <c r="E696" s="180">
        <f>(E623/E612)*SUM(C696:D696)</f>
        <v>93851.947847820324</v>
      </c>
      <c r="F696" s="180">
        <f>(F624/F612)*AE64</f>
        <v>0</v>
      </c>
      <c r="G696" s="180">
        <f>(G625/G612)*AE77</f>
        <v>0</v>
      </c>
      <c r="H696" s="180">
        <f>(H628/H612)*AE60</f>
        <v>0</v>
      </c>
      <c r="I696" s="180">
        <f>(I629/I612)*AE78</f>
        <v>0</v>
      </c>
      <c r="J696" s="180">
        <f>(J630/J612)*AE79</f>
        <v>0</v>
      </c>
      <c r="K696" s="180">
        <f>(K644/K612)*AE75</f>
        <v>33613.824530437603</v>
      </c>
      <c r="L696" s="180">
        <f>(L647/L612)*AE80</f>
        <v>0</v>
      </c>
      <c r="M696" s="180">
        <f t="shared" si="20"/>
        <v>127466</v>
      </c>
      <c r="N696" s="196" t="s">
        <v>710</v>
      </c>
    </row>
    <row r="697" spans="1:14" ht="12.6" customHeight="1" x14ac:dyDescent="0.25">
      <c r="A697" s="194">
        <v>7220</v>
      </c>
      <c r="B697" s="196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f>(I629/I612)*AF78</f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6" t="s">
        <v>712</v>
      </c>
    </row>
    <row r="698" spans="1:14" ht="12.6" customHeight="1" x14ac:dyDescent="0.25">
      <c r="A698" s="194">
        <v>7230</v>
      </c>
      <c r="B698" s="196" t="s">
        <v>713</v>
      </c>
      <c r="C698" s="180">
        <f>AG71</f>
        <v>14328695.609999998</v>
      </c>
      <c r="D698" s="180">
        <f>(D615/D612)*AG76</f>
        <v>2540747.3399444423</v>
      </c>
      <c r="E698" s="180">
        <f>(E623/E612)*SUM(C698:D698)</f>
        <v>2624911.6023430736</v>
      </c>
      <c r="F698" s="180">
        <f>(F624/F612)*AG64</f>
        <v>0</v>
      </c>
      <c r="G698" s="180">
        <f>(G625/G612)*AG77</f>
        <v>219410.43163884542</v>
      </c>
      <c r="H698" s="180">
        <f>(H628/H612)*AG60</f>
        <v>360010.5368893285</v>
      </c>
      <c r="I698" s="180">
        <f>(I629/I612)*AG78</f>
        <v>630446.40786454652</v>
      </c>
      <c r="J698" s="180">
        <f>(J630/J612)*AG79</f>
        <v>0</v>
      </c>
      <c r="K698" s="180">
        <f>(K644/K612)*AG75</f>
        <v>2631450.0526780137</v>
      </c>
      <c r="L698" s="180">
        <f>(L647/L612)*AG80</f>
        <v>696673.64587258233</v>
      </c>
      <c r="M698" s="180">
        <f t="shared" si="20"/>
        <v>9703650</v>
      </c>
      <c r="N698" s="196" t="s">
        <v>714</v>
      </c>
    </row>
    <row r="699" spans="1:14" ht="12.6" customHeight="1" x14ac:dyDescent="0.25">
      <c r="A699" s="194">
        <v>7240</v>
      </c>
      <c r="B699" s="196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f>(I629/I612)*AH78</f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6" t="s">
        <v>715</v>
      </c>
    </row>
    <row r="700" spans="1:14" ht="12.6" customHeight="1" x14ac:dyDescent="0.25">
      <c r="A700" s="194">
        <v>7250</v>
      </c>
      <c r="B700" s="196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f>(I629/I612)*AI78</f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6" t="s">
        <v>717</v>
      </c>
    </row>
    <row r="701" spans="1:14" ht="12.6" customHeight="1" x14ac:dyDescent="0.25">
      <c r="A701" s="194">
        <v>7260</v>
      </c>
      <c r="B701" s="196" t="s">
        <v>121</v>
      </c>
      <c r="C701" s="180">
        <f>AJ71</f>
        <v>49789066.479999997</v>
      </c>
      <c r="D701" s="180">
        <f>(D615/D612)*AJ76</f>
        <v>1472690.0033881683</v>
      </c>
      <c r="E701" s="180">
        <f>(E623/E612)*SUM(C701:D701)</f>
        <v>7976409.1647243183</v>
      </c>
      <c r="F701" s="180">
        <f>(F624/F612)*AJ64</f>
        <v>0</v>
      </c>
      <c r="G701" s="180">
        <f>(G625/G612)*AJ77</f>
        <v>121902.75139696275</v>
      </c>
      <c r="H701" s="180">
        <f>(H628/H612)*AJ60</f>
        <v>1262142.622829749</v>
      </c>
      <c r="I701" s="180">
        <f>(I629/I612)*AJ78</f>
        <v>365424.81337573688</v>
      </c>
      <c r="J701" s="180">
        <f>(J630/J612)*AJ79</f>
        <v>0</v>
      </c>
      <c r="K701" s="180">
        <f>(K644/K612)*AJ75</f>
        <v>1334613.6832251139</v>
      </c>
      <c r="L701" s="180">
        <f>(L647/L612)*AJ80</f>
        <v>484970.85933952109</v>
      </c>
      <c r="M701" s="180">
        <f t="shared" si="20"/>
        <v>13018154</v>
      </c>
      <c r="N701" s="196" t="s">
        <v>718</v>
      </c>
    </row>
    <row r="702" spans="1:14" ht="12.6" customHeight="1" x14ac:dyDescent="0.25">
      <c r="A702" s="194">
        <v>7310</v>
      </c>
      <c r="B702" s="196" t="s">
        <v>719</v>
      </c>
      <c r="C702" s="180">
        <f>AK71</f>
        <v>272868.67000000016</v>
      </c>
      <c r="D702" s="180">
        <f>(D615/D612)*AK76</f>
        <v>7141.6819970329761</v>
      </c>
      <c r="E702" s="180">
        <f>(E623/E612)*SUM(C702:D702)</f>
        <v>43570.046972748496</v>
      </c>
      <c r="F702" s="180">
        <f>(F624/F612)*AK64</f>
        <v>0</v>
      </c>
      <c r="G702" s="180">
        <f>(G625/G612)*AK77</f>
        <v>0</v>
      </c>
      <c r="H702" s="180">
        <f>(H628/H612)*AK60</f>
        <v>15621.894332710532</v>
      </c>
      <c r="I702" s="180">
        <f>(I629/I612)*AK78</f>
        <v>1772.0958280089328</v>
      </c>
      <c r="J702" s="180">
        <f>(J630/J612)*AK79</f>
        <v>0</v>
      </c>
      <c r="K702" s="180">
        <f>(K644/K612)*AK75</f>
        <v>29573.083802603316</v>
      </c>
      <c r="L702" s="180">
        <f>(L647/L612)*AK80</f>
        <v>0</v>
      </c>
      <c r="M702" s="180">
        <f t="shared" si="20"/>
        <v>97679</v>
      </c>
      <c r="N702" s="196" t="s">
        <v>720</v>
      </c>
    </row>
    <row r="703" spans="1:14" ht="12.6" customHeight="1" x14ac:dyDescent="0.25">
      <c r="A703" s="194">
        <v>7320</v>
      </c>
      <c r="B703" s="196" t="s">
        <v>721</v>
      </c>
      <c r="C703" s="180">
        <f>AL71</f>
        <v>286945.19</v>
      </c>
      <c r="D703" s="180">
        <f>(D615/D612)*AL76</f>
        <v>7235.6514969939362</v>
      </c>
      <c r="E703" s="180">
        <f>(E623/E612)*SUM(C703:D703)</f>
        <v>45774.997213826282</v>
      </c>
      <c r="F703" s="180">
        <f>(F624/F612)*AL64</f>
        <v>0</v>
      </c>
      <c r="G703" s="180">
        <f>(G625/G612)*AL77</f>
        <v>0</v>
      </c>
      <c r="H703" s="180">
        <f>(H628/H612)*AL60</f>
        <v>9543.3491953229404</v>
      </c>
      <c r="I703" s="180">
        <f>(I629/I612)*AL78</f>
        <v>1795.4128783774718</v>
      </c>
      <c r="J703" s="180">
        <f>(J630/J612)*AL79</f>
        <v>0</v>
      </c>
      <c r="K703" s="180">
        <f>(K644/K612)*AL75</f>
        <v>19258.583789244218</v>
      </c>
      <c r="L703" s="180">
        <f>(L647/L612)*AL80</f>
        <v>0</v>
      </c>
      <c r="M703" s="180">
        <f t="shared" si="20"/>
        <v>83608</v>
      </c>
      <c r="N703" s="196" t="s">
        <v>722</v>
      </c>
    </row>
    <row r="704" spans="1:14" ht="12.6" customHeight="1" x14ac:dyDescent="0.25">
      <c r="A704" s="194">
        <v>7330</v>
      </c>
      <c r="B704" s="196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f>(I629/I612)*AM78</f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6" t="s">
        <v>724</v>
      </c>
    </row>
    <row r="705" spans="1:15" ht="12.6" customHeight="1" x14ac:dyDescent="0.25">
      <c r="A705" s="194">
        <v>7340</v>
      </c>
      <c r="B705" s="196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f>(I629/I612)*AN78</f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6" t="s">
        <v>726</v>
      </c>
    </row>
    <row r="706" spans="1:15" ht="12.6" customHeight="1" x14ac:dyDescent="0.25">
      <c r="A706" s="194">
        <v>7350</v>
      </c>
      <c r="B706" s="196" t="s">
        <v>727</v>
      </c>
      <c r="C706" s="180">
        <f>AO71</f>
        <v>0</v>
      </c>
      <c r="D706" s="180">
        <f>(D615/D612)*AO76</f>
        <v>0</v>
      </c>
      <c r="E706" s="180">
        <f>(E623/E612)*SUM(C706:D706)</f>
        <v>0</v>
      </c>
      <c r="F706" s="180">
        <f>(F624/F612)*AO64</f>
        <v>0</v>
      </c>
      <c r="G706" s="180">
        <f>(G625/G612)*AO77</f>
        <v>0</v>
      </c>
      <c r="H706" s="180">
        <f>(H628/H612)*AO60</f>
        <v>0</v>
      </c>
      <c r="I706" s="180">
        <f>(I629/I612)*AO78</f>
        <v>0</v>
      </c>
      <c r="J706" s="180">
        <f>(J630/J612)*AO79</f>
        <v>0</v>
      </c>
      <c r="K706" s="180">
        <f>(K644/K612)*AO75</f>
        <v>0</v>
      </c>
      <c r="L706" s="180">
        <f>(L647/L612)*AO80</f>
        <v>0</v>
      </c>
      <c r="M706" s="180">
        <f t="shared" si="20"/>
        <v>0</v>
      </c>
      <c r="N706" s="196" t="s">
        <v>728</v>
      </c>
    </row>
    <row r="707" spans="1:15" ht="12.6" customHeight="1" x14ac:dyDescent="0.25">
      <c r="A707" s="194">
        <v>7380</v>
      </c>
      <c r="B707" s="196" t="s">
        <v>729</v>
      </c>
      <c r="C707" s="180">
        <f>AP71</f>
        <v>1007.82</v>
      </c>
      <c r="D707" s="180">
        <f>(D615/D612)*AP76</f>
        <v>0</v>
      </c>
      <c r="E707" s="180">
        <f>(E623/E612)*SUM(C707:D707)</f>
        <v>156.81836198877625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f>(I629/I612)*AP78</f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157</v>
      </c>
      <c r="N707" s="196" t="s">
        <v>730</v>
      </c>
    </row>
    <row r="708" spans="1:15" ht="12.6" customHeight="1" x14ac:dyDescent="0.25">
      <c r="A708" s="194">
        <v>7390</v>
      </c>
      <c r="B708" s="196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(I629/I612)*AQ78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6" t="s">
        <v>732</v>
      </c>
    </row>
    <row r="709" spans="1:15" ht="12.6" customHeight="1" x14ac:dyDescent="0.25">
      <c r="A709" s="194">
        <v>7400</v>
      </c>
      <c r="B709" s="196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f>(I629/I612)*AR78</f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6" t="s">
        <v>734</v>
      </c>
    </row>
    <row r="710" spans="1:15" ht="12.6" customHeight="1" x14ac:dyDescent="0.25">
      <c r="A710" s="194">
        <v>7410</v>
      </c>
      <c r="B710" s="196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f>(I629/I612)*AS78</f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6" t="s">
        <v>735</v>
      </c>
    </row>
    <row r="711" spans="1:15" ht="12.6" customHeight="1" x14ac:dyDescent="0.25">
      <c r="A711" s="194">
        <v>7420</v>
      </c>
      <c r="B711" s="196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f>(I629/I612)*AT78</f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6" t="s">
        <v>737</v>
      </c>
    </row>
    <row r="712" spans="1:15" ht="12.6" customHeight="1" x14ac:dyDescent="0.25">
      <c r="A712" s="194">
        <v>7430</v>
      </c>
      <c r="B712" s="196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f>(I629/I612)*AU78</f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6" t="s">
        <v>739</v>
      </c>
    </row>
    <row r="713" spans="1:15" ht="12.6" customHeight="1" x14ac:dyDescent="0.25">
      <c r="A713" s="194">
        <v>7490</v>
      </c>
      <c r="B713" s="196" t="s">
        <v>740</v>
      </c>
      <c r="C713" s="180">
        <f>AV71</f>
        <v>5158608.1428400008</v>
      </c>
      <c r="D713" s="180">
        <f>(D615/D612)*AV76</f>
        <v>39937.037483408087</v>
      </c>
      <c r="E713" s="180">
        <f>(E623/E612)*SUM(C713:D713)</f>
        <v>808901.72838697827</v>
      </c>
      <c r="F713" s="180">
        <f>(F624/F612)*AV64</f>
        <v>0</v>
      </c>
      <c r="G713" s="180">
        <f>(G625/G612)*AV77</f>
        <v>0</v>
      </c>
      <c r="H713" s="180">
        <f>(H628/H612)*AV60</f>
        <v>3715.1753982507671</v>
      </c>
      <c r="I713" s="180">
        <f>(I629/I612)*AV78</f>
        <v>9909.7464066289031</v>
      </c>
      <c r="J713" s="180">
        <f>(J630/J612)*AV79</f>
        <v>0</v>
      </c>
      <c r="K713" s="180">
        <f>(K644/K612)*AV75</f>
        <v>-5288.693689973742</v>
      </c>
      <c r="L713" s="180">
        <f>(L647/L612)*AV80</f>
        <v>12762.362038063635</v>
      </c>
      <c r="M713" s="180">
        <f t="shared" si="20"/>
        <v>869937</v>
      </c>
      <c r="N713" s="197" t="s">
        <v>741</v>
      </c>
    </row>
    <row r="715" spans="1:15" ht="12.6" customHeight="1" x14ac:dyDescent="0.25">
      <c r="C715" s="180">
        <f>SUM(C614:C647)+SUM(C668:C713)</f>
        <v>230162156.17488277</v>
      </c>
      <c r="D715" s="180">
        <f>SUM(D616:D647)+SUM(D668:D713)</f>
        <v>20050460.14567</v>
      </c>
      <c r="E715" s="180">
        <f>SUM(E624:E647)+SUM(E668:E713)</f>
        <v>30991296.09771334</v>
      </c>
      <c r="F715" s="180">
        <f>SUM(F625:F648)+SUM(F668:F713)</f>
        <v>0</v>
      </c>
      <c r="G715" s="180">
        <f>SUM(G626:G647)+SUM(G668:G713)</f>
        <v>3261340.2765042502</v>
      </c>
      <c r="H715" s="180">
        <f>SUM(H629:H647)+SUM(H668:H713)</f>
        <v>3625412.373093321</v>
      </c>
      <c r="I715" s="180">
        <f>SUM(I630:I647)+SUM(I668:I713)</f>
        <v>4097645.1635654988</v>
      </c>
      <c r="J715" s="180">
        <f>SUM(J631:J647)+SUM(J668:J713)</f>
        <v>0</v>
      </c>
      <c r="K715" s="180">
        <f>SUM(K668:K713)</f>
        <v>15917126.116939621</v>
      </c>
      <c r="L715" s="180">
        <f>SUM(L668:L713)</f>
        <v>3620306.0734359492</v>
      </c>
      <c r="M715" s="180">
        <f>SUM(M668:M713)</f>
        <v>72412321</v>
      </c>
      <c r="N715" s="196" t="s">
        <v>742</v>
      </c>
    </row>
    <row r="716" spans="1:15" ht="12.6" customHeight="1" x14ac:dyDescent="0.25">
      <c r="C716" s="180">
        <f>CE71</f>
        <v>230162156.17488283</v>
      </c>
      <c r="D716" s="180">
        <f>D615</f>
        <v>20050460.14567</v>
      </c>
      <c r="E716" s="180">
        <f>E623</f>
        <v>30991296.097713336</v>
      </c>
      <c r="F716" s="180">
        <f>F624</f>
        <v>0</v>
      </c>
      <c r="G716" s="180">
        <f>G625</f>
        <v>3261340.2765042498</v>
      </c>
      <c r="H716" s="180">
        <f>H628</f>
        <v>3625412.3730933196</v>
      </c>
      <c r="I716" s="180">
        <f>I629</f>
        <v>4097645.1635654988</v>
      </c>
      <c r="J716" s="180">
        <f>J630</f>
        <v>0</v>
      </c>
      <c r="K716" s="180">
        <f>K644</f>
        <v>15917126.116939625</v>
      </c>
      <c r="L716" s="180">
        <f>L647</f>
        <v>3620306.0734359492</v>
      </c>
      <c r="M716" s="180">
        <f>C648</f>
        <v>72412320.679599598</v>
      </c>
      <c r="N716" s="196" t="s">
        <v>743</v>
      </c>
    </row>
    <row r="717" spans="1:15" ht="12.6" customHeight="1" x14ac:dyDescent="0.25">
      <c r="O717" s="196"/>
    </row>
    <row r="718" spans="1:15" ht="12.6" customHeight="1" x14ac:dyDescent="0.25">
      <c r="O718" s="196"/>
    </row>
    <row r="719" spans="1:15" ht="12.6" customHeight="1" x14ac:dyDescent="0.25">
      <c r="O719" s="196"/>
    </row>
  </sheetData>
  <mergeCells count="1">
    <mergeCell ref="B220:C220"/>
  </mergeCells>
  <phoneticPr fontId="0" type="noConversion"/>
  <hyperlinks>
    <hyperlink ref="F16" r:id="rId1"/>
    <hyperlink ref="C17" r:id="rId2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384"/>
  <sheetViews>
    <sheetView showGridLines="0" zoomScale="65" workbookViewId="0">
      <selection activeCell="A386" sqref="A386"/>
    </sheetView>
  </sheetViews>
  <sheetFormatPr defaultColWidth="8.9140625" defaultRowHeight="20.100000000000001" customHeight="1" x14ac:dyDescent="0.25"/>
  <cols>
    <col min="1" max="1" width="5.75" style="78" customWidth="1"/>
    <col min="2" max="2" width="22.4140625" style="78" customWidth="1"/>
    <col min="3" max="8" width="13.75" style="78" customWidth="1"/>
    <col min="9" max="9" width="15.75" style="78" customWidth="1"/>
    <col min="10" max="16384" width="8.9140625" style="78"/>
  </cols>
  <sheetData>
    <row r="1" spans="1:13" ht="20.100000000000001" customHeight="1" x14ac:dyDescent="0.25">
      <c r="A1" s="4" t="s">
        <v>1173</v>
      </c>
      <c r="B1" s="5"/>
      <c r="C1" s="5"/>
      <c r="D1" s="6"/>
      <c r="E1" s="5"/>
      <c r="F1" s="5"/>
      <c r="G1" s="5"/>
      <c r="H1" s="5"/>
      <c r="I1"/>
    </row>
    <row r="2" spans="1:13" ht="20.100000000000001" customHeight="1" x14ac:dyDescent="0.25">
      <c r="A2" s="45"/>
      <c r="B2" s="77"/>
      <c r="C2" s="77"/>
      <c r="D2" s="77"/>
      <c r="E2" s="77"/>
      <c r="F2" s="77"/>
      <c r="G2" s="77"/>
      <c r="H2" s="77"/>
      <c r="I2" s="168" t="s">
        <v>1174</v>
      </c>
    </row>
    <row r="3" spans="1:13" ht="20.100000000000001" customHeight="1" x14ac:dyDescent="0.25">
      <c r="A3" s="45"/>
      <c r="B3" s="77"/>
      <c r="C3" s="77"/>
      <c r="D3" s="77"/>
      <c r="E3" s="77"/>
      <c r="F3" s="77"/>
      <c r="G3" s="77"/>
      <c r="H3" s="77"/>
      <c r="I3" s="45"/>
    </row>
    <row r="4" spans="1:13" ht="20.100000000000001" customHeight="1" x14ac:dyDescent="0.25">
      <c r="A4" s="79" t="str">
        <f>"HOSPITAL NAME: "&amp;data!C84</f>
        <v>HOSPITAL NAME: Highline Medical Center</v>
      </c>
      <c r="B4" s="77"/>
      <c r="C4" s="77"/>
      <c r="D4" s="77"/>
      <c r="E4" s="77"/>
      <c r="F4" s="77"/>
      <c r="G4" s="80"/>
      <c r="H4" s="79" t="str">
        <f>"FYE: "&amp;data!C82</f>
        <v>FYE: 06/30/2019</v>
      </c>
    </row>
    <row r="5" spans="1:13" ht="20.100000000000001" customHeight="1" x14ac:dyDescent="0.25">
      <c r="A5" s="23">
        <v>1</v>
      </c>
      <c r="B5" s="14" t="s">
        <v>209</v>
      </c>
      <c r="C5" s="89" t="s">
        <v>10</v>
      </c>
      <c r="D5" s="15" t="s">
        <v>11</v>
      </c>
      <c r="E5" s="15" t="s">
        <v>12</v>
      </c>
      <c r="F5" s="15" t="s">
        <v>13</v>
      </c>
      <c r="G5" s="15" t="s">
        <v>14</v>
      </c>
      <c r="H5" s="15" t="s">
        <v>15</v>
      </c>
      <c r="I5" s="15" t="s">
        <v>16</v>
      </c>
    </row>
    <row r="6" spans="1:13" ht="20.100000000000001" customHeight="1" x14ac:dyDescent="0.25">
      <c r="A6" s="81">
        <v>2</v>
      </c>
      <c r="B6" s="17" t="s">
        <v>1175</v>
      </c>
      <c r="C6" s="88" t="s">
        <v>92</v>
      </c>
      <c r="D6" s="18" t="s">
        <v>1176</v>
      </c>
      <c r="E6" s="18" t="s">
        <v>94</v>
      </c>
      <c r="F6" s="18" t="s">
        <v>95</v>
      </c>
      <c r="G6" s="18" t="s">
        <v>96</v>
      </c>
      <c r="H6" s="18" t="s">
        <v>97</v>
      </c>
      <c r="I6" s="18" t="s">
        <v>98</v>
      </c>
    </row>
    <row r="7" spans="1:13" ht="20.100000000000001" customHeight="1" x14ac:dyDescent="0.25">
      <c r="A7" s="82"/>
      <c r="B7" s="83"/>
      <c r="C7" s="18" t="s">
        <v>163</v>
      </c>
      <c r="D7" s="18" t="s">
        <v>1177</v>
      </c>
      <c r="E7" s="18" t="s">
        <v>163</v>
      </c>
      <c r="F7" s="18" t="s">
        <v>1178</v>
      </c>
      <c r="G7" s="18" t="s">
        <v>165</v>
      </c>
      <c r="H7" s="18" t="s">
        <v>163</v>
      </c>
      <c r="I7" s="18" t="s">
        <v>166</v>
      </c>
    </row>
    <row r="8" spans="1:13" ht="20.100000000000001" customHeight="1" x14ac:dyDescent="0.25">
      <c r="A8" s="23">
        <v>3</v>
      </c>
      <c r="B8" s="14" t="s">
        <v>1179</v>
      </c>
      <c r="C8" s="15" t="s">
        <v>215</v>
      </c>
      <c r="D8" s="15" t="s">
        <v>215</v>
      </c>
      <c r="E8" s="15" t="s">
        <v>215</v>
      </c>
      <c r="F8" s="15" t="s">
        <v>215</v>
      </c>
      <c r="G8" s="15" t="s">
        <v>215</v>
      </c>
      <c r="H8" s="15" t="s">
        <v>215</v>
      </c>
      <c r="I8" s="15" t="s">
        <v>215</v>
      </c>
    </row>
    <row r="9" spans="1:13" ht="20.100000000000001" customHeight="1" x14ac:dyDescent="0.25">
      <c r="A9" s="23">
        <v>4</v>
      </c>
      <c r="B9" s="14" t="s">
        <v>233</v>
      </c>
      <c r="C9" s="14">
        <f>data!C59</f>
        <v>2509.88</v>
      </c>
      <c r="D9" s="14">
        <f>data!D59</f>
        <v>0</v>
      </c>
      <c r="E9" s="14">
        <f>data!E59</f>
        <v>25617.919999999998</v>
      </c>
      <c r="F9" s="14">
        <f>data!F59</f>
        <v>0</v>
      </c>
      <c r="G9" s="14">
        <f>data!G59</f>
        <v>0</v>
      </c>
      <c r="H9" s="14">
        <f>data!H59</f>
        <v>0</v>
      </c>
      <c r="I9" s="14">
        <f>data!I59</f>
        <v>0</v>
      </c>
    </row>
    <row r="10" spans="1:13" ht="20.100000000000001" customHeight="1" x14ac:dyDescent="0.25">
      <c r="A10" s="23">
        <v>5</v>
      </c>
      <c r="B10" s="14" t="s">
        <v>234</v>
      </c>
      <c r="C10" s="26">
        <f>data!C60</f>
        <v>20.800836538461539</v>
      </c>
      <c r="D10" s="26">
        <f>data!D60</f>
        <v>0</v>
      </c>
      <c r="E10" s="26">
        <f>data!E60</f>
        <v>156.0341875</v>
      </c>
      <c r="F10" s="26">
        <f>data!F60</f>
        <v>0</v>
      </c>
      <c r="G10" s="26">
        <f>data!G60</f>
        <v>5.9495192307692304E-2</v>
      </c>
      <c r="H10" s="26">
        <f>data!H60</f>
        <v>0</v>
      </c>
      <c r="I10" s="26">
        <f>data!I60</f>
        <v>0</v>
      </c>
    </row>
    <row r="11" spans="1:13" ht="20.100000000000001" customHeight="1" x14ac:dyDescent="0.25">
      <c r="A11" s="23">
        <v>6</v>
      </c>
      <c r="B11" s="14" t="s">
        <v>235</v>
      </c>
      <c r="C11" s="14">
        <f>data!C61</f>
        <v>2832269.6999999997</v>
      </c>
      <c r="D11" s="14">
        <f>data!D61</f>
        <v>0</v>
      </c>
      <c r="E11" s="14">
        <f>data!E61</f>
        <v>13898477.290000001</v>
      </c>
      <c r="F11" s="14">
        <f>data!F61</f>
        <v>0</v>
      </c>
      <c r="G11" s="14">
        <f>data!G61</f>
        <v>-690.53999999999951</v>
      </c>
      <c r="H11" s="14">
        <f>data!H61</f>
        <v>0</v>
      </c>
      <c r="I11" s="14">
        <f>data!I61</f>
        <v>0</v>
      </c>
    </row>
    <row r="12" spans="1:13" ht="20.100000000000001" customHeight="1" x14ac:dyDescent="0.25">
      <c r="A12" s="23">
        <v>7</v>
      </c>
      <c r="B12" s="14" t="s">
        <v>3</v>
      </c>
      <c r="C12" s="14">
        <f>data!C62</f>
        <v>573561</v>
      </c>
      <c r="D12" s="14">
        <f>data!D62</f>
        <v>0</v>
      </c>
      <c r="E12" s="14">
        <f>data!E62</f>
        <v>3903024</v>
      </c>
      <c r="F12" s="14">
        <f>data!F62</f>
        <v>0</v>
      </c>
      <c r="G12" s="14">
        <f>data!G62</f>
        <v>793</v>
      </c>
      <c r="H12" s="14">
        <f>data!H62</f>
        <v>0</v>
      </c>
      <c r="I12" s="14">
        <f>data!I62</f>
        <v>0</v>
      </c>
    </row>
    <row r="13" spans="1:13" ht="20.100000000000001" customHeight="1" x14ac:dyDescent="0.25">
      <c r="A13" s="23">
        <v>8</v>
      </c>
      <c r="B13" s="14" t="s">
        <v>236</v>
      </c>
      <c r="C13" s="14">
        <f>data!C63</f>
        <v>910405.46</v>
      </c>
      <c r="D13" s="14">
        <f>data!D63</f>
        <v>0</v>
      </c>
      <c r="E13" s="14">
        <f>data!E63</f>
        <v>151262.12</v>
      </c>
      <c r="F13" s="14">
        <f>data!F63</f>
        <v>0</v>
      </c>
      <c r="G13" s="14">
        <f>data!G63</f>
        <v>0</v>
      </c>
      <c r="H13" s="14">
        <f>data!H63</f>
        <v>0</v>
      </c>
      <c r="I13" s="14">
        <f>data!I63</f>
        <v>0</v>
      </c>
    </row>
    <row r="14" spans="1:13" ht="20.100000000000001" customHeight="1" x14ac:dyDescent="0.25">
      <c r="A14" s="23">
        <v>9</v>
      </c>
      <c r="B14" s="14" t="s">
        <v>237</v>
      </c>
      <c r="C14" s="14">
        <f>data!C64</f>
        <v>491299.39000000007</v>
      </c>
      <c r="D14" s="14">
        <f>data!D64</f>
        <v>0</v>
      </c>
      <c r="E14" s="14">
        <f>data!E64</f>
        <v>765239.91</v>
      </c>
      <c r="F14" s="14">
        <f>data!F64</f>
        <v>0</v>
      </c>
      <c r="G14" s="14">
        <f>data!G64</f>
        <v>0</v>
      </c>
      <c r="H14" s="14">
        <f>data!H64</f>
        <v>0</v>
      </c>
      <c r="I14" s="14">
        <f>data!I64</f>
        <v>0</v>
      </c>
    </row>
    <row r="15" spans="1:13" ht="20.100000000000001" customHeight="1" x14ac:dyDescent="0.25">
      <c r="A15" s="23">
        <v>10</v>
      </c>
      <c r="B15" s="14" t="s">
        <v>444</v>
      </c>
      <c r="C15" s="14">
        <f>data!C65</f>
        <v>324.65000000000003</v>
      </c>
      <c r="D15" s="14">
        <f>data!D65</f>
        <v>0</v>
      </c>
      <c r="E15" s="14">
        <f>data!E65</f>
        <v>2648.41</v>
      </c>
      <c r="F15" s="14">
        <f>data!F65</f>
        <v>0</v>
      </c>
      <c r="G15" s="14">
        <f>data!G65</f>
        <v>0</v>
      </c>
      <c r="H15" s="14">
        <f>data!H65</f>
        <v>0</v>
      </c>
      <c r="I15" s="14">
        <f>data!I65</f>
        <v>0</v>
      </c>
      <c r="M15" s="262"/>
    </row>
    <row r="16" spans="1:13" ht="20.100000000000001" customHeight="1" x14ac:dyDescent="0.25">
      <c r="A16" s="23">
        <v>11</v>
      </c>
      <c r="B16" s="14" t="s">
        <v>445</v>
      </c>
      <c r="C16" s="14">
        <f>data!C66</f>
        <v>48809.41</v>
      </c>
      <c r="D16" s="14">
        <f>data!D66</f>
        <v>0</v>
      </c>
      <c r="E16" s="14">
        <f>data!E66</f>
        <v>1915463.4899200003</v>
      </c>
      <c r="F16" s="14">
        <f>data!F66</f>
        <v>0</v>
      </c>
      <c r="G16" s="14">
        <f>data!G66</f>
        <v>47434.720410000002</v>
      </c>
      <c r="H16" s="14">
        <f>data!H66</f>
        <v>0</v>
      </c>
      <c r="I16" s="14">
        <f>data!I66</f>
        <v>0</v>
      </c>
    </row>
    <row r="17" spans="1:9" ht="20.100000000000001" customHeight="1" x14ac:dyDescent="0.25">
      <c r="A17" s="23">
        <v>12</v>
      </c>
      <c r="B17" s="14" t="s">
        <v>6</v>
      </c>
      <c r="C17" s="14">
        <f>data!C67</f>
        <v>165953</v>
      </c>
      <c r="D17" s="14">
        <f>data!D67</f>
        <v>0</v>
      </c>
      <c r="E17" s="14">
        <f>data!E67</f>
        <v>1084125</v>
      </c>
      <c r="F17" s="14">
        <f>data!F67</f>
        <v>0</v>
      </c>
      <c r="G17" s="14">
        <f>data!G67</f>
        <v>0</v>
      </c>
      <c r="H17" s="14">
        <f>data!H67</f>
        <v>0</v>
      </c>
      <c r="I17" s="14">
        <f>data!I67</f>
        <v>0</v>
      </c>
    </row>
    <row r="18" spans="1:9" ht="20.100000000000001" customHeight="1" x14ac:dyDescent="0.25">
      <c r="A18" s="23">
        <v>13</v>
      </c>
      <c r="B18" s="14" t="s">
        <v>474</v>
      </c>
      <c r="C18" s="14">
        <f>data!C68</f>
        <v>-4116.1799999999976</v>
      </c>
      <c r="D18" s="14">
        <f>data!D68</f>
        <v>0</v>
      </c>
      <c r="E18" s="14">
        <f>data!E68</f>
        <v>19646.09</v>
      </c>
      <c r="F18" s="14">
        <f>data!F68</f>
        <v>0</v>
      </c>
      <c r="G18" s="14">
        <f>data!G68</f>
        <v>0</v>
      </c>
      <c r="H18" s="14">
        <f>data!H68</f>
        <v>0</v>
      </c>
      <c r="I18" s="14">
        <f>data!I68</f>
        <v>0</v>
      </c>
    </row>
    <row r="19" spans="1:9" ht="20.100000000000001" customHeight="1" x14ac:dyDescent="0.25">
      <c r="A19" s="23">
        <v>14</v>
      </c>
      <c r="B19" s="14" t="s">
        <v>241</v>
      </c>
      <c r="C19" s="14">
        <f>data!C69</f>
        <v>2487.4499999999998</v>
      </c>
      <c r="D19" s="14">
        <f>data!D69</f>
        <v>0</v>
      </c>
      <c r="E19" s="14">
        <f>data!E69</f>
        <v>23007.51</v>
      </c>
      <c r="F19" s="14">
        <f>data!F69</f>
        <v>0</v>
      </c>
      <c r="G19" s="14">
        <f>data!G69</f>
        <v>0</v>
      </c>
      <c r="H19" s="14">
        <f>data!H69</f>
        <v>0</v>
      </c>
      <c r="I19" s="14">
        <f>data!I69</f>
        <v>0</v>
      </c>
    </row>
    <row r="20" spans="1:9" ht="20.100000000000001" customHeight="1" x14ac:dyDescent="0.25">
      <c r="A20" s="23">
        <v>15</v>
      </c>
      <c r="B20" s="14" t="s">
        <v>242</v>
      </c>
      <c r="C20" s="14">
        <f>-data!C70</f>
        <v>-23638.55</v>
      </c>
      <c r="D20" s="14">
        <f>-data!D70</f>
        <v>0</v>
      </c>
      <c r="E20" s="14">
        <f>-data!E70</f>
        <v>-48253.170000000006</v>
      </c>
      <c r="F20" s="14">
        <f>-data!F70</f>
        <v>0</v>
      </c>
      <c r="G20" s="14">
        <f>-data!G70</f>
        <v>0</v>
      </c>
      <c r="H20" s="14">
        <f>-data!H70</f>
        <v>0</v>
      </c>
      <c r="I20" s="14">
        <f>-data!I70</f>
        <v>0</v>
      </c>
    </row>
    <row r="21" spans="1:9" ht="20.100000000000001" customHeight="1" x14ac:dyDescent="0.25">
      <c r="A21" s="23">
        <v>16</v>
      </c>
      <c r="B21" s="48" t="s">
        <v>1180</v>
      </c>
      <c r="C21" s="14">
        <f>data!C71</f>
        <v>4997355.330000001</v>
      </c>
      <c r="D21" s="14">
        <f>data!D71</f>
        <v>0</v>
      </c>
      <c r="E21" s="14">
        <f>data!E71</f>
        <v>21714640.649920002</v>
      </c>
      <c r="F21" s="14">
        <f>data!F71</f>
        <v>0</v>
      </c>
      <c r="G21" s="14">
        <f>data!G71</f>
        <v>47537.180410000001</v>
      </c>
      <c r="H21" s="14">
        <f>data!H71</f>
        <v>0</v>
      </c>
      <c r="I21" s="14">
        <f>data!I71</f>
        <v>0</v>
      </c>
    </row>
    <row r="22" spans="1:9" ht="20.100000000000001" customHeight="1" x14ac:dyDescent="0.25">
      <c r="A22" s="23">
        <v>17</v>
      </c>
      <c r="B22" s="14" t="s">
        <v>244</v>
      </c>
      <c r="C22" s="208"/>
      <c r="D22" s="209"/>
      <c r="E22" s="209"/>
      <c r="F22" s="209"/>
      <c r="G22" s="209"/>
      <c r="H22" s="209"/>
      <c r="I22" s="209"/>
    </row>
    <row r="23" spans="1:9" ht="20.100000000000001" customHeight="1" x14ac:dyDescent="0.25">
      <c r="A23" s="23">
        <v>18</v>
      </c>
      <c r="B23" s="14" t="s">
        <v>1181</v>
      </c>
      <c r="C23" s="48">
        <f>+data!M668</f>
        <v>2557487</v>
      </c>
      <c r="D23" s="48">
        <f>+data!M669</f>
        <v>0</v>
      </c>
      <c r="E23" s="48">
        <f>+data!M670</f>
        <v>13599702</v>
      </c>
      <c r="F23" s="48">
        <f>+data!M671</f>
        <v>0</v>
      </c>
      <c r="G23" s="48">
        <f>+data!M672</f>
        <v>7606</v>
      </c>
      <c r="H23" s="48">
        <f>+data!M673</f>
        <v>0</v>
      </c>
      <c r="I23" s="48">
        <f>+data!M674</f>
        <v>0</v>
      </c>
    </row>
    <row r="24" spans="1:9" ht="20.100000000000001" customHeight="1" x14ac:dyDescent="0.25">
      <c r="A24" s="23">
        <v>19</v>
      </c>
      <c r="B24" s="48" t="s">
        <v>1182</v>
      </c>
      <c r="C24" s="14">
        <f>data!C73</f>
        <v>16574498.769999998</v>
      </c>
      <c r="D24" s="14">
        <f>data!D73</f>
        <v>0</v>
      </c>
      <c r="E24" s="14">
        <f>data!E73</f>
        <v>78712011.819999993</v>
      </c>
      <c r="F24" s="14">
        <f>data!F73</f>
        <v>0</v>
      </c>
      <c r="G24" s="14">
        <f>data!G73</f>
        <v>0</v>
      </c>
      <c r="H24" s="14">
        <f>data!H73</f>
        <v>0</v>
      </c>
      <c r="I24" s="14">
        <f>data!I73</f>
        <v>0</v>
      </c>
    </row>
    <row r="25" spans="1:9" ht="20.100000000000001" customHeight="1" x14ac:dyDescent="0.25">
      <c r="A25" s="23">
        <v>20</v>
      </c>
      <c r="B25" s="48" t="s">
        <v>1183</v>
      </c>
      <c r="C25" s="14">
        <f>data!C74</f>
        <v>17595.919999999998</v>
      </c>
      <c r="D25" s="14">
        <f>data!D74</f>
        <v>0</v>
      </c>
      <c r="E25" s="14">
        <f>data!E74</f>
        <v>26159201.41</v>
      </c>
      <c r="F25" s="14">
        <f>data!F74</f>
        <v>0</v>
      </c>
      <c r="G25" s="14">
        <f>data!G74</f>
        <v>0</v>
      </c>
      <c r="H25" s="14">
        <f>data!H74</f>
        <v>0</v>
      </c>
      <c r="I25" s="14">
        <f>data!I74</f>
        <v>0</v>
      </c>
    </row>
    <row r="26" spans="1:9" ht="18" customHeight="1" x14ac:dyDescent="0.25">
      <c r="A26" s="23">
        <v>21</v>
      </c>
      <c r="B26" s="48" t="s">
        <v>1184</v>
      </c>
      <c r="C26" s="14">
        <f>data!C75</f>
        <v>16592094.689999998</v>
      </c>
      <c r="D26" s="14">
        <f>data!D75</f>
        <v>0</v>
      </c>
      <c r="E26" s="14">
        <f>data!E75</f>
        <v>104871213.22999999</v>
      </c>
      <c r="F26" s="14">
        <f>data!F75</f>
        <v>0</v>
      </c>
      <c r="G26" s="14">
        <f>data!G75</f>
        <v>0</v>
      </c>
      <c r="H26" s="14">
        <f>data!H75</f>
        <v>0</v>
      </c>
      <c r="I26" s="14">
        <f>data!I75</f>
        <v>0</v>
      </c>
    </row>
    <row r="27" spans="1:9" ht="20.100000000000001" customHeight="1" x14ac:dyDescent="0.25">
      <c r="A27" s="23" t="s">
        <v>1185</v>
      </c>
      <c r="B27" s="60"/>
      <c r="C27" s="209"/>
      <c r="D27" s="209"/>
      <c r="E27" s="209"/>
      <c r="F27" s="209"/>
      <c r="G27" s="209"/>
      <c r="H27" s="209"/>
      <c r="I27" s="209"/>
    </row>
    <row r="28" spans="1:9" ht="20.100000000000001" customHeight="1" x14ac:dyDescent="0.25">
      <c r="A28" s="23">
        <v>22</v>
      </c>
      <c r="B28" s="14" t="s">
        <v>1186</v>
      </c>
      <c r="C28" s="14">
        <f>data!C76</f>
        <v>6296</v>
      </c>
      <c r="D28" s="14">
        <f>data!D76</f>
        <v>0</v>
      </c>
      <c r="E28" s="14">
        <f>data!E76</f>
        <v>39978</v>
      </c>
      <c r="F28" s="14">
        <f>data!F76</f>
        <v>0</v>
      </c>
      <c r="G28" s="14">
        <f>data!G76</f>
        <v>0</v>
      </c>
      <c r="H28" s="14">
        <f>data!H76</f>
        <v>0</v>
      </c>
      <c r="I28" s="14">
        <f>data!I76</f>
        <v>0</v>
      </c>
    </row>
    <row r="29" spans="1:9" ht="20.100000000000001" customHeight="1" x14ac:dyDescent="0.25">
      <c r="A29" s="23">
        <v>23</v>
      </c>
      <c r="B29" s="14" t="s">
        <v>1187</v>
      </c>
      <c r="C29" s="14">
        <f>data!C77</f>
        <v>14775</v>
      </c>
      <c r="D29" s="14">
        <f>data!D77</f>
        <v>0</v>
      </c>
      <c r="E29" s="14">
        <f>data!E77</f>
        <v>54550</v>
      </c>
      <c r="F29" s="14">
        <f>data!F77</f>
        <v>0</v>
      </c>
      <c r="G29" s="14">
        <f>data!G77</f>
        <v>0</v>
      </c>
      <c r="H29" s="14">
        <f>data!H77</f>
        <v>0</v>
      </c>
      <c r="I29" s="14">
        <f>data!I77</f>
        <v>0</v>
      </c>
    </row>
    <row r="30" spans="1:9" ht="20.100000000000001" customHeight="1" x14ac:dyDescent="0.25">
      <c r="A30" s="23">
        <v>24</v>
      </c>
      <c r="B30" s="14" t="s">
        <v>1188</v>
      </c>
      <c r="C30" s="14">
        <f>data!C78</f>
        <v>1803.2379036482537</v>
      </c>
      <c r="D30" s="14">
        <f>data!D78</f>
        <v>0</v>
      </c>
      <c r="E30" s="14">
        <f>data!E78</f>
        <v>11450.102432028256</v>
      </c>
      <c r="F30" s="14">
        <f>data!F78</f>
        <v>0</v>
      </c>
      <c r="G30" s="14">
        <f>data!G78</f>
        <v>0</v>
      </c>
      <c r="H30" s="14">
        <f>data!H78</f>
        <v>0</v>
      </c>
      <c r="I30" s="14">
        <f>data!I78</f>
        <v>0</v>
      </c>
    </row>
    <row r="31" spans="1:9" ht="20.100000000000001" customHeight="1" x14ac:dyDescent="0.25">
      <c r="A31" s="23">
        <v>25</v>
      </c>
      <c r="B31" s="14" t="s">
        <v>1189</v>
      </c>
      <c r="C31" s="14">
        <f>data!C79</f>
        <v>125815.11</v>
      </c>
      <c r="D31" s="14">
        <f>data!D79</f>
        <v>0</v>
      </c>
      <c r="E31" s="14">
        <f>data!E79</f>
        <v>298708.72000000003</v>
      </c>
      <c r="F31" s="14">
        <f>data!F79</f>
        <v>0</v>
      </c>
      <c r="G31" s="14">
        <f>data!G79</f>
        <v>0</v>
      </c>
      <c r="H31" s="14">
        <f>data!H79</f>
        <v>0</v>
      </c>
      <c r="I31" s="14">
        <f>data!I79</f>
        <v>0</v>
      </c>
    </row>
    <row r="32" spans="1:9" ht="20.100000000000001" customHeight="1" x14ac:dyDescent="0.25">
      <c r="A32" s="23">
        <v>26</v>
      </c>
      <c r="B32" s="14" t="s">
        <v>252</v>
      </c>
      <c r="C32" s="84">
        <f>data!C80</f>
        <v>15.044019230769232</v>
      </c>
      <c r="D32" s="84">
        <f>data!D80</f>
        <v>0</v>
      </c>
      <c r="E32" s="84">
        <f>data!E80</f>
        <v>81.93311057692307</v>
      </c>
      <c r="F32" s="84">
        <f>data!F80</f>
        <v>0</v>
      </c>
      <c r="G32" s="84">
        <f>data!G80</f>
        <v>-2.2836538461538463E-3</v>
      </c>
      <c r="H32" s="84">
        <f>data!H80</f>
        <v>0</v>
      </c>
      <c r="I32" s="84">
        <f>data!I80</f>
        <v>0</v>
      </c>
    </row>
    <row r="33" spans="1:9" ht="20.100000000000001" customHeight="1" x14ac:dyDescent="0.25">
      <c r="A33" s="4" t="s">
        <v>1173</v>
      </c>
      <c r="B33" s="5"/>
      <c r="C33" s="5"/>
      <c r="D33" s="6"/>
      <c r="E33" s="5"/>
      <c r="F33" s="5"/>
      <c r="G33" s="5"/>
      <c r="H33" s="5"/>
      <c r="I33" s="4"/>
    </row>
    <row r="34" spans="1:9" ht="20.100000000000001" customHeight="1" x14ac:dyDescent="0.25">
      <c r="A34" s="45"/>
      <c r="B34" s="77"/>
      <c r="C34" s="77"/>
      <c r="D34" s="77"/>
      <c r="E34" s="77"/>
      <c r="F34" s="77"/>
      <c r="G34" s="77"/>
      <c r="H34" s="77"/>
      <c r="I34" s="168" t="s">
        <v>1190</v>
      </c>
    </row>
    <row r="35" spans="1:9" ht="20.100000000000001" customHeight="1" x14ac:dyDescent="0.25">
      <c r="A35" s="45"/>
      <c r="B35" s="77"/>
      <c r="C35" s="77"/>
      <c r="D35" s="77"/>
      <c r="E35" s="77"/>
      <c r="F35" s="77"/>
      <c r="G35" s="77"/>
      <c r="H35" s="77"/>
      <c r="I35" s="45"/>
    </row>
    <row r="36" spans="1:9" ht="20.100000000000001" customHeight="1" x14ac:dyDescent="0.25">
      <c r="A36" s="79" t="str">
        <f>"HOSPITAL NAME: "&amp;data!C84</f>
        <v>HOSPITAL NAME: Highline Medical Center</v>
      </c>
      <c r="B36" s="77"/>
      <c r="C36" s="77"/>
      <c r="D36" s="77"/>
      <c r="E36" s="77"/>
      <c r="F36" s="77"/>
      <c r="G36" s="80"/>
      <c r="H36" s="79" t="str">
        <f>"FYE: "&amp;data!C82</f>
        <v>FYE: 06/30/2019</v>
      </c>
    </row>
    <row r="37" spans="1:9" ht="20.100000000000001" customHeight="1" x14ac:dyDescent="0.25">
      <c r="A37" s="23">
        <v>1</v>
      </c>
      <c r="B37" s="14" t="s">
        <v>209</v>
      </c>
      <c r="C37" s="15" t="s">
        <v>17</v>
      </c>
      <c r="D37" s="15" t="s">
        <v>18</v>
      </c>
      <c r="E37" s="15" t="s">
        <v>19</v>
      </c>
      <c r="F37" s="15" t="s">
        <v>20</v>
      </c>
      <c r="G37" s="15" t="s">
        <v>21</v>
      </c>
      <c r="H37" s="15" t="s">
        <v>22</v>
      </c>
      <c r="I37" s="15" t="s">
        <v>23</v>
      </c>
    </row>
    <row r="38" spans="1:9" ht="20.100000000000001" customHeight="1" x14ac:dyDescent="0.25">
      <c r="A38" s="81">
        <v>2</v>
      </c>
      <c r="B38" s="17" t="s">
        <v>1175</v>
      </c>
      <c r="C38" s="25"/>
      <c r="D38" s="18" t="s">
        <v>100</v>
      </c>
      <c r="E38" s="18" t="s">
        <v>101</v>
      </c>
      <c r="F38" s="18" t="s">
        <v>1191</v>
      </c>
      <c r="G38" s="18" t="s">
        <v>103</v>
      </c>
      <c r="H38" s="18" t="s">
        <v>1192</v>
      </c>
      <c r="I38" s="18" t="s">
        <v>105</v>
      </c>
    </row>
    <row r="39" spans="1:9" ht="20.100000000000001" customHeight="1" x14ac:dyDescent="0.25">
      <c r="A39" s="82"/>
      <c r="B39" s="83"/>
      <c r="C39" s="18" t="s">
        <v>99</v>
      </c>
      <c r="D39" s="18" t="s">
        <v>157</v>
      </c>
      <c r="E39" s="88" t="s">
        <v>167</v>
      </c>
      <c r="F39" s="18" t="s">
        <v>168</v>
      </c>
      <c r="G39" s="18" t="s">
        <v>169</v>
      </c>
      <c r="H39" s="18" t="s">
        <v>170</v>
      </c>
      <c r="I39" s="18" t="s">
        <v>169</v>
      </c>
    </row>
    <row r="40" spans="1:9" ht="20.100000000000001" customHeight="1" x14ac:dyDescent="0.25">
      <c r="A40" s="23">
        <v>3</v>
      </c>
      <c r="B40" s="14" t="s">
        <v>1179</v>
      </c>
      <c r="C40" s="15" t="s">
        <v>216</v>
      </c>
      <c r="D40" s="15" t="s">
        <v>215</v>
      </c>
      <c r="E40" s="15" t="s">
        <v>215</v>
      </c>
      <c r="F40" s="15" t="s">
        <v>215</v>
      </c>
      <c r="G40" s="15" t="s">
        <v>215</v>
      </c>
      <c r="H40" s="15" t="s">
        <v>217</v>
      </c>
      <c r="I40" s="89" t="s">
        <v>218</v>
      </c>
    </row>
    <row r="41" spans="1:9" ht="20.100000000000001" customHeight="1" x14ac:dyDescent="0.25">
      <c r="A41" s="23">
        <v>4</v>
      </c>
      <c r="B41" s="14" t="s">
        <v>233</v>
      </c>
      <c r="C41" s="14">
        <f>data!J59</f>
        <v>1468</v>
      </c>
      <c r="D41" s="14">
        <f>data!K59</f>
        <v>0</v>
      </c>
      <c r="E41" s="14">
        <f>data!L59</f>
        <v>0</v>
      </c>
      <c r="F41" s="14">
        <f>data!M59</f>
        <v>0</v>
      </c>
      <c r="G41" s="14">
        <f>data!N59</f>
        <v>0</v>
      </c>
      <c r="H41" s="14">
        <f>data!O59</f>
        <v>3268</v>
      </c>
      <c r="I41" s="14">
        <f>data!P59</f>
        <v>363206</v>
      </c>
    </row>
    <row r="42" spans="1:9" ht="20.100000000000001" customHeight="1" x14ac:dyDescent="0.25">
      <c r="A42" s="23">
        <v>5</v>
      </c>
      <c r="B42" s="14" t="s">
        <v>234</v>
      </c>
      <c r="C42" s="26">
        <f>data!J60</f>
        <v>0</v>
      </c>
      <c r="D42" s="26">
        <f>data!K60</f>
        <v>0</v>
      </c>
      <c r="E42" s="26">
        <f>data!L60</f>
        <v>0</v>
      </c>
      <c r="F42" s="26">
        <f>data!M60</f>
        <v>0</v>
      </c>
      <c r="G42" s="26">
        <f>data!N60</f>
        <v>0</v>
      </c>
      <c r="H42" s="26">
        <f>data!O60</f>
        <v>35.709432692307693</v>
      </c>
      <c r="I42" s="26">
        <f>data!P60</f>
        <v>47.20476923076923</v>
      </c>
    </row>
    <row r="43" spans="1:9" ht="20.100000000000001" customHeight="1" x14ac:dyDescent="0.25">
      <c r="A43" s="23">
        <v>6</v>
      </c>
      <c r="B43" s="14" t="s">
        <v>235</v>
      </c>
      <c r="C43" s="14">
        <f>data!J61</f>
        <v>0</v>
      </c>
      <c r="D43" s="14">
        <f>data!K61</f>
        <v>0</v>
      </c>
      <c r="E43" s="14">
        <f>data!L61</f>
        <v>0</v>
      </c>
      <c r="F43" s="14">
        <f>data!M61</f>
        <v>0</v>
      </c>
      <c r="G43" s="14">
        <f>data!N61</f>
        <v>0</v>
      </c>
      <c r="H43" s="14">
        <f>data!O61</f>
        <v>3475973.1100000003</v>
      </c>
      <c r="I43" s="14">
        <f>data!P61</f>
        <v>6111931.3699999992</v>
      </c>
    </row>
    <row r="44" spans="1:9" ht="20.100000000000001" customHeight="1" x14ac:dyDescent="0.25">
      <c r="A44" s="23">
        <v>7</v>
      </c>
      <c r="B44" s="14" t="s">
        <v>3</v>
      </c>
      <c r="C44" s="14">
        <f>data!J62</f>
        <v>0</v>
      </c>
      <c r="D44" s="14">
        <f>data!K62</f>
        <v>0</v>
      </c>
      <c r="E44" s="14">
        <f>data!L62</f>
        <v>0</v>
      </c>
      <c r="F44" s="14">
        <f>data!M62</f>
        <v>0</v>
      </c>
      <c r="G44" s="14">
        <f>data!N62</f>
        <v>0</v>
      </c>
      <c r="H44" s="14">
        <f>data!O62</f>
        <v>935830</v>
      </c>
      <c r="I44" s="14">
        <f>data!P62</f>
        <v>1223362</v>
      </c>
    </row>
    <row r="45" spans="1:9" ht="20.100000000000001" customHeight="1" x14ac:dyDescent="0.25">
      <c r="A45" s="23">
        <v>8</v>
      </c>
      <c r="B45" s="14" t="s">
        <v>236</v>
      </c>
      <c r="C45" s="14">
        <f>data!J63</f>
        <v>0</v>
      </c>
      <c r="D45" s="14">
        <f>data!K63</f>
        <v>0</v>
      </c>
      <c r="E45" s="14">
        <f>data!L63</f>
        <v>0</v>
      </c>
      <c r="F45" s="14">
        <f>data!M63</f>
        <v>0</v>
      </c>
      <c r="G45" s="14">
        <f>data!N63</f>
        <v>0</v>
      </c>
      <c r="H45" s="14">
        <f>data!O63</f>
        <v>94403.92</v>
      </c>
      <c r="I45" s="14">
        <f>data!P63</f>
        <v>1204976.6499999999</v>
      </c>
    </row>
    <row r="46" spans="1:9" ht="20.100000000000001" customHeight="1" x14ac:dyDescent="0.25">
      <c r="A46" s="23">
        <v>9</v>
      </c>
      <c r="B46" s="14" t="s">
        <v>237</v>
      </c>
      <c r="C46" s="14">
        <f>data!J64</f>
        <v>0</v>
      </c>
      <c r="D46" s="14">
        <f>data!K64</f>
        <v>0</v>
      </c>
      <c r="E46" s="14">
        <f>data!L64</f>
        <v>0</v>
      </c>
      <c r="F46" s="14">
        <f>data!M64</f>
        <v>0</v>
      </c>
      <c r="G46" s="14">
        <f>data!N64</f>
        <v>0</v>
      </c>
      <c r="H46" s="14">
        <f>data!O64</f>
        <v>373916.92</v>
      </c>
      <c r="I46" s="14">
        <f>data!P64</f>
        <v>7548246.120000001</v>
      </c>
    </row>
    <row r="47" spans="1:9" ht="20.100000000000001" customHeight="1" x14ac:dyDescent="0.25">
      <c r="A47" s="23">
        <v>10</v>
      </c>
      <c r="B47" s="14" t="s">
        <v>444</v>
      </c>
      <c r="C47" s="14">
        <f>data!J65</f>
        <v>0</v>
      </c>
      <c r="D47" s="14">
        <f>data!K65</f>
        <v>0</v>
      </c>
      <c r="E47" s="14">
        <f>data!L65</f>
        <v>0</v>
      </c>
      <c r="F47" s="14">
        <f>data!M65</f>
        <v>0</v>
      </c>
      <c r="G47" s="14">
        <f>data!N65</f>
        <v>0</v>
      </c>
      <c r="H47" s="14">
        <f>data!O65</f>
        <v>1433.52</v>
      </c>
      <c r="I47" s="14">
        <f>data!P65</f>
        <v>4714.2599999999993</v>
      </c>
    </row>
    <row r="48" spans="1:9" ht="20.100000000000001" customHeight="1" x14ac:dyDescent="0.25">
      <c r="A48" s="23">
        <v>11</v>
      </c>
      <c r="B48" s="14" t="s">
        <v>445</v>
      </c>
      <c r="C48" s="14">
        <f>data!J66</f>
        <v>0</v>
      </c>
      <c r="D48" s="14">
        <f>data!K66</f>
        <v>0</v>
      </c>
      <c r="E48" s="14">
        <f>data!L66</f>
        <v>0</v>
      </c>
      <c r="F48" s="14">
        <f>data!M66</f>
        <v>0</v>
      </c>
      <c r="G48" s="14">
        <f>data!N66</f>
        <v>0</v>
      </c>
      <c r="H48" s="14">
        <f>data!O66</f>
        <v>169203.04</v>
      </c>
      <c r="I48" s="14">
        <f>data!P66</f>
        <v>1355109.0090399999</v>
      </c>
    </row>
    <row r="49" spans="1:9" ht="20.100000000000001" customHeight="1" x14ac:dyDescent="0.25">
      <c r="A49" s="23">
        <v>12</v>
      </c>
      <c r="B49" s="14" t="s">
        <v>6</v>
      </c>
      <c r="C49" s="14">
        <f>data!J67</f>
        <v>0</v>
      </c>
      <c r="D49" s="14">
        <f>data!K67</f>
        <v>0</v>
      </c>
      <c r="E49" s="14">
        <f>data!L67</f>
        <v>0</v>
      </c>
      <c r="F49" s="14">
        <f>data!M67</f>
        <v>0</v>
      </c>
      <c r="G49" s="14">
        <f>data!N67</f>
        <v>0</v>
      </c>
      <c r="H49" s="14">
        <f>data!O67</f>
        <v>224727</v>
      </c>
      <c r="I49" s="14">
        <f>data!P67</f>
        <v>2472701</v>
      </c>
    </row>
    <row r="50" spans="1:9" ht="20.100000000000001" customHeight="1" x14ac:dyDescent="0.25">
      <c r="A50" s="23">
        <v>13</v>
      </c>
      <c r="B50" s="14" t="s">
        <v>474</v>
      </c>
      <c r="C50" s="14">
        <f>data!J68</f>
        <v>0</v>
      </c>
      <c r="D50" s="14">
        <f>data!K68</f>
        <v>0</v>
      </c>
      <c r="E50" s="14">
        <f>data!L68</f>
        <v>0</v>
      </c>
      <c r="F50" s="14">
        <f>data!M68</f>
        <v>0</v>
      </c>
      <c r="G50" s="14">
        <f>data!N68</f>
        <v>0</v>
      </c>
      <c r="H50" s="14">
        <f>data!O68</f>
        <v>3522.83</v>
      </c>
      <c r="I50" s="14">
        <f>data!P68</f>
        <v>248259.28000000006</v>
      </c>
    </row>
    <row r="51" spans="1:9" ht="20.100000000000001" customHeight="1" x14ac:dyDescent="0.25">
      <c r="A51" s="23">
        <v>14</v>
      </c>
      <c r="B51" s="14" t="s">
        <v>241</v>
      </c>
      <c r="C51" s="14">
        <f>data!J69</f>
        <v>0</v>
      </c>
      <c r="D51" s="14">
        <f>data!K69</f>
        <v>0</v>
      </c>
      <c r="E51" s="14">
        <f>data!L69</f>
        <v>0</v>
      </c>
      <c r="F51" s="14">
        <f>data!M69</f>
        <v>0</v>
      </c>
      <c r="G51" s="14">
        <f>data!N69</f>
        <v>0</v>
      </c>
      <c r="H51" s="14">
        <f>data!O69</f>
        <v>22017.809999999998</v>
      </c>
      <c r="I51" s="14">
        <f>data!P69</f>
        <v>50840.37</v>
      </c>
    </row>
    <row r="52" spans="1:9" ht="20.100000000000001" customHeight="1" x14ac:dyDescent="0.25">
      <c r="A52" s="23">
        <v>15</v>
      </c>
      <c r="B52" s="14" t="s">
        <v>242</v>
      </c>
      <c r="C52" s="14">
        <f>-data!J70</f>
        <v>0</v>
      </c>
      <c r="D52" s="14">
        <f>-data!K70</f>
        <v>0</v>
      </c>
      <c r="E52" s="14">
        <f>-data!L70</f>
        <v>0</v>
      </c>
      <c r="F52" s="14">
        <f>-data!M70</f>
        <v>0</v>
      </c>
      <c r="G52" s="14">
        <f>-data!N70</f>
        <v>0</v>
      </c>
      <c r="H52" s="14">
        <f>-data!O70</f>
        <v>-4915</v>
      </c>
      <c r="I52" s="14">
        <f>-data!P70</f>
        <v>-81065.34</v>
      </c>
    </row>
    <row r="53" spans="1:9" ht="20.100000000000001" customHeight="1" x14ac:dyDescent="0.25">
      <c r="A53" s="23">
        <v>16</v>
      </c>
      <c r="B53" s="48" t="s">
        <v>1180</v>
      </c>
      <c r="C53" s="14">
        <f>data!J71</f>
        <v>0</v>
      </c>
      <c r="D53" s="14">
        <f>data!K71</f>
        <v>0</v>
      </c>
      <c r="E53" s="14">
        <f>data!L71</f>
        <v>0</v>
      </c>
      <c r="F53" s="14">
        <f>data!M71</f>
        <v>0</v>
      </c>
      <c r="G53" s="14">
        <f>data!N71</f>
        <v>0</v>
      </c>
      <c r="H53" s="14">
        <f>data!O71</f>
        <v>5296113.1499999994</v>
      </c>
      <c r="I53" s="14">
        <f>data!P71</f>
        <v>20139074.719040003</v>
      </c>
    </row>
    <row r="54" spans="1:9" ht="20.100000000000001" customHeight="1" x14ac:dyDescent="0.25">
      <c r="A54" s="23">
        <v>17</v>
      </c>
      <c r="B54" s="14" t="s">
        <v>244</v>
      </c>
      <c r="C54" s="209"/>
      <c r="D54" s="209"/>
      <c r="E54" s="209"/>
      <c r="F54" s="209"/>
      <c r="G54" s="209"/>
      <c r="H54" s="209"/>
      <c r="I54" s="209"/>
    </row>
    <row r="55" spans="1:9" ht="20.100000000000001" customHeight="1" x14ac:dyDescent="0.25">
      <c r="A55" s="23">
        <v>18</v>
      </c>
      <c r="B55" s="14" t="s">
        <v>1181</v>
      </c>
      <c r="C55" s="48">
        <f>+data!M675</f>
        <v>153937</v>
      </c>
      <c r="D55" s="48">
        <f>+data!M676</f>
        <v>0</v>
      </c>
      <c r="E55" s="48">
        <f>+data!M677</f>
        <v>0</v>
      </c>
      <c r="F55" s="48">
        <f>+data!M678</f>
        <v>0</v>
      </c>
      <c r="G55" s="48">
        <f>+data!M679</f>
        <v>0</v>
      </c>
      <c r="H55" s="48">
        <f>+data!M680</f>
        <v>4956726</v>
      </c>
      <c r="I55" s="48">
        <f>+data!M681</f>
        <v>9502013</v>
      </c>
    </row>
    <row r="56" spans="1:9" ht="20.100000000000001" customHeight="1" x14ac:dyDescent="0.25">
      <c r="A56" s="23">
        <v>19</v>
      </c>
      <c r="B56" s="48" t="s">
        <v>1182</v>
      </c>
      <c r="C56" s="14">
        <f>data!J73</f>
        <v>0</v>
      </c>
      <c r="D56" s="14">
        <f>data!K73</f>
        <v>0</v>
      </c>
      <c r="E56" s="14">
        <f>data!L73</f>
        <v>0</v>
      </c>
      <c r="F56" s="14">
        <f>data!M73</f>
        <v>0</v>
      </c>
      <c r="G56" s="14">
        <f>data!N73</f>
        <v>0</v>
      </c>
      <c r="H56" s="14">
        <f>data!O73</f>
        <v>26316726.259999998</v>
      </c>
      <c r="I56" s="14">
        <f>data!P73</f>
        <v>77626672.450000003</v>
      </c>
    </row>
    <row r="57" spans="1:9" ht="20.100000000000001" customHeight="1" x14ac:dyDescent="0.25">
      <c r="A57" s="23">
        <v>20</v>
      </c>
      <c r="B57" s="48" t="s">
        <v>1183</v>
      </c>
      <c r="C57" s="14">
        <f>data!J74</f>
        <v>0</v>
      </c>
      <c r="D57" s="14">
        <f>data!K74</f>
        <v>0</v>
      </c>
      <c r="E57" s="14">
        <f>data!L74</f>
        <v>0</v>
      </c>
      <c r="F57" s="14">
        <f>data!M74</f>
        <v>0</v>
      </c>
      <c r="G57" s="14">
        <f>data!N74</f>
        <v>0</v>
      </c>
      <c r="H57" s="14">
        <f>data!O74</f>
        <v>1610474.24</v>
      </c>
      <c r="I57" s="14">
        <f>data!P74</f>
        <v>119018145.92000003</v>
      </c>
    </row>
    <row r="58" spans="1:9" ht="20.100000000000001" customHeight="1" x14ac:dyDescent="0.25">
      <c r="A58" s="23">
        <v>21</v>
      </c>
      <c r="B58" s="48" t="s">
        <v>1184</v>
      </c>
      <c r="C58" s="14">
        <f>data!J75</f>
        <v>0</v>
      </c>
      <c r="D58" s="14">
        <f>data!K75</f>
        <v>0</v>
      </c>
      <c r="E58" s="14">
        <f>data!L75</f>
        <v>0</v>
      </c>
      <c r="F58" s="14">
        <f>data!M75</f>
        <v>0</v>
      </c>
      <c r="G58" s="14">
        <f>data!N75</f>
        <v>0</v>
      </c>
      <c r="H58" s="14">
        <f>data!O75</f>
        <v>27927200.499999996</v>
      </c>
      <c r="I58" s="14">
        <f>data!P75</f>
        <v>196644818.37000003</v>
      </c>
    </row>
    <row r="59" spans="1:9" ht="20.100000000000001" customHeight="1" x14ac:dyDescent="0.25">
      <c r="A59" s="23" t="s">
        <v>1185</v>
      </c>
      <c r="B59" s="60"/>
      <c r="C59" s="209"/>
      <c r="D59" s="209"/>
      <c r="E59" s="209"/>
      <c r="F59" s="209"/>
      <c r="G59" s="209"/>
      <c r="H59" s="209"/>
      <c r="I59" s="209"/>
    </row>
    <row r="60" spans="1:9" ht="20.100000000000001" customHeight="1" x14ac:dyDescent="0.25">
      <c r="A60" s="23">
        <v>22</v>
      </c>
      <c r="B60" s="14" t="s">
        <v>1186</v>
      </c>
      <c r="C60" s="14">
        <f>data!J76</f>
        <v>1167</v>
      </c>
      <c r="D60" s="14">
        <f>data!K76</f>
        <v>0</v>
      </c>
      <c r="E60" s="14">
        <f>data!L76</f>
        <v>0</v>
      </c>
      <c r="F60" s="14">
        <f>data!M76</f>
        <v>0</v>
      </c>
      <c r="G60" s="14">
        <f>data!N76</f>
        <v>0</v>
      </c>
      <c r="H60" s="14">
        <f>data!O76</f>
        <v>22556</v>
      </c>
      <c r="I60" s="14">
        <f>data!P76</f>
        <v>21543</v>
      </c>
    </row>
    <row r="61" spans="1:9" ht="20.100000000000001" customHeight="1" x14ac:dyDescent="0.25">
      <c r="A61" s="23">
        <v>23</v>
      </c>
      <c r="B61" s="14" t="s">
        <v>1187</v>
      </c>
      <c r="C61" s="14">
        <f>data!J77</f>
        <v>0</v>
      </c>
      <c r="D61" s="14">
        <f>data!K77</f>
        <v>0</v>
      </c>
      <c r="E61" s="14">
        <f>data!L77</f>
        <v>0</v>
      </c>
      <c r="F61" s="14">
        <f>data!M77</f>
        <v>0</v>
      </c>
      <c r="G61" s="14">
        <f>data!N77</f>
        <v>0</v>
      </c>
      <c r="H61" s="14">
        <f>data!O77</f>
        <v>7721</v>
      </c>
      <c r="I61" s="14">
        <f>data!P77</f>
        <v>0</v>
      </c>
    </row>
    <row r="62" spans="1:9" ht="20.100000000000001" customHeight="1" x14ac:dyDescent="0.25">
      <c r="A62" s="23">
        <v>24</v>
      </c>
      <c r="B62" s="14" t="s">
        <v>1188</v>
      </c>
      <c r="C62" s="14">
        <f>data!J78</f>
        <v>334.24057076834691</v>
      </c>
      <c r="D62" s="14">
        <f>data!K78</f>
        <v>0</v>
      </c>
      <c r="E62" s="14">
        <f>data!L78</f>
        <v>0</v>
      </c>
      <c r="F62" s="14">
        <f>data!M78</f>
        <v>0</v>
      </c>
      <c r="G62" s="14">
        <f>data!N78</f>
        <v>0</v>
      </c>
      <c r="H62" s="14">
        <f>data!O78</f>
        <v>6460.265907669951</v>
      </c>
      <c r="I62" s="14">
        <f>data!P78</f>
        <v>6170.1324901992266</v>
      </c>
    </row>
    <row r="63" spans="1:9" ht="20.100000000000001" customHeight="1" x14ac:dyDescent="0.25">
      <c r="A63" s="23">
        <v>25</v>
      </c>
      <c r="B63" s="14" t="s">
        <v>1189</v>
      </c>
      <c r="C63" s="14">
        <f>data!J79</f>
        <v>0</v>
      </c>
      <c r="D63" s="14">
        <f>data!K79</f>
        <v>0</v>
      </c>
      <c r="E63" s="14">
        <f>data!L79</f>
        <v>0</v>
      </c>
      <c r="F63" s="14">
        <f>data!M79</f>
        <v>0</v>
      </c>
      <c r="G63" s="14">
        <f>data!N79</f>
        <v>0</v>
      </c>
      <c r="H63" s="14">
        <f>data!O79</f>
        <v>68836.09</v>
      </c>
      <c r="I63" s="14">
        <f>data!P79</f>
        <v>82138.94</v>
      </c>
    </row>
    <row r="64" spans="1:9" ht="20.100000000000001" customHeight="1" x14ac:dyDescent="0.25">
      <c r="A64" s="23">
        <v>26</v>
      </c>
      <c r="B64" s="14" t="s">
        <v>252</v>
      </c>
      <c r="C64" s="26">
        <f>data!J80</f>
        <v>0</v>
      </c>
      <c r="D64" s="26">
        <f>data!K80</f>
        <v>0</v>
      </c>
      <c r="E64" s="26">
        <f>data!L80</f>
        <v>0</v>
      </c>
      <c r="F64" s="26">
        <f>data!M80</f>
        <v>0</v>
      </c>
      <c r="G64" s="26">
        <f>data!N80</f>
        <v>0</v>
      </c>
      <c r="H64" s="26">
        <f>data!O80</f>
        <v>23.576500000000003</v>
      </c>
      <c r="I64" s="26">
        <f>data!P80</f>
        <v>15.814682692307692</v>
      </c>
    </row>
    <row r="65" spans="1:9" ht="20.100000000000001" customHeight="1" x14ac:dyDescent="0.25">
      <c r="A65" s="4" t="s">
        <v>1173</v>
      </c>
      <c r="B65" s="5"/>
      <c r="C65" s="5"/>
      <c r="D65" s="6"/>
      <c r="E65" s="5"/>
      <c r="F65" s="5"/>
      <c r="G65" s="5"/>
      <c r="H65" s="5"/>
      <c r="I65" s="4"/>
    </row>
    <row r="66" spans="1:9" ht="20.100000000000001" customHeight="1" x14ac:dyDescent="0.25">
      <c r="A66" s="77"/>
      <c r="B66" s="77"/>
      <c r="C66" s="77"/>
      <c r="D66" s="45"/>
      <c r="E66" s="77"/>
      <c r="F66" s="77"/>
      <c r="G66" s="77"/>
      <c r="H66" s="77"/>
      <c r="I66" s="168" t="s">
        <v>1193</v>
      </c>
    </row>
    <row r="67" spans="1:9" ht="20.100000000000001" customHeight="1" x14ac:dyDescent="0.25">
      <c r="A67" s="45"/>
      <c r="B67" s="77"/>
      <c r="C67" s="77"/>
      <c r="D67" s="77"/>
      <c r="E67" s="77"/>
      <c r="F67" s="77"/>
      <c r="G67" s="77"/>
      <c r="H67" s="77"/>
    </row>
    <row r="68" spans="1:9" ht="20.100000000000001" customHeight="1" x14ac:dyDescent="0.25">
      <c r="A68" s="79" t="str">
        <f>"HOSPITAL NAME: "&amp;data!C84</f>
        <v>HOSPITAL NAME: Highline Medical Center</v>
      </c>
      <c r="B68" s="77"/>
      <c r="C68" s="77"/>
      <c r="D68" s="77"/>
      <c r="E68" s="77"/>
      <c r="F68" s="77"/>
      <c r="G68" s="80"/>
      <c r="H68" s="79" t="str">
        <f>"FYE: "&amp;data!C82</f>
        <v>FYE: 06/30/2019</v>
      </c>
    </row>
    <row r="69" spans="1:9" ht="20.100000000000001" customHeight="1" x14ac:dyDescent="0.25">
      <c r="A69" s="23">
        <v>1</v>
      </c>
      <c r="B69" s="14" t="s">
        <v>209</v>
      </c>
      <c r="C69" s="15" t="s">
        <v>24</v>
      </c>
      <c r="D69" s="15" t="s">
        <v>25</v>
      </c>
      <c r="E69" s="15" t="s">
        <v>26</v>
      </c>
      <c r="F69" s="15" t="s">
        <v>27</v>
      </c>
      <c r="G69" s="15" t="s">
        <v>28</v>
      </c>
      <c r="H69" s="15" t="s">
        <v>29</v>
      </c>
      <c r="I69" s="15" t="s">
        <v>30</v>
      </c>
    </row>
    <row r="70" spans="1:9" ht="20.100000000000001" customHeight="1" x14ac:dyDescent="0.25">
      <c r="A70" s="81">
        <v>2</v>
      </c>
      <c r="B70" s="17" t="s">
        <v>1175</v>
      </c>
      <c r="C70" s="18" t="s">
        <v>106</v>
      </c>
      <c r="D70" s="25"/>
      <c r="E70" s="18" t="s">
        <v>108</v>
      </c>
      <c r="F70" s="18" t="s">
        <v>1194</v>
      </c>
      <c r="G70" s="25"/>
      <c r="H70" s="18" t="s">
        <v>110</v>
      </c>
      <c r="I70" s="18" t="s">
        <v>111</v>
      </c>
    </row>
    <row r="71" spans="1:9" ht="20.100000000000001" customHeight="1" x14ac:dyDescent="0.25">
      <c r="A71" s="82"/>
      <c r="B71" s="83"/>
      <c r="C71" s="18" t="s">
        <v>171</v>
      </c>
      <c r="D71" s="18" t="s">
        <v>1195</v>
      </c>
      <c r="E71" s="18" t="s">
        <v>169</v>
      </c>
      <c r="F71" s="18" t="s">
        <v>172</v>
      </c>
      <c r="G71" s="18" t="s">
        <v>109</v>
      </c>
      <c r="H71" s="18" t="s">
        <v>173</v>
      </c>
      <c r="I71" s="18" t="s">
        <v>174</v>
      </c>
    </row>
    <row r="72" spans="1:9" ht="20.100000000000001" customHeight="1" x14ac:dyDescent="0.25">
      <c r="A72" s="23">
        <v>3</v>
      </c>
      <c r="B72" s="14" t="s">
        <v>1179</v>
      </c>
      <c r="C72" s="15" t="s">
        <v>1196</v>
      </c>
      <c r="D72" s="89" t="s">
        <v>1197</v>
      </c>
      <c r="E72" s="210"/>
      <c r="F72" s="210"/>
      <c r="G72" s="89" t="s">
        <v>1198</v>
      </c>
      <c r="H72" s="89" t="s">
        <v>1198</v>
      </c>
      <c r="I72" s="15" t="s">
        <v>223</v>
      </c>
    </row>
    <row r="73" spans="1:9" ht="20.100000000000001" customHeight="1" x14ac:dyDescent="0.25">
      <c r="A73" s="23">
        <v>4</v>
      </c>
      <c r="B73" s="14" t="s">
        <v>233</v>
      </c>
      <c r="C73" s="14">
        <f>data!Q59</f>
        <v>1201300</v>
      </c>
      <c r="D73" s="48">
        <f>data!R59</f>
        <v>0</v>
      </c>
      <c r="E73" s="210"/>
      <c r="F73" s="210"/>
      <c r="G73" s="14">
        <f>data!U59</f>
        <v>483562</v>
      </c>
      <c r="H73" s="14">
        <f>data!V59</f>
        <v>0</v>
      </c>
      <c r="I73" s="14">
        <f>data!W59</f>
        <v>2020</v>
      </c>
    </row>
    <row r="74" spans="1:9" ht="20.100000000000001" customHeight="1" x14ac:dyDescent="0.25">
      <c r="A74" s="23">
        <v>5</v>
      </c>
      <c r="B74" s="14" t="s">
        <v>234</v>
      </c>
      <c r="C74" s="26">
        <f>data!Q60</f>
        <v>17.778341346153844</v>
      </c>
      <c r="D74" s="26">
        <f>data!R60</f>
        <v>0</v>
      </c>
      <c r="E74" s="26">
        <f>data!S60</f>
        <v>16.770817307692308</v>
      </c>
      <c r="F74" s="26">
        <f>data!T60</f>
        <v>1.4849855769230769</v>
      </c>
      <c r="G74" s="26">
        <f>data!U60</f>
        <v>32.592927884615392</v>
      </c>
      <c r="H74" s="26">
        <f>data!V60</f>
        <v>0</v>
      </c>
      <c r="I74" s="26">
        <f>data!W60</f>
        <v>5.1723701923076923</v>
      </c>
    </row>
    <row r="75" spans="1:9" ht="20.100000000000001" customHeight="1" x14ac:dyDescent="0.25">
      <c r="A75" s="23">
        <v>6</v>
      </c>
      <c r="B75" s="14" t="s">
        <v>235</v>
      </c>
      <c r="C75" s="14">
        <f>data!Q61</f>
        <v>2066586.0900000003</v>
      </c>
      <c r="D75" s="14">
        <f>data!R61</f>
        <v>0</v>
      </c>
      <c r="E75" s="14">
        <f>data!S61</f>
        <v>837067.28</v>
      </c>
      <c r="F75" s="14">
        <f>data!T61</f>
        <v>133910.63</v>
      </c>
      <c r="G75" s="14">
        <f>data!U61</f>
        <v>2279326.8800000004</v>
      </c>
      <c r="H75" s="14">
        <f>data!V61</f>
        <v>0</v>
      </c>
      <c r="I75" s="14">
        <f>data!W61</f>
        <v>634851.31999999995</v>
      </c>
    </row>
    <row r="76" spans="1:9" ht="20.100000000000001" customHeight="1" x14ac:dyDescent="0.25">
      <c r="A76" s="23">
        <v>7</v>
      </c>
      <c r="B76" s="14" t="s">
        <v>3</v>
      </c>
      <c r="C76" s="14">
        <f>data!Q62</f>
        <v>485462</v>
      </c>
      <c r="D76" s="14">
        <f>data!R62</f>
        <v>0</v>
      </c>
      <c r="E76" s="14">
        <f>data!S62</f>
        <v>332866</v>
      </c>
      <c r="F76" s="14">
        <f>data!T62</f>
        <v>37738</v>
      </c>
      <c r="G76" s="14">
        <f>data!U62</f>
        <v>733239</v>
      </c>
      <c r="H76" s="14">
        <f>data!V62</f>
        <v>0</v>
      </c>
      <c r="I76" s="14">
        <f>data!W62</f>
        <v>150793</v>
      </c>
    </row>
    <row r="77" spans="1:9" ht="20.100000000000001" customHeight="1" x14ac:dyDescent="0.25">
      <c r="A77" s="23">
        <v>8</v>
      </c>
      <c r="B77" s="14" t="s">
        <v>236</v>
      </c>
      <c r="C77" s="14">
        <f>data!Q63</f>
        <v>0</v>
      </c>
      <c r="D77" s="14">
        <f>data!R63</f>
        <v>0</v>
      </c>
      <c r="E77" s="14">
        <f>data!S63</f>
        <v>0</v>
      </c>
      <c r="F77" s="14">
        <f>data!T63</f>
        <v>0</v>
      </c>
      <c r="G77" s="14">
        <f>data!U63</f>
        <v>47917.82</v>
      </c>
      <c r="H77" s="14">
        <f>data!V63</f>
        <v>0</v>
      </c>
      <c r="I77" s="14">
        <f>data!W63</f>
        <v>0</v>
      </c>
    </row>
    <row r="78" spans="1:9" ht="20.100000000000001" customHeight="1" x14ac:dyDescent="0.25">
      <c r="A78" s="23">
        <v>9</v>
      </c>
      <c r="B78" s="14" t="s">
        <v>237</v>
      </c>
      <c r="C78" s="14">
        <f>data!Q64</f>
        <v>264004.54999999993</v>
      </c>
      <c r="D78" s="14">
        <f>data!R64</f>
        <v>0</v>
      </c>
      <c r="E78" s="14">
        <f>data!S64</f>
        <v>-311962.94999999995</v>
      </c>
      <c r="F78" s="14">
        <f>data!T64</f>
        <v>2869.01</v>
      </c>
      <c r="G78" s="14">
        <f>data!U64</f>
        <v>1905827.05</v>
      </c>
      <c r="H78" s="14">
        <f>data!V64</f>
        <v>0</v>
      </c>
      <c r="I78" s="14">
        <f>data!W64</f>
        <v>68434.03</v>
      </c>
    </row>
    <row r="79" spans="1:9" ht="20.100000000000001" customHeight="1" x14ac:dyDescent="0.25">
      <c r="A79" s="23">
        <v>10</v>
      </c>
      <c r="B79" s="14" t="s">
        <v>444</v>
      </c>
      <c r="C79" s="14">
        <f>data!Q65</f>
        <v>1560.24</v>
      </c>
      <c r="D79" s="14">
        <f>data!R65</f>
        <v>0</v>
      </c>
      <c r="E79" s="14">
        <f>data!S65</f>
        <v>0</v>
      </c>
      <c r="F79" s="14">
        <f>data!T65</f>
        <v>324.14999999999998</v>
      </c>
      <c r="G79" s="14">
        <f>data!U65</f>
        <v>285.31999999999994</v>
      </c>
      <c r="H79" s="14">
        <f>data!V65</f>
        <v>0</v>
      </c>
      <c r="I79" s="14">
        <f>data!W65</f>
        <v>10218.209999999999</v>
      </c>
    </row>
    <row r="80" spans="1:9" ht="20.100000000000001" customHeight="1" x14ac:dyDescent="0.25">
      <c r="A80" s="23">
        <v>11</v>
      </c>
      <c r="B80" s="14" t="s">
        <v>445</v>
      </c>
      <c r="C80" s="14">
        <f>data!Q66</f>
        <v>28203.089999999997</v>
      </c>
      <c r="D80" s="14">
        <f>data!R66</f>
        <v>0</v>
      </c>
      <c r="E80" s="14">
        <f>data!S66</f>
        <v>28513.32756319</v>
      </c>
      <c r="F80" s="14">
        <f>data!T66</f>
        <v>0</v>
      </c>
      <c r="G80" s="14">
        <f>data!U66</f>
        <v>1565750.95551</v>
      </c>
      <c r="H80" s="14">
        <f>data!V66</f>
        <v>0</v>
      </c>
      <c r="I80" s="14">
        <f>data!W66</f>
        <v>397838.89</v>
      </c>
    </row>
    <row r="81" spans="1:9" ht="20.100000000000001" customHeight="1" x14ac:dyDescent="0.25">
      <c r="A81" s="23">
        <v>12</v>
      </c>
      <c r="B81" s="14" t="s">
        <v>6</v>
      </c>
      <c r="C81" s="14">
        <f>data!Q67</f>
        <v>87055</v>
      </c>
      <c r="D81" s="14">
        <f>data!R67</f>
        <v>0</v>
      </c>
      <c r="E81" s="14">
        <f>data!S67</f>
        <v>56159</v>
      </c>
      <c r="F81" s="14">
        <f>data!T67</f>
        <v>12472</v>
      </c>
      <c r="G81" s="14">
        <f>data!U67</f>
        <v>123187</v>
      </c>
      <c r="H81" s="14">
        <f>data!V67</f>
        <v>0</v>
      </c>
      <c r="I81" s="14">
        <f>data!W67</f>
        <v>328539</v>
      </c>
    </row>
    <row r="82" spans="1:9" ht="20.100000000000001" customHeight="1" x14ac:dyDescent="0.25">
      <c r="A82" s="23">
        <v>13</v>
      </c>
      <c r="B82" s="14" t="s">
        <v>474</v>
      </c>
      <c r="C82" s="14">
        <f>data!Q68</f>
        <v>6642.93</v>
      </c>
      <c r="D82" s="14">
        <f>data!R68</f>
        <v>0</v>
      </c>
      <c r="E82" s="14">
        <f>data!S68</f>
        <v>4730.38</v>
      </c>
      <c r="F82" s="14">
        <f>data!T68</f>
        <v>0</v>
      </c>
      <c r="G82" s="14">
        <f>data!U68</f>
        <v>99452.74</v>
      </c>
      <c r="H82" s="14">
        <f>data!V68</f>
        <v>0</v>
      </c>
      <c r="I82" s="14">
        <f>data!W68</f>
        <v>180272.01999999996</v>
      </c>
    </row>
    <row r="83" spans="1:9" ht="20.100000000000001" customHeight="1" x14ac:dyDescent="0.25">
      <c r="A83" s="23">
        <v>14</v>
      </c>
      <c r="B83" s="14" t="s">
        <v>241</v>
      </c>
      <c r="C83" s="14">
        <f>data!Q69</f>
        <v>5069.51</v>
      </c>
      <c r="D83" s="14">
        <f>data!R69</f>
        <v>0</v>
      </c>
      <c r="E83" s="14">
        <f>data!S69</f>
        <v>41559.950000000004</v>
      </c>
      <c r="F83" s="14">
        <f>data!T69</f>
        <v>-150</v>
      </c>
      <c r="G83" s="14">
        <f>data!U69</f>
        <v>154924.72999999998</v>
      </c>
      <c r="H83" s="14">
        <f>data!V69</f>
        <v>0</v>
      </c>
      <c r="I83" s="14">
        <f>data!W69</f>
        <v>0</v>
      </c>
    </row>
    <row r="84" spans="1:9" ht="20.100000000000001" customHeight="1" x14ac:dyDescent="0.25">
      <c r="A84" s="23">
        <v>15</v>
      </c>
      <c r="B84" s="14" t="s">
        <v>242</v>
      </c>
      <c r="C84" s="14">
        <f>-data!Q70</f>
        <v>-2590.33</v>
      </c>
      <c r="D84" s="14">
        <f>-data!R70</f>
        <v>0</v>
      </c>
      <c r="E84" s="14">
        <f>-data!S70</f>
        <v>0</v>
      </c>
      <c r="F84" s="14">
        <f>-data!T70</f>
        <v>-69.95</v>
      </c>
      <c r="G84" s="14">
        <f>-data!U70</f>
        <v>-537868.15999999992</v>
      </c>
      <c r="H84" s="14">
        <f>-data!V70</f>
        <v>0</v>
      </c>
      <c r="I84" s="14">
        <f>-data!W70</f>
        <v>-3275.24</v>
      </c>
    </row>
    <row r="85" spans="1:9" ht="20.100000000000001" customHeight="1" x14ac:dyDescent="0.25">
      <c r="A85" s="23">
        <v>16</v>
      </c>
      <c r="B85" s="48" t="s">
        <v>1180</v>
      </c>
      <c r="C85" s="14">
        <f>data!Q71</f>
        <v>2941993.08</v>
      </c>
      <c r="D85" s="14">
        <f>data!R71</f>
        <v>0</v>
      </c>
      <c r="E85" s="14">
        <f>data!S71</f>
        <v>988932.98756319005</v>
      </c>
      <c r="F85" s="14">
        <f>data!T71</f>
        <v>187093.84</v>
      </c>
      <c r="G85" s="14">
        <f>data!U71</f>
        <v>6372043.3355100006</v>
      </c>
      <c r="H85" s="14">
        <f>data!V71</f>
        <v>0</v>
      </c>
      <c r="I85" s="14">
        <f>data!W71</f>
        <v>1767671.23</v>
      </c>
    </row>
    <row r="86" spans="1:9" ht="20.100000000000001" customHeight="1" x14ac:dyDescent="0.25">
      <c r="A86" s="23">
        <v>17</v>
      </c>
      <c r="B86" s="14" t="s">
        <v>244</v>
      </c>
      <c r="C86" s="209"/>
      <c r="D86" s="209"/>
      <c r="E86" s="209"/>
      <c r="F86" s="209"/>
      <c r="G86" s="209"/>
      <c r="H86" s="209"/>
      <c r="I86" s="209"/>
    </row>
    <row r="87" spans="1:9" ht="20.100000000000001" customHeight="1" x14ac:dyDescent="0.25">
      <c r="A87" s="23">
        <v>18</v>
      </c>
      <c r="B87" s="14" t="s">
        <v>1181</v>
      </c>
      <c r="C87" s="48">
        <f>+data!M682</f>
        <v>1255674</v>
      </c>
      <c r="D87" s="48">
        <f>+data!M683</f>
        <v>0</v>
      </c>
      <c r="E87" s="48">
        <f>+data!M684</f>
        <v>881450</v>
      </c>
      <c r="F87" s="48">
        <f>+data!M685</f>
        <v>111914</v>
      </c>
      <c r="G87" s="48">
        <f>+data!M686</f>
        <v>3210438</v>
      </c>
      <c r="H87" s="48">
        <f>+data!M687</f>
        <v>0</v>
      </c>
      <c r="I87" s="48">
        <f>+data!M688</f>
        <v>552208</v>
      </c>
    </row>
    <row r="88" spans="1:9" ht="20.100000000000001" customHeight="1" x14ac:dyDescent="0.25">
      <c r="A88" s="23">
        <v>19</v>
      </c>
      <c r="B88" s="48" t="s">
        <v>1182</v>
      </c>
      <c r="C88" s="14">
        <f>data!Q73</f>
        <v>4674438.47</v>
      </c>
      <c r="D88" s="14">
        <f>data!R73</f>
        <v>0</v>
      </c>
      <c r="E88" s="14">
        <f>data!S73</f>
        <v>0</v>
      </c>
      <c r="F88" s="14">
        <f>data!T73</f>
        <v>2816885.6699999995</v>
      </c>
      <c r="G88" s="14">
        <f>data!U73</f>
        <v>31763144.989999998</v>
      </c>
      <c r="H88" s="14">
        <f>data!V73</f>
        <v>0</v>
      </c>
      <c r="I88" s="14">
        <f>data!W73</f>
        <v>2572722.7200000007</v>
      </c>
    </row>
    <row r="89" spans="1:9" ht="20.100000000000001" customHeight="1" x14ac:dyDescent="0.25">
      <c r="A89" s="23">
        <v>20</v>
      </c>
      <c r="B89" s="48" t="s">
        <v>1183</v>
      </c>
      <c r="C89" s="14">
        <f>data!Q74</f>
        <v>11360500.59</v>
      </c>
      <c r="D89" s="14">
        <f>data!R74</f>
        <v>0</v>
      </c>
      <c r="E89" s="14">
        <f>data!S74</f>
        <v>0</v>
      </c>
      <c r="F89" s="14">
        <f>data!T74</f>
        <v>142559.20000000001</v>
      </c>
      <c r="G89" s="14">
        <f>data!U74</f>
        <v>27685727.369999997</v>
      </c>
      <c r="H89" s="14">
        <f>data!V74</f>
        <v>0</v>
      </c>
      <c r="I89" s="14">
        <f>data!W74</f>
        <v>13795281.27</v>
      </c>
    </row>
    <row r="90" spans="1:9" ht="20.100000000000001" customHeight="1" x14ac:dyDescent="0.25">
      <c r="A90" s="23">
        <v>21</v>
      </c>
      <c r="B90" s="48" t="s">
        <v>1184</v>
      </c>
      <c r="C90" s="14">
        <f>data!Q75</f>
        <v>16034939.059999999</v>
      </c>
      <c r="D90" s="14">
        <f>data!R75</f>
        <v>0</v>
      </c>
      <c r="E90" s="14">
        <f>data!S75</f>
        <v>0</v>
      </c>
      <c r="F90" s="14">
        <f>data!T75</f>
        <v>2959444.8699999996</v>
      </c>
      <c r="G90" s="14">
        <f>data!U75</f>
        <v>59448872.359999999</v>
      </c>
      <c r="H90" s="14">
        <f>data!V75</f>
        <v>0</v>
      </c>
      <c r="I90" s="14">
        <f>data!W75</f>
        <v>16368003.99</v>
      </c>
    </row>
    <row r="91" spans="1:9" ht="20.100000000000001" customHeight="1" x14ac:dyDescent="0.25">
      <c r="A91" s="23" t="s">
        <v>1185</v>
      </c>
      <c r="B91" s="60"/>
      <c r="C91" s="209"/>
      <c r="D91" s="209"/>
      <c r="E91" s="209"/>
      <c r="F91" s="209"/>
      <c r="G91" s="209"/>
      <c r="H91" s="209"/>
      <c r="I91" s="209"/>
    </row>
    <row r="92" spans="1:9" ht="20.100000000000001" customHeight="1" x14ac:dyDescent="0.25">
      <c r="A92" s="23">
        <v>22</v>
      </c>
      <c r="B92" s="14" t="s">
        <v>1186</v>
      </c>
      <c r="C92" s="14">
        <f>data!Q76</f>
        <v>2295</v>
      </c>
      <c r="D92" s="14">
        <f>data!R76</f>
        <v>0</v>
      </c>
      <c r="E92" s="14">
        <f>data!S76</f>
        <v>4986</v>
      </c>
      <c r="F92" s="14">
        <f>data!T76</f>
        <v>0</v>
      </c>
      <c r="G92" s="14">
        <f>data!U76</f>
        <v>8756</v>
      </c>
      <c r="H92" s="14">
        <f>data!V76</f>
        <v>0</v>
      </c>
      <c r="I92" s="14">
        <f>data!W76</f>
        <v>0</v>
      </c>
    </row>
    <row r="93" spans="1:9" ht="20.100000000000001" customHeight="1" x14ac:dyDescent="0.25">
      <c r="A93" s="23">
        <v>23</v>
      </c>
      <c r="B93" s="14" t="s">
        <v>1187</v>
      </c>
      <c r="C93" s="14">
        <f>data!Q77</f>
        <v>0</v>
      </c>
      <c r="D93" s="14">
        <f>data!R77</f>
        <v>0</v>
      </c>
      <c r="E93" s="14">
        <f>data!S77</f>
        <v>0</v>
      </c>
      <c r="F93" s="14">
        <f>data!T77</f>
        <v>335</v>
      </c>
      <c r="G93" s="14">
        <f>data!U77</f>
        <v>0</v>
      </c>
      <c r="H93" s="14">
        <f>data!V77</f>
        <v>0</v>
      </c>
      <c r="I93" s="14">
        <f>data!W77</f>
        <v>0</v>
      </c>
    </row>
    <row r="94" spans="1:9" ht="20.100000000000001" customHeight="1" x14ac:dyDescent="0.25">
      <c r="A94" s="23">
        <v>24</v>
      </c>
      <c r="B94" s="14" t="s">
        <v>1188</v>
      </c>
      <c r="C94" s="14">
        <f>data!Q78</f>
        <v>657.31114816911418</v>
      </c>
      <c r="D94" s="14">
        <f>data!R78</f>
        <v>0</v>
      </c>
      <c r="E94" s="14">
        <f>data!S78</f>
        <v>1428.0406905321145</v>
      </c>
      <c r="F94" s="14">
        <f>data!T78</f>
        <v>0</v>
      </c>
      <c r="G94" s="14">
        <f>data!U78</f>
        <v>2507.8067160648206</v>
      </c>
      <c r="H94" s="14">
        <f>data!V78</f>
        <v>0</v>
      </c>
      <c r="I94" s="14">
        <f>data!W78</f>
        <v>0</v>
      </c>
    </row>
    <row r="95" spans="1:9" ht="20.100000000000001" customHeight="1" x14ac:dyDescent="0.25">
      <c r="A95" s="23">
        <v>25</v>
      </c>
      <c r="B95" s="14" t="s">
        <v>1189</v>
      </c>
      <c r="C95" s="14">
        <f>data!Q79</f>
        <v>10607.93</v>
      </c>
      <c r="D95" s="14">
        <f>data!R79</f>
        <v>0</v>
      </c>
      <c r="E95" s="14">
        <f>data!S79</f>
        <v>2196.71</v>
      </c>
      <c r="F95" s="14">
        <f>data!T79</f>
        <v>0</v>
      </c>
      <c r="G95" s="14">
        <f>data!U79</f>
        <v>8</v>
      </c>
      <c r="H95" s="14">
        <f>data!V79</f>
        <v>0</v>
      </c>
      <c r="I95" s="14">
        <f>data!W79</f>
        <v>21456.04</v>
      </c>
    </row>
    <row r="96" spans="1:9" ht="20.100000000000001" customHeight="1" x14ac:dyDescent="0.25">
      <c r="A96" s="23">
        <v>26</v>
      </c>
      <c r="B96" s="14" t="s">
        <v>252</v>
      </c>
      <c r="C96" s="84">
        <f>data!Q80</f>
        <v>10.438110576923078</v>
      </c>
      <c r="D96" s="84">
        <f>data!R80</f>
        <v>0</v>
      </c>
      <c r="E96" s="84">
        <f>data!S80</f>
        <v>1.5625E-2</v>
      </c>
      <c r="F96" s="84">
        <f>data!T80</f>
        <v>1.3622019230769231</v>
      </c>
      <c r="G96" s="84">
        <f>data!U80</f>
        <v>0</v>
      </c>
      <c r="H96" s="84">
        <f>data!V80</f>
        <v>0</v>
      </c>
      <c r="I96" s="84">
        <f>data!W80</f>
        <v>0</v>
      </c>
    </row>
    <row r="97" spans="1:9" ht="20.100000000000001" customHeight="1" x14ac:dyDescent="0.25">
      <c r="A97" s="4" t="s">
        <v>1173</v>
      </c>
      <c r="B97" s="5"/>
      <c r="C97" s="5"/>
      <c r="D97" s="6"/>
      <c r="E97" s="5"/>
      <c r="F97" s="5"/>
      <c r="G97" s="5"/>
      <c r="H97" s="5"/>
      <c r="I97" s="4"/>
    </row>
    <row r="98" spans="1:9" ht="20.100000000000001" customHeight="1" x14ac:dyDescent="0.25">
      <c r="A98" s="77"/>
      <c r="B98" s="77"/>
      <c r="C98" s="77"/>
      <c r="D98" s="45"/>
      <c r="E98" s="77"/>
      <c r="F98" s="77"/>
      <c r="G98" s="77"/>
      <c r="H98" s="77"/>
      <c r="I98" s="168" t="s">
        <v>1199</v>
      </c>
    </row>
    <row r="99" spans="1:9" ht="20.100000000000001" customHeight="1" x14ac:dyDescent="0.25">
      <c r="A99" s="45"/>
      <c r="B99" s="77"/>
      <c r="C99" s="77"/>
      <c r="D99" s="77"/>
      <c r="E99" s="77"/>
      <c r="F99" s="77"/>
      <c r="G99" s="77"/>
      <c r="H99" s="77"/>
      <c r="I99" s="77"/>
    </row>
    <row r="100" spans="1:9" ht="20.100000000000001" customHeight="1" x14ac:dyDescent="0.25">
      <c r="A100" s="79" t="str">
        <f>"HOSPITAL NAME: "&amp;data!C84</f>
        <v>HOSPITAL NAME: Highline Medical Center</v>
      </c>
      <c r="B100" s="77"/>
      <c r="C100" s="77"/>
      <c r="D100" s="77"/>
      <c r="E100" s="77"/>
      <c r="F100" s="77"/>
      <c r="G100" s="80"/>
      <c r="H100" s="79" t="str">
        <f>"FYE: "&amp;data!C82</f>
        <v>FYE: 06/30/2019</v>
      </c>
    </row>
    <row r="101" spans="1:9" ht="20.100000000000001" customHeight="1" x14ac:dyDescent="0.25">
      <c r="A101" s="23">
        <v>1</v>
      </c>
      <c r="B101" s="14" t="s">
        <v>209</v>
      </c>
      <c r="C101" s="15" t="s">
        <v>31</v>
      </c>
      <c r="D101" s="15" t="s">
        <v>32</v>
      </c>
      <c r="E101" s="15" t="s">
        <v>33</v>
      </c>
      <c r="F101" s="15" t="s">
        <v>34</v>
      </c>
      <c r="G101" s="15" t="s">
        <v>35</v>
      </c>
      <c r="H101" s="15" t="s">
        <v>36</v>
      </c>
      <c r="I101" s="15" t="s">
        <v>37</v>
      </c>
    </row>
    <row r="102" spans="1:9" ht="20.100000000000001" customHeight="1" x14ac:dyDescent="0.25">
      <c r="A102" s="81">
        <v>2</v>
      </c>
      <c r="B102" s="17" t="s">
        <v>1175</v>
      </c>
      <c r="C102" s="18" t="s">
        <v>1200</v>
      </c>
      <c r="D102" s="18" t="s">
        <v>1201</v>
      </c>
      <c r="E102" s="18" t="s">
        <v>1201</v>
      </c>
      <c r="F102" s="18" t="s">
        <v>114</v>
      </c>
      <c r="G102" s="25"/>
      <c r="H102" s="18" t="s">
        <v>116</v>
      </c>
      <c r="I102" s="25"/>
    </row>
    <row r="103" spans="1:9" ht="20.100000000000001" customHeight="1" x14ac:dyDescent="0.25">
      <c r="A103" s="82"/>
      <c r="B103" s="83"/>
      <c r="C103" s="18" t="s">
        <v>175</v>
      </c>
      <c r="D103" s="18" t="s">
        <v>176</v>
      </c>
      <c r="E103" s="18" t="s">
        <v>177</v>
      </c>
      <c r="F103" s="18" t="s">
        <v>178</v>
      </c>
      <c r="G103" s="18" t="s">
        <v>115</v>
      </c>
      <c r="H103" s="18" t="s">
        <v>172</v>
      </c>
      <c r="I103" s="18" t="s">
        <v>117</v>
      </c>
    </row>
    <row r="104" spans="1:9" ht="20.100000000000001" customHeight="1" x14ac:dyDescent="0.25">
      <c r="A104" s="23">
        <v>3</v>
      </c>
      <c r="B104" s="14" t="s">
        <v>1179</v>
      </c>
      <c r="C104" s="89" t="s">
        <v>224</v>
      </c>
      <c r="D104" s="15" t="s">
        <v>1202</v>
      </c>
      <c r="E104" s="15" t="s">
        <v>1202</v>
      </c>
      <c r="F104" s="15" t="s">
        <v>1202</v>
      </c>
      <c r="G104" s="210"/>
      <c r="H104" s="15" t="s">
        <v>226</v>
      </c>
      <c r="I104" s="15" t="s">
        <v>227</v>
      </c>
    </row>
    <row r="105" spans="1:9" ht="20.100000000000001" customHeight="1" x14ac:dyDescent="0.25">
      <c r="A105" s="23">
        <v>4</v>
      </c>
      <c r="B105" s="14" t="s">
        <v>233</v>
      </c>
      <c r="C105" s="14">
        <f>data!X59</f>
        <v>20162</v>
      </c>
      <c r="D105" s="14">
        <f>data!Y59</f>
        <v>127450</v>
      </c>
      <c r="E105" s="14">
        <f>data!Z59</f>
        <v>0</v>
      </c>
      <c r="F105" s="14">
        <f>data!AA59</f>
        <v>1019</v>
      </c>
      <c r="G105" s="210"/>
      <c r="H105" s="14">
        <f>data!AC59</f>
        <v>45551</v>
      </c>
      <c r="I105" s="14">
        <f>data!AD59</f>
        <v>27907</v>
      </c>
    </row>
    <row r="106" spans="1:9" ht="20.100000000000001" customHeight="1" x14ac:dyDescent="0.25">
      <c r="A106" s="23">
        <v>5</v>
      </c>
      <c r="B106" s="14" t="s">
        <v>234</v>
      </c>
      <c r="C106" s="26">
        <f>data!X60</f>
        <v>7.8395576923076931</v>
      </c>
      <c r="D106" s="26">
        <f>data!Y60</f>
        <v>30.160721153846151</v>
      </c>
      <c r="E106" s="26">
        <f>data!Z60</f>
        <v>0</v>
      </c>
      <c r="F106" s="26">
        <f>data!AA60</f>
        <v>2.5520336538461539</v>
      </c>
      <c r="G106" s="26">
        <f>data!AB60</f>
        <v>29.216110576923079</v>
      </c>
      <c r="H106" s="26">
        <f>data!AC60</f>
        <v>16.14376923076923</v>
      </c>
      <c r="I106" s="26">
        <f>data!AD60</f>
        <v>0</v>
      </c>
    </row>
    <row r="107" spans="1:9" ht="20.100000000000001" customHeight="1" x14ac:dyDescent="0.25">
      <c r="A107" s="23">
        <v>6</v>
      </c>
      <c r="B107" s="14" t="s">
        <v>235</v>
      </c>
      <c r="C107" s="14">
        <f>data!X61</f>
        <v>759564.31</v>
      </c>
      <c r="D107" s="14">
        <f>data!Y61</f>
        <v>2763165.84</v>
      </c>
      <c r="E107" s="14">
        <f>data!Z61</f>
        <v>0</v>
      </c>
      <c r="F107" s="14">
        <f>data!AA61</f>
        <v>255041.04</v>
      </c>
      <c r="G107" s="14">
        <f>data!AB61</f>
        <v>3128680.67</v>
      </c>
      <c r="H107" s="14">
        <f>data!AC61</f>
        <v>1409137.5599999998</v>
      </c>
      <c r="I107" s="14">
        <f>data!AD61</f>
        <v>0</v>
      </c>
    </row>
    <row r="108" spans="1:9" ht="20.100000000000001" customHeight="1" x14ac:dyDescent="0.25">
      <c r="A108" s="23">
        <v>7</v>
      </c>
      <c r="B108" s="14" t="s">
        <v>3</v>
      </c>
      <c r="C108" s="14">
        <f>data!X62</f>
        <v>202965</v>
      </c>
      <c r="D108" s="14">
        <f>data!Y62</f>
        <v>744970</v>
      </c>
      <c r="E108" s="14">
        <f>data!Z62</f>
        <v>0</v>
      </c>
      <c r="F108" s="14">
        <f>data!AA62</f>
        <v>68790</v>
      </c>
      <c r="G108" s="14">
        <f>data!AB62</f>
        <v>799051</v>
      </c>
      <c r="H108" s="14">
        <f>data!AC62</f>
        <v>401878</v>
      </c>
      <c r="I108" s="14">
        <f>data!AD62</f>
        <v>0</v>
      </c>
    </row>
    <row r="109" spans="1:9" ht="20.100000000000001" customHeight="1" x14ac:dyDescent="0.25">
      <c r="A109" s="23">
        <v>8</v>
      </c>
      <c r="B109" s="14" t="s">
        <v>236</v>
      </c>
      <c r="C109" s="14">
        <f>data!X63</f>
        <v>0</v>
      </c>
      <c r="D109" s="14">
        <f>data!Y63</f>
        <v>31500</v>
      </c>
      <c r="E109" s="14">
        <f>data!Z63</f>
        <v>0</v>
      </c>
      <c r="F109" s="14">
        <f>data!AA63</f>
        <v>0</v>
      </c>
      <c r="G109" s="14">
        <f>data!AB63</f>
        <v>0</v>
      </c>
      <c r="H109" s="14">
        <f>data!AC63</f>
        <v>-62860</v>
      </c>
      <c r="I109" s="14">
        <f>data!AD63</f>
        <v>0</v>
      </c>
    </row>
    <row r="110" spans="1:9" ht="20.100000000000001" customHeight="1" x14ac:dyDescent="0.25">
      <c r="A110" s="23">
        <v>9</v>
      </c>
      <c r="B110" s="14" t="s">
        <v>237</v>
      </c>
      <c r="C110" s="14">
        <f>data!X64</f>
        <v>186310.87999999998</v>
      </c>
      <c r="D110" s="14">
        <f>data!Y64</f>
        <v>245899.46000000002</v>
      </c>
      <c r="E110" s="14">
        <f>data!Z64</f>
        <v>0</v>
      </c>
      <c r="F110" s="14">
        <f>data!AA64</f>
        <v>193862.88</v>
      </c>
      <c r="G110" s="14">
        <f>data!AB64</f>
        <v>9055712.3200000003</v>
      </c>
      <c r="H110" s="14">
        <f>data!AC64</f>
        <v>262198.87999999995</v>
      </c>
      <c r="I110" s="14">
        <f>data!AD64</f>
        <v>100190.65</v>
      </c>
    </row>
    <row r="111" spans="1:9" ht="20.100000000000001" customHeight="1" x14ac:dyDescent="0.25">
      <c r="A111" s="23">
        <v>10</v>
      </c>
      <c r="B111" s="14" t="s">
        <v>444</v>
      </c>
      <c r="C111" s="14">
        <f>data!X65</f>
        <v>0</v>
      </c>
      <c r="D111" s="14">
        <f>data!Y65</f>
        <v>1595.81</v>
      </c>
      <c r="E111" s="14">
        <f>data!Z65</f>
        <v>0</v>
      </c>
      <c r="F111" s="14">
        <f>data!AA65</f>
        <v>0</v>
      </c>
      <c r="G111" s="14">
        <f>data!AB65</f>
        <v>367.68</v>
      </c>
      <c r="H111" s="14">
        <f>data!AC65</f>
        <v>500.82</v>
      </c>
      <c r="I111" s="14">
        <f>data!AD65</f>
        <v>0</v>
      </c>
    </row>
    <row r="112" spans="1:9" ht="20.100000000000001" customHeight="1" x14ac:dyDescent="0.25">
      <c r="A112" s="23">
        <v>11</v>
      </c>
      <c r="B112" s="14" t="s">
        <v>445</v>
      </c>
      <c r="C112" s="14">
        <f>data!X66</f>
        <v>220489.36</v>
      </c>
      <c r="D112" s="14">
        <f>data!Y66</f>
        <v>1130631.3600000001</v>
      </c>
      <c r="E112" s="14">
        <f>data!Z66</f>
        <v>0</v>
      </c>
      <c r="F112" s="14">
        <f>data!AA66</f>
        <v>278028.49999999994</v>
      </c>
      <c r="G112" s="14">
        <f>data!AB66</f>
        <v>557248.5</v>
      </c>
      <c r="H112" s="14">
        <f>data!AC66</f>
        <v>2091.86</v>
      </c>
      <c r="I112" s="14">
        <f>data!AD66</f>
        <v>565327.18999999994</v>
      </c>
    </row>
    <row r="113" spans="1:9" ht="20.100000000000001" customHeight="1" x14ac:dyDescent="0.25">
      <c r="A113" s="23">
        <v>12</v>
      </c>
      <c r="B113" s="14" t="s">
        <v>6</v>
      </c>
      <c r="C113" s="14">
        <f>data!X67</f>
        <v>64350</v>
      </c>
      <c r="D113" s="14">
        <f>data!Y67</f>
        <v>847003</v>
      </c>
      <c r="E113" s="14">
        <f>data!Z67</f>
        <v>0</v>
      </c>
      <c r="F113" s="14">
        <f>data!AA67</f>
        <v>40804</v>
      </c>
      <c r="G113" s="14">
        <f>data!AB67</f>
        <v>339373</v>
      </c>
      <c r="H113" s="14">
        <f>data!AC67</f>
        <v>65065</v>
      </c>
      <c r="I113" s="14">
        <f>data!AD67</f>
        <v>0</v>
      </c>
    </row>
    <row r="114" spans="1:9" ht="20.100000000000001" customHeight="1" x14ac:dyDescent="0.25">
      <c r="A114" s="23">
        <v>13</v>
      </c>
      <c r="B114" s="14" t="s">
        <v>474</v>
      </c>
      <c r="C114" s="14">
        <f>data!X68</f>
        <v>0</v>
      </c>
      <c r="D114" s="14">
        <f>data!Y68</f>
        <v>233222.45999999996</v>
      </c>
      <c r="E114" s="14">
        <f>data!Z68</f>
        <v>0</v>
      </c>
      <c r="F114" s="14">
        <f>data!AA68</f>
        <v>284.83</v>
      </c>
      <c r="G114" s="14">
        <f>data!AB68</f>
        <v>17117.62</v>
      </c>
      <c r="H114" s="14">
        <f>data!AC68</f>
        <v>7377.9000000000015</v>
      </c>
      <c r="I114" s="14">
        <f>data!AD68</f>
        <v>0</v>
      </c>
    </row>
    <row r="115" spans="1:9" ht="20.100000000000001" customHeight="1" x14ac:dyDescent="0.25">
      <c r="A115" s="23">
        <v>14</v>
      </c>
      <c r="B115" s="14" t="s">
        <v>241</v>
      </c>
      <c r="C115" s="14">
        <f>data!X69</f>
        <v>0</v>
      </c>
      <c r="D115" s="14">
        <f>data!Y69</f>
        <v>7597.93</v>
      </c>
      <c r="E115" s="14">
        <f>data!Z69</f>
        <v>0</v>
      </c>
      <c r="F115" s="14">
        <f>data!AA69</f>
        <v>0</v>
      </c>
      <c r="G115" s="14">
        <f>data!AB69</f>
        <v>28469.600000000002</v>
      </c>
      <c r="H115" s="14">
        <f>data!AC69</f>
        <v>4132.3999999999996</v>
      </c>
      <c r="I115" s="14">
        <f>data!AD69</f>
        <v>0</v>
      </c>
    </row>
    <row r="116" spans="1:9" ht="20.100000000000001" customHeight="1" x14ac:dyDescent="0.25">
      <c r="A116" s="23">
        <v>15</v>
      </c>
      <c r="B116" s="14" t="s">
        <v>242</v>
      </c>
      <c r="C116" s="14">
        <f>-data!X70</f>
        <v>-17198.119999999995</v>
      </c>
      <c r="D116" s="14">
        <f>-data!Y70</f>
        <v>-187339.83</v>
      </c>
      <c r="E116" s="14">
        <f>-data!Z70</f>
        <v>0</v>
      </c>
      <c r="F116" s="14">
        <f>-data!AA70</f>
        <v>-4092.43</v>
      </c>
      <c r="G116" s="14">
        <f>-data!AB70</f>
        <v>-1763421.26</v>
      </c>
      <c r="H116" s="14">
        <f>-data!AC70</f>
        <v>-30501.519999999997</v>
      </c>
      <c r="I116" s="14">
        <f>-data!AD70</f>
        <v>-97551.65</v>
      </c>
    </row>
    <row r="117" spans="1:9" ht="20.100000000000001" customHeight="1" x14ac:dyDescent="0.25">
      <c r="A117" s="23">
        <v>16</v>
      </c>
      <c r="B117" s="48" t="s">
        <v>1180</v>
      </c>
      <c r="C117" s="14">
        <f>data!X71</f>
        <v>1416481.4299999997</v>
      </c>
      <c r="D117" s="14">
        <f>data!Y71</f>
        <v>5818246.0299999993</v>
      </c>
      <c r="E117" s="14">
        <f>data!Z71</f>
        <v>0</v>
      </c>
      <c r="F117" s="14">
        <f>data!AA71</f>
        <v>832718.81999999983</v>
      </c>
      <c r="G117" s="14">
        <f>data!AB71</f>
        <v>12162599.129999999</v>
      </c>
      <c r="H117" s="14">
        <f>data!AC71</f>
        <v>2059020.8999999997</v>
      </c>
      <c r="I117" s="14">
        <f>data!AD71</f>
        <v>567966.18999999994</v>
      </c>
    </row>
    <row r="118" spans="1:9" ht="20.100000000000001" customHeight="1" x14ac:dyDescent="0.25">
      <c r="A118" s="23">
        <v>17</v>
      </c>
      <c r="B118" s="14" t="s">
        <v>244</v>
      </c>
      <c r="C118" s="209"/>
      <c r="D118" s="209"/>
      <c r="E118" s="209"/>
      <c r="F118" s="209"/>
      <c r="G118" s="209"/>
      <c r="H118" s="209"/>
      <c r="I118" s="209"/>
    </row>
    <row r="119" spans="1:9" ht="20.100000000000001" customHeight="1" x14ac:dyDescent="0.25">
      <c r="A119" s="23">
        <v>18</v>
      </c>
      <c r="B119" s="14" t="s">
        <v>1181</v>
      </c>
      <c r="C119" s="48">
        <f>+data!M689</f>
        <v>1893599</v>
      </c>
      <c r="D119" s="48">
        <f>+data!M690</f>
        <v>3504024</v>
      </c>
      <c r="E119" s="48">
        <f>+data!M691</f>
        <v>0</v>
      </c>
      <c r="F119" s="48">
        <f>+data!M692</f>
        <v>726821</v>
      </c>
      <c r="G119" s="48">
        <f>+data!M693</f>
        <v>4534186</v>
      </c>
      <c r="H119" s="48">
        <f>+data!M694</f>
        <v>945259</v>
      </c>
      <c r="I119" s="48">
        <f>+data!M695</f>
        <v>118626</v>
      </c>
    </row>
    <row r="120" spans="1:9" ht="20.100000000000001" customHeight="1" x14ac:dyDescent="0.25">
      <c r="A120" s="23">
        <v>19</v>
      </c>
      <c r="B120" s="48" t="s">
        <v>1182</v>
      </c>
      <c r="C120" s="14">
        <f>data!X73</f>
        <v>23806574.069999997</v>
      </c>
      <c r="D120" s="14">
        <f>data!Y73</f>
        <v>7615061.0500000007</v>
      </c>
      <c r="E120" s="14">
        <f>data!Z73</f>
        <v>0</v>
      </c>
      <c r="F120" s="14">
        <f>data!AA73</f>
        <v>578565.09</v>
      </c>
      <c r="G120" s="14">
        <f>data!AB73</f>
        <v>66684214.32</v>
      </c>
      <c r="H120" s="14">
        <f>data!AC73</f>
        <v>22927831.98</v>
      </c>
      <c r="I120" s="14">
        <f>data!AD73</f>
        <v>1862928.22</v>
      </c>
    </row>
    <row r="121" spans="1:9" ht="20.100000000000001" customHeight="1" x14ac:dyDescent="0.25">
      <c r="A121" s="23">
        <v>20</v>
      </c>
      <c r="B121" s="48" t="s">
        <v>1183</v>
      </c>
      <c r="C121" s="14">
        <f>data!X74</f>
        <v>74534223.919999987</v>
      </c>
      <c r="D121" s="14">
        <f>data!Y74</f>
        <v>29677580.010000002</v>
      </c>
      <c r="E121" s="14">
        <f>data!Z74</f>
        <v>0</v>
      </c>
      <c r="F121" s="14">
        <f>data!AA74</f>
        <v>5133488.75</v>
      </c>
      <c r="G121" s="14">
        <f>data!AB74</f>
        <v>79715708.370000005</v>
      </c>
      <c r="H121" s="14">
        <f>data!AC74</f>
        <v>6670502.8599999994</v>
      </c>
      <c r="I121" s="14">
        <f>data!AD74</f>
        <v>73554.87</v>
      </c>
    </row>
    <row r="122" spans="1:9" ht="20.100000000000001" customHeight="1" x14ac:dyDescent="0.25">
      <c r="A122" s="23">
        <v>21</v>
      </c>
      <c r="B122" s="48" t="s">
        <v>1184</v>
      </c>
      <c r="C122" s="14">
        <f>data!X75</f>
        <v>98340797.98999998</v>
      </c>
      <c r="D122" s="14">
        <f>data!Y75</f>
        <v>37292641.060000002</v>
      </c>
      <c r="E122" s="14">
        <f>data!Z75</f>
        <v>0</v>
      </c>
      <c r="F122" s="14">
        <f>data!AA75</f>
        <v>5712053.8399999999</v>
      </c>
      <c r="G122" s="14">
        <f>data!AB75</f>
        <v>146399922.69</v>
      </c>
      <c r="H122" s="14">
        <f>data!AC75</f>
        <v>29598334.84</v>
      </c>
      <c r="I122" s="14">
        <f>data!AD75</f>
        <v>1936483.0899999999</v>
      </c>
    </row>
    <row r="123" spans="1:9" ht="20.100000000000001" customHeight="1" x14ac:dyDescent="0.25">
      <c r="A123" s="23" t="s">
        <v>1185</v>
      </c>
      <c r="B123" s="60"/>
      <c r="C123" s="209"/>
      <c r="D123" s="209"/>
      <c r="E123" s="209"/>
      <c r="F123" s="209"/>
      <c r="G123" s="209"/>
      <c r="H123" s="209"/>
      <c r="I123" s="209"/>
    </row>
    <row r="124" spans="1:9" ht="20.100000000000001" customHeight="1" x14ac:dyDescent="0.25">
      <c r="A124" s="23">
        <v>22</v>
      </c>
      <c r="B124" s="14" t="s">
        <v>1186</v>
      </c>
      <c r="C124" s="14">
        <f>data!X76</f>
        <v>792</v>
      </c>
      <c r="D124" s="14">
        <f>data!Y76</f>
        <v>14335</v>
      </c>
      <c r="E124" s="14">
        <f>data!Z76</f>
        <v>0</v>
      </c>
      <c r="F124" s="14">
        <f>data!AA76</f>
        <v>3771</v>
      </c>
      <c r="G124" s="14">
        <f>data!AB76</f>
        <v>1770</v>
      </c>
      <c r="H124" s="14">
        <f>data!AC76</f>
        <v>724</v>
      </c>
      <c r="I124" s="14">
        <f>data!AD76</f>
        <v>0</v>
      </c>
    </row>
    <row r="125" spans="1:9" ht="20.100000000000001" customHeight="1" x14ac:dyDescent="0.25">
      <c r="A125" s="23">
        <v>23</v>
      </c>
      <c r="B125" s="14" t="s">
        <v>1187</v>
      </c>
      <c r="C125" s="14">
        <f>data!X77</f>
        <v>0</v>
      </c>
      <c r="D125" s="14">
        <f>data!Y77</f>
        <v>1</v>
      </c>
      <c r="E125" s="14">
        <f>data!Z77</f>
        <v>0</v>
      </c>
      <c r="F125" s="14">
        <f>data!AA77</f>
        <v>0</v>
      </c>
      <c r="G125" s="14">
        <f>data!AB77</f>
        <v>0</v>
      </c>
      <c r="H125" s="14">
        <f>data!AC77</f>
        <v>0</v>
      </c>
      <c r="I125" s="14">
        <f>data!AD77</f>
        <v>0</v>
      </c>
    </row>
    <row r="126" spans="1:9" ht="20.100000000000001" customHeight="1" x14ac:dyDescent="0.25">
      <c r="A126" s="23">
        <v>24</v>
      </c>
      <c r="B126" s="14" t="s">
        <v>1188</v>
      </c>
      <c r="C126" s="14">
        <f>data!X78</f>
        <v>226.83678838777271</v>
      </c>
      <c r="D126" s="14">
        <f>data!Y78</f>
        <v>4105.6885878014164</v>
      </c>
      <c r="E126" s="14">
        <f>data!Z78</f>
        <v>0</v>
      </c>
      <c r="F126" s="14">
        <f>data!AA78</f>
        <v>1080.0524356190542</v>
      </c>
      <c r="G126" s="14">
        <f>data!AB78</f>
        <v>506.94585283631022</v>
      </c>
      <c r="H126" s="14">
        <f>data!AC78</f>
        <v>207.36090251609525</v>
      </c>
      <c r="I126" s="14">
        <f>data!AD78</f>
        <v>0</v>
      </c>
    </row>
    <row r="127" spans="1:9" ht="20.100000000000001" customHeight="1" x14ac:dyDescent="0.25">
      <c r="A127" s="23">
        <v>25</v>
      </c>
      <c r="B127" s="14" t="s">
        <v>1189</v>
      </c>
      <c r="C127" s="14">
        <f>data!X79</f>
        <v>13551.81</v>
      </c>
      <c r="D127" s="14">
        <f>data!Y79</f>
        <v>34015.53</v>
      </c>
      <c r="E127" s="14">
        <f>data!Z79</f>
        <v>0</v>
      </c>
      <c r="F127" s="14">
        <f>data!AA79</f>
        <v>4739.8900000000003</v>
      </c>
      <c r="G127" s="14">
        <f>data!AB79</f>
        <v>37.090000000000003</v>
      </c>
      <c r="H127" s="14">
        <f>data!AC79</f>
        <v>275.86</v>
      </c>
      <c r="I127" s="14">
        <f>data!AD79</f>
        <v>0</v>
      </c>
    </row>
    <row r="128" spans="1:9" ht="20.100000000000001" customHeight="1" x14ac:dyDescent="0.25">
      <c r="A128" s="23">
        <v>26</v>
      </c>
      <c r="B128" s="14" t="s">
        <v>252</v>
      </c>
      <c r="C128" s="26">
        <f>data!X80</f>
        <v>0</v>
      </c>
      <c r="D128" s="26">
        <f>data!Y80</f>
        <v>8.9903846153846154E-4</v>
      </c>
      <c r="E128" s="26">
        <f>data!Z80</f>
        <v>0</v>
      </c>
      <c r="F128" s="26">
        <f>data!AA80</f>
        <v>0</v>
      </c>
      <c r="G128" s="26">
        <f>data!AB80</f>
        <v>0</v>
      </c>
      <c r="H128" s="26">
        <f>data!AC80</f>
        <v>0</v>
      </c>
      <c r="I128" s="26">
        <f>data!AD80</f>
        <v>0</v>
      </c>
    </row>
    <row r="129" spans="1:9" ht="20.100000000000001" customHeight="1" x14ac:dyDescent="0.25">
      <c r="A129" s="4" t="s">
        <v>1173</v>
      </c>
      <c r="B129" s="5"/>
      <c r="C129" s="5"/>
      <c r="D129" s="6"/>
      <c r="E129" s="5"/>
      <c r="F129" s="5"/>
      <c r="G129" s="5"/>
      <c r="H129" s="5"/>
      <c r="I129" s="4"/>
    </row>
    <row r="130" spans="1:9" ht="20.100000000000001" customHeight="1" x14ac:dyDescent="0.25">
      <c r="A130" s="77"/>
      <c r="B130" s="77"/>
      <c r="C130" s="77"/>
      <c r="D130" s="45"/>
      <c r="E130" s="77"/>
      <c r="F130" s="77"/>
      <c r="G130" s="77"/>
      <c r="H130" s="77"/>
      <c r="I130" s="168" t="s">
        <v>1203</v>
      </c>
    </row>
    <row r="131" spans="1:9" ht="20.100000000000001" customHeight="1" x14ac:dyDescent="0.25">
      <c r="A131" s="45"/>
      <c r="B131" s="77"/>
      <c r="C131" s="77"/>
      <c r="D131" s="77"/>
      <c r="E131" s="77"/>
      <c r="F131" s="77"/>
      <c r="G131" s="77"/>
      <c r="H131" s="77"/>
      <c r="I131" s="77"/>
    </row>
    <row r="132" spans="1:9" ht="20.100000000000001" customHeight="1" x14ac:dyDescent="0.25">
      <c r="A132" s="79" t="str">
        <f>"HOSPITAL NAME: "&amp;data!C84</f>
        <v>HOSPITAL NAME: Highline Medical Center</v>
      </c>
      <c r="B132" s="77"/>
      <c r="C132" s="77"/>
      <c r="D132" s="77"/>
      <c r="E132" s="77"/>
      <c r="F132" s="77"/>
      <c r="G132" s="80"/>
      <c r="H132" s="79" t="str">
        <f>"FYE: "&amp;data!C82</f>
        <v>FYE: 06/30/2019</v>
      </c>
    </row>
    <row r="133" spans="1:9" ht="20.100000000000001" customHeight="1" x14ac:dyDescent="0.25">
      <c r="A133" s="23">
        <v>1</v>
      </c>
      <c r="B133" s="14" t="s">
        <v>209</v>
      </c>
      <c r="C133" s="15" t="s">
        <v>38</v>
      </c>
      <c r="D133" s="15" t="s">
        <v>39</v>
      </c>
      <c r="E133" s="15" t="s">
        <v>40</v>
      </c>
      <c r="F133" s="15" t="s">
        <v>41</v>
      </c>
      <c r="G133" s="15" t="s">
        <v>42</v>
      </c>
      <c r="H133" s="15" t="s">
        <v>43</v>
      </c>
      <c r="I133" s="15" t="s">
        <v>44</v>
      </c>
    </row>
    <row r="134" spans="1:9" ht="20.100000000000001" customHeight="1" x14ac:dyDescent="0.25">
      <c r="A134" s="81">
        <v>2</v>
      </c>
      <c r="B134" s="17" t="s">
        <v>1175</v>
      </c>
      <c r="C134" s="18" t="s">
        <v>96</v>
      </c>
      <c r="D134" s="18" t="s">
        <v>97</v>
      </c>
      <c r="E134" s="18" t="s">
        <v>118</v>
      </c>
      <c r="F134" s="25"/>
      <c r="G134" s="18" t="s">
        <v>1204</v>
      </c>
      <c r="H134" s="25"/>
      <c r="I134" s="18" t="s">
        <v>122</v>
      </c>
    </row>
    <row r="135" spans="1:9" ht="20.100000000000001" customHeight="1" x14ac:dyDescent="0.25">
      <c r="A135" s="82"/>
      <c r="B135" s="83"/>
      <c r="C135" s="18" t="s">
        <v>172</v>
      </c>
      <c r="D135" s="18" t="s">
        <v>179</v>
      </c>
      <c r="E135" s="18" t="s">
        <v>171</v>
      </c>
      <c r="F135" s="18" t="s">
        <v>119</v>
      </c>
      <c r="G135" s="18" t="s">
        <v>180</v>
      </c>
      <c r="H135" s="18" t="s">
        <v>121</v>
      </c>
      <c r="I135" s="18" t="s">
        <v>172</v>
      </c>
    </row>
    <row r="136" spans="1:9" ht="20.100000000000001" customHeight="1" x14ac:dyDescent="0.25">
      <c r="A136" s="23">
        <v>3</v>
      </c>
      <c r="B136" s="14" t="s">
        <v>1179</v>
      </c>
      <c r="C136" s="15" t="s">
        <v>226</v>
      </c>
      <c r="D136" s="15" t="s">
        <v>228</v>
      </c>
      <c r="E136" s="15" t="s">
        <v>228</v>
      </c>
      <c r="F136" s="15" t="s">
        <v>229</v>
      </c>
      <c r="G136" s="89" t="s">
        <v>1205</v>
      </c>
      <c r="H136" s="15" t="s">
        <v>228</v>
      </c>
      <c r="I136" s="15" t="s">
        <v>226</v>
      </c>
    </row>
    <row r="137" spans="1:9" ht="20.100000000000001" customHeight="1" x14ac:dyDescent="0.25">
      <c r="A137" s="23">
        <v>4</v>
      </c>
      <c r="B137" s="14" t="s">
        <v>233</v>
      </c>
      <c r="C137" s="14">
        <f>data!AE59</f>
        <v>10351</v>
      </c>
      <c r="D137" s="14">
        <f>data!AF59</f>
        <v>0</v>
      </c>
      <c r="E137" s="14">
        <f>data!AG59</f>
        <v>48162</v>
      </c>
      <c r="F137" s="14">
        <f>data!AH59</f>
        <v>0</v>
      </c>
      <c r="G137" s="14">
        <f>data!AI59</f>
        <v>0</v>
      </c>
      <c r="H137" s="14">
        <f>data!AJ59</f>
        <v>192070</v>
      </c>
      <c r="I137" s="14">
        <f>data!AK59</f>
        <v>12154</v>
      </c>
    </row>
    <row r="138" spans="1:9" ht="20.100000000000001" customHeight="1" x14ac:dyDescent="0.25">
      <c r="A138" s="23">
        <v>5</v>
      </c>
      <c r="B138" s="14" t="s">
        <v>234</v>
      </c>
      <c r="C138" s="26">
        <f>data!AE60</f>
        <v>0</v>
      </c>
      <c r="D138" s="26">
        <f>data!AF60</f>
        <v>0</v>
      </c>
      <c r="E138" s="26">
        <f>data!AG60</f>
        <v>86.723725961538449</v>
      </c>
      <c r="F138" s="26">
        <f>data!AH60</f>
        <v>0</v>
      </c>
      <c r="G138" s="26">
        <f>data!AI60</f>
        <v>0</v>
      </c>
      <c r="H138" s="26">
        <f>data!AJ60</f>
        <v>304.04029807692302</v>
      </c>
      <c r="I138" s="26">
        <f>data!AK60</f>
        <v>3.7631923076923073</v>
      </c>
    </row>
    <row r="139" spans="1:9" ht="20.100000000000001" customHeight="1" x14ac:dyDescent="0.25">
      <c r="A139" s="23">
        <v>6</v>
      </c>
      <c r="B139" s="14" t="s">
        <v>235</v>
      </c>
      <c r="C139" s="14">
        <f>data!AE61</f>
        <v>0</v>
      </c>
      <c r="D139" s="14">
        <f>data!AF61</f>
        <v>0</v>
      </c>
      <c r="E139" s="14">
        <f>data!AG61</f>
        <v>8344805.2399999993</v>
      </c>
      <c r="F139" s="14">
        <f>data!AH61</f>
        <v>0</v>
      </c>
      <c r="G139" s="14">
        <f>data!AI61</f>
        <v>0</v>
      </c>
      <c r="H139" s="14">
        <f>data!AJ61</f>
        <v>29186891.979999997</v>
      </c>
      <c r="I139" s="14">
        <f>data!AK61</f>
        <v>276647.81000000006</v>
      </c>
    </row>
    <row r="140" spans="1:9" ht="20.100000000000001" customHeight="1" x14ac:dyDescent="0.25">
      <c r="A140" s="23">
        <v>7</v>
      </c>
      <c r="B140" s="14" t="s">
        <v>3</v>
      </c>
      <c r="C140" s="14">
        <f>data!AE62</f>
        <v>0</v>
      </c>
      <c r="D140" s="14">
        <f>data!AF62</f>
        <v>0</v>
      </c>
      <c r="E140" s="14">
        <f>data!AG62</f>
        <v>2122039</v>
      </c>
      <c r="F140" s="14">
        <f>data!AH62</f>
        <v>0</v>
      </c>
      <c r="G140" s="14">
        <f>data!AI62</f>
        <v>0</v>
      </c>
      <c r="H140" s="14">
        <f>data!AJ62</f>
        <v>6151322</v>
      </c>
      <c r="I140" s="14">
        <f>data!AK62</f>
        <v>86425</v>
      </c>
    </row>
    <row r="141" spans="1:9" ht="20.100000000000001" customHeight="1" x14ac:dyDescent="0.25">
      <c r="A141" s="23">
        <v>8</v>
      </c>
      <c r="B141" s="14" t="s">
        <v>236</v>
      </c>
      <c r="C141" s="14">
        <f>data!AE63</f>
        <v>0</v>
      </c>
      <c r="D141" s="14">
        <f>data!AF63</f>
        <v>0</v>
      </c>
      <c r="E141" s="14">
        <f>data!AG63</f>
        <v>1640946.15</v>
      </c>
      <c r="F141" s="14">
        <f>data!AH63</f>
        <v>0</v>
      </c>
      <c r="G141" s="14">
        <f>data!AI63</f>
        <v>0</v>
      </c>
      <c r="H141" s="14">
        <f>data!AJ63</f>
        <v>1503610.6</v>
      </c>
      <c r="I141" s="14">
        <f>data!AK63</f>
        <v>0</v>
      </c>
    </row>
    <row r="142" spans="1:9" ht="20.100000000000001" customHeight="1" x14ac:dyDescent="0.25">
      <c r="A142" s="23">
        <v>9</v>
      </c>
      <c r="B142" s="14" t="s">
        <v>237</v>
      </c>
      <c r="C142" s="14">
        <f>data!AE64</f>
        <v>600.81000000000006</v>
      </c>
      <c r="D142" s="14">
        <f>data!AF64</f>
        <v>0</v>
      </c>
      <c r="E142" s="14">
        <f>data!AG64</f>
        <v>1280219.32</v>
      </c>
      <c r="F142" s="14">
        <f>data!AH64</f>
        <v>0</v>
      </c>
      <c r="G142" s="14">
        <f>data!AI64</f>
        <v>0</v>
      </c>
      <c r="H142" s="14">
        <f>data!AJ64</f>
        <v>2571514.36</v>
      </c>
      <c r="I142" s="14">
        <f>data!AK64</f>
        <v>109.26999999999998</v>
      </c>
    </row>
    <row r="143" spans="1:9" ht="20.100000000000001" customHeight="1" x14ac:dyDescent="0.25">
      <c r="A143" s="23">
        <v>10</v>
      </c>
      <c r="B143" s="14" t="s">
        <v>444</v>
      </c>
      <c r="C143" s="14">
        <f>data!AE65</f>
        <v>0</v>
      </c>
      <c r="D143" s="14">
        <f>data!AF65</f>
        <v>0</v>
      </c>
      <c r="E143" s="14">
        <f>data!AG65</f>
        <v>414.18000000000006</v>
      </c>
      <c r="F143" s="14">
        <f>data!AH65</f>
        <v>0</v>
      </c>
      <c r="G143" s="14">
        <f>data!AI65</f>
        <v>0</v>
      </c>
      <c r="H143" s="14">
        <f>data!AJ65</f>
        <v>314436.04000000004</v>
      </c>
      <c r="I143" s="14">
        <f>data!AK65</f>
        <v>0</v>
      </c>
    </row>
    <row r="144" spans="1:9" ht="20.100000000000001" customHeight="1" x14ac:dyDescent="0.25">
      <c r="A144" s="23">
        <v>11</v>
      </c>
      <c r="B144" s="14" t="s">
        <v>445</v>
      </c>
      <c r="C144" s="14">
        <f>data!AE66</f>
        <v>600945.44999999995</v>
      </c>
      <c r="D144" s="14">
        <f>data!AF66</f>
        <v>0</v>
      </c>
      <c r="E144" s="14">
        <f>data!AG66</f>
        <v>501880.86000000004</v>
      </c>
      <c r="F144" s="14">
        <f>data!AH66</f>
        <v>0</v>
      </c>
      <c r="G144" s="14">
        <f>data!AI66</f>
        <v>0</v>
      </c>
      <c r="H144" s="14">
        <f>data!AJ66</f>
        <v>4759379.959999999</v>
      </c>
      <c r="I144" s="14">
        <f>data!AK66</f>
        <v>92610.150000000009</v>
      </c>
    </row>
    <row r="145" spans="1:9" ht="20.100000000000001" customHeight="1" x14ac:dyDescent="0.25">
      <c r="A145" s="23">
        <v>12</v>
      </c>
      <c r="B145" s="14" t="s">
        <v>6</v>
      </c>
      <c r="C145" s="14">
        <f>data!AE67</f>
        <v>325</v>
      </c>
      <c r="D145" s="14">
        <f>data!AF67</f>
        <v>0</v>
      </c>
      <c r="E145" s="14">
        <f>data!AG67</f>
        <v>418163</v>
      </c>
      <c r="F145" s="14">
        <f>data!AH67</f>
        <v>0</v>
      </c>
      <c r="G145" s="14">
        <f>data!AI67</f>
        <v>0</v>
      </c>
      <c r="H145" s="14">
        <f>data!AJ67</f>
        <v>2359566</v>
      </c>
      <c r="I145" s="14">
        <f>data!AK67</f>
        <v>45</v>
      </c>
    </row>
    <row r="146" spans="1:9" ht="20.100000000000001" customHeight="1" x14ac:dyDescent="0.25">
      <c r="A146" s="23">
        <v>13</v>
      </c>
      <c r="B146" s="14" t="s">
        <v>474</v>
      </c>
      <c r="C146" s="14">
        <f>data!AE68</f>
        <v>1350.23</v>
      </c>
      <c r="D146" s="14">
        <f>data!AF68</f>
        <v>0</v>
      </c>
      <c r="E146" s="14">
        <f>data!AG68</f>
        <v>17019.62</v>
      </c>
      <c r="F146" s="14">
        <f>data!AH68</f>
        <v>0</v>
      </c>
      <c r="G146" s="14">
        <f>data!AI68</f>
        <v>0</v>
      </c>
      <c r="H146" s="14">
        <f>data!AJ68</f>
        <v>3906009.22</v>
      </c>
      <c r="I146" s="14">
        <f>data!AK68</f>
        <v>0</v>
      </c>
    </row>
    <row r="147" spans="1:9" ht="20.100000000000001" customHeight="1" x14ac:dyDescent="0.25">
      <c r="A147" s="23">
        <v>14</v>
      </c>
      <c r="B147" s="14" t="s">
        <v>241</v>
      </c>
      <c r="C147" s="14">
        <f>data!AE69</f>
        <v>0</v>
      </c>
      <c r="D147" s="14">
        <f>data!AF69</f>
        <v>0</v>
      </c>
      <c r="E147" s="14">
        <f>data!AG69</f>
        <v>3545.74</v>
      </c>
      <c r="F147" s="14">
        <f>data!AH69</f>
        <v>0</v>
      </c>
      <c r="G147" s="14">
        <f>data!AI69</f>
        <v>0</v>
      </c>
      <c r="H147" s="14">
        <f>data!AJ69</f>
        <v>1576000.59</v>
      </c>
      <c r="I147" s="14">
        <f>data!AK69</f>
        <v>467.27</v>
      </c>
    </row>
    <row r="148" spans="1:9" ht="20.100000000000001" customHeight="1" x14ac:dyDescent="0.25">
      <c r="A148" s="23">
        <v>15</v>
      </c>
      <c r="B148" s="14" t="s">
        <v>242</v>
      </c>
      <c r="C148" s="14">
        <f>-data!AE70</f>
        <v>-65.91</v>
      </c>
      <c r="D148" s="14">
        <f>-data!AF70</f>
        <v>0</v>
      </c>
      <c r="E148" s="14">
        <f>-data!AG70</f>
        <v>-337.5</v>
      </c>
      <c r="F148" s="14">
        <f>-data!AH70</f>
        <v>0</v>
      </c>
      <c r="G148" s="14">
        <f>-data!AI70</f>
        <v>0</v>
      </c>
      <c r="H148" s="14">
        <f>-data!AJ70</f>
        <v>-2539664.27</v>
      </c>
      <c r="I148" s="14">
        <f>-data!AK70</f>
        <v>-183435.83</v>
      </c>
    </row>
    <row r="149" spans="1:9" ht="20.100000000000001" customHeight="1" x14ac:dyDescent="0.25">
      <c r="A149" s="23">
        <v>16</v>
      </c>
      <c r="B149" s="48" t="s">
        <v>1180</v>
      </c>
      <c r="C149" s="14">
        <f>data!AE71</f>
        <v>603155.57999999996</v>
      </c>
      <c r="D149" s="14">
        <f>data!AF71</f>
        <v>0</v>
      </c>
      <c r="E149" s="14">
        <f>data!AG71</f>
        <v>14328695.609999998</v>
      </c>
      <c r="F149" s="14">
        <f>data!AH71</f>
        <v>0</v>
      </c>
      <c r="G149" s="14">
        <f>data!AI71</f>
        <v>0</v>
      </c>
      <c r="H149" s="14">
        <f>data!AJ71</f>
        <v>49789066.479999997</v>
      </c>
      <c r="I149" s="14">
        <f>data!AK71</f>
        <v>272868.67000000016</v>
      </c>
    </row>
    <row r="150" spans="1:9" ht="20.100000000000001" customHeight="1" x14ac:dyDescent="0.25">
      <c r="A150" s="23">
        <v>17</v>
      </c>
      <c r="B150" s="14" t="s">
        <v>244</v>
      </c>
      <c r="C150" s="209"/>
      <c r="D150" s="209"/>
      <c r="E150" s="209"/>
      <c r="F150" s="209"/>
      <c r="G150" s="209"/>
      <c r="H150" s="209"/>
      <c r="I150" s="209"/>
    </row>
    <row r="151" spans="1:9" ht="20.100000000000001" customHeight="1" x14ac:dyDescent="0.25">
      <c r="A151" s="23">
        <v>18</v>
      </c>
      <c r="B151" s="14" t="s">
        <v>1181</v>
      </c>
      <c r="C151" s="48">
        <f>+data!M696</f>
        <v>127466</v>
      </c>
      <c r="D151" s="48">
        <f>+data!M697</f>
        <v>0</v>
      </c>
      <c r="E151" s="48">
        <f>+data!M698</f>
        <v>9703650</v>
      </c>
      <c r="F151" s="48">
        <f>+data!M699</f>
        <v>0</v>
      </c>
      <c r="G151" s="48">
        <f>+data!M700</f>
        <v>0</v>
      </c>
      <c r="H151" s="48">
        <f>+data!M701</f>
        <v>13018154</v>
      </c>
      <c r="I151" s="48">
        <f>+data!M702</f>
        <v>97679</v>
      </c>
    </row>
    <row r="152" spans="1:9" ht="20.100000000000001" customHeight="1" x14ac:dyDescent="0.25">
      <c r="A152" s="23">
        <v>19</v>
      </c>
      <c r="B152" s="48" t="s">
        <v>1182</v>
      </c>
      <c r="C152" s="14">
        <f>data!AE73</f>
        <v>1793001.37</v>
      </c>
      <c r="D152" s="14">
        <f>data!AF73</f>
        <v>0</v>
      </c>
      <c r="E152" s="14">
        <f>data!AG73</f>
        <v>34312386.609999999</v>
      </c>
      <c r="F152" s="14">
        <f>data!AH73</f>
        <v>0</v>
      </c>
      <c r="G152" s="14">
        <f>data!AI73</f>
        <v>0</v>
      </c>
      <c r="H152" s="14">
        <f>data!AJ73</f>
        <v>118909.36000000002</v>
      </c>
      <c r="I152" s="14">
        <f>data!AK73</f>
        <v>1631973.95</v>
      </c>
    </row>
    <row r="153" spans="1:9" ht="20.100000000000001" customHeight="1" x14ac:dyDescent="0.25">
      <c r="A153" s="23">
        <v>20</v>
      </c>
      <c r="B153" s="48" t="s">
        <v>1183</v>
      </c>
      <c r="C153" s="14">
        <f>data!AE74</f>
        <v>358840.7</v>
      </c>
      <c r="D153" s="14">
        <f>data!AF74</f>
        <v>0</v>
      </c>
      <c r="E153" s="14">
        <f>data!AG74</f>
        <v>134144044.86</v>
      </c>
      <c r="F153" s="14">
        <f>data!AH74</f>
        <v>0</v>
      </c>
      <c r="G153" s="14">
        <f>data!AI74</f>
        <v>0</v>
      </c>
      <c r="H153" s="14">
        <f>data!AJ74</f>
        <v>85318493.579999998</v>
      </c>
      <c r="I153" s="14">
        <f>data!AK74</f>
        <v>261193.72</v>
      </c>
    </row>
    <row r="154" spans="1:9" ht="20.100000000000001" customHeight="1" x14ac:dyDescent="0.25">
      <c r="A154" s="23">
        <v>21</v>
      </c>
      <c r="B154" s="48" t="s">
        <v>1184</v>
      </c>
      <c r="C154" s="14">
        <f>data!AE75</f>
        <v>2151842.0700000003</v>
      </c>
      <c r="D154" s="14">
        <f>data!AF75</f>
        <v>0</v>
      </c>
      <c r="E154" s="14">
        <f>data!AG75</f>
        <v>168456431.47</v>
      </c>
      <c r="F154" s="14">
        <f>data!AH75</f>
        <v>0</v>
      </c>
      <c r="G154" s="14">
        <f>data!AI75</f>
        <v>0</v>
      </c>
      <c r="H154" s="14">
        <f>data!AJ75</f>
        <v>85437402.939999998</v>
      </c>
      <c r="I154" s="14">
        <f>data!AK75</f>
        <v>1893167.67</v>
      </c>
    </row>
    <row r="155" spans="1:9" ht="20.100000000000001" customHeight="1" x14ac:dyDescent="0.25">
      <c r="A155" s="23" t="s">
        <v>1185</v>
      </c>
      <c r="B155" s="60"/>
      <c r="C155" s="209"/>
      <c r="D155" s="209"/>
      <c r="E155" s="209"/>
      <c r="F155" s="209"/>
      <c r="G155" s="209"/>
      <c r="H155" s="209"/>
      <c r="I155" s="209"/>
    </row>
    <row r="156" spans="1:9" ht="20.100000000000001" customHeight="1" x14ac:dyDescent="0.25">
      <c r="A156" s="23">
        <v>22</v>
      </c>
      <c r="B156" s="14" t="s">
        <v>1186</v>
      </c>
      <c r="C156" s="14">
        <f>data!AE76</f>
        <v>0</v>
      </c>
      <c r="D156" s="14">
        <f>data!AF76</f>
        <v>0</v>
      </c>
      <c r="E156" s="14">
        <f>data!AG76</f>
        <v>27038</v>
      </c>
      <c r="F156" s="14">
        <f>data!AH76</f>
        <v>0</v>
      </c>
      <c r="G156" s="14">
        <f>data!AI76</f>
        <v>0</v>
      </c>
      <c r="H156" s="14">
        <f>data!AJ76</f>
        <v>15672</v>
      </c>
      <c r="I156" s="14">
        <f>data!AK76</f>
        <v>76</v>
      </c>
    </row>
    <row r="157" spans="1:9" ht="20.100000000000001" customHeight="1" x14ac:dyDescent="0.25">
      <c r="A157" s="23">
        <v>23</v>
      </c>
      <c r="B157" s="14" t="s">
        <v>1187</v>
      </c>
      <c r="C157" s="14">
        <f>data!AE77</f>
        <v>0</v>
      </c>
      <c r="D157" s="14">
        <f>data!AF77</f>
        <v>0</v>
      </c>
      <c r="E157" s="14">
        <f>data!AG77</f>
        <v>9066</v>
      </c>
      <c r="F157" s="14">
        <f>data!AH77</f>
        <v>0</v>
      </c>
      <c r="G157" s="14">
        <f>data!AI77</f>
        <v>0</v>
      </c>
      <c r="H157" s="14">
        <f>data!AJ77</f>
        <v>5037</v>
      </c>
      <c r="I157" s="14">
        <f>data!AK77</f>
        <v>0</v>
      </c>
    </row>
    <row r="158" spans="1:9" ht="20.100000000000001" customHeight="1" x14ac:dyDescent="0.25">
      <c r="A158" s="23">
        <v>24</v>
      </c>
      <c r="B158" s="14" t="s">
        <v>1188</v>
      </c>
      <c r="C158" s="14">
        <f>data!AE78</f>
        <v>0</v>
      </c>
      <c r="D158" s="14">
        <f>data!AF78</f>
        <v>0</v>
      </c>
      <c r="E158" s="14">
        <f>data!AG78</f>
        <v>7743.9559146825741</v>
      </c>
      <c r="F158" s="14">
        <f>data!AH78</f>
        <v>0</v>
      </c>
      <c r="G158" s="14">
        <f>data!AI78</f>
        <v>0</v>
      </c>
      <c r="H158" s="14">
        <f>data!AJ78</f>
        <v>4488.6188732489572</v>
      </c>
      <c r="I158" s="14">
        <f>data!AK78</f>
        <v>21.767166562463036</v>
      </c>
    </row>
    <row r="159" spans="1:9" ht="20.100000000000001" customHeight="1" x14ac:dyDescent="0.25">
      <c r="A159" s="23">
        <v>25</v>
      </c>
      <c r="B159" s="14" t="s">
        <v>1189</v>
      </c>
      <c r="C159" s="14">
        <f>data!AE79</f>
        <v>0</v>
      </c>
      <c r="D159" s="14">
        <f>data!AF79</f>
        <v>0</v>
      </c>
      <c r="E159" s="14">
        <f>data!AG79</f>
        <v>254523.77000000002</v>
      </c>
      <c r="F159" s="14">
        <f>data!AH79</f>
        <v>0</v>
      </c>
      <c r="G159" s="14">
        <f>data!AI79</f>
        <v>0</v>
      </c>
      <c r="H159" s="14">
        <f>data!AJ79</f>
        <v>8059.34</v>
      </c>
      <c r="I159" s="14">
        <f>data!AK79</f>
        <v>0</v>
      </c>
    </row>
    <row r="160" spans="1:9" ht="20.100000000000001" customHeight="1" x14ac:dyDescent="0.25">
      <c r="A160" s="23">
        <v>26</v>
      </c>
      <c r="B160" s="14" t="s">
        <v>252</v>
      </c>
      <c r="C160" s="26">
        <f>data!AE80</f>
        <v>0</v>
      </c>
      <c r="D160" s="26">
        <f>data!AF80</f>
        <v>0</v>
      </c>
      <c r="E160" s="26">
        <f>data!AG80</f>
        <v>42.555394230769231</v>
      </c>
      <c r="F160" s="26">
        <f>data!AH80</f>
        <v>0</v>
      </c>
      <c r="G160" s="26">
        <f>data!AI80</f>
        <v>0</v>
      </c>
      <c r="H160" s="26">
        <f>data!AJ80</f>
        <v>29.623807692307693</v>
      </c>
      <c r="I160" s="26">
        <f>data!AK80</f>
        <v>0</v>
      </c>
    </row>
    <row r="161" spans="1:9" ht="20.100000000000001" customHeight="1" x14ac:dyDescent="0.25">
      <c r="A161" s="4" t="s">
        <v>1173</v>
      </c>
      <c r="B161" s="5"/>
      <c r="C161" s="5"/>
      <c r="D161" s="6"/>
      <c r="E161" s="5"/>
      <c r="F161" s="5"/>
      <c r="G161" s="5"/>
      <c r="H161" s="5"/>
      <c r="I161" s="4"/>
    </row>
    <row r="162" spans="1:9" ht="20.100000000000001" customHeight="1" x14ac:dyDescent="0.25">
      <c r="A162" s="77"/>
      <c r="B162" s="77"/>
      <c r="C162" s="77"/>
      <c r="D162" s="45"/>
      <c r="E162" s="77"/>
      <c r="F162" s="77"/>
      <c r="G162" s="77"/>
      <c r="H162" s="77"/>
      <c r="I162" s="168" t="s">
        <v>1206</v>
      </c>
    </row>
    <row r="163" spans="1:9" ht="20.100000000000001" customHeight="1" x14ac:dyDescent="0.25">
      <c r="A163" s="45"/>
      <c r="B163" s="77"/>
      <c r="C163" s="77"/>
      <c r="D163" s="77"/>
      <c r="E163" s="77"/>
      <c r="F163" s="77"/>
      <c r="G163" s="77"/>
      <c r="H163" s="77"/>
      <c r="I163" s="77"/>
    </row>
    <row r="164" spans="1:9" ht="20.100000000000001" customHeight="1" x14ac:dyDescent="0.25">
      <c r="A164" s="79" t="str">
        <f>"HOSPITAL NAME: "&amp;data!C84</f>
        <v>HOSPITAL NAME: Highline Medical Center</v>
      </c>
      <c r="B164" s="77"/>
      <c r="C164" s="77"/>
      <c r="D164" s="77"/>
      <c r="E164" s="77"/>
      <c r="F164" s="77"/>
      <c r="G164" s="80"/>
      <c r="H164" s="79" t="str">
        <f>"FYE: "&amp;data!C82</f>
        <v>FYE: 06/30/2019</v>
      </c>
    </row>
    <row r="165" spans="1:9" ht="20.100000000000001" customHeight="1" x14ac:dyDescent="0.25">
      <c r="A165" s="23">
        <v>1</v>
      </c>
      <c r="B165" s="14" t="s">
        <v>209</v>
      </c>
      <c r="C165" s="15" t="s">
        <v>45</v>
      </c>
      <c r="D165" s="15" t="s">
        <v>46</v>
      </c>
      <c r="E165" s="15" t="s">
        <v>47</v>
      </c>
      <c r="F165" s="15" t="s">
        <v>48</v>
      </c>
      <c r="G165" s="15" t="s">
        <v>49</v>
      </c>
      <c r="H165" s="15" t="s">
        <v>50</v>
      </c>
      <c r="I165" s="15" t="s">
        <v>51</v>
      </c>
    </row>
    <row r="166" spans="1:9" ht="20.100000000000001" customHeight="1" x14ac:dyDescent="0.25">
      <c r="A166" s="81">
        <v>2</v>
      </c>
      <c r="B166" s="17" t="s">
        <v>1175</v>
      </c>
      <c r="C166" s="18" t="s">
        <v>123</v>
      </c>
      <c r="D166" s="18" t="s">
        <v>124</v>
      </c>
      <c r="E166" s="18" t="s">
        <v>110</v>
      </c>
      <c r="F166" s="18" t="s">
        <v>125</v>
      </c>
      <c r="G166" s="18" t="s">
        <v>1207</v>
      </c>
      <c r="H166" s="18" t="s">
        <v>127</v>
      </c>
      <c r="I166" s="18" t="s">
        <v>128</v>
      </c>
    </row>
    <row r="167" spans="1:9" ht="20.100000000000001" customHeight="1" x14ac:dyDescent="0.25">
      <c r="A167" s="82"/>
      <c r="B167" s="83"/>
      <c r="C167" s="18" t="s">
        <v>172</v>
      </c>
      <c r="D167" s="18" t="s">
        <v>172</v>
      </c>
      <c r="E167" s="18" t="s">
        <v>1208</v>
      </c>
      <c r="F167" s="18" t="s">
        <v>182</v>
      </c>
      <c r="G167" s="18" t="s">
        <v>121</v>
      </c>
      <c r="H167" s="88" t="s">
        <v>1209</v>
      </c>
      <c r="I167" s="18" t="s">
        <v>169</v>
      </c>
    </row>
    <row r="168" spans="1:9" ht="20.100000000000001" customHeight="1" x14ac:dyDescent="0.25">
      <c r="A168" s="23">
        <v>3</v>
      </c>
      <c r="B168" s="14" t="s">
        <v>1179</v>
      </c>
      <c r="C168" s="15" t="s">
        <v>226</v>
      </c>
      <c r="D168" s="15" t="s">
        <v>226</v>
      </c>
      <c r="E168" s="15" t="s">
        <v>217</v>
      </c>
      <c r="F168" s="15" t="s">
        <v>227</v>
      </c>
      <c r="G168" s="15" t="s">
        <v>228</v>
      </c>
      <c r="H168" s="15" t="s">
        <v>229</v>
      </c>
      <c r="I168" s="15" t="s">
        <v>228</v>
      </c>
    </row>
    <row r="169" spans="1:9" ht="20.100000000000001" customHeight="1" x14ac:dyDescent="0.25">
      <c r="A169" s="23">
        <v>4</v>
      </c>
      <c r="B169" s="14" t="s">
        <v>233</v>
      </c>
      <c r="C169" s="14">
        <f>data!AL59</f>
        <v>5046</v>
      </c>
      <c r="D169" s="14">
        <f>data!AM59</f>
        <v>0</v>
      </c>
      <c r="E169" s="14">
        <f>data!AN59</f>
        <v>0</v>
      </c>
      <c r="F169" s="14">
        <f>data!AO59</f>
        <v>0</v>
      </c>
      <c r="G169" s="14">
        <f>data!AP59</f>
        <v>0</v>
      </c>
      <c r="H169" s="14">
        <f>data!AQ59</f>
        <v>0</v>
      </c>
      <c r="I169" s="14">
        <f>data!AR59</f>
        <v>0</v>
      </c>
    </row>
    <row r="170" spans="1:9" ht="20.100000000000001" customHeight="1" x14ac:dyDescent="0.25">
      <c r="A170" s="23">
        <v>5</v>
      </c>
      <c r="B170" s="14" t="s">
        <v>234</v>
      </c>
      <c r="C170" s="26">
        <f>data!AL60</f>
        <v>2.2989182692307693</v>
      </c>
      <c r="D170" s="26">
        <f>data!AM60</f>
        <v>0</v>
      </c>
      <c r="E170" s="26">
        <f>data!AN60</f>
        <v>0</v>
      </c>
      <c r="F170" s="26">
        <f>data!AO60</f>
        <v>0</v>
      </c>
      <c r="G170" s="26">
        <f>data!AP60</f>
        <v>0</v>
      </c>
      <c r="H170" s="26">
        <f>data!AQ60</f>
        <v>0</v>
      </c>
      <c r="I170" s="26">
        <f>data!AR60</f>
        <v>0</v>
      </c>
    </row>
    <row r="171" spans="1:9" ht="20.100000000000001" customHeight="1" x14ac:dyDescent="0.25">
      <c r="A171" s="23">
        <v>6</v>
      </c>
      <c r="B171" s="14" t="s">
        <v>235</v>
      </c>
      <c r="C171" s="14">
        <f>data!AL61</f>
        <v>224471.38999999996</v>
      </c>
      <c r="D171" s="14">
        <f>data!AM61</f>
        <v>0</v>
      </c>
      <c r="E171" s="14">
        <f>data!AN61</f>
        <v>0</v>
      </c>
      <c r="F171" s="14">
        <f>data!AO61</f>
        <v>0</v>
      </c>
      <c r="G171" s="14">
        <f>data!AP61</f>
        <v>932.82</v>
      </c>
      <c r="H171" s="14">
        <f>data!AQ61</f>
        <v>0</v>
      </c>
      <c r="I171" s="14">
        <f>data!AR61</f>
        <v>0</v>
      </c>
    </row>
    <row r="172" spans="1:9" ht="20.100000000000001" customHeight="1" x14ac:dyDescent="0.25">
      <c r="A172" s="23">
        <v>7</v>
      </c>
      <c r="B172" s="14" t="s">
        <v>3</v>
      </c>
      <c r="C172" s="14">
        <f>data!AL62</f>
        <v>60803</v>
      </c>
      <c r="D172" s="14">
        <f>data!AM62</f>
        <v>0</v>
      </c>
      <c r="E172" s="14">
        <f>data!AN62</f>
        <v>0</v>
      </c>
      <c r="F172" s="14">
        <f>data!AO62</f>
        <v>0</v>
      </c>
      <c r="G172" s="14">
        <f>data!AP62</f>
        <v>75</v>
      </c>
      <c r="H172" s="14">
        <f>data!AQ62</f>
        <v>0</v>
      </c>
      <c r="I172" s="14">
        <f>data!AR62</f>
        <v>0</v>
      </c>
    </row>
    <row r="173" spans="1:9" ht="20.100000000000001" customHeight="1" x14ac:dyDescent="0.25">
      <c r="A173" s="23">
        <v>8</v>
      </c>
      <c r="B173" s="14" t="s">
        <v>236</v>
      </c>
      <c r="C173" s="14">
        <f>data!AL63</f>
        <v>0</v>
      </c>
      <c r="D173" s="14">
        <f>data!AM63</f>
        <v>0</v>
      </c>
      <c r="E173" s="14">
        <f>data!AN63</f>
        <v>0</v>
      </c>
      <c r="F173" s="14">
        <f>data!AO63</f>
        <v>0</v>
      </c>
      <c r="G173" s="14">
        <f>data!AP63</f>
        <v>0</v>
      </c>
      <c r="H173" s="14">
        <f>data!AQ63</f>
        <v>0</v>
      </c>
      <c r="I173" s="14">
        <f>data!AR63</f>
        <v>0</v>
      </c>
    </row>
    <row r="174" spans="1:9" ht="20.100000000000001" customHeight="1" x14ac:dyDescent="0.25">
      <c r="A174" s="23">
        <v>9</v>
      </c>
      <c r="B174" s="14" t="s">
        <v>237</v>
      </c>
      <c r="C174" s="14">
        <f>data!AL64</f>
        <v>165.26999999999998</v>
      </c>
      <c r="D174" s="14">
        <f>data!AM64</f>
        <v>0</v>
      </c>
      <c r="E174" s="14">
        <f>data!AN64</f>
        <v>0</v>
      </c>
      <c r="F174" s="14">
        <f>data!AO64</f>
        <v>0</v>
      </c>
      <c r="G174" s="14">
        <f>data!AP64</f>
        <v>0</v>
      </c>
      <c r="H174" s="14">
        <f>data!AQ64</f>
        <v>0</v>
      </c>
      <c r="I174" s="14">
        <f>data!AR64</f>
        <v>0</v>
      </c>
    </row>
    <row r="175" spans="1:9" ht="20.100000000000001" customHeight="1" x14ac:dyDescent="0.25">
      <c r="A175" s="23">
        <v>10</v>
      </c>
      <c r="B175" s="14" t="s">
        <v>444</v>
      </c>
      <c r="C175" s="14">
        <f>data!AL65</f>
        <v>0</v>
      </c>
      <c r="D175" s="14">
        <f>data!AM65</f>
        <v>0</v>
      </c>
      <c r="E175" s="14">
        <f>data!AN65</f>
        <v>0</v>
      </c>
      <c r="F175" s="14">
        <f>data!AO65</f>
        <v>0</v>
      </c>
      <c r="G175" s="14">
        <f>data!AP65</f>
        <v>0</v>
      </c>
      <c r="H175" s="14">
        <f>data!AQ65</f>
        <v>0</v>
      </c>
      <c r="I175" s="14">
        <f>data!AR65</f>
        <v>0</v>
      </c>
    </row>
    <row r="176" spans="1:9" ht="20.100000000000001" customHeight="1" x14ac:dyDescent="0.25">
      <c r="A176" s="23">
        <v>11</v>
      </c>
      <c r="B176" s="14" t="s">
        <v>445</v>
      </c>
      <c r="C176" s="14">
        <f>data!AL66</f>
        <v>28827.75</v>
      </c>
      <c r="D176" s="14">
        <f>data!AM66</f>
        <v>0</v>
      </c>
      <c r="E176" s="14">
        <f>data!AN66</f>
        <v>0</v>
      </c>
      <c r="F176" s="14">
        <f>data!AO66</f>
        <v>0</v>
      </c>
      <c r="G176" s="14">
        <f>data!AP66</f>
        <v>0</v>
      </c>
      <c r="H176" s="14">
        <f>data!AQ66</f>
        <v>0</v>
      </c>
      <c r="I176" s="14">
        <f>data!AR66</f>
        <v>0</v>
      </c>
    </row>
    <row r="177" spans="1:9" ht="20.100000000000001" customHeight="1" x14ac:dyDescent="0.25">
      <c r="A177" s="23">
        <v>12</v>
      </c>
      <c r="B177" s="14" t="s">
        <v>6</v>
      </c>
      <c r="C177" s="14">
        <f>data!AL67</f>
        <v>3</v>
      </c>
      <c r="D177" s="14">
        <f>data!AM67</f>
        <v>0</v>
      </c>
      <c r="E177" s="14">
        <f>data!AN67</f>
        <v>0</v>
      </c>
      <c r="F177" s="14">
        <f>data!AO67</f>
        <v>0</v>
      </c>
      <c r="G177" s="14">
        <f>data!AP67</f>
        <v>0</v>
      </c>
      <c r="H177" s="14">
        <f>data!AQ67</f>
        <v>0</v>
      </c>
      <c r="I177" s="14">
        <f>data!AR67</f>
        <v>0</v>
      </c>
    </row>
    <row r="178" spans="1:9" ht="20.100000000000001" customHeight="1" x14ac:dyDescent="0.25">
      <c r="A178" s="23">
        <v>13</v>
      </c>
      <c r="B178" s="14" t="s">
        <v>474</v>
      </c>
      <c r="C178" s="14">
        <f>data!AL68</f>
        <v>0</v>
      </c>
      <c r="D178" s="14">
        <f>data!AM68</f>
        <v>0</v>
      </c>
      <c r="E178" s="14">
        <f>data!AN68</f>
        <v>0</v>
      </c>
      <c r="F178" s="14">
        <f>data!AO68</f>
        <v>0</v>
      </c>
      <c r="G178" s="14">
        <f>data!AP68</f>
        <v>0</v>
      </c>
      <c r="H178" s="14">
        <f>data!AQ68</f>
        <v>0</v>
      </c>
      <c r="I178" s="14">
        <f>data!AR68</f>
        <v>0</v>
      </c>
    </row>
    <row r="179" spans="1:9" ht="20.100000000000001" customHeight="1" x14ac:dyDescent="0.25">
      <c r="A179" s="23">
        <v>14</v>
      </c>
      <c r="B179" s="14" t="s">
        <v>241</v>
      </c>
      <c r="C179" s="14">
        <f>data!AL69</f>
        <v>0</v>
      </c>
      <c r="D179" s="14">
        <f>data!AM69</f>
        <v>0</v>
      </c>
      <c r="E179" s="14">
        <f>data!AN69</f>
        <v>0</v>
      </c>
      <c r="F179" s="14">
        <f>data!AO69</f>
        <v>0</v>
      </c>
      <c r="G179" s="14">
        <f>data!AP69</f>
        <v>0</v>
      </c>
      <c r="H179" s="14">
        <f>data!AQ69</f>
        <v>0</v>
      </c>
      <c r="I179" s="14">
        <f>data!AR69</f>
        <v>0</v>
      </c>
    </row>
    <row r="180" spans="1:9" ht="20.100000000000001" customHeight="1" x14ac:dyDescent="0.25">
      <c r="A180" s="23">
        <v>15</v>
      </c>
      <c r="B180" s="14" t="s">
        <v>242</v>
      </c>
      <c r="C180" s="14">
        <f>-data!AL70</f>
        <v>-27325.219999999998</v>
      </c>
      <c r="D180" s="14">
        <f>-data!AM70</f>
        <v>0</v>
      </c>
      <c r="E180" s="14">
        <f>-data!AN70</f>
        <v>0</v>
      </c>
      <c r="F180" s="14">
        <f>-data!AO70</f>
        <v>0</v>
      </c>
      <c r="G180" s="14">
        <f>-data!AP70</f>
        <v>0</v>
      </c>
      <c r="H180" s="14">
        <f>-data!AQ70</f>
        <v>0</v>
      </c>
      <c r="I180" s="14">
        <f>-data!AR70</f>
        <v>0</v>
      </c>
    </row>
    <row r="181" spans="1:9" ht="20.100000000000001" customHeight="1" x14ac:dyDescent="0.25">
      <c r="A181" s="23">
        <v>16</v>
      </c>
      <c r="B181" s="48" t="s">
        <v>1180</v>
      </c>
      <c r="C181" s="14">
        <f>data!AL71</f>
        <v>286945.19</v>
      </c>
      <c r="D181" s="14">
        <f>data!AM71</f>
        <v>0</v>
      </c>
      <c r="E181" s="14">
        <f>data!AN71</f>
        <v>0</v>
      </c>
      <c r="F181" s="14">
        <f>data!AO71</f>
        <v>0</v>
      </c>
      <c r="G181" s="14">
        <f>data!AP71</f>
        <v>1007.82</v>
      </c>
      <c r="H181" s="14">
        <f>data!AQ71</f>
        <v>0</v>
      </c>
      <c r="I181" s="14">
        <f>data!AR71</f>
        <v>0</v>
      </c>
    </row>
    <row r="182" spans="1:9" ht="20.100000000000001" customHeight="1" x14ac:dyDescent="0.25">
      <c r="A182" s="23">
        <v>17</v>
      </c>
      <c r="B182" s="14" t="s">
        <v>244</v>
      </c>
      <c r="C182" s="209"/>
      <c r="D182" s="209"/>
      <c r="E182" s="209"/>
      <c r="F182" s="209"/>
      <c r="G182" s="209"/>
      <c r="H182" s="209"/>
      <c r="I182" s="209"/>
    </row>
    <row r="183" spans="1:9" ht="20.100000000000001" customHeight="1" x14ac:dyDescent="0.25">
      <c r="A183" s="23">
        <v>18</v>
      </c>
      <c r="B183" s="14" t="s">
        <v>1181</v>
      </c>
      <c r="C183" s="48">
        <f>+data!M703</f>
        <v>83608</v>
      </c>
      <c r="D183" s="48">
        <f>+data!M704</f>
        <v>0</v>
      </c>
      <c r="E183" s="48">
        <f>+data!M705</f>
        <v>0</v>
      </c>
      <c r="F183" s="48">
        <f>+data!M706</f>
        <v>0</v>
      </c>
      <c r="G183" s="48">
        <f>+data!M707</f>
        <v>157</v>
      </c>
      <c r="H183" s="48">
        <f>+data!M708</f>
        <v>0</v>
      </c>
      <c r="I183" s="48">
        <f>+data!M709</f>
        <v>0</v>
      </c>
    </row>
    <row r="184" spans="1:9" ht="20.100000000000001" customHeight="1" x14ac:dyDescent="0.25">
      <c r="A184" s="23">
        <v>19</v>
      </c>
      <c r="B184" s="48" t="s">
        <v>1182</v>
      </c>
      <c r="C184" s="14">
        <f>data!AL73</f>
        <v>1150716.0399999998</v>
      </c>
      <c r="D184" s="14">
        <f>data!AM73</f>
        <v>0</v>
      </c>
      <c r="E184" s="14">
        <f>data!AN73</f>
        <v>0</v>
      </c>
      <c r="F184" s="14">
        <f>data!AO73</f>
        <v>0</v>
      </c>
      <c r="G184" s="14">
        <f>data!AP73</f>
        <v>0</v>
      </c>
      <c r="H184" s="14">
        <f>data!AQ73</f>
        <v>0</v>
      </c>
      <c r="I184" s="14">
        <f>data!AR73</f>
        <v>0</v>
      </c>
    </row>
    <row r="185" spans="1:9" ht="20.100000000000001" customHeight="1" x14ac:dyDescent="0.25">
      <c r="A185" s="23">
        <v>20</v>
      </c>
      <c r="B185" s="48" t="s">
        <v>1183</v>
      </c>
      <c r="C185" s="14">
        <f>data!AL74</f>
        <v>82152.62</v>
      </c>
      <c r="D185" s="14">
        <f>data!AM74</f>
        <v>0</v>
      </c>
      <c r="E185" s="14">
        <f>data!AN74</f>
        <v>0</v>
      </c>
      <c r="F185" s="14">
        <f>data!AO74</f>
        <v>0</v>
      </c>
      <c r="G185" s="14">
        <f>data!AP74</f>
        <v>0</v>
      </c>
      <c r="H185" s="14">
        <f>data!AQ74</f>
        <v>0</v>
      </c>
      <c r="I185" s="14">
        <f>data!AR74</f>
        <v>0</v>
      </c>
    </row>
    <row r="186" spans="1:9" ht="20.100000000000001" customHeight="1" x14ac:dyDescent="0.25">
      <c r="A186" s="23">
        <v>21</v>
      </c>
      <c r="B186" s="48" t="s">
        <v>1184</v>
      </c>
      <c r="C186" s="14">
        <f>data!AL75</f>
        <v>1232868.6599999997</v>
      </c>
      <c r="D186" s="14">
        <f>data!AM75</f>
        <v>0</v>
      </c>
      <c r="E186" s="14">
        <f>data!AN75</f>
        <v>0</v>
      </c>
      <c r="F186" s="14">
        <f>data!AO75</f>
        <v>0</v>
      </c>
      <c r="G186" s="14">
        <f>data!AP75</f>
        <v>0</v>
      </c>
      <c r="H186" s="14">
        <f>data!AQ75</f>
        <v>0</v>
      </c>
      <c r="I186" s="14">
        <f>data!AR75</f>
        <v>0</v>
      </c>
    </row>
    <row r="187" spans="1:9" ht="20.100000000000001" customHeight="1" x14ac:dyDescent="0.25">
      <c r="A187" s="23" t="s">
        <v>1185</v>
      </c>
      <c r="B187" s="60"/>
      <c r="C187" s="209"/>
      <c r="D187" s="209"/>
      <c r="E187" s="209"/>
      <c r="F187" s="209"/>
      <c r="G187" s="209"/>
      <c r="H187" s="209"/>
      <c r="I187" s="209"/>
    </row>
    <row r="188" spans="1:9" ht="20.100000000000001" customHeight="1" x14ac:dyDescent="0.25">
      <c r="A188" s="23">
        <v>22</v>
      </c>
      <c r="B188" s="14" t="s">
        <v>1186</v>
      </c>
      <c r="C188" s="14">
        <f>data!AL76</f>
        <v>77</v>
      </c>
      <c r="D188" s="14">
        <f>data!AM76</f>
        <v>0</v>
      </c>
      <c r="E188" s="14">
        <f>data!AN76</f>
        <v>0</v>
      </c>
      <c r="F188" s="14">
        <f>data!AO76</f>
        <v>0</v>
      </c>
      <c r="G188" s="14">
        <f>data!AP76</f>
        <v>0</v>
      </c>
      <c r="H188" s="14">
        <f>data!AQ76</f>
        <v>0</v>
      </c>
      <c r="I188" s="14">
        <f>data!AR76</f>
        <v>0</v>
      </c>
    </row>
    <row r="189" spans="1:9" ht="20.100000000000001" customHeight="1" x14ac:dyDescent="0.25">
      <c r="A189" s="23">
        <v>23</v>
      </c>
      <c r="B189" s="14" t="s">
        <v>1187</v>
      </c>
      <c r="C189" s="14">
        <f>data!AL77</f>
        <v>0</v>
      </c>
      <c r="D189" s="14">
        <f>data!AM77</f>
        <v>0</v>
      </c>
      <c r="E189" s="14">
        <f>data!AN77</f>
        <v>0</v>
      </c>
      <c r="F189" s="14">
        <f>data!AO77</f>
        <v>0</v>
      </c>
      <c r="G189" s="14">
        <f>data!AP77</f>
        <v>0</v>
      </c>
      <c r="H189" s="14">
        <f>data!AQ77</f>
        <v>0</v>
      </c>
      <c r="I189" s="14">
        <f>data!AR77</f>
        <v>0</v>
      </c>
    </row>
    <row r="190" spans="1:9" ht="20.100000000000001" customHeight="1" x14ac:dyDescent="0.25">
      <c r="A190" s="23">
        <v>24</v>
      </c>
      <c r="B190" s="14" t="s">
        <v>1188</v>
      </c>
      <c r="C190" s="14">
        <f>data!AL78</f>
        <v>22.053576648811237</v>
      </c>
      <c r="D190" s="14">
        <f>data!AM78</f>
        <v>0</v>
      </c>
      <c r="E190" s="14">
        <f>data!AN78</f>
        <v>0</v>
      </c>
      <c r="F190" s="14">
        <f>data!AO78</f>
        <v>0</v>
      </c>
      <c r="G190" s="14">
        <f>data!AP78</f>
        <v>0</v>
      </c>
      <c r="H190" s="14">
        <f>data!AQ78</f>
        <v>0</v>
      </c>
      <c r="I190" s="14">
        <f>data!AR78</f>
        <v>0</v>
      </c>
    </row>
    <row r="191" spans="1:9" ht="20.100000000000001" customHeight="1" x14ac:dyDescent="0.25">
      <c r="A191" s="23">
        <v>25</v>
      </c>
      <c r="B191" s="14" t="s">
        <v>1189</v>
      </c>
      <c r="C191" s="14">
        <f>data!AL79</f>
        <v>0</v>
      </c>
      <c r="D191" s="14">
        <f>data!AM79</f>
        <v>0</v>
      </c>
      <c r="E191" s="14">
        <f>data!AN79</f>
        <v>0</v>
      </c>
      <c r="F191" s="14">
        <f>data!AO79</f>
        <v>0</v>
      </c>
      <c r="G191" s="14">
        <f>data!AP79</f>
        <v>0</v>
      </c>
      <c r="H191" s="14">
        <f>data!AQ79</f>
        <v>0</v>
      </c>
      <c r="I191" s="14">
        <f>data!AR79</f>
        <v>0</v>
      </c>
    </row>
    <row r="192" spans="1:9" ht="20.100000000000001" customHeight="1" x14ac:dyDescent="0.25">
      <c r="A192" s="23">
        <v>26</v>
      </c>
      <c r="B192" s="14" t="s">
        <v>252</v>
      </c>
      <c r="C192" s="26">
        <f>data!AL80</f>
        <v>0</v>
      </c>
      <c r="D192" s="26">
        <f>data!AM80</f>
        <v>0</v>
      </c>
      <c r="E192" s="26">
        <f>data!AN80</f>
        <v>0</v>
      </c>
      <c r="F192" s="26">
        <f>data!AO80</f>
        <v>0</v>
      </c>
      <c r="G192" s="26">
        <f>data!AP80</f>
        <v>0</v>
      </c>
      <c r="H192" s="26">
        <f>data!AQ80</f>
        <v>0</v>
      </c>
      <c r="I192" s="26">
        <f>data!AR80</f>
        <v>0</v>
      </c>
    </row>
    <row r="193" spans="1:9" ht="20.100000000000001" customHeight="1" x14ac:dyDescent="0.25">
      <c r="A193" s="4" t="s">
        <v>1173</v>
      </c>
      <c r="B193" s="5"/>
      <c r="C193" s="5"/>
      <c r="D193" s="6"/>
      <c r="E193" s="5"/>
      <c r="F193" s="5"/>
      <c r="G193" s="5"/>
      <c r="H193" s="5"/>
      <c r="I193" s="4"/>
    </row>
    <row r="194" spans="1:9" ht="20.100000000000001" customHeight="1" x14ac:dyDescent="0.25">
      <c r="A194" s="77"/>
      <c r="B194" s="77"/>
      <c r="C194" s="77"/>
      <c r="D194" s="45"/>
      <c r="E194" s="77"/>
      <c r="F194" s="77"/>
      <c r="G194" s="77"/>
      <c r="H194" s="77"/>
      <c r="I194" s="168" t="s">
        <v>1210</v>
      </c>
    </row>
    <row r="195" spans="1:9" ht="20.100000000000001" customHeight="1" x14ac:dyDescent="0.25">
      <c r="A195" s="45"/>
      <c r="B195" s="77"/>
      <c r="C195" s="77"/>
      <c r="D195" s="77"/>
      <c r="E195" s="77"/>
      <c r="F195" s="77"/>
      <c r="G195" s="77"/>
      <c r="H195" s="77"/>
      <c r="I195" s="77"/>
    </row>
    <row r="196" spans="1:9" ht="20.100000000000001" customHeight="1" x14ac:dyDescent="0.25">
      <c r="A196" s="79" t="str">
        <f>"HOSPITAL NAME: "&amp;data!C84</f>
        <v>HOSPITAL NAME: Highline Medical Center</v>
      </c>
      <c r="B196" s="77"/>
      <c r="C196" s="77"/>
      <c r="D196" s="77"/>
      <c r="E196" s="77"/>
      <c r="F196" s="77"/>
      <c r="G196" s="80"/>
      <c r="H196" s="79" t="str">
        <f>"FYE: "&amp;data!C82</f>
        <v>FYE: 06/30/2019</v>
      </c>
    </row>
    <row r="197" spans="1:9" ht="20.100000000000001" customHeight="1" x14ac:dyDescent="0.25">
      <c r="A197" s="23">
        <v>1</v>
      </c>
      <c r="B197" s="14" t="s">
        <v>209</v>
      </c>
      <c r="C197" s="15" t="s">
        <v>52</v>
      </c>
      <c r="D197" s="15" t="s">
        <v>53</v>
      </c>
      <c r="E197" s="15" t="s">
        <v>54</v>
      </c>
      <c r="F197" s="15" t="s">
        <v>55</v>
      </c>
      <c r="G197" s="15" t="s">
        <v>56</v>
      </c>
      <c r="H197" s="15" t="s">
        <v>57</v>
      </c>
      <c r="I197" s="15" t="s">
        <v>58</v>
      </c>
    </row>
    <row r="198" spans="1:9" ht="20.100000000000001" customHeight="1" x14ac:dyDescent="0.25">
      <c r="A198" s="81">
        <v>2</v>
      </c>
      <c r="B198" s="17" t="s">
        <v>1175</v>
      </c>
      <c r="C198" s="25"/>
      <c r="D198" s="18" t="s">
        <v>130</v>
      </c>
      <c r="E198" s="18" t="s">
        <v>131</v>
      </c>
      <c r="F198" s="18" t="s">
        <v>132</v>
      </c>
      <c r="G198" s="18" t="s">
        <v>1211</v>
      </c>
      <c r="H198" s="18" t="s">
        <v>134</v>
      </c>
      <c r="I198" s="25"/>
    </row>
    <row r="199" spans="1:9" ht="20.100000000000001" customHeight="1" x14ac:dyDescent="0.25">
      <c r="A199" s="82"/>
      <c r="B199" s="83"/>
      <c r="C199" s="18" t="s">
        <v>129</v>
      </c>
      <c r="D199" s="18" t="s">
        <v>1212</v>
      </c>
      <c r="E199" s="18" t="s">
        <v>1213</v>
      </c>
      <c r="F199" s="18" t="s">
        <v>186</v>
      </c>
      <c r="G199" s="18" t="s">
        <v>201</v>
      </c>
      <c r="H199" s="18" t="s">
        <v>188</v>
      </c>
      <c r="I199" s="18" t="s">
        <v>135</v>
      </c>
    </row>
    <row r="200" spans="1:9" ht="20.100000000000001" customHeight="1" x14ac:dyDescent="0.25">
      <c r="A200" s="23">
        <v>3</v>
      </c>
      <c r="B200" s="14" t="s">
        <v>1179</v>
      </c>
      <c r="C200" s="15" t="s">
        <v>226</v>
      </c>
      <c r="D200" s="15" t="s">
        <v>1212</v>
      </c>
      <c r="E200" s="15" t="s">
        <v>228</v>
      </c>
      <c r="F200" s="210"/>
      <c r="G200" s="210"/>
      <c r="H200" s="210"/>
      <c r="I200" s="15" t="s">
        <v>231</v>
      </c>
    </row>
    <row r="201" spans="1:9" ht="20.100000000000001" customHeight="1" x14ac:dyDescent="0.25">
      <c r="A201" s="23">
        <v>4</v>
      </c>
      <c r="B201" s="14" t="s">
        <v>233</v>
      </c>
      <c r="C201" s="14">
        <f>data!AS59</f>
        <v>0</v>
      </c>
      <c r="D201" s="14">
        <f>data!AT59</f>
        <v>0</v>
      </c>
      <c r="E201" s="14">
        <f>data!AU59</f>
        <v>0</v>
      </c>
      <c r="F201" s="210"/>
      <c r="G201" s="210"/>
      <c r="H201" s="210"/>
      <c r="I201" s="14">
        <f>data!AY59</f>
        <v>134758</v>
      </c>
    </row>
    <row r="202" spans="1:9" ht="20.100000000000001" customHeight="1" x14ac:dyDescent="0.25">
      <c r="A202" s="23">
        <v>5</v>
      </c>
      <c r="B202" s="14" t="s">
        <v>234</v>
      </c>
      <c r="C202" s="26">
        <f>data!AS60</f>
        <v>0</v>
      </c>
      <c r="D202" s="26">
        <f>data!AT60</f>
        <v>0</v>
      </c>
      <c r="E202" s="26">
        <f>data!AU60</f>
        <v>0</v>
      </c>
      <c r="F202" s="26">
        <f>data!AV60</f>
        <v>0.89495673076923077</v>
      </c>
      <c r="G202" s="26">
        <f>data!AW60</f>
        <v>5.2477836538461533</v>
      </c>
      <c r="H202" s="26">
        <f>data!AX60</f>
        <v>0</v>
      </c>
      <c r="I202" s="26">
        <f>data!AY60</f>
        <v>33.702788461538461</v>
      </c>
    </row>
    <row r="203" spans="1:9" ht="20.100000000000001" customHeight="1" x14ac:dyDescent="0.25">
      <c r="A203" s="23">
        <v>6</v>
      </c>
      <c r="B203" s="14" t="s">
        <v>235</v>
      </c>
      <c r="C203" s="14">
        <f>data!AS61</f>
        <v>0</v>
      </c>
      <c r="D203" s="14">
        <f>data!AT61</f>
        <v>0</v>
      </c>
      <c r="E203" s="14">
        <f>data!AU61</f>
        <v>0</v>
      </c>
      <c r="F203" s="14">
        <f>data!AV61</f>
        <v>111631.29000000001</v>
      </c>
      <c r="G203" s="14">
        <f>data!AW61</f>
        <v>564164.15000000014</v>
      </c>
      <c r="H203" s="14">
        <f>data!AX61</f>
        <v>0</v>
      </c>
      <c r="I203" s="14">
        <f>data!AY61</f>
        <v>1630504.31</v>
      </c>
    </row>
    <row r="204" spans="1:9" ht="20.100000000000001" customHeight="1" x14ac:dyDescent="0.25">
      <c r="A204" s="23">
        <v>7</v>
      </c>
      <c r="B204" s="14" t="s">
        <v>3</v>
      </c>
      <c r="C204" s="14">
        <f>data!AS62</f>
        <v>0</v>
      </c>
      <c r="D204" s="14">
        <f>data!AT62</f>
        <v>0</v>
      </c>
      <c r="E204" s="14">
        <f>data!AU62</f>
        <v>0</v>
      </c>
      <c r="F204" s="14">
        <f>data!AV62</f>
        <v>27395</v>
      </c>
      <c r="G204" s="14">
        <f>data!AW62</f>
        <v>149582</v>
      </c>
      <c r="H204" s="14">
        <f>data!AX62</f>
        <v>0</v>
      </c>
      <c r="I204" s="14">
        <f>data!AY62</f>
        <v>670634</v>
      </c>
    </row>
    <row r="205" spans="1:9" ht="20.100000000000001" customHeight="1" x14ac:dyDescent="0.25">
      <c r="A205" s="23">
        <v>8</v>
      </c>
      <c r="B205" s="14" t="s">
        <v>236</v>
      </c>
      <c r="C205" s="14">
        <f>data!AS63</f>
        <v>0</v>
      </c>
      <c r="D205" s="14">
        <f>data!AT63</f>
        <v>0</v>
      </c>
      <c r="E205" s="14">
        <f>data!AU63</f>
        <v>0</v>
      </c>
      <c r="F205" s="14">
        <f>data!AV63</f>
        <v>3766800</v>
      </c>
      <c r="G205" s="14">
        <f>data!AW63</f>
        <v>0</v>
      </c>
      <c r="H205" s="14">
        <f>data!AX63</f>
        <v>0</v>
      </c>
      <c r="I205" s="14">
        <f>data!AY63</f>
        <v>0</v>
      </c>
    </row>
    <row r="206" spans="1:9" ht="20.100000000000001" customHeight="1" x14ac:dyDescent="0.25">
      <c r="A206" s="23">
        <v>9</v>
      </c>
      <c r="B206" s="14" t="s">
        <v>237</v>
      </c>
      <c r="C206" s="14">
        <f>data!AS64</f>
        <v>0</v>
      </c>
      <c r="D206" s="14">
        <f>data!AT64</f>
        <v>0</v>
      </c>
      <c r="E206" s="14">
        <f>data!AU64</f>
        <v>0</v>
      </c>
      <c r="F206" s="14">
        <f>data!AV64</f>
        <v>6730.0199999999995</v>
      </c>
      <c r="G206" s="14">
        <f>data!AW64</f>
        <v>11.53</v>
      </c>
      <c r="H206" s="14">
        <f>data!AX64</f>
        <v>0</v>
      </c>
      <c r="I206" s="14">
        <f>data!AY64</f>
        <v>728899.43</v>
      </c>
    </row>
    <row r="207" spans="1:9" ht="20.100000000000001" customHeight="1" x14ac:dyDescent="0.25">
      <c r="A207" s="23">
        <v>10</v>
      </c>
      <c r="B207" s="14" t="s">
        <v>444</v>
      </c>
      <c r="C207" s="14">
        <f>data!AS65</f>
        <v>0</v>
      </c>
      <c r="D207" s="14">
        <f>data!AT65</f>
        <v>0</v>
      </c>
      <c r="E207" s="14">
        <f>data!AU65</f>
        <v>0</v>
      </c>
      <c r="F207" s="14">
        <f>data!AV65</f>
        <v>436.72</v>
      </c>
      <c r="G207" s="14">
        <f>data!AW65</f>
        <v>7.99</v>
      </c>
      <c r="H207" s="14">
        <f>data!AX65</f>
        <v>0</v>
      </c>
      <c r="I207" s="14">
        <f>data!AY65</f>
        <v>288.36</v>
      </c>
    </row>
    <row r="208" spans="1:9" ht="20.100000000000001" customHeight="1" x14ac:dyDescent="0.25">
      <c r="A208" s="23">
        <v>11</v>
      </c>
      <c r="B208" s="14" t="s">
        <v>445</v>
      </c>
      <c r="C208" s="14">
        <f>data!AS66</f>
        <v>0</v>
      </c>
      <c r="D208" s="14">
        <f>data!AT66</f>
        <v>0</v>
      </c>
      <c r="E208" s="14">
        <f>data!AU66</f>
        <v>0</v>
      </c>
      <c r="F208" s="14">
        <f>data!AV66</f>
        <v>1243006.6928400001</v>
      </c>
      <c r="G208" s="14">
        <f>data!AW66</f>
        <v>0</v>
      </c>
      <c r="H208" s="14">
        <f>data!AX66</f>
        <v>77174.285759999984</v>
      </c>
      <c r="I208" s="14">
        <f>data!AY66</f>
        <v>426441.66</v>
      </c>
    </row>
    <row r="209" spans="1:9" ht="20.100000000000001" customHeight="1" x14ac:dyDescent="0.25">
      <c r="A209" s="23">
        <v>12</v>
      </c>
      <c r="B209" s="14" t="s">
        <v>6</v>
      </c>
      <c r="C209" s="14">
        <f>data!AS67</f>
        <v>0</v>
      </c>
      <c r="D209" s="14">
        <f>data!AT67</f>
        <v>0</v>
      </c>
      <c r="E209" s="14">
        <f>data!AU67</f>
        <v>0</v>
      </c>
      <c r="F209" s="14">
        <f>data!AV67</f>
        <v>339</v>
      </c>
      <c r="G209" s="14">
        <f>data!AW67</f>
        <v>267</v>
      </c>
      <c r="H209" s="14">
        <f>data!AX67</f>
        <v>0</v>
      </c>
      <c r="I209" s="14">
        <f>data!AY67</f>
        <v>47268</v>
      </c>
    </row>
    <row r="210" spans="1:9" ht="20.100000000000001" customHeight="1" x14ac:dyDescent="0.25">
      <c r="A210" s="23">
        <v>13</v>
      </c>
      <c r="B210" s="14" t="s">
        <v>474</v>
      </c>
      <c r="C210" s="14">
        <f>data!AS68</f>
        <v>0</v>
      </c>
      <c r="D210" s="14">
        <f>data!AT68</f>
        <v>0</v>
      </c>
      <c r="E210" s="14">
        <f>data!AU68</f>
        <v>0</v>
      </c>
      <c r="F210" s="14">
        <f>data!AV68</f>
        <v>2251.4399999999996</v>
      </c>
      <c r="G210" s="14">
        <f>data!AW68</f>
        <v>0</v>
      </c>
      <c r="H210" s="14">
        <f>data!AX68</f>
        <v>0</v>
      </c>
      <c r="I210" s="14">
        <f>data!AY68</f>
        <v>5579.73</v>
      </c>
    </row>
    <row r="211" spans="1:9" ht="20.100000000000001" customHeight="1" x14ac:dyDescent="0.25">
      <c r="A211" s="23">
        <v>14</v>
      </c>
      <c r="B211" s="14" t="s">
        <v>241</v>
      </c>
      <c r="C211" s="14">
        <f>data!AS69</f>
        <v>0</v>
      </c>
      <c r="D211" s="14">
        <f>data!AT69</f>
        <v>0</v>
      </c>
      <c r="E211" s="14">
        <f>data!AU69</f>
        <v>0</v>
      </c>
      <c r="F211" s="14">
        <f>data!AV69</f>
        <v>17.98</v>
      </c>
      <c r="G211" s="14">
        <f>data!AW69</f>
        <v>2236.88</v>
      </c>
      <c r="H211" s="14">
        <f>data!AX69</f>
        <v>0</v>
      </c>
      <c r="I211" s="14">
        <f>data!AY69</f>
        <v>25107.03</v>
      </c>
    </row>
    <row r="212" spans="1:9" ht="20.100000000000001" customHeight="1" x14ac:dyDescent="0.25">
      <c r="A212" s="23">
        <v>15</v>
      </c>
      <c r="B212" s="14" t="s">
        <v>242</v>
      </c>
      <c r="C212" s="14">
        <f>-data!AS70</f>
        <v>0</v>
      </c>
      <c r="D212" s="14">
        <f>-data!AT70</f>
        <v>0</v>
      </c>
      <c r="E212" s="14">
        <f>-data!AU70</f>
        <v>0</v>
      </c>
      <c r="F212" s="14">
        <f>-data!AV70</f>
        <v>0</v>
      </c>
      <c r="G212" s="14">
        <f>-data!AW70</f>
        <v>-9400</v>
      </c>
      <c r="H212" s="14">
        <f>-data!AX70</f>
        <v>0</v>
      </c>
      <c r="I212" s="14">
        <f>-data!AY70</f>
        <v>-712521.17</v>
      </c>
    </row>
    <row r="213" spans="1:9" ht="20.100000000000001" customHeight="1" x14ac:dyDescent="0.25">
      <c r="A213" s="23">
        <v>16</v>
      </c>
      <c r="B213" s="48" t="s">
        <v>1180</v>
      </c>
      <c r="C213" s="14">
        <f>data!AS71</f>
        <v>0</v>
      </c>
      <c r="D213" s="14">
        <f>data!AT71</f>
        <v>0</v>
      </c>
      <c r="E213" s="14">
        <f>data!AU71</f>
        <v>0</v>
      </c>
      <c r="F213" s="14">
        <f>data!AV71</f>
        <v>5158608.1428400008</v>
      </c>
      <c r="G213" s="14">
        <f>data!AW71</f>
        <v>706869.55000000016</v>
      </c>
      <c r="H213" s="14">
        <f>data!AX71</f>
        <v>77174.285759999984</v>
      </c>
      <c r="I213" s="14">
        <f>data!AY71</f>
        <v>2822201.35</v>
      </c>
    </row>
    <row r="214" spans="1:9" ht="20.100000000000001" customHeight="1" x14ac:dyDescent="0.25">
      <c r="A214" s="23">
        <v>17</v>
      </c>
      <c r="B214" s="14" t="s">
        <v>244</v>
      </c>
      <c r="C214" s="209"/>
      <c r="D214" s="209"/>
      <c r="E214" s="209"/>
      <c r="F214" s="209"/>
      <c r="G214" s="209"/>
      <c r="H214" s="209"/>
      <c r="I214" s="209"/>
    </row>
    <row r="215" spans="1:9" ht="20.100000000000001" customHeight="1" x14ac:dyDescent="0.25">
      <c r="A215" s="23">
        <v>18</v>
      </c>
      <c r="B215" s="14" t="s">
        <v>1181</v>
      </c>
      <c r="C215" s="48">
        <f>+data!M710</f>
        <v>0</v>
      </c>
      <c r="D215" s="48">
        <f>+data!M711</f>
        <v>0</v>
      </c>
      <c r="E215" s="48">
        <f>+data!M712</f>
        <v>0</v>
      </c>
      <c r="F215" s="48">
        <f>+data!M713</f>
        <v>869937</v>
      </c>
      <c r="G215" s="22"/>
      <c r="H215" s="14"/>
      <c r="I215" s="14"/>
    </row>
    <row r="216" spans="1:9" ht="20.100000000000001" customHeight="1" x14ac:dyDescent="0.25">
      <c r="A216" s="23">
        <v>19</v>
      </c>
      <c r="B216" s="48" t="s">
        <v>1182</v>
      </c>
      <c r="C216" s="14">
        <f>data!AS73</f>
        <v>0</v>
      </c>
      <c r="D216" s="14">
        <f>data!AT73</f>
        <v>0</v>
      </c>
      <c r="E216" s="14">
        <f>data!AU73</f>
        <v>0</v>
      </c>
      <c r="F216" s="14">
        <f>data!AV73</f>
        <v>-197409.19999999995</v>
      </c>
      <c r="G216" s="211" t="str">
        <f>IF(data!AW73&gt;0,data!AW73,"")</f>
        <v>x</v>
      </c>
      <c r="H216" s="211" t="str">
        <f>IF(data!AX73&gt;0,data!AX73,"")</f>
        <v>x</v>
      </c>
      <c r="I216" s="211" t="str">
        <f>IF(data!AY73&gt;0,data!AY73,"")</f>
        <v>x</v>
      </c>
    </row>
    <row r="217" spans="1:9" ht="20.100000000000001" customHeight="1" x14ac:dyDescent="0.25">
      <c r="A217" s="23">
        <v>20</v>
      </c>
      <c r="B217" s="48" t="s">
        <v>1183</v>
      </c>
      <c r="C217" s="14">
        <f>data!AS74</f>
        <v>0</v>
      </c>
      <c r="D217" s="14">
        <f>data!AT74</f>
        <v>0</v>
      </c>
      <c r="E217" s="14">
        <f>data!AU74</f>
        <v>0</v>
      </c>
      <c r="F217" s="14">
        <f>data!AV74</f>
        <v>-141154.87999999998</v>
      </c>
      <c r="G217" s="211" t="str">
        <f>IF(data!AW74&gt;0,data!AW74,"")</f>
        <v>x</v>
      </c>
      <c r="H217" s="211" t="str">
        <f>IF(data!AX74&gt;0,data!AX74,"")</f>
        <v>x</v>
      </c>
      <c r="I217" s="211" t="str">
        <f>IF(data!AY74&gt;0,data!AY74,"")</f>
        <v>x</v>
      </c>
    </row>
    <row r="218" spans="1:9" ht="20.100000000000001" customHeight="1" x14ac:dyDescent="0.25">
      <c r="A218" s="23">
        <v>21</v>
      </c>
      <c r="B218" s="48" t="s">
        <v>1184</v>
      </c>
      <c r="C218" s="14">
        <f>data!AS75</f>
        <v>0</v>
      </c>
      <c r="D218" s="14">
        <f>data!AT75</f>
        <v>0</v>
      </c>
      <c r="E218" s="14">
        <f>data!AU75</f>
        <v>0</v>
      </c>
      <c r="F218" s="14">
        <f>data!AV75</f>
        <v>-338564.07999999996</v>
      </c>
      <c r="G218" s="211" t="str">
        <f>IF(data!AW75&gt;0,data!AW75,"")</f>
        <v>x</v>
      </c>
      <c r="H218" s="211" t="str">
        <f>IF(data!AX75&gt;0,data!AX75,"")</f>
        <v>x</v>
      </c>
      <c r="I218" s="211" t="str">
        <f>IF(data!AY75&gt;0,data!AY75,"")</f>
        <v>x</v>
      </c>
    </row>
    <row r="219" spans="1:9" ht="20.100000000000001" customHeight="1" x14ac:dyDescent="0.25">
      <c r="A219" s="23" t="s">
        <v>1185</v>
      </c>
      <c r="B219" s="60"/>
      <c r="C219" s="209"/>
      <c r="D219" s="209"/>
      <c r="E219" s="209"/>
      <c r="F219" s="209"/>
      <c r="G219" s="209"/>
      <c r="H219" s="209"/>
      <c r="I219" s="209"/>
    </row>
    <row r="220" spans="1:9" ht="20.100000000000001" customHeight="1" x14ac:dyDescent="0.25">
      <c r="A220" s="23">
        <v>22</v>
      </c>
      <c r="B220" s="14" t="s">
        <v>1186</v>
      </c>
      <c r="C220" s="14">
        <f>data!AS76</f>
        <v>0</v>
      </c>
      <c r="D220" s="14">
        <f>data!AT76</f>
        <v>0</v>
      </c>
      <c r="E220" s="14">
        <f>data!AU76</f>
        <v>0</v>
      </c>
      <c r="F220" s="14">
        <f>data!AV76</f>
        <v>425</v>
      </c>
      <c r="G220" s="14">
        <f>data!AW76</f>
        <v>0</v>
      </c>
      <c r="H220" s="14">
        <f>data!AX76</f>
        <v>0</v>
      </c>
      <c r="I220" s="85">
        <f>data!AY76</f>
        <v>0</v>
      </c>
    </row>
    <row r="221" spans="1:9" ht="20.100000000000001" customHeight="1" x14ac:dyDescent="0.25">
      <c r="A221" s="23">
        <v>23</v>
      </c>
      <c r="B221" s="14" t="s">
        <v>1187</v>
      </c>
      <c r="C221" s="14">
        <f>data!AS77</f>
        <v>0</v>
      </c>
      <c r="D221" s="14">
        <f>data!AT77</f>
        <v>0</v>
      </c>
      <c r="E221" s="14">
        <f>data!AU77</f>
        <v>0</v>
      </c>
      <c r="F221" s="14">
        <f>data!AV77</f>
        <v>0</v>
      </c>
      <c r="G221" s="14">
        <f>data!AW77</f>
        <v>0</v>
      </c>
      <c r="H221" s="211" t="str">
        <f>IF(data!AX77&gt;0,data!AX77,"")</f>
        <v>x</v>
      </c>
      <c r="I221" s="211" t="str">
        <f>IF(data!AY77&gt;0,data!AY77,"")</f>
        <v>x</v>
      </c>
    </row>
    <row r="222" spans="1:9" ht="20.100000000000001" customHeight="1" x14ac:dyDescent="0.25">
      <c r="A222" s="23">
        <v>24</v>
      </c>
      <c r="B222" s="14" t="s">
        <v>1188</v>
      </c>
      <c r="C222" s="14">
        <f>data!AS78</f>
        <v>0</v>
      </c>
      <c r="D222" s="14">
        <f>data!AT78</f>
        <v>0</v>
      </c>
      <c r="E222" s="14">
        <f>data!AU78</f>
        <v>0</v>
      </c>
      <c r="F222" s="14">
        <f>data!AV78</f>
        <v>121.7242866979841</v>
      </c>
      <c r="G222" s="14">
        <f>data!AW78</f>
        <v>0</v>
      </c>
      <c r="H222" s="211" t="str">
        <f>IF(data!AX78&gt;0,data!AX78,"")</f>
        <v>x</v>
      </c>
      <c r="I222" s="211" t="str">
        <f>IF(data!AY78&gt;0,data!AY78,"")</f>
        <v>x</v>
      </c>
    </row>
    <row r="223" spans="1:9" ht="20.100000000000001" customHeight="1" x14ac:dyDescent="0.25">
      <c r="A223" s="23">
        <v>25</v>
      </c>
      <c r="B223" s="14" t="s">
        <v>1189</v>
      </c>
      <c r="C223" s="14">
        <f>data!AS79</f>
        <v>0</v>
      </c>
      <c r="D223" s="14">
        <f>data!AT79</f>
        <v>0</v>
      </c>
      <c r="E223" s="14">
        <f>data!AU79</f>
        <v>0</v>
      </c>
      <c r="F223" s="14">
        <f>data!AV79</f>
        <v>0</v>
      </c>
      <c r="G223" s="14">
        <f>data!AW79</f>
        <v>0</v>
      </c>
      <c r="H223" s="211" t="str">
        <f>IF(data!AX79&gt;0,data!AX79,"")</f>
        <v>x</v>
      </c>
      <c r="I223" s="211" t="str">
        <f>IF(data!AY79&gt;0,data!AY79,"")</f>
        <v>x</v>
      </c>
    </row>
    <row r="224" spans="1:9" ht="20.100000000000001" customHeight="1" x14ac:dyDescent="0.25">
      <c r="A224" s="23">
        <v>26</v>
      </c>
      <c r="B224" s="14" t="s">
        <v>252</v>
      </c>
      <c r="C224" s="26">
        <f>data!AS80</f>
        <v>0</v>
      </c>
      <c r="D224" s="26">
        <f>data!AT80</f>
        <v>0</v>
      </c>
      <c r="E224" s="26">
        <f>data!AU80</f>
        <v>0</v>
      </c>
      <c r="F224" s="26">
        <f>data!AV80</f>
        <v>0.77957211538461535</v>
      </c>
      <c r="G224" s="211">
        <f>IF(data!AW80&gt;0,data!AW80,"")</f>
        <v>4.7770096153846158</v>
      </c>
      <c r="H224" s="211" t="str">
        <f>IF(data!AX80&gt;0,data!AX80,"")</f>
        <v/>
      </c>
      <c r="I224" s="211" t="str">
        <f>IF(data!AY80&gt;0,data!AY80,"")</f>
        <v/>
      </c>
    </row>
    <row r="225" spans="1:9" ht="20.100000000000001" customHeight="1" x14ac:dyDescent="0.25">
      <c r="A225" s="4" t="s">
        <v>1173</v>
      </c>
      <c r="B225" s="5"/>
      <c r="C225" s="5"/>
      <c r="D225" s="6"/>
      <c r="E225" s="5"/>
      <c r="F225" s="5"/>
      <c r="G225" s="5"/>
      <c r="H225" s="5"/>
      <c r="I225" s="4"/>
    </row>
    <row r="226" spans="1:9" ht="20.100000000000001" customHeight="1" x14ac:dyDescent="0.25">
      <c r="A226" s="77"/>
      <c r="B226" s="77"/>
      <c r="C226" s="77"/>
      <c r="D226" s="45"/>
      <c r="E226" s="77"/>
      <c r="F226" s="77"/>
      <c r="G226" s="77"/>
      <c r="H226" s="77"/>
      <c r="I226" s="168" t="s">
        <v>1214</v>
      </c>
    </row>
    <row r="227" spans="1:9" ht="20.100000000000001" customHeight="1" x14ac:dyDescent="0.25">
      <c r="A227" s="45"/>
      <c r="B227" s="77"/>
      <c r="C227" s="77"/>
      <c r="D227" s="77"/>
      <c r="E227" s="77"/>
      <c r="F227" s="77"/>
      <c r="G227" s="77"/>
      <c r="H227" s="77"/>
      <c r="I227" s="77"/>
    </row>
    <row r="228" spans="1:9" ht="20.100000000000001" customHeight="1" x14ac:dyDescent="0.25">
      <c r="A228" s="79" t="str">
        <f>"HOSPITAL NAME: "&amp;data!C84</f>
        <v>HOSPITAL NAME: Highline Medical Center</v>
      </c>
      <c r="B228" s="77"/>
      <c r="C228" s="77"/>
      <c r="D228" s="77"/>
      <c r="E228" s="77"/>
      <c r="F228" s="77"/>
      <c r="G228" s="80"/>
      <c r="H228" s="79" t="str">
        <f>"FYE: "&amp;data!C82</f>
        <v>FYE: 06/30/2019</v>
      </c>
    </row>
    <row r="229" spans="1:9" ht="20.100000000000001" customHeight="1" x14ac:dyDescent="0.25">
      <c r="A229" s="23">
        <v>1</v>
      </c>
      <c r="B229" s="14" t="s">
        <v>209</v>
      </c>
      <c r="C229" s="15" t="s">
        <v>59</v>
      </c>
      <c r="D229" s="15" t="s">
        <v>60</v>
      </c>
      <c r="E229" s="15" t="s">
        <v>61</v>
      </c>
      <c r="F229" s="15" t="s">
        <v>62</v>
      </c>
      <c r="G229" s="15" t="s">
        <v>63</v>
      </c>
      <c r="H229" s="15" t="s">
        <v>64</v>
      </c>
      <c r="I229" s="15" t="s">
        <v>65</v>
      </c>
    </row>
    <row r="230" spans="1:9" ht="20.100000000000001" customHeight="1" x14ac:dyDescent="0.25">
      <c r="A230" s="81">
        <v>2</v>
      </c>
      <c r="B230" s="17" t="s">
        <v>1175</v>
      </c>
      <c r="C230" s="25"/>
      <c r="D230" s="18" t="s">
        <v>137</v>
      </c>
      <c r="E230" s="18" t="s">
        <v>138</v>
      </c>
      <c r="F230" s="18" t="s">
        <v>108</v>
      </c>
      <c r="G230" s="25"/>
      <c r="H230" s="25"/>
      <c r="I230" s="25"/>
    </row>
    <row r="231" spans="1:9" ht="20.100000000000001" customHeight="1" x14ac:dyDescent="0.25">
      <c r="A231" s="82"/>
      <c r="B231" s="83"/>
      <c r="C231" s="18" t="s">
        <v>136</v>
      </c>
      <c r="D231" s="18" t="s">
        <v>189</v>
      </c>
      <c r="E231" s="18" t="s">
        <v>1215</v>
      </c>
      <c r="F231" s="18" t="s">
        <v>1216</v>
      </c>
      <c r="G231" s="18" t="s">
        <v>139</v>
      </c>
      <c r="H231" s="18" t="s">
        <v>140</v>
      </c>
      <c r="I231" s="18" t="s">
        <v>141</v>
      </c>
    </row>
    <row r="232" spans="1:9" ht="20.100000000000001" customHeight="1" x14ac:dyDescent="0.25">
      <c r="A232" s="23">
        <v>3</v>
      </c>
      <c r="B232" s="14" t="s">
        <v>1179</v>
      </c>
      <c r="C232" s="15" t="s">
        <v>1217</v>
      </c>
      <c r="D232" s="15" t="s">
        <v>1218</v>
      </c>
      <c r="E232" s="210"/>
      <c r="F232" s="210"/>
      <c r="G232" s="210"/>
      <c r="H232" s="15" t="s">
        <v>232</v>
      </c>
      <c r="I232" s="210"/>
    </row>
    <row r="233" spans="1:9" ht="20.100000000000001" customHeight="1" x14ac:dyDescent="0.25">
      <c r="A233" s="23">
        <v>4</v>
      </c>
      <c r="B233" s="14" t="s">
        <v>233</v>
      </c>
      <c r="C233" s="14">
        <f>data!AZ59</f>
        <v>186923</v>
      </c>
      <c r="D233" s="14">
        <f>data!BA59</f>
        <v>0</v>
      </c>
      <c r="E233" s="210"/>
      <c r="F233" s="210"/>
      <c r="G233" s="210"/>
      <c r="H233" s="14">
        <f>data!BE59</f>
        <v>236716</v>
      </c>
      <c r="I233" s="210"/>
    </row>
    <row r="234" spans="1:9" ht="20.100000000000001" customHeight="1" x14ac:dyDescent="0.25">
      <c r="A234" s="23">
        <v>5</v>
      </c>
      <c r="B234" s="14" t="s">
        <v>234</v>
      </c>
      <c r="C234" s="26">
        <f>data!AZ60</f>
        <v>0</v>
      </c>
      <c r="D234" s="26">
        <f>data!BA60</f>
        <v>0</v>
      </c>
      <c r="E234" s="26">
        <f>data!BB60</f>
        <v>0</v>
      </c>
      <c r="F234" s="26">
        <f>data!BC60</f>
        <v>0</v>
      </c>
      <c r="G234" s="26">
        <f>data!BD60</f>
        <v>0</v>
      </c>
      <c r="H234" s="26">
        <f>data!BE60</f>
        <v>8.7885480769230764</v>
      </c>
      <c r="I234" s="26">
        <f>data!BF60</f>
        <v>32.595120192307697</v>
      </c>
    </row>
    <row r="235" spans="1:9" ht="20.100000000000001" customHeight="1" x14ac:dyDescent="0.25">
      <c r="A235" s="23">
        <v>6</v>
      </c>
      <c r="B235" s="14" t="s">
        <v>235</v>
      </c>
      <c r="C235" s="14">
        <f>data!AZ61</f>
        <v>0</v>
      </c>
      <c r="D235" s="14">
        <f>data!BA61</f>
        <v>0</v>
      </c>
      <c r="E235" s="14">
        <f>data!BB61</f>
        <v>0</v>
      </c>
      <c r="F235" s="14">
        <f>data!BC61</f>
        <v>0</v>
      </c>
      <c r="G235" s="14">
        <f>data!BD61</f>
        <v>0</v>
      </c>
      <c r="H235" s="14">
        <f>data!BE61</f>
        <v>575706.42999999993</v>
      </c>
      <c r="I235" s="14">
        <f>data!BF61</f>
        <v>1987284.8699999996</v>
      </c>
    </row>
    <row r="236" spans="1:9" ht="20.100000000000001" customHeight="1" x14ac:dyDescent="0.25">
      <c r="A236" s="23">
        <v>7</v>
      </c>
      <c r="B236" s="14" t="s">
        <v>3</v>
      </c>
      <c r="C236" s="14">
        <f>data!AZ62</f>
        <v>0</v>
      </c>
      <c r="D236" s="14">
        <f>data!BA62</f>
        <v>0</v>
      </c>
      <c r="E236" s="14">
        <f>data!BB62</f>
        <v>0</v>
      </c>
      <c r="F236" s="14">
        <f>data!BC62</f>
        <v>0</v>
      </c>
      <c r="G236" s="14">
        <f>data!BD62</f>
        <v>0</v>
      </c>
      <c r="H236" s="14">
        <f>data!BE62</f>
        <v>195197</v>
      </c>
      <c r="I236" s="14">
        <f>data!BF62</f>
        <v>634580</v>
      </c>
    </row>
    <row r="237" spans="1:9" ht="20.100000000000001" customHeight="1" x14ac:dyDescent="0.25">
      <c r="A237" s="23">
        <v>8</v>
      </c>
      <c r="B237" s="14" t="s">
        <v>236</v>
      </c>
      <c r="C237" s="14">
        <f>data!AZ63</f>
        <v>0</v>
      </c>
      <c r="D237" s="14">
        <f>data!BA63</f>
        <v>0</v>
      </c>
      <c r="E237" s="14">
        <f>data!BB63</f>
        <v>0</v>
      </c>
      <c r="F237" s="14">
        <f>data!BC63</f>
        <v>0</v>
      </c>
      <c r="G237" s="14">
        <f>data!BD63</f>
        <v>0</v>
      </c>
      <c r="H237" s="14">
        <f>data!BE63</f>
        <v>0</v>
      </c>
      <c r="I237" s="14">
        <f>data!BF63</f>
        <v>0</v>
      </c>
    </row>
    <row r="238" spans="1:9" ht="20.100000000000001" customHeight="1" x14ac:dyDescent="0.25">
      <c r="A238" s="23">
        <v>9</v>
      </c>
      <c r="B238" s="14" t="s">
        <v>237</v>
      </c>
      <c r="C238" s="14">
        <f>data!AZ64</f>
        <v>0</v>
      </c>
      <c r="D238" s="14">
        <f>data!BA64</f>
        <v>0</v>
      </c>
      <c r="E238" s="14">
        <f>data!BB64</f>
        <v>0</v>
      </c>
      <c r="F238" s="14">
        <f>data!BC64</f>
        <v>0</v>
      </c>
      <c r="G238" s="14">
        <f>data!BD64</f>
        <v>0</v>
      </c>
      <c r="H238" s="14">
        <f>data!BE64</f>
        <v>18794.87</v>
      </c>
      <c r="I238" s="14">
        <f>data!BF64</f>
        <v>145785.84</v>
      </c>
    </row>
    <row r="239" spans="1:9" ht="20.100000000000001" customHeight="1" x14ac:dyDescent="0.25">
      <c r="A239" s="23">
        <v>10</v>
      </c>
      <c r="B239" s="14" t="s">
        <v>444</v>
      </c>
      <c r="C239" s="14">
        <f>data!AZ65</f>
        <v>0</v>
      </c>
      <c r="D239" s="14">
        <f>data!BA65</f>
        <v>0</v>
      </c>
      <c r="E239" s="14">
        <f>data!BB65</f>
        <v>0</v>
      </c>
      <c r="F239" s="14">
        <f>data!BC65</f>
        <v>0</v>
      </c>
      <c r="G239" s="14">
        <f>data!BD65</f>
        <v>0</v>
      </c>
      <c r="H239" s="14">
        <f>data!BE65</f>
        <v>1303155.2000000002</v>
      </c>
      <c r="I239" s="14">
        <f>data!BF65</f>
        <v>16161.220000000001</v>
      </c>
    </row>
    <row r="240" spans="1:9" ht="20.100000000000001" customHeight="1" x14ac:dyDescent="0.25">
      <c r="A240" s="23">
        <v>11</v>
      </c>
      <c r="B240" s="14" t="s">
        <v>445</v>
      </c>
      <c r="C240" s="14">
        <f>data!AZ66</f>
        <v>0</v>
      </c>
      <c r="D240" s="14">
        <f>data!BA66</f>
        <v>0</v>
      </c>
      <c r="E240" s="14">
        <f>data!BB66</f>
        <v>0</v>
      </c>
      <c r="F240" s="14">
        <f>data!BC66</f>
        <v>0</v>
      </c>
      <c r="G240" s="14">
        <f>data!BD66</f>
        <v>0</v>
      </c>
      <c r="H240" s="14">
        <f>data!BE66</f>
        <v>2126665.0656699999</v>
      </c>
      <c r="I240" s="14">
        <f>data!BF66</f>
        <v>414428.14999999991</v>
      </c>
    </row>
    <row r="241" spans="1:9" ht="20.100000000000001" customHeight="1" x14ac:dyDescent="0.25">
      <c r="A241" s="23">
        <v>12</v>
      </c>
      <c r="B241" s="14" t="s">
        <v>6</v>
      </c>
      <c r="C241" s="14">
        <f>data!AZ67</f>
        <v>0</v>
      </c>
      <c r="D241" s="14">
        <f>data!BA67</f>
        <v>0</v>
      </c>
      <c r="E241" s="14">
        <f>data!BB67</f>
        <v>0</v>
      </c>
      <c r="F241" s="14">
        <f>data!BC67</f>
        <v>0</v>
      </c>
      <c r="G241" s="14">
        <f>data!BD67</f>
        <v>0</v>
      </c>
      <c r="H241" s="14">
        <f>data!BE67</f>
        <v>206972</v>
      </c>
      <c r="I241" s="14">
        <f>data!BF67</f>
        <v>13443</v>
      </c>
    </row>
    <row r="242" spans="1:9" ht="20.100000000000001" customHeight="1" x14ac:dyDescent="0.25">
      <c r="A242" s="23">
        <v>13</v>
      </c>
      <c r="B242" s="14" t="s">
        <v>474</v>
      </c>
      <c r="C242" s="14">
        <f>data!AZ68</f>
        <v>0</v>
      </c>
      <c r="D242" s="14">
        <f>data!BA68</f>
        <v>0</v>
      </c>
      <c r="E242" s="14">
        <f>data!BB68</f>
        <v>0</v>
      </c>
      <c r="F242" s="14">
        <f>data!BC68</f>
        <v>0</v>
      </c>
      <c r="G242" s="14">
        <f>data!BD68</f>
        <v>0</v>
      </c>
      <c r="H242" s="14">
        <f>data!BE68</f>
        <v>2056.9</v>
      </c>
      <c r="I242" s="14">
        <f>data!BF68</f>
        <v>1035.68</v>
      </c>
    </row>
    <row r="243" spans="1:9" ht="20.100000000000001" customHeight="1" x14ac:dyDescent="0.25">
      <c r="A243" s="23">
        <v>14</v>
      </c>
      <c r="B243" s="14" t="s">
        <v>241</v>
      </c>
      <c r="C243" s="14">
        <f>data!AZ69</f>
        <v>0</v>
      </c>
      <c r="D243" s="14">
        <f>data!BA69</f>
        <v>0</v>
      </c>
      <c r="E243" s="14">
        <f>data!BB69</f>
        <v>0</v>
      </c>
      <c r="F243" s="14">
        <f>data!BC69</f>
        <v>0</v>
      </c>
      <c r="G243" s="14">
        <f>data!BD69</f>
        <v>0</v>
      </c>
      <c r="H243" s="14">
        <f>data!BE69</f>
        <v>66704.350000000006</v>
      </c>
      <c r="I243" s="14">
        <f>data!BF69</f>
        <v>23900</v>
      </c>
    </row>
    <row r="244" spans="1:9" ht="20.100000000000001" customHeight="1" x14ac:dyDescent="0.25">
      <c r="A244" s="23">
        <v>15</v>
      </c>
      <c r="B244" s="14" t="s">
        <v>242</v>
      </c>
      <c r="C244" s="14">
        <f>-data!AZ70</f>
        <v>0</v>
      </c>
      <c r="D244" s="14">
        <f>-data!BA70</f>
        <v>0</v>
      </c>
      <c r="E244" s="14">
        <f>-data!BB70</f>
        <v>0</v>
      </c>
      <c r="F244" s="14">
        <f>-data!BC70</f>
        <v>0</v>
      </c>
      <c r="G244" s="14">
        <f>-data!BD70</f>
        <v>0</v>
      </c>
      <c r="H244" s="14">
        <f>-data!BE70</f>
        <v>-74541.669999999984</v>
      </c>
      <c r="I244" s="14">
        <f>-data!BF70</f>
        <v>-197127</v>
      </c>
    </row>
    <row r="245" spans="1:9" ht="20.100000000000001" customHeight="1" x14ac:dyDescent="0.25">
      <c r="A245" s="23">
        <v>16</v>
      </c>
      <c r="B245" s="48" t="s">
        <v>1180</v>
      </c>
      <c r="C245" s="14">
        <f>data!AZ71</f>
        <v>0</v>
      </c>
      <c r="D245" s="14">
        <f>data!BA71</f>
        <v>0</v>
      </c>
      <c r="E245" s="14">
        <f>data!BB71</f>
        <v>0</v>
      </c>
      <c r="F245" s="14">
        <f>data!BC71</f>
        <v>0</v>
      </c>
      <c r="G245" s="14">
        <f>data!BD71</f>
        <v>0</v>
      </c>
      <c r="H245" s="14">
        <f>data!BE71</f>
        <v>4420710.1456700005</v>
      </c>
      <c r="I245" s="14">
        <f>data!BF71</f>
        <v>3039491.76</v>
      </c>
    </row>
    <row r="246" spans="1:9" ht="20.100000000000001" customHeight="1" x14ac:dyDescent="0.25">
      <c r="A246" s="23">
        <v>17</v>
      </c>
      <c r="B246" s="14" t="s">
        <v>244</v>
      </c>
      <c r="C246" s="209"/>
      <c r="D246" s="209"/>
      <c r="E246" s="209"/>
      <c r="F246" s="209"/>
      <c r="G246" s="209"/>
      <c r="H246" s="209"/>
      <c r="I246" s="209"/>
    </row>
    <row r="247" spans="1:9" ht="20.100000000000001" customHeight="1" x14ac:dyDescent="0.25">
      <c r="A247" s="23">
        <v>18</v>
      </c>
      <c r="B247" s="14" t="s">
        <v>1181</v>
      </c>
      <c r="C247" s="14"/>
      <c r="D247" s="14"/>
      <c r="E247" s="14"/>
      <c r="F247" s="14"/>
      <c r="G247" s="14"/>
      <c r="H247" s="14"/>
      <c r="I247" s="14"/>
    </row>
    <row r="248" spans="1:9" ht="20.100000000000001" customHeight="1" x14ac:dyDescent="0.25">
      <c r="A248" s="23">
        <v>19</v>
      </c>
      <c r="B248" s="48" t="s">
        <v>1182</v>
      </c>
      <c r="C248" s="211" t="str">
        <f>IF(data!AZ73&gt;0,data!AZ73,"")</f>
        <v>x</v>
      </c>
      <c r="D248" s="211" t="str">
        <f>IF(data!BA73&gt;0,data!BA73,"")</f>
        <v>x</v>
      </c>
      <c r="E248" s="211" t="str">
        <f>IF(data!BB73&gt;0,data!BB73,"")</f>
        <v>x</v>
      </c>
      <c r="F248" s="211" t="str">
        <f>IF(data!BC73&gt;0,data!BC73,"")</f>
        <v>x</v>
      </c>
      <c r="G248" s="211" t="str">
        <f>IF(data!BD73&gt;0,data!BD73,"")</f>
        <v>x</v>
      </c>
      <c r="H248" s="211" t="str">
        <f>IF(data!BE73&gt;0,data!BE73,"")</f>
        <v>x</v>
      </c>
      <c r="I248" s="211" t="str">
        <f>IF(data!BF73&gt;0,data!BF73,"")</f>
        <v>x</v>
      </c>
    </row>
    <row r="249" spans="1:9" ht="20.100000000000001" customHeight="1" x14ac:dyDescent="0.25">
      <c r="A249" s="23">
        <v>20</v>
      </c>
      <c r="B249" s="48" t="s">
        <v>1183</v>
      </c>
      <c r="C249" s="211" t="str">
        <f>IF(data!AZ74&gt;0,data!AZ74,"")</f>
        <v>x</v>
      </c>
      <c r="D249" s="211" t="str">
        <f>IF(data!BA74&gt;0,data!BA74,"")</f>
        <v>x</v>
      </c>
      <c r="E249" s="211" t="str">
        <f>IF(data!BB74&gt;0,data!BB74,"")</f>
        <v>x</v>
      </c>
      <c r="F249" s="211" t="str">
        <f>IF(data!BC74&gt;0,data!BC74,"")</f>
        <v>x</v>
      </c>
      <c r="G249" s="211" t="str">
        <f>IF(data!BD74&gt;0,data!BD74,"")</f>
        <v>x</v>
      </c>
      <c r="H249" s="211" t="str">
        <f>IF(data!BE74&gt;0,data!BE74,"")</f>
        <v>x</v>
      </c>
      <c r="I249" s="211" t="str">
        <f>IF(data!BF74&gt;0,data!BF74,"")</f>
        <v>x</v>
      </c>
    </row>
    <row r="250" spans="1:9" ht="20.100000000000001" customHeight="1" x14ac:dyDescent="0.25">
      <c r="A250" s="23">
        <v>21</v>
      </c>
      <c r="B250" s="48" t="s">
        <v>1184</v>
      </c>
      <c r="C250" s="211" t="str">
        <f>IF(data!AZ75&gt;0,data!AZ75,"")</f>
        <v>x</v>
      </c>
      <c r="D250" s="211" t="str">
        <f>IF(data!BA75&gt;0,data!BA75,"")</f>
        <v>x</v>
      </c>
      <c r="E250" s="211" t="str">
        <f>IF(data!BB75&gt;0,data!BB75,"")</f>
        <v>x</v>
      </c>
      <c r="F250" s="211" t="str">
        <f>IF(data!BC75&gt;0,data!BC75,"")</f>
        <v>x</v>
      </c>
      <c r="G250" s="211" t="str">
        <f>IF(data!BD75&gt;0,data!BD75,"")</f>
        <v>x</v>
      </c>
      <c r="H250" s="211" t="str">
        <f>IF(data!BE75&gt;0,data!BE75,"")</f>
        <v>x</v>
      </c>
      <c r="I250" s="211" t="str">
        <f>IF(data!BF75&gt;0,data!BF75,"")</f>
        <v>x</v>
      </c>
    </row>
    <row r="251" spans="1:9" ht="20.100000000000001" customHeight="1" x14ac:dyDescent="0.25">
      <c r="A251" s="23" t="s">
        <v>1185</v>
      </c>
      <c r="B251" s="60"/>
      <c r="C251" s="209"/>
      <c r="D251" s="209"/>
      <c r="E251" s="209"/>
      <c r="F251" s="209"/>
      <c r="G251" s="209"/>
      <c r="H251" s="209"/>
      <c r="I251" s="209"/>
    </row>
    <row r="252" spans="1:9" ht="20.100000000000001" customHeight="1" x14ac:dyDescent="0.25">
      <c r="A252" s="23">
        <v>22</v>
      </c>
      <c r="B252" s="14" t="s">
        <v>1186</v>
      </c>
      <c r="C252" s="85">
        <f>data!AZ76</f>
        <v>5726</v>
      </c>
      <c r="D252" s="85">
        <f>data!BA76</f>
        <v>0</v>
      </c>
      <c r="E252" s="85">
        <f>data!BB76</f>
        <v>0</v>
      </c>
      <c r="F252" s="85">
        <f>data!BC76</f>
        <v>0</v>
      </c>
      <c r="G252" s="85">
        <f>data!BD76</f>
        <v>0</v>
      </c>
      <c r="H252" s="85">
        <f>data!BE76</f>
        <v>23344</v>
      </c>
      <c r="I252" s="85">
        <f>data!BF76</f>
        <v>4143</v>
      </c>
    </row>
    <row r="253" spans="1:9" ht="20.100000000000001" customHeight="1" x14ac:dyDescent="0.25">
      <c r="A253" s="23">
        <v>23</v>
      </c>
      <c r="B253" s="14" t="s">
        <v>1187</v>
      </c>
      <c r="C253" s="85">
        <f>data!AZ77</f>
        <v>43273</v>
      </c>
      <c r="D253" s="85">
        <f>data!BA77</f>
        <v>0</v>
      </c>
      <c r="E253" s="85">
        <f>data!BB77</f>
        <v>0</v>
      </c>
      <c r="F253" s="85">
        <f>data!BC77</f>
        <v>0</v>
      </c>
      <c r="G253" s="211" t="str">
        <f>IF(data!BD77&gt;0,data!BD77,"")</f>
        <v>x</v>
      </c>
      <c r="H253" s="211" t="str">
        <f>IF(data!BE77&gt;0,data!BE77,"")</f>
        <v>x</v>
      </c>
      <c r="I253" s="85">
        <f>data!BF77</f>
        <v>0</v>
      </c>
    </row>
    <row r="254" spans="1:9" ht="20.100000000000001" customHeight="1" x14ac:dyDescent="0.25">
      <c r="A254" s="23">
        <v>24</v>
      </c>
      <c r="B254" s="14" t="s">
        <v>1188</v>
      </c>
      <c r="C254" s="211" t="str">
        <f>IF(data!AZ78&gt;0,data!AZ78,"")</f>
        <v>x</v>
      </c>
      <c r="D254" s="85">
        <f>data!BA78</f>
        <v>0</v>
      </c>
      <c r="E254" s="85">
        <f>data!BB78</f>
        <v>0</v>
      </c>
      <c r="F254" s="85">
        <f>data!BC78</f>
        <v>0</v>
      </c>
      <c r="G254" s="211" t="str">
        <f>IF(data!BD78&gt;0,data!BD78,"")</f>
        <v>x</v>
      </c>
      <c r="H254" s="211" t="str">
        <f>IF(data!BE78&gt;0,data!BE78,"")</f>
        <v>x</v>
      </c>
      <c r="I254" s="211" t="str">
        <f>IF(data!BF78&gt;0,data!BF78,"")</f>
        <v>x</v>
      </c>
    </row>
    <row r="255" spans="1:9" ht="20.100000000000001" customHeight="1" x14ac:dyDescent="0.25">
      <c r="A255" s="23">
        <v>25</v>
      </c>
      <c r="B255" s="14" t="s">
        <v>1189</v>
      </c>
      <c r="C255" s="211" t="str">
        <f>IF(data!AZ79&gt;0,data!AZ79,"")</f>
        <v>x</v>
      </c>
      <c r="D255" s="211" t="str">
        <f>IF(data!BA79&gt;0,data!BA79,"")</f>
        <v>x</v>
      </c>
      <c r="E255" s="85">
        <f>data!BB79</f>
        <v>0</v>
      </c>
      <c r="F255" s="85">
        <f>data!BC79</f>
        <v>0</v>
      </c>
      <c r="G255" s="211" t="str">
        <f>IF(data!BD79&gt;0,data!BD79,"")</f>
        <v>x</v>
      </c>
      <c r="H255" s="211" t="str">
        <f>IF(data!BE79&gt;0,data!BE79,"")</f>
        <v>x</v>
      </c>
      <c r="I255" s="211" t="str">
        <f>IF(data!BF79&gt;0,data!BF79,"")</f>
        <v>x</v>
      </c>
    </row>
    <row r="256" spans="1:9" ht="20.100000000000001" customHeight="1" x14ac:dyDescent="0.25">
      <c r="A256" s="23">
        <v>26</v>
      </c>
      <c r="B256" s="14" t="s">
        <v>252</v>
      </c>
      <c r="C256" s="211" t="str">
        <f>IF(data!AZ80&gt;0,data!AZ80,"")</f>
        <v/>
      </c>
      <c r="D256" s="211" t="str">
        <f>IF(data!BA80&gt;0,data!BA80,"")</f>
        <v/>
      </c>
      <c r="E256" s="211" t="str">
        <f>IF(data!BB80&gt;0,data!BB80,"")</f>
        <v/>
      </c>
      <c r="F256" s="211" t="str">
        <f>IF(data!BC80&gt;0,data!BC80,"")</f>
        <v/>
      </c>
      <c r="G256" s="211" t="str">
        <f>IF(data!BD80&gt;0,data!BD80,"")</f>
        <v/>
      </c>
      <c r="H256" s="211" t="str">
        <f>IF(data!BE80&gt;0,data!BE80,"")</f>
        <v/>
      </c>
      <c r="I256" s="211" t="str">
        <f>IF(data!BF80&gt;0,data!BF80,"")</f>
        <v/>
      </c>
    </row>
    <row r="257" spans="1:9" ht="20.100000000000001" customHeight="1" x14ac:dyDescent="0.25">
      <c r="A257" s="4" t="s">
        <v>1173</v>
      </c>
      <c r="B257" s="5"/>
      <c r="C257" s="5"/>
      <c r="D257" s="6"/>
      <c r="E257" s="5"/>
      <c r="F257" s="5"/>
      <c r="G257" s="5"/>
      <c r="H257" s="5"/>
      <c r="I257" s="4"/>
    </row>
    <row r="258" spans="1:9" ht="20.100000000000001" customHeight="1" x14ac:dyDescent="0.25">
      <c r="A258" s="77"/>
      <c r="C258" s="77"/>
      <c r="D258" s="45"/>
      <c r="E258" s="77"/>
      <c r="F258" s="77"/>
      <c r="G258" s="77"/>
      <c r="H258" s="77"/>
      <c r="I258" s="168" t="s">
        <v>1219</v>
      </c>
    </row>
    <row r="259" spans="1:9" ht="20.100000000000001" customHeight="1" x14ac:dyDescent="0.25">
      <c r="A259" s="45"/>
      <c r="B259" s="77"/>
      <c r="C259" s="77"/>
      <c r="D259" s="77"/>
      <c r="E259" s="77"/>
      <c r="F259" s="77"/>
      <c r="G259" s="77"/>
      <c r="H259" s="77"/>
      <c r="I259" s="77"/>
    </row>
    <row r="260" spans="1:9" ht="20.100000000000001" customHeight="1" x14ac:dyDescent="0.25">
      <c r="A260" s="79" t="str">
        <f>"HOSPITAL NAME: "&amp;data!C84</f>
        <v>HOSPITAL NAME: Highline Medical Center</v>
      </c>
      <c r="B260" s="77"/>
      <c r="C260" s="77"/>
      <c r="D260" s="77"/>
      <c r="E260" s="77"/>
      <c r="F260" s="77"/>
      <c r="G260" s="80"/>
      <c r="H260" s="79" t="str">
        <f>"FYE: "&amp;data!C82</f>
        <v>FYE: 06/30/2019</v>
      </c>
    </row>
    <row r="261" spans="1:9" ht="20.100000000000001" customHeight="1" x14ac:dyDescent="0.25">
      <c r="A261" s="23">
        <v>1</v>
      </c>
      <c r="B261" s="14" t="s">
        <v>209</v>
      </c>
      <c r="C261" s="15" t="s">
        <v>66</v>
      </c>
      <c r="D261" s="15" t="s">
        <v>67</v>
      </c>
      <c r="E261" s="15" t="s">
        <v>68</v>
      </c>
      <c r="F261" s="15" t="s">
        <v>69</v>
      </c>
      <c r="G261" s="15" t="s">
        <v>70</v>
      </c>
      <c r="H261" s="15" t="s">
        <v>71</v>
      </c>
      <c r="I261" s="15" t="s">
        <v>72</v>
      </c>
    </row>
    <row r="262" spans="1:9" ht="20.100000000000001" customHeight="1" x14ac:dyDescent="0.25">
      <c r="A262" s="81">
        <v>2</v>
      </c>
      <c r="B262" s="17" t="s">
        <v>1175</v>
      </c>
      <c r="C262" s="18" t="s">
        <v>1220</v>
      </c>
      <c r="D262" s="18" t="s">
        <v>143</v>
      </c>
      <c r="E262" s="18" t="s">
        <v>144</v>
      </c>
      <c r="F262" s="25"/>
      <c r="G262" s="18" t="s">
        <v>146</v>
      </c>
      <c r="H262" s="25"/>
      <c r="I262" s="18" t="s">
        <v>132</v>
      </c>
    </row>
    <row r="263" spans="1:9" ht="20.100000000000001" customHeight="1" x14ac:dyDescent="0.25">
      <c r="A263" s="82"/>
      <c r="B263" s="83"/>
      <c r="C263" s="18" t="s">
        <v>1221</v>
      </c>
      <c r="D263" s="18" t="s">
        <v>190</v>
      </c>
      <c r="E263" s="18" t="s">
        <v>169</v>
      </c>
      <c r="F263" s="18" t="s">
        <v>145</v>
      </c>
      <c r="G263" s="18" t="s">
        <v>191</v>
      </c>
      <c r="H263" s="18" t="s">
        <v>147</v>
      </c>
      <c r="I263" s="18" t="s">
        <v>1222</v>
      </c>
    </row>
    <row r="264" spans="1:9" ht="20.100000000000001" customHeight="1" x14ac:dyDescent="0.25">
      <c r="A264" s="23">
        <v>3</v>
      </c>
      <c r="B264" s="14" t="s">
        <v>1179</v>
      </c>
      <c r="C264" s="210"/>
      <c r="D264" s="210"/>
      <c r="E264" s="210"/>
      <c r="F264" s="210"/>
      <c r="G264" s="210"/>
      <c r="H264" s="210"/>
      <c r="I264" s="210"/>
    </row>
    <row r="265" spans="1:9" ht="20.100000000000001" customHeight="1" x14ac:dyDescent="0.25">
      <c r="A265" s="23">
        <v>4</v>
      </c>
      <c r="B265" s="14" t="s">
        <v>233</v>
      </c>
      <c r="C265" s="210"/>
      <c r="D265" s="210"/>
      <c r="E265" s="210"/>
      <c r="F265" s="210"/>
      <c r="G265" s="210"/>
      <c r="H265" s="210"/>
      <c r="I265" s="210"/>
    </row>
    <row r="266" spans="1:9" ht="20.100000000000001" customHeight="1" x14ac:dyDescent="0.25">
      <c r="A266" s="23">
        <v>5</v>
      </c>
      <c r="B266" s="14" t="s">
        <v>234</v>
      </c>
      <c r="C266" s="26">
        <f>data!BG60</f>
        <v>0</v>
      </c>
      <c r="D266" s="26">
        <f>data!BH60</f>
        <v>0</v>
      </c>
      <c r="E266" s="26">
        <f>data!BI60</f>
        <v>0</v>
      </c>
      <c r="F266" s="26">
        <f>data!BJ60</f>
        <v>0</v>
      </c>
      <c r="G266" s="26">
        <f>data!BK60</f>
        <v>1.5625000000000001E-3</v>
      </c>
      <c r="H266" s="26">
        <f>data!BL60</f>
        <v>1.8461538461538463</v>
      </c>
      <c r="I266" s="26">
        <f>data!BM60</f>
        <v>0</v>
      </c>
    </row>
    <row r="267" spans="1:9" ht="20.100000000000001" customHeight="1" x14ac:dyDescent="0.25">
      <c r="A267" s="23">
        <v>6</v>
      </c>
      <c r="B267" s="14" t="s">
        <v>235</v>
      </c>
      <c r="C267" s="14">
        <f>data!BG61</f>
        <v>0</v>
      </c>
      <c r="D267" s="14">
        <f>data!BH61</f>
        <v>0</v>
      </c>
      <c r="E267" s="14">
        <f>data!BI61</f>
        <v>0</v>
      </c>
      <c r="F267" s="14">
        <f>data!BJ61</f>
        <v>0</v>
      </c>
      <c r="G267" s="14">
        <f>data!BK61</f>
        <v>152.98000000000002</v>
      </c>
      <c r="H267" s="14">
        <f>data!BL61</f>
        <v>83980.800000000003</v>
      </c>
      <c r="I267" s="14">
        <f>data!BM61</f>
        <v>0</v>
      </c>
    </row>
    <row r="268" spans="1:9" ht="20.100000000000001" customHeight="1" x14ac:dyDescent="0.25">
      <c r="A268" s="23">
        <v>7</v>
      </c>
      <c r="B268" s="14" t="s">
        <v>3</v>
      </c>
      <c r="C268" s="14">
        <f>data!BG62</f>
        <v>0</v>
      </c>
      <c r="D268" s="14">
        <f>data!BH62</f>
        <v>0</v>
      </c>
      <c r="E268" s="14">
        <f>data!BI62</f>
        <v>0</v>
      </c>
      <c r="F268" s="14">
        <f>data!BJ62</f>
        <v>0</v>
      </c>
      <c r="G268" s="14">
        <f>data!BK62</f>
        <v>12</v>
      </c>
      <c r="H268" s="14">
        <f>data!BL62</f>
        <v>29862</v>
      </c>
      <c r="I268" s="14">
        <f>data!BM62</f>
        <v>0</v>
      </c>
    </row>
    <row r="269" spans="1:9" ht="20.100000000000001" customHeight="1" x14ac:dyDescent="0.25">
      <c r="A269" s="23">
        <v>8</v>
      </c>
      <c r="B269" s="14" t="s">
        <v>236</v>
      </c>
      <c r="C269" s="14">
        <f>data!BG63</f>
        <v>0</v>
      </c>
      <c r="D269" s="14">
        <f>data!BH63</f>
        <v>0</v>
      </c>
      <c r="E269" s="14">
        <f>data!BI63</f>
        <v>0</v>
      </c>
      <c r="F269" s="14">
        <f>data!BJ63</f>
        <v>0</v>
      </c>
      <c r="G269" s="14">
        <f>data!BK63</f>
        <v>0</v>
      </c>
      <c r="H269" s="14">
        <f>data!BL63</f>
        <v>0</v>
      </c>
      <c r="I269" s="14">
        <f>data!BM63</f>
        <v>0</v>
      </c>
    </row>
    <row r="270" spans="1:9" ht="20.100000000000001" customHeight="1" x14ac:dyDescent="0.25">
      <c r="A270" s="23">
        <v>9</v>
      </c>
      <c r="B270" s="14" t="s">
        <v>237</v>
      </c>
      <c r="C270" s="14">
        <f>data!BG64</f>
        <v>0</v>
      </c>
      <c r="D270" s="14">
        <f>data!BH64</f>
        <v>0</v>
      </c>
      <c r="E270" s="14">
        <f>data!BI64</f>
        <v>0</v>
      </c>
      <c r="F270" s="14">
        <f>data!BJ64</f>
        <v>0</v>
      </c>
      <c r="G270" s="14">
        <f>data!BK64</f>
        <v>0</v>
      </c>
      <c r="H270" s="14">
        <f>data!BL64</f>
        <v>21352.93</v>
      </c>
      <c r="I270" s="14">
        <f>data!BM64</f>
        <v>0</v>
      </c>
    </row>
    <row r="271" spans="1:9" ht="20.100000000000001" customHeight="1" x14ac:dyDescent="0.25">
      <c r="A271" s="23">
        <v>10</v>
      </c>
      <c r="B271" s="14" t="s">
        <v>444</v>
      </c>
      <c r="C271" s="14">
        <f>data!BG65</f>
        <v>0</v>
      </c>
      <c r="D271" s="14">
        <f>data!BH65</f>
        <v>0</v>
      </c>
      <c r="E271" s="14">
        <f>data!BI65</f>
        <v>0</v>
      </c>
      <c r="F271" s="14">
        <f>data!BJ65</f>
        <v>0</v>
      </c>
      <c r="G271" s="14">
        <f>data!BK65</f>
        <v>0</v>
      </c>
      <c r="H271" s="14">
        <f>data!BL65</f>
        <v>94.6</v>
      </c>
      <c r="I271" s="14">
        <f>data!BM65</f>
        <v>0</v>
      </c>
    </row>
    <row r="272" spans="1:9" ht="20.100000000000001" customHeight="1" x14ac:dyDescent="0.25">
      <c r="A272" s="23">
        <v>11</v>
      </c>
      <c r="B272" s="14" t="s">
        <v>445</v>
      </c>
      <c r="C272" s="14">
        <f>data!BG66</f>
        <v>332227.36107000004</v>
      </c>
      <c r="D272" s="14">
        <f>data!BH66</f>
        <v>918277.19082000002</v>
      </c>
      <c r="E272" s="14">
        <f>data!BI66</f>
        <v>0</v>
      </c>
      <c r="F272" s="14">
        <f>data!BJ66</f>
        <v>426244.97519999993</v>
      </c>
      <c r="G272" s="14">
        <f>data!BK66</f>
        <v>3466391.3734293613</v>
      </c>
      <c r="H272" s="14">
        <f>data!BL66</f>
        <v>2119664.3460600004</v>
      </c>
      <c r="I272" s="14">
        <f>data!BM66</f>
        <v>0</v>
      </c>
    </row>
    <row r="273" spans="1:9" ht="20.100000000000001" customHeight="1" x14ac:dyDescent="0.25">
      <c r="A273" s="23">
        <v>12</v>
      </c>
      <c r="B273" s="14" t="s">
        <v>6</v>
      </c>
      <c r="C273" s="14">
        <f>data!BG67</f>
        <v>0</v>
      </c>
      <c r="D273" s="14">
        <f>data!BH67</f>
        <v>0</v>
      </c>
      <c r="E273" s="14">
        <f>data!BI67</f>
        <v>0</v>
      </c>
      <c r="F273" s="14">
        <f>data!BJ67</f>
        <v>0</v>
      </c>
      <c r="G273" s="14">
        <f>data!BK67</f>
        <v>741</v>
      </c>
      <c r="H273" s="14">
        <f>data!BL67</f>
        <v>20187</v>
      </c>
      <c r="I273" s="14">
        <f>data!BM67</f>
        <v>0</v>
      </c>
    </row>
    <row r="274" spans="1:9" ht="20.100000000000001" customHeight="1" x14ac:dyDescent="0.25">
      <c r="A274" s="23">
        <v>13</v>
      </c>
      <c r="B274" s="14" t="s">
        <v>474</v>
      </c>
      <c r="C274" s="14">
        <f>data!BG68</f>
        <v>0</v>
      </c>
      <c r="D274" s="14">
        <f>data!BH68</f>
        <v>0</v>
      </c>
      <c r="E274" s="14">
        <f>data!BI68</f>
        <v>0</v>
      </c>
      <c r="F274" s="14">
        <f>data!BJ68</f>
        <v>0</v>
      </c>
      <c r="G274" s="14">
        <f>data!BK68</f>
        <v>0</v>
      </c>
      <c r="H274" s="14">
        <f>data!BL68</f>
        <v>4316.09</v>
      </c>
      <c r="I274" s="14">
        <f>data!BM68</f>
        <v>0</v>
      </c>
    </row>
    <row r="275" spans="1:9" ht="20.100000000000001" customHeight="1" x14ac:dyDescent="0.25">
      <c r="A275" s="23">
        <v>14</v>
      </c>
      <c r="B275" s="14" t="s">
        <v>241</v>
      </c>
      <c r="C275" s="14">
        <f>data!BG69</f>
        <v>0</v>
      </c>
      <c r="D275" s="14">
        <f>data!BH69</f>
        <v>0</v>
      </c>
      <c r="E275" s="14">
        <f>data!BI69</f>
        <v>0</v>
      </c>
      <c r="F275" s="14">
        <f>data!BJ69</f>
        <v>0</v>
      </c>
      <c r="G275" s="14">
        <f>data!BK69</f>
        <v>0</v>
      </c>
      <c r="H275" s="14">
        <f>data!BL69</f>
        <v>40.53</v>
      </c>
      <c r="I275" s="14">
        <f>data!BM69</f>
        <v>0</v>
      </c>
    </row>
    <row r="276" spans="1:9" ht="20.100000000000001" customHeight="1" x14ac:dyDescent="0.25">
      <c r="A276" s="23">
        <v>15</v>
      </c>
      <c r="B276" s="14" t="s">
        <v>242</v>
      </c>
      <c r="C276" s="14">
        <f>-data!BG70</f>
        <v>0</v>
      </c>
      <c r="D276" s="14">
        <f>-data!BH70</f>
        <v>0</v>
      </c>
      <c r="E276" s="14">
        <f>-data!BI70</f>
        <v>0</v>
      </c>
      <c r="F276" s="14">
        <f>-data!BJ70</f>
        <v>0</v>
      </c>
      <c r="G276" s="14">
        <f>-data!BK70</f>
        <v>0</v>
      </c>
      <c r="H276" s="14">
        <f>-data!BL70</f>
        <v>0</v>
      </c>
      <c r="I276" s="14">
        <f>-data!BM70</f>
        <v>0</v>
      </c>
    </row>
    <row r="277" spans="1:9" ht="20.100000000000001" customHeight="1" x14ac:dyDescent="0.25">
      <c r="A277" s="23">
        <v>16</v>
      </c>
      <c r="B277" s="48" t="s">
        <v>1180</v>
      </c>
      <c r="C277" s="14">
        <f>data!BG71</f>
        <v>332227.36107000004</v>
      </c>
      <c r="D277" s="14">
        <f>data!BH71</f>
        <v>918277.19082000002</v>
      </c>
      <c r="E277" s="14">
        <f>data!BI71</f>
        <v>0</v>
      </c>
      <c r="F277" s="14">
        <f>data!BJ71</f>
        <v>426244.97519999993</v>
      </c>
      <c r="G277" s="14">
        <f>data!BK71</f>
        <v>3467297.3534293612</v>
      </c>
      <c r="H277" s="14">
        <f>data!BL71</f>
        <v>2279498.2960600001</v>
      </c>
      <c r="I277" s="14">
        <f>data!BM71</f>
        <v>0</v>
      </c>
    </row>
    <row r="278" spans="1:9" ht="20.100000000000001" customHeight="1" x14ac:dyDescent="0.25">
      <c r="A278" s="23">
        <v>17</v>
      </c>
      <c r="B278" s="14" t="s">
        <v>244</v>
      </c>
      <c r="C278" s="209"/>
      <c r="D278" s="209"/>
      <c r="E278" s="209"/>
      <c r="F278" s="209"/>
      <c r="G278" s="209"/>
      <c r="H278" s="209"/>
      <c r="I278" s="209"/>
    </row>
    <row r="279" spans="1:9" ht="20.100000000000001" customHeight="1" x14ac:dyDescent="0.25">
      <c r="A279" s="23">
        <v>18</v>
      </c>
      <c r="B279" s="14" t="s">
        <v>1181</v>
      </c>
      <c r="C279" s="14"/>
      <c r="D279" s="14"/>
      <c r="E279" s="14"/>
      <c r="F279" s="14"/>
      <c r="G279" s="14"/>
      <c r="H279" s="14"/>
      <c r="I279" s="14"/>
    </row>
    <row r="280" spans="1:9" ht="20.100000000000001" customHeight="1" x14ac:dyDescent="0.25">
      <c r="A280" s="23">
        <v>19</v>
      </c>
      <c r="B280" s="48" t="s">
        <v>1182</v>
      </c>
      <c r="C280" s="211" t="str">
        <f>IF(data!BG73&gt;0,data!BG73,"")</f>
        <v>x</v>
      </c>
      <c r="D280" s="211" t="str">
        <f>IF(data!BH73&gt;0,data!BH73,"")</f>
        <v>x</v>
      </c>
      <c r="E280" s="211" t="str">
        <f>IF(data!BI73&gt;0,data!BI73,"")</f>
        <v>x</v>
      </c>
      <c r="F280" s="211" t="str">
        <f>IF(data!BJ73&gt;0,data!BJ73,"")</f>
        <v>x</v>
      </c>
      <c r="G280" s="211" t="str">
        <f>IF(data!BK73&gt;0,data!BK73,"")</f>
        <v>x</v>
      </c>
      <c r="H280" s="211" t="str">
        <f>IF(data!BL73&gt;0,data!BL73,"")</f>
        <v>x</v>
      </c>
      <c r="I280" s="211" t="str">
        <f>IF(data!BM73&gt;0,data!BM73,"")</f>
        <v>x</v>
      </c>
    </row>
    <row r="281" spans="1:9" ht="20.100000000000001" customHeight="1" x14ac:dyDescent="0.25">
      <c r="A281" s="23">
        <v>20</v>
      </c>
      <c r="B281" s="48" t="s">
        <v>1183</v>
      </c>
      <c r="C281" s="211" t="str">
        <f>IF(data!BG74&gt;0,data!BG74,"")</f>
        <v>x</v>
      </c>
      <c r="D281" s="211" t="str">
        <f>IF(data!BH74&gt;0,data!BH74,"")</f>
        <v>x</v>
      </c>
      <c r="E281" s="211" t="str">
        <f>IF(data!BI74&gt;0,data!BI74,"")</f>
        <v>x</v>
      </c>
      <c r="F281" s="211" t="str">
        <f>IF(data!BJ74&gt;0,data!BJ74,"")</f>
        <v>x</v>
      </c>
      <c r="G281" s="211" t="str">
        <f>IF(data!BK74&gt;0,data!BK74,"")</f>
        <v>x</v>
      </c>
      <c r="H281" s="211" t="str">
        <f>IF(data!BL74&gt;0,data!BL74,"")</f>
        <v>x</v>
      </c>
      <c r="I281" s="211" t="str">
        <f>IF(data!BM74&gt;0,data!BM74,"")</f>
        <v>x</v>
      </c>
    </row>
    <row r="282" spans="1:9" ht="20.100000000000001" customHeight="1" x14ac:dyDescent="0.25">
      <c r="A282" s="23">
        <v>21</v>
      </c>
      <c r="B282" s="48" t="s">
        <v>1184</v>
      </c>
      <c r="C282" s="211" t="str">
        <f>IF(data!BG75&gt;0,data!BG75,"")</f>
        <v>x</v>
      </c>
      <c r="D282" s="211" t="str">
        <f>IF(data!BH75&gt;0,data!BH75,"")</f>
        <v>x</v>
      </c>
      <c r="E282" s="211" t="str">
        <f>IF(data!BI75&gt;0,data!BI75,"")</f>
        <v>x</v>
      </c>
      <c r="F282" s="211" t="str">
        <f>IF(data!BJ75&gt;0,data!BJ75,"")</f>
        <v>x</v>
      </c>
      <c r="G282" s="211" t="str">
        <f>IF(data!BK75&gt;0,data!BK75,"")</f>
        <v>x</v>
      </c>
      <c r="H282" s="211" t="str">
        <f>IF(data!BL75&gt;0,data!BL75,"")</f>
        <v>x</v>
      </c>
      <c r="I282" s="211" t="str">
        <f>IF(data!BM75&gt;0,data!BM75,"")</f>
        <v>x</v>
      </c>
    </row>
    <row r="283" spans="1:9" ht="20.100000000000001" customHeight="1" x14ac:dyDescent="0.25">
      <c r="A283" s="23" t="s">
        <v>1185</v>
      </c>
      <c r="B283" s="60"/>
      <c r="C283" s="213"/>
      <c r="D283" s="213"/>
      <c r="E283" s="213"/>
      <c r="F283" s="213"/>
      <c r="G283" s="213"/>
      <c r="H283" s="213"/>
      <c r="I283" s="213"/>
    </row>
    <row r="284" spans="1:9" ht="20.100000000000001" customHeight="1" x14ac:dyDescent="0.25">
      <c r="A284" s="23">
        <v>22</v>
      </c>
      <c r="B284" s="14" t="s">
        <v>1186</v>
      </c>
      <c r="C284" s="85">
        <f>data!BG76</f>
        <v>0</v>
      </c>
      <c r="D284" s="85">
        <f>data!BH76</f>
        <v>0</v>
      </c>
      <c r="E284" s="85">
        <f>data!BI76</f>
        <v>266</v>
      </c>
      <c r="F284" s="85">
        <f>data!BJ76</f>
        <v>0</v>
      </c>
      <c r="G284" s="85">
        <f>data!BK76</f>
        <v>0</v>
      </c>
      <c r="H284" s="85">
        <f>data!BL76</f>
        <v>0</v>
      </c>
      <c r="I284" s="85">
        <f>data!BM76</f>
        <v>0</v>
      </c>
    </row>
    <row r="285" spans="1:9" ht="20.100000000000001" customHeight="1" x14ac:dyDescent="0.25">
      <c r="A285" s="23">
        <v>23</v>
      </c>
      <c r="B285" s="14" t="s">
        <v>1187</v>
      </c>
      <c r="C285" s="211" t="str">
        <f>IF(data!BG77&gt;0,data!BG77,"")</f>
        <v>x</v>
      </c>
      <c r="D285" s="85">
        <f>data!BH77</f>
        <v>0</v>
      </c>
      <c r="E285" s="85">
        <f>data!BI77</f>
        <v>0</v>
      </c>
      <c r="F285" s="211" t="str">
        <f>IF(data!BJ77&gt;0,data!BJ77,"")</f>
        <v>x</v>
      </c>
      <c r="G285" s="85">
        <f>data!BK77</f>
        <v>0</v>
      </c>
      <c r="H285" s="85">
        <f>data!BL77</f>
        <v>0</v>
      </c>
      <c r="I285" s="85">
        <f>data!BM77</f>
        <v>0</v>
      </c>
    </row>
    <row r="286" spans="1:9" ht="20.100000000000001" customHeight="1" x14ac:dyDescent="0.25">
      <c r="A286" s="23">
        <v>24</v>
      </c>
      <c r="B286" s="14" t="s">
        <v>1188</v>
      </c>
      <c r="C286" s="211" t="str">
        <f>IF(data!BG78&gt;0,data!BG78,"")</f>
        <v>x</v>
      </c>
      <c r="D286" s="85">
        <f>data!BH78</f>
        <v>0</v>
      </c>
      <c r="E286" s="85">
        <f>data!BI78</f>
        <v>76.185082968620634</v>
      </c>
      <c r="F286" s="211" t="str">
        <f>IF(data!BJ78&gt;0,data!BJ78,"")</f>
        <v>x</v>
      </c>
      <c r="G286" s="85">
        <f>data!BK78</f>
        <v>0</v>
      </c>
      <c r="H286" s="85">
        <f>data!BL78</f>
        <v>0</v>
      </c>
      <c r="I286" s="85">
        <f>data!BM78</f>
        <v>0</v>
      </c>
    </row>
    <row r="287" spans="1:9" ht="20.100000000000001" customHeight="1" x14ac:dyDescent="0.25">
      <c r="A287" s="23">
        <v>25</v>
      </c>
      <c r="B287" s="14" t="s">
        <v>1189</v>
      </c>
      <c r="C287" s="211" t="str">
        <f>IF(data!BG79&gt;0,data!BG79,"")</f>
        <v>x</v>
      </c>
      <c r="D287" s="85">
        <f>data!BH79</f>
        <v>0</v>
      </c>
      <c r="E287" s="85">
        <f>data!BI79</f>
        <v>0</v>
      </c>
      <c r="F287" s="211" t="str">
        <f>IF(data!BJ79&gt;0,data!BJ79,"")</f>
        <v>x</v>
      </c>
      <c r="G287" s="85">
        <f>data!BK79</f>
        <v>0</v>
      </c>
      <c r="H287" s="85">
        <f>data!BL79</f>
        <v>0</v>
      </c>
      <c r="I287" s="85">
        <f>data!BM79</f>
        <v>0</v>
      </c>
    </row>
    <row r="288" spans="1:9" ht="20.100000000000001" customHeight="1" x14ac:dyDescent="0.25">
      <c r="A288" s="23">
        <v>26</v>
      </c>
      <c r="B288" s="14" t="s">
        <v>252</v>
      </c>
      <c r="C288" s="211" t="str">
        <f>IF(data!BG80&gt;0,data!BG80,"")</f>
        <v/>
      </c>
      <c r="D288" s="211" t="str">
        <f>IF(data!BH80&gt;0,data!BH80,"")</f>
        <v/>
      </c>
      <c r="E288" s="211" t="str">
        <f>IF(data!BI80&gt;0,data!BI80,"")</f>
        <v/>
      </c>
      <c r="F288" s="211" t="str">
        <f>IF(data!BJ80&gt;0,data!BJ80,"")</f>
        <v/>
      </c>
      <c r="G288" s="211" t="str">
        <f>IF(data!BK80&gt;0,data!BK80,"")</f>
        <v/>
      </c>
      <c r="H288" s="211" t="str">
        <f>IF(data!BL80&gt;0,data!BL80,"")</f>
        <v/>
      </c>
      <c r="I288" s="211" t="str">
        <f>IF(data!BM80&gt;0,data!BM80,"")</f>
        <v/>
      </c>
    </row>
    <row r="289" spans="1:9" ht="20.100000000000001" customHeight="1" x14ac:dyDescent="0.25">
      <c r="A289" s="4" t="s">
        <v>1173</v>
      </c>
      <c r="B289" s="5"/>
      <c r="C289" s="5"/>
      <c r="D289" s="6"/>
      <c r="E289" s="5"/>
      <c r="F289" s="5"/>
      <c r="G289" s="5"/>
      <c r="H289" s="5"/>
      <c r="I289" s="4"/>
    </row>
    <row r="290" spans="1:9" ht="20.100000000000001" customHeight="1" x14ac:dyDescent="0.25">
      <c r="A290" s="77"/>
      <c r="B290" s="77"/>
      <c r="C290" s="77"/>
      <c r="D290" s="45"/>
      <c r="E290" s="77"/>
      <c r="F290" s="77"/>
      <c r="G290" s="77"/>
      <c r="H290" s="77"/>
      <c r="I290" s="168" t="s">
        <v>1223</v>
      </c>
    </row>
    <row r="291" spans="1:9" ht="20.100000000000001" customHeight="1" x14ac:dyDescent="0.25">
      <c r="A291" s="45"/>
      <c r="B291" s="77"/>
      <c r="C291" s="77"/>
      <c r="D291" s="77"/>
      <c r="E291" s="77"/>
      <c r="F291" s="77"/>
      <c r="G291" s="77"/>
      <c r="H291" s="77"/>
      <c r="I291" s="77"/>
    </row>
    <row r="292" spans="1:9" ht="20.100000000000001" customHeight="1" x14ac:dyDescent="0.25">
      <c r="A292" s="79" t="str">
        <f>"HOSPITAL NAME: "&amp;data!C84</f>
        <v>HOSPITAL NAME: Highline Medical Center</v>
      </c>
      <c r="B292" s="77"/>
      <c r="C292" s="77"/>
      <c r="D292" s="77"/>
      <c r="E292" s="77"/>
      <c r="F292" s="77"/>
      <c r="G292" s="80"/>
      <c r="H292" s="79" t="str">
        <f>"FYE: "&amp;data!C82</f>
        <v>FYE: 06/30/2019</v>
      </c>
    </row>
    <row r="293" spans="1:9" ht="20.100000000000001" customHeight="1" x14ac:dyDescent="0.25">
      <c r="A293" s="23">
        <v>1</v>
      </c>
      <c r="B293" s="14" t="s">
        <v>209</v>
      </c>
      <c r="C293" s="15" t="s">
        <v>73</v>
      </c>
      <c r="D293" s="15" t="s">
        <v>74</v>
      </c>
      <c r="E293" s="15" t="s">
        <v>75</v>
      </c>
      <c r="F293" s="15" t="s">
        <v>76</v>
      </c>
      <c r="G293" s="15" t="s">
        <v>77</v>
      </c>
      <c r="H293" s="15" t="s">
        <v>78</v>
      </c>
      <c r="I293" s="15" t="s">
        <v>79</v>
      </c>
    </row>
    <row r="294" spans="1:9" ht="20.100000000000001" customHeight="1" x14ac:dyDescent="0.25">
      <c r="A294" s="81">
        <v>2</v>
      </c>
      <c r="B294" s="17" t="s">
        <v>1175</v>
      </c>
      <c r="C294" s="18" t="s">
        <v>148</v>
      </c>
      <c r="D294" s="18" t="s">
        <v>149</v>
      </c>
      <c r="E294" s="18" t="s">
        <v>150</v>
      </c>
      <c r="F294" s="18" t="s">
        <v>151</v>
      </c>
      <c r="G294" s="25"/>
      <c r="H294" s="18" t="s">
        <v>153</v>
      </c>
      <c r="I294" s="18" t="s">
        <v>154</v>
      </c>
    </row>
    <row r="295" spans="1:9" ht="20.100000000000001" customHeight="1" x14ac:dyDescent="0.25">
      <c r="A295" s="82"/>
      <c r="B295" s="83"/>
      <c r="C295" s="18" t="s">
        <v>1224</v>
      </c>
      <c r="D295" s="18" t="s">
        <v>194</v>
      </c>
      <c r="E295" s="18" t="s">
        <v>195</v>
      </c>
      <c r="F295" s="18" t="s">
        <v>196</v>
      </c>
      <c r="G295" s="18" t="s">
        <v>152</v>
      </c>
      <c r="H295" s="18" t="s">
        <v>197</v>
      </c>
      <c r="I295" s="18" t="s">
        <v>169</v>
      </c>
    </row>
    <row r="296" spans="1:9" ht="20.100000000000001" customHeight="1" x14ac:dyDescent="0.25">
      <c r="A296" s="23">
        <v>3</v>
      </c>
      <c r="B296" s="14" t="s">
        <v>1179</v>
      </c>
      <c r="C296" s="210"/>
      <c r="D296" s="210"/>
      <c r="E296" s="210"/>
      <c r="F296" s="210"/>
      <c r="G296" s="210"/>
      <c r="H296" s="210"/>
      <c r="I296" s="210"/>
    </row>
    <row r="297" spans="1:9" ht="20.100000000000001" customHeight="1" x14ac:dyDescent="0.25">
      <c r="A297" s="23">
        <v>4</v>
      </c>
      <c r="B297" s="14" t="s">
        <v>233</v>
      </c>
      <c r="C297" s="210"/>
      <c r="D297" s="210"/>
      <c r="E297" s="210"/>
      <c r="F297" s="210"/>
      <c r="G297" s="210"/>
      <c r="H297" s="210"/>
      <c r="I297" s="210"/>
    </row>
    <row r="298" spans="1:9" ht="20.100000000000001" customHeight="1" x14ac:dyDescent="0.25">
      <c r="A298" s="23">
        <v>5</v>
      </c>
      <c r="B298" s="14" t="s">
        <v>234</v>
      </c>
      <c r="C298" s="26">
        <f>data!BN60</f>
        <v>16.26594230769231</v>
      </c>
      <c r="D298" s="26">
        <f>data!BO60</f>
        <v>5.6130096153846161</v>
      </c>
      <c r="E298" s="26">
        <f>data!BP60</f>
        <v>0</v>
      </c>
      <c r="F298" s="26">
        <f>data!BQ60</f>
        <v>0</v>
      </c>
      <c r="G298" s="26">
        <f>data!BR60</f>
        <v>2.2056923076923072</v>
      </c>
      <c r="H298" s="26">
        <f>data!BS60</f>
        <v>0.32836538461538461</v>
      </c>
      <c r="I298" s="26">
        <f>data!BT60</f>
        <v>0</v>
      </c>
    </row>
    <row r="299" spans="1:9" ht="20.100000000000001" customHeight="1" x14ac:dyDescent="0.25">
      <c r="A299" s="23">
        <v>6</v>
      </c>
      <c r="B299" s="14" t="s">
        <v>235</v>
      </c>
      <c r="C299" s="14">
        <f>data!BN61</f>
        <v>1495964.51</v>
      </c>
      <c r="D299" s="14">
        <f>data!BO61</f>
        <v>344862.5</v>
      </c>
      <c r="E299" s="14">
        <f>data!BP61</f>
        <v>0</v>
      </c>
      <c r="F299" s="14">
        <f>data!BQ61</f>
        <v>0</v>
      </c>
      <c r="G299" s="14">
        <f>data!BR61</f>
        <v>296046.89</v>
      </c>
      <c r="H299" s="14">
        <f>data!BS61</f>
        <v>11088.41</v>
      </c>
      <c r="I299" s="14">
        <f>data!BT61</f>
        <v>0</v>
      </c>
    </row>
    <row r="300" spans="1:9" ht="20.100000000000001" customHeight="1" x14ac:dyDescent="0.25">
      <c r="A300" s="23">
        <v>7</v>
      </c>
      <c r="B300" s="14" t="s">
        <v>3</v>
      </c>
      <c r="C300" s="14">
        <f>data!BN62</f>
        <v>412401</v>
      </c>
      <c r="D300" s="14">
        <f>data!BO62</f>
        <v>122157</v>
      </c>
      <c r="E300" s="14">
        <f>data!BP62</f>
        <v>0</v>
      </c>
      <c r="F300" s="14">
        <f>data!BQ62</f>
        <v>0</v>
      </c>
      <c r="G300" s="14">
        <f>data!BR62</f>
        <v>66404</v>
      </c>
      <c r="H300" s="14">
        <f>data!BS62</f>
        <v>5902</v>
      </c>
      <c r="I300" s="14">
        <f>data!BT62</f>
        <v>0</v>
      </c>
    </row>
    <row r="301" spans="1:9" ht="20.100000000000001" customHeight="1" x14ac:dyDescent="0.25">
      <c r="A301" s="23">
        <v>8</v>
      </c>
      <c r="B301" s="14" t="s">
        <v>236</v>
      </c>
      <c r="C301" s="14">
        <f>data!BN63</f>
        <v>0</v>
      </c>
      <c r="D301" s="14">
        <f>data!BO63</f>
        <v>0</v>
      </c>
      <c r="E301" s="14">
        <f>data!BP63</f>
        <v>0</v>
      </c>
      <c r="F301" s="14">
        <f>data!BQ63</f>
        <v>0</v>
      </c>
      <c r="G301" s="14">
        <f>data!BR63</f>
        <v>900</v>
      </c>
      <c r="H301" s="14">
        <f>data!BS63</f>
        <v>0</v>
      </c>
      <c r="I301" s="14">
        <f>data!BT63</f>
        <v>0</v>
      </c>
    </row>
    <row r="302" spans="1:9" ht="20.100000000000001" customHeight="1" x14ac:dyDescent="0.25">
      <c r="A302" s="23">
        <v>9</v>
      </c>
      <c r="B302" s="14" t="s">
        <v>237</v>
      </c>
      <c r="C302" s="14">
        <f>data!BN64</f>
        <v>49090.229999999989</v>
      </c>
      <c r="D302" s="14">
        <f>data!BO64</f>
        <v>6981.6500000000005</v>
      </c>
      <c r="E302" s="14">
        <f>data!BP64</f>
        <v>0</v>
      </c>
      <c r="F302" s="14">
        <f>data!BQ64</f>
        <v>0</v>
      </c>
      <c r="G302" s="14">
        <f>data!BR64</f>
        <v>15211.439999999999</v>
      </c>
      <c r="H302" s="14">
        <f>data!BS64</f>
        <v>38733.14</v>
      </c>
      <c r="I302" s="14">
        <f>data!BT64</f>
        <v>95.78</v>
      </c>
    </row>
    <row r="303" spans="1:9" ht="20.100000000000001" customHeight="1" x14ac:dyDescent="0.25">
      <c r="A303" s="23">
        <v>10</v>
      </c>
      <c r="B303" s="14" t="s">
        <v>444</v>
      </c>
      <c r="C303" s="14">
        <f>data!BN65</f>
        <v>2610</v>
      </c>
      <c r="D303" s="14">
        <f>data!BO65</f>
        <v>3745.51</v>
      </c>
      <c r="E303" s="14">
        <f>data!BP65</f>
        <v>0</v>
      </c>
      <c r="F303" s="14">
        <f>data!BQ65</f>
        <v>0</v>
      </c>
      <c r="G303" s="14">
        <f>data!BR65</f>
        <v>0</v>
      </c>
      <c r="H303" s="14">
        <f>data!BS65</f>
        <v>0</v>
      </c>
      <c r="I303" s="14">
        <f>data!BT65</f>
        <v>0</v>
      </c>
    </row>
    <row r="304" spans="1:9" ht="20.100000000000001" customHeight="1" x14ac:dyDescent="0.25">
      <c r="A304" s="23">
        <v>11</v>
      </c>
      <c r="B304" s="14" t="s">
        <v>445</v>
      </c>
      <c r="C304" s="14">
        <f>data!BN66</f>
        <v>3092216.9123059548</v>
      </c>
      <c r="D304" s="14">
        <f>data!BO66</f>
        <v>253355.64094000001</v>
      </c>
      <c r="E304" s="14">
        <f>data!BP66</f>
        <v>1327451.4039599998</v>
      </c>
      <c r="F304" s="14">
        <f>data!BQ66</f>
        <v>0</v>
      </c>
      <c r="G304" s="14">
        <f>data!BR66</f>
        <v>779815.70418999984</v>
      </c>
      <c r="H304" s="14">
        <f>data!BS66</f>
        <v>69599.493809999985</v>
      </c>
      <c r="I304" s="14">
        <f>data!BT66</f>
        <v>119162.82410999999</v>
      </c>
    </row>
    <row r="305" spans="1:9" ht="20.100000000000001" customHeight="1" x14ac:dyDescent="0.25">
      <c r="A305" s="23">
        <v>12</v>
      </c>
      <c r="B305" s="14" t="s">
        <v>6</v>
      </c>
      <c r="C305" s="14">
        <f>data!BN67</f>
        <v>87007</v>
      </c>
      <c r="D305" s="14">
        <f>data!BO67</f>
        <v>0</v>
      </c>
      <c r="E305" s="14">
        <f>data!BP67</f>
        <v>0</v>
      </c>
      <c r="F305" s="14">
        <f>data!BQ67</f>
        <v>0</v>
      </c>
      <c r="G305" s="14">
        <f>data!BR67</f>
        <v>0</v>
      </c>
      <c r="H305" s="14">
        <f>data!BS67</f>
        <v>358</v>
      </c>
      <c r="I305" s="14">
        <f>data!BT67</f>
        <v>879</v>
      </c>
    </row>
    <row r="306" spans="1:9" ht="20.100000000000001" customHeight="1" x14ac:dyDescent="0.25">
      <c r="A306" s="23">
        <v>13</v>
      </c>
      <c r="B306" s="14" t="s">
        <v>474</v>
      </c>
      <c r="C306" s="14">
        <f>data!BN68</f>
        <v>48313.509999999987</v>
      </c>
      <c r="D306" s="14">
        <f>data!BO68</f>
        <v>0</v>
      </c>
      <c r="E306" s="14">
        <f>data!BP68</f>
        <v>0</v>
      </c>
      <c r="F306" s="14">
        <f>data!BQ68</f>
        <v>0</v>
      </c>
      <c r="G306" s="14">
        <f>data!BR68</f>
        <v>0</v>
      </c>
      <c r="H306" s="14">
        <f>data!BS68</f>
        <v>424.37</v>
      </c>
      <c r="I306" s="14">
        <f>data!BT68</f>
        <v>715.14</v>
      </c>
    </row>
    <row r="307" spans="1:9" ht="20.100000000000001" customHeight="1" x14ac:dyDescent="0.25">
      <c r="A307" s="23">
        <v>14</v>
      </c>
      <c r="B307" s="14" t="s">
        <v>241</v>
      </c>
      <c r="C307" s="14">
        <f>data!BN69</f>
        <v>505401.33999999997</v>
      </c>
      <c r="D307" s="14">
        <f>data!BO69</f>
        <v>33908.61</v>
      </c>
      <c r="E307" s="14">
        <f>data!BP69</f>
        <v>0</v>
      </c>
      <c r="F307" s="14">
        <f>data!BQ69</f>
        <v>0</v>
      </c>
      <c r="G307" s="14">
        <f>data!BR69</f>
        <v>47233.469999999994</v>
      </c>
      <c r="H307" s="14">
        <f>data!BS69</f>
        <v>1347.1299999999999</v>
      </c>
      <c r="I307" s="14">
        <f>data!BT69</f>
        <v>0</v>
      </c>
    </row>
    <row r="308" spans="1:9" ht="20.100000000000001" customHeight="1" x14ac:dyDescent="0.25">
      <c r="A308" s="23">
        <v>15</v>
      </c>
      <c r="B308" s="14" t="s">
        <v>242</v>
      </c>
      <c r="C308" s="14">
        <f>-data!BN70</f>
        <v>-564973.14</v>
      </c>
      <c r="D308" s="14">
        <f>-data!BO70</f>
        <v>-277695.63</v>
      </c>
      <c r="E308" s="14">
        <f>-data!BP70</f>
        <v>0</v>
      </c>
      <c r="F308" s="14">
        <f>-data!BQ70</f>
        <v>0</v>
      </c>
      <c r="G308" s="14">
        <f>-data!BR70</f>
        <v>0</v>
      </c>
      <c r="H308" s="14">
        <f>-data!BS70</f>
        <v>-76291.009999999995</v>
      </c>
      <c r="I308" s="14">
        <f>-data!BT70</f>
        <v>0</v>
      </c>
    </row>
    <row r="309" spans="1:9" ht="20.100000000000001" customHeight="1" x14ac:dyDescent="0.25">
      <c r="A309" s="23">
        <v>16</v>
      </c>
      <c r="B309" s="48" t="s">
        <v>1180</v>
      </c>
      <c r="C309" s="14">
        <f>data!BN71</f>
        <v>5128031.362305955</v>
      </c>
      <c r="D309" s="14">
        <f>data!BO71</f>
        <v>487315.28093999997</v>
      </c>
      <c r="E309" s="14">
        <f>data!BP71</f>
        <v>1327451.4039599998</v>
      </c>
      <c r="F309" s="14">
        <f>data!BQ71</f>
        <v>0</v>
      </c>
      <c r="G309" s="14">
        <f>data!BR71</f>
        <v>1205611.5041899998</v>
      </c>
      <c r="H309" s="14">
        <f>data!BS71</f>
        <v>51161.533809999994</v>
      </c>
      <c r="I309" s="14">
        <f>data!BT71</f>
        <v>120852.74410999999</v>
      </c>
    </row>
    <row r="310" spans="1:9" ht="20.100000000000001" customHeight="1" x14ac:dyDescent="0.25">
      <c r="A310" s="23">
        <v>17</v>
      </c>
      <c r="B310" s="14" t="s">
        <v>244</v>
      </c>
      <c r="C310" s="209"/>
      <c r="D310" s="209"/>
      <c r="E310" s="209"/>
      <c r="F310" s="209"/>
      <c r="G310" s="209"/>
      <c r="H310" s="209"/>
      <c r="I310" s="209"/>
    </row>
    <row r="311" spans="1:9" ht="20.100000000000001" customHeight="1" x14ac:dyDescent="0.25">
      <c r="A311" s="23">
        <v>18</v>
      </c>
      <c r="B311" s="14" t="s">
        <v>1181</v>
      </c>
      <c r="C311" s="14"/>
      <c r="D311" s="14"/>
      <c r="E311" s="14"/>
      <c r="F311" s="14"/>
      <c r="G311" s="14"/>
      <c r="H311" s="14"/>
      <c r="I311" s="14"/>
    </row>
    <row r="312" spans="1:9" ht="20.100000000000001" customHeight="1" x14ac:dyDescent="0.25">
      <c r="A312" s="23">
        <v>19</v>
      </c>
      <c r="B312" s="48" t="s">
        <v>1182</v>
      </c>
      <c r="C312" s="211" t="str">
        <f>IF(data!BN73&gt;0,data!BN73,"")</f>
        <v>x</v>
      </c>
      <c r="D312" s="211" t="str">
        <f>IF(data!BO73&gt;0,data!BO73,"")</f>
        <v>x</v>
      </c>
      <c r="E312" s="211" t="str">
        <f>IF(data!BP73&gt;0,data!BP73,"")</f>
        <v>x</v>
      </c>
      <c r="F312" s="211" t="str">
        <f>IF(data!BQ73&gt;0,data!BQ73,"")</f>
        <v>x</v>
      </c>
      <c r="G312" s="211" t="str">
        <f>IF(data!BR73&gt;0,data!BR73,"")</f>
        <v>x</v>
      </c>
      <c r="H312" s="211" t="str">
        <f>IF(data!BS73&gt;0,data!BS73,"")</f>
        <v>x</v>
      </c>
      <c r="I312" s="211" t="str">
        <f>IF(data!BT73&gt;0,data!BT73,"")</f>
        <v>x</v>
      </c>
    </row>
    <row r="313" spans="1:9" ht="20.100000000000001" customHeight="1" x14ac:dyDescent="0.25">
      <c r="A313" s="23">
        <v>20</v>
      </c>
      <c r="B313" s="48" t="s">
        <v>1183</v>
      </c>
      <c r="C313" s="211" t="str">
        <f>IF(data!BN74&gt;0,data!BN74,"")</f>
        <v>x</v>
      </c>
      <c r="D313" s="211" t="str">
        <f>IF(data!BO74&gt;0,data!BO74,"")</f>
        <v>x</v>
      </c>
      <c r="E313" s="211" t="str">
        <f>IF(data!BP74&gt;0,data!BP74,"")</f>
        <v>x</v>
      </c>
      <c r="F313" s="211" t="str">
        <f>IF(data!BQ74&gt;0,data!BQ74,"")</f>
        <v>x</v>
      </c>
      <c r="G313" s="211" t="str">
        <f>IF(data!BR74&gt;0,data!BR74,"")</f>
        <v>x</v>
      </c>
      <c r="H313" s="211" t="str">
        <f>IF(data!BS74&gt;0,data!BS74,"")</f>
        <v>x</v>
      </c>
      <c r="I313" s="211" t="str">
        <f>IF(data!BT74&gt;0,data!BT74,"")</f>
        <v>x</v>
      </c>
    </row>
    <row r="314" spans="1:9" ht="20.100000000000001" customHeight="1" x14ac:dyDescent="0.25">
      <c r="A314" s="23">
        <v>21</v>
      </c>
      <c r="B314" s="48" t="s">
        <v>1184</v>
      </c>
      <c r="C314" s="211" t="str">
        <f>IF(data!BN75&gt;0,data!BN75,"")</f>
        <v>x</v>
      </c>
      <c r="D314" s="211" t="str">
        <f>IF(data!BO75&gt;0,data!BO75,"")</f>
        <v>x</v>
      </c>
      <c r="E314" s="211" t="str">
        <f>IF(data!BP75&gt;0,data!BP75,"")</f>
        <v>x</v>
      </c>
      <c r="F314" s="211" t="str">
        <f>IF(data!BQ75&gt;0,data!BQ75,"")</f>
        <v>x</v>
      </c>
      <c r="G314" s="211" t="str">
        <f>IF(data!BR75&gt;0,data!BR75,"")</f>
        <v>x</v>
      </c>
      <c r="H314" s="211" t="str">
        <f>IF(data!BS75&gt;0,data!BS75,"")</f>
        <v>x</v>
      </c>
      <c r="I314" s="211" t="str">
        <f>IF(data!BT75&gt;0,data!BT75,"")</f>
        <v>x</v>
      </c>
    </row>
    <row r="315" spans="1:9" ht="20.100000000000001" customHeight="1" x14ac:dyDescent="0.25">
      <c r="A315" s="23" t="s">
        <v>1185</v>
      </c>
      <c r="B315" s="60"/>
      <c r="C315" s="209"/>
      <c r="D315" s="209"/>
      <c r="E315" s="209"/>
      <c r="F315" s="209"/>
      <c r="G315" s="209"/>
      <c r="H315" s="209"/>
      <c r="I315" s="209"/>
    </row>
    <row r="316" spans="1:9" ht="20.100000000000001" customHeight="1" x14ac:dyDescent="0.25">
      <c r="A316" s="23">
        <v>22</v>
      </c>
      <c r="B316" s="14" t="s">
        <v>1186</v>
      </c>
      <c r="C316" s="85">
        <f>data!BN76</f>
        <v>27767</v>
      </c>
      <c r="D316" s="85">
        <f>data!BO76</f>
        <v>0</v>
      </c>
      <c r="E316" s="85">
        <f>data!BP76</f>
        <v>0</v>
      </c>
      <c r="F316" s="85">
        <f>data!BQ76</f>
        <v>0</v>
      </c>
      <c r="G316" s="85">
        <f>data!BR76</f>
        <v>0</v>
      </c>
      <c r="H316" s="85">
        <f>data!BS76</f>
        <v>0</v>
      </c>
      <c r="I316" s="85">
        <f>data!BT76</f>
        <v>0</v>
      </c>
    </row>
    <row r="317" spans="1:9" ht="20.100000000000001" customHeight="1" x14ac:dyDescent="0.25">
      <c r="A317" s="23">
        <v>23</v>
      </c>
      <c r="B317" s="14" t="s">
        <v>1187</v>
      </c>
      <c r="C317" s="211" t="str">
        <f>IF(data!BN77&gt;0,data!BN77,"")</f>
        <v>x</v>
      </c>
      <c r="D317" s="211" t="str">
        <f>IF(data!BO77&gt;0,data!BO77,"")</f>
        <v>x</v>
      </c>
      <c r="E317" s="211" t="str">
        <f>IF(data!BP77&gt;0,data!BP77,"")</f>
        <v>x</v>
      </c>
      <c r="F317" s="211" t="str">
        <f>IF(data!BQ77&gt;0,data!BQ77,"")</f>
        <v>x</v>
      </c>
      <c r="G317" s="85">
        <f>data!BR77</f>
        <v>0</v>
      </c>
      <c r="H317" s="85">
        <f>data!BS77</f>
        <v>0</v>
      </c>
      <c r="I317" s="85">
        <f>data!BT77</f>
        <v>0</v>
      </c>
    </row>
    <row r="318" spans="1:9" ht="20.100000000000001" customHeight="1" x14ac:dyDescent="0.25">
      <c r="A318" s="23">
        <v>24</v>
      </c>
      <c r="B318" s="14" t="s">
        <v>1188</v>
      </c>
      <c r="C318" s="211" t="str">
        <f>IF(data!BN78&gt;0,data!BN78,"")</f>
        <v>x</v>
      </c>
      <c r="D318" s="211" t="str">
        <f>IF(data!BO78&gt;0,data!BO78,"")</f>
        <v>x</v>
      </c>
      <c r="E318" s="211" t="str">
        <f>IF(data!BP78&gt;0,data!BP78,"")</f>
        <v>x</v>
      </c>
      <c r="F318" s="211" t="str">
        <f>IF(data!BQ78&gt;0,data!BQ78,"")</f>
        <v>x</v>
      </c>
      <c r="G318" s="211" t="str">
        <f>IF(data!BR78&gt;0,data!BR78,"")</f>
        <v>x</v>
      </c>
      <c r="H318" s="85">
        <f>data!BS78</f>
        <v>0</v>
      </c>
      <c r="I318" s="85">
        <f>data!BT78</f>
        <v>0</v>
      </c>
    </row>
    <row r="319" spans="1:9" ht="20.100000000000001" customHeight="1" x14ac:dyDescent="0.25">
      <c r="A319" s="23">
        <v>25</v>
      </c>
      <c r="B319" s="14" t="s">
        <v>1189</v>
      </c>
      <c r="C319" s="211" t="str">
        <f>IF(data!BN79&gt;0,data!BN79,"")</f>
        <v>x</v>
      </c>
      <c r="D319" s="211" t="str">
        <f>IF(data!BO79&gt;0,data!BO79,"")</f>
        <v>x</v>
      </c>
      <c r="E319" s="211" t="str">
        <f>IF(data!BP79&gt;0,data!BP79,"")</f>
        <v>x</v>
      </c>
      <c r="F319" s="211" t="str">
        <f>IF(data!BQ79&gt;0,data!BQ79,"")</f>
        <v>x</v>
      </c>
      <c r="G319" s="211" t="str">
        <f>IF(data!BR79&gt;0,data!BR79,"")</f>
        <v>x</v>
      </c>
      <c r="H319" s="85">
        <f>data!BS79</f>
        <v>0</v>
      </c>
      <c r="I319" s="85">
        <f>data!BT79</f>
        <v>0</v>
      </c>
    </row>
    <row r="320" spans="1:9" ht="20.100000000000001" customHeight="1" x14ac:dyDescent="0.25">
      <c r="A320" s="23">
        <v>26</v>
      </c>
      <c r="B320" s="14" t="s">
        <v>252</v>
      </c>
      <c r="C320" s="214">
        <f>IF(data!BN80&gt;0,data!BN80,"")</f>
        <v>11.046600961538461</v>
      </c>
      <c r="D320" s="214" t="str">
        <f>IF(data!BO80&gt;0,data!BO80,"")</f>
        <v/>
      </c>
      <c r="E320" s="214" t="str">
        <f>IF(data!BP80&gt;0,data!BP80,"")</f>
        <v/>
      </c>
      <c r="F320" s="214" t="str">
        <f>IF(data!BQ80&gt;0,data!BQ80,"")</f>
        <v/>
      </c>
      <c r="G320" s="214">
        <f>IF(data!BR80&gt;0,data!BR80,"")</f>
        <v>2.6634615384615385E-2</v>
      </c>
      <c r="H320" s="214" t="str">
        <f>IF(data!BS80&gt;0,data!BS80,"")</f>
        <v/>
      </c>
      <c r="I320" s="214" t="str">
        <f>IF(data!BT80&gt;0,data!BT80,"")</f>
        <v/>
      </c>
    </row>
    <row r="321" spans="1:9" ht="20.100000000000001" customHeight="1" x14ac:dyDescent="0.25">
      <c r="A321" s="4" t="s">
        <v>1173</v>
      </c>
      <c r="B321" s="5"/>
      <c r="C321" s="5"/>
      <c r="D321" s="6"/>
      <c r="E321" s="5"/>
      <c r="F321" s="5"/>
      <c r="G321" s="5"/>
      <c r="H321" s="5"/>
      <c r="I321" s="4"/>
    </row>
    <row r="322" spans="1:9" ht="20.100000000000001" customHeight="1" x14ac:dyDescent="0.25">
      <c r="A322" s="77"/>
      <c r="B322" s="77"/>
      <c r="C322" s="77"/>
      <c r="D322" s="45"/>
      <c r="E322" s="77"/>
      <c r="F322" s="77"/>
      <c r="G322" s="77"/>
      <c r="H322" s="77"/>
      <c r="I322" s="168" t="s">
        <v>1225</v>
      </c>
    </row>
    <row r="323" spans="1:9" ht="20.100000000000001" customHeight="1" x14ac:dyDescent="0.25">
      <c r="A323" s="45"/>
      <c r="B323" s="77"/>
      <c r="C323" s="77"/>
      <c r="D323" s="77"/>
      <c r="E323" s="77"/>
      <c r="F323" s="77"/>
      <c r="G323" s="77"/>
      <c r="H323" s="77"/>
      <c r="I323" s="77"/>
    </row>
    <row r="324" spans="1:9" ht="20.100000000000001" customHeight="1" x14ac:dyDescent="0.25">
      <c r="A324" s="79" t="str">
        <f>"HOSPITAL NAME: "&amp;data!C84</f>
        <v>HOSPITAL NAME: Highline Medical Center</v>
      </c>
      <c r="B324" s="77"/>
      <c r="C324" s="77"/>
      <c r="D324" s="77"/>
      <c r="E324" s="77"/>
      <c r="F324" s="77"/>
      <c r="G324" s="80"/>
      <c r="H324" s="79" t="str">
        <f>"FYE: "&amp;data!C82</f>
        <v>FYE: 06/30/2019</v>
      </c>
    </row>
    <row r="325" spans="1:9" ht="20.100000000000001" customHeight="1" x14ac:dyDescent="0.25">
      <c r="A325" s="23">
        <v>1</v>
      </c>
      <c r="B325" s="14" t="s">
        <v>209</v>
      </c>
      <c r="C325" s="15" t="s">
        <v>80</v>
      </c>
      <c r="D325" s="15" t="s">
        <v>81</v>
      </c>
      <c r="E325" s="15" t="s">
        <v>82</v>
      </c>
      <c r="F325" s="15" t="s">
        <v>83</v>
      </c>
      <c r="G325" s="15" t="s">
        <v>84</v>
      </c>
      <c r="H325" s="15" t="s">
        <v>85</v>
      </c>
      <c r="I325" s="15" t="s">
        <v>86</v>
      </c>
    </row>
    <row r="326" spans="1:9" ht="20.100000000000001" customHeight="1" x14ac:dyDescent="0.25">
      <c r="A326" s="81">
        <v>2</v>
      </c>
      <c r="B326" s="17" t="s">
        <v>1175</v>
      </c>
      <c r="C326" s="18" t="s">
        <v>155</v>
      </c>
      <c r="D326" s="18" t="s">
        <v>155</v>
      </c>
      <c r="E326" s="18" t="s">
        <v>155</v>
      </c>
      <c r="F326" s="18" t="s">
        <v>156</v>
      </c>
      <c r="G326" s="18" t="s">
        <v>157</v>
      </c>
      <c r="H326" s="18" t="s">
        <v>158</v>
      </c>
      <c r="I326" s="18" t="s">
        <v>159</v>
      </c>
    </row>
    <row r="327" spans="1:9" ht="20.100000000000001" customHeight="1" x14ac:dyDescent="0.25">
      <c r="A327" s="82"/>
      <c r="B327" s="83"/>
      <c r="C327" s="18" t="s">
        <v>198</v>
      </c>
      <c r="D327" s="18" t="s">
        <v>199</v>
      </c>
      <c r="E327" s="18" t="s">
        <v>200</v>
      </c>
      <c r="F327" s="18" t="s">
        <v>151</v>
      </c>
      <c r="G327" s="18" t="s">
        <v>1224</v>
      </c>
      <c r="H327" s="18" t="s">
        <v>152</v>
      </c>
      <c r="I327" s="18" t="s">
        <v>201</v>
      </c>
    </row>
    <row r="328" spans="1:9" ht="20.100000000000001" customHeight="1" x14ac:dyDescent="0.25">
      <c r="A328" s="23">
        <v>3</v>
      </c>
      <c r="B328" s="14" t="s">
        <v>1179</v>
      </c>
      <c r="C328" s="210"/>
      <c r="D328" s="210"/>
      <c r="E328" s="210"/>
      <c r="F328" s="210"/>
      <c r="G328" s="210"/>
      <c r="H328" s="210"/>
      <c r="I328" s="210"/>
    </row>
    <row r="329" spans="1:9" ht="20.100000000000001" customHeight="1" x14ac:dyDescent="0.25">
      <c r="A329" s="23">
        <v>4</v>
      </c>
      <c r="B329" s="14" t="s">
        <v>233</v>
      </c>
      <c r="C329" s="210"/>
      <c r="D329" s="210"/>
      <c r="E329" s="210"/>
      <c r="F329" s="210"/>
      <c r="G329" s="210"/>
      <c r="H329" s="210"/>
      <c r="I329" s="210"/>
    </row>
    <row r="330" spans="1:9" ht="20.100000000000001" customHeight="1" x14ac:dyDescent="0.25">
      <c r="A330" s="23">
        <v>5</v>
      </c>
      <c r="B330" s="14" t="s">
        <v>234</v>
      </c>
      <c r="C330" s="26">
        <f>data!BU60</f>
        <v>0</v>
      </c>
      <c r="D330" s="26">
        <f>data!BV60</f>
        <v>0</v>
      </c>
      <c r="E330" s="26">
        <f>data!BW60</f>
        <v>0.8671875</v>
      </c>
      <c r="F330" s="26">
        <f>data!BX60</f>
        <v>0</v>
      </c>
      <c r="G330" s="26">
        <f>data!BY60</f>
        <v>15.20589903846154</v>
      </c>
      <c r="H330" s="26">
        <f>data!BZ60</f>
        <v>0</v>
      </c>
      <c r="I330" s="26">
        <f>data!CA60</f>
        <v>0</v>
      </c>
    </row>
    <row r="331" spans="1:9" ht="20.100000000000001" customHeight="1" x14ac:dyDescent="0.25">
      <c r="A331" s="23">
        <v>6</v>
      </c>
      <c r="B331" s="14" t="s">
        <v>235</v>
      </c>
      <c r="C331" s="86">
        <f>data!BU61</f>
        <v>0</v>
      </c>
      <c r="D331" s="86">
        <f>data!BV61</f>
        <v>0</v>
      </c>
      <c r="E331" s="86">
        <f>data!BW61</f>
        <v>53749.78</v>
      </c>
      <c r="F331" s="86">
        <f>data!BX61</f>
        <v>0</v>
      </c>
      <c r="G331" s="86">
        <f>data!BY61</f>
        <v>1743958.65</v>
      </c>
      <c r="H331" s="86">
        <f>data!BZ61</f>
        <v>0</v>
      </c>
      <c r="I331" s="86">
        <f>data!CA61</f>
        <v>0</v>
      </c>
    </row>
    <row r="332" spans="1:9" ht="20.100000000000001" customHeight="1" x14ac:dyDescent="0.25">
      <c r="A332" s="23">
        <v>7</v>
      </c>
      <c r="B332" s="14" t="s">
        <v>3</v>
      </c>
      <c r="C332" s="86">
        <f>data!BU62</f>
        <v>0</v>
      </c>
      <c r="D332" s="86">
        <f>data!BV62</f>
        <v>0</v>
      </c>
      <c r="E332" s="86">
        <f>data!BW62</f>
        <v>18930</v>
      </c>
      <c r="F332" s="86">
        <f>data!BX62</f>
        <v>0</v>
      </c>
      <c r="G332" s="86">
        <f>data!BY62</f>
        <v>431216</v>
      </c>
      <c r="H332" s="86">
        <f>data!BZ62</f>
        <v>0</v>
      </c>
      <c r="I332" s="86">
        <f>data!CA62</f>
        <v>0</v>
      </c>
    </row>
    <row r="333" spans="1:9" ht="20.100000000000001" customHeight="1" x14ac:dyDescent="0.25">
      <c r="A333" s="23">
        <v>8</v>
      </c>
      <c r="B333" s="14" t="s">
        <v>236</v>
      </c>
      <c r="C333" s="86">
        <f>data!BU63</f>
        <v>0</v>
      </c>
      <c r="D333" s="86">
        <f>data!BV63</f>
        <v>0</v>
      </c>
      <c r="E333" s="86">
        <f>data!BW63</f>
        <v>-2300</v>
      </c>
      <c r="F333" s="86">
        <f>data!BX63</f>
        <v>0</v>
      </c>
      <c r="G333" s="86">
        <f>data!BY63</f>
        <v>0</v>
      </c>
      <c r="H333" s="86">
        <f>data!BZ63</f>
        <v>0</v>
      </c>
      <c r="I333" s="86">
        <f>data!CA63</f>
        <v>0</v>
      </c>
    </row>
    <row r="334" spans="1:9" ht="20.100000000000001" customHeight="1" x14ac:dyDescent="0.25">
      <c r="A334" s="23">
        <v>9</v>
      </c>
      <c r="B334" s="14" t="s">
        <v>237</v>
      </c>
      <c r="C334" s="86">
        <f>data!BU64</f>
        <v>0</v>
      </c>
      <c r="D334" s="86">
        <f>data!BV64</f>
        <v>0</v>
      </c>
      <c r="E334" s="86">
        <f>data!BW64</f>
        <v>40621.929999999993</v>
      </c>
      <c r="F334" s="86">
        <f>data!BX64</f>
        <v>0</v>
      </c>
      <c r="G334" s="86">
        <f>data!BY64</f>
        <v>472.85</v>
      </c>
      <c r="H334" s="86">
        <f>data!BZ64</f>
        <v>0</v>
      </c>
      <c r="I334" s="86">
        <f>data!CA64</f>
        <v>0</v>
      </c>
    </row>
    <row r="335" spans="1:9" ht="20.100000000000001" customHeight="1" x14ac:dyDescent="0.25">
      <c r="A335" s="23">
        <v>10</v>
      </c>
      <c r="B335" s="14" t="s">
        <v>444</v>
      </c>
      <c r="C335" s="86">
        <f>data!BU65</f>
        <v>0</v>
      </c>
      <c r="D335" s="86">
        <f>data!BV65</f>
        <v>0</v>
      </c>
      <c r="E335" s="86">
        <f>data!BW65</f>
        <v>0</v>
      </c>
      <c r="F335" s="86">
        <f>data!BX65</f>
        <v>0</v>
      </c>
      <c r="G335" s="86">
        <f>data!BY65</f>
        <v>692.72</v>
      </c>
      <c r="H335" s="86">
        <f>data!BZ65</f>
        <v>0</v>
      </c>
      <c r="I335" s="86">
        <f>data!CA65</f>
        <v>0</v>
      </c>
    </row>
    <row r="336" spans="1:9" ht="20.100000000000001" customHeight="1" x14ac:dyDescent="0.25">
      <c r="A336" s="23">
        <v>11</v>
      </c>
      <c r="B336" s="14" t="s">
        <v>445</v>
      </c>
      <c r="C336" s="86">
        <f>data!BU66</f>
        <v>41511.700890000015</v>
      </c>
      <c r="D336" s="86">
        <f>data!BV66</f>
        <v>4100035.0285737771</v>
      </c>
      <c r="E336" s="86">
        <f>data!BW66</f>
        <v>616928.63295724499</v>
      </c>
      <c r="F336" s="86">
        <f>data!BX66</f>
        <v>1035284.849531856</v>
      </c>
      <c r="G336" s="86">
        <f>data!BY66</f>
        <v>113174.00160000002</v>
      </c>
      <c r="H336" s="86">
        <f>data!BZ66</f>
        <v>0</v>
      </c>
      <c r="I336" s="86">
        <f>data!CA66</f>
        <v>368412.98472000001</v>
      </c>
    </row>
    <row r="337" spans="1:9" ht="20.100000000000001" customHeight="1" x14ac:dyDescent="0.25">
      <c r="A337" s="23">
        <v>12</v>
      </c>
      <c r="B337" s="14" t="s">
        <v>6</v>
      </c>
      <c r="C337" s="86">
        <f>data!BU67</f>
        <v>0</v>
      </c>
      <c r="D337" s="86">
        <f>data!BV67</f>
        <v>0</v>
      </c>
      <c r="E337" s="86">
        <f>data!BW67</f>
        <v>232</v>
      </c>
      <c r="F337" s="86">
        <f>data!BX67</f>
        <v>0</v>
      </c>
      <c r="G337" s="86">
        <f>data!BY67</f>
        <v>310886</v>
      </c>
      <c r="H337" s="86">
        <f>data!BZ67</f>
        <v>0</v>
      </c>
      <c r="I337" s="86">
        <f>data!CA67</f>
        <v>0</v>
      </c>
    </row>
    <row r="338" spans="1:9" ht="20.100000000000001" customHeight="1" x14ac:dyDescent="0.25">
      <c r="A338" s="23">
        <v>13</v>
      </c>
      <c r="B338" s="14" t="s">
        <v>474</v>
      </c>
      <c r="C338" s="86">
        <f>data!BU68</f>
        <v>0</v>
      </c>
      <c r="D338" s="86">
        <f>data!BV68</f>
        <v>0</v>
      </c>
      <c r="E338" s="86">
        <f>data!BW68</f>
        <v>4809.3900000000003</v>
      </c>
      <c r="F338" s="86">
        <f>data!BX68</f>
        <v>0</v>
      </c>
      <c r="G338" s="86">
        <f>data!BY68</f>
        <v>2954.28</v>
      </c>
      <c r="H338" s="86">
        <f>data!BZ68</f>
        <v>0</v>
      </c>
      <c r="I338" s="86">
        <f>data!CA68</f>
        <v>0</v>
      </c>
    </row>
    <row r="339" spans="1:9" ht="20.100000000000001" customHeight="1" x14ac:dyDescent="0.25">
      <c r="A339" s="23">
        <v>14</v>
      </c>
      <c r="B339" s="14" t="s">
        <v>241</v>
      </c>
      <c r="C339" s="86">
        <f>data!BU69</f>
        <v>0</v>
      </c>
      <c r="D339" s="86">
        <f>data!BV69</f>
        <v>0</v>
      </c>
      <c r="E339" s="86">
        <f>data!BW69</f>
        <v>-290.00000000000011</v>
      </c>
      <c r="F339" s="86">
        <f>data!BX69</f>
        <v>0</v>
      </c>
      <c r="G339" s="86">
        <f>data!BY69</f>
        <v>27908.18</v>
      </c>
      <c r="H339" s="86">
        <f>data!BZ69</f>
        <v>0</v>
      </c>
      <c r="I339" s="86">
        <f>data!CA69</f>
        <v>0</v>
      </c>
    </row>
    <row r="340" spans="1:9" ht="20.100000000000001" customHeight="1" x14ac:dyDescent="0.25">
      <c r="A340" s="23">
        <v>15</v>
      </c>
      <c r="B340" s="14" t="s">
        <v>242</v>
      </c>
      <c r="C340" s="14">
        <f>-data!BU70</f>
        <v>0</v>
      </c>
      <c r="D340" s="14">
        <f>-data!BV70</f>
        <v>0</v>
      </c>
      <c r="E340" s="14">
        <f>-data!BW70</f>
        <v>-27950</v>
      </c>
      <c r="F340" s="14">
        <f>-data!BX70</f>
        <v>0</v>
      </c>
      <c r="G340" s="14">
        <f>-data!BY70</f>
        <v>0</v>
      </c>
      <c r="H340" s="14">
        <f>-data!BZ70</f>
        <v>0</v>
      </c>
      <c r="I340" s="14">
        <f>-data!CA70</f>
        <v>0</v>
      </c>
    </row>
    <row r="341" spans="1:9" ht="20.100000000000001" customHeight="1" x14ac:dyDescent="0.25">
      <c r="A341" s="23">
        <v>16</v>
      </c>
      <c r="B341" s="48" t="s">
        <v>1180</v>
      </c>
      <c r="C341" s="14">
        <f>data!BU71</f>
        <v>41511.700890000015</v>
      </c>
      <c r="D341" s="14">
        <f>data!BV71</f>
        <v>4100035.0285737771</v>
      </c>
      <c r="E341" s="14">
        <f>data!BW71</f>
        <v>704731.73295724497</v>
      </c>
      <c r="F341" s="14">
        <f>data!BX71</f>
        <v>1035284.849531856</v>
      </c>
      <c r="G341" s="14">
        <f>data!BY71</f>
        <v>2631262.6816000002</v>
      </c>
      <c r="H341" s="14">
        <f>data!BZ71</f>
        <v>0</v>
      </c>
      <c r="I341" s="14">
        <f>data!CA71</f>
        <v>368412.98472000001</v>
      </c>
    </row>
    <row r="342" spans="1:9" ht="20.100000000000001" customHeight="1" x14ac:dyDescent="0.25">
      <c r="A342" s="23">
        <v>17</v>
      </c>
      <c r="B342" s="14" t="s">
        <v>244</v>
      </c>
      <c r="C342" s="209"/>
      <c r="D342" s="209"/>
      <c r="E342" s="209"/>
      <c r="F342" s="209"/>
      <c r="G342" s="209"/>
      <c r="H342" s="209"/>
      <c r="I342" s="209"/>
    </row>
    <row r="343" spans="1:9" ht="20.100000000000001" customHeight="1" x14ac:dyDescent="0.25">
      <c r="A343" s="23">
        <v>18</v>
      </c>
      <c r="B343" s="14" t="s">
        <v>1181</v>
      </c>
      <c r="C343" s="14"/>
      <c r="D343" s="14"/>
      <c r="E343" s="14"/>
      <c r="F343" s="14"/>
      <c r="G343" s="14"/>
      <c r="H343" s="14"/>
      <c r="I343" s="14"/>
    </row>
    <row r="344" spans="1:9" ht="20.100000000000001" customHeight="1" x14ac:dyDescent="0.25">
      <c r="A344" s="23">
        <v>19</v>
      </c>
      <c r="B344" s="48" t="s">
        <v>1182</v>
      </c>
      <c r="C344" s="211" t="str">
        <f>IF(data!BU73&gt;0,data!BU73,"")</f>
        <v>x</v>
      </c>
      <c r="D344" s="211" t="str">
        <f>IF(data!BV73&gt;0,data!BV73,"")</f>
        <v>x</v>
      </c>
      <c r="E344" s="211" t="str">
        <f>IF(data!BW73&gt;0,data!BW73,"")</f>
        <v>x</v>
      </c>
      <c r="F344" s="211" t="str">
        <f>IF(data!BX73&gt;0,data!BX73,"")</f>
        <v>x</v>
      </c>
      <c r="G344" s="211" t="str">
        <f>IF(data!BY73&gt;0,data!BY73,"")</f>
        <v>x</v>
      </c>
      <c r="H344" s="211" t="str">
        <f>IF(data!BZ73&gt;0,data!BZ73,"")</f>
        <v>x</v>
      </c>
      <c r="I344" s="211" t="str">
        <f>IF(data!CA73&gt;0,data!CA73,"")</f>
        <v>x</v>
      </c>
    </row>
    <row r="345" spans="1:9" ht="20.100000000000001" customHeight="1" x14ac:dyDescent="0.25">
      <c r="A345" s="23">
        <v>20</v>
      </c>
      <c r="B345" s="48" t="s">
        <v>1183</v>
      </c>
      <c r="C345" s="211" t="str">
        <f>IF(data!BU74&gt;0,data!BU74,"")</f>
        <v>x</v>
      </c>
      <c r="D345" s="211" t="str">
        <f>IF(data!BV74&gt;0,data!BV74,"")</f>
        <v>x</v>
      </c>
      <c r="E345" s="211" t="str">
        <f>IF(data!BW74&gt;0,data!BW74,"")</f>
        <v>x</v>
      </c>
      <c r="F345" s="211" t="str">
        <f>IF(data!BX74&gt;0,data!BX74,"")</f>
        <v>x</v>
      </c>
      <c r="G345" s="211" t="str">
        <f>IF(data!BY74&gt;0,data!BY74,"")</f>
        <v>x</v>
      </c>
      <c r="H345" s="211" t="str">
        <f>IF(data!BZ74&gt;0,data!BZ74,"")</f>
        <v>x</v>
      </c>
      <c r="I345" s="211" t="str">
        <f>IF(data!CA74&gt;0,data!CA74,"")</f>
        <v>x</v>
      </c>
    </row>
    <row r="346" spans="1:9" ht="20.100000000000001" customHeight="1" x14ac:dyDescent="0.25">
      <c r="A346" s="23">
        <v>21</v>
      </c>
      <c r="B346" s="48" t="s">
        <v>1184</v>
      </c>
      <c r="C346" s="211" t="str">
        <f>IF(data!BU75&gt;0,data!BU75,"")</f>
        <v>x</v>
      </c>
      <c r="D346" s="211" t="str">
        <f>IF(data!BV75&gt;0,data!BV75,"")</f>
        <v>x</v>
      </c>
      <c r="E346" s="211" t="str">
        <f>IF(data!BW75&gt;0,data!BW75,"")</f>
        <v>x</v>
      </c>
      <c r="F346" s="211" t="str">
        <f>IF(data!BX75&gt;0,data!BX75,"")</f>
        <v>x</v>
      </c>
      <c r="G346" s="211" t="str">
        <f>IF(data!BY75&gt;0,data!BY75,"")</f>
        <v>x</v>
      </c>
      <c r="H346" s="211" t="str">
        <f>IF(data!BZ75&gt;0,data!BZ75,"")</f>
        <v>x</v>
      </c>
      <c r="I346" s="211" t="str">
        <f>IF(data!CA75&gt;0,data!CA75,"")</f>
        <v>x</v>
      </c>
    </row>
    <row r="347" spans="1:9" ht="20.100000000000001" customHeight="1" x14ac:dyDescent="0.25">
      <c r="A347" s="23" t="s">
        <v>1185</v>
      </c>
      <c r="B347" s="60"/>
      <c r="C347" s="209"/>
      <c r="D347" s="209"/>
      <c r="E347" s="209"/>
      <c r="F347" s="209"/>
      <c r="G347" s="209"/>
      <c r="H347" s="209"/>
      <c r="I347" s="209"/>
    </row>
    <row r="348" spans="1:9" ht="20.100000000000001" customHeight="1" x14ac:dyDescent="0.25">
      <c r="A348" s="23">
        <v>22</v>
      </c>
      <c r="B348" s="14" t="s">
        <v>1186</v>
      </c>
      <c r="C348" s="85">
        <f>data!BU76</f>
        <v>0</v>
      </c>
      <c r="D348" s="85">
        <f>data!BV76</f>
        <v>2525</v>
      </c>
      <c r="E348" s="85">
        <f>data!BW76</f>
        <v>0</v>
      </c>
      <c r="F348" s="85">
        <f>data!BX76</f>
        <v>0</v>
      </c>
      <c r="G348" s="85">
        <f>data!BY76</f>
        <v>688</v>
      </c>
      <c r="H348" s="85">
        <f>data!BZ76</f>
        <v>0</v>
      </c>
      <c r="I348" s="85">
        <f>data!CA76</f>
        <v>0</v>
      </c>
    </row>
    <row r="349" spans="1:9" ht="20.100000000000001" customHeight="1" x14ac:dyDescent="0.25">
      <c r="A349" s="23">
        <v>23</v>
      </c>
      <c r="B349" s="14" t="s">
        <v>1187</v>
      </c>
      <c r="C349" s="85">
        <f>data!BU77</f>
        <v>0</v>
      </c>
      <c r="D349" s="85">
        <f>data!BV77</f>
        <v>0</v>
      </c>
      <c r="E349" s="85">
        <f>data!BW77</f>
        <v>0</v>
      </c>
      <c r="F349" s="85">
        <f>data!BX77</f>
        <v>0</v>
      </c>
      <c r="G349" s="85">
        <f>data!BY77</f>
        <v>0</v>
      </c>
      <c r="H349" s="85">
        <f>data!BZ77</f>
        <v>0</v>
      </c>
      <c r="I349" s="85">
        <f>data!CA77</f>
        <v>0</v>
      </c>
    </row>
    <row r="350" spans="1:9" ht="20.100000000000001" customHeight="1" x14ac:dyDescent="0.25">
      <c r="A350" s="23">
        <v>24</v>
      </c>
      <c r="B350" s="14" t="s">
        <v>1188</v>
      </c>
      <c r="C350" s="85">
        <f>data!BU78</f>
        <v>0</v>
      </c>
      <c r="D350" s="85">
        <f>data!BV78</f>
        <v>723.18546802919968</v>
      </c>
      <c r="E350" s="85">
        <f>data!BW78</f>
        <v>0</v>
      </c>
      <c r="F350" s="85">
        <f>data!BX78</f>
        <v>0</v>
      </c>
      <c r="G350" s="85">
        <f>data!BY78</f>
        <v>197.05013940756012</v>
      </c>
      <c r="H350" s="85">
        <f>data!BZ78</f>
        <v>0</v>
      </c>
      <c r="I350" s="85">
        <f>data!CA78</f>
        <v>0</v>
      </c>
    </row>
    <row r="351" spans="1:9" ht="20.100000000000001" customHeight="1" x14ac:dyDescent="0.25">
      <c r="A351" s="23">
        <v>25</v>
      </c>
      <c r="B351" s="14" t="s">
        <v>1189</v>
      </c>
      <c r="C351" s="85">
        <f>data!BU79</f>
        <v>0</v>
      </c>
      <c r="D351" s="85">
        <f>data!BV79</f>
        <v>0</v>
      </c>
      <c r="E351" s="85">
        <f>data!BW79</f>
        <v>0</v>
      </c>
      <c r="F351" s="85">
        <f>data!BX79</f>
        <v>0</v>
      </c>
      <c r="G351" s="85">
        <f>data!BY79</f>
        <v>0</v>
      </c>
      <c r="H351" s="85">
        <f>data!BZ79</f>
        <v>0</v>
      </c>
      <c r="I351" s="85">
        <f>data!CA79</f>
        <v>0</v>
      </c>
    </row>
    <row r="352" spans="1:9" ht="20.100000000000001" customHeight="1" x14ac:dyDescent="0.25">
      <c r="A352" s="23">
        <v>26</v>
      </c>
      <c r="B352" s="14" t="s">
        <v>252</v>
      </c>
      <c r="C352" s="214" t="str">
        <f>IF(data!BU80&gt;0,data!BU80,"")</f>
        <v/>
      </c>
      <c r="D352" s="214" t="str">
        <f>IF(data!BV80&gt;0,data!BV80,"")</f>
        <v/>
      </c>
      <c r="E352" s="214" t="str">
        <f>IF(data!BW80&gt;0,data!BW80,"")</f>
        <v/>
      </c>
      <c r="F352" s="214" t="str">
        <f>IF(data!BX80&gt;0,data!BX80,"")</f>
        <v/>
      </c>
      <c r="G352" s="214">
        <f>IF(data!BY80&gt;0,data!BY80,"")</f>
        <v>6.1968124999999992</v>
      </c>
      <c r="H352" s="214" t="str">
        <f>IF(data!BZ80&gt;0,data!BZ80,"")</f>
        <v/>
      </c>
      <c r="I352" s="214" t="str">
        <f>IF(data!CA80&gt;0,data!CA80,"")</f>
        <v/>
      </c>
    </row>
    <row r="353" spans="1:9" ht="20.100000000000001" customHeight="1" x14ac:dyDescent="0.25">
      <c r="A353" s="4" t="s">
        <v>1173</v>
      </c>
      <c r="B353" s="5"/>
      <c r="C353" s="5"/>
      <c r="D353" s="6"/>
      <c r="E353" s="5"/>
      <c r="F353" s="5"/>
      <c r="G353" s="5"/>
      <c r="H353" s="5"/>
      <c r="I353" s="4"/>
    </row>
    <row r="354" spans="1:9" ht="20.100000000000001" customHeight="1" x14ac:dyDescent="0.25">
      <c r="A354" s="77"/>
      <c r="B354" s="77"/>
      <c r="C354" s="77"/>
      <c r="D354" s="45"/>
      <c r="E354" s="77"/>
      <c r="F354" s="77"/>
      <c r="G354" s="77"/>
      <c r="H354" s="77"/>
      <c r="I354" s="168" t="s">
        <v>1226</v>
      </c>
    </row>
    <row r="355" spans="1:9" ht="20.100000000000001" customHeight="1" x14ac:dyDescent="0.25">
      <c r="A355" s="45"/>
      <c r="B355" s="77"/>
      <c r="C355" s="77"/>
      <c r="D355" s="77"/>
      <c r="E355" s="77"/>
      <c r="F355" s="77"/>
      <c r="G355" s="77"/>
      <c r="H355" s="77"/>
      <c r="I355" s="77"/>
    </row>
    <row r="356" spans="1:9" ht="20.100000000000001" customHeight="1" x14ac:dyDescent="0.25">
      <c r="A356" s="79" t="str">
        <f>"HOSPITAL NAME: "&amp;data!C84</f>
        <v>HOSPITAL NAME: Highline Medical Center</v>
      </c>
      <c r="B356" s="77"/>
      <c r="C356" s="77"/>
      <c r="D356" s="77"/>
      <c r="E356" s="77"/>
      <c r="F356" s="77"/>
      <c r="G356" s="80"/>
      <c r="H356" s="79" t="str">
        <f>"FYE: "&amp;data!C82</f>
        <v>FYE: 06/30/2019</v>
      </c>
    </row>
    <row r="357" spans="1:9" ht="20.100000000000001" customHeight="1" x14ac:dyDescent="0.25">
      <c r="A357" s="23">
        <v>1</v>
      </c>
      <c r="B357" s="14" t="s">
        <v>209</v>
      </c>
      <c r="C357" s="15" t="s">
        <v>87</v>
      </c>
      <c r="D357" s="15" t="s">
        <v>88</v>
      </c>
      <c r="E357" s="15" t="s">
        <v>89</v>
      </c>
      <c r="F357" s="90"/>
      <c r="G357" s="90"/>
      <c r="H357" s="90"/>
      <c r="I357" s="15"/>
    </row>
    <row r="358" spans="1:9" ht="20.100000000000001" customHeight="1" x14ac:dyDescent="0.25">
      <c r="A358" s="81">
        <v>2</v>
      </c>
      <c r="B358" s="17" t="s">
        <v>1175</v>
      </c>
      <c r="C358" s="18" t="s">
        <v>160</v>
      </c>
      <c r="D358" s="18" t="s">
        <v>132</v>
      </c>
      <c r="E358" s="18" t="s">
        <v>211</v>
      </c>
      <c r="F358" s="91"/>
      <c r="G358" s="91"/>
      <c r="H358" s="91"/>
      <c r="I358" s="18" t="s">
        <v>161</v>
      </c>
    </row>
    <row r="359" spans="1:9" ht="20.100000000000001" customHeight="1" x14ac:dyDescent="0.25">
      <c r="A359" s="82"/>
      <c r="B359" s="83"/>
      <c r="C359" s="18" t="s">
        <v>201</v>
      </c>
      <c r="D359" s="18" t="s">
        <v>1227</v>
      </c>
      <c r="E359" s="18" t="s">
        <v>213</v>
      </c>
      <c r="F359" s="91"/>
      <c r="G359" s="91"/>
      <c r="H359" s="91"/>
      <c r="I359" s="18" t="s">
        <v>203</v>
      </c>
    </row>
    <row r="360" spans="1:9" ht="20.100000000000001" customHeight="1" x14ac:dyDescent="0.25">
      <c r="A360" s="23">
        <v>3</v>
      </c>
      <c r="B360" s="14" t="s">
        <v>1179</v>
      </c>
      <c r="C360" s="210"/>
      <c r="D360" s="210"/>
      <c r="E360" s="210"/>
      <c r="F360" s="210"/>
      <c r="G360" s="210"/>
      <c r="H360" s="210"/>
      <c r="I360" s="210"/>
    </row>
    <row r="361" spans="1:9" ht="20.100000000000001" customHeight="1" x14ac:dyDescent="0.25">
      <c r="A361" s="23">
        <v>4</v>
      </c>
      <c r="B361" s="14" t="s">
        <v>233</v>
      </c>
      <c r="C361" s="210"/>
      <c r="D361" s="210"/>
      <c r="E361" s="210"/>
      <c r="F361" s="210"/>
      <c r="G361" s="210"/>
      <c r="H361" s="210"/>
      <c r="I361" s="210"/>
    </row>
    <row r="362" spans="1:9" ht="20.100000000000001" customHeight="1" x14ac:dyDescent="0.25">
      <c r="A362" s="23">
        <v>5</v>
      </c>
      <c r="B362" s="14" t="s">
        <v>234</v>
      </c>
      <c r="C362" s="26">
        <f>data!CB60</f>
        <v>0</v>
      </c>
      <c r="D362" s="26">
        <f>data!CC60</f>
        <v>3.6357355769230768</v>
      </c>
      <c r="E362" s="215"/>
      <c r="F362" s="209"/>
      <c r="G362" s="209"/>
      <c r="H362" s="209"/>
      <c r="I362" s="87">
        <f>data!CE60</f>
        <v>943.54523557692278</v>
      </c>
    </row>
    <row r="363" spans="1:9" ht="20.100000000000001" customHeight="1" x14ac:dyDescent="0.25">
      <c r="A363" s="23">
        <v>6</v>
      </c>
      <c r="B363" s="14" t="s">
        <v>235</v>
      </c>
      <c r="C363" s="86">
        <f>data!CB61</f>
        <v>0</v>
      </c>
      <c r="D363" s="86">
        <f>data!CC61</f>
        <v>446570.98000000004</v>
      </c>
      <c r="E363" s="216"/>
      <c r="F363" s="217"/>
      <c r="G363" s="217"/>
      <c r="H363" s="217"/>
      <c r="I363" s="86">
        <f>data!CE61</f>
        <v>87964708.340000048</v>
      </c>
    </row>
    <row r="364" spans="1:9" ht="20.100000000000001" customHeight="1" x14ac:dyDescent="0.25">
      <c r="A364" s="23">
        <v>7</v>
      </c>
      <c r="B364" s="14" t="s">
        <v>3</v>
      </c>
      <c r="C364" s="86">
        <f>data!CB62</f>
        <v>0</v>
      </c>
      <c r="D364" s="86">
        <f>data!CC62</f>
        <v>92890</v>
      </c>
      <c r="E364" s="216"/>
      <c r="F364" s="217"/>
      <c r="G364" s="217"/>
      <c r="H364" s="217"/>
      <c r="I364" s="86">
        <f>data!CE62</f>
        <v>21872148</v>
      </c>
    </row>
    <row r="365" spans="1:9" ht="20.100000000000001" customHeight="1" x14ac:dyDescent="0.25">
      <c r="A365" s="23">
        <v>8</v>
      </c>
      <c r="B365" s="14" t="s">
        <v>236</v>
      </c>
      <c r="C365" s="86">
        <f>data!CB63</f>
        <v>0</v>
      </c>
      <c r="D365" s="86">
        <f>data!CC63</f>
        <v>0</v>
      </c>
      <c r="E365" s="216"/>
      <c r="F365" s="217"/>
      <c r="G365" s="217"/>
      <c r="H365" s="217"/>
      <c r="I365" s="86">
        <f>data!CE63</f>
        <v>9287562.7199999988</v>
      </c>
    </row>
    <row r="366" spans="1:9" ht="20.100000000000001" customHeight="1" x14ac:dyDescent="0.25">
      <c r="A366" s="23">
        <v>9</v>
      </c>
      <c r="B366" s="14" t="s">
        <v>237</v>
      </c>
      <c r="C366" s="86">
        <f>data!CB64</f>
        <v>0</v>
      </c>
      <c r="D366" s="86">
        <f>data!CC64</f>
        <v>159038.63999999998</v>
      </c>
      <c r="E366" s="216"/>
      <c r="F366" s="217"/>
      <c r="G366" s="217"/>
      <c r="H366" s="217"/>
      <c r="I366" s="86">
        <f>data!CE64</f>
        <v>26236478.410000008</v>
      </c>
    </row>
    <row r="367" spans="1:9" ht="20.100000000000001" customHeight="1" x14ac:dyDescent="0.25">
      <c r="A367" s="23">
        <v>10</v>
      </c>
      <c r="B367" s="14" t="s">
        <v>444</v>
      </c>
      <c r="C367" s="86">
        <f>data!CB65</f>
        <v>0</v>
      </c>
      <c r="D367" s="86">
        <f>data!CC65</f>
        <v>308538.23999999999</v>
      </c>
      <c r="E367" s="216"/>
      <c r="F367" s="217"/>
      <c r="G367" s="217"/>
      <c r="H367" s="217"/>
      <c r="I367" s="86">
        <f>data!CE65</f>
        <v>1974553.85</v>
      </c>
    </row>
    <row r="368" spans="1:9" ht="20.100000000000001" customHeight="1" x14ac:dyDescent="0.25">
      <c r="A368" s="23">
        <v>11</v>
      </c>
      <c r="B368" s="14" t="s">
        <v>445</v>
      </c>
      <c r="C368" s="86">
        <f>data!CB66</f>
        <v>44567.450729999997</v>
      </c>
      <c r="D368" s="86">
        <f>data!CC66</f>
        <v>17777788.393271409</v>
      </c>
      <c r="E368" s="216"/>
      <c r="F368" s="217"/>
      <c r="G368" s="217"/>
      <c r="H368" s="217"/>
      <c r="I368" s="86">
        <f>data!CE66</f>
        <v>55583612.9948828</v>
      </c>
    </row>
    <row r="369" spans="1:9" ht="20.100000000000001" customHeight="1" x14ac:dyDescent="0.25">
      <c r="A369" s="23">
        <v>12</v>
      </c>
      <c r="B369" s="14" t="s">
        <v>6</v>
      </c>
      <c r="C369" s="86">
        <f>data!CB67</f>
        <v>0</v>
      </c>
      <c r="D369" s="86">
        <f>data!CC67</f>
        <v>6802442</v>
      </c>
      <c r="E369" s="216"/>
      <c r="F369" s="217"/>
      <c r="G369" s="217"/>
      <c r="H369" s="217"/>
      <c r="I369" s="86">
        <f>data!CE67</f>
        <v>16180636</v>
      </c>
    </row>
    <row r="370" spans="1:9" ht="20.100000000000001" customHeight="1" x14ac:dyDescent="0.25">
      <c r="A370" s="23">
        <v>13</v>
      </c>
      <c r="B370" s="14" t="s">
        <v>474</v>
      </c>
      <c r="C370" s="86">
        <f>data!CB68</f>
        <v>0</v>
      </c>
      <c r="D370" s="86">
        <f>data!CC68</f>
        <v>252361.15000000002</v>
      </c>
      <c r="E370" s="216"/>
      <c r="F370" s="217"/>
      <c r="G370" s="217"/>
      <c r="H370" s="217"/>
      <c r="I370" s="86">
        <f>data!CE68</f>
        <v>5065609.6500000013</v>
      </c>
    </row>
    <row r="371" spans="1:9" ht="20.100000000000001" customHeight="1" x14ac:dyDescent="0.25">
      <c r="A371" s="23">
        <v>14</v>
      </c>
      <c r="B371" s="14" t="s">
        <v>241</v>
      </c>
      <c r="C371" s="86">
        <f>data!CB69</f>
        <v>0</v>
      </c>
      <c r="D371" s="86">
        <f>data!CC69</f>
        <v>43489.989999996498</v>
      </c>
      <c r="E371" s="86">
        <f>data!CD69</f>
        <v>15629750</v>
      </c>
      <c r="F371" s="217"/>
      <c r="G371" s="217"/>
      <c r="H371" s="217"/>
      <c r="I371" s="86">
        <f>data!CE69</f>
        <v>18326726.349999998</v>
      </c>
    </row>
    <row r="372" spans="1:9" ht="20.100000000000001" customHeight="1" x14ac:dyDescent="0.25">
      <c r="A372" s="23">
        <v>15</v>
      </c>
      <c r="B372" s="14" t="s">
        <v>242</v>
      </c>
      <c r="C372" s="14">
        <f>-data!CB70</f>
        <v>0</v>
      </c>
      <c r="D372" s="14">
        <f>-data!CC70</f>
        <v>-4836771.24</v>
      </c>
      <c r="E372" s="223">
        <f>data!CD70</f>
        <v>0</v>
      </c>
      <c r="F372" s="218"/>
      <c r="G372" s="218"/>
      <c r="H372" s="218"/>
      <c r="I372" s="14">
        <f>-data!CE70</f>
        <v>-12329880.140000001</v>
      </c>
    </row>
    <row r="373" spans="1:9" ht="20.100000000000001" customHeight="1" x14ac:dyDescent="0.25">
      <c r="A373" s="23">
        <v>16</v>
      </c>
      <c r="B373" s="48" t="s">
        <v>1180</v>
      </c>
      <c r="C373" s="86">
        <f>data!CB71</f>
        <v>44567.450729999997</v>
      </c>
      <c r="D373" s="86">
        <f>data!CC71</f>
        <v>21046348.153271399</v>
      </c>
      <c r="E373" s="86">
        <f>data!CD71</f>
        <v>15629750</v>
      </c>
      <c r="F373" s="217"/>
      <c r="G373" s="217"/>
      <c r="H373" s="217"/>
      <c r="I373" s="14">
        <f>data!CE71</f>
        <v>230162156.17488283</v>
      </c>
    </row>
    <row r="374" spans="1:9" ht="20.100000000000001" customHeight="1" x14ac:dyDescent="0.25">
      <c r="A374" s="23">
        <v>17</v>
      </c>
      <c r="B374" s="14" t="s">
        <v>244</v>
      </c>
      <c r="C374" s="217"/>
      <c r="D374" s="217"/>
      <c r="E374" s="217"/>
      <c r="F374" s="217"/>
      <c r="G374" s="217"/>
      <c r="H374" s="217"/>
      <c r="I374" s="14">
        <f>-data!CE72</f>
        <v>0</v>
      </c>
    </row>
    <row r="375" spans="1:9" ht="20.100000000000001" customHeight="1" x14ac:dyDescent="0.25">
      <c r="A375" s="23">
        <v>18</v>
      </c>
      <c r="B375" s="14" t="s">
        <v>1181</v>
      </c>
      <c r="C375" s="14"/>
      <c r="D375" s="14"/>
      <c r="E375" s="14"/>
      <c r="F375" s="14"/>
      <c r="G375" s="14"/>
      <c r="H375" s="14"/>
      <c r="I375" s="14"/>
    </row>
    <row r="376" spans="1:9" ht="20.100000000000001" customHeight="1" x14ac:dyDescent="0.25">
      <c r="A376" s="23">
        <v>19</v>
      </c>
      <c r="B376" s="48" t="s">
        <v>1182</v>
      </c>
      <c r="C376" s="211" t="str">
        <f>IF(data!CB73&gt;0,data!CB73,"")</f>
        <v>x</v>
      </c>
      <c r="D376" s="211" t="str">
        <f>IF(data!CC73&gt;0,data!CC73,"")</f>
        <v>x</v>
      </c>
      <c r="E376" s="212"/>
      <c r="F376" s="209"/>
      <c r="G376" s="209"/>
      <c r="H376" s="209"/>
      <c r="I376" s="85">
        <f>data!CE73</f>
        <v>403341854.01000005</v>
      </c>
    </row>
    <row r="377" spans="1:9" ht="20.100000000000001" customHeight="1" x14ac:dyDescent="0.25">
      <c r="A377" s="23">
        <v>20</v>
      </c>
      <c r="B377" s="48" t="s">
        <v>1183</v>
      </c>
      <c r="C377" s="211" t="str">
        <f>IF(data!CB74&gt;0,data!CB74,"")</f>
        <v>x</v>
      </c>
      <c r="D377" s="211" t="str">
        <f>IF(data!CC74&gt;0,data!CC74,"")</f>
        <v>x</v>
      </c>
      <c r="E377" s="212"/>
      <c r="F377" s="209"/>
      <c r="G377" s="209"/>
      <c r="H377" s="209"/>
      <c r="I377" s="85">
        <f>data!CE74</f>
        <v>615618115.30000007</v>
      </c>
    </row>
    <row r="378" spans="1:9" ht="20.100000000000001" customHeight="1" x14ac:dyDescent="0.25">
      <c r="A378" s="23">
        <v>21</v>
      </c>
      <c r="B378" s="48" t="s">
        <v>1184</v>
      </c>
      <c r="C378" s="211" t="str">
        <f>IF(data!CB75&gt;0,data!CB75,"")</f>
        <v>x</v>
      </c>
      <c r="D378" s="211" t="str">
        <f>IF(data!CC75&gt;0,data!CC75,"")</f>
        <v>x</v>
      </c>
      <c r="E378" s="212"/>
      <c r="F378" s="209"/>
      <c r="G378" s="209"/>
      <c r="H378" s="209"/>
      <c r="I378" s="85">
        <f>data!CE75</f>
        <v>1018959969.3100001</v>
      </c>
    </row>
    <row r="379" spans="1:9" ht="20.100000000000001" customHeight="1" x14ac:dyDescent="0.25">
      <c r="A379" s="23" t="s">
        <v>1185</v>
      </c>
      <c r="B379" s="60"/>
      <c r="C379" s="209"/>
      <c r="D379" s="209"/>
      <c r="E379" s="209"/>
      <c r="F379" s="209"/>
      <c r="G379" s="209"/>
      <c r="H379" s="209"/>
      <c r="I379" s="209"/>
    </row>
    <row r="380" spans="1:9" ht="20.100000000000001" customHeight="1" x14ac:dyDescent="0.25">
      <c r="A380" s="23">
        <v>22</v>
      </c>
      <c r="B380" s="14" t="s">
        <v>1186</v>
      </c>
      <c r="C380" s="85">
        <f>data!CB76</f>
        <v>0</v>
      </c>
      <c r="D380" s="85">
        <f>data!CC76</f>
        <v>0</v>
      </c>
      <c r="E380" s="212"/>
      <c r="F380" s="209"/>
      <c r="G380" s="209"/>
      <c r="H380" s="209"/>
      <c r="I380" s="14">
        <f>data!CE76</f>
        <v>236716</v>
      </c>
    </row>
    <row r="381" spans="1:9" ht="20.100000000000001" customHeight="1" x14ac:dyDescent="0.25">
      <c r="A381" s="23">
        <v>23</v>
      </c>
      <c r="B381" s="14" t="s">
        <v>1187</v>
      </c>
      <c r="C381" s="14" t="str">
        <f>IF(data!CB77&gt;0,data!CB77,"")</f>
        <v/>
      </c>
      <c r="D381" s="211" t="str">
        <f>IF(data!CC77&gt;0,data!CC77,"")</f>
        <v>x</v>
      </c>
      <c r="E381" s="212"/>
      <c r="F381" s="209"/>
      <c r="G381" s="209"/>
      <c r="H381" s="209"/>
      <c r="I381" s="14">
        <f>data!CE77</f>
        <v>134758</v>
      </c>
    </row>
    <row r="382" spans="1:9" ht="20.100000000000001" customHeight="1" x14ac:dyDescent="0.25">
      <c r="A382" s="23">
        <v>24</v>
      </c>
      <c r="B382" s="14" t="s">
        <v>1188</v>
      </c>
      <c r="C382" s="14" t="str">
        <f>IF(data!CB78&gt;0,data!CB78,"")</f>
        <v/>
      </c>
      <c r="D382" s="211" t="str">
        <f>IF(data!CC78&gt;0,data!CC78,"")</f>
        <v>x</v>
      </c>
      <c r="E382" s="212"/>
      <c r="F382" s="209"/>
      <c r="G382" s="209"/>
      <c r="H382" s="209"/>
      <c r="I382" s="14">
        <f>data!CE78</f>
        <v>50332.562934486908</v>
      </c>
    </row>
    <row r="383" spans="1:9" ht="20.100000000000001" customHeight="1" x14ac:dyDescent="0.25">
      <c r="A383" s="23">
        <v>25</v>
      </c>
      <c r="B383" s="14" t="s">
        <v>1189</v>
      </c>
      <c r="C383" s="14" t="str">
        <f>IF(data!CB79&gt;0,data!CB79,"")</f>
        <v/>
      </c>
      <c r="D383" s="211" t="str">
        <f>IF(data!CC79&gt;0,data!CC79,"")</f>
        <v>x</v>
      </c>
      <c r="E383" s="212"/>
      <c r="F383" s="209"/>
      <c r="G383" s="209"/>
      <c r="H383" s="209"/>
      <c r="I383" s="14">
        <f>data!CE79</f>
        <v>924970.83000000019</v>
      </c>
    </row>
    <row r="384" spans="1:9" ht="20.100000000000001" customHeight="1" x14ac:dyDescent="0.25">
      <c r="A384" s="23">
        <v>26</v>
      </c>
      <c r="B384" s="14" t="s">
        <v>252</v>
      </c>
      <c r="C384" s="211" t="str">
        <f>IF(data!CB80&gt;0,data!CB80,"")</f>
        <v/>
      </c>
      <c r="D384" s="211" t="str">
        <f>IF(data!CC80&gt;0,data!CC80,"")</f>
        <v/>
      </c>
      <c r="E384" s="215"/>
      <c r="F384" s="209"/>
      <c r="G384" s="209"/>
      <c r="H384" s="209"/>
      <c r="I384" s="84">
        <f>data!CE80</f>
        <v>243.18869711538463</v>
      </c>
    </row>
  </sheetData>
  <phoneticPr fontId="0" type="noConversion"/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65535" man="1"/>
    <brk id="64" max="65535" man="1"/>
    <brk id="96" max="65535" man="1"/>
    <brk id="128" max="65535" man="1"/>
    <brk id="160" max="65535" man="1"/>
    <brk id="192" max="65535" man="1"/>
    <brk id="224" max="65535" man="1"/>
    <brk id="256" max="65535" man="1"/>
    <brk id="288" max="65535" man="1"/>
    <brk id="320" max="65535" man="1"/>
    <brk id="352" max="65535" man="1"/>
    <brk id="410" max="6553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85" transitionEvaluation="1" transitionEntry="1" codeName="Sheet10">
    <pageSetUpPr autoPageBreaks="0" fitToPage="1"/>
  </sheetPr>
  <dimension ref="A1:CF817"/>
  <sheetViews>
    <sheetView showGridLines="0" topLeftCell="A85" zoomScale="75" workbookViewId="0">
      <selection activeCell="AL75" sqref="AL75"/>
    </sheetView>
  </sheetViews>
  <sheetFormatPr defaultColWidth="11.75" defaultRowHeight="12.6" customHeight="1" x14ac:dyDescent="0.25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 x14ac:dyDescent="0.25">
      <c r="A1" s="227" t="s">
        <v>1232</v>
      </c>
      <c r="B1" s="228"/>
      <c r="C1" s="228"/>
      <c r="D1" s="228"/>
      <c r="E1" s="228"/>
      <c r="F1" s="228"/>
    </row>
    <row r="2" spans="1:6" ht="12.75" customHeight="1" x14ac:dyDescent="0.25">
      <c r="A2" s="228" t="s">
        <v>1233</v>
      </c>
      <c r="B2" s="228"/>
      <c r="C2" s="229"/>
      <c r="D2" s="228"/>
      <c r="E2" s="228"/>
      <c r="F2" s="228"/>
    </row>
    <row r="3" spans="1:6" ht="12.75" customHeight="1" x14ac:dyDescent="0.25">
      <c r="A3" s="197"/>
      <c r="C3" s="230"/>
    </row>
    <row r="4" spans="1:6" ht="12.75" customHeight="1" x14ac:dyDescent="0.25">
      <c r="C4" s="230"/>
    </row>
    <row r="5" spans="1:6" ht="12.75" customHeight="1" x14ac:dyDescent="0.25">
      <c r="A5" s="197" t="s">
        <v>1258</v>
      </c>
      <c r="C5" s="230"/>
    </row>
    <row r="6" spans="1:6" ht="12.75" customHeight="1" x14ac:dyDescent="0.25">
      <c r="A6" s="197" t="s">
        <v>0</v>
      </c>
      <c r="C6" s="230"/>
    </row>
    <row r="7" spans="1:6" ht="12.75" customHeight="1" x14ac:dyDescent="0.25">
      <c r="A7" s="197" t="s">
        <v>1</v>
      </c>
      <c r="C7" s="230"/>
    </row>
    <row r="8" spans="1:6" ht="12.75" customHeight="1" x14ac:dyDescent="0.25">
      <c r="C8" s="230"/>
    </row>
    <row r="9" spans="1:6" ht="12.75" customHeight="1" x14ac:dyDescent="0.25">
      <c r="C9" s="230"/>
    </row>
    <row r="10" spans="1:6" ht="12.75" customHeight="1" x14ac:dyDescent="0.25">
      <c r="A10" s="196" t="s">
        <v>1228</v>
      </c>
      <c r="C10" s="230"/>
    </row>
    <row r="11" spans="1:6" ht="12.75" customHeight="1" x14ac:dyDescent="0.25">
      <c r="A11" s="196" t="s">
        <v>1231</v>
      </c>
      <c r="C11" s="230"/>
    </row>
    <row r="12" spans="1:6" ht="12.75" customHeight="1" x14ac:dyDescent="0.25">
      <c r="C12" s="230"/>
    </row>
    <row r="13" spans="1:6" ht="12.75" customHeight="1" x14ac:dyDescent="0.25">
      <c r="C13" s="230"/>
    </row>
    <row r="14" spans="1:6" ht="12.75" customHeight="1" x14ac:dyDescent="0.25">
      <c r="A14" s="197" t="s">
        <v>2</v>
      </c>
      <c r="C14" s="230"/>
    </row>
    <row r="15" spans="1:6" ht="12.75" customHeight="1" x14ac:dyDescent="0.25">
      <c r="A15" s="197"/>
      <c r="C15" s="230"/>
    </row>
    <row r="16" spans="1:6" ht="12.75" customHeight="1" x14ac:dyDescent="0.25">
      <c r="A16" s="180" t="s">
        <v>1260</v>
      </c>
      <c r="C16" s="230"/>
      <c r="F16" s="277" t="s">
        <v>1259</v>
      </c>
    </row>
    <row r="17" spans="1:6" ht="12.75" customHeight="1" x14ac:dyDescent="0.25">
      <c r="A17" s="180" t="s">
        <v>1230</v>
      </c>
      <c r="C17" s="277" t="s">
        <v>1259</v>
      </c>
    </row>
    <row r="18" spans="1:6" ht="12.75" customHeight="1" x14ac:dyDescent="0.25">
      <c r="A18" s="222"/>
      <c r="C18" s="230"/>
    </row>
    <row r="19" spans="1:6" ht="12.75" customHeight="1" x14ac:dyDescent="0.25">
      <c r="C19" s="230"/>
    </row>
    <row r="20" spans="1:6" ht="12.75" customHeight="1" x14ac:dyDescent="0.25">
      <c r="A20" s="267" t="s">
        <v>1234</v>
      </c>
      <c r="B20" s="267"/>
      <c r="C20" s="278"/>
      <c r="D20" s="267"/>
      <c r="E20" s="267"/>
      <c r="F20" s="267"/>
    </row>
    <row r="21" spans="1:6" ht="22.5" customHeight="1" x14ac:dyDescent="0.25">
      <c r="A21" s="197"/>
      <c r="C21" s="230"/>
    </row>
    <row r="22" spans="1:6" ht="12.6" customHeight="1" x14ac:dyDescent="0.25">
      <c r="A22" s="231" t="s">
        <v>1254</v>
      </c>
      <c r="B22" s="232"/>
      <c r="C22" s="233"/>
      <c r="D22" s="231"/>
      <c r="E22" s="231"/>
    </row>
    <row r="23" spans="1:6" ht="12.6" customHeight="1" x14ac:dyDescent="0.25">
      <c r="B23" s="197"/>
      <c r="C23" s="230"/>
    </row>
    <row r="24" spans="1:6" ht="12.6" customHeight="1" x14ac:dyDescent="0.25">
      <c r="A24" s="234" t="s">
        <v>3</v>
      </c>
      <c r="C24" s="230"/>
    </row>
    <row r="25" spans="1:6" ht="12.6" customHeight="1" x14ac:dyDescent="0.25">
      <c r="A25" s="196" t="s">
        <v>1235</v>
      </c>
      <c r="C25" s="230"/>
    </row>
    <row r="26" spans="1:6" ht="12.6" customHeight="1" x14ac:dyDescent="0.25">
      <c r="A26" s="197" t="s">
        <v>4</v>
      </c>
      <c r="C26" s="230"/>
    </row>
    <row r="27" spans="1:6" ht="12.6" customHeight="1" x14ac:dyDescent="0.25">
      <c r="A27" s="196" t="s">
        <v>1236</v>
      </c>
      <c r="C27" s="230"/>
    </row>
    <row r="28" spans="1:6" ht="12.6" customHeight="1" x14ac:dyDescent="0.25">
      <c r="A28" s="197" t="s">
        <v>5</v>
      </c>
      <c r="C28" s="230"/>
    </row>
    <row r="29" spans="1:6" ht="12.6" customHeight="1" x14ac:dyDescent="0.25">
      <c r="A29" s="196"/>
      <c r="C29" s="230"/>
    </row>
    <row r="30" spans="1:6" ht="12.6" customHeight="1" x14ac:dyDescent="0.25">
      <c r="A30" s="180" t="s">
        <v>6</v>
      </c>
      <c r="C30" s="230"/>
    </row>
    <row r="31" spans="1:6" ht="12.6" customHeight="1" x14ac:dyDescent="0.25">
      <c r="A31" s="197" t="s">
        <v>7</v>
      </c>
      <c r="C31" s="230"/>
    </row>
    <row r="32" spans="1:6" ht="12.6" customHeight="1" x14ac:dyDescent="0.25">
      <c r="A32" s="197" t="s">
        <v>8</v>
      </c>
      <c r="C32" s="230"/>
    </row>
    <row r="33" spans="1:83" ht="12.6" customHeight="1" x14ac:dyDescent="0.25">
      <c r="A33" s="196" t="s">
        <v>1237</v>
      </c>
      <c r="C33" s="230"/>
    </row>
    <row r="34" spans="1:83" ht="12.6" customHeight="1" x14ac:dyDescent="0.25">
      <c r="A34" s="197" t="s">
        <v>9</v>
      </c>
      <c r="C34" s="230"/>
    </row>
    <row r="35" spans="1:83" ht="12.6" customHeight="1" x14ac:dyDescent="0.25">
      <c r="A35" s="197"/>
      <c r="C35" s="230"/>
    </row>
    <row r="36" spans="1:83" ht="12.6" customHeight="1" x14ac:dyDescent="0.25">
      <c r="A36" s="196" t="s">
        <v>1238</v>
      </c>
      <c r="C36" s="230"/>
    </row>
    <row r="37" spans="1:83" ht="12.6" customHeight="1" x14ac:dyDescent="0.25">
      <c r="A37" s="197" t="s">
        <v>1229</v>
      </c>
      <c r="C37" s="230"/>
    </row>
    <row r="38" spans="1:83" ht="12" customHeight="1" x14ac:dyDescent="0.25">
      <c r="A38" s="196"/>
      <c r="C38" s="230"/>
    </row>
    <row r="39" spans="1:83" ht="12.6" customHeight="1" x14ac:dyDescent="0.25">
      <c r="A39" s="197"/>
      <c r="C39" s="230"/>
    </row>
    <row r="40" spans="1:83" ht="12" customHeight="1" x14ac:dyDescent="0.25">
      <c r="A40" s="197"/>
      <c r="C40" s="230"/>
    </row>
    <row r="41" spans="1:83" ht="12" customHeight="1" x14ac:dyDescent="0.25">
      <c r="A41" s="197"/>
      <c r="C41" s="235"/>
      <c r="D41" s="236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</row>
    <row r="42" spans="1:83" ht="12" customHeight="1" x14ac:dyDescent="0.25">
      <c r="A42" s="197"/>
      <c r="C42" s="235"/>
      <c r="D42" s="236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7"/>
    </row>
    <row r="43" spans="1:83" ht="12" customHeight="1" x14ac:dyDescent="0.25">
      <c r="A43" s="197"/>
      <c r="C43" s="230"/>
      <c r="F43" s="181"/>
    </row>
    <row r="44" spans="1:83" ht="12" customHeight="1" x14ac:dyDescent="0.25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 x14ac:dyDescent="0.25">
      <c r="A45" s="175"/>
      <c r="B45" s="238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" customHeight="1" x14ac:dyDescent="0.25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" customHeight="1" x14ac:dyDescent="0.25">
      <c r="A47" s="175" t="s">
        <v>204</v>
      </c>
      <c r="B47" s="183">
        <v>17375838.800000001</v>
      </c>
      <c r="C47" s="184">
        <v>677616.13</v>
      </c>
      <c r="D47" s="184">
        <v>0</v>
      </c>
      <c r="E47" s="184">
        <v>4102731.7100000004</v>
      </c>
      <c r="F47" s="184">
        <v>0</v>
      </c>
      <c r="G47" s="184">
        <v>750.62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281.35000000000002</v>
      </c>
      <c r="N47" s="184">
        <v>0</v>
      </c>
      <c r="O47" s="184">
        <v>951699.42999999993</v>
      </c>
      <c r="P47" s="184">
        <v>1353422.7000000002</v>
      </c>
      <c r="Q47" s="184">
        <v>747633.01</v>
      </c>
      <c r="R47" s="184">
        <v>0</v>
      </c>
      <c r="S47" s="184">
        <v>379024.56</v>
      </c>
      <c r="T47" s="184">
        <v>50127.37</v>
      </c>
      <c r="U47" s="184">
        <v>743858.14</v>
      </c>
      <c r="V47" s="184">
        <v>0</v>
      </c>
      <c r="W47" s="184">
        <v>157245.26</v>
      </c>
      <c r="X47" s="184">
        <v>219940.57</v>
      </c>
      <c r="Y47" s="184">
        <v>709072.71000000008</v>
      </c>
      <c r="Z47" s="184">
        <v>0</v>
      </c>
      <c r="AA47" s="184">
        <v>61395.45</v>
      </c>
      <c r="AB47" s="184">
        <v>794913.6100000001</v>
      </c>
      <c r="AC47" s="184">
        <v>423830</v>
      </c>
      <c r="AD47" s="184">
        <v>0</v>
      </c>
      <c r="AE47" s="184">
        <v>0</v>
      </c>
      <c r="AF47" s="184">
        <v>0</v>
      </c>
      <c r="AG47" s="184">
        <v>2114536.12</v>
      </c>
      <c r="AH47" s="184">
        <v>0</v>
      </c>
      <c r="AI47" s="184">
        <v>0</v>
      </c>
      <c r="AJ47" s="184">
        <v>734497.7300000001</v>
      </c>
      <c r="AK47" s="184">
        <v>77369.37</v>
      </c>
      <c r="AL47" s="184">
        <v>62380.42</v>
      </c>
      <c r="AM47" s="184">
        <v>0</v>
      </c>
      <c r="AN47" s="184">
        <v>0</v>
      </c>
      <c r="AO47" s="184">
        <v>0</v>
      </c>
      <c r="AP47" s="184">
        <v>179.7</v>
      </c>
      <c r="AQ47" s="184">
        <v>0</v>
      </c>
      <c r="AR47" s="184">
        <v>183289.43</v>
      </c>
      <c r="AS47" s="184">
        <v>0</v>
      </c>
      <c r="AT47" s="184">
        <v>0</v>
      </c>
      <c r="AU47" s="184">
        <v>0</v>
      </c>
      <c r="AV47" s="184">
        <v>26988.23</v>
      </c>
      <c r="AW47" s="184">
        <v>153211.73000000001</v>
      </c>
      <c r="AX47" s="184">
        <v>0</v>
      </c>
      <c r="AY47" s="184">
        <v>686248.64</v>
      </c>
      <c r="AZ47" s="184">
        <v>0</v>
      </c>
      <c r="BA47" s="184">
        <v>111.33999999999999</v>
      </c>
      <c r="BB47" s="184">
        <v>0</v>
      </c>
      <c r="BC47" s="184">
        <v>0</v>
      </c>
      <c r="BD47" s="184">
        <v>0</v>
      </c>
      <c r="BE47" s="184">
        <v>210088.24</v>
      </c>
      <c r="BF47" s="184">
        <v>688559.37</v>
      </c>
      <c r="BG47" s="184">
        <v>0</v>
      </c>
      <c r="BH47" s="184">
        <v>0</v>
      </c>
      <c r="BI47" s="184">
        <v>0</v>
      </c>
      <c r="BJ47" s="184">
        <v>0</v>
      </c>
      <c r="BK47" s="184">
        <v>1065.3000000000002</v>
      </c>
      <c r="BL47" s="184">
        <v>31109</v>
      </c>
      <c r="BM47" s="184">
        <v>0</v>
      </c>
      <c r="BN47" s="184">
        <v>303133.73</v>
      </c>
      <c r="BO47" s="184">
        <v>150552.75</v>
      </c>
      <c r="BP47" s="184">
        <v>0</v>
      </c>
      <c r="BQ47" s="184">
        <v>0</v>
      </c>
      <c r="BR47" s="184">
        <v>12838.110000002785</v>
      </c>
      <c r="BS47" s="184">
        <v>10514.349999999999</v>
      </c>
      <c r="BT47" s="184">
        <v>0</v>
      </c>
      <c r="BU47" s="184">
        <v>0</v>
      </c>
      <c r="BV47" s="184">
        <v>0</v>
      </c>
      <c r="BW47" s="184">
        <v>17681.68</v>
      </c>
      <c r="BX47" s="184">
        <v>0</v>
      </c>
      <c r="BY47" s="184">
        <v>435266.28</v>
      </c>
      <c r="BZ47" s="184">
        <v>0</v>
      </c>
      <c r="CA47" s="184">
        <v>0</v>
      </c>
      <c r="CB47" s="184">
        <v>0</v>
      </c>
      <c r="CC47" s="184">
        <v>102674.66</v>
      </c>
      <c r="CD47" s="193"/>
      <c r="CE47" s="193">
        <f>SUM(C47:CC47)</f>
        <v>17375838.800000004</v>
      </c>
    </row>
    <row r="48" spans="1:83" ht="12.6" customHeight="1" x14ac:dyDescent="0.25">
      <c r="A48" s="175" t="s">
        <v>205</v>
      </c>
      <c r="B48" s="183"/>
      <c r="C48" s="239">
        <f>ROUND(((B48/CE61)*C61),0)</f>
        <v>0</v>
      </c>
      <c r="D48" s="239">
        <f>ROUND(((B48/CE61)*D61),0)</f>
        <v>0</v>
      </c>
      <c r="E48" s="193">
        <f>ROUND(((B48/CE61)*E61),0)</f>
        <v>0</v>
      </c>
      <c r="F48" s="193">
        <f>ROUND(((B48/CE61)*F61),0)</f>
        <v>0</v>
      </c>
      <c r="G48" s="193">
        <f>ROUND(((B48/CE61)*G61),0)</f>
        <v>0</v>
      </c>
      <c r="H48" s="193">
        <f>ROUND(((B48/CE61)*H61),0)</f>
        <v>0</v>
      </c>
      <c r="I48" s="193">
        <f>ROUND(((B48/CE61)*I61),0)</f>
        <v>0</v>
      </c>
      <c r="J48" s="193">
        <f>ROUND(((B48/CE61)*J61),0)</f>
        <v>0</v>
      </c>
      <c r="K48" s="193">
        <f>ROUND(((B48/CE61)*K61),0)</f>
        <v>0</v>
      </c>
      <c r="L48" s="193">
        <f>ROUND(((B48/CE61)*L61),0)</f>
        <v>0</v>
      </c>
      <c r="M48" s="193">
        <f>ROUND(((B48/CE61)*M61),0)</f>
        <v>0</v>
      </c>
      <c r="N48" s="193">
        <f>ROUND(((B48/CE61)*N61),0)</f>
        <v>0</v>
      </c>
      <c r="O48" s="193">
        <f>ROUND(((B48/CE61)*O61),0)</f>
        <v>0</v>
      </c>
      <c r="P48" s="193">
        <f>ROUND(((B48/CE61)*P61),0)</f>
        <v>0</v>
      </c>
      <c r="Q48" s="193">
        <f>ROUND(((B48/CE61)*Q61),0)</f>
        <v>0</v>
      </c>
      <c r="R48" s="193">
        <f>ROUND(((B48/CE61)*R61),0)</f>
        <v>0</v>
      </c>
      <c r="S48" s="193">
        <f>ROUND(((B48/CE61)*S61),0)</f>
        <v>0</v>
      </c>
      <c r="T48" s="193">
        <f>ROUND(((B48/CE61)*T61),0)</f>
        <v>0</v>
      </c>
      <c r="U48" s="193">
        <f>ROUND(((B48/CE61)*U61),0)</f>
        <v>0</v>
      </c>
      <c r="V48" s="193">
        <f>ROUND(((B48/CE61)*V61),0)</f>
        <v>0</v>
      </c>
      <c r="W48" s="193">
        <f>ROUND(((B48/CE61)*W61),0)</f>
        <v>0</v>
      </c>
      <c r="X48" s="193">
        <f>ROUND(((B48/CE61)*X61),0)</f>
        <v>0</v>
      </c>
      <c r="Y48" s="193">
        <f>ROUND(((B48/CE61)*Y61),0)</f>
        <v>0</v>
      </c>
      <c r="Z48" s="193">
        <f>ROUND(((B48/CE61)*Z61),0)</f>
        <v>0</v>
      </c>
      <c r="AA48" s="193">
        <f>ROUND(((B48/CE61)*AA61),0)</f>
        <v>0</v>
      </c>
      <c r="AB48" s="193">
        <f>ROUND(((B48/CE61)*AB61),0)</f>
        <v>0</v>
      </c>
      <c r="AC48" s="193">
        <f>ROUND(((B48/CE61)*AC61),0)</f>
        <v>0</v>
      </c>
      <c r="AD48" s="193">
        <f>ROUND(((B48/CE61)*AD61),0)</f>
        <v>0</v>
      </c>
      <c r="AE48" s="193">
        <f>ROUND(((B48/CE61)*AE61),0)</f>
        <v>0</v>
      </c>
      <c r="AF48" s="193">
        <f>ROUND(((B48/CE61)*AF61),0)</f>
        <v>0</v>
      </c>
      <c r="AG48" s="193">
        <f>ROUND(((B48/CE61)*AG61),0)</f>
        <v>0</v>
      </c>
      <c r="AH48" s="193">
        <f>ROUND(((B48/CE61)*AH61),0)</f>
        <v>0</v>
      </c>
      <c r="AI48" s="193">
        <f>ROUND(((B48/CE61)*AI61),0)</f>
        <v>0</v>
      </c>
      <c r="AJ48" s="193">
        <f>ROUND(((B48/CE61)*AJ61),0)</f>
        <v>0</v>
      </c>
      <c r="AK48" s="193">
        <f>ROUND(((B48/CE61)*AK61),0)</f>
        <v>0</v>
      </c>
      <c r="AL48" s="193">
        <f>ROUND(((B48/CE61)*AL61),0)</f>
        <v>0</v>
      </c>
      <c r="AM48" s="193">
        <f>ROUND(((B48/CE61)*AM61),0)</f>
        <v>0</v>
      </c>
      <c r="AN48" s="193">
        <f>ROUND(((B48/CE61)*AN61),0)</f>
        <v>0</v>
      </c>
      <c r="AO48" s="193">
        <f>ROUND(((B48/CE61)*AO61),0)</f>
        <v>0</v>
      </c>
      <c r="AP48" s="193">
        <f>ROUND(((B48/CE61)*AP61),0)</f>
        <v>0</v>
      </c>
      <c r="AQ48" s="193">
        <f>ROUND(((B48/CE61)*AQ61),0)</f>
        <v>0</v>
      </c>
      <c r="AR48" s="193">
        <f>ROUND(((B48/CE61)*AR61),0)</f>
        <v>0</v>
      </c>
      <c r="AS48" s="193">
        <f>ROUND(((B48/CE61)*AS61),0)</f>
        <v>0</v>
      </c>
      <c r="AT48" s="193">
        <f>ROUND(((B48/CE61)*AT61),0)</f>
        <v>0</v>
      </c>
      <c r="AU48" s="193">
        <f>ROUND(((B48/CE61)*AU61),0)</f>
        <v>0</v>
      </c>
      <c r="AV48" s="193">
        <f>ROUND(((B48/CE61)*AV61),0)</f>
        <v>0</v>
      </c>
      <c r="AW48" s="193">
        <f>ROUND(((B48/CE61)*AW61),0)</f>
        <v>0</v>
      </c>
      <c r="AX48" s="193">
        <f>ROUND(((B48/CE61)*AX61),0)</f>
        <v>0</v>
      </c>
      <c r="AY48" s="193">
        <f>ROUND(((B48/CE61)*AY61),0)</f>
        <v>0</v>
      </c>
      <c r="AZ48" s="193">
        <f>ROUND(((B48/CE61)*AZ61),0)</f>
        <v>0</v>
      </c>
      <c r="BA48" s="193">
        <f>ROUND(((B48/CE61)*BA61),0)</f>
        <v>0</v>
      </c>
      <c r="BB48" s="193">
        <f>ROUND(((B48/CE61)*BB61),0)</f>
        <v>0</v>
      </c>
      <c r="BC48" s="193">
        <f>ROUND(((B48/CE61)*BC61),0)</f>
        <v>0</v>
      </c>
      <c r="BD48" s="193">
        <f>ROUND(((B48/CE61)*BD61),0)</f>
        <v>0</v>
      </c>
      <c r="BE48" s="193">
        <f>ROUND(((B48/CE61)*BE61),0)</f>
        <v>0</v>
      </c>
      <c r="BF48" s="193">
        <f>ROUND(((B48/CE61)*BF61),0)</f>
        <v>0</v>
      </c>
      <c r="BG48" s="193">
        <f>ROUND(((B48/CE61)*BG61),0)</f>
        <v>0</v>
      </c>
      <c r="BH48" s="193">
        <f>ROUND(((B48/CE61)*BH61),0)</f>
        <v>0</v>
      </c>
      <c r="BI48" s="193">
        <f>ROUND(((B48/CE61)*BI61),0)</f>
        <v>0</v>
      </c>
      <c r="BJ48" s="193">
        <f>ROUND(((B48/CE61)*BJ61),0)</f>
        <v>0</v>
      </c>
      <c r="BK48" s="193">
        <f>ROUND(((B48/CE61)*BK61),0)</f>
        <v>0</v>
      </c>
      <c r="BL48" s="193">
        <f>ROUND(((B48/CE61)*BL61),0)</f>
        <v>0</v>
      </c>
      <c r="BM48" s="193">
        <f>ROUND(((B48/CE61)*BM61),0)</f>
        <v>0</v>
      </c>
      <c r="BN48" s="193">
        <f>ROUND(((B48/CE61)*BN61),0)</f>
        <v>0</v>
      </c>
      <c r="BO48" s="193">
        <f>ROUND(((B48/CE61)*BO61),0)</f>
        <v>0</v>
      </c>
      <c r="BP48" s="193">
        <f>ROUND(((B48/CE61)*BP61),0)</f>
        <v>0</v>
      </c>
      <c r="BQ48" s="193">
        <f>ROUND(((B48/CE61)*BQ61),0)</f>
        <v>0</v>
      </c>
      <c r="BR48" s="193">
        <f>ROUND(((B48/CE61)*BR61),0)</f>
        <v>0</v>
      </c>
      <c r="BS48" s="193">
        <f>ROUND(((B48/CE61)*BS61),0)</f>
        <v>0</v>
      </c>
      <c r="BT48" s="193">
        <f>ROUND(((B48/CE61)*BT61),0)</f>
        <v>0</v>
      </c>
      <c r="BU48" s="193">
        <f>ROUND(((B48/CE61)*BU61),0)</f>
        <v>0</v>
      </c>
      <c r="BV48" s="193">
        <f>ROUND(((B48/CE61)*BV61),0)</f>
        <v>0</v>
      </c>
      <c r="BW48" s="193">
        <f>ROUND(((B48/CE61)*BW61),0)</f>
        <v>0</v>
      </c>
      <c r="BX48" s="193">
        <f>ROUND(((B48/CE61)*BX61),0)</f>
        <v>0</v>
      </c>
      <c r="BY48" s="193">
        <f>ROUND(((B48/CE61)*BY61),0)</f>
        <v>0</v>
      </c>
      <c r="BZ48" s="193">
        <f>ROUND(((B48/CE61)*BZ61),0)</f>
        <v>0</v>
      </c>
      <c r="CA48" s="193">
        <f>ROUND(((B48/CE61)*CA61),0)</f>
        <v>0</v>
      </c>
      <c r="CB48" s="193">
        <f>ROUND(((B48/CE61)*CB61),0)</f>
        <v>0</v>
      </c>
      <c r="CC48" s="193">
        <f>ROUND(((B48/CE61)*CC61),0)</f>
        <v>0</v>
      </c>
      <c r="CD48" s="193"/>
      <c r="CE48" s="193">
        <f>SUM(C48:CD48)</f>
        <v>0</v>
      </c>
    </row>
    <row r="49" spans="1:84" ht="12.6" customHeight="1" x14ac:dyDescent="0.25">
      <c r="A49" s="175" t="s">
        <v>206</v>
      </c>
      <c r="B49" s="193">
        <f>B47+B48</f>
        <v>17375838.800000001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</row>
    <row r="50" spans="1:84" ht="12.6" customHeight="1" x14ac:dyDescent="0.25">
      <c r="A50" s="175" t="s">
        <v>6</v>
      </c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</row>
    <row r="51" spans="1:84" ht="12.6" customHeight="1" x14ac:dyDescent="0.25">
      <c r="A51" s="171" t="s">
        <v>207</v>
      </c>
      <c r="B51" s="184">
        <v>13934081.640000001</v>
      </c>
      <c r="C51" s="184">
        <v>161564.57999999999</v>
      </c>
      <c r="D51" s="184">
        <v>0</v>
      </c>
      <c r="E51" s="184">
        <v>420402.98</v>
      </c>
      <c r="F51" s="184">
        <v>0</v>
      </c>
      <c r="G51" s="184">
        <v>584.34</v>
      </c>
      <c r="H51" s="184"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227664.84</v>
      </c>
      <c r="P51" s="184">
        <v>2366780.19</v>
      </c>
      <c r="Q51" s="184">
        <v>87661.699999999983</v>
      </c>
      <c r="R51" s="184">
        <v>0</v>
      </c>
      <c r="S51" s="184">
        <v>30494.839999999997</v>
      </c>
      <c r="T51" s="184">
        <v>12471.77</v>
      </c>
      <c r="U51" s="184">
        <v>89621.71</v>
      </c>
      <c r="V51" s="184">
        <v>0</v>
      </c>
      <c r="W51" s="184">
        <v>620592.87000000011</v>
      </c>
      <c r="X51" s="184">
        <v>95070.21</v>
      </c>
      <c r="Y51" s="184">
        <v>1047969.58</v>
      </c>
      <c r="Z51" s="184">
        <v>0</v>
      </c>
      <c r="AA51" s="184">
        <v>77074.3</v>
      </c>
      <c r="AB51" s="184">
        <v>338730.48</v>
      </c>
      <c r="AC51" s="184">
        <v>59549.52</v>
      </c>
      <c r="AD51" s="184">
        <v>0</v>
      </c>
      <c r="AE51" s="184">
        <v>324.96999999999997</v>
      </c>
      <c r="AF51" s="184">
        <v>0</v>
      </c>
      <c r="AG51" s="184">
        <v>393784.18000000005</v>
      </c>
      <c r="AH51" s="184">
        <v>0</v>
      </c>
      <c r="AI51" s="184">
        <v>0</v>
      </c>
      <c r="AJ51" s="184">
        <v>428780.28</v>
      </c>
      <c r="AK51" s="184">
        <v>45.36</v>
      </c>
      <c r="AL51" s="184">
        <v>3.36</v>
      </c>
      <c r="AM51" s="184">
        <v>0</v>
      </c>
      <c r="AN51" s="184">
        <v>0</v>
      </c>
      <c r="AO51" s="184">
        <v>0</v>
      </c>
      <c r="AP51" s="184">
        <v>0</v>
      </c>
      <c r="AQ51" s="184">
        <v>0</v>
      </c>
      <c r="AR51" s="184">
        <v>23114.05</v>
      </c>
      <c r="AS51" s="184">
        <v>0</v>
      </c>
      <c r="AT51" s="184">
        <v>0</v>
      </c>
      <c r="AU51" s="184">
        <v>0</v>
      </c>
      <c r="AV51" s="184">
        <v>339.33000000000004</v>
      </c>
      <c r="AW51" s="184">
        <v>266.68</v>
      </c>
      <c r="AX51" s="184">
        <v>0</v>
      </c>
      <c r="AY51" s="184">
        <v>45300.14</v>
      </c>
      <c r="AZ51" s="184">
        <v>0</v>
      </c>
      <c r="BA51" s="184">
        <v>0</v>
      </c>
      <c r="BB51" s="184">
        <v>0</v>
      </c>
      <c r="BC51" s="184">
        <v>0</v>
      </c>
      <c r="BD51" s="184">
        <v>0</v>
      </c>
      <c r="BE51" s="184">
        <v>206558.38999999998</v>
      </c>
      <c r="BF51" s="184">
        <v>4592.4800000000005</v>
      </c>
      <c r="BG51" s="184">
        <v>0</v>
      </c>
      <c r="BH51" s="184">
        <v>0</v>
      </c>
      <c r="BI51" s="184">
        <v>0</v>
      </c>
      <c r="BJ51" s="184">
        <v>0</v>
      </c>
      <c r="BK51" s="184">
        <v>789.21999999999991</v>
      </c>
      <c r="BL51" s="184">
        <v>20186.449999999997</v>
      </c>
      <c r="BM51" s="184">
        <v>0</v>
      </c>
      <c r="BN51" s="184">
        <v>61051.899999999994</v>
      </c>
      <c r="BO51" s="184">
        <v>0</v>
      </c>
      <c r="BP51" s="184">
        <v>0</v>
      </c>
      <c r="BQ51" s="184">
        <v>0</v>
      </c>
      <c r="BR51" s="184">
        <v>11414.860000000002</v>
      </c>
      <c r="BS51" s="184">
        <v>357.62</v>
      </c>
      <c r="BT51" s="184">
        <v>879.02</v>
      </c>
      <c r="BU51" s="184">
        <v>0</v>
      </c>
      <c r="BV51" s="184">
        <v>1.8189894035458565E-12</v>
      </c>
      <c r="BW51" s="184">
        <v>232.11</v>
      </c>
      <c r="BX51" s="184">
        <v>0</v>
      </c>
      <c r="BY51" s="184">
        <v>310885.71000000002</v>
      </c>
      <c r="BZ51" s="184">
        <v>0</v>
      </c>
      <c r="CA51" s="184">
        <v>0</v>
      </c>
      <c r="CB51" s="184">
        <v>0</v>
      </c>
      <c r="CC51" s="184">
        <v>6788941.6200000001</v>
      </c>
      <c r="CD51" s="193"/>
      <c r="CE51" s="193">
        <f>SUM(C51:CD51)</f>
        <v>13934081.639999999</v>
      </c>
    </row>
    <row r="52" spans="1:84" ht="12.6" customHeight="1" x14ac:dyDescent="0.25">
      <c r="A52" s="171" t="s">
        <v>208</v>
      </c>
      <c r="B52" s="184"/>
      <c r="C52" s="193">
        <f>ROUND((B52/(CE76+CF76)*C76),0)</f>
        <v>0</v>
      </c>
      <c r="D52" s="193">
        <f>ROUND((B52/(CE76+CF76)*D76),0)</f>
        <v>0</v>
      </c>
      <c r="E52" s="193">
        <f>ROUND((B52/(CE76+CF76)*E76),0)</f>
        <v>0</v>
      </c>
      <c r="F52" s="193">
        <f>ROUND((B52/(CE76+CF76)*F76),0)</f>
        <v>0</v>
      </c>
      <c r="G52" s="193">
        <f>ROUND((B52/(CE76+CF76)*G76),0)</f>
        <v>0</v>
      </c>
      <c r="H52" s="193">
        <f>ROUND((B52/(CE76+CF76)*H76),0)</f>
        <v>0</v>
      </c>
      <c r="I52" s="193">
        <f>ROUND((B52/(CE76+CF76)*I76),0)</f>
        <v>0</v>
      </c>
      <c r="J52" s="193">
        <f>ROUND((B52/(CE76+CF76)*J76),0)</f>
        <v>0</v>
      </c>
      <c r="K52" s="193">
        <f>ROUND((B52/(CE76+CF76)*K76),0)</f>
        <v>0</v>
      </c>
      <c r="L52" s="193">
        <f>ROUND((B52/(CE76+CF76)*L76),0)</f>
        <v>0</v>
      </c>
      <c r="M52" s="193">
        <f>ROUND((B52/(CE76+CF76)*M76),0)</f>
        <v>0</v>
      </c>
      <c r="N52" s="193">
        <f>ROUND((B52/(CE76+CF76)*N76),0)</f>
        <v>0</v>
      </c>
      <c r="O52" s="193">
        <f>ROUND((B52/(CE76+CF76)*O76),0)</f>
        <v>0</v>
      </c>
      <c r="P52" s="193">
        <f>ROUND((B52/(CE76+CF76)*P76),0)</f>
        <v>0</v>
      </c>
      <c r="Q52" s="193">
        <f>ROUND((B52/(CE76+CF76)*Q76),0)</f>
        <v>0</v>
      </c>
      <c r="R52" s="193">
        <f>ROUND((B52/(CE76+CF76)*R76),0)</f>
        <v>0</v>
      </c>
      <c r="S52" s="193">
        <f>ROUND((B52/(CE76+CF76)*S76),0)</f>
        <v>0</v>
      </c>
      <c r="T52" s="193">
        <f>ROUND((B52/(CE76+CF76)*T76),0)</f>
        <v>0</v>
      </c>
      <c r="U52" s="193">
        <f>ROUND((B52/(CE76+CF76)*U76),0)</f>
        <v>0</v>
      </c>
      <c r="V52" s="193">
        <f>ROUND((B52/(CE76+CF76)*V76),0)</f>
        <v>0</v>
      </c>
      <c r="W52" s="193">
        <f>ROUND((B52/(CE76+CF76)*W76),0)</f>
        <v>0</v>
      </c>
      <c r="X52" s="193">
        <f>ROUND((B52/(CE76+CF76)*X76),0)</f>
        <v>0</v>
      </c>
      <c r="Y52" s="193">
        <f>ROUND((B52/(CE76+CF76)*Y76),0)</f>
        <v>0</v>
      </c>
      <c r="Z52" s="193">
        <f>ROUND((B52/(CE76+CF76)*Z76),0)</f>
        <v>0</v>
      </c>
      <c r="AA52" s="193">
        <f>ROUND((B52/(CE76+CF76)*AA76),0)</f>
        <v>0</v>
      </c>
      <c r="AB52" s="193">
        <f>ROUND((B52/(CE76+CF76)*AB76),0)</f>
        <v>0</v>
      </c>
      <c r="AC52" s="193">
        <f>ROUND((B52/(CE76+CF76)*AC76),0)</f>
        <v>0</v>
      </c>
      <c r="AD52" s="193">
        <f>ROUND((B52/(CE76+CF76)*AD76),0)</f>
        <v>0</v>
      </c>
      <c r="AE52" s="193">
        <f>ROUND((B52/(CE76+CF76)*AE76),0)</f>
        <v>0</v>
      </c>
      <c r="AF52" s="193">
        <f>ROUND((B52/(CE76+CF76)*AF76),0)</f>
        <v>0</v>
      </c>
      <c r="AG52" s="193">
        <f>ROUND((B52/(CE76+CF76)*AG76),0)</f>
        <v>0</v>
      </c>
      <c r="AH52" s="193">
        <f>ROUND((B52/(CE76+CF76)*AH76),0)</f>
        <v>0</v>
      </c>
      <c r="AI52" s="193">
        <f>ROUND((B52/(CE76+CF76)*AI76),0)</f>
        <v>0</v>
      </c>
      <c r="AJ52" s="193">
        <f>ROUND((B52/(CE76+CF76)*AJ76),0)</f>
        <v>0</v>
      </c>
      <c r="AK52" s="193">
        <f>ROUND((B52/(CE76+CF76)*AK76),0)</f>
        <v>0</v>
      </c>
      <c r="AL52" s="193">
        <f>ROUND((B52/(CE76+CF76)*AL76),0)</f>
        <v>0</v>
      </c>
      <c r="AM52" s="193">
        <f>ROUND((B52/(CE76+CF76)*AM76),0)</f>
        <v>0</v>
      </c>
      <c r="AN52" s="193">
        <f>ROUND((B52/(CE76+CF76)*AN76),0)</f>
        <v>0</v>
      </c>
      <c r="AO52" s="193">
        <f>ROUND((B52/(CE76+CF76)*AO76),0)</f>
        <v>0</v>
      </c>
      <c r="AP52" s="193">
        <f>ROUND((B52/(CE76+CF76)*AP76),0)</f>
        <v>0</v>
      </c>
      <c r="AQ52" s="193">
        <f>ROUND((B52/(CE76+CF76)*AQ76),0)</f>
        <v>0</v>
      </c>
      <c r="AR52" s="193">
        <f>ROUND((B52/(CE76+CF76)*AR76),0)</f>
        <v>0</v>
      </c>
      <c r="AS52" s="193">
        <f>ROUND((B52/(CE76+CF76)*AS76),0)</f>
        <v>0</v>
      </c>
      <c r="AT52" s="193">
        <f>ROUND((B52/(CE76+CF76)*AT76),0)</f>
        <v>0</v>
      </c>
      <c r="AU52" s="193">
        <f>ROUND((B52/(CE76+CF76)*AU76),0)</f>
        <v>0</v>
      </c>
      <c r="AV52" s="193">
        <f>ROUND((B52/(CE76+CF76)*AV76),0)</f>
        <v>0</v>
      </c>
      <c r="AW52" s="193">
        <f>ROUND((B52/(CE76+CF76)*AW76),0)</f>
        <v>0</v>
      </c>
      <c r="AX52" s="193">
        <f>ROUND((B52/(CE76+CF76)*AX76),0)</f>
        <v>0</v>
      </c>
      <c r="AY52" s="193">
        <f>ROUND((B52/(CE76+CF76)*AY76),0)</f>
        <v>0</v>
      </c>
      <c r="AZ52" s="193">
        <f>ROUND((B52/(CE76+CF76)*AZ76),0)</f>
        <v>0</v>
      </c>
      <c r="BA52" s="193">
        <f>ROUND((B52/(CE76+CF76)*BA76),0)</f>
        <v>0</v>
      </c>
      <c r="BB52" s="193">
        <f>ROUND((B52/(CE76+CF76)*BB76),0)</f>
        <v>0</v>
      </c>
      <c r="BC52" s="193">
        <f>ROUND((B52/(CE76+CF76)*BC76),0)</f>
        <v>0</v>
      </c>
      <c r="BD52" s="193">
        <f>ROUND((B52/(CE76+CF76)*BD76),0)</f>
        <v>0</v>
      </c>
      <c r="BE52" s="193">
        <f>ROUND((B52/(CE76+CF76)*BE76),0)</f>
        <v>0</v>
      </c>
      <c r="BF52" s="193">
        <f>ROUND((B52/(CE76+CF76)*BF76),0)</f>
        <v>0</v>
      </c>
      <c r="BG52" s="193">
        <f>ROUND((B52/(CE76+CF76)*BG76),0)</f>
        <v>0</v>
      </c>
      <c r="BH52" s="193">
        <f>ROUND((B52/(CE76+CF76)*BH76),0)</f>
        <v>0</v>
      </c>
      <c r="BI52" s="193">
        <f>ROUND((B52/(CE76+CF76)*BI76),0)</f>
        <v>0</v>
      </c>
      <c r="BJ52" s="193">
        <f>ROUND((B52/(CE76+CF76)*BJ76),0)</f>
        <v>0</v>
      </c>
      <c r="BK52" s="193">
        <f>ROUND((B52/(CE76+CF76)*BK76),0)</f>
        <v>0</v>
      </c>
      <c r="BL52" s="193">
        <f>ROUND((B52/(CE76+CF76)*BL76),0)</f>
        <v>0</v>
      </c>
      <c r="BM52" s="193">
        <f>ROUND((B52/(CE76+CF76)*BM76),0)</f>
        <v>0</v>
      </c>
      <c r="BN52" s="193">
        <f>ROUND((B52/(CE76+CF76)*BN76),0)</f>
        <v>0</v>
      </c>
      <c r="BO52" s="193">
        <f>ROUND((B52/(CE76+CF76)*BO76),0)</f>
        <v>0</v>
      </c>
      <c r="BP52" s="193">
        <f>ROUND((B52/(CE76+CF76)*BP76),0)</f>
        <v>0</v>
      </c>
      <c r="BQ52" s="193">
        <f>ROUND((B52/(CE76+CF76)*BQ76),0)</f>
        <v>0</v>
      </c>
      <c r="BR52" s="193">
        <f>ROUND((B52/(CE76+CF76)*BR76),0)</f>
        <v>0</v>
      </c>
      <c r="BS52" s="193">
        <f>ROUND((B52/(CE76+CF76)*BS76),0)</f>
        <v>0</v>
      </c>
      <c r="BT52" s="193">
        <f>ROUND((B52/(CE76+CF76)*BT76),0)</f>
        <v>0</v>
      </c>
      <c r="BU52" s="193">
        <f>ROUND((B52/(CE76+CF76)*BU76),0)</f>
        <v>0</v>
      </c>
      <c r="BV52" s="193">
        <f>ROUND((B52/(CE76+CF76)*BV76),0)</f>
        <v>0</v>
      </c>
      <c r="BW52" s="193">
        <f>ROUND((B52/(CE76+CF76)*BW76),0)</f>
        <v>0</v>
      </c>
      <c r="BX52" s="193">
        <f>ROUND((B52/(CE76+CF76)*BX76),0)</f>
        <v>0</v>
      </c>
      <c r="BY52" s="193">
        <f>ROUND((B52/(CE76+CF76)*BY76),0)</f>
        <v>0</v>
      </c>
      <c r="BZ52" s="193">
        <f>ROUND((B52/(CE76+CF76)*BZ76),0)</f>
        <v>0</v>
      </c>
      <c r="CA52" s="193">
        <f>ROUND((B52/(CE76+CF76)*CA76),0)</f>
        <v>0</v>
      </c>
      <c r="CB52" s="193">
        <f>ROUND((B52/(CE76+CF76)*CB76),0)</f>
        <v>0</v>
      </c>
      <c r="CC52" s="193">
        <f>ROUND((B52/(CE76+CF76)*CC76),0)</f>
        <v>0</v>
      </c>
      <c r="CD52" s="193"/>
      <c r="CE52" s="193">
        <f>SUM(C52:CD52)</f>
        <v>0</v>
      </c>
    </row>
    <row r="53" spans="1:84" ht="12.6" customHeight="1" x14ac:dyDescent="0.25">
      <c r="A53" s="175" t="s">
        <v>206</v>
      </c>
      <c r="B53" s="193">
        <f>B51+B52</f>
        <v>13934081.640000001</v>
      </c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</row>
    <row r="54" spans="1:84" ht="15.75" customHeight="1" x14ac:dyDescent="0.25">
      <c r="A54" s="175"/>
      <c r="B54" s="175"/>
      <c r="C54" s="189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" customHeight="1" x14ac:dyDescent="0.25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40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" customHeight="1" x14ac:dyDescent="0.25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" customHeight="1" x14ac:dyDescent="0.25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" customHeight="1" x14ac:dyDescent="0.25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38" t="s">
        <v>220</v>
      </c>
      <c r="S58" s="241" t="s">
        <v>221</v>
      </c>
      <c r="T58" s="241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1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1" t="s">
        <v>221</v>
      </c>
      <c r="AW58" s="241" t="s">
        <v>221</v>
      </c>
      <c r="AX58" s="241" t="s">
        <v>221</v>
      </c>
      <c r="AY58" s="170" t="s">
        <v>231</v>
      </c>
      <c r="AZ58" s="170" t="s">
        <v>231</v>
      </c>
      <c r="BA58" s="241" t="s">
        <v>221</v>
      </c>
      <c r="BB58" s="241" t="s">
        <v>221</v>
      </c>
      <c r="BC58" s="241" t="s">
        <v>221</v>
      </c>
      <c r="BD58" s="241" t="s">
        <v>221</v>
      </c>
      <c r="BE58" s="170" t="s">
        <v>232</v>
      </c>
      <c r="BF58" s="241" t="s">
        <v>221</v>
      </c>
      <c r="BG58" s="241" t="s">
        <v>221</v>
      </c>
      <c r="BH58" s="241" t="s">
        <v>221</v>
      </c>
      <c r="BI58" s="241" t="s">
        <v>221</v>
      </c>
      <c r="BJ58" s="241" t="s">
        <v>221</v>
      </c>
      <c r="BK58" s="241" t="s">
        <v>221</v>
      </c>
      <c r="BL58" s="241" t="s">
        <v>221</v>
      </c>
      <c r="BM58" s="241" t="s">
        <v>221</v>
      </c>
      <c r="BN58" s="241" t="s">
        <v>221</v>
      </c>
      <c r="BO58" s="241" t="s">
        <v>221</v>
      </c>
      <c r="BP58" s="241" t="s">
        <v>221</v>
      </c>
      <c r="BQ58" s="241" t="s">
        <v>221</v>
      </c>
      <c r="BR58" s="241" t="s">
        <v>221</v>
      </c>
      <c r="BS58" s="241" t="s">
        <v>221</v>
      </c>
      <c r="BT58" s="241" t="s">
        <v>221</v>
      </c>
      <c r="BU58" s="241" t="s">
        <v>221</v>
      </c>
      <c r="BV58" s="241" t="s">
        <v>221</v>
      </c>
      <c r="BW58" s="241" t="s">
        <v>221</v>
      </c>
      <c r="BX58" s="241" t="s">
        <v>221</v>
      </c>
      <c r="BY58" s="241" t="s">
        <v>221</v>
      </c>
      <c r="BZ58" s="241" t="s">
        <v>221</v>
      </c>
      <c r="CA58" s="241" t="s">
        <v>221</v>
      </c>
      <c r="CB58" s="241" t="s">
        <v>221</v>
      </c>
      <c r="CC58" s="241" t="s">
        <v>221</v>
      </c>
      <c r="CD58" s="241" t="s">
        <v>221</v>
      </c>
      <c r="CE58" s="241" t="s">
        <v>221</v>
      </c>
    </row>
    <row r="59" spans="1:84" ht="12.6" customHeight="1" x14ac:dyDescent="0.25">
      <c r="A59" s="171" t="s">
        <v>233</v>
      </c>
      <c r="B59" s="175"/>
      <c r="C59" s="184">
        <v>8019</v>
      </c>
      <c r="D59" s="184">
        <v>0</v>
      </c>
      <c r="E59" s="184">
        <v>23358</v>
      </c>
      <c r="F59" s="184">
        <v>0</v>
      </c>
      <c r="G59" s="184">
        <v>0</v>
      </c>
      <c r="H59" s="184">
        <v>0</v>
      </c>
      <c r="I59" s="184">
        <v>0</v>
      </c>
      <c r="J59" s="184">
        <v>1661</v>
      </c>
      <c r="K59" s="184">
        <v>0</v>
      </c>
      <c r="L59" s="184">
        <v>0</v>
      </c>
      <c r="M59" s="184">
        <v>0</v>
      </c>
      <c r="N59" s="184">
        <v>0</v>
      </c>
      <c r="O59" s="184">
        <v>0</v>
      </c>
      <c r="P59" s="184">
        <v>395437</v>
      </c>
      <c r="Q59" s="184">
        <v>1164800</v>
      </c>
      <c r="R59" s="184">
        <v>0</v>
      </c>
      <c r="S59" s="242"/>
      <c r="T59" s="242"/>
      <c r="U59" s="184">
        <v>434927</v>
      </c>
      <c r="V59" s="184">
        <v>0</v>
      </c>
      <c r="W59" s="184">
        <v>1939</v>
      </c>
      <c r="X59" s="184">
        <v>18172</v>
      </c>
      <c r="Y59" s="184">
        <v>124189</v>
      </c>
      <c r="Z59" s="184">
        <v>0</v>
      </c>
      <c r="AA59" s="184">
        <v>1074</v>
      </c>
      <c r="AB59" s="242"/>
      <c r="AC59" s="184">
        <v>45179</v>
      </c>
      <c r="AD59" s="184">
        <v>29408</v>
      </c>
      <c r="AE59" s="184">
        <v>12262</v>
      </c>
      <c r="AF59" s="184">
        <v>0</v>
      </c>
      <c r="AG59" s="184">
        <v>45975</v>
      </c>
      <c r="AH59" s="184">
        <v>0</v>
      </c>
      <c r="AI59" s="184">
        <v>0</v>
      </c>
      <c r="AJ59" s="184">
        <v>12879</v>
      </c>
      <c r="AK59" s="184">
        <v>3644.07</v>
      </c>
      <c r="AL59" s="184">
        <v>2442.71</v>
      </c>
      <c r="AM59" s="184">
        <v>0</v>
      </c>
      <c r="AN59" s="184">
        <v>0</v>
      </c>
      <c r="AO59" s="184">
        <v>0</v>
      </c>
      <c r="AP59" s="184">
        <v>0</v>
      </c>
      <c r="AQ59" s="184">
        <v>0</v>
      </c>
      <c r="AR59" s="184">
        <v>0</v>
      </c>
      <c r="AS59" s="184">
        <v>0</v>
      </c>
      <c r="AT59" s="184">
        <v>0</v>
      </c>
      <c r="AU59" s="184">
        <v>0</v>
      </c>
      <c r="AV59" s="242"/>
      <c r="AW59" s="242"/>
      <c r="AX59" s="242"/>
      <c r="AY59" s="184">
        <v>170414</v>
      </c>
      <c r="AZ59" s="184">
        <v>291836</v>
      </c>
      <c r="BA59" s="242"/>
      <c r="BB59" s="242"/>
      <c r="BC59" s="242"/>
      <c r="BD59" s="242"/>
      <c r="BE59" s="184">
        <v>240865</v>
      </c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3"/>
      <c r="CE59" s="193"/>
    </row>
    <row r="60" spans="1:84" ht="12.6" customHeight="1" x14ac:dyDescent="0.25">
      <c r="A60" s="244" t="s">
        <v>234</v>
      </c>
      <c r="B60" s="175"/>
      <c r="C60" s="184">
        <v>27.168749999999999</v>
      </c>
      <c r="D60" s="184">
        <v>0</v>
      </c>
      <c r="E60" s="184">
        <v>158.99038461538461</v>
      </c>
      <c r="F60" s="184">
        <v>0</v>
      </c>
      <c r="G60" s="184">
        <v>3.9903846153846151E-2</v>
      </c>
      <c r="H60" s="184">
        <v>0</v>
      </c>
      <c r="I60" s="184">
        <v>0</v>
      </c>
      <c r="J60" s="184">
        <v>0</v>
      </c>
      <c r="K60" s="184">
        <v>0</v>
      </c>
      <c r="L60" s="184">
        <v>0</v>
      </c>
      <c r="M60" s="184">
        <v>0</v>
      </c>
      <c r="N60" s="184">
        <v>0</v>
      </c>
      <c r="O60" s="184">
        <v>39.535096153846155</v>
      </c>
      <c r="P60" s="184">
        <v>51.667788461538457</v>
      </c>
      <c r="Q60" s="184">
        <v>26.276923076923076</v>
      </c>
      <c r="R60" s="184">
        <v>0.21923076923076923</v>
      </c>
      <c r="S60" s="184">
        <v>17.604807692307691</v>
      </c>
      <c r="T60" s="184">
        <v>1.3745192307692307</v>
      </c>
      <c r="U60" s="184">
        <v>32.479326923076925</v>
      </c>
      <c r="V60" s="184">
        <v>0</v>
      </c>
      <c r="W60" s="184">
        <v>4.3870192307692308</v>
      </c>
      <c r="X60" s="184">
        <v>8.554326923076923</v>
      </c>
      <c r="Y60" s="184">
        <v>31.208173076923078</v>
      </c>
      <c r="Z60" s="184">
        <v>0</v>
      </c>
      <c r="AA60" s="184">
        <v>2.1778846153846154</v>
      </c>
      <c r="AB60" s="184">
        <v>29.920192307692307</v>
      </c>
      <c r="AC60" s="184">
        <v>17.568269230769232</v>
      </c>
      <c r="AD60" s="184">
        <v>1.5932692307692307</v>
      </c>
      <c r="AE60" s="184">
        <v>0</v>
      </c>
      <c r="AF60" s="184">
        <v>0</v>
      </c>
      <c r="AG60" s="184">
        <v>90.462019230769229</v>
      </c>
      <c r="AH60" s="184">
        <v>0</v>
      </c>
      <c r="AI60" s="184">
        <v>0</v>
      </c>
      <c r="AJ60" s="184">
        <v>33.228846153846156</v>
      </c>
      <c r="AK60" s="184">
        <v>3.1990384615384615</v>
      </c>
      <c r="AL60" s="184">
        <v>2.4187500000000002</v>
      </c>
      <c r="AM60" s="184">
        <v>0</v>
      </c>
      <c r="AN60" s="184">
        <v>0</v>
      </c>
      <c r="AO60" s="184">
        <v>0</v>
      </c>
      <c r="AP60" s="184">
        <v>0</v>
      </c>
      <c r="AQ60" s="184">
        <v>0</v>
      </c>
      <c r="AR60" s="184">
        <v>42.97596153846154</v>
      </c>
      <c r="AS60" s="184">
        <v>0</v>
      </c>
      <c r="AT60" s="184">
        <v>0</v>
      </c>
      <c r="AU60" s="184">
        <v>0</v>
      </c>
      <c r="AV60" s="184">
        <v>0.99903846153846154</v>
      </c>
      <c r="AW60" s="184">
        <v>5.7860576923076925</v>
      </c>
      <c r="AX60" s="184">
        <v>0.2360576923076923</v>
      </c>
      <c r="AY60" s="184">
        <v>34.455769230769228</v>
      </c>
      <c r="AZ60" s="184">
        <v>0</v>
      </c>
      <c r="BA60" s="184">
        <v>0</v>
      </c>
      <c r="BB60" s="184">
        <v>0</v>
      </c>
      <c r="BC60" s="184">
        <v>0</v>
      </c>
      <c r="BD60" s="184">
        <v>0</v>
      </c>
      <c r="BE60" s="184">
        <v>12.259615384615385</v>
      </c>
      <c r="BF60" s="184">
        <v>36.739903846153844</v>
      </c>
      <c r="BG60" s="184">
        <v>0</v>
      </c>
      <c r="BH60" s="184">
        <v>0</v>
      </c>
      <c r="BI60" s="184">
        <v>0</v>
      </c>
      <c r="BJ60" s="184">
        <v>0</v>
      </c>
      <c r="BK60" s="184">
        <v>2.5000000000000001E-2</v>
      </c>
      <c r="BL60" s="184">
        <v>2</v>
      </c>
      <c r="BM60" s="184">
        <v>0</v>
      </c>
      <c r="BN60" s="184">
        <v>5.2774038461538462</v>
      </c>
      <c r="BO60" s="184">
        <v>6.7298076923076922</v>
      </c>
      <c r="BP60" s="184">
        <v>0</v>
      </c>
      <c r="BQ60" s="184">
        <v>0</v>
      </c>
      <c r="BR60" s="184">
        <v>0</v>
      </c>
      <c r="BS60" s="184">
        <v>0.53990384615384612</v>
      </c>
      <c r="BT60" s="184">
        <v>0.31153846153846154</v>
      </c>
      <c r="BU60" s="184">
        <v>0</v>
      </c>
      <c r="BV60" s="184">
        <v>0</v>
      </c>
      <c r="BW60" s="184">
        <v>0.31298076923076923</v>
      </c>
      <c r="BX60" s="184">
        <v>0</v>
      </c>
      <c r="BY60" s="184">
        <v>19.104326923076925</v>
      </c>
      <c r="BZ60" s="184">
        <v>0</v>
      </c>
      <c r="CA60" s="184">
        <v>0</v>
      </c>
      <c r="CB60" s="184">
        <v>0</v>
      </c>
      <c r="CC60" s="184">
        <v>4.4057692307692307</v>
      </c>
      <c r="CD60" s="243" t="s">
        <v>221</v>
      </c>
      <c r="CE60" s="245">
        <f t="shared" ref="CE60:CE70" si="0">SUM(C60:CD60)</f>
        <v>752.23365384615374</v>
      </c>
    </row>
    <row r="61" spans="1:84" ht="12.6" customHeight="1" x14ac:dyDescent="0.25">
      <c r="A61" s="171" t="s">
        <v>235</v>
      </c>
      <c r="B61" s="175"/>
      <c r="C61" s="184">
        <v>3038347.3600000003</v>
      </c>
      <c r="D61" s="184">
        <v>0</v>
      </c>
      <c r="E61" s="184">
        <v>14393083.73</v>
      </c>
      <c r="F61" s="184">
        <v>0</v>
      </c>
      <c r="G61" s="184">
        <v>2658.1</v>
      </c>
      <c r="H61" s="184">
        <v>0</v>
      </c>
      <c r="I61" s="184">
        <v>0</v>
      </c>
      <c r="J61" s="184">
        <v>0</v>
      </c>
      <c r="K61" s="184">
        <v>0</v>
      </c>
      <c r="L61" s="184">
        <v>0</v>
      </c>
      <c r="M61" s="184">
        <v>657.12</v>
      </c>
      <c r="N61" s="184">
        <v>0</v>
      </c>
      <c r="O61" s="184">
        <v>3416772.620000001</v>
      </c>
      <c r="P61" s="184">
        <v>5894423.9200000009</v>
      </c>
      <c r="Q61" s="184">
        <v>3081713.0300000003</v>
      </c>
      <c r="R61" s="184">
        <v>0</v>
      </c>
      <c r="S61" s="184">
        <v>872995.22</v>
      </c>
      <c r="T61" s="184">
        <v>210047.29</v>
      </c>
      <c r="U61" s="184">
        <v>2201653.4000000004</v>
      </c>
      <c r="V61" s="184">
        <v>0</v>
      </c>
      <c r="W61" s="184">
        <v>633446.30999999994</v>
      </c>
      <c r="X61" s="184">
        <v>761172.43</v>
      </c>
      <c r="Y61" s="184">
        <v>2466147.8200000003</v>
      </c>
      <c r="Z61" s="184">
        <v>0</v>
      </c>
      <c r="AA61" s="184">
        <v>227940.21999999997</v>
      </c>
      <c r="AB61" s="184">
        <v>3032727.1500000004</v>
      </c>
      <c r="AC61" s="184">
        <v>1401323.1099999999</v>
      </c>
      <c r="AD61" s="184">
        <v>0</v>
      </c>
      <c r="AE61" s="184">
        <v>0</v>
      </c>
      <c r="AF61" s="184">
        <v>0</v>
      </c>
      <c r="AG61" s="184">
        <v>8477348.3600000013</v>
      </c>
      <c r="AH61" s="184">
        <v>0</v>
      </c>
      <c r="AI61" s="184">
        <v>0</v>
      </c>
      <c r="AJ61" s="184">
        <v>2367318.8600000003</v>
      </c>
      <c r="AK61" s="184">
        <v>232379.24</v>
      </c>
      <c r="AL61" s="184">
        <v>219016.94000000003</v>
      </c>
      <c r="AM61" s="184">
        <v>0</v>
      </c>
      <c r="AN61" s="184">
        <v>0</v>
      </c>
      <c r="AO61" s="184">
        <v>0</v>
      </c>
      <c r="AP61" s="184">
        <v>643.04999999999995</v>
      </c>
      <c r="AQ61" s="184">
        <v>0</v>
      </c>
      <c r="AR61" s="184">
        <v>629697.38000000012</v>
      </c>
      <c r="AS61" s="184">
        <v>0</v>
      </c>
      <c r="AT61" s="184">
        <v>0</v>
      </c>
      <c r="AU61" s="184">
        <v>0</v>
      </c>
      <c r="AV61" s="184">
        <v>104211.20000000001</v>
      </c>
      <c r="AW61" s="184">
        <v>596692.52</v>
      </c>
      <c r="AX61" s="184">
        <v>0</v>
      </c>
      <c r="AY61" s="184">
        <v>1573153.6500000001</v>
      </c>
      <c r="AZ61" s="184">
        <v>0</v>
      </c>
      <c r="BA61" s="184">
        <v>165.82000000000002</v>
      </c>
      <c r="BB61" s="184">
        <v>0</v>
      </c>
      <c r="BC61" s="184">
        <v>0</v>
      </c>
      <c r="BD61" s="184">
        <v>0</v>
      </c>
      <c r="BE61" s="184">
        <v>601329.19000000006</v>
      </c>
      <c r="BF61" s="184">
        <v>1504508.5499999998</v>
      </c>
      <c r="BG61" s="184">
        <v>0</v>
      </c>
      <c r="BH61" s="184">
        <v>0</v>
      </c>
      <c r="BI61" s="184">
        <v>0</v>
      </c>
      <c r="BJ61" s="184">
        <v>0</v>
      </c>
      <c r="BK61" s="184">
        <v>3622.43</v>
      </c>
      <c r="BL61" s="184">
        <v>83980.800000000003</v>
      </c>
      <c r="BM61" s="184">
        <v>0</v>
      </c>
      <c r="BN61" s="184">
        <v>1138537.42</v>
      </c>
      <c r="BO61" s="184">
        <v>444524.69</v>
      </c>
      <c r="BP61" s="184">
        <v>0</v>
      </c>
      <c r="BQ61" s="184">
        <v>0</v>
      </c>
      <c r="BR61" s="184">
        <v>56096.939999999995</v>
      </c>
      <c r="BS61" s="184">
        <v>18948.420000000002</v>
      </c>
      <c r="BT61" s="184">
        <v>0</v>
      </c>
      <c r="BU61" s="184">
        <v>0</v>
      </c>
      <c r="BV61" s="184">
        <v>0</v>
      </c>
      <c r="BW61" s="184">
        <v>47780.240000000005</v>
      </c>
      <c r="BX61" s="184">
        <v>0</v>
      </c>
      <c r="BY61" s="184">
        <v>1685912.86</v>
      </c>
      <c r="BZ61" s="184">
        <v>0</v>
      </c>
      <c r="CA61" s="184">
        <v>0</v>
      </c>
      <c r="CB61" s="184">
        <v>0</v>
      </c>
      <c r="CC61" s="184">
        <v>819087.75999999989</v>
      </c>
      <c r="CD61" s="243" t="s">
        <v>221</v>
      </c>
      <c r="CE61" s="193">
        <f t="shared" si="0"/>
        <v>62240065.149999999</v>
      </c>
      <c r="CF61" s="246"/>
    </row>
    <row r="62" spans="1:84" ht="12.6" customHeight="1" x14ac:dyDescent="0.25">
      <c r="A62" s="171" t="s">
        <v>3</v>
      </c>
      <c r="B62" s="175"/>
      <c r="C62" s="193">
        <f t="shared" ref="C62:BN62" si="1">ROUND(C47+C48,0)</f>
        <v>677616</v>
      </c>
      <c r="D62" s="193">
        <f t="shared" si="1"/>
        <v>0</v>
      </c>
      <c r="E62" s="193">
        <f t="shared" si="1"/>
        <v>4102732</v>
      </c>
      <c r="F62" s="193">
        <f t="shared" si="1"/>
        <v>0</v>
      </c>
      <c r="G62" s="193">
        <f t="shared" si="1"/>
        <v>751</v>
      </c>
      <c r="H62" s="193">
        <f t="shared" si="1"/>
        <v>0</v>
      </c>
      <c r="I62" s="193">
        <f t="shared" si="1"/>
        <v>0</v>
      </c>
      <c r="J62" s="193">
        <f>ROUND(J47+J48,0)</f>
        <v>0</v>
      </c>
      <c r="K62" s="193">
        <f t="shared" si="1"/>
        <v>0</v>
      </c>
      <c r="L62" s="193">
        <f t="shared" si="1"/>
        <v>0</v>
      </c>
      <c r="M62" s="193">
        <f t="shared" si="1"/>
        <v>281</v>
      </c>
      <c r="N62" s="193">
        <f t="shared" si="1"/>
        <v>0</v>
      </c>
      <c r="O62" s="193">
        <f t="shared" si="1"/>
        <v>951699</v>
      </c>
      <c r="P62" s="193">
        <f t="shared" si="1"/>
        <v>1353423</v>
      </c>
      <c r="Q62" s="193">
        <f t="shared" si="1"/>
        <v>747633</v>
      </c>
      <c r="R62" s="193">
        <f t="shared" si="1"/>
        <v>0</v>
      </c>
      <c r="S62" s="193">
        <f t="shared" si="1"/>
        <v>379025</v>
      </c>
      <c r="T62" s="193">
        <f t="shared" si="1"/>
        <v>50127</v>
      </c>
      <c r="U62" s="193">
        <f t="shared" si="1"/>
        <v>743858</v>
      </c>
      <c r="V62" s="193">
        <f t="shared" si="1"/>
        <v>0</v>
      </c>
      <c r="W62" s="193">
        <f t="shared" si="1"/>
        <v>157245</v>
      </c>
      <c r="X62" s="193">
        <f t="shared" si="1"/>
        <v>219941</v>
      </c>
      <c r="Y62" s="193">
        <f t="shared" si="1"/>
        <v>709073</v>
      </c>
      <c r="Z62" s="193">
        <f t="shared" si="1"/>
        <v>0</v>
      </c>
      <c r="AA62" s="193">
        <f t="shared" si="1"/>
        <v>61395</v>
      </c>
      <c r="AB62" s="193">
        <f t="shared" si="1"/>
        <v>794914</v>
      </c>
      <c r="AC62" s="193">
        <f t="shared" si="1"/>
        <v>423830</v>
      </c>
      <c r="AD62" s="193">
        <f t="shared" si="1"/>
        <v>0</v>
      </c>
      <c r="AE62" s="193">
        <f t="shared" si="1"/>
        <v>0</v>
      </c>
      <c r="AF62" s="193">
        <f t="shared" si="1"/>
        <v>0</v>
      </c>
      <c r="AG62" s="193">
        <f t="shared" si="1"/>
        <v>2114536</v>
      </c>
      <c r="AH62" s="193">
        <f t="shared" si="1"/>
        <v>0</v>
      </c>
      <c r="AI62" s="193">
        <f t="shared" si="1"/>
        <v>0</v>
      </c>
      <c r="AJ62" s="193">
        <f t="shared" si="1"/>
        <v>734498</v>
      </c>
      <c r="AK62" s="193">
        <f t="shared" si="1"/>
        <v>77369</v>
      </c>
      <c r="AL62" s="193">
        <f t="shared" si="1"/>
        <v>62380</v>
      </c>
      <c r="AM62" s="193">
        <f t="shared" si="1"/>
        <v>0</v>
      </c>
      <c r="AN62" s="193">
        <f t="shared" si="1"/>
        <v>0</v>
      </c>
      <c r="AO62" s="193">
        <f t="shared" si="1"/>
        <v>0</v>
      </c>
      <c r="AP62" s="193">
        <f t="shared" si="1"/>
        <v>180</v>
      </c>
      <c r="AQ62" s="193">
        <f t="shared" si="1"/>
        <v>0</v>
      </c>
      <c r="AR62" s="193">
        <f t="shared" si="1"/>
        <v>183289</v>
      </c>
      <c r="AS62" s="193">
        <f t="shared" si="1"/>
        <v>0</v>
      </c>
      <c r="AT62" s="193">
        <f t="shared" si="1"/>
        <v>0</v>
      </c>
      <c r="AU62" s="193">
        <f t="shared" si="1"/>
        <v>0</v>
      </c>
      <c r="AV62" s="193">
        <f t="shared" si="1"/>
        <v>26988</v>
      </c>
      <c r="AW62" s="193">
        <f t="shared" si="1"/>
        <v>153212</v>
      </c>
      <c r="AX62" s="193">
        <f t="shared" si="1"/>
        <v>0</v>
      </c>
      <c r="AY62" s="193">
        <f>ROUND(AY47+AY48,0)</f>
        <v>686249</v>
      </c>
      <c r="AZ62" s="193">
        <f>ROUND(AZ47+AZ48,0)</f>
        <v>0</v>
      </c>
      <c r="BA62" s="193">
        <f>ROUND(BA47+BA48,0)</f>
        <v>111</v>
      </c>
      <c r="BB62" s="193">
        <f t="shared" si="1"/>
        <v>0</v>
      </c>
      <c r="BC62" s="193">
        <f t="shared" si="1"/>
        <v>0</v>
      </c>
      <c r="BD62" s="193">
        <f t="shared" si="1"/>
        <v>0</v>
      </c>
      <c r="BE62" s="193">
        <f t="shared" si="1"/>
        <v>210088</v>
      </c>
      <c r="BF62" s="193">
        <f t="shared" si="1"/>
        <v>688559</v>
      </c>
      <c r="BG62" s="193">
        <f t="shared" si="1"/>
        <v>0</v>
      </c>
      <c r="BH62" s="193">
        <f t="shared" si="1"/>
        <v>0</v>
      </c>
      <c r="BI62" s="193">
        <f t="shared" si="1"/>
        <v>0</v>
      </c>
      <c r="BJ62" s="193">
        <f t="shared" si="1"/>
        <v>0</v>
      </c>
      <c r="BK62" s="193">
        <f t="shared" si="1"/>
        <v>1065</v>
      </c>
      <c r="BL62" s="193">
        <f t="shared" si="1"/>
        <v>31109</v>
      </c>
      <c r="BM62" s="193">
        <f t="shared" si="1"/>
        <v>0</v>
      </c>
      <c r="BN62" s="193">
        <f t="shared" si="1"/>
        <v>303134</v>
      </c>
      <c r="BO62" s="193">
        <f t="shared" ref="BO62:CC62" si="2">ROUND(BO47+BO48,0)</f>
        <v>150553</v>
      </c>
      <c r="BP62" s="193">
        <f t="shared" si="2"/>
        <v>0</v>
      </c>
      <c r="BQ62" s="193">
        <f t="shared" si="2"/>
        <v>0</v>
      </c>
      <c r="BR62" s="193">
        <f t="shared" si="2"/>
        <v>12838</v>
      </c>
      <c r="BS62" s="193">
        <f t="shared" si="2"/>
        <v>10514</v>
      </c>
      <c r="BT62" s="193">
        <f t="shared" si="2"/>
        <v>0</v>
      </c>
      <c r="BU62" s="193">
        <f t="shared" si="2"/>
        <v>0</v>
      </c>
      <c r="BV62" s="193">
        <f t="shared" si="2"/>
        <v>0</v>
      </c>
      <c r="BW62" s="193">
        <f t="shared" si="2"/>
        <v>17682</v>
      </c>
      <c r="BX62" s="193">
        <f t="shared" si="2"/>
        <v>0</v>
      </c>
      <c r="BY62" s="193">
        <f t="shared" si="2"/>
        <v>435266</v>
      </c>
      <c r="BZ62" s="193">
        <f t="shared" si="2"/>
        <v>0</v>
      </c>
      <c r="CA62" s="193">
        <f t="shared" si="2"/>
        <v>0</v>
      </c>
      <c r="CB62" s="193">
        <f t="shared" si="2"/>
        <v>0</v>
      </c>
      <c r="CC62" s="193">
        <f t="shared" si="2"/>
        <v>102675</v>
      </c>
      <c r="CD62" s="243" t="s">
        <v>221</v>
      </c>
      <c r="CE62" s="193">
        <f t="shared" si="0"/>
        <v>17375838</v>
      </c>
      <c r="CF62" s="246"/>
    </row>
    <row r="63" spans="1:84" ht="12.6" customHeight="1" x14ac:dyDescent="0.25">
      <c r="A63" s="171" t="s">
        <v>236</v>
      </c>
      <c r="B63" s="175"/>
      <c r="C63" s="184">
        <v>707298.89</v>
      </c>
      <c r="D63" s="184">
        <v>0</v>
      </c>
      <c r="E63" s="184">
        <v>15284.93</v>
      </c>
      <c r="F63" s="184">
        <v>0</v>
      </c>
      <c r="G63" s="184">
        <v>0</v>
      </c>
      <c r="H63" s="184">
        <v>0</v>
      </c>
      <c r="I63" s="184">
        <v>0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58211.76</v>
      </c>
      <c r="P63" s="184">
        <v>598175.8600000001</v>
      </c>
      <c r="Q63" s="184">
        <v>0</v>
      </c>
      <c r="R63" s="184">
        <v>0</v>
      </c>
      <c r="S63" s="184">
        <v>0</v>
      </c>
      <c r="T63" s="184">
        <v>0</v>
      </c>
      <c r="U63" s="184">
        <v>35382.400000000001</v>
      </c>
      <c r="V63" s="184">
        <v>0</v>
      </c>
      <c r="W63" s="184">
        <v>0</v>
      </c>
      <c r="X63" s="184">
        <v>0</v>
      </c>
      <c r="Y63" s="184">
        <v>31475</v>
      </c>
      <c r="Z63" s="184">
        <v>0</v>
      </c>
      <c r="AA63" s="184">
        <v>0</v>
      </c>
      <c r="AB63" s="184">
        <v>0</v>
      </c>
      <c r="AC63" s="184">
        <v>90450</v>
      </c>
      <c r="AD63" s="184">
        <v>0</v>
      </c>
      <c r="AE63" s="184">
        <v>0</v>
      </c>
      <c r="AF63" s="184">
        <v>0</v>
      </c>
      <c r="AG63" s="184">
        <v>731473.29</v>
      </c>
      <c r="AH63" s="184">
        <v>0</v>
      </c>
      <c r="AI63" s="184">
        <v>0</v>
      </c>
      <c r="AJ63" s="184">
        <v>1228084.47</v>
      </c>
      <c r="AK63" s="184">
        <v>0</v>
      </c>
      <c r="AL63" s="184">
        <v>0</v>
      </c>
      <c r="AM63" s="184">
        <v>0</v>
      </c>
      <c r="AN63" s="184">
        <v>0</v>
      </c>
      <c r="AO63" s="184">
        <v>0</v>
      </c>
      <c r="AP63" s="184">
        <v>0</v>
      </c>
      <c r="AQ63" s="184">
        <v>0</v>
      </c>
      <c r="AR63" s="184">
        <v>0</v>
      </c>
      <c r="AS63" s="184">
        <v>0</v>
      </c>
      <c r="AT63" s="184">
        <v>0</v>
      </c>
      <c r="AU63" s="184">
        <v>0</v>
      </c>
      <c r="AV63" s="184">
        <v>4911094</v>
      </c>
      <c r="AW63" s="184">
        <v>0</v>
      </c>
      <c r="AX63" s="184">
        <v>0</v>
      </c>
      <c r="AY63" s="184">
        <v>0</v>
      </c>
      <c r="AZ63" s="184">
        <v>0</v>
      </c>
      <c r="BA63" s="184">
        <v>0</v>
      </c>
      <c r="BB63" s="184">
        <v>0</v>
      </c>
      <c r="BC63" s="184">
        <v>0</v>
      </c>
      <c r="BD63" s="184">
        <v>0</v>
      </c>
      <c r="BE63" s="184">
        <v>0</v>
      </c>
      <c r="BF63" s="184">
        <v>0</v>
      </c>
      <c r="BG63" s="184">
        <v>0</v>
      </c>
      <c r="BH63" s="184">
        <v>0</v>
      </c>
      <c r="BI63" s="184">
        <v>0</v>
      </c>
      <c r="BJ63" s="184">
        <v>0</v>
      </c>
      <c r="BK63" s="184">
        <v>0</v>
      </c>
      <c r="BL63" s="184">
        <v>0</v>
      </c>
      <c r="BM63" s="184">
        <v>0</v>
      </c>
      <c r="BN63" s="184">
        <v>13268.75</v>
      </c>
      <c r="BO63" s="184">
        <v>0</v>
      </c>
      <c r="BP63" s="184">
        <v>0</v>
      </c>
      <c r="BQ63" s="184">
        <v>0</v>
      </c>
      <c r="BR63" s="184">
        <v>0</v>
      </c>
      <c r="BS63" s="184">
        <v>0</v>
      </c>
      <c r="BT63" s="184">
        <v>0</v>
      </c>
      <c r="BU63" s="184">
        <v>0</v>
      </c>
      <c r="BV63" s="184">
        <v>0</v>
      </c>
      <c r="BW63" s="184">
        <v>8470</v>
      </c>
      <c r="BX63" s="184">
        <v>0</v>
      </c>
      <c r="BY63" s="184">
        <v>0</v>
      </c>
      <c r="BZ63" s="184">
        <v>0</v>
      </c>
      <c r="CA63" s="184">
        <v>0</v>
      </c>
      <c r="CB63" s="184">
        <v>0</v>
      </c>
      <c r="CC63" s="184">
        <v>0</v>
      </c>
      <c r="CD63" s="243" t="s">
        <v>221</v>
      </c>
      <c r="CE63" s="193">
        <f t="shared" si="0"/>
        <v>8428669.3499999996</v>
      </c>
      <c r="CF63" s="246"/>
    </row>
    <row r="64" spans="1:84" ht="12.6" customHeight="1" x14ac:dyDescent="0.25">
      <c r="A64" s="171" t="s">
        <v>237</v>
      </c>
      <c r="B64" s="175"/>
      <c r="C64" s="184">
        <v>516085.64</v>
      </c>
      <c r="D64" s="184">
        <v>0</v>
      </c>
      <c r="E64" s="184">
        <v>799673.78</v>
      </c>
      <c r="F64" s="184">
        <v>0</v>
      </c>
      <c r="G64" s="184">
        <v>569.73</v>
      </c>
      <c r="H64" s="184">
        <v>0</v>
      </c>
      <c r="I64" s="184">
        <v>0</v>
      </c>
      <c r="J64" s="184">
        <v>0</v>
      </c>
      <c r="K64" s="184">
        <v>0</v>
      </c>
      <c r="L64" s="184">
        <v>0</v>
      </c>
      <c r="M64" s="184">
        <v>866.7</v>
      </c>
      <c r="N64" s="184">
        <v>0</v>
      </c>
      <c r="O64" s="184">
        <v>335797.13999999996</v>
      </c>
      <c r="P64" s="184">
        <v>7947207.1600000011</v>
      </c>
      <c r="Q64" s="184">
        <v>167515.79999999999</v>
      </c>
      <c r="R64" s="184">
        <v>0</v>
      </c>
      <c r="S64" s="184">
        <v>-216997.91999999995</v>
      </c>
      <c r="T64" s="184">
        <v>179951.22000000003</v>
      </c>
      <c r="U64" s="184">
        <v>2143826.69</v>
      </c>
      <c r="V64" s="184">
        <v>0</v>
      </c>
      <c r="W64" s="184">
        <v>73542.559999999998</v>
      </c>
      <c r="X64" s="184">
        <v>164307.23000000001</v>
      </c>
      <c r="Y64" s="184">
        <v>478316.79999999999</v>
      </c>
      <c r="Z64" s="184">
        <v>0</v>
      </c>
      <c r="AA64" s="184">
        <v>231646.30000000002</v>
      </c>
      <c r="AB64" s="184">
        <v>7919601.879999999</v>
      </c>
      <c r="AC64" s="184">
        <v>225998.06999999995</v>
      </c>
      <c r="AD64" s="184">
        <v>98127.260000000009</v>
      </c>
      <c r="AE64" s="184">
        <v>3019.15</v>
      </c>
      <c r="AF64" s="184">
        <v>0</v>
      </c>
      <c r="AG64" s="184">
        <v>1255012.5900000003</v>
      </c>
      <c r="AH64" s="184">
        <v>0</v>
      </c>
      <c r="AI64" s="184">
        <v>0</v>
      </c>
      <c r="AJ64" s="184">
        <v>684809.28</v>
      </c>
      <c r="AK64" s="184">
        <v>818.57</v>
      </c>
      <c r="AL64" s="184">
        <v>337.98</v>
      </c>
      <c r="AM64" s="184">
        <v>0</v>
      </c>
      <c r="AN64" s="184">
        <v>0</v>
      </c>
      <c r="AO64" s="184">
        <v>0</v>
      </c>
      <c r="AP64" s="184">
        <v>0</v>
      </c>
      <c r="AQ64" s="184">
        <v>0</v>
      </c>
      <c r="AR64" s="184">
        <v>9643.3799999999992</v>
      </c>
      <c r="AS64" s="184">
        <v>0</v>
      </c>
      <c r="AT64" s="184">
        <v>0</v>
      </c>
      <c r="AU64" s="184">
        <v>0</v>
      </c>
      <c r="AV64" s="184">
        <v>5955.9800000000014</v>
      </c>
      <c r="AW64" s="184">
        <v>172.55</v>
      </c>
      <c r="AX64" s="184">
        <v>14.5</v>
      </c>
      <c r="AY64" s="184">
        <v>718297.89000000013</v>
      </c>
      <c r="AZ64" s="184">
        <v>0</v>
      </c>
      <c r="BA64" s="184">
        <v>0</v>
      </c>
      <c r="BB64" s="184">
        <v>0</v>
      </c>
      <c r="BC64" s="184">
        <v>877.45</v>
      </c>
      <c r="BD64" s="184">
        <v>0</v>
      </c>
      <c r="BE64" s="184">
        <v>4721.45</v>
      </c>
      <c r="BF64" s="184">
        <v>132152.44999999998</v>
      </c>
      <c r="BG64" s="184">
        <v>0</v>
      </c>
      <c r="BH64" s="184">
        <v>0</v>
      </c>
      <c r="BI64" s="184">
        <v>0</v>
      </c>
      <c r="BJ64" s="184">
        <v>0</v>
      </c>
      <c r="BK64" s="184">
        <v>0</v>
      </c>
      <c r="BL64" s="184">
        <v>31892.530000000002</v>
      </c>
      <c r="BM64" s="184">
        <v>0</v>
      </c>
      <c r="BN64" s="184">
        <v>115994.67999999998</v>
      </c>
      <c r="BO64" s="184">
        <v>2132.11</v>
      </c>
      <c r="BP64" s="184">
        <v>466.2</v>
      </c>
      <c r="BQ64" s="184">
        <v>0</v>
      </c>
      <c r="BR64" s="184">
        <v>8873.5</v>
      </c>
      <c r="BS64" s="184">
        <v>53253.17</v>
      </c>
      <c r="BT64" s="184">
        <v>151.79</v>
      </c>
      <c r="BU64" s="184">
        <v>0</v>
      </c>
      <c r="BV64" s="184">
        <v>0</v>
      </c>
      <c r="BW64" s="184">
        <v>29129.89</v>
      </c>
      <c r="BX64" s="184">
        <v>0</v>
      </c>
      <c r="BY64" s="184">
        <v>47.02</v>
      </c>
      <c r="BZ64" s="184">
        <v>0</v>
      </c>
      <c r="CA64" s="184">
        <v>0</v>
      </c>
      <c r="CB64" s="184">
        <v>0</v>
      </c>
      <c r="CC64" s="184">
        <v>-89558.790000000008</v>
      </c>
      <c r="CD64" s="243" t="s">
        <v>221</v>
      </c>
      <c r="CE64" s="193">
        <f t="shared" si="0"/>
        <v>24034251.360000003</v>
      </c>
      <c r="CF64" s="246"/>
    </row>
    <row r="65" spans="1:84" ht="12.6" customHeight="1" x14ac:dyDescent="0.25">
      <c r="A65" s="171" t="s">
        <v>238</v>
      </c>
      <c r="B65" s="175"/>
      <c r="C65" s="184">
        <v>282.48</v>
      </c>
      <c r="D65" s="184">
        <v>0</v>
      </c>
      <c r="E65" s="184">
        <v>2915.84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1515.79</v>
      </c>
      <c r="P65" s="184">
        <v>4165.2199999999993</v>
      </c>
      <c r="Q65" s="184">
        <v>1671.22</v>
      </c>
      <c r="R65" s="184">
        <v>0</v>
      </c>
      <c r="S65" s="184">
        <v>75.48</v>
      </c>
      <c r="T65" s="184">
        <v>358.26</v>
      </c>
      <c r="U65" s="184">
        <v>-96.539999999999992</v>
      </c>
      <c r="V65" s="184">
        <v>0</v>
      </c>
      <c r="W65" s="184">
        <v>14161.53</v>
      </c>
      <c r="X65" s="184">
        <v>95.97</v>
      </c>
      <c r="Y65" s="184">
        <v>1981.1599999999999</v>
      </c>
      <c r="Z65" s="184">
        <v>0</v>
      </c>
      <c r="AA65" s="184">
        <v>0</v>
      </c>
      <c r="AB65" s="184">
        <v>515.57000000000005</v>
      </c>
      <c r="AC65" s="184">
        <v>686.07</v>
      </c>
      <c r="AD65" s="184">
        <v>0</v>
      </c>
      <c r="AE65" s="184">
        <v>-39.950000000000003</v>
      </c>
      <c r="AF65" s="184">
        <v>0</v>
      </c>
      <c r="AG65" s="184">
        <v>797.76</v>
      </c>
      <c r="AH65" s="184">
        <v>0</v>
      </c>
      <c r="AI65" s="184">
        <v>0</v>
      </c>
      <c r="AJ65" s="184">
        <v>9698.26</v>
      </c>
      <c r="AK65" s="184">
        <v>319.95999999999998</v>
      </c>
      <c r="AL65" s="184">
        <v>359.37</v>
      </c>
      <c r="AM65" s="184">
        <v>0</v>
      </c>
      <c r="AN65" s="184">
        <v>0</v>
      </c>
      <c r="AO65" s="184">
        <v>0</v>
      </c>
      <c r="AP65" s="184">
        <v>0</v>
      </c>
      <c r="AQ65" s="184">
        <v>0</v>
      </c>
      <c r="AR65" s="184">
        <v>12879.61</v>
      </c>
      <c r="AS65" s="184">
        <v>0</v>
      </c>
      <c r="AT65" s="184">
        <v>0</v>
      </c>
      <c r="AU65" s="184">
        <v>0</v>
      </c>
      <c r="AV65" s="184">
        <v>397.65</v>
      </c>
      <c r="AW65" s="184">
        <v>95.97</v>
      </c>
      <c r="AX65" s="184">
        <v>191.94</v>
      </c>
      <c r="AY65" s="184">
        <v>287.91000000000003</v>
      </c>
      <c r="AZ65" s="184">
        <v>0</v>
      </c>
      <c r="BA65" s="184">
        <v>0</v>
      </c>
      <c r="BB65" s="184">
        <v>0</v>
      </c>
      <c r="BC65" s="184">
        <v>0</v>
      </c>
      <c r="BD65" s="184">
        <v>0</v>
      </c>
      <c r="BE65" s="184">
        <v>1298808.1700000002</v>
      </c>
      <c r="BF65" s="184">
        <v>16483.71</v>
      </c>
      <c r="BG65" s="184">
        <v>0</v>
      </c>
      <c r="BH65" s="184">
        <v>0</v>
      </c>
      <c r="BI65" s="184">
        <v>0</v>
      </c>
      <c r="BJ65" s="184">
        <v>0</v>
      </c>
      <c r="BK65" s="184">
        <v>0</v>
      </c>
      <c r="BL65" s="184">
        <v>0</v>
      </c>
      <c r="BM65" s="184">
        <v>0</v>
      </c>
      <c r="BN65" s="184">
        <v>3604.7</v>
      </c>
      <c r="BO65" s="184">
        <v>4179.57</v>
      </c>
      <c r="BP65" s="184">
        <v>0</v>
      </c>
      <c r="BQ65" s="184">
        <v>0</v>
      </c>
      <c r="BR65" s="184">
        <v>258.5</v>
      </c>
      <c r="BS65" s="184">
        <v>0</v>
      </c>
      <c r="BT65" s="184">
        <v>318.45999999999998</v>
      </c>
      <c r="BU65" s="184">
        <v>0</v>
      </c>
      <c r="BV65" s="184">
        <v>0</v>
      </c>
      <c r="BW65" s="184">
        <v>0</v>
      </c>
      <c r="BX65" s="184">
        <v>0</v>
      </c>
      <c r="BY65" s="184">
        <v>813.49</v>
      </c>
      <c r="BZ65" s="184">
        <v>0</v>
      </c>
      <c r="CA65" s="184">
        <v>0</v>
      </c>
      <c r="CB65" s="184">
        <v>0</v>
      </c>
      <c r="CC65" s="184">
        <v>247670.41000000003</v>
      </c>
      <c r="CD65" s="243" t="s">
        <v>221</v>
      </c>
      <c r="CE65" s="193">
        <f t="shared" si="0"/>
        <v>1625453.54</v>
      </c>
      <c r="CF65" s="246"/>
    </row>
    <row r="66" spans="1:84" ht="12.6" customHeight="1" x14ac:dyDescent="0.25">
      <c r="A66" s="171" t="s">
        <v>239</v>
      </c>
      <c r="B66" s="175"/>
      <c r="C66" s="184">
        <v>51532.75</v>
      </c>
      <c r="D66" s="184">
        <v>0</v>
      </c>
      <c r="E66" s="184">
        <v>439560.87</v>
      </c>
      <c r="F66" s="184">
        <v>0</v>
      </c>
      <c r="G66" s="184">
        <v>0</v>
      </c>
      <c r="H66" s="184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-1619309.1300000001</v>
      </c>
      <c r="N66" s="184">
        <v>0</v>
      </c>
      <c r="O66" s="184">
        <v>173893.22999999998</v>
      </c>
      <c r="P66" s="184">
        <v>1442436.7124155634</v>
      </c>
      <c r="Q66" s="184">
        <v>42951.81</v>
      </c>
      <c r="R66" s="184">
        <v>0</v>
      </c>
      <c r="S66" s="184">
        <v>99811.5936506</v>
      </c>
      <c r="T66" s="184">
        <v>0</v>
      </c>
      <c r="U66" s="184">
        <v>1122534.29</v>
      </c>
      <c r="V66" s="184">
        <v>0</v>
      </c>
      <c r="W66" s="184">
        <v>256912.61</v>
      </c>
      <c r="X66" s="184">
        <v>206760.35</v>
      </c>
      <c r="Y66" s="184">
        <v>1215704.1300000001</v>
      </c>
      <c r="Z66" s="184">
        <v>0</v>
      </c>
      <c r="AA66" s="184">
        <v>283423.02</v>
      </c>
      <c r="AB66" s="184">
        <v>489830.47</v>
      </c>
      <c r="AC66" s="184">
        <v>6835.3300000000008</v>
      </c>
      <c r="AD66" s="184">
        <v>592020.14</v>
      </c>
      <c r="AE66" s="184">
        <v>827532.53</v>
      </c>
      <c r="AF66" s="184">
        <v>0</v>
      </c>
      <c r="AG66" s="184">
        <v>604264.19000000006</v>
      </c>
      <c r="AH66" s="184">
        <v>0</v>
      </c>
      <c r="AI66" s="184">
        <v>0</v>
      </c>
      <c r="AJ66" s="184">
        <v>967683.36999999988</v>
      </c>
      <c r="AK66" s="184">
        <v>181017.4</v>
      </c>
      <c r="AL66" s="184">
        <v>24147.97</v>
      </c>
      <c r="AM66" s="184">
        <v>0</v>
      </c>
      <c r="AN66" s="184">
        <v>0</v>
      </c>
      <c r="AO66" s="184">
        <v>0</v>
      </c>
      <c r="AP66" s="184">
        <v>0</v>
      </c>
      <c r="AQ66" s="184">
        <v>0</v>
      </c>
      <c r="AR66" s="184">
        <v>23320.18</v>
      </c>
      <c r="AS66" s="184">
        <v>0</v>
      </c>
      <c r="AT66" s="184">
        <v>0</v>
      </c>
      <c r="AU66" s="184">
        <v>0</v>
      </c>
      <c r="AV66" s="184">
        <v>1201441.6542000007</v>
      </c>
      <c r="AW66" s="184">
        <v>0</v>
      </c>
      <c r="AX66" s="184">
        <v>679.51070000000004</v>
      </c>
      <c r="AY66" s="184">
        <v>405311.72000000009</v>
      </c>
      <c r="AZ66" s="184">
        <v>0</v>
      </c>
      <c r="BA66" s="184">
        <v>0</v>
      </c>
      <c r="BB66" s="184">
        <v>0</v>
      </c>
      <c r="BC66" s="184">
        <v>0</v>
      </c>
      <c r="BD66" s="184">
        <v>0</v>
      </c>
      <c r="BE66" s="184">
        <v>2487812.1466000001</v>
      </c>
      <c r="BF66" s="184">
        <v>275698.95</v>
      </c>
      <c r="BG66" s="184">
        <v>32840.601200000005</v>
      </c>
      <c r="BH66" s="184">
        <v>222665.44130593882</v>
      </c>
      <c r="BI66" s="184">
        <v>0</v>
      </c>
      <c r="BJ66" s="184">
        <v>576162.31821290997</v>
      </c>
      <c r="BK66" s="184">
        <v>3327866.9153221138</v>
      </c>
      <c r="BL66" s="184">
        <v>2127386.7182508167</v>
      </c>
      <c r="BM66" s="184">
        <v>0</v>
      </c>
      <c r="BN66" s="184">
        <v>4557833.4946048306</v>
      </c>
      <c r="BO66" s="184">
        <v>322409.41959999996</v>
      </c>
      <c r="BP66" s="184">
        <v>415951.22139999998</v>
      </c>
      <c r="BQ66" s="184">
        <v>0</v>
      </c>
      <c r="BR66" s="184">
        <v>1683160.0405000001</v>
      </c>
      <c r="BS66" s="184">
        <v>15.505600000000001</v>
      </c>
      <c r="BT66" s="184">
        <v>22979.597300000001</v>
      </c>
      <c r="BU66" s="184">
        <v>37273.8531</v>
      </c>
      <c r="BV66" s="184">
        <v>3910362.8848428382</v>
      </c>
      <c r="BW66" s="184">
        <v>388263.407618</v>
      </c>
      <c r="BX66" s="184">
        <v>3595801.5928080194</v>
      </c>
      <c r="BY66" s="184">
        <v>184286.1372</v>
      </c>
      <c r="BZ66" s="184">
        <v>0</v>
      </c>
      <c r="CA66" s="184">
        <v>451309.19350000005</v>
      </c>
      <c r="CB66" s="184">
        <v>46061.413200000003</v>
      </c>
      <c r="CC66" s="184">
        <v>13751027.648590341</v>
      </c>
      <c r="CD66" s="243" t="s">
        <v>221</v>
      </c>
      <c r="CE66" s="193">
        <f t="shared" si="0"/>
        <v>47457465.201721974</v>
      </c>
      <c r="CF66" s="246"/>
    </row>
    <row r="67" spans="1:84" ht="12.6" customHeight="1" x14ac:dyDescent="0.25">
      <c r="A67" s="171" t="s">
        <v>6</v>
      </c>
      <c r="B67" s="175"/>
      <c r="C67" s="193">
        <f>ROUND(C51+C52,0)</f>
        <v>161565</v>
      </c>
      <c r="D67" s="193">
        <f>ROUND(D51+D52,0)</f>
        <v>0</v>
      </c>
      <c r="E67" s="193">
        <f t="shared" ref="E67:BP67" si="3">ROUND(E51+E52,0)</f>
        <v>420403</v>
      </c>
      <c r="F67" s="193">
        <f t="shared" si="3"/>
        <v>0</v>
      </c>
      <c r="G67" s="193">
        <f t="shared" si="3"/>
        <v>584</v>
      </c>
      <c r="H67" s="193">
        <f t="shared" si="3"/>
        <v>0</v>
      </c>
      <c r="I67" s="193">
        <f t="shared" si="3"/>
        <v>0</v>
      </c>
      <c r="J67" s="193">
        <f>ROUND(J51+J52,0)</f>
        <v>0</v>
      </c>
      <c r="K67" s="193">
        <f t="shared" si="3"/>
        <v>0</v>
      </c>
      <c r="L67" s="193">
        <f t="shared" si="3"/>
        <v>0</v>
      </c>
      <c r="M67" s="193">
        <f t="shared" si="3"/>
        <v>0</v>
      </c>
      <c r="N67" s="193">
        <f t="shared" si="3"/>
        <v>0</v>
      </c>
      <c r="O67" s="193">
        <f t="shared" si="3"/>
        <v>227665</v>
      </c>
      <c r="P67" s="193">
        <f t="shared" si="3"/>
        <v>2366780</v>
      </c>
      <c r="Q67" s="193">
        <f t="shared" si="3"/>
        <v>87662</v>
      </c>
      <c r="R67" s="193">
        <f t="shared" si="3"/>
        <v>0</v>
      </c>
      <c r="S67" s="193">
        <f t="shared" si="3"/>
        <v>30495</v>
      </c>
      <c r="T67" s="193">
        <f t="shared" si="3"/>
        <v>12472</v>
      </c>
      <c r="U67" s="193">
        <f t="shared" si="3"/>
        <v>89622</v>
      </c>
      <c r="V67" s="193">
        <f t="shared" si="3"/>
        <v>0</v>
      </c>
      <c r="W67" s="193">
        <f t="shared" si="3"/>
        <v>620593</v>
      </c>
      <c r="X67" s="193">
        <f t="shared" si="3"/>
        <v>95070</v>
      </c>
      <c r="Y67" s="193">
        <f t="shared" si="3"/>
        <v>1047970</v>
      </c>
      <c r="Z67" s="193">
        <f t="shared" si="3"/>
        <v>0</v>
      </c>
      <c r="AA67" s="193">
        <f t="shared" si="3"/>
        <v>77074</v>
      </c>
      <c r="AB67" s="193">
        <f t="shared" si="3"/>
        <v>338730</v>
      </c>
      <c r="AC67" s="193">
        <f t="shared" si="3"/>
        <v>59550</v>
      </c>
      <c r="AD67" s="193">
        <f t="shared" si="3"/>
        <v>0</v>
      </c>
      <c r="AE67" s="193">
        <f t="shared" si="3"/>
        <v>325</v>
      </c>
      <c r="AF67" s="193">
        <f t="shared" si="3"/>
        <v>0</v>
      </c>
      <c r="AG67" s="193">
        <f t="shared" si="3"/>
        <v>393784</v>
      </c>
      <c r="AH67" s="193">
        <f t="shared" si="3"/>
        <v>0</v>
      </c>
      <c r="AI67" s="193">
        <f t="shared" si="3"/>
        <v>0</v>
      </c>
      <c r="AJ67" s="193">
        <f t="shared" si="3"/>
        <v>428780</v>
      </c>
      <c r="AK67" s="193">
        <f t="shared" si="3"/>
        <v>45</v>
      </c>
      <c r="AL67" s="193">
        <f t="shared" si="3"/>
        <v>3</v>
      </c>
      <c r="AM67" s="193">
        <f t="shared" si="3"/>
        <v>0</v>
      </c>
      <c r="AN67" s="193">
        <f t="shared" si="3"/>
        <v>0</v>
      </c>
      <c r="AO67" s="193">
        <f t="shared" si="3"/>
        <v>0</v>
      </c>
      <c r="AP67" s="193">
        <f t="shared" si="3"/>
        <v>0</v>
      </c>
      <c r="AQ67" s="193">
        <f t="shared" si="3"/>
        <v>0</v>
      </c>
      <c r="AR67" s="193">
        <f t="shared" si="3"/>
        <v>23114</v>
      </c>
      <c r="AS67" s="193">
        <f t="shared" si="3"/>
        <v>0</v>
      </c>
      <c r="AT67" s="193">
        <f t="shared" si="3"/>
        <v>0</v>
      </c>
      <c r="AU67" s="193">
        <f t="shared" si="3"/>
        <v>0</v>
      </c>
      <c r="AV67" s="193">
        <f t="shared" si="3"/>
        <v>339</v>
      </c>
      <c r="AW67" s="193">
        <f t="shared" si="3"/>
        <v>267</v>
      </c>
      <c r="AX67" s="193">
        <f t="shared" si="3"/>
        <v>0</v>
      </c>
      <c r="AY67" s="193">
        <f t="shared" si="3"/>
        <v>45300</v>
      </c>
      <c r="AZ67" s="193">
        <f>ROUND(AZ51+AZ52,0)</f>
        <v>0</v>
      </c>
      <c r="BA67" s="193">
        <f>ROUND(BA51+BA52,0)</f>
        <v>0</v>
      </c>
      <c r="BB67" s="193">
        <f t="shared" si="3"/>
        <v>0</v>
      </c>
      <c r="BC67" s="193">
        <f t="shared" si="3"/>
        <v>0</v>
      </c>
      <c r="BD67" s="193">
        <f t="shared" si="3"/>
        <v>0</v>
      </c>
      <c r="BE67" s="193">
        <f t="shared" si="3"/>
        <v>206558</v>
      </c>
      <c r="BF67" s="193">
        <f t="shared" si="3"/>
        <v>4592</v>
      </c>
      <c r="BG67" s="193">
        <f t="shared" si="3"/>
        <v>0</v>
      </c>
      <c r="BH67" s="193">
        <f t="shared" si="3"/>
        <v>0</v>
      </c>
      <c r="BI67" s="193">
        <f t="shared" si="3"/>
        <v>0</v>
      </c>
      <c r="BJ67" s="193">
        <f t="shared" si="3"/>
        <v>0</v>
      </c>
      <c r="BK67" s="193">
        <f t="shared" si="3"/>
        <v>789</v>
      </c>
      <c r="BL67" s="193">
        <f t="shared" si="3"/>
        <v>20186</v>
      </c>
      <c r="BM67" s="193">
        <f t="shared" si="3"/>
        <v>0</v>
      </c>
      <c r="BN67" s="193">
        <f t="shared" si="3"/>
        <v>61052</v>
      </c>
      <c r="BO67" s="193">
        <f t="shared" si="3"/>
        <v>0</v>
      </c>
      <c r="BP67" s="193">
        <f t="shared" si="3"/>
        <v>0</v>
      </c>
      <c r="BQ67" s="193">
        <f t="shared" ref="BQ67:CC67" si="4">ROUND(BQ51+BQ52,0)</f>
        <v>0</v>
      </c>
      <c r="BR67" s="193">
        <f t="shared" si="4"/>
        <v>11415</v>
      </c>
      <c r="BS67" s="193">
        <f t="shared" si="4"/>
        <v>358</v>
      </c>
      <c r="BT67" s="193">
        <f t="shared" si="4"/>
        <v>879</v>
      </c>
      <c r="BU67" s="193">
        <f t="shared" si="4"/>
        <v>0</v>
      </c>
      <c r="BV67" s="193">
        <f t="shared" si="4"/>
        <v>0</v>
      </c>
      <c r="BW67" s="193">
        <f t="shared" si="4"/>
        <v>232</v>
      </c>
      <c r="BX67" s="193">
        <f t="shared" si="4"/>
        <v>0</v>
      </c>
      <c r="BY67" s="193">
        <f t="shared" si="4"/>
        <v>310886</v>
      </c>
      <c r="BZ67" s="193">
        <f t="shared" si="4"/>
        <v>0</v>
      </c>
      <c r="CA67" s="193">
        <f t="shared" si="4"/>
        <v>0</v>
      </c>
      <c r="CB67" s="193">
        <f t="shared" si="4"/>
        <v>0</v>
      </c>
      <c r="CC67" s="193">
        <f t="shared" si="4"/>
        <v>6788942</v>
      </c>
      <c r="CD67" s="243" t="s">
        <v>221</v>
      </c>
      <c r="CE67" s="193">
        <f t="shared" si="0"/>
        <v>13934081</v>
      </c>
      <c r="CF67" s="246"/>
    </row>
    <row r="68" spans="1:84" ht="12.6" customHeight="1" x14ac:dyDescent="0.25">
      <c r="A68" s="171" t="s">
        <v>240</v>
      </c>
      <c r="B68" s="175"/>
      <c r="C68" s="184">
        <v>-1516.6</v>
      </c>
      <c r="D68" s="184">
        <v>0</v>
      </c>
      <c r="E68" s="184">
        <v>33352.699999999997</v>
      </c>
      <c r="F68" s="184">
        <v>0</v>
      </c>
      <c r="G68" s="184">
        <v>0</v>
      </c>
      <c r="H68" s="184">
        <v>0</v>
      </c>
      <c r="I68" s="184">
        <v>0</v>
      </c>
      <c r="J68" s="184">
        <v>0</v>
      </c>
      <c r="K68" s="184">
        <v>0</v>
      </c>
      <c r="L68" s="184">
        <v>0</v>
      </c>
      <c r="M68" s="184">
        <v>0</v>
      </c>
      <c r="N68" s="184">
        <v>0</v>
      </c>
      <c r="O68" s="184">
        <v>4318.6499999999996</v>
      </c>
      <c r="P68" s="184">
        <v>374443.16</v>
      </c>
      <c r="Q68" s="184">
        <v>9060.6299999999992</v>
      </c>
      <c r="R68" s="184">
        <v>0</v>
      </c>
      <c r="S68" s="184">
        <v>5024.51</v>
      </c>
      <c r="T68" s="184">
        <v>0</v>
      </c>
      <c r="U68" s="184">
        <v>59063.68</v>
      </c>
      <c r="V68" s="184">
        <v>0</v>
      </c>
      <c r="W68" s="184">
        <v>175957.92</v>
      </c>
      <c r="X68" s="184">
        <v>0</v>
      </c>
      <c r="Y68" s="184">
        <v>293474.27</v>
      </c>
      <c r="Z68" s="184">
        <v>0</v>
      </c>
      <c r="AA68" s="184">
        <v>284.37</v>
      </c>
      <c r="AB68" s="184">
        <v>16868.61</v>
      </c>
      <c r="AC68" s="184">
        <v>12942.75</v>
      </c>
      <c r="AD68" s="184">
        <v>0</v>
      </c>
      <c r="AE68" s="184">
        <v>1511.5</v>
      </c>
      <c r="AF68" s="184">
        <v>0</v>
      </c>
      <c r="AG68" s="184">
        <v>21576.799999999999</v>
      </c>
      <c r="AH68" s="184">
        <v>0</v>
      </c>
      <c r="AI68" s="184">
        <v>0</v>
      </c>
      <c r="AJ68" s="184">
        <v>563744.51</v>
      </c>
      <c r="AK68" s="184">
        <v>0</v>
      </c>
      <c r="AL68" s="184">
        <v>0</v>
      </c>
      <c r="AM68" s="184">
        <v>0</v>
      </c>
      <c r="AN68" s="184">
        <v>0</v>
      </c>
      <c r="AO68" s="184">
        <v>0</v>
      </c>
      <c r="AP68" s="184">
        <v>0</v>
      </c>
      <c r="AQ68" s="184">
        <v>0</v>
      </c>
      <c r="AR68" s="184">
        <v>12617.55</v>
      </c>
      <c r="AS68" s="184">
        <v>0</v>
      </c>
      <c r="AT68" s="184">
        <v>0</v>
      </c>
      <c r="AU68" s="184">
        <v>0</v>
      </c>
      <c r="AV68" s="184">
        <v>744.62</v>
      </c>
      <c r="AW68" s="184">
        <v>0</v>
      </c>
      <c r="AX68" s="184">
        <v>0</v>
      </c>
      <c r="AY68" s="184">
        <v>6404.2099999999991</v>
      </c>
      <c r="AZ68" s="184">
        <v>0</v>
      </c>
      <c r="BA68" s="184">
        <v>0</v>
      </c>
      <c r="BB68" s="184">
        <v>0</v>
      </c>
      <c r="BC68" s="184">
        <v>0</v>
      </c>
      <c r="BD68" s="184">
        <v>0</v>
      </c>
      <c r="BE68" s="184">
        <v>2198.08</v>
      </c>
      <c r="BF68" s="184">
        <v>1037.79</v>
      </c>
      <c r="BG68" s="184">
        <v>0</v>
      </c>
      <c r="BH68" s="184">
        <v>0</v>
      </c>
      <c r="BI68" s="184">
        <v>0</v>
      </c>
      <c r="BJ68" s="184">
        <v>0</v>
      </c>
      <c r="BK68" s="184">
        <v>0</v>
      </c>
      <c r="BL68" s="184">
        <v>4879.83</v>
      </c>
      <c r="BM68" s="184">
        <v>0</v>
      </c>
      <c r="BN68" s="184">
        <v>46935.46</v>
      </c>
      <c r="BO68" s="184">
        <v>0</v>
      </c>
      <c r="BP68" s="184">
        <v>0</v>
      </c>
      <c r="BQ68" s="184">
        <v>0</v>
      </c>
      <c r="BR68" s="184">
        <v>3795.25</v>
      </c>
      <c r="BS68" s="184">
        <v>412.87</v>
      </c>
      <c r="BT68" s="184">
        <v>2267.2399999999998</v>
      </c>
      <c r="BU68" s="184">
        <v>0</v>
      </c>
      <c r="BV68" s="184">
        <v>0</v>
      </c>
      <c r="BW68" s="184">
        <v>6495.39</v>
      </c>
      <c r="BX68" s="184">
        <v>0</v>
      </c>
      <c r="BY68" s="184">
        <v>4602.37</v>
      </c>
      <c r="BZ68" s="184">
        <v>0</v>
      </c>
      <c r="CA68" s="184">
        <v>0</v>
      </c>
      <c r="CB68" s="184">
        <v>0</v>
      </c>
      <c r="CC68" s="184">
        <v>299606.53000000003</v>
      </c>
      <c r="CD68" s="243" t="s">
        <v>221</v>
      </c>
      <c r="CE68" s="193">
        <f t="shared" si="0"/>
        <v>1962104.6500000004</v>
      </c>
      <c r="CF68" s="246"/>
    </row>
    <row r="69" spans="1:84" ht="12.6" customHeight="1" x14ac:dyDescent="0.25">
      <c r="A69" s="171" t="s">
        <v>241</v>
      </c>
      <c r="B69" s="175"/>
      <c r="C69" s="184">
        <v>5840.58</v>
      </c>
      <c r="D69" s="184">
        <v>0</v>
      </c>
      <c r="E69" s="184">
        <v>17997.12</v>
      </c>
      <c r="F69" s="184">
        <v>0</v>
      </c>
      <c r="G69" s="184">
        <v>0</v>
      </c>
      <c r="H69" s="184">
        <v>0</v>
      </c>
      <c r="I69" s="184">
        <v>0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27704.07</v>
      </c>
      <c r="P69" s="184">
        <v>26377.809999999998</v>
      </c>
      <c r="Q69" s="184">
        <v>5613.68</v>
      </c>
      <c r="R69" s="184">
        <v>0</v>
      </c>
      <c r="S69" s="184">
        <v>3649.5</v>
      </c>
      <c r="T69" s="184">
        <v>600</v>
      </c>
      <c r="U69" s="184">
        <v>120037.18000000001</v>
      </c>
      <c r="V69" s="184">
        <v>0</v>
      </c>
      <c r="W69" s="184">
        <v>3099.9</v>
      </c>
      <c r="X69" s="184">
        <v>0</v>
      </c>
      <c r="Y69" s="184">
        <v>5487.4900000000007</v>
      </c>
      <c r="Z69" s="184">
        <v>0</v>
      </c>
      <c r="AA69" s="184">
        <v>0</v>
      </c>
      <c r="AB69" s="184">
        <v>14558.48</v>
      </c>
      <c r="AC69" s="184">
        <v>1950</v>
      </c>
      <c r="AD69" s="184">
        <v>0</v>
      </c>
      <c r="AE69" s="184">
        <v>0</v>
      </c>
      <c r="AF69" s="184">
        <v>0</v>
      </c>
      <c r="AG69" s="184">
        <v>7894.29</v>
      </c>
      <c r="AH69" s="184">
        <v>0</v>
      </c>
      <c r="AI69" s="184">
        <v>0</v>
      </c>
      <c r="AJ69" s="184">
        <v>22313.61</v>
      </c>
      <c r="AK69" s="184">
        <v>304.98</v>
      </c>
      <c r="AL69" s="184">
        <v>638.91999999999996</v>
      </c>
      <c r="AM69" s="184">
        <v>0</v>
      </c>
      <c r="AN69" s="184">
        <v>0</v>
      </c>
      <c r="AO69" s="184">
        <v>0</v>
      </c>
      <c r="AP69" s="184">
        <v>0</v>
      </c>
      <c r="AQ69" s="184">
        <v>0</v>
      </c>
      <c r="AR69" s="184">
        <v>14879.340000000002</v>
      </c>
      <c r="AS69" s="184">
        <v>0</v>
      </c>
      <c r="AT69" s="184">
        <v>0</v>
      </c>
      <c r="AU69" s="184">
        <v>0</v>
      </c>
      <c r="AV69" s="184">
        <v>14.98</v>
      </c>
      <c r="AW69" s="184">
        <v>3226.24</v>
      </c>
      <c r="AX69" s="184">
        <v>-900</v>
      </c>
      <c r="AY69" s="184">
        <v>18314.000000000004</v>
      </c>
      <c r="AZ69" s="184">
        <v>0</v>
      </c>
      <c r="BA69" s="184">
        <v>0</v>
      </c>
      <c r="BB69" s="184">
        <v>0</v>
      </c>
      <c r="BC69" s="184">
        <v>0</v>
      </c>
      <c r="BD69" s="184">
        <v>0</v>
      </c>
      <c r="BE69" s="184">
        <v>41126.200000000004</v>
      </c>
      <c r="BF69" s="184">
        <v>4930.7299999999996</v>
      </c>
      <c r="BG69" s="184">
        <v>0</v>
      </c>
      <c r="BH69" s="184">
        <v>0</v>
      </c>
      <c r="BI69" s="184">
        <v>0</v>
      </c>
      <c r="BJ69" s="184">
        <v>0</v>
      </c>
      <c r="BK69" s="184">
        <v>0</v>
      </c>
      <c r="BL69" s="184">
        <v>2846.75</v>
      </c>
      <c r="BM69" s="184">
        <v>0</v>
      </c>
      <c r="BN69" s="184">
        <v>292493.69999999995</v>
      </c>
      <c r="BO69" s="184">
        <v>54041.63</v>
      </c>
      <c r="BP69" s="184">
        <v>0</v>
      </c>
      <c r="BQ69" s="184">
        <v>0</v>
      </c>
      <c r="BR69" s="184">
        <v>13614.98</v>
      </c>
      <c r="BS69" s="184">
        <v>305.44</v>
      </c>
      <c r="BT69" s="184">
        <v>0</v>
      </c>
      <c r="BU69" s="184">
        <v>0</v>
      </c>
      <c r="BV69" s="184">
        <v>0</v>
      </c>
      <c r="BW69" s="184">
        <v>15777.64</v>
      </c>
      <c r="BX69" s="184">
        <v>0</v>
      </c>
      <c r="BY69" s="184">
        <v>3821.09</v>
      </c>
      <c r="BZ69" s="184">
        <v>0</v>
      </c>
      <c r="CA69" s="184">
        <v>0</v>
      </c>
      <c r="CB69" s="184">
        <v>0</v>
      </c>
      <c r="CC69" s="184">
        <v>13950353.710000001</v>
      </c>
      <c r="CD69" s="184">
        <v>0</v>
      </c>
      <c r="CE69" s="193">
        <f t="shared" si="0"/>
        <v>14678914.040000001</v>
      </c>
      <c r="CF69" s="246"/>
    </row>
    <row r="70" spans="1:84" ht="12.6" customHeight="1" x14ac:dyDescent="0.25">
      <c r="A70" s="171" t="s">
        <v>242</v>
      </c>
      <c r="B70" s="175"/>
      <c r="C70" s="184">
        <v>43723.97</v>
      </c>
      <c r="D70" s="184">
        <v>0</v>
      </c>
      <c r="E70" s="184">
        <v>70330.569999999992</v>
      </c>
      <c r="F70" s="184">
        <v>0</v>
      </c>
      <c r="G70" s="184">
        <v>0</v>
      </c>
      <c r="H70" s="184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v>4800</v>
      </c>
      <c r="P70" s="184">
        <v>53575.199999999983</v>
      </c>
      <c r="Q70" s="184">
        <v>39.319999999999936</v>
      </c>
      <c r="R70" s="184">
        <v>0</v>
      </c>
      <c r="S70" s="184">
        <v>0</v>
      </c>
      <c r="T70" s="184">
        <v>870.36</v>
      </c>
      <c r="U70" s="184">
        <v>680278.34</v>
      </c>
      <c r="V70" s="184">
        <v>0</v>
      </c>
      <c r="W70" s="184">
        <v>3181.31</v>
      </c>
      <c r="X70" s="184">
        <v>32199.909999999996</v>
      </c>
      <c r="Y70" s="184">
        <v>255118.61</v>
      </c>
      <c r="Z70" s="184">
        <v>0</v>
      </c>
      <c r="AA70" s="184">
        <v>2937.62</v>
      </c>
      <c r="AB70" s="184">
        <v>2064965.24</v>
      </c>
      <c r="AC70" s="184">
        <v>41301.58</v>
      </c>
      <c r="AD70" s="184">
        <v>96374.6</v>
      </c>
      <c r="AE70" s="184">
        <v>0</v>
      </c>
      <c r="AF70" s="184">
        <v>0</v>
      </c>
      <c r="AG70" s="184">
        <v>6895.88</v>
      </c>
      <c r="AH70" s="184">
        <v>0</v>
      </c>
      <c r="AI70" s="184">
        <v>0</v>
      </c>
      <c r="AJ70" s="184">
        <v>1568374.8</v>
      </c>
      <c r="AK70" s="184">
        <v>200289.53</v>
      </c>
      <c r="AL70" s="184">
        <v>250607.8</v>
      </c>
      <c r="AM70" s="184">
        <v>0</v>
      </c>
      <c r="AN70" s="184">
        <v>0</v>
      </c>
      <c r="AO70" s="184">
        <v>0</v>
      </c>
      <c r="AP70" s="184">
        <v>0</v>
      </c>
      <c r="AQ70" s="184">
        <v>0</v>
      </c>
      <c r="AR70" s="184">
        <v>42.19</v>
      </c>
      <c r="AS70" s="184">
        <v>0</v>
      </c>
      <c r="AT70" s="184">
        <v>0</v>
      </c>
      <c r="AU70" s="184">
        <v>0</v>
      </c>
      <c r="AV70" s="184">
        <v>0</v>
      </c>
      <c r="AW70" s="184">
        <v>0</v>
      </c>
      <c r="AX70" s="184">
        <v>0</v>
      </c>
      <c r="AY70" s="184">
        <v>777347.12999999989</v>
      </c>
      <c r="AZ70" s="184">
        <v>0</v>
      </c>
      <c r="BA70" s="184">
        <v>0</v>
      </c>
      <c r="BB70" s="184">
        <v>0</v>
      </c>
      <c r="BC70" s="184">
        <v>0</v>
      </c>
      <c r="BD70" s="184">
        <v>0</v>
      </c>
      <c r="BE70" s="184">
        <v>64594.92</v>
      </c>
      <c r="BF70" s="184">
        <v>187740</v>
      </c>
      <c r="BG70" s="184">
        <v>0</v>
      </c>
      <c r="BH70" s="184">
        <v>0</v>
      </c>
      <c r="BI70" s="184">
        <v>0</v>
      </c>
      <c r="BJ70" s="184">
        <v>0</v>
      </c>
      <c r="BK70" s="184">
        <v>0</v>
      </c>
      <c r="BL70" s="184">
        <v>0</v>
      </c>
      <c r="BM70" s="184">
        <v>0</v>
      </c>
      <c r="BN70" s="184">
        <v>562628.4</v>
      </c>
      <c r="BO70" s="184">
        <v>465000</v>
      </c>
      <c r="BP70" s="184">
        <v>0</v>
      </c>
      <c r="BQ70" s="184">
        <v>0</v>
      </c>
      <c r="BR70" s="184">
        <v>0</v>
      </c>
      <c r="BS70" s="184">
        <v>115832.12</v>
      </c>
      <c r="BT70" s="184">
        <v>0</v>
      </c>
      <c r="BU70" s="184">
        <v>0</v>
      </c>
      <c r="BV70" s="184">
        <v>0</v>
      </c>
      <c r="BW70" s="184">
        <v>25350</v>
      </c>
      <c r="BX70" s="184">
        <v>0</v>
      </c>
      <c r="BY70" s="184">
        <v>0</v>
      </c>
      <c r="BZ70" s="184">
        <v>0</v>
      </c>
      <c r="CA70" s="184">
        <v>0</v>
      </c>
      <c r="CB70" s="184">
        <v>0</v>
      </c>
      <c r="CC70" s="184">
        <v>2880484.83</v>
      </c>
      <c r="CD70" s="184">
        <v>0</v>
      </c>
      <c r="CE70" s="193">
        <f t="shared" si="0"/>
        <v>10454884.23</v>
      </c>
      <c r="CF70" s="246"/>
    </row>
    <row r="71" spans="1:84" ht="12.6" customHeight="1" x14ac:dyDescent="0.25">
      <c r="A71" s="171" t="s">
        <v>243</v>
      </c>
      <c r="B71" s="175"/>
      <c r="C71" s="193">
        <f>SUM(C61:C68)+C69-C70</f>
        <v>5113328.1300000008</v>
      </c>
      <c r="D71" s="193">
        <f t="shared" ref="D71:AI71" si="5">SUM(D61:D69)-D70</f>
        <v>0</v>
      </c>
      <c r="E71" s="193">
        <f t="shared" si="5"/>
        <v>20154673.400000002</v>
      </c>
      <c r="F71" s="193">
        <f t="shared" si="5"/>
        <v>0</v>
      </c>
      <c r="G71" s="193">
        <f t="shared" si="5"/>
        <v>4562.83</v>
      </c>
      <c r="H71" s="193">
        <f t="shared" si="5"/>
        <v>0</v>
      </c>
      <c r="I71" s="193">
        <f t="shared" si="5"/>
        <v>0</v>
      </c>
      <c r="J71" s="193">
        <f t="shared" si="5"/>
        <v>0</v>
      </c>
      <c r="K71" s="193">
        <f t="shared" si="5"/>
        <v>0</v>
      </c>
      <c r="L71" s="193">
        <f t="shared" si="5"/>
        <v>0</v>
      </c>
      <c r="M71" s="193">
        <f t="shared" si="5"/>
        <v>-1617504.31</v>
      </c>
      <c r="N71" s="193">
        <f t="shared" si="5"/>
        <v>0</v>
      </c>
      <c r="O71" s="193">
        <f t="shared" si="5"/>
        <v>5192777.2600000016</v>
      </c>
      <c r="P71" s="193">
        <f t="shared" si="5"/>
        <v>19953857.642415565</v>
      </c>
      <c r="Q71" s="193">
        <f t="shared" si="5"/>
        <v>4143781.8500000006</v>
      </c>
      <c r="R71" s="193">
        <f t="shared" si="5"/>
        <v>0</v>
      </c>
      <c r="S71" s="193">
        <f t="shared" si="5"/>
        <v>1174078.3836506</v>
      </c>
      <c r="T71" s="193">
        <f t="shared" si="5"/>
        <v>452685.41000000003</v>
      </c>
      <c r="U71" s="193">
        <f t="shared" si="5"/>
        <v>5835602.7599999998</v>
      </c>
      <c r="V71" s="193">
        <f t="shared" si="5"/>
        <v>0</v>
      </c>
      <c r="W71" s="193">
        <f t="shared" si="5"/>
        <v>1931777.5199999996</v>
      </c>
      <c r="X71" s="193">
        <f t="shared" si="5"/>
        <v>1415147.0700000003</v>
      </c>
      <c r="Y71" s="193">
        <f t="shared" si="5"/>
        <v>5994511.0599999996</v>
      </c>
      <c r="Z71" s="193">
        <f t="shared" si="5"/>
        <v>0</v>
      </c>
      <c r="AA71" s="193">
        <f t="shared" si="5"/>
        <v>878825.29</v>
      </c>
      <c r="AB71" s="193">
        <f t="shared" si="5"/>
        <v>10542780.92</v>
      </c>
      <c r="AC71" s="193">
        <f t="shared" si="5"/>
        <v>2182263.7499999995</v>
      </c>
      <c r="AD71" s="193">
        <f t="shared" si="5"/>
        <v>593772.80000000005</v>
      </c>
      <c r="AE71" s="193">
        <f t="shared" si="5"/>
        <v>832348.23</v>
      </c>
      <c r="AF71" s="193">
        <f t="shared" si="5"/>
        <v>0</v>
      </c>
      <c r="AG71" s="193">
        <f t="shared" si="5"/>
        <v>13599791.4</v>
      </c>
      <c r="AH71" s="193">
        <f t="shared" si="5"/>
        <v>0</v>
      </c>
      <c r="AI71" s="193">
        <f t="shared" si="5"/>
        <v>0</v>
      </c>
      <c r="AJ71" s="193">
        <f t="shared" ref="AJ71:BO71" si="6">SUM(AJ61:AJ69)-AJ70</f>
        <v>5438555.5600000005</v>
      </c>
      <c r="AK71" s="193">
        <f t="shared" si="6"/>
        <v>291964.62</v>
      </c>
      <c r="AL71" s="193">
        <f t="shared" si="6"/>
        <v>56276.380000000005</v>
      </c>
      <c r="AM71" s="193">
        <f t="shared" si="6"/>
        <v>0</v>
      </c>
      <c r="AN71" s="193">
        <f t="shared" si="6"/>
        <v>0</v>
      </c>
      <c r="AO71" s="193">
        <f t="shared" si="6"/>
        <v>0</v>
      </c>
      <c r="AP71" s="193">
        <f t="shared" si="6"/>
        <v>823.05</v>
      </c>
      <c r="AQ71" s="193">
        <f t="shared" si="6"/>
        <v>0</v>
      </c>
      <c r="AR71" s="193">
        <f t="shared" si="6"/>
        <v>909398.25000000023</v>
      </c>
      <c r="AS71" s="193">
        <f t="shared" si="6"/>
        <v>0</v>
      </c>
      <c r="AT71" s="193">
        <f t="shared" si="6"/>
        <v>0</v>
      </c>
      <c r="AU71" s="193">
        <f t="shared" si="6"/>
        <v>0</v>
      </c>
      <c r="AV71" s="193">
        <f t="shared" si="6"/>
        <v>6251187.0842000023</v>
      </c>
      <c r="AW71" s="193">
        <f t="shared" si="6"/>
        <v>753666.28</v>
      </c>
      <c r="AX71" s="193">
        <f t="shared" si="6"/>
        <v>-14.049299999999903</v>
      </c>
      <c r="AY71" s="193">
        <f t="shared" si="6"/>
        <v>2675971.2500000009</v>
      </c>
      <c r="AZ71" s="193">
        <f t="shared" si="6"/>
        <v>0</v>
      </c>
      <c r="BA71" s="193">
        <f t="shared" si="6"/>
        <v>276.82000000000005</v>
      </c>
      <c r="BB71" s="193">
        <f t="shared" si="6"/>
        <v>0</v>
      </c>
      <c r="BC71" s="193">
        <f t="shared" si="6"/>
        <v>877.45</v>
      </c>
      <c r="BD71" s="193">
        <f t="shared" si="6"/>
        <v>0</v>
      </c>
      <c r="BE71" s="193">
        <f t="shared" si="6"/>
        <v>4788046.3166000005</v>
      </c>
      <c r="BF71" s="193">
        <f t="shared" si="6"/>
        <v>2440223.1800000002</v>
      </c>
      <c r="BG71" s="193">
        <f t="shared" si="6"/>
        <v>32840.601200000005</v>
      </c>
      <c r="BH71" s="193">
        <f t="shared" si="6"/>
        <v>222665.44130593882</v>
      </c>
      <c r="BI71" s="193">
        <f t="shared" si="6"/>
        <v>0</v>
      </c>
      <c r="BJ71" s="193">
        <f t="shared" si="6"/>
        <v>576162.31821290997</v>
      </c>
      <c r="BK71" s="193">
        <f t="shared" si="6"/>
        <v>3333343.3453221139</v>
      </c>
      <c r="BL71" s="193">
        <f t="shared" si="6"/>
        <v>2302281.6282508168</v>
      </c>
      <c r="BM71" s="193">
        <f t="shared" si="6"/>
        <v>0</v>
      </c>
      <c r="BN71" s="193">
        <f t="shared" si="6"/>
        <v>5970225.8046048302</v>
      </c>
      <c r="BO71" s="193">
        <f t="shared" si="6"/>
        <v>512840.41959999979</v>
      </c>
      <c r="BP71" s="193">
        <f t="shared" ref="BP71:CC71" si="7">SUM(BP61:BP69)-BP70</f>
        <v>416417.42139999999</v>
      </c>
      <c r="BQ71" s="193">
        <f t="shared" si="7"/>
        <v>0</v>
      </c>
      <c r="BR71" s="193">
        <f t="shared" si="7"/>
        <v>1790052.2105</v>
      </c>
      <c r="BS71" s="193">
        <f t="shared" si="7"/>
        <v>-32024.714399999997</v>
      </c>
      <c r="BT71" s="193">
        <f t="shared" si="7"/>
        <v>26596.087299999999</v>
      </c>
      <c r="BU71" s="193">
        <f t="shared" si="7"/>
        <v>37273.8531</v>
      </c>
      <c r="BV71" s="193">
        <f t="shared" si="7"/>
        <v>3910362.8848428382</v>
      </c>
      <c r="BW71" s="193">
        <f t="shared" si="7"/>
        <v>488480.56761800003</v>
      </c>
      <c r="BX71" s="193">
        <f t="shared" si="7"/>
        <v>3595801.5928080194</v>
      </c>
      <c r="BY71" s="193">
        <f t="shared" si="7"/>
        <v>2625634.9672000008</v>
      </c>
      <c r="BZ71" s="193">
        <f t="shared" si="7"/>
        <v>0</v>
      </c>
      <c r="CA71" s="193">
        <f t="shared" si="7"/>
        <v>451309.19350000005</v>
      </c>
      <c r="CB71" s="193">
        <f t="shared" si="7"/>
        <v>46061.413200000003</v>
      </c>
      <c r="CC71" s="193">
        <f t="shared" si="7"/>
        <v>32989319.438590348</v>
      </c>
      <c r="CD71" s="239">
        <f>CD69-CD70</f>
        <v>0</v>
      </c>
      <c r="CE71" s="193">
        <f>SUM(CE61:CE69)-CE70</f>
        <v>181281958.06172198</v>
      </c>
      <c r="CF71" s="246"/>
    </row>
    <row r="72" spans="1:84" ht="12.6" customHeight="1" x14ac:dyDescent="0.25">
      <c r="A72" s="171" t="s">
        <v>244</v>
      </c>
      <c r="B72" s="175"/>
      <c r="C72" s="243" t="s">
        <v>221</v>
      </c>
      <c r="D72" s="243" t="s">
        <v>221</v>
      </c>
      <c r="E72" s="243" t="s">
        <v>221</v>
      </c>
      <c r="F72" s="243" t="s">
        <v>221</v>
      </c>
      <c r="G72" s="243" t="s">
        <v>221</v>
      </c>
      <c r="H72" s="243" t="s">
        <v>221</v>
      </c>
      <c r="I72" s="243" t="s">
        <v>221</v>
      </c>
      <c r="J72" s="243" t="s">
        <v>221</v>
      </c>
      <c r="K72" s="247" t="s">
        <v>221</v>
      </c>
      <c r="L72" s="243" t="s">
        <v>221</v>
      </c>
      <c r="M72" s="243" t="s">
        <v>221</v>
      </c>
      <c r="N72" s="243" t="s">
        <v>221</v>
      </c>
      <c r="O72" s="243" t="s">
        <v>221</v>
      </c>
      <c r="P72" s="243" t="s">
        <v>221</v>
      </c>
      <c r="Q72" s="243" t="s">
        <v>221</v>
      </c>
      <c r="R72" s="243" t="s">
        <v>221</v>
      </c>
      <c r="S72" s="243" t="s">
        <v>221</v>
      </c>
      <c r="T72" s="243" t="s">
        <v>221</v>
      </c>
      <c r="U72" s="243" t="s">
        <v>221</v>
      </c>
      <c r="V72" s="243" t="s">
        <v>221</v>
      </c>
      <c r="W72" s="243" t="s">
        <v>221</v>
      </c>
      <c r="X72" s="243" t="s">
        <v>221</v>
      </c>
      <c r="Y72" s="243" t="s">
        <v>221</v>
      </c>
      <c r="Z72" s="243" t="s">
        <v>221</v>
      </c>
      <c r="AA72" s="243" t="s">
        <v>221</v>
      </c>
      <c r="AB72" s="243" t="s">
        <v>221</v>
      </c>
      <c r="AC72" s="243" t="s">
        <v>221</v>
      </c>
      <c r="AD72" s="243" t="s">
        <v>221</v>
      </c>
      <c r="AE72" s="243" t="s">
        <v>221</v>
      </c>
      <c r="AF72" s="243" t="s">
        <v>221</v>
      </c>
      <c r="AG72" s="243" t="s">
        <v>221</v>
      </c>
      <c r="AH72" s="243" t="s">
        <v>221</v>
      </c>
      <c r="AI72" s="243" t="s">
        <v>221</v>
      </c>
      <c r="AJ72" s="243" t="s">
        <v>221</v>
      </c>
      <c r="AK72" s="243" t="s">
        <v>221</v>
      </c>
      <c r="AL72" s="243" t="s">
        <v>221</v>
      </c>
      <c r="AM72" s="243" t="s">
        <v>221</v>
      </c>
      <c r="AN72" s="243" t="s">
        <v>221</v>
      </c>
      <c r="AO72" s="243" t="s">
        <v>221</v>
      </c>
      <c r="AP72" s="243" t="s">
        <v>221</v>
      </c>
      <c r="AQ72" s="243" t="s">
        <v>221</v>
      </c>
      <c r="AR72" s="243" t="s">
        <v>221</v>
      </c>
      <c r="AS72" s="243" t="s">
        <v>221</v>
      </c>
      <c r="AT72" s="243" t="s">
        <v>221</v>
      </c>
      <c r="AU72" s="243" t="s">
        <v>221</v>
      </c>
      <c r="AV72" s="243" t="s">
        <v>221</v>
      </c>
      <c r="AW72" s="243" t="s">
        <v>221</v>
      </c>
      <c r="AX72" s="243" t="s">
        <v>221</v>
      </c>
      <c r="AY72" s="243" t="s">
        <v>221</v>
      </c>
      <c r="AZ72" s="243" t="s">
        <v>221</v>
      </c>
      <c r="BA72" s="243" t="s">
        <v>221</v>
      </c>
      <c r="BB72" s="243" t="s">
        <v>221</v>
      </c>
      <c r="BC72" s="243" t="s">
        <v>221</v>
      </c>
      <c r="BD72" s="243" t="s">
        <v>221</v>
      </c>
      <c r="BE72" s="243" t="s">
        <v>221</v>
      </c>
      <c r="BF72" s="243" t="s">
        <v>221</v>
      </c>
      <c r="BG72" s="243" t="s">
        <v>221</v>
      </c>
      <c r="BH72" s="243" t="s">
        <v>221</v>
      </c>
      <c r="BI72" s="243" t="s">
        <v>221</v>
      </c>
      <c r="BJ72" s="243" t="s">
        <v>221</v>
      </c>
      <c r="BK72" s="243" t="s">
        <v>221</v>
      </c>
      <c r="BL72" s="243" t="s">
        <v>221</v>
      </c>
      <c r="BM72" s="243" t="s">
        <v>221</v>
      </c>
      <c r="BN72" s="243" t="s">
        <v>221</v>
      </c>
      <c r="BO72" s="243" t="s">
        <v>221</v>
      </c>
      <c r="BP72" s="243" t="s">
        <v>221</v>
      </c>
      <c r="BQ72" s="243" t="s">
        <v>221</v>
      </c>
      <c r="BR72" s="243" t="s">
        <v>221</v>
      </c>
      <c r="BS72" s="243" t="s">
        <v>221</v>
      </c>
      <c r="BT72" s="243" t="s">
        <v>221</v>
      </c>
      <c r="BU72" s="243" t="s">
        <v>221</v>
      </c>
      <c r="BV72" s="243" t="s">
        <v>221</v>
      </c>
      <c r="BW72" s="243" t="s">
        <v>221</v>
      </c>
      <c r="BX72" s="243" t="s">
        <v>221</v>
      </c>
      <c r="BY72" s="243" t="s">
        <v>221</v>
      </c>
      <c r="BZ72" s="243" t="s">
        <v>221</v>
      </c>
      <c r="CA72" s="243" t="s">
        <v>221</v>
      </c>
      <c r="CB72" s="243" t="s">
        <v>221</v>
      </c>
      <c r="CC72" s="243" t="s">
        <v>221</v>
      </c>
      <c r="CD72" s="243" t="s">
        <v>221</v>
      </c>
      <c r="CE72" s="184"/>
      <c r="CF72" s="246"/>
    </row>
    <row r="73" spans="1:84" ht="12.6" customHeight="1" x14ac:dyDescent="0.25">
      <c r="A73" s="171" t="s">
        <v>245</v>
      </c>
      <c r="B73" s="175"/>
      <c r="C73" s="184">
        <v>15966811.270000001</v>
      </c>
      <c r="D73" s="184">
        <v>0</v>
      </c>
      <c r="E73" s="184">
        <v>79876150.439999983</v>
      </c>
      <c r="F73" s="184">
        <v>0</v>
      </c>
      <c r="G73" s="184">
        <v>0</v>
      </c>
      <c r="H73" s="184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v>28147171.599999998</v>
      </c>
      <c r="P73" s="184">
        <v>92738892.459999993</v>
      </c>
      <c r="Q73" s="184">
        <v>9647795.8499999996</v>
      </c>
      <c r="R73" s="184">
        <v>0</v>
      </c>
      <c r="S73" s="184">
        <v>0</v>
      </c>
      <c r="T73" s="184">
        <v>1968399.01</v>
      </c>
      <c r="U73" s="184">
        <v>30036999.969999999</v>
      </c>
      <c r="V73" s="184">
        <v>0</v>
      </c>
      <c r="W73" s="184">
        <v>2672276.1499999994</v>
      </c>
      <c r="X73" s="184">
        <v>23156911.949999999</v>
      </c>
      <c r="Y73" s="184">
        <v>9779294.1799999997</v>
      </c>
      <c r="Z73" s="184">
        <v>0</v>
      </c>
      <c r="AA73" s="184">
        <v>682839.57</v>
      </c>
      <c r="AB73" s="184">
        <v>64267889.699999996</v>
      </c>
      <c r="AC73" s="184">
        <v>21825336.709999997</v>
      </c>
      <c r="AD73" s="184">
        <v>1892285.1400000001</v>
      </c>
      <c r="AE73" s="184">
        <v>2308203.1</v>
      </c>
      <c r="AF73" s="184">
        <v>0</v>
      </c>
      <c r="AG73" s="184">
        <v>34419100.549999997</v>
      </c>
      <c r="AH73" s="184">
        <v>0</v>
      </c>
      <c r="AI73" s="184">
        <v>0</v>
      </c>
      <c r="AJ73" s="184">
        <v>166657.69</v>
      </c>
      <c r="AK73" s="184">
        <v>1660426.5899999999</v>
      </c>
      <c r="AL73" s="184">
        <v>1087558.74</v>
      </c>
      <c r="AM73" s="184">
        <v>0</v>
      </c>
      <c r="AN73" s="184">
        <v>0</v>
      </c>
      <c r="AO73" s="184">
        <v>0</v>
      </c>
      <c r="AP73" s="184">
        <v>0</v>
      </c>
      <c r="AQ73" s="184">
        <v>0</v>
      </c>
      <c r="AR73" s="184">
        <v>0</v>
      </c>
      <c r="AS73" s="184">
        <v>0</v>
      </c>
      <c r="AT73" s="184">
        <v>0</v>
      </c>
      <c r="AU73" s="184">
        <v>0</v>
      </c>
      <c r="AV73" s="184">
        <v>74539.559999999983</v>
      </c>
      <c r="AW73" s="243" t="s">
        <v>221</v>
      </c>
      <c r="AX73" s="243" t="s">
        <v>221</v>
      </c>
      <c r="AY73" s="243" t="s">
        <v>221</v>
      </c>
      <c r="AZ73" s="243" t="s">
        <v>221</v>
      </c>
      <c r="BA73" s="243" t="s">
        <v>221</v>
      </c>
      <c r="BB73" s="243" t="s">
        <v>221</v>
      </c>
      <c r="BC73" s="243" t="s">
        <v>221</v>
      </c>
      <c r="BD73" s="243" t="s">
        <v>221</v>
      </c>
      <c r="BE73" s="243" t="s">
        <v>221</v>
      </c>
      <c r="BF73" s="243" t="s">
        <v>221</v>
      </c>
      <c r="BG73" s="243" t="s">
        <v>221</v>
      </c>
      <c r="BH73" s="243" t="s">
        <v>221</v>
      </c>
      <c r="BI73" s="243" t="s">
        <v>221</v>
      </c>
      <c r="BJ73" s="243" t="s">
        <v>221</v>
      </c>
      <c r="BK73" s="243" t="s">
        <v>221</v>
      </c>
      <c r="BL73" s="243" t="s">
        <v>221</v>
      </c>
      <c r="BM73" s="243" t="s">
        <v>221</v>
      </c>
      <c r="BN73" s="243" t="s">
        <v>221</v>
      </c>
      <c r="BO73" s="243" t="s">
        <v>221</v>
      </c>
      <c r="BP73" s="243" t="s">
        <v>221</v>
      </c>
      <c r="BQ73" s="243" t="s">
        <v>221</v>
      </c>
      <c r="BR73" s="243" t="s">
        <v>221</v>
      </c>
      <c r="BS73" s="243" t="s">
        <v>221</v>
      </c>
      <c r="BT73" s="243" t="s">
        <v>221</v>
      </c>
      <c r="BU73" s="243" t="s">
        <v>221</v>
      </c>
      <c r="BV73" s="243" t="s">
        <v>221</v>
      </c>
      <c r="BW73" s="243" t="s">
        <v>221</v>
      </c>
      <c r="BX73" s="243" t="s">
        <v>221</v>
      </c>
      <c r="BY73" s="243" t="s">
        <v>221</v>
      </c>
      <c r="BZ73" s="243" t="s">
        <v>221</v>
      </c>
      <c r="CA73" s="243" t="s">
        <v>221</v>
      </c>
      <c r="CB73" s="243" t="s">
        <v>221</v>
      </c>
      <c r="CC73" s="243" t="s">
        <v>221</v>
      </c>
      <c r="CD73" s="243" t="s">
        <v>221</v>
      </c>
      <c r="CE73" s="193">
        <f t="shared" ref="CE73:CE80" si="8">SUM(C73:CD73)</f>
        <v>422375540.22999996</v>
      </c>
      <c r="CF73" s="246"/>
    </row>
    <row r="74" spans="1:84" ht="12.6" customHeight="1" x14ac:dyDescent="0.25">
      <c r="A74" s="171" t="s">
        <v>246</v>
      </c>
      <c r="B74" s="175"/>
      <c r="C74" s="184">
        <v>42330.740000000005</v>
      </c>
      <c r="D74" s="184">
        <v>0</v>
      </c>
      <c r="E74" s="184">
        <v>10055384.129999999</v>
      </c>
      <c r="F74" s="184">
        <v>0</v>
      </c>
      <c r="G74" s="184">
        <v>0</v>
      </c>
      <c r="H74" s="184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4">
        <v>1734886.31</v>
      </c>
      <c r="P74" s="184">
        <v>103037390.23</v>
      </c>
      <c r="Q74" s="184">
        <v>12342391.880000003</v>
      </c>
      <c r="R74" s="184">
        <v>0</v>
      </c>
      <c r="S74" s="184">
        <v>0</v>
      </c>
      <c r="T74" s="184">
        <v>66304.38</v>
      </c>
      <c r="U74" s="184">
        <v>23883619.129999999</v>
      </c>
      <c r="V74" s="184">
        <v>0</v>
      </c>
      <c r="W74" s="184">
        <v>13249445.539999999</v>
      </c>
      <c r="X74" s="184">
        <v>65592313.229999997</v>
      </c>
      <c r="Y74" s="184">
        <v>32099019.600000001</v>
      </c>
      <c r="Z74" s="184">
        <v>0</v>
      </c>
      <c r="AA74" s="184">
        <v>5790426.4499999993</v>
      </c>
      <c r="AB74" s="184">
        <v>69870474.859999999</v>
      </c>
      <c r="AC74" s="184">
        <v>6297241.6000000006</v>
      </c>
      <c r="AD74" s="184">
        <v>59034</v>
      </c>
      <c r="AE74" s="184">
        <v>191074.92</v>
      </c>
      <c r="AF74" s="184">
        <v>0</v>
      </c>
      <c r="AG74" s="184">
        <v>126672377.71999998</v>
      </c>
      <c r="AH74" s="184">
        <v>0</v>
      </c>
      <c r="AI74" s="184">
        <v>0</v>
      </c>
      <c r="AJ74" s="184">
        <v>20391525.930000003</v>
      </c>
      <c r="AK74" s="184">
        <v>133728.39000000001</v>
      </c>
      <c r="AL74" s="184">
        <v>46606.51</v>
      </c>
      <c r="AM74" s="184">
        <v>0</v>
      </c>
      <c r="AN74" s="184">
        <v>0</v>
      </c>
      <c r="AO74" s="184">
        <v>0</v>
      </c>
      <c r="AP74" s="184">
        <v>880</v>
      </c>
      <c r="AQ74" s="184">
        <v>0</v>
      </c>
      <c r="AR74" s="184">
        <v>399355.33</v>
      </c>
      <c r="AS74" s="184">
        <v>0</v>
      </c>
      <c r="AT74" s="184">
        <v>0</v>
      </c>
      <c r="AU74" s="184">
        <v>0</v>
      </c>
      <c r="AV74" s="184">
        <v>31864.91</v>
      </c>
      <c r="AW74" s="243" t="s">
        <v>221</v>
      </c>
      <c r="AX74" s="243" t="s">
        <v>221</v>
      </c>
      <c r="AY74" s="243" t="s">
        <v>221</v>
      </c>
      <c r="AZ74" s="243" t="s">
        <v>221</v>
      </c>
      <c r="BA74" s="243" t="s">
        <v>221</v>
      </c>
      <c r="BB74" s="243" t="s">
        <v>221</v>
      </c>
      <c r="BC74" s="243" t="s">
        <v>221</v>
      </c>
      <c r="BD74" s="243" t="s">
        <v>221</v>
      </c>
      <c r="BE74" s="243" t="s">
        <v>221</v>
      </c>
      <c r="BF74" s="243" t="s">
        <v>221</v>
      </c>
      <c r="BG74" s="243" t="s">
        <v>221</v>
      </c>
      <c r="BH74" s="243" t="s">
        <v>221</v>
      </c>
      <c r="BI74" s="243" t="s">
        <v>221</v>
      </c>
      <c r="BJ74" s="243" t="s">
        <v>221</v>
      </c>
      <c r="BK74" s="243" t="s">
        <v>221</v>
      </c>
      <c r="BL74" s="243" t="s">
        <v>221</v>
      </c>
      <c r="BM74" s="243" t="s">
        <v>221</v>
      </c>
      <c r="BN74" s="243" t="s">
        <v>221</v>
      </c>
      <c r="BO74" s="243" t="s">
        <v>221</v>
      </c>
      <c r="BP74" s="243" t="s">
        <v>221</v>
      </c>
      <c r="BQ74" s="243" t="s">
        <v>221</v>
      </c>
      <c r="BR74" s="243" t="s">
        <v>221</v>
      </c>
      <c r="BS74" s="243" t="s">
        <v>221</v>
      </c>
      <c r="BT74" s="243" t="s">
        <v>221</v>
      </c>
      <c r="BU74" s="243" t="s">
        <v>221</v>
      </c>
      <c r="BV74" s="243" t="s">
        <v>221</v>
      </c>
      <c r="BW74" s="243" t="s">
        <v>221</v>
      </c>
      <c r="BX74" s="243" t="s">
        <v>221</v>
      </c>
      <c r="BY74" s="243" t="s">
        <v>221</v>
      </c>
      <c r="BZ74" s="243" t="s">
        <v>221</v>
      </c>
      <c r="CA74" s="243" t="s">
        <v>221</v>
      </c>
      <c r="CB74" s="243" t="s">
        <v>221</v>
      </c>
      <c r="CC74" s="243" t="s">
        <v>221</v>
      </c>
      <c r="CD74" s="243" t="s">
        <v>221</v>
      </c>
      <c r="CE74" s="193">
        <f t="shared" si="8"/>
        <v>491987675.78999996</v>
      </c>
      <c r="CF74" s="246"/>
    </row>
    <row r="75" spans="1:84" ht="12.6" customHeight="1" x14ac:dyDescent="0.25">
      <c r="A75" s="171" t="s">
        <v>247</v>
      </c>
      <c r="B75" s="175"/>
      <c r="C75" s="193">
        <f t="shared" ref="C75:AV75" si="9">SUM(C73:C74)</f>
        <v>16009142.010000002</v>
      </c>
      <c r="D75" s="193">
        <f t="shared" si="9"/>
        <v>0</v>
      </c>
      <c r="E75" s="193">
        <f t="shared" si="9"/>
        <v>89931534.569999978</v>
      </c>
      <c r="F75" s="193">
        <f t="shared" si="9"/>
        <v>0</v>
      </c>
      <c r="G75" s="193">
        <f t="shared" si="9"/>
        <v>0</v>
      </c>
      <c r="H75" s="193">
        <f t="shared" si="9"/>
        <v>0</v>
      </c>
      <c r="I75" s="193">
        <f t="shared" si="9"/>
        <v>0</v>
      </c>
      <c r="J75" s="193">
        <f t="shared" si="9"/>
        <v>0</v>
      </c>
      <c r="K75" s="193">
        <f t="shared" si="9"/>
        <v>0</v>
      </c>
      <c r="L75" s="193">
        <f t="shared" si="9"/>
        <v>0</v>
      </c>
      <c r="M75" s="193">
        <f t="shared" si="9"/>
        <v>0</v>
      </c>
      <c r="N75" s="193">
        <f t="shared" si="9"/>
        <v>0</v>
      </c>
      <c r="O75" s="193">
        <f t="shared" si="9"/>
        <v>29882057.909999996</v>
      </c>
      <c r="P75" s="193">
        <f t="shared" si="9"/>
        <v>195776282.69</v>
      </c>
      <c r="Q75" s="193">
        <f t="shared" si="9"/>
        <v>21990187.730000004</v>
      </c>
      <c r="R75" s="193">
        <f t="shared" si="9"/>
        <v>0</v>
      </c>
      <c r="S75" s="193">
        <f t="shared" si="9"/>
        <v>0</v>
      </c>
      <c r="T75" s="193">
        <f t="shared" si="9"/>
        <v>2034703.3900000001</v>
      </c>
      <c r="U75" s="193">
        <f t="shared" si="9"/>
        <v>53920619.099999994</v>
      </c>
      <c r="V75" s="193">
        <f t="shared" si="9"/>
        <v>0</v>
      </c>
      <c r="W75" s="193">
        <f t="shared" si="9"/>
        <v>15921721.689999998</v>
      </c>
      <c r="X75" s="193">
        <f t="shared" si="9"/>
        <v>88749225.179999992</v>
      </c>
      <c r="Y75" s="193">
        <f t="shared" si="9"/>
        <v>41878313.780000001</v>
      </c>
      <c r="Z75" s="193">
        <f t="shared" si="9"/>
        <v>0</v>
      </c>
      <c r="AA75" s="193">
        <f t="shared" si="9"/>
        <v>6473266.0199999996</v>
      </c>
      <c r="AB75" s="193">
        <f t="shared" si="9"/>
        <v>134138364.56</v>
      </c>
      <c r="AC75" s="193">
        <f t="shared" si="9"/>
        <v>28122578.309999999</v>
      </c>
      <c r="AD75" s="193">
        <f t="shared" si="9"/>
        <v>1951319.1400000001</v>
      </c>
      <c r="AE75" s="193">
        <f t="shared" si="9"/>
        <v>2499278.02</v>
      </c>
      <c r="AF75" s="193">
        <f t="shared" si="9"/>
        <v>0</v>
      </c>
      <c r="AG75" s="193">
        <f t="shared" si="9"/>
        <v>161091478.26999998</v>
      </c>
      <c r="AH75" s="193">
        <f t="shared" si="9"/>
        <v>0</v>
      </c>
      <c r="AI75" s="193">
        <f t="shared" si="9"/>
        <v>0</v>
      </c>
      <c r="AJ75" s="193">
        <f t="shared" si="9"/>
        <v>20558183.620000005</v>
      </c>
      <c r="AK75" s="193">
        <f t="shared" si="9"/>
        <v>1794154.98</v>
      </c>
      <c r="AL75" s="193">
        <f t="shared" si="9"/>
        <v>1134165.25</v>
      </c>
      <c r="AM75" s="193">
        <f t="shared" si="9"/>
        <v>0</v>
      </c>
      <c r="AN75" s="193">
        <f t="shared" si="9"/>
        <v>0</v>
      </c>
      <c r="AO75" s="193">
        <f t="shared" si="9"/>
        <v>0</v>
      </c>
      <c r="AP75" s="193">
        <f t="shared" si="9"/>
        <v>880</v>
      </c>
      <c r="AQ75" s="193">
        <f t="shared" si="9"/>
        <v>0</v>
      </c>
      <c r="AR75" s="193">
        <f t="shared" si="9"/>
        <v>399355.33</v>
      </c>
      <c r="AS75" s="193">
        <f t="shared" si="9"/>
        <v>0</v>
      </c>
      <c r="AT75" s="193">
        <f t="shared" si="9"/>
        <v>0</v>
      </c>
      <c r="AU75" s="193">
        <f t="shared" si="9"/>
        <v>0</v>
      </c>
      <c r="AV75" s="193">
        <f t="shared" si="9"/>
        <v>106404.46999999999</v>
      </c>
      <c r="AW75" s="243" t="s">
        <v>221</v>
      </c>
      <c r="AX75" s="243" t="s">
        <v>221</v>
      </c>
      <c r="AY75" s="243" t="s">
        <v>221</v>
      </c>
      <c r="AZ75" s="243" t="s">
        <v>221</v>
      </c>
      <c r="BA75" s="243" t="s">
        <v>221</v>
      </c>
      <c r="BB75" s="243" t="s">
        <v>221</v>
      </c>
      <c r="BC75" s="243" t="s">
        <v>221</v>
      </c>
      <c r="BD75" s="243" t="s">
        <v>221</v>
      </c>
      <c r="BE75" s="243" t="s">
        <v>221</v>
      </c>
      <c r="BF75" s="243" t="s">
        <v>221</v>
      </c>
      <c r="BG75" s="243" t="s">
        <v>221</v>
      </c>
      <c r="BH75" s="243" t="s">
        <v>221</v>
      </c>
      <c r="BI75" s="243" t="s">
        <v>221</v>
      </c>
      <c r="BJ75" s="243" t="s">
        <v>221</v>
      </c>
      <c r="BK75" s="243" t="s">
        <v>221</v>
      </c>
      <c r="BL75" s="243" t="s">
        <v>221</v>
      </c>
      <c r="BM75" s="243" t="s">
        <v>221</v>
      </c>
      <c r="BN75" s="243" t="s">
        <v>221</v>
      </c>
      <c r="BO75" s="243" t="s">
        <v>221</v>
      </c>
      <c r="BP75" s="243" t="s">
        <v>221</v>
      </c>
      <c r="BQ75" s="243" t="s">
        <v>221</v>
      </c>
      <c r="BR75" s="243" t="s">
        <v>221</v>
      </c>
      <c r="BS75" s="243" t="s">
        <v>221</v>
      </c>
      <c r="BT75" s="243" t="s">
        <v>221</v>
      </c>
      <c r="BU75" s="243" t="s">
        <v>221</v>
      </c>
      <c r="BV75" s="243" t="s">
        <v>221</v>
      </c>
      <c r="BW75" s="243" t="s">
        <v>221</v>
      </c>
      <c r="BX75" s="243" t="s">
        <v>221</v>
      </c>
      <c r="BY75" s="243" t="s">
        <v>221</v>
      </c>
      <c r="BZ75" s="243" t="s">
        <v>221</v>
      </c>
      <c r="CA75" s="243" t="s">
        <v>221</v>
      </c>
      <c r="CB75" s="243" t="s">
        <v>221</v>
      </c>
      <c r="CC75" s="243" t="s">
        <v>221</v>
      </c>
      <c r="CD75" s="243" t="s">
        <v>221</v>
      </c>
      <c r="CE75" s="193">
        <f t="shared" si="8"/>
        <v>914363216.01999986</v>
      </c>
      <c r="CF75" s="246"/>
    </row>
    <row r="76" spans="1:84" ht="12.6" customHeight="1" x14ac:dyDescent="0.25">
      <c r="A76" s="171" t="s">
        <v>248</v>
      </c>
      <c r="B76" s="175"/>
      <c r="C76" s="184">
        <v>6296</v>
      </c>
      <c r="D76" s="184"/>
      <c r="E76" s="185">
        <v>39978</v>
      </c>
      <c r="F76" s="185"/>
      <c r="G76" s="184"/>
      <c r="H76" s="184"/>
      <c r="I76" s="185"/>
      <c r="J76" s="185">
        <v>1167</v>
      </c>
      <c r="K76" s="185"/>
      <c r="L76" s="185"/>
      <c r="M76" s="185"/>
      <c r="N76" s="185"/>
      <c r="O76" s="185">
        <v>22556</v>
      </c>
      <c r="P76" s="185">
        <v>21543</v>
      </c>
      <c r="Q76" s="185">
        <v>2295</v>
      </c>
      <c r="R76" s="185"/>
      <c r="S76" s="185">
        <v>4986</v>
      </c>
      <c r="T76" s="185"/>
      <c r="U76" s="185">
        <v>8756</v>
      </c>
      <c r="V76" s="185"/>
      <c r="W76" s="185"/>
      <c r="X76" s="185">
        <v>792</v>
      </c>
      <c r="Y76" s="185">
        <v>6632</v>
      </c>
      <c r="Z76" s="185"/>
      <c r="AA76" s="185">
        <v>3771</v>
      </c>
      <c r="AB76" s="185">
        <v>1769</v>
      </c>
      <c r="AC76" s="185">
        <v>724</v>
      </c>
      <c r="AD76" s="185"/>
      <c r="AE76" s="185"/>
      <c r="AF76" s="185"/>
      <c r="AG76" s="185">
        <v>27038</v>
      </c>
      <c r="AH76" s="185"/>
      <c r="AI76" s="185"/>
      <c r="AJ76" s="185">
        <v>15672</v>
      </c>
      <c r="AK76" s="185">
        <v>76</v>
      </c>
      <c r="AL76" s="185">
        <v>77</v>
      </c>
      <c r="AM76" s="185"/>
      <c r="AN76" s="185"/>
      <c r="AO76" s="185"/>
      <c r="AP76" s="185"/>
      <c r="AQ76" s="185"/>
      <c r="AR76" s="185">
        <v>6665</v>
      </c>
      <c r="AS76" s="185"/>
      <c r="AT76" s="185"/>
      <c r="AU76" s="185"/>
      <c r="AV76" s="185"/>
      <c r="AW76" s="185"/>
      <c r="AX76" s="185"/>
      <c r="AY76" s="185">
        <v>1580</v>
      </c>
      <c r="AZ76" s="185">
        <v>4146</v>
      </c>
      <c r="BA76" s="185"/>
      <c r="BB76" s="185"/>
      <c r="BC76" s="185"/>
      <c r="BD76" s="185"/>
      <c r="BE76" s="185">
        <v>23344</v>
      </c>
      <c r="BF76" s="185">
        <v>4143</v>
      </c>
      <c r="BG76" s="185"/>
      <c r="BH76" s="185"/>
      <c r="BI76" s="185"/>
      <c r="BJ76" s="185"/>
      <c r="BK76" s="185"/>
      <c r="BL76" s="185"/>
      <c r="BM76" s="185"/>
      <c r="BN76" s="185">
        <v>20857</v>
      </c>
      <c r="BO76" s="185"/>
      <c r="BP76" s="185"/>
      <c r="BQ76" s="185"/>
      <c r="BR76" s="185">
        <v>3128</v>
      </c>
      <c r="BS76" s="185">
        <v>266</v>
      </c>
      <c r="BT76" s="185"/>
      <c r="BU76" s="185"/>
      <c r="BV76" s="185">
        <v>2525</v>
      </c>
      <c r="BW76" s="185"/>
      <c r="BX76" s="185"/>
      <c r="BY76" s="185">
        <v>688</v>
      </c>
      <c r="BZ76" s="185"/>
      <c r="CA76" s="185"/>
      <c r="CB76" s="185"/>
      <c r="CC76" s="185">
        <v>9395</v>
      </c>
      <c r="CD76" s="243" t="s">
        <v>221</v>
      </c>
      <c r="CE76" s="193">
        <f t="shared" si="8"/>
        <v>240865</v>
      </c>
      <c r="CF76" s="193">
        <f>BE59-CE76</f>
        <v>0</v>
      </c>
    </row>
    <row r="77" spans="1:84" ht="12.6" customHeight="1" x14ac:dyDescent="0.25">
      <c r="A77" s="171" t="s">
        <v>249</v>
      </c>
      <c r="B77" s="175"/>
      <c r="C77" s="184">
        <v>24836</v>
      </c>
      <c r="D77" s="184">
        <v>0</v>
      </c>
      <c r="E77" s="184">
        <v>59920</v>
      </c>
      <c r="F77" s="184">
        <v>0</v>
      </c>
      <c r="G77" s="184">
        <v>0</v>
      </c>
      <c r="H77" s="184">
        <v>0</v>
      </c>
      <c r="I77" s="184">
        <v>0</v>
      </c>
      <c r="J77" s="184">
        <v>7016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6874</v>
      </c>
      <c r="R77" s="184">
        <v>0</v>
      </c>
      <c r="S77" s="184">
        <v>0</v>
      </c>
      <c r="T77" s="184">
        <v>172</v>
      </c>
      <c r="U77" s="184">
        <v>0</v>
      </c>
      <c r="V77" s="184">
        <v>0</v>
      </c>
      <c r="W77" s="184">
        <v>0</v>
      </c>
      <c r="X77" s="184">
        <v>0</v>
      </c>
      <c r="Y77" s="184">
        <v>2</v>
      </c>
      <c r="Z77" s="184">
        <v>0</v>
      </c>
      <c r="AA77" s="184">
        <v>0</v>
      </c>
      <c r="AB77" s="184">
        <v>0</v>
      </c>
      <c r="AC77" s="184">
        <v>0</v>
      </c>
      <c r="AD77" s="184">
        <v>0</v>
      </c>
      <c r="AE77" s="184">
        <v>0</v>
      </c>
      <c r="AF77" s="184">
        <v>0</v>
      </c>
      <c r="AG77" s="184">
        <v>7944.666666666667</v>
      </c>
      <c r="AH77" s="184">
        <v>0</v>
      </c>
      <c r="AI77" s="184">
        <v>0</v>
      </c>
      <c r="AJ77" s="184">
        <v>0</v>
      </c>
      <c r="AK77" s="184">
        <v>0</v>
      </c>
      <c r="AL77" s="184">
        <v>0</v>
      </c>
      <c r="AM77" s="184">
        <v>0</v>
      </c>
      <c r="AN77" s="184">
        <v>0</v>
      </c>
      <c r="AO77" s="184">
        <v>0</v>
      </c>
      <c r="AP77" s="184">
        <v>0</v>
      </c>
      <c r="AQ77" s="184">
        <v>0</v>
      </c>
      <c r="AR77" s="184">
        <v>0</v>
      </c>
      <c r="AS77" s="184">
        <v>0</v>
      </c>
      <c r="AT77" s="184">
        <v>0</v>
      </c>
      <c r="AU77" s="184">
        <v>0</v>
      </c>
      <c r="AV77" s="184">
        <v>0</v>
      </c>
      <c r="AW77" s="184">
        <v>0</v>
      </c>
      <c r="AX77" s="243" t="s">
        <v>221</v>
      </c>
      <c r="AY77" s="243" t="s">
        <v>221</v>
      </c>
      <c r="AZ77" s="184">
        <v>63649.5</v>
      </c>
      <c r="BA77" s="184">
        <v>0</v>
      </c>
      <c r="BB77" s="184">
        <v>0</v>
      </c>
      <c r="BC77" s="184">
        <v>0</v>
      </c>
      <c r="BD77" s="243" t="s">
        <v>221</v>
      </c>
      <c r="BE77" s="243" t="s">
        <v>221</v>
      </c>
      <c r="BF77" s="184"/>
      <c r="BG77" s="243" t="s">
        <v>221</v>
      </c>
      <c r="BH77" s="184">
        <v>0</v>
      </c>
      <c r="BI77" s="184">
        <v>0</v>
      </c>
      <c r="BJ77" s="243" t="s">
        <v>221</v>
      </c>
      <c r="BK77" s="184">
        <v>0</v>
      </c>
      <c r="BL77" s="184">
        <v>0</v>
      </c>
      <c r="BM77" s="184">
        <v>0</v>
      </c>
      <c r="BN77" s="243" t="s">
        <v>221</v>
      </c>
      <c r="BO77" s="243" t="s">
        <v>221</v>
      </c>
      <c r="BP77" s="243" t="s">
        <v>221</v>
      </c>
      <c r="BQ77" s="243" t="s">
        <v>221</v>
      </c>
      <c r="BR77" s="184">
        <v>0</v>
      </c>
      <c r="BS77" s="184">
        <v>0</v>
      </c>
      <c r="BT77" s="184">
        <v>0</v>
      </c>
      <c r="BU77" s="184">
        <v>0</v>
      </c>
      <c r="BV77" s="184">
        <v>0</v>
      </c>
      <c r="BW77" s="184">
        <v>0</v>
      </c>
      <c r="BX77" s="184">
        <v>0</v>
      </c>
      <c r="BY77" s="184">
        <v>0</v>
      </c>
      <c r="BZ77" s="184">
        <v>0</v>
      </c>
      <c r="CA77" s="184">
        <v>0</v>
      </c>
      <c r="CB77" s="184">
        <v>0</v>
      </c>
      <c r="CC77" s="243" t="s">
        <v>221</v>
      </c>
      <c r="CD77" s="243" t="s">
        <v>221</v>
      </c>
      <c r="CE77" s="193">
        <f>SUM(C77:CD77)</f>
        <v>170414.16666666669</v>
      </c>
      <c r="CF77" s="193">
        <f>AY59-CE77</f>
        <v>-0.16666666668606922</v>
      </c>
    </row>
    <row r="78" spans="1:84" ht="12.6" customHeight="1" x14ac:dyDescent="0.25">
      <c r="A78" s="171" t="s">
        <v>250</v>
      </c>
      <c r="B78" s="175"/>
      <c r="C78" s="184">
        <v>1997.53</v>
      </c>
      <c r="D78" s="184"/>
      <c r="E78" s="184">
        <v>12683.78</v>
      </c>
      <c r="F78" s="184"/>
      <c r="G78" s="184"/>
      <c r="H78" s="184"/>
      <c r="I78" s="184"/>
      <c r="J78" s="184">
        <v>370.25</v>
      </c>
      <c r="K78" s="184"/>
      <c r="L78" s="184"/>
      <c r="M78" s="184"/>
      <c r="N78" s="184"/>
      <c r="O78" s="184">
        <v>7156.32</v>
      </c>
      <c r="P78" s="184">
        <v>6834.93</v>
      </c>
      <c r="Q78" s="184">
        <v>728.13</v>
      </c>
      <c r="R78" s="184"/>
      <c r="S78" s="184">
        <v>1581.9</v>
      </c>
      <c r="T78" s="184"/>
      <c r="U78" s="184">
        <v>2778.01</v>
      </c>
      <c r="V78" s="184"/>
      <c r="W78" s="184"/>
      <c r="X78" s="184">
        <v>251.28</v>
      </c>
      <c r="Y78" s="184">
        <v>2104.13</v>
      </c>
      <c r="Z78" s="184"/>
      <c r="AA78" s="184">
        <v>1196.42</v>
      </c>
      <c r="AB78" s="184">
        <v>561.25</v>
      </c>
      <c r="AC78" s="184">
        <v>229.7</v>
      </c>
      <c r="AD78" s="184"/>
      <c r="AE78" s="184"/>
      <c r="AF78" s="184"/>
      <c r="AG78" s="184">
        <v>8578.32</v>
      </c>
      <c r="AH78" s="184"/>
      <c r="AI78" s="184"/>
      <c r="AJ78" s="184">
        <v>4972.24</v>
      </c>
      <c r="AK78" s="184">
        <v>24.11</v>
      </c>
      <c r="AL78" s="184">
        <v>24.43</v>
      </c>
      <c r="AM78" s="184"/>
      <c r="AN78" s="184"/>
      <c r="AO78" s="184"/>
      <c r="AP78" s="184"/>
      <c r="AQ78" s="184"/>
      <c r="AR78" s="184">
        <v>2114.6</v>
      </c>
      <c r="AS78" s="184"/>
      <c r="AT78" s="184"/>
      <c r="AU78" s="184"/>
      <c r="AV78" s="184"/>
      <c r="AW78" s="184"/>
      <c r="AX78" s="243" t="s">
        <v>221</v>
      </c>
      <c r="AY78" s="243" t="s">
        <v>221</v>
      </c>
      <c r="AZ78" s="243" t="s">
        <v>221</v>
      </c>
      <c r="BA78" s="184">
        <v>0</v>
      </c>
      <c r="BB78" s="184">
        <v>0</v>
      </c>
      <c r="BC78" s="184">
        <v>0</v>
      </c>
      <c r="BD78" s="243" t="s">
        <v>221</v>
      </c>
      <c r="BE78" s="243" t="s">
        <v>221</v>
      </c>
      <c r="BF78" s="243" t="s">
        <v>221</v>
      </c>
      <c r="BG78" s="243" t="s">
        <v>221</v>
      </c>
      <c r="BH78" s="184">
        <v>0</v>
      </c>
      <c r="BI78" s="184">
        <v>0</v>
      </c>
      <c r="BJ78" s="243" t="s">
        <v>221</v>
      </c>
      <c r="BK78" s="184">
        <v>0</v>
      </c>
      <c r="BL78" s="184">
        <v>0</v>
      </c>
      <c r="BM78" s="184">
        <v>0</v>
      </c>
      <c r="BN78" s="243" t="s">
        <v>221</v>
      </c>
      <c r="BO78" s="243" t="s">
        <v>221</v>
      </c>
      <c r="BP78" s="243" t="s">
        <v>221</v>
      </c>
      <c r="BQ78" s="243" t="s">
        <v>221</v>
      </c>
      <c r="BR78" s="243" t="s">
        <v>221</v>
      </c>
      <c r="BS78" s="184">
        <v>84.39</v>
      </c>
      <c r="BT78" s="184"/>
      <c r="BU78" s="184"/>
      <c r="BV78" s="184">
        <v>801.1</v>
      </c>
      <c r="BW78" s="184"/>
      <c r="BX78" s="184"/>
      <c r="BY78" s="184">
        <v>218.28</v>
      </c>
      <c r="BZ78" s="184"/>
      <c r="CA78" s="184"/>
      <c r="CB78" s="184"/>
      <c r="CC78" s="243" t="s">
        <v>221</v>
      </c>
      <c r="CD78" s="243" t="s">
        <v>221</v>
      </c>
      <c r="CE78" s="193">
        <f t="shared" si="8"/>
        <v>55291.099999999991</v>
      </c>
      <c r="CF78" s="193"/>
    </row>
    <row r="79" spans="1:84" ht="12.6" customHeight="1" x14ac:dyDescent="0.25">
      <c r="A79" s="171" t="s">
        <v>251</v>
      </c>
      <c r="B79" s="175"/>
      <c r="C79" s="184">
        <v>123364.47</v>
      </c>
      <c r="D79" s="184">
        <v>0</v>
      </c>
      <c r="E79" s="184">
        <v>287701.89</v>
      </c>
      <c r="F79" s="184">
        <v>0</v>
      </c>
      <c r="G79" s="184">
        <v>0</v>
      </c>
      <c r="H79" s="184">
        <v>0</v>
      </c>
      <c r="I79" s="184">
        <v>0</v>
      </c>
      <c r="J79" s="184">
        <v>7258.68</v>
      </c>
      <c r="K79" s="184">
        <v>0</v>
      </c>
      <c r="L79" s="184">
        <v>0</v>
      </c>
      <c r="M79" s="184">
        <v>0</v>
      </c>
      <c r="N79" s="184">
        <v>0</v>
      </c>
      <c r="O79" s="184">
        <v>66632.94</v>
      </c>
      <c r="P79" s="184">
        <v>102507.89000000001</v>
      </c>
      <c r="Q79" s="184">
        <v>12096.65</v>
      </c>
      <c r="R79" s="184">
        <v>0</v>
      </c>
      <c r="S79" s="184">
        <v>2945.2</v>
      </c>
      <c r="T79" s="184">
        <v>0</v>
      </c>
      <c r="U79" s="184">
        <v>254</v>
      </c>
      <c r="V79" s="184">
        <v>0</v>
      </c>
      <c r="W79" s="184">
        <v>24031.379999999997</v>
      </c>
      <c r="X79" s="184">
        <v>13716.029999999999</v>
      </c>
      <c r="Y79" s="184">
        <v>29430.78</v>
      </c>
      <c r="Z79" s="184">
        <v>0</v>
      </c>
      <c r="AA79" s="184">
        <v>4566.2</v>
      </c>
      <c r="AB79" s="184">
        <v>9.49</v>
      </c>
      <c r="AC79" s="184">
        <v>209.99</v>
      </c>
      <c r="AD79" s="184">
        <v>0</v>
      </c>
      <c r="AE79" s="184">
        <v>0</v>
      </c>
      <c r="AF79" s="184">
        <v>0</v>
      </c>
      <c r="AG79" s="184">
        <v>262292.51999999996</v>
      </c>
      <c r="AH79" s="184">
        <v>0</v>
      </c>
      <c r="AI79" s="184">
        <v>0</v>
      </c>
      <c r="AJ79" s="184">
        <v>8907.44</v>
      </c>
      <c r="AK79" s="184">
        <v>0</v>
      </c>
      <c r="AL79" s="184">
        <v>0</v>
      </c>
      <c r="AM79" s="184">
        <v>0</v>
      </c>
      <c r="AN79" s="184">
        <v>0</v>
      </c>
      <c r="AO79" s="184">
        <v>0</v>
      </c>
      <c r="AP79" s="184">
        <v>0</v>
      </c>
      <c r="AQ79" s="184">
        <v>0</v>
      </c>
      <c r="AR79" s="184">
        <v>0</v>
      </c>
      <c r="AS79" s="184">
        <v>0</v>
      </c>
      <c r="AT79" s="184">
        <v>0</v>
      </c>
      <c r="AU79" s="184">
        <v>0</v>
      </c>
      <c r="AV79" s="184">
        <v>0</v>
      </c>
      <c r="AW79" s="184">
        <v>0</v>
      </c>
      <c r="AX79" s="243" t="s">
        <v>221</v>
      </c>
      <c r="AY79" s="243" t="s">
        <v>221</v>
      </c>
      <c r="AZ79" s="243" t="s">
        <v>221</v>
      </c>
      <c r="BA79" s="243" t="s">
        <v>221</v>
      </c>
      <c r="BB79" s="184">
        <v>0</v>
      </c>
      <c r="BC79" s="184">
        <v>0</v>
      </c>
      <c r="BD79" s="243" t="s">
        <v>221</v>
      </c>
      <c r="BE79" s="243" t="s">
        <v>221</v>
      </c>
      <c r="BF79" s="243" t="s">
        <v>221</v>
      </c>
      <c r="BG79" s="243" t="s">
        <v>221</v>
      </c>
      <c r="BH79" s="184">
        <v>0</v>
      </c>
      <c r="BI79" s="184">
        <v>0</v>
      </c>
      <c r="BJ79" s="243" t="s">
        <v>221</v>
      </c>
      <c r="BK79" s="184">
        <v>0</v>
      </c>
      <c r="BL79" s="184">
        <v>0</v>
      </c>
      <c r="BM79" s="184">
        <v>0</v>
      </c>
      <c r="BN79" s="243" t="s">
        <v>221</v>
      </c>
      <c r="BO79" s="243" t="s">
        <v>221</v>
      </c>
      <c r="BP79" s="243" t="s">
        <v>221</v>
      </c>
      <c r="BQ79" s="243" t="s">
        <v>221</v>
      </c>
      <c r="BR79" s="243" t="s">
        <v>221</v>
      </c>
      <c r="BS79" s="184">
        <v>0</v>
      </c>
      <c r="BT79" s="184">
        <v>0</v>
      </c>
      <c r="BU79" s="184">
        <v>0</v>
      </c>
      <c r="BV79" s="184">
        <v>0</v>
      </c>
      <c r="BW79" s="184">
        <v>0</v>
      </c>
      <c r="BX79" s="184">
        <v>0</v>
      </c>
      <c r="BY79" s="184">
        <v>0</v>
      </c>
      <c r="BZ79" s="184">
        <v>0</v>
      </c>
      <c r="CA79" s="184">
        <v>0</v>
      </c>
      <c r="CB79" s="184">
        <v>0</v>
      </c>
      <c r="CC79" s="243" t="s">
        <v>221</v>
      </c>
      <c r="CD79" s="243" t="s">
        <v>221</v>
      </c>
      <c r="CE79" s="193">
        <f t="shared" si="8"/>
        <v>945925.54999999981</v>
      </c>
      <c r="CF79" s="193">
        <f>BA59</f>
        <v>0</v>
      </c>
    </row>
    <row r="80" spans="1:84" ht="21" customHeight="1" x14ac:dyDescent="0.25">
      <c r="A80" s="171" t="s">
        <v>252</v>
      </c>
      <c r="B80" s="175"/>
      <c r="C80" s="184">
        <v>19.902682692307692</v>
      </c>
      <c r="D80" s="184">
        <v>0</v>
      </c>
      <c r="E80" s="184">
        <v>83.570149038461537</v>
      </c>
      <c r="F80" s="184">
        <v>0</v>
      </c>
      <c r="G80" s="184">
        <v>1.7427884615384616E-2</v>
      </c>
      <c r="H80" s="184">
        <v>0</v>
      </c>
      <c r="I80" s="184">
        <v>0</v>
      </c>
      <c r="J80" s="184">
        <v>0</v>
      </c>
      <c r="K80" s="184">
        <v>0</v>
      </c>
      <c r="L80" s="184">
        <v>0</v>
      </c>
      <c r="M80" s="184">
        <v>0</v>
      </c>
      <c r="N80" s="184">
        <v>0</v>
      </c>
      <c r="O80" s="184">
        <v>26.422153846153844</v>
      </c>
      <c r="P80" s="184">
        <v>18.341346153846157</v>
      </c>
      <c r="Q80" s="184">
        <v>16.11145192307692</v>
      </c>
      <c r="R80" s="184">
        <v>0</v>
      </c>
      <c r="S80" s="184">
        <v>0</v>
      </c>
      <c r="T80" s="184">
        <v>1.3259711538461538</v>
      </c>
      <c r="U80" s="184">
        <v>0</v>
      </c>
      <c r="V80" s="184">
        <v>0</v>
      </c>
      <c r="W80" s="184">
        <v>0</v>
      </c>
      <c r="X80" s="184">
        <v>0</v>
      </c>
      <c r="Y80" s="184">
        <v>7.163461538461538E-2</v>
      </c>
      <c r="Z80" s="184">
        <v>0</v>
      </c>
      <c r="AA80" s="184">
        <v>0</v>
      </c>
      <c r="AB80" s="184">
        <v>0</v>
      </c>
      <c r="AC80" s="184">
        <v>0</v>
      </c>
      <c r="AD80" s="184">
        <v>1.7181490384615383</v>
      </c>
      <c r="AE80" s="184">
        <v>0</v>
      </c>
      <c r="AF80" s="184">
        <v>0</v>
      </c>
      <c r="AG80" s="184">
        <v>46.381596153846154</v>
      </c>
      <c r="AH80" s="184">
        <v>0</v>
      </c>
      <c r="AI80" s="184">
        <v>0</v>
      </c>
      <c r="AJ80" s="184">
        <v>6.9884615384615385</v>
      </c>
      <c r="AK80" s="184">
        <v>0</v>
      </c>
      <c r="AL80" s="184">
        <v>0</v>
      </c>
      <c r="AM80" s="184">
        <v>0</v>
      </c>
      <c r="AN80" s="184">
        <v>0</v>
      </c>
      <c r="AO80" s="184">
        <v>0</v>
      </c>
      <c r="AP80" s="184">
        <v>0</v>
      </c>
      <c r="AQ80" s="184">
        <v>0</v>
      </c>
      <c r="AR80" s="184">
        <v>11.907475961538463</v>
      </c>
      <c r="AS80" s="184">
        <v>0</v>
      </c>
      <c r="AT80" s="184">
        <v>0</v>
      </c>
      <c r="AU80" s="184">
        <v>0</v>
      </c>
      <c r="AV80" s="184">
        <v>13.835216346153846</v>
      </c>
      <c r="AW80" s="243" t="s">
        <v>221</v>
      </c>
      <c r="AX80" s="243" t="s">
        <v>221</v>
      </c>
      <c r="AY80" s="243" t="s">
        <v>221</v>
      </c>
      <c r="AZ80" s="243" t="s">
        <v>221</v>
      </c>
      <c r="BA80" s="243" t="s">
        <v>221</v>
      </c>
      <c r="BB80" s="243" t="s">
        <v>221</v>
      </c>
      <c r="BC80" s="243" t="s">
        <v>221</v>
      </c>
      <c r="BD80" s="243" t="s">
        <v>221</v>
      </c>
      <c r="BE80" s="243" t="s">
        <v>221</v>
      </c>
      <c r="BF80" s="243" t="s">
        <v>221</v>
      </c>
      <c r="BG80" s="243" t="s">
        <v>221</v>
      </c>
      <c r="BH80" s="243" t="s">
        <v>221</v>
      </c>
      <c r="BI80" s="243" t="s">
        <v>221</v>
      </c>
      <c r="BJ80" s="243" t="s">
        <v>221</v>
      </c>
      <c r="BK80" s="243" t="s">
        <v>221</v>
      </c>
      <c r="BL80" s="243" t="s">
        <v>221</v>
      </c>
      <c r="BM80" s="243" t="s">
        <v>221</v>
      </c>
      <c r="BN80" s="243" t="s">
        <v>221</v>
      </c>
      <c r="BO80" s="243" t="s">
        <v>221</v>
      </c>
      <c r="BP80" s="243" t="s">
        <v>221</v>
      </c>
      <c r="BQ80" s="243" t="s">
        <v>221</v>
      </c>
      <c r="BR80" s="243" t="s">
        <v>221</v>
      </c>
      <c r="BS80" s="243" t="s">
        <v>221</v>
      </c>
      <c r="BT80" s="243" t="s">
        <v>221</v>
      </c>
      <c r="BU80" s="248"/>
      <c r="BV80" s="248"/>
      <c r="BW80" s="248"/>
      <c r="BX80" s="248"/>
      <c r="BY80" s="248"/>
      <c r="BZ80" s="248"/>
      <c r="CA80" s="248"/>
      <c r="CB80" s="248"/>
      <c r="CC80" s="243" t="s">
        <v>221</v>
      </c>
      <c r="CD80" s="243" t="s">
        <v>221</v>
      </c>
      <c r="CE80" s="249">
        <f t="shared" si="8"/>
        <v>246.59371634615385</v>
      </c>
      <c r="CF80" s="249"/>
    </row>
    <row r="81" spans="1:5" ht="12.6" customHeight="1" x14ac:dyDescent="0.25">
      <c r="A81" s="206" t="s">
        <v>253</v>
      </c>
      <c r="B81" s="206"/>
      <c r="C81" s="206"/>
      <c r="D81" s="206"/>
      <c r="E81" s="206"/>
    </row>
    <row r="82" spans="1:5" ht="12.6" customHeight="1" x14ac:dyDescent="0.25">
      <c r="A82" s="171" t="s">
        <v>254</v>
      </c>
      <c r="B82" s="172"/>
      <c r="C82" s="276" t="s">
        <v>1266</v>
      </c>
      <c r="D82" s="250"/>
      <c r="E82" s="175"/>
    </row>
    <row r="83" spans="1:5" ht="12.6" customHeight="1" x14ac:dyDescent="0.25">
      <c r="A83" s="173" t="s">
        <v>255</v>
      </c>
      <c r="B83" s="172" t="s">
        <v>256</v>
      </c>
      <c r="C83" s="221" t="s">
        <v>1270</v>
      </c>
      <c r="D83" s="250"/>
      <c r="E83" s="175"/>
    </row>
    <row r="84" spans="1:5" ht="12.6" customHeight="1" x14ac:dyDescent="0.25">
      <c r="A84" s="173" t="s">
        <v>257</v>
      </c>
      <c r="B84" s="172" t="s">
        <v>256</v>
      </c>
      <c r="C84" s="224" t="s">
        <v>1271</v>
      </c>
      <c r="D84" s="203"/>
      <c r="E84" s="202"/>
    </row>
    <row r="85" spans="1:5" ht="12.6" customHeight="1" x14ac:dyDescent="0.25">
      <c r="A85" s="173" t="s">
        <v>1251</v>
      </c>
      <c r="B85" s="172"/>
      <c r="C85" s="265" t="s">
        <v>1272</v>
      </c>
      <c r="D85" s="203"/>
      <c r="E85" s="202"/>
    </row>
    <row r="86" spans="1:5" ht="12.6" customHeight="1" x14ac:dyDescent="0.25">
      <c r="A86" s="173" t="s">
        <v>1252</v>
      </c>
      <c r="B86" s="172" t="s">
        <v>256</v>
      </c>
      <c r="C86" s="225"/>
      <c r="D86" s="203"/>
      <c r="E86" s="202"/>
    </row>
    <row r="87" spans="1:5" ht="12.6" customHeight="1" x14ac:dyDescent="0.25">
      <c r="A87" s="173" t="s">
        <v>258</v>
      </c>
      <c r="B87" s="172" t="s">
        <v>256</v>
      </c>
      <c r="C87" s="224" t="s">
        <v>1273</v>
      </c>
      <c r="D87" s="203"/>
      <c r="E87" s="202"/>
    </row>
    <row r="88" spans="1:5" ht="12.6" customHeight="1" x14ac:dyDescent="0.25">
      <c r="A88" s="173" t="s">
        <v>259</v>
      </c>
      <c r="B88" s="172" t="s">
        <v>256</v>
      </c>
      <c r="C88" s="224" t="s">
        <v>1265</v>
      </c>
      <c r="D88" s="203"/>
      <c r="E88" s="202"/>
    </row>
    <row r="89" spans="1:5" ht="12.6" customHeight="1" x14ac:dyDescent="0.25">
      <c r="A89" s="173" t="s">
        <v>260</v>
      </c>
      <c r="B89" s="172" t="s">
        <v>256</v>
      </c>
      <c r="C89" s="224" t="s">
        <v>1274</v>
      </c>
      <c r="D89" s="203"/>
      <c r="E89" s="202"/>
    </row>
    <row r="90" spans="1:5" ht="12.6" customHeight="1" x14ac:dyDescent="0.25">
      <c r="A90" s="173" t="s">
        <v>261</v>
      </c>
      <c r="B90" s="172" t="s">
        <v>256</v>
      </c>
      <c r="C90" s="224" t="s">
        <v>1275</v>
      </c>
      <c r="D90" s="203"/>
      <c r="E90" s="202"/>
    </row>
    <row r="91" spans="1:5" ht="12.6" customHeight="1" x14ac:dyDescent="0.25">
      <c r="A91" s="173" t="s">
        <v>262</v>
      </c>
      <c r="B91" s="172" t="s">
        <v>256</v>
      </c>
      <c r="C91" s="224" t="s">
        <v>1269</v>
      </c>
      <c r="D91" s="203"/>
      <c r="E91" s="202"/>
    </row>
    <row r="92" spans="1:5" ht="12.6" customHeight="1" x14ac:dyDescent="0.25">
      <c r="A92" s="173" t="s">
        <v>263</v>
      </c>
      <c r="B92" s="172" t="s">
        <v>256</v>
      </c>
      <c r="C92" s="220" t="s">
        <v>1276</v>
      </c>
      <c r="D92" s="250"/>
      <c r="E92" s="175"/>
    </row>
    <row r="93" spans="1:5" ht="12.6" customHeight="1" x14ac:dyDescent="0.25">
      <c r="A93" s="173" t="s">
        <v>264</v>
      </c>
      <c r="B93" s="172" t="s">
        <v>256</v>
      </c>
      <c r="C93" s="264" t="s">
        <v>1277</v>
      </c>
      <c r="D93" s="250"/>
      <c r="E93" s="175"/>
    </row>
    <row r="94" spans="1:5" ht="12.6" customHeight="1" x14ac:dyDescent="0.25">
      <c r="A94" s="173"/>
      <c r="B94" s="173"/>
      <c r="C94" s="189"/>
      <c r="D94" s="175"/>
      <c r="E94" s="175"/>
    </row>
    <row r="95" spans="1:5" ht="12.6" customHeight="1" x14ac:dyDescent="0.25">
      <c r="A95" s="206" t="s">
        <v>265</v>
      </c>
      <c r="B95" s="206"/>
      <c r="C95" s="206"/>
      <c r="D95" s="206"/>
      <c r="E95" s="206"/>
    </row>
    <row r="96" spans="1:5" ht="12.6" customHeight="1" x14ac:dyDescent="0.25">
      <c r="A96" s="251" t="s">
        <v>266</v>
      </c>
      <c r="B96" s="251"/>
      <c r="C96" s="251"/>
      <c r="D96" s="251"/>
      <c r="E96" s="251"/>
    </row>
    <row r="97" spans="1:5" ht="12.6" customHeight="1" x14ac:dyDescent="0.25">
      <c r="A97" s="173" t="s">
        <v>267</v>
      </c>
      <c r="B97" s="172" t="s">
        <v>256</v>
      </c>
      <c r="C97" s="187"/>
      <c r="D97" s="175"/>
      <c r="E97" s="175"/>
    </row>
    <row r="98" spans="1:5" ht="12.6" customHeight="1" x14ac:dyDescent="0.25">
      <c r="A98" s="173" t="s">
        <v>259</v>
      </c>
      <c r="B98" s="172" t="s">
        <v>256</v>
      </c>
      <c r="C98" s="187"/>
      <c r="D98" s="175"/>
      <c r="E98" s="175"/>
    </row>
    <row r="99" spans="1:5" ht="12.6" customHeight="1" x14ac:dyDescent="0.25">
      <c r="A99" s="173" t="s">
        <v>268</v>
      </c>
      <c r="B99" s="172" t="s">
        <v>256</v>
      </c>
      <c r="C99" s="187"/>
      <c r="D99" s="175"/>
      <c r="E99" s="175"/>
    </row>
    <row r="100" spans="1:5" ht="12.6" customHeight="1" x14ac:dyDescent="0.25">
      <c r="A100" s="251" t="s">
        <v>269</v>
      </c>
      <c r="B100" s="251"/>
      <c r="C100" s="251"/>
      <c r="D100" s="251"/>
      <c r="E100" s="251"/>
    </row>
    <row r="101" spans="1:5" ht="12.6" customHeight="1" x14ac:dyDescent="0.25">
      <c r="A101" s="173" t="s">
        <v>270</v>
      </c>
      <c r="B101" s="172" t="s">
        <v>256</v>
      </c>
      <c r="C101" s="187"/>
      <c r="D101" s="175"/>
      <c r="E101" s="175"/>
    </row>
    <row r="102" spans="1:5" ht="12.6" customHeight="1" x14ac:dyDescent="0.25">
      <c r="A102" s="173" t="s">
        <v>132</v>
      </c>
      <c r="B102" s="172" t="s">
        <v>256</v>
      </c>
      <c r="C102" s="219">
        <v>1</v>
      </c>
      <c r="D102" s="175"/>
      <c r="E102" s="175"/>
    </row>
    <row r="103" spans="1:5" ht="12.6" customHeight="1" x14ac:dyDescent="0.25">
      <c r="A103" s="251" t="s">
        <v>271</v>
      </c>
      <c r="B103" s="251"/>
      <c r="C103" s="251"/>
      <c r="D103" s="251"/>
      <c r="E103" s="251"/>
    </row>
    <row r="104" spans="1:5" ht="12.6" customHeight="1" x14ac:dyDescent="0.25">
      <c r="A104" s="173" t="s">
        <v>272</v>
      </c>
      <c r="B104" s="172" t="s">
        <v>256</v>
      </c>
      <c r="C104" s="187"/>
      <c r="D104" s="175"/>
      <c r="E104" s="175"/>
    </row>
    <row r="105" spans="1:5" ht="12.6" customHeight="1" x14ac:dyDescent="0.25">
      <c r="A105" s="173" t="s">
        <v>273</v>
      </c>
      <c r="B105" s="172" t="s">
        <v>256</v>
      </c>
      <c r="C105" s="187"/>
      <c r="D105" s="175"/>
      <c r="E105" s="175"/>
    </row>
    <row r="106" spans="1:5" ht="12.6" customHeight="1" x14ac:dyDescent="0.25">
      <c r="A106" s="173" t="s">
        <v>274</v>
      </c>
      <c r="B106" s="172" t="s">
        <v>256</v>
      </c>
      <c r="C106" s="187"/>
      <c r="D106" s="175"/>
      <c r="E106" s="175"/>
    </row>
    <row r="107" spans="1:5" ht="21.75" customHeight="1" x14ac:dyDescent="0.25">
      <c r="A107" s="173"/>
      <c r="B107" s="172"/>
      <c r="C107" s="188"/>
      <c r="D107" s="175"/>
      <c r="E107" s="175"/>
    </row>
    <row r="108" spans="1:5" ht="13.5" customHeight="1" x14ac:dyDescent="0.25">
      <c r="A108" s="205" t="s">
        <v>275</v>
      </c>
      <c r="B108" s="206"/>
      <c r="C108" s="206"/>
      <c r="D108" s="206"/>
      <c r="E108" s="206"/>
    </row>
    <row r="109" spans="1:5" ht="13.5" customHeight="1" x14ac:dyDescent="0.25">
      <c r="A109" s="173"/>
      <c r="B109" s="172"/>
      <c r="C109" s="188"/>
      <c r="D109" s="175"/>
      <c r="E109" s="175"/>
    </row>
    <row r="110" spans="1:5" ht="12.6" customHeight="1" x14ac:dyDescent="0.25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" customHeight="1" x14ac:dyDescent="0.25">
      <c r="A111" s="173" t="s">
        <v>278</v>
      </c>
      <c r="B111" s="172" t="s">
        <v>256</v>
      </c>
      <c r="C111" s="187">
        <v>6923</v>
      </c>
      <c r="D111" s="174">
        <v>31377</v>
      </c>
      <c r="E111" s="175"/>
    </row>
    <row r="112" spans="1:5" ht="12.6" customHeight="1" x14ac:dyDescent="0.25">
      <c r="A112" s="173" t="s">
        <v>279</v>
      </c>
      <c r="B112" s="172" t="s">
        <v>256</v>
      </c>
      <c r="C112" s="187"/>
      <c r="D112" s="174"/>
      <c r="E112" s="175"/>
    </row>
    <row r="113" spans="1:5" ht="12.6" customHeight="1" x14ac:dyDescent="0.25">
      <c r="A113" s="173" t="s">
        <v>280</v>
      </c>
      <c r="B113" s="172" t="s">
        <v>256</v>
      </c>
      <c r="C113" s="187"/>
      <c r="D113" s="174"/>
      <c r="E113" s="175"/>
    </row>
    <row r="114" spans="1:5" ht="12.6" customHeight="1" x14ac:dyDescent="0.25">
      <c r="A114" s="173" t="s">
        <v>281</v>
      </c>
      <c r="B114" s="172" t="s">
        <v>256</v>
      </c>
      <c r="C114" s="187">
        <v>962</v>
      </c>
      <c r="D114" s="174">
        <v>1661</v>
      </c>
      <c r="E114" s="175"/>
    </row>
    <row r="115" spans="1:5" ht="12.6" customHeight="1" x14ac:dyDescent="0.25">
      <c r="A115" s="171" t="s">
        <v>282</v>
      </c>
      <c r="B115" s="175"/>
      <c r="C115" s="182" t="s">
        <v>167</v>
      </c>
      <c r="D115" s="175"/>
      <c r="E115" s="175"/>
    </row>
    <row r="116" spans="1:5" ht="12.6" customHeight="1" x14ac:dyDescent="0.25">
      <c r="A116" s="173" t="s">
        <v>283</v>
      </c>
      <c r="B116" s="172" t="s">
        <v>256</v>
      </c>
      <c r="C116" s="187">
        <v>34</v>
      </c>
      <c r="D116" s="175"/>
      <c r="E116" s="175"/>
    </row>
    <row r="117" spans="1:5" ht="12.6" customHeight="1" x14ac:dyDescent="0.25">
      <c r="A117" s="173" t="s">
        <v>284</v>
      </c>
      <c r="B117" s="172" t="s">
        <v>256</v>
      </c>
      <c r="C117" s="187">
        <v>32</v>
      </c>
      <c r="D117" s="175"/>
      <c r="E117" s="175"/>
    </row>
    <row r="118" spans="1:5" ht="12.6" customHeight="1" x14ac:dyDescent="0.25">
      <c r="A118" s="173" t="s">
        <v>1239</v>
      </c>
      <c r="B118" s="172" t="s">
        <v>256</v>
      </c>
      <c r="C118" s="187">
        <v>37</v>
      </c>
      <c r="D118" s="175"/>
      <c r="E118" s="175"/>
    </row>
    <row r="119" spans="1:5" ht="12.6" customHeight="1" x14ac:dyDescent="0.25">
      <c r="A119" s="173" t="s">
        <v>285</v>
      </c>
      <c r="B119" s="172" t="s">
        <v>256</v>
      </c>
      <c r="C119" s="187"/>
      <c r="D119" s="175"/>
      <c r="E119" s="175"/>
    </row>
    <row r="120" spans="1:5" ht="12.6" customHeight="1" x14ac:dyDescent="0.25">
      <c r="A120" s="173" t="s">
        <v>286</v>
      </c>
      <c r="B120" s="172" t="s">
        <v>256</v>
      </c>
      <c r="C120" s="187">
        <v>21</v>
      </c>
      <c r="D120" s="175"/>
      <c r="E120" s="175"/>
    </row>
    <row r="121" spans="1:5" ht="12.6" customHeight="1" x14ac:dyDescent="0.25">
      <c r="A121" s="173" t="s">
        <v>287</v>
      </c>
      <c r="B121" s="172" t="s">
        <v>256</v>
      </c>
      <c r="C121" s="187"/>
      <c r="D121" s="175"/>
      <c r="E121" s="175"/>
    </row>
    <row r="122" spans="1:5" ht="12.6" customHeight="1" x14ac:dyDescent="0.25">
      <c r="A122" s="173" t="s">
        <v>97</v>
      </c>
      <c r="B122" s="172" t="s">
        <v>256</v>
      </c>
      <c r="C122" s="187"/>
      <c r="D122" s="175"/>
      <c r="E122" s="175"/>
    </row>
    <row r="123" spans="1:5" ht="12.6" customHeight="1" x14ac:dyDescent="0.25">
      <c r="A123" s="173" t="s">
        <v>288</v>
      </c>
      <c r="B123" s="172" t="s">
        <v>256</v>
      </c>
      <c r="C123" s="187"/>
      <c r="D123" s="175"/>
      <c r="E123" s="175"/>
    </row>
    <row r="124" spans="1:5" ht="12.6" customHeight="1" x14ac:dyDescent="0.25">
      <c r="A124" s="173" t="s">
        <v>289</v>
      </c>
      <c r="B124" s="172"/>
      <c r="C124" s="187"/>
      <c r="D124" s="175"/>
      <c r="E124" s="175"/>
    </row>
    <row r="125" spans="1:5" ht="12.6" customHeight="1" x14ac:dyDescent="0.25">
      <c r="A125" s="173" t="s">
        <v>280</v>
      </c>
      <c r="B125" s="172" t="s">
        <v>256</v>
      </c>
      <c r="C125" s="187"/>
      <c r="D125" s="175"/>
      <c r="E125" s="175"/>
    </row>
    <row r="126" spans="1:5" ht="12.6" customHeight="1" x14ac:dyDescent="0.25">
      <c r="A126" s="173" t="s">
        <v>290</v>
      </c>
      <c r="B126" s="172" t="s">
        <v>256</v>
      </c>
      <c r="C126" s="187">
        <v>5</v>
      </c>
      <c r="D126" s="175"/>
      <c r="E126" s="175"/>
    </row>
    <row r="127" spans="1:5" ht="12.6" customHeight="1" x14ac:dyDescent="0.25">
      <c r="A127" s="173" t="s">
        <v>291</v>
      </c>
      <c r="B127" s="175"/>
      <c r="C127" s="189"/>
      <c r="D127" s="175"/>
      <c r="E127" s="175">
        <f>SUM(C116:C126)</f>
        <v>129</v>
      </c>
    </row>
    <row r="128" spans="1:5" ht="12.6" customHeight="1" x14ac:dyDescent="0.25">
      <c r="A128" s="173" t="s">
        <v>292</v>
      </c>
      <c r="B128" s="172" t="s">
        <v>256</v>
      </c>
      <c r="C128" s="187">
        <v>133</v>
      </c>
      <c r="D128" s="175"/>
      <c r="E128" s="175"/>
    </row>
    <row r="129" spans="1:6" ht="12.6" customHeight="1" x14ac:dyDescent="0.25">
      <c r="A129" s="173" t="s">
        <v>293</v>
      </c>
      <c r="B129" s="172" t="s">
        <v>256</v>
      </c>
      <c r="C129" s="187">
        <v>5</v>
      </c>
      <c r="D129" s="175"/>
      <c r="E129" s="175"/>
    </row>
    <row r="130" spans="1:6" ht="12.6" customHeight="1" x14ac:dyDescent="0.25">
      <c r="A130" s="173"/>
      <c r="B130" s="175"/>
      <c r="C130" s="189"/>
      <c r="D130" s="175"/>
      <c r="E130" s="175"/>
    </row>
    <row r="131" spans="1:6" ht="12.6" customHeight="1" x14ac:dyDescent="0.25">
      <c r="A131" s="173" t="s">
        <v>294</v>
      </c>
      <c r="B131" s="172" t="s">
        <v>256</v>
      </c>
      <c r="C131" s="187"/>
      <c r="D131" s="175"/>
      <c r="E131" s="175"/>
    </row>
    <row r="132" spans="1:6" ht="12.6" customHeight="1" x14ac:dyDescent="0.25">
      <c r="A132" s="173"/>
      <c r="B132" s="173"/>
      <c r="C132" s="189"/>
      <c r="D132" s="175"/>
      <c r="E132" s="175"/>
    </row>
    <row r="133" spans="1:6" ht="12.6" customHeight="1" x14ac:dyDescent="0.25">
      <c r="A133" s="173"/>
      <c r="B133" s="173"/>
      <c r="C133" s="189"/>
      <c r="D133" s="175"/>
      <c r="E133" s="175"/>
    </row>
    <row r="134" spans="1:6" ht="12.6" customHeight="1" x14ac:dyDescent="0.25">
      <c r="A134" s="173"/>
      <c r="B134" s="173"/>
      <c r="C134" s="189"/>
      <c r="D134" s="175"/>
      <c r="E134" s="175"/>
    </row>
    <row r="135" spans="1:6" ht="18" customHeight="1" x14ac:dyDescent="0.25">
      <c r="A135" s="173"/>
      <c r="B135" s="173"/>
      <c r="C135" s="189"/>
      <c r="D135" s="175"/>
      <c r="E135" s="175"/>
    </row>
    <row r="136" spans="1:6" ht="12.6" customHeight="1" x14ac:dyDescent="0.25">
      <c r="A136" s="206" t="s">
        <v>1240</v>
      </c>
      <c r="B136" s="205"/>
      <c r="C136" s="205"/>
      <c r="D136" s="205"/>
      <c r="E136" s="205"/>
    </row>
    <row r="137" spans="1:6" ht="12.6" customHeight="1" x14ac:dyDescent="0.25">
      <c r="A137" s="252" t="s">
        <v>295</v>
      </c>
      <c r="B137" s="176" t="s">
        <v>296</v>
      </c>
      <c r="C137" s="190" t="s">
        <v>297</v>
      </c>
      <c r="D137" s="176" t="s">
        <v>132</v>
      </c>
      <c r="E137" s="176" t="s">
        <v>203</v>
      </c>
    </row>
    <row r="138" spans="1:6" ht="12.6" customHeight="1" x14ac:dyDescent="0.25">
      <c r="A138" s="173" t="s">
        <v>277</v>
      </c>
      <c r="B138" s="174">
        <v>3154</v>
      </c>
      <c r="C138" s="187">
        <v>1946</v>
      </c>
      <c r="D138" s="174">
        <f>6923-B138-C138</f>
        <v>1823</v>
      </c>
      <c r="E138" s="175">
        <f>SUM(B138:D138)</f>
        <v>6923</v>
      </c>
    </row>
    <row r="139" spans="1:6" ht="12.6" customHeight="1" x14ac:dyDescent="0.25">
      <c r="A139" s="173" t="s">
        <v>215</v>
      </c>
      <c r="B139" s="174">
        <v>16503</v>
      </c>
      <c r="C139" s="187">
        <v>8289</v>
      </c>
      <c r="D139" s="174">
        <f>31377-B139-C139</f>
        <v>6585</v>
      </c>
      <c r="E139" s="175">
        <f>SUM(B139:D139)</f>
        <v>31377</v>
      </c>
    </row>
    <row r="140" spans="1:6" ht="12.6" customHeight="1" x14ac:dyDescent="0.25">
      <c r="A140" s="173" t="s">
        <v>298</v>
      </c>
      <c r="B140" s="174"/>
      <c r="C140" s="174"/>
      <c r="D140" s="174"/>
      <c r="E140" s="175">
        <f>SUM(B140:D140)</f>
        <v>0</v>
      </c>
    </row>
    <row r="141" spans="1:6" ht="12.6" customHeight="1" x14ac:dyDescent="0.25">
      <c r="A141" s="173" t="s">
        <v>245</v>
      </c>
      <c r="B141" s="174">
        <v>218910574.80000001</v>
      </c>
      <c r="C141" s="187">
        <v>103483812.54000001</v>
      </c>
      <c r="D141" s="174">
        <f>422375540.23-B141-C141</f>
        <v>99981152.890000001</v>
      </c>
      <c r="E141" s="175">
        <f>SUM(B141:D141)</f>
        <v>422375540.23000002</v>
      </c>
      <c r="F141" s="197"/>
    </row>
    <row r="142" spans="1:6" ht="12.6" customHeight="1" x14ac:dyDescent="0.25">
      <c r="A142" s="173" t="s">
        <v>246</v>
      </c>
      <c r="B142" s="174">
        <f>167350592.51+0+27036+349113.65</f>
        <v>167726742.16</v>
      </c>
      <c r="C142" s="187">
        <f>133537243.52+0+35269.44+3302.24</f>
        <v>133575815.19999999</v>
      </c>
      <c r="D142" s="174">
        <f>491503848.58+0+84471.88+399355.33-B142-C142</f>
        <v>190685118.43000001</v>
      </c>
      <c r="E142" s="175">
        <f>SUM(B142:D142)</f>
        <v>491987675.79000002</v>
      </c>
      <c r="F142" s="197"/>
    </row>
    <row r="143" spans="1:6" ht="12.6" customHeight="1" x14ac:dyDescent="0.25">
      <c r="A143" s="252" t="s">
        <v>299</v>
      </c>
      <c r="B143" s="176" t="s">
        <v>296</v>
      </c>
      <c r="C143" s="190" t="s">
        <v>297</v>
      </c>
      <c r="D143" s="176" t="s">
        <v>132</v>
      </c>
      <c r="E143" s="176" t="s">
        <v>203</v>
      </c>
    </row>
    <row r="144" spans="1:6" ht="12.6" customHeight="1" x14ac:dyDescent="0.25">
      <c r="A144" s="173" t="s">
        <v>277</v>
      </c>
      <c r="B144" s="174"/>
      <c r="C144" s="187"/>
      <c r="D144" s="174"/>
      <c r="E144" s="175">
        <f>SUM(B144:D144)</f>
        <v>0</v>
      </c>
    </row>
    <row r="145" spans="1:5" ht="12.6" customHeight="1" x14ac:dyDescent="0.25">
      <c r="A145" s="173" t="s">
        <v>215</v>
      </c>
      <c r="B145" s="174"/>
      <c r="C145" s="187"/>
      <c r="D145" s="174"/>
      <c r="E145" s="175">
        <f>SUM(B145:D145)</f>
        <v>0</v>
      </c>
    </row>
    <row r="146" spans="1:5" ht="12.6" customHeight="1" x14ac:dyDescent="0.25">
      <c r="A146" s="173" t="s">
        <v>298</v>
      </c>
      <c r="B146" s="174"/>
      <c r="C146" s="187"/>
      <c r="D146" s="174"/>
      <c r="E146" s="175">
        <f>SUM(B146:D146)</f>
        <v>0</v>
      </c>
    </row>
    <row r="147" spans="1:5" ht="12.6" customHeight="1" x14ac:dyDescent="0.25">
      <c r="A147" s="173" t="s">
        <v>245</v>
      </c>
      <c r="B147" s="174"/>
      <c r="C147" s="187"/>
      <c r="D147" s="174"/>
      <c r="E147" s="175">
        <f>SUM(B147:D147)</f>
        <v>0</v>
      </c>
    </row>
    <row r="148" spans="1:5" ht="12.6" customHeight="1" x14ac:dyDescent="0.25">
      <c r="A148" s="173" t="s">
        <v>246</v>
      </c>
      <c r="B148" s="174"/>
      <c r="C148" s="187"/>
      <c r="D148" s="174"/>
      <c r="E148" s="175">
        <f>SUM(B148:D148)</f>
        <v>0</v>
      </c>
    </row>
    <row r="149" spans="1:5" ht="12.6" customHeight="1" x14ac:dyDescent="0.25">
      <c r="A149" s="252" t="s">
        <v>300</v>
      </c>
      <c r="B149" s="176" t="s">
        <v>296</v>
      </c>
      <c r="C149" s="190" t="s">
        <v>297</v>
      </c>
      <c r="D149" s="176" t="s">
        <v>132</v>
      </c>
      <c r="E149" s="176" t="s">
        <v>203</v>
      </c>
    </row>
    <row r="150" spans="1:5" ht="12.6" customHeight="1" x14ac:dyDescent="0.25">
      <c r="A150" s="173" t="s">
        <v>277</v>
      </c>
      <c r="B150" s="174"/>
      <c r="C150" s="187"/>
      <c r="D150" s="174"/>
      <c r="E150" s="175">
        <f>SUM(B150:D150)</f>
        <v>0</v>
      </c>
    </row>
    <row r="151" spans="1:5" ht="12.6" customHeight="1" x14ac:dyDescent="0.25">
      <c r="A151" s="173" t="s">
        <v>215</v>
      </c>
      <c r="B151" s="174"/>
      <c r="C151" s="187"/>
      <c r="D151" s="174"/>
      <c r="E151" s="175">
        <f>SUM(B151:D151)</f>
        <v>0</v>
      </c>
    </row>
    <row r="152" spans="1:5" ht="12.6" customHeight="1" x14ac:dyDescent="0.25">
      <c r="A152" s="173" t="s">
        <v>298</v>
      </c>
      <c r="B152" s="174"/>
      <c r="C152" s="187"/>
      <c r="D152" s="174"/>
      <c r="E152" s="175">
        <f>SUM(B152:D152)</f>
        <v>0</v>
      </c>
    </row>
    <row r="153" spans="1:5" ht="12.6" customHeight="1" x14ac:dyDescent="0.25">
      <c r="A153" s="173" t="s">
        <v>245</v>
      </c>
      <c r="B153" s="174"/>
      <c r="C153" s="187"/>
      <c r="D153" s="174"/>
      <c r="E153" s="175">
        <f>SUM(B153:D153)</f>
        <v>0</v>
      </c>
    </row>
    <row r="154" spans="1:5" ht="12.6" customHeight="1" x14ac:dyDescent="0.25">
      <c r="A154" s="173" t="s">
        <v>246</v>
      </c>
      <c r="B154" s="174"/>
      <c r="C154" s="187"/>
      <c r="D154" s="174"/>
      <c r="E154" s="175">
        <f>SUM(B154:D154)</f>
        <v>0</v>
      </c>
    </row>
    <row r="155" spans="1:5" ht="12.6" customHeight="1" x14ac:dyDescent="0.25">
      <c r="A155" s="177"/>
      <c r="B155" s="177"/>
      <c r="C155" s="191"/>
      <c r="D155" s="178"/>
      <c r="E155" s="175"/>
    </row>
    <row r="156" spans="1:5" ht="12.6" customHeight="1" x14ac:dyDescent="0.25">
      <c r="A156" s="252" t="s">
        <v>301</v>
      </c>
      <c r="B156" s="176" t="s">
        <v>302</v>
      </c>
      <c r="C156" s="190" t="s">
        <v>303</v>
      </c>
      <c r="D156" s="175"/>
      <c r="E156" s="175"/>
    </row>
    <row r="157" spans="1:5" ht="12.6" customHeight="1" x14ac:dyDescent="0.25">
      <c r="A157" s="177" t="s">
        <v>304</v>
      </c>
      <c r="B157" s="174"/>
      <c r="C157" s="174"/>
      <c r="D157" s="175"/>
      <c r="E157" s="175"/>
    </row>
    <row r="158" spans="1:5" ht="12.6" customHeight="1" x14ac:dyDescent="0.25">
      <c r="A158" s="177"/>
      <c r="B158" s="178"/>
      <c r="C158" s="191"/>
      <c r="D158" s="175"/>
      <c r="E158" s="175"/>
    </row>
    <row r="159" spans="1:5" ht="12.6" customHeight="1" x14ac:dyDescent="0.25">
      <c r="A159" s="177"/>
      <c r="B159" s="177"/>
      <c r="C159" s="191"/>
      <c r="D159" s="178"/>
      <c r="E159" s="175"/>
    </row>
    <row r="160" spans="1:5" ht="12.6" customHeight="1" x14ac:dyDescent="0.25">
      <c r="A160" s="177"/>
      <c r="B160" s="177"/>
      <c r="C160" s="191"/>
      <c r="D160" s="178"/>
      <c r="E160" s="175"/>
    </row>
    <row r="161" spans="1:5" ht="12.6" customHeight="1" x14ac:dyDescent="0.25">
      <c r="A161" s="177"/>
      <c r="B161" s="177"/>
      <c r="C161" s="191"/>
      <c r="D161" s="178"/>
      <c r="E161" s="175"/>
    </row>
    <row r="162" spans="1:5" ht="21.75" customHeight="1" x14ac:dyDescent="0.25">
      <c r="A162" s="177"/>
      <c r="B162" s="177"/>
      <c r="C162" s="191"/>
      <c r="D162" s="178"/>
      <c r="E162" s="175"/>
    </row>
    <row r="163" spans="1:5" ht="11.4" customHeight="1" x14ac:dyDescent="0.25">
      <c r="A163" s="205" t="s">
        <v>305</v>
      </c>
      <c r="B163" s="206"/>
      <c r="C163" s="206"/>
      <c r="D163" s="206"/>
      <c r="E163" s="206"/>
    </row>
    <row r="164" spans="1:5" ht="11.4" customHeight="1" x14ac:dyDescent="0.25">
      <c r="A164" s="251" t="s">
        <v>306</v>
      </c>
      <c r="B164" s="251"/>
      <c r="C164" s="251"/>
      <c r="D164" s="251"/>
      <c r="E164" s="251"/>
    </row>
    <row r="165" spans="1:5" ht="11.4" customHeight="1" x14ac:dyDescent="0.25">
      <c r="A165" s="173" t="s">
        <v>307</v>
      </c>
      <c r="B165" s="172" t="s">
        <v>256</v>
      </c>
      <c r="C165" s="187">
        <v>4229281.1900000004</v>
      </c>
      <c r="D165" s="175"/>
      <c r="E165" s="175"/>
    </row>
    <row r="166" spans="1:5" ht="11.4" customHeight="1" x14ac:dyDescent="0.25">
      <c r="A166" s="173" t="s">
        <v>308</v>
      </c>
      <c r="B166" s="172" t="s">
        <v>256</v>
      </c>
      <c r="C166" s="187">
        <v>130151.31</v>
      </c>
      <c r="D166" s="175"/>
      <c r="E166" s="175"/>
    </row>
    <row r="167" spans="1:5" ht="11.4" customHeight="1" x14ac:dyDescent="0.25">
      <c r="A167" s="177" t="s">
        <v>309</v>
      </c>
      <c r="B167" s="172" t="s">
        <v>256</v>
      </c>
      <c r="C167" s="187">
        <v>1180263.96</v>
      </c>
      <c r="D167" s="175"/>
      <c r="E167" s="175"/>
    </row>
    <row r="168" spans="1:5" ht="11.4" customHeight="1" x14ac:dyDescent="0.25">
      <c r="A168" s="173" t="s">
        <v>310</v>
      </c>
      <c r="B168" s="172" t="s">
        <v>256</v>
      </c>
      <c r="C168" s="187">
        <f>8863318.88-851080.45+465790.16-230722.66+60323.48-60294.01</f>
        <v>8247335.4000000004</v>
      </c>
      <c r="D168" s="175"/>
      <c r="E168" s="175"/>
    </row>
    <row r="169" spans="1:5" ht="11.4" customHeight="1" x14ac:dyDescent="0.25">
      <c r="A169" s="173" t="s">
        <v>311</v>
      </c>
      <c r="B169" s="172" t="s">
        <v>256</v>
      </c>
      <c r="C169" s="187">
        <f>115719.31-85415.5</f>
        <v>30303.809999999998</v>
      </c>
      <c r="D169" s="175"/>
      <c r="E169" s="175"/>
    </row>
    <row r="170" spans="1:5" ht="11.4" customHeight="1" x14ac:dyDescent="0.25">
      <c r="A170" s="173" t="s">
        <v>312</v>
      </c>
      <c r="B170" s="172" t="s">
        <v>256</v>
      </c>
      <c r="C170" s="187">
        <f>586194.96+366342.28+2211700.5</f>
        <v>3164237.74</v>
      </c>
      <c r="D170" s="175"/>
      <c r="E170" s="175"/>
    </row>
    <row r="171" spans="1:5" ht="11.4" customHeight="1" x14ac:dyDescent="0.25">
      <c r="A171" s="173" t="s">
        <v>313</v>
      </c>
      <c r="B171" s="172" t="s">
        <v>256</v>
      </c>
      <c r="C171" s="187">
        <f>17375838.8-SUM(C165:C170)</f>
        <v>394265.3900000006</v>
      </c>
      <c r="D171" s="175"/>
      <c r="E171" s="175"/>
    </row>
    <row r="172" spans="1:5" ht="11.4" customHeight="1" x14ac:dyDescent="0.25">
      <c r="A172" s="173" t="s">
        <v>313</v>
      </c>
      <c r="B172" s="172" t="s">
        <v>256</v>
      </c>
      <c r="C172" s="187"/>
      <c r="D172" s="175"/>
      <c r="E172" s="175"/>
    </row>
    <row r="173" spans="1:5" ht="11.4" customHeight="1" x14ac:dyDescent="0.25">
      <c r="A173" s="173" t="s">
        <v>203</v>
      </c>
      <c r="B173" s="175"/>
      <c r="C173" s="189"/>
      <c r="D173" s="175">
        <f>SUM(C165:C172)</f>
        <v>17375838.800000001</v>
      </c>
      <c r="E173" s="175"/>
    </row>
    <row r="174" spans="1:5" ht="11.4" customHeight="1" x14ac:dyDescent="0.25">
      <c r="A174" s="251" t="s">
        <v>314</v>
      </c>
      <c r="B174" s="251"/>
      <c r="C174" s="251"/>
      <c r="D174" s="251"/>
      <c r="E174" s="251"/>
    </row>
    <row r="175" spans="1:5" ht="11.4" customHeight="1" x14ac:dyDescent="0.25">
      <c r="A175" s="173" t="s">
        <v>315</v>
      </c>
      <c r="B175" s="172" t="s">
        <v>256</v>
      </c>
      <c r="C175" s="187">
        <f>1293252.16+5422.78</f>
        <v>1298674.94</v>
      </c>
      <c r="D175" s="175"/>
      <c r="E175" s="175"/>
    </row>
    <row r="176" spans="1:5" ht="11.4" customHeight="1" x14ac:dyDescent="0.25">
      <c r="A176" s="173" t="s">
        <v>316</v>
      </c>
      <c r="B176" s="172" t="s">
        <v>256</v>
      </c>
      <c r="C176" s="187">
        <f>479954.23+183475.48</f>
        <v>663429.71</v>
      </c>
      <c r="D176" s="175"/>
      <c r="E176" s="175"/>
    </row>
    <row r="177" spans="1:5" ht="11.4" customHeight="1" x14ac:dyDescent="0.25">
      <c r="A177" s="173" t="s">
        <v>203</v>
      </c>
      <c r="B177" s="175"/>
      <c r="C177" s="189"/>
      <c r="D177" s="175">
        <f>SUM(C175:C176)</f>
        <v>1962104.65</v>
      </c>
      <c r="E177" s="175"/>
    </row>
    <row r="178" spans="1:5" ht="11.4" customHeight="1" x14ac:dyDescent="0.25">
      <c r="A178" s="251" t="s">
        <v>317</v>
      </c>
      <c r="B178" s="251"/>
      <c r="C178" s="251"/>
      <c r="D178" s="251"/>
      <c r="E178" s="251"/>
    </row>
    <row r="179" spans="1:5" ht="11.4" customHeight="1" x14ac:dyDescent="0.25">
      <c r="A179" s="173" t="s">
        <v>318</v>
      </c>
      <c r="B179" s="172" t="s">
        <v>256</v>
      </c>
      <c r="C179" s="187">
        <f>1592423.05-89977</f>
        <v>1502446.05</v>
      </c>
      <c r="D179" s="175"/>
      <c r="E179" s="175"/>
    </row>
    <row r="180" spans="1:5" ht="11.4" customHeight="1" x14ac:dyDescent="0.25">
      <c r="A180" s="173" t="s">
        <v>319</v>
      </c>
      <c r="B180" s="172" t="s">
        <v>256</v>
      </c>
      <c r="C180" s="187">
        <v>310460.78000000003</v>
      </c>
      <c r="D180" s="175"/>
      <c r="E180" s="175"/>
    </row>
    <row r="181" spans="1:5" ht="11.4" customHeight="1" x14ac:dyDescent="0.25">
      <c r="A181" s="173" t="s">
        <v>203</v>
      </c>
      <c r="B181" s="175"/>
      <c r="C181" s="189"/>
      <c r="D181" s="175">
        <f>SUM(C179:C180)</f>
        <v>1812906.83</v>
      </c>
      <c r="E181" s="175"/>
    </row>
    <row r="182" spans="1:5" ht="11.4" customHeight="1" x14ac:dyDescent="0.25">
      <c r="A182" s="251" t="s">
        <v>320</v>
      </c>
      <c r="B182" s="251"/>
      <c r="C182" s="251"/>
      <c r="D182" s="251"/>
      <c r="E182" s="251"/>
    </row>
    <row r="183" spans="1:5" ht="11.4" customHeight="1" x14ac:dyDescent="0.25">
      <c r="A183" s="173" t="s">
        <v>321</v>
      </c>
      <c r="B183" s="172" t="s">
        <v>256</v>
      </c>
      <c r="C183" s="187">
        <v>30059.89</v>
      </c>
      <c r="D183" s="175"/>
      <c r="E183" s="175"/>
    </row>
    <row r="184" spans="1:5" ht="11.4" customHeight="1" x14ac:dyDescent="0.25">
      <c r="A184" s="173" t="s">
        <v>322</v>
      </c>
      <c r="B184" s="172" t="s">
        <v>256</v>
      </c>
      <c r="C184" s="187">
        <v>6104569.5999999996</v>
      </c>
      <c r="D184" s="175"/>
      <c r="E184" s="175"/>
    </row>
    <row r="185" spans="1:5" ht="11.4" customHeight="1" x14ac:dyDescent="0.25">
      <c r="A185" s="173" t="s">
        <v>132</v>
      </c>
      <c r="B185" s="172" t="s">
        <v>256</v>
      </c>
      <c r="C185" s="187"/>
      <c r="D185" s="175"/>
      <c r="E185" s="175"/>
    </row>
    <row r="186" spans="1:5" ht="11.4" customHeight="1" x14ac:dyDescent="0.25">
      <c r="A186" s="173" t="s">
        <v>203</v>
      </c>
      <c r="B186" s="175"/>
      <c r="C186" s="189"/>
      <c r="D186" s="175">
        <f>SUM(C183:C185)</f>
        <v>6134629.4899999993</v>
      </c>
      <c r="E186" s="175"/>
    </row>
    <row r="187" spans="1:5" ht="11.4" customHeight="1" x14ac:dyDescent="0.25">
      <c r="A187" s="251" t="s">
        <v>323</v>
      </c>
      <c r="B187" s="251"/>
      <c r="C187" s="251"/>
      <c r="D187" s="251"/>
      <c r="E187" s="251"/>
    </row>
    <row r="188" spans="1:5" ht="11.4" customHeight="1" x14ac:dyDescent="0.25">
      <c r="A188" s="173" t="s">
        <v>324</v>
      </c>
      <c r="B188" s="172" t="s">
        <v>256</v>
      </c>
      <c r="C188" s="187">
        <v>5191541.09</v>
      </c>
      <c r="D188" s="175"/>
      <c r="E188" s="175"/>
    </row>
    <row r="189" spans="1:5" ht="11.4" customHeight="1" x14ac:dyDescent="0.25">
      <c r="A189" s="173" t="s">
        <v>325</v>
      </c>
      <c r="B189" s="172" t="s">
        <v>256</v>
      </c>
      <c r="C189" s="187"/>
      <c r="D189" s="175"/>
      <c r="E189" s="175"/>
    </row>
    <row r="190" spans="1:5" ht="11.4" customHeight="1" x14ac:dyDescent="0.25">
      <c r="A190" s="173" t="s">
        <v>203</v>
      </c>
      <c r="B190" s="175"/>
      <c r="C190" s="189"/>
      <c r="D190" s="175">
        <f>SUM(C188:C189)</f>
        <v>5191541.09</v>
      </c>
      <c r="E190" s="175"/>
    </row>
    <row r="191" spans="1:5" ht="18" customHeight="1" x14ac:dyDescent="0.25">
      <c r="A191" s="173"/>
      <c r="B191" s="175"/>
      <c r="C191" s="189"/>
      <c r="D191" s="175"/>
      <c r="E191" s="175"/>
    </row>
    <row r="192" spans="1:5" ht="12.6" customHeight="1" x14ac:dyDescent="0.25">
      <c r="A192" s="206" t="s">
        <v>326</v>
      </c>
      <c r="B192" s="206"/>
      <c r="C192" s="206"/>
      <c r="D192" s="206"/>
      <c r="E192" s="206"/>
    </row>
    <row r="193" spans="1:8" ht="12.6" customHeight="1" x14ac:dyDescent="0.25">
      <c r="A193" s="205" t="s">
        <v>327</v>
      </c>
      <c r="B193" s="206"/>
      <c r="C193" s="206"/>
      <c r="D193" s="206"/>
      <c r="E193" s="206"/>
    </row>
    <row r="194" spans="1:8" ht="12.6" customHeight="1" x14ac:dyDescent="0.25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" customHeight="1" x14ac:dyDescent="0.25">
      <c r="A195" s="173" t="s">
        <v>332</v>
      </c>
      <c r="B195" s="174">
        <v>7487009.8799999999</v>
      </c>
      <c r="C195" s="187"/>
      <c r="D195" s="174">
        <v>72664.33</v>
      </c>
      <c r="E195" s="175">
        <f t="shared" ref="E195:E203" si="10">SUM(B195:C195)-D195</f>
        <v>7414345.5499999998</v>
      </c>
    </row>
    <row r="196" spans="1:8" ht="12.6" customHeight="1" x14ac:dyDescent="0.25">
      <c r="A196" s="173" t="s">
        <v>333</v>
      </c>
      <c r="B196" s="174">
        <v>1128575.74</v>
      </c>
      <c r="C196" s="187"/>
      <c r="D196" s="174">
        <v>1.62</v>
      </c>
      <c r="E196" s="175">
        <f t="shared" si="10"/>
        <v>1128574.1199999999</v>
      </c>
    </row>
    <row r="197" spans="1:8" ht="12.6" customHeight="1" x14ac:dyDescent="0.25">
      <c r="A197" s="173" t="s">
        <v>334</v>
      </c>
      <c r="B197" s="174">
        <v>93911488.150000006</v>
      </c>
      <c r="C197" s="261"/>
      <c r="D197" s="174">
        <v>376448.86</v>
      </c>
      <c r="E197" s="175">
        <f t="shared" si="10"/>
        <v>93535039.290000007</v>
      </c>
    </row>
    <row r="198" spans="1:8" ht="12.6" customHeight="1" x14ac:dyDescent="0.25">
      <c r="A198" s="173" t="s">
        <v>335</v>
      </c>
      <c r="B198" s="174">
        <v>29315673.149999999</v>
      </c>
      <c r="C198" s="187">
        <f>2074748.19-479194.33</f>
        <v>1595553.8599999999</v>
      </c>
      <c r="D198" s="174"/>
      <c r="E198" s="175">
        <f>SUM(B198:C198)-D198</f>
        <v>30911227.009999998</v>
      </c>
    </row>
    <row r="199" spans="1:8" ht="12.6" customHeight="1" x14ac:dyDescent="0.25">
      <c r="A199" s="173" t="s">
        <v>336</v>
      </c>
      <c r="B199" s="174">
        <v>2685307.51</v>
      </c>
      <c r="C199" s="187">
        <f>7691.41-434934.17</f>
        <v>-427242.76</v>
      </c>
      <c r="D199" s="174">
        <v>7.07</v>
      </c>
      <c r="E199" s="175">
        <f t="shared" si="10"/>
        <v>2258057.6800000002</v>
      </c>
    </row>
    <row r="200" spans="1:8" ht="12.6" customHeight="1" x14ac:dyDescent="0.25">
      <c r="A200" s="173" t="s">
        <v>337</v>
      </c>
      <c r="B200" s="174">
        <v>54701431.650000006</v>
      </c>
      <c r="C200" s="187">
        <f>8737404.84+621461.9+557.9</f>
        <v>9359424.6400000006</v>
      </c>
      <c r="D200" s="174">
        <v>122020.04</v>
      </c>
      <c r="E200" s="175">
        <f t="shared" si="10"/>
        <v>63938836.250000007</v>
      </c>
    </row>
    <row r="201" spans="1:8" ht="12.6" customHeight="1" x14ac:dyDescent="0.25">
      <c r="A201" s="173" t="s">
        <v>338</v>
      </c>
      <c r="B201" s="174">
        <v>0</v>
      </c>
      <c r="C201" s="187"/>
      <c r="D201" s="174"/>
      <c r="E201" s="175">
        <f t="shared" si="10"/>
        <v>0</v>
      </c>
    </row>
    <row r="202" spans="1:8" ht="12.6" customHeight="1" x14ac:dyDescent="0.25">
      <c r="A202" s="173" t="s">
        <v>339</v>
      </c>
      <c r="B202" s="174">
        <v>1424.4799999999814</v>
      </c>
      <c r="C202" s="187"/>
      <c r="D202" s="174">
        <v>0.36</v>
      </c>
      <c r="E202" s="175">
        <f t="shared" si="10"/>
        <v>1424.1199999999815</v>
      </c>
    </row>
    <row r="203" spans="1:8" ht="12.6" customHeight="1" x14ac:dyDescent="0.25">
      <c r="A203" s="173" t="s">
        <v>340</v>
      </c>
      <c r="B203" s="174">
        <v>515541.99000000209</v>
      </c>
      <c r="C203" s="187">
        <f>13138709.8-10460297.74</f>
        <v>2678412.0600000005</v>
      </c>
      <c r="D203" s="174"/>
      <c r="E203" s="175">
        <f t="shared" si="10"/>
        <v>3193954.0500000026</v>
      </c>
    </row>
    <row r="204" spans="1:8" ht="12.6" customHeight="1" x14ac:dyDescent="0.25">
      <c r="A204" s="173" t="s">
        <v>203</v>
      </c>
      <c r="B204" s="175">
        <f>SUM(B195:B203)</f>
        <v>189746452.55000001</v>
      </c>
      <c r="C204" s="189">
        <f>SUM(C195:C203)</f>
        <v>13206147.800000001</v>
      </c>
      <c r="D204" s="175">
        <f>SUM(D195:D203)</f>
        <v>571142.28</v>
      </c>
      <c r="E204" s="175">
        <f>SUM(E195:E203)</f>
        <v>202381458.07000002</v>
      </c>
    </row>
    <row r="205" spans="1:8" ht="12.6" customHeight="1" x14ac:dyDescent="0.25">
      <c r="A205" s="173"/>
      <c r="B205" s="173"/>
      <c r="C205" s="189"/>
      <c r="D205" s="175"/>
      <c r="E205" s="175"/>
    </row>
    <row r="206" spans="1:8" ht="12.6" customHeight="1" x14ac:dyDescent="0.25">
      <c r="A206" s="205" t="s">
        <v>341</v>
      </c>
      <c r="B206" s="205"/>
      <c r="C206" s="205"/>
      <c r="D206" s="205"/>
      <c r="E206" s="205"/>
    </row>
    <row r="207" spans="1:8" ht="12.6" customHeight="1" x14ac:dyDescent="0.25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3"/>
    </row>
    <row r="208" spans="1:8" ht="12.6" customHeight="1" x14ac:dyDescent="0.25">
      <c r="A208" s="173" t="s">
        <v>332</v>
      </c>
      <c r="B208" s="178"/>
      <c r="C208" s="191"/>
      <c r="D208" s="178"/>
      <c r="E208" s="175"/>
      <c r="H208" s="253"/>
    </row>
    <row r="209" spans="1:8" ht="12.6" customHeight="1" x14ac:dyDescent="0.25">
      <c r="A209" s="173" t="s">
        <v>333</v>
      </c>
      <c r="B209" s="174">
        <v>108130.69</v>
      </c>
      <c r="C209" s="187">
        <v>70483.25</v>
      </c>
      <c r="D209" s="174">
        <v>1.62</v>
      </c>
      <c r="E209" s="175">
        <f t="shared" ref="E209:E216" si="11">SUM(B209:C209)-D209</f>
        <v>178612.32</v>
      </c>
      <c r="H209" s="253"/>
    </row>
    <row r="210" spans="1:8" ht="12.6" customHeight="1" x14ac:dyDescent="0.25">
      <c r="A210" s="173" t="s">
        <v>334</v>
      </c>
      <c r="B210" s="174">
        <v>14153938.060000001</v>
      </c>
      <c r="C210" s="187">
        <f>3347274.23+100551.44</f>
        <v>3447825.67</v>
      </c>
      <c r="D210" s="174">
        <v>63865.760000000002</v>
      </c>
      <c r="E210" s="175">
        <f t="shared" si="11"/>
        <v>17537897.969999999</v>
      </c>
      <c r="H210" s="253"/>
    </row>
    <row r="211" spans="1:8" ht="12.6" customHeight="1" x14ac:dyDescent="0.25">
      <c r="A211" s="173" t="s">
        <v>335</v>
      </c>
      <c r="B211" s="174">
        <v>2003630.23</v>
      </c>
      <c r="C211" s="187">
        <f>1659385.07-1479.68-100551.44</f>
        <v>1557353.9500000002</v>
      </c>
      <c r="D211" s="174">
        <v>0.96</v>
      </c>
      <c r="E211" s="175">
        <f t="shared" si="11"/>
        <v>3560983.22</v>
      </c>
      <c r="H211" s="253"/>
    </row>
    <row r="212" spans="1:8" ht="12.6" customHeight="1" x14ac:dyDescent="0.25">
      <c r="A212" s="173" t="s">
        <v>336</v>
      </c>
      <c r="B212" s="174">
        <v>403790.33000000007</v>
      </c>
      <c r="C212" s="187">
        <f>253004.42-118302.93</f>
        <v>134701.49000000002</v>
      </c>
      <c r="D212" s="174">
        <v>7.07</v>
      </c>
      <c r="E212" s="175">
        <f t="shared" si="11"/>
        <v>538484.75000000012</v>
      </c>
      <c r="H212" s="253"/>
    </row>
    <row r="213" spans="1:8" ht="12.6" customHeight="1" x14ac:dyDescent="0.25">
      <c r="A213" s="173" t="s">
        <v>337</v>
      </c>
      <c r="B213" s="174">
        <v>22940697.119999997</v>
      </c>
      <c r="C213" s="187">
        <f>8469648.02+135753.21-719.36+118831.64</f>
        <v>8723513.5100000016</v>
      </c>
      <c r="D213" s="174">
        <f>111853.37+118831</f>
        <v>230684.37</v>
      </c>
      <c r="E213" s="175">
        <f t="shared" si="11"/>
        <v>31433526.259999998</v>
      </c>
      <c r="H213" s="253"/>
    </row>
    <row r="214" spans="1:8" ht="12.6" customHeight="1" x14ac:dyDescent="0.25">
      <c r="A214" s="173" t="s">
        <v>338</v>
      </c>
      <c r="B214" s="174">
        <v>0</v>
      </c>
      <c r="C214" s="187"/>
      <c r="D214" s="174"/>
      <c r="E214" s="175">
        <f t="shared" si="11"/>
        <v>0</v>
      </c>
      <c r="H214" s="253"/>
    </row>
    <row r="215" spans="1:8" ht="12.6" customHeight="1" x14ac:dyDescent="0.25">
      <c r="A215" s="173" t="s">
        <v>339</v>
      </c>
      <c r="B215" s="174">
        <v>864.6699999999837</v>
      </c>
      <c r="C215" s="187">
        <v>203.57</v>
      </c>
      <c r="D215" s="174">
        <v>0.36</v>
      </c>
      <c r="E215" s="175">
        <f t="shared" si="11"/>
        <v>1067.8799999999837</v>
      </c>
      <c r="H215" s="253"/>
    </row>
    <row r="216" spans="1:8" ht="12.6" customHeight="1" x14ac:dyDescent="0.25">
      <c r="A216" s="173" t="s">
        <v>340</v>
      </c>
      <c r="B216" s="174">
        <v>0</v>
      </c>
      <c r="C216" s="187"/>
      <c r="D216" s="174"/>
      <c r="E216" s="175">
        <f t="shared" si="11"/>
        <v>0</v>
      </c>
      <c r="H216" s="253"/>
    </row>
    <row r="217" spans="1:8" ht="12.6" customHeight="1" x14ac:dyDescent="0.25">
      <c r="A217" s="173" t="s">
        <v>203</v>
      </c>
      <c r="B217" s="175">
        <f>SUM(B208:B216)</f>
        <v>39611051.100000001</v>
      </c>
      <c r="C217" s="189">
        <f>SUM(C208:C216)</f>
        <v>13934081.440000001</v>
      </c>
      <c r="D217" s="175">
        <f>SUM(D208:D216)</f>
        <v>294560.14</v>
      </c>
      <c r="E217" s="175">
        <f>SUM(E208:E216)</f>
        <v>53250572.399999999</v>
      </c>
    </row>
    <row r="218" spans="1:8" ht="21.75" customHeight="1" x14ac:dyDescent="0.25">
      <c r="A218" s="173"/>
      <c r="B218" s="175"/>
      <c r="C218" s="189"/>
      <c r="D218" s="175"/>
      <c r="E218" s="175"/>
    </row>
    <row r="219" spans="1:8" ht="12.6" customHeight="1" x14ac:dyDescent="0.25">
      <c r="A219" s="206" t="s">
        <v>342</v>
      </c>
      <c r="B219" s="206"/>
      <c r="C219" s="206"/>
      <c r="D219" s="206"/>
      <c r="E219" s="206"/>
    </row>
    <row r="220" spans="1:8" ht="12.6" customHeight="1" x14ac:dyDescent="0.25">
      <c r="A220" s="206"/>
      <c r="B220" s="311" t="s">
        <v>1255</v>
      </c>
      <c r="C220" s="311"/>
      <c r="D220" s="206"/>
      <c r="E220" s="206"/>
    </row>
    <row r="221" spans="1:8" ht="12.6" customHeight="1" x14ac:dyDescent="0.25">
      <c r="A221" s="266" t="s">
        <v>1255</v>
      </c>
      <c r="B221" s="206"/>
      <c r="C221" s="187">
        <v>7052593.0999999996</v>
      </c>
      <c r="D221" s="172">
        <f>C221</f>
        <v>7052593.0999999996</v>
      </c>
      <c r="E221" s="206"/>
    </row>
    <row r="222" spans="1:8" ht="12.6" customHeight="1" x14ac:dyDescent="0.25">
      <c r="A222" s="251" t="s">
        <v>343</v>
      </c>
      <c r="B222" s="251"/>
      <c r="C222" s="251"/>
      <c r="D222" s="251"/>
      <c r="E222" s="251"/>
    </row>
    <row r="223" spans="1:8" ht="12.6" customHeight="1" x14ac:dyDescent="0.25">
      <c r="A223" s="173" t="s">
        <v>344</v>
      </c>
      <c r="B223" s="172" t="s">
        <v>256</v>
      </c>
      <c r="C223" s="187">
        <f>178446815.55+145345582.66+394-3901.14+132498.65</f>
        <v>323921389.72000003</v>
      </c>
      <c r="D223" s="175"/>
      <c r="E223" s="175"/>
    </row>
    <row r="224" spans="1:8" ht="12.6" customHeight="1" x14ac:dyDescent="0.25">
      <c r="A224" s="173" t="s">
        <v>345</v>
      </c>
      <c r="B224" s="172" t="s">
        <v>256</v>
      </c>
      <c r="C224" s="187">
        <f>87131978.79+124012997.42+7431.29</f>
        <v>211152407.5</v>
      </c>
      <c r="D224" s="175"/>
      <c r="E224" s="175"/>
    </row>
    <row r="225" spans="1:5" ht="12.6" customHeight="1" x14ac:dyDescent="0.25">
      <c r="A225" s="173" t="s">
        <v>346</v>
      </c>
      <c r="B225" s="172" t="s">
        <v>256</v>
      </c>
      <c r="C225" s="187"/>
      <c r="D225" s="175"/>
      <c r="E225" s="175"/>
    </row>
    <row r="226" spans="1:5" ht="12.6" customHeight="1" x14ac:dyDescent="0.25">
      <c r="A226" s="173" t="s">
        <v>347</v>
      </c>
      <c r="B226" s="172" t="s">
        <v>256</v>
      </c>
      <c r="C226" s="187"/>
      <c r="D226" s="175"/>
      <c r="E226" s="175"/>
    </row>
    <row r="227" spans="1:5" ht="12.6" customHeight="1" x14ac:dyDescent="0.25">
      <c r="A227" s="173" t="s">
        <v>348</v>
      </c>
      <c r="B227" s="172" t="s">
        <v>256</v>
      </c>
      <c r="C227" s="187">
        <f>3318952.96+14815037.76+25541931.33+9080002.67+29110060.62+60587909.47+76-18583.81+3008.48+7212.09+43068.79+11816.29-54842.5</f>
        <v>142445650.14999998</v>
      </c>
      <c r="D227" s="175"/>
      <c r="E227" s="175"/>
    </row>
    <row r="228" spans="1:5" ht="12.6" customHeight="1" x14ac:dyDescent="0.25">
      <c r="A228" s="173" t="s">
        <v>349</v>
      </c>
      <c r="B228" s="172" t="s">
        <v>256</v>
      </c>
      <c r="C228" s="187">
        <f>4126955.88+6866268.15-413178-412498+152839-27232.38-3327509.88-3987304.92-360768+2908+9588264.57+10151548.3+14499.26+3404.8</f>
        <v>22378196.780000005</v>
      </c>
      <c r="D228" s="175"/>
      <c r="E228" s="175"/>
    </row>
    <row r="229" spans="1:5" ht="12.6" customHeight="1" x14ac:dyDescent="0.25">
      <c r="A229" s="173" t="s">
        <v>350</v>
      </c>
      <c r="B229" s="175"/>
      <c r="C229" s="189"/>
      <c r="D229" s="175">
        <f>SUM(C223:C228)</f>
        <v>699897644.14999998</v>
      </c>
      <c r="E229" s="175"/>
    </row>
    <row r="230" spans="1:5" ht="12.6" customHeight="1" x14ac:dyDescent="0.25">
      <c r="A230" s="251" t="s">
        <v>351</v>
      </c>
      <c r="B230" s="251"/>
      <c r="C230" s="251"/>
      <c r="D230" s="251"/>
      <c r="E230" s="251"/>
    </row>
    <row r="231" spans="1:5" ht="12.6" customHeight="1" x14ac:dyDescent="0.25">
      <c r="A231" s="171" t="s">
        <v>352</v>
      </c>
      <c r="B231" s="172" t="s">
        <v>256</v>
      </c>
      <c r="C231" s="187">
        <v>3758</v>
      </c>
      <c r="D231" s="175"/>
      <c r="E231" s="175"/>
    </row>
    <row r="232" spans="1:5" ht="12.6" customHeight="1" x14ac:dyDescent="0.25">
      <c r="A232" s="171"/>
      <c r="B232" s="172"/>
      <c r="C232" s="189"/>
      <c r="D232" s="175"/>
      <c r="E232" s="175"/>
    </row>
    <row r="233" spans="1:5" ht="12.6" customHeight="1" x14ac:dyDescent="0.25">
      <c r="A233" s="171" t="s">
        <v>353</v>
      </c>
      <c r="B233" s="172" t="s">
        <v>256</v>
      </c>
      <c r="C233" s="187">
        <v>9442295.8100000005</v>
      </c>
      <c r="D233" s="175"/>
      <c r="E233" s="175"/>
    </row>
    <row r="234" spans="1:5" ht="12.6" customHeight="1" x14ac:dyDescent="0.25">
      <c r="A234" s="171" t="s">
        <v>354</v>
      </c>
      <c r="B234" s="172" t="s">
        <v>256</v>
      </c>
      <c r="C234" s="187">
        <f>9842246.9+5600.86+1356.2</f>
        <v>9849203.959999999</v>
      </c>
      <c r="D234" s="175"/>
      <c r="E234" s="175"/>
    </row>
    <row r="235" spans="1:5" ht="12.6" customHeight="1" x14ac:dyDescent="0.25">
      <c r="A235" s="173"/>
      <c r="B235" s="175"/>
      <c r="C235" s="189"/>
      <c r="D235" s="175"/>
      <c r="E235" s="175"/>
    </row>
    <row r="236" spans="1:5" ht="12.6" customHeight="1" x14ac:dyDescent="0.25">
      <c r="A236" s="171" t="s">
        <v>355</v>
      </c>
      <c r="B236" s="175"/>
      <c r="C236" s="189"/>
      <c r="D236" s="175">
        <f>SUM(C233:C235)</f>
        <v>19291499.77</v>
      </c>
      <c r="E236" s="175"/>
    </row>
    <row r="237" spans="1:5" ht="12.6" customHeight="1" x14ac:dyDescent="0.25">
      <c r="A237" s="251" t="s">
        <v>356</v>
      </c>
      <c r="B237" s="251"/>
      <c r="C237" s="251"/>
      <c r="D237" s="251"/>
      <c r="E237" s="251"/>
    </row>
    <row r="238" spans="1:5" ht="12.6" customHeight="1" x14ac:dyDescent="0.25">
      <c r="A238" s="173" t="s">
        <v>357</v>
      </c>
      <c r="B238" s="172" t="s">
        <v>256</v>
      </c>
      <c r="C238" s="187"/>
      <c r="D238" s="175"/>
      <c r="E238" s="175"/>
    </row>
    <row r="239" spans="1:5" ht="12.6" customHeight="1" x14ac:dyDescent="0.25">
      <c r="A239" s="173" t="s">
        <v>356</v>
      </c>
      <c r="B239" s="172" t="s">
        <v>256</v>
      </c>
      <c r="C239" s="187"/>
      <c r="D239" s="175"/>
      <c r="E239" s="175"/>
    </row>
    <row r="240" spans="1:5" ht="12.6" customHeight="1" x14ac:dyDescent="0.25">
      <c r="A240" s="173" t="s">
        <v>358</v>
      </c>
      <c r="B240" s="175"/>
      <c r="C240" s="189"/>
      <c r="D240" s="175">
        <f>SUM(C238:C239)</f>
        <v>0</v>
      </c>
      <c r="E240" s="175"/>
    </row>
    <row r="241" spans="1:5" ht="12.6" customHeight="1" x14ac:dyDescent="0.25">
      <c r="A241" s="173"/>
      <c r="B241" s="175"/>
      <c r="C241" s="189"/>
      <c r="D241" s="175"/>
      <c r="E241" s="175"/>
    </row>
    <row r="242" spans="1:5" ht="12.6" customHeight="1" x14ac:dyDescent="0.25">
      <c r="A242" s="173" t="s">
        <v>359</v>
      </c>
      <c r="B242" s="175"/>
      <c r="C242" s="189"/>
      <c r="D242" s="175">
        <f>D221+D229+D236+D240</f>
        <v>726241737.01999998</v>
      </c>
      <c r="E242" s="175"/>
    </row>
    <row r="243" spans="1:5" ht="12.6" customHeight="1" x14ac:dyDescent="0.25">
      <c r="A243" s="173"/>
      <c r="B243" s="173"/>
      <c r="C243" s="189"/>
      <c r="D243" s="175"/>
      <c r="E243" s="175"/>
    </row>
    <row r="244" spans="1:5" ht="12.6" customHeight="1" x14ac:dyDescent="0.25">
      <c r="A244" s="173"/>
      <c r="B244" s="173"/>
      <c r="C244" s="189"/>
      <c r="D244" s="175"/>
      <c r="E244" s="175"/>
    </row>
    <row r="245" spans="1:5" ht="12.6" customHeight="1" x14ac:dyDescent="0.25">
      <c r="A245" s="173"/>
      <c r="B245" s="173"/>
      <c r="C245" s="189"/>
      <c r="D245" s="175"/>
      <c r="E245" s="175"/>
    </row>
    <row r="246" spans="1:5" ht="12.6" customHeight="1" x14ac:dyDescent="0.25">
      <c r="A246" s="173"/>
      <c r="B246" s="173"/>
      <c r="C246" s="189"/>
      <c r="D246" s="175"/>
      <c r="E246" s="175"/>
    </row>
    <row r="247" spans="1:5" ht="21.75" customHeight="1" x14ac:dyDescent="0.25">
      <c r="A247" s="173"/>
      <c r="B247" s="173"/>
      <c r="C247" s="189"/>
      <c r="D247" s="175"/>
      <c r="E247" s="175"/>
    </row>
    <row r="248" spans="1:5" ht="12.45" customHeight="1" x14ac:dyDescent="0.25">
      <c r="A248" s="206" t="s">
        <v>360</v>
      </c>
      <c r="B248" s="206"/>
      <c r="C248" s="206"/>
      <c r="D248" s="206"/>
      <c r="E248" s="206"/>
    </row>
    <row r="249" spans="1:5" ht="11.25" customHeight="1" x14ac:dyDescent="0.25">
      <c r="A249" s="251" t="s">
        <v>361</v>
      </c>
      <c r="B249" s="251"/>
      <c r="C249" s="251"/>
      <c r="D249" s="251"/>
      <c r="E249" s="251"/>
    </row>
    <row r="250" spans="1:5" ht="12.45" customHeight="1" x14ac:dyDescent="0.25">
      <c r="A250" s="173" t="s">
        <v>362</v>
      </c>
      <c r="B250" s="172" t="s">
        <v>256</v>
      </c>
      <c r="C250" s="187">
        <v>7901858.2999999998</v>
      </c>
      <c r="D250" s="175"/>
      <c r="E250" s="175"/>
    </row>
    <row r="251" spans="1:5" ht="12.45" customHeight="1" x14ac:dyDescent="0.25">
      <c r="A251" s="173" t="s">
        <v>363</v>
      </c>
      <c r="B251" s="172" t="s">
        <v>256</v>
      </c>
      <c r="C251" s="187"/>
      <c r="D251" s="175"/>
      <c r="E251" s="175"/>
    </row>
    <row r="252" spans="1:5" ht="12.45" customHeight="1" x14ac:dyDescent="0.25">
      <c r="A252" s="173" t="s">
        <v>364</v>
      </c>
      <c r="B252" s="172" t="s">
        <v>256</v>
      </c>
      <c r="C252" s="187">
        <v>112645275.67</v>
      </c>
      <c r="D252" s="175"/>
      <c r="E252" s="175"/>
    </row>
    <row r="253" spans="1:5" ht="12.45" customHeight="1" x14ac:dyDescent="0.25">
      <c r="A253" s="173" t="s">
        <v>365</v>
      </c>
      <c r="B253" s="172" t="s">
        <v>256</v>
      </c>
      <c r="C253" s="187">
        <f>82210682.66+9045334.17</f>
        <v>91256016.829999998</v>
      </c>
      <c r="D253" s="175"/>
      <c r="E253" s="175"/>
    </row>
    <row r="254" spans="1:5" ht="12.45" customHeight="1" x14ac:dyDescent="0.25">
      <c r="A254" s="173" t="s">
        <v>1241</v>
      </c>
      <c r="B254" s="172" t="s">
        <v>256</v>
      </c>
      <c r="C254" s="187"/>
      <c r="D254" s="175"/>
      <c r="E254" s="175"/>
    </row>
    <row r="255" spans="1:5" ht="12.45" customHeight="1" x14ac:dyDescent="0.25">
      <c r="A255" s="173" t="s">
        <v>366</v>
      </c>
      <c r="B255" s="172" t="s">
        <v>256</v>
      </c>
      <c r="C255" s="187">
        <v>1478597.04</v>
      </c>
      <c r="D255" s="175"/>
      <c r="E255" s="175"/>
    </row>
    <row r="256" spans="1:5" ht="12.45" customHeight="1" x14ac:dyDescent="0.25">
      <c r="A256" s="173" t="s">
        <v>367</v>
      </c>
      <c r="B256" s="172" t="s">
        <v>256</v>
      </c>
      <c r="C256" s="187"/>
      <c r="D256" s="175"/>
      <c r="E256" s="175"/>
    </row>
    <row r="257" spans="1:5" ht="12.45" customHeight="1" x14ac:dyDescent="0.25">
      <c r="A257" s="173" t="s">
        <v>368</v>
      </c>
      <c r="B257" s="172" t="s">
        <v>256</v>
      </c>
      <c r="C257" s="187">
        <v>4047251.57</v>
      </c>
      <c r="D257" s="175"/>
      <c r="E257" s="175"/>
    </row>
    <row r="258" spans="1:5" ht="12.45" customHeight="1" x14ac:dyDescent="0.25">
      <c r="A258" s="173" t="s">
        <v>369</v>
      </c>
      <c r="B258" s="172" t="s">
        <v>256</v>
      </c>
      <c r="C258" s="187">
        <v>0</v>
      </c>
      <c r="D258" s="175"/>
      <c r="E258" s="175"/>
    </row>
    <row r="259" spans="1:5" ht="12.45" customHeight="1" x14ac:dyDescent="0.25">
      <c r="A259" s="173" t="s">
        <v>370</v>
      </c>
      <c r="B259" s="172" t="s">
        <v>256</v>
      </c>
      <c r="C259" s="187"/>
      <c r="D259" s="175"/>
      <c r="E259" s="175"/>
    </row>
    <row r="260" spans="1:5" ht="12.45" customHeight="1" x14ac:dyDescent="0.25">
      <c r="A260" s="173" t="s">
        <v>371</v>
      </c>
      <c r="B260" s="175"/>
      <c r="C260" s="189"/>
      <c r="D260" s="175">
        <f>SUM(C250:C252)-C253+SUM(C254:C259)</f>
        <v>34816965.75</v>
      </c>
      <c r="E260" s="175"/>
    </row>
    <row r="261" spans="1:5" ht="11.25" customHeight="1" x14ac:dyDescent="0.25">
      <c r="A261" s="251" t="s">
        <v>372</v>
      </c>
      <c r="B261" s="251"/>
      <c r="C261" s="251"/>
      <c r="D261" s="251"/>
      <c r="E261" s="251"/>
    </row>
    <row r="262" spans="1:5" ht="12.45" customHeight="1" x14ac:dyDescent="0.25">
      <c r="A262" s="173" t="s">
        <v>362</v>
      </c>
      <c r="B262" s="172" t="s">
        <v>256</v>
      </c>
      <c r="C262" s="187"/>
      <c r="D262" s="175"/>
      <c r="E262" s="175"/>
    </row>
    <row r="263" spans="1:5" ht="12.45" customHeight="1" x14ac:dyDescent="0.25">
      <c r="A263" s="173" t="s">
        <v>363</v>
      </c>
      <c r="B263" s="172" t="s">
        <v>256</v>
      </c>
      <c r="C263" s="187">
        <f>20752117.13+152599.7</f>
        <v>20904716.829999998</v>
      </c>
      <c r="D263" s="175"/>
      <c r="E263" s="175"/>
    </row>
    <row r="264" spans="1:5" ht="12.45" customHeight="1" x14ac:dyDescent="0.25">
      <c r="A264" s="173" t="s">
        <v>373</v>
      </c>
      <c r="B264" s="172" t="s">
        <v>256</v>
      </c>
      <c r="C264" s="187"/>
      <c r="D264" s="175"/>
      <c r="E264" s="175"/>
    </row>
    <row r="265" spans="1:5" ht="12.45" customHeight="1" x14ac:dyDescent="0.25">
      <c r="A265" s="173" t="s">
        <v>374</v>
      </c>
      <c r="B265" s="175"/>
      <c r="C265" s="189"/>
      <c r="D265" s="175">
        <f>SUM(C262:C264)</f>
        <v>20904716.829999998</v>
      </c>
      <c r="E265" s="175"/>
    </row>
    <row r="266" spans="1:5" ht="11.25" customHeight="1" x14ac:dyDescent="0.25">
      <c r="A266" s="251" t="s">
        <v>375</v>
      </c>
      <c r="B266" s="251"/>
      <c r="C266" s="251"/>
      <c r="D266" s="251"/>
      <c r="E266" s="251"/>
    </row>
    <row r="267" spans="1:5" ht="12.45" customHeight="1" x14ac:dyDescent="0.25">
      <c r="A267" s="173" t="s">
        <v>332</v>
      </c>
      <c r="B267" s="172" t="s">
        <v>256</v>
      </c>
      <c r="C267" s="187">
        <v>7414345.5499999998</v>
      </c>
      <c r="D267" s="175"/>
      <c r="E267" s="175"/>
    </row>
    <row r="268" spans="1:5" ht="12.45" customHeight="1" x14ac:dyDescent="0.25">
      <c r="A268" s="173" t="s">
        <v>333</v>
      </c>
      <c r="B268" s="172" t="s">
        <v>256</v>
      </c>
      <c r="C268" s="187">
        <v>1128574.1200000001</v>
      </c>
      <c r="D268" s="175"/>
      <c r="E268" s="175"/>
    </row>
    <row r="269" spans="1:5" ht="12.45" customHeight="1" x14ac:dyDescent="0.25">
      <c r="A269" s="173" t="s">
        <v>334</v>
      </c>
      <c r="B269" s="172" t="s">
        <v>256</v>
      </c>
      <c r="C269" s="187">
        <v>93535040.25</v>
      </c>
      <c r="D269" s="175"/>
      <c r="E269" s="175"/>
    </row>
    <row r="270" spans="1:5" ht="12.45" customHeight="1" x14ac:dyDescent="0.25">
      <c r="A270" s="173" t="s">
        <v>376</v>
      </c>
      <c r="B270" s="172" t="s">
        <v>256</v>
      </c>
      <c r="C270" s="187">
        <v>30911226.050000001</v>
      </c>
      <c r="D270" s="175"/>
      <c r="E270" s="175"/>
    </row>
    <row r="271" spans="1:5" ht="12.45" customHeight="1" x14ac:dyDescent="0.25">
      <c r="A271" s="173" t="s">
        <v>377</v>
      </c>
      <c r="B271" s="172" t="s">
        <v>256</v>
      </c>
      <c r="C271" s="187">
        <v>2258057.6800000002</v>
      </c>
      <c r="D271" s="175"/>
      <c r="E271" s="175"/>
    </row>
    <row r="272" spans="1:5" ht="12.45" customHeight="1" x14ac:dyDescent="0.25">
      <c r="A272" s="173" t="s">
        <v>378</v>
      </c>
      <c r="B272" s="172" t="s">
        <v>256</v>
      </c>
      <c r="C272" s="187">
        <v>63938836.25</v>
      </c>
      <c r="D272" s="175"/>
      <c r="E272" s="175"/>
    </row>
    <row r="273" spans="1:5" ht="12.45" customHeight="1" x14ac:dyDescent="0.25">
      <c r="A273" s="173" t="s">
        <v>339</v>
      </c>
      <c r="B273" s="172" t="s">
        <v>256</v>
      </c>
      <c r="C273" s="187">
        <v>1424</v>
      </c>
      <c r="D273" s="175"/>
      <c r="E273" s="175"/>
    </row>
    <row r="274" spans="1:5" ht="12.45" customHeight="1" x14ac:dyDescent="0.25">
      <c r="A274" s="173" t="s">
        <v>340</v>
      </c>
      <c r="B274" s="172" t="s">
        <v>256</v>
      </c>
      <c r="C274" s="187">
        <f>2895618.43+298335.41</f>
        <v>3193953.8400000003</v>
      </c>
      <c r="D274" s="175"/>
      <c r="E274" s="175"/>
    </row>
    <row r="275" spans="1:5" ht="12.45" customHeight="1" x14ac:dyDescent="0.25">
      <c r="A275" s="173" t="s">
        <v>379</v>
      </c>
      <c r="B275" s="175"/>
      <c r="C275" s="189"/>
      <c r="D275" s="175">
        <f>SUM(C267:C274)</f>
        <v>202381457.74000001</v>
      </c>
      <c r="E275" s="175"/>
    </row>
    <row r="276" spans="1:5" ht="12.6" customHeight="1" x14ac:dyDescent="0.25">
      <c r="A276" s="173" t="s">
        <v>380</v>
      </c>
      <c r="B276" s="172" t="s">
        <v>256</v>
      </c>
      <c r="C276" s="187">
        <v>53250571.939999998</v>
      </c>
      <c r="D276" s="175"/>
      <c r="E276" s="175"/>
    </row>
    <row r="277" spans="1:5" ht="12.6" customHeight="1" x14ac:dyDescent="0.25">
      <c r="A277" s="173" t="s">
        <v>381</v>
      </c>
      <c r="B277" s="175"/>
      <c r="C277" s="189"/>
      <c r="D277" s="175">
        <f>D275-C276</f>
        <v>149130885.80000001</v>
      </c>
      <c r="E277" s="175"/>
    </row>
    <row r="278" spans="1:5" ht="12.6" customHeight="1" x14ac:dyDescent="0.25">
      <c r="A278" s="251" t="s">
        <v>382</v>
      </c>
      <c r="B278" s="251"/>
      <c r="C278" s="251"/>
      <c r="D278" s="251"/>
      <c r="E278" s="251"/>
    </row>
    <row r="279" spans="1:5" ht="12.6" customHeight="1" x14ac:dyDescent="0.25">
      <c r="A279" s="173" t="s">
        <v>383</v>
      </c>
      <c r="B279" s="172" t="s">
        <v>256</v>
      </c>
      <c r="C279" s="187"/>
      <c r="D279" s="175"/>
      <c r="E279" s="175"/>
    </row>
    <row r="280" spans="1:5" ht="12.6" customHeight="1" x14ac:dyDescent="0.25">
      <c r="A280" s="173" t="s">
        <v>384</v>
      </c>
      <c r="B280" s="172" t="s">
        <v>256</v>
      </c>
      <c r="C280" s="187"/>
      <c r="D280" s="175"/>
      <c r="E280" s="175"/>
    </row>
    <row r="281" spans="1:5" ht="12.6" customHeight="1" x14ac:dyDescent="0.25">
      <c r="A281" s="173" t="s">
        <v>385</v>
      </c>
      <c r="B281" s="172" t="s">
        <v>256</v>
      </c>
      <c r="C281" s="187">
        <v>9628161.2699999996</v>
      </c>
      <c r="D281" s="175"/>
      <c r="E281" s="175"/>
    </row>
    <row r="282" spans="1:5" ht="12.6" customHeight="1" x14ac:dyDescent="0.25">
      <c r="A282" s="173" t="s">
        <v>373</v>
      </c>
      <c r="B282" s="172" t="s">
        <v>256</v>
      </c>
      <c r="C282" s="187">
        <v>15030001.210000001</v>
      </c>
      <c r="D282" s="175"/>
      <c r="E282" s="175"/>
    </row>
    <row r="283" spans="1:5" ht="12.6" customHeight="1" x14ac:dyDescent="0.25">
      <c r="A283" s="173" t="s">
        <v>386</v>
      </c>
      <c r="B283" s="175"/>
      <c r="C283" s="189"/>
      <c r="D283" s="175">
        <f>C279-C280+C281+C282</f>
        <v>24658162.48</v>
      </c>
      <c r="E283" s="175"/>
    </row>
    <row r="284" spans="1:5" ht="12.6" customHeight="1" x14ac:dyDescent="0.25">
      <c r="A284" s="173"/>
      <c r="B284" s="175"/>
      <c r="C284" s="189"/>
      <c r="D284" s="175"/>
      <c r="E284" s="175"/>
    </row>
    <row r="285" spans="1:5" ht="12.6" customHeight="1" x14ac:dyDescent="0.25">
      <c r="A285" s="251" t="s">
        <v>387</v>
      </c>
      <c r="B285" s="251"/>
      <c r="C285" s="251"/>
      <c r="D285" s="251"/>
      <c r="E285" s="251"/>
    </row>
    <row r="286" spans="1:5" ht="12.6" customHeight="1" x14ac:dyDescent="0.25">
      <c r="A286" s="173" t="s">
        <v>388</v>
      </c>
      <c r="B286" s="172" t="s">
        <v>256</v>
      </c>
      <c r="C286" s="187">
        <v>1494347</v>
      </c>
      <c r="D286" s="175"/>
      <c r="E286" s="175"/>
    </row>
    <row r="287" spans="1:5" ht="12.6" customHeight="1" x14ac:dyDescent="0.25">
      <c r="A287" s="173" t="s">
        <v>389</v>
      </c>
      <c r="B287" s="172" t="s">
        <v>256</v>
      </c>
      <c r="C287" s="187"/>
      <c r="D287" s="175"/>
      <c r="E287" s="175"/>
    </row>
    <row r="288" spans="1:5" ht="12.6" customHeight="1" x14ac:dyDescent="0.25">
      <c r="A288" s="173" t="s">
        <v>390</v>
      </c>
      <c r="B288" s="172" t="s">
        <v>256</v>
      </c>
      <c r="C288" s="187"/>
      <c r="D288" s="175"/>
      <c r="E288" s="175"/>
    </row>
    <row r="289" spans="1:5" ht="12.6" customHeight="1" x14ac:dyDescent="0.25">
      <c r="A289" s="173" t="s">
        <v>391</v>
      </c>
      <c r="B289" s="172" t="s">
        <v>256</v>
      </c>
      <c r="C289" s="187"/>
      <c r="D289" s="175"/>
      <c r="E289" s="175"/>
    </row>
    <row r="290" spans="1:5" ht="12.6" customHeight="1" x14ac:dyDescent="0.25">
      <c r="A290" s="173" t="s">
        <v>392</v>
      </c>
      <c r="B290" s="175"/>
      <c r="C290" s="189"/>
      <c r="D290" s="175">
        <f>SUM(C286:C289)</f>
        <v>1494347</v>
      </c>
      <c r="E290" s="175"/>
    </row>
    <row r="291" spans="1:5" ht="12.6" customHeight="1" x14ac:dyDescent="0.25">
      <c r="A291" s="173"/>
      <c r="B291" s="175"/>
      <c r="C291" s="189"/>
      <c r="D291" s="175"/>
      <c r="E291" s="175"/>
    </row>
    <row r="292" spans="1:5" ht="12.6" customHeight="1" x14ac:dyDescent="0.25">
      <c r="A292" s="173" t="s">
        <v>393</v>
      </c>
      <c r="B292" s="175"/>
      <c r="C292" s="189"/>
      <c r="D292" s="175">
        <f>D260+D265+D277+D283+D290</f>
        <v>231005077.85999998</v>
      </c>
      <c r="E292" s="175"/>
    </row>
    <row r="293" spans="1:5" ht="12.6" customHeight="1" x14ac:dyDescent="0.25">
      <c r="A293" s="173"/>
      <c r="B293" s="173"/>
      <c r="C293" s="189"/>
      <c r="D293" s="175"/>
      <c r="E293" s="175"/>
    </row>
    <row r="294" spans="1:5" ht="12.6" customHeight="1" x14ac:dyDescent="0.25">
      <c r="A294" s="173"/>
      <c r="B294" s="173"/>
      <c r="C294" s="189"/>
      <c r="D294" s="175"/>
      <c r="E294" s="175"/>
    </row>
    <row r="295" spans="1:5" ht="12.6" customHeight="1" x14ac:dyDescent="0.25">
      <c r="A295" s="173"/>
      <c r="B295" s="173"/>
      <c r="C295" s="189"/>
      <c r="D295" s="175"/>
      <c r="E295" s="175"/>
    </row>
    <row r="296" spans="1:5" ht="12.6" customHeight="1" x14ac:dyDescent="0.25">
      <c r="A296" s="173"/>
      <c r="B296" s="173"/>
      <c r="C296" s="189"/>
      <c r="D296" s="175"/>
      <c r="E296" s="175"/>
    </row>
    <row r="297" spans="1:5" ht="12.6" customHeight="1" x14ac:dyDescent="0.25">
      <c r="A297" s="173"/>
      <c r="B297" s="173"/>
      <c r="C297" s="189"/>
      <c r="D297" s="175"/>
      <c r="E297" s="175"/>
    </row>
    <row r="298" spans="1:5" ht="12.6" customHeight="1" x14ac:dyDescent="0.25">
      <c r="A298" s="173"/>
      <c r="B298" s="173"/>
      <c r="C298" s="189"/>
      <c r="D298" s="175"/>
      <c r="E298" s="175"/>
    </row>
    <row r="299" spans="1:5" ht="12.6" customHeight="1" x14ac:dyDescent="0.25">
      <c r="A299" s="173"/>
      <c r="B299" s="173"/>
      <c r="C299" s="189"/>
      <c r="D299" s="175"/>
      <c r="E299" s="175"/>
    </row>
    <row r="300" spans="1:5" ht="12.6" customHeight="1" x14ac:dyDescent="0.25">
      <c r="A300" s="173"/>
      <c r="B300" s="173"/>
      <c r="C300" s="189"/>
      <c r="D300" s="175"/>
      <c r="E300" s="175"/>
    </row>
    <row r="301" spans="1:5" ht="20.25" customHeight="1" x14ac:dyDescent="0.25">
      <c r="A301" s="173"/>
      <c r="B301" s="173"/>
      <c r="C301" s="189"/>
      <c r="D301" s="175"/>
      <c r="E301" s="175"/>
    </row>
    <row r="302" spans="1:5" ht="12.6" customHeight="1" x14ac:dyDescent="0.25">
      <c r="A302" s="206" t="s">
        <v>394</v>
      </c>
      <c r="B302" s="206"/>
      <c r="C302" s="206"/>
      <c r="D302" s="206"/>
      <c r="E302" s="206"/>
    </row>
    <row r="303" spans="1:5" ht="14.25" customHeight="1" x14ac:dyDescent="0.25">
      <c r="A303" s="251" t="s">
        <v>395</v>
      </c>
      <c r="B303" s="251"/>
      <c r="C303" s="251"/>
      <c r="D303" s="251"/>
      <c r="E303" s="251"/>
    </row>
    <row r="304" spans="1:5" ht="12.6" customHeight="1" x14ac:dyDescent="0.25">
      <c r="A304" s="173" t="s">
        <v>396</v>
      </c>
      <c r="B304" s="172" t="s">
        <v>256</v>
      </c>
      <c r="C304" s="187"/>
      <c r="D304" s="175"/>
      <c r="E304" s="175"/>
    </row>
    <row r="305" spans="1:5" ht="12.6" customHeight="1" x14ac:dyDescent="0.25">
      <c r="A305" s="173" t="s">
        <v>397</v>
      </c>
      <c r="B305" s="172" t="s">
        <v>256</v>
      </c>
      <c r="C305" s="187">
        <v>1818212.1</v>
      </c>
      <c r="D305" s="175"/>
      <c r="E305" s="175"/>
    </row>
    <row r="306" spans="1:5" ht="12.6" customHeight="1" x14ac:dyDescent="0.25">
      <c r="A306" s="173" t="s">
        <v>398</v>
      </c>
      <c r="B306" s="172" t="s">
        <v>256</v>
      </c>
      <c r="C306" s="187">
        <v>6435494.7999999998</v>
      </c>
      <c r="D306" s="175"/>
      <c r="E306" s="175"/>
    </row>
    <row r="307" spans="1:5" ht="12.6" customHeight="1" x14ac:dyDescent="0.25">
      <c r="A307" s="173" t="s">
        <v>399</v>
      </c>
      <c r="B307" s="172" t="s">
        <v>256</v>
      </c>
      <c r="C307" s="187">
        <v>5843672</v>
      </c>
      <c r="D307" s="175"/>
      <c r="E307" s="175"/>
    </row>
    <row r="308" spans="1:5" ht="12.6" customHeight="1" x14ac:dyDescent="0.25">
      <c r="A308" s="173" t="s">
        <v>400</v>
      </c>
      <c r="B308" s="172" t="s">
        <v>256</v>
      </c>
      <c r="C308" s="187"/>
      <c r="D308" s="175"/>
      <c r="E308" s="175"/>
    </row>
    <row r="309" spans="1:5" ht="12.6" customHeight="1" x14ac:dyDescent="0.25">
      <c r="A309" s="173" t="s">
        <v>1242</v>
      </c>
      <c r="B309" s="172" t="s">
        <v>256</v>
      </c>
      <c r="C309" s="187">
        <v>1026187.87</v>
      </c>
      <c r="D309" s="175"/>
      <c r="E309" s="175"/>
    </row>
    <row r="310" spans="1:5" ht="12.6" customHeight="1" x14ac:dyDescent="0.25">
      <c r="A310" s="173" t="s">
        <v>401</v>
      </c>
      <c r="B310" s="172" t="s">
        <v>256</v>
      </c>
      <c r="C310" s="187"/>
      <c r="D310" s="175"/>
      <c r="E310" s="175"/>
    </row>
    <row r="311" spans="1:5" ht="12.6" customHeight="1" x14ac:dyDescent="0.25">
      <c r="A311" s="173" t="s">
        <v>402</v>
      </c>
      <c r="B311" s="172" t="s">
        <v>256</v>
      </c>
      <c r="C311" s="187"/>
      <c r="D311" s="175"/>
      <c r="E311" s="175"/>
    </row>
    <row r="312" spans="1:5" ht="12.6" customHeight="1" x14ac:dyDescent="0.25">
      <c r="A312" s="173" t="s">
        <v>403</v>
      </c>
      <c r="B312" s="172" t="s">
        <v>256</v>
      </c>
      <c r="C312" s="187">
        <f>-1217657.65+3899423.16+65903.73</f>
        <v>2747669.24</v>
      </c>
      <c r="D312" s="175"/>
      <c r="E312" s="175"/>
    </row>
    <row r="313" spans="1:5" ht="12.6" customHeight="1" x14ac:dyDescent="0.25">
      <c r="A313" s="173" t="s">
        <v>404</v>
      </c>
      <c r="B313" s="172" t="s">
        <v>256</v>
      </c>
      <c r="C313" s="187">
        <v>4042756.41</v>
      </c>
      <c r="D313" s="175"/>
      <c r="E313" s="175"/>
    </row>
    <row r="314" spans="1:5" ht="12.6" customHeight="1" x14ac:dyDescent="0.25">
      <c r="A314" s="173" t="s">
        <v>405</v>
      </c>
      <c r="B314" s="175"/>
      <c r="C314" s="189"/>
      <c r="D314" s="175">
        <f>SUM(C304:C313)</f>
        <v>21913992.419999998</v>
      </c>
      <c r="E314" s="175"/>
    </row>
    <row r="315" spans="1:5" ht="12.6" customHeight="1" x14ac:dyDescent="0.25">
      <c r="A315" s="251" t="s">
        <v>406</v>
      </c>
      <c r="B315" s="251"/>
      <c r="C315" s="251"/>
      <c r="D315" s="251"/>
      <c r="E315" s="251"/>
    </row>
    <row r="316" spans="1:5" ht="12.6" customHeight="1" x14ac:dyDescent="0.25">
      <c r="A316" s="173" t="s">
        <v>407</v>
      </c>
      <c r="B316" s="172" t="s">
        <v>256</v>
      </c>
      <c r="C316" s="187"/>
      <c r="D316" s="175"/>
      <c r="E316" s="175"/>
    </row>
    <row r="317" spans="1:5" ht="12.6" customHeight="1" x14ac:dyDescent="0.25">
      <c r="A317" s="173" t="s">
        <v>408</v>
      </c>
      <c r="B317" s="172" t="s">
        <v>256</v>
      </c>
      <c r="C317" s="187"/>
      <c r="D317" s="175"/>
      <c r="E317" s="175"/>
    </row>
    <row r="318" spans="1:5" ht="12.6" customHeight="1" x14ac:dyDescent="0.25">
      <c r="A318" s="173" t="s">
        <v>409</v>
      </c>
      <c r="B318" s="172" t="s">
        <v>256</v>
      </c>
      <c r="C318" s="187"/>
      <c r="D318" s="175"/>
      <c r="E318" s="175"/>
    </row>
    <row r="319" spans="1:5" ht="12.6" customHeight="1" x14ac:dyDescent="0.25">
      <c r="A319" s="173" t="s">
        <v>410</v>
      </c>
      <c r="B319" s="175"/>
      <c r="C319" s="189"/>
      <c r="D319" s="175">
        <f>SUM(C316:C318)</f>
        <v>0</v>
      </c>
      <c r="E319" s="175"/>
    </row>
    <row r="320" spans="1:5" ht="12.6" customHeight="1" x14ac:dyDescent="0.25">
      <c r="A320" s="251" t="s">
        <v>411</v>
      </c>
      <c r="B320" s="251"/>
      <c r="C320" s="251"/>
      <c r="D320" s="251"/>
      <c r="E320" s="251"/>
    </row>
    <row r="321" spans="1:5" ht="12.6" customHeight="1" x14ac:dyDescent="0.25">
      <c r="A321" s="173" t="s">
        <v>412</v>
      </c>
      <c r="B321" s="172" t="s">
        <v>256</v>
      </c>
      <c r="C321" s="187"/>
      <c r="D321" s="175"/>
      <c r="E321" s="175"/>
    </row>
    <row r="322" spans="1:5" ht="12.6" customHeight="1" x14ac:dyDescent="0.25">
      <c r="A322" s="173" t="s">
        <v>413</v>
      </c>
      <c r="B322" s="172" t="s">
        <v>256</v>
      </c>
      <c r="C322" s="187"/>
      <c r="D322" s="175"/>
      <c r="E322" s="175"/>
    </row>
    <row r="323" spans="1:5" ht="12.6" customHeight="1" x14ac:dyDescent="0.25">
      <c r="A323" s="173" t="s">
        <v>414</v>
      </c>
      <c r="B323" s="172" t="s">
        <v>256</v>
      </c>
      <c r="C323" s="187"/>
      <c r="D323" s="175"/>
      <c r="E323" s="175"/>
    </row>
    <row r="324" spans="1:5" ht="12.6" customHeight="1" x14ac:dyDescent="0.25">
      <c r="A324" s="171" t="s">
        <v>415</v>
      </c>
      <c r="B324" s="172" t="s">
        <v>256</v>
      </c>
      <c r="C324" s="187"/>
      <c r="D324" s="175"/>
      <c r="E324" s="175"/>
    </row>
    <row r="325" spans="1:5" ht="12.6" customHeight="1" x14ac:dyDescent="0.25">
      <c r="A325" s="173" t="s">
        <v>416</v>
      </c>
      <c r="B325" s="172" t="s">
        <v>256</v>
      </c>
      <c r="C325" s="187">
        <f>103157576.79+4042756.41</f>
        <v>107200333.2</v>
      </c>
      <c r="D325" s="175"/>
      <c r="E325" s="175"/>
    </row>
    <row r="326" spans="1:5" ht="12.6" customHeight="1" x14ac:dyDescent="0.25">
      <c r="A326" s="171" t="s">
        <v>417</v>
      </c>
      <c r="B326" s="172" t="s">
        <v>256</v>
      </c>
      <c r="C326" s="187"/>
      <c r="D326" s="175"/>
      <c r="E326" s="175"/>
    </row>
    <row r="327" spans="1:5" ht="12.6" customHeight="1" x14ac:dyDescent="0.25">
      <c r="A327" s="173" t="s">
        <v>418</v>
      </c>
      <c r="B327" s="172" t="s">
        <v>256</v>
      </c>
      <c r="C327" s="187">
        <v>2694539.76</v>
      </c>
      <c r="D327" s="175"/>
      <c r="E327" s="175"/>
    </row>
    <row r="328" spans="1:5" ht="19.5" customHeight="1" x14ac:dyDescent="0.25">
      <c r="A328" s="173" t="s">
        <v>203</v>
      </c>
      <c r="B328" s="175"/>
      <c r="C328" s="189"/>
      <c r="D328" s="175">
        <f>SUM(C321:C327)</f>
        <v>109894872.96000001</v>
      </c>
      <c r="E328" s="175"/>
    </row>
    <row r="329" spans="1:5" ht="12.6" customHeight="1" x14ac:dyDescent="0.25">
      <c r="A329" s="173" t="s">
        <v>419</v>
      </c>
      <c r="B329" s="175"/>
      <c r="C329" s="189"/>
      <c r="D329" s="175">
        <f>C313</f>
        <v>4042756.41</v>
      </c>
      <c r="E329" s="175"/>
    </row>
    <row r="330" spans="1:5" ht="12.6" customHeight="1" x14ac:dyDescent="0.25">
      <c r="A330" s="173" t="s">
        <v>420</v>
      </c>
      <c r="B330" s="175"/>
      <c r="C330" s="189"/>
      <c r="D330" s="175">
        <f>D328-D329</f>
        <v>105852116.55000001</v>
      </c>
      <c r="E330" s="175"/>
    </row>
    <row r="331" spans="1:5" ht="12.6" customHeight="1" x14ac:dyDescent="0.25">
      <c r="A331" s="173"/>
      <c r="B331" s="175"/>
      <c r="C331" s="189"/>
      <c r="D331" s="175"/>
      <c r="E331" s="175"/>
    </row>
    <row r="332" spans="1:5" ht="12.6" customHeight="1" x14ac:dyDescent="0.25">
      <c r="A332" s="173" t="s">
        <v>421</v>
      </c>
      <c r="B332" s="172" t="s">
        <v>256</v>
      </c>
      <c r="C332" s="219">
        <v>103238970.01000001</v>
      </c>
      <c r="D332" s="175"/>
      <c r="E332" s="175"/>
    </row>
    <row r="333" spans="1:5" ht="12.6" customHeight="1" x14ac:dyDescent="0.25">
      <c r="A333" s="173"/>
      <c r="B333" s="172"/>
      <c r="C333" s="226"/>
      <c r="D333" s="175"/>
      <c r="E333" s="175"/>
    </row>
    <row r="334" spans="1:5" ht="12.6" customHeight="1" x14ac:dyDescent="0.25">
      <c r="A334" s="173" t="s">
        <v>1142</v>
      </c>
      <c r="B334" s="172" t="s">
        <v>256</v>
      </c>
      <c r="C334" s="219"/>
      <c r="D334" s="175"/>
      <c r="E334" s="175"/>
    </row>
    <row r="335" spans="1:5" ht="12.6" customHeight="1" x14ac:dyDescent="0.25">
      <c r="A335" s="173" t="s">
        <v>1143</v>
      </c>
      <c r="B335" s="172" t="s">
        <v>256</v>
      </c>
      <c r="C335" s="219"/>
      <c r="D335" s="175"/>
      <c r="E335" s="175"/>
    </row>
    <row r="336" spans="1:5" ht="12.6" customHeight="1" x14ac:dyDescent="0.25">
      <c r="A336" s="173" t="s">
        <v>423</v>
      </c>
      <c r="B336" s="172" t="s">
        <v>256</v>
      </c>
      <c r="C336" s="219"/>
      <c r="D336" s="175"/>
      <c r="E336" s="175"/>
    </row>
    <row r="337" spans="1:5" ht="12.6" customHeight="1" x14ac:dyDescent="0.25">
      <c r="A337" s="173" t="s">
        <v>422</v>
      </c>
      <c r="B337" s="172" t="s">
        <v>256</v>
      </c>
      <c r="C337" s="187"/>
      <c r="D337" s="175"/>
      <c r="E337" s="175"/>
    </row>
    <row r="338" spans="1:5" ht="12.6" customHeight="1" x14ac:dyDescent="0.25">
      <c r="A338" s="173" t="s">
        <v>1253</v>
      </c>
      <c r="B338" s="172" t="s">
        <v>256</v>
      </c>
      <c r="C338" s="187"/>
      <c r="D338" s="175"/>
      <c r="E338" s="175"/>
    </row>
    <row r="339" spans="1:5" ht="12.6" customHeight="1" x14ac:dyDescent="0.25">
      <c r="A339" s="173" t="s">
        <v>424</v>
      </c>
      <c r="B339" s="175"/>
      <c r="C339" s="189"/>
      <c r="D339" s="175">
        <f>D314+D319+D330+C332+C336+C337</f>
        <v>231005078.98000002</v>
      </c>
      <c r="E339" s="175"/>
    </row>
    <row r="340" spans="1:5" ht="12.6" customHeight="1" x14ac:dyDescent="0.25">
      <c r="A340" s="173"/>
      <c r="B340" s="175"/>
      <c r="C340" s="189"/>
      <c r="D340" s="175"/>
      <c r="E340" s="175"/>
    </row>
    <row r="341" spans="1:5" ht="12.6" customHeight="1" x14ac:dyDescent="0.25">
      <c r="A341" s="173" t="s">
        <v>425</v>
      </c>
      <c r="B341" s="175"/>
      <c r="C341" s="189"/>
      <c r="D341" s="175">
        <f>D292</f>
        <v>231005077.85999998</v>
      </c>
      <c r="E341" s="175"/>
    </row>
    <row r="342" spans="1:5" ht="12.6" customHeight="1" x14ac:dyDescent="0.25">
      <c r="A342" s="173"/>
      <c r="B342" s="173"/>
      <c r="C342" s="189"/>
      <c r="D342" s="175"/>
      <c r="E342" s="175"/>
    </row>
    <row r="343" spans="1:5" ht="12.6" customHeight="1" x14ac:dyDescent="0.25">
      <c r="A343" s="173"/>
      <c r="B343" s="173"/>
      <c r="C343" s="189"/>
      <c r="D343" s="175"/>
      <c r="E343" s="175"/>
    </row>
    <row r="344" spans="1:5" ht="12.6" customHeight="1" x14ac:dyDescent="0.25">
      <c r="A344" s="173"/>
      <c r="B344" s="173"/>
      <c r="C344" s="189"/>
      <c r="D344" s="175"/>
      <c r="E344" s="175"/>
    </row>
    <row r="345" spans="1:5" ht="12.6" customHeight="1" x14ac:dyDescent="0.25">
      <c r="A345" s="173"/>
      <c r="B345" s="173"/>
      <c r="C345" s="189"/>
      <c r="D345" s="175"/>
      <c r="E345" s="175"/>
    </row>
    <row r="346" spans="1:5" ht="12.6" customHeight="1" x14ac:dyDescent="0.25">
      <c r="A346" s="173"/>
      <c r="B346" s="173"/>
      <c r="C346" s="189"/>
      <c r="D346" s="175"/>
      <c r="E346" s="175"/>
    </row>
    <row r="347" spans="1:5" ht="12.6" customHeight="1" x14ac:dyDescent="0.25">
      <c r="A347" s="173"/>
      <c r="B347" s="173"/>
      <c r="C347" s="189"/>
      <c r="D347" s="175"/>
      <c r="E347" s="175"/>
    </row>
    <row r="348" spans="1:5" ht="12.6" customHeight="1" x14ac:dyDescent="0.25">
      <c r="A348" s="173"/>
      <c r="B348" s="173"/>
      <c r="C348" s="189"/>
      <c r="D348" s="175"/>
      <c r="E348" s="175"/>
    </row>
    <row r="349" spans="1:5" ht="12.6" customHeight="1" x14ac:dyDescent="0.25">
      <c r="A349" s="173"/>
      <c r="B349" s="173"/>
      <c r="C349" s="189"/>
      <c r="D349" s="175"/>
      <c r="E349" s="175"/>
    </row>
    <row r="350" spans="1:5" ht="12.6" customHeight="1" x14ac:dyDescent="0.25">
      <c r="A350" s="173"/>
      <c r="B350" s="173"/>
      <c r="C350" s="189"/>
      <c r="D350" s="175"/>
      <c r="E350" s="175"/>
    </row>
    <row r="351" spans="1:5" ht="12.6" customHeight="1" x14ac:dyDescent="0.25">
      <c r="A351" s="173"/>
      <c r="B351" s="173"/>
      <c r="C351" s="189"/>
      <c r="D351" s="175"/>
      <c r="E351" s="175"/>
    </row>
    <row r="352" spans="1:5" ht="12.6" customHeight="1" x14ac:dyDescent="0.25">
      <c r="A352" s="173"/>
      <c r="B352" s="173"/>
      <c r="C352" s="189"/>
      <c r="D352" s="175"/>
      <c r="E352" s="175"/>
    </row>
    <row r="353" spans="1:5" ht="12.6" customHeight="1" x14ac:dyDescent="0.25">
      <c r="A353" s="173"/>
      <c r="B353" s="173"/>
      <c r="C353" s="189"/>
      <c r="D353" s="175"/>
      <c r="E353" s="175"/>
    </row>
    <row r="354" spans="1:5" ht="12.6" customHeight="1" x14ac:dyDescent="0.25">
      <c r="A354" s="173"/>
      <c r="B354" s="173"/>
      <c r="C354" s="189"/>
      <c r="D354" s="175"/>
      <c r="E354" s="175"/>
    </row>
    <row r="355" spans="1:5" ht="12.6" customHeight="1" x14ac:dyDescent="0.25">
      <c r="A355" s="173"/>
      <c r="B355" s="173"/>
      <c r="C355" s="189"/>
      <c r="D355" s="175"/>
      <c r="E355" s="175"/>
    </row>
    <row r="356" spans="1:5" ht="20.25" customHeight="1" x14ac:dyDescent="0.25">
      <c r="A356" s="173"/>
      <c r="B356" s="173"/>
      <c r="C356" s="189"/>
      <c r="D356" s="175"/>
      <c r="E356" s="175"/>
    </row>
    <row r="357" spans="1:5" ht="12.6" customHeight="1" x14ac:dyDescent="0.25">
      <c r="A357" s="206" t="s">
        <v>426</v>
      </c>
      <c r="B357" s="206"/>
      <c r="C357" s="206"/>
      <c r="D357" s="206"/>
      <c r="E357" s="206"/>
    </row>
    <row r="358" spans="1:5" ht="12.6" customHeight="1" x14ac:dyDescent="0.25">
      <c r="A358" s="251" t="s">
        <v>427</v>
      </c>
      <c r="B358" s="251"/>
      <c r="C358" s="251"/>
      <c r="D358" s="251"/>
      <c r="E358" s="251"/>
    </row>
    <row r="359" spans="1:5" ht="12.6" customHeight="1" x14ac:dyDescent="0.25">
      <c r="A359" s="173" t="s">
        <v>428</v>
      </c>
      <c r="B359" s="172" t="s">
        <v>256</v>
      </c>
      <c r="C359" s="187">
        <v>422375540.23000002</v>
      </c>
      <c r="D359" s="175"/>
      <c r="E359" s="175"/>
    </row>
    <row r="360" spans="1:5" ht="12.6" customHeight="1" x14ac:dyDescent="0.25">
      <c r="A360" s="173" t="s">
        <v>429</v>
      </c>
      <c r="B360" s="172" t="s">
        <v>256</v>
      </c>
      <c r="C360" s="187">
        <f>491503848.58+84471.88+399355.33</f>
        <v>491987675.78999996</v>
      </c>
      <c r="D360" s="175"/>
      <c r="E360" s="175"/>
    </row>
    <row r="361" spans="1:5" ht="12.6" customHeight="1" x14ac:dyDescent="0.25">
      <c r="A361" s="173" t="s">
        <v>430</v>
      </c>
      <c r="B361" s="175"/>
      <c r="C361" s="189"/>
      <c r="D361" s="175">
        <f>SUM(C359:C360)</f>
        <v>914363216.01999998</v>
      </c>
      <c r="E361" s="175"/>
    </row>
    <row r="362" spans="1:5" ht="12.6" customHeight="1" x14ac:dyDescent="0.25">
      <c r="A362" s="251" t="s">
        <v>431</v>
      </c>
      <c r="B362" s="251"/>
      <c r="C362" s="251"/>
      <c r="D362" s="251"/>
      <c r="E362" s="251"/>
    </row>
    <row r="363" spans="1:5" ht="12.6" customHeight="1" x14ac:dyDescent="0.25">
      <c r="A363" s="173" t="s">
        <v>1255</v>
      </c>
      <c r="B363" s="251"/>
      <c r="C363" s="187">
        <v>7052593.0999999996</v>
      </c>
      <c r="D363" s="175"/>
      <c r="E363" s="251"/>
    </row>
    <row r="364" spans="1:5" ht="12.6" customHeight="1" x14ac:dyDescent="0.25">
      <c r="A364" s="173" t="s">
        <v>432</v>
      </c>
      <c r="B364" s="172" t="s">
        <v>256</v>
      </c>
      <c r="C364" s="187">
        <v>699897644.14999998</v>
      </c>
      <c r="D364" s="175"/>
      <c r="E364" s="175"/>
    </row>
    <row r="365" spans="1:5" ht="12.6" customHeight="1" x14ac:dyDescent="0.25">
      <c r="A365" s="173" t="s">
        <v>433</v>
      </c>
      <c r="B365" s="172" t="s">
        <v>256</v>
      </c>
      <c r="C365" s="187">
        <v>19291499.77</v>
      </c>
      <c r="D365" s="175"/>
      <c r="E365" s="175"/>
    </row>
    <row r="366" spans="1:5" ht="12.6" customHeight="1" x14ac:dyDescent="0.25">
      <c r="A366" s="173" t="s">
        <v>434</v>
      </c>
      <c r="B366" s="172" t="s">
        <v>256</v>
      </c>
      <c r="C366" s="187"/>
      <c r="D366" s="175"/>
      <c r="E366" s="175"/>
    </row>
    <row r="367" spans="1:5" ht="12.6" customHeight="1" x14ac:dyDescent="0.25">
      <c r="A367" s="173" t="s">
        <v>359</v>
      </c>
      <c r="B367" s="175"/>
      <c r="C367" s="189"/>
      <c r="D367" s="175">
        <f>SUM(C363:C366)</f>
        <v>726241737.01999998</v>
      </c>
      <c r="E367" s="175"/>
    </row>
    <row r="368" spans="1:5" ht="12.6" customHeight="1" x14ac:dyDescent="0.25">
      <c r="A368" s="173" t="s">
        <v>435</v>
      </c>
      <c r="B368" s="175"/>
      <c r="C368" s="189"/>
      <c r="D368" s="175">
        <f>D361-D367</f>
        <v>188121479</v>
      </c>
      <c r="E368" s="175"/>
    </row>
    <row r="369" spans="1:5" ht="12.6" customHeight="1" x14ac:dyDescent="0.25">
      <c r="A369" s="251" t="s">
        <v>436</v>
      </c>
      <c r="B369" s="251"/>
      <c r="C369" s="251"/>
      <c r="D369" s="251"/>
      <c r="E369" s="251"/>
    </row>
    <row r="370" spans="1:5" ht="12.6" customHeight="1" x14ac:dyDescent="0.25">
      <c r="A370" s="173" t="s">
        <v>437</v>
      </c>
      <c r="B370" s="172" t="s">
        <v>256</v>
      </c>
      <c r="C370" s="187">
        <f>8594609.49+475000+1385274.74</f>
        <v>10454884.23</v>
      </c>
      <c r="D370" s="175"/>
      <c r="E370" s="175"/>
    </row>
    <row r="371" spans="1:5" ht="12.6" customHeight="1" x14ac:dyDescent="0.25">
      <c r="A371" s="173" t="s">
        <v>438</v>
      </c>
      <c r="B371" s="172" t="s">
        <v>256</v>
      </c>
      <c r="C371" s="187"/>
      <c r="D371" s="175"/>
      <c r="E371" s="175"/>
    </row>
    <row r="372" spans="1:5" ht="12.6" customHeight="1" x14ac:dyDescent="0.25">
      <c r="A372" s="173" t="s">
        <v>439</v>
      </c>
      <c r="B372" s="175"/>
      <c r="C372" s="189"/>
      <c r="D372" s="175">
        <f>SUM(C370:C371)</f>
        <v>10454884.23</v>
      </c>
      <c r="E372" s="175"/>
    </row>
    <row r="373" spans="1:5" ht="12.6" customHeight="1" x14ac:dyDescent="0.25">
      <c r="A373" s="173" t="s">
        <v>440</v>
      </c>
      <c r="B373" s="175"/>
      <c r="C373" s="189"/>
      <c r="D373" s="175">
        <f>D368+D372</f>
        <v>198576363.22999999</v>
      </c>
      <c r="E373" s="175"/>
    </row>
    <row r="374" spans="1:5" ht="12.6" customHeight="1" x14ac:dyDescent="0.25">
      <c r="A374" s="173"/>
      <c r="B374" s="175"/>
      <c r="C374" s="189"/>
      <c r="D374" s="175"/>
      <c r="E374" s="175"/>
    </row>
    <row r="375" spans="1:5" ht="12.6" customHeight="1" x14ac:dyDescent="0.25">
      <c r="A375" s="173"/>
      <c r="B375" s="175"/>
      <c r="C375" s="189"/>
      <c r="D375" s="175"/>
      <c r="E375" s="175"/>
    </row>
    <row r="376" spans="1:5" ht="12.6" customHeight="1" x14ac:dyDescent="0.25">
      <c r="A376" s="173"/>
      <c r="B376" s="175"/>
      <c r="C376" s="189"/>
      <c r="D376" s="175"/>
      <c r="E376" s="175"/>
    </row>
    <row r="377" spans="1:5" ht="12.6" customHeight="1" x14ac:dyDescent="0.25">
      <c r="A377" s="251" t="s">
        <v>441</v>
      </c>
      <c r="B377" s="251"/>
      <c r="C377" s="251"/>
      <c r="D377" s="251"/>
      <c r="E377" s="251"/>
    </row>
    <row r="378" spans="1:5" ht="12.6" customHeight="1" x14ac:dyDescent="0.25">
      <c r="A378" s="173" t="s">
        <v>442</v>
      </c>
      <c r="B378" s="172" t="s">
        <v>256</v>
      </c>
      <c r="C378" s="187">
        <f>56969964.39+5270100.76</f>
        <v>62240065.149999999</v>
      </c>
      <c r="D378" s="175"/>
      <c r="E378" s="175"/>
    </row>
    <row r="379" spans="1:5" ht="12.6" customHeight="1" x14ac:dyDescent="0.25">
      <c r="A379" s="173" t="s">
        <v>3</v>
      </c>
      <c r="B379" s="172" t="s">
        <v>256</v>
      </c>
      <c r="C379" s="187">
        <v>17375838</v>
      </c>
      <c r="D379" s="175"/>
      <c r="E379" s="175"/>
    </row>
    <row r="380" spans="1:5" ht="12.6" customHeight="1" x14ac:dyDescent="0.25">
      <c r="A380" s="173" t="s">
        <v>236</v>
      </c>
      <c r="B380" s="172" t="s">
        <v>256</v>
      </c>
      <c r="C380" s="187">
        <f>8428669.35</f>
        <v>8428669.3499999996</v>
      </c>
      <c r="D380" s="175"/>
      <c r="E380" s="175"/>
    </row>
    <row r="381" spans="1:5" ht="12.6" customHeight="1" x14ac:dyDescent="0.25">
      <c r="A381" s="173" t="s">
        <v>443</v>
      </c>
      <c r="B381" s="172" t="s">
        <v>256</v>
      </c>
      <c r="C381" s="187">
        <v>24034251.359999999</v>
      </c>
      <c r="D381" s="175"/>
      <c r="E381" s="175"/>
    </row>
    <row r="382" spans="1:5" ht="12.6" customHeight="1" x14ac:dyDescent="0.25">
      <c r="A382" s="173" t="s">
        <v>444</v>
      </c>
      <c r="B382" s="172" t="s">
        <v>256</v>
      </c>
      <c r="C382" s="187">
        <v>1625453.54</v>
      </c>
      <c r="D382" s="175"/>
      <c r="E382" s="175"/>
    </row>
    <row r="383" spans="1:5" ht="12.6" customHeight="1" x14ac:dyDescent="0.25">
      <c r="A383" s="173" t="s">
        <v>445</v>
      </c>
      <c r="B383" s="172" t="s">
        <v>256</v>
      </c>
      <c r="C383" s="187">
        <f>44080284.62+1085585.33+2265504+26091.06</f>
        <v>47457465.009999998</v>
      </c>
      <c r="D383" s="175"/>
      <c r="E383" s="175"/>
    </row>
    <row r="384" spans="1:5" ht="12.6" customHeight="1" x14ac:dyDescent="0.25">
      <c r="A384" s="173" t="s">
        <v>6</v>
      </c>
      <c r="B384" s="172" t="s">
        <v>256</v>
      </c>
      <c r="C384" s="187">
        <v>13934081.640000001</v>
      </c>
      <c r="D384" s="175"/>
      <c r="E384" s="175"/>
    </row>
    <row r="385" spans="1:6" ht="12.6" customHeight="1" x14ac:dyDescent="0.25">
      <c r="A385" s="173" t="s">
        <v>446</v>
      </c>
      <c r="B385" s="172" t="s">
        <v>256</v>
      </c>
      <c r="C385" s="187">
        <v>1962104.65</v>
      </c>
      <c r="D385" s="175"/>
      <c r="E385" s="175"/>
    </row>
    <row r="386" spans="1:6" ht="12.6" customHeight="1" x14ac:dyDescent="0.25">
      <c r="A386" s="173" t="s">
        <v>447</v>
      </c>
      <c r="B386" s="172" t="s">
        <v>256</v>
      </c>
      <c r="C386" s="187">
        <v>1812906.83</v>
      </c>
      <c r="D386" s="175"/>
      <c r="E386" s="175"/>
    </row>
    <row r="387" spans="1:6" ht="12.6" customHeight="1" x14ac:dyDescent="0.25">
      <c r="A387" s="173" t="s">
        <v>448</v>
      </c>
      <c r="B387" s="172" t="s">
        <v>256</v>
      </c>
      <c r="C387" s="187">
        <f>30059.89+6104569.6</f>
        <v>6134629.4899999993</v>
      </c>
      <c r="D387" s="175"/>
      <c r="E387" s="175"/>
    </row>
    <row r="388" spans="1:6" ht="12.6" customHeight="1" x14ac:dyDescent="0.25">
      <c r="A388" s="173" t="s">
        <v>449</v>
      </c>
      <c r="B388" s="172" t="s">
        <v>256</v>
      </c>
      <c r="C388" s="187">
        <v>5191541.09</v>
      </c>
      <c r="D388" s="175"/>
      <c r="E388" s="175"/>
    </row>
    <row r="389" spans="1:6" ht="12.6" customHeight="1" x14ac:dyDescent="0.25">
      <c r="A389" s="173" t="s">
        <v>451</v>
      </c>
      <c r="B389" s="172" t="s">
        <v>256</v>
      </c>
      <c r="C389" s="187">
        <f>76757.43+138123.09+150035.77+187.54+42476.42+415182.63-30059.89-8600+755733.64</f>
        <v>1539836.63</v>
      </c>
      <c r="D389" s="175"/>
      <c r="E389" s="175"/>
    </row>
    <row r="390" spans="1:6" ht="12.6" customHeight="1" x14ac:dyDescent="0.25">
      <c r="A390" s="173" t="s">
        <v>452</v>
      </c>
      <c r="B390" s="175"/>
      <c r="C390" s="189"/>
      <c r="D390" s="175">
        <f>SUM(C378:C389)</f>
        <v>191736842.74000004</v>
      </c>
      <c r="E390" s="175"/>
    </row>
    <row r="391" spans="1:6" ht="12.6" customHeight="1" x14ac:dyDescent="0.25">
      <c r="A391" s="173" t="s">
        <v>453</v>
      </c>
      <c r="B391" s="175"/>
      <c r="C391" s="189"/>
      <c r="D391" s="175">
        <f>D373-D390</f>
        <v>6839520.4899999499</v>
      </c>
      <c r="E391" s="175"/>
    </row>
    <row r="392" spans="1:6" ht="12.6" customHeight="1" x14ac:dyDescent="0.25">
      <c r="A392" s="173" t="s">
        <v>454</v>
      </c>
      <c r="B392" s="172" t="s">
        <v>256</v>
      </c>
      <c r="C392" s="187">
        <v>936562.48</v>
      </c>
      <c r="D392" s="175"/>
      <c r="E392" s="175"/>
    </row>
    <row r="393" spans="1:6" ht="12.6" customHeight="1" x14ac:dyDescent="0.25">
      <c r="A393" s="173" t="s">
        <v>455</v>
      </c>
      <c r="B393" s="175"/>
      <c r="C393" s="189"/>
      <c r="D393" s="193">
        <f>D391+C392</f>
        <v>7776082.9699999504</v>
      </c>
      <c r="E393" s="175"/>
      <c r="F393" s="195"/>
    </row>
    <row r="394" spans="1:6" ht="12.6" customHeight="1" x14ac:dyDescent="0.25">
      <c r="A394" s="173" t="s">
        <v>456</v>
      </c>
      <c r="B394" s="172" t="s">
        <v>256</v>
      </c>
      <c r="C394" s="187"/>
      <c r="D394" s="175"/>
      <c r="E394" s="175"/>
    </row>
    <row r="395" spans="1:6" ht="12.6" customHeight="1" x14ac:dyDescent="0.25">
      <c r="A395" s="173" t="s">
        <v>457</v>
      </c>
      <c r="B395" s="172" t="s">
        <v>256</v>
      </c>
      <c r="C395" s="187"/>
      <c r="D395" s="175"/>
      <c r="E395" s="175"/>
    </row>
    <row r="396" spans="1:6" ht="12.6" customHeight="1" x14ac:dyDescent="0.25">
      <c r="A396" s="173" t="s">
        <v>458</v>
      </c>
      <c r="B396" s="175"/>
      <c r="C396" s="189"/>
      <c r="D396" s="175">
        <f>D393+C394-C395</f>
        <v>7776082.9699999504</v>
      </c>
      <c r="E396" s="175"/>
    </row>
    <row r="397" spans="1:6" ht="13.5" customHeight="1" x14ac:dyDescent="0.25">
      <c r="A397" s="179"/>
      <c r="B397" s="179"/>
    </row>
    <row r="398" spans="1:6" ht="12.6" customHeight="1" x14ac:dyDescent="0.25">
      <c r="A398" s="179"/>
      <c r="B398" s="179"/>
    </row>
    <row r="399" spans="1:6" ht="12.6" customHeight="1" x14ac:dyDescent="0.25">
      <c r="A399" s="179"/>
      <c r="B399" s="179"/>
    </row>
    <row r="400" spans="1:6" ht="12" customHeight="1" x14ac:dyDescent="0.25">
      <c r="A400" s="179"/>
      <c r="B400" s="179"/>
    </row>
    <row r="401" spans="1:5" ht="12" customHeight="1" x14ac:dyDescent="0.25">
      <c r="A401" s="179"/>
      <c r="B401" s="179"/>
    </row>
    <row r="402" spans="1:5" ht="12" customHeight="1" x14ac:dyDescent="0.25">
      <c r="A402" s="179"/>
      <c r="B402" s="179"/>
    </row>
    <row r="403" spans="1:5" ht="12" customHeight="1" x14ac:dyDescent="0.25">
      <c r="A403" s="179"/>
      <c r="B403" s="179"/>
    </row>
    <row r="404" spans="1:5" ht="12" customHeight="1" x14ac:dyDescent="0.25">
      <c r="A404" s="179"/>
      <c r="B404" s="179"/>
    </row>
    <row r="405" spans="1:5" ht="12.6" customHeight="1" x14ac:dyDescent="0.25">
      <c r="A405" s="179"/>
      <c r="B405" s="179"/>
    </row>
    <row r="406" spans="1:5" ht="12.6" customHeight="1" x14ac:dyDescent="0.25">
      <c r="A406" s="179"/>
      <c r="B406" s="179"/>
    </row>
    <row r="407" spans="1:5" ht="12.6" customHeight="1" x14ac:dyDescent="0.25">
      <c r="A407" s="179"/>
      <c r="B407" s="179"/>
    </row>
    <row r="408" spans="1:5" ht="12.6" customHeight="1" x14ac:dyDescent="0.25">
      <c r="A408" s="179"/>
      <c r="B408" s="179"/>
    </row>
    <row r="409" spans="1:5" ht="12.6" customHeight="1" x14ac:dyDescent="0.25">
      <c r="A409" s="179"/>
      <c r="B409" s="179"/>
    </row>
    <row r="410" spans="1:5" ht="12.6" customHeight="1" x14ac:dyDescent="0.25">
      <c r="A410" s="179"/>
      <c r="B410" s="179"/>
    </row>
    <row r="411" spans="1:5" ht="12.6" customHeight="1" x14ac:dyDescent="0.25">
      <c r="A411" s="179"/>
      <c r="B411" s="179"/>
      <c r="C411" s="181" t="s">
        <v>459</v>
      </c>
      <c r="D411" s="179"/>
      <c r="E411" s="254"/>
    </row>
    <row r="412" spans="1:5" ht="12.6" customHeight="1" x14ac:dyDescent="0.25">
      <c r="A412" s="179" t="str">
        <f>C84&amp;"   "&amp;"H-"&amp;FIXED(C83,0,TRUE)&amp;"     FYE "&amp;C82</f>
        <v>Highline Medical Center   H-0     FYE 06/30/2018</v>
      </c>
      <c r="B412" s="179"/>
      <c r="C412" s="179"/>
      <c r="D412" s="179"/>
      <c r="E412" s="254"/>
    </row>
    <row r="413" spans="1:5" ht="12.6" customHeight="1" x14ac:dyDescent="0.25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" customHeight="1" x14ac:dyDescent="0.25">
      <c r="A414" s="179" t="s">
        <v>463</v>
      </c>
      <c r="B414" s="179">
        <f>C111</f>
        <v>6923</v>
      </c>
      <c r="C414" s="192">
        <f>E138</f>
        <v>6923</v>
      </c>
      <c r="D414" s="179"/>
    </row>
    <row r="415" spans="1:5" ht="12.6" customHeight="1" x14ac:dyDescent="0.25">
      <c r="A415" s="179" t="s">
        <v>464</v>
      </c>
      <c r="B415" s="179">
        <f>D111</f>
        <v>31377</v>
      </c>
      <c r="C415" s="179">
        <f>E139</f>
        <v>31377</v>
      </c>
      <c r="D415" s="192">
        <f>SUM(C59:H59)+N59</f>
        <v>31377</v>
      </c>
    </row>
    <row r="416" spans="1:5" ht="12.6" customHeight="1" x14ac:dyDescent="0.25">
      <c r="A416" s="179"/>
      <c r="B416" s="179"/>
      <c r="C416" s="192"/>
      <c r="D416" s="179"/>
    </row>
    <row r="417" spans="1:7" ht="12.6" customHeight="1" x14ac:dyDescent="0.25">
      <c r="A417" s="179" t="s">
        <v>465</v>
      </c>
      <c r="B417" s="179">
        <f>C112</f>
        <v>0</v>
      </c>
      <c r="C417" s="192">
        <f>E144</f>
        <v>0</v>
      </c>
      <c r="D417" s="179"/>
    </row>
    <row r="418" spans="1:7" ht="12.6" customHeight="1" x14ac:dyDescent="0.25">
      <c r="A418" s="179" t="s">
        <v>466</v>
      </c>
      <c r="B418" s="179">
        <f>D112</f>
        <v>0</v>
      </c>
      <c r="C418" s="179">
        <f>E145</f>
        <v>0</v>
      </c>
      <c r="D418" s="179">
        <f>K59+L59</f>
        <v>0</v>
      </c>
    </row>
    <row r="419" spans="1:7" ht="12.6" customHeight="1" x14ac:dyDescent="0.25">
      <c r="A419" s="179"/>
      <c r="B419" s="179"/>
      <c r="C419" s="192"/>
      <c r="D419" s="179"/>
    </row>
    <row r="420" spans="1:7" ht="12.6" customHeight="1" x14ac:dyDescent="0.25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" customHeight="1" x14ac:dyDescent="0.25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" customHeight="1" x14ac:dyDescent="0.25">
      <c r="A422" s="204"/>
      <c r="B422" s="204"/>
      <c r="C422" s="181"/>
      <c r="D422" s="179"/>
    </row>
    <row r="423" spans="1:7" ht="12.6" customHeight="1" x14ac:dyDescent="0.25">
      <c r="A423" s="180" t="s">
        <v>469</v>
      </c>
      <c r="B423" s="180">
        <f>C114</f>
        <v>962</v>
      </c>
    </row>
    <row r="424" spans="1:7" ht="12.6" customHeight="1" x14ac:dyDescent="0.25">
      <c r="A424" s="179" t="s">
        <v>1244</v>
      </c>
      <c r="B424" s="179">
        <f>D114</f>
        <v>1661</v>
      </c>
      <c r="D424" s="179">
        <f>J59</f>
        <v>1661</v>
      </c>
    </row>
    <row r="425" spans="1:7" ht="12.6" customHeight="1" x14ac:dyDescent="0.25">
      <c r="A425" s="204"/>
      <c r="B425" s="204"/>
      <c r="C425" s="204"/>
      <c r="D425" s="204"/>
      <c r="F425" s="204"/>
      <c r="G425" s="204"/>
    </row>
    <row r="426" spans="1:7" ht="12.6" customHeight="1" x14ac:dyDescent="0.25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" customHeight="1" x14ac:dyDescent="0.25">
      <c r="A427" s="179" t="s">
        <v>473</v>
      </c>
      <c r="B427" s="179">
        <f t="shared" ref="B427:B437" si="12">C378</f>
        <v>62240065.149999999</v>
      </c>
      <c r="C427" s="179">
        <f t="shared" ref="C427:C434" si="13">CE61</f>
        <v>62240065.149999999</v>
      </c>
      <c r="D427" s="179"/>
    </row>
    <row r="428" spans="1:7" ht="12.6" customHeight="1" x14ac:dyDescent="0.25">
      <c r="A428" s="179" t="s">
        <v>3</v>
      </c>
      <c r="B428" s="179">
        <f t="shared" si="12"/>
        <v>17375838</v>
      </c>
      <c r="C428" s="179">
        <f t="shared" si="13"/>
        <v>17375838</v>
      </c>
      <c r="D428" s="179">
        <f>D173</f>
        <v>17375838.800000001</v>
      </c>
    </row>
    <row r="429" spans="1:7" ht="12.6" customHeight="1" x14ac:dyDescent="0.25">
      <c r="A429" s="179" t="s">
        <v>236</v>
      </c>
      <c r="B429" s="179">
        <f t="shared" si="12"/>
        <v>8428669.3499999996</v>
      </c>
      <c r="C429" s="179">
        <f t="shared" si="13"/>
        <v>8428669.3499999996</v>
      </c>
      <c r="D429" s="179"/>
    </row>
    <row r="430" spans="1:7" ht="12.6" customHeight="1" x14ac:dyDescent="0.25">
      <c r="A430" s="179" t="s">
        <v>237</v>
      </c>
      <c r="B430" s="179">
        <f t="shared" si="12"/>
        <v>24034251.359999999</v>
      </c>
      <c r="C430" s="179">
        <f t="shared" si="13"/>
        <v>24034251.360000003</v>
      </c>
      <c r="D430" s="179"/>
    </row>
    <row r="431" spans="1:7" ht="12.6" customHeight="1" x14ac:dyDescent="0.25">
      <c r="A431" s="179" t="s">
        <v>444</v>
      </c>
      <c r="B431" s="179">
        <f t="shared" si="12"/>
        <v>1625453.54</v>
      </c>
      <c r="C431" s="179">
        <f t="shared" si="13"/>
        <v>1625453.54</v>
      </c>
      <c r="D431" s="179"/>
    </row>
    <row r="432" spans="1:7" ht="12.6" customHeight="1" x14ac:dyDescent="0.25">
      <c r="A432" s="179" t="s">
        <v>445</v>
      </c>
      <c r="B432" s="179">
        <f t="shared" si="12"/>
        <v>47457465.009999998</v>
      </c>
      <c r="C432" s="179">
        <f t="shared" si="13"/>
        <v>47457465.201721974</v>
      </c>
      <c r="D432" s="179"/>
    </row>
    <row r="433" spans="1:7" ht="12.6" customHeight="1" x14ac:dyDescent="0.25">
      <c r="A433" s="179" t="s">
        <v>6</v>
      </c>
      <c r="B433" s="179">
        <f t="shared" si="12"/>
        <v>13934081.640000001</v>
      </c>
      <c r="C433" s="179">
        <f t="shared" si="13"/>
        <v>13934081</v>
      </c>
      <c r="D433" s="179">
        <f>C217</f>
        <v>13934081.440000001</v>
      </c>
    </row>
    <row r="434" spans="1:7" ht="12.6" customHeight="1" x14ac:dyDescent="0.25">
      <c r="A434" s="179" t="s">
        <v>474</v>
      </c>
      <c r="B434" s="179">
        <f t="shared" si="12"/>
        <v>1962104.65</v>
      </c>
      <c r="C434" s="179">
        <f t="shared" si="13"/>
        <v>1962104.6500000004</v>
      </c>
      <c r="D434" s="179">
        <f>D177</f>
        <v>1962104.65</v>
      </c>
    </row>
    <row r="435" spans="1:7" ht="12.6" customHeight="1" x14ac:dyDescent="0.25">
      <c r="A435" s="179" t="s">
        <v>447</v>
      </c>
      <c r="B435" s="179">
        <f t="shared" si="12"/>
        <v>1812906.83</v>
      </c>
      <c r="C435" s="179"/>
      <c r="D435" s="179">
        <f>D181</f>
        <v>1812906.83</v>
      </c>
    </row>
    <row r="436" spans="1:7" ht="12.6" customHeight="1" x14ac:dyDescent="0.25">
      <c r="A436" s="179" t="s">
        <v>475</v>
      </c>
      <c r="B436" s="179">
        <f t="shared" si="12"/>
        <v>6134629.4899999993</v>
      </c>
      <c r="C436" s="179"/>
      <c r="D436" s="179">
        <f>D186</f>
        <v>6134629.4899999993</v>
      </c>
    </row>
    <row r="437" spans="1:7" ht="12.6" customHeight="1" x14ac:dyDescent="0.25">
      <c r="A437" s="192" t="s">
        <v>449</v>
      </c>
      <c r="B437" s="192">
        <f t="shared" si="12"/>
        <v>5191541.09</v>
      </c>
      <c r="C437" s="192"/>
      <c r="D437" s="192">
        <f>D190</f>
        <v>5191541.09</v>
      </c>
    </row>
    <row r="438" spans="1:7" ht="12.6" customHeight="1" x14ac:dyDescent="0.25">
      <c r="A438" s="192" t="s">
        <v>476</v>
      </c>
      <c r="B438" s="192">
        <f>C386+C387+C388</f>
        <v>13139077.41</v>
      </c>
      <c r="C438" s="192">
        <f>CD69</f>
        <v>0</v>
      </c>
      <c r="D438" s="192">
        <f>D181+D186+D190</f>
        <v>13139077.41</v>
      </c>
    </row>
    <row r="439" spans="1:7" ht="12.6" customHeight="1" x14ac:dyDescent="0.25">
      <c r="A439" s="179" t="s">
        <v>451</v>
      </c>
      <c r="B439" s="192">
        <f>C389</f>
        <v>1539836.63</v>
      </c>
      <c r="C439" s="192">
        <f>SUM(C69:CC69)</f>
        <v>14678914.040000001</v>
      </c>
      <c r="D439" s="179"/>
    </row>
    <row r="440" spans="1:7" ht="12.6" customHeight="1" x14ac:dyDescent="0.25">
      <c r="A440" s="179" t="s">
        <v>477</v>
      </c>
      <c r="B440" s="192">
        <f>B438+B439</f>
        <v>14678914.039999999</v>
      </c>
      <c r="C440" s="192">
        <f>CE69</f>
        <v>14678914.040000001</v>
      </c>
      <c r="D440" s="179"/>
    </row>
    <row r="441" spans="1:7" ht="12.6" customHeight="1" x14ac:dyDescent="0.25">
      <c r="A441" s="179" t="s">
        <v>478</v>
      </c>
      <c r="B441" s="179">
        <f>D390</f>
        <v>191736842.74000004</v>
      </c>
      <c r="C441" s="179">
        <f>SUM(C427:C437)+C440</f>
        <v>191736842.29172197</v>
      </c>
      <c r="D441" s="179"/>
    </row>
    <row r="442" spans="1:7" ht="12.6" customHeight="1" x14ac:dyDescent="0.25">
      <c r="A442" s="204"/>
      <c r="B442" s="204"/>
      <c r="C442" s="204"/>
      <c r="D442" s="204"/>
      <c r="F442" s="204"/>
      <c r="G442" s="204"/>
    </row>
    <row r="443" spans="1:7" ht="12.6" customHeight="1" x14ac:dyDescent="0.25">
      <c r="A443" s="179" t="s">
        <v>479</v>
      </c>
      <c r="B443" s="181" t="s">
        <v>480</v>
      </c>
      <c r="C443" s="181" t="s">
        <v>471</v>
      </c>
      <c r="D443" s="179"/>
    </row>
    <row r="444" spans="1:7" ht="12.6" customHeight="1" x14ac:dyDescent="0.25">
      <c r="A444" s="179" t="s">
        <v>1257</v>
      </c>
      <c r="B444" s="179">
        <f>D221</f>
        <v>7052593.0999999996</v>
      </c>
      <c r="C444" s="179">
        <f>C363</f>
        <v>7052593.0999999996</v>
      </c>
      <c r="D444" s="179"/>
    </row>
    <row r="445" spans="1:7" ht="12.6" customHeight="1" x14ac:dyDescent="0.25">
      <c r="A445" s="179" t="s">
        <v>343</v>
      </c>
      <c r="B445" s="179">
        <f>D229</f>
        <v>699897644.14999998</v>
      </c>
      <c r="C445" s="179">
        <f>C364</f>
        <v>699897644.14999998</v>
      </c>
      <c r="D445" s="179"/>
    </row>
    <row r="446" spans="1:7" ht="12.6" customHeight="1" x14ac:dyDescent="0.25">
      <c r="A446" s="179" t="s">
        <v>351</v>
      </c>
      <c r="B446" s="179">
        <f>D236</f>
        <v>19291499.77</v>
      </c>
      <c r="C446" s="179">
        <f>C365</f>
        <v>19291499.77</v>
      </c>
      <c r="D446" s="179"/>
    </row>
    <row r="447" spans="1:7" ht="12.6" customHeight="1" x14ac:dyDescent="0.25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" customHeight="1" x14ac:dyDescent="0.25">
      <c r="A448" s="179" t="s">
        <v>358</v>
      </c>
      <c r="B448" s="179">
        <f>D242</f>
        <v>726241737.01999998</v>
      </c>
      <c r="C448" s="179">
        <f>D367</f>
        <v>726241737.01999998</v>
      </c>
      <c r="D448" s="179"/>
    </row>
    <row r="449" spans="1:7" ht="12.6" customHeight="1" x14ac:dyDescent="0.25">
      <c r="A449" s="204"/>
      <c r="B449" s="204"/>
      <c r="C449" s="204"/>
      <c r="D449" s="204"/>
      <c r="F449" s="204"/>
      <c r="G449" s="204"/>
    </row>
    <row r="450" spans="1:7" ht="12.6" customHeight="1" x14ac:dyDescent="0.25">
      <c r="A450" s="180" t="s">
        <v>481</v>
      </c>
      <c r="B450" s="181" t="s">
        <v>482</v>
      </c>
      <c r="C450" s="204"/>
      <c r="D450" s="204"/>
      <c r="F450" s="204"/>
      <c r="G450" s="204"/>
    </row>
    <row r="451" spans="1:7" ht="12.6" customHeight="1" x14ac:dyDescent="0.25">
      <c r="B451" s="181" t="s">
        <v>483</v>
      </c>
    </row>
    <row r="452" spans="1:7" ht="12.6" customHeight="1" x14ac:dyDescent="0.25">
      <c r="B452" s="181" t="s">
        <v>472</v>
      </c>
    </row>
    <row r="453" spans="1:7" ht="12.6" customHeight="1" x14ac:dyDescent="0.25">
      <c r="A453" s="197" t="s">
        <v>484</v>
      </c>
      <c r="B453" s="180">
        <f>C231</f>
        <v>3758</v>
      </c>
    </row>
    <row r="454" spans="1:7" ht="12.6" customHeight="1" x14ac:dyDescent="0.25">
      <c r="A454" s="179" t="s">
        <v>168</v>
      </c>
      <c r="B454" s="179">
        <f>C233</f>
        <v>9442295.8100000005</v>
      </c>
      <c r="C454" s="179"/>
      <c r="D454" s="179"/>
    </row>
    <row r="455" spans="1:7" ht="12.6" customHeight="1" x14ac:dyDescent="0.25">
      <c r="A455" s="179" t="s">
        <v>131</v>
      </c>
      <c r="B455" s="179">
        <f>C234</f>
        <v>9849203.959999999</v>
      </c>
      <c r="C455" s="179"/>
      <c r="D455" s="179"/>
    </row>
    <row r="456" spans="1:7" ht="12.6" customHeight="1" x14ac:dyDescent="0.25">
      <c r="A456" s="204"/>
      <c r="B456" s="204"/>
      <c r="C456" s="204"/>
      <c r="D456" s="204"/>
      <c r="F456" s="204"/>
      <c r="G456" s="204"/>
    </row>
    <row r="457" spans="1:7" ht="12.6" customHeight="1" x14ac:dyDescent="0.25">
      <c r="A457" s="179" t="s">
        <v>485</v>
      </c>
      <c r="B457" s="181" t="s">
        <v>471</v>
      </c>
      <c r="C457" s="181" t="s">
        <v>486</v>
      </c>
      <c r="D457" s="179"/>
    </row>
    <row r="458" spans="1:7" ht="12.6" customHeight="1" x14ac:dyDescent="0.25">
      <c r="A458" s="179" t="s">
        <v>487</v>
      </c>
      <c r="B458" s="192">
        <f>C370</f>
        <v>10454884.23</v>
      </c>
      <c r="C458" s="192">
        <f>CE70</f>
        <v>10454884.23</v>
      </c>
      <c r="D458" s="192"/>
    </row>
    <row r="459" spans="1:7" ht="12.6" customHeight="1" x14ac:dyDescent="0.25">
      <c r="A459" s="179" t="s">
        <v>244</v>
      </c>
      <c r="B459" s="192">
        <f>C371</f>
        <v>0</v>
      </c>
      <c r="C459" s="192">
        <f>CE72</f>
        <v>0</v>
      </c>
      <c r="D459" s="192"/>
    </row>
    <row r="460" spans="1:7" ht="12.6" customHeight="1" x14ac:dyDescent="0.25">
      <c r="A460" s="204"/>
      <c r="B460" s="204"/>
      <c r="C460" s="204"/>
      <c r="D460" s="204"/>
      <c r="F460" s="204"/>
      <c r="G460" s="204"/>
    </row>
    <row r="461" spans="1:7" ht="12.6" customHeight="1" x14ac:dyDescent="0.25">
      <c r="A461" s="179" t="s">
        <v>488</v>
      </c>
      <c r="B461" s="181"/>
      <c r="C461" s="181"/>
      <c r="D461" s="181" t="s">
        <v>1245</v>
      </c>
    </row>
    <row r="462" spans="1:7" ht="12.6" customHeight="1" x14ac:dyDescent="0.25">
      <c r="B462" s="181" t="s">
        <v>471</v>
      </c>
      <c r="C462" s="181" t="s">
        <v>486</v>
      </c>
      <c r="D462" s="181" t="s">
        <v>490</v>
      </c>
    </row>
    <row r="463" spans="1:7" ht="12.6" customHeight="1" x14ac:dyDescent="0.25">
      <c r="A463" s="179" t="s">
        <v>245</v>
      </c>
      <c r="B463" s="192">
        <f>C359</f>
        <v>422375540.23000002</v>
      </c>
      <c r="C463" s="192">
        <f>CE73</f>
        <v>422375540.22999996</v>
      </c>
      <c r="D463" s="192">
        <f>E141+E147+E153</f>
        <v>422375540.23000002</v>
      </c>
    </row>
    <row r="464" spans="1:7" ht="12.6" customHeight="1" x14ac:dyDescent="0.25">
      <c r="A464" s="179" t="s">
        <v>246</v>
      </c>
      <c r="B464" s="192">
        <f>C360</f>
        <v>491987675.78999996</v>
      </c>
      <c r="C464" s="192">
        <f>CE74</f>
        <v>491987675.78999996</v>
      </c>
      <c r="D464" s="192">
        <f>E142+E148+E154</f>
        <v>491987675.79000002</v>
      </c>
    </row>
    <row r="465" spans="1:7" ht="12.6" customHeight="1" x14ac:dyDescent="0.25">
      <c r="A465" s="179" t="s">
        <v>247</v>
      </c>
      <c r="B465" s="192">
        <f>D361</f>
        <v>914363216.01999998</v>
      </c>
      <c r="C465" s="192">
        <f>CE75</f>
        <v>914363216.01999986</v>
      </c>
      <c r="D465" s="192">
        <f>D463+D464</f>
        <v>914363216.01999998</v>
      </c>
    </row>
    <row r="466" spans="1:7" ht="12.6" customHeight="1" x14ac:dyDescent="0.25">
      <c r="A466" s="204"/>
      <c r="B466" s="204"/>
      <c r="C466" s="204"/>
      <c r="D466" s="204"/>
      <c r="F466" s="204"/>
      <c r="G466" s="204"/>
    </row>
    <row r="467" spans="1:7" ht="12.6" customHeight="1" x14ac:dyDescent="0.25">
      <c r="A467" s="179" t="s">
        <v>491</v>
      </c>
      <c r="B467" s="181" t="s">
        <v>492</v>
      </c>
      <c r="C467" s="181" t="s">
        <v>493</v>
      </c>
      <c r="D467" s="179"/>
    </row>
    <row r="468" spans="1:7" ht="12.6" customHeight="1" x14ac:dyDescent="0.25">
      <c r="A468" s="179" t="s">
        <v>332</v>
      </c>
      <c r="B468" s="179">
        <f t="shared" ref="B468:B475" si="14">C267</f>
        <v>7414345.5499999998</v>
      </c>
      <c r="C468" s="179">
        <f>E195</f>
        <v>7414345.5499999998</v>
      </c>
      <c r="D468" s="179"/>
    </row>
    <row r="469" spans="1:7" ht="12.6" customHeight="1" x14ac:dyDescent="0.25">
      <c r="A469" s="179" t="s">
        <v>333</v>
      </c>
      <c r="B469" s="179">
        <f t="shared" si="14"/>
        <v>1128574.1200000001</v>
      </c>
      <c r="C469" s="179">
        <f>E196</f>
        <v>1128574.1199999999</v>
      </c>
      <c r="D469" s="179"/>
    </row>
    <row r="470" spans="1:7" ht="12.6" customHeight="1" x14ac:dyDescent="0.25">
      <c r="A470" s="179" t="s">
        <v>334</v>
      </c>
      <c r="B470" s="179">
        <f t="shared" si="14"/>
        <v>93535040.25</v>
      </c>
      <c r="C470" s="179">
        <f>E197</f>
        <v>93535039.290000007</v>
      </c>
      <c r="D470" s="179"/>
    </row>
    <row r="471" spans="1:7" ht="12.6" customHeight="1" x14ac:dyDescent="0.25">
      <c r="A471" s="179" t="s">
        <v>494</v>
      </c>
      <c r="B471" s="179">
        <f t="shared" si="14"/>
        <v>30911226.050000001</v>
      </c>
      <c r="C471" s="179">
        <f>E198</f>
        <v>30911227.009999998</v>
      </c>
      <c r="D471" s="179"/>
    </row>
    <row r="472" spans="1:7" ht="12.6" customHeight="1" x14ac:dyDescent="0.25">
      <c r="A472" s="179" t="s">
        <v>377</v>
      </c>
      <c r="B472" s="179">
        <f t="shared" si="14"/>
        <v>2258057.6800000002</v>
      </c>
      <c r="C472" s="179">
        <f>E199</f>
        <v>2258057.6800000002</v>
      </c>
      <c r="D472" s="179"/>
    </row>
    <row r="473" spans="1:7" ht="12.6" customHeight="1" x14ac:dyDescent="0.25">
      <c r="A473" s="179" t="s">
        <v>495</v>
      </c>
      <c r="B473" s="179">
        <f t="shared" si="14"/>
        <v>63938836.25</v>
      </c>
      <c r="C473" s="179">
        <f>SUM(E200:E201)</f>
        <v>63938836.250000007</v>
      </c>
      <c r="D473" s="179"/>
    </row>
    <row r="474" spans="1:7" ht="12.6" customHeight="1" x14ac:dyDescent="0.25">
      <c r="A474" s="179" t="s">
        <v>339</v>
      </c>
      <c r="B474" s="179">
        <f t="shared" si="14"/>
        <v>1424</v>
      </c>
      <c r="C474" s="179">
        <f>E202</f>
        <v>1424.1199999999815</v>
      </c>
      <c r="D474" s="179"/>
    </row>
    <row r="475" spans="1:7" ht="12.6" customHeight="1" x14ac:dyDescent="0.25">
      <c r="A475" s="179" t="s">
        <v>340</v>
      </c>
      <c r="B475" s="179">
        <f t="shared" si="14"/>
        <v>3193953.8400000003</v>
      </c>
      <c r="C475" s="179">
        <f>E203</f>
        <v>3193954.0500000026</v>
      </c>
      <c r="D475" s="179"/>
    </row>
    <row r="476" spans="1:7" ht="12.6" customHeight="1" x14ac:dyDescent="0.25">
      <c r="A476" s="179" t="s">
        <v>203</v>
      </c>
      <c r="B476" s="179">
        <f>D275</f>
        <v>202381457.74000001</v>
      </c>
      <c r="C476" s="179">
        <f>E204</f>
        <v>202381458.07000002</v>
      </c>
      <c r="D476" s="179"/>
    </row>
    <row r="477" spans="1:7" ht="12.6" customHeight="1" x14ac:dyDescent="0.25">
      <c r="A477" s="179"/>
      <c r="B477" s="179"/>
      <c r="C477" s="179"/>
      <c r="D477" s="179"/>
    </row>
    <row r="478" spans="1:7" ht="12.6" customHeight="1" x14ac:dyDescent="0.25">
      <c r="A478" s="179" t="s">
        <v>496</v>
      </c>
      <c r="B478" s="179">
        <f>C276</f>
        <v>53250571.939999998</v>
      </c>
      <c r="C478" s="179">
        <f>E217</f>
        <v>53250572.399999999</v>
      </c>
      <c r="D478" s="179"/>
    </row>
    <row r="480" spans="1:7" ht="12.6" customHeight="1" x14ac:dyDescent="0.25">
      <c r="A480" s="180" t="s">
        <v>497</v>
      </c>
    </row>
    <row r="481" spans="1:12" ht="12.6" customHeight="1" x14ac:dyDescent="0.25">
      <c r="A481" s="180" t="s">
        <v>498</v>
      </c>
      <c r="C481" s="180">
        <f>D341</f>
        <v>231005077.85999998</v>
      </c>
    </row>
    <row r="482" spans="1:12" ht="12.6" customHeight="1" x14ac:dyDescent="0.25">
      <c r="A482" s="180" t="s">
        <v>499</v>
      </c>
      <c r="C482" s="180">
        <f>D339</f>
        <v>231005078.98000002</v>
      </c>
    </row>
    <row r="485" spans="1:12" ht="12.6" customHeight="1" x14ac:dyDescent="0.25">
      <c r="A485" s="197" t="s">
        <v>500</v>
      </c>
    </row>
    <row r="486" spans="1:12" ht="12.6" customHeight="1" x14ac:dyDescent="0.25">
      <c r="A486" s="197" t="s">
        <v>501</v>
      </c>
    </row>
    <row r="487" spans="1:12" ht="12.6" customHeight="1" x14ac:dyDescent="0.25">
      <c r="A487" s="197" t="s">
        <v>502</v>
      </c>
    </row>
    <row r="488" spans="1:12" ht="12.6" customHeight="1" x14ac:dyDescent="0.25">
      <c r="A488" s="197"/>
    </row>
    <row r="489" spans="1:12" ht="12.6" customHeight="1" x14ac:dyDescent="0.25">
      <c r="A489" s="196" t="s">
        <v>503</v>
      </c>
    </row>
    <row r="490" spans="1:12" ht="12.6" customHeight="1" x14ac:dyDescent="0.25">
      <c r="A490" s="197" t="s">
        <v>504</v>
      </c>
    </row>
    <row r="491" spans="1:12" ht="12.6" customHeight="1" x14ac:dyDescent="0.25">
      <c r="A491" s="197"/>
    </row>
    <row r="493" spans="1:12" ht="12.6" customHeight="1" x14ac:dyDescent="0.25">
      <c r="A493" s="180" t="str">
        <f>C84</f>
        <v>Highline Medical Center</v>
      </c>
      <c r="B493" s="255" t="s">
        <v>1267</v>
      </c>
      <c r="C493" s="255" t="str">
        <f>RIGHT(C82,4)</f>
        <v>2018</v>
      </c>
      <c r="D493" s="255" t="s">
        <v>1267</v>
      </c>
      <c r="E493" s="255" t="str">
        <f>RIGHT(C82,4)</f>
        <v>2018</v>
      </c>
      <c r="F493" s="255" t="s">
        <v>1267</v>
      </c>
      <c r="G493" s="255" t="str">
        <f>RIGHT(C82,4)</f>
        <v>2018</v>
      </c>
      <c r="H493" s="255"/>
      <c r="K493" s="255"/>
      <c r="L493" s="255"/>
    </row>
    <row r="494" spans="1:12" ht="12.6" customHeight="1" x14ac:dyDescent="0.25">
      <c r="A494" s="196"/>
      <c r="B494" s="181" t="s">
        <v>505</v>
      </c>
      <c r="C494" s="181" t="s">
        <v>505</v>
      </c>
      <c r="D494" s="256" t="s">
        <v>506</v>
      </c>
      <c r="E494" s="256" t="s">
        <v>506</v>
      </c>
      <c r="F494" s="255" t="s">
        <v>507</v>
      </c>
      <c r="G494" s="255" t="s">
        <v>507</v>
      </c>
      <c r="H494" s="255" t="s">
        <v>508</v>
      </c>
      <c r="K494" s="255"/>
      <c r="L494" s="255"/>
    </row>
    <row r="495" spans="1:12" ht="12.6" customHeight="1" x14ac:dyDescent="0.25">
      <c r="B495" s="181" t="s">
        <v>303</v>
      </c>
      <c r="C495" s="181" t="s">
        <v>303</v>
      </c>
      <c r="D495" s="181" t="s">
        <v>509</v>
      </c>
      <c r="E495" s="181" t="s">
        <v>509</v>
      </c>
      <c r="F495" s="255" t="s">
        <v>510</v>
      </c>
      <c r="G495" s="255" t="s">
        <v>510</v>
      </c>
      <c r="H495" s="255" t="s">
        <v>511</v>
      </c>
      <c r="K495" s="255"/>
      <c r="L495" s="255"/>
    </row>
    <row r="496" spans="1:12" ht="12.6" customHeight="1" x14ac:dyDescent="0.25">
      <c r="A496" s="180" t="s">
        <v>512</v>
      </c>
      <c r="B496" s="234">
        <v>5170550.55</v>
      </c>
      <c r="C496" s="234">
        <f>C71</f>
        <v>5113328.1300000008</v>
      </c>
      <c r="D496" s="234">
        <v>8272</v>
      </c>
      <c r="E496" s="180">
        <f>C59</f>
        <v>8019</v>
      </c>
      <c r="F496" s="257">
        <f t="shared" ref="F496:G511" si="15">IF(B496=0,"",IF(D496=0,"",B496/D496))</f>
        <v>625.06655585106375</v>
      </c>
      <c r="G496" s="258">
        <f t="shared" si="15"/>
        <v>637.65159371492712</v>
      </c>
      <c r="H496" s="259" t="str">
        <f>IF(B496=0,"",IF(C496=0,"",IF(D496=0,"",IF(E496=0,"",IF(G496/F496-1&lt;-0.25,G496/F496-1,IF(G496/F496-1&gt;0.25,G496/F496-1,""))))))</f>
        <v/>
      </c>
      <c r="I496" s="261"/>
      <c r="K496" s="255"/>
      <c r="L496" s="255"/>
    </row>
    <row r="497" spans="1:12" ht="12.6" customHeight="1" x14ac:dyDescent="0.25">
      <c r="A497" s="180" t="s">
        <v>513</v>
      </c>
      <c r="B497" s="234">
        <v>0</v>
      </c>
      <c r="C497" s="234">
        <f>D71</f>
        <v>0</v>
      </c>
      <c r="D497" s="234">
        <v>0</v>
      </c>
      <c r="E497" s="180">
        <f>D59</f>
        <v>0</v>
      </c>
      <c r="F497" s="257" t="str">
        <f t="shared" si="15"/>
        <v/>
      </c>
      <c r="G497" s="257" t="str">
        <f t="shared" si="15"/>
        <v/>
      </c>
      <c r="H497" s="259" t="str">
        <f t="shared" ref="H497:H550" si="16">IF(B497=0,"",IF(C497=0,"",IF(D497=0,"",IF(E497=0,"",IF(G497/F497-1&lt;-0.25,G497/F497-1,IF(G497/F497-1&gt;0.25,G497/F497-1,""))))))</f>
        <v/>
      </c>
      <c r="I497" s="261"/>
      <c r="K497" s="255"/>
      <c r="L497" s="255"/>
    </row>
    <row r="498" spans="1:12" ht="12.6" customHeight="1" x14ac:dyDescent="0.25">
      <c r="A498" s="180" t="s">
        <v>514</v>
      </c>
      <c r="B498" s="234">
        <v>19144532.059999999</v>
      </c>
      <c r="C498" s="234">
        <f>E71</f>
        <v>20154673.400000002</v>
      </c>
      <c r="D498" s="234">
        <v>22267</v>
      </c>
      <c r="E498" s="180">
        <f>E59</f>
        <v>23358</v>
      </c>
      <c r="F498" s="257">
        <f t="shared" si="15"/>
        <v>859.77150312121069</v>
      </c>
      <c r="G498" s="257">
        <f t="shared" si="15"/>
        <v>862.85955133144967</v>
      </c>
      <c r="H498" s="259" t="str">
        <f t="shared" si="16"/>
        <v/>
      </c>
      <c r="I498" s="261"/>
      <c r="K498" s="255"/>
      <c r="L498" s="255"/>
    </row>
    <row r="499" spans="1:12" ht="12.6" customHeight="1" x14ac:dyDescent="0.25">
      <c r="A499" s="180" t="s">
        <v>515</v>
      </c>
      <c r="B499" s="234">
        <v>0</v>
      </c>
      <c r="C499" s="234">
        <f>F71</f>
        <v>0</v>
      </c>
      <c r="D499" s="234">
        <v>0</v>
      </c>
      <c r="E499" s="180">
        <f>F59</f>
        <v>0</v>
      </c>
      <c r="F499" s="257" t="str">
        <f t="shared" si="15"/>
        <v/>
      </c>
      <c r="G499" s="257" t="str">
        <f t="shared" si="15"/>
        <v/>
      </c>
      <c r="H499" s="259" t="str">
        <f t="shared" si="16"/>
        <v/>
      </c>
      <c r="I499" s="261"/>
      <c r="K499" s="255"/>
      <c r="L499" s="255"/>
    </row>
    <row r="500" spans="1:12" ht="12.6" customHeight="1" x14ac:dyDescent="0.25">
      <c r="A500" s="180" t="s">
        <v>516</v>
      </c>
      <c r="B500" s="234">
        <v>4790.9800000000005</v>
      </c>
      <c r="C500" s="234">
        <f>G71</f>
        <v>4562.83</v>
      </c>
      <c r="D500" s="234">
        <v>0</v>
      </c>
      <c r="E500" s="180">
        <f>G59</f>
        <v>0</v>
      </c>
      <c r="F500" s="257" t="str">
        <f t="shared" si="15"/>
        <v/>
      </c>
      <c r="G500" s="257" t="str">
        <f t="shared" si="15"/>
        <v/>
      </c>
      <c r="H500" s="259" t="str">
        <f t="shared" si="16"/>
        <v/>
      </c>
      <c r="I500" s="261"/>
      <c r="K500" s="255"/>
      <c r="L500" s="255"/>
    </row>
    <row r="501" spans="1:12" ht="12.6" customHeight="1" x14ac:dyDescent="0.25">
      <c r="A501" s="180" t="s">
        <v>517</v>
      </c>
      <c r="B501" s="234">
        <v>0</v>
      </c>
      <c r="C501" s="234">
        <f>H71</f>
        <v>0</v>
      </c>
      <c r="D501" s="234">
        <v>0</v>
      </c>
      <c r="E501" s="180">
        <f>H59</f>
        <v>0</v>
      </c>
      <c r="F501" s="257" t="str">
        <f t="shared" si="15"/>
        <v/>
      </c>
      <c r="G501" s="257" t="str">
        <f t="shared" si="15"/>
        <v/>
      </c>
      <c r="H501" s="259" t="str">
        <f t="shared" si="16"/>
        <v/>
      </c>
      <c r="I501" s="261"/>
      <c r="K501" s="255"/>
      <c r="L501" s="255"/>
    </row>
    <row r="502" spans="1:12" ht="12.6" customHeight="1" x14ac:dyDescent="0.25">
      <c r="A502" s="180" t="s">
        <v>518</v>
      </c>
      <c r="B502" s="234">
        <v>0</v>
      </c>
      <c r="C502" s="234">
        <f>I71</f>
        <v>0</v>
      </c>
      <c r="D502" s="234">
        <v>0</v>
      </c>
      <c r="E502" s="180">
        <f>I59</f>
        <v>0</v>
      </c>
      <c r="F502" s="257" t="str">
        <f t="shared" si="15"/>
        <v/>
      </c>
      <c r="G502" s="257" t="str">
        <f t="shared" si="15"/>
        <v/>
      </c>
      <c r="H502" s="259" t="str">
        <f t="shared" si="16"/>
        <v/>
      </c>
      <c r="I502" s="261"/>
      <c r="K502" s="255"/>
      <c r="L502" s="255"/>
    </row>
    <row r="503" spans="1:12" ht="12.6" customHeight="1" x14ac:dyDescent="0.25">
      <c r="A503" s="180" t="s">
        <v>519</v>
      </c>
      <c r="B503" s="234">
        <v>0</v>
      </c>
      <c r="C503" s="234">
        <f>J71</f>
        <v>0</v>
      </c>
      <c r="D503" s="234">
        <v>1807</v>
      </c>
      <c r="E503" s="180">
        <f>J59</f>
        <v>1661</v>
      </c>
      <c r="F503" s="257" t="str">
        <f t="shared" si="15"/>
        <v/>
      </c>
      <c r="G503" s="257" t="str">
        <f t="shared" si="15"/>
        <v/>
      </c>
      <c r="H503" s="259" t="str">
        <f t="shared" si="16"/>
        <v/>
      </c>
      <c r="I503" s="261"/>
      <c r="K503" s="255"/>
      <c r="L503" s="255"/>
    </row>
    <row r="504" spans="1:12" ht="12.6" customHeight="1" x14ac:dyDescent="0.25">
      <c r="A504" s="180" t="s">
        <v>520</v>
      </c>
      <c r="B504" s="234">
        <v>0</v>
      </c>
      <c r="C504" s="234">
        <f>K71</f>
        <v>0</v>
      </c>
      <c r="D504" s="234">
        <v>0</v>
      </c>
      <c r="E504" s="180">
        <f>K59</f>
        <v>0</v>
      </c>
      <c r="F504" s="257" t="str">
        <f t="shared" si="15"/>
        <v/>
      </c>
      <c r="G504" s="257" t="str">
        <f t="shared" si="15"/>
        <v/>
      </c>
      <c r="H504" s="259" t="str">
        <f t="shared" si="16"/>
        <v/>
      </c>
      <c r="I504" s="261"/>
      <c r="K504" s="255"/>
      <c r="L504" s="255"/>
    </row>
    <row r="505" spans="1:12" ht="12.6" customHeight="1" x14ac:dyDescent="0.25">
      <c r="A505" s="180" t="s">
        <v>521</v>
      </c>
      <c r="B505" s="234">
        <v>0</v>
      </c>
      <c r="C505" s="234">
        <f>L71</f>
        <v>0</v>
      </c>
      <c r="D505" s="234">
        <v>0</v>
      </c>
      <c r="E505" s="180">
        <f>L59</f>
        <v>0</v>
      </c>
      <c r="F505" s="257" t="str">
        <f t="shared" si="15"/>
        <v/>
      </c>
      <c r="G505" s="257" t="str">
        <f t="shared" si="15"/>
        <v/>
      </c>
      <c r="H505" s="259" t="str">
        <f t="shared" si="16"/>
        <v/>
      </c>
      <c r="I505" s="261"/>
      <c r="K505" s="255"/>
      <c r="L505" s="255"/>
    </row>
    <row r="506" spans="1:12" ht="12.6" customHeight="1" x14ac:dyDescent="0.25">
      <c r="A506" s="180" t="s">
        <v>522</v>
      </c>
      <c r="B506" s="234">
        <v>-1798571.31</v>
      </c>
      <c r="C506" s="234">
        <f>M71</f>
        <v>-1617504.31</v>
      </c>
      <c r="D506" s="234">
        <v>0</v>
      </c>
      <c r="E506" s="180">
        <f>M59</f>
        <v>0</v>
      </c>
      <c r="F506" s="257" t="str">
        <f t="shared" si="15"/>
        <v/>
      </c>
      <c r="G506" s="257" t="str">
        <f t="shared" si="15"/>
        <v/>
      </c>
      <c r="H506" s="259" t="str">
        <f t="shared" si="16"/>
        <v/>
      </c>
      <c r="I506" s="261"/>
      <c r="K506" s="255"/>
      <c r="L506" s="255"/>
    </row>
    <row r="507" spans="1:12" ht="12.6" customHeight="1" x14ac:dyDescent="0.25">
      <c r="A507" s="180" t="s">
        <v>523</v>
      </c>
      <c r="B507" s="234">
        <v>0</v>
      </c>
      <c r="C507" s="234">
        <f>N71</f>
        <v>0</v>
      </c>
      <c r="D507" s="234">
        <v>0</v>
      </c>
      <c r="E507" s="180">
        <f>N59</f>
        <v>0</v>
      </c>
      <c r="F507" s="257" t="str">
        <f t="shared" si="15"/>
        <v/>
      </c>
      <c r="G507" s="257" t="str">
        <f t="shared" si="15"/>
        <v/>
      </c>
      <c r="H507" s="259" t="str">
        <f t="shared" si="16"/>
        <v/>
      </c>
      <c r="I507" s="261"/>
      <c r="K507" s="255"/>
      <c r="L507" s="255"/>
    </row>
    <row r="508" spans="1:12" ht="12.6" customHeight="1" x14ac:dyDescent="0.25">
      <c r="A508" s="180" t="s">
        <v>524</v>
      </c>
      <c r="B508" s="234">
        <v>5600485.6200000001</v>
      </c>
      <c r="C508" s="234">
        <f>O71</f>
        <v>5192777.2600000016</v>
      </c>
      <c r="D508" s="234">
        <v>0</v>
      </c>
      <c r="E508" s="180">
        <f>O59</f>
        <v>0</v>
      </c>
      <c r="F508" s="257" t="str">
        <f t="shared" si="15"/>
        <v/>
      </c>
      <c r="G508" s="257" t="str">
        <f t="shared" si="15"/>
        <v/>
      </c>
      <c r="H508" s="259" t="str">
        <f t="shared" si="16"/>
        <v/>
      </c>
      <c r="I508" s="261"/>
      <c r="K508" s="255"/>
      <c r="L508" s="255"/>
    </row>
    <row r="509" spans="1:12" ht="12.6" customHeight="1" x14ac:dyDescent="0.25">
      <c r="A509" s="180" t="s">
        <v>525</v>
      </c>
      <c r="B509" s="234">
        <v>17357691.789999999</v>
      </c>
      <c r="C509" s="234">
        <f>P71</f>
        <v>19953857.642415565</v>
      </c>
      <c r="D509" s="234">
        <v>467710</v>
      </c>
      <c r="E509" s="180">
        <f>P59</f>
        <v>395437</v>
      </c>
      <c r="F509" s="257">
        <f t="shared" si="15"/>
        <v>37.112081824207309</v>
      </c>
      <c r="G509" s="257">
        <f t="shared" si="15"/>
        <v>50.460269631864406</v>
      </c>
      <c r="H509" s="259">
        <f t="shared" si="16"/>
        <v>0.35967229946530233</v>
      </c>
      <c r="I509" s="261" t="s">
        <v>1278</v>
      </c>
      <c r="K509" s="255"/>
      <c r="L509" s="255"/>
    </row>
    <row r="510" spans="1:12" ht="12.6" customHeight="1" x14ac:dyDescent="0.25">
      <c r="A510" s="180" t="s">
        <v>526</v>
      </c>
      <c r="B510" s="234">
        <v>3690977.83</v>
      </c>
      <c r="C510" s="234">
        <f>Q71</f>
        <v>4143781.8500000006</v>
      </c>
      <c r="D510" s="234">
        <v>759795</v>
      </c>
      <c r="E510" s="180">
        <f>Q59</f>
        <v>1164800</v>
      </c>
      <c r="F510" s="257">
        <f t="shared" si="15"/>
        <v>4.8578601201639913</v>
      </c>
      <c r="G510" s="257">
        <f t="shared" si="15"/>
        <v>3.5575050223214291</v>
      </c>
      <c r="H510" s="259">
        <f t="shared" si="16"/>
        <v>-0.26768063832160427</v>
      </c>
      <c r="I510" s="261" t="s">
        <v>1279</v>
      </c>
      <c r="K510" s="255"/>
      <c r="L510" s="255"/>
    </row>
    <row r="511" spans="1:12" ht="12.6" customHeight="1" x14ac:dyDescent="0.25">
      <c r="A511" s="180" t="s">
        <v>527</v>
      </c>
      <c r="B511" s="234">
        <v>703878.35000000009</v>
      </c>
      <c r="C511" s="234">
        <f>R71</f>
        <v>0</v>
      </c>
      <c r="D511" s="234">
        <v>0</v>
      </c>
      <c r="E511" s="180">
        <f>R59</f>
        <v>0</v>
      </c>
      <c r="F511" s="257" t="str">
        <f t="shared" si="15"/>
        <v/>
      </c>
      <c r="G511" s="257" t="str">
        <f t="shared" si="15"/>
        <v/>
      </c>
      <c r="H511" s="259" t="str">
        <f t="shared" si="16"/>
        <v/>
      </c>
      <c r="I511" s="261"/>
      <c r="K511" s="255"/>
      <c r="L511" s="255"/>
    </row>
    <row r="512" spans="1:12" ht="12.6" customHeight="1" x14ac:dyDescent="0.25">
      <c r="A512" s="180" t="s">
        <v>528</v>
      </c>
      <c r="B512" s="234">
        <v>662527.14849279996</v>
      </c>
      <c r="C512" s="234">
        <f>S71</f>
        <v>1174078.3836506</v>
      </c>
      <c r="D512" s="181" t="s">
        <v>529</v>
      </c>
      <c r="E512" s="181" t="s">
        <v>529</v>
      </c>
      <c r="F512" s="257" t="str">
        <f t="shared" ref="F512:G527" si="17">IF(B512=0,"",IF(D512=0,"",B512/D512))</f>
        <v/>
      </c>
      <c r="G512" s="257" t="str">
        <f t="shared" si="17"/>
        <v/>
      </c>
      <c r="H512" s="259" t="str">
        <f t="shared" si="16"/>
        <v/>
      </c>
      <c r="I512" s="261"/>
      <c r="K512" s="255"/>
      <c r="L512" s="255"/>
    </row>
    <row r="513" spans="1:12" ht="12.6" customHeight="1" x14ac:dyDescent="0.25">
      <c r="A513" s="180" t="s">
        <v>1246</v>
      </c>
      <c r="B513" s="234">
        <v>312241.72999999992</v>
      </c>
      <c r="C513" s="234">
        <f>T71</f>
        <v>452685.41000000003</v>
      </c>
      <c r="D513" s="181" t="s">
        <v>529</v>
      </c>
      <c r="E513" s="181" t="s">
        <v>529</v>
      </c>
      <c r="F513" s="257" t="str">
        <f t="shared" si="17"/>
        <v/>
      </c>
      <c r="G513" s="257" t="str">
        <f t="shared" si="17"/>
        <v/>
      </c>
      <c r="H513" s="259" t="str">
        <f t="shared" si="16"/>
        <v/>
      </c>
      <c r="I513" s="261"/>
      <c r="K513" s="255"/>
      <c r="L513" s="255"/>
    </row>
    <row r="514" spans="1:12" ht="12.6" customHeight="1" x14ac:dyDescent="0.25">
      <c r="A514" s="180" t="s">
        <v>530</v>
      </c>
      <c r="B514" s="234">
        <v>5660136.5500000007</v>
      </c>
      <c r="C514" s="234">
        <f>U71</f>
        <v>5835602.7599999998</v>
      </c>
      <c r="D514" s="234">
        <v>435701</v>
      </c>
      <c r="E514" s="180">
        <f>U59</f>
        <v>434927</v>
      </c>
      <c r="F514" s="257">
        <f t="shared" si="17"/>
        <v>12.990873443026297</v>
      </c>
      <c r="G514" s="257">
        <f t="shared" si="17"/>
        <v>13.41743041935773</v>
      </c>
      <c r="H514" s="259" t="str">
        <f t="shared" si="16"/>
        <v/>
      </c>
      <c r="I514" s="261"/>
      <c r="K514" s="255"/>
      <c r="L514" s="255"/>
    </row>
    <row r="515" spans="1:12" ht="12.6" customHeight="1" x14ac:dyDescent="0.25">
      <c r="A515" s="180" t="s">
        <v>531</v>
      </c>
      <c r="B515" s="234">
        <v>0</v>
      </c>
      <c r="C515" s="234">
        <f>V71</f>
        <v>0</v>
      </c>
      <c r="D515" s="234">
        <v>0</v>
      </c>
      <c r="E515" s="180">
        <f>V59</f>
        <v>0</v>
      </c>
      <c r="F515" s="257" t="str">
        <f t="shared" si="17"/>
        <v/>
      </c>
      <c r="G515" s="257" t="str">
        <f t="shared" si="17"/>
        <v/>
      </c>
      <c r="H515" s="259" t="str">
        <f t="shared" si="16"/>
        <v/>
      </c>
      <c r="I515" s="261"/>
      <c r="K515" s="255"/>
      <c r="L515" s="255"/>
    </row>
    <row r="516" spans="1:12" ht="12.6" customHeight="1" x14ac:dyDescent="0.25">
      <c r="A516" s="180" t="s">
        <v>532</v>
      </c>
      <c r="B516" s="234">
        <v>1174146.7300000002</v>
      </c>
      <c r="C516" s="234">
        <f>W71</f>
        <v>1931777.5199999996</v>
      </c>
      <c r="D516" s="234">
        <v>12180</v>
      </c>
      <c r="E516" s="180">
        <f>W59</f>
        <v>1939</v>
      </c>
      <c r="F516" s="257">
        <f t="shared" si="17"/>
        <v>96.399567323481136</v>
      </c>
      <c r="G516" s="257">
        <f t="shared" si="17"/>
        <v>996.27515214027824</v>
      </c>
      <c r="H516" s="259">
        <f t="shared" si="16"/>
        <v>9.3348508691657184</v>
      </c>
      <c r="I516" s="261" t="s">
        <v>1280</v>
      </c>
      <c r="K516" s="255"/>
      <c r="L516" s="255"/>
    </row>
    <row r="517" spans="1:12" ht="12.6" customHeight="1" x14ac:dyDescent="0.25">
      <c r="A517" s="180" t="s">
        <v>533</v>
      </c>
      <c r="B517" s="234">
        <v>1441939.76</v>
      </c>
      <c r="C517" s="234">
        <f>X71</f>
        <v>1415147.0700000003</v>
      </c>
      <c r="D517" s="234">
        <v>58390</v>
      </c>
      <c r="E517" s="180">
        <f>X59</f>
        <v>18172</v>
      </c>
      <c r="F517" s="257">
        <f t="shared" si="17"/>
        <v>24.694977907175886</v>
      </c>
      <c r="G517" s="257">
        <f t="shared" si="17"/>
        <v>77.875141426370263</v>
      </c>
      <c r="H517" s="259">
        <f t="shared" si="16"/>
        <v>2.153480910940246</v>
      </c>
      <c r="I517" s="261" t="s">
        <v>1280</v>
      </c>
      <c r="K517" s="255"/>
      <c r="L517" s="255"/>
    </row>
    <row r="518" spans="1:12" ht="12.6" customHeight="1" x14ac:dyDescent="0.25">
      <c r="A518" s="180" t="s">
        <v>534</v>
      </c>
      <c r="B518" s="234">
        <v>7500229</v>
      </c>
      <c r="C518" s="234">
        <f>Y71</f>
        <v>5994511.0599999996</v>
      </c>
      <c r="D518" s="234">
        <v>243603</v>
      </c>
      <c r="E518" s="180">
        <f>Y59</f>
        <v>124189</v>
      </c>
      <c r="F518" s="257">
        <f t="shared" si="17"/>
        <v>30.788738233929795</v>
      </c>
      <c r="G518" s="257">
        <f t="shared" si="17"/>
        <v>48.269259435215673</v>
      </c>
      <c r="H518" s="259">
        <f t="shared" si="16"/>
        <v>0.56775698531296093</v>
      </c>
      <c r="I518" s="261" t="s">
        <v>1280</v>
      </c>
      <c r="K518" s="255"/>
      <c r="L518" s="255"/>
    </row>
    <row r="519" spans="1:12" ht="12.6" customHeight="1" x14ac:dyDescent="0.25">
      <c r="A519" s="180" t="s">
        <v>535</v>
      </c>
      <c r="B519" s="234">
        <v>0</v>
      </c>
      <c r="C519" s="234">
        <f>Z71</f>
        <v>0</v>
      </c>
      <c r="D519" s="234">
        <v>0</v>
      </c>
      <c r="E519" s="180">
        <f>Z59</f>
        <v>0</v>
      </c>
      <c r="F519" s="257" t="str">
        <f t="shared" si="17"/>
        <v/>
      </c>
      <c r="G519" s="257" t="str">
        <f t="shared" si="17"/>
        <v/>
      </c>
      <c r="H519" s="259" t="str">
        <f t="shared" si="16"/>
        <v/>
      </c>
      <c r="I519" s="261"/>
      <c r="K519" s="255"/>
      <c r="L519" s="255"/>
    </row>
    <row r="520" spans="1:12" ht="12.6" customHeight="1" x14ac:dyDescent="0.25">
      <c r="A520" s="180" t="s">
        <v>536</v>
      </c>
      <c r="B520" s="234">
        <v>766866.54</v>
      </c>
      <c r="C520" s="234">
        <f>AA71</f>
        <v>878825.29</v>
      </c>
      <c r="D520" s="234">
        <v>13907</v>
      </c>
      <c r="E520" s="180">
        <f>AA59</f>
        <v>1074</v>
      </c>
      <c r="F520" s="257">
        <f t="shared" si="17"/>
        <v>55.142485079456392</v>
      </c>
      <c r="G520" s="257">
        <f t="shared" si="17"/>
        <v>818.27308193668534</v>
      </c>
      <c r="H520" s="259">
        <f t="shared" si="16"/>
        <v>13.839249278620869</v>
      </c>
      <c r="I520" s="261" t="s">
        <v>1280</v>
      </c>
      <c r="K520" s="255"/>
      <c r="L520" s="255"/>
    </row>
    <row r="521" spans="1:12" ht="12.6" customHeight="1" x14ac:dyDescent="0.25">
      <c r="A521" s="180" t="s">
        <v>537</v>
      </c>
      <c r="B521" s="234">
        <v>11396334.260000002</v>
      </c>
      <c r="C521" s="234">
        <f>AB71</f>
        <v>10542780.92</v>
      </c>
      <c r="D521" s="181" t="s">
        <v>529</v>
      </c>
      <c r="E521" s="181" t="s">
        <v>529</v>
      </c>
      <c r="F521" s="257" t="str">
        <f t="shared" si="17"/>
        <v/>
      </c>
      <c r="G521" s="257" t="str">
        <f t="shared" si="17"/>
        <v/>
      </c>
      <c r="H521" s="259" t="str">
        <f t="shared" si="16"/>
        <v/>
      </c>
      <c r="I521" s="261"/>
      <c r="K521" s="255"/>
      <c r="L521" s="255"/>
    </row>
    <row r="522" spans="1:12" ht="12.6" customHeight="1" x14ac:dyDescent="0.25">
      <c r="A522" s="180" t="s">
        <v>538</v>
      </c>
      <c r="B522" s="234">
        <v>2165298.8699999996</v>
      </c>
      <c r="C522" s="234">
        <f>AC71</f>
        <v>2182263.7499999995</v>
      </c>
      <c r="D522" s="234">
        <v>62938</v>
      </c>
      <c r="E522" s="180">
        <f>AC59</f>
        <v>45179</v>
      </c>
      <c r="F522" s="257">
        <f t="shared" si="17"/>
        <v>34.403680924084014</v>
      </c>
      <c r="G522" s="257">
        <f t="shared" si="17"/>
        <v>48.302612939640085</v>
      </c>
      <c r="H522" s="259">
        <f t="shared" si="16"/>
        <v>0.40399549240750687</v>
      </c>
      <c r="I522" s="261" t="s">
        <v>1280</v>
      </c>
      <c r="K522" s="255"/>
      <c r="L522" s="255"/>
    </row>
    <row r="523" spans="1:12" ht="12.6" customHeight="1" x14ac:dyDescent="0.25">
      <c r="A523" s="180" t="s">
        <v>539</v>
      </c>
      <c r="B523" s="234">
        <v>610271.22</v>
      </c>
      <c r="C523" s="234">
        <f>AD71</f>
        <v>593772.80000000005</v>
      </c>
      <c r="D523" s="234">
        <v>70.3</v>
      </c>
      <c r="E523" s="180">
        <f>AD59</f>
        <v>29408</v>
      </c>
      <c r="F523" s="257">
        <f t="shared" si="17"/>
        <v>8680.9561877667147</v>
      </c>
      <c r="G523" s="257">
        <f t="shared" si="17"/>
        <v>20.190859630032644</v>
      </c>
      <c r="H523" s="259">
        <f t="shared" si="16"/>
        <v>-0.99767412031655156</v>
      </c>
      <c r="I523" s="261" t="s">
        <v>1281</v>
      </c>
      <c r="K523" s="255"/>
      <c r="L523" s="255"/>
    </row>
    <row r="524" spans="1:12" ht="12.6" customHeight="1" x14ac:dyDescent="0.25">
      <c r="A524" s="180" t="s">
        <v>540</v>
      </c>
      <c r="B524" s="234">
        <v>726695.17999999993</v>
      </c>
      <c r="C524" s="234">
        <f>AE71</f>
        <v>832348.23</v>
      </c>
      <c r="D524" s="234">
        <v>0</v>
      </c>
      <c r="E524" s="180">
        <f>AE59</f>
        <v>12262</v>
      </c>
      <c r="F524" s="257" t="str">
        <f t="shared" si="17"/>
        <v/>
      </c>
      <c r="G524" s="257">
        <f t="shared" si="17"/>
        <v>67.880299298646221</v>
      </c>
      <c r="H524" s="259" t="str">
        <f t="shared" si="16"/>
        <v/>
      </c>
      <c r="I524" s="261"/>
      <c r="K524" s="255"/>
      <c r="L524" s="255"/>
    </row>
    <row r="525" spans="1:12" ht="12.6" customHeight="1" x14ac:dyDescent="0.25">
      <c r="A525" s="180" t="s">
        <v>541</v>
      </c>
      <c r="B525" s="234">
        <v>0</v>
      </c>
      <c r="C525" s="234">
        <f>AF71</f>
        <v>0</v>
      </c>
      <c r="D525" s="234">
        <v>0</v>
      </c>
      <c r="E525" s="180">
        <f>AF59</f>
        <v>0</v>
      </c>
      <c r="F525" s="257" t="str">
        <f t="shared" si="17"/>
        <v/>
      </c>
      <c r="G525" s="257" t="str">
        <f t="shared" si="17"/>
        <v/>
      </c>
      <c r="H525" s="259" t="str">
        <f t="shared" si="16"/>
        <v/>
      </c>
      <c r="I525" s="261"/>
      <c r="K525" s="255"/>
      <c r="L525" s="255"/>
    </row>
    <row r="526" spans="1:12" ht="12.6" customHeight="1" x14ac:dyDescent="0.25">
      <c r="A526" s="180" t="s">
        <v>542</v>
      </c>
      <c r="B526" s="234">
        <v>13104804.689999999</v>
      </c>
      <c r="C526" s="234">
        <f>AG71</f>
        <v>13599791.4</v>
      </c>
      <c r="D526" s="234">
        <v>51313</v>
      </c>
      <c r="E526" s="180">
        <f>AG59</f>
        <v>45975</v>
      </c>
      <c r="F526" s="257">
        <f t="shared" si="17"/>
        <v>255.38956385321458</v>
      </c>
      <c r="G526" s="257">
        <f t="shared" si="17"/>
        <v>295.80840456769982</v>
      </c>
      <c r="H526" s="259" t="str">
        <f t="shared" si="16"/>
        <v/>
      </c>
      <c r="I526" s="261"/>
      <c r="K526" s="255"/>
      <c r="L526" s="255"/>
    </row>
    <row r="527" spans="1:12" ht="12.6" customHeight="1" x14ac:dyDescent="0.25">
      <c r="A527" s="180" t="s">
        <v>543</v>
      </c>
      <c r="B527" s="234">
        <v>0</v>
      </c>
      <c r="C527" s="234">
        <f>AH71</f>
        <v>0</v>
      </c>
      <c r="D527" s="234">
        <v>0</v>
      </c>
      <c r="E527" s="180">
        <f>AH59</f>
        <v>0</v>
      </c>
      <c r="F527" s="257" t="str">
        <f t="shared" si="17"/>
        <v/>
      </c>
      <c r="G527" s="257" t="str">
        <f t="shared" si="17"/>
        <v/>
      </c>
      <c r="H527" s="259" t="str">
        <f t="shared" si="16"/>
        <v/>
      </c>
      <c r="I527" s="261"/>
      <c r="K527" s="255"/>
      <c r="L527" s="255"/>
    </row>
    <row r="528" spans="1:12" ht="12.6" customHeight="1" x14ac:dyDescent="0.25">
      <c r="A528" s="180" t="s">
        <v>544</v>
      </c>
      <c r="B528" s="234">
        <v>0</v>
      </c>
      <c r="C528" s="234">
        <f>AI71</f>
        <v>0</v>
      </c>
      <c r="D528" s="234">
        <v>0</v>
      </c>
      <c r="E528" s="180">
        <f>AI59</f>
        <v>0</v>
      </c>
      <c r="F528" s="257" t="str">
        <f t="shared" ref="F528:G540" si="18">IF(B528=0,"",IF(D528=0,"",B528/D528))</f>
        <v/>
      </c>
      <c r="G528" s="257" t="str">
        <f t="shared" si="18"/>
        <v/>
      </c>
      <c r="H528" s="259" t="str">
        <f t="shared" si="16"/>
        <v/>
      </c>
      <c r="I528" s="261"/>
      <c r="K528" s="255"/>
      <c r="L528" s="255"/>
    </row>
    <row r="529" spans="1:12" ht="12.6" customHeight="1" x14ac:dyDescent="0.25">
      <c r="A529" s="180" t="s">
        <v>545</v>
      </c>
      <c r="B529" s="234">
        <v>5599624.9500000011</v>
      </c>
      <c r="C529" s="234">
        <f>AJ71</f>
        <v>5438555.5600000005</v>
      </c>
      <c r="D529" s="234">
        <v>16954</v>
      </c>
      <c r="E529" s="180">
        <f>AJ59</f>
        <v>12879</v>
      </c>
      <c r="F529" s="257">
        <f t="shared" si="18"/>
        <v>330.28341099445566</v>
      </c>
      <c r="G529" s="257">
        <f t="shared" si="18"/>
        <v>422.28088826772267</v>
      </c>
      <c r="H529" s="259">
        <f t="shared" si="16"/>
        <v>0.27854101723205016</v>
      </c>
      <c r="I529" s="261" t="s">
        <v>1280</v>
      </c>
      <c r="K529" s="255"/>
      <c r="L529" s="255"/>
    </row>
    <row r="530" spans="1:12" ht="12.6" customHeight="1" x14ac:dyDescent="0.25">
      <c r="A530" s="180" t="s">
        <v>546</v>
      </c>
      <c r="B530" s="234">
        <v>284199.21999999997</v>
      </c>
      <c r="C530" s="234">
        <f>AK71</f>
        <v>291964.62</v>
      </c>
      <c r="D530" s="234">
        <v>304557</v>
      </c>
      <c r="E530" s="180">
        <f>AK59</f>
        <v>3644.07</v>
      </c>
      <c r="F530" s="257">
        <f t="shared" si="18"/>
        <v>0.93315609229142649</v>
      </c>
      <c r="G530" s="257">
        <f t="shared" si="18"/>
        <v>80.120475182968491</v>
      </c>
      <c r="H530" s="259">
        <f t="shared" si="16"/>
        <v>84.859671114858571</v>
      </c>
      <c r="I530" s="261" t="s">
        <v>1280</v>
      </c>
      <c r="K530" s="255"/>
      <c r="L530" s="255"/>
    </row>
    <row r="531" spans="1:12" ht="12.6" customHeight="1" x14ac:dyDescent="0.25">
      <c r="A531" s="180" t="s">
        <v>547</v>
      </c>
      <c r="B531" s="234">
        <v>-23501.140000000072</v>
      </c>
      <c r="C531" s="234">
        <f>AL71</f>
        <v>56276.380000000005</v>
      </c>
      <c r="D531" s="234">
        <v>5093</v>
      </c>
      <c r="E531" s="180">
        <f>AL59</f>
        <v>2442.71</v>
      </c>
      <c r="F531" s="257">
        <f t="shared" si="18"/>
        <v>-4.6144001570783573</v>
      </c>
      <c r="G531" s="257">
        <f t="shared" si="18"/>
        <v>23.03850231914554</v>
      </c>
      <c r="H531" s="259">
        <f t="shared" si="16"/>
        <v>-5.9927404505231605</v>
      </c>
      <c r="I531" s="261" t="s">
        <v>1280</v>
      </c>
      <c r="K531" s="255"/>
      <c r="L531" s="255"/>
    </row>
    <row r="532" spans="1:12" ht="12.6" customHeight="1" x14ac:dyDescent="0.25">
      <c r="A532" s="180" t="s">
        <v>548</v>
      </c>
      <c r="B532" s="234">
        <v>0</v>
      </c>
      <c r="C532" s="234">
        <f>AM71</f>
        <v>0</v>
      </c>
      <c r="D532" s="234">
        <v>0</v>
      </c>
      <c r="E532" s="180">
        <f>AM59</f>
        <v>0</v>
      </c>
      <c r="F532" s="257" t="str">
        <f t="shared" si="18"/>
        <v/>
      </c>
      <c r="G532" s="257" t="str">
        <f t="shared" si="18"/>
        <v/>
      </c>
      <c r="H532" s="259" t="str">
        <f t="shared" si="16"/>
        <v/>
      </c>
      <c r="I532" s="261"/>
      <c r="K532" s="255"/>
      <c r="L532" s="255"/>
    </row>
    <row r="533" spans="1:12" ht="12.6" customHeight="1" x14ac:dyDescent="0.25">
      <c r="A533" s="180" t="s">
        <v>1247</v>
      </c>
      <c r="B533" s="234">
        <v>0</v>
      </c>
      <c r="C533" s="234">
        <f>AN71</f>
        <v>0</v>
      </c>
      <c r="D533" s="234">
        <v>0</v>
      </c>
      <c r="E533" s="180">
        <f>AN59</f>
        <v>0</v>
      </c>
      <c r="F533" s="257" t="str">
        <f t="shared" si="18"/>
        <v/>
      </c>
      <c r="G533" s="257" t="str">
        <f t="shared" si="18"/>
        <v/>
      </c>
      <c r="H533" s="259" t="str">
        <f t="shared" si="16"/>
        <v/>
      </c>
      <c r="I533" s="261"/>
      <c r="K533" s="255"/>
      <c r="L533" s="255"/>
    </row>
    <row r="534" spans="1:12" ht="12.6" customHeight="1" x14ac:dyDescent="0.25">
      <c r="A534" s="180" t="s">
        <v>549</v>
      </c>
      <c r="B534" s="234">
        <v>0</v>
      </c>
      <c r="C534" s="234">
        <f>AO71</f>
        <v>0</v>
      </c>
      <c r="D534" s="234">
        <v>0</v>
      </c>
      <c r="E534" s="180">
        <f>AO59</f>
        <v>0</v>
      </c>
      <c r="F534" s="257" t="str">
        <f t="shared" si="18"/>
        <v/>
      </c>
      <c r="G534" s="257" t="str">
        <f t="shared" si="18"/>
        <v/>
      </c>
      <c r="H534" s="259" t="str">
        <f t="shared" si="16"/>
        <v/>
      </c>
      <c r="I534" s="261"/>
      <c r="K534" s="255"/>
      <c r="L534" s="255"/>
    </row>
    <row r="535" spans="1:12" ht="12.6" customHeight="1" x14ac:dyDescent="0.25">
      <c r="A535" s="180" t="s">
        <v>550</v>
      </c>
      <c r="B535" s="234">
        <v>0</v>
      </c>
      <c r="C535" s="234">
        <f>AP71</f>
        <v>823.05</v>
      </c>
      <c r="D535" s="234">
        <v>0</v>
      </c>
      <c r="E535" s="180">
        <f>AP59</f>
        <v>0</v>
      </c>
      <c r="F535" s="257" t="str">
        <f t="shared" si="18"/>
        <v/>
      </c>
      <c r="G535" s="257" t="str">
        <f t="shared" si="18"/>
        <v/>
      </c>
      <c r="H535" s="259" t="str">
        <f t="shared" si="16"/>
        <v/>
      </c>
      <c r="I535" s="261"/>
      <c r="K535" s="255"/>
      <c r="L535" s="255"/>
    </row>
    <row r="536" spans="1:12" ht="12.6" customHeight="1" x14ac:dyDescent="0.25">
      <c r="A536" s="180" t="s">
        <v>551</v>
      </c>
      <c r="B536" s="234">
        <v>0</v>
      </c>
      <c r="C536" s="234">
        <f>AQ71</f>
        <v>0</v>
      </c>
      <c r="D536" s="234">
        <v>0</v>
      </c>
      <c r="E536" s="180">
        <f>AQ59</f>
        <v>0</v>
      </c>
      <c r="F536" s="257" t="str">
        <f t="shared" si="18"/>
        <v/>
      </c>
      <c r="G536" s="257" t="str">
        <f t="shared" si="18"/>
        <v/>
      </c>
      <c r="H536" s="259" t="str">
        <f t="shared" si="16"/>
        <v/>
      </c>
      <c r="I536" s="261"/>
      <c r="K536" s="255"/>
      <c r="L536" s="255"/>
    </row>
    <row r="537" spans="1:12" ht="12.6" customHeight="1" x14ac:dyDescent="0.25">
      <c r="A537" s="180" t="s">
        <v>552</v>
      </c>
      <c r="B537" s="234">
        <v>5132668.12</v>
      </c>
      <c r="C537" s="234">
        <f>AR71</f>
        <v>909398.25000000023</v>
      </c>
      <c r="D537" s="234">
        <v>21630</v>
      </c>
      <c r="E537" s="180">
        <f>AR59</f>
        <v>0</v>
      </c>
      <c r="F537" s="257">
        <f t="shared" si="18"/>
        <v>237.29394914470643</v>
      </c>
      <c r="G537" s="257" t="str">
        <f t="shared" si="18"/>
        <v/>
      </c>
      <c r="H537" s="259" t="str">
        <f t="shared" si="16"/>
        <v/>
      </c>
      <c r="I537" s="261"/>
      <c r="K537" s="255"/>
      <c r="L537" s="255"/>
    </row>
    <row r="538" spans="1:12" ht="12.6" customHeight="1" x14ac:dyDescent="0.25">
      <c r="A538" s="180" t="s">
        <v>553</v>
      </c>
      <c r="B538" s="234">
        <v>0</v>
      </c>
      <c r="C538" s="234">
        <f>AS71</f>
        <v>0</v>
      </c>
      <c r="D538" s="234">
        <v>0</v>
      </c>
      <c r="E538" s="180">
        <f>AS59</f>
        <v>0</v>
      </c>
      <c r="F538" s="257" t="str">
        <f t="shared" si="18"/>
        <v/>
      </c>
      <c r="G538" s="257" t="str">
        <f t="shared" si="18"/>
        <v/>
      </c>
      <c r="H538" s="259" t="str">
        <f t="shared" si="16"/>
        <v/>
      </c>
      <c r="I538" s="261"/>
      <c r="K538" s="255"/>
      <c r="L538" s="255"/>
    </row>
    <row r="539" spans="1:12" ht="12.6" customHeight="1" x14ac:dyDescent="0.25">
      <c r="A539" s="180" t="s">
        <v>554</v>
      </c>
      <c r="B539" s="234">
        <v>0</v>
      </c>
      <c r="C539" s="234">
        <f>AT71</f>
        <v>0</v>
      </c>
      <c r="D539" s="234">
        <v>0</v>
      </c>
      <c r="E539" s="180">
        <f>AT59</f>
        <v>0</v>
      </c>
      <c r="F539" s="257" t="str">
        <f t="shared" si="18"/>
        <v/>
      </c>
      <c r="G539" s="257" t="str">
        <f t="shared" si="18"/>
        <v/>
      </c>
      <c r="H539" s="259" t="str">
        <f t="shared" si="16"/>
        <v/>
      </c>
      <c r="I539" s="261"/>
      <c r="K539" s="255"/>
      <c r="L539" s="255"/>
    </row>
    <row r="540" spans="1:12" ht="12.6" customHeight="1" x14ac:dyDescent="0.25">
      <c r="A540" s="180" t="s">
        <v>555</v>
      </c>
      <c r="B540" s="234">
        <v>0</v>
      </c>
      <c r="C540" s="234">
        <f>AU71</f>
        <v>0</v>
      </c>
      <c r="D540" s="234">
        <v>0</v>
      </c>
      <c r="E540" s="180">
        <f>AU59</f>
        <v>0</v>
      </c>
      <c r="F540" s="257" t="str">
        <f t="shared" si="18"/>
        <v/>
      </c>
      <c r="G540" s="257" t="str">
        <f t="shared" si="18"/>
        <v/>
      </c>
      <c r="H540" s="259" t="str">
        <f t="shared" si="16"/>
        <v/>
      </c>
      <c r="I540" s="261"/>
      <c r="K540" s="255"/>
      <c r="L540" s="255"/>
    </row>
    <row r="541" spans="1:12" ht="12.6" customHeight="1" x14ac:dyDescent="0.25">
      <c r="A541" s="180" t="s">
        <v>556</v>
      </c>
      <c r="B541" s="234">
        <v>5227328.5643999996</v>
      </c>
      <c r="C541" s="234">
        <f>AV71</f>
        <v>6251187.0842000023</v>
      </c>
      <c r="D541" s="181" t="s">
        <v>529</v>
      </c>
      <c r="E541" s="181" t="s">
        <v>529</v>
      </c>
      <c r="F541" s="257"/>
      <c r="G541" s="257"/>
      <c r="H541" s="259"/>
      <c r="I541" s="261"/>
      <c r="K541" s="255"/>
      <c r="L541" s="255"/>
    </row>
    <row r="542" spans="1:12" ht="12.6" customHeight="1" x14ac:dyDescent="0.25">
      <c r="A542" s="180" t="s">
        <v>1248</v>
      </c>
      <c r="B542" s="234">
        <v>848724.37999999989</v>
      </c>
      <c r="C542" s="234">
        <f>AW71</f>
        <v>753666.28</v>
      </c>
      <c r="D542" s="181" t="s">
        <v>529</v>
      </c>
      <c r="E542" s="181" t="s">
        <v>529</v>
      </c>
      <c r="F542" s="257"/>
      <c r="G542" s="257"/>
      <c r="H542" s="259"/>
      <c r="I542" s="261"/>
      <c r="K542" s="255"/>
      <c r="L542" s="255"/>
    </row>
    <row r="543" spans="1:12" ht="12.6" customHeight="1" x14ac:dyDescent="0.25">
      <c r="A543" s="180" t="s">
        <v>557</v>
      </c>
      <c r="B543" s="234">
        <v>132670.60200000004</v>
      </c>
      <c r="C543" s="234">
        <f>AX71</f>
        <v>-14.049299999999903</v>
      </c>
      <c r="D543" s="181" t="s">
        <v>529</v>
      </c>
      <c r="E543" s="181" t="s">
        <v>529</v>
      </c>
      <c r="F543" s="257"/>
      <c r="G543" s="257"/>
      <c r="H543" s="259"/>
      <c r="I543" s="261"/>
      <c r="K543" s="255"/>
      <c r="L543" s="255"/>
    </row>
    <row r="544" spans="1:12" ht="12.6" customHeight="1" x14ac:dyDescent="0.25">
      <c r="A544" s="180" t="s">
        <v>558</v>
      </c>
      <c r="B544" s="234">
        <v>2451744.0500000007</v>
      </c>
      <c r="C544" s="234">
        <f>AY71</f>
        <v>2675971.2500000009</v>
      </c>
      <c r="D544" s="234">
        <v>184401</v>
      </c>
      <c r="E544" s="180">
        <f>AY59</f>
        <v>170414</v>
      </c>
      <c r="F544" s="257">
        <f t="shared" ref="F544:G550" si="19">IF(B544=0,"",IF(D544=0,"",B544/D544))</f>
        <v>13.295719925596936</v>
      </c>
      <c r="G544" s="257">
        <f t="shared" si="19"/>
        <v>15.702766498057677</v>
      </c>
      <c r="H544" s="259" t="str">
        <f t="shared" si="16"/>
        <v/>
      </c>
      <c r="I544" s="261"/>
      <c r="K544" s="255"/>
      <c r="L544" s="255"/>
    </row>
    <row r="545" spans="1:13" ht="12.6" customHeight="1" x14ac:dyDescent="0.25">
      <c r="A545" s="180" t="s">
        <v>559</v>
      </c>
      <c r="B545" s="234">
        <v>0</v>
      </c>
      <c r="C545" s="234">
        <f>AZ71</f>
        <v>0</v>
      </c>
      <c r="D545" s="234">
        <v>340539</v>
      </c>
      <c r="E545" s="180">
        <f>AZ59</f>
        <v>291836</v>
      </c>
      <c r="F545" s="257" t="str">
        <f t="shared" si="19"/>
        <v/>
      </c>
      <c r="G545" s="257" t="str">
        <f t="shared" si="19"/>
        <v/>
      </c>
      <c r="H545" s="259" t="str">
        <f t="shared" si="16"/>
        <v/>
      </c>
      <c r="I545" s="261"/>
      <c r="K545" s="255"/>
      <c r="L545" s="255"/>
    </row>
    <row r="546" spans="1:13" ht="12.6" customHeight="1" x14ac:dyDescent="0.25">
      <c r="A546" s="180" t="s">
        <v>560</v>
      </c>
      <c r="B546" s="234">
        <v>0</v>
      </c>
      <c r="C546" s="234">
        <f>BA71</f>
        <v>276.82000000000005</v>
      </c>
      <c r="D546" s="234">
        <v>0</v>
      </c>
      <c r="E546" s="180">
        <f>BA59</f>
        <v>0</v>
      </c>
      <c r="F546" s="257" t="str">
        <f t="shared" si="19"/>
        <v/>
      </c>
      <c r="G546" s="257" t="str">
        <f t="shared" si="19"/>
        <v/>
      </c>
      <c r="H546" s="259" t="str">
        <f t="shared" si="16"/>
        <v/>
      </c>
      <c r="I546" s="261"/>
      <c r="K546" s="255"/>
      <c r="L546" s="255"/>
    </row>
    <row r="547" spans="1:13" ht="12.6" customHeight="1" x14ac:dyDescent="0.25">
      <c r="A547" s="180" t="s">
        <v>561</v>
      </c>
      <c r="B547" s="234">
        <v>0</v>
      </c>
      <c r="C547" s="234">
        <f>BB71</f>
        <v>0</v>
      </c>
      <c r="D547" s="181" t="s">
        <v>529</v>
      </c>
      <c r="E547" s="181" t="s">
        <v>529</v>
      </c>
      <c r="F547" s="257"/>
      <c r="G547" s="257"/>
      <c r="H547" s="259"/>
      <c r="I547" s="261"/>
      <c r="K547" s="255"/>
      <c r="L547" s="255"/>
    </row>
    <row r="548" spans="1:13" ht="12.6" customHeight="1" x14ac:dyDescent="0.25">
      <c r="A548" s="180" t="s">
        <v>562</v>
      </c>
      <c r="B548" s="234">
        <v>0</v>
      </c>
      <c r="C548" s="234">
        <f>BC71</f>
        <v>877.45</v>
      </c>
      <c r="D548" s="181" t="s">
        <v>529</v>
      </c>
      <c r="E548" s="181" t="s">
        <v>529</v>
      </c>
      <c r="F548" s="257"/>
      <c r="G548" s="257"/>
      <c r="H548" s="259"/>
      <c r="I548" s="261"/>
      <c r="K548" s="255"/>
      <c r="L548" s="255"/>
    </row>
    <row r="549" spans="1:13" ht="12.6" customHeight="1" x14ac:dyDescent="0.25">
      <c r="A549" s="180" t="s">
        <v>563</v>
      </c>
      <c r="B549" s="234">
        <v>451.70000000000005</v>
      </c>
      <c r="C549" s="234">
        <f>BD71</f>
        <v>0</v>
      </c>
      <c r="D549" s="181" t="s">
        <v>529</v>
      </c>
      <c r="E549" s="181" t="s">
        <v>529</v>
      </c>
      <c r="F549" s="257"/>
      <c r="G549" s="257"/>
      <c r="H549" s="259"/>
      <c r="I549" s="261"/>
      <c r="K549" s="255"/>
      <c r="L549" s="255"/>
    </row>
    <row r="550" spans="1:13" ht="12.6" customHeight="1" x14ac:dyDescent="0.25">
      <c r="A550" s="180" t="s">
        <v>564</v>
      </c>
      <c r="B550" s="234">
        <v>4689307.6925999997</v>
      </c>
      <c r="C550" s="234">
        <f>BE71</f>
        <v>4788046.3166000005</v>
      </c>
      <c r="D550" s="234">
        <v>240865</v>
      </c>
      <c r="E550" s="180">
        <f>BE59</f>
        <v>240865</v>
      </c>
      <c r="F550" s="257">
        <f t="shared" si="19"/>
        <v>19.46861392315197</v>
      </c>
      <c r="G550" s="257">
        <f t="shared" si="19"/>
        <v>19.878547387955912</v>
      </c>
      <c r="H550" s="259" t="str">
        <f t="shared" si="16"/>
        <v/>
      </c>
      <c r="I550" s="261"/>
      <c r="K550" s="255"/>
      <c r="L550" s="255"/>
    </row>
    <row r="551" spans="1:13" ht="12.6" customHeight="1" x14ac:dyDescent="0.25">
      <c r="A551" s="180" t="s">
        <v>565</v>
      </c>
      <c r="B551" s="234">
        <v>2253566.2100000004</v>
      </c>
      <c r="C551" s="234">
        <f>BF71</f>
        <v>2440223.1800000002</v>
      </c>
      <c r="D551" s="181" t="s">
        <v>529</v>
      </c>
      <c r="E551" s="181" t="s">
        <v>529</v>
      </c>
      <c r="F551" s="257"/>
      <c r="G551" s="257"/>
      <c r="H551" s="259"/>
      <c r="I551" s="261"/>
      <c r="J551" s="197"/>
      <c r="M551" s="259"/>
    </row>
    <row r="552" spans="1:13" ht="12.6" customHeight="1" x14ac:dyDescent="0.25">
      <c r="A552" s="180" t="s">
        <v>566</v>
      </c>
      <c r="B552" s="234">
        <v>315089.54399999999</v>
      </c>
      <c r="C552" s="234">
        <f>BG71</f>
        <v>32840.601200000005</v>
      </c>
      <c r="D552" s="181" t="s">
        <v>529</v>
      </c>
      <c r="E552" s="181" t="s">
        <v>529</v>
      </c>
      <c r="F552" s="257"/>
      <c r="G552" s="257"/>
      <c r="H552" s="259"/>
      <c r="J552" s="197"/>
      <c r="M552" s="259"/>
    </row>
    <row r="553" spans="1:13" ht="12.6" customHeight="1" x14ac:dyDescent="0.25">
      <c r="A553" s="180" t="s">
        <v>567</v>
      </c>
      <c r="B553" s="234">
        <v>1011770.0871829432</v>
      </c>
      <c r="C553" s="234">
        <f>BH71</f>
        <v>222665.44130593882</v>
      </c>
      <c r="D553" s="181" t="s">
        <v>529</v>
      </c>
      <c r="E553" s="181" t="s">
        <v>529</v>
      </c>
      <c r="F553" s="257"/>
      <c r="G553" s="257"/>
      <c r="H553" s="259"/>
      <c r="J553" s="197"/>
      <c r="M553" s="259"/>
    </row>
    <row r="554" spans="1:13" ht="12.6" customHeight="1" x14ac:dyDescent="0.25">
      <c r="A554" s="180" t="s">
        <v>568</v>
      </c>
      <c r="B554" s="234">
        <v>0</v>
      </c>
      <c r="C554" s="234">
        <f>BI71</f>
        <v>0</v>
      </c>
      <c r="D554" s="181" t="s">
        <v>529</v>
      </c>
      <c r="E554" s="181" t="s">
        <v>529</v>
      </c>
      <c r="F554" s="257"/>
      <c r="G554" s="257"/>
      <c r="H554" s="259"/>
      <c r="J554" s="197"/>
      <c r="M554" s="259"/>
    </row>
    <row r="555" spans="1:13" ht="12.6" customHeight="1" x14ac:dyDescent="0.25">
      <c r="A555" s="180" t="s">
        <v>569</v>
      </c>
      <c r="B555" s="234">
        <v>838842.84089999984</v>
      </c>
      <c r="C555" s="234">
        <f>BJ71</f>
        <v>576162.31821290997</v>
      </c>
      <c r="D555" s="181" t="s">
        <v>529</v>
      </c>
      <c r="E555" s="181" t="s">
        <v>529</v>
      </c>
      <c r="F555" s="257"/>
      <c r="G555" s="257"/>
      <c r="H555" s="259"/>
      <c r="J555" s="197"/>
      <c r="M555" s="259"/>
    </row>
    <row r="556" spans="1:13" ht="12.6" customHeight="1" x14ac:dyDescent="0.25">
      <c r="A556" s="180" t="s">
        <v>570</v>
      </c>
      <c r="B556" s="234">
        <v>7323341.1775107346</v>
      </c>
      <c r="C556" s="234">
        <f>BK71</f>
        <v>3333343.3453221139</v>
      </c>
      <c r="D556" s="181" t="s">
        <v>529</v>
      </c>
      <c r="E556" s="181" t="s">
        <v>529</v>
      </c>
      <c r="F556" s="257"/>
      <c r="G556" s="257"/>
      <c r="H556" s="259"/>
      <c r="J556" s="197"/>
      <c r="M556" s="259"/>
    </row>
    <row r="557" spans="1:13" ht="12.6" customHeight="1" x14ac:dyDescent="0.25">
      <c r="A557" s="180" t="s">
        <v>571</v>
      </c>
      <c r="B557" s="234">
        <v>1733168.3416000002</v>
      </c>
      <c r="C557" s="234">
        <f>BL71</f>
        <v>2302281.6282508168</v>
      </c>
      <c r="D557" s="181" t="s">
        <v>529</v>
      </c>
      <c r="E557" s="181" t="s">
        <v>529</v>
      </c>
      <c r="F557" s="257"/>
      <c r="G557" s="257"/>
      <c r="H557" s="259"/>
      <c r="J557" s="197"/>
      <c r="M557" s="259"/>
    </row>
    <row r="558" spans="1:13" ht="12.6" customHeight="1" x14ac:dyDescent="0.25">
      <c r="A558" s="180" t="s">
        <v>572</v>
      </c>
      <c r="B558" s="234">
        <v>0</v>
      </c>
      <c r="C558" s="234">
        <f>BM71</f>
        <v>0</v>
      </c>
      <c r="D558" s="181" t="s">
        <v>529</v>
      </c>
      <c r="E558" s="181" t="s">
        <v>529</v>
      </c>
      <c r="F558" s="257"/>
      <c r="G558" s="257"/>
      <c r="H558" s="259"/>
      <c r="J558" s="197"/>
      <c r="M558" s="259"/>
    </row>
    <row r="559" spans="1:13" ht="12.6" customHeight="1" x14ac:dyDescent="0.25">
      <c r="A559" s="180" t="s">
        <v>573</v>
      </c>
      <c r="B559" s="234">
        <v>3366682.9709826997</v>
      </c>
      <c r="C559" s="234">
        <f>BN71</f>
        <v>5970225.8046048302</v>
      </c>
      <c r="D559" s="181" t="s">
        <v>529</v>
      </c>
      <c r="E559" s="181" t="s">
        <v>529</v>
      </c>
      <c r="F559" s="257"/>
      <c r="G559" s="257"/>
      <c r="H559" s="259"/>
      <c r="J559" s="197"/>
      <c r="M559" s="259"/>
    </row>
    <row r="560" spans="1:13" ht="12.6" customHeight="1" x14ac:dyDescent="0.25">
      <c r="A560" s="180" t="s">
        <v>574</v>
      </c>
      <c r="B560" s="234">
        <v>241112.77499999991</v>
      </c>
      <c r="C560" s="234">
        <f>BO71</f>
        <v>512840.41959999979</v>
      </c>
      <c r="D560" s="181" t="s">
        <v>529</v>
      </c>
      <c r="E560" s="181" t="s">
        <v>529</v>
      </c>
      <c r="F560" s="257"/>
      <c r="G560" s="257"/>
      <c r="H560" s="259"/>
      <c r="J560" s="197"/>
      <c r="M560" s="259"/>
    </row>
    <row r="561" spans="1:13" ht="12.6" customHeight="1" x14ac:dyDescent="0.25">
      <c r="A561" s="180" t="s">
        <v>575</v>
      </c>
      <c r="B561" s="234">
        <v>1679128.8456999999</v>
      </c>
      <c r="C561" s="234">
        <f>BP71</f>
        <v>416417.42139999999</v>
      </c>
      <c r="D561" s="181" t="s">
        <v>529</v>
      </c>
      <c r="E561" s="181" t="s">
        <v>529</v>
      </c>
      <c r="F561" s="257"/>
      <c r="G561" s="257"/>
      <c r="H561" s="259"/>
      <c r="J561" s="197"/>
      <c r="M561" s="259"/>
    </row>
    <row r="562" spans="1:13" ht="12.6" customHeight="1" x14ac:dyDescent="0.25">
      <c r="A562" s="180" t="s">
        <v>576</v>
      </c>
      <c r="B562" s="234">
        <v>0</v>
      </c>
      <c r="C562" s="234">
        <f>BQ71</f>
        <v>0</v>
      </c>
      <c r="D562" s="181" t="s">
        <v>529</v>
      </c>
      <c r="E562" s="181" t="s">
        <v>529</v>
      </c>
      <c r="F562" s="257"/>
      <c r="G562" s="257"/>
      <c r="H562" s="259"/>
      <c r="J562" s="197"/>
      <c r="M562" s="259"/>
    </row>
    <row r="563" spans="1:13" ht="12.6" customHeight="1" x14ac:dyDescent="0.25">
      <c r="A563" s="180" t="s">
        <v>577</v>
      </c>
      <c r="B563" s="234">
        <v>682241.25120000006</v>
      </c>
      <c r="C563" s="234">
        <f>BR71</f>
        <v>1790052.2105</v>
      </c>
      <c r="D563" s="181" t="s">
        <v>529</v>
      </c>
      <c r="E563" s="181" t="s">
        <v>529</v>
      </c>
      <c r="F563" s="257"/>
      <c r="G563" s="257"/>
      <c r="H563" s="259"/>
      <c r="J563" s="197"/>
      <c r="M563" s="259"/>
    </row>
    <row r="564" spans="1:13" ht="12.6" customHeight="1" x14ac:dyDescent="0.25">
      <c r="A564" s="180" t="s">
        <v>1249</v>
      </c>
      <c r="B564" s="234">
        <v>81142.885499999989</v>
      </c>
      <c r="C564" s="234">
        <f>BS71</f>
        <v>-32024.714399999997</v>
      </c>
      <c r="D564" s="181" t="s">
        <v>529</v>
      </c>
      <c r="E564" s="181" t="s">
        <v>529</v>
      </c>
      <c r="F564" s="257"/>
      <c r="G564" s="257"/>
      <c r="H564" s="259"/>
      <c r="J564" s="197"/>
      <c r="M564" s="259"/>
    </row>
    <row r="565" spans="1:13" ht="12.6" customHeight="1" x14ac:dyDescent="0.25">
      <c r="A565" s="180" t="s">
        <v>578</v>
      </c>
      <c r="B565" s="234">
        <v>176498.67379999999</v>
      </c>
      <c r="C565" s="234">
        <f>BT71</f>
        <v>26596.087299999999</v>
      </c>
      <c r="D565" s="181" t="s">
        <v>529</v>
      </c>
      <c r="E565" s="181" t="s">
        <v>529</v>
      </c>
      <c r="F565" s="257"/>
      <c r="G565" s="257"/>
      <c r="H565" s="259"/>
      <c r="J565" s="197"/>
      <c r="M565" s="259"/>
    </row>
    <row r="566" spans="1:13" ht="12.6" customHeight="1" x14ac:dyDescent="0.25">
      <c r="A566" s="180" t="s">
        <v>579</v>
      </c>
      <c r="B566" s="234">
        <v>31510.4493</v>
      </c>
      <c r="C566" s="234">
        <f>BU71</f>
        <v>37273.8531</v>
      </c>
      <c r="D566" s="181" t="s">
        <v>529</v>
      </c>
      <c r="E566" s="181" t="s">
        <v>529</v>
      </c>
      <c r="F566" s="257"/>
      <c r="G566" s="257"/>
      <c r="H566" s="259"/>
      <c r="J566" s="197"/>
      <c r="M566" s="259"/>
    </row>
    <row r="567" spans="1:13" ht="12.6" customHeight="1" x14ac:dyDescent="0.25">
      <c r="A567" s="180" t="s">
        <v>580</v>
      </c>
      <c r="B567" s="234">
        <v>1072198.9874394599</v>
      </c>
      <c r="C567" s="234">
        <f>BV71</f>
        <v>3910362.8848428382</v>
      </c>
      <c r="D567" s="181" t="s">
        <v>529</v>
      </c>
      <c r="E567" s="181" t="s">
        <v>529</v>
      </c>
      <c r="F567" s="257"/>
      <c r="G567" s="257"/>
      <c r="H567" s="259"/>
      <c r="J567" s="197"/>
      <c r="M567" s="259"/>
    </row>
    <row r="568" spans="1:13" ht="12.6" customHeight="1" x14ac:dyDescent="0.25">
      <c r="A568" s="180" t="s">
        <v>581</v>
      </c>
      <c r="B568" s="234">
        <v>624335.64198592014</v>
      </c>
      <c r="C568" s="234">
        <f>BW71</f>
        <v>488480.56761800003</v>
      </c>
      <c r="D568" s="181" t="s">
        <v>529</v>
      </c>
      <c r="E568" s="181" t="s">
        <v>529</v>
      </c>
      <c r="F568" s="257"/>
      <c r="G568" s="257"/>
      <c r="H568" s="259"/>
      <c r="J568" s="197"/>
      <c r="M568" s="259"/>
    </row>
    <row r="569" spans="1:13" ht="12.6" customHeight="1" x14ac:dyDescent="0.25">
      <c r="A569" s="180" t="s">
        <v>582</v>
      </c>
      <c r="B569" s="234">
        <v>2947152.0645524799</v>
      </c>
      <c r="C569" s="234">
        <f>BX71</f>
        <v>3595801.5928080194</v>
      </c>
      <c r="D569" s="181" t="s">
        <v>529</v>
      </c>
      <c r="E569" s="181" t="s">
        <v>529</v>
      </c>
      <c r="F569" s="257"/>
      <c r="G569" s="257"/>
      <c r="H569" s="259"/>
      <c r="J569" s="197"/>
      <c r="M569" s="259"/>
    </row>
    <row r="570" spans="1:13" ht="12.6" customHeight="1" x14ac:dyDescent="0.25">
      <c r="A570" s="180" t="s">
        <v>583</v>
      </c>
      <c r="B570" s="234">
        <v>2470050.3478999995</v>
      </c>
      <c r="C570" s="234">
        <f>BY71</f>
        <v>2625634.9672000008</v>
      </c>
      <c r="D570" s="181" t="s">
        <v>529</v>
      </c>
      <c r="E570" s="181" t="s">
        <v>529</v>
      </c>
      <c r="F570" s="257"/>
      <c r="G570" s="257"/>
      <c r="H570" s="259"/>
      <c r="J570" s="197"/>
      <c r="M570" s="259"/>
    </row>
    <row r="571" spans="1:13" ht="12.6" customHeight="1" x14ac:dyDescent="0.25">
      <c r="A571" s="180" t="s">
        <v>584</v>
      </c>
      <c r="B571" s="234">
        <v>0</v>
      </c>
      <c r="C571" s="234">
        <f>BZ71</f>
        <v>0</v>
      </c>
      <c r="D571" s="181" t="s">
        <v>529</v>
      </c>
      <c r="E571" s="181" t="s">
        <v>529</v>
      </c>
      <c r="F571" s="257"/>
      <c r="G571" s="257"/>
      <c r="H571" s="259"/>
      <c r="J571" s="197"/>
      <c r="M571" s="259"/>
    </row>
    <row r="572" spans="1:13" ht="12.6" customHeight="1" x14ac:dyDescent="0.25">
      <c r="A572" s="180" t="s">
        <v>585</v>
      </c>
      <c r="B572" s="234">
        <v>366302.21100000007</v>
      </c>
      <c r="C572" s="234">
        <f>CA71</f>
        <v>451309.19350000005</v>
      </c>
      <c r="D572" s="181" t="s">
        <v>529</v>
      </c>
      <c r="E572" s="181" t="s">
        <v>529</v>
      </c>
      <c r="F572" s="257"/>
      <c r="G572" s="257"/>
      <c r="H572" s="259"/>
      <c r="J572" s="197"/>
      <c r="M572" s="259"/>
    </row>
    <row r="573" spans="1:13" ht="12.6" customHeight="1" x14ac:dyDescent="0.25">
      <c r="A573" s="180" t="s">
        <v>586</v>
      </c>
      <c r="B573" s="234">
        <v>38638.4427</v>
      </c>
      <c r="C573" s="234">
        <f>CB71</f>
        <v>46061.413200000003</v>
      </c>
      <c r="D573" s="181" t="s">
        <v>529</v>
      </c>
      <c r="E573" s="181" t="s">
        <v>529</v>
      </c>
      <c r="F573" s="257"/>
      <c r="G573" s="257"/>
      <c r="H573" s="259"/>
      <c r="J573" s="197"/>
      <c r="M573" s="259"/>
    </row>
    <row r="574" spans="1:13" ht="12.6" customHeight="1" x14ac:dyDescent="0.25">
      <c r="A574" s="180" t="s">
        <v>587</v>
      </c>
      <c r="B574" s="234">
        <v>33356147.414299998</v>
      </c>
      <c r="C574" s="234">
        <f>CC71</f>
        <v>32989319.438590348</v>
      </c>
      <c r="D574" s="181" t="s">
        <v>529</v>
      </c>
      <c r="E574" s="181" t="s">
        <v>529</v>
      </c>
      <c r="F574" s="257"/>
      <c r="G574" s="257"/>
      <c r="H574" s="259"/>
      <c r="J574" s="197"/>
      <c r="M574" s="259"/>
    </row>
    <row r="575" spans="1:13" ht="12.6" customHeight="1" x14ac:dyDescent="0.25">
      <c r="A575" s="180" t="s">
        <v>588</v>
      </c>
      <c r="B575" s="234" t="s">
        <v>221</v>
      </c>
      <c r="C575" s="234">
        <f>CD71</f>
        <v>0</v>
      </c>
      <c r="D575" s="181" t="s">
        <v>529</v>
      </c>
      <c r="E575" s="181" t="s">
        <v>529</v>
      </c>
      <c r="F575" s="257"/>
      <c r="G575" s="257"/>
      <c r="H575" s="259"/>
    </row>
    <row r="576" spans="1:13" ht="12.6" customHeight="1" x14ac:dyDescent="0.25">
      <c r="M576" s="259"/>
    </row>
    <row r="577" spans="13:13" ht="12.6" customHeight="1" x14ac:dyDescent="0.25">
      <c r="M577" s="259"/>
    </row>
    <row r="578" spans="13:13" ht="12.6" customHeight="1" x14ac:dyDescent="0.25">
      <c r="M578" s="259"/>
    </row>
    <row r="612" spans="1:14" ht="12.6" customHeight="1" x14ac:dyDescent="0.25">
      <c r="A612" s="194"/>
      <c r="C612" s="181" t="s">
        <v>589</v>
      </c>
      <c r="D612" s="180">
        <f>CE76-(BE76+CD76)</f>
        <v>217521</v>
      </c>
      <c r="E612" s="180">
        <f>SUM(C624:D647)+SUM(C668:D713)</f>
        <v>140585041.6968115</v>
      </c>
      <c r="F612" s="180">
        <f>CE64-(AX64+BD64+BE64+BG64+BJ64+BN64+BP64+BQ64+CB64+CC64+CD64)</f>
        <v>24002613.320000004</v>
      </c>
      <c r="G612" s="180">
        <f>CE77-(AX77+AY77+BD77+BE77+BG77+BJ77+BN77+BP77+BQ77+CB77+CC77+CD77)</f>
        <v>170414.16666666669</v>
      </c>
      <c r="H612" s="195">
        <f>CE60-(AX60+AY60+AZ60+BD60+BE60+BG60+BJ60+BN60+BO60+BP60+BQ60+BR60+CB60+CC60+CD60)</f>
        <v>688.86923076923063</v>
      </c>
      <c r="I612" s="180">
        <f>CE78-(AX78+AY78+AZ78+BD78+BE78+BF78+BG78+BJ78+BN78+BO78+BP78+BQ78+BR78+CB78+CC78+CD78)</f>
        <v>55291.099999999991</v>
      </c>
      <c r="J612" s="180">
        <f>CE79-(AX79+AY79+AZ79+BA79+BD79+BE79+BF79+BG79+BJ79+BN79+BO79+BP79+BQ79+BR79+CB79+CC79+CD79)</f>
        <v>945925.54999999981</v>
      </c>
      <c r="K612" s="180">
        <f>CE75-(AW75+AX75+AY75+AZ75+BA75+BB75+BC75+BD75+BE75+BF75+BG75+BH75+BI75+BJ75+BK75+BL75+BM75+BN75+BO75+BP75+BQ75+BR75+BS75+BT75+BU75+BV75+BW75+BX75+CB75+CC75+CD75)</f>
        <v>914363216.01999986</v>
      </c>
      <c r="L612" s="195">
        <f>CE80-(AW80+AX80+AY80+AZ80+BA80+BB80+BC80+BD80+BE80+BF80+BG80+BH80+BI80+BJ80+BK80+BL80+BM80+BN80+BO80+BP80+BQ80+BR80+BS80+BT80+BU80+BV80+BW80+BX80+BY80+BZ80+CA80+CB80+CC80+CD80)</f>
        <v>246.59371634615385</v>
      </c>
    </row>
    <row r="613" spans="1:14" ht="12.6" customHeight="1" x14ac:dyDescent="0.25">
      <c r="A613" s="194"/>
      <c r="C613" s="181" t="s">
        <v>590</v>
      </c>
      <c r="D613" s="181" t="s">
        <v>591</v>
      </c>
      <c r="E613" s="196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6" t="s">
        <v>599</v>
      </c>
    </row>
    <row r="614" spans="1:14" ht="12.6" customHeight="1" x14ac:dyDescent="0.25">
      <c r="A614" s="194">
        <v>8430</v>
      </c>
      <c r="B614" s="196" t="s">
        <v>140</v>
      </c>
      <c r="C614" s="180">
        <f>BE71</f>
        <v>4788046.3166000005</v>
      </c>
      <c r="N614" s="197" t="s">
        <v>600</v>
      </c>
    </row>
    <row r="615" spans="1:14" ht="12.6" customHeight="1" x14ac:dyDescent="0.25">
      <c r="A615" s="194"/>
      <c r="B615" s="196" t="s">
        <v>601</v>
      </c>
      <c r="C615" s="267">
        <f>CD69-CD70</f>
        <v>0</v>
      </c>
      <c r="D615" s="260">
        <f>SUM(C614:C615)</f>
        <v>4788046.3166000005</v>
      </c>
      <c r="N615" s="197" t="s">
        <v>602</v>
      </c>
    </row>
    <row r="616" spans="1:14" ht="12.6" customHeight="1" x14ac:dyDescent="0.25">
      <c r="A616" s="194">
        <v>8310</v>
      </c>
      <c r="B616" s="198" t="s">
        <v>603</v>
      </c>
      <c r="C616" s="180">
        <f>AX71</f>
        <v>-14.049299999999903</v>
      </c>
      <c r="D616" s="180">
        <f>(D615/D612)*AX76</f>
        <v>0</v>
      </c>
      <c r="N616" s="197" t="s">
        <v>604</v>
      </c>
    </row>
    <row r="617" spans="1:14" ht="12.6" customHeight="1" x14ac:dyDescent="0.25">
      <c r="A617" s="194">
        <v>8510</v>
      </c>
      <c r="B617" s="198" t="s">
        <v>145</v>
      </c>
      <c r="C617" s="180">
        <f>BJ71</f>
        <v>576162.31821290997</v>
      </c>
      <c r="D617" s="180">
        <f>(D615/D612)*BJ76</f>
        <v>0</v>
      </c>
      <c r="N617" s="197" t="s">
        <v>605</v>
      </c>
    </row>
    <row r="618" spans="1:14" ht="12.6" customHeight="1" x14ac:dyDescent="0.25">
      <c r="A618" s="194">
        <v>8470</v>
      </c>
      <c r="B618" s="198" t="s">
        <v>606</v>
      </c>
      <c r="C618" s="180">
        <f>BG71</f>
        <v>32840.601200000005</v>
      </c>
      <c r="D618" s="180">
        <f>(D615/D612)*BG76</f>
        <v>0</v>
      </c>
      <c r="N618" s="197" t="s">
        <v>607</v>
      </c>
    </row>
    <row r="619" spans="1:14" ht="12.6" customHeight="1" x14ac:dyDescent="0.25">
      <c r="A619" s="194">
        <v>8610</v>
      </c>
      <c r="B619" s="198" t="s">
        <v>608</v>
      </c>
      <c r="C619" s="180">
        <f>BN71</f>
        <v>5970225.8046048302</v>
      </c>
      <c r="D619" s="180">
        <f>(D615/D612)*BN76</f>
        <v>459101.79718430043</v>
      </c>
      <c r="N619" s="197" t="s">
        <v>609</v>
      </c>
    </row>
    <row r="620" spans="1:14" ht="12.6" customHeight="1" x14ac:dyDescent="0.25">
      <c r="A620" s="194">
        <v>8790</v>
      </c>
      <c r="B620" s="198" t="s">
        <v>610</v>
      </c>
      <c r="C620" s="180">
        <f>CC71</f>
        <v>32989319.438590348</v>
      </c>
      <c r="D620" s="180">
        <f>(D615/D612)*CC76</f>
        <v>206801.61981811875</v>
      </c>
      <c r="N620" s="197" t="s">
        <v>611</v>
      </c>
    </row>
    <row r="621" spans="1:14" ht="12.6" customHeight="1" x14ac:dyDescent="0.25">
      <c r="A621" s="194">
        <v>8630</v>
      </c>
      <c r="B621" s="198" t="s">
        <v>612</v>
      </c>
      <c r="C621" s="180">
        <f>BP71</f>
        <v>416417.42139999999</v>
      </c>
      <c r="D621" s="180">
        <f>(D615/D612)*BP76</f>
        <v>0</v>
      </c>
      <c r="N621" s="197" t="s">
        <v>613</v>
      </c>
    </row>
    <row r="622" spans="1:14" ht="12.6" customHeight="1" x14ac:dyDescent="0.25">
      <c r="A622" s="194">
        <v>8770</v>
      </c>
      <c r="B622" s="196" t="s">
        <v>614</v>
      </c>
      <c r="C622" s="180">
        <f>CB71</f>
        <v>46061.413200000003</v>
      </c>
      <c r="D622" s="180">
        <f>(D615/D612)*CB76</f>
        <v>0</v>
      </c>
      <c r="N622" s="197" t="s">
        <v>615</v>
      </c>
    </row>
    <row r="623" spans="1:14" ht="12.6" customHeight="1" x14ac:dyDescent="0.25">
      <c r="A623" s="194">
        <v>8640</v>
      </c>
      <c r="B623" s="198" t="s">
        <v>616</v>
      </c>
      <c r="C623" s="180">
        <f>BQ71</f>
        <v>0</v>
      </c>
      <c r="D623" s="180">
        <f>(D615/D612)*BQ76</f>
        <v>0</v>
      </c>
      <c r="E623" s="180">
        <f>SUM(C616:D623)</f>
        <v>40696916.364910513</v>
      </c>
      <c r="N623" s="197" t="s">
        <v>617</v>
      </c>
    </row>
    <row r="624" spans="1:14" ht="12.6" customHeight="1" x14ac:dyDescent="0.25">
      <c r="A624" s="194">
        <v>8420</v>
      </c>
      <c r="B624" s="198" t="s">
        <v>139</v>
      </c>
      <c r="C624" s="180">
        <f>BD71</f>
        <v>0</v>
      </c>
      <c r="D624" s="180">
        <f>(D615/D612)*BD76</f>
        <v>0</v>
      </c>
      <c r="E624" s="180">
        <f>(E623/E612)*SUM(C624:D624)</f>
        <v>0</v>
      </c>
      <c r="F624" s="180">
        <f>SUM(C624:E624)</f>
        <v>0</v>
      </c>
      <c r="N624" s="197" t="s">
        <v>618</v>
      </c>
    </row>
    <row r="625" spans="1:14" ht="12.6" customHeight="1" x14ac:dyDescent="0.25">
      <c r="A625" s="194">
        <v>8320</v>
      </c>
      <c r="B625" s="198" t="s">
        <v>135</v>
      </c>
      <c r="C625" s="180">
        <f>AY71</f>
        <v>2675971.2500000009</v>
      </c>
      <c r="D625" s="180">
        <f>(D615/D612)*AY76</f>
        <v>34778.771613903948</v>
      </c>
      <c r="E625" s="180">
        <f>(E623/E612)*SUM(C625:D625)</f>
        <v>784714.82872066123</v>
      </c>
      <c r="F625" s="180">
        <f>(F624/F612)*AY64</f>
        <v>0</v>
      </c>
      <c r="G625" s="180">
        <f>SUM(C625:F625)</f>
        <v>3495464.8503345661</v>
      </c>
      <c r="N625" s="197" t="s">
        <v>619</v>
      </c>
    </row>
    <row r="626" spans="1:14" ht="12.6" customHeight="1" x14ac:dyDescent="0.25">
      <c r="A626" s="194">
        <v>8650</v>
      </c>
      <c r="B626" s="198" t="s">
        <v>152</v>
      </c>
      <c r="C626" s="180">
        <f>BR71</f>
        <v>1790052.2105</v>
      </c>
      <c r="D626" s="180">
        <f>(D615/D612)*BR76</f>
        <v>68853.163043222507</v>
      </c>
      <c r="E626" s="180">
        <f>(E623/E612)*SUM(C626:D626)</f>
        <v>538120.66777718253</v>
      </c>
      <c r="F626" s="180">
        <f>(F624/F612)*BR64</f>
        <v>0</v>
      </c>
      <c r="G626" s="180">
        <f>(G625/G612)*BR77</f>
        <v>0</v>
      </c>
      <c r="N626" s="197" t="s">
        <v>620</v>
      </c>
    </row>
    <row r="627" spans="1:14" ht="12.6" customHeight="1" x14ac:dyDescent="0.25">
      <c r="A627" s="194">
        <v>8620</v>
      </c>
      <c r="B627" s="196" t="s">
        <v>621</v>
      </c>
      <c r="C627" s="180">
        <f>BO71</f>
        <v>512840.41959999979</v>
      </c>
      <c r="D627" s="180">
        <f>(D615/D612)*BO76</f>
        <v>0</v>
      </c>
      <c r="E627" s="180">
        <f>(E623/E612)*SUM(C627:D627)</f>
        <v>148458.35241858568</v>
      </c>
      <c r="F627" s="180">
        <f>(F624/F612)*BO64</f>
        <v>0</v>
      </c>
      <c r="G627" s="180">
        <f>(G625/G612)*BO77</f>
        <v>0</v>
      </c>
      <c r="N627" s="197" t="s">
        <v>622</v>
      </c>
    </row>
    <row r="628" spans="1:14" ht="12.6" customHeight="1" x14ac:dyDescent="0.25">
      <c r="A628" s="194">
        <v>8330</v>
      </c>
      <c r="B628" s="198" t="s">
        <v>136</v>
      </c>
      <c r="C628" s="180">
        <f>AZ71</f>
        <v>0</v>
      </c>
      <c r="D628" s="180">
        <f>(D615/D612)*AZ76</f>
        <v>91261.257665345431</v>
      </c>
      <c r="E628" s="180">
        <f>(E623/E612)*SUM(C628:D628)</f>
        <v>26418.541586898766</v>
      </c>
      <c r="F628" s="180">
        <f>(F624/F612)*AZ64</f>
        <v>0</v>
      </c>
      <c r="G628" s="180">
        <f>(G625/G612)*AZ77</f>
        <v>1305552.1987591207</v>
      </c>
      <c r="H628" s="180">
        <f>SUM(C626:G628)</f>
        <v>4481556.8113503549</v>
      </c>
      <c r="N628" s="197" t="s">
        <v>623</v>
      </c>
    </row>
    <row r="629" spans="1:14" ht="12.6" customHeight="1" x14ac:dyDescent="0.25">
      <c r="A629" s="194">
        <v>8460</v>
      </c>
      <c r="B629" s="198" t="s">
        <v>141</v>
      </c>
      <c r="C629" s="180">
        <f>BF71</f>
        <v>2440223.1800000002</v>
      </c>
      <c r="D629" s="180">
        <f>(D615/D612)*BF76</f>
        <v>91195.222023040551</v>
      </c>
      <c r="E629" s="180">
        <f>(E623/E612)*SUM(C629:D629)</f>
        <v>732801.45418247324</v>
      </c>
      <c r="F629" s="180">
        <f>(F624/F612)*BF64</f>
        <v>0</v>
      </c>
      <c r="G629" s="180">
        <f>(G625/G612)*BF77</f>
        <v>0</v>
      </c>
      <c r="H629" s="180">
        <f>(H628/H612)*BF60</f>
        <v>239017.73947172542</v>
      </c>
      <c r="I629" s="180">
        <f>SUM(C629:H629)</f>
        <v>3503237.5956772389</v>
      </c>
      <c r="N629" s="197" t="s">
        <v>624</v>
      </c>
    </row>
    <row r="630" spans="1:14" ht="12.6" customHeight="1" x14ac:dyDescent="0.25">
      <c r="A630" s="194">
        <v>8350</v>
      </c>
      <c r="B630" s="198" t="s">
        <v>625</v>
      </c>
      <c r="C630" s="180">
        <f>BA71</f>
        <v>276.82000000000005</v>
      </c>
      <c r="D630" s="180">
        <f>(D615/D612)*BA76</f>
        <v>0</v>
      </c>
      <c r="E630" s="180">
        <f>(E623/E612)*SUM(C630:D630)</f>
        <v>80.134559496240058</v>
      </c>
      <c r="F630" s="180">
        <f>(F624/F612)*BA64</f>
        <v>0</v>
      </c>
      <c r="G630" s="180">
        <f>(G625/G612)*BA77</f>
        <v>0</v>
      </c>
      <c r="H630" s="180">
        <f>(H628/H612)*BA60</f>
        <v>0</v>
      </c>
      <c r="I630" s="180">
        <f>(I629/I612)*BA78</f>
        <v>0</v>
      </c>
      <c r="J630" s="180">
        <f>SUM(C630:I630)</f>
        <v>356.95455949624011</v>
      </c>
      <c r="N630" s="197" t="s">
        <v>626</v>
      </c>
    </row>
    <row r="631" spans="1:14" ht="12.6" customHeight="1" x14ac:dyDescent="0.25">
      <c r="A631" s="194">
        <v>8200</v>
      </c>
      <c r="B631" s="198" t="s">
        <v>627</v>
      </c>
      <c r="C631" s="180">
        <f>AW71</f>
        <v>753666.28</v>
      </c>
      <c r="D631" s="180">
        <f>(D615/D612)*AW76</f>
        <v>0</v>
      </c>
      <c r="E631" s="180">
        <f>(E623/E612)*SUM(C631:D631)</f>
        <v>218173.23659768049</v>
      </c>
      <c r="F631" s="180">
        <f>(F624/F612)*AW64</f>
        <v>0</v>
      </c>
      <c r="G631" s="180">
        <f>(G625/G612)*AW77</f>
        <v>0</v>
      </c>
      <c r="H631" s="180">
        <f>(H628/H612)*AW60</f>
        <v>37642.189698140719</v>
      </c>
      <c r="I631" s="180">
        <f>(I629/I612)*AW78</f>
        <v>0</v>
      </c>
      <c r="J631" s="180">
        <f>(J630/J612)*AW79</f>
        <v>0</v>
      </c>
      <c r="N631" s="197" t="s">
        <v>628</v>
      </c>
    </row>
    <row r="632" spans="1:14" ht="12.6" customHeight="1" x14ac:dyDescent="0.25">
      <c r="A632" s="194">
        <v>8360</v>
      </c>
      <c r="B632" s="198" t="s">
        <v>629</v>
      </c>
      <c r="C632" s="180">
        <f>BB71</f>
        <v>0</v>
      </c>
      <c r="D632" s="180">
        <f>(D615/D612)*BB76</f>
        <v>0</v>
      </c>
      <c r="E632" s="180">
        <f>(E623/E612)*SUM(C632:D632)</f>
        <v>0</v>
      </c>
      <c r="F632" s="180">
        <f>(F624/F612)*BB64</f>
        <v>0</v>
      </c>
      <c r="G632" s="180">
        <f>(G625/G612)*BB77</f>
        <v>0</v>
      </c>
      <c r="H632" s="180">
        <f>(H628/H612)*BB60</f>
        <v>0</v>
      </c>
      <c r="I632" s="180">
        <f>(I629/I612)*BB78</f>
        <v>0</v>
      </c>
      <c r="J632" s="180">
        <f>(J630/J612)*BB79</f>
        <v>0</v>
      </c>
      <c r="N632" s="197" t="s">
        <v>630</v>
      </c>
    </row>
    <row r="633" spans="1:14" ht="12.6" customHeight="1" x14ac:dyDescent="0.25">
      <c r="A633" s="194">
        <v>8370</v>
      </c>
      <c r="B633" s="198" t="s">
        <v>631</v>
      </c>
      <c r="C633" s="180">
        <f>BC71</f>
        <v>877.45</v>
      </c>
      <c r="D633" s="180">
        <f>(D615/D612)*BC76</f>
        <v>0</v>
      </c>
      <c r="E633" s="180">
        <f>(E623/E612)*SUM(C633:D633)</f>
        <v>254.00646351410964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(I629/I612)*BC78</f>
        <v>0</v>
      </c>
      <c r="J633" s="180">
        <f>(J630/J612)*BC79</f>
        <v>0</v>
      </c>
      <c r="N633" s="197" t="s">
        <v>632</v>
      </c>
    </row>
    <row r="634" spans="1:14" ht="12.6" customHeight="1" x14ac:dyDescent="0.25">
      <c r="A634" s="194">
        <v>8490</v>
      </c>
      <c r="B634" s="198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(I629/I612)*BI78</f>
        <v>0</v>
      </c>
      <c r="J634" s="180">
        <f>(J630/J612)*BI79</f>
        <v>0</v>
      </c>
      <c r="N634" s="197" t="s">
        <v>634</v>
      </c>
    </row>
    <row r="635" spans="1:14" ht="12.6" customHeight="1" x14ac:dyDescent="0.25">
      <c r="A635" s="194">
        <v>8530</v>
      </c>
      <c r="B635" s="198" t="s">
        <v>635</v>
      </c>
      <c r="C635" s="180">
        <f>BK71</f>
        <v>3333343.3453221139</v>
      </c>
      <c r="D635" s="180">
        <f>(D615/D612)*BK76</f>
        <v>0</v>
      </c>
      <c r="E635" s="180">
        <f>(E623/E612)*SUM(C635:D635)</f>
        <v>964944.73169247434</v>
      </c>
      <c r="F635" s="180">
        <f>(F624/F612)*BK64</f>
        <v>0</v>
      </c>
      <c r="G635" s="180">
        <f>(G625/G612)*BK77</f>
        <v>0</v>
      </c>
      <c r="H635" s="180">
        <f>(H628/H612)*BK60</f>
        <v>162.64178349009703</v>
      </c>
      <c r="I635" s="180">
        <f>(I629/I612)*BK78</f>
        <v>0</v>
      </c>
      <c r="J635" s="180">
        <f>(J630/J612)*BK79</f>
        <v>0</v>
      </c>
      <c r="N635" s="197" t="s">
        <v>636</v>
      </c>
    </row>
    <row r="636" spans="1:14" ht="12.6" customHeight="1" x14ac:dyDescent="0.25">
      <c r="A636" s="194">
        <v>8480</v>
      </c>
      <c r="B636" s="198" t="s">
        <v>637</v>
      </c>
      <c r="C636" s="180">
        <f>BH71</f>
        <v>222665.44130593882</v>
      </c>
      <c r="D636" s="180">
        <f>(D615/D612)*BH76</f>
        <v>0</v>
      </c>
      <c r="E636" s="180">
        <f>(E623/E612)*SUM(C636:D636)</f>
        <v>64457.759750333425</v>
      </c>
      <c r="F636" s="180">
        <f>(F624/F612)*BH64</f>
        <v>0</v>
      </c>
      <c r="G636" s="180">
        <f>(G625/G612)*BH77</f>
        <v>0</v>
      </c>
      <c r="H636" s="180">
        <f>(H628/H612)*BH60</f>
        <v>0</v>
      </c>
      <c r="I636" s="180">
        <f>(I629/I612)*BH78</f>
        <v>0</v>
      </c>
      <c r="J636" s="180">
        <f>(J630/J612)*BH79</f>
        <v>0</v>
      </c>
      <c r="N636" s="197" t="s">
        <v>638</v>
      </c>
    </row>
    <row r="637" spans="1:14" ht="12.6" customHeight="1" x14ac:dyDescent="0.25">
      <c r="A637" s="194">
        <v>8560</v>
      </c>
      <c r="B637" s="198" t="s">
        <v>147</v>
      </c>
      <c r="C637" s="180">
        <f>BL71</f>
        <v>2302281.6282508168</v>
      </c>
      <c r="D637" s="180">
        <f>(D615/D612)*BL76</f>
        <v>0</v>
      </c>
      <c r="E637" s="180">
        <f>(E623/E612)*SUM(C637:D637)</f>
        <v>666470.35660777939</v>
      </c>
      <c r="F637" s="180">
        <f>(F624/F612)*BL64</f>
        <v>0</v>
      </c>
      <c r="G637" s="180">
        <f>(G625/G612)*BL77</f>
        <v>0</v>
      </c>
      <c r="H637" s="180">
        <f>(H628/H612)*BL60</f>
        <v>13011.342679207761</v>
      </c>
      <c r="I637" s="180">
        <f>(I629/I612)*BL78</f>
        <v>0</v>
      </c>
      <c r="J637" s="180">
        <f>(J630/J612)*BL79</f>
        <v>0</v>
      </c>
      <c r="N637" s="197" t="s">
        <v>639</v>
      </c>
    </row>
    <row r="638" spans="1:14" ht="12.6" customHeight="1" x14ac:dyDescent="0.25">
      <c r="A638" s="194">
        <v>8590</v>
      </c>
      <c r="B638" s="198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f>(I629/I612)*BM78</f>
        <v>0</v>
      </c>
      <c r="J638" s="180">
        <f>(J630/J612)*BM79</f>
        <v>0</v>
      </c>
      <c r="N638" s="197" t="s">
        <v>641</v>
      </c>
    </row>
    <row r="639" spans="1:14" ht="12.6" customHeight="1" x14ac:dyDescent="0.25">
      <c r="A639" s="194">
        <v>8660</v>
      </c>
      <c r="B639" s="198" t="s">
        <v>642</v>
      </c>
      <c r="C639" s="180">
        <f>BS71</f>
        <v>-32024.714399999997</v>
      </c>
      <c r="D639" s="180">
        <f>(D615/D612)*BS76</f>
        <v>5855.1602843661085</v>
      </c>
      <c r="E639" s="180">
        <f>(E623/E612)*SUM(C639:D639)</f>
        <v>-7575.6292582520673</v>
      </c>
      <c r="F639" s="180">
        <f>(F624/F612)*BS64</f>
        <v>0</v>
      </c>
      <c r="G639" s="180">
        <f>(G625/G612)*BS77</f>
        <v>0</v>
      </c>
      <c r="H639" s="180">
        <f>(H628/H612)*BS60</f>
        <v>3512.4369780649795</v>
      </c>
      <c r="I639" s="180">
        <f>(I629/I612)*BS78</f>
        <v>5346.94047865212</v>
      </c>
      <c r="J639" s="180">
        <f>(J630/J612)*BS79</f>
        <v>0</v>
      </c>
      <c r="N639" s="197" t="s">
        <v>643</v>
      </c>
    </row>
    <row r="640" spans="1:14" ht="12.6" customHeight="1" x14ac:dyDescent="0.25">
      <c r="A640" s="194">
        <v>8670</v>
      </c>
      <c r="B640" s="198" t="s">
        <v>644</v>
      </c>
      <c r="C640" s="180">
        <f>BT71</f>
        <v>26596.087299999999</v>
      </c>
      <c r="D640" s="180">
        <f>(D615/D612)*BT76</f>
        <v>0</v>
      </c>
      <c r="E640" s="180">
        <f>(E623/E612)*SUM(C640:D640)</f>
        <v>7699.1031721300633</v>
      </c>
      <c r="F640" s="180">
        <f>(F624/F612)*BT64</f>
        <v>0</v>
      </c>
      <c r="G640" s="180">
        <f>(G625/G612)*BT77</f>
        <v>0</v>
      </c>
      <c r="H640" s="180">
        <f>(H628/H612)*BT60</f>
        <v>2026.766840415055</v>
      </c>
      <c r="I640" s="180">
        <f>(I629/I612)*BT78</f>
        <v>0</v>
      </c>
      <c r="J640" s="180">
        <f>(J630/J612)*BT79</f>
        <v>0</v>
      </c>
      <c r="N640" s="197" t="s">
        <v>645</v>
      </c>
    </row>
    <row r="641" spans="1:14" ht="12.6" customHeight="1" x14ac:dyDescent="0.25">
      <c r="A641" s="194">
        <v>8680</v>
      </c>
      <c r="B641" s="198" t="s">
        <v>646</v>
      </c>
      <c r="C641" s="180">
        <f>BU71</f>
        <v>37273.8531</v>
      </c>
      <c r="D641" s="180">
        <f>(D615/D612)*BU76</f>
        <v>0</v>
      </c>
      <c r="E641" s="180">
        <f>(E623/E612)*SUM(C641:D641)</f>
        <v>10790.130044418978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f>(I629/I612)*BU78</f>
        <v>0</v>
      </c>
      <c r="J641" s="180">
        <f>(J630/J612)*BU79</f>
        <v>0</v>
      </c>
      <c r="N641" s="197" t="s">
        <v>647</v>
      </c>
    </row>
    <row r="642" spans="1:14" ht="12.6" customHeight="1" x14ac:dyDescent="0.25">
      <c r="A642" s="194">
        <v>8690</v>
      </c>
      <c r="B642" s="198" t="s">
        <v>648</v>
      </c>
      <c r="C642" s="180">
        <f>BV71</f>
        <v>3910362.8848428382</v>
      </c>
      <c r="D642" s="180">
        <f>(D615/D612)*BV76</f>
        <v>55579.998939941441</v>
      </c>
      <c r="E642" s="180">
        <f>(E623/E612)*SUM(C642:D642)</f>
        <v>1148071.2592268658</v>
      </c>
      <c r="F642" s="180">
        <f>(F624/F612)*BV64</f>
        <v>0</v>
      </c>
      <c r="G642" s="180">
        <f>(G625/G612)*BV77</f>
        <v>0</v>
      </c>
      <c r="H642" s="180">
        <f>(H628/H612)*BV60</f>
        <v>0</v>
      </c>
      <c r="I642" s="180">
        <f>(I629/I612)*BV78</f>
        <v>50757.60181832224</v>
      </c>
      <c r="J642" s="180">
        <f>(J630/J612)*BV79</f>
        <v>0</v>
      </c>
      <c r="N642" s="197" t="s">
        <v>649</v>
      </c>
    </row>
    <row r="643" spans="1:14" ht="12.6" customHeight="1" x14ac:dyDescent="0.25">
      <c r="A643" s="194">
        <v>8700</v>
      </c>
      <c r="B643" s="198" t="s">
        <v>650</v>
      </c>
      <c r="C643" s="180">
        <f>BW71</f>
        <v>488480.56761800003</v>
      </c>
      <c r="D643" s="180">
        <f>(D615/D612)*BW76</f>
        <v>0</v>
      </c>
      <c r="E643" s="180">
        <f>(E623/E612)*SUM(C643:D643)</f>
        <v>141406.60034875272</v>
      </c>
      <c r="F643" s="180">
        <f>(F624/F612)*BW64</f>
        <v>0</v>
      </c>
      <c r="G643" s="180">
        <f>(G625/G612)*BW77</f>
        <v>0</v>
      </c>
      <c r="H643" s="180">
        <f>(H628/H612)*BW60</f>
        <v>2036.1500202317914</v>
      </c>
      <c r="I643" s="180">
        <f>(I629/I612)*BW78</f>
        <v>0</v>
      </c>
      <c r="J643" s="180">
        <f>(J630/J612)*BW79</f>
        <v>0</v>
      </c>
      <c r="N643" s="197" t="s">
        <v>651</v>
      </c>
    </row>
    <row r="644" spans="1:14" ht="12.6" customHeight="1" x14ac:dyDescent="0.25">
      <c r="A644" s="194">
        <v>8710</v>
      </c>
      <c r="B644" s="198" t="s">
        <v>652</v>
      </c>
      <c r="C644" s="180">
        <f>BX71</f>
        <v>3595801.5928080194</v>
      </c>
      <c r="D644" s="180">
        <f>(D615/D612)*BX76</f>
        <v>0</v>
      </c>
      <c r="E644" s="180">
        <f>(E623/E612)*SUM(C644:D644)</f>
        <v>1040921.8144481935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f>(I629/I612)*BX78</f>
        <v>0</v>
      </c>
      <c r="J644" s="180">
        <f>(J630/J612)*BX79</f>
        <v>0</v>
      </c>
      <c r="K644" s="180">
        <f>SUM(C631:J644)</f>
        <v>19070869.014762454</v>
      </c>
      <c r="N644" s="197" t="s">
        <v>653</v>
      </c>
    </row>
    <row r="645" spans="1:14" ht="12.6" customHeight="1" x14ac:dyDescent="0.25">
      <c r="A645" s="194">
        <v>8720</v>
      </c>
      <c r="B645" s="198" t="s">
        <v>654</v>
      </c>
      <c r="C645" s="180">
        <f>BY71</f>
        <v>2625634.9672000008</v>
      </c>
      <c r="D645" s="180">
        <f>(D615/D612)*BY76</f>
        <v>15144.173968586025</v>
      </c>
      <c r="E645" s="180">
        <f>(E623/E612)*SUM(C645:D645)</f>
        <v>764459.47982228093</v>
      </c>
      <c r="F645" s="180">
        <f>(F624/F612)*BY64</f>
        <v>0</v>
      </c>
      <c r="G645" s="180">
        <f>(G625/G612)*BY77</f>
        <v>0</v>
      </c>
      <c r="H645" s="180">
        <f>(H628/H612)*BY60</f>
        <v>124286.47212588433</v>
      </c>
      <c r="I645" s="180">
        <f>(I629/I612)*BY78</f>
        <v>13830.195137814728</v>
      </c>
      <c r="J645" s="180">
        <f>(J630/J612)*BY79</f>
        <v>0</v>
      </c>
      <c r="K645" s="180">
        <v>0</v>
      </c>
      <c r="N645" s="197" t="s">
        <v>655</v>
      </c>
    </row>
    <row r="646" spans="1:14" ht="12.6" customHeight="1" x14ac:dyDescent="0.25">
      <c r="A646" s="194">
        <v>8730</v>
      </c>
      <c r="B646" s="198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f>(I629/I612)*BZ78</f>
        <v>0</v>
      </c>
      <c r="J646" s="180">
        <f>(J630/J612)*BZ79</f>
        <v>0</v>
      </c>
      <c r="K646" s="180">
        <v>0</v>
      </c>
      <c r="N646" s="197" t="s">
        <v>657</v>
      </c>
    </row>
    <row r="647" spans="1:14" ht="12.6" customHeight="1" x14ac:dyDescent="0.25">
      <c r="A647" s="194">
        <v>8740</v>
      </c>
      <c r="B647" s="198" t="s">
        <v>658</v>
      </c>
      <c r="C647" s="180">
        <f>CA71</f>
        <v>451309.19350000005</v>
      </c>
      <c r="D647" s="180">
        <f>(D615/D612)*CA76</f>
        <v>0</v>
      </c>
      <c r="E647" s="180">
        <f>(E623/E612)*SUM(C647:D647)</f>
        <v>130646.13618136646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f>(I629/I612)*CA78</f>
        <v>0</v>
      </c>
      <c r="J647" s="180">
        <f>(J630/J612)*CA79</f>
        <v>0</v>
      </c>
      <c r="K647" s="180">
        <v>0</v>
      </c>
      <c r="L647" s="180">
        <f>SUM(C645:K647)</f>
        <v>4125310.6179359332</v>
      </c>
      <c r="N647" s="197" t="s">
        <v>659</v>
      </c>
    </row>
    <row r="648" spans="1:14" ht="12.6" customHeight="1" x14ac:dyDescent="0.25">
      <c r="A648" s="194"/>
      <c r="B648" s="194"/>
      <c r="C648" s="180">
        <f>SUM(C614:C647)</f>
        <v>69954691.721455812</v>
      </c>
      <c r="L648" s="260"/>
    </row>
    <row r="666" spans="1:14" ht="12.6" customHeight="1" x14ac:dyDescent="0.25">
      <c r="C666" s="181" t="s">
        <v>660</v>
      </c>
      <c r="M666" s="181" t="s">
        <v>661</v>
      </c>
    </row>
    <row r="667" spans="1:14" ht="12.6" customHeight="1" x14ac:dyDescent="0.25">
      <c r="C667" s="181" t="s">
        <v>590</v>
      </c>
      <c r="D667" s="181" t="s">
        <v>591</v>
      </c>
      <c r="E667" s="196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6" t="s">
        <v>599</v>
      </c>
      <c r="M667" s="181" t="s">
        <v>662</v>
      </c>
    </row>
    <row r="668" spans="1:14" ht="12.6" customHeight="1" x14ac:dyDescent="0.25">
      <c r="A668" s="194">
        <v>6010</v>
      </c>
      <c r="B668" s="196" t="s">
        <v>283</v>
      </c>
      <c r="C668" s="180">
        <f>C71</f>
        <v>5113328.1300000008</v>
      </c>
      <c r="D668" s="180">
        <f>(D615/D612)*C76</f>
        <v>138586.80131717675</v>
      </c>
      <c r="E668" s="180">
        <f>(E623/E612)*SUM(C668:D668)</f>
        <v>1520337.726800187</v>
      </c>
      <c r="F668" s="180">
        <f>(F624/F612)*C64</f>
        <v>0</v>
      </c>
      <c r="G668" s="180">
        <f>(G625/G612)*C77</f>
        <v>509425.75210145442</v>
      </c>
      <c r="H668" s="180">
        <f>(H628/H612)*C60</f>
        <v>176750.95820786292</v>
      </c>
      <c r="I668" s="180">
        <f>(I629/I612)*C78</f>
        <v>126563.26595949721</v>
      </c>
      <c r="J668" s="180">
        <f>(J630/J612)*C79</f>
        <v>46.552828651617602</v>
      </c>
      <c r="K668" s="180">
        <f>(K644/K612)*C75</f>
        <v>333902.5946826397</v>
      </c>
      <c r="L668" s="180">
        <f>(L647/L612)*C80</f>
        <v>332955.55723217537</v>
      </c>
      <c r="M668" s="180">
        <f t="shared" ref="M668:M713" si="20">ROUND(SUM(D668:L668),0)</f>
        <v>3138569</v>
      </c>
      <c r="N668" s="196" t="s">
        <v>663</v>
      </c>
    </row>
    <row r="669" spans="1:14" ht="12.6" customHeight="1" x14ac:dyDescent="0.25">
      <c r="A669" s="194">
        <v>6030</v>
      </c>
      <c r="B669" s="196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(I629/I612)*D78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6" t="s">
        <v>664</v>
      </c>
    </row>
    <row r="670" spans="1:14" ht="12.6" customHeight="1" x14ac:dyDescent="0.25">
      <c r="A670" s="194">
        <v>6070</v>
      </c>
      <c r="B670" s="196" t="s">
        <v>665</v>
      </c>
      <c r="C670" s="180">
        <f>E71</f>
        <v>20154673.400000002</v>
      </c>
      <c r="D670" s="180">
        <f>(D615/D612)*E76</f>
        <v>879990.96935484314</v>
      </c>
      <c r="E670" s="180">
        <f>(E623/E612)*SUM(C670:D670)</f>
        <v>6089168.2804331565</v>
      </c>
      <c r="F670" s="180">
        <f>(F624/F612)*E64</f>
        <v>0</v>
      </c>
      <c r="G670" s="180">
        <f>(G625/G612)*E77</f>
        <v>1229054.2384409385</v>
      </c>
      <c r="H670" s="180">
        <f>(H628/H612)*E60</f>
        <v>1034339.1884649054</v>
      </c>
      <c r="I670" s="180">
        <f>(I629/I612)*E78</f>
        <v>803642.80962576368</v>
      </c>
      <c r="J670" s="180">
        <f>(J630/J612)*E79</f>
        <v>108.56721378462159</v>
      </c>
      <c r="K670" s="180">
        <f>(K644/K612)*E75</f>
        <v>1875701.5658901324</v>
      </c>
      <c r="L670" s="180">
        <f>(L647/L612)*E80</f>
        <v>1398060.0490521416</v>
      </c>
      <c r="M670" s="180">
        <f t="shared" si="20"/>
        <v>13310066</v>
      </c>
      <c r="N670" s="196" t="s">
        <v>666</v>
      </c>
    </row>
    <row r="671" spans="1:14" ht="12.6" customHeight="1" x14ac:dyDescent="0.25">
      <c r="A671" s="194">
        <v>6100</v>
      </c>
      <c r="B671" s="196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f>(I629/I612)*F78</f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6" t="s">
        <v>668</v>
      </c>
    </row>
    <row r="672" spans="1:14" ht="12.6" customHeight="1" x14ac:dyDescent="0.25">
      <c r="A672" s="194">
        <v>6120</v>
      </c>
      <c r="B672" s="196" t="s">
        <v>669</v>
      </c>
      <c r="C672" s="180">
        <f>G71</f>
        <v>4562.83</v>
      </c>
      <c r="D672" s="180">
        <f>(D615/D612)*G76</f>
        <v>0</v>
      </c>
      <c r="E672" s="180">
        <f>(E623/E612)*SUM(C672:D672)</f>
        <v>1320.8596637028718</v>
      </c>
      <c r="F672" s="180">
        <f>(F624/F612)*G64</f>
        <v>0</v>
      </c>
      <c r="G672" s="180">
        <f>(G625/G612)*G77</f>
        <v>0</v>
      </c>
      <c r="H672" s="180">
        <f>(H628/H612)*G60</f>
        <v>259.60130826303941</v>
      </c>
      <c r="I672" s="180">
        <f>(I629/I612)*G78</f>
        <v>0</v>
      </c>
      <c r="J672" s="180">
        <f>(J630/J612)*G79</f>
        <v>0</v>
      </c>
      <c r="K672" s="180">
        <f>(K644/K612)*G75</f>
        <v>0</v>
      </c>
      <c r="L672" s="180">
        <f>(L647/L612)*G80</f>
        <v>291.554215238339</v>
      </c>
      <c r="M672" s="180">
        <f t="shared" si="20"/>
        <v>1872</v>
      </c>
      <c r="N672" s="196" t="s">
        <v>670</v>
      </c>
    </row>
    <row r="673" spans="1:14" ht="12.6" customHeight="1" x14ac:dyDescent="0.25">
      <c r="A673" s="194">
        <v>6140</v>
      </c>
      <c r="B673" s="196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f>(I629/I612)*H78</f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6" t="s">
        <v>672</v>
      </c>
    </row>
    <row r="674" spans="1:14" ht="12.6" customHeight="1" x14ac:dyDescent="0.25">
      <c r="A674" s="194">
        <v>6150</v>
      </c>
      <c r="B674" s="196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f>(I629/I612)*I78</f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6" t="s">
        <v>674</v>
      </c>
    </row>
    <row r="675" spans="1:14" ht="12.6" customHeight="1" x14ac:dyDescent="0.25">
      <c r="A675" s="194">
        <v>6170</v>
      </c>
      <c r="B675" s="196" t="s">
        <v>99</v>
      </c>
      <c r="C675" s="180">
        <f>J71</f>
        <v>0</v>
      </c>
      <c r="D675" s="180">
        <f>(D615/D612)*J76</f>
        <v>25687.864856598677</v>
      </c>
      <c r="E675" s="180">
        <f>(E623/E612)*SUM(C675:D675)</f>
        <v>7436.1886232298257</v>
      </c>
      <c r="F675" s="180">
        <f>(F624/F612)*J64</f>
        <v>0</v>
      </c>
      <c r="G675" s="180">
        <f>(G625/G612)*J77</f>
        <v>143909.28799902578</v>
      </c>
      <c r="H675" s="180">
        <f>(H628/H612)*J60</f>
        <v>0</v>
      </c>
      <c r="I675" s="180">
        <f>(I629/I612)*J78</f>
        <v>23458.996471394094</v>
      </c>
      <c r="J675" s="180">
        <f>(J630/J612)*J79</f>
        <v>2.7391362057237685</v>
      </c>
      <c r="K675" s="180">
        <f>(K644/K612)*J75</f>
        <v>0</v>
      </c>
      <c r="L675" s="180">
        <f>(L647/L612)*J80</f>
        <v>0</v>
      </c>
      <c r="M675" s="180">
        <f t="shared" si="20"/>
        <v>200495</v>
      </c>
      <c r="N675" s="196" t="s">
        <v>675</v>
      </c>
    </row>
    <row r="676" spans="1:14" ht="12.6" customHeight="1" x14ac:dyDescent="0.25">
      <c r="A676" s="194">
        <v>6200</v>
      </c>
      <c r="B676" s="196" t="s">
        <v>288</v>
      </c>
      <c r="C676" s="180">
        <f>K71</f>
        <v>0</v>
      </c>
      <c r="D676" s="180">
        <f>(D615/D612)*K76</f>
        <v>0</v>
      </c>
      <c r="E676" s="180">
        <f>(E623/E612)*SUM(C676:D676)</f>
        <v>0</v>
      </c>
      <c r="F676" s="180">
        <f>(F624/F612)*K64</f>
        <v>0</v>
      </c>
      <c r="G676" s="180">
        <f>(G625/G612)*K77</f>
        <v>0</v>
      </c>
      <c r="H676" s="180">
        <f>(H628/H612)*K60</f>
        <v>0</v>
      </c>
      <c r="I676" s="180">
        <f>(I629/I612)*K78</f>
        <v>0</v>
      </c>
      <c r="J676" s="180">
        <f>(J630/J612)*K79</f>
        <v>0</v>
      </c>
      <c r="K676" s="180">
        <f>(K644/K612)*K75</f>
        <v>0</v>
      </c>
      <c r="L676" s="180">
        <f>(L647/L612)*K80</f>
        <v>0</v>
      </c>
      <c r="M676" s="180">
        <f t="shared" si="20"/>
        <v>0</v>
      </c>
      <c r="N676" s="196" t="s">
        <v>676</v>
      </c>
    </row>
    <row r="677" spans="1:14" ht="12.6" customHeight="1" x14ac:dyDescent="0.25">
      <c r="A677" s="194">
        <v>6210</v>
      </c>
      <c r="B677" s="196" t="s">
        <v>289</v>
      </c>
      <c r="C677" s="180">
        <f>L71</f>
        <v>0</v>
      </c>
      <c r="D677" s="180">
        <f>(D615/D612)*L76</f>
        <v>0</v>
      </c>
      <c r="E677" s="180">
        <f>(E623/E612)*SUM(C677:D677)</f>
        <v>0</v>
      </c>
      <c r="F677" s="180">
        <f>(F624/F612)*L64</f>
        <v>0</v>
      </c>
      <c r="G677" s="180">
        <f>(G625/G612)*L77</f>
        <v>0</v>
      </c>
      <c r="H677" s="180">
        <f>(H628/H612)*L60</f>
        <v>0</v>
      </c>
      <c r="I677" s="180">
        <f>(I629/I612)*L78</f>
        <v>0</v>
      </c>
      <c r="J677" s="180">
        <f>(J630/J612)*L79</f>
        <v>0</v>
      </c>
      <c r="K677" s="180">
        <f>(K644/K612)*L75</f>
        <v>0</v>
      </c>
      <c r="L677" s="180">
        <f>(L647/L612)*L80</f>
        <v>0</v>
      </c>
      <c r="M677" s="180">
        <f t="shared" si="20"/>
        <v>0</v>
      </c>
      <c r="N677" s="196" t="s">
        <v>677</v>
      </c>
    </row>
    <row r="678" spans="1:14" ht="12.6" customHeight="1" x14ac:dyDescent="0.25">
      <c r="A678" s="194">
        <v>6330</v>
      </c>
      <c r="B678" s="196" t="s">
        <v>678</v>
      </c>
      <c r="C678" s="180">
        <f>M71</f>
        <v>-1617504.31</v>
      </c>
      <c r="D678" s="180">
        <f>(D615/D612)*M76</f>
        <v>0</v>
      </c>
      <c r="E678" s="180">
        <f>(E623/E612)*SUM(C678:D678)</f>
        <v>-468239.27232540894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f>(I629/I612)*M78</f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-468239</v>
      </c>
      <c r="N678" s="196" t="s">
        <v>679</v>
      </c>
    </row>
    <row r="679" spans="1:14" ht="12.6" customHeight="1" x14ac:dyDescent="0.25">
      <c r="A679" s="194">
        <v>6400</v>
      </c>
      <c r="B679" s="196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f>(I629/I612)*N78</f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6" t="s">
        <v>681</v>
      </c>
    </row>
    <row r="680" spans="1:14" ht="12.6" customHeight="1" x14ac:dyDescent="0.25">
      <c r="A680" s="194">
        <v>7010</v>
      </c>
      <c r="B680" s="196" t="s">
        <v>682</v>
      </c>
      <c r="C680" s="180">
        <f>O71</f>
        <v>5192777.2600000016</v>
      </c>
      <c r="D680" s="180">
        <f>(D615/D612)*O76</f>
        <v>496499.98260963132</v>
      </c>
      <c r="E680" s="180">
        <f>(E623/E612)*SUM(C680:D680)</f>
        <v>1646946.4839552999</v>
      </c>
      <c r="F680" s="180">
        <f>(F624/F612)*O64</f>
        <v>0</v>
      </c>
      <c r="G680" s="180">
        <f>(G625/G612)*O77</f>
        <v>0</v>
      </c>
      <c r="H680" s="180">
        <f>(H628/H612)*O60</f>
        <v>257202.34195656053</v>
      </c>
      <c r="I680" s="180">
        <f>(I629/I612)*O78</f>
        <v>453423.59386405663</v>
      </c>
      <c r="J680" s="180">
        <f>(J630/J612)*O79</f>
        <v>25.144612856307141</v>
      </c>
      <c r="K680" s="180">
        <f>(K644/K612)*O75</f>
        <v>623249.93209338747</v>
      </c>
      <c r="L680" s="180">
        <f>(L647/L612)*O80</f>
        <v>442020.96235602349</v>
      </c>
      <c r="M680" s="180">
        <f t="shared" si="20"/>
        <v>3919368</v>
      </c>
      <c r="N680" s="196" t="s">
        <v>683</v>
      </c>
    </row>
    <row r="681" spans="1:14" ht="12.6" customHeight="1" x14ac:dyDescent="0.25">
      <c r="A681" s="194">
        <v>7020</v>
      </c>
      <c r="B681" s="196" t="s">
        <v>684</v>
      </c>
      <c r="C681" s="180">
        <f>P71</f>
        <v>19953857.642415565</v>
      </c>
      <c r="D681" s="180">
        <f>(D615/D612)*P76</f>
        <v>474201.94739134988</v>
      </c>
      <c r="E681" s="180">
        <f>(E623/E612)*SUM(C681:D681)</f>
        <v>5913566.7819959512</v>
      </c>
      <c r="F681" s="180">
        <f>(F624/F612)*P64</f>
        <v>0</v>
      </c>
      <c r="G681" s="180">
        <f>(G625/G612)*P77</f>
        <v>0</v>
      </c>
      <c r="H681" s="180">
        <f>(H628/H612)*P60</f>
        <v>336133.65057494683</v>
      </c>
      <c r="I681" s="180">
        <f>(I629/I612)*P78</f>
        <v>433060.36124841496</v>
      </c>
      <c r="J681" s="180">
        <f>(J630/J612)*P79</f>
        <v>38.682387551366013</v>
      </c>
      <c r="K681" s="180">
        <f>(K644/K612)*P75</f>
        <v>4083304.9470533715</v>
      </c>
      <c r="L681" s="180">
        <f>(L647/L612)*P80</f>
        <v>306835.67755427957</v>
      </c>
      <c r="M681" s="180">
        <f t="shared" si="20"/>
        <v>11547142</v>
      </c>
      <c r="N681" s="196" t="s">
        <v>685</v>
      </c>
    </row>
    <row r="682" spans="1:14" ht="12.6" customHeight="1" x14ac:dyDescent="0.25">
      <c r="A682" s="194">
        <v>7030</v>
      </c>
      <c r="B682" s="196" t="s">
        <v>686</v>
      </c>
      <c r="C682" s="180">
        <f>Q71</f>
        <v>4143781.8500000006</v>
      </c>
      <c r="D682" s="180">
        <f>(D615/D612)*Q76</f>
        <v>50517.266363233903</v>
      </c>
      <c r="E682" s="180">
        <f>(E623/E612)*SUM(C682:D682)</f>
        <v>1214176.4037469714</v>
      </c>
      <c r="F682" s="180">
        <f>(F624/F612)*Q64</f>
        <v>0</v>
      </c>
      <c r="G682" s="180">
        <f>(G625/G612)*Q77</f>
        <v>140996.64277441608</v>
      </c>
      <c r="H682" s="180">
        <f>(H628/H612)*Q60</f>
        <v>170949.02535451428</v>
      </c>
      <c r="I682" s="180">
        <f>(I629/I612)*Q78</f>
        <v>46134.231197072739</v>
      </c>
      <c r="J682" s="180">
        <f>(J630/J612)*Q79</f>
        <v>4.5647930454253967</v>
      </c>
      <c r="K682" s="180">
        <f>(K644/K612)*Q75</f>
        <v>458649.23529436212</v>
      </c>
      <c r="L682" s="180">
        <f>(L647/L612)*Q80</f>
        <v>269531.37603609572</v>
      </c>
      <c r="M682" s="180">
        <f t="shared" si="20"/>
        <v>2350959</v>
      </c>
      <c r="N682" s="196" t="s">
        <v>687</v>
      </c>
    </row>
    <row r="683" spans="1:14" ht="12.6" customHeight="1" x14ac:dyDescent="0.25">
      <c r="A683" s="194">
        <v>7040</v>
      </c>
      <c r="B683" s="196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1426.2433321439275</v>
      </c>
      <c r="I683" s="180">
        <f>(I629/I612)*R78</f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1426</v>
      </c>
      <c r="N683" s="196" t="s">
        <v>688</v>
      </c>
    </row>
    <row r="684" spans="1:14" ht="12.6" customHeight="1" x14ac:dyDescent="0.25">
      <c r="A684" s="194">
        <v>7050</v>
      </c>
      <c r="B684" s="196" t="s">
        <v>689</v>
      </c>
      <c r="C684" s="180">
        <f>S71</f>
        <v>1174078.3836506</v>
      </c>
      <c r="D684" s="180">
        <f>(D615/D612)*S76</f>
        <v>109751.23751071209</v>
      </c>
      <c r="E684" s="180">
        <f>(E623/E612)*SUM(C684:D684)</f>
        <v>371646.27252361272</v>
      </c>
      <c r="F684" s="180">
        <f>(F624/F612)*S64</f>
        <v>0</v>
      </c>
      <c r="G684" s="180">
        <f>(G625/G612)*S77</f>
        <v>0</v>
      </c>
      <c r="H684" s="180">
        <f>(H628/H612)*S60</f>
        <v>114531.09284308407</v>
      </c>
      <c r="I684" s="180">
        <f>(I629/I612)*S78</f>
        <v>100228.998023223</v>
      </c>
      <c r="J684" s="180">
        <f>(J630/J612)*S79</f>
        <v>1.1114009645138843</v>
      </c>
      <c r="K684" s="180">
        <f>(K644/K612)*S75</f>
        <v>0</v>
      </c>
      <c r="L684" s="180">
        <f>(L647/L612)*S80</f>
        <v>0</v>
      </c>
      <c r="M684" s="180">
        <f t="shared" si="20"/>
        <v>696159</v>
      </c>
      <c r="N684" s="196" t="s">
        <v>690</v>
      </c>
    </row>
    <row r="685" spans="1:14" ht="12.6" customHeight="1" x14ac:dyDescent="0.25">
      <c r="A685" s="194">
        <v>7060</v>
      </c>
      <c r="B685" s="196" t="s">
        <v>691</v>
      </c>
      <c r="C685" s="180">
        <f>T71</f>
        <v>452685.41000000003</v>
      </c>
      <c r="D685" s="180">
        <f>(D615/D612)*T76</f>
        <v>0</v>
      </c>
      <c r="E685" s="180">
        <f>(E623/E612)*SUM(C685:D685)</f>
        <v>131044.52684316458</v>
      </c>
      <c r="F685" s="180">
        <f>(F624/F612)*T64</f>
        <v>0</v>
      </c>
      <c r="G685" s="180">
        <f>(G625/G612)*T77</f>
        <v>3527.9928072737221</v>
      </c>
      <c r="H685" s="180">
        <f>(H628/H612)*T60</f>
        <v>8942.1703653497552</v>
      </c>
      <c r="I685" s="180">
        <f>(I629/I612)*T78</f>
        <v>0</v>
      </c>
      <c r="J685" s="180">
        <f>(J630/J612)*T79</f>
        <v>0</v>
      </c>
      <c r="K685" s="180">
        <f>(K644/K612)*T75</f>
        <v>42437.798409570292</v>
      </c>
      <c r="L685" s="180">
        <f>(L647/L612)*T80</f>
        <v>22182.409840321205</v>
      </c>
      <c r="M685" s="180">
        <f t="shared" si="20"/>
        <v>208135</v>
      </c>
      <c r="N685" s="196" t="s">
        <v>692</v>
      </c>
    </row>
    <row r="686" spans="1:14" ht="12.6" customHeight="1" x14ac:dyDescent="0.25">
      <c r="A686" s="194">
        <v>7070</v>
      </c>
      <c r="B686" s="196" t="s">
        <v>109</v>
      </c>
      <c r="C686" s="180">
        <f>U71</f>
        <v>5835602.7599999998</v>
      </c>
      <c r="D686" s="180">
        <f>(D615/D612)*U76</f>
        <v>192736.02800717912</v>
      </c>
      <c r="E686" s="180">
        <f>(E623/E612)*SUM(C686:D686)</f>
        <v>1745098.8847303407</v>
      </c>
      <c r="F686" s="180">
        <f>(F624/F612)*U64</f>
        <v>0</v>
      </c>
      <c r="G686" s="180">
        <f>(G625/G612)*U77</f>
        <v>0</v>
      </c>
      <c r="H686" s="180">
        <f>(H628/H612)*U60</f>
        <v>211299.82629308623</v>
      </c>
      <c r="I686" s="180">
        <f>(I629/I612)*U78</f>
        <v>176014.38700201892</v>
      </c>
      <c r="J686" s="180">
        <f>(J630/J612)*U79</f>
        <v>9.5849465226988534E-2</v>
      </c>
      <c r="K686" s="180">
        <f>(K644/K612)*U75</f>
        <v>1124622.0823788105</v>
      </c>
      <c r="L686" s="180">
        <f>(L647/L612)*U80</f>
        <v>0</v>
      </c>
      <c r="M686" s="180">
        <f t="shared" si="20"/>
        <v>3449771</v>
      </c>
      <c r="N686" s="196" t="s">
        <v>693</v>
      </c>
    </row>
    <row r="687" spans="1:14" ht="12.6" customHeight="1" x14ac:dyDescent="0.25">
      <c r="A687" s="194">
        <v>7110</v>
      </c>
      <c r="B687" s="196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f>(I629/I612)*V78</f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0"/>
        <v>0</v>
      </c>
      <c r="N687" s="196" t="s">
        <v>695</v>
      </c>
    </row>
    <row r="688" spans="1:14" ht="12.6" customHeight="1" x14ac:dyDescent="0.25">
      <c r="A688" s="194">
        <v>7120</v>
      </c>
      <c r="B688" s="196" t="s">
        <v>696</v>
      </c>
      <c r="C688" s="180">
        <f>W71</f>
        <v>1931777.5199999996</v>
      </c>
      <c r="D688" s="180">
        <f>(D615/D612)*W76</f>
        <v>0</v>
      </c>
      <c r="E688" s="180">
        <f>(E623/E612)*SUM(C688:D688)</f>
        <v>559215.88255884335</v>
      </c>
      <c r="F688" s="180">
        <f>(F624/F612)*W64</f>
        <v>0</v>
      </c>
      <c r="G688" s="180">
        <f>(G625/G612)*W77</f>
        <v>0</v>
      </c>
      <c r="H688" s="180">
        <f>(H628/H612)*W60</f>
        <v>28540.505275906446</v>
      </c>
      <c r="I688" s="180">
        <f>(I629/I612)*W78</f>
        <v>0</v>
      </c>
      <c r="J688" s="180">
        <f>(J630/J612)*W79</f>
        <v>9.0684839435690847</v>
      </c>
      <c r="K688" s="180">
        <f>(K644/K612)*W75</f>
        <v>332079.26950645261</v>
      </c>
      <c r="L688" s="180">
        <f>(L647/L612)*W80</f>
        <v>0</v>
      </c>
      <c r="M688" s="180">
        <f t="shared" si="20"/>
        <v>919845</v>
      </c>
      <c r="N688" s="196" t="s">
        <v>697</v>
      </c>
    </row>
    <row r="689" spans="1:14" ht="12.6" customHeight="1" x14ac:dyDescent="0.25">
      <c r="A689" s="194">
        <v>7130</v>
      </c>
      <c r="B689" s="196" t="s">
        <v>698</v>
      </c>
      <c r="C689" s="180">
        <f>X71</f>
        <v>1415147.0700000003</v>
      </c>
      <c r="D689" s="180">
        <f>(D615/D612)*X76</f>
        <v>17433.409568488561</v>
      </c>
      <c r="E689" s="180">
        <f>(E623/E612)*SUM(C689:D689)</f>
        <v>414707.05033282697</v>
      </c>
      <c r="F689" s="180">
        <f>(F624/F612)*X64</f>
        <v>0</v>
      </c>
      <c r="G689" s="180">
        <f>(G625/G612)*X77</f>
        <v>0</v>
      </c>
      <c r="H689" s="180">
        <f>(H628/H612)*X60</f>
        <v>55651.639493063383</v>
      </c>
      <c r="I689" s="180">
        <f>(I629/I612)*X78</f>
        <v>15921.071258155051</v>
      </c>
      <c r="J689" s="180">
        <f>(J630/J612)*X79</f>
        <v>5.1758824430603596</v>
      </c>
      <c r="K689" s="180">
        <f>(K644/K612)*X75</f>
        <v>1851042.1448673161</v>
      </c>
      <c r="L689" s="180">
        <f>(L647/L612)*X80</f>
        <v>0</v>
      </c>
      <c r="M689" s="180">
        <f t="shared" si="20"/>
        <v>2354760</v>
      </c>
      <c r="N689" s="196" t="s">
        <v>699</v>
      </c>
    </row>
    <row r="690" spans="1:14" ht="12.6" customHeight="1" x14ac:dyDescent="0.25">
      <c r="A690" s="194">
        <v>7140</v>
      </c>
      <c r="B690" s="196" t="s">
        <v>1250</v>
      </c>
      <c r="C690" s="180">
        <f>Y71</f>
        <v>5994511.0599999996</v>
      </c>
      <c r="D690" s="180">
        <f>(D615/D612)*Y76</f>
        <v>145982.79325532343</v>
      </c>
      <c r="E690" s="180">
        <f>(E623/E612)*SUM(C690:D690)</f>
        <v>1777565.8190159127</v>
      </c>
      <c r="F690" s="180">
        <f>(F624/F612)*Y64</f>
        <v>0</v>
      </c>
      <c r="G690" s="180">
        <f>(G625/G612)*Y77</f>
        <v>41.023172177601417</v>
      </c>
      <c r="H690" s="180">
        <f>(H628/H612)*Y60</f>
        <v>203030.1171479359</v>
      </c>
      <c r="I690" s="180">
        <f>(I629/I612)*Y78</f>
        <v>133317.4294270208</v>
      </c>
      <c r="J690" s="180">
        <f>(J630/J612)*Y79</f>
        <v>11.106002063831298</v>
      </c>
      <c r="K690" s="180">
        <f>(K644/K612)*Y75</f>
        <v>873455.78066214838</v>
      </c>
      <c r="L690" s="180">
        <f>(L647/L612)*Y80</f>
        <v>1198.3883605658621</v>
      </c>
      <c r="M690" s="180">
        <f t="shared" si="20"/>
        <v>3134602</v>
      </c>
      <c r="N690" s="196" t="s">
        <v>700</v>
      </c>
    </row>
    <row r="691" spans="1:14" ht="12.6" customHeight="1" x14ac:dyDescent="0.25">
      <c r="A691" s="194">
        <v>7150</v>
      </c>
      <c r="B691" s="196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(I629/I612)*Z78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6" t="s">
        <v>702</v>
      </c>
    </row>
    <row r="692" spans="1:14" ht="12.6" customHeight="1" x14ac:dyDescent="0.25">
      <c r="A692" s="194">
        <v>7160</v>
      </c>
      <c r="B692" s="196" t="s">
        <v>703</v>
      </c>
      <c r="C692" s="180">
        <f>AA71</f>
        <v>878825.29</v>
      </c>
      <c r="D692" s="180">
        <f>(D615/D612)*AA76</f>
        <v>83006.802377235319</v>
      </c>
      <c r="E692" s="180">
        <f>(E623/E612)*SUM(C692:D692)</f>
        <v>278433.6067914046</v>
      </c>
      <c r="F692" s="180">
        <f>(F624/F612)*AA64</f>
        <v>0</v>
      </c>
      <c r="G692" s="180">
        <f>(G625/G612)*AA77</f>
        <v>0</v>
      </c>
      <c r="H692" s="180">
        <f>(H628/H612)*AA60</f>
        <v>14168.601523271913</v>
      </c>
      <c r="I692" s="180">
        <f>(I629/I612)*AA78</f>
        <v>75805.030542350636</v>
      </c>
      <c r="J692" s="180">
        <f>(J630/J612)*AA79</f>
        <v>1.7231016855097441</v>
      </c>
      <c r="K692" s="180">
        <f>(K644/K612)*AA75</f>
        <v>135012.87694236427</v>
      </c>
      <c r="L692" s="180">
        <f>(L647/L612)*AA80</f>
        <v>0</v>
      </c>
      <c r="M692" s="180">
        <f t="shared" si="20"/>
        <v>586429</v>
      </c>
      <c r="N692" s="196" t="s">
        <v>704</v>
      </c>
    </row>
    <row r="693" spans="1:14" ht="12.6" customHeight="1" x14ac:dyDescent="0.25">
      <c r="A693" s="194">
        <v>7170</v>
      </c>
      <c r="B693" s="196" t="s">
        <v>115</v>
      </c>
      <c r="C693" s="180">
        <f>AB71</f>
        <v>10542780.92</v>
      </c>
      <c r="D693" s="180">
        <f>(D615/D612)*AB76</f>
        <v>38939.017079111451</v>
      </c>
      <c r="E693" s="180">
        <f>(E623/E612)*SUM(C693:D693)</f>
        <v>3063223.2709718063</v>
      </c>
      <c r="F693" s="180">
        <f>(F624/F612)*AB64</f>
        <v>0</v>
      </c>
      <c r="G693" s="180">
        <f>(G625/G612)*AB77</f>
        <v>0</v>
      </c>
      <c r="H693" s="180">
        <f>(H628/H612)*AB60</f>
        <v>194650.93757159033</v>
      </c>
      <c r="I693" s="180">
        <f>(I629/I612)*AB78</f>
        <v>35560.734016394148</v>
      </c>
      <c r="J693" s="180">
        <f>(J630/J612)*AB79</f>
        <v>3.58114734253591E-3</v>
      </c>
      <c r="K693" s="180">
        <f>(K644/K612)*AB75</f>
        <v>2797723.1974763297</v>
      </c>
      <c r="L693" s="180">
        <f>(L647/L612)*AB80</f>
        <v>0</v>
      </c>
      <c r="M693" s="180">
        <f t="shared" si="20"/>
        <v>6130097</v>
      </c>
      <c r="N693" s="196" t="s">
        <v>705</v>
      </c>
    </row>
    <row r="694" spans="1:14" ht="12.6" customHeight="1" x14ac:dyDescent="0.25">
      <c r="A694" s="194">
        <v>7180</v>
      </c>
      <c r="B694" s="196" t="s">
        <v>706</v>
      </c>
      <c r="C694" s="180">
        <f>AC71</f>
        <v>2182263.7499999995</v>
      </c>
      <c r="D694" s="180">
        <f>(D615/D612)*AC76</f>
        <v>15936.601676244596</v>
      </c>
      <c r="E694" s="180">
        <f>(E623/E612)*SUM(C694:D694)</f>
        <v>636340.64325574657</v>
      </c>
      <c r="F694" s="180">
        <f>(F624/F612)*AC64</f>
        <v>0</v>
      </c>
      <c r="G694" s="180">
        <f>(G625/G612)*AC77</f>
        <v>0</v>
      </c>
      <c r="H694" s="180">
        <f>(H628/H612)*AC60</f>
        <v>114293.38562106011</v>
      </c>
      <c r="I694" s="180">
        <f>(I629/I612)*AC78</f>
        <v>14553.764995217347</v>
      </c>
      <c r="J694" s="180">
        <f>(J630/J612)*AC79</f>
        <v>7.9241847255965836E-2</v>
      </c>
      <c r="K694" s="180">
        <f>(K644/K612)*AC75</f>
        <v>586552.47489273315</v>
      </c>
      <c r="L694" s="180">
        <f>(L647/L612)*AC80</f>
        <v>0</v>
      </c>
      <c r="M694" s="180">
        <f t="shared" si="20"/>
        <v>1367677</v>
      </c>
      <c r="N694" s="196" t="s">
        <v>707</v>
      </c>
    </row>
    <row r="695" spans="1:14" ht="12.6" customHeight="1" x14ac:dyDescent="0.25">
      <c r="A695" s="194">
        <v>7190</v>
      </c>
      <c r="B695" s="196" t="s">
        <v>117</v>
      </c>
      <c r="C695" s="180">
        <f>AD71</f>
        <v>593772.80000000005</v>
      </c>
      <c r="D695" s="180">
        <f>(D615/D612)*AD76</f>
        <v>0</v>
      </c>
      <c r="E695" s="180">
        <f>(E623/E612)*SUM(C695:D695)</f>
        <v>171886.86427587978</v>
      </c>
      <c r="F695" s="180">
        <f>(F624/F612)*AD64</f>
        <v>0</v>
      </c>
      <c r="G695" s="180">
        <f>(G625/G612)*AD77</f>
        <v>0</v>
      </c>
      <c r="H695" s="180">
        <f>(H628/H612)*AD60</f>
        <v>10365.285970888104</v>
      </c>
      <c r="I695" s="180">
        <f>(I629/I612)*AD78</f>
        <v>0</v>
      </c>
      <c r="J695" s="180">
        <f>(J630/J612)*AD79</f>
        <v>0</v>
      </c>
      <c r="K695" s="180">
        <f>(K644/K612)*AD75</f>
        <v>40698.653525148977</v>
      </c>
      <c r="L695" s="180">
        <f>(L647/L612)*AD80</f>
        <v>28743.224185048657</v>
      </c>
      <c r="M695" s="180">
        <f t="shared" si="20"/>
        <v>251694</v>
      </c>
      <c r="N695" s="196" t="s">
        <v>708</v>
      </c>
    </row>
    <row r="696" spans="1:14" ht="12.6" customHeight="1" x14ac:dyDescent="0.25">
      <c r="A696" s="194">
        <v>7200</v>
      </c>
      <c r="B696" s="196" t="s">
        <v>709</v>
      </c>
      <c r="C696" s="180">
        <f>AE71</f>
        <v>832348.23</v>
      </c>
      <c r="D696" s="180">
        <f>(D615/D612)*AE76</f>
        <v>0</v>
      </c>
      <c r="E696" s="180">
        <f>(E623/E612)*SUM(C696:D696)</f>
        <v>240950.28812414236</v>
      </c>
      <c r="F696" s="180">
        <f>(F624/F612)*AE64</f>
        <v>0</v>
      </c>
      <c r="G696" s="180">
        <f>(G625/G612)*AE77</f>
        <v>0</v>
      </c>
      <c r="H696" s="180">
        <f>(H628/H612)*AE60</f>
        <v>0</v>
      </c>
      <c r="I696" s="180">
        <f>(I629/I612)*AE78</f>
        <v>0</v>
      </c>
      <c r="J696" s="180">
        <f>(J630/J612)*AE79</f>
        <v>0</v>
      </c>
      <c r="K696" s="180">
        <f>(K644/K612)*AE75</f>
        <v>52127.429139551386</v>
      </c>
      <c r="L696" s="180">
        <f>(L647/L612)*AE80</f>
        <v>0</v>
      </c>
      <c r="M696" s="180">
        <f t="shared" si="20"/>
        <v>293078</v>
      </c>
      <c r="N696" s="196" t="s">
        <v>710</v>
      </c>
    </row>
    <row r="697" spans="1:14" ht="12.6" customHeight="1" x14ac:dyDescent="0.25">
      <c r="A697" s="194">
        <v>7220</v>
      </c>
      <c r="B697" s="196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f>(I629/I612)*AF78</f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6" t="s">
        <v>712</v>
      </c>
    </row>
    <row r="698" spans="1:14" ht="12.6" customHeight="1" x14ac:dyDescent="0.25">
      <c r="A698" s="194">
        <v>7230</v>
      </c>
      <c r="B698" s="196" t="s">
        <v>713</v>
      </c>
      <c r="C698" s="180">
        <f>AG71</f>
        <v>13599791.4</v>
      </c>
      <c r="D698" s="180">
        <f>(D615/D612)*AG76</f>
        <v>595157.23221312347</v>
      </c>
      <c r="E698" s="180">
        <f>(E623/E612)*SUM(C698:D698)</f>
        <v>4109189.927440769</v>
      </c>
      <c r="F698" s="180">
        <f>(F624/F612)*AG64</f>
        <v>0</v>
      </c>
      <c r="G698" s="180">
        <f>(G625/G612)*AG77</f>
        <v>162957.71428015869</v>
      </c>
      <c r="H698" s="180">
        <f>(H628/H612)*AG60</f>
        <v>588516.16583231045</v>
      </c>
      <c r="I698" s="180">
        <f>(I629/I612)*AG78</f>
        <v>543521.3466859943</v>
      </c>
      <c r="J698" s="180">
        <f>(J630/J612)*AG79</f>
        <v>98.978731397792089</v>
      </c>
      <c r="K698" s="180">
        <f>(K644/K612)*AG75</f>
        <v>3359884.1550669125</v>
      </c>
      <c r="L698" s="180">
        <f>(L647/L612)*AG80</f>
        <v>775926.06139926193</v>
      </c>
      <c r="M698" s="180">
        <f t="shared" si="20"/>
        <v>10135252</v>
      </c>
      <c r="N698" s="196" t="s">
        <v>714</v>
      </c>
    </row>
    <row r="699" spans="1:14" ht="12.6" customHeight="1" x14ac:dyDescent="0.25">
      <c r="A699" s="194">
        <v>7240</v>
      </c>
      <c r="B699" s="196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f>(I629/I612)*AH78</f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6" t="s">
        <v>715</v>
      </c>
    </row>
    <row r="700" spans="1:14" ht="12.6" customHeight="1" x14ac:dyDescent="0.25">
      <c r="A700" s="194">
        <v>7250</v>
      </c>
      <c r="B700" s="196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f>(I629/I612)*AI78</f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6" t="s">
        <v>717</v>
      </c>
    </row>
    <row r="701" spans="1:14" ht="12.6" customHeight="1" x14ac:dyDescent="0.25">
      <c r="A701" s="194">
        <v>7260</v>
      </c>
      <c r="B701" s="196" t="s">
        <v>121</v>
      </c>
      <c r="C701" s="180">
        <f>AJ71</f>
        <v>5438555.5600000005</v>
      </c>
      <c r="D701" s="180">
        <f>(D615/D612)*AJ76</f>
        <v>344970.19540069794</v>
      </c>
      <c r="E701" s="180">
        <f>(E623/E612)*SUM(C701:D701)</f>
        <v>1674229.7837735494</v>
      </c>
      <c r="F701" s="180">
        <f>(F624/F612)*AJ64</f>
        <v>0</v>
      </c>
      <c r="G701" s="180">
        <f>(G625/G612)*AJ77</f>
        <v>0</v>
      </c>
      <c r="H701" s="180">
        <f>(H628/H612)*AJ60</f>
        <v>216175.95207118356</v>
      </c>
      <c r="I701" s="180">
        <f>(I629/I612)*AJ78</f>
        <v>315040.54183639312</v>
      </c>
      <c r="J701" s="180">
        <f>(J630/J612)*AJ79</f>
        <v>3.3613124430767196</v>
      </c>
      <c r="K701" s="180">
        <f>(K644/K612)*AJ75</f>
        <v>428781.93274769658</v>
      </c>
      <c r="L701" s="180">
        <f>(L647/L612)*AJ80</f>
        <v>116911.22959184814</v>
      </c>
      <c r="M701" s="180">
        <f t="shared" si="20"/>
        <v>3096113</v>
      </c>
      <c r="N701" s="196" t="s">
        <v>718</v>
      </c>
    </row>
    <row r="702" spans="1:14" ht="12.6" customHeight="1" x14ac:dyDescent="0.25">
      <c r="A702" s="194">
        <v>7310</v>
      </c>
      <c r="B702" s="196" t="s">
        <v>719</v>
      </c>
      <c r="C702" s="180">
        <f>AK71</f>
        <v>291964.62</v>
      </c>
      <c r="D702" s="180">
        <f>(D615/D612)*AK76</f>
        <v>1672.9029383903166</v>
      </c>
      <c r="E702" s="180">
        <f>(E623/E612)*SUM(C702:D702)</f>
        <v>85002.938921447116</v>
      </c>
      <c r="F702" s="180">
        <f>(F624/F612)*AK64</f>
        <v>0</v>
      </c>
      <c r="G702" s="180">
        <f>(G625/G612)*AK77</f>
        <v>0</v>
      </c>
      <c r="H702" s="180">
        <f>(H628/H612)*AK60</f>
        <v>20811.892833521259</v>
      </c>
      <c r="I702" s="180">
        <f>(I629/I612)*AK78</f>
        <v>1527.6067654971278</v>
      </c>
      <c r="J702" s="180">
        <f>(J630/J612)*AK79</f>
        <v>0</v>
      </c>
      <c r="K702" s="180">
        <f>(K644/K612)*AK75</f>
        <v>37420.681427560121</v>
      </c>
      <c r="L702" s="180">
        <f>(L647/L612)*AK80</f>
        <v>0</v>
      </c>
      <c r="M702" s="180">
        <f t="shared" si="20"/>
        <v>146436</v>
      </c>
      <c r="N702" s="196" t="s">
        <v>720</v>
      </c>
    </row>
    <row r="703" spans="1:14" ht="12.6" customHeight="1" x14ac:dyDescent="0.25">
      <c r="A703" s="194">
        <v>7320</v>
      </c>
      <c r="B703" s="196" t="s">
        <v>721</v>
      </c>
      <c r="C703" s="180">
        <f>AL71</f>
        <v>56276.380000000005</v>
      </c>
      <c r="D703" s="180">
        <f>(D615/D612)*AL76</f>
        <v>1694.9148191586103</v>
      </c>
      <c r="E703" s="180">
        <f>(E623/E612)*SUM(C703:D703)</f>
        <v>16781.678252149188</v>
      </c>
      <c r="F703" s="180">
        <f>(F624/F612)*AL64</f>
        <v>0</v>
      </c>
      <c r="G703" s="180">
        <f>(G625/G612)*AL77</f>
        <v>0</v>
      </c>
      <c r="H703" s="180">
        <f>(H628/H612)*AL60</f>
        <v>15735.592552666887</v>
      </c>
      <c r="I703" s="180">
        <f>(I629/I612)*AL78</f>
        <v>1547.8819278761855</v>
      </c>
      <c r="J703" s="180">
        <f>(J630/J612)*AL79</f>
        <v>0</v>
      </c>
      <c r="K703" s="180">
        <f>(K644/K612)*AL75</f>
        <v>23655.27893608114</v>
      </c>
      <c r="L703" s="180">
        <f>(L647/L612)*AL80</f>
        <v>0</v>
      </c>
      <c r="M703" s="180">
        <f t="shared" si="20"/>
        <v>59415</v>
      </c>
      <c r="N703" s="196" t="s">
        <v>722</v>
      </c>
    </row>
    <row r="704" spans="1:14" ht="12.6" customHeight="1" x14ac:dyDescent="0.25">
      <c r="A704" s="194">
        <v>7330</v>
      </c>
      <c r="B704" s="196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f>(I629/I612)*AM78</f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6" t="s">
        <v>724</v>
      </c>
    </row>
    <row r="705" spans="1:83" ht="12.6" customHeight="1" x14ac:dyDescent="0.25">
      <c r="A705" s="194">
        <v>7340</v>
      </c>
      <c r="B705" s="196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f>(I629/I612)*AN78</f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6" t="s">
        <v>726</v>
      </c>
    </row>
    <row r="706" spans="1:83" ht="12.6" customHeight="1" x14ac:dyDescent="0.25">
      <c r="A706" s="194">
        <v>7350</v>
      </c>
      <c r="B706" s="196" t="s">
        <v>727</v>
      </c>
      <c r="C706" s="180">
        <f>AO71</f>
        <v>0</v>
      </c>
      <c r="D706" s="180">
        <f>(D615/D612)*AO76</f>
        <v>0</v>
      </c>
      <c r="E706" s="180">
        <f>(E623/E612)*SUM(C706:D706)</f>
        <v>0</v>
      </c>
      <c r="F706" s="180">
        <f>(F624/F612)*AO64</f>
        <v>0</v>
      </c>
      <c r="G706" s="180">
        <f>(G625/G612)*AO77</f>
        <v>0</v>
      </c>
      <c r="H706" s="180">
        <f>(H628/H612)*AO60</f>
        <v>0</v>
      </c>
      <c r="I706" s="180">
        <f>(I629/I612)*AO78</f>
        <v>0</v>
      </c>
      <c r="J706" s="180">
        <f>(J630/J612)*AO79</f>
        <v>0</v>
      </c>
      <c r="K706" s="180">
        <f>(K644/K612)*AO75</f>
        <v>0</v>
      </c>
      <c r="L706" s="180">
        <f>(L647/L612)*AO80</f>
        <v>0</v>
      </c>
      <c r="M706" s="180">
        <f t="shared" si="20"/>
        <v>0</v>
      </c>
      <c r="N706" s="196" t="s">
        <v>728</v>
      </c>
    </row>
    <row r="707" spans="1:83" ht="12.6" customHeight="1" x14ac:dyDescent="0.25">
      <c r="A707" s="194">
        <v>7380</v>
      </c>
      <c r="B707" s="196" t="s">
        <v>729</v>
      </c>
      <c r="C707" s="180">
        <f>AP71</f>
        <v>823.05</v>
      </c>
      <c r="D707" s="180">
        <f>(D615/D612)*AP76</f>
        <v>0</v>
      </c>
      <c r="E707" s="180">
        <f>(E623/E612)*SUM(C707:D707)</f>
        <v>238.25861279307983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f>(I629/I612)*AP78</f>
        <v>0</v>
      </c>
      <c r="J707" s="180">
        <f>(J630/J612)*AP79</f>
        <v>0</v>
      </c>
      <c r="K707" s="180">
        <f>(K644/K612)*AP75</f>
        <v>18.354155590423357</v>
      </c>
      <c r="L707" s="180">
        <f>(L647/L612)*AP80</f>
        <v>0</v>
      </c>
      <c r="M707" s="180">
        <f t="shared" si="20"/>
        <v>257</v>
      </c>
      <c r="N707" s="196" t="s">
        <v>730</v>
      </c>
    </row>
    <row r="708" spans="1:83" ht="12.6" customHeight="1" x14ac:dyDescent="0.25">
      <c r="A708" s="194">
        <v>7390</v>
      </c>
      <c r="B708" s="196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(I629/I612)*AQ78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6" t="s">
        <v>732</v>
      </c>
    </row>
    <row r="709" spans="1:83" ht="12.6" customHeight="1" x14ac:dyDescent="0.25">
      <c r="A709" s="194">
        <v>7400</v>
      </c>
      <c r="B709" s="196" t="s">
        <v>733</v>
      </c>
      <c r="C709" s="180">
        <f>AR71</f>
        <v>909398.25000000023</v>
      </c>
      <c r="D709" s="180">
        <f>(D615/D612)*AR76</f>
        <v>146709.18532067712</v>
      </c>
      <c r="E709" s="180">
        <f>(E623/E612)*SUM(C709:D709)</f>
        <v>305724.67347058124</v>
      </c>
      <c r="F709" s="180">
        <f>(F624/F612)*AR64</f>
        <v>0</v>
      </c>
      <c r="G709" s="180">
        <f>(G625/G612)*AR77</f>
        <v>0</v>
      </c>
      <c r="H709" s="180">
        <f>(H628/H612)*AR60</f>
        <v>279587.4812726879</v>
      </c>
      <c r="I709" s="180">
        <f>(I629/I612)*AR78</f>
        <v>133980.80739611058</v>
      </c>
      <c r="J709" s="180">
        <f>(J630/J612)*AR79</f>
        <v>0</v>
      </c>
      <c r="K709" s="180">
        <f>(K644/K612)*AR75</f>
        <v>8329.352116687347</v>
      </c>
      <c r="L709" s="180">
        <f>(L647/L612)*AR80</f>
        <v>199202.30630693305</v>
      </c>
      <c r="M709" s="180">
        <f t="shared" si="20"/>
        <v>1073534</v>
      </c>
      <c r="N709" s="196" t="s">
        <v>734</v>
      </c>
    </row>
    <row r="710" spans="1:83" ht="12.6" customHeight="1" x14ac:dyDescent="0.25">
      <c r="A710" s="194">
        <v>7410</v>
      </c>
      <c r="B710" s="196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f>(I629/I612)*AS78</f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6" t="s">
        <v>735</v>
      </c>
    </row>
    <row r="711" spans="1:83" ht="12.6" customHeight="1" x14ac:dyDescent="0.25">
      <c r="A711" s="194">
        <v>7420</v>
      </c>
      <c r="B711" s="196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f>(I629/I612)*AT78</f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6" t="s">
        <v>737</v>
      </c>
    </row>
    <row r="712" spans="1:83" ht="12.6" customHeight="1" x14ac:dyDescent="0.25">
      <c r="A712" s="194">
        <v>7430</v>
      </c>
      <c r="B712" s="196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f>(I629/I612)*AU78</f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6" t="s">
        <v>739</v>
      </c>
    </row>
    <row r="713" spans="1:83" ht="12.6" customHeight="1" x14ac:dyDescent="0.25">
      <c r="A713" s="194">
        <v>7490</v>
      </c>
      <c r="B713" s="196" t="s">
        <v>740</v>
      </c>
      <c r="C713" s="180">
        <f>AV71</f>
        <v>6251187.0842000023</v>
      </c>
      <c r="D713" s="180">
        <f>(D615/D612)*AV76</f>
        <v>0</v>
      </c>
      <c r="E713" s="180">
        <f>(E623/E612)*SUM(C713:D713)</f>
        <v>1809609.5777796127</v>
      </c>
      <c r="F713" s="180">
        <f>(F624/F612)*AV64</f>
        <v>0</v>
      </c>
      <c r="G713" s="180">
        <f>(G625/G612)*AV77</f>
        <v>0</v>
      </c>
      <c r="H713" s="180">
        <f>(H628/H612)*AV60</f>
        <v>6499.4158863927232</v>
      </c>
      <c r="I713" s="180">
        <f>(I629/I612)*AV78</f>
        <v>0</v>
      </c>
      <c r="J713" s="180">
        <f>(J630/J612)*AV79</f>
        <v>0</v>
      </c>
      <c r="K713" s="180">
        <f>(K644/K612)*AV75</f>
        <v>2219.277497609698</v>
      </c>
      <c r="L713" s="180">
        <f>(L647/L612)*AV80</f>
        <v>231451.82180599973</v>
      </c>
      <c r="M713" s="180">
        <f t="shared" si="20"/>
        <v>2049780</v>
      </c>
      <c r="N713" s="197" t="s">
        <v>741</v>
      </c>
    </row>
    <row r="715" spans="1:83" ht="12.6" customHeight="1" x14ac:dyDescent="0.25">
      <c r="C715" s="180">
        <f>SUM(C614:C647)+SUM(C668:C713)</f>
        <v>181281958.06172198</v>
      </c>
      <c r="D715" s="180">
        <f>SUM(D616:D647)+SUM(D668:D713)</f>
        <v>4788046.3166000014</v>
      </c>
      <c r="E715" s="180">
        <f>SUM(E624:E647)+SUM(E668:E713)</f>
        <v>40696916.364910513</v>
      </c>
      <c r="F715" s="180">
        <f>SUM(F625:F648)+SUM(F668:F713)</f>
        <v>0</v>
      </c>
      <c r="G715" s="180">
        <f>SUM(G626:G647)+SUM(G668:G713)</f>
        <v>3495464.8503345652</v>
      </c>
      <c r="H715" s="180">
        <f>SUM(H629:H647)+SUM(H668:H713)</f>
        <v>4481556.8113503568</v>
      </c>
      <c r="I715" s="180">
        <f>SUM(I630:I647)+SUM(I668:I713)</f>
        <v>3503237.5956772398</v>
      </c>
      <c r="J715" s="180">
        <f>SUM(J631:J647)+SUM(J668:J713)</f>
        <v>356.95455949624017</v>
      </c>
      <c r="K715" s="180">
        <f>SUM(K668:K713)</f>
        <v>19070869.014762454</v>
      </c>
      <c r="L715" s="180">
        <f>SUM(L668:L713)</f>
        <v>4125310.6179359332</v>
      </c>
      <c r="M715" s="180">
        <f>SUM(M668:M713)</f>
        <v>69954692</v>
      </c>
      <c r="N715" s="196" t="s">
        <v>742</v>
      </c>
    </row>
    <row r="716" spans="1:83" ht="12.6" customHeight="1" x14ac:dyDescent="0.25">
      <c r="C716" s="180">
        <f>CE71</f>
        <v>181281958.06172198</v>
      </c>
      <c r="D716" s="180">
        <f>D615</f>
        <v>4788046.3166000005</v>
      </c>
      <c r="E716" s="180">
        <f>E623</f>
        <v>40696916.364910513</v>
      </c>
      <c r="F716" s="180">
        <f>F624</f>
        <v>0</v>
      </c>
      <c r="G716" s="180">
        <f>G625</f>
        <v>3495464.8503345661</v>
      </c>
      <c r="H716" s="180">
        <f>H628</f>
        <v>4481556.8113503549</v>
      </c>
      <c r="I716" s="180">
        <f>I629</f>
        <v>3503237.5956772389</v>
      </c>
      <c r="J716" s="180">
        <f>J630</f>
        <v>356.95455949624011</v>
      </c>
      <c r="K716" s="180">
        <f>K644</f>
        <v>19070869.014762454</v>
      </c>
      <c r="L716" s="180">
        <f>L647</f>
        <v>4125310.6179359332</v>
      </c>
      <c r="M716" s="180">
        <f>C648</f>
        <v>69954691.721455812</v>
      </c>
      <c r="N716" s="196" t="s">
        <v>743</v>
      </c>
    </row>
    <row r="717" spans="1:83" ht="12.6" customHeight="1" x14ac:dyDescent="0.25">
      <c r="O717" s="196"/>
    </row>
    <row r="718" spans="1:83" ht="12.6" customHeight="1" x14ac:dyDescent="0.25">
      <c r="O718" s="196"/>
    </row>
    <row r="719" spans="1:83" ht="12.6" customHeight="1" x14ac:dyDescent="0.25">
      <c r="O719" s="196"/>
    </row>
    <row r="720" spans="1:83" s="199" customFormat="1" ht="12.6" customHeight="1" x14ac:dyDescent="0.25">
      <c r="A720" s="199" t="s">
        <v>744</v>
      </c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  <c r="AA720" s="270"/>
      <c r="AB720" s="270"/>
      <c r="AC720" s="270"/>
      <c r="AD720" s="270"/>
      <c r="AE720" s="270"/>
      <c r="AF720" s="270"/>
      <c r="AG720" s="270"/>
      <c r="AH720" s="270"/>
      <c r="AI720" s="270"/>
      <c r="AJ720" s="270"/>
      <c r="AK720" s="270"/>
      <c r="AL720" s="270"/>
      <c r="AM720" s="270"/>
      <c r="AN720" s="270"/>
      <c r="AO720" s="270"/>
      <c r="AP720" s="270"/>
      <c r="AQ720" s="270"/>
      <c r="AR720" s="270"/>
      <c r="AS720" s="270"/>
      <c r="AT720" s="270"/>
      <c r="AU720" s="270"/>
      <c r="AV720" s="270"/>
      <c r="AW720" s="270"/>
      <c r="AX720" s="270"/>
      <c r="AY720" s="270"/>
      <c r="AZ720" s="270"/>
      <c r="BA720" s="270"/>
      <c r="BB720" s="270"/>
      <c r="BC720" s="270"/>
      <c r="BD720" s="270"/>
      <c r="BE720" s="270"/>
      <c r="BF720" s="270"/>
      <c r="BG720" s="270"/>
      <c r="BH720" s="270"/>
      <c r="BI720" s="270"/>
      <c r="BJ720" s="270"/>
      <c r="BK720" s="270"/>
      <c r="BL720" s="270"/>
      <c r="BM720" s="270"/>
      <c r="BN720" s="270"/>
      <c r="BO720" s="270"/>
      <c r="BP720" s="270"/>
      <c r="BQ720" s="270"/>
      <c r="BR720" s="270"/>
      <c r="BS720" s="270"/>
      <c r="BT720" s="270"/>
      <c r="BU720" s="270"/>
      <c r="BV720" s="270"/>
      <c r="BW720" s="270"/>
      <c r="BX720" s="270"/>
      <c r="BY720" s="270"/>
      <c r="BZ720" s="270"/>
      <c r="CA720" s="270"/>
      <c r="CB720" s="270"/>
      <c r="CC720" s="270"/>
      <c r="CD720" s="270"/>
      <c r="CE720" s="270"/>
    </row>
    <row r="721" spans="1:84" s="201" customFormat="1" ht="12.6" customHeight="1" x14ac:dyDescent="0.25">
      <c r="A721" s="201" t="s">
        <v>745</v>
      </c>
      <c r="B721" s="201" t="s">
        <v>746</v>
      </c>
      <c r="C721" s="201" t="s">
        <v>747</v>
      </c>
      <c r="D721" s="201" t="s">
        <v>748</v>
      </c>
      <c r="E721" s="201" t="s">
        <v>749</v>
      </c>
      <c r="F721" s="201" t="s">
        <v>750</v>
      </c>
      <c r="G721" s="201" t="s">
        <v>751</v>
      </c>
      <c r="H721" s="201" t="s">
        <v>752</v>
      </c>
      <c r="I721" s="201" t="s">
        <v>753</v>
      </c>
      <c r="J721" s="201" t="s">
        <v>754</v>
      </c>
      <c r="K721" s="201" t="s">
        <v>755</v>
      </c>
      <c r="L721" s="201" t="s">
        <v>756</v>
      </c>
      <c r="M721" s="201" t="s">
        <v>757</v>
      </c>
      <c r="N721" s="201" t="s">
        <v>758</v>
      </c>
      <c r="O721" s="201" t="s">
        <v>759</v>
      </c>
      <c r="P721" s="201" t="s">
        <v>760</v>
      </c>
      <c r="Q721" s="201" t="s">
        <v>761</v>
      </c>
      <c r="R721" s="201" t="s">
        <v>762</v>
      </c>
      <c r="S721" s="201" t="s">
        <v>763</v>
      </c>
      <c r="T721" s="201" t="s">
        <v>764</v>
      </c>
      <c r="U721" s="201" t="s">
        <v>765</v>
      </c>
      <c r="V721" s="201" t="s">
        <v>766</v>
      </c>
      <c r="W721" s="201" t="s">
        <v>767</v>
      </c>
      <c r="X721" s="201" t="s">
        <v>768</v>
      </c>
      <c r="Y721" s="201" t="s">
        <v>769</v>
      </c>
      <c r="Z721" s="201" t="s">
        <v>770</v>
      </c>
      <c r="AA721" s="201" t="s">
        <v>771</v>
      </c>
      <c r="AB721" s="201" t="s">
        <v>772</v>
      </c>
      <c r="AC721" s="201" t="s">
        <v>773</v>
      </c>
      <c r="AD721" s="201" t="s">
        <v>774</v>
      </c>
      <c r="AE721" s="201" t="s">
        <v>775</v>
      </c>
      <c r="AF721" s="201" t="s">
        <v>776</v>
      </c>
      <c r="AG721" s="201" t="s">
        <v>777</v>
      </c>
      <c r="AH721" s="201" t="s">
        <v>778</v>
      </c>
      <c r="AI721" s="201" t="s">
        <v>779</v>
      </c>
      <c r="AJ721" s="201" t="s">
        <v>780</v>
      </c>
      <c r="AK721" s="201" t="s">
        <v>781</v>
      </c>
      <c r="AL721" s="201" t="s">
        <v>782</v>
      </c>
      <c r="AM721" s="201" t="s">
        <v>783</v>
      </c>
      <c r="AN721" s="201" t="s">
        <v>784</v>
      </c>
      <c r="AO721" s="201" t="s">
        <v>785</v>
      </c>
      <c r="AP721" s="201" t="s">
        <v>786</v>
      </c>
      <c r="AQ721" s="201" t="s">
        <v>787</v>
      </c>
      <c r="AR721" s="201" t="s">
        <v>788</v>
      </c>
      <c r="AS721" s="201" t="s">
        <v>789</v>
      </c>
      <c r="AT721" s="201" t="s">
        <v>790</v>
      </c>
      <c r="AU721" s="201" t="s">
        <v>791</v>
      </c>
      <c r="AV721" s="201" t="s">
        <v>792</v>
      </c>
      <c r="AW721" s="201" t="s">
        <v>793</v>
      </c>
      <c r="AX721" s="201" t="s">
        <v>794</v>
      </c>
      <c r="AY721" s="201" t="s">
        <v>795</v>
      </c>
      <c r="AZ721" s="201" t="s">
        <v>796</v>
      </c>
      <c r="BA721" s="201" t="s">
        <v>797</v>
      </c>
      <c r="BB721" s="201" t="s">
        <v>798</v>
      </c>
      <c r="BC721" s="201" t="s">
        <v>799</v>
      </c>
      <c r="BD721" s="201" t="s">
        <v>800</v>
      </c>
      <c r="BE721" s="201" t="s">
        <v>801</v>
      </c>
      <c r="BF721" s="201" t="s">
        <v>802</v>
      </c>
      <c r="BG721" s="201" t="s">
        <v>803</v>
      </c>
      <c r="BH721" s="201" t="s">
        <v>804</v>
      </c>
      <c r="BI721" s="201" t="s">
        <v>805</v>
      </c>
      <c r="BJ721" s="201" t="s">
        <v>806</v>
      </c>
      <c r="BK721" s="201" t="s">
        <v>807</v>
      </c>
      <c r="BL721" s="201" t="s">
        <v>808</v>
      </c>
      <c r="BM721" s="201" t="s">
        <v>809</v>
      </c>
      <c r="BN721" s="201" t="s">
        <v>810</v>
      </c>
      <c r="BO721" s="201" t="s">
        <v>811</v>
      </c>
      <c r="BP721" s="201" t="s">
        <v>812</v>
      </c>
      <c r="BQ721" s="201" t="s">
        <v>813</v>
      </c>
      <c r="BR721" s="201" t="s">
        <v>814</v>
      </c>
      <c r="BS721" s="201" t="s">
        <v>815</v>
      </c>
      <c r="BT721" s="201" t="s">
        <v>816</v>
      </c>
      <c r="BU721" s="201" t="s">
        <v>817</v>
      </c>
      <c r="BV721" s="201" t="s">
        <v>818</v>
      </c>
      <c r="BW721" s="201" t="s">
        <v>819</v>
      </c>
      <c r="BX721" s="201" t="s">
        <v>820</v>
      </c>
      <c r="BY721" s="201" t="s">
        <v>821</v>
      </c>
      <c r="BZ721" s="201" t="s">
        <v>822</v>
      </c>
      <c r="CA721" s="201" t="s">
        <v>823</v>
      </c>
      <c r="CB721" s="201" t="s">
        <v>824</v>
      </c>
      <c r="CC721" s="201" t="s">
        <v>825</v>
      </c>
      <c r="CD721" s="201" t="s">
        <v>1256</v>
      </c>
    </row>
    <row r="722" spans="1:84" s="199" customFormat="1" ht="12.6" customHeight="1" x14ac:dyDescent="0.25">
      <c r="A722" s="200" t="str">
        <f>RIGHT(C83,3)&amp;"*"&amp;RIGHT(C82,4)&amp;"*"&amp;"A"</f>
        <v>126*2018*A</v>
      </c>
      <c r="B722" s="270">
        <f>ROUND(C165,0)</f>
        <v>4229281</v>
      </c>
      <c r="C722" s="270">
        <f>ROUND(C166,0)</f>
        <v>130151</v>
      </c>
      <c r="D722" s="270">
        <f>ROUND(C167,0)</f>
        <v>1180264</v>
      </c>
      <c r="E722" s="270">
        <f>ROUND(C168,0)</f>
        <v>8247335</v>
      </c>
      <c r="F722" s="270">
        <f>ROUND(C169,0)</f>
        <v>30304</v>
      </c>
      <c r="G722" s="270">
        <f>ROUND(C170,0)</f>
        <v>3164238</v>
      </c>
      <c r="H722" s="270">
        <f>ROUND(C171+C172,0)</f>
        <v>394265</v>
      </c>
      <c r="I722" s="270">
        <f>ROUND(C175,0)</f>
        <v>1298675</v>
      </c>
      <c r="J722" s="270">
        <f>ROUND(C176,0)</f>
        <v>663430</v>
      </c>
      <c r="K722" s="270">
        <f>ROUND(C179,0)</f>
        <v>1502446</v>
      </c>
      <c r="L722" s="270">
        <f>ROUND(C180,0)</f>
        <v>310461</v>
      </c>
      <c r="M722" s="270">
        <f>ROUND(C183,0)</f>
        <v>30060</v>
      </c>
      <c r="N722" s="270">
        <f>ROUND(C184,0)</f>
        <v>6104570</v>
      </c>
      <c r="O722" s="270">
        <f>ROUND(C185,0)</f>
        <v>0</v>
      </c>
      <c r="P722" s="270">
        <f>ROUND(C188,0)</f>
        <v>5191541</v>
      </c>
      <c r="Q722" s="270">
        <f>ROUND(C189,0)</f>
        <v>0</v>
      </c>
      <c r="R722" s="270">
        <f>ROUND(B195,0)</f>
        <v>7487010</v>
      </c>
      <c r="S722" s="270">
        <f>ROUND(C195,0)</f>
        <v>0</v>
      </c>
      <c r="T722" s="270">
        <f>ROUND(D195,0)</f>
        <v>72664</v>
      </c>
      <c r="U722" s="270">
        <f>ROUND(B196,0)</f>
        <v>1128576</v>
      </c>
      <c r="V722" s="270">
        <f>ROUND(C196,0)</f>
        <v>0</v>
      </c>
      <c r="W722" s="270">
        <f>ROUND(D196,0)</f>
        <v>2</v>
      </c>
      <c r="X722" s="270">
        <f>ROUND(B197,0)</f>
        <v>93911488</v>
      </c>
      <c r="Y722" s="270">
        <f>ROUND(C197,0)</f>
        <v>0</v>
      </c>
      <c r="Z722" s="270">
        <f>ROUND(D197,0)</f>
        <v>376449</v>
      </c>
      <c r="AA722" s="270">
        <f>ROUND(B198,0)</f>
        <v>29315673</v>
      </c>
      <c r="AB722" s="270">
        <f>ROUND(C198,0)</f>
        <v>1595554</v>
      </c>
      <c r="AC722" s="270">
        <f>ROUND(D198,0)</f>
        <v>0</v>
      </c>
      <c r="AD722" s="270">
        <f>ROUND(B199,0)</f>
        <v>2685308</v>
      </c>
      <c r="AE722" s="270">
        <f>ROUND(C199,0)</f>
        <v>-427243</v>
      </c>
      <c r="AF722" s="270">
        <f>ROUND(D199,0)</f>
        <v>7</v>
      </c>
      <c r="AG722" s="270">
        <f>ROUND(B200,0)</f>
        <v>54701432</v>
      </c>
      <c r="AH722" s="270">
        <f>ROUND(C200,0)</f>
        <v>9359425</v>
      </c>
      <c r="AI722" s="270">
        <f>ROUND(D200,0)</f>
        <v>122020</v>
      </c>
      <c r="AJ722" s="270">
        <f>ROUND(B201,0)</f>
        <v>0</v>
      </c>
      <c r="AK722" s="270">
        <f>ROUND(C201,0)</f>
        <v>0</v>
      </c>
      <c r="AL722" s="270">
        <f>ROUND(D201,0)</f>
        <v>0</v>
      </c>
      <c r="AM722" s="270">
        <f>ROUND(B202,0)</f>
        <v>1424</v>
      </c>
      <c r="AN722" s="270">
        <f>ROUND(C202,0)</f>
        <v>0</v>
      </c>
      <c r="AO722" s="270">
        <f>ROUND(D202,0)</f>
        <v>0</v>
      </c>
      <c r="AP722" s="270">
        <f>ROUND(B203,0)</f>
        <v>515542</v>
      </c>
      <c r="AQ722" s="270">
        <f>ROUND(C203,0)</f>
        <v>2678412</v>
      </c>
      <c r="AR722" s="270">
        <f>ROUND(D203,0)</f>
        <v>0</v>
      </c>
      <c r="AS722" s="270"/>
      <c r="AT722" s="270"/>
      <c r="AU722" s="270"/>
      <c r="AV722" s="270">
        <f>ROUND(B209,0)</f>
        <v>108131</v>
      </c>
      <c r="AW722" s="270">
        <f>ROUND(C209,0)</f>
        <v>70483</v>
      </c>
      <c r="AX722" s="270">
        <f>ROUND(D209,0)</f>
        <v>2</v>
      </c>
      <c r="AY722" s="270">
        <f>ROUND(B210,0)</f>
        <v>14153938</v>
      </c>
      <c r="AZ722" s="270">
        <f>ROUND(C210,0)</f>
        <v>3447826</v>
      </c>
      <c r="BA722" s="270">
        <f>ROUND(D210,0)</f>
        <v>63866</v>
      </c>
      <c r="BB722" s="270">
        <f>ROUND(B211,0)</f>
        <v>2003630</v>
      </c>
      <c r="BC722" s="270">
        <f>ROUND(C211,0)</f>
        <v>1557354</v>
      </c>
      <c r="BD722" s="270">
        <f>ROUND(D211,0)</f>
        <v>1</v>
      </c>
      <c r="BE722" s="270">
        <f>ROUND(B212,0)</f>
        <v>403790</v>
      </c>
      <c r="BF722" s="270">
        <f>ROUND(C212,0)</f>
        <v>134701</v>
      </c>
      <c r="BG722" s="270">
        <f>ROUND(D212,0)</f>
        <v>7</v>
      </c>
      <c r="BH722" s="270">
        <f>ROUND(B213,0)</f>
        <v>22940697</v>
      </c>
      <c r="BI722" s="270">
        <f>ROUND(C213,0)</f>
        <v>8723514</v>
      </c>
      <c r="BJ722" s="270">
        <f>ROUND(D213,0)</f>
        <v>230684</v>
      </c>
      <c r="BK722" s="270">
        <f>ROUND(B214,0)</f>
        <v>0</v>
      </c>
      <c r="BL722" s="270">
        <f>ROUND(C214,0)</f>
        <v>0</v>
      </c>
      <c r="BM722" s="270">
        <f>ROUND(D214,0)</f>
        <v>0</v>
      </c>
      <c r="BN722" s="270">
        <f>ROUND(B215,0)</f>
        <v>865</v>
      </c>
      <c r="BO722" s="270">
        <f>ROUND(C215,0)</f>
        <v>204</v>
      </c>
      <c r="BP722" s="270">
        <f>ROUND(D215,0)</f>
        <v>0</v>
      </c>
      <c r="BQ722" s="270">
        <f>ROUND(B216,0)</f>
        <v>0</v>
      </c>
      <c r="BR722" s="270">
        <f>ROUND(C216,0)</f>
        <v>0</v>
      </c>
      <c r="BS722" s="270">
        <f>ROUND(D216,0)</f>
        <v>0</v>
      </c>
      <c r="BT722" s="270">
        <f>ROUND(C223,0)</f>
        <v>323921390</v>
      </c>
      <c r="BU722" s="270">
        <f>ROUND(C224,0)</f>
        <v>211152408</v>
      </c>
      <c r="BV722" s="270">
        <f>ROUND(C225,0)</f>
        <v>0</v>
      </c>
      <c r="BW722" s="270">
        <f>ROUND(C226,0)</f>
        <v>0</v>
      </c>
      <c r="BX722" s="270">
        <f>ROUND(C227,0)</f>
        <v>142445650</v>
      </c>
      <c r="BY722" s="270">
        <f>ROUND(C228,0)</f>
        <v>22378197</v>
      </c>
      <c r="BZ722" s="270">
        <f>ROUND(C231,0)</f>
        <v>3758</v>
      </c>
      <c r="CA722" s="270">
        <f>ROUND(C233,0)</f>
        <v>9442296</v>
      </c>
      <c r="CB722" s="270">
        <f>ROUND(C234,0)</f>
        <v>9849204</v>
      </c>
      <c r="CC722" s="270">
        <f>ROUND(C238+C239,0)</f>
        <v>0</v>
      </c>
      <c r="CD722" s="270">
        <f>D221</f>
        <v>7052593.0999999996</v>
      </c>
      <c r="CE722" s="270"/>
    </row>
    <row r="723" spans="1:84" ht="12.6" customHeight="1" x14ac:dyDescent="0.25"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  <c r="L723" s="271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  <c r="AA723" s="271"/>
      <c r="AB723" s="271"/>
      <c r="AC723" s="271"/>
      <c r="AD723" s="271"/>
      <c r="AE723" s="271"/>
      <c r="AF723" s="271"/>
      <c r="AG723" s="271"/>
      <c r="AH723" s="271"/>
      <c r="AI723" s="271"/>
      <c r="AJ723" s="271"/>
      <c r="AK723" s="271"/>
      <c r="AL723" s="271"/>
      <c r="AM723" s="271"/>
      <c r="AN723" s="271"/>
      <c r="AO723" s="271"/>
      <c r="AP723" s="271"/>
      <c r="AQ723" s="271"/>
      <c r="AR723" s="271"/>
      <c r="AS723" s="271"/>
      <c r="AT723" s="271"/>
      <c r="AU723" s="271"/>
      <c r="AV723" s="271"/>
      <c r="AW723" s="271"/>
      <c r="AX723" s="271"/>
      <c r="AY723" s="271"/>
      <c r="AZ723" s="271"/>
      <c r="BA723" s="271"/>
      <c r="BB723" s="271"/>
      <c r="BC723" s="271"/>
      <c r="BD723" s="271"/>
      <c r="BE723" s="271"/>
      <c r="BF723" s="271"/>
      <c r="BG723" s="271"/>
      <c r="BH723" s="271"/>
      <c r="BI723" s="271"/>
      <c r="BJ723" s="271"/>
      <c r="BK723" s="271"/>
      <c r="BL723" s="271"/>
      <c r="BM723" s="271"/>
      <c r="BN723" s="271"/>
      <c r="BO723" s="271"/>
      <c r="BP723" s="271"/>
      <c r="BQ723" s="271"/>
      <c r="BR723" s="271"/>
      <c r="BS723" s="271"/>
      <c r="BT723" s="271"/>
      <c r="BU723" s="271"/>
      <c r="BV723" s="271"/>
      <c r="BW723" s="271"/>
      <c r="BX723" s="271"/>
      <c r="BY723" s="271"/>
      <c r="BZ723" s="271"/>
      <c r="CA723" s="271"/>
      <c r="CB723" s="271"/>
      <c r="CC723" s="271"/>
      <c r="CD723" s="271"/>
      <c r="CE723" s="271"/>
    </row>
    <row r="724" spans="1:84" s="199" customFormat="1" ht="12.6" customHeight="1" x14ac:dyDescent="0.25">
      <c r="A724" s="199" t="s">
        <v>148</v>
      </c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  <c r="AA724" s="270"/>
      <c r="AB724" s="270"/>
      <c r="AC724" s="270"/>
      <c r="AD724" s="270"/>
      <c r="AE724" s="270"/>
      <c r="AF724" s="270"/>
      <c r="AG724" s="270"/>
      <c r="AH724" s="270"/>
      <c r="AI724" s="270"/>
      <c r="AJ724" s="270"/>
      <c r="AK724" s="270"/>
      <c r="AL724" s="270"/>
      <c r="AM724" s="270"/>
      <c r="AN724" s="270"/>
      <c r="AO724" s="270"/>
      <c r="AP724" s="270"/>
      <c r="AQ724" s="270"/>
      <c r="AR724" s="270"/>
      <c r="AS724" s="270"/>
      <c r="AT724" s="270"/>
      <c r="AU724" s="270"/>
      <c r="AV724" s="270"/>
      <c r="AW724" s="270"/>
      <c r="AX724" s="270"/>
      <c r="AY724" s="270"/>
      <c r="AZ724" s="270"/>
      <c r="BA724" s="270"/>
      <c r="BB724" s="270"/>
      <c r="BC724" s="270"/>
      <c r="BD724" s="270"/>
      <c r="BE724" s="270"/>
      <c r="BF724" s="270"/>
      <c r="BG724" s="270"/>
      <c r="BH724" s="270"/>
      <c r="BI724" s="270"/>
      <c r="BJ724" s="270"/>
      <c r="BK724" s="270"/>
      <c r="BL724" s="270"/>
      <c r="BM724" s="270"/>
      <c r="BN724" s="270"/>
      <c r="BO724" s="270"/>
      <c r="BP724" s="270"/>
      <c r="BQ724" s="270"/>
      <c r="BR724" s="270"/>
      <c r="BS724" s="270"/>
      <c r="BT724" s="270"/>
      <c r="BU724" s="270"/>
      <c r="BV724" s="270"/>
      <c r="BW724" s="270"/>
      <c r="BX724" s="270"/>
      <c r="BY724" s="270"/>
      <c r="BZ724" s="270"/>
      <c r="CA724" s="270"/>
      <c r="CB724" s="270"/>
      <c r="CC724" s="270"/>
      <c r="CD724" s="270"/>
      <c r="CE724" s="270"/>
    </row>
    <row r="725" spans="1:84" s="201" customFormat="1" ht="12.6" customHeight="1" x14ac:dyDescent="0.25">
      <c r="A725" s="201" t="s">
        <v>745</v>
      </c>
      <c r="B725" s="201" t="s">
        <v>826</v>
      </c>
      <c r="C725" s="201" t="s">
        <v>827</v>
      </c>
      <c r="D725" s="201" t="s">
        <v>828</v>
      </c>
      <c r="E725" s="201" t="s">
        <v>829</v>
      </c>
      <c r="F725" s="201" t="s">
        <v>830</v>
      </c>
      <c r="G725" s="201" t="s">
        <v>831</v>
      </c>
      <c r="H725" s="201" t="s">
        <v>832</v>
      </c>
      <c r="I725" s="201" t="s">
        <v>833</v>
      </c>
      <c r="J725" s="201" t="s">
        <v>834</v>
      </c>
      <c r="K725" s="201" t="s">
        <v>835</v>
      </c>
      <c r="L725" s="201" t="s">
        <v>836</v>
      </c>
      <c r="M725" s="201" t="s">
        <v>837</v>
      </c>
      <c r="N725" s="201" t="s">
        <v>838</v>
      </c>
      <c r="O725" s="201" t="s">
        <v>839</v>
      </c>
      <c r="P725" s="201" t="s">
        <v>840</v>
      </c>
      <c r="Q725" s="201" t="s">
        <v>841</v>
      </c>
      <c r="R725" s="201" t="s">
        <v>842</v>
      </c>
      <c r="S725" s="201" t="s">
        <v>843</v>
      </c>
      <c r="T725" s="201" t="s">
        <v>844</v>
      </c>
      <c r="U725" s="201" t="s">
        <v>845</v>
      </c>
      <c r="V725" s="201" t="s">
        <v>846</v>
      </c>
      <c r="W725" s="201" t="s">
        <v>847</v>
      </c>
      <c r="X725" s="201" t="s">
        <v>848</v>
      </c>
      <c r="Y725" s="201" t="s">
        <v>849</v>
      </c>
      <c r="Z725" s="201" t="s">
        <v>850</v>
      </c>
      <c r="AA725" s="201" t="s">
        <v>851</v>
      </c>
      <c r="AB725" s="201" t="s">
        <v>852</v>
      </c>
      <c r="AC725" s="201" t="s">
        <v>853</v>
      </c>
      <c r="AD725" s="201" t="s">
        <v>854</v>
      </c>
      <c r="AE725" s="201" t="s">
        <v>855</v>
      </c>
      <c r="AF725" s="201" t="s">
        <v>856</v>
      </c>
      <c r="AG725" s="201" t="s">
        <v>857</v>
      </c>
      <c r="AH725" s="201" t="s">
        <v>858</v>
      </c>
      <c r="AI725" s="201" t="s">
        <v>859</v>
      </c>
      <c r="AJ725" s="201" t="s">
        <v>860</v>
      </c>
      <c r="AK725" s="201" t="s">
        <v>861</v>
      </c>
      <c r="AL725" s="201" t="s">
        <v>862</v>
      </c>
      <c r="AM725" s="201" t="s">
        <v>863</v>
      </c>
      <c r="AN725" s="201" t="s">
        <v>864</v>
      </c>
      <c r="AO725" s="201" t="s">
        <v>865</v>
      </c>
      <c r="AP725" s="201" t="s">
        <v>866</v>
      </c>
      <c r="AQ725" s="201" t="s">
        <v>867</v>
      </c>
      <c r="AR725" s="201" t="s">
        <v>868</v>
      </c>
      <c r="AS725" s="201" t="s">
        <v>869</v>
      </c>
      <c r="AT725" s="201" t="s">
        <v>870</v>
      </c>
      <c r="AU725" s="201" t="s">
        <v>871</v>
      </c>
      <c r="AV725" s="201" t="s">
        <v>872</v>
      </c>
      <c r="AW725" s="201" t="s">
        <v>873</v>
      </c>
      <c r="AX725" s="201" t="s">
        <v>874</v>
      </c>
      <c r="AY725" s="201" t="s">
        <v>875</v>
      </c>
      <c r="AZ725" s="201" t="s">
        <v>876</v>
      </c>
      <c r="BA725" s="201" t="s">
        <v>877</v>
      </c>
      <c r="BB725" s="201" t="s">
        <v>878</v>
      </c>
      <c r="BC725" s="201" t="s">
        <v>879</v>
      </c>
      <c r="BD725" s="201" t="s">
        <v>880</v>
      </c>
      <c r="BE725" s="201" t="s">
        <v>881</v>
      </c>
      <c r="BF725" s="201" t="s">
        <v>882</v>
      </c>
      <c r="BG725" s="201" t="s">
        <v>883</v>
      </c>
      <c r="BH725" s="201" t="s">
        <v>884</v>
      </c>
      <c r="BI725" s="201" t="s">
        <v>885</v>
      </c>
      <c r="BJ725" s="201" t="s">
        <v>886</v>
      </c>
      <c r="BK725" s="201" t="s">
        <v>887</v>
      </c>
      <c r="BL725" s="201" t="s">
        <v>888</v>
      </c>
      <c r="BM725" s="201" t="s">
        <v>889</v>
      </c>
      <c r="BN725" s="201" t="s">
        <v>890</v>
      </c>
      <c r="BO725" s="201" t="s">
        <v>891</v>
      </c>
      <c r="BP725" s="201" t="s">
        <v>892</v>
      </c>
      <c r="BQ725" s="201" t="s">
        <v>893</v>
      </c>
      <c r="BR725" s="201" t="s">
        <v>894</v>
      </c>
    </row>
    <row r="726" spans="1:84" s="199" customFormat="1" ht="12.6" customHeight="1" x14ac:dyDescent="0.25">
      <c r="A726" s="200" t="str">
        <f>RIGHT(C83,3)&amp;"*"&amp;RIGHT(C82,4)&amp;"*"&amp;"A"</f>
        <v>126*2018*A</v>
      </c>
      <c r="B726" s="270">
        <f>ROUND(C111,0)</f>
        <v>6923</v>
      </c>
      <c r="C726" s="270">
        <f>ROUND(C112,0)</f>
        <v>0</v>
      </c>
      <c r="D726" s="270">
        <f>ROUND(C113,0)</f>
        <v>0</v>
      </c>
      <c r="E726" s="270">
        <f>ROUND(C114,0)</f>
        <v>962</v>
      </c>
      <c r="F726" s="270">
        <f>ROUND(D111,0)</f>
        <v>31377</v>
      </c>
      <c r="G726" s="270">
        <f>ROUND(D112,0)</f>
        <v>0</v>
      </c>
      <c r="H726" s="270">
        <f>ROUND(D113,0)</f>
        <v>0</v>
      </c>
      <c r="I726" s="270">
        <f>ROUND(D114,0)</f>
        <v>1661</v>
      </c>
      <c r="J726" s="270">
        <f>ROUND(C116,0)</f>
        <v>34</v>
      </c>
      <c r="K726" s="270">
        <f>ROUND(C117,0)</f>
        <v>32</v>
      </c>
      <c r="L726" s="270">
        <f>ROUND(C118,0)</f>
        <v>37</v>
      </c>
      <c r="M726" s="270">
        <f>ROUND(C119,0)</f>
        <v>0</v>
      </c>
      <c r="N726" s="270">
        <f>ROUND(C120,0)</f>
        <v>21</v>
      </c>
      <c r="O726" s="270">
        <f>ROUND(C121,0)</f>
        <v>0</v>
      </c>
      <c r="P726" s="270">
        <f>ROUND(C122,0)</f>
        <v>0</v>
      </c>
      <c r="Q726" s="270">
        <f>ROUND(C123,0)</f>
        <v>0</v>
      </c>
      <c r="R726" s="270">
        <f>ROUND(C124,0)</f>
        <v>0</v>
      </c>
      <c r="S726" s="270">
        <f>ROUND(C125,0)</f>
        <v>0</v>
      </c>
      <c r="T726" s="270"/>
      <c r="U726" s="270">
        <f>ROUND(C126,0)</f>
        <v>5</v>
      </c>
      <c r="V726" s="270">
        <f>ROUND(C128,0)</f>
        <v>133</v>
      </c>
      <c r="W726" s="270">
        <f>ROUND(C129,0)</f>
        <v>5</v>
      </c>
      <c r="X726" s="270">
        <f>ROUND(B138,0)</f>
        <v>3154</v>
      </c>
      <c r="Y726" s="270">
        <f>ROUND(B139,0)</f>
        <v>16503</v>
      </c>
      <c r="Z726" s="270">
        <f>ROUND(B140,0)</f>
        <v>0</v>
      </c>
      <c r="AA726" s="270">
        <f>ROUND(B141,0)</f>
        <v>218910575</v>
      </c>
      <c r="AB726" s="270">
        <f>ROUND(B142,0)</f>
        <v>167726742</v>
      </c>
      <c r="AC726" s="270">
        <f>ROUND(C138,0)</f>
        <v>1946</v>
      </c>
      <c r="AD726" s="270">
        <f>ROUND(C139,0)</f>
        <v>8289</v>
      </c>
      <c r="AE726" s="270">
        <f>ROUND(C140,0)</f>
        <v>0</v>
      </c>
      <c r="AF726" s="270">
        <f>ROUND(C141,0)</f>
        <v>103483813</v>
      </c>
      <c r="AG726" s="270">
        <f>ROUND(C142,0)</f>
        <v>133575815</v>
      </c>
      <c r="AH726" s="270">
        <f>ROUND(D138,0)</f>
        <v>1823</v>
      </c>
      <c r="AI726" s="270">
        <f>ROUND(D139,0)</f>
        <v>6585</v>
      </c>
      <c r="AJ726" s="270">
        <f>ROUND(D140,0)</f>
        <v>0</v>
      </c>
      <c r="AK726" s="270">
        <f>ROUND(D141,0)</f>
        <v>99981153</v>
      </c>
      <c r="AL726" s="270">
        <f>ROUND(D142,0)</f>
        <v>190685118</v>
      </c>
      <c r="AM726" s="270">
        <f>ROUND(B144,0)</f>
        <v>0</v>
      </c>
      <c r="AN726" s="270">
        <f>ROUND(B145,0)</f>
        <v>0</v>
      </c>
      <c r="AO726" s="270">
        <f>ROUND(B146,0)</f>
        <v>0</v>
      </c>
      <c r="AP726" s="270">
        <f>ROUND(B147,0)</f>
        <v>0</v>
      </c>
      <c r="AQ726" s="270">
        <f>ROUND(B148,0)</f>
        <v>0</v>
      </c>
      <c r="AR726" s="270">
        <f>ROUND(C144,0)</f>
        <v>0</v>
      </c>
      <c r="AS726" s="270">
        <f>ROUND(C145,0)</f>
        <v>0</v>
      </c>
      <c r="AT726" s="270">
        <f>ROUND(C146,0)</f>
        <v>0</v>
      </c>
      <c r="AU726" s="270">
        <f>ROUND(C147,0)</f>
        <v>0</v>
      </c>
      <c r="AV726" s="270">
        <f>ROUND(C148,0)</f>
        <v>0</v>
      </c>
      <c r="AW726" s="270">
        <f>ROUND(D144,0)</f>
        <v>0</v>
      </c>
      <c r="AX726" s="270">
        <f>ROUND(D145,0)</f>
        <v>0</v>
      </c>
      <c r="AY726" s="270">
        <f>ROUND(D146,0)</f>
        <v>0</v>
      </c>
      <c r="AZ726" s="270">
        <f>ROUND(D147,0)</f>
        <v>0</v>
      </c>
      <c r="BA726" s="270">
        <f>ROUND(D148,0)</f>
        <v>0</v>
      </c>
      <c r="BB726" s="270">
        <f>ROUND(B150,0)</f>
        <v>0</v>
      </c>
      <c r="BC726" s="270">
        <f>ROUND(B151,0)</f>
        <v>0</v>
      </c>
      <c r="BD726" s="270">
        <f>ROUND(B152,0)</f>
        <v>0</v>
      </c>
      <c r="BE726" s="270">
        <f>ROUND(B153,0)</f>
        <v>0</v>
      </c>
      <c r="BF726" s="270">
        <f>ROUND(B154,0)</f>
        <v>0</v>
      </c>
      <c r="BG726" s="270">
        <f>ROUND(C150,0)</f>
        <v>0</v>
      </c>
      <c r="BH726" s="270">
        <f>ROUND(C151,0)</f>
        <v>0</v>
      </c>
      <c r="BI726" s="270">
        <f>ROUND(C152,0)</f>
        <v>0</v>
      </c>
      <c r="BJ726" s="270">
        <f>ROUND(C153,0)</f>
        <v>0</v>
      </c>
      <c r="BK726" s="270">
        <f>ROUND(C154,0)</f>
        <v>0</v>
      </c>
      <c r="BL726" s="270">
        <f>ROUND(D150,0)</f>
        <v>0</v>
      </c>
      <c r="BM726" s="270">
        <f>ROUND(D151,0)</f>
        <v>0</v>
      </c>
      <c r="BN726" s="270">
        <f>ROUND(D152,0)</f>
        <v>0</v>
      </c>
      <c r="BO726" s="270">
        <f>ROUND(D153,0)</f>
        <v>0</v>
      </c>
      <c r="BP726" s="270">
        <f>ROUND(D154,0)</f>
        <v>0</v>
      </c>
      <c r="BQ726" s="270">
        <f>ROUND(B157,0)</f>
        <v>0</v>
      </c>
      <c r="BR726" s="270">
        <f>ROUND(C157,0)</f>
        <v>0</v>
      </c>
      <c r="BS726" s="270"/>
      <c r="BT726" s="270"/>
      <c r="BU726" s="270"/>
      <c r="BV726" s="270"/>
      <c r="BW726" s="270"/>
      <c r="BX726" s="270"/>
      <c r="BY726" s="270"/>
      <c r="BZ726" s="270"/>
      <c r="CA726" s="270"/>
      <c r="CB726" s="270"/>
      <c r="CC726" s="270"/>
      <c r="CD726" s="270"/>
      <c r="CE726" s="270"/>
    </row>
    <row r="727" spans="1:84" ht="12.6" customHeight="1" x14ac:dyDescent="0.25"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  <c r="L727" s="271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  <c r="AA727" s="271"/>
      <c r="AB727" s="271"/>
      <c r="AC727" s="271"/>
      <c r="AD727" s="271"/>
      <c r="AE727" s="271"/>
      <c r="AF727" s="271"/>
      <c r="AG727" s="271"/>
      <c r="AH727" s="271"/>
      <c r="AI727" s="271"/>
      <c r="AJ727" s="271"/>
      <c r="AK727" s="271"/>
      <c r="AL727" s="271"/>
      <c r="AM727" s="271"/>
      <c r="AN727" s="271"/>
      <c r="AO727" s="271"/>
      <c r="AP727" s="271"/>
      <c r="AQ727" s="271"/>
      <c r="AR727" s="271"/>
      <c r="AS727" s="271"/>
      <c r="AT727" s="271"/>
      <c r="AU727" s="271"/>
      <c r="AV727" s="271"/>
      <c r="AW727" s="271"/>
      <c r="AX727" s="271"/>
      <c r="AY727" s="271"/>
      <c r="AZ727" s="271"/>
      <c r="BA727" s="271"/>
      <c r="BB727" s="271"/>
      <c r="BC727" s="271"/>
      <c r="BD727" s="271"/>
      <c r="BE727" s="271"/>
      <c r="BF727" s="271"/>
      <c r="BG727" s="271"/>
      <c r="BH727" s="271"/>
      <c r="BI727" s="271"/>
      <c r="BJ727" s="271"/>
      <c r="BK727" s="271"/>
      <c r="BL727" s="271"/>
      <c r="BM727" s="271"/>
      <c r="BN727" s="271"/>
      <c r="BO727" s="271"/>
      <c r="BP727" s="271"/>
      <c r="BQ727" s="271"/>
      <c r="BR727" s="271"/>
      <c r="BS727" s="271"/>
      <c r="BT727" s="271"/>
      <c r="BU727" s="271"/>
      <c r="BV727" s="271"/>
      <c r="BW727" s="271"/>
      <c r="BX727" s="271"/>
      <c r="BY727" s="271"/>
      <c r="BZ727" s="271"/>
      <c r="CA727" s="271"/>
      <c r="CB727" s="271"/>
      <c r="CC727" s="271"/>
      <c r="CD727" s="271"/>
      <c r="CE727" s="271"/>
    </row>
    <row r="728" spans="1:84" s="199" customFormat="1" ht="12.6" customHeight="1" x14ac:dyDescent="0.25">
      <c r="A728" s="199" t="s">
        <v>895</v>
      </c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  <c r="AA728" s="270"/>
      <c r="AB728" s="270"/>
      <c r="AC728" s="270"/>
      <c r="AD728" s="270"/>
      <c r="AE728" s="270"/>
      <c r="AF728" s="270"/>
      <c r="AG728" s="270"/>
      <c r="AH728" s="270"/>
      <c r="AI728" s="270"/>
      <c r="AJ728" s="270"/>
      <c r="AK728" s="270"/>
      <c r="AL728" s="270"/>
      <c r="AM728" s="270"/>
      <c r="AN728" s="270"/>
      <c r="AO728" s="270"/>
      <c r="AP728" s="270"/>
      <c r="AQ728" s="270"/>
      <c r="AR728" s="270"/>
      <c r="AS728" s="270"/>
      <c r="AT728" s="270"/>
      <c r="AU728" s="270"/>
      <c r="AV728" s="270"/>
      <c r="AW728" s="270"/>
      <c r="AX728" s="270"/>
      <c r="AY728" s="270"/>
      <c r="AZ728" s="270"/>
      <c r="BA728" s="270"/>
      <c r="BB728" s="270"/>
      <c r="BC728" s="270"/>
      <c r="BD728" s="270"/>
      <c r="BE728" s="270"/>
      <c r="BF728" s="270"/>
      <c r="BG728" s="270"/>
      <c r="BH728" s="270"/>
      <c r="BI728" s="270"/>
      <c r="BJ728" s="270"/>
      <c r="BK728" s="270"/>
      <c r="BL728" s="270"/>
      <c r="BM728" s="270"/>
      <c r="BN728" s="270"/>
      <c r="BO728" s="270"/>
      <c r="BP728" s="270"/>
      <c r="BQ728" s="270"/>
      <c r="BR728" s="270"/>
      <c r="BS728" s="270"/>
      <c r="BT728" s="270"/>
      <c r="BU728" s="270"/>
      <c r="BV728" s="270"/>
      <c r="BW728" s="270"/>
      <c r="BX728" s="270"/>
      <c r="BY728" s="270"/>
      <c r="BZ728" s="270"/>
      <c r="CA728" s="270"/>
      <c r="CB728" s="270"/>
      <c r="CC728" s="270"/>
      <c r="CD728" s="270"/>
      <c r="CE728" s="270"/>
    </row>
    <row r="729" spans="1:84" s="201" customFormat="1" ht="12.6" customHeight="1" x14ac:dyDescent="0.25">
      <c r="A729" s="201" t="s">
        <v>745</v>
      </c>
      <c r="B729" s="201" t="s">
        <v>896</v>
      </c>
      <c r="C729" s="201" t="s">
        <v>897</v>
      </c>
      <c r="D729" s="201" t="s">
        <v>898</v>
      </c>
      <c r="E729" s="201" t="s">
        <v>899</v>
      </c>
      <c r="F729" s="201" t="s">
        <v>900</v>
      </c>
      <c r="G729" s="201" t="s">
        <v>901</v>
      </c>
      <c r="H729" s="201" t="s">
        <v>902</v>
      </c>
      <c r="I729" s="201" t="s">
        <v>903</v>
      </c>
      <c r="J729" s="201" t="s">
        <v>904</v>
      </c>
      <c r="K729" s="201" t="s">
        <v>905</v>
      </c>
      <c r="L729" s="201" t="s">
        <v>906</v>
      </c>
      <c r="M729" s="201" t="s">
        <v>907</v>
      </c>
      <c r="N729" s="201" t="s">
        <v>908</v>
      </c>
      <c r="O729" s="201" t="s">
        <v>909</v>
      </c>
      <c r="P729" s="201" t="s">
        <v>910</v>
      </c>
      <c r="Q729" s="201" t="s">
        <v>911</v>
      </c>
      <c r="R729" s="201" t="s">
        <v>912</v>
      </c>
      <c r="S729" s="201" t="s">
        <v>913</v>
      </c>
      <c r="T729" s="201" t="s">
        <v>914</v>
      </c>
      <c r="U729" s="201" t="s">
        <v>915</v>
      </c>
      <c r="V729" s="201" t="s">
        <v>916</v>
      </c>
      <c r="W729" s="201" t="s">
        <v>917</v>
      </c>
      <c r="X729" s="201" t="s">
        <v>918</v>
      </c>
      <c r="Y729" s="201" t="s">
        <v>919</v>
      </c>
      <c r="Z729" s="201" t="s">
        <v>920</v>
      </c>
      <c r="AA729" s="201" t="s">
        <v>921</v>
      </c>
      <c r="AB729" s="201" t="s">
        <v>922</v>
      </c>
      <c r="AC729" s="201" t="s">
        <v>923</v>
      </c>
      <c r="AD729" s="201" t="s">
        <v>924</v>
      </c>
      <c r="AE729" s="201" t="s">
        <v>925</v>
      </c>
      <c r="AF729" s="201" t="s">
        <v>926</v>
      </c>
      <c r="AG729" s="201" t="s">
        <v>927</v>
      </c>
      <c r="AH729" s="201" t="s">
        <v>928</v>
      </c>
      <c r="AI729" s="201" t="s">
        <v>929</v>
      </c>
      <c r="AJ729" s="201" t="s">
        <v>930</v>
      </c>
      <c r="AK729" s="201" t="s">
        <v>931</v>
      </c>
      <c r="AL729" s="201" t="s">
        <v>932</v>
      </c>
      <c r="AM729" s="201" t="s">
        <v>933</v>
      </c>
      <c r="AN729" s="201" t="s">
        <v>934</v>
      </c>
      <c r="AO729" s="201" t="s">
        <v>935</v>
      </c>
      <c r="AP729" s="201" t="s">
        <v>936</v>
      </c>
      <c r="AQ729" s="201" t="s">
        <v>937</v>
      </c>
      <c r="AR729" s="201" t="s">
        <v>938</v>
      </c>
      <c r="AS729" s="201" t="s">
        <v>939</v>
      </c>
      <c r="AT729" s="201" t="s">
        <v>940</v>
      </c>
      <c r="AU729" s="201" t="s">
        <v>941</v>
      </c>
      <c r="AV729" s="201" t="s">
        <v>942</v>
      </c>
      <c r="AW729" s="201" t="s">
        <v>943</v>
      </c>
      <c r="AX729" s="201" t="s">
        <v>944</v>
      </c>
      <c r="AY729" s="201" t="s">
        <v>945</v>
      </c>
      <c r="AZ729" s="201" t="s">
        <v>946</v>
      </c>
      <c r="BA729" s="201" t="s">
        <v>947</v>
      </c>
      <c r="BB729" s="201" t="s">
        <v>948</v>
      </c>
      <c r="BC729" s="201" t="s">
        <v>949</v>
      </c>
      <c r="BD729" s="201" t="s">
        <v>950</v>
      </c>
      <c r="BE729" s="201" t="s">
        <v>951</v>
      </c>
      <c r="BF729" s="201" t="s">
        <v>952</v>
      </c>
      <c r="BG729" s="201" t="s">
        <v>953</v>
      </c>
      <c r="BH729" s="201" t="s">
        <v>954</v>
      </c>
      <c r="BI729" s="201" t="s">
        <v>955</v>
      </c>
      <c r="BJ729" s="201" t="s">
        <v>956</v>
      </c>
      <c r="BK729" s="201" t="s">
        <v>957</v>
      </c>
      <c r="BL729" s="201" t="s">
        <v>958</v>
      </c>
      <c r="BM729" s="201" t="s">
        <v>959</v>
      </c>
      <c r="BN729" s="201" t="s">
        <v>960</v>
      </c>
      <c r="BO729" s="201" t="s">
        <v>961</v>
      </c>
      <c r="BP729" s="201" t="s">
        <v>962</v>
      </c>
      <c r="BQ729" s="201" t="s">
        <v>963</v>
      </c>
      <c r="BR729" s="201" t="s">
        <v>964</v>
      </c>
      <c r="BS729" s="201" t="s">
        <v>965</v>
      </c>
      <c r="BT729" s="201" t="s">
        <v>966</v>
      </c>
      <c r="BU729" s="201" t="s">
        <v>967</v>
      </c>
      <c r="BV729" s="201" t="s">
        <v>968</v>
      </c>
      <c r="BW729" s="201" t="s">
        <v>969</v>
      </c>
      <c r="BX729" s="201" t="s">
        <v>970</v>
      </c>
      <c r="BY729" s="201" t="s">
        <v>971</v>
      </c>
      <c r="BZ729" s="201" t="s">
        <v>972</v>
      </c>
      <c r="CA729" s="201" t="s">
        <v>973</v>
      </c>
      <c r="CB729" s="201" t="s">
        <v>974</v>
      </c>
      <c r="CC729" s="201" t="s">
        <v>975</v>
      </c>
      <c r="CD729" s="201" t="s">
        <v>976</v>
      </c>
      <c r="CE729" s="201" t="s">
        <v>977</v>
      </c>
      <c r="CF729" s="201" t="s">
        <v>978</v>
      </c>
    </row>
    <row r="730" spans="1:84" s="199" customFormat="1" ht="12.6" customHeight="1" x14ac:dyDescent="0.25">
      <c r="A730" s="200" t="str">
        <f>RIGHT(C83,3)&amp;"*"&amp;RIGHT(C82,4)&amp;"*"&amp;"A"</f>
        <v>126*2018*A</v>
      </c>
      <c r="B730" s="270">
        <f>ROUND(C250,0)</f>
        <v>7901858</v>
      </c>
      <c r="C730" s="270">
        <f>ROUND(C251,0)</f>
        <v>0</v>
      </c>
      <c r="D730" s="270">
        <f>ROUND(C252,0)</f>
        <v>112645276</v>
      </c>
      <c r="E730" s="270">
        <f>ROUND(C253,0)</f>
        <v>91256017</v>
      </c>
      <c r="F730" s="270">
        <f>ROUND(C254,0)</f>
        <v>0</v>
      </c>
      <c r="G730" s="270">
        <f>ROUND(C255,0)</f>
        <v>1478597</v>
      </c>
      <c r="H730" s="270">
        <f>ROUND(C256,0)</f>
        <v>0</v>
      </c>
      <c r="I730" s="270">
        <f>ROUND(C257,0)</f>
        <v>4047252</v>
      </c>
      <c r="J730" s="270">
        <f>ROUND(C258,0)</f>
        <v>0</v>
      </c>
      <c r="K730" s="270">
        <f>ROUND(C259,0)</f>
        <v>0</v>
      </c>
      <c r="L730" s="270">
        <f>ROUND(C262,0)</f>
        <v>0</v>
      </c>
      <c r="M730" s="270">
        <f>ROUND(C263,0)</f>
        <v>20904717</v>
      </c>
      <c r="N730" s="270">
        <f>ROUND(C264,0)</f>
        <v>0</v>
      </c>
      <c r="O730" s="270">
        <f>ROUND(C267,0)</f>
        <v>7414346</v>
      </c>
      <c r="P730" s="270">
        <f>ROUND(C268,0)</f>
        <v>1128574</v>
      </c>
      <c r="Q730" s="270">
        <f>ROUND(C269,0)</f>
        <v>93535040</v>
      </c>
      <c r="R730" s="270">
        <f>ROUND(C270,0)</f>
        <v>30911226</v>
      </c>
      <c r="S730" s="270">
        <f>ROUND(C271,0)</f>
        <v>2258058</v>
      </c>
      <c r="T730" s="270">
        <f>ROUND(C272,0)</f>
        <v>63938836</v>
      </c>
      <c r="U730" s="270">
        <f>ROUND(C273,0)</f>
        <v>1424</v>
      </c>
      <c r="V730" s="270">
        <f>ROUND(C274,0)</f>
        <v>3193954</v>
      </c>
      <c r="W730" s="270">
        <f>ROUND(C275,0)</f>
        <v>0</v>
      </c>
      <c r="X730" s="270">
        <f>ROUND(C276,0)</f>
        <v>53250572</v>
      </c>
      <c r="Y730" s="270">
        <f>ROUND(C279,0)</f>
        <v>0</v>
      </c>
      <c r="Z730" s="270">
        <f>ROUND(C280,0)</f>
        <v>0</v>
      </c>
      <c r="AA730" s="270">
        <f>ROUND(C281,0)</f>
        <v>9628161</v>
      </c>
      <c r="AB730" s="270">
        <f>ROUND(C282,0)</f>
        <v>15030001</v>
      </c>
      <c r="AC730" s="270">
        <f>ROUND(C286,0)</f>
        <v>1494347</v>
      </c>
      <c r="AD730" s="270">
        <f>ROUND(C287,0)</f>
        <v>0</v>
      </c>
      <c r="AE730" s="270">
        <f>ROUND(C288,0)</f>
        <v>0</v>
      </c>
      <c r="AF730" s="270">
        <f>ROUND(C289,0)</f>
        <v>0</v>
      </c>
      <c r="AG730" s="270">
        <f>ROUND(C304,0)</f>
        <v>0</v>
      </c>
      <c r="AH730" s="270">
        <f>ROUND(C305,0)</f>
        <v>1818212</v>
      </c>
      <c r="AI730" s="270">
        <f>ROUND(C306,0)</f>
        <v>6435495</v>
      </c>
      <c r="AJ730" s="270">
        <f>ROUND(C307,0)</f>
        <v>5843672</v>
      </c>
      <c r="AK730" s="270">
        <f>ROUND(C308,0)</f>
        <v>0</v>
      </c>
      <c r="AL730" s="270">
        <f>ROUND(C309,0)</f>
        <v>1026188</v>
      </c>
      <c r="AM730" s="270">
        <f>ROUND(C310,0)</f>
        <v>0</v>
      </c>
      <c r="AN730" s="270">
        <f>ROUND(C311,0)</f>
        <v>0</v>
      </c>
      <c r="AO730" s="270">
        <f>ROUND(C312,0)</f>
        <v>2747669</v>
      </c>
      <c r="AP730" s="270">
        <f>ROUND(C313,0)</f>
        <v>4042756</v>
      </c>
      <c r="AQ730" s="270">
        <f>ROUND(C316,0)</f>
        <v>0</v>
      </c>
      <c r="AR730" s="270">
        <f>ROUND(C317,0)</f>
        <v>0</v>
      </c>
      <c r="AS730" s="270">
        <f>ROUND(C318,0)</f>
        <v>0</v>
      </c>
      <c r="AT730" s="270">
        <f>ROUND(C321,0)</f>
        <v>0</v>
      </c>
      <c r="AU730" s="270">
        <f>ROUND(C322,0)</f>
        <v>0</v>
      </c>
      <c r="AV730" s="270">
        <f>ROUND(C323,0)</f>
        <v>0</v>
      </c>
      <c r="AW730" s="270">
        <f>ROUND(C324,0)</f>
        <v>0</v>
      </c>
      <c r="AX730" s="270">
        <f>ROUND(C325,0)</f>
        <v>107200333</v>
      </c>
      <c r="AY730" s="270">
        <f>ROUND(C326,0)</f>
        <v>0</v>
      </c>
      <c r="AZ730" s="270">
        <f>ROUND(C327,0)</f>
        <v>2694540</v>
      </c>
      <c r="BA730" s="270">
        <f>ROUND(C328,0)</f>
        <v>0</v>
      </c>
      <c r="BB730" s="270">
        <f>ROUND(C332,0)</f>
        <v>103238970</v>
      </c>
      <c r="BC730" s="270"/>
      <c r="BD730" s="270"/>
      <c r="BE730" s="270">
        <f>ROUND(C337,0)</f>
        <v>0</v>
      </c>
      <c r="BF730" s="270">
        <f>ROUND(C336,0)</f>
        <v>0</v>
      </c>
      <c r="BG730" s="270"/>
      <c r="BH730" s="270"/>
      <c r="BI730" s="270">
        <f>ROUND(CE60,2)</f>
        <v>752.23</v>
      </c>
      <c r="BJ730" s="270">
        <f>ROUND(C359,0)</f>
        <v>422375540</v>
      </c>
      <c r="BK730" s="270">
        <f>ROUND(C360,0)</f>
        <v>491987676</v>
      </c>
      <c r="BL730" s="270">
        <f>ROUND(C364,0)</f>
        <v>699897644</v>
      </c>
      <c r="BM730" s="270">
        <f>ROUND(C365,0)</f>
        <v>19291500</v>
      </c>
      <c r="BN730" s="270">
        <f>ROUND(C366,0)</f>
        <v>0</v>
      </c>
      <c r="BO730" s="270">
        <f>ROUND(C370,0)</f>
        <v>10454884</v>
      </c>
      <c r="BP730" s="270">
        <f>ROUND(C371,0)</f>
        <v>0</v>
      </c>
      <c r="BQ730" s="270">
        <f>ROUND(C378,0)</f>
        <v>62240065</v>
      </c>
      <c r="BR730" s="270">
        <f>ROUND(C379,0)</f>
        <v>17375838</v>
      </c>
      <c r="BS730" s="270">
        <f>ROUND(C380,0)</f>
        <v>8428669</v>
      </c>
      <c r="BT730" s="270">
        <f>ROUND(C381,0)</f>
        <v>24034251</v>
      </c>
      <c r="BU730" s="270">
        <f>ROUND(C382,0)</f>
        <v>1625454</v>
      </c>
      <c r="BV730" s="270">
        <f>ROUND(C383,0)</f>
        <v>47457465</v>
      </c>
      <c r="BW730" s="270">
        <f>ROUND(C384,0)</f>
        <v>13934082</v>
      </c>
      <c r="BX730" s="270">
        <f>ROUND(C385,0)</f>
        <v>1962105</v>
      </c>
      <c r="BY730" s="270">
        <f>ROUND(C386,0)</f>
        <v>1812907</v>
      </c>
      <c r="BZ730" s="270">
        <f>ROUND(C387,0)</f>
        <v>6134629</v>
      </c>
      <c r="CA730" s="270">
        <f>ROUND(C388,0)</f>
        <v>5191541</v>
      </c>
      <c r="CB730" s="270">
        <f>C363</f>
        <v>7052593.0999999996</v>
      </c>
      <c r="CC730" s="270">
        <f>ROUND(C389,0)</f>
        <v>1539837</v>
      </c>
      <c r="CD730" s="270">
        <f>ROUND(C392,0)</f>
        <v>936562</v>
      </c>
      <c r="CE730" s="270">
        <f>ROUND(C394,0)</f>
        <v>0</v>
      </c>
      <c r="CF730" s="199">
        <f>ROUND(C395,0)</f>
        <v>0</v>
      </c>
    </row>
    <row r="731" spans="1:84" ht="12.6" customHeight="1" x14ac:dyDescent="0.25"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  <c r="L731" s="271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  <c r="AA731" s="271"/>
      <c r="AB731" s="271"/>
      <c r="AC731" s="271"/>
      <c r="AD731" s="271"/>
      <c r="AE731" s="271"/>
      <c r="AF731" s="271"/>
      <c r="AG731" s="271"/>
      <c r="AH731" s="271"/>
      <c r="AI731" s="271"/>
      <c r="AJ731" s="271"/>
      <c r="AK731" s="271"/>
      <c r="AL731" s="271"/>
      <c r="AM731" s="271"/>
      <c r="AN731" s="271"/>
      <c r="AO731" s="271"/>
      <c r="AP731" s="271"/>
      <c r="AQ731" s="271"/>
      <c r="AR731" s="271"/>
      <c r="AS731" s="271"/>
      <c r="AT731" s="271"/>
      <c r="AU731" s="271"/>
      <c r="AV731" s="271"/>
      <c r="AW731" s="271"/>
      <c r="AX731" s="271"/>
      <c r="AY731" s="271"/>
      <c r="AZ731" s="271"/>
      <c r="BA731" s="271"/>
      <c r="BB731" s="271"/>
      <c r="BC731" s="271"/>
      <c r="BD731" s="271"/>
      <c r="BE731" s="271"/>
      <c r="BF731" s="271"/>
      <c r="BG731" s="271"/>
      <c r="BH731" s="271"/>
      <c r="BI731" s="271"/>
      <c r="BJ731" s="271"/>
      <c r="BK731" s="271"/>
      <c r="BL731" s="271"/>
      <c r="BM731" s="271"/>
      <c r="BN731" s="271"/>
      <c r="BO731" s="271"/>
      <c r="BP731" s="271"/>
      <c r="BQ731" s="271"/>
      <c r="BR731" s="271"/>
      <c r="BS731" s="271"/>
      <c r="BT731" s="271"/>
      <c r="BU731" s="271"/>
      <c r="BV731" s="271"/>
      <c r="BW731" s="271"/>
      <c r="BX731" s="271"/>
      <c r="BY731" s="271"/>
      <c r="BZ731" s="271"/>
      <c r="CA731" s="271"/>
      <c r="CB731" s="271"/>
      <c r="CC731" s="271"/>
      <c r="CD731" s="271"/>
      <c r="CE731" s="271"/>
    </row>
    <row r="732" spans="1:84" s="199" customFormat="1" ht="12.6" customHeight="1" x14ac:dyDescent="0.25">
      <c r="A732" s="199" t="s">
        <v>979</v>
      </c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  <c r="AA732" s="270"/>
      <c r="AB732" s="270"/>
      <c r="AC732" s="270"/>
      <c r="AD732" s="270"/>
      <c r="AE732" s="270"/>
      <c r="AF732" s="270"/>
      <c r="AG732" s="270"/>
      <c r="AH732" s="270"/>
      <c r="AI732" s="270"/>
      <c r="AJ732" s="270"/>
      <c r="AK732" s="270"/>
      <c r="AL732" s="270"/>
      <c r="AM732" s="270"/>
      <c r="AN732" s="270"/>
      <c r="AO732" s="270"/>
      <c r="AP732" s="270"/>
      <c r="AQ732" s="270"/>
      <c r="AR732" s="270"/>
      <c r="AS732" s="270"/>
      <c r="AT732" s="270"/>
      <c r="AU732" s="270"/>
      <c r="AV732" s="270"/>
      <c r="AW732" s="270"/>
      <c r="AX732" s="270"/>
      <c r="AY732" s="270"/>
      <c r="AZ732" s="270"/>
      <c r="BA732" s="270"/>
      <c r="BB732" s="270"/>
      <c r="BC732" s="270"/>
      <c r="BD732" s="270"/>
      <c r="BE732" s="270"/>
      <c r="BF732" s="270"/>
      <c r="BG732" s="270"/>
      <c r="BH732" s="270"/>
      <c r="BI732" s="270"/>
      <c r="BJ732" s="270"/>
      <c r="BK732" s="270"/>
      <c r="BL732" s="270"/>
      <c r="BM732" s="270"/>
      <c r="BN732" s="270"/>
      <c r="BO732" s="270"/>
      <c r="BP732" s="270"/>
      <c r="BQ732" s="270"/>
      <c r="BR732" s="270"/>
      <c r="BS732" s="270"/>
      <c r="BT732" s="270"/>
      <c r="BU732" s="270"/>
      <c r="BV732" s="270"/>
      <c r="BW732" s="270"/>
      <c r="BX732" s="270"/>
      <c r="BY732" s="270"/>
      <c r="BZ732" s="270"/>
      <c r="CA732" s="270"/>
      <c r="CB732" s="270"/>
      <c r="CC732" s="270"/>
      <c r="CD732" s="270"/>
      <c r="CE732" s="270"/>
    </row>
    <row r="733" spans="1:84" s="201" customFormat="1" ht="12.6" customHeight="1" x14ac:dyDescent="0.25">
      <c r="A733" s="201" t="s">
        <v>745</v>
      </c>
      <c r="B733" s="201" t="s">
        <v>980</v>
      </c>
      <c r="C733" s="201" t="s">
        <v>981</v>
      </c>
      <c r="D733" s="201" t="s">
        <v>982</v>
      </c>
      <c r="E733" s="201" t="s">
        <v>983</v>
      </c>
      <c r="F733" s="201" t="s">
        <v>984</v>
      </c>
      <c r="G733" s="201" t="s">
        <v>985</v>
      </c>
      <c r="H733" s="201" t="s">
        <v>986</v>
      </c>
      <c r="I733" s="201" t="s">
        <v>987</v>
      </c>
      <c r="J733" s="201" t="s">
        <v>988</v>
      </c>
      <c r="K733" s="201" t="s">
        <v>989</v>
      </c>
      <c r="L733" s="201" t="s">
        <v>990</v>
      </c>
      <c r="M733" s="201" t="s">
        <v>991</v>
      </c>
      <c r="N733" s="201" t="s">
        <v>992</v>
      </c>
      <c r="O733" s="201" t="s">
        <v>993</v>
      </c>
      <c r="P733" s="201" t="s">
        <v>994</v>
      </c>
      <c r="Q733" s="201" t="s">
        <v>995</v>
      </c>
      <c r="R733" s="201" t="s">
        <v>996</v>
      </c>
      <c r="S733" s="201" t="s">
        <v>997</v>
      </c>
      <c r="T733" s="201" t="s">
        <v>998</v>
      </c>
      <c r="U733" s="201" t="s">
        <v>999</v>
      </c>
      <c r="V733" s="201" t="s">
        <v>1000</v>
      </c>
      <c r="W733" s="201" t="s">
        <v>1001</v>
      </c>
      <c r="X733" s="201" t="s">
        <v>1002</v>
      </c>
      <c r="Y733" s="201" t="s">
        <v>1003</v>
      </c>
    </row>
    <row r="734" spans="1:84" s="199" customFormat="1" ht="12.6" customHeight="1" x14ac:dyDescent="0.25">
      <c r="A734" s="200" t="str">
        <f>RIGHT($C$83,3)&amp;"*"&amp;RIGHT($C$82,4)&amp;"*"&amp;C$55&amp;"*"&amp;"A"</f>
        <v>126*2018*6010*A</v>
      </c>
      <c r="B734" s="270">
        <f>ROUND(C59,0)</f>
        <v>8019</v>
      </c>
      <c r="C734" s="270">
        <f>ROUND(C60,2)</f>
        <v>27.17</v>
      </c>
      <c r="D734" s="270">
        <f>ROUND(C61,0)</f>
        <v>3038347</v>
      </c>
      <c r="E734" s="270">
        <f>ROUND(C62,0)</f>
        <v>677616</v>
      </c>
      <c r="F734" s="270">
        <f>ROUND(C63,0)</f>
        <v>707299</v>
      </c>
      <c r="G734" s="270">
        <f>ROUND(C64,0)</f>
        <v>516086</v>
      </c>
      <c r="H734" s="270">
        <f>ROUND(C65,0)</f>
        <v>282</v>
      </c>
      <c r="I734" s="270">
        <f>ROUND(C66,0)</f>
        <v>51533</v>
      </c>
      <c r="J734" s="270">
        <f>ROUND(C67,0)</f>
        <v>161565</v>
      </c>
      <c r="K734" s="270">
        <f>ROUND(C68,0)</f>
        <v>-1517</v>
      </c>
      <c r="L734" s="270">
        <f>ROUND(C69,0)</f>
        <v>5841</v>
      </c>
      <c r="M734" s="270">
        <f>ROUND(C70,0)</f>
        <v>43724</v>
      </c>
      <c r="N734" s="270">
        <f>ROUND(C75,0)</f>
        <v>16009142</v>
      </c>
      <c r="O734" s="270">
        <f>ROUND(C73,0)</f>
        <v>15966811</v>
      </c>
      <c r="P734" s="270">
        <f>IF(C76&gt;0,ROUND(C76,0),0)</f>
        <v>6296</v>
      </c>
      <c r="Q734" s="270">
        <f>IF(C77&gt;0,ROUND(C77,0),0)</f>
        <v>24836</v>
      </c>
      <c r="R734" s="270">
        <f>IF(C78&gt;0,ROUND(C78,0),0)</f>
        <v>1998</v>
      </c>
      <c r="S734" s="270">
        <f>IF(C79&gt;0,ROUND(C79,0),0)</f>
        <v>123364</v>
      </c>
      <c r="T734" s="270">
        <f>IF(C80&gt;0,ROUND(C80,2),0)</f>
        <v>19.899999999999999</v>
      </c>
      <c r="U734" s="270"/>
      <c r="V734" s="270"/>
      <c r="W734" s="270"/>
      <c r="X734" s="270"/>
      <c r="Y734" s="270">
        <f>IF(M668&lt;&gt;0,ROUND(M668,0),0)</f>
        <v>3138569</v>
      </c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/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  <c r="BI734" s="270"/>
      <c r="BJ734" s="270"/>
      <c r="BK734" s="270"/>
      <c r="BL734" s="270"/>
      <c r="BM734" s="270"/>
      <c r="BN734" s="270"/>
      <c r="BO734" s="270"/>
      <c r="BP734" s="270"/>
      <c r="BQ734" s="270"/>
      <c r="BR734" s="270"/>
      <c r="BS734" s="270"/>
      <c r="BT734" s="270"/>
      <c r="BU734" s="270"/>
      <c r="BV734" s="270"/>
      <c r="BW734" s="270"/>
      <c r="BX734" s="270"/>
      <c r="BY734" s="270"/>
      <c r="BZ734" s="270"/>
      <c r="CA734" s="270"/>
      <c r="CB734" s="270"/>
      <c r="CC734" s="270"/>
      <c r="CD734" s="270"/>
      <c r="CE734" s="270"/>
    </row>
    <row r="735" spans="1:84" ht="12.6" customHeight="1" x14ac:dyDescent="0.25">
      <c r="A735" s="207" t="str">
        <f>RIGHT($C$83,3)&amp;"*"&amp;RIGHT($C$82,4)&amp;"*"&amp;D$55&amp;"*"&amp;"A"</f>
        <v>126*2018*6030*A</v>
      </c>
      <c r="B735" s="270">
        <f>ROUND(D59,0)</f>
        <v>0</v>
      </c>
      <c r="C735" s="272">
        <f>ROUND(D60,2)</f>
        <v>0</v>
      </c>
      <c r="D735" s="270">
        <f>ROUND(D61,0)</f>
        <v>0</v>
      </c>
      <c r="E735" s="270">
        <f>ROUND(D62,0)</f>
        <v>0</v>
      </c>
      <c r="F735" s="270">
        <f>ROUND(D63,0)</f>
        <v>0</v>
      </c>
      <c r="G735" s="270">
        <f>ROUND(D64,0)</f>
        <v>0</v>
      </c>
      <c r="H735" s="270">
        <f>ROUND(D65,0)</f>
        <v>0</v>
      </c>
      <c r="I735" s="270">
        <f>ROUND(D66,0)</f>
        <v>0</v>
      </c>
      <c r="J735" s="270">
        <f>ROUND(D67,0)</f>
        <v>0</v>
      </c>
      <c r="K735" s="270">
        <f>ROUND(D68,0)</f>
        <v>0</v>
      </c>
      <c r="L735" s="270">
        <f>ROUND(D69,0)</f>
        <v>0</v>
      </c>
      <c r="M735" s="270">
        <f>ROUND(D70,0)</f>
        <v>0</v>
      </c>
      <c r="N735" s="270">
        <f>ROUND(D75,0)</f>
        <v>0</v>
      </c>
      <c r="O735" s="270">
        <f>ROUND(D73,0)</f>
        <v>0</v>
      </c>
      <c r="P735" s="270">
        <f>IF(D76&gt;0,ROUND(D76,0),0)</f>
        <v>0</v>
      </c>
      <c r="Q735" s="270">
        <f>IF(D77&gt;0,ROUND(D77,0),0)</f>
        <v>0</v>
      </c>
      <c r="R735" s="270">
        <f>IF(D78&gt;0,ROUND(D78,0),0)</f>
        <v>0</v>
      </c>
      <c r="S735" s="270">
        <f>IF(D79&gt;0,ROUND(D79,0),0)</f>
        <v>0</v>
      </c>
      <c r="T735" s="272">
        <f>IF(D80&gt;0,ROUND(D80,2),0)</f>
        <v>0</v>
      </c>
      <c r="U735" s="270"/>
      <c r="V735" s="271"/>
      <c r="W735" s="270"/>
      <c r="X735" s="270"/>
      <c r="Y735" s="270">
        <f t="shared" ref="Y735:Y779" si="21">IF(M669&lt;&gt;0,ROUND(M669,0),0)</f>
        <v>0</v>
      </c>
      <c r="Z735" s="271"/>
      <c r="AA735" s="271"/>
      <c r="AB735" s="271"/>
      <c r="AC735" s="271"/>
      <c r="AD735" s="271"/>
      <c r="AE735" s="271"/>
      <c r="AF735" s="271"/>
      <c r="AG735" s="271"/>
      <c r="AH735" s="271"/>
      <c r="AI735" s="271"/>
      <c r="AJ735" s="271"/>
      <c r="AK735" s="271"/>
      <c r="AL735" s="271"/>
      <c r="AM735" s="271"/>
      <c r="AN735" s="271"/>
      <c r="AO735" s="271"/>
      <c r="AP735" s="271"/>
      <c r="AQ735" s="271"/>
      <c r="AR735" s="271"/>
      <c r="AS735" s="271"/>
      <c r="AT735" s="271"/>
      <c r="AU735" s="271"/>
      <c r="AV735" s="271"/>
      <c r="AW735" s="271"/>
      <c r="AX735" s="271"/>
      <c r="AY735" s="271"/>
      <c r="AZ735" s="271"/>
      <c r="BA735" s="271"/>
      <c r="BB735" s="271"/>
      <c r="BC735" s="271"/>
      <c r="BD735" s="271"/>
      <c r="BE735" s="271"/>
      <c r="BF735" s="271"/>
      <c r="BG735" s="271"/>
      <c r="BH735" s="271"/>
      <c r="BI735" s="271"/>
      <c r="BJ735" s="271"/>
      <c r="BK735" s="271"/>
      <c r="BL735" s="271"/>
      <c r="BM735" s="271"/>
      <c r="BN735" s="271"/>
      <c r="BO735" s="271"/>
      <c r="BP735" s="271"/>
      <c r="BQ735" s="271"/>
      <c r="BR735" s="271"/>
      <c r="BS735" s="271"/>
      <c r="BT735" s="271"/>
      <c r="BU735" s="271"/>
      <c r="BV735" s="271"/>
      <c r="BW735" s="271"/>
      <c r="BX735" s="271"/>
      <c r="BY735" s="271"/>
      <c r="BZ735" s="271"/>
      <c r="CA735" s="271"/>
      <c r="CB735" s="271"/>
      <c r="CC735" s="271"/>
      <c r="CD735" s="271"/>
      <c r="CE735" s="271"/>
    </row>
    <row r="736" spans="1:84" ht="12.6" customHeight="1" x14ac:dyDescent="0.25">
      <c r="A736" s="207" t="str">
        <f>RIGHT($C$83,3)&amp;"*"&amp;RIGHT($C$82,4)&amp;"*"&amp;E$55&amp;"*"&amp;"A"</f>
        <v>126*2018*6070*A</v>
      </c>
      <c r="B736" s="270">
        <f>ROUND(E59,0)</f>
        <v>23358</v>
      </c>
      <c r="C736" s="272">
        <f>ROUND(E60,2)</f>
        <v>158.99</v>
      </c>
      <c r="D736" s="270">
        <f>ROUND(E61,0)</f>
        <v>14393084</v>
      </c>
      <c r="E736" s="270">
        <f>ROUND(E62,0)</f>
        <v>4102732</v>
      </c>
      <c r="F736" s="270">
        <f>ROUND(E63,0)</f>
        <v>15285</v>
      </c>
      <c r="G736" s="270">
        <f>ROUND(E64,0)</f>
        <v>799674</v>
      </c>
      <c r="H736" s="270">
        <f>ROUND(E65,0)</f>
        <v>2916</v>
      </c>
      <c r="I736" s="270">
        <f>ROUND(E66,0)</f>
        <v>439561</v>
      </c>
      <c r="J736" s="270">
        <f>ROUND(E67,0)</f>
        <v>420403</v>
      </c>
      <c r="K736" s="270">
        <f>ROUND(E68,0)</f>
        <v>33353</v>
      </c>
      <c r="L736" s="270">
        <f>ROUND(E69,0)</f>
        <v>17997</v>
      </c>
      <c r="M736" s="270">
        <f>ROUND(E70,0)</f>
        <v>70331</v>
      </c>
      <c r="N736" s="270">
        <f>ROUND(E75,0)</f>
        <v>89931535</v>
      </c>
      <c r="O736" s="270">
        <f>ROUND(E73,0)</f>
        <v>79876150</v>
      </c>
      <c r="P736" s="270">
        <f>IF(E76&gt;0,ROUND(E76,0),0)</f>
        <v>39978</v>
      </c>
      <c r="Q736" s="270">
        <f>IF(E77&gt;0,ROUND(E77,0),0)</f>
        <v>59920</v>
      </c>
      <c r="R736" s="270">
        <f>IF(E78&gt;0,ROUND(E78,0),0)</f>
        <v>12684</v>
      </c>
      <c r="S736" s="270">
        <f>IF(E79&gt;0,ROUND(E79,0),0)</f>
        <v>287702</v>
      </c>
      <c r="T736" s="272">
        <f>IF(E80&gt;0,ROUND(E80,2),0)</f>
        <v>83.57</v>
      </c>
      <c r="U736" s="270"/>
      <c r="V736" s="271"/>
      <c r="W736" s="270"/>
      <c r="X736" s="270"/>
      <c r="Y736" s="270">
        <f t="shared" si="21"/>
        <v>13310066</v>
      </c>
      <c r="Z736" s="271"/>
      <c r="AA736" s="271"/>
      <c r="AB736" s="271"/>
      <c r="AC736" s="271"/>
      <c r="AD736" s="271"/>
      <c r="AE736" s="271"/>
      <c r="AF736" s="271"/>
      <c r="AG736" s="271"/>
      <c r="AH736" s="271"/>
      <c r="AI736" s="271"/>
      <c r="AJ736" s="271"/>
      <c r="AK736" s="271"/>
      <c r="AL736" s="271"/>
      <c r="AM736" s="271"/>
      <c r="AN736" s="271"/>
      <c r="AO736" s="271"/>
      <c r="AP736" s="271"/>
      <c r="AQ736" s="271"/>
      <c r="AR736" s="271"/>
      <c r="AS736" s="271"/>
      <c r="AT736" s="271"/>
      <c r="AU736" s="271"/>
      <c r="AV736" s="271"/>
      <c r="AW736" s="271"/>
      <c r="AX736" s="271"/>
      <c r="AY736" s="271"/>
      <c r="AZ736" s="271"/>
      <c r="BA736" s="271"/>
      <c r="BB736" s="271"/>
      <c r="BC736" s="271"/>
      <c r="BD736" s="271"/>
      <c r="BE736" s="271"/>
      <c r="BF736" s="271"/>
      <c r="BG736" s="271"/>
      <c r="BH736" s="271"/>
      <c r="BI736" s="271"/>
      <c r="BJ736" s="271"/>
      <c r="BK736" s="271"/>
      <c r="BL736" s="271"/>
      <c r="BM736" s="271"/>
      <c r="BN736" s="271"/>
      <c r="BO736" s="271"/>
      <c r="BP736" s="271"/>
      <c r="BQ736" s="271"/>
      <c r="BR736" s="271"/>
      <c r="BS736" s="271"/>
      <c r="BT736" s="271"/>
      <c r="BU736" s="271"/>
      <c r="BV736" s="271"/>
      <c r="BW736" s="271"/>
      <c r="BX736" s="271"/>
      <c r="BY736" s="271"/>
      <c r="BZ736" s="271"/>
      <c r="CA736" s="271"/>
      <c r="CB736" s="271"/>
      <c r="CC736" s="271"/>
      <c r="CD736" s="271"/>
      <c r="CE736" s="271"/>
    </row>
    <row r="737" spans="1:83" ht="12.6" customHeight="1" x14ac:dyDescent="0.25">
      <c r="A737" s="207" t="str">
        <f>RIGHT($C$83,3)&amp;"*"&amp;RIGHT($C$82,4)&amp;"*"&amp;F$55&amp;"*"&amp;"A"</f>
        <v>126*2018*6100*A</v>
      </c>
      <c r="B737" s="270">
        <f>ROUND(F59,0)</f>
        <v>0</v>
      </c>
      <c r="C737" s="272">
        <f>ROUND(F60,2)</f>
        <v>0</v>
      </c>
      <c r="D737" s="270">
        <f>ROUND(F61,0)</f>
        <v>0</v>
      </c>
      <c r="E737" s="270">
        <f>ROUND(F62,0)</f>
        <v>0</v>
      </c>
      <c r="F737" s="270">
        <f>ROUND(F63,0)</f>
        <v>0</v>
      </c>
      <c r="G737" s="270">
        <f>ROUND(F64,0)</f>
        <v>0</v>
      </c>
      <c r="H737" s="270">
        <f>ROUND(F65,0)</f>
        <v>0</v>
      </c>
      <c r="I737" s="270">
        <f>ROUND(F66,0)</f>
        <v>0</v>
      </c>
      <c r="J737" s="270">
        <f>ROUND(F67,0)</f>
        <v>0</v>
      </c>
      <c r="K737" s="270">
        <f>ROUND(F68,0)</f>
        <v>0</v>
      </c>
      <c r="L737" s="270">
        <f>ROUND(F69,0)</f>
        <v>0</v>
      </c>
      <c r="M737" s="270">
        <f>ROUND(F70,0)</f>
        <v>0</v>
      </c>
      <c r="N737" s="270">
        <f>ROUND(F75,0)</f>
        <v>0</v>
      </c>
      <c r="O737" s="270">
        <f>ROUND(F73,0)</f>
        <v>0</v>
      </c>
      <c r="P737" s="270">
        <f>IF(F76&gt;0,ROUND(F76,0),0)</f>
        <v>0</v>
      </c>
      <c r="Q737" s="270">
        <f>IF(F77&gt;0,ROUND(F77,0),0)</f>
        <v>0</v>
      </c>
      <c r="R737" s="270">
        <f>IF(F78&gt;0,ROUND(F78,0),0)</f>
        <v>0</v>
      </c>
      <c r="S737" s="270">
        <f>IF(F79&gt;0,ROUND(F79,0),0)</f>
        <v>0</v>
      </c>
      <c r="T737" s="272">
        <f>IF(F80&gt;0,ROUND(F80,2),0)</f>
        <v>0</v>
      </c>
      <c r="U737" s="270"/>
      <c r="V737" s="271"/>
      <c r="W737" s="270"/>
      <c r="X737" s="270"/>
      <c r="Y737" s="270">
        <f t="shared" si="21"/>
        <v>0</v>
      </c>
      <c r="Z737" s="271"/>
      <c r="AA737" s="271"/>
      <c r="AB737" s="271"/>
      <c r="AC737" s="271"/>
      <c r="AD737" s="271"/>
      <c r="AE737" s="271"/>
      <c r="AF737" s="271"/>
      <c r="AG737" s="271"/>
      <c r="AH737" s="271"/>
      <c r="AI737" s="271"/>
      <c r="AJ737" s="271"/>
      <c r="AK737" s="271"/>
      <c r="AL737" s="271"/>
      <c r="AM737" s="271"/>
      <c r="AN737" s="271"/>
      <c r="AO737" s="271"/>
      <c r="AP737" s="271"/>
      <c r="AQ737" s="271"/>
      <c r="AR737" s="271"/>
      <c r="AS737" s="271"/>
      <c r="AT737" s="271"/>
      <c r="AU737" s="271"/>
      <c r="AV737" s="271"/>
      <c r="AW737" s="271"/>
      <c r="AX737" s="271"/>
      <c r="AY737" s="271"/>
      <c r="AZ737" s="271"/>
      <c r="BA737" s="271"/>
      <c r="BB737" s="271"/>
      <c r="BC737" s="271"/>
      <c r="BD737" s="271"/>
      <c r="BE737" s="271"/>
      <c r="BF737" s="271"/>
      <c r="BG737" s="271"/>
      <c r="BH737" s="271"/>
      <c r="BI737" s="271"/>
      <c r="BJ737" s="271"/>
      <c r="BK737" s="271"/>
      <c r="BL737" s="271"/>
      <c r="BM737" s="271"/>
      <c r="BN737" s="271"/>
      <c r="BO737" s="271"/>
      <c r="BP737" s="271"/>
      <c r="BQ737" s="271"/>
      <c r="BR737" s="271"/>
      <c r="BS737" s="271"/>
      <c r="BT737" s="271"/>
      <c r="BU737" s="271"/>
      <c r="BV737" s="271"/>
      <c r="BW737" s="271"/>
      <c r="BX737" s="271"/>
      <c r="BY737" s="271"/>
      <c r="BZ737" s="271"/>
      <c r="CA737" s="271"/>
      <c r="CB737" s="271"/>
      <c r="CC737" s="271"/>
      <c r="CD737" s="271"/>
      <c r="CE737" s="271"/>
    </row>
    <row r="738" spans="1:83" ht="12.6" customHeight="1" x14ac:dyDescent="0.25">
      <c r="A738" s="207" t="str">
        <f>RIGHT($C$83,3)&amp;"*"&amp;RIGHT($C$82,4)&amp;"*"&amp;G$55&amp;"*"&amp;"A"</f>
        <v>126*2018*6120*A</v>
      </c>
      <c r="B738" s="270">
        <f>ROUND(G59,0)</f>
        <v>0</v>
      </c>
      <c r="C738" s="272">
        <f>ROUND(G60,2)</f>
        <v>0.04</v>
      </c>
      <c r="D738" s="270">
        <f>ROUND(G61,0)</f>
        <v>2658</v>
      </c>
      <c r="E738" s="270">
        <f>ROUND(G62,0)</f>
        <v>751</v>
      </c>
      <c r="F738" s="270">
        <f>ROUND(G63,0)</f>
        <v>0</v>
      </c>
      <c r="G738" s="270">
        <f>ROUND(G64,0)</f>
        <v>570</v>
      </c>
      <c r="H738" s="270">
        <f>ROUND(G65,0)</f>
        <v>0</v>
      </c>
      <c r="I738" s="270">
        <f>ROUND(G66,0)</f>
        <v>0</v>
      </c>
      <c r="J738" s="270">
        <f>ROUND(G67,0)</f>
        <v>584</v>
      </c>
      <c r="K738" s="270">
        <f>ROUND(G68,0)</f>
        <v>0</v>
      </c>
      <c r="L738" s="270">
        <f>ROUND(G69,0)</f>
        <v>0</v>
      </c>
      <c r="M738" s="270">
        <f>ROUND(G70,0)</f>
        <v>0</v>
      </c>
      <c r="N738" s="270">
        <f>ROUND(G75,0)</f>
        <v>0</v>
      </c>
      <c r="O738" s="270">
        <f>ROUND(G73,0)</f>
        <v>0</v>
      </c>
      <c r="P738" s="270">
        <f>IF(G76&gt;0,ROUND(G76,0),0)</f>
        <v>0</v>
      </c>
      <c r="Q738" s="270">
        <f>IF(G77&gt;0,ROUND(G77,0),0)</f>
        <v>0</v>
      </c>
      <c r="R738" s="270">
        <f>IF(G78&gt;0,ROUND(G78,0),0)</f>
        <v>0</v>
      </c>
      <c r="S738" s="270">
        <f>IF(G79&gt;0,ROUND(G79,0),0)</f>
        <v>0</v>
      </c>
      <c r="T738" s="272">
        <f>IF(G80&gt;0,ROUND(G80,2),0)</f>
        <v>0.02</v>
      </c>
      <c r="U738" s="270"/>
      <c r="V738" s="271"/>
      <c r="W738" s="270"/>
      <c r="X738" s="270"/>
      <c r="Y738" s="270">
        <f t="shared" si="21"/>
        <v>1872</v>
      </c>
      <c r="Z738" s="271"/>
      <c r="AA738" s="271"/>
      <c r="AB738" s="271"/>
      <c r="AC738" s="271"/>
      <c r="AD738" s="271"/>
      <c r="AE738" s="271"/>
      <c r="AF738" s="271"/>
      <c r="AG738" s="271"/>
      <c r="AH738" s="271"/>
      <c r="AI738" s="271"/>
      <c r="AJ738" s="271"/>
      <c r="AK738" s="271"/>
      <c r="AL738" s="271"/>
      <c r="AM738" s="271"/>
      <c r="AN738" s="271"/>
      <c r="AO738" s="271"/>
      <c r="AP738" s="271"/>
      <c r="AQ738" s="271"/>
      <c r="AR738" s="271"/>
      <c r="AS738" s="271"/>
      <c r="AT738" s="271"/>
      <c r="AU738" s="271"/>
      <c r="AV738" s="271"/>
      <c r="AW738" s="271"/>
      <c r="AX738" s="271"/>
      <c r="AY738" s="271"/>
      <c r="AZ738" s="271"/>
      <c r="BA738" s="271"/>
      <c r="BB738" s="271"/>
      <c r="BC738" s="271"/>
      <c r="BD738" s="271"/>
      <c r="BE738" s="271"/>
      <c r="BF738" s="271"/>
      <c r="BG738" s="271"/>
      <c r="BH738" s="271"/>
      <c r="BI738" s="271"/>
      <c r="BJ738" s="271"/>
      <c r="BK738" s="271"/>
      <c r="BL738" s="271"/>
      <c r="BM738" s="271"/>
      <c r="BN738" s="271"/>
      <c r="BO738" s="271"/>
      <c r="BP738" s="271"/>
      <c r="BQ738" s="271"/>
      <c r="BR738" s="271"/>
      <c r="BS738" s="271"/>
      <c r="BT738" s="271"/>
      <c r="BU738" s="271"/>
      <c r="BV738" s="271"/>
      <c r="BW738" s="271"/>
      <c r="BX738" s="271"/>
      <c r="BY738" s="271"/>
      <c r="BZ738" s="271"/>
      <c r="CA738" s="271"/>
      <c r="CB738" s="271"/>
      <c r="CC738" s="271"/>
      <c r="CD738" s="271"/>
      <c r="CE738" s="271"/>
    </row>
    <row r="739" spans="1:83" ht="12.6" customHeight="1" x14ac:dyDescent="0.25">
      <c r="A739" s="207" t="str">
        <f>RIGHT($C$83,3)&amp;"*"&amp;RIGHT($C$82,4)&amp;"*"&amp;H$55&amp;"*"&amp;"A"</f>
        <v>126*2018*6140*A</v>
      </c>
      <c r="B739" s="270">
        <f>ROUND(H59,0)</f>
        <v>0</v>
      </c>
      <c r="C739" s="272">
        <f>ROUND(H60,2)</f>
        <v>0</v>
      </c>
      <c r="D739" s="270">
        <f>ROUND(H61,0)</f>
        <v>0</v>
      </c>
      <c r="E739" s="270">
        <f>ROUND(H62,0)</f>
        <v>0</v>
      </c>
      <c r="F739" s="270">
        <f>ROUND(H63,0)</f>
        <v>0</v>
      </c>
      <c r="G739" s="270">
        <f>ROUND(H64,0)</f>
        <v>0</v>
      </c>
      <c r="H739" s="270">
        <f>ROUND(H65,0)</f>
        <v>0</v>
      </c>
      <c r="I739" s="270">
        <f>ROUND(H66,0)</f>
        <v>0</v>
      </c>
      <c r="J739" s="270">
        <f>ROUND(H67,0)</f>
        <v>0</v>
      </c>
      <c r="K739" s="270">
        <f>ROUND(H68,0)</f>
        <v>0</v>
      </c>
      <c r="L739" s="270">
        <f>ROUND(H69,0)</f>
        <v>0</v>
      </c>
      <c r="M739" s="270">
        <f>ROUND(H70,0)</f>
        <v>0</v>
      </c>
      <c r="N739" s="270">
        <f>ROUND(H75,0)</f>
        <v>0</v>
      </c>
      <c r="O739" s="270">
        <f>ROUND(H73,0)</f>
        <v>0</v>
      </c>
      <c r="P739" s="270">
        <f>IF(H76&gt;0,ROUND(H76,0),0)</f>
        <v>0</v>
      </c>
      <c r="Q739" s="270">
        <f>IF(H77&gt;0,ROUND(H77,0),0)</f>
        <v>0</v>
      </c>
      <c r="R739" s="270">
        <f>IF(H78&gt;0,ROUND(H78,0),0)</f>
        <v>0</v>
      </c>
      <c r="S739" s="270">
        <f>IF(H79&gt;0,ROUND(H79,0),0)</f>
        <v>0</v>
      </c>
      <c r="T739" s="272">
        <f>IF(H80&gt;0,ROUND(H80,2),0)</f>
        <v>0</v>
      </c>
      <c r="U739" s="270"/>
      <c r="V739" s="271"/>
      <c r="W739" s="270"/>
      <c r="X739" s="270"/>
      <c r="Y739" s="270">
        <f t="shared" si="21"/>
        <v>0</v>
      </c>
      <c r="Z739" s="271"/>
      <c r="AA739" s="271"/>
      <c r="AB739" s="271"/>
      <c r="AC739" s="271"/>
      <c r="AD739" s="271"/>
      <c r="AE739" s="271"/>
      <c r="AF739" s="271"/>
      <c r="AG739" s="271"/>
      <c r="AH739" s="271"/>
      <c r="AI739" s="271"/>
      <c r="AJ739" s="271"/>
      <c r="AK739" s="271"/>
      <c r="AL739" s="271"/>
      <c r="AM739" s="271"/>
      <c r="AN739" s="271"/>
      <c r="AO739" s="271"/>
      <c r="AP739" s="271"/>
      <c r="AQ739" s="271"/>
      <c r="AR739" s="271"/>
      <c r="AS739" s="271"/>
      <c r="AT739" s="271"/>
      <c r="AU739" s="271"/>
      <c r="AV739" s="271"/>
      <c r="AW739" s="271"/>
      <c r="AX739" s="271"/>
      <c r="AY739" s="271"/>
      <c r="AZ739" s="271"/>
      <c r="BA739" s="271"/>
      <c r="BB739" s="271"/>
      <c r="BC739" s="271"/>
      <c r="BD739" s="271"/>
      <c r="BE739" s="271"/>
      <c r="BF739" s="271"/>
      <c r="BG739" s="271"/>
      <c r="BH739" s="271"/>
      <c r="BI739" s="271"/>
      <c r="BJ739" s="271"/>
      <c r="BK739" s="271"/>
      <c r="BL739" s="271"/>
      <c r="BM739" s="271"/>
      <c r="BN739" s="271"/>
      <c r="BO739" s="271"/>
      <c r="BP739" s="271"/>
      <c r="BQ739" s="271"/>
      <c r="BR739" s="271"/>
      <c r="BS739" s="271"/>
      <c r="BT739" s="271"/>
      <c r="BU739" s="271"/>
      <c r="BV739" s="271"/>
      <c r="BW739" s="271"/>
      <c r="BX739" s="271"/>
      <c r="BY739" s="271"/>
      <c r="BZ739" s="271"/>
      <c r="CA739" s="271"/>
      <c r="CB739" s="271"/>
      <c r="CC739" s="271"/>
      <c r="CD739" s="271"/>
      <c r="CE739" s="271"/>
    </row>
    <row r="740" spans="1:83" ht="12.6" customHeight="1" x14ac:dyDescent="0.25">
      <c r="A740" s="207" t="str">
        <f>RIGHT($C$83,3)&amp;"*"&amp;RIGHT($C$82,4)&amp;"*"&amp;I$55&amp;"*"&amp;"A"</f>
        <v>126*2018*6150*A</v>
      </c>
      <c r="B740" s="270">
        <f>ROUND(I59,0)</f>
        <v>0</v>
      </c>
      <c r="C740" s="272">
        <f>ROUND(I60,2)</f>
        <v>0</v>
      </c>
      <c r="D740" s="270">
        <f>ROUND(I61,0)</f>
        <v>0</v>
      </c>
      <c r="E740" s="270">
        <f>ROUND(I62,0)</f>
        <v>0</v>
      </c>
      <c r="F740" s="270">
        <f>ROUND(I63,0)</f>
        <v>0</v>
      </c>
      <c r="G740" s="270">
        <f>ROUND(I64,0)</f>
        <v>0</v>
      </c>
      <c r="H740" s="270">
        <f>ROUND(I65,0)</f>
        <v>0</v>
      </c>
      <c r="I740" s="270">
        <f>ROUND(I66,0)</f>
        <v>0</v>
      </c>
      <c r="J740" s="270">
        <f>ROUND(I67,0)</f>
        <v>0</v>
      </c>
      <c r="K740" s="270">
        <f>ROUND(I68,0)</f>
        <v>0</v>
      </c>
      <c r="L740" s="270">
        <f>ROUND(I69,0)</f>
        <v>0</v>
      </c>
      <c r="M740" s="270">
        <f>ROUND(I70,0)</f>
        <v>0</v>
      </c>
      <c r="N740" s="270">
        <f>ROUND(I75,0)</f>
        <v>0</v>
      </c>
      <c r="O740" s="270">
        <f>ROUND(I73,0)</f>
        <v>0</v>
      </c>
      <c r="P740" s="270">
        <f>IF(I76&gt;0,ROUND(I76,0),0)</f>
        <v>0</v>
      </c>
      <c r="Q740" s="270">
        <f>IF(I77&gt;0,ROUND(I77,0),0)</f>
        <v>0</v>
      </c>
      <c r="R740" s="270">
        <f>IF(I78&gt;0,ROUND(I78,0),0)</f>
        <v>0</v>
      </c>
      <c r="S740" s="270">
        <f>IF(I79&gt;0,ROUND(I79,0),0)</f>
        <v>0</v>
      </c>
      <c r="T740" s="272">
        <f>IF(I80&gt;0,ROUND(I80,2),0)</f>
        <v>0</v>
      </c>
      <c r="U740" s="270"/>
      <c r="V740" s="271"/>
      <c r="W740" s="270"/>
      <c r="X740" s="270"/>
      <c r="Y740" s="270">
        <f t="shared" si="21"/>
        <v>0</v>
      </c>
      <c r="Z740" s="271"/>
      <c r="AA740" s="271"/>
      <c r="AB740" s="271"/>
      <c r="AC740" s="271"/>
      <c r="AD740" s="271"/>
      <c r="AE740" s="271"/>
      <c r="AF740" s="271"/>
      <c r="AG740" s="271"/>
      <c r="AH740" s="271"/>
      <c r="AI740" s="271"/>
      <c r="AJ740" s="271"/>
      <c r="AK740" s="271"/>
      <c r="AL740" s="271"/>
      <c r="AM740" s="271"/>
      <c r="AN740" s="271"/>
      <c r="AO740" s="271"/>
      <c r="AP740" s="271"/>
      <c r="AQ740" s="271"/>
      <c r="AR740" s="271"/>
      <c r="AS740" s="271"/>
      <c r="AT740" s="271"/>
      <c r="AU740" s="271"/>
      <c r="AV740" s="271"/>
      <c r="AW740" s="271"/>
      <c r="AX740" s="271"/>
      <c r="AY740" s="271"/>
      <c r="AZ740" s="271"/>
      <c r="BA740" s="271"/>
      <c r="BB740" s="271"/>
      <c r="BC740" s="271"/>
      <c r="BD740" s="271"/>
      <c r="BE740" s="271"/>
      <c r="BF740" s="271"/>
      <c r="BG740" s="271"/>
      <c r="BH740" s="271"/>
      <c r="BI740" s="271"/>
      <c r="BJ740" s="271"/>
      <c r="BK740" s="271"/>
      <c r="BL740" s="271"/>
      <c r="BM740" s="271"/>
      <c r="BN740" s="271"/>
      <c r="BO740" s="271"/>
      <c r="BP740" s="271"/>
      <c r="BQ740" s="271"/>
      <c r="BR740" s="271"/>
      <c r="BS740" s="271"/>
      <c r="BT740" s="271"/>
      <c r="BU740" s="271"/>
      <c r="BV740" s="271"/>
      <c r="BW740" s="271"/>
      <c r="BX740" s="271"/>
      <c r="BY740" s="271"/>
      <c r="BZ740" s="271"/>
      <c r="CA740" s="271"/>
      <c r="CB740" s="271"/>
      <c r="CC740" s="271"/>
      <c r="CD740" s="271"/>
      <c r="CE740" s="271"/>
    </row>
    <row r="741" spans="1:83" ht="12.6" customHeight="1" x14ac:dyDescent="0.25">
      <c r="A741" s="207" t="str">
        <f>RIGHT($C$83,3)&amp;"*"&amp;RIGHT($C$82,4)&amp;"*"&amp;J$55&amp;"*"&amp;"A"</f>
        <v>126*2018*6170*A</v>
      </c>
      <c r="B741" s="270">
        <f>ROUND(J59,0)</f>
        <v>1661</v>
      </c>
      <c r="C741" s="272">
        <f>ROUND(J60,2)</f>
        <v>0</v>
      </c>
      <c r="D741" s="270">
        <f>ROUND(J61,0)</f>
        <v>0</v>
      </c>
      <c r="E741" s="270">
        <f>ROUND(J62,0)</f>
        <v>0</v>
      </c>
      <c r="F741" s="270">
        <f>ROUND(J63,0)</f>
        <v>0</v>
      </c>
      <c r="G741" s="270">
        <f>ROUND(J64,0)</f>
        <v>0</v>
      </c>
      <c r="H741" s="270">
        <f>ROUND(J65,0)</f>
        <v>0</v>
      </c>
      <c r="I741" s="270">
        <f>ROUND(J66,0)</f>
        <v>0</v>
      </c>
      <c r="J741" s="270">
        <f>ROUND(J67,0)</f>
        <v>0</v>
      </c>
      <c r="K741" s="270">
        <f>ROUND(J68,0)</f>
        <v>0</v>
      </c>
      <c r="L741" s="270">
        <f>ROUND(J69,0)</f>
        <v>0</v>
      </c>
      <c r="M741" s="270">
        <f>ROUND(J70,0)</f>
        <v>0</v>
      </c>
      <c r="N741" s="270">
        <f>ROUND(J75,0)</f>
        <v>0</v>
      </c>
      <c r="O741" s="270">
        <f>ROUND(J73,0)</f>
        <v>0</v>
      </c>
      <c r="P741" s="270">
        <f>IF(J76&gt;0,ROUND(J76,0),0)</f>
        <v>1167</v>
      </c>
      <c r="Q741" s="270">
        <f>IF(J77&gt;0,ROUND(J77,0),0)</f>
        <v>7016</v>
      </c>
      <c r="R741" s="270">
        <f>IF(J78&gt;0,ROUND(J78,0),0)</f>
        <v>370</v>
      </c>
      <c r="S741" s="270">
        <f>IF(J79&gt;0,ROUND(J79,0),0)</f>
        <v>7259</v>
      </c>
      <c r="T741" s="272">
        <f>IF(J80&gt;0,ROUND(J80,2),0)</f>
        <v>0</v>
      </c>
      <c r="U741" s="270"/>
      <c r="V741" s="271"/>
      <c r="W741" s="270"/>
      <c r="X741" s="270"/>
      <c r="Y741" s="270">
        <f t="shared" si="21"/>
        <v>200495</v>
      </c>
      <c r="Z741" s="271"/>
      <c r="AA741" s="271"/>
      <c r="AB741" s="271"/>
      <c r="AC741" s="271"/>
      <c r="AD741" s="271"/>
      <c r="AE741" s="271"/>
      <c r="AF741" s="271"/>
      <c r="AG741" s="271"/>
      <c r="AH741" s="271"/>
      <c r="AI741" s="271"/>
      <c r="AJ741" s="271"/>
      <c r="AK741" s="271"/>
      <c r="AL741" s="271"/>
      <c r="AM741" s="271"/>
      <c r="AN741" s="271"/>
      <c r="AO741" s="271"/>
      <c r="AP741" s="271"/>
      <c r="AQ741" s="271"/>
      <c r="AR741" s="271"/>
      <c r="AS741" s="271"/>
      <c r="AT741" s="271"/>
      <c r="AU741" s="271"/>
      <c r="AV741" s="271"/>
      <c r="AW741" s="271"/>
      <c r="AX741" s="271"/>
      <c r="AY741" s="271"/>
      <c r="AZ741" s="271"/>
      <c r="BA741" s="271"/>
      <c r="BB741" s="271"/>
      <c r="BC741" s="271"/>
      <c r="BD741" s="271"/>
      <c r="BE741" s="271"/>
      <c r="BF741" s="271"/>
      <c r="BG741" s="271"/>
      <c r="BH741" s="271"/>
      <c r="BI741" s="271"/>
      <c r="BJ741" s="271"/>
      <c r="BK741" s="271"/>
      <c r="BL741" s="271"/>
      <c r="BM741" s="271"/>
      <c r="BN741" s="271"/>
      <c r="BO741" s="271"/>
      <c r="BP741" s="271"/>
      <c r="BQ741" s="271"/>
      <c r="BR741" s="271"/>
      <c r="BS741" s="271"/>
      <c r="BT741" s="271"/>
      <c r="BU741" s="271"/>
      <c r="BV741" s="271"/>
      <c r="BW741" s="271"/>
      <c r="BX741" s="271"/>
      <c r="BY741" s="271"/>
      <c r="BZ741" s="271"/>
      <c r="CA741" s="271"/>
      <c r="CB741" s="271"/>
      <c r="CC741" s="271"/>
      <c r="CD741" s="271"/>
      <c r="CE741" s="271"/>
    </row>
    <row r="742" spans="1:83" ht="12.6" customHeight="1" x14ac:dyDescent="0.25">
      <c r="A742" s="207" t="str">
        <f>RIGHT($C$83,3)&amp;"*"&amp;RIGHT($C$82,4)&amp;"*"&amp;K$55&amp;"*"&amp;"A"</f>
        <v>126*2018*6200*A</v>
      </c>
      <c r="B742" s="270">
        <f>ROUND(K59,0)</f>
        <v>0</v>
      </c>
      <c r="C742" s="272">
        <f>ROUND(K60,2)</f>
        <v>0</v>
      </c>
      <c r="D742" s="270">
        <f>ROUND(K61,0)</f>
        <v>0</v>
      </c>
      <c r="E742" s="270">
        <f>ROUND(K62,0)</f>
        <v>0</v>
      </c>
      <c r="F742" s="270">
        <f>ROUND(K63,0)</f>
        <v>0</v>
      </c>
      <c r="G742" s="270">
        <f>ROUND(K64,0)</f>
        <v>0</v>
      </c>
      <c r="H742" s="270">
        <f>ROUND(K65,0)</f>
        <v>0</v>
      </c>
      <c r="I742" s="270">
        <f>ROUND(K66,0)</f>
        <v>0</v>
      </c>
      <c r="J742" s="270">
        <f>ROUND(K67,0)</f>
        <v>0</v>
      </c>
      <c r="K742" s="270">
        <f>ROUND(K68,0)</f>
        <v>0</v>
      </c>
      <c r="L742" s="270">
        <f>ROUND(K69,0)</f>
        <v>0</v>
      </c>
      <c r="M742" s="270">
        <f>ROUND(K70,0)</f>
        <v>0</v>
      </c>
      <c r="N742" s="270">
        <f>ROUND(K75,0)</f>
        <v>0</v>
      </c>
      <c r="O742" s="270">
        <f>ROUND(K73,0)</f>
        <v>0</v>
      </c>
      <c r="P742" s="270">
        <f>IF(K76&gt;0,ROUND(K76,0),0)</f>
        <v>0</v>
      </c>
      <c r="Q742" s="270">
        <f>IF(K77&gt;0,ROUND(K77,0),0)</f>
        <v>0</v>
      </c>
      <c r="R742" s="270">
        <f>IF(K78&gt;0,ROUND(K78,0),0)</f>
        <v>0</v>
      </c>
      <c r="S742" s="270">
        <f>IF(K79&gt;0,ROUND(K79,0),0)</f>
        <v>0</v>
      </c>
      <c r="T742" s="272">
        <f>IF(K80&gt;0,ROUND(K80,2),0)</f>
        <v>0</v>
      </c>
      <c r="U742" s="270"/>
      <c r="V742" s="271"/>
      <c r="W742" s="270"/>
      <c r="X742" s="270"/>
      <c r="Y742" s="270">
        <f t="shared" si="21"/>
        <v>0</v>
      </c>
      <c r="Z742" s="271"/>
      <c r="AA742" s="271"/>
      <c r="AB742" s="271"/>
      <c r="AC742" s="271"/>
      <c r="AD742" s="271"/>
      <c r="AE742" s="271"/>
      <c r="AF742" s="271"/>
      <c r="AG742" s="271"/>
      <c r="AH742" s="271"/>
      <c r="AI742" s="271"/>
      <c r="AJ742" s="271"/>
      <c r="AK742" s="271"/>
      <c r="AL742" s="271"/>
      <c r="AM742" s="271"/>
      <c r="AN742" s="271"/>
      <c r="AO742" s="271"/>
      <c r="AP742" s="271"/>
      <c r="AQ742" s="271"/>
      <c r="AR742" s="271"/>
      <c r="AS742" s="271"/>
      <c r="AT742" s="271"/>
      <c r="AU742" s="271"/>
      <c r="AV742" s="271"/>
      <c r="AW742" s="271"/>
      <c r="AX742" s="271"/>
      <c r="AY742" s="271"/>
      <c r="AZ742" s="271"/>
      <c r="BA742" s="271"/>
      <c r="BB742" s="271"/>
      <c r="BC742" s="271"/>
      <c r="BD742" s="271"/>
      <c r="BE742" s="271"/>
      <c r="BF742" s="271"/>
      <c r="BG742" s="271"/>
      <c r="BH742" s="271"/>
      <c r="BI742" s="271"/>
      <c r="BJ742" s="271"/>
      <c r="BK742" s="271"/>
      <c r="BL742" s="271"/>
      <c r="BM742" s="271"/>
      <c r="BN742" s="271"/>
      <c r="BO742" s="271"/>
      <c r="BP742" s="271"/>
      <c r="BQ742" s="271"/>
      <c r="BR742" s="271"/>
      <c r="BS742" s="271"/>
      <c r="BT742" s="271"/>
      <c r="BU742" s="271"/>
      <c r="BV742" s="271"/>
      <c r="BW742" s="271"/>
      <c r="BX742" s="271"/>
      <c r="BY742" s="271"/>
      <c r="BZ742" s="271"/>
      <c r="CA742" s="271"/>
      <c r="CB742" s="271"/>
      <c r="CC742" s="271"/>
      <c r="CD742" s="271"/>
      <c r="CE742" s="271"/>
    </row>
    <row r="743" spans="1:83" ht="12.6" customHeight="1" x14ac:dyDescent="0.25">
      <c r="A743" s="207" t="str">
        <f>RIGHT($C$83,3)&amp;"*"&amp;RIGHT($C$82,4)&amp;"*"&amp;L$55&amp;"*"&amp;"A"</f>
        <v>126*2018*6210*A</v>
      </c>
      <c r="B743" s="270">
        <f>ROUND(L59,0)</f>
        <v>0</v>
      </c>
      <c r="C743" s="272">
        <f>ROUND(L60,2)</f>
        <v>0</v>
      </c>
      <c r="D743" s="270">
        <f>ROUND(L61,0)</f>
        <v>0</v>
      </c>
      <c r="E743" s="270">
        <f>ROUND(L62,0)</f>
        <v>0</v>
      </c>
      <c r="F743" s="270">
        <f>ROUND(L63,0)</f>
        <v>0</v>
      </c>
      <c r="G743" s="270">
        <f>ROUND(L64,0)</f>
        <v>0</v>
      </c>
      <c r="H743" s="270">
        <f>ROUND(L65,0)</f>
        <v>0</v>
      </c>
      <c r="I743" s="270">
        <f>ROUND(L66,0)</f>
        <v>0</v>
      </c>
      <c r="J743" s="270">
        <f>ROUND(L67,0)</f>
        <v>0</v>
      </c>
      <c r="K743" s="270">
        <f>ROUND(L68,0)</f>
        <v>0</v>
      </c>
      <c r="L743" s="270">
        <f>ROUND(L69,0)</f>
        <v>0</v>
      </c>
      <c r="M743" s="270">
        <f>ROUND(L70,0)</f>
        <v>0</v>
      </c>
      <c r="N743" s="270">
        <f>ROUND(L75,0)</f>
        <v>0</v>
      </c>
      <c r="O743" s="270">
        <f>ROUND(L73,0)</f>
        <v>0</v>
      </c>
      <c r="P743" s="270">
        <f>IF(L76&gt;0,ROUND(L76,0),0)</f>
        <v>0</v>
      </c>
      <c r="Q743" s="270">
        <f>IF(L77&gt;0,ROUND(L77,0),0)</f>
        <v>0</v>
      </c>
      <c r="R743" s="270">
        <f>IF(L78&gt;0,ROUND(L78,0),0)</f>
        <v>0</v>
      </c>
      <c r="S743" s="270">
        <f>IF(L79&gt;0,ROUND(L79,0),0)</f>
        <v>0</v>
      </c>
      <c r="T743" s="272">
        <f>IF(L80&gt;0,ROUND(L80,2),0)</f>
        <v>0</v>
      </c>
      <c r="U743" s="270"/>
      <c r="V743" s="271"/>
      <c r="W743" s="270"/>
      <c r="X743" s="270"/>
      <c r="Y743" s="270">
        <f t="shared" si="21"/>
        <v>0</v>
      </c>
      <c r="Z743" s="271"/>
      <c r="AA743" s="271"/>
      <c r="AB743" s="271"/>
      <c r="AC743" s="271"/>
      <c r="AD743" s="271"/>
      <c r="AE743" s="271"/>
      <c r="AF743" s="271"/>
      <c r="AG743" s="271"/>
      <c r="AH743" s="271"/>
      <c r="AI743" s="271"/>
      <c r="AJ743" s="271"/>
      <c r="AK743" s="271"/>
      <c r="AL743" s="271"/>
      <c r="AM743" s="271"/>
      <c r="AN743" s="271"/>
      <c r="AO743" s="271"/>
      <c r="AP743" s="271"/>
      <c r="AQ743" s="271"/>
      <c r="AR743" s="271"/>
      <c r="AS743" s="271"/>
      <c r="AT743" s="271"/>
      <c r="AU743" s="271"/>
      <c r="AV743" s="271"/>
      <c r="AW743" s="271"/>
      <c r="AX743" s="271"/>
      <c r="AY743" s="271"/>
      <c r="AZ743" s="271"/>
      <c r="BA743" s="271"/>
      <c r="BB743" s="271"/>
      <c r="BC743" s="271"/>
      <c r="BD743" s="271"/>
      <c r="BE743" s="271"/>
      <c r="BF743" s="271"/>
      <c r="BG743" s="271"/>
      <c r="BH743" s="271"/>
      <c r="BI743" s="271"/>
      <c r="BJ743" s="271"/>
      <c r="BK743" s="271"/>
      <c r="BL743" s="271"/>
      <c r="BM743" s="271"/>
      <c r="BN743" s="271"/>
      <c r="BO743" s="271"/>
      <c r="BP743" s="271"/>
      <c r="BQ743" s="271"/>
      <c r="BR743" s="271"/>
      <c r="BS743" s="271"/>
      <c r="BT743" s="271"/>
      <c r="BU743" s="271"/>
      <c r="BV743" s="271"/>
      <c r="BW743" s="271"/>
      <c r="BX743" s="271"/>
      <c r="BY743" s="271"/>
      <c r="BZ743" s="271"/>
      <c r="CA743" s="271"/>
      <c r="CB743" s="271"/>
      <c r="CC743" s="271"/>
      <c r="CD743" s="271"/>
      <c r="CE743" s="271"/>
    </row>
    <row r="744" spans="1:83" ht="12.6" customHeight="1" x14ac:dyDescent="0.25">
      <c r="A744" s="207" t="str">
        <f>RIGHT($C$83,3)&amp;"*"&amp;RIGHT($C$82,4)&amp;"*"&amp;M$55&amp;"*"&amp;"A"</f>
        <v>126*2018*6330*A</v>
      </c>
      <c r="B744" s="270">
        <f>ROUND(M59,0)</f>
        <v>0</v>
      </c>
      <c r="C744" s="272">
        <f>ROUND(M60,2)</f>
        <v>0</v>
      </c>
      <c r="D744" s="270">
        <f>ROUND(M61,0)</f>
        <v>657</v>
      </c>
      <c r="E744" s="270">
        <f>ROUND(M62,0)</f>
        <v>281</v>
      </c>
      <c r="F744" s="270">
        <f>ROUND(M63,0)</f>
        <v>0</v>
      </c>
      <c r="G744" s="270">
        <f>ROUND(M64,0)</f>
        <v>867</v>
      </c>
      <c r="H744" s="270">
        <f>ROUND(M65,0)</f>
        <v>0</v>
      </c>
      <c r="I744" s="270">
        <f>ROUND(M66,0)</f>
        <v>-1619309</v>
      </c>
      <c r="J744" s="270">
        <f>ROUND(M67,0)</f>
        <v>0</v>
      </c>
      <c r="K744" s="270">
        <f>ROUND(M68,0)</f>
        <v>0</v>
      </c>
      <c r="L744" s="270">
        <f>ROUND(M69,0)</f>
        <v>0</v>
      </c>
      <c r="M744" s="270">
        <f>ROUND(M70,0)</f>
        <v>0</v>
      </c>
      <c r="N744" s="270">
        <f>ROUND(M75,0)</f>
        <v>0</v>
      </c>
      <c r="O744" s="270">
        <f>ROUND(M73,0)</f>
        <v>0</v>
      </c>
      <c r="P744" s="270">
        <f>IF(M76&gt;0,ROUND(M76,0),0)</f>
        <v>0</v>
      </c>
      <c r="Q744" s="270">
        <f>IF(M77&gt;0,ROUND(M77,0),0)</f>
        <v>0</v>
      </c>
      <c r="R744" s="270">
        <f>IF(M78&gt;0,ROUND(M78,0),0)</f>
        <v>0</v>
      </c>
      <c r="S744" s="270">
        <f>IF(M79&gt;0,ROUND(M79,0),0)</f>
        <v>0</v>
      </c>
      <c r="T744" s="272">
        <f>IF(M80&gt;0,ROUND(M80,2),0)</f>
        <v>0</v>
      </c>
      <c r="U744" s="270"/>
      <c r="V744" s="271"/>
      <c r="W744" s="270"/>
      <c r="X744" s="270"/>
      <c r="Y744" s="270">
        <f t="shared" si="21"/>
        <v>-468239</v>
      </c>
      <c r="Z744" s="271"/>
      <c r="AA744" s="271"/>
      <c r="AB744" s="271"/>
      <c r="AC744" s="271"/>
      <c r="AD744" s="271"/>
      <c r="AE744" s="271"/>
      <c r="AF744" s="271"/>
      <c r="AG744" s="271"/>
      <c r="AH744" s="271"/>
      <c r="AI744" s="271"/>
      <c r="AJ744" s="271"/>
      <c r="AK744" s="271"/>
      <c r="AL744" s="271"/>
      <c r="AM744" s="271"/>
      <c r="AN744" s="271"/>
      <c r="AO744" s="271"/>
      <c r="AP744" s="271"/>
      <c r="AQ744" s="271"/>
      <c r="AR744" s="271"/>
      <c r="AS744" s="271"/>
      <c r="AT744" s="271"/>
      <c r="AU744" s="271"/>
      <c r="AV744" s="271"/>
      <c r="AW744" s="271"/>
      <c r="AX744" s="271"/>
      <c r="AY744" s="271"/>
      <c r="AZ744" s="271"/>
      <c r="BA744" s="271"/>
      <c r="BB744" s="271"/>
      <c r="BC744" s="271"/>
      <c r="BD744" s="271"/>
      <c r="BE744" s="271"/>
      <c r="BF744" s="271"/>
      <c r="BG744" s="271"/>
      <c r="BH744" s="271"/>
      <c r="BI744" s="271"/>
      <c r="BJ744" s="271"/>
      <c r="BK744" s="271"/>
      <c r="BL744" s="271"/>
      <c r="BM744" s="271"/>
      <c r="BN744" s="271"/>
      <c r="BO744" s="271"/>
      <c r="BP744" s="271"/>
      <c r="BQ744" s="271"/>
      <c r="BR744" s="271"/>
      <c r="BS744" s="271"/>
      <c r="BT744" s="271"/>
      <c r="BU744" s="271"/>
      <c r="BV744" s="271"/>
      <c r="BW744" s="271"/>
      <c r="BX744" s="271"/>
      <c r="BY744" s="271"/>
      <c r="BZ744" s="271"/>
      <c r="CA744" s="271"/>
      <c r="CB744" s="271"/>
      <c r="CC744" s="271"/>
      <c r="CD744" s="271"/>
      <c r="CE744" s="271"/>
    </row>
    <row r="745" spans="1:83" ht="12.6" customHeight="1" x14ac:dyDescent="0.25">
      <c r="A745" s="207" t="str">
        <f>RIGHT($C$83,3)&amp;"*"&amp;RIGHT($C$82,4)&amp;"*"&amp;N$55&amp;"*"&amp;"A"</f>
        <v>126*2018*6400*A</v>
      </c>
      <c r="B745" s="270">
        <f>ROUND(N59,0)</f>
        <v>0</v>
      </c>
      <c r="C745" s="272">
        <f>ROUND(N60,2)</f>
        <v>0</v>
      </c>
      <c r="D745" s="270">
        <f>ROUND(N61,0)</f>
        <v>0</v>
      </c>
      <c r="E745" s="270">
        <f>ROUND(N62,0)</f>
        <v>0</v>
      </c>
      <c r="F745" s="270">
        <f>ROUND(N63,0)</f>
        <v>0</v>
      </c>
      <c r="G745" s="270">
        <f>ROUND(N64,0)</f>
        <v>0</v>
      </c>
      <c r="H745" s="270">
        <f>ROUND(N65,0)</f>
        <v>0</v>
      </c>
      <c r="I745" s="270">
        <f>ROUND(N66,0)</f>
        <v>0</v>
      </c>
      <c r="J745" s="270">
        <f>ROUND(N67,0)</f>
        <v>0</v>
      </c>
      <c r="K745" s="270">
        <f>ROUND(N68,0)</f>
        <v>0</v>
      </c>
      <c r="L745" s="270">
        <f>ROUND(N69,0)</f>
        <v>0</v>
      </c>
      <c r="M745" s="270">
        <f>ROUND(N70,0)</f>
        <v>0</v>
      </c>
      <c r="N745" s="270">
        <f>ROUND(N75,0)</f>
        <v>0</v>
      </c>
      <c r="O745" s="270">
        <f>ROUND(N73,0)</f>
        <v>0</v>
      </c>
      <c r="P745" s="270">
        <f>IF(N76&gt;0,ROUND(N76,0),0)</f>
        <v>0</v>
      </c>
      <c r="Q745" s="270">
        <f>IF(N77&gt;0,ROUND(N77,0),0)</f>
        <v>0</v>
      </c>
      <c r="R745" s="270">
        <f>IF(N78&gt;0,ROUND(N78,0),0)</f>
        <v>0</v>
      </c>
      <c r="S745" s="270">
        <f>IF(N79&gt;0,ROUND(N79,0),0)</f>
        <v>0</v>
      </c>
      <c r="T745" s="272">
        <f>IF(N80&gt;0,ROUND(N80,2),0)</f>
        <v>0</v>
      </c>
      <c r="U745" s="270"/>
      <c r="V745" s="271"/>
      <c r="W745" s="270"/>
      <c r="X745" s="270"/>
      <c r="Y745" s="270">
        <f t="shared" si="21"/>
        <v>0</v>
      </c>
      <c r="Z745" s="271"/>
      <c r="AA745" s="271"/>
      <c r="AB745" s="271"/>
      <c r="AC745" s="271"/>
      <c r="AD745" s="271"/>
      <c r="AE745" s="271"/>
      <c r="AF745" s="271"/>
      <c r="AG745" s="271"/>
      <c r="AH745" s="271"/>
      <c r="AI745" s="271"/>
      <c r="AJ745" s="271"/>
      <c r="AK745" s="271"/>
      <c r="AL745" s="271"/>
      <c r="AM745" s="271"/>
      <c r="AN745" s="271"/>
      <c r="AO745" s="271"/>
      <c r="AP745" s="271"/>
      <c r="AQ745" s="271"/>
      <c r="AR745" s="271"/>
      <c r="AS745" s="271"/>
      <c r="AT745" s="271"/>
      <c r="AU745" s="271"/>
      <c r="AV745" s="271"/>
      <c r="AW745" s="271"/>
      <c r="AX745" s="271"/>
      <c r="AY745" s="271"/>
      <c r="AZ745" s="271"/>
      <c r="BA745" s="271"/>
      <c r="BB745" s="271"/>
      <c r="BC745" s="271"/>
      <c r="BD745" s="271"/>
      <c r="BE745" s="271"/>
      <c r="BF745" s="271"/>
      <c r="BG745" s="271"/>
      <c r="BH745" s="271"/>
      <c r="BI745" s="271"/>
      <c r="BJ745" s="271"/>
      <c r="BK745" s="271"/>
      <c r="BL745" s="271"/>
      <c r="BM745" s="271"/>
      <c r="BN745" s="271"/>
      <c r="BO745" s="271"/>
      <c r="BP745" s="271"/>
      <c r="BQ745" s="271"/>
      <c r="BR745" s="271"/>
      <c r="BS745" s="271"/>
      <c r="BT745" s="271"/>
      <c r="BU745" s="271"/>
      <c r="BV745" s="271"/>
      <c r="BW745" s="271"/>
      <c r="BX745" s="271"/>
      <c r="BY745" s="271"/>
      <c r="BZ745" s="271"/>
      <c r="CA745" s="271"/>
      <c r="CB745" s="271"/>
      <c r="CC745" s="271"/>
      <c r="CD745" s="271"/>
      <c r="CE745" s="271"/>
    </row>
    <row r="746" spans="1:83" ht="12.6" customHeight="1" x14ac:dyDescent="0.25">
      <c r="A746" s="207" t="str">
        <f>RIGHT($C$83,3)&amp;"*"&amp;RIGHT($C$82,4)&amp;"*"&amp;O$55&amp;"*"&amp;"A"</f>
        <v>126*2018*7010*A</v>
      </c>
      <c r="B746" s="270">
        <f>ROUND(O59,0)</f>
        <v>0</v>
      </c>
      <c r="C746" s="272">
        <f>ROUND(O60,2)</f>
        <v>39.54</v>
      </c>
      <c r="D746" s="270">
        <f>ROUND(O61,0)</f>
        <v>3416773</v>
      </c>
      <c r="E746" s="270">
        <f>ROUND(O62,0)</f>
        <v>951699</v>
      </c>
      <c r="F746" s="270">
        <f>ROUND(O63,0)</f>
        <v>58212</v>
      </c>
      <c r="G746" s="270">
        <f>ROUND(O64,0)</f>
        <v>335797</v>
      </c>
      <c r="H746" s="270">
        <f>ROUND(O65,0)</f>
        <v>1516</v>
      </c>
      <c r="I746" s="270">
        <f>ROUND(O66,0)</f>
        <v>173893</v>
      </c>
      <c r="J746" s="270">
        <f>ROUND(O67,0)</f>
        <v>227665</v>
      </c>
      <c r="K746" s="270">
        <f>ROUND(O68,0)</f>
        <v>4319</v>
      </c>
      <c r="L746" s="270">
        <f>ROUND(O69,0)</f>
        <v>27704</v>
      </c>
      <c r="M746" s="270">
        <f>ROUND(O70,0)</f>
        <v>4800</v>
      </c>
      <c r="N746" s="270">
        <f>ROUND(O75,0)</f>
        <v>29882058</v>
      </c>
      <c r="O746" s="270">
        <f>ROUND(O73,0)</f>
        <v>28147172</v>
      </c>
      <c r="P746" s="270">
        <f>IF(O76&gt;0,ROUND(O76,0),0)</f>
        <v>22556</v>
      </c>
      <c r="Q746" s="270">
        <f>IF(O77&gt;0,ROUND(O77,0),0)</f>
        <v>0</v>
      </c>
      <c r="R746" s="270">
        <f>IF(O78&gt;0,ROUND(O78,0),0)</f>
        <v>7156</v>
      </c>
      <c r="S746" s="270">
        <f>IF(O79&gt;0,ROUND(O79,0),0)</f>
        <v>66633</v>
      </c>
      <c r="T746" s="272">
        <f>IF(O80&gt;0,ROUND(O80,2),0)</f>
        <v>26.42</v>
      </c>
      <c r="U746" s="270"/>
      <c r="V746" s="271"/>
      <c r="W746" s="270"/>
      <c r="X746" s="270"/>
      <c r="Y746" s="270">
        <f t="shared" si="21"/>
        <v>3919368</v>
      </c>
      <c r="Z746" s="271"/>
      <c r="AA746" s="271"/>
      <c r="AB746" s="271"/>
      <c r="AC746" s="271"/>
      <c r="AD746" s="271"/>
      <c r="AE746" s="271"/>
      <c r="AF746" s="271"/>
      <c r="AG746" s="271"/>
      <c r="AH746" s="271"/>
      <c r="AI746" s="271"/>
      <c r="AJ746" s="271"/>
      <c r="AK746" s="271"/>
      <c r="AL746" s="271"/>
      <c r="AM746" s="271"/>
      <c r="AN746" s="271"/>
      <c r="AO746" s="271"/>
      <c r="AP746" s="271"/>
      <c r="AQ746" s="271"/>
      <c r="AR746" s="271"/>
      <c r="AS746" s="271"/>
      <c r="AT746" s="271"/>
      <c r="AU746" s="271"/>
      <c r="AV746" s="271"/>
      <c r="AW746" s="271"/>
      <c r="AX746" s="271"/>
      <c r="AY746" s="271"/>
      <c r="AZ746" s="271"/>
      <c r="BA746" s="271"/>
      <c r="BB746" s="271"/>
      <c r="BC746" s="271"/>
      <c r="BD746" s="271"/>
      <c r="BE746" s="271"/>
      <c r="BF746" s="271"/>
      <c r="BG746" s="271"/>
      <c r="BH746" s="271"/>
      <c r="BI746" s="271"/>
      <c r="BJ746" s="271"/>
      <c r="BK746" s="271"/>
      <c r="BL746" s="271"/>
      <c r="BM746" s="271"/>
      <c r="BN746" s="271"/>
      <c r="BO746" s="271"/>
      <c r="BP746" s="271"/>
      <c r="BQ746" s="271"/>
      <c r="BR746" s="271"/>
      <c r="BS746" s="271"/>
      <c r="BT746" s="271"/>
      <c r="BU746" s="271"/>
      <c r="BV746" s="271"/>
      <c r="BW746" s="271"/>
      <c r="BX746" s="271"/>
      <c r="BY746" s="271"/>
      <c r="BZ746" s="271"/>
      <c r="CA746" s="271"/>
      <c r="CB746" s="271"/>
      <c r="CC746" s="271"/>
      <c r="CD746" s="271"/>
      <c r="CE746" s="271"/>
    </row>
    <row r="747" spans="1:83" ht="12.6" customHeight="1" x14ac:dyDescent="0.25">
      <c r="A747" s="207" t="str">
        <f>RIGHT($C$83,3)&amp;"*"&amp;RIGHT($C$82,4)&amp;"*"&amp;P$55&amp;"*"&amp;"A"</f>
        <v>126*2018*7020*A</v>
      </c>
      <c r="B747" s="270">
        <f>ROUND(P59,0)</f>
        <v>395437</v>
      </c>
      <c r="C747" s="272">
        <f>ROUND(P60,2)</f>
        <v>51.67</v>
      </c>
      <c r="D747" s="270">
        <f>ROUND(P61,0)</f>
        <v>5894424</v>
      </c>
      <c r="E747" s="270">
        <f>ROUND(P62,0)</f>
        <v>1353423</v>
      </c>
      <c r="F747" s="270">
        <f>ROUND(P63,0)</f>
        <v>598176</v>
      </c>
      <c r="G747" s="270">
        <f>ROUND(P64,0)</f>
        <v>7947207</v>
      </c>
      <c r="H747" s="270">
        <f>ROUND(P65,0)</f>
        <v>4165</v>
      </c>
      <c r="I747" s="270">
        <f>ROUND(P66,0)</f>
        <v>1442437</v>
      </c>
      <c r="J747" s="270">
        <f>ROUND(P67,0)</f>
        <v>2366780</v>
      </c>
      <c r="K747" s="270">
        <f>ROUND(P68,0)</f>
        <v>374443</v>
      </c>
      <c r="L747" s="270">
        <f>ROUND(P69,0)</f>
        <v>26378</v>
      </c>
      <c r="M747" s="270">
        <f>ROUND(P70,0)</f>
        <v>53575</v>
      </c>
      <c r="N747" s="270">
        <f>ROUND(P75,0)</f>
        <v>195776283</v>
      </c>
      <c r="O747" s="270">
        <f>ROUND(P73,0)</f>
        <v>92738892</v>
      </c>
      <c r="P747" s="270">
        <f>IF(P76&gt;0,ROUND(P76,0),0)</f>
        <v>21543</v>
      </c>
      <c r="Q747" s="270">
        <f>IF(P77&gt;0,ROUND(P77,0),0)</f>
        <v>0</v>
      </c>
      <c r="R747" s="270">
        <f>IF(P78&gt;0,ROUND(P78,0),0)</f>
        <v>6835</v>
      </c>
      <c r="S747" s="270">
        <f>IF(P79&gt;0,ROUND(P79,0),0)</f>
        <v>102508</v>
      </c>
      <c r="T747" s="272">
        <f>IF(P80&gt;0,ROUND(P80,2),0)</f>
        <v>18.34</v>
      </c>
      <c r="U747" s="270"/>
      <c r="V747" s="271"/>
      <c r="W747" s="270"/>
      <c r="X747" s="270"/>
      <c r="Y747" s="270">
        <f t="shared" si="21"/>
        <v>11547142</v>
      </c>
      <c r="Z747" s="271"/>
      <c r="AA747" s="271"/>
      <c r="AB747" s="271"/>
      <c r="AC747" s="271"/>
      <c r="AD747" s="271"/>
      <c r="AE747" s="271"/>
      <c r="AF747" s="271"/>
      <c r="AG747" s="271"/>
      <c r="AH747" s="271"/>
      <c r="AI747" s="271"/>
      <c r="AJ747" s="271"/>
      <c r="AK747" s="271"/>
      <c r="AL747" s="271"/>
      <c r="AM747" s="271"/>
      <c r="AN747" s="271"/>
      <c r="AO747" s="271"/>
      <c r="AP747" s="271"/>
      <c r="AQ747" s="271"/>
      <c r="AR747" s="271"/>
      <c r="AS747" s="271"/>
      <c r="AT747" s="271"/>
      <c r="AU747" s="271"/>
      <c r="AV747" s="271"/>
      <c r="AW747" s="271"/>
      <c r="AX747" s="271"/>
      <c r="AY747" s="271"/>
      <c r="AZ747" s="271"/>
      <c r="BA747" s="271"/>
      <c r="BB747" s="271"/>
      <c r="BC747" s="271"/>
      <c r="BD747" s="271"/>
      <c r="BE747" s="271"/>
      <c r="BF747" s="271"/>
      <c r="BG747" s="271"/>
      <c r="BH747" s="271"/>
      <c r="BI747" s="271"/>
      <c r="BJ747" s="271"/>
      <c r="BK747" s="271"/>
      <c r="BL747" s="271"/>
      <c r="BM747" s="271"/>
      <c r="BN747" s="271"/>
      <c r="BO747" s="271"/>
      <c r="BP747" s="271"/>
      <c r="BQ747" s="271"/>
      <c r="BR747" s="271"/>
      <c r="BS747" s="271"/>
      <c r="BT747" s="271"/>
      <c r="BU747" s="271"/>
      <c r="BV747" s="271"/>
      <c r="BW747" s="271"/>
      <c r="BX747" s="271"/>
      <c r="BY747" s="271"/>
      <c r="BZ747" s="271"/>
      <c r="CA747" s="271"/>
      <c r="CB747" s="271"/>
      <c r="CC747" s="271"/>
      <c r="CD747" s="271"/>
      <c r="CE747" s="271"/>
    </row>
    <row r="748" spans="1:83" ht="12.6" customHeight="1" x14ac:dyDescent="0.25">
      <c r="A748" s="207" t="str">
        <f>RIGHT($C$83,3)&amp;"*"&amp;RIGHT($C$82,4)&amp;"*"&amp;Q$55&amp;"*"&amp;"A"</f>
        <v>126*2018*7030*A</v>
      </c>
      <c r="B748" s="270">
        <f>ROUND(Q59,0)</f>
        <v>1164800</v>
      </c>
      <c r="C748" s="272">
        <f>ROUND(Q60,2)</f>
        <v>26.28</v>
      </c>
      <c r="D748" s="270">
        <f>ROUND(Q61,0)</f>
        <v>3081713</v>
      </c>
      <c r="E748" s="270">
        <f>ROUND(Q62,0)</f>
        <v>747633</v>
      </c>
      <c r="F748" s="270">
        <f>ROUND(Q63,0)</f>
        <v>0</v>
      </c>
      <c r="G748" s="270">
        <f>ROUND(Q64,0)</f>
        <v>167516</v>
      </c>
      <c r="H748" s="270">
        <f>ROUND(Q65,0)</f>
        <v>1671</v>
      </c>
      <c r="I748" s="270">
        <f>ROUND(Q66,0)</f>
        <v>42952</v>
      </c>
      <c r="J748" s="270">
        <f>ROUND(Q67,0)</f>
        <v>87662</v>
      </c>
      <c r="K748" s="270">
        <f>ROUND(Q68,0)</f>
        <v>9061</v>
      </c>
      <c r="L748" s="270">
        <f>ROUND(Q69,0)</f>
        <v>5614</v>
      </c>
      <c r="M748" s="270">
        <f>ROUND(Q70,0)</f>
        <v>39</v>
      </c>
      <c r="N748" s="270">
        <f>ROUND(Q75,0)</f>
        <v>21990188</v>
      </c>
      <c r="O748" s="270">
        <f>ROUND(Q73,0)</f>
        <v>9647796</v>
      </c>
      <c r="P748" s="270">
        <f>IF(Q76&gt;0,ROUND(Q76,0),0)</f>
        <v>2295</v>
      </c>
      <c r="Q748" s="270">
        <f>IF(Q77&gt;0,ROUND(Q77,0),0)</f>
        <v>6874</v>
      </c>
      <c r="R748" s="270">
        <f>IF(Q78&gt;0,ROUND(Q78,0),0)</f>
        <v>728</v>
      </c>
      <c r="S748" s="270">
        <f>IF(Q79&gt;0,ROUND(Q79,0),0)</f>
        <v>12097</v>
      </c>
      <c r="T748" s="272">
        <f>IF(Q80&gt;0,ROUND(Q80,2),0)</f>
        <v>16.11</v>
      </c>
      <c r="U748" s="270"/>
      <c r="V748" s="271"/>
      <c r="W748" s="270"/>
      <c r="X748" s="270"/>
      <c r="Y748" s="270">
        <f t="shared" si="21"/>
        <v>2350959</v>
      </c>
      <c r="Z748" s="271"/>
      <c r="AA748" s="271"/>
      <c r="AB748" s="271"/>
      <c r="AC748" s="271"/>
      <c r="AD748" s="271"/>
      <c r="AE748" s="271"/>
      <c r="AF748" s="271"/>
      <c r="AG748" s="271"/>
      <c r="AH748" s="271"/>
      <c r="AI748" s="271"/>
      <c r="AJ748" s="271"/>
      <c r="AK748" s="271"/>
      <c r="AL748" s="271"/>
      <c r="AM748" s="271"/>
      <c r="AN748" s="271"/>
      <c r="AO748" s="271"/>
      <c r="AP748" s="271"/>
      <c r="AQ748" s="271"/>
      <c r="AR748" s="271"/>
      <c r="AS748" s="271"/>
      <c r="AT748" s="271"/>
      <c r="AU748" s="271"/>
      <c r="AV748" s="271"/>
      <c r="AW748" s="271"/>
      <c r="AX748" s="271"/>
      <c r="AY748" s="271"/>
      <c r="AZ748" s="271"/>
      <c r="BA748" s="271"/>
      <c r="BB748" s="271"/>
      <c r="BC748" s="271"/>
      <c r="BD748" s="271"/>
      <c r="BE748" s="271"/>
      <c r="BF748" s="271"/>
      <c r="BG748" s="271"/>
      <c r="BH748" s="271"/>
      <c r="BI748" s="271"/>
      <c r="BJ748" s="271"/>
      <c r="BK748" s="271"/>
      <c r="BL748" s="271"/>
      <c r="BM748" s="271"/>
      <c r="BN748" s="271"/>
      <c r="BO748" s="271"/>
      <c r="BP748" s="271"/>
      <c r="BQ748" s="271"/>
      <c r="BR748" s="271"/>
      <c r="BS748" s="271"/>
      <c r="BT748" s="271"/>
      <c r="BU748" s="271"/>
      <c r="BV748" s="271"/>
      <c r="BW748" s="271"/>
      <c r="BX748" s="271"/>
      <c r="BY748" s="271"/>
      <c r="BZ748" s="271"/>
      <c r="CA748" s="271"/>
      <c r="CB748" s="271"/>
      <c r="CC748" s="271"/>
      <c r="CD748" s="271"/>
      <c r="CE748" s="271"/>
    </row>
    <row r="749" spans="1:83" ht="12.6" customHeight="1" x14ac:dyDescent="0.25">
      <c r="A749" s="207" t="str">
        <f>RIGHT($C$83,3)&amp;"*"&amp;RIGHT($C$82,4)&amp;"*"&amp;R$55&amp;"*"&amp;"A"</f>
        <v>126*2018*7040*A</v>
      </c>
      <c r="B749" s="270">
        <f>ROUND(R59,0)</f>
        <v>0</v>
      </c>
      <c r="C749" s="272">
        <f>ROUND(R60,2)</f>
        <v>0.22</v>
      </c>
      <c r="D749" s="270">
        <f>ROUND(R61,0)</f>
        <v>0</v>
      </c>
      <c r="E749" s="270">
        <f>ROUND(R62,0)</f>
        <v>0</v>
      </c>
      <c r="F749" s="270">
        <f>ROUND(R63,0)</f>
        <v>0</v>
      </c>
      <c r="G749" s="270">
        <f>ROUND(R64,0)</f>
        <v>0</v>
      </c>
      <c r="H749" s="270">
        <f>ROUND(R65,0)</f>
        <v>0</v>
      </c>
      <c r="I749" s="270">
        <f>ROUND(R66,0)</f>
        <v>0</v>
      </c>
      <c r="J749" s="270">
        <f>ROUND(R67,0)</f>
        <v>0</v>
      </c>
      <c r="K749" s="270">
        <f>ROUND(R68,0)</f>
        <v>0</v>
      </c>
      <c r="L749" s="270">
        <f>ROUND(R69,0)</f>
        <v>0</v>
      </c>
      <c r="M749" s="270">
        <f>ROUND(R70,0)</f>
        <v>0</v>
      </c>
      <c r="N749" s="270">
        <f>ROUND(R75,0)</f>
        <v>0</v>
      </c>
      <c r="O749" s="270">
        <f>ROUND(R73,0)</f>
        <v>0</v>
      </c>
      <c r="P749" s="270">
        <f>IF(R76&gt;0,ROUND(R76,0),0)</f>
        <v>0</v>
      </c>
      <c r="Q749" s="270">
        <f>IF(R77&gt;0,ROUND(R77,0),0)</f>
        <v>0</v>
      </c>
      <c r="R749" s="270">
        <f>IF(R78&gt;0,ROUND(R78,0),0)</f>
        <v>0</v>
      </c>
      <c r="S749" s="270">
        <f>IF(R79&gt;0,ROUND(R79,0),0)</f>
        <v>0</v>
      </c>
      <c r="T749" s="272">
        <f>IF(R80&gt;0,ROUND(R80,2),0)</f>
        <v>0</v>
      </c>
      <c r="U749" s="270"/>
      <c r="V749" s="271"/>
      <c r="W749" s="270"/>
      <c r="X749" s="270"/>
      <c r="Y749" s="270">
        <f t="shared" si="21"/>
        <v>1426</v>
      </c>
      <c r="Z749" s="271"/>
      <c r="AA749" s="271"/>
      <c r="AB749" s="271"/>
      <c r="AC749" s="271"/>
      <c r="AD749" s="271"/>
      <c r="AE749" s="271"/>
      <c r="AF749" s="271"/>
      <c r="AG749" s="271"/>
      <c r="AH749" s="271"/>
      <c r="AI749" s="271"/>
      <c r="AJ749" s="271"/>
      <c r="AK749" s="271"/>
      <c r="AL749" s="271"/>
      <c r="AM749" s="271"/>
      <c r="AN749" s="271"/>
      <c r="AO749" s="271"/>
      <c r="AP749" s="271"/>
      <c r="AQ749" s="271"/>
      <c r="AR749" s="271"/>
      <c r="AS749" s="271"/>
      <c r="AT749" s="271"/>
      <c r="AU749" s="271"/>
      <c r="AV749" s="271"/>
      <c r="AW749" s="271"/>
      <c r="AX749" s="271"/>
      <c r="AY749" s="271"/>
      <c r="AZ749" s="271"/>
      <c r="BA749" s="271"/>
      <c r="BB749" s="271"/>
      <c r="BC749" s="271"/>
      <c r="BD749" s="271"/>
      <c r="BE749" s="271"/>
      <c r="BF749" s="271"/>
      <c r="BG749" s="271"/>
      <c r="BH749" s="271"/>
      <c r="BI749" s="271"/>
      <c r="BJ749" s="271"/>
      <c r="BK749" s="271"/>
      <c r="BL749" s="271"/>
      <c r="BM749" s="271"/>
      <c r="BN749" s="271"/>
      <c r="BO749" s="271"/>
      <c r="BP749" s="271"/>
      <c r="BQ749" s="271"/>
      <c r="BR749" s="271"/>
      <c r="BS749" s="271"/>
      <c r="BT749" s="271"/>
      <c r="BU749" s="271"/>
      <c r="BV749" s="271"/>
      <c r="BW749" s="271"/>
      <c r="BX749" s="271"/>
      <c r="BY749" s="271"/>
      <c r="BZ749" s="271"/>
      <c r="CA749" s="271"/>
      <c r="CB749" s="271"/>
      <c r="CC749" s="271"/>
      <c r="CD749" s="271"/>
      <c r="CE749" s="271"/>
    </row>
    <row r="750" spans="1:83" ht="12.6" customHeight="1" x14ac:dyDescent="0.25">
      <c r="A750" s="207" t="str">
        <f>RIGHT($C$83,3)&amp;"*"&amp;RIGHT($C$82,4)&amp;"*"&amp;S$55&amp;"*"&amp;"A"</f>
        <v>126*2018*7050*A</v>
      </c>
      <c r="B750" s="270"/>
      <c r="C750" s="272">
        <f>ROUND(S60,2)</f>
        <v>17.600000000000001</v>
      </c>
      <c r="D750" s="270">
        <f>ROUND(S61,0)</f>
        <v>872995</v>
      </c>
      <c r="E750" s="270">
        <f>ROUND(S62,0)</f>
        <v>379025</v>
      </c>
      <c r="F750" s="270">
        <f>ROUND(S63,0)</f>
        <v>0</v>
      </c>
      <c r="G750" s="270">
        <f>ROUND(S64,0)</f>
        <v>-216998</v>
      </c>
      <c r="H750" s="270">
        <f>ROUND(S65,0)</f>
        <v>75</v>
      </c>
      <c r="I750" s="270">
        <f>ROUND(S66,0)</f>
        <v>99812</v>
      </c>
      <c r="J750" s="270">
        <f>ROUND(S67,0)</f>
        <v>30495</v>
      </c>
      <c r="K750" s="270">
        <f>ROUND(S68,0)</f>
        <v>5025</v>
      </c>
      <c r="L750" s="270">
        <f>ROUND(S69,0)</f>
        <v>3650</v>
      </c>
      <c r="M750" s="270">
        <f>ROUND(S70,0)</f>
        <v>0</v>
      </c>
      <c r="N750" s="270">
        <f>ROUND(S75,0)</f>
        <v>0</v>
      </c>
      <c r="O750" s="270">
        <f>ROUND(S73,0)</f>
        <v>0</v>
      </c>
      <c r="P750" s="270">
        <f>IF(S76&gt;0,ROUND(S76,0),0)</f>
        <v>4986</v>
      </c>
      <c r="Q750" s="270">
        <f>IF(S77&gt;0,ROUND(S77,0),0)</f>
        <v>0</v>
      </c>
      <c r="R750" s="270">
        <f>IF(S78&gt;0,ROUND(S78,0),0)</f>
        <v>1582</v>
      </c>
      <c r="S750" s="270">
        <f>IF(S79&gt;0,ROUND(S79,0),0)</f>
        <v>2945</v>
      </c>
      <c r="T750" s="272">
        <f>IF(S80&gt;0,ROUND(S80,2),0)</f>
        <v>0</v>
      </c>
      <c r="U750" s="270"/>
      <c r="V750" s="271"/>
      <c r="W750" s="270"/>
      <c r="X750" s="270"/>
      <c r="Y750" s="270">
        <f t="shared" si="21"/>
        <v>696159</v>
      </c>
      <c r="Z750" s="271"/>
      <c r="AA750" s="271"/>
      <c r="AB750" s="271"/>
      <c r="AC750" s="271"/>
      <c r="AD750" s="271"/>
      <c r="AE750" s="271"/>
      <c r="AF750" s="271"/>
      <c r="AG750" s="271"/>
      <c r="AH750" s="271"/>
      <c r="AI750" s="271"/>
      <c r="AJ750" s="271"/>
      <c r="AK750" s="271"/>
      <c r="AL750" s="271"/>
      <c r="AM750" s="271"/>
      <c r="AN750" s="271"/>
      <c r="AO750" s="271"/>
      <c r="AP750" s="271"/>
      <c r="AQ750" s="271"/>
      <c r="AR750" s="271"/>
      <c r="AS750" s="271"/>
      <c r="AT750" s="271"/>
      <c r="AU750" s="271"/>
      <c r="AV750" s="271"/>
      <c r="AW750" s="271"/>
      <c r="AX750" s="271"/>
      <c r="AY750" s="271"/>
      <c r="AZ750" s="271"/>
      <c r="BA750" s="271"/>
      <c r="BB750" s="271"/>
      <c r="BC750" s="271"/>
      <c r="BD750" s="271"/>
      <c r="BE750" s="271"/>
      <c r="BF750" s="271"/>
      <c r="BG750" s="271"/>
      <c r="BH750" s="271"/>
      <c r="BI750" s="271"/>
      <c r="BJ750" s="271"/>
      <c r="BK750" s="271"/>
      <c r="BL750" s="271"/>
      <c r="BM750" s="271"/>
      <c r="BN750" s="271"/>
      <c r="BO750" s="271"/>
      <c r="BP750" s="271"/>
      <c r="BQ750" s="271"/>
      <c r="BR750" s="271"/>
      <c r="BS750" s="271"/>
      <c r="BT750" s="271"/>
      <c r="BU750" s="271"/>
      <c r="BV750" s="271"/>
      <c r="BW750" s="271"/>
      <c r="BX750" s="271"/>
      <c r="BY750" s="271"/>
      <c r="BZ750" s="271"/>
      <c r="CA750" s="271"/>
      <c r="CB750" s="271"/>
      <c r="CC750" s="271"/>
      <c r="CD750" s="271"/>
      <c r="CE750" s="271"/>
    </row>
    <row r="751" spans="1:83" ht="12.6" customHeight="1" x14ac:dyDescent="0.25">
      <c r="A751" s="207" t="str">
        <f>RIGHT($C$83,3)&amp;"*"&amp;RIGHT($C$82,4)&amp;"*"&amp;T$55&amp;"*"&amp;"A"</f>
        <v>126*2018*7060*A</v>
      </c>
      <c r="B751" s="270"/>
      <c r="C751" s="272">
        <f>ROUND(T60,2)</f>
        <v>1.37</v>
      </c>
      <c r="D751" s="270">
        <f>ROUND(T61,0)</f>
        <v>210047</v>
      </c>
      <c r="E751" s="270">
        <f>ROUND(T62,0)</f>
        <v>50127</v>
      </c>
      <c r="F751" s="270">
        <f>ROUND(T63,0)</f>
        <v>0</v>
      </c>
      <c r="G751" s="270">
        <f>ROUND(T64,0)</f>
        <v>179951</v>
      </c>
      <c r="H751" s="270">
        <f>ROUND(T65,0)</f>
        <v>358</v>
      </c>
      <c r="I751" s="270">
        <f>ROUND(T66,0)</f>
        <v>0</v>
      </c>
      <c r="J751" s="270">
        <f>ROUND(T67,0)</f>
        <v>12472</v>
      </c>
      <c r="K751" s="270">
        <f>ROUND(T68,0)</f>
        <v>0</v>
      </c>
      <c r="L751" s="270">
        <f>ROUND(T69,0)</f>
        <v>600</v>
      </c>
      <c r="M751" s="270">
        <f>ROUND(T70,0)</f>
        <v>870</v>
      </c>
      <c r="N751" s="270">
        <f>ROUND(T75,0)</f>
        <v>2034703</v>
      </c>
      <c r="O751" s="270">
        <f>ROUND(T73,0)</f>
        <v>1968399</v>
      </c>
      <c r="P751" s="270">
        <f>IF(T76&gt;0,ROUND(T76,0),0)</f>
        <v>0</v>
      </c>
      <c r="Q751" s="270">
        <f>IF(T77&gt;0,ROUND(T77,0),0)</f>
        <v>172</v>
      </c>
      <c r="R751" s="270">
        <f>IF(T78&gt;0,ROUND(T78,0),0)</f>
        <v>0</v>
      </c>
      <c r="S751" s="270">
        <f>IF(T79&gt;0,ROUND(T79,0),0)</f>
        <v>0</v>
      </c>
      <c r="T751" s="272">
        <f>IF(T80&gt;0,ROUND(T80,2),0)</f>
        <v>1.33</v>
      </c>
      <c r="U751" s="270"/>
      <c r="V751" s="271"/>
      <c r="W751" s="270"/>
      <c r="X751" s="270"/>
      <c r="Y751" s="270">
        <f t="shared" si="21"/>
        <v>208135</v>
      </c>
      <c r="Z751" s="271"/>
      <c r="AA751" s="271"/>
      <c r="AB751" s="271"/>
      <c r="AC751" s="271"/>
      <c r="AD751" s="271"/>
      <c r="AE751" s="271"/>
      <c r="AF751" s="271"/>
      <c r="AG751" s="271"/>
      <c r="AH751" s="271"/>
      <c r="AI751" s="271"/>
      <c r="AJ751" s="271"/>
      <c r="AK751" s="271"/>
      <c r="AL751" s="271"/>
      <c r="AM751" s="271"/>
      <c r="AN751" s="271"/>
      <c r="AO751" s="271"/>
      <c r="AP751" s="271"/>
      <c r="AQ751" s="271"/>
      <c r="AR751" s="271"/>
      <c r="AS751" s="271"/>
      <c r="AT751" s="271"/>
      <c r="AU751" s="271"/>
      <c r="AV751" s="271"/>
      <c r="AW751" s="271"/>
      <c r="AX751" s="271"/>
      <c r="AY751" s="271"/>
      <c r="AZ751" s="271"/>
      <c r="BA751" s="271"/>
      <c r="BB751" s="271"/>
      <c r="BC751" s="271"/>
      <c r="BD751" s="271"/>
      <c r="BE751" s="271"/>
      <c r="BF751" s="271"/>
      <c r="BG751" s="271"/>
      <c r="BH751" s="271"/>
      <c r="BI751" s="271"/>
      <c r="BJ751" s="271"/>
      <c r="BK751" s="271"/>
      <c r="BL751" s="271"/>
      <c r="BM751" s="271"/>
      <c r="BN751" s="271"/>
      <c r="BO751" s="271"/>
      <c r="BP751" s="271"/>
      <c r="BQ751" s="271"/>
      <c r="BR751" s="271"/>
      <c r="BS751" s="271"/>
      <c r="BT751" s="271"/>
      <c r="BU751" s="271"/>
      <c r="BV751" s="271"/>
      <c r="BW751" s="271"/>
      <c r="BX751" s="271"/>
      <c r="BY751" s="271"/>
      <c r="BZ751" s="271"/>
      <c r="CA751" s="271"/>
      <c r="CB751" s="271"/>
      <c r="CC751" s="271"/>
      <c r="CD751" s="271"/>
      <c r="CE751" s="271"/>
    </row>
    <row r="752" spans="1:83" ht="12.6" customHeight="1" x14ac:dyDescent="0.25">
      <c r="A752" s="207" t="str">
        <f>RIGHT($C$83,3)&amp;"*"&amp;RIGHT($C$82,4)&amp;"*"&amp;U$55&amp;"*"&amp;"A"</f>
        <v>126*2018*7070*A</v>
      </c>
      <c r="B752" s="270">
        <f>ROUND(U59,0)</f>
        <v>434927</v>
      </c>
      <c r="C752" s="272">
        <f>ROUND(U60,2)</f>
        <v>32.479999999999997</v>
      </c>
      <c r="D752" s="270">
        <f>ROUND(U61,0)</f>
        <v>2201653</v>
      </c>
      <c r="E752" s="270">
        <f>ROUND(U62,0)</f>
        <v>743858</v>
      </c>
      <c r="F752" s="270">
        <f>ROUND(U63,0)</f>
        <v>35382</v>
      </c>
      <c r="G752" s="270">
        <f>ROUND(U64,0)</f>
        <v>2143827</v>
      </c>
      <c r="H752" s="270">
        <f>ROUND(U65,0)</f>
        <v>-97</v>
      </c>
      <c r="I752" s="270">
        <f>ROUND(U66,0)</f>
        <v>1122534</v>
      </c>
      <c r="J752" s="270">
        <f>ROUND(U67,0)</f>
        <v>89622</v>
      </c>
      <c r="K752" s="270">
        <f>ROUND(U68,0)</f>
        <v>59064</v>
      </c>
      <c r="L752" s="270">
        <f>ROUND(U69,0)</f>
        <v>120037</v>
      </c>
      <c r="M752" s="270">
        <f>ROUND(U70,0)</f>
        <v>680278</v>
      </c>
      <c r="N752" s="270">
        <f>ROUND(U75,0)</f>
        <v>53920619</v>
      </c>
      <c r="O752" s="270">
        <f>ROUND(U73,0)</f>
        <v>30037000</v>
      </c>
      <c r="P752" s="270">
        <f>IF(U76&gt;0,ROUND(U76,0),0)</f>
        <v>8756</v>
      </c>
      <c r="Q752" s="270">
        <f>IF(U77&gt;0,ROUND(U77,0),0)</f>
        <v>0</v>
      </c>
      <c r="R752" s="270">
        <f>IF(U78&gt;0,ROUND(U78,0),0)</f>
        <v>2778</v>
      </c>
      <c r="S752" s="270">
        <f>IF(U79&gt;0,ROUND(U79,0),0)</f>
        <v>254</v>
      </c>
      <c r="T752" s="272">
        <f>IF(U80&gt;0,ROUND(U80,2),0)</f>
        <v>0</v>
      </c>
      <c r="U752" s="270"/>
      <c r="V752" s="271"/>
      <c r="W752" s="270"/>
      <c r="X752" s="270"/>
      <c r="Y752" s="270">
        <f t="shared" si="21"/>
        <v>3449771</v>
      </c>
      <c r="Z752" s="271"/>
      <c r="AA752" s="271"/>
      <c r="AB752" s="271"/>
      <c r="AC752" s="271"/>
      <c r="AD752" s="271"/>
      <c r="AE752" s="271"/>
      <c r="AF752" s="271"/>
      <c r="AG752" s="271"/>
      <c r="AH752" s="271"/>
      <c r="AI752" s="271"/>
      <c r="AJ752" s="271"/>
      <c r="AK752" s="271"/>
      <c r="AL752" s="271"/>
      <c r="AM752" s="271"/>
      <c r="AN752" s="271"/>
      <c r="AO752" s="271"/>
      <c r="AP752" s="271"/>
      <c r="AQ752" s="271"/>
      <c r="AR752" s="271"/>
      <c r="AS752" s="271"/>
      <c r="AT752" s="271"/>
      <c r="AU752" s="271"/>
      <c r="AV752" s="271"/>
      <c r="AW752" s="271"/>
      <c r="AX752" s="271"/>
      <c r="AY752" s="271"/>
      <c r="AZ752" s="271"/>
      <c r="BA752" s="271"/>
      <c r="BB752" s="271"/>
      <c r="BC752" s="271"/>
      <c r="BD752" s="271"/>
      <c r="BE752" s="271"/>
      <c r="BF752" s="271"/>
      <c r="BG752" s="271"/>
      <c r="BH752" s="271"/>
      <c r="BI752" s="271"/>
      <c r="BJ752" s="271"/>
      <c r="BK752" s="271"/>
      <c r="BL752" s="271"/>
      <c r="BM752" s="271"/>
      <c r="BN752" s="271"/>
      <c r="BO752" s="271"/>
      <c r="BP752" s="271"/>
      <c r="BQ752" s="271"/>
      <c r="BR752" s="271"/>
      <c r="BS752" s="271"/>
      <c r="BT752" s="271"/>
      <c r="BU752" s="271"/>
      <c r="BV752" s="271"/>
      <c r="BW752" s="271"/>
      <c r="BX752" s="271"/>
      <c r="BY752" s="271"/>
      <c r="BZ752" s="271"/>
      <c r="CA752" s="271"/>
      <c r="CB752" s="271"/>
      <c r="CC752" s="271"/>
      <c r="CD752" s="271"/>
      <c r="CE752" s="271"/>
    </row>
    <row r="753" spans="1:83" ht="12.6" customHeight="1" x14ac:dyDescent="0.25">
      <c r="A753" s="207" t="str">
        <f>RIGHT($C$83,3)&amp;"*"&amp;RIGHT($C$82,4)&amp;"*"&amp;V$55&amp;"*"&amp;"A"</f>
        <v>126*2018*7110*A</v>
      </c>
      <c r="B753" s="270">
        <f>ROUND(V59,0)</f>
        <v>0</v>
      </c>
      <c r="C753" s="272">
        <f>ROUND(V60,2)</f>
        <v>0</v>
      </c>
      <c r="D753" s="270">
        <f>ROUND(V61,0)</f>
        <v>0</v>
      </c>
      <c r="E753" s="270">
        <f>ROUND(V62,0)</f>
        <v>0</v>
      </c>
      <c r="F753" s="270">
        <f>ROUND(V63,0)</f>
        <v>0</v>
      </c>
      <c r="G753" s="270">
        <f>ROUND(V64,0)</f>
        <v>0</v>
      </c>
      <c r="H753" s="270">
        <f>ROUND(V65,0)</f>
        <v>0</v>
      </c>
      <c r="I753" s="270">
        <f>ROUND(V66,0)</f>
        <v>0</v>
      </c>
      <c r="J753" s="270">
        <f>ROUND(V67,0)</f>
        <v>0</v>
      </c>
      <c r="K753" s="270">
        <f>ROUND(V68,0)</f>
        <v>0</v>
      </c>
      <c r="L753" s="270">
        <f>ROUND(V69,0)</f>
        <v>0</v>
      </c>
      <c r="M753" s="270">
        <f>ROUND(V70,0)</f>
        <v>0</v>
      </c>
      <c r="N753" s="270">
        <f>ROUND(V75,0)</f>
        <v>0</v>
      </c>
      <c r="O753" s="270">
        <f>ROUND(V73,0)</f>
        <v>0</v>
      </c>
      <c r="P753" s="270">
        <f>IF(V76&gt;0,ROUND(V76,0),0)</f>
        <v>0</v>
      </c>
      <c r="Q753" s="270">
        <f>IF(V77&gt;0,ROUND(V77,0),0)</f>
        <v>0</v>
      </c>
      <c r="R753" s="270">
        <f>IF(V78&gt;0,ROUND(V78,0),0)</f>
        <v>0</v>
      </c>
      <c r="S753" s="270">
        <f>IF(V79&gt;0,ROUND(V79,0),0)</f>
        <v>0</v>
      </c>
      <c r="T753" s="272">
        <f>IF(V80&gt;0,ROUND(V80,2),0)</f>
        <v>0</v>
      </c>
      <c r="U753" s="270"/>
      <c r="V753" s="271"/>
      <c r="W753" s="270"/>
      <c r="X753" s="270"/>
      <c r="Y753" s="270">
        <f t="shared" si="21"/>
        <v>0</v>
      </c>
      <c r="Z753" s="271"/>
      <c r="AA753" s="271"/>
      <c r="AB753" s="271"/>
      <c r="AC753" s="271"/>
      <c r="AD753" s="271"/>
      <c r="AE753" s="271"/>
      <c r="AF753" s="271"/>
      <c r="AG753" s="271"/>
      <c r="AH753" s="271"/>
      <c r="AI753" s="271"/>
      <c r="AJ753" s="271"/>
      <c r="AK753" s="271"/>
      <c r="AL753" s="271"/>
      <c r="AM753" s="271"/>
      <c r="AN753" s="271"/>
      <c r="AO753" s="271"/>
      <c r="AP753" s="271"/>
      <c r="AQ753" s="271"/>
      <c r="AR753" s="271"/>
      <c r="AS753" s="271"/>
      <c r="AT753" s="271"/>
      <c r="AU753" s="271"/>
      <c r="AV753" s="271"/>
      <c r="AW753" s="271"/>
      <c r="AX753" s="271"/>
      <c r="AY753" s="271"/>
      <c r="AZ753" s="271"/>
      <c r="BA753" s="271"/>
      <c r="BB753" s="271"/>
      <c r="BC753" s="271"/>
      <c r="BD753" s="271"/>
      <c r="BE753" s="271"/>
      <c r="BF753" s="271"/>
      <c r="BG753" s="271"/>
      <c r="BH753" s="271"/>
      <c r="BI753" s="271"/>
      <c r="BJ753" s="271"/>
      <c r="BK753" s="271"/>
      <c r="BL753" s="271"/>
      <c r="BM753" s="271"/>
      <c r="BN753" s="271"/>
      <c r="BO753" s="271"/>
      <c r="BP753" s="271"/>
      <c r="BQ753" s="271"/>
      <c r="BR753" s="271"/>
      <c r="BS753" s="271"/>
      <c r="BT753" s="271"/>
      <c r="BU753" s="271"/>
      <c r="BV753" s="271"/>
      <c r="BW753" s="271"/>
      <c r="BX753" s="271"/>
      <c r="BY753" s="271"/>
      <c r="BZ753" s="271"/>
      <c r="CA753" s="271"/>
      <c r="CB753" s="271"/>
      <c r="CC753" s="271"/>
      <c r="CD753" s="271"/>
      <c r="CE753" s="271"/>
    </row>
    <row r="754" spans="1:83" ht="12.6" customHeight="1" x14ac:dyDescent="0.25">
      <c r="A754" s="207" t="str">
        <f>RIGHT($C$83,3)&amp;"*"&amp;RIGHT($C$82,4)&amp;"*"&amp;W$55&amp;"*"&amp;"A"</f>
        <v>126*2018*7120*A</v>
      </c>
      <c r="B754" s="270">
        <f>ROUND(W59,0)</f>
        <v>1939</v>
      </c>
      <c r="C754" s="272">
        <f>ROUND(W60,2)</f>
        <v>4.3899999999999997</v>
      </c>
      <c r="D754" s="270">
        <f>ROUND(W61,0)</f>
        <v>633446</v>
      </c>
      <c r="E754" s="270">
        <f>ROUND(W62,0)</f>
        <v>157245</v>
      </c>
      <c r="F754" s="270">
        <f>ROUND(W63,0)</f>
        <v>0</v>
      </c>
      <c r="G754" s="270">
        <f>ROUND(W64,0)</f>
        <v>73543</v>
      </c>
      <c r="H754" s="270">
        <f>ROUND(W65,0)</f>
        <v>14162</v>
      </c>
      <c r="I754" s="270">
        <f>ROUND(W66,0)</f>
        <v>256913</v>
      </c>
      <c r="J754" s="270">
        <f>ROUND(W67,0)</f>
        <v>620593</v>
      </c>
      <c r="K754" s="270">
        <f>ROUND(W68,0)</f>
        <v>175958</v>
      </c>
      <c r="L754" s="270">
        <f>ROUND(W69,0)</f>
        <v>3100</v>
      </c>
      <c r="M754" s="270">
        <f>ROUND(W70,0)</f>
        <v>3181</v>
      </c>
      <c r="N754" s="270">
        <f>ROUND(W75,0)</f>
        <v>15921722</v>
      </c>
      <c r="O754" s="270">
        <f>ROUND(W73,0)</f>
        <v>2672276</v>
      </c>
      <c r="P754" s="270">
        <f>IF(W76&gt;0,ROUND(W76,0),0)</f>
        <v>0</v>
      </c>
      <c r="Q754" s="270">
        <f>IF(W77&gt;0,ROUND(W77,0),0)</f>
        <v>0</v>
      </c>
      <c r="R754" s="270">
        <f>IF(W78&gt;0,ROUND(W78,0),0)</f>
        <v>0</v>
      </c>
      <c r="S754" s="270">
        <f>IF(W79&gt;0,ROUND(W79,0),0)</f>
        <v>24031</v>
      </c>
      <c r="T754" s="272">
        <f>IF(W80&gt;0,ROUND(W80,2),0)</f>
        <v>0</v>
      </c>
      <c r="U754" s="270"/>
      <c r="V754" s="271"/>
      <c r="W754" s="270"/>
      <c r="X754" s="270"/>
      <c r="Y754" s="270">
        <f t="shared" si="21"/>
        <v>919845</v>
      </c>
      <c r="Z754" s="271"/>
      <c r="AA754" s="271"/>
      <c r="AB754" s="271"/>
      <c r="AC754" s="271"/>
      <c r="AD754" s="271"/>
      <c r="AE754" s="271"/>
      <c r="AF754" s="271"/>
      <c r="AG754" s="271"/>
      <c r="AH754" s="271"/>
      <c r="AI754" s="271"/>
      <c r="AJ754" s="271"/>
      <c r="AK754" s="271"/>
      <c r="AL754" s="271"/>
      <c r="AM754" s="271"/>
      <c r="AN754" s="271"/>
      <c r="AO754" s="271"/>
      <c r="AP754" s="271"/>
      <c r="AQ754" s="271"/>
      <c r="AR754" s="271"/>
      <c r="AS754" s="271"/>
      <c r="AT754" s="271"/>
      <c r="AU754" s="271"/>
      <c r="AV754" s="271"/>
      <c r="AW754" s="271"/>
      <c r="AX754" s="271"/>
      <c r="AY754" s="271"/>
      <c r="AZ754" s="271"/>
      <c r="BA754" s="271"/>
      <c r="BB754" s="271"/>
      <c r="BC754" s="271"/>
      <c r="BD754" s="271"/>
      <c r="BE754" s="271"/>
      <c r="BF754" s="271"/>
      <c r="BG754" s="271"/>
      <c r="BH754" s="271"/>
      <c r="BI754" s="271"/>
      <c r="BJ754" s="271"/>
      <c r="BK754" s="271"/>
      <c r="BL754" s="271"/>
      <c r="BM754" s="271"/>
      <c r="BN754" s="271"/>
      <c r="BO754" s="271"/>
      <c r="BP754" s="271"/>
      <c r="BQ754" s="271"/>
      <c r="BR754" s="271"/>
      <c r="BS754" s="271"/>
      <c r="BT754" s="271"/>
      <c r="BU754" s="271"/>
      <c r="BV754" s="271"/>
      <c r="BW754" s="271"/>
      <c r="BX754" s="271"/>
      <c r="BY754" s="271"/>
      <c r="BZ754" s="271"/>
      <c r="CA754" s="271"/>
      <c r="CB754" s="271"/>
      <c r="CC754" s="271"/>
      <c r="CD754" s="271"/>
      <c r="CE754" s="271"/>
    </row>
    <row r="755" spans="1:83" ht="12.6" customHeight="1" x14ac:dyDescent="0.25">
      <c r="A755" s="207" t="str">
        <f>RIGHT($C$83,3)&amp;"*"&amp;RIGHT($C$82,4)&amp;"*"&amp;X$55&amp;"*"&amp;"A"</f>
        <v>126*2018*7130*A</v>
      </c>
      <c r="B755" s="270">
        <f>ROUND(X59,0)</f>
        <v>18172</v>
      </c>
      <c r="C755" s="272">
        <f>ROUND(X60,2)</f>
        <v>8.5500000000000007</v>
      </c>
      <c r="D755" s="270">
        <f>ROUND(X61,0)</f>
        <v>761172</v>
      </c>
      <c r="E755" s="270">
        <f>ROUND(X62,0)</f>
        <v>219941</v>
      </c>
      <c r="F755" s="270">
        <f>ROUND(X63,0)</f>
        <v>0</v>
      </c>
      <c r="G755" s="270">
        <f>ROUND(X64,0)</f>
        <v>164307</v>
      </c>
      <c r="H755" s="270">
        <f>ROUND(X65,0)</f>
        <v>96</v>
      </c>
      <c r="I755" s="270">
        <f>ROUND(X66,0)</f>
        <v>206760</v>
      </c>
      <c r="J755" s="270">
        <f>ROUND(X67,0)</f>
        <v>95070</v>
      </c>
      <c r="K755" s="270">
        <f>ROUND(X68,0)</f>
        <v>0</v>
      </c>
      <c r="L755" s="270">
        <f>ROUND(X69,0)</f>
        <v>0</v>
      </c>
      <c r="M755" s="270">
        <f>ROUND(X70,0)</f>
        <v>32200</v>
      </c>
      <c r="N755" s="270">
        <f>ROUND(X75,0)</f>
        <v>88749225</v>
      </c>
      <c r="O755" s="270">
        <f>ROUND(X73,0)</f>
        <v>23156912</v>
      </c>
      <c r="P755" s="270">
        <f>IF(X76&gt;0,ROUND(X76,0),0)</f>
        <v>792</v>
      </c>
      <c r="Q755" s="270">
        <f>IF(X77&gt;0,ROUND(X77,0),0)</f>
        <v>0</v>
      </c>
      <c r="R755" s="270">
        <f>IF(X78&gt;0,ROUND(X78,0),0)</f>
        <v>251</v>
      </c>
      <c r="S755" s="270">
        <f>IF(X79&gt;0,ROUND(X79,0),0)</f>
        <v>13716</v>
      </c>
      <c r="T755" s="272">
        <f>IF(X80&gt;0,ROUND(X80,2),0)</f>
        <v>0</v>
      </c>
      <c r="U755" s="270"/>
      <c r="V755" s="271"/>
      <c r="W755" s="270"/>
      <c r="X755" s="270"/>
      <c r="Y755" s="270">
        <f t="shared" si="21"/>
        <v>2354760</v>
      </c>
      <c r="Z755" s="271"/>
      <c r="AA755" s="271"/>
      <c r="AB755" s="271"/>
      <c r="AC755" s="271"/>
      <c r="AD755" s="271"/>
      <c r="AE755" s="271"/>
      <c r="AF755" s="271"/>
      <c r="AG755" s="271"/>
      <c r="AH755" s="271"/>
      <c r="AI755" s="271"/>
      <c r="AJ755" s="271"/>
      <c r="AK755" s="271"/>
      <c r="AL755" s="271"/>
      <c r="AM755" s="271"/>
      <c r="AN755" s="271"/>
      <c r="AO755" s="271"/>
      <c r="AP755" s="271"/>
      <c r="AQ755" s="271"/>
      <c r="AR755" s="271"/>
      <c r="AS755" s="271"/>
      <c r="AT755" s="271"/>
      <c r="AU755" s="271"/>
      <c r="AV755" s="271"/>
      <c r="AW755" s="271"/>
      <c r="AX755" s="271"/>
      <c r="AY755" s="271"/>
      <c r="AZ755" s="271"/>
      <c r="BA755" s="271"/>
      <c r="BB755" s="271"/>
      <c r="BC755" s="271"/>
      <c r="BD755" s="271"/>
      <c r="BE755" s="271"/>
      <c r="BF755" s="271"/>
      <c r="BG755" s="271"/>
      <c r="BH755" s="271"/>
      <c r="BI755" s="271"/>
      <c r="BJ755" s="271"/>
      <c r="BK755" s="271"/>
      <c r="BL755" s="271"/>
      <c r="BM755" s="271"/>
      <c r="BN755" s="271"/>
      <c r="BO755" s="271"/>
      <c r="BP755" s="271"/>
      <c r="BQ755" s="271"/>
      <c r="BR755" s="271"/>
      <c r="BS755" s="271"/>
      <c r="BT755" s="271"/>
      <c r="BU755" s="271"/>
      <c r="BV755" s="271"/>
      <c r="BW755" s="271"/>
      <c r="BX755" s="271"/>
      <c r="BY755" s="271"/>
      <c r="BZ755" s="271"/>
      <c r="CA755" s="271"/>
      <c r="CB755" s="271"/>
      <c r="CC755" s="271"/>
      <c r="CD755" s="271"/>
      <c r="CE755" s="271"/>
    </row>
    <row r="756" spans="1:83" ht="12.6" customHeight="1" x14ac:dyDescent="0.25">
      <c r="A756" s="207" t="str">
        <f>RIGHT($C$83,3)&amp;"*"&amp;RIGHT($C$82,4)&amp;"*"&amp;Y$55&amp;"*"&amp;"A"</f>
        <v>126*2018*7140*A</v>
      </c>
      <c r="B756" s="270">
        <f>ROUND(Y59,0)</f>
        <v>124189</v>
      </c>
      <c r="C756" s="272">
        <f>ROUND(Y60,2)</f>
        <v>31.21</v>
      </c>
      <c r="D756" s="270">
        <f>ROUND(Y61,0)</f>
        <v>2466148</v>
      </c>
      <c r="E756" s="270">
        <f>ROUND(Y62,0)</f>
        <v>709073</v>
      </c>
      <c r="F756" s="270">
        <f>ROUND(Y63,0)</f>
        <v>31475</v>
      </c>
      <c r="G756" s="270">
        <f>ROUND(Y64,0)</f>
        <v>478317</v>
      </c>
      <c r="H756" s="270">
        <f>ROUND(Y65,0)</f>
        <v>1981</v>
      </c>
      <c r="I756" s="270">
        <f>ROUND(Y66,0)</f>
        <v>1215704</v>
      </c>
      <c r="J756" s="270">
        <f>ROUND(Y67,0)</f>
        <v>1047970</v>
      </c>
      <c r="K756" s="270">
        <f>ROUND(Y68,0)</f>
        <v>293474</v>
      </c>
      <c r="L756" s="270">
        <f>ROUND(Y69,0)</f>
        <v>5487</v>
      </c>
      <c r="M756" s="270">
        <f>ROUND(Y70,0)</f>
        <v>255119</v>
      </c>
      <c r="N756" s="270">
        <f>ROUND(Y75,0)</f>
        <v>41878314</v>
      </c>
      <c r="O756" s="270">
        <f>ROUND(Y73,0)</f>
        <v>9779294</v>
      </c>
      <c r="P756" s="270">
        <f>IF(Y76&gt;0,ROUND(Y76,0),0)</f>
        <v>6632</v>
      </c>
      <c r="Q756" s="270">
        <f>IF(Y77&gt;0,ROUND(Y77,0),0)</f>
        <v>2</v>
      </c>
      <c r="R756" s="270">
        <f>IF(Y78&gt;0,ROUND(Y78,0),0)</f>
        <v>2104</v>
      </c>
      <c r="S756" s="270">
        <f>IF(Y79&gt;0,ROUND(Y79,0),0)</f>
        <v>29431</v>
      </c>
      <c r="T756" s="272">
        <f>IF(Y80&gt;0,ROUND(Y80,2),0)</f>
        <v>7.0000000000000007E-2</v>
      </c>
      <c r="U756" s="270"/>
      <c r="V756" s="271"/>
      <c r="W756" s="270"/>
      <c r="X756" s="270"/>
      <c r="Y756" s="270">
        <f t="shared" si="21"/>
        <v>3134602</v>
      </c>
      <c r="Z756" s="271"/>
      <c r="AA756" s="271"/>
      <c r="AB756" s="271"/>
      <c r="AC756" s="271"/>
      <c r="AD756" s="271"/>
      <c r="AE756" s="271"/>
      <c r="AF756" s="271"/>
      <c r="AG756" s="271"/>
      <c r="AH756" s="271"/>
      <c r="AI756" s="271"/>
      <c r="AJ756" s="271"/>
      <c r="AK756" s="271"/>
      <c r="AL756" s="271"/>
      <c r="AM756" s="271"/>
      <c r="AN756" s="271"/>
      <c r="AO756" s="271"/>
      <c r="AP756" s="271"/>
      <c r="AQ756" s="271"/>
      <c r="AR756" s="271"/>
      <c r="AS756" s="271"/>
      <c r="AT756" s="271"/>
      <c r="AU756" s="271"/>
      <c r="AV756" s="271"/>
      <c r="AW756" s="271"/>
      <c r="AX756" s="271"/>
      <c r="AY756" s="271"/>
      <c r="AZ756" s="271"/>
      <c r="BA756" s="271"/>
      <c r="BB756" s="271"/>
      <c r="BC756" s="271"/>
      <c r="BD756" s="271"/>
      <c r="BE756" s="271"/>
      <c r="BF756" s="271"/>
      <c r="BG756" s="271"/>
      <c r="BH756" s="271"/>
      <c r="BI756" s="271"/>
      <c r="BJ756" s="271"/>
      <c r="BK756" s="271"/>
      <c r="BL756" s="271"/>
      <c r="BM756" s="271"/>
      <c r="BN756" s="271"/>
      <c r="BO756" s="271"/>
      <c r="BP756" s="271"/>
      <c r="BQ756" s="271"/>
      <c r="BR756" s="271"/>
      <c r="BS756" s="271"/>
      <c r="BT756" s="271"/>
      <c r="BU756" s="271"/>
      <c r="BV756" s="271"/>
      <c r="BW756" s="271"/>
      <c r="BX756" s="271"/>
      <c r="BY756" s="271"/>
      <c r="BZ756" s="271"/>
      <c r="CA756" s="271"/>
      <c r="CB756" s="271"/>
      <c r="CC756" s="271"/>
      <c r="CD756" s="271"/>
      <c r="CE756" s="271"/>
    </row>
    <row r="757" spans="1:83" ht="12.6" customHeight="1" x14ac:dyDescent="0.25">
      <c r="A757" s="207" t="str">
        <f>RIGHT($C$83,3)&amp;"*"&amp;RIGHT($C$82,4)&amp;"*"&amp;Z$55&amp;"*"&amp;"A"</f>
        <v>126*2018*7150*A</v>
      </c>
      <c r="B757" s="270">
        <f>ROUND(Z59,0)</f>
        <v>0</v>
      </c>
      <c r="C757" s="272">
        <f>ROUND(Z60,2)</f>
        <v>0</v>
      </c>
      <c r="D757" s="270">
        <f>ROUND(Z61,0)</f>
        <v>0</v>
      </c>
      <c r="E757" s="270">
        <f>ROUND(Z62,0)</f>
        <v>0</v>
      </c>
      <c r="F757" s="270">
        <f>ROUND(Z63,0)</f>
        <v>0</v>
      </c>
      <c r="G757" s="270">
        <f>ROUND(Z64,0)</f>
        <v>0</v>
      </c>
      <c r="H757" s="270">
        <f>ROUND(Z65,0)</f>
        <v>0</v>
      </c>
      <c r="I757" s="270">
        <f>ROUND(Z66,0)</f>
        <v>0</v>
      </c>
      <c r="J757" s="270">
        <f>ROUND(Z67,0)</f>
        <v>0</v>
      </c>
      <c r="K757" s="270">
        <f>ROUND(Z68,0)</f>
        <v>0</v>
      </c>
      <c r="L757" s="270">
        <f>ROUND(Z69,0)</f>
        <v>0</v>
      </c>
      <c r="M757" s="270">
        <f>ROUND(Z70,0)</f>
        <v>0</v>
      </c>
      <c r="N757" s="270">
        <f>ROUND(Z75,0)</f>
        <v>0</v>
      </c>
      <c r="O757" s="270">
        <f>ROUND(Z73,0)</f>
        <v>0</v>
      </c>
      <c r="P757" s="270">
        <f>IF(Z76&gt;0,ROUND(Z76,0),0)</f>
        <v>0</v>
      </c>
      <c r="Q757" s="270">
        <f>IF(Z77&gt;0,ROUND(Z77,0),0)</f>
        <v>0</v>
      </c>
      <c r="R757" s="270">
        <f>IF(Z78&gt;0,ROUND(Z78,0),0)</f>
        <v>0</v>
      </c>
      <c r="S757" s="270">
        <f>IF(Z79&gt;0,ROUND(Z79,0),0)</f>
        <v>0</v>
      </c>
      <c r="T757" s="272">
        <f>IF(Z80&gt;0,ROUND(Z80,2),0)</f>
        <v>0</v>
      </c>
      <c r="U757" s="270"/>
      <c r="V757" s="271"/>
      <c r="W757" s="270"/>
      <c r="X757" s="270"/>
      <c r="Y757" s="270">
        <f t="shared" si="21"/>
        <v>0</v>
      </c>
      <c r="Z757" s="271"/>
      <c r="AA757" s="271"/>
      <c r="AB757" s="271"/>
      <c r="AC757" s="271"/>
      <c r="AD757" s="271"/>
      <c r="AE757" s="271"/>
      <c r="AF757" s="271"/>
      <c r="AG757" s="271"/>
      <c r="AH757" s="271"/>
      <c r="AI757" s="271"/>
      <c r="AJ757" s="271"/>
      <c r="AK757" s="271"/>
      <c r="AL757" s="271"/>
      <c r="AM757" s="271"/>
      <c r="AN757" s="271"/>
      <c r="AO757" s="271"/>
      <c r="AP757" s="271"/>
      <c r="AQ757" s="271"/>
      <c r="AR757" s="271"/>
      <c r="AS757" s="271"/>
      <c r="AT757" s="271"/>
      <c r="AU757" s="271"/>
      <c r="AV757" s="271"/>
      <c r="AW757" s="271"/>
      <c r="AX757" s="271"/>
      <c r="AY757" s="271"/>
      <c r="AZ757" s="271"/>
      <c r="BA757" s="271"/>
      <c r="BB757" s="271"/>
      <c r="BC757" s="271"/>
      <c r="BD757" s="271"/>
      <c r="BE757" s="271"/>
      <c r="BF757" s="271"/>
      <c r="BG757" s="271"/>
      <c r="BH757" s="271"/>
      <c r="BI757" s="271"/>
      <c r="BJ757" s="271"/>
      <c r="BK757" s="271"/>
      <c r="BL757" s="271"/>
      <c r="BM757" s="271"/>
      <c r="BN757" s="271"/>
      <c r="BO757" s="271"/>
      <c r="BP757" s="271"/>
      <c r="BQ757" s="271"/>
      <c r="BR757" s="271"/>
      <c r="BS757" s="271"/>
      <c r="BT757" s="271"/>
      <c r="BU757" s="271"/>
      <c r="BV757" s="271"/>
      <c r="BW757" s="271"/>
      <c r="BX757" s="271"/>
      <c r="BY757" s="271"/>
      <c r="BZ757" s="271"/>
      <c r="CA757" s="271"/>
      <c r="CB757" s="271"/>
      <c r="CC757" s="271"/>
      <c r="CD757" s="271"/>
      <c r="CE757" s="271"/>
    </row>
    <row r="758" spans="1:83" ht="12.6" customHeight="1" x14ac:dyDescent="0.25">
      <c r="A758" s="207" t="str">
        <f>RIGHT($C$83,3)&amp;"*"&amp;RIGHT($C$82,4)&amp;"*"&amp;AA$55&amp;"*"&amp;"A"</f>
        <v>126*2018*7160*A</v>
      </c>
      <c r="B758" s="270">
        <f>ROUND(AA59,0)</f>
        <v>1074</v>
      </c>
      <c r="C758" s="272">
        <f>ROUND(AA60,2)</f>
        <v>2.1800000000000002</v>
      </c>
      <c r="D758" s="270">
        <f>ROUND(AA61,0)</f>
        <v>227940</v>
      </c>
      <c r="E758" s="270">
        <f>ROUND(AA62,0)</f>
        <v>61395</v>
      </c>
      <c r="F758" s="270">
        <f>ROUND(AA63,0)</f>
        <v>0</v>
      </c>
      <c r="G758" s="270">
        <f>ROUND(AA64,0)</f>
        <v>231646</v>
      </c>
      <c r="H758" s="270">
        <f>ROUND(AA65,0)</f>
        <v>0</v>
      </c>
      <c r="I758" s="270">
        <f>ROUND(AA66,0)</f>
        <v>283423</v>
      </c>
      <c r="J758" s="270">
        <f>ROUND(AA67,0)</f>
        <v>77074</v>
      </c>
      <c r="K758" s="270">
        <f>ROUND(AA68,0)</f>
        <v>284</v>
      </c>
      <c r="L758" s="270">
        <f>ROUND(AA69,0)</f>
        <v>0</v>
      </c>
      <c r="M758" s="270">
        <f>ROUND(AA70,0)</f>
        <v>2938</v>
      </c>
      <c r="N758" s="270">
        <f>ROUND(AA75,0)</f>
        <v>6473266</v>
      </c>
      <c r="O758" s="270">
        <f>ROUND(AA73,0)</f>
        <v>682840</v>
      </c>
      <c r="P758" s="270">
        <f>IF(AA76&gt;0,ROUND(AA76,0),0)</f>
        <v>3771</v>
      </c>
      <c r="Q758" s="270">
        <f>IF(AA77&gt;0,ROUND(AA77,0),0)</f>
        <v>0</v>
      </c>
      <c r="R758" s="270">
        <f>IF(AA78&gt;0,ROUND(AA78,0),0)</f>
        <v>1196</v>
      </c>
      <c r="S758" s="270">
        <f>IF(AA79&gt;0,ROUND(AA79,0),0)</f>
        <v>4566</v>
      </c>
      <c r="T758" s="272">
        <f>IF(AA80&gt;0,ROUND(AA80,2),0)</f>
        <v>0</v>
      </c>
      <c r="U758" s="270"/>
      <c r="V758" s="271"/>
      <c r="W758" s="270"/>
      <c r="X758" s="270"/>
      <c r="Y758" s="270">
        <f t="shared" si="21"/>
        <v>586429</v>
      </c>
      <c r="Z758" s="271"/>
      <c r="AA758" s="271"/>
      <c r="AB758" s="271"/>
      <c r="AC758" s="271"/>
      <c r="AD758" s="271"/>
      <c r="AE758" s="271"/>
      <c r="AF758" s="271"/>
      <c r="AG758" s="271"/>
      <c r="AH758" s="271"/>
      <c r="AI758" s="271"/>
      <c r="AJ758" s="271"/>
      <c r="AK758" s="271"/>
      <c r="AL758" s="271"/>
      <c r="AM758" s="271"/>
      <c r="AN758" s="271"/>
      <c r="AO758" s="271"/>
      <c r="AP758" s="271"/>
      <c r="AQ758" s="271"/>
      <c r="AR758" s="271"/>
      <c r="AS758" s="271"/>
      <c r="AT758" s="271"/>
      <c r="AU758" s="271"/>
      <c r="AV758" s="271"/>
      <c r="AW758" s="271"/>
      <c r="AX758" s="271"/>
      <c r="AY758" s="271"/>
      <c r="AZ758" s="271"/>
      <c r="BA758" s="271"/>
      <c r="BB758" s="271"/>
      <c r="BC758" s="271"/>
      <c r="BD758" s="271"/>
      <c r="BE758" s="271"/>
      <c r="BF758" s="271"/>
      <c r="BG758" s="271"/>
      <c r="BH758" s="271"/>
      <c r="BI758" s="271"/>
      <c r="BJ758" s="271"/>
      <c r="BK758" s="271"/>
      <c r="BL758" s="271"/>
      <c r="BM758" s="271"/>
      <c r="BN758" s="271"/>
      <c r="BO758" s="271"/>
      <c r="BP758" s="271"/>
      <c r="BQ758" s="271"/>
      <c r="BR758" s="271"/>
      <c r="BS758" s="271"/>
      <c r="BT758" s="271"/>
      <c r="BU758" s="271"/>
      <c r="BV758" s="271"/>
      <c r="BW758" s="271"/>
      <c r="BX758" s="271"/>
      <c r="BY758" s="271"/>
      <c r="BZ758" s="271"/>
      <c r="CA758" s="271"/>
      <c r="CB758" s="271"/>
      <c r="CC758" s="271"/>
      <c r="CD758" s="271"/>
      <c r="CE758" s="271"/>
    </row>
    <row r="759" spans="1:83" ht="12.6" customHeight="1" x14ac:dyDescent="0.25">
      <c r="A759" s="207" t="str">
        <f>RIGHT($C$83,3)&amp;"*"&amp;RIGHT($C$82,4)&amp;"*"&amp;AB$55&amp;"*"&amp;"A"</f>
        <v>126*2018*7170*A</v>
      </c>
      <c r="B759" s="270"/>
      <c r="C759" s="272">
        <f>ROUND(AB60,2)</f>
        <v>29.92</v>
      </c>
      <c r="D759" s="270">
        <f>ROUND(AB61,0)</f>
        <v>3032727</v>
      </c>
      <c r="E759" s="270">
        <f>ROUND(AB62,0)</f>
        <v>794914</v>
      </c>
      <c r="F759" s="270">
        <f>ROUND(AB63,0)</f>
        <v>0</v>
      </c>
      <c r="G759" s="270">
        <f>ROUND(AB64,0)</f>
        <v>7919602</v>
      </c>
      <c r="H759" s="270">
        <f>ROUND(AB65,0)</f>
        <v>516</v>
      </c>
      <c r="I759" s="270">
        <f>ROUND(AB66,0)</f>
        <v>489830</v>
      </c>
      <c r="J759" s="270">
        <f>ROUND(AB67,0)</f>
        <v>338730</v>
      </c>
      <c r="K759" s="270">
        <f>ROUND(AB68,0)</f>
        <v>16869</v>
      </c>
      <c r="L759" s="270">
        <f>ROUND(AB69,0)</f>
        <v>14558</v>
      </c>
      <c r="M759" s="270">
        <f>ROUND(AB70,0)</f>
        <v>2064965</v>
      </c>
      <c r="N759" s="270">
        <f>ROUND(AB75,0)</f>
        <v>134138365</v>
      </c>
      <c r="O759" s="270">
        <f>ROUND(AB73,0)</f>
        <v>64267890</v>
      </c>
      <c r="P759" s="270">
        <f>IF(AB76&gt;0,ROUND(AB76,0),0)</f>
        <v>1769</v>
      </c>
      <c r="Q759" s="270">
        <f>IF(AB77&gt;0,ROUND(AB77,0),0)</f>
        <v>0</v>
      </c>
      <c r="R759" s="270">
        <f>IF(AB78&gt;0,ROUND(AB78,0),0)</f>
        <v>561</v>
      </c>
      <c r="S759" s="270">
        <f>IF(AB79&gt;0,ROUND(AB79,0),0)</f>
        <v>9</v>
      </c>
      <c r="T759" s="272">
        <f>IF(AB80&gt;0,ROUND(AB80,2),0)</f>
        <v>0</v>
      </c>
      <c r="U759" s="270"/>
      <c r="V759" s="271"/>
      <c r="W759" s="270"/>
      <c r="X759" s="270"/>
      <c r="Y759" s="270">
        <f t="shared" si="21"/>
        <v>6130097</v>
      </c>
      <c r="Z759" s="271"/>
      <c r="AA759" s="271"/>
      <c r="AB759" s="271"/>
      <c r="AC759" s="271"/>
      <c r="AD759" s="271"/>
      <c r="AE759" s="271"/>
      <c r="AF759" s="271"/>
      <c r="AG759" s="271"/>
      <c r="AH759" s="271"/>
      <c r="AI759" s="271"/>
      <c r="AJ759" s="271"/>
      <c r="AK759" s="271"/>
      <c r="AL759" s="271"/>
      <c r="AM759" s="271"/>
      <c r="AN759" s="271"/>
      <c r="AO759" s="271"/>
      <c r="AP759" s="271"/>
      <c r="AQ759" s="271"/>
      <c r="AR759" s="271"/>
      <c r="AS759" s="271"/>
      <c r="AT759" s="271"/>
      <c r="AU759" s="271"/>
      <c r="AV759" s="271"/>
      <c r="AW759" s="271"/>
      <c r="AX759" s="271"/>
      <c r="AY759" s="271"/>
      <c r="AZ759" s="271"/>
      <c r="BA759" s="271"/>
      <c r="BB759" s="271"/>
      <c r="BC759" s="271"/>
      <c r="BD759" s="271"/>
      <c r="BE759" s="271"/>
      <c r="BF759" s="271"/>
      <c r="BG759" s="271"/>
      <c r="BH759" s="271"/>
      <c r="BI759" s="271"/>
      <c r="BJ759" s="271"/>
      <c r="BK759" s="271"/>
      <c r="BL759" s="271"/>
      <c r="BM759" s="271"/>
      <c r="BN759" s="271"/>
      <c r="BO759" s="271"/>
      <c r="BP759" s="271"/>
      <c r="BQ759" s="271"/>
      <c r="BR759" s="271"/>
      <c r="BS759" s="271"/>
      <c r="BT759" s="271"/>
      <c r="BU759" s="271"/>
      <c r="BV759" s="271"/>
      <c r="BW759" s="271"/>
      <c r="BX759" s="271"/>
      <c r="BY759" s="271"/>
      <c r="BZ759" s="271"/>
      <c r="CA759" s="271"/>
      <c r="CB759" s="271"/>
      <c r="CC759" s="271"/>
      <c r="CD759" s="271"/>
      <c r="CE759" s="271"/>
    </row>
    <row r="760" spans="1:83" ht="12.6" customHeight="1" x14ac:dyDescent="0.25">
      <c r="A760" s="207" t="str">
        <f>RIGHT($C$83,3)&amp;"*"&amp;RIGHT($C$82,4)&amp;"*"&amp;AC$55&amp;"*"&amp;"A"</f>
        <v>126*2018*7180*A</v>
      </c>
      <c r="B760" s="270">
        <f>ROUND(AC59,0)</f>
        <v>45179</v>
      </c>
      <c r="C760" s="272">
        <f>ROUND(AC60,2)</f>
        <v>17.57</v>
      </c>
      <c r="D760" s="270">
        <f>ROUND(AC61,0)</f>
        <v>1401323</v>
      </c>
      <c r="E760" s="270">
        <f>ROUND(AC62,0)</f>
        <v>423830</v>
      </c>
      <c r="F760" s="270">
        <f>ROUND(AC63,0)</f>
        <v>90450</v>
      </c>
      <c r="G760" s="270">
        <f>ROUND(AC64,0)</f>
        <v>225998</v>
      </c>
      <c r="H760" s="270">
        <f>ROUND(AC65,0)</f>
        <v>686</v>
      </c>
      <c r="I760" s="270">
        <f>ROUND(AC66,0)</f>
        <v>6835</v>
      </c>
      <c r="J760" s="270">
        <f>ROUND(AC67,0)</f>
        <v>59550</v>
      </c>
      <c r="K760" s="270">
        <f>ROUND(AC68,0)</f>
        <v>12943</v>
      </c>
      <c r="L760" s="270">
        <f>ROUND(AC69,0)</f>
        <v>1950</v>
      </c>
      <c r="M760" s="270">
        <f>ROUND(AC70,0)</f>
        <v>41302</v>
      </c>
      <c r="N760" s="270">
        <f>ROUND(AC75,0)</f>
        <v>28122578</v>
      </c>
      <c r="O760" s="270">
        <f>ROUND(AC73,0)</f>
        <v>21825337</v>
      </c>
      <c r="P760" s="270">
        <f>IF(AC76&gt;0,ROUND(AC76,0),0)</f>
        <v>724</v>
      </c>
      <c r="Q760" s="270">
        <f>IF(AC77&gt;0,ROUND(AC77,0),0)</f>
        <v>0</v>
      </c>
      <c r="R760" s="270">
        <f>IF(AC78&gt;0,ROUND(AC78,0),0)</f>
        <v>230</v>
      </c>
      <c r="S760" s="270">
        <f>IF(AC79&gt;0,ROUND(AC79,0),0)</f>
        <v>210</v>
      </c>
      <c r="T760" s="272">
        <f>IF(AC80&gt;0,ROUND(AC80,2),0)</f>
        <v>0</v>
      </c>
      <c r="U760" s="270"/>
      <c r="V760" s="271"/>
      <c r="W760" s="270"/>
      <c r="X760" s="270"/>
      <c r="Y760" s="270">
        <f t="shared" si="21"/>
        <v>1367677</v>
      </c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1"/>
      <c r="AR760" s="271"/>
      <c r="AS760" s="271"/>
      <c r="AT760" s="271"/>
      <c r="AU760" s="271"/>
      <c r="AV760" s="271"/>
      <c r="AW760" s="271"/>
      <c r="AX760" s="271"/>
      <c r="AY760" s="271"/>
      <c r="AZ760" s="271"/>
      <c r="BA760" s="271"/>
      <c r="BB760" s="271"/>
      <c r="BC760" s="271"/>
      <c r="BD760" s="271"/>
      <c r="BE760" s="271"/>
      <c r="BF760" s="271"/>
      <c r="BG760" s="271"/>
      <c r="BH760" s="271"/>
      <c r="BI760" s="271"/>
      <c r="BJ760" s="271"/>
      <c r="BK760" s="271"/>
      <c r="BL760" s="271"/>
      <c r="BM760" s="271"/>
      <c r="BN760" s="271"/>
      <c r="BO760" s="271"/>
      <c r="BP760" s="271"/>
      <c r="BQ760" s="271"/>
      <c r="BR760" s="271"/>
      <c r="BS760" s="271"/>
      <c r="BT760" s="271"/>
      <c r="BU760" s="271"/>
      <c r="BV760" s="271"/>
      <c r="BW760" s="271"/>
      <c r="BX760" s="271"/>
      <c r="BY760" s="271"/>
      <c r="BZ760" s="271"/>
      <c r="CA760" s="271"/>
      <c r="CB760" s="271"/>
      <c r="CC760" s="271"/>
      <c r="CD760" s="271"/>
      <c r="CE760" s="271"/>
    </row>
    <row r="761" spans="1:83" ht="12.6" customHeight="1" x14ac:dyDescent="0.25">
      <c r="A761" s="207" t="str">
        <f>RIGHT($C$83,3)&amp;"*"&amp;RIGHT($C$82,4)&amp;"*"&amp;AD$55&amp;"*"&amp;"A"</f>
        <v>126*2018*7190*A</v>
      </c>
      <c r="B761" s="270">
        <f>ROUND(AD59,0)</f>
        <v>29408</v>
      </c>
      <c r="C761" s="272">
        <f>ROUND(AD60,2)</f>
        <v>1.59</v>
      </c>
      <c r="D761" s="270">
        <f>ROUND(AD61,0)</f>
        <v>0</v>
      </c>
      <c r="E761" s="270">
        <f>ROUND(AD62,0)</f>
        <v>0</v>
      </c>
      <c r="F761" s="270">
        <f>ROUND(AD63,0)</f>
        <v>0</v>
      </c>
      <c r="G761" s="270">
        <f>ROUND(AD64,0)</f>
        <v>98127</v>
      </c>
      <c r="H761" s="270">
        <f>ROUND(AD65,0)</f>
        <v>0</v>
      </c>
      <c r="I761" s="270">
        <f>ROUND(AD66,0)</f>
        <v>592020</v>
      </c>
      <c r="J761" s="270">
        <f>ROUND(AD67,0)</f>
        <v>0</v>
      </c>
      <c r="K761" s="270">
        <f>ROUND(AD68,0)</f>
        <v>0</v>
      </c>
      <c r="L761" s="270">
        <f>ROUND(AD69,0)</f>
        <v>0</v>
      </c>
      <c r="M761" s="270">
        <f>ROUND(AD70,0)</f>
        <v>96375</v>
      </c>
      <c r="N761" s="270">
        <f>ROUND(AD75,0)</f>
        <v>1951319</v>
      </c>
      <c r="O761" s="270">
        <f>ROUND(AD73,0)</f>
        <v>1892285</v>
      </c>
      <c r="P761" s="270">
        <f>IF(AD76&gt;0,ROUND(AD76,0),0)</f>
        <v>0</v>
      </c>
      <c r="Q761" s="270">
        <f>IF(AD77&gt;0,ROUND(AD77,0),0)</f>
        <v>0</v>
      </c>
      <c r="R761" s="270">
        <f>IF(AD78&gt;0,ROUND(AD78,0),0)</f>
        <v>0</v>
      </c>
      <c r="S761" s="270">
        <f>IF(AD79&gt;0,ROUND(AD79,0),0)</f>
        <v>0</v>
      </c>
      <c r="T761" s="272">
        <f>IF(AD80&gt;0,ROUND(AD80,2),0)</f>
        <v>1.72</v>
      </c>
      <c r="U761" s="270"/>
      <c r="V761" s="271"/>
      <c r="W761" s="270"/>
      <c r="X761" s="270"/>
      <c r="Y761" s="270">
        <f t="shared" si="21"/>
        <v>251694</v>
      </c>
      <c r="Z761" s="271"/>
      <c r="AA761" s="271"/>
      <c r="AB761" s="271"/>
      <c r="AC761" s="271"/>
      <c r="AD761" s="271"/>
      <c r="AE761" s="271"/>
      <c r="AF761" s="271"/>
      <c r="AG761" s="271"/>
      <c r="AH761" s="271"/>
      <c r="AI761" s="271"/>
      <c r="AJ761" s="271"/>
      <c r="AK761" s="271"/>
      <c r="AL761" s="271"/>
      <c r="AM761" s="271"/>
      <c r="AN761" s="271"/>
      <c r="AO761" s="271"/>
      <c r="AP761" s="271"/>
      <c r="AQ761" s="271"/>
      <c r="AR761" s="271"/>
      <c r="AS761" s="271"/>
      <c r="AT761" s="271"/>
      <c r="AU761" s="271"/>
      <c r="AV761" s="271"/>
      <c r="AW761" s="271"/>
      <c r="AX761" s="271"/>
      <c r="AY761" s="271"/>
      <c r="AZ761" s="271"/>
      <c r="BA761" s="271"/>
      <c r="BB761" s="271"/>
      <c r="BC761" s="271"/>
      <c r="BD761" s="271"/>
      <c r="BE761" s="271"/>
      <c r="BF761" s="271"/>
      <c r="BG761" s="271"/>
      <c r="BH761" s="271"/>
      <c r="BI761" s="271"/>
      <c r="BJ761" s="271"/>
      <c r="BK761" s="271"/>
      <c r="BL761" s="271"/>
      <c r="BM761" s="271"/>
      <c r="BN761" s="271"/>
      <c r="BO761" s="271"/>
      <c r="BP761" s="271"/>
      <c r="BQ761" s="271"/>
      <c r="BR761" s="271"/>
      <c r="BS761" s="271"/>
      <c r="BT761" s="271"/>
      <c r="BU761" s="271"/>
      <c r="BV761" s="271"/>
      <c r="BW761" s="271"/>
      <c r="BX761" s="271"/>
      <c r="BY761" s="271"/>
      <c r="BZ761" s="271"/>
      <c r="CA761" s="271"/>
      <c r="CB761" s="271"/>
      <c r="CC761" s="271"/>
      <c r="CD761" s="271"/>
      <c r="CE761" s="271"/>
    </row>
    <row r="762" spans="1:83" ht="12.6" customHeight="1" x14ac:dyDescent="0.25">
      <c r="A762" s="207" t="str">
        <f>RIGHT($C$83,3)&amp;"*"&amp;RIGHT($C$82,4)&amp;"*"&amp;AE$55&amp;"*"&amp;"A"</f>
        <v>126*2018*7200*A</v>
      </c>
      <c r="B762" s="270">
        <f>ROUND(AE59,0)</f>
        <v>12262</v>
      </c>
      <c r="C762" s="272">
        <f>ROUND(AE60,2)</f>
        <v>0</v>
      </c>
      <c r="D762" s="270">
        <f>ROUND(AE61,0)</f>
        <v>0</v>
      </c>
      <c r="E762" s="270">
        <f>ROUND(AE62,0)</f>
        <v>0</v>
      </c>
      <c r="F762" s="270">
        <f>ROUND(AE63,0)</f>
        <v>0</v>
      </c>
      <c r="G762" s="270">
        <f>ROUND(AE64,0)</f>
        <v>3019</v>
      </c>
      <c r="H762" s="270">
        <f>ROUND(AE65,0)</f>
        <v>-40</v>
      </c>
      <c r="I762" s="270">
        <f>ROUND(AE66,0)</f>
        <v>827533</v>
      </c>
      <c r="J762" s="270">
        <f>ROUND(AE67,0)</f>
        <v>325</v>
      </c>
      <c r="K762" s="270">
        <f>ROUND(AE68,0)</f>
        <v>1512</v>
      </c>
      <c r="L762" s="270">
        <f>ROUND(AE69,0)</f>
        <v>0</v>
      </c>
      <c r="M762" s="270">
        <f>ROUND(AE70,0)</f>
        <v>0</v>
      </c>
      <c r="N762" s="270">
        <f>ROUND(AE75,0)</f>
        <v>2499278</v>
      </c>
      <c r="O762" s="270">
        <f>ROUND(AE73,0)</f>
        <v>2308203</v>
      </c>
      <c r="P762" s="270">
        <f>IF(AE76&gt;0,ROUND(AE76,0),0)</f>
        <v>0</v>
      </c>
      <c r="Q762" s="270">
        <f>IF(AE77&gt;0,ROUND(AE77,0),0)</f>
        <v>0</v>
      </c>
      <c r="R762" s="270">
        <f>IF(AE78&gt;0,ROUND(AE78,0),0)</f>
        <v>0</v>
      </c>
      <c r="S762" s="270">
        <f>IF(AE79&gt;0,ROUND(AE79,0),0)</f>
        <v>0</v>
      </c>
      <c r="T762" s="272">
        <f>IF(AE80&gt;0,ROUND(AE80,2),0)</f>
        <v>0</v>
      </c>
      <c r="U762" s="270"/>
      <c r="V762" s="271"/>
      <c r="W762" s="270"/>
      <c r="X762" s="270"/>
      <c r="Y762" s="270">
        <f t="shared" si="21"/>
        <v>293078</v>
      </c>
      <c r="Z762" s="271"/>
      <c r="AA762" s="271"/>
      <c r="AB762" s="271"/>
      <c r="AC762" s="271"/>
      <c r="AD762" s="271"/>
      <c r="AE762" s="271"/>
      <c r="AF762" s="271"/>
      <c r="AG762" s="271"/>
      <c r="AH762" s="271"/>
      <c r="AI762" s="271"/>
      <c r="AJ762" s="271"/>
      <c r="AK762" s="271"/>
      <c r="AL762" s="271"/>
      <c r="AM762" s="271"/>
      <c r="AN762" s="271"/>
      <c r="AO762" s="271"/>
      <c r="AP762" s="271"/>
      <c r="AQ762" s="271"/>
      <c r="AR762" s="271"/>
      <c r="AS762" s="271"/>
      <c r="AT762" s="271"/>
      <c r="AU762" s="271"/>
      <c r="AV762" s="271"/>
      <c r="AW762" s="271"/>
      <c r="AX762" s="271"/>
      <c r="AY762" s="271"/>
      <c r="AZ762" s="271"/>
      <c r="BA762" s="271"/>
      <c r="BB762" s="271"/>
      <c r="BC762" s="271"/>
      <c r="BD762" s="271"/>
      <c r="BE762" s="271"/>
      <c r="BF762" s="271"/>
      <c r="BG762" s="271"/>
      <c r="BH762" s="271"/>
      <c r="BI762" s="271"/>
      <c r="BJ762" s="271"/>
      <c r="BK762" s="271"/>
      <c r="BL762" s="271"/>
      <c r="BM762" s="271"/>
      <c r="BN762" s="271"/>
      <c r="BO762" s="271"/>
      <c r="BP762" s="271"/>
      <c r="BQ762" s="271"/>
      <c r="BR762" s="271"/>
      <c r="BS762" s="271"/>
      <c r="BT762" s="271"/>
      <c r="BU762" s="271"/>
      <c r="BV762" s="271"/>
      <c r="BW762" s="271"/>
      <c r="BX762" s="271"/>
      <c r="BY762" s="271"/>
      <c r="BZ762" s="271"/>
      <c r="CA762" s="271"/>
      <c r="CB762" s="271"/>
      <c r="CC762" s="271"/>
      <c r="CD762" s="271"/>
      <c r="CE762" s="271"/>
    </row>
    <row r="763" spans="1:83" ht="12.6" customHeight="1" x14ac:dyDescent="0.25">
      <c r="A763" s="207" t="str">
        <f>RIGHT($C$83,3)&amp;"*"&amp;RIGHT($C$82,4)&amp;"*"&amp;AF$55&amp;"*"&amp;"A"</f>
        <v>126*2018*7220*A</v>
      </c>
      <c r="B763" s="270">
        <f>ROUND(AF59,0)</f>
        <v>0</v>
      </c>
      <c r="C763" s="272">
        <f>ROUND(AF60,2)</f>
        <v>0</v>
      </c>
      <c r="D763" s="270">
        <f>ROUND(AF61,0)</f>
        <v>0</v>
      </c>
      <c r="E763" s="270">
        <f>ROUND(AF62,0)</f>
        <v>0</v>
      </c>
      <c r="F763" s="270">
        <f>ROUND(AF63,0)</f>
        <v>0</v>
      </c>
      <c r="G763" s="270">
        <f>ROUND(AF64,0)</f>
        <v>0</v>
      </c>
      <c r="H763" s="270">
        <f>ROUND(AF65,0)</f>
        <v>0</v>
      </c>
      <c r="I763" s="270">
        <f>ROUND(AF66,0)</f>
        <v>0</v>
      </c>
      <c r="J763" s="270">
        <f>ROUND(AF67,0)</f>
        <v>0</v>
      </c>
      <c r="K763" s="270">
        <f>ROUND(AF68,0)</f>
        <v>0</v>
      </c>
      <c r="L763" s="270">
        <f>ROUND(AF69,0)</f>
        <v>0</v>
      </c>
      <c r="M763" s="270">
        <f>ROUND(AF70,0)</f>
        <v>0</v>
      </c>
      <c r="N763" s="270">
        <f>ROUND(AF75,0)</f>
        <v>0</v>
      </c>
      <c r="O763" s="270">
        <f>ROUND(AF73,0)</f>
        <v>0</v>
      </c>
      <c r="P763" s="270">
        <f>IF(AF76&gt;0,ROUND(AF76,0),0)</f>
        <v>0</v>
      </c>
      <c r="Q763" s="270">
        <f>IF(AF77&gt;0,ROUND(AF77,0),0)</f>
        <v>0</v>
      </c>
      <c r="R763" s="270">
        <f>IF(AF78&gt;0,ROUND(AF78,0),0)</f>
        <v>0</v>
      </c>
      <c r="S763" s="270">
        <f>IF(AF79&gt;0,ROUND(AF79,0),0)</f>
        <v>0</v>
      </c>
      <c r="T763" s="272">
        <f>IF(AF80&gt;0,ROUND(AF80,2),0)</f>
        <v>0</v>
      </c>
      <c r="U763" s="270"/>
      <c r="V763" s="271"/>
      <c r="W763" s="270"/>
      <c r="X763" s="270"/>
      <c r="Y763" s="270">
        <f t="shared" si="21"/>
        <v>0</v>
      </c>
      <c r="Z763" s="271"/>
      <c r="AA763" s="271"/>
      <c r="AB763" s="271"/>
      <c r="AC763" s="271"/>
      <c r="AD763" s="271"/>
      <c r="AE763" s="271"/>
      <c r="AF763" s="271"/>
      <c r="AG763" s="271"/>
      <c r="AH763" s="271"/>
      <c r="AI763" s="271"/>
      <c r="AJ763" s="271"/>
      <c r="AK763" s="271"/>
      <c r="AL763" s="271"/>
      <c r="AM763" s="271"/>
      <c r="AN763" s="271"/>
      <c r="AO763" s="271"/>
      <c r="AP763" s="271"/>
      <c r="AQ763" s="271"/>
      <c r="AR763" s="271"/>
      <c r="AS763" s="271"/>
      <c r="AT763" s="271"/>
      <c r="AU763" s="271"/>
      <c r="AV763" s="271"/>
      <c r="AW763" s="271"/>
      <c r="AX763" s="271"/>
      <c r="AY763" s="271"/>
      <c r="AZ763" s="271"/>
      <c r="BA763" s="271"/>
      <c r="BB763" s="271"/>
      <c r="BC763" s="271"/>
      <c r="BD763" s="271"/>
      <c r="BE763" s="271"/>
      <c r="BF763" s="271"/>
      <c r="BG763" s="271"/>
      <c r="BH763" s="271"/>
      <c r="BI763" s="271"/>
      <c r="BJ763" s="271"/>
      <c r="BK763" s="271"/>
      <c r="BL763" s="271"/>
      <c r="BM763" s="271"/>
      <c r="BN763" s="271"/>
      <c r="BO763" s="271"/>
      <c r="BP763" s="271"/>
      <c r="BQ763" s="271"/>
      <c r="BR763" s="271"/>
      <c r="BS763" s="271"/>
      <c r="BT763" s="271"/>
      <c r="BU763" s="271"/>
      <c r="BV763" s="271"/>
      <c r="BW763" s="271"/>
      <c r="BX763" s="271"/>
      <c r="BY763" s="271"/>
      <c r="BZ763" s="271"/>
      <c r="CA763" s="271"/>
      <c r="CB763" s="271"/>
      <c r="CC763" s="271"/>
      <c r="CD763" s="271"/>
      <c r="CE763" s="271"/>
    </row>
    <row r="764" spans="1:83" ht="12.6" customHeight="1" x14ac:dyDescent="0.25">
      <c r="A764" s="207" t="str">
        <f>RIGHT($C$83,3)&amp;"*"&amp;RIGHT($C$82,4)&amp;"*"&amp;AG$55&amp;"*"&amp;"A"</f>
        <v>126*2018*7230*A</v>
      </c>
      <c r="B764" s="270">
        <f>ROUND(AG59,0)</f>
        <v>45975</v>
      </c>
      <c r="C764" s="272">
        <f>ROUND(AG60,2)</f>
        <v>90.46</v>
      </c>
      <c r="D764" s="270">
        <f>ROUND(AG61,0)</f>
        <v>8477348</v>
      </c>
      <c r="E764" s="270">
        <f>ROUND(AG62,0)</f>
        <v>2114536</v>
      </c>
      <c r="F764" s="270">
        <f>ROUND(AG63,0)</f>
        <v>731473</v>
      </c>
      <c r="G764" s="270">
        <f>ROUND(AG64,0)</f>
        <v>1255013</v>
      </c>
      <c r="H764" s="270">
        <f>ROUND(AG65,0)</f>
        <v>798</v>
      </c>
      <c r="I764" s="270">
        <f>ROUND(AG66,0)</f>
        <v>604264</v>
      </c>
      <c r="J764" s="270">
        <f>ROUND(AG67,0)</f>
        <v>393784</v>
      </c>
      <c r="K764" s="270">
        <f>ROUND(AG68,0)</f>
        <v>21577</v>
      </c>
      <c r="L764" s="270">
        <f>ROUND(AG69,0)</f>
        <v>7894</v>
      </c>
      <c r="M764" s="270">
        <f>ROUND(AG70,0)</f>
        <v>6896</v>
      </c>
      <c r="N764" s="270">
        <f>ROUND(AG75,0)</f>
        <v>161091478</v>
      </c>
      <c r="O764" s="270">
        <f>ROUND(AG73,0)</f>
        <v>34419101</v>
      </c>
      <c r="P764" s="270">
        <f>IF(AG76&gt;0,ROUND(AG76,0),0)</f>
        <v>27038</v>
      </c>
      <c r="Q764" s="270">
        <f>IF(AG77&gt;0,ROUND(AG77,0),0)</f>
        <v>7945</v>
      </c>
      <c r="R764" s="270">
        <f>IF(AG78&gt;0,ROUND(AG78,0),0)</f>
        <v>8578</v>
      </c>
      <c r="S764" s="270">
        <f>IF(AG79&gt;0,ROUND(AG79,0),0)</f>
        <v>262293</v>
      </c>
      <c r="T764" s="272">
        <f>IF(AG80&gt;0,ROUND(AG80,2),0)</f>
        <v>46.38</v>
      </c>
      <c r="U764" s="270"/>
      <c r="V764" s="271"/>
      <c r="W764" s="270"/>
      <c r="X764" s="270"/>
      <c r="Y764" s="270">
        <f t="shared" si="21"/>
        <v>10135252</v>
      </c>
      <c r="Z764" s="271"/>
      <c r="AA764" s="271"/>
      <c r="AB764" s="271"/>
      <c r="AC764" s="271"/>
      <c r="AD764" s="271"/>
      <c r="AE764" s="271"/>
      <c r="AF764" s="271"/>
      <c r="AG764" s="271"/>
      <c r="AH764" s="271"/>
      <c r="AI764" s="271"/>
      <c r="AJ764" s="271"/>
      <c r="AK764" s="271"/>
      <c r="AL764" s="271"/>
      <c r="AM764" s="271"/>
      <c r="AN764" s="271"/>
      <c r="AO764" s="271"/>
      <c r="AP764" s="271"/>
      <c r="AQ764" s="271"/>
      <c r="AR764" s="271"/>
      <c r="AS764" s="271"/>
      <c r="AT764" s="271"/>
      <c r="AU764" s="271"/>
      <c r="AV764" s="271"/>
      <c r="AW764" s="271"/>
      <c r="AX764" s="271"/>
      <c r="AY764" s="271"/>
      <c r="AZ764" s="271"/>
      <c r="BA764" s="271"/>
      <c r="BB764" s="271"/>
      <c r="BC764" s="271"/>
      <c r="BD764" s="271"/>
      <c r="BE764" s="271"/>
      <c r="BF764" s="271"/>
      <c r="BG764" s="271"/>
      <c r="BH764" s="271"/>
      <c r="BI764" s="271"/>
      <c r="BJ764" s="271"/>
      <c r="BK764" s="271"/>
      <c r="BL764" s="271"/>
      <c r="BM764" s="271"/>
      <c r="BN764" s="271"/>
      <c r="BO764" s="271"/>
      <c r="BP764" s="271"/>
      <c r="BQ764" s="271"/>
      <c r="BR764" s="271"/>
      <c r="BS764" s="271"/>
      <c r="BT764" s="271"/>
      <c r="BU764" s="271"/>
      <c r="BV764" s="271"/>
      <c r="BW764" s="271"/>
      <c r="BX764" s="271"/>
      <c r="BY764" s="271"/>
      <c r="BZ764" s="271"/>
      <c r="CA764" s="271"/>
      <c r="CB764" s="271"/>
      <c r="CC764" s="271"/>
      <c r="CD764" s="271"/>
      <c r="CE764" s="271"/>
    </row>
    <row r="765" spans="1:83" ht="12.6" customHeight="1" x14ac:dyDescent="0.25">
      <c r="A765" s="207" t="str">
        <f>RIGHT($C$83,3)&amp;"*"&amp;RIGHT($C$82,4)&amp;"*"&amp;AH$55&amp;"*"&amp;"A"</f>
        <v>126*2018*7240*A</v>
      </c>
      <c r="B765" s="270">
        <f>ROUND(AH59,0)</f>
        <v>0</v>
      </c>
      <c r="C765" s="272">
        <f>ROUND(AH60,2)</f>
        <v>0</v>
      </c>
      <c r="D765" s="270">
        <f>ROUND(AH61,0)</f>
        <v>0</v>
      </c>
      <c r="E765" s="270">
        <f>ROUND(AH62,0)</f>
        <v>0</v>
      </c>
      <c r="F765" s="270">
        <f>ROUND(AH63,0)</f>
        <v>0</v>
      </c>
      <c r="G765" s="270">
        <f>ROUND(AH64,0)</f>
        <v>0</v>
      </c>
      <c r="H765" s="270">
        <f>ROUND(AH65,0)</f>
        <v>0</v>
      </c>
      <c r="I765" s="270">
        <f>ROUND(AH66,0)</f>
        <v>0</v>
      </c>
      <c r="J765" s="270">
        <f>ROUND(AH67,0)</f>
        <v>0</v>
      </c>
      <c r="K765" s="270">
        <f>ROUND(AH68,0)</f>
        <v>0</v>
      </c>
      <c r="L765" s="270">
        <f>ROUND(AH69,0)</f>
        <v>0</v>
      </c>
      <c r="M765" s="270">
        <f>ROUND(AH70,0)</f>
        <v>0</v>
      </c>
      <c r="N765" s="270">
        <f>ROUND(AH75,0)</f>
        <v>0</v>
      </c>
      <c r="O765" s="270">
        <f>ROUND(AH73,0)</f>
        <v>0</v>
      </c>
      <c r="P765" s="270">
        <f>IF(AH76&gt;0,ROUND(AH76,0),0)</f>
        <v>0</v>
      </c>
      <c r="Q765" s="270">
        <f>IF(AH77&gt;0,ROUND(AH77,0),0)</f>
        <v>0</v>
      </c>
      <c r="R765" s="270">
        <f>IF(AH78&gt;0,ROUND(AH78,0),0)</f>
        <v>0</v>
      </c>
      <c r="S765" s="270">
        <f>IF(AH79&gt;0,ROUND(AH79,0),0)</f>
        <v>0</v>
      </c>
      <c r="T765" s="272">
        <f>IF(AH80&gt;0,ROUND(AH80,2),0)</f>
        <v>0</v>
      </c>
      <c r="U765" s="270"/>
      <c r="V765" s="271"/>
      <c r="W765" s="270"/>
      <c r="X765" s="270"/>
      <c r="Y765" s="270">
        <f t="shared" si="21"/>
        <v>0</v>
      </c>
      <c r="Z765" s="271"/>
      <c r="AA765" s="271"/>
      <c r="AB765" s="271"/>
      <c r="AC765" s="271"/>
      <c r="AD765" s="271"/>
      <c r="AE765" s="271"/>
      <c r="AF765" s="271"/>
      <c r="AG765" s="271"/>
      <c r="AH765" s="271"/>
      <c r="AI765" s="271"/>
      <c r="AJ765" s="271"/>
      <c r="AK765" s="271"/>
      <c r="AL765" s="271"/>
      <c r="AM765" s="271"/>
      <c r="AN765" s="271"/>
      <c r="AO765" s="271"/>
      <c r="AP765" s="271"/>
      <c r="AQ765" s="271"/>
      <c r="AR765" s="271"/>
      <c r="AS765" s="271"/>
      <c r="AT765" s="271"/>
      <c r="AU765" s="271"/>
      <c r="AV765" s="271"/>
      <c r="AW765" s="271"/>
      <c r="AX765" s="271"/>
      <c r="AY765" s="271"/>
      <c r="AZ765" s="271"/>
      <c r="BA765" s="271"/>
      <c r="BB765" s="271"/>
      <c r="BC765" s="271"/>
      <c r="BD765" s="271"/>
      <c r="BE765" s="271"/>
      <c r="BF765" s="271"/>
      <c r="BG765" s="271"/>
      <c r="BH765" s="271"/>
      <c r="BI765" s="271"/>
      <c r="BJ765" s="271"/>
      <c r="BK765" s="271"/>
      <c r="BL765" s="271"/>
      <c r="BM765" s="271"/>
      <c r="BN765" s="271"/>
      <c r="BO765" s="271"/>
      <c r="BP765" s="271"/>
      <c r="BQ765" s="271"/>
      <c r="BR765" s="271"/>
      <c r="BS765" s="271"/>
      <c r="BT765" s="271"/>
      <c r="BU765" s="271"/>
      <c r="BV765" s="271"/>
      <c r="BW765" s="271"/>
      <c r="BX765" s="271"/>
      <c r="BY765" s="271"/>
      <c r="BZ765" s="271"/>
      <c r="CA765" s="271"/>
      <c r="CB765" s="271"/>
      <c r="CC765" s="271"/>
      <c r="CD765" s="271"/>
      <c r="CE765" s="271"/>
    </row>
    <row r="766" spans="1:83" ht="12.6" customHeight="1" x14ac:dyDescent="0.25">
      <c r="A766" s="207" t="str">
        <f>RIGHT($C$83,3)&amp;"*"&amp;RIGHT($C$82,4)&amp;"*"&amp;AI$55&amp;"*"&amp;"A"</f>
        <v>126*2018*7250*A</v>
      </c>
      <c r="B766" s="270">
        <f>ROUND(AI59,0)</f>
        <v>0</v>
      </c>
      <c r="C766" s="272">
        <f>ROUND(AI60,2)</f>
        <v>0</v>
      </c>
      <c r="D766" s="270">
        <f>ROUND(AI61,0)</f>
        <v>0</v>
      </c>
      <c r="E766" s="270">
        <f>ROUND(AI62,0)</f>
        <v>0</v>
      </c>
      <c r="F766" s="270">
        <f>ROUND(AI63,0)</f>
        <v>0</v>
      </c>
      <c r="G766" s="270">
        <f>ROUND(AI64,0)</f>
        <v>0</v>
      </c>
      <c r="H766" s="270">
        <f>ROUND(AI65,0)</f>
        <v>0</v>
      </c>
      <c r="I766" s="270">
        <f>ROUND(AI66,0)</f>
        <v>0</v>
      </c>
      <c r="J766" s="270">
        <f>ROUND(AI67,0)</f>
        <v>0</v>
      </c>
      <c r="K766" s="270">
        <f>ROUND(AI68,0)</f>
        <v>0</v>
      </c>
      <c r="L766" s="270">
        <f>ROUND(AI69,0)</f>
        <v>0</v>
      </c>
      <c r="M766" s="270">
        <f>ROUND(AI70,0)</f>
        <v>0</v>
      </c>
      <c r="N766" s="270">
        <f>ROUND(AI75,0)</f>
        <v>0</v>
      </c>
      <c r="O766" s="270">
        <f>ROUND(AI73,0)</f>
        <v>0</v>
      </c>
      <c r="P766" s="270">
        <f>IF(AI76&gt;0,ROUND(AI76,0),0)</f>
        <v>0</v>
      </c>
      <c r="Q766" s="270">
        <f>IF(AI77&gt;0,ROUND(AI77,0),0)</f>
        <v>0</v>
      </c>
      <c r="R766" s="270">
        <f>IF(AI78&gt;0,ROUND(AI78,0),0)</f>
        <v>0</v>
      </c>
      <c r="S766" s="270">
        <f>IF(AI79&gt;0,ROUND(AI79,0),0)</f>
        <v>0</v>
      </c>
      <c r="T766" s="272">
        <f>IF(AI80&gt;0,ROUND(AI80,2),0)</f>
        <v>0</v>
      </c>
      <c r="U766" s="270"/>
      <c r="V766" s="271"/>
      <c r="W766" s="270"/>
      <c r="X766" s="270"/>
      <c r="Y766" s="270">
        <f t="shared" si="21"/>
        <v>0</v>
      </c>
      <c r="Z766" s="271"/>
      <c r="AA766" s="271"/>
      <c r="AB766" s="271"/>
      <c r="AC766" s="271"/>
      <c r="AD766" s="271"/>
      <c r="AE766" s="271"/>
      <c r="AF766" s="271"/>
      <c r="AG766" s="271"/>
      <c r="AH766" s="271"/>
      <c r="AI766" s="271"/>
      <c r="AJ766" s="271"/>
      <c r="AK766" s="271"/>
      <c r="AL766" s="271"/>
      <c r="AM766" s="271"/>
      <c r="AN766" s="271"/>
      <c r="AO766" s="271"/>
      <c r="AP766" s="271"/>
      <c r="AQ766" s="271"/>
      <c r="AR766" s="271"/>
      <c r="AS766" s="271"/>
      <c r="AT766" s="271"/>
      <c r="AU766" s="271"/>
      <c r="AV766" s="271"/>
      <c r="AW766" s="271"/>
      <c r="AX766" s="271"/>
      <c r="AY766" s="271"/>
      <c r="AZ766" s="271"/>
      <c r="BA766" s="271"/>
      <c r="BB766" s="271"/>
      <c r="BC766" s="271"/>
      <c r="BD766" s="271"/>
      <c r="BE766" s="271"/>
      <c r="BF766" s="271"/>
      <c r="BG766" s="271"/>
      <c r="BH766" s="271"/>
      <c r="BI766" s="271"/>
      <c r="BJ766" s="271"/>
      <c r="BK766" s="271"/>
      <c r="BL766" s="271"/>
      <c r="BM766" s="271"/>
      <c r="BN766" s="271"/>
      <c r="BO766" s="271"/>
      <c r="BP766" s="271"/>
      <c r="BQ766" s="271"/>
      <c r="BR766" s="271"/>
      <c r="BS766" s="271"/>
      <c r="BT766" s="271"/>
      <c r="BU766" s="271"/>
      <c r="BV766" s="271"/>
      <c r="BW766" s="271"/>
      <c r="BX766" s="271"/>
      <c r="BY766" s="271"/>
      <c r="BZ766" s="271"/>
      <c r="CA766" s="271"/>
      <c r="CB766" s="271"/>
      <c r="CC766" s="271"/>
      <c r="CD766" s="271"/>
      <c r="CE766" s="271"/>
    </row>
    <row r="767" spans="1:83" ht="12.6" customHeight="1" x14ac:dyDescent="0.25">
      <c r="A767" s="207" t="str">
        <f>RIGHT($C$83,3)&amp;"*"&amp;RIGHT($C$82,4)&amp;"*"&amp;AJ$55&amp;"*"&amp;"A"</f>
        <v>126*2018*7260*A</v>
      </c>
      <c r="B767" s="270">
        <f>ROUND(AJ59,0)</f>
        <v>12879</v>
      </c>
      <c r="C767" s="272">
        <f>ROUND(AJ60,2)</f>
        <v>33.229999999999997</v>
      </c>
      <c r="D767" s="270">
        <f>ROUND(AJ61,0)</f>
        <v>2367319</v>
      </c>
      <c r="E767" s="270">
        <f>ROUND(AJ62,0)</f>
        <v>734498</v>
      </c>
      <c r="F767" s="270">
        <f>ROUND(AJ63,0)</f>
        <v>1228084</v>
      </c>
      <c r="G767" s="270">
        <f>ROUND(AJ64,0)</f>
        <v>684809</v>
      </c>
      <c r="H767" s="270">
        <f>ROUND(AJ65,0)</f>
        <v>9698</v>
      </c>
      <c r="I767" s="270">
        <f>ROUND(AJ66,0)</f>
        <v>967683</v>
      </c>
      <c r="J767" s="270">
        <f>ROUND(AJ67,0)</f>
        <v>428780</v>
      </c>
      <c r="K767" s="270">
        <f>ROUND(AJ68,0)</f>
        <v>563745</v>
      </c>
      <c r="L767" s="270">
        <f>ROUND(AJ69,0)</f>
        <v>22314</v>
      </c>
      <c r="M767" s="270">
        <f>ROUND(AJ70,0)</f>
        <v>1568375</v>
      </c>
      <c r="N767" s="270">
        <f>ROUND(AJ75,0)</f>
        <v>20558184</v>
      </c>
      <c r="O767" s="270">
        <f>ROUND(AJ73,0)</f>
        <v>166658</v>
      </c>
      <c r="P767" s="270">
        <f>IF(AJ76&gt;0,ROUND(AJ76,0),0)</f>
        <v>15672</v>
      </c>
      <c r="Q767" s="270">
        <f>IF(AJ77&gt;0,ROUND(AJ77,0),0)</f>
        <v>0</v>
      </c>
      <c r="R767" s="270">
        <f>IF(AJ78&gt;0,ROUND(AJ78,0),0)</f>
        <v>4972</v>
      </c>
      <c r="S767" s="270">
        <f>IF(AJ79&gt;0,ROUND(AJ79,0),0)</f>
        <v>8907</v>
      </c>
      <c r="T767" s="272">
        <f>IF(AJ80&gt;0,ROUND(AJ80,2),0)</f>
        <v>6.99</v>
      </c>
      <c r="U767" s="270"/>
      <c r="V767" s="271"/>
      <c r="W767" s="270"/>
      <c r="X767" s="270"/>
      <c r="Y767" s="270">
        <f t="shared" si="21"/>
        <v>3096113</v>
      </c>
      <c r="Z767" s="271"/>
      <c r="AA767" s="271"/>
      <c r="AB767" s="271"/>
      <c r="AC767" s="271"/>
      <c r="AD767" s="271"/>
      <c r="AE767" s="271"/>
      <c r="AF767" s="271"/>
      <c r="AG767" s="271"/>
      <c r="AH767" s="271"/>
      <c r="AI767" s="271"/>
      <c r="AJ767" s="271"/>
      <c r="AK767" s="271"/>
      <c r="AL767" s="271"/>
      <c r="AM767" s="271"/>
      <c r="AN767" s="271"/>
      <c r="AO767" s="271"/>
      <c r="AP767" s="271"/>
      <c r="AQ767" s="271"/>
      <c r="AR767" s="271"/>
      <c r="AS767" s="271"/>
      <c r="AT767" s="271"/>
      <c r="AU767" s="271"/>
      <c r="AV767" s="271"/>
      <c r="AW767" s="271"/>
      <c r="AX767" s="271"/>
      <c r="AY767" s="271"/>
      <c r="AZ767" s="271"/>
      <c r="BA767" s="271"/>
      <c r="BB767" s="271"/>
      <c r="BC767" s="271"/>
      <c r="BD767" s="271"/>
      <c r="BE767" s="271"/>
      <c r="BF767" s="271"/>
      <c r="BG767" s="271"/>
      <c r="BH767" s="271"/>
      <c r="BI767" s="271"/>
      <c r="BJ767" s="271"/>
      <c r="BK767" s="271"/>
      <c r="BL767" s="271"/>
      <c r="BM767" s="271"/>
      <c r="BN767" s="271"/>
      <c r="BO767" s="271"/>
      <c r="BP767" s="271"/>
      <c r="BQ767" s="271"/>
      <c r="BR767" s="271"/>
      <c r="BS767" s="271"/>
      <c r="BT767" s="271"/>
      <c r="BU767" s="271"/>
      <c r="BV767" s="271"/>
      <c r="BW767" s="271"/>
      <c r="BX767" s="271"/>
      <c r="BY767" s="271"/>
      <c r="BZ767" s="271"/>
      <c r="CA767" s="271"/>
      <c r="CB767" s="271"/>
      <c r="CC767" s="271"/>
      <c r="CD767" s="271"/>
      <c r="CE767" s="271"/>
    </row>
    <row r="768" spans="1:83" ht="12.6" customHeight="1" x14ac:dyDescent="0.25">
      <c r="A768" s="207" t="str">
        <f>RIGHT($C$83,3)&amp;"*"&amp;RIGHT($C$82,4)&amp;"*"&amp;AK$55&amp;"*"&amp;"A"</f>
        <v>126*2018*7310*A</v>
      </c>
      <c r="B768" s="270">
        <f>ROUND(AK59,0)</f>
        <v>3644</v>
      </c>
      <c r="C768" s="272">
        <f>ROUND(AK60,2)</f>
        <v>3.2</v>
      </c>
      <c r="D768" s="270">
        <f>ROUND(AK61,0)</f>
        <v>232379</v>
      </c>
      <c r="E768" s="270">
        <f>ROUND(AK62,0)</f>
        <v>77369</v>
      </c>
      <c r="F768" s="270">
        <f>ROUND(AK63,0)</f>
        <v>0</v>
      </c>
      <c r="G768" s="270">
        <f>ROUND(AK64,0)</f>
        <v>819</v>
      </c>
      <c r="H768" s="270">
        <f>ROUND(AK65,0)</f>
        <v>320</v>
      </c>
      <c r="I768" s="270">
        <f>ROUND(AK66,0)</f>
        <v>181017</v>
      </c>
      <c r="J768" s="270">
        <f>ROUND(AK67,0)</f>
        <v>45</v>
      </c>
      <c r="K768" s="270">
        <f>ROUND(AK68,0)</f>
        <v>0</v>
      </c>
      <c r="L768" s="270">
        <f>ROUND(AK69,0)</f>
        <v>305</v>
      </c>
      <c r="M768" s="270">
        <f>ROUND(AK70,0)</f>
        <v>200290</v>
      </c>
      <c r="N768" s="270">
        <f>ROUND(AK75,0)</f>
        <v>1794155</v>
      </c>
      <c r="O768" s="270">
        <f>ROUND(AK73,0)</f>
        <v>1660427</v>
      </c>
      <c r="P768" s="270">
        <f>IF(AK76&gt;0,ROUND(AK76,0),0)</f>
        <v>76</v>
      </c>
      <c r="Q768" s="270">
        <f>IF(AK77&gt;0,ROUND(AK77,0),0)</f>
        <v>0</v>
      </c>
      <c r="R768" s="270">
        <f>IF(AK78&gt;0,ROUND(AK78,0),0)</f>
        <v>24</v>
      </c>
      <c r="S768" s="270">
        <f>IF(AK79&gt;0,ROUND(AK79,0),0)</f>
        <v>0</v>
      </c>
      <c r="T768" s="272">
        <f>IF(AK80&gt;0,ROUND(AK80,2),0)</f>
        <v>0</v>
      </c>
      <c r="U768" s="270"/>
      <c r="V768" s="271"/>
      <c r="W768" s="270"/>
      <c r="X768" s="270"/>
      <c r="Y768" s="270">
        <f t="shared" si="21"/>
        <v>146436</v>
      </c>
      <c r="Z768" s="271"/>
      <c r="AA768" s="271"/>
      <c r="AB768" s="271"/>
      <c r="AC768" s="271"/>
      <c r="AD768" s="271"/>
      <c r="AE768" s="271"/>
      <c r="AF768" s="271"/>
      <c r="AG768" s="271"/>
      <c r="AH768" s="271"/>
      <c r="AI768" s="271"/>
      <c r="AJ768" s="271"/>
      <c r="AK768" s="271"/>
      <c r="AL768" s="271"/>
      <c r="AM768" s="271"/>
      <c r="AN768" s="271"/>
      <c r="AO768" s="271"/>
      <c r="AP768" s="271"/>
      <c r="AQ768" s="271"/>
      <c r="AR768" s="271"/>
      <c r="AS768" s="271"/>
      <c r="AT768" s="271"/>
      <c r="AU768" s="271"/>
      <c r="AV768" s="271"/>
      <c r="AW768" s="271"/>
      <c r="AX768" s="271"/>
      <c r="AY768" s="271"/>
      <c r="AZ768" s="271"/>
      <c r="BA768" s="271"/>
      <c r="BB768" s="271"/>
      <c r="BC768" s="271"/>
      <c r="BD768" s="271"/>
      <c r="BE768" s="271"/>
      <c r="BF768" s="271"/>
      <c r="BG768" s="271"/>
      <c r="BH768" s="271"/>
      <c r="BI768" s="271"/>
      <c r="BJ768" s="271"/>
      <c r="BK768" s="271"/>
      <c r="BL768" s="271"/>
      <c r="BM768" s="271"/>
      <c r="BN768" s="271"/>
      <c r="BO768" s="271"/>
      <c r="BP768" s="271"/>
      <c r="BQ768" s="271"/>
      <c r="BR768" s="271"/>
      <c r="BS768" s="271"/>
      <c r="BT768" s="271"/>
      <c r="BU768" s="271"/>
      <c r="BV768" s="271"/>
      <c r="BW768" s="271"/>
      <c r="BX768" s="271"/>
      <c r="BY768" s="271"/>
      <c r="BZ768" s="271"/>
      <c r="CA768" s="271"/>
      <c r="CB768" s="271"/>
      <c r="CC768" s="271"/>
      <c r="CD768" s="271"/>
      <c r="CE768" s="271"/>
    </row>
    <row r="769" spans="1:83" ht="12.6" customHeight="1" x14ac:dyDescent="0.25">
      <c r="A769" s="207" t="str">
        <f>RIGHT($C$83,3)&amp;"*"&amp;RIGHT($C$82,4)&amp;"*"&amp;AL$55&amp;"*"&amp;"A"</f>
        <v>126*2018*7320*A</v>
      </c>
      <c r="B769" s="270">
        <f>ROUND(AL59,0)</f>
        <v>2443</v>
      </c>
      <c r="C769" s="272">
        <f>ROUND(AL60,2)</f>
        <v>2.42</v>
      </c>
      <c r="D769" s="270">
        <f>ROUND(AL61,0)</f>
        <v>219017</v>
      </c>
      <c r="E769" s="270">
        <f>ROUND(AL62,0)</f>
        <v>62380</v>
      </c>
      <c r="F769" s="270">
        <f>ROUND(AL63,0)</f>
        <v>0</v>
      </c>
      <c r="G769" s="270">
        <f>ROUND(AL64,0)</f>
        <v>338</v>
      </c>
      <c r="H769" s="270">
        <f>ROUND(AL65,0)</f>
        <v>359</v>
      </c>
      <c r="I769" s="270">
        <f>ROUND(AL66,0)</f>
        <v>24148</v>
      </c>
      <c r="J769" s="270">
        <f>ROUND(AL67,0)</f>
        <v>3</v>
      </c>
      <c r="K769" s="270">
        <f>ROUND(AL68,0)</f>
        <v>0</v>
      </c>
      <c r="L769" s="270">
        <f>ROUND(AL69,0)</f>
        <v>639</v>
      </c>
      <c r="M769" s="270">
        <f>ROUND(AL70,0)</f>
        <v>250608</v>
      </c>
      <c r="N769" s="270">
        <f>ROUND(AL75,0)</f>
        <v>1134165</v>
      </c>
      <c r="O769" s="270">
        <f>ROUND(AL73,0)</f>
        <v>1087559</v>
      </c>
      <c r="P769" s="270">
        <f>IF(AL76&gt;0,ROUND(AL76,0),0)</f>
        <v>77</v>
      </c>
      <c r="Q769" s="270">
        <f>IF(AL77&gt;0,ROUND(AL77,0),0)</f>
        <v>0</v>
      </c>
      <c r="R769" s="270">
        <f>IF(AL78&gt;0,ROUND(AL78,0),0)</f>
        <v>24</v>
      </c>
      <c r="S769" s="270">
        <f>IF(AL79&gt;0,ROUND(AL79,0),0)</f>
        <v>0</v>
      </c>
      <c r="T769" s="272">
        <f>IF(AL80&gt;0,ROUND(AL80,2),0)</f>
        <v>0</v>
      </c>
      <c r="U769" s="270"/>
      <c r="V769" s="271"/>
      <c r="W769" s="270"/>
      <c r="X769" s="270"/>
      <c r="Y769" s="270">
        <f t="shared" si="21"/>
        <v>59415</v>
      </c>
      <c r="Z769" s="271"/>
      <c r="AA769" s="271"/>
      <c r="AB769" s="271"/>
      <c r="AC769" s="271"/>
      <c r="AD769" s="271"/>
      <c r="AE769" s="271"/>
      <c r="AF769" s="271"/>
      <c r="AG769" s="271"/>
      <c r="AH769" s="271"/>
      <c r="AI769" s="271"/>
      <c r="AJ769" s="271"/>
      <c r="AK769" s="271"/>
      <c r="AL769" s="271"/>
      <c r="AM769" s="271"/>
      <c r="AN769" s="271"/>
      <c r="AO769" s="271"/>
      <c r="AP769" s="271"/>
      <c r="AQ769" s="271"/>
      <c r="AR769" s="271"/>
      <c r="AS769" s="271"/>
      <c r="AT769" s="271"/>
      <c r="AU769" s="271"/>
      <c r="AV769" s="271"/>
      <c r="AW769" s="271"/>
      <c r="AX769" s="271"/>
      <c r="AY769" s="271"/>
      <c r="AZ769" s="271"/>
      <c r="BA769" s="271"/>
      <c r="BB769" s="271"/>
      <c r="BC769" s="271"/>
      <c r="BD769" s="271"/>
      <c r="BE769" s="271"/>
      <c r="BF769" s="271"/>
      <c r="BG769" s="271"/>
      <c r="BH769" s="271"/>
      <c r="BI769" s="271"/>
      <c r="BJ769" s="271"/>
      <c r="BK769" s="271"/>
      <c r="BL769" s="271"/>
      <c r="BM769" s="271"/>
      <c r="BN769" s="271"/>
      <c r="BO769" s="271"/>
      <c r="BP769" s="271"/>
      <c r="BQ769" s="271"/>
      <c r="BR769" s="271"/>
      <c r="BS769" s="271"/>
      <c r="BT769" s="271"/>
      <c r="BU769" s="271"/>
      <c r="BV769" s="271"/>
      <c r="BW769" s="271"/>
      <c r="BX769" s="271"/>
      <c r="BY769" s="271"/>
      <c r="BZ769" s="271"/>
      <c r="CA769" s="271"/>
      <c r="CB769" s="271"/>
      <c r="CC769" s="271"/>
      <c r="CD769" s="271"/>
      <c r="CE769" s="271"/>
    </row>
    <row r="770" spans="1:83" ht="12.6" customHeight="1" x14ac:dyDescent="0.25">
      <c r="A770" s="207" t="str">
        <f>RIGHT($C$83,3)&amp;"*"&amp;RIGHT($C$82,4)&amp;"*"&amp;AM$55&amp;"*"&amp;"A"</f>
        <v>126*2018*7330*A</v>
      </c>
      <c r="B770" s="270">
        <f>ROUND(AM59,0)</f>
        <v>0</v>
      </c>
      <c r="C770" s="272">
        <f>ROUND(AM60,2)</f>
        <v>0</v>
      </c>
      <c r="D770" s="270">
        <f>ROUND(AM61,0)</f>
        <v>0</v>
      </c>
      <c r="E770" s="270">
        <f>ROUND(AM62,0)</f>
        <v>0</v>
      </c>
      <c r="F770" s="270">
        <f>ROUND(AM63,0)</f>
        <v>0</v>
      </c>
      <c r="G770" s="270">
        <f>ROUND(AM64,0)</f>
        <v>0</v>
      </c>
      <c r="H770" s="270">
        <f>ROUND(AM65,0)</f>
        <v>0</v>
      </c>
      <c r="I770" s="270">
        <f>ROUND(AM66,0)</f>
        <v>0</v>
      </c>
      <c r="J770" s="270">
        <f>ROUND(AM67,0)</f>
        <v>0</v>
      </c>
      <c r="K770" s="270">
        <f>ROUND(AM68,0)</f>
        <v>0</v>
      </c>
      <c r="L770" s="270">
        <f>ROUND(AM69,0)</f>
        <v>0</v>
      </c>
      <c r="M770" s="270">
        <f>ROUND(AM70,0)</f>
        <v>0</v>
      </c>
      <c r="N770" s="270">
        <f>ROUND(AM75,0)</f>
        <v>0</v>
      </c>
      <c r="O770" s="270">
        <f>ROUND(AM73,0)</f>
        <v>0</v>
      </c>
      <c r="P770" s="270">
        <f>IF(AM76&gt;0,ROUND(AM76,0),0)</f>
        <v>0</v>
      </c>
      <c r="Q770" s="270">
        <f>IF(AM77&gt;0,ROUND(AM77,0),0)</f>
        <v>0</v>
      </c>
      <c r="R770" s="270">
        <f>IF(AM78&gt;0,ROUND(AM78,0),0)</f>
        <v>0</v>
      </c>
      <c r="S770" s="270">
        <f>IF(AM79&gt;0,ROUND(AM79,0),0)</f>
        <v>0</v>
      </c>
      <c r="T770" s="272">
        <f>IF(AM80&gt;0,ROUND(AM80,2),0)</f>
        <v>0</v>
      </c>
      <c r="U770" s="270"/>
      <c r="V770" s="271"/>
      <c r="W770" s="270"/>
      <c r="X770" s="270"/>
      <c r="Y770" s="270">
        <f t="shared" si="21"/>
        <v>0</v>
      </c>
      <c r="Z770" s="271"/>
      <c r="AA770" s="271"/>
      <c r="AB770" s="271"/>
      <c r="AC770" s="271"/>
      <c r="AD770" s="271"/>
      <c r="AE770" s="271"/>
      <c r="AF770" s="271"/>
      <c r="AG770" s="271"/>
      <c r="AH770" s="271"/>
      <c r="AI770" s="271"/>
      <c r="AJ770" s="271"/>
      <c r="AK770" s="271"/>
      <c r="AL770" s="271"/>
      <c r="AM770" s="271"/>
      <c r="AN770" s="271"/>
      <c r="AO770" s="271"/>
      <c r="AP770" s="271"/>
      <c r="AQ770" s="271"/>
      <c r="AR770" s="271"/>
      <c r="AS770" s="271"/>
      <c r="AT770" s="271"/>
      <c r="AU770" s="271"/>
      <c r="AV770" s="271"/>
      <c r="AW770" s="271"/>
      <c r="AX770" s="271"/>
      <c r="AY770" s="271"/>
      <c r="AZ770" s="271"/>
      <c r="BA770" s="271"/>
      <c r="BB770" s="271"/>
      <c r="BC770" s="271"/>
      <c r="BD770" s="271"/>
      <c r="BE770" s="271"/>
      <c r="BF770" s="271"/>
      <c r="BG770" s="271"/>
      <c r="BH770" s="271"/>
      <c r="BI770" s="271"/>
      <c r="BJ770" s="271"/>
      <c r="BK770" s="271"/>
      <c r="BL770" s="271"/>
      <c r="BM770" s="271"/>
      <c r="BN770" s="271"/>
      <c r="BO770" s="271"/>
      <c r="BP770" s="271"/>
      <c r="BQ770" s="271"/>
      <c r="BR770" s="271"/>
      <c r="BS770" s="271"/>
      <c r="BT770" s="271"/>
      <c r="BU770" s="271"/>
      <c r="BV770" s="271"/>
      <c r="BW770" s="271"/>
      <c r="BX770" s="271"/>
      <c r="BY770" s="271"/>
      <c r="BZ770" s="271"/>
      <c r="CA770" s="271"/>
      <c r="CB770" s="271"/>
      <c r="CC770" s="271"/>
      <c r="CD770" s="271"/>
      <c r="CE770" s="271"/>
    </row>
    <row r="771" spans="1:83" ht="12.6" customHeight="1" x14ac:dyDescent="0.25">
      <c r="A771" s="207" t="str">
        <f>RIGHT($C$83,3)&amp;"*"&amp;RIGHT($C$82,4)&amp;"*"&amp;AN$55&amp;"*"&amp;"A"</f>
        <v>126*2018*7340*A</v>
      </c>
      <c r="B771" s="270">
        <f>ROUND(AN59,0)</f>
        <v>0</v>
      </c>
      <c r="C771" s="272">
        <f>ROUND(AN60,2)</f>
        <v>0</v>
      </c>
      <c r="D771" s="270">
        <f>ROUND(AN61,0)</f>
        <v>0</v>
      </c>
      <c r="E771" s="270">
        <f>ROUND(AN62,0)</f>
        <v>0</v>
      </c>
      <c r="F771" s="270">
        <f>ROUND(AN63,0)</f>
        <v>0</v>
      </c>
      <c r="G771" s="270">
        <f>ROUND(AN64,0)</f>
        <v>0</v>
      </c>
      <c r="H771" s="270">
        <f>ROUND(AN65,0)</f>
        <v>0</v>
      </c>
      <c r="I771" s="270">
        <f>ROUND(AN66,0)</f>
        <v>0</v>
      </c>
      <c r="J771" s="270">
        <f>ROUND(AN67,0)</f>
        <v>0</v>
      </c>
      <c r="K771" s="270">
        <f>ROUND(AN68,0)</f>
        <v>0</v>
      </c>
      <c r="L771" s="270">
        <f>ROUND(AN69,0)</f>
        <v>0</v>
      </c>
      <c r="M771" s="270">
        <f>ROUND(AN70,0)</f>
        <v>0</v>
      </c>
      <c r="N771" s="270">
        <f>ROUND(AN75,0)</f>
        <v>0</v>
      </c>
      <c r="O771" s="270">
        <f>ROUND(AN73,0)</f>
        <v>0</v>
      </c>
      <c r="P771" s="270">
        <f>IF(AN76&gt;0,ROUND(AN76,0),0)</f>
        <v>0</v>
      </c>
      <c r="Q771" s="270">
        <f>IF(AN77&gt;0,ROUND(AN77,0),0)</f>
        <v>0</v>
      </c>
      <c r="R771" s="270">
        <f>IF(AN78&gt;0,ROUND(AN78,0),0)</f>
        <v>0</v>
      </c>
      <c r="S771" s="270">
        <f>IF(AN79&gt;0,ROUND(AN79,0),0)</f>
        <v>0</v>
      </c>
      <c r="T771" s="272">
        <f>IF(AN80&gt;0,ROUND(AN80,2),0)</f>
        <v>0</v>
      </c>
      <c r="U771" s="270"/>
      <c r="V771" s="271"/>
      <c r="W771" s="270"/>
      <c r="X771" s="270"/>
      <c r="Y771" s="270">
        <f t="shared" si="21"/>
        <v>0</v>
      </c>
      <c r="Z771" s="271"/>
      <c r="AA771" s="271"/>
      <c r="AB771" s="271"/>
      <c r="AC771" s="271"/>
      <c r="AD771" s="271"/>
      <c r="AE771" s="271"/>
      <c r="AF771" s="271"/>
      <c r="AG771" s="271"/>
      <c r="AH771" s="271"/>
      <c r="AI771" s="271"/>
      <c r="AJ771" s="271"/>
      <c r="AK771" s="271"/>
      <c r="AL771" s="271"/>
      <c r="AM771" s="271"/>
      <c r="AN771" s="271"/>
      <c r="AO771" s="271"/>
      <c r="AP771" s="271"/>
      <c r="AQ771" s="271"/>
      <c r="AR771" s="271"/>
      <c r="AS771" s="271"/>
      <c r="AT771" s="271"/>
      <c r="AU771" s="271"/>
      <c r="AV771" s="271"/>
      <c r="AW771" s="271"/>
      <c r="AX771" s="271"/>
      <c r="AY771" s="271"/>
      <c r="AZ771" s="271"/>
      <c r="BA771" s="271"/>
      <c r="BB771" s="271"/>
      <c r="BC771" s="271"/>
      <c r="BD771" s="271"/>
      <c r="BE771" s="271"/>
      <c r="BF771" s="271"/>
      <c r="BG771" s="271"/>
      <c r="BH771" s="271"/>
      <c r="BI771" s="271"/>
      <c r="BJ771" s="271"/>
      <c r="BK771" s="271"/>
      <c r="BL771" s="271"/>
      <c r="BM771" s="271"/>
      <c r="BN771" s="271"/>
      <c r="BO771" s="271"/>
      <c r="BP771" s="271"/>
      <c r="BQ771" s="271"/>
      <c r="BR771" s="271"/>
      <c r="BS771" s="271"/>
      <c r="BT771" s="271"/>
      <c r="BU771" s="271"/>
      <c r="BV771" s="271"/>
      <c r="BW771" s="271"/>
      <c r="BX771" s="271"/>
      <c r="BY771" s="271"/>
      <c r="BZ771" s="271"/>
      <c r="CA771" s="271"/>
      <c r="CB771" s="271"/>
      <c r="CC771" s="271"/>
      <c r="CD771" s="271"/>
      <c r="CE771" s="271"/>
    </row>
    <row r="772" spans="1:83" ht="12.6" customHeight="1" x14ac:dyDescent="0.25">
      <c r="A772" s="207" t="str">
        <f>RIGHT($C$83,3)&amp;"*"&amp;RIGHT($C$82,4)&amp;"*"&amp;AO$55&amp;"*"&amp;"A"</f>
        <v>126*2018*7350*A</v>
      </c>
      <c r="B772" s="270">
        <f>ROUND(AO59,0)</f>
        <v>0</v>
      </c>
      <c r="C772" s="272">
        <f>ROUND(AO60,2)</f>
        <v>0</v>
      </c>
      <c r="D772" s="270">
        <f>ROUND(AO61,0)</f>
        <v>0</v>
      </c>
      <c r="E772" s="270">
        <f>ROUND(AO62,0)</f>
        <v>0</v>
      </c>
      <c r="F772" s="270">
        <f>ROUND(AO63,0)</f>
        <v>0</v>
      </c>
      <c r="G772" s="270">
        <f>ROUND(AO64,0)</f>
        <v>0</v>
      </c>
      <c r="H772" s="270">
        <f>ROUND(AO65,0)</f>
        <v>0</v>
      </c>
      <c r="I772" s="270">
        <f>ROUND(AO66,0)</f>
        <v>0</v>
      </c>
      <c r="J772" s="270">
        <f>ROUND(AO67,0)</f>
        <v>0</v>
      </c>
      <c r="K772" s="270">
        <f>ROUND(AO68,0)</f>
        <v>0</v>
      </c>
      <c r="L772" s="270">
        <f>ROUND(AO69,0)</f>
        <v>0</v>
      </c>
      <c r="M772" s="270">
        <f>ROUND(AO70,0)</f>
        <v>0</v>
      </c>
      <c r="N772" s="270">
        <f>ROUND(AO75,0)</f>
        <v>0</v>
      </c>
      <c r="O772" s="270">
        <f>ROUND(AO73,0)</f>
        <v>0</v>
      </c>
      <c r="P772" s="270">
        <f>IF(AO76&gt;0,ROUND(AO76,0),0)</f>
        <v>0</v>
      </c>
      <c r="Q772" s="270">
        <f>IF(AO77&gt;0,ROUND(AO77,0),0)</f>
        <v>0</v>
      </c>
      <c r="R772" s="270">
        <f>IF(AO78&gt;0,ROUND(AO78,0),0)</f>
        <v>0</v>
      </c>
      <c r="S772" s="270">
        <f>IF(AO79&gt;0,ROUND(AO79,0),0)</f>
        <v>0</v>
      </c>
      <c r="T772" s="272">
        <f>IF(AO80&gt;0,ROUND(AO80,2),0)</f>
        <v>0</v>
      </c>
      <c r="U772" s="270"/>
      <c r="V772" s="271"/>
      <c r="W772" s="270"/>
      <c r="X772" s="270"/>
      <c r="Y772" s="270">
        <f t="shared" si="21"/>
        <v>0</v>
      </c>
      <c r="Z772" s="271"/>
      <c r="AA772" s="271"/>
      <c r="AB772" s="271"/>
      <c r="AC772" s="271"/>
      <c r="AD772" s="271"/>
      <c r="AE772" s="271"/>
      <c r="AF772" s="271"/>
      <c r="AG772" s="271"/>
      <c r="AH772" s="271"/>
      <c r="AI772" s="271"/>
      <c r="AJ772" s="271"/>
      <c r="AK772" s="271"/>
      <c r="AL772" s="271"/>
      <c r="AM772" s="271"/>
      <c r="AN772" s="271"/>
      <c r="AO772" s="271"/>
      <c r="AP772" s="271"/>
      <c r="AQ772" s="271"/>
      <c r="AR772" s="271"/>
      <c r="AS772" s="271"/>
      <c r="AT772" s="271"/>
      <c r="AU772" s="271"/>
      <c r="AV772" s="271"/>
      <c r="AW772" s="271"/>
      <c r="AX772" s="271"/>
      <c r="AY772" s="271"/>
      <c r="AZ772" s="271"/>
      <c r="BA772" s="271"/>
      <c r="BB772" s="271"/>
      <c r="BC772" s="271"/>
      <c r="BD772" s="271"/>
      <c r="BE772" s="271"/>
      <c r="BF772" s="271"/>
      <c r="BG772" s="271"/>
      <c r="BH772" s="271"/>
      <c r="BI772" s="271"/>
      <c r="BJ772" s="271"/>
      <c r="BK772" s="271"/>
      <c r="BL772" s="271"/>
      <c r="BM772" s="271"/>
      <c r="BN772" s="271"/>
      <c r="BO772" s="271"/>
      <c r="BP772" s="271"/>
      <c r="BQ772" s="271"/>
      <c r="BR772" s="271"/>
      <c r="BS772" s="271"/>
      <c r="BT772" s="271"/>
      <c r="BU772" s="271"/>
      <c r="BV772" s="271"/>
      <c r="BW772" s="271"/>
      <c r="BX772" s="271"/>
      <c r="BY772" s="271"/>
      <c r="BZ772" s="271"/>
      <c r="CA772" s="271"/>
      <c r="CB772" s="271"/>
      <c r="CC772" s="271"/>
      <c r="CD772" s="271"/>
      <c r="CE772" s="271"/>
    </row>
    <row r="773" spans="1:83" ht="12.6" customHeight="1" x14ac:dyDescent="0.25">
      <c r="A773" s="207" t="str">
        <f>RIGHT($C$83,3)&amp;"*"&amp;RIGHT($C$82,4)&amp;"*"&amp;AP$55&amp;"*"&amp;"A"</f>
        <v>126*2018*7380*A</v>
      </c>
      <c r="B773" s="270">
        <f>ROUND(AP59,0)</f>
        <v>0</v>
      </c>
      <c r="C773" s="272">
        <f>ROUND(AP60,2)</f>
        <v>0</v>
      </c>
      <c r="D773" s="270">
        <f>ROUND(AP61,0)</f>
        <v>643</v>
      </c>
      <c r="E773" s="270">
        <f>ROUND(AP62,0)</f>
        <v>180</v>
      </c>
      <c r="F773" s="270">
        <f>ROUND(AP63,0)</f>
        <v>0</v>
      </c>
      <c r="G773" s="270">
        <f>ROUND(AP64,0)</f>
        <v>0</v>
      </c>
      <c r="H773" s="270">
        <f>ROUND(AP65,0)</f>
        <v>0</v>
      </c>
      <c r="I773" s="270">
        <f>ROUND(AP66,0)</f>
        <v>0</v>
      </c>
      <c r="J773" s="270">
        <f>ROUND(AP67,0)</f>
        <v>0</v>
      </c>
      <c r="K773" s="270">
        <f>ROUND(AP68,0)</f>
        <v>0</v>
      </c>
      <c r="L773" s="270">
        <f>ROUND(AP69,0)</f>
        <v>0</v>
      </c>
      <c r="M773" s="270">
        <f>ROUND(AP70,0)</f>
        <v>0</v>
      </c>
      <c r="N773" s="270">
        <f>ROUND(AP75,0)</f>
        <v>880</v>
      </c>
      <c r="O773" s="270">
        <f>ROUND(AP73,0)</f>
        <v>0</v>
      </c>
      <c r="P773" s="270">
        <f>IF(AP76&gt;0,ROUND(AP76,0),0)</f>
        <v>0</v>
      </c>
      <c r="Q773" s="270">
        <f>IF(AP77&gt;0,ROUND(AP77,0),0)</f>
        <v>0</v>
      </c>
      <c r="R773" s="270">
        <f>IF(AP78&gt;0,ROUND(AP78,0),0)</f>
        <v>0</v>
      </c>
      <c r="S773" s="270">
        <f>IF(AP79&gt;0,ROUND(AP79,0),0)</f>
        <v>0</v>
      </c>
      <c r="T773" s="272">
        <f>IF(AP80&gt;0,ROUND(AP80,2),0)</f>
        <v>0</v>
      </c>
      <c r="U773" s="270"/>
      <c r="V773" s="271"/>
      <c r="W773" s="270"/>
      <c r="X773" s="270"/>
      <c r="Y773" s="270">
        <f t="shared" si="21"/>
        <v>257</v>
      </c>
      <c r="Z773" s="271"/>
      <c r="AA773" s="271"/>
      <c r="AB773" s="271"/>
      <c r="AC773" s="271"/>
      <c r="AD773" s="271"/>
      <c r="AE773" s="271"/>
      <c r="AF773" s="271"/>
      <c r="AG773" s="271"/>
      <c r="AH773" s="271"/>
      <c r="AI773" s="271"/>
      <c r="AJ773" s="271"/>
      <c r="AK773" s="271"/>
      <c r="AL773" s="271"/>
      <c r="AM773" s="271"/>
      <c r="AN773" s="271"/>
      <c r="AO773" s="271"/>
      <c r="AP773" s="271"/>
      <c r="AQ773" s="271"/>
      <c r="AR773" s="271"/>
      <c r="AS773" s="271"/>
      <c r="AT773" s="271"/>
      <c r="AU773" s="271"/>
      <c r="AV773" s="271"/>
      <c r="AW773" s="271"/>
      <c r="AX773" s="271"/>
      <c r="AY773" s="271"/>
      <c r="AZ773" s="271"/>
      <c r="BA773" s="271"/>
      <c r="BB773" s="271"/>
      <c r="BC773" s="271"/>
      <c r="BD773" s="271"/>
      <c r="BE773" s="271"/>
      <c r="BF773" s="271"/>
      <c r="BG773" s="271"/>
      <c r="BH773" s="271"/>
      <c r="BI773" s="271"/>
      <c r="BJ773" s="271"/>
      <c r="BK773" s="271"/>
      <c r="BL773" s="271"/>
      <c r="BM773" s="271"/>
      <c r="BN773" s="271"/>
      <c r="BO773" s="271"/>
      <c r="BP773" s="271"/>
      <c r="BQ773" s="271"/>
      <c r="BR773" s="271"/>
      <c r="BS773" s="271"/>
      <c r="BT773" s="271"/>
      <c r="BU773" s="271"/>
      <c r="BV773" s="271"/>
      <c r="BW773" s="271"/>
      <c r="BX773" s="271"/>
      <c r="BY773" s="271"/>
      <c r="BZ773" s="271"/>
      <c r="CA773" s="271"/>
      <c r="CB773" s="271"/>
      <c r="CC773" s="271"/>
      <c r="CD773" s="271"/>
      <c r="CE773" s="271"/>
    </row>
    <row r="774" spans="1:83" ht="12.6" customHeight="1" x14ac:dyDescent="0.25">
      <c r="A774" s="207" t="str">
        <f>RIGHT($C$83,3)&amp;"*"&amp;RIGHT($C$82,4)&amp;"*"&amp;AQ$55&amp;"*"&amp;"A"</f>
        <v>126*2018*7390*A</v>
      </c>
      <c r="B774" s="270">
        <f>ROUND(AQ59,0)</f>
        <v>0</v>
      </c>
      <c r="C774" s="272">
        <f>ROUND(AQ60,2)</f>
        <v>0</v>
      </c>
      <c r="D774" s="270">
        <f>ROUND(AQ61,0)</f>
        <v>0</v>
      </c>
      <c r="E774" s="270">
        <f>ROUND(AQ62,0)</f>
        <v>0</v>
      </c>
      <c r="F774" s="270">
        <f>ROUND(AQ63,0)</f>
        <v>0</v>
      </c>
      <c r="G774" s="270">
        <f>ROUND(AQ64,0)</f>
        <v>0</v>
      </c>
      <c r="H774" s="270">
        <f>ROUND(AQ65,0)</f>
        <v>0</v>
      </c>
      <c r="I774" s="270">
        <f>ROUND(AQ66,0)</f>
        <v>0</v>
      </c>
      <c r="J774" s="270">
        <f>ROUND(AQ67,0)</f>
        <v>0</v>
      </c>
      <c r="K774" s="270">
        <f>ROUND(AQ68,0)</f>
        <v>0</v>
      </c>
      <c r="L774" s="270">
        <f>ROUND(AQ69,0)</f>
        <v>0</v>
      </c>
      <c r="M774" s="270">
        <f>ROUND(AQ70,0)</f>
        <v>0</v>
      </c>
      <c r="N774" s="270">
        <f>ROUND(AQ75,0)</f>
        <v>0</v>
      </c>
      <c r="O774" s="270">
        <f>ROUND(AQ73,0)</f>
        <v>0</v>
      </c>
      <c r="P774" s="270">
        <f>IF(AQ76&gt;0,ROUND(AQ76,0),0)</f>
        <v>0</v>
      </c>
      <c r="Q774" s="270">
        <f>IF(AQ77&gt;0,ROUND(AQ77,0),0)</f>
        <v>0</v>
      </c>
      <c r="R774" s="270">
        <f>IF(AQ78&gt;0,ROUND(AQ78,0),0)</f>
        <v>0</v>
      </c>
      <c r="S774" s="270">
        <f>IF(AQ79&gt;0,ROUND(AQ79,0),0)</f>
        <v>0</v>
      </c>
      <c r="T774" s="272">
        <f>IF(AQ80&gt;0,ROUND(AQ80,2),0)</f>
        <v>0</v>
      </c>
      <c r="U774" s="270"/>
      <c r="V774" s="271"/>
      <c r="W774" s="270"/>
      <c r="X774" s="270"/>
      <c r="Y774" s="270">
        <f t="shared" si="21"/>
        <v>0</v>
      </c>
      <c r="Z774" s="271"/>
      <c r="AA774" s="271"/>
      <c r="AB774" s="271"/>
      <c r="AC774" s="271"/>
      <c r="AD774" s="271"/>
      <c r="AE774" s="271"/>
      <c r="AF774" s="271"/>
      <c r="AG774" s="271"/>
      <c r="AH774" s="271"/>
      <c r="AI774" s="271"/>
      <c r="AJ774" s="271"/>
      <c r="AK774" s="271"/>
      <c r="AL774" s="271"/>
      <c r="AM774" s="271"/>
      <c r="AN774" s="271"/>
      <c r="AO774" s="271"/>
      <c r="AP774" s="271"/>
      <c r="AQ774" s="271"/>
      <c r="AR774" s="271"/>
      <c r="AS774" s="271"/>
      <c r="AT774" s="271"/>
      <c r="AU774" s="271"/>
      <c r="AV774" s="271"/>
      <c r="AW774" s="271"/>
      <c r="AX774" s="271"/>
      <c r="AY774" s="271"/>
      <c r="AZ774" s="271"/>
      <c r="BA774" s="271"/>
      <c r="BB774" s="271"/>
      <c r="BC774" s="271"/>
      <c r="BD774" s="271"/>
      <c r="BE774" s="271"/>
      <c r="BF774" s="271"/>
      <c r="BG774" s="271"/>
      <c r="BH774" s="271"/>
      <c r="BI774" s="271"/>
      <c r="BJ774" s="271"/>
      <c r="BK774" s="271"/>
      <c r="BL774" s="271"/>
      <c r="BM774" s="271"/>
      <c r="BN774" s="271"/>
      <c r="BO774" s="271"/>
      <c r="BP774" s="271"/>
      <c r="BQ774" s="271"/>
      <c r="BR774" s="271"/>
      <c r="BS774" s="271"/>
      <c r="BT774" s="271"/>
      <c r="BU774" s="271"/>
      <c r="BV774" s="271"/>
      <c r="BW774" s="271"/>
      <c r="BX774" s="271"/>
      <c r="BY774" s="271"/>
      <c r="BZ774" s="271"/>
      <c r="CA774" s="271"/>
      <c r="CB774" s="271"/>
      <c r="CC774" s="271"/>
      <c r="CD774" s="271"/>
      <c r="CE774" s="271"/>
    </row>
    <row r="775" spans="1:83" ht="12.6" customHeight="1" x14ac:dyDescent="0.25">
      <c r="A775" s="207" t="str">
        <f>RIGHT($C$83,3)&amp;"*"&amp;RIGHT($C$82,4)&amp;"*"&amp;AR$55&amp;"*"&amp;"A"</f>
        <v>126*2018*7400*A</v>
      </c>
      <c r="B775" s="270">
        <f>ROUND(AR59,0)</f>
        <v>0</v>
      </c>
      <c r="C775" s="272">
        <f>ROUND(AR60,2)</f>
        <v>42.98</v>
      </c>
      <c r="D775" s="270">
        <f>ROUND(AR61,0)</f>
        <v>629697</v>
      </c>
      <c r="E775" s="270">
        <f>ROUND(AR62,0)</f>
        <v>183289</v>
      </c>
      <c r="F775" s="270">
        <f>ROUND(AR63,0)</f>
        <v>0</v>
      </c>
      <c r="G775" s="270">
        <f>ROUND(AR64,0)</f>
        <v>9643</v>
      </c>
      <c r="H775" s="270">
        <f>ROUND(AR65,0)</f>
        <v>12880</v>
      </c>
      <c r="I775" s="270">
        <f>ROUND(AR66,0)</f>
        <v>23320</v>
      </c>
      <c r="J775" s="270">
        <f>ROUND(AR67,0)</f>
        <v>23114</v>
      </c>
      <c r="K775" s="270">
        <f>ROUND(AR68,0)</f>
        <v>12618</v>
      </c>
      <c r="L775" s="270">
        <f>ROUND(AR69,0)</f>
        <v>14879</v>
      </c>
      <c r="M775" s="270">
        <f>ROUND(AR70,0)</f>
        <v>42</v>
      </c>
      <c r="N775" s="270">
        <f>ROUND(AR75,0)</f>
        <v>399355</v>
      </c>
      <c r="O775" s="270">
        <f>ROUND(AR73,0)</f>
        <v>0</v>
      </c>
      <c r="P775" s="270">
        <f>IF(AR76&gt;0,ROUND(AR76,0),0)</f>
        <v>6665</v>
      </c>
      <c r="Q775" s="270">
        <f>IF(AR77&gt;0,ROUND(AR77,0),0)</f>
        <v>0</v>
      </c>
      <c r="R775" s="270">
        <f>IF(AR78&gt;0,ROUND(AR78,0),0)</f>
        <v>2115</v>
      </c>
      <c r="S775" s="270">
        <f>IF(AR79&gt;0,ROUND(AR79,0),0)</f>
        <v>0</v>
      </c>
      <c r="T775" s="272">
        <f>IF(AR80&gt;0,ROUND(AR80,2),0)</f>
        <v>11.91</v>
      </c>
      <c r="U775" s="270"/>
      <c r="V775" s="271"/>
      <c r="W775" s="270"/>
      <c r="X775" s="270"/>
      <c r="Y775" s="270">
        <f t="shared" si="21"/>
        <v>1073534</v>
      </c>
      <c r="Z775" s="271"/>
      <c r="AA775" s="271"/>
      <c r="AB775" s="271"/>
      <c r="AC775" s="271"/>
      <c r="AD775" s="271"/>
      <c r="AE775" s="271"/>
      <c r="AF775" s="271"/>
      <c r="AG775" s="271"/>
      <c r="AH775" s="271"/>
      <c r="AI775" s="271"/>
      <c r="AJ775" s="271"/>
      <c r="AK775" s="271"/>
      <c r="AL775" s="271"/>
      <c r="AM775" s="271"/>
      <c r="AN775" s="271"/>
      <c r="AO775" s="271"/>
      <c r="AP775" s="271"/>
      <c r="AQ775" s="271"/>
      <c r="AR775" s="271"/>
      <c r="AS775" s="271"/>
      <c r="AT775" s="271"/>
      <c r="AU775" s="271"/>
      <c r="AV775" s="271"/>
      <c r="AW775" s="271"/>
      <c r="AX775" s="271"/>
      <c r="AY775" s="271"/>
      <c r="AZ775" s="271"/>
      <c r="BA775" s="271"/>
      <c r="BB775" s="271"/>
      <c r="BC775" s="271"/>
      <c r="BD775" s="271"/>
      <c r="BE775" s="271"/>
      <c r="BF775" s="271"/>
      <c r="BG775" s="271"/>
      <c r="BH775" s="271"/>
      <c r="BI775" s="271"/>
      <c r="BJ775" s="271"/>
      <c r="BK775" s="271"/>
      <c r="BL775" s="271"/>
      <c r="BM775" s="271"/>
      <c r="BN775" s="271"/>
      <c r="BO775" s="271"/>
      <c r="BP775" s="271"/>
      <c r="BQ775" s="271"/>
      <c r="BR775" s="271"/>
      <c r="BS775" s="271"/>
      <c r="BT775" s="271"/>
      <c r="BU775" s="271"/>
      <c r="BV775" s="271"/>
      <c r="BW775" s="271"/>
      <c r="BX775" s="271"/>
      <c r="BY775" s="271"/>
      <c r="BZ775" s="271"/>
      <c r="CA775" s="271"/>
      <c r="CB775" s="271"/>
      <c r="CC775" s="271"/>
      <c r="CD775" s="271"/>
      <c r="CE775" s="271"/>
    </row>
    <row r="776" spans="1:83" ht="12.6" customHeight="1" x14ac:dyDescent="0.25">
      <c r="A776" s="207" t="str">
        <f>RIGHT($C$83,3)&amp;"*"&amp;RIGHT($C$82,4)&amp;"*"&amp;AS$55&amp;"*"&amp;"A"</f>
        <v>126*2018*7410*A</v>
      </c>
      <c r="B776" s="270">
        <f>ROUND(AS59,0)</f>
        <v>0</v>
      </c>
      <c r="C776" s="272">
        <f>ROUND(AS60,2)</f>
        <v>0</v>
      </c>
      <c r="D776" s="270">
        <f>ROUND(AS61,0)</f>
        <v>0</v>
      </c>
      <c r="E776" s="270">
        <f>ROUND(AS62,0)</f>
        <v>0</v>
      </c>
      <c r="F776" s="270">
        <f>ROUND(AS63,0)</f>
        <v>0</v>
      </c>
      <c r="G776" s="270">
        <f>ROUND(AS64,0)</f>
        <v>0</v>
      </c>
      <c r="H776" s="270">
        <f>ROUND(AS65,0)</f>
        <v>0</v>
      </c>
      <c r="I776" s="270">
        <f>ROUND(AS66,0)</f>
        <v>0</v>
      </c>
      <c r="J776" s="270">
        <f>ROUND(AS67,0)</f>
        <v>0</v>
      </c>
      <c r="K776" s="270">
        <f>ROUND(AS68,0)</f>
        <v>0</v>
      </c>
      <c r="L776" s="270">
        <f>ROUND(AS69,0)</f>
        <v>0</v>
      </c>
      <c r="M776" s="270">
        <f>ROUND(AS70,0)</f>
        <v>0</v>
      </c>
      <c r="N776" s="270">
        <f>ROUND(AS75,0)</f>
        <v>0</v>
      </c>
      <c r="O776" s="270">
        <f>ROUND(AS73,0)</f>
        <v>0</v>
      </c>
      <c r="P776" s="270">
        <f>IF(AS76&gt;0,ROUND(AS76,0),0)</f>
        <v>0</v>
      </c>
      <c r="Q776" s="270">
        <f>IF(AS77&gt;0,ROUND(AS77,0),0)</f>
        <v>0</v>
      </c>
      <c r="R776" s="270">
        <f>IF(AS78&gt;0,ROUND(AS78,0),0)</f>
        <v>0</v>
      </c>
      <c r="S776" s="270">
        <f>IF(AS79&gt;0,ROUND(AS79,0),0)</f>
        <v>0</v>
      </c>
      <c r="T776" s="272">
        <f>IF(AS80&gt;0,ROUND(AS80,2),0)</f>
        <v>0</v>
      </c>
      <c r="U776" s="270"/>
      <c r="V776" s="271"/>
      <c r="W776" s="270"/>
      <c r="X776" s="270"/>
      <c r="Y776" s="270">
        <f t="shared" si="21"/>
        <v>0</v>
      </c>
      <c r="Z776" s="271"/>
      <c r="AA776" s="271"/>
      <c r="AB776" s="271"/>
      <c r="AC776" s="271"/>
      <c r="AD776" s="271"/>
      <c r="AE776" s="271"/>
      <c r="AF776" s="271"/>
      <c r="AG776" s="271"/>
      <c r="AH776" s="271"/>
      <c r="AI776" s="271"/>
      <c r="AJ776" s="271"/>
      <c r="AK776" s="271"/>
      <c r="AL776" s="271"/>
      <c r="AM776" s="271"/>
      <c r="AN776" s="271"/>
      <c r="AO776" s="271"/>
      <c r="AP776" s="271"/>
      <c r="AQ776" s="271"/>
      <c r="AR776" s="271"/>
      <c r="AS776" s="271"/>
      <c r="AT776" s="271"/>
      <c r="AU776" s="271"/>
      <c r="AV776" s="271"/>
      <c r="AW776" s="271"/>
      <c r="AX776" s="271"/>
      <c r="AY776" s="271"/>
      <c r="AZ776" s="271"/>
      <c r="BA776" s="271"/>
      <c r="BB776" s="271"/>
      <c r="BC776" s="271"/>
      <c r="BD776" s="271"/>
      <c r="BE776" s="271"/>
      <c r="BF776" s="271"/>
      <c r="BG776" s="271"/>
      <c r="BH776" s="271"/>
      <c r="BI776" s="271"/>
      <c r="BJ776" s="271"/>
      <c r="BK776" s="271"/>
      <c r="BL776" s="271"/>
      <c r="BM776" s="271"/>
      <c r="BN776" s="271"/>
      <c r="BO776" s="271"/>
      <c r="BP776" s="271"/>
      <c r="BQ776" s="271"/>
      <c r="BR776" s="271"/>
      <c r="BS776" s="271"/>
      <c r="BT776" s="271"/>
      <c r="BU776" s="271"/>
      <c r="BV776" s="271"/>
      <c r="BW776" s="271"/>
      <c r="BX776" s="271"/>
      <c r="BY776" s="271"/>
      <c r="BZ776" s="271"/>
      <c r="CA776" s="271"/>
      <c r="CB776" s="271"/>
      <c r="CC776" s="271"/>
      <c r="CD776" s="271"/>
      <c r="CE776" s="271"/>
    </row>
    <row r="777" spans="1:83" ht="12.6" customHeight="1" x14ac:dyDescent="0.25">
      <c r="A777" s="207" t="str">
        <f>RIGHT($C$83,3)&amp;"*"&amp;RIGHT($C$82,4)&amp;"*"&amp;AT$55&amp;"*"&amp;"A"</f>
        <v>126*2018*7420*A</v>
      </c>
      <c r="B777" s="270">
        <f>ROUND(AT59,0)</f>
        <v>0</v>
      </c>
      <c r="C777" s="272">
        <f>ROUND(AT60,2)</f>
        <v>0</v>
      </c>
      <c r="D777" s="270">
        <f>ROUND(AT61,0)</f>
        <v>0</v>
      </c>
      <c r="E777" s="270">
        <f>ROUND(AT62,0)</f>
        <v>0</v>
      </c>
      <c r="F777" s="270">
        <f>ROUND(AT63,0)</f>
        <v>0</v>
      </c>
      <c r="G777" s="270">
        <f>ROUND(AT64,0)</f>
        <v>0</v>
      </c>
      <c r="H777" s="270">
        <f>ROUND(AT65,0)</f>
        <v>0</v>
      </c>
      <c r="I777" s="270">
        <f>ROUND(AT66,0)</f>
        <v>0</v>
      </c>
      <c r="J777" s="270">
        <f>ROUND(AT67,0)</f>
        <v>0</v>
      </c>
      <c r="K777" s="270">
        <f>ROUND(AT68,0)</f>
        <v>0</v>
      </c>
      <c r="L777" s="270">
        <f>ROUND(AT69,0)</f>
        <v>0</v>
      </c>
      <c r="M777" s="270">
        <f>ROUND(AT70,0)</f>
        <v>0</v>
      </c>
      <c r="N777" s="270">
        <f>ROUND(AT75,0)</f>
        <v>0</v>
      </c>
      <c r="O777" s="270">
        <f>ROUND(AT73,0)</f>
        <v>0</v>
      </c>
      <c r="P777" s="270">
        <f>IF(AT76&gt;0,ROUND(AT76,0),0)</f>
        <v>0</v>
      </c>
      <c r="Q777" s="270">
        <f>IF(AT77&gt;0,ROUND(AT77,0),0)</f>
        <v>0</v>
      </c>
      <c r="R777" s="270">
        <f>IF(AT78&gt;0,ROUND(AT78,0),0)</f>
        <v>0</v>
      </c>
      <c r="S777" s="270">
        <f>IF(AT79&gt;0,ROUND(AT79,0),0)</f>
        <v>0</v>
      </c>
      <c r="T777" s="272">
        <f>IF(AT80&gt;0,ROUND(AT80,2),0)</f>
        <v>0</v>
      </c>
      <c r="U777" s="270"/>
      <c r="V777" s="271"/>
      <c r="W777" s="270"/>
      <c r="X777" s="270"/>
      <c r="Y777" s="270">
        <f t="shared" si="21"/>
        <v>0</v>
      </c>
      <c r="Z777" s="271"/>
      <c r="AA777" s="271"/>
      <c r="AB777" s="271"/>
      <c r="AC777" s="271"/>
      <c r="AD777" s="271"/>
      <c r="AE777" s="271"/>
      <c r="AF777" s="271"/>
      <c r="AG777" s="271"/>
      <c r="AH777" s="271"/>
      <c r="AI777" s="271"/>
      <c r="AJ777" s="271"/>
      <c r="AK777" s="271"/>
      <c r="AL777" s="271"/>
      <c r="AM777" s="271"/>
      <c r="AN777" s="271"/>
      <c r="AO777" s="271"/>
      <c r="AP777" s="271"/>
      <c r="AQ777" s="271"/>
      <c r="AR777" s="271"/>
      <c r="AS777" s="271"/>
      <c r="AT777" s="271"/>
      <c r="AU777" s="271"/>
      <c r="AV777" s="271"/>
      <c r="AW777" s="271"/>
      <c r="AX777" s="271"/>
      <c r="AY777" s="271"/>
      <c r="AZ777" s="271"/>
      <c r="BA777" s="271"/>
      <c r="BB777" s="271"/>
      <c r="BC777" s="271"/>
      <c r="BD777" s="271"/>
      <c r="BE777" s="271"/>
      <c r="BF777" s="271"/>
      <c r="BG777" s="271"/>
      <c r="BH777" s="271"/>
      <c r="BI777" s="271"/>
      <c r="BJ777" s="271"/>
      <c r="BK777" s="271"/>
      <c r="BL777" s="271"/>
      <c r="BM777" s="271"/>
      <c r="BN777" s="271"/>
      <c r="BO777" s="271"/>
      <c r="BP777" s="271"/>
      <c r="BQ777" s="271"/>
      <c r="BR777" s="271"/>
      <c r="BS777" s="271"/>
      <c r="BT777" s="271"/>
      <c r="BU777" s="271"/>
      <c r="BV777" s="271"/>
      <c r="BW777" s="271"/>
      <c r="BX777" s="271"/>
      <c r="BY777" s="271"/>
      <c r="BZ777" s="271"/>
      <c r="CA777" s="271"/>
      <c r="CB777" s="271"/>
      <c r="CC777" s="271"/>
      <c r="CD777" s="271"/>
      <c r="CE777" s="271"/>
    </row>
    <row r="778" spans="1:83" ht="12.6" customHeight="1" x14ac:dyDescent="0.25">
      <c r="A778" s="207" t="str">
        <f>RIGHT($C$83,3)&amp;"*"&amp;RIGHT($C$82,4)&amp;"*"&amp;AU$55&amp;"*"&amp;"A"</f>
        <v>126*2018*7430*A</v>
      </c>
      <c r="B778" s="270">
        <f>ROUND(AU59,0)</f>
        <v>0</v>
      </c>
      <c r="C778" s="272">
        <f>ROUND(AU60,2)</f>
        <v>0</v>
      </c>
      <c r="D778" s="270">
        <f>ROUND(AU61,0)</f>
        <v>0</v>
      </c>
      <c r="E778" s="270">
        <f>ROUND(AU62,0)</f>
        <v>0</v>
      </c>
      <c r="F778" s="270">
        <f>ROUND(AU63,0)</f>
        <v>0</v>
      </c>
      <c r="G778" s="270">
        <f>ROUND(AU64,0)</f>
        <v>0</v>
      </c>
      <c r="H778" s="270">
        <f>ROUND(AU65,0)</f>
        <v>0</v>
      </c>
      <c r="I778" s="270">
        <f>ROUND(AU66,0)</f>
        <v>0</v>
      </c>
      <c r="J778" s="270">
        <f>ROUND(AU67,0)</f>
        <v>0</v>
      </c>
      <c r="K778" s="270">
        <f>ROUND(AU68,0)</f>
        <v>0</v>
      </c>
      <c r="L778" s="270">
        <f>ROUND(AU69,0)</f>
        <v>0</v>
      </c>
      <c r="M778" s="270">
        <f>ROUND(AU70,0)</f>
        <v>0</v>
      </c>
      <c r="N778" s="270">
        <f>ROUND(AU75,0)</f>
        <v>0</v>
      </c>
      <c r="O778" s="270">
        <f>ROUND(AU73,0)</f>
        <v>0</v>
      </c>
      <c r="P778" s="270">
        <f>IF(AU76&gt;0,ROUND(AU76,0),0)</f>
        <v>0</v>
      </c>
      <c r="Q778" s="270">
        <f>IF(AU77&gt;0,ROUND(AU77,0),0)</f>
        <v>0</v>
      </c>
      <c r="R778" s="270">
        <f>IF(AU78&gt;0,ROUND(AU78,0),0)</f>
        <v>0</v>
      </c>
      <c r="S778" s="270">
        <f>IF(AU79&gt;0,ROUND(AU79,0),0)</f>
        <v>0</v>
      </c>
      <c r="T778" s="272">
        <f>IF(AU80&gt;0,ROUND(AU80,2),0)</f>
        <v>0</v>
      </c>
      <c r="U778" s="270"/>
      <c r="V778" s="271"/>
      <c r="W778" s="270"/>
      <c r="X778" s="270"/>
      <c r="Y778" s="270">
        <f t="shared" si="21"/>
        <v>0</v>
      </c>
      <c r="Z778" s="271"/>
      <c r="AA778" s="271"/>
      <c r="AB778" s="271"/>
      <c r="AC778" s="271"/>
      <c r="AD778" s="271"/>
      <c r="AE778" s="271"/>
      <c r="AF778" s="271"/>
      <c r="AG778" s="271"/>
      <c r="AH778" s="271"/>
      <c r="AI778" s="271"/>
      <c r="AJ778" s="271"/>
      <c r="AK778" s="271"/>
      <c r="AL778" s="271"/>
      <c r="AM778" s="271"/>
      <c r="AN778" s="271"/>
      <c r="AO778" s="271"/>
      <c r="AP778" s="271"/>
      <c r="AQ778" s="271"/>
      <c r="AR778" s="271"/>
      <c r="AS778" s="271"/>
      <c r="AT778" s="271"/>
      <c r="AU778" s="271"/>
      <c r="AV778" s="271"/>
      <c r="AW778" s="271"/>
      <c r="AX778" s="271"/>
      <c r="AY778" s="271"/>
      <c r="AZ778" s="271"/>
      <c r="BA778" s="271"/>
      <c r="BB778" s="271"/>
      <c r="BC778" s="271"/>
      <c r="BD778" s="271"/>
      <c r="BE778" s="271"/>
      <c r="BF778" s="271"/>
      <c r="BG778" s="271"/>
      <c r="BH778" s="271"/>
      <c r="BI778" s="271"/>
      <c r="BJ778" s="271"/>
      <c r="BK778" s="271"/>
      <c r="BL778" s="271"/>
      <c r="BM778" s="271"/>
      <c r="BN778" s="271"/>
      <c r="BO778" s="271"/>
      <c r="BP778" s="271"/>
      <c r="BQ778" s="271"/>
      <c r="BR778" s="271"/>
      <c r="BS778" s="271"/>
      <c r="BT778" s="271"/>
      <c r="BU778" s="271"/>
      <c r="BV778" s="271"/>
      <c r="BW778" s="271"/>
      <c r="BX778" s="271"/>
      <c r="BY778" s="271"/>
      <c r="BZ778" s="271"/>
      <c r="CA778" s="271"/>
      <c r="CB778" s="271"/>
      <c r="CC778" s="271"/>
      <c r="CD778" s="271"/>
      <c r="CE778" s="271"/>
    </row>
    <row r="779" spans="1:83" ht="12.6" customHeight="1" x14ac:dyDescent="0.25">
      <c r="A779" s="207" t="str">
        <f>RIGHT($C$83,3)&amp;"*"&amp;RIGHT($C$82,4)&amp;"*"&amp;AV$55&amp;"*"&amp;"A"</f>
        <v>126*2018*7490*A</v>
      </c>
      <c r="B779" s="270"/>
      <c r="C779" s="272">
        <f>ROUND(AV60,2)</f>
        <v>1</v>
      </c>
      <c r="D779" s="270">
        <f>ROUND(AV61,0)</f>
        <v>104211</v>
      </c>
      <c r="E779" s="270">
        <f>ROUND(AV62,0)</f>
        <v>26988</v>
      </c>
      <c r="F779" s="270">
        <f>ROUND(AV63,0)</f>
        <v>4911094</v>
      </c>
      <c r="G779" s="270">
        <f>ROUND(AV64,0)</f>
        <v>5956</v>
      </c>
      <c r="H779" s="270">
        <f>ROUND(AV65,0)</f>
        <v>398</v>
      </c>
      <c r="I779" s="270">
        <f>ROUND(AV66,0)</f>
        <v>1201442</v>
      </c>
      <c r="J779" s="270">
        <f>ROUND(AV67,0)</f>
        <v>339</v>
      </c>
      <c r="K779" s="270">
        <f>ROUND(AV68,0)</f>
        <v>745</v>
      </c>
      <c r="L779" s="270">
        <f>ROUND(AV69,0)</f>
        <v>15</v>
      </c>
      <c r="M779" s="270">
        <f>ROUND(AV70,0)</f>
        <v>0</v>
      </c>
      <c r="N779" s="270">
        <f>ROUND(AV75,0)</f>
        <v>106404</v>
      </c>
      <c r="O779" s="270">
        <f>ROUND(AV73,0)</f>
        <v>74540</v>
      </c>
      <c r="P779" s="270">
        <f>IF(AV76&gt;0,ROUND(AV76,0),0)</f>
        <v>0</v>
      </c>
      <c r="Q779" s="270">
        <f>IF(AV77&gt;0,ROUND(AV77,0),0)</f>
        <v>0</v>
      </c>
      <c r="R779" s="270">
        <f>IF(AV78&gt;0,ROUND(AV78,0),0)</f>
        <v>0</v>
      </c>
      <c r="S779" s="270">
        <f>IF(AV79&gt;0,ROUND(AV79,0),0)</f>
        <v>0</v>
      </c>
      <c r="T779" s="272">
        <f>IF(AV80&gt;0,ROUND(AV80,2),0)</f>
        <v>13.84</v>
      </c>
      <c r="U779" s="270"/>
      <c r="V779" s="271"/>
      <c r="W779" s="270"/>
      <c r="X779" s="270"/>
      <c r="Y779" s="270">
        <f t="shared" si="21"/>
        <v>2049780</v>
      </c>
      <c r="Z779" s="271"/>
      <c r="AA779" s="271"/>
      <c r="AB779" s="271"/>
      <c r="AC779" s="271"/>
      <c r="AD779" s="271"/>
      <c r="AE779" s="271"/>
      <c r="AF779" s="271"/>
      <c r="AG779" s="271"/>
      <c r="AH779" s="271"/>
      <c r="AI779" s="271"/>
      <c r="AJ779" s="271"/>
      <c r="AK779" s="271"/>
      <c r="AL779" s="271"/>
      <c r="AM779" s="271"/>
      <c r="AN779" s="271"/>
      <c r="AO779" s="271"/>
      <c r="AP779" s="271"/>
      <c r="AQ779" s="271"/>
      <c r="AR779" s="271"/>
      <c r="AS779" s="271"/>
      <c r="AT779" s="271"/>
      <c r="AU779" s="271"/>
      <c r="AV779" s="271"/>
      <c r="AW779" s="271"/>
      <c r="AX779" s="271"/>
      <c r="AY779" s="271"/>
      <c r="AZ779" s="271"/>
      <c r="BA779" s="271"/>
      <c r="BB779" s="271"/>
      <c r="BC779" s="271"/>
      <c r="BD779" s="271"/>
      <c r="BE779" s="271"/>
      <c r="BF779" s="271"/>
      <c r="BG779" s="271"/>
      <c r="BH779" s="271"/>
      <c r="BI779" s="271"/>
      <c r="BJ779" s="271"/>
      <c r="BK779" s="271"/>
      <c r="BL779" s="271"/>
      <c r="BM779" s="271"/>
      <c r="BN779" s="271"/>
      <c r="BO779" s="271"/>
      <c r="BP779" s="271"/>
      <c r="BQ779" s="271"/>
      <c r="BR779" s="271"/>
      <c r="BS779" s="271"/>
      <c r="BT779" s="271"/>
      <c r="BU779" s="271"/>
      <c r="BV779" s="271"/>
      <c r="BW779" s="271"/>
      <c r="BX779" s="271"/>
      <c r="BY779" s="271"/>
      <c r="BZ779" s="271"/>
      <c r="CA779" s="271"/>
      <c r="CB779" s="271"/>
      <c r="CC779" s="271"/>
      <c r="CD779" s="271"/>
      <c r="CE779" s="271"/>
    </row>
    <row r="780" spans="1:83" ht="12.6" customHeight="1" x14ac:dyDescent="0.25">
      <c r="A780" s="207" t="str">
        <f>RIGHT($C$83,3)&amp;"*"&amp;RIGHT($C$82,4)&amp;"*"&amp;AW$55&amp;"*"&amp;"A"</f>
        <v>126*2018*8200*A</v>
      </c>
      <c r="B780" s="270"/>
      <c r="C780" s="272">
        <f>ROUND(AW60,2)</f>
        <v>5.79</v>
      </c>
      <c r="D780" s="270">
        <f>ROUND(AW61,0)</f>
        <v>596693</v>
      </c>
      <c r="E780" s="270">
        <f>ROUND(AW62,0)</f>
        <v>153212</v>
      </c>
      <c r="F780" s="270">
        <f>ROUND(AW63,0)</f>
        <v>0</v>
      </c>
      <c r="G780" s="270">
        <f>ROUND(AW64,0)</f>
        <v>173</v>
      </c>
      <c r="H780" s="270">
        <f>ROUND(AW65,0)</f>
        <v>96</v>
      </c>
      <c r="I780" s="270">
        <f>ROUND(AW66,0)</f>
        <v>0</v>
      </c>
      <c r="J780" s="270">
        <f>ROUND(AW67,0)</f>
        <v>267</v>
      </c>
      <c r="K780" s="270">
        <f>ROUND(AW68,0)</f>
        <v>0</v>
      </c>
      <c r="L780" s="270">
        <f>ROUND(AW69,0)</f>
        <v>3226</v>
      </c>
      <c r="M780" s="270">
        <f>ROUND(AW70,0)</f>
        <v>0</v>
      </c>
      <c r="N780" s="270"/>
      <c r="O780" s="270"/>
      <c r="P780" s="270">
        <f>IF(AW76&gt;0,ROUND(AW76,0),0)</f>
        <v>0</v>
      </c>
      <c r="Q780" s="270">
        <f>IF(AW77&gt;0,ROUND(AW77,0),0)</f>
        <v>0</v>
      </c>
      <c r="R780" s="270">
        <f>IF(AW78&gt;0,ROUND(AW78,0),0)</f>
        <v>0</v>
      </c>
      <c r="S780" s="270">
        <f>IF(AW79&gt;0,ROUND(AW79,0),0)</f>
        <v>0</v>
      </c>
      <c r="T780" s="272">
        <f>IF(AW80&gt;0,ROUND(AW80,2),0)</f>
        <v>0</v>
      </c>
      <c r="U780" s="270"/>
      <c r="V780" s="271"/>
      <c r="W780" s="270"/>
      <c r="X780" s="270"/>
      <c r="Y780" s="270"/>
      <c r="Z780" s="271"/>
      <c r="AA780" s="271"/>
      <c r="AB780" s="271"/>
      <c r="AC780" s="271"/>
      <c r="AD780" s="271"/>
      <c r="AE780" s="271"/>
      <c r="AF780" s="271"/>
      <c r="AG780" s="271"/>
      <c r="AH780" s="271"/>
      <c r="AI780" s="271"/>
      <c r="AJ780" s="271"/>
      <c r="AK780" s="271"/>
      <c r="AL780" s="271"/>
      <c r="AM780" s="271"/>
      <c r="AN780" s="271"/>
      <c r="AO780" s="271"/>
      <c r="AP780" s="271"/>
      <c r="AQ780" s="271"/>
      <c r="AR780" s="271"/>
      <c r="AS780" s="271"/>
      <c r="AT780" s="271"/>
      <c r="AU780" s="271"/>
      <c r="AV780" s="271"/>
      <c r="AW780" s="271"/>
      <c r="AX780" s="271"/>
      <c r="AY780" s="271"/>
      <c r="AZ780" s="271"/>
      <c r="BA780" s="271"/>
      <c r="BB780" s="271"/>
      <c r="BC780" s="271"/>
      <c r="BD780" s="271"/>
      <c r="BE780" s="271"/>
      <c r="BF780" s="271"/>
      <c r="BG780" s="271"/>
      <c r="BH780" s="271"/>
      <c r="BI780" s="271"/>
      <c r="BJ780" s="271"/>
      <c r="BK780" s="271"/>
      <c r="BL780" s="271"/>
      <c r="BM780" s="271"/>
      <c r="BN780" s="271"/>
      <c r="BO780" s="271"/>
      <c r="BP780" s="271"/>
      <c r="BQ780" s="271"/>
      <c r="BR780" s="271"/>
      <c r="BS780" s="271"/>
      <c r="BT780" s="271"/>
      <c r="BU780" s="271"/>
      <c r="BV780" s="271"/>
      <c r="BW780" s="271"/>
      <c r="BX780" s="271"/>
      <c r="BY780" s="271"/>
      <c r="BZ780" s="271"/>
      <c r="CA780" s="271"/>
      <c r="CB780" s="271"/>
      <c r="CC780" s="271"/>
      <c r="CD780" s="271"/>
      <c r="CE780" s="271"/>
    </row>
    <row r="781" spans="1:83" ht="12.6" customHeight="1" x14ac:dyDescent="0.25">
      <c r="A781" s="207" t="str">
        <f>RIGHT($C$83,3)&amp;"*"&amp;RIGHT($C$82,4)&amp;"*"&amp;AX$55&amp;"*"&amp;"A"</f>
        <v>126*2018*8310*A</v>
      </c>
      <c r="B781" s="270"/>
      <c r="C781" s="272">
        <f>ROUND(AX60,2)</f>
        <v>0.24</v>
      </c>
      <c r="D781" s="270">
        <f>ROUND(AX61,0)</f>
        <v>0</v>
      </c>
      <c r="E781" s="270">
        <f>ROUND(AX62,0)</f>
        <v>0</v>
      </c>
      <c r="F781" s="270">
        <f>ROUND(AX63,0)</f>
        <v>0</v>
      </c>
      <c r="G781" s="270">
        <f>ROUND(AX64,0)</f>
        <v>15</v>
      </c>
      <c r="H781" s="270">
        <f>ROUND(AX65,0)</f>
        <v>192</v>
      </c>
      <c r="I781" s="270">
        <f>ROUND(AX66,0)</f>
        <v>680</v>
      </c>
      <c r="J781" s="270">
        <f>ROUND(AX67,0)</f>
        <v>0</v>
      </c>
      <c r="K781" s="270">
        <f>ROUND(AX68,0)</f>
        <v>0</v>
      </c>
      <c r="L781" s="270">
        <f>ROUND(AX69,0)</f>
        <v>-900</v>
      </c>
      <c r="M781" s="270">
        <f>ROUND(AX70,0)</f>
        <v>0</v>
      </c>
      <c r="N781" s="270"/>
      <c r="O781" s="270"/>
      <c r="P781" s="270">
        <f>IF(AX76&gt;0,ROUND(AX76,0),0)</f>
        <v>0</v>
      </c>
      <c r="Q781" s="270">
        <f>IF(AX77&gt;0,ROUND(AX77,0),0)</f>
        <v>0</v>
      </c>
      <c r="R781" s="270">
        <f>IF(AX78&gt;0,ROUND(AX78,0),0)</f>
        <v>0</v>
      </c>
      <c r="S781" s="270">
        <f>IF(AX79&gt;0,ROUND(AX79,0),0)</f>
        <v>0</v>
      </c>
      <c r="T781" s="272">
        <f>IF(AX80&gt;0,ROUND(AX80,2),0)</f>
        <v>0</v>
      </c>
      <c r="U781" s="270"/>
      <c r="V781" s="271"/>
      <c r="W781" s="270"/>
      <c r="X781" s="270"/>
      <c r="Y781" s="270"/>
      <c r="Z781" s="271"/>
      <c r="AA781" s="271"/>
      <c r="AB781" s="271"/>
      <c r="AC781" s="271"/>
      <c r="AD781" s="271"/>
      <c r="AE781" s="271"/>
      <c r="AF781" s="271"/>
      <c r="AG781" s="271"/>
      <c r="AH781" s="271"/>
      <c r="AI781" s="271"/>
      <c r="AJ781" s="271"/>
      <c r="AK781" s="271"/>
      <c r="AL781" s="271"/>
      <c r="AM781" s="271"/>
      <c r="AN781" s="271"/>
      <c r="AO781" s="271"/>
      <c r="AP781" s="271"/>
      <c r="AQ781" s="271"/>
      <c r="AR781" s="271"/>
      <c r="AS781" s="271"/>
      <c r="AT781" s="271"/>
      <c r="AU781" s="271"/>
      <c r="AV781" s="271"/>
      <c r="AW781" s="271"/>
      <c r="AX781" s="271"/>
      <c r="AY781" s="271"/>
      <c r="AZ781" s="271"/>
      <c r="BA781" s="271"/>
      <c r="BB781" s="271"/>
      <c r="BC781" s="271"/>
      <c r="BD781" s="271"/>
      <c r="BE781" s="271"/>
      <c r="BF781" s="271"/>
      <c r="BG781" s="271"/>
      <c r="BH781" s="271"/>
      <c r="BI781" s="271"/>
      <c r="BJ781" s="271"/>
      <c r="BK781" s="271"/>
      <c r="BL781" s="271"/>
      <c r="BM781" s="271"/>
      <c r="BN781" s="271"/>
      <c r="BO781" s="271"/>
      <c r="BP781" s="271"/>
      <c r="BQ781" s="271"/>
      <c r="BR781" s="271"/>
      <c r="BS781" s="271"/>
      <c r="BT781" s="271"/>
      <c r="BU781" s="271"/>
      <c r="BV781" s="271"/>
      <c r="BW781" s="271"/>
      <c r="BX781" s="271"/>
      <c r="BY781" s="271"/>
      <c r="BZ781" s="271"/>
      <c r="CA781" s="271"/>
      <c r="CB781" s="271"/>
      <c r="CC781" s="271"/>
      <c r="CD781" s="271"/>
      <c r="CE781" s="271"/>
    </row>
    <row r="782" spans="1:83" ht="12.6" customHeight="1" x14ac:dyDescent="0.25">
      <c r="A782" s="207" t="str">
        <f>RIGHT($C$83,3)&amp;"*"&amp;RIGHT($C$82,4)&amp;"*"&amp;AY$55&amp;"*"&amp;"A"</f>
        <v>126*2018*8320*A</v>
      </c>
      <c r="B782" s="270">
        <f>ROUND(AY59,0)</f>
        <v>170414</v>
      </c>
      <c r="C782" s="272">
        <f>ROUND(AY60,2)</f>
        <v>34.46</v>
      </c>
      <c r="D782" s="270">
        <f>ROUND(AY61,0)</f>
        <v>1573154</v>
      </c>
      <c r="E782" s="270">
        <f>ROUND(AY62,0)</f>
        <v>686249</v>
      </c>
      <c r="F782" s="270">
        <f>ROUND(AY63,0)</f>
        <v>0</v>
      </c>
      <c r="G782" s="270">
        <f>ROUND(AY64,0)</f>
        <v>718298</v>
      </c>
      <c r="H782" s="270">
        <f>ROUND(AY65,0)</f>
        <v>288</v>
      </c>
      <c r="I782" s="270">
        <f>ROUND(AY66,0)</f>
        <v>405312</v>
      </c>
      <c r="J782" s="270">
        <f>ROUND(AY67,0)</f>
        <v>45300</v>
      </c>
      <c r="K782" s="270">
        <f>ROUND(AY68,0)</f>
        <v>6404</v>
      </c>
      <c r="L782" s="270">
        <f>ROUND(AY69,0)</f>
        <v>18314</v>
      </c>
      <c r="M782" s="270">
        <f>ROUND(AY70,0)</f>
        <v>777347</v>
      </c>
      <c r="N782" s="270"/>
      <c r="O782" s="270"/>
      <c r="P782" s="270">
        <f>IF(AY76&gt;0,ROUND(AY76,0),0)</f>
        <v>1580</v>
      </c>
      <c r="Q782" s="270">
        <f>IF(AY77&gt;0,ROUND(AY77,0),0)</f>
        <v>0</v>
      </c>
      <c r="R782" s="270">
        <f>IF(AY78&gt;0,ROUND(AY78,0),0)</f>
        <v>0</v>
      </c>
      <c r="S782" s="270">
        <f>IF(AY79&gt;0,ROUND(AY79,0),0)</f>
        <v>0</v>
      </c>
      <c r="T782" s="272">
        <f>IF(AY80&gt;0,ROUND(AY80,2),0)</f>
        <v>0</v>
      </c>
      <c r="U782" s="270"/>
      <c r="V782" s="271"/>
      <c r="W782" s="270"/>
      <c r="X782" s="270"/>
      <c r="Y782" s="270"/>
      <c r="Z782" s="271"/>
      <c r="AA782" s="271"/>
      <c r="AB782" s="271"/>
      <c r="AC782" s="271"/>
      <c r="AD782" s="271"/>
      <c r="AE782" s="271"/>
      <c r="AF782" s="271"/>
      <c r="AG782" s="271"/>
      <c r="AH782" s="271"/>
      <c r="AI782" s="271"/>
      <c r="AJ782" s="271"/>
      <c r="AK782" s="271"/>
      <c r="AL782" s="271"/>
      <c r="AM782" s="271"/>
      <c r="AN782" s="271"/>
      <c r="AO782" s="271"/>
      <c r="AP782" s="271"/>
      <c r="AQ782" s="271"/>
      <c r="AR782" s="271"/>
      <c r="AS782" s="271"/>
      <c r="AT782" s="271"/>
      <c r="AU782" s="271"/>
      <c r="AV782" s="271"/>
      <c r="AW782" s="271"/>
      <c r="AX782" s="271"/>
      <c r="AY782" s="271"/>
      <c r="AZ782" s="271"/>
      <c r="BA782" s="271"/>
      <c r="BB782" s="271"/>
      <c r="BC782" s="271"/>
      <c r="BD782" s="271"/>
      <c r="BE782" s="271"/>
      <c r="BF782" s="271"/>
      <c r="BG782" s="271"/>
      <c r="BH782" s="271"/>
      <c r="BI782" s="271"/>
      <c r="BJ782" s="271"/>
      <c r="BK782" s="271"/>
      <c r="BL782" s="271"/>
      <c r="BM782" s="271"/>
      <c r="BN782" s="271"/>
      <c r="BO782" s="271"/>
      <c r="BP782" s="271"/>
      <c r="BQ782" s="271"/>
      <c r="BR782" s="271"/>
      <c r="BS782" s="271"/>
      <c r="BT782" s="271"/>
      <c r="BU782" s="271"/>
      <c r="BV782" s="271"/>
      <c r="BW782" s="271"/>
      <c r="BX782" s="271"/>
      <c r="BY782" s="271"/>
      <c r="BZ782" s="271"/>
      <c r="CA782" s="271"/>
      <c r="CB782" s="271"/>
      <c r="CC782" s="271"/>
      <c r="CD782" s="271"/>
      <c r="CE782" s="271"/>
    </row>
    <row r="783" spans="1:83" ht="12.6" customHeight="1" x14ac:dyDescent="0.25">
      <c r="A783" s="207" t="str">
        <f>RIGHT($C$83,3)&amp;"*"&amp;RIGHT($C$82,4)&amp;"*"&amp;AZ$55&amp;"*"&amp;"A"</f>
        <v>126*2018*8330*A</v>
      </c>
      <c r="B783" s="270">
        <f>ROUND(AZ59,0)</f>
        <v>291836</v>
      </c>
      <c r="C783" s="272">
        <f>ROUND(AZ60,2)</f>
        <v>0</v>
      </c>
      <c r="D783" s="270">
        <f>ROUND(AZ61,0)</f>
        <v>0</v>
      </c>
      <c r="E783" s="270">
        <f>ROUND(AZ62,0)</f>
        <v>0</v>
      </c>
      <c r="F783" s="270">
        <f>ROUND(AZ63,0)</f>
        <v>0</v>
      </c>
      <c r="G783" s="270">
        <f>ROUND(AZ64,0)</f>
        <v>0</v>
      </c>
      <c r="H783" s="270">
        <f>ROUND(AZ65,0)</f>
        <v>0</v>
      </c>
      <c r="I783" s="270">
        <f>ROUND(AZ66,0)</f>
        <v>0</v>
      </c>
      <c r="J783" s="270">
        <f>ROUND(AZ67,0)</f>
        <v>0</v>
      </c>
      <c r="K783" s="270">
        <f>ROUND(AZ68,0)</f>
        <v>0</v>
      </c>
      <c r="L783" s="270">
        <f>ROUND(AZ69,0)</f>
        <v>0</v>
      </c>
      <c r="M783" s="270">
        <f>ROUND(AZ70,0)</f>
        <v>0</v>
      </c>
      <c r="N783" s="270"/>
      <c r="O783" s="270"/>
      <c r="P783" s="270">
        <f>IF(AZ76&gt;0,ROUND(AZ76,0),0)</f>
        <v>4146</v>
      </c>
      <c r="Q783" s="270">
        <f>IF(AZ77&gt;0,ROUND(AZ77,0),0)</f>
        <v>63650</v>
      </c>
      <c r="R783" s="270">
        <f>IF(AZ78&gt;0,ROUND(AZ78,0),0)</f>
        <v>0</v>
      </c>
      <c r="S783" s="270">
        <f>IF(AZ79&gt;0,ROUND(AZ79,0),0)</f>
        <v>0</v>
      </c>
      <c r="T783" s="272">
        <f>IF(AZ80&gt;0,ROUND(AZ80,2),0)</f>
        <v>0</v>
      </c>
      <c r="U783" s="270"/>
      <c r="V783" s="271"/>
      <c r="W783" s="270"/>
      <c r="X783" s="270"/>
      <c r="Y783" s="270"/>
      <c r="Z783" s="271"/>
      <c r="AA783" s="271"/>
      <c r="AB783" s="271"/>
      <c r="AC783" s="271"/>
      <c r="AD783" s="271"/>
      <c r="AE783" s="271"/>
      <c r="AF783" s="271"/>
      <c r="AG783" s="271"/>
      <c r="AH783" s="271"/>
      <c r="AI783" s="271"/>
      <c r="AJ783" s="271"/>
      <c r="AK783" s="271"/>
      <c r="AL783" s="271"/>
      <c r="AM783" s="271"/>
      <c r="AN783" s="271"/>
      <c r="AO783" s="271"/>
      <c r="AP783" s="271"/>
      <c r="AQ783" s="271"/>
      <c r="AR783" s="271"/>
      <c r="AS783" s="271"/>
      <c r="AT783" s="271"/>
      <c r="AU783" s="271"/>
      <c r="AV783" s="271"/>
      <c r="AW783" s="271"/>
      <c r="AX783" s="271"/>
      <c r="AY783" s="271"/>
      <c r="AZ783" s="271"/>
      <c r="BA783" s="271"/>
      <c r="BB783" s="271"/>
      <c r="BC783" s="271"/>
      <c r="BD783" s="271"/>
      <c r="BE783" s="271"/>
      <c r="BF783" s="271"/>
      <c r="BG783" s="271"/>
      <c r="BH783" s="271"/>
      <c r="BI783" s="271"/>
      <c r="BJ783" s="271"/>
      <c r="BK783" s="271"/>
      <c r="BL783" s="271"/>
      <c r="BM783" s="271"/>
      <c r="BN783" s="271"/>
      <c r="BO783" s="271"/>
      <c r="BP783" s="271"/>
      <c r="BQ783" s="271"/>
      <c r="BR783" s="271"/>
      <c r="BS783" s="271"/>
      <c r="BT783" s="271"/>
      <c r="BU783" s="271"/>
      <c r="BV783" s="271"/>
      <c r="BW783" s="271"/>
      <c r="BX783" s="271"/>
      <c r="BY783" s="271"/>
      <c r="BZ783" s="271"/>
      <c r="CA783" s="271"/>
      <c r="CB783" s="271"/>
      <c r="CC783" s="271"/>
      <c r="CD783" s="271"/>
      <c r="CE783" s="271"/>
    </row>
    <row r="784" spans="1:83" ht="12.6" customHeight="1" x14ac:dyDescent="0.25">
      <c r="A784" s="207" t="str">
        <f>RIGHT($C$83,3)&amp;"*"&amp;RIGHT($C$82,4)&amp;"*"&amp;BA$55&amp;"*"&amp;"A"</f>
        <v>126*2018*8350*A</v>
      </c>
      <c r="B784" s="270">
        <f>ROUND(BA59,0)</f>
        <v>0</v>
      </c>
      <c r="C784" s="272">
        <f>ROUND(BA60,2)</f>
        <v>0</v>
      </c>
      <c r="D784" s="270">
        <f>ROUND(BA61,0)</f>
        <v>166</v>
      </c>
      <c r="E784" s="270">
        <f>ROUND(BA62,0)</f>
        <v>111</v>
      </c>
      <c r="F784" s="270">
        <f>ROUND(BA63,0)</f>
        <v>0</v>
      </c>
      <c r="G784" s="270">
        <f>ROUND(BA64,0)</f>
        <v>0</v>
      </c>
      <c r="H784" s="270">
        <f>ROUND(BA65,0)</f>
        <v>0</v>
      </c>
      <c r="I784" s="270">
        <f>ROUND(BA66,0)</f>
        <v>0</v>
      </c>
      <c r="J784" s="270">
        <f>ROUND(BA67,0)</f>
        <v>0</v>
      </c>
      <c r="K784" s="270">
        <f>ROUND(BA68,0)</f>
        <v>0</v>
      </c>
      <c r="L784" s="270">
        <f>ROUND(BA69,0)</f>
        <v>0</v>
      </c>
      <c r="M784" s="270">
        <f>ROUND(BA70,0)</f>
        <v>0</v>
      </c>
      <c r="N784" s="270"/>
      <c r="O784" s="270"/>
      <c r="P784" s="270">
        <f>IF(BA76&gt;0,ROUND(BA76,0),0)</f>
        <v>0</v>
      </c>
      <c r="Q784" s="270">
        <f>IF(BA77&gt;0,ROUND(BA77,0),0)</f>
        <v>0</v>
      </c>
      <c r="R784" s="270">
        <f>IF(BA78&gt;0,ROUND(BA78,0),0)</f>
        <v>0</v>
      </c>
      <c r="S784" s="270">
        <f>IF(BA79&gt;0,ROUND(BA79,0),0)</f>
        <v>0</v>
      </c>
      <c r="T784" s="272">
        <f>IF(BA80&gt;0,ROUND(BA80,2),0)</f>
        <v>0</v>
      </c>
      <c r="U784" s="270"/>
      <c r="V784" s="271"/>
      <c r="W784" s="270"/>
      <c r="X784" s="270"/>
      <c r="Y784" s="270"/>
      <c r="Z784" s="271"/>
      <c r="AA784" s="271"/>
      <c r="AB784" s="271"/>
      <c r="AC784" s="271"/>
      <c r="AD784" s="271"/>
      <c r="AE784" s="271"/>
      <c r="AF784" s="271"/>
      <c r="AG784" s="271"/>
      <c r="AH784" s="271"/>
      <c r="AI784" s="271"/>
      <c r="AJ784" s="271"/>
      <c r="AK784" s="271"/>
      <c r="AL784" s="271"/>
      <c r="AM784" s="271"/>
      <c r="AN784" s="271"/>
      <c r="AO784" s="271"/>
      <c r="AP784" s="271"/>
      <c r="AQ784" s="271"/>
      <c r="AR784" s="271"/>
      <c r="AS784" s="271"/>
      <c r="AT784" s="271"/>
      <c r="AU784" s="271"/>
      <c r="AV784" s="271"/>
      <c r="AW784" s="271"/>
      <c r="AX784" s="271"/>
      <c r="AY784" s="271"/>
      <c r="AZ784" s="271"/>
      <c r="BA784" s="271"/>
      <c r="BB784" s="271"/>
      <c r="BC784" s="271"/>
      <c r="BD784" s="271"/>
      <c r="BE784" s="271"/>
      <c r="BF784" s="271"/>
      <c r="BG784" s="271"/>
      <c r="BH784" s="271"/>
      <c r="BI784" s="271"/>
      <c r="BJ784" s="271"/>
      <c r="BK784" s="271"/>
      <c r="BL784" s="271"/>
      <c r="BM784" s="271"/>
      <c r="BN784" s="271"/>
      <c r="BO784" s="271"/>
      <c r="BP784" s="271"/>
      <c r="BQ784" s="271"/>
      <c r="BR784" s="271"/>
      <c r="BS784" s="271"/>
      <c r="BT784" s="271"/>
      <c r="BU784" s="271"/>
      <c r="BV784" s="271"/>
      <c r="BW784" s="271"/>
      <c r="BX784" s="271"/>
      <c r="BY784" s="271"/>
      <c r="BZ784" s="271"/>
      <c r="CA784" s="271"/>
      <c r="CB784" s="271"/>
      <c r="CC784" s="271"/>
      <c r="CD784" s="271"/>
      <c r="CE784" s="271"/>
    </row>
    <row r="785" spans="1:83" ht="12.6" customHeight="1" x14ac:dyDescent="0.25">
      <c r="A785" s="207" t="str">
        <f>RIGHT($C$83,3)&amp;"*"&amp;RIGHT($C$82,4)&amp;"*"&amp;BB$55&amp;"*"&amp;"A"</f>
        <v>126*2018*8360*A</v>
      </c>
      <c r="B785" s="270"/>
      <c r="C785" s="272">
        <f>ROUND(BB60,2)</f>
        <v>0</v>
      </c>
      <c r="D785" s="270">
        <f>ROUND(BB61,0)</f>
        <v>0</v>
      </c>
      <c r="E785" s="270">
        <f>ROUND(BB62,0)</f>
        <v>0</v>
      </c>
      <c r="F785" s="270">
        <f>ROUND(BB63,0)</f>
        <v>0</v>
      </c>
      <c r="G785" s="270">
        <f>ROUND(BB64,0)</f>
        <v>0</v>
      </c>
      <c r="H785" s="270">
        <f>ROUND(BB65,0)</f>
        <v>0</v>
      </c>
      <c r="I785" s="270">
        <f>ROUND(BB66,0)</f>
        <v>0</v>
      </c>
      <c r="J785" s="270">
        <f>ROUND(BB67,0)</f>
        <v>0</v>
      </c>
      <c r="K785" s="270">
        <f>ROUND(BB68,0)</f>
        <v>0</v>
      </c>
      <c r="L785" s="270">
        <f>ROUND(BB69,0)</f>
        <v>0</v>
      </c>
      <c r="M785" s="270">
        <f>ROUND(BB70,0)</f>
        <v>0</v>
      </c>
      <c r="N785" s="270"/>
      <c r="O785" s="270"/>
      <c r="P785" s="270">
        <f>IF(BB76&gt;0,ROUND(BB76,0),0)</f>
        <v>0</v>
      </c>
      <c r="Q785" s="270">
        <f>IF(BB77&gt;0,ROUND(BB77,0),0)</f>
        <v>0</v>
      </c>
      <c r="R785" s="270">
        <f>IF(BB78&gt;0,ROUND(BB78,0),0)</f>
        <v>0</v>
      </c>
      <c r="S785" s="270">
        <f>IF(BB79&gt;0,ROUND(BB79,0),0)</f>
        <v>0</v>
      </c>
      <c r="T785" s="272">
        <f>IF(BB80&gt;0,ROUND(BB80,2),0)</f>
        <v>0</v>
      </c>
      <c r="U785" s="270"/>
      <c r="V785" s="271"/>
      <c r="W785" s="270"/>
      <c r="X785" s="270"/>
      <c r="Y785" s="270"/>
      <c r="Z785" s="271"/>
      <c r="AA785" s="271"/>
      <c r="AB785" s="271"/>
      <c r="AC785" s="271"/>
      <c r="AD785" s="271"/>
      <c r="AE785" s="271"/>
      <c r="AF785" s="271"/>
      <c r="AG785" s="271"/>
      <c r="AH785" s="271"/>
      <c r="AI785" s="271"/>
      <c r="AJ785" s="271"/>
      <c r="AK785" s="271"/>
      <c r="AL785" s="271"/>
      <c r="AM785" s="271"/>
      <c r="AN785" s="271"/>
      <c r="AO785" s="271"/>
      <c r="AP785" s="271"/>
      <c r="AQ785" s="271"/>
      <c r="AR785" s="271"/>
      <c r="AS785" s="271"/>
      <c r="AT785" s="271"/>
      <c r="AU785" s="271"/>
      <c r="AV785" s="271"/>
      <c r="AW785" s="271"/>
      <c r="AX785" s="271"/>
      <c r="AY785" s="271"/>
      <c r="AZ785" s="271"/>
      <c r="BA785" s="271"/>
      <c r="BB785" s="271"/>
      <c r="BC785" s="271"/>
      <c r="BD785" s="271"/>
      <c r="BE785" s="271"/>
      <c r="BF785" s="271"/>
      <c r="BG785" s="271"/>
      <c r="BH785" s="271"/>
      <c r="BI785" s="271"/>
      <c r="BJ785" s="271"/>
      <c r="BK785" s="271"/>
      <c r="BL785" s="271"/>
      <c r="BM785" s="271"/>
      <c r="BN785" s="271"/>
      <c r="BO785" s="271"/>
      <c r="BP785" s="271"/>
      <c r="BQ785" s="271"/>
      <c r="BR785" s="271"/>
      <c r="BS785" s="271"/>
      <c r="BT785" s="271"/>
      <c r="BU785" s="271"/>
      <c r="BV785" s="271"/>
      <c r="BW785" s="271"/>
      <c r="BX785" s="271"/>
      <c r="BY785" s="271"/>
      <c r="BZ785" s="271"/>
      <c r="CA785" s="271"/>
      <c r="CB785" s="271"/>
      <c r="CC785" s="271"/>
      <c r="CD785" s="271"/>
      <c r="CE785" s="271"/>
    </row>
    <row r="786" spans="1:83" ht="12.6" customHeight="1" x14ac:dyDescent="0.25">
      <c r="A786" s="207" t="str">
        <f>RIGHT($C$83,3)&amp;"*"&amp;RIGHT($C$82,4)&amp;"*"&amp;BC$55&amp;"*"&amp;"A"</f>
        <v>126*2018*8370*A</v>
      </c>
      <c r="B786" s="270"/>
      <c r="C786" s="272">
        <f>ROUND(BC60,2)</f>
        <v>0</v>
      </c>
      <c r="D786" s="270">
        <f>ROUND(BC61,0)</f>
        <v>0</v>
      </c>
      <c r="E786" s="270">
        <f>ROUND(BC62,0)</f>
        <v>0</v>
      </c>
      <c r="F786" s="270">
        <f>ROUND(BC63,0)</f>
        <v>0</v>
      </c>
      <c r="G786" s="270">
        <f>ROUND(BC64,0)</f>
        <v>877</v>
      </c>
      <c r="H786" s="270">
        <f>ROUND(BC65,0)</f>
        <v>0</v>
      </c>
      <c r="I786" s="270">
        <f>ROUND(BC66,0)</f>
        <v>0</v>
      </c>
      <c r="J786" s="270">
        <f>ROUND(BC67,0)</f>
        <v>0</v>
      </c>
      <c r="K786" s="270">
        <f>ROUND(BC68,0)</f>
        <v>0</v>
      </c>
      <c r="L786" s="270">
        <f>ROUND(BC69,0)</f>
        <v>0</v>
      </c>
      <c r="M786" s="270">
        <f>ROUND(BC70,0)</f>
        <v>0</v>
      </c>
      <c r="N786" s="270"/>
      <c r="O786" s="270"/>
      <c r="P786" s="270">
        <f>IF(BC76&gt;0,ROUND(BC76,0),0)</f>
        <v>0</v>
      </c>
      <c r="Q786" s="270">
        <f>IF(BC77&gt;0,ROUND(BC77,0),0)</f>
        <v>0</v>
      </c>
      <c r="R786" s="270">
        <f>IF(BC78&gt;0,ROUND(BC78,0),0)</f>
        <v>0</v>
      </c>
      <c r="S786" s="270">
        <f>IF(BC79&gt;0,ROUND(BC79,0),0)</f>
        <v>0</v>
      </c>
      <c r="T786" s="272">
        <f>IF(BC80&gt;0,ROUND(BC80,2),0)</f>
        <v>0</v>
      </c>
      <c r="U786" s="270"/>
      <c r="V786" s="271"/>
      <c r="W786" s="270"/>
      <c r="X786" s="270"/>
      <c r="Y786" s="270"/>
      <c r="Z786" s="271"/>
      <c r="AA786" s="271"/>
      <c r="AB786" s="271"/>
      <c r="AC786" s="271"/>
      <c r="AD786" s="271"/>
      <c r="AE786" s="271"/>
      <c r="AF786" s="271"/>
      <c r="AG786" s="271"/>
      <c r="AH786" s="271"/>
      <c r="AI786" s="271"/>
      <c r="AJ786" s="271"/>
      <c r="AK786" s="271"/>
      <c r="AL786" s="271"/>
      <c r="AM786" s="271"/>
      <c r="AN786" s="271"/>
      <c r="AO786" s="271"/>
      <c r="AP786" s="271"/>
      <c r="AQ786" s="271"/>
      <c r="AR786" s="271"/>
      <c r="AS786" s="271"/>
      <c r="AT786" s="271"/>
      <c r="AU786" s="271"/>
      <c r="AV786" s="271"/>
      <c r="AW786" s="271"/>
      <c r="AX786" s="271"/>
      <c r="AY786" s="271"/>
      <c r="AZ786" s="271"/>
      <c r="BA786" s="271"/>
      <c r="BB786" s="271"/>
      <c r="BC786" s="271"/>
      <c r="BD786" s="271"/>
      <c r="BE786" s="271"/>
      <c r="BF786" s="271"/>
      <c r="BG786" s="271"/>
      <c r="BH786" s="271"/>
      <c r="BI786" s="271"/>
      <c r="BJ786" s="271"/>
      <c r="BK786" s="271"/>
      <c r="BL786" s="271"/>
      <c r="BM786" s="271"/>
      <c r="BN786" s="271"/>
      <c r="BO786" s="271"/>
      <c r="BP786" s="271"/>
      <c r="BQ786" s="271"/>
      <c r="BR786" s="271"/>
      <c r="BS786" s="271"/>
      <c r="BT786" s="271"/>
      <c r="BU786" s="271"/>
      <c r="BV786" s="271"/>
      <c r="BW786" s="271"/>
      <c r="BX786" s="271"/>
      <c r="BY786" s="271"/>
      <c r="BZ786" s="271"/>
      <c r="CA786" s="271"/>
      <c r="CB786" s="271"/>
      <c r="CC786" s="271"/>
      <c r="CD786" s="271"/>
      <c r="CE786" s="271"/>
    </row>
    <row r="787" spans="1:83" ht="12.6" customHeight="1" x14ac:dyDescent="0.25">
      <c r="A787" s="207" t="str">
        <f>RIGHT($C$83,3)&amp;"*"&amp;RIGHT($C$82,4)&amp;"*"&amp;BD$55&amp;"*"&amp;"A"</f>
        <v>126*2018*8420*A</v>
      </c>
      <c r="B787" s="270"/>
      <c r="C787" s="272">
        <f>ROUND(BD60,2)</f>
        <v>0</v>
      </c>
      <c r="D787" s="270">
        <f>ROUND(BD61,0)</f>
        <v>0</v>
      </c>
      <c r="E787" s="270">
        <f>ROUND(BD62,0)</f>
        <v>0</v>
      </c>
      <c r="F787" s="270">
        <f>ROUND(BD63,0)</f>
        <v>0</v>
      </c>
      <c r="G787" s="270">
        <f>ROUND(BD64,0)</f>
        <v>0</v>
      </c>
      <c r="H787" s="270">
        <f>ROUND(BD65,0)</f>
        <v>0</v>
      </c>
      <c r="I787" s="270">
        <f>ROUND(BD66,0)</f>
        <v>0</v>
      </c>
      <c r="J787" s="270">
        <f>ROUND(BD67,0)</f>
        <v>0</v>
      </c>
      <c r="K787" s="270">
        <f>ROUND(BD68,0)</f>
        <v>0</v>
      </c>
      <c r="L787" s="270">
        <f>ROUND(BD69,0)</f>
        <v>0</v>
      </c>
      <c r="M787" s="270">
        <f>ROUND(BD70,0)</f>
        <v>0</v>
      </c>
      <c r="N787" s="270"/>
      <c r="O787" s="270"/>
      <c r="P787" s="270">
        <f>IF(BD76&gt;0,ROUND(BD76,0),0)</f>
        <v>0</v>
      </c>
      <c r="Q787" s="270">
        <f>IF(BD77&gt;0,ROUND(BD77,0),0)</f>
        <v>0</v>
      </c>
      <c r="R787" s="270">
        <f>IF(BD78&gt;0,ROUND(BD78,0),0)</f>
        <v>0</v>
      </c>
      <c r="S787" s="270">
        <f>IF(BD79&gt;0,ROUND(BD79,0),0)</f>
        <v>0</v>
      </c>
      <c r="T787" s="272">
        <f>IF(BD80&gt;0,ROUND(BD80,2),0)</f>
        <v>0</v>
      </c>
      <c r="U787" s="270"/>
      <c r="V787" s="271"/>
      <c r="W787" s="270"/>
      <c r="X787" s="270"/>
      <c r="Y787" s="270"/>
      <c r="Z787" s="271"/>
      <c r="AA787" s="271"/>
      <c r="AB787" s="271"/>
      <c r="AC787" s="271"/>
      <c r="AD787" s="271"/>
      <c r="AE787" s="271"/>
      <c r="AF787" s="271"/>
      <c r="AG787" s="271"/>
      <c r="AH787" s="271"/>
      <c r="AI787" s="271"/>
      <c r="AJ787" s="271"/>
      <c r="AK787" s="271"/>
      <c r="AL787" s="271"/>
      <c r="AM787" s="271"/>
      <c r="AN787" s="271"/>
      <c r="AO787" s="271"/>
      <c r="AP787" s="271"/>
      <c r="AQ787" s="271"/>
      <c r="AR787" s="271"/>
      <c r="AS787" s="271"/>
      <c r="AT787" s="271"/>
      <c r="AU787" s="271"/>
      <c r="AV787" s="271"/>
      <c r="AW787" s="271"/>
      <c r="AX787" s="271"/>
      <c r="AY787" s="271"/>
      <c r="AZ787" s="271"/>
      <c r="BA787" s="271"/>
      <c r="BB787" s="271"/>
      <c r="BC787" s="271"/>
      <c r="BD787" s="271"/>
      <c r="BE787" s="271"/>
      <c r="BF787" s="271"/>
      <c r="BG787" s="271"/>
      <c r="BH787" s="271"/>
      <c r="BI787" s="271"/>
      <c r="BJ787" s="271"/>
      <c r="BK787" s="271"/>
      <c r="BL787" s="271"/>
      <c r="BM787" s="271"/>
      <c r="BN787" s="271"/>
      <c r="BO787" s="271"/>
      <c r="BP787" s="271"/>
      <c r="BQ787" s="271"/>
      <c r="BR787" s="271"/>
      <c r="BS787" s="271"/>
      <c r="BT787" s="271"/>
      <c r="BU787" s="271"/>
      <c r="BV787" s="271"/>
      <c r="BW787" s="271"/>
      <c r="BX787" s="271"/>
      <c r="BY787" s="271"/>
      <c r="BZ787" s="271"/>
      <c r="CA787" s="271"/>
      <c r="CB787" s="271"/>
      <c r="CC787" s="271"/>
      <c r="CD787" s="271"/>
      <c r="CE787" s="271"/>
    </row>
    <row r="788" spans="1:83" ht="12.6" customHeight="1" x14ac:dyDescent="0.25">
      <c r="A788" s="207" t="str">
        <f>RIGHT($C$83,3)&amp;"*"&amp;RIGHT($C$82,4)&amp;"*"&amp;BE$55&amp;"*"&amp;"A"</f>
        <v>126*2018*8430*A</v>
      </c>
      <c r="B788" s="270">
        <f>ROUND(BE59,0)</f>
        <v>240865</v>
      </c>
      <c r="C788" s="272">
        <f>ROUND(BE60,2)</f>
        <v>12.26</v>
      </c>
      <c r="D788" s="270">
        <f>ROUND(BE61,0)</f>
        <v>601329</v>
      </c>
      <c r="E788" s="270">
        <f>ROUND(BE62,0)</f>
        <v>210088</v>
      </c>
      <c r="F788" s="270">
        <f>ROUND(BE63,0)</f>
        <v>0</v>
      </c>
      <c r="G788" s="270">
        <f>ROUND(BE64,0)</f>
        <v>4721</v>
      </c>
      <c r="H788" s="270">
        <f>ROUND(BE65,0)</f>
        <v>1298808</v>
      </c>
      <c r="I788" s="270">
        <f>ROUND(BE66,0)</f>
        <v>2487812</v>
      </c>
      <c r="J788" s="270">
        <f>ROUND(BE67,0)</f>
        <v>206558</v>
      </c>
      <c r="K788" s="270">
        <f>ROUND(BE68,0)</f>
        <v>2198</v>
      </c>
      <c r="L788" s="270">
        <f>ROUND(BE69,0)</f>
        <v>41126</v>
      </c>
      <c r="M788" s="270">
        <f>ROUND(BE70,0)</f>
        <v>64595</v>
      </c>
      <c r="N788" s="270"/>
      <c r="O788" s="270"/>
      <c r="P788" s="270">
        <f>IF(BE76&gt;0,ROUND(BE76,0),0)</f>
        <v>23344</v>
      </c>
      <c r="Q788" s="270">
        <f>IF(BE77&gt;0,ROUND(BE77,0),0)</f>
        <v>0</v>
      </c>
      <c r="R788" s="270">
        <f>IF(BE78&gt;0,ROUND(BE78,0),0)</f>
        <v>0</v>
      </c>
      <c r="S788" s="270">
        <f>IF(BE79&gt;0,ROUND(BE79,0),0)</f>
        <v>0</v>
      </c>
      <c r="T788" s="272">
        <f>IF(BE80&gt;0,ROUND(BE80,2),0)</f>
        <v>0</v>
      </c>
      <c r="U788" s="270"/>
      <c r="V788" s="271"/>
      <c r="W788" s="270"/>
      <c r="X788" s="270"/>
      <c r="Y788" s="270"/>
      <c r="Z788" s="271"/>
      <c r="AA788" s="271"/>
      <c r="AB788" s="271"/>
      <c r="AC788" s="271"/>
      <c r="AD788" s="271"/>
      <c r="AE788" s="271"/>
      <c r="AF788" s="271"/>
      <c r="AG788" s="271"/>
      <c r="AH788" s="271"/>
      <c r="AI788" s="271"/>
      <c r="AJ788" s="271"/>
      <c r="AK788" s="271"/>
      <c r="AL788" s="271"/>
      <c r="AM788" s="271"/>
      <c r="AN788" s="271"/>
      <c r="AO788" s="271"/>
      <c r="AP788" s="271"/>
      <c r="AQ788" s="271"/>
      <c r="AR788" s="271"/>
      <c r="AS788" s="271"/>
      <c r="AT788" s="271"/>
      <c r="AU788" s="271"/>
      <c r="AV788" s="271"/>
      <c r="AW788" s="271"/>
      <c r="AX788" s="271"/>
      <c r="AY788" s="271"/>
      <c r="AZ788" s="271"/>
      <c r="BA788" s="271"/>
      <c r="BB788" s="271"/>
      <c r="BC788" s="271"/>
      <c r="BD788" s="271"/>
      <c r="BE788" s="271"/>
      <c r="BF788" s="271"/>
      <c r="BG788" s="271"/>
      <c r="BH788" s="271"/>
      <c r="BI788" s="271"/>
      <c r="BJ788" s="271"/>
      <c r="BK788" s="271"/>
      <c r="BL788" s="271"/>
      <c r="BM788" s="271"/>
      <c r="BN788" s="271"/>
      <c r="BO788" s="271"/>
      <c r="BP788" s="271"/>
      <c r="BQ788" s="271"/>
      <c r="BR788" s="271"/>
      <c r="BS788" s="271"/>
      <c r="BT788" s="271"/>
      <c r="BU788" s="271"/>
      <c r="BV788" s="271"/>
      <c r="BW788" s="271"/>
      <c r="BX788" s="271"/>
      <c r="BY788" s="271"/>
      <c r="BZ788" s="271"/>
      <c r="CA788" s="271"/>
      <c r="CB788" s="271"/>
      <c r="CC788" s="271"/>
      <c r="CD788" s="271"/>
      <c r="CE788" s="271"/>
    </row>
    <row r="789" spans="1:83" ht="12.6" customHeight="1" x14ac:dyDescent="0.25">
      <c r="A789" s="207" t="str">
        <f>RIGHT($C$83,3)&amp;"*"&amp;RIGHT($C$82,4)&amp;"*"&amp;BF$55&amp;"*"&amp;"A"</f>
        <v>126*2018*8460*A</v>
      </c>
      <c r="B789" s="270"/>
      <c r="C789" s="272">
        <f>ROUND(BF60,2)</f>
        <v>36.74</v>
      </c>
      <c r="D789" s="270">
        <f>ROUND(BF61,0)</f>
        <v>1504509</v>
      </c>
      <c r="E789" s="270">
        <f>ROUND(BF62,0)</f>
        <v>688559</v>
      </c>
      <c r="F789" s="270">
        <f>ROUND(BF63,0)</f>
        <v>0</v>
      </c>
      <c r="G789" s="270">
        <f>ROUND(BF64,0)</f>
        <v>132152</v>
      </c>
      <c r="H789" s="270">
        <f>ROUND(BF65,0)</f>
        <v>16484</v>
      </c>
      <c r="I789" s="270">
        <f>ROUND(BF66,0)</f>
        <v>275699</v>
      </c>
      <c r="J789" s="270">
        <f>ROUND(BF67,0)</f>
        <v>4592</v>
      </c>
      <c r="K789" s="270">
        <f>ROUND(BF68,0)</f>
        <v>1038</v>
      </c>
      <c r="L789" s="270">
        <f>ROUND(BF69,0)</f>
        <v>4931</v>
      </c>
      <c r="M789" s="270">
        <f>ROUND(BF70,0)</f>
        <v>187740</v>
      </c>
      <c r="N789" s="270"/>
      <c r="O789" s="270"/>
      <c r="P789" s="270">
        <f>IF(BF76&gt;0,ROUND(BF76,0),0)</f>
        <v>4143</v>
      </c>
      <c r="Q789" s="270">
        <f>IF(BF77&gt;0,ROUND(BF77,0),0)</f>
        <v>0</v>
      </c>
      <c r="R789" s="270">
        <f>IF(BF78&gt;0,ROUND(BF78,0),0)</f>
        <v>0</v>
      </c>
      <c r="S789" s="270">
        <f>IF(BF79&gt;0,ROUND(BF79,0),0)</f>
        <v>0</v>
      </c>
      <c r="T789" s="272">
        <f>IF(BF80&gt;0,ROUND(BF80,2),0)</f>
        <v>0</v>
      </c>
      <c r="U789" s="270"/>
      <c r="V789" s="271"/>
      <c r="W789" s="270"/>
      <c r="X789" s="270"/>
      <c r="Y789" s="270"/>
      <c r="Z789" s="271"/>
      <c r="AA789" s="271"/>
      <c r="AB789" s="271"/>
      <c r="AC789" s="271"/>
      <c r="AD789" s="271"/>
      <c r="AE789" s="271"/>
      <c r="AF789" s="271"/>
      <c r="AG789" s="271"/>
      <c r="AH789" s="271"/>
      <c r="AI789" s="271"/>
      <c r="AJ789" s="271"/>
      <c r="AK789" s="271"/>
      <c r="AL789" s="271"/>
      <c r="AM789" s="271"/>
      <c r="AN789" s="271"/>
      <c r="AO789" s="271"/>
      <c r="AP789" s="271"/>
      <c r="AQ789" s="271"/>
      <c r="AR789" s="271"/>
      <c r="AS789" s="271"/>
      <c r="AT789" s="271"/>
      <c r="AU789" s="271"/>
      <c r="AV789" s="271"/>
      <c r="AW789" s="271"/>
      <c r="AX789" s="271"/>
      <c r="AY789" s="271"/>
      <c r="AZ789" s="271"/>
      <c r="BA789" s="271"/>
      <c r="BB789" s="271"/>
      <c r="BC789" s="271"/>
      <c r="BD789" s="271"/>
      <c r="BE789" s="271"/>
      <c r="BF789" s="271"/>
      <c r="BG789" s="271"/>
      <c r="BH789" s="271"/>
      <c r="BI789" s="271"/>
      <c r="BJ789" s="271"/>
      <c r="BK789" s="271"/>
      <c r="BL789" s="271"/>
      <c r="BM789" s="271"/>
      <c r="BN789" s="271"/>
      <c r="BO789" s="271"/>
      <c r="BP789" s="271"/>
      <c r="BQ789" s="271"/>
      <c r="BR789" s="271"/>
      <c r="BS789" s="271"/>
      <c r="BT789" s="271"/>
      <c r="BU789" s="271"/>
      <c r="BV789" s="271"/>
      <c r="BW789" s="271"/>
      <c r="BX789" s="271"/>
      <c r="BY789" s="271"/>
      <c r="BZ789" s="271"/>
      <c r="CA789" s="271"/>
      <c r="CB789" s="271"/>
      <c r="CC789" s="271"/>
      <c r="CD789" s="271"/>
      <c r="CE789" s="271"/>
    </row>
    <row r="790" spans="1:83" ht="12.6" customHeight="1" x14ac:dyDescent="0.25">
      <c r="A790" s="207" t="str">
        <f>RIGHT($C$83,3)&amp;"*"&amp;RIGHT($C$82,4)&amp;"*"&amp;BG$55&amp;"*"&amp;"A"</f>
        <v>126*2018*8470*A</v>
      </c>
      <c r="B790" s="270"/>
      <c r="C790" s="272">
        <f>ROUND(BG60,2)</f>
        <v>0</v>
      </c>
      <c r="D790" s="270">
        <f>ROUND(BG61,0)</f>
        <v>0</v>
      </c>
      <c r="E790" s="270">
        <f>ROUND(BG62,0)</f>
        <v>0</v>
      </c>
      <c r="F790" s="270">
        <f>ROUND(BG63,0)</f>
        <v>0</v>
      </c>
      <c r="G790" s="270">
        <f>ROUND(BG64,0)</f>
        <v>0</v>
      </c>
      <c r="H790" s="270">
        <f>ROUND(BG65,0)</f>
        <v>0</v>
      </c>
      <c r="I790" s="270">
        <f>ROUND(BG66,0)</f>
        <v>32841</v>
      </c>
      <c r="J790" s="270">
        <f>ROUND(BG67,0)</f>
        <v>0</v>
      </c>
      <c r="K790" s="270">
        <f>ROUND(BG68,0)</f>
        <v>0</v>
      </c>
      <c r="L790" s="270">
        <f>ROUND(BG69,0)</f>
        <v>0</v>
      </c>
      <c r="M790" s="270">
        <f>ROUND(BG70,0)</f>
        <v>0</v>
      </c>
      <c r="N790" s="270"/>
      <c r="O790" s="270"/>
      <c r="P790" s="270">
        <f>IF(BG76&gt;0,ROUND(BG76,0),0)</f>
        <v>0</v>
      </c>
      <c r="Q790" s="270">
        <f>IF(BG77&gt;0,ROUND(BG77,0),0)</f>
        <v>0</v>
      </c>
      <c r="R790" s="270">
        <f>IF(BG78&gt;0,ROUND(BG78,0),0)</f>
        <v>0</v>
      </c>
      <c r="S790" s="270">
        <f>IF(BG79&gt;0,ROUND(BG79,0),0)</f>
        <v>0</v>
      </c>
      <c r="T790" s="272">
        <f>IF(BG80&gt;0,ROUND(BG80,2),0)</f>
        <v>0</v>
      </c>
      <c r="U790" s="270"/>
      <c r="V790" s="271"/>
      <c r="W790" s="270"/>
      <c r="X790" s="270"/>
      <c r="Y790" s="270"/>
      <c r="Z790" s="271"/>
      <c r="AA790" s="271"/>
      <c r="AB790" s="271"/>
      <c r="AC790" s="271"/>
      <c r="AD790" s="271"/>
      <c r="AE790" s="271"/>
      <c r="AF790" s="271"/>
      <c r="AG790" s="271"/>
      <c r="AH790" s="271"/>
      <c r="AI790" s="271"/>
      <c r="AJ790" s="271"/>
      <c r="AK790" s="271"/>
      <c r="AL790" s="271"/>
      <c r="AM790" s="271"/>
      <c r="AN790" s="271"/>
      <c r="AO790" s="271"/>
      <c r="AP790" s="271"/>
      <c r="AQ790" s="271"/>
      <c r="AR790" s="271"/>
      <c r="AS790" s="271"/>
      <c r="AT790" s="271"/>
      <c r="AU790" s="271"/>
      <c r="AV790" s="271"/>
      <c r="AW790" s="271"/>
      <c r="AX790" s="271"/>
      <c r="AY790" s="271"/>
      <c r="AZ790" s="271"/>
      <c r="BA790" s="271"/>
      <c r="BB790" s="271"/>
      <c r="BC790" s="271"/>
      <c r="BD790" s="271"/>
      <c r="BE790" s="271"/>
      <c r="BF790" s="271"/>
      <c r="BG790" s="271"/>
      <c r="BH790" s="271"/>
      <c r="BI790" s="271"/>
      <c r="BJ790" s="271"/>
      <c r="BK790" s="271"/>
      <c r="BL790" s="271"/>
      <c r="BM790" s="271"/>
      <c r="BN790" s="271"/>
      <c r="BO790" s="271"/>
      <c r="BP790" s="271"/>
      <c r="BQ790" s="271"/>
      <c r="BR790" s="271"/>
      <c r="BS790" s="271"/>
      <c r="BT790" s="271"/>
      <c r="BU790" s="271"/>
      <c r="BV790" s="271"/>
      <c r="BW790" s="271"/>
      <c r="BX790" s="271"/>
      <c r="BY790" s="271"/>
      <c r="BZ790" s="271"/>
      <c r="CA790" s="271"/>
      <c r="CB790" s="271"/>
      <c r="CC790" s="271"/>
      <c r="CD790" s="271"/>
      <c r="CE790" s="271"/>
    </row>
    <row r="791" spans="1:83" ht="12.6" customHeight="1" x14ac:dyDescent="0.25">
      <c r="A791" s="207" t="str">
        <f>RIGHT($C$83,3)&amp;"*"&amp;RIGHT($C$82,4)&amp;"*"&amp;BH$55&amp;"*"&amp;"A"</f>
        <v>126*2018*8480*A</v>
      </c>
      <c r="B791" s="270"/>
      <c r="C791" s="272">
        <f>ROUND(BH60,2)</f>
        <v>0</v>
      </c>
      <c r="D791" s="270">
        <f>ROUND(BH61,0)</f>
        <v>0</v>
      </c>
      <c r="E791" s="270">
        <f>ROUND(BH62,0)</f>
        <v>0</v>
      </c>
      <c r="F791" s="270">
        <f>ROUND(BH63,0)</f>
        <v>0</v>
      </c>
      <c r="G791" s="270">
        <f>ROUND(BH64,0)</f>
        <v>0</v>
      </c>
      <c r="H791" s="270">
        <f>ROUND(BH65,0)</f>
        <v>0</v>
      </c>
      <c r="I791" s="270">
        <f>ROUND(BH66,0)</f>
        <v>222665</v>
      </c>
      <c r="J791" s="270">
        <f>ROUND(BH67,0)</f>
        <v>0</v>
      </c>
      <c r="K791" s="270">
        <f>ROUND(BH68,0)</f>
        <v>0</v>
      </c>
      <c r="L791" s="270">
        <f>ROUND(BH69,0)</f>
        <v>0</v>
      </c>
      <c r="M791" s="270">
        <f>ROUND(BH70,0)</f>
        <v>0</v>
      </c>
      <c r="N791" s="270"/>
      <c r="O791" s="270"/>
      <c r="P791" s="270">
        <f>IF(BH76&gt;0,ROUND(BH76,0),0)</f>
        <v>0</v>
      </c>
      <c r="Q791" s="270">
        <f>IF(BH77&gt;0,ROUND(BH77,0),0)</f>
        <v>0</v>
      </c>
      <c r="R791" s="270">
        <f>IF(BH78&gt;0,ROUND(BH78,0),0)</f>
        <v>0</v>
      </c>
      <c r="S791" s="270">
        <f>IF(BH79&gt;0,ROUND(BH79,0),0)</f>
        <v>0</v>
      </c>
      <c r="T791" s="272">
        <f>IF(BH80&gt;0,ROUND(BH80,2),0)</f>
        <v>0</v>
      </c>
      <c r="U791" s="270"/>
      <c r="V791" s="271"/>
      <c r="W791" s="270"/>
      <c r="X791" s="270"/>
      <c r="Y791" s="270"/>
      <c r="Z791" s="271"/>
      <c r="AA791" s="271"/>
      <c r="AB791" s="271"/>
      <c r="AC791" s="271"/>
      <c r="AD791" s="271"/>
      <c r="AE791" s="271"/>
      <c r="AF791" s="271"/>
      <c r="AG791" s="271"/>
      <c r="AH791" s="271"/>
      <c r="AI791" s="271"/>
      <c r="AJ791" s="271"/>
      <c r="AK791" s="271"/>
      <c r="AL791" s="271"/>
      <c r="AM791" s="271"/>
      <c r="AN791" s="271"/>
      <c r="AO791" s="271"/>
      <c r="AP791" s="271"/>
      <c r="AQ791" s="271"/>
      <c r="AR791" s="271"/>
      <c r="AS791" s="271"/>
      <c r="AT791" s="271"/>
      <c r="AU791" s="271"/>
      <c r="AV791" s="271"/>
      <c r="AW791" s="271"/>
      <c r="AX791" s="271"/>
      <c r="AY791" s="271"/>
      <c r="AZ791" s="271"/>
      <c r="BA791" s="271"/>
      <c r="BB791" s="271"/>
      <c r="BC791" s="271"/>
      <c r="BD791" s="271"/>
      <c r="BE791" s="271"/>
      <c r="BF791" s="271"/>
      <c r="BG791" s="271"/>
      <c r="BH791" s="271"/>
      <c r="BI791" s="271"/>
      <c r="BJ791" s="271"/>
      <c r="BK791" s="271"/>
      <c r="BL791" s="271"/>
      <c r="BM791" s="271"/>
      <c r="BN791" s="271"/>
      <c r="BO791" s="271"/>
      <c r="BP791" s="271"/>
      <c r="BQ791" s="271"/>
      <c r="BR791" s="271"/>
      <c r="BS791" s="271"/>
      <c r="BT791" s="271"/>
      <c r="BU791" s="271"/>
      <c r="BV791" s="271"/>
      <c r="BW791" s="271"/>
      <c r="BX791" s="271"/>
      <c r="BY791" s="271"/>
      <c r="BZ791" s="271"/>
      <c r="CA791" s="271"/>
      <c r="CB791" s="271"/>
      <c r="CC791" s="271"/>
      <c r="CD791" s="271"/>
      <c r="CE791" s="271"/>
    </row>
    <row r="792" spans="1:83" ht="12.6" customHeight="1" x14ac:dyDescent="0.25">
      <c r="A792" s="207" t="str">
        <f>RIGHT($C$83,3)&amp;"*"&amp;RIGHT($C$82,4)&amp;"*"&amp;BI$55&amp;"*"&amp;"A"</f>
        <v>126*2018*8490*A</v>
      </c>
      <c r="B792" s="270"/>
      <c r="C792" s="272">
        <f>ROUND(BI60,2)</f>
        <v>0</v>
      </c>
      <c r="D792" s="270">
        <f>ROUND(BI61,0)</f>
        <v>0</v>
      </c>
      <c r="E792" s="270">
        <f>ROUND(BI62,0)</f>
        <v>0</v>
      </c>
      <c r="F792" s="270">
        <f>ROUND(BI63,0)</f>
        <v>0</v>
      </c>
      <c r="G792" s="270">
        <f>ROUND(BI64,0)</f>
        <v>0</v>
      </c>
      <c r="H792" s="270">
        <f>ROUND(BI65,0)</f>
        <v>0</v>
      </c>
      <c r="I792" s="270">
        <f>ROUND(BI66,0)</f>
        <v>0</v>
      </c>
      <c r="J792" s="270">
        <f>ROUND(BI67,0)</f>
        <v>0</v>
      </c>
      <c r="K792" s="270">
        <f>ROUND(BI68,0)</f>
        <v>0</v>
      </c>
      <c r="L792" s="270">
        <f>ROUND(BI69,0)</f>
        <v>0</v>
      </c>
      <c r="M792" s="270">
        <f>ROUND(BI70,0)</f>
        <v>0</v>
      </c>
      <c r="N792" s="270"/>
      <c r="O792" s="270"/>
      <c r="P792" s="270">
        <f>IF(BI76&gt;0,ROUND(BI76,0),0)</f>
        <v>0</v>
      </c>
      <c r="Q792" s="270">
        <f>IF(BI77&gt;0,ROUND(BI77,0),0)</f>
        <v>0</v>
      </c>
      <c r="R792" s="270">
        <f>IF(BI78&gt;0,ROUND(BI78,0),0)</f>
        <v>0</v>
      </c>
      <c r="S792" s="270">
        <f>IF(BI79&gt;0,ROUND(BI79,0),0)</f>
        <v>0</v>
      </c>
      <c r="T792" s="272">
        <f>IF(BI80&gt;0,ROUND(BI80,2),0)</f>
        <v>0</v>
      </c>
      <c r="U792" s="270"/>
      <c r="V792" s="271"/>
      <c r="W792" s="270"/>
      <c r="X792" s="270"/>
      <c r="Y792" s="270"/>
      <c r="Z792" s="271"/>
      <c r="AA792" s="271"/>
      <c r="AB792" s="271"/>
      <c r="AC792" s="271"/>
      <c r="AD792" s="271"/>
      <c r="AE792" s="271"/>
      <c r="AF792" s="271"/>
      <c r="AG792" s="271"/>
      <c r="AH792" s="271"/>
      <c r="AI792" s="271"/>
      <c r="AJ792" s="271"/>
      <c r="AK792" s="271"/>
      <c r="AL792" s="271"/>
      <c r="AM792" s="271"/>
      <c r="AN792" s="271"/>
      <c r="AO792" s="271"/>
      <c r="AP792" s="271"/>
      <c r="AQ792" s="271"/>
      <c r="AR792" s="271"/>
      <c r="AS792" s="271"/>
      <c r="AT792" s="271"/>
      <c r="AU792" s="271"/>
      <c r="AV792" s="271"/>
      <c r="AW792" s="271"/>
      <c r="AX792" s="271"/>
      <c r="AY792" s="271"/>
      <c r="AZ792" s="271"/>
      <c r="BA792" s="271"/>
      <c r="BB792" s="271"/>
      <c r="BC792" s="271"/>
      <c r="BD792" s="271"/>
      <c r="BE792" s="271"/>
      <c r="BF792" s="271"/>
      <c r="BG792" s="271"/>
      <c r="BH792" s="271"/>
      <c r="BI792" s="271"/>
      <c r="BJ792" s="271"/>
      <c r="BK792" s="271"/>
      <c r="BL792" s="271"/>
      <c r="BM792" s="271"/>
      <c r="BN792" s="271"/>
      <c r="BO792" s="271"/>
      <c r="BP792" s="271"/>
      <c r="BQ792" s="271"/>
      <c r="BR792" s="271"/>
      <c r="BS792" s="271"/>
      <c r="BT792" s="271"/>
      <c r="BU792" s="271"/>
      <c r="BV792" s="271"/>
      <c r="BW792" s="271"/>
      <c r="BX792" s="271"/>
      <c r="BY792" s="271"/>
      <c r="BZ792" s="271"/>
      <c r="CA792" s="271"/>
      <c r="CB792" s="271"/>
      <c r="CC792" s="271"/>
      <c r="CD792" s="271"/>
      <c r="CE792" s="271"/>
    </row>
    <row r="793" spans="1:83" ht="12.6" customHeight="1" x14ac:dyDescent="0.25">
      <c r="A793" s="207" t="str">
        <f>RIGHT($C$83,3)&amp;"*"&amp;RIGHT($C$82,4)&amp;"*"&amp;BJ$55&amp;"*"&amp;"A"</f>
        <v>126*2018*8510*A</v>
      </c>
      <c r="B793" s="270"/>
      <c r="C793" s="272">
        <f>ROUND(BJ60,2)</f>
        <v>0</v>
      </c>
      <c r="D793" s="270">
        <f>ROUND(BJ61,0)</f>
        <v>0</v>
      </c>
      <c r="E793" s="270">
        <f>ROUND(BJ62,0)</f>
        <v>0</v>
      </c>
      <c r="F793" s="270">
        <f>ROUND(BJ63,0)</f>
        <v>0</v>
      </c>
      <c r="G793" s="270">
        <f>ROUND(BJ64,0)</f>
        <v>0</v>
      </c>
      <c r="H793" s="270">
        <f>ROUND(BJ65,0)</f>
        <v>0</v>
      </c>
      <c r="I793" s="270">
        <f>ROUND(BJ66,0)</f>
        <v>576162</v>
      </c>
      <c r="J793" s="270">
        <f>ROUND(BJ67,0)</f>
        <v>0</v>
      </c>
      <c r="K793" s="270">
        <f>ROUND(BJ68,0)</f>
        <v>0</v>
      </c>
      <c r="L793" s="270">
        <f>ROUND(BJ69,0)</f>
        <v>0</v>
      </c>
      <c r="M793" s="270">
        <f>ROUND(BJ70,0)</f>
        <v>0</v>
      </c>
      <c r="N793" s="270"/>
      <c r="O793" s="270"/>
      <c r="P793" s="270">
        <f>IF(BJ76&gt;0,ROUND(BJ76,0),0)</f>
        <v>0</v>
      </c>
      <c r="Q793" s="270">
        <f>IF(BJ77&gt;0,ROUND(BJ77,0),0)</f>
        <v>0</v>
      </c>
      <c r="R793" s="270">
        <f>IF(BJ78&gt;0,ROUND(BJ78,0),0)</f>
        <v>0</v>
      </c>
      <c r="S793" s="270">
        <f>IF(BJ79&gt;0,ROUND(BJ79,0),0)</f>
        <v>0</v>
      </c>
      <c r="T793" s="272">
        <f>IF(BJ80&gt;0,ROUND(BJ80,2),0)</f>
        <v>0</v>
      </c>
      <c r="U793" s="270"/>
      <c r="V793" s="271"/>
      <c r="W793" s="270"/>
      <c r="X793" s="270"/>
      <c r="Y793" s="270"/>
      <c r="Z793" s="271"/>
      <c r="AA793" s="271"/>
      <c r="AB793" s="271"/>
      <c r="AC793" s="271"/>
      <c r="AD793" s="271"/>
      <c r="AE793" s="271"/>
      <c r="AF793" s="271"/>
      <c r="AG793" s="271"/>
      <c r="AH793" s="271"/>
      <c r="AI793" s="271"/>
      <c r="AJ793" s="271"/>
      <c r="AK793" s="271"/>
      <c r="AL793" s="271"/>
      <c r="AM793" s="271"/>
      <c r="AN793" s="271"/>
      <c r="AO793" s="271"/>
      <c r="AP793" s="271"/>
      <c r="AQ793" s="271"/>
      <c r="AR793" s="271"/>
      <c r="AS793" s="271"/>
      <c r="AT793" s="271"/>
      <c r="AU793" s="271"/>
      <c r="AV793" s="271"/>
      <c r="AW793" s="271"/>
      <c r="AX793" s="271"/>
      <c r="AY793" s="271"/>
      <c r="AZ793" s="271"/>
      <c r="BA793" s="271"/>
      <c r="BB793" s="271"/>
      <c r="BC793" s="271"/>
      <c r="BD793" s="271"/>
      <c r="BE793" s="271"/>
      <c r="BF793" s="271"/>
      <c r="BG793" s="271"/>
      <c r="BH793" s="271"/>
      <c r="BI793" s="271"/>
      <c r="BJ793" s="271"/>
      <c r="BK793" s="271"/>
      <c r="BL793" s="271"/>
      <c r="BM793" s="271"/>
      <c r="BN793" s="271"/>
      <c r="BO793" s="271"/>
      <c r="BP793" s="271"/>
      <c r="BQ793" s="271"/>
      <c r="BR793" s="271"/>
      <c r="BS793" s="271"/>
      <c r="BT793" s="271"/>
      <c r="BU793" s="271"/>
      <c r="BV793" s="271"/>
      <c r="BW793" s="271"/>
      <c r="BX793" s="271"/>
      <c r="BY793" s="271"/>
      <c r="BZ793" s="271"/>
      <c r="CA793" s="271"/>
      <c r="CB793" s="271"/>
      <c r="CC793" s="271"/>
      <c r="CD793" s="271"/>
      <c r="CE793" s="271"/>
    </row>
    <row r="794" spans="1:83" ht="12.6" customHeight="1" x14ac:dyDescent="0.25">
      <c r="A794" s="207" t="str">
        <f>RIGHT($C$83,3)&amp;"*"&amp;RIGHT($C$82,4)&amp;"*"&amp;BK$55&amp;"*"&amp;"A"</f>
        <v>126*2018*8530*A</v>
      </c>
      <c r="B794" s="270"/>
      <c r="C794" s="272">
        <f>ROUND(BK60,2)</f>
        <v>0.03</v>
      </c>
      <c r="D794" s="270">
        <f>ROUND(BK61,0)</f>
        <v>3622</v>
      </c>
      <c r="E794" s="270">
        <f>ROUND(BK62,0)</f>
        <v>1065</v>
      </c>
      <c r="F794" s="270">
        <f>ROUND(BK63,0)</f>
        <v>0</v>
      </c>
      <c r="G794" s="270">
        <f>ROUND(BK64,0)</f>
        <v>0</v>
      </c>
      <c r="H794" s="270">
        <f>ROUND(BK65,0)</f>
        <v>0</v>
      </c>
      <c r="I794" s="270">
        <f>ROUND(BK66,0)</f>
        <v>3327867</v>
      </c>
      <c r="J794" s="270">
        <f>ROUND(BK67,0)</f>
        <v>789</v>
      </c>
      <c r="K794" s="270">
        <f>ROUND(BK68,0)</f>
        <v>0</v>
      </c>
      <c r="L794" s="270">
        <f>ROUND(BK69,0)</f>
        <v>0</v>
      </c>
      <c r="M794" s="270">
        <f>ROUND(BK70,0)</f>
        <v>0</v>
      </c>
      <c r="N794" s="270"/>
      <c r="O794" s="270"/>
      <c r="P794" s="270">
        <f>IF(BK76&gt;0,ROUND(BK76,0),0)</f>
        <v>0</v>
      </c>
      <c r="Q794" s="270">
        <f>IF(BK77&gt;0,ROUND(BK77,0),0)</f>
        <v>0</v>
      </c>
      <c r="R794" s="270">
        <f>IF(BK78&gt;0,ROUND(BK78,0),0)</f>
        <v>0</v>
      </c>
      <c r="S794" s="270">
        <f>IF(BK79&gt;0,ROUND(BK79,0),0)</f>
        <v>0</v>
      </c>
      <c r="T794" s="272">
        <f>IF(BK80&gt;0,ROUND(BK80,2),0)</f>
        <v>0</v>
      </c>
      <c r="U794" s="270"/>
      <c r="V794" s="271"/>
      <c r="W794" s="270"/>
      <c r="X794" s="270"/>
      <c r="Y794" s="270"/>
      <c r="Z794" s="271"/>
      <c r="AA794" s="271"/>
      <c r="AB794" s="271"/>
      <c r="AC794" s="271"/>
      <c r="AD794" s="271"/>
      <c r="AE794" s="271"/>
      <c r="AF794" s="271"/>
      <c r="AG794" s="271"/>
      <c r="AH794" s="271"/>
      <c r="AI794" s="271"/>
      <c r="AJ794" s="271"/>
      <c r="AK794" s="271"/>
      <c r="AL794" s="271"/>
      <c r="AM794" s="271"/>
      <c r="AN794" s="271"/>
      <c r="AO794" s="271"/>
      <c r="AP794" s="271"/>
      <c r="AQ794" s="271"/>
      <c r="AR794" s="271"/>
      <c r="AS794" s="271"/>
      <c r="AT794" s="271"/>
      <c r="AU794" s="271"/>
      <c r="AV794" s="271"/>
      <c r="AW794" s="271"/>
      <c r="AX794" s="271"/>
      <c r="AY794" s="271"/>
      <c r="AZ794" s="271"/>
      <c r="BA794" s="271"/>
      <c r="BB794" s="271"/>
      <c r="BC794" s="271"/>
      <c r="BD794" s="271"/>
      <c r="BE794" s="271"/>
      <c r="BF794" s="271"/>
      <c r="BG794" s="271"/>
      <c r="BH794" s="271"/>
      <c r="BI794" s="271"/>
      <c r="BJ794" s="271"/>
      <c r="BK794" s="271"/>
      <c r="BL794" s="271"/>
      <c r="BM794" s="271"/>
      <c r="BN794" s="271"/>
      <c r="BO794" s="271"/>
      <c r="BP794" s="271"/>
      <c r="BQ794" s="271"/>
      <c r="BR794" s="271"/>
      <c r="BS794" s="271"/>
      <c r="BT794" s="271"/>
      <c r="BU794" s="271"/>
      <c r="BV794" s="271"/>
      <c r="BW794" s="271"/>
      <c r="BX794" s="271"/>
      <c r="BY794" s="271"/>
      <c r="BZ794" s="271"/>
      <c r="CA794" s="271"/>
      <c r="CB794" s="271"/>
      <c r="CC794" s="271"/>
      <c r="CD794" s="271"/>
      <c r="CE794" s="271"/>
    </row>
    <row r="795" spans="1:83" ht="12.6" customHeight="1" x14ac:dyDescent="0.25">
      <c r="A795" s="207" t="str">
        <f>RIGHT($C$83,3)&amp;"*"&amp;RIGHT($C$82,4)&amp;"*"&amp;BL$55&amp;"*"&amp;"A"</f>
        <v>126*2018*8560*A</v>
      </c>
      <c r="B795" s="270"/>
      <c r="C795" s="272">
        <f>ROUND(BL60,2)</f>
        <v>2</v>
      </c>
      <c r="D795" s="270">
        <f>ROUND(BL61,0)</f>
        <v>83981</v>
      </c>
      <c r="E795" s="270">
        <f>ROUND(BL62,0)</f>
        <v>31109</v>
      </c>
      <c r="F795" s="270">
        <f>ROUND(BL63,0)</f>
        <v>0</v>
      </c>
      <c r="G795" s="270">
        <f>ROUND(BL64,0)</f>
        <v>31893</v>
      </c>
      <c r="H795" s="270">
        <f>ROUND(BL65,0)</f>
        <v>0</v>
      </c>
      <c r="I795" s="270">
        <f>ROUND(BL66,0)</f>
        <v>2127387</v>
      </c>
      <c r="J795" s="270">
        <f>ROUND(BL67,0)</f>
        <v>20186</v>
      </c>
      <c r="K795" s="270">
        <f>ROUND(BL68,0)</f>
        <v>4880</v>
      </c>
      <c r="L795" s="270">
        <f>ROUND(BL69,0)</f>
        <v>2847</v>
      </c>
      <c r="M795" s="270">
        <f>ROUND(BL70,0)</f>
        <v>0</v>
      </c>
      <c r="N795" s="270"/>
      <c r="O795" s="270"/>
      <c r="P795" s="270">
        <f>IF(BL76&gt;0,ROUND(BL76,0),0)</f>
        <v>0</v>
      </c>
      <c r="Q795" s="270">
        <f>IF(BL77&gt;0,ROUND(BL77,0),0)</f>
        <v>0</v>
      </c>
      <c r="R795" s="270">
        <f>IF(BL78&gt;0,ROUND(BL78,0),0)</f>
        <v>0</v>
      </c>
      <c r="S795" s="270">
        <f>IF(BL79&gt;0,ROUND(BL79,0),0)</f>
        <v>0</v>
      </c>
      <c r="T795" s="272">
        <f>IF(BL80&gt;0,ROUND(BL80,2),0)</f>
        <v>0</v>
      </c>
      <c r="U795" s="270"/>
      <c r="V795" s="271"/>
      <c r="W795" s="270"/>
      <c r="X795" s="270"/>
      <c r="Y795" s="270"/>
      <c r="Z795" s="271"/>
      <c r="AA795" s="271"/>
      <c r="AB795" s="271"/>
      <c r="AC795" s="271"/>
      <c r="AD795" s="271"/>
      <c r="AE795" s="271"/>
      <c r="AF795" s="271"/>
      <c r="AG795" s="271"/>
      <c r="AH795" s="271"/>
      <c r="AI795" s="271"/>
      <c r="AJ795" s="271"/>
      <c r="AK795" s="271"/>
      <c r="AL795" s="271"/>
      <c r="AM795" s="271"/>
      <c r="AN795" s="271"/>
      <c r="AO795" s="271"/>
      <c r="AP795" s="271"/>
      <c r="AQ795" s="271"/>
      <c r="AR795" s="271"/>
      <c r="AS795" s="271"/>
      <c r="AT795" s="271"/>
      <c r="AU795" s="271"/>
      <c r="AV795" s="271"/>
      <c r="AW795" s="271"/>
      <c r="AX795" s="271"/>
      <c r="AY795" s="271"/>
      <c r="AZ795" s="271"/>
      <c r="BA795" s="271"/>
      <c r="BB795" s="271"/>
      <c r="BC795" s="271"/>
      <c r="BD795" s="271"/>
      <c r="BE795" s="271"/>
      <c r="BF795" s="271"/>
      <c r="BG795" s="271"/>
      <c r="BH795" s="271"/>
      <c r="BI795" s="271"/>
      <c r="BJ795" s="271"/>
      <c r="BK795" s="271"/>
      <c r="BL795" s="271"/>
      <c r="BM795" s="271"/>
      <c r="BN795" s="271"/>
      <c r="BO795" s="271"/>
      <c r="BP795" s="271"/>
      <c r="BQ795" s="271"/>
      <c r="BR795" s="271"/>
      <c r="BS795" s="271"/>
      <c r="BT795" s="271"/>
      <c r="BU795" s="271"/>
      <c r="BV795" s="271"/>
      <c r="BW795" s="271"/>
      <c r="BX795" s="271"/>
      <c r="BY795" s="271"/>
      <c r="BZ795" s="271"/>
      <c r="CA795" s="271"/>
      <c r="CB795" s="271"/>
      <c r="CC795" s="271"/>
      <c r="CD795" s="271"/>
      <c r="CE795" s="271"/>
    </row>
    <row r="796" spans="1:83" ht="12.6" customHeight="1" x14ac:dyDescent="0.25">
      <c r="A796" s="207" t="str">
        <f>RIGHT($C$83,3)&amp;"*"&amp;RIGHT($C$82,4)&amp;"*"&amp;BM$55&amp;"*"&amp;"A"</f>
        <v>126*2018*8590*A</v>
      </c>
      <c r="B796" s="270"/>
      <c r="C796" s="272">
        <f>ROUND(BM60,2)</f>
        <v>0</v>
      </c>
      <c r="D796" s="270">
        <f>ROUND(BM61,0)</f>
        <v>0</v>
      </c>
      <c r="E796" s="270">
        <f>ROUND(BM62,0)</f>
        <v>0</v>
      </c>
      <c r="F796" s="270">
        <f>ROUND(BM63,0)</f>
        <v>0</v>
      </c>
      <c r="G796" s="270">
        <f>ROUND(BM64,0)</f>
        <v>0</v>
      </c>
      <c r="H796" s="270">
        <f>ROUND(BM65,0)</f>
        <v>0</v>
      </c>
      <c r="I796" s="270">
        <f>ROUND(BM66,0)</f>
        <v>0</v>
      </c>
      <c r="J796" s="270">
        <f>ROUND(BM67,0)</f>
        <v>0</v>
      </c>
      <c r="K796" s="270">
        <f>ROUND(BM68,0)</f>
        <v>0</v>
      </c>
      <c r="L796" s="270">
        <f>ROUND(BM69,0)</f>
        <v>0</v>
      </c>
      <c r="M796" s="270">
        <f>ROUND(BM70,0)</f>
        <v>0</v>
      </c>
      <c r="N796" s="270"/>
      <c r="O796" s="270"/>
      <c r="P796" s="270">
        <f>IF(BM76&gt;0,ROUND(BM76,0),0)</f>
        <v>0</v>
      </c>
      <c r="Q796" s="270">
        <f>IF(BM77&gt;0,ROUND(BM77,0),0)</f>
        <v>0</v>
      </c>
      <c r="R796" s="270">
        <f>IF(BM78&gt;0,ROUND(BM78,0),0)</f>
        <v>0</v>
      </c>
      <c r="S796" s="270">
        <f>IF(BM79&gt;0,ROUND(BM79,0),0)</f>
        <v>0</v>
      </c>
      <c r="T796" s="272">
        <f>IF(BM80&gt;0,ROUND(BM80,2),0)</f>
        <v>0</v>
      </c>
      <c r="U796" s="270"/>
      <c r="V796" s="271"/>
      <c r="W796" s="270"/>
      <c r="X796" s="270"/>
      <c r="Y796" s="270"/>
      <c r="Z796" s="271"/>
      <c r="AA796" s="271"/>
      <c r="AB796" s="271"/>
      <c r="AC796" s="271"/>
      <c r="AD796" s="271"/>
      <c r="AE796" s="271"/>
      <c r="AF796" s="271"/>
      <c r="AG796" s="271"/>
      <c r="AH796" s="271"/>
      <c r="AI796" s="271"/>
      <c r="AJ796" s="271"/>
      <c r="AK796" s="271"/>
      <c r="AL796" s="271"/>
      <c r="AM796" s="271"/>
      <c r="AN796" s="271"/>
      <c r="AO796" s="271"/>
      <c r="AP796" s="271"/>
      <c r="AQ796" s="271"/>
      <c r="AR796" s="271"/>
      <c r="AS796" s="271"/>
      <c r="AT796" s="271"/>
      <c r="AU796" s="271"/>
      <c r="AV796" s="271"/>
      <c r="AW796" s="271"/>
      <c r="AX796" s="271"/>
      <c r="AY796" s="271"/>
      <c r="AZ796" s="271"/>
      <c r="BA796" s="271"/>
      <c r="BB796" s="271"/>
      <c r="BC796" s="271"/>
      <c r="BD796" s="271"/>
      <c r="BE796" s="271"/>
      <c r="BF796" s="271"/>
      <c r="BG796" s="271"/>
      <c r="BH796" s="271"/>
      <c r="BI796" s="271"/>
      <c r="BJ796" s="271"/>
      <c r="BK796" s="271"/>
      <c r="BL796" s="271"/>
      <c r="BM796" s="271"/>
      <c r="BN796" s="271"/>
      <c r="BO796" s="271"/>
      <c r="BP796" s="271"/>
      <c r="BQ796" s="271"/>
      <c r="BR796" s="271"/>
      <c r="BS796" s="271"/>
      <c r="BT796" s="271"/>
      <c r="BU796" s="271"/>
      <c r="BV796" s="271"/>
      <c r="BW796" s="271"/>
      <c r="BX796" s="271"/>
      <c r="BY796" s="271"/>
      <c r="BZ796" s="271"/>
      <c r="CA796" s="271"/>
      <c r="CB796" s="271"/>
      <c r="CC796" s="271"/>
      <c r="CD796" s="271"/>
      <c r="CE796" s="271"/>
    </row>
    <row r="797" spans="1:83" ht="12.6" customHeight="1" x14ac:dyDescent="0.25">
      <c r="A797" s="207" t="str">
        <f>RIGHT($C$83,3)&amp;"*"&amp;RIGHT($C$82,4)&amp;"*"&amp;BN$55&amp;"*"&amp;"A"</f>
        <v>126*2018*8610*A</v>
      </c>
      <c r="B797" s="270"/>
      <c r="C797" s="272">
        <f>ROUND(BN60,2)</f>
        <v>5.28</v>
      </c>
      <c r="D797" s="270">
        <f>ROUND(BN61,0)</f>
        <v>1138537</v>
      </c>
      <c r="E797" s="270">
        <f>ROUND(BN62,0)</f>
        <v>303134</v>
      </c>
      <c r="F797" s="270">
        <f>ROUND(BN63,0)</f>
        <v>13269</v>
      </c>
      <c r="G797" s="270">
        <f>ROUND(BN64,0)</f>
        <v>115995</v>
      </c>
      <c r="H797" s="270">
        <f>ROUND(BN65,0)</f>
        <v>3605</v>
      </c>
      <c r="I797" s="270">
        <f>ROUND(BN66,0)</f>
        <v>4557833</v>
      </c>
      <c r="J797" s="270">
        <f>ROUND(BN67,0)</f>
        <v>61052</v>
      </c>
      <c r="K797" s="270">
        <f>ROUND(BN68,0)</f>
        <v>46935</v>
      </c>
      <c r="L797" s="270">
        <f>ROUND(BN69,0)</f>
        <v>292494</v>
      </c>
      <c r="M797" s="270">
        <f>ROUND(BN70,0)</f>
        <v>562628</v>
      </c>
      <c r="N797" s="270"/>
      <c r="O797" s="270"/>
      <c r="P797" s="270">
        <f>IF(BN76&gt;0,ROUND(BN76,0),0)</f>
        <v>20857</v>
      </c>
      <c r="Q797" s="270">
        <f>IF(BN77&gt;0,ROUND(BN77,0),0)</f>
        <v>0</v>
      </c>
      <c r="R797" s="270">
        <f>IF(BN78&gt;0,ROUND(BN78,0),0)</f>
        <v>0</v>
      </c>
      <c r="S797" s="270">
        <f>IF(BN79&gt;0,ROUND(BN79,0),0)</f>
        <v>0</v>
      </c>
      <c r="T797" s="272">
        <f>IF(BN80&gt;0,ROUND(BN80,2),0)</f>
        <v>0</v>
      </c>
      <c r="U797" s="270"/>
      <c r="V797" s="271"/>
      <c r="W797" s="270"/>
      <c r="X797" s="270"/>
      <c r="Y797" s="270"/>
      <c r="Z797" s="271"/>
      <c r="AA797" s="271"/>
      <c r="AB797" s="271"/>
      <c r="AC797" s="271"/>
      <c r="AD797" s="271"/>
      <c r="AE797" s="271"/>
      <c r="AF797" s="271"/>
      <c r="AG797" s="271"/>
      <c r="AH797" s="271"/>
      <c r="AI797" s="271"/>
      <c r="AJ797" s="271"/>
      <c r="AK797" s="271"/>
      <c r="AL797" s="271"/>
      <c r="AM797" s="271"/>
      <c r="AN797" s="271"/>
      <c r="AO797" s="271"/>
      <c r="AP797" s="271"/>
      <c r="AQ797" s="271"/>
      <c r="AR797" s="271"/>
      <c r="AS797" s="271"/>
      <c r="AT797" s="271"/>
      <c r="AU797" s="271"/>
      <c r="AV797" s="271"/>
      <c r="AW797" s="271"/>
      <c r="AX797" s="271"/>
      <c r="AY797" s="271"/>
      <c r="AZ797" s="271"/>
      <c r="BA797" s="271"/>
      <c r="BB797" s="271"/>
      <c r="BC797" s="271"/>
      <c r="BD797" s="271"/>
      <c r="BE797" s="271"/>
      <c r="BF797" s="271"/>
      <c r="BG797" s="271"/>
      <c r="BH797" s="271"/>
      <c r="BI797" s="271"/>
      <c r="BJ797" s="271"/>
      <c r="BK797" s="271"/>
      <c r="BL797" s="271"/>
      <c r="BM797" s="271"/>
      <c r="BN797" s="271"/>
      <c r="BO797" s="271"/>
      <c r="BP797" s="271"/>
      <c r="BQ797" s="271"/>
      <c r="BR797" s="271"/>
      <c r="BS797" s="271"/>
      <c r="BT797" s="271"/>
      <c r="BU797" s="271"/>
      <c r="BV797" s="271"/>
      <c r="BW797" s="271"/>
      <c r="BX797" s="271"/>
      <c r="BY797" s="271"/>
      <c r="BZ797" s="271"/>
      <c r="CA797" s="271"/>
      <c r="CB797" s="271"/>
      <c r="CC797" s="271"/>
      <c r="CD797" s="271"/>
      <c r="CE797" s="271"/>
    </row>
    <row r="798" spans="1:83" ht="12.6" customHeight="1" x14ac:dyDescent="0.25">
      <c r="A798" s="207" t="str">
        <f>RIGHT($C$83,3)&amp;"*"&amp;RIGHT($C$82,4)&amp;"*"&amp;BO$55&amp;"*"&amp;"A"</f>
        <v>126*2018*8620*A</v>
      </c>
      <c r="B798" s="270"/>
      <c r="C798" s="272">
        <f>ROUND(BO60,2)</f>
        <v>6.73</v>
      </c>
      <c r="D798" s="270">
        <f>ROUND(BO61,0)</f>
        <v>444525</v>
      </c>
      <c r="E798" s="270">
        <f>ROUND(BO62,0)</f>
        <v>150553</v>
      </c>
      <c r="F798" s="270">
        <f>ROUND(BO63,0)</f>
        <v>0</v>
      </c>
      <c r="G798" s="270">
        <f>ROUND(BO64,0)</f>
        <v>2132</v>
      </c>
      <c r="H798" s="270">
        <f>ROUND(BO65,0)</f>
        <v>4180</v>
      </c>
      <c r="I798" s="270">
        <f>ROUND(BO66,0)</f>
        <v>322409</v>
      </c>
      <c r="J798" s="270">
        <f>ROUND(BO67,0)</f>
        <v>0</v>
      </c>
      <c r="K798" s="270">
        <f>ROUND(BO68,0)</f>
        <v>0</v>
      </c>
      <c r="L798" s="270">
        <f>ROUND(BO69,0)</f>
        <v>54042</v>
      </c>
      <c r="M798" s="270">
        <f>ROUND(BO70,0)</f>
        <v>465000</v>
      </c>
      <c r="N798" s="270"/>
      <c r="O798" s="270"/>
      <c r="P798" s="270">
        <f>IF(BO76&gt;0,ROUND(BO76,0),0)</f>
        <v>0</v>
      </c>
      <c r="Q798" s="270">
        <f>IF(BO77&gt;0,ROUND(BO77,0),0)</f>
        <v>0</v>
      </c>
      <c r="R798" s="270">
        <f>IF(BO78&gt;0,ROUND(BO78,0),0)</f>
        <v>0</v>
      </c>
      <c r="S798" s="270">
        <f>IF(BO79&gt;0,ROUND(BO79,0),0)</f>
        <v>0</v>
      </c>
      <c r="T798" s="272">
        <f>IF(BO80&gt;0,ROUND(BO80,2),0)</f>
        <v>0</v>
      </c>
      <c r="U798" s="270"/>
      <c r="V798" s="271"/>
      <c r="W798" s="270"/>
      <c r="X798" s="270"/>
      <c r="Y798" s="270"/>
      <c r="Z798" s="271"/>
      <c r="AA798" s="271"/>
      <c r="AB798" s="271"/>
      <c r="AC798" s="271"/>
      <c r="AD798" s="271"/>
      <c r="AE798" s="271"/>
      <c r="AF798" s="271"/>
      <c r="AG798" s="271"/>
      <c r="AH798" s="271"/>
      <c r="AI798" s="271"/>
      <c r="AJ798" s="271"/>
      <c r="AK798" s="271"/>
      <c r="AL798" s="271"/>
      <c r="AM798" s="271"/>
      <c r="AN798" s="271"/>
      <c r="AO798" s="271"/>
      <c r="AP798" s="271"/>
      <c r="AQ798" s="271"/>
      <c r="AR798" s="271"/>
      <c r="AS798" s="271"/>
      <c r="AT798" s="271"/>
      <c r="AU798" s="271"/>
      <c r="AV798" s="271"/>
      <c r="AW798" s="271"/>
      <c r="AX798" s="271"/>
      <c r="AY798" s="271"/>
      <c r="AZ798" s="271"/>
      <c r="BA798" s="271"/>
      <c r="BB798" s="271"/>
      <c r="BC798" s="271"/>
      <c r="BD798" s="271"/>
      <c r="BE798" s="271"/>
      <c r="BF798" s="271"/>
      <c r="BG798" s="271"/>
      <c r="BH798" s="271"/>
      <c r="BI798" s="271"/>
      <c r="BJ798" s="271"/>
      <c r="BK798" s="271"/>
      <c r="BL798" s="271"/>
      <c r="BM798" s="271"/>
      <c r="BN798" s="271"/>
      <c r="BO798" s="271"/>
      <c r="BP798" s="271"/>
      <c r="BQ798" s="271"/>
      <c r="BR798" s="271"/>
      <c r="BS798" s="271"/>
      <c r="BT798" s="271"/>
      <c r="BU798" s="271"/>
      <c r="BV798" s="271"/>
      <c r="BW798" s="271"/>
      <c r="BX798" s="271"/>
      <c r="BY798" s="271"/>
      <c r="BZ798" s="271"/>
      <c r="CA798" s="271"/>
      <c r="CB798" s="271"/>
      <c r="CC798" s="271"/>
      <c r="CD798" s="271"/>
      <c r="CE798" s="271"/>
    </row>
    <row r="799" spans="1:83" ht="12.6" customHeight="1" x14ac:dyDescent="0.25">
      <c r="A799" s="207" t="str">
        <f>RIGHT($C$83,3)&amp;"*"&amp;RIGHT($C$82,4)&amp;"*"&amp;BP$55&amp;"*"&amp;"A"</f>
        <v>126*2018*8630*A</v>
      </c>
      <c r="B799" s="270"/>
      <c r="C799" s="272">
        <f>ROUND(BP60,2)</f>
        <v>0</v>
      </c>
      <c r="D799" s="270">
        <f>ROUND(BP61,0)</f>
        <v>0</v>
      </c>
      <c r="E799" s="270">
        <f>ROUND(BP62,0)</f>
        <v>0</v>
      </c>
      <c r="F799" s="270">
        <f>ROUND(BP63,0)</f>
        <v>0</v>
      </c>
      <c r="G799" s="270">
        <f>ROUND(BP64,0)</f>
        <v>466</v>
      </c>
      <c r="H799" s="270">
        <f>ROUND(BP65,0)</f>
        <v>0</v>
      </c>
      <c r="I799" s="270">
        <f>ROUND(BP66,0)</f>
        <v>415951</v>
      </c>
      <c r="J799" s="270">
        <f>ROUND(BP67,0)</f>
        <v>0</v>
      </c>
      <c r="K799" s="270">
        <f>ROUND(BP68,0)</f>
        <v>0</v>
      </c>
      <c r="L799" s="270">
        <f>ROUND(BP69,0)</f>
        <v>0</v>
      </c>
      <c r="M799" s="270">
        <f>ROUND(BP70,0)</f>
        <v>0</v>
      </c>
      <c r="N799" s="270"/>
      <c r="O799" s="270"/>
      <c r="P799" s="270">
        <f>IF(BP76&gt;0,ROUND(BP76,0),0)</f>
        <v>0</v>
      </c>
      <c r="Q799" s="270">
        <f>IF(BP77&gt;0,ROUND(BP77,0),0)</f>
        <v>0</v>
      </c>
      <c r="R799" s="270">
        <f>IF(BP78&gt;0,ROUND(BP78,0),0)</f>
        <v>0</v>
      </c>
      <c r="S799" s="270">
        <f>IF(BP79&gt;0,ROUND(BP79,0),0)</f>
        <v>0</v>
      </c>
      <c r="T799" s="272">
        <f>IF(BP80&gt;0,ROUND(BP80,2),0)</f>
        <v>0</v>
      </c>
      <c r="U799" s="270"/>
      <c r="V799" s="271"/>
      <c r="W799" s="270"/>
      <c r="X799" s="270"/>
      <c r="Y799" s="270"/>
      <c r="Z799" s="271"/>
      <c r="AA799" s="271"/>
      <c r="AB799" s="271"/>
      <c r="AC799" s="271"/>
      <c r="AD799" s="271"/>
      <c r="AE799" s="271"/>
      <c r="AF799" s="271"/>
      <c r="AG799" s="271"/>
      <c r="AH799" s="271"/>
      <c r="AI799" s="271"/>
      <c r="AJ799" s="271"/>
      <c r="AK799" s="271"/>
      <c r="AL799" s="271"/>
      <c r="AM799" s="271"/>
      <c r="AN799" s="271"/>
      <c r="AO799" s="271"/>
      <c r="AP799" s="271"/>
      <c r="AQ799" s="271"/>
      <c r="AR799" s="271"/>
      <c r="AS799" s="271"/>
      <c r="AT799" s="271"/>
      <c r="AU799" s="271"/>
      <c r="AV799" s="271"/>
      <c r="AW799" s="271"/>
      <c r="AX799" s="271"/>
      <c r="AY799" s="271"/>
      <c r="AZ799" s="271"/>
      <c r="BA799" s="271"/>
      <c r="BB799" s="271"/>
      <c r="BC799" s="271"/>
      <c r="BD799" s="271"/>
      <c r="BE799" s="271"/>
      <c r="BF799" s="271"/>
      <c r="BG799" s="271"/>
      <c r="BH799" s="271"/>
      <c r="BI799" s="271"/>
      <c r="BJ799" s="271"/>
      <c r="BK799" s="271"/>
      <c r="BL799" s="271"/>
      <c r="BM799" s="271"/>
      <c r="BN799" s="271"/>
      <c r="BO799" s="271"/>
      <c r="BP799" s="271"/>
      <c r="BQ799" s="271"/>
      <c r="BR799" s="271"/>
      <c r="BS799" s="271"/>
      <c r="BT799" s="271"/>
      <c r="BU799" s="271"/>
      <c r="BV799" s="271"/>
      <c r="BW799" s="271"/>
      <c r="BX799" s="271"/>
      <c r="BY799" s="271"/>
      <c r="BZ799" s="271"/>
      <c r="CA799" s="271"/>
      <c r="CB799" s="271"/>
      <c r="CC799" s="271"/>
      <c r="CD799" s="271"/>
      <c r="CE799" s="271"/>
    </row>
    <row r="800" spans="1:83" ht="12.6" customHeight="1" x14ac:dyDescent="0.25">
      <c r="A800" s="207" t="str">
        <f>RIGHT($C$83,3)&amp;"*"&amp;RIGHT($C$82,4)&amp;"*"&amp;BQ$55&amp;"*"&amp;"A"</f>
        <v>126*2018*8640*A</v>
      </c>
      <c r="B800" s="270"/>
      <c r="C800" s="272">
        <f>ROUND(BQ60,2)</f>
        <v>0</v>
      </c>
      <c r="D800" s="270">
        <f>ROUND(BQ61,0)</f>
        <v>0</v>
      </c>
      <c r="E800" s="270">
        <f>ROUND(BQ62,0)</f>
        <v>0</v>
      </c>
      <c r="F800" s="270">
        <f>ROUND(BQ63,0)</f>
        <v>0</v>
      </c>
      <c r="G800" s="270">
        <f>ROUND(BQ64,0)</f>
        <v>0</v>
      </c>
      <c r="H800" s="270">
        <f>ROUND(BQ65,0)</f>
        <v>0</v>
      </c>
      <c r="I800" s="270">
        <f>ROUND(BQ66,0)</f>
        <v>0</v>
      </c>
      <c r="J800" s="270">
        <f>ROUND(BQ67,0)</f>
        <v>0</v>
      </c>
      <c r="K800" s="270">
        <f>ROUND(BQ68,0)</f>
        <v>0</v>
      </c>
      <c r="L800" s="270">
        <f>ROUND(BQ69,0)</f>
        <v>0</v>
      </c>
      <c r="M800" s="270">
        <f>ROUND(BQ70,0)</f>
        <v>0</v>
      </c>
      <c r="N800" s="270"/>
      <c r="O800" s="270"/>
      <c r="P800" s="270">
        <f>IF(BQ76&gt;0,ROUND(BQ76,0),0)</f>
        <v>0</v>
      </c>
      <c r="Q800" s="270">
        <f>IF(BQ77&gt;0,ROUND(BQ77,0),0)</f>
        <v>0</v>
      </c>
      <c r="R800" s="270">
        <f>IF(BQ78&gt;0,ROUND(BQ78,0),0)</f>
        <v>0</v>
      </c>
      <c r="S800" s="270">
        <f>IF(BQ79&gt;0,ROUND(BQ79,0),0)</f>
        <v>0</v>
      </c>
      <c r="T800" s="272">
        <f>IF(BQ80&gt;0,ROUND(BQ80,2),0)</f>
        <v>0</v>
      </c>
      <c r="U800" s="270"/>
      <c r="V800" s="271"/>
      <c r="W800" s="270"/>
      <c r="X800" s="270"/>
      <c r="Y800" s="270"/>
      <c r="Z800" s="271"/>
      <c r="AA800" s="271"/>
      <c r="AB800" s="271"/>
      <c r="AC800" s="271"/>
      <c r="AD800" s="271"/>
      <c r="AE800" s="271"/>
      <c r="AF800" s="271"/>
      <c r="AG800" s="271"/>
      <c r="AH800" s="271"/>
      <c r="AI800" s="271"/>
      <c r="AJ800" s="271"/>
      <c r="AK800" s="271"/>
      <c r="AL800" s="271"/>
      <c r="AM800" s="271"/>
      <c r="AN800" s="271"/>
      <c r="AO800" s="271"/>
      <c r="AP800" s="271"/>
      <c r="AQ800" s="271"/>
      <c r="AR800" s="271"/>
      <c r="AS800" s="271"/>
      <c r="AT800" s="271"/>
      <c r="AU800" s="271"/>
      <c r="AV800" s="271"/>
      <c r="AW800" s="271"/>
      <c r="AX800" s="271"/>
      <c r="AY800" s="271"/>
      <c r="AZ800" s="271"/>
      <c r="BA800" s="271"/>
      <c r="BB800" s="271"/>
      <c r="BC800" s="271"/>
      <c r="BD800" s="271"/>
      <c r="BE800" s="271"/>
      <c r="BF800" s="271"/>
      <c r="BG800" s="271"/>
      <c r="BH800" s="271"/>
      <c r="BI800" s="271"/>
      <c r="BJ800" s="271"/>
      <c r="BK800" s="271"/>
      <c r="BL800" s="271"/>
      <c r="BM800" s="271"/>
      <c r="BN800" s="271"/>
      <c r="BO800" s="271"/>
      <c r="BP800" s="271"/>
      <c r="BQ800" s="271"/>
      <c r="BR800" s="271"/>
      <c r="BS800" s="271"/>
      <c r="BT800" s="271"/>
      <c r="BU800" s="271"/>
      <c r="BV800" s="271"/>
      <c r="BW800" s="271"/>
      <c r="BX800" s="271"/>
      <c r="BY800" s="271"/>
      <c r="BZ800" s="271"/>
      <c r="CA800" s="271"/>
      <c r="CB800" s="271"/>
      <c r="CC800" s="271"/>
      <c r="CD800" s="271"/>
      <c r="CE800" s="271"/>
    </row>
    <row r="801" spans="1:83" ht="12.6" customHeight="1" x14ac:dyDescent="0.25">
      <c r="A801" s="207" t="str">
        <f>RIGHT($C$83,3)&amp;"*"&amp;RIGHT($C$82,4)&amp;"*"&amp;BR$55&amp;"*"&amp;"A"</f>
        <v>126*2018*8650*A</v>
      </c>
      <c r="B801" s="270"/>
      <c r="C801" s="272">
        <f>ROUND(BR60,2)</f>
        <v>0</v>
      </c>
      <c r="D801" s="270">
        <f>ROUND(BR61,0)</f>
        <v>56097</v>
      </c>
      <c r="E801" s="270">
        <f>ROUND(BR62,0)</f>
        <v>12838</v>
      </c>
      <c r="F801" s="270">
        <f>ROUND(BR63,0)</f>
        <v>0</v>
      </c>
      <c r="G801" s="270">
        <f>ROUND(BR64,0)</f>
        <v>8874</v>
      </c>
      <c r="H801" s="270">
        <f>ROUND(BR65,0)</f>
        <v>259</v>
      </c>
      <c r="I801" s="270">
        <f>ROUND(BR66,0)</f>
        <v>1683160</v>
      </c>
      <c r="J801" s="270">
        <f>ROUND(BR67,0)</f>
        <v>11415</v>
      </c>
      <c r="K801" s="270">
        <f>ROUND(BR68,0)</f>
        <v>3795</v>
      </c>
      <c r="L801" s="270">
        <f>ROUND(BR69,0)</f>
        <v>13615</v>
      </c>
      <c r="M801" s="270">
        <f>ROUND(BR70,0)</f>
        <v>0</v>
      </c>
      <c r="N801" s="270"/>
      <c r="O801" s="270"/>
      <c r="P801" s="270">
        <f>IF(BR76&gt;0,ROUND(BR76,0),0)</f>
        <v>3128</v>
      </c>
      <c r="Q801" s="270">
        <f>IF(BR77&gt;0,ROUND(BR77,0),0)</f>
        <v>0</v>
      </c>
      <c r="R801" s="270">
        <f>IF(BR78&gt;0,ROUND(BR78,0),0)</f>
        <v>0</v>
      </c>
      <c r="S801" s="270">
        <f>IF(BR79&gt;0,ROUND(BR79,0),0)</f>
        <v>0</v>
      </c>
      <c r="T801" s="272">
        <f>IF(BR80&gt;0,ROUND(BR80,2),0)</f>
        <v>0</v>
      </c>
      <c r="U801" s="270"/>
      <c r="V801" s="271"/>
      <c r="W801" s="270"/>
      <c r="X801" s="270"/>
      <c r="Y801" s="270"/>
      <c r="Z801" s="271"/>
      <c r="AA801" s="271"/>
      <c r="AB801" s="271"/>
      <c r="AC801" s="271"/>
      <c r="AD801" s="271"/>
      <c r="AE801" s="271"/>
      <c r="AF801" s="271"/>
      <c r="AG801" s="271"/>
      <c r="AH801" s="271"/>
      <c r="AI801" s="271"/>
      <c r="AJ801" s="271"/>
      <c r="AK801" s="271"/>
      <c r="AL801" s="271"/>
      <c r="AM801" s="271"/>
      <c r="AN801" s="271"/>
      <c r="AO801" s="271"/>
      <c r="AP801" s="271"/>
      <c r="AQ801" s="271"/>
      <c r="AR801" s="271"/>
      <c r="AS801" s="271"/>
      <c r="AT801" s="271"/>
      <c r="AU801" s="271"/>
      <c r="AV801" s="271"/>
      <c r="AW801" s="271"/>
      <c r="AX801" s="271"/>
      <c r="AY801" s="271"/>
      <c r="AZ801" s="271"/>
      <c r="BA801" s="271"/>
      <c r="BB801" s="271"/>
      <c r="BC801" s="271"/>
      <c r="BD801" s="271"/>
      <c r="BE801" s="271"/>
      <c r="BF801" s="271"/>
      <c r="BG801" s="271"/>
      <c r="BH801" s="271"/>
      <c r="BI801" s="271"/>
      <c r="BJ801" s="271"/>
      <c r="BK801" s="271"/>
      <c r="BL801" s="271"/>
      <c r="BM801" s="271"/>
      <c r="BN801" s="271"/>
      <c r="BO801" s="271"/>
      <c r="BP801" s="271"/>
      <c r="BQ801" s="271"/>
      <c r="BR801" s="271"/>
      <c r="BS801" s="271"/>
      <c r="BT801" s="271"/>
      <c r="BU801" s="271"/>
      <c r="BV801" s="271"/>
      <c r="BW801" s="271"/>
      <c r="BX801" s="271"/>
      <c r="BY801" s="271"/>
      <c r="BZ801" s="271"/>
      <c r="CA801" s="271"/>
      <c r="CB801" s="271"/>
      <c r="CC801" s="271"/>
      <c r="CD801" s="271"/>
      <c r="CE801" s="271"/>
    </row>
    <row r="802" spans="1:83" ht="12.6" customHeight="1" x14ac:dyDescent="0.25">
      <c r="A802" s="207" t="str">
        <f>RIGHT($C$83,3)&amp;"*"&amp;RIGHT($C$82,4)&amp;"*"&amp;BS$55&amp;"*"&amp;"A"</f>
        <v>126*2018*8660*A</v>
      </c>
      <c r="B802" s="270"/>
      <c r="C802" s="272">
        <f>ROUND(BS60,2)</f>
        <v>0.54</v>
      </c>
      <c r="D802" s="270">
        <f>ROUND(BS61,0)</f>
        <v>18948</v>
      </c>
      <c r="E802" s="270">
        <f>ROUND(BS62,0)</f>
        <v>10514</v>
      </c>
      <c r="F802" s="270">
        <f>ROUND(BS63,0)</f>
        <v>0</v>
      </c>
      <c r="G802" s="270">
        <f>ROUND(BS64,0)</f>
        <v>53253</v>
      </c>
      <c r="H802" s="270">
        <f>ROUND(BS65,0)</f>
        <v>0</v>
      </c>
      <c r="I802" s="270">
        <f>ROUND(BS66,0)</f>
        <v>16</v>
      </c>
      <c r="J802" s="270">
        <f>ROUND(BS67,0)</f>
        <v>358</v>
      </c>
      <c r="K802" s="270">
        <f>ROUND(BS68,0)</f>
        <v>413</v>
      </c>
      <c r="L802" s="270">
        <f>ROUND(BS69,0)</f>
        <v>305</v>
      </c>
      <c r="M802" s="270">
        <f>ROUND(BS70,0)</f>
        <v>115832</v>
      </c>
      <c r="N802" s="270"/>
      <c r="O802" s="270"/>
      <c r="P802" s="270">
        <f>IF(BS76&gt;0,ROUND(BS76,0),0)</f>
        <v>266</v>
      </c>
      <c r="Q802" s="270">
        <f>IF(BS77&gt;0,ROUND(BS77,0),0)</f>
        <v>0</v>
      </c>
      <c r="R802" s="270">
        <f>IF(BS78&gt;0,ROUND(BS78,0),0)</f>
        <v>84</v>
      </c>
      <c r="S802" s="270">
        <f>IF(BS79&gt;0,ROUND(BS79,0),0)</f>
        <v>0</v>
      </c>
      <c r="T802" s="272">
        <f>IF(BS80&gt;0,ROUND(BS80,2),0)</f>
        <v>0</v>
      </c>
      <c r="U802" s="270"/>
      <c r="V802" s="271"/>
      <c r="W802" s="270"/>
      <c r="X802" s="270"/>
      <c r="Y802" s="270"/>
      <c r="Z802" s="271"/>
      <c r="AA802" s="271"/>
      <c r="AB802" s="271"/>
      <c r="AC802" s="271"/>
      <c r="AD802" s="271"/>
      <c r="AE802" s="271"/>
      <c r="AF802" s="271"/>
      <c r="AG802" s="271"/>
      <c r="AH802" s="271"/>
      <c r="AI802" s="271"/>
      <c r="AJ802" s="271"/>
      <c r="AK802" s="271"/>
      <c r="AL802" s="271"/>
      <c r="AM802" s="271"/>
      <c r="AN802" s="271"/>
      <c r="AO802" s="271"/>
      <c r="AP802" s="271"/>
      <c r="AQ802" s="271"/>
      <c r="AR802" s="271"/>
      <c r="AS802" s="271"/>
      <c r="AT802" s="271"/>
      <c r="AU802" s="271"/>
      <c r="AV802" s="271"/>
      <c r="AW802" s="271"/>
      <c r="AX802" s="271"/>
      <c r="AY802" s="271"/>
      <c r="AZ802" s="271"/>
      <c r="BA802" s="271"/>
      <c r="BB802" s="271"/>
      <c r="BC802" s="271"/>
      <c r="BD802" s="271"/>
      <c r="BE802" s="271"/>
      <c r="BF802" s="271"/>
      <c r="BG802" s="271"/>
      <c r="BH802" s="271"/>
      <c r="BI802" s="271"/>
      <c r="BJ802" s="271"/>
      <c r="BK802" s="271"/>
      <c r="BL802" s="271"/>
      <c r="BM802" s="271"/>
      <c r="BN802" s="271"/>
      <c r="BO802" s="271"/>
      <c r="BP802" s="271"/>
      <c r="BQ802" s="271"/>
      <c r="BR802" s="271"/>
      <c r="BS802" s="271"/>
      <c r="BT802" s="271"/>
      <c r="BU802" s="271"/>
      <c r="BV802" s="271"/>
      <c r="BW802" s="271"/>
      <c r="BX802" s="271"/>
      <c r="BY802" s="271"/>
      <c r="BZ802" s="271"/>
      <c r="CA802" s="271"/>
      <c r="CB802" s="271"/>
      <c r="CC802" s="271"/>
      <c r="CD802" s="271"/>
      <c r="CE802" s="271"/>
    </row>
    <row r="803" spans="1:83" ht="12.6" customHeight="1" x14ac:dyDescent="0.25">
      <c r="A803" s="207" t="str">
        <f>RIGHT($C$83,3)&amp;"*"&amp;RIGHT($C$82,4)&amp;"*"&amp;BT$55&amp;"*"&amp;"A"</f>
        <v>126*2018*8670*A</v>
      </c>
      <c r="B803" s="270"/>
      <c r="C803" s="272">
        <f>ROUND(BT60,2)</f>
        <v>0.31</v>
      </c>
      <c r="D803" s="270">
        <f>ROUND(BT61,0)</f>
        <v>0</v>
      </c>
      <c r="E803" s="270">
        <f>ROUND(BT62,0)</f>
        <v>0</v>
      </c>
      <c r="F803" s="270">
        <f>ROUND(BT63,0)</f>
        <v>0</v>
      </c>
      <c r="G803" s="270">
        <f>ROUND(BT64,0)</f>
        <v>152</v>
      </c>
      <c r="H803" s="270">
        <f>ROUND(BT65,0)</f>
        <v>318</v>
      </c>
      <c r="I803" s="270">
        <f>ROUND(BT66,0)</f>
        <v>22980</v>
      </c>
      <c r="J803" s="270">
        <f>ROUND(BT67,0)</f>
        <v>879</v>
      </c>
      <c r="K803" s="270">
        <f>ROUND(BT68,0)</f>
        <v>2267</v>
      </c>
      <c r="L803" s="270">
        <f>ROUND(BT69,0)</f>
        <v>0</v>
      </c>
      <c r="M803" s="270">
        <f>ROUND(BT70,0)</f>
        <v>0</v>
      </c>
      <c r="N803" s="270"/>
      <c r="O803" s="270"/>
      <c r="P803" s="270">
        <f>IF(BT76&gt;0,ROUND(BT76,0),0)</f>
        <v>0</v>
      </c>
      <c r="Q803" s="270">
        <f>IF(BT77&gt;0,ROUND(BT77,0),0)</f>
        <v>0</v>
      </c>
      <c r="R803" s="270">
        <f>IF(BT78&gt;0,ROUND(BT78,0),0)</f>
        <v>0</v>
      </c>
      <c r="S803" s="270">
        <f>IF(BT79&gt;0,ROUND(BT79,0),0)</f>
        <v>0</v>
      </c>
      <c r="T803" s="272">
        <f>IF(BT80&gt;0,ROUND(BT80,2),0)</f>
        <v>0</v>
      </c>
      <c r="U803" s="270"/>
      <c r="V803" s="271"/>
      <c r="W803" s="270"/>
      <c r="X803" s="270"/>
      <c r="Y803" s="270"/>
      <c r="Z803" s="271"/>
      <c r="AA803" s="271"/>
      <c r="AB803" s="271"/>
      <c r="AC803" s="271"/>
      <c r="AD803" s="271"/>
      <c r="AE803" s="271"/>
      <c r="AF803" s="271"/>
      <c r="AG803" s="271"/>
      <c r="AH803" s="271"/>
      <c r="AI803" s="271"/>
      <c r="AJ803" s="271"/>
      <c r="AK803" s="271"/>
      <c r="AL803" s="271"/>
      <c r="AM803" s="271"/>
      <c r="AN803" s="271"/>
      <c r="AO803" s="271"/>
      <c r="AP803" s="271"/>
      <c r="AQ803" s="271"/>
      <c r="AR803" s="271"/>
      <c r="AS803" s="271"/>
      <c r="AT803" s="271"/>
      <c r="AU803" s="271"/>
      <c r="AV803" s="271"/>
      <c r="AW803" s="271"/>
      <c r="AX803" s="271"/>
      <c r="AY803" s="271"/>
      <c r="AZ803" s="271"/>
      <c r="BA803" s="271"/>
      <c r="BB803" s="271"/>
      <c r="BC803" s="271"/>
      <c r="BD803" s="271"/>
      <c r="BE803" s="271"/>
      <c r="BF803" s="271"/>
      <c r="BG803" s="271"/>
      <c r="BH803" s="271"/>
      <c r="BI803" s="271"/>
      <c r="BJ803" s="271"/>
      <c r="BK803" s="271"/>
      <c r="BL803" s="271"/>
      <c r="BM803" s="271"/>
      <c r="BN803" s="271"/>
      <c r="BO803" s="271"/>
      <c r="BP803" s="271"/>
      <c r="BQ803" s="271"/>
      <c r="BR803" s="271"/>
      <c r="BS803" s="271"/>
      <c r="BT803" s="271"/>
      <c r="BU803" s="271"/>
      <c r="BV803" s="271"/>
      <c r="BW803" s="271"/>
      <c r="BX803" s="271"/>
      <c r="BY803" s="271"/>
      <c r="BZ803" s="271"/>
      <c r="CA803" s="271"/>
      <c r="CB803" s="271"/>
      <c r="CC803" s="271"/>
      <c r="CD803" s="271"/>
      <c r="CE803" s="271"/>
    </row>
    <row r="804" spans="1:83" ht="12.6" customHeight="1" x14ac:dyDescent="0.25">
      <c r="A804" s="207" t="str">
        <f>RIGHT($C$83,3)&amp;"*"&amp;RIGHT($C$82,4)&amp;"*"&amp;BU$55&amp;"*"&amp;"A"</f>
        <v>126*2018*8680*A</v>
      </c>
      <c r="B804" s="270"/>
      <c r="C804" s="272">
        <f>ROUND(BU60,2)</f>
        <v>0</v>
      </c>
      <c r="D804" s="270">
        <f>ROUND(BU61,0)</f>
        <v>0</v>
      </c>
      <c r="E804" s="270">
        <f>ROUND(BU62,0)</f>
        <v>0</v>
      </c>
      <c r="F804" s="270">
        <f>ROUND(BU63,0)</f>
        <v>0</v>
      </c>
      <c r="G804" s="270">
        <f>ROUND(BU64,0)</f>
        <v>0</v>
      </c>
      <c r="H804" s="270">
        <f>ROUND(BU65,0)</f>
        <v>0</v>
      </c>
      <c r="I804" s="270">
        <f>ROUND(BU66,0)</f>
        <v>37274</v>
      </c>
      <c r="J804" s="270">
        <f>ROUND(BU67,0)</f>
        <v>0</v>
      </c>
      <c r="K804" s="270">
        <f>ROUND(BU68,0)</f>
        <v>0</v>
      </c>
      <c r="L804" s="270">
        <f>ROUND(BU69,0)</f>
        <v>0</v>
      </c>
      <c r="M804" s="270">
        <f>ROUND(BU70,0)</f>
        <v>0</v>
      </c>
      <c r="N804" s="270"/>
      <c r="O804" s="270"/>
      <c r="P804" s="270">
        <f>IF(BU76&gt;0,ROUND(BU76,0),0)</f>
        <v>0</v>
      </c>
      <c r="Q804" s="270">
        <f>IF(BU77&gt;0,ROUND(BU77,0),0)</f>
        <v>0</v>
      </c>
      <c r="R804" s="270">
        <f>IF(BU78&gt;0,ROUND(BU78,0),0)</f>
        <v>0</v>
      </c>
      <c r="S804" s="270">
        <f>IF(BU79&gt;0,ROUND(BU79,0),0)</f>
        <v>0</v>
      </c>
      <c r="T804" s="272">
        <f>IF(BU80&gt;0,ROUND(BU80,2),0)</f>
        <v>0</v>
      </c>
      <c r="U804" s="270"/>
      <c r="V804" s="271"/>
      <c r="W804" s="270"/>
      <c r="X804" s="270"/>
      <c r="Y804" s="270"/>
      <c r="Z804" s="271"/>
      <c r="AA804" s="271"/>
      <c r="AB804" s="271"/>
      <c r="AC804" s="271"/>
      <c r="AD804" s="271"/>
      <c r="AE804" s="271"/>
      <c r="AF804" s="271"/>
      <c r="AG804" s="271"/>
      <c r="AH804" s="271"/>
      <c r="AI804" s="271"/>
      <c r="AJ804" s="271"/>
      <c r="AK804" s="271"/>
      <c r="AL804" s="271"/>
      <c r="AM804" s="271"/>
      <c r="AN804" s="271"/>
      <c r="AO804" s="271"/>
      <c r="AP804" s="271"/>
      <c r="AQ804" s="271"/>
      <c r="AR804" s="271"/>
      <c r="AS804" s="271"/>
      <c r="AT804" s="271"/>
      <c r="AU804" s="271"/>
      <c r="AV804" s="271"/>
      <c r="AW804" s="271"/>
      <c r="AX804" s="271"/>
      <c r="AY804" s="271"/>
      <c r="AZ804" s="271"/>
      <c r="BA804" s="271"/>
      <c r="BB804" s="271"/>
      <c r="BC804" s="271"/>
      <c r="BD804" s="271"/>
      <c r="BE804" s="271"/>
      <c r="BF804" s="271"/>
      <c r="BG804" s="271"/>
      <c r="BH804" s="271"/>
      <c r="BI804" s="271"/>
      <c r="BJ804" s="271"/>
      <c r="BK804" s="271"/>
      <c r="BL804" s="271"/>
      <c r="BM804" s="271"/>
      <c r="BN804" s="271"/>
      <c r="BO804" s="271"/>
      <c r="BP804" s="271"/>
      <c r="BQ804" s="271"/>
      <c r="BR804" s="271"/>
      <c r="BS804" s="271"/>
      <c r="BT804" s="271"/>
      <c r="BU804" s="271"/>
      <c r="BV804" s="271"/>
      <c r="BW804" s="271"/>
      <c r="BX804" s="271"/>
      <c r="BY804" s="271"/>
      <c r="BZ804" s="271"/>
      <c r="CA804" s="271"/>
      <c r="CB804" s="271"/>
      <c r="CC804" s="271"/>
      <c r="CD804" s="271"/>
      <c r="CE804" s="271"/>
    </row>
    <row r="805" spans="1:83" ht="12.6" customHeight="1" x14ac:dyDescent="0.25">
      <c r="A805" s="207" t="str">
        <f>RIGHT($C$83,3)&amp;"*"&amp;RIGHT($C$82,4)&amp;"*"&amp;BV$55&amp;"*"&amp;"A"</f>
        <v>126*2018*8690*A</v>
      </c>
      <c r="B805" s="270"/>
      <c r="C805" s="272">
        <f>ROUND(BV60,2)</f>
        <v>0</v>
      </c>
      <c r="D805" s="270">
        <f>ROUND(BV61,0)</f>
        <v>0</v>
      </c>
      <c r="E805" s="270">
        <f>ROUND(BV62,0)</f>
        <v>0</v>
      </c>
      <c r="F805" s="270">
        <f>ROUND(BV63,0)</f>
        <v>0</v>
      </c>
      <c r="G805" s="270">
        <f>ROUND(BV64,0)</f>
        <v>0</v>
      </c>
      <c r="H805" s="270">
        <f>ROUND(BV65,0)</f>
        <v>0</v>
      </c>
      <c r="I805" s="270">
        <f>ROUND(BV66,0)</f>
        <v>3910363</v>
      </c>
      <c r="J805" s="270">
        <f>ROUND(BV67,0)</f>
        <v>0</v>
      </c>
      <c r="K805" s="270">
        <f>ROUND(BV68,0)</f>
        <v>0</v>
      </c>
      <c r="L805" s="270">
        <f>ROUND(BV69,0)</f>
        <v>0</v>
      </c>
      <c r="M805" s="270">
        <f>ROUND(BV70,0)</f>
        <v>0</v>
      </c>
      <c r="N805" s="270"/>
      <c r="O805" s="270"/>
      <c r="P805" s="270">
        <f>IF(BV76&gt;0,ROUND(BV76,0),0)</f>
        <v>2525</v>
      </c>
      <c r="Q805" s="270">
        <f>IF(BV77&gt;0,ROUND(BV77,0),0)</f>
        <v>0</v>
      </c>
      <c r="R805" s="270">
        <f>IF(BV78&gt;0,ROUND(BV78,0),0)</f>
        <v>801</v>
      </c>
      <c r="S805" s="270">
        <f>IF(BV79&gt;0,ROUND(BV79,0),0)</f>
        <v>0</v>
      </c>
      <c r="T805" s="272">
        <f>IF(BV80&gt;0,ROUND(BV80,2),0)</f>
        <v>0</v>
      </c>
      <c r="U805" s="270"/>
      <c r="V805" s="271"/>
      <c r="W805" s="270"/>
      <c r="X805" s="270"/>
      <c r="Y805" s="270"/>
      <c r="Z805" s="271"/>
      <c r="AA805" s="271"/>
      <c r="AB805" s="271"/>
      <c r="AC805" s="271"/>
      <c r="AD805" s="271"/>
      <c r="AE805" s="271"/>
      <c r="AF805" s="271"/>
      <c r="AG805" s="271"/>
      <c r="AH805" s="271"/>
      <c r="AI805" s="271"/>
      <c r="AJ805" s="271"/>
      <c r="AK805" s="271"/>
      <c r="AL805" s="271"/>
      <c r="AM805" s="271"/>
      <c r="AN805" s="271"/>
      <c r="AO805" s="271"/>
      <c r="AP805" s="271"/>
      <c r="AQ805" s="271"/>
      <c r="AR805" s="271"/>
      <c r="AS805" s="271"/>
      <c r="AT805" s="271"/>
      <c r="AU805" s="271"/>
      <c r="AV805" s="271"/>
      <c r="AW805" s="271"/>
      <c r="AX805" s="271"/>
      <c r="AY805" s="271"/>
      <c r="AZ805" s="271"/>
      <c r="BA805" s="271"/>
      <c r="BB805" s="271"/>
      <c r="BC805" s="271"/>
      <c r="BD805" s="271"/>
      <c r="BE805" s="271"/>
      <c r="BF805" s="271"/>
      <c r="BG805" s="271"/>
      <c r="BH805" s="271"/>
      <c r="BI805" s="271"/>
      <c r="BJ805" s="271"/>
      <c r="BK805" s="271"/>
      <c r="BL805" s="271"/>
      <c r="BM805" s="271"/>
      <c r="BN805" s="271"/>
      <c r="BO805" s="271"/>
      <c r="BP805" s="271"/>
      <c r="BQ805" s="271"/>
      <c r="BR805" s="271"/>
      <c r="BS805" s="271"/>
      <c r="BT805" s="271"/>
      <c r="BU805" s="271"/>
      <c r="BV805" s="271"/>
      <c r="BW805" s="271"/>
      <c r="BX805" s="271"/>
      <c r="BY805" s="271"/>
      <c r="BZ805" s="271"/>
      <c r="CA805" s="271"/>
      <c r="CB805" s="271"/>
      <c r="CC805" s="271"/>
      <c r="CD805" s="271"/>
      <c r="CE805" s="271"/>
    </row>
    <row r="806" spans="1:83" ht="12.6" customHeight="1" x14ac:dyDescent="0.25">
      <c r="A806" s="207" t="str">
        <f>RIGHT($C$83,3)&amp;"*"&amp;RIGHT($C$82,4)&amp;"*"&amp;BW$55&amp;"*"&amp;"A"</f>
        <v>126*2018*8700*A</v>
      </c>
      <c r="B806" s="270"/>
      <c r="C806" s="272">
        <f>ROUND(BW60,2)</f>
        <v>0.31</v>
      </c>
      <c r="D806" s="270">
        <f>ROUND(BW61,0)</f>
        <v>47780</v>
      </c>
      <c r="E806" s="270">
        <f>ROUND(BW62,0)</f>
        <v>17682</v>
      </c>
      <c r="F806" s="270">
        <f>ROUND(BW63,0)</f>
        <v>8470</v>
      </c>
      <c r="G806" s="270">
        <f>ROUND(BW64,0)</f>
        <v>29130</v>
      </c>
      <c r="H806" s="270">
        <f>ROUND(BW65,0)</f>
        <v>0</v>
      </c>
      <c r="I806" s="270">
        <f>ROUND(BW66,0)</f>
        <v>388263</v>
      </c>
      <c r="J806" s="270">
        <f>ROUND(BW67,0)</f>
        <v>232</v>
      </c>
      <c r="K806" s="270">
        <f>ROUND(BW68,0)</f>
        <v>6495</v>
      </c>
      <c r="L806" s="270">
        <f>ROUND(BW69,0)</f>
        <v>15778</v>
      </c>
      <c r="M806" s="270">
        <f>ROUND(BW70,0)</f>
        <v>25350</v>
      </c>
      <c r="N806" s="270"/>
      <c r="O806" s="270"/>
      <c r="P806" s="270">
        <f>IF(BW76&gt;0,ROUND(BW76,0),0)</f>
        <v>0</v>
      </c>
      <c r="Q806" s="270">
        <f>IF(BW77&gt;0,ROUND(BW77,0),0)</f>
        <v>0</v>
      </c>
      <c r="R806" s="270">
        <f>IF(BW78&gt;0,ROUND(BW78,0),0)</f>
        <v>0</v>
      </c>
      <c r="S806" s="270">
        <f>IF(BW79&gt;0,ROUND(BW79,0),0)</f>
        <v>0</v>
      </c>
      <c r="T806" s="272">
        <f>IF(BW80&gt;0,ROUND(BW80,2),0)</f>
        <v>0</v>
      </c>
      <c r="U806" s="270"/>
      <c r="V806" s="271"/>
      <c r="W806" s="270"/>
      <c r="X806" s="270"/>
      <c r="Y806" s="270"/>
      <c r="Z806" s="271"/>
      <c r="AA806" s="271"/>
      <c r="AB806" s="271"/>
      <c r="AC806" s="271"/>
      <c r="AD806" s="271"/>
      <c r="AE806" s="271"/>
      <c r="AF806" s="271"/>
      <c r="AG806" s="271"/>
      <c r="AH806" s="271"/>
      <c r="AI806" s="271"/>
      <c r="AJ806" s="271"/>
      <c r="AK806" s="271"/>
      <c r="AL806" s="271"/>
      <c r="AM806" s="271"/>
      <c r="AN806" s="271"/>
      <c r="AO806" s="271"/>
      <c r="AP806" s="271"/>
      <c r="AQ806" s="271"/>
      <c r="AR806" s="271"/>
      <c r="AS806" s="271"/>
      <c r="AT806" s="271"/>
      <c r="AU806" s="271"/>
      <c r="AV806" s="271"/>
      <c r="AW806" s="271"/>
      <c r="AX806" s="271"/>
      <c r="AY806" s="271"/>
      <c r="AZ806" s="271"/>
      <c r="BA806" s="271"/>
      <c r="BB806" s="271"/>
      <c r="BC806" s="271"/>
      <c r="BD806" s="271"/>
      <c r="BE806" s="271"/>
      <c r="BF806" s="271"/>
      <c r="BG806" s="271"/>
      <c r="BH806" s="271"/>
      <c r="BI806" s="271"/>
      <c r="BJ806" s="271"/>
      <c r="BK806" s="271"/>
      <c r="BL806" s="271"/>
      <c r="BM806" s="271"/>
      <c r="BN806" s="271"/>
      <c r="BO806" s="271"/>
      <c r="BP806" s="271"/>
      <c r="BQ806" s="271"/>
      <c r="BR806" s="271"/>
      <c r="BS806" s="271"/>
      <c r="BT806" s="271"/>
      <c r="BU806" s="271"/>
      <c r="BV806" s="271"/>
      <c r="BW806" s="271"/>
      <c r="BX806" s="271"/>
      <c r="BY806" s="271"/>
      <c r="BZ806" s="271"/>
      <c r="CA806" s="271"/>
      <c r="CB806" s="271"/>
      <c r="CC806" s="271"/>
      <c r="CD806" s="271"/>
      <c r="CE806" s="271"/>
    </row>
    <row r="807" spans="1:83" ht="12.6" customHeight="1" x14ac:dyDescent="0.25">
      <c r="A807" s="207" t="str">
        <f>RIGHT($C$83,3)&amp;"*"&amp;RIGHT($C$82,4)&amp;"*"&amp;BX$55&amp;"*"&amp;"A"</f>
        <v>126*2018*8710*A</v>
      </c>
      <c r="B807" s="270"/>
      <c r="C807" s="272">
        <f>ROUND(BX60,2)</f>
        <v>0</v>
      </c>
      <c r="D807" s="270">
        <f>ROUND(BX61,0)</f>
        <v>0</v>
      </c>
      <c r="E807" s="270">
        <f>ROUND(BX62,0)</f>
        <v>0</v>
      </c>
      <c r="F807" s="270">
        <f>ROUND(BX63,0)</f>
        <v>0</v>
      </c>
      <c r="G807" s="270">
        <f>ROUND(BX64,0)</f>
        <v>0</v>
      </c>
      <c r="H807" s="270">
        <f>ROUND(BX65,0)</f>
        <v>0</v>
      </c>
      <c r="I807" s="270">
        <f>ROUND(BX66,0)</f>
        <v>3595802</v>
      </c>
      <c r="J807" s="270">
        <f>ROUND(BX67,0)</f>
        <v>0</v>
      </c>
      <c r="K807" s="270">
        <f>ROUND(BX68,0)</f>
        <v>0</v>
      </c>
      <c r="L807" s="270">
        <f>ROUND(BX69,0)</f>
        <v>0</v>
      </c>
      <c r="M807" s="270">
        <f>ROUND(BX70,0)</f>
        <v>0</v>
      </c>
      <c r="N807" s="270"/>
      <c r="O807" s="270"/>
      <c r="P807" s="270">
        <f>IF(BX76&gt;0,ROUND(BX76,0),0)</f>
        <v>0</v>
      </c>
      <c r="Q807" s="270">
        <f>IF(BX77&gt;0,ROUND(BX77,0),0)</f>
        <v>0</v>
      </c>
      <c r="R807" s="270">
        <f>IF(BX78&gt;0,ROUND(BX78,0),0)</f>
        <v>0</v>
      </c>
      <c r="S807" s="270">
        <f>IF(BX79&gt;0,ROUND(BX79,0),0)</f>
        <v>0</v>
      </c>
      <c r="T807" s="272">
        <f>IF(BX80&gt;0,ROUND(BX80,2),0)</f>
        <v>0</v>
      </c>
      <c r="U807" s="270"/>
      <c r="V807" s="271"/>
      <c r="W807" s="270"/>
      <c r="X807" s="270"/>
      <c r="Y807" s="270"/>
      <c r="Z807" s="271"/>
      <c r="AA807" s="271"/>
      <c r="AB807" s="271"/>
      <c r="AC807" s="271"/>
      <c r="AD807" s="271"/>
      <c r="AE807" s="271"/>
      <c r="AF807" s="271"/>
      <c r="AG807" s="271"/>
      <c r="AH807" s="271"/>
      <c r="AI807" s="271"/>
      <c r="AJ807" s="271"/>
      <c r="AK807" s="271"/>
      <c r="AL807" s="271"/>
      <c r="AM807" s="271"/>
      <c r="AN807" s="271"/>
      <c r="AO807" s="271"/>
      <c r="AP807" s="271"/>
      <c r="AQ807" s="271"/>
      <c r="AR807" s="271"/>
      <c r="AS807" s="271"/>
      <c r="AT807" s="271"/>
      <c r="AU807" s="271"/>
      <c r="AV807" s="271"/>
      <c r="AW807" s="271"/>
      <c r="AX807" s="271"/>
      <c r="AY807" s="271"/>
      <c r="AZ807" s="271"/>
      <c r="BA807" s="271"/>
      <c r="BB807" s="271"/>
      <c r="BC807" s="271"/>
      <c r="BD807" s="271"/>
      <c r="BE807" s="271"/>
      <c r="BF807" s="271"/>
      <c r="BG807" s="271"/>
      <c r="BH807" s="271"/>
      <c r="BI807" s="271"/>
      <c r="BJ807" s="271"/>
      <c r="BK807" s="271"/>
      <c r="BL807" s="271"/>
      <c r="BM807" s="271"/>
      <c r="BN807" s="271"/>
      <c r="BO807" s="271"/>
      <c r="BP807" s="271"/>
      <c r="BQ807" s="271"/>
      <c r="BR807" s="271"/>
      <c r="BS807" s="271"/>
      <c r="BT807" s="271"/>
      <c r="BU807" s="271"/>
      <c r="BV807" s="271"/>
      <c r="BW807" s="271"/>
      <c r="BX807" s="271"/>
      <c r="BY807" s="271"/>
      <c r="BZ807" s="271"/>
      <c r="CA807" s="271"/>
      <c r="CB807" s="271"/>
      <c r="CC807" s="271"/>
      <c r="CD807" s="271"/>
      <c r="CE807" s="271"/>
    </row>
    <row r="808" spans="1:83" ht="12.6" customHeight="1" x14ac:dyDescent="0.25">
      <c r="A808" s="207" t="str">
        <f>RIGHT($C$83,3)&amp;"*"&amp;RIGHT($C$82,4)&amp;"*"&amp;BY$55&amp;"*"&amp;"A"</f>
        <v>126*2018*8720*A</v>
      </c>
      <c r="B808" s="270"/>
      <c r="C808" s="272">
        <f>ROUND(BY60,2)</f>
        <v>19.100000000000001</v>
      </c>
      <c r="D808" s="270">
        <f>ROUND(BY61,0)</f>
        <v>1685913</v>
      </c>
      <c r="E808" s="270">
        <f>ROUND(BY62,0)</f>
        <v>435266</v>
      </c>
      <c r="F808" s="270">
        <f>ROUND(BY63,0)</f>
        <v>0</v>
      </c>
      <c r="G808" s="270">
        <f>ROUND(BY64,0)</f>
        <v>47</v>
      </c>
      <c r="H808" s="270">
        <f>ROUND(BY65,0)</f>
        <v>813</v>
      </c>
      <c r="I808" s="270">
        <f>ROUND(BY66,0)</f>
        <v>184286</v>
      </c>
      <c r="J808" s="270">
        <f>ROUND(BY67,0)</f>
        <v>310886</v>
      </c>
      <c r="K808" s="270">
        <f>ROUND(BY68,0)</f>
        <v>4602</v>
      </c>
      <c r="L808" s="270">
        <f>ROUND(BY69,0)</f>
        <v>3821</v>
      </c>
      <c r="M808" s="270">
        <f>ROUND(BY70,0)</f>
        <v>0</v>
      </c>
      <c r="N808" s="270"/>
      <c r="O808" s="270"/>
      <c r="P808" s="270">
        <f>IF(BY76&gt;0,ROUND(BY76,0),0)</f>
        <v>688</v>
      </c>
      <c r="Q808" s="270">
        <f>IF(BY77&gt;0,ROUND(BY77,0),0)</f>
        <v>0</v>
      </c>
      <c r="R808" s="270">
        <f>IF(BY78&gt;0,ROUND(BY78,0),0)</f>
        <v>218</v>
      </c>
      <c r="S808" s="270">
        <f>IF(BY79&gt;0,ROUND(BY79,0),0)</f>
        <v>0</v>
      </c>
      <c r="T808" s="272">
        <f>IF(BY80&gt;0,ROUND(BY80,2),0)</f>
        <v>0</v>
      </c>
      <c r="U808" s="270"/>
      <c r="V808" s="271"/>
      <c r="W808" s="270"/>
      <c r="X808" s="270"/>
      <c r="Y808" s="270"/>
      <c r="Z808" s="271"/>
      <c r="AA808" s="271"/>
      <c r="AB808" s="271"/>
      <c r="AC808" s="271"/>
      <c r="AD808" s="271"/>
      <c r="AE808" s="271"/>
      <c r="AF808" s="271"/>
      <c r="AG808" s="271"/>
      <c r="AH808" s="271"/>
      <c r="AI808" s="271"/>
      <c r="AJ808" s="271"/>
      <c r="AK808" s="271"/>
      <c r="AL808" s="271"/>
      <c r="AM808" s="271"/>
      <c r="AN808" s="271"/>
      <c r="AO808" s="271"/>
      <c r="AP808" s="271"/>
      <c r="AQ808" s="271"/>
      <c r="AR808" s="271"/>
      <c r="AS808" s="271"/>
      <c r="AT808" s="271"/>
      <c r="AU808" s="271"/>
      <c r="AV808" s="271"/>
      <c r="AW808" s="271"/>
      <c r="AX808" s="271"/>
      <c r="AY808" s="271"/>
      <c r="AZ808" s="271"/>
      <c r="BA808" s="271"/>
      <c r="BB808" s="271"/>
      <c r="BC808" s="271"/>
      <c r="BD808" s="271"/>
      <c r="BE808" s="271"/>
      <c r="BF808" s="271"/>
      <c r="BG808" s="271"/>
      <c r="BH808" s="271"/>
      <c r="BI808" s="271"/>
      <c r="BJ808" s="271"/>
      <c r="BK808" s="271"/>
      <c r="BL808" s="271"/>
      <c r="BM808" s="271"/>
      <c r="BN808" s="271"/>
      <c r="BO808" s="271"/>
      <c r="BP808" s="271"/>
      <c r="BQ808" s="271"/>
      <c r="BR808" s="271"/>
      <c r="BS808" s="271"/>
      <c r="BT808" s="271"/>
      <c r="BU808" s="271"/>
      <c r="BV808" s="271"/>
      <c r="BW808" s="271"/>
      <c r="BX808" s="271"/>
      <c r="BY808" s="271"/>
      <c r="BZ808" s="271"/>
      <c r="CA808" s="271"/>
      <c r="CB808" s="271"/>
      <c r="CC808" s="271"/>
      <c r="CD808" s="271"/>
      <c r="CE808" s="271"/>
    </row>
    <row r="809" spans="1:83" ht="12.6" customHeight="1" x14ac:dyDescent="0.25">
      <c r="A809" s="207" t="str">
        <f>RIGHT($C$83,3)&amp;"*"&amp;RIGHT($C$82,4)&amp;"*"&amp;BZ$55&amp;"*"&amp;"A"</f>
        <v>126*2018*8730*A</v>
      </c>
      <c r="B809" s="270"/>
      <c r="C809" s="272">
        <f>ROUND(BZ60,2)</f>
        <v>0</v>
      </c>
      <c r="D809" s="270">
        <f>ROUND(BZ61,0)</f>
        <v>0</v>
      </c>
      <c r="E809" s="270">
        <f>ROUND(BZ62,0)</f>
        <v>0</v>
      </c>
      <c r="F809" s="270">
        <f>ROUND(BZ63,0)</f>
        <v>0</v>
      </c>
      <c r="G809" s="270">
        <f>ROUND(BZ64,0)</f>
        <v>0</v>
      </c>
      <c r="H809" s="270">
        <f>ROUND(BZ65,0)</f>
        <v>0</v>
      </c>
      <c r="I809" s="270">
        <f>ROUND(BZ66,0)</f>
        <v>0</v>
      </c>
      <c r="J809" s="270">
        <f>ROUND(BZ67,0)</f>
        <v>0</v>
      </c>
      <c r="K809" s="270">
        <f>ROUND(BZ68,0)</f>
        <v>0</v>
      </c>
      <c r="L809" s="270">
        <f>ROUND(BZ69,0)</f>
        <v>0</v>
      </c>
      <c r="M809" s="270">
        <f>ROUND(BZ70,0)</f>
        <v>0</v>
      </c>
      <c r="N809" s="270"/>
      <c r="O809" s="270"/>
      <c r="P809" s="270">
        <f>IF(BZ76&gt;0,ROUND(BZ76,0),0)</f>
        <v>0</v>
      </c>
      <c r="Q809" s="270">
        <f>IF(BZ77&gt;0,ROUND(BZ77,0),0)</f>
        <v>0</v>
      </c>
      <c r="R809" s="270">
        <f>IF(BZ78&gt;0,ROUND(BZ78,0),0)</f>
        <v>0</v>
      </c>
      <c r="S809" s="270">
        <f>IF(BZ79&gt;0,ROUND(BZ79,0),0)</f>
        <v>0</v>
      </c>
      <c r="T809" s="272">
        <f>IF(BZ80&gt;0,ROUND(BZ80,2),0)</f>
        <v>0</v>
      </c>
      <c r="U809" s="270"/>
      <c r="V809" s="271"/>
      <c r="W809" s="270"/>
      <c r="X809" s="270"/>
      <c r="Y809" s="270"/>
      <c r="Z809" s="271"/>
      <c r="AA809" s="271"/>
      <c r="AB809" s="271"/>
      <c r="AC809" s="271"/>
      <c r="AD809" s="271"/>
      <c r="AE809" s="271"/>
      <c r="AF809" s="271"/>
      <c r="AG809" s="271"/>
      <c r="AH809" s="271"/>
      <c r="AI809" s="271"/>
      <c r="AJ809" s="271"/>
      <c r="AK809" s="271"/>
      <c r="AL809" s="271"/>
      <c r="AM809" s="271"/>
      <c r="AN809" s="271"/>
      <c r="AO809" s="271"/>
      <c r="AP809" s="271"/>
      <c r="AQ809" s="271"/>
      <c r="AR809" s="271"/>
      <c r="AS809" s="271"/>
      <c r="AT809" s="271"/>
      <c r="AU809" s="271"/>
      <c r="AV809" s="271"/>
      <c r="AW809" s="271"/>
      <c r="AX809" s="271"/>
      <c r="AY809" s="271"/>
      <c r="AZ809" s="271"/>
      <c r="BA809" s="271"/>
      <c r="BB809" s="271"/>
      <c r="BC809" s="271"/>
      <c r="BD809" s="271"/>
      <c r="BE809" s="271"/>
      <c r="BF809" s="271"/>
      <c r="BG809" s="271"/>
      <c r="BH809" s="271"/>
      <c r="BI809" s="271"/>
      <c r="BJ809" s="271"/>
      <c r="BK809" s="271"/>
      <c r="BL809" s="271"/>
      <c r="BM809" s="271"/>
      <c r="BN809" s="271"/>
      <c r="BO809" s="271"/>
      <c r="BP809" s="271"/>
      <c r="BQ809" s="271"/>
      <c r="BR809" s="271"/>
      <c r="BS809" s="271"/>
      <c r="BT809" s="271"/>
      <c r="BU809" s="271"/>
      <c r="BV809" s="271"/>
      <c r="BW809" s="271"/>
      <c r="BX809" s="271"/>
      <c r="BY809" s="271"/>
      <c r="BZ809" s="271"/>
      <c r="CA809" s="271"/>
      <c r="CB809" s="271"/>
      <c r="CC809" s="271"/>
      <c r="CD809" s="271"/>
      <c r="CE809" s="271"/>
    </row>
    <row r="810" spans="1:83" ht="12.6" customHeight="1" x14ac:dyDescent="0.25">
      <c r="A810" s="207" t="str">
        <f>RIGHT($C$83,3)&amp;"*"&amp;RIGHT($C$82,4)&amp;"*"&amp;CA$55&amp;"*"&amp;"A"</f>
        <v>126*2018*8740*A</v>
      </c>
      <c r="B810" s="270"/>
      <c r="C810" s="272">
        <f>ROUND(CA60,2)</f>
        <v>0</v>
      </c>
      <c r="D810" s="270">
        <f>ROUND(CA61,0)</f>
        <v>0</v>
      </c>
      <c r="E810" s="270">
        <f>ROUND(CA62,0)</f>
        <v>0</v>
      </c>
      <c r="F810" s="270">
        <f>ROUND(CA63,0)</f>
        <v>0</v>
      </c>
      <c r="G810" s="270">
        <f>ROUND(CA64,0)</f>
        <v>0</v>
      </c>
      <c r="H810" s="270">
        <f>ROUND(CA65,0)</f>
        <v>0</v>
      </c>
      <c r="I810" s="270">
        <f>ROUND(CA66,0)</f>
        <v>451309</v>
      </c>
      <c r="J810" s="270">
        <f>ROUND(CA67,0)</f>
        <v>0</v>
      </c>
      <c r="K810" s="270">
        <f>ROUND(CA68,0)</f>
        <v>0</v>
      </c>
      <c r="L810" s="270">
        <f>ROUND(CA69,0)</f>
        <v>0</v>
      </c>
      <c r="M810" s="270">
        <f>ROUND(CA70,0)</f>
        <v>0</v>
      </c>
      <c r="N810" s="270"/>
      <c r="O810" s="270"/>
      <c r="P810" s="270">
        <f>IF(CA76&gt;0,ROUND(CA76,0),0)</f>
        <v>0</v>
      </c>
      <c r="Q810" s="270">
        <f>IF(CA77&gt;0,ROUND(CA77,0),0)</f>
        <v>0</v>
      </c>
      <c r="R810" s="270">
        <f>IF(CA78&gt;0,ROUND(CA78,0),0)</f>
        <v>0</v>
      </c>
      <c r="S810" s="270">
        <f>IF(CA79&gt;0,ROUND(CA79,0),0)</f>
        <v>0</v>
      </c>
      <c r="T810" s="272">
        <f>IF(CA80&gt;0,ROUND(CA80,2),0)</f>
        <v>0</v>
      </c>
      <c r="U810" s="270"/>
      <c r="V810" s="271"/>
      <c r="W810" s="270"/>
      <c r="X810" s="270"/>
      <c r="Y810" s="270"/>
      <c r="Z810" s="271"/>
      <c r="AA810" s="271"/>
      <c r="AB810" s="271"/>
      <c r="AC810" s="271"/>
      <c r="AD810" s="271"/>
      <c r="AE810" s="271"/>
      <c r="AF810" s="271"/>
      <c r="AG810" s="271"/>
      <c r="AH810" s="271"/>
      <c r="AI810" s="271"/>
      <c r="AJ810" s="271"/>
      <c r="AK810" s="271"/>
      <c r="AL810" s="271"/>
      <c r="AM810" s="271"/>
      <c r="AN810" s="271"/>
      <c r="AO810" s="271"/>
      <c r="AP810" s="271"/>
      <c r="AQ810" s="271"/>
      <c r="AR810" s="271"/>
      <c r="AS810" s="271"/>
      <c r="AT810" s="271"/>
      <c r="AU810" s="271"/>
      <c r="AV810" s="271"/>
      <c r="AW810" s="271"/>
      <c r="AX810" s="271"/>
      <c r="AY810" s="271"/>
      <c r="AZ810" s="271"/>
      <c r="BA810" s="271"/>
      <c r="BB810" s="271"/>
      <c r="BC810" s="271"/>
      <c r="BD810" s="271"/>
      <c r="BE810" s="271"/>
      <c r="BF810" s="271"/>
      <c r="BG810" s="271"/>
      <c r="BH810" s="271"/>
      <c r="BI810" s="271"/>
      <c r="BJ810" s="271"/>
      <c r="BK810" s="271"/>
      <c r="BL810" s="271"/>
      <c r="BM810" s="271"/>
      <c r="BN810" s="271"/>
      <c r="BO810" s="271"/>
      <c r="BP810" s="271"/>
      <c r="BQ810" s="271"/>
      <c r="BR810" s="271"/>
      <c r="BS810" s="271"/>
      <c r="BT810" s="271"/>
      <c r="BU810" s="271"/>
      <c r="BV810" s="271"/>
      <c r="BW810" s="271"/>
      <c r="BX810" s="271"/>
      <c r="BY810" s="271"/>
      <c r="BZ810" s="271"/>
      <c r="CA810" s="271"/>
      <c r="CB810" s="271"/>
      <c r="CC810" s="271"/>
      <c r="CD810" s="271"/>
      <c r="CE810" s="271"/>
    </row>
    <row r="811" spans="1:83" ht="12.6" customHeight="1" x14ac:dyDescent="0.25">
      <c r="A811" s="207" t="str">
        <f>RIGHT($C$83,3)&amp;"*"&amp;RIGHT($C$82,4)&amp;"*"&amp;CB$55&amp;"*"&amp;"A"</f>
        <v>126*2018*8770*A</v>
      </c>
      <c r="B811" s="270"/>
      <c r="C811" s="272">
        <f>ROUND(CB60,2)</f>
        <v>0</v>
      </c>
      <c r="D811" s="270">
        <f>ROUND(CB61,0)</f>
        <v>0</v>
      </c>
      <c r="E811" s="270">
        <f>ROUND(CB62,0)</f>
        <v>0</v>
      </c>
      <c r="F811" s="270">
        <f>ROUND(CB63,0)</f>
        <v>0</v>
      </c>
      <c r="G811" s="270">
        <f>ROUND(CB64,0)</f>
        <v>0</v>
      </c>
      <c r="H811" s="270">
        <f>ROUND(CB65,0)</f>
        <v>0</v>
      </c>
      <c r="I811" s="270">
        <f>ROUND(CB66,0)</f>
        <v>46061</v>
      </c>
      <c r="J811" s="270">
        <f>ROUND(CB67,0)</f>
        <v>0</v>
      </c>
      <c r="K811" s="270">
        <f>ROUND(CB68,0)</f>
        <v>0</v>
      </c>
      <c r="L811" s="270">
        <f>ROUND(CB69,0)</f>
        <v>0</v>
      </c>
      <c r="M811" s="270">
        <f>ROUND(CB70,0)</f>
        <v>0</v>
      </c>
      <c r="N811" s="270"/>
      <c r="O811" s="270"/>
      <c r="P811" s="270">
        <f>IF(CB76&gt;0,ROUND(CB76,0),0)</f>
        <v>0</v>
      </c>
      <c r="Q811" s="270">
        <f>IF(CB77&gt;0,ROUND(CB77,0),0)</f>
        <v>0</v>
      </c>
      <c r="R811" s="270">
        <f>IF(CB78&gt;0,ROUND(CB78,0),0)</f>
        <v>0</v>
      </c>
      <c r="S811" s="270">
        <f>IF(CB79&gt;0,ROUND(CB79,0),0)</f>
        <v>0</v>
      </c>
      <c r="T811" s="272">
        <f>IF(CB80&gt;0,ROUND(CB80,2),0)</f>
        <v>0</v>
      </c>
      <c r="U811" s="270"/>
      <c r="V811" s="271"/>
      <c r="W811" s="270"/>
      <c r="X811" s="270"/>
      <c r="Y811" s="270"/>
      <c r="Z811" s="271"/>
      <c r="AA811" s="271"/>
      <c r="AB811" s="271"/>
      <c r="AC811" s="271"/>
      <c r="AD811" s="271"/>
      <c r="AE811" s="271"/>
      <c r="AF811" s="271"/>
      <c r="AG811" s="271"/>
      <c r="AH811" s="271"/>
      <c r="AI811" s="271"/>
      <c r="AJ811" s="271"/>
      <c r="AK811" s="271"/>
      <c r="AL811" s="271"/>
      <c r="AM811" s="271"/>
      <c r="AN811" s="271"/>
      <c r="AO811" s="271"/>
      <c r="AP811" s="271"/>
      <c r="AQ811" s="271"/>
      <c r="AR811" s="271"/>
      <c r="AS811" s="271"/>
      <c r="AT811" s="271"/>
      <c r="AU811" s="271"/>
      <c r="AV811" s="271"/>
      <c r="AW811" s="271"/>
      <c r="AX811" s="271"/>
      <c r="AY811" s="271"/>
      <c r="AZ811" s="271"/>
      <c r="BA811" s="271"/>
      <c r="BB811" s="271"/>
      <c r="BC811" s="271"/>
      <c r="BD811" s="271"/>
      <c r="BE811" s="271"/>
      <c r="BF811" s="271"/>
      <c r="BG811" s="271"/>
      <c r="BH811" s="271"/>
      <c r="BI811" s="271"/>
      <c r="BJ811" s="271"/>
      <c r="BK811" s="271"/>
      <c r="BL811" s="271"/>
      <c r="BM811" s="271"/>
      <c r="BN811" s="271"/>
      <c r="BO811" s="271"/>
      <c r="BP811" s="271"/>
      <c r="BQ811" s="271"/>
      <c r="BR811" s="271"/>
      <c r="BS811" s="271"/>
      <c r="BT811" s="271"/>
      <c r="BU811" s="271"/>
      <c r="BV811" s="271"/>
      <c r="BW811" s="271"/>
      <c r="BX811" s="271"/>
      <c r="BY811" s="271"/>
      <c r="BZ811" s="271"/>
      <c r="CA811" s="271"/>
      <c r="CB811" s="271"/>
      <c r="CC811" s="271"/>
      <c r="CD811" s="271"/>
      <c r="CE811" s="271"/>
    </row>
    <row r="812" spans="1:83" ht="12.6" customHeight="1" x14ac:dyDescent="0.25">
      <c r="A812" s="207" t="str">
        <f>RIGHT($C$83,3)&amp;"*"&amp;RIGHT($C$82,4)&amp;"*"&amp;CC$55&amp;"*"&amp;"A"</f>
        <v>126*2018*8790*A</v>
      </c>
      <c r="B812" s="270"/>
      <c r="C812" s="272">
        <f>ROUND(CC60,2)</f>
        <v>4.41</v>
      </c>
      <c r="D812" s="270">
        <f>ROUND(CC61,0)</f>
        <v>819088</v>
      </c>
      <c r="E812" s="270">
        <f>ROUND(CC62,0)</f>
        <v>102675</v>
      </c>
      <c r="F812" s="270">
        <f>ROUND(CC63,0)</f>
        <v>0</v>
      </c>
      <c r="G812" s="270">
        <f>ROUND(CC64,0)</f>
        <v>-89559</v>
      </c>
      <c r="H812" s="270">
        <f>ROUND(CC65,0)</f>
        <v>247670</v>
      </c>
      <c r="I812" s="270">
        <f>ROUND(CC66,0)</f>
        <v>13751028</v>
      </c>
      <c r="J812" s="270">
        <f>ROUND(CC67,0)</f>
        <v>6788942</v>
      </c>
      <c r="K812" s="270">
        <f>ROUND(CC68,0)</f>
        <v>299607</v>
      </c>
      <c r="L812" s="270">
        <f>ROUND(CC69,0)</f>
        <v>13950354</v>
      </c>
      <c r="M812" s="270">
        <f>ROUND(CC70,0)</f>
        <v>2880485</v>
      </c>
      <c r="N812" s="270"/>
      <c r="O812" s="270"/>
      <c r="P812" s="270">
        <f>IF(CC76&gt;0,ROUND(CC76,0),0)</f>
        <v>9395</v>
      </c>
      <c r="Q812" s="270">
        <f>IF(CC77&gt;0,ROUND(CC77,0),0)</f>
        <v>0</v>
      </c>
      <c r="R812" s="270">
        <f>IF(CC78&gt;0,ROUND(CC78,0),0)</f>
        <v>0</v>
      </c>
      <c r="S812" s="270">
        <f>IF(CC79&gt;0,ROUND(CC79,0),0)</f>
        <v>0</v>
      </c>
      <c r="T812" s="272">
        <f>IF(CC80&gt;0,ROUND(CC80,2),0)</f>
        <v>0</v>
      </c>
      <c r="U812" s="270"/>
      <c r="V812" s="271"/>
      <c r="W812" s="270"/>
      <c r="X812" s="270"/>
      <c r="Y812" s="270"/>
      <c r="Z812" s="271"/>
      <c r="AA812" s="271"/>
      <c r="AB812" s="271"/>
      <c r="AC812" s="271"/>
      <c r="AD812" s="271"/>
      <c r="AE812" s="271"/>
      <c r="AF812" s="271"/>
      <c r="AG812" s="271"/>
      <c r="AH812" s="271"/>
      <c r="AI812" s="271"/>
      <c r="AJ812" s="271"/>
      <c r="AK812" s="271"/>
      <c r="AL812" s="271"/>
      <c r="AM812" s="271"/>
      <c r="AN812" s="271"/>
      <c r="AO812" s="271"/>
      <c r="AP812" s="271"/>
      <c r="AQ812" s="271"/>
      <c r="AR812" s="271"/>
      <c r="AS812" s="271"/>
      <c r="AT812" s="271"/>
      <c r="AU812" s="271"/>
      <c r="AV812" s="271"/>
      <c r="AW812" s="271"/>
      <c r="AX812" s="271"/>
      <c r="AY812" s="271"/>
      <c r="AZ812" s="271"/>
      <c r="BA812" s="271"/>
      <c r="BB812" s="271"/>
      <c r="BC812" s="271"/>
      <c r="BD812" s="271"/>
      <c r="BE812" s="271"/>
      <c r="BF812" s="271"/>
      <c r="BG812" s="271"/>
      <c r="BH812" s="271"/>
      <c r="BI812" s="271"/>
      <c r="BJ812" s="271"/>
      <c r="BK812" s="271"/>
      <c r="BL812" s="271"/>
      <c r="BM812" s="271"/>
      <c r="BN812" s="271"/>
      <c r="BO812" s="271"/>
      <c r="BP812" s="271"/>
      <c r="BQ812" s="271"/>
      <c r="BR812" s="271"/>
      <c r="BS812" s="271"/>
      <c r="BT812" s="271"/>
      <c r="BU812" s="271"/>
      <c r="BV812" s="271"/>
      <c r="BW812" s="271"/>
      <c r="BX812" s="271"/>
      <c r="BY812" s="271"/>
      <c r="BZ812" s="271"/>
      <c r="CA812" s="271"/>
      <c r="CB812" s="271"/>
      <c r="CC812" s="271"/>
      <c r="CD812" s="271"/>
      <c r="CE812" s="271"/>
    </row>
    <row r="813" spans="1:83" ht="12.6" customHeight="1" x14ac:dyDescent="0.25">
      <c r="A813" s="207" t="str">
        <f>RIGHT($C$83,3)&amp;"*"&amp;RIGHT($C$82,4)&amp;"*"&amp;"9000"&amp;"*"&amp;"A"</f>
        <v>126*2018*9000*A</v>
      </c>
      <c r="B813" s="270"/>
      <c r="C813" s="273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3"/>
      <c r="U813" s="270">
        <f>ROUND(CD69,0)</f>
        <v>0</v>
      </c>
      <c r="V813" s="271">
        <f>ROUND(CD70,0)</f>
        <v>0</v>
      </c>
      <c r="W813" s="270">
        <f>ROUND(CE72,0)</f>
        <v>0</v>
      </c>
      <c r="X813" s="270">
        <f>ROUND(C131,0)</f>
        <v>0</v>
      </c>
      <c r="Y813" s="270"/>
      <c r="Z813" s="271"/>
      <c r="AA813" s="271"/>
      <c r="AB813" s="271"/>
      <c r="AC813" s="271"/>
      <c r="AD813" s="271"/>
      <c r="AE813" s="271"/>
      <c r="AF813" s="271"/>
      <c r="AG813" s="271"/>
      <c r="AH813" s="271"/>
      <c r="AI813" s="271"/>
      <c r="AJ813" s="271"/>
      <c r="AK813" s="271"/>
      <c r="AL813" s="271"/>
      <c r="AM813" s="271"/>
      <c r="AN813" s="271"/>
      <c r="AO813" s="271"/>
      <c r="AP813" s="271"/>
      <c r="AQ813" s="271"/>
      <c r="AR813" s="271"/>
      <c r="AS813" s="271"/>
      <c r="AT813" s="271"/>
      <c r="AU813" s="271"/>
      <c r="AV813" s="271"/>
      <c r="AW813" s="271"/>
      <c r="AX813" s="271"/>
      <c r="AY813" s="271"/>
      <c r="AZ813" s="271"/>
      <c r="BA813" s="271"/>
      <c r="BB813" s="271"/>
      <c r="BC813" s="271"/>
      <c r="BD813" s="271"/>
      <c r="BE813" s="271"/>
      <c r="BF813" s="271"/>
      <c r="BG813" s="271"/>
      <c r="BH813" s="271"/>
      <c r="BI813" s="271"/>
      <c r="BJ813" s="271"/>
      <c r="BK813" s="271"/>
      <c r="BL813" s="271"/>
      <c r="BM813" s="271"/>
      <c r="BN813" s="271"/>
      <c r="BO813" s="271"/>
      <c r="BP813" s="271"/>
      <c r="BQ813" s="271"/>
      <c r="BR813" s="271"/>
      <c r="BS813" s="271"/>
      <c r="BT813" s="271"/>
      <c r="BU813" s="271"/>
      <c r="BV813" s="271"/>
      <c r="BW813" s="271"/>
      <c r="BX813" s="271"/>
      <c r="BY813" s="271"/>
      <c r="BZ813" s="271"/>
      <c r="CA813" s="271"/>
      <c r="CB813" s="271"/>
      <c r="CC813" s="271"/>
      <c r="CD813" s="271"/>
      <c r="CE813" s="271"/>
    </row>
    <row r="814" spans="1:83" ht="12.6" customHeight="1" x14ac:dyDescent="0.25"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  <c r="L814" s="271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  <c r="AA814" s="271"/>
      <c r="AB814" s="271"/>
      <c r="AC814" s="271"/>
      <c r="AD814" s="271"/>
      <c r="AE814" s="271"/>
      <c r="AF814" s="271"/>
      <c r="AG814" s="271"/>
      <c r="AH814" s="271"/>
      <c r="AI814" s="271"/>
      <c r="AJ814" s="271"/>
      <c r="AK814" s="271"/>
      <c r="AL814" s="271"/>
      <c r="AM814" s="271"/>
      <c r="AN814" s="271"/>
      <c r="AO814" s="271"/>
      <c r="AP814" s="271"/>
      <c r="AQ814" s="271"/>
      <c r="AR814" s="271"/>
      <c r="AS814" s="271"/>
      <c r="AT814" s="271"/>
      <c r="AU814" s="271"/>
      <c r="AV814" s="271"/>
      <c r="AW814" s="271"/>
      <c r="AX814" s="271"/>
      <c r="AY814" s="271"/>
      <c r="AZ814" s="271"/>
      <c r="BA814" s="271"/>
      <c r="BB814" s="271"/>
      <c r="BC814" s="271"/>
      <c r="BD814" s="271"/>
      <c r="BE814" s="271"/>
      <c r="BF814" s="271"/>
      <c r="BG814" s="271"/>
      <c r="BH814" s="271"/>
      <c r="BI814" s="271"/>
      <c r="BJ814" s="271"/>
      <c r="BK814" s="271"/>
      <c r="BL814" s="271"/>
      <c r="BM814" s="271"/>
      <c r="BN814" s="271"/>
      <c r="BO814" s="271"/>
      <c r="BP814" s="271"/>
      <c r="BQ814" s="271"/>
      <c r="BR814" s="271"/>
      <c r="BS814" s="271"/>
      <c r="BT814" s="271"/>
      <c r="BU814" s="271"/>
      <c r="BV814" s="271"/>
      <c r="BW814" s="271"/>
      <c r="BX814" s="271"/>
      <c r="BY814" s="271"/>
      <c r="BZ814" s="271"/>
      <c r="CA814" s="271"/>
      <c r="CB814" s="271"/>
      <c r="CC814" s="271"/>
      <c r="CD814" s="271"/>
      <c r="CE814" s="271"/>
    </row>
    <row r="815" spans="1:83" ht="12.6" customHeight="1" x14ac:dyDescent="0.25">
      <c r="B815" s="274" t="s">
        <v>1004</v>
      </c>
      <c r="C815" s="275">
        <f t="shared" ref="C815:K815" si="22">SUM(C734:C813)</f>
        <v>752.26</v>
      </c>
      <c r="D815" s="271">
        <f t="shared" si="22"/>
        <v>62240063</v>
      </c>
      <c r="E815" s="271">
        <f t="shared" si="22"/>
        <v>17375838</v>
      </c>
      <c r="F815" s="271">
        <f t="shared" si="22"/>
        <v>8428669</v>
      </c>
      <c r="G815" s="271">
        <f t="shared" si="22"/>
        <v>24034253</v>
      </c>
      <c r="H815" s="271">
        <f t="shared" si="22"/>
        <v>1625453</v>
      </c>
      <c r="I815" s="271">
        <f t="shared" si="22"/>
        <v>47457465</v>
      </c>
      <c r="J815" s="271">
        <f t="shared" si="22"/>
        <v>13934081</v>
      </c>
      <c r="K815" s="271">
        <f t="shared" si="22"/>
        <v>1962107</v>
      </c>
      <c r="L815" s="271">
        <f>SUM(L734:L813)+SUM(U734:U813)</f>
        <v>14678915</v>
      </c>
      <c r="M815" s="271">
        <f>SUM(M734:M813)+SUM(V734:V813)</f>
        <v>10454885</v>
      </c>
      <c r="N815" s="271">
        <f t="shared" ref="N815:Y815" si="23">SUM(N734:N813)</f>
        <v>914363216</v>
      </c>
      <c r="O815" s="271">
        <f t="shared" si="23"/>
        <v>422375542</v>
      </c>
      <c r="P815" s="271">
        <f t="shared" si="23"/>
        <v>240865</v>
      </c>
      <c r="Q815" s="271">
        <f t="shared" si="23"/>
        <v>170415</v>
      </c>
      <c r="R815" s="271">
        <f t="shared" si="23"/>
        <v>55289</v>
      </c>
      <c r="S815" s="271">
        <f t="shared" si="23"/>
        <v>945925</v>
      </c>
      <c r="T815" s="275">
        <f t="shared" si="23"/>
        <v>246.60000000000002</v>
      </c>
      <c r="U815" s="271">
        <f t="shared" si="23"/>
        <v>0</v>
      </c>
      <c r="V815" s="271">
        <f t="shared" si="23"/>
        <v>0</v>
      </c>
      <c r="W815" s="271">
        <f t="shared" si="23"/>
        <v>0</v>
      </c>
      <c r="X815" s="271">
        <f t="shared" si="23"/>
        <v>0</v>
      </c>
      <c r="Y815" s="271">
        <f t="shared" si="23"/>
        <v>69954692</v>
      </c>
      <c r="Z815" s="271"/>
      <c r="AA815" s="271"/>
      <c r="AB815" s="271"/>
      <c r="AC815" s="271"/>
      <c r="AD815" s="271"/>
      <c r="AE815" s="271"/>
      <c r="AF815" s="271"/>
      <c r="AG815" s="271"/>
      <c r="AH815" s="271"/>
      <c r="AI815" s="271"/>
      <c r="AJ815" s="271"/>
      <c r="AK815" s="271"/>
      <c r="AL815" s="271"/>
      <c r="AM815" s="271"/>
      <c r="AN815" s="271"/>
      <c r="AO815" s="271"/>
      <c r="AP815" s="271"/>
      <c r="AQ815" s="271"/>
      <c r="AR815" s="271"/>
      <c r="AS815" s="271"/>
      <c r="AT815" s="271"/>
      <c r="AU815" s="271"/>
      <c r="AV815" s="271"/>
      <c r="AW815" s="271"/>
      <c r="AX815" s="271"/>
      <c r="AY815" s="271"/>
      <c r="AZ815" s="271"/>
      <c r="BA815" s="271"/>
      <c r="BB815" s="271"/>
      <c r="BC815" s="271"/>
      <c r="BD815" s="271"/>
      <c r="BE815" s="271"/>
      <c r="BF815" s="271"/>
      <c r="BG815" s="271"/>
      <c r="BH815" s="271"/>
      <c r="BI815" s="271"/>
      <c r="BJ815" s="271"/>
      <c r="BK815" s="271"/>
      <c r="BL815" s="271"/>
      <c r="BM815" s="271"/>
      <c r="BN815" s="271"/>
      <c r="BO815" s="271"/>
      <c r="BP815" s="271"/>
      <c r="BQ815" s="271"/>
      <c r="BR815" s="271"/>
      <c r="BS815" s="271"/>
      <c r="BT815" s="271"/>
      <c r="BU815" s="271"/>
      <c r="BV815" s="271"/>
      <c r="BW815" s="271"/>
      <c r="BX815" s="271"/>
      <c r="BY815" s="271"/>
      <c r="BZ815" s="271"/>
      <c r="CA815" s="271"/>
      <c r="CB815" s="271"/>
      <c r="CC815" s="271"/>
      <c r="CD815" s="271"/>
      <c r="CE815" s="271"/>
    </row>
    <row r="816" spans="1:83" ht="12.6" customHeight="1" x14ac:dyDescent="0.25">
      <c r="B816" s="271" t="s">
        <v>1005</v>
      </c>
      <c r="C816" s="275">
        <f>CE60</f>
        <v>752.23365384615374</v>
      </c>
      <c r="D816" s="271">
        <f>CE61</f>
        <v>62240065.149999999</v>
      </c>
      <c r="E816" s="271">
        <f>CE62</f>
        <v>17375838</v>
      </c>
      <c r="F816" s="271">
        <f>CE63</f>
        <v>8428669.3499999996</v>
      </c>
      <c r="G816" s="271">
        <f>CE64</f>
        <v>24034251.360000003</v>
      </c>
      <c r="H816" s="274">
        <f>CE65</f>
        <v>1625453.54</v>
      </c>
      <c r="I816" s="274">
        <f>CE66</f>
        <v>47457465.201721974</v>
      </c>
      <c r="J816" s="274">
        <f>CE67</f>
        <v>13934081</v>
      </c>
      <c r="K816" s="274">
        <f>CE68</f>
        <v>1962104.6500000004</v>
      </c>
      <c r="L816" s="274">
        <f>CE69</f>
        <v>14678914.040000001</v>
      </c>
      <c r="M816" s="274">
        <f>CE70</f>
        <v>10454884.23</v>
      </c>
      <c r="N816" s="271">
        <f>CE75</f>
        <v>914363216.01999986</v>
      </c>
      <c r="O816" s="271">
        <f>CE73</f>
        <v>422375540.22999996</v>
      </c>
      <c r="P816" s="271">
        <f>CE76</f>
        <v>240865</v>
      </c>
      <c r="Q816" s="271">
        <f>CE77</f>
        <v>170414.16666666669</v>
      </c>
      <c r="R816" s="271">
        <f>CE78</f>
        <v>55291.099999999991</v>
      </c>
      <c r="S816" s="271">
        <f>CE79</f>
        <v>945925.54999999981</v>
      </c>
      <c r="T816" s="275">
        <f>CE80</f>
        <v>246.59371634615385</v>
      </c>
      <c r="U816" s="271" t="s">
        <v>1006</v>
      </c>
      <c r="V816" s="271" t="s">
        <v>1006</v>
      </c>
      <c r="W816" s="271" t="s">
        <v>1006</v>
      </c>
      <c r="X816" s="271" t="s">
        <v>1006</v>
      </c>
      <c r="Y816" s="271">
        <f>M716</f>
        <v>69954691.721455812</v>
      </c>
      <c r="Z816" s="271"/>
      <c r="AA816" s="271"/>
      <c r="AB816" s="271"/>
      <c r="AC816" s="271"/>
      <c r="AD816" s="271"/>
      <c r="AE816" s="271"/>
      <c r="AF816" s="271"/>
      <c r="AG816" s="271"/>
      <c r="AH816" s="271"/>
      <c r="AI816" s="271"/>
      <c r="AJ816" s="271"/>
      <c r="AK816" s="271"/>
      <c r="AL816" s="271"/>
      <c r="AM816" s="271"/>
      <c r="AN816" s="271"/>
      <c r="AO816" s="271"/>
      <c r="AP816" s="271"/>
      <c r="AQ816" s="271"/>
      <c r="AR816" s="271"/>
      <c r="AS816" s="271"/>
      <c r="AT816" s="271"/>
      <c r="AU816" s="271"/>
      <c r="AV816" s="271"/>
      <c r="AW816" s="271"/>
      <c r="AX816" s="271"/>
      <c r="AY816" s="271"/>
      <c r="AZ816" s="271"/>
      <c r="BA816" s="271"/>
      <c r="BB816" s="271"/>
      <c r="BC816" s="271"/>
      <c r="BD816" s="271"/>
      <c r="BE816" s="271"/>
      <c r="BF816" s="271"/>
      <c r="BG816" s="271"/>
      <c r="BH816" s="271"/>
      <c r="BI816" s="271"/>
      <c r="BJ816" s="271"/>
      <c r="BK816" s="271"/>
      <c r="BL816" s="271"/>
      <c r="BM816" s="271"/>
      <c r="BN816" s="271"/>
      <c r="BO816" s="271"/>
      <c r="BP816" s="271"/>
      <c r="BQ816" s="271"/>
      <c r="BR816" s="271"/>
      <c r="BS816" s="271"/>
      <c r="BT816" s="271"/>
      <c r="BU816" s="271"/>
      <c r="BV816" s="271"/>
      <c r="BW816" s="271"/>
      <c r="BX816" s="271"/>
      <c r="BY816" s="271"/>
      <c r="BZ816" s="271"/>
      <c r="CA816" s="271"/>
      <c r="CB816" s="271"/>
      <c r="CC816" s="271"/>
      <c r="CD816" s="271"/>
      <c r="CE816" s="271"/>
    </row>
    <row r="817" spans="2:15" ht="12.6" customHeight="1" x14ac:dyDescent="0.25">
      <c r="B817" s="180" t="s">
        <v>471</v>
      </c>
      <c r="C817" s="197" t="s">
        <v>1007</v>
      </c>
      <c r="D817" s="180">
        <f>C378</f>
        <v>62240065.149999999</v>
      </c>
      <c r="E817" s="180">
        <f>C379</f>
        <v>17375838</v>
      </c>
      <c r="F817" s="180">
        <f>C380</f>
        <v>8428669.3499999996</v>
      </c>
      <c r="G817" s="234">
        <f>C381</f>
        <v>24034251.359999999</v>
      </c>
      <c r="H817" s="234">
        <f>C382</f>
        <v>1625453.54</v>
      </c>
      <c r="I817" s="234">
        <f>C383</f>
        <v>47457465.009999998</v>
      </c>
      <c r="J817" s="234">
        <f>C384</f>
        <v>13934081.640000001</v>
      </c>
      <c r="K817" s="234">
        <f>C385</f>
        <v>1962104.65</v>
      </c>
      <c r="L817" s="234">
        <f>C386+C387+C388+C389</f>
        <v>14678914.039999999</v>
      </c>
      <c r="M817" s="234">
        <f>C370</f>
        <v>10454884.23</v>
      </c>
      <c r="N817" s="180">
        <f>D361</f>
        <v>914363216.01999998</v>
      </c>
      <c r="O817" s="180">
        <f>C359</f>
        <v>422375540.23000002</v>
      </c>
    </row>
  </sheetData>
  <mergeCells count="1">
    <mergeCell ref="B220:C220"/>
  </mergeCells>
  <phoneticPr fontId="0" type="noConversion"/>
  <hyperlinks>
    <hyperlink ref="F16" r:id="rId1"/>
    <hyperlink ref="C17" r:id="rId2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37"/>
  <sheetViews>
    <sheetView topLeftCell="L1" workbookViewId="0">
      <pane ySplit="1" topLeftCell="A69" activePane="bottomLeft" state="frozen"/>
      <selection pane="bottomLeft" activeCell="S98" sqref="S98:S100"/>
    </sheetView>
  </sheetViews>
  <sheetFormatPr defaultRowHeight="15" x14ac:dyDescent="0.25"/>
  <cols>
    <col min="2" max="2" width="14.08203125" bestFit="1" customWidth="1"/>
    <col min="3" max="3" width="17.25" bestFit="1" customWidth="1"/>
    <col min="4" max="4" width="14" customWidth="1"/>
    <col min="5" max="5" width="13.4140625" customWidth="1"/>
    <col min="7" max="7" width="14" bestFit="1" customWidth="1"/>
    <col min="8" max="9" width="19.08203125" style="287" bestFit="1" customWidth="1"/>
    <col min="10" max="10" width="20.25" style="287" bestFit="1" customWidth="1"/>
    <col min="11" max="11" width="19.08203125" style="287" bestFit="1" customWidth="1"/>
    <col min="12" max="13" width="18" style="287" bestFit="1" customWidth="1"/>
    <col min="14" max="14" width="16.75" style="287" bestFit="1" customWidth="1"/>
    <col min="15" max="15" width="21.4140625" style="296" bestFit="1" customWidth="1"/>
    <col min="16" max="16" width="18" style="287" bestFit="1" customWidth="1"/>
    <col min="17" max="18" width="16.75" style="287" bestFit="1" customWidth="1"/>
    <col min="19" max="19" width="18.9140625" style="287" customWidth="1"/>
    <col min="20" max="20" width="22.33203125" style="287" bestFit="1" customWidth="1"/>
    <col min="21" max="21" width="24.75" style="287" bestFit="1" customWidth="1"/>
    <col min="22" max="22" width="24.75" style="287" customWidth="1"/>
    <col min="23" max="23" width="24.75" style="287" bestFit="1" customWidth="1"/>
    <col min="24" max="24" width="19.08203125" style="287" bestFit="1" customWidth="1"/>
    <col min="25" max="25" width="22.58203125" style="287" bestFit="1" customWidth="1"/>
  </cols>
  <sheetData>
    <row r="1" spans="2:25" x14ac:dyDescent="0.25">
      <c r="B1" s="280" t="s">
        <v>1290</v>
      </c>
      <c r="G1" t="s">
        <v>1288</v>
      </c>
      <c r="H1" s="287" t="s">
        <v>1320</v>
      </c>
      <c r="I1" s="287" t="s">
        <v>1321</v>
      </c>
      <c r="J1" s="287" t="s">
        <v>1322</v>
      </c>
      <c r="K1" s="287" t="s">
        <v>1323</v>
      </c>
      <c r="L1" s="287" t="s">
        <v>1324</v>
      </c>
      <c r="M1" s="287" t="s">
        <v>1325</v>
      </c>
      <c r="N1" s="287" t="s">
        <v>1362</v>
      </c>
      <c r="O1" s="296" t="s">
        <v>1319</v>
      </c>
      <c r="P1" s="287" t="s">
        <v>1326</v>
      </c>
      <c r="Q1" s="287" t="s">
        <v>1327</v>
      </c>
      <c r="R1" s="287" t="s">
        <v>1328</v>
      </c>
      <c r="S1" s="287" t="s">
        <v>6</v>
      </c>
      <c r="T1" s="287" t="s">
        <v>1330</v>
      </c>
      <c r="U1" s="287" t="s">
        <v>1331</v>
      </c>
      <c r="V1" s="287" t="s">
        <v>1332</v>
      </c>
      <c r="W1" s="287" t="s">
        <v>1333</v>
      </c>
      <c r="X1"/>
      <c r="Y1"/>
    </row>
    <row r="2" spans="2:25" x14ac:dyDescent="0.25">
      <c r="B2" t="s">
        <v>1282</v>
      </c>
      <c r="G2" s="284">
        <v>6010</v>
      </c>
      <c r="H2" s="287">
        <v>16574498.769999998</v>
      </c>
      <c r="I2" s="287">
        <v>17595.919999999998</v>
      </c>
      <c r="J2" s="287">
        <v>23637.55</v>
      </c>
      <c r="K2" s="287">
        <v>16615732.24</v>
      </c>
      <c r="L2" s="287">
        <v>2832270.6999999997</v>
      </c>
      <c r="M2" s="287">
        <v>573561.36</v>
      </c>
      <c r="N2" s="287">
        <v>910405.96</v>
      </c>
      <c r="O2" s="296">
        <v>48809.41</v>
      </c>
      <c r="P2" s="287">
        <v>491299.39000000007</v>
      </c>
      <c r="Q2" s="287">
        <v>324.65000000000003</v>
      </c>
      <c r="R2" s="287">
        <v>-4116.1799999999976</v>
      </c>
      <c r="S2" s="287">
        <v>165951.96000000002</v>
      </c>
      <c r="T2" s="287">
        <v>2484.4499999999998</v>
      </c>
      <c r="U2" s="287">
        <v>5020991.7</v>
      </c>
      <c r="V2" s="287">
        <v>0</v>
      </c>
      <c r="W2" s="287">
        <v>11594740.539999999</v>
      </c>
      <c r="X2"/>
      <c r="Y2"/>
    </row>
    <row r="3" spans="2:25" x14ac:dyDescent="0.25">
      <c r="B3" t="s">
        <v>1283</v>
      </c>
      <c r="C3" t="s">
        <v>203</v>
      </c>
      <c r="G3" s="284">
        <v>6070</v>
      </c>
      <c r="H3" s="287">
        <v>78712011.819999993</v>
      </c>
      <c r="I3" s="287">
        <v>26159201.41</v>
      </c>
      <c r="J3" s="287">
        <v>48253.170000000006</v>
      </c>
      <c r="K3" s="287">
        <v>104919466.39999999</v>
      </c>
      <c r="L3" s="287">
        <v>13898477.290000001</v>
      </c>
      <c r="M3" s="287">
        <v>3903023.98</v>
      </c>
      <c r="N3" s="287">
        <v>151262.12</v>
      </c>
      <c r="O3" s="296">
        <v>1915463.4899200003</v>
      </c>
      <c r="P3" s="287">
        <v>765239.91</v>
      </c>
      <c r="Q3" s="287">
        <v>2648.41</v>
      </c>
      <c r="R3" s="287">
        <v>19646.09</v>
      </c>
      <c r="S3" s="287">
        <v>1084125.2000000002</v>
      </c>
      <c r="T3" s="287">
        <v>23007.51</v>
      </c>
      <c r="U3" s="287">
        <v>21757756.089999996</v>
      </c>
      <c r="V3" s="287">
        <v>0</v>
      </c>
      <c r="W3" s="287">
        <v>83161710.309999987</v>
      </c>
      <c r="X3"/>
      <c r="Y3"/>
    </row>
    <row r="4" spans="2:25" x14ac:dyDescent="0.25">
      <c r="B4">
        <v>6010</v>
      </c>
      <c r="C4">
        <v>125815.11</v>
      </c>
      <c r="G4" s="284">
        <v>6120</v>
      </c>
      <c r="H4" s="287">
        <v>0</v>
      </c>
      <c r="I4" s="287">
        <v>0</v>
      </c>
      <c r="J4" s="287">
        <v>0</v>
      </c>
      <c r="K4" s="287">
        <v>0</v>
      </c>
      <c r="L4" s="287">
        <v>-690.53999999999951</v>
      </c>
      <c r="M4" s="287">
        <v>792.64000000000021</v>
      </c>
      <c r="N4" s="287">
        <v>0</v>
      </c>
      <c r="O4" s="296">
        <v>47434.720410000002</v>
      </c>
      <c r="P4" s="287">
        <v>0</v>
      </c>
      <c r="Q4" s="287">
        <v>0</v>
      </c>
      <c r="R4" s="287">
        <v>0</v>
      </c>
      <c r="S4" s="287">
        <v>0</v>
      </c>
      <c r="T4" s="287">
        <v>0</v>
      </c>
      <c r="U4" s="287">
        <v>102.10000000000036</v>
      </c>
      <c r="V4" s="287">
        <v>0</v>
      </c>
      <c r="W4" s="287">
        <v>-102.10000000000036</v>
      </c>
      <c r="X4"/>
      <c r="Y4"/>
    </row>
    <row r="5" spans="2:25" x14ac:dyDescent="0.25">
      <c r="B5">
        <v>6070</v>
      </c>
      <c r="C5">
        <v>298708.72000000003</v>
      </c>
      <c r="G5" s="284">
        <v>6330</v>
      </c>
      <c r="H5" s="287">
        <v>0</v>
      </c>
      <c r="I5" s="287">
        <v>0</v>
      </c>
      <c r="J5" s="287">
        <v>0</v>
      </c>
      <c r="K5" s="287">
        <v>0</v>
      </c>
      <c r="L5" s="287">
        <v>0</v>
      </c>
      <c r="M5" s="287">
        <v>0</v>
      </c>
      <c r="N5" s="287">
        <v>0</v>
      </c>
      <c r="O5" s="296">
        <v>0</v>
      </c>
      <c r="P5" s="287">
        <v>0</v>
      </c>
      <c r="Q5" s="287">
        <v>0</v>
      </c>
      <c r="R5" s="287">
        <v>0</v>
      </c>
      <c r="S5" s="287">
        <v>0</v>
      </c>
      <c r="T5" s="287">
        <v>0</v>
      </c>
      <c r="U5" s="287">
        <v>0</v>
      </c>
      <c r="V5" s="287">
        <v>0</v>
      </c>
      <c r="W5" s="287">
        <v>0</v>
      </c>
      <c r="X5"/>
      <c r="Y5"/>
    </row>
    <row r="6" spans="2:25" x14ac:dyDescent="0.25">
      <c r="B6">
        <v>6120</v>
      </c>
      <c r="C6">
        <v>0</v>
      </c>
      <c r="G6" s="284">
        <v>7010</v>
      </c>
      <c r="H6" s="287">
        <v>26316726.259999998</v>
      </c>
      <c r="I6" s="287">
        <v>1610474.24</v>
      </c>
      <c r="J6" s="287">
        <v>4915</v>
      </c>
      <c r="K6" s="287">
        <v>27932115.500000004</v>
      </c>
      <c r="L6" s="287">
        <v>3475973.1100000003</v>
      </c>
      <c r="M6" s="287">
        <v>935829.91</v>
      </c>
      <c r="N6" s="287">
        <v>94403.92</v>
      </c>
      <c r="O6" s="296">
        <v>169203.04</v>
      </c>
      <c r="P6" s="287">
        <v>373916.92</v>
      </c>
      <c r="Q6" s="287">
        <v>1433.52</v>
      </c>
      <c r="R6" s="287">
        <v>3522.83</v>
      </c>
      <c r="S6" s="287">
        <v>224727.12</v>
      </c>
      <c r="T6" s="287">
        <v>22017.809999999998</v>
      </c>
      <c r="U6" s="287">
        <v>5301028.18</v>
      </c>
      <c r="V6" s="287">
        <v>0</v>
      </c>
      <c r="W6" s="287">
        <v>22631087.319999997</v>
      </c>
      <c r="X6"/>
      <c r="Y6"/>
    </row>
    <row r="7" spans="2:25" x14ac:dyDescent="0.25">
      <c r="B7">
        <v>6170</v>
      </c>
      <c r="C7" s="303">
        <f>6696.36-6696.36</f>
        <v>0</v>
      </c>
      <c r="G7" s="284">
        <v>7020</v>
      </c>
      <c r="H7" s="287">
        <v>77626672.450000003</v>
      </c>
      <c r="I7" s="287">
        <v>119018145.92000003</v>
      </c>
      <c r="J7" s="287">
        <v>81065.34</v>
      </c>
      <c r="K7" s="287">
        <v>196725883.71000001</v>
      </c>
      <c r="L7" s="287">
        <v>6111931.3699999992</v>
      </c>
      <c r="M7" s="287">
        <v>1223362.4000000001</v>
      </c>
      <c r="N7" s="287">
        <v>1204976.6499999999</v>
      </c>
      <c r="O7" s="296">
        <v>1355109.0090399999</v>
      </c>
      <c r="P7" s="287">
        <v>7548246.120000001</v>
      </c>
      <c r="Q7" s="287">
        <v>4714.2599999999993</v>
      </c>
      <c r="R7" s="287">
        <v>248259.28000000006</v>
      </c>
      <c r="S7" s="287">
        <v>2472701.37</v>
      </c>
      <c r="T7" s="287">
        <v>50840.37</v>
      </c>
      <c r="U7" s="287">
        <v>20069289.300000001</v>
      </c>
      <c r="V7" s="287">
        <v>0</v>
      </c>
      <c r="W7" s="287">
        <v>176656594.41</v>
      </c>
      <c r="X7"/>
      <c r="Y7"/>
    </row>
    <row r="8" spans="2:25" x14ac:dyDescent="0.25">
      <c r="B8">
        <v>7010</v>
      </c>
      <c r="C8" s="303">
        <f>62139.73+6696.36</f>
        <v>68836.09</v>
      </c>
      <c r="G8" s="284">
        <v>7030</v>
      </c>
      <c r="H8" s="287">
        <v>4674438.47</v>
      </c>
      <c r="I8" s="287">
        <v>11360500.59</v>
      </c>
      <c r="J8" s="287">
        <v>2590.33</v>
      </c>
      <c r="K8" s="287">
        <v>16037529.389999997</v>
      </c>
      <c r="L8" s="287">
        <v>2066586.0900000003</v>
      </c>
      <c r="M8" s="287">
        <v>485462.32</v>
      </c>
      <c r="N8" s="287">
        <v>0</v>
      </c>
      <c r="O8" s="296">
        <v>28203.089999999997</v>
      </c>
      <c r="P8" s="287">
        <v>264004.54999999993</v>
      </c>
      <c r="Q8" s="287">
        <v>1560.24</v>
      </c>
      <c r="R8" s="287">
        <v>6642.93</v>
      </c>
      <c r="S8" s="287">
        <v>87055.38</v>
      </c>
      <c r="T8" s="287">
        <v>5069.51</v>
      </c>
      <c r="U8" s="287">
        <v>2944584.1100000003</v>
      </c>
      <c r="V8" s="287">
        <v>0</v>
      </c>
      <c r="W8" s="287">
        <v>13092945.280000001</v>
      </c>
      <c r="X8"/>
      <c r="Y8"/>
    </row>
    <row r="9" spans="2:25" x14ac:dyDescent="0.25">
      <c r="B9">
        <v>7020</v>
      </c>
      <c r="C9">
        <v>82138.94</v>
      </c>
      <c r="G9" s="284">
        <v>7050</v>
      </c>
      <c r="H9" s="287">
        <v>0</v>
      </c>
      <c r="I9" s="287">
        <v>0</v>
      </c>
      <c r="J9" s="287">
        <v>0</v>
      </c>
      <c r="K9" s="287">
        <v>0</v>
      </c>
      <c r="L9" s="287">
        <v>837067.28</v>
      </c>
      <c r="M9" s="287">
        <v>332865.89999999997</v>
      </c>
      <c r="N9" s="287">
        <v>0</v>
      </c>
      <c r="O9" s="296">
        <v>28513.32756319</v>
      </c>
      <c r="P9" s="287">
        <v>-311962.94999999995</v>
      </c>
      <c r="Q9" s="287">
        <v>0</v>
      </c>
      <c r="R9" s="287">
        <v>4730.38</v>
      </c>
      <c r="S9" s="287">
        <v>56159.360000000001</v>
      </c>
      <c r="T9" s="287">
        <v>41559.950000000004</v>
      </c>
      <c r="U9" s="287">
        <v>982996.79</v>
      </c>
      <c r="V9" s="287">
        <v>0</v>
      </c>
      <c r="W9" s="287">
        <v>-982996.79</v>
      </c>
      <c r="X9"/>
      <c r="Y9"/>
    </row>
    <row r="10" spans="2:25" x14ac:dyDescent="0.25">
      <c r="B10">
        <v>7030</v>
      </c>
      <c r="C10">
        <v>10607.93</v>
      </c>
      <c r="G10" s="284">
        <v>7060</v>
      </c>
      <c r="H10" s="287">
        <v>2816885.6699999995</v>
      </c>
      <c r="I10" s="287">
        <v>142559.20000000001</v>
      </c>
      <c r="J10" s="287">
        <v>69.95</v>
      </c>
      <c r="K10" s="287">
        <v>2959514.82</v>
      </c>
      <c r="L10" s="287">
        <v>133910.63</v>
      </c>
      <c r="M10" s="287">
        <v>37738.229999999996</v>
      </c>
      <c r="N10" s="287">
        <v>0</v>
      </c>
      <c r="O10" s="296">
        <v>0</v>
      </c>
      <c r="P10" s="287">
        <v>2869.01</v>
      </c>
      <c r="Q10" s="287">
        <v>324.14999999999998</v>
      </c>
      <c r="R10" s="287">
        <v>0</v>
      </c>
      <c r="S10" s="287">
        <v>12472.45</v>
      </c>
      <c r="T10" s="287">
        <v>-150</v>
      </c>
      <c r="U10" s="287">
        <v>187164.46999999997</v>
      </c>
      <c r="V10" s="287">
        <v>0</v>
      </c>
      <c r="W10" s="287">
        <v>2772350.3499999996</v>
      </c>
      <c r="X10"/>
      <c r="Y10"/>
    </row>
    <row r="11" spans="2:25" x14ac:dyDescent="0.25">
      <c r="B11">
        <v>7050</v>
      </c>
      <c r="C11">
        <v>2196.71</v>
      </c>
      <c r="G11" s="284">
        <v>7070</v>
      </c>
      <c r="H11" s="287">
        <v>31763144.989999998</v>
      </c>
      <c r="I11" s="287">
        <v>27685727.369999997</v>
      </c>
      <c r="J11" s="287">
        <v>537868.15999999992</v>
      </c>
      <c r="K11" s="287">
        <v>59986740.520000003</v>
      </c>
      <c r="L11" s="287">
        <v>2279326.8800000004</v>
      </c>
      <c r="M11" s="287">
        <v>733239.33999999985</v>
      </c>
      <c r="N11" s="287">
        <v>47917.82</v>
      </c>
      <c r="O11" s="296">
        <v>1565750.95551</v>
      </c>
      <c r="P11" s="287">
        <v>1905827.05</v>
      </c>
      <c r="Q11" s="287">
        <v>285.31999999999994</v>
      </c>
      <c r="R11" s="287">
        <v>99452.74</v>
      </c>
      <c r="S11" s="287">
        <v>123186.52</v>
      </c>
      <c r="T11" s="287">
        <v>154924.72999999998</v>
      </c>
      <c r="U11" s="287">
        <v>6666211.6200000001</v>
      </c>
      <c r="V11" s="287">
        <v>0</v>
      </c>
      <c r="W11" s="287">
        <v>53320528.899999999</v>
      </c>
      <c r="X11"/>
      <c r="Y11"/>
    </row>
    <row r="12" spans="2:25" x14ac:dyDescent="0.25">
      <c r="B12">
        <v>7070</v>
      </c>
      <c r="C12">
        <v>8</v>
      </c>
      <c r="G12" s="284">
        <v>7120</v>
      </c>
      <c r="H12" s="287">
        <v>2572722.7200000007</v>
      </c>
      <c r="I12" s="287">
        <v>13795281.27</v>
      </c>
      <c r="J12" s="287">
        <v>3275.24</v>
      </c>
      <c r="K12" s="287">
        <v>16371279.229999999</v>
      </c>
      <c r="L12" s="287">
        <v>634851.31999999995</v>
      </c>
      <c r="M12" s="287">
        <v>150792.84</v>
      </c>
      <c r="N12" s="287">
        <v>0</v>
      </c>
      <c r="O12" s="296">
        <v>397838.89</v>
      </c>
      <c r="P12" s="287">
        <v>68434.03</v>
      </c>
      <c r="Q12" s="287">
        <v>10218.209999999999</v>
      </c>
      <c r="R12" s="287">
        <v>180272.01999999996</v>
      </c>
      <c r="S12" s="287">
        <v>328539.23</v>
      </c>
      <c r="T12" s="287">
        <v>0</v>
      </c>
      <c r="U12" s="287">
        <v>1770946.54</v>
      </c>
      <c r="V12" s="287">
        <v>0</v>
      </c>
      <c r="W12" s="287">
        <v>14600332.689999999</v>
      </c>
      <c r="X12"/>
      <c r="Y12"/>
    </row>
    <row r="13" spans="2:25" x14ac:dyDescent="0.25">
      <c r="B13">
        <v>7120</v>
      </c>
      <c r="C13">
        <v>21456.04</v>
      </c>
      <c r="G13" s="284">
        <v>7130</v>
      </c>
      <c r="H13" s="287">
        <v>23806574.069999997</v>
      </c>
      <c r="I13" s="287">
        <v>74534223.919999987</v>
      </c>
      <c r="J13" s="287">
        <v>17198.119999999995</v>
      </c>
      <c r="K13" s="287">
        <v>98357996.109999985</v>
      </c>
      <c r="L13" s="287">
        <v>759564.31</v>
      </c>
      <c r="M13" s="287">
        <v>202964.57999999996</v>
      </c>
      <c r="N13" s="287">
        <v>0</v>
      </c>
      <c r="O13" s="296">
        <v>220489.36</v>
      </c>
      <c r="P13" s="287">
        <v>186310.87999999998</v>
      </c>
      <c r="Q13" s="287">
        <v>0</v>
      </c>
      <c r="R13" s="287">
        <v>0</v>
      </c>
      <c r="S13" s="287">
        <v>64350.169999999991</v>
      </c>
      <c r="T13" s="287">
        <v>0</v>
      </c>
      <c r="U13" s="287">
        <v>1433679.2999999998</v>
      </c>
      <c r="V13" s="287">
        <v>0</v>
      </c>
      <c r="W13" s="287">
        <v>96924316.810000002</v>
      </c>
      <c r="X13"/>
      <c r="Y13"/>
    </row>
    <row r="14" spans="2:25" x14ac:dyDescent="0.25">
      <c r="B14">
        <v>7130</v>
      </c>
      <c r="C14">
        <v>13551.81</v>
      </c>
      <c r="G14" s="284">
        <v>7140</v>
      </c>
      <c r="H14" s="287">
        <v>7615061.0500000007</v>
      </c>
      <c r="I14" s="287">
        <v>29677580.010000002</v>
      </c>
      <c r="J14" s="287">
        <v>187339.83</v>
      </c>
      <c r="K14" s="287">
        <v>37479980.890000001</v>
      </c>
      <c r="L14" s="287">
        <v>2763165.84</v>
      </c>
      <c r="M14" s="287">
        <v>744969.57000000007</v>
      </c>
      <c r="N14" s="287">
        <v>31500</v>
      </c>
      <c r="O14" s="296">
        <v>1130631.3600000001</v>
      </c>
      <c r="P14" s="287">
        <v>245899.46000000002</v>
      </c>
      <c r="Q14" s="287">
        <v>1595.81</v>
      </c>
      <c r="R14" s="287">
        <v>233222.45999999996</v>
      </c>
      <c r="S14" s="287">
        <v>847003.15</v>
      </c>
      <c r="T14" s="287">
        <v>7597.93</v>
      </c>
      <c r="U14" s="287">
        <v>6005585.580000001</v>
      </c>
      <c r="V14" s="287">
        <v>0</v>
      </c>
      <c r="W14" s="287">
        <v>31474395.310000002</v>
      </c>
      <c r="X14"/>
      <c r="Y14"/>
    </row>
    <row r="15" spans="2:25" x14ac:dyDescent="0.25">
      <c r="B15">
        <v>7140</v>
      </c>
      <c r="C15">
        <v>34015.53</v>
      </c>
      <c r="G15" s="284">
        <v>7160</v>
      </c>
      <c r="H15" s="287">
        <v>578565.09</v>
      </c>
      <c r="I15" s="287">
        <v>5133488.75</v>
      </c>
      <c r="J15" s="287">
        <v>4092.43</v>
      </c>
      <c r="K15" s="287">
        <v>5716146.2699999996</v>
      </c>
      <c r="L15" s="287">
        <v>255041.04</v>
      </c>
      <c r="M15" s="287">
        <v>68790.09</v>
      </c>
      <c r="N15" s="287">
        <v>0</v>
      </c>
      <c r="O15" s="296">
        <v>278028.49999999994</v>
      </c>
      <c r="P15" s="287">
        <v>193862.88</v>
      </c>
      <c r="Q15" s="287">
        <v>0</v>
      </c>
      <c r="R15" s="287">
        <v>284.83</v>
      </c>
      <c r="S15" s="287">
        <v>40804.39</v>
      </c>
      <c r="T15" s="287">
        <v>0</v>
      </c>
      <c r="U15" s="287">
        <v>836811.73</v>
      </c>
      <c r="V15" s="287">
        <v>0</v>
      </c>
      <c r="W15" s="287">
        <v>4879334.5399999991</v>
      </c>
      <c r="X15"/>
      <c r="Y15"/>
    </row>
    <row r="16" spans="2:25" x14ac:dyDescent="0.25">
      <c r="B16">
        <v>7160</v>
      </c>
      <c r="C16">
        <v>4739.8900000000003</v>
      </c>
      <c r="G16" s="284">
        <v>7170</v>
      </c>
      <c r="H16" s="287">
        <v>66684214.32</v>
      </c>
      <c r="I16" s="287">
        <v>79715708.370000005</v>
      </c>
      <c r="J16" s="287">
        <v>1763421.26</v>
      </c>
      <c r="K16" s="287">
        <v>148163343.94999999</v>
      </c>
      <c r="L16" s="287">
        <v>3128680.67</v>
      </c>
      <c r="M16" s="287">
        <v>799051.11</v>
      </c>
      <c r="N16" s="287">
        <v>0</v>
      </c>
      <c r="O16" s="296">
        <v>557248.5</v>
      </c>
      <c r="P16" s="287">
        <f>9056222.32-510</f>
        <v>9055712.3200000003</v>
      </c>
      <c r="Q16" s="287">
        <v>367.68</v>
      </c>
      <c r="R16" s="287">
        <v>17117.62</v>
      </c>
      <c r="S16" s="287">
        <v>339372.52999999997</v>
      </c>
      <c r="T16" s="287">
        <v>28469.600000000002</v>
      </c>
      <c r="U16" s="287">
        <v>13926020.030000001</v>
      </c>
      <c r="V16" s="287">
        <v>0</v>
      </c>
      <c r="W16" s="287">
        <v>134237323.92000002</v>
      </c>
      <c r="X16"/>
      <c r="Y16"/>
    </row>
    <row r="17" spans="2:25" x14ac:dyDescent="0.25">
      <c r="B17">
        <v>7170</v>
      </c>
      <c r="C17">
        <v>37.090000000000003</v>
      </c>
      <c r="G17" s="284">
        <v>7180</v>
      </c>
      <c r="H17" s="287">
        <v>22927831.98</v>
      </c>
      <c r="I17" s="287">
        <v>6670502.8599999994</v>
      </c>
      <c r="J17" s="287">
        <v>30501.519999999997</v>
      </c>
      <c r="K17" s="287">
        <v>29573878.580000006</v>
      </c>
      <c r="L17" s="287">
        <v>1409137.5599999998</v>
      </c>
      <c r="M17" s="287">
        <v>401877.98</v>
      </c>
      <c r="N17" s="287">
        <v>-62860</v>
      </c>
      <c r="O17" s="296">
        <v>2091.86</v>
      </c>
      <c r="P17" s="287">
        <v>262198.87999999995</v>
      </c>
      <c r="Q17" s="287">
        <v>500.82</v>
      </c>
      <c r="R17" s="287">
        <v>7377.9000000000015</v>
      </c>
      <c r="S17" s="287">
        <v>65064.71</v>
      </c>
      <c r="T17" s="287">
        <v>4132.3999999999996</v>
      </c>
      <c r="U17" s="287">
        <v>2089522.11</v>
      </c>
      <c r="V17" s="287">
        <v>0</v>
      </c>
      <c r="W17" s="287">
        <v>27484356.469999999</v>
      </c>
      <c r="X17"/>
      <c r="Y17"/>
    </row>
    <row r="18" spans="2:25" x14ac:dyDescent="0.25">
      <c r="B18">
        <v>7180</v>
      </c>
      <c r="C18">
        <v>275.86</v>
      </c>
      <c r="G18" s="284">
        <v>7190</v>
      </c>
      <c r="H18" s="287">
        <v>1862928.22</v>
      </c>
      <c r="I18" s="287">
        <v>73554.87</v>
      </c>
      <c r="J18" s="287">
        <v>97551.65</v>
      </c>
      <c r="K18" s="287">
        <v>2034034.74</v>
      </c>
      <c r="L18" s="287">
        <v>0</v>
      </c>
      <c r="M18" s="287">
        <v>0</v>
      </c>
      <c r="N18" s="287">
        <v>0</v>
      </c>
      <c r="O18" s="296">
        <v>565327.18999999994</v>
      </c>
      <c r="P18" s="287">
        <v>100190.65</v>
      </c>
      <c r="Q18" s="287">
        <v>0</v>
      </c>
      <c r="R18" s="287">
        <v>0</v>
      </c>
      <c r="S18" s="287">
        <v>0</v>
      </c>
      <c r="T18" s="287">
        <v>0</v>
      </c>
      <c r="U18" s="287">
        <v>665517.84</v>
      </c>
      <c r="V18" s="287">
        <v>0</v>
      </c>
      <c r="W18" s="287">
        <v>1368516.9</v>
      </c>
      <c r="X18"/>
      <c r="Y18"/>
    </row>
    <row r="19" spans="2:25" x14ac:dyDescent="0.25">
      <c r="B19">
        <v>7190</v>
      </c>
      <c r="C19">
        <v>0</v>
      </c>
      <c r="G19" s="284">
        <v>7200</v>
      </c>
      <c r="H19" s="287">
        <v>1793001.37</v>
      </c>
      <c r="I19" s="287">
        <v>358840.7</v>
      </c>
      <c r="J19" s="287">
        <v>65.91</v>
      </c>
      <c r="K19" s="287">
        <v>2151907.9800000004</v>
      </c>
      <c r="L19" s="287">
        <v>0</v>
      </c>
      <c r="M19" s="287">
        <v>0</v>
      </c>
      <c r="N19" s="287">
        <v>0</v>
      </c>
      <c r="O19" s="296">
        <v>600945.44999999995</v>
      </c>
      <c r="P19" s="287">
        <v>600.81000000000006</v>
      </c>
      <c r="Q19" s="287">
        <v>0</v>
      </c>
      <c r="R19" s="287">
        <v>1350.23</v>
      </c>
      <c r="S19" s="287">
        <v>325.08999999999992</v>
      </c>
      <c r="T19" s="287">
        <v>0</v>
      </c>
      <c r="U19" s="287">
        <v>603221.58000000007</v>
      </c>
      <c r="V19" s="287">
        <v>0</v>
      </c>
      <c r="W19" s="287">
        <v>1548686.4000000001</v>
      </c>
      <c r="X19"/>
      <c r="Y19"/>
    </row>
    <row r="20" spans="2:25" x14ac:dyDescent="0.25">
      <c r="B20">
        <v>7230</v>
      </c>
      <c r="C20">
        <v>254523.77000000002</v>
      </c>
      <c r="G20" s="284">
        <v>7230</v>
      </c>
      <c r="H20" s="287">
        <v>34312386.609999999</v>
      </c>
      <c r="I20" s="287">
        <v>134144044.86</v>
      </c>
      <c r="J20" s="287">
        <v>337.5</v>
      </c>
      <c r="K20" s="287">
        <v>168456768.97</v>
      </c>
      <c r="L20" s="287">
        <v>8344805.2399999993</v>
      </c>
      <c r="M20" s="287">
        <v>2122038.9300000002</v>
      </c>
      <c r="N20" s="287">
        <v>1640946.15</v>
      </c>
      <c r="O20" s="296">
        <v>501880.86000000004</v>
      </c>
      <c r="P20" s="287">
        <f>1280378.04-158.72</f>
        <v>1280219.32</v>
      </c>
      <c r="Q20" s="287">
        <v>414.18000000000006</v>
      </c>
      <c r="R20" s="287">
        <v>17019.62</v>
      </c>
      <c r="S20" s="287">
        <v>418162.98</v>
      </c>
      <c r="T20" s="287">
        <v>3545.74</v>
      </c>
      <c r="U20" s="287">
        <v>14329033.02</v>
      </c>
      <c r="V20" s="287">
        <v>0</v>
      </c>
      <c r="W20" s="287">
        <v>154127735.95000002</v>
      </c>
      <c r="X20"/>
      <c r="Y20"/>
    </row>
    <row r="21" spans="2:25" x14ac:dyDescent="0.25">
      <c r="B21">
        <v>7260</v>
      </c>
      <c r="C21">
        <v>8059.34</v>
      </c>
      <c r="G21" s="284">
        <v>7260</v>
      </c>
      <c r="H21" s="287">
        <v>118909.36000000002</v>
      </c>
      <c r="I21" s="287">
        <v>22134375.400000002</v>
      </c>
      <c r="J21" s="287">
        <v>2539664.27</v>
      </c>
      <c r="K21" s="287">
        <v>54216385.400000006</v>
      </c>
      <c r="L21" s="287">
        <v>29186891.979999997</v>
      </c>
      <c r="M21" s="287">
        <v>6151321.6100000003</v>
      </c>
      <c r="N21" s="287">
        <v>1503610.6</v>
      </c>
      <c r="O21" s="296">
        <v>4759379.959999999</v>
      </c>
      <c r="P21" s="287">
        <f>2571639.36-125</f>
        <v>2571514.36</v>
      </c>
      <c r="Q21" s="287">
        <v>314436.04000000004</v>
      </c>
      <c r="R21" s="287">
        <v>3906009.22</v>
      </c>
      <c r="S21" s="287">
        <v>2359566.0699999998</v>
      </c>
      <c r="T21" s="287">
        <f>17793.59+1558207</f>
        <v>1576000.59</v>
      </c>
      <c r="U21" s="287">
        <v>52228396.469999991</v>
      </c>
      <c r="V21" s="287">
        <v>-267662.22000000003</v>
      </c>
      <c r="W21" s="287">
        <v>2155317.0100000002</v>
      </c>
      <c r="X21"/>
      <c r="Y21"/>
    </row>
    <row r="22" spans="2:25" x14ac:dyDescent="0.25">
      <c r="B22" t="s">
        <v>203</v>
      </c>
      <c r="C22">
        <f>SUM(C4:C21)</f>
        <v>924970.83000000019</v>
      </c>
      <c r="G22" s="284">
        <v>7310</v>
      </c>
      <c r="H22" s="287">
        <v>1631973.95</v>
      </c>
      <c r="I22" s="287">
        <v>261193.72</v>
      </c>
      <c r="J22" s="287">
        <v>183435.83</v>
      </c>
      <c r="K22" s="287">
        <v>2076603.5</v>
      </c>
      <c r="L22" s="287">
        <v>276647.81000000006</v>
      </c>
      <c r="M22" s="287">
        <v>86425.040000000008</v>
      </c>
      <c r="N22" s="287">
        <v>0</v>
      </c>
      <c r="O22" s="296">
        <v>92610.150000000009</v>
      </c>
      <c r="P22" s="287">
        <v>109.26999999999998</v>
      </c>
      <c r="Q22" s="287">
        <v>0</v>
      </c>
      <c r="R22" s="287">
        <v>0</v>
      </c>
      <c r="S22" s="287">
        <v>45.37</v>
      </c>
      <c r="T22" s="287">
        <v>467.27</v>
      </c>
      <c r="U22" s="287">
        <v>456304.91</v>
      </c>
      <c r="V22" s="287">
        <v>0</v>
      </c>
      <c r="W22" s="287">
        <v>1620298.5899999999</v>
      </c>
      <c r="X22"/>
      <c r="Y22"/>
    </row>
    <row r="23" spans="2:25" x14ac:dyDescent="0.25">
      <c r="B23">
        <v>0</v>
      </c>
      <c r="C23">
        <v>129759.64</v>
      </c>
      <c r="D23" t="s">
        <v>1284</v>
      </c>
      <c r="G23" s="284">
        <v>7320</v>
      </c>
      <c r="H23" s="287">
        <v>1150716.0399999998</v>
      </c>
      <c r="I23" s="287">
        <v>82152.62</v>
      </c>
      <c r="J23" s="287">
        <v>27325.219999999998</v>
      </c>
      <c r="K23" s="287">
        <v>1260193.8800000001</v>
      </c>
      <c r="L23" s="287">
        <v>224471.38999999996</v>
      </c>
      <c r="M23" s="287">
        <v>60803.32</v>
      </c>
      <c r="N23" s="287">
        <v>0</v>
      </c>
      <c r="O23" s="296">
        <v>28827.75</v>
      </c>
      <c r="P23" s="287">
        <v>165.26999999999998</v>
      </c>
      <c r="Q23" s="287">
        <v>0</v>
      </c>
      <c r="R23" s="287">
        <v>0</v>
      </c>
      <c r="S23" s="287">
        <v>3.38</v>
      </c>
      <c r="T23" s="287">
        <v>0</v>
      </c>
      <c r="U23" s="287">
        <v>314271.10999999993</v>
      </c>
      <c r="V23" s="287">
        <v>0</v>
      </c>
      <c r="W23" s="287">
        <v>945922.7699999999</v>
      </c>
      <c r="X23"/>
      <c r="Y23"/>
    </row>
    <row r="24" spans="2:25" x14ac:dyDescent="0.25">
      <c r="B24">
        <v>8320</v>
      </c>
      <c r="C24">
        <v>180.59</v>
      </c>
      <c r="D24" t="s">
        <v>1285</v>
      </c>
      <c r="G24" s="284">
        <v>7380</v>
      </c>
      <c r="H24" s="287">
        <v>0</v>
      </c>
      <c r="I24" s="287">
        <v>0</v>
      </c>
      <c r="J24" s="287">
        <v>0</v>
      </c>
      <c r="K24" s="287">
        <v>0</v>
      </c>
      <c r="L24" s="287">
        <v>932.82</v>
      </c>
      <c r="M24" s="287">
        <v>75.31</v>
      </c>
      <c r="N24" s="287">
        <v>0</v>
      </c>
      <c r="O24" s="296">
        <v>0</v>
      </c>
      <c r="P24" s="287">
        <v>0</v>
      </c>
      <c r="Q24" s="287">
        <v>0</v>
      </c>
      <c r="R24" s="287">
        <v>0</v>
      </c>
      <c r="S24" s="287">
        <v>0</v>
      </c>
      <c r="T24" s="287">
        <v>0</v>
      </c>
      <c r="U24" s="287">
        <v>1008.1300000000001</v>
      </c>
      <c r="V24" s="287">
        <v>0</v>
      </c>
      <c r="W24" s="287">
        <v>-1008.1300000000001</v>
      </c>
      <c r="X24"/>
      <c r="Y24"/>
    </row>
    <row r="25" spans="2:25" x14ac:dyDescent="0.25">
      <c r="B25" t="s">
        <v>1287</v>
      </c>
      <c r="C25">
        <f>SUM(C22:C24)</f>
        <v>1054911.0600000003</v>
      </c>
      <c r="G25" s="284">
        <v>7400</v>
      </c>
      <c r="H25" s="287">
        <v>0</v>
      </c>
      <c r="I25" s="287">
        <v>0</v>
      </c>
      <c r="J25" s="287">
        <v>0</v>
      </c>
      <c r="K25" s="287">
        <v>0</v>
      </c>
      <c r="L25" s="287">
        <v>0</v>
      </c>
      <c r="M25" s="287">
        <v>0</v>
      </c>
      <c r="N25" s="287">
        <v>0</v>
      </c>
      <c r="O25" s="296">
        <v>0</v>
      </c>
      <c r="P25" s="287">
        <v>0</v>
      </c>
      <c r="Q25" s="287">
        <v>0</v>
      </c>
      <c r="R25" s="287">
        <v>0</v>
      </c>
      <c r="S25" s="287">
        <v>0</v>
      </c>
      <c r="T25" s="287">
        <v>0</v>
      </c>
      <c r="U25" s="287">
        <v>0</v>
      </c>
      <c r="V25" s="287">
        <v>0</v>
      </c>
      <c r="W25" s="287">
        <v>0</v>
      </c>
      <c r="X25"/>
      <c r="Y25"/>
    </row>
    <row r="26" spans="2:25" x14ac:dyDescent="0.25">
      <c r="G26" s="284">
        <v>7490</v>
      </c>
      <c r="H26" s="287">
        <v>167114.02000000002</v>
      </c>
      <c r="I26" s="287">
        <v>1942.8899999999999</v>
      </c>
      <c r="J26" s="287">
        <v>0</v>
      </c>
      <c r="K26" s="287">
        <v>169056.91</v>
      </c>
      <c r="L26" s="287">
        <v>111631.29000000001</v>
      </c>
      <c r="M26" s="287">
        <v>27395.060000000005</v>
      </c>
      <c r="N26" s="287">
        <v>3766800</v>
      </c>
      <c r="O26" s="296">
        <v>1243006.6928400001</v>
      </c>
      <c r="P26" s="287">
        <v>6730.0199999999995</v>
      </c>
      <c r="Q26" s="287">
        <v>436.72</v>
      </c>
      <c r="R26" s="287">
        <v>2251.4399999999996</v>
      </c>
      <c r="S26" s="287">
        <v>339.31</v>
      </c>
      <c r="T26" s="287">
        <v>17.98</v>
      </c>
      <c r="U26" s="287">
        <v>3915601.8199999994</v>
      </c>
      <c r="V26" s="287">
        <v>0</v>
      </c>
      <c r="W26" s="287">
        <v>-3746544.9099999992</v>
      </c>
      <c r="X26"/>
      <c r="Y26"/>
    </row>
    <row r="27" spans="2:25" x14ac:dyDescent="0.25">
      <c r="G27" s="284">
        <v>8200</v>
      </c>
      <c r="H27" s="287">
        <v>0</v>
      </c>
      <c r="I27" s="287">
        <v>0</v>
      </c>
      <c r="J27" s="287">
        <v>9400</v>
      </c>
      <c r="K27" s="287">
        <v>9400</v>
      </c>
      <c r="L27" s="287">
        <v>564164.15000000014</v>
      </c>
      <c r="M27" s="287">
        <v>149582.39999999999</v>
      </c>
      <c r="N27" s="287">
        <v>0</v>
      </c>
      <c r="O27" s="296">
        <v>0</v>
      </c>
      <c r="P27" s="287">
        <v>11.53</v>
      </c>
      <c r="Q27" s="287">
        <v>7.99</v>
      </c>
      <c r="R27" s="287">
        <v>0</v>
      </c>
      <c r="S27" s="287">
        <v>266.66000000000003</v>
      </c>
      <c r="T27" s="287">
        <v>2236.88</v>
      </c>
      <c r="U27" s="287">
        <v>716269.6100000001</v>
      </c>
      <c r="V27" s="287">
        <v>0</v>
      </c>
      <c r="W27" s="287">
        <v>-706869.6100000001</v>
      </c>
      <c r="X27"/>
      <c r="Y27"/>
    </row>
    <row r="28" spans="2:25" x14ac:dyDescent="0.25">
      <c r="B28" s="280" t="s">
        <v>231</v>
      </c>
      <c r="G28" s="284">
        <v>8310</v>
      </c>
      <c r="H28" s="287">
        <v>0</v>
      </c>
      <c r="I28" s="287">
        <v>0</v>
      </c>
      <c r="J28" s="287">
        <v>0</v>
      </c>
      <c r="K28" s="287">
        <v>0</v>
      </c>
      <c r="L28" s="287">
        <v>0</v>
      </c>
      <c r="M28" s="287">
        <v>0</v>
      </c>
      <c r="N28" s="287">
        <v>0</v>
      </c>
      <c r="O28" s="296">
        <v>77174.285759999984</v>
      </c>
      <c r="P28" s="287">
        <v>0</v>
      </c>
      <c r="Q28" s="287">
        <v>0</v>
      </c>
      <c r="R28" s="287">
        <v>0</v>
      </c>
      <c r="S28" s="287">
        <v>0</v>
      </c>
      <c r="T28" s="287">
        <v>0</v>
      </c>
      <c r="U28" s="287">
        <v>0</v>
      </c>
      <c r="V28" s="287">
        <v>0</v>
      </c>
      <c r="W28" s="287">
        <v>0</v>
      </c>
      <c r="X28"/>
      <c r="Y28"/>
    </row>
    <row r="29" spans="2:25" x14ac:dyDescent="0.25">
      <c r="B29" t="s">
        <v>1288</v>
      </c>
      <c r="C29" t="s">
        <v>1289</v>
      </c>
      <c r="G29" s="284">
        <v>8320</v>
      </c>
      <c r="H29" s="287">
        <v>0</v>
      </c>
      <c r="I29" s="287">
        <v>0</v>
      </c>
      <c r="J29" s="287">
        <v>712521.17</v>
      </c>
      <c r="K29" s="287">
        <v>712521.17</v>
      </c>
      <c r="L29" s="287">
        <v>1630504.31</v>
      </c>
      <c r="M29" s="287">
        <v>670634.28999999992</v>
      </c>
      <c r="N29" s="287">
        <v>0</v>
      </c>
      <c r="O29" s="296">
        <v>426441.66</v>
      </c>
      <c r="P29" s="287">
        <f>729678.88-779.45</f>
        <v>728899.43</v>
      </c>
      <c r="Q29" s="287">
        <v>288.36</v>
      </c>
      <c r="R29" s="287">
        <v>5579.73</v>
      </c>
      <c r="S29" s="287">
        <v>47267.849999999991</v>
      </c>
      <c r="T29" s="287">
        <v>25107.03</v>
      </c>
      <c r="U29" s="287">
        <v>3534722.66</v>
      </c>
      <c r="V29" s="287">
        <v>0</v>
      </c>
      <c r="W29" s="287">
        <v>-2822201.49</v>
      </c>
      <c r="X29"/>
      <c r="Y29"/>
    </row>
    <row r="30" spans="2:25" x14ac:dyDescent="0.25">
      <c r="B30">
        <v>6010</v>
      </c>
      <c r="C30">
        <v>14775</v>
      </c>
      <c r="G30" s="284">
        <v>8430</v>
      </c>
      <c r="H30" s="287">
        <v>0</v>
      </c>
      <c r="I30" s="287">
        <v>0</v>
      </c>
      <c r="J30" s="287">
        <v>74541.669999999984</v>
      </c>
      <c r="K30" s="287">
        <v>74541.669999999984</v>
      </c>
      <c r="L30" s="287">
        <v>575706.42999999993</v>
      </c>
      <c r="M30" s="287">
        <v>195197.41999999998</v>
      </c>
      <c r="N30" s="287">
        <v>0</v>
      </c>
      <c r="O30" s="296">
        <v>2126665.0656699999</v>
      </c>
      <c r="P30" s="287">
        <v>18794.87</v>
      </c>
      <c r="Q30" s="287">
        <v>1303155.2000000002</v>
      </c>
      <c r="R30" s="287">
        <v>2056.9</v>
      </c>
      <c r="S30" s="287">
        <v>206972.20000000004</v>
      </c>
      <c r="T30" s="287">
        <v>66704.350000000006</v>
      </c>
      <c r="U30" s="287">
        <v>3248891.21</v>
      </c>
      <c r="V30" s="287">
        <v>0</v>
      </c>
      <c r="W30" s="287">
        <v>-3174349.540000001</v>
      </c>
      <c r="X30"/>
      <c r="Y30"/>
    </row>
    <row r="31" spans="2:25" x14ac:dyDescent="0.25">
      <c r="B31">
        <v>6070</v>
      </c>
      <c r="C31">
        <v>54550</v>
      </c>
      <c r="G31" s="284">
        <v>8460</v>
      </c>
      <c r="H31" s="287">
        <v>0</v>
      </c>
      <c r="I31" s="287">
        <v>0</v>
      </c>
      <c r="J31" s="287">
        <v>197127</v>
      </c>
      <c r="K31" s="287">
        <v>197127</v>
      </c>
      <c r="L31" s="287">
        <v>1987284.8699999996</v>
      </c>
      <c r="M31" s="287">
        <v>634579.55999999994</v>
      </c>
      <c r="N31" s="287">
        <v>0</v>
      </c>
      <c r="O31" s="296">
        <v>414428.14999999991</v>
      </c>
      <c r="P31" s="287">
        <v>145785.84</v>
      </c>
      <c r="Q31" s="287">
        <v>16161.220000000001</v>
      </c>
      <c r="R31" s="287">
        <v>1035.68</v>
      </c>
      <c r="S31" s="287">
        <v>13442.98</v>
      </c>
      <c r="T31" s="287">
        <v>23900</v>
      </c>
      <c r="U31" s="287">
        <v>3236618.3000000003</v>
      </c>
      <c r="V31" s="287">
        <v>0</v>
      </c>
      <c r="W31" s="287">
        <v>-3039491.3000000003</v>
      </c>
      <c r="X31"/>
      <c r="Y31"/>
    </row>
    <row r="32" spans="2:25" x14ac:dyDescent="0.25">
      <c r="B32" s="304">
        <v>7010</v>
      </c>
      <c r="C32">
        <f>5909+1812</f>
        <v>7721</v>
      </c>
      <c r="G32" s="284">
        <v>8470</v>
      </c>
      <c r="O32" s="296">
        <v>332227.36107000004</v>
      </c>
      <c r="T32" s="287">
        <v>0</v>
      </c>
      <c r="V32" s="287">
        <v>0</v>
      </c>
      <c r="W32" s="287">
        <v>-632765.89999999991</v>
      </c>
      <c r="X32"/>
      <c r="Y32"/>
    </row>
    <row r="33" spans="2:25" x14ac:dyDescent="0.25">
      <c r="B33">
        <v>7030</v>
      </c>
      <c r="C33">
        <v>0</v>
      </c>
      <c r="G33" s="284">
        <v>8480</v>
      </c>
      <c r="O33" s="296">
        <v>918277.19082000002</v>
      </c>
      <c r="T33" s="287">
        <v>0</v>
      </c>
      <c r="V33" s="287">
        <v>0</v>
      </c>
      <c r="W33" s="287">
        <v>-170180.94</v>
      </c>
      <c r="X33"/>
      <c r="Y33"/>
    </row>
    <row r="34" spans="2:25" x14ac:dyDescent="0.25">
      <c r="B34">
        <v>7060</v>
      </c>
      <c r="C34">
        <v>335</v>
      </c>
      <c r="G34" s="284">
        <v>8510</v>
      </c>
      <c r="O34" s="296">
        <v>426244.97519999993</v>
      </c>
      <c r="T34" s="287">
        <v>0</v>
      </c>
      <c r="U34" s="287">
        <v>632765.89999999991</v>
      </c>
      <c r="V34" s="287">
        <v>0</v>
      </c>
      <c r="W34" s="287">
        <v>-2702771.57</v>
      </c>
      <c r="X34"/>
      <c r="Y34"/>
    </row>
    <row r="35" spans="2:25" x14ac:dyDescent="0.25">
      <c r="B35">
        <v>7140</v>
      </c>
      <c r="C35">
        <v>1</v>
      </c>
      <c r="G35" s="284">
        <v>8530</v>
      </c>
      <c r="H35" s="287">
        <v>0</v>
      </c>
      <c r="I35" s="287">
        <v>0</v>
      </c>
      <c r="J35" s="287">
        <v>0</v>
      </c>
      <c r="K35" s="287">
        <v>0</v>
      </c>
      <c r="L35" s="287">
        <v>152.98000000000002</v>
      </c>
      <c r="M35" s="287">
        <v>11.71000000000001</v>
      </c>
      <c r="N35" s="287">
        <v>0</v>
      </c>
      <c r="O35" s="296">
        <v>3466391.3734293613</v>
      </c>
      <c r="P35" s="287">
        <v>0</v>
      </c>
      <c r="Q35" s="287">
        <v>0</v>
      </c>
      <c r="R35" s="287">
        <v>0</v>
      </c>
      <c r="S35" s="287">
        <v>741.21</v>
      </c>
      <c r="T35" s="287">
        <v>0</v>
      </c>
      <c r="U35" s="287">
        <v>170180.94</v>
      </c>
      <c r="V35" s="287">
        <v>0</v>
      </c>
      <c r="W35" s="287">
        <v>-159722.62999999995</v>
      </c>
      <c r="X35"/>
      <c r="Y35"/>
    </row>
    <row r="36" spans="2:25" x14ac:dyDescent="0.25">
      <c r="B36">
        <v>7230</v>
      </c>
      <c r="C36">
        <v>9066</v>
      </c>
      <c r="G36" s="284">
        <v>8560</v>
      </c>
      <c r="H36" s="287">
        <v>0</v>
      </c>
      <c r="I36" s="287">
        <v>0</v>
      </c>
      <c r="J36" s="287">
        <v>0</v>
      </c>
      <c r="K36" s="287">
        <v>0</v>
      </c>
      <c r="L36" s="287">
        <v>83980.800000000003</v>
      </c>
      <c r="M36" s="287">
        <v>29862.23</v>
      </c>
      <c r="N36" s="287">
        <v>0</v>
      </c>
      <c r="O36" s="296">
        <v>2119664.3460600004</v>
      </c>
      <c r="P36" s="287">
        <v>21352.93</v>
      </c>
      <c r="Q36" s="287">
        <v>94.6</v>
      </c>
      <c r="R36" s="287">
        <v>4316.09</v>
      </c>
      <c r="S36" s="287">
        <v>20186.57</v>
      </c>
      <c r="T36" s="287">
        <v>40.53</v>
      </c>
      <c r="U36" s="287">
        <v>3267744.7100000004</v>
      </c>
      <c r="V36" s="287">
        <v>0</v>
      </c>
      <c r="W36" s="287">
        <v>0</v>
      </c>
      <c r="X36"/>
      <c r="Y36"/>
    </row>
    <row r="37" spans="2:25" x14ac:dyDescent="0.25">
      <c r="B37">
        <v>8330</v>
      </c>
      <c r="C37">
        <v>43273</v>
      </c>
      <c r="G37" s="284">
        <v>8610</v>
      </c>
      <c r="H37" s="287">
        <v>0</v>
      </c>
      <c r="I37" s="287">
        <v>0</v>
      </c>
      <c r="J37" s="287">
        <v>564973.14</v>
      </c>
      <c r="K37" s="287">
        <v>564973.14</v>
      </c>
      <c r="L37" s="287">
        <v>1495964.51</v>
      </c>
      <c r="M37" s="287">
        <v>412400.70000000007</v>
      </c>
      <c r="N37" s="287">
        <v>0</v>
      </c>
      <c r="O37" s="296">
        <v>3092216.9123059548</v>
      </c>
      <c r="P37" s="287">
        <v>49090.229999999989</v>
      </c>
      <c r="Q37" s="287">
        <v>2610</v>
      </c>
      <c r="R37" s="287">
        <v>48313.509999999987</v>
      </c>
      <c r="S37" s="287">
        <v>87007.19</v>
      </c>
      <c r="T37" s="287">
        <v>505401.33999999997</v>
      </c>
      <c r="U37" s="287">
        <v>513124.65999999992</v>
      </c>
      <c r="V37" s="287">
        <v>0</v>
      </c>
      <c r="W37" s="287">
        <v>-679146.28999999934</v>
      </c>
      <c r="X37"/>
      <c r="Y37"/>
    </row>
    <row r="38" spans="2:25" x14ac:dyDescent="0.25">
      <c r="B38" t="s">
        <v>1286</v>
      </c>
      <c r="C38">
        <v>129721</v>
      </c>
      <c r="G38" s="284">
        <v>8620</v>
      </c>
      <c r="H38" s="287">
        <v>0</v>
      </c>
      <c r="I38" s="287">
        <v>85220.34</v>
      </c>
      <c r="J38" s="287">
        <v>277695.63</v>
      </c>
      <c r="K38" s="287">
        <v>353402.03</v>
      </c>
      <c r="L38" s="287">
        <v>344862.5</v>
      </c>
      <c r="M38" s="287">
        <v>122156.95</v>
      </c>
      <c r="N38" s="287">
        <v>0</v>
      </c>
      <c r="O38" s="296">
        <v>253355.64094000001</v>
      </c>
      <c r="P38" s="287">
        <v>6981.6500000000005</v>
      </c>
      <c r="Q38" s="287">
        <v>3745.51</v>
      </c>
      <c r="R38" s="287">
        <v>0</v>
      </c>
      <c r="S38" s="287">
        <v>0</v>
      </c>
      <c r="T38" s="287">
        <v>33908.61</v>
      </c>
      <c r="U38" s="287">
        <v>0</v>
      </c>
      <c r="V38" s="287">
        <v>0</v>
      </c>
      <c r="W38" s="287">
        <v>18437.869999999995</v>
      </c>
      <c r="X38"/>
      <c r="Y38"/>
    </row>
    <row r="39" spans="2:25" x14ac:dyDescent="0.25">
      <c r="B39" t="s">
        <v>136</v>
      </c>
      <c r="C39">
        <v>186923</v>
      </c>
      <c r="G39" s="284">
        <v>8630</v>
      </c>
      <c r="H39" s="287">
        <v>0</v>
      </c>
      <c r="I39" s="287">
        <v>0</v>
      </c>
      <c r="J39" s="287">
        <v>0</v>
      </c>
      <c r="K39" s="287">
        <v>0</v>
      </c>
      <c r="L39" s="287">
        <v>0</v>
      </c>
      <c r="M39" s="287">
        <v>0</v>
      </c>
      <c r="N39" s="287">
        <v>0</v>
      </c>
      <c r="O39" s="296">
        <v>1327451.4039599998</v>
      </c>
      <c r="P39" s="287">
        <v>0</v>
      </c>
      <c r="Q39" s="287">
        <v>0</v>
      </c>
      <c r="R39" s="287">
        <v>0</v>
      </c>
      <c r="S39" s="287">
        <v>0</v>
      </c>
      <c r="T39" s="287">
        <v>0</v>
      </c>
      <c r="U39" s="287">
        <v>638740.24999999942</v>
      </c>
      <c r="V39" s="287">
        <v>0</v>
      </c>
      <c r="W39" s="287">
        <v>-1689.9599999999998</v>
      </c>
      <c r="X39"/>
      <c r="Y39"/>
    </row>
    <row r="40" spans="2:25" x14ac:dyDescent="0.25">
      <c r="G40" s="284">
        <v>8650</v>
      </c>
      <c r="H40" s="287">
        <v>0</v>
      </c>
      <c r="I40" s="287">
        <v>0</v>
      </c>
      <c r="J40" s="287">
        <v>0</v>
      </c>
      <c r="K40" s="287">
        <v>0</v>
      </c>
      <c r="L40" s="287">
        <v>296046.89</v>
      </c>
      <c r="M40" s="287">
        <v>66403.639999999476</v>
      </c>
      <c r="N40" s="287">
        <v>900</v>
      </c>
      <c r="O40" s="296">
        <v>779815.70418999984</v>
      </c>
      <c r="P40" s="287">
        <v>15211.439999999999</v>
      </c>
      <c r="Q40" s="287">
        <v>0</v>
      </c>
      <c r="R40" s="287">
        <v>0</v>
      </c>
      <c r="S40" s="287">
        <v>0</v>
      </c>
      <c r="T40" s="287">
        <v>47233.469999999994</v>
      </c>
      <c r="U40" s="287">
        <v>57853.14</v>
      </c>
      <c r="V40" s="287">
        <v>0</v>
      </c>
      <c r="W40" s="287">
        <v>-96175.12</v>
      </c>
      <c r="X40"/>
      <c r="Y40"/>
    </row>
    <row r="41" spans="2:25" x14ac:dyDescent="0.25">
      <c r="G41" s="284">
        <v>8660</v>
      </c>
      <c r="H41" s="287">
        <v>0</v>
      </c>
      <c r="I41" s="287">
        <v>0</v>
      </c>
      <c r="J41" s="287">
        <v>76291.009999999995</v>
      </c>
      <c r="K41" s="287">
        <v>76291.009999999995</v>
      </c>
      <c r="L41" s="287">
        <v>11088.41</v>
      </c>
      <c r="M41" s="287">
        <v>5902.4599999999991</v>
      </c>
      <c r="N41" s="287">
        <v>0</v>
      </c>
      <c r="O41" s="296">
        <v>69599.493809999985</v>
      </c>
      <c r="P41" s="287">
        <v>38733.14</v>
      </c>
      <c r="Q41" s="287">
        <v>0</v>
      </c>
      <c r="R41" s="287">
        <v>424.37</v>
      </c>
      <c r="S41" s="287">
        <v>357.63</v>
      </c>
      <c r="T41" s="287">
        <v>1347.1299999999999</v>
      </c>
      <c r="U41" s="287">
        <v>1689.9599999999998</v>
      </c>
      <c r="X41"/>
      <c r="Y41"/>
    </row>
    <row r="42" spans="2:25" x14ac:dyDescent="0.25">
      <c r="B42" s="280" t="s">
        <v>233</v>
      </c>
      <c r="G42" s="284">
        <v>8670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287">
        <v>0</v>
      </c>
      <c r="O42" s="296">
        <v>119162.82410999999</v>
      </c>
      <c r="P42" s="287">
        <v>95.78</v>
      </c>
      <c r="Q42" s="287">
        <v>0</v>
      </c>
      <c r="R42" s="287">
        <v>715.14</v>
      </c>
      <c r="S42" s="287">
        <v>879.04</v>
      </c>
      <c r="T42" s="287">
        <v>0</v>
      </c>
      <c r="U42" s="287">
        <v>124125.12</v>
      </c>
      <c r="V42" s="287">
        <v>0</v>
      </c>
      <c r="W42" s="287">
        <v>-2518088.1500000004</v>
      </c>
      <c r="X42"/>
      <c r="Y42"/>
    </row>
    <row r="43" spans="2:25" x14ac:dyDescent="0.25">
      <c r="B43" t="s">
        <v>1291</v>
      </c>
      <c r="C43" s="281" t="s">
        <v>1292</v>
      </c>
      <c r="D43" s="283" t="s">
        <v>1288</v>
      </c>
      <c r="E43" t="s">
        <v>1293</v>
      </c>
      <c r="G43" s="284">
        <v>8680</v>
      </c>
      <c r="O43" s="296">
        <v>41511.700890000015</v>
      </c>
      <c r="T43" s="287">
        <v>0</v>
      </c>
      <c r="V43" s="287">
        <v>-817098.3</v>
      </c>
      <c r="W43" s="287">
        <v>-34724524.940000005</v>
      </c>
      <c r="X43"/>
      <c r="Y43"/>
    </row>
    <row r="44" spans="2:25" x14ac:dyDescent="0.25">
      <c r="B44">
        <v>6010</v>
      </c>
      <c r="C44">
        <v>2509.42</v>
      </c>
      <c r="D44" s="285">
        <v>6010</v>
      </c>
      <c r="E44" s="282">
        <v>7494.88</v>
      </c>
      <c r="G44" s="284">
        <v>8690</v>
      </c>
      <c r="O44" s="296">
        <v>4100035.0285737771</v>
      </c>
      <c r="T44" s="287">
        <v>0</v>
      </c>
      <c r="U44" s="287">
        <v>2518088.1500000004</v>
      </c>
      <c r="V44" s="287">
        <v>1861764.7000000002</v>
      </c>
      <c r="W44" s="287">
        <v>-769588260.36999989</v>
      </c>
      <c r="X44"/>
      <c r="Y44"/>
    </row>
    <row r="45" spans="2:25" x14ac:dyDescent="0.25">
      <c r="B45" s="304">
        <v>6070</v>
      </c>
      <c r="C45">
        <v>4985.46</v>
      </c>
      <c r="D45" s="285">
        <v>6070</v>
      </c>
      <c r="E45" s="282">
        <v>20632.919999999998</v>
      </c>
      <c r="G45" s="284">
        <v>8700</v>
      </c>
      <c r="H45" s="287">
        <v>0</v>
      </c>
      <c r="I45" s="287">
        <v>0</v>
      </c>
      <c r="J45" s="287">
        <v>27950</v>
      </c>
      <c r="K45" s="287">
        <v>27950</v>
      </c>
      <c r="L45" s="287">
        <v>53749.78</v>
      </c>
      <c r="M45" s="287">
        <v>18929.580000000002</v>
      </c>
      <c r="N45" s="287">
        <v>-2300</v>
      </c>
      <c r="O45" s="296">
        <v>616928.63295724499</v>
      </c>
      <c r="P45" s="287">
        <v>40621.929999999993</v>
      </c>
      <c r="Q45" s="287">
        <v>0</v>
      </c>
      <c r="R45" s="287">
        <v>4809.3900000000003</v>
      </c>
      <c r="S45" s="287">
        <v>232.16</v>
      </c>
      <c r="T45" s="287">
        <v>-290.00000000000011</v>
      </c>
      <c r="U45" s="287">
        <v>38170580.080000013</v>
      </c>
      <c r="V45" s="287">
        <v>777004.18000000017</v>
      </c>
      <c r="W45" s="287">
        <v>8868042.6000001431</v>
      </c>
      <c r="X45"/>
      <c r="Y45"/>
    </row>
    <row r="46" spans="2:25" x14ac:dyDescent="0.25">
      <c r="B46">
        <v>6070</v>
      </c>
      <c r="C46">
        <v>10473.129999999999</v>
      </c>
      <c r="D46" s="285">
        <v>6170</v>
      </c>
      <c r="E46" s="282">
        <v>3268</v>
      </c>
      <c r="G46" s="284">
        <v>8710</v>
      </c>
      <c r="O46" s="296">
        <v>1035284.849531856</v>
      </c>
      <c r="T46" s="287">
        <v>0</v>
      </c>
      <c r="U46" s="287">
        <v>0</v>
      </c>
      <c r="X46"/>
      <c r="Y46"/>
    </row>
    <row r="47" spans="2:25" x14ac:dyDescent="0.25">
      <c r="B47">
        <v>6070</v>
      </c>
      <c r="C47">
        <v>9568.9599999999991</v>
      </c>
      <c r="D47" s="285">
        <v>7020</v>
      </c>
      <c r="E47" s="282">
        <v>363206</v>
      </c>
      <c r="G47" s="284">
        <v>8720</v>
      </c>
      <c r="H47" s="287">
        <v>0</v>
      </c>
      <c r="I47" s="287">
        <v>0</v>
      </c>
      <c r="J47" s="287">
        <v>0</v>
      </c>
      <c r="K47" s="287">
        <v>0</v>
      </c>
      <c r="L47" s="287">
        <v>1743958.65</v>
      </c>
      <c r="M47" s="287">
        <v>431215.77</v>
      </c>
      <c r="N47" s="287">
        <v>0</v>
      </c>
      <c r="O47" s="296">
        <v>113174.00160000002</v>
      </c>
      <c r="P47" s="287">
        <v>472.85</v>
      </c>
      <c r="Q47" s="287">
        <v>692.72</v>
      </c>
      <c r="R47" s="287">
        <v>2954.28</v>
      </c>
      <c r="S47" s="287">
        <v>310885.7</v>
      </c>
      <c r="T47" s="287">
        <v>27908.18</v>
      </c>
      <c r="U47" s="287">
        <v>218337439.22000003</v>
      </c>
      <c r="X47"/>
      <c r="Y47"/>
    </row>
    <row r="48" spans="2:25" x14ac:dyDescent="0.25">
      <c r="B48">
        <v>6070</v>
      </c>
      <c r="C48">
        <v>0</v>
      </c>
      <c r="D48" s="285">
        <v>7030</v>
      </c>
      <c r="E48" s="282">
        <v>1201300</v>
      </c>
      <c r="G48" s="284">
        <v>8740</v>
      </c>
      <c r="O48" s="296">
        <v>368412.98472000001</v>
      </c>
      <c r="T48" s="287">
        <v>0</v>
      </c>
      <c r="X48"/>
      <c r="Y48"/>
    </row>
    <row r="49" spans="2:25" x14ac:dyDescent="0.25">
      <c r="B49">
        <v>6070</v>
      </c>
      <c r="C49">
        <v>590.83000000000004</v>
      </c>
      <c r="D49" s="285">
        <v>7040</v>
      </c>
      <c r="E49" s="282"/>
      <c r="G49" s="284">
        <v>8770</v>
      </c>
      <c r="O49" s="296">
        <v>44567.450729999997</v>
      </c>
      <c r="T49" s="287">
        <v>0</v>
      </c>
      <c r="X49"/>
      <c r="Y49"/>
    </row>
    <row r="50" spans="2:25" x14ac:dyDescent="0.25">
      <c r="B50" s="304">
        <v>7010</v>
      </c>
      <c r="C50">
        <v>3268</v>
      </c>
      <c r="D50" s="285">
        <v>7050</v>
      </c>
      <c r="E50" s="282">
        <v>13963.65</v>
      </c>
      <c r="G50" s="284">
        <v>8790</v>
      </c>
      <c r="H50" s="287">
        <v>-364523.22</v>
      </c>
      <c r="I50" s="287">
        <v>-228318.11</v>
      </c>
      <c r="J50" s="287">
        <v>4836771.24</v>
      </c>
      <c r="K50" s="287">
        <v>4243929.91</v>
      </c>
      <c r="L50" s="287">
        <v>446570.98000000004</v>
      </c>
      <c r="M50" s="287">
        <v>92890.069999999978</v>
      </c>
      <c r="N50" s="287">
        <v>0</v>
      </c>
      <c r="O50" s="296">
        <v>15004671.393271407</v>
      </c>
      <c r="P50" s="287">
        <v>159038.63999999998</v>
      </c>
      <c r="Q50" s="287">
        <v>308538.23999999999</v>
      </c>
      <c r="R50" s="287">
        <v>252361.15000000002</v>
      </c>
      <c r="S50" s="296">
        <f>6801870.35+571.48</f>
        <v>6802441.8300000001</v>
      </c>
      <c r="T50" s="287">
        <v>15673239.989999996</v>
      </c>
      <c r="X50"/>
      <c r="Y50"/>
    </row>
    <row r="51" spans="2:25" x14ac:dyDescent="0.25">
      <c r="B51">
        <v>7020</v>
      </c>
      <c r="C51">
        <f>3542.85*100</f>
        <v>354285</v>
      </c>
      <c r="D51" s="285">
        <v>7070</v>
      </c>
      <c r="E51" s="282">
        <v>483562</v>
      </c>
      <c r="G51" s="284">
        <v>8900</v>
      </c>
      <c r="H51" s="287">
        <v>0</v>
      </c>
      <c r="I51" s="287">
        <v>0</v>
      </c>
      <c r="J51" s="287">
        <v>0</v>
      </c>
      <c r="K51" s="287">
        <v>-771450025.06999993</v>
      </c>
      <c r="L51" s="287">
        <v>0</v>
      </c>
      <c r="M51" s="287">
        <v>0</v>
      </c>
      <c r="N51" s="287">
        <v>0</v>
      </c>
      <c r="O51" s="296">
        <v>2773117.2751172055</v>
      </c>
      <c r="P51" s="287">
        <v>0</v>
      </c>
      <c r="Q51" s="287">
        <v>0</v>
      </c>
      <c r="R51" s="287">
        <v>0</v>
      </c>
      <c r="S51" s="287">
        <v>0</v>
      </c>
      <c r="T51" s="287">
        <v>0</v>
      </c>
      <c r="X51"/>
      <c r="Y51"/>
    </row>
    <row r="52" spans="2:25" x14ac:dyDescent="0.25">
      <c r="B52">
        <v>7020</v>
      </c>
      <c r="D52" s="285">
        <v>7120</v>
      </c>
      <c r="E52" s="282">
        <v>2020</v>
      </c>
      <c r="G52" s="284" t="s">
        <v>1286</v>
      </c>
      <c r="H52" s="287">
        <v>403341854.00999999</v>
      </c>
      <c r="I52" s="287">
        <v>552433997.12000012</v>
      </c>
      <c r="J52" s="287">
        <v>12329879.140000001</v>
      </c>
      <c r="K52" s="287">
        <v>226014669.8499999</v>
      </c>
      <c r="L52" s="287">
        <v>87964709.340000048</v>
      </c>
      <c r="M52" s="287">
        <v>21872148.299999993</v>
      </c>
      <c r="N52" s="287">
        <v>9287563.2199999988</v>
      </c>
      <c r="O52" s="296">
        <f>SUM(O2:O51)</f>
        <v>55583613.270000003</v>
      </c>
      <c r="P52" s="287">
        <v>26238051.580000006</v>
      </c>
      <c r="Q52" s="287">
        <v>1974553.85</v>
      </c>
      <c r="R52" s="287">
        <v>5065609.6500000013</v>
      </c>
      <c r="S52" s="296">
        <f>SUM(S2:S51)</f>
        <v>16180636.76</v>
      </c>
      <c r="T52" s="287">
        <f>SUM(T2:T51)</f>
        <v>18326723.349999998</v>
      </c>
      <c r="X52"/>
      <c r="Y52"/>
    </row>
    <row r="53" spans="2:25" x14ac:dyDescent="0.25">
      <c r="B53">
        <v>7020</v>
      </c>
      <c r="C53">
        <v>6452</v>
      </c>
      <c r="D53" s="285">
        <v>7130</v>
      </c>
      <c r="E53" s="282">
        <v>20162</v>
      </c>
      <c r="O53" s="294"/>
      <c r="V53" s="287" t="e">
        <f>#REF!+#REF!</f>
        <v>#REF!</v>
      </c>
    </row>
    <row r="54" spans="2:25" x14ac:dyDescent="0.25">
      <c r="B54">
        <v>7020</v>
      </c>
      <c r="C54">
        <v>2469</v>
      </c>
      <c r="D54" s="285">
        <v>7140</v>
      </c>
      <c r="E54" s="282">
        <v>127450</v>
      </c>
      <c r="O54" s="294"/>
      <c r="V54" s="287">
        <v>18326724</v>
      </c>
      <c r="W54" s="287" t="s">
        <v>1369</v>
      </c>
    </row>
    <row r="55" spans="2:25" x14ac:dyDescent="0.25">
      <c r="B55">
        <v>7030</v>
      </c>
      <c r="C55">
        <f>12013*100</f>
        <v>1201300</v>
      </c>
      <c r="D55" s="285">
        <v>7160</v>
      </c>
      <c r="E55" s="282">
        <v>1019</v>
      </c>
      <c r="G55" s="289"/>
      <c r="H55" s="293"/>
      <c r="I55" s="293"/>
      <c r="J55" s="293"/>
      <c r="L55" s="297" t="s">
        <v>3</v>
      </c>
      <c r="O55" s="280" t="s">
        <v>1188</v>
      </c>
      <c r="P55" s="286">
        <v>67797.850000000006</v>
      </c>
      <c r="Q55" s="281" t="s">
        <v>1364</v>
      </c>
      <c r="R55" s="281" t="s">
        <v>1365</v>
      </c>
      <c r="S55" s="287" t="s">
        <v>1377</v>
      </c>
      <c r="T55" s="287" t="s">
        <v>1376</v>
      </c>
      <c r="V55" s="287" t="e">
        <f>V53-V54</f>
        <v>#REF!</v>
      </c>
    </row>
    <row r="56" spans="2:25" x14ac:dyDescent="0.25">
      <c r="B56">
        <v>7040</v>
      </c>
      <c r="D56" s="285">
        <v>7170</v>
      </c>
      <c r="E56" s="282">
        <v>109579</v>
      </c>
      <c r="G56" s="283" t="s">
        <v>1334</v>
      </c>
      <c r="H56" s="288" t="s">
        <v>1295</v>
      </c>
      <c r="I56" s="294"/>
      <c r="O56">
        <v>6010</v>
      </c>
      <c r="P56" t="s">
        <v>1303</v>
      </c>
      <c r="Q56">
        <f t="shared" ref="Q56:Q87" si="0">R56/$R$96*$P$55</f>
        <v>1772.1763792996078</v>
      </c>
      <c r="R56">
        <v>6296</v>
      </c>
      <c r="S56">
        <f t="shared" ref="S56:S95" si="1">T56/$T$96*$P$55</f>
        <v>1803.2379036482537</v>
      </c>
      <c r="T56" s="287">
        <v>6296</v>
      </c>
      <c r="V56" s="287">
        <v>18295917</v>
      </c>
    </row>
    <row r="57" spans="2:25" x14ac:dyDescent="0.25">
      <c r="B57">
        <v>7050</v>
      </c>
      <c r="C57">
        <v>13963.65</v>
      </c>
      <c r="D57" s="285">
        <v>7180</v>
      </c>
      <c r="E57" s="282">
        <v>45551</v>
      </c>
      <c r="G57" s="283" t="s">
        <v>1335</v>
      </c>
      <c r="H57" s="287" t="s">
        <v>1300</v>
      </c>
      <c r="I57" s="287" t="s">
        <v>1336</v>
      </c>
      <c r="J57" s="287" t="s">
        <v>1337</v>
      </c>
      <c r="L57" s="287" t="s">
        <v>1334</v>
      </c>
      <c r="O57" s="284">
        <v>6070</v>
      </c>
      <c r="P57" s="284" t="s">
        <v>665</v>
      </c>
      <c r="Q57">
        <f t="shared" si="0"/>
        <v>11252.8696460673</v>
      </c>
      <c r="R57" s="298">
        <v>39978</v>
      </c>
      <c r="S57">
        <f t="shared" si="1"/>
        <v>11450.102432028256</v>
      </c>
      <c r="T57" s="287">
        <v>39978</v>
      </c>
      <c r="V57" s="287">
        <f>V54-V56</f>
        <v>30807</v>
      </c>
    </row>
    <row r="58" spans="2:25" x14ac:dyDescent="0.25">
      <c r="B58">
        <v>7070</v>
      </c>
      <c r="C58">
        <f>4835.62*100</f>
        <v>483562</v>
      </c>
      <c r="D58" s="285">
        <v>7190</v>
      </c>
      <c r="E58" s="282">
        <v>27907</v>
      </c>
      <c r="G58" s="291" t="s">
        <v>1338</v>
      </c>
      <c r="H58" s="287">
        <v>-403341854.00999975</v>
      </c>
      <c r="J58" s="287">
        <v>-403341854.00999975</v>
      </c>
      <c r="L58" s="287" t="s">
        <v>1335</v>
      </c>
      <c r="M58" s="287" t="s">
        <v>1336</v>
      </c>
      <c r="O58" s="284">
        <v>6120</v>
      </c>
      <c r="P58" s="284" t="s">
        <v>1304</v>
      </c>
      <c r="Q58">
        <f t="shared" si="0"/>
        <v>0</v>
      </c>
      <c r="R58" s="298">
        <v>0</v>
      </c>
      <c r="S58">
        <f t="shared" si="1"/>
        <v>0</v>
      </c>
      <c r="T58" s="287">
        <v>0</v>
      </c>
      <c r="V58" s="287">
        <v>5415289</v>
      </c>
    </row>
    <row r="59" spans="2:25" x14ac:dyDescent="0.25">
      <c r="B59">
        <v>7120</v>
      </c>
      <c r="C59">
        <v>2020</v>
      </c>
      <c r="D59" s="285">
        <v>7200</v>
      </c>
      <c r="E59" s="282">
        <v>10351</v>
      </c>
      <c r="G59" s="291" t="s">
        <v>1339</v>
      </c>
      <c r="H59" s="287">
        <v>-552260960.78000009</v>
      </c>
      <c r="J59" s="287">
        <v>-552260960.78000009</v>
      </c>
      <c r="L59" s="287" t="s">
        <v>1375</v>
      </c>
      <c r="M59" s="287">
        <v>3950608.0700000003</v>
      </c>
      <c r="O59" s="284">
        <v>6170</v>
      </c>
      <c r="P59" s="284" t="s">
        <v>99</v>
      </c>
      <c r="Q59">
        <f t="shared" si="0"/>
        <v>328.48313764972085</v>
      </c>
      <c r="R59" s="298">
        <v>1167</v>
      </c>
      <c r="S59">
        <f t="shared" si="1"/>
        <v>334.24057076834691</v>
      </c>
      <c r="T59" s="287">
        <v>1167</v>
      </c>
      <c r="V59" s="287">
        <v>2696974</v>
      </c>
    </row>
    <row r="60" spans="2:25" x14ac:dyDescent="0.25">
      <c r="B60">
        <v>7130</v>
      </c>
      <c r="C60">
        <v>20162</v>
      </c>
      <c r="D60" s="285">
        <v>7230</v>
      </c>
      <c r="E60" s="282">
        <v>48162</v>
      </c>
      <c r="G60" s="291" t="s">
        <v>1340</v>
      </c>
      <c r="H60" s="287">
        <v>-173036.34</v>
      </c>
      <c r="I60" s="287">
        <v>-63184118.18</v>
      </c>
      <c r="J60" s="287">
        <v>-63357154.520000003</v>
      </c>
      <c r="O60" s="284">
        <v>6330</v>
      </c>
      <c r="P60" s="284" t="s">
        <v>102</v>
      </c>
      <c r="Q60">
        <f t="shared" si="0"/>
        <v>0</v>
      </c>
      <c r="R60" s="298"/>
      <c r="S60">
        <f t="shared" si="1"/>
        <v>0</v>
      </c>
      <c r="T60" s="287">
        <v>0</v>
      </c>
      <c r="V60" s="287">
        <f>V58-V59</f>
        <v>2718315</v>
      </c>
    </row>
    <row r="61" spans="2:25" x14ac:dyDescent="0.25">
      <c r="B61">
        <v>7140</v>
      </c>
      <c r="D61" s="285">
        <v>7260</v>
      </c>
      <c r="E61" s="282">
        <v>15222</v>
      </c>
      <c r="G61" s="290" t="s">
        <v>1341</v>
      </c>
      <c r="H61" s="287">
        <v>743138101.36999989</v>
      </c>
      <c r="I61" s="287">
        <v>32919832.760000002</v>
      </c>
      <c r="J61" s="287">
        <v>776057934.12999988</v>
      </c>
      <c r="L61" s="287" t="s">
        <v>310</v>
      </c>
      <c r="M61" s="287">
        <v>2340122.4153700126</v>
      </c>
      <c r="O61" s="284">
        <v>7010</v>
      </c>
      <c r="P61" s="284" t="s">
        <v>682</v>
      </c>
      <c r="Q61">
        <f t="shared" si="0"/>
        <v>6348.9851352417336</v>
      </c>
      <c r="R61" s="298">
        <v>22556</v>
      </c>
      <c r="S61">
        <f t="shared" si="1"/>
        <v>6460.265907669951</v>
      </c>
      <c r="T61" s="287">
        <v>22556</v>
      </c>
    </row>
    <row r="62" spans="2:25" x14ac:dyDescent="0.25">
      <c r="B62">
        <v>7140</v>
      </c>
      <c r="C62">
        <v>33782</v>
      </c>
      <c r="D62" s="285">
        <v>7310</v>
      </c>
      <c r="E62" s="282">
        <v>12154</v>
      </c>
      <c r="G62" s="290" t="s">
        <v>1342</v>
      </c>
      <c r="H62" s="287">
        <v>15134394.49</v>
      </c>
      <c r="I62" s="287">
        <v>314611.19</v>
      </c>
      <c r="J62" s="287">
        <v>15449005.68</v>
      </c>
      <c r="L62" s="287" t="s">
        <v>311</v>
      </c>
      <c r="M62" s="287">
        <v>161418.41370825761</v>
      </c>
      <c r="O62" s="284">
        <v>7020</v>
      </c>
      <c r="P62" s="284" t="s">
        <v>1305</v>
      </c>
      <c r="Q62">
        <f t="shared" si="0"/>
        <v>6063.849386793433</v>
      </c>
      <c r="R62" s="298">
        <v>21543</v>
      </c>
      <c r="S62">
        <f t="shared" si="1"/>
        <v>6170.1324901992266</v>
      </c>
      <c r="T62" s="287">
        <v>21543</v>
      </c>
    </row>
    <row r="63" spans="2:25" x14ac:dyDescent="0.25">
      <c r="B63">
        <v>7140</v>
      </c>
      <c r="C63">
        <v>82373</v>
      </c>
      <c r="D63" s="285">
        <v>7320</v>
      </c>
      <c r="E63" s="282">
        <v>5046</v>
      </c>
      <c r="G63" s="290" t="s">
        <v>1343</v>
      </c>
      <c r="H63" s="287">
        <v>13241931.35</v>
      </c>
      <c r="I63" s="287">
        <v>526307.47</v>
      </c>
      <c r="J63" s="287">
        <v>13768238.82</v>
      </c>
      <c r="L63" s="287" t="s">
        <v>313</v>
      </c>
      <c r="M63" s="287">
        <v>59665.146544570016</v>
      </c>
      <c r="O63" s="284">
        <v>7030</v>
      </c>
      <c r="P63" s="284" t="s">
        <v>106</v>
      </c>
      <c r="Q63">
        <f t="shared" si="0"/>
        <v>645.98868972245862</v>
      </c>
      <c r="R63" s="298">
        <v>2295</v>
      </c>
      <c r="S63">
        <f t="shared" si="1"/>
        <v>657.31114816911418</v>
      </c>
      <c r="T63" s="287">
        <v>2295</v>
      </c>
    </row>
    <row r="64" spans="2:25" x14ac:dyDescent="0.25">
      <c r="B64">
        <v>7140</v>
      </c>
      <c r="C64">
        <v>7503</v>
      </c>
      <c r="D64" s="285">
        <v>7400</v>
      </c>
      <c r="E64" s="282"/>
      <c r="G64" s="290" t="s">
        <v>1344</v>
      </c>
      <c r="H64" s="287">
        <v>-135895.63</v>
      </c>
      <c r="I64" s="287">
        <v>-31.96</v>
      </c>
      <c r="J64" s="287">
        <v>-135927.59</v>
      </c>
      <c r="L64" s="287" t="s">
        <v>312</v>
      </c>
      <c r="M64" s="287">
        <v>1336479.3530609075</v>
      </c>
      <c r="O64" s="284">
        <v>7040</v>
      </c>
      <c r="P64" s="284" t="s">
        <v>107</v>
      </c>
      <c r="Q64">
        <f t="shared" si="0"/>
        <v>0</v>
      </c>
      <c r="R64" s="298">
        <v>0</v>
      </c>
      <c r="S64">
        <f t="shared" si="1"/>
        <v>0</v>
      </c>
      <c r="T64" s="287">
        <v>0</v>
      </c>
    </row>
    <row r="65" spans="2:20" x14ac:dyDescent="0.25">
      <c r="B65">
        <v>7140</v>
      </c>
      <c r="C65">
        <v>3788</v>
      </c>
      <c r="D65" s="285">
        <v>8320</v>
      </c>
      <c r="E65" s="282">
        <v>325076.95659722219</v>
      </c>
      <c r="G65" s="290" t="s">
        <v>1345</v>
      </c>
      <c r="H65" s="287">
        <v>-1750767</v>
      </c>
      <c r="J65" s="287">
        <v>-1750767</v>
      </c>
      <c r="L65" s="287" t="s">
        <v>308</v>
      </c>
      <c r="M65" s="287">
        <v>1513.7185174812605</v>
      </c>
      <c r="O65" s="284">
        <v>7050</v>
      </c>
      <c r="P65" s="284" t="s">
        <v>1306</v>
      </c>
      <c r="Q65">
        <f t="shared" si="0"/>
        <v>1403.4420945342829</v>
      </c>
      <c r="R65" s="298">
        <v>4986</v>
      </c>
      <c r="S65">
        <f t="shared" si="1"/>
        <v>1428.0406905321145</v>
      </c>
      <c r="T65" s="287">
        <v>4986</v>
      </c>
    </row>
    <row r="66" spans="2:20" x14ac:dyDescent="0.25">
      <c r="B66">
        <v>7140</v>
      </c>
      <c r="C66">
        <v>4</v>
      </c>
      <c r="D66" s="285">
        <v>8370</v>
      </c>
      <c r="E66" s="282"/>
      <c r="G66" s="290" t="s">
        <v>1346</v>
      </c>
      <c r="H66" s="287">
        <v>-9725132.5600000042</v>
      </c>
      <c r="I66" s="287">
        <v>-718051.99</v>
      </c>
      <c r="J66" s="287">
        <v>-10443184.550000004</v>
      </c>
      <c r="L66" s="287" t="s">
        <v>309</v>
      </c>
      <c r="M66" s="287">
        <v>51409.022798771897</v>
      </c>
      <c r="O66" s="284">
        <v>7060</v>
      </c>
      <c r="P66" s="284" t="s">
        <v>1307</v>
      </c>
      <c r="Q66">
        <f t="shared" si="0"/>
        <v>0</v>
      </c>
      <c r="R66" s="298">
        <v>0</v>
      </c>
      <c r="S66">
        <f t="shared" si="1"/>
        <v>0</v>
      </c>
      <c r="T66" s="287">
        <v>0</v>
      </c>
    </row>
    <row r="67" spans="2:20" x14ac:dyDescent="0.25">
      <c r="B67">
        <v>7160</v>
      </c>
      <c r="C67">
        <v>1019</v>
      </c>
      <c r="D67" s="285">
        <v>8420</v>
      </c>
      <c r="E67" s="282"/>
      <c r="G67" s="292" t="s">
        <v>473</v>
      </c>
      <c r="H67" s="287">
        <v>55761165.08000005</v>
      </c>
      <c r="I67" s="287">
        <v>26727692.439999998</v>
      </c>
      <c r="J67" s="287">
        <v>82488857.520000041</v>
      </c>
      <c r="L67" s="287" t="s">
        <v>1363</v>
      </c>
      <c r="M67" s="287">
        <v>3950608.0700000012</v>
      </c>
      <c r="O67" s="284">
        <v>7070</v>
      </c>
      <c r="P67" s="284" t="s">
        <v>1308</v>
      </c>
      <c r="Q67">
        <f t="shared" si="0"/>
        <v>2464.6087003093021</v>
      </c>
      <c r="R67" s="298">
        <v>8756</v>
      </c>
      <c r="S67">
        <f t="shared" si="1"/>
        <v>2507.8067160648206</v>
      </c>
      <c r="T67" s="287">
        <v>8756</v>
      </c>
    </row>
    <row r="68" spans="2:20" x14ac:dyDescent="0.25">
      <c r="B68">
        <v>7180</v>
      </c>
      <c r="C68">
        <v>45551</v>
      </c>
      <c r="D68" s="285">
        <v>8430</v>
      </c>
      <c r="E68" s="282">
        <v>471</v>
      </c>
      <c r="G68" s="292" t="s">
        <v>1347</v>
      </c>
      <c r="H68" s="287">
        <v>5342686.41</v>
      </c>
      <c r="I68" s="287">
        <v>133165.41</v>
      </c>
      <c r="J68" s="287">
        <v>5475851.8200000003</v>
      </c>
      <c r="O68" s="284">
        <v>7120</v>
      </c>
      <c r="P68" s="284" t="s">
        <v>1309</v>
      </c>
      <c r="Q68">
        <f t="shared" si="0"/>
        <v>0</v>
      </c>
      <c r="R68" s="298">
        <v>0</v>
      </c>
      <c r="S68">
        <f t="shared" si="1"/>
        <v>0</v>
      </c>
      <c r="T68" s="287">
        <v>0</v>
      </c>
    </row>
    <row r="69" spans="2:20" x14ac:dyDescent="0.25">
      <c r="B69">
        <v>7170</v>
      </c>
      <c r="C69">
        <v>101167</v>
      </c>
      <c r="D69" s="285">
        <v>8460</v>
      </c>
      <c r="E69" s="282">
        <v>318</v>
      </c>
      <c r="G69" s="292" t="s">
        <v>1348</v>
      </c>
      <c r="H69" s="287">
        <v>16407182.410000004</v>
      </c>
      <c r="I69" s="287">
        <v>5464965.8900000006</v>
      </c>
      <c r="J69" s="287">
        <v>21872148.300000004</v>
      </c>
      <c r="O69" s="284">
        <v>7130</v>
      </c>
      <c r="P69" s="284" t="s">
        <v>1310</v>
      </c>
      <c r="Q69">
        <f t="shared" si="0"/>
        <v>222.92943017873085</v>
      </c>
      <c r="R69" s="298">
        <v>792</v>
      </c>
      <c r="S69">
        <f t="shared" si="1"/>
        <v>226.83678838777271</v>
      </c>
      <c r="T69" s="287">
        <v>792</v>
      </c>
    </row>
    <row r="70" spans="2:20" x14ac:dyDescent="0.25">
      <c r="B70">
        <v>7170</v>
      </c>
      <c r="D70" s="285">
        <v>8650</v>
      </c>
      <c r="E70" s="282"/>
      <c r="G70" s="292" t="s">
        <v>1349</v>
      </c>
      <c r="H70" s="287">
        <v>9287563.2200000025</v>
      </c>
      <c r="J70" s="287">
        <v>9287563.2200000025</v>
      </c>
      <c r="O70" s="284">
        <v>7140</v>
      </c>
      <c r="P70" s="284" t="s">
        <v>1311</v>
      </c>
      <c r="Q70">
        <f t="shared" si="0"/>
        <v>1866.7525011936148</v>
      </c>
      <c r="R70" s="298">
        <v>6632</v>
      </c>
      <c r="S70">
        <f t="shared" si="1"/>
        <v>4105.6885878014164</v>
      </c>
      <c r="T70" s="287">
        <v>14335</v>
      </c>
    </row>
    <row r="71" spans="2:20" x14ac:dyDescent="0.25">
      <c r="B71">
        <v>7170</v>
      </c>
      <c r="C71">
        <v>8412</v>
      </c>
      <c r="D71" s="285">
        <v>8720</v>
      </c>
      <c r="E71" s="282">
        <v>29913</v>
      </c>
      <c r="G71" s="292" t="s">
        <v>1350</v>
      </c>
      <c r="H71" s="287">
        <v>48212298.380000047</v>
      </c>
      <c r="I71" s="287">
        <v>3089872.6999999988</v>
      </c>
      <c r="J71" s="287">
        <v>51302171.080000043</v>
      </c>
      <c r="O71" s="284">
        <v>7160</v>
      </c>
      <c r="P71" s="284" t="s">
        <v>1312</v>
      </c>
      <c r="Q71">
        <f t="shared" si="0"/>
        <v>1061.4480823282754</v>
      </c>
      <c r="R71" s="298">
        <v>3771</v>
      </c>
      <c r="S71">
        <f t="shared" si="1"/>
        <v>1080.0524356190542</v>
      </c>
      <c r="T71" s="287">
        <v>3771</v>
      </c>
    </row>
    <row r="72" spans="2:20" x14ac:dyDescent="0.25">
      <c r="B72">
        <v>7190</v>
      </c>
      <c r="C72">
        <v>27907</v>
      </c>
      <c r="D72" s="285" t="s">
        <v>1286</v>
      </c>
      <c r="E72" s="282">
        <v>2873829.4065972222</v>
      </c>
      <c r="G72" s="292" t="s">
        <v>1351</v>
      </c>
      <c r="I72" s="287">
        <v>28664.15</v>
      </c>
      <c r="J72" s="287">
        <v>28664.15</v>
      </c>
      <c r="O72" s="284">
        <v>7170</v>
      </c>
      <c r="P72" s="284" t="s">
        <v>115</v>
      </c>
      <c r="Q72">
        <f t="shared" si="0"/>
        <v>497.93202270981675</v>
      </c>
      <c r="R72" s="298">
        <v>1769</v>
      </c>
      <c r="S72">
        <f t="shared" si="1"/>
        <v>506.94585283631022</v>
      </c>
      <c r="T72" s="287">
        <v>1770</v>
      </c>
    </row>
    <row r="73" spans="2:20" x14ac:dyDescent="0.25">
      <c r="B73">
        <v>7200</v>
      </c>
      <c r="C73">
        <v>10351</v>
      </c>
      <c r="G73" s="292" t="s">
        <v>1352</v>
      </c>
      <c r="H73" s="287">
        <v>24310875.079999968</v>
      </c>
      <c r="I73" s="287">
        <v>1925603.3300000003</v>
      </c>
      <c r="J73" s="287">
        <v>26236478.40999997</v>
      </c>
      <c r="O73" s="284">
        <v>7180</v>
      </c>
      <c r="P73" s="284" t="s">
        <v>1313</v>
      </c>
      <c r="Q73">
        <f t="shared" si="0"/>
        <v>203.78902455732464</v>
      </c>
      <c r="R73" s="298">
        <v>724</v>
      </c>
      <c r="S73">
        <f t="shared" si="1"/>
        <v>207.36090251609525</v>
      </c>
      <c r="T73" s="287">
        <v>724</v>
      </c>
    </row>
    <row r="74" spans="2:20" x14ac:dyDescent="0.25">
      <c r="B74">
        <v>7230</v>
      </c>
      <c r="C74">
        <v>48162</v>
      </c>
      <c r="G74" s="292" t="s">
        <v>1353</v>
      </c>
      <c r="H74" s="287">
        <v>1672286.6200000006</v>
      </c>
      <c r="I74" s="287">
        <v>302267.23000000004</v>
      </c>
      <c r="J74" s="287">
        <v>1974553.8500000006</v>
      </c>
      <c r="O74" s="284">
        <v>7190</v>
      </c>
      <c r="P74" s="284" t="s">
        <v>1366</v>
      </c>
      <c r="Q74">
        <f t="shared" si="0"/>
        <v>0</v>
      </c>
      <c r="R74" s="298">
        <v>0</v>
      </c>
      <c r="S74">
        <f t="shared" si="1"/>
        <v>0</v>
      </c>
      <c r="T74" s="287">
        <v>0</v>
      </c>
    </row>
    <row r="75" spans="2:20" x14ac:dyDescent="0.25">
      <c r="B75">
        <v>7260</v>
      </c>
      <c r="C75">
        <v>5430</v>
      </c>
      <c r="G75" s="292" t="s">
        <v>1354</v>
      </c>
      <c r="H75" s="287">
        <v>1993276.4199999992</v>
      </c>
      <c r="I75" s="287">
        <v>645460.25</v>
      </c>
      <c r="J75" s="287">
        <v>2638736.669999999</v>
      </c>
      <c r="O75" s="284">
        <v>7200</v>
      </c>
      <c r="P75" s="284" t="s">
        <v>709</v>
      </c>
      <c r="Q75">
        <f t="shared" si="0"/>
        <v>0</v>
      </c>
      <c r="R75" s="298">
        <v>0</v>
      </c>
      <c r="S75">
        <f t="shared" si="1"/>
        <v>0</v>
      </c>
      <c r="T75" s="287">
        <v>0</v>
      </c>
    </row>
    <row r="76" spans="2:20" x14ac:dyDescent="0.25">
      <c r="B76">
        <v>7260</v>
      </c>
      <c r="C76">
        <v>8734</v>
      </c>
      <c r="G76" s="292" t="s">
        <v>1355</v>
      </c>
      <c r="H76" s="287">
        <v>14244375.920000006</v>
      </c>
      <c r="I76" s="287">
        <v>1935689.36</v>
      </c>
      <c r="J76" s="287">
        <v>16180065.280000005</v>
      </c>
      <c r="O76" s="284">
        <v>7230</v>
      </c>
      <c r="P76" s="284" t="s">
        <v>118</v>
      </c>
      <c r="Q76">
        <f t="shared" si="0"/>
        <v>7610.5630469350053</v>
      </c>
      <c r="R76" s="298">
        <v>27038</v>
      </c>
      <c r="S76">
        <f t="shared" si="1"/>
        <v>7743.9559146825741</v>
      </c>
      <c r="T76" s="287">
        <v>27038</v>
      </c>
    </row>
    <row r="77" spans="2:20" x14ac:dyDescent="0.25">
      <c r="B77">
        <v>7260</v>
      </c>
      <c r="C77">
        <v>1058</v>
      </c>
      <c r="G77" s="292" t="s">
        <v>1356</v>
      </c>
      <c r="H77" s="287">
        <v>5005670.5200000005</v>
      </c>
      <c r="I77" s="287">
        <v>22018.09</v>
      </c>
      <c r="J77" s="287">
        <v>5027688.6100000003</v>
      </c>
      <c r="O77" s="284"/>
      <c r="P77" s="284"/>
      <c r="Q77">
        <f t="shared" si="0"/>
        <v>0</v>
      </c>
      <c r="R77" s="298"/>
      <c r="S77">
        <f t="shared" si="1"/>
        <v>0</v>
      </c>
      <c r="T77" s="287">
        <v>0</v>
      </c>
    </row>
    <row r="78" spans="2:20" x14ac:dyDescent="0.25">
      <c r="B78">
        <v>7310</v>
      </c>
      <c r="C78">
        <v>12154</v>
      </c>
      <c r="G78" s="292" t="s">
        <v>1329</v>
      </c>
      <c r="H78" s="287">
        <v>9748958.3799999971</v>
      </c>
      <c r="I78" s="287">
        <v>790394.7</v>
      </c>
      <c r="J78" s="287">
        <v>10539353.079999996</v>
      </c>
      <c r="O78" s="284">
        <v>7260</v>
      </c>
      <c r="P78" s="284" t="s">
        <v>121</v>
      </c>
      <c r="Q78">
        <f t="shared" si="0"/>
        <v>4411.300542627614</v>
      </c>
      <c r="R78" s="298">
        <v>15672</v>
      </c>
      <c r="S78">
        <f t="shared" si="1"/>
        <v>4488.6188732489572</v>
      </c>
      <c r="T78" s="287">
        <v>15672</v>
      </c>
    </row>
    <row r="79" spans="2:20" x14ac:dyDescent="0.25">
      <c r="B79">
        <v>7320</v>
      </c>
      <c r="C79">
        <v>5046</v>
      </c>
      <c r="G79" s="292" t="s">
        <v>1357</v>
      </c>
      <c r="H79" s="287">
        <v>2198940</v>
      </c>
      <c r="I79" s="287">
        <v>519376.64000000001</v>
      </c>
      <c r="J79" s="287">
        <v>2718316.64</v>
      </c>
      <c r="O79" s="284">
        <v>7310</v>
      </c>
      <c r="P79" s="284" t="s">
        <v>1367</v>
      </c>
      <c r="Q79">
        <f t="shared" si="0"/>
        <v>21.392218047453969</v>
      </c>
      <c r="R79" s="298">
        <v>76</v>
      </c>
      <c r="S79">
        <f t="shared" si="1"/>
        <v>21.767166562463036</v>
      </c>
      <c r="T79" s="287">
        <v>76</v>
      </c>
    </row>
    <row r="80" spans="2:20" x14ac:dyDescent="0.25">
      <c r="B80">
        <v>7400</v>
      </c>
      <c r="G80" t="s">
        <v>1358</v>
      </c>
      <c r="H80" s="287">
        <v>1361217.14</v>
      </c>
      <c r="I80" s="287">
        <v>173244.25999999998</v>
      </c>
      <c r="J80" s="287">
        <v>1534461.4</v>
      </c>
      <c r="O80" s="284">
        <v>7320</v>
      </c>
      <c r="P80" s="284" t="s">
        <v>123</v>
      </c>
      <c r="Q80">
        <f t="shared" si="0"/>
        <v>21.673694600709943</v>
      </c>
      <c r="R80" s="298">
        <v>77</v>
      </c>
      <c r="S80">
        <f t="shared" si="1"/>
        <v>22.053576648811237</v>
      </c>
      <c r="T80" s="287">
        <v>77</v>
      </c>
    </row>
    <row r="81" spans="2:20" x14ac:dyDescent="0.25">
      <c r="B81">
        <v>8320</v>
      </c>
      <c r="C81">
        <v>325076.95659722219</v>
      </c>
      <c r="G81" t="s">
        <v>1359</v>
      </c>
      <c r="H81" s="287">
        <v>1675675.6500000004</v>
      </c>
      <c r="I81" s="287">
        <v>3389934</v>
      </c>
      <c r="J81" s="287">
        <v>5065609.6500000004</v>
      </c>
      <c r="O81" s="284">
        <v>7400</v>
      </c>
      <c r="P81" s="284" t="s">
        <v>733</v>
      </c>
      <c r="Q81">
        <f t="shared" si="0"/>
        <v>1876.041227451062</v>
      </c>
      <c r="R81" s="298">
        <v>6665</v>
      </c>
      <c r="S81">
        <f t="shared" si="1"/>
        <v>0</v>
      </c>
      <c r="T81" s="287">
        <v>0</v>
      </c>
    </row>
    <row r="82" spans="2:20" x14ac:dyDescent="0.25">
      <c r="B82">
        <v>8370</v>
      </c>
      <c r="G82" t="s">
        <v>1360</v>
      </c>
      <c r="H82" s="287">
        <v>-1074193.02</v>
      </c>
      <c r="I82" s="287">
        <v>267662.22000000003</v>
      </c>
      <c r="J82" s="287">
        <v>-806530.8</v>
      </c>
      <c r="O82" s="284">
        <v>7490</v>
      </c>
      <c r="P82" s="284" t="s">
        <v>1315</v>
      </c>
      <c r="Q82">
        <f t="shared" si="0"/>
        <v>0</v>
      </c>
      <c r="R82" s="298"/>
      <c r="S82">
        <f t="shared" si="1"/>
        <v>121.7242866979841</v>
      </c>
      <c r="T82" s="287">
        <v>425</v>
      </c>
    </row>
    <row r="83" spans="2:20" x14ac:dyDescent="0.25">
      <c r="B83">
        <v>8420</v>
      </c>
      <c r="G83" t="s">
        <v>1361</v>
      </c>
      <c r="H83" s="287">
        <v>21182.510000000002</v>
      </c>
      <c r="I83" s="287">
        <v>100334.14</v>
      </c>
      <c r="J83" s="287">
        <v>121516.65</v>
      </c>
      <c r="O83" s="284">
        <v>8200</v>
      </c>
      <c r="P83" s="284" t="s">
        <v>133</v>
      </c>
      <c r="Q83">
        <f t="shared" si="0"/>
        <v>0</v>
      </c>
      <c r="R83" s="298"/>
      <c r="S83">
        <f t="shared" si="1"/>
        <v>0</v>
      </c>
      <c r="T83" s="287">
        <v>0</v>
      </c>
    </row>
    <row r="84" spans="2:20" x14ac:dyDescent="0.25">
      <c r="B84">
        <v>8430</v>
      </c>
      <c r="C84">
        <v>471</v>
      </c>
      <c r="G84" t="s">
        <v>1337</v>
      </c>
      <c r="H84" s="287">
        <v>295941.61000006367</v>
      </c>
      <c r="I84" s="287">
        <v>15374894.100000001</v>
      </c>
      <c r="J84" s="287">
        <v>15670835.710000094</v>
      </c>
      <c r="O84" s="284">
        <v>8320</v>
      </c>
      <c r="P84" s="284" t="s">
        <v>135</v>
      </c>
      <c r="Q84">
        <f t="shared" si="0"/>
        <v>444.73295414443783</v>
      </c>
      <c r="R84" s="298">
        <v>1580</v>
      </c>
      <c r="S84" s="286">
        <f t="shared" si="1"/>
        <v>0</v>
      </c>
      <c r="T84" s="287">
        <v>0</v>
      </c>
    </row>
    <row r="85" spans="2:20" x14ac:dyDescent="0.25">
      <c r="B85">
        <v>8430</v>
      </c>
      <c r="G85" s="289"/>
      <c r="H85" s="293"/>
      <c r="I85" s="293"/>
      <c r="J85" s="293"/>
      <c r="O85" s="284">
        <v>8330</v>
      </c>
      <c r="P85" s="284" t="s">
        <v>136</v>
      </c>
      <c r="Q85">
        <f t="shared" si="0"/>
        <v>1167.0017897992652</v>
      </c>
      <c r="R85" s="298">
        <v>4146</v>
      </c>
      <c r="S85" s="286">
        <f t="shared" si="1"/>
        <v>1639.984154429781</v>
      </c>
      <c r="T85" s="287">
        <v>5726</v>
      </c>
    </row>
    <row r="86" spans="2:20" x14ac:dyDescent="0.25">
      <c r="B86">
        <v>8460</v>
      </c>
      <c r="C86">
        <v>318</v>
      </c>
      <c r="O86" s="284">
        <v>8430</v>
      </c>
      <c r="P86" s="284" t="s">
        <v>140</v>
      </c>
      <c r="Q86">
        <f t="shared" si="0"/>
        <v>6570.7886592074401</v>
      </c>
      <c r="R86" s="298">
        <v>23344</v>
      </c>
      <c r="S86" s="286">
        <f t="shared" si="1"/>
        <v>6685.9570557123316</v>
      </c>
      <c r="T86" s="287">
        <v>23344</v>
      </c>
    </row>
    <row r="87" spans="2:20" x14ac:dyDescent="0.25">
      <c r="B87">
        <v>8650</v>
      </c>
      <c r="O87" s="284">
        <v>8460</v>
      </c>
      <c r="P87" s="284" t="s">
        <v>141</v>
      </c>
      <c r="Q87">
        <f t="shared" si="0"/>
        <v>1166.1573601394975</v>
      </c>
      <c r="R87" s="298">
        <v>4143</v>
      </c>
      <c r="S87" s="286">
        <f t="shared" si="1"/>
        <v>1186.5969877405837</v>
      </c>
      <c r="T87" s="287">
        <v>4143</v>
      </c>
    </row>
    <row r="88" spans="2:20" x14ac:dyDescent="0.25">
      <c r="O88" s="284">
        <v>8490</v>
      </c>
      <c r="P88" s="284"/>
      <c r="Q88"/>
      <c r="R88" s="298"/>
      <c r="S88">
        <f t="shared" si="1"/>
        <v>76.185082968620634</v>
      </c>
      <c r="T88" s="287">
        <v>266</v>
      </c>
    </row>
    <row r="89" spans="2:20" x14ac:dyDescent="0.25">
      <c r="O89" s="284">
        <v>8610</v>
      </c>
      <c r="P89" s="284" t="s">
        <v>193</v>
      </c>
      <c r="Q89">
        <f t="shared" ref="Q89:Q95" si="2">R89/$R$96*$P$55</f>
        <v>5870.7564712598351</v>
      </c>
      <c r="R89" s="298">
        <v>20857</v>
      </c>
      <c r="S89" s="286">
        <f t="shared" si="1"/>
        <v>7952.7488676304101</v>
      </c>
      <c r="T89" s="287">
        <v>27767</v>
      </c>
    </row>
    <row r="90" spans="2:20" x14ac:dyDescent="0.25">
      <c r="O90" s="284">
        <v>8650</v>
      </c>
      <c r="P90" s="284" t="s">
        <v>152</v>
      </c>
      <c r="Q90">
        <f t="shared" si="2"/>
        <v>880.45865858468449</v>
      </c>
      <c r="R90" s="298">
        <v>3128</v>
      </c>
      <c r="S90">
        <f t="shared" si="1"/>
        <v>0</v>
      </c>
      <c r="T90" s="287">
        <v>0</v>
      </c>
    </row>
    <row r="91" spans="2:20" x14ac:dyDescent="0.25">
      <c r="B91" s="280" t="s">
        <v>1302</v>
      </c>
      <c r="O91" s="284">
        <v>8660</v>
      </c>
      <c r="P91" s="284" t="s">
        <v>642</v>
      </c>
      <c r="Q91">
        <f t="shared" si="2"/>
        <v>74.872763166088887</v>
      </c>
      <c r="R91" s="298">
        <v>266</v>
      </c>
      <c r="S91">
        <f t="shared" si="1"/>
        <v>0</v>
      </c>
      <c r="T91" s="287">
        <v>0</v>
      </c>
    </row>
    <row r="92" spans="2:20" x14ac:dyDescent="0.25">
      <c r="D92" t="s">
        <v>1294</v>
      </c>
      <c r="O92" s="284">
        <v>8690</v>
      </c>
      <c r="P92" s="284" t="s">
        <v>648</v>
      </c>
      <c r="Q92">
        <f t="shared" si="2"/>
        <v>710.7282969713325</v>
      </c>
      <c r="R92" s="298">
        <v>2525</v>
      </c>
      <c r="S92">
        <f t="shared" si="1"/>
        <v>723.18546802919968</v>
      </c>
      <c r="T92" s="287">
        <v>2525</v>
      </c>
    </row>
    <row r="93" spans="2:20" x14ac:dyDescent="0.25">
      <c r="B93" t="s">
        <v>1296</v>
      </c>
      <c r="D93" t="s">
        <v>1297</v>
      </c>
      <c r="E93" t="s">
        <v>1298</v>
      </c>
      <c r="O93" s="284">
        <v>8720</v>
      </c>
      <c r="P93" s="284" t="s">
        <v>654</v>
      </c>
      <c r="Q93">
        <f t="shared" si="2"/>
        <v>193.65586864010962</v>
      </c>
      <c r="R93" s="298">
        <v>688</v>
      </c>
      <c r="S93">
        <f t="shared" si="1"/>
        <v>197.05013940756012</v>
      </c>
      <c r="T93" s="287">
        <v>688</v>
      </c>
    </row>
    <row r="94" spans="2:20" x14ac:dyDescent="0.25">
      <c r="B94">
        <v>6010</v>
      </c>
      <c r="C94" t="s">
        <v>1303</v>
      </c>
      <c r="D94">
        <v>15.044019230769232</v>
      </c>
      <c r="E94">
        <v>20.800836538461539</v>
      </c>
      <c r="O94" s="284">
        <v>8740</v>
      </c>
      <c r="P94" s="284" t="s">
        <v>201</v>
      </c>
      <c r="Q94">
        <f t="shared" si="2"/>
        <v>0</v>
      </c>
      <c r="R94" s="298"/>
      <c r="S94">
        <f t="shared" si="1"/>
        <v>0</v>
      </c>
      <c r="T94" s="287">
        <v>0</v>
      </c>
    </row>
    <row r="95" spans="2:20" x14ac:dyDescent="0.25">
      <c r="B95">
        <v>6070</v>
      </c>
      <c r="C95" t="s">
        <v>665</v>
      </c>
      <c r="D95">
        <v>81.93311057692307</v>
      </c>
      <c r="E95">
        <v>156.0341875</v>
      </c>
      <c r="O95" s="284">
        <v>8790</v>
      </c>
      <c r="P95" s="284" t="s">
        <v>1318</v>
      </c>
      <c r="Q95">
        <f t="shared" si="2"/>
        <v>2644.4722178398692</v>
      </c>
      <c r="R95" s="298">
        <v>9395</v>
      </c>
      <c r="S95">
        <f t="shared" si="1"/>
        <v>0</v>
      </c>
      <c r="T95" s="287">
        <v>0</v>
      </c>
    </row>
    <row r="96" spans="2:20" x14ac:dyDescent="0.25">
      <c r="B96">
        <v>6120</v>
      </c>
      <c r="C96" t="s">
        <v>1304</v>
      </c>
      <c r="D96">
        <v>-2.2836538461538463E-3</v>
      </c>
      <c r="E96">
        <v>5.9495192307692304E-2</v>
      </c>
      <c r="O96" s="284"/>
      <c r="P96" s="298"/>
      <c r="Q96" s="298">
        <f>SUM(Q56:Q95)</f>
        <v>67797.850000000006</v>
      </c>
      <c r="R96" s="298">
        <f>SUM(R56:R95)</f>
        <v>240865</v>
      </c>
      <c r="S96" s="298">
        <f>SUM(S56:S95)</f>
        <v>67797.850000000006</v>
      </c>
      <c r="T96" s="287">
        <f>SUM(T56:T95)</f>
        <v>236716</v>
      </c>
    </row>
    <row r="97" spans="2:5" x14ac:dyDescent="0.25">
      <c r="B97">
        <v>7010</v>
      </c>
      <c r="C97" t="s">
        <v>682</v>
      </c>
      <c r="D97">
        <v>23.576500000000003</v>
      </c>
      <c r="E97">
        <v>35.709432692307693</v>
      </c>
    </row>
    <row r="98" spans="2:5" x14ac:dyDescent="0.25">
      <c r="B98">
        <v>7020</v>
      </c>
      <c r="C98" t="s">
        <v>1305</v>
      </c>
      <c r="D98">
        <v>15.814682692307692</v>
      </c>
      <c r="E98">
        <v>47.20476923076923</v>
      </c>
    </row>
    <row r="99" spans="2:5" x14ac:dyDescent="0.25">
      <c r="B99">
        <v>7030</v>
      </c>
      <c r="C99" t="s">
        <v>106</v>
      </c>
      <c r="D99">
        <v>10.438110576923078</v>
      </c>
      <c r="E99">
        <v>17.778341346153844</v>
      </c>
    </row>
    <row r="100" spans="2:5" x14ac:dyDescent="0.25">
      <c r="B100">
        <v>7050</v>
      </c>
      <c r="C100" t="s">
        <v>1306</v>
      </c>
      <c r="D100">
        <v>1.5625E-2</v>
      </c>
      <c r="E100">
        <v>16.770817307692308</v>
      </c>
    </row>
    <row r="101" spans="2:5" x14ac:dyDescent="0.25">
      <c r="B101">
        <v>7060</v>
      </c>
      <c r="C101" t="s">
        <v>1307</v>
      </c>
      <c r="D101">
        <v>1.3622019230769231</v>
      </c>
      <c r="E101">
        <v>1.4849855769230769</v>
      </c>
    </row>
    <row r="102" spans="2:5" x14ac:dyDescent="0.25">
      <c r="B102">
        <v>7070</v>
      </c>
      <c r="C102" t="s">
        <v>1308</v>
      </c>
      <c r="D102">
        <v>0</v>
      </c>
      <c r="E102">
        <v>32.592927884615392</v>
      </c>
    </row>
    <row r="103" spans="2:5" x14ac:dyDescent="0.25">
      <c r="B103">
        <v>7120</v>
      </c>
      <c r="C103" t="s">
        <v>1309</v>
      </c>
      <c r="D103">
        <v>0</v>
      </c>
      <c r="E103">
        <v>5.1723701923076923</v>
      </c>
    </row>
    <row r="104" spans="2:5" x14ac:dyDescent="0.25">
      <c r="B104">
        <v>7130</v>
      </c>
      <c r="C104" t="s">
        <v>1310</v>
      </c>
      <c r="D104">
        <v>0</v>
      </c>
      <c r="E104">
        <v>7.8395576923076931</v>
      </c>
    </row>
    <row r="105" spans="2:5" x14ac:dyDescent="0.25">
      <c r="B105">
        <v>7140</v>
      </c>
      <c r="C105" t="s">
        <v>1311</v>
      </c>
      <c r="D105">
        <v>8.9903846153846154E-4</v>
      </c>
      <c r="E105">
        <v>30.160721153846151</v>
      </c>
    </row>
    <row r="106" spans="2:5" x14ac:dyDescent="0.25">
      <c r="B106">
        <v>7160</v>
      </c>
      <c r="C106" t="s">
        <v>1312</v>
      </c>
      <c r="D106">
        <v>0</v>
      </c>
      <c r="E106">
        <v>2.5520336538461539</v>
      </c>
    </row>
    <row r="107" spans="2:5" x14ac:dyDescent="0.25">
      <c r="B107">
        <v>7170</v>
      </c>
      <c r="C107" t="s">
        <v>115</v>
      </c>
      <c r="D107">
        <v>0</v>
      </c>
      <c r="E107">
        <v>29.216110576923079</v>
      </c>
    </row>
    <row r="108" spans="2:5" x14ac:dyDescent="0.25">
      <c r="B108">
        <v>7180</v>
      </c>
      <c r="C108" t="s">
        <v>1313</v>
      </c>
      <c r="D108">
        <v>0</v>
      </c>
      <c r="E108">
        <v>16.14376923076923</v>
      </c>
    </row>
    <row r="109" spans="2:5" x14ac:dyDescent="0.25">
      <c r="B109">
        <v>7230</v>
      </c>
      <c r="C109" t="s">
        <v>118</v>
      </c>
      <c r="D109">
        <v>42.555394230769231</v>
      </c>
      <c r="E109">
        <v>86.723725961538449</v>
      </c>
    </row>
    <row r="110" spans="2:5" x14ac:dyDescent="0.25">
      <c r="B110">
        <v>7260</v>
      </c>
      <c r="C110" t="s">
        <v>121</v>
      </c>
      <c r="D110">
        <v>9.1138076923076916</v>
      </c>
      <c r="E110">
        <v>32.770471153846159</v>
      </c>
    </row>
    <row r="111" spans="2:5" x14ac:dyDescent="0.25">
      <c r="B111">
        <v>7310</v>
      </c>
      <c r="C111" t="s">
        <v>1314</v>
      </c>
      <c r="D111">
        <v>0</v>
      </c>
      <c r="E111">
        <v>3.7631923076923073</v>
      </c>
    </row>
    <row r="112" spans="2:5" x14ac:dyDescent="0.25">
      <c r="B112">
        <v>7320</v>
      </c>
      <c r="C112" t="s">
        <v>123</v>
      </c>
      <c r="D112">
        <v>0</v>
      </c>
      <c r="E112">
        <v>2.2989182692307693</v>
      </c>
    </row>
    <row r="113" spans="2:5" x14ac:dyDescent="0.25">
      <c r="B113">
        <v>7490</v>
      </c>
      <c r="C113" t="s">
        <v>1315</v>
      </c>
      <c r="D113">
        <v>0.77957211538461535</v>
      </c>
      <c r="E113">
        <v>0.89495673076923077</v>
      </c>
    </row>
    <row r="114" spans="2:5" x14ac:dyDescent="0.25">
      <c r="B114">
        <v>8200</v>
      </c>
      <c r="C114" t="s">
        <v>133</v>
      </c>
      <c r="D114">
        <v>4.7770096153846158</v>
      </c>
      <c r="E114">
        <v>5.2477836538461533</v>
      </c>
    </row>
    <row r="115" spans="2:5" x14ac:dyDescent="0.25">
      <c r="B115">
        <v>8320</v>
      </c>
      <c r="C115" t="s">
        <v>135</v>
      </c>
      <c r="D115">
        <v>0</v>
      </c>
      <c r="E115">
        <v>33.702788461538461</v>
      </c>
    </row>
    <row r="116" spans="2:5" x14ac:dyDescent="0.25">
      <c r="B116">
        <v>8430</v>
      </c>
      <c r="C116" t="s">
        <v>140</v>
      </c>
      <c r="D116">
        <v>0</v>
      </c>
      <c r="E116">
        <v>8.7885480769230764</v>
      </c>
    </row>
    <row r="117" spans="2:5" x14ac:dyDescent="0.25">
      <c r="B117">
        <v>8460</v>
      </c>
      <c r="C117" t="s">
        <v>141</v>
      </c>
      <c r="D117">
        <v>0</v>
      </c>
      <c r="E117">
        <v>32.595120192307697</v>
      </c>
    </row>
    <row r="118" spans="2:5" x14ac:dyDescent="0.25">
      <c r="B118">
        <v>8530</v>
      </c>
      <c r="C118" t="s">
        <v>1316</v>
      </c>
      <c r="D118">
        <v>0</v>
      </c>
      <c r="E118">
        <v>1.5625000000000001E-3</v>
      </c>
    </row>
    <row r="119" spans="2:5" x14ac:dyDescent="0.25">
      <c r="B119">
        <v>8560</v>
      </c>
      <c r="C119" t="s">
        <v>147</v>
      </c>
      <c r="D119">
        <v>0</v>
      </c>
      <c r="E119">
        <v>1.8461538461538463</v>
      </c>
    </row>
    <row r="120" spans="2:5" x14ac:dyDescent="0.25">
      <c r="B120">
        <v>8610</v>
      </c>
      <c r="C120" t="s">
        <v>193</v>
      </c>
      <c r="D120">
        <v>11.046600961538461</v>
      </c>
      <c r="E120">
        <v>16.26594230769231</v>
      </c>
    </row>
    <row r="121" spans="2:5" x14ac:dyDescent="0.25">
      <c r="B121">
        <v>8620</v>
      </c>
      <c r="C121" t="s">
        <v>1317</v>
      </c>
      <c r="D121">
        <v>0</v>
      </c>
      <c r="E121">
        <v>5.6130096153846161</v>
      </c>
    </row>
    <row r="122" spans="2:5" x14ac:dyDescent="0.25">
      <c r="B122">
        <v>8650</v>
      </c>
      <c r="C122" t="s">
        <v>152</v>
      </c>
      <c r="D122">
        <v>2.6634615384615385E-2</v>
      </c>
      <c r="E122">
        <v>2.2056923076923072</v>
      </c>
    </row>
    <row r="123" spans="2:5" x14ac:dyDescent="0.25">
      <c r="B123">
        <v>8660</v>
      </c>
      <c r="C123" t="s">
        <v>642</v>
      </c>
      <c r="D123">
        <v>0</v>
      </c>
      <c r="E123">
        <v>0.32836538461538461</v>
      </c>
    </row>
    <row r="124" spans="2:5" x14ac:dyDescent="0.25">
      <c r="B124">
        <v>8700</v>
      </c>
      <c r="C124" t="s">
        <v>650</v>
      </c>
      <c r="D124">
        <v>0</v>
      </c>
      <c r="E124">
        <v>0.8671875</v>
      </c>
    </row>
    <row r="125" spans="2:5" x14ac:dyDescent="0.25">
      <c r="B125">
        <v>8720</v>
      </c>
      <c r="C125" t="s">
        <v>654</v>
      </c>
      <c r="D125">
        <v>6.1968124999999992</v>
      </c>
      <c r="E125">
        <v>15.20589903846154</v>
      </c>
    </row>
    <row r="126" spans="2:5" x14ac:dyDescent="0.25">
      <c r="B126">
        <v>8790</v>
      </c>
      <c r="C126" t="s">
        <v>1318</v>
      </c>
      <c r="D126">
        <v>0</v>
      </c>
      <c r="E126">
        <v>3.6357355769230768</v>
      </c>
    </row>
    <row r="127" spans="2:5" x14ac:dyDescent="0.25">
      <c r="D127">
        <v>222.67869711538461</v>
      </c>
      <c r="E127">
        <v>672.27540865384594</v>
      </c>
    </row>
    <row r="129" spans="1:4" x14ac:dyDescent="0.25">
      <c r="A129" t="s">
        <v>1288</v>
      </c>
      <c r="B129" t="s">
        <v>1296</v>
      </c>
      <c r="C129" t="s">
        <v>1297</v>
      </c>
      <c r="D129" t="s">
        <v>1299</v>
      </c>
    </row>
    <row r="130" spans="1:4" x14ac:dyDescent="0.25">
      <c r="A130">
        <v>931</v>
      </c>
      <c r="B130" t="s">
        <v>1301</v>
      </c>
      <c r="C130">
        <v>47.022817307692307</v>
      </c>
      <c r="D130">
        <v>786.37791826923069</v>
      </c>
    </row>
    <row r="131" spans="1:4" x14ac:dyDescent="0.25">
      <c r="A131">
        <v>932</v>
      </c>
      <c r="B131" t="s">
        <v>1301</v>
      </c>
      <c r="C131">
        <v>15.238197115384615</v>
      </c>
      <c r="D131">
        <v>347.03886057692307</v>
      </c>
    </row>
    <row r="132" spans="1:4" x14ac:dyDescent="0.25">
      <c r="A132">
        <v>933</v>
      </c>
      <c r="B132" t="s">
        <v>1301</v>
      </c>
      <c r="C132">
        <v>11.564418269230769</v>
      </c>
      <c r="D132">
        <v>251.98419230769233</v>
      </c>
    </row>
    <row r="133" spans="1:4" x14ac:dyDescent="0.25">
      <c r="A133">
        <v>934</v>
      </c>
      <c r="B133" t="s">
        <v>1301</v>
      </c>
      <c r="C133">
        <v>11.564418269230769</v>
      </c>
      <c r="D133">
        <v>222.87282211538459</v>
      </c>
    </row>
    <row r="134" spans="1:4" x14ac:dyDescent="0.25">
      <c r="A134">
        <v>935</v>
      </c>
      <c r="B134" t="s">
        <v>1301</v>
      </c>
      <c r="C134">
        <v>8.2818701923076912</v>
      </c>
      <c r="D134">
        <v>124.592375</v>
      </c>
    </row>
    <row r="135" spans="1:4" x14ac:dyDescent="0.25">
      <c r="A135" s="286">
        <v>936</v>
      </c>
      <c r="B135" s="286" t="s">
        <v>1301</v>
      </c>
      <c r="C135" s="286">
        <v>20.51</v>
      </c>
      <c r="D135" s="286">
        <v>271.26982692307689</v>
      </c>
    </row>
    <row r="136" spans="1:4" x14ac:dyDescent="0.25">
      <c r="A136">
        <v>937</v>
      </c>
      <c r="B136" t="s">
        <v>1301</v>
      </c>
      <c r="C136">
        <v>8.2818701923076912</v>
      </c>
      <c r="D136">
        <v>466.13813461538462</v>
      </c>
    </row>
    <row r="137" spans="1:4" x14ac:dyDescent="0.25">
      <c r="A137" t="s">
        <v>1286</v>
      </c>
      <c r="C137">
        <v>110.23546153846154</v>
      </c>
      <c r="D137">
        <v>2470.2741298076921</v>
      </c>
    </row>
  </sheetData>
  <sortState ref="G2:Y53">
    <sortCondition ref="G2:G53"/>
  </sortState>
  <pageMargins left="0.7" right="0.7" top="0.75" bottom="0.75" header="0.3" footer="0.3"/>
  <pageSetup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M44"/>
  <sheetViews>
    <sheetView showGridLines="0" zoomScale="75" workbookViewId="0">
      <selection activeCell="I12" sqref="I12"/>
    </sheetView>
  </sheetViews>
  <sheetFormatPr defaultColWidth="10.75" defaultRowHeight="15" x14ac:dyDescent="0.25"/>
  <cols>
    <col min="1" max="1" width="2.75" customWidth="1"/>
    <col min="2" max="3" width="10.75" customWidth="1"/>
    <col min="4" max="4" width="2.75" customWidth="1"/>
    <col min="5" max="6" width="10.75" customWidth="1"/>
    <col min="7" max="7" width="2.75" customWidth="1"/>
    <col min="8" max="8" width="10.75" customWidth="1"/>
    <col min="9" max="10" width="8.75" customWidth="1"/>
    <col min="11" max="11" width="2.75" customWidth="1"/>
  </cols>
  <sheetData>
    <row r="1" spans="2:13" ht="15.6" thickBot="1" x14ac:dyDescent="0.3">
      <c r="J1" s="166" t="s">
        <v>1008</v>
      </c>
    </row>
    <row r="2" spans="2:13" ht="15.6" thickTop="1" x14ac:dyDescent="0.25">
      <c r="B2" s="141"/>
      <c r="C2" s="142"/>
      <c r="D2" s="142"/>
      <c r="E2" s="142"/>
      <c r="F2" s="142"/>
      <c r="G2" s="142"/>
      <c r="H2" s="142"/>
      <c r="I2" s="142"/>
      <c r="J2" s="143"/>
    </row>
    <row r="3" spans="2:13" x14ac:dyDescent="0.25">
      <c r="B3" s="144"/>
      <c r="C3" s="8"/>
      <c r="D3" s="8"/>
      <c r="E3" s="8"/>
      <c r="F3" s="76" t="s">
        <v>1009</v>
      </c>
      <c r="G3" s="76"/>
      <c r="H3" s="8"/>
      <c r="I3" s="8"/>
      <c r="J3" s="145"/>
    </row>
    <row r="4" spans="2:13" x14ac:dyDescent="0.25">
      <c r="B4" s="144"/>
      <c r="C4" s="8"/>
      <c r="D4" s="8"/>
      <c r="E4" s="8"/>
      <c r="F4" s="76" t="s">
        <v>1010</v>
      </c>
      <c r="G4" s="76"/>
      <c r="H4" s="8"/>
      <c r="I4" s="8"/>
      <c r="J4" s="145"/>
    </row>
    <row r="5" spans="2:13" x14ac:dyDescent="0.25">
      <c r="B5" s="144"/>
      <c r="C5" s="8"/>
      <c r="D5" s="8"/>
      <c r="E5" s="8"/>
      <c r="F5" s="8"/>
      <c r="G5" s="8"/>
      <c r="H5" s="8"/>
      <c r="I5" s="8"/>
      <c r="J5" s="145"/>
    </row>
    <row r="6" spans="2:13" ht="15.6" thickBot="1" x14ac:dyDescent="0.3">
      <c r="B6" s="146"/>
      <c r="C6" s="147"/>
      <c r="D6" s="147"/>
      <c r="E6" s="147"/>
      <c r="F6" s="147"/>
      <c r="G6" s="147"/>
      <c r="H6" s="147"/>
      <c r="I6" s="147"/>
      <c r="J6" s="279" t="s">
        <v>1264</v>
      </c>
    </row>
    <row r="7" spans="2:13" ht="15.6" thickTop="1" x14ac:dyDescent="0.25">
      <c r="B7" s="144"/>
      <c r="C7" s="8"/>
      <c r="D7" s="8"/>
      <c r="E7" s="8"/>
      <c r="F7" s="8"/>
      <c r="G7" s="8"/>
      <c r="H7" s="8"/>
      <c r="I7" s="8"/>
      <c r="J7" s="145"/>
    </row>
    <row r="8" spans="2:13" ht="15.6" thickBot="1" x14ac:dyDescent="0.3">
      <c r="B8" s="144"/>
      <c r="C8" s="8"/>
      <c r="D8" s="8"/>
      <c r="E8" s="8"/>
      <c r="F8" s="76" t="s">
        <v>1011</v>
      </c>
      <c r="G8" s="76"/>
      <c r="H8" s="8"/>
      <c r="I8" s="8"/>
      <c r="J8" s="145"/>
    </row>
    <row r="9" spans="2:13" ht="15.6" thickTop="1" x14ac:dyDescent="0.25">
      <c r="B9" s="141"/>
      <c r="C9" s="142"/>
      <c r="D9" s="142"/>
      <c r="E9" s="142"/>
      <c r="F9" s="149" t="s">
        <v>1012</v>
      </c>
      <c r="G9" s="149"/>
      <c r="H9" s="142"/>
      <c r="I9" s="142"/>
      <c r="J9" s="143"/>
    </row>
    <row r="10" spans="2:13" x14ac:dyDescent="0.25">
      <c r="B10" s="144"/>
      <c r="C10" s="8"/>
      <c r="D10" s="8"/>
      <c r="E10" s="8"/>
      <c r="F10" s="76" t="s">
        <v>1261</v>
      </c>
      <c r="G10" s="76"/>
      <c r="H10" s="8"/>
      <c r="I10" s="8"/>
      <c r="J10" s="145"/>
    </row>
    <row r="11" spans="2:13" x14ac:dyDescent="0.25">
      <c r="B11" s="144"/>
      <c r="C11" s="8"/>
      <c r="D11" s="8"/>
      <c r="E11" s="8"/>
      <c r="F11" s="76"/>
      <c r="G11" s="76"/>
      <c r="H11" s="8"/>
      <c r="I11" s="8"/>
      <c r="J11" s="145"/>
    </row>
    <row r="12" spans="2:13" x14ac:dyDescent="0.25">
      <c r="B12" s="144"/>
      <c r="C12" s="8"/>
      <c r="D12" s="8"/>
      <c r="E12" s="8"/>
      <c r="F12" s="76" t="s">
        <v>1262</v>
      </c>
      <c r="G12" s="76"/>
      <c r="H12" s="8"/>
      <c r="I12" s="8"/>
      <c r="J12" s="145"/>
    </row>
    <row r="13" spans="2:13" x14ac:dyDescent="0.25">
      <c r="B13" s="144"/>
      <c r="C13" s="8"/>
      <c r="D13" s="8"/>
      <c r="E13" s="8"/>
      <c r="F13" s="76" t="s">
        <v>1263</v>
      </c>
      <c r="G13" s="76"/>
      <c r="H13" s="8"/>
      <c r="I13" s="8"/>
      <c r="J13" s="145"/>
    </row>
    <row r="14" spans="2:13" ht="15.6" thickBot="1" x14ac:dyDescent="0.3">
      <c r="B14" s="146"/>
      <c r="C14" s="147"/>
      <c r="D14" s="147"/>
      <c r="E14" s="147"/>
      <c r="F14" s="147"/>
      <c r="G14" s="147"/>
      <c r="H14" s="147"/>
      <c r="I14" s="147"/>
      <c r="J14" s="148"/>
    </row>
    <row r="15" spans="2:13" ht="15.6" thickTop="1" x14ac:dyDescent="0.25">
      <c r="B15" s="144"/>
      <c r="C15" s="8"/>
      <c r="D15" s="8"/>
      <c r="E15" s="8"/>
      <c r="F15" s="8"/>
      <c r="G15" s="8"/>
      <c r="H15" s="8"/>
      <c r="I15" s="8"/>
      <c r="J15" s="145"/>
      <c r="M15" s="253"/>
    </row>
    <row r="16" spans="2:13" ht="15.6" thickBot="1" x14ac:dyDescent="0.3">
      <c r="B16" s="144"/>
      <c r="C16" s="8"/>
      <c r="D16" s="8"/>
      <c r="E16" s="8"/>
      <c r="F16" s="8" t="s">
        <v>1013</v>
      </c>
      <c r="G16" s="8"/>
      <c r="H16" s="8"/>
      <c r="I16" s="8"/>
      <c r="J16" s="145"/>
    </row>
    <row r="17" spans="2:10" ht="15.6" thickTop="1" x14ac:dyDescent="0.25">
      <c r="B17" s="141"/>
      <c r="C17" s="150" t="s">
        <v>1014</v>
      </c>
      <c r="D17" s="150"/>
      <c r="E17" s="142" t="str">
        <f>+data!C84</f>
        <v>Highline Medical Center</v>
      </c>
      <c r="F17" s="149"/>
      <c r="G17" s="149"/>
      <c r="H17" s="142"/>
      <c r="I17" s="142"/>
      <c r="J17" s="143"/>
    </row>
    <row r="18" spans="2:10" x14ac:dyDescent="0.25">
      <c r="B18" s="144"/>
      <c r="C18" s="151" t="s">
        <v>1015</v>
      </c>
      <c r="D18" s="151"/>
      <c r="E18" s="8" t="str">
        <f>+"H-"&amp;data!C83</f>
        <v>H-126</v>
      </c>
      <c r="F18" s="76"/>
      <c r="G18" s="76"/>
      <c r="H18" s="8"/>
      <c r="I18" s="8"/>
      <c r="J18" s="145"/>
    </row>
    <row r="19" spans="2:10" x14ac:dyDescent="0.25">
      <c r="B19" s="144"/>
      <c r="C19" s="151" t="s">
        <v>1016</v>
      </c>
      <c r="D19" s="151"/>
      <c r="E19" s="8" t="str">
        <f>+data!C85</f>
        <v>16251 Sylvester Rd SW</v>
      </c>
      <c r="F19" s="76"/>
      <c r="G19" s="76"/>
      <c r="H19" s="8"/>
      <c r="I19" s="8"/>
      <c r="J19" s="145"/>
    </row>
    <row r="20" spans="2:10" x14ac:dyDescent="0.25">
      <c r="B20" s="144"/>
      <c r="C20" s="151" t="s">
        <v>1017</v>
      </c>
      <c r="D20" s="151"/>
      <c r="E20" s="8">
        <f>+data!C86</f>
        <v>0</v>
      </c>
      <c r="F20" s="76"/>
      <c r="G20" s="76"/>
      <c r="H20" s="8"/>
      <c r="I20" s="8"/>
      <c r="J20" s="145"/>
    </row>
    <row r="21" spans="2:10" x14ac:dyDescent="0.25">
      <c r="B21" s="144"/>
      <c r="C21" s="151" t="s">
        <v>1018</v>
      </c>
      <c r="D21" s="151"/>
      <c r="E21" s="8" t="str">
        <f>+data!C87</f>
        <v>Burien, WA 98166</v>
      </c>
      <c r="F21" s="76"/>
      <c r="G21" s="76"/>
      <c r="H21" s="8"/>
      <c r="I21" s="8"/>
      <c r="J21" s="145"/>
    </row>
    <row r="22" spans="2:10" ht="15.6" thickBot="1" x14ac:dyDescent="0.3">
      <c r="B22" s="146"/>
      <c r="C22" s="147"/>
      <c r="D22" s="147"/>
      <c r="E22" s="147"/>
      <c r="F22" s="147"/>
      <c r="G22" s="147"/>
      <c r="H22" s="147"/>
      <c r="I22" s="147"/>
      <c r="J22" s="148"/>
    </row>
    <row r="23" spans="2:10" ht="15.6" thickTop="1" x14ac:dyDescent="0.25">
      <c r="B23" s="144"/>
      <c r="C23" s="8"/>
      <c r="D23" s="8"/>
      <c r="E23" s="8"/>
      <c r="F23" s="8"/>
      <c r="G23" s="8"/>
      <c r="H23" s="8"/>
      <c r="I23" s="8"/>
      <c r="J23" s="145"/>
    </row>
    <row r="24" spans="2:10" x14ac:dyDescent="0.25">
      <c r="B24" s="144"/>
      <c r="C24" s="8"/>
      <c r="D24" s="8"/>
      <c r="E24" s="8"/>
      <c r="F24" s="8"/>
      <c r="G24" s="8"/>
      <c r="H24" s="8"/>
      <c r="I24" s="8"/>
      <c r="J24" s="145"/>
    </row>
    <row r="25" spans="2:10" x14ac:dyDescent="0.25">
      <c r="B25" s="144"/>
      <c r="C25" s="8"/>
      <c r="D25" s="8"/>
      <c r="E25" s="8"/>
      <c r="F25" s="8"/>
      <c r="G25" s="8"/>
      <c r="H25" s="8"/>
      <c r="I25" s="8"/>
      <c r="J25" s="145"/>
    </row>
    <row r="26" spans="2:10" x14ac:dyDescent="0.25">
      <c r="B26" s="152"/>
      <c r="C26" s="70"/>
      <c r="D26" s="70"/>
      <c r="E26" s="70"/>
      <c r="F26" s="153" t="s">
        <v>1019</v>
      </c>
      <c r="G26" s="70"/>
      <c r="H26" s="70"/>
      <c r="I26" s="70"/>
      <c r="J26" s="154"/>
    </row>
    <row r="27" spans="2:10" x14ac:dyDescent="0.25">
      <c r="B27" s="155" t="s">
        <v>1020</v>
      </c>
      <c r="C27" s="120"/>
      <c r="D27" s="120"/>
      <c r="E27" s="120"/>
      <c r="F27" s="120"/>
      <c r="G27" s="120"/>
      <c r="H27" s="120"/>
      <c r="I27" s="120"/>
      <c r="J27" s="156"/>
    </row>
    <row r="28" spans="2:10" x14ac:dyDescent="0.25">
      <c r="B28" s="144" t="str">
        <f>+"by the Department of Health for the fiscal year ended "&amp;data!C82&amp;"."</f>
        <v>by the Department of Health for the fiscal year ended 06/30/2019.</v>
      </c>
      <c r="C28" s="8"/>
      <c r="D28" s="8"/>
      <c r="E28" s="8"/>
      <c r="F28" s="8"/>
      <c r="G28" s="8"/>
      <c r="H28" s="8"/>
      <c r="I28" s="8"/>
      <c r="J28" s="145"/>
    </row>
    <row r="29" spans="2:10" x14ac:dyDescent="0.25">
      <c r="B29" s="144" t="s">
        <v>1021</v>
      </c>
      <c r="C29" s="8"/>
      <c r="D29" s="8"/>
      <c r="E29" s="8"/>
      <c r="F29" s="8"/>
      <c r="G29" s="8"/>
      <c r="H29" s="8"/>
      <c r="I29" s="8"/>
      <c r="J29" s="145"/>
    </row>
    <row r="30" spans="2:10" x14ac:dyDescent="0.25">
      <c r="B30" s="157" t="s">
        <v>1022</v>
      </c>
      <c r="C30" s="119"/>
      <c r="D30" s="119"/>
      <c r="E30" s="119"/>
      <c r="F30" s="119"/>
      <c r="G30" s="119"/>
      <c r="H30" s="119"/>
      <c r="I30" s="119"/>
      <c r="J30" s="158"/>
    </row>
    <row r="31" spans="2:10" x14ac:dyDescent="0.25">
      <c r="B31" s="155"/>
      <c r="C31" s="120"/>
      <c r="D31" s="120"/>
      <c r="E31" s="120"/>
      <c r="F31" s="120"/>
      <c r="G31" s="120"/>
      <c r="H31" s="120"/>
      <c r="I31" s="120"/>
      <c r="J31" s="156"/>
    </row>
    <row r="32" spans="2:10" x14ac:dyDescent="0.25">
      <c r="B32" s="144"/>
      <c r="C32" s="8"/>
      <c r="D32" s="8"/>
      <c r="E32" s="8"/>
      <c r="F32" s="8"/>
      <c r="G32" s="8"/>
      <c r="H32" s="8"/>
      <c r="I32" s="8"/>
      <c r="J32" s="145"/>
    </row>
    <row r="33" spans="2:10" x14ac:dyDescent="0.25">
      <c r="B33" s="159" t="s">
        <v>221</v>
      </c>
      <c r="C33" s="119"/>
      <c r="D33" s="119"/>
      <c r="E33" s="119"/>
      <c r="F33" s="119"/>
      <c r="G33" s="119"/>
      <c r="H33" s="119"/>
      <c r="I33" s="119"/>
      <c r="J33" s="158"/>
    </row>
    <row r="34" spans="2:10" x14ac:dyDescent="0.25">
      <c r="B34" s="152" t="s">
        <v>1023</v>
      </c>
      <c r="C34" s="70"/>
      <c r="D34" s="70"/>
      <c r="E34" s="70"/>
      <c r="F34" s="153"/>
      <c r="G34" s="70"/>
      <c r="H34" s="70"/>
      <c r="I34" s="70"/>
      <c r="J34" s="154"/>
    </row>
    <row r="35" spans="2:10" x14ac:dyDescent="0.25">
      <c r="B35" s="152" t="s">
        <v>1024</v>
      </c>
      <c r="C35" s="70"/>
      <c r="D35" s="70"/>
      <c r="E35" s="70"/>
      <c r="F35" s="153"/>
      <c r="G35" s="70"/>
      <c r="H35" s="70"/>
      <c r="I35" s="70"/>
      <c r="J35" s="154"/>
    </row>
    <row r="36" spans="2:10" x14ac:dyDescent="0.25">
      <c r="B36" s="152" t="s">
        <v>1025</v>
      </c>
      <c r="C36" s="70"/>
      <c r="D36" s="70"/>
      <c r="E36" s="70"/>
      <c r="F36" s="153"/>
      <c r="G36" s="70"/>
      <c r="H36" s="70"/>
      <c r="I36" s="70"/>
      <c r="J36" s="154"/>
    </row>
    <row r="37" spans="2:10" x14ac:dyDescent="0.25">
      <c r="B37" s="155"/>
      <c r="C37" s="120"/>
      <c r="D37" s="120"/>
      <c r="E37" s="120"/>
      <c r="F37" s="120"/>
      <c r="G37" s="120"/>
      <c r="H37" s="120"/>
      <c r="I37" s="120"/>
      <c r="J37" s="156"/>
    </row>
    <row r="38" spans="2:10" x14ac:dyDescent="0.25">
      <c r="B38" s="144"/>
      <c r="C38" s="8"/>
      <c r="D38" s="8"/>
      <c r="E38" s="8"/>
      <c r="F38" s="8"/>
      <c r="G38" s="8"/>
      <c r="H38" s="8"/>
      <c r="I38" s="8"/>
      <c r="J38" s="145"/>
    </row>
    <row r="39" spans="2:10" x14ac:dyDescent="0.25">
      <c r="B39" s="159" t="s">
        <v>221</v>
      </c>
      <c r="C39" s="119"/>
      <c r="D39" s="119"/>
      <c r="E39" s="119"/>
      <c r="F39" s="119"/>
      <c r="G39" s="119"/>
      <c r="H39" s="119"/>
      <c r="I39" s="119"/>
      <c r="J39" s="158"/>
    </row>
    <row r="40" spans="2:10" x14ac:dyDescent="0.25">
      <c r="B40" s="152" t="s">
        <v>1026</v>
      </c>
      <c r="C40" s="70"/>
      <c r="D40" s="70"/>
      <c r="E40" s="70"/>
      <c r="F40" s="153"/>
      <c r="G40" s="70"/>
      <c r="H40" s="70"/>
      <c r="I40" s="70"/>
      <c r="J40" s="154"/>
    </row>
    <row r="41" spans="2:10" x14ac:dyDescent="0.25">
      <c r="B41" s="152" t="s">
        <v>1024</v>
      </c>
      <c r="C41" s="70"/>
      <c r="D41" s="70"/>
      <c r="E41" s="70"/>
      <c r="F41" s="153"/>
      <c r="G41" s="70"/>
      <c r="H41" s="70"/>
      <c r="I41" s="70"/>
      <c r="J41" s="154"/>
    </row>
    <row r="42" spans="2:10" ht="15.6" thickBot="1" x14ac:dyDescent="0.3">
      <c r="B42" s="160" t="s">
        <v>1025</v>
      </c>
      <c r="C42" s="161"/>
      <c r="D42" s="161"/>
      <c r="E42" s="161"/>
      <c r="F42" s="162"/>
      <c r="G42" s="161"/>
      <c r="H42" s="161"/>
      <c r="I42" s="161"/>
      <c r="J42" s="163"/>
    </row>
    <row r="43" spans="2:10" ht="15.6" thickTop="1" x14ac:dyDescent="0.25"/>
    <row r="44" spans="2:10" x14ac:dyDescent="0.25">
      <c r="B44" s="164"/>
      <c r="C44" s="164"/>
      <c r="D44" s="164"/>
      <c r="E44" s="164"/>
      <c r="F44" s="164"/>
      <c r="G44" s="164"/>
      <c r="H44" s="164"/>
      <c r="I44" s="164"/>
      <c r="J44" s="164"/>
    </row>
  </sheetData>
  <sheetProtection sheet="1" objects="1" scenarios="1"/>
  <phoneticPr fontId="0" type="noConversion"/>
  <pageMargins left="0.75" right="0.75" top="1" bottom="1" header="0.5" footer="0.5"/>
  <pageSetup scale="8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M40"/>
  <sheetViews>
    <sheetView showGridLines="0" zoomScale="75" workbookViewId="0">
      <selection activeCell="D9" sqref="D9"/>
    </sheetView>
  </sheetViews>
  <sheetFormatPr defaultColWidth="8.9140625" defaultRowHeight="18" customHeight="1" x14ac:dyDescent="0.25"/>
  <cols>
    <col min="1" max="1" width="4.75" style="2" customWidth="1"/>
    <col min="2" max="2" width="15.4140625" style="2" customWidth="1"/>
    <col min="3" max="3" width="4.75" style="2" customWidth="1"/>
    <col min="4" max="4" width="15.75" style="2" customWidth="1"/>
    <col min="5" max="5" width="4.75" style="2" customWidth="1"/>
    <col min="6" max="7" width="13.75" style="2" customWidth="1"/>
    <col min="8" max="16384" width="8.9140625" style="2"/>
  </cols>
  <sheetData>
    <row r="1" spans="1:13" ht="20.100000000000001" customHeight="1" x14ac:dyDescent="0.25">
      <c r="A1" s="7"/>
      <c r="B1" s="7"/>
      <c r="C1" s="7"/>
      <c r="D1" s="7"/>
      <c r="E1" s="7"/>
      <c r="F1" s="7"/>
      <c r="G1" s="169" t="s">
        <v>1027</v>
      </c>
      <c r="H1" s="7"/>
    </row>
    <row r="2" spans="1:13" ht="20.100000000000001" customHeight="1" x14ac:dyDescent="0.25">
      <c r="A2" s="6" t="s">
        <v>1028</v>
      </c>
      <c r="B2" s="6"/>
      <c r="C2" s="6"/>
      <c r="D2" s="6"/>
      <c r="E2" s="6"/>
      <c r="F2" s="6"/>
      <c r="G2" s="11"/>
      <c r="H2" s="7"/>
    </row>
    <row r="3" spans="1:13" ht="20.100000000000001" customHeight="1" x14ac:dyDescent="0.25">
      <c r="A3" s="7"/>
      <c r="B3" s="5"/>
      <c r="C3" s="5"/>
      <c r="D3" s="5"/>
      <c r="E3" s="5"/>
      <c r="F3" s="5"/>
      <c r="G3" s="5"/>
      <c r="H3" s="7"/>
    </row>
    <row r="4" spans="1:13" ht="20.100000000000001" customHeight="1" x14ac:dyDescent="0.25">
      <c r="A4" s="13">
        <v>1</v>
      </c>
      <c r="B4" s="127" t="str">
        <f>"Fiscal Year Ended:  "&amp;data!C82</f>
        <v>Fiscal Year Ended:  06/30/2019</v>
      </c>
      <c r="C4" s="38"/>
      <c r="D4" s="120"/>
      <c r="E4" s="70"/>
      <c r="F4" s="127" t="str">
        <f>"License Number:  "&amp;"H-"&amp;FIXED(data!C83,0)</f>
        <v>License Number:  H-126</v>
      </c>
      <c r="G4" s="24"/>
      <c r="H4" s="7"/>
    </row>
    <row r="5" spans="1:13" ht="20.100000000000001" customHeight="1" x14ac:dyDescent="0.25">
      <c r="A5" s="13">
        <v>2</v>
      </c>
      <c r="B5" s="49" t="s">
        <v>257</v>
      </c>
      <c r="C5" s="24"/>
      <c r="D5" s="127" t="str">
        <f>"  "&amp;data!C84</f>
        <v xml:space="preserve">  Highline Medical Center</v>
      </c>
      <c r="E5" s="70"/>
      <c r="F5" s="70"/>
      <c r="G5" s="24"/>
      <c r="H5" s="7"/>
    </row>
    <row r="6" spans="1:13" ht="20.100000000000001" customHeight="1" x14ac:dyDescent="0.25">
      <c r="A6" s="13">
        <v>3</v>
      </c>
      <c r="B6" s="49" t="s">
        <v>259</v>
      </c>
      <c r="C6" s="24"/>
      <c r="D6" s="127" t="str">
        <f>"  "&amp;data!C88</f>
        <v xml:space="preserve">  King</v>
      </c>
      <c r="E6" s="70"/>
      <c r="F6" s="70"/>
      <c r="G6" s="24"/>
      <c r="H6" s="7"/>
    </row>
    <row r="7" spans="1:13" ht="20.100000000000001" customHeight="1" x14ac:dyDescent="0.25">
      <c r="A7" s="13">
        <v>4</v>
      </c>
      <c r="B7" s="49" t="s">
        <v>1029</v>
      </c>
      <c r="C7" s="24"/>
      <c r="D7" s="127" t="str">
        <f>"  "&amp;data!C89</f>
        <v xml:space="preserve">  Ketul Patel</v>
      </c>
      <c r="E7" s="70"/>
      <c r="F7" s="70"/>
      <c r="G7" s="24"/>
      <c r="H7" s="7"/>
    </row>
    <row r="8" spans="1:13" ht="20.100000000000001" customHeight="1" x14ac:dyDescent="0.25">
      <c r="A8" s="13">
        <v>5</v>
      </c>
      <c r="B8" s="49" t="s">
        <v>1030</v>
      </c>
      <c r="C8" s="24"/>
      <c r="D8" s="127" t="str">
        <f>"  "&amp;data!C90</f>
        <v xml:space="preserve">  Michael Fitzgerald</v>
      </c>
      <c r="E8" s="70"/>
      <c r="F8" s="70"/>
      <c r="G8" s="24"/>
      <c r="H8" s="7"/>
    </row>
    <row r="9" spans="1:13" ht="20.100000000000001" customHeight="1" x14ac:dyDescent="0.25">
      <c r="A9" s="13">
        <v>6</v>
      </c>
      <c r="B9" s="49" t="s">
        <v>1031</v>
      </c>
      <c r="C9" s="24"/>
      <c r="D9" s="127" t="str">
        <f>"  "&amp;data!C91</f>
        <v xml:space="preserve">  Roy Brooks</v>
      </c>
      <c r="E9" s="70"/>
      <c r="F9" s="70"/>
      <c r="G9" s="24"/>
      <c r="H9" s="7"/>
    </row>
    <row r="10" spans="1:13" ht="20.100000000000001" customHeight="1" x14ac:dyDescent="0.25">
      <c r="A10" s="13">
        <v>7</v>
      </c>
      <c r="B10" s="49" t="s">
        <v>1032</v>
      </c>
      <c r="C10" s="24"/>
      <c r="D10" s="127" t="str">
        <f>"  "&amp;data!C92</f>
        <v xml:space="preserve">  206-244-9970</v>
      </c>
      <c r="E10" s="70"/>
      <c r="F10" s="70"/>
      <c r="G10" s="24"/>
      <c r="H10" s="7"/>
    </row>
    <row r="11" spans="1:13" ht="20.100000000000001" customHeight="1" x14ac:dyDescent="0.25">
      <c r="A11" s="13">
        <v>8</v>
      </c>
      <c r="B11" s="49" t="s">
        <v>1033</v>
      </c>
      <c r="C11" s="24"/>
      <c r="D11" s="127" t="str">
        <f>"  "&amp;data!C93</f>
        <v xml:space="preserve">  206-246-5385</v>
      </c>
      <c r="E11" s="70"/>
      <c r="F11" s="70"/>
      <c r="G11" s="24"/>
      <c r="H11" s="7"/>
    </row>
    <row r="12" spans="1:13" ht="20.100000000000001" customHeight="1" x14ac:dyDescent="0.25">
      <c r="A12" s="73"/>
      <c r="B12" s="30"/>
      <c r="C12" s="30"/>
      <c r="D12" s="30"/>
      <c r="E12" s="30"/>
      <c r="F12" s="30"/>
      <c r="G12" s="20"/>
      <c r="H12" s="7"/>
    </row>
    <row r="13" spans="1:13" ht="20.100000000000001" customHeight="1" x14ac:dyDescent="0.25">
      <c r="A13" s="74"/>
      <c r="B13" s="8"/>
      <c r="C13" s="8"/>
      <c r="D13" s="8"/>
      <c r="E13" s="8"/>
      <c r="F13" s="8"/>
      <c r="G13" s="126"/>
      <c r="H13" s="7"/>
    </row>
    <row r="14" spans="1:13" ht="20.100000000000001" customHeight="1" x14ac:dyDescent="0.25">
      <c r="A14" s="13">
        <v>9</v>
      </c>
      <c r="B14" s="49" t="s">
        <v>1034</v>
      </c>
      <c r="C14" s="38"/>
      <c r="D14" s="38"/>
      <c r="E14" s="38"/>
      <c r="F14" s="38"/>
      <c r="G14" s="20"/>
      <c r="H14" s="7"/>
    </row>
    <row r="15" spans="1:13" ht="20.100000000000001" customHeight="1" x14ac:dyDescent="0.25">
      <c r="A15" s="128" t="s">
        <v>266</v>
      </c>
      <c r="B15" s="35"/>
      <c r="C15" s="71" t="s">
        <v>269</v>
      </c>
      <c r="D15" s="35"/>
      <c r="E15" s="71" t="s">
        <v>271</v>
      </c>
      <c r="F15" s="100"/>
      <c r="G15" s="101"/>
      <c r="H15" s="7"/>
      <c r="M15" s="180"/>
    </row>
    <row r="16" spans="1:13" ht="20.100000000000001" customHeight="1" x14ac:dyDescent="0.25">
      <c r="A16" s="111" t="str">
        <f>IF(data!C97&gt;0," X","")</f>
        <v/>
      </c>
      <c r="B16" s="14" t="s">
        <v>267</v>
      </c>
      <c r="C16" s="15" t="str">
        <f>IF(data!C101&gt;0," X","")</f>
        <v xml:space="preserve"> X</v>
      </c>
      <c r="D16" s="22" t="s">
        <v>1035</v>
      </c>
      <c r="E16" s="15" t="str">
        <f>IF(data!C104&gt;0," X","")</f>
        <v/>
      </c>
      <c r="F16" s="129" t="s">
        <v>272</v>
      </c>
      <c r="G16" s="24"/>
      <c r="H16" s="7"/>
    </row>
    <row r="17" spans="1:9" ht="20.100000000000001" customHeight="1" x14ac:dyDescent="0.25">
      <c r="A17" s="111" t="str">
        <f>IF(data!C98&gt;0," X","")</f>
        <v/>
      </c>
      <c r="B17" s="14" t="s">
        <v>259</v>
      </c>
      <c r="C17" s="15" t="str">
        <f>IF(data!C102&gt;0," X","")</f>
        <v/>
      </c>
      <c r="D17" s="22" t="s">
        <v>349</v>
      </c>
      <c r="E17" s="15" t="str">
        <f>IF(data!C105&gt;0," X","")</f>
        <v/>
      </c>
      <c r="F17" s="129" t="s">
        <v>273</v>
      </c>
      <c r="G17" s="24"/>
      <c r="H17" s="7"/>
    </row>
    <row r="18" spans="1:9" ht="20.100000000000001" customHeight="1" x14ac:dyDescent="0.25">
      <c r="A18" s="130"/>
      <c r="B18" s="14" t="s">
        <v>1036</v>
      </c>
      <c r="C18" s="24"/>
      <c r="D18" s="24"/>
      <c r="E18" s="15" t="str">
        <f>IF(data!C106&gt;0," X","")</f>
        <v/>
      </c>
      <c r="F18" s="129" t="s">
        <v>274</v>
      </c>
      <c r="G18" s="24"/>
      <c r="H18" s="7"/>
    </row>
    <row r="19" spans="1:9" ht="20.100000000000001" customHeight="1" x14ac:dyDescent="0.25">
      <c r="A19" s="111" t="str">
        <f>IF(data!C99&gt;0," X","")</f>
        <v/>
      </c>
      <c r="B19" s="22" t="s">
        <v>1037</v>
      </c>
      <c r="C19" s="24"/>
      <c r="D19" s="24"/>
      <c r="E19" s="24"/>
      <c r="F19" s="50"/>
      <c r="G19" s="24"/>
      <c r="H19" s="7"/>
      <c r="I19" s="1"/>
    </row>
    <row r="20" spans="1:9" ht="20.100000000000001" customHeight="1" x14ac:dyDescent="0.25">
      <c r="A20" s="73"/>
      <c r="B20" s="30"/>
      <c r="C20" s="30"/>
      <c r="D20" s="30"/>
      <c r="E20" s="30"/>
      <c r="F20" s="30"/>
      <c r="G20" s="20"/>
      <c r="H20" s="7"/>
    </row>
    <row r="21" spans="1:9" ht="20.100000000000001" customHeight="1" x14ac:dyDescent="0.25">
      <c r="A21" s="74"/>
      <c r="B21" s="8"/>
      <c r="C21" s="8"/>
      <c r="D21" s="8"/>
      <c r="E21" s="8"/>
      <c r="F21" s="8"/>
      <c r="G21" s="28"/>
      <c r="H21" s="7"/>
    </row>
    <row r="22" spans="1:9" ht="20.100000000000001" customHeight="1" x14ac:dyDescent="0.25">
      <c r="A22" s="13">
        <v>10</v>
      </c>
      <c r="B22" s="49" t="s">
        <v>1038</v>
      </c>
      <c r="C22" s="38"/>
      <c r="D22" s="38"/>
      <c r="E22" s="38"/>
      <c r="F22" s="111" t="s">
        <v>277</v>
      </c>
      <c r="G22" s="15" t="s">
        <v>215</v>
      </c>
      <c r="H22" s="7"/>
    </row>
    <row r="23" spans="1:9" ht="20.100000000000001" customHeight="1" x14ac:dyDescent="0.25">
      <c r="A23" s="130"/>
      <c r="B23" s="49" t="s">
        <v>1039</v>
      </c>
      <c r="C23" s="38"/>
      <c r="D23" s="38"/>
      <c r="E23" s="38"/>
      <c r="F23" s="13">
        <f>data!C111</f>
        <v>5899</v>
      </c>
      <c r="G23" s="21">
        <f>data!D111</f>
        <v>27923</v>
      </c>
      <c r="H23" s="7"/>
    </row>
    <row r="24" spans="1:9" ht="20.100000000000001" customHeight="1" x14ac:dyDescent="0.25">
      <c r="A24" s="130"/>
      <c r="B24" s="49" t="s">
        <v>1040</v>
      </c>
      <c r="C24" s="38"/>
      <c r="D24" s="38"/>
      <c r="E24" s="38"/>
      <c r="F24" s="13">
        <f>data!C112</f>
        <v>0</v>
      </c>
      <c r="G24" s="21">
        <f>data!D112</f>
        <v>0</v>
      </c>
      <c r="H24" s="7"/>
    </row>
    <row r="25" spans="1:9" ht="20.100000000000001" customHeight="1" x14ac:dyDescent="0.25">
      <c r="A25" s="130"/>
      <c r="B25" s="49" t="s">
        <v>1041</v>
      </c>
      <c r="C25" s="38"/>
      <c r="D25" s="38"/>
      <c r="E25" s="38"/>
      <c r="F25" s="13">
        <f>data!C113</f>
        <v>0</v>
      </c>
      <c r="G25" s="21">
        <f>data!D113</f>
        <v>0</v>
      </c>
      <c r="H25" s="7"/>
    </row>
    <row r="26" spans="1:9" ht="20.100000000000001" customHeight="1" x14ac:dyDescent="0.25">
      <c r="A26" s="13">
        <v>11</v>
      </c>
      <c r="B26" s="49" t="s">
        <v>281</v>
      </c>
      <c r="C26" s="38"/>
      <c r="D26" s="38"/>
      <c r="E26" s="38"/>
      <c r="F26" s="13">
        <f>data!C114</f>
        <v>845</v>
      </c>
      <c r="G26" s="13">
        <f>data!D114</f>
        <v>1468</v>
      </c>
      <c r="H26" s="7"/>
    </row>
    <row r="27" spans="1:9" ht="20.100000000000001" customHeight="1" x14ac:dyDescent="0.25">
      <c r="A27" s="73"/>
      <c r="B27" s="30"/>
      <c r="C27" s="30"/>
      <c r="D27" s="30"/>
      <c r="E27" s="30"/>
      <c r="F27" s="30"/>
      <c r="G27" s="20"/>
      <c r="H27" s="7"/>
    </row>
    <row r="28" spans="1:9" ht="20.100000000000001" customHeight="1" x14ac:dyDescent="0.25">
      <c r="A28" s="74"/>
      <c r="B28" s="8"/>
      <c r="C28" s="8"/>
      <c r="D28" s="8"/>
      <c r="E28" s="8"/>
      <c r="F28" s="8"/>
      <c r="G28" s="28"/>
      <c r="H28" s="7"/>
    </row>
    <row r="29" spans="1:9" ht="20.100000000000001" customHeight="1" x14ac:dyDescent="0.25">
      <c r="A29" s="13">
        <v>12</v>
      </c>
      <c r="B29" s="97" t="s">
        <v>1042</v>
      </c>
      <c r="C29" s="24"/>
      <c r="D29" s="15" t="s">
        <v>167</v>
      </c>
      <c r="E29" s="97" t="s">
        <v>1042</v>
      </c>
      <c r="F29" s="24"/>
      <c r="G29" s="15" t="s">
        <v>167</v>
      </c>
      <c r="H29" s="7"/>
    </row>
    <row r="30" spans="1:9" ht="20.100000000000001" customHeight="1" x14ac:dyDescent="0.25">
      <c r="A30" s="130"/>
      <c r="B30" s="49" t="s">
        <v>283</v>
      </c>
      <c r="C30" s="24"/>
      <c r="D30" s="21">
        <f>data!C116</f>
        <v>10</v>
      </c>
      <c r="E30" s="49" t="s">
        <v>288</v>
      </c>
      <c r="F30" s="24"/>
      <c r="G30" s="21">
        <f>data!C123</f>
        <v>0</v>
      </c>
      <c r="H30" s="7"/>
    </row>
    <row r="31" spans="1:9" ht="20.100000000000001" customHeight="1" x14ac:dyDescent="0.25">
      <c r="A31" s="130"/>
      <c r="B31" s="97" t="s">
        <v>1043</v>
      </c>
      <c r="C31" s="24"/>
      <c r="D31" s="21">
        <f>data!C117</f>
        <v>21</v>
      </c>
      <c r="E31" s="49" t="s">
        <v>289</v>
      </c>
      <c r="F31" s="24"/>
      <c r="G31" s="21">
        <f>data!C124</f>
        <v>0</v>
      </c>
      <c r="H31" s="7"/>
    </row>
    <row r="32" spans="1:9" ht="20.100000000000001" customHeight="1" x14ac:dyDescent="0.25">
      <c r="A32" s="130"/>
      <c r="B32" s="97" t="s">
        <v>1044</v>
      </c>
      <c r="C32" s="24"/>
      <c r="D32" s="21">
        <f>data!C118</f>
        <v>65</v>
      </c>
      <c r="E32" s="49" t="s">
        <v>1045</v>
      </c>
      <c r="F32" s="24"/>
      <c r="G32" s="21">
        <f>data!C125</f>
        <v>0</v>
      </c>
      <c r="H32" s="7"/>
    </row>
    <row r="33" spans="1:8" ht="20.100000000000001" customHeight="1" x14ac:dyDescent="0.25">
      <c r="A33" s="130"/>
      <c r="B33" s="97" t="s">
        <v>1046</v>
      </c>
      <c r="C33" s="24"/>
      <c r="D33" s="21">
        <f>data!C119</f>
        <v>0</v>
      </c>
      <c r="E33" s="49" t="s">
        <v>1047</v>
      </c>
      <c r="F33" s="24"/>
      <c r="G33" s="21">
        <f>data!C126</f>
        <v>5</v>
      </c>
      <c r="H33" s="7"/>
    </row>
    <row r="34" spans="1:8" ht="20.100000000000001" customHeight="1" x14ac:dyDescent="0.25">
      <c r="A34" s="130"/>
      <c r="B34" s="97" t="s">
        <v>1048</v>
      </c>
      <c r="C34" s="24"/>
      <c r="D34" s="21">
        <f>data!C120</f>
        <v>14</v>
      </c>
      <c r="E34" s="49" t="s">
        <v>291</v>
      </c>
      <c r="F34" s="24"/>
      <c r="G34" s="21">
        <f>data!E127</f>
        <v>115</v>
      </c>
      <c r="H34" s="7"/>
    </row>
    <row r="35" spans="1:8" ht="20.100000000000001" customHeight="1" x14ac:dyDescent="0.25">
      <c r="A35" s="130"/>
      <c r="B35" s="97" t="s">
        <v>1049</v>
      </c>
      <c r="C35" s="24"/>
      <c r="D35" s="21">
        <f>data!C121</f>
        <v>0</v>
      </c>
      <c r="E35" s="49" t="s">
        <v>1050</v>
      </c>
      <c r="F35" s="27"/>
      <c r="G35" s="21"/>
      <c r="H35" s="7"/>
    </row>
    <row r="36" spans="1:8" ht="20.100000000000001" customHeight="1" x14ac:dyDescent="0.25">
      <c r="A36" s="130"/>
      <c r="B36" s="49" t="s">
        <v>97</v>
      </c>
      <c r="C36" s="24"/>
      <c r="D36" s="21">
        <f>data!C122</f>
        <v>0</v>
      </c>
      <c r="E36" s="49" t="s">
        <v>292</v>
      </c>
      <c r="F36" s="24"/>
      <c r="G36" s="21">
        <f>data!C128</f>
        <v>133</v>
      </c>
      <c r="H36" s="7"/>
    </row>
    <row r="37" spans="1:8" ht="20.100000000000001" customHeight="1" x14ac:dyDescent="0.25">
      <c r="A37" s="130"/>
      <c r="E37" s="49" t="s">
        <v>293</v>
      </c>
      <c r="F37" s="24"/>
      <c r="G37" s="21">
        <f>data!C129</f>
        <v>16</v>
      </c>
      <c r="H37" s="7"/>
    </row>
    <row r="38" spans="1:8" ht="20.100000000000001" customHeight="1" x14ac:dyDescent="0.25">
      <c r="A38" s="130"/>
      <c r="B38" s="38"/>
      <c r="C38" s="38"/>
      <c r="D38" s="38"/>
      <c r="E38" s="38"/>
      <c r="F38" s="38"/>
      <c r="G38" s="24"/>
      <c r="H38" s="7"/>
    </row>
    <row r="39" spans="1:8" ht="20.100000000000001" customHeight="1" x14ac:dyDescent="0.25">
      <c r="A39" s="131">
        <v>13</v>
      </c>
      <c r="B39" s="94" t="s">
        <v>288</v>
      </c>
      <c r="C39" s="28"/>
      <c r="D39" s="28"/>
      <c r="E39" s="132"/>
      <c r="F39" s="132"/>
      <c r="G39" s="133"/>
      <c r="H39" s="7"/>
    </row>
    <row r="40" spans="1:8" ht="20.100000000000001" customHeight="1" x14ac:dyDescent="0.25">
      <c r="A40" s="134"/>
      <c r="B40" s="135" t="s">
        <v>1051</v>
      </c>
      <c r="C40" s="136" t="s">
        <v>256</v>
      </c>
      <c r="D40" s="137">
        <f>data!C131</f>
        <v>0</v>
      </c>
      <c r="E40" s="138"/>
      <c r="F40" s="138"/>
      <c r="G40" s="139"/>
      <c r="H40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34"/>
  <sheetViews>
    <sheetView showGridLines="0" zoomScale="75" workbookViewId="0">
      <selection activeCell="F69" sqref="F69"/>
    </sheetView>
  </sheetViews>
  <sheetFormatPr defaultColWidth="8.9140625" defaultRowHeight="20.100000000000001" customHeight="1" x14ac:dyDescent="0.25"/>
  <cols>
    <col min="1" max="1" width="10.33203125" style="2" customWidth="1"/>
    <col min="2" max="2" width="10.75" style="2" customWidth="1"/>
    <col min="3" max="3" width="12.75" style="2" customWidth="1"/>
    <col min="4" max="4" width="11.75" style="2" customWidth="1"/>
    <col min="5" max="6" width="13.75" style="2" customWidth="1"/>
    <col min="7" max="7" width="14.75" style="2" customWidth="1"/>
    <col min="8" max="16384" width="8.9140625" style="2"/>
  </cols>
  <sheetData>
    <row r="1" spans="1:13" ht="20.100000000000001" customHeight="1" x14ac:dyDescent="0.25">
      <c r="A1" s="29" t="s">
        <v>1052</v>
      </c>
      <c r="B1" s="8"/>
      <c r="C1" s="8"/>
      <c r="D1" s="8"/>
      <c r="E1" s="8"/>
      <c r="F1" s="8"/>
      <c r="G1" s="165" t="s">
        <v>1053</v>
      </c>
    </row>
    <row r="2" spans="1:13" ht="20.100000000000001" customHeight="1" x14ac:dyDescent="0.25">
      <c r="A2" s="105" t="str">
        <f>"Hospital Name: "&amp;data!C84</f>
        <v>Hospital Name: Highline Medical Center</v>
      </c>
      <c r="B2" s="8"/>
      <c r="C2" s="8"/>
      <c r="D2" s="8"/>
      <c r="E2" s="8"/>
      <c r="F2" s="11"/>
      <c r="G2" s="76" t="s">
        <v>1054</v>
      </c>
    </row>
    <row r="3" spans="1:13" ht="20.100000000000001" customHeight="1" x14ac:dyDescent="0.25">
      <c r="A3" s="8"/>
      <c r="B3" s="8"/>
      <c r="C3" s="8"/>
      <c r="D3" s="8"/>
      <c r="E3" s="8"/>
      <c r="F3" s="8"/>
      <c r="G3" s="106" t="str">
        <f>"FYE: "&amp;data!C82</f>
        <v>FYE: 06/30/2019</v>
      </c>
    </row>
    <row r="4" spans="1:13" ht="20.100000000000001" customHeight="1" x14ac:dyDescent="0.25">
      <c r="A4" s="107" t="s">
        <v>1055</v>
      </c>
      <c r="B4" s="108"/>
      <c r="C4" s="108"/>
      <c r="D4" s="108"/>
      <c r="E4" s="108"/>
      <c r="F4" s="108"/>
      <c r="G4" s="95"/>
    </row>
    <row r="5" spans="1:13" ht="20.100000000000001" customHeight="1" x14ac:dyDescent="0.25">
      <c r="A5" s="42"/>
      <c r="B5" s="35" t="s">
        <v>1056</v>
      </c>
      <c r="C5" s="36"/>
      <c r="D5" s="36"/>
      <c r="E5" s="109" t="s">
        <v>302</v>
      </c>
      <c r="F5" s="36"/>
      <c r="G5" s="36"/>
    </row>
    <row r="6" spans="1:13" ht="20.100000000000001" customHeight="1" x14ac:dyDescent="0.25">
      <c r="A6" s="110" t="s">
        <v>489</v>
      </c>
      <c r="B6" s="15" t="s">
        <v>277</v>
      </c>
      <c r="C6" s="15" t="s">
        <v>1057</v>
      </c>
      <c r="D6" s="15" t="s">
        <v>298</v>
      </c>
      <c r="E6" s="15" t="s">
        <v>168</v>
      </c>
      <c r="F6" s="15" t="s">
        <v>131</v>
      </c>
      <c r="G6" s="15" t="s">
        <v>203</v>
      </c>
    </row>
    <row r="7" spans="1:13" ht="20.100000000000001" customHeight="1" x14ac:dyDescent="0.25">
      <c r="A7" s="23" t="s">
        <v>296</v>
      </c>
      <c r="B7" s="48">
        <f>data!B138</f>
        <v>2836</v>
      </c>
      <c r="C7" s="48">
        <f>data!B139</f>
        <v>15610</v>
      </c>
      <c r="D7" s="48">
        <f>data!B140</f>
        <v>0</v>
      </c>
      <c r="E7" s="48">
        <f>data!B141</f>
        <v>217741666</v>
      </c>
      <c r="F7" s="48">
        <f>data!B142</f>
        <v>219782882</v>
      </c>
      <c r="G7" s="48">
        <f>data!B141+data!B142</f>
        <v>437524548</v>
      </c>
    </row>
    <row r="8" spans="1:13" ht="20.100000000000001" customHeight="1" x14ac:dyDescent="0.25">
      <c r="A8" s="23" t="s">
        <v>297</v>
      </c>
      <c r="B8" s="48">
        <f>data!C138</f>
        <v>1606</v>
      </c>
      <c r="C8" s="48">
        <f>data!C139</f>
        <v>6694</v>
      </c>
      <c r="D8" s="48">
        <f>data!C140</f>
        <v>0</v>
      </c>
      <c r="E8" s="48">
        <f>data!C141</f>
        <v>96323454</v>
      </c>
      <c r="F8" s="48">
        <f>data!C142</f>
        <v>149112670</v>
      </c>
      <c r="G8" s="48">
        <f>data!C141+data!C142</f>
        <v>245436124</v>
      </c>
    </row>
    <row r="9" spans="1:13" ht="20.100000000000001" customHeight="1" x14ac:dyDescent="0.25">
      <c r="A9" s="23" t="s">
        <v>1058</v>
      </c>
      <c r="B9" s="48">
        <f>data!D138</f>
        <v>1457</v>
      </c>
      <c r="C9" s="48">
        <f>data!D139</f>
        <v>5619</v>
      </c>
      <c r="D9" s="48">
        <f>data!D140</f>
        <v>0</v>
      </c>
      <c r="E9" s="48">
        <f>data!D141</f>
        <v>89276734</v>
      </c>
      <c r="F9" s="48">
        <f>data!D142</f>
        <v>246722563</v>
      </c>
      <c r="G9" s="48">
        <f>data!D141+data!D142</f>
        <v>335999297</v>
      </c>
    </row>
    <row r="10" spans="1:13" ht="20.100000000000001" customHeight="1" x14ac:dyDescent="0.25">
      <c r="A10" s="111" t="s">
        <v>203</v>
      </c>
      <c r="B10" s="48">
        <f>data!E138</f>
        <v>5899</v>
      </c>
      <c r="C10" s="48">
        <f>data!E139</f>
        <v>27923</v>
      </c>
      <c r="D10" s="48">
        <f>data!E140</f>
        <v>0</v>
      </c>
      <c r="E10" s="48">
        <f>data!E141</f>
        <v>403341854</v>
      </c>
      <c r="F10" s="48">
        <f>data!E142</f>
        <v>615618115</v>
      </c>
      <c r="G10" s="48">
        <f>data!E141+data!E142</f>
        <v>1018959969</v>
      </c>
    </row>
    <row r="11" spans="1:13" ht="20.100000000000001" customHeight="1" x14ac:dyDescent="0.25">
      <c r="A11" s="112"/>
      <c r="B11" s="113"/>
      <c r="C11" s="113"/>
      <c r="D11" s="113"/>
      <c r="E11" s="113"/>
      <c r="F11" s="113"/>
      <c r="G11" s="114"/>
    </row>
    <row r="12" spans="1:13" ht="20.100000000000001" customHeight="1" x14ac:dyDescent="0.25">
      <c r="A12" s="73"/>
      <c r="B12" s="30"/>
      <c r="C12" s="30"/>
      <c r="D12" s="30"/>
      <c r="E12" s="30"/>
      <c r="F12" s="30"/>
      <c r="G12" s="20"/>
    </row>
    <row r="13" spans="1:13" ht="20.100000000000001" customHeight="1" x14ac:dyDescent="0.25">
      <c r="A13" s="115" t="s">
        <v>1059</v>
      </c>
      <c r="B13" s="5"/>
      <c r="C13" s="5"/>
      <c r="D13" s="5"/>
      <c r="E13" s="5"/>
      <c r="F13" s="5"/>
      <c r="G13" s="116"/>
    </row>
    <row r="14" spans="1:13" ht="20.100000000000001" customHeight="1" x14ac:dyDescent="0.25">
      <c r="A14" s="42"/>
      <c r="B14" s="117" t="s">
        <v>1056</v>
      </c>
      <c r="C14" s="34"/>
      <c r="D14" s="34"/>
      <c r="E14" s="117" t="s">
        <v>302</v>
      </c>
      <c r="F14" s="34"/>
      <c r="G14" s="34"/>
    </row>
    <row r="15" spans="1:13" ht="20.100000000000001" customHeight="1" x14ac:dyDescent="0.25">
      <c r="A15" s="110" t="s">
        <v>489</v>
      </c>
      <c r="B15" s="15" t="s">
        <v>277</v>
      </c>
      <c r="C15" s="15" t="s">
        <v>1057</v>
      </c>
      <c r="D15" s="15" t="s">
        <v>298</v>
      </c>
      <c r="E15" s="15" t="s">
        <v>168</v>
      </c>
      <c r="F15" s="15" t="s">
        <v>131</v>
      </c>
      <c r="G15" s="15" t="s">
        <v>203</v>
      </c>
      <c r="M15" s="180"/>
    </row>
    <row r="16" spans="1:13" ht="20.100000000000001" customHeight="1" x14ac:dyDescent="0.25">
      <c r="A16" s="23" t="s">
        <v>296</v>
      </c>
      <c r="B16" s="48">
        <f>data!B144</f>
        <v>0</v>
      </c>
      <c r="C16" s="48">
        <f>data!B145</f>
        <v>0</v>
      </c>
      <c r="D16" s="48">
        <f>data!B146</f>
        <v>0</v>
      </c>
      <c r="E16" s="48">
        <f>data!B147</f>
        <v>0</v>
      </c>
      <c r="F16" s="48">
        <f>data!B148</f>
        <v>0</v>
      </c>
      <c r="G16" s="48">
        <f>data!B147+data!B148</f>
        <v>0</v>
      </c>
    </row>
    <row r="17" spans="1:7" ht="20.100000000000001" customHeight="1" x14ac:dyDescent="0.25">
      <c r="A17" s="23" t="s">
        <v>297</v>
      </c>
      <c r="B17" s="48">
        <f>data!C144</f>
        <v>0</v>
      </c>
      <c r="C17" s="48">
        <f>data!C145</f>
        <v>0</v>
      </c>
      <c r="D17" s="48">
        <f>data!C146</f>
        <v>0</v>
      </c>
      <c r="E17" s="48">
        <f>data!C147</f>
        <v>0</v>
      </c>
      <c r="F17" s="48">
        <f>data!C148</f>
        <v>0</v>
      </c>
      <c r="G17" s="48">
        <f>data!C147+data!C148</f>
        <v>0</v>
      </c>
    </row>
    <row r="18" spans="1:7" ht="20.100000000000001" customHeight="1" x14ac:dyDescent="0.25">
      <c r="A18" s="23" t="s">
        <v>1058</v>
      </c>
      <c r="B18" s="48">
        <f>data!D144</f>
        <v>0</v>
      </c>
      <c r="C18" s="48">
        <f>data!D145</f>
        <v>0</v>
      </c>
      <c r="D18" s="48">
        <f>data!D146</f>
        <v>0</v>
      </c>
      <c r="E18" s="48">
        <f>data!D147</f>
        <v>0</v>
      </c>
      <c r="F18" s="48">
        <f>data!D148</f>
        <v>0</v>
      </c>
      <c r="G18" s="48">
        <f>data!D147+data!D148</f>
        <v>0</v>
      </c>
    </row>
    <row r="19" spans="1:7" ht="20.100000000000001" customHeight="1" x14ac:dyDescent="0.25">
      <c r="A19" s="111" t="s">
        <v>203</v>
      </c>
      <c r="B19" s="48">
        <f>data!E144</f>
        <v>0</v>
      </c>
      <c r="C19" s="48">
        <f>data!E145</f>
        <v>0</v>
      </c>
      <c r="D19" s="48">
        <f>data!E146</f>
        <v>0</v>
      </c>
      <c r="E19" s="48">
        <f>data!E147</f>
        <v>0</v>
      </c>
      <c r="F19" s="48">
        <f>data!E148</f>
        <v>0</v>
      </c>
      <c r="G19" s="48">
        <f>data!E147+data!E148</f>
        <v>0</v>
      </c>
    </row>
    <row r="20" spans="1:7" ht="20.100000000000001" customHeight="1" x14ac:dyDescent="0.25">
      <c r="A20" s="112"/>
      <c r="B20" s="113"/>
      <c r="C20" s="113"/>
      <c r="D20" s="113"/>
      <c r="E20" s="113"/>
      <c r="F20" s="113"/>
      <c r="G20" s="114"/>
    </row>
    <row r="21" spans="1:7" ht="20.100000000000001" customHeight="1" x14ac:dyDescent="0.25">
      <c r="A21" s="73"/>
      <c r="B21" s="30"/>
      <c r="C21" s="30"/>
      <c r="D21" s="30"/>
      <c r="E21" s="30"/>
      <c r="F21" s="30"/>
      <c r="G21" s="20"/>
    </row>
    <row r="22" spans="1:7" ht="20.100000000000001" customHeight="1" x14ac:dyDescent="0.25">
      <c r="A22" s="115" t="s">
        <v>1060</v>
      </c>
      <c r="B22" s="5"/>
      <c r="C22" s="5"/>
      <c r="D22" s="5"/>
      <c r="E22" s="5"/>
      <c r="F22" s="5"/>
      <c r="G22" s="116"/>
    </row>
    <row r="23" spans="1:7" ht="20.100000000000001" customHeight="1" x14ac:dyDescent="0.25">
      <c r="A23" s="42"/>
      <c r="B23" s="35" t="s">
        <v>1056</v>
      </c>
      <c r="C23" s="36"/>
      <c r="D23" s="36"/>
      <c r="E23" s="35" t="s">
        <v>302</v>
      </c>
      <c r="F23" s="36"/>
      <c r="G23" s="36"/>
    </row>
    <row r="24" spans="1:7" ht="20.100000000000001" customHeight="1" x14ac:dyDescent="0.25">
      <c r="A24" s="110" t="s">
        <v>489</v>
      </c>
      <c r="B24" s="15" t="s">
        <v>277</v>
      </c>
      <c r="C24" s="15" t="s">
        <v>1057</v>
      </c>
      <c r="D24" s="15" t="s">
        <v>298</v>
      </c>
      <c r="E24" s="15" t="s">
        <v>168</v>
      </c>
      <c r="F24" s="15" t="s">
        <v>131</v>
      </c>
      <c r="G24" s="15" t="s">
        <v>203</v>
      </c>
    </row>
    <row r="25" spans="1:7" ht="20.100000000000001" customHeight="1" x14ac:dyDescent="0.25">
      <c r="A25" s="23" t="s">
        <v>296</v>
      </c>
      <c r="B25" s="48">
        <f>data!B150</f>
        <v>0</v>
      </c>
      <c r="C25" s="48">
        <f>data!B151</f>
        <v>0</v>
      </c>
      <c r="D25" s="48">
        <f>data!B152</f>
        <v>0</v>
      </c>
      <c r="E25" s="48">
        <f>data!B153</f>
        <v>0</v>
      </c>
      <c r="F25" s="48">
        <f>data!B154</f>
        <v>0</v>
      </c>
      <c r="G25" s="48">
        <f>data!B153+data!B154</f>
        <v>0</v>
      </c>
    </row>
    <row r="26" spans="1:7" ht="20.100000000000001" customHeight="1" x14ac:dyDescent="0.25">
      <c r="A26" s="23" t="s">
        <v>297</v>
      </c>
      <c r="B26" s="48">
        <f>data!C150</f>
        <v>0</v>
      </c>
      <c r="C26" s="48">
        <f>data!C151</f>
        <v>0</v>
      </c>
      <c r="D26" s="48">
        <f>data!C152</f>
        <v>0</v>
      </c>
      <c r="E26" s="48">
        <f>data!C153</f>
        <v>0</v>
      </c>
      <c r="F26" s="48">
        <f>data!C154</f>
        <v>0</v>
      </c>
      <c r="G26" s="48">
        <f>data!C153+data!C154</f>
        <v>0</v>
      </c>
    </row>
    <row r="27" spans="1:7" ht="20.100000000000001" customHeight="1" x14ac:dyDescent="0.25">
      <c r="A27" s="23" t="s">
        <v>1058</v>
      </c>
      <c r="B27" s="48">
        <f>data!D150</f>
        <v>0</v>
      </c>
      <c r="C27" s="48">
        <f>data!D151</f>
        <v>0</v>
      </c>
      <c r="D27" s="48">
        <f>data!D152</f>
        <v>0</v>
      </c>
      <c r="E27" s="48">
        <f>data!D153</f>
        <v>0</v>
      </c>
      <c r="F27" s="48">
        <f>data!D154</f>
        <v>0</v>
      </c>
      <c r="G27" s="48">
        <f>data!D153+data!D154</f>
        <v>0</v>
      </c>
    </row>
    <row r="28" spans="1:7" ht="20.100000000000001" customHeight="1" x14ac:dyDescent="0.25">
      <c r="A28" s="111" t="s">
        <v>203</v>
      </c>
      <c r="B28" s="48">
        <f>data!E150</f>
        <v>0</v>
      </c>
      <c r="C28" s="48">
        <f>data!E151</f>
        <v>0</v>
      </c>
      <c r="D28" s="48">
        <f>data!E152</f>
        <v>0</v>
      </c>
      <c r="E28" s="48">
        <f>data!E153</f>
        <v>0</v>
      </c>
      <c r="F28" s="48">
        <f>data!E154</f>
        <v>0</v>
      </c>
      <c r="G28" s="48">
        <f>data!E153+data!E154</f>
        <v>0</v>
      </c>
    </row>
    <row r="29" spans="1:7" ht="20.100000000000001" customHeight="1" x14ac:dyDescent="0.25">
      <c r="A29" s="112"/>
      <c r="B29" s="113"/>
      <c r="C29" s="113"/>
      <c r="D29" s="113"/>
      <c r="E29" s="113"/>
      <c r="F29" s="113"/>
      <c r="G29" s="114"/>
    </row>
    <row r="30" spans="1:7" ht="20.100000000000001" customHeight="1" x14ac:dyDescent="0.25">
      <c r="A30" s="73"/>
      <c r="B30" s="50"/>
      <c r="C30" s="30"/>
      <c r="D30" s="30"/>
      <c r="E30" s="30"/>
      <c r="F30" s="30"/>
      <c r="G30" s="20"/>
    </row>
    <row r="31" spans="1:7" ht="20.100000000000001" customHeight="1" x14ac:dyDescent="0.25">
      <c r="A31" s="118" t="s">
        <v>1061</v>
      </c>
      <c r="B31" s="119"/>
      <c r="C31" s="70"/>
      <c r="D31" s="120"/>
      <c r="E31" s="120"/>
      <c r="F31" s="120"/>
      <c r="G31" s="121"/>
    </row>
    <row r="32" spans="1:7" ht="20.100000000000001" customHeight="1" x14ac:dyDescent="0.25">
      <c r="A32" s="122"/>
      <c r="B32" s="65" t="s">
        <v>1062</v>
      </c>
      <c r="C32" s="123">
        <f>data!B157</f>
        <v>0</v>
      </c>
      <c r="D32" s="70"/>
      <c r="E32" s="70"/>
      <c r="F32" s="70"/>
      <c r="G32" s="27"/>
    </row>
    <row r="33" spans="1:7" ht="20.100000000000001" customHeight="1" x14ac:dyDescent="0.25">
      <c r="A33" s="122"/>
      <c r="B33" s="124" t="s">
        <v>1063</v>
      </c>
      <c r="C33" s="125">
        <f>data!C157</f>
        <v>0</v>
      </c>
      <c r="D33" s="119"/>
      <c r="E33" s="119"/>
      <c r="F33" s="119"/>
      <c r="G33" s="126"/>
    </row>
    <row r="34" spans="1:7" ht="20.100000000000001" customHeight="1" x14ac:dyDescent="0.25">
      <c r="A34" s="7"/>
      <c r="B34" s="7"/>
      <c r="C34" s="7"/>
      <c r="D34" s="7"/>
      <c r="E34" s="7"/>
      <c r="F34" s="7"/>
      <c r="G34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8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M41"/>
  <sheetViews>
    <sheetView showGridLines="0" zoomScale="75" workbookViewId="0">
      <selection activeCell="C14" sqref="C14"/>
    </sheetView>
  </sheetViews>
  <sheetFormatPr defaultColWidth="8.9140625" defaultRowHeight="13.8" x14ac:dyDescent="0.25"/>
  <cols>
    <col min="1" max="1" width="5.75" style="2" customWidth="1"/>
    <col min="2" max="2" width="54.08203125" style="2" customWidth="1"/>
    <col min="3" max="3" width="13.75" style="2" customWidth="1"/>
    <col min="4" max="16384" width="8.9140625" style="2"/>
  </cols>
  <sheetData>
    <row r="1" spans="1:13" ht="20.100000000000001" customHeight="1" x14ac:dyDescent="0.25">
      <c r="A1" s="4" t="s">
        <v>305</v>
      </c>
      <c r="B1" s="5"/>
      <c r="C1" s="167" t="s">
        <v>1064</v>
      </c>
    </row>
    <row r="2" spans="1:13" ht="20.100000000000001" customHeight="1" x14ac:dyDescent="0.25">
      <c r="A2" s="94"/>
      <c r="B2" s="8"/>
      <c r="C2" s="8"/>
    </row>
    <row r="3" spans="1:13" ht="20.100000000000001" customHeight="1" x14ac:dyDescent="0.25">
      <c r="A3" s="29" t="str">
        <f>"Hospital: "&amp;data!C84</f>
        <v>Hospital: Highline Medical Center</v>
      </c>
      <c r="B3" s="30"/>
      <c r="C3" s="31" t="str">
        <f>"FYE: "&amp;data!C82</f>
        <v>FYE: 06/30/2019</v>
      </c>
    </row>
    <row r="4" spans="1:13" ht="20.100000000000001" customHeight="1" x14ac:dyDescent="0.25">
      <c r="A4" s="30"/>
      <c r="B4" s="8"/>
      <c r="C4" s="8"/>
    </row>
    <row r="5" spans="1:13" ht="20.100000000000001" customHeight="1" x14ac:dyDescent="0.25">
      <c r="A5" s="23">
        <v>1</v>
      </c>
      <c r="B5" s="37" t="s">
        <v>306</v>
      </c>
      <c r="C5" s="95"/>
    </row>
    <row r="6" spans="1:13" ht="20.100000000000001" customHeight="1" x14ac:dyDescent="0.25">
      <c r="A6" s="96">
        <v>2</v>
      </c>
      <c r="B6" s="49" t="s">
        <v>1065</v>
      </c>
      <c r="C6" s="13">
        <f>data!C165</f>
        <v>5663763</v>
      </c>
    </row>
    <row r="7" spans="1:13" ht="20.100000000000001" customHeight="1" x14ac:dyDescent="0.25">
      <c r="A7" s="40">
        <v>3</v>
      </c>
      <c r="B7" s="97" t="s">
        <v>308</v>
      </c>
      <c r="C7" s="13">
        <f>data!C166</f>
        <v>137599</v>
      </c>
    </row>
    <row r="8" spans="1:13" ht="20.100000000000001" customHeight="1" x14ac:dyDescent="0.25">
      <c r="A8" s="40">
        <v>4</v>
      </c>
      <c r="B8" s="49" t="s">
        <v>309</v>
      </c>
      <c r="C8" s="13">
        <f>data!C167</f>
        <v>1008859</v>
      </c>
    </row>
    <row r="9" spans="1:13" ht="20.100000000000001" customHeight="1" x14ac:dyDescent="0.25">
      <c r="A9" s="40">
        <v>5</v>
      </c>
      <c r="B9" s="49" t="s">
        <v>310</v>
      </c>
      <c r="C9" s="13">
        <f>data!C168</f>
        <v>9998421</v>
      </c>
    </row>
    <row r="10" spans="1:13" ht="20.100000000000001" customHeight="1" x14ac:dyDescent="0.25">
      <c r="A10" s="40">
        <v>6</v>
      </c>
      <c r="B10" s="49" t="s">
        <v>311</v>
      </c>
      <c r="C10" s="13">
        <f>data!C169</f>
        <v>67980</v>
      </c>
    </row>
    <row r="11" spans="1:13" ht="20.100000000000001" customHeight="1" x14ac:dyDescent="0.25">
      <c r="A11" s="40">
        <v>7</v>
      </c>
      <c r="B11" s="49" t="s">
        <v>312</v>
      </c>
      <c r="C11" s="13">
        <f>data!C170</f>
        <v>4287585</v>
      </c>
    </row>
    <row r="12" spans="1:13" ht="20.100000000000001" customHeight="1" x14ac:dyDescent="0.25">
      <c r="A12" s="40">
        <v>8</v>
      </c>
      <c r="B12" s="49" t="s">
        <v>313</v>
      </c>
      <c r="C12" s="13">
        <f>data!C171</f>
        <v>707941</v>
      </c>
    </row>
    <row r="13" spans="1:13" ht="20.100000000000001" customHeight="1" x14ac:dyDescent="0.25">
      <c r="A13" s="40">
        <v>9</v>
      </c>
      <c r="B13" s="49" t="s">
        <v>313</v>
      </c>
      <c r="C13" s="13">
        <f>data!C172</f>
        <v>0</v>
      </c>
    </row>
    <row r="14" spans="1:13" ht="20.100000000000001" customHeight="1" x14ac:dyDescent="0.25">
      <c r="A14" s="40">
        <v>10</v>
      </c>
      <c r="B14" s="49" t="s">
        <v>1066</v>
      </c>
      <c r="C14" s="13">
        <f>data!D173</f>
        <v>21872148</v>
      </c>
    </row>
    <row r="15" spans="1:13" ht="20.100000000000001" customHeight="1" x14ac:dyDescent="0.25">
      <c r="A15" s="57"/>
      <c r="B15" s="45"/>
      <c r="C15" s="98"/>
      <c r="M15" s="180"/>
    </row>
    <row r="16" spans="1:13" ht="20.100000000000001" customHeight="1" x14ac:dyDescent="0.25">
      <c r="A16" s="73"/>
      <c r="B16" s="30"/>
      <c r="C16" s="20"/>
    </row>
    <row r="17" spans="1:3" ht="20.100000000000001" customHeight="1" x14ac:dyDescent="0.25">
      <c r="A17" s="99">
        <v>11</v>
      </c>
      <c r="B17" s="100" t="s">
        <v>314</v>
      </c>
      <c r="C17" s="101"/>
    </row>
    <row r="18" spans="1:3" ht="20.100000000000001" customHeight="1" x14ac:dyDescent="0.25">
      <c r="A18" s="13">
        <v>12</v>
      </c>
      <c r="B18" s="49" t="s">
        <v>1067</v>
      </c>
      <c r="C18" s="13">
        <f>data!C175</f>
        <v>4452726</v>
      </c>
    </row>
    <row r="19" spans="1:3" ht="20.100000000000001" customHeight="1" x14ac:dyDescent="0.25">
      <c r="A19" s="13">
        <v>13</v>
      </c>
      <c r="B19" s="49" t="s">
        <v>1068</v>
      </c>
      <c r="C19" s="13">
        <f>data!C176</f>
        <v>612884</v>
      </c>
    </row>
    <row r="20" spans="1:3" ht="20.100000000000001" customHeight="1" x14ac:dyDescent="0.25">
      <c r="A20" s="13">
        <v>14</v>
      </c>
      <c r="B20" s="49" t="s">
        <v>1069</v>
      </c>
      <c r="C20" s="13">
        <f>data!D177</f>
        <v>5065610</v>
      </c>
    </row>
    <row r="21" spans="1:3" ht="20.100000000000001" customHeight="1" x14ac:dyDescent="0.25">
      <c r="A21" s="57"/>
      <c r="B21" s="45"/>
      <c r="C21" s="98"/>
    </row>
    <row r="22" spans="1:3" ht="20.100000000000001" customHeight="1" x14ac:dyDescent="0.25">
      <c r="A22" s="73"/>
      <c r="B22" s="8"/>
      <c r="C22" s="44"/>
    </row>
    <row r="23" spans="1:3" ht="20.100000000000001" customHeight="1" x14ac:dyDescent="0.25">
      <c r="A23" s="102">
        <v>15</v>
      </c>
      <c r="B23" s="103" t="s">
        <v>317</v>
      </c>
      <c r="C23" s="95"/>
    </row>
    <row r="24" spans="1:3" ht="20.100000000000001" customHeight="1" x14ac:dyDescent="0.25">
      <c r="A24" s="13">
        <v>16</v>
      </c>
      <c r="B24" s="37" t="s">
        <v>1070</v>
      </c>
      <c r="C24" s="104"/>
    </row>
    <row r="25" spans="1:3" ht="20.100000000000001" customHeight="1" x14ac:dyDescent="0.25">
      <c r="A25" s="13">
        <v>17</v>
      </c>
      <c r="B25" s="49" t="s">
        <v>1071</v>
      </c>
      <c r="C25" s="13">
        <f>data!C179</f>
        <v>2366608</v>
      </c>
    </row>
    <row r="26" spans="1:3" ht="20.100000000000001" customHeight="1" x14ac:dyDescent="0.25">
      <c r="A26" s="13">
        <v>18</v>
      </c>
      <c r="B26" s="49" t="s">
        <v>319</v>
      </c>
      <c r="C26" s="13">
        <f>data!C180</f>
        <v>272128</v>
      </c>
    </row>
    <row r="27" spans="1:3" ht="20.100000000000001" customHeight="1" x14ac:dyDescent="0.25">
      <c r="A27" s="13">
        <v>19</v>
      </c>
      <c r="B27" s="49" t="s">
        <v>1072</v>
      </c>
      <c r="C27" s="13">
        <f>data!D181</f>
        <v>2638736</v>
      </c>
    </row>
    <row r="28" spans="1:3" ht="20.100000000000001" customHeight="1" x14ac:dyDescent="0.25">
      <c r="A28" s="57"/>
      <c r="B28" s="45"/>
      <c r="C28" s="98"/>
    </row>
    <row r="29" spans="1:3" ht="20.100000000000001" customHeight="1" x14ac:dyDescent="0.25">
      <c r="A29" s="73"/>
      <c r="B29" s="30"/>
      <c r="C29" s="20"/>
    </row>
    <row r="30" spans="1:3" ht="20.100000000000001" customHeight="1" x14ac:dyDescent="0.25">
      <c r="A30" s="102">
        <v>20</v>
      </c>
      <c r="B30" s="43" t="s">
        <v>1073</v>
      </c>
      <c r="C30" s="34"/>
    </row>
    <row r="31" spans="1:3" ht="20.100000000000001" customHeight="1" x14ac:dyDescent="0.25">
      <c r="A31" s="13">
        <v>21</v>
      </c>
      <c r="B31" s="49" t="s">
        <v>321</v>
      </c>
      <c r="C31" s="13">
        <f>data!C183</f>
        <v>92341</v>
      </c>
    </row>
    <row r="32" spans="1:3" ht="20.100000000000001" customHeight="1" x14ac:dyDescent="0.25">
      <c r="A32" s="13">
        <v>22</v>
      </c>
      <c r="B32" s="49" t="s">
        <v>1074</v>
      </c>
      <c r="C32" s="13">
        <f>data!C184</f>
        <v>7871556</v>
      </c>
    </row>
    <row r="33" spans="1:3" ht="20.100000000000001" customHeight="1" x14ac:dyDescent="0.25">
      <c r="A33" s="13">
        <v>23</v>
      </c>
      <c r="B33" s="49" t="s">
        <v>132</v>
      </c>
      <c r="C33" s="13">
        <f>data!C185</f>
        <v>0</v>
      </c>
    </row>
    <row r="34" spans="1:3" ht="20.100000000000001" customHeight="1" x14ac:dyDescent="0.25">
      <c r="A34" s="13">
        <v>24</v>
      </c>
      <c r="B34" s="49" t="s">
        <v>1075</v>
      </c>
      <c r="C34" s="13">
        <f>data!D186</f>
        <v>7963897</v>
      </c>
    </row>
    <row r="35" spans="1:3" ht="20.100000000000001" customHeight="1" x14ac:dyDescent="0.25">
      <c r="A35" s="57"/>
      <c r="B35" s="45"/>
      <c r="C35" s="98"/>
    </row>
    <row r="36" spans="1:3" ht="20.100000000000001" customHeight="1" x14ac:dyDescent="0.25">
      <c r="A36" s="73"/>
      <c r="B36" s="30"/>
      <c r="C36" s="20"/>
    </row>
    <row r="37" spans="1:3" ht="20.100000000000001" customHeight="1" x14ac:dyDescent="0.25">
      <c r="A37" s="102">
        <v>25</v>
      </c>
      <c r="B37" s="43" t="s">
        <v>323</v>
      </c>
      <c r="C37" s="95"/>
    </row>
    <row r="38" spans="1:3" ht="20.100000000000001" customHeight="1" x14ac:dyDescent="0.25">
      <c r="A38" s="13">
        <v>26</v>
      </c>
      <c r="B38" s="49" t="s">
        <v>1076</v>
      </c>
      <c r="C38" s="13">
        <f>data!C188</f>
        <v>0</v>
      </c>
    </row>
    <row r="39" spans="1:3" ht="20.100000000000001" customHeight="1" x14ac:dyDescent="0.25">
      <c r="A39" s="13">
        <v>27</v>
      </c>
      <c r="B39" s="49" t="s">
        <v>325</v>
      </c>
      <c r="C39" s="13">
        <f>data!C189</f>
        <v>5027117</v>
      </c>
    </row>
    <row r="40" spans="1:3" ht="20.100000000000001" customHeight="1" x14ac:dyDescent="0.25">
      <c r="A40" s="13">
        <v>28</v>
      </c>
      <c r="B40" s="49" t="s">
        <v>1077</v>
      </c>
      <c r="C40" s="13">
        <f>data!D190</f>
        <v>5027117</v>
      </c>
    </row>
    <row r="41" spans="1:3" x14ac:dyDescent="0.25">
      <c r="A41" s="3"/>
      <c r="B41" s="3"/>
      <c r="C41" s="3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showGridLines="0" zoomScale="75" workbookViewId="0">
      <selection activeCell="J37" sqref="J37"/>
    </sheetView>
  </sheetViews>
  <sheetFormatPr defaultColWidth="8.9140625" defaultRowHeight="20.100000000000001" customHeight="1" x14ac:dyDescent="0.25"/>
  <cols>
    <col min="1" max="1" width="5.75" style="7" customWidth="1"/>
    <col min="2" max="2" width="22.58203125" style="7" customWidth="1"/>
    <col min="3" max="5" width="13.75" style="7" customWidth="1"/>
    <col min="6" max="6" width="15.75" style="7" customWidth="1"/>
    <col min="7" max="16384" width="8.9140625" style="7"/>
  </cols>
  <sheetData>
    <row r="1" spans="1:13" ht="20.100000000000001" customHeight="1" x14ac:dyDescent="0.25">
      <c r="A1" s="4" t="s">
        <v>326</v>
      </c>
      <c r="B1" s="5"/>
      <c r="C1" s="5"/>
      <c r="D1" s="5"/>
      <c r="E1" s="5"/>
      <c r="F1" s="167" t="s">
        <v>1078</v>
      </c>
    </row>
    <row r="2" spans="1:13" ht="20.100000000000001" customHeight="1" x14ac:dyDescent="0.25">
      <c r="A2" s="8"/>
      <c r="B2" s="8"/>
      <c r="C2" s="8"/>
      <c r="D2" s="8"/>
      <c r="E2" s="8"/>
      <c r="F2" s="8"/>
    </row>
    <row r="3" spans="1:13" ht="20.100000000000001" customHeight="1" x14ac:dyDescent="0.25">
      <c r="A3" s="10" t="str">
        <f>"Hospital: "&amp;data!C84</f>
        <v>Hospital: Highline Medical Center</v>
      </c>
      <c r="B3" s="8"/>
      <c r="C3" s="8"/>
      <c r="E3" s="11"/>
      <c r="F3" s="12" t="str">
        <f>" FYE: "&amp;data!C82</f>
        <v xml:space="preserve"> FYE: 06/30/2019</v>
      </c>
    </row>
    <row r="4" spans="1:13" ht="20.100000000000001" customHeight="1" x14ac:dyDescent="0.25">
      <c r="A4" s="39" t="s">
        <v>327</v>
      </c>
      <c r="B4" s="36"/>
      <c r="C4" s="36"/>
      <c r="D4" s="71"/>
      <c r="E4" s="71"/>
      <c r="F4" s="36"/>
    </row>
    <row r="5" spans="1:13" ht="20.100000000000001" customHeight="1" x14ac:dyDescent="0.25">
      <c r="A5" s="42"/>
      <c r="B5" s="52"/>
      <c r="C5" s="72" t="s">
        <v>1079</v>
      </c>
      <c r="D5" s="47"/>
      <c r="E5" s="47"/>
      <c r="F5" s="72" t="s">
        <v>1080</v>
      </c>
    </row>
    <row r="6" spans="1:13" ht="20.100000000000001" customHeight="1" x14ac:dyDescent="0.25">
      <c r="A6" s="19"/>
      <c r="B6" s="20"/>
      <c r="C6" s="18" t="s">
        <v>1081</v>
      </c>
      <c r="D6" s="18" t="s">
        <v>329</v>
      </c>
      <c r="E6" s="18" t="s">
        <v>1082</v>
      </c>
      <c r="F6" s="18" t="s">
        <v>1081</v>
      </c>
    </row>
    <row r="7" spans="1:13" ht="20.100000000000001" customHeight="1" x14ac:dyDescent="0.25">
      <c r="A7" s="13">
        <v>1</v>
      </c>
      <c r="B7" s="14" t="s">
        <v>332</v>
      </c>
      <c r="C7" s="21">
        <f>data!B195</f>
        <v>7414345.5499999998</v>
      </c>
      <c r="D7" s="21">
        <f>data!C195</f>
        <v>0</v>
      </c>
      <c r="E7" s="21">
        <f>data!D195</f>
        <v>0</v>
      </c>
      <c r="F7" s="21">
        <f>data!E195</f>
        <v>7414345.5499999998</v>
      </c>
    </row>
    <row r="8" spans="1:13" ht="20.100000000000001" customHeight="1" x14ac:dyDescent="0.25">
      <c r="A8" s="13">
        <v>2</v>
      </c>
      <c r="B8" s="14" t="s">
        <v>333</v>
      </c>
      <c r="C8" s="21">
        <f>data!B196</f>
        <v>1128574.1199999999</v>
      </c>
      <c r="D8" s="21">
        <f>data!C196</f>
        <v>0</v>
      </c>
      <c r="E8" s="21">
        <f>data!D196</f>
        <v>0</v>
      </c>
      <c r="F8" s="21">
        <f>data!E196</f>
        <v>1128574.1199999999</v>
      </c>
    </row>
    <row r="9" spans="1:13" ht="20.100000000000001" customHeight="1" x14ac:dyDescent="0.25">
      <c r="A9" s="13">
        <v>3</v>
      </c>
      <c r="B9" s="14" t="s">
        <v>334</v>
      </c>
      <c r="C9" s="21">
        <f>data!B197</f>
        <v>93535040.25</v>
      </c>
      <c r="D9" s="21">
        <f>data!C197</f>
        <v>0</v>
      </c>
      <c r="E9" s="21">
        <f>data!D197</f>
        <v>0</v>
      </c>
      <c r="F9" s="21">
        <f>data!E197</f>
        <v>93535040.25</v>
      </c>
    </row>
    <row r="10" spans="1:13" ht="20.100000000000001" customHeight="1" x14ac:dyDescent="0.25">
      <c r="A10" s="13">
        <v>4</v>
      </c>
      <c r="B10" s="14" t="s">
        <v>1083</v>
      </c>
      <c r="C10" s="21">
        <f>data!B198</f>
        <v>30959589.050000001</v>
      </c>
      <c r="D10" s="21">
        <f>data!C198</f>
        <v>685066.17999999993</v>
      </c>
      <c r="E10" s="21">
        <f>data!D198</f>
        <v>0</v>
      </c>
      <c r="F10" s="21">
        <f>data!E198</f>
        <v>31644655.23</v>
      </c>
    </row>
    <row r="11" spans="1:13" ht="20.100000000000001" customHeight="1" x14ac:dyDescent="0.25">
      <c r="A11" s="13">
        <v>5</v>
      </c>
      <c r="B11" s="14" t="s">
        <v>1084</v>
      </c>
      <c r="C11" s="21">
        <f>data!B199</f>
        <v>2495331.6800000002</v>
      </c>
      <c r="D11" s="21">
        <f>data!C199</f>
        <v>20552.560000000001</v>
      </c>
      <c r="E11" s="21">
        <f>data!D199</f>
        <v>0</v>
      </c>
      <c r="F11" s="21">
        <f>data!E199</f>
        <v>2515884.2400000002</v>
      </c>
    </row>
    <row r="12" spans="1:13" ht="20.100000000000001" customHeight="1" x14ac:dyDescent="0.25">
      <c r="A12" s="13">
        <v>6</v>
      </c>
      <c r="B12" s="14" t="s">
        <v>1085</v>
      </c>
      <c r="C12" s="21">
        <f>data!B200</f>
        <v>75848999.25</v>
      </c>
      <c r="D12" s="21">
        <f>data!C200</f>
        <v>2755586</v>
      </c>
      <c r="E12" s="21">
        <f>data!D200</f>
        <v>88648</v>
      </c>
      <c r="F12" s="21">
        <f>data!E200</f>
        <v>78515937.25</v>
      </c>
    </row>
    <row r="13" spans="1:13" ht="20.100000000000001" customHeight="1" x14ac:dyDescent="0.25">
      <c r="A13" s="13">
        <v>7</v>
      </c>
      <c r="B13" s="14" t="s">
        <v>1086</v>
      </c>
      <c r="C13" s="21">
        <f>data!B201</f>
        <v>0</v>
      </c>
      <c r="D13" s="21">
        <f>data!C201</f>
        <v>0</v>
      </c>
      <c r="E13" s="21">
        <f>data!D201</f>
        <v>0</v>
      </c>
      <c r="F13" s="21">
        <f>data!E201</f>
        <v>0</v>
      </c>
    </row>
    <row r="14" spans="1:13" ht="20.100000000000001" customHeight="1" x14ac:dyDescent="0.25">
      <c r="A14" s="13">
        <v>8</v>
      </c>
      <c r="B14" s="14" t="s">
        <v>339</v>
      </c>
      <c r="C14" s="21">
        <f>data!B202</f>
        <v>5948915.1200000001</v>
      </c>
      <c r="D14" s="21">
        <f>data!C202</f>
        <v>1246700</v>
      </c>
      <c r="E14" s="21">
        <f>data!D202</f>
        <v>9516</v>
      </c>
      <c r="F14" s="21">
        <f>data!E202</f>
        <v>7186099.1200000001</v>
      </c>
    </row>
    <row r="15" spans="1:13" ht="20.100000000000001" customHeight="1" x14ac:dyDescent="0.25">
      <c r="A15" s="13">
        <v>9</v>
      </c>
      <c r="B15" s="14" t="s">
        <v>1087</v>
      </c>
      <c r="C15" s="21">
        <f>data!B203</f>
        <v>4320303.05</v>
      </c>
      <c r="D15" s="21">
        <f>data!C203</f>
        <v>993767</v>
      </c>
      <c r="E15" s="21">
        <f>data!D203</f>
        <v>0</v>
      </c>
      <c r="F15" s="21">
        <f>data!E203</f>
        <v>5314070.05</v>
      </c>
      <c r="M15" s="263"/>
    </row>
    <row r="16" spans="1:13" ht="20.100000000000001" customHeight="1" x14ac:dyDescent="0.25">
      <c r="A16" s="13">
        <v>10</v>
      </c>
      <c r="B16" s="14" t="s">
        <v>661</v>
      </c>
      <c r="C16" s="21">
        <f>data!B204</f>
        <v>221651098.07000002</v>
      </c>
      <c r="D16" s="21">
        <f>data!C204</f>
        <v>5701671.7400000002</v>
      </c>
      <c r="E16" s="21">
        <f>data!D204</f>
        <v>98164</v>
      </c>
      <c r="F16" s="21">
        <f>data!E204</f>
        <v>227254605.81000003</v>
      </c>
    </row>
    <row r="17" spans="1:6" ht="20.100000000000001" customHeight="1" x14ac:dyDescent="0.25">
      <c r="A17" s="73"/>
      <c r="B17" s="30"/>
      <c r="C17" s="30"/>
      <c r="D17" s="30"/>
      <c r="E17" s="30"/>
      <c r="F17" s="20"/>
    </row>
    <row r="18" spans="1:6" ht="20.100000000000001" customHeight="1" x14ac:dyDescent="0.25">
      <c r="A18" s="74"/>
      <c r="B18" s="8"/>
      <c r="C18" s="8"/>
      <c r="D18" s="8"/>
      <c r="E18" s="8"/>
      <c r="F18" s="28"/>
    </row>
    <row r="19" spans="1:6" ht="20.100000000000001" customHeight="1" x14ac:dyDescent="0.25">
      <c r="A19" s="74"/>
      <c r="B19" s="8"/>
      <c r="C19" s="8"/>
      <c r="D19" s="8"/>
      <c r="E19" s="8"/>
      <c r="F19" s="28"/>
    </row>
    <row r="20" spans="1:6" ht="20.100000000000001" customHeight="1" x14ac:dyDescent="0.25">
      <c r="A20" s="39" t="s">
        <v>341</v>
      </c>
      <c r="B20" s="36"/>
      <c r="C20" s="36"/>
      <c r="D20" s="36"/>
      <c r="E20" s="36"/>
      <c r="F20" s="36"/>
    </row>
    <row r="21" spans="1:6" ht="20.100000000000001" customHeight="1" x14ac:dyDescent="0.25">
      <c r="A21" s="75"/>
      <c r="B21" s="44"/>
      <c r="C21" s="18" t="s">
        <v>1079</v>
      </c>
      <c r="D21" s="76" t="s">
        <v>203</v>
      </c>
      <c r="E21" s="25"/>
      <c r="F21" s="18" t="s">
        <v>1080</v>
      </c>
    </row>
    <row r="22" spans="1:6" ht="20.100000000000001" customHeight="1" x14ac:dyDescent="0.25">
      <c r="A22" s="75"/>
      <c r="B22" s="44"/>
      <c r="C22" s="18" t="s">
        <v>1081</v>
      </c>
      <c r="D22" s="18" t="s">
        <v>1088</v>
      </c>
      <c r="E22" s="18" t="s">
        <v>1082</v>
      </c>
      <c r="F22" s="18" t="s">
        <v>1081</v>
      </c>
    </row>
    <row r="23" spans="1:6" ht="20.100000000000001" customHeight="1" x14ac:dyDescent="0.25">
      <c r="A23" s="13">
        <v>11</v>
      </c>
      <c r="B23" s="93" t="s">
        <v>332</v>
      </c>
      <c r="C23" s="92"/>
      <c r="D23" s="92"/>
      <c r="E23" s="92"/>
      <c r="F23" s="92"/>
    </row>
    <row r="24" spans="1:6" ht="20.100000000000001" customHeight="1" x14ac:dyDescent="0.25">
      <c r="A24" s="13">
        <v>12</v>
      </c>
      <c r="B24" s="14" t="s">
        <v>333</v>
      </c>
      <c r="C24" s="21">
        <f>data!B209</f>
        <v>178612.32</v>
      </c>
      <c r="D24" s="21">
        <f>data!C209</f>
        <v>70483</v>
      </c>
      <c r="E24" s="21">
        <f>data!D209</f>
        <v>0</v>
      </c>
      <c r="F24" s="21">
        <f>data!E209</f>
        <v>249095.32</v>
      </c>
    </row>
    <row r="25" spans="1:6" ht="20.100000000000001" customHeight="1" x14ac:dyDescent="0.25">
      <c r="A25" s="13">
        <v>13</v>
      </c>
      <c r="B25" s="14" t="s">
        <v>334</v>
      </c>
      <c r="C25" s="21">
        <f>data!B210</f>
        <v>17537897.969999999</v>
      </c>
      <c r="D25" s="21">
        <f>data!C210</f>
        <v>3340552</v>
      </c>
      <c r="E25" s="21">
        <f>data!D210</f>
        <v>0</v>
      </c>
      <c r="F25" s="21">
        <f>data!E210</f>
        <v>20878449.969999999</v>
      </c>
    </row>
    <row r="26" spans="1:6" ht="20.100000000000001" customHeight="1" x14ac:dyDescent="0.25">
      <c r="A26" s="13">
        <v>14</v>
      </c>
      <c r="B26" s="14" t="s">
        <v>1083</v>
      </c>
      <c r="C26" s="21">
        <f>data!B211</f>
        <v>3568840.22</v>
      </c>
      <c r="D26" s="21">
        <f>data!C211</f>
        <v>1847632</v>
      </c>
      <c r="E26" s="21">
        <f>data!D211</f>
        <v>0</v>
      </c>
      <c r="F26" s="21">
        <f>data!E211</f>
        <v>5416472.2200000007</v>
      </c>
    </row>
    <row r="27" spans="1:6" ht="20.100000000000001" customHeight="1" x14ac:dyDescent="0.25">
      <c r="A27" s="13">
        <v>15</v>
      </c>
      <c r="B27" s="14" t="s">
        <v>1084</v>
      </c>
      <c r="C27" s="21">
        <f>data!B212</f>
        <v>672881.75</v>
      </c>
      <c r="D27" s="21">
        <f>data!C212</f>
        <v>244820</v>
      </c>
      <c r="E27" s="21">
        <f>data!D212</f>
        <v>0</v>
      </c>
      <c r="F27" s="21">
        <f>data!E212</f>
        <v>917701.75</v>
      </c>
    </row>
    <row r="28" spans="1:6" ht="20.100000000000001" customHeight="1" x14ac:dyDescent="0.25">
      <c r="A28" s="13">
        <v>16</v>
      </c>
      <c r="B28" s="14" t="s">
        <v>1085</v>
      </c>
      <c r="C28" s="21">
        <f>data!B213</f>
        <v>38209938.799999997</v>
      </c>
      <c r="D28" s="21">
        <f>data!C213</f>
        <v>10003841</v>
      </c>
      <c r="E28" s="21">
        <f>data!D213</f>
        <v>84618</v>
      </c>
      <c r="F28" s="21">
        <f>data!E213</f>
        <v>48129161.799999997</v>
      </c>
    </row>
    <row r="29" spans="1:6" ht="20.100000000000001" customHeight="1" x14ac:dyDescent="0.25">
      <c r="A29" s="13">
        <v>17</v>
      </c>
      <c r="B29" s="14" t="s">
        <v>1086</v>
      </c>
      <c r="C29" s="21">
        <f>data!B214</f>
        <v>0</v>
      </c>
      <c r="D29" s="21">
        <f>data!C214</f>
        <v>0</v>
      </c>
      <c r="E29" s="21">
        <f>data!D214</f>
        <v>0</v>
      </c>
      <c r="F29" s="21">
        <f>data!E214</f>
        <v>0</v>
      </c>
    </row>
    <row r="30" spans="1:6" ht="20.100000000000001" customHeight="1" x14ac:dyDescent="0.25">
      <c r="A30" s="13">
        <v>18</v>
      </c>
      <c r="B30" s="14" t="s">
        <v>339</v>
      </c>
      <c r="C30" s="21">
        <f>data!B215</f>
        <v>2973451.88</v>
      </c>
      <c r="D30" s="21">
        <f>data!C215</f>
        <v>673308</v>
      </c>
      <c r="E30" s="21">
        <f>data!D215</f>
        <v>0</v>
      </c>
      <c r="F30" s="21">
        <f>data!E215</f>
        <v>3646759.88</v>
      </c>
    </row>
    <row r="31" spans="1:6" ht="20.100000000000001" customHeight="1" x14ac:dyDescent="0.25">
      <c r="A31" s="13">
        <v>19</v>
      </c>
      <c r="B31" s="14" t="s">
        <v>1087</v>
      </c>
      <c r="C31" s="21">
        <f>data!B216</f>
        <v>0</v>
      </c>
      <c r="D31" s="21">
        <f>data!C216</f>
        <v>0</v>
      </c>
      <c r="E31" s="21">
        <f>data!D216</f>
        <v>0</v>
      </c>
      <c r="F31" s="21">
        <f>data!E216</f>
        <v>0</v>
      </c>
    </row>
    <row r="32" spans="1:6" ht="20.100000000000001" customHeight="1" x14ac:dyDescent="0.25">
      <c r="A32" s="13">
        <v>20</v>
      </c>
      <c r="B32" s="14" t="s">
        <v>661</v>
      </c>
      <c r="C32" s="21">
        <f>data!B217</f>
        <v>63141622.939999998</v>
      </c>
      <c r="D32" s="21">
        <f>data!C217</f>
        <v>16180636</v>
      </c>
      <c r="E32" s="21">
        <f>data!D217</f>
        <v>84618</v>
      </c>
      <c r="F32" s="21">
        <f>data!E217</f>
        <v>79237640.939999998</v>
      </c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34"/>
  <sheetViews>
    <sheetView showGridLines="0" zoomScale="75" workbookViewId="0">
      <selection activeCell="E43" sqref="E43"/>
    </sheetView>
  </sheetViews>
  <sheetFormatPr defaultColWidth="8.9140625" defaultRowHeight="20.100000000000001" customHeight="1" x14ac:dyDescent="0.25"/>
  <cols>
    <col min="1" max="1" width="5.75" style="7" customWidth="1"/>
    <col min="2" max="2" width="7.75" style="7" customWidth="1"/>
    <col min="3" max="3" width="40.75" style="7" customWidth="1"/>
    <col min="4" max="4" width="15.75" style="7" customWidth="1"/>
    <col min="5" max="16384" width="8.9140625" style="7"/>
  </cols>
  <sheetData>
    <row r="1" spans="1:13" ht="20.100000000000001" customHeight="1" x14ac:dyDescent="0.25">
      <c r="A1" s="6" t="s">
        <v>1089</v>
      </c>
      <c r="B1" s="6"/>
      <c r="C1" s="6"/>
      <c r="D1" s="169" t="s">
        <v>1090</v>
      </c>
    </row>
    <row r="2" spans="1:13" ht="20.100000000000001" customHeight="1" x14ac:dyDescent="0.25">
      <c r="A2" s="29" t="str">
        <f>"Hospital: "&amp;data!C84</f>
        <v>Hospital: Highline Medical Center</v>
      </c>
      <c r="B2" s="30"/>
      <c r="C2" s="30"/>
      <c r="D2" s="31" t="str">
        <f>"FYE: "&amp;data!C82</f>
        <v>FYE: 06/30/2019</v>
      </c>
    </row>
    <row r="3" spans="1:13" ht="20.100000000000001" customHeight="1" x14ac:dyDescent="0.25">
      <c r="A3" s="42"/>
      <c r="B3" s="52"/>
      <c r="C3" s="52"/>
      <c r="D3" s="52"/>
    </row>
    <row r="4" spans="1:13" ht="20.100000000000001" customHeight="1" x14ac:dyDescent="0.25">
      <c r="A4" s="53"/>
      <c r="B4" s="41" t="s">
        <v>1091</v>
      </c>
      <c r="C4" s="41" t="s">
        <v>1092</v>
      </c>
      <c r="D4" s="54"/>
    </row>
    <row r="5" spans="1:13" ht="20.100000000000001" customHeight="1" x14ac:dyDescent="0.25">
      <c r="A5" s="102">
        <v>1</v>
      </c>
      <c r="B5" s="55"/>
      <c r="C5" s="22" t="s">
        <v>1255</v>
      </c>
      <c r="D5" s="14">
        <f>data!D221</f>
        <v>13768239</v>
      </c>
    </row>
    <row r="6" spans="1:13" ht="20.100000000000001" customHeight="1" x14ac:dyDescent="0.25">
      <c r="A6" s="13">
        <v>2</v>
      </c>
      <c r="B6" s="30"/>
      <c r="C6" s="31" t="s">
        <v>432</v>
      </c>
      <c r="D6" s="25"/>
    </row>
    <row r="7" spans="1:13" ht="20.100000000000001" customHeight="1" x14ac:dyDescent="0.25">
      <c r="A7" s="13">
        <v>3</v>
      </c>
      <c r="B7" s="55">
        <v>5810</v>
      </c>
      <c r="C7" s="14" t="s">
        <v>296</v>
      </c>
      <c r="D7" s="14">
        <f>data!C223</f>
        <v>366235816</v>
      </c>
    </row>
    <row r="8" spans="1:13" ht="20.100000000000001" customHeight="1" x14ac:dyDescent="0.25">
      <c r="A8" s="13">
        <v>4</v>
      </c>
      <c r="B8" s="55">
        <v>5820</v>
      </c>
      <c r="C8" s="14" t="s">
        <v>297</v>
      </c>
      <c r="D8" s="14">
        <f>data!C224</f>
        <v>208983727</v>
      </c>
    </row>
    <row r="9" spans="1:13" ht="20.100000000000001" customHeight="1" x14ac:dyDescent="0.25">
      <c r="A9" s="13">
        <v>5</v>
      </c>
      <c r="B9" s="55">
        <v>5830</v>
      </c>
      <c r="C9" s="14" t="s">
        <v>309</v>
      </c>
      <c r="D9" s="14">
        <f>data!C225</f>
        <v>0</v>
      </c>
    </row>
    <row r="10" spans="1:13" ht="20.100000000000001" customHeight="1" x14ac:dyDescent="0.25">
      <c r="A10" s="13">
        <v>6</v>
      </c>
      <c r="B10" s="55">
        <v>5840</v>
      </c>
      <c r="C10" s="14" t="s">
        <v>347</v>
      </c>
      <c r="D10" s="14">
        <f>data!C226</f>
        <v>0</v>
      </c>
    </row>
    <row r="11" spans="1:13" ht="20.100000000000001" customHeight="1" x14ac:dyDescent="0.25">
      <c r="A11" s="13">
        <v>7</v>
      </c>
      <c r="B11" s="55">
        <v>5850</v>
      </c>
      <c r="C11" s="14" t="s">
        <v>1093</v>
      </c>
      <c r="D11" s="14">
        <f>data!C227</f>
        <v>169233927</v>
      </c>
    </row>
    <row r="12" spans="1:13" ht="20.100000000000001" customHeight="1" x14ac:dyDescent="0.25">
      <c r="A12" s="13">
        <v>8</v>
      </c>
      <c r="B12" s="55">
        <v>5860</v>
      </c>
      <c r="C12" s="14" t="s">
        <v>132</v>
      </c>
      <c r="D12" s="14">
        <f>data!C228</f>
        <v>17142421</v>
      </c>
    </row>
    <row r="13" spans="1:13" ht="20.100000000000001" customHeight="1" x14ac:dyDescent="0.25">
      <c r="A13" s="23">
        <v>9</v>
      </c>
      <c r="B13" s="24"/>
      <c r="C13" s="14" t="s">
        <v>1094</v>
      </c>
      <c r="D13" s="14">
        <f>data!D229</f>
        <v>761595891</v>
      </c>
    </row>
    <row r="14" spans="1:13" ht="20.100000000000001" customHeight="1" x14ac:dyDescent="0.25">
      <c r="A14" s="81">
        <v>10</v>
      </c>
      <c r="B14" s="56"/>
      <c r="C14" s="56"/>
      <c r="D14" s="56"/>
    </row>
    <row r="15" spans="1:13" ht="20.100000000000001" customHeight="1" x14ac:dyDescent="0.25">
      <c r="A15" s="23">
        <v>11</v>
      </c>
      <c r="B15" s="58"/>
      <c r="C15" s="9" t="s">
        <v>351</v>
      </c>
      <c r="D15" s="25"/>
    </row>
    <row r="16" spans="1:13" ht="20.100000000000001" customHeight="1" x14ac:dyDescent="0.25">
      <c r="A16" s="81">
        <v>12</v>
      </c>
      <c r="B16" s="56"/>
      <c r="C16" s="49" t="s">
        <v>1095</v>
      </c>
      <c r="D16" s="140">
        <f>+data!C231</f>
        <v>5530</v>
      </c>
      <c r="M16" s="263"/>
    </row>
    <row r="17" spans="1:4" ht="20.100000000000001" customHeight="1" x14ac:dyDescent="0.25">
      <c r="A17" s="23">
        <v>13</v>
      </c>
      <c r="B17" s="58"/>
      <c r="C17" s="45"/>
      <c r="D17" s="83"/>
    </row>
    <row r="18" spans="1:4" ht="20.100000000000001" customHeight="1" x14ac:dyDescent="0.25">
      <c r="A18" s="13">
        <v>14</v>
      </c>
      <c r="B18" s="59">
        <v>5900</v>
      </c>
      <c r="C18" s="14" t="s">
        <v>353</v>
      </c>
      <c r="D18" s="60">
        <f>data!C233</f>
        <v>3646732</v>
      </c>
    </row>
    <row r="19" spans="1:4" ht="20.100000000000001" customHeight="1" x14ac:dyDescent="0.25">
      <c r="A19" s="61">
        <v>15</v>
      </c>
      <c r="B19" s="55">
        <v>5910</v>
      </c>
      <c r="C19" s="22" t="s">
        <v>1096</v>
      </c>
      <c r="D19" s="14">
        <f>data!C234</f>
        <v>11802273</v>
      </c>
    </row>
    <row r="20" spans="1:4" ht="20.100000000000001" customHeight="1" x14ac:dyDescent="0.25">
      <c r="A20" s="23">
        <v>16</v>
      </c>
      <c r="B20" s="24"/>
      <c r="C20" s="24"/>
      <c r="D20" s="56"/>
    </row>
    <row r="21" spans="1:4" ht="20.100000000000001" customHeight="1" x14ac:dyDescent="0.25">
      <c r="A21" s="23">
        <v>17</v>
      </c>
      <c r="B21" s="56"/>
      <c r="C21" s="56"/>
      <c r="D21" s="56"/>
    </row>
    <row r="22" spans="1:4" ht="20.100000000000001" customHeight="1" x14ac:dyDescent="0.25">
      <c r="A22" s="81">
        <v>18</v>
      </c>
      <c r="B22" s="56"/>
      <c r="C22" s="15" t="s">
        <v>1097</v>
      </c>
      <c r="D22" s="14">
        <f>data!D236</f>
        <v>15449005</v>
      </c>
    </row>
    <row r="23" spans="1:4" ht="20.100000000000001" customHeight="1" x14ac:dyDescent="0.25">
      <c r="A23" s="62">
        <v>19</v>
      </c>
      <c r="B23" s="58"/>
      <c r="C23" s="58"/>
      <c r="D23" s="25"/>
    </row>
    <row r="24" spans="1:4" ht="20.100000000000001" customHeight="1" x14ac:dyDescent="0.25">
      <c r="A24" s="269">
        <v>20</v>
      </c>
      <c r="B24" s="55">
        <v>5970</v>
      </c>
      <c r="C24" s="14" t="s">
        <v>357</v>
      </c>
      <c r="D24" s="14">
        <f>data!C238</f>
        <v>14462043</v>
      </c>
    </row>
    <row r="25" spans="1:4" ht="20.100000000000001" customHeight="1" x14ac:dyDescent="0.25">
      <c r="A25" s="62">
        <v>21</v>
      </c>
      <c r="B25" s="30"/>
      <c r="C25" s="30"/>
      <c r="D25" s="25"/>
    </row>
    <row r="26" spans="1:4" ht="20.100000000000001" customHeight="1" x14ac:dyDescent="0.25">
      <c r="A26" s="23">
        <v>22</v>
      </c>
      <c r="B26" s="55">
        <v>5980</v>
      </c>
      <c r="C26" s="14" t="s">
        <v>1098</v>
      </c>
      <c r="D26" s="14">
        <f>data!C239</f>
        <v>0</v>
      </c>
    </row>
    <row r="27" spans="1:4" ht="20.100000000000001" customHeight="1" x14ac:dyDescent="0.25">
      <c r="A27" s="64">
        <v>23</v>
      </c>
      <c r="B27" s="63" t="s">
        <v>1099</v>
      </c>
      <c r="C27" s="56"/>
      <c r="D27" s="14">
        <f>data!D242</f>
        <v>805275178</v>
      </c>
    </row>
    <row r="28" spans="1:4" ht="20.100000000000001" customHeight="1" x14ac:dyDescent="0.25">
      <c r="A28" s="126">
        <v>24</v>
      </c>
      <c r="B28" s="65" t="s">
        <v>1100</v>
      </c>
      <c r="C28" s="50"/>
      <c r="D28" s="54"/>
    </row>
    <row r="29" spans="1:4" ht="20.100000000000001" customHeight="1" x14ac:dyDescent="0.25">
      <c r="A29" s="66"/>
      <c r="B29" s="67"/>
      <c r="C29" s="67"/>
      <c r="D29" s="56"/>
    </row>
    <row r="30" spans="1:4" ht="20.100000000000001" customHeight="1" x14ac:dyDescent="0.25">
      <c r="A30" s="68"/>
      <c r="B30" s="38"/>
      <c r="C30" s="38"/>
      <c r="D30" s="56"/>
    </row>
    <row r="31" spans="1:4" ht="20.100000000000001" customHeight="1" x14ac:dyDescent="0.25">
      <c r="A31" s="68"/>
      <c r="B31" s="38"/>
      <c r="C31" s="38"/>
      <c r="D31" s="56"/>
    </row>
    <row r="32" spans="1:4" ht="20.100000000000001" customHeight="1" x14ac:dyDescent="0.25">
      <c r="A32" s="68"/>
      <c r="B32" s="38"/>
      <c r="C32" s="38"/>
      <c r="D32" s="56"/>
    </row>
    <row r="33" spans="1:4" ht="20.100000000000001" customHeight="1" x14ac:dyDescent="0.25">
      <c r="A33" s="68"/>
      <c r="B33" s="38"/>
      <c r="C33" s="38"/>
      <c r="D33" s="24"/>
    </row>
    <row r="34" spans="1:4" ht="20.100000000000001" customHeight="1" x14ac:dyDescent="0.25">
      <c r="A34" s="69"/>
      <c r="B34" s="70"/>
      <c r="C34" s="70"/>
      <c r="D34" s="27"/>
    </row>
  </sheetData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M153"/>
  <sheetViews>
    <sheetView showGridLines="0" topLeftCell="A94" zoomScale="75" workbookViewId="0">
      <selection activeCell="C115" sqref="C115"/>
    </sheetView>
  </sheetViews>
  <sheetFormatPr defaultColWidth="57.4140625" defaultRowHeight="15" x14ac:dyDescent="0.25"/>
  <cols>
    <col min="1" max="1" width="5.75" style="7" customWidth="1"/>
    <col min="2" max="2" width="55.75" style="7" customWidth="1"/>
    <col min="3" max="3" width="22" style="7" customWidth="1"/>
    <col min="4" max="4" width="5.6640625" style="7" customWidth="1"/>
    <col min="5" max="16384" width="57.4140625" style="7"/>
  </cols>
  <sheetData>
    <row r="1" spans="1:13" ht="20.100000000000001" customHeight="1" x14ac:dyDescent="0.25">
      <c r="A1" s="4" t="s">
        <v>1101</v>
      </c>
      <c r="B1" s="5"/>
      <c r="C1" s="6"/>
    </row>
    <row r="2" spans="1:13" ht="20.100000000000001" customHeight="1" x14ac:dyDescent="0.25">
      <c r="A2" s="4"/>
      <c r="B2" s="5"/>
      <c r="C2" s="167" t="s">
        <v>1102</v>
      </c>
    </row>
    <row r="3" spans="1:13" ht="20.100000000000001" customHeight="1" x14ac:dyDescent="0.25">
      <c r="A3" s="29" t="str">
        <f>"HOSPITAL: "&amp;data!C84</f>
        <v>HOSPITAL: Highline Medical Center</v>
      </c>
      <c r="B3" s="30"/>
      <c r="C3" s="31" t="str">
        <f>" FYE: "&amp;data!C82</f>
        <v xml:space="preserve"> FYE: 06/30/2019</v>
      </c>
    </row>
    <row r="4" spans="1:13" ht="20.100000000000001" customHeight="1" x14ac:dyDescent="0.25">
      <c r="A4" s="32"/>
      <c r="B4" s="33" t="s">
        <v>1103</v>
      </c>
      <c r="C4" s="34"/>
    </row>
    <row r="5" spans="1:13" ht="20.100000000000001" customHeight="1" x14ac:dyDescent="0.25">
      <c r="A5" s="23">
        <v>1</v>
      </c>
      <c r="B5" s="35" t="s">
        <v>361</v>
      </c>
      <c r="C5" s="36"/>
    </row>
    <row r="6" spans="1:13" ht="20.100000000000001" customHeight="1" x14ac:dyDescent="0.25">
      <c r="A6" s="13">
        <v>2</v>
      </c>
      <c r="B6" s="14" t="s">
        <v>362</v>
      </c>
      <c r="C6" s="21">
        <f>data!C250</f>
        <v>6504173</v>
      </c>
    </row>
    <row r="7" spans="1:13" ht="20.100000000000001" customHeight="1" x14ac:dyDescent="0.25">
      <c r="A7" s="13">
        <v>3</v>
      </c>
      <c r="B7" s="14" t="s">
        <v>363</v>
      </c>
      <c r="C7" s="21">
        <f>data!C251</f>
        <v>0</v>
      </c>
    </row>
    <row r="8" spans="1:13" ht="20.100000000000001" customHeight="1" x14ac:dyDescent="0.25">
      <c r="A8" s="13">
        <v>4</v>
      </c>
      <c r="B8" s="14" t="s">
        <v>364</v>
      </c>
      <c r="C8" s="21">
        <f>data!C252</f>
        <v>135603831</v>
      </c>
    </row>
    <row r="9" spans="1:13" ht="20.100000000000001" customHeight="1" x14ac:dyDescent="0.25">
      <c r="A9" s="13">
        <v>5</v>
      </c>
      <c r="B9" s="14" t="s">
        <v>1104</v>
      </c>
      <c r="C9" s="21">
        <f>data!C253</f>
        <v>108077311</v>
      </c>
    </row>
    <row r="10" spans="1:13" ht="20.100000000000001" customHeight="1" x14ac:dyDescent="0.25">
      <c r="A10" s="13">
        <v>6</v>
      </c>
      <c r="B10" s="14" t="s">
        <v>1105</v>
      </c>
      <c r="C10" s="21">
        <f>data!C254</f>
        <v>0</v>
      </c>
    </row>
    <row r="11" spans="1:13" ht="20.100000000000001" customHeight="1" x14ac:dyDescent="0.25">
      <c r="A11" s="13">
        <v>7</v>
      </c>
      <c r="B11" s="14" t="s">
        <v>1106</v>
      </c>
      <c r="C11" s="21">
        <f>data!C255</f>
        <v>1727750</v>
      </c>
    </row>
    <row r="12" spans="1:13" ht="20.100000000000001" customHeight="1" x14ac:dyDescent="0.25">
      <c r="A12" s="13">
        <v>8</v>
      </c>
      <c r="B12" s="14" t="s">
        <v>367</v>
      </c>
      <c r="C12" s="21">
        <f>data!C256</f>
        <v>0</v>
      </c>
    </row>
    <row r="13" spans="1:13" ht="20.100000000000001" customHeight="1" x14ac:dyDescent="0.25">
      <c r="A13" s="13">
        <v>9</v>
      </c>
      <c r="B13" s="14" t="s">
        <v>368</v>
      </c>
      <c r="C13" s="21">
        <f>data!C257</f>
        <v>4339815</v>
      </c>
    </row>
    <row r="14" spans="1:13" ht="20.100000000000001" customHeight="1" x14ac:dyDescent="0.25">
      <c r="A14" s="13">
        <v>10</v>
      </c>
      <c r="B14" s="14" t="s">
        <v>369</v>
      </c>
      <c r="C14" s="21">
        <f>data!C258</f>
        <v>438889</v>
      </c>
    </row>
    <row r="15" spans="1:13" ht="20.100000000000001" customHeight="1" x14ac:dyDescent="0.25">
      <c r="A15" s="13">
        <v>11</v>
      </c>
      <c r="B15" s="14" t="s">
        <v>1107</v>
      </c>
      <c r="C15" s="21">
        <f>data!C259</f>
        <v>0</v>
      </c>
      <c r="M15" s="263"/>
    </row>
    <row r="16" spans="1:13" ht="20.100000000000001" customHeight="1" x14ac:dyDescent="0.25">
      <c r="A16" s="13">
        <v>12</v>
      </c>
      <c r="B16" s="14" t="s">
        <v>1108</v>
      </c>
      <c r="C16" s="21">
        <f>data!D260</f>
        <v>40537147</v>
      </c>
    </row>
    <row r="17" spans="1:3" ht="20.100000000000001" customHeight="1" x14ac:dyDescent="0.25">
      <c r="A17" s="13">
        <v>13</v>
      </c>
      <c r="B17" s="24"/>
      <c r="C17" s="24"/>
    </row>
    <row r="18" spans="1:3" ht="20.100000000000001" customHeight="1" x14ac:dyDescent="0.25">
      <c r="A18" s="13">
        <v>14</v>
      </c>
      <c r="B18" s="37" t="s">
        <v>1109</v>
      </c>
      <c r="C18" s="36"/>
    </row>
    <row r="19" spans="1:3" ht="20.100000000000001" customHeight="1" x14ac:dyDescent="0.25">
      <c r="A19" s="13">
        <v>15</v>
      </c>
      <c r="B19" s="14" t="s">
        <v>362</v>
      </c>
      <c r="C19" s="21">
        <f>data!C262</f>
        <v>0</v>
      </c>
    </row>
    <row r="20" spans="1:3" ht="20.100000000000001" customHeight="1" x14ac:dyDescent="0.25">
      <c r="A20" s="13">
        <v>16</v>
      </c>
      <c r="B20" s="14" t="s">
        <v>363</v>
      </c>
      <c r="C20" s="21">
        <f>data!C263</f>
        <v>0</v>
      </c>
    </row>
    <row r="21" spans="1:3" ht="20.100000000000001" customHeight="1" x14ac:dyDescent="0.25">
      <c r="A21" s="13">
        <v>17</v>
      </c>
      <c r="B21" s="14" t="s">
        <v>373</v>
      </c>
      <c r="C21" s="21">
        <f>data!C264</f>
        <v>0</v>
      </c>
    </row>
    <row r="22" spans="1:3" ht="20.100000000000001" customHeight="1" x14ac:dyDescent="0.25">
      <c r="A22" s="13">
        <v>18</v>
      </c>
      <c r="B22" s="14" t="s">
        <v>1110</v>
      </c>
      <c r="C22" s="21">
        <f>data!D265</f>
        <v>0</v>
      </c>
    </row>
    <row r="23" spans="1:3" ht="20.100000000000001" customHeight="1" x14ac:dyDescent="0.25">
      <c r="A23" s="13">
        <v>19</v>
      </c>
      <c r="B23" s="38"/>
      <c r="C23" s="24"/>
    </row>
    <row r="24" spans="1:3" ht="20.100000000000001" customHeight="1" x14ac:dyDescent="0.25">
      <c r="A24" s="13">
        <v>20</v>
      </c>
      <c r="B24" s="37" t="s">
        <v>1111</v>
      </c>
      <c r="C24" s="36"/>
    </row>
    <row r="25" spans="1:3" ht="20.100000000000001" customHeight="1" x14ac:dyDescent="0.25">
      <c r="A25" s="13">
        <v>21</v>
      </c>
      <c r="B25" s="14" t="s">
        <v>332</v>
      </c>
      <c r="C25" s="21">
        <f>data!C267</f>
        <v>7414345.5499999998</v>
      </c>
    </row>
    <row r="26" spans="1:3" ht="20.100000000000001" customHeight="1" x14ac:dyDescent="0.25">
      <c r="A26" s="13">
        <v>22</v>
      </c>
      <c r="B26" s="14" t="s">
        <v>333</v>
      </c>
      <c r="C26" s="21">
        <f>data!C268</f>
        <v>1128574.1200000001</v>
      </c>
    </row>
    <row r="27" spans="1:3" ht="20.100000000000001" customHeight="1" x14ac:dyDescent="0.25">
      <c r="A27" s="13">
        <v>23</v>
      </c>
      <c r="B27" s="14" t="s">
        <v>334</v>
      </c>
      <c r="C27" s="21">
        <f>data!C269</f>
        <v>93535040.25</v>
      </c>
    </row>
    <row r="28" spans="1:3" ht="20.100000000000001" customHeight="1" x14ac:dyDescent="0.25">
      <c r="A28" s="13">
        <v>24</v>
      </c>
      <c r="B28" s="14" t="s">
        <v>1112</v>
      </c>
      <c r="C28" s="21">
        <f>data!C270</f>
        <v>31644655</v>
      </c>
    </row>
    <row r="29" spans="1:3" ht="20.100000000000001" customHeight="1" x14ac:dyDescent="0.25">
      <c r="A29" s="13">
        <v>25</v>
      </c>
      <c r="B29" s="14" t="s">
        <v>336</v>
      </c>
      <c r="C29" s="21">
        <f>data!C271</f>
        <v>2515884</v>
      </c>
    </row>
    <row r="30" spans="1:3" ht="20.100000000000001" customHeight="1" x14ac:dyDescent="0.25">
      <c r="A30" s="13">
        <v>26</v>
      </c>
      <c r="B30" s="14" t="s">
        <v>378</v>
      </c>
      <c r="C30" s="21">
        <f>data!C272</f>
        <v>78515939</v>
      </c>
    </row>
    <row r="31" spans="1:3" ht="20.100000000000001" customHeight="1" x14ac:dyDescent="0.25">
      <c r="A31" s="13">
        <v>27</v>
      </c>
      <c r="B31" s="14" t="s">
        <v>339</v>
      </c>
      <c r="C31" s="21">
        <f>data!C273</f>
        <v>7186099</v>
      </c>
    </row>
    <row r="32" spans="1:3" ht="20.100000000000001" customHeight="1" x14ac:dyDescent="0.25">
      <c r="A32" s="13">
        <v>28</v>
      </c>
      <c r="B32" s="14" t="s">
        <v>340</v>
      </c>
      <c r="C32" s="21">
        <f>data!C274</f>
        <v>5314069</v>
      </c>
    </row>
    <row r="33" spans="1:3" ht="20.100000000000001" customHeight="1" x14ac:dyDescent="0.25">
      <c r="A33" s="13">
        <v>29</v>
      </c>
      <c r="B33" s="14" t="s">
        <v>661</v>
      </c>
      <c r="C33" s="21">
        <f>data!D275</f>
        <v>227254605.92000002</v>
      </c>
    </row>
    <row r="34" spans="1:3" ht="20.100000000000001" customHeight="1" x14ac:dyDescent="0.25">
      <c r="A34" s="13">
        <v>30</v>
      </c>
      <c r="B34" s="14" t="s">
        <v>1113</v>
      </c>
      <c r="C34" s="21">
        <f>data!C276</f>
        <v>79237641</v>
      </c>
    </row>
    <row r="35" spans="1:3" ht="20.100000000000001" customHeight="1" x14ac:dyDescent="0.25">
      <c r="A35" s="13">
        <v>31</v>
      </c>
      <c r="B35" s="14" t="s">
        <v>1114</v>
      </c>
      <c r="C35" s="21">
        <f>data!D277</f>
        <v>148016964.92000002</v>
      </c>
    </row>
    <row r="36" spans="1:3" ht="20.100000000000001" customHeight="1" x14ac:dyDescent="0.25">
      <c r="A36" s="13">
        <v>32</v>
      </c>
      <c r="B36" s="38"/>
      <c r="C36" s="24"/>
    </row>
    <row r="37" spans="1:3" ht="20.100000000000001" customHeight="1" x14ac:dyDescent="0.25">
      <c r="A37" s="23">
        <v>33</v>
      </c>
      <c r="B37" s="37" t="s">
        <v>1115</v>
      </c>
      <c r="C37" s="36"/>
    </row>
    <row r="38" spans="1:3" ht="20.100000000000001" customHeight="1" x14ac:dyDescent="0.25">
      <c r="A38" s="13">
        <v>34</v>
      </c>
      <c r="B38" s="14" t="s">
        <v>1116</v>
      </c>
      <c r="C38" s="21">
        <f>data!C279</f>
        <v>0</v>
      </c>
    </row>
    <row r="39" spans="1:3" ht="20.100000000000001" customHeight="1" x14ac:dyDescent="0.25">
      <c r="A39" s="13">
        <v>35</v>
      </c>
      <c r="B39" s="14" t="s">
        <v>1117</v>
      </c>
      <c r="C39" s="21">
        <f>data!C280</f>
        <v>0</v>
      </c>
    </row>
    <row r="40" spans="1:3" ht="20.100000000000001" customHeight="1" x14ac:dyDescent="0.25">
      <c r="A40" s="13">
        <v>36</v>
      </c>
      <c r="B40" s="14" t="s">
        <v>385</v>
      </c>
      <c r="C40" s="21">
        <f>data!C281</f>
        <v>34064802</v>
      </c>
    </row>
    <row r="41" spans="1:3" ht="20.100000000000001" customHeight="1" x14ac:dyDescent="0.25">
      <c r="A41" s="13">
        <v>37</v>
      </c>
      <c r="B41" s="14" t="s">
        <v>373</v>
      </c>
      <c r="C41" s="21">
        <f>data!C282</f>
        <v>15885348</v>
      </c>
    </row>
    <row r="42" spans="1:3" ht="20.100000000000001" customHeight="1" x14ac:dyDescent="0.25">
      <c r="A42" s="13">
        <v>38</v>
      </c>
      <c r="B42" s="14" t="s">
        <v>1118</v>
      </c>
      <c r="C42" s="21">
        <f>data!D283</f>
        <v>49950150</v>
      </c>
    </row>
    <row r="43" spans="1:3" ht="20.100000000000001" customHeight="1" x14ac:dyDescent="0.25">
      <c r="A43" s="13">
        <v>39</v>
      </c>
      <c r="B43" s="38"/>
      <c r="C43" s="24"/>
    </row>
    <row r="44" spans="1:3" ht="20.100000000000001" customHeight="1" x14ac:dyDescent="0.25">
      <c r="A44" s="23">
        <v>40</v>
      </c>
      <c r="B44" s="37" t="s">
        <v>1119</v>
      </c>
      <c r="C44" s="36"/>
    </row>
    <row r="45" spans="1:3" ht="20.100000000000001" customHeight="1" x14ac:dyDescent="0.25">
      <c r="A45" s="13">
        <v>41</v>
      </c>
      <c r="B45" s="14" t="s">
        <v>388</v>
      </c>
      <c r="C45" s="21">
        <f>data!C286</f>
        <v>1321026</v>
      </c>
    </row>
    <row r="46" spans="1:3" ht="20.100000000000001" customHeight="1" x14ac:dyDescent="0.25">
      <c r="A46" s="13">
        <v>42</v>
      </c>
      <c r="B46" s="14" t="s">
        <v>389</v>
      </c>
      <c r="C46" s="21">
        <f>data!C287</f>
        <v>0</v>
      </c>
    </row>
    <row r="47" spans="1:3" ht="20.100000000000001" customHeight="1" x14ac:dyDescent="0.25">
      <c r="A47" s="13">
        <v>43</v>
      </c>
      <c r="B47" s="14" t="s">
        <v>1120</v>
      </c>
      <c r="C47" s="21">
        <f>data!C288</f>
        <v>0</v>
      </c>
    </row>
    <row r="48" spans="1:3" ht="20.100000000000001" customHeight="1" x14ac:dyDescent="0.25">
      <c r="A48" s="13">
        <v>44</v>
      </c>
      <c r="B48" s="14" t="s">
        <v>391</v>
      </c>
      <c r="C48" s="21">
        <f>data!C289</f>
        <v>1615347</v>
      </c>
    </row>
    <row r="49" spans="1:3" ht="20.100000000000001" customHeight="1" x14ac:dyDescent="0.25">
      <c r="A49" s="13">
        <v>45</v>
      </c>
      <c r="B49" s="14" t="s">
        <v>1121</v>
      </c>
      <c r="C49" s="21">
        <f>data!D290</f>
        <v>2936373</v>
      </c>
    </row>
    <row r="50" spans="1:3" ht="20.100000000000001" customHeight="1" x14ac:dyDescent="0.25">
      <c r="A50" s="40">
        <v>46</v>
      </c>
      <c r="B50" s="41" t="s">
        <v>1122</v>
      </c>
      <c r="C50" s="21">
        <f>data!D292</f>
        <v>241440634.92000002</v>
      </c>
    </row>
    <row r="51" spans="1:3" ht="20.100000000000001" customHeight="1" x14ac:dyDescent="0.25"/>
    <row r="52" spans="1:3" ht="20.100000000000001" customHeight="1" x14ac:dyDescent="0.25"/>
    <row r="53" spans="1:3" ht="20.100000000000001" customHeight="1" x14ac:dyDescent="0.25">
      <c r="A53" s="4" t="s">
        <v>1123</v>
      </c>
      <c r="B53" s="5"/>
      <c r="C53" s="6"/>
    </row>
    <row r="54" spans="1:3" ht="20.100000000000001" customHeight="1" x14ac:dyDescent="0.25">
      <c r="A54" s="4"/>
      <c r="B54" s="5"/>
      <c r="C54" s="167" t="s">
        <v>1124</v>
      </c>
    </row>
    <row r="55" spans="1:3" ht="20.100000000000001" customHeight="1" x14ac:dyDescent="0.25">
      <c r="A55" s="29" t="str">
        <f>"HOSPITAL: "&amp;data!C84</f>
        <v>HOSPITAL: Highline Medical Center</v>
      </c>
      <c r="B55" s="30"/>
      <c r="C55" s="31" t="str">
        <f>"FYE: "&amp;data!C82</f>
        <v>FYE: 06/30/2019</v>
      </c>
    </row>
    <row r="56" spans="1:3" ht="20.100000000000001" customHeight="1" x14ac:dyDescent="0.25">
      <c r="A56" s="42"/>
      <c r="B56" s="43" t="s">
        <v>1125</v>
      </c>
      <c r="C56" s="34"/>
    </row>
    <row r="57" spans="1:3" ht="20.100000000000001" customHeight="1" x14ac:dyDescent="0.25">
      <c r="A57" s="16">
        <v>1</v>
      </c>
      <c r="B57" s="4" t="s">
        <v>395</v>
      </c>
      <c r="C57" s="44"/>
    </row>
    <row r="58" spans="1:3" ht="20.100000000000001" customHeight="1" x14ac:dyDescent="0.25">
      <c r="A58" s="13">
        <v>2</v>
      </c>
      <c r="B58" s="14" t="s">
        <v>396</v>
      </c>
      <c r="C58" s="21">
        <f>data!C304</f>
        <v>0</v>
      </c>
    </row>
    <row r="59" spans="1:3" ht="20.100000000000001" customHeight="1" x14ac:dyDescent="0.25">
      <c r="A59" s="13">
        <v>3</v>
      </c>
      <c r="B59" s="14" t="s">
        <v>1126</v>
      </c>
      <c r="C59" s="21">
        <f>data!C305</f>
        <v>1706499</v>
      </c>
    </row>
    <row r="60" spans="1:3" ht="20.100000000000001" customHeight="1" x14ac:dyDescent="0.25">
      <c r="A60" s="13">
        <v>4</v>
      </c>
      <c r="B60" s="14" t="s">
        <v>1127</v>
      </c>
      <c r="C60" s="21">
        <f>data!C306</f>
        <v>8292310</v>
      </c>
    </row>
    <row r="61" spans="1:3" ht="20.100000000000001" customHeight="1" x14ac:dyDescent="0.25">
      <c r="A61" s="13">
        <v>5</v>
      </c>
      <c r="B61" s="14" t="s">
        <v>399</v>
      </c>
      <c r="C61" s="21">
        <f>data!C307</f>
        <v>13830888</v>
      </c>
    </row>
    <row r="62" spans="1:3" ht="20.100000000000001" customHeight="1" x14ac:dyDescent="0.25">
      <c r="A62" s="13">
        <v>6</v>
      </c>
      <c r="B62" s="14" t="s">
        <v>1128</v>
      </c>
      <c r="C62" s="21">
        <f>data!C308</f>
        <v>0</v>
      </c>
    </row>
    <row r="63" spans="1:3" ht="20.100000000000001" customHeight="1" x14ac:dyDescent="0.25">
      <c r="A63" s="13">
        <v>7</v>
      </c>
      <c r="B63" s="14" t="s">
        <v>1129</v>
      </c>
      <c r="C63" s="21">
        <f>data!C309</f>
        <v>1295551</v>
      </c>
    </row>
    <row r="64" spans="1:3" ht="20.100000000000001" customHeight="1" x14ac:dyDescent="0.25">
      <c r="A64" s="13">
        <v>8</v>
      </c>
      <c r="B64" s="14" t="s">
        <v>401</v>
      </c>
      <c r="C64" s="21">
        <f>data!C310</f>
        <v>0</v>
      </c>
    </row>
    <row r="65" spans="1:3" ht="20.100000000000001" customHeight="1" x14ac:dyDescent="0.25">
      <c r="A65" s="13">
        <v>9</v>
      </c>
      <c r="B65" s="14" t="s">
        <v>402</v>
      </c>
      <c r="C65" s="21">
        <f>data!C311</f>
        <v>0</v>
      </c>
    </row>
    <row r="66" spans="1:3" ht="20.100000000000001" customHeight="1" x14ac:dyDescent="0.25">
      <c r="A66" s="13">
        <v>10</v>
      </c>
      <c r="B66" s="14" t="s">
        <v>403</v>
      </c>
      <c r="C66" s="21">
        <f>data!C312</f>
        <v>0</v>
      </c>
    </row>
    <row r="67" spans="1:3" ht="20.100000000000001" customHeight="1" x14ac:dyDescent="0.25">
      <c r="A67" s="13">
        <v>11</v>
      </c>
      <c r="B67" s="14" t="s">
        <v>1130</v>
      </c>
      <c r="C67" s="21">
        <f>data!C313</f>
        <v>4499213</v>
      </c>
    </row>
    <row r="68" spans="1:3" ht="20.100000000000001" customHeight="1" x14ac:dyDescent="0.25">
      <c r="A68" s="13">
        <v>12</v>
      </c>
      <c r="B68" s="14" t="s">
        <v>1131</v>
      </c>
      <c r="C68" s="21">
        <f>data!D314</f>
        <v>29624461</v>
      </c>
    </row>
    <row r="69" spans="1:3" ht="20.100000000000001" customHeight="1" x14ac:dyDescent="0.25">
      <c r="A69" s="13">
        <v>13</v>
      </c>
      <c r="B69" s="38"/>
      <c r="C69" s="24"/>
    </row>
    <row r="70" spans="1:3" ht="20.100000000000001" customHeight="1" x14ac:dyDescent="0.25">
      <c r="A70" s="13">
        <v>14</v>
      </c>
      <c r="B70" s="37" t="s">
        <v>1132</v>
      </c>
      <c r="C70" s="36"/>
    </row>
    <row r="71" spans="1:3" ht="20.100000000000001" customHeight="1" x14ac:dyDescent="0.25">
      <c r="A71" s="13">
        <v>15</v>
      </c>
      <c r="B71" s="14" t="s">
        <v>407</v>
      </c>
      <c r="C71" s="21">
        <f>data!C316</f>
        <v>0</v>
      </c>
    </row>
    <row r="72" spans="1:3" ht="20.100000000000001" customHeight="1" x14ac:dyDescent="0.25">
      <c r="A72" s="13">
        <v>16</v>
      </c>
      <c r="B72" s="14" t="s">
        <v>1133</v>
      </c>
      <c r="C72" s="21">
        <f>data!C317</f>
        <v>0</v>
      </c>
    </row>
    <row r="73" spans="1:3" ht="20.100000000000001" customHeight="1" x14ac:dyDescent="0.25">
      <c r="A73" s="13">
        <v>17</v>
      </c>
      <c r="B73" s="14" t="s">
        <v>409</v>
      </c>
      <c r="C73" s="21">
        <f>data!C318</f>
        <v>1860380</v>
      </c>
    </row>
    <row r="74" spans="1:3" ht="20.100000000000001" customHeight="1" x14ac:dyDescent="0.25">
      <c r="A74" s="13">
        <v>18</v>
      </c>
      <c r="B74" s="14" t="s">
        <v>1134</v>
      </c>
      <c r="C74" s="21">
        <f>data!D319</f>
        <v>1860380</v>
      </c>
    </row>
    <row r="75" spans="1:3" ht="20.100000000000001" customHeight="1" x14ac:dyDescent="0.25">
      <c r="A75" s="13">
        <v>19</v>
      </c>
      <c r="B75" s="38"/>
      <c r="C75" s="24"/>
    </row>
    <row r="76" spans="1:3" ht="20.100000000000001" customHeight="1" x14ac:dyDescent="0.25">
      <c r="A76" s="23">
        <v>20</v>
      </c>
      <c r="B76" s="37" t="s">
        <v>411</v>
      </c>
      <c r="C76" s="36"/>
    </row>
    <row r="77" spans="1:3" ht="20.100000000000001" customHeight="1" x14ac:dyDescent="0.25">
      <c r="A77" s="13">
        <v>21</v>
      </c>
      <c r="B77" s="14" t="s">
        <v>412</v>
      </c>
      <c r="C77" s="21">
        <f>data!C321</f>
        <v>0</v>
      </c>
    </row>
    <row r="78" spans="1:3" ht="20.100000000000001" customHeight="1" x14ac:dyDescent="0.25">
      <c r="A78" s="13">
        <v>22</v>
      </c>
      <c r="B78" s="14" t="s">
        <v>1135</v>
      </c>
      <c r="C78" s="21">
        <f>data!C322</f>
        <v>0</v>
      </c>
    </row>
    <row r="79" spans="1:3" ht="20.100000000000001" customHeight="1" x14ac:dyDescent="0.25">
      <c r="A79" s="13">
        <v>23</v>
      </c>
      <c r="B79" s="14" t="s">
        <v>414</v>
      </c>
      <c r="C79" s="21">
        <f>data!C323</f>
        <v>447980</v>
      </c>
    </row>
    <row r="80" spans="1:3" ht="20.100000000000001" customHeight="1" x14ac:dyDescent="0.25">
      <c r="A80" s="13">
        <v>24</v>
      </c>
      <c r="B80" s="14" t="s">
        <v>1136</v>
      </c>
      <c r="C80" s="21">
        <f>data!C324</f>
        <v>248614</v>
      </c>
    </row>
    <row r="81" spans="1:3" ht="20.100000000000001" customHeight="1" x14ac:dyDescent="0.25">
      <c r="A81" s="13">
        <v>25</v>
      </c>
      <c r="B81" s="14" t="s">
        <v>416</v>
      </c>
      <c r="C81" s="21">
        <f>data!C325</f>
        <v>0</v>
      </c>
    </row>
    <row r="82" spans="1:3" ht="20.100000000000001" customHeight="1" x14ac:dyDescent="0.25">
      <c r="A82" s="13">
        <v>26</v>
      </c>
      <c r="B82" s="14" t="s">
        <v>1137</v>
      </c>
      <c r="C82" s="21">
        <f>data!C326</f>
        <v>103173517</v>
      </c>
    </row>
    <row r="83" spans="1:3" ht="20.100000000000001" customHeight="1" x14ac:dyDescent="0.25">
      <c r="A83" s="13">
        <v>27</v>
      </c>
      <c r="B83" s="14" t="s">
        <v>418</v>
      </c>
      <c r="C83" s="21">
        <f>data!C327</f>
        <v>2792410</v>
      </c>
    </row>
    <row r="84" spans="1:3" ht="20.100000000000001" customHeight="1" x14ac:dyDescent="0.25">
      <c r="A84" s="13">
        <v>28</v>
      </c>
      <c r="B84" s="14" t="s">
        <v>661</v>
      </c>
      <c r="C84" s="21">
        <f>data!D328</f>
        <v>106662521</v>
      </c>
    </row>
    <row r="85" spans="1:3" ht="20.100000000000001" customHeight="1" x14ac:dyDescent="0.25">
      <c r="A85" s="13">
        <v>29</v>
      </c>
      <c r="B85" s="14" t="s">
        <v>1138</v>
      </c>
      <c r="C85" s="21">
        <f>data!D329</f>
        <v>4499213</v>
      </c>
    </row>
    <row r="86" spans="1:3" ht="20.100000000000001" customHeight="1" x14ac:dyDescent="0.25">
      <c r="A86" s="13">
        <v>30</v>
      </c>
      <c r="B86" s="14" t="s">
        <v>1139</v>
      </c>
      <c r="C86" s="21">
        <f>data!D330</f>
        <v>102163308</v>
      </c>
    </row>
    <row r="87" spans="1:3" ht="20.100000000000001" customHeight="1" x14ac:dyDescent="0.25">
      <c r="A87" s="13">
        <v>31</v>
      </c>
      <c r="B87" s="38"/>
      <c r="C87" s="24"/>
    </row>
    <row r="88" spans="1:3" ht="20.100000000000001" customHeight="1" x14ac:dyDescent="0.25">
      <c r="A88" s="13">
        <v>32</v>
      </c>
      <c r="B88" s="89" t="s">
        <v>1140</v>
      </c>
      <c r="C88" s="21">
        <f>data!C332</f>
        <v>107792486</v>
      </c>
    </row>
    <row r="89" spans="1:3" ht="20.100000000000001" customHeight="1" x14ac:dyDescent="0.25">
      <c r="A89" s="13">
        <v>33</v>
      </c>
      <c r="B89" s="24"/>
      <c r="C89" s="24"/>
    </row>
    <row r="90" spans="1:3" ht="20.100000000000001" customHeight="1" x14ac:dyDescent="0.25">
      <c r="A90" s="13">
        <v>34</v>
      </c>
      <c r="B90" s="37" t="s">
        <v>1141</v>
      </c>
      <c r="C90" s="36"/>
    </row>
    <row r="91" spans="1:3" ht="20.100000000000001" customHeight="1" x14ac:dyDescent="0.25">
      <c r="A91" s="13">
        <v>35</v>
      </c>
      <c r="B91" s="14" t="s">
        <v>1142</v>
      </c>
      <c r="C91" s="21">
        <f>data!C334</f>
        <v>0</v>
      </c>
    </row>
    <row r="92" spans="1:3" ht="20.100000000000001" customHeight="1" x14ac:dyDescent="0.25">
      <c r="A92" s="13">
        <v>36</v>
      </c>
      <c r="B92" s="38"/>
      <c r="C92" s="24"/>
    </row>
    <row r="93" spans="1:3" ht="20.100000000000001" customHeight="1" x14ac:dyDescent="0.25">
      <c r="A93" s="13">
        <v>37</v>
      </c>
      <c r="B93" s="14" t="s">
        <v>1143</v>
      </c>
      <c r="C93" s="21">
        <f>data!C335</f>
        <v>0</v>
      </c>
    </row>
    <row r="94" spans="1:3" ht="20.100000000000001" customHeight="1" x14ac:dyDescent="0.25">
      <c r="A94" s="13">
        <v>38</v>
      </c>
      <c r="B94" s="38"/>
      <c r="C94" s="24"/>
    </row>
    <row r="95" spans="1:3" ht="20.100000000000001" customHeight="1" x14ac:dyDescent="0.25">
      <c r="A95" s="13">
        <v>39</v>
      </c>
      <c r="B95" s="14" t="s">
        <v>1144</v>
      </c>
      <c r="C95" s="21">
        <f>data!C336</f>
        <v>0</v>
      </c>
    </row>
    <row r="96" spans="1:3" ht="20.100000000000001" customHeight="1" x14ac:dyDescent="0.25">
      <c r="A96" s="13">
        <v>40</v>
      </c>
      <c r="B96" s="38"/>
      <c r="C96" s="24"/>
    </row>
    <row r="97" spans="1:3" ht="20.100000000000001" customHeight="1" x14ac:dyDescent="0.25">
      <c r="A97" s="13">
        <v>41</v>
      </c>
      <c r="B97" s="14" t="s">
        <v>1145</v>
      </c>
      <c r="C97" s="21">
        <f>data!C337</f>
        <v>0</v>
      </c>
    </row>
    <row r="98" spans="1:3" ht="20.100000000000001" customHeight="1" x14ac:dyDescent="0.25">
      <c r="A98" s="13">
        <v>42</v>
      </c>
      <c r="B98" s="14" t="s">
        <v>1146</v>
      </c>
      <c r="C98" s="24"/>
    </row>
    <row r="99" spans="1:3" ht="20.100000000000001" customHeight="1" x14ac:dyDescent="0.25">
      <c r="A99" s="13">
        <v>43</v>
      </c>
      <c r="B99" s="38"/>
      <c r="C99" s="24"/>
    </row>
    <row r="100" spans="1:3" ht="20.100000000000001" customHeight="1" x14ac:dyDescent="0.25">
      <c r="A100" s="13">
        <v>44</v>
      </c>
      <c r="B100" s="14" t="s">
        <v>1147</v>
      </c>
      <c r="C100" s="21">
        <f>data!C338</f>
        <v>0</v>
      </c>
    </row>
    <row r="101" spans="1:3" ht="20.100000000000001" customHeight="1" x14ac:dyDescent="0.25">
      <c r="A101" s="13">
        <v>45</v>
      </c>
      <c r="B101" s="14" t="s">
        <v>1148</v>
      </c>
      <c r="C101" s="21">
        <f>data!C332+data!C334+data!C335+data!C336+data!C337-data!C338</f>
        <v>107792486</v>
      </c>
    </row>
    <row r="102" spans="1:3" ht="20.100000000000001" customHeight="1" x14ac:dyDescent="0.25">
      <c r="A102" s="13">
        <v>46</v>
      </c>
      <c r="B102" s="14" t="s">
        <v>1149</v>
      </c>
      <c r="C102" s="21">
        <f>data!D339</f>
        <v>241440635</v>
      </c>
    </row>
    <row r="103" spans="1:3" ht="20.100000000000001" customHeight="1" x14ac:dyDescent="0.25"/>
    <row r="104" spans="1:3" ht="20.100000000000001" customHeight="1" x14ac:dyDescent="0.25"/>
    <row r="105" spans="1:3" ht="20.100000000000001" customHeight="1" x14ac:dyDescent="0.25">
      <c r="A105" s="4" t="s">
        <v>1150</v>
      </c>
      <c r="B105" s="5"/>
      <c r="C105" s="6"/>
    </row>
    <row r="106" spans="1:3" ht="20.100000000000001" customHeight="1" x14ac:dyDescent="0.25">
      <c r="A106" s="45"/>
      <c r="B106" s="8"/>
      <c r="C106" s="167" t="s">
        <v>1151</v>
      </c>
    </row>
    <row r="107" spans="1:3" ht="20.100000000000001" customHeight="1" x14ac:dyDescent="0.25">
      <c r="A107" s="29" t="str">
        <f>"HOSPITAL: "&amp;data!C84</f>
        <v>HOSPITAL: Highline Medical Center</v>
      </c>
      <c r="B107" s="30"/>
      <c r="C107" s="31" t="str">
        <f>" FYE: "&amp;data!C82</f>
        <v xml:space="preserve"> FYE: 06/30/2019</v>
      </c>
    </row>
    <row r="108" spans="1:3" ht="20.100000000000001" customHeight="1" x14ac:dyDescent="0.25">
      <c r="A108" s="32"/>
      <c r="B108" s="46"/>
      <c r="C108" s="47"/>
    </row>
    <row r="109" spans="1:3" ht="20.100000000000001" customHeight="1" x14ac:dyDescent="0.25">
      <c r="A109" s="13">
        <v>1</v>
      </c>
      <c r="B109" s="37" t="s">
        <v>1152</v>
      </c>
      <c r="C109" s="36"/>
    </row>
    <row r="110" spans="1:3" ht="20.100000000000001" customHeight="1" x14ac:dyDescent="0.25">
      <c r="A110" s="13">
        <v>2</v>
      </c>
      <c r="B110" s="14" t="s">
        <v>428</v>
      </c>
      <c r="C110" s="21">
        <f>data!C359</f>
        <v>403341854</v>
      </c>
    </row>
    <row r="111" spans="1:3" ht="20.100000000000001" customHeight="1" x14ac:dyDescent="0.25">
      <c r="A111" s="13">
        <v>3</v>
      </c>
      <c r="B111" s="14" t="s">
        <v>429</v>
      </c>
      <c r="C111" s="21">
        <f>data!C360</f>
        <v>615618115</v>
      </c>
    </row>
    <row r="112" spans="1:3" ht="20.100000000000001" customHeight="1" x14ac:dyDescent="0.25">
      <c r="A112" s="13">
        <v>4</v>
      </c>
      <c r="B112" s="14" t="s">
        <v>1153</v>
      </c>
      <c r="C112" s="21">
        <f>data!D361</f>
        <v>1018959969</v>
      </c>
    </row>
    <row r="113" spans="1:3" ht="20.100000000000001" customHeight="1" x14ac:dyDescent="0.25">
      <c r="A113" s="13">
        <v>5</v>
      </c>
      <c r="B113" s="38"/>
      <c r="C113" s="24"/>
    </row>
    <row r="114" spans="1:3" ht="20.100000000000001" customHeight="1" x14ac:dyDescent="0.25">
      <c r="A114" s="13">
        <v>6</v>
      </c>
      <c r="B114" s="37" t="s">
        <v>1154</v>
      </c>
      <c r="C114" s="36"/>
    </row>
    <row r="115" spans="1:3" ht="20.100000000000001" customHeight="1" x14ac:dyDescent="0.25">
      <c r="A115" s="13">
        <v>7</v>
      </c>
      <c r="B115" s="268" t="s">
        <v>450</v>
      </c>
      <c r="C115" s="48">
        <f>data!C363</f>
        <v>13768239</v>
      </c>
    </row>
    <row r="116" spans="1:3" ht="20.100000000000001" customHeight="1" x14ac:dyDescent="0.25">
      <c r="A116" s="13">
        <v>8</v>
      </c>
      <c r="B116" s="14" t="s">
        <v>432</v>
      </c>
      <c r="C116" s="48">
        <f>data!C364</f>
        <v>761595891</v>
      </c>
    </row>
    <row r="117" spans="1:3" ht="20.100000000000001" customHeight="1" x14ac:dyDescent="0.25">
      <c r="A117" s="13">
        <v>9</v>
      </c>
      <c r="B117" s="14" t="s">
        <v>1155</v>
      </c>
      <c r="C117" s="48">
        <f>data!C365</f>
        <v>15449005</v>
      </c>
    </row>
    <row r="118" spans="1:3" ht="20.100000000000001" customHeight="1" x14ac:dyDescent="0.25">
      <c r="A118" s="13">
        <v>10</v>
      </c>
      <c r="B118" s="14" t="s">
        <v>1156</v>
      </c>
      <c r="C118" s="48">
        <f>data!C366</f>
        <v>14462043</v>
      </c>
    </row>
    <row r="119" spans="1:3" ht="20.100000000000001" customHeight="1" x14ac:dyDescent="0.25">
      <c r="A119" s="13">
        <v>11</v>
      </c>
      <c r="B119" s="14" t="s">
        <v>1099</v>
      </c>
      <c r="C119" s="48">
        <f>data!D367</f>
        <v>805275178</v>
      </c>
    </row>
    <row r="120" spans="1:3" ht="20.100000000000001" customHeight="1" x14ac:dyDescent="0.25">
      <c r="A120" s="13">
        <v>12</v>
      </c>
      <c r="B120" s="14" t="s">
        <v>1157</v>
      </c>
      <c r="C120" s="48">
        <f>data!D368</f>
        <v>213684791</v>
      </c>
    </row>
    <row r="121" spans="1:3" ht="20.100000000000001" customHeight="1" x14ac:dyDescent="0.25">
      <c r="A121" s="13">
        <v>13</v>
      </c>
      <c r="B121" s="38"/>
      <c r="C121" s="24"/>
    </row>
    <row r="122" spans="1:3" ht="20.100000000000001" customHeight="1" x14ac:dyDescent="0.25">
      <c r="A122" s="13">
        <v>14</v>
      </c>
      <c r="B122" s="37" t="s">
        <v>436</v>
      </c>
      <c r="C122" s="36"/>
    </row>
    <row r="123" spans="1:3" ht="20.100000000000001" customHeight="1" x14ac:dyDescent="0.25">
      <c r="A123" s="13">
        <v>15</v>
      </c>
      <c r="B123" s="14" t="s">
        <v>437</v>
      </c>
      <c r="C123" s="48">
        <f>data!C370</f>
        <v>12329879</v>
      </c>
    </row>
    <row r="124" spans="1:3" ht="20.100000000000001" customHeight="1" x14ac:dyDescent="0.25">
      <c r="A124" s="13">
        <v>16</v>
      </c>
      <c r="B124" s="14" t="s">
        <v>438</v>
      </c>
      <c r="C124" s="48">
        <f>data!C371</f>
        <v>0</v>
      </c>
    </row>
    <row r="125" spans="1:3" ht="20.100000000000001" customHeight="1" x14ac:dyDescent="0.25">
      <c r="A125" s="13">
        <v>17</v>
      </c>
      <c r="B125" s="14" t="s">
        <v>1158</v>
      </c>
      <c r="C125" s="48">
        <f>data!D372</f>
        <v>12329879</v>
      </c>
    </row>
    <row r="126" spans="1:3" ht="20.100000000000001" customHeight="1" x14ac:dyDescent="0.25">
      <c r="A126" s="13">
        <v>18</v>
      </c>
      <c r="B126" s="14" t="s">
        <v>1159</v>
      </c>
      <c r="C126" s="48">
        <f>data!D373</f>
        <v>226014670</v>
      </c>
    </row>
    <row r="127" spans="1:3" ht="20.100000000000001" customHeight="1" x14ac:dyDescent="0.25">
      <c r="A127" s="13">
        <v>19</v>
      </c>
      <c r="B127" s="38"/>
      <c r="C127" s="24"/>
    </row>
    <row r="128" spans="1:3" ht="20.100000000000001" customHeight="1" x14ac:dyDescent="0.25">
      <c r="A128" s="13">
        <v>20</v>
      </c>
      <c r="B128" s="37" t="s">
        <v>1160</v>
      </c>
      <c r="C128" s="36"/>
    </row>
    <row r="129" spans="1:3" ht="20.100000000000001" customHeight="1" x14ac:dyDescent="0.25">
      <c r="A129" s="13">
        <v>21</v>
      </c>
      <c r="B129" s="14" t="s">
        <v>442</v>
      </c>
      <c r="C129" s="48">
        <f>data!C378</f>
        <v>87964708</v>
      </c>
    </row>
    <row r="130" spans="1:3" ht="20.100000000000001" customHeight="1" x14ac:dyDescent="0.25">
      <c r="A130" s="13">
        <v>22</v>
      </c>
      <c r="B130" s="14" t="s">
        <v>3</v>
      </c>
      <c r="C130" s="48">
        <f>data!C379</f>
        <v>21872148</v>
      </c>
    </row>
    <row r="131" spans="1:3" ht="20.100000000000001" customHeight="1" x14ac:dyDescent="0.25">
      <c r="A131" s="13">
        <v>23</v>
      </c>
      <c r="B131" s="14" t="s">
        <v>236</v>
      </c>
      <c r="C131" s="48">
        <f>data!C380</f>
        <v>9287563</v>
      </c>
    </row>
    <row r="132" spans="1:3" ht="20.100000000000001" customHeight="1" x14ac:dyDescent="0.25">
      <c r="A132" s="13">
        <v>24</v>
      </c>
      <c r="B132" s="14" t="s">
        <v>237</v>
      </c>
      <c r="C132" s="48">
        <f>data!C381</f>
        <v>26236478</v>
      </c>
    </row>
    <row r="133" spans="1:3" ht="20.100000000000001" customHeight="1" x14ac:dyDescent="0.25">
      <c r="A133" s="13">
        <v>25</v>
      </c>
      <c r="B133" s="14" t="s">
        <v>1161</v>
      </c>
      <c r="C133" s="48">
        <f>data!C382</f>
        <v>1974554</v>
      </c>
    </row>
    <row r="134" spans="1:3" ht="20.100000000000001" customHeight="1" x14ac:dyDescent="0.25">
      <c r="A134" s="13">
        <v>26</v>
      </c>
      <c r="B134" s="14" t="s">
        <v>1162</v>
      </c>
      <c r="C134" s="48">
        <f>data!C383</f>
        <v>55583613</v>
      </c>
    </row>
    <row r="135" spans="1:3" ht="20.100000000000001" customHeight="1" x14ac:dyDescent="0.25">
      <c r="A135" s="13">
        <v>27</v>
      </c>
      <c r="B135" s="14" t="s">
        <v>6</v>
      </c>
      <c r="C135" s="48">
        <f>data!C384</f>
        <v>16180636</v>
      </c>
    </row>
    <row r="136" spans="1:3" ht="20.100000000000001" customHeight="1" x14ac:dyDescent="0.25">
      <c r="A136" s="13">
        <v>28</v>
      </c>
      <c r="B136" s="14" t="s">
        <v>1163</v>
      </c>
      <c r="C136" s="48">
        <f>data!C385</f>
        <v>5065610</v>
      </c>
    </row>
    <row r="137" spans="1:3" ht="20.100000000000001" customHeight="1" x14ac:dyDescent="0.25">
      <c r="A137" s="13">
        <v>29</v>
      </c>
      <c r="B137" s="14" t="s">
        <v>447</v>
      </c>
      <c r="C137" s="48">
        <f>data!C386</f>
        <v>2638736</v>
      </c>
    </row>
    <row r="138" spans="1:3" ht="20.100000000000001" customHeight="1" x14ac:dyDescent="0.25">
      <c r="A138" s="13">
        <v>30</v>
      </c>
      <c r="B138" s="14" t="s">
        <v>1164</v>
      </c>
      <c r="C138" s="48">
        <f>data!C387</f>
        <v>7963897</v>
      </c>
    </row>
    <row r="139" spans="1:3" ht="20.100000000000001" customHeight="1" x14ac:dyDescent="0.25">
      <c r="A139" s="13">
        <v>31</v>
      </c>
      <c r="B139" s="14" t="s">
        <v>449</v>
      </c>
      <c r="C139" s="48">
        <f>data!C388</f>
        <v>5027117</v>
      </c>
    </row>
    <row r="140" spans="1:3" ht="20.100000000000001" customHeight="1" x14ac:dyDescent="0.25">
      <c r="A140" s="13">
        <v>32</v>
      </c>
      <c r="B140" s="14" t="s">
        <v>241</v>
      </c>
      <c r="C140" s="48">
        <f>data!C389</f>
        <v>2696976</v>
      </c>
    </row>
    <row r="141" spans="1:3" ht="20.100000000000001" customHeight="1" x14ac:dyDescent="0.25">
      <c r="A141" s="13">
        <v>34</v>
      </c>
      <c r="B141" s="14" t="s">
        <v>1165</v>
      </c>
      <c r="C141" s="48">
        <f>data!D390</f>
        <v>242492036</v>
      </c>
    </row>
    <row r="142" spans="1:3" ht="20.100000000000001" customHeight="1" x14ac:dyDescent="0.25">
      <c r="A142" s="13">
        <v>35</v>
      </c>
      <c r="B142" s="14" t="s">
        <v>1166</v>
      </c>
      <c r="C142" s="48">
        <f>data!D391</f>
        <v>-16477366</v>
      </c>
    </row>
    <row r="143" spans="1:3" ht="20.100000000000001" customHeight="1" x14ac:dyDescent="0.25">
      <c r="A143" s="13">
        <v>36</v>
      </c>
      <c r="B143" s="38"/>
      <c r="C143" s="24"/>
    </row>
    <row r="144" spans="1:3" ht="20.100000000000001" customHeight="1" x14ac:dyDescent="0.25">
      <c r="A144" s="13">
        <v>37</v>
      </c>
      <c r="B144" s="14" t="s">
        <v>1167</v>
      </c>
      <c r="C144" s="48">
        <f>data!C392</f>
        <v>806529.92999999993</v>
      </c>
    </row>
    <row r="145" spans="1:3" ht="20.100000000000001" customHeight="1" x14ac:dyDescent="0.25">
      <c r="A145" s="13">
        <v>38</v>
      </c>
      <c r="B145" s="38"/>
      <c r="C145" s="24"/>
    </row>
    <row r="146" spans="1:3" ht="20.100000000000001" customHeight="1" x14ac:dyDescent="0.25">
      <c r="A146" s="13">
        <v>39</v>
      </c>
      <c r="B146" s="14" t="s">
        <v>1168</v>
      </c>
      <c r="C146" s="21">
        <f>data!D393</f>
        <v>-15670836.07</v>
      </c>
    </row>
    <row r="147" spans="1:3" ht="20.100000000000001" customHeight="1" x14ac:dyDescent="0.25">
      <c r="A147" s="13">
        <v>40</v>
      </c>
      <c r="B147" s="38"/>
      <c r="C147" s="24"/>
    </row>
    <row r="148" spans="1:3" ht="20.100000000000001" customHeight="1" x14ac:dyDescent="0.25">
      <c r="A148" s="13">
        <v>41</v>
      </c>
      <c r="B148" s="14" t="s">
        <v>1169</v>
      </c>
      <c r="C148" s="48">
        <f>data!C394</f>
        <v>0</v>
      </c>
    </row>
    <row r="149" spans="1:3" ht="20.100000000000001" customHeight="1" x14ac:dyDescent="0.25">
      <c r="A149" s="13">
        <v>42</v>
      </c>
      <c r="B149" s="14" t="s">
        <v>1170</v>
      </c>
      <c r="C149" s="48">
        <f>data!C395</f>
        <v>0</v>
      </c>
    </row>
    <row r="150" spans="1:3" ht="20.100000000000001" customHeight="1" x14ac:dyDescent="0.25">
      <c r="A150" s="13">
        <v>43</v>
      </c>
      <c r="B150" s="38"/>
      <c r="C150" s="24"/>
    </row>
    <row r="151" spans="1:3" ht="20.100000000000001" customHeight="1" x14ac:dyDescent="0.25">
      <c r="A151" s="13">
        <v>44</v>
      </c>
      <c r="B151" s="14" t="s">
        <v>1171</v>
      </c>
      <c r="C151" s="48">
        <f>data!D396</f>
        <v>-15670836.07</v>
      </c>
    </row>
    <row r="152" spans="1:3" ht="20.100000000000001" customHeight="1" x14ac:dyDescent="0.25">
      <c r="A152" s="40">
        <v>45</v>
      </c>
      <c r="B152" s="49" t="s">
        <v>1172</v>
      </c>
      <c r="C152" s="24"/>
    </row>
    <row r="153" spans="1:3" ht="20.100000000000001" customHeight="1" x14ac:dyDescent="0.25">
      <c r="A153" s="69"/>
      <c r="B153" s="50"/>
      <c r="C153" s="51"/>
    </row>
  </sheetData>
  <phoneticPr fontId="0" type="noConversion"/>
  <printOptions horizontalCentered="1" verticalCentered="1" gridLinesSet="0"/>
  <pageMargins left="0" right="0" top="0" bottom="0" header="0" footer="0"/>
  <pageSetup scale="75" fitToHeight="3" orientation="portrait" r:id="rId1"/>
  <headerFooter alignWithMargins="0"/>
  <rowBreaks count="2" manualBreakCount="2">
    <brk id="50" max="65535" man="1"/>
    <brk id="101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data</vt:lpstr>
      <vt:lpstr>HL Data</vt:lpstr>
      <vt:lpstr>Transmittal</vt:lpstr>
      <vt:lpstr>INFO_PG1</vt:lpstr>
      <vt:lpstr>INFO_PG2</vt:lpstr>
      <vt:lpstr>SS2_3_5_6</vt:lpstr>
      <vt:lpstr>SS4</vt:lpstr>
      <vt:lpstr>SS8</vt:lpstr>
      <vt:lpstr>FS</vt:lpstr>
      <vt:lpstr>CC's</vt:lpstr>
      <vt:lpstr>Prior Year</vt:lpstr>
      <vt:lpstr>'Prior Year'!Edit</vt:lpstr>
      <vt:lpstr>Edit</vt:lpstr>
      <vt:lpstr>'CC''s'!Print_Area</vt:lpstr>
      <vt:lpstr>data!Print_Area</vt:lpstr>
      <vt:lpstr>FS!Print_Area</vt:lpstr>
      <vt:lpstr>INFO_PG1!Print_Area</vt:lpstr>
      <vt:lpstr>INFO_PG2!Print_Area</vt:lpstr>
      <vt:lpstr>'Prior Year'!Print_Area</vt:lpstr>
      <vt:lpstr>SS2_3_5_6!Print_Area</vt:lpstr>
      <vt:lpstr>'SS4'!Print_Area</vt:lpstr>
      <vt:lpstr>'SS8'!Print_Area</vt:lpstr>
    </vt:vector>
  </TitlesOfParts>
  <Manager>Randall.Huyck@DOH.WA.GOV</Manager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 Highline Medical Center Year End Report</dc:title>
  <dc:subject>2019 Highline Medical Center Year End Report</dc:subject>
  <dc:creator>Washington State Dept of Health - HSQA - Community Health Systems</dc:creator>
  <cp:keywords>hospital financial reports</cp:keywords>
  <cp:lastModifiedBy>Huyck, Randall  (DOH)</cp:lastModifiedBy>
  <cp:lastPrinted>2019-10-31T20:35:46Z</cp:lastPrinted>
  <dcterms:created xsi:type="dcterms:W3CDTF">1999-06-02T22:01:56Z</dcterms:created>
  <dcterms:modified xsi:type="dcterms:W3CDTF">2019-11-01T17:13:05Z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